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ckpit" sheetId="1" state="visible" r:id="rId3"/>
    <sheet name="Szenarien" sheetId="2" state="visible" r:id="rId4"/>
    <sheet name="Artikel" sheetId="3" state="visible" r:id="rId5"/>
    <sheet name="Parameter" sheetId="4" state="visible" r:id="rId6"/>
    <sheet name="Neue Artikel" sheetId="5" state="visible" r:id="rId7"/>
    <sheet name="Gebinde-Kategorie" sheetId="6" state="visible" r:id="rId8"/>
    <sheet name="Liftbericht" sheetId="7" state="visible" r:id="rId9"/>
    <sheet name="Anleitung" sheetId="8" state="visible" r:id="rId10"/>
  </sheets>
  <definedNames>
    <definedName function="false" hidden="true" localSheetId="2" name="_xlnm._FilterDatabase" vbProcedure="false">Artikel!$A$6:$BM$1843</definedName>
    <definedName function="false" hidden="false" localSheetId="0" name="_xlnm.Print_Area" vbProcedure="false">Cockpit!$A$1:$S$70</definedName>
    <definedName function="false" hidden="false" localSheetId="1" name="_xlnm.Print_Area" vbProcedure="false">Szenarien!$A$1:$P$45</definedName>
    <definedName function="false" hidden="false" name="A_FACH" vbProcedure="false">Artikel!$CL$7:$CL$1843</definedName>
    <definedName function="false" hidden="false" name="A_FINF" vbProcedure="false">Artikel!$CE$7:$CE$1843</definedName>
    <definedName function="false" hidden="false" name="A_FINN" vbProcedure="false">Artikel!$CI$7:$CI$1843</definedName>
    <definedName function="false" hidden="false" name="A_FINV" vbProcedure="false">Artikel!$CF$7:$CF$1843</definedName>
    <definedName function="false" hidden="false" name="A_GPT" vbProcedure="false">Artikel!$R$7:$R$1843</definedName>
    <definedName function="false" hidden="false" name="A_HPT" vbProcedure="false">Artikel!$BY$7:$BY$1843</definedName>
    <definedName function="false" hidden="false" name="A_IST" vbProcedure="false">Artikel!$H$7:$H$1843</definedName>
    <definedName function="false" hidden="false" name="A_ISTN" vbProcedure="false">Artikel!$CH$7:$CH$1843</definedName>
    <definedName function="false" hidden="false" name="A_KAPR" vbProcedure="false">Artikel!$X$7:$X$1843</definedName>
    <definedName function="false" hidden="false" name="A_LA" vbProcedure="false">Artikel!$CA$7:$CA$1843</definedName>
    <definedName function="false" hidden="false" name="A_LIFT" vbProcedure="false">Artikel!$CB$7:$CB$1843</definedName>
    <definedName function="false" hidden="false" name="A_LOSE" vbProcedure="false">Artikel!$BW$7:$BW$1843</definedName>
    <definedName function="false" hidden="false" name="A_LUO" vbProcedure="false">Artikel!$CD$7:$CD$1843</definedName>
    <definedName function="false" hidden="false" name="A_MBLG" vbProcedure="false">Artikel!$CG$7:$CG$1843</definedName>
    <definedName function="false" hidden="false" name="A_MPG_E" vbProcedure="false">Artikel!$BV$7:$BV$1843</definedName>
    <definedName function="false" hidden="false" name="A_PREIS" vbProcedure="false">Artikel!$G$7:$G$1843</definedName>
    <definedName function="false" hidden="false" name="A_VERB" vbProcedure="false">Artikel!$J$7:$J$1843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<sst xmlns="http://schemas.openxmlformats.org/spreadsheetml/2006/main" count="12978" uniqueCount="3201">
  <si>
    <t xml:space="preserve">Cockpit – Lagerlift-Belegung &amp; MAX-Bestand nach Lagerumschlag</t>
  </si>
  <si>
    <t xml:space="preserve">Gelbe Felder = Regler. Auslastung: grün &lt; 85 %, orange 85–100 %, rot &gt; 100 %.</t>
  </si>
  <si>
    <t xml:space="preserve">Ansicht 1</t>
  </si>
  <si>
    <t xml:space="preserve">Ansicht 2</t>
  </si>
  <si>
    <t xml:space="preserve">Ansicht 3</t>
  </si>
  <si>
    <t xml:space="preserve">Variante</t>
  </si>
  <si>
    <t xml:space="preserve">A – Ist-Bestand</t>
  </si>
  <si>
    <t xml:space="preserve">C – Ziel-LU oder Ist</t>
  </si>
  <si>
    <t xml:space="preserve">Ziel-LU</t>
  </si>
  <si>
    <t xml:space="preserve">(bei A ohne Wirkung)</t>
  </si>
  <si>
    <t xml:space="preserve">Bereich</t>
  </si>
  <si>
    <t xml:space="preserve">Höhe belegt mm</t>
  </si>
  <si>
    <t xml:space="preserve">Lifthöhe mm</t>
  </si>
  <si>
    <t xml:space="preserve">Tablare (Anzahl)</t>
  </si>
  <si>
    <t xml:space="preserve">Füllgrad</t>
  </si>
  <si>
    <t xml:space="preserve">Lift 1 – Schwer</t>
  </si>
  <si>
    <t xml:space="preserve">Lift 2 – Mittel</t>
  </si>
  <si>
    <t xml:space="preserve">Lift 3 – Klein</t>
  </si>
  <si>
    <t xml:space="preserve">Lift 2 + 3 gemeinsam (KTL/PAL)</t>
  </si>
  <si>
    <t xml:space="preserve">Total 3 Lifte</t>
  </si>
  <si>
    <t xml:space="preserve">Nicht im Lift (andere Hauptlager)</t>
  </si>
  <si>
    <t xml:space="preserve">Manuell «Aussen» zugeteilt</t>
  </si>
  <si>
    <t xml:space="preserve">Passt alles in die 3 Lifte?</t>
  </si>
  <si>
    <t xml:space="preserve">Lift 1 (schwer, separat)</t>
  </si>
  <si>
    <t xml:space="preserve">Lift 2 + 3 gemeinsam</t>
  </si>
  <si>
    <t xml:space="preserve">Aussenlager nötig (mm Lifthöhe)</t>
  </si>
  <si>
    <t xml:space="preserve">Artikel im Aussenlager (ganz/teilweise)</t>
  </si>
  <si>
    <t xml:space="preserve">Lagerwert CHF gesamt</t>
  </si>
  <si>
    <t xml:space="preserve">   davon in den Liften</t>
  </si>
  <si>
    <t xml:space="preserve">   davon im Aussenlager</t>
  </si>
  <si>
    <t xml:space="preserve">   davon nicht im Lift (andere Lager)</t>
  </si>
  <si>
    <t xml:space="preserve">Artikel mit Überbestand (Ist &gt; MAX B)</t>
  </si>
  <si>
    <t xml:space="preserve">(LU dieser Ansicht)</t>
  </si>
  <si>
    <t xml:space="preserve">Überbestandswert CHF</t>
  </si>
  <si>
    <t xml:space="preserve">Höhe mm je Lift</t>
  </si>
  <si>
    <t xml:space="preserve">aus Gebinden (Stammdaten)</t>
  </si>
  <si>
    <t xml:space="preserve">Fächer lt. Liftbericht</t>
  </si>
  <si>
    <t xml:space="preserve">lose (grob geschätzt)</t>
  </si>
  <si>
    <t xml:space="preserve">Anteil geschätzt</t>
  </si>
  <si>
    <t xml:space="preserve">Total</t>
  </si>
  <si>
    <t xml:space="preserve">Diagrammdaten (Auslastung %)</t>
  </si>
  <si>
    <t xml:space="preserve">100 %</t>
  </si>
  <si>
    <t xml:space="preserve">Lift 1</t>
  </si>
  <si>
    <t xml:space="preserve">Lift 2</t>
  </si>
  <si>
    <t xml:space="preserve">Lift 3</t>
  </si>
  <si>
    <t xml:space="preserve">Lift 2+3</t>
  </si>
  <si>
    <t xml:space="preserve">Szenarien – alle LU-Werte auf einen Blick</t>
  </si>
  <si>
    <t xml:space="preserve">Berechnung direkt über das Blatt «Artikel» (SUMPRODUCT). Berücksichtigt Lift-Zuordnung, Gebinde-Anpassungen, Ziel-LU je Artikel und MAX final. LU-Werte aus Parameter A23:A30.</t>
  </si>
  <si>
    <t xml:space="preserve">Lift 1 %</t>
  </si>
  <si>
    <t xml:space="preserve">Lift 2 %</t>
  </si>
  <si>
    <t xml:space="preserve">Lift 3 %</t>
  </si>
  <si>
    <t xml:space="preserve">Lift 2+3 %</t>
  </si>
  <si>
    <t xml:space="preserve">Total %</t>
  </si>
  <si>
    <t xml:space="preserve">Passt alles?</t>
  </si>
  <si>
    <t xml:space="preserve">Aussenlager mm</t>
  </si>
  <si>
    <t xml:space="preserve">Lagerwert CHF</t>
  </si>
  <si>
    <t xml:space="preserve">Δ zum Ist CHF</t>
  </si>
  <si>
    <t xml:space="preserve">Δ zum Ist mm</t>
  </si>
  <si>
    <t xml:space="preserve">Lift 1 mm</t>
  </si>
  <si>
    <t xml:space="preserve">Lift 2 mm</t>
  </si>
  <si>
    <t xml:space="preserve">Lift 3 mm</t>
  </si>
  <si>
    <t xml:space="preserve">Aussen manuell mm</t>
  </si>
  <si>
    <t xml:space="preserve">Ist-Bestand</t>
  </si>
  <si>
    <t xml:space="preserve">–</t>
  </si>
  <si>
    <t xml:space="preserve">B – Ziel-LU</t>
  </si>
  <si>
    <t xml:space="preserve">Ab welchem LU passt alles in die Lifte?</t>
  </si>
  <si>
    <t xml:space="preserve">Variante B (nach Abbau Überbestand):</t>
  </si>
  <si>
    <t xml:space="preserve">Variante C (Überbestand bleibt):</t>
  </si>
  <si>
    <t xml:space="preserve">(Annahme: LU-Liste aufsteigend sortiert. Ist-Bestand: siehe Zeile 5.)</t>
  </si>
  <si>
    <t xml:space="preserve">Diagrammdaten</t>
  </si>
  <si>
    <t xml:space="preserve">B – Total %</t>
  </si>
  <si>
    <t xml:space="preserve">C – Total %</t>
  </si>
  <si>
    <t xml:space="preserve">Ist – Total %</t>
  </si>
  <si>
    <t xml:space="preserve">Artikel – eine Zeile pro Artikel</t>
  </si>
  <si>
    <t xml:space="preserve">Gelb = Eingabe (leer lassen = Vorschlag gilt). Weiss = Formel. Spalten A1–A3 = Cockpit-Ansichten 1–3 (Gruppen mit + / – auf- und zuklappen). Ganz rechts: Hilfsspalten.</t>
  </si>
  <si>
    <t xml:space="preserve">Datenstand: Kennzahlen-Auszug (Kennzahlen_Lager_Auszug.xlsx), Gebinde aus Artikelstamm_mit_Verbrauch_und_Gebinde_Umschlag_2_20260520.xlsx. Erzeugt 05.10.2026.</t>
  </si>
  <si>
    <t xml:space="preserve">Hilfsspalten (nicht ändern)</t>
  </si>
  <si>
    <t xml:space="preserve">Artikelnummer</t>
  </si>
  <si>
    <t xml:space="preserve">Bezeichnung</t>
  </si>
  <si>
    <t xml:space="preserve">Status</t>
  </si>
  <si>
    <t xml:space="preserve">Hauptlager</t>
  </si>
  <si>
    <t xml:space="preserve">Lager in Zukunft</t>
  </si>
  <si>
    <t xml:space="preserve">ABC</t>
  </si>
  <si>
    <t xml:space="preserve">Preis CHF</t>
  </si>
  <si>
    <t xml:space="preserve">Ist-Wert CHF</t>
  </si>
  <si>
    <t xml:space="preserve">Verbrauch 12 Monate</t>
  </si>
  <si>
    <t xml:space="preserve">Ø-Bestand</t>
  </si>
  <si>
    <t xml:space="preserve">IST-LU</t>
  </si>
  <si>
    <t xml:space="preserve">Mindestbestand (MB)</t>
  </si>
  <si>
    <t xml:space="preserve">Losgrösse (LG)</t>
  </si>
  <si>
    <t xml:space="preserve">WBZ Tage</t>
  </si>
  <si>
    <t xml:space="preserve">Gebindekategorie</t>
  </si>
  <si>
    <t xml:space="preserve">Menge pro Gebinde</t>
  </si>
  <si>
    <t xml:space="preserve">Gebinde je Tablar</t>
  </si>
  <si>
    <t xml:space="preserve">Tablare lose (ganzer Bestand)</t>
  </si>
  <si>
    <t xml:space="preserve">Schätzklasse lose</t>
  </si>
  <si>
    <t xml:space="preserve">Gebindekategorie neu</t>
  </si>
  <si>
    <t xml:space="preserve">Menge pro Gebinde neu</t>
  </si>
  <si>
    <t xml:space="preserve">Lift lt. Liftbericht</t>
  </si>
  <si>
    <t xml:space="preserve">Fach-Kapazität Stk (Liftbericht)</t>
  </si>
  <si>
    <t xml:space="preserve">Bestand lt. Liftbericht</t>
  </si>
  <si>
    <t xml:space="preserve">Lift Vorschlag</t>
  </si>
  <si>
    <t xml:space="preserve">Lift manuell</t>
  </si>
  <si>
    <t xml:space="preserve">Ziel-LU Artikel</t>
  </si>
  <si>
    <t xml:space="preserve">MAX Variante B (Ansicht 2)</t>
  </si>
  <si>
    <t xml:space="preserve">MAX Variante C (Ansicht 2)</t>
  </si>
  <si>
    <t xml:space="preserve">MAX final</t>
  </si>
  <si>
    <t xml:space="preserve">A1 Menge</t>
  </si>
  <si>
    <t xml:space="preserve">A1 Anzahl Gebinde</t>
  </si>
  <si>
    <t xml:space="preserve">A1 Tablare</t>
  </si>
  <si>
    <t xml:space="preserve">A1 Höhe mm</t>
  </si>
  <si>
    <t xml:space="preserve">A1 Wert CHF</t>
  </si>
  <si>
    <t xml:space="preserve">A1 MAX B (Hilfe)</t>
  </si>
  <si>
    <t xml:space="preserve">A1 Priorität Verbr./Tablar (Hilfe)</t>
  </si>
  <si>
    <t xml:space="preserve">A1 Fläche kumuliert (Hilfe)</t>
  </si>
  <si>
    <t xml:space="preserve">A1 Anteil im Lift (Hilfe)</t>
  </si>
  <si>
    <t xml:space="preserve">A2 Menge</t>
  </si>
  <si>
    <t xml:space="preserve">A2 Anzahl Gebinde</t>
  </si>
  <si>
    <t xml:space="preserve">A2 Tablare</t>
  </si>
  <si>
    <t xml:space="preserve">A2 Höhe mm</t>
  </si>
  <si>
    <t xml:space="preserve">A2 Wert CHF</t>
  </si>
  <si>
    <t xml:space="preserve">A2 MAX B (Hilfe)</t>
  </si>
  <si>
    <t xml:space="preserve">A2 Priorität Verbr./Tablar (Hilfe)</t>
  </si>
  <si>
    <t xml:space="preserve">A2 Fläche kumuliert (Hilfe)</t>
  </si>
  <si>
    <t xml:space="preserve">A2 Anteil im Lift (Hilfe)</t>
  </si>
  <si>
    <t xml:space="preserve">A3 Menge</t>
  </si>
  <si>
    <t xml:space="preserve">A3 Anzahl Gebinde</t>
  </si>
  <si>
    <t xml:space="preserve">A3 Tablare</t>
  </si>
  <si>
    <t xml:space="preserve">A3 Höhe mm</t>
  </si>
  <si>
    <t xml:space="preserve">A3 Wert CHF</t>
  </si>
  <si>
    <t xml:space="preserve">A3 MAX B (Hilfe)</t>
  </si>
  <si>
    <t xml:space="preserve">A3 Priorität Verbr./Tablar (Hilfe)</t>
  </si>
  <si>
    <t xml:space="preserve">A3 Fläche kumuliert (Hilfe)</t>
  </si>
  <si>
    <t xml:space="preserve">A3 Anteil im Lift (Hilfe)</t>
  </si>
  <si>
    <t xml:space="preserve">Lagerort Ansicht 1</t>
  </si>
  <si>
    <t xml:space="preserve">Lagerort Ansicht 2</t>
  </si>
  <si>
    <t xml:space="preserve">Lagerort Ansicht 3</t>
  </si>
  <si>
    <t xml:space="preserve">Hinweise</t>
  </si>
  <si>
    <t xml:space="preserve">Ursache (Kennzahlen)</t>
  </si>
  <si>
    <t xml:space="preserve">Aktion (Kennzahlen)</t>
  </si>
  <si>
    <t xml:space="preserve">Kommentar Diskussion</t>
  </si>
  <si>
    <t xml:space="preserve">Export Bestandsmenge (G)</t>
  </si>
  <si>
    <t xml:space="preserve">Export Jahresanfang 2025 (T)</t>
  </si>
  <si>
    <t xml:space="preserve">Export Bestandswert (H)</t>
  </si>
  <si>
    <t xml:space="preserve">Verbrauch Export (Zeitraum)</t>
  </si>
  <si>
    <t xml:space="preserve">Bemerkungen Artikelstamm</t>
  </si>
  <si>
    <t xml:space="preserve">Neu (1/0)</t>
  </si>
  <si>
    <t xml:space="preserve">Zeile</t>
  </si>
  <si>
    <t xml:space="preserve">Gebinde wirksam</t>
  </si>
  <si>
    <t xml:space="preserve">Menge/Gebinde wirksam</t>
  </si>
  <si>
    <t xml:space="preserve">Lose (1/0)</t>
  </si>
  <si>
    <t xml:space="preserve">Gebinde geschätzt (1/0)</t>
  </si>
  <si>
    <t xml:space="preserve">Höhe je Tablar mm</t>
  </si>
  <si>
    <t xml:space="preserve">Liftregel (LiZ/Hauptlager)</t>
  </si>
  <si>
    <t xml:space="preserve">Tablare lose wirksam</t>
  </si>
  <si>
    <t xml:space="preserve">Lift wirksam</t>
  </si>
  <si>
    <t xml:space="preserve">Liftgruppe</t>
  </si>
  <si>
    <t xml:space="preserve">Ziel-LU Artikel (0=keiner)</t>
  </si>
  <si>
    <t xml:space="preserve">MAX final gesetzt</t>
  </si>
  <si>
    <t xml:space="preserve">MAX final Wert</t>
  </si>
  <si>
    <t xml:space="preserve">MB + LG</t>
  </si>
  <si>
    <t xml:space="preserve">Gebinde bei Ist</t>
  </si>
  <si>
    <t xml:space="preserve">Gebinde bei MAX final</t>
  </si>
  <si>
    <t xml:space="preserve">Gebindehöhe cm</t>
  </si>
  <si>
    <t xml:space="preserve">max. Ladehöhe Lift mm</t>
  </si>
  <si>
    <t xml:space="preserve">Fach lt. Liftbericht (Tablare)</t>
  </si>
  <si>
    <t xml:space="preserve">101749</t>
  </si>
  <si>
    <t xml:space="preserve">Austrittsdüse</t>
  </si>
  <si>
    <t xml:space="preserve">F</t>
  </si>
  <si>
    <t xml:space="preserve">LIFT1</t>
  </si>
  <si>
    <t xml:space="preserve">Kardex Schwer</t>
  </si>
  <si>
    <t xml:space="preserve">A</t>
  </si>
  <si>
    <t xml:space="preserve">LOSE</t>
  </si>
  <si>
    <t xml:space="preserve">W20000453 - Umarbeit von 107817 zu 101749 (Plan: 09/2025, Gelief.: 01.2026) + Bestellung 80017631 9 Stk. 10/2025. Bedarf durch FC vorher erhöht, daraufhin wurde zwischendurch bestellt, da Liefertermine unklar gewesen sind: https://www.meistertask.com/app/task/x119P4tZ -&gt; MB keine Veränderung</t>
  </si>
  <si>
    <t xml:space="preserve">Weitere Umarbeit möglich? 101411 - möglich, falls ja wie Nachbestellung verhindern? Auslaufartikel + Info in Artikel mit Alternativartikel?</t>
  </si>
  <si>
    <t xml:space="preserve">110390</t>
  </si>
  <si>
    <t xml:space="preserve">Elektro-Set - Aufrüstung SPC800 V3.0.0</t>
  </si>
  <si>
    <t xml:space="preserve">PAL</t>
  </si>
  <si>
    <t xml:space="preserve">S71</t>
  </si>
  <si>
    <t xml:space="preserve">Bedarf durch Upgrade auf V3.2 - Vorproduktion</t>
  </si>
  <si>
    <t xml:space="preserve">Abklären, wann diese gebraucht werden</t>
  </si>
  <si>
    <t xml:space="preserve">111326</t>
  </si>
  <si>
    <t xml:space="preserve">Luftblock BASE/SUB Spezial</t>
  </si>
  <si>
    <t xml:space="preserve">Mittel</t>
  </si>
  <si>
    <t xml:space="preserve">110337</t>
  </si>
  <si>
    <t xml:space="preserve">Ventilpanel SPGr BASE komplett</t>
  </si>
  <si>
    <t xml:space="preserve">005086</t>
  </si>
  <si>
    <t xml:space="preserve">SPS Grundgerät EG101</t>
  </si>
  <si>
    <t xml:space="preserve">KTL</t>
  </si>
  <si>
    <t xml:space="preserve">Kardex Kleinteil</t>
  </si>
  <si>
    <t xml:space="preserve">S61</t>
  </si>
  <si>
    <t xml:space="preserve">106185_MAT</t>
  </si>
  <si>
    <t xml:space="preserve">Rohmaterial zu 106185</t>
  </si>
  <si>
    <t xml:space="preserve">Gross</t>
  </si>
  <si>
    <t xml:space="preserve">101411</t>
  </si>
  <si>
    <t xml:space="preserve">106184_MAT</t>
  </si>
  <si>
    <t xml:space="preserve">Rohmaterial zu 106184</t>
  </si>
  <si>
    <t xml:space="preserve">Bedarf Niederurnen 8 Stk. + FC Bedarf war höher + WBZ 70 Tage, führten zu Bestellungen, Bedarf hat sich verschoben, Bestellungen wurden nicht angepasst.</t>
  </si>
  <si>
    <t xml:space="preserve">Umarbeit möglich?</t>
  </si>
  <si>
    <t xml:space="preserve">110338</t>
  </si>
  <si>
    <t xml:space="preserve">Ventilpanel SPGr SUB komplett</t>
  </si>
  <si>
    <t xml:space="preserve">104232</t>
  </si>
  <si>
    <t xml:space="preserve">Ventilpanel komplett</t>
  </si>
  <si>
    <t xml:space="preserve">105315_MAT</t>
  </si>
  <si>
    <t xml:space="preserve">Rohmaterial zu 105315</t>
  </si>
  <si>
    <t xml:space="preserve">B</t>
  </si>
  <si>
    <t xml:space="preserve">107309</t>
  </si>
  <si>
    <t xml:space="preserve">Verbrennungszylinder EG10</t>
  </si>
  <si>
    <t xml:space="preserve">110339</t>
  </si>
  <si>
    <t xml:space="preserve">107829</t>
  </si>
  <si>
    <t xml:space="preserve">Austrittsdüse SPGr16</t>
  </si>
  <si>
    <t xml:space="preserve">100389</t>
  </si>
  <si>
    <t xml:space="preserve">Mischgehäuse</t>
  </si>
  <si>
    <t xml:space="preserve">106177</t>
  </si>
  <si>
    <t xml:space="preserve">Kolbengehäuse SPGr10</t>
  </si>
  <si>
    <t xml:space="preserve">?</t>
  </si>
  <si>
    <t xml:space="preserve">106099</t>
  </si>
  <si>
    <t xml:space="preserve">Druckleitungsgehäuse SPGr</t>
  </si>
  <si>
    <t xml:space="preserve">Twin</t>
  </si>
  <si>
    <t xml:space="preserve">Reduzieren / Mit PM/SV anschauen?</t>
  </si>
  <si>
    <t xml:space="preserve">109088_MAT</t>
  </si>
  <si>
    <t xml:space="preserve">Rohmaterial zu 109088</t>
  </si>
  <si>
    <t xml:space="preserve">C</t>
  </si>
  <si>
    <t xml:space="preserve">106184</t>
  </si>
  <si>
    <t xml:space="preserve">Ventilsitzgehäuse SPGr16</t>
  </si>
  <si>
    <t xml:space="preserve">108126</t>
  </si>
  <si>
    <t xml:space="preserve">Hochtemperatur-Hydraulikschlauch</t>
  </si>
  <si>
    <t xml:space="preserve">S81</t>
  </si>
  <si>
    <t xml:space="preserve">105838</t>
  </si>
  <si>
    <t xml:space="preserve">Dämpfer</t>
  </si>
  <si>
    <t xml:space="preserve">S63</t>
  </si>
  <si>
    <t xml:space="preserve">Angebote wurden spät neu terminiert, dadurch ergab sich ein Verbrauch innerhalb der WBZ - daher wurden weitere bestellt</t>
  </si>
  <si>
    <t xml:space="preserve">106821</t>
  </si>
  <si>
    <t xml:space="preserve">Transfer Gehäuse SPGr komplett</t>
  </si>
  <si>
    <t xml:space="preserve">nicht im KTL vorhanden</t>
  </si>
  <si>
    <t xml:space="preserve">106446</t>
  </si>
  <si>
    <t xml:space="preserve">Proportionalventil komplett</t>
  </si>
  <si>
    <t xml:space="preserve">S52</t>
  </si>
  <si>
    <t xml:space="preserve">Auslaufartikel - letzte Entnahme 2022</t>
  </si>
  <si>
    <t xml:space="preserve">Umarbeit / Verschrotten? - Betsand bei Schmobi wurde bereits verschrottet</t>
  </si>
  <si>
    <t xml:space="preserve">106098</t>
  </si>
  <si>
    <t xml:space="preserve">Druckleitungsblock SPGr</t>
  </si>
  <si>
    <t xml:space="preserve">Bedarf durch Angebote getriggert, MB 5 zu dem zeitpunkt und Losgrösse 8 mit hoher WBZ -&gt; Auslaufteil</t>
  </si>
  <si>
    <t xml:space="preserve">Retourverkauf an Lieferant?</t>
  </si>
  <si>
    <t xml:space="preserve">106185</t>
  </si>
  <si>
    <t xml:space="preserve">Kolbengehäuse SPGr16</t>
  </si>
  <si>
    <t xml:space="preserve">Letzter Zugang W20000056 2022</t>
  </si>
  <si>
    <t xml:space="preserve">Rückverkauf/Umbau auf anderes VP?</t>
  </si>
  <si>
    <t xml:space="preserve">110978</t>
  </si>
  <si>
    <t xml:space="preserve">Austrittsdüsenschauglas komplett</t>
  </si>
  <si>
    <t xml:space="preserve">MB war auf 35 Stk. + Losgrösse 35 Stk. Letzter WE 07/2025 + Feldaustausch war vorgesehen und ist daraufhin nicht zustande gekommen (Zeitfestigkeit)</t>
  </si>
  <si>
    <t xml:space="preserve">Keine</t>
  </si>
  <si>
    <t xml:space="preserve">111495</t>
  </si>
  <si>
    <t xml:space="preserve">Verpackung Service Kit 7k, SPGr10</t>
  </si>
  <si>
    <t xml:space="preserve">Bedarf durch Angebote getrieben, welche verschoben wurden WBZ ist zu lang - Verbraucht bis ca Ende 2026</t>
  </si>
  <si>
    <t xml:space="preserve">109651</t>
  </si>
  <si>
    <t xml:space="preserve">105961</t>
  </si>
  <si>
    <t xml:space="preserve">Konstanthänger</t>
  </si>
  <si>
    <t xml:space="preserve">MB von 2 hat Bedarf ausgelöst, allerdings wurden 5 geliefert, anstatt den MB mit 1 Stk. aufzufüllen? Losgrösse angepasst? -&gt; Aufgrund voin Preis wurden 5 bestellt</t>
  </si>
  <si>
    <t xml:space="preserve">Festhalten ob kleinere Mengen für teurer eingekauft werden sollen, oder ob Mehr und besserer Preis attraktiver ist -&gt; 1 Stk. 5500 und bei 5 3500 CHF / Stk.</t>
  </si>
  <si>
    <t xml:space="preserve">110336</t>
  </si>
  <si>
    <t xml:space="preserve">107867</t>
  </si>
  <si>
    <t xml:space="preserve">Ventilsitz SPGr16</t>
  </si>
  <si>
    <t xml:space="preserve">S72</t>
  </si>
  <si>
    <t xml:space="preserve">Wurdne in 2024 zu grösserer Menge Beschafft, seither kein WE</t>
  </si>
  <si>
    <t xml:space="preserve">grosser Artikel &amp; nicht im KTL</t>
  </si>
  <si>
    <t xml:space="preserve">100049</t>
  </si>
  <si>
    <t xml:space="preserve">Dosierzylinder O2</t>
  </si>
  <si>
    <t xml:space="preserve">108138</t>
  </si>
  <si>
    <t xml:space="preserve">Spülluftmodul komplett</t>
  </si>
  <si>
    <t xml:space="preserve">Losgrösse 10, mit Hoher WBZ Anfang 2024 bestellt seither unberührt</t>
  </si>
  <si>
    <t xml:space="preserve">Warum soi viel bestellt wurde muss rausgefunden werden?</t>
  </si>
  <si>
    <t xml:space="preserve">111000</t>
  </si>
  <si>
    <t xml:space="preserve">107420</t>
  </si>
  <si>
    <t xml:space="preserve">Horizontalwagen</t>
  </si>
  <si>
    <t xml:space="preserve">Losgrösse 10 auf 20 Stk. + lange WBZ -&gt; MB war 15 Stk.</t>
  </si>
  <si>
    <t xml:space="preserve">WBZ war nicht passend zum Rahmen?</t>
  </si>
  <si>
    <t xml:space="preserve">111885</t>
  </si>
  <si>
    <t xml:space="preserve">Magnetventil mit Spule</t>
  </si>
  <si>
    <t xml:space="preserve">Klein</t>
  </si>
  <si>
    <t xml:space="preserve">111497</t>
  </si>
  <si>
    <t xml:space="preserve">Verpackung Service Kit 7k, SPGr16</t>
  </si>
  <si>
    <t xml:space="preserve">Hoher Bedarf durch Angebote, welche verschoben wurden. Daher grosse Bestellungen getätigt</t>
  </si>
  <si>
    <t xml:space="preserve">Retourverkaufen?</t>
  </si>
  <si>
    <t xml:space="preserve">108135</t>
  </si>
  <si>
    <t xml:space="preserve">Kabel Spülluftmodul</t>
  </si>
  <si>
    <t xml:space="preserve">100363</t>
  </si>
  <si>
    <t xml:space="preserve">Dosierzylinder CH4</t>
  </si>
  <si>
    <t xml:space="preserve">111227</t>
  </si>
  <si>
    <t xml:space="preserve">Sehr hohe WBZ, daher Bedarf wurde vermutlich Angepasst und nicht weiter verfolgt -&gt; Vielleichtmusste auch ein Rahmen abgenommen werden? Abgekündigt?</t>
  </si>
  <si>
    <t xml:space="preserve">110334</t>
  </si>
  <si>
    <t xml:space="preserve">Luftblock BASE komplett</t>
  </si>
  <si>
    <t xml:space="preserve">111226</t>
  </si>
  <si>
    <t xml:space="preserve">005061</t>
  </si>
  <si>
    <t xml:space="preserve">Ringwellschlauch</t>
  </si>
  <si>
    <t xml:space="preserve">106792</t>
  </si>
  <si>
    <t xml:space="preserve">Pilotventil</t>
  </si>
  <si>
    <t xml:space="preserve">S62</t>
  </si>
  <si>
    <t xml:space="preserve">106100</t>
  </si>
  <si>
    <t xml:space="preserve">Deckel zu Druckleitungsgehäuse SPGr</t>
  </si>
  <si>
    <t xml:space="preserve">107124</t>
  </si>
  <si>
    <t xml:space="preserve">Federhänger</t>
  </si>
  <si>
    <t xml:space="preserve">Zugänge aus 2023?</t>
  </si>
  <si>
    <t xml:space="preserve">T&amp;E: Benötigt/Alternative? // Preis hat hier auch eine Rolle gespielt</t>
  </si>
  <si>
    <t xml:space="preserve">100362</t>
  </si>
  <si>
    <t xml:space="preserve">Magnetventil</t>
  </si>
  <si>
    <t xml:space="preserve">S51</t>
  </si>
  <si>
    <t xml:space="preserve">103763</t>
  </si>
  <si>
    <t xml:space="preserve">111498</t>
  </si>
  <si>
    <t xml:space="preserve">Verpackung Service Kit 14k, SPGr16</t>
  </si>
  <si>
    <t xml:space="preserve">Vermutlich Lieferungen aus Rahmen ? Abgekündigt?</t>
  </si>
  <si>
    <t xml:space="preserve">111496</t>
  </si>
  <si>
    <t xml:space="preserve">Verpackung Service Kit 28k, SPGr10</t>
  </si>
  <si>
    <t xml:space="preserve">106791</t>
  </si>
  <si>
    <t xml:space="preserve">Gasventil SPG</t>
  </si>
  <si>
    <t xml:space="preserve">106270</t>
  </si>
  <si>
    <t xml:space="preserve">Ablassschraube</t>
  </si>
  <si>
    <t xml:space="preserve">110335</t>
  </si>
  <si>
    <t xml:space="preserve">Luftblock SUB komplett</t>
  </si>
  <si>
    <t xml:space="preserve">100133</t>
  </si>
  <si>
    <t xml:space="preserve">Gehäuse Gasdruckspeicher</t>
  </si>
  <si>
    <t xml:space="preserve">Letzte WE 2023</t>
  </si>
  <si>
    <t xml:space="preserve">109689 Nachfolgeartikel - Technisches Büro sperren? Ggf. Abklären mit T&amp;E?</t>
  </si>
  <si>
    <t xml:space="preserve">107415</t>
  </si>
  <si>
    <t xml:space="preserve">Rohr Anschweissstück Øi206</t>
  </si>
  <si>
    <t xml:space="preserve">112022</t>
  </si>
  <si>
    <t xml:space="preserve">Ventilblock Ausgang</t>
  </si>
  <si>
    <t xml:space="preserve">100179</t>
  </si>
  <si>
    <t xml:space="preserve">Einschraubstutzen</t>
  </si>
  <si>
    <t xml:space="preserve">Neu-Teil daher schlechter LU</t>
  </si>
  <si>
    <t xml:space="preserve">001090</t>
  </si>
  <si>
    <t xml:space="preserve">Gleitmo 599</t>
  </si>
  <si>
    <t xml:space="preserve">S41</t>
  </si>
  <si>
    <t xml:space="preserve">Losgrösse war auf 10 Stk. neu auf 5 Stk. -&gt; Sollte sich von alleine aufbrauchen</t>
  </si>
  <si>
    <t xml:space="preserve">111982</t>
  </si>
  <si>
    <t xml:space="preserve">Heizschlauch</t>
  </si>
  <si>
    <t xml:space="preserve">Letzter WE 2024? Verbrauch sehr wenig (10-20 Stk. pro Jahr) Rahmen war über 100 Stk. und musste abgenommen werden</t>
  </si>
  <si>
    <t xml:space="preserve">108523</t>
  </si>
  <si>
    <t xml:space="preserve">Brenngasblock BASE komplett</t>
  </si>
  <si>
    <t xml:space="preserve">111901</t>
  </si>
  <si>
    <t xml:space="preserve">Ventilblock Eingang</t>
  </si>
  <si>
    <t xml:space="preserve">111765</t>
  </si>
  <si>
    <t xml:space="preserve">106154</t>
  </si>
  <si>
    <t xml:space="preserve">Federflansch</t>
  </si>
  <si>
    <t xml:space="preserve">108540</t>
  </si>
  <si>
    <t xml:space="preserve">Brenngasblock SUB komplett</t>
  </si>
  <si>
    <t xml:space="preserve">106308</t>
  </si>
  <si>
    <t xml:space="preserve">Rohrflansch</t>
  </si>
  <si>
    <t xml:space="preserve">Letzter WE 2023?</t>
  </si>
  <si>
    <t xml:space="preserve">T&amp;E: Benötigt/Alternative?</t>
  </si>
  <si>
    <t xml:space="preserve">106723</t>
  </si>
  <si>
    <t xml:space="preserve">PTFE Schlauch DN6</t>
  </si>
  <si>
    <t xml:space="preserve">S82</t>
  </si>
  <si>
    <t xml:space="preserve">In 2023 gekauft, eine Entnahme ohne Auftrag in 2024, seither keine Bewegung mehr -&gt; Ersastzteil zu Ibeda Druckregelstrecke (109144 109143 Beide mittlerwiele gesperrt).</t>
  </si>
  <si>
    <t xml:space="preserve">005266</t>
  </si>
  <si>
    <t xml:space="preserve">OC-106175</t>
  </si>
  <si>
    <t xml:space="preserve">SPGr10</t>
  </si>
  <si>
    <t xml:space="preserve">OCC</t>
  </si>
  <si>
    <t xml:space="preserve">111900</t>
  </si>
  <si>
    <t xml:space="preserve">Ausgleichsvolumen 40l</t>
  </si>
  <si>
    <t xml:space="preserve">Kleinere Mengen eingekauft 2022-2024 - keine Entnahmen</t>
  </si>
  <si>
    <t xml:space="preserve">106730</t>
  </si>
  <si>
    <t xml:space="preserve">Glühkerzenkabel SPGr</t>
  </si>
  <si>
    <t xml:space="preserve">Überbestand; grosser Artikel &amp; nicht im KTL</t>
  </si>
  <si>
    <t xml:space="preserve">109374</t>
  </si>
  <si>
    <t xml:space="preserve">Kolben SPGr16 T2</t>
  </si>
  <si>
    <t xml:space="preserve">110057</t>
  </si>
  <si>
    <t xml:space="preserve">HMI - Power Panel T80</t>
  </si>
  <si>
    <t xml:space="preserve">Wird bereits an Bürki verkauft?</t>
  </si>
  <si>
    <t xml:space="preserve">106482</t>
  </si>
  <si>
    <t xml:space="preserve">100770</t>
  </si>
  <si>
    <t xml:space="preserve">Rohr</t>
  </si>
  <si>
    <t xml:space="preserve">001123</t>
  </si>
  <si>
    <t xml:space="preserve">Holzkiste mit Zwischenboden / SPG</t>
  </si>
  <si>
    <t xml:space="preserve">Kisten Leer</t>
  </si>
  <si>
    <t xml:space="preserve">107253</t>
  </si>
  <si>
    <t xml:space="preserve">Transfermagnetventil Spule O2</t>
  </si>
  <si>
    <t xml:space="preserve">100423</t>
  </si>
  <si>
    <t xml:space="preserve">Verschlussstopfen</t>
  </si>
  <si>
    <t xml:space="preserve">106101</t>
  </si>
  <si>
    <t xml:space="preserve">Flammsperre</t>
  </si>
  <si>
    <t xml:space="preserve">108121</t>
  </si>
  <si>
    <t xml:space="preserve">110822</t>
  </si>
  <si>
    <t xml:space="preserve">Kolben SPGr10 T2</t>
  </si>
  <si>
    <t xml:space="preserve">Vemutlich durch Bedarf angefordert und hohe WBZ, nicht auf Veränderung reagiert. Bestand reicht bis Ende 2026 - Artikelpflege Lücke: Losgrösse durch Einkauf gepflegt -&gt; Bessere Bedarfsabklärung?</t>
  </si>
  <si>
    <t xml:space="preserve">Lücke in Artikelpflege prüfen und ggf. schliessen so gut wie es möglich ist?</t>
  </si>
  <si>
    <t xml:space="preserve">005239</t>
  </si>
  <si>
    <t xml:space="preserve">Drehmomentschlüssel</t>
  </si>
  <si>
    <t xml:space="preserve">106108</t>
  </si>
  <si>
    <t xml:space="preserve">Flammsperre zu Transferblock SPGr</t>
  </si>
  <si>
    <t xml:space="preserve">108524</t>
  </si>
  <si>
    <t xml:space="preserve">Stickstoffblock BASE komplett</t>
  </si>
  <si>
    <t xml:space="preserve">Letzte WE 2021 -&gt; 106869?</t>
  </si>
  <si>
    <t xml:space="preserve">Ersatzartikel</t>
  </si>
  <si>
    <t xml:space="preserve">103524</t>
  </si>
  <si>
    <t xml:space="preserve">Kugelhahn N2</t>
  </si>
  <si>
    <t xml:space="preserve">Überbestand</t>
  </si>
  <si>
    <t xml:space="preserve">106583</t>
  </si>
  <si>
    <t xml:space="preserve">Anschlussflansch</t>
  </si>
  <si>
    <t xml:space="preserve">112026</t>
  </si>
  <si>
    <t xml:space="preserve">Berstscheibe 60 - 66 bar</t>
  </si>
  <si>
    <t xml:space="preserve">111499</t>
  </si>
  <si>
    <t xml:space="preserve">Verpackung Service Kit 28k, SPGr16</t>
  </si>
  <si>
    <t xml:space="preserve">106044</t>
  </si>
  <si>
    <t xml:space="preserve">Rohrstück mit Blende</t>
  </si>
  <si>
    <t xml:space="preserve">S21</t>
  </si>
  <si>
    <t xml:space="preserve">107212</t>
  </si>
  <si>
    <t xml:space="preserve">Sechskantschraube</t>
  </si>
  <si>
    <t xml:space="preserve">105456</t>
  </si>
  <si>
    <t xml:space="preserve">Zylinderschraube mit Innensechskant</t>
  </si>
  <si>
    <t xml:space="preserve">103489</t>
  </si>
  <si>
    <t xml:space="preserve">Sicherungsscheibe</t>
  </si>
  <si>
    <t xml:space="preserve">106752</t>
  </si>
  <si>
    <t xml:space="preserve">Beschriftungsset</t>
  </si>
  <si>
    <t xml:space="preserve">106635</t>
  </si>
  <si>
    <t xml:space="preserve">Leiste zu SPGr16</t>
  </si>
  <si>
    <t xml:space="preserve">107868</t>
  </si>
  <si>
    <t xml:space="preserve">Kolben SPGr10</t>
  </si>
  <si>
    <t xml:space="preserve">109995</t>
  </si>
  <si>
    <t xml:space="preserve">Industrie Mobilfunk Router (global)</t>
  </si>
  <si>
    <t xml:space="preserve">107971</t>
  </si>
  <si>
    <t xml:space="preserve">Entleerungsschlauch</t>
  </si>
  <si>
    <t xml:space="preserve">107995</t>
  </si>
  <si>
    <t xml:space="preserve">Radialventilator</t>
  </si>
  <si>
    <t xml:space="preserve">100155</t>
  </si>
  <si>
    <t xml:space="preserve">S32</t>
  </si>
  <si>
    <t xml:space="preserve">107197</t>
  </si>
  <si>
    <t xml:space="preserve">Kompressoröl zu AC260</t>
  </si>
  <si>
    <t xml:space="preserve">106619</t>
  </si>
  <si>
    <t xml:space="preserve">Rückschlagventil</t>
  </si>
  <si>
    <t xml:space="preserve">S22</t>
  </si>
  <si>
    <t xml:space="preserve">005260</t>
  </si>
  <si>
    <t xml:space="preserve">110024</t>
  </si>
  <si>
    <t xml:space="preserve">Zuleitungskabel Temperatursensor</t>
  </si>
  <si>
    <t xml:space="preserve">106458</t>
  </si>
  <si>
    <t xml:space="preserve">Drucktransmitter</t>
  </si>
  <si>
    <t xml:space="preserve">110875</t>
  </si>
  <si>
    <t xml:space="preserve">Digitalmanometer</t>
  </si>
  <si>
    <t xml:space="preserve">101679</t>
  </si>
  <si>
    <t xml:space="preserve">Ringschraube</t>
  </si>
  <si>
    <t xml:space="preserve">105321</t>
  </si>
  <si>
    <t xml:space="preserve">Ventilsitzadapter SPGr10</t>
  </si>
  <si>
    <t xml:space="preserve">103917</t>
  </si>
  <si>
    <t xml:space="preserve">106794</t>
  </si>
  <si>
    <t xml:space="preserve">Magnetspule</t>
  </si>
  <si>
    <t xml:space="preserve">005497</t>
  </si>
  <si>
    <t xml:space="preserve">Schlauchbündelung mit Klettverschluss</t>
  </si>
  <si>
    <t xml:space="preserve">101538</t>
  </si>
  <si>
    <t xml:space="preserve">111953</t>
  </si>
  <si>
    <t xml:space="preserve">PTFE Schlauch DN10</t>
  </si>
  <si>
    <t xml:space="preserve">109381</t>
  </si>
  <si>
    <t xml:space="preserve">Gateway Modbus TCP Server / CAN</t>
  </si>
  <si>
    <t xml:space="preserve">101634</t>
  </si>
  <si>
    <t xml:space="preserve">100852</t>
  </si>
  <si>
    <t xml:space="preserve">Ventilsitzeinsatz D70</t>
  </si>
  <si>
    <t xml:space="preserve">106904</t>
  </si>
  <si>
    <t xml:space="preserve">Sirenenelement</t>
  </si>
  <si>
    <t xml:space="preserve">106727</t>
  </si>
  <si>
    <t xml:space="preserve">001207</t>
  </si>
  <si>
    <t xml:space="preserve">Holzkiste Luftkompressor See</t>
  </si>
  <si>
    <t xml:space="preserve">G</t>
  </si>
  <si>
    <t xml:space="preserve">106984</t>
  </si>
  <si>
    <t xml:space="preserve">Patch-Panel, RJ45-Buchse</t>
  </si>
  <si>
    <t xml:space="preserve">108527</t>
  </si>
  <si>
    <t xml:space="preserve">Spülluftblock BASE / SUB komplett</t>
  </si>
  <si>
    <t xml:space="preserve">108945</t>
  </si>
  <si>
    <t xml:space="preserve">Kranbahnprofil</t>
  </si>
  <si>
    <t xml:space="preserve">001114</t>
  </si>
  <si>
    <t xml:space="preserve">Palette Typ 0</t>
  </si>
  <si>
    <t xml:space="preserve">Verpackungsmaterial</t>
  </si>
  <si>
    <t xml:space="preserve">103918</t>
  </si>
  <si>
    <t xml:space="preserve">105457</t>
  </si>
  <si>
    <t xml:space="preserve">O-Ring</t>
  </si>
  <si>
    <t xml:space="preserve">100762</t>
  </si>
  <si>
    <t xml:space="preserve">100893</t>
  </si>
  <si>
    <t xml:space="preserve">Druckfeder</t>
  </si>
  <si>
    <t xml:space="preserve">gehört dieser Artikel ins KTL ?</t>
  </si>
  <si>
    <t xml:space="preserve">106009</t>
  </si>
  <si>
    <t xml:space="preserve">100187</t>
  </si>
  <si>
    <t xml:space="preserve">Dichtscheibe</t>
  </si>
  <si>
    <t xml:space="preserve">S33</t>
  </si>
  <si>
    <t xml:space="preserve">106496</t>
  </si>
  <si>
    <t xml:space="preserve">005541</t>
  </si>
  <si>
    <t xml:space="preserve">109378</t>
  </si>
  <si>
    <t xml:space="preserve">Spülluftmodul Gehäuse komplett</t>
  </si>
  <si>
    <t xml:space="preserve">005040</t>
  </si>
  <si>
    <t xml:space="preserve">109495</t>
  </si>
  <si>
    <t xml:space="preserve">Nadelventil</t>
  </si>
  <si>
    <t xml:space="preserve">109201</t>
  </si>
  <si>
    <t xml:space="preserve">Fahrwerk GISKB II</t>
  </si>
  <si>
    <t xml:space="preserve">005101</t>
  </si>
  <si>
    <t xml:space="preserve">SPS Ethernet-Kommunikationsmodul</t>
  </si>
  <si>
    <t xml:space="preserve">101574</t>
  </si>
  <si>
    <t xml:space="preserve">Stützring</t>
  </si>
  <si>
    <t xml:space="preserve">001124</t>
  </si>
  <si>
    <t xml:space="preserve">Holzkiste Steuerschrank gross</t>
  </si>
  <si>
    <t xml:space="preserve">110106</t>
  </si>
  <si>
    <t xml:space="preserve">Faltenfilter</t>
  </si>
  <si>
    <t xml:space="preserve">110866</t>
  </si>
  <si>
    <t xml:space="preserve">Verbunddichtring</t>
  </si>
  <si>
    <t xml:space="preserve">106622</t>
  </si>
  <si>
    <t xml:space="preserve">Bolzen</t>
  </si>
  <si>
    <t xml:space="preserve">108541</t>
  </si>
  <si>
    <t xml:space="preserve">Stickstoffblock SUB komplett</t>
  </si>
  <si>
    <t xml:space="preserve">110991</t>
  </si>
  <si>
    <t xml:space="preserve">Distanzhülse</t>
  </si>
  <si>
    <t xml:space="preserve">005102</t>
  </si>
  <si>
    <t xml:space="preserve">SPS Profibus DP-Slavemodul</t>
  </si>
  <si>
    <t xml:space="preserve">101477</t>
  </si>
  <si>
    <t xml:space="preserve">Befestigungsring</t>
  </si>
  <si>
    <t xml:space="preserve">107997</t>
  </si>
  <si>
    <t xml:space="preserve">Adapter Stahl verzinkt</t>
  </si>
  <si>
    <t xml:space="preserve">005069</t>
  </si>
  <si>
    <t xml:space="preserve">Hochdruck-Ganzmetallschlauch CH4</t>
  </si>
  <si>
    <t xml:space="preserve">107713</t>
  </si>
  <si>
    <t xml:space="preserve">Spannungsüberwachung</t>
  </si>
  <si>
    <t xml:space="preserve">Neuer Art.</t>
  </si>
  <si>
    <t xml:space="preserve">005201</t>
  </si>
  <si>
    <t xml:space="preserve">Druckregelstrecke O2</t>
  </si>
  <si>
    <t xml:space="preserve">109124</t>
  </si>
  <si>
    <t xml:space="preserve">Verpackung Spülluftmodul</t>
  </si>
  <si>
    <t xml:space="preserve">106385</t>
  </si>
  <si>
    <t xml:space="preserve">Zugstange</t>
  </si>
  <si>
    <t xml:space="preserve">109189</t>
  </si>
  <si>
    <t xml:space="preserve">Einschraubadapter Edelstahl</t>
  </si>
  <si>
    <t xml:space="preserve">108322</t>
  </si>
  <si>
    <t xml:space="preserve">Gasvorwärmer</t>
  </si>
  <si>
    <t xml:space="preserve">102884</t>
  </si>
  <si>
    <t xml:space="preserve">Rapid Kettenglied</t>
  </si>
  <si>
    <t xml:space="preserve">109376</t>
  </si>
  <si>
    <t xml:space="preserve">Unterstützungsblech Spülluftmodul</t>
  </si>
  <si>
    <t xml:space="preserve">101916</t>
  </si>
  <si>
    <t xml:space="preserve">länger als die Kisten</t>
  </si>
  <si>
    <t xml:space="preserve">111957</t>
  </si>
  <si>
    <t xml:space="preserve">Flaschenanschluss Ventil</t>
  </si>
  <si>
    <t xml:space="preserve">109924</t>
  </si>
  <si>
    <t xml:space="preserve">Sensorkabel</t>
  </si>
  <si>
    <t xml:space="preserve">102501</t>
  </si>
  <si>
    <t xml:space="preserve">106944</t>
  </si>
  <si>
    <t xml:space="preserve">Busmodul</t>
  </si>
  <si>
    <t xml:space="preserve">i.o</t>
  </si>
  <si>
    <t xml:space="preserve">109172</t>
  </si>
  <si>
    <t xml:space="preserve">Basisschlauch für Bündelanschluss</t>
  </si>
  <si>
    <t xml:space="preserve">002003</t>
  </si>
  <si>
    <t xml:space="preserve">Holzkiste Austrittsdüse 2m</t>
  </si>
  <si>
    <t xml:space="preserve">107360</t>
  </si>
  <si>
    <t xml:space="preserve">Seilrolle</t>
  </si>
  <si>
    <t xml:space="preserve">108805</t>
  </si>
  <si>
    <t xml:space="preserve">Typenschild</t>
  </si>
  <si>
    <t xml:space="preserve">111904</t>
  </si>
  <si>
    <t xml:space="preserve">Einschraubverschraubung</t>
  </si>
  <si>
    <t xml:space="preserve">111770</t>
  </si>
  <si>
    <t xml:space="preserve">Manometer</t>
  </si>
  <si>
    <t xml:space="preserve">111762</t>
  </si>
  <si>
    <t xml:space="preserve">005498</t>
  </si>
  <si>
    <t xml:space="preserve">Nylonband mit Klettverschluss</t>
  </si>
  <si>
    <t xml:space="preserve">107996</t>
  </si>
  <si>
    <t xml:space="preserve">Doppelnippel mit Blendenbohrung</t>
  </si>
  <si>
    <t xml:space="preserve">005747</t>
  </si>
  <si>
    <t xml:space="preserve">Hochdruck-Ganzmetallschlauch O2,UK</t>
  </si>
  <si>
    <t xml:space="preserve">108039</t>
  </si>
  <si>
    <t xml:space="preserve">HEAVYCON Anbaugehäuse B6</t>
  </si>
  <si>
    <t xml:space="preserve">108036</t>
  </si>
  <si>
    <t xml:space="preserve">Kontakteinsatzmodul 12 polig</t>
  </si>
  <si>
    <t xml:space="preserve">101568</t>
  </si>
  <si>
    <t xml:space="preserve">100409</t>
  </si>
  <si>
    <t xml:space="preserve">Spülluftblock</t>
  </si>
  <si>
    <t xml:space="preserve">106903</t>
  </si>
  <si>
    <t xml:space="preserve">Joch</t>
  </si>
  <si>
    <t xml:space="preserve">005701</t>
  </si>
  <si>
    <t xml:space="preserve">Leistungsschütz</t>
  </si>
  <si>
    <t xml:space="preserve">103487</t>
  </si>
  <si>
    <t xml:space="preserve">112023</t>
  </si>
  <si>
    <t xml:space="preserve">Entlüftungsrohr</t>
  </si>
  <si>
    <t xml:space="preserve">100419</t>
  </si>
  <si>
    <t xml:space="preserve">Flammschutz</t>
  </si>
  <si>
    <t xml:space="preserve">104210</t>
  </si>
  <si>
    <t xml:space="preserve">Temperatursensor mit Stecker</t>
  </si>
  <si>
    <t xml:space="preserve">109666</t>
  </si>
  <si>
    <t xml:space="preserve">109147</t>
  </si>
  <si>
    <t xml:space="preserve">Druckregler</t>
  </si>
  <si>
    <t xml:space="preserve">106629</t>
  </si>
  <si>
    <t xml:space="preserve">Leiste zu SPGr10</t>
  </si>
  <si>
    <t xml:space="preserve">106313</t>
  </si>
  <si>
    <t xml:space="preserve">Endflansch</t>
  </si>
  <si>
    <t xml:space="preserve">100140</t>
  </si>
  <si>
    <t xml:space="preserve">Glühkerzenhalter</t>
  </si>
  <si>
    <t xml:space="preserve">107994</t>
  </si>
  <si>
    <t xml:space="preserve">111125</t>
  </si>
  <si>
    <t xml:space="preserve">Hohlschraube mit Anschluss</t>
  </si>
  <si>
    <t xml:space="preserve">100159</t>
  </si>
  <si>
    <t xml:space="preserve">Klemmhülse</t>
  </si>
  <si>
    <t xml:space="preserve">110885</t>
  </si>
  <si>
    <t xml:space="preserve">Blende</t>
  </si>
  <si>
    <t xml:space="preserve">108573</t>
  </si>
  <si>
    <t xml:space="preserve">Aufkleber SPGr</t>
  </si>
  <si>
    <t xml:space="preserve">101566</t>
  </si>
  <si>
    <t xml:space="preserve">111987</t>
  </si>
  <si>
    <t xml:space="preserve">Sicherheitsventil 50 bar</t>
  </si>
  <si>
    <t xml:space="preserve">106721</t>
  </si>
  <si>
    <t xml:space="preserve">Glühkerzenhalter SPGr</t>
  </si>
  <si>
    <t xml:space="preserve">100126</t>
  </si>
  <si>
    <t xml:space="preserve">Adapter Edelstahl</t>
  </si>
  <si>
    <t xml:space="preserve">005145</t>
  </si>
  <si>
    <t xml:space="preserve">Relais komplett</t>
  </si>
  <si>
    <t xml:space="preserve">101560</t>
  </si>
  <si>
    <t xml:space="preserve">Aufhängung starr</t>
  </si>
  <si>
    <t xml:space="preserve">104211</t>
  </si>
  <si>
    <t xml:space="preserve">Glühkerzenkabel inkl. Stecker zu VP</t>
  </si>
  <si>
    <t xml:space="preserve">100337</t>
  </si>
  <si>
    <t xml:space="preserve">110204</t>
  </si>
  <si>
    <t xml:space="preserve">Aufsteckringschlüssel</t>
  </si>
  <si>
    <t xml:space="preserve">111959</t>
  </si>
  <si>
    <t xml:space="preserve">T-Verschraubung</t>
  </si>
  <si>
    <t xml:space="preserve">109826</t>
  </si>
  <si>
    <t xml:space="preserve">108571</t>
  </si>
  <si>
    <t xml:space="preserve">Puffer</t>
  </si>
  <si>
    <t xml:space="preserve">100143</t>
  </si>
  <si>
    <t xml:space="preserve">Quetschring</t>
  </si>
  <si>
    <t xml:space="preserve">100335</t>
  </si>
  <si>
    <t xml:space="preserve">106424</t>
  </si>
  <si>
    <t xml:space="preserve">110900</t>
  </si>
  <si>
    <t xml:space="preserve">105950</t>
  </si>
  <si>
    <t xml:space="preserve">Nutmutter</t>
  </si>
  <si>
    <t xml:space="preserve">106917</t>
  </si>
  <si>
    <t xml:space="preserve">Beschriftungsset zu SPGr</t>
  </si>
  <si>
    <t xml:space="preserve">108027</t>
  </si>
  <si>
    <t xml:space="preserve">111961</t>
  </si>
  <si>
    <t xml:space="preserve">005323</t>
  </si>
  <si>
    <t xml:space="preserve">108125</t>
  </si>
  <si>
    <t xml:space="preserve">Neu</t>
  </si>
  <si>
    <t xml:space="preserve">109096</t>
  </si>
  <si>
    <t xml:space="preserve">Steckschlüssel-Adapter</t>
  </si>
  <si>
    <t xml:space="preserve">105389</t>
  </si>
  <si>
    <t xml:space="preserve">110009</t>
  </si>
  <si>
    <t xml:space="preserve">Doppelnippel</t>
  </si>
  <si>
    <t xml:space="preserve">005159</t>
  </si>
  <si>
    <t xml:space="preserve">Gestell mit Fuss</t>
  </si>
  <si>
    <t xml:space="preserve">110093</t>
  </si>
  <si>
    <t xml:space="preserve">LED-Dauerlichtelement</t>
  </si>
  <si>
    <t xml:space="preserve">108034</t>
  </si>
  <si>
    <t xml:space="preserve">Kontakteinsatzmodul 5 polig</t>
  </si>
  <si>
    <t xml:space="preserve">005706</t>
  </si>
  <si>
    <t xml:space="preserve">Schutzkragen</t>
  </si>
  <si>
    <t xml:space="preserve">100417</t>
  </si>
  <si>
    <t xml:space="preserve">110863</t>
  </si>
  <si>
    <t xml:space="preserve">Zwischenflansch Spülluft</t>
  </si>
  <si>
    <t xml:space="preserve">107722</t>
  </si>
  <si>
    <t xml:space="preserve">Stahldrahtseil</t>
  </si>
  <si>
    <t xml:space="preserve">001170</t>
  </si>
  <si>
    <t xml:space="preserve">Holzkiste Austrittsdüse</t>
  </si>
  <si>
    <t xml:space="preserve">112028</t>
  </si>
  <si>
    <t xml:space="preserve">107123</t>
  </si>
  <si>
    <t xml:space="preserve">108035</t>
  </si>
  <si>
    <t xml:space="preserve">Modulträgerrahmen B6</t>
  </si>
  <si>
    <t xml:space="preserve">107413</t>
  </si>
  <si>
    <t xml:space="preserve">Rohr Anschweissstück Øi154</t>
  </si>
  <si>
    <t xml:space="preserve">106877</t>
  </si>
  <si>
    <t xml:space="preserve">Sechskantmutter</t>
  </si>
  <si>
    <t xml:space="preserve">005749</t>
  </si>
  <si>
    <t xml:space="preserve">Hochdruck-Ganzmetallschlauch N2,UK</t>
  </si>
  <si>
    <t xml:space="preserve">005748</t>
  </si>
  <si>
    <t xml:space="preserve">Hochdruck-Ganzmetallschlauch CH4,UK</t>
  </si>
  <si>
    <t xml:space="preserve">111977</t>
  </si>
  <si>
    <t xml:space="preserve">005257</t>
  </si>
  <si>
    <t xml:space="preserve">Stopfen</t>
  </si>
  <si>
    <t xml:space="preserve">105452</t>
  </si>
  <si>
    <t xml:space="preserve">107048</t>
  </si>
  <si>
    <t xml:space="preserve">Werkzeugtasche</t>
  </si>
  <si>
    <t xml:space="preserve">108008</t>
  </si>
  <si>
    <t xml:space="preserve">Klammer</t>
  </si>
  <si>
    <t xml:space="preserve">109634</t>
  </si>
  <si>
    <t xml:space="preserve">Kranbahnprofil GISKB II</t>
  </si>
  <si>
    <t xml:space="preserve">104236</t>
  </si>
  <si>
    <t xml:space="preserve">Dach</t>
  </si>
  <si>
    <t xml:space="preserve">106432</t>
  </si>
  <si>
    <t xml:space="preserve">103492</t>
  </si>
  <si>
    <t xml:space="preserve">Heizpatrone</t>
  </si>
  <si>
    <t xml:space="preserve">100123</t>
  </si>
  <si>
    <t xml:space="preserve">106949</t>
  </si>
  <si>
    <t xml:space="preserve">Busmodul für Safe I/O-Module</t>
  </si>
  <si>
    <t xml:space="preserve">101829</t>
  </si>
  <si>
    <t xml:space="preserve">105244</t>
  </si>
  <si>
    <t xml:space="preserve">Huelse</t>
  </si>
  <si>
    <t xml:space="preserve">108410</t>
  </si>
  <si>
    <t xml:space="preserve">Sechskant-Distanzbolzen</t>
  </si>
  <si>
    <t xml:space="preserve">107196</t>
  </si>
  <si>
    <t xml:space="preserve">100265</t>
  </si>
  <si>
    <t xml:space="preserve">Klappsplint</t>
  </si>
  <si>
    <t xml:space="preserve">112051</t>
  </si>
  <si>
    <t xml:space="preserve">Flaschenanschluss Luft</t>
  </si>
  <si>
    <t xml:space="preserve">103823</t>
  </si>
  <si>
    <t xml:space="preserve">Blinddeckel</t>
  </si>
  <si>
    <t xml:space="preserve">112021</t>
  </si>
  <si>
    <t xml:space="preserve">Montageblech</t>
  </si>
  <si>
    <t xml:space="preserve">110882</t>
  </si>
  <si>
    <t xml:space="preserve">Koffer</t>
  </si>
  <si>
    <t xml:space="preserve">109329</t>
  </si>
  <si>
    <t xml:space="preserve">Traglastkleber 630kg</t>
  </si>
  <si>
    <t xml:space="preserve">005094</t>
  </si>
  <si>
    <t xml:space="preserve">SPS Erweiterungsmodul</t>
  </si>
  <si>
    <t xml:space="preserve">005075</t>
  </si>
  <si>
    <t xml:space="preserve">Hochdruck-Ganzmetallschlauch N2</t>
  </si>
  <si>
    <t xml:space="preserve">101561</t>
  </si>
  <si>
    <t xml:space="preserve">Fahrwerk</t>
  </si>
  <si>
    <t xml:space="preserve">100147</t>
  </si>
  <si>
    <t xml:space="preserve">101253</t>
  </si>
  <si>
    <t xml:space="preserve">Federkonsole</t>
  </si>
  <si>
    <t xml:space="preserve">108818</t>
  </si>
  <si>
    <t xml:space="preserve">Rohrschelle</t>
  </si>
  <si>
    <t xml:space="preserve">110123</t>
  </si>
  <si>
    <t xml:space="preserve">111932</t>
  </si>
  <si>
    <t xml:space="preserve">Aufschraubverschraubung</t>
  </si>
  <si>
    <t xml:space="preserve">106419</t>
  </si>
  <si>
    <t xml:space="preserve">100411</t>
  </si>
  <si>
    <t xml:space="preserve">110887</t>
  </si>
  <si>
    <t xml:space="preserve">107723</t>
  </si>
  <si>
    <t xml:space="preserve">Drahtseillklemme</t>
  </si>
  <si>
    <t xml:space="preserve">106900</t>
  </si>
  <si>
    <t xml:space="preserve">Anschlusselement</t>
  </si>
  <si>
    <t xml:space="preserve">105395</t>
  </si>
  <si>
    <t xml:space="preserve">Flansch</t>
  </si>
  <si>
    <t xml:space="preserve">111897</t>
  </si>
  <si>
    <t xml:space="preserve">Steckverbinder</t>
  </si>
  <si>
    <t xml:space="preserve">110682</t>
  </si>
  <si>
    <t xml:space="preserve">005341</t>
  </si>
  <si>
    <t xml:space="preserve">Montageschlüssel</t>
  </si>
  <si>
    <t xml:space="preserve">107102</t>
  </si>
  <si>
    <t xml:space="preserve">Sechskant Stifteinsatz</t>
  </si>
  <si>
    <t xml:space="preserve">001086</t>
  </si>
  <si>
    <t xml:space="preserve">Loctite 243</t>
  </si>
  <si>
    <t xml:space="preserve">109665</t>
  </si>
  <si>
    <t xml:space="preserve">111991</t>
  </si>
  <si>
    <t xml:space="preserve">108513</t>
  </si>
  <si>
    <t xml:space="preserve">Typenschild Servicetechniker-Set SPGr16</t>
  </si>
  <si>
    <t xml:space="preserve">106470</t>
  </si>
  <si>
    <t xml:space="preserve">Magnetventil komplett</t>
  </si>
  <si>
    <t xml:space="preserve">107358</t>
  </si>
  <si>
    <t xml:space="preserve">Achse</t>
  </si>
  <si>
    <t xml:space="preserve">110095</t>
  </si>
  <si>
    <t xml:space="preserve">Sensor-/Aktor-Kabel</t>
  </si>
  <si>
    <t xml:space="preserve">101639</t>
  </si>
  <si>
    <t xml:space="preserve">107872</t>
  </si>
  <si>
    <t xml:space="preserve">108001</t>
  </si>
  <si>
    <t xml:space="preserve">Ventilatorkabel mit Stecker</t>
  </si>
  <si>
    <t xml:space="preserve">100146</t>
  </si>
  <si>
    <t xml:space="preserve">107585</t>
  </si>
  <si>
    <t xml:space="preserve">Indikator</t>
  </si>
  <si>
    <t xml:space="preserve">100318</t>
  </si>
  <si>
    <t xml:space="preserve">Leitungsdruckregler LT2000</t>
  </si>
  <si>
    <t xml:space="preserve">005459</t>
  </si>
  <si>
    <t xml:space="preserve">Heizung Steuerschrank</t>
  </si>
  <si>
    <t xml:space="preserve">109613</t>
  </si>
  <si>
    <t xml:space="preserve">Adapter Bündelanschluss Druckluft</t>
  </si>
  <si>
    <t xml:space="preserve">107714</t>
  </si>
  <si>
    <t xml:space="preserve">Sechskant Stifteinsatz lang</t>
  </si>
  <si>
    <t xml:space="preserve">107161</t>
  </si>
  <si>
    <t xml:space="preserve">Unterlage SPGr10</t>
  </si>
  <si>
    <t xml:space="preserve">109177</t>
  </si>
  <si>
    <t xml:space="preserve">Adapter Bündelanschluss Brenngas</t>
  </si>
  <si>
    <t xml:space="preserve">100181</t>
  </si>
  <si>
    <t xml:space="preserve">Dummy Glühkerzenhalter</t>
  </si>
  <si>
    <t xml:space="preserve">107694</t>
  </si>
  <si>
    <t xml:space="preserve">Kabellasche</t>
  </si>
  <si>
    <t xml:space="preserve">005407</t>
  </si>
  <si>
    <t xml:space="preserve">Anker zu Magnetventil Parker</t>
  </si>
  <si>
    <t xml:space="preserve">111976</t>
  </si>
  <si>
    <t xml:space="preserve">Einschraub-Schaft Adapter</t>
  </si>
  <si>
    <t xml:space="preserve">109149</t>
  </si>
  <si>
    <t xml:space="preserve">005395</t>
  </si>
  <si>
    <t xml:space="preserve">Putzstock komplett</t>
  </si>
  <si>
    <t xml:space="preserve">108643</t>
  </si>
  <si>
    <t xml:space="preserve">Ventilkabel SPC800 - VP</t>
  </si>
  <si>
    <t xml:space="preserve">104209</t>
  </si>
  <si>
    <t xml:space="preserve">005797</t>
  </si>
  <si>
    <t xml:space="preserve">Rohrverschraubung</t>
  </si>
  <si>
    <t xml:space="preserve">001029</t>
  </si>
  <si>
    <t xml:space="preserve">Kupferpaste</t>
  </si>
  <si>
    <t xml:space="preserve">105913</t>
  </si>
  <si>
    <t xml:space="preserve">005729</t>
  </si>
  <si>
    <t xml:space="preserve">Schiebemutter M6</t>
  </si>
  <si>
    <t xml:space="preserve">005304</t>
  </si>
  <si>
    <t xml:space="preserve">112024</t>
  </si>
  <si>
    <t xml:space="preserve">Schutzblech</t>
  </si>
  <si>
    <t xml:space="preserve">100085</t>
  </si>
  <si>
    <t xml:space="preserve">108431</t>
  </si>
  <si>
    <t xml:space="preserve">Schaumstoff-Rastereinsatz</t>
  </si>
  <si>
    <t xml:space="preserve">107866</t>
  </si>
  <si>
    <t xml:space="preserve">Kolben SPGr16</t>
  </si>
  <si>
    <t xml:space="preserve">005745</t>
  </si>
  <si>
    <t xml:space="preserve">Kabel-Verlängerung mit Stecker</t>
  </si>
  <si>
    <t xml:space="preserve">109757</t>
  </si>
  <si>
    <t xml:space="preserve">Transfer Gehäuse SPGr</t>
  </si>
  <si>
    <t xml:space="preserve">002035</t>
  </si>
  <si>
    <t xml:space="preserve">Flachzange</t>
  </si>
  <si>
    <t xml:space="preserve">111918</t>
  </si>
  <si>
    <t xml:space="preserve">Manometer Aufschraub-Schaft Adapter</t>
  </si>
  <si>
    <t xml:space="preserve">107431</t>
  </si>
  <si>
    <t xml:space="preserve">Drahtseil</t>
  </si>
  <si>
    <t xml:space="preserve">107304</t>
  </si>
  <si>
    <t xml:space="preserve">Silikon Dichtungsmasse</t>
  </si>
  <si>
    <t xml:space="preserve">107729</t>
  </si>
  <si>
    <t xml:space="preserve">111917</t>
  </si>
  <si>
    <t xml:space="preserve">110873</t>
  </si>
  <si>
    <t xml:space="preserve">Schlauch</t>
  </si>
  <si>
    <t xml:space="preserve">111469</t>
  </si>
  <si>
    <t xml:space="preserve">Patch-Panel</t>
  </si>
  <si>
    <t xml:space="preserve">106957</t>
  </si>
  <si>
    <t xml:space="preserve">Einspeisemodul für X2X Link</t>
  </si>
  <si>
    <t xml:space="preserve">106856</t>
  </si>
  <si>
    <t xml:space="preserve">Leiste</t>
  </si>
  <si>
    <t xml:space="preserve">106454</t>
  </si>
  <si>
    <t xml:space="preserve">Sinterfilter</t>
  </si>
  <si>
    <t xml:space="preserve">111960</t>
  </si>
  <si>
    <t xml:space="preserve">100800</t>
  </si>
  <si>
    <t xml:space="preserve">101636</t>
  </si>
  <si>
    <t xml:space="preserve">Verschlusskappe</t>
  </si>
  <si>
    <t xml:space="preserve">005320</t>
  </si>
  <si>
    <t xml:space="preserve">Spezial Inbusschlüsseleinsatz</t>
  </si>
  <si>
    <t xml:space="preserve">106386</t>
  </si>
  <si>
    <t xml:space="preserve">Glühkerzen-Dummy</t>
  </si>
  <si>
    <t xml:space="preserve">005686</t>
  </si>
  <si>
    <t xml:space="preserve">Schaltschrank Etikette</t>
  </si>
  <si>
    <t xml:space="preserve">107863</t>
  </si>
  <si>
    <t xml:space="preserve">111969</t>
  </si>
  <si>
    <t xml:space="preserve">101559</t>
  </si>
  <si>
    <t xml:space="preserve">Deckel</t>
  </si>
  <si>
    <t xml:space="preserve">005713</t>
  </si>
  <si>
    <t xml:space="preserve">Etikette EG10 Rückschlagventil Patrone</t>
  </si>
  <si>
    <t xml:space="preserve">001030</t>
  </si>
  <si>
    <t xml:space="preserve">Loctite 542</t>
  </si>
  <si>
    <t xml:space="preserve">108804</t>
  </si>
  <si>
    <t xml:space="preserve">Ersatzfilterpatrone</t>
  </si>
  <si>
    <t xml:space="preserve">102867</t>
  </si>
  <si>
    <t xml:space="preserve">005700</t>
  </si>
  <si>
    <t xml:space="preserve">Relaiskoppler</t>
  </si>
  <si>
    <t xml:space="preserve">108481</t>
  </si>
  <si>
    <t xml:space="preserve">111919</t>
  </si>
  <si>
    <t xml:space="preserve">001197</t>
  </si>
  <si>
    <t xml:space="preserve">VCI Klebeband</t>
  </si>
  <si>
    <t xml:space="preserve">107583</t>
  </si>
  <si>
    <t xml:space="preserve">106090</t>
  </si>
  <si>
    <t xml:space="preserve">002009</t>
  </si>
  <si>
    <t xml:space="preserve">Nylonhammer</t>
  </si>
  <si>
    <t xml:space="preserve">110026</t>
  </si>
  <si>
    <t xml:space="preserve">selbstklebende Dokumententasche</t>
  </si>
  <si>
    <t xml:space="preserve">109987</t>
  </si>
  <si>
    <t xml:space="preserve">Hauptschalter</t>
  </si>
  <si>
    <t xml:space="preserve">111913</t>
  </si>
  <si>
    <t xml:space="preserve">Kontakteinsatz</t>
  </si>
  <si>
    <t xml:space="preserve">107050</t>
  </si>
  <si>
    <t xml:space="preserve">Inbusschlüssel lang</t>
  </si>
  <si>
    <t xml:space="preserve">001116</t>
  </si>
  <si>
    <t xml:space="preserve">Putzpapier Ecoline</t>
  </si>
  <si>
    <t xml:space="preserve">VERB-P</t>
  </si>
  <si>
    <t xml:space="preserve">001175</t>
  </si>
  <si>
    <t xml:space="preserve">Abdeckklebeband</t>
  </si>
  <si>
    <t xml:space="preserve">111978</t>
  </si>
  <si>
    <t xml:space="preserve">001130</t>
  </si>
  <si>
    <t xml:space="preserve">Holzschraube</t>
  </si>
  <si>
    <t xml:space="preserve">109175</t>
  </si>
  <si>
    <t xml:space="preserve">Adapter Bündelanschluss Stickstoff</t>
  </si>
  <si>
    <t xml:space="preserve">108727</t>
  </si>
  <si>
    <t xml:space="preserve">Schutzdeckel</t>
  </si>
  <si>
    <t xml:space="preserve">109369</t>
  </si>
  <si>
    <t xml:space="preserve">Adapter</t>
  </si>
  <si>
    <t xml:space="preserve">103439</t>
  </si>
  <si>
    <t xml:space="preserve">100408</t>
  </si>
  <si>
    <t xml:space="preserve">Konsole</t>
  </si>
  <si>
    <t xml:space="preserve">100789</t>
  </si>
  <si>
    <t xml:space="preserve">001169</t>
  </si>
  <si>
    <t xml:space="preserve">Handreiniger N-Super</t>
  </si>
  <si>
    <t xml:space="preserve">100415</t>
  </si>
  <si>
    <t xml:space="preserve">108041</t>
  </si>
  <si>
    <t xml:space="preserve">106899</t>
  </si>
  <si>
    <t xml:space="preserve">Montagewinkel</t>
  </si>
  <si>
    <t xml:space="preserve">100148</t>
  </si>
  <si>
    <t xml:space="preserve">111909</t>
  </si>
  <si>
    <t xml:space="preserve">109282</t>
  </si>
  <si>
    <t xml:space="preserve">Verpackung Servicepaket LKE SVC11</t>
  </si>
  <si>
    <t xml:space="preserve">109178</t>
  </si>
  <si>
    <t xml:space="preserve">111903</t>
  </si>
  <si>
    <t xml:space="preserve">107957</t>
  </si>
  <si>
    <t xml:space="preserve">Hakenschlüssel Spezial</t>
  </si>
  <si>
    <t xml:space="preserve">110876</t>
  </si>
  <si>
    <t xml:space="preserve">Muffe</t>
  </si>
  <si>
    <t xml:space="preserve">107232</t>
  </si>
  <si>
    <t xml:space="preserve">Schraubenzieher-Satz</t>
  </si>
  <si>
    <t xml:space="preserve">101121</t>
  </si>
  <si>
    <t xml:space="preserve">005387</t>
  </si>
  <si>
    <t xml:space="preserve">Übergangsteil</t>
  </si>
  <si>
    <t xml:space="preserve">108366</t>
  </si>
  <si>
    <t xml:space="preserve">Stellfuss mit Dämpfer</t>
  </si>
  <si>
    <t xml:space="preserve">103375</t>
  </si>
  <si>
    <t xml:space="preserve">103103</t>
  </si>
  <si>
    <t xml:space="preserve">107052</t>
  </si>
  <si>
    <t xml:space="preserve">Steckschlüsseleinsatz</t>
  </si>
  <si>
    <t xml:space="preserve">005227</t>
  </si>
  <si>
    <t xml:space="preserve">Pressverbinder isoliert blau</t>
  </si>
  <si>
    <t xml:space="preserve">Handlager</t>
  </si>
  <si>
    <t xml:space="preserve">105773</t>
  </si>
  <si>
    <t xml:space="preserve">109097</t>
  </si>
  <si>
    <t xml:space="preserve">Kleber A-Mass</t>
  </si>
  <si>
    <t xml:space="preserve">107302</t>
  </si>
  <si>
    <t xml:space="preserve">Ringschlüssel</t>
  </si>
  <si>
    <t xml:space="preserve">002041</t>
  </si>
  <si>
    <t xml:space="preserve">Kunststoff-Schutznetze orange</t>
  </si>
  <si>
    <t xml:space="preserve">105861</t>
  </si>
  <si>
    <t xml:space="preserve">111914</t>
  </si>
  <si>
    <t xml:space="preserve">Kupplungsgehäuse</t>
  </si>
  <si>
    <t xml:space="preserve">109327</t>
  </si>
  <si>
    <t xml:space="preserve">Kegelpfanne</t>
  </si>
  <si>
    <t xml:space="preserve">108032</t>
  </si>
  <si>
    <t xml:space="preserve">Anbauflansch - HC-B-AF</t>
  </si>
  <si>
    <t xml:space="preserve">005705</t>
  </si>
  <si>
    <t xml:space="preserve">Not-Halt-Pilzdrucktaster</t>
  </si>
  <si>
    <t xml:space="preserve">107306</t>
  </si>
  <si>
    <t xml:space="preserve">Montagepaste</t>
  </si>
  <si>
    <t xml:space="preserve">106276</t>
  </si>
  <si>
    <t xml:space="preserve">109160</t>
  </si>
  <si>
    <t xml:space="preserve">107721</t>
  </si>
  <si>
    <t xml:space="preserve">Karabiner</t>
  </si>
  <si>
    <t xml:space="preserve">109437</t>
  </si>
  <si>
    <t xml:space="preserve">107359</t>
  </si>
  <si>
    <t xml:space="preserve">107540</t>
  </si>
  <si>
    <t xml:space="preserve">Begleitschreiben, SPGr10</t>
  </si>
  <si>
    <t xml:space="preserve">005242</t>
  </si>
  <si>
    <t xml:space="preserve">SPS Analog-Eingangsmodul</t>
  </si>
  <si>
    <t xml:space="preserve">102012</t>
  </si>
  <si>
    <t xml:space="preserve">105575</t>
  </si>
  <si>
    <t xml:space="preserve">Wasserfester Filzstift</t>
  </si>
  <si>
    <t xml:space="preserve">107060</t>
  </si>
  <si>
    <t xml:space="preserve">Ringmagnet</t>
  </si>
  <si>
    <t xml:space="preserve">110683</t>
  </si>
  <si>
    <t xml:space="preserve">105862</t>
  </si>
  <si>
    <t xml:space="preserve">106244</t>
  </si>
  <si>
    <t xml:space="preserve">005397</t>
  </si>
  <si>
    <t xml:space="preserve">Putzlappen</t>
  </si>
  <si>
    <t xml:space="preserve">110096</t>
  </si>
  <si>
    <t xml:space="preserve">107104</t>
  </si>
  <si>
    <t xml:space="preserve">001043</t>
  </si>
  <si>
    <t xml:space="preserve">Verschlussbeutel klein</t>
  </si>
  <si>
    <t xml:space="preserve">103253</t>
  </si>
  <si>
    <t xml:space="preserve">Abpresszapfen</t>
  </si>
  <si>
    <t xml:space="preserve">001125</t>
  </si>
  <si>
    <t xml:space="preserve">Holzkiste Steuerschrank klein / Gestell</t>
  </si>
  <si>
    <t xml:space="preserve">002022</t>
  </si>
  <si>
    <t xml:space="preserve">Schlosserhammer</t>
  </si>
  <si>
    <t xml:space="preserve">VM00013</t>
  </si>
  <si>
    <t xml:space="preserve">P-touch Beschriftungsband TZE-641</t>
  </si>
  <si>
    <t xml:space="preserve">111912</t>
  </si>
  <si>
    <t xml:space="preserve">Kabelverschraubung</t>
  </si>
  <si>
    <t xml:space="preserve">102442</t>
  </si>
  <si>
    <t xml:space="preserve">Unterlagsscheibe</t>
  </si>
  <si>
    <t xml:space="preserve">108120</t>
  </si>
  <si>
    <t xml:space="preserve">Wartungskleber AC260</t>
  </si>
  <si>
    <t xml:space="preserve">005656</t>
  </si>
  <si>
    <t xml:space="preserve">Pop-Niete</t>
  </si>
  <si>
    <t xml:space="preserve">106989</t>
  </si>
  <si>
    <t xml:space="preserve">Austrittsfilter</t>
  </si>
  <si>
    <t xml:space="preserve">001118</t>
  </si>
  <si>
    <t xml:space="preserve">Destilliertes Wasser 20L</t>
  </si>
  <si>
    <t xml:space="preserve">109435</t>
  </si>
  <si>
    <t xml:space="preserve">107880</t>
  </si>
  <si>
    <t xml:space="preserve">108026</t>
  </si>
  <si>
    <t xml:space="preserve">105348</t>
  </si>
  <si>
    <t xml:space="preserve">100185</t>
  </si>
  <si>
    <t xml:space="preserve">Zylinderstift</t>
  </si>
  <si>
    <t xml:space="preserve">005699</t>
  </si>
  <si>
    <t xml:space="preserve">Leuchtmelder</t>
  </si>
  <si>
    <t xml:space="preserve">108204</t>
  </si>
  <si>
    <t xml:space="preserve">111031</t>
  </si>
  <si>
    <t xml:space="preserve">110883</t>
  </si>
  <si>
    <t xml:space="preserve">109061</t>
  </si>
  <si>
    <t xml:space="preserve">Adapterplatte 2. Spülluftmodul</t>
  </si>
  <si>
    <t xml:space="preserve">107160</t>
  </si>
  <si>
    <t xml:space="preserve">Unterlage SPGr16</t>
  </si>
  <si>
    <t xml:space="preserve">001033</t>
  </si>
  <si>
    <t xml:space="preserve">WD-40</t>
  </si>
  <si>
    <t xml:space="preserve">liegend gelagert</t>
  </si>
  <si>
    <t xml:space="preserve">108018</t>
  </si>
  <si>
    <t xml:space="preserve">Adapter Messing vernickelt</t>
  </si>
  <si>
    <t xml:space="preserve">002049</t>
  </si>
  <si>
    <t xml:space="preserve">Füllmaterial flo-pak</t>
  </si>
  <si>
    <t xml:space="preserve">001142</t>
  </si>
  <si>
    <t xml:space="preserve">UV-beständiger Verschlussbeutel klein</t>
  </si>
  <si>
    <t xml:space="preserve">002028</t>
  </si>
  <si>
    <t xml:space="preserve">Rollgabelschlüssel</t>
  </si>
  <si>
    <t xml:space="preserve">107244</t>
  </si>
  <si>
    <t xml:space="preserve">111907</t>
  </si>
  <si>
    <t xml:space="preserve">100413</t>
  </si>
  <si>
    <t xml:space="preserve">107126</t>
  </si>
  <si>
    <t xml:space="preserve">005676</t>
  </si>
  <si>
    <t xml:space="preserve">Industrie SD-Karte</t>
  </si>
  <si>
    <t xml:space="preserve">001031</t>
  </si>
  <si>
    <t xml:space="preserve">Lecksuchspray</t>
  </si>
  <si>
    <t xml:space="preserve">VM00012</t>
  </si>
  <si>
    <t xml:space="preserve">P-touch Beschriftungsband TZE-621</t>
  </si>
  <si>
    <t xml:space="preserve">110819</t>
  </si>
  <si>
    <t xml:space="preserve">A-BEZ</t>
  </si>
  <si>
    <t xml:space="preserve">001129</t>
  </si>
  <si>
    <t xml:space="preserve">106990</t>
  </si>
  <si>
    <t xml:space="preserve">Dichtung</t>
  </si>
  <si>
    <t xml:space="preserve">005121</t>
  </si>
  <si>
    <t xml:space="preserve">Sicherungs-Automat SC 1x16+N</t>
  </si>
  <si>
    <t xml:space="preserve">104391</t>
  </si>
  <si>
    <t xml:space="preserve">Tüllengehäuse D7</t>
  </si>
  <si>
    <t xml:space="preserve">106941</t>
  </si>
  <si>
    <t xml:space="preserve">Einspeisebusmodul</t>
  </si>
  <si>
    <t xml:space="preserve">005133</t>
  </si>
  <si>
    <t xml:space="preserve">SPS Stromversorgung 24VDC / 2.5A</t>
  </si>
  <si>
    <t xml:space="preserve">107109</t>
  </si>
  <si>
    <t xml:space="preserve">106968</t>
  </si>
  <si>
    <t xml:space="preserve">Feldklemme</t>
  </si>
  <si>
    <t xml:space="preserve">110022</t>
  </si>
  <si>
    <t xml:space="preserve">105306</t>
  </si>
  <si>
    <t xml:space="preserve">005203</t>
  </si>
  <si>
    <t xml:space="preserve">Druckregelstrecke CH4</t>
  </si>
  <si>
    <t xml:space="preserve">001041</t>
  </si>
  <si>
    <t xml:space="preserve">Verschlussbeutel mittel</t>
  </si>
  <si>
    <t xml:space="preserve">001131</t>
  </si>
  <si>
    <t xml:space="preserve">101003</t>
  </si>
  <si>
    <t xml:space="preserve">101539</t>
  </si>
  <si>
    <t xml:space="preserve">109283</t>
  </si>
  <si>
    <t xml:space="preserve">Verpackung Servicepaket LKE SVC12</t>
  </si>
  <si>
    <t xml:space="preserve">001195</t>
  </si>
  <si>
    <t xml:space="preserve">Abdrückschraube</t>
  </si>
  <si>
    <t xml:space="preserve">001113</t>
  </si>
  <si>
    <t xml:space="preserve">Faltrahmen</t>
  </si>
  <si>
    <t xml:space="preserve">103486</t>
  </si>
  <si>
    <t xml:space="preserve">Schild EP</t>
  </si>
  <si>
    <t xml:space="preserve">108943</t>
  </si>
  <si>
    <t xml:space="preserve">001158</t>
  </si>
  <si>
    <t xml:space="preserve">Industrie Etikett PVC, weiss 100x45mm</t>
  </si>
  <si>
    <t xml:space="preserve">Verb.Lager</t>
  </si>
  <si>
    <t xml:space="preserve">108698</t>
  </si>
  <si>
    <t xml:space="preserve">Schwenkstutzen</t>
  </si>
  <si>
    <t xml:space="preserve">005140</t>
  </si>
  <si>
    <t xml:space="preserve">Leuchtdrucktaster</t>
  </si>
  <si>
    <t xml:space="preserve">001153</t>
  </si>
  <si>
    <t xml:space="preserve">Kabelbinder transparent (weiss)</t>
  </si>
  <si>
    <t xml:space="preserve">106136</t>
  </si>
  <si>
    <t xml:space="preserve">107134</t>
  </si>
  <si>
    <t xml:space="preserve">Führungsbüchse</t>
  </si>
  <si>
    <t xml:space="preserve">108069</t>
  </si>
  <si>
    <t xml:space="preserve">Sicherheitsventil 1. Stufe AC260</t>
  </si>
  <si>
    <t xml:space="preserve">109481</t>
  </si>
  <si>
    <t xml:space="preserve">108030</t>
  </si>
  <si>
    <t xml:space="preserve">111768</t>
  </si>
  <si>
    <t xml:space="preserve">100040</t>
  </si>
  <si>
    <t xml:space="preserve">106115</t>
  </si>
  <si>
    <t xml:space="preserve">005632</t>
  </si>
  <si>
    <t xml:space="preserve">Schaltschrank-Schlüssel</t>
  </si>
  <si>
    <t xml:space="preserve">110649</t>
  </si>
  <si>
    <t xml:space="preserve">106907</t>
  </si>
  <si>
    <t xml:space="preserve">Basis Busmodul</t>
  </si>
  <si>
    <t xml:space="preserve">109174</t>
  </si>
  <si>
    <t xml:space="preserve">002072</t>
  </si>
  <si>
    <t xml:space="preserve">Nylon-Strickhandschuh</t>
  </si>
  <si>
    <t xml:space="preserve">110869</t>
  </si>
  <si>
    <t xml:space="preserve">002065</t>
  </si>
  <si>
    <t xml:space="preserve">Batterie AA</t>
  </si>
  <si>
    <t xml:space="preserve">110955</t>
  </si>
  <si>
    <t xml:space="preserve">Stiftschraube</t>
  </si>
  <si>
    <t xml:space="preserve">100402</t>
  </si>
  <si>
    <t xml:space="preserve">Rohrleitung</t>
  </si>
  <si>
    <t xml:space="preserve">108368</t>
  </si>
  <si>
    <t xml:space="preserve">Lenkrolle mit Feststeller</t>
  </si>
  <si>
    <t xml:space="preserve">107234</t>
  </si>
  <si>
    <t xml:space="preserve">Klingenmesser</t>
  </si>
  <si>
    <t xml:space="preserve">108044</t>
  </si>
  <si>
    <t xml:space="preserve">111992</t>
  </si>
  <si>
    <t xml:space="preserve">Aufkleber Gehörschutzsymbol</t>
  </si>
  <si>
    <t xml:space="preserve">107701</t>
  </si>
  <si>
    <t xml:space="preserve">Ringeinsatz</t>
  </si>
  <si>
    <t xml:space="preserve">111916</t>
  </si>
  <si>
    <t xml:space="preserve">002048</t>
  </si>
  <si>
    <t xml:space="preserve">Metallsägeband</t>
  </si>
  <si>
    <t xml:space="preserve">110130</t>
  </si>
  <si>
    <t xml:space="preserve">005633</t>
  </si>
  <si>
    <t xml:space="preserve">Schiebemutter M8</t>
  </si>
  <si>
    <t xml:space="preserve">005451</t>
  </si>
  <si>
    <t xml:space="preserve">Aderendhülse isoliert pink</t>
  </si>
  <si>
    <t xml:space="preserve">111908</t>
  </si>
  <si>
    <t xml:space="preserve">Reduzieradapter</t>
  </si>
  <si>
    <t xml:space="preserve">106746</t>
  </si>
  <si>
    <t xml:space="preserve">107661</t>
  </si>
  <si>
    <t xml:space="preserve">Etikette Ölwechsel</t>
  </si>
  <si>
    <t xml:space="preserve">103765</t>
  </si>
  <si>
    <t xml:space="preserve">103266</t>
  </si>
  <si>
    <t xml:space="preserve">107198</t>
  </si>
  <si>
    <t xml:space="preserve">Abdeckung</t>
  </si>
  <si>
    <t xml:space="preserve">001152</t>
  </si>
  <si>
    <t xml:space="preserve">110867</t>
  </si>
  <si>
    <t xml:space="preserve">L-Adapter</t>
  </si>
  <si>
    <t xml:space="preserve">002008</t>
  </si>
  <si>
    <t xml:space="preserve">Schraubenzieher flach</t>
  </si>
  <si>
    <t xml:space="preserve">104265</t>
  </si>
  <si>
    <t xml:space="preserve">110871</t>
  </si>
  <si>
    <t xml:space="preserve">Winkelverschraubung</t>
  </si>
  <si>
    <t xml:space="preserve">001132</t>
  </si>
  <si>
    <t xml:space="preserve">107715</t>
  </si>
  <si>
    <t xml:space="preserve">106947</t>
  </si>
  <si>
    <t xml:space="preserve">Busmodul für X20 SafeIO Module</t>
  </si>
  <si>
    <t xml:space="preserve">100175</t>
  </si>
  <si>
    <t xml:space="preserve">005709</t>
  </si>
  <si>
    <t xml:space="preserve">Thermischer Geräteschutzschalter</t>
  </si>
  <si>
    <t xml:space="preserve">108272</t>
  </si>
  <si>
    <t xml:space="preserve">Etikette Ölwechsel AC215</t>
  </si>
  <si>
    <t xml:space="preserve">001139</t>
  </si>
  <si>
    <t xml:space="preserve">Klammern Typ G</t>
  </si>
  <si>
    <t xml:space="preserve">108346</t>
  </si>
  <si>
    <t xml:space="preserve">Blech zu PAM Verteilerbox</t>
  </si>
  <si>
    <t xml:space="preserve">110311</t>
  </si>
  <si>
    <t xml:space="preserve">107399</t>
  </si>
  <si>
    <t xml:space="preserve">Ventilkabel Luft</t>
  </si>
  <si>
    <t xml:space="preserve">105850</t>
  </si>
  <si>
    <t xml:space="preserve">Dummy Ersatz</t>
  </si>
  <si>
    <t xml:space="preserve">100266</t>
  </si>
  <si>
    <t xml:space="preserve">111239</t>
  </si>
  <si>
    <t xml:space="preserve">105989</t>
  </si>
  <si>
    <t xml:space="preserve">005710</t>
  </si>
  <si>
    <t xml:space="preserve">Steuerschalter</t>
  </si>
  <si>
    <t xml:space="preserve">101496</t>
  </si>
  <si>
    <t xml:space="preserve">005622</t>
  </si>
  <si>
    <t xml:space="preserve">Kantenschutzband schwarz</t>
  </si>
  <si>
    <t xml:space="preserve">001194</t>
  </si>
  <si>
    <t xml:space="preserve">PVC Klebeband</t>
  </si>
  <si>
    <t xml:space="preserve">105349</t>
  </si>
  <si>
    <t xml:space="preserve">109752</t>
  </si>
  <si>
    <t xml:space="preserve">110286</t>
  </si>
  <si>
    <t xml:space="preserve">Pinsel gross</t>
  </si>
  <si>
    <t xml:space="preserve">110771</t>
  </si>
  <si>
    <t xml:space="preserve">111224</t>
  </si>
  <si>
    <t xml:space="preserve">Korrosionsschutzmittel</t>
  </si>
  <si>
    <t xml:space="preserve">111090</t>
  </si>
  <si>
    <t xml:space="preserve">100044</t>
  </si>
  <si>
    <t xml:space="preserve">005500</t>
  </si>
  <si>
    <t xml:space="preserve">Einphasen-Sicherheitstrafo</t>
  </si>
  <si>
    <t xml:space="preserve">005642</t>
  </si>
  <si>
    <t xml:space="preserve">Netzwerkkabel</t>
  </si>
  <si>
    <t xml:space="preserve">107213</t>
  </si>
  <si>
    <t xml:space="preserve">100286</t>
  </si>
  <si>
    <t xml:space="preserve">105341</t>
  </si>
  <si>
    <t xml:space="preserve">111650</t>
  </si>
  <si>
    <t xml:space="preserve">Körner</t>
  </si>
  <si>
    <t xml:space="preserve">111728</t>
  </si>
  <si>
    <t xml:space="preserve">Kardangelenk</t>
  </si>
  <si>
    <t xml:space="preserve">110879</t>
  </si>
  <si>
    <t xml:space="preserve">Prüfadapter</t>
  </si>
  <si>
    <t xml:space="preserve">111729</t>
  </si>
  <si>
    <t xml:space="preserve">Scotch-Brite Handpad</t>
  </si>
  <si>
    <t xml:space="preserve">005389</t>
  </si>
  <si>
    <t xml:space="preserve">108149</t>
  </si>
  <si>
    <t xml:space="preserve">100642</t>
  </si>
  <si>
    <t xml:space="preserve">Winkelverschraubung Edelstahl</t>
  </si>
  <si>
    <t xml:space="preserve">110821</t>
  </si>
  <si>
    <t xml:space="preserve">100903</t>
  </si>
  <si>
    <t xml:space="preserve">001200</t>
  </si>
  <si>
    <t xml:space="preserve">Luftpolsterfolie</t>
  </si>
  <si>
    <t xml:space="preserve">VM00014</t>
  </si>
  <si>
    <t xml:space="preserve">Versand-Etiketten</t>
  </si>
  <si>
    <t xml:space="preserve">106451</t>
  </si>
  <si>
    <t xml:space="preserve">109952</t>
  </si>
  <si>
    <t xml:space="preserve">Klemmenblock X6.2</t>
  </si>
  <si>
    <t xml:space="preserve">106742</t>
  </si>
  <si>
    <t xml:space="preserve">Ventilkabel</t>
  </si>
  <si>
    <t xml:space="preserve">106703</t>
  </si>
  <si>
    <t xml:space="preserve">002032</t>
  </si>
  <si>
    <t xml:space="preserve">Ringgabelschlüssel</t>
  </si>
  <si>
    <t xml:space="preserve">005597</t>
  </si>
  <si>
    <t xml:space="preserve">Schraubkappe</t>
  </si>
  <si>
    <t xml:space="preserve">109179</t>
  </si>
  <si>
    <t xml:space="preserve">107312</t>
  </si>
  <si>
    <t xml:space="preserve">Begleitschreiben</t>
  </si>
  <si>
    <t xml:space="preserve">107301</t>
  </si>
  <si>
    <t xml:space="preserve">Ventilkopfschlüssel</t>
  </si>
  <si>
    <t xml:space="preserve">110870</t>
  </si>
  <si>
    <t xml:space="preserve">005393</t>
  </si>
  <si>
    <t xml:space="preserve">005396</t>
  </si>
  <si>
    <t xml:space="preserve">Verlängerungsrohr</t>
  </si>
  <si>
    <t xml:space="preserve">108025</t>
  </si>
  <si>
    <t xml:space="preserve">005462</t>
  </si>
  <si>
    <t xml:space="preserve">101453</t>
  </si>
  <si>
    <t xml:space="preserve">106291</t>
  </si>
  <si>
    <t xml:space="preserve">109180</t>
  </si>
  <si>
    <t xml:space="preserve">111057</t>
  </si>
  <si>
    <t xml:space="preserve">Stossverbinder</t>
  </si>
  <si>
    <t xml:space="preserve">108413</t>
  </si>
  <si>
    <t xml:space="preserve">Box für Kleinmaterial</t>
  </si>
  <si>
    <t xml:space="preserve">005437</t>
  </si>
  <si>
    <t xml:space="preserve">Halteschrauben zu Filterhülse</t>
  </si>
  <si>
    <t xml:space="preserve">005228</t>
  </si>
  <si>
    <t xml:space="preserve">Presskabelschuh blau</t>
  </si>
  <si>
    <t xml:space="preserve">110872</t>
  </si>
  <si>
    <t xml:space="preserve">106617</t>
  </si>
  <si>
    <t xml:space="preserve">107113</t>
  </si>
  <si>
    <t xml:space="preserve">Teflonband</t>
  </si>
  <si>
    <t xml:space="preserve">005439</t>
  </si>
  <si>
    <t xml:space="preserve">Halteschrauben zu Filterscheiben</t>
  </si>
  <si>
    <t xml:space="preserve">100089</t>
  </si>
  <si>
    <t xml:space="preserve">005635</t>
  </si>
  <si>
    <t xml:space="preserve">108143</t>
  </si>
  <si>
    <t xml:space="preserve">106095</t>
  </si>
  <si>
    <t xml:space="preserve">106491</t>
  </si>
  <si>
    <t xml:space="preserve">107664</t>
  </si>
  <si>
    <t xml:space="preserve">107667</t>
  </si>
  <si>
    <t xml:space="preserve">103753</t>
  </si>
  <si>
    <t xml:space="preserve">100157</t>
  </si>
  <si>
    <t xml:space="preserve">Halbrund-Kerbnagel</t>
  </si>
  <si>
    <t xml:space="preserve">111730</t>
  </si>
  <si>
    <t xml:space="preserve">Gurtrohrzange</t>
  </si>
  <si>
    <t xml:space="preserve">005453</t>
  </si>
  <si>
    <t xml:space="preserve">Aderendhülse ohne Isolation</t>
  </si>
  <si>
    <t xml:space="preserve">005762</t>
  </si>
  <si>
    <t xml:space="preserve">Zugfederklemme</t>
  </si>
  <si>
    <t xml:space="preserve">107538</t>
  </si>
  <si>
    <t xml:space="preserve">005456</t>
  </si>
  <si>
    <t xml:space="preserve">Aderendhülse isoliert rot</t>
  </si>
  <si>
    <t xml:space="preserve">102438</t>
  </si>
  <si>
    <t xml:space="preserve">111723</t>
  </si>
  <si>
    <t xml:space="preserve">Verlaengerung</t>
  </si>
  <si>
    <t xml:space="preserve">111646</t>
  </si>
  <si>
    <t xml:space="preserve">110868</t>
  </si>
  <si>
    <t xml:space="preserve">108040</t>
  </si>
  <si>
    <t xml:space="preserve">110889</t>
  </si>
  <si>
    <t xml:space="preserve">Flachdichtring</t>
  </si>
  <si>
    <t xml:space="preserve">105339</t>
  </si>
  <si>
    <t xml:space="preserve">108642</t>
  </si>
  <si>
    <t xml:space="preserve">Sensor-/Aktor -Kabel</t>
  </si>
  <si>
    <t xml:space="preserve">100896</t>
  </si>
  <si>
    <t xml:space="preserve">111647</t>
  </si>
  <si>
    <t xml:space="preserve">107543</t>
  </si>
  <si>
    <t xml:space="preserve">108498</t>
  </si>
  <si>
    <t xml:space="preserve">100385</t>
  </si>
  <si>
    <t xml:space="preserve">111240</t>
  </si>
  <si>
    <t xml:space="preserve">002026</t>
  </si>
  <si>
    <t xml:space="preserve">Schraubenzieher</t>
  </si>
  <si>
    <t xml:space="preserve">005255</t>
  </si>
  <si>
    <t xml:space="preserve">100263</t>
  </si>
  <si>
    <t xml:space="preserve">Gewindestift</t>
  </si>
  <si>
    <t xml:space="preserve">001156</t>
  </si>
  <si>
    <t xml:space="preserve">Kabelbinder schwarz</t>
  </si>
  <si>
    <t xml:space="preserve">107313</t>
  </si>
  <si>
    <t xml:space="preserve">111648</t>
  </si>
  <si>
    <t xml:space="preserve">106478</t>
  </si>
  <si>
    <t xml:space="preserve">106969</t>
  </si>
  <si>
    <t xml:space="preserve">001143</t>
  </si>
  <si>
    <t xml:space="preserve">UV-beständiger Verschlussbeutel mittel</t>
  </si>
  <si>
    <t xml:space="preserve">005708</t>
  </si>
  <si>
    <t xml:space="preserve">Kontaktmodul</t>
  </si>
  <si>
    <t xml:space="preserve">110985</t>
  </si>
  <si>
    <t xml:space="preserve">106999</t>
  </si>
  <si>
    <t xml:space="preserve">Leuchtmelder Kunststoff, weiss</t>
  </si>
  <si>
    <t xml:space="preserve">überbestand</t>
  </si>
  <si>
    <t xml:space="preserve">102445</t>
  </si>
  <si>
    <t xml:space="preserve">005261</t>
  </si>
  <si>
    <t xml:space="preserve">108047</t>
  </si>
  <si>
    <t xml:space="preserve">Halbrundkopfschraube mit Innensechskant</t>
  </si>
  <si>
    <t xml:space="preserve">100172</t>
  </si>
  <si>
    <t xml:space="preserve">005761</t>
  </si>
  <si>
    <t xml:space="preserve">102437</t>
  </si>
  <si>
    <t xml:space="preserve">110966</t>
  </si>
  <si>
    <t xml:space="preserve">Batterie</t>
  </si>
  <si>
    <t xml:space="preserve">108568</t>
  </si>
  <si>
    <t xml:space="preserve">102436</t>
  </si>
  <si>
    <t xml:space="preserve">Etikett</t>
  </si>
  <si>
    <t xml:space="preserve">108269</t>
  </si>
  <si>
    <t xml:space="preserve">Wartungskleber AC200</t>
  </si>
  <si>
    <t xml:space="preserve">110815</t>
  </si>
  <si>
    <t xml:space="preserve">Senkschraube mit Innensechskant</t>
  </si>
  <si>
    <t xml:space="preserve">101657</t>
  </si>
  <si>
    <t xml:space="preserve">Überwurfmutter</t>
  </si>
  <si>
    <t xml:space="preserve">101449</t>
  </si>
  <si>
    <t xml:space="preserve">Twin; grosse  Artikelmenge</t>
  </si>
  <si>
    <t xml:space="preserve">105882</t>
  </si>
  <si>
    <t xml:space="preserve">110127</t>
  </si>
  <si>
    <t xml:space="preserve">Beiblatt</t>
  </si>
  <si>
    <t xml:space="preserve">110820</t>
  </si>
  <si>
    <t xml:space="preserve">111470</t>
  </si>
  <si>
    <t xml:space="preserve">Patchkabel</t>
  </si>
  <si>
    <t xml:space="preserve">005637</t>
  </si>
  <si>
    <t xml:space="preserve">001133</t>
  </si>
  <si>
    <t xml:space="preserve">Schraubendreher Einsatz SPAX T-Plus</t>
  </si>
  <si>
    <t xml:space="preserve">101656</t>
  </si>
  <si>
    <t xml:space="preserve">Schlauchnippel</t>
  </si>
  <si>
    <t xml:space="preserve">105881</t>
  </si>
  <si>
    <t xml:space="preserve">110970</t>
  </si>
  <si>
    <t xml:space="preserve">101646</t>
  </si>
  <si>
    <t xml:space="preserve">102398</t>
  </si>
  <si>
    <t xml:space="preserve">005641</t>
  </si>
  <si>
    <t xml:space="preserve">002021</t>
  </si>
  <si>
    <t xml:space="preserve">Schraubenzieher kreuz</t>
  </si>
  <si>
    <t xml:space="preserve">005809</t>
  </si>
  <si>
    <t xml:space="preserve">Schutzkappe</t>
  </si>
  <si>
    <t xml:space="preserve">109722</t>
  </si>
  <si>
    <t xml:space="preserve">110287</t>
  </si>
  <si>
    <t xml:space="preserve">Pinsel klein</t>
  </si>
  <si>
    <t xml:space="preserve">005614</t>
  </si>
  <si>
    <t xml:space="preserve">103681</t>
  </si>
  <si>
    <t xml:space="preserve">102509</t>
  </si>
  <si>
    <t xml:space="preserve">105454</t>
  </si>
  <si>
    <t xml:space="preserve">111576</t>
  </si>
  <si>
    <t xml:space="preserve">Checkliste Service 7k, SPGr10</t>
  </si>
  <si>
    <t xml:space="preserve">111580</t>
  </si>
  <si>
    <t xml:space="preserve">Checkliste Service 28k, SPGr16</t>
  </si>
  <si>
    <t xml:space="preserve">104476</t>
  </si>
  <si>
    <t xml:space="preserve">111579</t>
  </si>
  <si>
    <t xml:space="preserve">Checkliste Service 14k, SPGr16</t>
  </si>
  <si>
    <t xml:space="preserve">106623</t>
  </si>
  <si>
    <t xml:space="preserve">Splint</t>
  </si>
  <si>
    <t xml:space="preserve">111577</t>
  </si>
  <si>
    <t xml:space="preserve">Checkliste Service 28k, SPGr10</t>
  </si>
  <si>
    <t xml:space="preserve">106614</t>
  </si>
  <si>
    <t xml:space="preserve">100704</t>
  </si>
  <si>
    <t xml:space="preserve">110969</t>
  </si>
  <si>
    <t xml:space="preserve">111578</t>
  </si>
  <si>
    <t xml:space="preserve">Checkliste Service 7k, SPGr16</t>
  </si>
  <si>
    <t xml:space="preserve">109069</t>
  </si>
  <si>
    <t xml:space="preserve">106343</t>
  </si>
  <si>
    <t xml:space="preserve">109937</t>
  </si>
  <si>
    <t xml:space="preserve">102477</t>
  </si>
  <si>
    <t xml:space="preserve">005374</t>
  </si>
  <si>
    <t xml:space="preserve">110124</t>
  </si>
  <si>
    <t xml:space="preserve">110818</t>
  </si>
  <si>
    <t xml:space="preserve">Plattenschieber Petrobras SPGr16</t>
  </si>
  <si>
    <t xml:space="preserve">110760</t>
  </si>
  <si>
    <t xml:space="preserve">110965</t>
  </si>
  <si>
    <t xml:space="preserve">Durchgangsprüfgerät</t>
  </si>
  <si>
    <t xml:space="preserve">005072</t>
  </si>
  <si>
    <t xml:space="preserve">005080</t>
  </si>
  <si>
    <t xml:space="preserve">110897</t>
  </si>
  <si>
    <t xml:space="preserve">Gewindestange</t>
  </si>
  <si>
    <t xml:space="preserve">110881</t>
  </si>
  <si>
    <t xml:space="preserve">Messleitung</t>
  </si>
  <si>
    <t xml:space="preserve">110880</t>
  </si>
  <si>
    <t xml:space="preserve">110791</t>
  </si>
  <si>
    <t xml:space="preserve">110898</t>
  </si>
  <si>
    <t xml:space="preserve">ZE-000001</t>
  </si>
  <si>
    <t xml:space="preserve">EP Zertifikat</t>
  </si>
  <si>
    <t xml:space="preserve">110789</t>
  </si>
  <si>
    <t xml:space="preserve">VM00016</t>
  </si>
  <si>
    <t xml:space="preserve">Rohrschutzkappe</t>
  </si>
  <si>
    <t xml:space="preserve">EK-TV</t>
  </si>
  <si>
    <t xml:space="preserve">VM-000001</t>
  </si>
  <si>
    <t xml:space="preserve">AVERY ZWECKFORM ultragrip Etiketten</t>
  </si>
  <si>
    <t xml:space="preserve">110902</t>
  </si>
  <si>
    <t xml:space="preserve">110778</t>
  </si>
  <si>
    <t xml:space="preserve">Adapter SPGr10 geschweisst Petrobras</t>
  </si>
  <si>
    <t xml:space="preserve">110998</t>
  </si>
  <si>
    <t xml:space="preserve">110844</t>
  </si>
  <si>
    <t xml:space="preserve">Dichtung externe Stahlstruktur SPGr16</t>
  </si>
  <si>
    <t xml:space="preserve">111010</t>
  </si>
  <si>
    <t xml:space="preserve">Dichtung externe Stahlstruktur SPGr10</t>
  </si>
  <si>
    <t xml:space="preserve">109872</t>
  </si>
  <si>
    <t xml:space="preserve">111370</t>
  </si>
  <si>
    <t xml:space="preserve">SPC800 Coupler</t>
  </si>
  <si>
    <t xml:space="preserve">110764</t>
  </si>
  <si>
    <t xml:space="preserve">111719</t>
  </si>
  <si>
    <t xml:space="preserve">Führungsstange verlängert</t>
  </si>
  <si>
    <t xml:space="preserve">110788</t>
  </si>
  <si>
    <t xml:space="preserve">Kompensator Petrobras SPGr10</t>
  </si>
  <si>
    <t xml:space="preserve">110790</t>
  </si>
  <si>
    <t xml:space="preserve">Plattenschieber Petrobras SPGr10</t>
  </si>
  <si>
    <t xml:space="preserve">109977</t>
  </si>
  <si>
    <t xml:space="preserve">110816</t>
  </si>
  <si>
    <t xml:space="preserve">Adapter SPGr16 geschweisst Petrobras</t>
  </si>
  <si>
    <t xml:space="preserve">110831</t>
  </si>
  <si>
    <t xml:space="preserve">110651</t>
  </si>
  <si>
    <t xml:space="preserve">Temperatursensor PT100</t>
  </si>
  <si>
    <t xml:space="preserve">OC-108317</t>
  </si>
  <si>
    <t xml:space="preserve">Ventilpanel SPGr 4 Block oDT Spezial</t>
  </si>
  <si>
    <t xml:space="preserve">110688</t>
  </si>
  <si>
    <t xml:space="preserve">Austrittsdüse SPGr10 Strasbourg</t>
  </si>
  <si>
    <t xml:space="preserve">VM00011</t>
  </si>
  <si>
    <t xml:space="preserve">Umreifungsband</t>
  </si>
  <si>
    <t xml:space="preserve">110724</t>
  </si>
  <si>
    <t xml:space="preserve">Zwischenrohr SPGr16</t>
  </si>
  <si>
    <t xml:space="preserve">VM00015</t>
  </si>
  <si>
    <t xml:space="preserve">110753</t>
  </si>
  <si>
    <t xml:space="preserve">110759</t>
  </si>
  <si>
    <t xml:space="preserve">Kompensator Petrobras SPGr16</t>
  </si>
  <si>
    <t xml:space="preserve">109910</t>
  </si>
  <si>
    <t xml:space="preserve">DIN Schienen-Kit</t>
  </si>
  <si>
    <t xml:space="preserve">109148</t>
  </si>
  <si>
    <t xml:space="preserve">108444</t>
  </si>
  <si>
    <t xml:space="preserve">107896</t>
  </si>
  <si>
    <t xml:space="preserve">Luftkompressor AC260</t>
  </si>
  <si>
    <t xml:space="preserve">107668</t>
  </si>
  <si>
    <t xml:space="preserve">Tasche</t>
  </si>
  <si>
    <t xml:space="preserve">107984</t>
  </si>
  <si>
    <t xml:space="preserve">Spülluftmodul</t>
  </si>
  <si>
    <t xml:space="preserve">(leer)</t>
  </si>
  <si>
    <t xml:space="preserve">106293</t>
  </si>
  <si>
    <t xml:space="preserve">106364</t>
  </si>
  <si>
    <t xml:space="preserve">Temperaturfühler PT100</t>
  </si>
  <si>
    <t xml:space="preserve">106993</t>
  </si>
  <si>
    <t xml:space="preserve">Leitungsschutzschalter 4A</t>
  </si>
  <si>
    <t xml:space="preserve">105675</t>
  </si>
  <si>
    <t xml:space="preserve">Gestell mit Boden</t>
  </si>
  <si>
    <t xml:space="preserve">107199</t>
  </si>
  <si>
    <t xml:space="preserve">Klemmkasten</t>
  </si>
  <si>
    <t xml:space="preserve">106467</t>
  </si>
  <si>
    <t xml:space="preserve">Proportionalventil</t>
  </si>
  <si>
    <t xml:space="preserve">107225</t>
  </si>
  <si>
    <t xml:space="preserve">Werkzeugkiste</t>
  </si>
  <si>
    <t xml:space="preserve">106472</t>
  </si>
  <si>
    <t xml:space="preserve">Kugelhahn</t>
  </si>
  <si>
    <t xml:space="preserve">106260</t>
  </si>
  <si>
    <t xml:space="preserve">Neu; gehört nicht ins KTL</t>
  </si>
  <si>
    <t xml:space="preserve">106887</t>
  </si>
  <si>
    <t xml:space="preserve">Gestell ohne Fuss</t>
  </si>
  <si>
    <t xml:space="preserve">Steuerschrank &amp; Gestell</t>
  </si>
  <si>
    <t xml:space="preserve">105718</t>
  </si>
  <si>
    <t xml:space="preserve">Steuerschrank BASE</t>
  </si>
  <si>
    <t xml:space="preserve">106886</t>
  </si>
  <si>
    <t xml:space="preserve">105719</t>
  </si>
  <si>
    <t xml:space="preserve">Steuerschrank SUB</t>
  </si>
  <si>
    <t xml:space="preserve">101652</t>
  </si>
  <si>
    <t xml:space="preserve">104473</t>
  </si>
  <si>
    <t xml:space="preserve">103269</t>
  </si>
  <si>
    <t xml:space="preserve">Aufhängung zu vertikaler Aufhängung</t>
  </si>
  <si>
    <t xml:space="preserve">005791</t>
  </si>
  <si>
    <t xml:space="preserve">2/2 Wege Magnetventil NO</t>
  </si>
  <si>
    <t xml:space="preserve">103730</t>
  </si>
  <si>
    <t xml:space="preserve">101750</t>
  </si>
  <si>
    <t xml:space="preserve">Rohr Anschweissstück DN125</t>
  </si>
  <si>
    <t xml:space="preserve">104212</t>
  </si>
  <si>
    <t xml:space="preserve">104169</t>
  </si>
  <si>
    <t xml:space="preserve">Steuerschrank EG101-DF ADV</t>
  </si>
  <si>
    <t xml:space="preserve">102520</t>
  </si>
  <si>
    <t xml:space="preserve">104238</t>
  </si>
  <si>
    <t xml:space="preserve">Steckerset (Kabel Kundenseitig)</t>
  </si>
  <si>
    <t xml:space="preserve">100152</t>
  </si>
  <si>
    <t xml:space="preserve">104474</t>
  </si>
  <si>
    <t xml:space="preserve">102835</t>
  </si>
  <si>
    <t xml:space="preserve">103265</t>
  </si>
  <si>
    <t xml:space="preserve">Platte, vertikale Aufhängung EG10 Serie</t>
  </si>
  <si>
    <t xml:space="preserve">102522</t>
  </si>
  <si>
    <t xml:space="preserve">002073</t>
  </si>
  <si>
    <t xml:space="preserve">001203</t>
  </si>
  <si>
    <t xml:space="preserve">Holzkiste SPGr10 + SPC800 Luft &amp; See</t>
  </si>
  <si>
    <t xml:space="preserve">005599</t>
  </si>
  <si>
    <t xml:space="preserve">Blitzleuchte (ohne Schallgeber)</t>
  </si>
  <si>
    <t xml:space="preserve">005067</t>
  </si>
  <si>
    <t xml:space="preserve">Hochdruck-Ganzmetallschlauch O2</t>
  </si>
  <si>
    <t xml:space="preserve">005661</t>
  </si>
  <si>
    <t xml:space="preserve">Drahtwirbelzange</t>
  </si>
  <si>
    <t xml:space="preserve">005567</t>
  </si>
  <si>
    <t xml:space="preserve">Adapter G-1/2"-a auf NPT 1/4"i</t>
  </si>
  <si>
    <t xml:space="preserve">002071</t>
  </si>
  <si>
    <t xml:space="preserve">005486</t>
  </si>
  <si>
    <t xml:space="preserve">Reduzierverschraubung</t>
  </si>
  <si>
    <t xml:space="preserve">001193</t>
  </si>
  <si>
    <t xml:space="preserve">Werkzeugkiste PM&amp;SV</t>
  </si>
  <si>
    <t xml:space="preserve">005391</t>
  </si>
  <si>
    <t xml:space="preserve">005106</t>
  </si>
  <si>
    <t xml:space="preserve">CF-Karte</t>
  </si>
  <si>
    <t xml:space="preserve">005066</t>
  </si>
  <si>
    <t xml:space="preserve">005568</t>
  </si>
  <si>
    <t xml:space="preserve">Eingangsadapter 1/4"NPT-a/G1/2"-a konus</t>
  </si>
  <si>
    <t xml:space="preserve">002064</t>
  </si>
  <si>
    <t xml:space="preserve">Sichtlagerkasten gross</t>
  </si>
  <si>
    <t xml:space="preserve">005085</t>
  </si>
  <si>
    <t xml:space="preserve">SPS Grundgerät EG104/EG106</t>
  </si>
  <si>
    <t xml:space="preserve">Ohne Fuss</t>
  </si>
  <si>
    <t xml:space="preserve">005283</t>
  </si>
  <si>
    <t xml:space="preserve">Durchgangsventil</t>
  </si>
  <si>
    <t xml:space="preserve">005183</t>
  </si>
  <si>
    <t xml:space="preserve">Ventilsteuerschrank</t>
  </si>
  <si>
    <t xml:space="preserve">110030</t>
  </si>
  <si>
    <t xml:space="preserve">Service Checklist SPGr16 SVC2</t>
  </si>
  <si>
    <t xml:space="preserve">106851</t>
  </si>
  <si>
    <t xml:space="preserve">gehört nicht ins KTL</t>
  </si>
  <si>
    <t xml:space="preserve">001018_0XL</t>
  </si>
  <si>
    <t xml:space="preserve">Kapuzen-Sweatshirt</t>
  </si>
  <si>
    <t xml:space="preserve">BEKLEI</t>
  </si>
  <si>
    <t xml:space="preserve">Kleidung</t>
  </si>
  <si>
    <t xml:space="preserve">110901</t>
  </si>
  <si>
    <t xml:space="preserve">107861</t>
  </si>
  <si>
    <t xml:space="preserve">109501</t>
  </si>
  <si>
    <t xml:space="preserve">107193</t>
  </si>
  <si>
    <t xml:space="preserve">Servicepaket SPGr16 SVC1</t>
  </si>
  <si>
    <t xml:space="preserve">SVC Verpackung</t>
  </si>
  <si>
    <t xml:space="preserve">107191</t>
  </si>
  <si>
    <t xml:space="preserve">Servicepaket SPGr10 SVC1</t>
  </si>
  <si>
    <t xml:space="preserve">104049</t>
  </si>
  <si>
    <t xml:space="preserve">109966</t>
  </si>
  <si>
    <t xml:space="preserve">Handbuch Luftkompressor AC260 DE</t>
  </si>
  <si>
    <t xml:space="preserve">110028</t>
  </si>
  <si>
    <t xml:space="preserve">Service Checklist SPGr10 SVC2</t>
  </si>
  <si>
    <t xml:space="preserve">109967</t>
  </si>
  <si>
    <t xml:space="preserve">Handbuch Luftkompressor AC260 IT</t>
  </si>
  <si>
    <t xml:space="preserve">109970</t>
  </si>
  <si>
    <t xml:space="preserve">Handbuch Luftkompressor AC260 EN</t>
  </si>
  <si>
    <t xml:space="preserve">106485</t>
  </si>
  <si>
    <t xml:space="preserve">102377</t>
  </si>
  <si>
    <t xml:space="preserve">101632</t>
  </si>
  <si>
    <t xml:space="preserve">100899</t>
  </si>
  <si>
    <t xml:space="preserve">Federring</t>
  </si>
  <si>
    <t xml:space="preserve">106344</t>
  </si>
  <si>
    <t xml:space="preserve">107852</t>
  </si>
  <si>
    <t xml:space="preserve">102093</t>
  </si>
  <si>
    <t xml:space="preserve">102439</t>
  </si>
  <si>
    <t xml:space="preserve">110027</t>
  </si>
  <si>
    <t xml:space="preserve">Service Checklist SPGr10 SVC1</t>
  </si>
  <si>
    <t xml:space="preserve">101631</t>
  </si>
  <si>
    <t xml:space="preserve">106606</t>
  </si>
  <si>
    <t xml:space="preserve">005226</t>
  </si>
  <si>
    <t xml:space="preserve">Zündkabel schwarz</t>
  </si>
  <si>
    <t xml:space="preserve">100262</t>
  </si>
  <si>
    <t xml:space="preserve">110029</t>
  </si>
  <si>
    <t xml:space="preserve">Service Checklist SPGr16 SVC1</t>
  </si>
  <si>
    <t xml:space="preserve">001159</t>
  </si>
  <si>
    <t xml:space="preserve">Sicherheitsfäden regulierbar, weiss</t>
  </si>
  <si>
    <t xml:space="preserve">005634</t>
  </si>
  <si>
    <t xml:space="preserve">107960</t>
  </si>
  <si>
    <t xml:space="preserve">102067</t>
  </si>
  <si>
    <t xml:space="preserve">101098</t>
  </si>
  <si>
    <t xml:space="preserve">005636</t>
  </si>
  <si>
    <t xml:space="preserve">103374</t>
  </si>
  <si>
    <t xml:space="preserve">105578</t>
  </si>
  <si>
    <t xml:space="preserve">101914</t>
  </si>
  <si>
    <t xml:space="preserve">005714</t>
  </si>
  <si>
    <t xml:space="preserve">Etikette TwinL Rückschlagventil Patrone</t>
  </si>
  <si>
    <t xml:space="preserve">106445</t>
  </si>
  <si>
    <t xml:space="preserve">100938</t>
  </si>
  <si>
    <t xml:space="preserve">107107</t>
  </si>
  <si>
    <t xml:space="preserve">106140</t>
  </si>
  <si>
    <t xml:space="preserve">Sechskantmutter kugelig</t>
  </si>
  <si>
    <t xml:space="preserve">OC-108305</t>
  </si>
  <si>
    <t xml:space="preserve">Ventilpanel SPGr 4 Block mDT Spezial</t>
  </si>
  <si>
    <t xml:space="preserve">105400</t>
  </si>
  <si>
    <t xml:space="preserve">106139</t>
  </si>
  <si>
    <t xml:space="preserve">005142</t>
  </si>
  <si>
    <t xml:space="preserve">Gerätesicherung</t>
  </si>
  <si>
    <t xml:space="preserve">105866</t>
  </si>
  <si>
    <t xml:space="preserve">104306</t>
  </si>
  <si>
    <t xml:space="preserve">100042</t>
  </si>
  <si>
    <t xml:space="preserve">Braucht es diesen Artikel ?</t>
  </si>
  <si>
    <t xml:space="preserve">102375</t>
  </si>
  <si>
    <t xml:space="preserve">Deckplatte</t>
  </si>
  <si>
    <t xml:space="preserve">105411</t>
  </si>
  <si>
    <t xml:space="preserve">106455</t>
  </si>
  <si>
    <t xml:space="preserve">102086</t>
  </si>
  <si>
    <t xml:space="preserve">108252</t>
  </si>
  <si>
    <t xml:space="preserve">Klemmenbeschriftungsset unbeschriftet</t>
  </si>
  <si>
    <t xml:space="preserve">001155</t>
  </si>
  <si>
    <t xml:space="preserve">Kabelbinder</t>
  </si>
  <si>
    <t xml:space="preserve">105369</t>
  </si>
  <si>
    <t xml:space="preserve">109769</t>
  </si>
  <si>
    <t xml:space="preserve">107007</t>
  </si>
  <si>
    <t xml:space="preserve">Halter für 3 Module, Kunststoff</t>
  </si>
  <si>
    <t xml:space="preserve">107142</t>
  </si>
  <si>
    <t xml:space="preserve">Presskabelschuh</t>
  </si>
  <si>
    <t xml:space="preserve">005457</t>
  </si>
  <si>
    <t xml:space="preserve">Aderendhülse isoliert blau</t>
  </si>
  <si>
    <t xml:space="preserve">001047</t>
  </si>
  <si>
    <t xml:space="preserve">Karton</t>
  </si>
  <si>
    <t xml:space="preserve">108570</t>
  </si>
  <si>
    <t xml:space="preserve">001036</t>
  </si>
  <si>
    <t xml:space="preserve">Fächerschleifer</t>
  </si>
  <si>
    <t xml:space="preserve">005149</t>
  </si>
  <si>
    <t xml:space="preserve">Distanzplatte zu Reihenklemme klein</t>
  </si>
  <si>
    <t xml:space="preserve">107246</t>
  </si>
  <si>
    <t xml:space="preserve">103169</t>
  </si>
  <si>
    <t xml:space="preserve">002024</t>
  </si>
  <si>
    <t xml:space="preserve">106477</t>
  </si>
  <si>
    <t xml:space="preserve">002068</t>
  </si>
  <si>
    <t xml:space="preserve">Batterie 6F22 9V</t>
  </si>
  <si>
    <t xml:space="preserve">109923</t>
  </si>
  <si>
    <t xml:space="preserve">Kleber Service Verpackung</t>
  </si>
  <si>
    <t xml:space="preserve">105885</t>
  </si>
  <si>
    <t xml:space="preserve">001157</t>
  </si>
  <si>
    <t xml:space="preserve">005704</t>
  </si>
  <si>
    <t xml:space="preserve">Klemmenabdeckung Hauptschalter</t>
  </si>
  <si>
    <t xml:space="preserve">107004</t>
  </si>
  <si>
    <t xml:space="preserve">LED-Modul mit integrierter LED</t>
  </si>
  <si>
    <t xml:space="preserve">105867</t>
  </si>
  <si>
    <t xml:space="preserve">005384</t>
  </si>
  <si>
    <t xml:space="preserve">102440</t>
  </si>
  <si>
    <t xml:space="preserve">108043</t>
  </si>
  <si>
    <t xml:space="preserve">Tüllengehäuse B6</t>
  </si>
  <si>
    <t xml:space="preserve">001154</t>
  </si>
  <si>
    <t xml:space="preserve">005640</t>
  </si>
  <si>
    <t xml:space="preserve">106273</t>
  </si>
  <si>
    <t xml:space="preserve">107851</t>
  </si>
  <si>
    <t xml:space="preserve">Schalldämpfer</t>
  </si>
  <si>
    <t xml:space="preserve">100528</t>
  </si>
  <si>
    <t xml:space="preserve">005148</t>
  </si>
  <si>
    <t xml:space="preserve">Reihenklemme</t>
  </si>
  <si>
    <t xml:space="preserve">005754</t>
  </si>
  <si>
    <t xml:space="preserve">105399</t>
  </si>
  <si>
    <t xml:space="preserve">109099</t>
  </si>
  <si>
    <t xml:space="preserve">Kleber Oben Federkonsole</t>
  </si>
  <si>
    <t xml:space="preserve">001138</t>
  </si>
  <si>
    <t xml:space="preserve">Ablösbare Markierungspunkte grün</t>
  </si>
  <si>
    <t xml:space="preserve">106862</t>
  </si>
  <si>
    <t xml:space="preserve">Schlauchschelle</t>
  </si>
  <si>
    <t xml:space="preserve">100137</t>
  </si>
  <si>
    <t xml:space="preserve">100429</t>
  </si>
  <si>
    <t xml:space="preserve">107310</t>
  </si>
  <si>
    <t xml:space="preserve">Kugelkette vernickelt</t>
  </si>
  <si>
    <t xml:space="preserve">106489</t>
  </si>
  <si>
    <t xml:space="preserve">002074</t>
  </si>
  <si>
    <t xml:space="preserve">Batterie AAA</t>
  </si>
  <si>
    <t xml:space="preserve">005639</t>
  </si>
  <si>
    <t xml:space="preserve">107103</t>
  </si>
  <si>
    <t xml:space="preserve">106905</t>
  </si>
  <si>
    <t xml:space="preserve">Gewindebolzen</t>
  </si>
  <si>
    <t xml:space="preserve">106591</t>
  </si>
  <si>
    <t xml:space="preserve">grosse  Artikelmenge</t>
  </si>
  <si>
    <t xml:space="preserve">106745</t>
  </si>
  <si>
    <t xml:space="preserve">101570</t>
  </si>
  <si>
    <t xml:space="preserve">105855</t>
  </si>
  <si>
    <t xml:space="preserve">102444</t>
  </si>
  <si>
    <t xml:space="preserve">100381</t>
  </si>
  <si>
    <t xml:space="preserve">100041</t>
  </si>
  <si>
    <t xml:space="preserve">108520</t>
  </si>
  <si>
    <t xml:space="preserve">001135</t>
  </si>
  <si>
    <t xml:space="preserve">005258</t>
  </si>
  <si>
    <t xml:space="preserve">107765</t>
  </si>
  <si>
    <t xml:space="preserve">Unterlage</t>
  </si>
  <si>
    <t xml:space="preserve">107542</t>
  </si>
  <si>
    <t xml:space="preserve">106824</t>
  </si>
  <si>
    <t xml:space="preserve">108544</t>
  </si>
  <si>
    <t xml:space="preserve">103031</t>
  </si>
  <si>
    <t xml:space="preserve">005452</t>
  </si>
  <si>
    <t xml:space="preserve">Aderendhülse isoliert gelb</t>
  </si>
  <si>
    <t xml:space="preserve">103517</t>
  </si>
  <si>
    <t xml:space="preserve">T-Griff</t>
  </si>
  <si>
    <t xml:space="preserve">102441</t>
  </si>
  <si>
    <t xml:space="preserve">100895</t>
  </si>
  <si>
    <t xml:space="preserve">005398</t>
  </si>
  <si>
    <t xml:space="preserve">Korundtuch</t>
  </si>
  <si>
    <t xml:space="preserve">Überbestand; nicht im KTL vorhanden</t>
  </si>
  <si>
    <t xml:space="preserve">005808</t>
  </si>
  <si>
    <t xml:space="preserve">109200</t>
  </si>
  <si>
    <t xml:space="preserve">Deckel GISKB II</t>
  </si>
  <si>
    <t xml:space="preserve">108512</t>
  </si>
  <si>
    <t xml:space="preserve">Typenschild Servicetechniker-Set SPGr10</t>
  </si>
  <si>
    <t xml:space="preserve">108910</t>
  </si>
  <si>
    <t xml:space="preserve">Splint / Vorsteckfeder</t>
  </si>
  <si>
    <t xml:space="preserve">109624</t>
  </si>
  <si>
    <t xml:space="preserve">Einfach - Rohrschelle PP</t>
  </si>
  <si>
    <t xml:space="preserve">002006</t>
  </si>
  <si>
    <t xml:space="preserve">005343</t>
  </si>
  <si>
    <t xml:space="preserve">Durchschlag</t>
  </si>
  <si>
    <t xml:space="preserve">100038</t>
  </si>
  <si>
    <t xml:space="preserve">107095</t>
  </si>
  <si>
    <t xml:space="preserve">108732</t>
  </si>
  <si>
    <t xml:space="preserve">109770</t>
  </si>
  <si>
    <t xml:space="preserve">106945</t>
  </si>
  <si>
    <t xml:space="preserve">002007</t>
  </si>
  <si>
    <t xml:space="preserve">Wasserpumpenzange</t>
  </si>
  <si>
    <t xml:space="preserve">109612</t>
  </si>
  <si>
    <t xml:space="preserve">109319</t>
  </si>
  <si>
    <t xml:space="preserve">101762</t>
  </si>
  <si>
    <t xml:space="preserve">Schäkel</t>
  </si>
  <si>
    <t xml:space="preserve">104282</t>
  </si>
  <si>
    <t xml:space="preserve">109037</t>
  </si>
  <si>
    <t xml:space="preserve">109791</t>
  </si>
  <si>
    <t xml:space="preserve">109911</t>
  </si>
  <si>
    <t xml:space="preserve">Stecker verdrahtet</t>
  </si>
  <si>
    <t xml:space="preserve">002031</t>
  </si>
  <si>
    <t xml:space="preserve">105868</t>
  </si>
  <si>
    <t xml:space="preserve">005760</t>
  </si>
  <si>
    <t xml:space="preserve">100443</t>
  </si>
  <si>
    <t xml:space="preserve">102279</t>
  </si>
  <si>
    <t xml:space="preserve">Spannschloss</t>
  </si>
  <si>
    <t xml:space="preserve">001042</t>
  </si>
  <si>
    <t xml:space="preserve">Verschlussbeutel gross</t>
  </si>
  <si>
    <t xml:space="preserve">101573</t>
  </si>
  <si>
    <t xml:space="preserve">108132</t>
  </si>
  <si>
    <t xml:space="preserve">Verschlussplatte zu Ventilblock</t>
  </si>
  <si>
    <t xml:space="preserve">005324</t>
  </si>
  <si>
    <t xml:space="preserve">002023</t>
  </si>
  <si>
    <t xml:space="preserve">106823</t>
  </si>
  <si>
    <t xml:space="preserve">110267</t>
  </si>
  <si>
    <t xml:space="preserve">Dichtring</t>
  </si>
  <si>
    <t xml:space="preserve">107118</t>
  </si>
  <si>
    <t xml:space="preserve">Rohrbürste</t>
  </si>
  <si>
    <t xml:space="preserve">108715</t>
  </si>
  <si>
    <t xml:space="preserve">Adapter für Sinterscheibe</t>
  </si>
  <si>
    <t xml:space="preserve">110007</t>
  </si>
  <si>
    <t xml:space="preserve">Aufschraubadapter</t>
  </si>
  <si>
    <t xml:space="preserve">005616</t>
  </si>
  <si>
    <t xml:space="preserve">001191</t>
  </si>
  <si>
    <t xml:space="preserve">Litzendraht</t>
  </si>
  <si>
    <t xml:space="preserve">108031</t>
  </si>
  <si>
    <t xml:space="preserve">001144</t>
  </si>
  <si>
    <t xml:space="preserve">UV-beständiger Verschlussbeutel gross</t>
  </si>
  <si>
    <t xml:space="preserve">100173</t>
  </si>
  <si>
    <t xml:space="preserve">005385</t>
  </si>
  <si>
    <t xml:space="preserve">109368</t>
  </si>
  <si>
    <t xml:space="preserve">002025</t>
  </si>
  <si>
    <t xml:space="preserve">102374</t>
  </si>
  <si>
    <t xml:space="preserve">107965</t>
  </si>
  <si>
    <t xml:space="preserve">Schnellverschluss-Schelle</t>
  </si>
  <si>
    <t xml:space="preserve">107967</t>
  </si>
  <si>
    <t xml:space="preserve">106967</t>
  </si>
  <si>
    <t xml:space="preserve">107092</t>
  </si>
  <si>
    <t xml:space="preserve">100287</t>
  </si>
  <si>
    <t xml:space="preserve">005455</t>
  </si>
  <si>
    <t xml:space="preserve">Aderendhülse isoliert orange</t>
  </si>
  <si>
    <t xml:space="preserve">103094</t>
  </si>
  <si>
    <t xml:space="preserve">001179</t>
  </si>
  <si>
    <t xml:space="preserve">106933</t>
  </si>
  <si>
    <t xml:space="preserve">Lithiumbatterie</t>
  </si>
  <si>
    <t xml:space="preserve">005707</t>
  </si>
  <si>
    <t xml:space="preserve">109090</t>
  </si>
  <si>
    <t xml:space="preserve">005297</t>
  </si>
  <si>
    <t xml:space="preserve">Magnetspule ohne Kabel</t>
  </si>
  <si>
    <t xml:space="preserve">109630</t>
  </si>
  <si>
    <t xml:space="preserve">102443</t>
  </si>
  <si>
    <t xml:space="preserve">108873</t>
  </si>
  <si>
    <t xml:space="preserve">Einrastschildchen -A51.1</t>
  </si>
  <si>
    <t xml:space="preserve">VM00007</t>
  </si>
  <si>
    <t xml:space="preserve">Seitenfaltenbeutel Haube für 1/2 Eurobox</t>
  </si>
  <si>
    <t xml:space="preserve">005229</t>
  </si>
  <si>
    <t xml:space="preserve">Schrumpfschlauch schwarz</t>
  </si>
  <si>
    <t xml:space="preserve">107589</t>
  </si>
  <si>
    <t xml:space="preserve">108251</t>
  </si>
  <si>
    <t xml:space="preserve">Endklammer mit Schraube</t>
  </si>
  <si>
    <t xml:space="preserve">107119</t>
  </si>
  <si>
    <t xml:space="preserve">100036</t>
  </si>
  <si>
    <t xml:space="preserve">005386</t>
  </si>
  <si>
    <t xml:space="preserve">001045</t>
  </si>
  <si>
    <t xml:space="preserve">005244</t>
  </si>
  <si>
    <t xml:space="preserve">Zündkabel</t>
  </si>
  <si>
    <t xml:space="preserve">106618</t>
  </si>
  <si>
    <t xml:space="preserve">005325</t>
  </si>
  <si>
    <t xml:space="preserve">005129</t>
  </si>
  <si>
    <t xml:space="preserve">Relais C09-A41DX... ohne Sockel</t>
  </si>
  <si>
    <t xml:space="preserve">005322</t>
  </si>
  <si>
    <t xml:space="preserve">108471</t>
  </si>
  <si>
    <t xml:space="preserve">005582</t>
  </si>
  <si>
    <t xml:space="preserve">Verlängerung</t>
  </si>
  <si>
    <t xml:space="preserve">106970</t>
  </si>
  <si>
    <t xml:space="preserve">USB Datenspeicher</t>
  </si>
  <si>
    <t xml:space="preserve">B&amp;R; nicht im KTL vorhanden</t>
  </si>
  <si>
    <t xml:space="preserve">001097</t>
  </si>
  <si>
    <t xml:space="preserve">Dose</t>
  </si>
  <si>
    <t xml:space="preserve">101257</t>
  </si>
  <si>
    <t xml:space="preserve">Magnetventiladapter</t>
  </si>
  <si>
    <t xml:space="preserve">twin</t>
  </si>
  <si>
    <t xml:space="preserve">005450</t>
  </si>
  <si>
    <t xml:space="preserve">Mutter-Klemmringsatz</t>
  </si>
  <si>
    <t xml:space="preserve">107536</t>
  </si>
  <si>
    <t xml:space="preserve">106974</t>
  </si>
  <si>
    <t xml:space="preserve">Datensteckverbinder</t>
  </si>
  <si>
    <t xml:space="preserve">001119</t>
  </si>
  <si>
    <t xml:space="preserve">Aceton Reiniger</t>
  </si>
  <si>
    <t xml:space="preserve">005732</t>
  </si>
  <si>
    <t xml:space="preserve">Ersatzklingen MARTOR Trapez</t>
  </si>
  <si>
    <t xml:space="preserve">Verb.Lager; nicht im KTL vorhanden</t>
  </si>
  <si>
    <t xml:space="preserve">101862</t>
  </si>
  <si>
    <t xml:space="preserve">102435</t>
  </si>
  <si>
    <t xml:space="preserve">109645</t>
  </si>
  <si>
    <t xml:space="preserve">Gummibuchse</t>
  </si>
  <si>
    <t xml:space="preserve">104438</t>
  </si>
  <si>
    <t xml:space="preserve">107094</t>
  </si>
  <si>
    <t xml:space="preserve">109519</t>
  </si>
  <si>
    <t xml:space="preserve">Gerade Einschraub-Verschraubung</t>
  </si>
  <si>
    <t xml:space="preserve">109506</t>
  </si>
  <si>
    <t xml:space="preserve">T-Stück</t>
  </si>
  <si>
    <t xml:space="preserve">005310</t>
  </si>
  <si>
    <t xml:space="preserve">Zugplatte</t>
  </si>
  <si>
    <t xml:space="preserve">002040</t>
  </si>
  <si>
    <t xml:space="preserve">103232</t>
  </si>
  <si>
    <t xml:space="preserve">Halter, vertikale Aufhängung EG10 Serie</t>
  </si>
  <si>
    <t xml:space="preserve">001032</t>
  </si>
  <si>
    <t xml:space="preserve">Vaseline</t>
  </si>
  <si>
    <t xml:space="preserve">005303</t>
  </si>
  <si>
    <t xml:space="preserve">005696</t>
  </si>
  <si>
    <t xml:space="preserve">Selektivitätsmodul</t>
  </si>
  <si>
    <t xml:space="preserve">107001</t>
  </si>
  <si>
    <t xml:space="preserve">Knebelschalter, beleuchtbar</t>
  </si>
  <si>
    <t xml:space="preserve">005117</t>
  </si>
  <si>
    <t xml:space="preserve">Kartenleser USB 2.0</t>
  </si>
  <si>
    <t xml:space="preserve">109054</t>
  </si>
  <si>
    <t xml:space="preserve">005103</t>
  </si>
  <si>
    <t xml:space="preserve">SPS Ethernet Switch</t>
  </si>
  <si>
    <t xml:space="preserve">107106</t>
  </si>
  <si>
    <t xml:space="preserve">Sechskant-Schraubenzieher</t>
  </si>
  <si>
    <t xml:space="preserve">100791</t>
  </si>
  <si>
    <t xml:space="preserve">005400</t>
  </si>
  <si>
    <t xml:space="preserve">001199</t>
  </si>
  <si>
    <t xml:space="preserve">Abisolierzange</t>
  </si>
  <si>
    <t xml:space="preserve">001035</t>
  </si>
  <si>
    <t xml:space="preserve">Kombi-Faservliesbürste</t>
  </si>
  <si>
    <t xml:space="preserve">005139</t>
  </si>
  <si>
    <t xml:space="preserve">108487</t>
  </si>
  <si>
    <t xml:space="preserve">Patchkabel Prüfgerät</t>
  </si>
  <si>
    <t xml:space="preserve">107226</t>
  </si>
  <si>
    <t xml:space="preserve">Ring-Gabelschlüssel-Satz</t>
  </si>
  <si>
    <t xml:space="preserve">101495</t>
  </si>
  <si>
    <t xml:space="preserve">101572</t>
  </si>
  <si>
    <t xml:space="preserve">100862</t>
  </si>
  <si>
    <t xml:space="preserve">OC-101558</t>
  </si>
  <si>
    <t xml:space="preserve">Kranbahn-Profil</t>
  </si>
  <si>
    <t xml:space="preserve">001134</t>
  </si>
  <si>
    <t xml:space="preserve">107231</t>
  </si>
  <si>
    <t xml:space="preserve">Zangen-Set</t>
  </si>
  <si>
    <t xml:space="preserve">110094</t>
  </si>
  <si>
    <t xml:space="preserve">107562</t>
  </si>
  <si>
    <t xml:space="preserve">005615</t>
  </si>
  <si>
    <t xml:space="preserve">Temperatursensor ohne Stecker</t>
  </si>
  <si>
    <t xml:space="preserve">101575</t>
  </si>
  <si>
    <t xml:space="preserve">101861</t>
  </si>
  <si>
    <t xml:space="preserve">107300</t>
  </si>
  <si>
    <t xml:space="preserve">Ventilschlüssel</t>
  </si>
  <si>
    <t xml:space="preserve">005805</t>
  </si>
  <si>
    <t xml:space="preserve">100364</t>
  </si>
  <si>
    <t xml:space="preserve">107105</t>
  </si>
  <si>
    <t xml:space="preserve">105455</t>
  </si>
  <si>
    <t xml:space="preserve">005746</t>
  </si>
  <si>
    <t xml:space="preserve">Set Blockierelemente</t>
  </si>
  <si>
    <t xml:space="preserve">002037</t>
  </si>
  <si>
    <t xml:space="preserve">Ersatzklingen zu Universalmesser</t>
  </si>
  <si>
    <t xml:space="preserve">110008</t>
  </si>
  <si>
    <t xml:space="preserve">101395</t>
  </si>
  <si>
    <t xml:space="preserve">106616</t>
  </si>
  <si>
    <t xml:space="preserve">005485</t>
  </si>
  <si>
    <t xml:space="preserve">Einschraubadapter</t>
  </si>
  <si>
    <t xml:space="preserve">108869</t>
  </si>
  <si>
    <t xml:space="preserve">Klebeetikette -F200.2</t>
  </si>
  <si>
    <t xml:space="preserve">108870</t>
  </si>
  <si>
    <t xml:space="preserve">Klebeetikette -G200.2</t>
  </si>
  <si>
    <t xml:space="preserve">002001</t>
  </si>
  <si>
    <t xml:space="preserve">Multimeter 250V</t>
  </si>
  <si>
    <t xml:space="preserve">103477</t>
  </si>
  <si>
    <t xml:space="preserve">101658</t>
  </si>
  <si>
    <t xml:space="preserve">Reduzierverschraubung Edelstahl</t>
  </si>
  <si>
    <t xml:space="preserve">102395</t>
  </si>
  <si>
    <t xml:space="preserve">107307</t>
  </si>
  <si>
    <t xml:space="preserve">Universalschmierpaste</t>
  </si>
  <si>
    <t xml:space="preserve">103394</t>
  </si>
  <si>
    <t xml:space="preserve">Gewindebohrer</t>
  </si>
  <si>
    <t xml:space="preserve">107707</t>
  </si>
  <si>
    <t xml:space="preserve">005161</t>
  </si>
  <si>
    <t xml:space="preserve">Schutzleiterklemme</t>
  </si>
  <si>
    <t xml:space="preserve">005342</t>
  </si>
  <si>
    <t xml:space="preserve">109749</t>
  </si>
  <si>
    <t xml:space="preserve">005715</t>
  </si>
  <si>
    <t xml:space="preserve">Hinweisschild</t>
  </si>
  <si>
    <t xml:space="preserve">002046</t>
  </si>
  <si>
    <t xml:space="preserve">100366</t>
  </si>
  <si>
    <t xml:space="preserve">109751</t>
  </si>
  <si>
    <t xml:space="preserve">Bügel</t>
  </si>
  <si>
    <t xml:space="preserve">107716</t>
  </si>
  <si>
    <t xml:space="preserve">001115</t>
  </si>
  <si>
    <t xml:space="preserve">Schutzbrett Typ 0</t>
  </si>
  <si>
    <t xml:space="preserve">104233</t>
  </si>
  <si>
    <t xml:space="preserve">Ventilpanel Grundplatte</t>
  </si>
  <si>
    <t xml:space="preserve">109623</t>
  </si>
  <si>
    <t xml:space="preserve">Halterungswinkel</t>
  </si>
  <si>
    <t xml:space="preserve">107163</t>
  </si>
  <si>
    <t xml:space="preserve">SPGr Logo zu SPGr</t>
  </si>
  <si>
    <t xml:space="preserve">110312</t>
  </si>
  <si>
    <t xml:space="preserve">VNC Server Funktionslizenz</t>
  </si>
  <si>
    <t xml:space="preserve">102500</t>
  </si>
  <si>
    <t xml:space="preserve">Dichtungssatz</t>
  </si>
  <si>
    <t xml:space="preserve">OC-103382</t>
  </si>
  <si>
    <t xml:space="preserve">109152</t>
  </si>
  <si>
    <t xml:space="preserve">Verteilerblock</t>
  </si>
  <si>
    <t xml:space="preserve">106443</t>
  </si>
  <si>
    <t xml:space="preserve">005415</t>
  </si>
  <si>
    <t xml:space="preserve">Deckenlasche</t>
  </si>
  <si>
    <t xml:space="preserve">101683</t>
  </si>
  <si>
    <t xml:space="preserve">109696</t>
  </si>
  <si>
    <t xml:space="preserve">005164</t>
  </si>
  <si>
    <t xml:space="preserve">Leitungsschutzschalter</t>
  </si>
  <si>
    <t xml:space="preserve">107097</t>
  </si>
  <si>
    <t xml:space="preserve">110041</t>
  </si>
  <si>
    <t xml:space="preserve">Ordner</t>
  </si>
  <si>
    <t xml:space="preserve">107108</t>
  </si>
  <si>
    <t xml:space="preserve">108081</t>
  </si>
  <si>
    <t xml:space="preserve">Innenbox SPGr10 SVC2 3/4</t>
  </si>
  <si>
    <t xml:space="preserve">101571</t>
  </si>
  <si>
    <t xml:space="preserve">107112</t>
  </si>
  <si>
    <t xml:space="preserve">Seitenschneider</t>
  </si>
  <si>
    <t xml:space="preserve">101396</t>
  </si>
  <si>
    <t xml:space="preserve">109759</t>
  </si>
  <si>
    <t xml:space="preserve">107195</t>
  </si>
  <si>
    <t xml:space="preserve">Keilriemen zu AC260</t>
  </si>
  <si>
    <t xml:space="preserve">105470</t>
  </si>
  <si>
    <t xml:space="preserve">Anzugslehre</t>
  </si>
  <si>
    <t xml:space="preserve">109365</t>
  </si>
  <si>
    <t xml:space="preserve">Aufsteckmaulschlüssel</t>
  </si>
  <si>
    <t xml:space="preserve">005702</t>
  </si>
  <si>
    <t xml:space="preserve">Widerstand</t>
  </si>
  <si>
    <t xml:space="preserve">110309</t>
  </si>
  <si>
    <t xml:space="preserve">Verteiler</t>
  </si>
  <si>
    <t xml:space="preserve">107130</t>
  </si>
  <si>
    <t xml:space="preserve">101795</t>
  </si>
  <si>
    <t xml:space="preserve">Flammschutz TwinL</t>
  </si>
  <si>
    <t xml:space="preserve">100357</t>
  </si>
  <si>
    <t xml:space="preserve">Rohrstück Edelstahl</t>
  </si>
  <si>
    <t xml:space="preserve">108082</t>
  </si>
  <si>
    <t xml:space="preserve">Innenbox SPGr10 SVC2 4/4</t>
  </si>
  <si>
    <t xml:space="preserve">107865</t>
  </si>
  <si>
    <t xml:space="preserve">Inbusschlüssel-Satz lang</t>
  </si>
  <si>
    <t xml:space="preserve">108445</t>
  </si>
  <si>
    <t xml:space="preserve">106753</t>
  </si>
  <si>
    <t xml:space="preserve">108671</t>
  </si>
  <si>
    <t xml:space="preserve">Sensorkabel SPC800 - VP</t>
  </si>
  <si>
    <t xml:space="preserve">001034</t>
  </si>
  <si>
    <t xml:space="preserve">005694</t>
  </si>
  <si>
    <t xml:space="preserve">108080</t>
  </si>
  <si>
    <t xml:space="preserve">Innenbox SPGr10 SVC2 2/4</t>
  </si>
  <si>
    <t xml:space="preserve">005394</t>
  </si>
  <si>
    <t xml:space="preserve">106861</t>
  </si>
  <si>
    <t xml:space="preserve">108033</t>
  </si>
  <si>
    <t xml:space="preserve">Tüllengehäuse</t>
  </si>
  <si>
    <t xml:space="preserve">109164</t>
  </si>
  <si>
    <t xml:space="preserve">Winkelverschraubung Stahl verzinkt</t>
  </si>
  <si>
    <t xml:space="preserve">100350</t>
  </si>
  <si>
    <t xml:space="preserve">Filtergehäuse</t>
  </si>
  <si>
    <t xml:space="preserve">005125</t>
  </si>
  <si>
    <t xml:space="preserve">Schütz</t>
  </si>
  <si>
    <t xml:space="preserve">002075</t>
  </si>
  <si>
    <t xml:space="preserve">Brother P-touch Schriftband</t>
  </si>
  <si>
    <t xml:space="preserve">005759</t>
  </si>
  <si>
    <t xml:space="preserve">100629</t>
  </si>
  <si>
    <t xml:space="preserve">005162</t>
  </si>
  <si>
    <t xml:space="preserve">005280</t>
  </si>
  <si>
    <t xml:space="preserve">110646</t>
  </si>
  <si>
    <t xml:space="preserve">109183</t>
  </si>
  <si>
    <t xml:space="preserve">108536</t>
  </si>
  <si>
    <t xml:space="preserve">001046</t>
  </si>
  <si>
    <t xml:space="preserve">108646</t>
  </si>
  <si>
    <t xml:space="preserve">Kondensatablassventil</t>
  </si>
  <si>
    <t xml:space="preserve">108079</t>
  </si>
  <si>
    <t xml:space="preserve">Innenbox SPGr10 SVC2 1/4</t>
  </si>
  <si>
    <t xml:space="preserve">109909</t>
  </si>
  <si>
    <t xml:space="preserve">Industrie Mobilfunk Router (US)</t>
  </si>
  <si>
    <t xml:space="preserve">105478</t>
  </si>
  <si>
    <t xml:space="preserve">108528</t>
  </si>
  <si>
    <t xml:space="preserve">Sinterscheibe</t>
  </si>
  <si>
    <t xml:space="preserve">001209</t>
  </si>
  <si>
    <t xml:space="preserve">107049</t>
  </si>
  <si>
    <t xml:space="preserve">005100</t>
  </si>
  <si>
    <t xml:space="preserve">SPS Schnittstellenadapter</t>
  </si>
  <si>
    <t xml:space="preserve">109617</t>
  </si>
  <si>
    <t xml:space="preserve">005750</t>
  </si>
  <si>
    <t xml:space="preserve">T-Stück Edelstahl</t>
  </si>
  <si>
    <t xml:space="preserve">109165</t>
  </si>
  <si>
    <t xml:space="preserve">Verbindungsnippel</t>
  </si>
  <si>
    <t xml:space="preserve">107587</t>
  </si>
  <si>
    <t xml:space="preserve">Begleitschreiben, SPGr16</t>
  </si>
  <si>
    <t xml:space="preserve">109530</t>
  </si>
  <si>
    <t xml:space="preserve">Rohr komplett</t>
  </si>
  <si>
    <t xml:space="preserve">107014</t>
  </si>
  <si>
    <t xml:space="preserve">Feinfiltermatte</t>
  </si>
  <si>
    <t xml:space="preserve">107128</t>
  </si>
  <si>
    <t xml:space="preserve">106992</t>
  </si>
  <si>
    <t xml:space="preserve">Hilfsstromschalter</t>
  </si>
  <si>
    <t xml:space="preserve">001150</t>
  </si>
  <si>
    <t xml:space="preserve">Schleifvlies SCOTCH-BRITE</t>
  </si>
  <si>
    <t xml:space="preserve">001053</t>
  </si>
  <si>
    <t xml:space="preserve">Tauschdeckel SBB</t>
  </si>
  <si>
    <t xml:space="preserve">104213</t>
  </si>
  <si>
    <t xml:space="preserve">Transfermagnetventil Spule CH4</t>
  </si>
  <si>
    <t xml:space="preserve">104274</t>
  </si>
  <si>
    <t xml:space="preserve">005542</t>
  </si>
  <si>
    <t xml:space="preserve">107249</t>
  </si>
  <si>
    <t xml:space="preserve">Servicepaket AC260 Endabscheider</t>
  </si>
  <si>
    <t xml:space="preserve">106896</t>
  </si>
  <si>
    <t xml:space="preserve">106444</t>
  </si>
  <si>
    <t xml:space="preserve">Verbindungsbolzen</t>
  </si>
  <si>
    <t xml:space="preserve">107223</t>
  </si>
  <si>
    <t xml:space="preserve">Befestigungsplatte Haltevorrichtung SPGr</t>
  </si>
  <si>
    <t xml:space="preserve">100043</t>
  </si>
  <si>
    <t xml:space="preserve">005793</t>
  </si>
  <si>
    <t xml:space="preserve">106133</t>
  </si>
  <si>
    <t xml:space="preserve">101103</t>
  </si>
  <si>
    <t xml:space="preserve">106427</t>
  </si>
  <si>
    <t xml:space="preserve">109750</t>
  </si>
  <si>
    <t xml:space="preserve">107695</t>
  </si>
  <si>
    <t xml:space="preserve">Anschweisslasche</t>
  </si>
  <si>
    <t xml:space="preserve">106991</t>
  </si>
  <si>
    <t xml:space="preserve">Filterlüfter</t>
  </si>
  <si>
    <t xml:space="preserve">107051</t>
  </si>
  <si>
    <t xml:space="preserve">001051</t>
  </si>
  <si>
    <t xml:space="preserve">Tauschpalette EPAL</t>
  </si>
  <si>
    <t xml:space="preserve">106481</t>
  </si>
  <si>
    <t xml:space="preserve">SPGr</t>
  </si>
  <si>
    <t xml:space="preserve">005449</t>
  </si>
  <si>
    <t xml:space="preserve">108938</t>
  </si>
  <si>
    <t xml:space="preserve">Markierungspunkt rot</t>
  </si>
  <si>
    <t xml:space="preserve">001128</t>
  </si>
  <si>
    <t xml:space="preserve">108070</t>
  </si>
  <si>
    <t xml:space="preserve">Sicherheitsventil 2. Stufe AC260</t>
  </si>
  <si>
    <t xml:space="preserve">103608</t>
  </si>
  <si>
    <t xml:space="preserve">Verbindungselement</t>
  </si>
  <si>
    <t xml:space="preserve">005248</t>
  </si>
  <si>
    <t xml:space="preserve">Kette</t>
  </si>
  <si>
    <t xml:space="preserve">108552</t>
  </si>
  <si>
    <t xml:space="preserve">Saugventil 2. Stufe AC260</t>
  </si>
  <si>
    <t xml:space="preserve">005545</t>
  </si>
  <si>
    <t xml:space="preserve">Signalhorn mit Blitzleuchte</t>
  </si>
  <si>
    <t xml:space="preserve">100347</t>
  </si>
  <si>
    <t xml:space="preserve">109162</t>
  </si>
  <si>
    <t xml:space="preserve">Hochdruck-Ganzmetallschlauch Luft DN6</t>
  </si>
  <si>
    <t xml:space="preserve">005238</t>
  </si>
  <si>
    <t xml:space="preserve">Sicherung</t>
  </si>
  <si>
    <t xml:space="preserve">005348</t>
  </si>
  <si>
    <t xml:space="preserve">106959</t>
  </si>
  <si>
    <t xml:space="preserve">Sicheres digtales Eingangsmodul</t>
  </si>
  <si>
    <t xml:space="preserve">109342</t>
  </si>
  <si>
    <t xml:space="preserve">109382</t>
  </si>
  <si>
    <t xml:space="preserve">106853</t>
  </si>
  <si>
    <t xml:space="preserve">107858</t>
  </si>
  <si>
    <t xml:space="preserve">103275</t>
  </si>
  <si>
    <t xml:space="preserve">Halter für 3 Kettenaufhänger</t>
  </si>
  <si>
    <t xml:space="preserve">100359</t>
  </si>
  <si>
    <t xml:space="preserve">Signalhorn / Blitzleuchte</t>
  </si>
  <si>
    <t xml:space="preserve">109755</t>
  </si>
  <si>
    <t xml:space="preserve">005659</t>
  </si>
  <si>
    <t xml:space="preserve">Swibox LED Leuchte T5</t>
  </si>
  <si>
    <t xml:space="preserve">109181</t>
  </si>
  <si>
    <t xml:space="preserve">109363</t>
  </si>
  <si>
    <t xml:space="preserve">Rohrstück</t>
  </si>
  <si>
    <t xml:space="preserve">100401</t>
  </si>
  <si>
    <t xml:space="preserve">001166</t>
  </si>
  <si>
    <t xml:space="preserve">Presszange "crimp"</t>
  </si>
  <si>
    <t xml:space="preserve">005424</t>
  </si>
  <si>
    <t xml:space="preserve">Rohrstück gerade</t>
  </si>
  <si>
    <t xml:space="preserve">001122</t>
  </si>
  <si>
    <t xml:space="preserve">Tauschrahmen SBB</t>
  </si>
  <si>
    <t xml:space="preserve">001052</t>
  </si>
  <si>
    <t xml:space="preserve">101589</t>
  </si>
  <si>
    <t xml:space="preserve">105957</t>
  </si>
  <si>
    <t xml:space="preserve">108862</t>
  </si>
  <si>
    <t xml:space="preserve">Nachrüst Litzenset 2. SLM</t>
  </si>
  <si>
    <t xml:space="preserve">105858</t>
  </si>
  <si>
    <t xml:space="preserve">103476</t>
  </si>
  <si>
    <t xml:space="preserve">Montagehilfe</t>
  </si>
  <si>
    <t xml:space="preserve">005703</t>
  </si>
  <si>
    <t xml:space="preserve">Lasttrennschalter</t>
  </si>
  <si>
    <t xml:space="preserve">106901</t>
  </si>
  <si>
    <t xml:space="preserve">LED Blitzlichtelement</t>
  </si>
  <si>
    <t xml:space="preserve">109616</t>
  </si>
  <si>
    <t xml:space="preserve">005405</t>
  </si>
  <si>
    <t xml:space="preserve">Rohrleitung für Drucktransmitter</t>
  </si>
  <si>
    <t xml:space="preserve">109176</t>
  </si>
  <si>
    <t xml:space="preserve">100336</t>
  </si>
  <si>
    <t xml:space="preserve">109762</t>
  </si>
  <si>
    <t xml:space="preserve">Koaleszenz-Filerelement</t>
  </si>
  <si>
    <t xml:space="preserve">109516</t>
  </si>
  <si>
    <t xml:space="preserve">Kreuz Verschraubung</t>
  </si>
  <si>
    <t xml:space="preserve">110306</t>
  </si>
  <si>
    <t xml:space="preserve">101590</t>
  </si>
  <si>
    <t xml:space="preserve">Platte für 3 Kettenaufhänger</t>
  </si>
  <si>
    <t xml:space="preserve">108085</t>
  </si>
  <si>
    <t xml:space="preserve">Innenbox SPGr16 SVC1 3/3</t>
  </si>
  <si>
    <t xml:space="preserve">107010</t>
  </si>
  <si>
    <t xml:space="preserve">106859</t>
  </si>
  <si>
    <t xml:space="preserve">108610</t>
  </si>
  <si>
    <t xml:space="preserve">109648</t>
  </si>
  <si>
    <t xml:space="preserve">Federhänger Spezial Vanetto</t>
  </si>
  <si>
    <t xml:space="preserve">109523</t>
  </si>
  <si>
    <t xml:space="preserve">005097</t>
  </si>
  <si>
    <t xml:space="preserve">SPS Analog-Modul PT100</t>
  </si>
  <si>
    <t xml:space="preserve">107248</t>
  </si>
  <si>
    <t xml:space="preserve">Servicepaket AC260 Zwischenabscheider</t>
  </si>
  <si>
    <t xml:space="preserve">109157</t>
  </si>
  <si>
    <t xml:space="preserve">Sicherheitsventil 45 bar</t>
  </si>
  <si>
    <t xml:space="preserve">102855</t>
  </si>
  <si>
    <t xml:space="preserve">Kronenmutter</t>
  </si>
  <si>
    <t xml:space="preserve">104216</t>
  </si>
  <si>
    <t xml:space="preserve">108037</t>
  </si>
  <si>
    <t xml:space="preserve">107252</t>
  </si>
  <si>
    <t xml:space="preserve">Neu; grosser Artikel &amp; nicht im KTL</t>
  </si>
  <si>
    <t xml:space="preserve">107254</t>
  </si>
  <si>
    <t xml:space="preserve">109756</t>
  </si>
  <si>
    <t xml:space="preserve">109859</t>
  </si>
  <si>
    <t xml:space="preserve">HMI T50mobile USB-Adapter</t>
  </si>
  <si>
    <t xml:space="preserve">109161</t>
  </si>
  <si>
    <t xml:space="preserve">Gasfilter</t>
  </si>
  <si>
    <t xml:space="preserve">107224</t>
  </si>
  <si>
    <t xml:space="preserve">107250</t>
  </si>
  <si>
    <t xml:space="preserve">Servicepaket AC260 Druckhalteventil</t>
  </si>
  <si>
    <t xml:space="preserve">107240</t>
  </si>
  <si>
    <t xml:space="preserve">108647</t>
  </si>
  <si>
    <t xml:space="preserve">Temperatursensor LKE</t>
  </si>
  <si>
    <t xml:space="preserve">005355</t>
  </si>
  <si>
    <t xml:space="preserve">Brauchgasventil</t>
  </si>
  <si>
    <t xml:space="preserve">104305</t>
  </si>
  <si>
    <t xml:space="preserve">Bügelschloss</t>
  </si>
  <si>
    <t xml:space="preserve">109525</t>
  </si>
  <si>
    <t xml:space="preserve">005220</t>
  </si>
  <si>
    <t xml:space="preserve">Sicherheitsventil 45bar, N2</t>
  </si>
  <si>
    <t xml:space="preserve">107117</t>
  </si>
  <si>
    <t xml:space="preserve">101638</t>
  </si>
  <si>
    <t xml:space="preserve">VM00008</t>
  </si>
  <si>
    <t xml:space="preserve">Seitenfaltenbeutel, Einsatz für Euroboc</t>
  </si>
  <si>
    <t xml:space="preserve">101100</t>
  </si>
  <si>
    <t xml:space="preserve">108078</t>
  </si>
  <si>
    <t xml:space="preserve">Innenbox SPGr10 SVC1 3/3</t>
  </si>
  <si>
    <t xml:space="preserve">100130</t>
  </si>
  <si>
    <t xml:space="preserve">Blende Gasdruckspeicher</t>
  </si>
  <si>
    <t xml:space="preserve">101796</t>
  </si>
  <si>
    <t xml:space="preserve">109760</t>
  </si>
  <si>
    <t xml:space="preserve">101558</t>
  </si>
  <si>
    <t xml:space="preserve">102278</t>
  </si>
  <si>
    <t xml:space="preserve">106955</t>
  </si>
  <si>
    <t xml:space="preserve">Schnittstellenmodul</t>
  </si>
  <si>
    <t xml:space="preserve">106942</t>
  </si>
  <si>
    <t xml:space="preserve">105959</t>
  </si>
  <si>
    <t xml:space="preserve">Adapter Messing</t>
  </si>
  <si>
    <t xml:space="preserve">101616</t>
  </si>
  <si>
    <t xml:space="preserve">Transfermagnetventil CH4 komplett</t>
  </si>
  <si>
    <t xml:space="preserve">108480</t>
  </si>
  <si>
    <t xml:space="preserve">Reduktions Adapter</t>
  </si>
  <si>
    <t xml:space="preserve">107235</t>
  </si>
  <si>
    <t xml:space="preserve">005282</t>
  </si>
  <si>
    <t xml:space="preserve">Leitungsregler LT2000</t>
  </si>
  <si>
    <t xml:space="preserve">109318</t>
  </si>
  <si>
    <t xml:space="preserve">Leuchtmelder rot</t>
  </si>
  <si>
    <t xml:space="preserve">005091</t>
  </si>
  <si>
    <t xml:space="preserve">SPS Ethernet Kommunikationsmodul</t>
  </si>
  <si>
    <t xml:space="preserve">005225</t>
  </si>
  <si>
    <t xml:space="preserve">Glühkerzenstecker Ersatzteil</t>
  </si>
  <si>
    <t xml:space="preserve">109480</t>
  </si>
  <si>
    <t xml:space="preserve">Sicherheitsventil</t>
  </si>
  <si>
    <t xml:space="preserve">103488</t>
  </si>
  <si>
    <t xml:space="preserve">005499</t>
  </si>
  <si>
    <t xml:space="preserve">105351</t>
  </si>
  <si>
    <t xml:space="preserve">106425</t>
  </si>
  <si>
    <t xml:space="preserve">Kolbenring SPGr10</t>
  </si>
  <si>
    <t xml:space="preserve">005693</t>
  </si>
  <si>
    <t xml:space="preserve">Sicherheitsrelais</t>
  </si>
  <si>
    <t xml:space="preserve">110642</t>
  </si>
  <si>
    <t xml:space="preserve">Aufschraubadapter Edelstahl</t>
  </si>
  <si>
    <t xml:space="preserve">109170</t>
  </si>
  <si>
    <t xml:space="preserve">Bündelanschlussschlauch Brenngas</t>
  </si>
  <si>
    <t xml:space="preserve">109169</t>
  </si>
  <si>
    <t xml:space="preserve">Bündelanschlussschlauch Stickstoff</t>
  </si>
  <si>
    <t xml:space="preserve">109695</t>
  </si>
  <si>
    <t xml:space="preserve">Ansaugfilter zu Spülluftmodul</t>
  </si>
  <si>
    <t xml:space="preserve">001069</t>
  </si>
  <si>
    <t xml:space="preserve">VCI-Folie</t>
  </si>
  <si>
    <t xml:space="preserve">100383</t>
  </si>
  <si>
    <t xml:space="preserve">002063</t>
  </si>
  <si>
    <t xml:space="preserve">Sichtlagerkasten klein</t>
  </si>
  <si>
    <t xml:space="preserve">106956</t>
  </si>
  <si>
    <t xml:space="preserve">Schnittstellenmodul für PROFIBUS DP</t>
  </si>
  <si>
    <t xml:space="preserve">005644</t>
  </si>
  <si>
    <t xml:space="preserve">005359</t>
  </si>
  <si>
    <t xml:space="preserve">Abzweigdose</t>
  </si>
  <si>
    <t xml:space="preserve">100628</t>
  </si>
  <si>
    <t xml:space="preserve">106889</t>
  </si>
  <si>
    <t xml:space="preserve">PTFE-Schlauch DN6</t>
  </si>
  <si>
    <t xml:space="preserve">103254</t>
  </si>
  <si>
    <t xml:space="preserve">Abpressplatte</t>
  </si>
  <si>
    <t xml:space="preserve">001044</t>
  </si>
  <si>
    <t xml:space="preserve">108084</t>
  </si>
  <si>
    <t xml:space="preserve">Innenbox SPGr16 SVC1 2/3</t>
  </si>
  <si>
    <t xml:space="preserve">103766</t>
  </si>
  <si>
    <t xml:space="preserve">100372</t>
  </si>
  <si>
    <t xml:space="preserve">107164</t>
  </si>
  <si>
    <t xml:space="preserve">Hochdruck-Ganzmetallschlauch Luft</t>
  </si>
  <si>
    <t xml:space="preserve">100039</t>
  </si>
  <si>
    <t xml:space="preserve">002076</t>
  </si>
  <si>
    <t xml:space="preserve">103606</t>
  </si>
  <si>
    <t xml:space="preserve">Hochdruck-Ganzmetallschlauch</t>
  </si>
  <si>
    <t xml:space="preserve">107135</t>
  </si>
  <si>
    <t xml:space="preserve">Führungsstange</t>
  </si>
  <si>
    <t xml:space="preserve">107298</t>
  </si>
  <si>
    <t xml:space="preserve">Vorrichtung zu Ventilmontage</t>
  </si>
  <si>
    <t xml:space="preserve">005658</t>
  </si>
  <si>
    <t xml:space="preserve">Servicemagnet</t>
  </si>
  <si>
    <t xml:space="preserve">101769</t>
  </si>
  <si>
    <t xml:space="preserve">106895</t>
  </si>
  <si>
    <t xml:space="preserve">SPS Zentraleinheit</t>
  </si>
  <si>
    <t xml:space="preserve">109163</t>
  </si>
  <si>
    <t xml:space="preserve">108865</t>
  </si>
  <si>
    <t xml:space="preserve">Aufrüst Litzenset 1. SLM</t>
  </si>
  <si>
    <t xml:space="preserve">106953</t>
  </si>
  <si>
    <t xml:space="preserve">Digitales Relaismodul Ausgang</t>
  </si>
  <si>
    <t xml:space="preserve">102490</t>
  </si>
  <si>
    <t xml:space="preserve">002043</t>
  </si>
  <si>
    <t xml:space="preserve">Holzfaltkiste Premium</t>
  </si>
  <si>
    <t xml:space="preserve">108083</t>
  </si>
  <si>
    <t xml:space="preserve">Innenbox SPGr16 SVC1 1/3</t>
  </si>
  <si>
    <t xml:space="preserve">109156</t>
  </si>
  <si>
    <t xml:space="preserve">106137</t>
  </si>
  <si>
    <t xml:space="preserve">109787</t>
  </si>
  <si>
    <t xml:space="preserve">108046</t>
  </si>
  <si>
    <t xml:space="preserve">106704</t>
  </si>
  <si>
    <t xml:space="preserve">109074</t>
  </si>
  <si>
    <t xml:space="preserve">106934</t>
  </si>
  <si>
    <t xml:space="preserve">Sicherheitssteuerung</t>
  </si>
  <si>
    <t xml:space="preserve">005423</t>
  </si>
  <si>
    <t xml:space="preserve">005440</t>
  </si>
  <si>
    <t xml:space="preserve">Bis auf 10stk?</t>
  </si>
  <si>
    <t xml:space="preserve">109364</t>
  </si>
  <si>
    <t xml:space="preserve">100403</t>
  </si>
  <si>
    <t xml:space="preserve">Ventilblock</t>
  </si>
  <si>
    <t xml:space="preserve">005309</t>
  </si>
  <si>
    <t xml:space="preserve">Kolbenabzug komplett</t>
  </si>
  <si>
    <t xml:space="preserve">101159</t>
  </si>
  <si>
    <t xml:space="preserve">108077</t>
  </si>
  <si>
    <t xml:space="preserve">Innenbox SPGr10 SVC1 2/3</t>
  </si>
  <si>
    <t xml:space="preserve">108076</t>
  </si>
  <si>
    <t xml:space="preserve">Innenbox SPGr10 SVC1 1/3</t>
  </si>
  <si>
    <t xml:space="preserve">106973</t>
  </si>
  <si>
    <t xml:space="preserve">108088</t>
  </si>
  <si>
    <t xml:space="preserve">Innenbox SPGr16 SVC2 3/4</t>
  </si>
  <si>
    <t xml:space="preserve">108430</t>
  </si>
  <si>
    <t xml:space="preserve">Koffer Servicetechniker Set SPGr</t>
  </si>
  <si>
    <t xml:space="preserve">108087</t>
  </si>
  <si>
    <t xml:space="preserve">Innenbox SPGr16 SVC2 2/4</t>
  </si>
  <si>
    <t xml:space="preserve">106426</t>
  </si>
  <si>
    <t xml:space="preserve">108074</t>
  </si>
  <si>
    <t xml:space="preserve">Palettenbox SPGr16 SVC1</t>
  </si>
  <si>
    <t xml:space="preserve">109199</t>
  </si>
  <si>
    <t xml:space="preserve">109173</t>
  </si>
  <si>
    <t xml:space="preserve">106994</t>
  </si>
  <si>
    <t xml:space="preserve">B&amp;R</t>
  </si>
  <si>
    <t xml:space="preserve">106962</t>
  </si>
  <si>
    <t xml:space="preserve">Sicheres digtales Ausgangsmodul</t>
  </si>
  <si>
    <t xml:space="preserve">109788</t>
  </si>
  <si>
    <t xml:space="preserve">109155</t>
  </si>
  <si>
    <t xml:space="preserve">106939</t>
  </si>
  <si>
    <t xml:space="preserve">109154</t>
  </si>
  <si>
    <t xml:space="preserve">Drehabsperr-Ventil</t>
  </si>
  <si>
    <t xml:space="preserve">005279</t>
  </si>
  <si>
    <t xml:space="preserve">Schallsensor</t>
  </si>
  <si>
    <t xml:space="preserve">Überbestand; Braucht es diesen Artikel ?</t>
  </si>
  <si>
    <t xml:space="preserve">108073</t>
  </si>
  <si>
    <t xml:space="preserve">Palettenbox SPGr10 SVC2</t>
  </si>
  <si>
    <t xml:space="preserve">108119</t>
  </si>
  <si>
    <t xml:space="preserve">HMI GT2505-VTBD</t>
  </si>
  <si>
    <t xml:space="preserve">107251</t>
  </si>
  <si>
    <t xml:space="preserve">108089</t>
  </si>
  <si>
    <t xml:space="preserve">Innenbox SPGr16 SVC2 4/4</t>
  </si>
  <si>
    <t xml:space="preserve">100788</t>
  </si>
  <si>
    <t xml:space="preserve">Pilot Magnetventil CH4 komplett</t>
  </si>
  <si>
    <t xml:space="preserve">107367</t>
  </si>
  <si>
    <t xml:space="preserve">109328</t>
  </si>
  <si>
    <t xml:space="preserve">108849</t>
  </si>
  <si>
    <t xml:space="preserve">005084</t>
  </si>
  <si>
    <t xml:space="preserve">108220</t>
  </si>
  <si>
    <t xml:space="preserve">Zwischenflansch SPGr10</t>
  </si>
  <si>
    <t xml:space="preserve">103919</t>
  </si>
  <si>
    <t xml:space="preserve">109158</t>
  </si>
  <si>
    <t xml:space="preserve">Sicherheitsventil 40 bar</t>
  </si>
  <si>
    <t xml:space="preserve">110378</t>
  </si>
  <si>
    <t xml:space="preserve">OC-107710</t>
  </si>
  <si>
    <t xml:space="preserve">-</t>
  </si>
  <si>
    <t xml:space="preserve">001126</t>
  </si>
  <si>
    <t xml:space="preserve">Holzkiste Steuerschrank klein</t>
  </si>
  <si>
    <t xml:space="preserve">107110</t>
  </si>
  <si>
    <t xml:space="preserve">Montageschlüssel Rückschlagventile</t>
  </si>
  <si>
    <t xml:space="preserve">101624</t>
  </si>
  <si>
    <t xml:space="preserve">Grundplatte zu Aufhängung</t>
  </si>
  <si>
    <t xml:space="preserve">100348</t>
  </si>
  <si>
    <t xml:space="preserve">Filterelement</t>
  </si>
  <si>
    <t xml:space="preserve">104221</t>
  </si>
  <si>
    <t xml:space="preserve">Kabel Set EG101 - VP auf Gestell</t>
  </si>
  <si>
    <t xml:space="preserve">005583</t>
  </si>
  <si>
    <t xml:space="preserve">Sicherungsdraht</t>
  </si>
  <si>
    <t xml:space="preserve">110379</t>
  </si>
  <si>
    <t xml:space="preserve">Blindmodul</t>
  </si>
  <si>
    <t xml:space="preserve">OC-107047</t>
  </si>
  <si>
    <t xml:space="preserve">Konstanthänger komplett</t>
  </si>
  <si>
    <t xml:space="preserve">108086</t>
  </si>
  <si>
    <t xml:space="preserve">Innenbox SPGr16 SVC2 1/4</t>
  </si>
  <si>
    <t xml:space="preserve">108497</t>
  </si>
  <si>
    <t xml:space="preserve">Etikette KKS EG10-Serie/SPGr</t>
  </si>
  <si>
    <t xml:space="preserve">BEI MARIO</t>
  </si>
  <si>
    <t xml:space="preserve">109738</t>
  </si>
  <si>
    <t xml:space="preserve">108697</t>
  </si>
  <si>
    <t xml:space="preserve">Ventilkopf</t>
  </si>
  <si>
    <t xml:space="preserve">109168</t>
  </si>
  <si>
    <t xml:space="preserve">Bündelanschlussschlauch Druckluft</t>
  </si>
  <si>
    <t xml:space="preserve">106997</t>
  </si>
  <si>
    <t xml:space="preserve">Halbleiterschütz 1-phasig</t>
  </si>
  <si>
    <t xml:space="preserve">101231</t>
  </si>
  <si>
    <t xml:space="preserve">005698</t>
  </si>
  <si>
    <t xml:space="preserve">Stromversorgung</t>
  </si>
  <si>
    <t xml:space="preserve">107648</t>
  </si>
  <si>
    <t xml:space="preserve">Reserve Save Key</t>
  </si>
  <si>
    <t xml:space="preserve">103247</t>
  </si>
  <si>
    <t xml:space="preserve">Abpressdeckel</t>
  </si>
  <si>
    <t xml:space="preserve">104215</t>
  </si>
  <si>
    <t xml:space="preserve">105224</t>
  </si>
  <si>
    <t xml:space="preserve">108488</t>
  </si>
  <si>
    <t xml:space="preserve">106961</t>
  </si>
  <si>
    <t xml:space="preserve">109323</t>
  </si>
  <si>
    <t xml:space="preserve">Set bedruckte Einlagen SPGr16 SVC 1</t>
  </si>
  <si>
    <t xml:space="preserve">108357</t>
  </si>
  <si>
    <t xml:space="preserve">OC-107737</t>
  </si>
  <si>
    <t xml:space="preserve">005230</t>
  </si>
  <si>
    <t xml:space="preserve">Sicherheitsventil 40bar, CH4</t>
  </si>
  <si>
    <t xml:space="preserve">106964</t>
  </si>
  <si>
    <t xml:space="preserve">005219</t>
  </si>
  <si>
    <t xml:space="preserve">Sicherheitsventil 40bar, O2</t>
  </si>
  <si>
    <t xml:space="preserve">103752</t>
  </si>
  <si>
    <t xml:space="preserve">107684</t>
  </si>
  <si>
    <t xml:space="preserve">OC-106572</t>
  </si>
  <si>
    <t xml:space="preserve">103761</t>
  </si>
  <si>
    <t xml:space="preserve">005128</t>
  </si>
  <si>
    <t xml:space="preserve">108045</t>
  </si>
  <si>
    <t xml:space="preserve">106377</t>
  </si>
  <si>
    <t xml:space="preserve">110187</t>
  </si>
  <si>
    <t xml:space="preserve">005319</t>
  </si>
  <si>
    <t xml:space="preserve">108075</t>
  </si>
  <si>
    <t xml:space="preserve">Palettenbox SPGr16 SVC2</t>
  </si>
  <si>
    <t xml:space="preserve">109321</t>
  </si>
  <si>
    <t xml:space="preserve">Set bedruckte Einlagen SPGr10 SVC1</t>
  </si>
  <si>
    <t xml:space="preserve">106795</t>
  </si>
  <si>
    <t xml:space="preserve">001205</t>
  </si>
  <si>
    <t xml:space="preserve">Holzkiste Luftkompressor Luft &amp; See</t>
  </si>
  <si>
    <t xml:space="preserve">106946</t>
  </si>
  <si>
    <t xml:space="preserve">101454</t>
  </si>
  <si>
    <t xml:space="preserve">106864</t>
  </si>
  <si>
    <t xml:space="preserve">Site Manager 3539</t>
  </si>
  <si>
    <t xml:space="preserve">100398</t>
  </si>
  <si>
    <t xml:space="preserve">Stickstoffblock</t>
  </si>
  <si>
    <t xml:space="preserve">108877</t>
  </si>
  <si>
    <t xml:space="preserve">101452</t>
  </si>
  <si>
    <t xml:space="preserve">002044</t>
  </si>
  <si>
    <t xml:space="preserve">108821</t>
  </si>
  <si>
    <t xml:space="preserve">Klemmhalter</t>
  </si>
  <si>
    <t xml:space="preserve">100354</t>
  </si>
  <si>
    <t xml:space="preserve">105443</t>
  </si>
  <si>
    <t xml:space="preserve">109324</t>
  </si>
  <si>
    <t xml:space="preserve">Set bedruckte Einlagen SPGr16 SVC 2</t>
  </si>
  <si>
    <t xml:space="preserve">109322</t>
  </si>
  <si>
    <t xml:space="preserve">Set bedruckte Einlagen SPGr10 SVC 2</t>
  </si>
  <si>
    <t xml:space="preserve">OC-100396</t>
  </si>
  <si>
    <t xml:space="preserve">Ventilpanel komplett, Grundpanel</t>
  </si>
  <si>
    <t xml:space="preserve">110023</t>
  </si>
  <si>
    <t xml:space="preserve">Kugelschreiber</t>
  </si>
  <si>
    <t xml:space="preserve">100787</t>
  </si>
  <si>
    <t xml:space="preserve">Pilot Magnetventil O2 komplett</t>
  </si>
  <si>
    <t xml:space="preserve">005118</t>
  </si>
  <si>
    <t xml:space="preserve">Rundstrahlantenne</t>
  </si>
  <si>
    <t xml:space="preserve">107410</t>
  </si>
  <si>
    <t xml:space="preserve">105980</t>
  </si>
  <si>
    <t xml:space="preserve">Gasdruckspeicher Gehäuse SPGr16</t>
  </si>
  <si>
    <t xml:space="preserve">001204</t>
  </si>
  <si>
    <t xml:space="preserve">Holzkiste SPGr16 + SPC800 Luft &amp; See</t>
  </si>
  <si>
    <t xml:space="preserve">107137</t>
  </si>
  <si>
    <t xml:space="preserve">Servicepaket AC260-SVC12</t>
  </si>
  <si>
    <t xml:space="preserve">106373</t>
  </si>
  <si>
    <t xml:space="preserve">108507</t>
  </si>
  <si>
    <t xml:space="preserve">HMI GT2708-VTBD</t>
  </si>
  <si>
    <t xml:space="preserve">005233</t>
  </si>
  <si>
    <t xml:space="preserve">Secomea SiteManager</t>
  </si>
  <si>
    <t xml:space="preserve">106706</t>
  </si>
  <si>
    <t xml:space="preserve">100156</t>
  </si>
  <si>
    <t xml:space="preserve">Glühkerze</t>
  </si>
  <si>
    <t xml:space="preserve">109042</t>
  </si>
  <si>
    <t xml:space="preserve">Sensorkabel mit Tüllengehäuse</t>
  </si>
  <si>
    <t xml:space="preserve">100132</t>
  </si>
  <si>
    <t xml:space="preserve">Deckel Gasdruckspeicher</t>
  </si>
  <si>
    <t xml:space="preserve">OC-106435</t>
  </si>
  <si>
    <t xml:space="preserve">Federkonsole komplett</t>
  </si>
  <si>
    <t xml:space="preserve">101451</t>
  </si>
  <si>
    <t xml:space="preserve">105250</t>
  </si>
  <si>
    <t xml:space="preserve">106952</t>
  </si>
  <si>
    <t xml:space="preserve">Digitales I/O-Modul Ausgang</t>
  </si>
  <si>
    <t xml:space="preserve">101450</t>
  </si>
  <si>
    <t xml:space="preserve">106965</t>
  </si>
  <si>
    <t xml:space="preserve">103490</t>
  </si>
  <si>
    <t xml:space="preserve">005695</t>
  </si>
  <si>
    <t xml:space="preserve">107989</t>
  </si>
  <si>
    <t xml:space="preserve">100356</t>
  </si>
  <si>
    <t xml:space="preserve">110021</t>
  </si>
  <si>
    <t xml:space="preserve">107091</t>
  </si>
  <si>
    <t xml:space="preserve">106176</t>
  </si>
  <si>
    <t xml:space="preserve">Ventilsitzgehäuse SPGr10</t>
  </si>
  <si>
    <t xml:space="preserve">105317</t>
  </si>
  <si>
    <t xml:space="preserve">106958</t>
  </si>
  <si>
    <t xml:space="preserve">Einspeisemodul für Bus-Leiterplatte</t>
  </si>
  <si>
    <t xml:space="preserve">107401</t>
  </si>
  <si>
    <t xml:space="preserve">108741</t>
  </si>
  <si>
    <t xml:space="preserve">108670</t>
  </si>
  <si>
    <t xml:space="preserve">103382</t>
  </si>
  <si>
    <t xml:space="preserve">107992</t>
  </si>
  <si>
    <t xml:space="preserve">109171</t>
  </si>
  <si>
    <t xml:space="preserve">OC-105719</t>
  </si>
  <si>
    <t xml:space="preserve">107710</t>
  </si>
  <si>
    <t xml:space="preserve">Austrittsdüse SPGr10</t>
  </si>
  <si>
    <t xml:space="preserve">108475</t>
  </si>
  <si>
    <t xml:space="preserve">106948</t>
  </si>
  <si>
    <t xml:space="preserve">108798</t>
  </si>
  <si>
    <t xml:space="preserve">100118</t>
  </si>
  <si>
    <t xml:space="preserve">Ventilsitzeinsatz D40</t>
  </si>
  <si>
    <t xml:space="preserve">107685</t>
  </si>
  <si>
    <t xml:space="preserve">005205</t>
  </si>
  <si>
    <t xml:space="preserve">Druckregelstrecke N2</t>
  </si>
  <si>
    <t xml:space="preserve">108068</t>
  </si>
  <si>
    <t xml:space="preserve">Sicherheitsventil letzte Stufe AC260</t>
  </si>
  <si>
    <t xml:space="preserve">005052</t>
  </si>
  <si>
    <t xml:space="preserve">106705</t>
  </si>
  <si>
    <t xml:space="preserve">107825</t>
  </si>
  <si>
    <t xml:space="preserve">Standartdüse</t>
  </si>
  <si>
    <t xml:space="preserve">100353</t>
  </si>
  <si>
    <t xml:space="preserve">101249</t>
  </si>
  <si>
    <t xml:space="preserve">01C</t>
  </si>
  <si>
    <t xml:space="preserve">107402</t>
  </si>
  <si>
    <t xml:space="preserve">Ventilkabel Brenngas</t>
  </si>
  <si>
    <t xml:space="preserve">106943</t>
  </si>
  <si>
    <t xml:space="preserve">106940</t>
  </si>
  <si>
    <t xml:space="preserve">Bus Controller</t>
  </si>
  <si>
    <t xml:space="preserve">101169</t>
  </si>
  <si>
    <t xml:space="preserve">106951</t>
  </si>
  <si>
    <t xml:space="preserve">Digitales I/O-Modul Eingang</t>
  </si>
  <si>
    <t xml:space="preserve">109689</t>
  </si>
  <si>
    <t xml:space="preserve">OC-107514</t>
  </si>
  <si>
    <t xml:space="preserve">108072</t>
  </si>
  <si>
    <t xml:space="preserve">Palettenbox SPGr10 SVC1</t>
  </si>
  <si>
    <t xml:space="preserve">107136</t>
  </si>
  <si>
    <t xml:space="preserve">Servicepaket AC260-SVC11</t>
  </si>
  <si>
    <t xml:space="preserve">107016</t>
  </si>
  <si>
    <t xml:space="preserve">Speichereinheit SU80-2</t>
  </si>
  <si>
    <t xml:space="preserve">Kompressor</t>
  </si>
  <si>
    <t xml:space="preserve">005711</t>
  </si>
  <si>
    <t xml:space="preserve">Temperaturmessumformer</t>
  </si>
  <si>
    <t xml:space="preserve">100151</t>
  </si>
  <si>
    <t xml:space="preserve">Ventilgehäuse</t>
  </si>
  <si>
    <t xml:space="preserve">101428</t>
  </si>
  <si>
    <t xml:space="preserve">Rohr Anschweissstück</t>
  </si>
  <si>
    <t xml:space="preserve">100050</t>
  </si>
  <si>
    <t xml:space="preserve">Deckel zu Dosierzylinder</t>
  </si>
  <si>
    <t xml:space="preserve">OC-107560</t>
  </si>
  <si>
    <t xml:space="preserve">106729</t>
  </si>
  <si>
    <t xml:space="preserve">100317</t>
  </si>
  <si>
    <t xml:space="preserve">106985</t>
  </si>
  <si>
    <t xml:space="preserve">100277</t>
  </si>
  <si>
    <t xml:space="preserve">109754</t>
  </si>
  <si>
    <t xml:space="preserve">101448</t>
  </si>
  <si>
    <t xml:space="preserve">100888</t>
  </si>
  <si>
    <t xml:space="preserve">Rückschlagventil-Patrone</t>
  </si>
  <si>
    <t xml:space="preserve">005089</t>
  </si>
  <si>
    <t xml:space="preserve">Bedienpanel MMI Touch</t>
  </si>
  <si>
    <t xml:space="preserve">OC-106804</t>
  </si>
  <si>
    <t xml:space="preserve">107093</t>
  </si>
  <si>
    <t xml:space="preserve">Werkzeugkiste (Behälter)</t>
  </si>
  <si>
    <t xml:space="preserve">100343</t>
  </si>
  <si>
    <t xml:space="preserve">Kugelhahn CH4/N2</t>
  </si>
  <si>
    <t xml:space="preserve">107400</t>
  </si>
  <si>
    <t xml:space="preserve">106725</t>
  </si>
  <si>
    <t xml:space="preserve">107951</t>
  </si>
  <si>
    <t xml:space="preserve">Verpackung Servicepaket SPGr16 SVC2</t>
  </si>
  <si>
    <t xml:space="preserve">106960</t>
  </si>
  <si>
    <t xml:space="preserve">109095</t>
  </si>
  <si>
    <t xml:space="preserve">Zentrierscheibe</t>
  </si>
  <si>
    <t xml:space="preserve">005206</t>
  </si>
  <si>
    <t xml:space="preserve">Entspannungsstation</t>
  </si>
  <si>
    <t xml:space="preserve">106954</t>
  </si>
  <si>
    <t xml:space="preserve">Digitales Modul IO-Link</t>
  </si>
  <si>
    <t xml:space="preserve">107065</t>
  </si>
  <si>
    <t xml:space="preserve">Rohr Anschweissstück DN200</t>
  </si>
  <si>
    <t xml:space="preserve">107764</t>
  </si>
  <si>
    <t xml:space="preserve">105714</t>
  </si>
  <si>
    <t xml:space="preserve">Zündplatte</t>
  </si>
  <si>
    <t xml:space="preserve">102305</t>
  </si>
  <si>
    <t xml:space="preserve">Mischgehäuse TwinL</t>
  </si>
  <si>
    <t xml:space="preserve">005349</t>
  </si>
  <si>
    <t xml:space="preserve">107999</t>
  </si>
  <si>
    <t xml:space="preserve">106938</t>
  </si>
  <si>
    <t xml:space="preserve">Analoges Ausgangsmodul</t>
  </si>
  <si>
    <t xml:space="preserve">109326</t>
  </si>
  <si>
    <t xml:space="preserve">107862</t>
  </si>
  <si>
    <t xml:space="preserve">100054</t>
  </si>
  <si>
    <t xml:space="preserve">Kolbenring</t>
  </si>
  <si>
    <t xml:space="preserve">105266</t>
  </si>
  <si>
    <t xml:space="preserve">Zündplatte TwinL, komplett</t>
  </si>
  <si>
    <t xml:space="preserve">107640</t>
  </si>
  <si>
    <t xml:space="preserve">OC-100444</t>
  </si>
  <si>
    <t xml:space="preserve">Shock Pulse Generator EG10XL komplett</t>
  </si>
  <si>
    <t xml:space="preserve">107516</t>
  </si>
  <si>
    <t xml:space="preserve">101617</t>
  </si>
  <si>
    <t xml:space="preserve">Transfermagnetventil O2 komplett</t>
  </si>
  <si>
    <t xml:space="preserve">100120</t>
  </si>
  <si>
    <t xml:space="preserve">Flansch Ventilsitz</t>
  </si>
  <si>
    <t xml:space="preserve">OC-105718</t>
  </si>
  <si>
    <t xml:space="preserve">SPC800 Base</t>
  </si>
  <si>
    <t xml:space="preserve">106422</t>
  </si>
  <si>
    <t xml:space="preserve">Kolbenring SPGr16</t>
  </si>
  <si>
    <t xml:space="preserve">109320</t>
  </si>
  <si>
    <t xml:space="preserve">108759</t>
  </si>
  <si>
    <t xml:space="preserve">005087</t>
  </si>
  <si>
    <t xml:space="preserve">110392</t>
  </si>
  <si>
    <t xml:space="preserve">Litzensatz - Aufrüstung SPC800 V3.0.0</t>
  </si>
  <si>
    <t xml:space="preserve">105985</t>
  </si>
  <si>
    <t xml:space="preserve">Ventilsitzadapter SPGr16</t>
  </si>
  <si>
    <t xml:space="preserve">109292</t>
  </si>
  <si>
    <t xml:space="preserve">Elektroschema - Nacharbeit</t>
  </si>
  <si>
    <t xml:space="preserve">106950</t>
  </si>
  <si>
    <t xml:space="preserve">Temperatur Eingangsmodul</t>
  </si>
  <si>
    <t xml:space="preserve">106936</t>
  </si>
  <si>
    <t xml:space="preserve">Power Panel T50</t>
  </si>
  <si>
    <t xml:space="preserve">108168</t>
  </si>
  <si>
    <t xml:space="preserve">105962</t>
  </si>
  <si>
    <t xml:space="preserve">109737</t>
  </si>
  <si>
    <t xml:space="preserve">Druckregelstrecke SPGr Luft</t>
  </si>
  <si>
    <t xml:space="preserve">109758</t>
  </si>
  <si>
    <t xml:space="preserve">107950</t>
  </si>
  <si>
    <t xml:space="preserve">Verpackung Servicepaket SPGr16 SVC1</t>
  </si>
  <si>
    <t xml:space="preserve">100055</t>
  </si>
  <si>
    <t xml:space="preserve">106423</t>
  </si>
  <si>
    <t xml:space="preserve">108800</t>
  </si>
  <si>
    <t xml:space="preserve">106937</t>
  </si>
  <si>
    <t xml:space="preserve">Analoges Eingangsmodul</t>
  </si>
  <si>
    <t xml:space="preserve">105305</t>
  </si>
  <si>
    <t xml:space="preserve">101828</t>
  </si>
  <si>
    <t xml:space="preserve">OC-100168</t>
  </si>
  <si>
    <t xml:space="preserve">Shock Pulse Generator TwinL komplett</t>
  </si>
  <si>
    <t xml:space="preserve">106888</t>
  </si>
  <si>
    <t xml:space="preserve">107949</t>
  </si>
  <si>
    <t xml:space="preserve">Verpackung Servicepaket SPGr10 SVC2</t>
  </si>
  <si>
    <t xml:space="preserve">109089</t>
  </si>
  <si>
    <t xml:space="preserve">Gasdruckspeicher Flansch SPGr16</t>
  </si>
  <si>
    <t xml:space="preserve">105315</t>
  </si>
  <si>
    <t xml:space="preserve">Gasdruckspeicher Gehäuse SPGr10</t>
  </si>
  <si>
    <t xml:space="preserve">107870</t>
  </si>
  <si>
    <t xml:space="preserve">Ventilsitz SPGr10</t>
  </si>
  <si>
    <t xml:space="preserve">103764</t>
  </si>
  <si>
    <t xml:space="preserve">OC-106183</t>
  </si>
  <si>
    <t xml:space="preserve">Shock Pulse Generator SPGr16 komplett</t>
  </si>
  <si>
    <t xml:space="preserve">106075</t>
  </si>
  <si>
    <t xml:space="preserve">Deckel zu Verbrennungszylinder</t>
  </si>
  <si>
    <t xml:space="preserve">109146</t>
  </si>
  <si>
    <t xml:space="preserve">Druckregelstrecke Stickstoff</t>
  </si>
  <si>
    <t xml:space="preserve">110333</t>
  </si>
  <si>
    <t xml:space="preserve">106076</t>
  </si>
  <si>
    <t xml:space="preserve">Verbrennungszylinder EG10XL</t>
  </si>
  <si>
    <t xml:space="preserve">106798</t>
  </si>
  <si>
    <t xml:space="preserve">Druckregelstrecke Luft</t>
  </si>
  <si>
    <t xml:space="preserve">109094</t>
  </si>
  <si>
    <t xml:space="preserve">108329</t>
  </si>
  <si>
    <t xml:space="preserve">Kugelhahn Brenngas Ventilpanel</t>
  </si>
  <si>
    <t xml:space="preserve">106590</t>
  </si>
  <si>
    <t xml:space="preserve">107821</t>
  </si>
  <si>
    <t xml:space="preserve">106579</t>
  </si>
  <si>
    <t xml:space="preserve">100058</t>
  </si>
  <si>
    <t xml:space="preserve">Kolben</t>
  </si>
  <si>
    <t xml:space="preserve">107568</t>
  </si>
  <si>
    <t xml:space="preserve">106931</t>
  </si>
  <si>
    <t xml:space="preserve">106963</t>
  </si>
  <si>
    <t xml:space="preserve">107192</t>
  </si>
  <si>
    <t xml:space="preserve">Servicepaket SPGr10 SVC2</t>
  </si>
  <si>
    <t xml:space="preserve">109145</t>
  </si>
  <si>
    <t xml:space="preserve">Druckregelstrecke Brenngas</t>
  </si>
  <si>
    <t xml:space="preserve">108491</t>
  </si>
  <si>
    <t xml:space="preserve">106239</t>
  </si>
  <si>
    <t xml:space="preserve">Verbrennungszylinder EG10L</t>
  </si>
  <si>
    <t xml:space="preserve">109088</t>
  </si>
  <si>
    <t xml:space="preserve">Gasdruckspeicher Flansch SPGr10</t>
  </si>
  <si>
    <t xml:space="preserve">108624</t>
  </si>
  <si>
    <t xml:space="preserve">107948</t>
  </si>
  <si>
    <t xml:space="preserve">Verpackung Servicepaket SPGr10 SVC1</t>
  </si>
  <si>
    <t xml:space="preserve">107817</t>
  </si>
  <si>
    <t xml:space="preserve">107194</t>
  </si>
  <si>
    <t xml:space="preserve">Servicepaket SPGr16 SVC2</t>
  </si>
  <si>
    <t xml:space="preserve">109194</t>
  </si>
  <si>
    <t xml:space="preserve">101245</t>
  </si>
  <si>
    <t xml:space="preserve">108494</t>
  </si>
  <si>
    <t xml:space="preserve">110377</t>
  </si>
  <si>
    <t xml:space="preserve">Sicheres Strom-Eingangsmodul</t>
  </si>
  <si>
    <t xml:space="preserve">108495</t>
  </si>
  <si>
    <t xml:space="preserve">106819</t>
  </si>
  <si>
    <t xml:space="preserve">108496</t>
  </si>
  <si>
    <t xml:space="preserve">001145</t>
  </si>
  <si>
    <t xml:space="preserve">Atemschutzmaske</t>
  </si>
  <si>
    <t xml:space="preserve">nur im Artikelstamm (Bestand 23.06.2026); Verb.Lager</t>
  </si>
  <si>
    <t xml:space="preserve">001167</t>
  </si>
  <si>
    <t xml:space="preserve">Einsteck Knarre</t>
  </si>
  <si>
    <t xml:space="preserve">nur im Artikelstamm (Bestand 23.06.2026); Überbestand</t>
  </si>
  <si>
    <t xml:space="preserve">002036</t>
  </si>
  <si>
    <t xml:space="preserve">Universalmesser</t>
  </si>
  <si>
    <t xml:space="preserve">nur im Artikelstamm (Bestand 23.06.2026)</t>
  </si>
  <si>
    <t xml:space="preserve">002050</t>
  </si>
  <si>
    <t xml:space="preserve">Gewindebohrer M16</t>
  </si>
  <si>
    <t xml:space="preserve">005090</t>
  </si>
  <si>
    <t xml:space="preserve">SPS Konverter MMI</t>
  </si>
  <si>
    <t xml:space="preserve">005092</t>
  </si>
  <si>
    <t xml:space="preserve">SPS Kabel zu MMI 3m</t>
  </si>
  <si>
    <t xml:space="preserve">005095</t>
  </si>
  <si>
    <t xml:space="preserve">SPS Erweiterungs-Modul</t>
  </si>
  <si>
    <t xml:space="preserve">005124</t>
  </si>
  <si>
    <t xml:space="preserve">Hilfskontakt zu LS</t>
  </si>
  <si>
    <t xml:space="preserve">005126</t>
  </si>
  <si>
    <t xml:space="preserve">Hilfskontakt AB 4P. zu K-Schütz</t>
  </si>
  <si>
    <t xml:space="preserve">005134</t>
  </si>
  <si>
    <t xml:space="preserve">Phönix DC Speisegerät 10A</t>
  </si>
  <si>
    <t xml:space="preserve">005135</t>
  </si>
  <si>
    <t xml:space="preserve">005137</t>
  </si>
  <si>
    <t xml:space="preserve">Schalter Kraus &amp; Naimer stand.</t>
  </si>
  <si>
    <t xml:space="preserve">005138</t>
  </si>
  <si>
    <t xml:space="preserve">Telemecanique Not-Aus Taster komplett</t>
  </si>
  <si>
    <t xml:space="preserve">005141</t>
  </si>
  <si>
    <t xml:space="preserve">Sicherungsklemme mit LED für 5x20</t>
  </si>
  <si>
    <t xml:space="preserve">005237</t>
  </si>
  <si>
    <t xml:space="preserve">005275</t>
  </si>
  <si>
    <t xml:space="preserve">Magnetspule Parker</t>
  </si>
  <si>
    <t xml:space="preserve">005340</t>
  </si>
  <si>
    <t xml:space="preserve">005353</t>
  </si>
  <si>
    <t xml:space="preserve">005368</t>
  </si>
  <si>
    <t xml:space="preserve">SPS USB-Schnittstellenadapter</t>
  </si>
  <si>
    <t xml:space="preserve">005399</t>
  </si>
  <si>
    <t xml:space="preserve">Pinsel klein/gross</t>
  </si>
  <si>
    <t xml:space="preserve">005404</t>
  </si>
  <si>
    <t xml:space="preserve">Sicherheits-Hilfsschütz</t>
  </si>
  <si>
    <t xml:space="preserve">005413</t>
  </si>
  <si>
    <t xml:space="preserve">005414</t>
  </si>
  <si>
    <t xml:space="preserve">Klemmbügel</t>
  </si>
  <si>
    <t xml:space="preserve">005416</t>
  </si>
  <si>
    <t xml:space="preserve">005436</t>
  </si>
  <si>
    <t xml:space="preserve">Eingangsfilter Absperrventil DRS</t>
  </si>
  <si>
    <t xml:space="preserve">005438</t>
  </si>
  <si>
    <t xml:space="preserve">Filterscheibe DRS</t>
  </si>
  <si>
    <t xml:space="preserve">005550</t>
  </si>
  <si>
    <t xml:space="preserve">Filterscheibe BT2000</t>
  </si>
  <si>
    <t xml:space="preserve">005551</t>
  </si>
  <si>
    <t xml:space="preserve">Filterhülse BT2000</t>
  </si>
  <si>
    <t xml:space="preserve">005638</t>
  </si>
  <si>
    <t xml:space="preserve">Netzwerkkabel 2.0m</t>
  </si>
  <si>
    <t xml:space="preserve">005643</t>
  </si>
  <si>
    <t xml:space="preserve">Netzwerkkabel 20.0m</t>
  </si>
  <si>
    <t xml:space="preserve">005697</t>
  </si>
  <si>
    <t xml:space="preserve">Stromversorgung 230AC/24VDC</t>
  </si>
  <si>
    <t xml:space="preserve">005752</t>
  </si>
  <si>
    <t xml:space="preserve">Stecker komplett zu Heizpatrone</t>
  </si>
  <si>
    <t xml:space="preserve">005787</t>
  </si>
  <si>
    <t xml:space="preserve">Eingangsfilter komplett</t>
  </si>
  <si>
    <t xml:space="preserve">005802</t>
  </si>
  <si>
    <t xml:space="preserve">Schütz AB 100-K05DJ10</t>
  </si>
  <si>
    <t xml:space="preserve">005807</t>
  </si>
  <si>
    <t xml:space="preserve">nur im Artikelstamm (Bestand 23.06.2026); Handlager</t>
  </si>
  <si>
    <t xml:space="preserve">100344</t>
  </si>
  <si>
    <t xml:space="preserve">Kugelhahn O2</t>
  </si>
  <si>
    <t xml:space="preserve">100355</t>
  </si>
  <si>
    <t xml:space="preserve">102478</t>
  </si>
  <si>
    <t xml:space="preserve">nur im Artikelstamm (Bestand 23.06.2026); Twin</t>
  </si>
  <si>
    <t xml:space="preserve">102923</t>
  </si>
  <si>
    <t xml:space="preserve">Heizplatte</t>
  </si>
  <si>
    <t xml:space="preserve">103030</t>
  </si>
  <si>
    <t xml:space="preserve">103032</t>
  </si>
  <si>
    <t xml:space="preserve">Isolationsplatte</t>
  </si>
  <si>
    <t xml:space="preserve">103493</t>
  </si>
  <si>
    <t xml:space="preserve">Heizpatrone, spritzwassergeschützt</t>
  </si>
  <si>
    <t xml:space="preserve">103571</t>
  </si>
  <si>
    <t xml:space="preserve">Kartenleser USB 3.0</t>
  </si>
  <si>
    <t xml:space="preserve">104054</t>
  </si>
  <si>
    <t xml:space="preserve">Inbus Einsatz SW10</t>
  </si>
  <si>
    <t xml:space="preserve">104055</t>
  </si>
  <si>
    <t xml:space="preserve">Inbus Einsatz SW12</t>
  </si>
  <si>
    <t xml:space="preserve">104056</t>
  </si>
  <si>
    <t xml:space="preserve">Inbus Einsatz SW14</t>
  </si>
  <si>
    <t xml:space="preserve">105427</t>
  </si>
  <si>
    <t xml:space="preserve">Distanzring</t>
  </si>
  <si>
    <t xml:space="preserve">105852</t>
  </si>
  <si>
    <t xml:space="preserve">106216</t>
  </si>
  <si>
    <t xml:space="preserve">Aufhängung</t>
  </si>
  <si>
    <t xml:space="preserve">106365</t>
  </si>
  <si>
    <t xml:space="preserve">Temperaturfühler PT100, einschraubbar</t>
  </si>
  <si>
    <t xml:space="preserve">106439</t>
  </si>
  <si>
    <t xml:space="preserve">106440</t>
  </si>
  <si>
    <t xml:space="preserve">Brenngasblock</t>
  </si>
  <si>
    <t xml:space="preserve">106441</t>
  </si>
  <si>
    <t xml:space="preserve">106442</t>
  </si>
  <si>
    <t xml:space="preserve">106456</t>
  </si>
  <si>
    <t xml:space="preserve">nur im Artikelstamm (Bestand 23.06.2026); Neu</t>
  </si>
  <si>
    <t xml:space="preserve">106498</t>
  </si>
  <si>
    <t xml:space="preserve">Platte N2-Ablass komplett</t>
  </si>
  <si>
    <t xml:space="preserve">106537</t>
  </si>
  <si>
    <t xml:space="preserve">106553</t>
  </si>
  <si>
    <t xml:space="preserve">106568</t>
  </si>
  <si>
    <t xml:space="preserve">106740</t>
  </si>
  <si>
    <t xml:space="preserve">Druckreglerkabel</t>
  </si>
  <si>
    <t xml:space="preserve">106793</t>
  </si>
  <si>
    <t xml:space="preserve">Magnetventil Grundsockel</t>
  </si>
  <si>
    <t xml:space="preserve">106982</t>
  </si>
  <si>
    <t xml:space="preserve">Ethernet Switch, 5 TP-RJ45-Ports</t>
  </si>
  <si>
    <t xml:space="preserve">nur im Artikelstamm (Bestand 23.06.2026); B&amp;R</t>
  </si>
  <si>
    <t xml:space="preserve">106983</t>
  </si>
  <si>
    <t xml:space="preserve">Ethernet Switch, 8 TP-RJ45-Ports</t>
  </si>
  <si>
    <t xml:space="preserve">106987</t>
  </si>
  <si>
    <t xml:space="preserve">Innentemperaturregler</t>
  </si>
  <si>
    <t xml:space="preserve">106995</t>
  </si>
  <si>
    <t xml:space="preserve">Leitungsschutzschalter 10kA, 2-polig</t>
  </si>
  <si>
    <t xml:space="preserve">107210</t>
  </si>
  <si>
    <t xml:space="preserve">107366</t>
  </si>
  <si>
    <t xml:space="preserve">107615</t>
  </si>
  <si>
    <t xml:space="preserve">Scheibe Vertikale Aufhängung SPGr</t>
  </si>
  <si>
    <t xml:space="preserve">107643</t>
  </si>
  <si>
    <t xml:space="preserve">107649</t>
  </si>
  <si>
    <t xml:space="preserve">Leitungsschutzschalter 3P+N</t>
  </si>
  <si>
    <t xml:space="preserve">107651</t>
  </si>
  <si>
    <t xml:space="preserve">Lasche</t>
  </si>
  <si>
    <t xml:space="preserve">107689</t>
  </si>
  <si>
    <t xml:space="preserve">Honbürste DN16</t>
  </si>
  <si>
    <t xml:space="preserve">107690</t>
  </si>
  <si>
    <t xml:space="preserve">Honbürste DN20</t>
  </si>
  <si>
    <t xml:space="preserve">107794</t>
  </si>
  <si>
    <t xml:space="preserve">Sicherungsklemme</t>
  </si>
  <si>
    <t xml:space="preserve">107856</t>
  </si>
  <si>
    <t xml:space="preserve">SN-Schild Luftkompressor AC200</t>
  </si>
  <si>
    <t xml:space="preserve">108006</t>
  </si>
  <si>
    <t xml:space="preserve">108144</t>
  </si>
  <si>
    <t xml:space="preserve">108163</t>
  </si>
  <si>
    <t xml:space="preserve">Ersatzteilset für Druckregler HSD-U15</t>
  </si>
  <si>
    <t xml:space="preserve">108447</t>
  </si>
  <si>
    <t xml:space="preserve">Radialventilator 8-pol</t>
  </si>
  <si>
    <t xml:space="preserve">108490</t>
  </si>
  <si>
    <t xml:space="preserve">Anschweissstück Swagelok 10mm</t>
  </si>
  <si>
    <t xml:space="preserve">108505</t>
  </si>
  <si>
    <t xml:space="preserve">108537</t>
  </si>
  <si>
    <t xml:space="preserve">108645</t>
  </si>
  <si>
    <t xml:space="preserve">Drucktransmitterkabel SPC800 - VP</t>
  </si>
  <si>
    <t xml:space="preserve">108648</t>
  </si>
  <si>
    <t xml:space="preserve">Flexhon 320</t>
  </si>
  <si>
    <t xml:space="preserve">108649</t>
  </si>
  <si>
    <t xml:space="preserve">109188</t>
  </si>
  <si>
    <t xml:space="preserve">001037</t>
  </si>
  <si>
    <t xml:space="preserve">Schraubensicherung hochfest</t>
  </si>
  <si>
    <t xml:space="preserve">001198</t>
  </si>
  <si>
    <t xml:space="preserve">Ablösbare Markierungspunkte orange</t>
  </si>
  <si>
    <t xml:space="preserve">001201</t>
  </si>
  <si>
    <t xml:space="preserve">Holzkiste SPGr10 + SPC800 See</t>
  </si>
  <si>
    <t xml:space="preserve">001202</t>
  </si>
  <si>
    <t xml:space="preserve">Holzkiste SPGr16 + SPC800 See</t>
  </si>
  <si>
    <t xml:space="preserve">002059</t>
  </si>
  <si>
    <t xml:space="preserve">Windeisen</t>
  </si>
  <si>
    <t xml:space="preserve">002066</t>
  </si>
  <si>
    <t xml:space="preserve">Markierspray</t>
  </si>
  <si>
    <t xml:space="preserve">005041</t>
  </si>
  <si>
    <t xml:space="preserve">Ringwellschlauch O2/CH4</t>
  </si>
  <si>
    <t xml:space="preserve">005049</t>
  </si>
  <si>
    <t xml:space="preserve">005064</t>
  </si>
  <si>
    <t xml:space="preserve">005093</t>
  </si>
  <si>
    <t xml:space="preserve">SPS Kabel GT15 (GT16) zu Konverter</t>
  </si>
  <si>
    <t xml:space="preserve">005096</t>
  </si>
  <si>
    <t xml:space="preserve">SPS Analog-Modul</t>
  </si>
  <si>
    <t xml:space="preserve">005098</t>
  </si>
  <si>
    <t xml:space="preserve">JUMPFLEX Messumformer</t>
  </si>
  <si>
    <t xml:space="preserve">005099</t>
  </si>
  <si>
    <t xml:space="preserve">SPS RS485-Schnittstellenadapter</t>
  </si>
  <si>
    <t xml:space="preserve">005127</t>
  </si>
  <si>
    <t xml:space="preserve">Hilfsschütz AB 700-Kxxx 24VDC</t>
  </si>
  <si>
    <t xml:space="preserve">005146</t>
  </si>
  <si>
    <t xml:space="preserve">Reihenklemme gross</t>
  </si>
  <si>
    <t xml:space="preserve">005147</t>
  </si>
  <si>
    <t xml:space="preserve">Distanzplatte zu Reihenklemme gross</t>
  </si>
  <si>
    <t xml:space="preserve">005153</t>
  </si>
  <si>
    <t xml:space="preserve">005160</t>
  </si>
  <si>
    <t xml:space="preserve">005265</t>
  </si>
  <si>
    <t xml:space="preserve">005270</t>
  </si>
  <si>
    <t xml:space="preserve">Spulen-Montageset Parker</t>
  </si>
  <si>
    <t xml:space="preserve">005272</t>
  </si>
  <si>
    <t xml:space="preserve">PUR-PUR-Kabel</t>
  </si>
  <si>
    <t xml:space="preserve">nur im Artikelstamm (Bestand 23.06.2026); Überbestand; grosser Artikel &amp; nicht im KTL</t>
  </si>
  <si>
    <t xml:space="preserve">005301</t>
  </si>
  <si>
    <t xml:space="preserve">005382</t>
  </si>
  <si>
    <t xml:space="preserve">005408</t>
  </si>
  <si>
    <t xml:space="preserve">Magnetventil 4mm Spülluft</t>
  </si>
  <si>
    <t xml:space="preserve">005420</t>
  </si>
  <si>
    <t xml:space="preserve">005421</t>
  </si>
  <si>
    <t xml:space="preserve">005426</t>
  </si>
  <si>
    <t xml:space="preserve">Leitungsregler LM51</t>
  </si>
  <si>
    <t xml:space="preserve">005427</t>
  </si>
  <si>
    <t xml:space="preserve">005428</t>
  </si>
  <si>
    <t xml:space="preserve">005429</t>
  </si>
  <si>
    <t xml:space="preserve">005430</t>
  </si>
  <si>
    <t xml:space="preserve">005431</t>
  </si>
  <si>
    <t xml:space="preserve">005432</t>
  </si>
  <si>
    <t xml:space="preserve">Anschlussstück O2</t>
  </si>
  <si>
    <t xml:space="preserve">005433</t>
  </si>
  <si>
    <t xml:space="preserve">Anschlussstück CH4</t>
  </si>
  <si>
    <t xml:space="preserve">005434</t>
  </si>
  <si>
    <t xml:space="preserve">Anschlussstück N2</t>
  </si>
  <si>
    <t xml:space="preserve">005454</t>
  </si>
  <si>
    <t xml:space="preserve">005487</t>
  </si>
  <si>
    <t xml:space="preserve">Steuerkabel zu Drucksensoren</t>
  </si>
  <si>
    <t xml:space="preserve">005488</t>
  </si>
  <si>
    <t xml:space="preserve">Steuerkabel zu Blitzleuchte</t>
  </si>
  <si>
    <t xml:space="preserve">005493</t>
  </si>
  <si>
    <t xml:space="preserve">005494</t>
  </si>
  <si>
    <t xml:space="preserve">005547</t>
  </si>
  <si>
    <t xml:space="preserve">Drucktransmitter Wika O2</t>
  </si>
  <si>
    <t xml:space="preserve">005570</t>
  </si>
  <si>
    <t xml:space="preserve">Dichtung/CU</t>
  </si>
  <si>
    <t xml:space="preserve">005577</t>
  </si>
  <si>
    <t xml:space="preserve">Drucktransmitter Wika CH4</t>
  </si>
  <si>
    <t xml:space="preserve">005578</t>
  </si>
  <si>
    <t xml:space="preserve">Drucktransmitter Wika</t>
  </si>
  <si>
    <t xml:space="preserve">005579</t>
  </si>
  <si>
    <t xml:space="preserve">005591</t>
  </si>
  <si>
    <t xml:space="preserve">005598</t>
  </si>
  <si>
    <t xml:space="preserve">Telemecanique Taster / Lampe rot</t>
  </si>
  <si>
    <t xml:space="preserve">005600</t>
  </si>
  <si>
    <t xml:space="preserve">Zwillings-Aderendhülse isoliert</t>
  </si>
  <si>
    <t xml:space="preserve">005620</t>
  </si>
  <si>
    <t xml:space="preserve">Steuerkabel</t>
  </si>
  <si>
    <t xml:space="preserve">005630</t>
  </si>
  <si>
    <t xml:space="preserve">Aderendhülse in Streudose</t>
  </si>
  <si>
    <t xml:space="preserve">005653</t>
  </si>
  <si>
    <t xml:space="preserve">Blindstopfen mit Mutter</t>
  </si>
  <si>
    <t xml:space="preserve">005654</t>
  </si>
  <si>
    <t xml:space="preserve">Kabelverschraubung Progress</t>
  </si>
  <si>
    <t xml:space="preserve">005655</t>
  </si>
  <si>
    <t xml:space="preserve">005666</t>
  </si>
  <si>
    <t xml:space="preserve">005667</t>
  </si>
  <si>
    <t xml:space="preserve">005680</t>
  </si>
  <si>
    <t xml:space="preserve">Kranbahn-Stopper</t>
  </si>
  <si>
    <t xml:space="preserve">005685</t>
  </si>
  <si>
    <t xml:space="preserve">Adapter für Schlauchprüfung</t>
  </si>
  <si>
    <t xml:space="preserve">005718</t>
  </si>
  <si>
    <t xml:space="preserve">Vebindungsnippel</t>
  </si>
  <si>
    <t xml:space="preserve">005751</t>
  </si>
  <si>
    <t xml:space="preserve">005781</t>
  </si>
  <si>
    <t xml:space="preserve">Bolzenklemmen</t>
  </si>
  <si>
    <t xml:space="preserve">005800</t>
  </si>
  <si>
    <t xml:space="preserve">Gerade Aufschraubverschraubung</t>
  </si>
  <si>
    <t xml:space="preserve">005810</t>
  </si>
  <si>
    <t xml:space="preserve">005811</t>
  </si>
  <si>
    <t xml:space="preserve">100322</t>
  </si>
  <si>
    <t xml:space="preserve">100351</t>
  </si>
  <si>
    <t xml:space="preserve">Filterelementsatz für Filter Serien</t>
  </si>
  <si>
    <t xml:space="preserve">100373</t>
  </si>
  <si>
    <t xml:space="preserve">100396</t>
  </si>
  <si>
    <t xml:space="preserve">100425</t>
  </si>
  <si>
    <t xml:space="preserve">100685</t>
  </si>
  <si>
    <t xml:space="preserve">101491</t>
  </si>
  <si>
    <t xml:space="preserve">Hülse</t>
  </si>
  <si>
    <t xml:space="preserve">101519</t>
  </si>
  <si>
    <t xml:space="preserve">Quetschhülse</t>
  </si>
  <si>
    <t xml:space="preserve">101612</t>
  </si>
  <si>
    <t xml:space="preserve">Verdrahtungskanal</t>
  </si>
  <si>
    <t xml:space="preserve">103190</t>
  </si>
  <si>
    <t xml:space="preserve">Wagen komplett</t>
  </si>
  <si>
    <t xml:space="preserve">103498</t>
  </si>
  <si>
    <t xml:space="preserve">Zwischenplatte TwinXL</t>
  </si>
  <si>
    <t xml:space="preserve">103683</t>
  </si>
  <si>
    <t xml:space="preserve">Kranbahn-Profil (PB)</t>
  </si>
  <si>
    <t xml:space="preserve">103727</t>
  </si>
  <si>
    <t xml:space="preserve">103728</t>
  </si>
  <si>
    <t xml:space="preserve">103770</t>
  </si>
  <si>
    <t xml:space="preserve">Ablassbogen</t>
  </si>
  <si>
    <t xml:space="preserve">103787</t>
  </si>
  <si>
    <t xml:space="preserve">Druckregel-Strecke</t>
  </si>
  <si>
    <t xml:space="preserve">104246</t>
  </si>
  <si>
    <t xml:space="preserve">Klappe</t>
  </si>
  <si>
    <t xml:space="preserve">105259</t>
  </si>
  <si>
    <t xml:space="preserve">105347</t>
  </si>
  <si>
    <t xml:space="preserve">105373</t>
  </si>
  <si>
    <t xml:space="preserve">Blende Ø1.2 / M6</t>
  </si>
  <si>
    <t xml:space="preserve">105460</t>
  </si>
  <si>
    <t xml:space="preserve">GDS Flansch SPGr10</t>
  </si>
  <si>
    <t xml:space="preserve">105983</t>
  </si>
  <si>
    <t xml:space="preserve">GDS Flansch SPGr16</t>
  </si>
  <si>
    <t xml:space="preserve">106183</t>
  </si>
  <si>
    <t xml:space="preserve">SPGr16</t>
  </si>
  <si>
    <t xml:space="preserve">106582</t>
  </si>
  <si>
    <t xml:space="preserve">nur im Artikelstamm (Bestand 23.06.2026); grosser Artikel &amp; nicht im KTL</t>
  </si>
  <si>
    <t xml:space="preserve">106848</t>
  </si>
  <si>
    <t xml:space="preserve">107000</t>
  </si>
  <si>
    <t xml:space="preserve">Leuchtdrucktaster, 22 mm, rund</t>
  </si>
  <si>
    <t xml:space="preserve">107064</t>
  </si>
  <si>
    <t xml:space="preserve">107140</t>
  </si>
  <si>
    <t xml:space="preserve">Erdungskabel</t>
  </si>
  <si>
    <t xml:space="preserve">nur im Artikelstamm (Bestand 23.06.2026); Neu; nicht im KTL vorhanden</t>
  </si>
  <si>
    <t xml:space="preserve">107173</t>
  </si>
  <si>
    <t xml:space="preserve">Blende Ø1.3 / M6</t>
  </si>
  <si>
    <t xml:space="preserve">107412</t>
  </si>
  <si>
    <t xml:space="preserve">107414</t>
  </si>
  <si>
    <t xml:space="preserve">107674</t>
  </si>
  <si>
    <t xml:space="preserve">107738</t>
  </si>
  <si>
    <t xml:space="preserve">nur im Artikelstamm (Bestand 23.06.2026); Neuer Art.</t>
  </si>
  <si>
    <t xml:space="preserve">107955</t>
  </si>
  <si>
    <t xml:space="preserve">Hochdruck-Ganzmetallschlauch für Luft</t>
  </si>
  <si>
    <t xml:space="preserve">108448</t>
  </si>
  <si>
    <t xml:space="preserve">Ventilatorkabel mit Stecker 8-pol</t>
  </si>
  <si>
    <t xml:space="preserve">nur im Artikelstamm (Bestand 23.06.2026); nicht im KTL vorhanden</t>
  </si>
  <si>
    <t xml:space="preserve">108522</t>
  </si>
  <si>
    <t xml:space="preserve">108526</t>
  </si>
  <si>
    <t xml:space="preserve">108539</t>
  </si>
  <si>
    <t xml:space="preserve">108673</t>
  </si>
  <si>
    <t xml:space="preserve">Kabel</t>
  </si>
  <si>
    <t xml:space="preserve">108767</t>
  </si>
  <si>
    <t xml:space="preserve">108770</t>
  </si>
  <si>
    <t xml:space="preserve">108778</t>
  </si>
  <si>
    <t xml:space="preserve">108883</t>
  </si>
  <si>
    <t xml:space="preserve">109210</t>
  </si>
  <si>
    <t xml:space="preserve">109211</t>
  </si>
  <si>
    <t xml:space="preserve">ALT106813</t>
  </si>
  <si>
    <t xml:space="preserve">ALT106836</t>
  </si>
  <si>
    <t xml:space="preserve">MESSEGERAET SPGR16</t>
  </si>
  <si>
    <t xml:space="preserve">SPGr16 für Ausstellung</t>
  </si>
  <si>
    <t xml:space="preserve">104272</t>
  </si>
  <si>
    <t xml:space="preserve">TMV Spule O2, 100V - 110V</t>
  </si>
  <si>
    <t xml:space="preserve">104214</t>
  </si>
  <si>
    <t xml:space="preserve">TMV Spule CH4, 100V - 110V</t>
  </si>
  <si>
    <t xml:space="preserve">104273</t>
  </si>
  <si>
    <t xml:space="preserve">107069</t>
  </si>
  <si>
    <t xml:space="preserve">Rohr Anschweissstück DN80</t>
  </si>
  <si>
    <t xml:space="preserve">108503</t>
  </si>
  <si>
    <t xml:space="preserve">Steuerschrankkühlung EG101-DF</t>
  </si>
  <si>
    <t xml:space="preserve">102525</t>
  </si>
  <si>
    <t xml:space="preserve">107067</t>
  </si>
  <si>
    <t xml:space="preserve">104275</t>
  </si>
  <si>
    <t xml:space="preserve">TMV Spule O2, 230V</t>
  </si>
  <si>
    <t xml:space="preserve">109198</t>
  </si>
  <si>
    <t xml:space="preserve">107066</t>
  </si>
  <si>
    <t xml:space="preserve">005544</t>
  </si>
  <si>
    <t xml:space="preserve">108644</t>
  </si>
  <si>
    <t xml:space="preserve">108156</t>
  </si>
  <si>
    <t xml:space="preserve">Zwischenflansch SPGr16</t>
  </si>
  <si>
    <t xml:space="preserve">108766</t>
  </si>
  <si>
    <t xml:space="preserve">107068</t>
  </si>
  <si>
    <t xml:space="preserve">106908</t>
  </si>
  <si>
    <t xml:space="preserve">107617</t>
  </si>
  <si>
    <t xml:space="preserve">Holm Vertikale Aufhängung SPGr10</t>
  </si>
  <si>
    <t xml:space="preserve">103908</t>
  </si>
  <si>
    <t xml:space="preserve">Blinddeckel für Kessel, DN125 / PN16</t>
  </si>
  <si>
    <t xml:space="preserve">107748</t>
  </si>
  <si>
    <t xml:space="preserve">Systemleuchte LED</t>
  </si>
  <si>
    <t xml:space="preserve">107751</t>
  </si>
  <si>
    <t xml:space="preserve">Holm Vertikale Aufhängung SPGr16</t>
  </si>
  <si>
    <t xml:space="preserve">107752</t>
  </si>
  <si>
    <t xml:space="preserve">Träger Vertikale Aufhängung SPGr16</t>
  </si>
  <si>
    <t xml:space="preserve">103909</t>
  </si>
  <si>
    <t xml:space="preserve">Blinddeckel für Kessel, DN200 / PN6</t>
  </si>
  <si>
    <t xml:space="preserve">107618</t>
  </si>
  <si>
    <t xml:space="preserve">Träger Vertikale Aufhängung SPGr10</t>
  </si>
  <si>
    <t xml:space="preserve">103449</t>
  </si>
  <si>
    <t xml:space="preserve">005675</t>
  </si>
  <si>
    <t xml:space="preserve">108765</t>
  </si>
  <si>
    <t xml:space="preserve">002010</t>
  </si>
  <si>
    <t xml:space="preserve">Bolzenausdrehersatz</t>
  </si>
  <si>
    <t xml:space="preserve">107670</t>
  </si>
  <si>
    <t xml:space="preserve">Deckel SPGr10</t>
  </si>
  <si>
    <t xml:space="preserve">107841</t>
  </si>
  <si>
    <t xml:space="preserve">109092</t>
  </si>
  <si>
    <t xml:space="preserve">005564</t>
  </si>
  <si>
    <t xml:space="preserve">Vorfilter DRS komplett</t>
  </si>
  <si>
    <t xml:space="preserve">108546</t>
  </si>
  <si>
    <t xml:space="preserve">Miniatur-Leistungsschalter</t>
  </si>
  <si>
    <t xml:space="preserve">108547</t>
  </si>
  <si>
    <t xml:space="preserve">Leistungsschalter</t>
  </si>
  <si>
    <t xml:space="preserve">108548</t>
  </si>
  <si>
    <t xml:space="preserve">005315</t>
  </si>
  <si>
    <t xml:space="preserve">005388</t>
  </si>
  <si>
    <t xml:space="preserve">005111</t>
  </si>
  <si>
    <t xml:space="preserve">SPS Puffer-Batterie</t>
  </si>
  <si>
    <t xml:space="preserve">108271</t>
  </si>
  <si>
    <t xml:space="preserve">Wartungskleber AC215</t>
  </si>
  <si>
    <t xml:space="preserve">108874</t>
  </si>
  <si>
    <t xml:space="preserve">Einrastschildchen -A53.1</t>
  </si>
  <si>
    <t xml:space="preserve">002027</t>
  </si>
  <si>
    <t xml:space="preserve">107860</t>
  </si>
  <si>
    <t xml:space="preserve">Papierfiltereinsatz</t>
  </si>
  <si>
    <t xml:space="preserve">001196</t>
  </si>
  <si>
    <t xml:space="preserve">005136</t>
  </si>
  <si>
    <t xml:space="preserve">Schalter Siemens stand.</t>
  </si>
  <si>
    <t xml:space="preserve">nur im Artikelstamm (Bestand 23.06.2026); i.o</t>
  </si>
  <si>
    <t xml:space="preserve">005571</t>
  </si>
  <si>
    <t xml:space="preserve">Filtereinsatz F10</t>
  </si>
  <si>
    <t xml:space="preserve">107840</t>
  </si>
  <si>
    <t xml:space="preserve">107215</t>
  </si>
  <si>
    <t xml:space="preserve">108504</t>
  </si>
  <si>
    <t xml:space="preserve">Türpositionsschalter</t>
  </si>
  <si>
    <t xml:space="preserve">107712</t>
  </si>
  <si>
    <t xml:space="preserve">Local / Remote switch</t>
  </si>
  <si>
    <t xml:space="preserve">107299</t>
  </si>
  <si>
    <t xml:space="preserve">Bohrerset</t>
  </si>
  <si>
    <t xml:space="preserve">107452</t>
  </si>
  <si>
    <t xml:space="preserve">Taschenlampe 320 lm</t>
  </si>
  <si>
    <t xml:space="preserve">001140</t>
  </si>
  <si>
    <t xml:space="preserve">Ablösbare Markierungspunkte gelb</t>
  </si>
  <si>
    <t xml:space="preserve">005295</t>
  </si>
  <si>
    <t xml:space="preserve">Dichtscheibe zu Rohrverschraubung</t>
  </si>
  <si>
    <t xml:space="preserve">102898</t>
  </si>
  <si>
    <t xml:space="preserve">Sicherungsscheibe Nord-Lock X-series</t>
  </si>
  <si>
    <t xml:space="preserve">103440</t>
  </si>
  <si>
    <t xml:space="preserve">103539</t>
  </si>
  <si>
    <t xml:space="preserve">106135</t>
  </si>
  <si>
    <t xml:space="preserve">Dichtscheibe zu Adapter</t>
  </si>
  <si>
    <t xml:space="preserve">108189</t>
  </si>
  <si>
    <t xml:space="preserve">Typenschild AC215</t>
  </si>
  <si>
    <t xml:space="preserve">108190</t>
  </si>
  <si>
    <t xml:space="preserve">Typenschild SU42-2</t>
  </si>
  <si>
    <t xml:space="preserve">103441</t>
  </si>
  <si>
    <t xml:space="preserve">103442</t>
  </si>
  <si>
    <t xml:space="preserve">106932</t>
  </si>
  <si>
    <t xml:space="preserve">CompactFlash</t>
  </si>
  <si>
    <t xml:space="preserve">005425</t>
  </si>
  <si>
    <t xml:space="preserve">Gerade Einschraubverschraubung</t>
  </si>
  <si>
    <t xml:space="preserve">109072</t>
  </si>
  <si>
    <t xml:space="preserve">005356</t>
  </si>
  <si>
    <t xml:space="preserve">Eingangsadapter</t>
  </si>
  <si>
    <t xml:space="preserve">103396</t>
  </si>
  <si>
    <t xml:space="preserve">104057</t>
  </si>
  <si>
    <t xml:space="preserve">Inbus Einsatz SW8</t>
  </si>
  <si>
    <t xml:space="preserve">107127</t>
  </si>
  <si>
    <t xml:space="preserve">Blende Ø0.7 M10</t>
  </si>
  <si>
    <t xml:space="preserve">002034</t>
  </si>
  <si>
    <t xml:space="preserve">005298</t>
  </si>
  <si>
    <t xml:space="preserve">005422</t>
  </si>
  <si>
    <t xml:space="preserve">107005</t>
  </si>
  <si>
    <t xml:space="preserve">LED-Modul mit LED AC/DC 24V, weiss</t>
  </si>
  <si>
    <t xml:space="preserve">107006</t>
  </si>
  <si>
    <t xml:space="preserve">LED-Modul mit LED AC 230V weiss</t>
  </si>
  <si>
    <t xml:space="preserve">107743</t>
  </si>
  <si>
    <t xml:space="preserve">108427</t>
  </si>
  <si>
    <t xml:space="preserve">Halter Vertikale Aufhängung SPGr10</t>
  </si>
  <si>
    <t xml:space="preserve">108426</t>
  </si>
  <si>
    <t xml:space="preserve">Halter Vertikale Aufhängung SPGr16</t>
  </si>
  <si>
    <t xml:space="preserve">108768</t>
  </si>
  <si>
    <t xml:space="preserve">nur im Liftbericht (nicht im Kennzahlen-Auszug)</t>
  </si>
  <si>
    <t xml:space="preserve">NEU</t>
  </si>
  <si>
    <t xml:space="preserve">Parameter</t>
  </si>
  <si>
    <t xml:space="preserve">v3-bestand</t>
  </si>
  <si>
    <t xml:space="preserve">Gelbe Felder dürfen geändert werden. Alles andere rechnet automatisch.</t>
  </si>
  <si>
    <t xml:space="preserve">Lagerlifte</t>
  </si>
  <si>
    <t xml:space="preserve">Lift</t>
  </si>
  <si>
    <t xml:space="preserve">Name</t>
  </si>
  <si>
    <t xml:space="preserve">Typ</t>
  </si>
  <si>
    <t xml:space="preserve">Anzahl Tablare</t>
  </si>
  <si>
    <t xml:space="preserve">Tablar Breite mm</t>
  </si>
  <si>
    <t xml:space="preserve">Tablar Tiefe mm</t>
  </si>
  <si>
    <t xml:space="preserve">max. Ladehöhe je Tablar mm (optional)</t>
  </si>
  <si>
    <t xml:space="preserve">Tablarfläche m²</t>
  </si>
  <si>
    <t xml:space="preserve">Kapazität m²</t>
  </si>
  <si>
    <t xml:space="preserve">Belegung heute gemessen % (leer = schätzen)</t>
  </si>
  <si>
    <t xml:space="preserve">ausfahrbar, schwere Teile</t>
  </si>
  <si>
    <t xml:space="preserve">ausfahrbar, mittelschwere Teile</t>
  </si>
  <si>
    <t xml:space="preserve">KTL + PAL (mit Lift 3)</t>
  </si>
  <si>
    <t xml:space="preserve">nicht ausfahrbar, Kleinteile</t>
  </si>
  <si>
    <t xml:space="preserve">KTL + PAL (mit Lift 2)</t>
  </si>
  <si>
    <t xml:space="preserve">Ampel Auslastung</t>
  </si>
  <si>
    <t xml:space="preserve">Kontrolle Datenstand</t>
  </si>
  <si>
    <t xml:space="preserve">grün unter</t>
  </si>
  <si>
    <t xml:space="preserve">dazwischen orange</t>
  </si>
  <si>
    <t xml:space="preserve">H4 «Total Bestandswert» im Export (= SUM(H7:H1440))</t>
  </si>
  <si>
    <t xml:space="preserve">rot über</t>
  </si>
  <si>
    <t xml:space="preserve">Summe Bestandswert Export, alle Zeilen (inkl. negative)</t>
  </si>
  <si>
    <t xml:space="preserve">Summe Bestandswert Export, nur Artikel mit Bestand &gt; 0</t>
  </si>
  <si>
    <t xml:space="preserve">Verbrauchszeitraum</t>
  </si>
  <si>
    <t xml:space="preserve">Ist-Wert im Tool (Ist-Bestand × Preis)</t>
  </si>
  <si>
    <t xml:space="preserve">Verbrauch von</t>
  </si>
  <si>
    <t xml:space="preserve">Export-Filter «Auswertung Verbrauch»!B2 = 2025</t>
  </si>
  <si>
    <t xml:space="preserve">Artikel mit negativer Bestandsmenge im Export</t>
  </si>
  <si>
    <t xml:space="preserve">Verbrauch bis</t>
  </si>
  <si>
    <t xml:space="preserve">Artikel im Tool (ohne neue)</t>
  </si>
  <si>
    <t xml:space="preserve">Anzahl Monate</t>
  </si>
  <si>
    <t xml:space="preserve">Artikel im Liftbericht / davon nicht im Kennzahlen-Auszug</t>
  </si>
  <si>
    <t xml:space="preserve">Faktor auf 12 Monate</t>
  </si>
  <si>
    <t xml:space="preserve">Ist-Belegung Lift 1 lt. Tool (Kontrolle gegen L5)</t>
  </si>
  <si>
    <t xml:space="preserve">Lager in Zukunft verwenden</t>
  </si>
  <si>
    <t xml:space="preserve">Ja</t>
  </si>
  <si>
    <t xml:space="preserve">Ja = Lift nach Spalte «Lager in Zukunft» (Tabelle I34). Leer = Regel nach Hauptlager.</t>
  </si>
  <si>
    <t xml:space="preserve">Ergänzt aus Artikelstamm (Bestand, nicht im Kennzahlen-Auszug)</t>
  </si>
  <si>
    <t xml:space="preserve">Ist-Bestand aus</t>
  </si>
  <si>
    <t xml:space="preserve">Jahresanfang 2025 + Export</t>
  </si>
  <si>
    <t xml:space="preserve">Export (Bestandsmenge) = Spalte G wie geliefert, negativ = 0.  «Jahresanfang 2025 + Export» = Spalte T + Spalte G (falls G die Bewegung seit 01.01.2025 ist).</t>
  </si>
  <si>
    <t xml:space="preserve">Optionen Tablar-Berechnung</t>
  </si>
  <si>
    <t xml:space="preserve">Liftbericht verwenden</t>
  </si>
  <si>
    <t xml:space="preserve">Ja = für Artikel im Liftbericht gelten dessen Bestand und Lift. Die Fachflächen werden so verteilt, dass «Ist» der gemessenen Belegung (Spalte L) entspricht.</t>
  </si>
  <si>
    <t xml:space="preserve">Tablar-Ausnutzung (Gebinde passen nie lückenlos; 90 % = 10 % Reserve)</t>
  </si>
  <si>
    <t xml:space="preserve">Ziel-LU Auswahl</t>
  </si>
  <si>
    <t xml:space="preserve">Varianten (nicht ändern)</t>
  </si>
  <si>
    <t xml:space="preserve">Gebinde je Tablar berechnen mit Tablarmass von Lift</t>
  </si>
  <si>
    <t xml:space="preserve">Zuschlag je Tablar (Tablarstärke + Zug) mm</t>
  </si>
  <si>
    <t xml:space="preserve">Höhe je Tablar für lose Artikel mm (inkl. Zuschlag)</t>
  </si>
  <si>
    <t xml:space="preserve">Grobe Schätzung lose Artikel (ohne Gebinde, KTL/PAL)</t>
  </si>
  <si>
    <t xml:space="preserve">Klasse</t>
  </si>
  <si>
    <t xml:space="preserve">Schätz-Gebinde</t>
  </si>
  <si>
    <t xml:space="preserve">Typische Artikel</t>
  </si>
  <si>
    <t xml:space="preserve">Alle 3 Lifte mischen (gemeinsam beurteilen)</t>
  </si>
  <si>
    <t xml:space="preserve">Schrauben, Muttern, Kabel, Ventile, Sensoren, Etiketten … (Eurobox 400×300, 20 Stk)</t>
  </si>
  <si>
    <t xml:space="preserve">Ja = Artikel dürfen in jeden Lift; «Passt?» und Aussenlager über die Summe aller 3 Lifte.</t>
  </si>
  <si>
    <t xml:space="preserve">Panels, Gehäuse, Module, Schläuche, Sets, Service-Kits … (Eurobox 600×400, 4 Stk)</t>
  </si>
  <si>
    <t xml:space="preserve">Holzkisten, Rahmen, Rohre, Profile, Wagen, Kartons, Füllmaterial … (Trennblech 1200×800, 2 Stk)</t>
  </si>
  <si>
    <t xml:space="preserve">Zuordnung je Artikel: Blatt «Artikel», Spalte «Schätzklasse lose» (Vorschlag aus der Bezeichnung, änderbar). Eigene Werte in «Gebindekategorie neu» oder «Tablare lose» haben Vorrang.</t>
  </si>
  <si>
    <t xml:space="preserve">Zuordnung Hauptlager → Lift  (1 / 2 / 3 / 2+3 / Nein)</t>
  </si>
  <si>
    <t xml:space="preserve">Zuordnung Gebinde → Lift (nur Liftgruppe 2+3)</t>
  </si>
  <si>
    <t xml:space="preserve">Zuordnung «Lager in Zukunft» → Lift  (1 / 2 / 3 / 2+3 / Nein)</t>
  </si>
  <si>
    <t xml:space="preserve">«Nein» = zählt nicht zu den Liften (Zeile «Nicht im Lift»). ENTSORGEN!/DUMMY standardmässig «Nein».</t>
  </si>
  <si>
    <t xml:space="preserve">Bemerkung «grosser Artikel …» im Artikelstamm → immer Lift 2</t>
  </si>
  <si>
    <t xml:space="preserve">Tablare je loser Artikel (Startwert)</t>
  </si>
  <si>
    <t xml:space="preserve">Gebinde</t>
  </si>
  <si>
    <t xml:space="preserve">2+3</t>
  </si>
  <si>
    <t xml:space="preserve">Nein</t>
  </si>
  <si>
    <t xml:space="preserve">Nicht NLZ</t>
  </si>
  <si>
    <t xml:space="preserve">GK</t>
  </si>
  <si>
    <t xml:space="preserve">VERPAC</t>
  </si>
  <si>
    <t xml:space="preserve">GERAET</t>
  </si>
  <si>
    <t xml:space="preserve">ENTSORGEN!</t>
  </si>
  <si>
    <t xml:space="preserve">S73</t>
  </si>
  <si>
    <t xml:space="preserve">DUMMY</t>
  </si>
  <si>
    <t xml:space="preserve">S83</t>
  </si>
  <si>
    <t xml:space="preserve">P20</t>
  </si>
  <si>
    <t xml:space="preserve">P21</t>
  </si>
  <si>
    <t xml:space="preserve">P22</t>
  </si>
  <si>
    <t xml:space="preserve">P23</t>
  </si>
  <si>
    <t xml:space="preserve">P24</t>
  </si>
  <si>
    <t xml:space="preserve">P25</t>
  </si>
  <si>
    <t xml:space="preserve">Neue Artikel</t>
  </si>
  <si>
    <t xml:space="preserve">Bis 100 Artikel erfassen. Sie werden im Blatt «Artikel» (unterste Zeilen) automatisch mitgerechnet und als «Neu» markiert.</t>
  </si>
  <si>
    <t xml:space="preserve">Beispiel: 112345 | Dichtung DN50 | 120 | 0 | 10 | 50 | 4.20 | S41 | 25 | 3   (Lift leer = Vorschlag nach Gebinde)</t>
  </si>
  <si>
    <t xml:space="preserve">erwarteter Jahresverbrauch</t>
  </si>
  <si>
    <t xml:space="preserve">Gebindekategorie (leer = lose)</t>
  </si>
  <si>
    <t xml:space="preserve">Lift (1/2/3/Aussen)</t>
  </si>
  <si>
    <t xml:space="preserve">Gebinde-Kategorie</t>
  </si>
  <si>
    <t xml:space="preserve">Masse in cm (gelb). Gebinde je Tablar (manuell) und Höhe im Lift = Werte aus der Lagerplanung. Stellmass = Aussenmass auf dem Tablar in mm. Gebinde je Tablar = beste Anordnung (längs/quer) auf dem Tablar × Lagen. Manuelle Anzahl je Tablar überschreibt die Berechnung. Neue Kategorien unten ergänzen.</t>
  </si>
  <si>
    <t xml:space="preserve">Länge cm</t>
  </si>
  <si>
    <t xml:space="preserve">Breite cm</t>
  </si>
  <si>
    <t xml:space="preserve">Höhe cm</t>
  </si>
  <si>
    <t xml:space="preserve">Grundfläche m²</t>
  </si>
  <si>
    <t xml:space="preserve">Volumen m³</t>
  </si>
  <si>
    <t xml:space="preserve">Stellmass L mm</t>
  </si>
  <si>
    <t xml:space="preserve">Stellmass B mm</t>
  </si>
  <si>
    <t xml:space="preserve">Lagen (stapeln)</t>
  </si>
  <si>
    <t xml:space="preserve">Gebinde je Tablar (berechnet)</t>
  </si>
  <si>
    <t xml:space="preserve">Gebinde je Tablar (manuell)</t>
  </si>
  <si>
    <t xml:space="preserve">Gebinde je Tablar (wirksam)</t>
  </si>
  <si>
    <t xml:space="preserve">Höhe im Lift cm (ohne Zuschlag)</t>
  </si>
  <si>
    <t xml:space="preserve">BITO 117 H8 4er Teilung</t>
  </si>
  <si>
    <t xml:space="preserve">BITO 117 H8 2er Teilung</t>
  </si>
  <si>
    <t xml:space="preserve">BITO 156 H9 2er Teilung</t>
  </si>
  <si>
    <t xml:space="preserve">BITO 156 H9 1er Teilung</t>
  </si>
  <si>
    <t xml:space="preserve">Eurobox 300 x 200 x 120mm</t>
  </si>
  <si>
    <t xml:space="preserve">Eurobox 400 x 300 x 120mm</t>
  </si>
  <si>
    <t xml:space="preserve">Eurobox 400 x 300 x 220mm</t>
  </si>
  <si>
    <t xml:space="preserve">Eurobox 600 x 400 x 120mm</t>
  </si>
  <si>
    <t xml:space="preserve">Eurobox 600 x 400 x 220mm</t>
  </si>
  <si>
    <t xml:space="preserve">Eurobox 600 x 400 x 320mm</t>
  </si>
  <si>
    <t xml:space="preserve">Trennblech 800 x 600 x 200</t>
  </si>
  <si>
    <t xml:space="preserve">Trennblech 800 x 600 x 400</t>
  </si>
  <si>
    <t xml:space="preserve">Trennblech 800 x 600 x 600</t>
  </si>
  <si>
    <t xml:space="preserve">Trennblech 1200 x 800 x 200mm</t>
  </si>
  <si>
    <t xml:space="preserve">Trennblech 1200 x 800 x 400mm</t>
  </si>
  <si>
    <t xml:space="preserve">Trennblech 1200 x 800 x 600mm</t>
  </si>
  <si>
    <t xml:space="preserve">Euro-Palett 1/2 Rahmen, 20 cm hoch</t>
  </si>
  <si>
    <t xml:space="preserve">Euro-Palett 1 Rahmen, 40 cm hoch</t>
  </si>
  <si>
    <t xml:space="preserve">Euro-Palett 2 Rahmen, 80 cm hoch</t>
  </si>
  <si>
    <t xml:space="preserve">Euro-Palett 3 Rahmen, 120 cm hoch</t>
  </si>
  <si>
    <t xml:space="preserve">Euro-Palett 4 Rahmen, 160 cm hoch</t>
  </si>
  <si>
    <t xml:space="preserve">Euro-Palett 5 Rahmen, 200 cm hoch</t>
  </si>
  <si>
    <t xml:space="preserve">Liftbericht (Modula «Artikelbestand für Maschine»)</t>
  </si>
  <si>
    <t xml:space="preserve">Nur zur Kontrolle – wird von build_tool.py aus input/*.prnx eingelesen. Fach-Kapazität = reservierter Platz im Lift.</t>
  </si>
  <si>
    <t xml:space="preserve">Artikel</t>
  </si>
  <si>
    <t xml:space="preserve">Fach-Kapazität Stk</t>
  </si>
  <si>
    <t xml:space="preserve">Bestand Lift</t>
  </si>
  <si>
    <t xml:space="preserve">Hauptlager Export</t>
  </si>
  <si>
    <t xml:space="preserve">Bestandsmenge Export (G)</t>
  </si>
  <si>
    <t xml:space="preserve">Jahresanfang 2025 + G</t>
  </si>
  <si>
    <t xml:space="preserve">Fach (Tablare, Tool)</t>
  </si>
  <si>
    <t xml:space="preserve">– fehlt –</t>
  </si>
  <si>
    <t xml:space="preserve">Austrittsdüse EG</t>
  </si>
  <si>
    <t xml:space="preserve">Austrittsdüse EG10</t>
  </si>
  <si>
    <t xml:space="preserve">Kranbahnprofil 2 Meter</t>
  </si>
  <si>
    <t xml:space="preserve">Kranbahnprofil 1.5 Meter</t>
  </si>
  <si>
    <t xml:space="preserve">Kranbahnprofil 1 Meter</t>
  </si>
  <si>
    <t xml:space="preserve">Konstanhänger</t>
  </si>
  <si>
    <t xml:space="preserve">Anleitung – Lagerumschlag-Tool</t>
  </si>
  <si>
    <t xml:space="preserve">Was ändere ich? Nur gelbe Felder.</t>
  </si>
  <si>
    <t xml:space="preserve">• Cockpit: je Ansicht «Variante» und «Ziel-LU» (Dropdown, freie Eingabe erlaubt). Alles rechnet sofort neu.</t>
  </si>
  <si>
    <t xml:space="preserve">• Artikel: Fläche lose, Gebinde neu / Menge pro Gebinde neu, Lift manuell (1/2/3/Aussen), Ziel-LU Artikel, MAX final, Kommentar. Leer = Vorschlag gilt.</t>
  </si>
  <si>
    <t xml:space="preserve">• Parameter: Lifte (Tablare, Tablarmass, max. Ladehöhe), Ampel, Verbrauchszeitraum, Ist-Bestand-Quelle, LU-Liste, Zuordnung Hauptlager → Lift, Gebinde → Lift, Startwerte lose.</t>
  </si>
  <si>
    <t xml:space="preserve">• Neue Artikel: werden automatisch unten im Blatt «Artikel» mitgerechnet («Neu»). • Gebinde-Kategorie: Masse, neue Kategorien unten ergänzen.</t>
  </si>
  <si>
    <t xml:space="preserve">Liftbericht (Modula)</t>
  </si>
  <si>
    <t xml:space="preserve">Artikel im Liftbericht (input/*.prnx) bekommen dessen Lift und Bestand. Ihr Platz = reserviertes Fach: Die gemessene Belegung (Parameter L5:L7, z. B. Lift 1 = 85 % der Tablare) wird im Verhältnis der Fach-Kapazität (Stk) auf die Artikel verteilt. In B/C wächst der Bedarf erst, wenn MAX &gt; Fach-Kapazität.</t>
  </si>
  <si>
    <t xml:space="preserve">Lose Artikel grob geschätzt</t>
  </si>
  <si>
    <t xml:space="preserve">Artikel ohne Gebinde (KTL/PAL) bekommen aus der Bezeichnung eine Schätzklasse: Klein = Eurobox S51 à 20 Stk, Mittel = S61 à 4 Stk, Gross = Trennblech S81 à 2 Stk (Parameter I27:K29); mindestens der Ist-Bestand bzw. eine Losgrösse passt in 1 Gebinde. Damit rechnen sie wie Gebinde-Artikel. Klasse im Blatt Artikel änderbar; «Gebindekategorie neu» oder «Tablare lose» haben Vorrang. Kein Stapeln.</t>
  </si>
  <si>
    <t xml:space="preserve">Varianten</t>
  </si>
  <si>
    <t xml:space="preserve">A – Ist-Bestand: heutiger Bestand (unabhängig vom LU).</t>
  </si>
  <si>
    <t xml:space="preserve">B – Ziel-LU: MAX = Jahresverbrauch / Ziel-LU, mindestens MB + Losgrösse, aufgerundet auf ganze Gebinde. Zielzustand nach Abbau des Überbestands.</t>
  </si>
  <si>
    <t xml:space="preserve">C – Ziel-LU oder Ist (Hauptvariante): der höhere Wert aus B und Ist-Bestand. Platzbedarf, solange der Überbestand noch nicht abgebaut ist.</t>
  </si>
  <si>
    <t xml:space="preserve">MAX final (gelb) ersetzt in B und C den berechneten Wert. Ziel-LU Artikel ersetzt den LU der Ansicht für diesen Artikel. Jahresverbrauch = Verbrauch Export × 12 / Anzahl Monate.</t>
  </si>
  <si>
    <t xml:space="preserve">Lift-Auslastung</t>
  </si>
  <si>
    <t xml:space="preserve">Anzahl Gebinde = AUFRUNDEN(Menge / Menge pro Gebinde). Stapeln nur, wenn im Blatt «Gebinde-Kategorie» Lagen &gt; 1 eingetragen sind.</t>
  </si>
  <si>
    <t xml:space="preserve">Lose Artikel: Tablare = Startwert je Hauptlager (Parameter) oder eigener Wert; in B/C skaliert mit Menge / Ist-Menge, mindestens Startwert.</t>
  </si>
  <si>
    <t xml:space="preserve">Füllgrad über die Lifthöhe (wie Lagerplanung): Tablare je Gebindetyp = Anzahl Gebinde / Gebinde je Tablar; jedes Tablar braucht Gebindehöhe + 35 mm (Parameter M23). Füllgrad = Summe Höhe / Lifthöhe 11'900 mm. Mit «Lifte mischen» (Parameter E27) zählt die Summe aller 3 Lifte.</t>
  </si>
  <si>
    <t xml:space="preserve">Gebinde je Tablar = Vorgabe Lagerplanung bzw. beste Anordnung des Gebindes (Stellmass, längs/quer) auf dem Tablar × Lagen (Blatt «Gebinde-Kategorie», manuell überschreibbar). Tablare je Artikel = Anzahl Gebinde / Gebinde je Tablar. Tablar-Ausnutzung (Parameter M21) gibt Reserve für Lücken.</t>
  </si>
  <si>
    <t xml:space="preserve">Zuordnung zuerst nach «Lager in Zukunft» (Artikelstamm, Parameter I34): Kardex Schwer → Lift 1, Kardex Kleinteil → Lift 2/3 nach Gebinde, Verpackung/Leerkisten/PAL/Nicht NLZ → nicht im Lift. Leer → Regel nach Hauptlager: </t>
  </si>
  <si>
    <t xml:space="preserve">LIFT1 → Lift 1. KTL/PAL → Lift 3 (BITO S21–S33, Eurobox S41–S52) oder Lift 2 (S61–S63, Trennbleche S71–S83, lose, «grosser Artikel»). Andere Hauptlager → «Nicht im Lift».</t>
  </si>
  <si>
    <t xml:space="preserve">«Passt?» wird für Lift 1 und Lift 2 + 3 gemeinsam beurteilt. Aussenlager: je Liftgruppe Artikel nach Verbrauch pro Tablar sortiert (Schnelldreher zuerst), Fläche kumuliert; was die Kapazität überschreitet = «Aussenlager», der Artikel an der Grenze = «teilweise».</t>
  </si>
  <si>
    <t xml:space="preserve">Kein Verbrauch · Lose – Fläche geschätzt · Überbestand (Ist &gt; MAX B, Menge und CHF, LU Ansicht 2) · MAX &lt; MB+LG (MAX final zu tief) · zu hoch für Tablar (Gebindehöhe &gt; max. Ladehöhe) · manuell übersteuert · Neu · negativer Bestand (Export, als 0 gerechnet) · Gebinde unbekannt · + Bemerkungen aus dem Artikelstamm.</t>
  </si>
  <si>
    <t xml:space="preserve">Annahmen</t>
  </si>
  <si>
    <t xml:space="preserve">1. Ist-Bestand = Jahresanfangsbestand 2025 (Spalte T) + Spalte G «Bestandsmenge» (= Bewegung seit 01.01.2025). KTL/PAL-Artikel mit Bestand, die im Kennzahlen-Auszug fehlen, sind aus dem Artikelstamm ergänzt (Bestand 23.06.2026). Lagerwert ≈ 3.55 Mio. CHF. Lift 1: Bestand aus Liftbericht. Umschaltbar in Parameter B20.</t>
  </si>
  <si>
    <t xml:space="preserve">2. Verbrauch = Pivot «Auswertung Verbrauch» Spalte C (Kalenderjahr 2025), negativ = 0; fehlt ein Artikel dort, Spalte Y «Wareneinsatz».</t>
  </si>
  <si>
    <t xml:space="preserve">3. MB = Spalte AK; wenn leer, Blatt «Auswertung MB» (Lager = Hauptlager). Losgrösse = Spalte D.</t>
  </si>
  <si>
    <t xml:space="preserve">4. Gebinde aus «Artikelstamm Umschlag 2», sonst «Artikelstamm mit Verbrauch»; ohne Gebinde = LOSE. Menge pro Gebinde fehlt → ganzer Ist-Bestand = 1 Gebinde.</t>
  </si>
  <si>
    <t xml:space="preserve">5. Startwerte lose (Tablare je Artikel): KTL 0.03, PAL 0.15, LIFT1 1.0, andere 0.15 – unabhängig von der Menge.</t>
  </si>
  <si>
    <t xml:space="preserve">6. Lagerwert = Menge × Preis GLD Aktuell. Hauptlager aus dem Kennzahlen-Auszug (nicht aus dem Artikelstamm).</t>
  </si>
  <si>
    <t xml:space="preserve">7. Artikel ohne Verbrauch: B = MB + LG (sonst 0). Aussenlager-Priorität: Verbrauch pro Tablar absteigend.</t>
  </si>
  <si>
    <t xml:space="preserve">Schieberegler statt Dropdown (optional)</t>
  </si>
  <si>
    <t xml:space="preserve">Entwicklertools → Einfügen → Formularsteuerelemente → Bildlaufleiste. Rechtsklick → Steuerelement formatieren: Min 10, Max 60, Schrittweite 5, Zellverknüpfung z. B. Cockpit!Z6. In Cockpit!C6 dann =Z6/10 eintragen (LU 1.0 – 6.0).</t>
  </si>
  <si>
    <t xml:space="preserve">Aktualisieren</t>
  </si>
  <si>
    <t xml:space="preserve">Neue Exporte in den Ordner «input» legen, Dateinamen oben in build_tool.py anpassen, «python build_tool.py» ausführen. Alle gelben Eingaben werden übernommen (Zuordnung über Artikelnummer).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</si>
</sst>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"/>
    <numFmt numFmtId="166" formatCode="#,##0"/>
    <numFmt numFmtId="167" formatCode="#,##0.0"/>
    <numFmt numFmtId="168" formatCode="0%"/>
    <numFmt numFmtId="169" formatCode="0"/>
    <numFmt numFmtId="170" formatCode="#,##0;\-#,##0"/>
    <numFmt numFmtId="171" formatCode="#,##0.00"/>
    <numFmt numFmtId="172" formatCode="0.00"/>
    <numFmt numFmtId="173" formatCode="0.000"/>
    <numFmt numFmtId="174" formatCode="dd\.mm\.yyyy"/>
    <numFmt numFmtId="175" formatCode="0.0000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i val="true"/>
      <sz val="10"/>
      <color rgb="FF80808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b val="true"/>
      <sz val="20"/>
      <color rgb="FF000000"/>
      <name val="Arial"/>
      <family val="0"/>
      <charset val="1"/>
    </font>
    <font>
      <b val="true"/>
      <sz val="10"/>
      <color rgb="FFC55A11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0"/>
      <color rgb="FFC00000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9"/>
      <name val="Arial"/>
      <family val="0"/>
      <charset val="1"/>
    </font>
    <font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A6"/>
        <bgColor rgb="FFFFFFCC"/>
      </patternFill>
    </fill>
    <fill>
      <patternFill patternType="solid">
        <fgColor rgb="FFD9E1F2"/>
        <bgColor rgb="FFD9D9D9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2" fontId="1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ont>
        <color rgb="FF808080"/>
      </font>
      <fill>
        <patternFill>
          <bgColor rgb="FFD9D9D9"/>
        </patternFill>
      </fill>
    </dxf>
    <dxf>
      <fill>
        <patternFill>
          <bgColor rgb="FFF4B084"/>
        </patternFill>
      </fill>
    </dxf>
    <dxf>
      <fill>
        <patternFill>
          <bgColor rgb="FFFFD966"/>
        </patternFill>
      </fill>
    </dxf>
    <dxf>
      <fill>
        <patternFill>
          <bgColor rgb="FFC6EFCE"/>
        </patternFill>
      </fill>
    </dxf>
    <dxf>
      <font>
        <b val="1"/>
        <color rgb="FF006100"/>
      </font>
      <fill>
        <patternFill>
          <bgColor rgb="FFC6EFCE"/>
        </patternFill>
      </fill>
    </dxf>
    <dxf>
      <font>
        <b val="1"/>
        <color rgb="FF9C0006"/>
      </font>
      <fill>
        <patternFill>
          <bgColor rgb="FFF4B084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2A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4B084"/>
          <bgColor rgb="FF000000"/>
        </patternFill>
      </fill>
    </dxf>
    <dxf>
      <fill>
        <patternFill patternType="solid">
          <fgColor rgb="FFFFD966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4F81BD"/>
      <rgbColor rgb="FFBFBFBF"/>
      <rgbColor rgb="FF808080"/>
      <rgbColor rgb="FF9999FF"/>
      <rgbColor rgb="FFBE4B48"/>
      <rgbColor rgb="FFFFFF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2A6"/>
      <rgbColor rgb="FF99CCFF"/>
      <rgbColor rgb="FFF4B084"/>
      <rgbColor rgb="FFCC99FF"/>
      <rgbColor rgb="FFFFD966"/>
      <rgbColor rgb="FF2E75B6"/>
      <rgbColor rgb="FF33CCCC"/>
      <rgbColor rgb="FF9BBB59"/>
      <rgbColor rgb="FFFFC000"/>
      <rgbColor rgb="FFFF9900"/>
      <rgbColor rgb="FFC55A11"/>
      <rgbColor rgb="FF595959"/>
      <rgbColor rgb="FF878787"/>
      <rgbColor rgb="FF1F3864"/>
      <rgbColor rgb="FF4A7EBB"/>
      <rgbColor rgb="FF003300"/>
      <rgbColor rgb="FF333300"/>
      <rgbColor rgb="FF993300"/>
      <rgbColor rgb="FFC0504D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Auslastung je Lift – 3 Ansichten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Cockpit!C40</c:f>
              <c:strCache>
                <c:ptCount val="1"/>
                <c:pt idx="0">
                  <c:v>A1: A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Cockpit!$C$41:$C$45</c:f>
              <c:numCache>
                <c:formatCode>0%</c:formatCode>
                <c:ptCount val="5"/>
                <c:pt idx="0">
                  <c:v>1.07200714901345</c:v>
                </c:pt>
                <c:pt idx="1">
                  <c:v>1.23142776341306</c:v>
                </c:pt>
                <c:pt idx="2">
                  <c:v>0.461091051805338</c:v>
                </c:pt>
                <c:pt idx="3">
                  <c:v>0.846259407609198</c:v>
                </c:pt>
                <c:pt idx="4">
                  <c:v>0.921508654743949</c:v>
                </c:pt>
              </c:numCache>
            </c:numRef>
          </c:val>
        </c:ser>
        <c:ser>
          <c:idx val="1"/>
          <c:order val="1"/>
          <c:tx>
            <c:strRef>
              <c:f>Cockpit!D40</c:f>
              <c:strCache>
                <c:ptCount val="1"/>
                <c:pt idx="0">
                  <c:v>A2: C LU 2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Cockpit!$D$41:$D$45</c:f>
              <c:numCache>
                <c:formatCode>0%</c:formatCode>
                <c:ptCount val="5"/>
                <c:pt idx="0">
                  <c:v>1.39967947391908</c:v>
                </c:pt>
                <c:pt idx="1">
                  <c:v>1.83972608274079</c:v>
                </c:pt>
                <c:pt idx="2">
                  <c:v>0.591107096684828</c:v>
                </c:pt>
                <c:pt idx="3">
                  <c:v>1.21541658971281</c:v>
                </c:pt>
                <c:pt idx="4">
                  <c:v>1.2768375511149</c:v>
                </c:pt>
              </c:numCache>
            </c:numRef>
          </c:val>
        </c:ser>
        <c:ser>
          <c:idx val="2"/>
          <c:order val="2"/>
          <c:tx>
            <c:strRef>
              <c:f>Cockpit!E40</c:f>
              <c:strCache>
                <c:ptCount val="1"/>
                <c:pt idx="0">
                  <c:v>A3: C LU 3</c:v>
                </c:pt>
              </c:strCache>
            </c:strRef>
          </c:tx>
          <c:spPr>
            <a:solidFill>
              <a:srgbClr val="9bbb59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Cockpit!$E$41:$E$45</c:f>
              <c:numCache>
                <c:formatCode>0%</c:formatCode>
                <c:ptCount val="5"/>
                <c:pt idx="0">
                  <c:v>1.27598004412543</c:v>
                </c:pt>
                <c:pt idx="1">
                  <c:v>1.69861964016376</c:v>
                </c:pt>
                <c:pt idx="2">
                  <c:v>0.576502216271124</c:v>
                </c:pt>
                <c:pt idx="3">
                  <c:v>1.13756092821744</c:v>
                </c:pt>
                <c:pt idx="4">
                  <c:v>1.1837006335201</c:v>
                </c:pt>
              </c:numCache>
            </c:numRef>
          </c:val>
        </c:ser>
        <c:gapWidth val="150"/>
        <c:overlap val="0"/>
        <c:axId val="75389505"/>
        <c:axId val="55240591"/>
      </c:barChart>
      <c:lineChart>
        <c:grouping val="standard"/>
        <c:varyColors val="0"/>
        <c:ser>
          <c:idx val="3"/>
          <c:order val="3"/>
          <c:tx>
            <c:strRef>
              <c:f>Cockpit!F40</c:f>
              <c:strCache>
                <c:ptCount val="1"/>
                <c:pt idx="0">
                  <c:v>100 %</c:v>
                </c:pt>
              </c:strCache>
            </c:strRef>
          </c:tx>
          <c:spPr>
            <a:solidFill>
              <a:srgbClr val="c00000"/>
            </a:solidFill>
            <a:ln w="28080">
              <a:solidFill>
                <a:srgbClr val="c00000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Cockpit!$B$41:$B$45</c:f>
              <c:strCache>
                <c:ptCount val="5"/>
                <c:pt idx="0">
                  <c:v>Lift 1</c:v>
                </c:pt>
                <c:pt idx="1">
                  <c:v>Lift 2</c:v>
                </c:pt>
                <c:pt idx="2">
                  <c:v>Lift 3</c:v>
                </c:pt>
                <c:pt idx="3">
                  <c:v>Lift 2+3</c:v>
                </c:pt>
                <c:pt idx="4">
                  <c:v>Total</c:v>
                </c:pt>
              </c:strCache>
            </c:strRef>
          </c:cat>
          <c:val>
            <c:numRef>
              <c:f>Cockpit!$F$41:$F$45</c:f>
              <c:numCache>
                <c:formatCode>0%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75389505"/>
        <c:axId val="55240591"/>
      </c:lineChart>
      <c:catAx>
        <c:axId val="7538950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240591"/>
        <c:crosses val="autoZero"/>
        <c:auto val="1"/>
        <c:lblAlgn val="ctr"/>
        <c:lblOffset val="100"/>
        <c:noMultiLvlLbl val="0"/>
      </c:catAx>
      <c:valAx>
        <c:axId val="5524059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Auslastung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389505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Auslastung Total % je Ziel-LU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Szenarien!B29</c:f>
              <c:strCache>
                <c:ptCount val="1"/>
                <c:pt idx="0">
                  <c:v>B – Total %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1.0</c:v>
                </c:pt>
                <c:pt idx="1">
                  <c:v>1.5</c:v>
                </c:pt>
                <c:pt idx="2">
                  <c:v>2.0</c:v>
                </c:pt>
                <c:pt idx="3">
                  <c:v>2.5</c:v>
                </c:pt>
                <c:pt idx="4">
                  <c:v>3.0</c:v>
                </c:pt>
                <c:pt idx="5">
                  <c:v>4.0</c:v>
                </c:pt>
                <c:pt idx="6">
                  <c:v>5.0</c:v>
                </c:pt>
                <c:pt idx="7">
                  <c:v>6.0</c:v>
                </c:pt>
              </c:strCache>
            </c:strRef>
          </c:cat>
          <c:val>
            <c:numRef>
              <c:f>Szenarien!$B$30:$B$37</c:f>
              <c:numCache>
                <c:formatCode>0%</c:formatCode>
                <c:ptCount val="8"/>
                <c:pt idx="0">
                  <c:v>1.61457248110022</c:v>
                </c:pt>
                <c:pt idx="1">
                  <c:v>1.31476383570957</c:v>
                </c:pt>
                <c:pt idx="2">
                  <c:v>1.17448500753336</c:v>
                </c:pt>
                <c:pt idx="3">
                  <c:v>1.1170418354217</c:v>
                </c:pt>
                <c:pt idx="4">
                  <c:v>1.07686270604142</c:v>
                </c:pt>
                <c:pt idx="5">
                  <c:v>1.03891236800384</c:v>
                </c:pt>
                <c:pt idx="6">
                  <c:v>1.02189887348536</c:v>
                </c:pt>
                <c:pt idx="7">
                  <c:v>1.01363468558508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Szenarien!C29</c:f>
              <c:strCache>
                <c:ptCount val="1"/>
                <c:pt idx="0">
                  <c:v>C – Total %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1.0</c:v>
                </c:pt>
                <c:pt idx="1">
                  <c:v>1.5</c:v>
                </c:pt>
                <c:pt idx="2">
                  <c:v>2.0</c:v>
                </c:pt>
                <c:pt idx="3">
                  <c:v>2.5</c:v>
                </c:pt>
                <c:pt idx="4">
                  <c:v>3.0</c:v>
                </c:pt>
                <c:pt idx="5">
                  <c:v>4.0</c:v>
                </c:pt>
                <c:pt idx="6">
                  <c:v>5.0</c:v>
                </c:pt>
                <c:pt idx="7">
                  <c:v>6.0</c:v>
                </c:pt>
              </c:strCache>
            </c:strRef>
          </c:cat>
          <c:val>
            <c:numRef>
              <c:f>Szenarien!$C$30:$C$37</c:f>
              <c:numCache>
                <c:formatCode>0%</c:formatCode>
                <c:ptCount val="8"/>
                <c:pt idx="0">
                  <c:v>1.70887315008576</c:v>
                </c:pt>
                <c:pt idx="1">
                  <c:v>1.41397768791712</c:v>
                </c:pt>
                <c:pt idx="2">
                  <c:v>1.2768375511149</c:v>
                </c:pt>
                <c:pt idx="3">
                  <c:v>1.22256898217783</c:v>
                </c:pt>
                <c:pt idx="4">
                  <c:v>1.1837006335201</c:v>
                </c:pt>
                <c:pt idx="5">
                  <c:v>1.14820845823481</c:v>
                </c:pt>
                <c:pt idx="6">
                  <c:v>1.13227231773486</c:v>
                </c:pt>
                <c:pt idx="7">
                  <c:v>1.12400812983458</c:v>
                </c:pt>
              </c:numCache>
            </c:numRef>
          </c:val>
          <c:smooth val="1"/>
        </c:ser>
        <c:ser>
          <c:idx val="2"/>
          <c:order val="2"/>
          <c:tx>
            <c:strRef>
              <c:f>Szenarien!D29</c:f>
              <c:strCache>
                <c:ptCount val="1"/>
                <c:pt idx="0">
                  <c:v>100 %</c:v>
                </c:pt>
              </c:strCache>
            </c:strRef>
          </c:tx>
          <c:spPr>
            <a:solidFill>
              <a:srgbClr val="c00000"/>
            </a:solidFill>
            <a:ln w="28440">
              <a:solidFill>
                <a:srgbClr val="c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1.0</c:v>
                </c:pt>
                <c:pt idx="1">
                  <c:v>1.5</c:v>
                </c:pt>
                <c:pt idx="2">
                  <c:v>2.0</c:v>
                </c:pt>
                <c:pt idx="3">
                  <c:v>2.5</c:v>
                </c:pt>
                <c:pt idx="4">
                  <c:v>3.0</c:v>
                </c:pt>
                <c:pt idx="5">
                  <c:v>4.0</c:v>
                </c:pt>
                <c:pt idx="6">
                  <c:v>5.0</c:v>
                </c:pt>
                <c:pt idx="7">
                  <c:v>6.0</c:v>
                </c:pt>
              </c:strCache>
            </c:strRef>
          </c:cat>
          <c:val>
            <c:numRef>
              <c:f>Szenarien!$D$30:$D$37</c:f>
              <c:numCache>
                <c:formatCode>0%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smooth val="1"/>
        </c:ser>
        <c:ser>
          <c:idx val="3"/>
          <c:order val="3"/>
          <c:tx>
            <c:strRef>
              <c:f>Szenarien!E29</c:f>
              <c:strCache>
                <c:ptCount val="1"/>
                <c:pt idx="0">
                  <c:v>Ist – Total %</c:v>
                </c:pt>
              </c:strCache>
            </c:strRef>
          </c:tx>
          <c:spPr>
            <a:solidFill>
              <a:srgbClr val="808080"/>
            </a:solidFill>
            <a:ln w="28440">
              <a:solidFill>
                <a:srgbClr val="808080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Szenarien!$A$30:$A$37</c:f>
              <c:strCache>
                <c:ptCount val="8"/>
                <c:pt idx="0">
                  <c:v>1.0</c:v>
                </c:pt>
                <c:pt idx="1">
                  <c:v>1.5</c:v>
                </c:pt>
                <c:pt idx="2">
                  <c:v>2.0</c:v>
                </c:pt>
                <c:pt idx="3">
                  <c:v>2.5</c:v>
                </c:pt>
                <c:pt idx="4">
                  <c:v>3.0</c:v>
                </c:pt>
                <c:pt idx="5">
                  <c:v>4.0</c:v>
                </c:pt>
                <c:pt idx="6">
                  <c:v>5.0</c:v>
                </c:pt>
                <c:pt idx="7">
                  <c:v>6.0</c:v>
                </c:pt>
              </c:strCache>
            </c:strRef>
          </c:cat>
          <c:val>
            <c:numRef>
              <c:f>Szenarien!$E$30:$E$37</c:f>
              <c:numCache>
                <c:formatCode>0%</c:formatCode>
                <c:ptCount val="8"/>
                <c:pt idx="0">
                  <c:v>0.921508654743949</c:v>
                </c:pt>
                <c:pt idx="1">
                  <c:v>0.921508654743949</c:v>
                </c:pt>
                <c:pt idx="2">
                  <c:v>0.921508654743949</c:v>
                </c:pt>
                <c:pt idx="3">
                  <c:v>0.921508654743949</c:v>
                </c:pt>
                <c:pt idx="4">
                  <c:v>0.921508654743949</c:v>
                </c:pt>
                <c:pt idx="5">
                  <c:v>0.921508654743949</c:v>
                </c:pt>
                <c:pt idx="6">
                  <c:v>0.921508654743949</c:v>
                </c:pt>
                <c:pt idx="7">
                  <c:v>0.921508654743949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84428894"/>
        <c:axId val="83514468"/>
      </c:lineChart>
      <c:catAx>
        <c:axId val="8442889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Ziel-LU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514468"/>
        <c:crosses val="autoZero"/>
        <c:auto val="1"/>
        <c:lblAlgn val="ctr"/>
        <c:lblOffset val="100"/>
        <c:noMultiLvlLbl val="0"/>
      </c:catAx>
      <c:valAx>
        <c:axId val="835144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Auslastung 3 Lifte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442889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37</xdr:row>
      <xdr:rowOff>131040</xdr:rowOff>
    </xdr:from>
    <xdr:to>
      <xdr:col>13</xdr:col>
      <xdr:colOff>718560</xdr:colOff>
      <xdr:row>54</xdr:row>
      <xdr:rowOff>132120</xdr:rowOff>
    </xdr:to>
    <xdr:graphicFrame>
      <xdr:nvGraphicFramePr>
        <xdr:cNvPr id="0" name="Chart 1"/>
        <xdr:cNvGraphicFramePr/>
      </xdr:nvGraphicFramePr>
      <xdr:xfrm>
        <a:off x="7467480" y="7601040"/>
        <a:ext cx="79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21</xdr:row>
      <xdr:rowOff>160560</xdr:rowOff>
    </xdr:from>
    <xdr:to>
      <xdr:col>13</xdr:col>
      <xdr:colOff>532080</xdr:colOff>
      <xdr:row>38</xdr:row>
      <xdr:rowOff>162000</xdr:rowOff>
    </xdr:to>
    <xdr:graphicFrame>
      <xdr:nvGraphicFramePr>
        <xdr:cNvPr id="1" name="Chart 1"/>
        <xdr:cNvGraphicFramePr/>
      </xdr:nvGraphicFramePr>
      <xdr:xfrm>
        <a:off x="6134040" y="438156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1:R45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6" min="3" style="0" width="12"/>
    <col collapsed="false" customWidth="true" hidden="false" outlineLevel="0" max="7" min="7" style="0" width="3"/>
    <col collapsed="false" customWidth="true" hidden="false" outlineLevel="0" max="8" min="8" style="0" width="30"/>
    <col collapsed="false" customWidth="true" hidden="false" outlineLevel="0" max="12" min="9" style="0" width="12"/>
    <col collapsed="false" customWidth="true" hidden="false" outlineLevel="0" max="13" min="13" style="0" width="3"/>
    <col collapsed="false" customWidth="true" hidden="false" outlineLevel="0" max="14" min="14" style="0" width="30"/>
    <col collapsed="false" customWidth="true" hidden="false" outlineLevel="0" max="19" min="15" style="0" width="12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tr">
        <f aca="false">"Verbrauchsbasis: "&amp;TEXT(MONTH(Parameter!B15),"00")&amp;"."&amp;YEAR(Parameter!B15)&amp;" – "&amp;TEXT(MONTH(Parameter!B16),"00")&amp;"."&amp;YEAR(Parameter!B16)&amp;"   ·   Ist-Bestand: "&amp;Parameter!B20&amp;"   ·   Kapazität "&amp;TEXT(Parameter!H8,"#,##0")&amp;" mm Lifthöhe (3 × 11 900)"&amp;IF(Parameter!E27="Ja","   ·   Lifte gemischt","")</f>
        <v>Verbrauchsbasis: 01.2025 – 12.2025   ·   Ist-Bestand: Jahresanfang 2025 + Export   ·   Kapazität 35,700 mm Lifthöhe (3 × 11 900)   ·   Lifte gemischt</v>
      </c>
    </row>
    <row r="3" customFormat="false" ht="15" hidden="false" customHeight="false" outlineLevel="0" collapsed="false">
      <c r="B3" s="3" t="s">
        <v>1</v>
      </c>
    </row>
    <row r="4" customFormat="false" ht="15" hidden="false" customHeight="false" outlineLevel="0" collapsed="false">
      <c r="B4" s="4" t="s">
        <v>2</v>
      </c>
      <c r="C4" s="4"/>
      <c r="D4" s="4"/>
      <c r="E4" s="4"/>
      <c r="F4" s="4"/>
      <c r="H4" s="4" t="s">
        <v>3</v>
      </c>
      <c r="I4" s="4"/>
      <c r="J4" s="4"/>
      <c r="K4" s="4"/>
      <c r="L4" s="4"/>
      <c r="N4" s="4" t="s">
        <v>4</v>
      </c>
      <c r="O4" s="4"/>
      <c r="P4" s="4"/>
      <c r="Q4" s="4"/>
      <c r="R4" s="4"/>
    </row>
    <row r="5" customFormat="false" ht="15" hidden="false" customHeight="false" outlineLevel="0" collapsed="false">
      <c r="B5" s="5" t="s">
        <v>5</v>
      </c>
      <c r="C5" s="6" t="s">
        <v>6</v>
      </c>
      <c r="D5" s="6"/>
      <c r="E5" s="6"/>
      <c r="F5" s="6"/>
      <c r="H5" s="5" t="s">
        <v>5</v>
      </c>
      <c r="I5" s="6" t="s">
        <v>7</v>
      </c>
      <c r="J5" s="6"/>
      <c r="K5" s="6"/>
      <c r="L5" s="6"/>
      <c r="N5" s="5" t="s">
        <v>5</v>
      </c>
      <c r="O5" s="6" t="s">
        <v>7</v>
      </c>
      <c r="P5" s="6"/>
      <c r="Q5" s="6"/>
      <c r="R5" s="6"/>
    </row>
    <row r="6" customFormat="false" ht="15" hidden="false" customHeight="false" outlineLevel="0" collapsed="false">
      <c r="B6" s="5" t="s">
        <v>8</v>
      </c>
      <c r="C6" s="7" t="n">
        <v>2</v>
      </c>
      <c r="D6" s="8" t="s">
        <v>9</v>
      </c>
      <c r="H6" s="5" t="s">
        <v>8</v>
      </c>
      <c r="I6" s="7" t="n">
        <v>2</v>
      </c>
      <c r="J6" s="8" t="s">
        <v>9</v>
      </c>
      <c r="N6" s="5" t="s">
        <v>8</v>
      </c>
      <c r="O6" s="7" t="n">
        <v>3</v>
      </c>
      <c r="P6" s="8" t="s">
        <v>9</v>
      </c>
    </row>
    <row r="8" customFormat="false" ht="15" hidden="false" customHeight="false" outlineLevel="0" collapsed="false">
      <c r="B8" s="9" t="s">
        <v>10</v>
      </c>
      <c r="C8" s="9" t="s">
        <v>11</v>
      </c>
      <c r="D8" s="9" t="s">
        <v>12</v>
      </c>
      <c r="E8" s="9" t="s">
        <v>13</v>
      </c>
      <c r="F8" s="9" t="s">
        <v>14</v>
      </c>
      <c r="H8" s="9" t="s">
        <v>10</v>
      </c>
      <c r="I8" s="9" t="s">
        <v>11</v>
      </c>
      <c r="J8" s="9" t="s">
        <v>12</v>
      </c>
      <c r="K8" s="9" t="s">
        <v>13</v>
      </c>
      <c r="L8" s="9" t="s">
        <v>14</v>
      </c>
      <c r="N8" s="9" t="s">
        <v>10</v>
      </c>
      <c r="O8" s="9" t="s">
        <v>11</v>
      </c>
      <c r="P8" s="9" t="s">
        <v>12</v>
      </c>
      <c r="Q8" s="9" t="s">
        <v>13</v>
      </c>
      <c r="R8" s="9" t="s">
        <v>14</v>
      </c>
    </row>
    <row r="9" customFormat="false" ht="15" hidden="false" customHeight="false" outlineLevel="0" collapsed="false">
      <c r="B9" s="10" t="s">
        <v>15</v>
      </c>
      <c r="C9" s="11" t="n">
        <f aca="false">SUMIFS(Artikel!$AI$7:$AI$1843,Artikel!$CB$7:$CB$1843,1)</f>
        <v>12756.8850732601</v>
      </c>
      <c r="D9" s="11" t="n">
        <f aca="false">Parameter!$H$5</f>
        <v>11900</v>
      </c>
      <c r="E9" s="12" t="n">
        <f aca="false">SUMIFS(Artikel!$AH$7:$AH$1843,Artikel!$CB$7:$CB$1843,1)</f>
        <v>52.953021978022</v>
      </c>
      <c r="F9" s="13" t="n">
        <f aca="false">IF(D9&gt;0,C9/D9,0)</f>
        <v>1.07200714901345</v>
      </c>
      <c r="H9" s="10" t="s">
        <v>15</v>
      </c>
      <c r="I9" s="11" t="n">
        <f aca="false">SUMIFS(Artikel!$AR$7:$AR$1843,Artikel!$CB$7:$CB$1843,1)</f>
        <v>16656.185739637</v>
      </c>
      <c r="J9" s="11" t="n">
        <f aca="false">Parameter!$H$5</f>
        <v>11900</v>
      </c>
      <c r="K9" s="12" t="n">
        <f aca="false">SUMIFS(Artikel!$AQ$7:$AQ$1843,Artikel!$CB$7:$CB$1843,1)</f>
        <v>69.4131842263198</v>
      </c>
      <c r="L9" s="13" t="n">
        <f aca="false">IF(J9&gt;0,I9/J9,0)</f>
        <v>1.39967947391908</v>
      </c>
      <c r="N9" s="10" t="s">
        <v>15</v>
      </c>
      <c r="O9" s="11" t="n">
        <f aca="false">SUMIFS(Artikel!$BA$7:$BA$1843,Artikel!$CB$7:$CB$1843,1)</f>
        <v>15184.1625250926</v>
      </c>
      <c r="P9" s="11" t="n">
        <f aca="false">Parameter!$H$5</f>
        <v>11900</v>
      </c>
      <c r="Q9" s="12" t="n">
        <f aca="false">SUMIFS(Artikel!$AZ$7:$AZ$1843,Artikel!$CB$7:$CB$1843,1)</f>
        <v>63.3299957575381</v>
      </c>
      <c r="R9" s="13" t="n">
        <f aca="false">IF(P9&gt;0,O9/P9,0)</f>
        <v>1.27598004412543</v>
      </c>
    </row>
    <row r="10" customFormat="false" ht="15" hidden="false" customHeight="false" outlineLevel="0" collapsed="false">
      <c r="B10" s="10" t="s">
        <v>16</v>
      </c>
      <c r="C10" s="11" t="n">
        <f aca="false">SUMIFS(Artikel!$AI$7:$AI$1843,Artikel!$CB$7:$CB$1843,2)</f>
        <v>14653.9903846154</v>
      </c>
      <c r="D10" s="11" t="n">
        <f aca="false">Parameter!$H$6</f>
        <v>11900</v>
      </c>
      <c r="E10" s="12" t="n">
        <f aca="false">SUMIFS(Artikel!$AH$7:$AH$1843,Artikel!$CB$7:$CB$1843,2)</f>
        <v>62.8429487179487</v>
      </c>
      <c r="F10" s="13" t="n">
        <f aca="false">IF(D10&gt;0,C10/D10,0)</f>
        <v>1.23142776341306</v>
      </c>
      <c r="H10" s="10" t="s">
        <v>16</v>
      </c>
      <c r="I10" s="11" t="n">
        <f aca="false">SUMIFS(Artikel!$AR$7:$AR$1843,Artikel!$CB$7:$CB$1843,2)</f>
        <v>21892.7403846154</v>
      </c>
      <c r="J10" s="11" t="n">
        <f aca="false">Parameter!$H$6</f>
        <v>11900</v>
      </c>
      <c r="K10" s="12" t="n">
        <f aca="false">SUMIFS(Artikel!$AQ$7:$AQ$1843,Artikel!$CB$7:$CB$1843,2)</f>
        <v>95.0929487179487</v>
      </c>
      <c r="L10" s="13" t="n">
        <f aca="false">IF(J10&gt;0,I10/J10,0)</f>
        <v>1.83972608274079</v>
      </c>
      <c r="N10" s="10" t="s">
        <v>16</v>
      </c>
      <c r="O10" s="11" t="n">
        <f aca="false">SUMIFS(Artikel!$BA$7:$BA$1843,Artikel!$CB$7:$CB$1843,2)</f>
        <v>20213.5737179487</v>
      </c>
      <c r="P10" s="11" t="n">
        <f aca="false">Parameter!$H$6</f>
        <v>11900</v>
      </c>
      <c r="Q10" s="12" t="n">
        <f aca="false">SUMIFS(Artikel!$AZ$7:$AZ$1843,Artikel!$CB$7:$CB$1843,2)</f>
        <v>87.926282051282</v>
      </c>
      <c r="R10" s="13" t="n">
        <f aca="false">IF(P10&gt;0,O10/P10,0)</f>
        <v>1.69861964016376</v>
      </c>
    </row>
    <row r="11" customFormat="false" ht="15" hidden="false" customHeight="false" outlineLevel="0" collapsed="false">
      <c r="B11" s="10" t="s">
        <v>17</v>
      </c>
      <c r="C11" s="11" t="n">
        <f aca="false">SUMIFS(Artikel!$AI$7:$AI$1843,Artikel!$CB$7:$CB$1843,3)</f>
        <v>5486.98351648352</v>
      </c>
      <c r="D11" s="11" t="n">
        <f aca="false">Parameter!$H$7</f>
        <v>11900</v>
      </c>
      <c r="E11" s="12" t="n">
        <f aca="false">SUMIFS(Artikel!$AH$7:$AH$1843,Artikel!$CB$7:$CB$1843,3)</f>
        <v>31.7373626373626</v>
      </c>
      <c r="F11" s="13" t="n">
        <f aca="false">IF(D11&gt;0,C11/D11,0)</f>
        <v>0.461091051805338</v>
      </c>
      <c r="H11" s="10" t="s">
        <v>17</v>
      </c>
      <c r="I11" s="11" t="n">
        <f aca="false">SUMIFS(Artikel!$AR$7:$AR$1843,Artikel!$CB$7:$CB$1843,3)</f>
        <v>7034.17445054945</v>
      </c>
      <c r="J11" s="11" t="n">
        <f aca="false">Parameter!$H$7</f>
        <v>11900</v>
      </c>
      <c r="K11" s="12" t="n">
        <f aca="false">SUMIFS(Artikel!$AQ$7:$AQ$1843,Artikel!$CB$7:$CB$1843,3)</f>
        <v>40.8706043956044</v>
      </c>
      <c r="L11" s="13" t="n">
        <f aca="false">IF(J11&gt;0,I11/J11,0)</f>
        <v>0.591107096684828</v>
      </c>
      <c r="N11" s="10" t="s">
        <v>17</v>
      </c>
      <c r="O11" s="11" t="n">
        <f aca="false">SUMIFS(Artikel!$BA$7:$BA$1843,Artikel!$CB$7:$CB$1843,3)</f>
        <v>6860.37637362637</v>
      </c>
      <c r="P11" s="11" t="n">
        <f aca="false">Parameter!$H$7</f>
        <v>11900</v>
      </c>
      <c r="Q11" s="12" t="n">
        <f aca="false">SUMIFS(Artikel!$AZ$7:$AZ$1843,Artikel!$CB$7:$CB$1843,3)</f>
        <v>39.860989010989</v>
      </c>
      <c r="R11" s="13" t="n">
        <f aca="false">IF(P11&gt;0,O11/P11,0)</f>
        <v>0.576502216271124</v>
      </c>
    </row>
    <row r="12" customFormat="false" ht="15" hidden="false" customHeight="false" outlineLevel="0" collapsed="false">
      <c r="B12" s="14" t="s">
        <v>18</v>
      </c>
      <c r="C12" s="15" t="n">
        <f aca="false">C10+C11</f>
        <v>20140.9739010989</v>
      </c>
      <c r="D12" s="15" t="n">
        <f aca="false">D10+D11</f>
        <v>23800</v>
      </c>
      <c r="E12" s="16" t="n">
        <f aca="false">E10+E11</f>
        <v>94.5803113553114</v>
      </c>
      <c r="F12" s="13" t="n">
        <f aca="false">IF(D12&gt;0,C12/D12,0)</f>
        <v>0.846259407609198</v>
      </c>
      <c r="H12" s="14" t="s">
        <v>18</v>
      </c>
      <c r="I12" s="15" t="n">
        <f aca="false">I10+I11</f>
        <v>28926.9148351648</v>
      </c>
      <c r="J12" s="15" t="n">
        <f aca="false">J10+J11</f>
        <v>23800</v>
      </c>
      <c r="K12" s="16" t="n">
        <f aca="false">K10+K11</f>
        <v>135.963553113553</v>
      </c>
      <c r="L12" s="13" t="n">
        <f aca="false">IF(J12&gt;0,I12/J12,0)</f>
        <v>1.21541658971281</v>
      </c>
      <c r="N12" s="14" t="s">
        <v>18</v>
      </c>
      <c r="O12" s="15" t="n">
        <f aca="false">O10+O11</f>
        <v>27073.9500915751</v>
      </c>
      <c r="P12" s="15" t="n">
        <f aca="false">P10+P11</f>
        <v>23800</v>
      </c>
      <c r="Q12" s="16" t="n">
        <f aca="false">Q10+Q11</f>
        <v>127.787271062271</v>
      </c>
      <c r="R12" s="13" t="n">
        <f aca="false">IF(P12&gt;0,O12/P12,0)</f>
        <v>1.13756092821744</v>
      </c>
    </row>
    <row r="13" customFormat="false" ht="15" hidden="false" customHeight="false" outlineLevel="0" collapsed="false">
      <c r="B13" s="14" t="s">
        <v>19</v>
      </c>
      <c r="C13" s="15" t="n">
        <f aca="false">C9+C12</f>
        <v>32897.858974359</v>
      </c>
      <c r="D13" s="15" t="n">
        <f aca="false">D9+D12</f>
        <v>35700</v>
      </c>
      <c r="E13" s="16" t="n">
        <f aca="false">E9+E12</f>
        <v>147.533333333333</v>
      </c>
      <c r="F13" s="13" t="n">
        <f aca="false">IF(D13&gt;0,C13/D13,0)</f>
        <v>0.921508654743949</v>
      </c>
      <c r="H13" s="14" t="s">
        <v>19</v>
      </c>
      <c r="I13" s="15" t="n">
        <f aca="false">I9+I12</f>
        <v>45583.1005748018</v>
      </c>
      <c r="J13" s="15" t="n">
        <f aca="false">J9+J12</f>
        <v>35700</v>
      </c>
      <c r="K13" s="16" t="n">
        <f aca="false">K9+K12</f>
        <v>205.376737339873</v>
      </c>
      <c r="L13" s="13" t="n">
        <f aca="false">IF(J13&gt;0,I13/J13,0)</f>
        <v>1.2768375511149</v>
      </c>
      <c r="N13" s="14" t="s">
        <v>19</v>
      </c>
      <c r="O13" s="15" t="n">
        <f aca="false">O9+O12</f>
        <v>42258.1126166677</v>
      </c>
      <c r="P13" s="15" t="n">
        <f aca="false">P9+P12</f>
        <v>35700</v>
      </c>
      <c r="Q13" s="16" t="n">
        <f aca="false">Q9+Q12</f>
        <v>191.117266819809</v>
      </c>
      <c r="R13" s="13" t="n">
        <f aca="false">IF(P13&gt;0,O13/P13,0)</f>
        <v>1.1837006335201</v>
      </c>
    </row>
    <row r="14" customFormat="false" ht="15" hidden="false" customHeight="false" outlineLevel="0" collapsed="false">
      <c r="B14" s="17" t="s">
        <v>20</v>
      </c>
      <c r="C14" s="18" t="n">
        <f aca="false">SUMIFS(Artikel!$AI$7:$AI$1843,Artikel!$CC$7:$CC$1843,"-")</f>
        <v>3247.98076923077</v>
      </c>
      <c r="H14" s="17" t="s">
        <v>20</v>
      </c>
      <c r="I14" s="18" t="n">
        <f aca="false">SUMIFS(Artikel!$AR$7:$AR$1843,Artikel!$CC$7:$CC$1843,"-")</f>
        <v>16673.7661114927</v>
      </c>
      <c r="N14" s="17" t="s">
        <v>20</v>
      </c>
      <c r="O14" s="18" t="n">
        <f aca="false">SUMIFS(Artikel!$BA$7:$BA$1843,Artikel!$CC$7:$CC$1843,"-")</f>
        <v>15875.935382326</v>
      </c>
    </row>
    <row r="15" customFormat="false" ht="15" hidden="false" customHeight="false" outlineLevel="0" collapsed="false">
      <c r="B15" s="17" t="s">
        <v>21</v>
      </c>
      <c r="C15" s="18" t="n">
        <f aca="false">SUMIFS(Artikel!$AI$7:$AI$1843,Artikel!$CC$7:$CC$1843,"Aussen")</f>
        <v>0</v>
      </c>
      <c r="H15" s="17" t="s">
        <v>21</v>
      </c>
      <c r="I15" s="18" t="n">
        <f aca="false">SUMIFS(Artikel!$AR$7:$AR$1843,Artikel!$CC$7:$CC$1843,"Aussen")</f>
        <v>0</v>
      </c>
      <c r="N15" s="17" t="s">
        <v>21</v>
      </c>
      <c r="O15" s="18" t="n">
        <f aca="false">SUMIFS(Artikel!$BA$7:$BA$1843,Artikel!$CC$7:$CC$1843,"Aussen")</f>
        <v>0</v>
      </c>
    </row>
    <row r="17" customFormat="false" ht="21.75" hidden="false" customHeight="true" outlineLevel="0" collapsed="false">
      <c r="B17" s="19" t="s">
        <v>22</v>
      </c>
      <c r="E17" s="20" t="str">
        <f aca="false">IF(Parameter!$E$27="Ja",IF(C13&lt;=D13,"JA","NEIN"),IF(AND(C9&lt;=D9,C12&lt;=D12),"JA","NEIN"))</f>
        <v>JA</v>
      </c>
      <c r="F17" s="20"/>
      <c r="H17" s="19" t="s">
        <v>22</v>
      </c>
      <c r="K17" s="20" t="str">
        <f aca="false">IF(Parameter!$E$27="Ja",IF(I13&lt;=J13,"JA","NEIN"),IF(AND(I9&lt;=J9,I12&lt;=J12),"JA","NEIN"))</f>
        <v>NEIN</v>
      </c>
      <c r="L17" s="20"/>
      <c r="N17" s="19" t="s">
        <v>22</v>
      </c>
      <c r="Q17" s="20" t="str">
        <f aca="false">IF(Parameter!$E$27="Ja",IF(O13&lt;=P13,"JA","NEIN"),IF(AND(O9&lt;=P9,O12&lt;=P12),"JA","NEIN"))</f>
        <v>NEIN</v>
      </c>
      <c r="R17" s="20"/>
    </row>
    <row r="18" customFormat="false" ht="21.75" hidden="false" customHeight="true" outlineLevel="0" collapsed="false">
      <c r="B18" s="21" t="s">
        <v>23</v>
      </c>
      <c r="D18" s="22" t="str">
        <f aca="false">IF(C9&lt;=D9,"JA","NEIN")</f>
        <v>NEIN</v>
      </c>
      <c r="E18" s="20"/>
      <c r="F18" s="20"/>
      <c r="H18" s="21" t="s">
        <v>23</v>
      </c>
      <c r="J18" s="22" t="str">
        <f aca="false">IF(I9&lt;=J9,"JA","NEIN")</f>
        <v>NEIN</v>
      </c>
      <c r="K18" s="20"/>
      <c r="L18" s="20"/>
      <c r="N18" s="21" t="s">
        <v>23</v>
      </c>
      <c r="P18" s="22" t="str">
        <f aca="false">IF(O9&lt;=P9,"JA","NEIN")</f>
        <v>NEIN</v>
      </c>
      <c r="Q18" s="20"/>
      <c r="R18" s="20"/>
    </row>
    <row r="19" customFormat="false" ht="15" hidden="false" customHeight="false" outlineLevel="0" collapsed="false">
      <c r="B19" s="21" t="s">
        <v>24</v>
      </c>
      <c r="D19" s="22" t="str">
        <f aca="false">IF(C12&lt;=D12,"JA","NEIN")</f>
        <v>JA</v>
      </c>
      <c r="H19" s="21" t="s">
        <v>24</v>
      </c>
      <c r="J19" s="22" t="str">
        <f aca="false">IF(I12&lt;=J12,"JA","NEIN")</f>
        <v>NEIN</v>
      </c>
      <c r="N19" s="21" t="s">
        <v>24</v>
      </c>
      <c r="P19" s="22" t="str">
        <f aca="false">IF(O12&lt;=P12,"JA","NEIN")</f>
        <v>NEIN</v>
      </c>
    </row>
    <row r="20" customFormat="false" ht="15" hidden="false" customHeight="false" outlineLevel="0" collapsed="false">
      <c r="B20" s="23" t="str">
        <f aca="false">IF(Parameter!$E$27="Ja","Lifte gemischt: Summe aller 3 Lifte massgebend (frei: "&amp;TEXT(MAX(0,D13-C13),"0")&amp;" mm)",IF(OR(AND(C10&gt;D10,C11&lt;D11),AND(C11&gt;D11,C10&lt;D10)),"Ausgleich Lift 2 ↔ 3 möglich: "&amp;ROUNDUP(MIN(MAX(C10-D10,C11-D11),MAX(D10-C10,D11-C11)),0)&amp;" mm",""))</f>
        <v>Lifte gemischt: Summe aller 3 Lifte massgebend (frei: 2802 mm)</v>
      </c>
      <c r="C20" s="23"/>
      <c r="D20" s="23"/>
      <c r="E20" s="23"/>
      <c r="F20" s="23"/>
      <c r="H20" s="23" t="str">
        <f aca="false">IF(Parameter!$E$27="Ja","Lifte gemischt: Summe aller 3 Lifte massgebend (frei: "&amp;TEXT(MAX(0,J13-I13),"0")&amp;" mm)",IF(OR(AND(I10&gt;J10,I11&lt;J11),AND(I11&gt;J11,I10&lt;J10)),"Ausgleich Lift 2 ↔ 3 möglich: "&amp;ROUNDUP(MIN(MAX(I10-J10,I11-J11),MAX(J10-I10,J11-I11)),0)&amp;" mm",""))</f>
        <v>Lifte gemischt: Summe aller 3 Lifte massgebend (frei: 0 mm)</v>
      </c>
      <c r="I20" s="23"/>
      <c r="J20" s="23"/>
      <c r="K20" s="23"/>
      <c r="L20" s="23"/>
      <c r="N20" s="23" t="str">
        <f aca="false">IF(Parameter!$E$27="Ja","Lifte gemischt: Summe aller 3 Lifte massgebend (frei: "&amp;TEXT(MAX(0,P13-O13),"0")&amp;" mm)",IF(OR(AND(O10&gt;P10,O11&lt;P11),AND(O11&gt;P11,O10&lt;P10)),"Ausgleich Lift 2 ↔ 3 möglich: "&amp;ROUNDUP(MIN(MAX(O10-P10,O11-P11),MAX(P10-O10,P11-O11)),0)&amp;" mm",""))</f>
        <v>Lifte gemischt: Summe aller 3 Lifte massgebend (frei: 0 mm)</v>
      </c>
      <c r="O20" s="23"/>
      <c r="P20" s="23"/>
      <c r="Q20" s="23"/>
      <c r="R20" s="23"/>
    </row>
    <row r="22" customFormat="false" ht="15" hidden="false" customHeight="false" outlineLevel="0" collapsed="false">
      <c r="B22" s="5" t="s">
        <v>25</v>
      </c>
      <c r="D22" s="24" t="n">
        <f aca="false">IF(Parameter!$E$27="Ja",MAX(0,C13-D13),MAX(0,C9-D9)+MAX(0,C12-D12))+C15</f>
        <v>0</v>
      </c>
      <c r="E22" s="8" t="str">
        <f aca="false">"≈ "&amp;TEXT(D22/Parameter!$M$24,"0")&amp;" Tablare"</f>
        <v>≈ 0 Tablare</v>
      </c>
      <c r="H22" s="5" t="s">
        <v>25</v>
      </c>
      <c r="J22" s="24" t="n">
        <f aca="false">IF(Parameter!$E$27="Ja",MAX(0,I13-J13),MAX(0,I9-J9)+MAX(0,I12-J12))+I15</f>
        <v>9883.10057480184</v>
      </c>
      <c r="K22" s="8" t="str">
        <f aca="false">"≈ "&amp;TEXT(J22/Parameter!$M$24,"0")&amp;" Tablare"</f>
        <v>≈ 42 Tablare</v>
      </c>
      <c r="N22" s="5" t="s">
        <v>25</v>
      </c>
      <c r="P22" s="24" t="n">
        <f aca="false">IF(Parameter!$E$27="Ja",MAX(0,O13-P13),MAX(0,O9-P9)+MAX(0,O12-P12))+O15</f>
        <v>6558.1126166677</v>
      </c>
      <c r="Q22" s="8" t="str">
        <f aca="false">"≈ "&amp;TEXT(P22/Parameter!$M$24,"0")&amp;" Tablare"</f>
        <v>≈ 28 Tablare</v>
      </c>
    </row>
    <row r="23" customFormat="false" ht="15" hidden="false" customHeight="false" outlineLevel="0" collapsed="false">
      <c r="B23" s="21" t="s">
        <v>26</v>
      </c>
      <c r="D23" s="25" t="n">
        <f aca="false">COUNTIF(Artikel!$BG$7:$BG$1843,"Aussenlager")+COUNTIF(Artikel!$BG$7:$BG$1843,"teilweise")</f>
        <v>0</v>
      </c>
      <c r="H23" s="21" t="s">
        <v>26</v>
      </c>
      <c r="J23" s="25" t="n">
        <f aca="false">COUNTIF(Artikel!$BH$7:$BH$1843,"Aussenlager")+COUNTIF(Artikel!$BH$7:$BH$1843,"teilweise")</f>
        <v>593</v>
      </c>
      <c r="N23" s="21" t="s">
        <v>26</v>
      </c>
      <c r="P23" s="25" t="n">
        <f aca="false">COUNTIF(Artikel!$BI$7:$BI$1843,"Aussenlager")+COUNTIF(Artikel!$BI$7:$BI$1843,"teilweise")</f>
        <v>533</v>
      </c>
    </row>
    <row r="25" customFormat="false" ht="15" hidden="false" customHeight="false" outlineLevel="0" collapsed="false">
      <c r="B25" s="5" t="s">
        <v>27</v>
      </c>
      <c r="D25" s="24" t="n">
        <f aca="false">SUM(Artikel!$AJ$7:$AJ$1843)</f>
        <v>3451046.21423</v>
      </c>
      <c r="H25" s="5" t="s">
        <v>27</v>
      </c>
      <c r="J25" s="24" t="n">
        <f aca="false">SUM(Artikel!$AS$7:$AS$1843)</f>
        <v>7904043.04405</v>
      </c>
      <c r="N25" s="5" t="s">
        <v>27</v>
      </c>
      <c r="P25" s="24" t="n">
        <f aca="false">SUM(Artikel!$BB$7:$BB$1843)</f>
        <v>6965579.74584</v>
      </c>
    </row>
    <row r="26" customFormat="false" ht="15" hidden="false" customHeight="false" outlineLevel="0" collapsed="false">
      <c r="B26" s="21" t="s">
        <v>28</v>
      </c>
      <c r="D26" s="26" t="n">
        <f aca="false">SUMPRODUCT(Artikel!$AJ$7:$AJ$1843,Artikel!$AN$7:$AN$1843)</f>
        <v>3168585.11003</v>
      </c>
      <c r="H26" s="21" t="s">
        <v>28</v>
      </c>
      <c r="J26" s="26" t="n">
        <f aca="false">SUMPRODUCT(Artikel!$AS$7:$AS$1843,Artikel!$AW$7:$AW$1843)</f>
        <v>5615396.47229471</v>
      </c>
      <c r="N26" s="21" t="s">
        <v>28</v>
      </c>
      <c r="P26" s="26" t="n">
        <f aca="false">SUMPRODUCT(Artikel!$BB$7:$BB$1843,Artikel!$BF$7:$BF$1843)</f>
        <v>5336107.7144682</v>
      </c>
    </row>
    <row r="27" customFormat="false" ht="15" hidden="false" customHeight="false" outlineLevel="0" collapsed="false">
      <c r="B27" s="21" t="s">
        <v>29</v>
      </c>
      <c r="D27" s="26" t="n">
        <f aca="false">SUMIFS(Artikel!$AJ$7:$AJ$1843,Artikel!$CC$7:$CC$1843,"L1")+SUMIFS(Artikel!$AJ$7:$AJ$1843,Artikel!$CC$7:$CC$1843,"L23")+SUMIFS(Artikel!$AJ$7:$AJ$1843,Artikel!$CC$7:$CC$1843,"LIFT")-D26+SUMIFS(Artikel!$AJ$7:$AJ$1843,Artikel!$CC$7:$CC$1843,"Aussen")</f>
        <v>0</v>
      </c>
      <c r="H27" s="21" t="s">
        <v>29</v>
      </c>
      <c r="J27" s="26" t="n">
        <f aca="false">SUMIFS(Artikel!$AS$7:$AS$1843,Artikel!$CC$7:$CC$1843,"L1")+SUMIFS(Artikel!$AS$7:$AS$1843,Artikel!$CC$7:$CC$1843,"L23")+SUMIFS(Artikel!$AS$7:$AS$1843,Artikel!$CC$7:$CC$1843,"LIFT")-J26+SUMIFS(Artikel!$AS$7:$AS$1843,Artikel!$CC$7:$CC$1843,"Aussen")</f>
        <v>1283288.59175529</v>
      </c>
      <c r="N27" s="21" t="s">
        <v>29</v>
      </c>
      <c r="P27" s="26" t="n">
        <f aca="false">SUMIFS(Artikel!$BB$7:$BB$1843,Artikel!$CC$7:$CC$1843,"L1")+SUMIFS(Artikel!$BB$7:$BB$1843,Artikel!$CC$7:$CC$1843,"L23")+SUMIFS(Artikel!$BB$7:$BB$1843,Artikel!$CC$7:$CC$1843,"LIFT")-P26+SUMIFS(Artikel!$BB$7:$BB$1843,Artikel!$CC$7:$CC$1843,"Aussen")</f>
        <v>847818.481371797</v>
      </c>
    </row>
    <row r="28" customFormat="false" ht="15" hidden="false" customHeight="false" outlineLevel="0" collapsed="false">
      <c r="B28" s="21" t="s">
        <v>30</v>
      </c>
      <c r="D28" s="26" t="n">
        <f aca="false">SUMIFS(Artikel!$AJ$7:$AJ$1843,Artikel!$CC$7:$CC$1843,"-")</f>
        <v>282461.1042</v>
      </c>
      <c r="H28" s="21" t="s">
        <v>30</v>
      </c>
      <c r="J28" s="26" t="n">
        <f aca="false">SUMIFS(Artikel!$AS$7:$AS$1843,Artikel!$CC$7:$CC$1843,"-")</f>
        <v>1005357.98</v>
      </c>
      <c r="N28" s="21" t="s">
        <v>30</v>
      </c>
      <c r="P28" s="26" t="n">
        <f aca="false">SUMIFS(Artikel!$BB$7:$BB$1843,Artikel!$CC$7:$CC$1843,"-")</f>
        <v>781653.55</v>
      </c>
    </row>
    <row r="30" customFormat="false" ht="15" hidden="false" customHeight="false" outlineLevel="0" collapsed="false">
      <c r="B30" s="5" t="s">
        <v>31</v>
      </c>
      <c r="D30" s="25" t="n">
        <f aca="false">SUMPRODUCT((Artikel!$H$7:$H$1843&gt;Artikel!$AK$7:$AK$1843)*1)</f>
        <v>174</v>
      </c>
      <c r="E30" s="8" t="s">
        <v>32</v>
      </c>
      <c r="H30" s="5" t="s">
        <v>31</v>
      </c>
      <c r="J30" s="25" t="n">
        <f aca="false">SUMPRODUCT((Artikel!$H$7:$H$1843&gt;Artikel!$AT$7:$AT$1843)*1)</f>
        <v>174</v>
      </c>
      <c r="K30" s="8" t="s">
        <v>32</v>
      </c>
      <c r="N30" s="5" t="s">
        <v>31</v>
      </c>
      <c r="P30" s="25" t="n">
        <f aca="false">SUMPRODUCT((Artikel!$H$7:$H$1843&gt;Artikel!$BC$7:$BC$1843)*1)</f>
        <v>178</v>
      </c>
      <c r="Q30" s="8" t="s">
        <v>32</v>
      </c>
    </row>
    <row r="31" customFormat="false" ht="15" hidden="false" customHeight="false" outlineLevel="0" collapsed="false">
      <c r="B31" s="21" t="s">
        <v>33</v>
      </c>
      <c r="D31" s="26" t="n">
        <f aca="false">SUMPRODUCT((Artikel!$H$7:$H$1843&gt;Artikel!$AK$7:$AK$1843)*(Artikel!$H$7:$H$1843-Artikel!$AK$7:$AK$1843)*Artikel!$G$7:$G$1843)</f>
        <v>355656.612</v>
      </c>
      <c r="H31" s="21" t="s">
        <v>33</v>
      </c>
      <c r="J31" s="26" t="n">
        <f aca="false">SUMPRODUCT((Artikel!$H$7:$H$1843&gt;Artikel!$AT$7:$AT$1843)*(Artikel!$H$7:$H$1843-Artikel!$AT$7:$AT$1843)*Artikel!$G$7:$G$1843)</f>
        <v>355656.612</v>
      </c>
      <c r="N31" s="21" t="s">
        <v>33</v>
      </c>
      <c r="P31" s="26" t="n">
        <f aca="false">SUMPRODUCT((Artikel!$H$7:$H$1843&gt;Artikel!$BC$7:$BC$1843)*(Artikel!$H$7:$H$1843-Artikel!$BC$7:$BC$1843)*Artikel!$G$7:$G$1843)</f>
        <v>368368.422</v>
      </c>
    </row>
    <row r="33" customFormat="false" ht="30" hidden="false" customHeight="true" outlineLevel="0" collapsed="false">
      <c r="B33" s="9" t="s">
        <v>34</v>
      </c>
      <c r="C33" s="9" t="s">
        <v>35</v>
      </c>
      <c r="D33" s="9" t="s">
        <v>36</v>
      </c>
      <c r="E33" s="9" t="s">
        <v>37</v>
      </c>
      <c r="F33" s="9" t="s">
        <v>38</v>
      </c>
      <c r="H33" s="9" t="s">
        <v>34</v>
      </c>
      <c r="I33" s="9" t="s">
        <v>35</v>
      </c>
      <c r="J33" s="9" t="s">
        <v>36</v>
      </c>
      <c r="K33" s="9" t="s">
        <v>37</v>
      </c>
      <c r="L33" s="9" t="s">
        <v>38</v>
      </c>
      <c r="N33" s="9" t="s">
        <v>34</v>
      </c>
      <c r="O33" s="9" t="s">
        <v>35</v>
      </c>
      <c r="P33" s="9" t="s">
        <v>36</v>
      </c>
      <c r="Q33" s="9" t="s">
        <v>37</v>
      </c>
      <c r="R33" s="9" t="s">
        <v>38</v>
      </c>
    </row>
    <row r="34" customFormat="false" ht="15" hidden="false" customHeight="false" outlineLevel="0" collapsed="false">
      <c r="B34" s="10" t="s">
        <v>15</v>
      </c>
      <c r="C34" s="12" t="n">
        <f aca="false">SUMIFS(Artikel!$AI$7:$AI$1843,Artikel!$CB$7:$CB$1843,1,Artikel!$BW$7:$BW$1843,0,Artikel!$CL$7:$CL$1843,0,Artikel!$BX$7:$BX$1843,0)</f>
        <v>2569.38507326007</v>
      </c>
      <c r="D34" s="12" t="n">
        <f aca="false">SUMIFS(Artikel!$AI$7:$AI$1843,Artikel!$CB$7:$CB$1843,1,Artikel!$CL$7:$CL$1843,"&gt;0")</f>
        <v>10115</v>
      </c>
      <c r="E34" s="12" t="n">
        <f aca="false">SUMIFS(Artikel!$AI$7:$AI$1843,Artikel!$CB$7:$CB$1843,1,Artikel!$BW$7:$BW$1843,1,Artikel!$CL$7:$CL$1843,0)+SUMIFS(Artikel!$AI$7:$AI$1843,Artikel!$CB$7:$CB$1843,1,Artikel!$BX$7:$BX$1843,1,Artikel!$CL$7:$CL$1843,0)</f>
        <v>72.5</v>
      </c>
      <c r="F34" s="27" t="n">
        <f aca="false">IF(SUM(C34:E34)&gt;0,E34/SUM(C34:E34),0)</f>
        <v>0.00568320554615394</v>
      </c>
      <c r="H34" s="10" t="s">
        <v>15</v>
      </c>
      <c r="I34" s="12" t="n">
        <f aca="false">SUMIFS(Artikel!$AR$7:$AR$1843,Artikel!$CB$7:$CB$1843,1,Artikel!$BW$7:$BW$1843,0,Artikel!$CL$7:$CL$1843,0,Artikel!$BX$7:$BX$1843,0)</f>
        <v>4560.34661172161</v>
      </c>
      <c r="J34" s="12" t="n">
        <f aca="false">SUMIFS(Artikel!$AR$7:$AR$1843,Artikel!$CB$7:$CB$1843,1,Artikel!$CL$7:$CL$1843,"&gt;0")</f>
        <v>11753.2109227872</v>
      </c>
      <c r="K34" s="12" t="n">
        <f aca="false">SUMIFS(Artikel!$AR$7:$AR$1843,Artikel!$CB$7:$CB$1843,1,Artikel!$BW$7:$BW$1843,1,Artikel!$CL$7:$CL$1843,0)+SUMIFS(Artikel!$AR$7:$AR$1843,Artikel!$CB$7:$CB$1843,1,Artikel!$BX$7:$BX$1843,1,Artikel!$CL$7:$CL$1843,0)</f>
        <v>342.628205128205</v>
      </c>
      <c r="L34" s="27" t="n">
        <f aca="false">IF(SUM(I34:K34)&gt;0,K34/SUM(I34:K34),0)</f>
        <v>0.020570628262919</v>
      </c>
      <c r="N34" s="10" t="s">
        <v>15</v>
      </c>
      <c r="O34" s="12" t="n">
        <f aca="false">SUMIFS(Artikel!$BA$7:$BA$1843,Artikel!$CB$7:$CB$1843,1,Artikel!$BW$7:$BW$1843,0,Artikel!$CL$7:$CL$1843,0,Artikel!$BX$7:$BX$1843,0)</f>
        <v>3841.46840659341</v>
      </c>
      <c r="P34" s="12" t="n">
        <f aca="false">SUMIFS(Artikel!$BA$7:$BA$1843,Artikel!$CB$7:$CB$1843,1,Artikel!$CL$7:$CL$1843,"&gt;0")</f>
        <v>11048.3992467043</v>
      </c>
      <c r="Q34" s="12" t="n">
        <f aca="false">SUMIFS(Artikel!$BA$7:$BA$1843,Artikel!$CB$7:$CB$1843,1,Artikel!$BW$7:$BW$1843,1,Artikel!$CL$7:$CL$1843,0)+SUMIFS(Artikel!$BA$7:$BA$1843,Artikel!$CB$7:$CB$1843,1,Artikel!$BX$7:$BX$1843,1,Artikel!$CL$7:$CL$1843,0)</f>
        <v>294.294871794872</v>
      </c>
      <c r="R34" s="27" t="n">
        <f aca="false">IF(SUM(O34:Q34)&gt;0,Q34/SUM(O34:Q34),0)</f>
        <v>0.0193816992743943</v>
      </c>
    </row>
    <row r="35" customFormat="false" ht="15" hidden="false" customHeight="false" outlineLevel="0" collapsed="false">
      <c r="B35" s="10" t="s">
        <v>16</v>
      </c>
      <c r="C35" s="12" t="n">
        <f aca="false">SUMIFS(Artikel!$AI$7:$AI$1843,Artikel!$CB$7:$CB$1843,2,Artikel!$BW$7:$BW$1843,0,Artikel!$CL$7:$CL$1843,0,Artikel!$BX$7:$BX$1843,0)</f>
        <v>11869.8237179487</v>
      </c>
      <c r="D35" s="12" t="n">
        <f aca="false">SUMIFS(Artikel!$AI$7:$AI$1843,Artikel!$CB$7:$CB$1843,2,Artikel!$CL$7:$CL$1843,"&gt;0")</f>
        <v>0</v>
      </c>
      <c r="E35" s="12" t="n">
        <f aca="false">SUMIFS(Artikel!$AI$7:$AI$1843,Artikel!$CB$7:$CB$1843,2,Artikel!$BW$7:$BW$1843,1,Artikel!$CL$7:$CL$1843,0)+SUMIFS(Artikel!$AI$7:$AI$1843,Artikel!$CB$7:$CB$1843,2,Artikel!$BX$7:$BX$1843,1,Artikel!$CL$7:$CL$1843,0)</f>
        <v>2784.16666666667</v>
      </c>
      <c r="F35" s="27" t="n">
        <f aca="false">IF(SUM(C35:E35)&gt;0,E35/SUM(C35:E35),0)</f>
        <v>0.189993755529528</v>
      </c>
      <c r="H35" s="10" t="s">
        <v>16</v>
      </c>
      <c r="I35" s="12" t="n">
        <f aca="false">SUMIFS(Artikel!$AR$7:$AR$1843,Artikel!$CB$7:$CB$1843,2,Artikel!$BW$7:$BW$1843,0,Artikel!$CL$7:$CL$1843,0,Artikel!$BX$7:$BX$1843,0)</f>
        <v>15427.3237179487</v>
      </c>
      <c r="J35" s="12" t="n">
        <f aca="false">SUMIFS(Artikel!$AR$7:$AR$1843,Artikel!$CB$7:$CB$1843,2,Artikel!$CL$7:$CL$1843,"&gt;0")</f>
        <v>0</v>
      </c>
      <c r="K35" s="12" t="n">
        <f aca="false">SUMIFS(Artikel!$AR$7:$AR$1843,Artikel!$CB$7:$CB$1843,2,Artikel!$BW$7:$BW$1843,1,Artikel!$CL$7:$CL$1843,0)+SUMIFS(Artikel!$AR$7:$AR$1843,Artikel!$CB$7:$CB$1843,2,Artikel!$BX$7:$BX$1843,1,Artikel!$CL$7:$CL$1843,0)</f>
        <v>6465.41666666667</v>
      </c>
      <c r="L35" s="27" t="n">
        <f aca="false">IF(SUM(I35:K35)&gt;0,K35/SUM(I35:K35),0)</f>
        <v>0.295322401539557</v>
      </c>
      <c r="N35" s="10" t="s">
        <v>16</v>
      </c>
      <c r="O35" s="12" t="n">
        <f aca="false">SUMIFS(Artikel!$BA$7:$BA$1843,Artikel!$CB$7:$CB$1843,2,Artikel!$BW$7:$BW$1843,0,Artikel!$CL$7:$CL$1843,0,Artikel!$BX$7:$BX$1843,0)</f>
        <v>14610.2403846154</v>
      </c>
      <c r="P35" s="12" t="n">
        <f aca="false">SUMIFS(Artikel!$BA$7:$BA$1843,Artikel!$CB$7:$CB$1843,2,Artikel!$CL$7:$CL$1843,"&gt;0")</f>
        <v>0</v>
      </c>
      <c r="Q35" s="12" t="n">
        <f aca="false">SUMIFS(Artikel!$BA$7:$BA$1843,Artikel!$CB$7:$CB$1843,2,Artikel!$BW$7:$BW$1843,1,Artikel!$CL$7:$CL$1843,0)+SUMIFS(Artikel!$BA$7:$BA$1843,Artikel!$CB$7:$CB$1843,2,Artikel!$BX$7:$BX$1843,1,Artikel!$CL$7:$CL$1843,0)</f>
        <v>5603.33333333333</v>
      </c>
      <c r="R35" s="27" t="n">
        <f aca="false">IF(SUM(O35:Q35)&gt;0,Q35/SUM(O35:Q35),0)</f>
        <v>0.277206465888703</v>
      </c>
    </row>
    <row r="36" customFormat="false" ht="15" hidden="false" customHeight="false" outlineLevel="0" collapsed="false">
      <c r="B36" s="10" t="s">
        <v>17</v>
      </c>
      <c r="C36" s="12" t="n">
        <f aca="false">SUMIFS(Artikel!$AI$7:$AI$1843,Artikel!$CB$7:$CB$1843,3,Artikel!$BW$7:$BW$1843,0,Artikel!$CL$7:$CL$1843,0,Artikel!$BX$7:$BX$1843,0)</f>
        <v>4592.75274725275</v>
      </c>
      <c r="D36" s="12" t="n">
        <f aca="false">SUMIFS(Artikel!$AI$7:$AI$1843,Artikel!$CB$7:$CB$1843,3,Artikel!$CL$7:$CL$1843,"&gt;0")</f>
        <v>0</v>
      </c>
      <c r="E36" s="12" t="n">
        <f aca="false">SUMIFS(Artikel!$AI$7:$AI$1843,Artikel!$CB$7:$CB$1843,3,Artikel!$BW$7:$BW$1843,1,Artikel!$CL$7:$CL$1843,0)+SUMIFS(Artikel!$AI$7:$AI$1843,Artikel!$CB$7:$CB$1843,3,Artikel!$BX$7:$BX$1843,1,Artikel!$CL$7:$CL$1843,0)</f>
        <v>894.230769230769</v>
      </c>
      <c r="F36" s="27" t="n">
        <f aca="false">IF(SUM(C36:E36)&gt;0,E36/SUM(C36:E36),0)</f>
        <v>0.162973110187847</v>
      </c>
      <c r="H36" s="10" t="s">
        <v>17</v>
      </c>
      <c r="I36" s="12" t="n">
        <f aca="false">SUMIFS(Artikel!$AR$7:$AR$1843,Artikel!$CB$7:$CB$1843,3,Artikel!$BW$7:$BW$1843,0,Artikel!$CL$7:$CL$1843,0,Artikel!$BX$7:$BX$1843,0)</f>
        <v>5549.75137362637</v>
      </c>
      <c r="J36" s="12" t="n">
        <f aca="false">SUMIFS(Artikel!$AR$7:$AR$1843,Artikel!$CB$7:$CB$1843,3,Artikel!$CL$7:$CL$1843,"&gt;0")</f>
        <v>0</v>
      </c>
      <c r="K36" s="12" t="n">
        <f aca="false">SUMIFS(Artikel!$AR$7:$AR$1843,Artikel!$CB$7:$CB$1843,3,Artikel!$BW$7:$BW$1843,1,Artikel!$CL$7:$CL$1843,0)+SUMIFS(Artikel!$AR$7:$AR$1843,Artikel!$CB$7:$CB$1843,3,Artikel!$BX$7:$BX$1843,1,Artikel!$CL$7:$CL$1843,0)</f>
        <v>1484.42307692308</v>
      </c>
      <c r="L36" s="27" t="n">
        <f aca="false">IF(SUM(I36:K36)&gt;0,K36/SUM(I36:K36),0)</f>
        <v>0.211030176655219</v>
      </c>
      <c r="N36" s="10" t="s">
        <v>17</v>
      </c>
      <c r="O36" s="12" t="n">
        <f aca="false">SUMIFS(Artikel!$BA$7:$BA$1843,Artikel!$CB$7:$CB$1843,3,Artikel!$BW$7:$BW$1843,0,Artikel!$CL$7:$CL$1843,0,Artikel!$BX$7:$BX$1843,0)</f>
        <v>5477.29945054945</v>
      </c>
      <c r="P36" s="12" t="n">
        <f aca="false">SUMIFS(Artikel!$BA$7:$BA$1843,Artikel!$CB$7:$CB$1843,3,Artikel!$CL$7:$CL$1843,"&gt;0")</f>
        <v>0</v>
      </c>
      <c r="Q36" s="12" t="n">
        <f aca="false">SUMIFS(Artikel!$BA$7:$BA$1843,Artikel!$CB$7:$CB$1843,3,Artikel!$BW$7:$BW$1843,1,Artikel!$CL$7:$CL$1843,0)+SUMIFS(Artikel!$BA$7:$BA$1843,Artikel!$CB$7:$CB$1843,3,Artikel!$BX$7:$BX$1843,1,Artikel!$CL$7:$CL$1843,0)</f>
        <v>1383.07692307692</v>
      </c>
      <c r="R36" s="27" t="n">
        <f aca="false">IF(SUM(O36:Q36)&gt;0,Q36/SUM(O36:Q36),0)</f>
        <v>0.201603650842531</v>
      </c>
    </row>
    <row r="37" customFormat="false" ht="15" hidden="false" customHeight="false" outlineLevel="0" collapsed="false">
      <c r="B37" s="14" t="s">
        <v>39</v>
      </c>
      <c r="C37" s="16" t="n">
        <f aca="false">SUM(C34:C36)</f>
        <v>19031.9615384615</v>
      </c>
      <c r="D37" s="16" t="n">
        <f aca="false">SUM(D34:D36)</f>
        <v>10115</v>
      </c>
      <c r="E37" s="16" t="n">
        <f aca="false">SUM(E34:E36)</f>
        <v>3750.89743589744</v>
      </c>
      <c r="F37" s="13" t="n">
        <f aca="false">IF(SUM(C37:E37)&gt;0,E37/SUM(C37:E37),0)</f>
        <v>0.114016460427438</v>
      </c>
      <c r="H37" s="14" t="s">
        <v>39</v>
      </c>
      <c r="I37" s="16" t="n">
        <f aca="false">SUM(I34:I36)</f>
        <v>25537.4217032967</v>
      </c>
      <c r="J37" s="16" t="n">
        <f aca="false">SUM(J34:J36)</f>
        <v>11753.2109227872</v>
      </c>
      <c r="K37" s="16" t="n">
        <f aca="false">SUM(K34:K36)</f>
        <v>8292.46794871795</v>
      </c>
      <c r="L37" s="13" t="n">
        <f aca="false">IF(SUM(I37:K37)&gt;0,K37/SUM(I37:K37),0)</f>
        <v>0.181919787029626</v>
      </c>
      <c r="N37" s="14" t="s">
        <v>39</v>
      </c>
      <c r="O37" s="16" t="n">
        <f aca="false">SUM(O34:O36)</f>
        <v>23929.0082417582</v>
      </c>
      <c r="P37" s="16" t="n">
        <f aca="false">SUM(P34:P36)</f>
        <v>11048.3992467043</v>
      </c>
      <c r="Q37" s="16" t="n">
        <f aca="false">SUM(Q34:Q36)</f>
        <v>7280.70512820513</v>
      </c>
      <c r="R37" s="13" t="n">
        <f aca="false">IF(SUM(O37:Q37)&gt;0,Q37/SUM(O37:Q37),0)</f>
        <v>0.172291299288493</v>
      </c>
    </row>
    <row r="40" customFormat="false" ht="15" hidden="false" customHeight="false" outlineLevel="0" collapsed="false">
      <c r="B40" s="5" t="s">
        <v>40</v>
      </c>
      <c r="C40" s="5" t="str">
        <f aca="false">"A1: "&amp;LEFT(C5,1)&amp;IF(LEFT(C5,1)="A",""," LU "&amp;C6)</f>
        <v>A1: A</v>
      </c>
      <c r="D40" s="5" t="str">
        <f aca="false">"A2: "&amp;LEFT(I5,1)&amp;IF(LEFT(I5,1)="A",""," LU "&amp;I6)</f>
        <v>A2: C LU 2</v>
      </c>
      <c r="E40" s="5" t="str">
        <f aca="false">"A3: "&amp;LEFT(O5,1)&amp;IF(LEFT(O5,1)="A",""," LU "&amp;O6)</f>
        <v>A3: C LU 3</v>
      </c>
      <c r="F40" s="5" t="s">
        <v>41</v>
      </c>
    </row>
    <row r="41" customFormat="false" ht="15" hidden="false" customHeight="false" outlineLevel="0" collapsed="false">
      <c r="B41" s="21" t="s">
        <v>42</v>
      </c>
      <c r="C41" s="28" t="n">
        <f aca="false">F9</f>
        <v>1.07200714901345</v>
      </c>
      <c r="D41" s="28" t="n">
        <f aca="false">L9</f>
        <v>1.39967947391908</v>
      </c>
      <c r="E41" s="28" t="n">
        <f aca="false">R9</f>
        <v>1.27598004412543</v>
      </c>
      <c r="F41" s="28" t="n">
        <v>1</v>
      </c>
    </row>
    <row r="42" customFormat="false" ht="15" hidden="false" customHeight="false" outlineLevel="0" collapsed="false">
      <c r="B42" s="21" t="s">
        <v>43</v>
      </c>
      <c r="C42" s="28" t="n">
        <f aca="false">F10</f>
        <v>1.23142776341306</v>
      </c>
      <c r="D42" s="28" t="n">
        <f aca="false">L10</f>
        <v>1.83972608274079</v>
      </c>
      <c r="E42" s="28" t="n">
        <f aca="false">R10</f>
        <v>1.69861964016376</v>
      </c>
      <c r="F42" s="28" t="n">
        <v>1</v>
      </c>
    </row>
    <row r="43" customFormat="false" ht="15" hidden="false" customHeight="false" outlineLevel="0" collapsed="false">
      <c r="B43" s="21" t="s">
        <v>44</v>
      </c>
      <c r="C43" s="28" t="n">
        <f aca="false">F11</f>
        <v>0.461091051805338</v>
      </c>
      <c r="D43" s="28" t="n">
        <f aca="false">L11</f>
        <v>0.591107096684828</v>
      </c>
      <c r="E43" s="28" t="n">
        <f aca="false">R11</f>
        <v>0.576502216271124</v>
      </c>
      <c r="F43" s="28" t="n">
        <v>1</v>
      </c>
    </row>
    <row r="44" customFormat="false" ht="15" hidden="false" customHeight="false" outlineLevel="0" collapsed="false">
      <c r="B44" s="21" t="s">
        <v>45</v>
      </c>
      <c r="C44" s="28" t="n">
        <f aca="false">F12</f>
        <v>0.846259407609198</v>
      </c>
      <c r="D44" s="28" t="n">
        <f aca="false">L12</f>
        <v>1.21541658971281</v>
      </c>
      <c r="E44" s="28" t="n">
        <f aca="false">R12</f>
        <v>1.13756092821744</v>
      </c>
      <c r="F44" s="28" t="n">
        <v>1</v>
      </c>
    </row>
    <row r="45" customFormat="false" ht="15" hidden="false" customHeight="false" outlineLevel="0" collapsed="false">
      <c r="B45" s="21" t="s">
        <v>39</v>
      </c>
      <c r="C45" s="28" t="n">
        <f aca="false">F13</f>
        <v>0.921508654743949</v>
      </c>
      <c r="D45" s="28" t="n">
        <f aca="false">L13</f>
        <v>1.2768375511149</v>
      </c>
      <c r="E45" s="28" t="n">
        <f aca="false">R13</f>
        <v>1.1837006335201</v>
      </c>
      <c r="F45" s="28" t="n">
        <v>1</v>
      </c>
    </row>
  </sheetData>
  <mergeCells count="12">
    <mergeCell ref="B4:F4"/>
    <mergeCell ref="H4:L4"/>
    <mergeCell ref="N4:R4"/>
    <mergeCell ref="C5:F5"/>
    <mergeCell ref="I5:L5"/>
    <mergeCell ref="O5:R5"/>
    <mergeCell ref="E17:F18"/>
    <mergeCell ref="K17:L18"/>
    <mergeCell ref="Q17:R18"/>
    <mergeCell ref="B20:F20"/>
    <mergeCell ref="H20:L20"/>
    <mergeCell ref="N20:R20"/>
  </mergeCells>
  <conditionalFormatting sqref="C6">
    <cfRule type="expression" priority="2" aboveAverage="0" equalAverage="0" bottom="0" percent="0" rank="0" text="" dxfId="0">
      <formula>LEFT($C$5,1)="A"</formula>
    </cfRule>
  </conditionalFormatting>
  <conditionalFormatting sqref="F9:F13">
    <cfRule type="dataBar" priority="3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{184CCC7B-7299-412A-AC74-182CA9AC3AB7}</x14:id>
        </ext>
      </extLst>
    </cfRule>
    <cfRule type="cellIs" priority="4" operator="greaterThan" aboveAverage="0" equalAverage="0" bottom="0" percent="0" rank="0" text="" dxfId="1">
      <formula>Parameter!$B$12</formula>
    </cfRule>
    <cfRule type="cellIs" priority="5" operator="greaterThanOrEqual" aboveAverage="0" equalAverage="0" bottom="0" percent="0" rank="0" text="" dxfId="2">
      <formula>Parameter!$B$11</formula>
    </cfRule>
    <cfRule type="cellIs" priority="6" operator="lessThan" aboveAverage="0" equalAverage="0" bottom="0" percent="0" rank="0" text="" dxfId="3">
      <formula>Parameter!$B$11</formula>
    </cfRule>
  </conditionalFormatting>
  <conditionalFormatting sqref="E17">
    <cfRule type="cellIs" priority="7" operator="equal" aboveAverage="0" equalAverage="0" bottom="0" percent="0" rank="0" text="" dxfId="4">
      <formula>"JA"</formula>
    </cfRule>
    <cfRule type="cellIs" priority="8" operator="equal" aboveAverage="0" equalAverage="0" bottom="0" percent="0" rank="0" text="" dxfId="5">
      <formula>"NEIN"</formula>
    </cfRule>
  </conditionalFormatting>
  <conditionalFormatting sqref="D18">
    <cfRule type="cellIs" priority="9" operator="equal" aboveAverage="0" equalAverage="0" bottom="0" percent="0" rank="0" text="" dxfId="4">
      <formula>"JA"</formula>
    </cfRule>
    <cfRule type="cellIs" priority="10" operator="equal" aboveAverage="0" equalAverage="0" bottom="0" percent="0" rank="0" text="" dxfId="5">
      <formula>"NEIN"</formula>
    </cfRule>
  </conditionalFormatting>
  <conditionalFormatting sqref="D19">
    <cfRule type="cellIs" priority="11" operator="equal" aboveAverage="0" equalAverage="0" bottom="0" percent="0" rank="0" text="" dxfId="4">
      <formula>"JA"</formula>
    </cfRule>
    <cfRule type="cellIs" priority="12" operator="equal" aboveAverage="0" equalAverage="0" bottom="0" percent="0" rank="0" text="" dxfId="5">
      <formula>"NEIN"</formula>
    </cfRule>
  </conditionalFormatting>
  <conditionalFormatting sqref="I6">
    <cfRule type="expression" priority="13" aboveAverage="0" equalAverage="0" bottom="0" percent="0" rank="0" text="" dxfId="0">
      <formula>LEFT($I$5,1)="A"</formula>
    </cfRule>
  </conditionalFormatting>
  <conditionalFormatting sqref="L9:L13">
    <cfRule type="dataBar" priority="14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{7EC9D5F3-BA9A-4452-BA65-977EE7751584}</x14:id>
        </ext>
      </extLst>
    </cfRule>
    <cfRule type="cellIs" priority="15" operator="greaterThan" aboveAverage="0" equalAverage="0" bottom="0" percent="0" rank="0" text="" dxfId="1">
      <formula>Parameter!$B$12</formula>
    </cfRule>
    <cfRule type="cellIs" priority="16" operator="greaterThanOrEqual" aboveAverage="0" equalAverage="0" bottom="0" percent="0" rank="0" text="" dxfId="2">
      <formula>Parameter!$B$11</formula>
    </cfRule>
    <cfRule type="cellIs" priority="17" operator="lessThan" aboveAverage="0" equalAverage="0" bottom="0" percent="0" rank="0" text="" dxfId="3">
      <formula>Parameter!$B$11</formula>
    </cfRule>
  </conditionalFormatting>
  <conditionalFormatting sqref="K17">
    <cfRule type="cellIs" priority="18" operator="equal" aboveAverage="0" equalAverage="0" bottom="0" percent="0" rank="0" text="" dxfId="4">
      <formula>"JA"</formula>
    </cfRule>
    <cfRule type="cellIs" priority="19" operator="equal" aboveAverage="0" equalAverage="0" bottom="0" percent="0" rank="0" text="" dxfId="5">
      <formula>"NEIN"</formula>
    </cfRule>
  </conditionalFormatting>
  <conditionalFormatting sqref="J18">
    <cfRule type="cellIs" priority="20" operator="equal" aboveAverage="0" equalAverage="0" bottom="0" percent="0" rank="0" text="" dxfId="4">
      <formula>"JA"</formula>
    </cfRule>
    <cfRule type="cellIs" priority="21" operator="equal" aboveAverage="0" equalAverage="0" bottom="0" percent="0" rank="0" text="" dxfId="5">
      <formula>"NEIN"</formula>
    </cfRule>
  </conditionalFormatting>
  <conditionalFormatting sqref="J19">
    <cfRule type="cellIs" priority="22" operator="equal" aboveAverage="0" equalAverage="0" bottom="0" percent="0" rank="0" text="" dxfId="4">
      <formula>"JA"</formula>
    </cfRule>
    <cfRule type="cellIs" priority="23" operator="equal" aboveAverage="0" equalAverage="0" bottom="0" percent="0" rank="0" text="" dxfId="5">
      <formula>"NEIN"</formula>
    </cfRule>
  </conditionalFormatting>
  <conditionalFormatting sqref="O6">
    <cfRule type="expression" priority="24" aboveAverage="0" equalAverage="0" bottom="0" percent="0" rank="0" text="" dxfId="0">
      <formula>LEFT($O$5,1)="A"</formula>
    </cfRule>
  </conditionalFormatting>
  <conditionalFormatting sqref="R9:R13">
    <cfRule type="dataBar" priority="25">
      <dataBar showValue="1" minLength="10" maxLength="90">
        <cfvo type="num" val="0"/>
        <cfvo type="num" val="1.5"/>
        <color rgb="FF5B9BD5"/>
      </dataBar>
      <extLst>
        <ext xmlns:x14="http://schemas.microsoft.com/office/spreadsheetml/2009/9/main" uri="{B025F937-C7B1-47D3-B67F-A62EFF666E3E}">
          <x14:id>{46C1BD22-E2DB-464D-AF9A-D3302F505AE0}</x14:id>
        </ext>
      </extLst>
    </cfRule>
    <cfRule type="cellIs" priority="26" operator="greaterThan" aboveAverage="0" equalAverage="0" bottom="0" percent="0" rank="0" text="" dxfId="1">
      <formula>Parameter!$B$12</formula>
    </cfRule>
    <cfRule type="cellIs" priority="27" operator="greaterThanOrEqual" aboveAverage="0" equalAverage="0" bottom="0" percent="0" rank="0" text="" dxfId="2">
      <formula>Parameter!$B$11</formula>
    </cfRule>
    <cfRule type="cellIs" priority="28" operator="lessThan" aboveAverage="0" equalAverage="0" bottom="0" percent="0" rank="0" text="" dxfId="3">
      <formula>Parameter!$B$11</formula>
    </cfRule>
  </conditionalFormatting>
  <conditionalFormatting sqref="Q17">
    <cfRule type="cellIs" priority="29" operator="equal" aboveAverage="0" equalAverage="0" bottom="0" percent="0" rank="0" text="" dxfId="4">
      <formula>"JA"</formula>
    </cfRule>
    <cfRule type="cellIs" priority="30" operator="equal" aboveAverage="0" equalAverage="0" bottom="0" percent="0" rank="0" text="" dxfId="5">
      <formula>"NEIN"</formula>
    </cfRule>
  </conditionalFormatting>
  <conditionalFormatting sqref="P18">
    <cfRule type="cellIs" priority="31" operator="equal" aboveAverage="0" equalAverage="0" bottom="0" percent="0" rank="0" text="" dxfId="4">
      <formula>"JA"</formula>
    </cfRule>
    <cfRule type="cellIs" priority="32" operator="equal" aboveAverage="0" equalAverage="0" bottom="0" percent="0" rank="0" text="" dxfId="5">
      <formula>"NEIN"</formula>
    </cfRule>
  </conditionalFormatting>
  <conditionalFormatting sqref="P19">
    <cfRule type="cellIs" priority="33" operator="equal" aboveAverage="0" equalAverage="0" bottom="0" percent="0" rank="0" text="" dxfId="4">
      <formula>"JA"</formula>
    </cfRule>
    <cfRule type="cellIs" priority="34" operator="equal" aboveAverage="0" equalAverage="0" bottom="0" percent="0" rank="0" text="" dxfId="5">
      <formula>"NEIN"</formula>
    </cfRule>
  </conditionalFormatting>
  <dataValidations count="2">
    <dataValidation allowBlank="false" errorStyle="stop" operator="between" showDropDown="false" showErrorMessage="false" showInputMessage="false" sqref="C5 I5 O5" type="list">
      <formula1>Parameter!$D$23:$D$25</formula1>
      <formula2>0</formula2>
    </dataValidation>
    <dataValidation allowBlank="false" errorStyle="stop" operator="between" showDropDown="false" showErrorMessage="false" showInputMessage="false" sqref="C6 I6 O6" type="list">
      <formula1>Parameter!$A$23:$A$30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84CCC7B-7299-412A-AC74-182CA9AC3AB7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F9:F13</xm:sqref>
        </x14:conditionalFormatting>
        <x14:conditionalFormatting xmlns:xm="http://schemas.microsoft.com/office/excel/2006/main">
          <x14:cfRule type="dataBar" id="{7EC9D5F3-BA9A-4452-BA65-977EE7751584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L9:L13</xm:sqref>
        </x14:conditionalFormatting>
        <x14:conditionalFormatting xmlns:xm="http://schemas.microsoft.com/office/excel/2006/main">
          <x14:cfRule type="dataBar" id="{46C1BD22-E2DB-464D-AF9A-D3302F505AE0}">
            <x14:dataBar minLength="10" maxLength="90" axisPosition="none" gradient="true">
              <x14:cfvo type="num">
                <xm:f>0</xm:f>
              </x14:cfvo>
              <x14:cfvo type="num">
                <xm:f>1.5</xm:f>
              </x14:cfvo>
              <x14:negativeFillColor rgb="FF5B9BD5"/>
              <x14:axisColor rgb="FF000000"/>
            </x14:dataBar>
          </x14:cfRule>
          <xm:sqref>R9:R13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5B6"/>
    <pageSetUpPr fitToPage="true"/>
  </sheetPr>
  <dimension ref="A1:P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8"/>
    <col collapsed="false" customWidth="true" hidden="false" outlineLevel="0" max="5" min="3" style="0" width="9"/>
    <col collapsed="false" customWidth="true" hidden="false" outlineLevel="0" max="6" min="6" style="0" width="10"/>
    <col collapsed="false" customWidth="true" hidden="false" outlineLevel="0" max="8" min="7" style="0" width="9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5" min="13" style="0" width="10"/>
    <col collapsed="false" customWidth="true" hidden="false" outlineLevel="0" max="16" min="16" style="0" width="11"/>
  </cols>
  <sheetData>
    <row r="1" customFormat="false" ht="17.35" hidden="false" customHeight="false" outlineLevel="0" collapsed="false">
      <c r="A1" s="29" t="s">
        <v>46</v>
      </c>
    </row>
    <row r="2" customFormat="false" ht="15" hidden="false" customHeight="false" outlineLevel="0" collapsed="false">
      <c r="A2" s="30" t="s">
        <v>47</v>
      </c>
    </row>
    <row r="4" customFormat="false" ht="30" hidden="false" customHeight="true" outlineLevel="0" collapsed="false">
      <c r="A4" s="9" t="s">
        <v>5</v>
      </c>
      <c r="B4" s="9" t="s">
        <v>8</v>
      </c>
      <c r="C4" s="9" t="s">
        <v>48</v>
      </c>
      <c r="D4" s="9" t="s">
        <v>49</v>
      </c>
      <c r="E4" s="9" t="s">
        <v>50</v>
      </c>
      <c r="F4" s="9" t="s">
        <v>51</v>
      </c>
      <c r="G4" s="9" t="s">
        <v>52</v>
      </c>
      <c r="H4" s="9" t="s">
        <v>53</v>
      </c>
      <c r="I4" s="9" t="s">
        <v>54</v>
      </c>
      <c r="J4" s="9" t="s">
        <v>55</v>
      </c>
      <c r="K4" s="9" t="s">
        <v>56</v>
      </c>
      <c r="L4" s="9" t="s">
        <v>57</v>
      </c>
      <c r="M4" s="9" t="s">
        <v>58</v>
      </c>
      <c r="N4" s="9" t="s">
        <v>59</v>
      </c>
      <c r="O4" s="9" t="s">
        <v>60</v>
      </c>
      <c r="P4" s="9" t="s">
        <v>61</v>
      </c>
    </row>
    <row r="5" customFormat="false" ht="15" hidden="false" customHeight="false" outlineLevel="0" collapsed="false">
      <c r="A5" s="31" t="s">
        <v>62</v>
      </c>
      <c r="B5" s="32" t="s">
        <v>63</v>
      </c>
      <c r="C5" s="33" t="n">
        <f aca="false">M5/Parameter!$H$5</f>
        <v>1.07200714901345</v>
      </c>
      <c r="D5" s="33" t="n">
        <f aca="false">N5/Parameter!$H$6</f>
        <v>1.23142776341306</v>
      </c>
      <c r="E5" s="33" t="n">
        <f aca="false">O5/Parameter!$H$7</f>
        <v>0.461091051805338</v>
      </c>
      <c r="F5" s="34" t="n">
        <f aca="false">(N5+O5)/(Parameter!$H$6+Parameter!$H$7)</f>
        <v>0.846259407609198</v>
      </c>
      <c r="G5" s="34" t="n">
        <f aca="false">(M5+N5+O5)/Parameter!$H$8</f>
        <v>0.921508654743949</v>
      </c>
      <c r="H5" s="35" t="str">
        <f aca="false">IF(Parameter!$E$27="Ja",IF(M5+N5+O5&lt;=Parameter!$H$8,"JA","NEIN"),IF(AND(M5&lt;=Parameter!$H$5,N5+O5&lt;=Parameter!$H$6+Parameter!$H$7),"JA","NEIN"))</f>
        <v>JA</v>
      </c>
      <c r="I5" s="36" t="n">
        <f aca="false">IF(Parameter!$E$27="Ja",MAX(0,M5+N5+O5-Parameter!$H$8),MAX(0,M5-Parameter!$H$5)+MAX(0,N5+O5-Parameter!$H$6-Parameter!$H$7))+P5</f>
        <v>0</v>
      </c>
      <c r="J5" s="36" t="n">
        <f aca="false">SUMPRODUCT(A_IST*A_PREIS)</f>
        <v>3451046.21423</v>
      </c>
      <c r="K5" s="37" t="n">
        <f aca="false">J5-$J$5</f>
        <v>0</v>
      </c>
      <c r="L5" s="37" t="n">
        <f aca="false">(M5+N5+O5+P5)-($M$5+$N$5+$O$5+$P$5)</f>
        <v>0</v>
      </c>
      <c r="M5" s="11" t="n">
        <f aca="false">SUMPRODUCT((A_LIFT=1)*A_HPT*((A_FACH&gt;0)*A_FACH*(1+(A_KAPR&gt;0)*(A_IST&gt;A_KAPR)*(A_IST/(A_KAPR+(A_KAPR=0))-1))+(A_FACH=0)*((1-A_LOSE)*(A_GPT&gt;0)*A_ISTN/(A_GPT+(A_GPT=0))+A_LOSE*(A_IST&gt;0)*A_LA*(1+(A_IST&gt;0)*(A_IST&gt;A_IST)*(A_IST/(A_IST+(A_IST=0))-1)))/MAX(0.1,N(Parameter!$M$21))))</f>
        <v>12756.8850732601</v>
      </c>
      <c r="N5" s="11" t="n">
        <f aca="false">SUMPRODUCT((A_LIFT=2)*A_HPT*((A_FACH&gt;0)*A_FACH*(1+(A_KAPR&gt;0)*(A_IST&gt;A_KAPR)*(A_IST/(A_KAPR+(A_KAPR=0))-1))+(A_FACH=0)*((1-A_LOSE)*(A_GPT&gt;0)*A_ISTN/(A_GPT+(A_GPT=0))+A_LOSE*(A_IST&gt;0)*A_LA*(1+(A_IST&gt;0)*(A_IST&gt;A_IST)*(A_IST/(A_IST+(A_IST=0))-1)))/MAX(0.1,N(Parameter!$M$21))))</f>
        <v>14653.9903846154</v>
      </c>
      <c r="O5" s="11" t="n">
        <f aca="false">SUMPRODUCT((A_LIFT=3)*A_HPT*((A_FACH&gt;0)*A_FACH*(1+(A_KAPR&gt;0)*(A_IST&gt;A_KAPR)*(A_IST/(A_KAPR+(A_KAPR=0))-1))+(A_FACH=0)*((1-A_LOSE)*(A_GPT&gt;0)*A_ISTN/(A_GPT+(A_GPT=0))+A_LOSE*(A_IST&gt;0)*A_LA*(1+(A_IST&gt;0)*(A_IST&gt;A_IST)*(A_IST/(A_IST+(A_IST=0))-1)))/MAX(0.1,N(Parameter!$M$21))))</f>
        <v>5486.98351648352</v>
      </c>
      <c r="P5" s="11" t="n">
        <f aca="false">SUMPRODUCT((A_LIFT="Aussen")*A_HPT*((A_FACH&gt;0)*A_FACH*(1+(A_KAPR&gt;0)*(A_IST&gt;A_KAPR)*(A_IST/(A_KAPR+(A_KAPR=0))-1))+(A_FACH=0)*((1-A_LOSE)*(A_GPT&gt;0)*A_ISTN/(A_GPT+(A_GPT=0))+A_LOSE*(A_IST&gt;0)*A_LA*(1+(A_IST&gt;0)*(A_IST&gt;A_IST)*(A_IST/(A_IST+(A_IST=0))-1)))/MAX(0.1,N(Parameter!$M$21))))</f>
        <v>0</v>
      </c>
    </row>
    <row r="6" customFormat="false" ht="15" hidden="false" customHeight="false" outlineLevel="0" collapsed="false">
      <c r="A6" s="10" t="s">
        <v>64</v>
      </c>
      <c r="B6" s="38" t="n">
        <f aca="false">Parameter!$A$23</f>
        <v>1</v>
      </c>
      <c r="C6" s="27" t="n">
        <f aca="false">M6/Parameter!$H$5</f>
        <v>2.04580635578873</v>
      </c>
      <c r="D6" s="27" t="n">
        <f aca="false">N6/Parameter!$H$6</f>
        <v>2.18808042447748</v>
      </c>
      <c r="E6" s="27" t="n">
        <f aca="false">O6/Parameter!$H$7</f>
        <v>0.609830663034445</v>
      </c>
      <c r="F6" s="13" t="n">
        <f aca="false">(N6+O6)/(Parameter!$H$6+Parameter!$H$7)</f>
        <v>1.39895554375596</v>
      </c>
      <c r="G6" s="13" t="n">
        <f aca="false">(M6+N6+O6)/Parameter!$H$8</f>
        <v>1.61457248110022</v>
      </c>
      <c r="H6" s="39" t="str">
        <f aca="false">IF(Parameter!$E$27="Ja",IF(M6+N6+O6&lt;=Parameter!$H$8,"JA","NEIN"),IF(AND(M6&lt;=Parameter!$H$5,N6+O6&lt;=Parameter!$H$6+Parameter!$H$7),"JA","NEIN"))</f>
        <v>NEIN</v>
      </c>
      <c r="I6" s="11" t="n">
        <f aca="false">IF(Parameter!$E$27="Ja",MAX(0,M6+N6+O6-Parameter!$H$8),MAX(0,M6-Parameter!$H$5)+MAX(0,N6+O6-Parameter!$H$6-Parameter!$H$7))+P6</f>
        <v>21940.2375752778</v>
      </c>
      <c r="J6" s="11" t="n">
        <f aca="false">SUMPRODUCT((A_FINF*A_FINV+(1-A_FINF)*ROUNDUP((A_VERB/(A_LUO+(A_LUO=0)*$B6)+(A_MBLG&gt;A_VERB/(A_LUO+(A_LUO=0)*$B6))*(A_MBLG-A_VERB/(A_LUO+(A_LUO=0)*$B6)))/A_MPG_E,0)*A_MPG_E)*A_PREIS)</f>
        <v>11203695.32489</v>
      </c>
      <c r="K6" s="40" t="n">
        <f aca="false">J6-$J$5</f>
        <v>7752649.11066</v>
      </c>
      <c r="L6" s="40" t="n">
        <f aca="false">(M6+N6+O6+P6)-($M$5+$N$5+$O$5+$P$5)</f>
        <v>24742.3786009189</v>
      </c>
      <c r="M6" s="11" t="n">
        <f aca="false">SUMPRODUCT((A_LIFT=1)*A_HPT*((A_FACH&gt;0)*A_FACH*(1+(A_KAPR&gt;0)*((A_FINF*A_FINV+(1-A_FINF)*ROUNDUP((A_VERB/(A_LUO+(A_LUO=0)*$B6)+(A_MBLG&gt;A_VERB/(A_LUO+(A_LUO=0)*$B6))*(A_MBLG-A_VERB/(A_LUO+(A_LUO=0)*$B6)))/A_MPG_E,0)*A_MPG_E)&gt;A_KAPR)*((A_FINF*A_FINV+(1-A_FINF)*ROUNDUP((A_VERB/(A_LUO+(A_LUO=0)*$B6)+(A_MBLG&gt;A_VERB/(A_LUO+(A_LUO=0)*$B6))*(A_MBLG-A_VERB/(A_LUO+(A_LUO=0)*$B6)))/A_MPG_E,0)*A_MPG_E)/(A_KAPR+(A_KAPR=0))-1))+(A_FACH=0)*((1-A_LOSE)*(A_GPT&gt;0)*(A_FINF*A_FINN+(1-A_FINF)*ROUNDUP((A_VERB/(A_LUO+(A_LUO=0)*$B6)+(A_MBLG&gt;A_VERB/(A_LUO+(A_LUO=0)*$B6))*(A_MBLG-A_VERB/(A_LUO+(A_LUO=0)*$B6)))/A_MPG_E,0))/(A_GPT+(A_GPT=0))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/MAX(0.1,N(Parameter!$M$21))))</f>
        <v>24345.0956338859</v>
      </c>
      <c r="N6" s="11" t="n">
        <f aca="false">SUMPRODUCT((A_LIFT=2)*A_HPT*((A_FACH&gt;0)*A_FACH*(1+(A_KAPR&gt;0)*((A_FINF*A_FINV+(1-A_FINF)*ROUNDUP((A_VERB/(A_LUO+(A_LUO=0)*$B6)+(A_MBLG&gt;A_VERB/(A_LUO+(A_LUO=0)*$B6))*(A_MBLG-A_VERB/(A_LUO+(A_LUO=0)*$B6)))/A_MPG_E,0)*A_MPG_E)&gt;A_KAPR)*((A_FINF*A_FINV+(1-A_FINF)*ROUNDUP((A_VERB/(A_LUO+(A_LUO=0)*$B6)+(A_MBLG&gt;A_VERB/(A_LUO+(A_LUO=0)*$B6))*(A_MBLG-A_VERB/(A_LUO+(A_LUO=0)*$B6)))/A_MPG_E,0)*A_MPG_E)/(A_KAPR+(A_KAPR=0))-1))+(A_FACH=0)*((1-A_LOSE)*(A_GPT&gt;0)*(A_FINF*A_FINN+(1-A_FINF)*ROUNDUP((A_VERB/(A_LUO+(A_LUO=0)*$B6)+(A_MBLG&gt;A_VERB/(A_LUO+(A_LUO=0)*$B6))*(A_MBLG-A_VERB/(A_LUO+(A_LUO=0)*$B6)))/A_MPG_E,0))/(A_GPT+(A_GPT=0))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/MAX(0.1,N(Parameter!$M$21))))</f>
        <v>26038.1570512821</v>
      </c>
      <c r="O6" s="11" t="n">
        <f aca="false">SUMPRODUCT((A_LIFT=3)*A_HPT*((A_FACH&gt;0)*A_FACH*(1+(A_KAPR&gt;0)*((A_FINF*A_FINV+(1-A_FINF)*ROUNDUP((A_VERB/(A_LUO+(A_LUO=0)*$B6)+(A_MBLG&gt;A_VERB/(A_LUO+(A_LUO=0)*$B6))*(A_MBLG-A_VERB/(A_LUO+(A_LUO=0)*$B6)))/A_MPG_E,0)*A_MPG_E)&gt;A_KAPR)*((A_FINF*A_FINV+(1-A_FINF)*ROUNDUP((A_VERB/(A_LUO+(A_LUO=0)*$B6)+(A_MBLG&gt;A_VERB/(A_LUO+(A_LUO=0)*$B6))*(A_MBLG-A_VERB/(A_LUO+(A_LUO=0)*$B6)))/A_MPG_E,0)*A_MPG_E)/(A_KAPR+(A_KAPR=0))-1))+(A_FACH=0)*((1-A_LOSE)*(A_GPT&gt;0)*(A_FINF*A_FINN+(1-A_FINF)*ROUNDUP((A_VERB/(A_LUO+(A_LUO=0)*$B6)+(A_MBLG&gt;A_VERB/(A_LUO+(A_LUO=0)*$B6))*(A_MBLG-A_VERB/(A_LUO+(A_LUO=0)*$B6)))/A_MPG_E,0))/(A_GPT+(A_GPT=0))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/MAX(0.1,N(Parameter!$M$21))))</f>
        <v>7256.98489010989</v>
      </c>
      <c r="P6" s="11" t="n">
        <f aca="false">SUMPRODUCT((A_LIFT="Aussen")*A_HPT*((A_FACH&gt;0)*A_FACH*(1+(A_KAPR&gt;0)*((A_FINF*A_FINV+(1-A_FINF)*ROUNDUP((A_VERB/(A_LUO+(A_LUO=0)*$B6)+(A_MBLG&gt;A_VERB/(A_LUO+(A_LUO=0)*$B6))*(A_MBLG-A_VERB/(A_LUO+(A_LUO=0)*$B6)))/A_MPG_E,0)*A_MPG_E)&gt;A_KAPR)*((A_FINF*A_FINV+(1-A_FINF)*ROUNDUP((A_VERB/(A_LUO+(A_LUO=0)*$B6)+(A_MBLG&gt;A_VERB/(A_LUO+(A_LUO=0)*$B6))*(A_MBLG-A_VERB/(A_LUO+(A_LUO=0)*$B6)))/A_MPG_E,0)*A_MPG_E)/(A_KAPR+(A_KAPR=0))-1))+(A_FACH=0)*((1-A_LOSE)*(A_GPT&gt;0)*(A_FINF*A_FINN+(1-A_FINF)*ROUNDUP((A_VERB/(A_LUO+(A_LUO=0)*$B6)+(A_MBLG&gt;A_VERB/(A_LUO+(A_LUO=0)*$B6))*(A_MBLG-A_VERB/(A_LUO+(A_LUO=0)*$B6)))/A_MPG_E,0))/(A_GPT+(A_GPT=0))+A_LOSE*((A_FINF*A_FINN+(1-A_FINF)*ROUNDUP((A_VERB/(A_LUO+(A_LUO=0)*$B6)+(A_MBLG&gt;A_VERB/(A_LUO+(A_LUO=0)*$B6))*(A_MBLG-A_VERB/(A_LUO+(A_LUO=0)*$B6)))/A_MPG_E,0))&gt;0)*A_LA*(1+(A_IST&gt;0)*((A_FINF*A_FINN+(1-A_FINF)*ROUNDUP((A_VERB/(A_LUO+(A_LUO=0)*$B6)+(A_MBLG&gt;A_VERB/(A_LUO+(A_LUO=0)*$B6))*(A_MBLG-A_VERB/(A_LUO+(A_LUO=0)*$B6)))/A_MPG_E,0))&gt;A_IST)*((A_FINF*A_FINN+(1-A_FINF)*ROUNDUP((A_VERB/(A_LUO+(A_LUO=0)*$B6)+(A_MBLG&gt;A_VERB/(A_LUO+(A_LUO=0)*$B6))*(A_MBLG-A_VERB/(A_LUO+(A_LUO=0)*$B6)))/A_MPG_E,0))/(A_IST+(A_IST=0))-1)))/MAX(0.1,N(Parameter!$M$21))))</f>
        <v>0</v>
      </c>
    </row>
    <row r="7" customFormat="false" ht="15" hidden="false" customHeight="false" outlineLevel="0" collapsed="false">
      <c r="A7" s="10" t="s">
        <v>64</v>
      </c>
      <c r="B7" s="38" t="n">
        <f aca="false">Parameter!$A$24</f>
        <v>1.5</v>
      </c>
      <c r="C7" s="27" t="n">
        <f aca="false">M7/Parameter!$H$5</f>
        <v>1.58779794816666</v>
      </c>
      <c r="D7" s="27" t="n">
        <f aca="false">N7/Parameter!$H$6</f>
        <v>1.8008605365223</v>
      </c>
      <c r="E7" s="27" t="n">
        <f aca="false">O7/Parameter!$H$7</f>
        <v>0.555633022439745</v>
      </c>
      <c r="F7" s="13" t="n">
        <f aca="false">(N7+O7)/(Parameter!$H$6+Parameter!$H$7)</f>
        <v>1.17824677948102</v>
      </c>
      <c r="G7" s="13" t="n">
        <f aca="false">(M7+N7+O7)/Parameter!$H$8</f>
        <v>1.31476383570957</v>
      </c>
      <c r="H7" s="39" t="str">
        <f aca="false">IF(Parameter!$E$27="Ja",IF(M7+N7+O7&lt;=Parameter!$H$8,"JA","NEIN"),IF(AND(M7&lt;=Parameter!$H$5,N7+O7&lt;=Parameter!$H$6+Parameter!$H$7),"JA","NEIN"))</f>
        <v>NEIN</v>
      </c>
      <c r="I7" s="11" t="n">
        <f aca="false">IF(Parameter!$E$27="Ja",MAX(0,M7+N7+O7-Parameter!$H$8),MAX(0,M7-Parameter!$H$5)+MAX(0,N7+O7-Parameter!$H$6-Parameter!$H$7))+P7</f>
        <v>11237.0689348316</v>
      </c>
      <c r="J7" s="11" t="n">
        <f aca="false">SUMPRODUCT((A_FINF*A_FINV+(1-A_FINF)*ROUNDUP((A_VERB/(A_LUO+(A_LUO=0)*$B7)+(A_MBLG&gt;A_VERB/(A_LUO+(A_LUO=0)*$B7))*(A_MBLG-A_VERB/(A_LUO+(A_LUO=0)*$B7)))/A_MPG_E,0)*A_MPG_E)*A_PREIS)</f>
        <v>8790985.13026</v>
      </c>
      <c r="K7" s="40" t="n">
        <f aca="false">J7-$J$5</f>
        <v>5339938.91603</v>
      </c>
      <c r="L7" s="40" t="n">
        <f aca="false">(M7+N7+O7+P7)-($M$5+$N$5+$O$5+$P$5)</f>
        <v>14039.2099604727</v>
      </c>
      <c r="M7" s="11" t="n">
        <f aca="false">SUMPRODUCT((A_LIFT=1)*A_HPT*((A_FACH&gt;0)*A_FACH*(1+(A_KAPR&gt;0)*((A_FINF*A_FINV+(1-A_FINF)*ROUNDUP((A_VERB/(A_LUO+(A_LUO=0)*$B7)+(A_MBLG&gt;A_VERB/(A_LUO+(A_LUO=0)*$B7))*(A_MBLG-A_VERB/(A_LUO+(A_LUO=0)*$B7)))/A_MPG_E,0)*A_MPG_E)&gt;A_KAPR)*((A_FINF*A_FINV+(1-A_FINF)*ROUNDUP((A_VERB/(A_LUO+(A_LUO=0)*$B7)+(A_MBLG&gt;A_VERB/(A_LUO+(A_LUO=0)*$B7))*(A_MBLG-A_VERB/(A_LUO+(A_LUO=0)*$B7)))/A_MPG_E,0)*A_MPG_E)/(A_KAPR+(A_KAPR=0))-1))+(A_FACH=0)*((1-A_LOSE)*(A_GPT&gt;0)*(A_FINF*A_FINN+(1-A_FINF)*ROUNDUP((A_VERB/(A_LUO+(A_LUO=0)*$B7)+(A_MBLG&gt;A_VERB/(A_LUO+(A_LUO=0)*$B7))*(A_MBLG-A_VERB/(A_LUO+(A_LUO=0)*$B7)))/A_MPG_E,0))/(A_GPT+(A_GPT=0))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/MAX(0.1,N(Parameter!$M$21))))</f>
        <v>18894.7955831833</v>
      </c>
      <c r="N7" s="11" t="n">
        <f aca="false">SUMPRODUCT((A_LIFT=2)*A_HPT*((A_FACH&gt;0)*A_FACH*(1+(A_KAPR&gt;0)*((A_FINF*A_FINV+(1-A_FINF)*ROUNDUP((A_VERB/(A_LUO+(A_LUO=0)*$B7)+(A_MBLG&gt;A_VERB/(A_LUO+(A_LUO=0)*$B7))*(A_MBLG-A_VERB/(A_LUO+(A_LUO=0)*$B7)))/A_MPG_E,0)*A_MPG_E)&gt;A_KAPR)*((A_FINF*A_FINV+(1-A_FINF)*ROUNDUP((A_VERB/(A_LUO+(A_LUO=0)*$B7)+(A_MBLG&gt;A_VERB/(A_LUO+(A_LUO=0)*$B7))*(A_MBLG-A_VERB/(A_LUO+(A_LUO=0)*$B7)))/A_MPG_E,0)*A_MPG_E)/(A_KAPR+(A_KAPR=0))-1))+(A_FACH=0)*((1-A_LOSE)*(A_GPT&gt;0)*(A_FINF*A_FINN+(1-A_FINF)*ROUNDUP((A_VERB/(A_LUO+(A_LUO=0)*$B7)+(A_MBLG&gt;A_VERB/(A_LUO+(A_LUO=0)*$B7))*(A_MBLG-A_VERB/(A_LUO+(A_LUO=0)*$B7)))/A_MPG_E,0))/(A_GPT+(A_GPT=0))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/MAX(0.1,N(Parameter!$M$21))))</f>
        <v>21430.2403846154</v>
      </c>
      <c r="O7" s="11" t="n">
        <f aca="false">SUMPRODUCT((A_LIFT=3)*A_HPT*((A_FACH&gt;0)*A_FACH*(1+(A_KAPR&gt;0)*((A_FINF*A_FINV+(1-A_FINF)*ROUNDUP((A_VERB/(A_LUO+(A_LUO=0)*$B7)+(A_MBLG&gt;A_VERB/(A_LUO+(A_LUO=0)*$B7))*(A_MBLG-A_VERB/(A_LUO+(A_LUO=0)*$B7)))/A_MPG_E,0)*A_MPG_E)&gt;A_KAPR)*((A_FINF*A_FINV+(1-A_FINF)*ROUNDUP((A_VERB/(A_LUO+(A_LUO=0)*$B7)+(A_MBLG&gt;A_VERB/(A_LUO+(A_LUO=0)*$B7))*(A_MBLG-A_VERB/(A_LUO+(A_LUO=0)*$B7)))/A_MPG_E,0)*A_MPG_E)/(A_KAPR+(A_KAPR=0))-1))+(A_FACH=0)*((1-A_LOSE)*(A_GPT&gt;0)*(A_FINF*A_FINN+(1-A_FINF)*ROUNDUP((A_VERB/(A_LUO+(A_LUO=0)*$B7)+(A_MBLG&gt;A_VERB/(A_LUO+(A_LUO=0)*$B7))*(A_MBLG-A_VERB/(A_LUO+(A_LUO=0)*$B7)))/A_MPG_E,0))/(A_GPT+(A_GPT=0))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/MAX(0.1,N(Parameter!$M$21))))</f>
        <v>6612.03296703297</v>
      </c>
      <c r="P7" s="11" t="n">
        <f aca="false">SUMPRODUCT((A_LIFT="Aussen")*A_HPT*((A_FACH&gt;0)*A_FACH*(1+(A_KAPR&gt;0)*((A_FINF*A_FINV+(1-A_FINF)*ROUNDUP((A_VERB/(A_LUO+(A_LUO=0)*$B7)+(A_MBLG&gt;A_VERB/(A_LUO+(A_LUO=0)*$B7))*(A_MBLG-A_VERB/(A_LUO+(A_LUO=0)*$B7)))/A_MPG_E,0)*A_MPG_E)&gt;A_KAPR)*((A_FINF*A_FINV+(1-A_FINF)*ROUNDUP((A_VERB/(A_LUO+(A_LUO=0)*$B7)+(A_MBLG&gt;A_VERB/(A_LUO+(A_LUO=0)*$B7))*(A_MBLG-A_VERB/(A_LUO+(A_LUO=0)*$B7)))/A_MPG_E,0)*A_MPG_E)/(A_KAPR+(A_KAPR=0))-1))+(A_FACH=0)*((1-A_LOSE)*(A_GPT&gt;0)*(A_FINF*A_FINN+(1-A_FINF)*ROUNDUP((A_VERB/(A_LUO+(A_LUO=0)*$B7)+(A_MBLG&gt;A_VERB/(A_LUO+(A_LUO=0)*$B7))*(A_MBLG-A_VERB/(A_LUO+(A_LUO=0)*$B7)))/A_MPG_E,0))/(A_GPT+(A_GPT=0))+A_LOSE*((A_FINF*A_FINN+(1-A_FINF)*ROUNDUP((A_VERB/(A_LUO+(A_LUO=0)*$B7)+(A_MBLG&gt;A_VERB/(A_LUO+(A_LUO=0)*$B7))*(A_MBLG-A_VERB/(A_LUO+(A_LUO=0)*$B7)))/A_MPG_E,0))&gt;0)*A_LA*(1+(A_IST&gt;0)*((A_FINF*A_FINN+(1-A_FINF)*ROUNDUP((A_VERB/(A_LUO+(A_LUO=0)*$B7)+(A_MBLG&gt;A_VERB/(A_LUO+(A_LUO=0)*$B7))*(A_MBLG-A_VERB/(A_LUO+(A_LUO=0)*$B7)))/A_MPG_E,0))&gt;A_IST)*((A_FINF*A_FINN+(1-A_FINF)*ROUNDUP((A_VERB/(A_LUO+(A_LUO=0)*$B7)+(A_MBLG&gt;A_VERB/(A_LUO+(A_LUO=0)*$B7))*(A_MBLG-A_VERB/(A_LUO+(A_LUO=0)*$B7)))/A_MPG_E,0))/(A_IST+(A_IST=0))-1)))/MAX(0.1,N(Parameter!$M$21))))</f>
        <v>0</v>
      </c>
    </row>
    <row r="8" customFormat="false" ht="15" hidden="false" customHeight="false" outlineLevel="0" collapsed="false">
      <c r="A8" s="10" t="s">
        <v>64</v>
      </c>
      <c r="B8" s="38" t="n">
        <f aca="false">Parameter!$A$25</f>
        <v>2</v>
      </c>
      <c r="C8" s="27" t="n">
        <f aca="false">M8/Parameter!$H$5</f>
        <v>1.39145118260255</v>
      </c>
      <c r="D8" s="27" t="n">
        <f aca="false">N8/Parameter!$H$6</f>
        <v>1.59861964016376</v>
      </c>
      <c r="E8" s="27" t="n">
        <f aca="false">O8/Parameter!$H$7</f>
        <v>0.53338419983378</v>
      </c>
      <c r="F8" s="13" t="n">
        <f aca="false">(N8+O8)/(Parameter!$H$6+Parameter!$H$7)</f>
        <v>1.06600191999877</v>
      </c>
      <c r="G8" s="13" t="n">
        <f aca="false">(M8+N8+O8)/Parameter!$H$8</f>
        <v>1.17448500753336</v>
      </c>
      <c r="H8" s="39" t="str">
        <f aca="false">IF(Parameter!$E$27="Ja",IF(M8+N8+O8&lt;=Parameter!$H$8,"JA","NEIN"),IF(AND(M8&lt;=Parameter!$H$5,N8+O8&lt;=Parameter!$H$6+Parameter!$H$7),"JA","NEIN"))</f>
        <v>NEIN</v>
      </c>
      <c r="I8" s="11" t="n">
        <f aca="false">IF(Parameter!$E$27="Ja",MAX(0,M8+N8+O8-Parameter!$H$8),MAX(0,M8-Parameter!$H$5)+MAX(0,N8+O8-Parameter!$H$6-Parameter!$H$7))+P8</f>
        <v>6229.11476894104</v>
      </c>
      <c r="J8" s="11" t="n">
        <f aca="false">SUMPRODUCT((A_FINF*A_FINV+(1-A_FINF)*ROUNDUP((A_VERB/(A_LUO+(A_LUO=0)*$B8)+(A_MBLG&gt;A_VERB/(A_LUO+(A_LUO=0)*$B8))*(A_MBLG-A_VERB/(A_LUO+(A_LUO=0)*$B8)))/A_MPG_E,0)*A_MPG_E)*A_PREIS)</f>
        <v>7548386.43205</v>
      </c>
      <c r="K8" s="40" t="n">
        <f aca="false">J8-$J$5</f>
        <v>4097340.21782</v>
      </c>
      <c r="L8" s="40" t="n">
        <f aca="false">(M8+N8+O8+P8)-($M$5+$N$5+$O$5+$P$5)</f>
        <v>9031.25579458207</v>
      </c>
      <c r="M8" s="11" t="n">
        <f aca="false">SUMPRODUCT((A_LIFT=1)*A_HPT*((A_FACH&gt;0)*A_FACH*(1+(A_KAPR&gt;0)*((A_FINF*A_FINV+(1-A_FINF)*ROUNDUP((A_VERB/(A_LUO+(A_LUO=0)*$B8)+(A_MBLG&gt;A_VERB/(A_LUO+(A_LUO=0)*$B8))*(A_MBLG-A_VERB/(A_LUO+(A_LUO=0)*$B8)))/A_MPG_E,0)*A_MPG_E)&gt;A_KAPR)*((A_FINF*A_FINV+(1-A_FINF)*ROUNDUP((A_VERB/(A_LUO+(A_LUO=0)*$B8)+(A_MBLG&gt;A_VERB/(A_LUO+(A_LUO=0)*$B8))*(A_MBLG-A_VERB/(A_LUO+(A_LUO=0)*$B8)))/A_MPG_E,0)*A_MPG_E)/(A_KAPR+(A_KAPR=0))-1))+(A_FACH=0)*((1-A_LOSE)*(A_GPT&gt;0)*(A_FINF*A_FINN+(1-A_FINF)*ROUNDUP((A_VERB/(A_LUO+(A_LUO=0)*$B8)+(A_MBLG&gt;A_VERB/(A_LUO+(A_LUO=0)*$B8))*(A_MBLG-A_VERB/(A_LUO+(A_LUO=0)*$B8)))/A_MPG_E,0))/(A_GPT+(A_GPT=0))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/MAX(0.1,N(Parameter!$M$21))))</f>
        <v>16558.2690729703</v>
      </c>
      <c r="N8" s="11" t="n">
        <f aca="false">SUMPRODUCT((A_LIFT=2)*A_HPT*((A_FACH&gt;0)*A_FACH*(1+(A_KAPR&gt;0)*((A_FINF*A_FINV+(1-A_FINF)*ROUNDUP((A_VERB/(A_LUO+(A_LUO=0)*$B8)+(A_MBLG&gt;A_VERB/(A_LUO+(A_LUO=0)*$B8))*(A_MBLG-A_VERB/(A_LUO+(A_LUO=0)*$B8)))/A_MPG_E,0)*A_MPG_E)&gt;A_KAPR)*((A_FINF*A_FINV+(1-A_FINF)*ROUNDUP((A_VERB/(A_LUO+(A_LUO=0)*$B8)+(A_MBLG&gt;A_VERB/(A_LUO+(A_LUO=0)*$B8))*(A_MBLG-A_VERB/(A_LUO+(A_LUO=0)*$B8)))/A_MPG_E,0)*A_MPG_E)/(A_KAPR+(A_KAPR=0))-1))+(A_FACH=0)*((1-A_LOSE)*(A_GPT&gt;0)*(A_FINF*A_FINN+(1-A_FINF)*ROUNDUP((A_VERB/(A_LUO+(A_LUO=0)*$B8)+(A_MBLG&gt;A_VERB/(A_LUO+(A_LUO=0)*$B8))*(A_MBLG-A_VERB/(A_LUO+(A_LUO=0)*$B8)))/A_MPG_E,0))/(A_GPT+(A_GPT=0))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/MAX(0.1,N(Parameter!$M$21))))</f>
        <v>19023.5737179487</v>
      </c>
      <c r="O8" s="11" t="n">
        <f aca="false">SUMPRODUCT((A_LIFT=3)*A_HPT*((A_FACH&gt;0)*A_FACH*(1+(A_KAPR&gt;0)*((A_FINF*A_FINV+(1-A_FINF)*ROUNDUP((A_VERB/(A_LUO+(A_LUO=0)*$B8)+(A_MBLG&gt;A_VERB/(A_LUO+(A_LUO=0)*$B8))*(A_MBLG-A_VERB/(A_LUO+(A_LUO=0)*$B8)))/A_MPG_E,0)*A_MPG_E)&gt;A_KAPR)*((A_FINF*A_FINV+(1-A_FINF)*ROUNDUP((A_VERB/(A_LUO+(A_LUO=0)*$B8)+(A_MBLG&gt;A_VERB/(A_LUO+(A_LUO=0)*$B8))*(A_MBLG-A_VERB/(A_LUO+(A_LUO=0)*$B8)))/A_MPG_E,0)*A_MPG_E)/(A_KAPR+(A_KAPR=0))-1))+(A_FACH=0)*((1-A_LOSE)*(A_GPT&gt;0)*(A_FINF*A_FINN+(1-A_FINF)*ROUNDUP((A_VERB/(A_LUO+(A_LUO=0)*$B8)+(A_MBLG&gt;A_VERB/(A_LUO+(A_LUO=0)*$B8))*(A_MBLG-A_VERB/(A_LUO+(A_LUO=0)*$B8)))/A_MPG_E,0))/(A_GPT+(A_GPT=0))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/MAX(0.1,N(Parameter!$M$21))))</f>
        <v>6347.27197802198</v>
      </c>
      <c r="P8" s="11" t="n">
        <f aca="false">SUMPRODUCT((A_LIFT="Aussen")*A_HPT*((A_FACH&gt;0)*A_FACH*(1+(A_KAPR&gt;0)*((A_FINF*A_FINV+(1-A_FINF)*ROUNDUP((A_VERB/(A_LUO+(A_LUO=0)*$B8)+(A_MBLG&gt;A_VERB/(A_LUO+(A_LUO=0)*$B8))*(A_MBLG-A_VERB/(A_LUO+(A_LUO=0)*$B8)))/A_MPG_E,0)*A_MPG_E)&gt;A_KAPR)*((A_FINF*A_FINV+(1-A_FINF)*ROUNDUP((A_VERB/(A_LUO+(A_LUO=0)*$B8)+(A_MBLG&gt;A_VERB/(A_LUO+(A_LUO=0)*$B8))*(A_MBLG-A_VERB/(A_LUO+(A_LUO=0)*$B8)))/A_MPG_E,0)*A_MPG_E)/(A_KAPR+(A_KAPR=0))-1))+(A_FACH=0)*((1-A_LOSE)*(A_GPT&gt;0)*(A_FINF*A_FINN+(1-A_FINF)*ROUNDUP((A_VERB/(A_LUO+(A_LUO=0)*$B8)+(A_MBLG&gt;A_VERB/(A_LUO+(A_LUO=0)*$B8))*(A_MBLG-A_VERB/(A_LUO+(A_LUO=0)*$B8)))/A_MPG_E,0))/(A_GPT+(A_GPT=0))+A_LOSE*((A_FINF*A_FINN+(1-A_FINF)*ROUNDUP((A_VERB/(A_LUO+(A_LUO=0)*$B8)+(A_MBLG&gt;A_VERB/(A_LUO+(A_LUO=0)*$B8))*(A_MBLG-A_VERB/(A_LUO+(A_LUO=0)*$B8)))/A_MPG_E,0))&gt;0)*A_LA*(1+(A_IST&gt;0)*((A_FINF*A_FINN+(1-A_FINF)*ROUNDUP((A_VERB/(A_LUO+(A_LUO=0)*$B8)+(A_MBLG&gt;A_VERB/(A_LUO+(A_LUO=0)*$B8))*(A_MBLG-A_VERB/(A_LUO+(A_LUO=0)*$B8)))/A_MPG_E,0))&gt;A_IST)*((A_FINF*A_FINN+(1-A_FINF)*ROUNDUP((A_VERB/(A_LUO+(A_LUO=0)*$B8)+(A_MBLG&gt;A_VERB/(A_LUO+(A_LUO=0)*$B8))*(A_MBLG-A_VERB/(A_LUO+(A_LUO=0)*$B8)))/A_MPG_E,0))/(A_IST+(A_IST=0))-1)))/MAX(0.1,N(Parameter!$M$21))))</f>
        <v>0</v>
      </c>
    </row>
    <row r="9" customFormat="false" ht="15" hidden="false" customHeight="false" outlineLevel="0" collapsed="false">
      <c r="A9" s="10" t="s">
        <v>64</v>
      </c>
      <c r="B9" s="38" t="n">
        <f aca="false">Parameter!$A$26</f>
        <v>2.5</v>
      </c>
      <c r="C9" s="27" t="n">
        <f aca="false">M9/Parameter!$H$5</f>
        <v>1.31399615452439</v>
      </c>
      <c r="D9" s="27" t="n">
        <f aca="false">N9/Parameter!$H$6</f>
        <v>1.51367566257272</v>
      </c>
      <c r="E9" s="27" t="n">
        <f aca="false">O9/Parameter!$H$7</f>
        <v>0.523453689167975</v>
      </c>
      <c r="F9" s="13" t="n">
        <f aca="false">(N9+O9)/(Parameter!$H$6+Parameter!$H$7)</f>
        <v>1.01856467587035</v>
      </c>
      <c r="G9" s="13" t="n">
        <f aca="false">(M9+N9+O9)/Parameter!$H$8</f>
        <v>1.1170418354217</v>
      </c>
      <c r="H9" s="39" t="str">
        <f aca="false">IF(Parameter!$E$27="Ja",IF(M9+N9+O9&lt;=Parameter!$H$8,"JA","NEIN"),IF(AND(M9&lt;=Parameter!$H$5,N9+O9&lt;=Parameter!$H$6+Parameter!$H$7),"JA","NEIN"))</f>
        <v>NEIN</v>
      </c>
      <c r="I9" s="11" t="n">
        <f aca="false">IF(Parameter!$E$27="Ja",MAX(0,M9+N9+O9-Parameter!$H$8),MAX(0,M9-Parameter!$H$5)+MAX(0,N9+O9-Parameter!$H$6-Parameter!$H$7))+P9</f>
        <v>4178.39352455454</v>
      </c>
      <c r="J9" s="11" t="n">
        <f aca="false">SUMPRODUCT((A_FINF*A_FINV+(1-A_FINF)*ROUNDUP((A_VERB/(A_LUO+(A_LUO=0)*$B9)+(A_MBLG&gt;A_VERB/(A_LUO+(A_LUO=0)*$B9))*(A_MBLG-A_VERB/(A_LUO+(A_LUO=0)*$B9)))/A_MPG_E,0)*A_MPG_E)*A_PREIS)</f>
        <v>6973175.69384</v>
      </c>
      <c r="K9" s="40" t="n">
        <f aca="false">J9-$J$5</f>
        <v>3522129.47961</v>
      </c>
      <c r="L9" s="40" t="n">
        <f aca="false">(M9+N9+O9+P9)-($M$5+$N$5+$O$5+$P$5)</f>
        <v>6980.53455019556</v>
      </c>
      <c r="M9" s="11" t="n">
        <f aca="false">SUMPRODUCT((A_LIFT=1)*A_HPT*((A_FACH&gt;0)*A_FACH*(1+(A_KAPR&gt;0)*((A_FINF*A_FINV+(1-A_FINF)*ROUNDUP((A_VERB/(A_LUO+(A_LUO=0)*$B9)+(A_MBLG&gt;A_VERB/(A_LUO+(A_LUO=0)*$B9))*(A_MBLG-A_VERB/(A_LUO+(A_LUO=0)*$B9)))/A_MPG_E,0)*A_MPG_E)&gt;A_KAPR)*((A_FINF*A_FINV+(1-A_FINF)*ROUNDUP((A_VERB/(A_LUO+(A_LUO=0)*$B9)+(A_MBLG&gt;A_VERB/(A_LUO+(A_LUO=0)*$B9))*(A_MBLG-A_VERB/(A_LUO+(A_LUO=0)*$B9)))/A_MPG_E,0)*A_MPG_E)/(A_KAPR+(A_KAPR=0))-1))+(A_FACH=0)*((1-A_LOSE)*(A_GPT&gt;0)*(A_FINF*A_FINN+(1-A_FINF)*ROUNDUP((A_VERB/(A_LUO+(A_LUO=0)*$B9)+(A_MBLG&gt;A_VERB/(A_LUO+(A_LUO=0)*$B9))*(A_MBLG-A_VERB/(A_LUO+(A_LUO=0)*$B9)))/A_MPG_E,0))/(A_GPT+(A_GPT=0))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/MAX(0.1,N(Parameter!$M$21))))</f>
        <v>15636.5542388403</v>
      </c>
      <c r="N9" s="11" t="n">
        <f aca="false">SUMPRODUCT((A_LIFT=2)*A_HPT*((A_FACH&gt;0)*A_FACH*(1+(A_KAPR&gt;0)*((A_FINF*A_FINV+(1-A_FINF)*ROUNDUP((A_VERB/(A_LUO+(A_LUO=0)*$B9)+(A_MBLG&gt;A_VERB/(A_LUO+(A_LUO=0)*$B9))*(A_MBLG-A_VERB/(A_LUO+(A_LUO=0)*$B9)))/A_MPG_E,0)*A_MPG_E)&gt;A_KAPR)*((A_FINF*A_FINV+(1-A_FINF)*ROUNDUP((A_VERB/(A_LUO+(A_LUO=0)*$B9)+(A_MBLG&gt;A_VERB/(A_LUO+(A_LUO=0)*$B9))*(A_MBLG-A_VERB/(A_LUO+(A_LUO=0)*$B9)))/A_MPG_E,0)*A_MPG_E)/(A_KAPR+(A_KAPR=0))-1))+(A_FACH=0)*((1-A_LOSE)*(A_GPT&gt;0)*(A_FINF*A_FINN+(1-A_FINF)*ROUNDUP((A_VERB/(A_LUO+(A_LUO=0)*$B9)+(A_MBLG&gt;A_VERB/(A_LUO+(A_LUO=0)*$B9))*(A_MBLG-A_VERB/(A_LUO+(A_LUO=0)*$B9)))/A_MPG_E,0))/(A_GPT+(A_GPT=0))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/MAX(0.1,N(Parameter!$M$21))))</f>
        <v>18012.7403846154</v>
      </c>
      <c r="O9" s="11" t="n">
        <f aca="false">SUMPRODUCT((A_LIFT=3)*A_HPT*((A_FACH&gt;0)*A_FACH*(1+(A_KAPR&gt;0)*((A_FINF*A_FINV+(1-A_FINF)*ROUNDUP((A_VERB/(A_LUO+(A_LUO=0)*$B9)+(A_MBLG&gt;A_VERB/(A_LUO+(A_LUO=0)*$B9))*(A_MBLG-A_VERB/(A_LUO+(A_LUO=0)*$B9)))/A_MPG_E,0)*A_MPG_E)&gt;A_KAPR)*((A_FINF*A_FINV+(1-A_FINF)*ROUNDUP((A_VERB/(A_LUO+(A_LUO=0)*$B9)+(A_MBLG&gt;A_VERB/(A_LUO+(A_LUO=0)*$B9))*(A_MBLG-A_VERB/(A_LUO+(A_LUO=0)*$B9)))/A_MPG_E,0)*A_MPG_E)/(A_KAPR+(A_KAPR=0))-1))+(A_FACH=0)*((1-A_LOSE)*(A_GPT&gt;0)*(A_FINF*A_FINN+(1-A_FINF)*ROUNDUP((A_VERB/(A_LUO+(A_LUO=0)*$B9)+(A_MBLG&gt;A_VERB/(A_LUO+(A_LUO=0)*$B9))*(A_MBLG-A_VERB/(A_LUO+(A_LUO=0)*$B9)))/A_MPG_E,0))/(A_GPT+(A_GPT=0))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/MAX(0.1,N(Parameter!$M$21))))</f>
        <v>6229.0989010989</v>
      </c>
      <c r="P9" s="11" t="n">
        <f aca="false">SUMPRODUCT((A_LIFT="Aussen")*A_HPT*((A_FACH&gt;0)*A_FACH*(1+(A_KAPR&gt;0)*((A_FINF*A_FINV+(1-A_FINF)*ROUNDUP((A_VERB/(A_LUO+(A_LUO=0)*$B9)+(A_MBLG&gt;A_VERB/(A_LUO+(A_LUO=0)*$B9))*(A_MBLG-A_VERB/(A_LUO+(A_LUO=0)*$B9)))/A_MPG_E,0)*A_MPG_E)&gt;A_KAPR)*((A_FINF*A_FINV+(1-A_FINF)*ROUNDUP((A_VERB/(A_LUO+(A_LUO=0)*$B9)+(A_MBLG&gt;A_VERB/(A_LUO+(A_LUO=0)*$B9))*(A_MBLG-A_VERB/(A_LUO+(A_LUO=0)*$B9)))/A_MPG_E,0)*A_MPG_E)/(A_KAPR+(A_KAPR=0))-1))+(A_FACH=0)*((1-A_LOSE)*(A_GPT&gt;0)*(A_FINF*A_FINN+(1-A_FINF)*ROUNDUP((A_VERB/(A_LUO+(A_LUO=0)*$B9)+(A_MBLG&gt;A_VERB/(A_LUO+(A_LUO=0)*$B9))*(A_MBLG-A_VERB/(A_LUO+(A_LUO=0)*$B9)))/A_MPG_E,0))/(A_GPT+(A_GPT=0))+A_LOSE*((A_FINF*A_FINN+(1-A_FINF)*ROUNDUP((A_VERB/(A_LUO+(A_LUO=0)*$B9)+(A_MBLG&gt;A_VERB/(A_LUO+(A_LUO=0)*$B9))*(A_MBLG-A_VERB/(A_LUO+(A_LUO=0)*$B9)))/A_MPG_E,0))&gt;0)*A_LA*(1+(A_IST&gt;0)*((A_FINF*A_FINN+(1-A_FINF)*ROUNDUP((A_VERB/(A_LUO+(A_LUO=0)*$B9)+(A_MBLG&gt;A_VERB/(A_LUO+(A_LUO=0)*$B9))*(A_MBLG-A_VERB/(A_LUO+(A_LUO=0)*$B9)))/A_MPG_E,0))&gt;A_IST)*((A_FINF*A_FINN+(1-A_FINF)*ROUNDUP((A_VERB/(A_LUO+(A_LUO=0)*$B9)+(A_MBLG&gt;A_VERB/(A_LUO+(A_LUO=0)*$B9))*(A_MBLG-A_VERB/(A_LUO+(A_LUO=0)*$B9)))/A_MPG_E,0))/(A_IST+(A_IST=0))-1)))/MAX(0.1,N(Parameter!$M$21))))</f>
        <v>0</v>
      </c>
    </row>
    <row r="10" customFormat="false" ht="15" hidden="false" customHeight="false" outlineLevel="0" collapsed="false">
      <c r="A10" s="10" t="s">
        <v>64</v>
      </c>
      <c r="B10" s="38" t="n">
        <f aca="false">Parameter!$A$27</f>
        <v>3</v>
      </c>
      <c r="C10" s="27" t="n">
        <f aca="false">M10/Parameter!$H$5</f>
        <v>1.2677517528089</v>
      </c>
      <c r="D10" s="27" t="n">
        <f aca="false">N10/Parameter!$H$6</f>
        <v>1.4445580155139</v>
      </c>
      <c r="E10" s="27" t="n">
        <f aca="false">O10/Parameter!$H$7</f>
        <v>0.518278349801459</v>
      </c>
      <c r="F10" s="13" t="n">
        <f aca="false">(N10+O10)/(Parameter!$H$6+Parameter!$H$7)</f>
        <v>0.981418182657678</v>
      </c>
      <c r="G10" s="13" t="n">
        <f aca="false">(M10+N10+O10)/Parameter!$H$8</f>
        <v>1.07686270604142</v>
      </c>
      <c r="H10" s="39" t="str">
        <f aca="false">IF(Parameter!$E$27="Ja",IF(M10+N10+O10&lt;=Parameter!$H$8,"JA","NEIN"),IF(AND(M10&lt;=Parameter!$H$5,N10+O10&lt;=Parameter!$H$6+Parameter!$H$7),"JA","NEIN"))</f>
        <v>NEIN</v>
      </c>
      <c r="I10" s="11" t="n">
        <f aca="false">IF(Parameter!$E$27="Ja",MAX(0,M10+N10+O10-Parameter!$H$8),MAX(0,M10-Parameter!$H$5)+MAX(0,N10+O10-Parameter!$H$6-Parameter!$H$7))+P10</f>
        <v>2743.99860567869</v>
      </c>
      <c r="J10" s="11" t="n">
        <f aca="false">SUMPRODUCT((A_FINF*A_FINV+(1-A_FINF)*ROUNDUP((A_VERB/(A_LUO+(A_LUO=0)*$B10)+(A_MBLG&gt;A_VERB/(A_LUO+(A_LUO=0)*$B10))*(A_MBLG-A_VERB/(A_LUO+(A_LUO=0)*$B10)))/A_MPG_E,0)*A_MPG_E)*A_PREIS)</f>
        <v>6597211.32384</v>
      </c>
      <c r="K10" s="40" t="n">
        <f aca="false">J10-$J$5</f>
        <v>3146165.10961</v>
      </c>
      <c r="L10" s="40" t="n">
        <f aca="false">(M10+N10+O10+P10)-($M$5+$N$5+$O$5+$P$5)</f>
        <v>5546.13963131971</v>
      </c>
      <c r="M10" s="11" t="n">
        <f aca="false">SUMPRODUCT((A_LIFT=1)*A_HPT*((A_FACH&gt;0)*A_FACH*(1+(A_KAPR&gt;0)*((A_FINF*A_FINV+(1-A_FINF)*ROUNDUP((A_VERB/(A_LUO+(A_LUO=0)*$B10)+(A_MBLG&gt;A_VERB/(A_LUO+(A_LUO=0)*$B10))*(A_MBLG-A_VERB/(A_LUO+(A_LUO=0)*$B10)))/A_MPG_E,0)*A_MPG_E)&gt;A_KAPR)*((A_FINF*A_FINV+(1-A_FINF)*ROUNDUP((A_VERB/(A_LUO+(A_LUO=0)*$B10)+(A_MBLG&gt;A_VERB/(A_LUO+(A_LUO=0)*$B10))*(A_MBLG-A_VERB/(A_LUO+(A_LUO=0)*$B10)))/A_MPG_E,0)*A_MPG_E)/(A_KAPR+(A_KAPR=0))-1))+(A_FACH=0)*((1-A_LOSE)*(A_GPT&gt;0)*(A_FINF*A_FINN+(1-A_FINF)*ROUNDUP((A_VERB/(A_LUO+(A_LUO=0)*$B10)+(A_MBLG&gt;A_VERB/(A_LUO+(A_LUO=0)*$B10))*(A_MBLG-A_VERB/(A_LUO+(A_LUO=0)*$B10)))/A_MPG_E,0))/(A_GPT+(A_GPT=0))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/MAX(0.1,N(Parameter!$M$21))))</f>
        <v>15086.2458584259</v>
      </c>
      <c r="N10" s="11" t="n">
        <f aca="false">SUMPRODUCT((A_LIFT=2)*A_HPT*((A_FACH&gt;0)*A_FACH*(1+(A_KAPR&gt;0)*((A_FINF*A_FINV+(1-A_FINF)*ROUNDUP((A_VERB/(A_LUO+(A_LUO=0)*$B10)+(A_MBLG&gt;A_VERB/(A_LUO+(A_LUO=0)*$B10))*(A_MBLG-A_VERB/(A_LUO+(A_LUO=0)*$B10)))/A_MPG_E,0)*A_MPG_E)&gt;A_KAPR)*((A_FINF*A_FINV+(1-A_FINF)*ROUNDUP((A_VERB/(A_LUO+(A_LUO=0)*$B10)+(A_MBLG&gt;A_VERB/(A_LUO+(A_LUO=0)*$B10))*(A_MBLG-A_VERB/(A_LUO+(A_LUO=0)*$B10)))/A_MPG_E,0)*A_MPG_E)/(A_KAPR+(A_KAPR=0))-1))+(A_FACH=0)*((1-A_LOSE)*(A_GPT&gt;0)*(A_FINF*A_FINN+(1-A_FINF)*ROUNDUP((A_VERB/(A_LUO+(A_LUO=0)*$B10)+(A_MBLG&gt;A_VERB/(A_LUO+(A_LUO=0)*$B10))*(A_MBLG-A_VERB/(A_LUO+(A_LUO=0)*$B10)))/A_MPG_E,0))/(A_GPT+(A_GPT=0))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/MAX(0.1,N(Parameter!$M$21))))</f>
        <v>17190.2403846154</v>
      </c>
      <c r="O10" s="11" t="n">
        <f aca="false">SUMPRODUCT((A_LIFT=3)*A_HPT*((A_FACH&gt;0)*A_FACH*(1+(A_KAPR&gt;0)*((A_FINF*A_FINV+(1-A_FINF)*ROUNDUP((A_VERB/(A_LUO+(A_LUO=0)*$B10)+(A_MBLG&gt;A_VERB/(A_LUO+(A_LUO=0)*$B10))*(A_MBLG-A_VERB/(A_LUO+(A_LUO=0)*$B10)))/A_MPG_E,0)*A_MPG_E)&gt;A_KAPR)*((A_FINF*A_FINV+(1-A_FINF)*ROUNDUP((A_VERB/(A_LUO+(A_LUO=0)*$B10)+(A_MBLG&gt;A_VERB/(A_LUO+(A_LUO=0)*$B10))*(A_MBLG-A_VERB/(A_LUO+(A_LUO=0)*$B10)))/A_MPG_E,0)*A_MPG_E)/(A_KAPR+(A_KAPR=0))-1))+(A_FACH=0)*((1-A_LOSE)*(A_GPT&gt;0)*(A_FINF*A_FINN+(1-A_FINF)*ROUNDUP((A_VERB/(A_LUO+(A_LUO=0)*$B10)+(A_MBLG&gt;A_VERB/(A_LUO+(A_LUO=0)*$B10))*(A_MBLG-A_VERB/(A_LUO+(A_LUO=0)*$B10)))/A_MPG_E,0))/(A_GPT+(A_GPT=0))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/MAX(0.1,N(Parameter!$M$21))))</f>
        <v>6167.51236263736</v>
      </c>
      <c r="P10" s="11" t="n">
        <f aca="false">SUMPRODUCT((A_LIFT="Aussen")*A_HPT*((A_FACH&gt;0)*A_FACH*(1+(A_KAPR&gt;0)*((A_FINF*A_FINV+(1-A_FINF)*ROUNDUP((A_VERB/(A_LUO+(A_LUO=0)*$B10)+(A_MBLG&gt;A_VERB/(A_LUO+(A_LUO=0)*$B10))*(A_MBLG-A_VERB/(A_LUO+(A_LUO=0)*$B10)))/A_MPG_E,0)*A_MPG_E)&gt;A_KAPR)*((A_FINF*A_FINV+(1-A_FINF)*ROUNDUP((A_VERB/(A_LUO+(A_LUO=0)*$B10)+(A_MBLG&gt;A_VERB/(A_LUO+(A_LUO=0)*$B10))*(A_MBLG-A_VERB/(A_LUO+(A_LUO=0)*$B10)))/A_MPG_E,0)*A_MPG_E)/(A_KAPR+(A_KAPR=0))-1))+(A_FACH=0)*((1-A_LOSE)*(A_GPT&gt;0)*(A_FINF*A_FINN+(1-A_FINF)*ROUNDUP((A_VERB/(A_LUO+(A_LUO=0)*$B10)+(A_MBLG&gt;A_VERB/(A_LUO+(A_LUO=0)*$B10))*(A_MBLG-A_VERB/(A_LUO+(A_LUO=0)*$B10)))/A_MPG_E,0))/(A_GPT+(A_GPT=0))+A_LOSE*((A_FINF*A_FINN+(1-A_FINF)*ROUNDUP((A_VERB/(A_LUO+(A_LUO=0)*$B10)+(A_MBLG&gt;A_VERB/(A_LUO+(A_LUO=0)*$B10))*(A_MBLG-A_VERB/(A_LUO+(A_LUO=0)*$B10)))/A_MPG_E,0))&gt;0)*A_LA*(1+(A_IST&gt;0)*((A_FINF*A_FINN+(1-A_FINF)*ROUNDUP((A_VERB/(A_LUO+(A_LUO=0)*$B10)+(A_MBLG&gt;A_VERB/(A_LUO+(A_LUO=0)*$B10))*(A_MBLG-A_VERB/(A_LUO+(A_LUO=0)*$B10)))/A_MPG_E,0))&gt;A_IST)*((A_FINF*A_FINN+(1-A_FINF)*ROUNDUP((A_VERB/(A_LUO+(A_LUO=0)*$B10)+(A_MBLG&gt;A_VERB/(A_LUO+(A_LUO=0)*$B10))*(A_MBLG-A_VERB/(A_LUO+(A_LUO=0)*$B10)))/A_MPG_E,0))/(A_IST+(A_IST=0))-1)))/MAX(0.1,N(Parameter!$M$21))))</f>
        <v>0</v>
      </c>
    </row>
    <row r="11" customFormat="false" ht="15" hidden="false" customHeight="false" outlineLevel="0" collapsed="false">
      <c r="A11" s="10" t="s">
        <v>64</v>
      </c>
      <c r="B11" s="38" t="n">
        <f aca="false">Parameter!$A$28</f>
        <v>4</v>
      </c>
      <c r="C11" s="27" t="n">
        <f aca="false">M11/Parameter!$H$5</f>
        <v>1.2306406654361</v>
      </c>
      <c r="D11" s="27" t="n">
        <f aca="false">N11/Parameter!$H$6</f>
        <v>1.37624569058393</v>
      </c>
      <c r="E11" s="27" t="n">
        <f aca="false">O11/Parameter!$H$7</f>
        <v>0.509850747991504</v>
      </c>
      <c r="F11" s="13" t="n">
        <f aca="false">(N11+O11)/(Parameter!$H$6+Parameter!$H$7)</f>
        <v>0.943048219287715</v>
      </c>
      <c r="G11" s="13" t="n">
        <f aca="false">(M11+N11+O11)/Parameter!$H$8</f>
        <v>1.03891236800384</v>
      </c>
      <c r="H11" s="39" t="str">
        <f aca="false">IF(Parameter!$E$27="Ja",IF(M11+N11+O11&lt;=Parameter!$H$8,"JA","NEIN"),IF(AND(M11&lt;=Parameter!$H$5,N11+O11&lt;=Parameter!$H$6+Parameter!$H$7),"JA","NEIN"))</f>
        <v>NEIN</v>
      </c>
      <c r="I11" s="11" t="n">
        <f aca="false">IF(Parameter!$E$27="Ja",MAX(0,M11+N11+O11-Parameter!$H$8),MAX(0,M11-Parameter!$H$5)+MAX(0,N11+O11-Parameter!$H$6-Parameter!$H$7))+P11</f>
        <v>1389.17153773722</v>
      </c>
      <c r="J11" s="11" t="n">
        <f aca="false">SUMPRODUCT((A_FINF*A_FINV+(1-A_FINF)*ROUNDUP((A_VERB/(A_LUO+(A_LUO=0)*$B11)+(A_MBLG&gt;A_VERB/(A_LUO+(A_LUO=0)*$B11))*(A_MBLG-A_VERB/(A_LUO+(A_LUO=0)*$B11)))/A_MPG_E,0)*A_MPG_E)*A_PREIS)</f>
        <v>6188765.12384</v>
      </c>
      <c r="K11" s="40" t="n">
        <f aca="false">J11-$J$5</f>
        <v>2737718.90961</v>
      </c>
      <c r="L11" s="40" t="n">
        <f aca="false">(M11+N11+O11+P11)-($M$5+$N$5+$O$5+$P$5)</f>
        <v>4191.31256337824</v>
      </c>
      <c r="M11" s="11" t="n">
        <f aca="false">SUMPRODUCT((A_LIFT=1)*A_HPT*((A_FACH&gt;0)*A_FACH*(1+(A_KAPR&gt;0)*((A_FINF*A_FINV+(1-A_FINF)*ROUNDUP((A_VERB/(A_LUO+(A_LUO=0)*$B11)+(A_MBLG&gt;A_VERB/(A_LUO+(A_LUO=0)*$B11))*(A_MBLG-A_VERB/(A_LUO+(A_LUO=0)*$B11)))/A_MPG_E,0)*A_MPG_E)&gt;A_KAPR)*((A_FINF*A_FINV+(1-A_FINF)*ROUNDUP((A_VERB/(A_LUO+(A_LUO=0)*$B11)+(A_MBLG&gt;A_VERB/(A_LUO+(A_LUO=0)*$B11))*(A_MBLG-A_VERB/(A_LUO+(A_LUO=0)*$B11)))/A_MPG_E,0)*A_MPG_E)/(A_KAPR+(A_KAPR=0))-1))+(A_FACH=0)*((1-A_LOSE)*(A_GPT&gt;0)*(A_FINF*A_FINN+(1-A_FINF)*ROUNDUP((A_VERB/(A_LUO+(A_LUO=0)*$B11)+(A_MBLG&gt;A_VERB/(A_LUO+(A_LUO=0)*$B11))*(A_MBLG-A_VERB/(A_LUO+(A_LUO=0)*$B11)))/A_MPG_E,0))/(A_GPT+(A_GPT=0))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/MAX(0.1,N(Parameter!$M$21))))</f>
        <v>14644.6239186896</v>
      </c>
      <c r="N11" s="11" t="n">
        <f aca="false">SUMPRODUCT((A_LIFT=2)*A_HPT*((A_FACH&gt;0)*A_FACH*(1+(A_KAPR&gt;0)*((A_FINF*A_FINV+(1-A_FINF)*ROUNDUP((A_VERB/(A_LUO+(A_LUO=0)*$B11)+(A_MBLG&gt;A_VERB/(A_LUO+(A_LUO=0)*$B11))*(A_MBLG-A_VERB/(A_LUO+(A_LUO=0)*$B11)))/A_MPG_E,0)*A_MPG_E)&gt;A_KAPR)*((A_FINF*A_FINV+(1-A_FINF)*ROUNDUP((A_VERB/(A_LUO+(A_LUO=0)*$B11)+(A_MBLG&gt;A_VERB/(A_LUO+(A_LUO=0)*$B11))*(A_MBLG-A_VERB/(A_LUO+(A_LUO=0)*$B11)))/A_MPG_E,0)*A_MPG_E)/(A_KAPR+(A_KAPR=0))-1))+(A_FACH=0)*((1-A_LOSE)*(A_GPT&gt;0)*(A_FINF*A_FINN+(1-A_FINF)*ROUNDUP((A_VERB/(A_LUO+(A_LUO=0)*$B11)+(A_MBLG&gt;A_VERB/(A_LUO+(A_LUO=0)*$B11))*(A_MBLG-A_VERB/(A_LUO+(A_LUO=0)*$B11)))/A_MPG_E,0))/(A_GPT+(A_GPT=0))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/MAX(0.1,N(Parameter!$M$21))))</f>
        <v>16377.3237179487</v>
      </c>
      <c r="O11" s="11" t="n">
        <f aca="false">SUMPRODUCT((A_LIFT=3)*A_HPT*((A_FACH&gt;0)*A_FACH*(1+(A_KAPR&gt;0)*((A_FINF*A_FINV+(1-A_FINF)*ROUNDUP((A_VERB/(A_LUO+(A_LUO=0)*$B11)+(A_MBLG&gt;A_VERB/(A_LUO+(A_LUO=0)*$B11))*(A_MBLG-A_VERB/(A_LUO+(A_LUO=0)*$B11)))/A_MPG_E,0)*A_MPG_E)&gt;A_KAPR)*((A_FINF*A_FINV+(1-A_FINF)*ROUNDUP((A_VERB/(A_LUO+(A_LUO=0)*$B11)+(A_MBLG&gt;A_VERB/(A_LUO+(A_LUO=0)*$B11))*(A_MBLG-A_VERB/(A_LUO+(A_LUO=0)*$B11)))/A_MPG_E,0)*A_MPG_E)/(A_KAPR+(A_KAPR=0))-1))+(A_FACH=0)*((1-A_LOSE)*(A_GPT&gt;0)*(A_FINF*A_FINN+(1-A_FINF)*ROUNDUP((A_VERB/(A_LUO+(A_LUO=0)*$B11)+(A_MBLG&gt;A_VERB/(A_LUO+(A_LUO=0)*$B11))*(A_MBLG-A_VERB/(A_LUO+(A_LUO=0)*$B11)))/A_MPG_E,0))/(A_GPT+(A_GPT=0))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/MAX(0.1,N(Parameter!$M$21))))</f>
        <v>6067.2239010989</v>
      </c>
      <c r="P11" s="11" t="n">
        <f aca="false">SUMPRODUCT((A_LIFT="Aussen")*A_HPT*((A_FACH&gt;0)*A_FACH*(1+(A_KAPR&gt;0)*((A_FINF*A_FINV+(1-A_FINF)*ROUNDUP((A_VERB/(A_LUO+(A_LUO=0)*$B11)+(A_MBLG&gt;A_VERB/(A_LUO+(A_LUO=0)*$B11))*(A_MBLG-A_VERB/(A_LUO+(A_LUO=0)*$B11)))/A_MPG_E,0)*A_MPG_E)&gt;A_KAPR)*((A_FINF*A_FINV+(1-A_FINF)*ROUNDUP((A_VERB/(A_LUO+(A_LUO=0)*$B11)+(A_MBLG&gt;A_VERB/(A_LUO+(A_LUO=0)*$B11))*(A_MBLG-A_VERB/(A_LUO+(A_LUO=0)*$B11)))/A_MPG_E,0)*A_MPG_E)/(A_KAPR+(A_KAPR=0))-1))+(A_FACH=0)*((1-A_LOSE)*(A_GPT&gt;0)*(A_FINF*A_FINN+(1-A_FINF)*ROUNDUP((A_VERB/(A_LUO+(A_LUO=0)*$B11)+(A_MBLG&gt;A_VERB/(A_LUO+(A_LUO=0)*$B11))*(A_MBLG-A_VERB/(A_LUO+(A_LUO=0)*$B11)))/A_MPG_E,0))/(A_GPT+(A_GPT=0))+A_LOSE*((A_FINF*A_FINN+(1-A_FINF)*ROUNDUP((A_VERB/(A_LUO+(A_LUO=0)*$B11)+(A_MBLG&gt;A_VERB/(A_LUO+(A_LUO=0)*$B11))*(A_MBLG-A_VERB/(A_LUO+(A_LUO=0)*$B11)))/A_MPG_E,0))&gt;0)*A_LA*(1+(A_IST&gt;0)*((A_FINF*A_FINN+(1-A_FINF)*ROUNDUP((A_VERB/(A_LUO+(A_LUO=0)*$B11)+(A_MBLG&gt;A_VERB/(A_LUO+(A_LUO=0)*$B11))*(A_MBLG-A_VERB/(A_LUO+(A_LUO=0)*$B11)))/A_MPG_E,0))&gt;A_IST)*((A_FINF*A_FINN+(1-A_FINF)*ROUNDUP((A_VERB/(A_LUO+(A_LUO=0)*$B11)+(A_MBLG&gt;A_VERB/(A_LUO+(A_LUO=0)*$B11))*(A_MBLG-A_VERB/(A_LUO+(A_LUO=0)*$B11)))/A_MPG_E,0))/(A_IST+(A_IST=0))-1)))/MAX(0.1,N(Parameter!$M$21))))</f>
        <v>0</v>
      </c>
    </row>
    <row r="12" customFormat="false" ht="15" hidden="false" customHeight="false" outlineLevel="0" collapsed="false">
      <c r="A12" s="10" t="s">
        <v>64</v>
      </c>
      <c r="B12" s="38" t="n">
        <f aca="false">Parameter!$A$29</f>
        <v>5</v>
      </c>
      <c r="C12" s="27" t="n">
        <f aca="false">M12/Parameter!$H$5</f>
        <v>1.21613864341912</v>
      </c>
      <c r="D12" s="27" t="n">
        <f aca="false">N12/Parameter!$H$6</f>
        <v>1.34221207713855</v>
      </c>
      <c r="E12" s="27" t="n">
        <f aca="false">O12/Parameter!$H$7</f>
        <v>0.507345899898421</v>
      </c>
      <c r="F12" s="13" t="n">
        <f aca="false">(N12+O12)/(Parameter!$H$6+Parameter!$H$7)</f>
        <v>0.924778988518484</v>
      </c>
      <c r="G12" s="13" t="n">
        <f aca="false">(M12+N12+O12)/Parameter!$H$8</f>
        <v>1.02189887348536</v>
      </c>
      <c r="H12" s="39" t="str">
        <f aca="false">IF(Parameter!$E$27="Ja",IF(M12+N12+O12&lt;=Parameter!$H$8,"JA","NEIN"),IF(AND(M12&lt;=Parameter!$H$5,N12+O12&lt;=Parameter!$H$6+Parameter!$H$7),"JA","NEIN"))</f>
        <v>NEIN</v>
      </c>
      <c r="I12" s="11" t="n">
        <f aca="false">IF(Parameter!$E$27="Ja",MAX(0,M12+N12+O12-Parameter!$H$8),MAX(0,M12-Parameter!$H$5)+MAX(0,N12+O12-Parameter!$H$6-Parameter!$H$7))+P12</f>
        <v>781.789783427499</v>
      </c>
      <c r="J12" s="11" t="n">
        <f aca="false">SUMPRODUCT((A_FINF*A_FINV+(1-A_FINF)*ROUNDUP((A_VERB/(A_LUO+(A_LUO=0)*$B12)+(A_MBLG&gt;A_VERB/(A_LUO+(A_LUO=0)*$B12))*(A_MBLG-A_VERB/(A_LUO+(A_LUO=0)*$B12)))/A_MPG_E,0)*A_MPG_E)*A_PREIS)</f>
        <v>5942935.05384</v>
      </c>
      <c r="K12" s="40" t="n">
        <f aca="false">J12-$J$5</f>
        <v>2491888.83961</v>
      </c>
      <c r="L12" s="40" t="n">
        <f aca="false">(M12+N12+O12+P12)-($M$5+$N$5+$O$5+$P$5)</f>
        <v>3583.93080906852</v>
      </c>
      <c r="M12" s="11" t="n">
        <f aca="false">SUMPRODUCT((A_LIFT=1)*A_HPT*((A_FACH&gt;0)*A_FACH*(1+(A_KAPR&gt;0)*((A_FINF*A_FINV+(1-A_FINF)*ROUNDUP((A_VERB/(A_LUO+(A_LUO=0)*$B12)+(A_MBLG&gt;A_VERB/(A_LUO+(A_LUO=0)*$B12))*(A_MBLG-A_VERB/(A_LUO+(A_LUO=0)*$B12)))/A_MPG_E,0)*A_MPG_E)&gt;A_KAPR)*((A_FINF*A_FINV+(1-A_FINF)*ROUNDUP((A_VERB/(A_LUO+(A_LUO=0)*$B12)+(A_MBLG&gt;A_VERB/(A_LUO+(A_LUO=0)*$B12))*(A_MBLG-A_VERB/(A_LUO+(A_LUO=0)*$B12)))/A_MPG_E,0)*A_MPG_E)/(A_KAPR+(A_KAPR=0))-1))+(A_FACH=0)*((1-A_LOSE)*(A_GPT&gt;0)*(A_FINF*A_FINN+(1-A_FINF)*ROUNDUP((A_VERB/(A_LUO+(A_LUO=0)*$B12)+(A_MBLG&gt;A_VERB/(A_LUO+(A_LUO=0)*$B12))*(A_MBLG-A_VERB/(A_LUO+(A_LUO=0)*$B12)))/A_MPG_E,0))/(A_GPT+(A_GPT=0))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/MAX(0.1,N(Parameter!$M$21))))</f>
        <v>14472.0498566876</v>
      </c>
      <c r="N12" s="11" t="n">
        <f aca="false">SUMPRODUCT((A_LIFT=2)*A_HPT*((A_FACH&gt;0)*A_FACH*(1+(A_KAPR&gt;0)*((A_FINF*A_FINV+(1-A_FINF)*ROUNDUP((A_VERB/(A_LUO+(A_LUO=0)*$B12)+(A_MBLG&gt;A_VERB/(A_LUO+(A_LUO=0)*$B12))*(A_MBLG-A_VERB/(A_LUO+(A_LUO=0)*$B12)))/A_MPG_E,0)*A_MPG_E)&gt;A_KAPR)*((A_FINF*A_FINV+(1-A_FINF)*ROUNDUP((A_VERB/(A_LUO+(A_LUO=0)*$B12)+(A_MBLG&gt;A_VERB/(A_LUO+(A_LUO=0)*$B12))*(A_MBLG-A_VERB/(A_LUO+(A_LUO=0)*$B12)))/A_MPG_E,0)*A_MPG_E)/(A_KAPR+(A_KAPR=0))-1))+(A_FACH=0)*((1-A_LOSE)*(A_GPT&gt;0)*(A_FINF*A_FINN+(1-A_FINF)*ROUNDUP((A_VERB/(A_LUO+(A_LUO=0)*$B12)+(A_MBLG&gt;A_VERB/(A_LUO+(A_LUO=0)*$B12))*(A_MBLG-A_VERB/(A_LUO+(A_LUO=0)*$B12)))/A_MPG_E,0))/(A_GPT+(A_GPT=0))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/MAX(0.1,N(Parameter!$M$21))))</f>
        <v>15972.3237179487</v>
      </c>
      <c r="O12" s="11" t="n">
        <f aca="false">SUMPRODUCT((A_LIFT=3)*A_HPT*((A_FACH&gt;0)*A_FACH*(1+(A_KAPR&gt;0)*((A_FINF*A_FINV+(1-A_FINF)*ROUNDUP((A_VERB/(A_LUO+(A_LUO=0)*$B12)+(A_MBLG&gt;A_VERB/(A_LUO+(A_LUO=0)*$B12))*(A_MBLG-A_VERB/(A_LUO+(A_LUO=0)*$B12)))/A_MPG_E,0)*A_MPG_E)&gt;A_KAPR)*((A_FINF*A_FINV+(1-A_FINF)*ROUNDUP((A_VERB/(A_LUO+(A_LUO=0)*$B12)+(A_MBLG&gt;A_VERB/(A_LUO+(A_LUO=0)*$B12))*(A_MBLG-A_VERB/(A_LUO+(A_LUO=0)*$B12)))/A_MPG_E,0)*A_MPG_E)/(A_KAPR+(A_KAPR=0))-1))+(A_FACH=0)*((1-A_LOSE)*(A_GPT&gt;0)*(A_FINF*A_FINN+(1-A_FINF)*ROUNDUP((A_VERB/(A_LUO+(A_LUO=0)*$B12)+(A_MBLG&gt;A_VERB/(A_LUO+(A_LUO=0)*$B12))*(A_MBLG-A_VERB/(A_LUO+(A_LUO=0)*$B12)))/A_MPG_E,0))/(A_GPT+(A_GPT=0))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/MAX(0.1,N(Parameter!$M$21))))</f>
        <v>6037.41620879121</v>
      </c>
      <c r="P12" s="11" t="n">
        <f aca="false">SUMPRODUCT((A_LIFT="Aussen")*A_HPT*((A_FACH&gt;0)*A_FACH*(1+(A_KAPR&gt;0)*((A_FINF*A_FINV+(1-A_FINF)*ROUNDUP((A_VERB/(A_LUO+(A_LUO=0)*$B12)+(A_MBLG&gt;A_VERB/(A_LUO+(A_LUO=0)*$B12))*(A_MBLG-A_VERB/(A_LUO+(A_LUO=0)*$B12)))/A_MPG_E,0)*A_MPG_E)&gt;A_KAPR)*((A_FINF*A_FINV+(1-A_FINF)*ROUNDUP((A_VERB/(A_LUO+(A_LUO=0)*$B12)+(A_MBLG&gt;A_VERB/(A_LUO+(A_LUO=0)*$B12))*(A_MBLG-A_VERB/(A_LUO+(A_LUO=0)*$B12)))/A_MPG_E,0)*A_MPG_E)/(A_KAPR+(A_KAPR=0))-1))+(A_FACH=0)*((1-A_LOSE)*(A_GPT&gt;0)*(A_FINF*A_FINN+(1-A_FINF)*ROUNDUP((A_VERB/(A_LUO+(A_LUO=0)*$B12)+(A_MBLG&gt;A_VERB/(A_LUO+(A_LUO=0)*$B12))*(A_MBLG-A_VERB/(A_LUO+(A_LUO=0)*$B12)))/A_MPG_E,0))/(A_GPT+(A_GPT=0))+A_LOSE*((A_FINF*A_FINN+(1-A_FINF)*ROUNDUP((A_VERB/(A_LUO+(A_LUO=0)*$B12)+(A_MBLG&gt;A_VERB/(A_LUO+(A_LUO=0)*$B12))*(A_MBLG-A_VERB/(A_LUO+(A_LUO=0)*$B12)))/A_MPG_E,0))&gt;0)*A_LA*(1+(A_IST&gt;0)*((A_FINF*A_FINN+(1-A_FINF)*ROUNDUP((A_VERB/(A_LUO+(A_LUO=0)*$B12)+(A_MBLG&gt;A_VERB/(A_LUO+(A_LUO=0)*$B12))*(A_MBLG-A_VERB/(A_LUO+(A_LUO=0)*$B12)))/A_MPG_E,0))&gt;A_IST)*((A_FINF*A_FINN+(1-A_FINF)*ROUNDUP((A_VERB/(A_LUO+(A_LUO=0)*$B12)+(A_MBLG&gt;A_VERB/(A_LUO+(A_LUO=0)*$B12))*(A_MBLG-A_VERB/(A_LUO+(A_LUO=0)*$B12)))/A_MPG_E,0))/(A_IST+(A_IST=0))-1)))/MAX(0.1,N(Parameter!$M$21))))</f>
        <v>0</v>
      </c>
    </row>
    <row r="13" customFormat="false" ht="15" hidden="false" customHeight="false" outlineLevel="0" collapsed="false">
      <c r="A13" s="10" t="s">
        <v>64</v>
      </c>
      <c r="B13" s="38" t="n">
        <f aca="false">Parameter!$A$30</f>
        <v>6</v>
      </c>
      <c r="C13" s="27" t="n">
        <f aca="false">M13/Parameter!$H$5</f>
        <v>1.21032097736965</v>
      </c>
      <c r="D13" s="27" t="n">
        <f aca="false">N13/Parameter!$H$6</f>
        <v>1.32474008834303</v>
      </c>
      <c r="E13" s="27" t="n">
        <f aca="false">O13/Parameter!$H$7</f>
        <v>0.505842991042571</v>
      </c>
      <c r="F13" s="13" t="n">
        <f aca="false">(N13+O13)/(Parameter!$H$6+Parameter!$H$7)</f>
        <v>0.9152915396928</v>
      </c>
      <c r="G13" s="13" t="n">
        <f aca="false">(M13+N13+O13)/Parameter!$H$8</f>
        <v>1.01363468558508</v>
      </c>
      <c r="H13" s="39" t="str">
        <f aca="false">IF(Parameter!$E$27="Ja",IF(M13+N13+O13&lt;=Parameter!$H$8,"JA","NEIN"),IF(AND(M13&lt;=Parameter!$H$5,N13+O13&lt;=Parameter!$H$6+Parameter!$H$7),"JA","NEIN"))</f>
        <v>NEIN</v>
      </c>
      <c r="I13" s="11" t="n">
        <f aca="false">IF(Parameter!$E$27="Ja",MAX(0,M13+N13+O13-Parameter!$H$8),MAX(0,M13-Parameter!$H$5)+MAX(0,N13+O13-Parameter!$H$6-Parameter!$H$7))+P13</f>
        <v>486.75827538751</v>
      </c>
      <c r="J13" s="11" t="n">
        <f aca="false">SUMPRODUCT((A_FINF*A_FINV+(1-A_FINF)*ROUNDUP((A_VERB/(A_LUO+(A_LUO=0)*$B13)+(A_MBLG&gt;A_VERB/(A_LUO+(A_LUO=0)*$B13))*(A_MBLG-A_VERB/(A_LUO+(A_LUO=0)*$B13)))/A_MPG_E,0)*A_MPG_E)*A_PREIS)</f>
        <v>5886962.44384</v>
      </c>
      <c r="K13" s="40" t="n">
        <f aca="false">J13-$J$5</f>
        <v>2435916.22961</v>
      </c>
      <c r="L13" s="40" t="n">
        <f aca="false">(M13+N13+O13+P13)-($M$5+$N$5+$O$5+$P$5)</f>
        <v>3288.89930102853</v>
      </c>
      <c r="M13" s="11" t="n">
        <f aca="false">SUMPRODUCT((A_LIFT=1)*A_HPT*((A_FACH&gt;0)*A_FACH*(1+(A_KAPR&gt;0)*((A_FINF*A_FINV+(1-A_FINF)*ROUNDUP((A_VERB/(A_LUO+(A_LUO=0)*$B13)+(A_MBLG&gt;A_VERB/(A_LUO+(A_LUO=0)*$B13))*(A_MBLG-A_VERB/(A_LUO+(A_LUO=0)*$B13)))/A_MPG_E,0)*A_MPG_E)&gt;A_KAPR)*((A_FINF*A_FINV+(1-A_FINF)*ROUNDUP((A_VERB/(A_LUO+(A_LUO=0)*$B13)+(A_MBLG&gt;A_VERB/(A_LUO+(A_LUO=0)*$B13))*(A_MBLG-A_VERB/(A_LUO+(A_LUO=0)*$B13)))/A_MPG_E,0)*A_MPG_E)/(A_KAPR+(A_KAPR=0))-1))+(A_FACH=0)*((1-A_LOSE)*(A_GPT&gt;0)*(A_FINF*A_FINN+(1-A_FINF)*ROUNDUP((A_VERB/(A_LUO+(A_LUO=0)*$B13)+(A_MBLG&gt;A_VERB/(A_LUO+(A_LUO=0)*$B13))*(A_MBLG-A_VERB/(A_LUO+(A_LUO=0)*$B13)))/A_MPG_E,0))/(A_GPT+(A_GPT=0))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/MAX(0.1,N(Parameter!$M$21))))</f>
        <v>14402.8196306989</v>
      </c>
      <c r="N13" s="11" t="n">
        <f aca="false">SUMPRODUCT((A_LIFT=2)*A_HPT*((A_FACH&gt;0)*A_FACH*(1+(A_KAPR&gt;0)*((A_FINF*A_FINV+(1-A_FINF)*ROUNDUP((A_VERB/(A_LUO+(A_LUO=0)*$B13)+(A_MBLG&gt;A_VERB/(A_LUO+(A_LUO=0)*$B13))*(A_MBLG-A_VERB/(A_LUO+(A_LUO=0)*$B13)))/A_MPG_E,0)*A_MPG_E)&gt;A_KAPR)*((A_FINF*A_FINV+(1-A_FINF)*ROUNDUP((A_VERB/(A_LUO+(A_LUO=0)*$B13)+(A_MBLG&gt;A_VERB/(A_LUO+(A_LUO=0)*$B13))*(A_MBLG-A_VERB/(A_LUO+(A_LUO=0)*$B13)))/A_MPG_E,0)*A_MPG_E)/(A_KAPR+(A_KAPR=0))-1))+(A_FACH=0)*((1-A_LOSE)*(A_GPT&gt;0)*(A_FINF*A_FINN+(1-A_FINF)*ROUNDUP((A_VERB/(A_LUO+(A_LUO=0)*$B13)+(A_MBLG&gt;A_VERB/(A_LUO+(A_LUO=0)*$B13))*(A_MBLG-A_VERB/(A_LUO+(A_LUO=0)*$B13)))/A_MPG_E,0))/(A_GPT+(A_GPT=0))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/MAX(0.1,N(Parameter!$M$21))))</f>
        <v>15764.4070512821</v>
      </c>
      <c r="O13" s="11" t="n">
        <f aca="false">SUMPRODUCT((A_LIFT=3)*A_HPT*((A_FACH&gt;0)*A_FACH*(1+(A_KAPR&gt;0)*((A_FINF*A_FINV+(1-A_FINF)*ROUNDUP((A_VERB/(A_LUO+(A_LUO=0)*$B13)+(A_MBLG&gt;A_VERB/(A_LUO+(A_LUO=0)*$B13))*(A_MBLG-A_VERB/(A_LUO+(A_LUO=0)*$B13)))/A_MPG_E,0)*A_MPG_E)&gt;A_KAPR)*((A_FINF*A_FINV+(1-A_FINF)*ROUNDUP((A_VERB/(A_LUO+(A_LUO=0)*$B13)+(A_MBLG&gt;A_VERB/(A_LUO+(A_LUO=0)*$B13))*(A_MBLG-A_VERB/(A_LUO+(A_LUO=0)*$B13)))/A_MPG_E,0)*A_MPG_E)/(A_KAPR+(A_KAPR=0))-1))+(A_FACH=0)*((1-A_LOSE)*(A_GPT&gt;0)*(A_FINF*A_FINN+(1-A_FINF)*ROUNDUP((A_VERB/(A_LUO+(A_LUO=0)*$B13)+(A_MBLG&gt;A_VERB/(A_LUO+(A_LUO=0)*$B13))*(A_MBLG-A_VERB/(A_LUO+(A_LUO=0)*$B13)))/A_MPG_E,0))/(A_GPT+(A_GPT=0))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/MAX(0.1,N(Parameter!$M$21))))</f>
        <v>6019.53159340659</v>
      </c>
      <c r="P13" s="11" t="n">
        <f aca="false">SUMPRODUCT((A_LIFT="Aussen")*A_HPT*((A_FACH&gt;0)*A_FACH*(1+(A_KAPR&gt;0)*((A_FINF*A_FINV+(1-A_FINF)*ROUNDUP((A_VERB/(A_LUO+(A_LUO=0)*$B13)+(A_MBLG&gt;A_VERB/(A_LUO+(A_LUO=0)*$B13))*(A_MBLG-A_VERB/(A_LUO+(A_LUO=0)*$B13)))/A_MPG_E,0)*A_MPG_E)&gt;A_KAPR)*((A_FINF*A_FINV+(1-A_FINF)*ROUNDUP((A_VERB/(A_LUO+(A_LUO=0)*$B13)+(A_MBLG&gt;A_VERB/(A_LUO+(A_LUO=0)*$B13))*(A_MBLG-A_VERB/(A_LUO+(A_LUO=0)*$B13)))/A_MPG_E,0)*A_MPG_E)/(A_KAPR+(A_KAPR=0))-1))+(A_FACH=0)*((1-A_LOSE)*(A_GPT&gt;0)*(A_FINF*A_FINN+(1-A_FINF)*ROUNDUP((A_VERB/(A_LUO+(A_LUO=0)*$B13)+(A_MBLG&gt;A_VERB/(A_LUO+(A_LUO=0)*$B13))*(A_MBLG-A_VERB/(A_LUO+(A_LUO=0)*$B13)))/A_MPG_E,0))/(A_GPT+(A_GPT=0))+A_LOSE*((A_FINF*A_FINN+(1-A_FINF)*ROUNDUP((A_VERB/(A_LUO+(A_LUO=0)*$B13)+(A_MBLG&gt;A_VERB/(A_LUO+(A_LUO=0)*$B13))*(A_MBLG-A_VERB/(A_LUO+(A_LUO=0)*$B13)))/A_MPG_E,0))&gt;0)*A_LA*(1+(A_IST&gt;0)*((A_FINF*A_FINN+(1-A_FINF)*ROUNDUP((A_VERB/(A_LUO+(A_LUO=0)*$B13)+(A_MBLG&gt;A_VERB/(A_LUO+(A_LUO=0)*$B13))*(A_MBLG-A_VERB/(A_LUO+(A_LUO=0)*$B13)))/A_MPG_E,0))&gt;A_IST)*((A_FINF*A_FINN+(1-A_FINF)*ROUNDUP((A_VERB/(A_LUO+(A_LUO=0)*$B13)+(A_MBLG&gt;A_VERB/(A_LUO+(A_LUO=0)*$B13))*(A_MBLG-A_VERB/(A_LUO+(A_LUO=0)*$B13)))/A_MPG_E,0))/(A_IST+(A_IST=0))-1)))/MAX(0.1,N(Parameter!$M$21))))</f>
        <v>0</v>
      </c>
    </row>
    <row r="14" customFormat="false" ht="15" hidden="false" customHeight="false" outlineLevel="0" collapsed="false">
      <c r="A14" s="10" t="s">
        <v>7</v>
      </c>
      <c r="B14" s="38" t="n">
        <f aca="false">Parameter!$A$23</f>
        <v>1</v>
      </c>
      <c r="C14" s="27" t="n">
        <f aca="false">M14/Parameter!$H$5</f>
        <v>2.04580635578873</v>
      </c>
      <c r="D14" s="27" t="n">
        <f aca="false">N14/Parameter!$H$6</f>
        <v>2.41693196509373</v>
      </c>
      <c r="E14" s="27" t="n">
        <f aca="false">O14/Parameter!$H$7</f>
        <v>0.663881129374827</v>
      </c>
      <c r="F14" s="13" t="n">
        <f aca="false">(N14+O14)/(Parameter!$H$6+Parameter!$H$7)</f>
        <v>1.54040654723428</v>
      </c>
      <c r="G14" s="13" t="n">
        <f aca="false">(M14+N14+O14)/Parameter!$H$8</f>
        <v>1.70887315008576</v>
      </c>
      <c r="H14" s="39" t="str">
        <f aca="false">IF(Parameter!$E$27="Ja",IF(M14+N14+O14&lt;=Parameter!$H$8,"JA","NEIN"),IF(AND(M14&lt;=Parameter!$H$5,N14+O14&lt;=Parameter!$H$6+Parameter!$H$7),"JA","NEIN"))</f>
        <v>NEIN</v>
      </c>
      <c r="I14" s="11" t="n">
        <f aca="false">IF(Parameter!$E$27="Ja",MAX(0,M14+N14+O14-Parameter!$H$8),MAX(0,M14-Parameter!$H$5)+MAX(0,N14+O14-Parameter!$H$6-Parameter!$H$7))+P14</f>
        <v>25306.7714580617</v>
      </c>
      <c r="J14" s="11" t="n">
        <f aca="false">SUMPRODUCT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*A_PREIS)</f>
        <v>11524541.30689</v>
      </c>
      <c r="K14" s="40" t="n">
        <f aca="false">J14-$J$5</f>
        <v>8073495.09266</v>
      </c>
      <c r="L14" s="40" t="n">
        <f aca="false">(M14+N14+O14+P14)-($M$5+$N$5+$O$5+$P$5)</f>
        <v>28108.9124837027</v>
      </c>
      <c r="M14" s="11" t="n">
        <f aca="false">SUMPRODUCT((A_LIFT=1)*A_HPT*((A_FACH&gt;0)*A_FACH*(1+(A_KAPR&gt;0)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&gt;A_KAPR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/(A_KAPR+(A_KAPR=0))-1))+(A_FACH=0)*((1-A_LOSE)*(A_GPT&gt;0)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GPT+(A_GPT=0))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/MAX(0.1,N(Parameter!$M$21))))</f>
        <v>24345.0956338859</v>
      </c>
      <c r="N14" s="11" t="n">
        <f aca="false">SUMPRODUCT((A_LIFT=2)*A_HPT*((A_FACH&gt;0)*A_FACH*(1+(A_KAPR&gt;0)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&gt;A_KAPR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/(A_KAPR+(A_KAPR=0))-1))+(A_FACH=0)*((1-A_LOSE)*(A_GPT&gt;0)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GPT+(A_GPT=0))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/MAX(0.1,N(Parameter!$M$21))))</f>
        <v>28761.4903846154</v>
      </c>
      <c r="O14" s="11" t="n">
        <f aca="false">SUMPRODUCT((A_LIFT=3)*A_HPT*((A_FACH&gt;0)*A_FACH*(1+(A_KAPR&gt;0)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&gt;A_KAPR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/(A_KAPR+(A_KAPR=0))-1))+(A_FACH=0)*((1-A_LOSE)*(A_GPT&gt;0)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GPT+(A_GPT=0))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/MAX(0.1,N(Parameter!$M$21))))</f>
        <v>7900.18543956044</v>
      </c>
      <c r="P14" s="11" t="n">
        <f aca="false">SUMPRODUCT((A_LIFT="Aussen")*A_HPT*((A_FACH&gt;0)*A_FACH*(1+(A_KAPR&gt;0)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&gt;A_KAPR)*((A_FINF*A_FINV+(1-A_FINF)*(ROUNDUP((A_VERB/(A_LUO+(A_LUO=0)*$B14)+(A_MBLG&gt;A_VERB/(A_LUO+(A_LUO=0)*$B14))*(A_MBLG-A_VERB/(A_LUO+(A_LUO=0)*$B14)))/A_MPG_E,0)*A_MPG_E+(A_IST&gt;ROUNDUP((A_VERB/(A_LUO+(A_LUO=0)*$B14)+(A_MBLG&gt;A_VERB/(A_LUO+(A_LUO=0)*$B14))*(A_MBLG-A_VERB/(A_LUO+(A_LUO=0)*$B14)))/A_MPG_E,0)*A_MPG_E)*(A_IST-ROUNDUP((A_VERB/(A_LUO+(A_LUO=0)*$B14)+(A_MBLG&gt;A_VERB/(A_LUO+(A_LUO=0)*$B14))*(A_MBLG-A_VERB/(A_LUO+(A_LUO=0)*$B14)))/A_MPG_E,0)*A_MPG_E)))/(A_KAPR+(A_KAPR=0))-1))+(A_FACH=0)*((1-A_LOSE)*(A_GPT&gt;0)*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GPT+(A_GPT=0))+A_LOSE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0)*A_LA*(1+(A_IST&gt;0)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&gt;A_IST)*((A_FINF*A_FINN+(1-A_FINF)*(ROUNDUP((A_VERB/(A_LUO+(A_LUO=0)*$B14)+(A_MBLG&gt;A_VERB/(A_LUO+(A_LUO=0)*$B14))*(A_MBLG-A_VERB/(A_LUO+(A_LUO=0)*$B14)))/A_MPG_E,0)+(A_ISTN&gt;ROUNDUP((A_VERB/(A_LUO+(A_LUO=0)*$B14)+(A_MBLG&gt;A_VERB/(A_LUO+(A_LUO=0)*$B14))*(A_MBLG-A_VERB/(A_LUO+(A_LUO=0)*$B14)))/A_MPG_E,0))*(A_ISTN-ROUNDUP((A_VERB/(A_LUO+(A_LUO=0)*$B14)+(A_MBLG&gt;A_VERB/(A_LUO+(A_LUO=0)*$B14))*(A_MBLG-A_VERB/(A_LUO+(A_LUO=0)*$B14)))/A_MPG_E,0))))/(A_IST+(A_IST=0))-1)))/MAX(0.1,N(Parameter!$M$21))))</f>
        <v>0</v>
      </c>
    </row>
    <row r="15" customFormat="false" ht="15" hidden="false" customHeight="false" outlineLevel="0" collapsed="false">
      <c r="A15" s="10" t="s">
        <v>7</v>
      </c>
      <c r="B15" s="38" t="n">
        <f aca="false">Parameter!$A$24</f>
        <v>1.5</v>
      </c>
      <c r="C15" s="27" t="n">
        <f aca="false">M15/Parameter!$H$5</f>
        <v>1.59602623948319</v>
      </c>
      <c r="D15" s="27" t="n">
        <f aca="false">N15/Parameter!$H$6</f>
        <v>2.03384372979961</v>
      </c>
      <c r="E15" s="27" t="n">
        <f aca="false">O15/Parameter!$H$7</f>
        <v>0.612063094468557</v>
      </c>
      <c r="F15" s="13" t="n">
        <f aca="false">(N15+O15)/(Parameter!$H$6+Parameter!$H$7)</f>
        <v>1.32295341213408</v>
      </c>
      <c r="G15" s="13" t="n">
        <f aca="false">(M15+N15+O15)/Parameter!$H$8</f>
        <v>1.41397768791712</v>
      </c>
      <c r="H15" s="39" t="str">
        <f aca="false">IF(Parameter!$E$27="Ja",IF(M15+N15+O15&lt;=Parameter!$H$8,"JA","NEIN"),IF(AND(M15&lt;=Parameter!$H$5,N15+O15&lt;=Parameter!$H$6+Parameter!$H$7),"JA","NEIN"))</f>
        <v>NEIN</v>
      </c>
      <c r="I15" s="11" t="n">
        <f aca="false">IF(Parameter!$E$27="Ja",MAX(0,M15+N15+O15-Parameter!$H$8),MAX(0,M15-Parameter!$H$5)+MAX(0,N15+O15-Parameter!$H$6-Parameter!$H$7))+P15</f>
        <v>14779.0034586412</v>
      </c>
      <c r="J15" s="11" t="n">
        <f aca="false">SUMPRODUCT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*A_PREIS)</f>
        <v>9129995.26226</v>
      </c>
      <c r="K15" s="40" t="n">
        <f aca="false">J15-$J$5</f>
        <v>5678949.04803</v>
      </c>
      <c r="L15" s="40" t="n">
        <f aca="false">(M15+N15+O15+P15)-($M$5+$N$5+$O$5+$P$5)</f>
        <v>17581.1444842822</v>
      </c>
      <c r="M15" s="11" t="n">
        <f aca="false">SUMPRODUCT((A_LIFT=1)*A_HPT*((A_FACH&gt;0)*A_FACH*(1+(A_KAPR&gt;0)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&gt;A_KAPR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/(A_KAPR+(A_KAPR=0))-1))+(A_FACH=0)*((1-A_LOSE)*(A_GPT&gt;0)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GPT+(A_GPT=0))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/MAX(0.1,N(Parameter!$M$21))))</f>
        <v>18992.71224985</v>
      </c>
      <c r="N15" s="11" t="n">
        <f aca="false">SUMPRODUCT((A_LIFT=2)*A_HPT*((A_FACH&gt;0)*A_FACH*(1+(A_KAPR&gt;0)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&gt;A_KAPR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/(A_KAPR+(A_KAPR=0))-1))+(A_FACH=0)*((1-A_LOSE)*(A_GPT&gt;0)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GPT+(A_GPT=0))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/MAX(0.1,N(Parameter!$M$21))))</f>
        <v>24202.7403846154</v>
      </c>
      <c r="O15" s="11" t="n">
        <f aca="false">SUMPRODUCT((A_LIFT=3)*A_HPT*((A_FACH&gt;0)*A_FACH*(1+(A_KAPR&gt;0)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&gt;A_KAPR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/(A_KAPR+(A_KAPR=0))-1))+(A_FACH=0)*((1-A_LOSE)*(A_GPT&gt;0)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GPT+(A_GPT=0))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/MAX(0.1,N(Parameter!$M$21))))</f>
        <v>7283.55082417582</v>
      </c>
      <c r="P15" s="11" t="n">
        <f aca="false">SUMPRODUCT((A_LIFT="Aussen")*A_HPT*((A_FACH&gt;0)*A_FACH*(1+(A_KAPR&gt;0)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&gt;A_KAPR)*((A_FINF*A_FINV+(1-A_FINF)*(ROUNDUP((A_VERB/(A_LUO+(A_LUO=0)*$B15)+(A_MBLG&gt;A_VERB/(A_LUO+(A_LUO=0)*$B15))*(A_MBLG-A_VERB/(A_LUO+(A_LUO=0)*$B15)))/A_MPG_E,0)*A_MPG_E+(A_IST&gt;ROUNDUP((A_VERB/(A_LUO+(A_LUO=0)*$B15)+(A_MBLG&gt;A_VERB/(A_LUO+(A_LUO=0)*$B15))*(A_MBLG-A_VERB/(A_LUO+(A_LUO=0)*$B15)))/A_MPG_E,0)*A_MPG_E)*(A_IST-ROUNDUP((A_VERB/(A_LUO+(A_LUO=0)*$B15)+(A_MBLG&gt;A_VERB/(A_LUO+(A_LUO=0)*$B15))*(A_MBLG-A_VERB/(A_LUO+(A_LUO=0)*$B15)))/A_MPG_E,0)*A_MPG_E)))/(A_KAPR+(A_KAPR=0))-1))+(A_FACH=0)*((1-A_LOSE)*(A_GPT&gt;0)*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GPT+(A_GPT=0))+A_LOSE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0)*A_LA*(1+(A_IST&gt;0)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&gt;A_IST)*((A_FINF*A_FINN+(1-A_FINF)*(ROUNDUP((A_VERB/(A_LUO+(A_LUO=0)*$B15)+(A_MBLG&gt;A_VERB/(A_LUO+(A_LUO=0)*$B15))*(A_MBLG-A_VERB/(A_LUO+(A_LUO=0)*$B15)))/A_MPG_E,0)+(A_ISTN&gt;ROUNDUP((A_VERB/(A_LUO+(A_LUO=0)*$B15)+(A_MBLG&gt;A_VERB/(A_LUO+(A_LUO=0)*$B15))*(A_MBLG-A_VERB/(A_LUO+(A_LUO=0)*$B15)))/A_MPG_E,0))*(A_ISTN-ROUNDUP((A_VERB/(A_LUO+(A_LUO=0)*$B15)+(A_MBLG&gt;A_VERB/(A_LUO+(A_LUO=0)*$B15))*(A_MBLG-A_VERB/(A_LUO+(A_LUO=0)*$B15)))/A_MPG_E,0))))/(A_IST+(A_IST=0))-1)))/MAX(0.1,N(Parameter!$M$21))))</f>
        <v>0</v>
      </c>
    </row>
    <row r="16" customFormat="false" ht="15" hidden="false" customHeight="false" outlineLevel="0" collapsed="false">
      <c r="A16" s="10" t="s">
        <v>7</v>
      </c>
      <c r="B16" s="38" t="n">
        <f aca="false">Parameter!$A$25</f>
        <v>2</v>
      </c>
      <c r="C16" s="27" t="n">
        <f aca="false">M16/Parameter!$H$5</f>
        <v>1.39967947391908</v>
      </c>
      <c r="D16" s="27" t="n">
        <f aca="false">N16/Parameter!$H$6</f>
        <v>1.83972608274079</v>
      </c>
      <c r="E16" s="27" t="n">
        <f aca="false">O16/Parameter!$H$7</f>
        <v>0.591107096684828</v>
      </c>
      <c r="F16" s="13" t="n">
        <f aca="false">(N16+O16)/(Parameter!$H$6+Parameter!$H$7)</f>
        <v>1.21541658971281</v>
      </c>
      <c r="G16" s="13" t="n">
        <f aca="false">(M16+N16+O16)/Parameter!$H$8</f>
        <v>1.2768375511149</v>
      </c>
      <c r="H16" s="39" t="str">
        <f aca="false">IF(Parameter!$E$27="Ja",IF(M16+N16+O16&lt;=Parameter!$H$8,"JA","NEIN"),IF(AND(M16&lt;=Parameter!$H$5,N16+O16&lt;=Parameter!$H$6+Parameter!$H$7),"JA","NEIN"))</f>
        <v>NEIN</v>
      </c>
      <c r="I16" s="11" t="n">
        <f aca="false">IF(Parameter!$E$27="Ja",MAX(0,M16+N16+O16-Parameter!$H$8),MAX(0,M16-Parameter!$H$5)+MAX(0,N16+O16-Parameter!$H$6-Parameter!$H$7))+P16</f>
        <v>9883.10057480184</v>
      </c>
      <c r="J16" s="11" t="n">
        <f aca="false">SUMPRODUCT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*A_PREIS)</f>
        <v>7904043.04405</v>
      </c>
      <c r="K16" s="40" t="n">
        <f aca="false">J16-$J$5</f>
        <v>4452996.82982</v>
      </c>
      <c r="L16" s="40" t="n">
        <f aca="false">(M16+N16+O16+P16)-($M$5+$N$5+$O$5+$P$5)</f>
        <v>12685.2416004429</v>
      </c>
      <c r="M16" s="11" t="n">
        <f aca="false">SUMPRODUCT((A_LIFT=1)*A_HPT*((A_FACH&gt;0)*A_FACH*(1+(A_KAPR&gt;0)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&gt;A_KAPR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/(A_KAPR+(A_KAPR=0))-1))+(A_FACH=0)*((1-A_LOSE)*(A_GPT&gt;0)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GPT+(A_GPT=0))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/MAX(0.1,N(Parameter!$M$21))))</f>
        <v>16656.185739637</v>
      </c>
      <c r="N16" s="11" t="n">
        <f aca="false">SUMPRODUCT((A_LIFT=2)*A_HPT*((A_FACH&gt;0)*A_FACH*(1+(A_KAPR&gt;0)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&gt;A_KAPR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/(A_KAPR+(A_KAPR=0))-1))+(A_FACH=0)*((1-A_LOSE)*(A_GPT&gt;0)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GPT+(A_GPT=0))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/MAX(0.1,N(Parameter!$M$21))))</f>
        <v>21892.7403846154</v>
      </c>
      <c r="O16" s="11" t="n">
        <f aca="false">SUMPRODUCT((A_LIFT=3)*A_HPT*((A_FACH&gt;0)*A_FACH*(1+(A_KAPR&gt;0)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&gt;A_KAPR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/(A_KAPR+(A_KAPR=0))-1))+(A_FACH=0)*((1-A_LOSE)*(A_GPT&gt;0)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GPT+(A_GPT=0))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/MAX(0.1,N(Parameter!$M$21))))</f>
        <v>7034.17445054945</v>
      </c>
      <c r="P16" s="11" t="n">
        <f aca="false">SUMPRODUCT((A_LIFT="Aussen")*A_HPT*((A_FACH&gt;0)*A_FACH*(1+(A_KAPR&gt;0)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&gt;A_KAPR)*((A_FINF*A_FINV+(1-A_FINF)*(ROUNDUP((A_VERB/(A_LUO+(A_LUO=0)*$B16)+(A_MBLG&gt;A_VERB/(A_LUO+(A_LUO=0)*$B16))*(A_MBLG-A_VERB/(A_LUO+(A_LUO=0)*$B16)))/A_MPG_E,0)*A_MPG_E+(A_IST&gt;ROUNDUP((A_VERB/(A_LUO+(A_LUO=0)*$B16)+(A_MBLG&gt;A_VERB/(A_LUO+(A_LUO=0)*$B16))*(A_MBLG-A_VERB/(A_LUO+(A_LUO=0)*$B16)))/A_MPG_E,0)*A_MPG_E)*(A_IST-ROUNDUP((A_VERB/(A_LUO+(A_LUO=0)*$B16)+(A_MBLG&gt;A_VERB/(A_LUO+(A_LUO=0)*$B16))*(A_MBLG-A_VERB/(A_LUO+(A_LUO=0)*$B16)))/A_MPG_E,0)*A_MPG_E)))/(A_KAPR+(A_KAPR=0))-1))+(A_FACH=0)*((1-A_LOSE)*(A_GPT&gt;0)*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GPT+(A_GPT=0))+A_LOSE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0)*A_LA*(1+(A_IST&gt;0)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&gt;A_IST)*((A_FINF*A_FINN+(1-A_FINF)*(ROUNDUP((A_VERB/(A_LUO+(A_LUO=0)*$B16)+(A_MBLG&gt;A_VERB/(A_LUO+(A_LUO=0)*$B16))*(A_MBLG-A_VERB/(A_LUO+(A_LUO=0)*$B16)))/A_MPG_E,0)+(A_ISTN&gt;ROUNDUP((A_VERB/(A_LUO+(A_LUO=0)*$B16)+(A_MBLG&gt;A_VERB/(A_LUO+(A_LUO=0)*$B16))*(A_MBLG-A_VERB/(A_LUO+(A_LUO=0)*$B16)))/A_MPG_E,0))*(A_ISTN-ROUNDUP((A_VERB/(A_LUO+(A_LUO=0)*$B16)+(A_MBLG&gt;A_VERB/(A_LUO+(A_LUO=0)*$B16))*(A_MBLG-A_VERB/(A_LUO+(A_LUO=0)*$B16)))/A_MPG_E,0))))/(A_IST+(A_IST=0))-1)))/MAX(0.1,N(Parameter!$M$21))))</f>
        <v>0</v>
      </c>
    </row>
    <row r="17" customFormat="false" ht="15" hidden="false" customHeight="false" outlineLevel="0" collapsed="false">
      <c r="A17" s="10" t="s">
        <v>7</v>
      </c>
      <c r="B17" s="38" t="n">
        <f aca="false">Parameter!$A$26</f>
        <v>2.5</v>
      </c>
      <c r="C17" s="27" t="n">
        <f aca="false">M17/Parameter!$H$5</f>
        <v>1.32222444584092</v>
      </c>
      <c r="D17" s="27" t="n">
        <f aca="false">N17/Parameter!$H$6</f>
        <v>1.76430591467356</v>
      </c>
      <c r="E17" s="27" t="n">
        <f aca="false">O17/Parameter!$H$7</f>
        <v>0.581176586019023</v>
      </c>
      <c r="F17" s="13" t="n">
        <f aca="false">(N17+O17)/(Parameter!$H$6+Parameter!$H$7)</f>
        <v>1.17274125034629</v>
      </c>
      <c r="G17" s="13" t="n">
        <f aca="false">(M17+N17+O17)/Parameter!$H$8</f>
        <v>1.22256898217783</v>
      </c>
      <c r="H17" s="39" t="str">
        <f aca="false">IF(Parameter!$E$27="Ja",IF(M17+N17+O17&lt;=Parameter!$H$8,"JA","NEIN"),IF(AND(M17&lt;=Parameter!$H$5,N17+O17&lt;=Parameter!$H$6+Parameter!$H$7),"JA","NEIN"))</f>
        <v>NEIN</v>
      </c>
      <c r="I17" s="11" t="n">
        <f aca="false">IF(Parameter!$E$27="Ja",MAX(0,M17+N17+O17-Parameter!$H$8),MAX(0,M17-Parameter!$H$5)+MAX(0,N17+O17-Parameter!$H$6-Parameter!$H$7))+P17</f>
        <v>7945.71266374867</v>
      </c>
      <c r="J17" s="11" t="n">
        <f aca="false">SUMPRODUCT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*A_PREIS)</f>
        <v>7338691.80584</v>
      </c>
      <c r="K17" s="40" t="n">
        <f aca="false">J17-$J$5</f>
        <v>3887645.59161</v>
      </c>
      <c r="L17" s="40" t="n">
        <f aca="false">(M17+N17+O17+P17)-($M$5+$N$5+$O$5+$P$5)</f>
        <v>10747.8536893897</v>
      </c>
      <c r="M17" s="11" t="n">
        <f aca="false">SUMPRODUCT((A_LIFT=1)*A_HPT*((A_FACH&gt;0)*A_FACH*(1+(A_KAPR&gt;0)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&gt;A_KAPR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/(A_KAPR+(A_KAPR=0))-1))+(A_FACH=0)*((1-A_LOSE)*(A_GPT&gt;0)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GPT+(A_GPT=0))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/MAX(0.1,N(Parameter!$M$21))))</f>
        <v>15734.4709055069</v>
      </c>
      <c r="N17" s="11" t="n">
        <f aca="false">SUMPRODUCT((A_LIFT=2)*A_HPT*((A_FACH&gt;0)*A_FACH*(1+(A_KAPR&gt;0)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&gt;A_KAPR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/(A_KAPR+(A_KAPR=0))-1))+(A_FACH=0)*((1-A_LOSE)*(A_GPT&gt;0)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GPT+(A_GPT=0))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/MAX(0.1,N(Parameter!$M$21))))</f>
        <v>20995.2403846154</v>
      </c>
      <c r="O17" s="11" t="n">
        <f aca="false">SUMPRODUCT((A_LIFT=3)*A_HPT*((A_FACH&gt;0)*A_FACH*(1+(A_KAPR&gt;0)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&gt;A_KAPR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/(A_KAPR+(A_KAPR=0))-1))+(A_FACH=0)*((1-A_LOSE)*(A_GPT&gt;0)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GPT+(A_GPT=0))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/MAX(0.1,N(Parameter!$M$21))))</f>
        <v>6916.00137362637</v>
      </c>
      <c r="P17" s="11" t="n">
        <f aca="false">SUMPRODUCT((A_LIFT="Aussen")*A_HPT*((A_FACH&gt;0)*A_FACH*(1+(A_KAPR&gt;0)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&gt;A_KAPR)*((A_FINF*A_FINV+(1-A_FINF)*(ROUNDUP((A_VERB/(A_LUO+(A_LUO=0)*$B17)+(A_MBLG&gt;A_VERB/(A_LUO+(A_LUO=0)*$B17))*(A_MBLG-A_VERB/(A_LUO+(A_LUO=0)*$B17)))/A_MPG_E,0)*A_MPG_E+(A_IST&gt;ROUNDUP((A_VERB/(A_LUO+(A_LUO=0)*$B17)+(A_MBLG&gt;A_VERB/(A_LUO+(A_LUO=0)*$B17))*(A_MBLG-A_VERB/(A_LUO+(A_LUO=0)*$B17)))/A_MPG_E,0)*A_MPG_E)*(A_IST-ROUNDUP((A_VERB/(A_LUO+(A_LUO=0)*$B17)+(A_MBLG&gt;A_VERB/(A_LUO+(A_LUO=0)*$B17))*(A_MBLG-A_VERB/(A_LUO+(A_LUO=0)*$B17)))/A_MPG_E,0)*A_MPG_E)))/(A_KAPR+(A_KAPR=0))-1))+(A_FACH=0)*((1-A_LOSE)*(A_GPT&gt;0)*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GPT+(A_GPT=0))+A_LOSE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0)*A_LA*(1+(A_IST&gt;0)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&gt;A_IST)*((A_FINF*A_FINN+(1-A_FINF)*(ROUNDUP((A_VERB/(A_LUO+(A_LUO=0)*$B17)+(A_MBLG&gt;A_VERB/(A_LUO+(A_LUO=0)*$B17))*(A_MBLG-A_VERB/(A_LUO+(A_LUO=0)*$B17)))/A_MPG_E,0)+(A_ISTN&gt;ROUNDUP((A_VERB/(A_LUO+(A_LUO=0)*$B17)+(A_MBLG&gt;A_VERB/(A_LUO+(A_LUO=0)*$B17))*(A_MBLG-A_VERB/(A_LUO+(A_LUO=0)*$B17)))/A_MPG_E,0))*(A_ISTN-ROUNDUP((A_VERB/(A_LUO+(A_LUO=0)*$B17)+(A_MBLG&gt;A_VERB/(A_LUO+(A_LUO=0)*$B17))*(A_MBLG-A_VERB/(A_LUO+(A_LUO=0)*$B17)))/A_MPG_E,0))))/(A_IST+(A_IST=0))-1)))/MAX(0.1,N(Parameter!$M$21))))</f>
        <v>0</v>
      </c>
    </row>
    <row r="18" customFormat="false" ht="15" hidden="false" customHeight="false" outlineLevel="0" collapsed="false">
      <c r="A18" s="10" t="s">
        <v>7</v>
      </c>
      <c r="B18" s="38" t="n">
        <f aca="false">Parameter!$A$27</f>
        <v>3</v>
      </c>
      <c r="C18" s="27" t="n">
        <f aca="false">M18/Parameter!$H$5</f>
        <v>1.27598004412543</v>
      </c>
      <c r="D18" s="27" t="n">
        <f aca="false">N18/Parameter!$H$6</f>
        <v>1.69861964016376</v>
      </c>
      <c r="E18" s="27" t="n">
        <f aca="false">O18/Parameter!$H$7</f>
        <v>0.576502216271124</v>
      </c>
      <c r="F18" s="13" t="n">
        <f aca="false">(N18+O18)/(Parameter!$H$6+Parameter!$H$7)</f>
        <v>1.13756092821744</v>
      </c>
      <c r="G18" s="13" t="n">
        <f aca="false">(M18+N18+O18)/Parameter!$H$8</f>
        <v>1.1837006335201</v>
      </c>
      <c r="H18" s="39" t="str">
        <f aca="false">IF(Parameter!$E$27="Ja",IF(M18+N18+O18&lt;=Parameter!$H$8,"JA","NEIN"),IF(AND(M18&lt;=Parameter!$H$5,N18+O18&lt;=Parameter!$H$6+Parameter!$H$7),"JA","NEIN"))</f>
        <v>NEIN</v>
      </c>
      <c r="I18" s="11" t="n">
        <f aca="false">IF(Parameter!$E$27="Ja",MAX(0,M18+N18+O18-Parameter!$H$8),MAX(0,M18-Parameter!$H$5)+MAX(0,N18+O18-Parameter!$H$6-Parameter!$H$7))+P18</f>
        <v>6558.1126166677</v>
      </c>
      <c r="J18" s="11" t="n">
        <f aca="false">SUMPRODUCT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*A_PREIS)</f>
        <v>6965579.74584</v>
      </c>
      <c r="K18" s="40" t="n">
        <f aca="false">J18-$J$5</f>
        <v>3514533.53161</v>
      </c>
      <c r="L18" s="40" t="n">
        <f aca="false">(M18+N18+O18+P18)-($M$5+$N$5+$O$5+$P$5)</f>
        <v>9360.25364230872</v>
      </c>
      <c r="M18" s="11" t="n">
        <f aca="false">SUMPRODUCT((A_LIFT=1)*A_HPT*((A_FACH&gt;0)*A_FACH*(1+(A_KAPR&gt;0)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&gt;A_KAPR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/(A_KAPR+(A_KAPR=0))-1))+(A_FACH=0)*((1-A_LOSE)*(A_GPT&gt;0)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GPT+(A_GPT=0))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/MAX(0.1,N(Parameter!$M$21))))</f>
        <v>15184.1625250926</v>
      </c>
      <c r="N18" s="11" t="n">
        <f aca="false">SUMPRODUCT((A_LIFT=2)*A_HPT*((A_FACH&gt;0)*A_FACH*(1+(A_KAPR&gt;0)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&gt;A_KAPR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/(A_KAPR+(A_KAPR=0))-1))+(A_FACH=0)*((1-A_LOSE)*(A_GPT&gt;0)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GPT+(A_GPT=0))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/MAX(0.1,N(Parameter!$M$21))))</f>
        <v>20213.5737179487</v>
      </c>
      <c r="O18" s="11" t="n">
        <f aca="false">SUMPRODUCT((A_LIFT=3)*A_HPT*((A_FACH&gt;0)*A_FACH*(1+(A_KAPR&gt;0)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&gt;A_KAPR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/(A_KAPR+(A_KAPR=0))-1))+(A_FACH=0)*((1-A_LOSE)*(A_GPT&gt;0)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GPT+(A_GPT=0))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/MAX(0.1,N(Parameter!$M$21))))</f>
        <v>6860.37637362637</v>
      </c>
      <c r="P18" s="11" t="n">
        <f aca="false">SUMPRODUCT((A_LIFT="Aussen")*A_HPT*((A_FACH&gt;0)*A_FACH*(1+(A_KAPR&gt;0)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&gt;A_KAPR)*((A_FINF*A_FINV+(1-A_FINF)*(ROUNDUP((A_VERB/(A_LUO+(A_LUO=0)*$B18)+(A_MBLG&gt;A_VERB/(A_LUO+(A_LUO=0)*$B18))*(A_MBLG-A_VERB/(A_LUO+(A_LUO=0)*$B18)))/A_MPG_E,0)*A_MPG_E+(A_IST&gt;ROUNDUP((A_VERB/(A_LUO+(A_LUO=0)*$B18)+(A_MBLG&gt;A_VERB/(A_LUO+(A_LUO=0)*$B18))*(A_MBLG-A_VERB/(A_LUO+(A_LUO=0)*$B18)))/A_MPG_E,0)*A_MPG_E)*(A_IST-ROUNDUP((A_VERB/(A_LUO+(A_LUO=0)*$B18)+(A_MBLG&gt;A_VERB/(A_LUO+(A_LUO=0)*$B18))*(A_MBLG-A_VERB/(A_LUO+(A_LUO=0)*$B18)))/A_MPG_E,0)*A_MPG_E)))/(A_KAPR+(A_KAPR=0))-1))+(A_FACH=0)*((1-A_LOSE)*(A_GPT&gt;0)*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GPT+(A_GPT=0))+A_LOSE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0)*A_LA*(1+(A_IST&gt;0)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&gt;A_IST)*((A_FINF*A_FINN+(1-A_FINF)*(ROUNDUP((A_VERB/(A_LUO+(A_LUO=0)*$B18)+(A_MBLG&gt;A_VERB/(A_LUO+(A_LUO=0)*$B18))*(A_MBLG-A_VERB/(A_LUO+(A_LUO=0)*$B18)))/A_MPG_E,0)+(A_ISTN&gt;ROUNDUP((A_VERB/(A_LUO+(A_LUO=0)*$B18)+(A_MBLG&gt;A_VERB/(A_LUO+(A_LUO=0)*$B18))*(A_MBLG-A_VERB/(A_LUO+(A_LUO=0)*$B18)))/A_MPG_E,0))*(A_ISTN-ROUNDUP((A_VERB/(A_LUO+(A_LUO=0)*$B18)+(A_MBLG&gt;A_VERB/(A_LUO+(A_LUO=0)*$B18))*(A_MBLG-A_VERB/(A_LUO+(A_LUO=0)*$B18)))/A_MPG_E,0))))/(A_IST+(A_IST=0))-1)))/MAX(0.1,N(Parameter!$M$21))))</f>
        <v>0</v>
      </c>
    </row>
    <row r="19" customFormat="false" ht="15" hidden="false" customHeight="false" outlineLevel="0" collapsed="false">
      <c r="A19" s="10" t="s">
        <v>7</v>
      </c>
      <c r="B19" s="38" t="n">
        <f aca="false">Parameter!$A$28</f>
        <v>4</v>
      </c>
      <c r="C19" s="27" t="n">
        <f aca="false">M19/Parameter!$H$5</f>
        <v>1.23886895675263</v>
      </c>
      <c r="D19" s="27" t="n">
        <f aca="false">N19/Parameter!$H$6</f>
        <v>1.63688994828701</v>
      </c>
      <c r="E19" s="27" t="n">
        <f aca="false">O19/Parameter!$H$7</f>
        <v>0.568866469664789</v>
      </c>
      <c r="F19" s="13" t="n">
        <f aca="false">(N19+O19)/(Parameter!$H$6+Parameter!$H$7)</f>
        <v>1.1028782089759</v>
      </c>
      <c r="G19" s="13" t="n">
        <f aca="false">(M19+N19+O19)/Parameter!$H$8</f>
        <v>1.14820845823481</v>
      </c>
      <c r="H19" s="39" t="str">
        <f aca="false">IF(Parameter!$E$27="Ja",IF(M19+N19+O19&lt;=Parameter!$H$8,"JA","NEIN"),IF(AND(M19&lt;=Parameter!$H$5,N19+O19&lt;=Parameter!$H$6+Parameter!$H$7),"JA","NEIN"))</f>
        <v>NEIN</v>
      </c>
      <c r="I19" s="11" t="n">
        <f aca="false">IF(Parameter!$E$27="Ja",MAX(0,M19+N19+O19-Parameter!$H$8),MAX(0,M19-Parameter!$H$5)+MAX(0,N19+O19-Parameter!$H$6-Parameter!$H$7))+P19</f>
        <v>5291.04195898263</v>
      </c>
      <c r="J19" s="11" t="n">
        <f aca="false">SUMPRODUCT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*A_PREIS)</f>
        <v>6562129.46584</v>
      </c>
      <c r="K19" s="40" t="n">
        <f aca="false">J19-$J$5</f>
        <v>3111083.25161</v>
      </c>
      <c r="L19" s="40" t="n">
        <f aca="false">(M19+N19+O19+P19)-($M$5+$N$5+$O$5+$P$5)</f>
        <v>8093.18298462366</v>
      </c>
      <c r="M19" s="11" t="n">
        <f aca="false">SUMPRODUCT((A_LIFT=1)*A_HPT*((A_FACH&gt;0)*A_FACH*(1+(A_KAPR&gt;0)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&gt;A_KAPR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/(A_KAPR+(A_KAPR=0))-1))+(A_FACH=0)*((1-A_LOSE)*(A_GPT&gt;0)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GPT+(A_GPT=0))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/MAX(0.1,N(Parameter!$M$21))))</f>
        <v>14742.5405853563</v>
      </c>
      <c r="N19" s="11" t="n">
        <f aca="false">SUMPRODUCT((A_LIFT=2)*A_HPT*((A_FACH&gt;0)*A_FACH*(1+(A_KAPR&gt;0)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&gt;A_KAPR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/(A_KAPR+(A_KAPR=0))-1))+(A_FACH=0)*((1-A_LOSE)*(A_GPT&gt;0)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GPT+(A_GPT=0))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/MAX(0.1,N(Parameter!$M$21))))</f>
        <v>19478.9903846154</v>
      </c>
      <c r="O19" s="11" t="n">
        <f aca="false">SUMPRODUCT((A_LIFT=3)*A_HPT*((A_FACH&gt;0)*A_FACH*(1+(A_KAPR&gt;0)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&gt;A_KAPR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/(A_KAPR+(A_KAPR=0))-1))+(A_FACH=0)*((1-A_LOSE)*(A_GPT&gt;0)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GPT+(A_GPT=0))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/MAX(0.1,N(Parameter!$M$21))))</f>
        <v>6769.51098901099</v>
      </c>
      <c r="P19" s="11" t="n">
        <f aca="false">SUMPRODUCT((A_LIFT="Aussen")*A_HPT*((A_FACH&gt;0)*A_FACH*(1+(A_KAPR&gt;0)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&gt;A_KAPR)*((A_FINF*A_FINV+(1-A_FINF)*(ROUNDUP((A_VERB/(A_LUO+(A_LUO=0)*$B19)+(A_MBLG&gt;A_VERB/(A_LUO+(A_LUO=0)*$B19))*(A_MBLG-A_VERB/(A_LUO+(A_LUO=0)*$B19)))/A_MPG_E,0)*A_MPG_E+(A_IST&gt;ROUNDUP((A_VERB/(A_LUO+(A_LUO=0)*$B19)+(A_MBLG&gt;A_VERB/(A_LUO+(A_LUO=0)*$B19))*(A_MBLG-A_VERB/(A_LUO+(A_LUO=0)*$B19)))/A_MPG_E,0)*A_MPG_E)*(A_IST-ROUNDUP((A_VERB/(A_LUO+(A_LUO=0)*$B19)+(A_MBLG&gt;A_VERB/(A_LUO+(A_LUO=0)*$B19))*(A_MBLG-A_VERB/(A_LUO+(A_LUO=0)*$B19)))/A_MPG_E,0)*A_MPG_E)))/(A_KAPR+(A_KAPR=0))-1))+(A_FACH=0)*((1-A_LOSE)*(A_GPT&gt;0)*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GPT+(A_GPT=0))+A_LOSE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0)*A_LA*(1+(A_IST&gt;0)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&gt;A_IST)*((A_FINF*A_FINN+(1-A_FINF)*(ROUNDUP((A_VERB/(A_LUO+(A_LUO=0)*$B19)+(A_MBLG&gt;A_VERB/(A_LUO+(A_LUO=0)*$B19))*(A_MBLG-A_VERB/(A_LUO+(A_LUO=0)*$B19)))/A_MPG_E,0)+(A_ISTN&gt;ROUNDUP((A_VERB/(A_LUO+(A_LUO=0)*$B19)+(A_MBLG&gt;A_VERB/(A_LUO+(A_LUO=0)*$B19))*(A_MBLG-A_VERB/(A_LUO+(A_LUO=0)*$B19)))/A_MPG_E,0))*(A_ISTN-ROUNDUP((A_VERB/(A_LUO+(A_LUO=0)*$B19)+(A_MBLG&gt;A_VERB/(A_LUO+(A_LUO=0)*$B19))*(A_MBLG-A_VERB/(A_LUO+(A_LUO=0)*$B19)))/A_MPG_E,0))))/(A_IST+(A_IST=0))-1)))/MAX(0.1,N(Parameter!$M$21))))</f>
        <v>0</v>
      </c>
    </row>
    <row r="20" customFormat="false" ht="15" hidden="false" customHeight="false" outlineLevel="0" collapsed="false">
      <c r="A20" s="10" t="s">
        <v>7</v>
      </c>
      <c r="B20" s="38" t="n">
        <f aca="false">Parameter!$A$29</f>
        <v>5</v>
      </c>
      <c r="C20" s="27" t="n">
        <f aca="false">M20/Parameter!$H$5</f>
        <v>1.22486790435427</v>
      </c>
      <c r="D20" s="27" t="n">
        <f aca="false">N20/Parameter!$H$6</f>
        <v>1.6055874272786</v>
      </c>
      <c r="E20" s="27" t="n">
        <f aca="false">O20/Parameter!$H$7</f>
        <v>0.566361621571706</v>
      </c>
      <c r="F20" s="13" t="n">
        <f aca="false">(N20+O20)/(Parameter!$H$6+Parameter!$H$7)</f>
        <v>1.08597452442515</v>
      </c>
      <c r="G20" s="13" t="n">
        <f aca="false">(M20+N20+O20)/Parameter!$H$8</f>
        <v>1.13227231773486</v>
      </c>
      <c r="H20" s="39" t="str">
        <f aca="false">IF(Parameter!$E$27="Ja",IF(M20+N20+O20&lt;=Parameter!$H$8,"JA","NEIN"),IF(AND(M20&lt;=Parameter!$H$5,N20+O20&lt;=Parameter!$H$6+Parameter!$H$7),"JA","NEIN"))</f>
        <v>NEIN</v>
      </c>
      <c r="I20" s="11" t="n">
        <f aca="false">IF(Parameter!$E$27="Ja",MAX(0,M20+N20+O20-Parameter!$H$8),MAX(0,M20-Parameter!$H$5)+MAX(0,N20+O20-Parameter!$H$6-Parameter!$H$7))+P20</f>
        <v>4722.12174313446</v>
      </c>
      <c r="J20" s="11" t="n">
        <f aca="false">SUMPRODUCT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*A_PREIS)</f>
        <v>6326471.07584</v>
      </c>
      <c r="K20" s="40" t="n">
        <f aca="false">J20-$J$5</f>
        <v>2875424.86161</v>
      </c>
      <c r="L20" s="40" t="n">
        <f aca="false">(M20+N20+O20+P20)-($M$5+$N$5+$O$5+$P$5)</f>
        <v>7524.26276877548</v>
      </c>
      <c r="M20" s="11" t="n">
        <f aca="false">SUMPRODUCT((A_LIFT=1)*A_HPT*((A_FACH&gt;0)*A_FACH*(1+(A_KAPR&gt;0)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&gt;A_KAPR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/(A_KAPR+(A_KAPR=0))-1))+(A_FACH=0)*((1-A_LOSE)*(A_GPT&gt;0)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GPT+(A_GPT=0))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/MAX(0.1,N(Parameter!$M$21))))</f>
        <v>14575.9280618158</v>
      </c>
      <c r="N20" s="11" t="n">
        <f aca="false">SUMPRODUCT((A_LIFT=2)*A_HPT*((A_FACH&gt;0)*A_FACH*(1+(A_KAPR&gt;0)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&gt;A_KAPR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/(A_KAPR+(A_KAPR=0))-1))+(A_FACH=0)*((1-A_LOSE)*(A_GPT&gt;0)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GPT+(A_GPT=0))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/MAX(0.1,N(Parameter!$M$21))))</f>
        <v>19106.4903846154</v>
      </c>
      <c r="O20" s="11" t="n">
        <f aca="false">SUMPRODUCT((A_LIFT=3)*A_HPT*((A_FACH&gt;0)*A_FACH*(1+(A_KAPR&gt;0)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&gt;A_KAPR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/(A_KAPR+(A_KAPR=0))-1))+(A_FACH=0)*((1-A_LOSE)*(A_GPT&gt;0)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GPT+(A_GPT=0))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/MAX(0.1,N(Parameter!$M$21))))</f>
        <v>6739.7032967033</v>
      </c>
      <c r="P20" s="11" t="n">
        <f aca="false">SUMPRODUCT((A_LIFT="Aussen")*A_HPT*((A_FACH&gt;0)*A_FACH*(1+(A_KAPR&gt;0)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&gt;A_KAPR)*((A_FINF*A_FINV+(1-A_FINF)*(ROUNDUP((A_VERB/(A_LUO+(A_LUO=0)*$B20)+(A_MBLG&gt;A_VERB/(A_LUO+(A_LUO=0)*$B20))*(A_MBLG-A_VERB/(A_LUO+(A_LUO=0)*$B20)))/A_MPG_E,0)*A_MPG_E+(A_IST&gt;ROUNDUP((A_VERB/(A_LUO+(A_LUO=0)*$B20)+(A_MBLG&gt;A_VERB/(A_LUO+(A_LUO=0)*$B20))*(A_MBLG-A_VERB/(A_LUO+(A_LUO=0)*$B20)))/A_MPG_E,0)*A_MPG_E)*(A_IST-ROUNDUP((A_VERB/(A_LUO+(A_LUO=0)*$B20)+(A_MBLG&gt;A_VERB/(A_LUO+(A_LUO=0)*$B20))*(A_MBLG-A_VERB/(A_LUO+(A_LUO=0)*$B20)))/A_MPG_E,0)*A_MPG_E)))/(A_KAPR+(A_KAPR=0))-1))+(A_FACH=0)*((1-A_LOSE)*(A_GPT&gt;0)*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GPT+(A_GPT=0))+A_LOSE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0)*A_LA*(1+(A_IST&gt;0)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&gt;A_IST)*((A_FINF*A_FINN+(1-A_FINF)*(ROUNDUP((A_VERB/(A_LUO+(A_LUO=0)*$B20)+(A_MBLG&gt;A_VERB/(A_LUO+(A_LUO=0)*$B20))*(A_MBLG-A_VERB/(A_LUO+(A_LUO=0)*$B20)))/A_MPG_E,0)+(A_ISTN&gt;ROUNDUP((A_VERB/(A_LUO+(A_LUO=0)*$B20)+(A_MBLG&gt;A_VERB/(A_LUO+(A_LUO=0)*$B20))*(A_MBLG-A_VERB/(A_LUO+(A_LUO=0)*$B20)))/A_MPG_E,0))*(A_ISTN-ROUNDUP((A_VERB/(A_LUO+(A_LUO=0)*$B20)+(A_MBLG&gt;A_VERB/(A_LUO+(A_LUO=0)*$B20))*(A_MBLG-A_VERB/(A_LUO+(A_LUO=0)*$B20)))/A_MPG_E,0))))/(A_IST+(A_IST=0))-1)))/MAX(0.1,N(Parameter!$M$21))))</f>
        <v>0</v>
      </c>
    </row>
    <row r="21" customFormat="false" ht="15" hidden="false" customHeight="false" outlineLevel="0" collapsed="false">
      <c r="A21" s="10" t="s">
        <v>7</v>
      </c>
      <c r="B21" s="38" t="n">
        <f aca="false">Parameter!$A$30</f>
        <v>6</v>
      </c>
      <c r="C21" s="27" t="n">
        <f aca="false">M21/Parameter!$H$5</f>
        <v>1.2190502383048</v>
      </c>
      <c r="D21" s="27" t="n">
        <f aca="false">N21/Parameter!$H$6</f>
        <v>1.58811543848309</v>
      </c>
      <c r="E21" s="27" t="n">
        <f aca="false">O21/Parameter!$H$7</f>
        <v>0.564858712715856</v>
      </c>
      <c r="F21" s="13" t="n">
        <f aca="false">(N21+O21)/(Parameter!$H$6+Parameter!$H$7)</f>
        <v>1.07648707559947</v>
      </c>
      <c r="G21" s="13" t="n">
        <f aca="false">(M21+N21+O21)/Parameter!$H$8</f>
        <v>1.12400812983458</v>
      </c>
      <c r="H21" s="39" t="str">
        <f aca="false">IF(Parameter!$E$27="Ja",IF(M21+N21+O21&lt;=Parameter!$H$8,"JA","NEIN"),IF(AND(M21&lt;=Parameter!$H$5,N21+O21&lt;=Parameter!$H$6+Parameter!$H$7),"JA","NEIN"))</f>
        <v>NEIN</v>
      </c>
      <c r="I21" s="11" t="n">
        <f aca="false">IF(Parameter!$E$27="Ja",MAX(0,M21+N21+O21-Parameter!$H$8),MAX(0,M21-Parameter!$H$5)+MAX(0,N21+O21-Parameter!$H$6-Parameter!$H$7))+P21</f>
        <v>4427.09023509447</v>
      </c>
      <c r="J21" s="11" t="n">
        <f aca="false">SUMPRODUCT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*A_PREIS)</f>
        <v>6270502.50584</v>
      </c>
      <c r="K21" s="40" t="n">
        <f aca="false">J21-$J$5</f>
        <v>2819456.29161</v>
      </c>
      <c r="L21" s="40" t="n">
        <f aca="false">(M21+N21+O21+P21)-($M$5+$N$5+$O$5+$P$5)</f>
        <v>7229.2312607355</v>
      </c>
      <c r="M21" s="11" t="n">
        <f aca="false">SUMPRODUCT((A_LIFT=1)*A_HPT*((A_FACH&gt;0)*A_FACH*(1+(A_KAPR&gt;0)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&gt;A_KAPR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/(A_KAPR+(A_KAPR=0))-1))+(A_FACH=0)*((1-A_LOSE)*(A_GPT&gt;0)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GPT+(A_GPT=0))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/MAX(0.1,N(Parameter!$M$21))))</f>
        <v>14506.6978358271</v>
      </c>
      <c r="N21" s="11" t="n">
        <f aca="false">SUMPRODUCT((A_LIFT=2)*A_HPT*((A_FACH&gt;0)*A_FACH*(1+(A_KAPR&gt;0)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&gt;A_KAPR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/(A_KAPR+(A_KAPR=0))-1))+(A_FACH=0)*((1-A_LOSE)*(A_GPT&gt;0)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GPT+(A_GPT=0))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/MAX(0.1,N(Parameter!$M$21))))</f>
        <v>18898.5737179487</v>
      </c>
      <c r="O21" s="11" t="n">
        <f aca="false">SUMPRODUCT((A_LIFT=3)*A_HPT*((A_FACH&gt;0)*A_FACH*(1+(A_KAPR&gt;0)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&gt;A_KAPR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/(A_KAPR+(A_KAPR=0))-1))+(A_FACH=0)*((1-A_LOSE)*(A_GPT&gt;0)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GPT+(A_GPT=0))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/MAX(0.1,N(Parameter!$M$21))))</f>
        <v>6721.81868131868</v>
      </c>
      <c r="P21" s="11" t="n">
        <f aca="false">SUMPRODUCT((A_LIFT="Aussen")*A_HPT*((A_FACH&gt;0)*A_FACH*(1+(A_KAPR&gt;0)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&gt;A_KAPR)*((A_FINF*A_FINV+(1-A_FINF)*(ROUNDUP((A_VERB/(A_LUO+(A_LUO=0)*$B21)+(A_MBLG&gt;A_VERB/(A_LUO+(A_LUO=0)*$B21))*(A_MBLG-A_VERB/(A_LUO+(A_LUO=0)*$B21)))/A_MPG_E,0)*A_MPG_E+(A_IST&gt;ROUNDUP((A_VERB/(A_LUO+(A_LUO=0)*$B21)+(A_MBLG&gt;A_VERB/(A_LUO+(A_LUO=0)*$B21))*(A_MBLG-A_VERB/(A_LUO+(A_LUO=0)*$B21)))/A_MPG_E,0)*A_MPG_E)*(A_IST-ROUNDUP((A_VERB/(A_LUO+(A_LUO=0)*$B21)+(A_MBLG&gt;A_VERB/(A_LUO+(A_LUO=0)*$B21))*(A_MBLG-A_VERB/(A_LUO+(A_LUO=0)*$B21)))/A_MPG_E,0)*A_MPG_E)))/(A_KAPR+(A_KAPR=0))-1))+(A_FACH=0)*((1-A_LOSE)*(A_GPT&gt;0)*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GPT+(A_GPT=0))+A_LOSE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0)*A_LA*(1+(A_IST&gt;0)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&gt;A_IST)*((A_FINF*A_FINN+(1-A_FINF)*(ROUNDUP((A_VERB/(A_LUO+(A_LUO=0)*$B21)+(A_MBLG&gt;A_VERB/(A_LUO+(A_LUO=0)*$B21))*(A_MBLG-A_VERB/(A_LUO+(A_LUO=0)*$B21)))/A_MPG_E,0)+(A_ISTN&gt;ROUNDUP((A_VERB/(A_LUO+(A_LUO=0)*$B21)+(A_MBLG&gt;A_VERB/(A_LUO+(A_LUO=0)*$B21))*(A_MBLG-A_VERB/(A_LUO+(A_LUO=0)*$B21)))/A_MPG_E,0))*(A_ISTN-ROUNDUP((A_VERB/(A_LUO+(A_LUO=0)*$B21)+(A_MBLG&gt;A_VERB/(A_LUO+(A_LUO=0)*$B21))*(A_MBLG-A_VERB/(A_LUO+(A_LUO=0)*$B21)))/A_MPG_E,0))))/(A_IST+(A_IST=0))-1)))/MAX(0.1,N(Parameter!$M$21))))</f>
        <v>0</v>
      </c>
    </row>
    <row r="23" customFormat="false" ht="15" hidden="false" customHeight="false" outlineLevel="0" collapsed="false">
      <c r="A23" s="41" t="s">
        <v>65</v>
      </c>
    </row>
    <row r="24" customFormat="false" ht="15" hidden="false" customHeight="false" outlineLevel="0" collapsed="false">
      <c r="A24" s="21" t="s">
        <v>66</v>
      </c>
      <c r="E24" s="42" t="str">
        <f aca="false">IFERROR("ab LU "&amp;INDEX(B6:B13,MATCH("JA",H6:H13,0)),"bei keinem LU der Liste")</f>
        <v>bei keinem LU der Liste</v>
      </c>
    </row>
    <row r="25" customFormat="false" ht="15" hidden="false" customHeight="false" outlineLevel="0" collapsed="false">
      <c r="A25" s="21" t="s">
        <v>67</v>
      </c>
      <c r="E25" s="42" t="str">
        <f aca="false">IFERROR("ab LU "&amp;INDEX(B14:B21,MATCH("JA",H14:H21,0)),"bei keinem LU der Liste")</f>
        <v>bei keinem LU der Liste</v>
      </c>
    </row>
    <row r="26" customFormat="false" ht="15" hidden="false" customHeight="false" outlineLevel="0" collapsed="false">
      <c r="A26" s="8" t="s">
        <v>68</v>
      </c>
    </row>
    <row r="28" customFormat="false" ht="15" hidden="false" customHeight="false" outlineLevel="0" collapsed="false">
      <c r="A28" s="5" t="s">
        <v>69</v>
      </c>
    </row>
    <row r="29" customFormat="false" ht="15" hidden="false" customHeight="false" outlineLevel="0" collapsed="false">
      <c r="A29" s="5" t="s">
        <v>8</v>
      </c>
      <c r="B29" s="5" t="s">
        <v>70</v>
      </c>
      <c r="C29" s="5" t="s">
        <v>71</v>
      </c>
      <c r="D29" s="5" t="s">
        <v>41</v>
      </c>
      <c r="E29" s="5" t="s">
        <v>72</v>
      </c>
    </row>
    <row r="30" customFormat="false" ht="15" hidden="false" customHeight="false" outlineLevel="0" collapsed="false">
      <c r="A30" s="43" t="n">
        <f aca="false">B6</f>
        <v>1</v>
      </c>
      <c r="B30" s="28" t="n">
        <f aca="false">G6</f>
        <v>1.61457248110022</v>
      </c>
      <c r="C30" s="28" t="n">
        <f aca="false">G14</f>
        <v>1.70887315008576</v>
      </c>
      <c r="D30" s="28" t="n">
        <v>1</v>
      </c>
      <c r="E30" s="28" t="n">
        <f aca="false">$G$5</f>
        <v>0.921508654743949</v>
      </c>
    </row>
    <row r="31" customFormat="false" ht="15" hidden="false" customHeight="false" outlineLevel="0" collapsed="false">
      <c r="A31" s="43" t="n">
        <f aca="false">B7</f>
        <v>1.5</v>
      </c>
      <c r="B31" s="28" t="n">
        <f aca="false">G7</f>
        <v>1.31476383570957</v>
      </c>
      <c r="C31" s="28" t="n">
        <f aca="false">G15</f>
        <v>1.41397768791712</v>
      </c>
      <c r="D31" s="28" t="n">
        <v>1</v>
      </c>
      <c r="E31" s="28" t="n">
        <f aca="false">$G$5</f>
        <v>0.921508654743949</v>
      </c>
    </row>
    <row r="32" customFormat="false" ht="15" hidden="false" customHeight="false" outlineLevel="0" collapsed="false">
      <c r="A32" s="43" t="n">
        <f aca="false">B8</f>
        <v>2</v>
      </c>
      <c r="B32" s="28" t="n">
        <f aca="false">G8</f>
        <v>1.17448500753336</v>
      </c>
      <c r="C32" s="28" t="n">
        <f aca="false">G16</f>
        <v>1.2768375511149</v>
      </c>
      <c r="D32" s="28" t="n">
        <v>1</v>
      </c>
      <c r="E32" s="28" t="n">
        <f aca="false">$G$5</f>
        <v>0.921508654743949</v>
      </c>
    </row>
    <row r="33" customFormat="false" ht="15" hidden="false" customHeight="false" outlineLevel="0" collapsed="false">
      <c r="A33" s="43" t="n">
        <f aca="false">B9</f>
        <v>2.5</v>
      </c>
      <c r="B33" s="28" t="n">
        <f aca="false">G9</f>
        <v>1.1170418354217</v>
      </c>
      <c r="C33" s="28" t="n">
        <f aca="false">G17</f>
        <v>1.22256898217783</v>
      </c>
      <c r="D33" s="28" t="n">
        <v>1</v>
      </c>
      <c r="E33" s="28" t="n">
        <f aca="false">$G$5</f>
        <v>0.921508654743949</v>
      </c>
    </row>
    <row r="34" customFormat="false" ht="15" hidden="false" customHeight="false" outlineLevel="0" collapsed="false">
      <c r="A34" s="43" t="n">
        <f aca="false">B10</f>
        <v>3</v>
      </c>
      <c r="B34" s="28" t="n">
        <f aca="false">G10</f>
        <v>1.07686270604142</v>
      </c>
      <c r="C34" s="28" t="n">
        <f aca="false">G18</f>
        <v>1.1837006335201</v>
      </c>
      <c r="D34" s="28" t="n">
        <v>1</v>
      </c>
      <c r="E34" s="28" t="n">
        <f aca="false">$G$5</f>
        <v>0.921508654743949</v>
      </c>
    </row>
    <row r="35" customFormat="false" ht="15" hidden="false" customHeight="false" outlineLevel="0" collapsed="false">
      <c r="A35" s="43" t="n">
        <f aca="false">B11</f>
        <v>4</v>
      </c>
      <c r="B35" s="28" t="n">
        <f aca="false">G11</f>
        <v>1.03891236800384</v>
      </c>
      <c r="C35" s="28" t="n">
        <f aca="false">G19</f>
        <v>1.14820845823481</v>
      </c>
      <c r="D35" s="28" t="n">
        <v>1</v>
      </c>
      <c r="E35" s="28" t="n">
        <f aca="false">$G$5</f>
        <v>0.921508654743949</v>
      </c>
    </row>
    <row r="36" customFormat="false" ht="15" hidden="false" customHeight="false" outlineLevel="0" collapsed="false">
      <c r="A36" s="43" t="n">
        <f aca="false">B12</f>
        <v>5</v>
      </c>
      <c r="B36" s="28" t="n">
        <f aca="false">G12</f>
        <v>1.02189887348536</v>
      </c>
      <c r="C36" s="28" t="n">
        <f aca="false">G20</f>
        <v>1.13227231773486</v>
      </c>
      <c r="D36" s="28" t="n">
        <v>1</v>
      </c>
      <c r="E36" s="28" t="n">
        <f aca="false">$G$5</f>
        <v>0.921508654743949</v>
      </c>
    </row>
    <row r="37" customFormat="false" ht="15" hidden="false" customHeight="false" outlineLevel="0" collapsed="false">
      <c r="A37" s="43" t="n">
        <f aca="false">B13</f>
        <v>6</v>
      </c>
      <c r="B37" s="28" t="n">
        <f aca="false">G13</f>
        <v>1.01363468558508</v>
      </c>
      <c r="C37" s="28" t="n">
        <f aca="false">G21</f>
        <v>1.12400812983458</v>
      </c>
      <c r="D37" s="28" t="n">
        <v>1</v>
      </c>
      <c r="E37" s="28" t="n">
        <f aca="false">$G$5</f>
        <v>0.921508654743949</v>
      </c>
    </row>
  </sheetData>
  <conditionalFormatting sqref="C5:G21">
    <cfRule type="cellIs" priority="2" operator="greaterThan" aboveAverage="0" equalAverage="0" bottom="0" percent="0" rank="0" text="" dxfId="1">
      <formula>Parameter!$B$12</formula>
    </cfRule>
    <cfRule type="cellIs" priority="3" operator="greaterThanOrEqual" aboveAverage="0" equalAverage="0" bottom="0" percent="0" rank="0" text="" dxfId="2">
      <formula>Parameter!$B$11</formula>
    </cfRule>
    <cfRule type="cellIs" priority="4" operator="lessThan" aboveAverage="0" equalAverage="0" bottom="0" percent="0" rank="0" text="" dxfId="3">
      <formula>Parameter!$B$11</formula>
    </cfRule>
  </conditionalFormatting>
  <conditionalFormatting sqref="H5:H21">
    <cfRule type="cellIs" priority="5" operator="equal" aboveAverage="0" equalAverage="0" bottom="0" percent="0" rank="0" text="" dxfId="3">
      <formula>"JA"</formula>
    </cfRule>
    <cfRule type="cellIs" priority="6" operator="equal" aboveAverage="0" equalAverage="0" bottom="0" percent="0" rank="0" text="" dxfId="1">
      <formula>"NEIN"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L18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5390625" defaultRowHeight="15" zeroHeight="false" outlineLevelRow="0" outlineLevelCol="2"/>
  <cols>
    <col collapsed="false" customWidth="true" hidden="false" outlineLevel="0" max="1" min="1" style="0" width="12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5"/>
    <col collapsed="false" customWidth="true" hidden="false" outlineLevel="0" max="8" min="7" style="0" width="9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9"/>
    <col collapsed="false" customWidth="true" hidden="false" outlineLevel="0" max="12" min="12" style="0" width="7"/>
    <col collapsed="false" customWidth="true" hidden="false" outlineLevel="0" max="14" min="13" style="0" width="9"/>
    <col collapsed="false" customWidth="true" hidden="false" outlineLevel="0" max="15" min="15" style="0" width="7"/>
    <col collapsed="false" customWidth="true" hidden="false" outlineLevel="0" max="16" min="16" style="0" width="9"/>
    <col collapsed="false" customWidth="true" hidden="false" outlineLevel="0" max="18" min="17" style="0" width="8"/>
    <col collapsed="false" customWidth="true" hidden="false" outlineLevel="0" max="19" min="19" style="0" width="10"/>
    <col collapsed="false" customWidth="true" hidden="false" outlineLevel="0" max="20" min="20" style="0" width="8"/>
    <col collapsed="false" customWidth="true" hidden="false" outlineLevel="0" max="22" min="21" style="0" width="9"/>
    <col collapsed="false" customWidth="true" hidden="false" outlineLevel="0" max="23" min="23" style="0" width="7"/>
    <col collapsed="false" customWidth="true" hidden="false" outlineLevel="0" max="25" min="24" style="0" width="8"/>
    <col collapsed="false" customWidth="true" hidden="false" outlineLevel="0" max="28" min="26" style="0" width="7"/>
    <col collapsed="false" customWidth="true" hidden="false" outlineLevel="0" max="30" min="29" style="0" width="10"/>
    <col collapsed="false" customWidth="true" hidden="false" outlineLevel="0" max="31" min="31" style="0" width="9"/>
    <col collapsed="false" customWidth="true" hidden="false" outlineLevel="1" max="36" min="32" style="0" width="9"/>
    <col collapsed="false" customWidth="true" hidden="true" outlineLevel="2" max="40" min="37" style="0" width="8"/>
    <col collapsed="false" customWidth="true" hidden="false" outlineLevel="1" max="45" min="41" style="0" width="9"/>
    <col collapsed="false" customWidth="true" hidden="true" outlineLevel="2" max="49" min="46" style="0" width="8"/>
    <col collapsed="false" customWidth="true" hidden="false" outlineLevel="1" max="54" min="50" style="0" width="9"/>
    <col collapsed="false" customWidth="true" hidden="true" outlineLevel="2" max="58" min="55" style="0" width="8"/>
    <col collapsed="false" customWidth="true" hidden="false" outlineLevel="0" max="61" min="59" style="0" width="11"/>
    <col collapsed="false" customWidth="true" hidden="false" outlineLevel="0" max="62" min="62" style="0" width="45"/>
    <col collapsed="false" customWidth="true" hidden="false" outlineLevel="0" max="65" min="63" style="0" width="30"/>
    <col collapsed="false" customWidth="true" hidden="true" outlineLevel="1" max="90" min="66" style="0" width="9"/>
  </cols>
  <sheetData>
    <row r="1" customFormat="false" ht="17.35" hidden="false" customHeight="false" outlineLevel="0" collapsed="false">
      <c r="A1" s="29" t="s">
        <v>73</v>
      </c>
    </row>
    <row r="2" customFormat="false" ht="15" hidden="false" customHeight="false" outlineLevel="0" collapsed="false">
      <c r="A2" s="30" t="s">
        <v>74</v>
      </c>
    </row>
    <row r="3" customFormat="false" ht="15" hidden="false" customHeight="false" outlineLevel="0" collapsed="false">
      <c r="A3" s="3" t="s">
        <v>75</v>
      </c>
    </row>
    <row r="5" customFormat="false" ht="15" hidden="false" customHeight="false" outlineLevel="0" collapsed="false">
      <c r="AF5" s="44" t="str">
        <f aca="false">"Ansicht 1: "&amp;Cockpit!$C$5&amp;IF(LEFT(Cockpit!$C$5,1)="A",""," / LU "&amp;Cockpit!$C$6)</f>
        <v>Ansicht 1: A – Ist-Bestand</v>
      </c>
      <c r="AO5" s="44" t="str">
        <f aca="false">"Ansicht 2: "&amp;Cockpit!$I$5&amp;IF(LEFT(Cockpit!$I$5,1)="A",""," / LU "&amp;Cockpit!$I$6)</f>
        <v>Ansicht 2: C – Ziel-LU oder Ist / LU 2</v>
      </c>
      <c r="AX5" s="44" t="str">
        <f aca="false">"Ansicht 3: "&amp;Cockpit!$O$5&amp;IF(LEFT(Cockpit!$O$5,1)="A",""," / LU "&amp;Cockpit!$O$6)</f>
        <v>Ansicht 3: C – Ziel-LU oder Ist / LU 3</v>
      </c>
      <c r="BN5" s="45" t="s">
        <v>76</v>
      </c>
    </row>
    <row r="6" customFormat="false" ht="54" hidden="false" customHeight="true" outlineLevel="0" collapsed="false">
      <c r="A6" s="46" t="s">
        <v>77</v>
      </c>
      <c r="B6" s="46" t="s">
        <v>78</v>
      </c>
      <c r="C6" s="46" t="s">
        <v>79</v>
      </c>
      <c r="D6" s="46" t="s">
        <v>80</v>
      </c>
      <c r="E6" s="46" t="s">
        <v>81</v>
      </c>
      <c r="F6" s="46" t="s">
        <v>82</v>
      </c>
      <c r="G6" s="46" t="s">
        <v>83</v>
      </c>
      <c r="H6" s="46" t="s">
        <v>62</v>
      </c>
      <c r="I6" s="46" t="s">
        <v>84</v>
      </c>
      <c r="J6" s="46" t="s">
        <v>85</v>
      </c>
      <c r="K6" s="46" t="s">
        <v>86</v>
      </c>
      <c r="L6" s="46" t="s">
        <v>87</v>
      </c>
      <c r="M6" s="46" t="s">
        <v>88</v>
      </c>
      <c r="N6" s="46" t="s">
        <v>89</v>
      </c>
      <c r="O6" s="46" t="s">
        <v>90</v>
      </c>
      <c r="P6" s="46" t="s">
        <v>91</v>
      </c>
      <c r="Q6" s="46" t="s">
        <v>92</v>
      </c>
      <c r="R6" s="46" t="s">
        <v>93</v>
      </c>
      <c r="S6" s="47" t="s">
        <v>94</v>
      </c>
      <c r="T6" s="47" t="s">
        <v>95</v>
      </c>
      <c r="U6" s="47" t="s">
        <v>96</v>
      </c>
      <c r="V6" s="47" t="s">
        <v>97</v>
      </c>
      <c r="W6" s="46" t="s">
        <v>98</v>
      </c>
      <c r="X6" s="46" t="s">
        <v>99</v>
      </c>
      <c r="Y6" s="46" t="s">
        <v>100</v>
      </c>
      <c r="Z6" s="46" t="s">
        <v>101</v>
      </c>
      <c r="AA6" s="47" t="s">
        <v>102</v>
      </c>
      <c r="AB6" s="47" t="s">
        <v>103</v>
      </c>
      <c r="AC6" s="46" t="s">
        <v>104</v>
      </c>
      <c r="AD6" s="46" t="s">
        <v>105</v>
      </c>
      <c r="AE6" s="47" t="s">
        <v>106</v>
      </c>
      <c r="AF6" s="46" t="s">
        <v>107</v>
      </c>
      <c r="AG6" s="46" t="s">
        <v>108</v>
      </c>
      <c r="AH6" s="46" t="s">
        <v>109</v>
      </c>
      <c r="AI6" s="46" t="s">
        <v>110</v>
      </c>
      <c r="AJ6" s="46" t="s">
        <v>111</v>
      </c>
      <c r="AK6" s="46" t="s">
        <v>112</v>
      </c>
      <c r="AL6" s="46" t="s">
        <v>113</v>
      </c>
      <c r="AM6" s="46" t="s">
        <v>114</v>
      </c>
      <c r="AN6" s="46" t="s">
        <v>115</v>
      </c>
      <c r="AO6" s="46" t="s">
        <v>116</v>
      </c>
      <c r="AP6" s="46" t="s">
        <v>117</v>
      </c>
      <c r="AQ6" s="46" t="s">
        <v>118</v>
      </c>
      <c r="AR6" s="46" t="s">
        <v>119</v>
      </c>
      <c r="AS6" s="46" t="s">
        <v>120</v>
      </c>
      <c r="AT6" s="46" t="s">
        <v>121</v>
      </c>
      <c r="AU6" s="46" t="s">
        <v>122</v>
      </c>
      <c r="AV6" s="46" t="s">
        <v>123</v>
      </c>
      <c r="AW6" s="46" t="s">
        <v>124</v>
      </c>
      <c r="AX6" s="46" t="s">
        <v>125</v>
      </c>
      <c r="AY6" s="46" t="s">
        <v>126</v>
      </c>
      <c r="AZ6" s="46" t="s">
        <v>127</v>
      </c>
      <c r="BA6" s="46" t="s">
        <v>128</v>
      </c>
      <c r="BB6" s="46" t="s">
        <v>129</v>
      </c>
      <c r="BC6" s="46" t="s">
        <v>130</v>
      </c>
      <c r="BD6" s="46" t="s">
        <v>131</v>
      </c>
      <c r="BE6" s="46" t="s">
        <v>132</v>
      </c>
      <c r="BF6" s="46" t="s">
        <v>133</v>
      </c>
      <c r="BG6" s="46" t="s">
        <v>134</v>
      </c>
      <c r="BH6" s="46" t="s">
        <v>135</v>
      </c>
      <c r="BI6" s="46" t="s">
        <v>136</v>
      </c>
      <c r="BJ6" s="46" t="s">
        <v>137</v>
      </c>
      <c r="BK6" s="46" t="s">
        <v>138</v>
      </c>
      <c r="BL6" s="46" t="s">
        <v>139</v>
      </c>
      <c r="BM6" s="47" t="s">
        <v>140</v>
      </c>
      <c r="BN6" s="46" t="s">
        <v>141</v>
      </c>
      <c r="BO6" s="46" t="s">
        <v>142</v>
      </c>
      <c r="BP6" s="46" t="s">
        <v>143</v>
      </c>
      <c r="BQ6" s="46" t="s">
        <v>144</v>
      </c>
      <c r="BR6" s="46" t="s">
        <v>145</v>
      </c>
      <c r="BS6" s="46" t="s">
        <v>146</v>
      </c>
      <c r="BT6" s="46" t="s">
        <v>147</v>
      </c>
      <c r="BU6" s="46" t="s">
        <v>148</v>
      </c>
      <c r="BV6" s="46" t="s">
        <v>149</v>
      </c>
      <c r="BW6" s="46" t="s">
        <v>150</v>
      </c>
      <c r="BX6" s="46" t="s">
        <v>151</v>
      </c>
      <c r="BY6" s="46" t="s">
        <v>152</v>
      </c>
      <c r="BZ6" s="46" t="s">
        <v>153</v>
      </c>
      <c r="CA6" s="46" t="s">
        <v>154</v>
      </c>
      <c r="CB6" s="46" t="s">
        <v>155</v>
      </c>
      <c r="CC6" s="46" t="s">
        <v>156</v>
      </c>
      <c r="CD6" s="46" t="s">
        <v>157</v>
      </c>
      <c r="CE6" s="46" t="s">
        <v>158</v>
      </c>
      <c r="CF6" s="46" t="s">
        <v>159</v>
      </c>
      <c r="CG6" s="46" t="s">
        <v>160</v>
      </c>
      <c r="CH6" s="46" t="s">
        <v>161</v>
      </c>
      <c r="CI6" s="46" t="s">
        <v>162</v>
      </c>
      <c r="CJ6" s="46" t="s">
        <v>163</v>
      </c>
      <c r="CK6" s="46" t="s">
        <v>164</v>
      </c>
      <c r="CL6" s="46" t="s">
        <v>165</v>
      </c>
    </row>
    <row r="7" customFormat="false" ht="15" hidden="false" customHeight="false" outlineLevel="0" collapsed="false">
      <c r="A7" s="48" t="s">
        <v>166</v>
      </c>
      <c r="B7" s="48" t="s">
        <v>167</v>
      </c>
      <c r="C7" s="48" t="s">
        <v>168</v>
      </c>
      <c r="D7" s="48" t="s">
        <v>169</v>
      </c>
      <c r="E7" s="48" t="s">
        <v>170</v>
      </c>
      <c r="F7" s="48" t="s">
        <v>171</v>
      </c>
      <c r="G7" s="49" t="n">
        <v>3724.72</v>
      </c>
      <c r="H7" s="50" t="n">
        <f aca="false">MAX(0,IF(AND(Parameter!$B$21="Ja",ISNUMBER(Y7)),Y7,IF(Parameter!$B$20="Jahresanfang 2025 + Export",BO7+BN7,BN7)))</f>
        <v>18</v>
      </c>
      <c r="I7" s="50" t="n">
        <f aca="false">H7*G7</f>
        <v>67044.96</v>
      </c>
      <c r="J7" s="50" t="n">
        <f aca="false">BQ7*Parameter!$B$18</f>
        <v>7</v>
      </c>
      <c r="K7" s="51" t="n">
        <v>12.5</v>
      </c>
      <c r="L7" s="52" t="n">
        <v>0.56</v>
      </c>
      <c r="M7" s="50" t="n">
        <v>2</v>
      </c>
      <c r="N7" s="50" t="n">
        <v>5</v>
      </c>
      <c r="O7" s="53" t="n">
        <v>28</v>
      </c>
      <c r="P7" s="48" t="s">
        <v>172</v>
      </c>
      <c r="Q7" s="50"/>
      <c r="R7" s="53" t="n">
        <f aca="false">IF(BW7=1,0,IFERROR(VLOOKUP(BU7,'Gebinde-Kategorie'!$A$5:$N$45,13,0)+0,0))</f>
        <v>0</v>
      </c>
      <c r="S7" s="54"/>
      <c r="T7" s="55"/>
      <c r="U7" s="55"/>
      <c r="V7" s="55"/>
      <c r="W7" s="48" t="n">
        <v>1</v>
      </c>
      <c r="X7" s="50" t="n">
        <v>22</v>
      </c>
      <c r="Y7" s="50" t="n">
        <v>18</v>
      </c>
      <c r="Z7" s="48" t="n">
        <f aca="false">IF(A7="","",IF(AND(Parameter!$B$21="Ja",ISNUMBER(W7)),W7,IF(BZ7="2+3",IF(ISNUMBER(SEARCH("grosser Artikel",BR7)),2,IFERROR(VLOOKUP(BU7,Parameter!$F$35:$G$64,2,0),2)),IF(OR(BZ7="Nein",BZ7=""),"-",BZ7))))</f>
        <v>1</v>
      </c>
      <c r="AA7" s="55"/>
      <c r="AB7" s="56"/>
      <c r="AC7" s="50" t="n">
        <f aca="false">AT7</f>
        <v>7</v>
      </c>
      <c r="AD7" s="50" t="n">
        <f aca="false">MAX(AT7,H7)</f>
        <v>18</v>
      </c>
      <c r="AE7" s="57"/>
      <c r="AF7" s="50" t="n">
        <f aca="false">IF(LEFT(Cockpit!$C$5,1)="A",H7,IF(CE7=1,CF7,IF(LEFT(Cockpit!$C$5,1)="B",AK7,MAX(AK7,H7))))</f>
        <v>18</v>
      </c>
      <c r="AG7" s="50" t="n">
        <f aca="false">IF(BW7=1,0,ROUNDUP(AF7/BV7,0))</f>
        <v>0</v>
      </c>
      <c r="AH7" s="52" t="n">
        <f aca="false">IF(CL7&gt;0,CL7*MAX(1,AF7/X7),IF(BW7=1,IF(AF7&lt;=0,0,CA7*MAX(1,IF(H7&gt;0,AF7/H7,1))),IF(R7&gt;0,AG7/R7,0))/MAX(0.1,N(Parameter!$M$21)))</f>
        <v>1.7608286252354</v>
      </c>
      <c r="AI7" s="50" t="n">
        <f aca="false">AH7*BY7</f>
        <v>419.077212806026</v>
      </c>
      <c r="AJ7" s="50" t="n">
        <f aca="false">AF7*G7</f>
        <v>67044.96</v>
      </c>
      <c r="AK7" s="50" t="n">
        <f aca="false">ROUNDUP(MAX(J7/IF(CD7&gt;0,CD7,MAX(0.1,N(Cockpit!$C$6))),CG7)/BV7,0)*BV7</f>
        <v>7</v>
      </c>
      <c r="AL7" s="51" t="n">
        <f aca="false">IF(AI7&gt;0,J7/AI7,-1)</f>
        <v>0.0167033658383139</v>
      </c>
      <c r="AM7" s="51" t="n">
        <f aca="false">IF(AND(OR(CC7="L1",CC7="L23",CC7="LIFT"),AI7&gt;0),SUMIFS($AI$7:$AI$1843,$CC$7:$CC$1843,CC7,$AL$7:$AL$1843,"&gt;"&amp;AL7)+SUMIFS($AI$7:$AI$1843,$CC$7:$CC$1843,CC7,$AL$7:$AL$1843,AL7,$BT$7:$BT$1843,"&lt;="&amp;BT7),"")</f>
        <v>24064.9980986528</v>
      </c>
      <c r="AN7" s="58" t="n">
        <f aca="false">IF(AM7="",0,MAX(0,MIN(1,(IF(CC7="L1",Parameter!$H$5,IF(CC7="L23",Parameter!$H$6+Parameter!$H$7,Parameter!$H$5+Parameter!$H$6+Parameter!$H$7))-(AM7-AI7))/AI7)))</f>
        <v>1</v>
      </c>
      <c r="AO7" s="50" t="n">
        <f aca="false">IF(LEFT(Cockpit!$I$5,1)="A",H7,IF(CE7=1,CF7,IF(LEFT(Cockpit!$I$5,1)="B",AT7,MAX(AT7,H7))))</f>
        <v>18</v>
      </c>
      <c r="AP7" s="50" t="n">
        <f aca="false">IF(BW7=1,0,ROUNDUP(AO7/BV7,0))</f>
        <v>0</v>
      </c>
      <c r="AQ7" s="52" t="n">
        <f aca="false">IF(CL7&gt;0,CL7*MAX(1,AO7/X7),IF(BW7=1,IF(AO7&lt;=0,0,CA7*MAX(1,IF(H7&gt;0,AO7/H7,1))),IF(R7&gt;0,AP7/R7,0))/MAX(0.1,N(Parameter!$M$21)))</f>
        <v>1.7608286252354</v>
      </c>
      <c r="AR7" s="50" t="n">
        <f aca="false">AQ7*BY7</f>
        <v>419.077212806026</v>
      </c>
      <c r="AS7" s="50" t="n">
        <f aca="false">AO7*G7</f>
        <v>67044.96</v>
      </c>
      <c r="AT7" s="50" t="n">
        <f aca="false">ROUNDUP(MAX(J7/IF(CD7&gt;0,CD7,MAX(0.1,N(Cockpit!$I$6))),CG7)/BV7,0)*BV7</f>
        <v>7</v>
      </c>
      <c r="AU7" s="51" t="n">
        <f aca="false">IF(AR7&gt;0,J7/AR7,-1)</f>
        <v>0.0167033658383139</v>
      </c>
      <c r="AV7" s="51" t="n">
        <f aca="false">IF(AND(OR(CC7="L1",CC7="L23",CC7="LIFT"),AR7&gt;0),SUMIFS($AR$7:$AR$1843,$CC$7:$CC$1843,CC7,$AU$7:$AU$1843,"&gt;"&amp;AU7)+SUMIFS($AR$7:$AR$1843,$CC$7:$CC$1843,CC7,$AU$7:$AU$1843,AU7,$BT$7:$BT$1843,"&lt;="&amp;BT7),"")</f>
        <v>35177.1785688417</v>
      </c>
      <c r="AW7" s="58" t="n">
        <f aca="false">IF(AV7="",0,MAX(0,MIN(1,(IF(CC7="L1",Parameter!$H$5,IF(CC7="L23",Parameter!$H$6+Parameter!$H$7,Parameter!$H$5+Parameter!$H$6+Parameter!$H$7))-(AV7-AR7))/AR7)))</f>
        <v>1</v>
      </c>
      <c r="AX7" s="50" t="n">
        <f aca="false">IF(LEFT(Cockpit!$O$5,1)="A",H7,IF(CE7=1,CF7,IF(LEFT(Cockpit!$O$5,1)="B",BC7,MAX(BC7,H7))))</f>
        <v>18</v>
      </c>
      <c r="AY7" s="50" t="n">
        <f aca="false">IF(BW7=1,0,ROUNDUP(AX7/BV7,0))</f>
        <v>0</v>
      </c>
      <c r="AZ7" s="52" t="n">
        <f aca="false">IF(CL7&gt;0,CL7*MAX(1,AX7/X7),IF(BW7=1,IF(AX7&lt;=0,0,CA7*MAX(1,IF(H7&gt;0,AX7/H7,1))),IF(R7&gt;0,AY7/R7,0))/MAX(0.1,N(Parameter!$M$21)))</f>
        <v>1.7608286252354</v>
      </c>
      <c r="BA7" s="50" t="n">
        <f aca="false">AZ7*BY7</f>
        <v>419.077212806026</v>
      </c>
      <c r="BB7" s="50" t="n">
        <f aca="false">AX7*G7</f>
        <v>67044.96</v>
      </c>
      <c r="BC7" s="50" t="n">
        <f aca="false">ROUNDUP(MAX(J7/IF(CD7&gt;0,CD7,MAX(0.1,N(Cockpit!$O$6))),CG7)/BV7,0)*BV7</f>
        <v>7</v>
      </c>
      <c r="BD7" s="51" t="n">
        <f aca="false">IF(BA7&gt;0,J7/BA7,-1)</f>
        <v>0.0167033658383139</v>
      </c>
      <c r="BE7" s="51" t="n">
        <f aca="false">IF(AND(OR(CC7="L1",CC7="L23",CC7="LIFT"),BA7&gt;0),SUMIFS($BA$7:$BA$1843,$CC$7:$CC$1843,CC7,$BD$7:$BD$1843,"&gt;"&amp;BD7)+SUMIFS($BA$7:$BA$1843,$CC$7:$CC$1843,CC7,$BD$7:$BD$1843,BD7,$BT$7:$BT$1843,"&lt;="&amp;BT7),"")</f>
        <v>31852.1906107076</v>
      </c>
      <c r="BF7" s="58" t="n">
        <f aca="false">IF(BE7="",0,MAX(0,MIN(1,(IF(CC7="L1",Parameter!$H$5,IF(CC7="L23",Parameter!$H$6+Parameter!$H$7,Parameter!$H$5+Parameter!$H$6+Parameter!$H$7))-(BE7-BA7))/BA7)))</f>
        <v>1</v>
      </c>
      <c r="BG7" s="48" t="str">
        <f aca="false">IF(AI7&lt;=0,"",IF(CC7="Aussen","Aussenlager",IF(CC7="-","Nicht im Lift",IF(AN7&gt;=1,"Lift",IF(AN7&lt;=0,"Aussenlager","teilweise")))))</f>
        <v>Lift</v>
      </c>
      <c r="BH7" s="48" t="str">
        <f aca="false">IF(AR7&lt;=0,"",IF(CC7="Aussen","Aussenlager",IF(CC7="-","Nicht im Lift",IF(AW7&gt;=1,"Lift",IF(AW7&lt;=0,"Aussenlager","teilweise")))))</f>
        <v>Lift</v>
      </c>
      <c r="BI7" s="48" t="str">
        <f aca="false">IF(BA7&lt;=0,"",IF(CC7="Aussen","Aussenlager",IF(CC7="-","Nicht im Lift",IF(BF7&gt;=1,"Lift",IF(BF7&lt;=0,"Aussenlager","teilweise")))))</f>
        <v>Lift</v>
      </c>
      <c r="BJ7" s="48" t="str">
        <f aca="false">IF(A7="","",IF(BS7=1,"Neu; ","")&amp;IF(AND(BS7=0,BN7&lt;0),"negativer Bestand (Export "&amp;BN7&amp;"); ","")&amp;IF(J7&lt;=0,"Kein Verbrauch; ","")&amp;IF(CL7&gt;0,"Lift "&amp;W7&amp;" lt. Liftbericht (Fach "&amp;X7&amp;" Stk); ",IF(BX7=1,"Gebinde geschätzt ("&amp;T7&amp;"); ",IF(BW7=1,"Lose – Tablare geschätzt; ","")))&amp;IF(H7&gt;AT7,"Überbestand "&amp;ROUND(H7-AT7,0)&amp;" Stk / CHF "&amp;ROUND((H7-AT7)*G7,0)&amp;"; ","")&amp;IF(AND(CE7=1,CF7&lt;CG7),"MAX &lt; MB+LG; ","")&amp;IF(AND(CK7&gt;0,CJ7*10&gt;CK7),"zu hoch für Tablar; ","")&amp;IF(AND(BS7=0,OR(CE7=1,AA7&lt;&gt;"",U7&lt;&gt;"",V7&lt;&gt;"",AB7&lt;&gt;"")),"manuell übersteuert; ","")&amp;IF(AND(BW7=0,R7=0),"Gebinde unbekannt / Stellmass fehlt; ","")&amp;IF(AND(BW7=0,N(V7)&lt;=0,N(Q7)&lt;=0),"Menge pro Gebinde fehlt (Ist = 1 Gebinde); ","")&amp;BR7)</f>
        <v>Lift 1 lt. Liftbericht (Fach 22 Stk); Überbestand 11 Stk / CHF 40972; </v>
      </c>
      <c r="BK7" s="48" t="s">
        <v>173</v>
      </c>
      <c r="BL7" s="48" t="s">
        <v>174</v>
      </c>
      <c r="BM7" s="55"/>
      <c r="BN7" s="50" t="n">
        <v>20</v>
      </c>
      <c r="BO7" s="50" t="n">
        <v>7</v>
      </c>
      <c r="BP7" s="49" t="n">
        <v>75034.94</v>
      </c>
      <c r="BQ7" s="50" t="n">
        <v>7</v>
      </c>
      <c r="BR7" s="48"/>
      <c r="BS7" s="53" t="n">
        <v>0</v>
      </c>
      <c r="BT7" s="53" t="n">
        <v>7</v>
      </c>
      <c r="BU7" s="48" t="str">
        <f aca="false">IF(U7&lt;&gt;"",UPPER(TRIM(U7)),IF(BX7=1,UPPER(VLOOKUP(T7,Parameter!$I$27:$K$29,2,0)),IF(P7="","LOSE",P7)))</f>
        <v>LOSE</v>
      </c>
      <c r="BV7" s="50" t="n">
        <f aca="false">IF(BU7="LOSE",1,IF(N(V7)&gt;0,V7,IF(BX7=1,MAX(1,N(VLOOKUP(T7,Parameter!$I$27:$K$29,3,0)),H7,N(N7)),IF(N(Q7)&gt;0,Q7,MAX(1,H7)))))</f>
        <v>1</v>
      </c>
      <c r="BW7" s="53" t="n">
        <f aca="false">IF(BU7="LOSE",1,0)</f>
        <v>1</v>
      </c>
      <c r="BX7" s="53" t="n">
        <f aca="false">IF(AND(U7="",OR(P7="",P7="LOSE"),T7&lt;&gt;"",N(S7)&lt;=0,ISNUMBER(MATCH(T7,Parameter!$I$27:$I$29,0))),1,0)</f>
        <v>0</v>
      </c>
      <c r="BY7" s="53" t="n">
        <f aca="false">IF(CL7&gt;0,INDEX(Parameter!$H$5:$H$7,W7)/INDEX(Parameter!$E$5:$E$7,W7),IF(AND(BW7=0,N(IFERROR(VLOOKUP(BU7,'Gebinde-Kategorie'!$A$5:$N$45,14,0),0))&gt;0),VLOOKUP(BU7,'Gebinde-Kategorie'!$A$5:$N$45,14,0)*10+Parameter!$M$23,Parameter!$M$24))</f>
        <v>238</v>
      </c>
      <c r="BZ7" s="48" t="n">
        <f aca="false">IF(AND(Parameter!$B$19="Ja",E7&lt;&gt;"",ISNUMBER(MATCH(E7,Parameter!$I$35:$I$52,0))),VLOOKUP(E7,Parameter!$I$35:$J$52,2,0),IFERROR(VLOOKUP(D7,Parameter!$A$35:$C$64,2,0),"Nein"))</f>
        <v>1</v>
      </c>
      <c r="CA7" s="52" t="n">
        <f aca="false">IF(BW7=0,0,IF(N(S7)&gt;0,S7,IFERROR(VLOOKUP(D7,Parameter!$A$35:$C$64,3,0)+0,0)))</f>
        <v>1</v>
      </c>
      <c r="CB7" s="48" t="n">
        <f aca="false">IF(AA7&lt;&gt;"",AA7,Z7)</f>
        <v>1</v>
      </c>
      <c r="CC7" s="48" t="str">
        <f aca="false">IF(OR(CB7=1,CB7=2,CB7=3),IF(Parameter!$E$27="Ja","LIFT",IF(CB7=1,"L1","L23")),IF(CB7="Aussen","Aussen","-"))</f>
        <v>LIFT</v>
      </c>
      <c r="CD7" s="59" t="n">
        <f aca="false">IF(N(AB7)&gt;0,AB7,0)</f>
        <v>0</v>
      </c>
      <c r="CE7" s="53" t="n">
        <f aca="false">IF(ISNUMBER(AE7),1,0)</f>
        <v>0</v>
      </c>
      <c r="CF7" s="50" t="n">
        <f aca="false">N(AE7)</f>
        <v>0</v>
      </c>
      <c r="CG7" s="50" t="n">
        <f aca="false">N(M7)+N(N7)</f>
        <v>7</v>
      </c>
      <c r="CH7" s="50" t="n">
        <f aca="false">ROUNDUP(H7/BV7,0)</f>
        <v>18</v>
      </c>
      <c r="CI7" s="50" t="n">
        <f aca="false">ROUNDUP(CF7/BV7,0)</f>
        <v>0</v>
      </c>
      <c r="CJ7" s="53" t="n">
        <f aca="false">IF(BW7=1,0,IFERROR(VLOOKUP(BU7,'Gebinde-Kategorie'!$A$5:$N$45,5,0)+0,0))</f>
        <v>0</v>
      </c>
      <c r="CK7" s="53" t="n">
        <f aca="false">IFERROR(IF(OR(CB7=1,CB7=2,CB7=3),N(INDEX(Parameter!$I$5:$I$7,CB7)),0),0)</f>
        <v>0</v>
      </c>
      <c r="CL7" s="52" t="n">
        <f aca="false">IF(AND(Parameter!$B$21="Ja",ISNUMBER(W7),N(X7)&gt;0),IFERROR(N(INDEX(Parameter!$L$5:$L$7,W7))*INDEX(Parameter!$E$5:$E$7,W7)*X7/SUMIFS($X$7:$X$1843,$W$7:$W$1843,W7),0),0)</f>
        <v>1.7608286252354</v>
      </c>
    </row>
    <row r="8" customFormat="false" ht="15" hidden="false" customHeight="false" outlineLevel="0" collapsed="false">
      <c r="A8" s="48" t="s">
        <v>175</v>
      </c>
      <c r="B8" s="48" t="s">
        <v>176</v>
      </c>
      <c r="C8" s="48" t="s">
        <v>171</v>
      </c>
      <c r="D8" s="48" t="s">
        <v>177</v>
      </c>
      <c r="E8" s="48"/>
      <c r="F8" s="48" t="s">
        <v>171</v>
      </c>
      <c r="G8" s="49" t="n">
        <v>718.84</v>
      </c>
      <c r="H8" s="50" t="n">
        <f aca="false">MAX(0,IF(AND(Parameter!$B$21="Ja",ISNUMBER(Y8)),Y8,IF(Parameter!$B$20="Jahresanfang 2025 + Export",BO8+BN8,BN8)))</f>
        <v>94</v>
      </c>
      <c r="I8" s="50" t="n">
        <f aca="false">H8*G8</f>
        <v>67570.96</v>
      </c>
      <c r="J8" s="50" t="n">
        <f aca="false">BQ8*Parameter!$B$18</f>
        <v>2</v>
      </c>
      <c r="K8" s="51" t="n">
        <v>74</v>
      </c>
      <c r="L8" s="52" t="n">
        <v>0.027027027027027</v>
      </c>
      <c r="M8" s="50" t="n">
        <v>0</v>
      </c>
      <c r="N8" s="50" t="n">
        <v>1</v>
      </c>
      <c r="O8" s="53" t="n">
        <v>14</v>
      </c>
      <c r="P8" s="48" t="s">
        <v>178</v>
      </c>
      <c r="Q8" s="50" t="n">
        <v>14</v>
      </c>
      <c r="R8" s="53" t="n">
        <f aca="false">IF(BW8=1,0,IFERROR(VLOOKUP(BU8,'Gebinde-Kategorie'!$A$5:$N$45,13,0)+0,0))</f>
        <v>6</v>
      </c>
      <c r="S8" s="54"/>
      <c r="T8" s="55"/>
      <c r="U8" s="55"/>
      <c r="V8" s="55"/>
      <c r="W8" s="48"/>
      <c r="X8" s="50"/>
      <c r="Y8" s="50"/>
      <c r="Z8" s="48" t="n">
        <f aca="false">IF(A8="","",IF(AND(Parameter!$B$21="Ja",ISNUMBER(W8)),W8,IF(BZ8="2+3",IF(ISNUMBER(SEARCH("grosser Artikel",BR8)),2,IFERROR(VLOOKUP(BU8,Parameter!$F$35:$G$64,2,0),2)),IF(OR(BZ8="Nein",BZ8=""),"-",BZ8))))</f>
        <v>2</v>
      </c>
      <c r="AA8" s="55"/>
      <c r="AB8" s="56"/>
      <c r="AC8" s="50" t="n">
        <f aca="false">AT8</f>
        <v>14</v>
      </c>
      <c r="AD8" s="50" t="n">
        <f aca="false">MAX(AT8,H8)</f>
        <v>94</v>
      </c>
      <c r="AE8" s="57"/>
      <c r="AF8" s="50" t="n">
        <f aca="false">IF(LEFT(Cockpit!$C$5,1)="A",H8,IF(CE8=1,CF8,IF(LEFT(Cockpit!$C$5,1)="B",AK8,MAX(AK8,H8))))</f>
        <v>94</v>
      </c>
      <c r="AG8" s="50" t="n">
        <f aca="false">IF(BW8=1,0,ROUNDUP(AF8/BV8,0))</f>
        <v>7</v>
      </c>
      <c r="AH8" s="52" t="n">
        <f aca="false">IF(CL8&gt;0,CL8*MAX(1,AF8/X8),IF(BW8=1,IF(AF8&lt;=0,0,CA8*MAX(1,IF(H8&gt;0,AF8/H8,1))),IF(R8&gt;0,AG8/R8,0))/MAX(0.1,N(Parameter!$M$21)))</f>
        <v>1.16666666666667</v>
      </c>
      <c r="AI8" s="50" t="n">
        <f aca="false">AH8*BY8</f>
        <v>274.166666666667</v>
      </c>
      <c r="AJ8" s="50" t="n">
        <f aca="false">AF8*G8</f>
        <v>67570.96</v>
      </c>
      <c r="AK8" s="50" t="n">
        <f aca="false">ROUNDUP(MAX(J8/IF(CD8&gt;0,CD8,MAX(0.1,N(Cockpit!$C$6))),CG8)/BV8,0)*BV8</f>
        <v>14</v>
      </c>
      <c r="AL8" s="51" t="n">
        <f aca="false">IF(AI8&gt;0,J8/AI8,-1)</f>
        <v>0.00729483282674772</v>
      </c>
      <c r="AM8" s="51" t="n">
        <f aca="false">IF(AND(OR(CC8="L1",CC8="L23",CC8="LIFT"),AI8&gt;0),SUMIFS($AI$7:$AI$1843,$CC$7:$CC$1843,CC8,$AL$7:$AL$1843,"&gt;"&amp;AL8)+SUMIFS($AI$7:$AI$1843,$CC$7:$CC$1843,CC8,$AL$7:$AL$1843,AL8,$BT$7:$BT$1843,"&lt;="&amp;BT8),"")</f>
        <v>24411.6647653194</v>
      </c>
      <c r="AN8" s="58" t="n">
        <f aca="false">IF(AM8="",0,MAX(0,MIN(1,(IF(CC8="L1",Parameter!$H$5,IF(CC8="L23",Parameter!$H$6+Parameter!$H$7,Parameter!$H$5+Parameter!$H$6+Parameter!$H$7))-(AM8-AI8))/AI8)))</f>
        <v>1</v>
      </c>
      <c r="AO8" s="50" t="n">
        <f aca="false">IF(LEFT(Cockpit!$I$5,1)="A",H8,IF(CE8=1,CF8,IF(LEFT(Cockpit!$I$5,1)="B",AT8,MAX(AT8,H8))))</f>
        <v>94</v>
      </c>
      <c r="AP8" s="50" t="n">
        <f aca="false">IF(BW8=1,0,ROUNDUP(AO8/BV8,0))</f>
        <v>7</v>
      </c>
      <c r="AQ8" s="52" t="n">
        <f aca="false">IF(CL8&gt;0,CL8*MAX(1,AO8/X8),IF(BW8=1,IF(AO8&lt;=0,0,CA8*MAX(1,IF(H8&gt;0,AO8/H8,1))),IF(R8&gt;0,AP8/R8,0))/MAX(0.1,N(Parameter!$M$21)))</f>
        <v>1.16666666666667</v>
      </c>
      <c r="AR8" s="50" t="n">
        <f aca="false">AQ8*BY8</f>
        <v>274.166666666667</v>
      </c>
      <c r="AS8" s="50" t="n">
        <f aca="false">AO8*G8</f>
        <v>67570.96</v>
      </c>
      <c r="AT8" s="50" t="n">
        <f aca="false">ROUNDUP(MAX(J8/IF(CD8&gt;0,CD8,MAX(0.1,N(Cockpit!$I$6))),CG8)/BV8,0)*BV8</f>
        <v>14</v>
      </c>
      <c r="AU8" s="51" t="n">
        <f aca="false">IF(AR8&gt;0,J8/AR8,-1)</f>
        <v>0.00729483282674772</v>
      </c>
      <c r="AV8" s="51" t="n">
        <f aca="false">IF(AND(OR(CC8="L1",CC8="L23",CC8="LIFT"),AR8&gt;0),SUMIFS($AR$7:$AR$1843,$CC$7:$CC$1843,CC8,$AU$7:$AU$1843,"&gt;"&amp;AU8)+SUMIFS($AR$7:$AR$1843,$CC$7:$CC$1843,CC8,$AU$7:$AU$1843,AU8,$BT$7:$BT$1843,"&lt;="&amp;BT8),"")</f>
        <v>35657.1879850376</v>
      </c>
      <c r="AW8" s="58" t="n">
        <f aca="false">IF(AV8="",0,MAX(0,MIN(1,(IF(CC8="L1",Parameter!$H$5,IF(CC8="L23",Parameter!$H$6+Parameter!$H$7,Parameter!$H$5+Parameter!$H$6+Parameter!$H$7))-(AV8-AR8))/AR8)))</f>
        <v>1</v>
      </c>
      <c r="AX8" s="50" t="n">
        <f aca="false">IF(LEFT(Cockpit!$O$5,1)="A",H8,IF(CE8=1,CF8,IF(LEFT(Cockpit!$O$5,1)="B",BC8,MAX(BC8,H8))))</f>
        <v>94</v>
      </c>
      <c r="AY8" s="50" t="n">
        <f aca="false">IF(BW8=1,0,ROUNDUP(AX8/BV8,0))</f>
        <v>7</v>
      </c>
      <c r="AZ8" s="52" t="n">
        <f aca="false">IF(CL8&gt;0,CL8*MAX(1,AX8/X8),IF(BW8=1,IF(AX8&lt;=0,0,CA8*MAX(1,IF(H8&gt;0,AX8/H8,1))),IF(R8&gt;0,AY8/R8,0))/MAX(0.1,N(Parameter!$M$21)))</f>
        <v>1.16666666666667</v>
      </c>
      <c r="BA8" s="50" t="n">
        <f aca="false">AZ8*BY8</f>
        <v>274.166666666667</v>
      </c>
      <c r="BB8" s="50" t="n">
        <f aca="false">AX8*G8</f>
        <v>67570.96</v>
      </c>
      <c r="BC8" s="50" t="n">
        <f aca="false">ROUNDUP(MAX(J8/IF(CD8&gt;0,CD8,MAX(0.1,N(Cockpit!$O$6))),CG8)/BV8,0)*BV8</f>
        <v>14</v>
      </c>
      <c r="BD8" s="51" t="n">
        <f aca="false">IF(BA8&gt;0,J8/BA8,-1)</f>
        <v>0.00729483282674772</v>
      </c>
      <c r="BE8" s="51" t="n">
        <f aca="false">IF(AND(OR(CC8="L1",CC8="L23",CC8="LIFT"),BA8&gt;0),SUMIFS($BA$7:$BA$1843,$CC$7:$CC$1843,CC8,$BD$7:$BD$1843,"&gt;"&amp;BD8)+SUMIFS($BA$7:$BA$1843,$CC$7:$CC$1843,CC8,$BD$7:$BD$1843,BD8,$BT$7:$BT$1843,"&lt;="&amp;BT8),"")</f>
        <v>32332.2000269034</v>
      </c>
      <c r="BF8" s="58" t="n">
        <f aca="false">IF(BE8="",0,MAX(0,MIN(1,(IF(CC8="L1",Parameter!$H$5,IF(CC8="L23",Parameter!$H$6+Parameter!$H$7,Parameter!$H$5+Parameter!$H$6+Parameter!$H$7))-(BE8-BA8))/BA8)))</f>
        <v>1</v>
      </c>
      <c r="BG8" s="48" t="str">
        <f aca="false">IF(AI8&lt;=0,"",IF(CC8="Aussen","Aussenlager",IF(CC8="-","Nicht im Lift",IF(AN8&gt;=1,"Lift",IF(AN8&lt;=0,"Aussenlager","teilweise")))))</f>
        <v>Lift</v>
      </c>
      <c r="BH8" s="48" t="str">
        <f aca="false">IF(AR8&lt;=0,"",IF(CC8="Aussen","Aussenlager",IF(CC8="-","Nicht im Lift",IF(AW8&gt;=1,"Lift",IF(AW8&lt;=0,"Aussenlager","teilweise")))))</f>
        <v>Lift</v>
      </c>
      <c r="BI8" s="48" t="str">
        <f aca="false">IF(BA8&lt;=0,"",IF(CC8="Aussen","Aussenlager",IF(CC8="-","Nicht im Lift",IF(BF8&gt;=1,"Lift",IF(BF8&lt;=0,"Aussenlager","teilweise")))))</f>
        <v>Lift</v>
      </c>
      <c r="BJ8" s="48" t="str">
        <f aca="false">IF(A8="","",IF(BS8=1,"Neu; ","")&amp;IF(AND(BS8=0,BN8&lt;0),"negativer Bestand (Export "&amp;BN8&amp;"); ","")&amp;IF(J8&lt;=0,"Kein Verbrauch; ","")&amp;IF(CL8&gt;0,"Lift "&amp;W8&amp;" lt. Liftbericht (Fach "&amp;X8&amp;" Stk); ",IF(BX8=1,"Gebinde geschätzt ("&amp;T8&amp;"); ",IF(BW8=1,"Lose – Tablare geschätzt; ","")))&amp;IF(H8&gt;AT8,"Überbestand "&amp;ROUND(H8-AT8,0)&amp;" Stk / CHF "&amp;ROUND((H8-AT8)*G8,0)&amp;"; ","")&amp;IF(AND(CE8=1,CF8&lt;CG8),"MAX &lt; MB+LG; ","")&amp;IF(AND(CK8&gt;0,CJ8*10&gt;CK8),"zu hoch für Tablar; ","")&amp;IF(AND(BS8=0,OR(CE8=1,AA8&lt;&gt;"",U8&lt;&gt;"",V8&lt;&gt;"",AB8&lt;&gt;"")),"manuell übersteuert; ","")&amp;IF(AND(BW8=0,R8=0),"Gebinde unbekannt / Stellmass fehlt; ","")&amp;IF(AND(BW8=0,N(V8)&lt;=0,N(Q8)&lt;=0),"Menge pro Gebinde fehlt (Ist = 1 Gebinde); ","")&amp;BR8)</f>
        <v>Überbestand 80 Stk / CHF 57507; </v>
      </c>
      <c r="BK8" s="48" t="s">
        <v>179</v>
      </c>
      <c r="BL8" s="48" t="s">
        <v>180</v>
      </c>
      <c r="BM8" s="55"/>
      <c r="BN8" s="50" t="n">
        <v>94</v>
      </c>
      <c r="BO8" s="50" t="n">
        <v>0</v>
      </c>
      <c r="BP8" s="49" t="n">
        <v>67570.96</v>
      </c>
      <c r="BQ8" s="50" t="n">
        <v>2</v>
      </c>
      <c r="BR8" s="48"/>
      <c r="BS8" s="53" t="n">
        <v>0</v>
      </c>
      <c r="BT8" s="53" t="n">
        <v>8</v>
      </c>
      <c r="BU8" s="48" t="str">
        <f aca="false">IF(U8&lt;&gt;"",UPPER(TRIM(U8)),IF(BX8=1,UPPER(VLOOKUP(T8,Parameter!$I$27:$K$29,2,0)),IF(P8="","LOSE",P8)))</f>
        <v>S71</v>
      </c>
      <c r="BV8" s="50" t="n">
        <f aca="false">IF(BU8="LOSE",1,IF(N(V8)&gt;0,V8,IF(BX8=1,MAX(1,N(VLOOKUP(T8,Parameter!$I$27:$K$29,3,0)),H8,N(N8)),IF(N(Q8)&gt;0,Q8,MAX(1,H8)))))</f>
        <v>14</v>
      </c>
      <c r="BW8" s="53" t="n">
        <f aca="false">IF(BU8="LOSE",1,0)</f>
        <v>0</v>
      </c>
      <c r="BX8" s="53" t="n">
        <f aca="false">IF(AND(U8="",OR(P8="",P8="LOSE"),T8&lt;&gt;"",N(S8)&lt;=0,ISNUMBER(MATCH(T8,Parameter!$I$27:$I$29,0))),1,0)</f>
        <v>0</v>
      </c>
      <c r="BY8" s="53" t="n">
        <f aca="false">IF(CL8&gt;0,INDEX(Parameter!$H$5:$H$7,W8)/INDEX(Parameter!$E$5:$E$7,W8),IF(AND(BW8=0,N(IFERROR(VLOOKUP(BU8,'Gebinde-Kategorie'!$A$5:$N$45,14,0),0))&gt;0),VLOOKUP(BU8,'Gebinde-Kategorie'!$A$5:$N$45,14,0)*10+Parameter!$M$23,Parameter!$M$24))</f>
        <v>235</v>
      </c>
      <c r="BZ8" s="48" t="str">
        <f aca="false">IF(AND(Parameter!$B$19="Ja",E8&lt;&gt;"",ISNUMBER(MATCH(E8,Parameter!$I$35:$I$52,0))),VLOOKUP(E8,Parameter!$I$35:$J$52,2,0),IFERROR(VLOOKUP(D8,Parameter!$A$35:$C$64,2,0),"Nein"))</f>
        <v>2+3</v>
      </c>
      <c r="CA8" s="52" t="n">
        <f aca="false">IF(BW8=0,0,IF(N(S8)&gt;0,S8,IFERROR(VLOOKUP(D8,Parameter!$A$35:$C$64,3,0)+0,0)))</f>
        <v>0</v>
      </c>
      <c r="CB8" s="48" t="n">
        <f aca="false">IF(AA8&lt;&gt;"",AA8,Z8)</f>
        <v>2</v>
      </c>
      <c r="CC8" s="48" t="str">
        <f aca="false">IF(OR(CB8=1,CB8=2,CB8=3),IF(Parameter!$E$27="Ja","LIFT",IF(CB8=1,"L1","L23")),IF(CB8="Aussen","Aussen","-"))</f>
        <v>LIFT</v>
      </c>
      <c r="CD8" s="59" t="n">
        <f aca="false">IF(N(AB8)&gt;0,AB8,0)</f>
        <v>0</v>
      </c>
      <c r="CE8" s="53" t="n">
        <f aca="false">IF(ISNUMBER(AE8),1,0)</f>
        <v>0</v>
      </c>
      <c r="CF8" s="50" t="n">
        <f aca="false">N(AE8)</f>
        <v>0</v>
      </c>
      <c r="CG8" s="50" t="n">
        <f aca="false">N(M8)+N(N8)</f>
        <v>1</v>
      </c>
      <c r="CH8" s="50" t="n">
        <f aca="false">ROUNDUP(H8/BV8,0)</f>
        <v>7</v>
      </c>
      <c r="CI8" s="50" t="n">
        <f aca="false">ROUNDUP(CF8/BV8,0)</f>
        <v>0</v>
      </c>
      <c r="CJ8" s="53" t="n">
        <f aca="false">IF(BW8=1,0,IFERROR(VLOOKUP(BU8,'Gebinde-Kategorie'!$A$5:$N$45,5,0)+0,0))</f>
        <v>20</v>
      </c>
      <c r="CK8" s="53" t="n">
        <f aca="false">IFERROR(IF(OR(CB8=1,CB8=2,CB8=3),N(INDEX(Parameter!$I$5:$I$7,CB8)),0),0)</f>
        <v>0</v>
      </c>
      <c r="CL8" s="52" t="n">
        <f aca="false">IF(AND(Parameter!$B$21="Ja",ISNUMBER(W8),N(X8)&gt;0),IFERROR(N(INDEX(Parameter!$L$5:$L$7,W8))*INDEX(Parameter!$E$5:$E$7,W8)*X8/SUMIFS($X$7:$X$1843,$W$7:$W$1843,W8),0),0)</f>
        <v>0</v>
      </c>
    </row>
    <row r="9" customFormat="false" ht="15" hidden="false" customHeight="false" outlineLevel="0" collapsed="false">
      <c r="A9" s="48" t="s">
        <v>181</v>
      </c>
      <c r="B9" s="48" t="s">
        <v>182</v>
      </c>
      <c r="C9" s="48" t="s">
        <v>168</v>
      </c>
      <c r="D9" s="48" t="s">
        <v>177</v>
      </c>
      <c r="E9" s="48"/>
      <c r="F9" s="48" t="s">
        <v>171</v>
      </c>
      <c r="G9" s="49" t="n">
        <v>1980</v>
      </c>
      <c r="H9" s="50" t="n">
        <f aca="false">MAX(0,IF(AND(Parameter!$B$21="Ja",ISNUMBER(Y9)),Y9,IF(Parameter!$B$20="Jahresanfang 2025 + Export",BO9+BN9,BN9)))</f>
        <v>32</v>
      </c>
      <c r="I9" s="50" t="n">
        <f aca="false">H9*G9</f>
        <v>63360</v>
      </c>
      <c r="J9" s="50" t="n">
        <f aca="false">BQ9*Parameter!$B$18</f>
        <v>11</v>
      </c>
      <c r="K9" s="51" t="n">
        <v>0.5</v>
      </c>
      <c r="L9" s="52" t="n">
        <v>22</v>
      </c>
      <c r="M9" s="50" t="n">
        <v>2</v>
      </c>
      <c r="N9" s="50" t="n">
        <v>5</v>
      </c>
      <c r="O9" s="53" t="n">
        <v>80</v>
      </c>
      <c r="P9" s="48" t="s">
        <v>172</v>
      </c>
      <c r="Q9" s="50"/>
      <c r="R9" s="53" t="n">
        <f aca="false">IF(BW9=1,0,IFERROR(VLOOKUP(BU9,'Gebinde-Kategorie'!$A$5:$N$45,13,0)+0,0))</f>
        <v>12</v>
      </c>
      <c r="S9" s="54"/>
      <c r="T9" s="55" t="s">
        <v>183</v>
      </c>
      <c r="U9" s="55"/>
      <c r="V9" s="55"/>
      <c r="W9" s="48"/>
      <c r="X9" s="50"/>
      <c r="Y9" s="50"/>
      <c r="Z9" s="48" t="n">
        <f aca="false">IF(A9="","",IF(AND(Parameter!$B$21="Ja",ISNUMBER(W9)),W9,IF(BZ9="2+3",IF(ISNUMBER(SEARCH("grosser Artikel",BR9)),2,IFERROR(VLOOKUP(BU9,Parameter!$F$35:$G$64,2,0),2)),IF(OR(BZ9="Nein",BZ9=""),"-",BZ9))))</f>
        <v>2</v>
      </c>
      <c r="AA9" s="55"/>
      <c r="AB9" s="56"/>
      <c r="AC9" s="50" t="n">
        <f aca="false">AT9</f>
        <v>32</v>
      </c>
      <c r="AD9" s="50" t="n">
        <f aca="false">MAX(AT9,H9)</f>
        <v>32</v>
      </c>
      <c r="AE9" s="57"/>
      <c r="AF9" s="50" t="n">
        <f aca="false">IF(LEFT(Cockpit!$C$5,1)="A",H9,IF(CE9=1,CF9,IF(LEFT(Cockpit!$C$5,1)="B",AK9,MAX(AK9,H9))))</f>
        <v>32</v>
      </c>
      <c r="AG9" s="50" t="n">
        <f aca="false">IF(BW9=1,0,ROUNDUP(AF9/BV9,0))</f>
        <v>1</v>
      </c>
      <c r="AH9" s="52" t="n">
        <f aca="false">IF(CL9&gt;0,CL9*MAX(1,AF9/X9),IF(BW9=1,IF(AF9&lt;=0,0,CA9*MAX(1,IF(H9&gt;0,AF9/H9,1))),IF(R9&gt;0,AG9/R9,0))/MAX(0.1,N(Parameter!$M$21)))</f>
        <v>0.0833333333333333</v>
      </c>
      <c r="AI9" s="50" t="n">
        <f aca="false">AH9*BY9</f>
        <v>12.0833333333333</v>
      </c>
      <c r="AJ9" s="50" t="n">
        <f aca="false">AF9*G9</f>
        <v>63360</v>
      </c>
      <c r="AK9" s="50" t="n">
        <f aca="false">ROUNDUP(MAX(J9/IF(CD9&gt;0,CD9,MAX(0.1,N(Cockpit!$C$6))),CG9)/BV9,0)*BV9</f>
        <v>32</v>
      </c>
      <c r="AL9" s="51" t="n">
        <f aca="false">IF(AI9&gt;0,J9/AI9,-1)</f>
        <v>0.910344827586207</v>
      </c>
      <c r="AM9" s="51" t="n">
        <f aca="false">IF(AND(OR(CC9="L1",CC9="L23",CC9="LIFT"),AI9&gt;0),SUMIFS($AI$7:$AI$1843,$CC$7:$CC$1843,CC9,$AL$7:$AL$1843,"&gt;"&amp;AL9)+SUMIFS($AI$7:$AI$1843,$CC$7:$CC$1843,CC9,$AL$7:$AL$1843,AL9,$BT$7:$BT$1843,"&lt;="&amp;BT9),"")</f>
        <v>7406.78891941392</v>
      </c>
      <c r="AN9" s="58" t="n">
        <f aca="false">IF(AM9="",0,MAX(0,MIN(1,(IF(CC9="L1",Parameter!$H$5,IF(CC9="L23",Parameter!$H$6+Parameter!$H$7,Parameter!$H$5+Parameter!$H$6+Parameter!$H$7))-(AM9-AI9))/AI9)))</f>
        <v>1</v>
      </c>
      <c r="AO9" s="50" t="n">
        <f aca="false">IF(LEFT(Cockpit!$I$5,1)="A",H9,IF(CE9=1,CF9,IF(LEFT(Cockpit!$I$5,1)="B",AT9,MAX(AT9,H9))))</f>
        <v>32</v>
      </c>
      <c r="AP9" s="50" t="n">
        <f aca="false">IF(BW9=1,0,ROUNDUP(AO9/BV9,0))</f>
        <v>1</v>
      </c>
      <c r="AQ9" s="52" t="n">
        <f aca="false">IF(CL9&gt;0,CL9*MAX(1,AO9/X9),IF(BW9=1,IF(AO9&lt;=0,0,CA9*MAX(1,IF(H9&gt;0,AO9/H9,1))),IF(R9&gt;0,AP9/R9,0))/MAX(0.1,N(Parameter!$M$21)))</f>
        <v>0.0833333333333333</v>
      </c>
      <c r="AR9" s="50" t="n">
        <f aca="false">AQ9*BY9</f>
        <v>12.0833333333333</v>
      </c>
      <c r="AS9" s="50" t="n">
        <f aca="false">AO9*G9</f>
        <v>63360</v>
      </c>
      <c r="AT9" s="50" t="n">
        <f aca="false">ROUNDUP(MAX(J9/IF(CD9&gt;0,CD9,MAX(0.1,N(Cockpit!$I$6))),CG9)/BV9,0)*BV9</f>
        <v>32</v>
      </c>
      <c r="AU9" s="51" t="n">
        <f aca="false">IF(AR9&gt;0,J9/AR9,-1)</f>
        <v>0.910344827586207</v>
      </c>
      <c r="AV9" s="51" t="n">
        <f aca="false">IF(AND(OR(CC9="L1",CC9="L23",CC9="LIFT"),AR9&gt;0),SUMIFS($AR$7:$AR$1843,$CC$7:$CC$1843,CC9,$AU$7:$AU$1843,"&gt;"&amp;AU9)+SUMIFS($AR$7:$AR$1843,$CC$7:$CC$1843,CC9,$AU$7:$AU$1843,AU9,$BT$7:$BT$1843,"&lt;="&amp;BT9),"")</f>
        <v>10542.2124542125</v>
      </c>
      <c r="AW9" s="58" t="n">
        <f aca="false">IF(AV9="",0,MAX(0,MIN(1,(IF(CC9="L1",Parameter!$H$5,IF(CC9="L23",Parameter!$H$6+Parameter!$H$7,Parameter!$H$5+Parameter!$H$6+Parameter!$H$7))-(AV9-AR9))/AR9)))</f>
        <v>1</v>
      </c>
      <c r="AX9" s="50" t="n">
        <f aca="false">IF(LEFT(Cockpit!$O$5,1)="A",H9,IF(CE9=1,CF9,IF(LEFT(Cockpit!$O$5,1)="B",BC9,MAX(BC9,H9))))</f>
        <v>32</v>
      </c>
      <c r="AY9" s="50" t="n">
        <f aca="false">IF(BW9=1,0,ROUNDUP(AX9/BV9,0))</f>
        <v>1</v>
      </c>
      <c r="AZ9" s="52" t="n">
        <f aca="false">IF(CL9&gt;0,CL9*MAX(1,AX9/X9),IF(BW9=1,IF(AX9&lt;=0,0,CA9*MAX(1,IF(H9&gt;0,AX9/H9,1))),IF(R9&gt;0,AY9/R9,0))/MAX(0.1,N(Parameter!$M$21)))</f>
        <v>0.0833333333333333</v>
      </c>
      <c r="BA9" s="50" t="n">
        <f aca="false">AZ9*BY9</f>
        <v>12.0833333333333</v>
      </c>
      <c r="BB9" s="50" t="n">
        <f aca="false">AX9*G9</f>
        <v>63360</v>
      </c>
      <c r="BC9" s="50" t="n">
        <f aca="false">ROUNDUP(MAX(J9/IF(CD9&gt;0,CD9,MAX(0.1,N(Cockpit!$O$6))),CG9)/BV9,0)*BV9</f>
        <v>32</v>
      </c>
      <c r="BD9" s="51" t="n">
        <f aca="false">IF(BA9&gt;0,J9/BA9,-1)</f>
        <v>0.910344827586207</v>
      </c>
      <c r="BE9" s="51" t="n">
        <f aca="false">IF(AND(OR(CC9="L1",CC9="L23",CC9="LIFT"),BA9&gt;0),SUMIFS($BA$7:$BA$1843,$CC$7:$CC$1843,CC9,$BD$7:$BD$1843,"&gt;"&amp;BD9)+SUMIFS($BA$7:$BA$1843,$CC$7:$CC$1843,CC9,$BD$7:$BD$1843,BD9,$BT$7:$BT$1843,"&lt;="&amp;BT9),"")</f>
        <v>9800.36950549451</v>
      </c>
      <c r="BF9" s="58" t="n">
        <f aca="false">IF(BE9="",0,MAX(0,MIN(1,(IF(CC9="L1",Parameter!$H$5,IF(CC9="L23",Parameter!$H$6+Parameter!$H$7,Parameter!$H$5+Parameter!$H$6+Parameter!$H$7))-(BE9-BA9))/BA9)))</f>
        <v>1</v>
      </c>
      <c r="BG9" s="48" t="str">
        <f aca="false">IF(AI9&lt;=0,"",IF(CC9="Aussen","Aussenlager",IF(CC9="-","Nicht im Lift",IF(AN9&gt;=1,"Lift",IF(AN9&lt;=0,"Aussenlager","teilweise")))))</f>
        <v>Lift</v>
      </c>
      <c r="BH9" s="48" t="str">
        <f aca="false">IF(AR9&lt;=0,"",IF(CC9="Aussen","Aussenlager",IF(CC9="-","Nicht im Lift",IF(AW9&gt;=1,"Lift",IF(AW9&lt;=0,"Aussenlager","teilweise")))))</f>
        <v>Lift</v>
      </c>
      <c r="BI9" s="48" t="str">
        <f aca="false">IF(BA9&lt;=0,"",IF(CC9="Aussen","Aussenlager",IF(CC9="-","Nicht im Lift",IF(BF9&gt;=1,"Lift",IF(BF9&lt;=0,"Aussenlager","teilweise")))))</f>
        <v>Lift</v>
      </c>
      <c r="BJ9" s="48" t="str">
        <f aca="false">IF(A9="","",IF(BS9=1,"Neu; ","")&amp;IF(AND(BS9=0,BN9&lt;0),"negativer Bestand (Export "&amp;BN9&amp;"); ","")&amp;IF(J9&lt;=0,"Kein Verbrauch; ","")&amp;IF(CL9&gt;0,"Lift "&amp;W9&amp;" lt. Liftbericht (Fach "&amp;X9&amp;" Stk); ",IF(BX9=1,"Gebinde geschätzt ("&amp;T9&amp;"); ",IF(BW9=1,"Lose – Tablare geschätzt; ","")))&amp;IF(H9&gt;AT9,"Überbestand "&amp;ROUND(H9-AT9,0)&amp;" Stk / CHF "&amp;ROUND((H9-AT9)*G9,0)&amp;"; ","")&amp;IF(AND(CE9=1,CF9&lt;CG9),"MAX &lt; MB+LG; ","")&amp;IF(AND(CK9&gt;0,CJ9*10&gt;CK9),"zu hoch für Tablar; ","")&amp;IF(AND(BS9=0,OR(CE9=1,AA9&lt;&gt;"",U9&lt;&gt;"",V9&lt;&gt;"",AB9&lt;&gt;"")),"manuell übersteuert; ","")&amp;IF(AND(BW9=0,R9=0),"Gebinde unbekannt / Stellmass fehlt; ","")&amp;IF(AND(BW9=0,N(V9)&lt;=0,N(Q9)&lt;=0),"Menge pro Gebinde fehlt (Ist = 1 Gebinde); ","")&amp;BR9)</f>
        <v>Gebinde geschätzt (Mittel); Menge pro Gebinde fehlt (Ist = 1 Gebinde); </v>
      </c>
      <c r="BK9" s="48"/>
      <c r="BL9" s="48"/>
      <c r="BM9" s="55"/>
      <c r="BN9" s="50" t="n">
        <v>32</v>
      </c>
      <c r="BO9" s="50" t="n">
        <v>0</v>
      </c>
      <c r="BP9" s="49" t="n">
        <v>63360</v>
      </c>
      <c r="BQ9" s="50" t="n">
        <v>11</v>
      </c>
      <c r="BR9" s="48"/>
      <c r="BS9" s="53" t="n">
        <v>0</v>
      </c>
      <c r="BT9" s="53" t="n">
        <v>9</v>
      </c>
      <c r="BU9" s="48" t="str">
        <f aca="false">IF(U9&lt;&gt;"",UPPER(TRIM(U9)),IF(BX9=1,UPPER(VLOOKUP(T9,Parameter!$I$27:$K$29,2,0)),IF(P9="","LOSE",P9)))</f>
        <v>S61</v>
      </c>
      <c r="BV9" s="50" t="n">
        <f aca="false">IF(BU9="LOSE",1,IF(N(V9)&gt;0,V9,IF(BX9=1,MAX(1,N(VLOOKUP(T9,Parameter!$I$27:$K$29,3,0)),H9,N(N9)),IF(N(Q9)&gt;0,Q9,MAX(1,H9)))))</f>
        <v>32</v>
      </c>
      <c r="BW9" s="53" t="n">
        <f aca="false">IF(BU9="LOSE",1,0)</f>
        <v>0</v>
      </c>
      <c r="BX9" s="53" t="n">
        <f aca="false">IF(AND(U9="",OR(P9="",P9="LOSE"),T9&lt;&gt;"",N(S9)&lt;=0,ISNUMBER(MATCH(T9,Parameter!$I$27:$I$29,0))),1,0)</f>
        <v>1</v>
      </c>
      <c r="BY9" s="53" t="n">
        <f aca="false">IF(CL9&gt;0,INDEX(Parameter!$H$5:$H$7,W9)/INDEX(Parameter!$E$5:$E$7,W9),IF(AND(BW9=0,N(IFERROR(VLOOKUP(BU9,'Gebinde-Kategorie'!$A$5:$N$45,14,0),0))&gt;0),VLOOKUP(BU9,'Gebinde-Kategorie'!$A$5:$N$45,14,0)*10+Parameter!$M$23,Parameter!$M$24))</f>
        <v>145</v>
      </c>
      <c r="BZ9" s="48" t="str">
        <f aca="false">IF(AND(Parameter!$B$19="Ja",E9&lt;&gt;"",ISNUMBER(MATCH(E9,Parameter!$I$35:$I$52,0))),VLOOKUP(E9,Parameter!$I$35:$J$52,2,0),IFERROR(VLOOKUP(D9,Parameter!$A$35:$C$64,2,0),"Nein"))</f>
        <v>2+3</v>
      </c>
      <c r="CA9" s="52" t="n">
        <f aca="false">IF(BW9=0,0,IF(N(S9)&gt;0,S9,IFERROR(VLOOKUP(D9,Parameter!$A$35:$C$64,3,0)+0,0)))</f>
        <v>0</v>
      </c>
      <c r="CB9" s="48" t="n">
        <f aca="false">IF(AA9&lt;&gt;"",AA9,Z9)</f>
        <v>2</v>
      </c>
      <c r="CC9" s="48" t="str">
        <f aca="false">IF(OR(CB9=1,CB9=2,CB9=3),IF(Parameter!$E$27="Ja","LIFT",IF(CB9=1,"L1","L23")),IF(CB9="Aussen","Aussen","-"))</f>
        <v>LIFT</v>
      </c>
      <c r="CD9" s="59" t="n">
        <f aca="false">IF(N(AB9)&gt;0,AB9,0)</f>
        <v>0</v>
      </c>
      <c r="CE9" s="53" t="n">
        <f aca="false">IF(ISNUMBER(AE9),1,0)</f>
        <v>0</v>
      </c>
      <c r="CF9" s="50" t="n">
        <f aca="false">N(AE9)</f>
        <v>0</v>
      </c>
      <c r="CG9" s="50" t="n">
        <f aca="false">N(M9)+N(N9)</f>
        <v>7</v>
      </c>
      <c r="CH9" s="50" t="n">
        <f aca="false">ROUNDUP(H9/BV9,0)</f>
        <v>1</v>
      </c>
      <c r="CI9" s="50" t="n">
        <f aca="false">ROUNDUP(CF9/BV9,0)</f>
        <v>0</v>
      </c>
      <c r="CJ9" s="53" t="n">
        <f aca="false">IF(BW9=1,0,IFERROR(VLOOKUP(BU9,'Gebinde-Kategorie'!$A$5:$N$45,5,0)+0,0))</f>
        <v>11</v>
      </c>
      <c r="CK9" s="53" t="n">
        <f aca="false">IFERROR(IF(OR(CB9=1,CB9=2,CB9=3),N(INDEX(Parameter!$I$5:$I$7,CB9)),0),0)</f>
        <v>0</v>
      </c>
      <c r="CL9" s="52" t="n">
        <f aca="false">IF(AND(Parameter!$B$21="Ja",ISNUMBER(W9),N(X9)&gt;0),IFERROR(N(INDEX(Parameter!$L$5:$L$7,W9))*INDEX(Parameter!$E$5:$E$7,W9)*X9/SUMIFS($X$7:$X$1843,$W$7:$W$1843,W9),0),0)</f>
        <v>0</v>
      </c>
    </row>
    <row r="10" customFormat="false" ht="15" hidden="false" customHeight="false" outlineLevel="0" collapsed="false">
      <c r="A10" s="48" t="s">
        <v>184</v>
      </c>
      <c r="B10" s="48" t="s">
        <v>185</v>
      </c>
      <c r="C10" s="48" t="s">
        <v>168</v>
      </c>
      <c r="D10" s="48" t="s">
        <v>177</v>
      </c>
      <c r="E10" s="48"/>
      <c r="F10" s="48" t="s">
        <v>171</v>
      </c>
      <c r="G10" s="49" t="n">
        <v>5151.64</v>
      </c>
      <c r="H10" s="50" t="n">
        <f aca="false">MAX(0,IF(AND(Parameter!$B$21="Ja",ISNUMBER(Y10)),Y10,IF(Parameter!$B$20="Jahresanfang 2025 + Export",BO10+BN10,BN10)))</f>
        <v>11</v>
      </c>
      <c r="I10" s="50" t="n">
        <f aca="false">H10*G10</f>
        <v>56668.04</v>
      </c>
      <c r="J10" s="50" t="n">
        <f aca="false">BQ10*Parameter!$B$18</f>
        <v>20</v>
      </c>
      <c r="K10" s="51" t="n">
        <v>12</v>
      </c>
      <c r="L10" s="52" t="n">
        <v>1.66666666666667</v>
      </c>
      <c r="M10" s="50" t="n">
        <v>5</v>
      </c>
      <c r="N10" s="50" t="n">
        <v>5</v>
      </c>
      <c r="O10" s="53" t="n">
        <v>28</v>
      </c>
      <c r="P10" s="48" t="s">
        <v>172</v>
      </c>
      <c r="Q10" s="50"/>
      <c r="R10" s="53" t="n">
        <f aca="false">IF(BW10=1,0,IFERROR(VLOOKUP(BU10,'Gebinde-Kategorie'!$A$5:$N$45,13,0)+0,0))</f>
        <v>12</v>
      </c>
      <c r="S10" s="54"/>
      <c r="T10" s="55" t="s">
        <v>183</v>
      </c>
      <c r="U10" s="55"/>
      <c r="V10" s="55"/>
      <c r="W10" s="48"/>
      <c r="X10" s="50"/>
      <c r="Y10" s="50"/>
      <c r="Z10" s="48" t="n">
        <f aca="false">IF(A10="","",IF(AND(Parameter!$B$21="Ja",ISNUMBER(W10)),W10,IF(BZ10="2+3",IF(ISNUMBER(SEARCH("grosser Artikel",BR10)),2,IFERROR(VLOOKUP(BU10,Parameter!$F$35:$G$64,2,0),2)),IF(OR(BZ10="Nein",BZ10=""),"-",BZ10))))</f>
        <v>2</v>
      </c>
      <c r="AA10" s="55"/>
      <c r="AB10" s="56"/>
      <c r="AC10" s="50" t="n">
        <f aca="false">AT10</f>
        <v>11</v>
      </c>
      <c r="AD10" s="50" t="n">
        <f aca="false">MAX(AT10,H10)</f>
        <v>11</v>
      </c>
      <c r="AE10" s="57"/>
      <c r="AF10" s="50" t="n">
        <f aca="false">IF(LEFT(Cockpit!$C$5,1)="A",H10,IF(CE10=1,CF10,IF(LEFT(Cockpit!$C$5,1)="B",AK10,MAX(AK10,H10))))</f>
        <v>11</v>
      </c>
      <c r="AG10" s="50" t="n">
        <f aca="false">IF(BW10=1,0,ROUNDUP(AF10/BV10,0))</f>
        <v>1</v>
      </c>
      <c r="AH10" s="52" t="n">
        <f aca="false">IF(CL10&gt;0,CL10*MAX(1,AF10/X10),IF(BW10=1,IF(AF10&lt;=0,0,CA10*MAX(1,IF(H10&gt;0,AF10/H10,1))),IF(R10&gt;0,AG10/R10,0))/MAX(0.1,N(Parameter!$M$21)))</f>
        <v>0.0833333333333333</v>
      </c>
      <c r="AI10" s="50" t="n">
        <f aca="false">AH10*BY10</f>
        <v>12.0833333333333</v>
      </c>
      <c r="AJ10" s="50" t="n">
        <f aca="false">AF10*G10</f>
        <v>56668.04</v>
      </c>
      <c r="AK10" s="50" t="n">
        <f aca="false">ROUNDUP(MAX(J10/IF(CD10&gt;0,CD10,MAX(0.1,N(Cockpit!$C$6))),CG10)/BV10,0)*BV10</f>
        <v>11</v>
      </c>
      <c r="AL10" s="51" t="n">
        <f aca="false">IF(AI10&gt;0,J10/AI10,-1)</f>
        <v>1.6551724137931</v>
      </c>
      <c r="AM10" s="51" t="n">
        <f aca="false">IF(AND(OR(CC10="L1",CC10="L23",CC10="LIFT"),AI10&gt;0),SUMIFS($AI$7:$AI$1843,$CC$7:$CC$1843,CC10,$AL$7:$AL$1843,"&gt;"&amp;AL10)+SUMIFS($AI$7:$AI$1843,$CC$7:$CC$1843,CC10,$AL$7:$AL$1843,AL10,$BT$7:$BT$1843,"&lt;="&amp;BT10),"")</f>
        <v>6116.69276556777</v>
      </c>
      <c r="AN10" s="58" t="n">
        <f aca="false">IF(AM10="",0,MAX(0,MIN(1,(IF(CC10="L1",Parameter!$H$5,IF(CC10="L23",Parameter!$H$6+Parameter!$H$7,Parameter!$H$5+Parameter!$H$6+Parameter!$H$7))-(AM10-AI10))/AI10)))</f>
        <v>1</v>
      </c>
      <c r="AO10" s="50" t="n">
        <f aca="false">IF(LEFT(Cockpit!$I$5,1)="A",H10,IF(CE10=1,CF10,IF(LEFT(Cockpit!$I$5,1)="B",AT10,MAX(AT10,H10))))</f>
        <v>11</v>
      </c>
      <c r="AP10" s="50" t="n">
        <f aca="false">IF(BW10=1,0,ROUNDUP(AO10/BV10,0))</f>
        <v>1</v>
      </c>
      <c r="AQ10" s="52" t="n">
        <f aca="false">IF(CL10&gt;0,CL10*MAX(1,AO10/X10),IF(BW10=1,IF(AO10&lt;=0,0,CA10*MAX(1,IF(H10&gt;0,AO10/H10,1))),IF(R10&gt;0,AP10/R10,0))/MAX(0.1,N(Parameter!$M$21)))</f>
        <v>0.0833333333333333</v>
      </c>
      <c r="AR10" s="50" t="n">
        <f aca="false">AQ10*BY10</f>
        <v>12.0833333333333</v>
      </c>
      <c r="AS10" s="50" t="n">
        <f aca="false">AO10*G10</f>
        <v>56668.04</v>
      </c>
      <c r="AT10" s="50" t="n">
        <f aca="false">ROUNDUP(MAX(J10/IF(CD10&gt;0,CD10,MAX(0.1,N(Cockpit!$I$6))),CG10)/BV10,0)*BV10</f>
        <v>11</v>
      </c>
      <c r="AU10" s="51" t="n">
        <f aca="false">IF(AR10&gt;0,J10/AR10,-1)</f>
        <v>1.6551724137931</v>
      </c>
      <c r="AV10" s="51" t="n">
        <f aca="false">IF(AND(OR(CC10="L1",CC10="L23",CC10="LIFT"),AR10&gt;0),SUMIFS($AR$7:$AR$1843,$CC$7:$CC$1843,CC10,$AU$7:$AU$1843,"&gt;"&amp;AU10)+SUMIFS($AR$7:$AR$1843,$CC$7:$CC$1843,CC10,$AU$7:$AU$1843,AU10,$BT$7:$BT$1843,"&lt;="&amp;BT10),"")</f>
        <v>8278.62271062271</v>
      </c>
      <c r="AW10" s="58" t="n">
        <f aca="false">IF(AV10="",0,MAX(0,MIN(1,(IF(CC10="L1",Parameter!$H$5,IF(CC10="L23",Parameter!$H$6+Parameter!$H$7,Parameter!$H$5+Parameter!$H$6+Parameter!$H$7))-(AV10-AR10))/AR10)))</f>
        <v>1</v>
      </c>
      <c r="AX10" s="50" t="n">
        <f aca="false">IF(LEFT(Cockpit!$O$5,1)="A",H10,IF(CE10=1,CF10,IF(LEFT(Cockpit!$O$5,1)="B",BC10,MAX(BC10,H10))))</f>
        <v>11</v>
      </c>
      <c r="AY10" s="50" t="n">
        <f aca="false">IF(BW10=1,0,ROUNDUP(AX10/BV10,0))</f>
        <v>1</v>
      </c>
      <c r="AZ10" s="52" t="n">
        <f aca="false">IF(CL10&gt;0,CL10*MAX(1,AX10/X10),IF(BW10=1,IF(AX10&lt;=0,0,CA10*MAX(1,IF(H10&gt;0,AX10/H10,1))),IF(R10&gt;0,AY10/R10,0))/MAX(0.1,N(Parameter!$M$21)))</f>
        <v>0.0833333333333333</v>
      </c>
      <c r="BA10" s="50" t="n">
        <f aca="false">AZ10*BY10</f>
        <v>12.0833333333333</v>
      </c>
      <c r="BB10" s="50" t="n">
        <f aca="false">AX10*G10</f>
        <v>56668.04</v>
      </c>
      <c r="BC10" s="50" t="n">
        <f aca="false">ROUNDUP(MAX(J10/IF(CD10&gt;0,CD10,MAX(0.1,N(Cockpit!$O$6))),CG10)/BV10,0)*BV10</f>
        <v>11</v>
      </c>
      <c r="BD10" s="51" t="n">
        <f aca="false">IF(BA10&gt;0,J10/BA10,-1)</f>
        <v>1.6551724137931</v>
      </c>
      <c r="BE10" s="51" t="n">
        <f aca="false">IF(AND(OR(CC10="L1",CC10="L23",CC10="LIFT"),BA10&gt;0),SUMIFS($BA$7:$BA$1843,$CC$7:$CC$1843,CC10,$BD$7:$BD$1843,"&gt;"&amp;BD10)+SUMIFS($BA$7:$BA$1843,$CC$7:$CC$1843,CC10,$BD$7:$BD$1843,BD10,$BT$7:$BT$1843,"&lt;="&amp;BT10),"")</f>
        <v>8193.02976190476</v>
      </c>
      <c r="BF10" s="58" t="n">
        <f aca="false">IF(BE10="",0,MAX(0,MIN(1,(IF(CC10="L1",Parameter!$H$5,IF(CC10="L23",Parameter!$H$6+Parameter!$H$7,Parameter!$H$5+Parameter!$H$6+Parameter!$H$7))-(BE10-BA10))/BA10)))</f>
        <v>1</v>
      </c>
      <c r="BG10" s="48" t="str">
        <f aca="false">IF(AI10&lt;=0,"",IF(CC10="Aussen","Aussenlager",IF(CC10="-","Nicht im Lift",IF(AN10&gt;=1,"Lift",IF(AN10&lt;=0,"Aussenlager","teilweise")))))</f>
        <v>Lift</v>
      </c>
      <c r="BH10" s="48" t="str">
        <f aca="false">IF(AR10&lt;=0,"",IF(CC10="Aussen","Aussenlager",IF(CC10="-","Nicht im Lift",IF(AW10&gt;=1,"Lift",IF(AW10&lt;=0,"Aussenlager","teilweise")))))</f>
        <v>Lift</v>
      </c>
      <c r="BI10" s="48" t="str">
        <f aca="false">IF(BA10&lt;=0,"",IF(CC10="Aussen","Aussenlager",IF(CC10="-","Nicht im Lift",IF(BF10&gt;=1,"Lift",IF(BF10&lt;=0,"Aussenlager","teilweise")))))</f>
        <v>Lift</v>
      </c>
      <c r="BJ10" s="48" t="str">
        <f aca="false">IF(A10="","",IF(BS10=1,"Neu; ","")&amp;IF(AND(BS10=0,BN10&lt;0),"negativer Bestand (Export "&amp;BN10&amp;"); ","")&amp;IF(J10&lt;=0,"Kein Verbrauch; ","")&amp;IF(CL10&gt;0,"Lift "&amp;W10&amp;" lt. Liftbericht (Fach "&amp;X10&amp;" Stk); ",IF(BX10=1,"Gebinde geschätzt ("&amp;T10&amp;"); ",IF(BW10=1,"Lose – Tablare geschätzt; ","")))&amp;IF(H10&gt;AT10,"Überbestand "&amp;ROUND(H10-AT10,0)&amp;" Stk / CHF "&amp;ROUND((H10-AT10)*G10,0)&amp;"; ","")&amp;IF(AND(CE10=1,CF10&lt;CG10),"MAX &lt; MB+LG; ","")&amp;IF(AND(CK10&gt;0,CJ10*10&gt;CK10),"zu hoch für Tablar; ","")&amp;IF(AND(BS10=0,OR(CE10=1,AA10&lt;&gt;"",U10&lt;&gt;"",V10&lt;&gt;"",AB10&lt;&gt;"")),"manuell übersteuert; ","")&amp;IF(AND(BW10=0,R10=0),"Gebinde unbekannt / Stellmass fehlt; ","")&amp;IF(AND(BW10=0,N(V10)&lt;=0,N(Q10)&lt;=0),"Menge pro Gebinde fehlt (Ist = 1 Gebinde); ","")&amp;BR10)</f>
        <v>Gebinde geschätzt (Mittel); Menge pro Gebinde fehlt (Ist = 1 Gebinde); </v>
      </c>
      <c r="BK10" s="48"/>
      <c r="BL10" s="48"/>
      <c r="BM10" s="55"/>
      <c r="BN10" s="50" t="n">
        <v>11</v>
      </c>
      <c r="BO10" s="50" t="n">
        <v>0</v>
      </c>
      <c r="BP10" s="49" t="n">
        <v>56668.07</v>
      </c>
      <c r="BQ10" s="50" t="n">
        <v>20</v>
      </c>
      <c r="BR10" s="48"/>
      <c r="BS10" s="53" t="n">
        <v>0</v>
      </c>
      <c r="BT10" s="53" t="n">
        <v>10</v>
      </c>
      <c r="BU10" s="48" t="str">
        <f aca="false">IF(U10&lt;&gt;"",UPPER(TRIM(U10)),IF(BX10=1,UPPER(VLOOKUP(T10,Parameter!$I$27:$K$29,2,0)),IF(P10="","LOSE",P10)))</f>
        <v>S61</v>
      </c>
      <c r="BV10" s="50" t="n">
        <f aca="false">IF(BU10="LOSE",1,IF(N(V10)&gt;0,V10,IF(BX10=1,MAX(1,N(VLOOKUP(T10,Parameter!$I$27:$K$29,3,0)),H10,N(N10)),IF(N(Q10)&gt;0,Q10,MAX(1,H10)))))</f>
        <v>11</v>
      </c>
      <c r="BW10" s="53" t="n">
        <f aca="false">IF(BU10="LOSE",1,0)</f>
        <v>0</v>
      </c>
      <c r="BX10" s="53" t="n">
        <f aca="false">IF(AND(U10="",OR(P10="",P10="LOSE"),T10&lt;&gt;"",N(S10)&lt;=0,ISNUMBER(MATCH(T10,Parameter!$I$27:$I$29,0))),1,0)</f>
        <v>1</v>
      </c>
      <c r="BY10" s="53" t="n">
        <f aca="false">IF(CL10&gt;0,INDEX(Parameter!$H$5:$H$7,W10)/INDEX(Parameter!$E$5:$E$7,W10),IF(AND(BW10=0,N(IFERROR(VLOOKUP(BU10,'Gebinde-Kategorie'!$A$5:$N$45,14,0),0))&gt;0),VLOOKUP(BU10,'Gebinde-Kategorie'!$A$5:$N$45,14,0)*10+Parameter!$M$23,Parameter!$M$24))</f>
        <v>145</v>
      </c>
      <c r="BZ10" s="48" t="str">
        <f aca="false">IF(AND(Parameter!$B$19="Ja",E10&lt;&gt;"",ISNUMBER(MATCH(E10,Parameter!$I$35:$I$52,0))),VLOOKUP(E10,Parameter!$I$35:$J$52,2,0),IFERROR(VLOOKUP(D10,Parameter!$A$35:$C$64,2,0),"Nein"))</f>
        <v>2+3</v>
      </c>
      <c r="CA10" s="52" t="n">
        <f aca="false">IF(BW10=0,0,IF(N(S10)&gt;0,S10,IFERROR(VLOOKUP(D10,Parameter!$A$35:$C$64,3,0)+0,0)))</f>
        <v>0</v>
      </c>
      <c r="CB10" s="48" t="n">
        <f aca="false">IF(AA10&lt;&gt;"",AA10,Z10)</f>
        <v>2</v>
      </c>
      <c r="CC10" s="48" t="str">
        <f aca="false">IF(OR(CB10=1,CB10=2,CB10=3),IF(Parameter!$E$27="Ja","LIFT",IF(CB10=1,"L1","L23")),IF(CB10="Aussen","Aussen","-"))</f>
        <v>LIFT</v>
      </c>
      <c r="CD10" s="59" t="n">
        <f aca="false">IF(N(AB10)&gt;0,AB10,0)</f>
        <v>0</v>
      </c>
      <c r="CE10" s="53" t="n">
        <f aca="false">IF(ISNUMBER(AE10),1,0)</f>
        <v>0</v>
      </c>
      <c r="CF10" s="50" t="n">
        <f aca="false">N(AE10)</f>
        <v>0</v>
      </c>
      <c r="CG10" s="50" t="n">
        <f aca="false">N(M10)+N(N10)</f>
        <v>10</v>
      </c>
      <c r="CH10" s="50" t="n">
        <f aca="false">ROUNDUP(H10/BV10,0)</f>
        <v>1</v>
      </c>
      <c r="CI10" s="50" t="n">
        <f aca="false">ROUNDUP(CF10/BV10,0)</f>
        <v>0</v>
      </c>
      <c r="CJ10" s="53" t="n">
        <f aca="false">IF(BW10=1,0,IFERROR(VLOOKUP(BU10,'Gebinde-Kategorie'!$A$5:$N$45,5,0)+0,0))</f>
        <v>11</v>
      </c>
      <c r="CK10" s="53" t="n">
        <f aca="false">IFERROR(IF(OR(CB10=1,CB10=2,CB10=3),N(INDEX(Parameter!$I$5:$I$7,CB10)),0),0)</f>
        <v>0</v>
      </c>
      <c r="CL10" s="52" t="n">
        <f aca="false">IF(AND(Parameter!$B$21="Ja",ISNUMBER(W10),N(X10)&gt;0),IFERROR(N(INDEX(Parameter!$L$5:$L$7,W10))*INDEX(Parameter!$E$5:$E$7,W10)*X10/SUMIFS($X$7:$X$1843,$W$7:$W$1843,W10),0),0)</f>
        <v>0</v>
      </c>
    </row>
    <row r="11" customFormat="false" ht="15" hidden="false" customHeight="false" outlineLevel="0" collapsed="false">
      <c r="A11" s="48" t="s">
        <v>186</v>
      </c>
      <c r="B11" s="48" t="s">
        <v>187</v>
      </c>
      <c r="C11" s="48" t="s">
        <v>168</v>
      </c>
      <c r="D11" s="48" t="s">
        <v>188</v>
      </c>
      <c r="E11" s="48" t="s">
        <v>189</v>
      </c>
      <c r="F11" s="48" t="s">
        <v>171</v>
      </c>
      <c r="G11" s="49" t="n">
        <v>308.41</v>
      </c>
      <c r="H11" s="50" t="n">
        <f aca="false">MAX(0,IF(AND(Parameter!$B$21="Ja",ISNUMBER(Y11)),Y11,IF(Parameter!$B$20="Jahresanfang 2025 + Export",BO11+BN11,BN11)))</f>
        <v>174</v>
      </c>
      <c r="I11" s="50" t="n">
        <f aca="false">H11*G11</f>
        <v>53663.34</v>
      </c>
      <c r="J11" s="50" t="n">
        <f aca="false">BQ11*Parameter!$B$18</f>
        <v>1</v>
      </c>
      <c r="K11" s="51" t="n">
        <v>6</v>
      </c>
      <c r="L11" s="52" t="n">
        <v>0.166666666666667</v>
      </c>
      <c r="M11" s="50" t="n">
        <v>0</v>
      </c>
      <c r="N11" s="50" t="n">
        <v>1</v>
      </c>
      <c r="O11" s="53" t="n">
        <v>14</v>
      </c>
      <c r="P11" s="48" t="s">
        <v>190</v>
      </c>
      <c r="Q11" s="50" t="n">
        <v>6</v>
      </c>
      <c r="R11" s="53" t="n">
        <f aca="false">IF(BW11=1,0,IFERROR(VLOOKUP(BU11,'Gebinde-Kategorie'!$A$5:$N$45,13,0)+0,0))</f>
        <v>12</v>
      </c>
      <c r="S11" s="54"/>
      <c r="T11" s="55"/>
      <c r="U11" s="55"/>
      <c r="V11" s="55"/>
      <c r="W11" s="48"/>
      <c r="X11" s="50"/>
      <c r="Y11" s="50"/>
      <c r="Z11" s="48" t="n">
        <f aca="false">IF(A11="","",IF(AND(Parameter!$B$21="Ja",ISNUMBER(W11)),W11,IF(BZ11="2+3",IF(ISNUMBER(SEARCH("grosser Artikel",BR11)),2,IFERROR(VLOOKUP(BU11,Parameter!$F$35:$G$64,2,0),2)),IF(OR(BZ11="Nein",BZ11=""),"-",BZ11))))</f>
        <v>2</v>
      </c>
      <c r="AA11" s="55"/>
      <c r="AB11" s="56"/>
      <c r="AC11" s="50" t="n">
        <f aca="false">AT11</f>
        <v>6</v>
      </c>
      <c r="AD11" s="50" t="n">
        <f aca="false">MAX(AT11,H11)</f>
        <v>174</v>
      </c>
      <c r="AE11" s="57"/>
      <c r="AF11" s="50" t="n">
        <f aca="false">IF(LEFT(Cockpit!$C$5,1)="A",H11,IF(CE11=1,CF11,IF(LEFT(Cockpit!$C$5,1)="B",AK11,MAX(AK11,H11))))</f>
        <v>174</v>
      </c>
      <c r="AG11" s="50" t="n">
        <f aca="false">IF(BW11=1,0,ROUNDUP(AF11/BV11,0))</f>
        <v>29</v>
      </c>
      <c r="AH11" s="52" t="n">
        <f aca="false">IF(CL11&gt;0,CL11*MAX(1,AF11/X11),IF(BW11=1,IF(AF11&lt;=0,0,CA11*MAX(1,IF(H11&gt;0,AF11/H11,1))),IF(R11&gt;0,AG11/R11,0))/MAX(0.1,N(Parameter!$M$21)))</f>
        <v>2.41666666666667</v>
      </c>
      <c r="AI11" s="50" t="n">
        <f aca="false">AH11*BY11</f>
        <v>350.416666666667</v>
      </c>
      <c r="AJ11" s="50" t="n">
        <f aca="false">AF11*G11</f>
        <v>53663.34</v>
      </c>
      <c r="AK11" s="50" t="n">
        <f aca="false">ROUNDUP(MAX(J11/IF(CD11&gt;0,CD11,MAX(0.1,N(Cockpit!$C$6))),CG11)/BV11,0)*BV11</f>
        <v>6</v>
      </c>
      <c r="AL11" s="51" t="n">
        <f aca="false">IF(AI11&gt;0,J11/AI11,-1)</f>
        <v>0.00285374554102259</v>
      </c>
      <c r="AM11" s="51" t="n">
        <f aca="false">IF(AND(OR(CC11="L1",CC11="L23",CC11="LIFT"),AI11&gt;0),SUMIFS($AI$7:$AI$1843,$CC$7:$CC$1843,CC11,$AL$7:$AL$1843,"&gt;"&amp;AL11)+SUMIFS($AI$7:$AI$1843,$CC$7:$CC$1843,CC11,$AL$7:$AL$1843,AL11,$BT$7:$BT$1843,"&lt;="&amp;BT11),"")</f>
        <v>25427.9147653194</v>
      </c>
      <c r="AN11" s="58" t="n">
        <f aca="false">IF(AM11="",0,MAX(0,MIN(1,(IF(CC11="L1",Parameter!$H$5,IF(CC11="L23",Parameter!$H$6+Parameter!$H$7,Parameter!$H$5+Parameter!$H$6+Parameter!$H$7))-(AM11-AI11))/AI11)))</f>
        <v>1</v>
      </c>
      <c r="AO11" s="50" t="n">
        <f aca="false">IF(LEFT(Cockpit!$I$5,1)="A",H11,IF(CE11=1,CF11,IF(LEFT(Cockpit!$I$5,1)="B",AT11,MAX(AT11,H11))))</f>
        <v>174</v>
      </c>
      <c r="AP11" s="50" t="n">
        <f aca="false">IF(BW11=1,0,ROUNDUP(AO11/BV11,0))</f>
        <v>29</v>
      </c>
      <c r="AQ11" s="52" t="n">
        <f aca="false">IF(CL11&gt;0,CL11*MAX(1,AO11/X11),IF(BW11=1,IF(AO11&lt;=0,0,CA11*MAX(1,IF(H11&gt;0,AO11/H11,1))),IF(R11&gt;0,AP11/R11,0))/MAX(0.1,N(Parameter!$M$21)))</f>
        <v>2.41666666666667</v>
      </c>
      <c r="AR11" s="50" t="n">
        <f aca="false">AQ11*BY11</f>
        <v>350.416666666667</v>
      </c>
      <c r="AS11" s="50" t="n">
        <f aca="false">AO11*G11</f>
        <v>53663.34</v>
      </c>
      <c r="AT11" s="50" t="n">
        <f aca="false">ROUNDUP(MAX(J11/IF(CD11&gt;0,CD11,MAX(0.1,N(Cockpit!$I$6))),CG11)/BV11,0)*BV11</f>
        <v>6</v>
      </c>
      <c r="AU11" s="51" t="n">
        <f aca="false">IF(AR11&gt;0,J11/AR11,-1)</f>
        <v>0.00285374554102259</v>
      </c>
      <c r="AV11" s="51" t="n">
        <f aca="false">IF(AND(OR(CC11="L1",CC11="L23",CC11="LIFT"),AR11&gt;0),SUMIFS($AR$7:$AR$1843,$CC$7:$CC$1843,CC11,$AU$7:$AU$1843,"&gt;"&amp;AU11)+SUMIFS($AR$7:$AR$1843,$CC$7:$CC$1843,CC11,$AU$7:$AU$1843,AU11,$BT$7:$BT$1843,"&lt;="&amp;BT11),"")</f>
        <v>36673.4379850376</v>
      </c>
      <c r="AW11" s="58" t="n">
        <f aca="false">IF(AV11="",0,MAX(0,MIN(1,(IF(CC11="L1",Parameter!$H$5,IF(CC11="L23",Parameter!$H$6+Parameter!$H$7,Parameter!$H$5+Parameter!$H$6+Parameter!$H$7))-(AV11-AR11))/AR11)))</f>
        <v>0</v>
      </c>
      <c r="AX11" s="50" t="n">
        <f aca="false">IF(LEFT(Cockpit!$O$5,1)="A",H11,IF(CE11=1,CF11,IF(LEFT(Cockpit!$O$5,1)="B",BC11,MAX(BC11,H11))))</f>
        <v>174</v>
      </c>
      <c r="AY11" s="50" t="n">
        <f aca="false">IF(BW11=1,0,ROUNDUP(AX11/BV11,0))</f>
        <v>29</v>
      </c>
      <c r="AZ11" s="52" t="n">
        <f aca="false">IF(CL11&gt;0,CL11*MAX(1,AX11/X11),IF(BW11=1,IF(AX11&lt;=0,0,CA11*MAX(1,IF(H11&gt;0,AX11/H11,1))),IF(R11&gt;0,AY11/R11,0))/MAX(0.1,N(Parameter!$M$21)))</f>
        <v>2.41666666666667</v>
      </c>
      <c r="BA11" s="50" t="n">
        <f aca="false">AZ11*BY11</f>
        <v>350.416666666667</v>
      </c>
      <c r="BB11" s="50" t="n">
        <f aca="false">AX11*G11</f>
        <v>53663.34</v>
      </c>
      <c r="BC11" s="50" t="n">
        <f aca="false">ROUNDUP(MAX(J11/IF(CD11&gt;0,CD11,MAX(0.1,N(Cockpit!$O$6))),CG11)/BV11,0)*BV11</f>
        <v>6</v>
      </c>
      <c r="BD11" s="51" t="n">
        <f aca="false">IF(BA11&gt;0,J11/BA11,-1)</f>
        <v>0.00285374554102259</v>
      </c>
      <c r="BE11" s="51" t="n">
        <f aca="false">IF(AND(OR(CC11="L1",CC11="L23",CC11="LIFT"),BA11&gt;0),SUMIFS($BA$7:$BA$1843,$CC$7:$CC$1843,CC11,$BD$7:$BD$1843,"&gt;"&amp;BD11)+SUMIFS($BA$7:$BA$1843,$CC$7:$CC$1843,CC11,$BD$7:$BD$1843,BD11,$BT$7:$BT$1843,"&lt;="&amp;BT11),"")</f>
        <v>33348.4500269034</v>
      </c>
      <c r="BF11" s="58" t="n">
        <f aca="false">IF(BE11="",0,MAX(0,MIN(1,(IF(CC11="L1",Parameter!$H$5,IF(CC11="L23",Parameter!$H$6+Parameter!$H$7,Parameter!$H$5+Parameter!$H$6+Parameter!$H$7))-(BE11-BA11))/BA11)))</f>
        <v>1</v>
      </c>
      <c r="BG11" s="48" t="str">
        <f aca="false">IF(AI11&lt;=0,"",IF(CC11="Aussen","Aussenlager",IF(CC11="-","Nicht im Lift",IF(AN11&gt;=1,"Lift",IF(AN11&lt;=0,"Aussenlager","teilweise")))))</f>
        <v>Lift</v>
      </c>
      <c r="BH11" s="48" t="str">
        <f aca="false">IF(AR11&lt;=0,"",IF(CC11="Aussen","Aussenlager",IF(CC11="-","Nicht im Lift",IF(AW11&gt;=1,"Lift",IF(AW11&lt;=0,"Aussenlager","teilweise")))))</f>
        <v>Aussenlager</v>
      </c>
      <c r="BI11" s="48" t="str">
        <f aca="false">IF(BA11&lt;=0,"",IF(CC11="Aussen","Aussenlager",IF(CC11="-","Nicht im Lift",IF(BF11&gt;=1,"Lift",IF(BF11&lt;=0,"Aussenlager","teilweise")))))</f>
        <v>Lift</v>
      </c>
      <c r="BJ11" s="48" t="str">
        <f aca="false">IF(A11="","",IF(BS11=1,"Neu; ","")&amp;IF(AND(BS11=0,BN11&lt;0),"negativer Bestand (Export "&amp;BN11&amp;"); ","")&amp;IF(J11&lt;=0,"Kein Verbrauch; ","")&amp;IF(CL11&gt;0,"Lift "&amp;W11&amp;" lt. Liftbericht (Fach "&amp;X11&amp;" Stk); ",IF(BX11=1,"Gebinde geschätzt ("&amp;T11&amp;"); ",IF(BW11=1,"Lose – Tablare geschätzt; ","")))&amp;IF(H11&gt;AT11,"Überbestand "&amp;ROUND(H11-AT11,0)&amp;" Stk / CHF "&amp;ROUND((H11-AT11)*G11,0)&amp;"; ","")&amp;IF(AND(CE11=1,CF11&lt;CG11),"MAX &lt; MB+LG; ","")&amp;IF(AND(CK11&gt;0,CJ11*10&gt;CK11),"zu hoch für Tablar; ","")&amp;IF(AND(BS11=0,OR(CE11=1,AA11&lt;&gt;"",U11&lt;&gt;"",V11&lt;&gt;"",AB11&lt;&gt;"")),"manuell übersteuert; ","")&amp;IF(AND(BW11=0,R11=0),"Gebinde unbekannt / Stellmass fehlt; ","")&amp;IF(AND(BW11=0,N(V11)&lt;=0,N(Q11)&lt;=0),"Menge pro Gebinde fehlt (Ist = 1 Gebinde); ","")&amp;BR11)</f>
        <v>Überbestand 168 Stk / CHF 51813; </v>
      </c>
      <c r="BK11" s="48"/>
      <c r="BL11" s="48"/>
      <c r="BM11" s="55"/>
      <c r="BN11" s="50" t="n">
        <v>167</v>
      </c>
      <c r="BO11" s="50" t="n">
        <v>7</v>
      </c>
      <c r="BP11" s="49" t="n">
        <v>51492.01</v>
      </c>
      <c r="BQ11" s="50" t="n">
        <v>1</v>
      </c>
      <c r="BR11" s="48"/>
      <c r="BS11" s="53" t="n">
        <v>0</v>
      </c>
      <c r="BT11" s="53" t="n">
        <v>11</v>
      </c>
      <c r="BU11" s="48" t="str">
        <f aca="false">IF(U11&lt;&gt;"",UPPER(TRIM(U11)),IF(BX11=1,UPPER(VLOOKUP(T11,Parameter!$I$27:$K$29,2,0)),IF(P11="","LOSE",P11)))</f>
        <v>S61</v>
      </c>
      <c r="BV11" s="50" t="n">
        <f aca="false">IF(BU11="LOSE",1,IF(N(V11)&gt;0,V11,IF(BX11=1,MAX(1,N(VLOOKUP(T11,Parameter!$I$27:$K$29,3,0)),H11,N(N11)),IF(N(Q11)&gt;0,Q11,MAX(1,H11)))))</f>
        <v>6</v>
      </c>
      <c r="BW11" s="53" t="n">
        <f aca="false">IF(BU11="LOSE",1,0)</f>
        <v>0</v>
      </c>
      <c r="BX11" s="53" t="n">
        <f aca="false">IF(AND(U11="",OR(P11="",P11="LOSE"),T11&lt;&gt;"",N(S11)&lt;=0,ISNUMBER(MATCH(T11,Parameter!$I$27:$I$29,0))),1,0)</f>
        <v>0</v>
      </c>
      <c r="BY11" s="53" t="n">
        <f aca="false">IF(CL11&gt;0,INDEX(Parameter!$H$5:$H$7,W11)/INDEX(Parameter!$E$5:$E$7,W11),IF(AND(BW11=0,N(IFERROR(VLOOKUP(BU11,'Gebinde-Kategorie'!$A$5:$N$45,14,0),0))&gt;0),VLOOKUP(BU11,'Gebinde-Kategorie'!$A$5:$N$45,14,0)*10+Parameter!$M$23,Parameter!$M$24))</f>
        <v>145</v>
      </c>
      <c r="BZ11" s="48" t="str">
        <f aca="false">IF(AND(Parameter!$B$19="Ja",E11&lt;&gt;"",ISNUMBER(MATCH(E11,Parameter!$I$35:$I$52,0))),VLOOKUP(E11,Parameter!$I$35:$J$52,2,0),IFERROR(VLOOKUP(D11,Parameter!$A$35:$C$64,2,0),"Nein"))</f>
        <v>2+3</v>
      </c>
      <c r="CA11" s="52" t="n">
        <f aca="false">IF(BW11=0,0,IF(N(S11)&gt;0,S11,IFERROR(VLOOKUP(D11,Parameter!$A$35:$C$64,3,0)+0,0)))</f>
        <v>0</v>
      </c>
      <c r="CB11" s="48" t="n">
        <f aca="false">IF(AA11&lt;&gt;"",AA11,Z11)</f>
        <v>2</v>
      </c>
      <c r="CC11" s="48" t="str">
        <f aca="false">IF(OR(CB11=1,CB11=2,CB11=3),IF(Parameter!$E$27="Ja","LIFT",IF(CB11=1,"L1","L23")),IF(CB11="Aussen","Aussen","-"))</f>
        <v>LIFT</v>
      </c>
      <c r="CD11" s="59" t="n">
        <f aca="false">IF(N(AB11)&gt;0,AB11,0)</f>
        <v>0</v>
      </c>
      <c r="CE11" s="53" t="n">
        <f aca="false">IF(ISNUMBER(AE11),1,0)</f>
        <v>0</v>
      </c>
      <c r="CF11" s="50" t="n">
        <f aca="false">N(AE11)</f>
        <v>0</v>
      </c>
      <c r="CG11" s="50" t="n">
        <f aca="false">N(M11)+N(N11)</f>
        <v>1</v>
      </c>
      <c r="CH11" s="50" t="n">
        <f aca="false">ROUNDUP(H11/BV11,0)</f>
        <v>29</v>
      </c>
      <c r="CI11" s="50" t="n">
        <f aca="false">ROUNDUP(CF11/BV11,0)</f>
        <v>0</v>
      </c>
      <c r="CJ11" s="53" t="n">
        <f aca="false">IF(BW11=1,0,IFERROR(VLOOKUP(BU11,'Gebinde-Kategorie'!$A$5:$N$45,5,0)+0,0))</f>
        <v>11</v>
      </c>
      <c r="CK11" s="53" t="n">
        <f aca="false">IFERROR(IF(OR(CB11=1,CB11=2,CB11=3),N(INDEX(Parameter!$I$5:$I$7,CB11)),0),0)</f>
        <v>0</v>
      </c>
      <c r="CL11" s="52" t="n">
        <f aca="false">IF(AND(Parameter!$B$21="Ja",ISNUMBER(W11),N(X11)&gt;0),IFERROR(N(INDEX(Parameter!$L$5:$L$7,W11))*INDEX(Parameter!$E$5:$E$7,W11)*X11/SUMIFS($X$7:$X$1843,$W$7:$W$1843,W11),0),0)</f>
        <v>0</v>
      </c>
    </row>
    <row r="12" customFormat="false" ht="15" hidden="false" customHeight="false" outlineLevel="0" collapsed="false">
      <c r="A12" s="48" t="s">
        <v>191</v>
      </c>
      <c r="B12" s="48" t="s">
        <v>192</v>
      </c>
      <c r="C12" s="48" t="s">
        <v>168</v>
      </c>
      <c r="D12" s="48" t="s">
        <v>177</v>
      </c>
      <c r="E12" s="48"/>
      <c r="F12" s="48" t="s">
        <v>171</v>
      </c>
      <c r="G12" s="49" t="n">
        <v>2228.65</v>
      </c>
      <c r="H12" s="50" t="n">
        <f aca="false">MAX(0,IF(AND(Parameter!$B$21="Ja",ISNUMBER(Y12)),Y12,IF(Parameter!$B$20="Jahresanfang 2025 + Export",BO12+BN12,BN12)))</f>
        <v>23</v>
      </c>
      <c r="I12" s="50" t="n">
        <f aca="false">H12*G12</f>
        <v>51258.95</v>
      </c>
      <c r="J12" s="50" t="n">
        <f aca="false">BQ12*Parameter!$B$18</f>
        <v>0</v>
      </c>
      <c r="K12" s="51" t="n">
        <v>0</v>
      </c>
      <c r="L12" s="52" t="n">
        <v>0</v>
      </c>
      <c r="M12" s="50" t="n">
        <v>0</v>
      </c>
      <c r="N12" s="50" t="n">
        <v>1</v>
      </c>
      <c r="O12" s="53" t="n">
        <v>9999</v>
      </c>
      <c r="P12" s="48" t="s">
        <v>172</v>
      </c>
      <c r="Q12" s="50"/>
      <c r="R12" s="53" t="n">
        <f aca="false">IF(BW12=1,0,IFERROR(VLOOKUP(BU12,'Gebinde-Kategorie'!$A$5:$N$45,13,0)+0,0))</f>
        <v>4</v>
      </c>
      <c r="S12" s="54"/>
      <c r="T12" s="55" t="s">
        <v>193</v>
      </c>
      <c r="U12" s="55"/>
      <c r="V12" s="55"/>
      <c r="W12" s="48"/>
      <c r="X12" s="50"/>
      <c r="Y12" s="50"/>
      <c r="Z12" s="48" t="n">
        <f aca="false">IF(A12="","",IF(AND(Parameter!$B$21="Ja",ISNUMBER(W12)),W12,IF(BZ12="2+3",IF(ISNUMBER(SEARCH("grosser Artikel",BR12)),2,IFERROR(VLOOKUP(BU12,Parameter!$F$35:$G$64,2,0),2)),IF(OR(BZ12="Nein",BZ12=""),"-",BZ12))))</f>
        <v>2</v>
      </c>
      <c r="AA12" s="55"/>
      <c r="AB12" s="56"/>
      <c r="AC12" s="50" t="n">
        <f aca="false">AT12</f>
        <v>23</v>
      </c>
      <c r="AD12" s="50" t="n">
        <f aca="false">MAX(AT12,H12)</f>
        <v>23</v>
      </c>
      <c r="AE12" s="57"/>
      <c r="AF12" s="50" t="n">
        <f aca="false">IF(LEFT(Cockpit!$C$5,1)="A",H12,IF(CE12=1,CF12,IF(LEFT(Cockpit!$C$5,1)="B",AK12,MAX(AK12,H12))))</f>
        <v>23</v>
      </c>
      <c r="AG12" s="50" t="n">
        <f aca="false">IF(BW12=1,0,ROUNDUP(AF12/BV12,0))</f>
        <v>1</v>
      </c>
      <c r="AH12" s="52" t="n">
        <f aca="false">IF(CL12&gt;0,CL12*MAX(1,AF12/X12),IF(BW12=1,IF(AF12&lt;=0,0,CA12*MAX(1,IF(H12&gt;0,AF12/H12,1))),IF(R12&gt;0,AG12/R12,0))/MAX(0.1,N(Parameter!$M$21)))</f>
        <v>0.25</v>
      </c>
      <c r="AI12" s="50" t="n">
        <f aca="false">AH12*BY12</f>
        <v>58.75</v>
      </c>
      <c r="AJ12" s="50" t="n">
        <f aca="false">AF12*G12</f>
        <v>51258.95</v>
      </c>
      <c r="AK12" s="50" t="n">
        <f aca="false">ROUNDUP(MAX(J12/IF(CD12&gt;0,CD12,MAX(0.1,N(Cockpit!$C$6))),CG12)/BV12,0)*BV12</f>
        <v>23</v>
      </c>
      <c r="AL12" s="51" t="n">
        <f aca="false">IF(AI12&gt;0,J12/AI12,-1)</f>
        <v>0</v>
      </c>
      <c r="AM12" s="51" t="n">
        <f aca="false">IF(AND(OR(CC12="L1",CC12="L23",CC12="LIFT"),AI12&gt;0),SUMIFS($AI$7:$AI$1843,$CC$7:$CC$1843,CC12,$AL$7:$AL$1843,"&gt;"&amp;AL12)+SUMIFS($AI$7:$AI$1843,$CC$7:$CC$1843,CC12,$AL$7:$AL$1843,AL12,$BT$7:$BT$1843,"&lt;="&amp;BT12),"")</f>
        <v>25487.7719081766</v>
      </c>
      <c r="AN12" s="58" t="n">
        <f aca="false">IF(AM12="",0,MAX(0,MIN(1,(IF(CC12="L1",Parameter!$H$5,IF(CC12="L23",Parameter!$H$6+Parameter!$H$7,Parameter!$H$5+Parameter!$H$6+Parameter!$H$7))-(AM12-AI12))/AI12)))</f>
        <v>1</v>
      </c>
      <c r="AO12" s="50" t="n">
        <f aca="false">IF(LEFT(Cockpit!$I$5,1)="A",H12,IF(CE12=1,CF12,IF(LEFT(Cockpit!$I$5,1)="B",AT12,MAX(AT12,H12))))</f>
        <v>23</v>
      </c>
      <c r="AP12" s="50" t="n">
        <f aca="false">IF(BW12=1,0,ROUNDUP(AO12/BV12,0))</f>
        <v>1</v>
      </c>
      <c r="AQ12" s="52" t="n">
        <f aca="false">IF(CL12&gt;0,CL12*MAX(1,AO12/X12),IF(BW12=1,IF(AO12&lt;=0,0,CA12*MAX(1,IF(H12&gt;0,AO12/H12,1))),IF(R12&gt;0,AP12/R12,0))/MAX(0.1,N(Parameter!$M$21)))</f>
        <v>0.25</v>
      </c>
      <c r="AR12" s="50" t="n">
        <f aca="false">AQ12*BY12</f>
        <v>58.75</v>
      </c>
      <c r="AS12" s="50" t="n">
        <f aca="false">AO12*G12</f>
        <v>51258.95</v>
      </c>
      <c r="AT12" s="50" t="n">
        <f aca="false">ROUNDUP(MAX(J12/IF(CD12&gt;0,CD12,MAX(0.1,N(Cockpit!$I$6))),CG12)/BV12,0)*BV12</f>
        <v>23</v>
      </c>
      <c r="AU12" s="51" t="n">
        <f aca="false">IF(AR12&gt;0,J12/AR12,-1)</f>
        <v>0</v>
      </c>
      <c r="AV12" s="51" t="n">
        <f aca="false">IF(AND(OR(CC12="L1",CC12="L23",CC12="LIFT"),AR12&gt;0),SUMIFS($AR$7:$AR$1843,$CC$7:$CC$1843,CC12,$AU$7:$AU$1843,"&gt;"&amp;AU12)+SUMIFS($AR$7:$AR$1843,$CC$7:$CC$1843,CC12,$AU$7:$AU$1843,AU12,$BT$7:$BT$1843,"&lt;="&amp;BT12),"")</f>
        <v>36733.2951278947</v>
      </c>
      <c r="AW12" s="58" t="n">
        <f aca="false">IF(AV12="",0,MAX(0,MIN(1,(IF(CC12="L1",Parameter!$H$5,IF(CC12="L23",Parameter!$H$6+Parameter!$H$7,Parameter!$H$5+Parameter!$H$6+Parameter!$H$7))-(AV12-AR12))/AR12)))</f>
        <v>0</v>
      </c>
      <c r="AX12" s="50" t="n">
        <f aca="false">IF(LEFT(Cockpit!$O$5,1)="A",H12,IF(CE12=1,CF12,IF(LEFT(Cockpit!$O$5,1)="B",BC12,MAX(BC12,H12))))</f>
        <v>23</v>
      </c>
      <c r="AY12" s="50" t="n">
        <f aca="false">IF(BW12=1,0,ROUNDUP(AX12/BV12,0))</f>
        <v>1</v>
      </c>
      <c r="AZ12" s="52" t="n">
        <f aca="false">IF(CL12&gt;0,CL12*MAX(1,AX12/X12),IF(BW12=1,IF(AX12&lt;=0,0,CA12*MAX(1,IF(H12&gt;0,AX12/H12,1))),IF(R12&gt;0,AY12/R12,0))/MAX(0.1,N(Parameter!$M$21)))</f>
        <v>0.25</v>
      </c>
      <c r="BA12" s="50" t="n">
        <f aca="false">AZ12*BY12</f>
        <v>58.75</v>
      </c>
      <c r="BB12" s="50" t="n">
        <f aca="false">AX12*G12</f>
        <v>51258.95</v>
      </c>
      <c r="BC12" s="50" t="n">
        <f aca="false">ROUNDUP(MAX(J12/IF(CD12&gt;0,CD12,MAX(0.1,N(Cockpit!$O$6))),CG12)/BV12,0)*BV12</f>
        <v>23</v>
      </c>
      <c r="BD12" s="51" t="n">
        <f aca="false">IF(BA12&gt;0,J12/BA12,-1)</f>
        <v>0</v>
      </c>
      <c r="BE12" s="51" t="n">
        <f aca="false">IF(AND(OR(CC12="L1",CC12="L23",CC12="LIFT"),BA12&gt;0),SUMIFS($BA$7:$BA$1843,$CC$7:$CC$1843,CC12,$BD$7:$BD$1843,"&gt;"&amp;BD12)+SUMIFS($BA$7:$BA$1843,$CC$7:$CC$1843,CC12,$BD$7:$BD$1843,BD12,$BT$7:$BT$1843,"&lt;="&amp;BT12),"")</f>
        <v>33408.3071697606</v>
      </c>
      <c r="BF12" s="58" t="n">
        <f aca="false">IF(BE12="",0,MAX(0,MIN(1,(IF(CC12="L1",Parameter!$H$5,IF(CC12="L23",Parameter!$H$6+Parameter!$H$7,Parameter!$H$5+Parameter!$H$6+Parameter!$H$7))-(BE12-BA12))/BA12)))</f>
        <v>1</v>
      </c>
      <c r="BG12" s="48" t="str">
        <f aca="false">IF(AI12&lt;=0,"",IF(CC12="Aussen","Aussenlager",IF(CC12="-","Nicht im Lift",IF(AN12&gt;=1,"Lift",IF(AN12&lt;=0,"Aussenlager","teilweise")))))</f>
        <v>Lift</v>
      </c>
      <c r="BH12" s="48" t="str">
        <f aca="false">IF(AR12&lt;=0,"",IF(CC12="Aussen","Aussenlager",IF(CC12="-","Nicht im Lift",IF(AW12&gt;=1,"Lift",IF(AW12&lt;=0,"Aussenlager","teilweise")))))</f>
        <v>Aussenlager</v>
      </c>
      <c r="BI12" s="48" t="str">
        <f aca="false">IF(BA12&lt;=0,"",IF(CC12="Aussen","Aussenlager",IF(CC12="-","Nicht im Lift",IF(BF12&gt;=1,"Lift",IF(BF12&lt;=0,"Aussenlager","teilweise")))))</f>
        <v>Lift</v>
      </c>
      <c r="BJ12" s="48" t="str">
        <f aca="false">IF(A12="","",IF(BS12=1,"Neu; ","")&amp;IF(AND(BS12=0,BN12&lt;0),"negativer Bestand (Export "&amp;BN12&amp;"); ","")&amp;IF(J12&lt;=0,"Kein Verbrauch; ","")&amp;IF(CL12&gt;0,"Lift "&amp;W12&amp;" lt. Liftbericht (Fach "&amp;X12&amp;" Stk); ",IF(BX12=1,"Gebinde geschätzt ("&amp;T12&amp;"); ",IF(BW12=1,"Lose – Tablare geschätzt; ","")))&amp;IF(H12&gt;AT12,"Überbestand "&amp;ROUND(H12-AT12,0)&amp;" Stk / CHF "&amp;ROUND((H12-AT12)*G12,0)&amp;"; ","")&amp;IF(AND(CE12=1,CF12&lt;CG12),"MAX &lt; MB+LG; ","")&amp;IF(AND(CK12&gt;0,CJ12*10&gt;CK12),"zu hoch für Tablar; ","")&amp;IF(AND(BS12=0,OR(CE12=1,AA12&lt;&gt;"",U12&lt;&gt;"",V12&lt;&gt;"",AB12&lt;&gt;"")),"manuell übersteuert; ","")&amp;IF(AND(BW12=0,R12=0),"Gebinde unbekannt / Stellmass fehlt; ","")&amp;IF(AND(BW12=0,N(V12)&lt;=0,N(Q12)&lt;=0),"Menge pro Gebinde fehlt (Ist = 1 Gebinde); ","")&amp;BR12)</f>
        <v>Kein Verbrauch; Gebinde geschätzt (Gross); Menge pro Gebinde fehlt (Ist = 1 Gebinde); </v>
      </c>
      <c r="BK12" s="48"/>
      <c r="BL12" s="48"/>
      <c r="BM12" s="55"/>
      <c r="BN12" s="50" t="n">
        <v>23</v>
      </c>
      <c r="BO12" s="50" t="n">
        <v>0</v>
      </c>
      <c r="BP12" s="49" t="n">
        <v>51258.95</v>
      </c>
      <c r="BQ12" s="50" t="n">
        <v>0</v>
      </c>
      <c r="BR12" s="48"/>
      <c r="BS12" s="53" t="n">
        <v>0</v>
      </c>
      <c r="BT12" s="53" t="n">
        <v>12</v>
      </c>
      <c r="BU12" s="48" t="str">
        <f aca="false">IF(U12&lt;&gt;"",UPPER(TRIM(U12)),IF(BX12=1,UPPER(VLOOKUP(T12,Parameter!$I$27:$K$29,2,0)),IF(P12="","LOSE",P12)))</f>
        <v>S81</v>
      </c>
      <c r="BV12" s="50" t="n">
        <f aca="false">IF(BU12="LOSE",1,IF(N(V12)&gt;0,V12,IF(BX12=1,MAX(1,N(VLOOKUP(T12,Parameter!$I$27:$K$29,3,0)),H12,N(N12)),IF(N(Q12)&gt;0,Q12,MAX(1,H12)))))</f>
        <v>23</v>
      </c>
      <c r="BW12" s="53" t="n">
        <f aca="false">IF(BU12="LOSE",1,0)</f>
        <v>0</v>
      </c>
      <c r="BX12" s="53" t="n">
        <f aca="false">IF(AND(U12="",OR(P12="",P12="LOSE"),T12&lt;&gt;"",N(S12)&lt;=0,ISNUMBER(MATCH(T12,Parameter!$I$27:$I$29,0))),1,0)</f>
        <v>1</v>
      </c>
      <c r="BY12" s="53" t="n">
        <f aca="false">IF(CL12&gt;0,INDEX(Parameter!$H$5:$H$7,W12)/INDEX(Parameter!$E$5:$E$7,W12),IF(AND(BW12=0,N(IFERROR(VLOOKUP(BU12,'Gebinde-Kategorie'!$A$5:$N$45,14,0),0))&gt;0),VLOOKUP(BU12,'Gebinde-Kategorie'!$A$5:$N$45,14,0)*10+Parameter!$M$23,Parameter!$M$24))</f>
        <v>235</v>
      </c>
      <c r="BZ12" s="48" t="str">
        <f aca="false">IF(AND(Parameter!$B$19="Ja",E12&lt;&gt;"",ISNUMBER(MATCH(E12,Parameter!$I$35:$I$52,0))),VLOOKUP(E12,Parameter!$I$35:$J$52,2,0),IFERROR(VLOOKUP(D12,Parameter!$A$35:$C$64,2,0),"Nein"))</f>
        <v>2+3</v>
      </c>
      <c r="CA12" s="52" t="n">
        <f aca="false">IF(BW12=0,0,IF(N(S12)&gt;0,S12,IFERROR(VLOOKUP(D12,Parameter!$A$35:$C$64,3,0)+0,0)))</f>
        <v>0</v>
      </c>
      <c r="CB12" s="48" t="n">
        <f aca="false">IF(AA12&lt;&gt;"",AA12,Z12)</f>
        <v>2</v>
      </c>
      <c r="CC12" s="48" t="str">
        <f aca="false">IF(OR(CB12=1,CB12=2,CB12=3),IF(Parameter!$E$27="Ja","LIFT",IF(CB12=1,"L1","L23")),IF(CB12="Aussen","Aussen","-"))</f>
        <v>LIFT</v>
      </c>
      <c r="CD12" s="59" t="n">
        <f aca="false">IF(N(AB12)&gt;0,AB12,0)</f>
        <v>0</v>
      </c>
      <c r="CE12" s="53" t="n">
        <f aca="false">IF(ISNUMBER(AE12),1,0)</f>
        <v>0</v>
      </c>
      <c r="CF12" s="50" t="n">
        <f aca="false">N(AE12)</f>
        <v>0</v>
      </c>
      <c r="CG12" s="50" t="n">
        <f aca="false">N(M12)+N(N12)</f>
        <v>1</v>
      </c>
      <c r="CH12" s="50" t="n">
        <f aca="false">ROUNDUP(H12/BV12,0)</f>
        <v>1</v>
      </c>
      <c r="CI12" s="50" t="n">
        <f aca="false">ROUNDUP(CF12/BV12,0)</f>
        <v>0</v>
      </c>
      <c r="CJ12" s="53" t="n">
        <f aca="false">IF(BW12=1,0,IFERROR(VLOOKUP(BU12,'Gebinde-Kategorie'!$A$5:$N$45,5,0)+0,0))</f>
        <v>20</v>
      </c>
      <c r="CK12" s="53" t="n">
        <f aca="false">IFERROR(IF(OR(CB12=1,CB12=2,CB12=3),N(INDEX(Parameter!$I$5:$I$7,CB12)),0),0)</f>
        <v>0</v>
      </c>
      <c r="CL12" s="52" t="n">
        <f aca="false">IF(AND(Parameter!$B$21="Ja",ISNUMBER(W12),N(X12)&gt;0),IFERROR(N(INDEX(Parameter!$L$5:$L$7,W12))*INDEX(Parameter!$E$5:$E$7,W12)*X12/SUMIFS($X$7:$X$1843,$W$7:$W$1843,W12),0),0)</f>
        <v>0</v>
      </c>
    </row>
    <row r="13" customFormat="false" ht="15" hidden="false" customHeight="false" outlineLevel="0" collapsed="false">
      <c r="A13" s="48" t="s">
        <v>194</v>
      </c>
      <c r="B13" s="48" t="s">
        <v>167</v>
      </c>
      <c r="C13" s="48" t="s">
        <v>168</v>
      </c>
      <c r="D13" s="48" t="s">
        <v>169</v>
      </c>
      <c r="E13" s="48" t="s">
        <v>170</v>
      </c>
      <c r="F13" s="48" t="s">
        <v>171</v>
      </c>
      <c r="G13" s="49" t="n">
        <v>4008.68</v>
      </c>
      <c r="H13" s="50" t="n">
        <f aca="false">MAX(0,IF(AND(Parameter!$B$21="Ja",ISNUMBER(Y13)),Y13,IF(Parameter!$B$20="Jahresanfang 2025 + Export",BO13+BN13,BN13)))</f>
        <v>5</v>
      </c>
      <c r="I13" s="50" t="n">
        <f aca="false">H13*G13</f>
        <v>20043.4</v>
      </c>
      <c r="J13" s="50" t="n">
        <f aca="false">BQ13*Parameter!$B$18</f>
        <v>31</v>
      </c>
      <c r="K13" s="51" t="n">
        <v>2.5</v>
      </c>
      <c r="L13" s="52" t="n">
        <v>12.4</v>
      </c>
      <c r="M13" s="50" t="n">
        <v>2</v>
      </c>
      <c r="N13" s="50" t="n">
        <v>10</v>
      </c>
      <c r="O13" s="53" t="n">
        <v>21</v>
      </c>
      <c r="P13" s="48" t="s">
        <v>172</v>
      </c>
      <c r="Q13" s="50"/>
      <c r="R13" s="53" t="n">
        <f aca="false">IF(BW13=1,0,IFERROR(VLOOKUP(BU13,'Gebinde-Kategorie'!$A$5:$N$45,13,0)+0,0))</f>
        <v>0</v>
      </c>
      <c r="S13" s="54"/>
      <c r="T13" s="55"/>
      <c r="U13" s="55"/>
      <c r="V13" s="55"/>
      <c r="W13" s="48" t="n">
        <v>1</v>
      </c>
      <c r="X13" s="50" t="n">
        <v>20</v>
      </c>
      <c r="Y13" s="50" t="n">
        <v>5</v>
      </c>
      <c r="Z13" s="48" t="n">
        <f aca="false">IF(A13="","",IF(AND(Parameter!$B$21="Ja",ISNUMBER(W13)),W13,IF(BZ13="2+3",IF(ISNUMBER(SEARCH("grosser Artikel",BR13)),2,IFERROR(VLOOKUP(BU13,Parameter!$F$35:$G$64,2,0),2)),IF(OR(BZ13="Nein",BZ13=""),"-",BZ13))))</f>
        <v>1</v>
      </c>
      <c r="AA13" s="55"/>
      <c r="AB13" s="56"/>
      <c r="AC13" s="50" t="n">
        <f aca="false">AT13</f>
        <v>16</v>
      </c>
      <c r="AD13" s="50" t="n">
        <f aca="false">MAX(AT13,H13)</f>
        <v>16</v>
      </c>
      <c r="AE13" s="57"/>
      <c r="AF13" s="50" t="n">
        <f aca="false">IF(LEFT(Cockpit!$C$5,1)="A",H13,IF(CE13=1,CF13,IF(LEFT(Cockpit!$C$5,1)="B",AK13,MAX(AK13,H13))))</f>
        <v>5</v>
      </c>
      <c r="AG13" s="50" t="n">
        <f aca="false">IF(BW13=1,0,ROUNDUP(AF13/BV13,0))</f>
        <v>0</v>
      </c>
      <c r="AH13" s="52" t="n">
        <f aca="false">IF(CL13&gt;0,CL13*MAX(1,AF13/X13),IF(BW13=1,IF(AF13&lt;=0,0,CA13*MAX(1,IF(H13&gt;0,AF13/H13,1))),IF(R13&gt;0,AG13/R13,0))/MAX(0.1,N(Parameter!$M$21)))</f>
        <v>1.60075329566855</v>
      </c>
      <c r="AI13" s="50" t="n">
        <f aca="false">AH13*BY13</f>
        <v>380.979284369115</v>
      </c>
      <c r="AJ13" s="50" t="n">
        <f aca="false">AF13*G13</f>
        <v>20043.4</v>
      </c>
      <c r="AK13" s="50" t="n">
        <f aca="false">ROUNDUP(MAX(J13/IF(CD13&gt;0,CD13,MAX(0.1,N(Cockpit!$C$6))),CG13)/BV13,0)*BV13</f>
        <v>16</v>
      </c>
      <c r="AL13" s="51" t="n">
        <f aca="false">IF(AI13&gt;0,J13/AI13,-1)</f>
        <v>0.0813692535837865</v>
      </c>
      <c r="AM13" s="51" t="n">
        <f aca="false">IF(AND(OR(CC13="L1",CC13="L23",CC13="LIFT"),AI13&gt;0),SUMIFS($AI$7:$AI$1843,$CC$7:$CC$1843,CC13,$AL$7:$AL$1843,"&gt;"&amp;AL13)+SUMIFS($AI$7:$AI$1843,$CC$7:$CC$1843,CC13,$AL$7:$AL$1843,AL13,$BT$7:$BT$1843,"&lt;="&amp;BT13),"")</f>
        <v>17142.9200166594</v>
      </c>
      <c r="AN13" s="58" t="n">
        <f aca="false">IF(AM13="",0,MAX(0,MIN(1,(IF(CC13="L1",Parameter!$H$5,IF(CC13="L23",Parameter!$H$6+Parameter!$H$7,Parameter!$H$5+Parameter!$H$6+Parameter!$H$7))-(AM13-AI13))/AI13)))</f>
        <v>1</v>
      </c>
      <c r="AO13" s="50" t="n">
        <f aca="false">IF(LEFT(Cockpit!$I$5,1)="A",H13,IF(CE13=1,CF13,IF(LEFT(Cockpit!$I$5,1)="B",AT13,MAX(AT13,H13))))</f>
        <v>16</v>
      </c>
      <c r="AP13" s="50" t="n">
        <f aca="false">IF(BW13=1,0,ROUNDUP(AO13/BV13,0))</f>
        <v>0</v>
      </c>
      <c r="AQ13" s="52" t="n">
        <f aca="false">IF(CL13&gt;0,CL13*MAX(1,AO13/X13),IF(BW13=1,IF(AO13&lt;=0,0,CA13*MAX(1,IF(H13&gt;0,AO13/H13,1))),IF(R13&gt;0,AP13/R13,0))/MAX(0.1,N(Parameter!$M$21)))</f>
        <v>1.60075329566855</v>
      </c>
      <c r="AR13" s="50" t="n">
        <f aca="false">AQ13*BY13</f>
        <v>380.979284369115</v>
      </c>
      <c r="AS13" s="50" t="n">
        <f aca="false">AO13*G13</f>
        <v>64138.88</v>
      </c>
      <c r="AT13" s="50" t="n">
        <f aca="false">ROUNDUP(MAX(J13/IF(CD13&gt;0,CD13,MAX(0.1,N(Cockpit!$I$6))),CG13)/BV13,0)*BV13</f>
        <v>16</v>
      </c>
      <c r="AU13" s="51" t="n">
        <f aca="false">IF(AR13&gt;0,J13/AR13,-1)</f>
        <v>0.0813692535837865</v>
      </c>
      <c r="AV13" s="51" t="n">
        <f aca="false">IF(AND(OR(CC13="L1",CC13="L23",CC13="LIFT"),AR13&gt;0),SUMIFS($AR$7:$AR$1843,$CC$7:$CC$1843,CC13,$AU$7:$AU$1843,"&gt;"&amp;AU13)+SUMIFS($AR$7:$AR$1843,$CC$7:$CC$1843,CC13,$AU$7:$AU$1843,AU13,$BT$7:$BT$1843,"&lt;="&amp;BT13),"")</f>
        <v>25651.1503926864</v>
      </c>
      <c r="AW13" s="58" t="n">
        <f aca="false">IF(AV13="",0,MAX(0,MIN(1,(IF(CC13="L1",Parameter!$H$5,IF(CC13="L23",Parameter!$H$6+Parameter!$H$7,Parameter!$H$5+Parameter!$H$6+Parameter!$H$7))-(AV13-AR13))/AR13)))</f>
        <v>1</v>
      </c>
      <c r="AX13" s="50" t="n">
        <f aca="false">IF(LEFT(Cockpit!$O$5,1)="A",H13,IF(CE13=1,CF13,IF(LEFT(Cockpit!$O$5,1)="B",BC13,MAX(BC13,H13))))</f>
        <v>12</v>
      </c>
      <c r="AY13" s="50" t="n">
        <f aca="false">IF(BW13=1,0,ROUNDUP(AX13/BV13,0))</f>
        <v>0</v>
      </c>
      <c r="AZ13" s="52" t="n">
        <f aca="false">IF(CL13&gt;0,CL13*MAX(1,AX13/X13),IF(BW13=1,IF(AX13&lt;=0,0,CA13*MAX(1,IF(H13&gt;0,AX13/H13,1))),IF(R13&gt;0,AY13/R13,0))/MAX(0.1,N(Parameter!$M$21)))</f>
        <v>1.60075329566855</v>
      </c>
      <c r="BA13" s="50" t="n">
        <f aca="false">AZ13*BY13</f>
        <v>380.979284369115</v>
      </c>
      <c r="BB13" s="50" t="n">
        <f aca="false">AX13*G13</f>
        <v>48104.16</v>
      </c>
      <c r="BC13" s="50" t="n">
        <f aca="false">ROUNDUP(MAX(J13/IF(CD13&gt;0,CD13,MAX(0.1,N(Cockpit!$O$6))),CG13)/BV13,0)*BV13</f>
        <v>12</v>
      </c>
      <c r="BD13" s="51" t="n">
        <f aca="false">IF(BA13&gt;0,J13/BA13,-1)</f>
        <v>0.0813692535837865</v>
      </c>
      <c r="BE13" s="51" t="n">
        <f aca="false">IF(AND(OR(CC13="L1",CC13="L23",CC13="LIFT"),BA13&gt;0),SUMIFS($BA$7:$BA$1843,$CC$7:$CC$1843,CC13,$BD$7:$BD$1843,"&gt;"&amp;BD13)+SUMIFS($BA$7:$BA$1843,$CC$7:$CC$1843,CC13,$BD$7:$BD$1843,BD13,$BT$7:$BT$1843,"&lt;="&amp;BT13),"")</f>
        <v>23853.6624345523</v>
      </c>
      <c r="BF13" s="58" t="n">
        <f aca="false">IF(BE13="",0,MAX(0,MIN(1,(IF(CC13="L1",Parameter!$H$5,IF(CC13="L23",Parameter!$H$6+Parameter!$H$7,Parameter!$H$5+Parameter!$H$6+Parameter!$H$7))-(BE13-BA13))/BA13)))</f>
        <v>1</v>
      </c>
      <c r="BG13" s="48" t="str">
        <f aca="false">IF(AI13&lt;=0,"",IF(CC13="Aussen","Aussenlager",IF(CC13="-","Nicht im Lift",IF(AN13&gt;=1,"Lift",IF(AN13&lt;=0,"Aussenlager","teilweise")))))</f>
        <v>Lift</v>
      </c>
      <c r="BH13" s="48" t="str">
        <f aca="false">IF(AR13&lt;=0,"",IF(CC13="Aussen","Aussenlager",IF(CC13="-","Nicht im Lift",IF(AW13&gt;=1,"Lift",IF(AW13&lt;=0,"Aussenlager","teilweise")))))</f>
        <v>Lift</v>
      </c>
      <c r="BI13" s="48" t="str">
        <f aca="false">IF(BA13&lt;=0,"",IF(CC13="Aussen","Aussenlager",IF(CC13="-","Nicht im Lift",IF(BF13&gt;=1,"Lift",IF(BF13&lt;=0,"Aussenlager","teilweise")))))</f>
        <v>Lift</v>
      </c>
      <c r="BJ13" s="48" t="str">
        <f aca="false">IF(A13="","",IF(BS13=1,"Neu; ","")&amp;IF(AND(BS13=0,BN13&lt;0),"negativer Bestand (Export "&amp;BN13&amp;"); ","")&amp;IF(J13&lt;=0,"Kein Verbrauch; ","")&amp;IF(CL13&gt;0,"Lift "&amp;W13&amp;" lt. Liftbericht (Fach "&amp;X13&amp;" Stk); ",IF(BX13=1,"Gebinde geschätzt ("&amp;T13&amp;"); ",IF(BW13=1,"Lose – Tablare geschätzt; ","")))&amp;IF(H13&gt;AT13,"Überbestand "&amp;ROUND(H13-AT13,0)&amp;" Stk / CHF "&amp;ROUND((H13-AT13)*G13,0)&amp;"; ","")&amp;IF(AND(CE13=1,CF13&lt;CG13),"MAX &lt; MB+LG; ","")&amp;IF(AND(CK13&gt;0,CJ13*10&gt;CK13),"zu hoch für Tablar; ","")&amp;IF(AND(BS13=0,OR(CE13=1,AA13&lt;&gt;"",U13&lt;&gt;"",V13&lt;&gt;"",AB13&lt;&gt;"")),"manuell übersteuert; ","")&amp;IF(AND(BW13=0,R13=0),"Gebinde unbekannt / Stellmass fehlt; ","")&amp;IF(AND(BW13=0,N(V13)&lt;=0,N(Q13)&lt;=0),"Menge pro Gebinde fehlt (Ist = 1 Gebinde); ","")&amp;BR13)</f>
        <v>Lift 1 lt. Liftbericht (Fach 20 Stk); </v>
      </c>
      <c r="BK13" s="48"/>
      <c r="BL13" s="48"/>
      <c r="BM13" s="55"/>
      <c r="BN13" s="50" t="n">
        <v>12</v>
      </c>
      <c r="BO13" s="50" t="n">
        <v>3</v>
      </c>
      <c r="BP13" s="49" t="n">
        <v>49636.92</v>
      </c>
      <c r="BQ13" s="50" t="n">
        <v>31</v>
      </c>
      <c r="BR13" s="48"/>
      <c r="BS13" s="53" t="n">
        <v>0</v>
      </c>
      <c r="BT13" s="53" t="n">
        <v>13</v>
      </c>
      <c r="BU13" s="48" t="str">
        <f aca="false">IF(U13&lt;&gt;"",UPPER(TRIM(U13)),IF(BX13=1,UPPER(VLOOKUP(T13,Parameter!$I$27:$K$29,2,0)),IF(P13="","LOSE",P13)))</f>
        <v>LOSE</v>
      </c>
      <c r="BV13" s="50" t="n">
        <f aca="false">IF(BU13="LOSE",1,IF(N(V13)&gt;0,V13,IF(BX13=1,MAX(1,N(VLOOKUP(T13,Parameter!$I$27:$K$29,3,0)),H13,N(N13)),IF(N(Q13)&gt;0,Q13,MAX(1,H13)))))</f>
        <v>1</v>
      </c>
      <c r="BW13" s="53" t="n">
        <f aca="false">IF(BU13="LOSE",1,0)</f>
        <v>1</v>
      </c>
      <c r="BX13" s="53" t="n">
        <f aca="false">IF(AND(U13="",OR(P13="",P13="LOSE"),T13&lt;&gt;"",N(S13)&lt;=0,ISNUMBER(MATCH(T13,Parameter!$I$27:$I$29,0))),1,0)</f>
        <v>0</v>
      </c>
      <c r="BY13" s="53" t="n">
        <f aca="false">IF(CL13&gt;0,INDEX(Parameter!$H$5:$H$7,W13)/INDEX(Parameter!$E$5:$E$7,W13),IF(AND(BW13=0,N(IFERROR(VLOOKUP(BU13,'Gebinde-Kategorie'!$A$5:$N$45,14,0),0))&gt;0),VLOOKUP(BU13,'Gebinde-Kategorie'!$A$5:$N$45,14,0)*10+Parameter!$M$23,Parameter!$M$24))</f>
        <v>238</v>
      </c>
      <c r="BZ13" s="48" t="n">
        <f aca="false">IF(AND(Parameter!$B$19="Ja",E13&lt;&gt;"",ISNUMBER(MATCH(E13,Parameter!$I$35:$I$52,0))),VLOOKUP(E13,Parameter!$I$35:$J$52,2,0),IFERROR(VLOOKUP(D13,Parameter!$A$35:$C$64,2,0),"Nein"))</f>
        <v>1</v>
      </c>
      <c r="CA13" s="52" t="n">
        <f aca="false">IF(BW13=0,0,IF(N(S13)&gt;0,S13,IFERROR(VLOOKUP(D13,Parameter!$A$35:$C$64,3,0)+0,0)))</f>
        <v>1</v>
      </c>
      <c r="CB13" s="48" t="n">
        <f aca="false">IF(AA13&lt;&gt;"",AA13,Z13)</f>
        <v>1</v>
      </c>
      <c r="CC13" s="48" t="str">
        <f aca="false">IF(OR(CB13=1,CB13=2,CB13=3),IF(Parameter!$E$27="Ja","LIFT",IF(CB13=1,"L1","L23")),IF(CB13="Aussen","Aussen","-"))</f>
        <v>LIFT</v>
      </c>
      <c r="CD13" s="59" t="n">
        <f aca="false">IF(N(AB13)&gt;0,AB13,0)</f>
        <v>0</v>
      </c>
      <c r="CE13" s="53" t="n">
        <f aca="false">IF(ISNUMBER(AE13),1,0)</f>
        <v>0</v>
      </c>
      <c r="CF13" s="50" t="n">
        <f aca="false">N(AE13)</f>
        <v>0</v>
      </c>
      <c r="CG13" s="50" t="n">
        <f aca="false">N(M13)+N(N13)</f>
        <v>12</v>
      </c>
      <c r="CH13" s="50" t="n">
        <f aca="false">ROUNDUP(H13/BV13,0)</f>
        <v>5</v>
      </c>
      <c r="CI13" s="50" t="n">
        <f aca="false">ROUNDUP(CF13/BV13,0)</f>
        <v>0</v>
      </c>
      <c r="CJ13" s="53" t="n">
        <f aca="false">IF(BW13=1,0,IFERROR(VLOOKUP(BU13,'Gebinde-Kategorie'!$A$5:$N$45,5,0)+0,0))</f>
        <v>0</v>
      </c>
      <c r="CK13" s="53" t="n">
        <f aca="false">IFERROR(IF(OR(CB13=1,CB13=2,CB13=3),N(INDEX(Parameter!$I$5:$I$7,CB13)),0),0)</f>
        <v>0</v>
      </c>
      <c r="CL13" s="52" t="n">
        <f aca="false">IF(AND(Parameter!$B$21="Ja",ISNUMBER(W13),N(X13)&gt;0),IFERROR(N(INDEX(Parameter!$L$5:$L$7,W13))*INDEX(Parameter!$E$5:$E$7,W13)*X13/SUMIFS($X$7:$X$1843,$W$7:$W$1843,W13),0),0)</f>
        <v>1.60075329566855</v>
      </c>
    </row>
    <row r="14" customFormat="false" ht="15" hidden="false" customHeight="false" outlineLevel="0" collapsed="false">
      <c r="A14" s="48" t="s">
        <v>195</v>
      </c>
      <c r="B14" s="48" t="s">
        <v>196</v>
      </c>
      <c r="C14" s="48" t="s">
        <v>168</v>
      </c>
      <c r="D14" s="48" t="s">
        <v>177</v>
      </c>
      <c r="E14" s="48"/>
      <c r="F14" s="48" t="s">
        <v>171</v>
      </c>
      <c r="G14" s="49" t="n">
        <v>1751.08</v>
      </c>
      <c r="H14" s="50" t="n">
        <f aca="false">MAX(0,IF(AND(Parameter!$B$21="Ja",ISNUMBER(Y14)),Y14,IF(Parameter!$B$20="Jahresanfang 2025 + Export",BO14+BN14,BN14)))</f>
        <v>23</v>
      </c>
      <c r="I14" s="50" t="n">
        <f aca="false">H14*G14</f>
        <v>40274.84</v>
      </c>
      <c r="J14" s="50" t="n">
        <f aca="false">BQ14*Parameter!$B$18</f>
        <v>0</v>
      </c>
      <c r="K14" s="51" t="n">
        <v>0</v>
      </c>
      <c r="L14" s="52" t="n">
        <v>0</v>
      </c>
      <c r="M14" s="50" t="n">
        <v>0</v>
      </c>
      <c r="N14" s="50" t="n">
        <v>1</v>
      </c>
      <c r="O14" s="53" t="n">
        <v>9999</v>
      </c>
      <c r="P14" s="48" t="s">
        <v>172</v>
      </c>
      <c r="Q14" s="50"/>
      <c r="R14" s="53" t="n">
        <f aca="false">IF(BW14=1,0,IFERROR(VLOOKUP(BU14,'Gebinde-Kategorie'!$A$5:$N$45,13,0)+0,0))</f>
        <v>4</v>
      </c>
      <c r="S14" s="54"/>
      <c r="T14" s="55" t="s">
        <v>193</v>
      </c>
      <c r="U14" s="55"/>
      <c r="V14" s="55"/>
      <c r="W14" s="48"/>
      <c r="X14" s="50"/>
      <c r="Y14" s="50"/>
      <c r="Z14" s="48" t="n">
        <f aca="false">IF(A14="","",IF(AND(Parameter!$B$21="Ja",ISNUMBER(W14)),W14,IF(BZ14="2+3",IF(ISNUMBER(SEARCH("grosser Artikel",BR14)),2,IFERROR(VLOOKUP(BU14,Parameter!$F$35:$G$64,2,0),2)),IF(OR(BZ14="Nein",BZ14=""),"-",BZ14))))</f>
        <v>2</v>
      </c>
      <c r="AA14" s="55"/>
      <c r="AB14" s="56"/>
      <c r="AC14" s="50" t="n">
        <f aca="false">AT14</f>
        <v>23</v>
      </c>
      <c r="AD14" s="50" t="n">
        <f aca="false">MAX(AT14,H14)</f>
        <v>23</v>
      </c>
      <c r="AE14" s="57"/>
      <c r="AF14" s="50" t="n">
        <f aca="false">IF(LEFT(Cockpit!$C$5,1)="A",H14,IF(CE14=1,CF14,IF(LEFT(Cockpit!$C$5,1)="B",AK14,MAX(AK14,H14))))</f>
        <v>23</v>
      </c>
      <c r="AG14" s="50" t="n">
        <f aca="false">IF(BW14=1,0,ROUNDUP(AF14/BV14,0))</f>
        <v>1</v>
      </c>
      <c r="AH14" s="52" t="n">
        <f aca="false">IF(CL14&gt;0,CL14*MAX(1,AF14/X14),IF(BW14=1,IF(AF14&lt;=0,0,CA14*MAX(1,IF(H14&gt;0,AF14/H14,1))),IF(R14&gt;0,AG14/R14,0))/MAX(0.1,N(Parameter!$M$21)))</f>
        <v>0.25</v>
      </c>
      <c r="AI14" s="50" t="n">
        <f aca="false">AH14*BY14</f>
        <v>58.75</v>
      </c>
      <c r="AJ14" s="50" t="n">
        <f aca="false">AF14*G14</f>
        <v>40274.84</v>
      </c>
      <c r="AK14" s="50" t="n">
        <f aca="false">ROUNDUP(MAX(J14/IF(CD14&gt;0,CD14,MAX(0.1,N(Cockpit!$C$6))),CG14)/BV14,0)*BV14</f>
        <v>23</v>
      </c>
      <c r="AL14" s="51" t="n">
        <f aca="false">IF(AI14&gt;0,J14/AI14,-1)</f>
        <v>0</v>
      </c>
      <c r="AM14" s="51" t="n">
        <f aca="false">IF(AND(OR(CC14="L1",CC14="L23",CC14="LIFT"),AI14&gt;0),SUMIFS($AI$7:$AI$1843,$CC$7:$CC$1843,CC14,$AL$7:$AL$1843,"&gt;"&amp;AL14)+SUMIFS($AI$7:$AI$1843,$CC$7:$CC$1843,CC14,$AL$7:$AL$1843,AL14,$BT$7:$BT$1843,"&lt;="&amp;BT14),"")</f>
        <v>25546.5219081766</v>
      </c>
      <c r="AN14" s="58" t="n">
        <f aca="false">IF(AM14="",0,MAX(0,MIN(1,(IF(CC14="L1",Parameter!$H$5,IF(CC14="L23",Parameter!$H$6+Parameter!$H$7,Parameter!$H$5+Parameter!$H$6+Parameter!$H$7))-(AM14-AI14))/AI14)))</f>
        <v>1</v>
      </c>
      <c r="AO14" s="50" t="n">
        <f aca="false">IF(LEFT(Cockpit!$I$5,1)="A",H14,IF(CE14=1,CF14,IF(LEFT(Cockpit!$I$5,1)="B",AT14,MAX(AT14,H14))))</f>
        <v>23</v>
      </c>
      <c r="AP14" s="50" t="n">
        <f aca="false">IF(BW14=1,0,ROUNDUP(AO14/BV14,0))</f>
        <v>1</v>
      </c>
      <c r="AQ14" s="52" t="n">
        <f aca="false">IF(CL14&gt;0,CL14*MAX(1,AO14/X14),IF(BW14=1,IF(AO14&lt;=0,0,CA14*MAX(1,IF(H14&gt;0,AO14/H14,1))),IF(R14&gt;0,AP14/R14,0))/MAX(0.1,N(Parameter!$M$21)))</f>
        <v>0.25</v>
      </c>
      <c r="AR14" s="50" t="n">
        <f aca="false">AQ14*BY14</f>
        <v>58.75</v>
      </c>
      <c r="AS14" s="50" t="n">
        <f aca="false">AO14*G14</f>
        <v>40274.84</v>
      </c>
      <c r="AT14" s="50" t="n">
        <f aca="false">ROUNDUP(MAX(J14/IF(CD14&gt;0,CD14,MAX(0.1,N(Cockpit!$I$6))),CG14)/BV14,0)*BV14</f>
        <v>23</v>
      </c>
      <c r="AU14" s="51" t="n">
        <f aca="false">IF(AR14&gt;0,J14/AR14,-1)</f>
        <v>0</v>
      </c>
      <c r="AV14" s="51" t="n">
        <f aca="false">IF(AND(OR(CC14="L1",CC14="L23",CC14="LIFT"),AR14&gt;0),SUMIFS($AR$7:$AR$1843,$CC$7:$CC$1843,CC14,$AU$7:$AU$1843,"&gt;"&amp;AU14)+SUMIFS($AR$7:$AR$1843,$CC$7:$CC$1843,CC14,$AU$7:$AU$1843,AU14,$BT$7:$BT$1843,"&lt;="&amp;BT14),"")</f>
        <v>36792.0451278947</v>
      </c>
      <c r="AW14" s="58" t="n">
        <f aca="false">IF(AV14="",0,MAX(0,MIN(1,(IF(CC14="L1",Parameter!$H$5,IF(CC14="L23",Parameter!$H$6+Parameter!$H$7,Parameter!$H$5+Parameter!$H$6+Parameter!$H$7))-(AV14-AR14))/AR14)))</f>
        <v>0</v>
      </c>
      <c r="AX14" s="50" t="n">
        <f aca="false">IF(LEFT(Cockpit!$O$5,1)="A",H14,IF(CE14=1,CF14,IF(LEFT(Cockpit!$O$5,1)="B",BC14,MAX(BC14,H14))))</f>
        <v>23</v>
      </c>
      <c r="AY14" s="50" t="n">
        <f aca="false">IF(BW14=1,0,ROUNDUP(AX14/BV14,0))</f>
        <v>1</v>
      </c>
      <c r="AZ14" s="52" t="n">
        <f aca="false">IF(CL14&gt;0,CL14*MAX(1,AX14/X14),IF(BW14=1,IF(AX14&lt;=0,0,CA14*MAX(1,IF(H14&gt;0,AX14/H14,1))),IF(R14&gt;0,AY14/R14,0))/MAX(0.1,N(Parameter!$M$21)))</f>
        <v>0.25</v>
      </c>
      <c r="BA14" s="50" t="n">
        <f aca="false">AZ14*BY14</f>
        <v>58.75</v>
      </c>
      <c r="BB14" s="50" t="n">
        <f aca="false">AX14*G14</f>
        <v>40274.84</v>
      </c>
      <c r="BC14" s="50" t="n">
        <f aca="false">ROUNDUP(MAX(J14/IF(CD14&gt;0,CD14,MAX(0.1,N(Cockpit!$O$6))),CG14)/BV14,0)*BV14</f>
        <v>23</v>
      </c>
      <c r="BD14" s="51" t="n">
        <f aca="false">IF(BA14&gt;0,J14/BA14,-1)</f>
        <v>0</v>
      </c>
      <c r="BE14" s="51" t="n">
        <f aca="false">IF(AND(OR(CC14="L1",CC14="L23",CC14="LIFT"),BA14&gt;0),SUMIFS($BA$7:$BA$1843,$CC$7:$CC$1843,CC14,$BD$7:$BD$1843,"&gt;"&amp;BD14)+SUMIFS($BA$7:$BA$1843,$CC$7:$CC$1843,CC14,$BD$7:$BD$1843,BD14,$BT$7:$BT$1843,"&lt;="&amp;BT14),"")</f>
        <v>33467.0571697606</v>
      </c>
      <c r="BF14" s="58" t="n">
        <f aca="false">IF(BE14="",0,MAX(0,MIN(1,(IF(CC14="L1",Parameter!$H$5,IF(CC14="L23",Parameter!$H$6+Parameter!$H$7,Parameter!$H$5+Parameter!$H$6+Parameter!$H$7))-(BE14-BA14))/BA14)))</f>
        <v>1</v>
      </c>
      <c r="BG14" s="48" t="str">
        <f aca="false">IF(AI14&lt;=0,"",IF(CC14="Aussen","Aussenlager",IF(CC14="-","Nicht im Lift",IF(AN14&gt;=1,"Lift",IF(AN14&lt;=0,"Aussenlager","teilweise")))))</f>
        <v>Lift</v>
      </c>
      <c r="BH14" s="48" t="str">
        <f aca="false">IF(AR14&lt;=0,"",IF(CC14="Aussen","Aussenlager",IF(CC14="-","Nicht im Lift",IF(AW14&gt;=1,"Lift",IF(AW14&lt;=0,"Aussenlager","teilweise")))))</f>
        <v>Aussenlager</v>
      </c>
      <c r="BI14" s="48" t="str">
        <f aca="false">IF(BA14&lt;=0,"",IF(CC14="Aussen","Aussenlager",IF(CC14="-","Nicht im Lift",IF(BF14&gt;=1,"Lift",IF(BF14&lt;=0,"Aussenlager","teilweise")))))</f>
        <v>Lift</v>
      </c>
      <c r="BJ14" s="48" t="str">
        <f aca="false">IF(A14="","",IF(BS14=1,"Neu; ","")&amp;IF(AND(BS14=0,BN14&lt;0),"negativer Bestand (Export "&amp;BN14&amp;"); ","")&amp;IF(J14&lt;=0,"Kein Verbrauch; ","")&amp;IF(CL14&gt;0,"Lift "&amp;W14&amp;" lt. Liftbericht (Fach "&amp;X14&amp;" Stk); ",IF(BX14=1,"Gebinde geschätzt ("&amp;T14&amp;"); ",IF(BW14=1,"Lose – Tablare geschätzt; ","")))&amp;IF(H14&gt;AT14,"Überbestand "&amp;ROUND(H14-AT14,0)&amp;" Stk / CHF "&amp;ROUND((H14-AT14)*G14,0)&amp;"; ","")&amp;IF(AND(CE14=1,CF14&lt;CG14),"MAX &lt; MB+LG; ","")&amp;IF(AND(CK14&gt;0,CJ14*10&gt;CK14),"zu hoch für Tablar; ","")&amp;IF(AND(BS14=0,OR(CE14=1,AA14&lt;&gt;"",U14&lt;&gt;"",V14&lt;&gt;"",AB14&lt;&gt;"")),"manuell übersteuert; ","")&amp;IF(AND(BW14=0,R14=0),"Gebinde unbekannt / Stellmass fehlt; ","")&amp;IF(AND(BW14=0,N(V14)&lt;=0,N(Q14)&lt;=0),"Menge pro Gebinde fehlt (Ist = 1 Gebinde); ","")&amp;BR14)</f>
        <v>Kein Verbrauch; Gebinde geschätzt (Gross); Menge pro Gebinde fehlt (Ist = 1 Gebinde); </v>
      </c>
      <c r="BK14" s="48" t="s">
        <v>197</v>
      </c>
      <c r="BL14" s="48" t="s">
        <v>198</v>
      </c>
      <c r="BM14" s="55"/>
      <c r="BN14" s="50" t="n">
        <v>23</v>
      </c>
      <c r="BO14" s="50" t="n">
        <v>0</v>
      </c>
      <c r="BP14" s="49" t="n">
        <v>40274.84</v>
      </c>
      <c r="BQ14" s="50" t="n">
        <v>0</v>
      </c>
      <c r="BR14" s="48"/>
      <c r="BS14" s="53" t="n">
        <v>0</v>
      </c>
      <c r="BT14" s="53" t="n">
        <v>14</v>
      </c>
      <c r="BU14" s="48" t="str">
        <f aca="false">IF(U14&lt;&gt;"",UPPER(TRIM(U14)),IF(BX14=1,UPPER(VLOOKUP(T14,Parameter!$I$27:$K$29,2,0)),IF(P14="","LOSE",P14)))</f>
        <v>S81</v>
      </c>
      <c r="BV14" s="50" t="n">
        <f aca="false">IF(BU14="LOSE",1,IF(N(V14)&gt;0,V14,IF(BX14=1,MAX(1,N(VLOOKUP(T14,Parameter!$I$27:$K$29,3,0)),H14,N(N14)),IF(N(Q14)&gt;0,Q14,MAX(1,H14)))))</f>
        <v>23</v>
      </c>
      <c r="BW14" s="53" t="n">
        <f aca="false">IF(BU14="LOSE",1,0)</f>
        <v>0</v>
      </c>
      <c r="BX14" s="53" t="n">
        <f aca="false">IF(AND(U14="",OR(P14="",P14="LOSE"),T14&lt;&gt;"",N(S14)&lt;=0,ISNUMBER(MATCH(T14,Parameter!$I$27:$I$29,0))),1,0)</f>
        <v>1</v>
      </c>
      <c r="BY14" s="53" t="n">
        <f aca="false">IF(CL14&gt;0,INDEX(Parameter!$H$5:$H$7,W14)/INDEX(Parameter!$E$5:$E$7,W14),IF(AND(BW14=0,N(IFERROR(VLOOKUP(BU14,'Gebinde-Kategorie'!$A$5:$N$45,14,0),0))&gt;0),VLOOKUP(BU14,'Gebinde-Kategorie'!$A$5:$N$45,14,0)*10+Parameter!$M$23,Parameter!$M$24))</f>
        <v>235</v>
      </c>
      <c r="BZ14" s="48" t="str">
        <f aca="false">IF(AND(Parameter!$B$19="Ja",E14&lt;&gt;"",ISNUMBER(MATCH(E14,Parameter!$I$35:$I$52,0))),VLOOKUP(E14,Parameter!$I$35:$J$52,2,0),IFERROR(VLOOKUP(D14,Parameter!$A$35:$C$64,2,0),"Nein"))</f>
        <v>2+3</v>
      </c>
      <c r="CA14" s="52" t="n">
        <f aca="false">IF(BW14=0,0,IF(N(S14)&gt;0,S14,IFERROR(VLOOKUP(D14,Parameter!$A$35:$C$64,3,0)+0,0)))</f>
        <v>0</v>
      </c>
      <c r="CB14" s="48" t="n">
        <f aca="false">IF(AA14&lt;&gt;"",AA14,Z14)</f>
        <v>2</v>
      </c>
      <c r="CC14" s="48" t="str">
        <f aca="false">IF(OR(CB14=1,CB14=2,CB14=3),IF(Parameter!$E$27="Ja","LIFT",IF(CB14=1,"L1","L23")),IF(CB14="Aussen","Aussen","-"))</f>
        <v>LIFT</v>
      </c>
      <c r="CD14" s="59" t="n">
        <f aca="false">IF(N(AB14)&gt;0,AB14,0)</f>
        <v>0</v>
      </c>
      <c r="CE14" s="53" t="n">
        <f aca="false">IF(ISNUMBER(AE14),1,0)</f>
        <v>0</v>
      </c>
      <c r="CF14" s="50" t="n">
        <f aca="false">N(AE14)</f>
        <v>0</v>
      </c>
      <c r="CG14" s="50" t="n">
        <f aca="false">N(M14)+N(N14)</f>
        <v>1</v>
      </c>
      <c r="CH14" s="50" t="n">
        <f aca="false">ROUNDUP(H14/BV14,0)</f>
        <v>1</v>
      </c>
      <c r="CI14" s="50" t="n">
        <f aca="false">ROUNDUP(CF14/BV14,0)</f>
        <v>0</v>
      </c>
      <c r="CJ14" s="53" t="n">
        <f aca="false">IF(BW14=1,0,IFERROR(VLOOKUP(BU14,'Gebinde-Kategorie'!$A$5:$N$45,5,0)+0,0))</f>
        <v>20</v>
      </c>
      <c r="CK14" s="53" t="n">
        <f aca="false">IFERROR(IF(OR(CB14=1,CB14=2,CB14=3),N(INDEX(Parameter!$I$5:$I$7,CB14)),0),0)</f>
        <v>0</v>
      </c>
      <c r="CL14" s="52" t="n">
        <f aca="false">IF(AND(Parameter!$B$21="Ja",ISNUMBER(W14),N(X14)&gt;0),IFERROR(N(INDEX(Parameter!$L$5:$L$7,W14))*INDEX(Parameter!$E$5:$E$7,W14)*X14/SUMIFS($X$7:$X$1843,$W$7:$W$1843,W14),0),0)</f>
        <v>0</v>
      </c>
    </row>
    <row r="15" customFormat="false" ht="15" hidden="false" customHeight="false" outlineLevel="0" collapsed="false">
      <c r="A15" s="48" t="s">
        <v>199</v>
      </c>
      <c r="B15" s="48" t="s">
        <v>200</v>
      </c>
      <c r="C15" s="48" t="s">
        <v>168</v>
      </c>
      <c r="D15" s="48" t="s">
        <v>177</v>
      </c>
      <c r="E15" s="48"/>
      <c r="F15" s="48" t="s">
        <v>171</v>
      </c>
      <c r="G15" s="49" t="n">
        <v>5356</v>
      </c>
      <c r="H15" s="50" t="n">
        <f aca="false">MAX(0,IF(AND(Parameter!$B$21="Ja",ISNUMBER(Y15)),Y15,IF(Parameter!$B$20="Jahresanfang 2025 + Export",BO15+BN15,BN15)))</f>
        <v>6</v>
      </c>
      <c r="I15" s="50" t="n">
        <f aca="false">H15*G15</f>
        <v>32136</v>
      </c>
      <c r="J15" s="50" t="n">
        <f aca="false">BQ15*Parameter!$B$18</f>
        <v>23</v>
      </c>
      <c r="K15" s="51" t="n">
        <v>0.5</v>
      </c>
      <c r="L15" s="52" t="n">
        <v>46</v>
      </c>
      <c r="M15" s="50" t="n">
        <v>6</v>
      </c>
      <c r="N15" s="50" t="n">
        <v>5</v>
      </c>
      <c r="O15" s="53" t="n">
        <v>100</v>
      </c>
      <c r="P15" s="48" t="s">
        <v>172</v>
      </c>
      <c r="Q15" s="50"/>
      <c r="R15" s="53" t="n">
        <f aca="false">IF(BW15=1,0,IFERROR(VLOOKUP(BU15,'Gebinde-Kategorie'!$A$5:$N$45,13,0)+0,0))</f>
        <v>12</v>
      </c>
      <c r="S15" s="54"/>
      <c r="T15" s="55" t="s">
        <v>183</v>
      </c>
      <c r="U15" s="55"/>
      <c r="V15" s="55"/>
      <c r="W15" s="48"/>
      <c r="X15" s="50"/>
      <c r="Y15" s="50"/>
      <c r="Z15" s="48" t="n">
        <f aca="false">IF(A15="","",IF(AND(Parameter!$B$21="Ja",ISNUMBER(W15)),W15,IF(BZ15="2+3",IF(ISNUMBER(SEARCH("grosser Artikel",BR15)),2,IFERROR(VLOOKUP(BU15,Parameter!$F$35:$G$64,2,0),2)),IF(OR(BZ15="Nein",BZ15=""),"-",BZ15))))</f>
        <v>2</v>
      </c>
      <c r="AA15" s="55"/>
      <c r="AB15" s="56"/>
      <c r="AC15" s="50" t="n">
        <f aca="false">AT15</f>
        <v>12</v>
      </c>
      <c r="AD15" s="50" t="n">
        <f aca="false">MAX(AT15,H15)</f>
        <v>12</v>
      </c>
      <c r="AE15" s="57"/>
      <c r="AF15" s="50" t="n">
        <f aca="false">IF(LEFT(Cockpit!$C$5,1)="A",H15,IF(CE15=1,CF15,IF(LEFT(Cockpit!$C$5,1)="B",AK15,MAX(AK15,H15))))</f>
        <v>6</v>
      </c>
      <c r="AG15" s="50" t="n">
        <f aca="false">IF(BW15=1,0,ROUNDUP(AF15/BV15,0))</f>
        <v>1</v>
      </c>
      <c r="AH15" s="52" t="n">
        <f aca="false">IF(CL15&gt;0,CL15*MAX(1,AF15/X15),IF(BW15=1,IF(AF15&lt;=0,0,CA15*MAX(1,IF(H15&gt;0,AF15/H15,1))),IF(R15&gt;0,AG15/R15,0))/MAX(0.1,N(Parameter!$M$21)))</f>
        <v>0.0833333333333333</v>
      </c>
      <c r="AI15" s="50" t="n">
        <f aca="false">AH15*BY15</f>
        <v>12.0833333333333</v>
      </c>
      <c r="AJ15" s="50" t="n">
        <f aca="false">AF15*G15</f>
        <v>32136</v>
      </c>
      <c r="AK15" s="50" t="n">
        <f aca="false">ROUNDUP(MAX(J15/IF(CD15&gt;0,CD15,MAX(0.1,N(Cockpit!$C$6))),CG15)/BV15,0)*BV15</f>
        <v>12</v>
      </c>
      <c r="AL15" s="51" t="n">
        <f aca="false">IF(AI15&gt;0,J15/AI15,-1)</f>
        <v>1.90344827586207</v>
      </c>
      <c r="AM15" s="51" t="n">
        <f aca="false">IF(AND(OR(CC15="L1",CC15="L23",CC15="LIFT"),AI15&gt;0),SUMIFS($AI$7:$AI$1843,$CC$7:$CC$1843,CC15,$AL$7:$AL$1843,"&gt;"&amp;AL15)+SUMIFS($AI$7:$AI$1843,$CC$7:$CC$1843,CC15,$AL$7:$AL$1843,AL15,$BT$7:$BT$1843,"&lt;="&amp;BT15),"")</f>
        <v>5953.84661172161</v>
      </c>
      <c r="AN15" s="58" t="n">
        <f aca="false">IF(AM15="",0,MAX(0,MIN(1,(IF(CC15="L1",Parameter!$H$5,IF(CC15="L23",Parameter!$H$6+Parameter!$H$7,Parameter!$H$5+Parameter!$H$6+Parameter!$H$7))-(AM15-AI15))/AI15)))</f>
        <v>1</v>
      </c>
      <c r="AO15" s="50" t="n">
        <f aca="false">IF(LEFT(Cockpit!$I$5,1)="A",H15,IF(CE15=1,CF15,IF(LEFT(Cockpit!$I$5,1)="B",AT15,MAX(AT15,H15))))</f>
        <v>12</v>
      </c>
      <c r="AP15" s="50" t="n">
        <f aca="false">IF(BW15=1,0,ROUNDUP(AO15/BV15,0))</f>
        <v>2</v>
      </c>
      <c r="AQ15" s="52" t="n">
        <f aca="false">IF(CL15&gt;0,CL15*MAX(1,AO15/X15),IF(BW15=1,IF(AO15&lt;=0,0,CA15*MAX(1,IF(H15&gt;0,AO15/H15,1))),IF(R15&gt;0,AP15/R15,0))/MAX(0.1,N(Parameter!$M$21)))</f>
        <v>0.166666666666667</v>
      </c>
      <c r="AR15" s="50" t="n">
        <f aca="false">AQ15*BY15</f>
        <v>24.1666666666667</v>
      </c>
      <c r="AS15" s="50" t="n">
        <f aca="false">AO15*G15</f>
        <v>64272</v>
      </c>
      <c r="AT15" s="50" t="n">
        <f aca="false">ROUNDUP(MAX(J15/IF(CD15&gt;0,CD15,MAX(0.1,N(Cockpit!$I$6))),CG15)/BV15,0)*BV15</f>
        <v>12</v>
      </c>
      <c r="AU15" s="51" t="n">
        <f aca="false">IF(AR15&gt;0,J15/AR15,-1)</f>
        <v>0.951724137931035</v>
      </c>
      <c r="AV15" s="51" t="n">
        <f aca="false">IF(AND(OR(CC15="L1",CC15="L23",CC15="LIFT"),AR15&gt;0),SUMIFS($AR$7:$AR$1843,$CC$7:$CC$1843,CC15,$AU$7:$AU$1843,"&gt;"&amp;AU15)+SUMIFS($AR$7:$AR$1843,$CC$7:$CC$1843,CC15,$AU$7:$AU$1843,AU15,$BT$7:$BT$1843,"&lt;="&amp;BT15),"")</f>
        <v>10289.4880952381</v>
      </c>
      <c r="AW15" s="58" t="n">
        <f aca="false">IF(AV15="",0,MAX(0,MIN(1,(IF(CC15="L1",Parameter!$H$5,IF(CC15="L23",Parameter!$H$6+Parameter!$H$7,Parameter!$H$5+Parameter!$H$6+Parameter!$H$7))-(AV15-AR15))/AR15)))</f>
        <v>1</v>
      </c>
      <c r="AX15" s="50" t="n">
        <f aca="false">IF(LEFT(Cockpit!$O$5,1)="A",H15,IF(CE15=1,CF15,IF(LEFT(Cockpit!$O$5,1)="B",BC15,MAX(BC15,H15))))</f>
        <v>12</v>
      </c>
      <c r="AY15" s="50" t="n">
        <f aca="false">IF(BW15=1,0,ROUNDUP(AX15/BV15,0))</f>
        <v>2</v>
      </c>
      <c r="AZ15" s="52" t="n">
        <f aca="false">IF(CL15&gt;0,CL15*MAX(1,AX15/X15),IF(BW15=1,IF(AX15&lt;=0,0,CA15*MAX(1,IF(H15&gt;0,AX15/H15,1))),IF(R15&gt;0,AY15/R15,0))/MAX(0.1,N(Parameter!$M$21)))</f>
        <v>0.166666666666667</v>
      </c>
      <c r="BA15" s="50" t="n">
        <f aca="false">AZ15*BY15</f>
        <v>24.1666666666667</v>
      </c>
      <c r="BB15" s="50" t="n">
        <f aca="false">AX15*G15</f>
        <v>64272</v>
      </c>
      <c r="BC15" s="50" t="n">
        <f aca="false">ROUNDUP(MAX(J15/IF(CD15&gt;0,CD15,MAX(0.1,N(Cockpit!$O$6))),CG15)/BV15,0)*BV15</f>
        <v>12</v>
      </c>
      <c r="BD15" s="51" t="n">
        <f aca="false">IF(BA15&gt;0,J15/BA15,-1)</f>
        <v>0.951724137931035</v>
      </c>
      <c r="BE15" s="51" t="n">
        <f aca="false">IF(AND(OR(CC15="L1",CC15="L23",CC15="LIFT"),BA15&gt;0),SUMIFS($BA$7:$BA$1843,$CC$7:$CC$1843,CC15,$BD$7:$BD$1843,"&gt;"&amp;BD15)+SUMIFS($BA$7:$BA$1843,$CC$7:$CC$1843,CC15,$BD$7:$BD$1843,BD15,$BT$7:$BT$1843,"&lt;="&amp;BT15),"")</f>
        <v>9378.47847985348</v>
      </c>
      <c r="BF15" s="58" t="n">
        <f aca="false">IF(BE15="",0,MAX(0,MIN(1,(IF(CC15="L1",Parameter!$H$5,IF(CC15="L23",Parameter!$H$6+Parameter!$H$7,Parameter!$H$5+Parameter!$H$6+Parameter!$H$7))-(BE15-BA15))/BA15)))</f>
        <v>1</v>
      </c>
      <c r="BG15" s="48" t="str">
        <f aca="false">IF(AI15&lt;=0,"",IF(CC15="Aussen","Aussenlager",IF(CC15="-","Nicht im Lift",IF(AN15&gt;=1,"Lift",IF(AN15&lt;=0,"Aussenlager","teilweise")))))</f>
        <v>Lift</v>
      </c>
      <c r="BH15" s="48" t="str">
        <f aca="false">IF(AR15&lt;=0,"",IF(CC15="Aussen","Aussenlager",IF(CC15="-","Nicht im Lift",IF(AW15&gt;=1,"Lift",IF(AW15&lt;=0,"Aussenlager","teilweise")))))</f>
        <v>Lift</v>
      </c>
      <c r="BI15" s="48" t="str">
        <f aca="false">IF(BA15&lt;=0,"",IF(CC15="Aussen","Aussenlager",IF(CC15="-","Nicht im Lift",IF(BF15&gt;=1,"Lift",IF(BF15&lt;=0,"Aussenlager","teilweise")))))</f>
        <v>Lift</v>
      </c>
      <c r="BJ15" s="48" t="str">
        <f aca="false">IF(A15="","",IF(BS15=1,"Neu; ","")&amp;IF(AND(BS15=0,BN15&lt;0),"negativer Bestand (Export "&amp;BN15&amp;"); ","")&amp;IF(J15&lt;=0,"Kein Verbrauch; ","")&amp;IF(CL15&gt;0,"Lift "&amp;W15&amp;" lt. Liftbericht (Fach "&amp;X15&amp;" Stk); ",IF(BX15=1,"Gebinde geschätzt ("&amp;T15&amp;"); ",IF(BW15=1,"Lose – Tablare geschätzt; ","")))&amp;IF(H15&gt;AT15,"Überbestand "&amp;ROUND(H15-AT15,0)&amp;" Stk / CHF "&amp;ROUND((H15-AT15)*G15,0)&amp;"; ","")&amp;IF(AND(CE15=1,CF15&lt;CG15),"MAX &lt; MB+LG; ","")&amp;IF(AND(CK15&gt;0,CJ15*10&gt;CK15),"zu hoch für Tablar; ","")&amp;IF(AND(BS15=0,OR(CE15=1,AA15&lt;&gt;"",U15&lt;&gt;"",V15&lt;&gt;"",AB15&lt;&gt;"")),"manuell übersteuert; ","")&amp;IF(AND(BW15=0,R15=0),"Gebinde unbekannt / Stellmass fehlt; ","")&amp;IF(AND(BW15=0,N(V15)&lt;=0,N(Q15)&lt;=0),"Menge pro Gebinde fehlt (Ist = 1 Gebinde); ","")&amp;BR15)</f>
        <v>Gebinde geschätzt (Mittel); Menge pro Gebinde fehlt (Ist = 1 Gebinde); </v>
      </c>
      <c r="BK15" s="48"/>
      <c r="BL15" s="48"/>
      <c r="BM15" s="55"/>
      <c r="BN15" s="50" t="n">
        <v>6</v>
      </c>
      <c r="BO15" s="50" t="n">
        <v>0</v>
      </c>
      <c r="BP15" s="49" t="n">
        <v>32136</v>
      </c>
      <c r="BQ15" s="50" t="n">
        <v>23</v>
      </c>
      <c r="BR15" s="48"/>
      <c r="BS15" s="53" t="n">
        <v>0</v>
      </c>
      <c r="BT15" s="53" t="n">
        <v>15</v>
      </c>
      <c r="BU15" s="48" t="str">
        <f aca="false">IF(U15&lt;&gt;"",UPPER(TRIM(U15)),IF(BX15=1,UPPER(VLOOKUP(T15,Parameter!$I$27:$K$29,2,0)),IF(P15="","LOSE",P15)))</f>
        <v>S61</v>
      </c>
      <c r="BV15" s="50" t="n">
        <f aca="false">IF(BU15="LOSE",1,IF(N(V15)&gt;0,V15,IF(BX15=1,MAX(1,N(VLOOKUP(T15,Parameter!$I$27:$K$29,3,0)),H15,N(N15)),IF(N(Q15)&gt;0,Q15,MAX(1,H15)))))</f>
        <v>6</v>
      </c>
      <c r="BW15" s="53" t="n">
        <f aca="false">IF(BU15="LOSE",1,0)</f>
        <v>0</v>
      </c>
      <c r="BX15" s="53" t="n">
        <f aca="false">IF(AND(U15="",OR(P15="",P15="LOSE"),T15&lt;&gt;"",N(S15)&lt;=0,ISNUMBER(MATCH(T15,Parameter!$I$27:$I$29,0))),1,0)</f>
        <v>1</v>
      </c>
      <c r="BY15" s="53" t="n">
        <f aca="false">IF(CL15&gt;0,INDEX(Parameter!$H$5:$H$7,W15)/INDEX(Parameter!$E$5:$E$7,W15),IF(AND(BW15=0,N(IFERROR(VLOOKUP(BU15,'Gebinde-Kategorie'!$A$5:$N$45,14,0),0))&gt;0),VLOOKUP(BU15,'Gebinde-Kategorie'!$A$5:$N$45,14,0)*10+Parameter!$M$23,Parameter!$M$24))</f>
        <v>145</v>
      </c>
      <c r="BZ15" s="48" t="str">
        <f aca="false">IF(AND(Parameter!$B$19="Ja",E15&lt;&gt;"",ISNUMBER(MATCH(E15,Parameter!$I$35:$I$52,0))),VLOOKUP(E15,Parameter!$I$35:$J$52,2,0),IFERROR(VLOOKUP(D15,Parameter!$A$35:$C$64,2,0),"Nein"))</f>
        <v>2+3</v>
      </c>
      <c r="CA15" s="52" t="n">
        <f aca="false">IF(BW15=0,0,IF(N(S15)&gt;0,S15,IFERROR(VLOOKUP(D15,Parameter!$A$35:$C$64,3,0)+0,0)))</f>
        <v>0</v>
      </c>
      <c r="CB15" s="48" t="n">
        <f aca="false">IF(AA15&lt;&gt;"",AA15,Z15)</f>
        <v>2</v>
      </c>
      <c r="CC15" s="48" t="str">
        <f aca="false">IF(OR(CB15=1,CB15=2,CB15=3),IF(Parameter!$E$27="Ja","LIFT",IF(CB15=1,"L1","L23")),IF(CB15="Aussen","Aussen","-"))</f>
        <v>LIFT</v>
      </c>
      <c r="CD15" s="59" t="n">
        <f aca="false">IF(N(AB15)&gt;0,AB15,0)</f>
        <v>0</v>
      </c>
      <c r="CE15" s="53" t="n">
        <f aca="false">IF(ISNUMBER(AE15),1,0)</f>
        <v>0</v>
      </c>
      <c r="CF15" s="50" t="n">
        <f aca="false">N(AE15)</f>
        <v>0</v>
      </c>
      <c r="CG15" s="50" t="n">
        <f aca="false">N(M15)+N(N15)</f>
        <v>11</v>
      </c>
      <c r="CH15" s="50" t="n">
        <f aca="false">ROUNDUP(H15/BV15,0)</f>
        <v>1</v>
      </c>
      <c r="CI15" s="50" t="n">
        <f aca="false">ROUNDUP(CF15/BV15,0)</f>
        <v>0</v>
      </c>
      <c r="CJ15" s="53" t="n">
        <f aca="false">IF(BW15=1,0,IFERROR(VLOOKUP(BU15,'Gebinde-Kategorie'!$A$5:$N$45,5,0)+0,0))</f>
        <v>11</v>
      </c>
      <c r="CK15" s="53" t="n">
        <f aca="false">IFERROR(IF(OR(CB15=1,CB15=2,CB15=3),N(INDEX(Parameter!$I$5:$I$7,CB15)),0),0)</f>
        <v>0</v>
      </c>
      <c r="CL15" s="52" t="n">
        <f aca="false">IF(AND(Parameter!$B$21="Ja",ISNUMBER(W15),N(X15)&gt;0),IFERROR(N(INDEX(Parameter!$L$5:$L$7,W15))*INDEX(Parameter!$E$5:$E$7,W15)*X15/SUMIFS($X$7:$X$1843,$W$7:$W$1843,W15),0),0)</f>
        <v>0</v>
      </c>
    </row>
    <row r="16" customFormat="false" ht="15" hidden="false" customHeight="false" outlineLevel="0" collapsed="false">
      <c r="A16" s="48" t="s">
        <v>201</v>
      </c>
      <c r="B16" s="48" t="s">
        <v>202</v>
      </c>
      <c r="C16" s="48" t="s">
        <v>168</v>
      </c>
      <c r="D16" s="48" t="s">
        <v>177</v>
      </c>
      <c r="E16" s="48" t="s">
        <v>177</v>
      </c>
      <c r="F16" s="48" t="s">
        <v>171</v>
      </c>
      <c r="G16" s="49" t="n">
        <v>4269.47</v>
      </c>
      <c r="H16" s="50" t="n">
        <f aca="false">MAX(0,IF(AND(Parameter!$B$21="Ja",ISNUMBER(Y16)),Y16,IF(Parameter!$B$20="Jahresanfang 2025 + Export",BO16+BN16,BN16)))</f>
        <v>18</v>
      </c>
      <c r="I16" s="50" t="n">
        <f aca="false">H16*G16</f>
        <v>76850.46</v>
      </c>
      <c r="J16" s="50" t="n">
        <f aca="false">BQ16*Parameter!$B$18</f>
        <v>81</v>
      </c>
      <c r="K16" s="51" t="n">
        <v>8</v>
      </c>
      <c r="L16" s="52" t="n">
        <v>10.125</v>
      </c>
      <c r="M16" s="50" t="n">
        <v>12</v>
      </c>
      <c r="N16" s="50" t="n">
        <v>5</v>
      </c>
      <c r="O16" s="53" t="n">
        <v>56</v>
      </c>
      <c r="P16" s="48" t="s">
        <v>172</v>
      </c>
      <c r="Q16" s="50"/>
      <c r="R16" s="53" t="n">
        <f aca="false">IF(BW16=1,0,IFERROR(VLOOKUP(BU16,'Gebinde-Kategorie'!$A$5:$N$45,13,0)+0,0))</f>
        <v>12</v>
      </c>
      <c r="S16" s="54"/>
      <c r="T16" s="55" t="s">
        <v>183</v>
      </c>
      <c r="U16" s="55"/>
      <c r="V16" s="55"/>
      <c r="W16" s="48"/>
      <c r="X16" s="50"/>
      <c r="Y16" s="50"/>
      <c r="Z16" s="48" t="str">
        <f aca="false">IF(A16="","",IF(AND(Parameter!$B$21="Ja",ISNUMBER(W16)),W16,IF(BZ16="2+3",IF(ISNUMBER(SEARCH("grosser Artikel",BR16)),2,IFERROR(VLOOKUP(BU16,Parameter!$F$35:$G$64,2,0),2)),IF(OR(BZ16="Nein",BZ16=""),"-",BZ16))))</f>
        <v>-</v>
      </c>
      <c r="AA16" s="55"/>
      <c r="AB16" s="56"/>
      <c r="AC16" s="50" t="n">
        <f aca="false">AT16</f>
        <v>54</v>
      </c>
      <c r="AD16" s="50" t="n">
        <f aca="false">MAX(AT16,H16)</f>
        <v>54</v>
      </c>
      <c r="AE16" s="57"/>
      <c r="AF16" s="50" t="n">
        <f aca="false">IF(LEFT(Cockpit!$C$5,1)="A",H16,IF(CE16=1,CF16,IF(LEFT(Cockpit!$C$5,1)="B",AK16,MAX(AK16,H16))))</f>
        <v>18</v>
      </c>
      <c r="AG16" s="50" t="n">
        <f aca="false">IF(BW16=1,0,ROUNDUP(AF16/BV16,0))</f>
        <v>1</v>
      </c>
      <c r="AH16" s="52" t="n">
        <f aca="false">IF(CL16&gt;0,CL16*MAX(1,AF16/X16),IF(BW16=1,IF(AF16&lt;=0,0,CA16*MAX(1,IF(H16&gt;0,AF16/H16,1))),IF(R16&gt;0,AG16/R16,0))/MAX(0.1,N(Parameter!$M$21)))</f>
        <v>0.0833333333333333</v>
      </c>
      <c r="AI16" s="50" t="n">
        <f aca="false">AH16*BY16</f>
        <v>12.0833333333333</v>
      </c>
      <c r="AJ16" s="50" t="n">
        <f aca="false">AF16*G16</f>
        <v>76850.46</v>
      </c>
      <c r="AK16" s="50" t="n">
        <f aca="false">ROUNDUP(MAX(J16/IF(CD16&gt;0,CD16,MAX(0.1,N(Cockpit!$C$6))),CG16)/BV16,0)*BV16</f>
        <v>54</v>
      </c>
      <c r="AL16" s="51" t="n">
        <f aca="false">IF(AI16&gt;0,J16/AI16,-1)</f>
        <v>6.70344827586207</v>
      </c>
      <c r="AM16" s="51" t="str">
        <f aca="false">IF(AND(OR(CC16="L1",CC16="L23",CC16="LIFT"),AI16&gt;0),SUMIFS($AI$7:$AI$1843,$CC$7:$CC$1843,CC16,$AL$7:$AL$1843,"&gt;"&amp;AL16)+SUMIFS($AI$7:$AI$1843,$CC$7:$CC$1843,CC16,$AL$7:$AL$1843,AL16,$BT$7:$BT$1843,"&lt;="&amp;BT16),"")</f>
        <v/>
      </c>
      <c r="AN16" s="58" t="n">
        <f aca="false">IF(AM16="",0,MAX(0,MIN(1,(IF(CC16="L1",Parameter!$H$5,IF(CC16="L23",Parameter!$H$6+Parameter!$H$7,Parameter!$H$5+Parameter!$H$6+Parameter!$H$7))-(AM16-AI16))/AI16)))</f>
        <v>0</v>
      </c>
      <c r="AO16" s="50" t="n">
        <f aca="false">IF(LEFT(Cockpit!$I$5,1)="A",H16,IF(CE16=1,CF16,IF(LEFT(Cockpit!$I$5,1)="B",AT16,MAX(AT16,H16))))</f>
        <v>54</v>
      </c>
      <c r="AP16" s="50" t="n">
        <f aca="false">IF(BW16=1,0,ROUNDUP(AO16/BV16,0))</f>
        <v>3</v>
      </c>
      <c r="AQ16" s="52" t="n">
        <f aca="false">IF(CL16&gt;0,CL16*MAX(1,AO16/X16),IF(BW16=1,IF(AO16&lt;=0,0,CA16*MAX(1,IF(H16&gt;0,AO16/H16,1))),IF(R16&gt;0,AP16/R16,0))/MAX(0.1,N(Parameter!$M$21)))</f>
        <v>0.25</v>
      </c>
      <c r="AR16" s="50" t="n">
        <f aca="false">AQ16*BY16</f>
        <v>36.25</v>
      </c>
      <c r="AS16" s="50" t="n">
        <f aca="false">AO16*G16</f>
        <v>230551.38</v>
      </c>
      <c r="AT16" s="50" t="n">
        <f aca="false">ROUNDUP(MAX(J16/IF(CD16&gt;0,CD16,MAX(0.1,N(Cockpit!$I$6))),CG16)/BV16,0)*BV16</f>
        <v>54</v>
      </c>
      <c r="AU16" s="51" t="n">
        <f aca="false">IF(AR16&gt;0,J16/AR16,-1)</f>
        <v>2.23448275862069</v>
      </c>
      <c r="AV16" s="51" t="str">
        <f aca="false">IF(AND(OR(CC16="L1",CC16="L23",CC16="LIFT"),AR16&gt;0),SUMIFS($AR$7:$AR$1843,$CC$7:$CC$1843,CC16,$AU$7:$AU$1843,"&gt;"&amp;AU16)+SUMIFS($AR$7:$AR$1843,$CC$7:$CC$1843,CC16,$AU$7:$AU$1843,AU16,$BT$7:$BT$1843,"&lt;="&amp;BT16),"")</f>
        <v/>
      </c>
      <c r="AW16" s="58" t="n">
        <f aca="false">IF(AV16="",0,MAX(0,MIN(1,(IF(CC16="L1",Parameter!$H$5,IF(CC16="L23",Parameter!$H$6+Parameter!$H$7,Parameter!$H$5+Parameter!$H$6+Parameter!$H$7))-(AV16-AR16))/AR16)))</f>
        <v>0</v>
      </c>
      <c r="AX16" s="50" t="n">
        <f aca="false">IF(LEFT(Cockpit!$O$5,1)="A",H16,IF(CE16=1,CF16,IF(LEFT(Cockpit!$O$5,1)="B",BC16,MAX(BC16,H16))))</f>
        <v>36</v>
      </c>
      <c r="AY16" s="50" t="n">
        <f aca="false">IF(BW16=1,0,ROUNDUP(AX16/BV16,0))</f>
        <v>2</v>
      </c>
      <c r="AZ16" s="52" t="n">
        <f aca="false">IF(CL16&gt;0,CL16*MAX(1,AX16/X16),IF(BW16=1,IF(AX16&lt;=0,0,CA16*MAX(1,IF(H16&gt;0,AX16/H16,1))),IF(R16&gt;0,AY16/R16,0))/MAX(0.1,N(Parameter!$M$21)))</f>
        <v>0.166666666666667</v>
      </c>
      <c r="BA16" s="50" t="n">
        <f aca="false">AZ16*BY16</f>
        <v>24.1666666666667</v>
      </c>
      <c r="BB16" s="50" t="n">
        <f aca="false">AX16*G16</f>
        <v>153700.92</v>
      </c>
      <c r="BC16" s="50" t="n">
        <f aca="false">ROUNDUP(MAX(J16/IF(CD16&gt;0,CD16,MAX(0.1,N(Cockpit!$O$6))),CG16)/BV16,0)*BV16</f>
        <v>36</v>
      </c>
      <c r="BD16" s="51" t="n">
        <f aca="false">IF(BA16&gt;0,J16/BA16,-1)</f>
        <v>3.35172413793104</v>
      </c>
      <c r="BE16" s="51" t="str">
        <f aca="false">IF(AND(OR(CC16="L1",CC16="L23",CC16="LIFT"),BA16&gt;0),SUMIFS($BA$7:$BA$1843,$CC$7:$CC$1843,CC16,$BD$7:$BD$1843,"&gt;"&amp;BD16)+SUMIFS($BA$7:$BA$1843,$CC$7:$CC$1843,CC16,$BD$7:$BD$1843,BD16,$BT$7:$BT$1843,"&lt;="&amp;BT16),"")</f>
        <v/>
      </c>
      <c r="BF16" s="58" t="n">
        <f aca="false">IF(BE16="",0,MAX(0,MIN(1,(IF(CC16="L1",Parameter!$H$5,IF(CC16="L23",Parameter!$H$6+Parameter!$H$7,Parameter!$H$5+Parameter!$H$6+Parameter!$H$7))-(BE16-BA16))/BA16)))</f>
        <v>0</v>
      </c>
      <c r="BG16" s="48" t="str">
        <f aca="false">IF(AI16&lt;=0,"",IF(CC16="Aussen","Aussenlager",IF(CC16="-","Nicht im Lift",IF(AN16&gt;=1,"Lift",IF(AN16&lt;=0,"Aussenlager","teilweise")))))</f>
        <v>Nicht im Lift</v>
      </c>
      <c r="BH16" s="48" t="str">
        <f aca="false">IF(AR16&lt;=0,"",IF(CC16="Aussen","Aussenlager",IF(CC16="-","Nicht im Lift",IF(AW16&gt;=1,"Lift",IF(AW16&lt;=0,"Aussenlager","teilweise")))))</f>
        <v>Nicht im Lift</v>
      </c>
      <c r="BI16" s="48" t="str">
        <f aca="false">IF(BA16&lt;=0,"",IF(CC16="Aussen","Aussenlager",IF(CC16="-","Nicht im Lift",IF(BF16&gt;=1,"Lift",IF(BF16&lt;=0,"Aussenlager","teilweise")))))</f>
        <v>Nicht im Lift</v>
      </c>
      <c r="BJ16" s="48" t="str">
        <f aca="false">IF(A16="","",IF(BS16=1,"Neu; ","")&amp;IF(AND(BS16=0,BN16&lt;0),"negativer Bestand (Export "&amp;BN16&amp;"); ","")&amp;IF(J16&lt;=0,"Kein Verbrauch; ","")&amp;IF(CL16&gt;0,"Lift "&amp;W16&amp;" lt. Liftbericht (Fach "&amp;X16&amp;" Stk); ",IF(BX16=1,"Gebinde geschätzt ("&amp;T16&amp;"); ",IF(BW16=1,"Lose – Tablare geschätzt; ","")))&amp;IF(H16&gt;AT16,"Überbestand "&amp;ROUND(H16-AT16,0)&amp;" Stk / CHF "&amp;ROUND((H16-AT16)*G16,0)&amp;"; ","")&amp;IF(AND(CE16=1,CF16&lt;CG16),"MAX &lt; MB+LG; ","")&amp;IF(AND(CK16&gt;0,CJ16*10&gt;CK16),"zu hoch für Tablar; ","")&amp;IF(AND(BS16=0,OR(CE16=1,AA16&lt;&gt;"",U16&lt;&gt;"",V16&lt;&gt;"",AB16&lt;&gt;"")),"manuell übersteuert; ","")&amp;IF(AND(BW16=0,R16=0),"Gebinde unbekannt / Stellmass fehlt; ","")&amp;IF(AND(BW16=0,N(V16)&lt;=0,N(Q16)&lt;=0),"Menge pro Gebinde fehlt (Ist = 1 Gebinde); ","")&amp;BR16)</f>
        <v>Gebinde geschätzt (Mittel); Menge pro Gebinde fehlt (Ist = 1 Gebinde); </v>
      </c>
      <c r="BK16" s="48"/>
      <c r="BL16" s="48"/>
      <c r="BM16" s="55"/>
      <c r="BN16" s="50" t="n">
        <v>8</v>
      </c>
      <c r="BO16" s="50" t="n">
        <v>10</v>
      </c>
      <c r="BP16" s="49" t="n">
        <v>31710.4700000001</v>
      </c>
      <c r="BQ16" s="50" t="n">
        <v>81</v>
      </c>
      <c r="BR16" s="48"/>
      <c r="BS16" s="53" t="n">
        <v>0</v>
      </c>
      <c r="BT16" s="53" t="n">
        <v>16</v>
      </c>
      <c r="BU16" s="48" t="str">
        <f aca="false">IF(U16&lt;&gt;"",UPPER(TRIM(U16)),IF(BX16=1,UPPER(VLOOKUP(T16,Parameter!$I$27:$K$29,2,0)),IF(P16="","LOSE",P16)))</f>
        <v>S61</v>
      </c>
      <c r="BV16" s="50" t="n">
        <f aca="false">IF(BU16="LOSE",1,IF(N(V16)&gt;0,V16,IF(BX16=1,MAX(1,N(VLOOKUP(T16,Parameter!$I$27:$K$29,3,0)),H16,N(N16)),IF(N(Q16)&gt;0,Q16,MAX(1,H16)))))</f>
        <v>18</v>
      </c>
      <c r="BW16" s="53" t="n">
        <f aca="false">IF(BU16="LOSE",1,0)</f>
        <v>0</v>
      </c>
      <c r="BX16" s="53" t="n">
        <f aca="false">IF(AND(U16="",OR(P16="",P16="LOSE"),T16&lt;&gt;"",N(S16)&lt;=0,ISNUMBER(MATCH(T16,Parameter!$I$27:$I$29,0))),1,0)</f>
        <v>1</v>
      </c>
      <c r="BY16" s="53" t="n">
        <f aca="false">IF(CL16&gt;0,INDEX(Parameter!$H$5:$H$7,W16)/INDEX(Parameter!$E$5:$E$7,W16),IF(AND(BW16=0,N(IFERROR(VLOOKUP(BU16,'Gebinde-Kategorie'!$A$5:$N$45,14,0),0))&gt;0),VLOOKUP(BU16,'Gebinde-Kategorie'!$A$5:$N$45,14,0)*10+Parameter!$M$23,Parameter!$M$24))</f>
        <v>145</v>
      </c>
      <c r="BZ16" s="48" t="str">
        <f aca="false">IF(AND(Parameter!$B$19="Ja",E16&lt;&gt;"",ISNUMBER(MATCH(E16,Parameter!$I$35:$I$52,0))),VLOOKUP(E16,Parameter!$I$35:$J$52,2,0),IFERROR(VLOOKUP(D16,Parameter!$A$35:$C$64,2,0),"Nein"))</f>
        <v>Nein</v>
      </c>
      <c r="CA16" s="52" t="n">
        <f aca="false">IF(BW16=0,0,IF(N(S16)&gt;0,S16,IFERROR(VLOOKUP(D16,Parameter!$A$35:$C$64,3,0)+0,0)))</f>
        <v>0</v>
      </c>
      <c r="CB16" s="48" t="str">
        <f aca="false">IF(AA16&lt;&gt;"",AA16,Z16)</f>
        <v>-</v>
      </c>
      <c r="CC16" s="48" t="str">
        <f aca="false">IF(OR(CB16=1,CB16=2,CB16=3),IF(Parameter!$E$27="Ja","LIFT",IF(CB16=1,"L1","L23")),IF(CB16="Aussen","Aussen","-"))</f>
        <v>-</v>
      </c>
      <c r="CD16" s="59" t="n">
        <f aca="false">IF(N(AB16)&gt;0,AB16,0)</f>
        <v>0</v>
      </c>
      <c r="CE16" s="53" t="n">
        <f aca="false">IF(ISNUMBER(AE16),1,0)</f>
        <v>0</v>
      </c>
      <c r="CF16" s="50" t="n">
        <f aca="false">N(AE16)</f>
        <v>0</v>
      </c>
      <c r="CG16" s="50" t="n">
        <f aca="false">N(M16)+N(N16)</f>
        <v>17</v>
      </c>
      <c r="CH16" s="50" t="n">
        <f aca="false">ROUNDUP(H16/BV16,0)</f>
        <v>1</v>
      </c>
      <c r="CI16" s="50" t="n">
        <f aca="false">ROUNDUP(CF16/BV16,0)</f>
        <v>0</v>
      </c>
      <c r="CJ16" s="53" t="n">
        <f aca="false">IF(BW16=1,0,IFERROR(VLOOKUP(BU16,'Gebinde-Kategorie'!$A$5:$N$45,5,0)+0,0))</f>
        <v>11</v>
      </c>
      <c r="CK16" s="53" t="n">
        <f aca="false">IFERROR(IF(OR(CB16=1,CB16=2,CB16=3),N(INDEX(Parameter!$I$5:$I$7,CB16)),0),0)</f>
        <v>0</v>
      </c>
      <c r="CL16" s="52" t="n">
        <f aca="false">IF(AND(Parameter!$B$21="Ja",ISNUMBER(W16),N(X16)&gt;0),IFERROR(N(INDEX(Parameter!$L$5:$L$7,W16))*INDEX(Parameter!$E$5:$E$7,W16)*X16/SUMIFS($X$7:$X$1843,$W$7:$W$1843,W16),0),0)</f>
        <v>0</v>
      </c>
    </row>
    <row r="17" customFormat="false" ht="15" hidden="false" customHeight="false" outlineLevel="0" collapsed="false">
      <c r="A17" s="48" t="s">
        <v>203</v>
      </c>
      <c r="B17" s="48" t="s">
        <v>204</v>
      </c>
      <c r="C17" s="48" t="s">
        <v>168</v>
      </c>
      <c r="D17" s="48" t="s">
        <v>177</v>
      </c>
      <c r="E17" s="48"/>
      <c r="F17" s="48" t="s">
        <v>205</v>
      </c>
      <c r="G17" s="49" t="n">
        <v>399.17</v>
      </c>
      <c r="H17" s="50" t="n">
        <f aca="false">MAX(0,IF(AND(Parameter!$B$21="Ja",ISNUMBER(Y17)),Y17,IF(Parameter!$B$20="Jahresanfang 2025 + Export",BO17+BN17,BN17)))</f>
        <v>75</v>
      </c>
      <c r="I17" s="50" t="n">
        <f aca="false">H17*G17</f>
        <v>29937.75</v>
      </c>
      <c r="J17" s="50" t="n">
        <f aca="false">BQ17*Parameter!$B$18</f>
        <v>0</v>
      </c>
      <c r="K17" s="51" t="n">
        <v>0</v>
      </c>
      <c r="L17" s="52" t="n">
        <v>0</v>
      </c>
      <c r="M17" s="50" t="n">
        <v>0</v>
      </c>
      <c r="N17" s="50" t="n">
        <v>1</v>
      </c>
      <c r="O17" s="53" t="n">
        <v>9999</v>
      </c>
      <c r="P17" s="48" t="s">
        <v>172</v>
      </c>
      <c r="Q17" s="50"/>
      <c r="R17" s="53" t="n">
        <f aca="false">IF(BW17=1,0,IFERROR(VLOOKUP(BU17,'Gebinde-Kategorie'!$A$5:$N$45,13,0)+0,0))</f>
        <v>4</v>
      </c>
      <c r="S17" s="54"/>
      <c r="T17" s="55" t="s">
        <v>193</v>
      </c>
      <c r="U17" s="55"/>
      <c r="V17" s="55"/>
      <c r="W17" s="48"/>
      <c r="X17" s="50"/>
      <c r="Y17" s="50"/>
      <c r="Z17" s="48" t="n">
        <f aca="false">IF(A17="","",IF(AND(Parameter!$B$21="Ja",ISNUMBER(W17)),W17,IF(BZ17="2+3",IF(ISNUMBER(SEARCH("grosser Artikel",BR17)),2,IFERROR(VLOOKUP(BU17,Parameter!$F$35:$G$64,2,0),2)),IF(OR(BZ17="Nein",BZ17=""),"-",BZ17))))</f>
        <v>2</v>
      </c>
      <c r="AA17" s="55"/>
      <c r="AB17" s="56"/>
      <c r="AC17" s="50" t="n">
        <f aca="false">AT17</f>
        <v>75</v>
      </c>
      <c r="AD17" s="50" t="n">
        <f aca="false">MAX(AT17,H17)</f>
        <v>75</v>
      </c>
      <c r="AE17" s="57"/>
      <c r="AF17" s="50" t="n">
        <f aca="false">IF(LEFT(Cockpit!$C$5,1)="A",H17,IF(CE17=1,CF17,IF(LEFT(Cockpit!$C$5,1)="B",AK17,MAX(AK17,H17))))</f>
        <v>75</v>
      </c>
      <c r="AG17" s="50" t="n">
        <f aca="false">IF(BW17=1,0,ROUNDUP(AF17/BV17,0))</f>
        <v>1</v>
      </c>
      <c r="AH17" s="52" t="n">
        <f aca="false">IF(CL17&gt;0,CL17*MAX(1,AF17/X17),IF(BW17=1,IF(AF17&lt;=0,0,CA17*MAX(1,IF(H17&gt;0,AF17/H17,1))),IF(R17&gt;0,AG17/R17,0))/MAX(0.1,N(Parameter!$M$21)))</f>
        <v>0.25</v>
      </c>
      <c r="AI17" s="50" t="n">
        <f aca="false">AH17*BY17</f>
        <v>58.75</v>
      </c>
      <c r="AJ17" s="50" t="n">
        <f aca="false">AF17*G17</f>
        <v>29937.75</v>
      </c>
      <c r="AK17" s="50" t="n">
        <f aca="false">ROUNDUP(MAX(J17/IF(CD17&gt;0,CD17,MAX(0.1,N(Cockpit!$C$6))),CG17)/BV17,0)*BV17</f>
        <v>75</v>
      </c>
      <c r="AL17" s="51" t="n">
        <f aca="false">IF(AI17&gt;0,J17/AI17,-1)</f>
        <v>0</v>
      </c>
      <c r="AM17" s="51" t="n">
        <f aca="false">IF(AND(OR(CC17="L1",CC17="L23",CC17="LIFT"),AI17&gt;0),SUMIFS($AI$7:$AI$1843,$CC$7:$CC$1843,CC17,$AL$7:$AL$1843,"&gt;"&amp;AL17)+SUMIFS($AI$7:$AI$1843,$CC$7:$CC$1843,CC17,$AL$7:$AL$1843,AL17,$BT$7:$BT$1843,"&lt;="&amp;BT17),"")</f>
        <v>25605.2719081766</v>
      </c>
      <c r="AN17" s="58" t="n">
        <f aca="false">IF(AM17="",0,MAX(0,MIN(1,(IF(CC17="L1",Parameter!$H$5,IF(CC17="L23",Parameter!$H$6+Parameter!$H$7,Parameter!$H$5+Parameter!$H$6+Parameter!$H$7))-(AM17-AI17))/AI17)))</f>
        <v>1</v>
      </c>
      <c r="AO17" s="50" t="n">
        <f aca="false">IF(LEFT(Cockpit!$I$5,1)="A",H17,IF(CE17=1,CF17,IF(LEFT(Cockpit!$I$5,1)="B",AT17,MAX(AT17,H17))))</f>
        <v>75</v>
      </c>
      <c r="AP17" s="50" t="n">
        <f aca="false">IF(BW17=1,0,ROUNDUP(AO17/BV17,0))</f>
        <v>1</v>
      </c>
      <c r="AQ17" s="52" t="n">
        <f aca="false">IF(CL17&gt;0,CL17*MAX(1,AO17/X17),IF(BW17=1,IF(AO17&lt;=0,0,CA17*MAX(1,IF(H17&gt;0,AO17/H17,1))),IF(R17&gt;0,AP17/R17,0))/MAX(0.1,N(Parameter!$M$21)))</f>
        <v>0.25</v>
      </c>
      <c r="AR17" s="50" t="n">
        <f aca="false">AQ17*BY17</f>
        <v>58.75</v>
      </c>
      <c r="AS17" s="50" t="n">
        <f aca="false">AO17*G17</f>
        <v>29937.75</v>
      </c>
      <c r="AT17" s="50" t="n">
        <f aca="false">ROUNDUP(MAX(J17/IF(CD17&gt;0,CD17,MAX(0.1,N(Cockpit!$I$6))),CG17)/BV17,0)*BV17</f>
        <v>75</v>
      </c>
      <c r="AU17" s="51" t="n">
        <f aca="false">IF(AR17&gt;0,J17/AR17,-1)</f>
        <v>0</v>
      </c>
      <c r="AV17" s="51" t="n">
        <f aca="false">IF(AND(OR(CC17="L1",CC17="L23",CC17="LIFT"),AR17&gt;0),SUMIFS($AR$7:$AR$1843,$CC$7:$CC$1843,CC17,$AU$7:$AU$1843,"&gt;"&amp;AU17)+SUMIFS($AR$7:$AR$1843,$CC$7:$CC$1843,CC17,$AU$7:$AU$1843,AU17,$BT$7:$BT$1843,"&lt;="&amp;BT17),"")</f>
        <v>36850.7951278947</v>
      </c>
      <c r="AW17" s="58" t="n">
        <f aca="false">IF(AV17="",0,MAX(0,MIN(1,(IF(CC17="L1",Parameter!$H$5,IF(CC17="L23",Parameter!$H$6+Parameter!$H$7,Parameter!$H$5+Parameter!$H$6+Parameter!$H$7))-(AV17-AR17))/AR17)))</f>
        <v>0</v>
      </c>
      <c r="AX17" s="50" t="n">
        <f aca="false">IF(LEFT(Cockpit!$O$5,1)="A",H17,IF(CE17=1,CF17,IF(LEFT(Cockpit!$O$5,1)="B",BC17,MAX(BC17,H17))))</f>
        <v>75</v>
      </c>
      <c r="AY17" s="50" t="n">
        <f aca="false">IF(BW17=1,0,ROUNDUP(AX17/BV17,0))</f>
        <v>1</v>
      </c>
      <c r="AZ17" s="52" t="n">
        <f aca="false">IF(CL17&gt;0,CL17*MAX(1,AX17/X17),IF(BW17=1,IF(AX17&lt;=0,0,CA17*MAX(1,IF(H17&gt;0,AX17/H17,1))),IF(R17&gt;0,AY17/R17,0))/MAX(0.1,N(Parameter!$M$21)))</f>
        <v>0.25</v>
      </c>
      <c r="BA17" s="50" t="n">
        <f aca="false">AZ17*BY17</f>
        <v>58.75</v>
      </c>
      <c r="BB17" s="50" t="n">
        <f aca="false">AX17*G17</f>
        <v>29937.75</v>
      </c>
      <c r="BC17" s="50" t="n">
        <f aca="false">ROUNDUP(MAX(J17/IF(CD17&gt;0,CD17,MAX(0.1,N(Cockpit!$O$6))),CG17)/BV17,0)*BV17</f>
        <v>75</v>
      </c>
      <c r="BD17" s="51" t="n">
        <f aca="false">IF(BA17&gt;0,J17/BA17,-1)</f>
        <v>0</v>
      </c>
      <c r="BE17" s="51" t="n">
        <f aca="false">IF(AND(OR(CC17="L1",CC17="L23",CC17="LIFT"),BA17&gt;0),SUMIFS($BA$7:$BA$1843,$CC$7:$CC$1843,CC17,$BD$7:$BD$1843,"&gt;"&amp;BD17)+SUMIFS($BA$7:$BA$1843,$CC$7:$CC$1843,CC17,$BD$7:$BD$1843,BD17,$BT$7:$BT$1843,"&lt;="&amp;BT17),"")</f>
        <v>33525.8071697606</v>
      </c>
      <c r="BF17" s="58" t="n">
        <f aca="false">IF(BE17="",0,MAX(0,MIN(1,(IF(CC17="L1",Parameter!$H$5,IF(CC17="L23",Parameter!$H$6+Parameter!$H$7,Parameter!$H$5+Parameter!$H$6+Parameter!$H$7))-(BE17-BA17))/BA17)))</f>
        <v>1</v>
      </c>
      <c r="BG17" s="48" t="str">
        <f aca="false">IF(AI17&lt;=0,"",IF(CC17="Aussen","Aussenlager",IF(CC17="-","Nicht im Lift",IF(AN17&gt;=1,"Lift",IF(AN17&lt;=0,"Aussenlager","teilweise")))))</f>
        <v>Lift</v>
      </c>
      <c r="BH17" s="48" t="str">
        <f aca="false">IF(AR17&lt;=0,"",IF(CC17="Aussen","Aussenlager",IF(CC17="-","Nicht im Lift",IF(AW17&gt;=1,"Lift",IF(AW17&lt;=0,"Aussenlager","teilweise")))))</f>
        <v>Aussenlager</v>
      </c>
      <c r="BI17" s="48" t="str">
        <f aca="false">IF(BA17&lt;=0,"",IF(CC17="Aussen","Aussenlager",IF(CC17="-","Nicht im Lift",IF(BF17&gt;=1,"Lift",IF(BF17&lt;=0,"Aussenlager","teilweise")))))</f>
        <v>Lift</v>
      </c>
      <c r="BJ17" s="48" t="str">
        <f aca="false">IF(A17="","",IF(BS17=1,"Neu; ","")&amp;IF(AND(BS17=0,BN17&lt;0),"negativer Bestand (Export "&amp;BN17&amp;"); ","")&amp;IF(J17&lt;=0,"Kein Verbrauch; ","")&amp;IF(CL17&gt;0,"Lift "&amp;W17&amp;" lt. Liftbericht (Fach "&amp;X17&amp;" Stk); ",IF(BX17=1,"Gebinde geschätzt ("&amp;T17&amp;"); ",IF(BW17=1,"Lose – Tablare geschätzt; ","")))&amp;IF(H17&gt;AT17,"Überbestand "&amp;ROUND(H17-AT17,0)&amp;" Stk / CHF "&amp;ROUND((H17-AT17)*G17,0)&amp;"; ","")&amp;IF(AND(CE17=1,CF17&lt;CG17),"MAX &lt; MB+LG; ","")&amp;IF(AND(CK17&gt;0,CJ17*10&gt;CK17),"zu hoch für Tablar; ","")&amp;IF(AND(BS17=0,OR(CE17=1,AA17&lt;&gt;"",U17&lt;&gt;"",V17&lt;&gt;"",AB17&lt;&gt;"")),"manuell übersteuert; ","")&amp;IF(AND(BW17=0,R17=0),"Gebinde unbekannt / Stellmass fehlt; ","")&amp;IF(AND(BW17=0,N(V17)&lt;=0,N(Q17)&lt;=0),"Menge pro Gebinde fehlt (Ist = 1 Gebinde); ","")&amp;BR17)</f>
        <v>Kein Verbrauch; Gebinde geschätzt (Gross); Menge pro Gebinde fehlt (Ist = 1 Gebinde); </v>
      </c>
      <c r="BK17" s="48"/>
      <c r="BL17" s="48"/>
      <c r="BM17" s="55"/>
      <c r="BN17" s="50" t="n">
        <v>75</v>
      </c>
      <c r="BO17" s="50" t="n">
        <v>0</v>
      </c>
      <c r="BP17" s="49" t="n">
        <v>29937.75</v>
      </c>
      <c r="BQ17" s="50" t="n">
        <v>0</v>
      </c>
      <c r="BR17" s="48"/>
      <c r="BS17" s="53" t="n">
        <v>0</v>
      </c>
      <c r="BT17" s="53" t="n">
        <v>17</v>
      </c>
      <c r="BU17" s="48" t="str">
        <f aca="false">IF(U17&lt;&gt;"",UPPER(TRIM(U17)),IF(BX17=1,UPPER(VLOOKUP(T17,Parameter!$I$27:$K$29,2,0)),IF(P17="","LOSE",P17)))</f>
        <v>S81</v>
      </c>
      <c r="BV17" s="50" t="n">
        <f aca="false">IF(BU17="LOSE",1,IF(N(V17)&gt;0,V17,IF(BX17=1,MAX(1,N(VLOOKUP(T17,Parameter!$I$27:$K$29,3,0)),H17,N(N17)),IF(N(Q17)&gt;0,Q17,MAX(1,H17)))))</f>
        <v>75</v>
      </c>
      <c r="BW17" s="53" t="n">
        <f aca="false">IF(BU17="LOSE",1,0)</f>
        <v>0</v>
      </c>
      <c r="BX17" s="53" t="n">
        <f aca="false">IF(AND(U17="",OR(P17="",P17="LOSE"),T17&lt;&gt;"",N(S17)&lt;=0,ISNUMBER(MATCH(T17,Parameter!$I$27:$I$29,0))),1,0)</f>
        <v>1</v>
      </c>
      <c r="BY17" s="53" t="n">
        <f aca="false">IF(CL17&gt;0,INDEX(Parameter!$H$5:$H$7,W17)/INDEX(Parameter!$E$5:$E$7,W17),IF(AND(BW17=0,N(IFERROR(VLOOKUP(BU17,'Gebinde-Kategorie'!$A$5:$N$45,14,0),0))&gt;0),VLOOKUP(BU17,'Gebinde-Kategorie'!$A$5:$N$45,14,0)*10+Parameter!$M$23,Parameter!$M$24))</f>
        <v>235</v>
      </c>
      <c r="BZ17" s="48" t="str">
        <f aca="false">IF(AND(Parameter!$B$19="Ja",E17&lt;&gt;"",ISNUMBER(MATCH(E17,Parameter!$I$35:$I$52,0))),VLOOKUP(E17,Parameter!$I$35:$J$52,2,0),IFERROR(VLOOKUP(D17,Parameter!$A$35:$C$64,2,0),"Nein"))</f>
        <v>2+3</v>
      </c>
      <c r="CA17" s="52" t="n">
        <f aca="false">IF(BW17=0,0,IF(N(S17)&gt;0,S17,IFERROR(VLOOKUP(D17,Parameter!$A$35:$C$64,3,0)+0,0)))</f>
        <v>0</v>
      </c>
      <c r="CB17" s="48" t="n">
        <f aca="false">IF(AA17&lt;&gt;"",AA17,Z17)</f>
        <v>2</v>
      </c>
      <c r="CC17" s="48" t="str">
        <f aca="false">IF(OR(CB17=1,CB17=2,CB17=3),IF(Parameter!$E$27="Ja","LIFT",IF(CB17=1,"L1","L23")),IF(CB17="Aussen","Aussen","-"))</f>
        <v>LIFT</v>
      </c>
      <c r="CD17" s="59" t="n">
        <f aca="false">IF(N(AB17)&gt;0,AB17,0)</f>
        <v>0</v>
      </c>
      <c r="CE17" s="53" t="n">
        <f aca="false">IF(ISNUMBER(AE17),1,0)</f>
        <v>0</v>
      </c>
      <c r="CF17" s="50" t="n">
        <f aca="false">N(AE17)</f>
        <v>0</v>
      </c>
      <c r="CG17" s="50" t="n">
        <f aca="false">N(M17)+N(N17)</f>
        <v>1</v>
      </c>
      <c r="CH17" s="50" t="n">
        <f aca="false">ROUNDUP(H17/BV17,0)</f>
        <v>1</v>
      </c>
      <c r="CI17" s="50" t="n">
        <f aca="false">ROUNDUP(CF17/BV17,0)</f>
        <v>0</v>
      </c>
      <c r="CJ17" s="53" t="n">
        <f aca="false">IF(BW17=1,0,IFERROR(VLOOKUP(BU17,'Gebinde-Kategorie'!$A$5:$N$45,5,0)+0,0))</f>
        <v>20</v>
      </c>
      <c r="CK17" s="53" t="n">
        <f aca="false">IFERROR(IF(OR(CB17=1,CB17=2,CB17=3),N(INDEX(Parameter!$I$5:$I$7,CB17)),0),0)</f>
        <v>0</v>
      </c>
      <c r="CL17" s="52" t="n">
        <f aca="false">IF(AND(Parameter!$B$21="Ja",ISNUMBER(W17),N(X17)&gt;0),IFERROR(N(INDEX(Parameter!$L$5:$L$7,W17))*INDEX(Parameter!$E$5:$E$7,W17)*X17/SUMIFS($X$7:$X$1843,$W$7:$W$1843,W17),0),0)</f>
        <v>0</v>
      </c>
    </row>
    <row r="18" customFormat="false" ht="15" hidden="false" customHeight="false" outlineLevel="0" collapsed="false">
      <c r="A18" s="48" t="s">
        <v>206</v>
      </c>
      <c r="B18" s="48" t="s">
        <v>207</v>
      </c>
      <c r="C18" s="48" t="s">
        <v>168</v>
      </c>
      <c r="D18" s="48" t="s">
        <v>177</v>
      </c>
      <c r="E18" s="48" t="s">
        <v>170</v>
      </c>
      <c r="F18" s="48" t="s">
        <v>205</v>
      </c>
      <c r="G18" s="49" t="n">
        <v>1120.91</v>
      </c>
      <c r="H18" s="50" t="n">
        <f aca="false">MAX(0,IF(AND(Parameter!$B$21="Ja",ISNUMBER(Y18)),Y18,IF(Parameter!$B$20="Jahresanfang 2025 + Export",BO18+BN18,BN18)))</f>
        <v>26</v>
      </c>
      <c r="I18" s="50" t="n">
        <f aca="false">H18*G18</f>
        <v>29143.66</v>
      </c>
      <c r="J18" s="50" t="n">
        <f aca="false">BQ18*Parameter!$B$18</f>
        <v>25</v>
      </c>
      <c r="K18" s="51" t="n">
        <v>9.5</v>
      </c>
      <c r="L18" s="52" t="n">
        <v>2.63157894736842</v>
      </c>
      <c r="M18" s="50" t="n">
        <v>10</v>
      </c>
      <c r="N18" s="50" t="n">
        <v>10</v>
      </c>
      <c r="O18" s="53" t="n">
        <v>126</v>
      </c>
      <c r="P18" s="48" t="s">
        <v>178</v>
      </c>
      <c r="Q18" s="50" t="n">
        <v>8</v>
      </c>
      <c r="R18" s="53" t="n">
        <f aca="false">IF(BW18=1,0,IFERROR(VLOOKUP(BU18,'Gebinde-Kategorie'!$A$5:$N$45,13,0)+0,0))</f>
        <v>6</v>
      </c>
      <c r="S18" s="54"/>
      <c r="T18" s="55"/>
      <c r="U18" s="55"/>
      <c r="V18" s="55"/>
      <c r="W18" s="48"/>
      <c r="X18" s="50"/>
      <c r="Y18" s="50"/>
      <c r="Z18" s="48" t="n">
        <f aca="false">IF(A18="","",IF(AND(Parameter!$B$21="Ja",ISNUMBER(W18)),W18,IF(BZ18="2+3",IF(ISNUMBER(SEARCH("grosser Artikel",BR18)),2,IFERROR(VLOOKUP(BU18,Parameter!$F$35:$G$64,2,0),2)),IF(OR(BZ18="Nein",BZ18=""),"-",BZ18))))</f>
        <v>1</v>
      </c>
      <c r="AA18" s="55"/>
      <c r="AB18" s="56"/>
      <c r="AC18" s="50" t="n">
        <f aca="false">AT18</f>
        <v>24</v>
      </c>
      <c r="AD18" s="50" t="n">
        <f aca="false">MAX(AT18,H18)</f>
        <v>26</v>
      </c>
      <c r="AE18" s="57"/>
      <c r="AF18" s="50" t="n">
        <f aca="false">IF(LEFT(Cockpit!$C$5,1)="A",H18,IF(CE18=1,CF18,IF(LEFT(Cockpit!$C$5,1)="B",AK18,MAX(AK18,H18))))</f>
        <v>26</v>
      </c>
      <c r="AG18" s="50" t="n">
        <f aca="false">IF(BW18=1,0,ROUNDUP(AF18/BV18,0))</f>
        <v>4</v>
      </c>
      <c r="AH18" s="52" t="n">
        <f aca="false">IF(CL18&gt;0,CL18*MAX(1,AF18/X18),IF(BW18=1,IF(AF18&lt;=0,0,CA18*MAX(1,IF(H18&gt;0,AF18/H18,1))),IF(R18&gt;0,AG18/R18,0))/MAX(0.1,N(Parameter!$M$21)))</f>
        <v>0.666666666666667</v>
      </c>
      <c r="AI18" s="50" t="n">
        <f aca="false">AH18*BY18</f>
        <v>156.666666666667</v>
      </c>
      <c r="AJ18" s="50" t="n">
        <f aca="false">AF18*G18</f>
        <v>29143.66</v>
      </c>
      <c r="AK18" s="50" t="n">
        <f aca="false">ROUNDUP(MAX(J18/IF(CD18&gt;0,CD18,MAX(0.1,N(Cockpit!$C$6))),CG18)/BV18,0)*BV18</f>
        <v>24</v>
      </c>
      <c r="AL18" s="51" t="n">
        <f aca="false">IF(AI18&gt;0,J18/AI18,-1)</f>
        <v>0.159574468085106</v>
      </c>
      <c r="AM18" s="51" t="n">
        <f aca="false">IF(AND(OR(CC18="L1",CC18="L23",CC18="LIFT"),AI18&gt;0),SUMIFS($AI$7:$AI$1843,$CC$7:$CC$1843,CC18,$AL$7:$AL$1843,"&gt;"&amp;AL18)+SUMIFS($AI$7:$AI$1843,$CC$7:$CC$1843,CC18,$AL$7:$AL$1843,AL18,$BT$7:$BT$1843,"&lt;="&amp;BT18),"")</f>
        <v>13022.4901311024</v>
      </c>
      <c r="AN18" s="58" t="n">
        <f aca="false">IF(AM18="",0,MAX(0,MIN(1,(IF(CC18="L1",Parameter!$H$5,IF(CC18="L23",Parameter!$H$6+Parameter!$H$7,Parameter!$H$5+Parameter!$H$6+Parameter!$H$7))-(AM18-AI18))/AI18)))</f>
        <v>1</v>
      </c>
      <c r="AO18" s="50" t="n">
        <f aca="false">IF(LEFT(Cockpit!$I$5,1)="A",H18,IF(CE18=1,CF18,IF(LEFT(Cockpit!$I$5,1)="B",AT18,MAX(AT18,H18))))</f>
        <v>26</v>
      </c>
      <c r="AP18" s="50" t="n">
        <f aca="false">IF(BW18=1,0,ROUNDUP(AO18/BV18,0))</f>
        <v>4</v>
      </c>
      <c r="AQ18" s="52" t="n">
        <f aca="false">IF(CL18&gt;0,CL18*MAX(1,AO18/X18),IF(BW18=1,IF(AO18&lt;=0,0,CA18*MAX(1,IF(H18&gt;0,AO18/H18,1))),IF(R18&gt;0,AP18/R18,0))/MAX(0.1,N(Parameter!$M$21)))</f>
        <v>0.666666666666667</v>
      </c>
      <c r="AR18" s="50" t="n">
        <f aca="false">AQ18*BY18</f>
        <v>156.666666666667</v>
      </c>
      <c r="AS18" s="50" t="n">
        <f aca="false">AO18*G18</f>
        <v>29143.66</v>
      </c>
      <c r="AT18" s="50" t="n">
        <f aca="false">ROUNDUP(MAX(J18/IF(CD18&gt;0,CD18,MAX(0.1,N(Cockpit!$I$6))),CG18)/BV18,0)*BV18</f>
        <v>24</v>
      </c>
      <c r="AU18" s="51" t="n">
        <f aca="false">IF(AR18&gt;0,J18/AR18,-1)</f>
        <v>0.159574468085106</v>
      </c>
      <c r="AV18" s="51" t="n">
        <f aca="false">IF(AND(OR(CC18="L1",CC18="L23",CC18="LIFT"),AR18&gt;0),SUMIFS($AR$7:$AR$1843,$CC$7:$CC$1843,CC18,$AU$7:$AU$1843,"&gt;"&amp;AU18)+SUMIFS($AR$7:$AR$1843,$CC$7:$CC$1843,CC18,$AU$7:$AU$1843,AU18,$BT$7:$BT$1843,"&lt;="&amp;BT18),"")</f>
        <v>19745.2312271062</v>
      </c>
      <c r="AW18" s="58" t="n">
        <f aca="false">IF(AV18="",0,MAX(0,MIN(1,(IF(CC18="L1",Parameter!$H$5,IF(CC18="L23",Parameter!$H$6+Parameter!$H$7,Parameter!$H$5+Parameter!$H$6+Parameter!$H$7))-(AV18-AR18))/AR18)))</f>
        <v>1</v>
      </c>
      <c r="AX18" s="50" t="n">
        <f aca="false">IF(LEFT(Cockpit!$O$5,1)="A",H18,IF(CE18=1,CF18,IF(LEFT(Cockpit!$O$5,1)="B",BC18,MAX(BC18,H18))))</f>
        <v>26</v>
      </c>
      <c r="AY18" s="50" t="n">
        <f aca="false">IF(BW18=1,0,ROUNDUP(AX18/BV18,0))</f>
        <v>4</v>
      </c>
      <c r="AZ18" s="52" t="n">
        <f aca="false">IF(CL18&gt;0,CL18*MAX(1,AX18/X18),IF(BW18=1,IF(AX18&lt;=0,0,CA18*MAX(1,IF(H18&gt;0,AX18/H18,1))),IF(R18&gt;0,AY18/R18,0))/MAX(0.1,N(Parameter!$M$21)))</f>
        <v>0.666666666666667</v>
      </c>
      <c r="BA18" s="50" t="n">
        <f aca="false">AZ18*BY18</f>
        <v>156.666666666667</v>
      </c>
      <c r="BB18" s="50" t="n">
        <f aca="false">AX18*G18</f>
        <v>29143.66</v>
      </c>
      <c r="BC18" s="50" t="n">
        <f aca="false">ROUNDUP(MAX(J18/IF(CD18&gt;0,CD18,MAX(0.1,N(Cockpit!$O$6))),CG18)/BV18,0)*BV18</f>
        <v>24</v>
      </c>
      <c r="BD18" s="51" t="n">
        <f aca="false">IF(BA18&gt;0,J18/BA18,-1)</f>
        <v>0.159574468085106</v>
      </c>
      <c r="BE18" s="51" t="n">
        <f aca="false">IF(AND(OR(CC18="L1",CC18="L23",CC18="LIFT"),BA18&gt;0),SUMIFS($BA$7:$BA$1843,$CC$7:$CC$1843,CC18,$BD$7:$BD$1843,"&gt;"&amp;BD18)+SUMIFS($BA$7:$BA$1843,$CC$7:$CC$1843,CC18,$BD$7:$BD$1843,BD18,$BT$7:$BT$1843,"&lt;="&amp;BT18),"")</f>
        <v>17771.3049450549</v>
      </c>
      <c r="BF18" s="58" t="n">
        <f aca="false">IF(BE18="",0,MAX(0,MIN(1,(IF(CC18="L1",Parameter!$H$5,IF(CC18="L23",Parameter!$H$6+Parameter!$H$7,Parameter!$H$5+Parameter!$H$6+Parameter!$H$7))-(BE18-BA18))/BA18)))</f>
        <v>1</v>
      </c>
      <c r="BG18" s="48" t="str">
        <f aca="false">IF(AI18&lt;=0,"",IF(CC18="Aussen","Aussenlager",IF(CC18="-","Nicht im Lift",IF(AN18&gt;=1,"Lift",IF(AN18&lt;=0,"Aussenlager","teilweise")))))</f>
        <v>Lift</v>
      </c>
      <c r="BH18" s="48" t="str">
        <f aca="false">IF(AR18&lt;=0,"",IF(CC18="Aussen","Aussenlager",IF(CC18="-","Nicht im Lift",IF(AW18&gt;=1,"Lift",IF(AW18&lt;=0,"Aussenlager","teilweise")))))</f>
        <v>Lift</v>
      </c>
      <c r="BI18" s="48" t="str">
        <f aca="false">IF(BA18&lt;=0,"",IF(CC18="Aussen","Aussenlager",IF(CC18="-","Nicht im Lift",IF(BF18&gt;=1,"Lift",IF(BF18&lt;=0,"Aussenlager","teilweise")))))</f>
        <v>Lift</v>
      </c>
      <c r="BJ18" s="48" t="str">
        <f aca="false">IF(A18="","",IF(BS18=1,"Neu; ","")&amp;IF(AND(BS18=0,BN18&lt;0),"negativer Bestand (Export "&amp;BN18&amp;"); ","")&amp;IF(J18&lt;=0,"Kein Verbrauch; ","")&amp;IF(CL18&gt;0,"Lift "&amp;W18&amp;" lt. Liftbericht (Fach "&amp;X18&amp;" Stk); ",IF(BX18=1,"Gebinde geschätzt ("&amp;T18&amp;"); ",IF(BW18=1,"Lose – Tablare geschätzt; ","")))&amp;IF(H18&gt;AT18,"Überbestand "&amp;ROUND(H18-AT18,0)&amp;" Stk / CHF "&amp;ROUND((H18-AT18)*G18,0)&amp;"; ","")&amp;IF(AND(CE18=1,CF18&lt;CG18),"MAX &lt; MB+LG; ","")&amp;IF(AND(CK18&gt;0,CJ18*10&gt;CK18),"zu hoch für Tablar; ","")&amp;IF(AND(BS18=0,OR(CE18=1,AA18&lt;&gt;"",U18&lt;&gt;"",V18&lt;&gt;"",AB18&lt;&gt;"")),"manuell übersteuert; ","")&amp;IF(AND(BW18=0,R18=0),"Gebinde unbekannt / Stellmass fehlt; ","")&amp;IF(AND(BW18=0,N(V18)&lt;=0,N(Q18)&lt;=0),"Menge pro Gebinde fehlt (Ist = 1 Gebinde); ","")&amp;BR18)</f>
        <v>Überbestand 2 Stk / CHF 2242; </v>
      </c>
      <c r="BK18" s="48"/>
      <c r="BL18" s="48"/>
      <c r="BM18" s="55"/>
      <c r="BN18" s="50" t="n">
        <v>16</v>
      </c>
      <c r="BO18" s="50" t="n">
        <v>10</v>
      </c>
      <c r="BP18" s="49" t="n">
        <v>21618.66</v>
      </c>
      <c r="BQ18" s="50" t="n">
        <v>25</v>
      </c>
      <c r="BR18" s="48"/>
      <c r="BS18" s="53" t="n">
        <v>0</v>
      </c>
      <c r="BT18" s="53" t="n">
        <v>18</v>
      </c>
      <c r="BU18" s="48" t="str">
        <f aca="false">IF(U18&lt;&gt;"",UPPER(TRIM(U18)),IF(BX18=1,UPPER(VLOOKUP(T18,Parameter!$I$27:$K$29,2,0)),IF(P18="","LOSE",P18)))</f>
        <v>S71</v>
      </c>
      <c r="BV18" s="50" t="n">
        <f aca="false">IF(BU18="LOSE",1,IF(N(V18)&gt;0,V18,IF(BX18=1,MAX(1,N(VLOOKUP(T18,Parameter!$I$27:$K$29,3,0)),H18,N(N18)),IF(N(Q18)&gt;0,Q18,MAX(1,H18)))))</f>
        <v>8</v>
      </c>
      <c r="BW18" s="53" t="n">
        <f aca="false">IF(BU18="LOSE",1,0)</f>
        <v>0</v>
      </c>
      <c r="BX18" s="53" t="n">
        <f aca="false">IF(AND(U18="",OR(P18="",P18="LOSE"),T18&lt;&gt;"",N(S18)&lt;=0,ISNUMBER(MATCH(T18,Parameter!$I$27:$I$29,0))),1,0)</f>
        <v>0</v>
      </c>
      <c r="BY18" s="53" t="n">
        <f aca="false">IF(CL18&gt;0,INDEX(Parameter!$H$5:$H$7,W18)/INDEX(Parameter!$E$5:$E$7,W18),IF(AND(BW18=0,N(IFERROR(VLOOKUP(BU18,'Gebinde-Kategorie'!$A$5:$N$45,14,0),0))&gt;0),VLOOKUP(BU18,'Gebinde-Kategorie'!$A$5:$N$45,14,0)*10+Parameter!$M$23,Parameter!$M$24))</f>
        <v>235</v>
      </c>
      <c r="BZ18" s="48" t="n">
        <f aca="false">IF(AND(Parameter!$B$19="Ja",E18&lt;&gt;"",ISNUMBER(MATCH(E18,Parameter!$I$35:$I$52,0))),VLOOKUP(E18,Parameter!$I$35:$J$52,2,0),IFERROR(VLOOKUP(D18,Parameter!$A$35:$C$64,2,0),"Nein"))</f>
        <v>1</v>
      </c>
      <c r="CA18" s="52" t="n">
        <f aca="false">IF(BW18=0,0,IF(N(S18)&gt;0,S18,IFERROR(VLOOKUP(D18,Parameter!$A$35:$C$64,3,0)+0,0)))</f>
        <v>0</v>
      </c>
      <c r="CB18" s="48" t="n">
        <f aca="false">IF(AA18&lt;&gt;"",AA18,Z18)</f>
        <v>1</v>
      </c>
      <c r="CC18" s="48" t="str">
        <f aca="false">IF(OR(CB18=1,CB18=2,CB18=3),IF(Parameter!$E$27="Ja","LIFT",IF(CB18=1,"L1","L23")),IF(CB18="Aussen","Aussen","-"))</f>
        <v>LIFT</v>
      </c>
      <c r="CD18" s="59" t="n">
        <f aca="false">IF(N(AB18)&gt;0,AB18,0)</f>
        <v>0</v>
      </c>
      <c r="CE18" s="53" t="n">
        <f aca="false">IF(ISNUMBER(AE18),1,0)</f>
        <v>0</v>
      </c>
      <c r="CF18" s="50" t="n">
        <f aca="false">N(AE18)</f>
        <v>0</v>
      </c>
      <c r="CG18" s="50" t="n">
        <f aca="false">N(M18)+N(N18)</f>
        <v>20</v>
      </c>
      <c r="CH18" s="50" t="n">
        <f aca="false">ROUNDUP(H18/BV18,0)</f>
        <v>4</v>
      </c>
      <c r="CI18" s="50" t="n">
        <f aca="false">ROUNDUP(CF18/BV18,0)</f>
        <v>0</v>
      </c>
      <c r="CJ18" s="53" t="n">
        <f aca="false">IF(BW18=1,0,IFERROR(VLOOKUP(BU18,'Gebinde-Kategorie'!$A$5:$N$45,5,0)+0,0))</f>
        <v>20</v>
      </c>
      <c r="CK18" s="53" t="n">
        <f aca="false">IFERROR(IF(OR(CB18=1,CB18=2,CB18=3),N(INDEX(Parameter!$I$5:$I$7,CB18)),0),0)</f>
        <v>0</v>
      </c>
      <c r="CL18" s="52" t="n">
        <f aca="false">IF(AND(Parameter!$B$21="Ja",ISNUMBER(W18),N(X18)&gt;0),IFERROR(N(INDEX(Parameter!$L$5:$L$7,W18))*INDEX(Parameter!$E$5:$E$7,W18)*X18/SUMIFS($X$7:$X$1843,$W$7:$W$1843,W18),0),0)</f>
        <v>0</v>
      </c>
    </row>
    <row r="19" customFormat="false" ht="15" hidden="false" customHeight="false" outlineLevel="0" collapsed="false">
      <c r="A19" s="48" t="s">
        <v>208</v>
      </c>
      <c r="B19" s="48" t="s">
        <v>200</v>
      </c>
      <c r="C19" s="48" t="s">
        <v>168</v>
      </c>
      <c r="D19" s="48" t="s">
        <v>177</v>
      </c>
      <c r="E19" s="48"/>
      <c r="F19" s="48" t="s">
        <v>205</v>
      </c>
      <c r="G19" s="49" t="n">
        <v>4740.37</v>
      </c>
      <c r="H19" s="50" t="n">
        <f aca="false">MAX(0,IF(AND(Parameter!$B$21="Ja",ISNUMBER(Y19)),Y19,IF(Parameter!$B$20="Jahresanfang 2025 + Export",BO19+BN19,BN19)))</f>
        <v>4</v>
      </c>
      <c r="I19" s="50" t="n">
        <f aca="false">H19*G19</f>
        <v>18961.48</v>
      </c>
      <c r="J19" s="50" t="n">
        <f aca="false">BQ19*Parameter!$B$18</f>
        <v>40</v>
      </c>
      <c r="K19" s="51" t="n">
        <v>13</v>
      </c>
      <c r="L19" s="52" t="n">
        <v>3.07692307692308</v>
      </c>
      <c r="M19" s="50" t="n">
        <v>5</v>
      </c>
      <c r="N19" s="50" t="n">
        <v>1</v>
      </c>
      <c r="O19" s="53" t="n">
        <v>28</v>
      </c>
      <c r="P19" s="48" t="s">
        <v>172</v>
      </c>
      <c r="Q19" s="50"/>
      <c r="R19" s="53" t="n">
        <f aca="false">IF(BW19=1,0,IFERROR(VLOOKUP(BU19,'Gebinde-Kategorie'!$A$5:$N$45,13,0)+0,0))</f>
        <v>12</v>
      </c>
      <c r="S19" s="54"/>
      <c r="T19" s="55" t="s">
        <v>183</v>
      </c>
      <c r="U19" s="55"/>
      <c r="V19" s="55"/>
      <c r="W19" s="48"/>
      <c r="X19" s="50"/>
      <c r="Y19" s="50"/>
      <c r="Z19" s="48" t="n">
        <f aca="false">IF(A19="","",IF(AND(Parameter!$B$21="Ja",ISNUMBER(W19)),W19,IF(BZ19="2+3",IF(ISNUMBER(SEARCH("grosser Artikel",BR19)),2,IFERROR(VLOOKUP(BU19,Parameter!$F$35:$G$64,2,0),2)),IF(OR(BZ19="Nein",BZ19=""),"-",BZ19))))</f>
        <v>2</v>
      </c>
      <c r="AA19" s="55"/>
      <c r="AB19" s="56"/>
      <c r="AC19" s="50" t="n">
        <f aca="false">AT19</f>
        <v>20</v>
      </c>
      <c r="AD19" s="50" t="n">
        <f aca="false">MAX(AT19,H19)</f>
        <v>20</v>
      </c>
      <c r="AE19" s="57"/>
      <c r="AF19" s="50" t="n">
        <f aca="false">IF(LEFT(Cockpit!$C$5,1)="A",H19,IF(CE19=1,CF19,IF(LEFT(Cockpit!$C$5,1)="B",AK19,MAX(AK19,H19))))</f>
        <v>4</v>
      </c>
      <c r="AG19" s="50" t="n">
        <f aca="false">IF(BW19=1,0,ROUNDUP(AF19/BV19,0))</f>
        <v>1</v>
      </c>
      <c r="AH19" s="52" t="n">
        <f aca="false">IF(CL19&gt;0,CL19*MAX(1,AF19/X19),IF(BW19=1,IF(AF19&lt;=0,0,CA19*MAX(1,IF(H19&gt;0,AF19/H19,1))),IF(R19&gt;0,AG19/R19,0))/MAX(0.1,N(Parameter!$M$21)))</f>
        <v>0.0833333333333333</v>
      </c>
      <c r="AI19" s="50" t="n">
        <f aca="false">AH19*BY19</f>
        <v>12.0833333333333</v>
      </c>
      <c r="AJ19" s="50" t="n">
        <f aca="false">AF19*G19</f>
        <v>18961.48</v>
      </c>
      <c r="AK19" s="50" t="n">
        <f aca="false">ROUNDUP(MAX(J19/IF(CD19&gt;0,CD19,MAX(0.1,N(Cockpit!$C$6))),CG19)/BV19,0)*BV19</f>
        <v>20</v>
      </c>
      <c r="AL19" s="51" t="n">
        <f aca="false">IF(AI19&gt;0,J19/AI19,-1)</f>
        <v>3.31034482758621</v>
      </c>
      <c r="AM19" s="51" t="n">
        <f aca="false">IF(AND(OR(CC19="L1",CC19="L23",CC19="LIFT"),AI19&gt;0),SUMIFS($AI$7:$AI$1843,$CC$7:$CC$1843,CC19,$AL$7:$AL$1843,"&gt;"&amp;AL19)+SUMIFS($AI$7:$AI$1843,$CC$7:$CC$1843,CC19,$AL$7:$AL$1843,AL19,$BT$7:$BT$1843,"&lt;="&amp;BT19),"")</f>
        <v>4969.16163003663</v>
      </c>
      <c r="AN19" s="58" t="n">
        <f aca="false">IF(AM19="",0,MAX(0,MIN(1,(IF(CC19="L1",Parameter!$H$5,IF(CC19="L23",Parameter!$H$6+Parameter!$H$7,Parameter!$H$5+Parameter!$H$6+Parameter!$H$7))-(AM19-AI19))/AI19)))</f>
        <v>1</v>
      </c>
      <c r="AO19" s="50" t="n">
        <f aca="false">IF(LEFT(Cockpit!$I$5,1)="A",H19,IF(CE19=1,CF19,IF(LEFT(Cockpit!$I$5,1)="B",AT19,MAX(AT19,H19))))</f>
        <v>20</v>
      </c>
      <c r="AP19" s="50" t="n">
        <f aca="false">IF(BW19=1,0,ROUNDUP(AO19/BV19,0))</f>
        <v>5</v>
      </c>
      <c r="AQ19" s="52" t="n">
        <f aca="false">IF(CL19&gt;0,CL19*MAX(1,AO19/X19),IF(BW19=1,IF(AO19&lt;=0,0,CA19*MAX(1,IF(H19&gt;0,AO19/H19,1))),IF(R19&gt;0,AP19/R19,0))/MAX(0.1,N(Parameter!$M$21)))</f>
        <v>0.416666666666667</v>
      </c>
      <c r="AR19" s="50" t="n">
        <f aca="false">AQ19*BY19</f>
        <v>60.4166666666667</v>
      </c>
      <c r="AS19" s="50" t="n">
        <f aca="false">AO19*G19</f>
        <v>94807.4</v>
      </c>
      <c r="AT19" s="50" t="n">
        <f aca="false">ROUNDUP(MAX(J19/IF(CD19&gt;0,CD19,MAX(0.1,N(Cockpit!$I$6))),CG19)/BV19,0)*BV19</f>
        <v>20</v>
      </c>
      <c r="AU19" s="51" t="n">
        <f aca="false">IF(AR19&gt;0,J19/AR19,-1)</f>
        <v>0.662068965517241</v>
      </c>
      <c r="AV19" s="51" t="n">
        <f aca="false">IF(AND(OR(CC19="L1",CC19="L23",CC19="LIFT"),AR19&gt;0),SUMIFS($AR$7:$AR$1843,$CC$7:$CC$1843,CC19,$AU$7:$AU$1843,"&gt;"&amp;AU19)+SUMIFS($AR$7:$AR$1843,$CC$7:$CC$1843,CC19,$AU$7:$AU$1843,AU19,$BT$7:$BT$1843,"&lt;="&amp;BT19),"")</f>
        <v>11901.0389194139</v>
      </c>
      <c r="AW19" s="58" t="n">
        <f aca="false">IF(AV19="",0,MAX(0,MIN(1,(IF(CC19="L1",Parameter!$H$5,IF(CC19="L23",Parameter!$H$6+Parameter!$H$7,Parameter!$H$5+Parameter!$H$6+Parameter!$H$7))-(AV19-AR19))/AR19)))</f>
        <v>1</v>
      </c>
      <c r="AX19" s="50" t="n">
        <f aca="false">IF(LEFT(Cockpit!$O$5,1)="A",H19,IF(CE19=1,CF19,IF(LEFT(Cockpit!$O$5,1)="B",BC19,MAX(BC19,H19))))</f>
        <v>16</v>
      </c>
      <c r="AY19" s="50" t="n">
        <f aca="false">IF(BW19=1,0,ROUNDUP(AX19/BV19,0))</f>
        <v>4</v>
      </c>
      <c r="AZ19" s="52" t="n">
        <f aca="false">IF(CL19&gt;0,CL19*MAX(1,AX19/X19),IF(BW19=1,IF(AX19&lt;=0,0,CA19*MAX(1,IF(H19&gt;0,AX19/H19,1))),IF(R19&gt;0,AY19/R19,0))/MAX(0.1,N(Parameter!$M$21)))</f>
        <v>0.333333333333333</v>
      </c>
      <c r="BA19" s="50" t="n">
        <f aca="false">AZ19*BY19</f>
        <v>48.3333333333333</v>
      </c>
      <c r="BB19" s="50" t="n">
        <f aca="false">AX19*G19</f>
        <v>75845.92</v>
      </c>
      <c r="BC19" s="50" t="n">
        <f aca="false">ROUNDUP(MAX(J19/IF(CD19&gt;0,CD19,MAX(0.1,N(Cockpit!$O$6))),CG19)/BV19,0)*BV19</f>
        <v>16</v>
      </c>
      <c r="BD19" s="51" t="n">
        <f aca="false">IF(BA19&gt;0,J19/BA19,-1)</f>
        <v>0.827586206896552</v>
      </c>
      <c r="BE19" s="51" t="n">
        <f aca="false">IF(AND(OR(CC19="L1",CC19="L23",CC19="LIFT"),BA19&gt;0),SUMIFS($BA$7:$BA$1843,$CC$7:$CC$1843,CC19,$BD$7:$BD$1843,"&gt;"&amp;BD19)+SUMIFS($BA$7:$BA$1843,$CC$7:$CC$1843,CC19,$BD$7:$BD$1843,BD19,$BT$7:$BT$1843,"&lt;="&amp;BT19),"")</f>
        <v>10474.5004578755</v>
      </c>
      <c r="BF19" s="58" t="n">
        <f aca="false">IF(BE19="",0,MAX(0,MIN(1,(IF(CC19="L1",Parameter!$H$5,IF(CC19="L23",Parameter!$H$6+Parameter!$H$7,Parameter!$H$5+Parameter!$H$6+Parameter!$H$7))-(BE19-BA19))/BA19)))</f>
        <v>1</v>
      </c>
      <c r="BG19" s="48" t="str">
        <f aca="false">IF(AI19&lt;=0,"",IF(CC19="Aussen","Aussenlager",IF(CC19="-","Nicht im Lift",IF(AN19&gt;=1,"Lift",IF(AN19&lt;=0,"Aussenlager","teilweise")))))</f>
        <v>Lift</v>
      </c>
      <c r="BH19" s="48" t="str">
        <f aca="false">IF(AR19&lt;=0,"",IF(CC19="Aussen","Aussenlager",IF(CC19="-","Nicht im Lift",IF(AW19&gt;=1,"Lift",IF(AW19&lt;=0,"Aussenlager","teilweise")))))</f>
        <v>Lift</v>
      </c>
      <c r="BI19" s="48" t="str">
        <f aca="false">IF(BA19&lt;=0,"",IF(CC19="Aussen","Aussenlager",IF(CC19="-","Nicht im Lift",IF(BF19&gt;=1,"Lift",IF(BF19&lt;=0,"Aussenlager","teilweise")))))</f>
        <v>Lift</v>
      </c>
      <c r="BJ19" s="48" t="str">
        <f aca="false">IF(A19="","",IF(BS19=1,"Neu; ","")&amp;IF(AND(BS19=0,BN19&lt;0),"negativer Bestand (Export "&amp;BN19&amp;"); ","")&amp;IF(J19&lt;=0,"Kein Verbrauch; ","")&amp;IF(CL19&gt;0,"Lift "&amp;W19&amp;" lt. Liftbericht (Fach "&amp;X19&amp;" Stk); ",IF(BX19=1,"Gebinde geschätzt ("&amp;T19&amp;"); ",IF(BW19=1,"Lose – Tablare geschätzt; ","")))&amp;IF(H19&gt;AT19,"Überbestand "&amp;ROUND(H19-AT19,0)&amp;" Stk / CHF "&amp;ROUND((H19-AT19)*G19,0)&amp;"; ","")&amp;IF(AND(CE19=1,CF19&lt;CG19),"MAX &lt; MB+LG; ","")&amp;IF(AND(CK19&gt;0,CJ19*10&gt;CK19),"zu hoch für Tablar; ","")&amp;IF(AND(BS19=0,OR(CE19=1,AA19&lt;&gt;"",U19&lt;&gt;"",V19&lt;&gt;"",AB19&lt;&gt;"")),"manuell übersteuert; ","")&amp;IF(AND(BW19=0,R19=0),"Gebinde unbekannt / Stellmass fehlt; ","")&amp;IF(AND(BW19=0,N(V19)&lt;=0,N(Q19)&lt;=0),"Menge pro Gebinde fehlt (Ist = 1 Gebinde); ","")&amp;BR19)</f>
        <v>Gebinde geschätzt (Mittel); Menge pro Gebinde fehlt (Ist = 1 Gebinde); </v>
      </c>
      <c r="BK19" s="48"/>
      <c r="BL19" s="48"/>
      <c r="BM19" s="55"/>
      <c r="BN19" s="50" t="n">
        <v>4</v>
      </c>
      <c r="BO19" s="50" t="n">
        <v>0</v>
      </c>
      <c r="BP19" s="49" t="n">
        <v>18961.4799999999</v>
      </c>
      <c r="BQ19" s="50" t="n">
        <v>40</v>
      </c>
      <c r="BR19" s="48"/>
      <c r="BS19" s="53" t="n">
        <v>0</v>
      </c>
      <c r="BT19" s="53" t="n">
        <v>19</v>
      </c>
      <c r="BU19" s="48" t="str">
        <f aca="false">IF(U19&lt;&gt;"",UPPER(TRIM(U19)),IF(BX19=1,UPPER(VLOOKUP(T19,Parameter!$I$27:$K$29,2,0)),IF(P19="","LOSE",P19)))</f>
        <v>S61</v>
      </c>
      <c r="BV19" s="50" t="n">
        <f aca="false">IF(BU19="LOSE",1,IF(N(V19)&gt;0,V19,IF(BX19=1,MAX(1,N(VLOOKUP(T19,Parameter!$I$27:$K$29,3,0)),H19,N(N19)),IF(N(Q19)&gt;0,Q19,MAX(1,H19)))))</f>
        <v>4</v>
      </c>
      <c r="BW19" s="53" t="n">
        <f aca="false">IF(BU19="LOSE",1,0)</f>
        <v>0</v>
      </c>
      <c r="BX19" s="53" t="n">
        <f aca="false">IF(AND(U19="",OR(P19="",P19="LOSE"),T19&lt;&gt;"",N(S19)&lt;=0,ISNUMBER(MATCH(T19,Parameter!$I$27:$I$29,0))),1,0)</f>
        <v>1</v>
      </c>
      <c r="BY19" s="53" t="n">
        <f aca="false">IF(CL19&gt;0,INDEX(Parameter!$H$5:$H$7,W19)/INDEX(Parameter!$E$5:$E$7,W19),IF(AND(BW19=0,N(IFERROR(VLOOKUP(BU19,'Gebinde-Kategorie'!$A$5:$N$45,14,0),0))&gt;0),VLOOKUP(BU19,'Gebinde-Kategorie'!$A$5:$N$45,14,0)*10+Parameter!$M$23,Parameter!$M$24))</f>
        <v>145</v>
      </c>
      <c r="BZ19" s="48" t="str">
        <f aca="false">IF(AND(Parameter!$B$19="Ja",E19&lt;&gt;"",ISNUMBER(MATCH(E19,Parameter!$I$35:$I$52,0))),VLOOKUP(E19,Parameter!$I$35:$J$52,2,0),IFERROR(VLOOKUP(D19,Parameter!$A$35:$C$64,2,0),"Nein"))</f>
        <v>2+3</v>
      </c>
      <c r="CA19" s="52" t="n">
        <f aca="false">IF(BW19=0,0,IF(N(S19)&gt;0,S19,IFERROR(VLOOKUP(D19,Parameter!$A$35:$C$64,3,0)+0,0)))</f>
        <v>0</v>
      </c>
      <c r="CB19" s="48" t="n">
        <f aca="false">IF(AA19&lt;&gt;"",AA19,Z19)</f>
        <v>2</v>
      </c>
      <c r="CC19" s="48" t="str">
        <f aca="false">IF(OR(CB19=1,CB19=2,CB19=3),IF(Parameter!$E$27="Ja","LIFT",IF(CB19=1,"L1","L23")),IF(CB19="Aussen","Aussen","-"))</f>
        <v>LIFT</v>
      </c>
      <c r="CD19" s="59" t="n">
        <f aca="false">IF(N(AB19)&gt;0,AB19,0)</f>
        <v>0</v>
      </c>
      <c r="CE19" s="53" t="n">
        <f aca="false">IF(ISNUMBER(AE19),1,0)</f>
        <v>0</v>
      </c>
      <c r="CF19" s="50" t="n">
        <f aca="false">N(AE19)</f>
        <v>0</v>
      </c>
      <c r="CG19" s="50" t="n">
        <f aca="false">N(M19)+N(N19)</f>
        <v>6</v>
      </c>
      <c r="CH19" s="50" t="n">
        <f aca="false">ROUNDUP(H19/BV19,0)</f>
        <v>1</v>
      </c>
      <c r="CI19" s="50" t="n">
        <f aca="false">ROUNDUP(CF19/BV19,0)</f>
        <v>0</v>
      </c>
      <c r="CJ19" s="53" t="n">
        <f aca="false">IF(BW19=1,0,IFERROR(VLOOKUP(BU19,'Gebinde-Kategorie'!$A$5:$N$45,5,0)+0,0))</f>
        <v>11</v>
      </c>
      <c r="CK19" s="53" t="n">
        <f aca="false">IFERROR(IF(OR(CB19=1,CB19=2,CB19=3),N(INDEX(Parameter!$I$5:$I$7,CB19)),0),0)</f>
        <v>0</v>
      </c>
      <c r="CL19" s="52" t="n">
        <f aca="false">IF(AND(Parameter!$B$21="Ja",ISNUMBER(W19),N(X19)&gt;0),IFERROR(N(INDEX(Parameter!$L$5:$L$7,W19))*INDEX(Parameter!$E$5:$E$7,W19)*X19/SUMIFS($X$7:$X$1843,$W$7:$W$1843,W19),0),0)</f>
        <v>0</v>
      </c>
    </row>
    <row r="20" customFormat="false" ht="15" hidden="false" customHeight="false" outlineLevel="0" collapsed="false">
      <c r="A20" s="48" t="s">
        <v>209</v>
      </c>
      <c r="B20" s="48" t="s">
        <v>210</v>
      </c>
      <c r="C20" s="48" t="s">
        <v>168</v>
      </c>
      <c r="D20" s="48" t="s">
        <v>169</v>
      </c>
      <c r="E20" s="48" t="s">
        <v>170</v>
      </c>
      <c r="F20" s="48" t="s">
        <v>205</v>
      </c>
      <c r="G20" s="49" t="n">
        <v>3611.62</v>
      </c>
      <c r="H20" s="50" t="n">
        <f aca="false">MAX(0,IF(AND(Parameter!$B$21="Ja",ISNUMBER(Y20)),Y20,IF(Parameter!$B$20="Jahresanfang 2025 + Export",BO20+BN20,BN20)))</f>
        <v>0</v>
      </c>
      <c r="I20" s="50" t="n">
        <f aca="false">H20*G20</f>
        <v>0</v>
      </c>
      <c r="J20" s="50" t="n">
        <f aca="false">BQ20*Parameter!$B$18</f>
        <v>21</v>
      </c>
      <c r="K20" s="51" t="n">
        <v>6.5</v>
      </c>
      <c r="L20" s="52" t="n">
        <v>3.23076923076923</v>
      </c>
      <c r="M20" s="50" t="n">
        <v>1</v>
      </c>
      <c r="N20" s="50" t="n">
        <v>5</v>
      </c>
      <c r="O20" s="53" t="n">
        <v>21</v>
      </c>
      <c r="P20" s="48" t="s">
        <v>172</v>
      </c>
      <c r="Q20" s="50"/>
      <c r="R20" s="53" t="n">
        <f aca="false">IF(BW20=1,0,IFERROR(VLOOKUP(BU20,'Gebinde-Kategorie'!$A$5:$N$45,13,0)+0,0))</f>
        <v>0</v>
      </c>
      <c r="S20" s="54"/>
      <c r="T20" s="55"/>
      <c r="U20" s="55"/>
      <c r="V20" s="55"/>
      <c r="W20" s="48" t="n">
        <v>1</v>
      </c>
      <c r="X20" s="50" t="n">
        <v>10</v>
      </c>
      <c r="Y20" s="50" t="n">
        <v>0</v>
      </c>
      <c r="Z20" s="48" t="n">
        <f aca="false">IF(A20="","",IF(AND(Parameter!$B$21="Ja",ISNUMBER(W20)),W20,IF(BZ20="2+3",IF(ISNUMBER(SEARCH("grosser Artikel",BR20)),2,IFERROR(VLOOKUP(BU20,Parameter!$F$35:$G$64,2,0),2)),IF(OR(BZ20="Nein",BZ20=""),"-",BZ20))))</f>
        <v>1</v>
      </c>
      <c r="AA20" s="55"/>
      <c r="AB20" s="56"/>
      <c r="AC20" s="50" t="n">
        <f aca="false">AT20</f>
        <v>11</v>
      </c>
      <c r="AD20" s="50" t="n">
        <f aca="false">MAX(AT20,H20)</f>
        <v>11</v>
      </c>
      <c r="AE20" s="57"/>
      <c r="AF20" s="50" t="n">
        <f aca="false">IF(LEFT(Cockpit!$C$5,1)="A",H20,IF(CE20=1,CF20,IF(LEFT(Cockpit!$C$5,1)="B",AK20,MAX(AK20,H20))))</f>
        <v>0</v>
      </c>
      <c r="AG20" s="50" t="n">
        <f aca="false">IF(BW20=1,0,ROUNDUP(AF20/BV20,0))</f>
        <v>0</v>
      </c>
      <c r="AH20" s="52" t="n">
        <f aca="false">IF(CL20&gt;0,CL20*MAX(1,AF20/X20),IF(BW20=1,IF(AF20&lt;=0,0,CA20*MAX(1,IF(H20&gt;0,AF20/H20,1))),IF(R20&gt;0,AG20/R20,0))/MAX(0.1,N(Parameter!$M$21)))</f>
        <v>0.800376647834275</v>
      </c>
      <c r="AI20" s="50" t="n">
        <f aca="false">AH20*BY20</f>
        <v>190.489642184557</v>
      </c>
      <c r="AJ20" s="50" t="n">
        <f aca="false">AF20*G20</f>
        <v>0</v>
      </c>
      <c r="AK20" s="50" t="n">
        <f aca="false">ROUNDUP(MAX(J20/IF(CD20&gt;0,CD20,MAX(0.1,N(Cockpit!$C$6))),CG20)/BV20,0)*BV20</f>
        <v>11</v>
      </c>
      <c r="AL20" s="51" t="n">
        <f aca="false">IF(AI20&gt;0,J20/AI20,-1)</f>
        <v>0.110242214532872</v>
      </c>
      <c r="AM20" s="51" t="n">
        <f aca="false">IF(AND(OR(CC20="L1",CC20="L23",CC20="LIFT"),AI20&gt;0),SUMIFS($AI$7:$AI$1843,$CC$7:$CC$1843,CC20,$AL$7:$AL$1843,"&gt;"&amp;AL20)+SUMIFS($AI$7:$AI$1843,$CC$7:$CC$1843,CC20,$AL$7:$AL$1843,AL20,$BT$7:$BT$1843,"&lt;="&amp;BT20),"")</f>
        <v>15028.5442017963</v>
      </c>
      <c r="AN20" s="58" t="n">
        <f aca="false">IF(AM20="",0,MAX(0,MIN(1,(IF(CC20="L1",Parameter!$H$5,IF(CC20="L23",Parameter!$H$6+Parameter!$H$7,Parameter!$H$5+Parameter!$H$6+Parameter!$H$7))-(AM20-AI20))/AI20)))</f>
        <v>1</v>
      </c>
      <c r="AO20" s="50" t="n">
        <f aca="false">IF(LEFT(Cockpit!$I$5,1)="A",H20,IF(CE20=1,CF20,IF(LEFT(Cockpit!$I$5,1)="B",AT20,MAX(AT20,H20))))</f>
        <v>11</v>
      </c>
      <c r="AP20" s="50" t="n">
        <f aca="false">IF(BW20=1,0,ROUNDUP(AO20/BV20,0))</f>
        <v>0</v>
      </c>
      <c r="AQ20" s="52" t="n">
        <f aca="false">IF(CL20&gt;0,CL20*MAX(1,AO20/X20),IF(BW20=1,IF(AO20&lt;=0,0,CA20*MAX(1,IF(H20&gt;0,AO20/H20,1))),IF(R20&gt;0,AP20/R20,0))/MAX(0.1,N(Parameter!$M$21)))</f>
        <v>0.880414312617703</v>
      </c>
      <c r="AR20" s="50" t="n">
        <f aca="false">AQ20*BY20</f>
        <v>209.538606403013</v>
      </c>
      <c r="AS20" s="50" t="n">
        <f aca="false">AO20*G20</f>
        <v>39727.82</v>
      </c>
      <c r="AT20" s="50" t="n">
        <f aca="false">ROUNDUP(MAX(J20/IF(CD20&gt;0,CD20,MAX(0.1,N(Cockpit!$I$6))),CG20)/BV20,0)*BV20</f>
        <v>11</v>
      </c>
      <c r="AU20" s="51" t="n">
        <f aca="false">IF(AR20&gt;0,J20/AR20,-1)</f>
        <v>0.100220195029884</v>
      </c>
      <c r="AV20" s="51" t="n">
        <f aca="false">IF(AND(OR(CC20="L1",CC20="L23",CC20="LIFT"),AR20&gt;0),SUMIFS($AR$7:$AR$1843,$CC$7:$CC$1843,CC20,$AU$7:$AU$1843,"&gt;"&amp;AU20)+SUMIFS($AR$7:$AR$1843,$CC$7:$CC$1843,CC20,$AU$7:$AU$1843,AU20,$BT$7:$BT$1843,"&lt;="&amp;BT20),"")</f>
        <v>24185.0908895718</v>
      </c>
      <c r="AW20" s="58" t="n">
        <f aca="false">IF(AV20="",0,MAX(0,MIN(1,(IF(CC20="L1",Parameter!$H$5,IF(CC20="L23",Parameter!$H$6+Parameter!$H$7,Parameter!$H$5+Parameter!$H$6+Parameter!$H$7))-(AV20-AR20))/AR20)))</f>
        <v>1</v>
      </c>
      <c r="AX20" s="50" t="n">
        <f aca="false">IF(LEFT(Cockpit!$O$5,1)="A",H20,IF(CE20=1,CF20,IF(LEFT(Cockpit!$O$5,1)="B",BC20,MAX(BC20,H20))))</f>
        <v>7</v>
      </c>
      <c r="AY20" s="50" t="n">
        <f aca="false">IF(BW20=1,0,ROUNDUP(AX20/BV20,0))</f>
        <v>0</v>
      </c>
      <c r="AZ20" s="52" t="n">
        <f aca="false">IF(CL20&gt;0,CL20*MAX(1,AX20/X20),IF(BW20=1,IF(AX20&lt;=0,0,CA20*MAX(1,IF(H20&gt;0,AX20/H20,1))),IF(R20&gt;0,AY20/R20,0))/MAX(0.1,N(Parameter!$M$21)))</f>
        <v>0.800376647834275</v>
      </c>
      <c r="BA20" s="50" t="n">
        <f aca="false">AZ20*BY20</f>
        <v>190.489642184557</v>
      </c>
      <c r="BB20" s="50" t="n">
        <f aca="false">AX20*G20</f>
        <v>25281.34</v>
      </c>
      <c r="BC20" s="50" t="n">
        <f aca="false">ROUNDUP(MAX(J20/IF(CD20&gt;0,CD20,MAX(0.1,N(Cockpit!$O$6))),CG20)/BV20,0)*BV20</f>
        <v>7</v>
      </c>
      <c r="BD20" s="51" t="n">
        <f aca="false">IF(BA20&gt;0,J20/BA20,-1)</f>
        <v>0.110242214532872</v>
      </c>
      <c r="BE20" s="51" t="n">
        <f aca="false">IF(AND(OR(CC20="L1",CC20="L23",CC20="LIFT"),BA20&gt;0),SUMIFS($BA$7:$BA$1843,$CC$7:$CC$1843,CC20,$BD$7:$BD$1843,"&gt;"&amp;BD20)+SUMIFS($BA$7:$BA$1843,$CC$7:$CC$1843,CC20,$BD$7:$BD$1843,BD20,$BT$7:$BT$1843,"&lt;="&amp;BT20),"")</f>
        <v>20970.9721187475</v>
      </c>
      <c r="BF20" s="58" t="n">
        <f aca="false">IF(BE20="",0,MAX(0,MIN(1,(IF(CC20="L1",Parameter!$H$5,IF(CC20="L23",Parameter!$H$6+Parameter!$H$7,Parameter!$H$5+Parameter!$H$6+Parameter!$H$7))-(BE20-BA20))/BA20)))</f>
        <v>1</v>
      </c>
      <c r="BG20" s="48" t="str">
        <f aca="false">IF(AI20&lt;=0,"",IF(CC20="Aussen","Aussenlager",IF(CC20="-","Nicht im Lift",IF(AN20&gt;=1,"Lift",IF(AN20&lt;=0,"Aussenlager","teilweise")))))</f>
        <v>Lift</v>
      </c>
      <c r="BH20" s="48" t="str">
        <f aca="false">IF(AR20&lt;=0,"",IF(CC20="Aussen","Aussenlager",IF(CC20="-","Nicht im Lift",IF(AW20&gt;=1,"Lift",IF(AW20&lt;=0,"Aussenlager","teilweise")))))</f>
        <v>Lift</v>
      </c>
      <c r="BI20" s="48" t="str">
        <f aca="false">IF(BA20&lt;=0,"",IF(CC20="Aussen","Aussenlager",IF(CC20="-","Nicht im Lift",IF(BF20&gt;=1,"Lift",IF(BF20&lt;=0,"Aussenlager","teilweise")))))</f>
        <v>Lift</v>
      </c>
      <c r="BJ20" s="48" t="str">
        <f aca="false">IF(A20="","",IF(BS20=1,"Neu; ","")&amp;IF(AND(BS20=0,BN20&lt;0),"negativer Bestand (Export "&amp;BN20&amp;"); ","")&amp;IF(J20&lt;=0,"Kein Verbrauch; ","")&amp;IF(CL20&gt;0,"Lift "&amp;W20&amp;" lt. Liftbericht (Fach "&amp;X20&amp;" Stk); ",IF(BX20=1,"Gebinde geschätzt ("&amp;T20&amp;"); ",IF(BW20=1,"Lose – Tablare geschätzt; ","")))&amp;IF(H20&gt;AT20,"Überbestand "&amp;ROUND(H20-AT20,0)&amp;" Stk / CHF "&amp;ROUND((H20-AT20)*G20,0)&amp;"; ","")&amp;IF(AND(CE20=1,CF20&lt;CG20),"MAX &lt; MB+LG; ","")&amp;IF(AND(CK20&gt;0,CJ20*10&gt;CK20),"zu hoch für Tablar; ","")&amp;IF(AND(BS20=0,OR(CE20=1,AA20&lt;&gt;"",U20&lt;&gt;"",V20&lt;&gt;"",AB20&lt;&gt;"")),"manuell übersteuert; ","")&amp;IF(AND(BW20=0,R20=0),"Gebinde unbekannt / Stellmass fehlt; ","")&amp;IF(AND(BW20=0,N(V20)&lt;=0,N(Q20)&lt;=0),"Menge pro Gebinde fehlt (Ist = 1 Gebinde); ","")&amp;BR20)</f>
        <v>Lift 1 lt. Liftbericht (Fach 10 Stk); </v>
      </c>
      <c r="BK20" s="48"/>
      <c r="BL20" s="48"/>
      <c r="BM20" s="55"/>
      <c r="BN20" s="50" t="n">
        <v>5</v>
      </c>
      <c r="BO20" s="50" t="n">
        <v>6</v>
      </c>
      <c r="BP20" s="49" t="n">
        <v>18957.62</v>
      </c>
      <c r="BQ20" s="50" t="n">
        <v>21</v>
      </c>
      <c r="BR20" s="48"/>
      <c r="BS20" s="53" t="n">
        <v>0</v>
      </c>
      <c r="BT20" s="53" t="n">
        <v>20</v>
      </c>
      <c r="BU20" s="48" t="str">
        <f aca="false">IF(U20&lt;&gt;"",UPPER(TRIM(U20)),IF(BX20=1,UPPER(VLOOKUP(T20,Parameter!$I$27:$K$29,2,0)),IF(P20="","LOSE",P20)))</f>
        <v>LOSE</v>
      </c>
      <c r="BV20" s="50" t="n">
        <f aca="false">IF(BU20="LOSE",1,IF(N(V20)&gt;0,V20,IF(BX20=1,MAX(1,N(VLOOKUP(T20,Parameter!$I$27:$K$29,3,0)),H20,N(N20)),IF(N(Q20)&gt;0,Q20,MAX(1,H20)))))</f>
        <v>1</v>
      </c>
      <c r="BW20" s="53" t="n">
        <f aca="false">IF(BU20="LOSE",1,0)</f>
        <v>1</v>
      </c>
      <c r="BX20" s="53" t="n">
        <f aca="false">IF(AND(U20="",OR(P20="",P20="LOSE"),T20&lt;&gt;"",N(S20)&lt;=0,ISNUMBER(MATCH(T20,Parameter!$I$27:$I$29,0))),1,0)</f>
        <v>0</v>
      </c>
      <c r="BY20" s="53" t="n">
        <f aca="false">IF(CL20&gt;0,INDEX(Parameter!$H$5:$H$7,W20)/INDEX(Parameter!$E$5:$E$7,W20),IF(AND(BW20=0,N(IFERROR(VLOOKUP(BU20,'Gebinde-Kategorie'!$A$5:$N$45,14,0),0))&gt;0),VLOOKUP(BU20,'Gebinde-Kategorie'!$A$5:$N$45,14,0)*10+Parameter!$M$23,Parameter!$M$24))</f>
        <v>238</v>
      </c>
      <c r="BZ20" s="48" t="n">
        <f aca="false">IF(AND(Parameter!$B$19="Ja",E20&lt;&gt;"",ISNUMBER(MATCH(E20,Parameter!$I$35:$I$52,0))),VLOOKUP(E20,Parameter!$I$35:$J$52,2,0),IFERROR(VLOOKUP(D20,Parameter!$A$35:$C$64,2,0),"Nein"))</f>
        <v>1</v>
      </c>
      <c r="CA20" s="52" t="n">
        <f aca="false">IF(BW20=0,0,IF(N(S20)&gt;0,S20,IFERROR(VLOOKUP(D20,Parameter!$A$35:$C$64,3,0)+0,0)))</f>
        <v>1</v>
      </c>
      <c r="CB20" s="48" t="n">
        <f aca="false">IF(AA20&lt;&gt;"",AA20,Z20)</f>
        <v>1</v>
      </c>
      <c r="CC20" s="48" t="str">
        <f aca="false">IF(OR(CB20=1,CB20=2,CB20=3),IF(Parameter!$E$27="Ja","LIFT",IF(CB20=1,"L1","L23")),IF(CB20="Aussen","Aussen","-"))</f>
        <v>LIFT</v>
      </c>
      <c r="CD20" s="59" t="n">
        <f aca="false">IF(N(AB20)&gt;0,AB20,0)</f>
        <v>0</v>
      </c>
      <c r="CE20" s="53" t="n">
        <f aca="false">IF(ISNUMBER(AE20),1,0)</f>
        <v>0</v>
      </c>
      <c r="CF20" s="50" t="n">
        <f aca="false">N(AE20)</f>
        <v>0</v>
      </c>
      <c r="CG20" s="50" t="n">
        <f aca="false">N(M20)+N(N20)</f>
        <v>6</v>
      </c>
      <c r="CH20" s="50" t="n">
        <f aca="false">ROUNDUP(H20/BV20,0)</f>
        <v>0</v>
      </c>
      <c r="CI20" s="50" t="n">
        <f aca="false">ROUNDUP(CF20/BV20,0)</f>
        <v>0</v>
      </c>
      <c r="CJ20" s="53" t="n">
        <f aca="false">IF(BW20=1,0,IFERROR(VLOOKUP(BU20,'Gebinde-Kategorie'!$A$5:$N$45,5,0)+0,0))</f>
        <v>0</v>
      </c>
      <c r="CK20" s="53" t="n">
        <f aca="false">IFERROR(IF(OR(CB20=1,CB20=2,CB20=3),N(INDEX(Parameter!$I$5:$I$7,CB20)),0),0)</f>
        <v>0</v>
      </c>
      <c r="CL20" s="52" t="n">
        <f aca="false">IF(AND(Parameter!$B$21="Ja",ISNUMBER(W20),N(X20)&gt;0),IFERROR(N(INDEX(Parameter!$L$5:$L$7,W20))*INDEX(Parameter!$E$5:$E$7,W20)*X20/SUMIFS($X$7:$X$1843,$W$7:$W$1843,W20),0),0)</f>
        <v>0.800376647834275</v>
      </c>
    </row>
    <row r="21" customFormat="false" ht="15" hidden="false" customHeight="false" outlineLevel="0" collapsed="false">
      <c r="A21" s="48" t="s">
        <v>211</v>
      </c>
      <c r="B21" s="48" t="s">
        <v>212</v>
      </c>
      <c r="C21" s="48" t="s">
        <v>168</v>
      </c>
      <c r="D21" s="48" t="s">
        <v>177</v>
      </c>
      <c r="E21" s="48" t="s">
        <v>170</v>
      </c>
      <c r="F21" s="48" t="s">
        <v>205</v>
      </c>
      <c r="G21" s="49" t="n">
        <v>1647.88</v>
      </c>
      <c r="H21" s="50" t="n">
        <f aca="false">MAX(0,IF(AND(Parameter!$B$21="Ja",ISNUMBER(Y21)),Y21,IF(Parameter!$B$20="Jahresanfang 2025 + Export",BO21+BN21,BN21)))</f>
        <v>23</v>
      </c>
      <c r="I21" s="50" t="n">
        <f aca="false">H21*G21</f>
        <v>37901.24</v>
      </c>
      <c r="J21" s="50" t="n">
        <f aca="false">BQ21*Parameter!$B$18</f>
        <v>95</v>
      </c>
      <c r="K21" s="51" t="n">
        <v>24.5</v>
      </c>
      <c r="L21" s="52" t="n">
        <v>3.87755102040816</v>
      </c>
      <c r="M21" s="50" t="n">
        <v>5</v>
      </c>
      <c r="N21" s="50" t="n">
        <v>15</v>
      </c>
      <c r="O21" s="53" t="n">
        <v>21</v>
      </c>
      <c r="P21" s="48" t="s">
        <v>178</v>
      </c>
      <c r="Q21" s="50" t="n">
        <v>12</v>
      </c>
      <c r="R21" s="53" t="n">
        <f aca="false">IF(BW21=1,0,IFERROR(VLOOKUP(BU21,'Gebinde-Kategorie'!$A$5:$N$45,13,0)+0,0))</f>
        <v>6</v>
      </c>
      <c r="S21" s="54"/>
      <c r="T21" s="55"/>
      <c r="U21" s="55"/>
      <c r="V21" s="55"/>
      <c r="W21" s="48"/>
      <c r="X21" s="50"/>
      <c r="Y21" s="50"/>
      <c r="Z21" s="48" t="n">
        <f aca="false">IF(A21="","",IF(AND(Parameter!$B$21="Ja",ISNUMBER(W21)),W21,IF(BZ21="2+3",IF(ISNUMBER(SEARCH("grosser Artikel",BR21)),2,IFERROR(VLOOKUP(BU21,Parameter!$F$35:$G$64,2,0),2)),IF(OR(BZ21="Nein",BZ21=""),"-",BZ21))))</f>
        <v>1</v>
      </c>
      <c r="AA21" s="55"/>
      <c r="AB21" s="56"/>
      <c r="AC21" s="50" t="n">
        <f aca="false">AT21</f>
        <v>48</v>
      </c>
      <c r="AD21" s="50" t="n">
        <f aca="false">MAX(AT21,H21)</f>
        <v>48</v>
      </c>
      <c r="AE21" s="57"/>
      <c r="AF21" s="50" t="n">
        <f aca="false">IF(LEFT(Cockpit!$C$5,1)="A",H21,IF(CE21=1,CF21,IF(LEFT(Cockpit!$C$5,1)="B",AK21,MAX(AK21,H21))))</f>
        <v>23</v>
      </c>
      <c r="AG21" s="50" t="n">
        <f aca="false">IF(BW21=1,0,ROUNDUP(AF21/BV21,0))</f>
        <v>2</v>
      </c>
      <c r="AH21" s="52" t="n">
        <f aca="false">IF(CL21&gt;0,CL21*MAX(1,AF21/X21),IF(BW21=1,IF(AF21&lt;=0,0,CA21*MAX(1,IF(H21&gt;0,AF21/H21,1))),IF(R21&gt;0,AG21/R21,0))/MAX(0.1,N(Parameter!$M$21)))</f>
        <v>0.333333333333333</v>
      </c>
      <c r="AI21" s="50" t="n">
        <f aca="false">AH21*BY21</f>
        <v>78.3333333333333</v>
      </c>
      <c r="AJ21" s="50" t="n">
        <f aca="false">AF21*G21</f>
        <v>37901.24</v>
      </c>
      <c r="AK21" s="50" t="n">
        <f aca="false">ROUNDUP(MAX(J21/IF(CD21&gt;0,CD21,MAX(0.1,N(Cockpit!$C$6))),CG21)/BV21,0)*BV21</f>
        <v>48</v>
      </c>
      <c r="AL21" s="51" t="n">
        <f aca="false">IF(AI21&gt;0,J21/AI21,-1)</f>
        <v>1.21276595744681</v>
      </c>
      <c r="AM21" s="51" t="n">
        <f aca="false">IF(AND(OR(CC21="L1",CC21="L23",CC21="LIFT"),AI21&gt;0),SUMIFS($AI$7:$AI$1843,$CC$7:$CC$1843,CC21,$AL$7:$AL$1843,"&gt;"&amp;AL21)+SUMIFS($AI$7:$AI$1843,$CC$7:$CC$1843,CC21,$AL$7:$AL$1843,AL21,$BT$7:$BT$1843,"&lt;="&amp;BT21),"")</f>
        <v>6646.46840659341</v>
      </c>
      <c r="AN21" s="58" t="n">
        <f aca="false">IF(AM21="",0,MAX(0,MIN(1,(IF(CC21="L1",Parameter!$H$5,IF(CC21="L23",Parameter!$H$6+Parameter!$H$7,Parameter!$H$5+Parameter!$H$6+Parameter!$H$7))-(AM21-AI21))/AI21)))</f>
        <v>1</v>
      </c>
      <c r="AO21" s="50" t="n">
        <f aca="false">IF(LEFT(Cockpit!$I$5,1)="A",H21,IF(CE21=1,CF21,IF(LEFT(Cockpit!$I$5,1)="B",AT21,MAX(AT21,H21))))</f>
        <v>48</v>
      </c>
      <c r="AP21" s="50" t="n">
        <f aca="false">IF(BW21=1,0,ROUNDUP(AO21/BV21,0))</f>
        <v>4</v>
      </c>
      <c r="AQ21" s="52" t="n">
        <f aca="false">IF(CL21&gt;0,CL21*MAX(1,AO21/X21),IF(BW21=1,IF(AO21&lt;=0,0,CA21*MAX(1,IF(H21&gt;0,AO21/H21,1))),IF(R21&gt;0,AP21/R21,0))/MAX(0.1,N(Parameter!$M$21)))</f>
        <v>0.666666666666667</v>
      </c>
      <c r="AR21" s="50" t="n">
        <f aca="false">AQ21*BY21</f>
        <v>156.666666666667</v>
      </c>
      <c r="AS21" s="50" t="n">
        <f aca="false">AO21*G21</f>
        <v>79098.24</v>
      </c>
      <c r="AT21" s="50" t="n">
        <f aca="false">ROUNDUP(MAX(J21/IF(CD21&gt;0,CD21,MAX(0.1,N(Cockpit!$I$6))),CG21)/BV21,0)*BV21</f>
        <v>48</v>
      </c>
      <c r="AU21" s="51" t="n">
        <f aca="false">IF(AR21&gt;0,J21/AR21,-1)</f>
        <v>0.606382978723404</v>
      </c>
      <c r="AV21" s="51" t="n">
        <f aca="false">IF(AND(OR(CC21="L1",CC21="L23",CC21="LIFT"),AR21&gt;0),SUMIFS($AR$7:$AR$1843,$CC$7:$CC$1843,CC21,$AU$7:$AU$1843,"&gt;"&amp;AU21)+SUMIFS($AR$7:$AR$1843,$CC$7:$CC$1843,CC21,$AU$7:$AU$1843,AU21,$BT$7:$BT$1843,"&lt;="&amp;BT21),"")</f>
        <v>12737.320970696</v>
      </c>
      <c r="AW21" s="58" t="n">
        <f aca="false">IF(AV21="",0,MAX(0,MIN(1,(IF(CC21="L1",Parameter!$H$5,IF(CC21="L23",Parameter!$H$6+Parameter!$H$7,Parameter!$H$5+Parameter!$H$6+Parameter!$H$7))-(AV21-AR21))/AR21)))</f>
        <v>1</v>
      </c>
      <c r="AX21" s="50" t="n">
        <f aca="false">IF(LEFT(Cockpit!$O$5,1)="A",H21,IF(CE21=1,CF21,IF(LEFT(Cockpit!$O$5,1)="B",BC21,MAX(BC21,H21))))</f>
        <v>36</v>
      </c>
      <c r="AY21" s="50" t="n">
        <f aca="false">IF(BW21=1,0,ROUNDUP(AX21/BV21,0))</f>
        <v>3</v>
      </c>
      <c r="AZ21" s="52" t="n">
        <f aca="false">IF(CL21&gt;0,CL21*MAX(1,AX21/X21),IF(BW21=1,IF(AX21&lt;=0,0,CA21*MAX(1,IF(H21&gt;0,AX21/H21,1))),IF(R21&gt;0,AY21/R21,0))/MAX(0.1,N(Parameter!$M$21)))</f>
        <v>0.5</v>
      </c>
      <c r="BA21" s="50" t="n">
        <f aca="false">AZ21*BY21</f>
        <v>117.5</v>
      </c>
      <c r="BB21" s="50" t="n">
        <f aca="false">AX21*G21</f>
        <v>59323.68</v>
      </c>
      <c r="BC21" s="50" t="n">
        <f aca="false">ROUNDUP(MAX(J21/IF(CD21&gt;0,CD21,MAX(0.1,N(Cockpit!$O$6))),CG21)/BV21,0)*BV21</f>
        <v>36</v>
      </c>
      <c r="BD21" s="51" t="n">
        <f aca="false">IF(BA21&gt;0,J21/BA21,-1)</f>
        <v>0.808510638297872</v>
      </c>
      <c r="BE21" s="51" t="n">
        <f aca="false">IF(AND(OR(CC21="L1",CC21="L23",CC21="LIFT"),BA21&gt;0),SUMIFS($BA$7:$BA$1843,$CC$7:$CC$1843,CC21,$BD$7:$BD$1843,"&gt;"&amp;BD21)+SUMIFS($BA$7:$BA$1843,$CC$7:$CC$1843,CC21,$BD$7:$BD$1843,BD21,$BT$7:$BT$1843,"&lt;="&amp;BT21),"")</f>
        <v>10981.5837912088</v>
      </c>
      <c r="BF21" s="58" t="n">
        <f aca="false">IF(BE21="",0,MAX(0,MIN(1,(IF(CC21="L1",Parameter!$H$5,IF(CC21="L23",Parameter!$H$6+Parameter!$H$7,Parameter!$H$5+Parameter!$H$6+Parameter!$H$7))-(BE21-BA21))/BA21)))</f>
        <v>1</v>
      </c>
      <c r="BG21" s="48" t="str">
        <f aca="false">IF(AI21&lt;=0,"",IF(CC21="Aussen","Aussenlager",IF(CC21="-","Nicht im Lift",IF(AN21&gt;=1,"Lift",IF(AN21&lt;=0,"Aussenlager","teilweise")))))</f>
        <v>Lift</v>
      </c>
      <c r="BH21" s="48" t="str">
        <f aca="false">IF(AR21&lt;=0,"",IF(CC21="Aussen","Aussenlager",IF(CC21="-","Nicht im Lift",IF(AW21&gt;=1,"Lift",IF(AW21&lt;=0,"Aussenlager","teilweise")))))</f>
        <v>Lift</v>
      </c>
      <c r="BI21" s="48" t="str">
        <f aca="false">IF(BA21&lt;=0,"",IF(CC21="Aussen","Aussenlager",IF(CC21="-","Nicht im Lift",IF(BF21&gt;=1,"Lift",IF(BF21&lt;=0,"Aussenlager","teilweise")))))</f>
        <v>Lift</v>
      </c>
      <c r="BJ21" s="48" t="str">
        <f aca="false">IF(A21="","",IF(BS21=1,"Neu; ","")&amp;IF(AND(BS21=0,BN21&lt;0),"negativer Bestand (Export "&amp;BN21&amp;"); ","")&amp;IF(J21&lt;=0,"Kein Verbrauch; ","")&amp;IF(CL21&gt;0,"Lift "&amp;W21&amp;" lt. Liftbericht (Fach "&amp;X21&amp;" Stk); ",IF(BX21=1,"Gebinde geschätzt ("&amp;T21&amp;"); ",IF(BW21=1,"Lose – Tablare geschätzt; ","")))&amp;IF(H21&gt;AT21,"Überbestand "&amp;ROUND(H21-AT21,0)&amp;" Stk / CHF "&amp;ROUND((H21-AT21)*G21,0)&amp;"; ","")&amp;IF(AND(CE21=1,CF21&lt;CG21),"MAX &lt; MB+LG; ","")&amp;IF(AND(CK21&gt;0,CJ21*10&gt;CK21),"zu hoch für Tablar; ","")&amp;IF(AND(BS21=0,OR(CE21=1,AA21&lt;&gt;"",U21&lt;&gt;"",V21&lt;&gt;"",AB21&lt;&gt;"")),"manuell übersteuert; ","")&amp;IF(AND(BW21=0,R21=0),"Gebinde unbekannt / Stellmass fehlt; ","")&amp;IF(AND(BW21=0,N(V21)&lt;=0,N(Q21)&lt;=0),"Menge pro Gebinde fehlt (Ist = 1 Gebinde); ","")&amp;BR21)</f>
        <v/>
      </c>
      <c r="BK21" s="48"/>
      <c r="BL21" s="48"/>
      <c r="BM21" s="55"/>
      <c r="BN21" s="50" t="n">
        <v>12</v>
      </c>
      <c r="BO21" s="50" t="n">
        <v>11</v>
      </c>
      <c r="BP21" s="49" t="n">
        <v>17892.56</v>
      </c>
      <c r="BQ21" s="50" t="n">
        <v>95</v>
      </c>
      <c r="BR21" s="48"/>
      <c r="BS21" s="53" t="n">
        <v>0</v>
      </c>
      <c r="BT21" s="53" t="n">
        <v>21</v>
      </c>
      <c r="BU21" s="48" t="str">
        <f aca="false">IF(U21&lt;&gt;"",UPPER(TRIM(U21)),IF(BX21=1,UPPER(VLOOKUP(T21,Parameter!$I$27:$K$29,2,0)),IF(P21="","LOSE",P21)))</f>
        <v>S71</v>
      </c>
      <c r="BV21" s="50" t="n">
        <f aca="false">IF(BU21="LOSE",1,IF(N(V21)&gt;0,V21,IF(BX21=1,MAX(1,N(VLOOKUP(T21,Parameter!$I$27:$K$29,3,0)),H21,N(N21)),IF(N(Q21)&gt;0,Q21,MAX(1,H21)))))</f>
        <v>12</v>
      </c>
      <c r="BW21" s="53" t="n">
        <f aca="false">IF(BU21="LOSE",1,0)</f>
        <v>0</v>
      </c>
      <c r="BX21" s="53" t="n">
        <f aca="false">IF(AND(U21="",OR(P21="",P21="LOSE"),T21&lt;&gt;"",N(S21)&lt;=0,ISNUMBER(MATCH(T21,Parameter!$I$27:$I$29,0))),1,0)</f>
        <v>0</v>
      </c>
      <c r="BY21" s="53" t="n">
        <f aca="false">IF(CL21&gt;0,INDEX(Parameter!$H$5:$H$7,W21)/INDEX(Parameter!$E$5:$E$7,W21),IF(AND(BW21=0,N(IFERROR(VLOOKUP(BU21,'Gebinde-Kategorie'!$A$5:$N$45,14,0),0))&gt;0),VLOOKUP(BU21,'Gebinde-Kategorie'!$A$5:$N$45,14,0)*10+Parameter!$M$23,Parameter!$M$24))</f>
        <v>235</v>
      </c>
      <c r="BZ21" s="48" t="n">
        <f aca="false">IF(AND(Parameter!$B$19="Ja",E21&lt;&gt;"",ISNUMBER(MATCH(E21,Parameter!$I$35:$I$52,0))),VLOOKUP(E21,Parameter!$I$35:$J$52,2,0),IFERROR(VLOOKUP(D21,Parameter!$A$35:$C$64,2,0),"Nein"))</f>
        <v>1</v>
      </c>
      <c r="CA21" s="52" t="n">
        <f aca="false">IF(BW21=0,0,IF(N(S21)&gt;0,S21,IFERROR(VLOOKUP(D21,Parameter!$A$35:$C$64,3,0)+0,0)))</f>
        <v>0</v>
      </c>
      <c r="CB21" s="48" t="n">
        <f aca="false">IF(AA21&lt;&gt;"",AA21,Z21)</f>
        <v>1</v>
      </c>
      <c r="CC21" s="48" t="str">
        <f aca="false">IF(OR(CB21=1,CB21=2,CB21=3),IF(Parameter!$E$27="Ja","LIFT",IF(CB21=1,"L1","L23")),IF(CB21="Aussen","Aussen","-"))</f>
        <v>LIFT</v>
      </c>
      <c r="CD21" s="59" t="n">
        <f aca="false">IF(N(AB21)&gt;0,AB21,0)</f>
        <v>0</v>
      </c>
      <c r="CE21" s="53" t="n">
        <f aca="false">IF(ISNUMBER(AE21),1,0)</f>
        <v>0</v>
      </c>
      <c r="CF21" s="50" t="n">
        <f aca="false">N(AE21)</f>
        <v>0</v>
      </c>
      <c r="CG21" s="50" t="n">
        <f aca="false">N(M21)+N(N21)</f>
        <v>20</v>
      </c>
      <c r="CH21" s="50" t="n">
        <f aca="false">ROUNDUP(H21/BV21,0)</f>
        <v>2</v>
      </c>
      <c r="CI21" s="50" t="n">
        <f aca="false">ROUNDUP(CF21/BV21,0)</f>
        <v>0</v>
      </c>
      <c r="CJ21" s="53" t="n">
        <f aca="false">IF(BW21=1,0,IFERROR(VLOOKUP(BU21,'Gebinde-Kategorie'!$A$5:$N$45,5,0)+0,0))</f>
        <v>20</v>
      </c>
      <c r="CK21" s="53" t="n">
        <f aca="false">IFERROR(IF(OR(CB21=1,CB21=2,CB21=3),N(INDEX(Parameter!$I$5:$I$7,CB21)),0),0)</f>
        <v>0</v>
      </c>
      <c r="CL21" s="52" t="n">
        <f aca="false">IF(AND(Parameter!$B$21="Ja",ISNUMBER(W21),N(X21)&gt;0),IFERROR(N(INDEX(Parameter!$L$5:$L$7,W21))*INDEX(Parameter!$E$5:$E$7,W21)*X21/SUMIFS($X$7:$X$1843,$W$7:$W$1843,W21),0),0)</f>
        <v>0</v>
      </c>
    </row>
    <row r="22" customFormat="false" ht="15" hidden="false" customHeight="false" outlineLevel="0" collapsed="false">
      <c r="A22" s="48" t="s">
        <v>213</v>
      </c>
      <c r="B22" s="48" t="s">
        <v>214</v>
      </c>
      <c r="C22" s="48" t="s">
        <v>168</v>
      </c>
      <c r="D22" s="48" t="s">
        <v>169</v>
      </c>
      <c r="E22" s="48" t="s">
        <v>170</v>
      </c>
      <c r="F22" s="48" t="s">
        <v>205</v>
      </c>
      <c r="G22" s="49" t="n">
        <v>2587.56</v>
      </c>
      <c r="H22" s="50" t="n">
        <f aca="false">MAX(0,IF(AND(Parameter!$B$21="Ja",ISNUMBER(Y22)),Y22,IF(Parameter!$B$20="Jahresanfang 2025 + Export",BO22+BN22,BN22)))</f>
        <v>16</v>
      </c>
      <c r="I22" s="50" t="n">
        <f aca="false">H22*G22</f>
        <v>41400.96</v>
      </c>
      <c r="J22" s="50" t="n">
        <f aca="false">BQ22*Parameter!$B$18</f>
        <v>29</v>
      </c>
      <c r="K22" s="51" t="n">
        <v>9.5</v>
      </c>
      <c r="L22" s="52" t="n">
        <v>3.05263157894737</v>
      </c>
      <c r="M22" s="50" t="n">
        <v>3</v>
      </c>
      <c r="N22" s="50" t="n">
        <v>10</v>
      </c>
      <c r="O22" s="53" t="n">
        <v>21</v>
      </c>
      <c r="P22" s="48" t="s">
        <v>172</v>
      </c>
      <c r="Q22" s="50"/>
      <c r="R22" s="53" t="n">
        <f aca="false">IF(BW22=1,0,IFERROR(VLOOKUP(BU22,'Gebinde-Kategorie'!$A$5:$N$45,13,0)+0,0))</f>
        <v>0</v>
      </c>
      <c r="S22" s="54"/>
      <c r="T22" s="55"/>
      <c r="U22" s="55"/>
      <c r="V22" s="55"/>
      <c r="W22" s="48" t="n">
        <v>1</v>
      </c>
      <c r="X22" s="50" t="n">
        <v>22</v>
      </c>
      <c r="Y22" s="50" t="n">
        <v>16</v>
      </c>
      <c r="Z22" s="48" t="n">
        <f aca="false">IF(A22="","",IF(AND(Parameter!$B$21="Ja",ISNUMBER(W22)),W22,IF(BZ22="2+3",IF(ISNUMBER(SEARCH("grosser Artikel",BR22)),2,IFERROR(VLOOKUP(BU22,Parameter!$F$35:$G$64,2,0),2)),IF(OR(BZ22="Nein",BZ22=""),"-",BZ22))))</f>
        <v>1</v>
      </c>
      <c r="AA22" s="55"/>
      <c r="AB22" s="56"/>
      <c r="AC22" s="50" t="n">
        <f aca="false">AT22</f>
        <v>15</v>
      </c>
      <c r="AD22" s="50" t="n">
        <f aca="false">MAX(AT22,H22)</f>
        <v>16</v>
      </c>
      <c r="AE22" s="57"/>
      <c r="AF22" s="50" t="n">
        <f aca="false">IF(LEFT(Cockpit!$C$5,1)="A",H22,IF(CE22=1,CF22,IF(LEFT(Cockpit!$C$5,1)="B",AK22,MAX(AK22,H22))))</f>
        <v>16</v>
      </c>
      <c r="AG22" s="50" t="n">
        <f aca="false">IF(BW22=1,0,ROUNDUP(AF22/BV22,0))</f>
        <v>0</v>
      </c>
      <c r="AH22" s="52" t="n">
        <f aca="false">IF(CL22&gt;0,CL22*MAX(1,AF22/X22),IF(BW22=1,IF(AF22&lt;=0,0,CA22*MAX(1,IF(H22&gt;0,AF22/H22,1))),IF(R22&gt;0,AG22/R22,0))/MAX(0.1,N(Parameter!$M$21)))</f>
        <v>1.7608286252354</v>
      </c>
      <c r="AI22" s="50" t="n">
        <f aca="false">AH22*BY22</f>
        <v>419.077212806026</v>
      </c>
      <c r="AJ22" s="50" t="n">
        <f aca="false">AF22*G22</f>
        <v>41400.96</v>
      </c>
      <c r="AK22" s="50" t="n">
        <f aca="false">ROUNDUP(MAX(J22/IF(CD22&gt;0,CD22,MAX(0.1,N(Cockpit!$C$6))),CG22)/BV22,0)*BV22</f>
        <v>15</v>
      </c>
      <c r="AL22" s="51" t="n">
        <f aca="false">IF(AI22&gt;0,J22/AI22,-1)</f>
        <v>0.0691996584730149</v>
      </c>
      <c r="AM22" s="51" t="n">
        <f aca="false">IF(AND(OR(CC22="L1",CC22="L23",CC22="LIFT"),AI22&gt;0),SUMIFS($AI$7:$AI$1843,$CC$7:$CC$1843,CC22,$AL$7:$AL$1843,"&gt;"&amp;AL22)+SUMIFS($AI$7:$AI$1843,$CC$7:$CC$1843,CC22,$AL$7:$AL$1843,AL22,$BT$7:$BT$1843,"&lt;="&amp;BT22),"")</f>
        <v>18579.6078697668</v>
      </c>
      <c r="AN22" s="58" t="n">
        <f aca="false">IF(AM22="",0,MAX(0,MIN(1,(IF(CC22="L1",Parameter!$H$5,IF(CC22="L23",Parameter!$H$6+Parameter!$H$7,Parameter!$H$5+Parameter!$H$6+Parameter!$H$7))-(AM22-AI22))/AI22)))</f>
        <v>1</v>
      </c>
      <c r="AO22" s="50" t="n">
        <f aca="false">IF(LEFT(Cockpit!$I$5,1)="A",H22,IF(CE22=1,CF22,IF(LEFT(Cockpit!$I$5,1)="B",AT22,MAX(AT22,H22))))</f>
        <v>16</v>
      </c>
      <c r="AP22" s="50" t="n">
        <f aca="false">IF(BW22=1,0,ROUNDUP(AO22/BV22,0))</f>
        <v>0</v>
      </c>
      <c r="AQ22" s="52" t="n">
        <f aca="false">IF(CL22&gt;0,CL22*MAX(1,AO22/X22),IF(BW22=1,IF(AO22&lt;=0,0,CA22*MAX(1,IF(H22&gt;0,AO22/H22,1))),IF(R22&gt;0,AP22/R22,0))/MAX(0.1,N(Parameter!$M$21)))</f>
        <v>1.7608286252354</v>
      </c>
      <c r="AR22" s="50" t="n">
        <f aca="false">AQ22*BY22</f>
        <v>419.077212806026</v>
      </c>
      <c r="AS22" s="50" t="n">
        <f aca="false">AO22*G22</f>
        <v>41400.96</v>
      </c>
      <c r="AT22" s="50" t="n">
        <f aca="false">ROUNDUP(MAX(J22/IF(CD22&gt;0,CD22,MAX(0.1,N(Cockpit!$I$6))),CG22)/BV22,0)*BV22</f>
        <v>15</v>
      </c>
      <c r="AU22" s="51" t="n">
        <f aca="false">IF(AR22&gt;0,J22/AR22,-1)</f>
        <v>0.0691996584730149</v>
      </c>
      <c r="AV22" s="51" t="n">
        <f aca="false">IF(AND(OR(CC22="L1",CC22="L23",CC22="LIFT"),AR22&gt;0),SUMIFS($AR$7:$AR$1843,$CC$7:$CC$1843,CC22,$AU$7:$AU$1843,"&gt;"&amp;AU22)+SUMIFS($AR$7:$AR$1843,$CC$7:$CC$1843,CC22,$AU$7:$AU$1843,AU22,$BT$7:$BT$1843,"&lt;="&amp;BT22),"")</f>
        <v>27087.8382457938</v>
      </c>
      <c r="AW22" s="58" t="n">
        <f aca="false">IF(AV22="",0,MAX(0,MIN(1,(IF(CC22="L1",Parameter!$H$5,IF(CC22="L23",Parameter!$H$6+Parameter!$H$7,Parameter!$H$5+Parameter!$H$6+Parameter!$H$7))-(AV22-AR22))/AR22)))</f>
        <v>1</v>
      </c>
      <c r="AX22" s="50" t="n">
        <f aca="false">IF(LEFT(Cockpit!$O$5,1)="A",H22,IF(CE22=1,CF22,IF(LEFT(Cockpit!$O$5,1)="B",BC22,MAX(BC22,H22))))</f>
        <v>16</v>
      </c>
      <c r="AY22" s="50" t="n">
        <f aca="false">IF(BW22=1,0,ROUNDUP(AX22/BV22,0))</f>
        <v>0</v>
      </c>
      <c r="AZ22" s="52" t="n">
        <f aca="false">IF(CL22&gt;0,CL22*MAX(1,AX22/X22),IF(BW22=1,IF(AX22&lt;=0,0,CA22*MAX(1,IF(H22&gt;0,AX22/H22,1))),IF(R22&gt;0,AY22/R22,0))/MAX(0.1,N(Parameter!$M$21)))</f>
        <v>1.7608286252354</v>
      </c>
      <c r="BA22" s="50" t="n">
        <f aca="false">AZ22*BY22</f>
        <v>419.077212806026</v>
      </c>
      <c r="BB22" s="50" t="n">
        <f aca="false">AX22*G22</f>
        <v>41400.96</v>
      </c>
      <c r="BC22" s="50" t="n">
        <f aca="false">ROUNDUP(MAX(J22/IF(CD22&gt;0,CD22,MAX(0.1,N(Cockpit!$O$6))),CG22)/BV22,0)*BV22</f>
        <v>13</v>
      </c>
      <c r="BD22" s="51" t="n">
        <f aca="false">IF(BA22&gt;0,J22/BA22,-1)</f>
        <v>0.0691996584730149</v>
      </c>
      <c r="BE22" s="51" t="n">
        <f aca="false">IF(AND(OR(CC22="L1",CC22="L23",CC22="LIFT"),BA22&gt;0),SUMIFS($BA$7:$BA$1843,$CC$7:$CC$1843,CC22,$BD$7:$BD$1843,"&gt;"&amp;BD22)+SUMIFS($BA$7:$BA$1843,$CC$7:$CC$1843,CC22,$BD$7:$BD$1843,BD22,$BT$7:$BT$1843,"&lt;="&amp;BT22),"")</f>
        <v>25290.3502876596</v>
      </c>
      <c r="BF22" s="58" t="n">
        <f aca="false">IF(BE22="",0,MAX(0,MIN(1,(IF(CC22="L1",Parameter!$H$5,IF(CC22="L23",Parameter!$H$6+Parameter!$H$7,Parameter!$H$5+Parameter!$H$6+Parameter!$H$7))-(BE22-BA22))/BA22)))</f>
        <v>1</v>
      </c>
      <c r="BG22" s="48" t="str">
        <f aca="false">IF(AI22&lt;=0,"",IF(CC22="Aussen","Aussenlager",IF(CC22="-","Nicht im Lift",IF(AN22&gt;=1,"Lift",IF(AN22&lt;=0,"Aussenlager","teilweise")))))</f>
        <v>Lift</v>
      </c>
      <c r="BH22" s="48" t="str">
        <f aca="false">IF(AR22&lt;=0,"",IF(CC22="Aussen","Aussenlager",IF(CC22="-","Nicht im Lift",IF(AW22&gt;=1,"Lift",IF(AW22&lt;=0,"Aussenlager","teilweise")))))</f>
        <v>Lift</v>
      </c>
      <c r="BI22" s="48" t="str">
        <f aca="false">IF(BA22&lt;=0,"",IF(CC22="Aussen","Aussenlager",IF(CC22="-","Nicht im Lift",IF(BF22&gt;=1,"Lift",IF(BF22&lt;=0,"Aussenlager","teilweise")))))</f>
        <v>Lift</v>
      </c>
      <c r="BJ22" s="48" t="str">
        <f aca="false">IF(A22="","",IF(BS22=1,"Neu; ","")&amp;IF(AND(BS22=0,BN22&lt;0),"negativer Bestand (Export "&amp;BN22&amp;"); ","")&amp;IF(J22&lt;=0,"Kein Verbrauch; ","")&amp;IF(CL22&gt;0,"Lift "&amp;W22&amp;" lt. Liftbericht (Fach "&amp;X22&amp;" Stk); ",IF(BX22=1,"Gebinde geschätzt ("&amp;T22&amp;"); ",IF(BW22=1,"Lose – Tablare geschätzt; ","")))&amp;IF(H22&gt;AT22,"Überbestand "&amp;ROUND(H22-AT22,0)&amp;" Stk / CHF "&amp;ROUND((H22-AT22)*G22,0)&amp;"; ","")&amp;IF(AND(CE22=1,CF22&lt;CG22),"MAX &lt; MB+LG; ","")&amp;IF(AND(CK22&gt;0,CJ22*10&gt;CK22),"zu hoch für Tablar; ","")&amp;IF(AND(BS22=0,OR(CE22=1,AA22&lt;&gt;"",U22&lt;&gt;"",V22&lt;&gt;"",AB22&lt;&gt;"")),"manuell übersteuert; ","")&amp;IF(AND(BW22=0,R22=0),"Gebinde unbekannt / Stellmass fehlt; ","")&amp;IF(AND(BW22=0,N(V22)&lt;=0,N(Q22)&lt;=0),"Menge pro Gebinde fehlt (Ist = 1 Gebinde); ","")&amp;BR22)</f>
        <v>Lift 1 lt. Liftbericht (Fach 22 Stk); Überbestand 1 Stk / CHF 2588; </v>
      </c>
      <c r="BK22" s="48" t="s">
        <v>215</v>
      </c>
      <c r="BL22" s="48"/>
      <c r="BM22" s="55"/>
      <c r="BN22" s="50" t="n">
        <v>7</v>
      </c>
      <c r="BO22" s="50" t="n">
        <v>3</v>
      </c>
      <c r="BP22" s="49" t="n">
        <v>17583.76</v>
      </c>
      <c r="BQ22" s="50" t="n">
        <v>29</v>
      </c>
      <c r="BR22" s="48"/>
      <c r="BS22" s="53" t="n">
        <v>0</v>
      </c>
      <c r="BT22" s="53" t="n">
        <v>22</v>
      </c>
      <c r="BU22" s="48" t="str">
        <f aca="false">IF(U22&lt;&gt;"",UPPER(TRIM(U22)),IF(BX22=1,UPPER(VLOOKUP(T22,Parameter!$I$27:$K$29,2,0)),IF(P22="","LOSE",P22)))</f>
        <v>LOSE</v>
      </c>
      <c r="BV22" s="50" t="n">
        <f aca="false">IF(BU22="LOSE",1,IF(N(V22)&gt;0,V22,IF(BX22=1,MAX(1,N(VLOOKUP(T22,Parameter!$I$27:$K$29,3,0)),H22,N(N22)),IF(N(Q22)&gt;0,Q22,MAX(1,H22)))))</f>
        <v>1</v>
      </c>
      <c r="BW22" s="53" t="n">
        <f aca="false">IF(BU22="LOSE",1,0)</f>
        <v>1</v>
      </c>
      <c r="BX22" s="53" t="n">
        <f aca="false">IF(AND(U22="",OR(P22="",P22="LOSE"),T22&lt;&gt;"",N(S22)&lt;=0,ISNUMBER(MATCH(T22,Parameter!$I$27:$I$29,0))),1,0)</f>
        <v>0</v>
      </c>
      <c r="BY22" s="53" t="n">
        <f aca="false">IF(CL22&gt;0,INDEX(Parameter!$H$5:$H$7,W22)/INDEX(Parameter!$E$5:$E$7,W22),IF(AND(BW22=0,N(IFERROR(VLOOKUP(BU22,'Gebinde-Kategorie'!$A$5:$N$45,14,0),0))&gt;0),VLOOKUP(BU22,'Gebinde-Kategorie'!$A$5:$N$45,14,0)*10+Parameter!$M$23,Parameter!$M$24))</f>
        <v>238</v>
      </c>
      <c r="BZ22" s="48" t="n">
        <f aca="false">IF(AND(Parameter!$B$19="Ja",E22&lt;&gt;"",ISNUMBER(MATCH(E22,Parameter!$I$35:$I$52,0))),VLOOKUP(E22,Parameter!$I$35:$J$52,2,0),IFERROR(VLOOKUP(D22,Parameter!$A$35:$C$64,2,0),"Nein"))</f>
        <v>1</v>
      </c>
      <c r="CA22" s="52" t="n">
        <f aca="false">IF(BW22=0,0,IF(N(S22)&gt;0,S22,IFERROR(VLOOKUP(D22,Parameter!$A$35:$C$64,3,0)+0,0)))</f>
        <v>1</v>
      </c>
      <c r="CB22" s="48" t="n">
        <f aca="false">IF(AA22&lt;&gt;"",AA22,Z22)</f>
        <v>1</v>
      </c>
      <c r="CC22" s="48" t="str">
        <f aca="false">IF(OR(CB22=1,CB22=2,CB22=3),IF(Parameter!$E$27="Ja","LIFT",IF(CB22=1,"L1","L23")),IF(CB22="Aussen","Aussen","-"))</f>
        <v>LIFT</v>
      </c>
      <c r="CD22" s="59" t="n">
        <f aca="false">IF(N(AB22)&gt;0,AB22,0)</f>
        <v>0</v>
      </c>
      <c r="CE22" s="53" t="n">
        <f aca="false">IF(ISNUMBER(AE22),1,0)</f>
        <v>0</v>
      </c>
      <c r="CF22" s="50" t="n">
        <f aca="false">N(AE22)</f>
        <v>0</v>
      </c>
      <c r="CG22" s="50" t="n">
        <f aca="false">N(M22)+N(N22)</f>
        <v>13</v>
      </c>
      <c r="CH22" s="50" t="n">
        <f aca="false">ROUNDUP(H22/BV22,0)</f>
        <v>16</v>
      </c>
      <c r="CI22" s="50" t="n">
        <f aca="false">ROUNDUP(CF22/BV22,0)</f>
        <v>0</v>
      </c>
      <c r="CJ22" s="53" t="n">
        <f aca="false">IF(BW22=1,0,IFERROR(VLOOKUP(BU22,'Gebinde-Kategorie'!$A$5:$N$45,5,0)+0,0))</f>
        <v>0</v>
      </c>
      <c r="CK22" s="53" t="n">
        <f aca="false">IFERROR(IF(OR(CB22=1,CB22=2,CB22=3),N(INDEX(Parameter!$I$5:$I$7,CB22)),0),0)</f>
        <v>0</v>
      </c>
      <c r="CL22" s="52" t="n">
        <f aca="false">IF(AND(Parameter!$B$21="Ja",ISNUMBER(W22),N(X22)&gt;0),IFERROR(N(INDEX(Parameter!$L$5:$L$7,W22))*INDEX(Parameter!$E$5:$E$7,W22)*X22/SUMIFS($X$7:$X$1843,$W$7:$W$1843,W22),0),0)</f>
        <v>1.7608286252354</v>
      </c>
    </row>
    <row r="23" customFormat="false" ht="15" hidden="false" customHeight="false" outlineLevel="0" collapsed="false">
      <c r="A23" s="48" t="s">
        <v>216</v>
      </c>
      <c r="B23" s="48" t="s">
        <v>217</v>
      </c>
      <c r="C23" s="48" t="s">
        <v>168</v>
      </c>
      <c r="D23" s="48" t="s">
        <v>177</v>
      </c>
      <c r="E23" s="48" t="s">
        <v>189</v>
      </c>
      <c r="F23" s="48" t="s">
        <v>205</v>
      </c>
      <c r="G23" s="49" t="n">
        <v>211.01</v>
      </c>
      <c r="H23" s="50" t="n">
        <f aca="false">MAX(0,IF(AND(Parameter!$B$21="Ja",ISNUMBER(Y23)),Y23,IF(Parameter!$B$20="Jahresanfang 2025 + Export",BO23+BN23,BN23)))</f>
        <v>131</v>
      </c>
      <c r="I23" s="50" t="n">
        <f aca="false">H23*G23</f>
        <v>27642.31</v>
      </c>
      <c r="J23" s="50" t="n">
        <f aca="false">BQ23*Parameter!$B$18</f>
        <v>337</v>
      </c>
      <c r="K23" s="51" t="n">
        <v>52.5</v>
      </c>
      <c r="L23" s="52" t="n">
        <v>6.41904761904762</v>
      </c>
      <c r="M23" s="50" t="n">
        <v>19</v>
      </c>
      <c r="N23" s="50" t="n">
        <v>60</v>
      </c>
      <c r="O23" s="53" t="n">
        <v>21</v>
      </c>
      <c r="P23" s="48" t="s">
        <v>190</v>
      </c>
      <c r="Q23" s="50" t="n">
        <v>42</v>
      </c>
      <c r="R23" s="53" t="n">
        <f aca="false">IF(BW23=1,0,IFERROR(VLOOKUP(BU23,'Gebinde-Kategorie'!$A$5:$N$45,13,0)+0,0))</f>
        <v>12</v>
      </c>
      <c r="S23" s="54"/>
      <c r="T23" s="55"/>
      <c r="U23" s="55"/>
      <c r="V23" s="55"/>
      <c r="W23" s="48"/>
      <c r="X23" s="50"/>
      <c r="Y23" s="50"/>
      <c r="Z23" s="48" t="n">
        <f aca="false">IF(A23="","",IF(AND(Parameter!$B$21="Ja",ISNUMBER(W23)),W23,IF(BZ23="2+3",IF(ISNUMBER(SEARCH("grosser Artikel",BR23)),2,IFERROR(VLOOKUP(BU23,Parameter!$F$35:$G$64,2,0),2)),IF(OR(BZ23="Nein",BZ23=""),"-",BZ23))))</f>
        <v>2</v>
      </c>
      <c r="AA23" s="55"/>
      <c r="AB23" s="56"/>
      <c r="AC23" s="50" t="n">
        <f aca="false">AT23</f>
        <v>210</v>
      </c>
      <c r="AD23" s="50" t="n">
        <f aca="false">MAX(AT23,H23)</f>
        <v>210</v>
      </c>
      <c r="AE23" s="57"/>
      <c r="AF23" s="50" t="n">
        <f aca="false">IF(LEFT(Cockpit!$C$5,1)="A",H23,IF(CE23=1,CF23,IF(LEFT(Cockpit!$C$5,1)="B",AK23,MAX(AK23,H23))))</f>
        <v>131</v>
      </c>
      <c r="AG23" s="50" t="n">
        <f aca="false">IF(BW23=1,0,ROUNDUP(AF23/BV23,0))</f>
        <v>4</v>
      </c>
      <c r="AH23" s="52" t="n">
        <f aca="false">IF(CL23&gt;0,CL23*MAX(1,AF23/X23),IF(BW23=1,IF(AF23&lt;=0,0,CA23*MAX(1,IF(H23&gt;0,AF23/H23,1))),IF(R23&gt;0,AG23/R23,0))/MAX(0.1,N(Parameter!$M$21)))</f>
        <v>0.333333333333333</v>
      </c>
      <c r="AI23" s="50" t="n">
        <f aca="false">AH23*BY23</f>
        <v>48.3333333333333</v>
      </c>
      <c r="AJ23" s="50" t="n">
        <f aca="false">AF23*G23</f>
        <v>27642.31</v>
      </c>
      <c r="AK23" s="50" t="n">
        <f aca="false">ROUNDUP(MAX(J23/IF(CD23&gt;0,CD23,MAX(0.1,N(Cockpit!$C$6))),CG23)/BV23,0)*BV23</f>
        <v>210</v>
      </c>
      <c r="AL23" s="51" t="n">
        <f aca="false">IF(AI23&gt;0,J23/AI23,-1)</f>
        <v>6.97241379310345</v>
      </c>
      <c r="AM23" s="51" t="n">
        <f aca="false">IF(AND(OR(CC23="L1",CC23="L23",CC23="LIFT"),AI23&gt;0),SUMIFS($AI$7:$AI$1843,$CC$7:$CC$1843,CC23,$AL$7:$AL$1843,"&gt;"&amp;AL23)+SUMIFS($AI$7:$AI$1843,$CC$7:$CC$1843,CC23,$AL$7:$AL$1843,AL23,$BT$7:$BT$1843,"&lt;="&amp;BT23),"")</f>
        <v>3267.22023809524</v>
      </c>
      <c r="AN23" s="58" t="n">
        <f aca="false">IF(AM23="",0,MAX(0,MIN(1,(IF(CC23="L1",Parameter!$H$5,IF(CC23="L23",Parameter!$H$6+Parameter!$H$7,Parameter!$H$5+Parameter!$H$6+Parameter!$H$7))-(AM23-AI23))/AI23)))</f>
        <v>1</v>
      </c>
      <c r="AO23" s="50" t="n">
        <f aca="false">IF(LEFT(Cockpit!$I$5,1)="A",H23,IF(CE23=1,CF23,IF(LEFT(Cockpit!$I$5,1)="B",AT23,MAX(AT23,H23))))</f>
        <v>210</v>
      </c>
      <c r="AP23" s="50" t="n">
        <f aca="false">IF(BW23=1,0,ROUNDUP(AO23/BV23,0))</f>
        <v>5</v>
      </c>
      <c r="AQ23" s="52" t="n">
        <f aca="false">IF(CL23&gt;0,CL23*MAX(1,AO23/X23),IF(BW23=1,IF(AO23&lt;=0,0,CA23*MAX(1,IF(H23&gt;0,AO23/H23,1))),IF(R23&gt;0,AP23/R23,0))/MAX(0.1,N(Parameter!$M$21)))</f>
        <v>0.416666666666667</v>
      </c>
      <c r="AR23" s="50" t="n">
        <f aca="false">AQ23*BY23</f>
        <v>60.4166666666667</v>
      </c>
      <c r="AS23" s="50" t="n">
        <f aca="false">AO23*G23</f>
        <v>44312.1</v>
      </c>
      <c r="AT23" s="50" t="n">
        <f aca="false">ROUNDUP(MAX(J23/IF(CD23&gt;0,CD23,MAX(0.1,N(Cockpit!$I$6))),CG23)/BV23,0)*BV23</f>
        <v>210</v>
      </c>
      <c r="AU23" s="51" t="n">
        <f aca="false">IF(AR23&gt;0,J23/AR23,-1)</f>
        <v>5.57793103448276</v>
      </c>
      <c r="AV23" s="51" t="n">
        <f aca="false">IF(AND(OR(CC23="L1",CC23="L23",CC23="LIFT"),AR23&gt;0),SUMIFS($AR$7:$AR$1843,$CC$7:$CC$1843,CC23,$AU$7:$AU$1843,"&gt;"&amp;AU23)+SUMIFS($AR$7:$AR$1843,$CC$7:$CC$1843,CC23,$AU$7:$AU$1843,AU23,$BT$7:$BT$1843,"&lt;="&amp;BT23),"")</f>
        <v>4841.8054029304</v>
      </c>
      <c r="AW23" s="58" t="n">
        <f aca="false">IF(AV23="",0,MAX(0,MIN(1,(IF(CC23="L1",Parameter!$H$5,IF(CC23="L23",Parameter!$H$6+Parameter!$H$7,Parameter!$H$5+Parameter!$H$6+Parameter!$H$7))-(AV23-AR23))/AR23)))</f>
        <v>1</v>
      </c>
      <c r="AX23" s="50" t="n">
        <f aca="false">IF(LEFT(Cockpit!$O$5,1)="A",H23,IF(CE23=1,CF23,IF(LEFT(Cockpit!$O$5,1)="B",BC23,MAX(BC23,H23))))</f>
        <v>131</v>
      </c>
      <c r="AY23" s="50" t="n">
        <f aca="false">IF(BW23=1,0,ROUNDUP(AX23/BV23,0))</f>
        <v>4</v>
      </c>
      <c r="AZ23" s="52" t="n">
        <f aca="false">IF(CL23&gt;0,CL23*MAX(1,AX23/X23),IF(BW23=1,IF(AX23&lt;=0,0,CA23*MAX(1,IF(H23&gt;0,AX23/H23,1))),IF(R23&gt;0,AY23/R23,0))/MAX(0.1,N(Parameter!$M$21)))</f>
        <v>0.333333333333333</v>
      </c>
      <c r="BA23" s="50" t="n">
        <f aca="false">AZ23*BY23</f>
        <v>48.3333333333333</v>
      </c>
      <c r="BB23" s="50" t="n">
        <f aca="false">AX23*G23</f>
        <v>27642.31</v>
      </c>
      <c r="BC23" s="50" t="n">
        <f aca="false">ROUNDUP(MAX(J23/IF(CD23&gt;0,CD23,MAX(0.1,N(Cockpit!$O$6))),CG23)/BV23,0)*BV23</f>
        <v>126</v>
      </c>
      <c r="BD23" s="51" t="n">
        <f aca="false">IF(BA23&gt;0,J23/BA23,-1)</f>
        <v>6.97241379310345</v>
      </c>
      <c r="BE23" s="51" t="n">
        <f aca="false">IF(AND(OR(CC23="L1",CC23="L23",CC23="LIFT"),BA23&gt;0),SUMIFS($BA$7:$BA$1843,$CC$7:$CC$1843,CC23,$BD$7:$BD$1843,"&gt;"&amp;BD23)+SUMIFS($BA$7:$BA$1843,$CC$7:$CC$1843,CC23,$BD$7:$BD$1843,BD23,$BT$7:$BT$1843,"&lt;="&amp;BT23),"")</f>
        <v>4192.53846153846</v>
      </c>
      <c r="BF23" s="58" t="n">
        <f aca="false">IF(BE23="",0,MAX(0,MIN(1,(IF(CC23="L1",Parameter!$H$5,IF(CC23="L23",Parameter!$H$6+Parameter!$H$7,Parameter!$H$5+Parameter!$H$6+Parameter!$H$7))-(BE23-BA23))/BA23)))</f>
        <v>1</v>
      </c>
      <c r="BG23" s="48" t="str">
        <f aca="false">IF(AI23&lt;=0,"",IF(CC23="Aussen","Aussenlager",IF(CC23="-","Nicht im Lift",IF(AN23&gt;=1,"Lift",IF(AN23&lt;=0,"Aussenlager","teilweise")))))</f>
        <v>Lift</v>
      </c>
      <c r="BH23" s="48" t="str">
        <f aca="false">IF(AR23&lt;=0,"",IF(CC23="Aussen","Aussenlager",IF(CC23="-","Nicht im Lift",IF(AW23&gt;=1,"Lift",IF(AW23&lt;=0,"Aussenlager","teilweise")))))</f>
        <v>Lift</v>
      </c>
      <c r="BI23" s="48" t="str">
        <f aca="false">IF(BA23&lt;=0,"",IF(CC23="Aussen","Aussenlager",IF(CC23="-","Nicht im Lift",IF(BF23&gt;=1,"Lift",IF(BF23&lt;=0,"Aussenlager","teilweise")))))</f>
        <v>Lift</v>
      </c>
      <c r="BJ23" s="48" t="str">
        <f aca="false">IF(A23="","",IF(BS23=1,"Neu; ","")&amp;IF(AND(BS23=0,BN23&lt;0),"negativer Bestand (Export "&amp;BN23&amp;"); ","")&amp;IF(J23&lt;=0,"Kein Verbrauch; ","")&amp;IF(CL23&gt;0,"Lift "&amp;W23&amp;" lt. Liftbericht (Fach "&amp;X23&amp;" Stk); ",IF(BX23=1,"Gebinde geschätzt ("&amp;T23&amp;"); ",IF(BW23=1,"Lose – Tablare geschätzt; ","")))&amp;IF(H23&gt;AT23,"Überbestand "&amp;ROUND(H23-AT23,0)&amp;" Stk / CHF "&amp;ROUND((H23-AT23)*G23,0)&amp;"; ","")&amp;IF(AND(CE23=1,CF23&lt;CG23),"MAX &lt; MB+LG; ","")&amp;IF(AND(CK23&gt;0,CJ23*10&gt;CK23),"zu hoch für Tablar; ","")&amp;IF(AND(BS23=0,OR(CE23=1,AA23&lt;&gt;"",U23&lt;&gt;"",V23&lt;&gt;"",AB23&lt;&gt;"")),"manuell übersteuert; ","")&amp;IF(AND(BW23=0,R23=0),"Gebinde unbekannt / Stellmass fehlt; ","")&amp;IF(AND(BW23=0,N(V23)&lt;=0,N(Q23)&lt;=0),"Menge pro Gebinde fehlt (Ist = 1 Gebinde); ","")&amp;BR23)</f>
        <v/>
      </c>
      <c r="BK23" s="48" t="s">
        <v>218</v>
      </c>
      <c r="BL23" s="48" t="s">
        <v>219</v>
      </c>
      <c r="BM23" s="55"/>
      <c r="BN23" s="50" t="n">
        <v>90</v>
      </c>
      <c r="BO23" s="50" t="n">
        <v>41</v>
      </c>
      <c r="BP23" s="49" t="n">
        <v>17462.83</v>
      </c>
      <c r="BQ23" s="50" t="n">
        <v>337</v>
      </c>
      <c r="BR23" s="48"/>
      <c r="BS23" s="53" t="n">
        <v>0</v>
      </c>
      <c r="BT23" s="53" t="n">
        <v>23</v>
      </c>
      <c r="BU23" s="48" t="str">
        <f aca="false">IF(U23&lt;&gt;"",UPPER(TRIM(U23)),IF(BX23=1,UPPER(VLOOKUP(T23,Parameter!$I$27:$K$29,2,0)),IF(P23="","LOSE",P23)))</f>
        <v>S61</v>
      </c>
      <c r="BV23" s="50" t="n">
        <f aca="false">IF(BU23="LOSE",1,IF(N(V23)&gt;0,V23,IF(BX23=1,MAX(1,N(VLOOKUP(T23,Parameter!$I$27:$K$29,3,0)),H23,N(N23)),IF(N(Q23)&gt;0,Q23,MAX(1,H23)))))</f>
        <v>42</v>
      </c>
      <c r="BW23" s="53" t="n">
        <f aca="false">IF(BU23="LOSE",1,0)</f>
        <v>0</v>
      </c>
      <c r="BX23" s="53" t="n">
        <f aca="false">IF(AND(U23="",OR(P23="",P23="LOSE"),T23&lt;&gt;"",N(S23)&lt;=0,ISNUMBER(MATCH(T23,Parameter!$I$27:$I$29,0))),1,0)</f>
        <v>0</v>
      </c>
      <c r="BY23" s="53" t="n">
        <f aca="false">IF(CL23&gt;0,INDEX(Parameter!$H$5:$H$7,W23)/INDEX(Parameter!$E$5:$E$7,W23),IF(AND(BW23=0,N(IFERROR(VLOOKUP(BU23,'Gebinde-Kategorie'!$A$5:$N$45,14,0),0))&gt;0),VLOOKUP(BU23,'Gebinde-Kategorie'!$A$5:$N$45,14,0)*10+Parameter!$M$23,Parameter!$M$24))</f>
        <v>145</v>
      </c>
      <c r="BZ23" s="48" t="str">
        <f aca="false">IF(AND(Parameter!$B$19="Ja",E23&lt;&gt;"",ISNUMBER(MATCH(E23,Parameter!$I$35:$I$52,0))),VLOOKUP(E23,Parameter!$I$35:$J$52,2,0),IFERROR(VLOOKUP(D23,Parameter!$A$35:$C$64,2,0),"Nein"))</f>
        <v>2+3</v>
      </c>
      <c r="CA23" s="52" t="n">
        <f aca="false">IF(BW23=0,0,IF(N(S23)&gt;0,S23,IFERROR(VLOOKUP(D23,Parameter!$A$35:$C$64,3,0)+0,0)))</f>
        <v>0</v>
      </c>
      <c r="CB23" s="48" t="n">
        <f aca="false">IF(AA23&lt;&gt;"",AA23,Z23)</f>
        <v>2</v>
      </c>
      <c r="CC23" s="48" t="str">
        <f aca="false">IF(OR(CB23=1,CB23=2,CB23=3),IF(Parameter!$E$27="Ja","LIFT",IF(CB23=1,"L1","L23")),IF(CB23="Aussen","Aussen","-"))</f>
        <v>LIFT</v>
      </c>
      <c r="CD23" s="59" t="n">
        <f aca="false">IF(N(AB23)&gt;0,AB23,0)</f>
        <v>0</v>
      </c>
      <c r="CE23" s="53" t="n">
        <f aca="false">IF(ISNUMBER(AE23),1,0)</f>
        <v>0</v>
      </c>
      <c r="CF23" s="50" t="n">
        <f aca="false">N(AE23)</f>
        <v>0</v>
      </c>
      <c r="CG23" s="50" t="n">
        <f aca="false">N(M23)+N(N23)</f>
        <v>79</v>
      </c>
      <c r="CH23" s="50" t="n">
        <f aca="false">ROUNDUP(H23/BV23,0)</f>
        <v>4</v>
      </c>
      <c r="CI23" s="50" t="n">
        <f aca="false">ROUNDUP(CF23/BV23,0)</f>
        <v>0</v>
      </c>
      <c r="CJ23" s="53" t="n">
        <f aca="false">IF(BW23=1,0,IFERROR(VLOOKUP(BU23,'Gebinde-Kategorie'!$A$5:$N$45,5,0)+0,0))</f>
        <v>11</v>
      </c>
      <c r="CK23" s="53" t="n">
        <f aca="false">IFERROR(IF(OR(CB23=1,CB23=2,CB23=3),N(INDEX(Parameter!$I$5:$I$7,CB23)),0),0)</f>
        <v>0</v>
      </c>
      <c r="CL23" s="52" t="n">
        <f aca="false">IF(AND(Parameter!$B$21="Ja",ISNUMBER(W23),N(X23)&gt;0),IFERROR(N(INDEX(Parameter!$L$5:$L$7,W23))*INDEX(Parameter!$E$5:$E$7,W23)*X23/SUMIFS($X$7:$X$1843,$W$7:$W$1843,W23),0),0)</f>
        <v>0</v>
      </c>
    </row>
    <row r="24" customFormat="false" ht="15" hidden="false" customHeight="false" outlineLevel="0" collapsed="false">
      <c r="A24" s="48" t="s">
        <v>220</v>
      </c>
      <c r="B24" s="48" t="s">
        <v>221</v>
      </c>
      <c r="C24" s="48" t="s">
        <v>168</v>
      </c>
      <c r="D24" s="48" t="s">
        <v>177</v>
      </c>
      <c r="E24" s="48"/>
      <c r="F24" s="48" t="s">
        <v>222</v>
      </c>
      <c r="G24" s="49" t="n">
        <v>146.39</v>
      </c>
      <c r="H24" s="50" t="n">
        <f aca="false">MAX(0,IF(AND(Parameter!$B$21="Ja",ISNUMBER(Y24)),Y24,IF(Parameter!$B$20="Jahresanfang 2025 + Export",BO24+BN24,BN24)))</f>
        <v>114</v>
      </c>
      <c r="I24" s="50" t="n">
        <f aca="false">H24*G24</f>
        <v>16688.46</v>
      </c>
      <c r="J24" s="50" t="n">
        <f aca="false">BQ24*Parameter!$B$18</f>
        <v>0</v>
      </c>
      <c r="K24" s="51" t="n">
        <v>19.5</v>
      </c>
      <c r="L24" s="52" t="n">
        <v>0</v>
      </c>
      <c r="M24" s="50" t="n">
        <v>0</v>
      </c>
      <c r="N24" s="50" t="n">
        <v>1</v>
      </c>
      <c r="O24" s="53" t="n">
        <v>0</v>
      </c>
      <c r="P24" s="48" t="s">
        <v>172</v>
      </c>
      <c r="Q24" s="50"/>
      <c r="R24" s="53" t="n">
        <f aca="false">IF(BW24=1,0,IFERROR(VLOOKUP(BU24,'Gebinde-Kategorie'!$A$5:$N$45,13,0)+0,0))</f>
        <v>4</v>
      </c>
      <c r="S24" s="54"/>
      <c r="T24" s="55" t="s">
        <v>193</v>
      </c>
      <c r="U24" s="55"/>
      <c r="V24" s="55"/>
      <c r="W24" s="48"/>
      <c r="X24" s="50"/>
      <c r="Y24" s="50"/>
      <c r="Z24" s="48" t="n">
        <f aca="false">IF(A24="","",IF(AND(Parameter!$B$21="Ja",ISNUMBER(W24)),W24,IF(BZ24="2+3",IF(ISNUMBER(SEARCH("grosser Artikel",BR24)),2,IFERROR(VLOOKUP(BU24,Parameter!$F$35:$G$64,2,0),2)),IF(OR(BZ24="Nein",BZ24=""),"-",BZ24))))</f>
        <v>2</v>
      </c>
      <c r="AA24" s="55"/>
      <c r="AB24" s="56"/>
      <c r="AC24" s="50" t="n">
        <f aca="false">AT24</f>
        <v>114</v>
      </c>
      <c r="AD24" s="50" t="n">
        <f aca="false">MAX(AT24,H24)</f>
        <v>114</v>
      </c>
      <c r="AE24" s="57"/>
      <c r="AF24" s="50" t="n">
        <f aca="false">IF(LEFT(Cockpit!$C$5,1)="A",H24,IF(CE24=1,CF24,IF(LEFT(Cockpit!$C$5,1)="B",AK24,MAX(AK24,H24))))</f>
        <v>114</v>
      </c>
      <c r="AG24" s="50" t="n">
        <f aca="false">IF(BW24=1,0,ROUNDUP(AF24/BV24,0))</f>
        <v>1</v>
      </c>
      <c r="AH24" s="52" t="n">
        <f aca="false">IF(CL24&gt;0,CL24*MAX(1,AF24/X24),IF(BW24=1,IF(AF24&lt;=0,0,CA24*MAX(1,IF(H24&gt;0,AF24/H24,1))),IF(R24&gt;0,AG24/R24,0))/MAX(0.1,N(Parameter!$M$21)))</f>
        <v>0.25</v>
      </c>
      <c r="AI24" s="50" t="n">
        <f aca="false">AH24*BY24</f>
        <v>58.75</v>
      </c>
      <c r="AJ24" s="50" t="n">
        <f aca="false">AF24*G24</f>
        <v>16688.46</v>
      </c>
      <c r="AK24" s="50" t="n">
        <f aca="false">ROUNDUP(MAX(J24/IF(CD24&gt;0,CD24,MAX(0.1,N(Cockpit!$C$6))),CG24)/BV24,0)*BV24</f>
        <v>114</v>
      </c>
      <c r="AL24" s="51" t="n">
        <f aca="false">IF(AI24&gt;0,J24/AI24,-1)</f>
        <v>0</v>
      </c>
      <c r="AM24" s="51" t="n">
        <f aca="false">IF(AND(OR(CC24="L1",CC24="L23",CC24="LIFT"),AI24&gt;0),SUMIFS($AI$7:$AI$1843,$CC$7:$CC$1843,CC24,$AL$7:$AL$1843,"&gt;"&amp;AL24)+SUMIFS($AI$7:$AI$1843,$CC$7:$CC$1843,CC24,$AL$7:$AL$1843,AL24,$BT$7:$BT$1843,"&lt;="&amp;BT24),"")</f>
        <v>25664.0219081766</v>
      </c>
      <c r="AN24" s="58" t="n">
        <f aca="false">IF(AM24="",0,MAX(0,MIN(1,(IF(CC24="L1",Parameter!$H$5,IF(CC24="L23",Parameter!$H$6+Parameter!$H$7,Parameter!$H$5+Parameter!$H$6+Parameter!$H$7))-(AM24-AI24))/AI24)))</f>
        <v>1</v>
      </c>
      <c r="AO24" s="50" t="n">
        <f aca="false">IF(LEFT(Cockpit!$I$5,1)="A",H24,IF(CE24=1,CF24,IF(LEFT(Cockpit!$I$5,1)="B",AT24,MAX(AT24,H24))))</f>
        <v>114</v>
      </c>
      <c r="AP24" s="50" t="n">
        <f aca="false">IF(BW24=1,0,ROUNDUP(AO24/BV24,0))</f>
        <v>1</v>
      </c>
      <c r="AQ24" s="52" t="n">
        <f aca="false">IF(CL24&gt;0,CL24*MAX(1,AO24/X24),IF(BW24=1,IF(AO24&lt;=0,0,CA24*MAX(1,IF(H24&gt;0,AO24/H24,1))),IF(R24&gt;0,AP24/R24,0))/MAX(0.1,N(Parameter!$M$21)))</f>
        <v>0.25</v>
      </c>
      <c r="AR24" s="50" t="n">
        <f aca="false">AQ24*BY24</f>
        <v>58.75</v>
      </c>
      <c r="AS24" s="50" t="n">
        <f aca="false">AO24*G24</f>
        <v>16688.46</v>
      </c>
      <c r="AT24" s="50" t="n">
        <f aca="false">ROUNDUP(MAX(J24/IF(CD24&gt;0,CD24,MAX(0.1,N(Cockpit!$I$6))),CG24)/BV24,0)*BV24</f>
        <v>114</v>
      </c>
      <c r="AU24" s="51" t="n">
        <f aca="false">IF(AR24&gt;0,J24/AR24,-1)</f>
        <v>0</v>
      </c>
      <c r="AV24" s="51" t="n">
        <f aca="false">IF(AND(OR(CC24="L1",CC24="L23",CC24="LIFT"),AR24&gt;0),SUMIFS($AR$7:$AR$1843,$CC$7:$CC$1843,CC24,$AU$7:$AU$1843,"&gt;"&amp;AU24)+SUMIFS($AR$7:$AR$1843,$CC$7:$CC$1843,CC24,$AU$7:$AU$1843,AU24,$BT$7:$BT$1843,"&lt;="&amp;BT24),"")</f>
        <v>36909.5451278947</v>
      </c>
      <c r="AW24" s="58" t="n">
        <f aca="false">IF(AV24="",0,MAX(0,MIN(1,(IF(CC24="L1",Parameter!$H$5,IF(CC24="L23",Parameter!$H$6+Parameter!$H$7,Parameter!$H$5+Parameter!$H$6+Parameter!$H$7))-(AV24-AR24))/AR24)))</f>
        <v>0</v>
      </c>
      <c r="AX24" s="50" t="n">
        <f aca="false">IF(LEFT(Cockpit!$O$5,1)="A",H24,IF(CE24=1,CF24,IF(LEFT(Cockpit!$O$5,1)="B",BC24,MAX(BC24,H24))))</f>
        <v>114</v>
      </c>
      <c r="AY24" s="50" t="n">
        <f aca="false">IF(BW24=1,0,ROUNDUP(AX24/BV24,0))</f>
        <v>1</v>
      </c>
      <c r="AZ24" s="52" t="n">
        <f aca="false">IF(CL24&gt;0,CL24*MAX(1,AX24/X24),IF(BW24=1,IF(AX24&lt;=0,0,CA24*MAX(1,IF(H24&gt;0,AX24/H24,1))),IF(R24&gt;0,AY24/R24,0))/MAX(0.1,N(Parameter!$M$21)))</f>
        <v>0.25</v>
      </c>
      <c r="BA24" s="50" t="n">
        <f aca="false">AZ24*BY24</f>
        <v>58.75</v>
      </c>
      <c r="BB24" s="50" t="n">
        <f aca="false">AX24*G24</f>
        <v>16688.46</v>
      </c>
      <c r="BC24" s="50" t="n">
        <f aca="false">ROUNDUP(MAX(J24/IF(CD24&gt;0,CD24,MAX(0.1,N(Cockpit!$O$6))),CG24)/BV24,0)*BV24</f>
        <v>114</v>
      </c>
      <c r="BD24" s="51" t="n">
        <f aca="false">IF(BA24&gt;0,J24/BA24,-1)</f>
        <v>0</v>
      </c>
      <c r="BE24" s="51" t="n">
        <f aca="false">IF(AND(OR(CC24="L1",CC24="L23",CC24="LIFT"),BA24&gt;0),SUMIFS($BA$7:$BA$1843,$CC$7:$CC$1843,CC24,$BD$7:$BD$1843,"&gt;"&amp;BD24)+SUMIFS($BA$7:$BA$1843,$CC$7:$CC$1843,CC24,$BD$7:$BD$1843,BD24,$BT$7:$BT$1843,"&lt;="&amp;BT24),"")</f>
        <v>33584.5571697606</v>
      </c>
      <c r="BF24" s="58" t="n">
        <f aca="false">IF(BE24="",0,MAX(0,MIN(1,(IF(CC24="L1",Parameter!$H$5,IF(CC24="L23",Parameter!$H$6+Parameter!$H$7,Parameter!$H$5+Parameter!$H$6+Parameter!$H$7))-(BE24-BA24))/BA24)))</f>
        <v>1</v>
      </c>
      <c r="BG24" s="48" t="str">
        <f aca="false">IF(AI24&lt;=0,"",IF(CC24="Aussen","Aussenlager",IF(CC24="-","Nicht im Lift",IF(AN24&gt;=1,"Lift",IF(AN24&lt;=0,"Aussenlager","teilweise")))))</f>
        <v>Lift</v>
      </c>
      <c r="BH24" s="48" t="str">
        <f aca="false">IF(AR24&lt;=0,"",IF(CC24="Aussen","Aussenlager",IF(CC24="-","Nicht im Lift",IF(AW24&gt;=1,"Lift",IF(AW24&lt;=0,"Aussenlager","teilweise")))))</f>
        <v>Aussenlager</v>
      </c>
      <c r="BI24" s="48" t="str">
        <f aca="false">IF(BA24&lt;=0,"",IF(CC24="Aussen","Aussenlager",IF(CC24="-","Nicht im Lift",IF(BF24&gt;=1,"Lift",IF(BF24&lt;=0,"Aussenlager","teilweise")))))</f>
        <v>Lift</v>
      </c>
      <c r="BJ24" s="48" t="str">
        <f aca="false">IF(A24="","",IF(BS24=1,"Neu; ","")&amp;IF(AND(BS24=0,BN24&lt;0),"negativer Bestand (Export "&amp;BN24&amp;"); ","")&amp;IF(J24&lt;=0,"Kein Verbrauch; ","")&amp;IF(CL24&gt;0,"Lift "&amp;W24&amp;" lt. Liftbericht (Fach "&amp;X24&amp;" Stk); ",IF(BX24=1,"Gebinde geschätzt ("&amp;T24&amp;"); ",IF(BW24=1,"Lose – Tablare geschätzt; ","")))&amp;IF(H24&gt;AT24,"Überbestand "&amp;ROUND(H24-AT24,0)&amp;" Stk / CHF "&amp;ROUND((H24-AT24)*G24,0)&amp;"; ","")&amp;IF(AND(CE24=1,CF24&lt;CG24),"MAX &lt; MB+LG; ","")&amp;IF(AND(CK24&gt;0,CJ24*10&gt;CK24),"zu hoch für Tablar; ","")&amp;IF(AND(BS24=0,OR(CE24=1,AA24&lt;&gt;"",U24&lt;&gt;"",V24&lt;&gt;"",AB24&lt;&gt;"")),"manuell übersteuert; ","")&amp;IF(AND(BW24=0,R24=0),"Gebinde unbekannt / Stellmass fehlt; ","")&amp;IF(AND(BW24=0,N(V24)&lt;=0,N(Q24)&lt;=0),"Menge pro Gebinde fehlt (Ist = 1 Gebinde); ","")&amp;BR24)</f>
        <v>Kein Verbrauch; Gebinde geschätzt (Gross); Menge pro Gebinde fehlt (Ist = 1 Gebinde); </v>
      </c>
      <c r="BK24" s="48"/>
      <c r="BL24" s="48"/>
      <c r="BM24" s="55"/>
      <c r="BN24" s="50" t="n">
        <v>114</v>
      </c>
      <c r="BO24" s="50" t="n">
        <v>0</v>
      </c>
      <c r="BP24" s="49" t="n">
        <v>16688.46</v>
      </c>
      <c r="BQ24" s="50" t="n">
        <v>0</v>
      </c>
      <c r="BR24" s="48"/>
      <c r="BS24" s="53" t="n">
        <v>0</v>
      </c>
      <c r="BT24" s="53" t="n">
        <v>24</v>
      </c>
      <c r="BU24" s="48" t="str">
        <f aca="false">IF(U24&lt;&gt;"",UPPER(TRIM(U24)),IF(BX24=1,UPPER(VLOOKUP(T24,Parameter!$I$27:$K$29,2,0)),IF(P24="","LOSE",P24)))</f>
        <v>S81</v>
      </c>
      <c r="BV24" s="50" t="n">
        <f aca="false">IF(BU24="LOSE",1,IF(N(V24)&gt;0,V24,IF(BX24=1,MAX(1,N(VLOOKUP(T24,Parameter!$I$27:$K$29,3,0)),H24,N(N24)),IF(N(Q24)&gt;0,Q24,MAX(1,H24)))))</f>
        <v>114</v>
      </c>
      <c r="BW24" s="53" t="n">
        <f aca="false">IF(BU24="LOSE",1,0)</f>
        <v>0</v>
      </c>
      <c r="BX24" s="53" t="n">
        <f aca="false">IF(AND(U24="",OR(P24="",P24="LOSE"),T24&lt;&gt;"",N(S24)&lt;=0,ISNUMBER(MATCH(T24,Parameter!$I$27:$I$29,0))),1,0)</f>
        <v>1</v>
      </c>
      <c r="BY24" s="53" t="n">
        <f aca="false">IF(CL24&gt;0,INDEX(Parameter!$H$5:$H$7,W24)/INDEX(Parameter!$E$5:$E$7,W24),IF(AND(BW24=0,N(IFERROR(VLOOKUP(BU24,'Gebinde-Kategorie'!$A$5:$N$45,14,0),0))&gt;0),VLOOKUP(BU24,'Gebinde-Kategorie'!$A$5:$N$45,14,0)*10+Parameter!$M$23,Parameter!$M$24))</f>
        <v>235</v>
      </c>
      <c r="BZ24" s="48" t="str">
        <f aca="false">IF(AND(Parameter!$B$19="Ja",E24&lt;&gt;"",ISNUMBER(MATCH(E24,Parameter!$I$35:$I$52,0))),VLOOKUP(E24,Parameter!$I$35:$J$52,2,0),IFERROR(VLOOKUP(D24,Parameter!$A$35:$C$64,2,0),"Nein"))</f>
        <v>2+3</v>
      </c>
      <c r="CA24" s="52" t="n">
        <f aca="false">IF(BW24=0,0,IF(N(S24)&gt;0,S24,IFERROR(VLOOKUP(D24,Parameter!$A$35:$C$64,3,0)+0,0)))</f>
        <v>0</v>
      </c>
      <c r="CB24" s="48" t="n">
        <f aca="false">IF(AA24&lt;&gt;"",AA24,Z24)</f>
        <v>2</v>
      </c>
      <c r="CC24" s="48" t="str">
        <f aca="false">IF(OR(CB24=1,CB24=2,CB24=3),IF(Parameter!$E$27="Ja","LIFT",IF(CB24=1,"L1","L23")),IF(CB24="Aussen","Aussen","-"))</f>
        <v>LIFT</v>
      </c>
      <c r="CD24" s="59" t="n">
        <f aca="false">IF(N(AB24)&gt;0,AB24,0)</f>
        <v>0</v>
      </c>
      <c r="CE24" s="53" t="n">
        <f aca="false">IF(ISNUMBER(AE24),1,0)</f>
        <v>0</v>
      </c>
      <c r="CF24" s="50" t="n">
        <f aca="false">N(AE24)</f>
        <v>0</v>
      </c>
      <c r="CG24" s="50" t="n">
        <f aca="false">N(M24)+N(N24)</f>
        <v>1</v>
      </c>
      <c r="CH24" s="50" t="n">
        <f aca="false">ROUNDUP(H24/BV24,0)</f>
        <v>1</v>
      </c>
      <c r="CI24" s="50" t="n">
        <f aca="false">ROUNDUP(CF24/BV24,0)</f>
        <v>0</v>
      </c>
      <c r="CJ24" s="53" t="n">
        <f aca="false">IF(BW24=1,0,IFERROR(VLOOKUP(BU24,'Gebinde-Kategorie'!$A$5:$N$45,5,0)+0,0))</f>
        <v>20</v>
      </c>
      <c r="CK24" s="53" t="n">
        <f aca="false">IFERROR(IF(OR(CB24=1,CB24=2,CB24=3),N(INDEX(Parameter!$I$5:$I$7,CB24)),0),0)</f>
        <v>0</v>
      </c>
      <c r="CL24" s="52" t="n">
        <f aca="false">IF(AND(Parameter!$B$21="Ja",ISNUMBER(W24),N(X24)&gt;0),IFERROR(N(INDEX(Parameter!$L$5:$L$7,W24))*INDEX(Parameter!$E$5:$E$7,W24)*X24/SUMIFS($X$7:$X$1843,$W$7:$W$1843,W24),0),0)</f>
        <v>0</v>
      </c>
    </row>
    <row r="25" customFormat="false" ht="15" hidden="false" customHeight="false" outlineLevel="0" collapsed="false">
      <c r="A25" s="48" t="s">
        <v>223</v>
      </c>
      <c r="B25" s="48" t="s">
        <v>224</v>
      </c>
      <c r="C25" s="48" t="s">
        <v>168</v>
      </c>
      <c r="D25" s="48" t="s">
        <v>169</v>
      </c>
      <c r="E25" s="48" t="s">
        <v>170</v>
      </c>
      <c r="F25" s="48" t="s">
        <v>222</v>
      </c>
      <c r="G25" s="49" t="n">
        <v>3268.12</v>
      </c>
      <c r="H25" s="50" t="n">
        <f aca="false">MAX(0,IF(AND(Parameter!$B$21="Ja",ISNUMBER(Y25)),Y25,IF(Parameter!$B$20="Jahresanfang 2025 + Export",BO25+BN25,BN25)))</f>
        <v>9</v>
      </c>
      <c r="I25" s="50" t="n">
        <f aca="false">H25*G25</f>
        <v>29413.08</v>
      </c>
      <c r="J25" s="50" t="n">
        <f aca="false">BQ25*Parameter!$B$18</f>
        <v>24</v>
      </c>
      <c r="K25" s="51" t="n">
        <v>5.5</v>
      </c>
      <c r="L25" s="52" t="n">
        <v>4.36363636363636</v>
      </c>
      <c r="M25" s="50" t="n">
        <v>3</v>
      </c>
      <c r="N25" s="50" t="n">
        <v>6</v>
      </c>
      <c r="O25" s="53" t="n">
        <v>49</v>
      </c>
      <c r="P25" s="48" t="s">
        <v>172</v>
      </c>
      <c r="Q25" s="50"/>
      <c r="R25" s="53" t="n">
        <f aca="false">IF(BW25=1,0,IFERROR(VLOOKUP(BU25,'Gebinde-Kategorie'!$A$5:$N$45,13,0)+0,0))</f>
        <v>0</v>
      </c>
      <c r="S25" s="54"/>
      <c r="T25" s="55"/>
      <c r="U25" s="55"/>
      <c r="V25" s="55"/>
      <c r="W25" s="48" t="n">
        <v>1</v>
      </c>
      <c r="X25" s="50" t="n">
        <v>12</v>
      </c>
      <c r="Y25" s="50" t="n">
        <v>9</v>
      </c>
      <c r="Z25" s="48" t="n">
        <f aca="false">IF(A25="","",IF(AND(Parameter!$B$21="Ja",ISNUMBER(W25)),W25,IF(BZ25="2+3",IF(ISNUMBER(SEARCH("grosser Artikel",BR25)),2,IFERROR(VLOOKUP(BU25,Parameter!$F$35:$G$64,2,0),2)),IF(OR(BZ25="Nein",BZ25=""),"-",BZ25))))</f>
        <v>1</v>
      </c>
      <c r="AA25" s="55"/>
      <c r="AB25" s="56"/>
      <c r="AC25" s="50" t="n">
        <f aca="false">AT25</f>
        <v>12</v>
      </c>
      <c r="AD25" s="50" t="n">
        <f aca="false">MAX(AT25,H25)</f>
        <v>12</v>
      </c>
      <c r="AE25" s="57"/>
      <c r="AF25" s="50" t="n">
        <f aca="false">IF(LEFT(Cockpit!$C$5,1)="A",H25,IF(CE25=1,CF25,IF(LEFT(Cockpit!$C$5,1)="B",AK25,MAX(AK25,H25))))</f>
        <v>9</v>
      </c>
      <c r="AG25" s="50" t="n">
        <f aca="false">IF(BW25=1,0,ROUNDUP(AF25/BV25,0))</f>
        <v>0</v>
      </c>
      <c r="AH25" s="52" t="n">
        <f aca="false">IF(CL25&gt;0,CL25*MAX(1,AF25/X25),IF(BW25=1,IF(AF25&lt;=0,0,CA25*MAX(1,IF(H25&gt;0,AF25/H25,1))),IF(R25&gt;0,AG25/R25,0))/MAX(0.1,N(Parameter!$M$21)))</f>
        <v>0.96045197740113</v>
      </c>
      <c r="AI25" s="50" t="n">
        <f aca="false">AH25*BY25</f>
        <v>228.587570621469</v>
      </c>
      <c r="AJ25" s="50" t="n">
        <f aca="false">AF25*G25</f>
        <v>29413.08</v>
      </c>
      <c r="AK25" s="50" t="n">
        <f aca="false">ROUNDUP(MAX(J25/IF(CD25&gt;0,CD25,MAX(0.1,N(Cockpit!$C$6))),CG25)/BV25,0)*BV25</f>
        <v>12</v>
      </c>
      <c r="AL25" s="51" t="n">
        <f aca="false">IF(AI25&gt;0,J25/AI25,-1)</f>
        <v>0.104992585269402</v>
      </c>
      <c r="AM25" s="51" t="n">
        <f aca="false">IF(AND(OR(CC25="L1",CC25="L23",CC25="LIFT"),AI25&gt;0),SUMIFS($AI$7:$AI$1843,$CC$7:$CC$1843,CC25,$AL$7:$AL$1843,"&gt;"&amp;AL25)+SUMIFS($AI$7:$AI$1843,$CC$7:$CC$1843,CC25,$AL$7:$AL$1843,AL25,$BT$7:$BT$1843,"&lt;="&amp;BT25),"")</f>
        <v>15552.0865022454</v>
      </c>
      <c r="AN25" s="58" t="n">
        <f aca="false">IF(AM25="",0,MAX(0,MIN(1,(IF(CC25="L1",Parameter!$H$5,IF(CC25="L23",Parameter!$H$6+Parameter!$H$7,Parameter!$H$5+Parameter!$H$6+Parameter!$H$7))-(AM25-AI25))/AI25)))</f>
        <v>1</v>
      </c>
      <c r="AO25" s="50" t="n">
        <f aca="false">IF(LEFT(Cockpit!$I$5,1)="A",H25,IF(CE25=1,CF25,IF(LEFT(Cockpit!$I$5,1)="B",AT25,MAX(AT25,H25))))</f>
        <v>12</v>
      </c>
      <c r="AP25" s="50" t="n">
        <f aca="false">IF(BW25=1,0,ROUNDUP(AO25/BV25,0))</f>
        <v>0</v>
      </c>
      <c r="AQ25" s="52" t="n">
        <f aca="false">IF(CL25&gt;0,CL25*MAX(1,AO25/X25),IF(BW25=1,IF(AO25&lt;=0,0,CA25*MAX(1,IF(H25&gt;0,AO25/H25,1))),IF(R25&gt;0,AP25/R25,0))/MAX(0.1,N(Parameter!$M$21)))</f>
        <v>0.96045197740113</v>
      </c>
      <c r="AR25" s="50" t="n">
        <f aca="false">AQ25*BY25</f>
        <v>228.587570621469</v>
      </c>
      <c r="AS25" s="50" t="n">
        <f aca="false">AO25*G25</f>
        <v>39217.44</v>
      </c>
      <c r="AT25" s="50" t="n">
        <f aca="false">ROUNDUP(MAX(J25/IF(CD25&gt;0,CD25,MAX(0.1,N(Cockpit!$I$6))),CG25)/BV25,0)*BV25</f>
        <v>12</v>
      </c>
      <c r="AU25" s="51" t="n">
        <f aca="false">IF(AR25&gt;0,J25/AR25,-1)</f>
        <v>0.104992585269402</v>
      </c>
      <c r="AV25" s="51" t="n">
        <f aca="false">IF(AND(OR(CC25="L1",CC25="L23",CC25="LIFT"),AR25&gt;0),SUMIFS($AR$7:$AR$1843,$CC$7:$CC$1843,CC25,$AU$7:$AU$1843,"&gt;"&amp;AU25)+SUMIFS($AR$7:$AR$1843,$CC$7:$CC$1843,CC25,$AU$7:$AU$1843,AU25,$BT$7:$BT$1843,"&lt;="&amp;BT25),"")</f>
        <v>20606.2867464456</v>
      </c>
      <c r="AW25" s="58" t="n">
        <f aca="false">IF(AV25="",0,MAX(0,MIN(1,(IF(CC25="L1",Parameter!$H$5,IF(CC25="L23",Parameter!$H$6+Parameter!$H$7,Parameter!$H$5+Parameter!$H$6+Parameter!$H$7))-(AV25-AR25))/AR25)))</f>
        <v>1</v>
      </c>
      <c r="AX25" s="50" t="n">
        <f aca="false">IF(LEFT(Cockpit!$O$5,1)="A",H25,IF(CE25=1,CF25,IF(LEFT(Cockpit!$O$5,1)="B",BC25,MAX(BC25,H25))))</f>
        <v>9</v>
      </c>
      <c r="AY25" s="50" t="n">
        <f aca="false">IF(BW25=1,0,ROUNDUP(AX25/BV25,0))</f>
        <v>0</v>
      </c>
      <c r="AZ25" s="52" t="n">
        <f aca="false">IF(CL25&gt;0,CL25*MAX(1,AX25/X25),IF(BW25=1,IF(AX25&lt;=0,0,CA25*MAX(1,IF(H25&gt;0,AX25/H25,1))),IF(R25&gt;0,AY25/R25,0))/MAX(0.1,N(Parameter!$M$21)))</f>
        <v>0.96045197740113</v>
      </c>
      <c r="BA25" s="50" t="n">
        <f aca="false">AZ25*BY25</f>
        <v>228.587570621469</v>
      </c>
      <c r="BB25" s="50" t="n">
        <f aca="false">AX25*G25</f>
        <v>29413.08</v>
      </c>
      <c r="BC25" s="50" t="n">
        <f aca="false">ROUNDUP(MAX(J25/IF(CD25&gt;0,CD25,MAX(0.1,N(Cockpit!$O$6))),CG25)/BV25,0)*BV25</f>
        <v>9</v>
      </c>
      <c r="BD25" s="51" t="n">
        <f aca="false">IF(BA25&gt;0,J25/BA25,-1)</f>
        <v>0.104992585269402</v>
      </c>
      <c r="BE25" s="51" t="n">
        <f aca="false">IF(AND(OR(CC25="L1",CC25="L23",CC25="LIFT"),BA25&gt;0),SUMIFS($BA$7:$BA$1843,$CC$7:$CC$1843,CC25,$BD$7:$BD$1843,"&gt;"&amp;BD25)+SUMIFS($BA$7:$BA$1843,$CC$7:$CC$1843,CC25,$BD$7:$BD$1843,BD25,$BT$7:$BT$1843,"&lt;="&amp;BT25),"")</f>
        <v>21227.8289201382</v>
      </c>
      <c r="BF25" s="58" t="n">
        <f aca="false">IF(BE25="",0,MAX(0,MIN(1,(IF(CC25="L1",Parameter!$H$5,IF(CC25="L23",Parameter!$H$6+Parameter!$H$7,Parameter!$H$5+Parameter!$H$6+Parameter!$H$7))-(BE25-BA25))/BA25)))</f>
        <v>1</v>
      </c>
      <c r="BG25" s="48" t="str">
        <f aca="false">IF(AI25&lt;=0,"",IF(CC25="Aussen","Aussenlager",IF(CC25="-","Nicht im Lift",IF(AN25&gt;=1,"Lift",IF(AN25&lt;=0,"Aussenlager","teilweise")))))</f>
        <v>Lift</v>
      </c>
      <c r="BH25" s="48" t="str">
        <f aca="false">IF(AR25&lt;=0,"",IF(CC25="Aussen","Aussenlager",IF(CC25="-","Nicht im Lift",IF(AW25&gt;=1,"Lift",IF(AW25&lt;=0,"Aussenlager","teilweise")))))</f>
        <v>Lift</v>
      </c>
      <c r="BI25" s="48" t="str">
        <f aca="false">IF(BA25&lt;=0,"",IF(CC25="Aussen","Aussenlager",IF(CC25="-","Nicht im Lift",IF(BF25&gt;=1,"Lift",IF(BF25&lt;=0,"Aussenlager","teilweise")))))</f>
        <v>Lift</v>
      </c>
      <c r="BJ25" s="48" t="str">
        <f aca="false">IF(A25="","",IF(BS25=1,"Neu; ","")&amp;IF(AND(BS25=0,BN25&lt;0),"negativer Bestand (Export "&amp;BN25&amp;"); ","")&amp;IF(J25&lt;=0,"Kein Verbrauch; ","")&amp;IF(CL25&gt;0,"Lift "&amp;W25&amp;" lt. Liftbericht (Fach "&amp;X25&amp;" Stk); ",IF(BX25=1,"Gebinde geschätzt ("&amp;T25&amp;"); ",IF(BW25=1,"Lose – Tablare geschätzt; ","")))&amp;IF(H25&gt;AT25,"Überbestand "&amp;ROUND(H25-AT25,0)&amp;" Stk / CHF "&amp;ROUND((H25-AT25)*G25,0)&amp;"; ","")&amp;IF(AND(CE25=1,CF25&lt;CG25),"MAX &lt; MB+LG; ","")&amp;IF(AND(CK25&gt;0,CJ25*10&gt;CK25),"zu hoch für Tablar; ","")&amp;IF(AND(BS25=0,OR(CE25=1,AA25&lt;&gt;"",U25&lt;&gt;"",V25&lt;&gt;"",AB25&lt;&gt;"")),"manuell übersteuert; ","")&amp;IF(AND(BW25=0,R25=0),"Gebinde unbekannt / Stellmass fehlt; ","")&amp;IF(AND(BW25=0,N(V25)&lt;=0,N(Q25)&lt;=0),"Menge pro Gebinde fehlt (Ist = 1 Gebinde); ","")&amp;BR25)</f>
        <v>Lift 1 lt. Liftbericht (Fach 12 Stk); </v>
      </c>
      <c r="BK25" s="48"/>
      <c r="BL25" s="48"/>
      <c r="BM25" s="55"/>
      <c r="BN25" s="50" t="n">
        <v>5</v>
      </c>
      <c r="BO25" s="50" t="n">
        <v>0</v>
      </c>
      <c r="BP25" s="49" t="n">
        <v>16340.6</v>
      </c>
      <c r="BQ25" s="50" t="n">
        <v>24</v>
      </c>
      <c r="BR25" s="48"/>
      <c r="BS25" s="53" t="n">
        <v>0</v>
      </c>
      <c r="BT25" s="53" t="n">
        <v>25</v>
      </c>
      <c r="BU25" s="48" t="str">
        <f aca="false">IF(U25&lt;&gt;"",UPPER(TRIM(U25)),IF(BX25=1,UPPER(VLOOKUP(T25,Parameter!$I$27:$K$29,2,0)),IF(P25="","LOSE",P25)))</f>
        <v>LOSE</v>
      </c>
      <c r="BV25" s="50" t="n">
        <f aca="false">IF(BU25="LOSE",1,IF(N(V25)&gt;0,V25,IF(BX25=1,MAX(1,N(VLOOKUP(T25,Parameter!$I$27:$K$29,3,0)),H25,N(N25)),IF(N(Q25)&gt;0,Q25,MAX(1,H25)))))</f>
        <v>1</v>
      </c>
      <c r="BW25" s="53" t="n">
        <f aca="false">IF(BU25="LOSE",1,0)</f>
        <v>1</v>
      </c>
      <c r="BX25" s="53" t="n">
        <f aca="false">IF(AND(U25="",OR(P25="",P25="LOSE"),T25&lt;&gt;"",N(S25)&lt;=0,ISNUMBER(MATCH(T25,Parameter!$I$27:$I$29,0))),1,0)</f>
        <v>0</v>
      </c>
      <c r="BY25" s="53" t="n">
        <f aca="false">IF(CL25&gt;0,INDEX(Parameter!$H$5:$H$7,W25)/INDEX(Parameter!$E$5:$E$7,W25),IF(AND(BW25=0,N(IFERROR(VLOOKUP(BU25,'Gebinde-Kategorie'!$A$5:$N$45,14,0),0))&gt;0),VLOOKUP(BU25,'Gebinde-Kategorie'!$A$5:$N$45,14,0)*10+Parameter!$M$23,Parameter!$M$24))</f>
        <v>238</v>
      </c>
      <c r="BZ25" s="48" t="n">
        <f aca="false">IF(AND(Parameter!$B$19="Ja",E25&lt;&gt;"",ISNUMBER(MATCH(E25,Parameter!$I$35:$I$52,0))),VLOOKUP(E25,Parameter!$I$35:$J$52,2,0),IFERROR(VLOOKUP(D25,Parameter!$A$35:$C$64,2,0),"Nein"))</f>
        <v>1</v>
      </c>
      <c r="CA25" s="52" t="n">
        <f aca="false">IF(BW25=0,0,IF(N(S25)&gt;0,S25,IFERROR(VLOOKUP(D25,Parameter!$A$35:$C$64,3,0)+0,0)))</f>
        <v>1</v>
      </c>
      <c r="CB25" s="48" t="n">
        <f aca="false">IF(AA25&lt;&gt;"",AA25,Z25)</f>
        <v>1</v>
      </c>
      <c r="CC25" s="48" t="str">
        <f aca="false">IF(OR(CB25=1,CB25=2,CB25=3),IF(Parameter!$E$27="Ja","LIFT",IF(CB25=1,"L1","L23")),IF(CB25="Aussen","Aussen","-"))</f>
        <v>LIFT</v>
      </c>
      <c r="CD25" s="59" t="n">
        <f aca="false">IF(N(AB25)&gt;0,AB25,0)</f>
        <v>0</v>
      </c>
      <c r="CE25" s="53" t="n">
        <f aca="false">IF(ISNUMBER(AE25),1,0)</f>
        <v>0</v>
      </c>
      <c r="CF25" s="50" t="n">
        <f aca="false">N(AE25)</f>
        <v>0</v>
      </c>
      <c r="CG25" s="50" t="n">
        <f aca="false">N(M25)+N(N25)</f>
        <v>9</v>
      </c>
      <c r="CH25" s="50" t="n">
        <f aca="false">ROUNDUP(H25/BV25,0)</f>
        <v>9</v>
      </c>
      <c r="CI25" s="50" t="n">
        <f aca="false">ROUNDUP(CF25/BV25,0)</f>
        <v>0</v>
      </c>
      <c r="CJ25" s="53" t="n">
        <f aca="false">IF(BW25=1,0,IFERROR(VLOOKUP(BU25,'Gebinde-Kategorie'!$A$5:$N$45,5,0)+0,0))</f>
        <v>0</v>
      </c>
      <c r="CK25" s="53" t="n">
        <f aca="false">IFERROR(IF(OR(CB25=1,CB25=2,CB25=3),N(INDEX(Parameter!$I$5:$I$7,CB25)),0),0)</f>
        <v>0</v>
      </c>
      <c r="CL25" s="52" t="n">
        <f aca="false">IF(AND(Parameter!$B$21="Ja",ISNUMBER(W25),N(X25)&gt;0),IFERROR(N(INDEX(Parameter!$L$5:$L$7,W25))*INDEX(Parameter!$E$5:$E$7,W25)*X25/SUMIFS($X$7:$X$1843,$W$7:$W$1843,W25),0),0)</f>
        <v>0.96045197740113</v>
      </c>
    </row>
    <row r="26" customFormat="false" ht="15" hidden="false" customHeight="false" outlineLevel="0" collapsed="false">
      <c r="A26" s="48" t="s">
        <v>225</v>
      </c>
      <c r="B26" s="48" t="s">
        <v>226</v>
      </c>
      <c r="C26" s="48" t="s">
        <v>168</v>
      </c>
      <c r="D26" s="48" t="s">
        <v>177</v>
      </c>
      <c r="E26" s="48" t="s">
        <v>177</v>
      </c>
      <c r="F26" s="48" t="s">
        <v>222</v>
      </c>
      <c r="G26" s="49" t="n">
        <v>120.44</v>
      </c>
      <c r="H26" s="50" t="n">
        <f aca="false">MAX(0,IF(AND(Parameter!$B$21="Ja",ISNUMBER(Y26)),Y26,IF(Parameter!$B$20="Jahresanfang 2025 + Export",BO26+BN26,BN26)))</f>
        <v>167</v>
      </c>
      <c r="I26" s="50" t="n">
        <f aca="false">H26*G26</f>
        <v>20113.48</v>
      </c>
      <c r="J26" s="50" t="n">
        <f aca="false">BQ26*Parameter!$B$18</f>
        <v>62</v>
      </c>
      <c r="K26" s="51" t="n">
        <v>32.5</v>
      </c>
      <c r="L26" s="52" t="n">
        <v>1.90769230769231</v>
      </c>
      <c r="M26" s="50" t="n">
        <v>4</v>
      </c>
      <c r="N26" s="50" t="n">
        <v>35</v>
      </c>
      <c r="O26" s="53" t="n">
        <v>21</v>
      </c>
      <c r="P26" s="48" t="s">
        <v>227</v>
      </c>
      <c r="Q26" s="50" t="n">
        <v>31</v>
      </c>
      <c r="R26" s="53" t="n">
        <f aca="false">IF(BW26=1,0,IFERROR(VLOOKUP(BU26,'Gebinde-Kategorie'!$A$5:$N$45,13,0)+0,0))</f>
        <v>4</v>
      </c>
      <c r="S26" s="54"/>
      <c r="T26" s="55"/>
      <c r="U26" s="55"/>
      <c r="V26" s="55"/>
      <c r="W26" s="48"/>
      <c r="X26" s="50"/>
      <c r="Y26" s="50"/>
      <c r="Z26" s="48" t="str">
        <f aca="false">IF(A26="","",IF(AND(Parameter!$B$21="Ja",ISNUMBER(W26)),W26,IF(BZ26="2+3",IF(ISNUMBER(SEARCH("grosser Artikel",BR26)),2,IFERROR(VLOOKUP(BU26,Parameter!$F$35:$G$64,2,0),2)),IF(OR(BZ26="Nein",BZ26=""),"-",BZ26))))</f>
        <v>-</v>
      </c>
      <c r="AA26" s="55"/>
      <c r="AB26" s="56"/>
      <c r="AC26" s="50" t="n">
        <f aca="false">AT26</f>
        <v>62</v>
      </c>
      <c r="AD26" s="50" t="n">
        <f aca="false">MAX(AT26,H26)</f>
        <v>167</v>
      </c>
      <c r="AE26" s="57"/>
      <c r="AF26" s="50" t="n">
        <f aca="false">IF(LEFT(Cockpit!$C$5,1)="A",H26,IF(CE26=1,CF26,IF(LEFT(Cockpit!$C$5,1)="B",AK26,MAX(AK26,H26))))</f>
        <v>167</v>
      </c>
      <c r="AG26" s="50" t="n">
        <f aca="false">IF(BW26=1,0,ROUNDUP(AF26/BV26,0))</f>
        <v>6</v>
      </c>
      <c r="AH26" s="52" t="n">
        <f aca="false">IF(CL26&gt;0,CL26*MAX(1,AF26/X26),IF(BW26=1,IF(AF26&lt;=0,0,CA26*MAX(1,IF(H26&gt;0,AF26/H26,1))),IF(R26&gt;0,AG26/R26,0))/MAX(0.1,N(Parameter!$M$21)))</f>
        <v>1.5</v>
      </c>
      <c r="AI26" s="50" t="n">
        <f aca="false">AH26*BY26</f>
        <v>352.5</v>
      </c>
      <c r="AJ26" s="50" t="n">
        <f aca="false">AF26*G26</f>
        <v>20113.48</v>
      </c>
      <c r="AK26" s="50" t="n">
        <f aca="false">ROUNDUP(MAX(J26/IF(CD26&gt;0,CD26,MAX(0.1,N(Cockpit!$C$6))),CG26)/BV26,0)*BV26</f>
        <v>62</v>
      </c>
      <c r="AL26" s="51" t="n">
        <f aca="false">IF(AI26&gt;0,J26/AI26,-1)</f>
        <v>0.175886524822695</v>
      </c>
      <c r="AM26" s="51" t="str">
        <f aca="false">IF(AND(OR(CC26="L1",CC26="L23",CC26="LIFT"),AI26&gt;0),SUMIFS($AI$7:$AI$1843,$CC$7:$CC$1843,CC26,$AL$7:$AL$1843,"&gt;"&amp;AL26)+SUMIFS($AI$7:$AI$1843,$CC$7:$CC$1843,CC26,$AL$7:$AL$1843,AL26,$BT$7:$BT$1843,"&lt;="&amp;BT26),"")</f>
        <v/>
      </c>
      <c r="AN26" s="58" t="n">
        <f aca="false">IF(AM26="",0,MAX(0,MIN(1,(IF(CC26="L1",Parameter!$H$5,IF(CC26="L23",Parameter!$H$6+Parameter!$H$7,Parameter!$H$5+Parameter!$H$6+Parameter!$H$7))-(AM26-AI26))/AI26)))</f>
        <v>0</v>
      </c>
      <c r="AO26" s="50" t="n">
        <f aca="false">IF(LEFT(Cockpit!$I$5,1)="A",H26,IF(CE26=1,CF26,IF(LEFT(Cockpit!$I$5,1)="B",AT26,MAX(AT26,H26))))</f>
        <v>167</v>
      </c>
      <c r="AP26" s="50" t="n">
        <f aca="false">IF(BW26=1,0,ROUNDUP(AO26/BV26,0))</f>
        <v>6</v>
      </c>
      <c r="AQ26" s="52" t="n">
        <f aca="false">IF(CL26&gt;0,CL26*MAX(1,AO26/X26),IF(BW26=1,IF(AO26&lt;=0,0,CA26*MAX(1,IF(H26&gt;0,AO26/H26,1))),IF(R26&gt;0,AP26/R26,0))/MAX(0.1,N(Parameter!$M$21)))</f>
        <v>1.5</v>
      </c>
      <c r="AR26" s="50" t="n">
        <f aca="false">AQ26*BY26</f>
        <v>352.5</v>
      </c>
      <c r="AS26" s="50" t="n">
        <f aca="false">AO26*G26</f>
        <v>20113.48</v>
      </c>
      <c r="AT26" s="50" t="n">
        <f aca="false">ROUNDUP(MAX(J26/IF(CD26&gt;0,CD26,MAX(0.1,N(Cockpit!$I$6))),CG26)/BV26,0)*BV26</f>
        <v>62</v>
      </c>
      <c r="AU26" s="51" t="n">
        <f aca="false">IF(AR26&gt;0,J26/AR26,-1)</f>
        <v>0.175886524822695</v>
      </c>
      <c r="AV26" s="51" t="str">
        <f aca="false">IF(AND(OR(CC26="L1",CC26="L23",CC26="LIFT"),AR26&gt;0),SUMIFS($AR$7:$AR$1843,$CC$7:$CC$1843,CC26,$AU$7:$AU$1843,"&gt;"&amp;AU26)+SUMIFS($AR$7:$AR$1843,$CC$7:$CC$1843,CC26,$AU$7:$AU$1843,AU26,$BT$7:$BT$1843,"&lt;="&amp;BT26),"")</f>
        <v/>
      </c>
      <c r="AW26" s="58" t="n">
        <f aca="false">IF(AV26="",0,MAX(0,MIN(1,(IF(CC26="L1",Parameter!$H$5,IF(CC26="L23",Parameter!$H$6+Parameter!$H$7,Parameter!$H$5+Parameter!$H$6+Parameter!$H$7))-(AV26-AR26))/AR26)))</f>
        <v>0</v>
      </c>
      <c r="AX26" s="50" t="n">
        <f aca="false">IF(LEFT(Cockpit!$O$5,1)="A",H26,IF(CE26=1,CF26,IF(LEFT(Cockpit!$O$5,1)="B",BC26,MAX(BC26,H26))))</f>
        <v>167</v>
      </c>
      <c r="AY26" s="50" t="n">
        <f aca="false">IF(BW26=1,0,ROUNDUP(AX26/BV26,0))</f>
        <v>6</v>
      </c>
      <c r="AZ26" s="52" t="n">
        <f aca="false">IF(CL26&gt;0,CL26*MAX(1,AX26/X26),IF(BW26=1,IF(AX26&lt;=0,0,CA26*MAX(1,IF(H26&gt;0,AX26/H26,1))),IF(R26&gt;0,AY26/R26,0))/MAX(0.1,N(Parameter!$M$21)))</f>
        <v>1.5</v>
      </c>
      <c r="BA26" s="50" t="n">
        <f aca="false">AZ26*BY26</f>
        <v>352.5</v>
      </c>
      <c r="BB26" s="50" t="n">
        <f aca="false">AX26*G26</f>
        <v>20113.48</v>
      </c>
      <c r="BC26" s="50" t="n">
        <f aca="false">ROUNDUP(MAX(J26/IF(CD26&gt;0,CD26,MAX(0.1,N(Cockpit!$O$6))),CG26)/BV26,0)*BV26</f>
        <v>62</v>
      </c>
      <c r="BD26" s="51" t="n">
        <f aca="false">IF(BA26&gt;0,J26/BA26,-1)</f>
        <v>0.175886524822695</v>
      </c>
      <c r="BE26" s="51" t="str">
        <f aca="false">IF(AND(OR(CC26="L1",CC26="L23",CC26="LIFT"),BA26&gt;0),SUMIFS($BA$7:$BA$1843,$CC$7:$CC$1843,CC26,$BD$7:$BD$1843,"&gt;"&amp;BD26)+SUMIFS($BA$7:$BA$1843,$CC$7:$CC$1843,CC26,$BD$7:$BD$1843,BD26,$BT$7:$BT$1843,"&lt;="&amp;BT26),"")</f>
        <v/>
      </c>
      <c r="BF26" s="58" t="n">
        <f aca="false">IF(BE26="",0,MAX(0,MIN(1,(IF(CC26="L1",Parameter!$H$5,IF(CC26="L23",Parameter!$H$6+Parameter!$H$7,Parameter!$H$5+Parameter!$H$6+Parameter!$H$7))-(BE26-BA26))/BA26)))</f>
        <v>0</v>
      </c>
      <c r="BG26" s="48" t="str">
        <f aca="false">IF(AI26&lt;=0,"",IF(CC26="Aussen","Aussenlager",IF(CC26="-","Nicht im Lift",IF(AN26&gt;=1,"Lift",IF(AN26&lt;=0,"Aussenlager","teilweise")))))</f>
        <v>Nicht im Lift</v>
      </c>
      <c r="BH26" s="48" t="str">
        <f aca="false">IF(AR26&lt;=0,"",IF(CC26="Aussen","Aussenlager",IF(CC26="-","Nicht im Lift",IF(AW26&gt;=1,"Lift",IF(AW26&lt;=0,"Aussenlager","teilweise")))))</f>
        <v>Nicht im Lift</v>
      </c>
      <c r="BI26" s="48" t="str">
        <f aca="false">IF(BA26&lt;=0,"",IF(CC26="Aussen","Aussenlager",IF(CC26="-","Nicht im Lift",IF(BF26&gt;=1,"Lift",IF(BF26&lt;=0,"Aussenlager","teilweise")))))</f>
        <v>Nicht im Lift</v>
      </c>
      <c r="BJ26" s="48" t="str">
        <f aca="false">IF(A26="","",IF(BS26=1,"Neu; ","")&amp;IF(AND(BS26=0,BN26&lt;0),"negativer Bestand (Export "&amp;BN26&amp;"); ","")&amp;IF(J26&lt;=0,"Kein Verbrauch; ","")&amp;IF(CL26&gt;0,"Lift "&amp;W26&amp;" lt. Liftbericht (Fach "&amp;X26&amp;" Stk); ",IF(BX26=1,"Gebinde geschätzt ("&amp;T26&amp;"); ",IF(BW26=1,"Lose – Tablare geschätzt; ","")))&amp;IF(H26&gt;AT26,"Überbestand "&amp;ROUND(H26-AT26,0)&amp;" Stk / CHF "&amp;ROUND((H26-AT26)*G26,0)&amp;"; ","")&amp;IF(AND(CE26=1,CF26&lt;CG26),"MAX &lt; MB+LG; ","")&amp;IF(AND(CK26&gt;0,CJ26*10&gt;CK26),"zu hoch für Tablar; ","")&amp;IF(AND(BS26=0,OR(CE26=1,AA26&lt;&gt;"",U26&lt;&gt;"",V26&lt;&gt;"",AB26&lt;&gt;"")),"manuell übersteuert; ","")&amp;IF(AND(BW26=0,R26=0),"Gebinde unbekannt / Stellmass fehlt; ","")&amp;IF(AND(BW26=0,N(V26)&lt;=0,N(Q26)&lt;=0),"Menge pro Gebinde fehlt (Ist = 1 Gebinde); ","")&amp;BR26)</f>
        <v>Überbestand 105 Stk / CHF 12646; </v>
      </c>
      <c r="BK26" s="48" t="s">
        <v>215</v>
      </c>
      <c r="BL26" s="48"/>
      <c r="BM26" s="55"/>
      <c r="BN26" s="50" t="n">
        <v>137</v>
      </c>
      <c r="BO26" s="50" t="n">
        <v>30</v>
      </c>
      <c r="BP26" s="49" t="n">
        <v>15460.06</v>
      </c>
      <c r="BQ26" s="50" t="n">
        <v>62</v>
      </c>
      <c r="BR26" s="48"/>
      <c r="BS26" s="53" t="n">
        <v>0</v>
      </c>
      <c r="BT26" s="53" t="n">
        <v>26</v>
      </c>
      <c r="BU26" s="48" t="str">
        <f aca="false">IF(U26&lt;&gt;"",UPPER(TRIM(U26)),IF(BX26=1,UPPER(VLOOKUP(T26,Parameter!$I$27:$K$29,2,0)),IF(P26="","LOSE",P26)))</f>
        <v>S81</v>
      </c>
      <c r="BV26" s="50" t="n">
        <f aca="false">IF(BU26="LOSE",1,IF(N(V26)&gt;0,V26,IF(BX26=1,MAX(1,N(VLOOKUP(T26,Parameter!$I$27:$K$29,3,0)),H26,N(N26)),IF(N(Q26)&gt;0,Q26,MAX(1,H26)))))</f>
        <v>31</v>
      </c>
      <c r="BW26" s="53" t="n">
        <f aca="false">IF(BU26="LOSE",1,0)</f>
        <v>0</v>
      </c>
      <c r="BX26" s="53" t="n">
        <f aca="false">IF(AND(U26="",OR(P26="",P26="LOSE"),T26&lt;&gt;"",N(S26)&lt;=0,ISNUMBER(MATCH(T26,Parameter!$I$27:$I$29,0))),1,0)</f>
        <v>0</v>
      </c>
      <c r="BY26" s="53" t="n">
        <f aca="false">IF(CL26&gt;0,INDEX(Parameter!$H$5:$H$7,W26)/INDEX(Parameter!$E$5:$E$7,W26),IF(AND(BW26=0,N(IFERROR(VLOOKUP(BU26,'Gebinde-Kategorie'!$A$5:$N$45,14,0),0))&gt;0),VLOOKUP(BU26,'Gebinde-Kategorie'!$A$5:$N$45,14,0)*10+Parameter!$M$23,Parameter!$M$24))</f>
        <v>235</v>
      </c>
      <c r="BZ26" s="48" t="str">
        <f aca="false">IF(AND(Parameter!$B$19="Ja",E26&lt;&gt;"",ISNUMBER(MATCH(E26,Parameter!$I$35:$I$52,0))),VLOOKUP(E26,Parameter!$I$35:$J$52,2,0),IFERROR(VLOOKUP(D26,Parameter!$A$35:$C$64,2,0),"Nein"))</f>
        <v>Nein</v>
      </c>
      <c r="CA26" s="52" t="n">
        <f aca="false">IF(BW26=0,0,IF(N(S26)&gt;0,S26,IFERROR(VLOOKUP(D26,Parameter!$A$35:$C$64,3,0)+0,0)))</f>
        <v>0</v>
      </c>
      <c r="CB26" s="48" t="str">
        <f aca="false">IF(AA26&lt;&gt;"",AA26,Z26)</f>
        <v>-</v>
      </c>
      <c r="CC26" s="48" t="str">
        <f aca="false">IF(OR(CB26=1,CB26=2,CB26=3),IF(Parameter!$E$27="Ja","LIFT",IF(CB26=1,"L1","L23")),IF(CB26="Aussen","Aussen","-"))</f>
        <v>-</v>
      </c>
      <c r="CD26" s="59" t="n">
        <f aca="false">IF(N(AB26)&gt;0,AB26,0)</f>
        <v>0</v>
      </c>
      <c r="CE26" s="53" t="n">
        <f aca="false">IF(ISNUMBER(AE26),1,0)</f>
        <v>0</v>
      </c>
      <c r="CF26" s="50" t="n">
        <f aca="false">N(AE26)</f>
        <v>0</v>
      </c>
      <c r="CG26" s="50" t="n">
        <f aca="false">N(M26)+N(N26)</f>
        <v>39</v>
      </c>
      <c r="CH26" s="50" t="n">
        <f aca="false">ROUNDUP(H26/BV26,0)</f>
        <v>6</v>
      </c>
      <c r="CI26" s="50" t="n">
        <f aca="false">ROUNDUP(CF26/BV26,0)</f>
        <v>0</v>
      </c>
      <c r="CJ26" s="53" t="n">
        <f aca="false">IF(BW26=1,0,IFERROR(VLOOKUP(BU26,'Gebinde-Kategorie'!$A$5:$N$45,5,0)+0,0))</f>
        <v>20</v>
      </c>
      <c r="CK26" s="53" t="n">
        <f aca="false">IFERROR(IF(OR(CB26=1,CB26=2,CB26=3),N(INDEX(Parameter!$I$5:$I$7,CB26)),0),0)</f>
        <v>0</v>
      </c>
      <c r="CL26" s="52" t="n">
        <f aca="false">IF(AND(Parameter!$B$21="Ja",ISNUMBER(W26),N(X26)&gt;0),IFERROR(N(INDEX(Parameter!$L$5:$L$7,W26))*INDEX(Parameter!$E$5:$E$7,W26)*X26/SUMIFS($X$7:$X$1843,$W$7:$W$1843,W26),0),0)</f>
        <v>0</v>
      </c>
    </row>
    <row r="27" customFormat="false" ht="15" hidden="false" customHeight="false" outlineLevel="0" collapsed="false">
      <c r="A27" s="48" t="s">
        <v>228</v>
      </c>
      <c r="B27" s="48" t="s">
        <v>229</v>
      </c>
      <c r="C27" s="48" t="s">
        <v>168</v>
      </c>
      <c r="D27" s="48" t="s">
        <v>188</v>
      </c>
      <c r="E27" s="48" t="s">
        <v>189</v>
      </c>
      <c r="F27" s="48" t="s">
        <v>222</v>
      </c>
      <c r="G27" s="49" t="n">
        <v>177.9</v>
      </c>
      <c r="H27" s="50" t="n">
        <f aca="false">MAX(0,IF(AND(Parameter!$B$21="Ja",ISNUMBER(Y27)),Y27,IF(Parameter!$B$20="Jahresanfang 2025 + Export",BO27+BN27,BN27)))</f>
        <v>115</v>
      </c>
      <c r="I27" s="50" t="n">
        <f aca="false">H27*G27</f>
        <v>20458.5</v>
      </c>
      <c r="J27" s="50" t="n">
        <f aca="false">BQ27*Parameter!$B$18</f>
        <v>401</v>
      </c>
      <c r="K27" s="51" t="n">
        <v>80.5</v>
      </c>
      <c r="L27" s="52" t="n">
        <v>4.98136645962733</v>
      </c>
      <c r="M27" s="50" t="n">
        <v>23</v>
      </c>
      <c r="N27" s="50" t="n">
        <v>100</v>
      </c>
      <c r="O27" s="53" t="n">
        <v>21</v>
      </c>
      <c r="P27" s="48" t="s">
        <v>230</v>
      </c>
      <c r="Q27" s="50" t="n">
        <v>204</v>
      </c>
      <c r="R27" s="53" t="n">
        <f aca="false">IF(BW27=1,0,IFERROR(VLOOKUP(BU27,'Gebinde-Kategorie'!$A$5:$N$45,13,0)+0,0))</f>
        <v>12</v>
      </c>
      <c r="S27" s="54"/>
      <c r="T27" s="55"/>
      <c r="U27" s="55"/>
      <c r="V27" s="55"/>
      <c r="W27" s="48"/>
      <c r="X27" s="50"/>
      <c r="Y27" s="50"/>
      <c r="Z27" s="48" t="n">
        <f aca="false">IF(A27="","",IF(AND(Parameter!$B$21="Ja",ISNUMBER(W27)),W27,IF(BZ27="2+3",IF(ISNUMBER(SEARCH("grosser Artikel",BR27)),2,IFERROR(VLOOKUP(BU27,Parameter!$F$35:$G$64,2,0),2)),IF(OR(BZ27="Nein",BZ27=""),"-",BZ27))))</f>
        <v>2</v>
      </c>
      <c r="AA27" s="55"/>
      <c r="AB27" s="56"/>
      <c r="AC27" s="50" t="n">
        <f aca="false">AT27</f>
        <v>204</v>
      </c>
      <c r="AD27" s="50" t="n">
        <f aca="false">MAX(AT27,H27)</f>
        <v>204</v>
      </c>
      <c r="AE27" s="57"/>
      <c r="AF27" s="50" t="n">
        <f aca="false">IF(LEFT(Cockpit!$C$5,1)="A",H27,IF(CE27=1,CF27,IF(LEFT(Cockpit!$C$5,1)="B",AK27,MAX(AK27,H27))))</f>
        <v>115</v>
      </c>
      <c r="AG27" s="50" t="n">
        <f aca="false">IF(BW27=1,0,ROUNDUP(AF27/BV27,0))</f>
        <v>1</v>
      </c>
      <c r="AH27" s="52" t="n">
        <f aca="false">IF(CL27&gt;0,CL27*MAX(1,AF27/X27),IF(BW27=1,IF(AF27&lt;=0,0,CA27*MAX(1,IF(H27&gt;0,AF27/H27,1))),IF(R27&gt;0,AG27/R27,0))/MAX(0.1,N(Parameter!$M$21)))</f>
        <v>0.0833333333333333</v>
      </c>
      <c r="AI27" s="50" t="n">
        <f aca="false">AH27*BY27</f>
        <v>28.75</v>
      </c>
      <c r="AJ27" s="50" t="n">
        <f aca="false">AF27*G27</f>
        <v>20458.5</v>
      </c>
      <c r="AK27" s="50" t="n">
        <f aca="false">ROUNDUP(MAX(J27/IF(CD27&gt;0,CD27,MAX(0.1,N(Cockpit!$C$6))),CG27)/BV27,0)*BV27</f>
        <v>204</v>
      </c>
      <c r="AL27" s="51" t="n">
        <f aca="false">IF(AI27&gt;0,J27/AI27,-1)</f>
        <v>13.9478260869565</v>
      </c>
      <c r="AM27" s="51" t="n">
        <f aca="false">IF(AND(OR(CC27="L1",CC27="L23",CC27="LIFT"),AI27&gt;0),SUMIFS($AI$7:$AI$1843,$CC$7:$CC$1843,CC27,$AL$7:$AL$1843,"&gt;"&amp;AL27)+SUMIFS($AI$7:$AI$1843,$CC$7:$CC$1843,CC27,$AL$7:$AL$1843,AL27,$BT$7:$BT$1843,"&lt;="&amp;BT27),"")</f>
        <v>2172.09340659341</v>
      </c>
      <c r="AN27" s="58" t="n">
        <f aca="false">IF(AM27="",0,MAX(0,MIN(1,(IF(CC27="L1",Parameter!$H$5,IF(CC27="L23",Parameter!$H$6+Parameter!$H$7,Parameter!$H$5+Parameter!$H$6+Parameter!$H$7))-(AM27-AI27))/AI27)))</f>
        <v>1</v>
      </c>
      <c r="AO27" s="50" t="n">
        <f aca="false">IF(LEFT(Cockpit!$I$5,1)="A",H27,IF(CE27=1,CF27,IF(LEFT(Cockpit!$I$5,1)="B",AT27,MAX(AT27,H27))))</f>
        <v>204</v>
      </c>
      <c r="AP27" s="50" t="n">
        <f aca="false">IF(BW27=1,0,ROUNDUP(AO27/BV27,0))</f>
        <v>1</v>
      </c>
      <c r="AQ27" s="52" t="n">
        <f aca="false">IF(CL27&gt;0,CL27*MAX(1,AO27/X27),IF(BW27=1,IF(AO27&lt;=0,0,CA27*MAX(1,IF(H27&gt;0,AO27/H27,1))),IF(R27&gt;0,AP27/R27,0))/MAX(0.1,N(Parameter!$M$21)))</f>
        <v>0.0833333333333333</v>
      </c>
      <c r="AR27" s="50" t="n">
        <f aca="false">AQ27*BY27</f>
        <v>28.75</v>
      </c>
      <c r="AS27" s="50" t="n">
        <f aca="false">AO27*G27</f>
        <v>36291.6</v>
      </c>
      <c r="AT27" s="50" t="n">
        <f aca="false">ROUNDUP(MAX(J27/IF(CD27&gt;0,CD27,MAX(0.1,N(Cockpit!$I$6))),CG27)/BV27,0)*BV27</f>
        <v>204</v>
      </c>
      <c r="AU27" s="51" t="n">
        <f aca="false">IF(AR27&gt;0,J27/AR27,-1)</f>
        <v>13.9478260869565</v>
      </c>
      <c r="AV27" s="51" t="n">
        <f aca="false">IF(AND(OR(CC27="L1",CC27="L23",CC27="LIFT"),AR27&gt;0),SUMIFS($AR$7:$AR$1843,$CC$7:$CC$1843,CC27,$AU$7:$AU$1843,"&gt;"&amp;AU27)+SUMIFS($AR$7:$AR$1843,$CC$7:$CC$1843,CC27,$AU$7:$AU$1843,AU27,$BT$7:$BT$1843,"&lt;="&amp;BT27),"")</f>
        <v>3380.45924908425</v>
      </c>
      <c r="AW27" s="58" t="n">
        <f aca="false">IF(AV27="",0,MAX(0,MIN(1,(IF(CC27="L1",Parameter!$H$5,IF(CC27="L23",Parameter!$H$6+Parameter!$H$7,Parameter!$H$5+Parameter!$H$6+Parameter!$H$7))-(AV27-AR27))/AR27)))</f>
        <v>1</v>
      </c>
      <c r="AX27" s="50" t="n">
        <f aca="false">IF(LEFT(Cockpit!$O$5,1)="A",H27,IF(CE27=1,CF27,IF(LEFT(Cockpit!$O$5,1)="B",BC27,MAX(BC27,H27))))</f>
        <v>204</v>
      </c>
      <c r="AY27" s="50" t="n">
        <f aca="false">IF(BW27=1,0,ROUNDUP(AX27/BV27,0))</f>
        <v>1</v>
      </c>
      <c r="AZ27" s="52" t="n">
        <f aca="false">IF(CL27&gt;0,CL27*MAX(1,AX27/X27),IF(BW27=1,IF(AX27&lt;=0,0,CA27*MAX(1,IF(H27&gt;0,AX27/H27,1))),IF(R27&gt;0,AY27/R27,0))/MAX(0.1,N(Parameter!$M$21)))</f>
        <v>0.0833333333333333</v>
      </c>
      <c r="BA27" s="50" t="n">
        <f aca="false">AZ27*BY27</f>
        <v>28.75</v>
      </c>
      <c r="BB27" s="50" t="n">
        <f aca="false">AX27*G27</f>
        <v>36291.6</v>
      </c>
      <c r="BC27" s="50" t="n">
        <f aca="false">ROUNDUP(MAX(J27/IF(CD27&gt;0,CD27,MAX(0.1,N(Cockpit!$O$6))),CG27)/BV27,0)*BV27</f>
        <v>204</v>
      </c>
      <c r="BD27" s="51" t="n">
        <f aca="false">IF(BA27&gt;0,J27/BA27,-1)</f>
        <v>13.9478260869565</v>
      </c>
      <c r="BE27" s="51" t="n">
        <f aca="false">IF(AND(OR(CC27="L1",CC27="L23",CC27="LIFT"),BA27&gt;0),SUMIFS($BA$7:$BA$1843,$CC$7:$CC$1843,CC27,$BD$7:$BD$1843,"&gt;"&amp;BD27)+SUMIFS($BA$7:$BA$1843,$CC$7:$CC$1843,CC27,$BD$7:$BD$1843,BD27,$BT$7:$BT$1843,"&lt;="&amp;BT27),"")</f>
        <v>3037.01373626374</v>
      </c>
      <c r="BF27" s="58" t="n">
        <f aca="false">IF(BE27="",0,MAX(0,MIN(1,(IF(CC27="L1",Parameter!$H$5,IF(CC27="L23",Parameter!$H$6+Parameter!$H$7,Parameter!$H$5+Parameter!$H$6+Parameter!$H$7))-(BE27-BA27))/BA27)))</f>
        <v>1</v>
      </c>
      <c r="BG27" s="48" t="str">
        <f aca="false">IF(AI27&lt;=0,"",IF(CC27="Aussen","Aussenlager",IF(CC27="-","Nicht im Lift",IF(AN27&gt;=1,"Lift",IF(AN27&lt;=0,"Aussenlager","teilweise")))))</f>
        <v>Lift</v>
      </c>
      <c r="BH27" s="48" t="str">
        <f aca="false">IF(AR27&lt;=0,"",IF(CC27="Aussen","Aussenlager",IF(CC27="-","Nicht im Lift",IF(AW27&gt;=1,"Lift",IF(AW27&lt;=0,"Aussenlager","teilweise")))))</f>
        <v>Lift</v>
      </c>
      <c r="BI27" s="48" t="str">
        <f aca="false">IF(BA27&lt;=0,"",IF(CC27="Aussen","Aussenlager",IF(CC27="-","Nicht im Lift",IF(BF27&gt;=1,"Lift",IF(BF27&lt;=0,"Aussenlager","teilweise")))))</f>
        <v>Lift</v>
      </c>
      <c r="BJ27" s="48" t="str">
        <f aca="false">IF(A27="","",IF(BS27=1,"Neu; ","")&amp;IF(AND(BS27=0,BN27&lt;0),"negativer Bestand (Export "&amp;BN27&amp;"); ","")&amp;IF(J27&lt;=0,"Kein Verbrauch; ","")&amp;IF(CL27&gt;0,"Lift "&amp;W27&amp;" lt. Liftbericht (Fach "&amp;X27&amp;" Stk); ",IF(BX27=1,"Gebinde geschätzt ("&amp;T27&amp;"); ",IF(BW27=1,"Lose – Tablare geschätzt; ","")))&amp;IF(H27&gt;AT27,"Überbestand "&amp;ROUND(H27-AT27,0)&amp;" Stk / CHF "&amp;ROUND((H27-AT27)*G27,0)&amp;"; ","")&amp;IF(AND(CE27=1,CF27&lt;CG27),"MAX &lt; MB+LG; ","")&amp;IF(AND(CK27&gt;0,CJ27*10&gt;CK27),"zu hoch für Tablar; ","")&amp;IF(AND(BS27=0,OR(CE27=1,AA27&lt;&gt;"",U27&lt;&gt;"",V27&lt;&gt;"",AB27&lt;&gt;"")),"manuell übersteuert; ","")&amp;IF(AND(BW27=0,R27=0),"Gebinde unbekannt / Stellmass fehlt; ","")&amp;IF(AND(BW27=0,N(V27)&lt;=0,N(Q27)&lt;=0),"Menge pro Gebinde fehlt (Ist = 1 Gebinde); ","")&amp;BR27)</f>
        <v/>
      </c>
      <c r="BK27" s="48" t="s">
        <v>231</v>
      </c>
      <c r="BL27" s="48"/>
      <c r="BM27" s="55"/>
      <c r="BN27" s="50" t="n">
        <v>84</v>
      </c>
      <c r="BO27" s="50" t="n">
        <v>31</v>
      </c>
      <c r="BP27" s="49" t="n">
        <v>14939.18</v>
      </c>
      <c r="BQ27" s="50" t="n">
        <v>401</v>
      </c>
      <c r="BR27" s="48"/>
      <c r="BS27" s="53" t="n">
        <v>0</v>
      </c>
      <c r="BT27" s="53" t="n">
        <v>27</v>
      </c>
      <c r="BU27" s="48" t="str">
        <f aca="false">IF(U27&lt;&gt;"",UPPER(TRIM(U27)),IF(BX27=1,UPPER(VLOOKUP(T27,Parameter!$I$27:$K$29,2,0)),IF(P27="","LOSE",P27)))</f>
        <v>S63</v>
      </c>
      <c r="BV27" s="50" t="n">
        <f aca="false">IF(BU27="LOSE",1,IF(N(V27)&gt;0,V27,IF(BX27=1,MAX(1,N(VLOOKUP(T27,Parameter!$I$27:$K$29,3,0)),H27,N(N27)),IF(N(Q27)&gt;0,Q27,MAX(1,H27)))))</f>
        <v>204</v>
      </c>
      <c r="BW27" s="53" t="n">
        <f aca="false">IF(BU27="LOSE",1,0)</f>
        <v>0</v>
      </c>
      <c r="BX27" s="53" t="n">
        <f aca="false">IF(AND(U27="",OR(P27="",P27="LOSE"),T27&lt;&gt;"",N(S27)&lt;=0,ISNUMBER(MATCH(T27,Parameter!$I$27:$I$29,0))),1,0)</f>
        <v>0</v>
      </c>
      <c r="BY27" s="53" t="n">
        <f aca="false">IF(CL27&gt;0,INDEX(Parameter!$H$5:$H$7,W27)/INDEX(Parameter!$E$5:$E$7,W27),IF(AND(BW27=0,N(IFERROR(VLOOKUP(BU27,'Gebinde-Kategorie'!$A$5:$N$45,14,0),0))&gt;0),VLOOKUP(BU27,'Gebinde-Kategorie'!$A$5:$N$45,14,0)*10+Parameter!$M$23,Parameter!$M$24))</f>
        <v>345</v>
      </c>
      <c r="BZ27" s="48" t="str">
        <f aca="false">IF(AND(Parameter!$B$19="Ja",E27&lt;&gt;"",ISNUMBER(MATCH(E27,Parameter!$I$35:$I$52,0))),VLOOKUP(E27,Parameter!$I$35:$J$52,2,0),IFERROR(VLOOKUP(D27,Parameter!$A$35:$C$64,2,0),"Nein"))</f>
        <v>2+3</v>
      </c>
      <c r="CA27" s="52" t="n">
        <f aca="false">IF(BW27=0,0,IF(N(S27)&gt;0,S27,IFERROR(VLOOKUP(D27,Parameter!$A$35:$C$64,3,0)+0,0)))</f>
        <v>0</v>
      </c>
      <c r="CB27" s="48" t="n">
        <f aca="false">IF(AA27&lt;&gt;"",AA27,Z27)</f>
        <v>2</v>
      </c>
      <c r="CC27" s="48" t="str">
        <f aca="false">IF(OR(CB27=1,CB27=2,CB27=3),IF(Parameter!$E$27="Ja","LIFT",IF(CB27=1,"L1","L23")),IF(CB27="Aussen","Aussen","-"))</f>
        <v>LIFT</v>
      </c>
      <c r="CD27" s="59" t="n">
        <f aca="false">IF(N(AB27)&gt;0,AB27,0)</f>
        <v>0</v>
      </c>
      <c r="CE27" s="53" t="n">
        <f aca="false">IF(ISNUMBER(AE27),1,0)</f>
        <v>0</v>
      </c>
      <c r="CF27" s="50" t="n">
        <f aca="false">N(AE27)</f>
        <v>0</v>
      </c>
      <c r="CG27" s="50" t="n">
        <f aca="false">N(M27)+N(N27)</f>
        <v>123</v>
      </c>
      <c r="CH27" s="50" t="n">
        <f aca="false">ROUNDUP(H27/BV27,0)</f>
        <v>1</v>
      </c>
      <c r="CI27" s="50" t="n">
        <f aca="false">ROUNDUP(CF27/BV27,0)</f>
        <v>0</v>
      </c>
      <c r="CJ27" s="53" t="n">
        <f aca="false">IF(BW27=1,0,IFERROR(VLOOKUP(BU27,'Gebinde-Kategorie'!$A$5:$N$45,5,0)+0,0))</f>
        <v>31</v>
      </c>
      <c r="CK27" s="53" t="n">
        <f aca="false">IFERROR(IF(OR(CB27=1,CB27=2,CB27=3),N(INDEX(Parameter!$I$5:$I$7,CB27)),0),0)</f>
        <v>0</v>
      </c>
      <c r="CL27" s="52" t="n">
        <f aca="false">IF(AND(Parameter!$B$21="Ja",ISNUMBER(W27),N(X27)&gt;0),IFERROR(N(INDEX(Parameter!$L$5:$L$7,W27))*INDEX(Parameter!$E$5:$E$7,W27)*X27/SUMIFS($X$7:$X$1843,$W$7:$W$1843,W27),0),0)</f>
        <v>0</v>
      </c>
    </row>
    <row r="28" customFormat="false" ht="15" hidden="false" customHeight="false" outlineLevel="0" collapsed="false">
      <c r="A28" s="48" t="s">
        <v>232</v>
      </c>
      <c r="B28" s="48" t="s">
        <v>233</v>
      </c>
      <c r="C28" s="48" t="s">
        <v>168</v>
      </c>
      <c r="D28" s="48" t="s">
        <v>177</v>
      </c>
      <c r="E28" s="48" t="s">
        <v>189</v>
      </c>
      <c r="F28" s="48" t="s">
        <v>222</v>
      </c>
      <c r="G28" s="49" t="n">
        <v>400.55</v>
      </c>
      <c r="H28" s="50" t="n">
        <f aca="false">MAX(0,IF(AND(Parameter!$B$21="Ja",ISNUMBER(Y28)),Y28,IF(Parameter!$B$20="Jahresanfang 2025 + Export",BO28+BN28,BN28)))</f>
        <v>41</v>
      </c>
      <c r="I28" s="50" t="n">
        <f aca="false">H28*G28</f>
        <v>16422.55</v>
      </c>
      <c r="J28" s="50" t="n">
        <f aca="false">BQ28*Parameter!$B$18</f>
        <v>276</v>
      </c>
      <c r="K28" s="51" t="n">
        <v>24.5</v>
      </c>
      <c r="L28" s="52" t="n">
        <v>11.265306122449</v>
      </c>
      <c r="M28" s="50" t="n">
        <v>21</v>
      </c>
      <c r="N28" s="50" t="n">
        <v>35</v>
      </c>
      <c r="O28" s="53" t="n">
        <v>28</v>
      </c>
      <c r="P28" s="48" t="s">
        <v>172</v>
      </c>
      <c r="Q28" s="50"/>
      <c r="R28" s="53" t="n">
        <f aca="false">IF(BW28=1,0,IFERROR(VLOOKUP(BU28,'Gebinde-Kategorie'!$A$5:$N$45,13,0)+0,0))</f>
        <v>12</v>
      </c>
      <c r="S28" s="54"/>
      <c r="T28" s="55" t="s">
        <v>183</v>
      </c>
      <c r="U28" s="55"/>
      <c r="V28" s="55"/>
      <c r="W28" s="48"/>
      <c r="X28" s="50"/>
      <c r="Y28" s="50"/>
      <c r="Z28" s="48" t="n">
        <f aca="false">IF(A28="","",IF(AND(Parameter!$B$21="Ja",ISNUMBER(W28)),W28,IF(BZ28="2+3",IF(ISNUMBER(SEARCH("grosser Artikel",BR28)),2,IFERROR(VLOOKUP(BU28,Parameter!$F$35:$G$64,2,0),2)),IF(OR(BZ28="Nein",BZ28=""),"-",BZ28))))</f>
        <v>2</v>
      </c>
      <c r="AA28" s="55"/>
      <c r="AB28" s="56"/>
      <c r="AC28" s="50" t="n">
        <f aca="false">AT28</f>
        <v>164</v>
      </c>
      <c r="AD28" s="50" t="n">
        <f aca="false">MAX(AT28,H28)</f>
        <v>164</v>
      </c>
      <c r="AE28" s="57"/>
      <c r="AF28" s="50" t="n">
        <f aca="false">IF(LEFT(Cockpit!$C$5,1)="A",H28,IF(CE28=1,CF28,IF(LEFT(Cockpit!$C$5,1)="B",AK28,MAX(AK28,H28))))</f>
        <v>41</v>
      </c>
      <c r="AG28" s="50" t="n">
        <f aca="false">IF(BW28=1,0,ROUNDUP(AF28/BV28,0))</f>
        <v>1</v>
      </c>
      <c r="AH28" s="52" t="n">
        <f aca="false">IF(CL28&gt;0,CL28*MAX(1,AF28/X28),IF(BW28=1,IF(AF28&lt;=0,0,CA28*MAX(1,IF(H28&gt;0,AF28/H28,1))),IF(R28&gt;0,AG28/R28,0))/MAX(0.1,N(Parameter!$M$21)))</f>
        <v>0.0833333333333333</v>
      </c>
      <c r="AI28" s="50" t="n">
        <f aca="false">AH28*BY28</f>
        <v>12.0833333333333</v>
      </c>
      <c r="AJ28" s="50" t="n">
        <f aca="false">AF28*G28</f>
        <v>16422.55</v>
      </c>
      <c r="AK28" s="50" t="n">
        <f aca="false">ROUNDUP(MAX(J28/IF(CD28&gt;0,CD28,MAX(0.1,N(Cockpit!$C$6))),CG28)/BV28,0)*BV28</f>
        <v>164</v>
      </c>
      <c r="AL28" s="51" t="n">
        <f aca="false">IF(AI28&gt;0,J28/AI28,-1)</f>
        <v>22.8413793103448</v>
      </c>
      <c r="AM28" s="51" t="n">
        <f aca="false">IF(AND(OR(CC28="L1",CC28="L23",CC28="LIFT"),AI28&gt;0),SUMIFS($AI$7:$AI$1843,$CC$7:$CC$1843,CC28,$AL$7:$AL$1843,"&gt;"&amp;AL28)+SUMIFS($AI$7:$AI$1843,$CC$7:$CC$1843,CC28,$AL$7:$AL$1843,AL28,$BT$7:$BT$1843,"&lt;="&amp;BT28),"")</f>
        <v>1601.49084249084</v>
      </c>
      <c r="AN28" s="58" t="n">
        <f aca="false">IF(AM28="",0,MAX(0,MIN(1,(IF(CC28="L1",Parameter!$H$5,IF(CC28="L23",Parameter!$H$6+Parameter!$H$7,Parameter!$H$5+Parameter!$H$6+Parameter!$H$7))-(AM28-AI28))/AI28)))</f>
        <v>1</v>
      </c>
      <c r="AO28" s="50" t="n">
        <f aca="false">IF(LEFT(Cockpit!$I$5,1)="A",H28,IF(CE28=1,CF28,IF(LEFT(Cockpit!$I$5,1)="B",AT28,MAX(AT28,H28))))</f>
        <v>164</v>
      </c>
      <c r="AP28" s="50" t="n">
        <f aca="false">IF(BW28=1,0,ROUNDUP(AO28/BV28,0))</f>
        <v>4</v>
      </c>
      <c r="AQ28" s="52" t="n">
        <f aca="false">IF(CL28&gt;0,CL28*MAX(1,AO28/X28),IF(BW28=1,IF(AO28&lt;=0,0,CA28*MAX(1,IF(H28&gt;0,AO28/H28,1))),IF(R28&gt;0,AP28/R28,0))/MAX(0.1,N(Parameter!$M$21)))</f>
        <v>0.333333333333333</v>
      </c>
      <c r="AR28" s="50" t="n">
        <f aca="false">AQ28*BY28</f>
        <v>48.3333333333333</v>
      </c>
      <c r="AS28" s="50" t="n">
        <f aca="false">AO28*G28</f>
        <v>65690.2</v>
      </c>
      <c r="AT28" s="50" t="n">
        <f aca="false">ROUNDUP(MAX(J28/IF(CD28&gt;0,CD28,MAX(0.1,N(Cockpit!$I$6))),CG28)/BV28,0)*BV28</f>
        <v>164</v>
      </c>
      <c r="AU28" s="51" t="n">
        <f aca="false">IF(AR28&gt;0,J28/AR28,-1)</f>
        <v>5.71034482758621</v>
      </c>
      <c r="AV28" s="51" t="n">
        <f aca="false">IF(AND(OR(CC28="L1",CC28="L23",CC28="LIFT"),AR28&gt;0),SUMIFS($AR$7:$AR$1843,$CC$7:$CC$1843,CC28,$AU$7:$AU$1843,"&gt;"&amp;AU28)+SUMIFS($AR$7:$AR$1843,$CC$7:$CC$1843,CC28,$AU$7:$AU$1843,AU28,$BT$7:$BT$1843,"&lt;="&amp;BT28),"")</f>
        <v>4712.28617216117</v>
      </c>
      <c r="AW28" s="58" t="n">
        <f aca="false">IF(AV28="",0,MAX(0,MIN(1,(IF(CC28="L1",Parameter!$H$5,IF(CC28="L23",Parameter!$H$6+Parameter!$H$7,Parameter!$H$5+Parameter!$H$6+Parameter!$H$7))-(AV28-AR28))/AR28)))</f>
        <v>1</v>
      </c>
      <c r="AX28" s="50" t="n">
        <f aca="false">IF(LEFT(Cockpit!$O$5,1)="A",H28,IF(CE28=1,CF28,IF(LEFT(Cockpit!$O$5,1)="B",BC28,MAX(BC28,H28))))</f>
        <v>123</v>
      </c>
      <c r="AY28" s="50" t="n">
        <f aca="false">IF(BW28=1,0,ROUNDUP(AX28/BV28,0))</f>
        <v>3</v>
      </c>
      <c r="AZ28" s="52" t="n">
        <f aca="false">IF(CL28&gt;0,CL28*MAX(1,AX28/X28),IF(BW28=1,IF(AX28&lt;=0,0,CA28*MAX(1,IF(H28&gt;0,AX28/H28,1))),IF(R28&gt;0,AY28/R28,0))/MAX(0.1,N(Parameter!$M$21)))</f>
        <v>0.25</v>
      </c>
      <c r="BA28" s="50" t="n">
        <f aca="false">AZ28*BY28</f>
        <v>36.25</v>
      </c>
      <c r="BB28" s="50" t="n">
        <f aca="false">AX28*G28</f>
        <v>49267.65</v>
      </c>
      <c r="BC28" s="50" t="n">
        <f aca="false">ROUNDUP(MAX(J28/IF(CD28&gt;0,CD28,MAX(0.1,N(Cockpit!$O$6))),CG28)/BV28,0)*BV28</f>
        <v>123</v>
      </c>
      <c r="BD28" s="51" t="n">
        <f aca="false">IF(BA28&gt;0,J28/BA28,-1)</f>
        <v>7.61379310344828</v>
      </c>
      <c r="BE28" s="51" t="n">
        <f aca="false">IF(AND(OR(CC28="L1",CC28="L23",CC28="LIFT"),BA28&gt;0),SUMIFS($BA$7:$BA$1843,$CC$7:$CC$1843,CC28,$BD$7:$BD$1843,"&gt;"&amp;BD28)+SUMIFS($BA$7:$BA$1843,$CC$7:$CC$1843,CC28,$BD$7:$BD$1843,BD28,$BT$7:$BT$1843,"&lt;="&amp;BT28),"")</f>
        <v>4037.57509157509</v>
      </c>
      <c r="BF28" s="58" t="n">
        <f aca="false">IF(BE28="",0,MAX(0,MIN(1,(IF(CC28="L1",Parameter!$H$5,IF(CC28="L23",Parameter!$H$6+Parameter!$H$7,Parameter!$H$5+Parameter!$H$6+Parameter!$H$7))-(BE28-BA28))/BA28)))</f>
        <v>1</v>
      </c>
      <c r="BG28" s="48" t="str">
        <f aca="false">IF(AI28&lt;=0,"",IF(CC28="Aussen","Aussenlager",IF(CC28="-","Nicht im Lift",IF(AN28&gt;=1,"Lift",IF(AN28&lt;=0,"Aussenlager","teilweise")))))</f>
        <v>Lift</v>
      </c>
      <c r="BH28" s="48" t="str">
        <f aca="false">IF(AR28&lt;=0,"",IF(CC28="Aussen","Aussenlager",IF(CC28="-","Nicht im Lift",IF(AW28&gt;=1,"Lift",IF(AW28&lt;=0,"Aussenlager","teilweise")))))</f>
        <v>Lift</v>
      </c>
      <c r="BI28" s="48" t="str">
        <f aca="false">IF(BA28&lt;=0,"",IF(CC28="Aussen","Aussenlager",IF(CC28="-","Nicht im Lift",IF(BF28&gt;=1,"Lift",IF(BF28&lt;=0,"Aussenlager","teilweise")))))</f>
        <v>Lift</v>
      </c>
      <c r="BJ28" s="48" t="str">
        <f aca="false">IF(A28="","",IF(BS28=1,"Neu; ","")&amp;IF(AND(BS28=0,BN28&lt;0),"negativer Bestand (Export "&amp;BN28&amp;"); ","")&amp;IF(J28&lt;=0,"Kein Verbrauch; ","")&amp;IF(CL28&gt;0,"Lift "&amp;W28&amp;" lt. Liftbericht (Fach "&amp;X28&amp;" Stk); ",IF(BX28=1,"Gebinde geschätzt ("&amp;T28&amp;"); ",IF(BW28=1,"Lose – Tablare geschätzt; ","")))&amp;IF(H28&gt;AT28,"Überbestand "&amp;ROUND(H28-AT28,0)&amp;" Stk / CHF "&amp;ROUND((H28-AT28)*G28,0)&amp;"; ","")&amp;IF(AND(CE28=1,CF28&lt;CG28),"MAX &lt; MB+LG; ","")&amp;IF(AND(CK28&gt;0,CJ28*10&gt;CK28),"zu hoch für Tablar; ","")&amp;IF(AND(BS28=0,OR(CE28=1,AA28&lt;&gt;"",U28&lt;&gt;"",V28&lt;&gt;"",AB28&lt;&gt;"")),"manuell übersteuert; ","")&amp;IF(AND(BW28=0,R28=0),"Gebinde unbekannt / Stellmass fehlt; ","")&amp;IF(AND(BW28=0,N(V28)&lt;=0,N(Q28)&lt;=0),"Menge pro Gebinde fehlt (Ist = 1 Gebinde); ","")&amp;BR28)</f>
        <v>Gebinde geschätzt (Mittel); Menge pro Gebinde fehlt (Ist = 1 Gebinde); nicht im KTL vorhanden</v>
      </c>
      <c r="BK28" s="48"/>
      <c r="BL28" s="48"/>
      <c r="BM28" s="55"/>
      <c r="BN28" s="50" t="n">
        <v>35</v>
      </c>
      <c r="BO28" s="50" t="n">
        <v>6</v>
      </c>
      <c r="BP28" s="49" t="n">
        <v>13842.61</v>
      </c>
      <c r="BQ28" s="50" t="n">
        <v>276</v>
      </c>
      <c r="BR28" s="48" t="s">
        <v>234</v>
      </c>
      <c r="BS28" s="53" t="n">
        <v>0</v>
      </c>
      <c r="BT28" s="53" t="n">
        <v>28</v>
      </c>
      <c r="BU28" s="48" t="str">
        <f aca="false">IF(U28&lt;&gt;"",UPPER(TRIM(U28)),IF(BX28=1,UPPER(VLOOKUP(T28,Parameter!$I$27:$K$29,2,0)),IF(P28="","LOSE",P28)))</f>
        <v>S61</v>
      </c>
      <c r="BV28" s="50" t="n">
        <f aca="false">IF(BU28="LOSE",1,IF(N(V28)&gt;0,V28,IF(BX28=1,MAX(1,N(VLOOKUP(T28,Parameter!$I$27:$K$29,3,0)),H28,N(N28)),IF(N(Q28)&gt;0,Q28,MAX(1,H28)))))</f>
        <v>41</v>
      </c>
      <c r="BW28" s="53" t="n">
        <f aca="false">IF(BU28="LOSE",1,0)</f>
        <v>0</v>
      </c>
      <c r="BX28" s="53" t="n">
        <f aca="false">IF(AND(U28="",OR(P28="",P28="LOSE"),T28&lt;&gt;"",N(S28)&lt;=0,ISNUMBER(MATCH(T28,Parameter!$I$27:$I$29,0))),1,0)</f>
        <v>1</v>
      </c>
      <c r="BY28" s="53" t="n">
        <f aca="false">IF(CL28&gt;0,INDEX(Parameter!$H$5:$H$7,W28)/INDEX(Parameter!$E$5:$E$7,W28),IF(AND(BW28=0,N(IFERROR(VLOOKUP(BU28,'Gebinde-Kategorie'!$A$5:$N$45,14,0),0))&gt;0),VLOOKUP(BU28,'Gebinde-Kategorie'!$A$5:$N$45,14,0)*10+Parameter!$M$23,Parameter!$M$24))</f>
        <v>145</v>
      </c>
      <c r="BZ28" s="48" t="str">
        <f aca="false">IF(AND(Parameter!$B$19="Ja",E28&lt;&gt;"",ISNUMBER(MATCH(E28,Parameter!$I$35:$I$52,0))),VLOOKUP(E28,Parameter!$I$35:$J$52,2,0),IFERROR(VLOOKUP(D28,Parameter!$A$35:$C$64,2,0),"Nein"))</f>
        <v>2+3</v>
      </c>
      <c r="CA28" s="52" t="n">
        <f aca="false">IF(BW28=0,0,IF(N(S28)&gt;0,S28,IFERROR(VLOOKUP(D28,Parameter!$A$35:$C$64,3,0)+0,0)))</f>
        <v>0</v>
      </c>
      <c r="CB28" s="48" t="n">
        <f aca="false">IF(AA28&lt;&gt;"",AA28,Z28)</f>
        <v>2</v>
      </c>
      <c r="CC28" s="48" t="str">
        <f aca="false">IF(OR(CB28=1,CB28=2,CB28=3),IF(Parameter!$E$27="Ja","LIFT",IF(CB28=1,"L1","L23")),IF(CB28="Aussen","Aussen","-"))</f>
        <v>LIFT</v>
      </c>
      <c r="CD28" s="59" t="n">
        <f aca="false">IF(N(AB28)&gt;0,AB28,0)</f>
        <v>0</v>
      </c>
      <c r="CE28" s="53" t="n">
        <f aca="false">IF(ISNUMBER(AE28),1,0)</f>
        <v>0</v>
      </c>
      <c r="CF28" s="50" t="n">
        <f aca="false">N(AE28)</f>
        <v>0</v>
      </c>
      <c r="CG28" s="50" t="n">
        <f aca="false">N(M28)+N(N28)</f>
        <v>56</v>
      </c>
      <c r="CH28" s="50" t="n">
        <f aca="false">ROUNDUP(H28/BV28,0)</f>
        <v>1</v>
      </c>
      <c r="CI28" s="50" t="n">
        <f aca="false">ROUNDUP(CF28/BV28,0)</f>
        <v>0</v>
      </c>
      <c r="CJ28" s="53" t="n">
        <f aca="false">IF(BW28=1,0,IFERROR(VLOOKUP(BU28,'Gebinde-Kategorie'!$A$5:$N$45,5,0)+0,0))</f>
        <v>11</v>
      </c>
      <c r="CK28" s="53" t="n">
        <f aca="false">IFERROR(IF(OR(CB28=1,CB28=2,CB28=3),N(INDEX(Parameter!$I$5:$I$7,CB28)),0),0)</f>
        <v>0</v>
      </c>
      <c r="CL28" s="52" t="n">
        <f aca="false">IF(AND(Parameter!$B$21="Ja",ISNUMBER(W28),N(X28)&gt;0),IFERROR(N(INDEX(Parameter!$L$5:$L$7,W28))*INDEX(Parameter!$E$5:$E$7,W28)*X28/SUMIFS($X$7:$X$1843,$W$7:$W$1843,W28),0),0)</f>
        <v>0</v>
      </c>
    </row>
    <row r="29" customFormat="false" ht="15" hidden="false" customHeight="false" outlineLevel="0" collapsed="false">
      <c r="A29" s="48" t="s">
        <v>235</v>
      </c>
      <c r="B29" s="48" t="s">
        <v>236</v>
      </c>
      <c r="C29" s="48" t="s">
        <v>168</v>
      </c>
      <c r="D29" s="48" t="s">
        <v>188</v>
      </c>
      <c r="E29" s="48"/>
      <c r="F29" s="48" t="s">
        <v>222</v>
      </c>
      <c r="G29" s="49" t="n">
        <v>1048.6</v>
      </c>
      <c r="H29" s="50" t="n">
        <f aca="false">MAX(0,IF(AND(Parameter!$B$21="Ja",ISNUMBER(Y29)),Y29,IF(Parameter!$B$20="Jahresanfang 2025 + Export",BO29+BN29,BN29)))</f>
        <v>12</v>
      </c>
      <c r="I29" s="50" t="n">
        <f aca="false">H29*G29</f>
        <v>12583.2</v>
      </c>
      <c r="J29" s="50" t="n">
        <f aca="false">BQ29*Parameter!$B$18</f>
        <v>23</v>
      </c>
      <c r="K29" s="51" t="n">
        <v>1.5</v>
      </c>
      <c r="L29" s="52" t="n">
        <v>15.3333333333333</v>
      </c>
      <c r="M29" s="50" t="n">
        <v>6</v>
      </c>
      <c r="N29" s="50" t="n">
        <v>5</v>
      </c>
      <c r="O29" s="53" t="n">
        <v>100</v>
      </c>
      <c r="P29" s="48" t="s">
        <v>237</v>
      </c>
      <c r="Q29" s="50" t="n">
        <v>20</v>
      </c>
      <c r="R29" s="53" t="n">
        <f aca="false">IF(BW29=1,0,IFERROR(VLOOKUP(BU29,'Gebinde-Kategorie'!$A$5:$N$45,13,0)+0,0))</f>
        <v>26</v>
      </c>
      <c r="S29" s="54"/>
      <c r="T29" s="55"/>
      <c r="U29" s="55"/>
      <c r="V29" s="55"/>
      <c r="W29" s="48"/>
      <c r="X29" s="50"/>
      <c r="Y29" s="50"/>
      <c r="Z29" s="48" t="n">
        <f aca="false">IF(A29="","",IF(AND(Parameter!$B$21="Ja",ISNUMBER(W29)),W29,IF(BZ29="2+3",IF(ISNUMBER(SEARCH("grosser Artikel",BR29)),2,IFERROR(VLOOKUP(BU29,Parameter!$F$35:$G$64,2,0),2)),IF(OR(BZ29="Nein",BZ29=""),"-",BZ29))))</f>
        <v>3</v>
      </c>
      <c r="AA29" s="55"/>
      <c r="AB29" s="56"/>
      <c r="AC29" s="50" t="n">
        <f aca="false">AT29</f>
        <v>20</v>
      </c>
      <c r="AD29" s="50" t="n">
        <f aca="false">MAX(AT29,H29)</f>
        <v>20</v>
      </c>
      <c r="AE29" s="57"/>
      <c r="AF29" s="50" t="n">
        <f aca="false">IF(LEFT(Cockpit!$C$5,1)="A",H29,IF(CE29=1,CF29,IF(LEFT(Cockpit!$C$5,1)="B",AK29,MAX(AK29,H29))))</f>
        <v>12</v>
      </c>
      <c r="AG29" s="50" t="n">
        <f aca="false">IF(BW29=1,0,ROUNDUP(AF29/BV29,0))</f>
        <v>1</v>
      </c>
      <c r="AH29" s="52" t="n">
        <f aca="false">IF(CL29&gt;0,CL29*MAX(1,AF29/X29),IF(BW29=1,IF(AF29&lt;=0,0,CA29*MAX(1,IF(H29&gt;0,AF29/H29,1))),IF(R29&gt;0,AG29/R29,0))/MAX(0.1,N(Parameter!$M$21)))</f>
        <v>0.0384615384615385</v>
      </c>
      <c r="AI29" s="50" t="n">
        <f aca="false">AH29*BY29</f>
        <v>9.42307692307692</v>
      </c>
      <c r="AJ29" s="50" t="n">
        <f aca="false">AF29*G29</f>
        <v>12583.2</v>
      </c>
      <c r="AK29" s="50" t="n">
        <f aca="false">ROUNDUP(MAX(J29/IF(CD29&gt;0,CD29,MAX(0.1,N(Cockpit!$C$6))),CG29)/BV29,0)*BV29</f>
        <v>20</v>
      </c>
      <c r="AL29" s="51" t="n">
        <f aca="false">IF(AI29&gt;0,J29/AI29,-1)</f>
        <v>2.44081632653061</v>
      </c>
      <c r="AM29" s="51" t="n">
        <f aca="false">IF(AND(OR(CC29="L1",CC29="L23",CC29="LIFT"),AI29&gt;0),SUMIFS($AI$7:$AI$1843,$CC$7:$CC$1843,CC29,$AL$7:$AL$1843,"&gt;"&amp;AL29)+SUMIFS($AI$7:$AI$1843,$CC$7:$CC$1843,CC29,$AL$7:$AL$1843,AL29,$BT$7:$BT$1843,"&lt;="&amp;BT29),"")</f>
        <v>5461.83928571429</v>
      </c>
      <c r="AN29" s="58" t="n">
        <f aca="false">IF(AM29="",0,MAX(0,MIN(1,(IF(CC29="L1",Parameter!$H$5,IF(CC29="L23",Parameter!$H$6+Parameter!$H$7,Parameter!$H$5+Parameter!$H$6+Parameter!$H$7))-(AM29-AI29))/AI29)))</f>
        <v>1</v>
      </c>
      <c r="AO29" s="50" t="n">
        <f aca="false">IF(LEFT(Cockpit!$I$5,1)="A",H29,IF(CE29=1,CF29,IF(LEFT(Cockpit!$I$5,1)="B",AT29,MAX(AT29,H29))))</f>
        <v>20</v>
      </c>
      <c r="AP29" s="50" t="n">
        <f aca="false">IF(BW29=1,0,ROUNDUP(AO29/BV29,0))</f>
        <v>1</v>
      </c>
      <c r="AQ29" s="52" t="n">
        <f aca="false">IF(CL29&gt;0,CL29*MAX(1,AO29/X29),IF(BW29=1,IF(AO29&lt;=0,0,CA29*MAX(1,IF(H29&gt;0,AO29/H29,1))),IF(R29&gt;0,AP29/R29,0))/MAX(0.1,N(Parameter!$M$21)))</f>
        <v>0.0384615384615385</v>
      </c>
      <c r="AR29" s="50" t="n">
        <f aca="false">AQ29*BY29</f>
        <v>9.42307692307692</v>
      </c>
      <c r="AS29" s="50" t="n">
        <f aca="false">AO29*G29</f>
        <v>20972</v>
      </c>
      <c r="AT29" s="50" t="n">
        <f aca="false">ROUNDUP(MAX(J29/IF(CD29&gt;0,CD29,MAX(0.1,N(Cockpit!$I$6))),CG29)/BV29,0)*BV29</f>
        <v>20</v>
      </c>
      <c r="AU29" s="51" t="n">
        <f aca="false">IF(AR29&gt;0,J29/AR29,-1)</f>
        <v>2.44081632653061</v>
      </c>
      <c r="AV29" s="51" t="n">
        <f aca="false">IF(AND(OR(CC29="L1",CC29="L23",CC29="LIFT"),AR29&gt;0),SUMIFS($AR$7:$AR$1843,$CC$7:$CC$1843,CC29,$AU$7:$AU$1843,"&gt;"&amp;AU29)+SUMIFS($AR$7:$AR$1843,$CC$7:$CC$1843,CC29,$AU$7:$AU$1843,AU29,$BT$7:$BT$1843,"&lt;="&amp;BT29),"")</f>
        <v>6772.68543956044</v>
      </c>
      <c r="AW29" s="58" t="n">
        <f aca="false">IF(AV29="",0,MAX(0,MIN(1,(IF(CC29="L1",Parameter!$H$5,IF(CC29="L23",Parameter!$H$6+Parameter!$H$7,Parameter!$H$5+Parameter!$H$6+Parameter!$H$7))-(AV29-AR29))/AR29)))</f>
        <v>1</v>
      </c>
      <c r="AX29" s="50" t="n">
        <f aca="false">IF(LEFT(Cockpit!$O$5,1)="A",H29,IF(CE29=1,CF29,IF(LEFT(Cockpit!$O$5,1)="B",BC29,MAX(BC29,H29))))</f>
        <v>20</v>
      </c>
      <c r="AY29" s="50" t="n">
        <f aca="false">IF(BW29=1,0,ROUNDUP(AX29/BV29,0))</f>
        <v>1</v>
      </c>
      <c r="AZ29" s="52" t="n">
        <f aca="false">IF(CL29&gt;0,CL29*MAX(1,AX29/X29),IF(BW29=1,IF(AX29&lt;=0,0,CA29*MAX(1,IF(H29&gt;0,AX29/H29,1))),IF(R29&gt;0,AY29/R29,0))/MAX(0.1,N(Parameter!$M$21)))</f>
        <v>0.0384615384615385</v>
      </c>
      <c r="BA29" s="50" t="n">
        <f aca="false">AZ29*BY29</f>
        <v>9.42307692307692</v>
      </c>
      <c r="BB29" s="50" t="n">
        <f aca="false">AX29*G29</f>
        <v>20972</v>
      </c>
      <c r="BC29" s="50" t="n">
        <f aca="false">ROUNDUP(MAX(J29/IF(CD29&gt;0,CD29,MAX(0.1,N(Cockpit!$O$6))),CG29)/BV29,0)*BV29</f>
        <v>20</v>
      </c>
      <c r="BD29" s="51" t="n">
        <f aca="false">IF(BA29&gt;0,J29/BA29,-1)</f>
        <v>2.44081632653061</v>
      </c>
      <c r="BE29" s="51" t="n">
        <f aca="false">IF(AND(OR(CC29="L1",CC29="L23",CC29="LIFT"),BA29&gt;0),SUMIFS($BA$7:$BA$1843,$CC$7:$CC$1843,CC29,$BD$7:$BD$1843,"&gt;"&amp;BD29)+SUMIFS($BA$7:$BA$1843,$CC$7:$CC$1843,CC29,$BD$7:$BD$1843,BD29,$BT$7:$BT$1843,"&lt;="&amp;BT29),"")</f>
        <v>6555.84249084249</v>
      </c>
      <c r="BF29" s="58" t="n">
        <f aca="false">IF(BE29="",0,MAX(0,MIN(1,(IF(CC29="L1",Parameter!$H$5,IF(CC29="L23",Parameter!$H$6+Parameter!$H$7,Parameter!$H$5+Parameter!$H$6+Parameter!$H$7))-(BE29-BA29))/BA29)))</f>
        <v>1</v>
      </c>
      <c r="BG29" s="48" t="str">
        <f aca="false">IF(AI29&lt;=0,"",IF(CC29="Aussen","Aussenlager",IF(CC29="-","Nicht im Lift",IF(AN29&gt;=1,"Lift",IF(AN29&lt;=0,"Aussenlager","teilweise")))))</f>
        <v>Lift</v>
      </c>
      <c r="BH29" s="48" t="str">
        <f aca="false">IF(AR29&lt;=0,"",IF(CC29="Aussen","Aussenlager",IF(CC29="-","Nicht im Lift",IF(AW29&gt;=1,"Lift",IF(AW29&lt;=0,"Aussenlager","teilweise")))))</f>
        <v>Lift</v>
      </c>
      <c r="BI29" s="48" t="str">
        <f aca="false">IF(BA29&lt;=0,"",IF(CC29="Aussen","Aussenlager",IF(CC29="-","Nicht im Lift",IF(BF29&gt;=1,"Lift",IF(BF29&lt;=0,"Aussenlager","teilweise")))))</f>
        <v>Lift</v>
      </c>
      <c r="BJ29" s="48" t="str">
        <f aca="false">IF(A29="","",IF(BS29=1,"Neu; ","")&amp;IF(AND(BS29=0,BN29&lt;0),"negativer Bestand (Export "&amp;BN29&amp;"); ","")&amp;IF(J29&lt;=0,"Kein Verbrauch; ","")&amp;IF(CL29&gt;0,"Lift "&amp;W29&amp;" lt. Liftbericht (Fach "&amp;X29&amp;" Stk); ",IF(BX29=1,"Gebinde geschätzt ("&amp;T29&amp;"); ",IF(BW29=1,"Lose – Tablare geschätzt; ","")))&amp;IF(H29&gt;AT29,"Überbestand "&amp;ROUND(H29-AT29,0)&amp;" Stk / CHF "&amp;ROUND((H29-AT29)*G29,0)&amp;"; ","")&amp;IF(AND(CE29=1,CF29&lt;CG29),"MAX &lt; MB+LG; ","")&amp;IF(AND(CK29&gt;0,CJ29*10&gt;CK29),"zu hoch für Tablar; ","")&amp;IF(AND(BS29=0,OR(CE29=1,AA29&lt;&gt;"",U29&lt;&gt;"",V29&lt;&gt;"",AB29&lt;&gt;"")),"manuell übersteuert; ","")&amp;IF(AND(BW29=0,R29=0),"Gebinde unbekannt / Stellmass fehlt; ","")&amp;IF(AND(BW29=0,N(V29)&lt;=0,N(Q29)&lt;=0),"Menge pro Gebinde fehlt (Ist = 1 Gebinde); ","")&amp;BR29)</f>
        <v/>
      </c>
      <c r="BK29" s="48" t="s">
        <v>238</v>
      </c>
      <c r="BL29" s="48" t="s">
        <v>239</v>
      </c>
      <c r="BM29" s="55"/>
      <c r="BN29" s="50" t="n">
        <v>11</v>
      </c>
      <c r="BO29" s="50" t="n">
        <v>1</v>
      </c>
      <c r="BP29" s="49" t="n">
        <v>12583.19</v>
      </c>
      <c r="BQ29" s="50" t="n">
        <v>23</v>
      </c>
      <c r="BR29" s="48"/>
      <c r="BS29" s="53" t="n">
        <v>0</v>
      </c>
      <c r="BT29" s="53" t="n">
        <v>29</v>
      </c>
      <c r="BU29" s="48" t="str">
        <f aca="false">IF(U29&lt;&gt;"",UPPER(TRIM(U29)),IF(BX29=1,UPPER(VLOOKUP(T29,Parameter!$I$27:$K$29,2,0)),IF(P29="","LOSE",P29)))</f>
        <v>S52</v>
      </c>
      <c r="BV29" s="50" t="n">
        <f aca="false">IF(BU29="LOSE",1,IF(N(V29)&gt;0,V29,IF(BX29=1,MAX(1,N(VLOOKUP(T29,Parameter!$I$27:$K$29,3,0)),H29,N(N29)),IF(N(Q29)&gt;0,Q29,MAX(1,H29)))))</f>
        <v>20</v>
      </c>
      <c r="BW29" s="53" t="n">
        <f aca="false">IF(BU29="LOSE",1,0)</f>
        <v>0</v>
      </c>
      <c r="BX29" s="53" t="n">
        <f aca="false">IF(AND(U29="",OR(P29="",P29="LOSE"),T29&lt;&gt;"",N(S29)&lt;=0,ISNUMBER(MATCH(T29,Parameter!$I$27:$I$29,0))),1,0)</f>
        <v>0</v>
      </c>
      <c r="BY29" s="53" t="n">
        <f aca="false">IF(CL29&gt;0,INDEX(Parameter!$H$5:$H$7,W29)/INDEX(Parameter!$E$5:$E$7,W29),IF(AND(BW29=0,N(IFERROR(VLOOKUP(BU29,'Gebinde-Kategorie'!$A$5:$N$45,14,0),0))&gt;0),VLOOKUP(BU29,'Gebinde-Kategorie'!$A$5:$N$45,14,0)*10+Parameter!$M$23,Parameter!$M$24))</f>
        <v>245</v>
      </c>
      <c r="BZ29" s="48" t="str">
        <f aca="false">IF(AND(Parameter!$B$19="Ja",E29&lt;&gt;"",ISNUMBER(MATCH(E29,Parameter!$I$35:$I$52,0))),VLOOKUP(E29,Parameter!$I$35:$J$52,2,0),IFERROR(VLOOKUP(D29,Parameter!$A$35:$C$64,2,0),"Nein"))</f>
        <v>2+3</v>
      </c>
      <c r="CA29" s="52" t="n">
        <f aca="false">IF(BW29=0,0,IF(N(S29)&gt;0,S29,IFERROR(VLOOKUP(D29,Parameter!$A$35:$C$64,3,0)+0,0)))</f>
        <v>0</v>
      </c>
      <c r="CB29" s="48" t="n">
        <f aca="false">IF(AA29&lt;&gt;"",AA29,Z29)</f>
        <v>3</v>
      </c>
      <c r="CC29" s="48" t="str">
        <f aca="false">IF(OR(CB29=1,CB29=2,CB29=3),IF(Parameter!$E$27="Ja","LIFT",IF(CB29=1,"L1","L23")),IF(CB29="Aussen","Aussen","-"))</f>
        <v>LIFT</v>
      </c>
      <c r="CD29" s="59" t="n">
        <f aca="false">IF(N(AB29)&gt;0,AB29,0)</f>
        <v>0</v>
      </c>
      <c r="CE29" s="53" t="n">
        <f aca="false">IF(ISNUMBER(AE29),1,0)</f>
        <v>0</v>
      </c>
      <c r="CF29" s="50" t="n">
        <f aca="false">N(AE29)</f>
        <v>0</v>
      </c>
      <c r="CG29" s="50" t="n">
        <f aca="false">N(M29)+N(N29)</f>
        <v>11</v>
      </c>
      <c r="CH29" s="50" t="n">
        <f aca="false">ROUNDUP(H29/BV29,0)</f>
        <v>1</v>
      </c>
      <c r="CI29" s="50" t="n">
        <f aca="false">ROUNDUP(CF29/BV29,0)</f>
        <v>0</v>
      </c>
      <c r="CJ29" s="53" t="n">
        <f aca="false">IF(BW29=1,0,IFERROR(VLOOKUP(BU29,'Gebinde-Kategorie'!$A$5:$N$45,5,0)+0,0))</f>
        <v>21</v>
      </c>
      <c r="CK29" s="53" t="n">
        <f aca="false">IFERROR(IF(OR(CB29=1,CB29=2,CB29=3),N(INDEX(Parameter!$I$5:$I$7,CB29)),0),0)</f>
        <v>0</v>
      </c>
      <c r="CL29" s="52" t="n">
        <f aca="false">IF(AND(Parameter!$B$21="Ja",ISNUMBER(W29),N(X29)&gt;0),IFERROR(N(INDEX(Parameter!$L$5:$L$7,W29))*INDEX(Parameter!$E$5:$E$7,W29)*X29/SUMIFS($X$7:$X$1843,$W$7:$W$1843,W29),0),0)</f>
        <v>0</v>
      </c>
    </row>
    <row r="30" customFormat="false" ht="15" hidden="false" customHeight="false" outlineLevel="0" collapsed="false">
      <c r="A30" s="48" t="s">
        <v>240</v>
      </c>
      <c r="B30" s="48" t="s">
        <v>241</v>
      </c>
      <c r="C30" s="48" t="s">
        <v>168</v>
      </c>
      <c r="D30" s="48" t="s">
        <v>177</v>
      </c>
      <c r="E30" s="48" t="s">
        <v>189</v>
      </c>
      <c r="F30" s="48" t="s">
        <v>222</v>
      </c>
      <c r="G30" s="49" t="n">
        <v>306.57</v>
      </c>
      <c r="H30" s="50" t="n">
        <f aca="false">MAX(0,IF(AND(Parameter!$B$21="Ja",ISNUMBER(Y30)),Y30,IF(Parameter!$B$20="Jahresanfang 2025 + Export",BO30+BN30,BN30)))</f>
        <v>45</v>
      </c>
      <c r="I30" s="50" t="n">
        <f aca="false">H30*G30</f>
        <v>13795.65</v>
      </c>
      <c r="J30" s="50" t="n">
        <f aca="false">BQ30*Parameter!$B$18</f>
        <v>297</v>
      </c>
      <c r="K30" s="51" t="n">
        <v>25</v>
      </c>
      <c r="L30" s="52" t="n">
        <v>11.88</v>
      </c>
      <c r="M30" s="50" t="n">
        <v>23</v>
      </c>
      <c r="N30" s="50" t="n">
        <v>45</v>
      </c>
      <c r="O30" s="53" t="n">
        <v>28</v>
      </c>
      <c r="P30" s="48" t="s">
        <v>230</v>
      </c>
      <c r="Q30" s="50" t="n">
        <v>34</v>
      </c>
      <c r="R30" s="53" t="n">
        <f aca="false">IF(BW30=1,0,IFERROR(VLOOKUP(BU30,'Gebinde-Kategorie'!$A$5:$N$45,13,0)+0,0))</f>
        <v>12</v>
      </c>
      <c r="S30" s="54"/>
      <c r="T30" s="55"/>
      <c r="U30" s="55"/>
      <c r="V30" s="55"/>
      <c r="W30" s="48"/>
      <c r="X30" s="50"/>
      <c r="Y30" s="50"/>
      <c r="Z30" s="48" t="n">
        <f aca="false">IF(A30="","",IF(AND(Parameter!$B$21="Ja",ISNUMBER(W30)),W30,IF(BZ30="2+3",IF(ISNUMBER(SEARCH("grosser Artikel",BR30)),2,IFERROR(VLOOKUP(BU30,Parameter!$F$35:$G$64,2,0),2)),IF(OR(BZ30="Nein",BZ30=""),"-",BZ30))))</f>
        <v>2</v>
      </c>
      <c r="AA30" s="55"/>
      <c r="AB30" s="56"/>
      <c r="AC30" s="50" t="n">
        <f aca="false">AT30</f>
        <v>170</v>
      </c>
      <c r="AD30" s="50" t="n">
        <f aca="false">MAX(AT30,H30)</f>
        <v>170</v>
      </c>
      <c r="AE30" s="57"/>
      <c r="AF30" s="50" t="n">
        <f aca="false">IF(LEFT(Cockpit!$C$5,1)="A",H30,IF(CE30=1,CF30,IF(LEFT(Cockpit!$C$5,1)="B",AK30,MAX(AK30,H30))))</f>
        <v>45</v>
      </c>
      <c r="AG30" s="50" t="n">
        <f aca="false">IF(BW30=1,0,ROUNDUP(AF30/BV30,0))</f>
        <v>2</v>
      </c>
      <c r="AH30" s="52" t="n">
        <f aca="false">IF(CL30&gt;0,CL30*MAX(1,AF30/X30),IF(BW30=1,IF(AF30&lt;=0,0,CA30*MAX(1,IF(H30&gt;0,AF30/H30,1))),IF(R30&gt;0,AG30/R30,0))/MAX(0.1,N(Parameter!$M$21)))</f>
        <v>0.166666666666667</v>
      </c>
      <c r="AI30" s="50" t="n">
        <f aca="false">AH30*BY30</f>
        <v>57.5</v>
      </c>
      <c r="AJ30" s="50" t="n">
        <f aca="false">AF30*G30</f>
        <v>13795.65</v>
      </c>
      <c r="AK30" s="50" t="n">
        <f aca="false">ROUNDUP(MAX(J30/IF(CD30&gt;0,CD30,MAX(0.1,N(Cockpit!$C$6))),CG30)/BV30,0)*BV30</f>
        <v>170</v>
      </c>
      <c r="AL30" s="51" t="n">
        <f aca="false">IF(AI30&gt;0,J30/AI30,-1)</f>
        <v>5.16521739130435</v>
      </c>
      <c r="AM30" s="51" t="n">
        <f aca="false">IF(AND(OR(CC30="L1",CC30="L23",CC30="LIFT"),AI30&gt;0),SUMIFS($AI$7:$AI$1843,$CC$7:$CC$1843,CC30,$AL$7:$AL$1843,"&gt;"&amp;AL30)+SUMIFS($AI$7:$AI$1843,$CC$7:$CC$1843,CC30,$AL$7:$AL$1843,AL30,$BT$7:$BT$1843,"&lt;="&amp;BT30),"")</f>
        <v>3877.39331501832</v>
      </c>
      <c r="AN30" s="58" t="n">
        <f aca="false">IF(AM30="",0,MAX(0,MIN(1,(IF(CC30="L1",Parameter!$H$5,IF(CC30="L23",Parameter!$H$6+Parameter!$H$7,Parameter!$H$5+Parameter!$H$6+Parameter!$H$7))-(AM30-AI30))/AI30)))</f>
        <v>1</v>
      </c>
      <c r="AO30" s="50" t="n">
        <f aca="false">IF(LEFT(Cockpit!$I$5,1)="A",H30,IF(CE30=1,CF30,IF(LEFT(Cockpit!$I$5,1)="B",AT30,MAX(AT30,H30))))</f>
        <v>170</v>
      </c>
      <c r="AP30" s="50" t="n">
        <f aca="false">IF(BW30=1,0,ROUNDUP(AO30/BV30,0))</f>
        <v>5</v>
      </c>
      <c r="AQ30" s="52" t="n">
        <f aca="false">IF(CL30&gt;0,CL30*MAX(1,AO30/X30),IF(BW30=1,IF(AO30&lt;=0,0,CA30*MAX(1,IF(H30&gt;0,AO30/H30,1))),IF(R30&gt;0,AP30/R30,0))/MAX(0.1,N(Parameter!$M$21)))</f>
        <v>0.416666666666667</v>
      </c>
      <c r="AR30" s="50" t="n">
        <f aca="false">AQ30*BY30</f>
        <v>143.75</v>
      </c>
      <c r="AS30" s="50" t="n">
        <f aca="false">AO30*G30</f>
        <v>52116.9</v>
      </c>
      <c r="AT30" s="50" t="n">
        <f aca="false">ROUNDUP(MAX(J30/IF(CD30&gt;0,CD30,MAX(0.1,N(Cockpit!$I$6))),CG30)/BV30,0)*BV30</f>
        <v>170</v>
      </c>
      <c r="AU30" s="51" t="n">
        <f aca="false">IF(AR30&gt;0,J30/AR30,-1)</f>
        <v>2.06608695652174</v>
      </c>
      <c r="AV30" s="51" t="n">
        <f aca="false">IF(AND(OR(CC30="L1",CC30="L23",CC30="LIFT"),AR30&gt;0),SUMIFS($AR$7:$AR$1843,$CC$7:$CC$1843,CC30,$AU$7:$AU$1843,"&gt;"&amp;AU30)+SUMIFS($AR$7:$AR$1843,$CC$7:$CC$1843,CC30,$AU$7:$AU$1843,AU30,$BT$7:$BT$1843,"&lt;="&amp;BT30),"")</f>
        <v>7621.23122710623</v>
      </c>
      <c r="AW30" s="58" t="n">
        <f aca="false">IF(AV30="",0,MAX(0,MIN(1,(IF(CC30="L1",Parameter!$H$5,IF(CC30="L23",Parameter!$H$6+Parameter!$H$7,Parameter!$H$5+Parameter!$H$6+Parameter!$H$7))-(AV30-AR30))/AR30)))</f>
        <v>1</v>
      </c>
      <c r="AX30" s="50" t="n">
        <f aca="false">IF(LEFT(Cockpit!$O$5,1)="A",H30,IF(CE30=1,CF30,IF(LEFT(Cockpit!$O$5,1)="B",BC30,MAX(BC30,H30))))</f>
        <v>102</v>
      </c>
      <c r="AY30" s="50" t="n">
        <f aca="false">IF(BW30=1,0,ROUNDUP(AX30/BV30,0))</f>
        <v>3</v>
      </c>
      <c r="AZ30" s="52" t="n">
        <f aca="false">IF(CL30&gt;0,CL30*MAX(1,AX30/X30),IF(BW30=1,IF(AX30&lt;=0,0,CA30*MAX(1,IF(H30&gt;0,AX30/H30,1))),IF(R30&gt;0,AY30/R30,0))/MAX(0.1,N(Parameter!$M$21)))</f>
        <v>0.25</v>
      </c>
      <c r="BA30" s="50" t="n">
        <f aca="false">AZ30*BY30</f>
        <v>86.25</v>
      </c>
      <c r="BB30" s="50" t="n">
        <f aca="false">AX30*G30</f>
        <v>31270.14</v>
      </c>
      <c r="BC30" s="50" t="n">
        <f aca="false">ROUNDUP(MAX(J30/IF(CD30&gt;0,CD30,MAX(0.1,N(Cockpit!$O$6))),CG30)/BV30,0)*BV30</f>
        <v>102</v>
      </c>
      <c r="BD30" s="51" t="n">
        <f aca="false">IF(BA30&gt;0,J30/BA30,-1)</f>
        <v>3.44347826086957</v>
      </c>
      <c r="BE30" s="51" t="n">
        <f aca="false">IF(AND(OR(CC30="L1",CC30="L23",CC30="LIFT"),BA30&gt;0),SUMIFS($BA$7:$BA$1843,$CC$7:$CC$1843,CC30,$BD$7:$BD$1843,"&gt;"&amp;BD30)+SUMIFS($BA$7:$BA$1843,$CC$7:$CC$1843,CC30,$BD$7:$BD$1843,BD30,$BT$7:$BT$1843,"&lt;="&amp;BT30),"")</f>
        <v>5987.05906593407</v>
      </c>
      <c r="BF30" s="58" t="n">
        <f aca="false">IF(BE30="",0,MAX(0,MIN(1,(IF(CC30="L1",Parameter!$H$5,IF(CC30="L23",Parameter!$H$6+Parameter!$H$7,Parameter!$H$5+Parameter!$H$6+Parameter!$H$7))-(BE30-BA30))/BA30)))</f>
        <v>1</v>
      </c>
      <c r="BG30" s="48" t="str">
        <f aca="false">IF(AI30&lt;=0,"",IF(CC30="Aussen","Aussenlager",IF(CC30="-","Nicht im Lift",IF(AN30&gt;=1,"Lift",IF(AN30&lt;=0,"Aussenlager","teilweise")))))</f>
        <v>Lift</v>
      </c>
      <c r="BH30" s="48" t="str">
        <f aca="false">IF(AR30&lt;=0,"",IF(CC30="Aussen","Aussenlager",IF(CC30="-","Nicht im Lift",IF(AW30&gt;=1,"Lift",IF(AW30&lt;=0,"Aussenlager","teilweise")))))</f>
        <v>Lift</v>
      </c>
      <c r="BI30" s="48" t="str">
        <f aca="false">IF(BA30&lt;=0,"",IF(CC30="Aussen","Aussenlager",IF(CC30="-","Nicht im Lift",IF(BF30&gt;=1,"Lift",IF(BF30&lt;=0,"Aussenlager","teilweise")))))</f>
        <v>Lift</v>
      </c>
      <c r="BJ30" s="48" t="str">
        <f aca="false">IF(A30="","",IF(BS30=1,"Neu; ","")&amp;IF(AND(BS30=0,BN30&lt;0),"negativer Bestand (Export "&amp;BN30&amp;"); ","")&amp;IF(J30&lt;=0,"Kein Verbrauch; ","")&amp;IF(CL30&gt;0,"Lift "&amp;W30&amp;" lt. Liftbericht (Fach "&amp;X30&amp;" Stk); ",IF(BX30=1,"Gebinde geschätzt ("&amp;T30&amp;"); ",IF(BW30=1,"Lose – Tablare geschätzt; ","")))&amp;IF(H30&gt;AT30,"Überbestand "&amp;ROUND(H30-AT30,0)&amp;" Stk / CHF "&amp;ROUND((H30-AT30)*G30,0)&amp;"; ","")&amp;IF(AND(CE30=1,CF30&lt;CG30),"MAX &lt; MB+LG; ","")&amp;IF(AND(CK30&gt;0,CJ30*10&gt;CK30),"zu hoch für Tablar; ","")&amp;IF(AND(BS30=0,OR(CE30=1,AA30&lt;&gt;"",U30&lt;&gt;"",V30&lt;&gt;"",AB30&lt;&gt;"")),"manuell übersteuert; ","")&amp;IF(AND(BW30=0,R30=0),"Gebinde unbekannt / Stellmass fehlt; ","")&amp;IF(AND(BW30=0,N(V30)&lt;=0,N(Q30)&lt;=0),"Menge pro Gebinde fehlt (Ist = 1 Gebinde); ","")&amp;BR30)</f>
        <v/>
      </c>
      <c r="BK30" s="48" t="s">
        <v>242</v>
      </c>
      <c r="BL30" s="48" t="s">
        <v>243</v>
      </c>
      <c r="BM30" s="55"/>
      <c r="BN30" s="50" t="n">
        <v>41</v>
      </c>
      <c r="BO30" s="50" t="n">
        <v>4</v>
      </c>
      <c r="BP30" s="49" t="n">
        <v>12491.91</v>
      </c>
      <c r="BQ30" s="50" t="n">
        <v>297</v>
      </c>
      <c r="BR30" s="48"/>
      <c r="BS30" s="53" t="n">
        <v>0</v>
      </c>
      <c r="BT30" s="53" t="n">
        <v>30</v>
      </c>
      <c r="BU30" s="48" t="str">
        <f aca="false">IF(U30&lt;&gt;"",UPPER(TRIM(U30)),IF(BX30=1,UPPER(VLOOKUP(T30,Parameter!$I$27:$K$29,2,0)),IF(P30="","LOSE",P30)))</f>
        <v>S63</v>
      </c>
      <c r="BV30" s="50" t="n">
        <f aca="false">IF(BU30="LOSE",1,IF(N(V30)&gt;0,V30,IF(BX30=1,MAX(1,N(VLOOKUP(T30,Parameter!$I$27:$K$29,3,0)),H30,N(N30)),IF(N(Q30)&gt;0,Q30,MAX(1,H30)))))</f>
        <v>34</v>
      </c>
      <c r="BW30" s="53" t="n">
        <f aca="false">IF(BU30="LOSE",1,0)</f>
        <v>0</v>
      </c>
      <c r="BX30" s="53" t="n">
        <f aca="false">IF(AND(U30="",OR(P30="",P30="LOSE"),T30&lt;&gt;"",N(S30)&lt;=0,ISNUMBER(MATCH(T30,Parameter!$I$27:$I$29,0))),1,0)</f>
        <v>0</v>
      </c>
      <c r="BY30" s="53" t="n">
        <f aca="false">IF(CL30&gt;0,INDEX(Parameter!$H$5:$H$7,W30)/INDEX(Parameter!$E$5:$E$7,W30),IF(AND(BW30=0,N(IFERROR(VLOOKUP(BU30,'Gebinde-Kategorie'!$A$5:$N$45,14,0),0))&gt;0),VLOOKUP(BU30,'Gebinde-Kategorie'!$A$5:$N$45,14,0)*10+Parameter!$M$23,Parameter!$M$24))</f>
        <v>345</v>
      </c>
      <c r="BZ30" s="48" t="str">
        <f aca="false">IF(AND(Parameter!$B$19="Ja",E30&lt;&gt;"",ISNUMBER(MATCH(E30,Parameter!$I$35:$I$52,0))),VLOOKUP(E30,Parameter!$I$35:$J$52,2,0),IFERROR(VLOOKUP(D30,Parameter!$A$35:$C$64,2,0),"Nein"))</f>
        <v>2+3</v>
      </c>
      <c r="CA30" s="52" t="n">
        <f aca="false">IF(BW30=0,0,IF(N(S30)&gt;0,S30,IFERROR(VLOOKUP(D30,Parameter!$A$35:$C$64,3,0)+0,0)))</f>
        <v>0</v>
      </c>
      <c r="CB30" s="48" t="n">
        <f aca="false">IF(AA30&lt;&gt;"",AA30,Z30)</f>
        <v>2</v>
      </c>
      <c r="CC30" s="48" t="str">
        <f aca="false">IF(OR(CB30=1,CB30=2,CB30=3),IF(Parameter!$E$27="Ja","LIFT",IF(CB30=1,"L1","L23")),IF(CB30="Aussen","Aussen","-"))</f>
        <v>LIFT</v>
      </c>
      <c r="CD30" s="59" t="n">
        <f aca="false">IF(N(AB30)&gt;0,AB30,0)</f>
        <v>0</v>
      </c>
      <c r="CE30" s="53" t="n">
        <f aca="false">IF(ISNUMBER(AE30),1,0)</f>
        <v>0</v>
      </c>
      <c r="CF30" s="50" t="n">
        <f aca="false">N(AE30)</f>
        <v>0</v>
      </c>
      <c r="CG30" s="50" t="n">
        <f aca="false">N(M30)+N(N30)</f>
        <v>68</v>
      </c>
      <c r="CH30" s="50" t="n">
        <f aca="false">ROUNDUP(H30/BV30,0)</f>
        <v>2</v>
      </c>
      <c r="CI30" s="50" t="n">
        <f aca="false">ROUNDUP(CF30/BV30,0)</f>
        <v>0</v>
      </c>
      <c r="CJ30" s="53" t="n">
        <f aca="false">IF(BW30=1,0,IFERROR(VLOOKUP(BU30,'Gebinde-Kategorie'!$A$5:$N$45,5,0)+0,0))</f>
        <v>31</v>
      </c>
      <c r="CK30" s="53" t="n">
        <f aca="false">IFERROR(IF(OR(CB30=1,CB30=2,CB30=3),N(INDEX(Parameter!$I$5:$I$7,CB30)),0),0)</f>
        <v>0</v>
      </c>
      <c r="CL30" s="52" t="n">
        <f aca="false">IF(AND(Parameter!$B$21="Ja",ISNUMBER(W30),N(X30)&gt;0),IFERROR(N(INDEX(Parameter!$L$5:$L$7,W30))*INDEX(Parameter!$E$5:$E$7,W30)*X30/SUMIFS($X$7:$X$1843,$W$7:$W$1843,W30),0),0)</f>
        <v>0</v>
      </c>
    </row>
    <row r="31" customFormat="false" ht="15" hidden="false" customHeight="false" outlineLevel="0" collapsed="false">
      <c r="A31" s="48" t="s">
        <v>244</v>
      </c>
      <c r="B31" s="48" t="s">
        <v>245</v>
      </c>
      <c r="C31" s="48" t="s">
        <v>168</v>
      </c>
      <c r="D31" s="48" t="s">
        <v>169</v>
      </c>
      <c r="E31" s="48" t="s">
        <v>170</v>
      </c>
      <c r="F31" s="48" t="s">
        <v>222</v>
      </c>
      <c r="G31" s="49" t="n">
        <v>4074.91</v>
      </c>
      <c r="H31" s="50" t="n">
        <f aca="false">MAX(0,IF(AND(Parameter!$B$21="Ja",ISNUMBER(Y31)),Y31,IF(Parameter!$B$20="Jahresanfang 2025 + Export",BO31+BN31,BN31)))</f>
        <v>8</v>
      </c>
      <c r="I31" s="50" t="n">
        <f aca="false">H31*G31</f>
        <v>32599.28</v>
      </c>
      <c r="J31" s="50" t="n">
        <f aca="false">BQ31*Parameter!$B$18</f>
        <v>24</v>
      </c>
      <c r="K31" s="51" t="n">
        <v>6.5</v>
      </c>
      <c r="L31" s="52" t="n">
        <v>3.69230769230769</v>
      </c>
      <c r="M31" s="50" t="n">
        <v>3</v>
      </c>
      <c r="N31" s="50" t="n">
        <v>6</v>
      </c>
      <c r="O31" s="53" t="n">
        <v>49</v>
      </c>
      <c r="P31" s="48" t="s">
        <v>172</v>
      </c>
      <c r="Q31" s="50"/>
      <c r="R31" s="53" t="n">
        <f aca="false">IF(BW31=1,0,IFERROR(VLOOKUP(BU31,'Gebinde-Kategorie'!$A$5:$N$45,13,0)+0,0))</f>
        <v>0</v>
      </c>
      <c r="S31" s="54"/>
      <c r="T31" s="55"/>
      <c r="U31" s="55"/>
      <c r="V31" s="55"/>
      <c r="W31" s="48" t="n">
        <v>1</v>
      </c>
      <c r="X31" s="50" t="n">
        <v>10</v>
      </c>
      <c r="Y31" s="50" t="n">
        <v>8</v>
      </c>
      <c r="Z31" s="48" t="n">
        <f aca="false">IF(A31="","",IF(AND(Parameter!$B$21="Ja",ISNUMBER(W31)),W31,IF(BZ31="2+3",IF(ISNUMBER(SEARCH("grosser Artikel",BR31)),2,IFERROR(VLOOKUP(BU31,Parameter!$F$35:$G$64,2,0),2)),IF(OR(BZ31="Nein",BZ31=""),"-",BZ31))))</f>
        <v>1</v>
      </c>
      <c r="AA31" s="55"/>
      <c r="AB31" s="56"/>
      <c r="AC31" s="50" t="n">
        <f aca="false">AT31</f>
        <v>12</v>
      </c>
      <c r="AD31" s="50" t="n">
        <f aca="false">MAX(AT31,H31)</f>
        <v>12</v>
      </c>
      <c r="AE31" s="57"/>
      <c r="AF31" s="50" t="n">
        <f aca="false">IF(LEFT(Cockpit!$C$5,1)="A",H31,IF(CE31=1,CF31,IF(LEFT(Cockpit!$C$5,1)="B",AK31,MAX(AK31,H31))))</f>
        <v>8</v>
      </c>
      <c r="AG31" s="50" t="n">
        <f aca="false">IF(BW31=1,0,ROUNDUP(AF31/BV31,0))</f>
        <v>0</v>
      </c>
      <c r="AH31" s="52" t="n">
        <f aca="false">IF(CL31&gt;0,CL31*MAX(1,AF31/X31),IF(BW31=1,IF(AF31&lt;=0,0,CA31*MAX(1,IF(H31&gt;0,AF31/H31,1))),IF(R31&gt;0,AG31/R31,0))/MAX(0.1,N(Parameter!$M$21)))</f>
        <v>0.800376647834275</v>
      </c>
      <c r="AI31" s="50" t="n">
        <f aca="false">AH31*BY31</f>
        <v>190.489642184557</v>
      </c>
      <c r="AJ31" s="50" t="n">
        <f aca="false">AF31*G31</f>
        <v>32599.28</v>
      </c>
      <c r="AK31" s="50" t="n">
        <f aca="false">ROUNDUP(MAX(J31/IF(CD31&gt;0,CD31,MAX(0.1,N(Cockpit!$C$6))),CG31)/BV31,0)*BV31</f>
        <v>12</v>
      </c>
      <c r="AL31" s="51" t="n">
        <f aca="false">IF(AI31&gt;0,J31/AI31,-1)</f>
        <v>0.125991102323282</v>
      </c>
      <c r="AM31" s="51" t="n">
        <f aca="false">IF(AND(OR(CC31="L1",CC31="L23",CC31="LIFT"),AI31&gt;0),SUMIFS($AI$7:$AI$1843,$CC$7:$CC$1843,CC31,$AL$7:$AL$1843,"&gt;"&amp;AL31)+SUMIFS($AI$7:$AI$1843,$CC$7:$CC$1843,CC31,$AL$7:$AL$1843,AL31,$BT$7:$BT$1843,"&lt;="&amp;BT31),"")</f>
        <v>14092.120002173</v>
      </c>
      <c r="AN31" s="58" t="n">
        <f aca="false">IF(AM31="",0,MAX(0,MIN(1,(IF(CC31="L1",Parameter!$H$5,IF(CC31="L23",Parameter!$H$6+Parameter!$H$7,Parameter!$H$5+Parameter!$H$6+Parameter!$H$7))-(AM31-AI31))/AI31)))</f>
        <v>1</v>
      </c>
      <c r="AO31" s="50" t="n">
        <f aca="false">IF(LEFT(Cockpit!$I$5,1)="A",H31,IF(CE31=1,CF31,IF(LEFT(Cockpit!$I$5,1)="B",AT31,MAX(AT31,H31))))</f>
        <v>12</v>
      </c>
      <c r="AP31" s="50" t="n">
        <f aca="false">IF(BW31=1,0,ROUNDUP(AO31/BV31,0))</f>
        <v>0</v>
      </c>
      <c r="AQ31" s="52" t="n">
        <f aca="false">IF(CL31&gt;0,CL31*MAX(1,AO31/X31),IF(BW31=1,IF(AO31&lt;=0,0,CA31*MAX(1,IF(H31&gt;0,AO31/H31,1))),IF(R31&gt;0,AP31/R31,0))/MAX(0.1,N(Parameter!$M$21)))</f>
        <v>0.96045197740113</v>
      </c>
      <c r="AR31" s="50" t="n">
        <f aca="false">AQ31*BY31</f>
        <v>228.587570621469</v>
      </c>
      <c r="AS31" s="50" t="n">
        <f aca="false">AO31*G31</f>
        <v>48898.92</v>
      </c>
      <c r="AT31" s="50" t="n">
        <f aca="false">ROUNDUP(MAX(J31/IF(CD31&gt;0,CD31,MAX(0.1,N(Cockpit!$I$6))),CG31)/BV31,0)*BV31</f>
        <v>12</v>
      </c>
      <c r="AU31" s="51" t="n">
        <f aca="false">IF(AR31&gt;0,J31/AR31,-1)</f>
        <v>0.104992585269402</v>
      </c>
      <c r="AV31" s="51" t="n">
        <f aca="false">IF(AND(OR(CC31="L1",CC31="L23",CC31="LIFT"),AR31&gt;0),SUMIFS($AR$7:$AR$1843,$CC$7:$CC$1843,CC31,$AU$7:$AU$1843,"&gt;"&amp;AU31)+SUMIFS($AR$7:$AR$1843,$CC$7:$CC$1843,CC31,$AU$7:$AU$1843,AU31,$BT$7:$BT$1843,"&lt;="&amp;BT31),"")</f>
        <v>20834.8743170671</v>
      </c>
      <c r="AW31" s="58" t="n">
        <f aca="false">IF(AV31="",0,MAX(0,MIN(1,(IF(CC31="L1",Parameter!$H$5,IF(CC31="L23",Parameter!$H$6+Parameter!$H$7,Parameter!$H$5+Parameter!$H$6+Parameter!$H$7))-(AV31-AR31))/AR31)))</f>
        <v>1</v>
      </c>
      <c r="AX31" s="50" t="n">
        <f aca="false">IF(LEFT(Cockpit!$O$5,1)="A",H31,IF(CE31=1,CF31,IF(LEFT(Cockpit!$O$5,1)="B",BC31,MAX(BC31,H31))))</f>
        <v>9</v>
      </c>
      <c r="AY31" s="50" t="n">
        <f aca="false">IF(BW31=1,0,ROUNDUP(AX31/BV31,0))</f>
        <v>0</v>
      </c>
      <c r="AZ31" s="52" t="n">
        <f aca="false">IF(CL31&gt;0,CL31*MAX(1,AX31/X31),IF(BW31=1,IF(AX31&lt;=0,0,CA31*MAX(1,IF(H31&gt;0,AX31/H31,1))),IF(R31&gt;0,AY31/R31,0))/MAX(0.1,N(Parameter!$M$21)))</f>
        <v>0.800376647834275</v>
      </c>
      <c r="BA31" s="50" t="n">
        <f aca="false">AZ31*BY31</f>
        <v>190.489642184557</v>
      </c>
      <c r="BB31" s="50" t="n">
        <f aca="false">AX31*G31</f>
        <v>36674.19</v>
      </c>
      <c r="BC31" s="50" t="n">
        <f aca="false">ROUNDUP(MAX(J31/IF(CD31&gt;0,CD31,MAX(0.1,N(Cockpit!$O$6))),CG31)/BV31,0)*BV31</f>
        <v>9</v>
      </c>
      <c r="BD31" s="51" t="n">
        <f aca="false">IF(BA31&gt;0,J31/BA31,-1)</f>
        <v>0.125991102323282</v>
      </c>
      <c r="BE31" s="51" t="n">
        <f aca="false">IF(AND(OR(CC31="L1",CC31="L23",CC31="LIFT"),BA31&gt;0),SUMIFS($BA$7:$BA$1843,$CC$7:$CC$1843,CC31,$BD$7:$BD$1843,"&gt;"&amp;BD31)+SUMIFS($BA$7:$BA$1843,$CC$7:$CC$1843,CC31,$BD$7:$BD$1843,BD31,$BT$7:$BT$1843,"&lt;="&amp;BT31),"")</f>
        <v>19933.4697646986</v>
      </c>
      <c r="BF31" s="58" t="n">
        <f aca="false">IF(BE31="",0,MAX(0,MIN(1,(IF(CC31="L1",Parameter!$H$5,IF(CC31="L23",Parameter!$H$6+Parameter!$H$7,Parameter!$H$5+Parameter!$H$6+Parameter!$H$7))-(BE31-BA31))/BA31)))</f>
        <v>1</v>
      </c>
      <c r="BG31" s="48" t="str">
        <f aca="false">IF(AI31&lt;=0,"",IF(CC31="Aussen","Aussenlager",IF(CC31="-","Nicht im Lift",IF(AN31&gt;=1,"Lift",IF(AN31&lt;=0,"Aussenlager","teilweise")))))</f>
        <v>Lift</v>
      </c>
      <c r="BH31" s="48" t="str">
        <f aca="false">IF(AR31&lt;=0,"",IF(CC31="Aussen","Aussenlager",IF(CC31="-","Nicht im Lift",IF(AW31&gt;=1,"Lift",IF(AW31&lt;=0,"Aussenlager","teilweise")))))</f>
        <v>Lift</v>
      </c>
      <c r="BI31" s="48" t="str">
        <f aca="false">IF(BA31&lt;=0,"",IF(CC31="Aussen","Aussenlager",IF(CC31="-","Nicht im Lift",IF(BF31&gt;=1,"Lift",IF(BF31&lt;=0,"Aussenlager","teilweise")))))</f>
        <v>Lift</v>
      </c>
      <c r="BJ31" s="48" t="str">
        <f aca="false">IF(A31="","",IF(BS31=1,"Neu; ","")&amp;IF(AND(BS31=0,BN31&lt;0),"negativer Bestand (Export "&amp;BN31&amp;"); ","")&amp;IF(J31&lt;=0,"Kein Verbrauch; ","")&amp;IF(CL31&gt;0,"Lift "&amp;W31&amp;" lt. Liftbericht (Fach "&amp;X31&amp;" Stk); ",IF(BX31=1,"Gebinde geschätzt ("&amp;T31&amp;"); ",IF(BW31=1,"Lose – Tablare geschätzt; ","")))&amp;IF(H31&gt;AT31,"Überbestand "&amp;ROUND(H31-AT31,0)&amp;" Stk / CHF "&amp;ROUND((H31-AT31)*G31,0)&amp;"; ","")&amp;IF(AND(CE31=1,CF31&lt;CG31),"MAX &lt; MB+LG; ","")&amp;IF(AND(CK31&gt;0,CJ31*10&gt;CK31),"zu hoch für Tablar; ","")&amp;IF(AND(BS31=0,OR(CE31=1,AA31&lt;&gt;"",U31&lt;&gt;"",V31&lt;&gt;"",AB31&lt;&gt;"")),"manuell übersteuert; ","")&amp;IF(AND(BW31=0,R31=0),"Gebinde unbekannt / Stellmass fehlt; ","")&amp;IF(AND(BW31=0,N(V31)&lt;=0,N(Q31)&lt;=0),"Menge pro Gebinde fehlt (Ist = 1 Gebinde); ","")&amp;BR31)</f>
        <v>Lift 1 lt. Liftbericht (Fach 10 Stk); </v>
      </c>
      <c r="BK31" s="48" t="s">
        <v>246</v>
      </c>
      <c r="BL31" s="48" t="s">
        <v>247</v>
      </c>
      <c r="BM31" s="55"/>
      <c r="BN31" s="50" t="n">
        <v>3</v>
      </c>
      <c r="BO31" s="50" t="n">
        <v>7</v>
      </c>
      <c r="BP31" s="49" t="n">
        <v>12035.71</v>
      </c>
      <c r="BQ31" s="50" t="n">
        <v>24</v>
      </c>
      <c r="BR31" s="48"/>
      <c r="BS31" s="53" t="n">
        <v>0</v>
      </c>
      <c r="BT31" s="53" t="n">
        <v>31</v>
      </c>
      <c r="BU31" s="48" t="str">
        <f aca="false">IF(U31&lt;&gt;"",UPPER(TRIM(U31)),IF(BX31=1,UPPER(VLOOKUP(T31,Parameter!$I$27:$K$29,2,0)),IF(P31="","LOSE",P31)))</f>
        <v>LOSE</v>
      </c>
      <c r="BV31" s="50" t="n">
        <f aca="false">IF(BU31="LOSE",1,IF(N(V31)&gt;0,V31,IF(BX31=1,MAX(1,N(VLOOKUP(T31,Parameter!$I$27:$K$29,3,0)),H31,N(N31)),IF(N(Q31)&gt;0,Q31,MAX(1,H31)))))</f>
        <v>1</v>
      </c>
      <c r="BW31" s="53" t="n">
        <f aca="false">IF(BU31="LOSE",1,0)</f>
        <v>1</v>
      </c>
      <c r="BX31" s="53" t="n">
        <f aca="false">IF(AND(U31="",OR(P31="",P31="LOSE"),T31&lt;&gt;"",N(S31)&lt;=0,ISNUMBER(MATCH(T31,Parameter!$I$27:$I$29,0))),1,0)</f>
        <v>0</v>
      </c>
      <c r="BY31" s="53" t="n">
        <f aca="false">IF(CL31&gt;0,INDEX(Parameter!$H$5:$H$7,W31)/INDEX(Parameter!$E$5:$E$7,W31),IF(AND(BW31=0,N(IFERROR(VLOOKUP(BU31,'Gebinde-Kategorie'!$A$5:$N$45,14,0),0))&gt;0),VLOOKUP(BU31,'Gebinde-Kategorie'!$A$5:$N$45,14,0)*10+Parameter!$M$23,Parameter!$M$24))</f>
        <v>238</v>
      </c>
      <c r="BZ31" s="48" t="n">
        <f aca="false">IF(AND(Parameter!$B$19="Ja",E31&lt;&gt;"",ISNUMBER(MATCH(E31,Parameter!$I$35:$I$52,0))),VLOOKUP(E31,Parameter!$I$35:$J$52,2,0),IFERROR(VLOOKUP(D31,Parameter!$A$35:$C$64,2,0),"Nein"))</f>
        <v>1</v>
      </c>
      <c r="CA31" s="52" t="n">
        <f aca="false">IF(BW31=0,0,IF(N(S31)&gt;0,S31,IFERROR(VLOOKUP(D31,Parameter!$A$35:$C$64,3,0)+0,0)))</f>
        <v>1</v>
      </c>
      <c r="CB31" s="48" t="n">
        <f aca="false">IF(AA31&lt;&gt;"",AA31,Z31)</f>
        <v>1</v>
      </c>
      <c r="CC31" s="48" t="str">
        <f aca="false">IF(OR(CB31=1,CB31=2,CB31=3),IF(Parameter!$E$27="Ja","LIFT",IF(CB31=1,"L1","L23")),IF(CB31="Aussen","Aussen","-"))</f>
        <v>LIFT</v>
      </c>
      <c r="CD31" s="59" t="n">
        <f aca="false">IF(N(AB31)&gt;0,AB31,0)</f>
        <v>0</v>
      </c>
      <c r="CE31" s="53" t="n">
        <f aca="false">IF(ISNUMBER(AE31),1,0)</f>
        <v>0</v>
      </c>
      <c r="CF31" s="50" t="n">
        <f aca="false">N(AE31)</f>
        <v>0</v>
      </c>
      <c r="CG31" s="50" t="n">
        <f aca="false">N(M31)+N(N31)</f>
        <v>9</v>
      </c>
      <c r="CH31" s="50" t="n">
        <f aca="false">ROUNDUP(H31/BV31,0)</f>
        <v>8</v>
      </c>
      <c r="CI31" s="50" t="n">
        <f aca="false">ROUNDUP(CF31/BV31,0)</f>
        <v>0</v>
      </c>
      <c r="CJ31" s="53" t="n">
        <f aca="false">IF(BW31=1,0,IFERROR(VLOOKUP(BU31,'Gebinde-Kategorie'!$A$5:$N$45,5,0)+0,0))</f>
        <v>0</v>
      </c>
      <c r="CK31" s="53" t="n">
        <f aca="false">IFERROR(IF(OR(CB31=1,CB31=2,CB31=3),N(INDEX(Parameter!$I$5:$I$7,CB31)),0),0)</f>
        <v>0</v>
      </c>
      <c r="CL31" s="52" t="n">
        <f aca="false">IF(AND(Parameter!$B$21="Ja",ISNUMBER(W31),N(X31)&gt;0),IFERROR(N(INDEX(Parameter!$L$5:$L$7,W31))*INDEX(Parameter!$E$5:$E$7,W31)*X31/SUMIFS($X$7:$X$1843,$W$7:$W$1843,W31),0),0)</f>
        <v>0.800376647834275</v>
      </c>
    </row>
    <row r="32" customFormat="false" ht="15" hidden="false" customHeight="false" outlineLevel="0" collapsed="false">
      <c r="A32" s="48" t="s">
        <v>248</v>
      </c>
      <c r="B32" s="48" t="s">
        <v>249</v>
      </c>
      <c r="C32" s="48" t="s">
        <v>168</v>
      </c>
      <c r="D32" s="48" t="s">
        <v>177</v>
      </c>
      <c r="E32" s="48"/>
      <c r="F32" s="48" t="s">
        <v>222</v>
      </c>
      <c r="G32" s="49" t="n">
        <v>2801</v>
      </c>
      <c r="H32" s="50" t="n">
        <f aca="false">MAX(0,IF(AND(Parameter!$B$21="Ja",ISNUMBER(Y32)),Y32,IF(Parameter!$B$20="Jahresanfang 2025 + Export",BO32+BN32,BN32)))</f>
        <v>4</v>
      </c>
      <c r="I32" s="50" t="n">
        <f aca="false">H32*G32</f>
        <v>11204</v>
      </c>
      <c r="J32" s="50" t="n">
        <f aca="false">BQ32*Parameter!$B$18</f>
        <v>0</v>
      </c>
      <c r="K32" s="51" t="n">
        <v>0.5</v>
      </c>
      <c r="L32" s="52" t="n">
        <v>0</v>
      </c>
      <c r="M32" s="50" t="n">
        <v>0</v>
      </c>
      <c r="N32" s="50" t="n">
        <v>1</v>
      </c>
      <c r="O32" s="53" t="n">
        <v>56</v>
      </c>
      <c r="P32" s="48" t="s">
        <v>172</v>
      </c>
      <c r="Q32" s="50"/>
      <c r="R32" s="53" t="n">
        <f aca="false">IF(BW32=1,0,IFERROR(VLOOKUP(BU32,'Gebinde-Kategorie'!$A$5:$N$45,13,0)+0,0))</f>
        <v>12</v>
      </c>
      <c r="S32" s="54"/>
      <c r="T32" s="55" t="s">
        <v>183</v>
      </c>
      <c r="U32" s="55"/>
      <c r="V32" s="55"/>
      <c r="W32" s="48"/>
      <c r="X32" s="50"/>
      <c r="Y32" s="50"/>
      <c r="Z32" s="48" t="n">
        <f aca="false">IF(A32="","",IF(AND(Parameter!$B$21="Ja",ISNUMBER(W32)),W32,IF(BZ32="2+3",IF(ISNUMBER(SEARCH("grosser Artikel",BR32)),2,IFERROR(VLOOKUP(BU32,Parameter!$F$35:$G$64,2,0),2)),IF(OR(BZ32="Nein",BZ32=""),"-",BZ32))))</f>
        <v>2</v>
      </c>
      <c r="AA32" s="55"/>
      <c r="AB32" s="56"/>
      <c r="AC32" s="50" t="n">
        <f aca="false">AT32</f>
        <v>4</v>
      </c>
      <c r="AD32" s="50" t="n">
        <f aca="false">MAX(AT32,H32)</f>
        <v>4</v>
      </c>
      <c r="AE32" s="57"/>
      <c r="AF32" s="50" t="n">
        <f aca="false">IF(LEFT(Cockpit!$C$5,1)="A",H32,IF(CE32=1,CF32,IF(LEFT(Cockpit!$C$5,1)="B",AK32,MAX(AK32,H32))))</f>
        <v>4</v>
      </c>
      <c r="AG32" s="50" t="n">
        <f aca="false">IF(BW32=1,0,ROUNDUP(AF32/BV32,0))</f>
        <v>1</v>
      </c>
      <c r="AH32" s="52" t="n">
        <f aca="false">IF(CL32&gt;0,CL32*MAX(1,AF32/X32),IF(BW32=1,IF(AF32&lt;=0,0,CA32*MAX(1,IF(H32&gt;0,AF32/H32,1))),IF(R32&gt;0,AG32/R32,0))/MAX(0.1,N(Parameter!$M$21)))</f>
        <v>0.0833333333333333</v>
      </c>
      <c r="AI32" s="50" t="n">
        <f aca="false">AH32*BY32</f>
        <v>12.0833333333333</v>
      </c>
      <c r="AJ32" s="50" t="n">
        <f aca="false">AF32*G32</f>
        <v>11204</v>
      </c>
      <c r="AK32" s="50" t="n">
        <f aca="false">ROUNDUP(MAX(J32/IF(CD32&gt;0,CD32,MAX(0.1,N(Cockpit!$C$6))),CG32)/BV32,0)*BV32</f>
        <v>4</v>
      </c>
      <c r="AL32" s="51" t="n">
        <f aca="false">IF(AI32&gt;0,J32/AI32,-1)</f>
        <v>0</v>
      </c>
      <c r="AM32" s="51" t="n">
        <f aca="false">IF(AND(OR(CC32="L1",CC32="L23",CC32="LIFT"),AI32&gt;0),SUMIFS($AI$7:$AI$1843,$CC$7:$CC$1843,CC32,$AL$7:$AL$1843,"&gt;"&amp;AL32)+SUMIFS($AI$7:$AI$1843,$CC$7:$CC$1843,CC32,$AL$7:$AL$1843,AL32,$BT$7:$BT$1843,"&lt;="&amp;BT32),"")</f>
        <v>25676.1052415099</v>
      </c>
      <c r="AN32" s="58" t="n">
        <f aca="false">IF(AM32="",0,MAX(0,MIN(1,(IF(CC32="L1",Parameter!$H$5,IF(CC32="L23",Parameter!$H$6+Parameter!$H$7,Parameter!$H$5+Parameter!$H$6+Parameter!$H$7))-(AM32-AI32))/AI32)))</f>
        <v>1</v>
      </c>
      <c r="AO32" s="50" t="n">
        <f aca="false">IF(LEFT(Cockpit!$I$5,1)="A",H32,IF(CE32=1,CF32,IF(LEFT(Cockpit!$I$5,1)="B",AT32,MAX(AT32,H32))))</f>
        <v>4</v>
      </c>
      <c r="AP32" s="50" t="n">
        <f aca="false">IF(BW32=1,0,ROUNDUP(AO32/BV32,0))</f>
        <v>1</v>
      </c>
      <c r="AQ32" s="52" t="n">
        <f aca="false">IF(CL32&gt;0,CL32*MAX(1,AO32/X32),IF(BW32=1,IF(AO32&lt;=0,0,CA32*MAX(1,IF(H32&gt;0,AO32/H32,1))),IF(R32&gt;0,AP32/R32,0))/MAX(0.1,N(Parameter!$M$21)))</f>
        <v>0.0833333333333333</v>
      </c>
      <c r="AR32" s="50" t="n">
        <f aca="false">AQ32*BY32</f>
        <v>12.0833333333333</v>
      </c>
      <c r="AS32" s="50" t="n">
        <f aca="false">AO32*G32</f>
        <v>11204</v>
      </c>
      <c r="AT32" s="50" t="n">
        <f aca="false">ROUNDUP(MAX(J32/IF(CD32&gt;0,CD32,MAX(0.1,N(Cockpit!$I$6))),CG32)/BV32,0)*BV32</f>
        <v>4</v>
      </c>
      <c r="AU32" s="51" t="n">
        <f aca="false">IF(AR32&gt;0,J32/AR32,-1)</f>
        <v>0</v>
      </c>
      <c r="AV32" s="51" t="n">
        <f aca="false">IF(AND(OR(CC32="L1",CC32="L23",CC32="LIFT"),AR32&gt;0),SUMIFS($AR$7:$AR$1843,$CC$7:$CC$1843,CC32,$AU$7:$AU$1843,"&gt;"&amp;AU32)+SUMIFS($AR$7:$AR$1843,$CC$7:$CC$1843,CC32,$AU$7:$AU$1843,AU32,$BT$7:$BT$1843,"&lt;="&amp;BT32),"")</f>
        <v>36921.628461228</v>
      </c>
      <c r="AW32" s="58" t="n">
        <f aca="false">IF(AV32="",0,MAX(0,MIN(1,(IF(CC32="L1",Parameter!$H$5,IF(CC32="L23",Parameter!$H$6+Parameter!$H$7,Parameter!$H$5+Parameter!$H$6+Parameter!$H$7))-(AV32-AR32))/AR32)))</f>
        <v>0</v>
      </c>
      <c r="AX32" s="50" t="n">
        <f aca="false">IF(LEFT(Cockpit!$O$5,1)="A",H32,IF(CE32=1,CF32,IF(LEFT(Cockpit!$O$5,1)="B",BC32,MAX(BC32,H32))))</f>
        <v>4</v>
      </c>
      <c r="AY32" s="50" t="n">
        <f aca="false">IF(BW32=1,0,ROUNDUP(AX32/BV32,0))</f>
        <v>1</v>
      </c>
      <c r="AZ32" s="52" t="n">
        <f aca="false">IF(CL32&gt;0,CL32*MAX(1,AX32/X32),IF(BW32=1,IF(AX32&lt;=0,0,CA32*MAX(1,IF(H32&gt;0,AX32/H32,1))),IF(R32&gt;0,AY32/R32,0))/MAX(0.1,N(Parameter!$M$21)))</f>
        <v>0.0833333333333333</v>
      </c>
      <c r="BA32" s="50" t="n">
        <f aca="false">AZ32*BY32</f>
        <v>12.0833333333333</v>
      </c>
      <c r="BB32" s="50" t="n">
        <f aca="false">AX32*G32</f>
        <v>11204</v>
      </c>
      <c r="BC32" s="50" t="n">
        <f aca="false">ROUNDUP(MAX(J32/IF(CD32&gt;0,CD32,MAX(0.1,N(Cockpit!$O$6))),CG32)/BV32,0)*BV32</f>
        <v>4</v>
      </c>
      <c r="BD32" s="51" t="n">
        <f aca="false">IF(BA32&gt;0,J32/BA32,-1)</f>
        <v>0</v>
      </c>
      <c r="BE32" s="51" t="n">
        <f aca="false">IF(AND(OR(CC32="L1",CC32="L23",CC32="LIFT"),BA32&gt;0),SUMIFS($BA$7:$BA$1843,$CC$7:$CC$1843,CC32,$BD$7:$BD$1843,"&gt;"&amp;BD32)+SUMIFS($BA$7:$BA$1843,$CC$7:$CC$1843,CC32,$BD$7:$BD$1843,BD32,$BT$7:$BT$1843,"&lt;="&amp;BT32),"")</f>
        <v>33596.6405030939</v>
      </c>
      <c r="BF32" s="58" t="n">
        <f aca="false">IF(BE32="",0,MAX(0,MIN(1,(IF(CC32="L1",Parameter!$H$5,IF(CC32="L23",Parameter!$H$6+Parameter!$H$7,Parameter!$H$5+Parameter!$H$6+Parameter!$H$7))-(BE32-BA32))/BA32)))</f>
        <v>1</v>
      </c>
      <c r="BG32" s="48" t="str">
        <f aca="false">IF(AI32&lt;=0,"",IF(CC32="Aussen","Aussenlager",IF(CC32="-","Nicht im Lift",IF(AN32&gt;=1,"Lift",IF(AN32&lt;=0,"Aussenlager","teilweise")))))</f>
        <v>Lift</v>
      </c>
      <c r="BH32" s="48" t="str">
        <f aca="false">IF(AR32&lt;=0,"",IF(CC32="Aussen","Aussenlager",IF(CC32="-","Nicht im Lift",IF(AW32&gt;=1,"Lift",IF(AW32&lt;=0,"Aussenlager","teilweise")))))</f>
        <v>Aussenlager</v>
      </c>
      <c r="BI32" s="48" t="str">
        <f aca="false">IF(BA32&lt;=0,"",IF(CC32="Aussen","Aussenlager",IF(CC32="-","Nicht im Lift",IF(BF32&gt;=1,"Lift",IF(BF32&lt;=0,"Aussenlager","teilweise")))))</f>
        <v>Lift</v>
      </c>
      <c r="BJ32" s="48" t="str">
        <f aca="false">IF(A32="","",IF(BS32=1,"Neu; ","")&amp;IF(AND(BS32=0,BN32&lt;0),"negativer Bestand (Export "&amp;BN32&amp;"); ","")&amp;IF(J32&lt;=0,"Kein Verbrauch; ","")&amp;IF(CL32&gt;0,"Lift "&amp;W32&amp;" lt. Liftbericht (Fach "&amp;X32&amp;" Stk); ",IF(BX32=1,"Gebinde geschätzt ("&amp;T32&amp;"); ",IF(BW32=1,"Lose – Tablare geschätzt; ","")))&amp;IF(H32&gt;AT32,"Überbestand "&amp;ROUND(H32-AT32,0)&amp;" Stk / CHF "&amp;ROUND((H32-AT32)*G32,0)&amp;"; ","")&amp;IF(AND(CE32=1,CF32&lt;CG32),"MAX &lt; MB+LG; ","")&amp;IF(AND(CK32&gt;0,CJ32*10&gt;CK32),"zu hoch für Tablar; ","")&amp;IF(AND(BS32=0,OR(CE32=1,AA32&lt;&gt;"",U32&lt;&gt;"",V32&lt;&gt;"",AB32&lt;&gt;"")),"manuell übersteuert; ","")&amp;IF(AND(BW32=0,R32=0),"Gebinde unbekannt / Stellmass fehlt; ","")&amp;IF(AND(BW32=0,N(V32)&lt;=0,N(Q32)&lt;=0),"Menge pro Gebinde fehlt (Ist = 1 Gebinde); ","")&amp;BR32)</f>
        <v>Kein Verbrauch; Gebinde geschätzt (Mittel); Menge pro Gebinde fehlt (Ist = 1 Gebinde); </v>
      </c>
      <c r="BK32" s="48" t="s">
        <v>250</v>
      </c>
      <c r="BL32" s="48" t="s">
        <v>251</v>
      </c>
      <c r="BM32" s="55"/>
      <c r="BN32" s="50" t="n">
        <v>4</v>
      </c>
      <c r="BO32" s="50" t="n">
        <v>0</v>
      </c>
      <c r="BP32" s="49" t="n">
        <v>11204</v>
      </c>
      <c r="BQ32" s="50" t="n">
        <v>0</v>
      </c>
      <c r="BR32" s="48"/>
      <c r="BS32" s="53" t="n">
        <v>0</v>
      </c>
      <c r="BT32" s="53" t="n">
        <v>32</v>
      </c>
      <c r="BU32" s="48" t="str">
        <f aca="false">IF(U32&lt;&gt;"",UPPER(TRIM(U32)),IF(BX32=1,UPPER(VLOOKUP(T32,Parameter!$I$27:$K$29,2,0)),IF(P32="","LOSE",P32)))</f>
        <v>S61</v>
      </c>
      <c r="BV32" s="50" t="n">
        <f aca="false">IF(BU32="LOSE",1,IF(N(V32)&gt;0,V32,IF(BX32=1,MAX(1,N(VLOOKUP(T32,Parameter!$I$27:$K$29,3,0)),H32,N(N32)),IF(N(Q32)&gt;0,Q32,MAX(1,H32)))))</f>
        <v>4</v>
      </c>
      <c r="BW32" s="53" t="n">
        <f aca="false">IF(BU32="LOSE",1,0)</f>
        <v>0</v>
      </c>
      <c r="BX32" s="53" t="n">
        <f aca="false">IF(AND(U32="",OR(P32="",P32="LOSE"),T32&lt;&gt;"",N(S32)&lt;=0,ISNUMBER(MATCH(T32,Parameter!$I$27:$I$29,0))),1,0)</f>
        <v>1</v>
      </c>
      <c r="BY32" s="53" t="n">
        <f aca="false">IF(CL32&gt;0,INDEX(Parameter!$H$5:$H$7,W32)/INDEX(Parameter!$E$5:$E$7,W32),IF(AND(BW32=0,N(IFERROR(VLOOKUP(BU32,'Gebinde-Kategorie'!$A$5:$N$45,14,0),0))&gt;0),VLOOKUP(BU32,'Gebinde-Kategorie'!$A$5:$N$45,14,0)*10+Parameter!$M$23,Parameter!$M$24))</f>
        <v>145</v>
      </c>
      <c r="BZ32" s="48" t="str">
        <f aca="false">IF(AND(Parameter!$B$19="Ja",E32&lt;&gt;"",ISNUMBER(MATCH(E32,Parameter!$I$35:$I$52,0))),VLOOKUP(E32,Parameter!$I$35:$J$52,2,0),IFERROR(VLOOKUP(D32,Parameter!$A$35:$C$64,2,0),"Nein"))</f>
        <v>2+3</v>
      </c>
      <c r="CA32" s="52" t="n">
        <f aca="false">IF(BW32=0,0,IF(N(S32)&gt;0,S32,IFERROR(VLOOKUP(D32,Parameter!$A$35:$C$64,3,0)+0,0)))</f>
        <v>0</v>
      </c>
      <c r="CB32" s="48" t="n">
        <f aca="false">IF(AA32&lt;&gt;"",AA32,Z32)</f>
        <v>2</v>
      </c>
      <c r="CC32" s="48" t="str">
        <f aca="false">IF(OR(CB32=1,CB32=2,CB32=3),IF(Parameter!$E$27="Ja","LIFT",IF(CB32=1,"L1","L23")),IF(CB32="Aussen","Aussen","-"))</f>
        <v>LIFT</v>
      </c>
      <c r="CD32" s="59" t="n">
        <f aca="false">IF(N(AB32)&gt;0,AB32,0)</f>
        <v>0</v>
      </c>
      <c r="CE32" s="53" t="n">
        <f aca="false">IF(ISNUMBER(AE32),1,0)</f>
        <v>0</v>
      </c>
      <c r="CF32" s="50" t="n">
        <f aca="false">N(AE32)</f>
        <v>0</v>
      </c>
      <c r="CG32" s="50" t="n">
        <f aca="false">N(M32)+N(N32)</f>
        <v>1</v>
      </c>
      <c r="CH32" s="50" t="n">
        <f aca="false">ROUNDUP(H32/BV32,0)</f>
        <v>1</v>
      </c>
      <c r="CI32" s="50" t="n">
        <f aca="false">ROUNDUP(CF32/BV32,0)</f>
        <v>0</v>
      </c>
      <c r="CJ32" s="53" t="n">
        <f aca="false">IF(BW32=1,0,IFERROR(VLOOKUP(BU32,'Gebinde-Kategorie'!$A$5:$N$45,5,0)+0,0))</f>
        <v>11</v>
      </c>
      <c r="CK32" s="53" t="n">
        <f aca="false">IFERROR(IF(OR(CB32=1,CB32=2,CB32=3),N(INDEX(Parameter!$I$5:$I$7,CB32)),0),0)</f>
        <v>0</v>
      </c>
      <c r="CL32" s="52" t="n">
        <f aca="false">IF(AND(Parameter!$B$21="Ja",ISNUMBER(W32),N(X32)&gt;0),IFERROR(N(INDEX(Parameter!$L$5:$L$7,W32))*INDEX(Parameter!$E$5:$E$7,W32)*X32/SUMIFS($X$7:$X$1843,$W$7:$W$1843,W32),0),0)</f>
        <v>0</v>
      </c>
    </row>
    <row r="33" customFormat="false" ht="15" hidden="false" customHeight="false" outlineLevel="0" collapsed="false">
      <c r="A33" s="48" t="s">
        <v>252</v>
      </c>
      <c r="B33" s="48" t="s">
        <v>253</v>
      </c>
      <c r="C33" s="48" t="s">
        <v>168</v>
      </c>
      <c r="D33" s="48" t="s">
        <v>177</v>
      </c>
      <c r="E33" s="48"/>
      <c r="F33" s="48" t="s">
        <v>222</v>
      </c>
      <c r="G33" s="49" t="n">
        <v>256.88</v>
      </c>
      <c r="H33" s="50" t="n">
        <f aca="false">MAX(0,IF(AND(Parameter!$B$21="Ja",ISNUMBER(Y33)),Y33,IF(Parameter!$B$20="Jahresanfang 2025 + Export",BO33+BN33,BN33)))</f>
        <v>43</v>
      </c>
      <c r="I33" s="50" t="n">
        <f aca="false">H33*G33</f>
        <v>11045.84</v>
      </c>
      <c r="J33" s="50" t="n">
        <f aca="false">BQ33*Parameter!$B$18</f>
        <v>0</v>
      </c>
      <c r="K33" s="51" t="n">
        <v>0</v>
      </c>
      <c r="L33" s="52" t="n">
        <v>0</v>
      </c>
      <c r="M33" s="50" t="n">
        <v>12</v>
      </c>
      <c r="N33" s="50" t="n">
        <v>48</v>
      </c>
      <c r="O33" s="53" t="n">
        <v>28</v>
      </c>
      <c r="P33" s="48" t="s">
        <v>172</v>
      </c>
      <c r="Q33" s="50"/>
      <c r="R33" s="53" t="n">
        <f aca="false">IF(BW33=1,0,IFERROR(VLOOKUP(BU33,'Gebinde-Kategorie'!$A$5:$N$45,13,0)+0,0))</f>
        <v>12</v>
      </c>
      <c r="S33" s="54"/>
      <c r="T33" s="55" t="s">
        <v>183</v>
      </c>
      <c r="U33" s="55"/>
      <c r="V33" s="55"/>
      <c r="W33" s="48"/>
      <c r="X33" s="50"/>
      <c r="Y33" s="50"/>
      <c r="Z33" s="48" t="n">
        <f aca="false">IF(A33="","",IF(AND(Parameter!$B$21="Ja",ISNUMBER(W33)),W33,IF(BZ33="2+3",IF(ISNUMBER(SEARCH("grosser Artikel",BR33)),2,IFERROR(VLOOKUP(BU33,Parameter!$F$35:$G$64,2,0),2)),IF(OR(BZ33="Nein",BZ33=""),"-",BZ33))))</f>
        <v>2</v>
      </c>
      <c r="AA33" s="55"/>
      <c r="AB33" s="56"/>
      <c r="AC33" s="50" t="n">
        <f aca="false">AT33</f>
        <v>96</v>
      </c>
      <c r="AD33" s="50" t="n">
        <f aca="false">MAX(AT33,H33)</f>
        <v>96</v>
      </c>
      <c r="AE33" s="57"/>
      <c r="AF33" s="50" t="n">
        <f aca="false">IF(LEFT(Cockpit!$C$5,1)="A",H33,IF(CE33=1,CF33,IF(LEFT(Cockpit!$C$5,1)="B",AK33,MAX(AK33,H33))))</f>
        <v>43</v>
      </c>
      <c r="AG33" s="50" t="n">
        <f aca="false">IF(BW33=1,0,ROUNDUP(AF33/BV33,0))</f>
        <v>1</v>
      </c>
      <c r="AH33" s="52" t="n">
        <f aca="false">IF(CL33&gt;0,CL33*MAX(1,AF33/X33),IF(BW33=1,IF(AF33&lt;=0,0,CA33*MAX(1,IF(H33&gt;0,AF33/H33,1))),IF(R33&gt;0,AG33/R33,0))/MAX(0.1,N(Parameter!$M$21)))</f>
        <v>0.0833333333333333</v>
      </c>
      <c r="AI33" s="50" t="n">
        <f aca="false">AH33*BY33</f>
        <v>12.0833333333333</v>
      </c>
      <c r="AJ33" s="50" t="n">
        <f aca="false">AF33*G33</f>
        <v>11045.84</v>
      </c>
      <c r="AK33" s="50" t="n">
        <f aca="false">ROUNDUP(MAX(J33/IF(CD33&gt;0,CD33,MAX(0.1,N(Cockpit!$C$6))),CG33)/BV33,0)*BV33</f>
        <v>96</v>
      </c>
      <c r="AL33" s="51" t="n">
        <f aca="false">IF(AI33&gt;0,J33/AI33,-1)</f>
        <v>0</v>
      </c>
      <c r="AM33" s="51" t="n">
        <f aca="false">IF(AND(OR(CC33="L1",CC33="L23",CC33="LIFT"),AI33&gt;0),SUMIFS($AI$7:$AI$1843,$CC$7:$CC$1843,CC33,$AL$7:$AL$1843,"&gt;"&amp;AL33)+SUMIFS($AI$7:$AI$1843,$CC$7:$CC$1843,CC33,$AL$7:$AL$1843,AL33,$BT$7:$BT$1843,"&lt;="&amp;BT33),"")</f>
        <v>25688.1885748432</v>
      </c>
      <c r="AN33" s="58" t="n">
        <f aca="false">IF(AM33="",0,MAX(0,MIN(1,(IF(CC33="L1",Parameter!$H$5,IF(CC33="L23",Parameter!$H$6+Parameter!$H$7,Parameter!$H$5+Parameter!$H$6+Parameter!$H$7))-(AM33-AI33))/AI33)))</f>
        <v>1</v>
      </c>
      <c r="AO33" s="50" t="n">
        <f aca="false">IF(LEFT(Cockpit!$I$5,1)="A",H33,IF(CE33=1,CF33,IF(LEFT(Cockpit!$I$5,1)="B",AT33,MAX(AT33,H33))))</f>
        <v>96</v>
      </c>
      <c r="AP33" s="50" t="n">
        <f aca="false">IF(BW33=1,0,ROUNDUP(AO33/BV33,0))</f>
        <v>2</v>
      </c>
      <c r="AQ33" s="52" t="n">
        <f aca="false">IF(CL33&gt;0,CL33*MAX(1,AO33/X33),IF(BW33=1,IF(AO33&lt;=0,0,CA33*MAX(1,IF(H33&gt;0,AO33/H33,1))),IF(R33&gt;0,AP33/R33,0))/MAX(0.1,N(Parameter!$M$21)))</f>
        <v>0.166666666666667</v>
      </c>
      <c r="AR33" s="50" t="n">
        <f aca="false">AQ33*BY33</f>
        <v>24.1666666666667</v>
      </c>
      <c r="AS33" s="50" t="n">
        <f aca="false">AO33*G33</f>
        <v>24660.48</v>
      </c>
      <c r="AT33" s="50" t="n">
        <f aca="false">ROUNDUP(MAX(J33/IF(CD33&gt;0,CD33,MAX(0.1,N(Cockpit!$I$6))),CG33)/BV33,0)*BV33</f>
        <v>96</v>
      </c>
      <c r="AU33" s="51" t="n">
        <f aca="false">IF(AR33&gt;0,J33/AR33,-1)</f>
        <v>0</v>
      </c>
      <c r="AV33" s="51" t="n">
        <f aca="false">IF(AND(OR(CC33="L1",CC33="L23",CC33="LIFT"),AR33&gt;0),SUMIFS($AR$7:$AR$1843,$CC$7:$CC$1843,CC33,$AU$7:$AU$1843,"&gt;"&amp;AU33)+SUMIFS($AR$7:$AR$1843,$CC$7:$CC$1843,CC33,$AU$7:$AU$1843,AU33,$BT$7:$BT$1843,"&lt;="&amp;BT33),"")</f>
        <v>36945.7951278947</v>
      </c>
      <c r="AW33" s="58" t="n">
        <f aca="false">IF(AV33="",0,MAX(0,MIN(1,(IF(CC33="L1",Parameter!$H$5,IF(CC33="L23",Parameter!$H$6+Parameter!$H$7,Parameter!$H$5+Parameter!$H$6+Parameter!$H$7))-(AV33-AR33))/AR33)))</f>
        <v>0</v>
      </c>
      <c r="AX33" s="50" t="n">
        <f aca="false">IF(LEFT(Cockpit!$O$5,1)="A",H33,IF(CE33=1,CF33,IF(LEFT(Cockpit!$O$5,1)="B",BC33,MAX(BC33,H33))))</f>
        <v>96</v>
      </c>
      <c r="AY33" s="50" t="n">
        <f aca="false">IF(BW33=1,0,ROUNDUP(AX33/BV33,0))</f>
        <v>2</v>
      </c>
      <c r="AZ33" s="52" t="n">
        <f aca="false">IF(CL33&gt;0,CL33*MAX(1,AX33/X33),IF(BW33=1,IF(AX33&lt;=0,0,CA33*MAX(1,IF(H33&gt;0,AX33/H33,1))),IF(R33&gt;0,AY33/R33,0))/MAX(0.1,N(Parameter!$M$21)))</f>
        <v>0.166666666666667</v>
      </c>
      <c r="BA33" s="50" t="n">
        <f aca="false">AZ33*BY33</f>
        <v>24.1666666666667</v>
      </c>
      <c r="BB33" s="50" t="n">
        <f aca="false">AX33*G33</f>
        <v>24660.48</v>
      </c>
      <c r="BC33" s="50" t="n">
        <f aca="false">ROUNDUP(MAX(J33/IF(CD33&gt;0,CD33,MAX(0.1,N(Cockpit!$O$6))),CG33)/BV33,0)*BV33</f>
        <v>96</v>
      </c>
      <c r="BD33" s="51" t="n">
        <f aca="false">IF(BA33&gt;0,J33/BA33,-1)</f>
        <v>0</v>
      </c>
      <c r="BE33" s="51" t="n">
        <f aca="false">IF(AND(OR(CC33="L1",CC33="L23",CC33="LIFT"),BA33&gt;0),SUMIFS($BA$7:$BA$1843,$CC$7:$CC$1843,CC33,$BD$7:$BD$1843,"&gt;"&amp;BD33)+SUMIFS($BA$7:$BA$1843,$CC$7:$CC$1843,CC33,$BD$7:$BD$1843,BD33,$BT$7:$BT$1843,"&lt;="&amp;BT33),"")</f>
        <v>33620.8071697606</v>
      </c>
      <c r="BF33" s="58" t="n">
        <f aca="false">IF(BE33="",0,MAX(0,MIN(1,(IF(CC33="L1",Parameter!$H$5,IF(CC33="L23",Parameter!$H$6+Parameter!$H$7,Parameter!$H$5+Parameter!$H$6+Parameter!$H$7))-(BE33-BA33))/BA33)))</f>
        <v>1</v>
      </c>
      <c r="BG33" s="48" t="str">
        <f aca="false">IF(AI33&lt;=0,"",IF(CC33="Aussen","Aussenlager",IF(CC33="-","Nicht im Lift",IF(AN33&gt;=1,"Lift",IF(AN33&lt;=0,"Aussenlager","teilweise")))))</f>
        <v>Lift</v>
      </c>
      <c r="BH33" s="48" t="str">
        <f aca="false">IF(AR33&lt;=0,"",IF(CC33="Aussen","Aussenlager",IF(CC33="-","Nicht im Lift",IF(AW33&gt;=1,"Lift",IF(AW33&lt;=0,"Aussenlager","teilweise")))))</f>
        <v>Aussenlager</v>
      </c>
      <c r="BI33" s="48" t="str">
        <f aca="false">IF(BA33&lt;=0,"",IF(CC33="Aussen","Aussenlager",IF(CC33="-","Nicht im Lift",IF(BF33&gt;=1,"Lift",IF(BF33&lt;=0,"Aussenlager","teilweise")))))</f>
        <v>Lift</v>
      </c>
      <c r="BJ33" s="48" t="str">
        <f aca="false">IF(A33="","",IF(BS33=1,"Neu; ","")&amp;IF(AND(BS33=0,BN33&lt;0),"negativer Bestand (Export "&amp;BN33&amp;"); ","")&amp;IF(J33&lt;=0,"Kein Verbrauch; ","")&amp;IF(CL33&gt;0,"Lift "&amp;W33&amp;" lt. Liftbericht (Fach "&amp;X33&amp;" Stk); ",IF(BX33=1,"Gebinde geschätzt ("&amp;T33&amp;"); ",IF(BW33=1,"Lose – Tablare geschätzt; ","")))&amp;IF(H33&gt;AT33,"Überbestand "&amp;ROUND(H33-AT33,0)&amp;" Stk / CHF "&amp;ROUND((H33-AT33)*G33,0)&amp;"; ","")&amp;IF(AND(CE33=1,CF33&lt;CG33),"MAX &lt; MB+LG; ","")&amp;IF(AND(CK33&gt;0,CJ33*10&gt;CK33),"zu hoch für Tablar; ","")&amp;IF(AND(BS33=0,OR(CE33=1,AA33&lt;&gt;"",U33&lt;&gt;"",V33&lt;&gt;"",AB33&lt;&gt;"")),"manuell übersteuert; ","")&amp;IF(AND(BW33=0,R33=0),"Gebinde unbekannt / Stellmass fehlt; ","")&amp;IF(AND(BW33=0,N(V33)&lt;=0,N(Q33)&lt;=0),"Menge pro Gebinde fehlt (Ist = 1 Gebinde); ","")&amp;BR33)</f>
        <v>Kein Verbrauch; Gebinde geschätzt (Mittel); Menge pro Gebinde fehlt (Ist = 1 Gebinde); </v>
      </c>
      <c r="BK33" s="48" t="s">
        <v>254</v>
      </c>
      <c r="BL33" s="48" t="s">
        <v>251</v>
      </c>
      <c r="BM33" s="55"/>
      <c r="BN33" s="50" t="n">
        <v>43</v>
      </c>
      <c r="BO33" s="50" t="n">
        <v>0</v>
      </c>
      <c r="BP33" s="49" t="n">
        <v>11045.84</v>
      </c>
      <c r="BQ33" s="50" t="n">
        <v>0</v>
      </c>
      <c r="BR33" s="48"/>
      <c r="BS33" s="53" t="n">
        <v>0</v>
      </c>
      <c r="BT33" s="53" t="n">
        <v>33</v>
      </c>
      <c r="BU33" s="48" t="str">
        <f aca="false">IF(U33&lt;&gt;"",UPPER(TRIM(U33)),IF(BX33=1,UPPER(VLOOKUP(T33,Parameter!$I$27:$K$29,2,0)),IF(P33="","LOSE",P33)))</f>
        <v>S61</v>
      </c>
      <c r="BV33" s="50" t="n">
        <f aca="false">IF(BU33="LOSE",1,IF(N(V33)&gt;0,V33,IF(BX33=1,MAX(1,N(VLOOKUP(T33,Parameter!$I$27:$K$29,3,0)),H33,N(N33)),IF(N(Q33)&gt;0,Q33,MAX(1,H33)))))</f>
        <v>48</v>
      </c>
      <c r="BW33" s="53" t="n">
        <f aca="false">IF(BU33="LOSE",1,0)</f>
        <v>0</v>
      </c>
      <c r="BX33" s="53" t="n">
        <f aca="false">IF(AND(U33="",OR(P33="",P33="LOSE"),T33&lt;&gt;"",N(S33)&lt;=0,ISNUMBER(MATCH(T33,Parameter!$I$27:$I$29,0))),1,0)</f>
        <v>1</v>
      </c>
      <c r="BY33" s="53" t="n">
        <f aca="false">IF(CL33&gt;0,INDEX(Parameter!$H$5:$H$7,W33)/INDEX(Parameter!$E$5:$E$7,W33),IF(AND(BW33=0,N(IFERROR(VLOOKUP(BU33,'Gebinde-Kategorie'!$A$5:$N$45,14,0),0))&gt;0),VLOOKUP(BU33,'Gebinde-Kategorie'!$A$5:$N$45,14,0)*10+Parameter!$M$23,Parameter!$M$24))</f>
        <v>145</v>
      </c>
      <c r="BZ33" s="48" t="str">
        <f aca="false">IF(AND(Parameter!$B$19="Ja",E33&lt;&gt;"",ISNUMBER(MATCH(E33,Parameter!$I$35:$I$52,0))),VLOOKUP(E33,Parameter!$I$35:$J$52,2,0),IFERROR(VLOOKUP(D33,Parameter!$A$35:$C$64,2,0),"Nein"))</f>
        <v>2+3</v>
      </c>
      <c r="CA33" s="52" t="n">
        <f aca="false">IF(BW33=0,0,IF(N(S33)&gt;0,S33,IFERROR(VLOOKUP(D33,Parameter!$A$35:$C$64,3,0)+0,0)))</f>
        <v>0</v>
      </c>
      <c r="CB33" s="48" t="n">
        <f aca="false">IF(AA33&lt;&gt;"",AA33,Z33)</f>
        <v>2</v>
      </c>
      <c r="CC33" s="48" t="str">
        <f aca="false">IF(OR(CB33=1,CB33=2,CB33=3),IF(Parameter!$E$27="Ja","LIFT",IF(CB33=1,"L1","L23")),IF(CB33="Aussen","Aussen","-"))</f>
        <v>LIFT</v>
      </c>
      <c r="CD33" s="59" t="n">
        <f aca="false">IF(N(AB33)&gt;0,AB33,0)</f>
        <v>0</v>
      </c>
      <c r="CE33" s="53" t="n">
        <f aca="false">IF(ISNUMBER(AE33),1,0)</f>
        <v>0</v>
      </c>
      <c r="CF33" s="50" t="n">
        <f aca="false">N(AE33)</f>
        <v>0</v>
      </c>
      <c r="CG33" s="50" t="n">
        <f aca="false">N(M33)+N(N33)</f>
        <v>60</v>
      </c>
      <c r="CH33" s="50" t="n">
        <f aca="false">ROUNDUP(H33/BV33,0)</f>
        <v>1</v>
      </c>
      <c r="CI33" s="50" t="n">
        <f aca="false">ROUNDUP(CF33/BV33,0)</f>
        <v>0</v>
      </c>
      <c r="CJ33" s="53" t="n">
        <f aca="false">IF(BW33=1,0,IFERROR(VLOOKUP(BU33,'Gebinde-Kategorie'!$A$5:$N$45,5,0)+0,0))</f>
        <v>11</v>
      </c>
      <c r="CK33" s="53" t="n">
        <f aca="false">IFERROR(IF(OR(CB33=1,CB33=2,CB33=3),N(INDEX(Parameter!$I$5:$I$7,CB33)),0),0)</f>
        <v>0</v>
      </c>
      <c r="CL33" s="52" t="n">
        <f aca="false">IF(AND(Parameter!$B$21="Ja",ISNUMBER(W33),N(X33)&gt;0),IFERROR(N(INDEX(Parameter!$L$5:$L$7,W33))*INDEX(Parameter!$E$5:$E$7,W33)*X33/SUMIFS($X$7:$X$1843,$W$7:$W$1843,W33),0),0)</f>
        <v>0</v>
      </c>
    </row>
    <row r="34" customFormat="false" ht="15" hidden="false" customHeight="false" outlineLevel="0" collapsed="false">
      <c r="A34" s="48" t="s">
        <v>255</v>
      </c>
      <c r="B34" s="48" t="s">
        <v>210</v>
      </c>
      <c r="C34" s="48" t="s">
        <v>168</v>
      </c>
      <c r="D34" s="48" t="s">
        <v>177</v>
      </c>
      <c r="E34" s="48"/>
      <c r="F34" s="48" t="s">
        <v>222</v>
      </c>
      <c r="G34" s="49" t="n">
        <v>3576.83</v>
      </c>
      <c r="H34" s="50" t="n">
        <f aca="false">MAX(0,IF(AND(Parameter!$B$21="Ja",ISNUMBER(Y34)),Y34,IF(Parameter!$B$20="Jahresanfang 2025 + Export",BO34+BN34,BN34)))</f>
        <v>5</v>
      </c>
      <c r="I34" s="50" t="n">
        <f aca="false">H34*G34</f>
        <v>17884.15</v>
      </c>
      <c r="J34" s="50" t="n">
        <f aca="false">BQ34*Parameter!$B$18</f>
        <v>2</v>
      </c>
      <c r="K34" s="51" t="n">
        <v>4.5</v>
      </c>
      <c r="L34" s="52" t="n">
        <v>0.444444444444444</v>
      </c>
      <c r="M34" s="50" t="n">
        <v>2</v>
      </c>
      <c r="N34" s="50" t="n">
        <v>5</v>
      </c>
      <c r="O34" s="53" t="n">
        <v>84</v>
      </c>
      <c r="P34" s="48" t="s">
        <v>172</v>
      </c>
      <c r="Q34" s="50"/>
      <c r="R34" s="53" t="n">
        <f aca="false">IF(BW34=1,0,IFERROR(VLOOKUP(BU34,'Gebinde-Kategorie'!$A$5:$N$45,13,0)+0,0))</f>
        <v>0</v>
      </c>
      <c r="S34" s="54"/>
      <c r="T34" s="55"/>
      <c r="U34" s="55"/>
      <c r="V34" s="55"/>
      <c r="W34" s="48" t="n">
        <v>1</v>
      </c>
      <c r="X34" s="50" t="n">
        <v>6</v>
      </c>
      <c r="Y34" s="50" t="n">
        <v>5</v>
      </c>
      <c r="Z34" s="48" t="n">
        <f aca="false">IF(A34="","",IF(AND(Parameter!$B$21="Ja",ISNUMBER(W34)),W34,IF(BZ34="2+3",IF(ISNUMBER(SEARCH("grosser Artikel",BR34)),2,IFERROR(VLOOKUP(BU34,Parameter!$F$35:$G$64,2,0),2)),IF(OR(BZ34="Nein",BZ34=""),"-",BZ34))))</f>
        <v>1</v>
      </c>
      <c r="AA34" s="55"/>
      <c r="AB34" s="56"/>
      <c r="AC34" s="50" t="n">
        <f aca="false">AT34</f>
        <v>7</v>
      </c>
      <c r="AD34" s="50" t="n">
        <f aca="false">MAX(AT34,H34)</f>
        <v>7</v>
      </c>
      <c r="AE34" s="57"/>
      <c r="AF34" s="50" t="n">
        <f aca="false">IF(LEFT(Cockpit!$C$5,1)="A",H34,IF(CE34=1,CF34,IF(LEFT(Cockpit!$C$5,1)="B",AK34,MAX(AK34,H34))))</f>
        <v>5</v>
      </c>
      <c r="AG34" s="50" t="n">
        <f aca="false">IF(BW34=1,0,ROUNDUP(AF34/BV34,0))</f>
        <v>0</v>
      </c>
      <c r="AH34" s="52" t="n">
        <f aca="false">IF(CL34&gt;0,CL34*MAX(1,AF34/X34),IF(BW34=1,IF(AF34&lt;=0,0,CA34*MAX(1,IF(H34&gt;0,AF34/H34,1))),IF(R34&gt;0,AG34/R34,0))/MAX(0.1,N(Parameter!$M$21)))</f>
        <v>0.480225988700565</v>
      </c>
      <c r="AI34" s="50" t="n">
        <f aca="false">AH34*BY34</f>
        <v>114.293785310734</v>
      </c>
      <c r="AJ34" s="50" t="n">
        <f aca="false">AF34*G34</f>
        <v>17884.15</v>
      </c>
      <c r="AK34" s="50" t="n">
        <f aca="false">ROUNDUP(MAX(J34/IF(CD34&gt;0,CD34,MAX(0.1,N(Cockpit!$C$6))),CG34)/BV34,0)*BV34</f>
        <v>7</v>
      </c>
      <c r="AL34" s="51" t="n">
        <f aca="false">IF(AI34&gt;0,J34/AI34,-1)</f>
        <v>0.017498764211567</v>
      </c>
      <c r="AM34" s="51" t="n">
        <f aca="false">IF(AND(OR(CC34="L1",CC34="L23",CC34="LIFT"),AI34&gt;0),SUMIFS($AI$7:$AI$1843,$CC$7:$CC$1843,CC34,$AL$7:$AL$1843,"&gt;"&amp;AL34)+SUMIFS($AI$7:$AI$1843,$CC$7:$CC$1843,CC34,$AL$7:$AL$1843,AL34,$BT$7:$BT$1843,"&lt;="&amp;BT34),"")</f>
        <v>23415.7302078806</v>
      </c>
      <c r="AN34" s="58" t="n">
        <f aca="false">IF(AM34="",0,MAX(0,MIN(1,(IF(CC34="L1",Parameter!$H$5,IF(CC34="L23",Parameter!$H$6+Parameter!$H$7,Parameter!$H$5+Parameter!$H$6+Parameter!$H$7))-(AM34-AI34))/AI34)))</f>
        <v>1</v>
      </c>
      <c r="AO34" s="50" t="n">
        <f aca="false">IF(LEFT(Cockpit!$I$5,1)="A",H34,IF(CE34=1,CF34,IF(LEFT(Cockpit!$I$5,1)="B",AT34,MAX(AT34,H34))))</f>
        <v>7</v>
      </c>
      <c r="AP34" s="50" t="n">
        <f aca="false">IF(BW34=1,0,ROUNDUP(AO34/BV34,0))</f>
        <v>0</v>
      </c>
      <c r="AQ34" s="52" t="n">
        <f aca="false">IF(CL34&gt;0,CL34*MAX(1,AO34/X34),IF(BW34=1,IF(AO34&lt;=0,0,CA34*MAX(1,IF(H34&gt;0,AO34/H34,1))),IF(R34&gt;0,AP34/R34,0))/MAX(0.1,N(Parameter!$M$21)))</f>
        <v>0.560263653483993</v>
      </c>
      <c r="AR34" s="50" t="n">
        <f aca="false">AQ34*BY34</f>
        <v>133.34274952919</v>
      </c>
      <c r="AS34" s="50" t="n">
        <f aca="false">AO34*G34</f>
        <v>25037.81</v>
      </c>
      <c r="AT34" s="50" t="n">
        <f aca="false">ROUNDUP(MAX(J34/IF(CD34&gt;0,CD34,MAX(0.1,N(Cockpit!$I$6))),CG34)/BV34,0)*BV34</f>
        <v>7</v>
      </c>
      <c r="AU34" s="51" t="n">
        <f aca="false">IF(AR34&gt;0,J34/AR34,-1)</f>
        <v>0.0149989407527717</v>
      </c>
      <c r="AV34" s="51" t="n">
        <f aca="false">IF(AND(OR(CC34="L1",CC34="L23",CC34="LIFT"),AR34&gt;0),SUMIFS($AR$7:$AR$1843,$CC$7:$CC$1843,CC34,$AU$7:$AU$1843,"&gt;"&amp;AU34)+SUMIFS($AR$7:$AR$1843,$CC$7:$CC$1843,CC34,$AU$7:$AU$1843,AU34,$BT$7:$BT$1843,"&lt;="&amp;BT34),"")</f>
        <v>35310.5213183709</v>
      </c>
      <c r="AW34" s="58" t="n">
        <f aca="false">IF(AV34="",0,MAX(0,MIN(1,(IF(CC34="L1",Parameter!$H$5,IF(CC34="L23",Parameter!$H$6+Parameter!$H$7,Parameter!$H$5+Parameter!$H$6+Parameter!$H$7))-(AV34-AR34))/AR34)))</f>
        <v>1</v>
      </c>
      <c r="AX34" s="50" t="n">
        <f aca="false">IF(LEFT(Cockpit!$O$5,1)="A",H34,IF(CE34=1,CF34,IF(LEFT(Cockpit!$O$5,1)="B",BC34,MAX(BC34,H34))))</f>
        <v>7</v>
      </c>
      <c r="AY34" s="50" t="n">
        <f aca="false">IF(BW34=1,0,ROUNDUP(AX34/BV34,0))</f>
        <v>0</v>
      </c>
      <c r="AZ34" s="52" t="n">
        <f aca="false">IF(CL34&gt;0,CL34*MAX(1,AX34/X34),IF(BW34=1,IF(AX34&lt;=0,0,CA34*MAX(1,IF(H34&gt;0,AX34/H34,1))),IF(R34&gt;0,AY34/R34,0))/MAX(0.1,N(Parameter!$M$21)))</f>
        <v>0.560263653483993</v>
      </c>
      <c r="BA34" s="50" t="n">
        <f aca="false">AZ34*BY34</f>
        <v>133.34274952919</v>
      </c>
      <c r="BB34" s="50" t="n">
        <f aca="false">AX34*G34</f>
        <v>25037.81</v>
      </c>
      <c r="BC34" s="50" t="n">
        <f aca="false">ROUNDUP(MAX(J34/IF(CD34&gt;0,CD34,MAX(0.1,N(Cockpit!$O$6))),CG34)/BV34,0)*BV34</f>
        <v>7</v>
      </c>
      <c r="BD34" s="51" t="n">
        <f aca="false">IF(BA34&gt;0,J34/BA34,-1)</f>
        <v>0.0149989407527717</v>
      </c>
      <c r="BE34" s="51" t="n">
        <f aca="false">IF(AND(OR(CC34="L1",CC34="L23",CC34="LIFT"),BA34&gt;0),SUMIFS($BA$7:$BA$1843,$CC$7:$CC$1843,CC34,$BD$7:$BD$1843,"&gt;"&amp;BD34)+SUMIFS($BA$7:$BA$1843,$CC$7:$CC$1843,CC34,$BD$7:$BD$1843,BD34,$BT$7:$BT$1843,"&lt;="&amp;BT34),"")</f>
        <v>31985.5333602368</v>
      </c>
      <c r="BF34" s="58" t="n">
        <f aca="false">IF(BE34="",0,MAX(0,MIN(1,(IF(CC34="L1",Parameter!$H$5,IF(CC34="L23",Parameter!$H$6+Parameter!$H$7,Parameter!$H$5+Parameter!$H$6+Parameter!$H$7))-(BE34-BA34))/BA34)))</f>
        <v>1</v>
      </c>
      <c r="BG34" s="48" t="str">
        <f aca="false">IF(AI34&lt;=0,"",IF(CC34="Aussen","Aussenlager",IF(CC34="-","Nicht im Lift",IF(AN34&gt;=1,"Lift",IF(AN34&lt;=0,"Aussenlager","teilweise")))))</f>
        <v>Lift</v>
      </c>
      <c r="BH34" s="48" t="str">
        <f aca="false">IF(AR34&lt;=0,"",IF(CC34="Aussen","Aussenlager",IF(CC34="-","Nicht im Lift",IF(AW34&gt;=1,"Lift",IF(AW34&lt;=0,"Aussenlager","teilweise")))))</f>
        <v>Lift</v>
      </c>
      <c r="BI34" s="48" t="str">
        <f aca="false">IF(BA34&lt;=0,"",IF(CC34="Aussen","Aussenlager",IF(CC34="-","Nicht im Lift",IF(BF34&gt;=1,"Lift",IF(BF34&lt;=0,"Aussenlager","teilweise")))))</f>
        <v>Lift</v>
      </c>
      <c r="BJ34" s="48" t="str">
        <f aca="false">IF(A34="","",IF(BS34=1,"Neu; ","")&amp;IF(AND(BS34=0,BN34&lt;0),"negativer Bestand (Export "&amp;BN34&amp;"); ","")&amp;IF(J34&lt;=0,"Kein Verbrauch; ","")&amp;IF(CL34&gt;0,"Lift "&amp;W34&amp;" lt. Liftbericht (Fach "&amp;X34&amp;" Stk); ",IF(BX34=1,"Gebinde geschätzt ("&amp;T34&amp;"); ",IF(BW34=1,"Lose – Tablare geschätzt; ","")))&amp;IF(H34&gt;AT34,"Überbestand "&amp;ROUND(H34-AT34,0)&amp;" Stk / CHF "&amp;ROUND((H34-AT34)*G34,0)&amp;"; ","")&amp;IF(AND(CE34=1,CF34&lt;CG34),"MAX &lt; MB+LG; ","")&amp;IF(AND(CK34&gt;0,CJ34*10&gt;CK34),"zu hoch für Tablar; ","")&amp;IF(AND(BS34=0,OR(CE34=1,AA34&lt;&gt;"",U34&lt;&gt;"",V34&lt;&gt;"",AB34&lt;&gt;"")),"manuell übersteuert; ","")&amp;IF(AND(BW34=0,R34=0),"Gebinde unbekannt / Stellmass fehlt; ","")&amp;IF(AND(BW34=0,N(V34)&lt;=0,N(Q34)&lt;=0),"Menge pro Gebinde fehlt (Ist = 1 Gebinde); ","")&amp;BR34)</f>
        <v>Lift 1 lt. Liftbericht (Fach 6 Stk); </v>
      </c>
      <c r="BK34" s="48"/>
      <c r="BL34" s="48"/>
      <c r="BM34" s="55"/>
      <c r="BN34" s="50" t="n">
        <v>3</v>
      </c>
      <c r="BO34" s="50" t="n">
        <v>3</v>
      </c>
      <c r="BP34" s="49" t="n">
        <v>10844.04</v>
      </c>
      <c r="BQ34" s="50" t="n">
        <v>2</v>
      </c>
      <c r="BR34" s="48"/>
      <c r="BS34" s="53" t="n">
        <v>0</v>
      </c>
      <c r="BT34" s="53" t="n">
        <v>34</v>
      </c>
      <c r="BU34" s="48" t="str">
        <f aca="false">IF(U34&lt;&gt;"",UPPER(TRIM(U34)),IF(BX34=1,UPPER(VLOOKUP(T34,Parameter!$I$27:$K$29,2,0)),IF(P34="","LOSE",P34)))</f>
        <v>LOSE</v>
      </c>
      <c r="BV34" s="50" t="n">
        <f aca="false">IF(BU34="LOSE",1,IF(N(V34)&gt;0,V34,IF(BX34=1,MAX(1,N(VLOOKUP(T34,Parameter!$I$27:$K$29,3,0)),H34,N(N34)),IF(N(Q34)&gt;0,Q34,MAX(1,H34)))))</f>
        <v>1</v>
      </c>
      <c r="BW34" s="53" t="n">
        <f aca="false">IF(BU34="LOSE",1,0)</f>
        <v>1</v>
      </c>
      <c r="BX34" s="53" t="n">
        <f aca="false">IF(AND(U34="",OR(P34="",P34="LOSE"),T34&lt;&gt;"",N(S34)&lt;=0,ISNUMBER(MATCH(T34,Parameter!$I$27:$I$29,0))),1,0)</f>
        <v>0</v>
      </c>
      <c r="BY34" s="53" t="n">
        <f aca="false">IF(CL34&gt;0,INDEX(Parameter!$H$5:$H$7,W34)/INDEX(Parameter!$E$5:$E$7,W34),IF(AND(BW34=0,N(IFERROR(VLOOKUP(BU34,'Gebinde-Kategorie'!$A$5:$N$45,14,0),0))&gt;0),VLOOKUP(BU34,'Gebinde-Kategorie'!$A$5:$N$45,14,0)*10+Parameter!$M$23,Parameter!$M$24))</f>
        <v>238</v>
      </c>
      <c r="BZ34" s="48" t="str">
        <f aca="false">IF(AND(Parameter!$B$19="Ja",E34&lt;&gt;"",ISNUMBER(MATCH(E34,Parameter!$I$35:$I$52,0))),VLOOKUP(E34,Parameter!$I$35:$J$52,2,0),IFERROR(VLOOKUP(D34,Parameter!$A$35:$C$64,2,0),"Nein"))</f>
        <v>2+3</v>
      </c>
      <c r="CA34" s="52" t="n">
        <f aca="false">IF(BW34=0,0,IF(N(S34)&gt;0,S34,IFERROR(VLOOKUP(D34,Parameter!$A$35:$C$64,3,0)+0,0)))</f>
        <v>0.15</v>
      </c>
      <c r="CB34" s="48" t="n">
        <f aca="false">IF(AA34&lt;&gt;"",AA34,Z34)</f>
        <v>1</v>
      </c>
      <c r="CC34" s="48" t="str">
        <f aca="false">IF(OR(CB34=1,CB34=2,CB34=3),IF(Parameter!$E$27="Ja","LIFT",IF(CB34=1,"L1","L23")),IF(CB34="Aussen","Aussen","-"))</f>
        <v>LIFT</v>
      </c>
      <c r="CD34" s="59" t="n">
        <f aca="false">IF(N(AB34)&gt;0,AB34,0)</f>
        <v>0</v>
      </c>
      <c r="CE34" s="53" t="n">
        <f aca="false">IF(ISNUMBER(AE34),1,0)</f>
        <v>0</v>
      </c>
      <c r="CF34" s="50" t="n">
        <f aca="false">N(AE34)</f>
        <v>0</v>
      </c>
      <c r="CG34" s="50" t="n">
        <f aca="false">N(M34)+N(N34)</f>
        <v>7</v>
      </c>
      <c r="CH34" s="50" t="n">
        <f aca="false">ROUNDUP(H34/BV34,0)</f>
        <v>5</v>
      </c>
      <c r="CI34" s="50" t="n">
        <f aca="false">ROUNDUP(CF34/BV34,0)</f>
        <v>0</v>
      </c>
      <c r="CJ34" s="53" t="n">
        <f aca="false">IF(BW34=1,0,IFERROR(VLOOKUP(BU34,'Gebinde-Kategorie'!$A$5:$N$45,5,0)+0,0))</f>
        <v>0</v>
      </c>
      <c r="CK34" s="53" t="n">
        <f aca="false">IFERROR(IF(OR(CB34=1,CB34=2,CB34=3),N(INDEX(Parameter!$I$5:$I$7,CB34)),0),0)</f>
        <v>0</v>
      </c>
      <c r="CL34" s="52" t="n">
        <f aca="false">IF(AND(Parameter!$B$21="Ja",ISNUMBER(W34),N(X34)&gt;0),IFERROR(N(INDEX(Parameter!$L$5:$L$7,W34))*INDEX(Parameter!$E$5:$E$7,W34)*X34/SUMIFS($X$7:$X$1843,$W$7:$W$1843,W34),0),0)</f>
        <v>0.480225988700565</v>
      </c>
    </row>
    <row r="35" customFormat="false" ht="15" hidden="false" customHeight="false" outlineLevel="0" collapsed="false">
      <c r="A35" s="48" t="s">
        <v>256</v>
      </c>
      <c r="B35" s="48" t="s">
        <v>257</v>
      </c>
      <c r="C35" s="48" t="s">
        <v>168</v>
      </c>
      <c r="D35" s="48" t="s">
        <v>169</v>
      </c>
      <c r="E35" s="48" t="s">
        <v>170</v>
      </c>
      <c r="F35" s="48" t="s">
        <v>222</v>
      </c>
      <c r="G35" s="49" t="n">
        <v>1373.75</v>
      </c>
      <c r="H35" s="50" t="n">
        <f aca="false">MAX(0,IF(AND(Parameter!$B$21="Ja",ISNUMBER(Y35)),Y35,IF(Parameter!$B$20="Jahresanfang 2025 + Export",BO35+BN35,BN35)))</f>
        <v>19</v>
      </c>
      <c r="I35" s="50" t="n">
        <f aca="false">H35*G35</f>
        <v>26101.25</v>
      </c>
      <c r="J35" s="50" t="n">
        <f aca="false">BQ35*Parameter!$B$18</f>
        <v>17</v>
      </c>
      <c r="K35" s="51" t="n">
        <v>26</v>
      </c>
      <c r="L35" s="52" t="n">
        <v>0.653846153846154</v>
      </c>
      <c r="M35" s="50" t="n">
        <v>4</v>
      </c>
      <c r="N35" s="50" t="n">
        <v>5</v>
      </c>
      <c r="O35" s="53" t="n">
        <v>70</v>
      </c>
      <c r="P35" s="48" t="s">
        <v>172</v>
      </c>
      <c r="Q35" s="50"/>
      <c r="R35" s="53" t="n">
        <f aca="false">IF(BW35=1,0,IFERROR(VLOOKUP(BU35,'Gebinde-Kategorie'!$A$5:$N$45,13,0)+0,0))</f>
        <v>0</v>
      </c>
      <c r="S35" s="54"/>
      <c r="T35" s="55"/>
      <c r="U35" s="55"/>
      <c r="V35" s="55"/>
      <c r="W35" s="48" t="n">
        <v>1</v>
      </c>
      <c r="X35" s="50" t="n">
        <v>34</v>
      </c>
      <c r="Y35" s="50" t="n">
        <v>19</v>
      </c>
      <c r="Z35" s="48" t="n">
        <f aca="false">IF(A35="","",IF(AND(Parameter!$B$21="Ja",ISNUMBER(W35)),W35,IF(BZ35="2+3",IF(ISNUMBER(SEARCH("grosser Artikel",BR35)),2,IFERROR(VLOOKUP(BU35,Parameter!$F$35:$G$64,2,0),2)),IF(OR(BZ35="Nein",BZ35=""),"-",BZ35))))</f>
        <v>1</v>
      </c>
      <c r="AA35" s="55"/>
      <c r="AB35" s="56"/>
      <c r="AC35" s="50" t="n">
        <f aca="false">AT35</f>
        <v>9</v>
      </c>
      <c r="AD35" s="50" t="n">
        <f aca="false">MAX(AT35,H35)</f>
        <v>19</v>
      </c>
      <c r="AE35" s="57"/>
      <c r="AF35" s="50" t="n">
        <f aca="false">IF(LEFT(Cockpit!$C$5,1)="A",H35,IF(CE35=1,CF35,IF(LEFT(Cockpit!$C$5,1)="B",AK35,MAX(AK35,H35))))</f>
        <v>19</v>
      </c>
      <c r="AG35" s="50" t="n">
        <f aca="false">IF(BW35=1,0,ROUNDUP(AF35/BV35,0))</f>
        <v>0</v>
      </c>
      <c r="AH35" s="52" t="n">
        <f aca="false">IF(CL35&gt;0,CL35*MAX(1,AF35/X35),IF(BW35=1,IF(AF35&lt;=0,0,CA35*MAX(1,IF(H35&gt;0,AF35/H35,1))),IF(R35&gt;0,AG35/R35,0))/MAX(0.1,N(Parameter!$M$21)))</f>
        <v>2.72128060263654</v>
      </c>
      <c r="AI35" s="50" t="n">
        <f aca="false">AH35*BY35</f>
        <v>647.664783427495</v>
      </c>
      <c r="AJ35" s="50" t="n">
        <f aca="false">AF35*G35</f>
        <v>26101.25</v>
      </c>
      <c r="AK35" s="50" t="n">
        <f aca="false">ROUNDUP(MAX(J35/IF(CD35&gt;0,CD35,MAX(0.1,N(Cockpit!$C$6))),CG35)/BV35,0)*BV35</f>
        <v>9</v>
      </c>
      <c r="AL35" s="51" t="n">
        <f aca="false">IF(AI35&gt;0,J35/AI35,-1)</f>
        <v>0.0262481463173505</v>
      </c>
      <c r="AM35" s="51" t="n">
        <f aca="false">IF(AND(OR(CC35="L1",CC35="L23",CC35="LIFT"),AI35&gt;0),SUMIFS($AI$7:$AI$1843,$CC$7:$CC$1843,CC35,$AL$7:$AL$1843,"&gt;"&amp;AL35)+SUMIFS($AI$7:$AI$1843,$CC$7:$CC$1843,CC35,$AL$7:$AL$1843,AL35,$BT$7:$BT$1843,"&lt;="&amp;BT35),"")</f>
        <v>21615.3166195857</v>
      </c>
      <c r="AN35" s="58" t="n">
        <f aca="false">IF(AM35="",0,MAX(0,MIN(1,(IF(CC35="L1",Parameter!$H$5,IF(CC35="L23",Parameter!$H$6+Parameter!$H$7,Parameter!$H$5+Parameter!$H$6+Parameter!$H$7))-(AM35-AI35))/AI35)))</f>
        <v>1</v>
      </c>
      <c r="AO35" s="50" t="n">
        <f aca="false">IF(LEFT(Cockpit!$I$5,1)="A",H35,IF(CE35=1,CF35,IF(LEFT(Cockpit!$I$5,1)="B",AT35,MAX(AT35,H35))))</f>
        <v>19</v>
      </c>
      <c r="AP35" s="50" t="n">
        <f aca="false">IF(BW35=1,0,ROUNDUP(AO35/BV35,0))</f>
        <v>0</v>
      </c>
      <c r="AQ35" s="52" t="n">
        <f aca="false">IF(CL35&gt;0,CL35*MAX(1,AO35/X35),IF(BW35=1,IF(AO35&lt;=0,0,CA35*MAX(1,IF(H35&gt;0,AO35/H35,1))),IF(R35&gt;0,AP35/R35,0))/MAX(0.1,N(Parameter!$M$21)))</f>
        <v>2.72128060263654</v>
      </c>
      <c r="AR35" s="50" t="n">
        <f aca="false">AQ35*BY35</f>
        <v>647.664783427495</v>
      </c>
      <c r="AS35" s="50" t="n">
        <f aca="false">AO35*G35</f>
        <v>26101.25</v>
      </c>
      <c r="AT35" s="50" t="n">
        <f aca="false">ROUNDUP(MAX(J35/IF(CD35&gt;0,CD35,MAX(0.1,N(Cockpit!$I$6))),CG35)/BV35,0)*BV35</f>
        <v>9</v>
      </c>
      <c r="AU35" s="51" t="n">
        <f aca="false">IF(AR35&gt;0,J35/AR35,-1)</f>
        <v>0.0262481463173505</v>
      </c>
      <c r="AV35" s="51" t="n">
        <f aca="false">IF(AND(OR(CC35="L1",CC35="L23",CC35="LIFT"),AR35&gt;0),SUMIFS($AR$7:$AR$1843,$CC$7:$CC$1843,CC35,$AU$7:$AU$1843,"&gt;"&amp;AU35)+SUMIFS($AR$7:$AR$1843,$CC$7:$CC$1843,CC35,$AU$7:$AU$1843,AU35,$BT$7:$BT$1843,"&lt;="&amp;BT35),"")</f>
        <v>32352.207541752</v>
      </c>
      <c r="AW35" s="58" t="n">
        <f aca="false">IF(AV35="",0,MAX(0,MIN(1,(IF(CC35="L1",Parameter!$H$5,IF(CC35="L23",Parameter!$H$6+Parameter!$H$7,Parameter!$H$5+Parameter!$H$6+Parameter!$H$7))-(AV35-AR35))/AR35)))</f>
        <v>1</v>
      </c>
      <c r="AX35" s="50" t="n">
        <f aca="false">IF(LEFT(Cockpit!$O$5,1)="A",H35,IF(CE35=1,CF35,IF(LEFT(Cockpit!$O$5,1)="B",BC35,MAX(BC35,H35))))</f>
        <v>19</v>
      </c>
      <c r="AY35" s="50" t="n">
        <f aca="false">IF(BW35=1,0,ROUNDUP(AX35/BV35,0))</f>
        <v>0</v>
      </c>
      <c r="AZ35" s="52" t="n">
        <f aca="false">IF(CL35&gt;0,CL35*MAX(1,AX35/X35),IF(BW35=1,IF(AX35&lt;=0,0,CA35*MAX(1,IF(H35&gt;0,AX35/H35,1))),IF(R35&gt;0,AY35/R35,0))/MAX(0.1,N(Parameter!$M$21)))</f>
        <v>2.72128060263654</v>
      </c>
      <c r="BA35" s="50" t="n">
        <f aca="false">AZ35*BY35</f>
        <v>647.664783427495</v>
      </c>
      <c r="BB35" s="50" t="n">
        <f aca="false">AX35*G35</f>
        <v>26101.25</v>
      </c>
      <c r="BC35" s="50" t="n">
        <f aca="false">ROUNDUP(MAX(J35/IF(CD35&gt;0,CD35,MAX(0.1,N(Cockpit!$O$6))),CG35)/BV35,0)*BV35</f>
        <v>9</v>
      </c>
      <c r="BD35" s="51" t="n">
        <f aca="false">IF(BA35&gt;0,J35/BA35,-1)</f>
        <v>0.0262481463173505</v>
      </c>
      <c r="BE35" s="51" t="n">
        <f aca="false">IF(AND(OR(CC35="L1",CC35="L23",CC35="LIFT"),BA35&gt;0),SUMIFS($BA$7:$BA$1843,$CC$7:$CC$1843,CC35,$BD$7:$BD$1843,"&gt;"&amp;BD35)+SUMIFS($BA$7:$BA$1843,$CC$7:$CC$1843,CC35,$BD$7:$BD$1843,BD35,$BT$7:$BT$1843,"&lt;="&amp;BT35),"")</f>
        <v>29027.2195836179</v>
      </c>
      <c r="BF35" s="58" t="n">
        <f aca="false">IF(BE35="",0,MAX(0,MIN(1,(IF(CC35="L1",Parameter!$H$5,IF(CC35="L23",Parameter!$H$6+Parameter!$H$7,Parameter!$H$5+Parameter!$H$6+Parameter!$H$7))-(BE35-BA35))/BA35)))</f>
        <v>1</v>
      </c>
      <c r="BG35" s="48" t="str">
        <f aca="false">IF(AI35&lt;=0,"",IF(CC35="Aussen","Aussenlager",IF(CC35="-","Nicht im Lift",IF(AN35&gt;=1,"Lift",IF(AN35&lt;=0,"Aussenlager","teilweise")))))</f>
        <v>Lift</v>
      </c>
      <c r="BH35" s="48" t="str">
        <f aca="false">IF(AR35&lt;=0,"",IF(CC35="Aussen","Aussenlager",IF(CC35="-","Nicht im Lift",IF(AW35&gt;=1,"Lift",IF(AW35&lt;=0,"Aussenlager","teilweise")))))</f>
        <v>Lift</v>
      </c>
      <c r="BI35" s="48" t="str">
        <f aca="false">IF(BA35&lt;=0,"",IF(CC35="Aussen","Aussenlager",IF(CC35="-","Nicht im Lift",IF(BF35&gt;=1,"Lift",IF(BF35&lt;=0,"Aussenlager","teilweise")))))</f>
        <v>Lift</v>
      </c>
      <c r="BJ35" s="48" t="str">
        <f aca="false">IF(A35="","",IF(BS35=1,"Neu; ","")&amp;IF(AND(BS35=0,BN35&lt;0),"negativer Bestand (Export "&amp;BN35&amp;"); ","")&amp;IF(J35&lt;=0,"Kein Verbrauch; ","")&amp;IF(CL35&gt;0,"Lift "&amp;W35&amp;" lt. Liftbericht (Fach "&amp;X35&amp;" Stk); ",IF(BX35=1,"Gebinde geschätzt ("&amp;T35&amp;"); ",IF(BW35=1,"Lose – Tablare geschätzt; ","")))&amp;IF(H35&gt;AT35,"Überbestand "&amp;ROUND(H35-AT35,0)&amp;" Stk / CHF "&amp;ROUND((H35-AT35)*G35,0)&amp;"; ","")&amp;IF(AND(CE35=1,CF35&lt;CG35),"MAX &lt; MB+LG; ","")&amp;IF(AND(CK35&gt;0,CJ35*10&gt;CK35),"zu hoch für Tablar; ","")&amp;IF(AND(BS35=0,OR(CE35=1,AA35&lt;&gt;"",U35&lt;&gt;"",V35&lt;&gt;"",AB35&lt;&gt;"")),"manuell übersteuert; ","")&amp;IF(AND(BW35=0,R35=0),"Gebinde unbekannt / Stellmass fehlt; ","")&amp;IF(AND(BW35=0,N(V35)&lt;=0,N(Q35)&lt;=0),"Menge pro Gebinde fehlt (Ist = 1 Gebinde); ","")&amp;BR35)</f>
        <v>Lift 1 lt. Liftbericht (Fach 34 Stk); Überbestand 10 Stk / CHF 13738; </v>
      </c>
      <c r="BK35" s="48" t="s">
        <v>258</v>
      </c>
      <c r="BL35" s="48" t="s">
        <v>259</v>
      </c>
      <c r="BM35" s="55"/>
      <c r="BN35" s="50" t="n">
        <v>7</v>
      </c>
      <c r="BO35" s="50" t="n">
        <v>18</v>
      </c>
      <c r="BP35" s="49" t="n">
        <v>10801.01</v>
      </c>
      <c r="BQ35" s="50" t="n">
        <v>17</v>
      </c>
      <c r="BR35" s="48"/>
      <c r="BS35" s="53" t="n">
        <v>0</v>
      </c>
      <c r="BT35" s="53" t="n">
        <v>35</v>
      </c>
      <c r="BU35" s="48" t="str">
        <f aca="false">IF(U35&lt;&gt;"",UPPER(TRIM(U35)),IF(BX35=1,UPPER(VLOOKUP(T35,Parameter!$I$27:$K$29,2,0)),IF(P35="","LOSE",P35)))</f>
        <v>LOSE</v>
      </c>
      <c r="BV35" s="50" t="n">
        <f aca="false">IF(BU35="LOSE",1,IF(N(V35)&gt;0,V35,IF(BX35=1,MAX(1,N(VLOOKUP(T35,Parameter!$I$27:$K$29,3,0)),H35,N(N35)),IF(N(Q35)&gt;0,Q35,MAX(1,H35)))))</f>
        <v>1</v>
      </c>
      <c r="BW35" s="53" t="n">
        <f aca="false">IF(BU35="LOSE",1,0)</f>
        <v>1</v>
      </c>
      <c r="BX35" s="53" t="n">
        <f aca="false">IF(AND(U35="",OR(P35="",P35="LOSE"),T35&lt;&gt;"",N(S35)&lt;=0,ISNUMBER(MATCH(T35,Parameter!$I$27:$I$29,0))),1,0)</f>
        <v>0</v>
      </c>
      <c r="BY35" s="53" t="n">
        <f aca="false">IF(CL35&gt;0,INDEX(Parameter!$H$5:$H$7,W35)/INDEX(Parameter!$E$5:$E$7,W35),IF(AND(BW35=0,N(IFERROR(VLOOKUP(BU35,'Gebinde-Kategorie'!$A$5:$N$45,14,0),0))&gt;0),VLOOKUP(BU35,'Gebinde-Kategorie'!$A$5:$N$45,14,0)*10+Parameter!$M$23,Parameter!$M$24))</f>
        <v>238</v>
      </c>
      <c r="BZ35" s="48" t="n">
        <f aca="false">IF(AND(Parameter!$B$19="Ja",E35&lt;&gt;"",ISNUMBER(MATCH(E35,Parameter!$I$35:$I$52,0))),VLOOKUP(E35,Parameter!$I$35:$J$52,2,0),IFERROR(VLOOKUP(D35,Parameter!$A$35:$C$64,2,0),"Nein"))</f>
        <v>1</v>
      </c>
      <c r="CA35" s="52" t="n">
        <f aca="false">IF(BW35=0,0,IF(N(S35)&gt;0,S35,IFERROR(VLOOKUP(D35,Parameter!$A$35:$C$64,3,0)+0,0)))</f>
        <v>1</v>
      </c>
      <c r="CB35" s="48" t="n">
        <f aca="false">IF(AA35&lt;&gt;"",AA35,Z35)</f>
        <v>1</v>
      </c>
      <c r="CC35" s="48" t="str">
        <f aca="false">IF(OR(CB35=1,CB35=2,CB35=3),IF(Parameter!$E$27="Ja","LIFT",IF(CB35=1,"L1","L23")),IF(CB35="Aussen","Aussen","-"))</f>
        <v>LIFT</v>
      </c>
      <c r="CD35" s="59" t="n">
        <f aca="false">IF(N(AB35)&gt;0,AB35,0)</f>
        <v>0</v>
      </c>
      <c r="CE35" s="53" t="n">
        <f aca="false">IF(ISNUMBER(AE35),1,0)</f>
        <v>0</v>
      </c>
      <c r="CF35" s="50" t="n">
        <f aca="false">N(AE35)</f>
        <v>0</v>
      </c>
      <c r="CG35" s="50" t="n">
        <f aca="false">N(M35)+N(N35)</f>
        <v>9</v>
      </c>
      <c r="CH35" s="50" t="n">
        <f aca="false">ROUNDUP(H35/BV35,0)</f>
        <v>19</v>
      </c>
      <c r="CI35" s="50" t="n">
        <f aca="false">ROUNDUP(CF35/BV35,0)</f>
        <v>0</v>
      </c>
      <c r="CJ35" s="53" t="n">
        <f aca="false">IF(BW35=1,0,IFERROR(VLOOKUP(BU35,'Gebinde-Kategorie'!$A$5:$N$45,5,0)+0,0))</f>
        <v>0</v>
      </c>
      <c r="CK35" s="53" t="n">
        <f aca="false">IFERROR(IF(OR(CB35=1,CB35=2,CB35=3),N(INDEX(Parameter!$I$5:$I$7,CB35)),0),0)</f>
        <v>0</v>
      </c>
      <c r="CL35" s="52" t="n">
        <f aca="false">IF(AND(Parameter!$B$21="Ja",ISNUMBER(W35),N(X35)&gt;0),IFERROR(N(INDEX(Parameter!$L$5:$L$7,W35))*INDEX(Parameter!$E$5:$E$7,W35)*X35/SUMIFS($X$7:$X$1843,$W$7:$W$1843,W35),0),0)</f>
        <v>2.72128060263654</v>
      </c>
    </row>
    <row r="36" customFormat="false" ht="15" hidden="false" customHeight="false" outlineLevel="0" collapsed="false">
      <c r="A36" s="48" t="s">
        <v>260</v>
      </c>
      <c r="B36" s="48" t="s">
        <v>185</v>
      </c>
      <c r="C36" s="48" t="s">
        <v>168</v>
      </c>
      <c r="D36" s="48" t="s">
        <v>177</v>
      </c>
      <c r="E36" s="48"/>
      <c r="F36" s="48" t="s">
        <v>222</v>
      </c>
      <c r="G36" s="49" t="n">
        <v>5350.29</v>
      </c>
      <c r="H36" s="50" t="n">
        <f aca="false">MAX(0,IF(AND(Parameter!$B$21="Ja",ISNUMBER(Y36)),Y36,IF(Parameter!$B$20="Jahresanfang 2025 + Export",BO36+BN36,BN36)))</f>
        <v>2</v>
      </c>
      <c r="I36" s="50" t="n">
        <f aca="false">H36*G36</f>
        <v>10700.58</v>
      </c>
      <c r="J36" s="50" t="n">
        <f aca="false">BQ36*Parameter!$B$18</f>
        <v>6</v>
      </c>
      <c r="K36" s="51" t="n">
        <v>1</v>
      </c>
      <c r="L36" s="52" t="n">
        <v>6</v>
      </c>
      <c r="M36" s="50" t="n">
        <v>1</v>
      </c>
      <c r="N36" s="50" t="n">
        <v>1</v>
      </c>
      <c r="O36" s="53" t="n">
        <v>100</v>
      </c>
      <c r="P36" s="48" t="s">
        <v>172</v>
      </c>
      <c r="Q36" s="50"/>
      <c r="R36" s="53" t="n">
        <f aca="false">IF(BW36=1,0,IFERROR(VLOOKUP(BU36,'Gebinde-Kategorie'!$A$5:$N$45,13,0)+0,0))</f>
        <v>12</v>
      </c>
      <c r="S36" s="54"/>
      <c r="T36" s="55" t="s">
        <v>183</v>
      </c>
      <c r="U36" s="55"/>
      <c r="V36" s="55"/>
      <c r="W36" s="48"/>
      <c r="X36" s="50"/>
      <c r="Y36" s="50"/>
      <c r="Z36" s="48" t="n">
        <f aca="false">IF(A36="","",IF(AND(Parameter!$B$21="Ja",ISNUMBER(W36)),W36,IF(BZ36="2+3",IF(ISNUMBER(SEARCH("grosser Artikel",BR36)),2,IFERROR(VLOOKUP(BU36,Parameter!$F$35:$G$64,2,0),2)),IF(OR(BZ36="Nein",BZ36=""),"-",BZ36))))</f>
        <v>2</v>
      </c>
      <c r="AA36" s="55"/>
      <c r="AB36" s="56"/>
      <c r="AC36" s="50" t="n">
        <f aca="false">AT36</f>
        <v>4</v>
      </c>
      <c r="AD36" s="50" t="n">
        <f aca="false">MAX(AT36,H36)</f>
        <v>4</v>
      </c>
      <c r="AE36" s="57"/>
      <c r="AF36" s="50" t="n">
        <f aca="false">IF(LEFT(Cockpit!$C$5,1)="A",H36,IF(CE36=1,CF36,IF(LEFT(Cockpit!$C$5,1)="B",AK36,MAX(AK36,H36))))</f>
        <v>2</v>
      </c>
      <c r="AG36" s="50" t="n">
        <f aca="false">IF(BW36=1,0,ROUNDUP(AF36/BV36,0))</f>
        <v>1</v>
      </c>
      <c r="AH36" s="52" t="n">
        <f aca="false">IF(CL36&gt;0,CL36*MAX(1,AF36/X36),IF(BW36=1,IF(AF36&lt;=0,0,CA36*MAX(1,IF(H36&gt;0,AF36/H36,1))),IF(R36&gt;0,AG36/R36,0))/MAX(0.1,N(Parameter!$M$21)))</f>
        <v>0.0833333333333333</v>
      </c>
      <c r="AI36" s="50" t="n">
        <f aca="false">AH36*BY36</f>
        <v>12.0833333333333</v>
      </c>
      <c r="AJ36" s="50" t="n">
        <f aca="false">AF36*G36</f>
        <v>10700.58</v>
      </c>
      <c r="AK36" s="50" t="n">
        <f aca="false">ROUNDUP(MAX(J36/IF(CD36&gt;0,CD36,MAX(0.1,N(Cockpit!$C$6))),CG36)/BV36,0)*BV36</f>
        <v>4</v>
      </c>
      <c r="AL36" s="51" t="n">
        <f aca="false">IF(AI36&gt;0,J36/AI36,-1)</f>
        <v>0.496551724137931</v>
      </c>
      <c r="AM36" s="51" t="n">
        <f aca="false">IF(AND(OR(CC36="L1",CC36="L23",CC36="LIFT"),AI36&gt;0),SUMIFS($AI$7:$AI$1843,$CC$7:$CC$1843,CC36,$AL$7:$AL$1843,"&gt;"&amp;AL36)+SUMIFS($AI$7:$AI$1843,$CC$7:$CC$1843,CC36,$AL$7:$AL$1843,AL36,$BT$7:$BT$1843,"&lt;="&amp;BT36),"")</f>
        <v>9598.09383601333</v>
      </c>
      <c r="AN36" s="58" t="n">
        <f aca="false">IF(AM36="",0,MAX(0,MIN(1,(IF(CC36="L1",Parameter!$H$5,IF(CC36="L23",Parameter!$H$6+Parameter!$H$7,Parameter!$H$5+Parameter!$H$6+Parameter!$H$7))-(AM36-AI36))/AI36)))</f>
        <v>1</v>
      </c>
      <c r="AO36" s="50" t="n">
        <f aca="false">IF(LEFT(Cockpit!$I$5,1)="A",H36,IF(CE36=1,CF36,IF(LEFT(Cockpit!$I$5,1)="B",AT36,MAX(AT36,H36))))</f>
        <v>4</v>
      </c>
      <c r="AP36" s="50" t="n">
        <f aca="false">IF(BW36=1,0,ROUNDUP(AO36/BV36,0))</f>
        <v>1</v>
      </c>
      <c r="AQ36" s="52" t="n">
        <f aca="false">IF(CL36&gt;0,CL36*MAX(1,AO36/X36),IF(BW36=1,IF(AO36&lt;=0,0,CA36*MAX(1,IF(H36&gt;0,AO36/H36,1))),IF(R36&gt;0,AP36/R36,0))/MAX(0.1,N(Parameter!$M$21)))</f>
        <v>0.0833333333333333</v>
      </c>
      <c r="AR36" s="50" t="n">
        <f aca="false">AQ36*BY36</f>
        <v>12.0833333333333</v>
      </c>
      <c r="AS36" s="50" t="n">
        <f aca="false">AO36*G36</f>
        <v>21401.16</v>
      </c>
      <c r="AT36" s="50" t="n">
        <f aca="false">ROUNDUP(MAX(J36/IF(CD36&gt;0,CD36,MAX(0.1,N(Cockpit!$I$6))),CG36)/BV36,0)*BV36</f>
        <v>4</v>
      </c>
      <c r="AU36" s="51" t="n">
        <f aca="false">IF(AR36&gt;0,J36/AR36,-1)</f>
        <v>0.496551724137931</v>
      </c>
      <c r="AV36" s="51" t="n">
        <f aca="false">IF(AND(OR(CC36="L1",CC36="L23",CC36="LIFT"),AR36&gt;0),SUMIFS($AR$7:$AR$1843,$CC$7:$CC$1843,CC36,$AU$7:$AU$1843,"&gt;"&amp;AU36)+SUMIFS($AR$7:$AR$1843,$CC$7:$CC$1843,CC36,$AU$7:$AU$1843,AU36,$BT$7:$BT$1843,"&lt;="&amp;BT36),"")</f>
        <v>14042.2568681319</v>
      </c>
      <c r="AW36" s="58" t="n">
        <f aca="false">IF(AV36="",0,MAX(0,MIN(1,(IF(CC36="L1",Parameter!$H$5,IF(CC36="L23",Parameter!$H$6+Parameter!$H$7,Parameter!$H$5+Parameter!$H$6+Parameter!$H$7))-(AV36-AR36))/AR36)))</f>
        <v>1</v>
      </c>
      <c r="AX36" s="50" t="n">
        <f aca="false">IF(LEFT(Cockpit!$O$5,1)="A",H36,IF(CE36=1,CF36,IF(LEFT(Cockpit!$O$5,1)="B",BC36,MAX(BC36,H36))))</f>
        <v>4</v>
      </c>
      <c r="AY36" s="50" t="n">
        <f aca="false">IF(BW36=1,0,ROUNDUP(AX36/BV36,0))</f>
        <v>1</v>
      </c>
      <c r="AZ36" s="52" t="n">
        <f aca="false">IF(CL36&gt;0,CL36*MAX(1,AX36/X36),IF(BW36=1,IF(AX36&lt;=0,0,CA36*MAX(1,IF(H36&gt;0,AX36/H36,1))),IF(R36&gt;0,AY36/R36,0))/MAX(0.1,N(Parameter!$M$21)))</f>
        <v>0.0833333333333333</v>
      </c>
      <c r="BA36" s="50" t="n">
        <f aca="false">AZ36*BY36</f>
        <v>12.0833333333333</v>
      </c>
      <c r="BB36" s="50" t="n">
        <f aca="false">AX36*G36</f>
        <v>21401.16</v>
      </c>
      <c r="BC36" s="50" t="n">
        <f aca="false">ROUNDUP(MAX(J36/IF(CD36&gt;0,CD36,MAX(0.1,N(Cockpit!$O$6))),CG36)/BV36,0)*BV36</f>
        <v>4</v>
      </c>
      <c r="BD36" s="51" t="n">
        <f aca="false">IF(BA36&gt;0,J36/BA36,-1)</f>
        <v>0.496551724137931</v>
      </c>
      <c r="BE36" s="51" t="n">
        <f aca="false">IF(AND(OR(CC36="L1",CC36="L23",CC36="LIFT"),BA36&gt;0),SUMIFS($BA$7:$BA$1843,$CC$7:$CC$1843,CC36,$BD$7:$BD$1843,"&gt;"&amp;BD36)+SUMIFS($BA$7:$BA$1843,$CC$7:$CC$1843,CC36,$BD$7:$BD$1843,BD36,$BT$7:$BT$1843,"&lt;="&amp;BT36),"")</f>
        <v>13037.9139194139</v>
      </c>
      <c r="BF36" s="58" t="n">
        <f aca="false">IF(BE36="",0,MAX(0,MIN(1,(IF(CC36="L1",Parameter!$H$5,IF(CC36="L23",Parameter!$H$6+Parameter!$H$7,Parameter!$H$5+Parameter!$H$6+Parameter!$H$7))-(BE36-BA36))/BA36)))</f>
        <v>1</v>
      </c>
      <c r="BG36" s="48" t="str">
        <f aca="false">IF(AI36&lt;=0,"",IF(CC36="Aussen","Aussenlager",IF(CC36="-","Nicht im Lift",IF(AN36&gt;=1,"Lift",IF(AN36&lt;=0,"Aussenlager","teilweise")))))</f>
        <v>Lift</v>
      </c>
      <c r="BH36" s="48" t="str">
        <f aca="false">IF(AR36&lt;=0,"",IF(CC36="Aussen","Aussenlager",IF(CC36="-","Nicht im Lift",IF(AW36&gt;=1,"Lift",IF(AW36&lt;=0,"Aussenlager","teilweise")))))</f>
        <v>Lift</v>
      </c>
      <c r="BI36" s="48" t="str">
        <f aca="false">IF(BA36&lt;=0,"",IF(CC36="Aussen","Aussenlager",IF(CC36="-","Nicht im Lift",IF(BF36&gt;=1,"Lift",IF(BF36&lt;=0,"Aussenlager","teilweise")))))</f>
        <v>Lift</v>
      </c>
      <c r="BJ36" s="48" t="str">
        <f aca="false">IF(A36="","",IF(BS36=1,"Neu; ","")&amp;IF(AND(BS36=0,BN36&lt;0),"negativer Bestand (Export "&amp;BN36&amp;"); ","")&amp;IF(J36&lt;=0,"Kein Verbrauch; ","")&amp;IF(CL36&gt;0,"Lift "&amp;W36&amp;" lt. Liftbericht (Fach "&amp;X36&amp;" Stk); ",IF(BX36=1,"Gebinde geschätzt ("&amp;T36&amp;"); ",IF(BW36=1,"Lose – Tablare geschätzt; ","")))&amp;IF(H36&gt;AT36,"Überbestand "&amp;ROUND(H36-AT36,0)&amp;" Stk / CHF "&amp;ROUND((H36-AT36)*G36,0)&amp;"; ","")&amp;IF(AND(CE36=1,CF36&lt;CG36),"MAX &lt; MB+LG; ","")&amp;IF(AND(CK36&gt;0,CJ36*10&gt;CK36),"zu hoch für Tablar; ","")&amp;IF(AND(BS36=0,OR(CE36=1,AA36&lt;&gt;"",U36&lt;&gt;"",V36&lt;&gt;"",AB36&lt;&gt;"")),"manuell übersteuert; ","")&amp;IF(AND(BW36=0,R36=0),"Gebinde unbekannt / Stellmass fehlt; ","")&amp;IF(AND(BW36=0,N(V36)&lt;=0,N(Q36)&lt;=0),"Menge pro Gebinde fehlt (Ist = 1 Gebinde); ","")&amp;BR36)</f>
        <v>Gebinde geschätzt (Mittel); Menge pro Gebinde fehlt (Ist = 1 Gebinde); </v>
      </c>
      <c r="BK36" s="48"/>
      <c r="BL36" s="48"/>
      <c r="BM36" s="55"/>
      <c r="BN36" s="50" t="n">
        <v>2</v>
      </c>
      <c r="BO36" s="50" t="n">
        <v>0</v>
      </c>
      <c r="BP36" s="49" t="n">
        <v>10700.58</v>
      </c>
      <c r="BQ36" s="50" t="n">
        <v>6</v>
      </c>
      <c r="BR36" s="48"/>
      <c r="BS36" s="53" t="n">
        <v>0</v>
      </c>
      <c r="BT36" s="53" t="n">
        <v>36</v>
      </c>
      <c r="BU36" s="48" t="str">
        <f aca="false">IF(U36&lt;&gt;"",UPPER(TRIM(U36)),IF(BX36=1,UPPER(VLOOKUP(T36,Parameter!$I$27:$K$29,2,0)),IF(P36="","LOSE",P36)))</f>
        <v>S61</v>
      </c>
      <c r="BV36" s="50" t="n">
        <f aca="false">IF(BU36="LOSE",1,IF(N(V36)&gt;0,V36,IF(BX36=1,MAX(1,N(VLOOKUP(T36,Parameter!$I$27:$K$29,3,0)),H36,N(N36)),IF(N(Q36)&gt;0,Q36,MAX(1,H36)))))</f>
        <v>4</v>
      </c>
      <c r="BW36" s="53" t="n">
        <f aca="false">IF(BU36="LOSE",1,0)</f>
        <v>0</v>
      </c>
      <c r="BX36" s="53" t="n">
        <f aca="false">IF(AND(U36="",OR(P36="",P36="LOSE"),T36&lt;&gt;"",N(S36)&lt;=0,ISNUMBER(MATCH(T36,Parameter!$I$27:$I$29,0))),1,0)</f>
        <v>1</v>
      </c>
      <c r="BY36" s="53" t="n">
        <f aca="false">IF(CL36&gt;0,INDEX(Parameter!$H$5:$H$7,W36)/INDEX(Parameter!$E$5:$E$7,W36),IF(AND(BW36=0,N(IFERROR(VLOOKUP(BU36,'Gebinde-Kategorie'!$A$5:$N$45,14,0),0))&gt;0),VLOOKUP(BU36,'Gebinde-Kategorie'!$A$5:$N$45,14,0)*10+Parameter!$M$23,Parameter!$M$24))</f>
        <v>145</v>
      </c>
      <c r="BZ36" s="48" t="str">
        <f aca="false">IF(AND(Parameter!$B$19="Ja",E36&lt;&gt;"",ISNUMBER(MATCH(E36,Parameter!$I$35:$I$52,0))),VLOOKUP(E36,Parameter!$I$35:$J$52,2,0),IFERROR(VLOOKUP(D36,Parameter!$A$35:$C$64,2,0),"Nein"))</f>
        <v>2+3</v>
      </c>
      <c r="CA36" s="52" t="n">
        <f aca="false">IF(BW36=0,0,IF(N(S36)&gt;0,S36,IFERROR(VLOOKUP(D36,Parameter!$A$35:$C$64,3,0)+0,0)))</f>
        <v>0</v>
      </c>
      <c r="CB36" s="48" t="n">
        <f aca="false">IF(AA36&lt;&gt;"",AA36,Z36)</f>
        <v>2</v>
      </c>
      <c r="CC36" s="48" t="str">
        <f aca="false">IF(OR(CB36=1,CB36=2,CB36=3),IF(Parameter!$E$27="Ja","LIFT",IF(CB36=1,"L1","L23")),IF(CB36="Aussen","Aussen","-"))</f>
        <v>LIFT</v>
      </c>
      <c r="CD36" s="59" t="n">
        <f aca="false">IF(N(AB36)&gt;0,AB36,0)</f>
        <v>0</v>
      </c>
      <c r="CE36" s="53" t="n">
        <f aca="false">IF(ISNUMBER(AE36),1,0)</f>
        <v>0</v>
      </c>
      <c r="CF36" s="50" t="n">
        <f aca="false">N(AE36)</f>
        <v>0</v>
      </c>
      <c r="CG36" s="50" t="n">
        <f aca="false">N(M36)+N(N36)</f>
        <v>2</v>
      </c>
      <c r="CH36" s="50" t="n">
        <f aca="false">ROUNDUP(H36/BV36,0)</f>
        <v>1</v>
      </c>
      <c r="CI36" s="50" t="n">
        <f aca="false">ROUNDUP(CF36/BV36,0)</f>
        <v>0</v>
      </c>
      <c r="CJ36" s="53" t="n">
        <f aca="false">IF(BW36=1,0,IFERROR(VLOOKUP(BU36,'Gebinde-Kategorie'!$A$5:$N$45,5,0)+0,0))</f>
        <v>11</v>
      </c>
      <c r="CK36" s="53" t="n">
        <f aca="false">IFERROR(IF(OR(CB36=1,CB36=2,CB36=3),N(INDEX(Parameter!$I$5:$I$7,CB36)),0),0)</f>
        <v>0</v>
      </c>
      <c r="CL36" s="52" t="n">
        <f aca="false">IF(AND(Parameter!$B$21="Ja",ISNUMBER(W36),N(X36)&gt;0),IFERROR(N(INDEX(Parameter!$L$5:$L$7,W36))*INDEX(Parameter!$E$5:$E$7,W36)*X36/SUMIFS($X$7:$X$1843,$W$7:$W$1843,W36),0),0)</f>
        <v>0</v>
      </c>
    </row>
    <row r="37" customFormat="false" ht="15" hidden="false" customHeight="false" outlineLevel="0" collapsed="false">
      <c r="A37" s="48" t="s">
        <v>261</v>
      </c>
      <c r="B37" s="48" t="s">
        <v>262</v>
      </c>
      <c r="C37" s="48" t="s">
        <v>168</v>
      </c>
      <c r="D37" s="48" t="s">
        <v>177</v>
      </c>
      <c r="E37" s="48" t="s">
        <v>189</v>
      </c>
      <c r="F37" s="48" t="s">
        <v>222</v>
      </c>
      <c r="G37" s="49" t="n">
        <v>225.19</v>
      </c>
      <c r="H37" s="50" t="n">
        <f aca="false">MAX(0,IF(AND(Parameter!$B$21="Ja",ISNUMBER(Y37)),Y37,IF(Parameter!$B$20="Jahresanfang 2025 + Export",BO37+BN37,BN37)))</f>
        <v>62</v>
      </c>
      <c r="I37" s="50" t="n">
        <f aca="false">H37*G37</f>
        <v>13961.78</v>
      </c>
      <c r="J37" s="50" t="n">
        <f aca="false">BQ37*Parameter!$B$18</f>
        <v>131</v>
      </c>
      <c r="K37" s="51" t="n">
        <v>24</v>
      </c>
      <c r="L37" s="52" t="n">
        <v>5.45833333333333</v>
      </c>
      <c r="M37" s="50" t="n">
        <v>12</v>
      </c>
      <c r="N37" s="50" t="n">
        <v>35</v>
      </c>
      <c r="O37" s="53" t="n">
        <v>84</v>
      </c>
      <c r="P37" s="48" t="s">
        <v>263</v>
      </c>
      <c r="Q37" s="50" t="n">
        <v>61</v>
      </c>
      <c r="R37" s="53" t="n">
        <f aca="false">IF(BW37=1,0,IFERROR(VLOOKUP(BU37,'Gebinde-Kategorie'!$A$5:$N$45,13,0)+0,0))</f>
        <v>6</v>
      </c>
      <c r="S37" s="54"/>
      <c r="T37" s="55"/>
      <c r="U37" s="55"/>
      <c r="V37" s="55"/>
      <c r="W37" s="48"/>
      <c r="X37" s="50"/>
      <c r="Y37" s="50"/>
      <c r="Z37" s="48" t="n">
        <f aca="false">IF(A37="","",IF(AND(Parameter!$B$21="Ja",ISNUMBER(W37)),W37,IF(BZ37="2+3",IF(ISNUMBER(SEARCH("grosser Artikel",BR37)),2,IFERROR(VLOOKUP(BU37,Parameter!$F$35:$G$64,2,0),2)),IF(OR(BZ37="Nein",BZ37=""),"-",BZ37))))</f>
        <v>2</v>
      </c>
      <c r="AA37" s="55"/>
      <c r="AB37" s="56"/>
      <c r="AC37" s="50" t="n">
        <f aca="false">AT37</f>
        <v>122</v>
      </c>
      <c r="AD37" s="50" t="n">
        <f aca="false">MAX(AT37,H37)</f>
        <v>122</v>
      </c>
      <c r="AE37" s="57"/>
      <c r="AF37" s="50" t="n">
        <f aca="false">IF(LEFT(Cockpit!$C$5,1)="A",H37,IF(CE37=1,CF37,IF(LEFT(Cockpit!$C$5,1)="B",AK37,MAX(AK37,H37))))</f>
        <v>62</v>
      </c>
      <c r="AG37" s="50" t="n">
        <f aca="false">IF(BW37=1,0,ROUNDUP(AF37/BV37,0))</f>
        <v>2</v>
      </c>
      <c r="AH37" s="52" t="n">
        <f aca="false">IF(CL37&gt;0,CL37*MAX(1,AF37/X37),IF(BW37=1,IF(AF37&lt;=0,0,CA37*MAX(1,IF(H37&gt;0,AF37/H37,1))),IF(R37&gt;0,AG37/R37,0))/MAX(0.1,N(Parameter!$M$21)))</f>
        <v>0.333333333333333</v>
      </c>
      <c r="AI37" s="50" t="n">
        <f aca="false">AH37*BY37</f>
        <v>145</v>
      </c>
      <c r="AJ37" s="50" t="n">
        <f aca="false">AF37*G37</f>
        <v>13961.78</v>
      </c>
      <c r="AK37" s="50" t="n">
        <f aca="false">ROUNDUP(MAX(J37/IF(CD37&gt;0,CD37,MAX(0.1,N(Cockpit!$C$6))),CG37)/BV37,0)*BV37</f>
        <v>122</v>
      </c>
      <c r="AL37" s="51" t="n">
        <f aca="false">IF(AI37&gt;0,J37/AI37,-1)</f>
        <v>0.903448275862069</v>
      </c>
      <c r="AM37" s="51" t="n">
        <f aca="false">IF(AND(OR(CC37="L1",CC37="L23",CC37="LIFT"),AI37&gt;0),SUMIFS($AI$7:$AI$1843,$CC$7:$CC$1843,CC37,$AL$7:$AL$1843,"&gt;"&amp;AL37)+SUMIFS($AI$7:$AI$1843,$CC$7:$CC$1843,CC37,$AL$7:$AL$1843,AL37,$BT$7:$BT$1843,"&lt;="&amp;BT37),"")</f>
        <v>7612.20558608059</v>
      </c>
      <c r="AN37" s="58" t="n">
        <f aca="false">IF(AM37="",0,MAX(0,MIN(1,(IF(CC37="L1",Parameter!$H$5,IF(CC37="L23",Parameter!$H$6+Parameter!$H$7,Parameter!$H$5+Parameter!$H$6+Parameter!$H$7))-(AM37-AI37))/AI37)))</f>
        <v>1</v>
      </c>
      <c r="AO37" s="50" t="n">
        <f aca="false">IF(LEFT(Cockpit!$I$5,1)="A",H37,IF(CE37=1,CF37,IF(LEFT(Cockpit!$I$5,1)="B",AT37,MAX(AT37,H37))))</f>
        <v>122</v>
      </c>
      <c r="AP37" s="50" t="n">
        <f aca="false">IF(BW37=1,0,ROUNDUP(AO37/BV37,0))</f>
        <v>2</v>
      </c>
      <c r="AQ37" s="52" t="n">
        <f aca="false">IF(CL37&gt;0,CL37*MAX(1,AO37/X37),IF(BW37=1,IF(AO37&lt;=0,0,CA37*MAX(1,IF(H37&gt;0,AO37/H37,1))),IF(R37&gt;0,AP37/R37,0))/MAX(0.1,N(Parameter!$M$21)))</f>
        <v>0.333333333333333</v>
      </c>
      <c r="AR37" s="50" t="n">
        <f aca="false">AQ37*BY37</f>
        <v>145</v>
      </c>
      <c r="AS37" s="50" t="n">
        <f aca="false">AO37*G37</f>
        <v>27473.18</v>
      </c>
      <c r="AT37" s="50" t="n">
        <f aca="false">ROUNDUP(MAX(J37/IF(CD37&gt;0,CD37,MAX(0.1,N(Cockpit!$I$6))),CG37)/BV37,0)*BV37</f>
        <v>122</v>
      </c>
      <c r="AU37" s="51" t="n">
        <f aca="false">IF(AR37&gt;0,J37/AR37,-1)</f>
        <v>0.903448275862069</v>
      </c>
      <c r="AV37" s="51" t="n">
        <f aca="false">IF(AND(OR(CC37="L1",CC37="L23",CC37="LIFT"),AR37&gt;0),SUMIFS($AR$7:$AR$1843,$CC$7:$CC$1843,CC37,$AU$7:$AU$1843,"&gt;"&amp;AU37)+SUMIFS($AR$7:$AR$1843,$CC$7:$CC$1843,CC37,$AU$7:$AU$1843,AU37,$BT$7:$BT$1843,"&lt;="&amp;BT37),"")</f>
        <v>10723.4624542125</v>
      </c>
      <c r="AW37" s="58" t="n">
        <f aca="false">IF(AV37="",0,MAX(0,MIN(1,(IF(CC37="L1",Parameter!$H$5,IF(CC37="L23",Parameter!$H$6+Parameter!$H$7,Parameter!$H$5+Parameter!$H$6+Parameter!$H$7))-(AV37-AR37))/AR37)))</f>
        <v>1</v>
      </c>
      <c r="AX37" s="50" t="n">
        <f aca="false">IF(LEFT(Cockpit!$O$5,1)="A",H37,IF(CE37=1,CF37,IF(LEFT(Cockpit!$O$5,1)="B",BC37,MAX(BC37,H37))))</f>
        <v>62</v>
      </c>
      <c r="AY37" s="50" t="n">
        <f aca="false">IF(BW37=1,0,ROUNDUP(AX37/BV37,0))</f>
        <v>2</v>
      </c>
      <c r="AZ37" s="52" t="n">
        <f aca="false">IF(CL37&gt;0,CL37*MAX(1,AX37/X37),IF(BW37=1,IF(AX37&lt;=0,0,CA37*MAX(1,IF(H37&gt;0,AX37/H37,1))),IF(R37&gt;0,AY37/R37,0))/MAX(0.1,N(Parameter!$M$21)))</f>
        <v>0.333333333333333</v>
      </c>
      <c r="BA37" s="50" t="n">
        <f aca="false">AZ37*BY37</f>
        <v>145</v>
      </c>
      <c r="BB37" s="50" t="n">
        <f aca="false">AX37*G37</f>
        <v>13961.78</v>
      </c>
      <c r="BC37" s="50" t="n">
        <f aca="false">ROUNDUP(MAX(J37/IF(CD37&gt;0,CD37,MAX(0.1,N(Cockpit!$O$6))),CG37)/BV37,0)*BV37</f>
        <v>61</v>
      </c>
      <c r="BD37" s="51" t="n">
        <f aca="false">IF(BA37&gt;0,J37/BA37,-1)</f>
        <v>0.903448275862069</v>
      </c>
      <c r="BE37" s="51" t="n">
        <f aca="false">IF(AND(OR(CC37="L1",CC37="L23",CC37="LIFT"),BA37&gt;0),SUMIFS($BA$7:$BA$1843,$CC$7:$CC$1843,CC37,$BD$7:$BD$1843,"&gt;"&amp;BD37)+SUMIFS($BA$7:$BA$1843,$CC$7:$CC$1843,CC37,$BD$7:$BD$1843,BD37,$BT$7:$BT$1843,"&lt;="&amp;BT37),"")</f>
        <v>9981.61950549451</v>
      </c>
      <c r="BF37" s="58" t="n">
        <f aca="false">IF(BE37="",0,MAX(0,MIN(1,(IF(CC37="L1",Parameter!$H$5,IF(CC37="L23",Parameter!$H$6+Parameter!$H$7,Parameter!$H$5+Parameter!$H$6+Parameter!$H$7))-(BE37-BA37))/BA37)))</f>
        <v>1</v>
      </c>
      <c r="BG37" s="48" t="str">
        <f aca="false">IF(AI37&lt;=0,"",IF(CC37="Aussen","Aussenlager",IF(CC37="-","Nicht im Lift",IF(AN37&gt;=1,"Lift",IF(AN37&lt;=0,"Aussenlager","teilweise")))))</f>
        <v>Lift</v>
      </c>
      <c r="BH37" s="48" t="str">
        <f aca="false">IF(AR37&lt;=0,"",IF(CC37="Aussen","Aussenlager",IF(CC37="-","Nicht im Lift",IF(AW37&gt;=1,"Lift",IF(AW37&lt;=0,"Aussenlager","teilweise")))))</f>
        <v>Lift</v>
      </c>
      <c r="BI37" s="48" t="str">
        <f aca="false">IF(BA37&lt;=0,"",IF(CC37="Aussen","Aussenlager",IF(CC37="-","Nicht im Lift",IF(BF37&gt;=1,"Lift",IF(BF37&lt;=0,"Aussenlager","teilweise")))))</f>
        <v>Lift</v>
      </c>
      <c r="BJ37" s="48" t="str">
        <f aca="false">IF(A37="","",IF(BS37=1,"Neu; ","")&amp;IF(AND(BS37=0,BN37&lt;0),"negativer Bestand (Export "&amp;BN37&amp;"); ","")&amp;IF(J37&lt;=0,"Kein Verbrauch; ","")&amp;IF(CL37&gt;0,"Lift "&amp;W37&amp;" lt. Liftbericht (Fach "&amp;X37&amp;" Stk); ",IF(BX37=1,"Gebinde geschätzt ("&amp;T37&amp;"); ",IF(BW37=1,"Lose – Tablare geschätzt; ","")))&amp;IF(H37&gt;AT37,"Überbestand "&amp;ROUND(H37-AT37,0)&amp;" Stk / CHF "&amp;ROUND((H37-AT37)*G37,0)&amp;"; ","")&amp;IF(AND(CE37=1,CF37&lt;CG37),"MAX &lt; MB+LG; ","")&amp;IF(AND(CK37&gt;0,CJ37*10&gt;CK37),"zu hoch für Tablar; ","")&amp;IF(AND(BS37=0,OR(CE37=1,AA37&lt;&gt;"",U37&lt;&gt;"",V37&lt;&gt;"",AB37&lt;&gt;"")),"manuell übersteuert; ","")&amp;IF(AND(BW37=0,R37=0),"Gebinde unbekannt / Stellmass fehlt; ","")&amp;IF(AND(BW37=0,N(V37)&lt;=0,N(Q37)&lt;=0),"Menge pro Gebinde fehlt (Ist = 1 Gebinde); ","")&amp;BR37)</f>
        <v>grosser Artikel &amp; nicht im KTL</v>
      </c>
      <c r="BK37" s="48" t="s">
        <v>264</v>
      </c>
      <c r="BL37" s="48"/>
      <c r="BM37" s="55"/>
      <c r="BN37" s="50" t="n">
        <v>44</v>
      </c>
      <c r="BO37" s="50" t="n">
        <v>18</v>
      </c>
      <c r="BP37" s="49" t="n">
        <v>10677.68</v>
      </c>
      <c r="BQ37" s="50" t="n">
        <v>131</v>
      </c>
      <c r="BR37" s="48" t="s">
        <v>265</v>
      </c>
      <c r="BS37" s="53" t="n">
        <v>0</v>
      </c>
      <c r="BT37" s="53" t="n">
        <v>37</v>
      </c>
      <c r="BU37" s="48" t="str">
        <f aca="false">IF(U37&lt;&gt;"",UPPER(TRIM(U37)),IF(BX37=1,UPPER(VLOOKUP(T37,Parameter!$I$27:$K$29,2,0)),IF(P37="","LOSE",P37)))</f>
        <v>S72</v>
      </c>
      <c r="BV37" s="50" t="n">
        <f aca="false">IF(BU37="LOSE",1,IF(N(V37)&gt;0,V37,IF(BX37=1,MAX(1,N(VLOOKUP(T37,Parameter!$I$27:$K$29,3,0)),H37,N(N37)),IF(N(Q37)&gt;0,Q37,MAX(1,H37)))))</f>
        <v>61</v>
      </c>
      <c r="BW37" s="53" t="n">
        <f aca="false">IF(BU37="LOSE",1,0)</f>
        <v>0</v>
      </c>
      <c r="BX37" s="53" t="n">
        <f aca="false">IF(AND(U37="",OR(P37="",P37="LOSE"),T37&lt;&gt;"",N(S37)&lt;=0,ISNUMBER(MATCH(T37,Parameter!$I$27:$I$29,0))),1,0)</f>
        <v>0</v>
      </c>
      <c r="BY37" s="53" t="n">
        <f aca="false">IF(CL37&gt;0,INDEX(Parameter!$H$5:$H$7,W37)/INDEX(Parameter!$E$5:$E$7,W37),IF(AND(BW37=0,N(IFERROR(VLOOKUP(BU37,'Gebinde-Kategorie'!$A$5:$N$45,14,0),0))&gt;0),VLOOKUP(BU37,'Gebinde-Kategorie'!$A$5:$N$45,14,0)*10+Parameter!$M$23,Parameter!$M$24))</f>
        <v>435</v>
      </c>
      <c r="BZ37" s="48" t="str">
        <f aca="false">IF(AND(Parameter!$B$19="Ja",E37&lt;&gt;"",ISNUMBER(MATCH(E37,Parameter!$I$35:$I$52,0))),VLOOKUP(E37,Parameter!$I$35:$J$52,2,0),IFERROR(VLOOKUP(D37,Parameter!$A$35:$C$64,2,0),"Nein"))</f>
        <v>2+3</v>
      </c>
      <c r="CA37" s="52" t="n">
        <f aca="false">IF(BW37=0,0,IF(N(S37)&gt;0,S37,IFERROR(VLOOKUP(D37,Parameter!$A$35:$C$64,3,0)+0,0)))</f>
        <v>0</v>
      </c>
      <c r="CB37" s="48" t="n">
        <f aca="false">IF(AA37&lt;&gt;"",AA37,Z37)</f>
        <v>2</v>
      </c>
      <c r="CC37" s="48" t="str">
        <f aca="false">IF(OR(CB37=1,CB37=2,CB37=3),IF(Parameter!$E$27="Ja","LIFT",IF(CB37=1,"L1","L23")),IF(CB37="Aussen","Aussen","-"))</f>
        <v>LIFT</v>
      </c>
      <c r="CD37" s="59" t="n">
        <f aca="false">IF(N(AB37)&gt;0,AB37,0)</f>
        <v>0</v>
      </c>
      <c r="CE37" s="53" t="n">
        <f aca="false">IF(ISNUMBER(AE37),1,0)</f>
        <v>0</v>
      </c>
      <c r="CF37" s="50" t="n">
        <f aca="false">N(AE37)</f>
        <v>0</v>
      </c>
      <c r="CG37" s="50" t="n">
        <f aca="false">N(M37)+N(N37)</f>
        <v>47</v>
      </c>
      <c r="CH37" s="50" t="n">
        <f aca="false">ROUNDUP(H37/BV37,0)</f>
        <v>2</v>
      </c>
      <c r="CI37" s="50" t="n">
        <f aca="false">ROUNDUP(CF37/BV37,0)</f>
        <v>0</v>
      </c>
      <c r="CJ37" s="53" t="n">
        <f aca="false">IF(BW37=1,0,IFERROR(VLOOKUP(BU37,'Gebinde-Kategorie'!$A$5:$N$45,5,0)+0,0))</f>
        <v>40</v>
      </c>
      <c r="CK37" s="53" t="n">
        <f aca="false">IFERROR(IF(OR(CB37=1,CB37=2,CB37=3),N(INDEX(Parameter!$I$5:$I$7,CB37)),0),0)</f>
        <v>0</v>
      </c>
      <c r="CL37" s="52" t="n">
        <f aca="false">IF(AND(Parameter!$B$21="Ja",ISNUMBER(W37),N(X37)&gt;0),IFERROR(N(INDEX(Parameter!$L$5:$L$7,W37))*INDEX(Parameter!$E$5:$E$7,W37)*X37/SUMIFS($X$7:$X$1843,$W$7:$W$1843,W37),0),0)</f>
        <v>0</v>
      </c>
    </row>
    <row r="38" customFormat="false" ht="15" hidden="false" customHeight="false" outlineLevel="0" collapsed="false">
      <c r="A38" s="48" t="s">
        <v>266</v>
      </c>
      <c r="B38" s="48" t="s">
        <v>267</v>
      </c>
      <c r="C38" s="48" t="s">
        <v>168</v>
      </c>
      <c r="D38" s="48" t="s">
        <v>177</v>
      </c>
      <c r="E38" s="48" t="s">
        <v>170</v>
      </c>
      <c r="F38" s="48" t="s">
        <v>222</v>
      </c>
      <c r="G38" s="49" t="n">
        <v>630.41</v>
      </c>
      <c r="H38" s="50" t="n">
        <f aca="false">MAX(0,IF(AND(Parameter!$B$21="Ja",ISNUMBER(Y38)),Y38,IF(Parameter!$B$20="Jahresanfang 2025 + Export",BO38+BN38,BN38)))</f>
        <v>16</v>
      </c>
      <c r="I38" s="50" t="n">
        <f aca="false">H38*G38</f>
        <v>10086.56</v>
      </c>
      <c r="J38" s="50" t="n">
        <f aca="false">BQ38*Parameter!$B$18</f>
        <v>72</v>
      </c>
      <c r="K38" s="51" t="n">
        <v>13</v>
      </c>
      <c r="L38" s="52" t="n">
        <v>5.53846153846154</v>
      </c>
      <c r="M38" s="50" t="n">
        <v>4</v>
      </c>
      <c r="N38" s="50" t="n">
        <v>15</v>
      </c>
      <c r="O38" s="53" t="n">
        <v>21</v>
      </c>
      <c r="P38" s="48" t="s">
        <v>227</v>
      </c>
      <c r="Q38" s="50" t="n">
        <v>8</v>
      </c>
      <c r="R38" s="53" t="n">
        <f aca="false">IF(BW38=1,0,IFERROR(VLOOKUP(BU38,'Gebinde-Kategorie'!$A$5:$N$45,13,0)+0,0))</f>
        <v>4</v>
      </c>
      <c r="S38" s="54"/>
      <c r="T38" s="55"/>
      <c r="U38" s="55"/>
      <c r="V38" s="55"/>
      <c r="W38" s="48"/>
      <c r="X38" s="50"/>
      <c r="Y38" s="50"/>
      <c r="Z38" s="48" t="n">
        <f aca="false">IF(A38="","",IF(AND(Parameter!$B$21="Ja",ISNUMBER(W38)),W38,IF(BZ38="2+3",IF(ISNUMBER(SEARCH("grosser Artikel",BR38)),2,IFERROR(VLOOKUP(BU38,Parameter!$F$35:$G$64,2,0),2)),IF(OR(BZ38="Nein",BZ38=""),"-",BZ38))))</f>
        <v>1</v>
      </c>
      <c r="AA38" s="55"/>
      <c r="AB38" s="56"/>
      <c r="AC38" s="50" t="n">
        <f aca="false">AT38</f>
        <v>40</v>
      </c>
      <c r="AD38" s="50" t="n">
        <f aca="false">MAX(AT38,H38)</f>
        <v>40</v>
      </c>
      <c r="AE38" s="57"/>
      <c r="AF38" s="50" t="n">
        <f aca="false">IF(LEFT(Cockpit!$C$5,1)="A",H38,IF(CE38=1,CF38,IF(LEFT(Cockpit!$C$5,1)="B",AK38,MAX(AK38,H38))))</f>
        <v>16</v>
      </c>
      <c r="AG38" s="50" t="n">
        <f aca="false">IF(BW38=1,0,ROUNDUP(AF38/BV38,0))</f>
        <v>2</v>
      </c>
      <c r="AH38" s="52" t="n">
        <f aca="false">IF(CL38&gt;0,CL38*MAX(1,AF38/X38),IF(BW38=1,IF(AF38&lt;=0,0,CA38*MAX(1,IF(H38&gt;0,AF38/H38,1))),IF(R38&gt;0,AG38/R38,0))/MAX(0.1,N(Parameter!$M$21)))</f>
        <v>0.5</v>
      </c>
      <c r="AI38" s="50" t="n">
        <f aca="false">AH38*BY38</f>
        <v>117.5</v>
      </c>
      <c r="AJ38" s="50" t="n">
        <f aca="false">AF38*G38</f>
        <v>10086.56</v>
      </c>
      <c r="AK38" s="50" t="n">
        <f aca="false">ROUNDUP(MAX(J38/IF(CD38&gt;0,CD38,MAX(0.1,N(Cockpit!$C$6))),CG38)/BV38,0)*BV38</f>
        <v>40</v>
      </c>
      <c r="AL38" s="51" t="n">
        <f aca="false">IF(AI38&gt;0,J38/AI38,-1)</f>
        <v>0.612765957446809</v>
      </c>
      <c r="AM38" s="51" t="n">
        <f aca="false">IF(AND(OR(CC38="L1",CC38="L23",CC38="LIFT"),AI38&gt;0),SUMIFS($AI$7:$AI$1843,$CC$7:$CC$1843,CC38,$AL$7:$AL$1843,"&gt;"&amp;AL38)+SUMIFS($AI$7:$AI$1843,$CC$7:$CC$1843,CC38,$AL$7:$AL$1843,AL38,$BT$7:$BT$1843,"&lt;="&amp;BT38),"")</f>
        <v>8995.36947703897</v>
      </c>
      <c r="AN38" s="58" t="n">
        <f aca="false">IF(AM38="",0,MAX(0,MIN(1,(IF(CC38="L1",Parameter!$H$5,IF(CC38="L23",Parameter!$H$6+Parameter!$H$7,Parameter!$H$5+Parameter!$H$6+Parameter!$H$7))-(AM38-AI38))/AI38)))</f>
        <v>1</v>
      </c>
      <c r="AO38" s="50" t="n">
        <f aca="false">IF(LEFT(Cockpit!$I$5,1)="A",H38,IF(CE38=1,CF38,IF(LEFT(Cockpit!$I$5,1)="B",AT38,MAX(AT38,H38))))</f>
        <v>40</v>
      </c>
      <c r="AP38" s="50" t="n">
        <f aca="false">IF(BW38=1,0,ROUNDUP(AO38/BV38,0))</f>
        <v>5</v>
      </c>
      <c r="AQ38" s="52" t="n">
        <f aca="false">IF(CL38&gt;0,CL38*MAX(1,AO38/X38),IF(BW38=1,IF(AO38&lt;=0,0,CA38*MAX(1,IF(H38&gt;0,AO38/H38,1))),IF(R38&gt;0,AP38/R38,0))/MAX(0.1,N(Parameter!$M$21)))</f>
        <v>1.25</v>
      </c>
      <c r="AR38" s="50" t="n">
        <f aca="false">AQ38*BY38</f>
        <v>293.75</v>
      </c>
      <c r="AS38" s="50" t="n">
        <f aca="false">AO38*G38</f>
        <v>25216.4</v>
      </c>
      <c r="AT38" s="50" t="n">
        <f aca="false">ROUNDUP(MAX(J38/IF(CD38&gt;0,CD38,MAX(0.1,N(Cockpit!$I$6))),CG38)/BV38,0)*BV38</f>
        <v>40</v>
      </c>
      <c r="AU38" s="51" t="n">
        <f aca="false">IF(AR38&gt;0,J38/AR38,-1)</f>
        <v>0.245106382978723</v>
      </c>
      <c r="AV38" s="51" t="n">
        <f aca="false">IF(AND(OR(CC38="L1",CC38="L23",CC38="LIFT"),AR38&gt;0),SUMIFS($AR$7:$AR$1843,$CC$7:$CC$1843,CC38,$AU$7:$AU$1843,"&gt;"&amp;AU38)+SUMIFS($AR$7:$AR$1843,$CC$7:$CC$1843,CC38,$AU$7:$AU$1843,AU38,$BT$7:$BT$1843,"&lt;="&amp;BT38),"")</f>
        <v>18035.3914835165</v>
      </c>
      <c r="AW38" s="58" t="n">
        <f aca="false">IF(AV38="",0,MAX(0,MIN(1,(IF(CC38="L1",Parameter!$H$5,IF(CC38="L23",Parameter!$H$6+Parameter!$H$7,Parameter!$H$5+Parameter!$H$6+Parameter!$H$7))-(AV38-AR38))/AR38)))</f>
        <v>1</v>
      </c>
      <c r="AX38" s="50" t="n">
        <f aca="false">IF(LEFT(Cockpit!$O$5,1)="A",H38,IF(CE38=1,CF38,IF(LEFT(Cockpit!$O$5,1)="B",BC38,MAX(BC38,H38))))</f>
        <v>24</v>
      </c>
      <c r="AY38" s="50" t="n">
        <f aca="false">IF(BW38=1,0,ROUNDUP(AX38/BV38,0))</f>
        <v>3</v>
      </c>
      <c r="AZ38" s="52" t="n">
        <f aca="false">IF(CL38&gt;0,CL38*MAX(1,AX38/X38),IF(BW38=1,IF(AX38&lt;=0,0,CA38*MAX(1,IF(H38&gt;0,AX38/H38,1))),IF(R38&gt;0,AY38/R38,0))/MAX(0.1,N(Parameter!$M$21)))</f>
        <v>0.75</v>
      </c>
      <c r="BA38" s="50" t="n">
        <f aca="false">AZ38*BY38</f>
        <v>176.25</v>
      </c>
      <c r="BB38" s="50" t="n">
        <f aca="false">AX38*G38</f>
        <v>15129.84</v>
      </c>
      <c r="BC38" s="50" t="n">
        <f aca="false">ROUNDUP(MAX(J38/IF(CD38&gt;0,CD38,MAX(0.1,N(Cockpit!$O$6))),CG38)/BV38,0)*BV38</f>
        <v>24</v>
      </c>
      <c r="BD38" s="51" t="n">
        <f aca="false">IF(BA38&gt;0,J38/BA38,-1)</f>
        <v>0.408510638297872</v>
      </c>
      <c r="BE38" s="51" t="n">
        <f aca="false">IF(AND(OR(CC38="L1",CC38="L23",CC38="LIFT"),BA38&gt;0),SUMIFS($BA$7:$BA$1843,$CC$7:$CC$1843,CC38,$BD$7:$BD$1843,"&gt;"&amp;BD38)+SUMIFS($BA$7:$BA$1843,$CC$7:$CC$1843,CC38,$BD$7:$BD$1843,BD38,$BT$7:$BT$1843,"&lt;="&amp;BT38),"")</f>
        <v>13835.9162087912</v>
      </c>
      <c r="BF38" s="58" t="n">
        <f aca="false">IF(BE38="",0,MAX(0,MIN(1,(IF(CC38="L1",Parameter!$H$5,IF(CC38="L23",Parameter!$H$6+Parameter!$H$7,Parameter!$H$5+Parameter!$H$6+Parameter!$H$7))-(BE38-BA38))/BA38)))</f>
        <v>1</v>
      </c>
      <c r="BG38" s="48" t="str">
        <f aca="false">IF(AI38&lt;=0,"",IF(CC38="Aussen","Aussenlager",IF(CC38="-","Nicht im Lift",IF(AN38&gt;=1,"Lift",IF(AN38&lt;=0,"Aussenlager","teilweise")))))</f>
        <v>Lift</v>
      </c>
      <c r="BH38" s="48" t="str">
        <f aca="false">IF(AR38&lt;=0,"",IF(CC38="Aussen","Aussenlager",IF(CC38="-","Nicht im Lift",IF(AW38&gt;=1,"Lift",IF(AW38&lt;=0,"Aussenlager","teilweise")))))</f>
        <v>Lift</v>
      </c>
      <c r="BI38" s="48" t="str">
        <f aca="false">IF(BA38&lt;=0,"",IF(CC38="Aussen","Aussenlager",IF(CC38="-","Nicht im Lift",IF(BF38&gt;=1,"Lift",IF(BF38&lt;=0,"Aussenlager","teilweise")))))</f>
        <v>Lift</v>
      </c>
      <c r="BJ38" s="48" t="str">
        <f aca="false">IF(A38="","",IF(BS38=1,"Neu; ","")&amp;IF(AND(BS38=0,BN38&lt;0),"negativer Bestand (Export "&amp;BN38&amp;"); ","")&amp;IF(J38&lt;=0,"Kein Verbrauch; ","")&amp;IF(CL38&gt;0,"Lift "&amp;W38&amp;" lt. Liftbericht (Fach "&amp;X38&amp;" Stk); ",IF(BX38=1,"Gebinde geschätzt ("&amp;T38&amp;"); ",IF(BW38=1,"Lose – Tablare geschätzt; ","")))&amp;IF(H38&gt;AT38,"Überbestand "&amp;ROUND(H38-AT38,0)&amp;" Stk / CHF "&amp;ROUND((H38-AT38)*G38,0)&amp;"; ","")&amp;IF(AND(CE38=1,CF38&lt;CG38),"MAX &lt; MB+LG; ","")&amp;IF(AND(CK38&gt;0,CJ38*10&gt;CK38),"zu hoch für Tablar; ","")&amp;IF(AND(BS38=0,OR(CE38=1,AA38&lt;&gt;"",U38&lt;&gt;"",V38&lt;&gt;"",AB38&lt;&gt;"")),"manuell übersteuert; ","")&amp;IF(AND(BW38=0,R38=0),"Gebinde unbekannt / Stellmass fehlt; ","")&amp;IF(AND(BW38=0,N(V38)&lt;=0,N(Q38)&lt;=0),"Menge pro Gebinde fehlt (Ist = 1 Gebinde); ","")&amp;BR38)</f>
        <v/>
      </c>
      <c r="BK38" s="48"/>
      <c r="BL38" s="48"/>
      <c r="BM38" s="55"/>
      <c r="BN38" s="50" t="n">
        <v>16</v>
      </c>
      <c r="BO38" s="50" t="n">
        <v>0</v>
      </c>
      <c r="BP38" s="49" t="n">
        <v>10086.58</v>
      </c>
      <c r="BQ38" s="50" t="n">
        <v>72</v>
      </c>
      <c r="BR38" s="48"/>
      <c r="BS38" s="53" t="n">
        <v>0</v>
      </c>
      <c r="BT38" s="53" t="n">
        <v>38</v>
      </c>
      <c r="BU38" s="48" t="str">
        <f aca="false">IF(U38&lt;&gt;"",UPPER(TRIM(U38)),IF(BX38=1,UPPER(VLOOKUP(T38,Parameter!$I$27:$K$29,2,0)),IF(P38="","LOSE",P38)))</f>
        <v>S81</v>
      </c>
      <c r="BV38" s="50" t="n">
        <f aca="false">IF(BU38="LOSE",1,IF(N(V38)&gt;0,V38,IF(BX38=1,MAX(1,N(VLOOKUP(T38,Parameter!$I$27:$K$29,3,0)),H38,N(N38)),IF(N(Q38)&gt;0,Q38,MAX(1,H38)))))</f>
        <v>8</v>
      </c>
      <c r="BW38" s="53" t="n">
        <f aca="false">IF(BU38="LOSE",1,0)</f>
        <v>0</v>
      </c>
      <c r="BX38" s="53" t="n">
        <f aca="false">IF(AND(U38="",OR(P38="",P38="LOSE"),T38&lt;&gt;"",N(S38)&lt;=0,ISNUMBER(MATCH(T38,Parameter!$I$27:$I$29,0))),1,0)</f>
        <v>0</v>
      </c>
      <c r="BY38" s="53" t="n">
        <f aca="false">IF(CL38&gt;0,INDEX(Parameter!$H$5:$H$7,W38)/INDEX(Parameter!$E$5:$E$7,W38),IF(AND(BW38=0,N(IFERROR(VLOOKUP(BU38,'Gebinde-Kategorie'!$A$5:$N$45,14,0),0))&gt;0),VLOOKUP(BU38,'Gebinde-Kategorie'!$A$5:$N$45,14,0)*10+Parameter!$M$23,Parameter!$M$24))</f>
        <v>235</v>
      </c>
      <c r="BZ38" s="48" t="n">
        <f aca="false">IF(AND(Parameter!$B$19="Ja",E38&lt;&gt;"",ISNUMBER(MATCH(E38,Parameter!$I$35:$I$52,0))),VLOOKUP(E38,Parameter!$I$35:$J$52,2,0),IFERROR(VLOOKUP(D38,Parameter!$A$35:$C$64,2,0),"Nein"))</f>
        <v>1</v>
      </c>
      <c r="CA38" s="52" t="n">
        <f aca="false">IF(BW38=0,0,IF(N(S38)&gt;0,S38,IFERROR(VLOOKUP(D38,Parameter!$A$35:$C$64,3,0)+0,0)))</f>
        <v>0</v>
      </c>
      <c r="CB38" s="48" t="n">
        <f aca="false">IF(AA38&lt;&gt;"",AA38,Z38)</f>
        <v>1</v>
      </c>
      <c r="CC38" s="48" t="str">
        <f aca="false">IF(OR(CB38=1,CB38=2,CB38=3),IF(Parameter!$E$27="Ja","LIFT",IF(CB38=1,"L1","L23")),IF(CB38="Aussen","Aussen","-"))</f>
        <v>LIFT</v>
      </c>
      <c r="CD38" s="59" t="n">
        <f aca="false">IF(N(AB38)&gt;0,AB38,0)</f>
        <v>0</v>
      </c>
      <c r="CE38" s="53" t="n">
        <f aca="false">IF(ISNUMBER(AE38),1,0)</f>
        <v>0</v>
      </c>
      <c r="CF38" s="50" t="n">
        <f aca="false">N(AE38)</f>
        <v>0</v>
      </c>
      <c r="CG38" s="50" t="n">
        <f aca="false">N(M38)+N(N38)</f>
        <v>19</v>
      </c>
      <c r="CH38" s="50" t="n">
        <f aca="false">ROUNDUP(H38/BV38,0)</f>
        <v>2</v>
      </c>
      <c r="CI38" s="50" t="n">
        <f aca="false">ROUNDUP(CF38/BV38,0)</f>
        <v>0</v>
      </c>
      <c r="CJ38" s="53" t="n">
        <f aca="false">IF(BW38=1,0,IFERROR(VLOOKUP(BU38,'Gebinde-Kategorie'!$A$5:$N$45,5,0)+0,0))</f>
        <v>20</v>
      </c>
      <c r="CK38" s="53" t="n">
        <f aca="false">IFERROR(IF(OR(CB38=1,CB38=2,CB38=3),N(INDEX(Parameter!$I$5:$I$7,CB38)),0),0)</f>
        <v>0</v>
      </c>
      <c r="CL38" s="52" t="n">
        <f aca="false">IF(AND(Parameter!$B$21="Ja",ISNUMBER(W38),N(X38)&gt;0),IFERROR(N(INDEX(Parameter!$L$5:$L$7,W38))*INDEX(Parameter!$E$5:$E$7,W38)*X38/SUMIFS($X$7:$X$1843,$W$7:$W$1843,W38),0),0)</f>
        <v>0</v>
      </c>
    </row>
    <row r="39" customFormat="false" ht="15" hidden="false" customHeight="false" outlineLevel="0" collapsed="false">
      <c r="A39" s="48" t="s">
        <v>268</v>
      </c>
      <c r="B39" s="48" t="s">
        <v>269</v>
      </c>
      <c r="C39" s="48" t="s">
        <v>168</v>
      </c>
      <c r="D39" s="48" t="s">
        <v>177</v>
      </c>
      <c r="E39" s="48" t="s">
        <v>170</v>
      </c>
      <c r="F39" s="48" t="s">
        <v>222</v>
      </c>
      <c r="G39" s="49" t="n">
        <v>914.52</v>
      </c>
      <c r="H39" s="50" t="n">
        <f aca="false">MAX(0,IF(AND(Parameter!$B$21="Ja",ISNUMBER(Y39)),Y39,IF(Parameter!$B$20="Jahresanfang 2025 + Export",BO39+BN39,BN39)))</f>
        <v>13</v>
      </c>
      <c r="I39" s="50" t="n">
        <f aca="false">H39*G39</f>
        <v>11888.76</v>
      </c>
      <c r="J39" s="50" t="n">
        <f aca="false">BQ39*Parameter!$B$18</f>
        <v>147</v>
      </c>
      <c r="K39" s="51" t="n">
        <v>4</v>
      </c>
      <c r="L39" s="52" t="n">
        <v>36.75</v>
      </c>
      <c r="M39" s="50" t="n">
        <v>11</v>
      </c>
      <c r="N39" s="50" t="n">
        <v>20</v>
      </c>
      <c r="O39" s="53" t="n">
        <v>28</v>
      </c>
      <c r="P39" s="48" t="s">
        <v>172</v>
      </c>
      <c r="Q39" s="50"/>
      <c r="R39" s="53" t="n">
        <f aca="false">IF(BW39=1,0,IFERROR(VLOOKUP(BU39,'Gebinde-Kategorie'!$A$5:$N$45,13,0)+0,0))</f>
        <v>12</v>
      </c>
      <c r="S39" s="54"/>
      <c r="T39" s="55" t="s">
        <v>183</v>
      </c>
      <c r="U39" s="55"/>
      <c r="V39" s="55"/>
      <c r="W39" s="48"/>
      <c r="X39" s="50"/>
      <c r="Y39" s="50"/>
      <c r="Z39" s="48" t="n">
        <f aca="false">IF(A39="","",IF(AND(Parameter!$B$21="Ja",ISNUMBER(W39)),W39,IF(BZ39="2+3",IF(ISNUMBER(SEARCH("grosser Artikel",BR39)),2,IFERROR(VLOOKUP(BU39,Parameter!$F$35:$G$64,2,0),2)),IF(OR(BZ39="Nein",BZ39=""),"-",BZ39))))</f>
        <v>1</v>
      </c>
      <c r="AA39" s="55"/>
      <c r="AB39" s="56"/>
      <c r="AC39" s="50" t="n">
        <f aca="false">AT39</f>
        <v>80</v>
      </c>
      <c r="AD39" s="50" t="n">
        <f aca="false">MAX(AT39,H39)</f>
        <v>80</v>
      </c>
      <c r="AE39" s="57"/>
      <c r="AF39" s="50" t="n">
        <f aca="false">IF(LEFT(Cockpit!$C$5,1)="A",H39,IF(CE39=1,CF39,IF(LEFT(Cockpit!$C$5,1)="B",AK39,MAX(AK39,H39))))</f>
        <v>13</v>
      </c>
      <c r="AG39" s="50" t="n">
        <f aca="false">IF(BW39=1,0,ROUNDUP(AF39/BV39,0))</f>
        <v>1</v>
      </c>
      <c r="AH39" s="52" t="n">
        <f aca="false">IF(CL39&gt;0,CL39*MAX(1,AF39/X39),IF(BW39=1,IF(AF39&lt;=0,0,CA39*MAX(1,IF(H39&gt;0,AF39/H39,1))),IF(R39&gt;0,AG39/R39,0))/MAX(0.1,N(Parameter!$M$21)))</f>
        <v>0.0833333333333333</v>
      </c>
      <c r="AI39" s="50" t="n">
        <f aca="false">AH39*BY39</f>
        <v>12.0833333333333</v>
      </c>
      <c r="AJ39" s="50" t="n">
        <f aca="false">AF39*G39</f>
        <v>11888.76</v>
      </c>
      <c r="AK39" s="50" t="n">
        <f aca="false">ROUNDUP(MAX(J39/IF(CD39&gt;0,CD39,MAX(0.1,N(Cockpit!$C$6))),CG39)/BV39,0)*BV39</f>
        <v>80</v>
      </c>
      <c r="AL39" s="51" t="n">
        <f aca="false">IF(AI39&gt;0,J39/AI39,-1)</f>
        <v>12.1655172413793</v>
      </c>
      <c r="AM39" s="51" t="n">
        <f aca="false">IF(AND(OR(CC39="L1",CC39="L23",CC39="LIFT"),AI39&gt;0),SUMIFS($AI$7:$AI$1843,$CC$7:$CC$1843,CC39,$AL$7:$AL$1843,"&gt;"&amp;AL39)+SUMIFS($AI$7:$AI$1843,$CC$7:$CC$1843,CC39,$AL$7:$AL$1843,AL39,$BT$7:$BT$1843,"&lt;="&amp;BT39),"")</f>
        <v>2513.54120879121</v>
      </c>
      <c r="AN39" s="58" t="n">
        <f aca="false">IF(AM39="",0,MAX(0,MIN(1,(IF(CC39="L1",Parameter!$H$5,IF(CC39="L23",Parameter!$H$6+Parameter!$H$7,Parameter!$H$5+Parameter!$H$6+Parameter!$H$7))-(AM39-AI39))/AI39)))</f>
        <v>1</v>
      </c>
      <c r="AO39" s="50" t="n">
        <f aca="false">IF(LEFT(Cockpit!$I$5,1)="A",H39,IF(CE39=1,CF39,IF(LEFT(Cockpit!$I$5,1)="B",AT39,MAX(AT39,H39))))</f>
        <v>80</v>
      </c>
      <c r="AP39" s="50" t="n">
        <f aca="false">IF(BW39=1,0,ROUNDUP(AO39/BV39,0))</f>
        <v>4</v>
      </c>
      <c r="AQ39" s="52" t="n">
        <f aca="false">IF(CL39&gt;0,CL39*MAX(1,AO39/X39),IF(BW39=1,IF(AO39&lt;=0,0,CA39*MAX(1,IF(H39&gt;0,AO39/H39,1))),IF(R39&gt;0,AP39/R39,0))/MAX(0.1,N(Parameter!$M$21)))</f>
        <v>0.333333333333333</v>
      </c>
      <c r="AR39" s="50" t="n">
        <f aca="false">AQ39*BY39</f>
        <v>48.3333333333333</v>
      </c>
      <c r="AS39" s="50" t="n">
        <f aca="false">AO39*G39</f>
        <v>73161.6</v>
      </c>
      <c r="AT39" s="50" t="n">
        <f aca="false">ROUNDUP(MAX(J39/IF(CD39&gt;0,CD39,MAX(0.1,N(Cockpit!$I$6))),CG39)/BV39,0)*BV39</f>
        <v>80</v>
      </c>
      <c r="AU39" s="51" t="n">
        <f aca="false">IF(AR39&gt;0,J39/AR39,-1)</f>
        <v>3.04137931034483</v>
      </c>
      <c r="AV39" s="51" t="n">
        <f aca="false">IF(AND(OR(CC39="L1",CC39="L23",CC39="LIFT"),AR39&gt;0),SUMIFS($AR$7:$AR$1843,$CC$7:$CC$1843,CC39,$AU$7:$AU$1843,"&gt;"&amp;AU39)+SUMIFS($AR$7:$AR$1843,$CC$7:$CC$1843,CC39,$AU$7:$AU$1843,AU39,$BT$7:$BT$1843,"&lt;="&amp;BT39),"")</f>
        <v>6306.65842490842</v>
      </c>
      <c r="AW39" s="58" t="n">
        <f aca="false">IF(AV39="",0,MAX(0,MIN(1,(IF(CC39="L1",Parameter!$H$5,IF(CC39="L23",Parameter!$H$6+Parameter!$H$7,Parameter!$H$5+Parameter!$H$6+Parameter!$H$7))-(AV39-AR39))/AR39)))</f>
        <v>1</v>
      </c>
      <c r="AX39" s="50" t="n">
        <f aca="false">IF(LEFT(Cockpit!$O$5,1)="A",H39,IF(CE39=1,CF39,IF(LEFT(Cockpit!$O$5,1)="B",BC39,MAX(BC39,H39))))</f>
        <v>60</v>
      </c>
      <c r="AY39" s="50" t="n">
        <f aca="false">IF(BW39=1,0,ROUNDUP(AX39/BV39,0))</f>
        <v>3</v>
      </c>
      <c r="AZ39" s="52" t="n">
        <f aca="false">IF(CL39&gt;0,CL39*MAX(1,AX39/X39),IF(BW39=1,IF(AX39&lt;=0,0,CA39*MAX(1,IF(H39&gt;0,AX39/H39,1))),IF(R39&gt;0,AY39/R39,0))/MAX(0.1,N(Parameter!$M$21)))</f>
        <v>0.25</v>
      </c>
      <c r="BA39" s="50" t="n">
        <f aca="false">AZ39*BY39</f>
        <v>36.25</v>
      </c>
      <c r="BB39" s="50" t="n">
        <f aca="false">AX39*G39</f>
        <v>54871.2</v>
      </c>
      <c r="BC39" s="50" t="n">
        <f aca="false">ROUNDUP(MAX(J39/IF(CD39&gt;0,CD39,MAX(0.1,N(Cockpit!$O$6))),CG39)/BV39,0)*BV39</f>
        <v>60</v>
      </c>
      <c r="BD39" s="51" t="n">
        <f aca="false">IF(BA39&gt;0,J39/BA39,-1)</f>
        <v>4.0551724137931</v>
      </c>
      <c r="BE39" s="51" t="n">
        <f aca="false">IF(AND(OR(CC39="L1",CC39="L23",CC39="LIFT"),BA39&gt;0),SUMIFS($BA$7:$BA$1843,$CC$7:$CC$1843,CC39,$BD$7:$BD$1843,"&gt;"&amp;BD39)+SUMIFS($BA$7:$BA$1843,$CC$7:$CC$1843,CC39,$BD$7:$BD$1843,BD39,$BT$7:$BT$1843,"&lt;="&amp;BT39),"")</f>
        <v>5212.76831501832</v>
      </c>
      <c r="BF39" s="58" t="n">
        <f aca="false">IF(BE39="",0,MAX(0,MIN(1,(IF(CC39="L1",Parameter!$H$5,IF(CC39="L23",Parameter!$H$6+Parameter!$H$7,Parameter!$H$5+Parameter!$H$6+Parameter!$H$7))-(BE39-BA39))/BA39)))</f>
        <v>1</v>
      </c>
      <c r="BG39" s="48" t="str">
        <f aca="false">IF(AI39&lt;=0,"",IF(CC39="Aussen","Aussenlager",IF(CC39="-","Nicht im Lift",IF(AN39&gt;=1,"Lift",IF(AN39&lt;=0,"Aussenlager","teilweise")))))</f>
        <v>Lift</v>
      </c>
      <c r="BH39" s="48" t="str">
        <f aca="false">IF(AR39&lt;=0,"",IF(CC39="Aussen","Aussenlager",IF(CC39="-","Nicht im Lift",IF(AW39&gt;=1,"Lift",IF(AW39&lt;=0,"Aussenlager","teilweise")))))</f>
        <v>Lift</v>
      </c>
      <c r="BI39" s="48" t="str">
        <f aca="false">IF(BA39&lt;=0,"",IF(CC39="Aussen","Aussenlager",IF(CC39="-","Nicht im Lift",IF(BF39&gt;=1,"Lift",IF(BF39&lt;=0,"Aussenlager","teilweise")))))</f>
        <v>Lift</v>
      </c>
      <c r="BJ39" s="48" t="str">
        <f aca="false">IF(A39="","",IF(BS39=1,"Neu; ","")&amp;IF(AND(BS39=0,BN39&lt;0),"negativer Bestand (Export "&amp;BN39&amp;"); ","")&amp;IF(J39&lt;=0,"Kein Verbrauch; ","")&amp;IF(CL39&gt;0,"Lift "&amp;W39&amp;" lt. Liftbericht (Fach "&amp;X39&amp;" Stk); ",IF(BX39=1,"Gebinde geschätzt ("&amp;T39&amp;"); ",IF(BW39=1,"Lose – Tablare geschätzt; ","")))&amp;IF(H39&gt;AT39,"Überbestand "&amp;ROUND(H39-AT39,0)&amp;" Stk / CHF "&amp;ROUND((H39-AT39)*G39,0)&amp;"; ","")&amp;IF(AND(CE39=1,CF39&lt;CG39),"MAX &lt; MB+LG; ","")&amp;IF(AND(CK39&gt;0,CJ39*10&gt;CK39),"zu hoch für Tablar; ","")&amp;IF(AND(BS39=0,OR(CE39=1,AA39&lt;&gt;"",U39&lt;&gt;"",V39&lt;&gt;"",AB39&lt;&gt;"")),"manuell übersteuert; ","")&amp;IF(AND(BW39=0,R39=0),"Gebinde unbekannt / Stellmass fehlt; ","")&amp;IF(AND(BW39=0,N(V39)&lt;=0,N(Q39)&lt;=0),"Menge pro Gebinde fehlt (Ist = 1 Gebinde); ","")&amp;BR39)</f>
        <v>Gebinde geschätzt (Mittel); Menge pro Gebinde fehlt (Ist = 1 Gebinde); </v>
      </c>
      <c r="BK39" s="48" t="s">
        <v>270</v>
      </c>
      <c r="BL39" s="48" t="s">
        <v>271</v>
      </c>
      <c r="BM39" s="55"/>
      <c r="BN39" s="50" t="n">
        <v>11</v>
      </c>
      <c r="BO39" s="50" t="n">
        <v>2</v>
      </c>
      <c r="BP39" s="49" t="n">
        <v>10019.94</v>
      </c>
      <c r="BQ39" s="50" t="n">
        <v>147</v>
      </c>
      <c r="BR39" s="48"/>
      <c r="BS39" s="53" t="n">
        <v>0</v>
      </c>
      <c r="BT39" s="53" t="n">
        <v>39</v>
      </c>
      <c r="BU39" s="48" t="str">
        <f aca="false">IF(U39&lt;&gt;"",UPPER(TRIM(U39)),IF(BX39=1,UPPER(VLOOKUP(T39,Parameter!$I$27:$K$29,2,0)),IF(P39="","LOSE",P39)))</f>
        <v>S61</v>
      </c>
      <c r="BV39" s="50" t="n">
        <f aca="false">IF(BU39="LOSE",1,IF(N(V39)&gt;0,V39,IF(BX39=1,MAX(1,N(VLOOKUP(T39,Parameter!$I$27:$K$29,3,0)),H39,N(N39)),IF(N(Q39)&gt;0,Q39,MAX(1,H39)))))</f>
        <v>20</v>
      </c>
      <c r="BW39" s="53" t="n">
        <f aca="false">IF(BU39="LOSE",1,0)</f>
        <v>0</v>
      </c>
      <c r="BX39" s="53" t="n">
        <f aca="false">IF(AND(U39="",OR(P39="",P39="LOSE"),T39&lt;&gt;"",N(S39)&lt;=0,ISNUMBER(MATCH(T39,Parameter!$I$27:$I$29,0))),1,0)</f>
        <v>1</v>
      </c>
      <c r="BY39" s="53" t="n">
        <f aca="false">IF(CL39&gt;0,INDEX(Parameter!$H$5:$H$7,W39)/INDEX(Parameter!$E$5:$E$7,W39),IF(AND(BW39=0,N(IFERROR(VLOOKUP(BU39,'Gebinde-Kategorie'!$A$5:$N$45,14,0),0))&gt;0),VLOOKUP(BU39,'Gebinde-Kategorie'!$A$5:$N$45,14,0)*10+Parameter!$M$23,Parameter!$M$24))</f>
        <v>145</v>
      </c>
      <c r="BZ39" s="48" t="n">
        <f aca="false">IF(AND(Parameter!$B$19="Ja",E39&lt;&gt;"",ISNUMBER(MATCH(E39,Parameter!$I$35:$I$52,0))),VLOOKUP(E39,Parameter!$I$35:$J$52,2,0),IFERROR(VLOOKUP(D39,Parameter!$A$35:$C$64,2,0),"Nein"))</f>
        <v>1</v>
      </c>
      <c r="CA39" s="52" t="n">
        <f aca="false">IF(BW39=0,0,IF(N(S39)&gt;0,S39,IFERROR(VLOOKUP(D39,Parameter!$A$35:$C$64,3,0)+0,0)))</f>
        <v>0</v>
      </c>
      <c r="CB39" s="48" t="n">
        <f aca="false">IF(AA39&lt;&gt;"",AA39,Z39)</f>
        <v>1</v>
      </c>
      <c r="CC39" s="48" t="str">
        <f aca="false">IF(OR(CB39=1,CB39=2,CB39=3),IF(Parameter!$E$27="Ja","LIFT",IF(CB39=1,"L1","L23")),IF(CB39="Aussen","Aussen","-"))</f>
        <v>LIFT</v>
      </c>
      <c r="CD39" s="59" t="n">
        <f aca="false">IF(N(AB39)&gt;0,AB39,0)</f>
        <v>0</v>
      </c>
      <c r="CE39" s="53" t="n">
        <f aca="false">IF(ISNUMBER(AE39),1,0)</f>
        <v>0</v>
      </c>
      <c r="CF39" s="50" t="n">
        <f aca="false">N(AE39)</f>
        <v>0</v>
      </c>
      <c r="CG39" s="50" t="n">
        <f aca="false">N(M39)+N(N39)</f>
        <v>31</v>
      </c>
      <c r="CH39" s="50" t="n">
        <f aca="false">ROUNDUP(H39/BV39,0)</f>
        <v>1</v>
      </c>
      <c r="CI39" s="50" t="n">
        <f aca="false">ROUNDUP(CF39/BV39,0)</f>
        <v>0</v>
      </c>
      <c r="CJ39" s="53" t="n">
        <f aca="false">IF(BW39=1,0,IFERROR(VLOOKUP(BU39,'Gebinde-Kategorie'!$A$5:$N$45,5,0)+0,0))</f>
        <v>11</v>
      </c>
      <c r="CK39" s="53" t="n">
        <f aca="false">IFERROR(IF(OR(CB39=1,CB39=2,CB39=3),N(INDEX(Parameter!$I$5:$I$7,CB39)),0),0)</f>
        <v>0</v>
      </c>
      <c r="CL39" s="52" t="n">
        <f aca="false">IF(AND(Parameter!$B$21="Ja",ISNUMBER(W39),N(X39)&gt;0),IFERROR(N(INDEX(Parameter!$L$5:$L$7,W39))*INDEX(Parameter!$E$5:$E$7,W39)*X39/SUMIFS($X$7:$X$1843,$W$7:$W$1843,W39),0),0)</f>
        <v>0</v>
      </c>
    </row>
    <row r="40" customFormat="false" ht="15" hidden="false" customHeight="false" outlineLevel="0" collapsed="false">
      <c r="A40" s="48" t="s">
        <v>272</v>
      </c>
      <c r="B40" s="48" t="s">
        <v>249</v>
      </c>
      <c r="C40" s="48" t="s">
        <v>168</v>
      </c>
      <c r="D40" s="48" t="s">
        <v>177</v>
      </c>
      <c r="E40" s="48"/>
      <c r="F40" s="48" t="s">
        <v>222</v>
      </c>
      <c r="G40" s="49" t="n">
        <v>3123</v>
      </c>
      <c r="H40" s="50" t="n">
        <f aca="false">MAX(0,IF(AND(Parameter!$B$21="Ja",ISNUMBER(Y40)),Y40,IF(Parameter!$B$20="Jahresanfang 2025 + Export",BO40+BN40,BN40)))</f>
        <v>3</v>
      </c>
      <c r="I40" s="50" t="n">
        <f aca="false">H40*G40</f>
        <v>9369</v>
      </c>
      <c r="J40" s="50" t="n">
        <f aca="false">BQ40*Parameter!$B$18</f>
        <v>0</v>
      </c>
      <c r="K40" s="51" t="n">
        <v>0.5</v>
      </c>
      <c r="L40" s="52" t="n">
        <v>0</v>
      </c>
      <c r="M40" s="50" t="n">
        <v>0</v>
      </c>
      <c r="N40" s="50" t="n">
        <v>1</v>
      </c>
      <c r="O40" s="53" t="n">
        <v>56</v>
      </c>
      <c r="P40" s="48" t="s">
        <v>172</v>
      </c>
      <c r="Q40" s="50"/>
      <c r="R40" s="53" t="n">
        <f aca="false">IF(BW40=1,0,IFERROR(VLOOKUP(BU40,'Gebinde-Kategorie'!$A$5:$N$45,13,0)+0,0))</f>
        <v>12</v>
      </c>
      <c r="S40" s="54"/>
      <c r="T40" s="55" t="s">
        <v>183</v>
      </c>
      <c r="U40" s="55"/>
      <c r="V40" s="55"/>
      <c r="W40" s="48"/>
      <c r="X40" s="50"/>
      <c r="Y40" s="50"/>
      <c r="Z40" s="48" t="n">
        <f aca="false">IF(A40="","",IF(AND(Parameter!$B$21="Ja",ISNUMBER(W40)),W40,IF(BZ40="2+3",IF(ISNUMBER(SEARCH("grosser Artikel",BR40)),2,IFERROR(VLOOKUP(BU40,Parameter!$F$35:$G$64,2,0),2)),IF(OR(BZ40="Nein",BZ40=""),"-",BZ40))))</f>
        <v>2</v>
      </c>
      <c r="AA40" s="55"/>
      <c r="AB40" s="56"/>
      <c r="AC40" s="50" t="n">
        <f aca="false">AT40</f>
        <v>4</v>
      </c>
      <c r="AD40" s="50" t="n">
        <f aca="false">MAX(AT40,H40)</f>
        <v>4</v>
      </c>
      <c r="AE40" s="57"/>
      <c r="AF40" s="50" t="n">
        <f aca="false">IF(LEFT(Cockpit!$C$5,1)="A",H40,IF(CE40=1,CF40,IF(LEFT(Cockpit!$C$5,1)="B",AK40,MAX(AK40,H40))))</f>
        <v>3</v>
      </c>
      <c r="AG40" s="50" t="n">
        <f aca="false">IF(BW40=1,0,ROUNDUP(AF40/BV40,0))</f>
        <v>1</v>
      </c>
      <c r="AH40" s="52" t="n">
        <f aca="false">IF(CL40&gt;0,CL40*MAX(1,AF40/X40),IF(BW40=1,IF(AF40&lt;=0,0,CA40*MAX(1,IF(H40&gt;0,AF40/H40,1))),IF(R40&gt;0,AG40/R40,0))/MAX(0.1,N(Parameter!$M$21)))</f>
        <v>0.0833333333333333</v>
      </c>
      <c r="AI40" s="50" t="n">
        <f aca="false">AH40*BY40</f>
        <v>12.0833333333333</v>
      </c>
      <c r="AJ40" s="50" t="n">
        <f aca="false">AF40*G40</f>
        <v>9369</v>
      </c>
      <c r="AK40" s="50" t="n">
        <f aca="false">ROUNDUP(MAX(J40/IF(CD40&gt;0,CD40,MAX(0.1,N(Cockpit!$C$6))),CG40)/BV40,0)*BV40</f>
        <v>4</v>
      </c>
      <c r="AL40" s="51" t="n">
        <f aca="false">IF(AI40&gt;0,J40/AI40,-1)</f>
        <v>0</v>
      </c>
      <c r="AM40" s="51" t="n">
        <f aca="false">IF(AND(OR(CC40="L1",CC40="L23",CC40="LIFT"),AI40&gt;0),SUMIFS($AI$7:$AI$1843,$CC$7:$CC$1843,CC40,$AL$7:$AL$1843,"&gt;"&amp;AL40)+SUMIFS($AI$7:$AI$1843,$CC$7:$CC$1843,CC40,$AL$7:$AL$1843,AL40,$BT$7:$BT$1843,"&lt;="&amp;BT40),"")</f>
        <v>25700.2719081766</v>
      </c>
      <c r="AN40" s="58" t="n">
        <f aca="false">IF(AM40="",0,MAX(0,MIN(1,(IF(CC40="L1",Parameter!$H$5,IF(CC40="L23",Parameter!$H$6+Parameter!$H$7,Parameter!$H$5+Parameter!$H$6+Parameter!$H$7))-(AM40-AI40))/AI40)))</f>
        <v>1</v>
      </c>
      <c r="AO40" s="50" t="n">
        <f aca="false">IF(LEFT(Cockpit!$I$5,1)="A",H40,IF(CE40=1,CF40,IF(LEFT(Cockpit!$I$5,1)="B",AT40,MAX(AT40,H40))))</f>
        <v>4</v>
      </c>
      <c r="AP40" s="50" t="n">
        <f aca="false">IF(BW40=1,0,ROUNDUP(AO40/BV40,0))</f>
        <v>1</v>
      </c>
      <c r="AQ40" s="52" t="n">
        <f aca="false">IF(CL40&gt;0,CL40*MAX(1,AO40/X40),IF(BW40=1,IF(AO40&lt;=0,0,CA40*MAX(1,IF(H40&gt;0,AO40/H40,1))),IF(R40&gt;0,AP40/R40,0))/MAX(0.1,N(Parameter!$M$21)))</f>
        <v>0.0833333333333333</v>
      </c>
      <c r="AR40" s="50" t="n">
        <f aca="false">AQ40*BY40</f>
        <v>12.0833333333333</v>
      </c>
      <c r="AS40" s="50" t="n">
        <f aca="false">AO40*G40</f>
        <v>12492</v>
      </c>
      <c r="AT40" s="50" t="n">
        <f aca="false">ROUNDUP(MAX(J40/IF(CD40&gt;0,CD40,MAX(0.1,N(Cockpit!$I$6))),CG40)/BV40,0)*BV40</f>
        <v>4</v>
      </c>
      <c r="AU40" s="51" t="n">
        <f aca="false">IF(AR40&gt;0,J40/AR40,-1)</f>
        <v>0</v>
      </c>
      <c r="AV40" s="51" t="n">
        <f aca="false">IF(AND(OR(CC40="L1",CC40="L23",CC40="LIFT"),AR40&gt;0),SUMIFS($AR$7:$AR$1843,$CC$7:$CC$1843,CC40,$AU$7:$AU$1843,"&gt;"&amp;AU40)+SUMIFS($AR$7:$AR$1843,$CC$7:$CC$1843,CC40,$AU$7:$AU$1843,AU40,$BT$7:$BT$1843,"&lt;="&amp;BT40),"")</f>
        <v>36957.878461228</v>
      </c>
      <c r="AW40" s="58" t="n">
        <f aca="false">IF(AV40="",0,MAX(0,MIN(1,(IF(CC40="L1",Parameter!$H$5,IF(CC40="L23",Parameter!$H$6+Parameter!$H$7,Parameter!$H$5+Parameter!$H$6+Parameter!$H$7))-(AV40-AR40))/AR40)))</f>
        <v>0</v>
      </c>
      <c r="AX40" s="50" t="n">
        <f aca="false">IF(LEFT(Cockpit!$O$5,1)="A",H40,IF(CE40=1,CF40,IF(LEFT(Cockpit!$O$5,1)="B",BC40,MAX(BC40,H40))))</f>
        <v>4</v>
      </c>
      <c r="AY40" s="50" t="n">
        <f aca="false">IF(BW40=1,0,ROUNDUP(AX40/BV40,0))</f>
        <v>1</v>
      </c>
      <c r="AZ40" s="52" t="n">
        <f aca="false">IF(CL40&gt;0,CL40*MAX(1,AX40/X40),IF(BW40=1,IF(AX40&lt;=0,0,CA40*MAX(1,IF(H40&gt;0,AX40/H40,1))),IF(R40&gt;0,AY40/R40,0))/MAX(0.1,N(Parameter!$M$21)))</f>
        <v>0.0833333333333333</v>
      </c>
      <c r="BA40" s="50" t="n">
        <f aca="false">AZ40*BY40</f>
        <v>12.0833333333333</v>
      </c>
      <c r="BB40" s="50" t="n">
        <f aca="false">AX40*G40</f>
        <v>12492</v>
      </c>
      <c r="BC40" s="50" t="n">
        <f aca="false">ROUNDUP(MAX(J40/IF(CD40&gt;0,CD40,MAX(0.1,N(Cockpit!$O$6))),CG40)/BV40,0)*BV40</f>
        <v>4</v>
      </c>
      <c r="BD40" s="51" t="n">
        <f aca="false">IF(BA40&gt;0,J40/BA40,-1)</f>
        <v>0</v>
      </c>
      <c r="BE40" s="51" t="n">
        <f aca="false">IF(AND(OR(CC40="L1",CC40="L23",CC40="LIFT"),BA40&gt;0),SUMIFS($BA$7:$BA$1843,$CC$7:$CC$1843,CC40,$BD$7:$BD$1843,"&gt;"&amp;BD40)+SUMIFS($BA$7:$BA$1843,$CC$7:$CC$1843,CC40,$BD$7:$BD$1843,BD40,$BT$7:$BT$1843,"&lt;="&amp;BT40),"")</f>
        <v>33632.8905030939</v>
      </c>
      <c r="BF40" s="58" t="n">
        <f aca="false">IF(BE40="",0,MAX(0,MIN(1,(IF(CC40="L1",Parameter!$H$5,IF(CC40="L23",Parameter!$H$6+Parameter!$H$7,Parameter!$H$5+Parameter!$H$6+Parameter!$H$7))-(BE40-BA40))/BA40)))</f>
        <v>1</v>
      </c>
      <c r="BG40" s="48" t="str">
        <f aca="false">IF(AI40&lt;=0,"",IF(CC40="Aussen","Aussenlager",IF(CC40="-","Nicht im Lift",IF(AN40&gt;=1,"Lift",IF(AN40&lt;=0,"Aussenlager","teilweise")))))</f>
        <v>Lift</v>
      </c>
      <c r="BH40" s="48" t="str">
        <f aca="false">IF(AR40&lt;=0,"",IF(CC40="Aussen","Aussenlager",IF(CC40="-","Nicht im Lift",IF(AW40&gt;=1,"Lift",IF(AW40&lt;=0,"Aussenlager","teilweise")))))</f>
        <v>Aussenlager</v>
      </c>
      <c r="BI40" s="48" t="str">
        <f aca="false">IF(BA40&lt;=0,"",IF(CC40="Aussen","Aussenlager",IF(CC40="-","Nicht im Lift",IF(BF40&gt;=1,"Lift",IF(BF40&lt;=0,"Aussenlager","teilweise")))))</f>
        <v>Lift</v>
      </c>
      <c r="BJ40" s="48" t="str">
        <f aca="false">IF(A40="","",IF(BS40=1,"Neu; ","")&amp;IF(AND(BS40=0,BN40&lt;0),"negativer Bestand (Export "&amp;BN40&amp;"); ","")&amp;IF(J40&lt;=0,"Kein Verbrauch; ","")&amp;IF(CL40&gt;0,"Lift "&amp;W40&amp;" lt. Liftbericht (Fach "&amp;X40&amp;" Stk); ",IF(BX40=1,"Gebinde geschätzt ("&amp;T40&amp;"); ",IF(BW40=1,"Lose – Tablare geschätzt; ","")))&amp;IF(H40&gt;AT40,"Überbestand "&amp;ROUND(H40-AT40,0)&amp;" Stk / CHF "&amp;ROUND((H40-AT40)*G40,0)&amp;"; ","")&amp;IF(AND(CE40=1,CF40&lt;CG40),"MAX &lt; MB+LG; ","")&amp;IF(AND(CK40&gt;0,CJ40*10&gt;CK40),"zu hoch für Tablar; ","")&amp;IF(AND(BS40=0,OR(CE40=1,AA40&lt;&gt;"",U40&lt;&gt;"",V40&lt;&gt;"",AB40&lt;&gt;"")),"manuell übersteuert; ","")&amp;IF(AND(BW40=0,R40=0),"Gebinde unbekannt / Stellmass fehlt; ","")&amp;IF(AND(BW40=0,N(V40)&lt;=0,N(Q40)&lt;=0),"Menge pro Gebinde fehlt (Ist = 1 Gebinde); ","")&amp;BR40)</f>
        <v>Kein Verbrauch; Gebinde geschätzt (Mittel); Menge pro Gebinde fehlt (Ist = 1 Gebinde); </v>
      </c>
      <c r="BK40" s="48"/>
      <c r="BL40" s="48"/>
      <c r="BM40" s="55"/>
      <c r="BN40" s="50" t="n">
        <v>3</v>
      </c>
      <c r="BO40" s="50" t="n">
        <v>0</v>
      </c>
      <c r="BP40" s="49" t="n">
        <v>9369</v>
      </c>
      <c r="BQ40" s="50" t="n">
        <v>0</v>
      </c>
      <c r="BR40" s="48"/>
      <c r="BS40" s="53" t="n">
        <v>0</v>
      </c>
      <c r="BT40" s="53" t="n">
        <v>40</v>
      </c>
      <c r="BU40" s="48" t="str">
        <f aca="false">IF(U40&lt;&gt;"",UPPER(TRIM(U40)),IF(BX40=1,UPPER(VLOOKUP(T40,Parameter!$I$27:$K$29,2,0)),IF(P40="","LOSE",P40)))</f>
        <v>S61</v>
      </c>
      <c r="BV40" s="50" t="n">
        <f aca="false">IF(BU40="LOSE",1,IF(N(V40)&gt;0,V40,IF(BX40=1,MAX(1,N(VLOOKUP(T40,Parameter!$I$27:$K$29,3,0)),H40,N(N40)),IF(N(Q40)&gt;0,Q40,MAX(1,H40)))))</f>
        <v>4</v>
      </c>
      <c r="BW40" s="53" t="n">
        <f aca="false">IF(BU40="LOSE",1,0)</f>
        <v>0</v>
      </c>
      <c r="BX40" s="53" t="n">
        <f aca="false">IF(AND(U40="",OR(P40="",P40="LOSE"),T40&lt;&gt;"",N(S40)&lt;=0,ISNUMBER(MATCH(T40,Parameter!$I$27:$I$29,0))),1,0)</f>
        <v>1</v>
      </c>
      <c r="BY40" s="53" t="n">
        <f aca="false">IF(CL40&gt;0,INDEX(Parameter!$H$5:$H$7,W40)/INDEX(Parameter!$E$5:$E$7,W40),IF(AND(BW40=0,N(IFERROR(VLOOKUP(BU40,'Gebinde-Kategorie'!$A$5:$N$45,14,0),0))&gt;0),VLOOKUP(BU40,'Gebinde-Kategorie'!$A$5:$N$45,14,0)*10+Parameter!$M$23,Parameter!$M$24))</f>
        <v>145</v>
      </c>
      <c r="BZ40" s="48" t="str">
        <f aca="false">IF(AND(Parameter!$B$19="Ja",E40&lt;&gt;"",ISNUMBER(MATCH(E40,Parameter!$I$35:$I$52,0))),VLOOKUP(E40,Parameter!$I$35:$J$52,2,0),IFERROR(VLOOKUP(D40,Parameter!$A$35:$C$64,2,0),"Nein"))</f>
        <v>2+3</v>
      </c>
      <c r="CA40" s="52" t="n">
        <f aca="false">IF(BW40=0,0,IF(N(S40)&gt;0,S40,IFERROR(VLOOKUP(D40,Parameter!$A$35:$C$64,3,0)+0,0)))</f>
        <v>0</v>
      </c>
      <c r="CB40" s="48" t="n">
        <f aca="false">IF(AA40&lt;&gt;"",AA40,Z40)</f>
        <v>2</v>
      </c>
      <c r="CC40" s="48" t="str">
        <f aca="false">IF(OR(CB40=1,CB40=2,CB40=3),IF(Parameter!$E$27="Ja","LIFT",IF(CB40=1,"L1","L23")),IF(CB40="Aussen","Aussen","-"))</f>
        <v>LIFT</v>
      </c>
      <c r="CD40" s="59" t="n">
        <f aca="false">IF(N(AB40)&gt;0,AB40,0)</f>
        <v>0</v>
      </c>
      <c r="CE40" s="53" t="n">
        <f aca="false">IF(ISNUMBER(AE40),1,0)</f>
        <v>0</v>
      </c>
      <c r="CF40" s="50" t="n">
        <f aca="false">N(AE40)</f>
        <v>0</v>
      </c>
      <c r="CG40" s="50" t="n">
        <f aca="false">N(M40)+N(N40)</f>
        <v>1</v>
      </c>
      <c r="CH40" s="50" t="n">
        <f aca="false">ROUNDUP(H40/BV40,0)</f>
        <v>1</v>
      </c>
      <c r="CI40" s="50" t="n">
        <f aca="false">ROUNDUP(CF40/BV40,0)</f>
        <v>0</v>
      </c>
      <c r="CJ40" s="53" t="n">
        <f aca="false">IF(BW40=1,0,IFERROR(VLOOKUP(BU40,'Gebinde-Kategorie'!$A$5:$N$45,5,0)+0,0))</f>
        <v>11</v>
      </c>
      <c r="CK40" s="53" t="n">
        <f aca="false">IFERROR(IF(OR(CB40=1,CB40=2,CB40=3),N(INDEX(Parameter!$I$5:$I$7,CB40)),0),0)</f>
        <v>0</v>
      </c>
      <c r="CL40" s="52" t="n">
        <f aca="false">IF(AND(Parameter!$B$21="Ja",ISNUMBER(W40),N(X40)&gt;0),IFERROR(N(INDEX(Parameter!$L$5:$L$7,W40))*INDEX(Parameter!$E$5:$E$7,W40)*X40/SUMIFS($X$7:$X$1843,$W$7:$W$1843,W40),0),0)</f>
        <v>0</v>
      </c>
    </row>
    <row r="41" customFormat="false" ht="15" hidden="false" customHeight="false" outlineLevel="0" collapsed="false">
      <c r="A41" s="48" t="s">
        <v>273</v>
      </c>
      <c r="B41" s="48" t="s">
        <v>274</v>
      </c>
      <c r="C41" s="48" t="s">
        <v>168</v>
      </c>
      <c r="D41" s="48" t="s">
        <v>177</v>
      </c>
      <c r="E41" s="48" t="s">
        <v>170</v>
      </c>
      <c r="F41" s="48" t="s">
        <v>222</v>
      </c>
      <c r="G41" s="49" t="n">
        <v>530</v>
      </c>
      <c r="H41" s="50" t="n">
        <f aca="false">MAX(0,IF(AND(Parameter!$B$21="Ja",ISNUMBER(Y41)),Y41,IF(Parameter!$B$20="Jahresanfang 2025 + Export",BO41+BN41,BN41)))</f>
        <v>19</v>
      </c>
      <c r="I41" s="50" t="n">
        <f aca="false">H41*G41</f>
        <v>10070</v>
      </c>
      <c r="J41" s="50" t="n">
        <f aca="false">BQ41*Parameter!$B$18</f>
        <v>23</v>
      </c>
      <c r="K41" s="51" t="n">
        <v>9.5</v>
      </c>
      <c r="L41" s="52" t="n">
        <v>2.42105263157895</v>
      </c>
      <c r="M41" s="50" t="n">
        <v>5</v>
      </c>
      <c r="N41" s="50" t="n">
        <v>10</v>
      </c>
      <c r="O41" s="53" t="n">
        <v>70</v>
      </c>
      <c r="P41" s="48" t="s">
        <v>227</v>
      </c>
      <c r="Q41" s="50" t="n">
        <v>4</v>
      </c>
      <c r="R41" s="53" t="n">
        <f aca="false">IF(BW41=1,0,IFERROR(VLOOKUP(BU41,'Gebinde-Kategorie'!$A$5:$N$45,13,0)+0,0))</f>
        <v>4</v>
      </c>
      <c r="S41" s="54"/>
      <c r="T41" s="55"/>
      <c r="U41" s="55"/>
      <c r="V41" s="55"/>
      <c r="W41" s="48"/>
      <c r="X41" s="50"/>
      <c r="Y41" s="50"/>
      <c r="Z41" s="48" t="n">
        <f aca="false">IF(A41="","",IF(AND(Parameter!$B$21="Ja",ISNUMBER(W41)),W41,IF(BZ41="2+3",IF(ISNUMBER(SEARCH("grosser Artikel",BR41)),2,IFERROR(VLOOKUP(BU41,Parameter!$F$35:$G$64,2,0),2)),IF(OR(BZ41="Nein",BZ41=""),"-",BZ41))))</f>
        <v>1</v>
      </c>
      <c r="AA41" s="55"/>
      <c r="AB41" s="56"/>
      <c r="AC41" s="50" t="n">
        <f aca="false">AT41</f>
        <v>16</v>
      </c>
      <c r="AD41" s="50" t="n">
        <f aca="false">MAX(AT41,H41)</f>
        <v>19</v>
      </c>
      <c r="AE41" s="57"/>
      <c r="AF41" s="50" t="n">
        <f aca="false">IF(LEFT(Cockpit!$C$5,1)="A",H41,IF(CE41=1,CF41,IF(LEFT(Cockpit!$C$5,1)="B",AK41,MAX(AK41,H41))))</f>
        <v>19</v>
      </c>
      <c r="AG41" s="50" t="n">
        <f aca="false">IF(BW41=1,0,ROUNDUP(AF41/BV41,0))</f>
        <v>5</v>
      </c>
      <c r="AH41" s="52" t="n">
        <f aca="false">IF(CL41&gt;0,CL41*MAX(1,AF41/X41),IF(BW41=1,IF(AF41&lt;=0,0,CA41*MAX(1,IF(H41&gt;0,AF41/H41,1))),IF(R41&gt;0,AG41/R41,0))/MAX(0.1,N(Parameter!$M$21)))</f>
        <v>1.25</v>
      </c>
      <c r="AI41" s="50" t="n">
        <f aca="false">AH41*BY41</f>
        <v>293.75</v>
      </c>
      <c r="AJ41" s="50" t="n">
        <f aca="false">AF41*G41</f>
        <v>10070</v>
      </c>
      <c r="AK41" s="50" t="n">
        <f aca="false">ROUNDUP(MAX(J41/IF(CD41&gt;0,CD41,MAX(0.1,N(Cockpit!$C$6))),CG41)/BV41,0)*BV41</f>
        <v>16</v>
      </c>
      <c r="AL41" s="51" t="n">
        <f aca="false">IF(AI41&gt;0,J41/AI41,-1)</f>
        <v>0.0782978723404255</v>
      </c>
      <c r="AM41" s="51" t="n">
        <f aca="false">IF(AND(OR(CC41="L1",CC41="L23",CC41="LIFT"),AI41&gt;0),SUMIFS($AI$7:$AI$1843,$CC$7:$CC$1843,CC41,$AL$7:$AL$1843,"&gt;"&amp;AL41)+SUMIFS($AI$7:$AI$1843,$CC$7:$CC$1843,CC41,$AL$7:$AL$1843,AL41,$BT$7:$BT$1843,"&lt;="&amp;BT41),"")</f>
        <v>17474.7679450963</v>
      </c>
      <c r="AN41" s="58" t="n">
        <f aca="false">IF(AM41="",0,MAX(0,MIN(1,(IF(CC41="L1",Parameter!$H$5,IF(CC41="L23",Parameter!$H$6+Parameter!$H$7,Parameter!$H$5+Parameter!$H$6+Parameter!$H$7))-(AM41-AI41))/AI41)))</f>
        <v>1</v>
      </c>
      <c r="AO41" s="50" t="n">
        <f aca="false">IF(LEFT(Cockpit!$I$5,1)="A",H41,IF(CE41=1,CF41,IF(LEFT(Cockpit!$I$5,1)="B",AT41,MAX(AT41,H41))))</f>
        <v>19</v>
      </c>
      <c r="AP41" s="50" t="n">
        <f aca="false">IF(BW41=1,0,ROUNDUP(AO41/BV41,0))</f>
        <v>5</v>
      </c>
      <c r="AQ41" s="52" t="n">
        <f aca="false">IF(CL41&gt;0,CL41*MAX(1,AO41/X41),IF(BW41=1,IF(AO41&lt;=0,0,CA41*MAX(1,IF(H41&gt;0,AO41/H41,1))),IF(R41&gt;0,AP41/R41,0))/MAX(0.1,N(Parameter!$M$21)))</f>
        <v>1.25</v>
      </c>
      <c r="AR41" s="50" t="n">
        <f aca="false">AQ41*BY41</f>
        <v>293.75</v>
      </c>
      <c r="AS41" s="50" t="n">
        <f aca="false">AO41*G41</f>
        <v>10070</v>
      </c>
      <c r="AT41" s="50" t="n">
        <f aca="false">ROUNDUP(MAX(J41/IF(CD41&gt;0,CD41,MAX(0.1,N(Cockpit!$I$6))),CG41)/BV41,0)*BV41</f>
        <v>16</v>
      </c>
      <c r="AU41" s="51" t="n">
        <f aca="false">IF(AR41&gt;0,J41/AR41,-1)</f>
        <v>0.0782978723404255</v>
      </c>
      <c r="AV41" s="51" t="n">
        <f aca="false">IF(AND(OR(CC41="L1",CC41="L23",CC41="LIFT"),AR41&gt;0),SUMIFS($AR$7:$AR$1843,$CC$7:$CC$1843,CC41,$AU$7:$AU$1843,"&gt;"&amp;AU41)+SUMIFS($AR$7:$AR$1843,$CC$7:$CC$1843,CC41,$AU$7:$AU$1843,AU41,$BT$7:$BT$1843,"&lt;="&amp;BT41),"")</f>
        <v>25982.9983211233</v>
      </c>
      <c r="AW41" s="58" t="n">
        <f aca="false">IF(AV41="",0,MAX(0,MIN(1,(IF(CC41="L1",Parameter!$H$5,IF(CC41="L23",Parameter!$H$6+Parameter!$H$7,Parameter!$H$5+Parameter!$H$6+Parameter!$H$7))-(AV41-AR41))/AR41)))</f>
        <v>1</v>
      </c>
      <c r="AX41" s="50" t="n">
        <f aca="false">IF(LEFT(Cockpit!$O$5,1)="A",H41,IF(CE41=1,CF41,IF(LEFT(Cockpit!$O$5,1)="B",BC41,MAX(BC41,H41))))</f>
        <v>19</v>
      </c>
      <c r="AY41" s="50" t="n">
        <f aca="false">IF(BW41=1,0,ROUNDUP(AX41/BV41,0))</f>
        <v>5</v>
      </c>
      <c r="AZ41" s="52" t="n">
        <f aca="false">IF(CL41&gt;0,CL41*MAX(1,AX41/X41),IF(BW41=1,IF(AX41&lt;=0,0,CA41*MAX(1,IF(H41&gt;0,AX41/H41,1))),IF(R41&gt;0,AY41/R41,0))/MAX(0.1,N(Parameter!$M$21)))</f>
        <v>1.25</v>
      </c>
      <c r="BA41" s="50" t="n">
        <f aca="false">AZ41*BY41</f>
        <v>293.75</v>
      </c>
      <c r="BB41" s="50" t="n">
        <f aca="false">AX41*G41</f>
        <v>10070</v>
      </c>
      <c r="BC41" s="50" t="n">
        <f aca="false">ROUNDUP(MAX(J41/IF(CD41&gt;0,CD41,MAX(0.1,N(Cockpit!$O$6))),CG41)/BV41,0)*BV41</f>
        <v>16</v>
      </c>
      <c r="BD41" s="51" t="n">
        <f aca="false">IF(BA41&gt;0,J41/BA41,-1)</f>
        <v>0.0782978723404255</v>
      </c>
      <c r="BE41" s="51" t="n">
        <f aca="false">IF(AND(OR(CC41="L1",CC41="L23",CC41="LIFT"),BA41&gt;0),SUMIFS($BA$7:$BA$1843,$CC$7:$CC$1843,CC41,$BD$7:$BD$1843,"&gt;"&amp;BD41)+SUMIFS($BA$7:$BA$1843,$CC$7:$CC$1843,CC41,$BD$7:$BD$1843,BD41,$BT$7:$BT$1843,"&lt;="&amp;BT41),"")</f>
        <v>24185.5103629892</v>
      </c>
      <c r="BF41" s="58" t="n">
        <f aca="false">IF(BE41="",0,MAX(0,MIN(1,(IF(CC41="L1",Parameter!$H$5,IF(CC41="L23",Parameter!$H$6+Parameter!$H$7,Parameter!$H$5+Parameter!$H$6+Parameter!$H$7))-(BE41-BA41))/BA41)))</f>
        <v>1</v>
      </c>
      <c r="BG41" s="48" t="str">
        <f aca="false">IF(AI41&lt;=0,"",IF(CC41="Aussen","Aussenlager",IF(CC41="-","Nicht im Lift",IF(AN41&gt;=1,"Lift",IF(AN41&lt;=0,"Aussenlager","teilweise")))))</f>
        <v>Lift</v>
      </c>
      <c r="BH41" s="48" t="str">
        <f aca="false">IF(AR41&lt;=0,"",IF(CC41="Aussen","Aussenlager",IF(CC41="-","Nicht im Lift",IF(AW41&gt;=1,"Lift",IF(AW41&lt;=0,"Aussenlager","teilweise")))))</f>
        <v>Lift</v>
      </c>
      <c r="BI41" s="48" t="str">
        <f aca="false">IF(BA41&lt;=0,"",IF(CC41="Aussen","Aussenlager",IF(CC41="-","Nicht im Lift",IF(BF41&gt;=1,"Lift",IF(BF41&lt;=0,"Aussenlager","teilweise")))))</f>
        <v>Lift</v>
      </c>
      <c r="BJ41" s="48" t="str">
        <f aca="false">IF(A41="","",IF(BS41=1,"Neu; ","")&amp;IF(AND(BS41=0,BN41&lt;0),"negativer Bestand (Export "&amp;BN41&amp;"); ","")&amp;IF(J41&lt;=0,"Kein Verbrauch; ","")&amp;IF(CL41&gt;0,"Lift "&amp;W41&amp;" lt. Liftbericht (Fach "&amp;X41&amp;" Stk); ",IF(BX41=1,"Gebinde geschätzt ("&amp;T41&amp;"); ",IF(BW41=1,"Lose – Tablare geschätzt; ","")))&amp;IF(H41&gt;AT41,"Überbestand "&amp;ROUND(H41-AT41,0)&amp;" Stk / CHF "&amp;ROUND((H41-AT41)*G41,0)&amp;"; ","")&amp;IF(AND(CE41=1,CF41&lt;CG41),"MAX &lt; MB+LG; ","")&amp;IF(AND(CK41&gt;0,CJ41*10&gt;CK41),"zu hoch für Tablar; ","")&amp;IF(AND(BS41=0,OR(CE41=1,AA41&lt;&gt;"",U41&lt;&gt;"",V41&lt;&gt;"",AB41&lt;&gt;"")),"manuell übersteuert; ","")&amp;IF(AND(BW41=0,R41=0),"Gebinde unbekannt / Stellmass fehlt; ","")&amp;IF(AND(BW41=0,N(V41)&lt;=0,N(Q41)&lt;=0),"Menge pro Gebinde fehlt (Ist = 1 Gebinde); ","")&amp;BR41)</f>
        <v>Überbestand 3 Stk / CHF 1590; </v>
      </c>
      <c r="BK41" s="48" t="s">
        <v>275</v>
      </c>
      <c r="BL41" s="48" t="s">
        <v>276</v>
      </c>
      <c r="BM41" s="55"/>
      <c r="BN41" s="50" t="n">
        <v>16</v>
      </c>
      <c r="BO41" s="50" t="n">
        <v>3</v>
      </c>
      <c r="BP41" s="49" t="n">
        <v>8480</v>
      </c>
      <c r="BQ41" s="50" t="n">
        <v>23</v>
      </c>
      <c r="BR41" s="48"/>
      <c r="BS41" s="53" t="n">
        <v>0</v>
      </c>
      <c r="BT41" s="53" t="n">
        <v>41</v>
      </c>
      <c r="BU41" s="48" t="str">
        <f aca="false">IF(U41&lt;&gt;"",UPPER(TRIM(U41)),IF(BX41=1,UPPER(VLOOKUP(T41,Parameter!$I$27:$K$29,2,0)),IF(P41="","LOSE",P41)))</f>
        <v>S81</v>
      </c>
      <c r="BV41" s="50" t="n">
        <f aca="false">IF(BU41="LOSE",1,IF(N(V41)&gt;0,V41,IF(BX41=1,MAX(1,N(VLOOKUP(T41,Parameter!$I$27:$K$29,3,0)),H41,N(N41)),IF(N(Q41)&gt;0,Q41,MAX(1,H41)))))</f>
        <v>4</v>
      </c>
      <c r="BW41" s="53" t="n">
        <f aca="false">IF(BU41="LOSE",1,0)</f>
        <v>0</v>
      </c>
      <c r="BX41" s="53" t="n">
        <f aca="false">IF(AND(U41="",OR(P41="",P41="LOSE"),T41&lt;&gt;"",N(S41)&lt;=0,ISNUMBER(MATCH(T41,Parameter!$I$27:$I$29,0))),1,0)</f>
        <v>0</v>
      </c>
      <c r="BY41" s="53" t="n">
        <f aca="false">IF(CL41&gt;0,INDEX(Parameter!$H$5:$H$7,W41)/INDEX(Parameter!$E$5:$E$7,W41),IF(AND(BW41=0,N(IFERROR(VLOOKUP(BU41,'Gebinde-Kategorie'!$A$5:$N$45,14,0),0))&gt;0),VLOOKUP(BU41,'Gebinde-Kategorie'!$A$5:$N$45,14,0)*10+Parameter!$M$23,Parameter!$M$24))</f>
        <v>235</v>
      </c>
      <c r="BZ41" s="48" t="n">
        <f aca="false">IF(AND(Parameter!$B$19="Ja",E41&lt;&gt;"",ISNUMBER(MATCH(E41,Parameter!$I$35:$I$52,0))),VLOOKUP(E41,Parameter!$I$35:$J$52,2,0),IFERROR(VLOOKUP(D41,Parameter!$A$35:$C$64,2,0),"Nein"))</f>
        <v>1</v>
      </c>
      <c r="CA41" s="52" t="n">
        <f aca="false">IF(BW41=0,0,IF(N(S41)&gt;0,S41,IFERROR(VLOOKUP(D41,Parameter!$A$35:$C$64,3,0)+0,0)))</f>
        <v>0</v>
      </c>
      <c r="CB41" s="48" t="n">
        <f aca="false">IF(AA41&lt;&gt;"",AA41,Z41)</f>
        <v>1</v>
      </c>
      <c r="CC41" s="48" t="str">
        <f aca="false">IF(OR(CB41=1,CB41=2,CB41=3),IF(Parameter!$E$27="Ja","LIFT",IF(CB41=1,"L1","L23")),IF(CB41="Aussen","Aussen","-"))</f>
        <v>LIFT</v>
      </c>
      <c r="CD41" s="59" t="n">
        <f aca="false">IF(N(AB41)&gt;0,AB41,0)</f>
        <v>0</v>
      </c>
      <c r="CE41" s="53" t="n">
        <f aca="false">IF(ISNUMBER(AE41),1,0)</f>
        <v>0</v>
      </c>
      <c r="CF41" s="50" t="n">
        <f aca="false">N(AE41)</f>
        <v>0</v>
      </c>
      <c r="CG41" s="50" t="n">
        <f aca="false">N(M41)+N(N41)</f>
        <v>15</v>
      </c>
      <c r="CH41" s="50" t="n">
        <f aca="false">ROUNDUP(H41/BV41,0)</f>
        <v>5</v>
      </c>
      <c r="CI41" s="50" t="n">
        <f aca="false">ROUNDUP(CF41/BV41,0)</f>
        <v>0</v>
      </c>
      <c r="CJ41" s="53" t="n">
        <f aca="false">IF(BW41=1,0,IFERROR(VLOOKUP(BU41,'Gebinde-Kategorie'!$A$5:$N$45,5,0)+0,0))</f>
        <v>20</v>
      </c>
      <c r="CK41" s="53" t="n">
        <f aca="false">IFERROR(IF(OR(CB41=1,CB41=2,CB41=3),N(INDEX(Parameter!$I$5:$I$7,CB41)),0),0)</f>
        <v>0</v>
      </c>
      <c r="CL41" s="52" t="n">
        <f aca="false">IF(AND(Parameter!$B$21="Ja",ISNUMBER(W41),N(X41)&gt;0),IFERROR(N(INDEX(Parameter!$L$5:$L$7,W41))*INDEX(Parameter!$E$5:$E$7,W41)*X41/SUMIFS($X$7:$X$1843,$W$7:$W$1843,W41),0),0)</f>
        <v>0</v>
      </c>
    </row>
    <row r="42" customFormat="false" ht="15" hidden="false" customHeight="false" outlineLevel="0" collapsed="false">
      <c r="A42" s="48" t="s">
        <v>277</v>
      </c>
      <c r="B42" s="48" t="s">
        <v>278</v>
      </c>
      <c r="C42" s="48" t="s">
        <v>168</v>
      </c>
      <c r="D42" s="48" t="s">
        <v>188</v>
      </c>
      <c r="E42" s="48"/>
      <c r="F42" s="48" t="s">
        <v>222</v>
      </c>
      <c r="G42" s="49" t="n">
        <v>1121.43</v>
      </c>
      <c r="H42" s="50" t="n">
        <f aca="false">MAX(0,IF(AND(Parameter!$B$21="Ja",ISNUMBER(Y42)),Y42,IF(Parameter!$B$20="Jahresanfang 2025 + Export",BO42+BN42,BN42)))</f>
        <v>7</v>
      </c>
      <c r="I42" s="50" t="n">
        <f aca="false">H42*G42</f>
        <v>7850.01</v>
      </c>
      <c r="J42" s="50" t="n">
        <f aca="false">BQ42*Parameter!$B$18</f>
        <v>0</v>
      </c>
      <c r="K42" s="51" t="n">
        <v>0</v>
      </c>
      <c r="L42" s="52" t="n">
        <v>0</v>
      </c>
      <c r="M42" s="50" t="n">
        <v>0</v>
      </c>
      <c r="N42" s="50" t="n">
        <v>1</v>
      </c>
      <c r="O42" s="53" t="n">
        <v>9999</v>
      </c>
      <c r="P42" s="48" t="s">
        <v>172</v>
      </c>
      <c r="Q42" s="50"/>
      <c r="R42" s="53" t="n">
        <f aca="false">IF(BW42=1,0,IFERROR(VLOOKUP(BU42,'Gebinde-Kategorie'!$A$5:$N$45,13,0)+0,0))</f>
        <v>26</v>
      </c>
      <c r="S42" s="54"/>
      <c r="T42" s="55" t="s">
        <v>279</v>
      </c>
      <c r="U42" s="55"/>
      <c r="V42" s="55"/>
      <c r="W42" s="48"/>
      <c r="X42" s="50"/>
      <c r="Y42" s="50"/>
      <c r="Z42" s="48" t="n">
        <f aca="false">IF(A42="","",IF(AND(Parameter!$B$21="Ja",ISNUMBER(W42)),W42,IF(BZ42="2+3",IF(ISNUMBER(SEARCH("grosser Artikel",BR42)),2,IFERROR(VLOOKUP(BU42,Parameter!$F$35:$G$64,2,0),2)),IF(OR(BZ42="Nein",BZ42=""),"-",BZ42))))</f>
        <v>3</v>
      </c>
      <c r="AA42" s="55"/>
      <c r="AB42" s="56"/>
      <c r="AC42" s="50" t="n">
        <f aca="false">AT42</f>
        <v>20</v>
      </c>
      <c r="AD42" s="50" t="n">
        <f aca="false">MAX(AT42,H42)</f>
        <v>20</v>
      </c>
      <c r="AE42" s="57"/>
      <c r="AF42" s="50" t="n">
        <f aca="false">IF(LEFT(Cockpit!$C$5,1)="A",H42,IF(CE42=1,CF42,IF(LEFT(Cockpit!$C$5,1)="B",AK42,MAX(AK42,H42))))</f>
        <v>7</v>
      </c>
      <c r="AG42" s="50" t="n">
        <f aca="false">IF(BW42=1,0,ROUNDUP(AF42/BV42,0))</f>
        <v>1</v>
      </c>
      <c r="AH42" s="52" t="n">
        <f aca="false">IF(CL42&gt;0,CL42*MAX(1,AF42/X42),IF(BW42=1,IF(AF42&lt;=0,0,CA42*MAX(1,IF(H42&gt;0,AF42/H42,1))),IF(R42&gt;0,AG42/R42,0))/MAX(0.1,N(Parameter!$M$21)))</f>
        <v>0.0384615384615385</v>
      </c>
      <c r="AI42" s="50" t="n">
        <f aca="false">AH42*BY42</f>
        <v>5.96153846153846</v>
      </c>
      <c r="AJ42" s="50" t="n">
        <f aca="false">AF42*G42</f>
        <v>7850.01</v>
      </c>
      <c r="AK42" s="50" t="n">
        <f aca="false">ROUNDUP(MAX(J42/IF(CD42&gt;0,CD42,MAX(0.1,N(Cockpit!$C$6))),CG42)/BV42,0)*BV42</f>
        <v>20</v>
      </c>
      <c r="AL42" s="51" t="n">
        <f aca="false">IF(AI42&gt;0,J42/AI42,-1)</f>
        <v>0</v>
      </c>
      <c r="AM42" s="51" t="n">
        <f aca="false">IF(AND(OR(CC42="L1",CC42="L23",CC42="LIFT"),AI42&gt;0),SUMIFS($AI$7:$AI$1843,$CC$7:$CC$1843,CC42,$AL$7:$AL$1843,"&gt;"&amp;AL42)+SUMIFS($AI$7:$AI$1843,$CC$7:$CC$1843,CC42,$AL$7:$AL$1843,AL42,$BT$7:$BT$1843,"&lt;="&amp;BT42),"")</f>
        <v>25706.2334466381</v>
      </c>
      <c r="AN42" s="58" t="n">
        <f aca="false">IF(AM42="",0,MAX(0,MIN(1,(IF(CC42="L1",Parameter!$H$5,IF(CC42="L23",Parameter!$H$6+Parameter!$H$7,Parameter!$H$5+Parameter!$H$6+Parameter!$H$7))-(AM42-AI42))/AI42)))</f>
        <v>1</v>
      </c>
      <c r="AO42" s="50" t="n">
        <f aca="false">IF(LEFT(Cockpit!$I$5,1)="A",H42,IF(CE42=1,CF42,IF(LEFT(Cockpit!$I$5,1)="B",AT42,MAX(AT42,H42))))</f>
        <v>20</v>
      </c>
      <c r="AP42" s="50" t="n">
        <f aca="false">IF(BW42=1,0,ROUNDUP(AO42/BV42,0))</f>
        <v>1</v>
      </c>
      <c r="AQ42" s="52" t="n">
        <f aca="false">IF(CL42&gt;0,CL42*MAX(1,AO42/X42),IF(BW42=1,IF(AO42&lt;=0,0,CA42*MAX(1,IF(H42&gt;0,AO42/H42,1))),IF(R42&gt;0,AP42/R42,0))/MAX(0.1,N(Parameter!$M$21)))</f>
        <v>0.0384615384615385</v>
      </c>
      <c r="AR42" s="50" t="n">
        <f aca="false">AQ42*BY42</f>
        <v>5.96153846153846</v>
      </c>
      <c r="AS42" s="50" t="n">
        <f aca="false">AO42*G42</f>
        <v>22428.6</v>
      </c>
      <c r="AT42" s="50" t="n">
        <f aca="false">ROUNDUP(MAX(J42/IF(CD42&gt;0,CD42,MAX(0.1,N(Cockpit!$I$6))),CG42)/BV42,0)*BV42</f>
        <v>20</v>
      </c>
      <c r="AU42" s="51" t="n">
        <f aca="false">IF(AR42&gt;0,J42/AR42,-1)</f>
        <v>0</v>
      </c>
      <c r="AV42" s="51" t="n">
        <f aca="false">IF(AND(OR(CC42="L1",CC42="L23",CC42="LIFT"),AR42&gt;0),SUMIFS($AR$7:$AR$1843,$CC$7:$CC$1843,CC42,$AU$7:$AU$1843,"&gt;"&amp;AU42)+SUMIFS($AR$7:$AR$1843,$CC$7:$CC$1843,CC42,$AU$7:$AU$1843,AU42,$BT$7:$BT$1843,"&lt;="&amp;BT42),"")</f>
        <v>36963.8399996896</v>
      </c>
      <c r="AW42" s="58" t="n">
        <f aca="false">IF(AV42="",0,MAX(0,MIN(1,(IF(CC42="L1",Parameter!$H$5,IF(CC42="L23",Parameter!$H$6+Parameter!$H$7,Parameter!$H$5+Parameter!$H$6+Parameter!$H$7))-(AV42-AR42))/AR42)))</f>
        <v>0</v>
      </c>
      <c r="AX42" s="50" t="n">
        <f aca="false">IF(LEFT(Cockpit!$O$5,1)="A",H42,IF(CE42=1,CF42,IF(LEFT(Cockpit!$O$5,1)="B",BC42,MAX(BC42,H42))))</f>
        <v>20</v>
      </c>
      <c r="AY42" s="50" t="n">
        <f aca="false">IF(BW42=1,0,ROUNDUP(AX42/BV42,0))</f>
        <v>1</v>
      </c>
      <c r="AZ42" s="52" t="n">
        <f aca="false">IF(CL42&gt;0,CL42*MAX(1,AX42/X42),IF(BW42=1,IF(AX42&lt;=0,0,CA42*MAX(1,IF(H42&gt;0,AX42/H42,1))),IF(R42&gt;0,AY42/R42,0))/MAX(0.1,N(Parameter!$M$21)))</f>
        <v>0.0384615384615385</v>
      </c>
      <c r="BA42" s="50" t="n">
        <f aca="false">AZ42*BY42</f>
        <v>5.96153846153846</v>
      </c>
      <c r="BB42" s="50" t="n">
        <f aca="false">AX42*G42</f>
        <v>22428.6</v>
      </c>
      <c r="BC42" s="50" t="n">
        <f aca="false">ROUNDUP(MAX(J42/IF(CD42&gt;0,CD42,MAX(0.1,N(Cockpit!$O$6))),CG42)/BV42,0)*BV42</f>
        <v>20</v>
      </c>
      <c r="BD42" s="51" t="n">
        <f aca="false">IF(BA42&gt;0,J42/BA42,-1)</f>
        <v>0</v>
      </c>
      <c r="BE42" s="51" t="n">
        <f aca="false">IF(AND(OR(CC42="L1",CC42="L23",CC42="LIFT"),BA42&gt;0),SUMIFS($BA$7:$BA$1843,$CC$7:$CC$1843,CC42,$BD$7:$BD$1843,"&gt;"&amp;BD42)+SUMIFS($BA$7:$BA$1843,$CC$7:$CC$1843,CC42,$BD$7:$BD$1843,BD42,$BT$7:$BT$1843,"&lt;="&amp;BT42),"")</f>
        <v>33638.8520415554</v>
      </c>
      <c r="BF42" s="58" t="n">
        <f aca="false">IF(BE42="",0,MAX(0,MIN(1,(IF(CC42="L1",Parameter!$H$5,IF(CC42="L23",Parameter!$H$6+Parameter!$H$7,Parameter!$H$5+Parameter!$H$6+Parameter!$H$7))-(BE42-BA42))/BA42)))</f>
        <v>1</v>
      </c>
      <c r="BG42" s="48" t="str">
        <f aca="false">IF(AI42&lt;=0,"",IF(CC42="Aussen","Aussenlager",IF(CC42="-","Nicht im Lift",IF(AN42&gt;=1,"Lift",IF(AN42&lt;=0,"Aussenlager","teilweise")))))</f>
        <v>Lift</v>
      </c>
      <c r="BH42" s="48" t="str">
        <f aca="false">IF(AR42&lt;=0,"",IF(CC42="Aussen","Aussenlager",IF(CC42="-","Nicht im Lift",IF(AW42&gt;=1,"Lift",IF(AW42&lt;=0,"Aussenlager","teilweise")))))</f>
        <v>Aussenlager</v>
      </c>
      <c r="BI42" s="48" t="str">
        <f aca="false">IF(BA42&lt;=0,"",IF(CC42="Aussen","Aussenlager",IF(CC42="-","Nicht im Lift",IF(BF42&gt;=1,"Lift",IF(BF42&lt;=0,"Aussenlager","teilweise")))))</f>
        <v>Lift</v>
      </c>
      <c r="BJ42" s="48" t="str">
        <f aca="false">IF(A42="","",IF(BS42=1,"Neu; ","")&amp;IF(AND(BS42=0,BN42&lt;0),"negativer Bestand (Export "&amp;BN42&amp;"); ","")&amp;IF(J42&lt;=0,"Kein Verbrauch; ","")&amp;IF(CL42&gt;0,"Lift "&amp;W42&amp;" lt. Liftbericht (Fach "&amp;X42&amp;" Stk); ",IF(BX42=1,"Gebinde geschätzt ("&amp;T42&amp;"); ",IF(BW42=1,"Lose – Tablare geschätzt; ","")))&amp;IF(H42&gt;AT42,"Überbestand "&amp;ROUND(H42-AT42,0)&amp;" Stk / CHF "&amp;ROUND((H42-AT42)*G42,0)&amp;"; ","")&amp;IF(AND(CE42=1,CF42&lt;CG42),"MAX &lt; MB+LG; ","")&amp;IF(AND(CK42&gt;0,CJ42*10&gt;CK42),"zu hoch für Tablar; ","")&amp;IF(AND(BS42=0,OR(CE42=1,AA42&lt;&gt;"",U42&lt;&gt;"",V42&lt;&gt;"",AB42&lt;&gt;"")),"manuell übersteuert; ","")&amp;IF(AND(BW42=0,R42=0),"Gebinde unbekannt / Stellmass fehlt; ","")&amp;IF(AND(BW42=0,N(V42)&lt;=0,N(Q42)&lt;=0),"Menge pro Gebinde fehlt (Ist = 1 Gebinde); ","")&amp;BR42)</f>
        <v>Kein Verbrauch; Gebinde geschätzt (Klein); Menge pro Gebinde fehlt (Ist = 1 Gebinde); </v>
      </c>
      <c r="BK42" s="48"/>
      <c r="BL42" s="48"/>
      <c r="BM42" s="55"/>
      <c r="BN42" s="50" t="n">
        <v>7</v>
      </c>
      <c r="BO42" s="50" t="n">
        <v>0</v>
      </c>
      <c r="BP42" s="49" t="n">
        <v>7850</v>
      </c>
      <c r="BQ42" s="50" t="n">
        <v>0</v>
      </c>
      <c r="BR42" s="48"/>
      <c r="BS42" s="53" t="n">
        <v>0</v>
      </c>
      <c r="BT42" s="53" t="n">
        <v>42</v>
      </c>
      <c r="BU42" s="48" t="str">
        <f aca="false">IF(U42&lt;&gt;"",UPPER(TRIM(U42)),IF(BX42=1,UPPER(VLOOKUP(T42,Parameter!$I$27:$K$29,2,0)),IF(P42="","LOSE",P42)))</f>
        <v>S51</v>
      </c>
      <c r="BV42" s="50" t="n">
        <f aca="false">IF(BU42="LOSE",1,IF(N(V42)&gt;0,V42,IF(BX42=1,MAX(1,N(VLOOKUP(T42,Parameter!$I$27:$K$29,3,0)),H42,N(N42)),IF(N(Q42)&gt;0,Q42,MAX(1,H42)))))</f>
        <v>20</v>
      </c>
      <c r="BW42" s="53" t="n">
        <f aca="false">IF(BU42="LOSE",1,0)</f>
        <v>0</v>
      </c>
      <c r="BX42" s="53" t="n">
        <f aca="false">IF(AND(U42="",OR(P42="",P42="LOSE"),T42&lt;&gt;"",N(S42)&lt;=0,ISNUMBER(MATCH(T42,Parameter!$I$27:$I$29,0))),1,0)</f>
        <v>1</v>
      </c>
      <c r="BY42" s="53" t="n">
        <f aca="false">IF(CL42&gt;0,INDEX(Parameter!$H$5:$H$7,W42)/INDEX(Parameter!$E$5:$E$7,W42),IF(AND(BW42=0,N(IFERROR(VLOOKUP(BU42,'Gebinde-Kategorie'!$A$5:$N$45,14,0),0))&gt;0),VLOOKUP(BU42,'Gebinde-Kategorie'!$A$5:$N$45,14,0)*10+Parameter!$M$23,Parameter!$M$24))</f>
        <v>155</v>
      </c>
      <c r="BZ42" s="48" t="str">
        <f aca="false">IF(AND(Parameter!$B$19="Ja",E42&lt;&gt;"",ISNUMBER(MATCH(E42,Parameter!$I$35:$I$52,0))),VLOOKUP(E42,Parameter!$I$35:$J$52,2,0),IFERROR(VLOOKUP(D42,Parameter!$A$35:$C$64,2,0),"Nein"))</f>
        <v>2+3</v>
      </c>
      <c r="CA42" s="52" t="n">
        <f aca="false">IF(BW42=0,0,IF(N(S42)&gt;0,S42,IFERROR(VLOOKUP(D42,Parameter!$A$35:$C$64,3,0)+0,0)))</f>
        <v>0</v>
      </c>
      <c r="CB42" s="48" t="n">
        <f aca="false">IF(AA42&lt;&gt;"",AA42,Z42)</f>
        <v>3</v>
      </c>
      <c r="CC42" s="48" t="str">
        <f aca="false">IF(OR(CB42=1,CB42=2,CB42=3),IF(Parameter!$E$27="Ja","LIFT",IF(CB42=1,"L1","L23")),IF(CB42="Aussen","Aussen","-"))</f>
        <v>LIFT</v>
      </c>
      <c r="CD42" s="59" t="n">
        <f aca="false">IF(N(AB42)&gt;0,AB42,0)</f>
        <v>0</v>
      </c>
      <c r="CE42" s="53" t="n">
        <f aca="false">IF(ISNUMBER(AE42),1,0)</f>
        <v>0</v>
      </c>
      <c r="CF42" s="50" t="n">
        <f aca="false">N(AE42)</f>
        <v>0</v>
      </c>
      <c r="CG42" s="50" t="n">
        <f aca="false">N(M42)+N(N42)</f>
        <v>1</v>
      </c>
      <c r="CH42" s="50" t="n">
        <f aca="false">ROUNDUP(H42/BV42,0)</f>
        <v>1</v>
      </c>
      <c r="CI42" s="50" t="n">
        <f aca="false">ROUNDUP(CF42/BV42,0)</f>
        <v>0</v>
      </c>
      <c r="CJ42" s="53" t="n">
        <f aca="false">IF(BW42=1,0,IFERROR(VLOOKUP(BU42,'Gebinde-Kategorie'!$A$5:$N$45,5,0)+0,0))</f>
        <v>11</v>
      </c>
      <c r="CK42" s="53" t="n">
        <f aca="false">IFERROR(IF(OR(CB42=1,CB42=2,CB42=3),N(INDEX(Parameter!$I$5:$I$7,CB42)),0),0)</f>
        <v>0</v>
      </c>
      <c r="CL42" s="52" t="n">
        <f aca="false">IF(AND(Parameter!$B$21="Ja",ISNUMBER(W42),N(X42)&gt;0),IFERROR(N(INDEX(Parameter!$L$5:$L$7,W42))*INDEX(Parameter!$E$5:$E$7,W42)*X42/SUMIFS($X$7:$X$1843,$W$7:$W$1843,W42),0),0)</f>
        <v>0</v>
      </c>
    </row>
    <row r="43" customFormat="false" ht="15" hidden="false" customHeight="false" outlineLevel="0" collapsed="false">
      <c r="A43" s="48" t="s">
        <v>280</v>
      </c>
      <c r="B43" s="48" t="s">
        <v>281</v>
      </c>
      <c r="C43" s="48" t="s">
        <v>168</v>
      </c>
      <c r="D43" s="48" t="s">
        <v>177</v>
      </c>
      <c r="E43" s="48"/>
      <c r="F43" s="48" t="s">
        <v>222</v>
      </c>
      <c r="G43" s="49" t="n">
        <v>280.46</v>
      </c>
      <c r="H43" s="50" t="n">
        <f aca="false">MAX(0,IF(AND(Parameter!$B$21="Ja",ISNUMBER(Y43)),Y43,IF(Parameter!$B$20="Jahresanfang 2025 + Export",BO43+BN43,BN43)))</f>
        <v>27</v>
      </c>
      <c r="I43" s="50" t="n">
        <f aca="false">H43*G43</f>
        <v>7572.42</v>
      </c>
      <c r="J43" s="50" t="n">
        <f aca="false">BQ43*Parameter!$B$18</f>
        <v>0</v>
      </c>
      <c r="K43" s="51" t="n">
        <v>0</v>
      </c>
      <c r="L43" s="52" t="n">
        <v>0</v>
      </c>
      <c r="M43" s="50" t="n">
        <v>6</v>
      </c>
      <c r="N43" s="50" t="n">
        <v>24</v>
      </c>
      <c r="O43" s="53" t="n">
        <v>28</v>
      </c>
      <c r="P43" s="48" t="s">
        <v>172</v>
      </c>
      <c r="Q43" s="50"/>
      <c r="R43" s="53" t="n">
        <f aca="false">IF(BW43=1,0,IFERROR(VLOOKUP(BU43,'Gebinde-Kategorie'!$A$5:$N$45,13,0)+0,0))</f>
        <v>12</v>
      </c>
      <c r="S43" s="54"/>
      <c r="T43" s="55" t="s">
        <v>183</v>
      </c>
      <c r="U43" s="55"/>
      <c r="V43" s="55"/>
      <c r="W43" s="48"/>
      <c r="X43" s="50"/>
      <c r="Y43" s="50"/>
      <c r="Z43" s="48" t="n">
        <f aca="false">IF(A43="","",IF(AND(Parameter!$B$21="Ja",ISNUMBER(W43)),W43,IF(BZ43="2+3",IF(ISNUMBER(SEARCH("grosser Artikel",BR43)),2,IFERROR(VLOOKUP(BU43,Parameter!$F$35:$G$64,2,0),2)),IF(OR(BZ43="Nein",BZ43=""),"-",BZ43))))</f>
        <v>2</v>
      </c>
      <c r="AA43" s="55"/>
      <c r="AB43" s="56"/>
      <c r="AC43" s="50" t="n">
        <f aca="false">AT43</f>
        <v>54</v>
      </c>
      <c r="AD43" s="50" t="n">
        <f aca="false">MAX(AT43,H43)</f>
        <v>54</v>
      </c>
      <c r="AE43" s="57"/>
      <c r="AF43" s="50" t="n">
        <f aca="false">IF(LEFT(Cockpit!$C$5,1)="A",H43,IF(CE43=1,CF43,IF(LEFT(Cockpit!$C$5,1)="B",AK43,MAX(AK43,H43))))</f>
        <v>27</v>
      </c>
      <c r="AG43" s="50" t="n">
        <f aca="false">IF(BW43=1,0,ROUNDUP(AF43/BV43,0))</f>
        <v>1</v>
      </c>
      <c r="AH43" s="52" t="n">
        <f aca="false">IF(CL43&gt;0,CL43*MAX(1,AF43/X43),IF(BW43=1,IF(AF43&lt;=0,0,CA43*MAX(1,IF(H43&gt;0,AF43/H43,1))),IF(R43&gt;0,AG43/R43,0))/MAX(0.1,N(Parameter!$M$21)))</f>
        <v>0.0833333333333333</v>
      </c>
      <c r="AI43" s="50" t="n">
        <f aca="false">AH43*BY43</f>
        <v>12.0833333333333</v>
      </c>
      <c r="AJ43" s="50" t="n">
        <f aca="false">AF43*G43</f>
        <v>7572.42</v>
      </c>
      <c r="AK43" s="50" t="n">
        <f aca="false">ROUNDUP(MAX(J43/IF(CD43&gt;0,CD43,MAX(0.1,N(Cockpit!$C$6))),CG43)/BV43,0)*BV43</f>
        <v>54</v>
      </c>
      <c r="AL43" s="51" t="n">
        <f aca="false">IF(AI43&gt;0,J43/AI43,-1)</f>
        <v>0</v>
      </c>
      <c r="AM43" s="51" t="n">
        <f aca="false">IF(AND(OR(CC43="L1",CC43="L23",CC43="LIFT"),AI43&gt;0),SUMIFS($AI$7:$AI$1843,$CC$7:$CC$1843,CC43,$AL$7:$AL$1843,"&gt;"&amp;AL43)+SUMIFS($AI$7:$AI$1843,$CC$7:$CC$1843,CC43,$AL$7:$AL$1843,AL43,$BT$7:$BT$1843,"&lt;="&amp;BT43),"")</f>
        <v>25718.3167799714</v>
      </c>
      <c r="AN43" s="58" t="n">
        <f aca="false">IF(AM43="",0,MAX(0,MIN(1,(IF(CC43="L1",Parameter!$H$5,IF(CC43="L23",Parameter!$H$6+Parameter!$H$7,Parameter!$H$5+Parameter!$H$6+Parameter!$H$7))-(AM43-AI43))/AI43)))</f>
        <v>1</v>
      </c>
      <c r="AO43" s="50" t="n">
        <f aca="false">IF(LEFT(Cockpit!$I$5,1)="A",H43,IF(CE43=1,CF43,IF(LEFT(Cockpit!$I$5,1)="B",AT43,MAX(AT43,H43))))</f>
        <v>54</v>
      </c>
      <c r="AP43" s="50" t="n">
        <f aca="false">IF(BW43=1,0,ROUNDUP(AO43/BV43,0))</f>
        <v>2</v>
      </c>
      <c r="AQ43" s="52" t="n">
        <f aca="false">IF(CL43&gt;0,CL43*MAX(1,AO43/X43),IF(BW43=1,IF(AO43&lt;=0,0,CA43*MAX(1,IF(H43&gt;0,AO43/H43,1))),IF(R43&gt;0,AP43/R43,0))/MAX(0.1,N(Parameter!$M$21)))</f>
        <v>0.166666666666667</v>
      </c>
      <c r="AR43" s="50" t="n">
        <f aca="false">AQ43*BY43</f>
        <v>24.1666666666667</v>
      </c>
      <c r="AS43" s="50" t="n">
        <f aca="false">AO43*G43</f>
        <v>15144.84</v>
      </c>
      <c r="AT43" s="50" t="n">
        <f aca="false">ROUNDUP(MAX(J43/IF(CD43&gt;0,CD43,MAX(0.1,N(Cockpit!$I$6))),CG43)/BV43,0)*BV43</f>
        <v>54</v>
      </c>
      <c r="AU43" s="51" t="n">
        <f aca="false">IF(AR43&gt;0,J43/AR43,-1)</f>
        <v>0</v>
      </c>
      <c r="AV43" s="51" t="n">
        <f aca="false">IF(AND(OR(CC43="L1",CC43="L23",CC43="LIFT"),AR43&gt;0),SUMIFS($AR$7:$AR$1843,$CC$7:$CC$1843,CC43,$AU$7:$AU$1843,"&gt;"&amp;AU43)+SUMIFS($AR$7:$AR$1843,$CC$7:$CC$1843,CC43,$AU$7:$AU$1843,AU43,$BT$7:$BT$1843,"&lt;="&amp;BT43),"")</f>
        <v>36988.0066663563</v>
      </c>
      <c r="AW43" s="58" t="n">
        <f aca="false">IF(AV43="",0,MAX(0,MIN(1,(IF(CC43="L1",Parameter!$H$5,IF(CC43="L23",Parameter!$H$6+Parameter!$H$7,Parameter!$H$5+Parameter!$H$6+Parameter!$H$7))-(AV43-AR43))/AR43)))</f>
        <v>0</v>
      </c>
      <c r="AX43" s="50" t="n">
        <f aca="false">IF(LEFT(Cockpit!$O$5,1)="A",H43,IF(CE43=1,CF43,IF(LEFT(Cockpit!$O$5,1)="B",BC43,MAX(BC43,H43))))</f>
        <v>54</v>
      </c>
      <c r="AY43" s="50" t="n">
        <f aca="false">IF(BW43=1,0,ROUNDUP(AX43/BV43,0))</f>
        <v>2</v>
      </c>
      <c r="AZ43" s="52" t="n">
        <f aca="false">IF(CL43&gt;0,CL43*MAX(1,AX43/X43),IF(BW43=1,IF(AX43&lt;=0,0,CA43*MAX(1,IF(H43&gt;0,AX43/H43,1))),IF(R43&gt;0,AY43/R43,0))/MAX(0.1,N(Parameter!$M$21)))</f>
        <v>0.166666666666667</v>
      </c>
      <c r="BA43" s="50" t="n">
        <f aca="false">AZ43*BY43</f>
        <v>24.1666666666667</v>
      </c>
      <c r="BB43" s="50" t="n">
        <f aca="false">AX43*G43</f>
        <v>15144.84</v>
      </c>
      <c r="BC43" s="50" t="n">
        <f aca="false">ROUNDUP(MAX(J43/IF(CD43&gt;0,CD43,MAX(0.1,N(Cockpit!$O$6))),CG43)/BV43,0)*BV43</f>
        <v>54</v>
      </c>
      <c r="BD43" s="51" t="n">
        <f aca="false">IF(BA43&gt;0,J43/BA43,-1)</f>
        <v>0</v>
      </c>
      <c r="BE43" s="51" t="n">
        <f aca="false">IF(AND(OR(CC43="L1",CC43="L23",CC43="LIFT"),BA43&gt;0),SUMIFS($BA$7:$BA$1843,$CC$7:$CC$1843,CC43,$BD$7:$BD$1843,"&gt;"&amp;BD43)+SUMIFS($BA$7:$BA$1843,$CC$7:$CC$1843,CC43,$BD$7:$BD$1843,BD43,$BT$7:$BT$1843,"&lt;="&amp;BT43),"")</f>
        <v>33663.0187082221</v>
      </c>
      <c r="BF43" s="58" t="n">
        <f aca="false">IF(BE43="",0,MAX(0,MIN(1,(IF(CC43="L1",Parameter!$H$5,IF(CC43="L23",Parameter!$H$6+Parameter!$H$7,Parameter!$H$5+Parameter!$H$6+Parameter!$H$7))-(BE43-BA43))/BA43)))</f>
        <v>1</v>
      </c>
      <c r="BG43" s="48" t="str">
        <f aca="false">IF(AI43&lt;=0,"",IF(CC43="Aussen","Aussenlager",IF(CC43="-","Nicht im Lift",IF(AN43&gt;=1,"Lift",IF(AN43&lt;=0,"Aussenlager","teilweise")))))</f>
        <v>Lift</v>
      </c>
      <c r="BH43" s="48" t="str">
        <f aca="false">IF(AR43&lt;=0,"",IF(CC43="Aussen","Aussenlager",IF(CC43="-","Nicht im Lift",IF(AW43&gt;=1,"Lift",IF(AW43&lt;=0,"Aussenlager","teilweise")))))</f>
        <v>Aussenlager</v>
      </c>
      <c r="BI43" s="48" t="str">
        <f aca="false">IF(BA43&lt;=0,"",IF(CC43="Aussen","Aussenlager",IF(CC43="-","Nicht im Lift",IF(BF43&gt;=1,"Lift",IF(BF43&lt;=0,"Aussenlager","teilweise")))))</f>
        <v>Lift</v>
      </c>
      <c r="BJ43" s="48" t="str">
        <f aca="false">IF(A43="","",IF(BS43=1,"Neu; ","")&amp;IF(AND(BS43=0,BN43&lt;0),"negativer Bestand (Export "&amp;BN43&amp;"); ","")&amp;IF(J43&lt;=0,"Kein Verbrauch; ","")&amp;IF(CL43&gt;0,"Lift "&amp;W43&amp;" lt. Liftbericht (Fach "&amp;X43&amp;" Stk); ",IF(BX43=1,"Gebinde geschätzt ("&amp;T43&amp;"); ",IF(BW43=1,"Lose – Tablare geschätzt; ","")))&amp;IF(H43&gt;AT43,"Überbestand "&amp;ROUND(H43-AT43,0)&amp;" Stk / CHF "&amp;ROUND((H43-AT43)*G43,0)&amp;"; ","")&amp;IF(AND(CE43=1,CF43&lt;CG43),"MAX &lt; MB+LG; ","")&amp;IF(AND(CK43&gt;0,CJ43*10&gt;CK43),"zu hoch für Tablar; ","")&amp;IF(AND(BS43=0,OR(CE43=1,AA43&lt;&gt;"",U43&lt;&gt;"",V43&lt;&gt;"",AB43&lt;&gt;"")),"manuell übersteuert; ","")&amp;IF(AND(BW43=0,R43=0),"Gebinde unbekannt / Stellmass fehlt; ","")&amp;IF(AND(BW43=0,N(V43)&lt;=0,N(Q43)&lt;=0),"Menge pro Gebinde fehlt (Ist = 1 Gebinde); ","")&amp;BR43)</f>
        <v>Kein Verbrauch; Gebinde geschätzt (Mittel); Menge pro Gebinde fehlt (Ist = 1 Gebinde); </v>
      </c>
      <c r="BK43" s="48" t="s">
        <v>282</v>
      </c>
      <c r="BL43" s="48" t="s">
        <v>283</v>
      </c>
      <c r="BM43" s="55"/>
      <c r="BN43" s="50" t="n">
        <v>27</v>
      </c>
      <c r="BO43" s="50" t="n">
        <v>0</v>
      </c>
      <c r="BP43" s="49" t="n">
        <v>7572.42</v>
      </c>
      <c r="BQ43" s="50" t="n">
        <v>0</v>
      </c>
      <c r="BR43" s="48"/>
      <c r="BS43" s="53" t="n">
        <v>0</v>
      </c>
      <c r="BT43" s="53" t="n">
        <v>43</v>
      </c>
      <c r="BU43" s="48" t="str">
        <f aca="false">IF(U43&lt;&gt;"",UPPER(TRIM(U43)),IF(BX43=1,UPPER(VLOOKUP(T43,Parameter!$I$27:$K$29,2,0)),IF(P43="","LOSE",P43)))</f>
        <v>S61</v>
      </c>
      <c r="BV43" s="50" t="n">
        <f aca="false">IF(BU43="LOSE",1,IF(N(V43)&gt;0,V43,IF(BX43=1,MAX(1,N(VLOOKUP(T43,Parameter!$I$27:$K$29,3,0)),H43,N(N43)),IF(N(Q43)&gt;0,Q43,MAX(1,H43)))))</f>
        <v>27</v>
      </c>
      <c r="BW43" s="53" t="n">
        <f aca="false">IF(BU43="LOSE",1,0)</f>
        <v>0</v>
      </c>
      <c r="BX43" s="53" t="n">
        <f aca="false">IF(AND(U43="",OR(P43="",P43="LOSE"),T43&lt;&gt;"",N(S43)&lt;=0,ISNUMBER(MATCH(T43,Parameter!$I$27:$I$29,0))),1,0)</f>
        <v>1</v>
      </c>
      <c r="BY43" s="53" t="n">
        <f aca="false">IF(CL43&gt;0,INDEX(Parameter!$H$5:$H$7,W43)/INDEX(Parameter!$E$5:$E$7,W43),IF(AND(BW43=0,N(IFERROR(VLOOKUP(BU43,'Gebinde-Kategorie'!$A$5:$N$45,14,0),0))&gt;0),VLOOKUP(BU43,'Gebinde-Kategorie'!$A$5:$N$45,14,0)*10+Parameter!$M$23,Parameter!$M$24))</f>
        <v>145</v>
      </c>
      <c r="BZ43" s="48" t="str">
        <f aca="false">IF(AND(Parameter!$B$19="Ja",E43&lt;&gt;"",ISNUMBER(MATCH(E43,Parameter!$I$35:$I$52,0))),VLOOKUP(E43,Parameter!$I$35:$J$52,2,0),IFERROR(VLOOKUP(D43,Parameter!$A$35:$C$64,2,0),"Nein"))</f>
        <v>2+3</v>
      </c>
      <c r="CA43" s="52" t="n">
        <f aca="false">IF(BW43=0,0,IF(N(S43)&gt;0,S43,IFERROR(VLOOKUP(D43,Parameter!$A$35:$C$64,3,0)+0,0)))</f>
        <v>0</v>
      </c>
      <c r="CB43" s="48" t="n">
        <f aca="false">IF(AA43&lt;&gt;"",AA43,Z43)</f>
        <v>2</v>
      </c>
      <c r="CC43" s="48" t="str">
        <f aca="false">IF(OR(CB43=1,CB43=2,CB43=3),IF(Parameter!$E$27="Ja","LIFT",IF(CB43=1,"L1","L23")),IF(CB43="Aussen","Aussen","-"))</f>
        <v>LIFT</v>
      </c>
      <c r="CD43" s="59" t="n">
        <f aca="false">IF(N(AB43)&gt;0,AB43,0)</f>
        <v>0</v>
      </c>
      <c r="CE43" s="53" t="n">
        <f aca="false">IF(ISNUMBER(AE43),1,0)</f>
        <v>0</v>
      </c>
      <c r="CF43" s="50" t="n">
        <f aca="false">N(AE43)</f>
        <v>0</v>
      </c>
      <c r="CG43" s="50" t="n">
        <f aca="false">N(M43)+N(N43)</f>
        <v>30</v>
      </c>
      <c r="CH43" s="50" t="n">
        <f aca="false">ROUNDUP(H43/BV43,0)</f>
        <v>1</v>
      </c>
      <c r="CI43" s="50" t="n">
        <f aca="false">ROUNDUP(CF43/BV43,0)</f>
        <v>0</v>
      </c>
      <c r="CJ43" s="53" t="n">
        <f aca="false">IF(BW43=1,0,IFERROR(VLOOKUP(BU43,'Gebinde-Kategorie'!$A$5:$N$45,5,0)+0,0))</f>
        <v>11</v>
      </c>
      <c r="CK43" s="53" t="n">
        <f aca="false">IFERROR(IF(OR(CB43=1,CB43=2,CB43=3),N(INDEX(Parameter!$I$5:$I$7,CB43)),0),0)</f>
        <v>0</v>
      </c>
      <c r="CL43" s="52" t="n">
        <f aca="false">IF(AND(Parameter!$B$21="Ja",ISNUMBER(W43),N(X43)&gt;0),IFERROR(N(INDEX(Parameter!$L$5:$L$7,W43))*INDEX(Parameter!$E$5:$E$7,W43)*X43/SUMIFS($X$7:$X$1843,$W$7:$W$1843,W43),0),0)</f>
        <v>0</v>
      </c>
    </row>
    <row r="44" customFormat="false" ht="15" hidden="false" customHeight="false" outlineLevel="0" collapsed="false">
      <c r="A44" s="48" t="s">
        <v>284</v>
      </c>
      <c r="B44" s="48" t="s">
        <v>285</v>
      </c>
      <c r="C44" s="48" t="s">
        <v>168</v>
      </c>
      <c r="D44" s="48" t="s">
        <v>177</v>
      </c>
      <c r="E44" s="48" t="s">
        <v>189</v>
      </c>
      <c r="F44" s="48" t="s">
        <v>222</v>
      </c>
      <c r="G44" s="49" t="n">
        <v>180.4</v>
      </c>
      <c r="H44" s="50" t="n">
        <f aca="false">MAX(0,IF(AND(Parameter!$B$21="Ja",ISNUMBER(Y44)),Y44,IF(Parameter!$B$20="Jahresanfang 2025 + Export",BO44+BN44,BN44)))</f>
        <v>98</v>
      </c>
      <c r="I44" s="50" t="n">
        <f aca="false">H44*G44</f>
        <v>17679.2</v>
      </c>
      <c r="J44" s="50" t="n">
        <f aca="false">BQ44*Parameter!$B$18</f>
        <v>25</v>
      </c>
      <c r="K44" s="51" t="n">
        <v>44</v>
      </c>
      <c r="L44" s="52" t="n">
        <v>0.568181818181818</v>
      </c>
      <c r="M44" s="50" t="n">
        <v>10</v>
      </c>
      <c r="N44" s="50" t="n">
        <v>20</v>
      </c>
      <c r="O44" s="53" t="n">
        <v>98</v>
      </c>
      <c r="P44" s="48" t="s">
        <v>263</v>
      </c>
      <c r="Q44" s="50" t="n">
        <v>24</v>
      </c>
      <c r="R44" s="53" t="n">
        <f aca="false">IF(BW44=1,0,IFERROR(VLOOKUP(BU44,'Gebinde-Kategorie'!$A$5:$N$45,13,0)+0,0))</f>
        <v>6</v>
      </c>
      <c r="S44" s="54"/>
      <c r="T44" s="55"/>
      <c r="U44" s="55"/>
      <c r="V44" s="55"/>
      <c r="W44" s="48"/>
      <c r="X44" s="50"/>
      <c r="Y44" s="50"/>
      <c r="Z44" s="48" t="n">
        <f aca="false">IF(A44="","",IF(AND(Parameter!$B$21="Ja",ISNUMBER(W44)),W44,IF(BZ44="2+3",IF(ISNUMBER(SEARCH("grosser Artikel",BR44)),2,IFERROR(VLOOKUP(BU44,Parameter!$F$35:$G$64,2,0),2)),IF(OR(BZ44="Nein",BZ44=""),"-",BZ44))))</f>
        <v>2</v>
      </c>
      <c r="AA44" s="55"/>
      <c r="AB44" s="56"/>
      <c r="AC44" s="50" t="n">
        <f aca="false">AT44</f>
        <v>48</v>
      </c>
      <c r="AD44" s="50" t="n">
        <f aca="false">MAX(AT44,H44)</f>
        <v>98</v>
      </c>
      <c r="AE44" s="57"/>
      <c r="AF44" s="50" t="n">
        <f aca="false">IF(LEFT(Cockpit!$C$5,1)="A",H44,IF(CE44=1,CF44,IF(LEFT(Cockpit!$C$5,1)="B",AK44,MAX(AK44,H44))))</f>
        <v>98</v>
      </c>
      <c r="AG44" s="50" t="n">
        <f aca="false">IF(BW44=1,0,ROUNDUP(AF44/BV44,0))</f>
        <v>5</v>
      </c>
      <c r="AH44" s="52" t="n">
        <f aca="false">IF(CL44&gt;0,CL44*MAX(1,AF44/X44),IF(BW44=1,IF(AF44&lt;=0,0,CA44*MAX(1,IF(H44&gt;0,AF44/H44,1))),IF(R44&gt;0,AG44/R44,0))/MAX(0.1,N(Parameter!$M$21)))</f>
        <v>0.833333333333333</v>
      </c>
      <c r="AI44" s="50" t="n">
        <f aca="false">AH44*BY44</f>
        <v>362.5</v>
      </c>
      <c r="AJ44" s="50" t="n">
        <f aca="false">AF44*G44</f>
        <v>17679.2</v>
      </c>
      <c r="AK44" s="50" t="n">
        <f aca="false">ROUNDUP(MAX(J44/IF(CD44&gt;0,CD44,MAX(0.1,N(Cockpit!$C$6))),CG44)/BV44,0)*BV44</f>
        <v>48</v>
      </c>
      <c r="AL44" s="51" t="n">
        <f aca="false">IF(AI44&gt;0,J44/AI44,-1)</f>
        <v>0.0689655172413793</v>
      </c>
      <c r="AM44" s="51" t="n">
        <f aca="false">IF(AND(OR(CC44="L1",CC44="L23",CC44="LIFT"),AI44&gt;0),SUMIFS($AI$7:$AI$1843,$CC$7:$CC$1843,CC44,$AL$7:$AL$1843,"&gt;"&amp;AL44)+SUMIFS($AI$7:$AI$1843,$CC$7:$CC$1843,CC44,$AL$7:$AL$1843,AL44,$BT$7:$BT$1843,"&lt;="&amp;BT44),"")</f>
        <v>18942.1078697668</v>
      </c>
      <c r="AN44" s="58" t="n">
        <f aca="false">IF(AM44="",0,MAX(0,MIN(1,(IF(CC44="L1",Parameter!$H$5,IF(CC44="L23",Parameter!$H$6+Parameter!$H$7,Parameter!$H$5+Parameter!$H$6+Parameter!$H$7))-(AM44-AI44))/AI44)))</f>
        <v>1</v>
      </c>
      <c r="AO44" s="50" t="n">
        <f aca="false">IF(LEFT(Cockpit!$I$5,1)="A",H44,IF(CE44=1,CF44,IF(LEFT(Cockpit!$I$5,1)="B",AT44,MAX(AT44,H44))))</f>
        <v>98</v>
      </c>
      <c r="AP44" s="50" t="n">
        <f aca="false">IF(BW44=1,0,ROUNDUP(AO44/BV44,0))</f>
        <v>5</v>
      </c>
      <c r="AQ44" s="52" t="n">
        <f aca="false">IF(CL44&gt;0,CL44*MAX(1,AO44/X44),IF(BW44=1,IF(AO44&lt;=0,0,CA44*MAX(1,IF(H44&gt;0,AO44/H44,1))),IF(R44&gt;0,AP44/R44,0))/MAX(0.1,N(Parameter!$M$21)))</f>
        <v>0.833333333333333</v>
      </c>
      <c r="AR44" s="50" t="n">
        <f aca="false">AQ44*BY44</f>
        <v>362.5</v>
      </c>
      <c r="AS44" s="50" t="n">
        <f aca="false">AO44*G44</f>
        <v>17679.2</v>
      </c>
      <c r="AT44" s="50" t="n">
        <f aca="false">ROUNDUP(MAX(J44/IF(CD44&gt;0,CD44,MAX(0.1,N(Cockpit!$I$6))),CG44)/BV44,0)*BV44</f>
        <v>48</v>
      </c>
      <c r="AU44" s="51" t="n">
        <f aca="false">IF(AR44&gt;0,J44/AR44,-1)</f>
        <v>0.0689655172413793</v>
      </c>
      <c r="AV44" s="51" t="n">
        <f aca="false">IF(AND(OR(CC44="L1",CC44="L23",CC44="LIFT"),AR44&gt;0),SUMIFS($AR$7:$AR$1843,$CC$7:$CC$1843,CC44,$AU$7:$AU$1843,"&gt;"&amp;AU44)+SUMIFS($AR$7:$AR$1843,$CC$7:$CC$1843,CC44,$AU$7:$AU$1843,AU44,$BT$7:$BT$1843,"&lt;="&amp;BT44),"")</f>
        <v>27869.4154585998</v>
      </c>
      <c r="AW44" s="58" t="n">
        <f aca="false">IF(AV44="",0,MAX(0,MIN(1,(IF(CC44="L1",Parameter!$H$5,IF(CC44="L23",Parameter!$H$6+Parameter!$H$7,Parameter!$H$5+Parameter!$H$6+Parameter!$H$7))-(AV44-AR44))/AR44)))</f>
        <v>1</v>
      </c>
      <c r="AX44" s="50" t="n">
        <f aca="false">IF(LEFT(Cockpit!$O$5,1)="A",H44,IF(CE44=1,CF44,IF(LEFT(Cockpit!$O$5,1)="B",BC44,MAX(BC44,H44))))</f>
        <v>98</v>
      </c>
      <c r="AY44" s="50" t="n">
        <f aca="false">IF(BW44=1,0,ROUNDUP(AX44/BV44,0))</f>
        <v>5</v>
      </c>
      <c r="AZ44" s="52" t="n">
        <f aca="false">IF(CL44&gt;0,CL44*MAX(1,AX44/X44),IF(BW44=1,IF(AX44&lt;=0,0,CA44*MAX(1,IF(H44&gt;0,AX44/H44,1))),IF(R44&gt;0,AY44/R44,0))/MAX(0.1,N(Parameter!$M$21)))</f>
        <v>0.833333333333333</v>
      </c>
      <c r="BA44" s="50" t="n">
        <f aca="false">AZ44*BY44</f>
        <v>362.5</v>
      </c>
      <c r="BB44" s="50" t="n">
        <f aca="false">AX44*G44</f>
        <v>17679.2</v>
      </c>
      <c r="BC44" s="50" t="n">
        <f aca="false">ROUNDUP(MAX(J44/IF(CD44&gt;0,CD44,MAX(0.1,N(Cockpit!$O$6))),CG44)/BV44,0)*BV44</f>
        <v>48</v>
      </c>
      <c r="BD44" s="51" t="n">
        <f aca="false">IF(BA44&gt;0,J44/BA44,-1)</f>
        <v>0.0689655172413793</v>
      </c>
      <c r="BE44" s="51" t="n">
        <f aca="false">IF(AND(OR(CC44="L1",CC44="L23",CC44="LIFT"),BA44&gt;0),SUMIFS($BA$7:$BA$1843,$CC$7:$CC$1843,CC44,$BD$7:$BD$1843,"&gt;"&amp;BD44)+SUMIFS($BA$7:$BA$1843,$CC$7:$CC$1843,CC44,$BD$7:$BD$1843,BD44,$BT$7:$BT$1843,"&lt;="&amp;BT44),"")</f>
        <v>26071.9275004656</v>
      </c>
      <c r="BF44" s="58" t="n">
        <f aca="false">IF(BE44="",0,MAX(0,MIN(1,(IF(CC44="L1",Parameter!$H$5,IF(CC44="L23",Parameter!$H$6+Parameter!$H$7,Parameter!$H$5+Parameter!$H$6+Parameter!$H$7))-(BE44-BA44))/BA44)))</f>
        <v>1</v>
      </c>
      <c r="BG44" s="48" t="str">
        <f aca="false">IF(AI44&lt;=0,"",IF(CC44="Aussen","Aussenlager",IF(CC44="-","Nicht im Lift",IF(AN44&gt;=1,"Lift",IF(AN44&lt;=0,"Aussenlager","teilweise")))))</f>
        <v>Lift</v>
      </c>
      <c r="BH44" s="48" t="str">
        <f aca="false">IF(AR44&lt;=0,"",IF(CC44="Aussen","Aussenlager",IF(CC44="-","Nicht im Lift",IF(AW44&gt;=1,"Lift",IF(AW44&lt;=0,"Aussenlager","teilweise")))))</f>
        <v>Lift</v>
      </c>
      <c r="BI44" s="48" t="str">
        <f aca="false">IF(BA44&lt;=0,"",IF(CC44="Aussen","Aussenlager",IF(CC44="-","Nicht im Lift",IF(BF44&gt;=1,"Lift",IF(BF44&lt;=0,"Aussenlager","teilweise")))))</f>
        <v>Lift</v>
      </c>
      <c r="BJ44" s="48" t="str">
        <f aca="false">IF(A44="","",IF(BS44=1,"Neu; ","")&amp;IF(AND(BS44=0,BN44&lt;0),"negativer Bestand (Export "&amp;BN44&amp;"); ","")&amp;IF(J44&lt;=0,"Kein Verbrauch; ","")&amp;IF(CL44&gt;0,"Lift "&amp;W44&amp;" lt. Liftbericht (Fach "&amp;X44&amp;" Stk); ",IF(BX44=1,"Gebinde geschätzt ("&amp;T44&amp;"); ",IF(BW44=1,"Lose – Tablare geschätzt; ","")))&amp;IF(H44&gt;AT44,"Überbestand "&amp;ROUND(H44-AT44,0)&amp;" Stk / CHF "&amp;ROUND((H44-AT44)*G44,0)&amp;"; ","")&amp;IF(AND(CE44=1,CF44&lt;CG44),"MAX &lt; MB+LG; ","")&amp;IF(AND(CK44&gt;0,CJ44*10&gt;CK44),"zu hoch für Tablar; ","")&amp;IF(AND(BS44=0,OR(CE44=1,AA44&lt;&gt;"",U44&lt;&gt;"",V44&lt;&gt;"",AB44&lt;&gt;"")),"manuell übersteuert; ","")&amp;IF(AND(BW44=0,R44=0),"Gebinde unbekannt / Stellmass fehlt; ","")&amp;IF(AND(BW44=0,N(V44)&lt;=0,N(Q44)&lt;=0),"Menge pro Gebinde fehlt (Ist = 1 Gebinde); ","")&amp;BR44)</f>
        <v>Überbestand 50 Stk / CHF 9020; grosser Artikel &amp; nicht im KTL</v>
      </c>
      <c r="BK44" s="48"/>
      <c r="BL44" s="48"/>
      <c r="BM44" s="55"/>
      <c r="BN44" s="50" t="n">
        <v>43</v>
      </c>
      <c r="BO44" s="50" t="n">
        <v>55</v>
      </c>
      <c r="BP44" s="49" t="n">
        <v>7381.23</v>
      </c>
      <c r="BQ44" s="50" t="n">
        <v>25</v>
      </c>
      <c r="BR44" s="48" t="s">
        <v>265</v>
      </c>
      <c r="BS44" s="53" t="n">
        <v>0</v>
      </c>
      <c r="BT44" s="53" t="n">
        <v>44</v>
      </c>
      <c r="BU44" s="48" t="str">
        <f aca="false">IF(U44&lt;&gt;"",UPPER(TRIM(U44)),IF(BX44=1,UPPER(VLOOKUP(T44,Parameter!$I$27:$K$29,2,0)),IF(P44="","LOSE",P44)))</f>
        <v>S72</v>
      </c>
      <c r="BV44" s="50" t="n">
        <f aca="false">IF(BU44="LOSE",1,IF(N(V44)&gt;0,V44,IF(BX44=1,MAX(1,N(VLOOKUP(T44,Parameter!$I$27:$K$29,3,0)),H44,N(N44)),IF(N(Q44)&gt;0,Q44,MAX(1,H44)))))</f>
        <v>24</v>
      </c>
      <c r="BW44" s="53" t="n">
        <f aca="false">IF(BU44="LOSE",1,0)</f>
        <v>0</v>
      </c>
      <c r="BX44" s="53" t="n">
        <f aca="false">IF(AND(U44="",OR(P44="",P44="LOSE"),T44&lt;&gt;"",N(S44)&lt;=0,ISNUMBER(MATCH(T44,Parameter!$I$27:$I$29,0))),1,0)</f>
        <v>0</v>
      </c>
      <c r="BY44" s="53" t="n">
        <f aca="false">IF(CL44&gt;0,INDEX(Parameter!$H$5:$H$7,W44)/INDEX(Parameter!$E$5:$E$7,W44),IF(AND(BW44=0,N(IFERROR(VLOOKUP(BU44,'Gebinde-Kategorie'!$A$5:$N$45,14,0),0))&gt;0),VLOOKUP(BU44,'Gebinde-Kategorie'!$A$5:$N$45,14,0)*10+Parameter!$M$23,Parameter!$M$24))</f>
        <v>435</v>
      </c>
      <c r="BZ44" s="48" t="str">
        <f aca="false">IF(AND(Parameter!$B$19="Ja",E44&lt;&gt;"",ISNUMBER(MATCH(E44,Parameter!$I$35:$I$52,0))),VLOOKUP(E44,Parameter!$I$35:$J$52,2,0),IFERROR(VLOOKUP(D44,Parameter!$A$35:$C$64,2,0),"Nein"))</f>
        <v>2+3</v>
      </c>
      <c r="CA44" s="52" t="n">
        <f aca="false">IF(BW44=0,0,IF(N(S44)&gt;0,S44,IFERROR(VLOOKUP(D44,Parameter!$A$35:$C$64,3,0)+0,0)))</f>
        <v>0</v>
      </c>
      <c r="CB44" s="48" t="n">
        <f aca="false">IF(AA44&lt;&gt;"",AA44,Z44)</f>
        <v>2</v>
      </c>
      <c r="CC44" s="48" t="str">
        <f aca="false">IF(OR(CB44=1,CB44=2,CB44=3),IF(Parameter!$E$27="Ja","LIFT",IF(CB44=1,"L1","L23")),IF(CB44="Aussen","Aussen","-"))</f>
        <v>LIFT</v>
      </c>
      <c r="CD44" s="59" t="n">
        <f aca="false">IF(N(AB44)&gt;0,AB44,0)</f>
        <v>0</v>
      </c>
      <c r="CE44" s="53" t="n">
        <f aca="false">IF(ISNUMBER(AE44),1,0)</f>
        <v>0</v>
      </c>
      <c r="CF44" s="50" t="n">
        <f aca="false">N(AE44)</f>
        <v>0</v>
      </c>
      <c r="CG44" s="50" t="n">
        <f aca="false">N(M44)+N(N44)</f>
        <v>30</v>
      </c>
      <c r="CH44" s="50" t="n">
        <f aca="false">ROUNDUP(H44/BV44,0)</f>
        <v>5</v>
      </c>
      <c r="CI44" s="50" t="n">
        <f aca="false">ROUNDUP(CF44/BV44,0)</f>
        <v>0</v>
      </c>
      <c r="CJ44" s="53" t="n">
        <f aca="false">IF(BW44=1,0,IFERROR(VLOOKUP(BU44,'Gebinde-Kategorie'!$A$5:$N$45,5,0)+0,0))</f>
        <v>40</v>
      </c>
      <c r="CK44" s="53" t="n">
        <f aca="false">IFERROR(IF(OR(CB44=1,CB44=2,CB44=3),N(INDEX(Parameter!$I$5:$I$7,CB44)),0),0)</f>
        <v>0</v>
      </c>
      <c r="CL44" s="52" t="n">
        <f aca="false">IF(AND(Parameter!$B$21="Ja",ISNUMBER(W44),N(X44)&gt;0),IFERROR(N(INDEX(Parameter!$L$5:$L$7,W44))*INDEX(Parameter!$E$5:$E$7,W44)*X44/SUMIFS($X$7:$X$1843,$W$7:$W$1843,W44),0),0)</f>
        <v>0</v>
      </c>
    </row>
    <row r="45" customFormat="false" ht="15" hidden="false" customHeight="false" outlineLevel="0" collapsed="false">
      <c r="A45" s="48" t="s">
        <v>286</v>
      </c>
      <c r="B45" s="48" t="s">
        <v>287</v>
      </c>
      <c r="C45" s="48" t="s">
        <v>168</v>
      </c>
      <c r="D45" s="48" t="s">
        <v>177</v>
      </c>
      <c r="E45" s="48" t="s">
        <v>170</v>
      </c>
      <c r="F45" s="48" t="s">
        <v>222</v>
      </c>
      <c r="G45" s="49" t="n">
        <v>618.8</v>
      </c>
      <c r="H45" s="50" t="n">
        <f aca="false">MAX(0,IF(AND(Parameter!$B$21="Ja",ISNUMBER(Y45)),Y45,IF(Parameter!$B$20="Jahresanfang 2025 + Export",BO45+BN45,BN45)))</f>
        <v>13</v>
      </c>
      <c r="I45" s="50" t="n">
        <f aca="false">H45*G45</f>
        <v>8044.4</v>
      </c>
      <c r="J45" s="50" t="n">
        <f aca="false">BQ45*Parameter!$B$18</f>
        <v>72</v>
      </c>
      <c r="K45" s="51" t="n">
        <v>13</v>
      </c>
      <c r="L45" s="52" t="n">
        <v>5.53846153846154</v>
      </c>
      <c r="M45" s="50" t="n">
        <v>4</v>
      </c>
      <c r="N45" s="50" t="n">
        <v>15</v>
      </c>
      <c r="O45" s="53" t="n">
        <v>21</v>
      </c>
      <c r="P45" s="48" t="s">
        <v>227</v>
      </c>
      <c r="Q45" s="50" t="n">
        <v>9</v>
      </c>
      <c r="R45" s="53" t="n">
        <f aca="false">IF(BW45=1,0,IFERROR(VLOOKUP(BU45,'Gebinde-Kategorie'!$A$5:$N$45,13,0)+0,0))</f>
        <v>4</v>
      </c>
      <c r="S45" s="54"/>
      <c r="T45" s="55"/>
      <c r="U45" s="55"/>
      <c r="V45" s="55"/>
      <c r="W45" s="48"/>
      <c r="X45" s="50"/>
      <c r="Y45" s="50"/>
      <c r="Z45" s="48" t="n">
        <f aca="false">IF(A45="","",IF(AND(Parameter!$B$21="Ja",ISNUMBER(W45)),W45,IF(BZ45="2+3",IF(ISNUMBER(SEARCH("grosser Artikel",BR45)),2,IFERROR(VLOOKUP(BU45,Parameter!$F$35:$G$64,2,0),2)),IF(OR(BZ45="Nein",BZ45=""),"-",BZ45))))</f>
        <v>1</v>
      </c>
      <c r="AA45" s="55"/>
      <c r="AB45" s="56"/>
      <c r="AC45" s="50" t="n">
        <f aca="false">AT45</f>
        <v>36</v>
      </c>
      <c r="AD45" s="50" t="n">
        <f aca="false">MAX(AT45,H45)</f>
        <v>36</v>
      </c>
      <c r="AE45" s="57"/>
      <c r="AF45" s="50" t="n">
        <f aca="false">IF(LEFT(Cockpit!$C$5,1)="A",H45,IF(CE45=1,CF45,IF(LEFT(Cockpit!$C$5,1)="B",AK45,MAX(AK45,H45))))</f>
        <v>13</v>
      </c>
      <c r="AG45" s="50" t="n">
        <f aca="false">IF(BW45=1,0,ROUNDUP(AF45/BV45,0))</f>
        <v>2</v>
      </c>
      <c r="AH45" s="52" t="n">
        <f aca="false">IF(CL45&gt;0,CL45*MAX(1,AF45/X45),IF(BW45=1,IF(AF45&lt;=0,0,CA45*MAX(1,IF(H45&gt;0,AF45/H45,1))),IF(R45&gt;0,AG45/R45,0))/MAX(0.1,N(Parameter!$M$21)))</f>
        <v>0.5</v>
      </c>
      <c r="AI45" s="50" t="n">
        <f aca="false">AH45*BY45</f>
        <v>117.5</v>
      </c>
      <c r="AJ45" s="50" t="n">
        <f aca="false">AF45*G45</f>
        <v>8044.4</v>
      </c>
      <c r="AK45" s="50" t="n">
        <f aca="false">ROUNDUP(MAX(J45/IF(CD45&gt;0,CD45,MAX(0.1,N(Cockpit!$C$6))),CG45)/BV45,0)*BV45</f>
        <v>36</v>
      </c>
      <c r="AL45" s="51" t="n">
        <f aca="false">IF(AI45&gt;0,J45/AI45,-1)</f>
        <v>0.612765957446809</v>
      </c>
      <c r="AM45" s="51" t="n">
        <f aca="false">IF(AND(OR(CC45="L1",CC45="L23",CC45="LIFT"),AI45&gt;0),SUMIFS($AI$7:$AI$1843,$CC$7:$CC$1843,CC45,$AL$7:$AL$1843,"&gt;"&amp;AL45)+SUMIFS($AI$7:$AI$1843,$CC$7:$CC$1843,CC45,$AL$7:$AL$1843,AL45,$BT$7:$BT$1843,"&lt;="&amp;BT45),"")</f>
        <v>9112.86947703897</v>
      </c>
      <c r="AN45" s="58" t="n">
        <f aca="false">IF(AM45="",0,MAX(0,MIN(1,(IF(CC45="L1",Parameter!$H$5,IF(CC45="L23",Parameter!$H$6+Parameter!$H$7,Parameter!$H$5+Parameter!$H$6+Parameter!$H$7))-(AM45-AI45))/AI45)))</f>
        <v>1</v>
      </c>
      <c r="AO45" s="50" t="n">
        <f aca="false">IF(LEFT(Cockpit!$I$5,1)="A",H45,IF(CE45=1,CF45,IF(LEFT(Cockpit!$I$5,1)="B",AT45,MAX(AT45,H45))))</f>
        <v>36</v>
      </c>
      <c r="AP45" s="50" t="n">
        <f aca="false">IF(BW45=1,0,ROUNDUP(AO45/BV45,0))</f>
        <v>4</v>
      </c>
      <c r="AQ45" s="52" t="n">
        <f aca="false">IF(CL45&gt;0,CL45*MAX(1,AO45/X45),IF(BW45=1,IF(AO45&lt;=0,0,CA45*MAX(1,IF(H45&gt;0,AO45/H45,1))),IF(R45&gt;0,AP45/R45,0))/MAX(0.1,N(Parameter!$M$21)))</f>
        <v>1</v>
      </c>
      <c r="AR45" s="50" t="n">
        <f aca="false">AQ45*BY45</f>
        <v>235</v>
      </c>
      <c r="AS45" s="50" t="n">
        <f aca="false">AO45*G45</f>
        <v>22276.8</v>
      </c>
      <c r="AT45" s="50" t="n">
        <f aca="false">ROUNDUP(MAX(J45/IF(CD45&gt;0,CD45,MAX(0.1,N(Cockpit!$I$6))),CG45)/BV45,0)*BV45</f>
        <v>36</v>
      </c>
      <c r="AU45" s="51" t="n">
        <f aca="false">IF(AR45&gt;0,J45/AR45,-1)</f>
        <v>0.306382978723404</v>
      </c>
      <c r="AV45" s="51" t="n">
        <f aca="false">IF(AND(OR(CC45="L1",CC45="L23",CC45="LIFT"),AR45&gt;0),SUMIFS($AR$7:$AR$1843,$CC$7:$CC$1843,CC45,$AU$7:$AU$1843,"&gt;"&amp;AU45)+SUMIFS($AR$7:$AR$1843,$CC$7:$CC$1843,CC45,$AU$7:$AU$1843,AU45,$BT$7:$BT$1843,"&lt;="&amp;BT45),"")</f>
        <v>16633.4803113553</v>
      </c>
      <c r="AW45" s="58" t="n">
        <f aca="false">IF(AV45="",0,MAX(0,MIN(1,(IF(CC45="L1",Parameter!$H$5,IF(CC45="L23",Parameter!$H$6+Parameter!$H$7,Parameter!$H$5+Parameter!$H$6+Parameter!$H$7))-(AV45-AR45))/AR45)))</f>
        <v>1</v>
      </c>
      <c r="AX45" s="50" t="n">
        <f aca="false">IF(LEFT(Cockpit!$O$5,1)="A",H45,IF(CE45=1,CF45,IF(LEFT(Cockpit!$O$5,1)="B",BC45,MAX(BC45,H45))))</f>
        <v>27</v>
      </c>
      <c r="AY45" s="50" t="n">
        <f aca="false">IF(BW45=1,0,ROUNDUP(AX45/BV45,0))</f>
        <v>3</v>
      </c>
      <c r="AZ45" s="52" t="n">
        <f aca="false">IF(CL45&gt;0,CL45*MAX(1,AX45/X45),IF(BW45=1,IF(AX45&lt;=0,0,CA45*MAX(1,IF(H45&gt;0,AX45/H45,1))),IF(R45&gt;0,AY45/R45,0))/MAX(0.1,N(Parameter!$M$21)))</f>
        <v>0.75</v>
      </c>
      <c r="BA45" s="50" t="n">
        <f aca="false">AZ45*BY45</f>
        <v>176.25</v>
      </c>
      <c r="BB45" s="50" t="n">
        <f aca="false">AX45*G45</f>
        <v>16707.6</v>
      </c>
      <c r="BC45" s="50" t="n">
        <f aca="false">ROUNDUP(MAX(J45/IF(CD45&gt;0,CD45,MAX(0.1,N(Cockpit!$O$6))),CG45)/BV45,0)*BV45</f>
        <v>27</v>
      </c>
      <c r="BD45" s="51" t="n">
        <f aca="false">IF(BA45&gt;0,J45/BA45,-1)</f>
        <v>0.408510638297872</v>
      </c>
      <c r="BE45" s="51" t="n">
        <f aca="false">IF(AND(OR(CC45="L1",CC45="L23",CC45="LIFT"),BA45&gt;0),SUMIFS($BA$7:$BA$1843,$CC$7:$CC$1843,CC45,$BD$7:$BD$1843,"&gt;"&amp;BD45)+SUMIFS($BA$7:$BA$1843,$CC$7:$CC$1843,CC45,$BD$7:$BD$1843,BD45,$BT$7:$BT$1843,"&lt;="&amp;BT45),"")</f>
        <v>14012.1662087912</v>
      </c>
      <c r="BF45" s="58" t="n">
        <f aca="false">IF(BE45="",0,MAX(0,MIN(1,(IF(CC45="L1",Parameter!$H$5,IF(CC45="L23",Parameter!$H$6+Parameter!$H$7,Parameter!$H$5+Parameter!$H$6+Parameter!$H$7))-(BE45-BA45))/BA45)))</f>
        <v>1</v>
      </c>
      <c r="BG45" s="48" t="str">
        <f aca="false">IF(AI45&lt;=0,"",IF(CC45="Aussen","Aussenlager",IF(CC45="-","Nicht im Lift",IF(AN45&gt;=1,"Lift",IF(AN45&lt;=0,"Aussenlager","teilweise")))))</f>
        <v>Lift</v>
      </c>
      <c r="BH45" s="48" t="str">
        <f aca="false">IF(AR45&lt;=0,"",IF(CC45="Aussen","Aussenlager",IF(CC45="-","Nicht im Lift",IF(AW45&gt;=1,"Lift",IF(AW45&lt;=0,"Aussenlager","teilweise")))))</f>
        <v>Lift</v>
      </c>
      <c r="BI45" s="48" t="str">
        <f aca="false">IF(BA45&lt;=0,"",IF(CC45="Aussen","Aussenlager",IF(CC45="-","Nicht im Lift",IF(BF45&gt;=1,"Lift",IF(BF45&lt;=0,"Aussenlager","teilweise")))))</f>
        <v>Lift</v>
      </c>
      <c r="BJ45" s="48" t="str">
        <f aca="false">IF(A45="","",IF(BS45=1,"Neu; ","")&amp;IF(AND(BS45=0,BN45&lt;0),"negativer Bestand (Export "&amp;BN45&amp;"); ","")&amp;IF(J45&lt;=0,"Kein Verbrauch; ","")&amp;IF(CL45&gt;0,"Lift "&amp;W45&amp;" lt. Liftbericht (Fach "&amp;X45&amp;" Stk); ",IF(BX45=1,"Gebinde geschätzt ("&amp;T45&amp;"); ",IF(BW45=1,"Lose – Tablare geschätzt; ","")))&amp;IF(H45&gt;AT45,"Überbestand "&amp;ROUND(H45-AT45,0)&amp;" Stk / CHF "&amp;ROUND((H45-AT45)*G45,0)&amp;"; ","")&amp;IF(AND(CE45=1,CF45&lt;CG45),"MAX &lt; MB+LG; ","")&amp;IF(AND(CK45&gt;0,CJ45*10&gt;CK45),"zu hoch für Tablar; ","")&amp;IF(AND(BS45=0,OR(CE45=1,AA45&lt;&gt;"",U45&lt;&gt;"",V45&lt;&gt;"",AB45&lt;&gt;"")),"manuell übersteuert; ","")&amp;IF(AND(BW45=0,R45=0),"Gebinde unbekannt / Stellmass fehlt; ","")&amp;IF(AND(BW45=0,N(V45)&lt;=0,N(Q45)&lt;=0),"Menge pro Gebinde fehlt (Ist = 1 Gebinde); ","")&amp;BR45)</f>
        <v/>
      </c>
      <c r="BK45" s="48"/>
      <c r="BL45" s="48"/>
      <c r="BM45" s="55"/>
      <c r="BN45" s="50" t="n">
        <v>12</v>
      </c>
      <c r="BO45" s="50" t="n">
        <v>1</v>
      </c>
      <c r="BP45" s="49" t="n">
        <v>7364.52</v>
      </c>
      <c r="BQ45" s="50" t="n">
        <v>72</v>
      </c>
      <c r="BR45" s="48"/>
      <c r="BS45" s="53" t="n">
        <v>0</v>
      </c>
      <c r="BT45" s="53" t="n">
        <v>45</v>
      </c>
      <c r="BU45" s="48" t="str">
        <f aca="false">IF(U45&lt;&gt;"",UPPER(TRIM(U45)),IF(BX45=1,UPPER(VLOOKUP(T45,Parameter!$I$27:$K$29,2,0)),IF(P45="","LOSE",P45)))</f>
        <v>S81</v>
      </c>
      <c r="BV45" s="50" t="n">
        <f aca="false">IF(BU45="LOSE",1,IF(N(V45)&gt;0,V45,IF(BX45=1,MAX(1,N(VLOOKUP(T45,Parameter!$I$27:$K$29,3,0)),H45,N(N45)),IF(N(Q45)&gt;0,Q45,MAX(1,H45)))))</f>
        <v>9</v>
      </c>
      <c r="BW45" s="53" t="n">
        <f aca="false">IF(BU45="LOSE",1,0)</f>
        <v>0</v>
      </c>
      <c r="BX45" s="53" t="n">
        <f aca="false">IF(AND(U45="",OR(P45="",P45="LOSE"),T45&lt;&gt;"",N(S45)&lt;=0,ISNUMBER(MATCH(T45,Parameter!$I$27:$I$29,0))),1,0)</f>
        <v>0</v>
      </c>
      <c r="BY45" s="53" t="n">
        <f aca="false">IF(CL45&gt;0,INDEX(Parameter!$H$5:$H$7,W45)/INDEX(Parameter!$E$5:$E$7,W45),IF(AND(BW45=0,N(IFERROR(VLOOKUP(BU45,'Gebinde-Kategorie'!$A$5:$N$45,14,0),0))&gt;0),VLOOKUP(BU45,'Gebinde-Kategorie'!$A$5:$N$45,14,0)*10+Parameter!$M$23,Parameter!$M$24))</f>
        <v>235</v>
      </c>
      <c r="BZ45" s="48" t="n">
        <f aca="false">IF(AND(Parameter!$B$19="Ja",E45&lt;&gt;"",ISNUMBER(MATCH(E45,Parameter!$I$35:$I$52,0))),VLOOKUP(E45,Parameter!$I$35:$J$52,2,0),IFERROR(VLOOKUP(D45,Parameter!$A$35:$C$64,2,0),"Nein"))</f>
        <v>1</v>
      </c>
      <c r="CA45" s="52" t="n">
        <f aca="false">IF(BW45=0,0,IF(N(S45)&gt;0,S45,IFERROR(VLOOKUP(D45,Parameter!$A$35:$C$64,3,0)+0,0)))</f>
        <v>0</v>
      </c>
      <c r="CB45" s="48" t="n">
        <f aca="false">IF(AA45&lt;&gt;"",AA45,Z45)</f>
        <v>1</v>
      </c>
      <c r="CC45" s="48" t="str">
        <f aca="false">IF(OR(CB45=1,CB45=2,CB45=3),IF(Parameter!$E$27="Ja","LIFT",IF(CB45=1,"L1","L23")),IF(CB45="Aussen","Aussen","-"))</f>
        <v>LIFT</v>
      </c>
      <c r="CD45" s="59" t="n">
        <f aca="false">IF(N(AB45)&gt;0,AB45,0)</f>
        <v>0</v>
      </c>
      <c r="CE45" s="53" t="n">
        <f aca="false">IF(ISNUMBER(AE45),1,0)</f>
        <v>0</v>
      </c>
      <c r="CF45" s="50" t="n">
        <f aca="false">N(AE45)</f>
        <v>0</v>
      </c>
      <c r="CG45" s="50" t="n">
        <f aca="false">N(M45)+N(N45)</f>
        <v>19</v>
      </c>
      <c r="CH45" s="50" t="n">
        <f aca="false">ROUNDUP(H45/BV45,0)</f>
        <v>2</v>
      </c>
      <c r="CI45" s="50" t="n">
        <f aca="false">ROUNDUP(CF45/BV45,0)</f>
        <v>0</v>
      </c>
      <c r="CJ45" s="53" t="n">
        <f aca="false">IF(BW45=1,0,IFERROR(VLOOKUP(BU45,'Gebinde-Kategorie'!$A$5:$N$45,5,0)+0,0))</f>
        <v>20</v>
      </c>
      <c r="CK45" s="53" t="n">
        <f aca="false">IFERROR(IF(OR(CB45=1,CB45=2,CB45=3),N(INDEX(Parameter!$I$5:$I$7,CB45)),0),0)</f>
        <v>0</v>
      </c>
      <c r="CL45" s="52" t="n">
        <f aca="false">IF(AND(Parameter!$B$21="Ja",ISNUMBER(W45),N(X45)&gt;0),IFERROR(N(INDEX(Parameter!$L$5:$L$7,W45))*INDEX(Parameter!$E$5:$E$7,W45)*X45/SUMIFS($X$7:$X$1843,$W$7:$W$1843,W45),0),0)</f>
        <v>0</v>
      </c>
    </row>
    <row r="46" customFormat="false" ht="15" hidden="false" customHeight="false" outlineLevel="0" collapsed="false">
      <c r="A46" s="48" t="s">
        <v>288</v>
      </c>
      <c r="B46" s="48" t="s">
        <v>257</v>
      </c>
      <c r="C46" s="48" t="s">
        <v>168</v>
      </c>
      <c r="D46" s="48" t="s">
        <v>177</v>
      </c>
      <c r="E46" s="48"/>
      <c r="F46" s="48" t="s">
        <v>222</v>
      </c>
      <c r="G46" s="49" t="n">
        <v>1426.78</v>
      </c>
      <c r="H46" s="50" t="n">
        <f aca="false">MAX(0,IF(AND(Parameter!$B$21="Ja",ISNUMBER(Y46)),Y46,IF(Parameter!$B$20="Jahresanfang 2025 + Export",BO46+BN46,BN46)))</f>
        <v>4</v>
      </c>
      <c r="I46" s="50" t="n">
        <f aca="false">H46*G46</f>
        <v>5707.12</v>
      </c>
      <c r="J46" s="50" t="n">
        <f aca="false">BQ46*Parameter!$B$18</f>
        <v>0</v>
      </c>
      <c r="K46" s="51" t="n">
        <v>2</v>
      </c>
      <c r="L46" s="52" t="n">
        <v>0</v>
      </c>
      <c r="M46" s="50" t="n">
        <v>2</v>
      </c>
      <c r="N46" s="50" t="n">
        <v>2</v>
      </c>
      <c r="O46" s="53" t="n">
        <v>70</v>
      </c>
      <c r="P46" s="48" t="s">
        <v>172</v>
      </c>
      <c r="Q46" s="50"/>
      <c r="R46" s="53" t="n">
        <f aca="false">IF(BW46=1,0,IFERROR(VLOOKUP(BU46,'Gebinde-Kategorie'!$A$5:$N$45,13,0)+0,0))</f>
        <v>0</v>
      </c>
      <c r="S46" s="54"/>
      <c r="T46" s="55"/>
      <c r="U46" s="55"/>
      <c r="V46" s="55"/>
      <c r="W46" s="48" t="n">
        <v>1</v>
      </c>
      <c r="X46" s="50" t="n">
        <v>8</v>
      </c>
      <c r="Y46" s="50" t="n">
        <v>4</v>
      </c>
      <c r="Z46" s="48" t="n">
        <f aca="false">IF(A46="","",IF(AND(Parameter!$B$21="Ja",ISNUMBER(W46)),W46,IF(BZ46="2+3",IF(ISNUMBER(SEARCH("grosser Artikel",BR46)),2,IFERROR(VLOOKUP(BU46,Parameter!$F$35:$G$64,2,0),2)),IF(OR(BZ46="Nein",BZ46=""),"-",BZ46))))</f>
        <v>1</v>
      </c>
      <c r="AA46" s="55"/>
      <c r="AB46" s="56"/>
      <c r="AC46" s="50" t="n">
        <f aca="false">AT46</f>
        <v>4</v>
      </c>
      <c r="AD46" s="50" t="n">
        <f aca="false">MAX(AT46,H46)</f>
        <v>4</v>
      </c>
      <c r="AE46" s="57"/>
      <c r="AF46" s="50" t="n">
        <f aca="false">IF(LEFT(Cockpit!$C$5,1)="A",H46,IF(CE46=1,CF46,IF(LEFT(Cockpit!$C$5,1)="B",AK46,MAX(AK46,H46))))</f>
        <v>4</v>
      </c>
      <c r="AG46" s="50" t="n">
        <f aca="false">IF(BW46=1,0,ROUNDUP(AF46/BV46,0))</f>
        <v>0</v>
      </c>
      <c r="AH46" s="52" t="n">
        <f aca="false">IF(CL46&gt;0,CL46*MAX(1,AF46/X46),IF(BW46=1,IF(AF46&lt;=0,0,CA46*MAX(1,IF(H46&gt;0,AF46/H46,1))),IF(R46&gt;0,AG46/R46,0))/MAX(0.1,N(Parameter!$M$21)))</f>
        <v>0.64030131826742</v>
      </c>
      <c r="AI46" s="50" t="n">
        <f aca="false">AH46*BY46</f>
        <v>152.391713747646</v>
      </c>
      <c r="AJ46" s="50" t="n">
        <f aca="false">AF46*G46</f>
        <v>5707.12</v>
      </c>
      <c r="AK46" s="50" t="n">
        <f aca="false">ROUNDUP(MAX(J46/IF(CD46&gt;0,CD46,MAX(0.1,N(Cockpit!$C$6))),CG46)/BV46,0)*BV46</f>
        <v>4</v>
      </c>
      <c r="AL46" s="51" t="n">
        <f aca="false">IF(AI46&gt;0,J46/AI46,-1)</f>
        <v>0</v>
      </c>
      <c r="AM46" s="51" t="n">
        <f aca="false">IF(AND(OR(CC46="L1",CC46="L23",CC46="LIFT"),AI46&gt;0),SUMIFS($AI$7:$AI$1843,$CC$7:$CC$1843,CC46,$AL$7:$AL$1843,"&gt;"&amp;AL46)+SUMIFS($AI$7:$AI$1843,$CC$7:$CC$1843,CC46,$AL$7:$AL$1843,AL46,$BT$7:$BT$1843,"&lt;="&amp;BT46),"")</f>
        <v>25870.7084937191</v>
      </c>
      <c r="AN46" s="58" t="n">
        <f aca="false">IF(AM46="",0,MAX(0,MIN(1,(IF(CC46="L1",Parameter!$H$5,IF(CC46="L23",Parameter!$H$6+Parameter!$H$7,Parameter!$H$5+Parameter!$H$6+Parameter!$H$7))-(AM46-AI46))/AI46)))</f>
        <v>1</v>
      </c>
      <c r="AO46" s="50" t="n">
        <f aca="false">IF(LEFT(Cockpit!$I$5,1)="A",H46,IF(CE46=1,CF46,IF(LEFT(Cockpit!$I$5,1)="B",AT46,MAX(AT46,H46))))</f>
        <v>4</v>
      </c>
      <c r="AP46" s="50" t="n">
        <f aca="false">IF(BW46=1,0,ROUNDUP(AO46/BV46,0))</f>
        <v>0</v>
      </c>
      <c r="AQ46" s="52" t="n">
        <f aca="false">IF(CL46&gt;0,CL46*MAX(1,AO46/X46),IF(BW46=1,IF(AO46&lt;=0,0,CA46*MAX(1,IF(H46&gt;0,AO46/H46,1))),IF(R46&gt;0,AP46/R46,0))/MAX(0.1,N(Parameter!$M$21)))</f>
        <v>0.64030131826742</v>
      </c>
      <c r="AR46" s="50" t="n">
        <f aca="false">AQ46*BY46</f>
        <v>152.391713747646</v>
      </c>
      <c r="AS46" s="50" t="n">
        <f aca="false">AO46*G46</f>
        <v>5707.12</v>
      </c>
      <c r="AT46" s="50" t="n">
        <f aca="false">ROUNDUP(MAX(J46/IF(CD46&gt;0,CD46,MAX(0.1,N(Cockpit!$I$6))),CG46)/BV46,0)*BV46</f>
        <v>4</v>
      </c>
      <c r="AU46" s="51" t="n">
        <f aca="false">IF(AR46&gt;0,J46/AR46,-1)</f>
        <v>0</v>
      </c>
      <c r="AV46" s="51" t="n">
        <f aca="false">IF(AND(OR(CC46="L1",CC46="L23",CC46="LIFT"),AR46&gt;0),SUMIFS($AR$7:$AR$1843,$CC$7:$CC$1843,CC46,$AU$7:$AU$1843,"&gt;"&amp;AU46)+SUMIFS($AR$7:$AR$1843,$CC$7:$CC$1843,CC46,$AU$7:$AU$1843,AU46,$BT$7:$BT$1843,"&lt;="&amp;BT46),"")</f>
        <v>37140.3983801039</v>
      </c>
      <c r="AW46" s="58" t="n">
        <f aca="false">IF(AV46="",0,MAX(0,MIN(1,(IF(CC46="L1",Parameter!$H$5,IF(CC46="L23",Parameter!$H$6+Parameter!$H$7,Parameter!$H$5+Parameter!$H$6+Parameter!$H$7))-(AV46-AR46))/AR46)))</f>
        <v>0</v>
      </c>
      <c r="AX46" s="50" t="n">
        <f aca="false">IF(LEFT(Cockpit!$O$5,1)="A",H46,IF(CE46=1,CF46,IF(LEFT(Cockpit!$O$5,1)="B",BC46,MAX(BC46,H46))))</f>
        <v>4</v>
      </c>
      <c r="AY46" s="50" t="n">
        <f aca="false">IF(BW46=1,0,ROUNDUP(AX46/BV46,0))</f>
        <v>0</v>
      </c>
      <c r="AZ46" s="52" t="n">
        <f aca="false">IF(CL46&gt;0,CL46*MAX(1,AX46/X46),IF(BW46=1,IF(AX46&lt;=0,0,CA46*MAX(1,IF(H46&gt;0,AX46/H46,1))),IF(R46&gt;0,AY46/R46,0))/MAX(0.1,N(Parameter!$M$21)))</f>
        <v>0.64030131826742</v>
      </c>
      <c r="BA46" s="50" t="n">
        <f aca="false">AZ46*BY46</f>
        <v>152.391713747646</v>
      </c>
      <c r="BB46" s="50" t="n">
        <f aca="false">AX46*G46</f>
        <v>5707.12</v>
      </c>
      <c r="BC46" s="50" t="n">
        <f aca="false">ROUNDUP(MAX(J46/IF(CD46&gt;0,CD46,MAX(0.1,N(Cockpit!$O$6))),CG46)/BV46,0)*BV46</f>
        <v>4</v>
      </c>
      <c r="BD46" s="51" t="n">
        <f aca="false">IF(BA46&gt;0,J46/BA46,-1)</f>
        <v>0</v>
      </c>
      <c r="BE46" s="51" t="n">
        <f aca="false">IF(AND(OR(CC46="L1",CC46="L23",CC46="LIFT"),BA46&gt;0),SUMIFS($BA$7:$BA$1843,$CC$7:$CC$1843,CC46,$BD$7:$BD$1843,"&gt;"&amp;BD46)+SUMIFS($BA$7:$BA$1843,$CC$7:$CC$1843,CC46,$BD$7:$BD$1843,BD46,$BT$7:$BT$1843,"&lt;="&amp;BT46),"")</f>
        <v>33815.4104219698</v>
      </c>
      <c r="BF46" s="58" t="n">
        <f aca="false">IF(BE46="",0,MAX(0,MIN(1,(IF(CC46="L1",Parameter!$H$5,IF(CC46="L23",Parameter!$H$6+Parameter!$H$7,Parameter!$H$5+Parameter!$H$6+Parameter!$H$7))-(BE46-BA46))/BA46)))</f>
        <v>1</v>
      </c>
      <c r="BG46" s="48" t="str">
        <f aca="false">IF(AI46&lt;=0,"",IF(CC46="Aussen","Aussenlager",IF(CC46="-","Nicht im Lift",IF(AN46&gt;=1,"Lift",IF(AN46&lt;=0,"Aussenlager","teilweise")))))</f>
        <v>Lift</v>
      </c>
      <c r="BH46" s="48" t="str">
        <f aca="false">IF(AR46&lt;=0,"",IF(CC46="Aussen","Aussenlager",IF(CC46="-","Nicht im Lift",IF(AW46&gt;=1,"Lift",IF(AW46&lt;=0,"Aussenlager","teilweise")))))</f>
        <v>Aussenlager</v>
      </c>
      <c r="BI46" s="48" t="str">
        <f aca="false">IF(BA46&lt;=0,"",IF(CC46="Aussen","Aussenlager",IF(CC46="-","Nicht im Lift",IF(BF46&gt;=1,"Lift",IF(BF46&lt;=0,"Aussenlager","teilweise")))))</f>
        <v>Lift</v>
      </c>
      <c r="BJ46" s="48" t="str">
        <f aca="false">IF(A46="","",IF(BS46=1,"Neu; ","")&amp;IF(AND(BS46=0,BN46&lt;0),"negativer Bestand (Export "&amp;BN46&amp;"); ","")&amp;IF(J46&lt;=0,"Kein Verbrauch; ","")&amp;IF(CL46&gt;0,"Lift "&amp;W46&amp;" lt. Liftbericht (Fach "&amp;X46&amp;" Stk); ",IF(BX46=1,"Gebinde geschätzt ("&amp;T46&amp;"); ",IF(BW46=1,"Lose – Tablare geschätzt; ","")))&amp;IF(H46&gt;AT46,"Überbestand "&amp;ROUND(H46-AT46,0)&amp;" Stk / CHF "&amp;ROUND((H46-AT46)*G46,0)&amp;"; ","")&amp;IF(AND(CE46=1,CF46&lt;CG46),"MAX &lt; MB+LG; ","")&amp;IF(AND(CK46&gt;0,CJ46*10&gt;CK46),"zu hoch für Tablar; ","")&amp;IF(AND(BS46=0,OR(CE46=1,AA46&lt;&gt;"",U46&lt;&gt;"",V46&lt;&gt;"",AB46&lt;&gt;"")),"manuell übersteuert; ","")&amp;IF(AND(BW46=0,R46=0),"Gebinde unbekannt / Stellmass fehlt; ","")&amp;IF(AND(BW46=0,N(V46)&lt;=0,N(Q46)&lt;=0),"Menge pro Gebinde fehlt (Ist = 1 Gebinde); ","")&amp;BR46)</f>
        <v>Kein Verbrauch; Lift 1 lt. Liftbericht (Fach 8 Stk); </v>
      </c>
      <c r="BK46" s="48" t="s">
        <v>289</v>
      </c>
      <c r="BL46" s="48"/>
      <c r="BM46" s="55"/>
      <c r="BN46" s="50" t="n">
        <v>5</v>
      </c>
      <c r="BO46" s="50" t="n">
        <v>0</v>
      </c>
      <c r="BP46" s="49" t="n">
        <v>7133.9</v>
      </c>
      <c r="BQ46" s="50" t="n">
        <v>0</v>
      </c>
      <c r="BR46" s="48"/>
      <c r="BS46" s="53" t="n">
        <v>0</v>
      </c>
      <c r="BT46" s="53" t="n">
        <v>46</v>
      </c>
      <c r="BU46" s="48" t="str">
        <f aca="false">IF(U46&lt;&gt;"",UPPER(TRIM(U46)),IF(BX46=1,UPPER(VLOOKUP(T46,Parameter!$I$27:$K$29,2,0)),IF(P46="","LOSE",P46)))</f>
        <v>LOSE</v>
      </c>
      <c r="BV46" s="50" t="n">
        <f aca="false">IF(BU46="LOSE",1,IF(N(V46)&gt;0,V46,IF(BX46=1,MAX(1,N(VLOOKUP(T46,Parameter!$I$27:$K$29,3,0)),H46,N(N46)),IF(N(Q46)&gt;0,Q46,MAX(1,H46)))))</f>
        <v>1</v>
      </c>
      <c r="BW46" s="53" t="n">
        <f aca="false">IF(BU46="LOSE",1,0)</f>
        <v>1</v>
      </c>
      <c r="BX46" s="53" t="n">
        <f aca="false">IF(AND(U46="",OR(P46="",P46="LOSE"),T46&lt;&gt;"",N(S46)&lt;=0,ISNUMBER(MATCH(T46,Parameter!$I$27:$I$29,0))),1,0)</f>
        <v>0</v>
      </c>
      <c r="BY46" s="53" t="n">
        <f aca="false">IF(CL46&gt;0,INDEX(Parameter!$H$5:$H$7,W46)/INDEX(Parameter!$E$5:$E$7,W46),IF(AND(BW46=0,N(IFERROR(VLOOKUP(BU46,'Gebinde-Kategorie'!$A$5:$N$45,14,0),0))&gt;0),VLOOKUP(BU46,'Gebinde-Kategorie'!$A$5:$N$45,14,0)*10+Parameter!$M$23,Parameter!$M$24))</f>
        <v>238</v>
      </c>
      <c r="BZ46" s="48" t="str">
        <f aca="false">IF(AND(Parameter!$B$19="Ja",E46&lt;&gt;"",ISNUMBER(MATCH(E46,Parameter!$I$35:$I$52,0))),VLOOKUP(E46,Parameter!$I$35:$J$52,2,0),IFERROR(VLOOKUP(D46,Parameter!$A$35:$C$64,2,0),"Nein"))</f>
        <v>2+3</v>
      </c>
      <c r="CA46" s="52" t="n">
        <f aca="false">IF(BW46=0,0,IF(N(S46)&gt;0,S46,IFERROR(VLOOKUP(D46,Parameter!$A$35:$C$64,3,0)+0,0)))</f>
        <v>0.15</v>
      </c>
      <c r="CB46" s="48" t="n">
        <f aca="false">IF(AA46&lt;&gt;"",AA46,Z46)</f>
        <v>1</v>
      </c>
      <c r="CC46" s="48" t="str">
        <f aca="false">IF(OR(CB46=1,CB46=2,CB46=3),IF(Parameter!$E$27="Ja","LIFT",IF(CB46=1,"L1","L23")),IF(CB46="Aussen","Aussen","-"))</f>
        <v>LIFT</v>
      </c>
      <c r="CD46" s="59" t="n">
        <f aca="false">IF(N(AB46)&gt;0,AB46,0)</f>
        <v>0</v>
      </c>
      <c r="CE46" s="53" t="n">
        <f aca="false">IF(ISNUMBER(AE46),1,0)</f>
        <v>0</v>
      </c>
      <c r="CF46" s="50" t="n">
        <f aca="false">N(AE46)</f>
        <v>0</v>
      </c>
      <c r="CG46" s="50" t="n">
        <f aca="false">N(M46)+N(N46)</f>
        <v>4</v>
      </c>
      <c r="CH46" s="50" t="n">
        <f aca="false">ROUNDUP(H46/BV46,0)</f>
        <v>4</v>
      </c>
      <c r="CI46" s="50" t="n">
        <f aca="false">ROUNDUP(CF46/BV46,0)</f>
        <v>0</v>
      </c>
      <c r="CJ46" s="53" t="n">
        <f aca="false">IF(BW46=1,0,IFERROR(VLOOKUP(BU46,'Gebinde-Kategorie'!$A$5:$N$45,5,0)+0,0))</f>
        <v>0</v>
      </c>
      <c r="CK46" s="53" t="n">
        <f aca="false">IFERROR(IF(OR(CB46=1,CB46=2,CB46=3),N(INDEX(Parameter!$I$5:$I$7,CB46)),0),0)</f>
        <v>0</v>
      </c>
      <c r="CL46" s="52" t="n">
        <f aca="false">IF(AND(Parameter!$B$21="Ja",ISNUMBER(W46),N(X46)&gt;0),IFERROR(N(INDEX(Parameter!$L$5:$L$7,W46))*INDEX(Parameter!$E$5:$E$7,W46)*X46/SUMIFS($X$7:$X$1843,$W$7:$W$1843,W46),0),0)</f>
        <v>0.64030131826742</v>
      </c>
    </row>
    <row r="47" customFormat="false" ht="15" hidden="false" customHeight="false" outlineLevel="0" collapsed="false">
      <c r="A47" s="48" t="s">
        <v>290</v>
      </c>
      <c r="B47" s="48" t="s">
        <v>291</v>
      </c>
      <c r="C47" s="48" t="s">
        <v>168</v>
      </c>
      <c r="D47" s="48" t="s">
        <v>177</v>
      </c>
      <c r="E47" s="48"/>
      <c r="F47" s="48" t="s">
        <v>222</v>
      </c>
      <c r="G47" s="49" t="n">
        <v>2358</v>
      </c>
      <c r="H47" s="50" t="n">
        <f aca="false">MAX(0,IF(AND(Parameter!$B$21="Ja",ISNUMBER(Y47)),Y47,IF(Parameter!$B$20="Jahresanfang 2025 + Export",BO47+BN47,BN47)))</f>
        <v>3</v>
      </c>
      <c r="I47" s="50" t="n">
        <f aca="false">H47*G47</f>
        <v>7074</v>
      </c>
      <c r="J47" s="50" t="n">
        <f aca="false">BQ47*Parameter!$B$18</f>
        <v>0</v>
      </c>
      <c r="K47" s="51" t="n">
        <v>1</v>
      </c>
      <c r="L47" s="52" t="n">
        <v>0</v>
      </c>
      <c r="M47" s="50" t="n">
        <v>0</v>
      </c>
      <c r="N47" s="50" t="n">
        <v>1</v>
      </c>
      <c r="O47" s="53" t="n">
        <v>120</v>
      </c>
      <c r="P47" s="48" t="s">
        <v>172</v>
      </c>
      <c r="Q47" s="50"/>
      <c r="R47" s="53" t="n">
        <f aca="false">IF(BW47=1,0,IFERROR(VLOOKUP(BU47,'Gebinde-Kategorie'!$A$5:$N$45,13,0)+0,0))</f>
        <v>12</v>
      </c>
      <c r="S47" s="54"/>
      <c r="T47" s="55" t="s">
        <v>183</v>
      </c>
      <c r="U47" s="55"/>
      <c r="V47" s="55"/>
      <c r="W47" s="48"/>
      <c r="X47" s="50"/>
      <c r="Y47" s="50"/>
      <c r="Z47" s="48" t="n">
        <f aca="false">IF(A47="","",IF(AND(Parameter!$B$21="Ja",ISNUMBER(W47)),W47,IF(BZ47="2+3",IF(ISNUMBER(SEARCH("grosser Artikel",BR47)),2,IFERROR(VLOOKUP(BU47,Parameter!$F$35:$G$64,2,0),2)),IF(OR(BZ47="Nein",BZ47=""),"-",BZ47))))</f>
        <v>2</v>
      </c>
      <c r="AA47" s="55"/>
      <c r="AB47" s="56"/>
      <c r="AC47" s="50" t="n">
        <f aca="false">AT47</f>
        <v>4</v>
      </c>
      <c r="AD47" s="50" t="n">
        <f aca="false">MAX(AT47,H47)</f>
        <v>4</v>
      </c>
      <c r="AE47" s="57"/>
      <c r="AF47" s="50" t="n">
        <f aca="false">IF(LEFT(Cockpit!$C$5,1)="A",H47,IF(CE47=1,CF47,IF(LEFT(Cockpit!$C$5,1)="B",AK47,MAX(AK47,H47))))</f>
        <v>3</v>
      </c>
      <c r="AG47" s="50" t="n">
        <f aca="false">IF(BW47=1,0,ROUNDUP(AF47/BV47,0))</f>
        <v>1</v>
      </c>
      <c r="AH47" s="52" t="n">
        <f aca="false">IF(CL47&gt;0,CL47*MAX(1,AF47/X47),IF(BW47=1,IF(AF47&lt;=0,0,CA47*MAX(1,IF(H47&gt;0,AF47/H47,1))),IF(R47&gt;0,AG47/R47,0))/MAX(0.1,N(Parameter!$M$21)))</f>
        <v>0.0833333333333333</v>
      </c>
      <c r="AI47" s="50" t="n">
        <f aca="false">AH47*BY47</f>
        <v>12.0833333333333</v>
      </c>
      <c r="AJ47" s="50" t="n">
        <f aca="false">AF47*G47</f>
        <v>7074</v>
      </c>
      <c r="AK47" s="50" t="n">
        <f aca="false">ROUNDUP(MAX(J47/IF(CD47&gt;0,CD47,MAX(0.1,N(Cockpit!$C$6))),CG47)/BV47,0)*BV47</f>
        <v>4</v>
      </c>
      <c r="AL47" s="51" t="n">
        <f aca="false">IF(AI47&gt;0,J47/AI47,-1)</f>
        <v>0</v>
      </c>
      <c r="AM47" s="51" t="n">
        <f aca="false">IF(AND(OR(CC47="L1",CC47="L23",CC47="LIFT"),AI47&gt;0),SUMIFS($AI$7:$AI$1843,$CC$7:$CC$1843,CC47,$AL$7:$AL$1843,"&gt;"&amp;AL47)+SUMIFS($AI$7:$AI$1843,$CC$7:$CC$1843,CC47,$AL$7:$AL$1843,AL47,$BT$7:$BT$1843,"&lt;="&amp;BT47),"")</f>
        <v>25882.7918270524</v>
      </c>
      <c r="AN47" s="58" t="n">
        <f aca="false">IF(AM47="",0,MAX(0,MIN(1,(IF(CC47="L1",Parameter!$H$5,IF(CC47="L23",Parameter!$H$6+Parameter!$H$7,Parameter!$H$5+Parameter!$H$6+Parameter!$H$7))-(AM47-AI47))/AI47)))</f>
        <v>1</v>
      </c>
      <c r="AO47" s="50" t="n">
        <f aca="false">IF(LEFT(Cockpit!$I$5,1)="A",H47,IF(CE47=1,CF47,IF(LEFT(Cockpit!$I$5,1)="B",AT47,MAX(AT47,H47))))</f>
        <v>4</v>
      </c>
      <c r="AP47" s="50" t="n">
        <f aca="false">IF(BW47=1,0,ROUNDUP(AO47/BV47,0))</f>
        <v>1</v>
      </c>
      <c r="AQ47" s="52" t="n">
        <f aca="false">IF(CL47&gt;0,CL47*MAX(1,AO47/X47),IF(BW47=1,IF(AO47&lt;=0,0,CA47*MAX(1,IF(H47&gt;0,AO47/H47,1))),IF(R47&gt;0,AP47/R47,0))/MAX(0.1,N(Parameter!$M$21)))</f>
        <v>0.0833333333333333</v>
      </c>
      <c r="AR47" s="50" t="n">
        <f aca="false">AQ47*BY47</f>
        <v>12.0833333333333</v>
      </c>
      <c r="AS47" s="50" t="n">
        <f aca="false">AO47*G47</f>
        <v>9432</v>
      </c>
      <c r="AT47" s="50" t="n">
        <f aca="false">ROUNDUP(MAX(J47/IF(CD47&gt;0,CD47,MAX(0.1,N(Cockpit!$I$6))),CG47)/BV47,0)*BV47</f>
        <v>4</v>
      </c>
      <c r="AU47" s="51" t="n">
        <f aca="false">IF(AR47&gt;0,J47/AR47,-1)</f>
        <v>0</v>
      </c>
      <c r="AV47" s="51" t="n">
        <f aca="false">IF(AND(OR(CC47="L1",CC47="L23",CC47="LIFT"),AR47&gt;0),SUMIFS($AR$7:$AR$1843,$CC$7:$CC$1843,CC47,$AU$7:$AU$1843,"&gt;"&amp;AU47)+SUMIFS($AR$7:$AR$1843,$CC$7:$CC$1843,CC47,$AU$7:$AU$1843,AU47,$BT$7:$BT$1843,"&lt;="&amp;BT47),"")</f>
        <v>37152.4817134372</v>
      </c>
      <c r="AW47" s="58" t="n">
        <f aca="false">IF(AV47="",0,MAX(0,MIN(1,(IF(CC47="L1",Parameter!$H$5,IF(CC47="L23",Parameter!$H$6+Parameter!$H$7,Parameter!$H$5+Parameter!$H$6+Parameter!$H$7))-(AV47-AR47))/AR47)))</f>
        <v>0</v>
      </c>
      <c r="AX47" s="50" t="n">
        <f aca="false">IF(LEFT(Cockpit!$O$5,1)="A",H47,IF(CE47=1,CF47,IF(LEFT(Cockpit!$O$5,1)="B",BC47,MAX(BC47,H47))))</f>
        <v>4</v>
      </c>
      <c r="AY47" s="50" t="n">
        <f aca="false">IF(BW47=1,0,ROUNDUP(AX47/BV47,0))</f>
        <v>1</v>
      </c>
      <c r="AZ47" s="52" t="n">
        <f aca="false">IF(CL47&gt;0,CL47*MAX(1,AX47/X47),IF(BW47=1,IF(AX47&lt;=0,0,CA47*MAX(1,IF(H47&gt;0,AX47/H47,1))),IF(R47&gt;0,AY47/R47,0))/MAX(0.1,N(Parameter!$M$21)))</f>
        <v>0.0833333333333333</v>
      </c>
      <c r="BA47" s="50" t="n">
        <f aca="false">AZ47*BY47</f>
        <v>12.0833333333333</v>
      </c>
      <c r="BB47" s="50" t="n">
        <f aca="false">AX47*G47</f>
        <v>9432</v>
      </c>
      <c r="BC47" s="50" t="n">
        <f aca="false">ROUNDUP(MAX(J47/IF(CD47&gt;0,CD47,MAX(0.1,N(Cockpit!$O$6))),CG47)/BV47,0)*BV47</f>
        <v>4</v>
      </c>
      <c r="BD47" s="51" t="n">
        <f aca="false">IF(BA47&gt;0,J47/BA47,-1)</f>
        <v>0</v>
      </c>
      <c r="BE47" s="51" t="n">
        <f aca="false">IF(AND(OR(CC47="L1",CC47="L23",CC47="LIFT"),BA47&gt;0),SUMIFS($BA$7:$BA$1843,$CC$7:$CC$1843,CC47,$BD$7:$BD$1843,"&gt;"&amp;BD47)+SUMIFS($BA$7:$BA$1843,$CC$7:$CC$1843,CC47,$BD$7:$BD$1843,BD47,$BT$7:$BT$1843,"&lt;="&amp;BT47),"")</f>
        <v>33827.4937553031</v>
      </c>
      <c r="BF47" s="58" t="n">
        <f aca="false">IF(BE47="",0,MAX(0,MIN(1,(IF(CC47="L1",Parameter!$H$5,IF(CC47="L23",Parameter!$H$6+Parameter!$H$7,Parameter!$H$5+Parameter!$H$6+Parameter!$H$7))-(BE47-BA47))/BA47)))</f>
        <v>1</v>
      </c>
      <c r="BG47" s="48" t="str">
        <f aca="false">IF(AI47&lt;=0,"",IF(CC47="Aussen","Aussenlager",IF(CC47="-","Nicht im Lift",IF(AN47&gt;=1,"Lift",IF(AN47&lt;=0,"Aussenlager","teilweise")))))</f>
        <v>Lift</v>
      </c>
      <c r="BH47" s="48" t="str">
        <f aca="false">IF(AR47&lt;=0,"",IF(CC47="Aussen","Aussenlager",IF(CC47="-","Nicht im Lift",IF(AW47&gt;=1,"Lift",IF(AW47&lt;=0,"Aussenlager","teilweise")))))</f>
        <v>Aussenlager</v>
      </c>
      <c r="BI47" s="48" t="str">
        <f aca="false">IF(BA47&lt;=0,"",IF(CC47="Aussen","Aussenlager",IF(CC47="-","Nicht im Lift",IF(BF47&gt;=1,"Lift",IF(BF47&lt;=0,"Aussenlager","teilweise")))))</f>
        <v>Lift</v>
      </c>
      <c r="BJ47" s="48" t="str">
        <f aca="false">IF(A47="","",IF(BS47=1,"Neu; ","")&amp;IF(AND(BS47=0,BN47&lt;0),"negativer Bestand (Export "&amp;BN47&amp;"); ","")&amp;IF(J47&lt;=0,"Kein Verbrauch; ","")&amp;IF(CL47&gt;0,"Lift "&amp;W47&amp;" lt. Liftbericht (Fach "&amp;X47&amp;" Stk); ",IF(BX47=1,"Gebinde geschätzt ("&amp;T47&amp;"); ",IF(BW47=1,"Lose – Tablare geschätzt; ","")))&amp;IF(H47&gt;AT47,"Überbestand "&amp;ROUND(H47-AT47,0)&amp;" Stk / CHF "&amp;ROUND((H47-AT47)*G47,0)&amp;"; ","")&amp;IF(AND(CE47=1,CF47&lt;CG47),"MAX &lt; MB+LG; ","")&amp;IF(AND(CK47&gt;0,CJ47*10&gt;CK47),"zu hoch für Tablar; ","")&amp;IF(AND(BS47=0,OR(CE47=1,AA47&lt;&gt;"",U47&lt;&gt;"",V47&lt;&gt;"",AB47&lt;&gt;"")),"manuell übersteuert; ","")&amp;IF(AND(BW47=0,R47=0),"Gebinde unbekannt / Stellmass fehlt; ","")&amp;IF(AND(BW47=0,N(V47)&lt;=0,N(Q47)&lt;=0),"Menge pro Gebinde fehlt (Ist = 1 Gebinde); ","")&amp;BR47)</f>
        <v>Kein Verbrauch; Gebinde geschätzt (Mittel); Menge pro Gebinde fehlt (Ist = 1 Gebinde); </v>
      </c>
      <c r="BK47" s="48"/>
      <c r="BL47" s="48"/>
      <c r="BM47" s="55"/>
      <c r="BN47" s="50" t="n">
        <v>3</v>
      </c>
      <c r="BO47" s="50" t="n">
        <v>0</v>
      </c>
      <c r="BP47" s="49" t="n">
        <v>7074</v>
      </c>
      <c r="BQ47" s="50" t="n">
        <v>0</v>
      </c>
      <c r="BR47" s="48"/>
      <c r="BS47" s="53" t="n">
        <v>0</v>
      </c>
      <c r="BT47" s="53" t="n">
        <v>47</v>
      </c>
      <c r="BU47" s="48" t="str">
        <f aca="false">IF(U47&lt;&gt;"",UPPER(TRIM(U47)),IF(BX47=1,UPPER(VLOOKUP(T47,Parameter!$I$27:$K$29,2,0)),IF(P47="","LOSE",P47)))</f>
        <v>S61</v>
      </c>
      <c r="BV47" s="50" t="n">
        <f aca="false">IF(BU47="LOSE",1,IF(N(V47)&gt;0,V47,IF(BX47=1,MAX(1,N(VLOOKUP(T47,Parameter!$I$27:$K$29,3,0)),H47,N(N47)),IF(N(Q47)&gt;0,Q47,MAX(1,H47)))))</f>
        <v>4</v>
      </c>
      <c r="BW47" s="53" t="n">
        <f aca="false">IF(BU47="LOSE",1,0)</f>
        <v>0</v>
      </c>
      <c r="BX47" s="53" t="n">
        <f aca="false">IF(AND(U47="",OR(P47="",P47="LOSE"),T47&lt;&gt;"",N(S47)&lt;=0,ISNUMBER(MATCH(T47,Parameter!$I$27:$I$29,0))),1,0)</f>
        <v>1</v>
      </c>
      <c r="BY47" s="53" t="n">
        <f aca="false">IF(CL47&gt;0,INDEX(Parameter!$H$5:$H$7,W47)/INDEX(Parameter!$E$5:$E$7,W47),IF(AND(BW47=0,N(IFERROR(VLOOKUP(BU47,'Gebinde-Kategorie'!$A$5:$N$45,14,0),0))&gt;0),VLOOKUP(BU47,'Gebinde-Kategorie'!$A$5:$N$45,14,0)*10+Parameter!$M$23,Parameter!$M$24))</f>
        <v>145</v>
      </c>
      <c r="BZ47" s="48" t="str">
        <f aca="false">IF(AND(Parameter!$B$19="Ja",E47&lt;&gt;"",ISNUMBER(MATCH(E47,Parameter!$I$35:$I$52,0))),VLOOKUP(E47,Parameter!$I$35:$J$52,2,0),IFERROR(VLOOKUP(D47,Parameter!$A$35:$C$64,2,0),"Nein"))</f>
        <v>2+3</v>
      </c>
      <c r="CA47" s="52" t="n">
        <f aca="false">IF(BW47=0,0,IF(N(S47)&gt;0,S47,IFERROR(VLOOKUP(D47,Parameter!$A$35:$C$64,3,0)+0,0)))</f>
        <v>0</v>
      </c>
      <c r="CB47" s="48" t="n">
        <f aca="false">IF(AA47&lt;&gt;"",AA47,Z47)</f>
        <v>2</v>
      </c>
      <c r="CC47" s="48" t="str">
        <f aca="false">IF(OR(CB47=1,CB47=2,CB47=3),IF(Parameter!$E$27="Ja","LIFT",IF(CB47=1,"L1","L23")),IF(CB47="Aussen","Aussen","-"))</f>
        <v>LIFT</v>
      </c>
      <c r="CD47" s="59" t="n">
        <f aca="false">IF(N(AB47)&gt;0,AB47,0)</f>
        <v>0</v>
      </c>
      <c r="CE47" s="53" t="n">
        <f aca="false">IF(ISNUMBER(AE47),1,0)</f>
        <v>0</v>
      </c>
      <c r="CF47" s="50" t="n">
        <f aca="false">N(AE47)</f>
        <v>0</v>
      </c>
      <c r="CG47" s="50" t="n">
        <f aca="false">N(M47)+N(N47)</f>
        <v>1</v>
      </c>
      <c r="CH47" s="50" t="n">
        <f aca="false">ROUNDUP(H47/BV47,0)</f>
        <v>1</v>
      </c>
      <c r="CI47" s="50" t="n">
        <f aca="false">ROUNDUP(CF47/BV47,0)</f>
        <v>0</v>
      </c>
      <c r="CJ47" s="53" t="n">
        <f aca="false">IF(BW47=1,0,IFERROR(VLOOKUP(BU47,'Gebinde-Kategorie'!$A$5:$N$45,5,0)+0,0))</f>
        <v>11</v>
      </c>
      <c r="CK47" s="53" t="n">
        <f aca="false">IFERROR(IF(OR(CB47=1,CB47=2,CB47=3),N(INDEX(Parameter!$I$5:$I$7,CB47)),0),0)</f>
        <v>0</v>
      </c>
      <c r="CL47" s="52" t="n">
        <f aca="false">IF(AND(Parameter!$B$21="Ja",ISNUMBER(W47),N(X47)&gt;0),IFERROR(N(INDEX(Parameter!$L$5:$L$7,W47))*INDEX(Parameter!$E$5:$E$7,W47)*X47/SUMIFS($X$7:$X$1843,$W$7:$W$1843,W47),0),0)</f>
        <v>0</v>
      </c>
    </row>
    <row r="48" customFormat="false" ht="15" hidden="false" customHeight="false" outlineLevel="0" collapsed="false">
      <c r="A48" s="48" t="s">
        <v>292</v>
      </c>
      <c r="B48" s="48" t="s">
        <v>257</v>
      </c>
      <c r="C48" s="48" t="s">
        <v>168</v>
      </c>
      <c r="D48" s="48" t="s">
        <v>169</v>
      </c>
      <c r="E48" s="48"/>
      <c r="F48" s="48" t="s">
        <v>222</v>
      </c>
      <c r="G48" s="49" t="n">
        <v>1380.43</v>
      </c>
      <c r="H48" s="50" t="n">
        <f aca="false">MAX(0,IF(AND(Parameter!$B$21="Ja",ISNUMBER(Y48)),Y48,IF(Parameter!$B$20="Jahresanfang 2025 + Export",BO48+BN48,BN48)))</f>
        <v>3</v>
      </c>
      <c r="I48" s="50" t="n">
        <f aca="false">H48*G48</f>
        <v>4141.29</v>
      </c>
      <c r="J48" s="50" t="n">
        <f aca="false">BQ48*Parameter!$B$18</f>
        <v>0</v>
      </c>
      <c r="K48" s="51" t="n">
        <v>3</v>
      </c>
      <c r="L48" s="52" t="n">
        <v>0</v>
      </c>
      <c r="M48" s="50" t="n">
        <v>0</v>
      </c>
      <c r="N48" s="50" t="n">
        <v>2</v>
      </c>
      <c r="O48" s="53" t="n">
        <v>70</v>
      </c>
      <c r="P48" s="48" t="s">
        <v>172</v>
      </c>
      <c r="Q48" s="50"/>
      <c r="R48" s="53" t="n">
        <f aca="false">IF(BW48=1,0,IFERROR(VLOOKUP(BU48,'Gebinde-Kategorie'!$A$5:$N$45,13,0)+0,0))</f>
        <v>0</v>
      </c>
      <c r="S48" s="54"/>
      <c r="T48" s="55"/>
      <c r="U48" s="55"/>
      <c r="V48" s="55"/>
      <c r="W48" s="48" t="n">
        <v>1</v>
      </c>
      <c r="X48" s="50" t="n">
        <v>16</v>
      </c>
      <c r="Y48" s="50" t="n">
        <v>3</v>
      </c>
      <c r="Z48" s="48" t="n">
        <f aca="false">IF(A48="","",IF(AND(Parameter!$B$21="Ja",ISNUMBER(W48)),W48,IF(BZ48="2+3",IF(ISNUMBER(SEARCH("grosser Artikel",BR48)),2,IFERROR(VLOOKUP(BU48,Parameter!$F$35:$G$64,2,0),2)),IF(OR(BZ48="Nein",BZ48=""),"-",BZ48))))</f>
        <v>1</v>
      </c>
      <c r="AA48" s="55"/>
      <c r="AB48" s="56"/>
      <c r="AC48" s="50" t="n">
        <f aca="false">AT48</f>
        <v>2</v>
      </c>
      <c r="AD48" s="50" t="n">
        <f aca="false">MAX(AT48,H48)</f>
        <v>3</v>
      </c>
      <c r="AE48" s="57"/>
      <c r="AF48" s="50" t="n">
        <f aca="false">IF(LEFT(Cockpit!$C$5,1)="A",H48,IF(CE48=1,CF48,IF(LEFT(Cockpit!$C$5,1)="B",AK48,MAX(AK48,H48))))</f>
        <v>3</v>
      </c>
      <c r="AG48" s="50" t="n">
        <f aca="false">IF(BW48=1,0,ROUNDUP(AF48/BV48,0))</f>
        <v>0</v>
      </c>
      <c r="AH48" s="52" t="n">
        <f aca="false">IF(CL48&gt;0,CL48*MAX(1,AF48/X48),IF(BW48=1,IF(AF48&lt;=0,0,CA48*MAX(1,IF(H48&gt;0,AF48/H48,1))),IF(R48&gt;0,AG48/R48,0))/MAX(0.1,N(Parameter!$M$21)))</f>
        <v>1.28060263653484</v>
      </c>
      <c r="AI48" s="50" t="n">
        <f aca="false">AH48*BY48</f>
        <v>304.783427495292</v>
      </c>
      <c r="AJ48" s="50" t="n">
        <f aca="false">AF48*G48</f>
        <v>4141.29</v>
      </c>
      <c r="AK48" s="50" t="n">
        <f aca="false">ROUNDUP(MAX(J48/IF(CD48&gt;0,CD48,MAX(0.1,N(Cockpit!$C$6))),CG48)/BV48,0)*BV48</f>
        <v>2</v>
      </c>
      <c r="AL48" s="51" t="n">
        <f aca="false">IF(AI48&gt;0,J48/AI48,-1)</f>
        <v>0</v>
      </c>
      <c r="AM48" s="51" t="n">
        <f aca="false">IF(AND(OR(CC48="L1",CC48="L23",CC48="LIFT"),AI48&gt;0),SUMIFS($AI$7:$AI$1843,$CC$7:$CC$1843,CC48,$AL$7:$AL$1843,"&gt;"&amp;AL48)+SUMIFS($AI$7:$AI$1843,$CC$7:$CC$1843,CC48,$AL$7:$AL$1843,AL48,$BT$7:$BT$1843,"&lt;="&amp;BT48),"")</f>
        <v>26187.5752545477</v>
      </c>
      <c r="AN48" s="58" t="n">
        <f aca="false">IF(AM48="",0,MAX(0,MIN(1,(IF(CC48="L1",Parameter!$H$5,IF(CC48="L23",Parameter!$H$6+Parameter!$H$7,Parameter!$H$5+Parameter!$H$6+Parameter!$H$7))-(AM48-AI48))/AI48)))</f>
        <v>1</v>
      </c>
      <c r="AO48" s="50" t="n">
        <f aca="false">IF(LEFT(Cockpit!$I$5,1)="A",H48,IF(CE48=1,CF48,IF(LEFT(Cockpit!$I$5,1)="B",AT48,MAX(AT48,H48))))</f>
        <v>3</v>
      </c>
      <c r="AP48" s="50" t="n">
        <f aca="false">IF(BW48=1,0,ROUNDUP(AO48/BV48,0))</f>
        <v>0</v>
      </c>
      <c r="AQ48" s="52" t="n">
        <f aca="false">IF(CL48&gt;0,CL48*MAX(1,AO48/X48),IF(BW48=1,IF(AO48&lt;=0,0,CA48*MAX(1,IF(H48&gt;0,AO48/H48,1))),IF(R48&gt;0,AP48/R48,0))/MAX(0.1,N(Parameter!$M$21)))</f>
        <v>1.28060263653484</v>
      </c>
      <c r="AR48" s="50" t="n">
        <f aca="false">AQ48*BY48</f>
        <v>304.783427495292</v>
      </c>
      <c r="AS48" s="50" t="n">
        <f aca="false">AO48*G48</f>
        <v>4141.29</v>
      </c>
      <c r="AT48" s="50" t="n">
        <f aca="false">ROUNDUP(MAX(J48/IF(CD48&gt;0,CD48,MAX(0.1,N(Cockpit!$I$6))),CG48)/BV48,0)*BV48</f>
        <v>2</v>
      </c>
      <c r="AU48" s="51" t="n">
        <f aca="false">IF(AR48&gt;0,J48/AR48,-1)</f>
        <v>0</v>
      </c>
      <c r="AV48" s="51" t="n">
        <f aca="false">IF(AND(OR(CC48="L1",CC48="L23",CC48="LIFT"),AR48&gt;0),SUMIFS($AR$7:$AR$1843,$CC$7:$CC$1843,CC48,$AU$7:$AU$1843,"&gt;"&amp;AU48)+SUMIFS($AR$7:$AR$1843,$CC$7:$CC$1843,CC48,$AU$7:$AU$1843,AU48,$BT$7:$BT$1843,"&lt;="&amp;BT48),"")</f>
        <v>37457.2651409325</v>
      </c>
      <c r="AW48" s="58" t="n">
        <f aca="false">IF(AV48="",0,MAX(0,MIN(1,(IF(CC48="L1",Parameter!$H$5,IF(CC48="L23",Parameter!$H$6+Parameter!$H$7,Parameter!$H$5+Parameter!$H$6+Parameter!$H$7))-(AV48-AR48))/AR48)))</f>
        <v>0</v>
      </c>
      <c r="AX48" s="50" t="n">
        <f aca="false">IF(LEFT(Cockpit!$O$5,1)="A",H48,IF(CE48=1,CF48,IF(LEFT(Cockpit!$O$5,1)="B",BC48,MAX(BC48,H48))))</f>
        <v>3</v>
      </c>
      <c r="AY48" s="50" t="n">
        <f aca="false">IF(BW48=1,0,ROUNDUP(AX48/BV48,0))</f>
        <v>0</v>
      </c>
      <c r="AZ48" s="52" t="n">
        <f aca="false">IF(CL48&gt;0,CL48*MAX(1,AX48/X48),IF(BW48=1,IF(AX48&lt;=0,0,CA48*MAX(1,IF(H48&gt;0,AX48/H48,1))),IF(R48&gt;0,AY48/R48,0))/MAX(0.1,N(Parameter!$M$21)))</f>
        <v>1.28060263653484</v>
      </c>
      <c r="BA48" s="50" t="n">
        <f aca="false">AZ48*BY48</f>
        <v>304.783427495292</v>
      </c>
      <c r="BB48" s="50" t="n">
        <f aca="false">AX48*G48</f>
        <v>4141.29</v>
      </c>
      <c r="BC48" s="50" t="n">
        <f aca="false">ROUNDUP(MAX(J48/IF(CD48&gt;0,CD48,MAX(0.1,N(Cockpit!$O$6))),CG48)/BV48,0)*BV48</f>
        <v>2</v>
      </c>
      <c r="BD48" s="51" t="n">
        <f aca="false">IF(BA48&gt;0,J48/BA48,-1)</f>
        <v>0</v>
      </c>
      <c r="BE48" s="51" t="n">
        <f aca="false">IF(AND(OR(CC48="L1",CC48="L23",CC48="LIFT"),BA48&gt;0),SUMIFS($BA$7:$BA$1843,$CC$7:$CC$1843,CC48,$BD$7:$BD$1843,"&gt;"&amp;BD48)+SUMIFS($BA$7:$BA$1843,$CC$7:$CC$1843,CC48,$BD$7:$BD$1843,BD48,$BT$7:$BT$1843,"&lt;="&amp;BT48),"")</f>
        <v>34132.2771827984</v>
      </c>
      <c r="BF48" s="58" t="n">
        <f aca="false">IF(BE48="",0,MAX(0,MIN(1,(IF(CC48="L1",Parameter!$H$5,IF(CC48="L23",Parameter!$H$6+Parameter!$H$7,Parameter!$H$5+Parameter!$H$6+Parameter!$H$7))-(BE48-BA48))/BA48)))</f>
        <v>1</v>
      </c>
      <c r="BG48" s="48" t="str">
        <f aca="false">IF(AI48&lt;=0,"",IF(CC48="Aussen","Aussenlager",IF(CC48="-","Nicht im Lift",IF(AN48&gt;=1,"Lift",IF(AN48&lt;=0,"Aussenlager","teilweise")))))</f>
        <v>Lift</v>
      </c>
      <c r="BH48" s="48" t="str">
        <f aca="false">IF(AR48&lt;=0,"",IF(CC48="Aussen","Aussenlager",IF(CC48="-","Nicht im Lift",IF(AW48&gt;=1,"Lift",IF(AW48&lt;=0,"Aussenlager","teilweise")))))</f>
        <v>Aussenlager</v>
      </c>
      <c r="BI48" s="48" t="str">
        <f aca="false">IF(BA48&lt;=0,"",IF(CC48="Aussen","Aussenlager",IF(CC48="-","Nicht im Lift",IF(BF48&gt;=1,"Lift",IF(BF48&lt;=0,"Aussenlager","teilweise")))))</f>
        <v>Lift</v>
      </c>
      <c r="BJ48" s="48" t="str">
        <f aca="false">IF(A48="","",IF(BS48=1,"Neu; ","")&amp;IF(AND(BS48=0,BN48&lt;0),"negativer Bestand (Export "&amp;BN48&amp;"); ","")&amp;IF(J48&lt;=0,"Kein Verbrauch; ","")&amp;IF(CL48&gt;0,"Lift "&amp;W48&amp;" lt. Liftbericht (Fach "&amp;X48&amp;" Stk); ",IF(BX48=1,"Gebinde geschätzt ("&amp;T48&amp;"); ",IF(BW48=1,"Lose – Tablare geschätzt; ","")))&amp;IF(H48&gt;AT48,"Überbestand "&amp;ROUND(H48-AT48,0)&amp;" Stk / CHF "&amp;ROUND((H48-AT48)*G48,0)&amp;"; ","")&amp;IF(AND(CE48=1,CF48&lt;CG48),"MAX &lt; MB+LG; ","")&amp;IF(AND(CK48&gt;0,CJ48*10&gt;CK48),"zu hoch für Tablar; ","")&amp;IF(AND(BS48=0,OR(CE48=1,AA48&lt;&gt;"",U48&lt;&gt;"",V48&lt;&gt;"",AB48&lt;&gt;"")),"manuell übersteuert; ","")&amp;IF(AND(BW48=0,R48=0),"Gebinde unbekannt / Stellmass fehlt; ","")&amp;IF(AND(BW48=0,N(V48)&lt;=0,N(Q48)&lt;=0),"Menge pro Gebinde fehlt (Ist = 1 Gebinde); ","")&amp;BR48)</f>
        <v>Kein Verbrauch; Lift 1 lt. Liftbericht (Fach 16 Stk); Überbestand 1 Stk / CHF 1380; </v>
      </c>
      <c r="BK48" s="48"/>
      <c r="BL48" s="48"/>
      <c r="BM48" s="55"/>
      <c r="BN48" s="50" t="n">
        <v>5</v>
      </c>
      <c r="BO48" s="50" t="n">
        <v>0</v>
      </c>
      <c r="BP48" s="49" t="n">
        <v>6902.15</v>
      </c>
      <c r="BQ48" s="50" t="n">
        <v>0</v>
      </c>
      <c r="BR48" s="48"/>
      <c r="BS48" s="53" t="n">
        <v>0</v>
      </c>
      <c r="BT48" s="53" t="n">
        <v>48</v>
      </c>
      <c r="BU48" s="48" t="str">
        <f aca="false">IF(U48&lt;&gt;"",UPPER(TRIM(U48)),IF(BX48=1,UPPER(VLOOKUP(T48,Parameter!$I$27:$K$29,2,0)),IF(P48="","LOSE",P48)))</f>
        <v>LOSE</v>
      </c>
      <c r="BV48" s="50" t="n">
        <f aca="false">IF(BU48="LOSE",1,IF(N(V48)&gt;0,V48,IF(BX48=1,MAX(1,N(VLOOKUP(T48,Parameter!$I$27:$K$29,3,0)),H48,N(N48)),IF(N(Q48)&gt;0,Q48,MAX(1,H48)))))</f>
        <v>1</v>
      </c>
      <c r="BW48" s="53" t="n">
        <f aca="false">IF(BU48="LOSE",1,0)</f>
        <v>1</v>
      </c>
      <c r="BX48" s="53" t="n">
        <f aca="false">IF(AND(U48="",OR(P48="",P48="LOSE"),T48&lt;&gt;"",N(S48)&lt;=0,ISNUMBER(MATCH(T48,Parameter!$I$27:$I$29,0))),1,0)</f>
        <v>0</v>
      </c>
      <c r="BY48" s="53" t="n">
        <f aca="false">IF(CL48&gt;0,INDEX(Parameter!$H$5:$H$7,W48)/INDEX(Parameter!$E$5:$E$7,W48),IF(AND(BW48=0,N(IFERROR(VLOOKUP(BU48,'Gebinde-Kategorie'!$A$5:$N$45,14,0),0))&gt;0),VLOOKUP(BU48,'Gebinde-Kategorie'!$A$5:$N$45,14,0)*10+Parameter!$M$23,Parameter!$M$24))</f>
        <v>238</v>
      </c>
      <c r="BZ48" s="48" t="n">
        <f aca="false">IF(AND(Parameter!$B$19="Ja",E48&lt;&gt;"",ISNUMBER(MATCH(E48,Parameter!$I$35:$I$52,0))),VLOOKUP(E48,Parameter!$I$35:$J$52,2,0),IFERROR(VLOOKUP(D48,Parameter!$A$35:$C$64,2,0),"Nein"))</f>
        <v>1</v>
      </c>
      <c r="CA48" s="52" t="n">
        <f aca="false">IF(BW48=0,0,IF(N(S48)&gt;0,S48,IFERROR(VLOOKUP(D48,Parameter!$A$35:$C$64,3,0)+0,0)))</f>
        <v>1</v>
      </c>
      <c r="CB48" s="48" t="n">
        <f aca="false">IF(AA48&lt;&gt;"",AA48,Z48)</f>
        <v>1</v>
      </c>
      <c r="CC48" s="48" t="str">
        <f aca="false">IF(OR(CB48=1,CB48=2,CB48=3),IF(Parameter!$E$27="Ja","LIFT",IF(CB48=1,"L1","L23")),IF(CB48="Aussen","Aussen","-"))</f>
        <v>LIFT</v>
      </c>
      <c r="CD48" s="59" t="n">
        <f aca="false">IF(N(AB48)&gt;0,AB48,0)</f>
        <v>0</v>
      </c>
      <c r="CE48" s="53" t="n">
        <f aca="false">IF(ISNUMBER(AE48),1,0)</f>
        <v>0</v>
      </c>
      <c r="CF48" s="50" t="n">
        <f aca="false">N(AE48)</f>
        <v>0</v>
      </c>
      <c r="CG48" s="50" t="n">
        <f aca="false">N(M48)+N(N48)</f>
        <v>2</v>
      </c>
      <c r="CH48" s="50" t="n">
        <f aca="false">ROUNDUP(H48/BV48,0)</f>
        <v>3</v>
      </c>
      <c r="CI48" s="50" t="n">
        <f aca="false">ROUNDUP(CF48/BV48,0)</f>
        <v>0</v>
      </c>
      <c r="CJ48" s="53" t="n">
        <f aca="false">IF(BW48=1,0,IFERROR(VLOOKUP(BU48,'Gebinde-Kategorie'!$A$5:$N$45,5,0)+0,0))</f>
        <v>0</v>
      </c>
      <c r="CK48" s="53" t="n">
        <f aca="false">IFERROR(IF(OR(CB48=1,CB48=2,CB48=3),N(INDEX(Parameter!$I$5:$I$7,CB48)),0),0)</f>
        <v>0</v>
      </c>
      <c r="CL48" s="52" t="n">
        <f aca="false">IF(AND(Parameter!$B$21="Ja",ISNUMBER(W48),N(X48)&gt;0),IFERROR(N(INDEX(Parameter!$L$5:$L$7,W48))*INDEX(Parameter!$E$5:$E$7,W48)*X48/SUMIFS($X$7:$X$1843,$W$7:$W$1843,W48),0),0)</f>
        <v>1.28060263653484</v>
      </c>
    </row>
    <row r="49" customFormat="false" ht="15" hidden="false" customHeight="false" outlineLevel="0" collapsed="false">
      <c r="A49" s="48" t="s">
        <v>293</v>
      </c>
      <c r="B49" s="48" t="s">
        <v>294</v>
      </c>
      <c r="C49" s="48" t="s">
        <v>168</v>
      </c>
      <c r="D49" s="48" t="s">
        <v>177</v>
      </c>
      <c r="E49" s="48"/>
      <c r="F49" s="48" t="s">
        <v>222</v>
      </c>
      <c r="G49" s="49" t="n">
        <v>196.56</v>
      </c>
      <c r="H49" s="50" t="n">
        <f aca="false">MAX(0,IF(AND(Parameter!$B$21="Ja",ISNUMBER(Y49)),Y49,IF(Parameter!$B$20="Jahresanfang 2025 + Export",BO49+BN49,BN49)))</f>
        <v>66</v>
      </c>
      <c r="I49" s="50" t="n">
        <f aca="false">H49*G49</f>
        <v>12972.96</v>
      </c>
      <c r="J49" s="50" t="n">
        <f aca="false">BQ49*Parameter!$B$18</f>
        <v>0</v>
      </c>
      <c r="K49" s="51" t="n">
        <v>33</v>
      </c>
      <c r="L49" s="52" t="n">
        <v>0</v>
      </c>
      <c r="M49" s="50" t="n">
        <v>0</v>
      </c>
      <c r="N49" s="50" t="n">
        <v>1</v>
      </c>
      <c r="O49" s="53" t="n">
        <v>77</v>
      </c>
      <c r="P49" s="48" t="s">
        <v>227</v>
      </c>
      <c r="Q49" s="50" t="n">
        <v>34</v>
      </c>
      <c r="R49" s="53" t="n">
        <f aca="false">IF(BW49=1,0,IFERROR(VLOOKUP(BU49,'Gebinde-Kategorie'!$A$5:$N$45,13,0)+0,0))</f>
        <v>4</v>
      </c>
      <c r="S49" s="54"/>
      <c r="T49" s="55"/>
      <c r="U49" s="55"/>
      <c r="V49" s="55"/>
      <c r="W49" s="48"/>
      <c r="X49" s="50"/>
      <c r="Y49" s="50"/>
      <c r="Z49" s="48" t="n">
        <f aca="false">IF(A49="","",IF(AND(Parameter!$B$21="Ja",ISNUMBER(W49)),W49,IF(BZ49="2+3",IF(ISNUMBER(SEARCH("grosser Artikel",BR49)),2,IFERROR(VLOOKUP(BU49,Parameter!$F$35:$G$64,2,0),2)),IF(OR(BZ49="Nein",BZ49=""),"-",BZ49))))</f>
        <v>2</v>
      </c>
      <c r="AA49" s="55"/>
      <c r="AB49" s="56"/>
      <c r="AC49" s="50" t="n">
        <f aca="false">AT49</f>
        <v>34</v>
      </c>
      <c r="AD49" s="50" t="n">
        <f aca="false">MAX(AT49,H49)</f>
        <v>66</v>
      </c>
      <c r="AE49" s="57"/>
      <c r="AF49" s="50" t="n">
        <f aca="false">IF(LEFT(Cockpit!$C$5,1)="A",H49,IF(CE49=1,CF49,IF(LEFT(Cockpit!$C$5,1)="B",AK49,MAX(AK49,H49))))</f>
        <v>66</v>
      </c>
      <c r="AG49" s="50" t="n">
        <f aca="false">IF(BW49=1,0,ROUNDUP(AF49/BV49,0))</f>
        <v>2</v>
      </c>
      <c r="AH49" s="52" t="n">
        <f aca="false">IF(CL49&gt;0,CL49*MAX(1,AF49/X49),IF(BW49=1,IF(AF49&lt;=0,0,CA49*MAX(1,IF(H49&gt;0,AF49/H49,1))),IF(R49&gt;0,AG49/R49,0))/MAX(0.1,N(Parameter!$M$21)))</f>
        <v>0.5</v>
      </c>
      <c r="AI49" s="50" t="n">
        <f aca="false">AH49*BY49</f>
        <v>117.5</v>
      </c>
      <c r="AJ49" s="50" t="n">
        <f aca="false">AF49*G49</f>
        <v>12972.96</v>
      </c>
      <c r="AK49" s="50" t="n">
        <f aca="false">ROUNDUP(MAX(J49/IF(CD49&gt;0,CD49,MAX(0.1,N(Cockpit!$C$6))),CG49)/BV49,0)*BV49</f>
        <v>34</v>
      </c>
      <c r="AL49" s="51" t="n">
        <f aca="false">IF(AI49&gt;0,J49/AI49,-1)</f>
        <v>0</v>
      </c>
      <c r="AM49" s="51" t="n">
        <f aca="false">IF(AND(OR(CC49="L1",CC49="L23",CC49="LIFT"),AI49&gt;0),SUMIFS($AI$7:$AI$1843,$CC$7:$CC$1843,CC49,$AL$7:$AL$1843,"&gt;"&amp;AL49)+SUMIFS($AI$7:$AI$1843,$CC$7:$CC$1843,CC49,$AL$7:$AL$1843,AL49,$BT$7:$BT$1843,"&lt;="&amp;BT49),"")</f>
        <v>26305.0752545477</v>
      </c>
      <c r="AN49" s="58" t="n">
        <f aca="false">IF(AM49="",0,MAX(0,MIN(1,(IF(CC49="L1",Parameter!$H$5,IF(CC49="L23",Parameter!$H$6+Parameter!$H$7,Parameter!$H$5+Parameter!$H$6+Parameter!$H$7))-(AM49-AI49))/AI49)))</f>
        <v>1</v>
      </c>
      <c r="AO49" s="50" t="n">
        <f aca="false">IF(LEFT(Cockpit!$I$5,1)="A",H49,IF(CE49=1,CF49,IF(LEFT(Cockpit!$I$5,1)="B",AT49,MAX(AT49,H49))))</f>
        <v>66</v>
      </c>
      <c r="AP49" s="50" t="n">
        <f aca="false">IF(BW49=1,0,ROUNDUP(AO49/BV49,0))</f>
        <v>2</v>
      </c>
      <c r="AQ49" s="52" t="n">
        <f aca="false">IF(CL49&gt;0,CL49*MAX(1,AO49/X49),IF(BW49=1,IF(AO49&lt;=0,0,CA49*MAX(1,IF(H49&gt;0,AO49/H49,1))),IF(R49&gt;0,AP49/R49,0))/MAX(0.1,N(Parameter!$M$21)))</f>
        <v>0.5</v>
      </c>
      <c r="AR49" s="50" t="n">
        <f aca="false">AQ49*BY49</f>
        <v>117.5</v>
      </c>
      <c r="AS49" s="50" t="n">
        <f aca="false">AO49*G49</f>
        <v>12972.96</v>
      </c>
      <c r="AT49" s="50" t="n">
        <f aca="false">ROUNDUP(MAX(J49/IF(CD49&gt;0,CD49,MAX(0.1,N(Cockpit!$I$6))),CG49)/BV49,0)*BV49</f>
        <v>34</v>
      </c>
      <c r="AU49" s="51" t="n">
        <f aca="false">IF(AR49&gt;0,J49/AR49,-1)</f>
        <v>0</v>
      </c>
      <c r="AV49" s="51" t="n">
        <f aca="false">IF(AND(OR(CC49="L1",CC49="L23",CC49="LIFT"),AR49&gt;0),SUMIFS($AR$7:$AR$1843,$CC$7:$CC$1843,CC49,$AU$7:$AU$1843,"&gt;"&amp;AU49)+SUMIFS($AR$7:$AR$1843,$CC$7:$CC$1843,CC49,$AU$7:$AU$1843,AU49,$BT$7:$BT$1843,"&lt;="&amp;BT49),"")</f>
        <v>37574.7651409325</v>
      </c>
      <c r="AW49" s="58" t="n">
        <f aca="false">IF(AV49="",0,MAX(0,MIN(1,(IF(CC49="L1",Parameter!$H$5,IF(CC49="L23",Parameter!$H$6+Parameter!$H$7,Parameter!$H$5+Parameter!$H$6+Parameter!$H$7))-(AV49-AR49))/AR49)))</f>
        <v>0</v>
      </c>
      <c r="AX49" s="50" t="n">
        <f aca="false">IF(LEFT(Cockpit!$O$5,1)="A",H49,IF(CE49=1,CF49,IF(LEFT(Cockpit!$O$5,1)="B",BC49,MAX(BC49,H49))))</f>
        <v>66</v>
      </c>
      <c r="AY49" s="50" t="n">
        <f aca="false">IF(BW49=1,0,ROUNDUP(AX49/BV49,0))</f>
        <v>2</v>
      </c>
      <c r="AZ49" s="52" t="n">
        <f aca="false">IF(CL49&gt;0,CL49*MAX(1,AX49/X49),IF(BW49=1,IF(AX49&lt;=0,0,CA49*MAX(1,IF(H49&gt;0,AX49/H49,1))),IF(R49&gt;0,AY49/R49,0))/MAX(0.1,N(Parameter!$M$21)))</f>
        <v>0.5</v>
      </c>
      <c r="BA49" s="50" t="n">
        <f aca="false">AZ49*BY49</f>
        <v>117.5</v>
      </c>
      <c r="BB49" s="50" t="n">
        <f aca="false">AX49*G49</f>
        <v>12972.96</v>
      </c>
      <c r="BC49" s="50" t="n">
        <f aca="false">ROUNDUP(MAX(J49/IF(CD49&gt;0,CD49,MAX(0.1,N(Cockpit!$O$6))),CG49)/BV49,0)*BV49</f>
        <v>34</v>
      </c>
      <c r="BD49" s="51" t="n">
        <f aca="false">IF(BA49&gt;0,J49/BA49,-1)</f>
        <v>0</v>
      </c>
      <c r="BE49" s="51" t="n">
        <f aca="false">IF(AND(OR(CC49="L1",CC49="L23",CC49="LIFT"),BA49&gt;0),SUMIFS($BA$7:$BA$1843,$CC$7:$CC$1843,CC49,$BD$7:$BD$1843,"&gt;"&amp;BD49)+SUMIFS($BA$7:$BA$1843,$CC$7:$CC$1843,CC49,$BD$7:$BD$1843,BD49,$BT$7:$BT$1843,"&lt;="&amp;BT49),"")</f>
        <v>34249.7771827984</v>
      </c>
      <c r="BF49" s="58" t="n">
        <f aca="false">IF(BE49="",0,MAX(0,MIN(1,(IF(CC49="L1",Parameter!$H$5,IF(CC49="L23",Parameter!$H$6+Parameter!$H$7,Parameter!$H$5+Parameter!$H$6+Parameter!$H$7))-(BE49-BA49))/BA49)))</f>
        <v>1</v>
      </c>
      <c r="BG49" s="48" t="str">
        <f aca="false">IF(AI49&lt;=0,"",IF(CC49="Aussen","Aussenlager",IF(CC49="-","Nicht im Lift",IF(AN49&gt;=1,"Lift",IF(AN49&lt;=0,"Aussenlager","teilweise")))))</f>
        <v>Lift</v>
      </c>
      <c r="BH49" s="48" t="str">
        <f aca="false">IF(AR49&lt;=0,"",IF(CC49="Aussen","Aussenlager",IF(CC49="-","Nicht im Lift",IF(AW49&gt;=1,"Lift",IF(AW49&lt;=0,"Aussenlager","teilweise")))))</f>
        <v>Aussenlager</v>
      </c>
      <c r="BI49" s="48" t="str">
        <f aca="false">IF(BA49&lt;=0,"",IF(CC49="Aussen","Aussenlager",IF(CC49="-","Nicht im Lift",IF(BF49&gt;=1,"Lift",IF(BF49&lt;=0,"Aussenlager","teilweise")))))</f>
        <v>Lift</v>
      </c>
      <c r="BJ49" s="48" t="str">
        <f aca="false">IF(A49="","",IF(BS49=1,"Neu; ","")&amp;IF(AND(BS49=0,BN49&lt;0),"negativer Bestand (Export "&amp;BN49&amp;"); ","")&amp;IF(J49&lt;=0,"Kein Verbrauch; ","")&amp;IF(CL49&gt;0,"Lift "&amp;W49&amp;" lt. Liftbericht (Fach "&amp;X49&amp;" Stk); ",IF(BX49=1,"Gebinde geschätzt ("&amp;T49&amp;"); ",IF(BW49=1,"Lose – Tablare geschätzt; ","")))&amp;IF(H49&gt;AT49,"Überbestand "&amp;ROUND(H49-AT49,0)&amp;" Stk / CHF "&amp;ROUND((H49-AT49)*G49,0)&amp;"; ","")&amp;IF(AND(CE49=1,CF49&lt;CG49),"MAX &lt; MB+LG; ","")&amp;IF(AND(CK49&gt;0,CJ49*10&gt;CK49),"zu hoch für Tablar; ","")&amp;IF(AND(BS49=0,OR(CE49=1,AA49&lt;&gt;"",U49&lt;&gt;"",V49&lt;&gt;"",AB49&lt;&gt;"")),"manuell übersteuert; ","")&amp;IF(AND(BW49=0,R49=0),"Gebinde unbekannt / Stellmass fehlt; ","")&amp;IF(AND(BW49=0,N(V49)&lt;=0,N(Q49)&lt;=0),"Menge pro Gebinde fehlt (Ist = 1 Gebinde); ","")&amp;BR49)</f>
        <v>Kein Verbrauch; Überbestand 32 Stk / CHF 6290; </v>
      </c>
      <c r="BK49" s="48"/>
      <c r="BL49" s="48"/>
      <c r="BM49" s="55"/>
      <c r="BN49" s="50" t="n">
        <v>34</v>
      </c>
      <c r="BO49" s="50" t="n">
        <v>32</v>
      </c>
      <c r="BP49" s="49" t="n">
        <v>6683.04</v>
      </c>
      <c r="BQ49" s="50" t="n">
        <v>0</v>
      </c>
      <c r="BR49" s="48"/>
      <c r="BS49" s="53" t="n">
        <v>0</v>
      </c>
      <c r="BT49" s="53" t="n">
        <v>49</v>
      </c>
      <c r="BU49" s="48" t="str">
        <f aca="false">IF(U49&lt;&gt;"",UPPER(TRIM(U49)),IF(BX49=1,UPPER(VLOOKUP(T49,Parameter!$I$27:$K$29,2,0)),IF(P49="","LOSE",P49)))</f>
        <v>S81</v>
      </c>
      <c r="BV49" s="50" t="n">
        <f aca="false">IF(BU49="LOSE",1,IF(N(V49)&gt;0,V49,IF(BX49=1,MAX(1,N(VLOOKUP(T49,Parameter!$I$27:$K$29,3,0)),H49,N(N49)),IF(N(Q49)&gt;0,Q49,MAX(1,H49)))))</f>
        <v>34</v>
      </c>
      <c r="BW49" s="53" t="n">
        <f aca="false">IF(BU49="LOSE",1,0)</f>
        <v>0</v>
      </c>
      <c r="BX49" s="53" t="n">
        <f aca="false">IF(AND(U49="",OR(P49="",P49="LOSE"),T49&lt;&gt;"",N(S49)&lt;=0,ISNUMBER(MATCH(T49,Parameter!$I$27:$I$29,0))),1,0)</f>
        <v>0</v>
      </c>
      <c r="BY49" s="53" t="n">
        <f aca="false">IF(CL49&gt;0,INDEX(Parameter!$H$5:$H$7,W49)/INDEX(Parameter!$E$5:$E$7,W49),IF(AND(BW49=0,N(IFERROR(VLOOKUP(BU49,'Gebinde-Kategorie'!$A$5:$N$45,14,0),0))&gt;0),VLOOKUP(BU49,'Gebinde-Kategorie'!$A$5:$N$45,14,0)*10+Parameter!$M$23,Parameter!$M$24))</f>
        <v>235</v>
      </c>
      <c r="BZ49" s="48" t="str">
        <f aca="false">IF(AND(Parameter!$B$19="Ja",E49&lt;&gt;"",ISNUMBER(MATCH(E49,Parameter!$I$35:$I$52,0))),VLOOKUP(E49,Parameter!$I$35:$J$52,2,0),IFERROR(VLOOKUP(D49,Parameter!$A$35:$C$64,2,0),"Nein"))</f>
        <v>2+3</v>
      </c>
      <c r="CA49" s="52" t="n">
        <f aca="false">IF(BW49=0,0,IF(N(S49)&gt;0,S49,IFERROR(VLOOKUP(D49,Parameter!$A$35:$C$64,3,0)+0,0)))</f>
        <v>0</v>
      </c>
      <c r="CB49" s="48" t="n">
        <f aca="false">IF(AA49&lt;&gt;"",AA49,Z49)</f>
        <v>2</v>
      </c>
      <c r="CC49" s="48" t="str">
        <f aca="false">IF(OR(CB49=1,CB49=2,CB49=3),IF(Parameter!$E$27="Ja","LIFT",IF(CB49=1,"L1","L23")),IF(CB49="Aussen","Aussen","-"))</f>
        <v>LIFT</v>
      </c>
      <c r="CD49" s="59" t="n">
        <f aca="false">IF(N(AB49)&gt;0,AB49,0)</f>
        <v>0</v>
      </c>
      <c r="CE49" s="53" t="n">
        <f aca="false">IF(ISNUMBER(AE49),1,0)</f>
        <v>0</v>
      </c>
      <c r="CF49" s="50" t="n">
        <f aca="false">N(AE49)</f>
        <v>0</v>
      </c>
      <c r="CG49" s="50" t="n">
        <f aca="false">N(M49)+N(N49)</f>
        <v>1</v>
      </c>
      <c r="CH49" s="50" t="n">
        <f aca="false">ROUNDUP(H49/BV49,0)</f>
        <v>2</v>
      </c>
      <c r="CI49" s="50" t="n">
        <f aca="false">ROUNDUP(CF49/BV49,0)</f>
        <v>0</v>
      </c>
      <c r="CJ49" s="53" t="n">
        <f aca="false">IF(BW49=1,0,IFERROR(VLOOKUP(BU49,'Gebinde-Kategorie'!$A$5:$N$45,5,0)+0,0))</f>
        <v>20</v>
      </c>
      <c r="CK49" s="53" t="n">
        <f aca="false">IFERROR(IF(OR(CB49=1,CB49=2,CB49=3),N(INDEX(Parameter!$I$5:$I$7,CB49)),0),0)</f>
        <v>0</v>
      </c>
      <c r="CL49" s="52" t="n">
        <f aca="false">IF(AND(Parameter!$B$21="Ja",ISNUMBER(W49),N(X49)&gt;0),IFERROR(N(INDEX(Parameter!$L$5:$L$7,W49))*INDEX(Parameter!$E$5:$E$7,W49)*X49/SUMIFS($X$7:$X$1843,$W$7:$W$1843,W49),0),0)</f>
        <v>0</v>
      </c>
    </row>
    <row r="50" customFormat="false" ht="15" hidden="false" customHeight="false" outlineLevel="0" collapsed="false">
      <c r="A50" s="48" t="s">
        <v>295</v>
      </c>
      <c r="B50" s="48" t="s">
        <v>296</v>
      </c>
      <c r="C50" s="48" t="s">
        <v>168</v>
      </c>
      <c r="D50" s="48" t="s">
        <v>188</v>
      </c>
      <c r="E50" s="48" t="s">
        <v>189</v>
      </c>
      <c r="F50" s="48" t="s">
        <v>222</v>
      </c>
      <c r="G50" s="49" t="n">
        <v>177.93</v>
      </c>
      <c r="H50" s="50" t="n">
        <f aca="false">MAX(0,IF(AND(Parameter!$B$21="Ja",ISNUMBER(Y50)),Y50,IF(Parameter!$B$20="Jahresanfang 2025 + Export",BO50+BN50,BN50)))</f>
        <v>55</v>
      </c>
      <c r="I50" s="50" t="n">
        <f aca="false">H50*G50</f>
        <v>9786.15</v>
      </c>
      <c r="J50" s="50" t="n">
        <f aca="false">BQ50*Parameter!$B$18</f>
        <v>125</v>
      </c>
      <c r="K50" s="51" t="n">
        <v>31</v>
      </c>
      <c r="L50" s="52" t="n">
        <v>4.03225806451613</v>
      </c>
      <c r="M50" s="50" t="n">
        <v>20</v>
      </c>
      <c r="N50" s="50" t="n">
        <v>40</v>
      </c>
      <c r="O50" s="53" t="n">
        <v>30</v>
      </c>
      <c r="P50" s="48" t="s">
        <v>297</v>
      </c>
      <c r="Q50" s="50" t="n">
        <v>80</v>
      </c>
      <c r="R50" s="53" t="n">
        <f aca="false">IF(BW50=1,0,IFERROR(VLOOKUP(BU50,'Gebinde-Kategorie'!$A$5:$N$45,13,0)+0,0))</f>
        <v>12</v>
      </c>
      <c r="S50" s="54"/>
      <c r="T50" s="55"/>
      <c r="U50" s="55"/>
      <c r="V50" s="55"/>
      <c r="W50" s="48"/>
      <c r="X50" s="50"/>
      <c r="Y50" s="50"/>
      <c r="Z50" s="48" t="n">
        <f aca="false">IF(A50="","",IF(AND(Parameter!$B$21="Ja",ISNUMBER(W50)),W50,IF(BZ50="2+3",IF(ISNUMBER(SEARCH("grosser Artikel",BR50)),2,IFERROR(VLOOKUP(BU50,Parameter!$F$35:$G$64,2,0),2)),IF(OR(BZ50="Nein",BZ50=""),"-",BZ50))))</f>
        <v>2</v>
      </c>
      <c r="AA50" s="55"/>
      <c r="AB50" s="56"/>
      <c r="AC50" s="50" t="n">
        <f aca="false">AT50</f>
        <v>80</v>
      </c>
      <c r="AD50" s="50" t="n">
        <f aca="false">MAX(AT50,H50)</f>
        <v>80</v>
      </c>
      <c r="AE50" s="57"/>
      <c r="AF50" s="50" t="n">
        <f aca="false">IF(LEFT(Cockpit!$C$5,1)="A",H50,IF(CE50=1,CF50,IF(LEFT(Cockpit!$C$5,1)="B",AK50,MAX(AK50,H50))))</f>
        <v>55</v>
      </c>
      <c r="AG50" s="50" t="n">
        <f aca="false">IF(BW50=1,0,ROUNDUP(AF50/BV50,0))</f>
        <v>1</v>
      </c>
      <c r="AH50" s="52" t="n">
        <f aca="false">IF(CL50&gt;0,CL50*MAX(1,AF50/X50),IF(BW50=1,IF(AF50&lt;=0,0,CA50*MAX(1,IF(H50&gt;0,AF50/H50,1))),IF(R50&gt;0,AG50/R50,0))/MAX(0.1,N(Parameter!$M$21)))</f>
        <v>0.0833333333333333</v>
      </c>
      <c r="AI50" s="50" t="n">
        <f aca="false">AH50*BY50</f>
        <v>20.4166666666667</v>
      </c>
      <c r="AJ50" s="50" t="n">
        <f aca="false">AF50*G50</f>
        <v>9786.15</v>
      </c>
      <c r="AK50" s="50" t="n">
        <f aca="false">ROUNDUP(MAX(J50/IF(CD50&gt;0,CD50,MAX(0.1,N(Cockpit!$C$6))),CG50)/BV50,0)*BV50</f>
        <v>80</v>
      </c>
      <c r="AL50" s="51" t="n">
        <f aca="false">IF(AI50&gt;0,J50/AI50,-1)</f>
        <v>6.12244897959184</v>
      </c>
      <c r="AM50" s="51" t="n">
        <f aca="false">IF(AND(OR(CC50="L1",CC50="L23",CC50="LIFT"),AI50&gt;0),SUMIFS($AI$7:$AI$1843,$CC$7:$CC$1843,CC50,$AL$7:$AL$1843,"&gt;"&amp;AL50)+SUMIFS($AI$7:$AI$1843,$CC$7:$CC$1843,CC50,$AL$7:$AL$1843,AL50,$BT$7:$BT$1843,"&lt;="&amp;BT50),"")</f>
        <v>3510.50686813187</v>
      </c>
      <c r="AN50" s="58" t="n">
        <f aca="false">IF(AM50="",0,MAX(0,MIN(1,(IF(CC50="L1",Parameter!$H$5,IF(CC50="L23",Parameter!$H$6+Parameter!$H$7,Parameter!$H$5+Parameter!$H$6+Parameter!$H$7))-(AM50-AI50))/AI50)))</f>
        <v>1</v>
      </c>
      <c r="AO50" s="50" t="n">
        <f aca="false">IF(LEFT(Cockpit!$I$5,1)="A",H50,IF(CE50=1,CF50,IF(LEFT(Cockpit!$I$5,1)="B",AT50,MAX(AT50,H50))))</f>
        <v>80</v>
      </c>
      <c r="AP50" s="50" t="n">
        <f aca="false">IF(BW50=1,0,ROUNDUP(AO50/BV50,0))</f>
        <v>1</v>
      </c>
      <c r="AQ50" s="52" t="n">
        <f aca="false">IF(CL50&gt;0,CL50*MAX(1,AO50/X50),IF(BW50=1,IF(AO50&lt;=0,0,CA50*MAX(1,IF(H50&gt;0,AO50/H50,1))),IF(R50&gt;0,AP50/R50,0))/MAX(0.1,N(Parameter!$M$21)))</f>
        <v>0.0833333333333333</v>
      </c>
      <c r="AR50" s="50" t="n">
        <f aca="false">AQ50*BY50</f>
        <v>20.4166666666667</v>
      </c>
      <c r="AS50" s="50" t="n">
        <f aca="false">AO50*G50</f>
        <v>14234.4</v>
      </c>
      <c r="AT50" s="50" t="n">
        <f aca="false">ROUNDUP(MAX(J50/IF(CD50&gt;0,CD50,MAX(0.1,N(Cockpit!$I$6))),CG50)/BV50,0)*BV50</f>
        <v>80</v>
      </c>
      <c r="AU50" s="51" t="n">
        <f aca="false">IF(AR50&gt;0,J50/AR50,-1)</f>
        <v>6.12244897959184</v>
      </c>
      <c r="AV50" s="51" t="n">
        <f aca="false">IF(AND(OR(CC50="L1",CC50="L23",CC50="LIFT"),AR50&gt;0),SUMIFS($AR$7:$AR$1843,$CC$7:$CC$1843,CC50,$AU$7:$AU$1843,"&gt;"&amp;AU50)+SUMIFS($AR$7:$AR$1843,$CC$7:$CC$1843,CC50,$AU$7:$AU$1843,AU50,$BT$7:$BT$1843,"&lt;="&amp;BT50),"")</f>
        <v>4609.81822344322</v>
      </c>
      <c r="AW50" s="58" t="n">
        <f aca="false">IF(AV50="",0,MAX(0,MIN(1,(IF(CC50="L1",Parameter!$H$5,IF(CC50="L23",Parameter!$H$6+Parameter!$H$7,Parameter!$H$5+Parameter!$H$6+Parameter!$H$7))-(AV50-AR50))/AR50)))</f>
        <v>1</v>
      </c>
      <c r="AX50" s="50" t="n">
        <f aca="false">IF(LEFT(Cockpit!$O$5,1)="A",H50,IF(CE50=1,CF50,IF(LEFT(Cockpit!$O$5,1)="B",BC50,MAX(BC50,H50))))</f>
        <v>80</v>
      </c>
      <c r="AY50" s="50" t="n">
        <f aca="false">IF(BW50=1,0,ROUNDUP(AX50/BV50,0))</f>
        <v>1</v>
      </c>
      <c r="AZ50" s="52" t="n">
        <f aca="false">IF(CL50&gt;0,CL50*MAX(1,AX50/X50),IF(BW50=1,IF(AX50&lt;=0,0,CA50*MAX(1,IF(H50&gt;0,AX50/H50,1))),IF(R50&gt;0,AY50/R50,0))/MAX(0.1,N(Parameter!$M$21)))</f>
        <v>0.0833333333333333</v>
      </c>
      <c r="BA50" s="50" t="n">
        <f aca="false">AZ50*BY50</f>
        <v>20.4166666666667</v>
      </c>
      <c r="BB50" s="50" t="n">
        <f aca="false">AX50*G50</f>
        <v>14234.4</v>
      </c>
      <c r="BC50" s="50" t="n">
        <f aca="false">ROUNDUP(MAX(J50/IF(CD50&gt;0,CD50,MAX(0.1,N(Cockpit!$O$6))),CG50)/BV50,0)*BV50</f>
        <v>80</v>
      </c>
      <c r="BD50" s="51" t="n">
        <f aca="false">IF(BA50&gt;0,J50/BA50,-1)</f>
        <v>6.12244897959184</v>
      </c>
      <c r="BE50" s="51" t="n">
        <f aca="false">IF(AND(OR(CC50="L1",CC50="L23",CC50="LIFT"),BA50&gt;0),SUMIFS($BA$7:$BA$1843,$CC$7:$CC$1843,CC50,$BD$7:$BD$1843,"&gt;"&amp;BD50)+SUMIFS($BA$7:$BA$1843,$CC$7:$CC$1843,CC50,$BD$7:$BD$1843,BD50,$BT$7:$BT$1843,"&lt;="&amp;BT50),"")</f>
        <v>4401.1163003663</v>
      </c>
      <c r="BF50" s="58" t="n">
        <f aca="false">IF(BE50="",0,MAX(0,MIN(1,(IF(CC50="L1",Parameter!$H$5,IF(CC50="L23",Parameter!$H$6+Parameter!$H$7,Parameter!$H$5+Parameter!$H$6+Parameter!$H$7))-(BE50-BA50))/BA50)))</f>
        <v>1</v>
      </c>
      <c r="BG50" s="48" t="str">
        <f aca="false">IF(AI50&lt;=0,"",IF(CC50="Aussen","Aussenlager",IF(CC50="-","Nicht im Lift",IF(AN50&gt;=1,"Lift",IF(AN50&lt;=0,"Aussenlager","teilweise")))))</f>
        <v>Lift</v>
      </c>
      <c r="BH50" s="48" t="str">
        <f aca="false">IF(AR50&lt;=0,"",IF(CC50="Aussen","Aussenlager",IF(CC50="-","Nicht im Lift",IF(AW50&gt;=1,"Lift",IF(AW50&lt;=0,"Aussenlager","teilweise")))))</f>
        <v>Lift</v>
      </c>
      <c r="BI50" s="48" t="str">
        <f aca="false">IF(BA50&lt;=0,"",IF(CC50="Aussen","Aussenlager",IF(CC50="-","Nicht im Lift",IF(BF50&gt;=1,"Lift",IF(BF50&lt;=0,"Aussenlager","teilweise")))))</f>
        <v>Lift</v>
      </c>
      <c r="BJ50" s="48" t="str">
        <f aca="false">IF(A50="","",IF(BS50=1,"Neu; ","")&amp;IF(AND(BS50=0,BN50&lt;0),"negativer Bestand (Export "&amp;BN50&amp;"); ","")&amp;IF(J50&lt;=0,"Kein Verbrauch; ","")&amp;IF(CL50&gt;0,"Lift "&amp;W50&amp;" lt. Liftbericht (Fach "&amp;X50&amp;" Stk); ",IF(BX50=1,"Gebinde geschätzt ("&amp;T50&amp;"); ",IF(BW50=1,"Lose – Tablare geschätzt; ","")))&amp;IF(H50&gt;AT50,"Überbestand "&amp;ROUND(H50-AT50,0)&amp;" Stk / CHF "&amp;ROUND((H50-AT50)*G50,0)&amp;"; ","")&amp;IF(AND(CE50=1,CF50&lt;CG50),"MAX &lt; MB+LG; ","")&amp;IF(AND(CK50&gt;0,CJ50*10&gt;CK50),"zu hoch für Tablar; ","")&amp;IF(AND(BS50=0,OR(CE50=1,AA50&lt;&gt;"",U50&lt;&gt;"",V50&lt;&gt;"",AB50&lt;&gt;"")),"manuell übersteuert; ","")&amp;IF(AND(BW50=0,R50=0),"Gebinde unbekannt / Stellmass fehlt; ","")&amp;IF(AND(BW50=0,N(V50)&lt;=0,N(Q50)&lt;=0),"Menge pro Gebinde fehlt (Ist = 1 Gebinde); ","")&amp;BR50)</f>
        <v/>
      </c>
      <c r="BK50" s="48"/>
      <c r="BL50" s="48"/>
      <c r="BM50" s="55"/>
      <c r="BN50" s="50" t="n">
        <v>36</v>
      </c>
      <c r="BO50" s="50" t="n">
        <v>19</v>
      </c>
      <c r="BP50" s="49" t="n">
        <v>6622.65</v>
      </c>
      <c r="BQ50" s="50" t="n">
        <v>125</v>
      </c>
      <c r="BR50" s="48"/>
      <c r="BS50" s="53" t="n">
        <v>0</v>
      </c>
      <c r="BT50" s="53" t="n">
        <v>50</v>
      </c>
      <c r="BU50" s="48" t="str">
        <f aca="false">IF(U50&lt;&gt;"",UPPER(TRIM(U50)),IF(BX50=1,UPPER(VLOOKUP(T50,Parameter!$I$27:$K$29,2,0)),IF(P50="","LOSE",P50)))</f>
        <v>S62</v>
      </c>
      <c r="BV50" s="50" t="n">
        <f aca="false">IF(BU50="LOSE",1,IF(N(V50)&gt;0,V50,IF(BX50=1,MAX(1,N(VLOOKUP(T50,Parameter!$I$27:$K$29,3,0)),H50,N(N50)),IF(N(Q50)&gt;0,Q50,MAX(1,H50)))))</f>
        <v>80</v>
      </c>
      <c r="BW50" s="53" t="n">
        <f aca="false">IF(BU50="LOSE",1,0)</f>
        <v>0</v>
      </c>
      <c r="BX50" s="53" t="n">
        <f aca="false">IF(AND(U50="",OR(P50="",P50="LOSE"),T50&lt;&gt;"",N(S50)&lt;=0,ISNUMBER(MATCH(T50,Parameter!$I$27:$I$29,0))),1,0)</f>
        <v>0</v>
      </c>
      <c r="BY50" s="53" t="n">
        <f aca="false">IF(CL50&gt;0,INDEX(Parameter!$H$5:$H$7,W50)/INDEX(Parameter!$E$5:$E$7,W50),IF(AND(BW50=0,N(IFERROR(VLOOKUP(BU50,'Gebinde-Kategorie'!$A$5:$N$45,14,0),0))&gt;0),VLOOKUP(BU50,'Gebinde-Kategorie'!$A$5:$N$45,14,0)*10+Parameter!$M$23,Parameter!$M$24))</f>
        <v>245</v>
      </c>
      <c r="BZ50" s="48" t="str">
        <f aca="false">IF(AND(Parameter!$B$19="Ja",E50&lt;&gt;"",ISNUMBER(MATCH(E50,Parameter!$I$35:$I$52,0))),VLOOKUP(E50,Parameter!$I$35:$J$52,2,0),IFERROR(VLOOKUP(D50,Parameter!$A$35:$C$64,2,0),"Nein"))</f>
        <v>2+3</v>
      </c>
      <c r="CA50" s="52" t="n">
        <f aca="false">IF(BW50=0,0,IF(N(S50)&gt;0,S50,IFERROR(VLOOKUP(D50,Parameter!$A$35:$C$64,3,0)+0,0)))</f>
        <v>0</v>
      </c>
      <c r="CB50" s="48" t="n">
        <f aca="false">IF(AA50&lt;&gt;"",AA50,Z50)</f>
        <v>2</v>
      </c>
      <c r="CC50" s="48" t="str">
        <f aca="false">IF(OR(CB50=1,CB50=2,CB50=3),IF(Parameter!$E$27="Ja","LIFT",IF(CB50=1,"L1","L23")),IF(CB50="Aussen","Aussen","-"))</f>
        <v>LIFT</v>
      </c>
      <c r="CD50" s="59" t="n">
        <f aca="false">IF(N(AB50)&gt;0,AB50,0)</f>
        <v>0</v>
      </c>
      <c r="CE50" s="53" t="n">
        <f aca="false">IF(ISNUMBER(AE50),1,0)</f>
        <v>0</v>
      </c>
      <c r="CF50" s="50" t="n">
        <f aca="false">N(AE50)</f>
        <v>0</v>
      </c>
      <c r="CG50" s="50" t="n">
        <f aca="false">N(M50)+N(N50)</f>
        <v>60</v>
      </c>
      <c r="CH50" s="50" t="n">
        <f aca="false">ROUNDUP(H50/BV50,0)</f>
        <v>1</v>
      </c>
      <c r="CI50" s="50" t="n">
        <f aca="false">ROUNDUP(CF50/BV50,0)</f>
        <v>0</v>
      </c>
      <c r="CJ50" s="53" t="n">
        <f aca="false">IF(BW50=1,0,IFERROR(VLOOKUP(BU50,'Gebinde-Kategorie'!$A$5:$N$45,5,0)+0,0))</f>
        <v>21</v>
      </c>
      <c r="CK50" s="53" t="n">
        <f aca="false">IFERROR(IF(OR(CB50=1,CB50=2,CB50=3),N(INDEX(Parameter!$I$5:$I$7,CB50)),0),0)</f>
        <v>0</v>
      </c>
      <c r="CL50" s="52" t="n">
        <f aca="false">IF(AND(Parameter!$B$21="Ja",ISNUMBER(W50),N(X50)&gt;0),IFERROR(N(INDEX(Parameter!$L$5:$L$7,W50))*INDEX(Parameter!$E$5:$E$7,W50)*X50/SUMIFS($X$7:$X$1843,$W$7:$W$1843,W50),0),0)</f>
        <v>0</v>
      </c>
    </row>
    <row r="51" customFormat="false" ht="15" hidden="false" customHeight="false" outlineLevel="0" collapsed="false">
      <c r="A51" s="48" t="s">
        <v>298</v>
      </c>
      <c r="B51" s="48" t="s">
        <v>299</v>
      </c>
      <c r="C51" s="48" t="s">
        <v>168</v>
      </c>
      <c r="D51" s="48" t="s">
        <v>188</v>
      </c>
      <c r="E51" s="48" t="s">
        <v>189</v>
      </c>
      <c r="F51" s="48" t="s">
        <v>222</v>
      </c>
      <c r="G51" s="49" t="n">
        <v>16.16</v>
      </c>
      <c r="H51" s="50" t="n">
        <f aca="false">MAX(0,IF(AND(Parameter!$B$21="Ja",ISNUMBER(Y51)),Y51,IF(Parameter!$B$20="Jahresanfang 2025 + Export",BO51+BN51,BN51)))</f>
        <v>444</v>
      </c>
      <c r="I51" s="50" t="n">
        <f aca="false">H51*G51</f>
        <v>7175.04</v>
      </c>
      <c r="J51" s="50" t="n">
        <f aca="false">BQ51*Parameter!$B$18</f>
        <v>714</v>
      </c>
      <c r="K51" s="51" t="n">
        <v>155.5</v>
      </c>
      <c r="L51" s="52" t="n">
        <v>4.59163987138264</v>
      </c>
      <c r="M51" s="50" t="n">
        <v>110</v>
      </c>
      <c r="N51" s="50" t="n">
        <v>330</v>
      </c>
      <c r="O51" s="53" t="n">
        <v>56</v>
      </c>
      <c r="P51" s="48" t="s">
        <v>237</v>
      </c>
      <c r="Q51" s="50" t="n">
        <v>174</v>
      </c>
      <c r="R51" s="53" t="n">
        <f aca="false">IF(BW51=1,0,IFERROR(VLOOKUP(BU51,'Gebinde-Kategorie'!$A$5:$N$45,13,0)+0,0))</f>
        <v>26</v>
      </c>
      <c r="S51" s="54"/>
      <c r="T51" s="55"/>
      <c r="U51" s="55"/>
      <c r="V51" s="55"/>
      <c r="W51" s="48"/>
      <c r="X51" s="50"/>
      <c r="Y51" s="50"/>
      <c r="Z51" s="48" t="n">
        <f aca="false">IF(A51="","",IF(AND(Parameter!$B$21="Ja",ISNUMBER(W51)),W51,IF(BZ51="2+3",IF(ISNUMBER(SEARCH("grosser Artikel",BR51)),2,IFERROR(VLOOKUP(BU51,Parameter!$F$35:$G$64,2,0),2)),IF(OR(BZ51="Nein",BZ51=""),"-",BZ51))))</f>
        <v>3</v>
      </c>
      <c r="AA51" s="55"/>
      <c r="AB51" s="56"/>
      <c r="AC51" s="50" t="n">
        <f aca="false">AT51</f>
        <v>522</v>
      </c>
      <c r="AD51" s="50" t="n">
        <f aca="false">MAX(AT51,H51)</f>
        <v>522</v>
      </c>
      <c r="AE51" s="57"/>
      <c r="AF51" s="50" t="n">
        <f aca="false">IF(LEFT(Cockpit!$C$5,1)="A",H51,IF(CE51=1,CF51,IF(LEFT(Cockpit!$C$5,1)="B",AK51,MAX(AK51,H51))))</f>
        <v>444</v>
      </c>
      <c r="AG51" s="50" t="n">
        <f aca="false">IF(BW51=1,0,ROUNDUP(AF51/BV51,0))</f>
        <v>3</v>
      </c>
      <c r="AH51" s="52" t="n">
        <f aca="false">IF(CL51&gt;0,CL51*MAX(1,AF51/X51),IF(BW51=1,IF(AF51&lt;=0,0,CA51*MAX(1,IF(H51&gt;0,AF51/H51,1))),IF(R51&gt;0,AG51/R51,0))/MAX(0.1,N(Parameter!$M$21)))</f>
        <v>0.115384615384615</v>
      </c>
      <c r="AI51" s="50" t="n">
        <f aca="false">AH51*BY51</f>
        <v>28.2692307692308</v>
      </c>
      <c r="AJ51" s="50" t="n">
        <f aca="false">AF51*G51</f>
        <v>7175.04</v>
      </c>
      <c r="AK51" s="50" t="n">
        <f aca="false">ROUNDUP(MAX(J51/IF(CD51&gt;0,CD51,MAX(0.1,N(Cockpit!$C$6))),CG51)/BV51,0)*BV51</f>
        <v>522</v>
      </c>
      <c r="AL51" s="51" t="n">
        <f aca="false">IF(AI51&gt;0,J51/AI51,-1)</f>
        <v>25.2571428571429</v>
      </c>
      <c r="AM51" s="51" t="n">
        <f aca="false">IF(AND(OR(CC51="L1",CC51="L23",CC51="LIFT"),AI51&gt;0),SUMIFS($AI$7:$AI$1843,$CC$7:$CC$1843,CC51,$AL$7:$AL$1843,"&gt;"&amp;AL51)+SUMIFS($AI$7:$AI$1843,$CC$7:$CC$1843,CC51,$AL$7:$AL$1843,AL51,$BT$7:$BT$1843,"&lt;="&amp;BT51),"")</f>
        <v>1539.30586080586</v>
      </c>
      <c r="AN51" s="58" t="n">
        <f aca="false">IF(AM51="",0,MAX(0,MIN(1,(IF(CC51="L1",Parameter!$H$5,IF(CC51="L23",Parameter!$H$6+Parameter!$H$7,Parameter!$H$5+Parameter!$H$6+Parameter!$H$7))-(AM51-AI51))/AI51)))</f>
        <v>1</v>
      </c>
      <c r="AO51" s="50" t="n">
        <f aca="false">IF(LEFT(Cockpit!$I$5,1)="A",H51,IF(CE51=1,CF51,IF(LEFT(Cockpit!$I$5,1)="B",AT51,MAX(AT51,H51))))</f>
        <v>522</v>
      </c>
      <c r="AP51" s="50" t="n">
        <f aca="false">IF(BW51=1,0,ROUNDUP(AO51/BV51,0))</f>
        <v>3</v>
      </c>
      <c r="AQ51" s="52" t="n">
        <f aca="false">IF(CL51&gt;0,CL51*MAX(1,AO51/X51),IF(BW51=1,IF(AO51&lt;=0,0,CA51*MAX(1,IF(H51&gt;0,AO51/H51,1))),IF(R51&gt;0,AP51/R51,0))/MAX(0.1,N(Parameter!$M$21)))</f>
        <v>0.115384615384615</v>
      </c>
      <c r="AR51" s="50" t="n">
        <f aca="false">AQ51*BY51</f>
        <v>28.2692307692308</v>
      </c>
      <c r="AS51" s="50" t="n">
        <f aca="false">AO51*G51</f>
        <v>8435.52</v>
      </c>
      <c r="AT51" s="50" t="n">
        <f aca="false">ROUNDUP(MAX(J51/IF(CD51&gt;0,CD51,MAX(0.1,N(Cockpit!$I$6))),CG51)/BV51,0)*BV51</f>
        <v>522</v>
      </c>
      <c r="AU51" s="51" t="n">
        <f aca="false">IF(AR51&gt;0,J51/AR51,-1)</f>
        <v>25.2571428571429</v>
      </c>
      <c r="AV51" s="51" t="n">
        <f aca="false">IF(AND(OR(CC51="L1",CC51="L23",CC51="LIFT"),AR51&gt;0),SUMIFS($AR$7:$AR$1843,$CC$7:$CC$1843,CC51,$AU$7:$AU$1843,"&gt;"&amp;AU51)+SUMIFS($AR$7:$AR$1843,$CC$7:$CC$1843,CC51,$AU$7:$AU$1843,AU51,$BT$7:$BT$1843,"&lt;="&amp;BT51),"")</f>
        <v>2154.80173992674</v>
      </c>
      <c r="AW51" s="58" t="n">
        <f aca="false">IF(AV51="",0,MAX(0,MIN(1,(IF(CC51="L1",Parameter!$H$5,IF(CC51="L23",Parameter!$H$6+Parameter!$H$7,Parameter!$H$5+Parameter!$H$6+Parameter!$H$7))-(AV51-AR51))/AR51)))</f>
        <v>1</v>
      </c>
      <c r="AX51" s="50" t="n">
        <f aca="false">IF(LEFT(Cockpit!$O$5,1)="A",H51,IF(CE51=1,CF51,IF(LEFT(Cockpit!$O$5,1)="B",BC51,MAX(BC51,H51))))</f>
        <v>522</v>
      </c>
      <c r="AY51" s="50" t="n">
        <f aca="false">IF(BW51=1,0,ROUNDUP(AX51/BV51,0))</f>
        <v>3</v>
      </c>
      <c r="AZ51" s="52" t="n">
        <f aca="false">IF(CL51&gt;0,CL51*MAX(1,AX51/X51),IF(BW51=1,IF(AX51&lt;=0,0,CA51*MAX(1,IF(H51&gt;0,AX51/H51,1))),IF(R51&gt;0,AY51/R51,0))/MAX(0.1,N(Parameter!$M$21)))</f>
        <v>0.115384615384615</v>
      </c>
      <c r="BA51" s="50" t="n">
        <f aca="false">AZ51*BY51</f>
        <v>28.2692307692308</v>
      </c>
      <c r="BB51" s="50" t="n">
        <f aca="false">AX51*G51</f>
        <v>8435.52</v>
      </c>
      <c r="BC51" s="50" t="n">
        <f aca="false">ROUNDUP(MAX(J51/IF(CD51&gt;0,CD51,MAX(0.1,N(Cockpit!$O$6))),CG51)/BV51,0)*BV51</f>
        <v>522</v>
      </c>
      <c r="BD51" s="51" t="n">
        <f aca="false">IF(BA51&gt;0,J51/BA51,-1)</f>
        <v>25.2571428571429</v>
      </c>
      <c r="BE51" s="51" t="n">
        <f aca="false">IF(AND(OR(CC51="L1",CC51="L23",CC51="LIFT"),BA51&gt;0),SUMIFS($BA$7:$BA$1843,$CC$7:$CC$1843,CC51,$BD$7:$BD$1843,"&gt;"&amp;BD51)+SUMIFS($BA$7:$BA$1843,$CC$7:$CC$1843,CC51,$BD$7:$BD$1843,BD51,$BT$7:$BT$1843,"&lt;="&amp;BT51),"")</f>
        <v>2240.39468864469</v>
      </c>
      <c r="BF51" s="58" t="n">
        <f aca="false">IF(BE51="",0,MAX(0,MIN(1,(IF(CC51="L1",Parameter!$H$5,IF(CC51="L23",Parameter!$H$6+Parameter!$H$7,Parameter!$H$5+Parameter!$H$6+Parameter!$H$7))-(BE51-BA51))/BA51)))</f>
        <v>1</v>
      </c>
      <c r="BG51" s="48" t="str">
        <f aca="false">IF(AI51&lt;=0,"",IF(CC51="Aussen","Aussenlager",IF(CC51="-","Nicht im Lift",IF(AN51&gt;=1,"Lift",IF(AN51&lt;=0,"Aussenlager","teilweise")))))</f>
        <v>Lift</v>
      </c>
      <c r="BH51" s="48" t="str">
        <f aca="false">IF(AR51&lt;=0,"",IF(CC51="Aussen","Aussenlager",IF(CC51="-","Nicht im Lift",IF(AW51&gt;=1,"Lift",IF(AW51&lt;=0,"Aussenlager","teilweise")))))</f>
        <v>Lift</v>
      </c>
      <c r="BI51" s="48" t="str">
        <f aca="false">IF(BA51&lt;=0,"",IF(CC51="Aussen","Aussenlager",IF(CC51="-","Nicht im Lift",IF(BF51&gt;=1,"Lift",IF(BF51&lt;=0,"Aussenlager","teilweise")))))</f>
        <v>Lift</v>
      </c>
      <c r="BJ51" s="48" t="str">
        <f aca="false">IF(A51="","",IF(BS51=1,"Neu; ","")&amp;IF(AND(BS51=0,BN51&lt;0),"negativer Bestand (Export "&amp;BN51&amp;"); ","")&amp;IF(J51&lt;=0,"Kein Verbrauch; ","")&amp;IF(CL51&gt;0,"Lift "&amp;W51&amp;" lt. Liftbericht (Fach "&amp;X51&amp;" Stk); ",IF(BX51=1,"Gebinde geschätzt ("&amp;T51&amp;"); ",IF(BW51=1,"Lose – Tablare geschätzt; ","")))&amp;IF(H51&gt;AT51,"Überbestand "&amp;ROUND(H51-AT51,0)&amp;" Stk / CHF "&amp;ROUND((H51-AT51)*G51,0)&amp;"; ","")&amp;IF(AND(CE51=1,CF51&lt;CG51),"MAX &lt; MB+LG; ","")&amp;IF(AND(CK51&gt;0,CJ51*10&gt;CK51),"zu hoch für Tablar; ","")&amp;IF(AND(BS51=0,OR(CE51=1,AA51&lt;&gt;"",U51&lt;&gt;"",V51&lt;&gt;"",AB51&lt;&gt;"")),"manuell übersteuert; ","")&amp;IF(AND(BW51=0,R51=0),"Gebinde unbekannt / Stellmass fehlt; ","")&amp;IF(AND(BW51=0,N(V51)&lt;=0,N(Q51)&lt;=0),"Menge pro Gebinde fehlt (Ist = 1 Gebinde); ","")&amp;BR51)</f>
        <v/>
      </c>
      <c r="BK51" s="48"/>
      <c r="BL51" s="48"/>
      <c r="BM51" s="55"/>
      <c r="BN51" s="50" t="n">
        <v>399</v>
      </c>
      <c r="BO51" s="50" t="n">
        <v>45</v>
      </c>
      <c r="BP51" s="49" t="n">
        <v>6570.69</v>
      </c>
      <c r="BQ51" s="50" t="n">
        <v>714</v>
      </c>
      <c r="BR51" s="48"/>
      <c r="BS51" s="53" t="n">
        <v>0</v>
      </c>
      <c r="BT51" s="53" t="n">
        <v>51</v>
      </c>
      <c r="BU51" s="48" t="str">
        <f aca="false">IF(U51&lt;&gt;"",UPPER(TRIM(U51)),IF(BX51=1,UPPER(VLOOKUP(T51,Parameter!$I$27:$K$29,2,0)),IF(P51="","LOSE",P51)))</f>
        <v>S52</v>
      </c>
      <c r="BV51" s="50" t="n">
        <f aca="false">IF(BU51="LOSE",1,IF(N(V51)&gt;0,V51,IF(BX51=1,MAX(1,N(VLOOKUP(T51,Parameter!$I$27:$K$29,3,0)),H51,N(N51)),IF(N(Q51)&gt;0,Q51,MAX(1,H51)))))</f>
        <v>174</v>
      </c>
      <c r="BW51" s="53" t="n">
        <f aca="false">IF(BU51="LOSE",1,0)</f>
        <v>0</v>
      </c>
      <c r="BX51" s="53" t="n">
        <f aca="false">IF(AND(U51="",OR(P51="",P51="LOSE"),T51&lt;&gt;"",N(S51)&lt;=0,ISNUMBER(MATCH(T51,Parameter!$I$27:$I$29,0))),1,0)</f>
        <v>0</v>
      </c>
      <c r="BY51" s="53" t="n">
        <f aca="false">IF(CL51&gt;0,INDEX(Parameter!$H$5:$H$7,W51)/INDEX(Parameter!$E$5:$E$7,W51),IF(AND(BW51=0,N(IFERROR(VLOOKUP(BU51,'Gebinde-Kategorie'!$A$5:$N$45,14,0),0))&gt;0),VLOOKUP(BU51,'Gebinde-Kategorie'!$A$5:$N$45,14,0)*10+Parameter!$M$23,Parameter!$M$24))</f>
        <v>245</v>
      </c>
      <c r="BZ51" s="48" t="str">
        <f aca="false">IF(AND(Parameter!$B$19="Ja",E51&lt;&gt;"",ISNUMBER(MATCH(E51,Parameter!$I$35:$I$52,0))),VLOOKUP(E51,Parameter!$I$35:$J$52,2,0),IFERROR(VLOOKUP(D51,Parameter!$A$35:$C$64,2,0),"Nein"))</f>
        <v>2+3</v>
      </c>
      <c r="CA51" s="52" t="n">
        <f aca="false">IF(BW51=0,0,IF(N(S51)&gt;0,S51,IFERROR(VLOOKUP(D51,Parameter!$A$35:$C$64,3,0)+0,0)))</f>
        <v>0</v>
      </c>
      <c r="CB51" s="48" t="n">
        <f aca="false">IF(AA51&lt;&gt;"",AA51,Z51)</f>
        <v>3</v>
      </c>
      <c r="CC51" s="48" t="str">
        <f aca="false">IF(OR(CB51=1,CB51=2,CB51=3),IF(Parameter!$E$27="Ja","LIFT",IF(CB51=1,"L1","L23")),IF(CB51="Aussen","Aussen","-"))</f>
        <v>LIFT</v>
      </c>
      <c r="CD51" s="59" t="n">
        <f aca="false">IF(N(AB51)&gt;0,AB51,0)</f>
        <v>0</v>
      </c>
      <c r="CE51" s="53" t="n">
        <f aca="false">IF(ISNUMBER(AE51),1,0)</f>
        <v>0</v>
      </c>
      <c r="CF51" s="50" t="n">
        <f aca="false">N(AE51)</f>
        <v>0</v>
      </c>
      <c r="CG51" s="50" t="n">
        <f aca="false">N(M51)+N(N51)</f>
        <v>440</v>
      </c>
      <c r="CH51" s="50" t="n">
        <f aca="false">ROUNDUP(H51/BV51,0)</f>
        <v>3</v>
      </c>
      <c r="CI51" s="50" t="n">
        <f aca="false">ROUNDUP(CF51/BV51,0)</f>
        <v>0</v>
      </c>
      <c r="CJ51" s="53" t="n">
        <f aca="false">IF(BW51=1,0,IFERROR(VLOOKUP(BU51,'Gebinde-Kategorie'!$A$5:$N$45,5,0)+0,0))</f>
        <v>21</v>
      </c>
      <c r="CK51" s="53" t="n">
        <f aca="false">IFERROR(IF(OR(CB51=1,CB51=2,CB51=3),N(INDEX(Parameter!$I$5:$I$7,CB51)),0),0)</f>
        <v>0</v>
      </c>
      <c r="CL51" s="52" t="n">
        <f aca="false">IF(AND(Parameter!$B$21="Ja",ISNUMBER(W51),N(X51)&gt;0),IFERROR(N(INDEX(Parameter!$L$5:$L$7,W51))*INDEX(Parameter!$E$5:$E$7,W51)*X51/SUMIFS($X$7:$X$1843,$W$7:$W$1843,W51),0),0)</f>
        <v>0</v>
      </c>
    </row>
    <row r="52" customFormat="false" ht="15" hidden="false" customHeight="false" outlineLevel="0" collapsed="false">
      <c r="A52" s="48" t="s">
        <v>300</v>
      </c>
      <c r="B52" s="48" t="s">
        <v>301</v>
      </c>
      <c r="C52" s="48" t="s">
        <v>168</v>
      </c>
      <c r="D52" s="48" t="s">
        <v>169</v>
      </c>
      <c r="E52" s="48" t="s">
        <v>170</v>
      </c>
      <c r="F52" s="48" t="s">
        <v>222</v>
      </c>
      <c r="G52" s="49" t="n">
        <v>197.24</v>
      </c>
      <c r="H52" s="50" t="n">
        <f aca="false">MAX(0,IF(AND(Parameter!$B$21="Ja",ISNUMBER(Y52)),Y52,IF(Parameter!$B$20="Jahresanfang 2025 + Export",BO52+BN52,BN52)))</f>
        <v>34</v>
      </c>
      <c r="I52" s="50" t="n">
        <f aca="false">H52*G52</f>
        <v>6706.16</v>
      </c>
      <c r="J52" s="50" t="n">
        <f aca="false">BQ52*Parameter!$B$18</f>
        <v>48</v>
      </c>
      <c r="K52" s="51" t="n">
        <v>10.5</v>
      </c>
      <c r="L52" s="52" t="n">
        <v>4.57142857142857</v>
      </c>
      <c r="M52" s="50" t="n">
        <v>10</v>
      </c>
      <c r="N52" s="50" t="n">
        <v>12</v>
      </c>
      <c r="O52" s="53" t="n">
        <v>70</v>
      </c>
      <c r="P52" s="48" t="s">
        <v>172</v>
      </c>
      <c r="Q52" s="50"/>
      <c r="R52" s="53" t="n">
        <f aca="false">IF(BW52=1,0,IFERROR(VLOOKUP(BU52,'Gebinde-Kategorie'!$A$5:$N$45,13,0)+0,0))</f>
        <v>0</v>
      </c>
      <c r="S52" s="54"/>
      <c r="T52" s="55"/>
      <c r="U52" s="55"/>
      <c r="V52" s="55"/>
      <c r="W52" s="48" t="n">
        <v>1</v>
      </c>
      <c r="X52" s="50" t="n">
        <v>36</v>
      </c>
      <c r="Y52" s="50" t="n">
        <v>34</v>
      </c>
      <c r="Z52" s="48" t="n">
        <f aca="false">IF(A52="","",IF(AND(Parameter!$B$21="Ja",ISNUMBER(W52)),W52,IF(BZ52="2+3",IF(ISNUMBER(SEARCH("grosser Artikel",BR52)),2,IFERROR(VLOOKUP(BU52,Parameter!$F$35:$G$64,2,0),2)),IF(OR(BZ52="Nein",BZ52=""),"-",BZ52))))</f>
        <v>1</v>
      </c>
      <c r="AA52" s="55"/>
      <c r="AB52" s="56"/>
      <c r="AC52" s="50" t="n">
        <f aca="false">AT52</f>
        <v>24</v>
      </c>
      <c r="AD52" s="50" t="n">
        <f aca="false">MAX(AT52,H52)</f>
        <v>34</v>
      </c>
      <c r="AE52" s="57"/>
      <c r="AF52" s="50" t="n">
        <f aca="false">IF(LEFT(Cockpit!$C$5,1)="A",H52,IF(CE52=1,CF52,IF(LEFT(Cockpit!$C$5,1)="B",AK52,MAX(AK52,H52))))</f>
        <v>34</v>
      </c>
      <c r="AG52" s="50" t="n">
        <f aca="false">IF(BW52=1,0,ROUNDUP(AF52/BV52,0))</f>
        <v>0</v>
      </c>
      <c r="AH52" s="52" t="n">
        <f aca="false">IF(CL52&gt;0,CL52*MAX(1,AF52/X52),IF(BW52=1,IF(AF52&lt;=0,0,CA52*MAX(1,IF(H52&gt;0,AF52/H52,1))),IF(R52&gt;0,AG52/R52,0))/MAX(0.1,N(Parameter!$M$21)))</f>
        <v>2.88135593220339</v>
      </c>
      <c r="AI52" s="50" t="n">
        <f aca="false">AH52*BY52</f>
        <v>685.762711864407</v>
      </c>
      <c r="AJ52" s="50" t="n">
        <f aca="false">AF52*G52</f>
        <v>6706.16</v>
      </c>
      <c r="AK52" s="50" t="n">
        <f aca="false">ROUNDUP(MAX(J52/IF(CD52&gt;0,CD52,MAX(0.1,N(Cockpit!$C$6))),CG52)/BV52,0)*BV52</f>
        <v>24</v>
      </c>
      <c r="AL52" s="51" t="n">
        <f aca="false">IF(AI52&gt;0,J52/AI52,-1)</f>
        <v>0.0699950568462679</v>
      </c>
      <c r="AM52" s="51" t="n">
        <f aca="false">IF(AND(OR(CC52="L1",CC52="L23",CC52="LIFT"),AI52&gt;0),SUMIFS($AI$7:$AI$1843,$CC$7:$CC$1843,CC52,$AL$7:$AL$1843,"&gt;"&amp;AL52)+SUMIFS($AI$7:$AI$1843,$CC$7:$CC$1843,CC52,$AL$7:$AL$1843,AL52,$BT$7:$BT$1843,"&lt;="&amp;BT52),"")</f>
        <v>18160.5306569607</v>
      </c>
      <c r="AN52" s="58" t="n">
        <f aca="false">IF(AM52="",0,MAX(0,MIN(1,(IF(CC52="L1",Parameter!$H$5,IF(CC52="L23",Parameter!$H$6+Parameter!$H$7,Parameter!$H$5+Parameter!$H$6+Parameter!$H$7))-(AM52-AI52))/AI52)))</f>
        <v>1</v>
      </c>
      <c r="AO52" s="50" t="n">
        <f aca="false">IF(LEFT(Cockpit!$I$5,1)="A",H52,IF(CE52=1,CF52,IF(LEFT(Cockpit!$I$5,1)="B",AT52,MAX(AT52,H52))))</f>
        <v>34</v>
      </c>
      <c r="AP52" s="50" t="n">
        <f aca="false">IF(BW52=1,0,ROUNDUP(AO52/BV52,0))</f>
        <v>0</v>
      </c>
      <c r="AQ52" s="52" t="n">
        <f aca="false">IF(CL52&gt;0,CL52*MAX(1,AO52/X52),IF(BW52=1,IF(AO52&lt;=0,0,CA52*MAX(1,IF(H52&gt;0,AO52/H52,1))),IF(R52&gt;0,AP52/R52,0))/MAX(0.1,N(Parameter!$M$21)))</f>
        <v>2.88135593220339</v>
      </c>
      <c r="AR52" s="50" t="n">
        <f aca="false">AQ52*BY52</f>
        <v>685.762711864407</v>
      </c>
      <c r="AS52" s="50" t="n">
        <f aca="false">AO52*G52</f>
        <v>6706.16</v>
      </c>
      <c r="AT52" s="50" t="n">
        <f aca="false">ROUNDUP(MAX(J52/IF(CD52&gt;0,CD52,MAX(0.1,N(Cockpit!$I$6))),CG52)/BV52,0)*BV52</f>
        <v>24</v>
      </c>
      <c r="AU52" s="51" t="n">
        <f aca="false">IF(AR52&gt;0,J52/AR52,-1)</f>
        <v>0.0699950568462679</v>
      </c>
      <c r="AV52" s="51" t="n">
        <f aca="false">IF(AND(OR(CC52="L1",CC52="L23",CC52="LIFT"),AR52&gt;0),SUMIFS($AR$7:$AR$1843,$CC$7:$CC$1843,CC52,$AU$7:$AU$1843,"&gt;"&amp;AU52)+SUMIFS($AR$7:$AR$1843,$CC$7:$CC$1843,CC52,$AU$7:$AU$1843,AU52,$BT$7:$BT$1843,"&lt;="&amp;BT52),"")</f>
        <v>26668.7610329877</v>
      </c>
      <c r="AW52" s="58" t="n">
        <f aca="false">IF(AV52="",0,MAX(0,MIN(1,(IF(CC52="L1",Parameter!$H$5,IF(CC52="L23",Parameter!$H$6+Parameter!$H$7,Parameter!$H$5+Parameter!$H$6+Parameter!$H$7))-(AV52-AR52))/AR52)))</f>
        <v>1</v>
      </c>
      <c r="AX52" s="50" t="n">
        <f aca="false">IF(LEFT(Cockpit!$O$5,1)="A",H52,IF(CE52=1,CF52,IF(LEFT(Cockpit!$O$5,1)="B",BC52,MAX(BC52,H52))))</f>
        <v>34</v>
      </c>
      <c r="AY52" s="50" t="n">
        <f aca="false">IF(BW52=1,0,ROUNDUP(AX52/BV52,0))</f>
        <v>0</v>
      </c>
      <c r="AZ52" s="52" t="n">
        <f aca="false">IF(CL52&gt;0,CL52*MAX(1,AX52/X52),IF(BW52=1,IF(AX52&lt;=0,0,CA52*MAX(1,IF(H52&gt;0,AX52/H52,1))),IF(R52&gt;0,AY52/R52,0))/MAX(0.1,N(Parameter!$M$21)))</f>
        <v>2.88135593220339</v>
      </c>
      <c r="BA52" s="50" t="n">
        <f aca="false">AZ52*BY52</f>
        <v>685.762711864407</v>
      </c>
      <c r="BB52" s="50" t="n">
        <f aca="false">AX52*G52</f>
        <v>6706.16</v>
      </c>
      <c r="BC52" s="50" t="n">
        <f aca="false">ROUNDUP(MAX(J52/IF(CD52&gt;0,CD52,MAX(0.1,N(Cockpit!$O$6))),CG52)/BV52,0)*BV52</f>
        <v>22</v>
      </c>
      <c r="BD52" s="51" t="n">
        <f aca="false">IF(BA52&gt;0,J52/BA52,-1)</f>
        <v>0.0699950568462679</v>
      </c>
      <c r="BE52" s="51" t="n">
        <f aca="false">IF(AND(OR(CC52="L1",CC52="L23",CC52="LIFT"),BA52&gt;0),SUMIFS($BA$7:$BA$1843,$CC$7:$CC$1843,CC52,$BD$7:$BD$1843,"&gt;"&amp;BD52)+SUMIFS($BA$7:$BA$1843,$CC$7:$CC$1843,CC52,$BD$7:$BD$1843,BD52,$BT$7:$BT$1843,"&lt;="&amp;BT52),"")</f>
        <v>24871.2730748536</v>
      </c>
      <c r="BF52" s="58" t="n">
        <f aca="false">IF(BE52="",0,MAX(0,MIN(1,(IF(CC52="L1",Parameter!$H$5,IF(CC52="L23",Parameter!$H$6+Parameter!$H$7,Parameter!$H$5+Parameter!$H$6+Parameter!$H$7))-(BE52-BA52))/BA52)))</f>
        <v>1</v>
      </c>
      <c r="BG52" s="48" t="str">
        <f aca="false">IF(AI52&lt;=0,"",IF(CC52="Aussen","Aussenlager",IF(CC52="-","Nicht im Lift",IF(AN52&gt;=1,"Lift",IF(AN52&lt;=0,"Aussenlager","teilweise")))))</f>
        <v>Lift</v>
      </c>
      <c r="BH52" s="48" t="str">
        <f aca="false">IF(AR52&lt;=0,"",IF(CC52="Aussen","Aussenlager",IF(CC52="-","Nicht im Lift",IF(AW52&gt;=1,"Lift",IF(AW52&lt;=0,"Aussenlager","teilweise")))))</f>
        <v>Lift</v>
      </c>
      <c r="BI52" s="48" t="str">
        <f aca="false">IF(BA52&lt;=0,"",IF(CC52="Aussen","Aussenlager",IF(CC52="-","Nicht im Lift",IF(BF52&gt;=1,"Lift",IF(BF52&lt;=0,"Aussenlager","teilweise")))))</f>
        <v>Lift</v>
      </c>
      <c r="BJ52" s="48" t="str">
        <f aca="false">IF(A52="","",IF(BS52=1,"Neu; ","")&amp;IF(AND(BS52=0,BN52&lt;0),"negativer Bestand (Export "&amp;BN52&amp;"); ","")&amp;IF(J52&lt;=0,"Kein Verbrauch; ","")&amp;IF(CL52&gt;0,"Lift "&amp;W52&amp;" lt. Liftbericht (Fach "&amp;X52&amp;" Stk); ",IF(BX52=1,"Gebinde geschätzt ("&amp;T52&amp;"); ",IF(BW52=1,"Lose – Tablare geschätzt; ","")))&amp;IF(H52&gt;AT52,"Überbestand "&amp;ROUND(H52-AT52,0)&amp;" Stk / CHF "&amp;ROUND((H52-AT52)*G52,0)&amp;"; ","")&amp;IF(AND(CE52=1,CF52&lt;CG52),"MAX &lt; MB+LG; ","")&amp;IF(AND(CK52&gt;0,CJ52*10&gt;CK52),"zu hoch für Tablar; ","")&amp;IF(AND(BS52=0,OR(CE52=1,AA52&lt;&gt;"",U52&lt;&gt;"",V52&lt;&gt;"",AB52&lt;&gt;"")),"manuell übersteuert; ","")&amp;IF(AND(BW52=0,R52=0),"Gebinde unbekannt / Stellmass fehlt; ","")&amp;IF(AND(BW52=0,N(V52)&lt;=0,N(Q52)&lt;=0),"Menge pro Gebinde fehlt (Ist = 1 Gebinde); ","")&amp;BR52)</f>
        <v>Lift 1 lt. Liftbericht (Fach 36 Stk); Überbestand 10 Stk / CHF 1972; </v>
      </c>
      <c r="BK52" s="48" t="s">
        <v>302</v>
      </c>
      <c r="BL52" s="48" t="s">
        <v>303</v>
      </c>
      <c r="BM52" s="55"/>
      <c r="BN52" s="50" t="n">
        <v>29</v>
      </c>
      <c r="BO52" s="50" t="n">
        <v>5</v>
      </c>
      <c r="BP52" s="49" t="n">
        <v>5927.21</v>
      </c>
      <c r="BQ52" s="50" t="n">
        <v>48</v>
      </c>
      <c r="BR52" s="48"/>
      <c r="BS52" s="53" t="n">
        <v>0</v>
      </c>
      <c r="BT52" s="53" t="n">
        <v>52</v>
      </c>
      <c r="BU52" s="48" t="str">
        <f aca="false">IF(U52&lt;&gt;"",UPPER(TRIM(U52)),IF(BX52=1,UPPER(VLOOKUP(T52,Parameter!$I$27:$K$29,2,0)),IF(P52="","LOSE",P52)))</f>
        <v>LOSE</v>
      </c>
      <c r="BV52" s="50" t="n">
        <f aca="false">IF(BU52="LOSE",1,IF(N(V52)&gt;0,V52,IF(BX52=1,MAX(1,N(VLOOKUP(T52,Parameter!$I$27:$K$29,3,0)),H52,N(N52)),IF(N(Q52)&gt;0,Q52,MAX(1,H52)))))</f>
        <v>1</v>
      </c>
      <c r="BW52" s="53" t="n">
        <f aca="false">IF(BU52="LOSE",1,0)</f>
        <v>1</v>
      </c>
      <c r="BX52" s="53" t="n">
        <f aca="false">IF(AND(U52="",OR(P52="",P52="LOSE"),T52&lt;&gt;"",N(S52)&lt;=0,ISNUMBER(MATCH(T52,Parameter!$I$27:$I$29,0))),1,0)</f>
        <v>0</v>
      </c>
      <c r="BY52" s="53" t="n">
        <f aca="false">IF(CL52&gt;0,INDEX(Parameter!$H$5:$H$7,W52)/INDEX(Parameter!$E$5:$E$7,W52),IF(AND(BW52=0,N(IFERROR(VLOOKUP(BU52,'Gebinde-Kategorie'!$A$5:$N$45,14,0),0))&gt;0),VLOOKUP(BU52,'Gebinde-Kategorie'!$A$5:$N$45,14,0)*10+Parameter!$M$23,Parameter!$M$24))</f>
        <v>238</v>
      </c>
      <c r="BZ52" s="48" t="n">
        <f aca="false">IF(AND(Parameter!$B$19="Ja",E52&lt;&gt;"",ISNUMBER(MATCH(E52,Parameter!$I$35:$I$52,0))),VLOOKUP(E52,Parameter!$I$35:$J$52,2,0),IFERROR(VLOOKUP(D52,Parameter!$A$35:$C$64,2,0),"Nein"))</f>
        <v>1</v>
      </c>
      <c r="CA52" s="52" t="n">
        <f aca="false">IF(BW52=0,0,IF(N(S52)&gt;0,S52,IFERROR(VLOOKUP(D52,Parameter!$A$35:$C$64,3,0)+0,0)))</f>
        <v>1</v>
      </c>
      <c r="CB52" s="48" t="n">
        <f aca="false">IF(AA52&lt;&gt;"",AA52,Z52)</f>
        <v>1</v>
      </c>
      <c r="CC52" s="48" t="str">
        <f aca="false">IF(OR(CB52=1,CB52=2,CB52=3),IF(Parameter!$E$27="Ja","LIFT",IF(CB52=1,"L1","L23")),IF(CB52="Aussen","Aussen","-"))</f>
        <v>LIFT</v>
      </c>
      <c r="CD52" s="59" t="n">
        <f aca="false">IF(N(AB52)&gt;0,AB52,0)</f>
        <v>0</v>
      </c>
      <c r="CE52" s="53" t="n">
        <f aca="false">IF(ISNUMBER(AE52),1,0)</f>
        <v>0</v>
      </c>
      <c r="CF52" s="50" t="n">
        <f aca="false">N(AE52)</f>
        <v>0</v>
      </c>
      <c r="CG52" s="50" t="n">
        <f aca="false">N(M52)+N(N52)</f>
        <v>22</v>
      </c>
      <c r="CH52" s="50" t="n">
        <f aca="false">ROUNDUP(H52/BV52,0)</f>
        <v>34</v>
      </c>
      <c r="CI52" s="50" t="n">
        <f aca="false">ROUNDUP(CF52/BV52,0)</f>
        <v>0</v>
      </c>
      <c r="CJ52" s="53" t="n">
        <f aca="false">IF(BW52=1,0,IFERROR(VLOOKUP(BU52,'Gebinde-Kategorie'!$A$5:$N$45,5,0)+0,0))</f>
        <v>0</v>
      </c>
      <c r="CK52" s="53" t="n">
        <f aca="false">IFERROR(IF(OR(CB52=1,CB52=2,CB52=3),N(INDEX(Parameter!$I$5:$I$7,CB52)),0),0)</f>
        <v>0</v>
      </c>
      <c r="CL52" s="52" t="n">
        <f aca="false">IF(AND(Parameter!$B$21="Ja",ISNUMBER(W52),N(X52)&gt;0),IFERROR(N(INDEX(Parameter!$L$5:$L$7,W52))*INDEX(Parameter!$E$5:$E$7,W52)*X52/SUMIFS($X$7:$X$1843,$W$7:$W$1843,W52),0),0)</f>
        <v>2.88135593220339</v>
      </c>
    </row>
    <row r="53" customFormat="false" ht="15" hidden="false" customHeight="false" outlineLevel="0" collapsed="false">
      <c r="A53" s="48" t="s">
        <v>304</v>
      </c>
      <c r="B53" s="48" t="s">
        <v>305</v>
      </c>
      <c r="C53" s="48" t="s">
        <v>168</v>
      </c>
      <c r="D53" s="48" t="s">
        <v>188</v>
      </c>
      <c r="E53" s="48" t="s">
        <v>189</v>
      </c>
      <c r="F53" s="48" t="s">
        <v>222</v>
      </c>
      <c r="G53" s="49" t="n">
        <v>113.85</v>
      </c>
      <c r="H53" s="50" t="n">
        <f aca="false">MAX(0,IF(AND(Parameter!$B$21="Ja",ISNUMBER(Y53)),Y53,IF(Parameter!$B$20="Jahresanfang 2025 + Export",BO53+BN53,BN53)))</f>
        <v>67</v>
      </c>
      <c r="I53" s="50" t="n">
        <f aca="false">H53*G53</f>
        <v>7627.95</v>
      </c>
      <c r="J53" s="50" t="n">
        <f aca="false">BQ53*Parameter!$B$18</f>
        <v>82</v>
      </c>
      <c r="K53" s="51" t="n">
        <v>30.5</v>
      </c>
      <c r="L53" s="52" t="n">
        <v>2.68852459016393</v>
      </c>
      <c r="M53" s="50" t="n">
        <v>30</v>
      </c>
      <c r="N53" s="50" t="n">
        <v>40</v>
      </c>
      <c r="O53" s="53" t="n">
        <v>126</v>
      </c>
      <c r="P53" s="48" t="s">
        <v>306</v>
      </c>
      <c r="Q53" s="50" t="n">
        <v>91</v>
      </c>
      <c r="R53" s="53" t="n">
        <f aca="false">IF(BW53=1,0,IFERROR(VLOOKUP(BU53,'Gebinde-Kategorie'!$A$5:$N$45,13,0)+0,0))</f>
        <v>26</v>
      </c>
      <c r="S53" s="54"/>
      <c r="T53" s="55"/>
      <c r="U53" s="55"/>
      <c r="V53" s="55"/>
      <c r="W53" s="48"/>
      <c r="X53" s="50"/>
      <c r="Y53" s="50"/>
      <c r="Z53" s="48" t="n">
        <f aca="false">IF(A53="","",IF(AND(Parameter!$B$21="Ja",ISNUMBER(W53)),W53,IF(BZ53="2+3",IF(ISNUMBER(SEARCH("grosser Artikel",BR53)),2,IFERROR(VLOOKUP(BU53,Parameter!$F$35:$G$64,2,0),2)),IF(OR(BZ53="Nein",BZ53=""),"-",BZ53))))</f>
        <v>3</v>
      </c>
      <c r="AA53" s="55"/>
      <c r="AB53" s="56"/>
      <c r="AC53" s="50" t="n">
        <f aca="false">AT53</f>
        <v>91</v>
      </c>
      <c r="AD53" s="50" t="n">
        <f aca="false">MAX(AT53,H53)</f>
        <v>91</v>
      </c>
      <c r="AE53" s="57"/>
      <c r="AF53" s="50" t="n">
        <f aca="false">IF(LEFT(Cockpit!$C$5,1)="A",H53,IF(CE53=1,CF53,IF(LEFT(Cockpit!$C$5,1)="B",AK53,MAX(AK53,H53))))</f>
        <v>67</v>
      </c>
      <c r="AG53" s="50" t="n">
        <f aca="false">IF(BW53=1,0,ROUNDUP(AF53/BV53,0))</f>
        <v>1</v>
      </c>
      <c r="AH53" s="52" t="n">
        <f aca="false">IF(CL53&gt;0,CL53*MAX(1,AF53/X53),IF(BW53=1,IF(AF53&lt;=0,0,CA53*MAX(1,IF(H53&gt;0,AF53/H53,1))),IF(R53&gt;0,AG53/R53,0))/MAX(0.1,N(Parameter!$M$21)))</f>
        <v>0.0384615384615385</v>
      </c>
      <c r="AI53" s="50" t="n">
        <f aca="false">AH53*BY53</f>
        <v>5.96153846153846</v>
      </c>
      <c r="AJ53" s="50" t="n">
        <f aca="false">AF53*G53</f>
        <v>7627.95</v>
      </c>
      <c r="AK53" s="50" t="n">
        <f aca="false">ROUNDUP(MAX(J53/IF(CD53&gt;0,CD53,MAX(0.1,N(Cockpit!$C$6))),CG53)/BV53,0)*BV53</f>
        <v>91</v>
      </c>
      <c r="AL53" s="51" t="n">
        <f aca="false">IF(AI53&gt;0,J53/AI53,-1)</f>
        <v>13.7548387096774</v>
      </c>
      <c r="AM53" s="51" t="n">
        <f aca="false">IF(AND(OR(CC53="L1",CC53="L23",CC53="LIFT"),AI53&gt;0),SUMIFS($AI$7:$AI$1843,$CC$7:$CC$1843,CC53,$AL$7:$AL$1843,"&gt;"&amp;AL53)+SUMIFS($AI$7:$AI$1843,$CC$7:$CC$1843,CC53,$AL$7:$AL$1843,AL53,$BT$7:$BT$1843,"&lt;="&amp;BT53),"")</f>
        <v>2225.6510989011</v>
      </c>
      <c r="AN53" s="58" t="n">
        <f aca="false">IF(AM53="",0,MAX(0,MIN(1,(IF(CC53="L1",Parameter!$H$5,IF(CC53="L23",Parameter!$H$6+Parameter!$H$7,Parameter!$H$5+Parameter!$H$6+Parameter!$H$7))-(AM53-AI53))/AI53)))</f>
        <v>1</v>
      </c>
      <c r="AO53" s="50" t="n">
        <f aca="false">IF(LEFT(Cockpit!$I$5,1)="A",H53,IF(CE53=1,CF53,IF(LEFT(Cockpit!$I$5,1)="B",AT53,MAX(AT53,H53))))</f>
        <v>91</v>
      </c>
      <c r="AP53" s="50" t="n">
        <f aca="false">IF(BW53=1,0,ROUNDUP(AO53/BV53,0))</f>
        <v>1</v>
      </c>
      <c r="AQ53" s="52" t="n">
        <f aca="false">IF(CL53&gt;0,CL53*MAX(1,AO53/X53),IF(BW53=1,IF(AO53&lt;=0,0,CA53*MAX(1,IF(H53&gt;0,AO53/H53,1))),IF(R53&gt;0,AP53/R53,0))/MAX(0.1,N(Parameter!$M$21)))</f>
        <v>0.0384615384615385</v>
      </c>
      <c r="AR53" s="50" t="n">
        <f aca="false">AQ53*BY53</f>
        <v>5.96153846153846</v>
      </c>
      <c r="AS53" s="50" t="n">
        <f aca="false">AO53*G53</f>
        <v>10360.35</v>
      </c>
      <c r="AT53" s="50" t="n">
        <f aca="false">ROUNDUP(MAX(J53/IF(CD53&gt;0,CD53,MAX(0.1,N(Cockpit!$I$6))),CG53)/BV53,0)*BV53</f>
        <v>91</v>
      </c>
      <c r="AU53" s="51" t="n">
        <f aca="false">IF(AR53&gt;0,J53/AR53,-1)</f>
        <v>13.7548387096774</v>
      </c>
      <c r="AV53" s="51" t="n">
        <f aca="false">IF(AND(OR(CC53="L1",CC53="L23",CC53="LIFT"),AR53&gt;0),SUMIFS($AR$7:$AR$1843,$CC$7:$CC$1843,CC53,$AU$7:$AU$1843,"&gt;"&amp;AU53)+SUMIFS($AR$7:$AR$1843,$CC$7:$CC$1843,CC53,$AU$7:$AU$1843,AU53,$BT$7:$BT$1843,"&lt;="&amp;BT53),"")</f>
        <v>3434.01694139194</v>
      </c>
      <c r="AW53" s="58" t="n">
        <f aca="false">IF(AV53="",0,MAX(0,MIN(1,(IF(CC53="L1",Parameter!$H$5,IF(CC53="L23",Parameter!$H$6+Parameter!$H$7,Parameter!$H$5+Parameter!$H$6+Parameter!$H$7))-(AV53-AR53))/AR53)))</f>
        <v>1</v>
      </c>
      <c r="AX53" s="50" t="n">
        <f aca="false">IF(LEFT(Cockpit!$O$5,1)="A",H53,IF(CE53=1,CF53,IF(LEFT(Cockpit!$O$5,1)="B",BC53,MAX(BC53,H53))))</f>
        <v>91</v>
      </c>
      <c r="AY53" s="50" t="n">
        <f aca="false">IF(BW53=1,0,ROUNDUP(AX53/BV53,0))</f>
        <v>1</v>
      </c>
      <c r="AZ53" s="52" t="n">
        <f aca="false">IF(CL53&gt;0,CL53*MAX(1,AX53/X53),IF(BW53=1,IF(AX53&lt;=0,0,CA53*MAX(1,IF(H53&gt;0,AX53/H53,1))),IF(R53&gt;0,AY53/R53,0))/MAX(0.1,N(Parameter!$M$21)))</f>
        <v>0.0384615384615385</v>
      </c>
      <c r="BA53" s="50" t="n">
        <f aca="false">AZ53*BY53</f>
        <v>5.96153846153846</v>
      </c>
      <c r="BB53" s="50" t="n">
        <f aca="false">AX53*G53</f>
        <v>10360.35</v>
      </c>
      <c r="BC53" s="50" t="n">
        <f aca="false">ROUNDUP(MAX(J53/IF(CD53&gt;0,CD53,MAX(0.1,N(Cockpit!$O$6))),CG53)/BV53,0)*BV53</f>
        <v>91</v>
      </c>
      <c r="BD53" s="51" t="n">
        <f aca="false">IF(BA53&gt;0,J53/BA53,-1)</f>
        <v>13.7548387096774</v>
      </c>
      <c r="BE53" s="51" t="n">
        <f aca="false">IF(AND(OR(CC53="L1",CC53="L23",CC53="LIFT"),BA53&gt;0),SUMIFS($BA$7:$BA$1843,$CC$7:$CC$1843,CC53,$BD$7:$BD$1843,"&gt;"&amp;BD53)+SUMIFS($BA$7:$BA$1843,$CC$7:$CC$1843,CC53,$BD$7:$BD$1843,BD53,$BT$7:$BT$1843,"&lt;="&amp;BT53),"")</f>
        <v>3090.57142857143</v>
      </c>
      <c r="BF53" s="58" t="n">
        <f aca="false">IF(BE53="",0,MAX(0,MIN(1,(IF(CC53="L1",Parameter!$H$5,IF(CC53="L23",Parameter!$H$6+Parameter!$H$7,Parameter!$H$5+Parameter!$H$6+Parameter!$H$7))-(BE53-BA53))/BA53)))</f>
        <v>1</v>
      </c>
      <c r="BG53" s="48" t="str">
        <f aca="false">IF(AI53&lt;=0,"",IF(CC53="Aussen","Aussenlager",IF(CC53="-","Nicht im Lift",IF(AN53&gt;=1,"Lift",IF(AN53&lt;=0,"Aussenlager","teilweise")))))</f>
        <v>Lift</v>
      </c>
      <c r="BH53" s="48" t="str">
        <f aca="false">IF(AR53&lt;=0,"",IF(CC53="Aussen","Aussenlager",IF(CC53="-","Nicht im Lift",IF(AW53&gt;=1,"Lift",IF(AW53&lt;=0,"Aussenlager","teilweise")))))</f>
        <v>Lift</v>
      </c>
      <c r="BI53" s="48" t="str">
        <f aca="false">IF(BA53&lt;=0,"",IF(CC53="Aussen","Aussenlager",IF(CC53="-","Nicht im Lift",IF(BF53&gt;=1,"Lift",IF(BF53&lt;=0,"Aussenlager","teilweise")))))</f>
        <v>Lift</v>
      </c>
      <c r="BJ53" s="48" t="str">
        <f aca="false">IF(A53="","",IF(BS53=1,"Neu; ","")&amp;IF(AND(BS53=0,BN53&lt;0),"negativer Bestand (Export "&amp;BN53&amp;"); ","")&amp;IF(J53&lt;=0,"Kein Verbrauch; ","")&amp;IF(CL53&gt;0,"Lift "&amp;W53&amp;" lt. Liftbericht (Fach "&amp;X53&amp;" Stk); ",IF(BX53=1,"Gebinde geschätzt ("&amp;T53&amp;"); ",IF(BW53=1,"Lose – Tablare geschätzt; ","")))&amp;IF(H53&gt;AT53,"Überbestand "&amp;ROUND(H53-AT53,0)&amp;" Stk / CHF "&amp;ROUND((H53-AT53)*G53,0)&amp;"; ","")&amp;IF(AND(CE53=1,CF53&lt;CG53),"MAX &lt; MB+LG; ","")&amp;IF(AND(CK53&gt;0,CJ53*10&gt;CK53),"zu hoch für Tablar; ","")&amp;IF(AND(BS53=0,OR(CE53=1,AA53&lt;&gt;"",U53&lt;&gt;"",V53&lt;&gt;"",AB53&lt;&gt;"")),"manuell übersteuert; ","")&amp;IF(AND(BW53=0,R53=0),"Gebinde unbekannt / Stellmass fehlt; ","")&amp;IF(AND(BW53=0,N(V53)&lt;=0,N(Q53)&lt;=0),"Menge pro Gebinde fehlt (Ist = 1 Gebinde); ","")&amp;BR53)</f>
        <v/>
      </c>
      <c r="BK53" s="48"/>
      <c r="BL53" s="48"/>
      <c r="BM53" s="55"/>
      <c r="BN53" s="50" t="n">
        <v>45</v>
      </c>
      <c r="BO53" s="50" t="n">
        <v>22</v>
      </c>
      <c r="BP53" s="49" t="n">
        <v>5261.13</v>
      </c>
      <c r="BQ53" s="50" t="n">
        <v>82</v>
      </c>
      <c r="BR53" s="48"/>
      <c r="BS53" s="53" t="n">
        <v>0</v>
      </c>
      <c r="BT53" s="53" t="n">
        <v>53</v>
      </c>
      <c r="BU53" s="48" t="str">
        <f aca="false">IF(U53&lt;&gt;"",UPPER(TRIM(U53)),IF(BX53=1,UPPER(VLOOKUP(T53,Parameter!$I$27:$K$29,2,0)),IF(P53="","LOSE",P53)))</f>
        <v>S51</v>
      </c>
      <c r="BV53" s="50" t="n">
        <f aca="false">IF(BU53="LOSE",1,IF(N(V53)&gt;0,V53,IF(BX53=1,MAX(1,N(VLOOKUP(T53,Parameter!$I$27:$K$29,3,0)),H53,N(N53)),IF(N(Q53)&gt;0,Q53,MAX(1,H53)))))</f>
        <v>91</v>
      </c>
      <c r="BW53" s="53" t="n">
        <f aca="false">IF(BU53="LOSE",1,0)</f>
        <v>0</v>
      </c>
      <c r="BX53" s="53" t="n">
        <f aca="false">IF(AND(U53="",OR(P53="",P53="LOSE"),T53&lt;&gt;"",N(S53)&lt;=0,ISNUMBER(MATCH(T53,Parameter!$I$27:$I$29,0))),1,0)</f>
        <v>0</v>
      </c>
      <c r="BY53" s="53" t="n">
        <f aca="false">IF(CL53&gt;0,INDEX(Parameter!$H$5:$H$7,W53)/INDEX(Parameter!$E$5:$E$7,W53),IF(AND(BW53=0,N(IFERROR(VLOOKUP(BU53,'Gebinde-Kategorie'!$A$5:$N$45,14,0),0))&gt;0),VLOOKUP(BU53,'Gebinde-Kategorie'!$A$5:$N$45,14,0)*10+Parameter!$M$23,Parameter!$M$24))</f>
        <v>155</v>
      </c>
      <c r="BZ53" s="48" t="str">
        <f aca="false">IF(AND(Parameter!$B$19="Ja",E53&lt;&gt;"",ISNUMBER(MATCH(E53,Parameter!$I$35:$I$52,0))),VLOOKUP(E53,Parameter!$I$35:$J$52,2,0),IFERROR(VLOOKUP(D53,Parameter!$A$35:$C$64,2,0),"Nein"))</f>
        <v>2+3</v>
      </c>
      <c r="CA53" s="52" t="n">
        <f aca="false">IF(BW53=0,0,IF(N(S53)&gt;0,S53,IFERROR(VLOOKUP(D53,Parameter!$A$35:$C$64,3,0)+0,0)))</f>
        <v>0</v>
      </c>
      <c r="CB53" s="48" t="n">
        <f aca="false">IF(AA53&lt;&gt;"",AA53,Z53)</f>
        <v>3</v>
      </c>
      <c r="CC53" s="48" t="str">
        <f aca="false">IF(OR(CB53=1,CB53=2,CB53=3),IF(Parameter!$E$27="Ja","LIFT",IF(CB53=1,"L1","L23")),IF(CB53="Aussen","Aussen","-"))</f>
        <v>LIFT</v>
      </c>
      <c r="CD53" s="59" t="n">
        <f aca="false">IF(N(AB53)&gt;0,AB53,0)</f>
        <v>0</v>
      </c>
      <c r="CE53" s="53" t="n">
        <f aca="false">IF(ISNUMBER(AE53),1,0)</f>
        <v>0</v>
      </c>
      <c r="CF53" s="50" t="n">
        <f aca="false">N(AE53)</f>
        <v>0</v>
      </c>
      <c r="CG53" s="50" t="n">
        <f aca="false">N(M53)+N(N53)</f>
        <v>70</v>
      </c>
      <c r="CH53" s="50" t="n">
        <f aca="false">ROUNDUP(H53/BV53,0)</f>
        <v>1</v>
      </c>
      <c r="CI53" s="50" t="n">
        <f aca="false">ROUNDUP(CF53/BV53,0)</f>
        <v>0</v>
      </c>
      <c r="CJ53" s="53" t="n">
        <f aca="false">IF(BW53=1,0,IFERROR(VLOOKUP(BU53,'Gebinde-Kategorie'!$A$5:$N$45,5,0)+0,0))</f>
        <v>11</v>
      </c>
      <c r="CK53" s="53" t="n">
        <f aca="false">IFERROR(IF(OR(CB53=1,CB53=2,CB53=3),N(INDEX(Parameter!$I$5:$I$7,CB53)),0),0)</f>
        <v>0</v>
      </c>
      <c r="CL53" s="52" t="n">
        <f aca="false">IF(AND(Parameter!$B$21="Ja",ISNUMBER(W53),N(X53)&gt;0),IFERROR(N(INDEX(Parameter!$L$5:$L$7,W53))*INDEX(Parameter!$E$5:$E$7,W53)*X53/SUMIFS($X$7:$X$1843,$W$7:$W$1843,W53),0),0)</f>
        <v>0</v>
      </c>
    </row>
    <row r="54" customFormat="false" ht="15" hidden="false" customHeight="false" outlineLevel="0" collapsed="false">
      <c r="A54" s="48" t="s">
        <v>307</v>
      </c>
      <c r="B54" s="48" t="s">
        <v>294</v>
      </c>
      <c r="C54" s="48" t="s">
        <v>168</v>
      </c>
      <c r="D54" s="48" t="s">
        <v>177</v>
      </c>
      <c r="E54" s="48" t="s">
        <v>177</v>
      </c>
      <c r="F54" s="48" t="s">
        <v>222</v>
      </c>
      <c r="G54" s="49" t="n">
        <v>189.42</v>
      </c>
      <c r="H54" s="50" t="n">
        <f aca="false">MAX(0,IF(AND(Parameter!$B$21="Ja",ISNUMBER(Y54)),Y54,IF(Parameter!$B$20="Jahresanfang 2025 + Export",BO54+BN54,BN54)))</f>
        <v>65</v>
      </c>
      <c r="I54" s="50" t="n">
        <f aca="false">H54*G54</f>
        <v>12312.3</v>
      </c>
      <c r="J54" s="50" t="n">
        <f aca="false">BQ54*Parameter!$B$18</f>
        <v>90</v>
      </c>
      <c r="K54" s="51" t="n">
        <v>40.5</v>
      </c>
      <c r="L54" s="52" t="n">
        <v>2.22222222222222</v>
      </c>
      <c r="M54" s="50" t="n">
        <v>4</v>
      </c>
      <c r="N54" s="50" t="n">
        <v>35</v>
      </c>
      <c r="O54" s="53" t="n">
        <v>14</v>
      </c>
      <c r="P54" s="48" t="s">
        <v>227</v>
      </c>
      <c r="Q54" s="50" t="n">
        <v>76</v>
      </c>
      <c r="R54" s="53" t="n">
        <f aca="false">IF(BW54=1,0,IFERROR(VLOOKUP(BU54,'Gebinde-Kategorie'!$A$5:$N$45,13,0)+0,0))</f>
        <v>4</v>
      </c>
      <c r="S54" s="54"/>
      <c r="T54" s="55"/>
      <c r="U54" s="55"/>
      <c r="V54" s="55"/>
      <c r="W54" s="48"/>
      <c r="X54" s="50"/>
      <c r="Y54" s="50"/>
      <c r="Z54" s="48" t="str">
        <f aca="false">IF(A54="","",IF(AND(Parameter!$B$21="Ja",ISNUMBER(W54)),W54,IF(BZ54="2+3",IF(ISNUMBER(SEARCH("grosser Artikel",BR54)),2,IFERROR(VLOOKUP(BU54,Parameter!$F$35:$G$64,2,0),2)),IF(OR(BZ54="Nein",BZ54=""),"-",BZ54))))</f>
        <v>-</v>
      </c>
      <c r="AA54" s="55"/>
      <c r="AB54" s="56"/>
      <c r="AC54" s="50" t="n">
        <f aca="false">AT54</f>
        <v>76</v>
      </c>
      <c r="AD54" s="50" t="n">
        <f aca="false">MAX(AT54,H54)</f>
        <v>76</v>
      </c>
      <c r="AE54" s="57"/>
      <c r="AF54" s="50" t="n">
        <f aca="false">IF(LEFT(Cockpit!$C$5,1)="A",H54,IF(CE54=1,CF54,IF(LEFT(Cockpit!$C$5,1)="B",AK54,MAX(AK54,H54))))</f>
        <v>65</v>
      </c>
      <c r="AG54" s="50" t="n">
        <f aca="false">IF(BW54=1,0,ROUNDUP(AF54/BV54,0))</f>
        <v>1</v>
      </c>
      <c r="AH54" s="52" t="n">
        <f aca="false">IF(CL54&gt;0,CL54*MAX(1,AF54/X54),IF(BW54=1,IF(AF54&lt;=0,0,CA54*MAX(1,IF(H54&gt;0,AF54/H54,1))),IF(R54&gt;0,AG54/R54,0))/MAX(0.1,N(Parameter!$M$21)))</f>
        <v>0.25</v>
      </c>
      <c r="AI54" s="50" t="n">
        <f aca="false">AH54*BY54</f>
        <v>58.75</v>
      </c>
      <c r="AJ54" s="50" t="n">
        <f aca="false">AF54*G54</f>
        <v>12312.3</v>
      </c>
      <c r="AK54" s="50" t="n">
        <f aca="false">ROUNDUP(MAX(J54/IF(CD54&gt;0,CD54,MAX(0.1,N(Cockpit!$C$6))),CG54)/BV54,0)*BV54</f>
        <v>76</v>
      </c>
      <c r="AL54" s="51" t="n">
        <f aca="false">IF(AI54&gt;0,J54/AI54,-1)</f>
        <v>1.53191489361702</v>
      </c>
      <c r="AM54" s="51" t="str">
        <f aca="false">IF(AND(OR(CC54="L1",CC54="L23",CC54="LIFT"),AI54&gt;0),SUMIFS($AI$7:$AI$1843,$CC$7:$CC$1843,CC54,$AL$7:$AL$1843,"&gt;"&amp;AL54)+SUMIFS($AI$7:$AI$1843,$CC$7:$CC$1843,CC54,$AL$7:$AL$1843,AL54,$BT$7:$BT$1843,"&lt;="&amp;BT54),"")</f>
        <v/>
      </c>
      <c r="AN54" s="58" t="n">
        <f aca="false">IF(AM54="",0,MAX(0,MIN(1,(IF(CC54="L1",Parameter!$H$5,IF(CC54="L23",Parameter!$H$6+Parameter!$H$7,Parameter!$H$5+Parameter!$H$6+Parameter!$H$7))-(AM54-AI54))/AI54)))</f>
        <v>0</v>
      </c>
      <c r="AO54" s="50" t="n">
        <f aca="false">IF(LEFT(Cockpit!$I$5,1)="A",H54,IF(CE54=1,CF54,IF(LEFT(Cockpit!$I$5,1)="B",AT54,MAX(AT54,H54))))</f>
        <v>76</v>
      </c>
      <c r="AP54" s="50" t="n">
        <f aca="false">IF(BW54=1,0,ROUNDUP(AO54/BV54,0))</f>
        <v>1</v>
      </c>
      <c r="AQ54" s="52" t="n">
        <f aca="false">IF(CL54&gt;0,CL54*MAX(1,AO54/X54),IF(BW54=1,IF(AO54&lt;=0,0,CA54*MAX(1,IF(H54&gt;0,AO54/H54,1))),IF(R54&gt;0,AP54/R54,0))/MAX(0.1,N(Parameter!$M$21)))</f>
        <v>0.25</v>
      </c>
      <c r="AR54" s="50" t="n">
        <f aca="false">AQ54*BY54</f>
        <v>58.75</v>
      </c>
      <c r="AS54" s="50" t="n">
        <f aca="false">AO54*G54</f>
        <v>14395.92</v>
      </c>
      <c r="AT54" s="50" t="n">
        <f aca="false">ROUNDUP(MAX(J54/IF(CD54&gt;0,CD54,MAX(0.1,N(Cockpit!$I$6))),CG54)/BV54,0)*BV54</f>
        <v>76</v>
      </c>
      <c r="AU54" s="51" t="n">
        <f aca="false">IF(AR54&gt;0,J54/AR54,-1)</f>
        <v>1.53191489361702</v>
      </c>
      <c r="AV54" s="51" t="str">
        <f aca="false">IF(AND(OR(CC54="L1",CC54="L23",CC54="LIFT"),AR54&gt;0),SUMIFS($AR$7:$AR$1843,$CC$7:$CC$1843,CC54,$AU$7:$AU$1843,"&gt;"&amp;AU54)+SUMIFS($AR$7:$AR$1843,$CC$7:$CC$1843,CC54,$AU$7:$AU$1843,AU54,$BT$7:$BT$1843,"&lt;="&amp;BT54),"")</f>
        <v/>
      </c>
      <c r="AW54" s="58" t="n">
        <f aca="false">IF(AV54="",0,MAX(0,MIN(1,(IF(CC54="L1",Parameter!$H$5,IF(CC54="L23",Parameter!$H$6+Parameter!$H$7,Parameter!$H$5+Parameter!$H$6+Parameter!$H$7))-(AV54-AR54))/AR54)))</f>
        <v>0</v>
      </c>
      <c r="AX54" s="50" t="n">
        <f aca="false">IF(LEFT(Cockpit!$O$5,1)="A",H54,IF(CE54=1,CF54,IF(LEFT(Cockpit!$O$5,1)="B",BC54,MAX(BC54,H54))))</f>
        <v>76</v>
      </c>
      <c r="AY54" s="50" t="n">
        <f aca="false">IF(BW54=1,0,ROUNDUP(AX54/BV54,0))</f>
        <v>1</v>
      </c>
      <c r="AZ54" s="52" t="n">
        <f aca="false">IF(CL54&gt;0,CL54*MAX(1,AX54/X54),IF(BW54=1,IF(AX54&lt;=0,0,CA54*MAX(1,IF(H54&gt;0,AX54/H54,1))),IF(R54&gt;0,AY54/R54,0))/MAX(0.1,N(Parameter!$M$21)))</f>
        <v>0.25</v>
      </c>
      <c r="BA54" s="50" t="n">
        <f aca="false">AZ54*BY54</f>
        <v>58.75</v>
      </c>
      <c r="BB54" s="50" t="n">
        <f aca="false">AX54*G54</f>
        <v>14395.92</v>
      </c>
      <c r="BC54" s="50" t="n">
        <f aca="false">ROUNDUP(MAX(J54/IF(CD54&gt;0,CD54,MAX(0.1,N(Cockpit!$O$6))),CG54)/BV54,0)*BV54</f>
        <v>76</v>
      </c>
      <c r="BD54" s="51" t="n">
        <f aca="false">IF(BA54&gt;0,J54/BA54,-1)</f>
        <v>1.53191489361702</v>
      </c>
      <c r="BE54" s="51" t="str">
        <f aca="false">IF(AND(OR(CC54="L1",CC54="L23",CC54="LIFT"),BA54&gt;0),SUMIFS($BA$7:$BA$1843,$CC$7:$CC$1843,CC54,$BD$7:$BD$1843,"&gt;"&amp;BD54)+SUMIFS($BA$7:$BA$1843,$CC$7:$CC$1843,CC54,$BD$7:$BD$1843,BD54,$BT$7:$BT$1843,"&lt;="&amp;BT54),"")</f>
        <v/>
      </c>
      <c r="BF54" s="58" t="n">
        <f aca="false">IF(BE54="",0,MAX(0,MIN(1,(IF(CC54="L1",Parameter!$H$5,IF(CC54="L23",Parameter!$H$6+Parameter!$H$7,Parameter!$H$5+Parameter!$H$6+Parameter!$H$7))-(BE54-BA54))/BA54)))</f>
        <v>0</v>
      </c>
      <c r="BG54" s="48" t="str">
        <f aca="false">IF(AI54&lt;=0,"",IF(CC54="Aussen","Aussenlager",IF(CC54="-","Nicht im Lift",IF(AN54&gt;=1,"Lift",IF(AN54&lt;=0,"Aussenlager","teilweise")))))</f>
        <v>Nicht im Lift</v>
      </c>
      <c r="BH54" s="48" t="str">
        <f aca="false">IF(AR54&lt;=0,"",IF(CC54="Aussen","Aussenlager",IF(CC54="-","Nicht im Lift",IF(AW54&gt;=1,"Lift",IF(AW54&lt;=0,"Aussenlager","teilweise")))))</f>
        <v>Nicht im Lift</v>
      </c>
      <c r="BI54" s="48" t="str">
        <f aca="false">IF(BA54&lt;=0,"",IF(CC54="Aussen","Aussenlager",IF(CC54="-","Nicht im Lift",IF(BF54&gt;=1,"Lift",IF(BF54&lt;=0,"Aussenlager","teilweise")))))</f>
        <v>Nicht im Lift</v>
      </c>
      <c r="BJ54" s="48" t="str">
        <f aca="false">IF(A54="","",IF(BS54=1,"Neu; ","")&amp;IF(AND(BS54=0,BN54&lt;0),"negativer Bestand (Export "&amp;BN54&amp;"); ","")&amp;IF(J54&lt;=0,"Kein Verbrauch; ","")&amp;IF(CL54&gt;0,"Lift "&amp;W54&amp;" lt. Liftbericht (Fach "&amp;X54&amp;" Stk); ",IF(BX54=1,"Gebinde geschätzt ("&amp;T54&amp;"); ",IF(BW54=1,"Lose – Tablare geschätzt; ","")))&amp;IF(H54&gt;AT54,"Überbestand "&amp;ROUND(H54-AT54,0)&amp;" Stk / CHF "&amp;ROUND((H54-AT54)*G54,0)&amp;"; ","")&amp;IF(AND(CE54=1,CF54&lt;CG54),"MAX &lt; MB+LG; ","")&amp;IF(AND(CK54&gt;0,CJ54*10&gt;CK54),"zu hoch für Tablar; ","")&amp;IF(AND(BS54=0,OR(CE54=1,AA54&lt;&gt;"",U54&lt;&gt;"",V54&lt;&gt;"",AB54&lt;&gt;"")),"manuell übersteuert; ","")&amp;IF(AND(BW54=0,R54=0),"Gebinde unbekannt / Stellmass fehlt; ","")&amp;IF(AND(BW54=0,N(V54)&lt;=0,N(Q54)&lt;=0),"Menge pro Gebinde fehlt (Ist = 1 Gebinde); ","")&amp;BR54)</f>
        <v/>
      </c>
      <c r="BK54" s="48"/>
      <c r="BL54" s="48"/>
      <c r="BM54" s="55"/>
      <c r="BN54" s="50" t="n">
        <v>25</v>
      </c>
      <c r="BO54" s="50" t="n">
        <v>40</v>
      </c>
      <c r="BP54" s="49" t="n">
        <v>4952.3</v>
      </c>
      <c r="BQ54" s="50" t="n">
        <v>90</v>
      </c>
      <c r="BR54" s="48"/>
      <c r="BS54" s="53" t="n">
        <v>0</v>
      </c>
      <c r="BT54" s="53" t="n">
        <v>54</v>
      </c>
      <c r="BU54" s="48" t="str">
        <f aca="false">IF(U54&lt;&gt;"",UPPER(TRIM(U54)),IF(BX54=1,UPPER(VLOOKUP(T54,Parameter!$I$27:$K$29,2,0)),IF(P54="","LOSE",P54)))</f>
        <v>S81</v>
      </c>
      <c r="BV54" s="50" t="n">
        <f aca="false">IF(BU54="LOSE",1,IF(N(V54)&gt;0,V54,IF(BX54=1,MAX(1,N(VLOOKUP(T54,Parameter!$I$27:$K$29,3,0)),H54,N(N54)),IF(N(Q54)&gt;0,Q54,MAX(1,H54)))))</f>
        <v>76</v>
      </c>
      <c r="BW54" s="53" t="n">
        <f aca="false">IF(BU54="LOSE",1,0)</f>
        <v>0</v>
      </c>
      <c r="BX54" s="53" t="n">
        <f aca="false">IF(AND(U54="",OR(P54="",P54="LOSE"),T54&lt;&gt;"",N(S54)&lt;=0,ISNUMBER(MATCH(T54,Parameter!$I$27:$I$29,0))),1,0)</f>
        <v>0</v>
      </c>
      <c r="BY54" s="53" t="n">
        <f aca="false">IF(CL54&gt;0,INDEX(Parameter!$H$5:$H$7,W54)/INDEX(Parameter!$E$5:$E$7,W54),IF(AND(BW54=0,N(IFERROR(VLOOKUP(BU54,'Gebinde-Kategorie'!$A$5:$N$45,14,0),0))&gt;0),VLOOKUP(BU54,'Gebinde-Kategorie'!$A$5:$N$45,14,0)*10+Parameter!$M$23,Parameter!$M$24))</f>
        <v>235</v>
      </c>
      <c r="BZ54" s="48" t="str">
        <f aca="false">IF(AND(Parameter!$B$19="Ja",E54&lt;&gt;"",ISNUMBER(MATCH(E54,Parameter!$I$35:$I$52,0))),VLOOKUP(E54,Parameter!$I$35:$J$52,2,0),IFERROR(VLOOKUP(D54,Parameter!$A$35:$C$64,2,0),"Nein"))</f>
        <v>Nein</v>
      </c>
      <c r="CA54" s="52" t="n">
        <f aca="false">IF(BW54=0,0,IF(N(S54)&gt;0,S54,IFERROR(VLOOKUP(D54,Parameter!$A$35:$C$64,3,0)+0,0)))</f>
        <v>0</v>
      </c>
      <c r="CB54" s="48" t="str">
        <f aca="false">IF(AA54&lt;&gt;"",AA54,Z54)</f>
        <v>-</v>
      </c>
      <c r="CC54" s="48" t="str">
        <f aca="false">IF(OR(CB54=1,CB54=2,CB54=3),IF(Parameter!$E$27="Ja","LIFT",IF(CB54=1,"L1","L23")),IF(CB54="Aussen","Aussen","-"))</f>
        <v>-</v>
      </c>
      <c r="CD54" s="59" t="n">
        <f aca="false">IF(N(AB54)&gt;0,AB54,0)</f>
        <v>0</v>
      </c>
      <c r="CE54" s="53" t="n">
        <f aca="false">IF(ISNUMBER(AE54),1,0)</f>
        <v>0</v>
      </c>
      <c r="CF54" s="50" t="n">
        <f aca="false">N(AE54)</f>
        <v>0</v>
      </c>
      <c r="CG54" s="50" t="n">
        <f aca="false">N(M54)+N(N54)</f>
        <v>39</v>
      </c>
      <c r="CH54" s="50" t="n">
        <f aca="false">ROUNDUP(H54/BV54,0)</f>
        <v>1</v>
      </c>
      <c r="CI54" s="50" t="n">
        <f aca="false">ROUNDUP(CF54/BV54,0)</f>
        <v>0</v>
      </c>
      <c r="CJ54" s="53" t="n">
        <f aca="false">IF(BW54=1,0,IFERROR(VLOOKUP(BU54,'Gebinde-Kategorie'!$A$5:$N$45,5,0)+0,0))</f>
        <v>20</v>
      </c>
      <c r="CK54" s="53" t="n">
        <f aca="false">IFERROR(IF(OR(CB54=1,CB54=2,CB54=3),N(INDEX(Parameter!$I$5:$I$7,CB54)),0),0)</f>
        <v>0</v>
      </c>
      <c r="CL54" s="52" t="n">
        <f aca="false">IF(AND(Parameter!$B$21="Ja",ISNUMBER(W54),N(X54)&gt;0),IFERROR(N(INDEX(Parameter!$L$5:$L$7,W54))*INDEX(Parameter!$E$5:$E$7,W54)*X54/SUMIFS($X$7:$X$1843,$W$7:$W$1843,W54),0),0)</f>
        <v>0</v>
      </c>
    </row>
    <row r="55" customFormat="false" ht="15" hidden="false" customHeight="false" outlineLevel="0" collapsed="false">
      <c r="A55" s="48" t="s">
        <v>308</v>
      </c>
      <c r="B55" s="48" t="s">
        <v>309</v>
      </c>
      <c r="C55" s="48" t="s">
        <v>168</v>
      </c>
      <c r="D55" s="48" t="s">
        <v>177</v>
      </c>
      <c r="E55" s="48"/>
      <c r="F55" s="48" t="s">
        <v>222</v>
      </c>
      <c r="G55" s="49" t="n">
        <v>431.48</v>
      </c>
      <c r="H55" s="50" t="n">
        <f aca="false">MAX(0,IF(AND(Parameter!$B$21="Ja",ISNUMBER(Y55)),Y55,IF(Parameter!$B$20="Jahresanfang 2025 + Export",BO55+BN55,BN55)))</f>
        <v>11</v>
      </c>
      <c r="I55" s="50" t="n">
        <f aca="false">H55*G55</f>
        <v>4746.28</v>
      </c>
      <c r="J55" s="50" t="n">
        <f aca="false">BQ55*Parameter!$B$18</f>
        <v>0</v>
      </c>
      <c r="K55" s="51" t="n">
        <v>0</v>
      </c>
      <c r="L55" s="52" t="n">
        <v>0</v>
      </c>
      <c r="M55" s="50" t="n">
        <v>2</v>
      </c>
      <c r="N55" s="50" t="n">
        <v>4</v>
      </c>
      <c r="O55" s="53" t="n">
        <v>28</v>
      </c>
      <c r="P55" s="48" t="s">
        <v>172</v>
      </c>
      <c r="Q55" s="50"/>
      <c r="R55" s="53" t="n">
        <f aca="false">IF(BW55=1,0,IFERROR(VLOOKUP(BU55,'Gebinde-Kategorie'!$A$5:$N$45,13,0)+0,0))</f>
        <v>12</v>
      </c>
      <c r="S55" s="54"/>
      <c r="T55" s="55" t="s">
        <v>183</v>
      </c>
      <c r="U55" s="55"/>
      <c r="V55" s="55"/>
      <c r="W55" s="48"/>
      <c r="X55" s="50"/>
      <c r="Y55" s="50"/>
      <c r="Z55" s="48" t="n">
        <f aca="false">IF(A55="","",IF(AND(Parameter!$B$21="Ja",ISNUMBER(W55)),W55,IF(BZ55="2+3",IF(ISNUMBER(SEARCH("grosser Artikel",BR55)),2,IFERROR(VLOOKUP(BU55,Parameter!$F$35:$G$64,2,0),2)),IF(OR(BZ55="Nein",BZ55=""),"-",BZ55))))</f>
        <v>2</v>
      </c>
      <c r="AA55" s="55"/>
      <c r="AB55" s="56"/>
      <c r="AC55" s="50" t="n">
        <f aca="false">AT55</f>
        <v>11</v>
      </c>
      <c r="AD55" s="50" t="n">
        <f aca="false">MAX(AT55,H55)</f>
        <v>11</v>
      </c>
      <c r="AE55" s="57"/>
      <c r="AF55" s="50" t="n">
        <f aca="false">IF(LEFT(Cockpit!$C$5,1)="A",H55,IF(CE55=1,CF55,IF(LEFT(Cockpit!$C$5,1)="B",AK55,MAX(AK55,H55))))</f>
        <v>11</v>
      </c>
      <c r="AG55" s="50" t="n">
        <f aca="false">IF(BW55=1,0,ROUNDUP(AF55/BV55,0))</f>
        <v>1</v>
      </c>
      <c r="AH55" s="52" t="n">
        <f aca="false">IF(CL55&gt;0,CL55*MAX(1,AF55/X55),IF(BW55=1,IF(AF55&lt;=0,0,CA55*MAX(1,IF(H55&gt;0,AF55/H55,1))),IF(R55&gt;0,AG55/R55,0))/MAX(0.1,N(Parameter!$M$21)))</f>
        <v>0.0833333333333333</v>
      </c>
      <c r="AI55" s="50" t="n">
        <f aca="false">AH55*BY55</f>
        <v>12.0833333333333</v>
      </c>
      <c r="AJ55" s="50" t="n">
        <f aca="false">AF55*G55</f>
        <v>4746.28</v>
      </c>
      <c r="AK55" s="50" t="n">
        <f aca="false">ROUNDUP(MAX(J55/IF(CD55&gt;0,CD55,MAX(0.1,N(Cockpit!$C$6))),CG55)/BV55,0)*BV55</f>
        <v>11</v>
      </c>
      <c r="AL55" s="51" t="n">
        <f aca="false">IF(AI55&gt;0,J55/AI55,-1)</f>
        <v>0</v>
      </c>
      <c r="AM55" s="51" t="n">
        <f aca="false">IF(AND(OR(CC55="L1",CC55="L23",CC55="LIFT"),AI55&gt;0),SUMIFS($AI$7:$AI$1843,$CC$7:$CC$1843,CC55,$AL$7:$AL$1843,"&gt;"&amp;AL55)+SUMIFS($AI$7:$AI$1843,$CC$7:$CC$1843,CC55,$AL$7:$AL$1843,AL55,$BT$7:$BT$1843,"&lt;="&amp;BT55),"")</f>
        <v>26317.158587881</v>
      </c>
      <c r="AN55" s="58" t="n">
        <f aca="false">IF(AM55="",0,MAX(0,MIN(1,(IF(CC55="L1",Parameter!$H$5,IF(CC55="L23",Parameter!$H$6+Parameter!$H$7,Parameter!$H$5+Parameter!$H$6+Parameter!$H$7))-(AM55-AI55))/AI55)))</f>
        <v>1</v>
      </c>
      <c r="AO55" s="50" t="n">
        <f aca="false">IF(LEFT(Cockpit!$I$5,1)="A",H55,IF(CE55=1,CF55,IF(LEFT(Cockpit!$I$5,1)="B",AT55,MAX(AT55,H55))))</f>
        <v>11</v>
      </c>
      <c r="AP55" s="50" t="n">
        <f aca="false">IF(BW55=1,0,ROUNDUP(AO55/BV55,0))</f>
        <v>1</v>
      </c>
      <c r="AQ55" s="52" t="n">
        <f aca="false">IF(CL55&gt;0,CL55*MAX(1,AO55/X55),IF(BW55=1,IF(AO55&lt;=0,0,CA55*MAX(1,IF(H55&gt;0,AO55/H55,1))),IF(R55&gt;0,AP55/R55,0))/MAX(0.1,N(Parameter!$M$21)))</f>
        <v>0.0833333333333333</v>
      </c>
      <c r="AR55" s="50" t="n">
        <f aca="false">AQ55*BY55</f>
        <v>12.0833333333333</v>
      </c>
      <c r="AS55" s="50" t="n">
        <f aca="false">AO55*G55</f>
        <v>4746.28</v>
      </c>
      <c r="AT55" s="50" t="n">
        <f aca="false">ROUNDUP(MAX(J55/IF(CD55&gt;0,CD55,MAX(0.1,N(Cockpit!$I$6))),CG55)/BV55,0)*BV55</f>
        <v>11</v>
      </c>
      <c r="AU55" s="51" t="n">
        <f aca="false">IF(AR55&gt;0,J55/AR55,-1)</f>
        <v>0</v>
      </c>
      <c r="AV55" s="51" t="n">
        <f aca="false">IF(AND(OR(CC55="L1",CC55="L23",CC55="LIFT"),AR55&gt;0),SUMIFS($AR$7:$AR$1843,$CC$7:$CC$1843,CC55,$AU$7:$AU$1843,"&gt;"&amp;AU55)+SUMIFS($AR$7:$AR$1843,$CC$7:$CC$1843,CC55,$AU$7:$AU$1843,AU55,$BT$7:$BT$1843,"&lt;="&amp;BT55),"")</f>
        <v>37586.8484742659</v>
      </c>
      <c r="AW55" s="58" t="n">
        <f aca="false">IF(AV55="",0,MAX(0,MIN(1,(IF(CC55="L1",Parameter!$H$5,IF(CC55="L23",Parameter!$H$6+Parameter!$H$7,Parameter!$H$5+Parameter!$H$6+Parameter!$H$7))-(AV55-AR55))/AR55)))</f>
        <v>0</v>
      </c>
      <c r="AX55" s="50" t="n">
        <f aca="false">IF(LEFT(Cockpit!$O$5,1)="A",H55,IF(CE55=1,CF55,IF(LEFT(Cockpit!$O$5,1)="B",BC55,MAX(BC55,H55))))</f>
        <v>11</v>
      </c>
      <c r="AY55" s="50" t="n">
        <f aca="false">IF(BW55=1,0,ROUNDUP(AX55/BV55,0))</f>
        <v>1</v>
      </c>
      <c r="AZ55" s="52" t="n">
        <f aca="false">IF(CL55&gt;0,CL55*MAX(1,AX55/X55),IF(BW55=1,IF(AX55&lt;=0,0,CA55*MAX(1,IF(H55&gt;0,AX55/H55,1))),IF(R55&gt;0,AY55/R55,0))/MAX(0.1,N(Parameter!$M$21)))</f>
        <v>0.0833333333333333</v>
      </c>
      <c r="BA55" s="50" t="n">
        <f aca="false">AZ55*BY55</f>
        <v>12.0833333333333</v>
      </c>
      <c r="BB55" s="50" t="n">
        <f aca="false">AX55*G55</f>
        <v>4746.28</v>
      </c>
      <c r="BC55" s="50" t="n">
        <f aca="false">ROUNDUP(MAX(J55/IF(CD55&gt;0,CD55,MAX(0.1,N(Cockpit!$O$6))),CG55)/BV55,0)*BV55</f>
        <v>11</v>
      </c>
      <c r="BD55" s="51" t="n">
        <f aca="false">IF(BA55&gt;0,J55/BA55,-1)</f>
        <v>0</v>
      </c>
      <c r="BE55" s="51" t="n">
        <f aca="false">IF(AND(OR(CC55="L1",CC55="L23",CC55="LIFT"),BA55&gt;0),SUMIFS($BA$7:$BA$1843,$CC$7:$CC$1843,CC55,$BD$7:$BD$1843,"&gt;"&amp;BD55)+SUMIFS($BA$7:$BA$1843,$CC$7:$CC$1843,CC55,$BD$7:$BD$1843,BD55,$BT$7:$BT$1843,"&lt;="&amp;BT55),"")</f>
        <v>34261.8605161317</v>
      </c>
      <c r="BF55" s="58" t="n">
        <f aca="false">IF(BE55="",0,MAX(0,MIN(1,(IF(CC55="L1",Parameter!$H$5,IF(CC55="L23",Parameter!$H$6+Parameter!$H$7,Parameter!$H$5+Parameter!$H$6+Parameter!$H$7))-(BE55-BA55))/BA55)))</f>
        <v>1</v>
      </c>
      <c r="BG55" s="48" t="str">
        <f aca="false">IF(AI55&lt;=0,"",IF(CC55="Aussen","Aussenlager",IF(CC55="-","Nicht im Lift",IF(AN55&gt;=1,"Lift",IF(AN55&lt;=0,"Aussenlager","teilweise")))))</f>
        <v>Lift</v>
      </c>
      <c r="BH55" s="48" t="str">
        <f aca="false">IF(AR55&lt;=0,"",IF(CC55="Aussen","Aussenlager",IF(CC55="-","Nicht im Lift",IF(AW55&gt;=1,"Lift",IF(AW55&lt;=0,"Aussenlager","teilweise")))))</f>
        <v>Aussenlager</v>
      </c>
      <c r="BI55" s="48" t="str">
        <f aca="false">IF(BA55&lt;=0,"",IF(CC55="Aussen","Aussenlager",IF(CC55="-","Nicht im Lift",IF(BF55&gt;=1,"Lift",IF(BF55&lt;=0,"Aussenlager","teilweise")))))</f>
        <v>Lift</v>
      </c>
      <c r="BJ55" s="48" t="str">
        <f aca="false">IF(A55="","",IF(BS55=1,"Neu; ","")&amp;IF(AND(BS55=0,BN55&lt;0),"negativer Bestand (Export "&amp;BN55&amp;"); ","")&amp;IF(J55&lt;=0,"Kein Verbrauch; ","")&amp;IF(CL55&gt;0,"Lift "&amp;W55&amp;" lt. Liftbericht (Fach "&amp;X55&amp;" Stk); ",IF(BX55=1,"Gebinde geschätzt ("&amp;T55&amp;"); ",IF(BW55=1,"Lose – Tablare geschätzt; ","")))&amp;IF(H55&gt;AT55,"Überbestand "&amp;ROUND(H55-AT55,0)&amp;" Stk / CHF "&amp;ROUND((H55-AT55)*G55,0)&amp;"; ","")&amp;IF(AND(CE55=1,CF55&lt;CG55),"MAX &lt; MB+LG; ","")&amp;IF(AND(CK55&gt;0,CJ55*10&gt;CK55),"zu hoch für Tablar; ","")&amp;IF(AND(BS55=0,OR(CE55=1,AA55&lt;&gt;"",U55&lt;&gt;"",V55&lt;&gt;"",AB55&lt;&gt;"")),"manuell übersteuert; ","")&amp;IF(AND(BW55=0,R55=0),"Gebinde unbekannt / Stellmass fehlt; ","")&amp;IF(AND(BW55=0,N(V55)&lt;=0,N(Q55)&lt;=0),"Menge pro Gebinde fehlt (Ist = 1 Gebinde); ","")&amp;BR55)</f>
        <v>Kein Verbrauch; Gebinde geschätzt (Mittel); Menge pro Gebinde fehlt (Ist = 1 Gebinde); </v>
      </c>
      <c r="BK55" s="48" t="s">
        <v>310</v>
      </c>
      <c r="BL55" s="48"/>
      <c r="BM55" s="55"/>
      <c r="BN55" s="50" t="n">
        <v>11</v>
      </c>
      <c r="BO55" s="50" t="n">
        <v>0</v>
      </c>
      <c r="BP55" s="49" t="n">
        <v>4746.28</v>
      </c>
      <c r="BQ55" s="50" t="n">
        <v>0</v>
      </c>
      <c r="BR55" s="48"/>
      <c r="BS55" s="53" t="n">
        <v>0</v>
      </c>
      <c r="BT55" s="53" t="n">
        <v>55</v>
      </c>
      <c r="BU55" s="48" t="str">
        <f aca="false">IF(U55&lt;&gt;"",UPPER(TRIM(U55)),IF(BX55=1,UPPER(VLOOKUP(T55,Parameter!$I$27:$K$29,2,0)),IF(P55="","LOSE",P55)))</f>
        <v>S61</v>
      </c>
      <c r="BV55" s="50" t="n">
        <f aca="false">IF(BU55="LOSE",1,IF(N(V55)&gt;0,V55,IF(BX55=1,MAX(1,N(VLOOKUP(T55,Parameter!$I$27:$K$29,3,0)),H55,N(N55)),IF(N(Q55)&gt;0,Q55,MAX(1,H55)))))</f>
        <v>11</v>
      </c>
      <c r="BW55" s="53" t="n">
        <f aca="false">IF(BU55="LOSE",1,0)</f>
        <v>0</v>
      </c>
      <c r="BX55" s="53" t="n">
        <f aca="false">IF(AND(U55="",OR(P55="",P55="LOSE"),T55&lt;&gt;"",N(S55)&lt;=0,ISNUMBER(MATCH(T55,Parameter!$I$27:$I$29,0))),1,0)</f>
        <v>1</v>
      </c>
      <c r="BY55" s="53" t="n">
        <f aca="false">IF(CL55&gt;0,INDEX(Parameter!$H$5:$H$7,W55)/INDEX(Parameter!$E$5:$E$7,W55),IF(AND(BW55=0,N(IFERROR(VLOOKUP(BU55,'Gebinde-Kategorie'!$A$5:$N$45,14,0),0))&gt;0),VLOOKUP(BU55,'Gebinde-Kategorie'!$A$5:$N$45,14,0)*10+Parameter!$M$23,Parameter!$M$24))</f>
        <v>145</v>
      </c>
      <c r="BZ55" s="48" t="str">
        <f aca="false">IF(AND(Parameter!$B$19="Ja",E55&lt;&gt;"",ISNUMBER(MATCH(E55,Parameter!$I$35:$I$52,0))),VLOOKUP(E55,Parameter!$I$35:$J$52,2,0),IFERROR(VLOOKUP(D55,Parameter!$A$35:$C$64,2,0),"Nein"))</f>
        <v>2+3</v>
      </c>
      <c r="CA55" s="52" t="n">
        <f aca="false">IF(BW55=0,0,IF(N(S55)&gt;0,S55,IFERROR(VLOOKUP(D55,Parameter!$A$35:$C$64,3,0)+0,0)))</f>
        <v>0</v>
      </c>
      <c r="CB55" s="48" t="n">
        <f aca="false">IF(AA55&lt;&gt;"",AA55,Z55)</f>
        <v>2</v>
      </c>
      <c r="CC55" s="48" t="str">
        <f aca="false">IF(OR(CB55=1,CB55=2,CB55=3),IF(Parameter!$E$27="Ja","LIFT",IF(CB55=1,"L1","L23")),IF(CB55="Aussen","Aussen","-"))</f>
        <v>LIFT</v>
      </c>
      <c r="CD55" s="59" t="n">
        <f aca="false">IF(N(AB55)&gt;0,AB55,0)</f>
        <v>0</v>
      </c>
      <c r="CE55" s="53" t="n">
        <f aca="false">IF(ISNUMBER(AE55),1,0)</f>
        <v>0</v>
      </c>
      <c r="CF55" s="50" t="n">
        <f aca="false">N(AE55)</f>
        <v>0</v>
      </c>
      <c r="CG55" s="50" t="n">
        <f aca="false">N(M55)+N(N55)</f>
        <v>6</v>
      </c>
      <c r="CH55" s="50" t="n">
        <f aca="false">ROUNDUP(H55/BV55,0)</f>
        <v>1</v>
      </c>
      <c r="CI55" s="50" t="n">
        <f aca="false">ROUNDUP(CF55/BV55,0)</f>
        <v>0</v>
      </c>
      <c r="CJ55" s="53" t="n">
        <f aca="false">IF(BW55=1,0,IFERROR(VLOOKUP(BU55,'Gebinde-Kategorie'!$A$5:$N$45,5,0)+0,0))</f>
        <v>11</v>
      </c>
      <c r="CK55" s="53" t="n">
        <f aca="false">IFERROR(IF(OR(CB55=1,CB55=2,CB55=3),N(INDEX(Parameter!$I$5:$I$7,CB55)),0),0)</f>
        <v>0</v>
      </c>
      <c r="CL55" s="52" t="n">
        <f aca="false">IF(AND(Parameter!$B$21="Ja",ISNUMBER(W55),N(X55)&gt;0),IFERROR(N(INDEX(Parameter!$L$5:$L$7,W55))*INDEX(Parameter!$E$5:$E$7,W55)*X55/SUMIFS($X$7:$X$1843,$W$7:$W$1843,W55),0),0)</f>
        <v>0</v>
      </c>
    </row>
    <row r="56" customFormat="false" ht="15" hidden="false" customHeight="false" outlineLevel="0" collapsed="false">
      <c r="A56" s="48" t="s">
        <v>311</v>
      </c>
      <c r="B56" s="48" t="s">
        <v>312</v>
      </c>
      <c r="C56" s="48" t="s">
        <v>168</v>
      </c>
      <c r="D56" s="48" t="s">
        <v>177</v>
      </c>
      <c r="E56" s="48"/>
      <c r="F56" s="48" t="s">
        <v>222</v>
      </c>
      <c r="G56" s="49" t="n">
        <v>455.63</v>
      </c>
      <c r="H56" s="50" t="n">
        <f aca="false">MAX(0,IF(AND(Parameter!$B$21="Ja",ISNUMBER(Y56)),Y56,IF(Parameter!$B$20="Jahresanfang 2025 + Export",BO56+BN56,BN56)))</f>
        <v>10</v>
      </c>
      <c r="I56" s="50" t="n">
        <f aca="false">H56*G56</f>
        <v>4556.3</v>
      </c>
      <c r="J56" s="50" t="n">
        <f aca="false">BQ56*Parameter!$B$18</f>
        <v>0</v>
      </c>
      <c r="K56" s="51" t="n">
        <v>0</v>
      </c>
      <c r="L56" s="52" t="n">
        <v>0</v>
      </c>
      <c r="M56" s="50" t="n">
        <v>4</v>
      </c>
      <c r="N56" s="50" t="n">
        <v>16</v>
      </c>
      <c r="O56" s="53" t="n">
        <v>28</v>
      </c>
      <c r="P56" s="48" t="s">
        <v>172</v>
      </c>
      <c r="Q56" s="50"/>
      <c r="R56" s="53" t="n">
        <f aca="false">IF(BW56=1,0,IFERROR(VLOOKUP(BU56,'Gebinde-Kategorie'!$A$5:$N$45,13,0)+0,0))</f>
        <v>12</v>
      </c>
      <c r="S56" s="54"/>
      <c r="T56" s="55" t="s">
        <v>183</v>
      </c>
      <c r="U56" s="55"/>
      <c r="V56" s="55"/>
      <c r="W56" s="48"/>
      <c r="X56" s="50"/>
      <c r="Y56" s="50"/>
      <c r="Z56" s="48" t="n">
        <f aca="false">IF(A56="","",IF(AND(Parameter!$B$21="Ja",ISNUMBER(W56)),W56,IF(BZ56="2+3",IF(ISNUMBER(SEARCH("grosser Artikel",BR56)),2,IFERROR(VLOOKUP(BU56,Parameter!$F$35:$G$64,2,0),2)),IF(OR(BZ56="Nein",BZ56=""),"-",BZ56))))</f>
        <v>2</v>
      </c>
      <c r="AA56" s="55"/>
      <c r="AB56" s="56"/>
      <c r="AC56" s="50" t="n">
        <f aca="false">AT56</f>
        <v>32</v>
      </c>
      <c r="AD56" s="50" t="n">
        <f aca="false">MAX(AT56,H56)</f>
        <v>32</v>
      </c>
      <c r="AE56" s="57"/>
      <c r="AF56" s="50" t="n">
        <f aca="false">IF(LEFT(Cockpit!$C$5,1)="A",H56,IF(CE56=1,CF56,IF(LEFT(Cockpit!$C$5,1)="B",AK56,MAX(AK56,H56))))</f>
        <v>10</v>
      </c>
      <c r="AG56" s="50" t="n">
        <f aca="false">IF(BW56=1,0,ROUNDUP(AF56/BV56,0))</f>
        <v>1</v>
      </c>
      <c r="AH56" s="52" t="n">
        <f aca="false">IF(CL56&gt;0,CL56*MAX(1,AF56/X56),IF(BW56=1,IF(AF56&lt;=0,0,CA56*MAX(1,IF(H56&gt;0,AF56/H56,1))),IF(R56&gt;0,AG56/R56,0))/MAX(0.1,N(Parameter!$M$21)))</f>
        <v>0.0833333333333333</v>
      </c>
      <c r="AI56" s="50" t="n">
        <f aca="false">AH56*BY56</f>
        <v>12.0833333333333</v>
      </c>
      <c r="AJ56" s="50" t="n">
        <f aca="false">AF56*G56</f>
        <v>4556.3</v>
      </c>
      <c r="AK56" s="50" t="n">
        <f aca="false">ROUNDUP(MAX(J56/IF(CD56&gt;0,CD56,MAX(0.1,N(Cockpit!$C$6))),CG56)/BV56,0)*BV56</f>
        <v>32</v>
      </c>
      <c r="AL56" s="51" t="n">
        <f aca="false">IF(AI56&gt;0,J56/AI56,-1)</f>
        <v>0</v>
      </c>
      <c r="AM56" s="51" t="n">
        <f aca="false">IF(AND(OR(CC56="L1",CC56="L23",CC56="LIFT"),AI56&gt;0),SUMIFS($AI$7:$AI$1843,$CC$7:$CC$1843,CC56,$AL$7:$AL$1843,"&gt;"&amp;AL56)+SUMIFS($AI$7:$AI$1843,$CC$7:$CC$1843,CC56,$AL$7:$AL$1843,AL56,$BT$7:$BT$1843,"&lt;="&amp;BT56),"")</f>
        <v>26329.2419212144</v>
      </c>
      <c r="AN56" s="58" t="n">
        <f aca="false">IF(AM56="",0,MAX(0,MIN(1,(IF(CC56="L1",Parameter!$H$5,IF(CC56="L23",Parameter!$H$6+Parameter!$H$7,Parameter!$H$5+Parameter!$H$6+Parameter!$H$7))-(AM56-AI56))/AI56)))</f>
        <v>1</v>
      </c>
      <c r="AO56" s="50" t="n">
        <f aca="false">IF(LEFT(Cockpit!$I$5,1)="A",H56,IF(CE56=1,CF56,IF(LEFT(Cockpit!$I$5,1)="B",AT56,MAX(AT56,H56))))</f>
        <v>32</v>
      </c>
      <c r="AP56" s="50" t="n">
        <f aca="false">IF(BW56=1,0,ROUNDUP(AO56/BV56,0))</f>
        <v>2</v>
      </c>
      <c r="AQ56" s="52" t="n">
        <f aca="false">IF(CL56&gt;0,CL56*MAX(1,AO56/X56),IF(BW56=1,IF(AO56&lt;=0,0,CA56*MAX(1,IF(H56&gt;0,AO56/H56,1))),IF(R56&gt;0,AP56/R56,0))/MAX(0.1,N(Parameter!$M$21)))</f>
        <v>0.166666666666667</v>
      </c>
      <c r="AR56" s="50" t="n">
        <f aca="false">AQ56*BY56</f>
        <v>24.1666666666667</v>
      </c>
      <c r="AS56" s="50" t="n">
        <f aca="false">AO56*G56</f>
        <v>14580.16</v>
      </c>
      <c r="AT56" s="50" t="n">
        <f aca="false">ROUNDUP(MAX(J56/IF(CD56&gt;0,CD56,MAX(0.1,N(Cockpit!$I$6))),CG56)/BV56,0)*BV56</f>
        <v>32</v>
      </c>
      <c r="AU56" s="51" t="n">
        <f aca="false">IF(AR56&gt;0,J56/AR56,-1)</f>
        <v>0</v>
      </c>
      <c r="AV56" s="51" t="n">
        <f aca="false">IF(AND(OR(CC56="L1",CC56="L23",CC56="LIFT"),AR56&gt;0),SUMIFS($AR$7:$AR$1843,$CC$7:$CC$1843,CC56,$AU$7:$AU$1843,"&gt;"&amp;AU56)+SUMIFS($AR$7:$AR$1843,$CC$7:$CC$1843,CC56,$AU$7:$AU$1843,AU56,$BT$7:$BT$1843,"&lt;="&amp;BT56),"")</f>
        <v>37611.0151409325</v>
      </c>
      <c r="AW56" s="58" t="n">
        <f aca="false">IF(AV56="",0,MAX(0,MIN(1,(IF(CC56="L1",Parameter!$H$5,IF(CC56="L23",Parameter!$H$6+Parameter!$H$7,Parameter!$H$5+Parameter!$H$6+Parameter!$H$7))-(AV56-AR56))/AR56)))</f>
        <v>0</v>
      </c>
      <c r="AX56" s="50" t="n">
        <f aca="false">IF(LEFT(Cockpit!$O$5,1)="A",H56,IF(CE56=1,CF56,IF(LEFT(Cockpit!$O$5,1)="B",BC56,MAX(BC56,H56))))</f>
        <v>32</v>
      </c>
      <c r="AY56" s="50" t="n">
        <f aca="false">IF(BW56=1,0,ROUNDUP(AX56/BV56,0))</f>
        <v>2</v>
      </c>
      <c r="AZ56" s="52" t="n">
        <f aca="false">IF(CL56&gt;0,CL56*MAX(1,AX56/X56),IF(BW56=1,IF(AX56&lt;=0,0,CA56*MAX(1,IF(H56&gt;0,AX56/H56,1))),IF(R56&gt;0,AY56/R56,0))/MAX(0.1,N(Parameter!$M$21)))</f>
        <v>0.166666666666667</v>
      </c>
      <c r="BA56" s="50" t="n">
        <f aca="false">AZ56*BY56</f>
        <v>24.1666666666667</v>
      </c>
      <c r="BB56" s="50" t="n">
        <f aca="false">AX56*G56</f>
        <v>14580.16</v>
      </c>
      <c r="BC56" s="50" t="n">
        <f aca="false">ROUNDUP(MAX(J56/IF(CD56&gt;0,CD56,MAX(0.1,N(Cockpit!$O$6))),CG56)/BV56,0)*BV56</f>
        <v>32</v>
      </c>
      <c r="BD56" s="51" t="n">
        <f aca="false">IF(BA56&gt;0,J56/BA56,-1)</f>
        <v>0</v>
      </c>
      <c r="BE56" s="51" t="n">
        <f aca="false">IF(AND(OR(CC56="L1",CC56="L23",CC56="LIFT"),BA56&gt;0),SUMIFS($BA$7:$BA$1843,$CC$7:$CC$1843,CC56,$BD$7:$BD$1843,"&gt;"&amp;BD56)+SUMIFS($BA$7:$BA$1843,$CC$7:$CC$1843,CC56,$BD$7:$BD$1843,BD56,$BT$7:$BT$1843,"&lt;="&amp;BT56),"")</f>
        <v>34286.0271827984</v>
      </c>
      <c r="BF56" s="58" t="n">
        <f aca="false">IF(BE56="",0,MAX(0,MIN(1,(IF(CC56="L1",Parameter!$H$5,IF(CC56="L23",Parameter!$H$6+Parameter!$H$7,Parameter!$H$5+Parameter!$H$6+Parameter!$H$7))-(BE56-BA56))/BA56)))</f>
        <v>1</v>
      </c>
      <c r="BG56" s="48" t="str">
        <f aca="false">IF(AI56&lt;=0,"",IF(CC56="Aussen","Aussenlager",IF(CC56="-","Nicht im Lift",IF(AN56&gt;=1,"Lift",IF(AN56&lt;=0,"Aussenlager","teilweise")))))</f>
        <v>Lift</v>
      </c>
      <c r="BH56" s="48" t="str">
        <f aca="false">IF(AR56&lt;=0,"",IF(CC56="Aussen","Aussenlager",IF(CC56="-","Nicht im Lift",IF(AW56&gt;=1,"Lift",IF(AW56&lt;=0,"Aussenlager","teilweise")))))</f>
        <v>Aussenlager</v>
      </c>
      <c r="BI56" s="48" t="str">
        <f aca="false">IF(BA56&lt;=0,"",IF(CC56="Aussen","Aussenlager",IF(CC56="-","Nicht im Lift",IF(BF56&gt;=1,"Lift",IF(BF56&lt;=0,"Aussenlager","teilweise")))))</f>
        <v>Lift</v>
      </c>
      <c r="BJ56" s="48" t="str">
        <f aca="false">IF(A56="","",IF(BS56=1,"Neu; ","")&amp;IF(AND(BS56=0,BN56&lt;0),"negativer Bestand (Export "&amp;BN56&amp;"); ","")&amp;IF(J56&lt;=0,"Kein Verbrauch; ","")&amp;IF(CL56&gt;0,"Lift "&amp;W56&amp;" lt. Liftbericht (Fach "&amp;X56&amp;" Stk); ",IF(BX56=1,"Gebinde geschätzt ("&amp;T56&amp;"); ",IF(BW56=1,"Lose – Tablare geschätzt; ","")))&amp;IF(H56&gt;AT56,"Überbestand "&amp;ROUND(H56-AT56,0)&amp;" Stk / CHF "&amp;ROUND((H56-AT56)*G56,0)&amp;"; ","")&amp;IF(AND(CE56=1,CF56&lt;CG56),"MAX &lt; MB+LG; ","")&amp;IF(AND(CK56&gt;0,CJ56*10&gt;CK56),"zu hoch für Tablar; ","")&amp;IF(AND(BS56=0,OR(CE56=1,AA56&lt;&gt;"",U56&lt;&gt;"",V56&lt;&gt;"",AB56&lt;&gt;"")),"manuell übersteuert; ","")&amp;IF(AND(BW56=0,R56=0),"Gebinde unbekannt / Stellmass fehlt; ","")&amp;IF(AND(BW56=0,N(V56)&lt;=0,N(Q56)&lt;=0),"Menge pro Gebinde fehlt (Ist = 1 Gebinde); ","")&amp;BR56)</f>
        <v>Kein Verbrauch; Gebinde geschätzt (Mittel); Menge pro Gebinde fehlt (Ist = 1 Gebinde); </v>
      </c>
      <c r="BK56" s="48" t="s">
        <v>218</v>
      </c>
      <c r="BL56" s="48"/>
      <c r="BM56" s="55"/>
      <c r="BN56" s="50" t="n">
        <v>10</v>
      </c>
      <c r="BO56" s="50" t="n">
        <v>0</v>
      </c>
      <c r="BP56" s="49" t="n">
        <v>4556.3</v>
      </c>
      <c r="BQ56" s="50" t="n">
        <v>0</v>
      </c>
      <c r="BR56" s="48"/>
      <c r="BS56" s="53" t="n">
        <v>0</v>
      </c>
      <c r="BT56" s="53" t="n">
        <v>56</v>
      </c>
      <c r="BU56" s="48" t="str">
        <f aca="false">IF(U56&lt;&gt;"",UPPER(TRIM(U56)),IF(BX56=1,UPPER(VLOOKUP(T56,Parameter!$I$27:$K$29,2,0)),IF(P56="","LOSE",P56)))</f>
        <v>S61</v>
      </c>
      <c r="BV56" s="50" t="n">
        <f aca="false">IF(BU56="LOSE",1,IF(N(V56)&gt;0,V56,IF(BX56=1,MAX(1,N(VLOOKUP(T56,Parameter!$I$27:$K$29,3,0)),H56,N(N56)),IF(N(Q56)&gt;0,Q56,MAX(1,H56)))))</f>
        <v>16</v>
      </c>
      <c r="BW56" s="53" t="n">
        <f aca="false">IF(BU56="LOSE",1,0)</f>
        <v>0</v>
      </c>
      <c r="BX56" s="53" t="n">
        <f aca="false">IF(AND(U56="",OR(P56="",P56="LOSE"),T56&lt;&gt;"",N(S56)&lt;=0,ISNUMBER(MATCH(T56,Parameter!$I$27:$I$29,0))),1,0)</f>
        <v>1</v>
      </c>
      <c r="BY56" s="53" t="n">
        <f aca="false">IF(CL56&gt;0,INDEX(Parameter!$H$5:$H$7,W56)/INDEX(Parameter!$E$5:$E$7,W56),IF(AND(BW56=0,N(IFERROR(VLOOKUP(BU56,'Gebinde-Kategorie'!$A$5:$N$45,14,0),0))&gt;0),VLOOKUP(BU56,'Gebinde-Kategorie'!$A$5:$N$45,14,0)*10+Parameter!$M$23,Parameter!$M$24))</f>
        <v>145</v>
      </c>
      <c r="BZ56" s="48" t="str">
        <f aca="false">IF(AND(Parameter!$B$19="Ja",E56&lt;&gt;"",ISNUMBER(MATCH(E56,Parameter!$I$35:$I$52,0))),VLOOKUP(E56,Parameter!$I$35:$J$52,2,0),IFERROR(VLOOKUP(D56,Parameter!$A$35:$C$64,2,0),"Nein"))</f>
        <v>2+3</v>
      </c>
      <c r="CA56" s="52" t="n">
        <f aca="false">IF(BW56=0,0,IF(N(S56)&gt;0,S56,IFERROR(VLOOKUP(D56,Parameter!$A$35:$C$64,3,0)+0,0)))</f>
        <v>0</v>
      </c>
      <c r="CB56" s="48" t="n">
        <f aca="false">IF(AA56&lt;&gt;"",AA56,Z56)</f>
        <v>2</v>
      </c>
      <c r="CC56" s="48" t="str">
        <f aca="false">IF(OR(CB56=1,CB56=2,CB56=3),IF(Parameter!$E$27="Ja","LIFT",IF(CB56=1,"L1","L23")),IF(CB56="Aussen","Aussen","-"))</f>
        <v>LIFT</v>
      </c>
      <c r="CD56" s="59" t="n">
        <f aca="false">IF(N(AB56)&gt;0,AB56,0)</f>
        <v>0</v>
      </c>
      <c r="CE56" s="53" t="n">
        <f aca="false">IF(ISNUMBER(AE56),1,0)</f>
        <v>0</v>
      </c>
      <c r="CF56" s="50" t="n">
        <f aca="false">N(AE56)</f>
        <v>0</v>
      </c>
      <c r="CG56" s="50" t="n">
        <f aca="false">N(M56)+N(N56)</f>
        <v>20</v>
      </c>
      <c r="CH56" s="50" t="n">
        <f aca="false">ROUNDUP(H56/BV56,0)</f>
        <v>1</v>
      </c>
      <c r="CI56" s="50" t="n">
        <f aca="false">ROUNDUP(CF56/BV56,0)</f>
        <v>0</v>
      </c>
      <c r="CJ56" s="53" t="n">
        <f aca="false">IF(BW56=1,0,IFERROR(VLOOKUP(BU56,'Gebinde-Kategorie'!$A$5:$N$45,5,0)+0,0))</f>
        <v>11</v>
      </c>
      <c r="CK56" s="53" t="n">
        <f aca="false">IFERROR(IF(OR(CB56=1,CB56=2,CB56=3),N(INDEX(Parameter!$I$5:$I$7,CB56)),0),0)</f>
        <v>0</v>
      </c>
      <c r="CL56" s="52" t="n">
        <f aca="false">IF(AND(Parameter!$B$21="Ja",ISNUMBER(W56),N(X56)&gt;0),IFERROR(N(INDEX(Parameter!$L$5:$L$7,W56))*INDEX(Parameter!$E$5:$E$7,W56)*X56/SUMIFS($X$7:$X$1843,$W$7:$W$1843,W56),0),0)</f>
        <v>0</v>
      </c>
    </row>
    <row r="57" customFormat="false" ht="15" hidden="false" customHeight="false" outlineLevel="0" collapsed="false">
      <c r="A57" s="48" t="s">
        <v>313</v>
      </c>
      <c r="B57" s="48" t="s">
        <v>314</v>
      </c>
      <c r="C57" s="48" t="s">
        <v>168</v>
      </c>
      <c r="D57" s="48" t="s">
        <v>188</v>
      </c>
      <c r="E57" s="48" t="s">
        <v>189</v>
      </c>
      <c r="F57" s="48" t="s">
        <v>222</v>
      </c>
      <c r="G57" s="49" t="n">
        <v>280.9</v>
      </c>
      <c r="H57" s="50" t="n">
        <f aca="false">MAX(0,IF(AND(Parameter!$B$21="Ja",ISNUMBER(Y57)),Y57,IF(Parameter!$B$20="Jahresanfang 2025 + Export",BO57+BN57,BN57)))</f>
        <v>64</v>
      </c>
      <c r="I57" s="50" t="n">
        <f aca="false">H57*G57</f>
        <v>17977.6</v>
      </c>
      <c r="J57" s="50" t="n">
        <f aca="false">BQ57*Parameter!$B$18</f>
        <v>232</v>
      </c>
      <c r="K57" s="51" t="n">
        <v>71</v>
      </c>
      <c r="L57" s="52" t="n">
        <v>3.26760563380282</v>
      </c>
      <c r="M57" s="50" t="n">
        <v>13</v>
      </c>
      <c r="N57" s="50" t="n">
        <v>25</v>
      </c>
      <c r="O57" s="53" t="n">
        <v>21</v>
      </c>
      <c r="P57" s="48" t="s">
        <v>297</v>
      </c>
      <c r="Q57" s="50" t="n">
        <v>89</v>
      </c>
      <c r="R57" s="53" t="n">
        <f aca="false">IF(BW57=1,0,IFERROR(VLOOKUP(BU57,'Gebinde-Kategorie'!$A$5:$N$45,13,0)+0,0))</f>
        <v>12</v>
      </c>
      <c r="S57" s="54"/>
      <c r="T57" s="55"/>
      <c r="U57" s="55"/>
      <c r="V57" s="55"/>
      <c r="W57" s="48"/>
      <c r="X57" s="50"/>
      <c r="Y57" s="50"/>
      <c r="Z57" s="48" t="n">
        <f aca="false">IF(A57="","",IF(AND(Parameter!$B$21="Ja",ISNUMBER(W57)),W57,IF(BZ57="2+3",IF(ISNUMBER(SEARCH("grosser Artikel",BR57)),2,IFERROR(VLOOKUP(BU57,Parameter!$F$35:$G$64,2,0),2)),IF(OR(BZ57="Nein",BZ57=""),"-",BZ57))))</f>
        <v>2</v>
      </c>
      <c r="AA57" s="55"/>
      <c r="AB57" s="56"/>
      <c r="AC57" s="50" t="n">
        <f aca="false">AT57</f>
        <v>178</v>
      </c>
      <c r="AD57" s="50" t="n">
        <f aca="false">MAX(AT57,H57)</f>
        <v>178</v>
      </c>
      <c r="AE57" s="57"/>
      <c r="AF57" s="50" t="n">
        <f aca="false">IF(LEFT(Cockpit!$C$5,1)="A",H57,IF(CE57=1,CF57,IF(LEFT(Cockpit!$C$5,1)="B",AK57,MAX(AK57,H57))))</f>
        <v>64</v>
      </c>
      <c r="AG57" s="50" t="n">
        <f aca="false">IF(BW57=1,0,ROUNDUP(AF57/BV57,0))</f>
        <v>1</v>
      </c>
      <c r="AH57" s="52" t="n">
        <f aca="false">IF(CL57&gt;0,CL57*MAX(1,AF57/X57),IF(BW57=1,IF(AF57&lt;=0,0,CA57*MAX(1,IF(H57&gt;0,AF57/H57,1))),IF(R57&gt;0,AG57/R57,0))/MAX(0.1,N(Parameter!$M$21)))</f>
        <v>0.0833333333333333</v>
      </c>
      <c r="AI57" s="50" t="n">
        <f aca="false">AH57*BY57</f>
        <v>20.4166666666667</v>
      </c>
      <c r="AJ57" s="50" t="n">
        <f aca="false">AF57*G57</f>
        <v>17977.6</v>
      </c>
      <c r="AK57" s="50" t="n">
        <f aca="false">ROUNDUP(MAX(J57/IF(CD57&gt;0,CD57,MAX(0.1,N(Cockpit!$C$6))),CG57)/BV57,0)*BV57</f>
        <v>178</v>
      </c>
      <c r="AL57" s="51" t="n">
        <f aca="false">IF(AI57&gt;0,J57/AI57,-1)</f>
        <v>11.3632653061225</v>
      </c>
      <c r="AM57" s="51" t="n">
        <f aca="false">IF(AND(OR(CC57="L1",CC57="L23",CC57="LIFT"),AI57&gt;0),SUMIFS($AI$7:$AI$1843,$CC$7:$CC$1843,CC57,$AL$7:$AL$1843,"&gt;"&amp;AL57)+SUMIFS($AI$7:$AI$1843,$CC$7:$CC$1843,CC57,$AL$7:$AL$1843,AL57,$BT$7:$BT$1843,"&lt;="&amp;BT57),"")</f>
        <v>2573.81501831502</v>
      </c>
      <c r="AN57" s="58" t="n">
        <f aca="false">IF(AM57="",0,MAX(0,MIN(1,(IF(CC57="L1",Parameter!$H$5,IF(CC57="L23",Parameter!$H$6+Parameter!$H$7,Parameter!$H$5+Parameter!$H$6+Parameter!$H$7))-(AM57-AI57))/AI57)))</f>
        <v>1</v>
      </c>
      <c r="AO57" s="50" t="n">
        <f aca="false">IF(LEFT(Cockpit!$I$5,1)="A",H57,IF(CE57=1,CF57,IF(LEFT(Cockpit!$I$5,1)="B",AT57,MAX(AT57,H57))))</f>
        <v>178</v>
      </c>
      <c r="AP57" s="50" t="n">
        <f aca="false">IF(BW57=1,0,ROUNDUP(AO57/BV57,0))</f>
        <v>2</v>
      </c>
      <c r="AQ57" s="52" t="n">
        <f aca="false">IF(CL57&gt;0,CL57*MAX(1,AO57/X57),IF(BW57=1,IF(AO57&lt;=0,0,CA57*MAX(1,IF(H57&gt;0,AO57/H57,1))),IF(R57&gt;0,AP57/R57,0))/MAX(0.1,N(Parameter!$M$21)))</f>
        <v>0.166666666666667</v>
      </c>
      <c r="AR57" s="50" t="n">
        <f aca="false">AQ57*BY57</f>
        <v>40.8333333333333</v>
      </c>
      <c r="AS57" s="50" t="n">
        <f aca="false">AO57*G57</f>
        <v>50000.2</v>
      </c>
      <c r="AT57" s="50" t="n">
        <f aca="false">ROUNDUP(MAX(J57/IF(CD57&gt;0,CD57,MAX(0.1,N(Cockpit!$I$6))),CG57)/BV57,0)*BV57</f>
        <v>178</v>
      </c>
      <c r="AU57" s="51" t="n">
        <f aca="false">IF(AR57&gt;0,J57/AR57,-1)</f>
        <v>5.68163265306123</v>
      </c>
      <c r="AV57" s="51" t="n">
        <f aca="false">IF(AND(OR(CC57="L1",CC57="L23",CC57="LIFT"),AR57&gt;0),SUMIFS($AR$7:$AR$1843,$CC$7:$CC$1843,CC57,$AU$7:$AU$1843,"&gt;"&amp;AU57)+SUMIFS($AR$7:$AR$1843,$CC$7:$CC$1843,CC57,$AU$7:$AU$1843,AU57,$BT$7:$BT$1843,"&lt;="&amp;BT57),"")</f>
        <v>4781.38873626374</v>
      </c>
      <c r="AW57" s="58" t="n">
        <f aca="false">IF(AV57="",0,MAX(0,MIN(1,(IF(CC57="L1",Parameter!$H$5,IF(CC57="L23",Parameter!$H$6+Parameter!$H$7,Parameter!$H$5+Parameter!$H$6+Parameter!$H$7))-(AV57-AR57))/AR57)))</f>
        <v>1</v>
      </c>
      <c r="AX57" s="50" t="n">
        <f aca="false">IF(LEFT(Cockpit!$O$5,1)="A",H57,IF(CE57=1,CF57,IF(LEFT(Cockpit!$O$5,1)="B",BC57,MAX(BC57,H57))))</f>
        <v>89</v>
      </c>
      <c r="AY57" s="50" t="n">
        <f aca="false">IF(BW57=1,0,ROUNDUP(AX57/BV57,0))</f>
        <v>1</v>
      </c>
      <c r="AZ57" s="52" t="n">
        <f aca="false">IF(CL57&gt;0,CL57*MAX(1,AX57/X57),IF(BW57=1,IF(AX57&lt;=0,0,CA57*MAX(1,IF(H57&gt;0,AX57/H57,1))),IF(R57&gt;0,AY57/R57,0))/MAX(0.1,N(Parameter!$M$21)))</f>
        <v>0.0833333333333333</v>
      </c>
      <c r="BA57" s="50" t="n">
        <f aca="false">AZ57*BY57</f>
        <v>20.4166666666667</v>
      </c>
      <c r="BB57" s="50" t="n">
        <f aca="false">AX57*G57</f>
        <v>25000.1</v>
      </c>
      <c r="BC57" s="50" t="n">
        <f aca="false">ROUNDUP(MAX(J57/IF(CD57&gt;0,CD57,MAX(0.1,N(Cockpit!$O$6))),CG57)/BV57,0)*BV57</f>
        <v>89</v>
      </c>
      <c r="BD57" s="51" t="n">
        <f aca="false">IF(BA57&gt;0,J57/BA57,-1)</f>
        <v>11.3632653061225</v>
      </c>
      <c r="BE57" s="51" t="n">
        <f aca="false">IF(AND(OR(CC57="L1",CC57="L23",CC57="LIFT"),BA57&gt;0),SUMIFS($BA$7:$BA$1843,$CC$7:$CC$1843,CC57,$BD$7:$BD$1843,"&gt;"&amp;BD57)+SUMIFS($BA$7:$BA$1843,$CC$7:$CC$1843,CC57,$BD$7:$BD$1843,BD57,$BT$7:$BT$1843,"&lt;="&amp;BT57),"")</f>
        <v>3380.19230769231</v>
      </c>
      <c r="BF57" s="58" t="n">
        <f aca="false">IF(BE57="",0,MAX(0,MIN(1,(IF(CC57="L1",Parameter!$H$5,IF(CC57="L23",Parameter!$H$6+Parameter!$H$7,Parameter!$H$5+Parameter!$H$6+Parameter!$H$7))-(BE57-BA57))/BA57)))</f>
        <v>1</v>
      </c>
      <c r="BG57" s="48" t="str">
        <f aca="false">IF(AI57&lt;=0,"",IF(CC57="Aussen","Aussenlager",IF(CC57="-","Nicht im Lift",IF(AN57&gt;=1,"Lift",IF(AN57&lt;=0,"Aussenlager","teilweise")))))</f>
        <v>Lift</v>
      </c>
      <c r="BH57" s="48" t="str">
        <f aca="false">IF(AR57&lt;=0,"",IF(CC57="Aussen","Aussenlager",IF(CC57="-","Nicht im Lift",IF(AW57&gt;=1,"Lift",IF(AW57&lt;=0,"Aussenlager","teilweise")))))</f>
        <v>Lift</v>
      </c>
      <c r="BI57" s="48" t="str">
        <f aca="false">IF(BA57&lt;=0,"",IF(CC57="Aussen","Aussenlager",IF(CC57="-","Nicht im Lift",IF(BF57&gt;=1,"Lift",IF(BF57&lt;=0,"Aussenlager","teilweise")))))</f>
        <v>Lift</v>
      </c>
      <c r="BJ57" s="48" t="str">
        <f aca="false">IF(A57="","",IF(BS57=1,"Neu; ","")&amp;IF(AND(BS57=0,BN57&lt;0),"negativer Bestand (Export "&amp;BN57&amp;"); ","")&amp;IF(J57&lt;=0,"Kein Verbrauch; ","")&amp;IF(CL57&gt;0,"Lift "&amp;W57&amp;" lt. Liftbericht (Fach "&amp;X57&amp;" Stk); ",IF(BX57=1,"Gebinde geschätzt ("&amp;T57&amp;"); ",IF(BW57=1,"Lose – Tablare geschätzt; ","")))&amp;IF(H57&gt;AT57,"Überbestand "&amp;ROUND(H57-AT57,0)&amp;" Stk / CHF "&amp;ROUND((H57-AT57)*G57,0)&amp;"; ","")&amp;IF(AND(CE57=1,CF57&lt;CG57),"MAX &lt; MB+LG; ","")&amp;IF(AND(CK57&gt;0,CJ57*10&gt;CK57),"zu hoch für Tablar; ","")&amp;IF(AND(BS57=0,OR(CE57=1,AA57&lt;&gt;"",U57&lt;&gt;"",V57&lt;&gt;"",AB57&lt;&gt;"")),"manuell übersteuert; ","")&amp;IF(AND(BW57=0,R57=0),"Gebinde unbekannt / Stellmass fehlt; ","")&amp;IF(AND(BW57=0,N(V57)&lt;=0,N(Q57)&lt;=0),"Menge pro Gebinde fehlt (Ist = 1 Gebinde); ","")&amp;BR57)</f>
        <v/>
      </c>
      <c r="BK57" s="48"/>
      <c r="BL57" s="48"/>
      <c r="BM57" s="55"/>
      <c r="BN57" s="50" t="n">
        <v>13</v>
      </c>
      <c r="BO57" s="50" t="n">
        <v>51</v>
      </c>
      <c r="BP57" s="49" t="n">
        <v>4516.17999999989</v>
      </c>
      <c r="BQ57" s="50" t="n">
        <v>232</v>
      </c>
      <c r="BR57" s="48"/>
      <c r="BS57" s="53" t="n">
        <v>0</v>
      </c>
      <c r="BT57" s="53" t="n">
        <v>57</v>
      </c>
      <c r="BU57" s="48" t="str">
        <f aca="false">IF(U57&lt;&gt;"",UPPER(TRIM(U57)),IF(BX57=1,UPPER(VLOOKUP(T57,Parameter!$I$27:$K$29,2,0)),IF(P57="","LOSE",P57)))</f>
        <v>S62</v>
      </c>
      <c r="BV57" s="50" t="n">
        <f aca="false">IF(BU57="LOSE",1,IF(N(V57)&gt;0,V57,IF(BX57=1,MAX(1,N(VLOOKUP(T57,Parameter!$I$27:$K$29,3,0)),H57,N(N57)),IF(N(Q57)&gt;0,Q57,MAX(1,H57)))))</f>
        <v>89</v>
      </c>
      <c r="BW57" s="53" t="n">
        <f aca="false">IF(BU57="LOSE",1,0)</f>
        <v>0</v>
      </c>
      <c r="BX57" s="53" t="n">
        <f aca="false">IF(AND(U57="",OR(P57="",P57="LOSE"),T57&lt;&gt;"",N(S57)&lt;=0,ISNUMBER(MATCH(T57,Parameter!$I$27:$I$29,0))),1,0)</f>
        <v>0</v>
      </c>
      <c r="BY57" s="53" t="n">
        <f aca="false">IF(CL57&gt;0,INDEX(Parameter!$H$5:$H$7,W57)/INDEX(Parameter!$E$5:$E$7,W57),IF(AND(BW57=0,N(IFERROR(VLOOKUP(BU57,'Gebinde-Kategorie'!$A$5:$N$45,14,0),0))&gt;0),VLOOKUP(BU57,'Gebinde-Kategorie'!$A$5:$N$45,14,0)*10+Parameter!$M$23,Parameter!$M$24))</f>
        <v>245</v>
      </c>
      <c r="BZ57" s="48" t="str">
        <f aca="false">IF(AND(Parameter!$B$19="Ja",E57&lt;&gt;"",ISNUMBER(MATCH(E57,Parameter!$I$35:$I$52,0))),VLOOKUP(E57,Parameter!$I$35:$J$52,2,0),IFERROR(VLOOKUP(D57,Parameter!$A$35:$C$64,2,0),"Nein"))</f>
        <v>2+3</v>
      </c>
      <c r="CA57" s="52" t="n">
        <f aca="false">IF(BW57=0,0,IF(N(S57)&gt;0,S57,IFERROR(VLOOKUP(D57,Parameter!$A$35:$C$64,3,0)+0,0)))</f>
        <v>0</v>
      </c>
      <c r="CB57" s="48" t="n">
        <f aca="false">IF(AA57&lt;&gt;"",AA57,Z57)</f>
        <v>2</v>
      </c>
      <c r="CC57" s="48" t="str">
        <f aca="false">IF(OR(CB57=1,CB57=2,CB57=3),IF(Parameter!$E$27="Ja","LIFT",IF(CB57=1,"L1","L23")),IF(CB57="Aussen","Aussen","-"))</f>
        <v>LIFT</v>
      </c>
      <c r="CD57" s="59" t="n">
        <f aca="false">IF(N(AB57)&gt;0,AB57,0)</f>
        <v>0</v>
      </c>
      <c r="CE57" s="53" t="n">
        <f aca="false">IF(ISNUMBER(AE57),1,0)</f>
        <v>0</v>
      </c>
      <c r="CF57" s="50" t="n">
        <f aca="false">N(AE57)</f>
        <v>0</v>
      </c>
      <c r="CG57" s="50" t="n">
        <f aca="false">N(M57)+N(N57)</f>
        <v>38</v>
      </c>
      <c r="CH57" s="50" t="n">
        <f aca="false">ROUNDUP(H57/BV57,0)</f>
        <v>1</v>
      </c>
      <c r="CI57" s="50" t="n">
        <f aca="false">ROUNDUP(CF57/BV57,0)</f>
        <v>0</v>
      </c>
      <c r="CJ57" s="53" t="n">
        <f aca="false">IF(BW57=1,0,IFERROR(VLOOKUP(BU57,'Gebinde-Kategorie'!$A$5:$N$45,5,0)+0,0))</f>
        <v>21</v>
      </c>
      <c r="CK57" s="53" t="n">
        <f aca="false">IFERROR(IF(OR(CB57=1,CB57=2,CB57=3),N(INDEX(Parameter!$I$5:$I$7,CB57)),0),0)</f>
        <v>0</v>
      </c>
      <c r="CL57" s="52" t="n">
        <f aca="false">IF(AND(Parameter!$B$21="Ja",ISNUMBER(W57),N(X57)&gt;0),IFERROR(N(INDEX(Parameter!$L$5:$L$7,W57))*INDEX(Parameter!$E$5:$E$7,W57)*X57/SUMIFS($X$7:$X$1843,$W$7:$W$1843,W57),0),0)</f>
        <v>0</v>
      </c>
    </row>
    <row r="58" customFormat="false" ht="15" hidden="false" customHeight="false" outlineLevel="0" collapsed="false">
      <c r="A58" s="48" t="s">
        <v>315</v>
      </c>
      <c r="B58" s="48" t="s">
        <v>316</v>
      </c>
      <c r="C58" s="48" t="s">
        <v>168</v>
      </c>
      <c r="D58" s="48" t="s">
        <v>188</v>
      </c>
      <c r="E58" s="48" t="s">
        <v>189</v>
      </c>
      <c r="F58" s="48" t="s">
        <v>222</v>
      </c>
      <c r="G58" s="49" t="n">
        <v>15.95</v>
      </c>
      <c r="H58" s="50" t="n">
        <f aca="false">MAX(0,IF(AND(Parameter!$B$21="Ja",ISNUMBER(Y58)),Y58,IF(Parameter!$B$20="Jahresanfang 2025 + Export",BO58+BN58,BN58)))</f>
        <v>309</v>
      </c>
      <c r="I58" s="50" t="n">
        <f aca="false">H58*G58</f>
        <v>4928.55</v>
      </c>
      <c r="J58" s="50" t="n">
        <f aca="false">BQ58*Parameter!$B$18</f>
        <v>310</v>
      </c>
      <c r="K58" s="51" t="n">
        <v>94.5</v>
      </c>
      <c r="L58" s="52" t="n">
        <v>3.28042328042328</v>
      </c>
      <c r="M58" s="50" t="n">
        <v>50</v>
      </c>
      <c r="N58" s="50" t="n">
        <v>225</v>
      </c>
      <c r="O58" s="53" t="n">
        <v>56</v>
      </c>
      <c r="P58" s="48" t="s">
        <v>306</v>
      </c>
      <c r="Q58" s="50" t="n">
        <v>142</v>
      </c>
      <c r="R58" s="53" t="n">
        <f aca="false">IF(BW58=1,0,IFERROR(VLOOKUP(BU58,'Gebinde-Kategorie'!$A$5:$N$45,13,0)+0,0))</f>
        <v>26</v>
      </c>
      <c r="S58" s="54"/>
      <c r="T58" s="55"/>
      <c r="U58" s="55"/>
      <c r="V58" s="55"/>
      <c r="W58" s="48"/>
      <c r="X58" s="50"/>
      <c r="Y58" s="50"/>
      <c r="Z58" s="48" t="n">
        <f aca="false">IF(A58="","",IF(AND(Parameter!$B$21="Ja",ISNUMBER(W58)),W58,IF(BZ58="2+3",IF(ISNUMBER(SEARCH("grosser Artikel",BR58)),2,IFERROR(VLOOKUP(BU58,Parameter!$F$35:$G$64,2,0),2)),IF(OR(BZ58="Nein",BZ58=""),"-",BZ58))))</f>
        <v>3</v>
      </c>
      <c r="AA58" s="55"/>
      <c r="AB58" s="56"/>
      <c r="AC58" s="50" t="n">
        <f aca="false">AT58</f>
        <v>284</v>
      </c>
      <c r="AD58" s="50" t="n">
        <f aca="false">MAX(AT58,H58)</f>
        <v>309</v>
      </c>
      <c r="AE58" s="57"/>
      <c r="AF58" s="50" t="n">
        <f aca="false">IF(LEFT(Cockpit!$C$5,1)="A",H58,IF(CE58=1,CF58,IF(LEFT(Cockpit!$C$5,1)="B",AK58,MAX(AK58,H58))))</f>
        <v>309</v>
      </c>
      <c r="AG58" s="50" t="n">
        <f aca="false">IF(BW58=1,0,ROUNDUP(AF58/BV58,0))</f>
        <v>3</v>
      </c>
      <c r="AH58" s="52" t="n">
        <f aca="false">IF(CL58&gt;0,CL58*MAX(1,AF58/X58),IF(BW58=1,IF(AF58&lt;=0,0,CA58*MAX(1,IF(H58&gt;0,AF58/H58,1))),IF(R58&gt;0,AG58/R58,0))/MAX(0.1,N(Parameter!$M$21)))</f>
        <v>0.115384615384615</v>
      </c>
      <c r="AI58" s="50" t="n">
        <f aca="false">AH58*BY58</f>
        <v>17.8846153846154</v>
      </c>
      <c r="AJ58" s="50" t="n">
        <f aca="false">AF58*G58</f>
        <v>4928.55</v>
      </c>
      <c r="AK58" s="50" t="n">
        <f aca="false">ROUNDUP(MAX(J58/IF(CD58&gt;0,CD58,MAX(0.1,N(Cockpit!$C$6))),CG58)/BV58,0)*BV58</f>
        <v>284</v>
      </c>
      <c r="AL58" s="51" t="n">
        <f aca="false">IF(AI58&gt;0,J58/AI58,-1)</f>
        <v>17.3333333333333</v>
      </c>
      <c r="AM58" s="51" t="n">
        <f aca="false">IF(AND(OR(CC58="L1",CC58="L23",CC58="LIFT"),AI58&gt;0),SUMIFS($AI$7:$AI$1843,$CC$7:$CC$1843,CC58,$AL$7:$AL$1843,"&gt;"&amp;AL58)+SUMIFS($AI$7:$AI$1843,$CC$7:$CC$1843,CC58,$AL$7:$AL$1843,AL58,$BT$7:$BT$1843,"&lt;="&amp;BT58),"")</f>
        <v>1967.4097985348</v>
      </c>
      <c r="AN58" s="58" t="n">
        <f aca="false">IF(AM58="",0,MAX(0,MIN(1,(IF(CC58="L1",Parameter!$H$5,IF(CC58="L23",Parameter!$H$6+Parameter!$H$7,Parameter!$H$5+Parameter!$H$6+Parameter!$H$7))-(AM58-AI58))/AI58)))</f>
        <v>1</v>
      </c>
      <c r="AO58" s="50" t="n">
        <f aca="false">IF(LEFT(Cockpit!$I$5,1)="A",H58,IF(CE58=1,CF58,IF(LEFT(Cockpit!$I$5,1)="B",AT58,MAX(AT58,H58))))</f>
        <v>309</v>
      </c>
      <c r="AP58" s="50" t="n">
        <f aca="false">IF(BW58=1,0,ROUNDUP(AO58/BV58,0))</f>
        <v>3</v>
      </c>
      <c r="AQ58" s="52" t="n">
        <f aca="false">IF(CL58&gt;0,CL58*MAX(1,AO58/X58),IF(BW58=1,IF(AO58&lt;=0,0,CA58*MAX(1,IF(H58&gt;0,AO58/H58,1))),IF(R58&gt;0,AP58/R58,0))/MAX(0.1,N(Parameter!$M$21)))</f>
        <v>0.115384615384615</v>
      </c>
      <c r="AR58" s="50" t="n">
        <f aca="false">AQ58*BY58</f>
        <v>17.8846153846154</v>
      </c>
      <c r="AS58" s="50" t="n">
        <f aca="false">AO58*G58</f>
        <v>4928.55</v>
      </c>
      <c r="AT58" s="50" t="n">
        <f aca="false">ROUNDUP(MAX(J58/IF(CD58&gt;0,CD58,MAX(0.1,N(Cockpit!$I$6))),CG58)/BV58,0)*BV58</f>
        <v>284</v>
      </c>
      <c r="AU58" s="51" t="n">
        <f aca="false">IF(AR58&gt;0,J58/AR58,-1)</f>
        <v>17.3333333333333</v>
      </c>
      <c r="AV58" s="51" t="n">
        <f aca="false">IF(AND(OR(CC58="L1",CC58="L23",CC58="LIFT"),AR58&gt;0),SUMIFS($AR$7:$AR$1843,$CC$7:$CC$1843,CC58,$AU$7:$AU$1843,"&gt;"&amp;AU58)+SUMIFS($AR$7:$AR$1843,$CC$7:$CC$1843,CC58,$AU$7:$AU$1843,AU58,$BT$7:$BT$1843,"&lt;="&amp;BT58),"")</f>
        <v>2855.05586080586</v>
      </c>
      <c r="AW58" s="58" t="n">
        <f aca="false">IF(AV58="",0,MAX(0,MIN(1,(IF(CC58="L1",Parameter!$H$5,IF(CC58="L23",Parameter!$H$6+Parameter!$H$7,Parameter!$H$5+Parameter!$H$6+Parameter!$H$7))-(AV58-AR58))/AR58)))</f>
        <v>1</v>
      </c>
      <c r="AX58" s="50" t="n">
        <f aca="false">IF(LEFT(Cockpit!$O$5,1)="A",H58,IF(CE58=1,CF58,IF(LEFT(Cockpit!$O$5,1)="B",BC58,MAX(BC58,H58))))</f>
        <v>309</v>
      </c>
      <c r="AY58" s="50" t="n">
        <f aca="false">IF(BW58=1,0,ROUNDUP(AX58/BV58,0))</f>
        <v>3</v>
      </c>
      <c r="AZ58" s="52" t="n">
        <f aca="false">IF(CL58&gt;0,CL58*MAX(1,AX58/X58),IF(BW58=1,IF(AX58&lt;=0,0,CA58*MAX(1,IF(H58&gt;0,AX58/H58,1))),IF(R58&gt;0,AY58/R58,0))/MAX(0.1,N(Parameter!$M$21)))</f>
        <v>0.115384615384615</v>
      </c>
      <c r="BA58" s="50" t="n">
        <f aca="false">AZ58*BY58</f>
        <v>17.8846153846154</v>
      </c>
      <c r="BB58" s="50" t="n">
        <f aca="false">AX58*G58</f>
        <v>4928.55</v>
      </c>
      <c r="BC58" s="50" t="n">
        <f aca="false">ROUNDUP(MAX(J58/IF(CD58&gt;0,CD58,MAX(0.1,N(Cockpit!$O$6))),CG58)/BV58,0)*BV58</f>
        <v>284</v>
      </c>
      <c r="BD58" s="51" t="n">
        <f aca="false">IF(BA58&gt;0,J58/BA58,-1)</f>
        <v>17.3333333333333</v>
      </c>
      <c r="BE58" s="51" t="n">
        <f aca="false">IF(AND(OR(CC58="L1",CC58="L23",CC58="LIFT"),BA58&gt;0),SUMIFS($BA$7:$BA$1843,$CC$7:$CC$1843,CC58,$BD$7:$BD$1843,"&gt;"&amp;BD58)+SUMIFS($BA$7:$BA$1843,$CC$7:$CC$1843,CC58,$BD$7:$BD$1843,BD58,$BT$7:$BT$1843,"&lt;="&amp;BT58),"")</f>
        <v>2674.49496336996</v>
      </c>
      <c r="BF58" s="58" t="n">
        <f aca="false">IF(BE58="",0,MAX(0,MIN(1,(IF(CC58="L1",Parameter!$H$5,IF(CC58="L23",Parameter!$H$6+Parameter!$H$7,Parameter!$H$5+Parameter!$H$6+Parameter!$H$7))-(BE58-BA58))/BA58)))</f>
        <v>1</v>
      </c>
      <c r="BG58" s="48" t="str">
        <f aca="false">IF(AI58&lt;=0,"",IF(CC58="Aussen","Aussenlager",IF(CC58="-","Nicht im Lift",IF(AN58&gt;=1,"Lift",IF(AN58&lt;=0,"Aussenlager","teilweise")))))</f>
        <v>Lift</v>
      </c>
      <c r="BH58" s="48" t="str">
        <f aca="false">IF(AR58&lt;=0,"",IF(CC58="Aussen","Aussenlager",IF(CC58="-","Nicht im Lift",IF(AW58&gt;=1,"Lift",IF(AW58&lt;=0,"Aussenlager","teilweise")))))</f>
        <v>Lift</v>
      </c>
      <c r="BI58" s="48" t="str">
        <f aca="false">IF(BA58&lt;=0,"",IF(CC58="Aussen","Aussenlager",IF(CC58="-","Nicht im Lift",IF(BF58&gt;=1,"Lift",IF(BF58&lt;=0,"Aussenlager","teilweise")))))</f>
        <v>Lift</v>
      </c>
      <c r="BJ58" s="48" t="str">
        <f aca="false">IF(A58="","",IF(BS58=1,"Neu; ","")&amp;IF(AND(BS58=0,BN58&lt;0),"negativer Bestand (Export "&amp;BN58&amp;"); ","")&amp;IF(J58&lt;=0,"Kein Verbrauch; ","")&amp;IF(CL58&gt;0,"Lift "&amp;W58&amp;" lt. Liftbericht (Fach "&amp;X58&amp;" Stk); ",IF(BX58=1,"Gebinde geschätzt ("&amp;T58&amp;"); ",IF(BW58=1,"Lose – Tablare geschätzt; ","")))&amp;IF(H58&gt;AT58,"Überbestand "&amp;ROUND(H58-AT58,0)&amp;" Stk / CHF "&amp;ROUND((H58-AT58)*G58,0)&amp;"; ","")&amp;IF(AND(CE58=1,CF58&lt;CG58),"MAX &lt; MB+LG; ","")&amp;IF(AND(CK58&gt;0,CJ58*10&gt;CK58),"zu hoch für Tablar; ","")&amp;IF(AND(BS58=0,OR(CE58=1,AA58&lt;&gt;"",U58&lt;&gt;"",V58&lt;&gt;"",AB58&lt;&gt;"")),"manuell übersteuert; ","")&amp;IF(AND(BW58=0,R58=0),"Gebinde unbekannt / Stellmass fehlt; ","")&amp;IF(AND(BW58=0,N(V58)&lt;=0,N(Q58)&lt;=0),"Menge pro Gebinde fehlt (Ist = 1 Gebinde); ","")&amp;BR58)</f>
        <v>Überbestand 25 Stk / CHF 399; </v>
      </c>
      <c r="BK58" s="48"/>
      <c r="BL58" s="48"/>
      <c r="BM58" s="55"/>
      <c r="BN58" s="50" t="n">
        <v>279</v>
      </c>
      <c r="BO58" s="50" t="n">
        <v>30</v>
      </c>
      <c r="BP58" s="49" t="n">
        <v>4460.25</v>
      </c>
      <c r="BQ58" s="50" t="n">
        <v>310</v>
      </c>
      <c r="BR58" s="48"/>
      <c r="BS58" s="53" t="n">
        <v>0</v>
      </c>
      <c r="BT58" s="53" t="n">
        <v>58</v>
      </c>
      <c r="BU58" s="48" t="str">
        <f aca="false">IF(U58&lt;&gt;"",UPPER(TRIM(U58)),IF(BX58=1,UPPER(VLOOKUP(T58,Parameter!$I$27:$K$29,2,0)),IF(P58="","LOSE",P58)))</f>
        <v>S51</v>
      </c>
      <c r="BV58" s="50" t="n">
        <f aca="false">IF(BU58="LOSE",1,IF(N(V58)&gt;0,V58,IF(BX58=1,MAX(1,N(VLOOKUP(T58,Parameter!$I$27:$K$29,3,0)),H58,N(N58)),IF(N(Q58)&gt;0,Q58,MAX(1,H58)))))</f>
        <v>142</v>
      </c>
      <c r="BW58" s="53" t="n">
        <f aca="false">IF(BU58="LOSE",1,0)</f>
        <v>0</v>
      </c>
      <c r="BX58" s="53" t="n">
        <f aca="false">IF(AND(U58="",OR(P58="",P58="LOSE"),T58&lt;&gt;"",N(S58)&lt;=0,ISNUMBER(MATCH(T58,Parameter!$I$27:$I$29,0))),1,0)</f>
        <v>0</v>
      </c>
      <c r="BY58" s="53" t="n">
        <f aca="false">IF(CL58&gt;0,INDEX(Parameter!$H$5:$H$7,W58)/INDEX(Parameter!$E$5:$E$7,W58),IF(AND(BW58=0,N(IFERROR(VLOOKUP(BU58,'Gebinde-Kategorie'!$A$5:$N$45,14,0),0))&gt;0),VLOOKUP(BU58,'Gebinde-Kategorie'!$A$5:$N$45,14,0)*10+Parameter!$M$23,Parameter!$M$24))</f>
        <v>155</v>
      </c>
      <c r="BZ58" s="48" t="str">
        <f aca="false">IF(AND(Parameter!$B$19="Ja",E58&lt;&gt;"",ISNUMBER(MATCH(E58,Parameter!$I$35:$I$52,0))),VLOOKUP(E58,Parameter!$I$35:$J$52,2,0),IFERROR(VLOOKUP(D58,Parameter!$A$35:$C$64,2,0),"Nein"))</f>
        <v>2+3</v>
      </c>
      <c r="CA58" s="52" t="n">
        <f aca="false">IF(BW58=0,0,IF(N(S58)&gt;0,S58,IFERROR(VLOOKUP(D58,Parameter!$A$35:$C$64,3,0)+0,0)))</f>
        <v>0</v>
      </c>
      <c r="CB58" s="48" t="n">
        <f aca="false">IF(AA58&lt;&gt;"",AA58,Z58)</f>
        <v>3</v>
      </c>
      <c r="CC58" s="48" t="str">
        <f aca="false">IF(OR(CB58=1,CB58=2,CB58=3),IF(Parameter!$E$27="Ja","LIFT",IF(CB58=1,"L1","L23")),IF(CB58="Aussen","Aussen","-"))</f>
        <v>LIFT</v>
      </c>
      <c r="CD58" s="59" t="n">
        <f aca="false">IF(N(AB58)&gt;0,AB58,0)</f>
        <v>0</v>
      </c>
      <c r="CE58" s="53" t="n">
        <f aca="false">IF(ISNUMBER(AE58),1,0)</f>
        <v>0</v>
      </c>
      <c r="CF58" s="50" t="n">
        <f aca="false">N(AE58)</f>
        <v>0</v>
      </c>
      <c r="CG58" s="50" t="n">
        <f aca="false">N(M58)+N(N58)</f>
        <v>275</v>
      </c>
      <c r="CH58" s="50" t="n">
        <f aca="false">ROUNDUP(H58/BV58,0)</f>
        <v>3</v>
      </c>
      <c r="CI58" s="50" t="n">
        <f aca="false">ROUNDUP(CF58/BV58,0)</f>
        <v>0</v>
      </c>
      <c r="CJ58" s="53" t="n">
        <f aca="false">IF(BW58=1,0,IFERROR(VLOOKUP(BU58,'Gebinde-Kategorie'!$A$5:$N$45,5,0)+0,0))</f>
        <v>11</v>
      </c>
      <c r="CK58" s="53" t="n">
        <f aca="false">IFERROR(IF(OR(CB58=1,CB58=2,CB58=3),N(INDEX(Parameter!$I$5:$I$7,CB58)),0),0)</f>
        <v>0</v>
      </c>
      <c r="CL58" s="52" t="n">
        <f aca="false">IF(AND(Parameter!$B$21="Ja",ISNUMBER(W58),N(X58)&gt;0),IFERROR(N(INDEX(Parameter!$L$5:$L$7,W58))*INDEX(Parameter!$E$5:$E$7,W58)*X58/SUMIFS($X$7:$X$1843,$W$7:$W$1843,W58),0),0)</f>
        <v>0</v>
      </c>
    </row>
    <row r="59" customFormat="false" ht="15" hidden="false" customHeight="false" outlineLevel="0" collapsed="false">
      <c r="A59" s="48" t="s">
        <v>317</v>
      </c>
      <c r="B59" s="48" t="s">
        <v>318</v>
      </c>
      <c r="C59" s="48" t="s">
        <v>168</v>
      </c>
      <c r="D59" s="48" t="s">
        <v>177</v>
      </c>
      <c r="E59" s="48"/>
      <c r="F59" s="48" t="s">
        <v>222</v>
      </c>
      <c r="G59" s="49" t="n">
        <v>2168</v>
      </c>
      <c r="H59" s="50" t="n">
        <f aca="false">MAX(0,IF(AND(Parameter!$B$21="Ja",ISNUMBER(Y59)),Y59,IF(Parameter!$B$20="Jahresanfang 2025 + Export",BO59+BN59,BN59)))</f>
        <v>2</v>
      </c>
      <c r="I59" s="50" t="n">
        <f aca="false">H59*G59</f>
        <v>4336</v>
      </c>
      <c r="J59" s="50" t="n">
        <f aca="false">BQ59*Parameter!$B$18</f>
        <v>1</v>
      </c>
      <c r="K59" s="51" t="n">
        <v>1</v>
      </c>
      <c r="L59" s="52" t="n">
        <v>1</v>
      </c>
      <c r="M59" s="50" t="n">
        <v>0</v>
      </c>
      <c r="N59" s="50" t="n">
        <v>1</v>
      </c>
      <c r="O59" s="53" t="n">
        <v>120</v>
      </c>
      <c r="P59" s="48" t="s">
        <v>172</v>
      </c>
      <c r="Q59" s="50"/>
      <c r="R59" s="53" t="n">
        <f aca="false">IF(BW59=1,0,IFERROR(VLOOKUP(BU59,'Gebinde-Kategorie'!$A$5:$N$45,13,0)+0,0))</f>
        <v>12</v>
      </c>
      <c r="S59" s="54"/>
      <c r="T59" s="55" t="s">
        <v>183</v>
      </c>
      <c r="U59" s="55"/>
      <c r="V59" s="55"/>
      <c r="W59" s="48"/>
      <c r="X59" s="50"/>
      <c r="Y59" s="50"/>
      <c r="Z59" s="48" t="n">
        <f aca="false">IF(A59="","",IF(AND(Parameter!$B$21="Ja",ISNUMBER(W59)),W59,IF(BZ59="2+3",IF(ISNUMBER(SEARCH("grosser Artikel",BR59)),2,IFERROR(VLOOKUP(BU59,Parameter!$F$35:$G$64,2,0),2)),IF(OR(BZ59="Nein",BZ59=""),"-",BZ59))))</f>
        <v>2</v>
      </c>
      <c r="AA59" s="55"/>
      <c r="AB59" s="56"/>
      <c r="AC59" s="50" t="n">
        <f aca="false">AT59</f>
        <v>4</v>
      </c>
      <c r="AD59" s="50" t="n">
        <f aca="false">MAX(AT59,H59)</f>
        <v>4</v>
      </c>
      <c r="AE59" s="57"/>
      <c r="AF59" s="50" t="n">
        <f aca="false">IF(LEFT(Cockpit!$C$5,1)="A",H59,IF(CE59=1,CF59,IF(LEFT(Cockpit!$C$5,1)="B",AK59,MAX(AK59,H59))))</f>
        <v>2</v>
      </c>
      <c r="AG59" s="50" t="n">
        <f aca="false">IF(BW59=1,0,ROUNDUP(AF59/BV59,0))</f>
        <v>1</v>
      </c>
      <c r="AH59" s="52" t="n">
        <f aca="false">IF(CL59&gt;0,CL59*MAX(1,AF59/X59),IF(BW59=1,IF(AF59&lt;=0,0,CA59*MAX(1,IF(H59&gt;0,AF59/H59,1))),IF(R59&gt;0,AG59/R59,0))/MAX(0.1,N(Parameter!$M$21)))</f>
        <v>0.0833333333333333</v>
      </c>
      <c r="AI59" s="50" t="n">
        <f aca="false">AH59*BY59</f>
        <v>12.0833333333333</v>
      </c>
      <c r="AJ59" s="50" t="n">
        <f aca="false">AF59*G59</f>
        <v>4336</v>
      </c>
      <c r="AK59" s="50" t="n">
        <f aca="false">ROUNDUP(MAX(J59/IF(CD59&gt;0,CD59,MAX(0.1,N(Cockpit!$C$6))),CG59)/BV59,0)*BV59</f>
        <v>4</v>
      </c>
      <c r="AL59" s="51" t="n">
        <f aca="false">IF(AI59&gt;0,J59/AI59,-1)</f>
        <v>0.0827586206896552</v>
      </c>
      <c r="AM59" s="51" t="n">
        <f aca="false">IF(AND(OR(CC59="L1",CC59="L23",CC59="LIFT"),AI59&gt;0),SUMIFS($AI$7:$AI$1843,$CC$7:$CC$1843,CC59,$AL$7:$AL$1843,"&gt;"&amp;AL59)+SUMIFS($AI$7:$AI$1843,$CC$7:$CC$1843,CC59,$AL$7:$AL$1843,AL59,$BT$7:$BT$1843,"&lt;="&amp;BT59),"")</f>
        <v>16677.357398957</v>
      </c>
      <c r="AN59" s="58" t="n">
        <f aca="false">IF(AM59="",0,MAX(0,MIN(1,(IF(CC59="L1",Parameter!$H$5,IF(CC59="L23",Parameter!$H$6+Parameter!$H$7,Parameter!$H$5+Parameter!$H$6+Parameter!$H$7))-(AM59-AI59))/AI59)))</f>
        <v>1</v>
      </c>
      <c r="AO59" s="50" t="n">
        <f aca="false">IF(LEFT(Cockpit!$I$5,1)="A",H59,IF(CE59=1,CF59,IF(LEFT(Cockpit!$I$5,1)="B",AT59,MAX(AT59,H59))))</f>
        <v>4</v>
      </c>
      <c r="AP59" s="50" t="n">
        <f aca="false">IF(BW59=1,0,ROUNDUP(AO59/BV59,0))</f>
        <v>1</v>
      </c>
      <c r="AQ59" s="52" t="n">
        <f aca="false">IF(CL59&gt;0,CL59*MAX(1,AO59/X59),IF(BW59=1,IF(AO59&lt;=0,0,CA59*MAX(1,IF(H59&gt;0,AO59/H59,1))),IF(R59&gt;0,AP59/R59,0))/MAX(0.1,N(Parameter!$M$21)))</f>
        <v>0.0833333333333333</v>
      </c>
      <c r="AR59" s="50" t="n">
        <f aca="false">AQ59*BY59</f>
        <v>12.0833333333333</v>
      </c>
      <c r="AS59" s="50" t="n">
        <f aca="false">AO59*G59</f>
        <v>8672</v>
      </c>
      <c r="AT59" s="50" t="n">
        <f aca="false">ROUNDUP(MAX(J59/IF(CD59&gt;0,CD59,MAX(0.1,N(Cockpit!$I$6))),CG59)/BV59,0)*BV59</f>
        <v>4</v>
      </c>
      <c r="AU59" s="51" t="n">
        <f aca="false">IF(AR59&gt;0,J59/AR59,-1)</f>
        <v>0.0827586206896552</v>
      </c>
      <c r="AV59" s="51" t="n">
        <f aca="false">IF(AND(OR(CC59="L1",CC59="L23",CC59="LIFT"),AR59&gt;0),SUMIFS($AR$7:$AR$1843,$CC$7:$CC$1843,CC59,$AU$7:$AU$1843,"&gt;"&amp;AU59)+SUMIFS($AR$7:$AR$1843,$CC$7:$CC$1843,CC59,$AU$7:$AU$1843,AU59,$BT$7:$BT$1843,"&lt;="&amp;BT59),"")</f>
        <v>25149.337774984</v>
      </c>
      <c r="AW59" s="58" t="n">
        <f aca="false">IF(AV59="",0,MAX(0,MIN(1,(IF(CC59="L1",Parameter!$H$5,IF(CC59="L23",Parameter!$H$6+Parameter!$H$7,Parameter!$H$5+Parameter!$H$6+Parameter!$H$7))-(AV59-AR59))/AR59)))</f>
        <v>1</v>
      </c>
      <c r="AX59" s="50" t="n">
        <f aca="false">IF(LEFT(Cockpit!$O$5,1)="A",H59,IF(CE59=1,CF59,IF(LEFT(Cockpit!$O$5,1)="B",BC59,MAX(BC59,H59))))</f>
        <v>4</v>
      </c>
      <c r="AY59" s="50" t="n">
        <f aca="false">IF(BW59=1,0,ROUNDUP(AX59/BV59,0))</f>
        <v>1</v>
      </c>
      <c r="AZ59" s="52" t="n">
        <f aca="false">IF(CL59&gt;0,CL59*MAX(1,AX59/X59),IF(BW59=1,IF(AX59&lt;=0,0,CA59*MAX(1,IF(H59&gt;0,AX59/H59,1))),IF(R59&gt;0,AY59/R59,0))/MAX(0.1,N(Parameter!$M$21)))</f>
        <v>0.0833333333333333</v>
      </c>
      <c r="BA59" s="50" t="n">
        <f aca="false">AZ59*BY59</f>
        <v>12.0833333333333</v>
      </c>
      <c r="BB59" s="50" t="n">
        <f aca="false">AX59*G59</f>
        <v>8672</v>
      </c>
      <c r="BC59" s="50" t="n">
        <f aca="false">ROUNDUP(MAX(J59/IF(CD59&gt;0,CD59,MAX(0.1,N(Cockpit!$O$6))),CG59)/BV59,0)*BV59</f>
        <v>4</v>
      </c>
      <c r="BD59" s="51" t="n">
        <f aca="false">IF(BA59&gt;0,J59/BA59,-1)</f>
        <v>0.0827586206896552</v>
      </c>
      <c r="BE59" s="51" t="n">
        <f aca="false">IF(AND(OR(CC59="L1",CC59="L23",CC59="LIFT"),BA59&gt;0),SUMIFS($BA$7:$BA$1843,$CC$7:$CC$1843,CC59,$BD$7:$BD$1843,"&gt;"&amp;BD59)+SUMIFS($BA$7:$BA$1843,$CC$7:$CC$1843,CC59,$BD$7:$BD$1843,BD59,$BT$7:$BT$1843,"&lt;="&amp;BT59),"")</f>
        <v>23351.8498168498</v>
      </c>
      <c r="BF59" s="58" t="n">
        <f aca="false">IF(BE59="",0,MAX(0,MIN(1,(IF(CC59="L1",Parameter!$H$5,IF(CC59="L23",Parameter!$H$6+Parameter!$H$7,Parameter!$H$5+Parameter!$H$6+Parameter!$H$7))-(BE59-BA59))/BA59)))</f>
        <v>1</v>
      </c>
      <c r="BG59" s="48" t="str">
        <f aca="false">IF(AI59&lt;=0,"",IF(CC59="Aussen","Aussenlager",IF(CC59="-","Nicht im Lift",IF(AN59&gt;=1,"Lift",IF(AN59&lt;=0,"Aussenlager","teilweise")))))</f>
        <v>Lift</v>
      </c>
      <c r="BH59" s="48" t="str">
        <f aca="false">IF(AR59&lt;=0,"",IF(CC59="Aussen","Aussenlager",IF(CC59="-","Nicht im Lift",IF(AW59&gt;=1,"Lift",IF(AW59&lt;=0,"Aussenlager","teilweise")))))</f>
        <v>Lift</v>
      </c>
      <c r="BI59" s="48" t="str">
        <f aca="false">IF(BA59&lt;=0,"",IF(CC59="Aussen","Aussenlager",IF(CC59="-","Nicht im Lift",IF(BF59&gt;=1,"Lift",IF(BF59&lt;=0,"Aussenlager","teilweise")))))</f>
        <v>Lift</v>
      </c>
      <c r="BJ59" s="48" t="str">
        <f aca="false">IF(A59="","",IF(BS59=1,"Neu; ","")&amp;IF(AND(BS59=0,BN59&lt;0),"negativer Bestand (Export "&amp;BN59&amp;"); ","")&amp;IF(J59&lt;=0,"Kein Verbrauch; ","")&amp;IF(CL59&gt;0,"Lift "&amp;W59&amp;" lt. Liftbericht (Fach "&amp;X59&amp;" Stk); ",IF(BX59=1,"Gebinde geschätzt ("&amp;T59&amp;"); ",IF(BW59=1,"Lose – Tablare geschätzt; ","")))&amp;IF(H59&gt;AT59,"Überbestand "&amp;ROUND(H59-AT59,0)&amp;" Stk / CHF "&amp;ROUND((H59-AT59)*G59,0)&amp;"; ","")&amp;IF(AND(CE59=1,CF59&lt;CG59),"MAX &lt; MB+LG; ","")&amp;IF(AND(CK59&gt;0,CJ59*10&gt;CK59),"zu hoch für Tablar; ","")&amp;IF(AND(BS59=0,OR(CE59=1,AA59&lt;&gt;"",U59&lt;&gt;"",V59&lt;&gt;"",AB59&lt;&gt;"")),"manuell übersteuert; ","")&amp;IF(AND(BW59=0,R59=0),"Gebinde unbekannt / Stellmass fehlt; ","")&amp;IF(AND(BW59=0,N(V59)&lt;=0,N(Q59)&lt;=0),"Menge pro Gebinde fehlt (Ist = 1 Gebinde); ","")&amp;BR59)</f>
        <v>Gebinde geschätzt (Mittel); Menge pro Gebinde fehlt (Ist = 1 Gebinde); </v>
      </c>
      <c r="BK59" s="48"/>
      <c r="BL59" s="48"/>
      <c r="BM59" s="55"/>
      <c r="BN59" s="50" t="n">
        <v>2</v>
      </c>
      <c r="BO59" s="50" t="n">
        <v>0</v>
      </c>
      <c r="BP59" s="49" t="n">
        <v>4336</v>
      </c>
      <c r="BQ59" s="50" t="n">
        <v>1</v>
      </c>
      <c r="BR59" s="48"/>
      <c r="BS59" s="53" t="n">
        <v>0</v>
      </c>
      <c r="BT59" s="53" t="n">
        <v>59</v>
      </c>
      <c r="BU59" s="48" t="str">
        <f aca="false">IF(U59&lt;&gt;"",UPPER(TRIM(U59)),IF(BX59=1,UPPER(VLOOKUP(T59,Parameter!$I$27:$K$29,2,0)),IF(P59="","LOSE",P59)))</f>
        <v>S61</v>
      </c>
      <c r="BV59" s="50" t="n">
        <f aca="false">IF(BU59="LOSE",1,IF(N(V59)&gt;0,V59,IF(BX59=1,MAX(1,N(VLOOKUP(T59,Parameter!$I$27:$K$29,3,0)),H59,N(N59)),IF(N(Q59)&gt;0,Q59,MAX(1,H59)))))</f>
        <v>4</v>
      </c>
      <c r="BW59" s="53" t="n">
        <f aca="false">IF(BU59="LOSE",1,0)</f>
        <v>0</v>
      </c>
      <c r="BX59" s="53" t="n">
        <f aca="false">IF(AND(U59="",OR(P59="",P59="LOSE"),T59&lt;&gt;"",N(S59)&lt;=0,ISNUMBER(MATCH(T59,Parameter!$I$27:$I$29,0))),1,0)</f>
        <v>1</v>
      </c>
      <c r="BY59" s="53" t="n">
        <f aca="false">IF(CL59&gt;0,INDEX(Parameter!$H$5:$H$7,W59)/INDEX(Parameter!$E$5:$E$7,W59),IF(AND(BW59=0,N(IFERROR(VLOOKUP(BU59,'Gebinde-Kategorie'!$A$5:$N$45,14,0),0))&gt;0),VLOOKUP(BU59,'Gebinde-Kategorie'!$A$5:$N$45,14,0)*10+Parameter!$M$23,Parameter!$M$24))</f>
        <v>145</v>
      </c>
      <c r="BZ59" s="48" t="str">
        <f aca="false">IF(AND(Parameter!$B$19="Ja",E59&lt;&gt;"",ISNUMBER(MATCH(E59,Parameter!$I$35:$I$52,0))),VLOOKUP(E59,Parameter!$I$35:$J$52,2,0),IFERROR(VLOOKUP(D59,Parameter!$A$35:$C$64,2,0),"Nein"))</f>
        <v>2+3</v>
      </c>
      <c r="CA59" s="52" t="n">
        <f aca="false">IF(BW59=0,0,IF(N(S59)&gt;0,S59,IFERROR(VLOOKUP(D59,Parameter!$A$35:$C$64,3,0)+0,0)))</f>
        <v>0</v>
      </c>
      <c r="CB59" s="48" t="n">
        <f aca="false">IF(AA59&lt;&gt;"",AA59,Z59)</f>
        <v>2</v>
      </c>
      <c r="CC59" s="48" t="str">
        <f aca="false">IF(OR(CB59=1,CB59=2,CB59=3),IF(Parameter!$E$27="Ja","LIFT",IF(CB59=1,"L1","L23")),IF(CB59="Aussen","Aussen","-"))</f>
        <v>LIFT</v>
      </c>
      <c r="CD59" s="59" t="n">
        <f aca="false">IF(N(AB59)&gt;0,AB59,0)</f>
        <v>0</v>
      </c>
      <c r="CE59" s="53" t="n">
        <f aca="false">IF(ISNUMBER(AE59),1,0)</f>
        <v>0</v>
      </c>
      <c r="CF59" s="50" t="n">
        <f aca="false">N(AE59)</f>
        <v>0</v>
      </c>
      <c r="CG59" s="50" t="n">
        <f aca="false">N(M59)+N(N59)</f>
        <v>1</v>
      </c>
      <c r="CH59" s="50" t="n">
        <f aca="false">ROUNDUP(H59/BV59,0)</f>
        <v>1</v>
      </c>
      <c r="CI59" s="50" t="n">
        <f aca="false">ROUNDUP(CF59/BV59,0)</f>
        <v>0</v>
      </c>
      <c r="CJ59" s="53" t="n">
        <f aca="false">IF(BW59=1,0,IFERROR(VLOOKUP(BU59,'Gebinde-Kategorie'!$A$5:$N$45,5,0)+0,0))</f>
        <v>11</v>
      </c>
      <c r="CK59" s="53" t="n">
        <f aca="false">IFERROR(IF(OR(CB59=1,CB59=2,CB59=3),N(INDEX(Parameter!$I$5:$I$7,CB59)),0),0)</f>
        <v>0</v>
      </c>
      <c r="CL59" s="52" t="n">
        <f aca="false">IF(AND(Parameter!$B$21="Ja",ISNUMBER(W59),N(X59)&gt;0),IFERROR(N(INDEX(Parameter!$L$5:$L$7,W59))*INDEX(Parameter!$E$5:$E$7,W59)*X59/SUMIFS($X$7:$X$1843,$W$7:$W$1843,W59),0),0)</f>
        <v>0</v>
      </c>
    </row>
    <row r="60" customFormat="false" ht="15" hidden="false" customHeight="false" outlineLevel="0" collapsed="false">
      <c r="A60" s="48" t="s">
        <v>319</v>
      </c>
      <c r="B60" s="48" t="s">
        <v>320</v>
      </c>
      <c r="C60" s="48" t="s">
        <v>168</v>
      </c>
      <c r="D60" s="48" t="s">
        <v>177</v>
      </c>
      <c r="E60" s="48" t="s">
        <v>170</v>
      </c>
      <c r="F60" s="48" t="s">
        <v>222</v>
      </c>
      <c r="G60" s="49" t="n">
        <v>605.97</v>
      </c>
      <c r="H60" s="50" t="n">
        <f aca="false">MAX(0,IF(AND(Parameter!$B$21="Ja",ISNUMBER(Y60)),Y60,IF(Parameter!$B$20="Jahresanfang 2025 + Export",BO60+BN60,BN60)))</f>
        <v>24</v>
      </c>
      <c r="I60" s="50" t="n">
        <f aca="false">H60*G60</f>
        <v>14543.28</v>
      </c>
      <c r="J60" s="50" t="n">
        <f aca="false">BQ60*Parameter!$B$18</f>
        <v>80</v>
      </c>
      <c r="K60" s="51" t="n">
        <v>23.5</v>
      </c>
      <c r="L60" s="52" t="n">
        <v>3.40425531914894</v>
      </c>
      <c r="M60" s="50" t="n">
        <v>4</v>
      </c>
      <c r="N60" s="50" t="n">
        <v>25</v>
      </c>
      <c r="O60" s="53" t="n">
        <v>21</v>
      </c>
      <c r="P60" s="48" t="s">
        <v>227</v>
      </c>
      <c r="Q60" s="50" t="n">
        <v>20</v>
      </c>
      <c r="R60" s="53" t="n">
        <f aca="false">IF(BW60=1,0,IFERROR(VLOOKUP(BU60,'Gebinde-Kategorie'!$A$5:$N$45,13,0)+0,0))</f>
        <v>4</v>
      </c>
      <c r="S60" s="54"/>
      <c r="T60" s="55"/>
      <c r="U60" s="55"/>
      <c r="V60" s="55"/>
      <c r="W60" s="48"/>
      <c r="X60" s="50"/>
      <c r="Y60" s="50"/>
      <c r="Z60" s="48" t="n">
        <f aca="false">IF(A60="","",IF(AND(Parameter!$B$21="Ja",ISNUMBER(W60)),W60,IF(BZ60="2+3",IF(ISNUMBER(SEARCH("grosser Artikel",BR60)),2,IFERROR(VLOOKUP(BU60,Parameter!$F$35:$G$64,2,0),2)),IF(OR(BZ60="Nein",BZ60=""),"-",BZ60))))</f>
        <v>1</v>
      </c>
      <c r="AA60" s="55"/>
      <c r="AB60" s="56"/>
      <c r="AC60" s="50" t="n">
        <f aca="false">AT60</f>
        <v>40</v>
      </c>
      <c r="AD60" s="50" t="n">
        <f aca="false">MAX(AT60,H60)</f>
        <v>40</v>
      </c>
      <c r="AE60" s="57"/>
      <c r="AF60" s="50" t="n">
        <f aca="false">IF(LEFT(Cockpit!$C$5,1)="A",H60,IF(CE60=1,CF60,IF(LEFT(Cockpit!$C$5,1)="B",AK60,MAX(AK60,H60))))</f>
        <v>24</v>
      </c>
      <c r="AG60" s="50" t="n">
        <f aca="false">IF(BW60=1,0,ROUNDUP(AF60/BV60,0))</f>
        <v>2</v>
      </c>
      <c r="AH60" s="52" t="n">
        <f aca="false">IF(CL60&gt;0,CL60*MAX(1,AF60/X60),IF(BW60=1,IF(AF60&lt;=0,0,CA60*MAX(1,IF(H60&gt;0,AF60/H60,1))),IF(R60&gt;0,AG60/R60,0))/MAX(0.1,N(Parameter!$M$21)))</f>
        <v>0.5</v>
      </c>
      <c r="AI60" s="50" t="n">
        <f aca="false">AH60*BY60</f>
        <v>117.5</v>
      </c>
      <c r="AJ60" s="50" t="n">
        <f aca="false">AF60*G60</f>
        <v>14543.28</v>
      </c>
      <c r="AK60" s="50" t="n">
        <f aca="false">ROUNDUP(MAX(J60/IF(CD60&gt;0,CD60,MAX(0.1,N(Cockpit!$C$6))),CG60)/BV60,0)*BV60</f>
        <v>40</v>
      </c>
      <c r="AL60" s="51" t="n">
        <f aca="false">IF(AI60&gt;0,J60/AI60,-1)</f>
        <v>0.680851063829787</v>
      </c>
      <c r="AM60" s="51" t="n">
        <f aca="false">IF(AND(OR(CC60="L1",CC60="L23",CC60="LIFT"),AI60&gt;0),SUMIFS($AI$7:$AI$1843,$CC$7:$CC$1843,CC60,$AL$7:$AL$1843,"&gt;"&amp;AL60)+SUMIFS($AI$7:$AI$1843,$CC$7:$CC$1843,CC60,$AL$7:$AL$1843,AL60,$BT$7:$BT$1843,"&lt;="&amp;BT60),"")</f>
        <v>8592.26602564103</v>
      </c>
      <c r="AN60" s="58" t="n">
        <f aca="false">IF(AM60="",0,MAX(0,MIN(1,(IF(CC60="L1",Parameter!$H$5,IF(CC60="L23",Parameter!$H$6+Parameter!$H$7,Parameter!$H$5+Parameter!$H$6+Parameter!$H$7))-(AM60-AI60))/AI60)))</f>
        <v>1</v>
      </c>
      <c r="AO60" s="50" t="n">
        <f aca="false">IF(LEFT(Cockpit!$I$5,1)="A",H60,IF(CE60=1,CF60,IF(LEFT(Cockpit!$I$5,1)="B",AT60,MAX(AT60,H60))))</f>
        <v>40</v>
      </c>
      <c r="AP60" s="50" t="n">
        <f aca="false">IF(BW60=1,0,ROUNDUP(AO60/BV60,0))</f>
        <v>2</v>
      </c>
      <c r="AQ60" s="52" t="n">
        <f aca="false">IF(CL60&gt;0,CL60*MAX(1,AO60/X60),IF(BW60=1,IF(AO60&lt;=0,0,CA60*MAX(1,IF(H60&gt;0,AO60/H60,1))),IF(R60&gt;0,AP60/R60,0))/MAX(0.1,N(Parameter!$M$21)))</f>
        <v>0.5</v>
      </c>
      <c r="AR60" s="50" t="n">
        <f aca="false">AQ60*BY60</f>
        <v>117.5</v>
      </c>
      <c r="AS60" s="50" t="n">
        <f aca="false">AO60*G60</f>
        <v>24238.8</v>
      </c>
      <c r="AT60" s="50" t="n">
        <f aca="false">ROUNDUP(MAX(J60/IF(CD60&gt;0,CD60,MAX(0.1,N(Cockpit!$I$6))),CG60)/BV60,0)*BV60</f>
        <v>40</v>
      </c>
      <c r="AU60" s="51" t="n">
        <f aca="false">IF(AR60&gt;0,J60/AR60,-1)</f>
        <v>0.680851063829787</v>
      </c>
      <c r="AV60" s="51" t="n">
        <f aca="false">IF(AND(OR(CC60="L1",CC60="L23",CC60="LIFT"),AR60&gt;0),SUMIFS($AR$7:$AR$1843,$CC$7:$CC$1843,CC60,$AU$7:$AU$1843,"&gt;"&amp;AU60)+SUMIFS($AR$7:$AR$1843,$CC$7:$CC$1843,CC60,$AU$7:$AU$1843,AU60,$BT$7:$BT$1843,"&lt;="&amp;BT60),"")</f>
        <v>11734.3882783883</v>
      </c>
      <c r="AW60" s="58" t="n">
        <f aca="false">IF(AV60="",0,MAX(0,MIN(1,(IF(CC60="L1",Parameter!$H$5,IF(CC60="L23",Parameter!$H$6+Parameter!$H$7,Parameter!$H$5+Parameter!$H$6+Parameter!$H$7))-(AV60-AR60))/AR60)))</f>
        <v>1</v>
      </c>
      <c r="AX60" s="50" t="n">
        <f aca="false">IF(LEFT(Cockpit!$O$5,1)="A",H60,IF(CE60=1,CF60,IF(LEFT(Cockpit!$O$5,1)="B",BC60,MAX(BC60,H60))))</f>
        <v>40</v>
      </c>
      <c r="AY60" s="50" t="n">
        <f aca="false">IF(BW60=1,0,ROUNDUP(AX60/BV60,0))</f>
        <v>2</v>
      </c>
      <c r="AZ60" s="52" t="n">
        <f aca="false">IF(CL60&gt;0,CL60*MAX(1,AX60/X60),IF(BW60=1,IF(AX60&lt;=0,0,CA60*MAX(1,IF(H60&gt;0,AX60/H60,1))),IF(R60&gt;0,AY60/R60,0))/MAX(0.1,N(Parameter!$M$21)))</f>
        <v>0.5</v>
      </c>
      <c r="BA60" s="50" t="n">
        <f aca="false">AZ60*BY60</f>
        <v>117.5</v>
      </c>
      <c r="BB60" s="50" t="n">
        <f aca="false">AX60*G60</f>
        <v>24238.8</v>
      </c>
      <c r="BC60" s="50" t="n">
        <f aca="false">ROUNDUP(MAX(J60/IF(CD60&gt;0,CD60,MAX(0.1,N(Cockpit!$O$6))),CG60)/BV60,0)*BV60</f>
        <v>40</v>
      </c>
      <c r="BD60" s="51" t="n">
        <f aca="false">IF(BA60&gt;0,J60/BA60,-1)</f>
        <v>0.680851063829787</v>
      </c>
      <c r="BE60" s="51" t="n">
        <f aca="false">IF(AND(OR(CC60="L1",CC60="L23",CC60="LIFT"),BA60&gt;0),SUMIFS($BA$7:$BA$1843,$CC$7:$CC$1843,CC60,$BD$7:$BD$1843,"&gt;"&amp;BD60)+SUMIFS($BA$7:$BA$1843,$CC$7:$CC$1843,CC60,$BD$7:$BD$1843,BD60,$BT$7:$BT$1843,"&lt;="&amp;BT60),"")</f>
        <v>11334.211996337</v>
      </c>
      <c r="BF60" s="58" t="n">
        <f aca="false">IF(BE60="",0,MAX(0,MIN(1,(IF(CC60="L1",Parameter!$H$5,IF(CC60="L23",Parameter!$H$6+Parameter!$H$7,Parameter!$H$5+Parameter!$H$6+Parameter!$H$7))-(BE60-BA60))/BA60)))</f>
        <v>1</v>
      </c>
      <c r="BG60" s="48" t="str">
        <f aca="false">IF(AI60&lt;=0,"",IF(CC60="Aussen","Aussenlager",IF(CC60="-","Nicht im Lift",IF(AN60&gt;=1,"Lift",IF(AN60&lt;=0,"Aussenlager","teilweise")))))</f>
        <v>Lift</v>
      </c>
      <c r="BH60" s="48" t="str">
        <f aca="false">IF(AR60&lt;=0,"",IF(CC60="Aussen","Aussenlager",IF(CC60="-","Nicht im Lift",IF(AW60&gt;=1,"Lift",IF(AW60&lt;=0,"Aussenlager","teilweise")))))</f>
        <v>Lift</v>
      </c>
      <c r="BI60" s="48" t="str">
        <f aca="false">IF(BA60&lt;=0,"",IF(CC60="Aussen","Aussenlager",IF(CC60="-","Nicht im Lift",IF(BF60&gt;=1,"Lift",IF(BF60&lt;=0,"Aussenlager","teilweise")))))</f>
        <v>Lift</v>
      </c>
      <c r="BJ60" s="48" t="str">
        <f aca="false">IF(A60="","",IF(BS60=1,"Neu; ","")&amp;IF(AND(BS60=0,BN60&lt;0),"negativer Bestand (Export "&amp;BN60&amp;"); ","")&amp;IF(J60&lt;=0,"Kein Verbrauch; ","")&amp;IF(CL60&gt;0,"Lift "&amp;W60&amp;" lt. Liftbericht (Fach "&amp;X60&amp;" Stk); ",IF(BX60=1,"Gebinde geschätzt ("&amp;T60&amp;"); ",IF(BW60=1,"Lose – Tablare geschätzt; ","")))&amp;IF(H60&gt;AT60,"Überbestand "&amp;ROUND(H60-AT60,0)&amp;" Stk / CHF "&amp;ROUND((H60-AT60)*G60,0)&amp;"; ","")&amp;IF(AND(CE60=1,CF60&lt;CG60),"MAX &lt; MB+LG; ","")&amp;IF(AND(CK60&gt;0,CJ60*10&gt;CK60),"zu hoch für Tablar; ","")&amp;IF(AND(BS60=0,OR(CE60=1,AA60&lt;&gt;"",U60&lt;&gt;"",V60&lt;&gt;"",AB60&lt;&gt;"")),"manuell übersteuert; ","")&amp;IF(AND(BW60=0,R60=0),"Gebinde unbekannt / Stellmass fehlt; ","")&amp;IF(AND(BW60=0,N(V60)&lt;=0,N(Q60)&lt;=0),"Menge pro Gebinde fehlt (Ist = 1 Gebinde); ","")&amp;BR60)</f>
        <v/>
      </c>
      <c r="BK60" s="48" t="s">
        <v>321</v>
      </c>
      <c r="BL60" s="48" t="s">
        <v>322</v>
      </c>
      <c r="BM60" s="55"/>
      <c r="BN60" s="50" t="n">
        <v>13</v>
      </c>
      <c r="BO60" s="50" t="n">
        <v>11</v>
      </c>
      <c r="BP60" s="49" t="n">
        <v>4297.99000000001</v>
      </c>
      <c r="BQ60" s="50" t="n">
        <v>80</v>
      </c>
      <c r="BR60" s="48"/>
      <c r="BS60" s="53" t="n">
        <v>0</v>
      </c>
      <c r="BT60" s="53" t="n">
        <v>60</v>
      </c>
      <c r="BU60" s="48" t="str">
        <f aca="false">IF(U60&lt;&gt;"",UPPER(TRIM(U60)),IF(BX60=1,UPPER(VLOOKUP(T60,Parameter!$I$27:$K$29,2,0)),IF(P60="","LOSE",P60)))</f>
        <v>S81</v>
      </c>
      <c r="BV60" s="50" t="n">
        <f aca="false">IF(BU60="LOSE",1,IF(N(V60)&gt;0,V60,IF(BX60=1,MAX(1,N(VLOOKUP(T60,Parameter!$I$27:$K$29,3,0)),H60,N(N60)),IF(N(Q60)&gt;0,Q60,MAX(1,H60)))))</f>
        <v>20</v>
      </c>
      <c r="BW60" s="53" t="n">
        <f aca="false">IF(BU60="LOSE",1,0)</f>
        <v>0</v>
      </c>
      <c r="BX60" s="53" t="n">
        <f aca="false">IF(AND(U60="",OR(P60="",P60="LOSE"),T60&lt;&gt;"",N(S60)&lt;=0,ISNUMBER(MATCH(T60,Parameter!$I$27:$I$29,0))),1,0)</f>
        <v>0</v>
      </c>
      <c r="BY60" s="53" t="n">
        <f aca="false">IF(CL60&gt;0,INDEX(Parameter!$H$5:$H$7,W60)/INDEX(Parameter!$E$5:$E$7,W60),IF(AND(BW60=0,N(IFERROR(VLOOKUP(BU60,'Gebinde-Kategorie'!$A$5:$N$45,14,0),0))&gt;0),VLOOKUP(BU60,'Gebinde-Kategorie'!$A$5:$N$45,14,0)*10+Parameter!$M$23,Parameter!$M$24))</f>
        <v>235</v>
      </c>
      <c r="BZ60" s="48" t="n">
        <f aca="false">IF(AND(Parameter!$B$19="Ja",E60&lt;&gt;"",ISNUMBER(MATCH(E60,Parameter!$I$35:$I$52,0))),VLOOKUP(E60,Parameter!$I$35:$J$52,2,0),IFERROR(VLOOKUP(D60,Parameter!$A$35:$C$64,2,0),"Nein"))</f>
        <v>1</v>
      </c>
      <c r="CA60" s="52" t="n">
        <f aca="false">IF(BW60=0,0,IF(N(S60)&gt;0,S60,IFERROR(VLOOKUP(D60,Parameter!$A$35:$C$64,3,0)+0,0)))</f>
        <v>0</v>
      </c>
      <c r="CB60" s="48" t="n">
        <f aca="false">IF(AA60&lt;&gt;"",AA60,Z60)</f>
        <v>1</v>
      </c>
      <c r="CC60" s="48" t="str">
        <f aca="false">IF(OR(CB60=1,CB60=2,CB60=3),IF(Parameter!$E$27="Ja","LIFT",IF(CB60=1,"L1","L23")),IF(CB60="Aussen","Aussen","-"))</f>
        <v>LIFT</v>
      </c>
      <c r="CD60" s="59" t="n">
        <f aca="false">IF(N(AB60)&gt;0,AB60,0)</f>
        <v>0</v>
      </c>
      <c r="CE60" s="53" t="n">
        <f aca="false">IF(ISNUMBER(AE60),1,0)</f>
        <v>0</v>
      </c>
      <c r="CF60" s="50" t="n">
        <f aca="false">N(AE60)</f>
        <v>0</v>
      </c>
      <c r="CG60" s="50" t="n">
        <f aca="false">N(M60)+N(N60)</f>
        <v>29</v>
      </c>
      <c r="CH60" s="50" t="n">
        <f aca="false">ROUNDUP(H60/BV60,0)</f>
        <v>2</v>
      </c>
      <c r="CI60" s="50" t="n">
        <f aca="false">ROUNDUP(CF60/BV60,0)</f>
        <v>0</v>
      </c>
      <c r="CJ60" s="53" t="n">
        <f aca="false">IF(BW60=1,0,IFERROR(VLOOKUP(BU60,'Gebinde-Kategorie'!$A$5:$N$45,5,0)+0,0))</f>
        <v>20</v>
      </c>
      <c r="CK60" s="53" t="n">
        <f aca="false">IFERROR(IF(OR(CB60=1,CB60=2,CB60=3),N(INDEX(Parameter!$I$5:$I$7,CB60)),0),0)</f>
        <v>0</v>
      </c>
      <c r="CL60" s="52" t="n">
        <f aca="false">IF(AND(Parameter!$B$21="Ja",ISNUMBER(W60),N(X60)&gt;0),IFERROR(N(INDEX(Parameter!$L$5:$L$7,W60))*INDEX(Parameter!$E$5:$E$7,W60)*X60/SUMIFS($X$7:$X$1843,$W$7:$W$1843,W60),0),0)</f>
        <v>0</v>
      </c>
    </row>
    <row r="61" customFormat="false" ht="15" hidden="false" customHeight="false" outlineLevel="0" collapsed="false">
      <c r="A61" s="48" t="s">
        <v>323</v>
      </c>
      <c r="B61" s="48" t="s">
        <v>324</v>
      </c>
      <c r="C61" s="48" t="s">
        <v>168</v>
      </c>
      <c r="D61" s="48" t="s">
        <v>169</v>
      </c>
      <c r="E61" s="48"/>
      <c r="F61" s="48" t="s">
        <v>222</v>
      </c>
      <c r="G61" s="49" t="n">
        <v>832.7</v>
      </c>
      <c r="H61" s="50" t="n">
        <f aca="false">MAX(0,IF(AND(Parameter!$B$21="Ja",ISNUMBER(Y61)),Y61,IF(Parameter!$B$20="Jahresanfang 2025 + Export",BO61+BN61,BN61)))</f>
        <v>5</v>
      </c>
      <c r="I61" s="50" t="n">
        <f aca="false">H61*G61</f>
        <v>4163.5</v>
      </c>
      <c r="J61" s="50" t="n">
        <f aca="false">BQ61*Parameter!$B$18</f>
        <v>0</v>
      </c>
      <c r="K61" s="51" t="n">
        <v>2.5</v>
      </c>
      <c r="L61" s="52" t="n">
        <v>0</v>
      </c>
      <c r="M61" s="50" t="n">
        <v>1</v>
      </c>
      <c r="N61" s="50" t="n">
        <v>5</v>
      </c>
      <c r="O61" s="53" t="n">
        <v>14</v>
      </c>
      <c r="P61" s="48" t="s">
        <v>227</v>
      </c>
      <c r="Q61" s="50" t="n">
        <v>3</v>
      </c>
      <c r="R61" s="53" t="n">
        <f aca="false">IF(BW61=1,0,IFERROR(VLOOKUP(BU61,'Gebinde-Kategorie'!$A$5:$N$45,13,0)+0,0))</f>
        <v>4</v>
      </c>
      <c r="S61" s="54"/>
      <c r="T61" s="55"/>
      <c r="U61" s="55"/>
      <c r="V61" s="55"/>
      <c r="W61" s="48"/>
      <c r="X61" s="50"/>
      <c r="Y61" s="50"/>
      <c r="Z61" s="48" t="n">
        <f aca="false">IF(A61="","",IF(AND(Parameter!$B$21="Ja",ISNUMBER(W61)),W61,IF(BZ61="2+3",IF(ISNUMBER(SEARCH("grosser Artikel",BR61)),2,IFERROR(VLOOKUP(BU61,Parameter!$F$35:$G$64,2,0),2)),IF(OR(BZ61="Nein",BZ61=""),"-",BZ61))))</f>
        <v>1</v>
      </c>
      <c r="AA61" s="55"/>
      <c r="AB61" s="56"/>
      <c r="AC61" s="50" t="n">
        <f aca="false">AT61</f>
        <v>6</v>
      </c>
      <c r="AD61" s="50" t="n">
        <f aca="false">MAX(AT61,H61)</f>
        <v>6</v>
      </c>
      <c r="AE61" s="57"/>
      <c r="AF61" s="50" t="n">
        <f aca="false">IF(LEFT(Cockpit!$C$5,1)="A",H61,IF(CE61=1,CF61,IF(LEFT(Cockpit!$C$5,1)="B",AK61,MAX(AK61,H61))))</f>
        <v>5</v>
      </c>
      <c r="AG61" s="50" t="n">
        <f aca="false">IF(BW61=1,0,ROUNDUP(AF61/BV61,0))</f>
        <v>2</v>
      </c>
      <c r="AH61" s="52" t="n">
        <f aca="false">IF(CL61&gt;0,CL61*MAX(1,AF61/X61),IF(BW61=1,IF(AF61&lt;=0,0,CA61*MAX(1,IF(H61&gt;0,AF61/H61,1))),IF(R61&gt;0,AG61/R61,0))/MAX(0.1,N(Parameter!$M$21)))</f>
        <v>0.5</v>
      </c>
      <c r="AI61" s="50" t="n">
        <f aca="false">AH61*BY61</f>
        <v>117.5</v>
      </c>
      <c r="AJ61" s="50" t="n">
        <f aca="false">AF61*G61</f>
        <v>4163.5</v>
      </c>
      <c r="AK61" s="50" t="n">
        <f aca="false">ROUNDUP(MAX(J61/IF(CD61&gt;0,CD61,MAX(0.1,N(Cockpit!$C$6))),CG61)/BV61,0)*BV61</f>
        <v>6</v>
      </c>
      <c r="AL61" s="51" t="n">
        <f aca="false">IF(AI61&gt;0,J61/AI61,-1)</f>
        <v>0</v>
      </c>
      <c r="AM61" s="51" t="n">
        <f aca="false">IF(AND(OR(CC61="L1",CC61="L23",CC61="LIFT"),AI61&gt;0),SUMIFS($AI$7:$AI$1843,$CC$7:$CC$1843,CC61,$AL$7:$AL$1843,"&gt;"&amp;AL61)+SUMIFS($AI$7:$AI$1843,$CC$7:$CC$1843,CC61,$AL$7:$AL$1843,AL61,$BT$7:$BT$1843,"&lt;="&amp;BT61),"")</f>
        <v>26446.7419212144</v>
      </c>
      <c r="AN61" s="58" t="n">
        <f aca="false">IF(AM61="",0,MAX(0,MIN(1,(IF(CC61="L1",Parameter!$H$5,IF(CC61="L23",Parameter!$H$6+Parameter!$H$7,Parameter!$H$5+Parameter!$H$6+Parameter!$H$7))-(AM61-AI61))/AI61)))</f>
        <v>1</v>
      </c>
      <c r="AO61" s="50" t="n">
        <f aca="false">IF(LEFT(Cockpit!$I$5,1)="A",H61,IF(CE61=1,CF61,IF(LEFT(Cockpit!$I$5,1)="B",AT61,MAX(AT61,H61))))</f>
        <v>6</v>
      </c>
      <c r="AP61" s="50" t="n">
        <f aca="false">IF(BW61=1,0,ROUNDUP(AO61/BV61,0))</f>
        <v>2</v>
      </c>
      <c r="AQ61" s="52" t="n">
        <f aca="false">IF(CL61&gt;0,CL61*MAX(1,AO61/X61),IF(BW61=1,IF(AO61&lt;=0,0,CA61*MAX(1,IF(H61&gt;0,AO61/H61,1))),IF(R61&gt;0,AP61/R61,0))/MAX(0.1,N(Parameter!$M$21)))</f>
        <v>0.5</v>
      </c>
      <c r="AR61" s="50" t="n">
        <f aca="false">AQ61*BY61</f>
        <v>117.5</v>
      </c>
      <c r="AS61" s="50" t="n">
        <f aca="false">AO61*G61</f>
        <v>4996.2</v>
      </c>
      <c r="AT61" s="50" t="n">
        <f aca="false">ROUNDUP(MAX(J61/IF(CD61&gt;0,CD61,MAX(0.1,N(Cockpit!$I$6))),CG61)/BV61,0)*BV61</f>
        <v>6</v>
      </c>
      <c r="AU61" s="51" t="n">
        <f aca="false">IF(AR61&gt;0,J61/AR61,-1)</f>
        <v>0</v>
      </c>
      <c r="AV61" s="51" t="n">
        <f aca="false">IF(AND(OR(CC61="L1",CC61="L23",CC61="LIFT"),AR61&gt;0),SUMIFS($AR$7:$AR$1843,$CC$7:$CC$1843,CC61,$AU$7:$AU$1843,"&gt;"&amp;AU61)+SUMIFS($AR$7:$AR$1843,$CC$7:$CC$1843,CC61,$AU$7:$AU$1843,AU61,$BT$7:$BT$1843,"&lt;="&amp;BT61),"")</f>
        <v>37728.5151409325</v>
      </c>
      <c r="AW61" s="58" t="n">
        <f aca="false">IF(AV61="",0,MAX(0,MIN(1,(IF(CC61="L1",Parameter!$H$5,IF(CC61="L23",Parameter!$H$6+Parameter!$H$7,Parameter!$H$5+Parameter!$H$6+Parameter!$H$7))-(AV61-AR61))/AR61)))</f>
        <v>0</v>
      </c>
      <c r="AX61" s="50" t="n">
        <f aca="false">IF(LEFT(Cockpit!$O$5,1)="A",H61,IF(CE61=1,CF61,IF(LEFT(Cockpit!$O$5,1)="B",BC61,MAX(BC61,H61))))</f>
        <v>6</v>
      </c>
      <c r="AY61" s="50" t="n">
        <f aca="false">IF(BW61=1,0,ROUNDUP(AX61/BV61,0))</f>
        <v>2</v>
      </c>
      <c r="AZ61" s="52" t="n">
        <f aca="false">IF(CL61&gt;0,CL61*MAX(1,AX61/X61),IF(BW61=1,IF(AX61&lt;=0,0,CA61*MAX(1,IF(H61&gt;0,AX61/H61,1))),IF(R61&gt;0,AY61/R61,0))/MAX(0.1,N(Parameter!$M$21)))</f>
        <v>0.5</v>
      </c>
      <c r="BA61" s="50" t="n">
        <f aca="false">AZ61*BY61</f>
        <v>117.5</v>
      </c>
      <c r="BB61" s="50" t="n">
        <f aca="false">AX61*G61</f>
        <v>4996.2</v>
      </c>
      <c r="BC61" s="50" t="n">
        <f aca="false">ROUNDUP(MAX(J61/IF(CD61&gt;0,CD61,MAX(0.1,N(Cockpit!$O$6))),CG61)/BV61,0)*BV61</f>
        <v>6</v>
      </c>
      <c r="BD61" s="51" t="n">
        <f aca="false">IF(BA61&gt;0,J61/BA61,-1)</f>
        <v>0</v>
      </c>
      <c r="BE61" s="51" t="n">
        <f aca="false">IF(AND(OR(CC61="L1",CC61="L23",CC61="LIFT"),BA61&gt;0),SUMIFS($BA$7:$BA$1843,$CC$7:$CC$1843,CC61,$BD$7:$BD$1843,"&gt;"&amp;BD61)+SUMIFS($BA$7:$BA$1843,$CC$7:$CC$1843,CC61,$BD$7:$BD$1843,BD61,$BT$7:$BT$1843,"&lt;="&amp;BT61),"")</f>
        <v>34403.5271827984</v>
      </c>
      <c r="BF61" s="58" t="n">
        <f aca="false">IF(BE61="",0,MAX(0,MIN(1,(IF(CC61="L1",Parameter!$H$5,IF(CC61="L23",Parameter!$H$6+Parameter!$H$7,Parameter!$H$5+Parameter!$H$6+Parameter!$H$7))-(BE61-BA61))/BA61)))</f>
        <v>1</v>
      </c>
      <c r="BG61" s="48" t="str">
        <f aca="false">IF(AI61&lt;=0,"",IF(CC61="Aussen","Aussenlager",IF(CC61="-","Nicht im Lift",IF(AN61&gt;=1,"Lift",IF(AN61&lt;=0,"Aussenlager","teilweise")))))</f>
        <v>Lift</v>
      </c>
      <c r="BH61" s="48" t="str">
        <f aca="false">IF(AR61&lt;=0,"",IF(CC61="Aussen","Aussenlager",IF(CC61="-","Nicht im Lift",IF(AW61&gt;=1,"Lift",IF(AW61&lt;=0,"Aussenlager","teilweise")))))</f>
        <v>Aussenlager</v>
      </c>
      <c r="BI61" s="48" t="str">
        <f aca="false">IF(BA61&lt;=0,"",IF(CC61="Aussen","Aussenlager",IF(CC61="-","Nicht im Lift",IF(BF61&gt;=1,"Lift",IF(BF61&lt;=0,"Aussenlager","teilweise")))))</f>
        <v>Lift</v>
      </c>
      <c r="BJ61" s="48" t="str">
        <f aca="false">IF(A61="","",IF(BS61=1,"Neu; ","")&amp;IF(AND(BS61=0,BN61&lt;0),"negativer Bestand (Export "&amp;BN61&amp;"); ","")&amp;IF(J61&lt;=0,"Kein Verbrauch; ","")&amp;IF(CL61&gt;0,"Lift "&amp;W61&amp;" lt. Liftbericht (Fach "&amp;X61&amp;" Stk); ",IF(BX61=1,"Gebinde geschätzt ("&amp;T61&amp;"); ",IF(BW61=1,"Lose – Tablare geschätzt; ","")))&amp;IF(H61&gt;AT61,"Überbestand "&amp;ROUND(H61-AT61,0)&amp;" Stk / CHF "&amp;ROUND((H61-AT61)*G61,0)&amp;"; ","")&amp;IF(AND(CE61=1,CF61&lt;CG61),"MAX &lt; MB+LG; ","")&amp;IF(AND(CK61&gt;0,CJ61*10&gt;CK61),"zu hoch für Tablar; ","")&amp;IF(AND(BS61=0,OR(CE61=1,AA61&lt;&gt;"",U61&lt;&gt;"",V61&lt;&gt;"",AB61&lt;&gt;"")),"manuell übersteuert; ","")&amp;IF(AND(BW61=0,R61=0),"Gebinde unbekannt / Stellmass fehlt; ","")&amp;IF(AND(BW61=0,N(V61)&lt;=0,N(Q61)&lt;=0),"Menge pro Gebinde fehlt (Ist = 1 Gebinde); ","")&amp;BR61)</f>
        <v>Kein Verbrauch; </v>
      </c>
      <c r="BK61" s="48"/>
      <c r="BL61" s="48"/>
      <c r="BM61" s="55"/>
      <c r="BN61" s="50" t="n">
        <v>5</v>
      </c>
      <c r="BO61" s="50" t="n">
        <v>0</v>
      </c>
      <c r="BP61" s="49" t="n">
        <v>4163.5</v>
      </c>
      <c r="BQ61" s="50" t="n">
        <v>0</v>
      </c>
      <c r="BR61" s="48"/>
      <c r="BS61" s="53" t="n">
        <v>0</v>
      </c>
      <c r="BT61" s="53" t="n">
        <v>61</v>
      </c>
      <c r="BU61" s="48" t="str">
        <f aca="false">IF(U61&lt;&gt;"",UPPER(TRIM(U61)),IF(BX61=1,UPPER(VLOOKUP(T61,Parameter!$I$27:$K$29,2,0)),IF(P61="","LOSE",P61)))</f>
        <v>S81</v>
      </c>
      <c r="BV61" s="50" t="n">
        <f aca="false">IF(BU61="LOSE",1,IF(N(V61)&gt;0,V61,IF(BX61=1,MAX(1,N(VLOOKUP(T61,Parameter!$I$27:$K$29,3,0)),H61,N(N61)),IF(N(Q61)&gt;0,Q61,MAX(1,H61)))))</f>
        <v>3</v>
      </c>
      <c r="BW61" s="53" t="n">
        <f aca="false">IF(BU61="LOSE",1,0)</f>
        <v>0</v>
      </c>
      <c r="BX61" s="53" t="n">
        <f aca="false">IF(AND(U61="",OR(P61="",P61="LOSE"),T61&lt;&gt;"",N(S61)&lt;=0,ISNUMBER(MATCH(T61,Parameter!$I$27:$I$29,0))),1,0)</f>
        <v>0</v>
      </c>
      <c r="BY61" s="53" t="n">
        <f aca="false">IF(CL61&gt;0,INDEX(Parameter!$H$5:$H$7,W61)/INDEX(Parameter!$E$5:$E$7,W61),IF(AND(BW61=0,N(IFERROR(VLOOKUP(BU61,'Gebinde-Kategorie'!$A$5:$N$45,14,0),0))&gt;0),VLOOKUP(BU61,'Gebinde-Kategorie'!$A$5:$N$45,14,0)*10+Parameter!$M$23,Parameter!$M$24))</f>
        <v>235</v>
      </c>
      <c r="BZ61" s="48" t="n">
        <f aca="false">IF(AND(Parameter!$B$19="Ja",E61&lt;&gt;"",ISNUMBER(MATCH(E61,Parameter!$I$35:$I$52,0))),VLOOKUP(E61,Parameter!$I$35:$J$52,2,0),IFERROR(VLOOKUP(D61,Parameter!$A$35:$C$64,2,0),"Nein"))</f>
        <v>1</v>
      </c>
      <c r="CA61" s="52" t="n">
        <f aca="false">IF(BW61=0,0,IF(N(S61)&gt;0,S61,IFERROR(VLOOKUP(D61,Parameter!$A$35:$C$64,3,0)+0,0)))</f>
        <v>0</v>
      </c>
      <c r="CB61" s="48" t="n">
        <f aca="false">IF(AA61&lt;&gt;"",AA61,Z61)</f>
        <v>1</v>
      </c>
      <c r="CC61" s="48" t="str">
        <f aca="false">IF(OR(CB61=1,CB61=2,CB61=3),IF(Parameter!$E$27="Ja","LIFT",IF(CB61=1,"L1","L23")),IF(CB61="Aussen","Aussen","-"))</f>
        <v>LIFT</v>
      </c>
      <c r="CD61" s="59" t="n">
        <f aca="false">IF(N(AB61)&gt;0,AB61,0)</f>
        <v>0</v>
      </c>
      <c r="CE61" s="53" t="n">
        <f aca="false">IF(ISNUMBER(AE61),1,0)</f>
        <v>0</v>
      </c>
      <c r="CF61" s="50" t="n">
        <f aca="false">N(AE61)</f>
        <v>0</v>
      </c>
      <c r="CG61" s="50" t="n">
        <f aca="false">N(M61)+N(N61)</f>
        <v>6</v>
      </c>
      <c r="CH61" s="50" t="n">
        <f aca="false">ROUNDUP(H61/BV61,0)</f>
        <v>2</v>
      </c>
      <c r="CI61" s="50" t="n">
        <f aca="false">ROUNDUP(CF61/BV61,0)</f>
        <v>0</v>
      </c>
      <c r="CJ61" s="53" t="n">
        <f aca="false">IF(BW61=1,0,IFERROR(VLOOKUP(BU61,'Gebinde-Kategorie'!$A$5:$N$45,5,0)+0,0))</f>
        <v>20</v>
      </c>
      <c r="CK61" s="53" t="n">
        <f aca="false">IFERROR(IF(OR(CB61=1,CB61=2,CB61=3),N(INDEX(Parameter!$I$5:$I$7,CB61)),0),0)</f>
        <v>0</v>
      </c>
      <c r="CL61" s="52" t="n">
        <f aca="false">IF(AND(Parameter!$B$21="Ja",ISNUMBER(W61),N(X61)&gt;0),IFERROR(N(INDEX(Parameter!$L$5:$L$7,W61))*INDEX(Parameter!$E$5:$E$7,W61)*X61/SUMIFS($X$7:$X$1843,$W$7:$W$1843,W61),0),0)</f>
        <v>0</v>
      </c>
    </row>
    <row r="62" customFormat="false" ht="15" hidden="false" customHeight="false" outlineLevel="0" collapsed="false">
      <c r="A62" s="48" t="s">
        <v>325</v>
      </c>
      <c r="B62" s="48" t="s">
        <v>326</v>
      </c>
      <c r="C62" s="48" t="s">
        <v>168</v>
      </c>
      <c r="D62" s="48" t="s">
        <v>188</v>
      </c>
      <c r="E62" s="48"/>
      <c r="F62" s="48" t="s">
        <v>222</v>
      </c>
      <c r="G62" s="49" t="n">
        <v>513</v>
      </c>
      <c r="H62" s="50" t="n">
        <f aca="false">MAX(0,IF(AND(Parameter!$B$21="Ja",ISNUMBER(Y62)),Y62,IF(Parameter!$B$20="Jahresanfang 2025 + Export",BO62+BN62,BN62)))</f>
        <v>8</v>
      </c>
      <c r="I62" s="50" t="n">
        <f aca="false">H62*G62</f>
        <v>4104</v>
      </c>
      <c r="J62" s="50" t="n">
        <f aca="false">BQ62*Parameter!$B$18</f>
        <v>0</v>
      </c>
      <c r="K62" s="51" t="n">
        <v>0</v>
      </c>
      <c r="L62" s="52" t="n">
        <v>0</v>
      </c>
      <c r="M62" s="50" t="n">
        <v>0</v>
      </c>
      <c r="N62" s="50" t="n">
        <v>1</v>
      </c>
      <c r="O62" s="53" t="n">
        <v>9999</v>
      </c>
      <c r="P62" s="48" t="s">
        <v>172</v>
      </c>
      <c r="Q62" s="50"/>
      <c r="R62" s="53" t="n">
        <f aca="false">IF(BW62=1,0,IFERROR(VLOOKUP(BU62,'Gebinde-Kategorie'!$A$5:$N$45,13,0)+0,0))</f>
        <v>12</v>
      </c>
      <c r="S62" s="54"/>
      <c r="T62" s="55" t="s">
        <v>183</v>
      </c>
      <c r="U62" s="55"/>
      <c r="V62" s="55"/>
      <c r="W62" s="48"/>
      <c r="X62" s="50"/>
      <c r="Y62" s="50"/>
      <c r="Z62" s="48" t="n">
        <f aca="false">IF(A62="","",IF(AND(Parameter!$B$21="Ja",ISNUMBER(W62)),W62,IF(BZ62="2+3",IF(ISNUMBER(SEARCH("grosser Artikel",BR62)),2,IFERROR(VLOOKUP(BU62,Parameter!$F$35:$G$64,2,0),2)),IF(OR(BZ62="Nein",BZ62=""),"-",BZ62))))</f>
        <v>2</v>
      </c>
      <c r="AA62" s="55"/>
      <c r="AB62" s="56"/>
      <c r="AC62" s="50" t="n">
        <f aca="false">AT62</f>
        <v>8</v>
      </c>
      <c r="AD62" s="50" t="n">
        <f aca="false">MAX(AT62,H62)</f>
        <v>8</v>
      </c>
      <c r="AE62" s="57"/>
      <c r="AF62" s="50" t="n">
        <f aca="false">IF(LEFT(Cockpit!$C$5,1)="A",H62,IF(CE62=1,CF62,IF(LEFT(Cockpit!$C$5,1)="B",AK62,MAX(AK62,H62))))</f>
        <v>8</v>
      </c>
      <c r="AG62" s="50" t="n">
        <f aca="false">IF(BW62=1,0,ROUNDUP(AF62/BV62,0))</f>
        <v>1</v>
      </c>
      <c r="AH62" s="52" t="n">
        <f aca="false">IF(CL62&gt;0,CL62*MAX(1,AF62/X62),IF(BW62=1,IF(AF62&lt;=0,0,CA62*MAX(1,IF(H62&gt;0,AF62/H62,1))),IF(R62&gt;0,AG62/R62,0))/MAX(0.1,N(Parameter!$M$21)))</f>
        <v>0.0833333333333333</v>
      </c>
      <c r="AI62" s="50" t="n">
        <f aca="false">AH62*BY62</f>
        <v>12.0833333333333</v>
      </c>
      <c r="AJ62" s="50" t="n">
        <f aca="false">AF62*G62</f>
        <v>4104</v>
      </c>
      <c r="AK62" s="50" t="n">
        <f aca="false">ROUNDUP(MAX(J62/IF(CD62&gt;0,CD62,MAX(0.1,N(Cockpit!$C$6))),CG62)/BV62,0)*BV62</f>
        <v>8</v>
      </c>
      <c r="AL62" s="51" t="n">
        <f aca="false">IF(AI62&gt;0,J62/AI62,-1)</f>
        <v>0</v>
      </c>
      <c r="AM62" s="51" t="n">
        <f aca="false">IF(AND(OR(CC62="L1",CC62="L23",CC62="LIFT"),AI62&gt;0),SUMIFS($AI$7:$AI$1843,$CC$7:$CC$1843,CC62,$AL$7:$AL$1843,"&gt;"&amp;AL62)+SUMIFS($AI$7:$AI$1843,$CC$7:$CC$1843,CC62,$AL$7:$AL$1843,AL62,$BT$7:$BT$1843,"&lt;="&amp;BT62),"")</f>
        <v>26458.8252545477</v>
      </c>
      <c r="AN62" s="58" t="n">
        <f aca="false">IF(AM62="",0,MAX(0,MIN(1,(IF(CC62="L1",Parameter!$H$5,IF(CC62="L23",Parameter!$H$6+Parameter!$H$7,Parameter!$H$5+Parameter!$H$6+Parameter!$H$7))-(AM62-AI62))/AI62)))</f>
        <v>1</v>
      </c>
      <c r="AO62" s="50" t="n">
        <f aca="false">IF(LEFT(Cockpit!$I$5,1)="A",H62,IF(CE62=1,CF62,IF(LEFT(Cockpit!$I$5,1)="B",AT62,MAX(AT62,H62))))</f>
        <v>8</v>
      </c>
      <c r="AP62" s="50" t="n">
        <f aca="false">IF(BW62=1,0,ROUNDUP(AO62/BV62,0))</f>
        <v>1</v>
      </c>
      <c r="AQ62" s="52" t="n">
        <f aca="false">IF(CL62&gt;0,CL62*MAX(1,AO62/X62),IF(BW62=1,IF(AO62&lt;=0,0,CA62*MAX(1,IF(H62&gt;0,AO62/H62,1))),IF(R62&gt;0,AP62/R62,0))/MAX(0.1,N(Parameter!$M$21)))</f>
        <v>0.0833333333333333</v>
      </c>
      <c r="AR62" s="50" t="n">
        <f aca="false">AQ62*BY62</f>
        <v>12.0833333333333</v>
      </c>
      <c r="AS62" s="50" t="n">
        <f aca="false">AO62*G62</f>
        <v>4104</v>
      </c>
      <c r="AT62" s="50" t="n">
        <f aca="false">ROUNDUP(MAX(J62/IF(CD62&gt;0,CD62,MAX(0.1,N(Cockpit!$I$6))),CG62)/BV62,0)*BV62</f>
        <v>8</v>
      </c>
      <c r="AU62" s="51" t="n">
        <f aca="false">IF(AR62&gt;0,J62/AR62,-1)</f>
        <v>0</v>
      </c>
      <c r="AV62" s="51" t="n">
        <f aca="false">IF(AND(OR(CC62="L1",CC62="L23",CC62="LIFT"),AR62&gt;0),SUMIFS($AR$7:$AR$1843,$CC$7:$CC$1843,CC62,$AU$7:$AU$1843,"&gt;"&amp;AU62)+SUMIFS($AR$7:$AR$1843,$CC$7:$CC$1843,CC62,$AU$7:$AU$1843,AU62,$BT$7:$BT$1843,"&lt;="&amp;BT62),"")</f>
        <v>37740.5984742659</v>
      </c>
      <c r="AW62" s="58" t="n">
        <f aca="false">IF(AV62="",0,MAX(0,MIN(1,(IF(CC62="L1",Parameter!$H$5,IF(CC62="L23",Parameter!$H$6+Parameter!$H$7,Parameter!$H$5+Parameter!$H$6+Parameter!$H$7))-(AV62-AR62))/AR62)))</f>
        <v>0</v>
      </c>
      <c r="AX62" s="50" t="n">
        <f aca="false">IF(LEFT(Cockpit!$O$5,1)="A",H62,IF(CE62=1,CF62,IF(LEFT(Cockpit!$O$5,1)="B",BC62,MAX(BC62,H62))))</f>
        <v>8</v>
      </c>
      <c r="AY62" s="50" t="n">
        <f aca="false">IF(BW62=1,0,ROUNDUP(AX62/BV62,0))</f>
        <v>1</v>
      </c>
      <c r="AZ62" s="52" t="n">
        <f aca="false">IF(CL62&gt;0,CL62*MAX(1,AX62/X62),IF(BW62=1,IF(AX62&lt;=0,0,CA62*MAX(1,IF(H62&gt;0,AX62/H62,1))),IF(R62&gt;0,AY62/R62,0))/MAX(0.1,N(Parameter!$M$21)))</f>
        <v>0.0833333333333333</v>
      </c>
      <c r="BA62" s="50" t="n">
        <f aca="false">AZ62*BY62</f>
        <v>12.0833333333333</v>
      </c>
      <c r="BB62" s="50" t="n">
        <f aca="false">AX62*G62</f>
        <v>4104</v>
      </c>
      <c r="BC62" s="50" t="n">
        <f aca="false">ROUNDUP(MAX(J62/IF(CD62&gt;0,CD62,MAX(0.1,N(Cockpit!$O$6))),CG62)/BV62,0)*BV62</f>
        <v>8</v>
      </c>
      <c r="BD62" s="51" t="n">
        <f aca="false">IF(BA62&gt;0,J62/BA62,-1)</f>
        <v>0</v>
      </c>
      <c r="BE62" s="51" t="n">
        <f aca="false">IF(AND(OR(CC62="L1",CC62="L23",CC62="LIFT"),BA62&gt;0),SUMIFS($BA$7:$BA$1843,$CC$7:$CC$1843,CC62,$BD$7:$BD$1843,"&gt;"&amp;BD62)+SUMIFS($BA$7:$BA$1843,$CC$7:$CC$1843,CC62,$BD$7:$BD$1843,BD62,$BT$7:$BT$1843,"&lt;="&amp;BT62),"")</f>
        <v>34415.6105161317</v>
      </c>
      <c r="BF62" s="58" t="n">
        <f aca="false">IF(BE62="",0,MAX(0,MIN(1,(IF(CC62="L1",Parameter!$H$5,IF(CC62="L23",Parameter!$H$6+Parameter!$H$7,Parameter!$H$5+Parameter!$H$6+Parameter!$H$7))-(BE62-BA62))/BA62)))</f>
        <v>1</v>
      </c>
      <c r="BG62" s="48" t="str">
        <f aca="false">IF(AI62&lt;=0,"",IF(CC62="Aussen","Aussenlager",IF(CC62="-","Nicht im Lift",IF(AN62&gt;=1,"Lift",IF(AN62&lt;=0,"Aussenlager","teilweise")))))</f>
        <v>Lift</v>
      </c>
      <c r="BH62" s="48" t="str">
        <f aca="false">IF(AR62&lt;=0,"",IF(CC62="Aussen","Aussenlager",IF(CC62="-","Nicht im Lift",IF(AW62&gt;=1,"Lift",IF(AW62&lt;=0,"Aussenlager","teilweise")))))</f>
        <v>Aussenlager</v>
      </c>
      <c r="BI62" s="48" t="str">
        <f aca="false">IF(BA62&lt;=0,"",IF(CC62="Aussen","Aussenlager",IF(CC62="-","Nicht im Lift",IF(BF62&gt;=1,"Lift",IF(BF62&lt;=0,"Aussenlager","teilweise")))))</f>
        <v>Lift</v>
      </c>
      <c r="BJ62" s="48" t="str">
        <f aca="false">IF(A62="","",IF(BS62=1,"Neu; ","")&amp;IF(AND(BS62=0,BN62&lt;0),"negativer Bestand (Export "&amp;BN62&amp;"); ","")&amp;IF(J62&lt;=0,"Kein Verbrauch; ","")&amp;IF(CL62&gt;0,"Lift "&amp;W62&amp;" lt. Liftbericht (Fach "&amp;X62&amp;" Stk); ",IF(BX62=1,"Gebinde geschätzt ("&amp;T62&amp;"); ",IF(BW62=1,"Lose – Tablare geschätzt; ","")))&amp;IF(H62&gt;AT62,"Überbestand "&amp;ROUND(H62-AT62,0)&amp;" Stk / CHF "&amp;ROUND((H62-AT62)*G62,0)&amp;"; ","")&amp;IF(AND(CE62=1,CF62&lt;CG62),"MAX &lt; MB+LG; ","")&amp;IF(AND(CK62&gt;0,CJ62*10&gt;CK62),"zu hoch für Tablar; ","")&amp;IF(AND(BS62=0,OR(CE62=1,AA62&lt;&gt;"",U62&lt;&gt;"",V62&lt;&gt;"",AB62&lt;&gt;"")),"manuell übersteuert; ","")&amp;IF(AND(BW62=0,R62=0),"Gebinde unbekannt / Stellmass fehlt; ","")&amp;IF(AND(BW62=0,N(V62)&lt;=0,N(Q62)&lt;=0),"Menge pro Gebinde fehlt (Ist = 1 Gebinde); ","")&amp;BR62)</f>
        <v>Kein Verbrauch; Gebinde geschätzt (Mittel); Menge pro Gebinde fehlt (Ist = 1 Gebinde); </v>
      </c>
      <c r="BK62" s="48"/>
      <c r="BL62" s="48"/>
      <c r="BM62" s="55"/>
      <c r="BN62" s="50" t="n">
        <v>8</v>
      </c>
      <c r="BO62" s="50" t="n">
        <v>0</v>
      </c>
      <c r="BP62" s="49" t="n">
        <v>4104</v>
      </c>
      <c r="BQ62" s="50" t="n">
        <v>0</v>
      </c>
      <c r="BR62" s="48"/>
      <c r="BS62" s="53" t="n">
        <v>0</v>
      </c>
      <c r="BT62" s="53" t="n">
        <v>62</v>
      </c>
      <c r="BU62" s="48" t="str">
        <f aca="false">IF(U62&lt;&gt;"",UPPER(TRIM(U62)),IF(BX62=1,UPPER(VLOOKUP(T62,Parameter!$I$27:$K$29,2,0)),IF(P62="","LOSE",P62)))</f>
        <v>S61</v>
      </c>
      <c r="BV62" s="50" t="n">
        <f aca="false">IF(BU62="LOSE",1,IF(N(V62)&gt;0,V62,IF(BX62=1,MAX(1,N(VLOOKUP(T62,Parameter!$I$27:$K$29,3,0)),H62,N(N62)),IF(N(Q62)&gt;0,Q62,MAX(1,H62)))))</f>
        <v>8</v>
      </c>
      <c r="BW62" s="53" t="n">
        <f aca="false">IF(BU62="LOSE",1,0)</f>
        <v>0</v>
      </c>
      <c r="BX62" s="53" t="n">
        <f aca="false">IF(AND(U62="",OR(P62="",P62="LOSE"),T62&lt;&gt;"",N(S62)&lt;=0,ISNUMBER(MATCH(T62,Parameter!$I$27:$I$29,0))),1,0)</f>
        <v>1</v>
      </c>
      <c r="BY62" s="53" t="n">
        <f aca="false">IF(CL62&gt;0,INDEX(Parameter!$H$5:$H$7,W62)/INDEX(Parameter!$E$5:$E$7,W62),IF(AND(BW62=0,N(IFERROR(VLOOKUP(BU62,'Gebinde-Kategorie'!$A$5:$N$45,14,0),0))&gt;0),VLOOKUP(BU62,'Gebinde-Kategorie'!$A$5:$N$45,14,0)*10+Parameter!$M$23,Parameter!$M$24))</f>
        <v>145</v>
      </c>
      <c r="BZ62" s="48" t="str">
        <f aca="false">IF(AND(Parameter!$B$19="Ja",E62&lt;&gt;"",ISNUMBER(MATCH(E62,Parameter!$I$35:$I$52,0))),VLOOKUP(E62,Parameter!$I$35:$J$52,2,0),IFERROR(VLOOKUP(D62,Parameter!$A$35:$C$64,2,0),"Nein"))</f>
        <v>2+3</v>
      </c>
      <c r="CA62" s="52" t="n">
        <f aca="false">IF(BW62=0,0,IF(N(S62)&gt;0,S62,IFERROR(VLOOKUP(D62,Parameter!$A$35:$C$64,3,0)+0,0)))</f>
        <v>0</v>
      </c>
      <c r="CB62" s="48" t="n">
        <f aca="false">IF(AA62&lt;&gt;"",AA62,Z62)</f>
        <v>2</v>
      </c>
      <c r="CC62" s="48" t="str">
        <f aca="false">IF(OR(CB62=1,CB62=2,CB62=3),IF(Parameter!$E$27="Ja","LIFT",IF(CB62=1,"L1","L23")),IF(CB62="Aussen","Aussen","-"))</f>
        <v>LIFT</v>
      </c>
      <c r="CD62" s="59" t="n">
        <f aca="false">IF(N(AB62)&gt;0,AB62,0)</f>
        <v>0</v>
      </c>
      <c r="CE62" s="53" t="n">
        <f aca="false">IF(ISNUMBER(AE62),1,0)</f>
        <v>0</v>
      </c>
      <c r="CF62" s="50" t="n">
        <f aca="false">N(AE62)</f>
        <v>0</v>
      </c>
      <c r="CG62" s="50" t="n">
        <f aca="false">N(M62)+N(N62)</f>
        <v>1</v>
      </c>
      <c r="CH62" s="50" t="n">
        <f aca="false">ROUNDUP(H62/BV62,0)</f>
        <v>1</v>
      </c>
      <c r="CI62" s="50" t="n">
        <f aca="false">ROUNDUP(CF62/BV62,0)</f>
        <v>0</v>
      </c>
      <c r="CJ62" s="53" t="n">
        <f aca="false">IF(BW62=1,0,IFERROR(VLOOKUP(BU62,'Gebinde-Kategorie'!$A$5:$N$45,5,0)+0,0))</f>
        <v>11</v>
      </c>
      <c r="CK62" s="53" t="n">
        <f aca="false">IFERROR(IF(OR(CB62=1,CB62=2,CB62=3),N(INDEX(Parameter!$I$5:$I$7,CB62)),0),0)</f>
        <v>0</v>
      </c>
      <c r="CL62" s="52" t="n">
        <f aca="false">IF(AND(Parameter!$B$21="Ja",ISNUMBER(W62),N(X62)&gt;0),IFERROR(N(INDEX(Parameter!$L$5:$L$7,W62))*INDEX(Parameter!$E$5:$E$7,W62)*X62/SUMIFS($X$7:$X$1843,$W$7:$W$1843,W62),0),0)</f>
        <v>0</v>
      </c>
    </row>
    <row r="63" customFormat="false" ht="15" hidden="false" customHeight="false" outlineLevel="0" collapsed="false">
      <c r="A63" s="48" t="s">
        <v>327</v>
      </c>
      <c r="B63" s="48" t="s">
        <v>328</v>
      </c>
      <c r="C63" s="48" t="s">
        <v>168</v>
      </c>
      <c r="D63" s="48" t="s">
        <v>188</v>
      </c>
      <c r="E63" s="48" t="s">
        <v>189</v>
      </c>
      <c r="F63" s="48" t="s">
        <v>222</v>
      </c>
      <c r="G63" s="49" t="n">
        <v>34.21</v>
      </c>
      <c r="H63" s="50" t="n">
        <f aca="false">MAX(0,IF(AND(Parameter!$B$21="Ja",ISNUMBER(Y63)),Y63,IF(Parameter!$B$20="Jahresanfang 2025 + Export",BO63+BN63,BN63)))</f>
        <v>174</v>
      </c>
      <c r="I63" s="50" t="n">
        <f aca="false">H63*G63</f>
        <v>5952.54</v>
      </c>
      <c r="J63" s="50" t="n">
        <f aca="false">BQ63*Parameter!$B$18</f>
        <v>262</v>
      </c>
      <c r="K63" s="51" t="n">
        <v>102</v>
      </c>
      <c r="L63" s="52" t="n">
        <v>2.56862745098039</v>
      </c>
      <c r="M63" s="50" t="n">
        <v>45</v>
      </c>
      <c r="N63" s="50" t="n">
        <v>135</v>
      </c>
      <c r="O63" s="53" t="n">
        <v>56</v>
      </c>
      <c r="P63" s="48" t="s">
        <v>237</v>
      </c>
      <c r="Q63" s="50" t="n">
        <v>150</v>
      </c>
      <c r="R63" s="53" t="n">
        <f aca="false">IF(BW63=1,0,IFERROR(VLOOKUP(BU63,'Gebinde-Kategorie'!$A$5:$N$45,13,0)+0,0))</f>
        <v>26</v>
      </c>
      <c r="S63" s="54"/>
      <c r="T63" s="55"/>
      <c r="U63" s="55"/>
      <c r="V63" s="55"/>
      <c r="W63" s="48"/>
      <c r="X63" s="50"/>
      <c r="Y63" s="50"/>
      <c r="Z63" s="48" t="n">
        <f aca="false">IF(A63="","",IF(AND(Parameter!$B$21="Ja",ISNUMBER(W63)),W63,IF(BZ63="2+3",IF(ISNUMBER(SEARCH("grosser Artikel",BR63)),2,IFERROR(VLOOKUP(BU63,Parameter!$F$35:$G$64,2,0),2)),IF(OR(BZ63="Nein",BZ63=""),"-",BZ63))))</f>
        <v>3</v>
      </c>
      <c r="AA63" s="55"/>
      <c r="AB63" s="56"/>
      <c r="AC63" s="50" t="n">
        <f aca="false">AT63</f>
        <v>300</v>
      </c>
      <c r="AD63" s="50" t="n">
        <f aca="false">MAX(AT63,H63)</f>
        <v>300</v>
      </c>
      <c r="AE63" s="57"/>
      <c r="AF63" s="50" t="n">
        <f aca="false">IF(LEFT(Cockpit!$C$5,1)="A",H63,IF(CE63=1,CF63,IF(LEFT(Cockpit!$C$5,1)="B",AK63,MAX(AK63,H63))))</f>
        <v>174</v>
      </c>
      <c r="AG63" s="50" t="n">
        <f aca="false">IF(BW63=1,0,ROUNDUP(AF63/BV63,0))</f>
        <v>2</v>
      </c>
      <c r="AH63" s="52" t="n">
        <f aca="false">IF(CL63&gt;0,CL63*MAX(1,AF63/X63),IF(BW63=1,IF(AF63&lt;=0,0,CA63*MAX(1,IF(H63&gt;0,AF63/H63,1))),IF(R63&gt;0,AG63/R63,0))/MAX(0.1,N(Parameter!$M$21)))</f>
        <v>0.0769230769230769</v>
      </c>
      <c r="AI63" s="50" t="n">
        <f aca="false">AH63*BY63</f>
        <v>18.8461538461538</v>
      </c>
      <c r="AJ63" s="50" t="n">
        <f aca="false">AF63*G63</f>
        <v>5952.54</v>
      </c>
      <c r="AK63" s="50" t="n">
        <f aca="false">ROUNDUP(MAX(J63/IF(CD63&gt;0,CD63,MAX(0.1,N(Cockpit!$C$6))),CG63)/BV63,0)*BV63</f>
        <v>300</v>
      </c>
      <c r="AL63" s="51" t="n">
        <f aca="false">IF(AI63&gt;0,J63/AI63,-1)</f>
        <v>13.9020408163265</v>
      </c>
      <c r="AM63" s="51" t="n">
        <f aca="false">IF(AND(OR(CC63="L1",CC63="L23",CC63="LIFT"),AI63&gt;0),SUMIFS($AI$7:$AI$1843,$CC$7:$CC$1843,CC63,$AL$7:$AL$1843,"&gt;"&amp;AL63)+SUMIFS($AI$7:$AI$1843,$CC$7:$CC$1843,CC63,$AL$7:$AL$1843,AL63,$BT$7:$BT$1843,"&lt;="&amp;BT63),"")</f>
        <v>2219.68956043956</v>
      </c>
      <c r="AN63" s="58" t="n">
        <f aca="false">IF(AM63="",0,MAX(0,MIN(1,(IF(CC63="L1",Parameter!$H$5,IF(CC63="L23",Parameter!$H$6+Parameter!$H$7,Parameter!$H$5+Parameter!$H$6+Parameter!$H$7))-(AM63-AI63))/AI63)))</f>
        <v>1</v>
      </c>
      <c r="AO63" s="50" t="n">
        <f aca="false">IF(LEFT(Cockpit!$I$5,1)="A",H63,IF(CE63=1,CF63,IF(LEFT(Cockpit!$I$5,1)="B",AT63,MAX(AT63,H63))))</f>
        <v>300</v>
      </c>
      <c r="AP63" s="50" t="n">
        <f aca="false">IF(BW63=1,0,ROUNDUP(AO63/BV63,0))</f>
        <v>2</v>
      </c>
      <c r="AQ63" s="52" t="n">
        <f aca="false">IF(CL63&gt;0,CL63*MAX(1,AO63/X63),IF(BW63=1,IF(AO63&lt;=0,0,CA63*MAX(1,IF(H63&gt;0,AO63/H63,1))),IF(R63&gt;0,AP63/R63,0))/MAX(0.1,N(Parameter!$M$21)))</f>
        <v>0.0769230769230769</v>
      </c>
      <c r="AR63" s="50" t="n">
        <f aca="false">AQ63*BY63</f>
        <v>18.8461538461538</v>
      </c>
      <c r="AS63" s="50" t="n">
        <f aca="false">AO63*G63</f>
        <v>10263</v>
      </c>
      <c r="AT63" s="50" t="n">
        <f aca="false">ROUNDUP(MAX(J63/IF(CD63&gt;0,CD63,MAX(0.1,N(Cockpit!$I$6))),CG63)/BV63,0)*BV63</f>
        <v>300</v>
      </c>
      <c r="AU63" s="51" t="n">
        <f aca="false">IF(AR63&gt;0,J63/AR63,-1)</f>
        <v>13.9020408163265</v>
      </c>
      <c r="AV63" s="51" t="n">
        <f aca="false">IF(AND(OR(CC63="L1",CC63="L23",CC63="LIFT"),AR63&gt;0),SUMIFS($AR$7:$AR$1843,$CC$7:$CC$1843,CC63,$AU$7:$AU$1843,"&gt;"&amp;AU63)+SUMIFS($AR$7:$AR$1843,$CC$7:$CC$1843,CC63,$AU$7:$AU$1843,AU63,$BT$7:$BT$1843,"&lt;="&amp;BT63),"")</f>
        <v>3428.0554029304</v>
      </c>
      <c r="AW63" s="58" t="n">
        <f aca="false">IF(AV63="",0,MAX(0,MIN(1,(IF(CC63="L1",Parameter!$H$5,IF(CC63="L23",Parameter!$H$6+Parameter!$H$7,Parameter!$H$5+Parameter!$H$6+Parameter!$H$7))-(AV63-AR63))/AR63)))</f>
        <v>1</v>
      </c>
      <c r="AX63" s="50" t="n">
        <f aca="false">IF(LEFT(Cockpit!$O$5,1)="A",H63,IF(CE63=1,CF63,IF(LEFT(Cockpit!$O$5,1)="B",BC63,MAX(BC63,H63))))</f>
        <v>300</v>
      </c>
      <c r="AY63" s="50" t="n">
        <f aca="false">IF(BW63=1,0,ROUNDUP(AX63/BV63,0))</f>
        <v>2</v>
      </c>
      <c r="AZ63" s="52" t="n">
        <f aca="false">IF(CL63&gt;0,CL63*MAX(1,AX63/X63),IF(BW63=1,IF(AX63&lt;=0,0,CA63*MAX(1,IF(H63&gt;0,AX63/H63,1))),IF(R63&gt;0,AY63/R63,0))/MAX(0.1,N(Parameter!$M$21)))</f>
        <v>0.0769230769230769</v>
      </c>
      <c r="BA63" s="50" t="n">
        <f aca="false">AZ63*BY63</f>
        <v>18.8461538461538</v>
      </c>
      <c r="BB63" s="50" t="n">
        <f aca="false">AX63*G63</f>
        <v>10263</v>
      </c>
      <c r="BC63" s="50" t="n">
        <f aca="false">ROUNDUP(MAX(J63/IF(CD63&gt;0,CD63,MAX(0.1,N(Cockpit!$O$6))),CG63)/BV63,0)*BV63</f>
        <v>300</v>
      </c>
      <c r="BD63" s="51" t="n">
        <f aca="false">IF(BA63&gt;0,J63/BA63,-1)</f>
        <v>13.9020408163265</v>
      </c>
      <c r="BE63" s="51" t="n">
        <f aca="false">IF(AND(OR(CC63="L1",CC63="L23",CC63="LIFT"),BA63&gt;0),SUMIFS($BA$7:$BA$1843,$CC$7:$CC$1843,CC63,$BD$7:$BD$1843,"&gt;"&amp;BD63)+SUMIFS($BA$7:$BA$1843,$CC$7:$CC$1843,CC63,$BD$7:$BD$1843,BD63,$BT$7:$BT$1843,"&lt;="&amp;BT63),"")</f>
        <v>3084.60989010989</v>
      </c>
      <c r="BF63" s="58" t="n">
        <f aca="false">IF(BE63="",0,MAX(0,MIN(1,(IF(CC63="L1",Parameter!$H$5,IF(CC63="L23",Parameter!$H$6+Parameter!$H$7,Parameter!$H$5+Parameter!$H$6+Parameter!$H$7))-(BE63-BA63))/BA63)))</f>
        <v>1</v>
      </c>
      <c r="BG63" s="48" t="str">
        <f aca="false">IF(AI63&lt;=0,"",IF(CC63="Aussen","Aussenlager",IF(CC63="-","Nicht im Lift",IF(AN63&gt;=1,"Lift",IF(AN63&lt;=0,"Aussenlager","teilweise")))))</f>
        <v>Lift</v>
      </c>
      <c r="BH63" s="48" t="str">
        <f aca="false">IF(AR63&lt;=0,"",IF(CC63="Aussen","Aussenlager",IF(CC63="-","Nicht im Lift",IF(AW63&gt;=1,"Lift",IF(AW63&lt;=0,"Aussenlager","teilweise")))))</f>
        <v>Lift</v>
      </c>
      <c r="BI63" s="48" t="str">
        <f aca="false">IF(BA63&lt;=0,"",IF(CC63="Aussen","Aussenlager",IF(CC63="-","Nicht im Lift",IF(BF63&gt;=1,"Lift",IF(BF63&lt;=0,"Aussenlager","teilweise")))))</f>
        <v>Lift</v>
      </c>
      <c r="BJ63" s="48" t="str">
        <f aca="false">IF(A63="","",IF(BS63=1,"Neu; ","")&amp;IF(AND(BS63=0,BN63&lt;0),"negativer Bestand (Export "&amp;BN63&amp;"); ","")&amp;IF(J63&lt;=0,"Kein Verbrauch; ","")&amp;IF(CL63&gt;0,"Lift "&amp;W63&amp;" lt. Liftbericht (Fach "&amp;X63&amp;" Stk); ",IF(BX63=1,"Gebinde geschätzt ("&amp;T63&amp;"); ",IF(BW63=1,"Lose – Tablare geschätzt; ","")))&amp;IF(H63&gt;AT63,"Überbestand "&amp;ROUND(H63-AT63,0)&amp;" Stk / CHF "&amp;ROUND((H63-AT63)*G63,0)&amp;"; ","")&amp;IF(AND(CE63=1,CF63&lt;CG63),"MAX &lt; MB+LG; ","")&amp;IF(AND(CK63&gt;0,CJ63*10&gt;CK63),"zu hoch für Tablar; ","")&amp;IF(AND(BS63=0,OR(CE63=1,AA63&lt;&gt;"",U63&lt;&gt;"",V63&lt;&gt;"",AB63&lt;&gt;"")),"manuell übersteuert; ","")&amp;IF(AND(BW63=0,R63=0),"Gebinde unbekannt / Stellmass fehlt; ","")&amp;IF(AND(BW63=0,N(V63)&lt;=0,N(Q63)&lt;=0),"Menge pro Gebinde fehlt (Ist = 1 Gebinde); ","")&amp;BR63)</f>
        <v/>
      </c>
      <c r="BK63" s="48" t="s">
        <v>329</v>
      </c>
      <c r="BL63" s="48"/>
      <c r="BM63" s="55"/>
      <c r="BN63" s="50" t="n">
        <v>141</v>
      </c>
      <c r="BO63" s="50" t="n">
        <v>33</v>
      </c>
      <c r="BP63" s="49" t="n">
        <v>4088.73</v>
      </c>
      <c r="BQ63" s="50" t="n">
        <v>262</v>
      </c>
      <c r="BR63" s="48"/>
      <c r="BS63" s="53" t="n">
        <v>0</v>
      </c>
      <c r="BT63" s="53" t="n">
        <v>63</v>
      </c>
      <c r="BU63" s="48" t="str">
        <f aca="false">IF(U63&lt;&gt;"",UPPER(TRIM(U63)),IF(BX63=1,UPPER(VLOOKUP(T63,Parameter!$I$27:$K$29,2,0)),IF(P63="","LOSE",P63)))</f>
        <v>S52</v>
      </c>
      <c r="BV63" s="50" t="n">
        <f aca="false">IF(BU63="LOSE",1,IF(N(V63)&gt;0,V63,IF(BX63=1,MAX(1,N(VLOOKUP(T63,Parameter!$I$27:$K$29,3,0)),H63,N(N63)),IF(N(Q63)&gt;0,Q63,MAX(1,H63)))))</f>
        <v>150</v>
      </c>
      <c r="BW63" s="53" t="n">
        <f aca="false">IF(BU63="LOSE",1,0)</f>
        <v>0</v>
      </c>
      <c r="BX63" s="53" t="n">
        <f aca="false">IF(AND(U63="",OR(P63="",P63="LOSE"),T63&lt;&gt;"",N(S63)&lt;=0,ISNUMBER(MATCH(T63,Parameter!$I$27:$I$29,0))),1,0)</f>
        <v>0</v>
      </c>
      <c r="BY63" s="53" t="n">
        <f aca="false">IF(CL63&gt;0,INDEX(Parameter!$H$5:$H$7,W63)/INDEX(Parameter!$E$5:$E$7,W63),IF(AND(BW63=0,N(IFERROR(VLOOKUP(BU63,'Gebinde-Kategorie'!$A$5:$N$45,14,0),0))&gt;0),VLOOKUP(BU63,'Gebinde-Kategorie'!$A$5:$N$45,14,0)*10+Parameter!$M$23,Parameter!$M$24))</f>
        <v>245</v>
      </c>
      <c r="BZ63" s="48" t="str">
        <f aca="false">IF(AND(Parameter!$B$19="Ja",E63&lt;&gt;"",ISNUMBER(MATCH(E63,Parameter!$I$35:$I$52,0))),VLOOKUP(E63,Parameter!$I$35:$J$52,2,0),IFERROR(VLOOKUP(D63,Parameter!$A$35:$C$64,2,0),"Nein"))</f>
        <v>2+3</v>
      </c>
      <c r="CA63" s="52" t="n">
        <f aca="false">IF(BW63=0,0,IF(N(S63)&gt;0,S63,IFERROR(VLOOKUP(D63,Parameter!$A$35:$C$64,3,0)+0,0)))</f>
        <v>0</v>
      </c>
      <c r="CB63" s="48" t="n">
        <f aca="false">IF(AA63&lt;&gt;"",AA63,Z63)</f>
        <v>3</v>
      </c>
      <c r="CC63" s="48" t="str">
        <f aca="false">IF(OR(CB63=1,CB63=2,CB63=3),IF(Parameter!$E$27="Ja","LIFT",IF(CB63=1,"L1","L23")),IF(CB63="Aussen","Aussen","-"))</f>
        <v>LIFT</v>
      </c>
      <c r="CD63" s="59" t="n">
        <f aca="false">IF(N(AB63)&gt;0,AB63,0)</f>
        <v>0</v>
      </c>
      <c r="CE63" s="53" t="n">
        <f aca="false">IF(ISNUMBER(AE63),1,0)</f>
        <v>0</v>
      </c>
      <c r="CF63" s="50" t="n">
        <f aca="false">N(AE63)</f>
        <v>0</v>
      </c>
      <c r="CG63" s="50" t="n">
        <f aca="false">N(M63)+N(N63)</f>
        <v>180</v>
      </c>
      <c r="CH63" s="50" t="n">
        <f aca="false">ROUNDUP(H63/BV63,0)</f>
        <v>2</v>
      </c>
      <c r="CI63" s="50" t="n">
        <f aca="false">ROUNDUP(CF63/BV63,0)</f>
        <v>0</v>
      </c>
      <c r="CJ63" s="53" t="n">
        <f aca="false">IF(BW63=1,0,IFERROR(VLOOKUP(BU63,'Gebinde-Kategorie'!$A$5:$N$45,5,0)+0,0))</f>
        <v>21</v>
      </c>
      <c r="CK63" s="53" t="n">
        <f aca="false">IFERROR(IF(OR(CB63=1,CB63=2,CB63=3),N(INDEX(Parameter!$I$5:$I$7,CB63)),0),0)</f>
        <v>0</v>
      </c>
      <c r="CL63" s="52" t="n">
        <f aca="false">IF(AND(Parameter!$B$21="Ja",ISNUMBER(W63),N(X63)&gt;0),IFERROR(N(INDEX(Parameter!$L$5:$L$7,W63))*INDEX(Parameter!$E$5:$E$7,W63)*X63/SUMIFS($X$7:$X$1843,$W$7:$W$1843,W63),0),0)</f>
        <v>0</v>
      </c>
    </row>
    <row r="64" customFormat="false" ht="15" hidden="false" customHeight="false" outlineLevel="0" collapsed="false">
      <c r="A64" s="48" t="s">
        <v>330</v>
      </c>
      <c r="B64" s="48" t="s">
        <v>331</v>
      </c>
      <c r="C64" s="48" t="s">
        <v>168</v>
      </c>
      <c r="D64" s="48" t="s">
        <v>188</v>
      </c>
      <c r="E64" s="48" t="s">
        <v>189</v>
      </c>
      <c r="F64" s="48" t="s">
        <v>222</v>
      </c>
      <c r="G64" s="49" t="n">
        <v>2181.57</v>
      </c>
      <c r="H64" s="50" t="n">
        <f aca="false">MAX(0,IF(AND(Parameter!$B$21="Ja",ISNUMBER(Y64)),Y64,IF(Parameter!$B$20="Jahresanfang 2025 + Export",BO64+BN64,BN64)))</f>
        <v>2.15000000000001</v>
      </c>
      <c r="I64" s="50" t="n">
        <f aca="false">H64*G64</f>
        <v>4690.37550000001</v>
      </c>
      <c r="J64" s="50" t="n">
        <f aca="false">BQ64*Parameter!$B$18</f>
        <v>2.605</v>
      </c>
      <c r="K64" s="51" t="n">
        <v>0.447500000000003</v>
      </c>
      <c r="L64" s="52" t="n">
        <v>5.82122905027929</v>
      </c>
      <c r="M64" s="50" t="n">
        <v>0</v>
      </c>
      <c r="N64" s="50" t="n">
        <v>1</v>
      </c>
      <c r="O64" s="53" t="n">
        <v>60</v>
      </c>
      <c r="P64" s="48" t="s">
        <v>332</v>
      </c>
      <c r="Q64" s="50" t="n">
        <v>3.3</v>
      </c>
      <c r="R64" s="53" t="n">
        <f aca="false">IF(BW64=1,0,IFERROR(VLOOKUP(BU64,'Gebinde-Kategorie'!$A$5:$N$45,13,0)+0,0))</f>
        <v>52</v>
      </c>
      <c r="S64" s="54"/>
      <c r="T64" s="55"/>
      <c r="U64" s="55"/>
      <c r="V64" s="55"/>
      <c r="W64" s="48"/>
      <c r="X64" s="50"/>
      <c r="Y64" s="50"/>
      <c r="Z64" s="48" t="n">
        <f aca="false">IF(A64="","",IF(AND(Parameter!$B$21="Ja",ISNUMBER(W64)),W64,IF(BZ64="2+3",IF(ISNUMBER(SEARCH("grosser Artikel",BR64)),2,IFERROR(VLOOKUP(BU64,Parameter!$F$35:$G$64,2,0),2)),IF(OR(BZ64="Nein",BZ64=""),"-",BZ64))))</f>
        <v>3</v>
      </c>
      <c r="AA64" s="55"/>
      <c r="AB64" s="56"/>
      <c r="AC64" s="50" t="n">
        <f aca="false">AT64</f>
        <v>3.3</v>
      </c>
      <c r="AD64" s="50" t="n">
        <f aca="false">MAX(AT64,H64)</f>
        <v>3.3</v>
      </c>
      <c r="AE64" s="57"/>
      <c r="AF64" s="50" t="n">
        <f aca="false">IF(LEFT(Cockpit!$C$5,1)="A",H64,IF(CE64=1,CF64,IF(LEFT(Cockpit!$C$5,1)="B",AK64,MAX(AK64,H64))))</f>
        <v>2.15000000000001</v>
      </c>
      <c r="AG64" s="50" t="n">
        <f aca="false">IF(BW64=1,0,ROUNDUP(AF64/BV64,0))</f>
        <v>1</v>
      </c>
      <c r="AH64" s="52" t="n">
        <f aca="false">IF(CL64&gt;0,CL64*MAX(1,AF64/X64),IF(BW64=1,IF(AF64&lt;=0,0,CA64*MAX(1,IF(H64&gt;0,AF64/H64,1))),IF(R64&gt;0,AG64/R64,0))/MAX(0.1,N(Parameter!$M$21)))</f>
        <v>0.0192307692307692</v>
      </c>
      <c r="AI64" s="50" t="n">
        <f aca="false">AH64*BY64</f>
        <v>2.98076923076923</v>
      </c>
      <c r="AJ64" s="50" t="n">
        <f aca="false">AF64*G64</f>
        <v>4690.37550000001</v>
      </c>
      <c r="AK64" s="50" t="n">
        <f aca="false">ROUNDUP(MAX(J64/IF(CD64&gt;0,CD64,MAX(0.1,N(Cockpit!$C$6))),CG64)/BV64,0)*BV64</f>
        <v>3.3</v>
      </c>
      <c r="AL64" s="51" t="n">
        <f aca="false">IF(AI64&gt;0,J64/AI64,-1)</f>
        <v>0.873935483870968</v>
      </c>
      <c r="AM64" s="51" t="n">
        <f aca="false">IF(AND(OR(CC64="L1",CC64="L23",CC64="LIFT"),AI64&gt;0),SUMIFS($AI$7:$AI$1843,$CC$7:$CC$1843,CC64,$AL$7:$AL$1843,"&gt;"&amp;AL64)+SUMIFS($AI$7:$AI$1843,$CC$7:$CC$1843,CC64,$AL$7:$AL$1843,AL64,$BT$7:$BT$1843,"&lt;="&amp;BT64),"")</f>
        <v>7654.50961538462</v>
      </c>
      <c r="AN64" s="58" t="n">
        <f aca="false">IF(AM64="",0,MAX(0,MIN(1,(IF(CC64="L1",Parameter!$H$5,IF(CC64="L23",Parameter!$H$6+Parameter!$H$7,Parameter!$H$5+Parameter!$H$6+Parameter!$H$7))-(AM64-AI64))/AI64)))</f>
        <v>1</v>
      </c>
      <c r="AO64" s="50" t="n">
        <f aca="false">IF(LEFT(Cockpit!$I$5,1)="A",H64,IF(CE64=1,CF64,IF(LEFT(Cockpit!$I$5,1)="B",AT64,MAX(AT64,H64))))</f>
        <v>3.3</v>
      </c>
      <c r="AP64" s="50" t="n">
        <f aca="false">IF(BW64=1,0,ROUNDUP(AO64/BV64,0))</f>
        <v>1</v>
      </c>
      <c r="AQ64" s="52" t="n">
        <f aca="false">IF(CL64&gt;0,CL64*MAX(1,AO64/X64),IF(BW64=1,IF(AO64&lt;=0,0,CA64*MAX(1,IF(H64&gt;0,AO64/H64,1))),IF(R64&gt;0,AP64/R64,0))/MAX(0.1,N(Parameter!$M$21)))</f>
        <v>0.0192307692307692</v>
      </c>
      <c r="AR64" s="50" t="n">
        <f aca="false">AQ64*BY64</f>
        <v>2.98076923076923</v>
      </c>
      <c r="AS64" s="50" t="n">
        <f aca="false">AO64*G64</f>
        <v>7199.181</v>
      </c>
      <c r="AT64" s="50" t="n">
        <f aca="false">ROUNDUP(MAX(J64/IF(CD64&gt;0,CD64,MAX(0.1,N(Cockpit!$I$6))),CG64)/BV64,0)*BV64</f>
        <v>3.3</v>
      </c>
      <c r="AU64" s="51" t="n">
        <f aca="false">IF(AR64&gt;0,J64/AR64,-1)</f>
        <v>0.873935483870968</v>
      </c>
      <c r="AV64" s="51" t="n">
        <f aca="false">IF(AND(OR(CC64="L1",CC64="L23",CC64="LIFT"),AR64&gt;0),SUMIFS($AR$7:$AR$1843,$CC$7:$CC$1843,CC64,$AU$7:$AU$1843,"&gt;"&amp;AU64)+SUMIFS($AR$7:$AR$1843,$CC$7:$CC$1843,CC64,$AU$7:$AU$1843,AU64,$BT$7:$BT$1843,"&lt;="&amp;BT64),"")</f>
        <v>11079.0998168498</v>
      </c>
      <c r="AW64" s="58" t="n">
        <f aca="false">IF(AV64="",0,MAX(0,MIN(1,(IF(CC64="L1",Parameter!$H$5,IF(CC64="L23",Parameter!$H$6+Parameter!$H$7,Parameter!$H$5+Parameter!$H$6+Parameter!$H$7))-(AV64-AR64))/AR64)))</f>
        <v>1</v>
      </c>
      <c r="AX64" s="50" t="n">
        <f aca="false">IF(LEFT(Cockpit!$O$5,1)="A",H64,IF(CE64=1,CF64,IF(LEFT(Cockpit!$O$5,1)="B",BC64,MAX(BC64,H64))))</f>
        <v>3.3</v>
      </c>
      <c r="AY64" s="50" t="n">
        <f aca="false">IF(BW64=1,0,ROUNDUP(AX64/BV64,0))</f>
        <v>1</v>
      </c>
      <c r="AZ64" s="52" t="n">
        <f aca="false">IF(CL64&gt;0,CL64*MAX(1,AX64/X64),IF(BW64=1,IF(AX64&lt;=0,0,CA64*MAX(1,IF(H64&gt;0,AX64/H64,1))),IF(R64&gt;0,AY64/R64,0))/MAX(0.1,N(Parameter!$M$21)))</f>
        <v>0.0192307692307692</v>
      </c>
      <c r="BA64" s="50" t="n">
        <f aca="false">AZ64*BY64</f>
        <v>2.98076923076923</v>
      </c>
      <c r="BB64" s="50" t="n">
        <f aca="false">AX64*G64</f>
        <v>7199.181</v>
      </c>
      <c r="BC64" s="50" t="n">
        <f aca="false">ROUNDUP(MAX(J64/IF(CD64&gt;0,CD64,MAX(0.1,N(Cockpit!$O$6))),CG64)/BV64,0)*BV64</f>
        <v>3.3</v>
      </c>
      <c r="BD64" s="51" t="n">
        <f aca="false">IF(BA64&gt;0,J64/BA64,-1)</f>
        <v>0.873935483870968</v>
      </c>
      <c r="BE64" s="51" t="n">
        <f aca="false">IF(AND(OR(CC64="L1",CC64="L23",CC64="LIFT"),BA64&gt;0),SUMIFS($BA$7:$BA$1843,$CC$7:$CC$1843,CC64,$BD$7:$BD$1843,"&gt;"&amp;BD64)+SUMIFS($BA$7:$BA$1843,$CC$7:$CC$1843,CC64,$BD$7:$BD$1843,BD64,$BT$7:$BT$1843,"&lt;="&amp;BT64),"")</f>
        <v>10162.6735347985</v>
      </c>
      <c r="BF64" s="58" t="n">
        <f aca="false">IF(BE64="",0,MAX(0,MIN(1,(IF(CC64="L1",Parameter!$H$5,IF(CC64="L23",Parameter!$H$6+Parameter!$H$7,Parameter!$H$5+Parameter!$H$6+Parameter!$H$7))-(BE64-BA64))/BA64)))</f>
        <v>1</v>
      </c>
      <c r="BG64" s="48" t="str">
        <f aca="false">IF(AI64&lt;=0,"",IF(CC64="Aussen","Aussenlager",IF(CC64="-","Nicht im Lift",IF(AN64&gt;=1,"Lift",IF(AN64&lt;=0,"Aussenlager","teilweise")))))</f>
        <v>Lift</v>
      </c>
      <c r="BH64" s="48" t="str">
        <f aca="false">IF(AR64&lt;=0,"",IF(CC64="Aussen","Aussenlager",IF(CC64="-","Nicht im Lift",IF(AW64&gt;=1,"Lift",IF(AW64&lt;=0,"Aussenlager","teilweise")))))</f>
        <v>Lift</v>
      </c>
      <c r="BI64" s="48" t="str">
        <f aca="false">IF(BA64&lt;=0,"",IF(CC64="Aussen","Aussenlager",IF(CC64="-","Nicht im Lift",IF(BF64&gt;=1,"Lift",IF(BF64&lt;=0,"Aussenlager","teilweise")))))</f>
        <v>Lift</v>
      </c>
      <c r="BJ64" s="48" t="str">
        <f aca="false">IF(A64="","",IF(BS64=1,"Neu; ","")&amp;IF(AND(BS64=0,BN64&lt;0),"negativer Bestand (Export "&amp;BN64&amp;"); ","")&amp;IF(J64&lt;=0,"Kein Verbrauch; ","")&amp;IF(CL64&gt;0,"Lift "&amp;W64&amp;" lt. Liftbericht (Fach "&amp;X64&amp;" Stk); ",IF(BX64=1,"Gebinde geschätzt ("&amp;T64&amp;"); ",IF(BW64=1,"Lose – Tablare geschätzt; ","")))&amp;IF(H64&gt;AT64,"Überbestand "&amp;ROUND(H64-AT64,0)&amp;" Stk / CHF "&amp;ROUND((H64-AT64)*G64,0)&amp;"; ","")&amp;IF(AND(CE64=1,CF64&lt;CG64),"MAX &lt; MB+LG; ","")&amp;IF(AND(CK64&gt;0,CJ64*10&gt;CK64),"zu hoch für Tablar; ","")&amp;IF(AND(BS64=0,OR(CE64=1,AA64&lt;&gt;"",U64&lt;&gt;"",V64&lt;&gt;"",AB64&lt;&gt;"")),"manuell übersteuert; ","")&amp;IF(AND(BW64=0,R64=0),"Gebinde unbekannt / Stellmass fehlt; ","")&amp;IF(AND(BW64=0,N(V64)&lt;=0,N(Q64)&lt;=0),"Menge pro Gebinde fehlt (Ist = 1 Gebinde); ","")&amp;BR64)</f>
        <v/>
      </c>
      <c r="BK64" s="48" t="s">
        <v>333</v>
      </c>
      <c r="BL64" s="48"/>
      <c r="BM64" s="55"/>
      <c r="BN64" s="50" t="n">
        <v>1.9</v>
      </c>
      <c r="BO64" s="50" t="n">
        <v>0.250000000000004</v>
      </c>
      <c r="BP64" s="49" t="n">
        <v>3955.6</v>
      </c>
      <c r="BQ64" s="50" t="n">
        <v>2.605</v>
      </c>
      <c r="BR64" s="48"/>
      <c r="BS64" s="53" t="n">
        <v>0</v>
      </c>
      <c r="BT64" s="53" t="n">
        <v>64</v>
      </c>
      <c r="BU64" s="48" t="str">
        <f aca="false">IF(U64&lt;&gt;"",UPPER(TRIM(U64)),IF(BX64=1,UPPER(VLOOKUP(T64,Parameter!$I$27:$K$29,2,0)),IF(P64="","LOSE",P64)))</f>
        <v>S41</v>
      </c>
      <c r="BV64" s="50" t="n">
        <f aca="false">IF(BU64="LOSE",1,IF(N(V64)&gt;0,V64,IF(BX64=1,MAX(1,N(VLOOKUP(T64,Parameter!$I$27:$K$29,3,0)),H64,N(N64)),IF(N(Q64)&gt;0,Q64,MAX(1,H64)))))</f>
        <v>3.3</v>
      </c>
      <c r="BW64" s="53" t="n">
        <f aca="false">IF(BU64="LOSE",1,0)</f>
        <v>0</v>
      </c>
      <c r="BX64" s="53" t="n">
        <f aca="false">IF(AND(U64="",OR(P64="",P64="LOSE"),T64&lt;&gt;"",N(S64)&lt;=0,ISNUMBER(MATCH(T64,Parameter!$I$27:$I$29,0))),1,0)</f>
        <v>0</v>
      </c>
      <c r="BY64" s="53" t="n">
        <f aca="false">IF(CL64&gt;0,INDEX(Parameter!$H$5:$H$7,W64)/INDEX(Parameter!$E$5:$E$7,W64),IF(AND(BW64=0,N(IFERROR(VLOOKUP(BU64,'Gebinde-Kategorie'!$A$5:$N$45,14,0),0))&gt;0),VLOOKUP(BU64,'Gebinde-Kategorie'!$A$5:$N$45,14,0)*10+Parameter!$M$23,Parameter!$M$24))</f>
        <v>155</v>
      </c>
      <c r="BZ64" s="48" t="str">
        <f aca="false">IF(AND(Parameter!$B$19="Ja",E64&lt;&gt;"",ISNUMBER(MATCH(E64,Parameter!$I$35:$I$52,0))),VLOOKUP(E64,Parameter!$I$35:$J$52,2,0),IFERROR(VLOOKUP(D64,Parameter!$A$35:$C$64,2,0),"Nein"))</f>
        <v>2+3</v>
      </c>
      <c r="CA64" s="52" t="n">
        <f aca="false">IF(BW64=0,0,IF(N(S64)&gt;0,S64,IFERROR(VLOOKUP(D64,Parameter!$A$35:$C$64,3,0)+0,0)))</f>
        <v>0</v>
      </c>
      <c r="CB64" s="48" t="n">
        <f aca="false">IF(AA64&lt;&gt;"",AA64,Z64)</f>
        <v>3</v>
      </c>
      <c r="CC64" s="48" t="str">
        <f aca="false">IF(OR(CB64=1,CB64=2,CB64=3),IF(Parameter!$E$27="Ja","LIFT",IF(CB64=1,"L1","L23")),IF(CB64="Aussen","Aussen","-"))</f>
        <v>LIFT</v>
      </c>
      <c r="CD64" s="59" t="n">
        <f aca="false">IF(N(AB64)&gt;0,AB64,0)</f>
        <v>0</v>
      </c>
      <c r="CE64" s="53" t="n">
        <f aca="false">IF(ISNUMBER(AE64),1,0)</f>
        <v>0</v>
      </c>
      <c r="CF64" s="50" t="n">
        <f aca="false">N(AE64)</f>
        <v>0</v>
      </c>
      <c r="CG64" s="50" t="n">
        <f aca="false">N(M64)+N(N64)</f>
        <v>1</v>
      </c>
      <c r="CH64" s="50" t="n">
        <f aca="false">ROUNDUP(H64/BV64,0)</f>
        <v>1</v>
      </c>
      <c r="CI64" s="50" t="n">
        <f aca="false">ROUNDUP(CF64/BV64,0)</f>
        <v>0</v>
      </c>
      <c r="CJ64" s="53" t="n">
        <f aca="false">IF(BW64=1,0,IFERROR(VLOOKUP(BU64,'Gebinde-Kategorie'!$A$5:$N$45,5,0)+0,0))</f>
        <v>11</v>
      </c>
      <c r="CK64" s="53" t="n">
        <f aca="false">IFERROR(IF(OR(CB64=1,CB64=2,CB64=3),N(INDEX(Parameter!$I$5:$I$7,CB64)),0),0)</f>
        <v>0</v>
      </c>
      <c r="CL64" s="52" t="n">
        <f aca="false">IF(AND(Parameter!$B$21="Ja",ISNUMBER(W64),N(X64)&gt;0),IFERROR(N(INDEX(Parameter!$L$5:$L$7,W64))*INDEX(Parameter!$E$5:$E$7,W64)*X64/SUMIFS($X$7:$X$1843,$W$7:$W$1843,W64),0),0)</f>
        <v>0</v>
      </c>
    </row>
    <row r="65" customFormat="false" ht="15" hidden="false" customHeight="false" outlineLevel="0" collapsed="false">
      <c r="A65" s="48" t="s">
        <v>334</v>
      </c>
      <c r="B65" s="48" t="s">
        <v>335</v>
      </c>
      <c r="C65" s="48" t="s">
        <v>168</v>
      </c>
      <c r="D65" s="48" t="s">
        <v>177</v>
      </c>
      <c r="E65" s="48"/>
      <c r="F65" s="48" t="s">
        <v>222</v>
      </c>
      <c r="G65" s="49" t="n">
        <v>788.31</v>
      </c>
      <c r="H65" s="50" t="n">
        <f aca="false">MAX(0,IF(AND(Parameter!$B$21="Ja",ISNUMBER(Y65)),Y65,IF(Parameter!$B$20="Jahresanfang 2025 + Export",BO65+BN65,BN65)))</f>
        <v>5</v>
      </c>
      <c r="I65" s="50" t="n">
        <f aca="false">H65*G65</f>
        <v>3941.55</v>
      </c>
      <c r="J65" s="50" t="n">
        <f aca="false">BQ65*Parameter!$B$18</f>
        <v>0</v>
      </c>
      <c r="K65" s="51" t="n">
        <v>0</v>
      </c>
      <c r="L65" s="52" t="n">
        <v>0</v>
      </c>
      <c r="M65" s="50" t="n">
        <v>0</v>
      </c>
      <c r="N65" s="50" t="n">
        <v>5</v>
      </c>
      <c r="O65" s="53" t="n">
        <v>9999</v>
      </c>
      <c r="P65" s="48" t="s">
        <v>172</v>
      </c>
      <c r="Q65" s="50"/>
      <c r="R65" s="53" t="n">
        <f aca="false">IF(BW65=1,0,IFERROR(VLOOKUP(BU65,'Gebinde-Kategorie'!$A$5:$N$45,13,0)+0,0))</f>
        <v>12</v>
      </c>
      <c r="S65" s="54"/>
      <c r="T65" s="55" t="s">
        <v>183</v>
      </c>
      <c r="U65" s="55"/>
      <c r="V65" s="55"/>
      <c r="W65" s="48"/>
      <c r="X65" s="50"/>
      <c r="Y65" s="50"/>
      <c r="Z65" s="48" t="n">
        <f aca="false">IF(A65="","",IF(AND(Parameter!$B$21="Ja",ISNUMBER(W65)),W65,IF(BZ65="2+3",IF(ISNUMBER(SEARCH("grosser Artikel",BR65)),2,IFERROR(VLOOKUP(BU65,Parameter!$F$35:$G$64,2,0),2)),IF(OR(BZ65="Nein",BZ65=""),"-",BZ65))))</f>
        <v>2</v>
      </c>
      <c r="AA65" s="55"/>
      <c r="AB65" s="56"/>
      <c r="AC65" s="50" t="n">
        <f aca="false">AT65</f>
        <v>5</v>
      </c>
      <c r="AD65" s="50" t="n">
        <f aca="false">MAX(AT65,H65)</f>
        <v>5</v>
      </c>
      <c r="AE65" s="57"/>
      <c r="AF65" s="50" t="n">
        <f aca="false">IF(LEFT(Cockpit!$C$5,1)="A",H65,IF(CE65=1,CF65,IF(LEFT(Cockpit!$C$5,1)="B",AK65,MAX(AK65,H65))))</f>
        <v>5</v>
      </c>
      <c r="AG65" s="50" t="n">
        <f aca="false">IF(BW65=1,0,ROUNDUP(AF65/BV65,0))</f>
        <v>1</v>
      </c>
      <c r="AH65" s="52" t="n">
        <f aca="false">IF(CL65&gt;0,CL65*MAX(1,AF65/X65),IF(BW65=1,IF(AF65&lt;=0,0,CA65*MAX(1,IF(H65&gt;0,AF65/H65,1))),IF(R65&gt;0,AG65/R65,0))/MAX(0.1,N(Parameter!$M$21)))</f>
        <v>0.0833333333333333</v>
      </c>
      <c r="AI65" s="50" t="n">
        <f aca="false">AH65*BY65</f>
        <v>12.0833333333333</v>
      </c>
      <c r="AJ65" s="50" t="n">
        <f aca="false">AF65*G65</f>
        <v>3941.55</v>
      </c>
      <c r="AK65" s="50" t="n">
        <f aca="false">ROUNDUP(MAX(J65/IF(CD65&gt;0,CD65,MAX(0.1,N(Cockpit!$C$6))),CG65)/BV65,0)*BV65</f>
        <v>5</v>
      </c>
      <c r="AL65" s="51" t="n">
        <f aca="false">IF(AI65&gt;0,J65/AI65,-1)</f>
        <v>0</v>
      </c>
      <c r="AM65" s="51" t="n">
        <f aca="false">IF(AND(OR(CC65="L1",CC65="L23",CC65="LIFT"),AI65&gt;0),SUMIFS($AI$7:$AI$1843,$CC$7:$CC$1843,CC65,$AL$7:$AL$1843,"&gt;"&amp;AL65)+SUMIFS($AI$7:$AI$1843,$CC$7:$CC$1843,CC65,$AL$7:$AL$1843,AL65,$BT$7:$BT$1843,"&lt;="&amp;BT65),"")</f>
        <v>26470.908587881</v>
      </c>
      <c r="AN65" s="58" t="n">
        <f aca="false">IF(AM65="",0,MAX(0,MIN(1,(IF(CC65="L1",Parameter!$H$5,IF(CC65="L23",Parameter!$H$6+Parameter!$H$7,Parameter!$H$5+Parameter!$H$6+Parameter!$H$7))-(AM65-AI65))/AI65)))</f>
        <v>1</v>
      </c>
      <c r="AO65" s="50" t="n">
        <f aca="false">IF(LEFT(Cockpit!$I$5,1)="A",H65,IF(CE65=1,CF65,IF(LEFT(Cockpit!$I$5,1)="B",AT65,MAX(AT65,H65))))</f>
        <v>5</v>
      </c>
      <c r="AP65" s="50" t="n">
        <f aca="false">IF(BW65=1,0,ROUNDUP(AO65/BV65,0))</f>
        <v>1</v>
      </c>
      <c r="AQ65" s="52" t="n">
        <f aca="false">IF(CL65&gt;0,CL65*MAX(1,AO65/X65),IF(BW65=1,IF(AO65&lt;=0,0,CA65*MAX(1,IF(H65&gt;0,AO65/H65,1))),IF(R65&gt;0,AP65/R65,0))/MAX(0.1,N(Parameter!$M$21)))</f>
        <v>0.0833333333333333</v>
      </c>
      <c r="AR65" s="50" t="n">
        <f aca="false">AQ65*BY65</f>
        <v>12.0833333333333</v>
      </c>
      <c r="AS65" s="50" t="n">
        <f aca="false">AO65*G65</f>
        <v>3941.55</v>
      </c>
      <c r="AT65" s="50" t="n">
        <f aca="false">ROUNDUP(MAX(J65/IF(CD65&gt;0,CD65,MAX(0.1,N(Cockpit!$I$6))),CG65)/BV65,0)*BV65</f>
        <v>5</v>
      </c>
      <c r="AU65" s="51" t="n">
        <f aca="false">IF(AR65&gt;0,J65/AR65,-1)</f>
        <v>0</v>
      </c>
      <c r="AV65" s="51" t="n">
        <f aca="false">IF(AND(OR(CC65="L1",CC65="L23",CC65="LIFT"),AR65&gt;0),SUMIFS($AR$7:$AR$1843,$CC$7:$CC$1843,CC65,$AU$7:$AU$1843,"&gt;"&amp;AU65)+SUMIFS($AR$7:$AR$1843,$CC$7:$CC$1843,CC65,$AU$7:$AU$1843,AU65,$BT$7:$BT$1843,"&lt;="&amp;BT65),"")</f>
        <v>37752.6818075992</v>
      </c>
      <c r="AW65" s="58" t="n">
        <f aca="false">IF(AV65="",0,MAX(0,MIN(1,(IF(CC65="L1",Parameter!$H$5,IF(CC65="L23",Parameter!$H$6+Parameter!$H$7,Parameter!$H$5+Parameter!$H$6+Parameter!$H$7))-(AV65-AR65))/AR65)))</f>
        <v>0</v>
      </c>
      <c r="AX65" s="50" t="n">
        <f aca="false">IF(LEFT(Cockpit!$O$5,1)="A",H65,IF(CE65=1,CF65,IF(LEFT(Cockpit!$O$5,1)="B",BC65,MAX(BC65,H65))))</f>
        <v>5</v>
      </c>
      <c r="AY65" s="50" t="n">
        <f aca="false">IF(BW65=1,0,ROUNDUP(AX65/BV65,0))</f>
        <v>1</v>
      </c>
      <c r="AZ65" s="52" t="n">
        <f aca="false">IF(CL65&gt;0,CL65*MAX(1,AX65/X65),IF(BW65=1,IF(AX65&lt;=0,0,CA65*MAX(1,IF(H65&gt;0,AX65/H65,1))),IF(R65&gt;0,AY65/R65,0))/MAX(0.1,N(Parameter!$M$21)))</f>
        <v>0.0833333333333333</v>
      </c>
      <c r="BA65" s="50" t="n">
        <f aca="false">AZ65*BY65</f>
        <v>12.0833333333333</v>
      </c>
      <c r="BB65" s="50" t="n">
        <f aca="false">AX65*G65</f>
        <v>3941.55</v>
      </c>
      <c r="BC65" s="50" t="n">
        <f aca="false">ROUNDUP(MAX(J65/IF(CD65&gt;0,CD65,MAX(0.1,N(Cockpit!$O$6))),CG65)/BV65,0)*BV65</f>
        <v>5</v>
      </c>
      <c r="BD65" s="51" t="n">
        <f aca="false">IF(BA65&gt;0,J65/BA65,-1)</f>
        <v>0</v>
      </c>
      <c r="BE65" s="51" t="n">
        <f aca="false">IF(AND(OR(CC65="L1",CC65="L23",CC65="LIFT"),BA65&gt;0),SUMIFS($BA$7:$BA$1843,$CC$7:$CC$1843,CC65,$BD$7:$BD$1843,"&gt;"&amp;BD65)+SUMIFS($BA$7:$BA$1843,$CC$7:$CC$1843,CC65,$BD$7:$BD$1843,BD65,$BT$7:$BT$1843,"&lt;="&amp;BT65),"")</f>
        <v>34427.693849465</v>
      </c>
      <c r="BF65" s="58" t="n">
        <f aca="false">IF(BE65="",0,MAX(0,MIN(1,(IF(CC65="L1",Parameter!$H$5,IF(CC65="L23",Parameter!$H$6+Parameter!$H$7,Parameter!$H$5+Parameter!$H$6+Parameter!$H$7))-(BE65-BA65))/BA65)))</f>
        <v>1</v>
      </c>
      <c r="BG65" s="48" t="str">
        <f aca="false">IF(AI65&lt;=0,"",IF(CC65="Aussen","Aussenlager",IF(CC65="-","Nicht im Lift",IF(AN65&gt;=1,"Lift",IF(AN65&lt;=0,"Aussenlager","teilweise")))))</f>
        <v>Lift</v>
      </c>
      <c r="BH65" s="48" t="str">
        <f aca="false">IF(AR65&lt;=0,"",IF(CC65="Aussen","Aussenlager",IF(CC65="-","Nicht im Lift",IF(AW65&gt;=1,"Lift",IF(AW65&lt;=0,"Aussenlager","teilweise")))))</f>
        <v>Aussenlager</v>
      </c>
      <c r="BI65" s="48" t="str">
        <f aca="false">IF(BA65&lt;=0,"",IF(CC65="Aussen","Aussenlager",IF(CC65="-","Nicht im Lift",IF(BF65&gt;=1,"Lift",IF(BF65&lt;=0,"Aussenlager","teilweise")))))</f>
        <v>Lift</v>
      </c>
      <c r="BJ65" s="48" t="str">
        <f aca="false">IF(A65="","",IF(BS65=1,"Neu; ","")&amp;IF(AND(BS65=0,BN65&lt;0),"negativer Bestand (Export "&amp;BN65&amp;"); ","")&amp;IF(J65&lt;=0,"Kein Verbrauch; ","")&amp;IF(CL65&gt;0,"Lift "&amp;W65&amp;" lt. Liftbericht (Fach "&amp;X65&amp;" Stk); ",IF(BX65=1,"Gebinde geschätzt ("&amp;T65&amp;"); ",IF(BW65=1,"Lose – Tablare geschätzt; ","")))&amp;IF(H65&gt;AT65,"Überbestand "&amp;ROUND(H65-AT65,0)&amp;" Stk / CHF "&amp;ROUND((H65-AT65)*G65,0)&amp;"; ","")&amp;IF(AND(CE65=1,CF65&lt;CG65),"MAX &lt; MB+LG; ","")&amp;IF(AND(CK65&gt;0,CJ65*10&gt;CK65),"zu hoch für Tablar; ","")&amp;IF(AND(BS65=0,OR(CE65=1,AA65&lt;&gt;"",U65&lt;&gt;"",V65&lt;&gt;"",AB65&lt;&gt;"")),"manuell übersteuert; ","")&amp;IF(AND(BW65=0,R65=0),"Gebinde unbekannt / Stellmass fehlt; ","")&amp;IF(AND(BW65=0,N(V65)&lt;=0,N(Q65)&lt;=0),"Menge pro Gebinde fehlt (Ist = 1 Gebinde); ","")&amp;BR65)</f>
        <v>Kein Verbrauch; Gebinde geschätzt (Mittel); Menge pro Gebinde fehlt (Ist = 1 Gebinde); </v>
      </c>
      <c r="BK65" s="48" t="s">
        <v>336</v>
      </c>
      <c r="BL65" s="48"/>
      <c r="BM65" s="55"/>
      <c r="BN65" s="50" t="n">
        <v>5</v>
      </c>
      <c r="BO65" s="50" t="n">
        <v>0</v>
      </c>
      <c r="BP65" s="49" t="n">
        <v>3941.55</v>
      </c>
      <c r="BQ65" s="50" t="n">
        <v>0</v>
      </c>
      <c r="BR65" s="48"/>
      <c r="BS65" s="53" t="n">
        <v>0</v>
      </c>
      <c r="BT65" s="53" t="n">
        <v>65</v>
      </c>
      <c r="BU65" s="48" t="str">
        <f aca="false">IF(U65&lt;&gt;"",UPPER(TRIM(U65)),IF(BX65=1,UPPER(VLOOKUP(T65,Parameter!$I$27:$K$29,2,0)),IF(P65="","LOSE",P65)))</f>
        <v>S61</v>
      </c>
      <c r="BV65" s="50" t="n">
        <f aca="false">IF(BU65="LOSE",1,IF(N(V65)&gt;0,V65,IF(BX65=1,MAX(1,N(VLOOKUP(T65,Parameter!$I$27:$K$29,3,0)),H65,N(N65)),IF(N(Q65)&gt;0,Q65,MAX(1,H65)))))</f>
        <v>5</v>
      </c>
      <c r="BW65" s="53" t="n">
        <f aca="false">IF(BU65="LOSE",1,0)</f>
        <v>0</v>
      </c>
      <c r="BX65" s="53" t="n">
        <f aca="false">IF(AND(U65="",OR(P65="",P65="LOSE"),T65&lt;&gt;"",N(S65)&lt;=0,ISNUMBER(MATCH(T65,Parameter!$I$27:$I$29,0))),1,0)</f>
        <v>1</v>
      </c>
      <c r="BY65" s="53" t="n">
        <f aca="false">IF(CL65&gt;0,INDEX(Parameter!$H$5:$H$7,W65)/INDEX(Parameter!$E$5:$E$7,W65),IF(AND(BW65=0,N(IFERROR(VLOOKUP(BU65,'Gebinde-Kategorie'!$A$5:$N$45,14,0),0))&gt;0),VLOOKUP(BU65,'Gebinde-Kategorie'!$A$5:$N$45,14,0)*10+Parameter!$M$23,Parameter!$M$24))</f>
        <v>145</v>
      </c>
      <c r="BZ65" s="48" t="str">
        <f aca="false">IF(AND(Parameter!$B$19="Ja",E65&lt;&gt;"",ISNUMBER(MATCH(E65,Parameter!$I$35:$I$52,0))),VLOOKUP(E65,Parameter!$I$35:$J$52,2,0),IFERROR(VLOOKUP(D65,Parameter!$A$35:$C$64,2,0),"Nein"))</f>
        <v>2+3</v>
      </c>
      <c r="CA65" s="52" t="n">
        <f aca="false">IF(BW65=0,0,IF(N(S65)&gt;0,S65,IFERROR(VLOOKUP(D65,Parameter!$A$35:$C$64,3,0)+0,0)))</f>
        <v>0</v>
      </c>
      <c r="CB65" s="48" t="n">
        <f aca="false">IF(AA65&lt;&gt;"",AA65,Z65)</f>
        <v>2</v>
      </c>
      <c r="CC65" s="48" t="str">
        <f aca="false">IF(OR(CB65=1,CB65=2,CB65=3),IF(Parameter!$E$27="Ja","LIFT",IF(CB65=1,"L1","L23")),IF(CB65="Aussen","Aussen","-"))</f>
        <v>LIFT</v>
      </c>
      <c r="CD65" s="59" t="n">
        <f aca="false">IF(N(AB65)&gt;0,AB65,0)</f>
        <v>0</v>
      </c>
      <c r="CE65" s="53" t="n">
        <f aca="false">IF(ISNUMBER(AE65),1,0)</f>
        <v>0</v>
      </c>
      <c r="CF65" s="50" t="n">
        <f aca="false">N(AE65)</f>
        <v>0</v>
      </c>
      <c r="CG65" s="50" t="n">
        <f aca="false">N(M65)+N(N65)</f>
        <v>5</v>
      </c>
      <c r="CH65" s="50" t="n">
        <f aca="false">ROUNDUP(H65/BV65,0)</f>
        <v>1</v>
      </c>
      <c r="CI65" s="50" t="n">
        <f aca="false">ROUNDUP(CF65/BV65,0)</f>
        <v>0</v>
      </c>
      <c r="CJ65" s="53" t="n">
        <f aca="false">IF(BW65=1,0,IFERROR(VLOOKUP(BU65,'Gebinde-Kategorie'!$A$5:$N$45,5,0)+0,0))</f>
        <v>11</v>
      </c>
      <c r="CK65" s="53" t="n">
        <f aca="false">IFERROR(IF(OR(CB65=1,CB65=2,CB65=3),N(INDEX(Parameter!$I$5:$I$7,CB65)),0),0)</f>
        <v>0</v>
      </c>
      <c r="CL65" s="52" t="n">
        <f aca="false">IF(AND(Parameter!$B$21="Ja",ISNUMBER(W65),N(X65)&gt;0),IFERROR(N(INDEX(Parameter!$L$5:$L$7,W65))*INDEX(Parameter!$E$5:$E$7,W65)*X65/SUMIFS($X$7:$X$1843,$W$7:$W$1843,W65),0),0)</f>
        <v>0</v>
      </c>
    </row>
    <row r="66" customFormat="false" ht="15" hidden="false" customHeight="false" outlineLevel="0" collapsed="false">
      <c r="A66" s="48" t="s">
        <v>337</v>
      </c>
      <c r="B66" s="48" t="s">
        <v>338</v>
      </c>
      <c r="C66" s="48" t="s">
        <v>168</v>
      </c>
      <c r="D66" s="48" t="s">
        <v>177</v>
      </c>
      <c r="E66" s="48"/>
      <c r="F66" s="48" t="s">
        <v>222</v>
      </c>
      <c r="G66" s="49" t="n">
        <v>1947</v>
      </c>
      <c r="H66" s="50" t="n">
        <f aca="false">MAX(0,IF(AND(Parameter!$B$21="Ja",ISNUMBER(Y66)),Y66,IF(Parameter!$B$20="Jahresanfang 2025 + Export",BO66+BN66,BN66)))</f>
        <v>2</v>
      </c>
      <c r="I66" s="50" t="n">
        <f aca="false">H66*G66</f>
        <v>3894</v>
      </c>
      <c r="J66" s="50" t="n">
        <f aca="false">BQ66*Parameter!$B$18</f>
        <v>0</v>
      </c>
      <c r="K66" s="51" t="n">
        <v>1</v>
      </c>
      <c r="L66" s="52" t="n">
        <v>0</v>
      </c>
      <c r="M66" s="50" t="n">
        <v>0</v>
      </c>
      <c r="N66" s="50" t="n">
        <v>1</v>
      </c>
      <c r="O66" s="53" t="n">
        <v>70</v>
      </c>
      <c r="P66" s="48" t="s">
        <v>306</v>
      </c>
      <c r="Q66" s="50" t="n">
        <v>2</v>
      </c>
      <c r="R66" s="53" t="n">
        <f aca="false">IF(BW66=1,0,IFERROR(VLOOKUP(BU66,'Gebinde-Kategorie'!$A$5:$N$45,13,0)+0,0))</f>
        <v>26</v>
      </c>
      <c r="S66" s="54"/>
      <c r="T66" s="55"/>
      <c r="U66" s="55"/>
      <c r="V66" s="55"/>
      <c r="W66" s="48"/>
      <c r="X66" s="50"/>
      <c r="Y66" s="50"/>
      <c r="Z66" s="48" t="n">
        <f aca="false">IF(A66="","",IF(AND(Parameter!$B$21="Ja",ISNUMBER(W66)),W66,IF(BZ66="2+3",IF(ISNUMBER(SEARCH("grosser Artikel",BR66)),2,IFERROR(VLOOKUP(BU66,Parameter!$F$35:$G$64,2,0),2)),IF(OR(BZ66="Nein",BZ66=""),"-",BZ66))))</f>
        <v>3</v>
      </c>
      <c r="AA66" s="55"/>
      <c r="AB66" s="56"/>
      <c r="AC66" s="50" t="n">
        <f aca="false">AT66</f>
        <v>2</v>
      </c>
      <c r="AD66" s="50" t="n">
        <f aca="false">MAX(AT66,H66)</f>
        <v>2</v>
      </c>
      <c r="AE66" s="57"/>
      <c r="AF66" s="50" t="n">
        <f aca="false">IF(LEFT(Cockpit!$C$5,1)="A",H66,IF(CE66=1,CF66,IF(LEFT(Cockpit!$C$5,1)="B",AK66,MAX(AK66,H66))))</f>
        <v>2</v>
      </c>
      <c r="AG66" s="50" t="n">
        <f aca="false">IF(BW66=1,0,ROUNDUP(AF66/BV66,0))</f>
        <v>1</v>
      </c>
      <c r="AH66" s="52" t="n">
        <f aca="false">IF(CL66&gt;0,CL66*MAX(1,AF66/X66),IF(BW66=1,IF(AF66&lt;=0,0,CA66*MAX(1,IF(H66&gt;0,AF66/H66,1))),IF(R66&gt;0,AG66/R66,0))/MAX(0.1,N(Parameter!$M$21)))</f>
        <v>0.0384615384615385</v>
      </c>
      <c r="AI66" s="50" t="n">
        <f aca="false">AH66*BY66</f>
        <v>5.96153846153846</v>
      </c>
      <c r="AJ66" s="50" t="n">
        <f aca="false">AF66*G66</f>
        <v>3894</v>
      </c>
      <c r="AK66" s="50" t="n">
        <f aca="false">ROUNDUP(MAX(J66/IF(CD66&gt;0,CD66,MAX(0.1,N(Cockpit!$C$6))),CG66)/BV66,0)*BV66</f>
        <v>2</v>
      </c>
      <c r="AL66" s="51" t="n">
        <f aca="false">IF(AI66&gt;0,J66/AI66,-1)</f>
        <v>0</v>
      </c>
      <c r="AM66" s="51" t="n">
        <f aca="false">IF(AND(OR(CC66="L1",CC66="L23",CC66="LIFT"),AI66&gt;0),SUMIFS($AI$7:$AI$1843,$CC$7:$CC$1843,CC66,$AL$7:$AL$1843,"&gt;"&amp;AL66)+SUMIFS($AI$7:$AI$1843,$CC$7:$CC$1843,CC66,$AL$7:$AL$1843,AL66,$BT$7:$BT$1843,"&lt;="&amp;BT66),"")</f>
        <v>26476.8701263426</v>
      </c>
      <c r="AN66" s="58" t="n">
        <f aca="false">IF(AM66="",0,MAX(0,MIN(1,(IF(CC66="L1",Parameter!$H$5,IF(CC66="L23",Parameter!$H$6+Parameter!$H$7,Parameter!$H$5+Parameter!$H$6+Parameter!$H$7))-(AM66-AI66))/AI66)))</f>
        <v>1</v>
      </c>
      <c r="AO66" s="50" t="n">
        <f aca="false">IF(LEFT(Cockpit!$I$5,1)="A",H66,IF(CE66=1,CF66,IF(LEFT(Cockpit!$I$5,1)="B",AT66,MAX(AT66,H66))))</f>
        <v>2</v>
      </c>
      <c r="AP66" s="50" t="n">
        <f aca="false">IF(BW66=1,0,ROUNDUP(AO66/BV66,0))</f>
        <v>1</v>
      </c>
      <c r="AQ66" s="52" t="n">
        <f aca="false">IF(CL66&gt;0,CL66*MAX(1,AO66/X66),IF(BW66=1,IF(AO66&lt;=0,0,CA66*MAX(1,IF(H66&gt;0,AO66/H66,1))),IF(R66&gt;0,AP66/R66,0))/MAX(0.1,N(Parameter!$M$21)))</f>
        <v>0.0384615384615385</v>
      </c>
      <c r="AR66" s="50" t="n">
        <f aca="false">AQ66*BY66</f>
        <v>5.96153846153846</v>
      </c>
      <c r="AS66" s="50" t="n">
        <f aca="false">AO66*G66</f>
        <v>3894</v>
      </c>
      <c r="AT66" s="50" t="n">
        <f aca="false">ROUNDUP(MAX(J66/IF(CD66&gt;0,CD66,MAX(0.1,N(Cockpit!$I$6))),CG66)/BV66,0)*BV66</f>
        <v>2</v>
      </c>
      <c r="AU66" s="51" t="n">
        <f aca="false">IF(AR66&gt;0,J66/AR66,-1)</f>
        <v>0</v>
      </c>
      <c r="AV66" s="51" t="n">
        <f aca="false">IF(AND(OR(CC66="L1",CC66="L23",CC66="LIFT"),AR66&gt;0),SUMIFS($AR$7:$AR$1843,$CC$7:$CC$1843,CC66,$AU$7:$AU$1843,"&gt;"&amp;AU66)+SUMIFS($AR$7:$AR$1843,$CC$7:$CC$1843,CC66,$AU$7:$AU$1843,AU66,$BT$7:$BT$1843,"&lt;="&amp;BT66),"")</f>
        <v>37758.6433460607</v>
      </c>
      <c r="AW66" s="58" t="n">
        <f aca="false">IF(AV66="",0,MAX(0,MIN(1,(IF(CC66="L1",Parameter!$H$5,IF(CC66="L23",Parameter!$H$6+Parameter!$H$7,Parameter!$H$5+Parameter!$H$6+Parameter!$H$7))-(AV66-AR66))/AR66)))</f>
        <v>0</v>
      </c>
      <c r="AX66" s="50" t="n">
        <f aca="false">IF(LEFT(Cockpit!$O$5,1)="A",H66,IF(CE66=1,CF66,IF(LEFT(Cockpit!$O$5,1)="B",BC66,MAX(BC66,H66))))</f>
        <v>2</v>
      </c>
      <c r="AY66" s="50" t="n">
        <f aca="false">IF(BW66=1,0,ROUNDUP(AX66/BV66,0))</f>
        <v>1</v>
      </c>
      <c r="AZ66" s="52" t="n">
        <f aca="false">IF(CL66&gt;0,CL66*MAX(1,AX66/X66),IF(BW66=1,IF(AX66&lt;=0,0,CA66*MAX(1,IF(H66&gt;0,AX66/H66,1))),IF(R66&gt;0,AY66/R66,0))/MAX(0.1,N(Parameter!$M$21)))</f>
        <v>0.0384615384615385</v>
      </c>
      <c r="BA66" s="50" t="n">
        <f aca="false">AZ66*BY66</f>
        <v>5.96153846153846</v>
      </c>
      <c r="BB66" s="50" t="n">
        <f aca="false">AX66*G66</f>
        <v>3894</v>
      </c>
      <c r="BC66" s="50" t="n">
        <f aca="false">ROUNDUP(MAX(J66/IF(CD66&gt;0,CD66,MAX(0.1,N(Cockpit!$O$6))),CG66)/BV66,0)*BV66</f>
        <v>2</v>
      </c>
      <c r="BD66" s="51" t="n">
        <f aca="false">IF(BA66&gt;0,J66/BA66,-1)</f>
        <v>0</v>
      </c>
      <c r="BE66" s="51" t="n">
        <f aca="false">IF(AND(OR(CC66="L1",CC66="L23",CC66="LIFT"),BA66&gt;0),SUMIFS($BA$7:$BA$1843,$CC$7:$CC$1843,CC66,$BD$7:$BD$1843,"&gt;"&amp;BD66)+SUMIFS($BA$7:$BA$1843,$CC$7:$CC$1843,CC66,$BD$7:$BD$1843,BD66,$BT$7:$BT$1843,"&lt;="&amp;BT66),"")</f>
        <v>34433.6553879266</v>
      </c>
      <c r="BF66" s="58" t="n">
        <f aca="false">IF(BE66="",0,MAX(0,MIN(1,(IF(CC66="L1",Parameter!$H$5,IF(CC66="L23",Parameter!$H$6+Parameter!$H$7,Parameter!$H$5+Parameter!$H$6+Parameter!$H$7))-(BE66-BA66))/BA66)))</f>
        <v>1</v>
      </c>
      <c r="BG66" s="48" t="str">
        <f aca="false">IF(AI66&lt;=0,"",IF(CC66="Aussen","Aussenlager",IF(CC66="-","Nicht im Lift",IF(AN66&gt;=1,"Lift",IF(AN66&lt;=0,"Aussenlager","teilweise")))))</f>
        <v>Lift</v>
      </c>
      <c r="BH66" s="48" t="str">
        <f aca="false">IF(AR66&lt;=0,"",IF(CC66="Aussen","Aussenlager",IF(CC66="-","Nicht im Lift",IF(AW66&gt;=1,"Lift",IF(AW66&lt;=0,"Aussenlager","teilweise")))))</f>
        <v>Aussenlager</v>
      </c>
      <c r="BI66" s="48" t="str">
        <f aca="false">IF(BA66&lt;=0,"",IF(CC66="Aussen","Aussenlager",IF(CC66="-","Nicht im Lift",IF(BF66&gt;=1,"Lift",IF(BF66&lt;=0,"Aussenlager","teilweise")))))</f>
        <v>Lift</v>
      </c>
      <c r="BJ66" s="48" t="str">
        <f aca="false">IF(A66="","",IF(BS66=1,"Neu; ","")&amp;IF(AND(BS66=0,BN66&lt;0),"negativer Bestand (Export "&amp;BN66&amp;"); ","")&amp;IF(J66&lt;=0,"Kein Verbrauch; ","")&amp;IF(CL66&gt;0,"Lift "&amp;W66&amp;" lt. Liftbericht (Fach "&amp;X66&amp;" Stk); ",IF(BX66=1,"Gebinde geschätzt ("&amp;T66&amp;"); ",IF(BW66=1,"Lose – Tablare geschätzt; ","")))&amp;IF(H66&gt;AT66,"Überbestand "&amp;ROUND(H66-AT66,0)&amp;" Stk / CHF "&amp;ROUND((H66-AT66)*G66,0)&amp;"; ","")&amp;IF(AND(CE66=1,CF66&lt;CG66),"MAX &lt; MB+LG; ","")&amp;IF(AND(CK66&gt;0,CJ66*10&gt;CK66),"zu hoch für Tablar; ","")&amp;IF(AND(BS66=0,OR(CE66=1,AA66&lt;&gt;"",U66&lt;&gt;"",V66&lt;&gt;"",AB66&lt;&gt;"")),"manuell übersteuert; ","")&amp;IF(AND(BW66=0,R66=0),"Gebinde unbekannt / Stellmass fehlt; ","")&amp;IF(AND(BW66=0,N(V66)&lt;=0,N(Q66)&lt;=0),"Menge pro Gebinde fehlt (Ist = 1 Gebinde); ","")&amp;BR66)</f>
        <v>Kein Verbrauch; </v>
      </c>
      <c r="BK66" s="48"/>
      <c r="BL66" s="48"/>
      <c r="BM66" s="55"/>
      <c r="BN66" s="50" t="n">
        <v>2</v>
      </c>
      <c r="BO66" s="50" t="n">
        <v>0</v>
      </c>
      <c r="BP66" s="49" t="n">
        <v>3894</v>
      </c>
      <c r="BQ66" s="50" t="n">
        <v>0</v>
      </c>
      <c r="BR66" s="48"/>
      <c r="BS66" s="53" t="n">
        <v>0</v>
      </c>
      <c r="BT66" s="53" t="n">
        <v>66</v>
      </c>
      <c r="BU66" s="48" t="str">
        <f aca="false">IF(U66&lt;&gt;"",UPPER(TRIM(U66)),IF(BX66=1,UPPER(VLOOKUP(T66,Parameter!$I$27:$K$29,2,0)),IF(P66="","LOSE",P66)))</f>
        <v>S51</v>
      </c>
      <c r="BV66" s="50" t="n">
        <f aca="false">IF(BU66="LOSE",1,IF(N(V66)&gt;0,V66,IF(BX66=1,MAX(1,N(VLOOKUP(T66,Parameter!$I$27:$K$29,3,0)),H66,N(N66)),IF(N(Q66)&gt;0,Q66,MAX(1,H66)))))</f>
        <v>2</v>
      </c>
      <c r="BW66" s="53" t="n">
        <f aca="false">IF(BU66="LOSE",1,0)</f>
        <v>0</v>
      </c>
      <c r="BX66" s="53" t="n">
        <f aca="false">IF(AND(U66="",OR(P66="",P66="LOSE"),T66&lt;&gt;"",N(S66)&lt;=0,ISNUMBER(MATCH(T66,Parameter!$I$27:$I$29,0))),1,0)</f>
        <v>0</v>
      </c>
      <c r="BY66" s="53" t="n">
        <f aca="false">IF(CL66&gt;0,INDEX(Parameter!$H$5:$H$7,W66)/INDEX(Parameter!$E$5:$E$7,W66),IF(AND(BW66=0,N(IFERROR(VLOOKUP(BU66,'Gebinde-Kategorie'!$A$5:$N$45,14,0),0))&gt;0),VLOOKUP(BU66,'Gebinde-Kategorie'!$A$5:$N$45,14,0)*10+Parameter!$M$23,Parameter!$M$24))</f>
        <v>155</v>
      </c>
      <c r="BZ66" s="48" t="str">
        <f aca="false">IF(AND(Parameter!$B$19="Ja",E66&lt;&gt;"",ISNUMBER(MATCH(E66,Parameter!$I$35:$I$52,0))),VLOOKUP(E66,Parameter!$I$35:$J$52,2,0),IFERROR(VLOOKUP(D66,Parameter!$A$35:$C$64,2,0),"Nein"))</f>
        <v>2+3</v>
      </c>
      <c r="CA66" s="52" t="n">
        <f aca="false">IF(BW66=0,0,IF(N(S66)&gt;0,S66,IFERROR(VLOOKUP(D66,Parameter!$A$35:$C$64,3,0)+0,0)))</f>
        <v>0</v>
      </c>
      <c r="CB66" s="48" t="n">
        <f aca="false">IF(AA66&lt;&gt;"",AA66,Z66)</f>
        <v>3</v>
      </c>
      <c r="CC66" s="48" t="str">
        <f aca="false">IF(OR(CB66=1,CB66=2,CB66=3),IF(Parameter!$E$27="Ja","LIFT",IF(CB66=1,"L1","L23")),IF(CB66="Aussen","Aussen","-"))</f>
        <v>LIFT</v>
      </c>
      <c r="CD66" s="59" t="n">
        <f aca="false">IF(N(AB66)&gt;0,AB66,0)</f>
        <v>0</v>
      </c>
      <c r="CE66" s="53" t="n">
        <f aca="false">IF(ISNUMBER(AE66),1,0)</f>
        <v>0</v>
      </c>
      <c r="CF66" s="50" t="n">
        <f aca="false">N(AE66)</f>
        <v>0</v>
      </c>
      <c r="CG66" s="50" t="n">
        <f aca="false">N(M66)+N(N66)</f>
        <v>1</v>
      </c>
      <c r="CH66" s="50" t="n">
        <f aca="false">ROUNDUP(H66/BV66,0)</f>
        <v>1</v>
      </c>
      <c r="CI66" s="50" t="n">
        <f aca="false">ROUNDUP(CF66/BV66,0)</f>
        <v>0</v>
      </c>
      <c r="CJ66" s="53" t="n">
        <f aca="false">IF(BW66=1,0,IFERROR(VLOOKUP(BU66,'Gebinde-Kategorie'!$A$5:$N$45,5,0)+0,0))</f>
        <v>11</v>
      </c>
      <c r="CK66" s="53" t="n">
        <f aca="false">IFERROR(IF(OR(CB66=1,CB66=2,CB66=3),N(INDEX(Parameter!$I$5:$I$7,CB66)),0),0)</f>
        <v>0</v>
      </c>
      <c r="CL66" s="52" t="n">
        <f aca="false">IF(AND(Parameter!$B$21="Ja",ISNUMBER(W66),N(X66)&gt;0),IFERROR(N(INDEX(Parameter!$L$5:$L$7,W66))*INDEX(Parameter!$E$5:$E$7,W66)*X66/SUMIFS($X$7:$X$1843,$W$7:$W$1843,W66),0),0)</f>
        <v>0</v>
      </c>
    </row>
    <row r="67" customFormat="false" ht="15" hidden="false" customHeight="false" outlineLevel="0" collapsed="false">
      <c r="A67" s="48" t="s">
        <v>339</v>
      </c>
      <c r="B67" s="48" t="s">
        <v>340</v>
      </c>
      <c r="C67" s="48" t="s">
        <v>168</v>
      </c>
      <c r="D67" s="48" t="s">
        <v>188</v>
      </c>
      <c r="E67" s="48"/>
      <c r="F67" s="48" t="s">
        <v>222</v>
      </c>
      <c r="G67" s="49" t="n">
        <v>477</v>
      </c>
      <c r="H67" s="50" t="n">
        <f aca="false">MAX(0,IF(AND(Parameter!$B$21="Ja",ISNUMBER(Y67)),Y67,IF(Parameter!$B$20="Jahresanfang 2025 + Export",BO67+BN67,BN67)))</f>
        <v>8</v>
      </c>
      <c r="I67" s="50" t="n">
        <f aca="false">H67*G67</f>
        <v>3816</v>
      </c>
      <c r="J67" s="50" t="n">
        <f aca="false">BQ67*Parameter!$B$18</f>
        <v>0</v>
      </c>
      <c r="K67" s="51" t="n">
        <v>0</v>
      </c>
      <c r="L67" s="52" t="n">
        <v>0</v>
      </c>
      <c r="M67" s="50" t="n">
        <v>0</v>
      </c>
      <c r="N67" s="50" t="n">
        <v>5</v>
      </c>
      <c r="O67" s="53" t="n">
        <v>9999</v>
      </c>
      <c r="P67" s="48" t="s">
        <v>172</v>
      </c>
      <c r="Q67" s="50"/>
      <c r="R67" s="53" t="n">
        <f aca="false">IF(BW67=1,0,IFERROR(VLOOKUP(BU67,'Gebinde-Kategorie'!$A$5:$N$45,13,0)+0,0))</f>
        <v>12</v>
      </c>
      <c r="S67" s="54"/>
      <c r="T67" s="55" t="s">
        <v>183</v>
      </c>
      <c r="U67" s="55"/>
      <c r="V67" s="55"/>
      <c r="W67" s="48"/>
      <c r="X67" s="50"/>
      <c r="Y67" s="50"/>
      <c r="Z67" s="48" t="n">
        <f aca="false">IF(A67="","",IF(AND(Parameter!$B$21="Ja",ISNUMBER(W67)),W67,IF(BZ67="2+3",IF(ISNUMBER(SEARCH("grosser Artikel",BR67)),2,IFERROR(VLOOKUP(BU67,Parameter!$F$35:$G$64,2,0),2)),IF(OR(BZ67="Nein",BZ67=""),"-",BZ67))))</f>
        <v>2</v>
      </c>
      <c r="AA67" s="55"/>
      <c r="AB67" s="56"/>
      <c r="AC67" s="50" t="n">
        <f aca="false">AT67</f>
        <v>8</v>
      </c>
      <c r="AD67" s="50" t="n">
        <f aca="false">MAX(AT67,H67)</f>
        <v>8</v>
      </c>
      <c r="AE67" s="57"/>
      <c r="AF67" s="50" t="n">
        <f aca="false">IF(LEFT(Cockpit!$C$5,1)="A",H67,IF(CE67=1,CF67,IF(LEFT(Cockpit!$C$5,1)="B",AK67,MAX(AK67,H67))))</f>
        <v>8</v>
      </c>
      <c r="AG67" s="50" t="n">
        <f aca="false">IF(BW67=1,0,ROUNDUP(AF67/BV67,0))</f>
        <v>1</v>
      </c>
      <c r="AH67" s="52" t="n">
        <f aca="false">IF(CL67&gt;0,CL67*MAX(1,AF67/X67),IF(BW67=1,IF(AF67&lt;=0,0,CA67*MAX(1,IF(H67&gt;0,AF67/H67,1))),IF(R67&gt;0,AG67/R67,0))/MAX(0.1,N(Parameter!$M$21)))</f>
        <v>0.0833333333333333</v>
      </c>
      <c r="AI67" s="50" t="n">
        <f aca="false">AH67*BY67</f>
        <v>12.0833333333333</v>
      </c>
      <c r="AJ67" s="50" t="n">
        <f aca="false">AF67*G67</f>
        <v>3816</v>
      </c>
      <c r="AK67" s="50" t="n">
        <f aca="false">ROUNDUP(MAX(J67/IF(CD67&gt;0,CD67,MAX(0.1,N(Cockpit!$C$6))),CG67)/BV67,0)*BV67</f>
        <v>8</v>
      </c>
      <c r="AL67" s="51" t="n">
        <f aca="false">IF(AI67&gt;0,J67/AI67,-1)</f>
        <v>0</v>
      </c>
      <c r="AM67" s="51" t="n">
        <f aca="false">IF(AND(OR(CC67="L1",CC67="L23",CC67="LIFT"),AI67&gt;0),SUMIFS($AI$7:$AI$1843,$CC$7:$CC$1843,CC67,$AL$7:$AL$1843,"&gt;"&amp;AL67)+SUMIFS($AI$7:$AI$1843,$CC$7:$CC$1843,CC67,$AL$7:$AL$1843,AL67,$BT$7:$BT$1843,"&lt;="&amp;BT67),"")</f>
        <v>26488.9534596759</v>
      </c>
      <c r="AN67" s="58" t="n">
        <f aca="false">IF(AM67="",0,MAX(0,MIN(1,(IF(CC67="L1",Parameter!$H$5,IF(CC67="L23",Parameter!$H$6+Parameter!$H$7,Parameter!$H$5+Parameter!$H$6+Parameter!$H$7))-(AM67-AI67))/AI67)))</f>
        <v>1</v>
      </c>
      <c r="AO67" s="50" t="n">
        <f aca="false">IF(LEFT(Cockpit!$I$5,1)="A",H67,IF(CE67=1,CF67,IF(LEFT(Cockpit!$I$5,1)="B",AT67,MAX(AT67,H67))))</f>
        <v>8</v>
      </c>
      <c r="AP67" s="50" t="n">
        <f aca="false">IF(BW67=1,0,ROUNDUP(AO67/BV67,0))</f>
        <v>1</v>
      </c>
      <c r="AQ67" s="52" t="n">
        <f aca="false">IF(CL67&gt;0,CL67*MAX(1,AO67/X67),IF(BW67=1,IF(AO67&lt;=0,0,CA67*MAX(1,IF(H67&gt;0,AO67/H67,1))),IF(R67&gt;0,AP67/R67,0))/MAX(0.1,N(Parameter!$M$21)))</f>
        <v>0.0833333333333333</v>
      </c>
      <c r="AR67" s="50" t="n">
        <f aca="false">AQ67*BY67</f>
        <v>12.0833333333333</v>
      </c>
      <c r="AS67" s="50" t="n">
        <f aca="false">AO67*G67</f>
        <v>3816</v>
      </c>
      <c r="AT67" s="50" t="n">
        <f aca="false">ROUNDUP(MAX(J67/IF(CD67&gt;0,CD67,MAX(0.1,N(Cockpit!$I$6))),CG67)/BV67,0)*BV67</f>
        <v>8</v>
      </c>
      <c r="AU67" s="51" t="n">
        <f aca="false">IF(AR67&gt;0,J67/AR67,-1)</f>
        <v>0</v>
      </c>
      <c r="AV67" s="51" t="n">
        <f aca="false">IF(AND(OR(CC67="L1",CC67="L23",CC67="LIFT"),AR67&gt;0),SUMIFS($AR$7:$AR$1843,$CC$7:$CC$1843,CC67,$AU$7:$AU$1843,"&gt;"&amp;AU67)+SUMIFS($AR$7:$AR$1843,$CC$7:$CC$1843,CC67,$AU$7:$AU$1843,AU67,$BT$7:$BT$1843,"&lt;="&amp;BT67),"")</f>
        <v>37770.7266793941</v>
      </c>
      <c r="AW67" s="58" t="n">
        <f aca="false">IF(AV67="",0,MAX(0,MIN(1,(IF(CC67="L1",Parameter!$H$5,IF(CC67="L23",Parameter!$H$6+Parameter!$H$7,Parameter!$H$5+Parameter!$H$6+Parameter!$H$7))-(AV67-AR67))/AR67)))</f>
        <v>0</v>
      </c>
      <c r="AX67" s="50" t="n">
        <f aca="false">IF(LEFT(Cockpit!$O$5,1)="A",H67,IF(CE67=1,CF67,IF(LEFT(Cockpit!$O$5,1)="B",BC67,MAX(BC67,H67))))</f>
        <v>8</v>
      </c>
      <c r="AY67" s="50" t="n">
        <f aca="false">IF(BW67=1,0,ROUNDUP(AX67/BV67,0))</f>
        <v>1</v>
      </c>
      <c r="AZ67" s="52" t="n">
        <f aca="false">IF(CL67&gt;0,CL67*MAX(1,AX67/X67),IF(BW67=1,IF(AX67&lt;=0,0,CA67*MAX(1,IF(H67&gt;0,AX67/H67,1))),IF(R67&gt;0,AY67/R67,0))/MAX(0.1,N(Parameter!$M$21)))</f>
        <v>0.0833333333333333</v>
      </c>
      <c r="BA67" s="50" t="n">
        <f aca="false">AZ67*BY67</f>
        <v>12.0833333333333</v>
      </c>
      <c r="BB67" s="50" t="n">
        <f aca="false">AX67*G67</f>
        <v>3816</v>
      </c>
      <c r="BC67" s="50" t="n">
        <f aca="false">ROUNDUP(MAX(J67/IF(CD67&gt;0,CD67,MAX(0.1,N(Cockpit!$O$6))),CG67)/BV67,0)*BV67</f>
        <v>8</v>
      </c>
      <c r="BD67" s="51" t="n">
        <f aca="false">IF(BA67&gt;0,J67/BA67,-1)</f>
        <v>0</v>
      </c>
      <c r="BE67" s="51" t="n">
        <f aca="false">IF(AND(OR(CC67="L1",CC67="L23",CC67="LIFT"),BA67&gt;0),SUMIFS($BA$7:$BA$1843,$CC$7:$CC$1843,CC67,$BD$7:$BD$1843,"&gt;"&amp;BD67)+SUMIFS($BA$7:$BA$1843,$CC$7:$CC$1843,CC67,$BD$7:$BD$1843,BD67,$BT$7:$BT$1843,"&lt;="&amp;BT67),"")</f>
        <v>34445.7387212599</v>
      </c>
      <c r="BF67" s="58" t="n">
        <f aca="false">IF(BE67="",0,MAX(0,MIN(1,(IF(CC67="L1",Parameter!$H$5,IF(CC67="L23",Parameter!$H$6+Parameter!$H$7,Parameter!$H$5+Parameter!$H$6+Parameter!$H$7))-(BE67-BA67))/BA67)))</f>
        <v>1</v>
      </c>
      <c r="BG67" s="48" t="str">
        <f aca="false">IF(AI67&lt;=0,"",IF(CC67="Aussen","Aussenlager",IF(CC67="-","Nicht im Lift",IF(AN67&gt;=1,"Lift",IF(AN67&lt;=0,"Aussenlager","teilweise")))))</f>
        <v>Lift</v>
      </c>
      <c r="BH67" s="48" t="str">
        <f aca="false">IF(AR67&lt;=0,"",IF(CC67="Aussen","Aussenlager",IF(CC67="-","Nicht im Lift",IF(AW67&gt;=1,"Lift",IF(AW67&lt;=0,"Aussenlager","teilweise")))))</f>
        <v>Aussenlager</v>
      </c>
      <c r="BI67" s="48" t="str">
        <f aca="false">IF(BA67&lt;=0,"",IF(CC67="Aussen","Aussenlager",IF(CC67="-","Nicht im Lift",IF(BF67&gt;=1,"Lift",IF(BF67&lt;=0,"Aussenlager","teilweise")))))</f>
        <v>Lift</v>
      </c>
      <c r="BJ67" s="48" t="str">
        <f aca="false">IF(A67="","",IF(BS67=1,"Neu; ","")&amp;IF(AND(BS67=0,BN67&lt;0),"negativer Bestand (Export "&amp;BN67&amp;"); ","")&amp;IF(J67&lt;=0,"Kein Verbrauch; ","")&amp;IF(CL67&gt;0,"Lift "&amp;W67&amp;" lt. Liftbericht (Fach "&amp;X67&amp;" Stk); ",IF(BX67=1,"Gebinde geschätzt ("&amp;T67&amp;"); ",IF(BW67=1,"Lose – Tablare geschätzt; ","")))&amp;IF(H67&gt;AT67,"Überbestand "&amp;ROUND(H67-AT67,0)&amp;" Stk / CHF "&amp;ROUND((H67-AT67)*G67,0)&amp;"; ","")&amp;IF(AND(CE67=1,CF67&lt;CG67),"MAX &lt; MB+LG; ","")&amp;IF(AND(CK67&gt;0,CJ67*10&gt;CK67),"zu hoch für Tablar; ","")&amp;IF(AND(BS67=0,OR(CE67=1,AA67&lt;&gt;"",U67&lt;&gt;"",V67&lt;&gt;"",AB67&lt;&gt;"")),"manuell übersteuert; ","")&amp;IF(AND(BW67=0,R67=0),"Gebinde unbekannt / Stellmass fehlt; ","")&amp;IF(AND(BW67=0,N(V67)&lt;=0,N(Q67)&lt;=0),"Menge pro Gebinde fehlt (Ist = 1 Gebinde); ","")&amp;BR67)</f>
        <v>Kein Verbrauch; Gebinde geschätzt (Mittel); Menge pro Gebinde fehlt (Ist = 1 Gebinde); </v>
      </c>
      <c r="BK67" s="48"/>
      <c r="BL67" s="48"/>
      <c r="BM67" s="55"/>
      <c r="BN67" s="50" t="n">
        <v>8</v>
      </c>
      <c r="BO67" s="50" t="n">
        <v>0</v>
      </c>
      <c r="BP67" s="49" t="n">
        <v>3816</v>
      </c>
      <c r="BQ67" s="50" t="n">
        <v>0</v>
      </c>
      <c r="BR67" s="48"/>
      <c r="BS67" s="53" t="n">
        <v>0</v>
      </c>
      <c r="BT67" s="53" t="n">
        <v>67</v>
      </c>
      <c r="BU67" s="48" t="str">
        <f aca="false">IF(U67&lt;&gt;"",UPPER(TRIM(U67)),IF(BX67=1,UPPER(VLOOKUP(T67,Parameter!$I$27:$K$29,2,0)),IF(P67="","LOSE",P67)))</f>
        <v>S61</v>
      </c>
      <c r="BV67" s="50" t="n">
        <f aca="false">IF(BU67="LOSE",1,IF(N(V67)&gt;0,V67,IF(BX67=1,MAX(1,N(VLOOKUP(T67,Parameter!$I$27:$K$29,3,0)),H67,N(N67)),IF(N(Q67)&gt;0,Q67,MAX(1,H67)))))</f>
        <v>8</v>
      </c>
      <c r="BW67" s="53" t="n">
        <f aca="false">IF(BU67="LOSE",1,0)</f>
        <v>0</v>
      </c>
      <c r="BX67" s="53" t="n">
        <f aca="false">IF(AND(U67="",OR(P67="",P67="LOSE"),T67&lt;&gt;"",N(S67)&lt;=0,ISNUMBER(MATCH(T67,Parameter!$I$27:$I$29,0))),1,0)</f>
        <v>1</v>
      </c>
      <c r="BY67" s="53" t="n">
        <f aca="false">IF(CL67&gt;0,INDEX(Parameter!$H$5:$H$7,W67)/INDEX(Parameter!$E$5:$E$7,W67),IF(AND(BW67=0,N(IFERROR(VLOOKUP(BU67,'Gebinde-Kategorie'!$A$5:$N$45,14,0),0))&gt;0),VLOOKUP(BU67,'Gebinde-Kategorie'!$A$5:$N$45,14,0)*10+Parameter!$M$23,Parameter!$M$24))</f>
        <v>145</v>
      </c>
      <c r="BZ67" s="48" t="str">
        <f aca="false">IF(AND(Parameter!$B$19="Ja",E67&lt;&gt;"",ISNUMBER(MATCH(E67,Parameter!$I$35:$I$52,0))),VLOOKUP(E67,Parameter!$I$35:$J$52,2,0),IFERROR(VLOOKUP(D67,Parameter!$A$35:$C$64,2,0),"Nein"))</f>
        <v>2+3</v>
      </c>
      <c r="CA67" s="52" t="n">
        <f aca="false">IF(BW67=0,0,IF(N(S67)&gt;0,S67,IFERROR(VLOOKUP(D67,Parameter!$A$35:$C$64,3,0)+0,0)))</f>
        <v>0</v>
      </c>
      <c r="CB67" s="48" t="n">
        <f aca="false">IF(AA67&lt;&gt;"",AA67,Z67)</f>
        <v>2</v>
      </c>
      <c r="CC67" s="48" t="str">
        <f aca="false">IF(OR(CB67=1,CB67=2,CB67=3),IF(Parameter!$E$27="Ja","LIFT",IF(CB67=1,"L1","L23")),IF(CB67="Aussen","Aussen","-"))</f>
        <v>LIFT</v>
      </c>
      <c r="CD67" s="59" t="n">
        <f aca="false">IF(N(AB67)&gt;0,AB67,0)</f>
        <v>0</v>
      </c>
      <c r="CE67" s="53" t="n">
        <f aca="false">IF(ISNUMBER(AE67),1,0)</f>
        <v>0</v>
      </c>
      <c r="CF67" s="50" t="n">
        <f aca="false">N(AE67)</f>
        <v>0</v>
      </c>
      <c r="CG67" s="50" t="n">
        <f aca="false">N(M67)+N(N67)</f>
        <v>5</v>
      </c>
      <c r="CH67" s="50" t="n">
        <f aca="false">ROUNDUP(H67/BV67,0)</f>
        <v>1</v>
      </c>
      <c r="CI67" s="50" t="n">
        <f aca="false">ROUNDUP(CF67/BV67,0)</f>
        <v>0</v>
      </c>
      <c r="CJ67" s="53" t="n">
        <f aca="false">IF(BW67=1,0,IFERROR(VLOOKUP(BU67,'Gebinde-Kategorie'!$A$5:$N$45,5,0)+0,0))</f>
        <v>11</v>
      </c>
      <c r="CK67" s="53" t="n">
        <f aca="false">IFERROR(IF(OR(CB67=1,CB67=2,CB67=3),N(INDEX(Parameter!$I$5:$I$7,CB67)),0),0)</f>
        <v>0</v>
      </c>
      <c r="CL67" s="52" t="n">
        <f aca="false">IF(AND(Parameter!$B$21="Ja",ISNUMBER(W67),N(X67)&gt;0),IFERROR(N(INDEX(Parameter!$L$5:$L$7,W67))*INDEX(Parameter!$E$5:$E$7,W67)*X67/SUMIFS($X$7:$X$1843,$W$7:$W$1843,W67),0),0)</f>
        <v>0</v>
      </c>
    </row>
    <row r="68" customFormat="false" ht="15" hidden="false" customHeight="false" outlineLevel="0" collapsed="false">
      <c r="A68" s="48" t="s">
        <v>341</v>
      </c>
      <c r="B68" s="48" t="s">
        <v>335</v>
      </c>
      <c r="C68" s="48" t="s">
        <v>168</v>
      </c>
      <c r="D68" s="48" t="s">
        <v>177</v>
      </c>
      <c r="E68" s="48"/>
      <c r="F68" s="48" t="s">
        <v>222</v>
      </c>
      <c r="G68" s="49" t="n">
        <v>758.09</v>
      </c>
      <c r="H68" s="50" t="n">
        <f aca="false">MAX(0,IF(AND(Parameter!$B$21="Ja",ISNUMBER(Y68)),Y68,IF(Parameter!$B$20="Jahresanfang 2025 + Export",BO68+BN68,BN68)))</f>
        <v>5</v>
      </c>
      <c r="I68" s="50" t="n">
        <f aca="false">H68*G68</f>
        <v>3790.45</v>
      </c>
      <c r="J68" s="50" t="n">
        <f aca="false">BQ68*Parameter!$B$18</f>
        <v>0</v>
      </c>
      <c r="K68" s="51" t="n">
        <v>0</v>
      </c>
      <c r="L68" s="52" t="n">
        <v>0</v>
      </c>
      <c r="M68" s="50" t="n">
        <v>0</v>
      </c>
      <c r="N68" s="50" t="n">
        <v>5</v>
      </c>
      <c r="O68" s="53" t="n">
        <v>9999</v>
      </c>
      <c r="P68" s="48" t="s">
        <v>172</v>
      </c>
      <c r="Q68" s="50"/>
      <c r="R68" s="53" t="n">
        <f aca="false">IF(BW68=1,0,IFERROR(VLOOKUP(BU68,'Gebinde-Kategorie'!$A$5:$N$45,13,0)+0,0))</f>
        <v>12</v>
      </c>
      <c r="S68" s="54"/>
      <c r="T68" s="55" t="s">
        <v>183</v>
      </c>
      <c r="U68" s="55"/>
      <c r="V68" s="55"/>
      <c r="W68" s="48"/>
      <c r="X68" s="50"/>
      <c r="Y68" s="50"/>
      <c r="Z68" s="48" t="n">
        <f aca="false">IF(A68="","",IF(AND(Parameter!$B$21="Ja",ISNUMBER(W68)),W68,IF(BZ68="2+3",IF(ISNUMBER(SEARCH("grosser Artikel",BR68)),2,IFERROR(VLOOKUP(BU68,Parameter!$F$35:$G$64,2,0),2)),IF(OR(BZ68="Nein",BZ68=""),"-",BZ68))))</f>
        <v>2</v>
      </c>
      <c r="AA68" s="55"/>
      <c r="AB68" s="56"/>
      <c r="AC68" s="50" t="n">
        <f aca="false">AT68</f>
        <v>5</v>
      </c>
      <c r="AD68" s="50" t="n">
        <f aca="false">MAX(AT68,H68)</f>
        <v>5</v>
      </c>
      <c r="AE68" s="57"/>
      <c r="AF68" s="50" t="n">
        <f aca="false">IF(LEFT(Cockpit!$C$5,1)="A",H68,IF(CE68=1,CF68,IF(LEFT(Cockpit!$C$5,1)="B",AK68,MAX(AK68,H68))))</f>
        <v>5</v>
      </c>
      <c r="AG68" s="50" t="n">
        <f aca="false">IF(BW68=1,0,ROUNDUP(AF68/BV68,0))</f>
        <v>1</v>
      </c>
      <c r="AH68" s="52" t="n">
        <f aca="false">IF(CL68&gt;0,CL68*MAX(1,AF68/X68),IF(BW68=1,IF(AF68&lt;=0,0,CA68*MAX(1,IF(H68&gt;0,AF68/H68,1))),IF(R68&gt;0,AG68/R68,0))/MAX(0.1,N(Parameter!$M$21)))</f>
        <v>0.0833333333333333</v>
      </c>
      <c r="AI68" s="50" t="n">
        <f aca="false">AH68*BY68</f>
        <v>12.0833333333333</v>
      </c>
      <c r="AJ68" s="50" t="n">
        <f aca="false">AF68*G68</f>
        <v>3790.45</v>
      </c>
      <c r="AK68" s="50" t="n">
        <f aca="false">ROUNDUP(MAX(J68/IF(CD68&gt;0,CD68,MAX(0.1,N(Cockpit!$C$6))),CG68)/BV68,0)*BV68</f>
        <v>5</v>
      </c>
      <c r="AL68" s="51" t="n">
        <f aca="false">IF(AI68&gt;0,J68/AI68,-1)</f>
        <v>0</v>
      </c>
      <c r="AM68" s="51" t="n">
        <f aca="false">IF(AND(OR(CC68="L1",CC68="L23",CC68="LIFT"),AI68&gt;0),SUMIFS($AI$7:$AI$1843,$CC$7:$CC$1843,CC68,$AL$7:$AL$1843,"&gt;"&amp;AL68)+SUMIFS($AI$7:$AI$1843,$CC$7:$CC$1843,CC68,$AL$7:$AL$1843,AL68,$BT$7:$BT$1843,"&lt;="&amp;BT68),"")</f>
        <v>26501.0367930093</v>
      </c>
      <c r="AN68" s="58" t="n">
        <f aca="false">IF(AM68="",0,MAX(0,MIN(1,(IF(CC68="L1",Parameter!$H$5,IF(CC68="L23",Parameter!$H$6+Parameter!$H$7,Parameter!$H$5+Parameter!$H$6+Parameter!$H$7))-(AM68-AI68))/AI68)))</f>
        <v>1</v>
      </c>
      <c r="AO68" s="50" t="n">
        <f aca="false">IF(LEFT(Cockpit!$I$5,1)="A",H68,IF(CE68=1,CF68,IF(LEFT(Cockpit!$I$5,1)="B",AT68,MAX(AT68,H68))))</f>
        <v>5</v>
      </c>
      <c r="AP68" s="50" t="n">
        <f aca="false">IF(BW68=1,0,ROUNDUP(AO68/BV68,0))</f>
        <v>1</v>
      </c>
      <c r="AQ68" s="52" t="n">
        <f aca="false">IF(CL68&gt;0,CL68*MAX(1,AO68/X68),IF(BW68=1,IF(AO68&lt;=0,0,CA68*MAX(1,IF(H68&gt;0,AO68/H68,1))),IF(R68&gt;0,AP68/R68,0))/MAX(0.1,N(Parameter!$M$21)))</f>
        <v>0.0833333333333333</v>
      </c>
      <c r="AR68" s="50" t="n">
        <f aca="false">AQ68*BY68</f>
        <v>12.0833333333333</v>
      </c>
      <c r="AS68" s="50" t="n">
        <f aca="false">AO68*G68</f>
        <v>3790.45</v>
      </c>
      <c r="AT68" s="50" t="n">
        <f aca="false">ROUNDUP(MAX(J68/IF(CD68&gt;0,CD68,MAX(0.1,N(Cockpit!$I$6))),CG68)/BV68,0)*BV68</f>
        <v>5</v>
      </c>
      <c r="AU68" s="51" t="n">
        <f aca="false">IF(AR68&gt;0,J68/AR68,-1)</f>
        <v>0</v>
      </c>
      <c r="AV68" s="51" t="n">
        <f aca="false">IF(AND(OR(CC68="L1",CC68="L23",CC68="LIFT"),AR68&gt;0),SUMIFS($AR$7:$AR$1843,$CC$7:$CC$1843,CC68,$AU$7:$AU$1843,"&gt;"&amp;AU68)+SUMIFS($AR$7:$AR$1843,$CC$7:$CC$1843,CC68,$AU$7:$AU$1843,AU68,$BT$7:$BT$1843,"&lt;="&amp;BT68),"")</f>
        <v>37782.8100127274</v>
      </c>
      <c r="AW68" s="58" t="n">
        <f aca="false">IF(AV68="",0,MAX(0,MIN(1,(IF(CC68="L1",Parameter!$H$5,IF(CC68="L23",Parameter!$H$6+Parameter!$H$7,Parameter!$H$5+Parameter!$H$6+Parameter!$H$7))-(AV68-AR68))/AR68)))</f>
        <v>0</v>
      </c>
      <c r="AX68" s="50" t="n">
        <f aca="false">IF(LEFT(Cockpit!$O$5,1)="A",H68,IF(CE68=1,CF68,IF(LEFT(Cockpit!$O$5,1)="B",BC68,MAX(BC68,H68))))</f>
        <v>5</v>
      </c>
      <c r="AY68" s="50" t="n">
        <f aca="false">IF(BW68=1,0,ROUNDUP(AX68/BV68,0))</f>
        <v>1</v>
      </c>
      <c r="AZ68" s="52" t="n">
        <f aca="false">IF(CL68&gt;0,CL68*MAX(1,AX68/X68),IF(BW68=1,IF(AX68&lt;=0,0,CA68*MAX(1,IF(H68&gt;0,AX68/H68,1))),IF(R68&gt;0,AY68/R68,0))/MAX(0.1,N(Parameter!$M$21)))</f>
        <v>0.0833333333333333</v>
      </c>
      <c r="BA68" s="50" t="n">
        <f aca="false">AZ68*BY68</f>
        <v>12.0833333333333</v>
      </c>
      <c r="BB68" s="50" t="n">
        <f aca="false">AX68*G68</f>
        <v>3790.45</v>
      </c>
      <c r="BC68" s="50" t="n">
        <f aca="false">ROUNDUP(MAX(J68/IF(CD68&gt;0,CD68,MAX(0.1,N(Cockpit!$O$6))),CG68)/BV68,0)*BV68</f>
        <v>5</v>
      </c>
      <c r="BD68" s="51" t="n">
        <f aca="false">IF(BA68&gt;0,J68/BA68,-1)</f>
        <v>0</v>
      </c>
      <c r="BE68" s="51" t="n">
        <f aca="false">IF(AND(OR(CC68="L1",CC68="L23",CC68="LIFT"),BA68&gt;0),SUMIFS($BA$7:$BA$1843,$CC$7:$CC$1843,CC68,$BD$7:$BD$1843,"&gt;"&amp;BD68)+SUMIFS($BA$7:$BA$1843,$CC$7:$CC$1843,CC68,$BD$7:$BD$1843,BD68,$BT$7:$BT$1843,"&lt;="&amp;BT68),"")</f>
        <v>34457.8220545932</v>
      </c>
      <c r="BF68" s="58" t="n">
        <f aca="false">IF(BE68="",0,MAX(0,MIN(1,(IF(CC68="L1",Parameter!$H$5,IF(CC68="L23",Parameter!$H$6+Parameter!$H$7,Parameter!$H$5+Parameter!$H$6+Parameter!$H$7))-(BE68-BA68))/BA68)))</f>
        <v>1</v>
      </c>
      <c r="BG68" s="48" t="str">
        <f aca="false">IF(AI68&lt;=0,"",IF(CC68="Aussen","Aussenlager",IF(CC68="-","Nicht im Lift",IF(AN68&gt;=1,"Lift",IF(AN68&lt;=0,"Aussenlager","teilweise")))))</f>
        <v>Lift</v>
      </c>
      <c r="BH68" s="48" t="str">
        <f aca="false">IF(AR68&lt;=0,"",IF(CC68="Aussen","Aussenlager",IF(CC68="-","Nicht im Lift",IF(AW68&gt;=1,"Lift",IF(AW68&lt;=0,"Aussenlager","teilweise")))))</f>
        <v>Aussenlager</v>
      </c>
      <c r="BI68" s="48" t="str">
        <f aca="false">IF(BA68&lt;=0,"",IF(CC68="Aussen","Aussenlager",IF(CC68="-","Nicht im Lift",IF(BF68&gt;=1,"Lift",IF(BF68&lt;=0,"Aussenlager","teilweise")))))</f>
        <v>Lift</v>
      </c>
      <c r="BJ68" s="48" t="str">
        <f aca="false">IF(A68="","",IF(BS68=1,"Neu; ","")&amp;IF(AND(BS68=0,BN68&lt;0),"negativer Bestand (Export "&amp;BN68&amp;"); ","")&amp;IF(J68&lt;=0,"Kein Verbrauch; ","")&amp;IF(CL68&gt;0,"Lift "&amp;W68&amp;" lt. Liftbericht (Fach "&amp;X68&amp;" Stk); ",IF(BX68=1,"Gebinde geschätzt ("&amp;T68&amp;"); ",IF(BW68=1,"Lose – Tablare geschätzt; ","")))&amp;IF(H68&gt;AT68,"Überbestand "&amp;ROUND(H68-AT68,0)&amp;" Stk / CHF "&amp;ROUND((H68-AT68)*G68,0)&amp;"; ","")&amp;IF(AND(CE68=1,CF68&lt;CG68),"MAX &lt; MB+LG; ","")&amp;IF(AND(CK68&gt;0,CJ68*10&gt;CK68),"zu hoch für Tablar; ","")&amp;IF(AND(BS68=0,OR(CE68=1,AA68&lt;&gt;"",U68&lt;&gt;"",V68&lt;&gt;"",AB68&lt;&gt;"")),"manuell übersteuert; ","")&amp;IF(AND(BW68=0,R68=0),"Gebinde unbekannt / Stellmass fehlt; ","")&amp;IF(AND(BW68=0,N(V68)&lt;=0,N(Q68)&lt;=0),"Menge pro Gebinde fehlt (Ist = 1 Gebinde); ","")&amp;BR68)</f>
        <v>Kein Verbrauch; Gebinde geschätzt (Mittel); Menge pro Gebinde fehlt (Ist = 1 Gebinde); </v>
      </c>
      <c r="BK68" s="48"/>
      <c r="BL68" s="48"/>
      <c r="BM68" s="55"/>
      <c r="BN68" s="50" t="n">
        <v>5</v>
      </c>
      <c r="BO68" s="50" t="n">
        <v>0</v>
      </c>
      <c r="BP68" s="49" t="n">
        <v>3790.45</v>
      </c>
      <c r="BQ68" s="50" t="n">
        <v>0</v>
      </c>
      <c r="BR68" s="48"/>
      <c r="BS68" s="53" t="n">
        <v>0</v>
      </c>
      <c r="BT68" s="53" t="n">
        <v>68</v>
      </c>
      <c r="BU68" s="48" t="str">
        <f aca="false">IF(U68&lt;&gt;"",UPPER(TRIM(U68)),IF(BX68=1,UPPER(VLOOKUP(T68,Parameter!$I$27:$K$29,2,0)),IF(P68="","LOSE",P68)))</f>
        <v>S61</v>
      </c>
      <c r="BV68" s="50" t="n">
        <f aca="false">IF(BU68="LOSE",1,IF(N(V68)&gt;0,V68,IF(BX68=1,MAX(1,N(VLOOKUP(T68,Parameter!$I$27:$K$29,3,0)),H68,N(N68)),IF(N(Q68)&gt;0,Q68,MAX(1,H68)))))</f>
        <v>5</v>
      </c>
      <c r="BW68" s="53" t="n">
        <f aca="false">IF(BU68="LOSE",1,0)</f>
        <v>0</v>
      </c>
      <c r="BX68" s="53" t="n">
        <f aca="false">IF(AND(U68="",OR(P68="",P68="LOSE"),T68&lt;&gt;"",N(S68)&lt;=0,ISNUMBER(MATCH(T68,Parameter!$I$27:$I$29,0))),1,0)</f>
        <v>1</v>
      </c>
      <c r="BY68" s="53" t="n">
        <f aca="false">IF(CL68&gt;0,INDEX(Parameter!$H$5:$H$7,W68)/INDEX(Parameter!$E$5:$E$7,W68),IF(AND(BW68=0,N(IFERROR(VLOOKUP(BU68,'Gebinde-Kategorie'!$A$5:$N$45,14,0),0))&gt;0),VLOOKUP(BU68,'Gebinde-Kategorie'!$A$5:$N$45,14,0)*10+Parameter!$M$23,Parameter!$M$24))</f>
        <v>145</v>
      </c>
      <c r="BZ68" s="48" t="str">
        <f aca="false">IF(AND(Parameter!$B$19="Ja",E68&lt;&gt;"",ISNUMBER(MATCH(E68,Parameter!$I$35:$I$52,0))),VLOOKUP(E68,Parameter!$I$35:$J$52,2,0),IFERROR(VLOOKUP(D68,Parameter!$A$35:$C$64,2,0),"Nein"))</f>
        <v>2+3</v>
      </c>
      <c r="CA68" s="52" t="n">
        <f aca="false">IF(BW68=0,0,IF(N(S68)&gt;0,S68,IFERROR(VLOOKUP(D68,Parameter!$A$35:$C$64,3,0)+0,0)))</f>
        <v>0</v>
      </c>
      <c r="CB68" s="48" t="n">
        <f aca="false">IF(AA68&lt;&gt;"",AA68,Z68)</f>
        <v>2</v>
      </c>
      <c r="CC68" s="48" t="str">
        <f aca="false">IF(OR(CB68=1,CB68=2,CB68=3),IF(Parameter!$E$27="Ja","LIFT",IF(CB68=1,"L1","L23")),IF(CB68="Aussen","Aussen","-"))</f>
        <v>LIFT</v>
      </c>
      <c r="CD68" s="59" t="n">
        <f aca="false">IF(N(AB68)&gt;0,AB68,0)</f>
        <v>0</v>
      </c>
      <c r="CE68" s="53" t="n">
        <f aca="false">IF(ISNUMBER(AE68),1,0)</f>
        <v>0</v>
      </c>
      <c r="CF68" s="50" t="n">
        <f aca="false">N(AE68)</f>
        <v>0</v>
      </c>
      <c r="CG68" s="50" t="n">
        <f aca="false">N(M68)+N(N68)</f>
        <v>5</v>
      </c>
      <c r="CH68" s="50" t="n">
        <f aca="false">ROUNDUP(H68/BV68,0)</f>
        <v>1</v>
      </c>
      <c r="CI68" s="50" t="n">
        <f aca="false">ROUNDUP(CF68/BV68,0)</f>
        <v>0</v>
      </c>
      <c r="CJ68" s="53" t="n">
        <f aca="false">IF(BW68=1,0,IFERROR(VLOOKUP(BU68,'Gebinde-Kategorie'!$A$5:$N$45,5,0)+0,0))</f>
        <v>11</v>
      </c>
      <c r="CK68" s="53" t="n">
        <f aca="false">IFERROR(IF(OR(CB68=1,CB68=2,CB68=3),N(INDEX(Parameter!$I$5:$I$7,CB68)),0),0)</f>
        <v>0</v>
      </c>
      <c r="CL68" s="52" t="n">
        <f aca="false">IF(AND(Parameter!$B$21="Ja",ISNUMBER(W68),N(X68)&gt;0),IFERROR(N(INDEX(Parameter!$L$5:$L$7,W68))*INDEX(Parameter!$E$5:$E$7,W68)*X68/SUMIFS($X$7:$X$1843,$W$7:$W$1843,W68),0),0)</f>
        <v>0</v>
      </c>
    </row>
    <row r="69" customFormat="false" ht="15" hidden="false" customHeight="false" outlineLevel="0" collapsed="false">
      <c r="A69" s="48" t="s">
        <v>342</v>
      </c>
      <c r="B69" s="48" t="s">
        <v>343</v>
      </c>
      <c r="C69" s="48" t="s">
        <v>168</v>
      </c>
      <c r="D69" s="48" t="s">
        <v>177</v>
      </c>
      <c r="E69" s="48" t="s">
        <v>170</v>
      </c>
      <c r="F69" s="48" t="s">
        <v>222</v>
      </c>
      <c r="G69" s="49" t="n">
        <v>223.35</v>
      </c>
      <c r="H69" s="50" t="n">
        <f aca="false">MAX(0,IF(AND(Parameter!$B$21="Ja",ISNUMBER(Y69)),Y69,IF(Parameter!$B$20="Jahresanfang 2025 + Export",BO69+BN69,BN69)))</f>
        <v>25</v>
      </c>
      <c r="I69" s="50" t="n">
        <f aca="false">H69*G69</f>
        <v>5583.75</v>
      </c>
      <c r="J69" s="50" t="n">
        <f aca="false">BQ69*Parameter!$B$18</f>
        <v>30</v>
      </c>
      <c r="K69" s="51" t="n">
        <v>17.5</v>
      </c>
      <c r="L69" s="52" t="n">
        <v>1.71428571428571</v>
      </c>
      <c r="M69" s="50" t="n">
        <v>2</v>
      </c>
      <c r="N69" s="50" t="n">
        <v>15</v>
      </c>
      <c r="O69" s="53" t="n">
        <v>21</v>
      </c>
      <c r="P69" s="48" t="s">
        <v>263</v>
      </c>
      <c r="Q69" s="50" t="n">
        <v>28</v>
      </c>
      <c r="R69" s="53" t="n">
        <f aca="false">IF(BW69=1,0,IFERROR(VLOOKUP(BU69,'Gebinde-Kategorie'!$A$5:$N$45,13,0)+0,0))</f>
        <v>6</v>
      </c>
      <c r="S69" s="54"/>
      <c r="T69" s="55"/>
      <c r="U69" s="55"/>
      <c r="V69" s="55"/>
      <c r="W69" s="48"/>
      <c r="X69" s="50"/>
      <c r="Y69" s="50"/>
      <c r="Z69" s="48" t="n">
        <f aca="false">IF(A69="","",IF(AND(Parameter!$B$21="Ja",ISNUMBER(W69)),W69,IF(BZ69="2+3",IF(ISNUMBER(SEARCH("grosser Artikel",BR69)),2,IFERROR(VLOOKUP(BU69,Parameter!$F$35:$G$64,2,0),2)),IF(OR(BZ69="Nein",BZ69=""),"-",BZ69))))</f>
        <v>1</v>
      </c>
      <c r="AA69" s="55"/>
      <c r="AB69" s="56"/>
      <c r="AC69" s="50" t="n">
        <f aca="false">AT69</f>
        <v>28</v>
      </c>
      <c r="AD69" s="50" t="n">
        <f aca="false">MAX(AT69,H69)</f>
        <v>28</v>
      </c>
      <c r="AE69" s="57"/>
      <c r="AF69" s="50" t="n">
        <f aca="false">IF(LEFT(Cockpit!$C$5,1)="A",H69,IF(CE69=1,CF69,IF(LEFT(Cockpit!$C$5,1)="B",AK69,MAX(AK69,H69))))</f>
        <v>25</v>
      </c>
      <c r="AG69" s="50" t="n">
        <f aca="false">IF(BW69=1,0,ROUNDUP(AF69/BV69,0))</f>
        <v>1</v>
      </c>
      <c r="AH69" s="52" t="n">
        <f aca="false">IF(CL69&gt;0,CL69*MAX(1,AF69/X69),IF(BW69=1,IF(AF69&lt;=0,0,CA69*MAX(1,IF(H69&gt;0,AF69/H69,1))),IF(R69&gt;0,AG69/R69,0))/MAX(0.1,N(Parameter!$M$21)))</f>
        <v>0.166666666666667</v>
      </c>
      <c r="AI69" s="50" t="n">
        <f aca="false">AH69*BY69</f>
        <v>72.5</v>
      </c>
      <c r="AJ69" s="50" t="n">
        <f aca="false">AF69*G69</f>
        <v>5583.75</v>
      </c>
      <c r="AK69" s="50" t="n">
        <f aca="false">ROUNDUP(MAX(J69/IF(CD69&gt;0,CD69,MAX(0.1,N(Cockpit!$C$6))),CG69)/BV69,0)*BV69</f>
        <v>28</v>
      </c>
      <c r="AL69" s="51" t="n">
        <f aca="false">IF(AI69&gt;0,J69/AI69,-1)</f>
        <v>0.413793103448276</v>
      </c>
      <c r="AM69" s="51" t="n">
        <f aca="false">IF(AND(OR(CC69="L1",CC69="L23",CC69="LIFT"),AI69&gt;0),SUMIFS($AI$7:$AI$1843,$CC$7:$CC$1843,CC69,$AL$7:$AL$1843,"&gt;"&amp;AL69)+SUMIFS($AI$7:$AI$1843,$CC$7:$CC$1843,CC69,$AL$7:$AL$1843,AL69,$BT$7:$BT$1843,"&lt;="&amp;BT69),"")</f>
        <v>10103.5961253906</v>
      </c>
      <c r="AN69" s="58" t="n">
        <f aca="false">IF(AM69="",0,MAX(0,MIN(1,(IF(CC69="L1",Parameter!$H$5,IF(CC69="L23",Parameter!$H$6+Parameter!$H$7,Parameter!$H$5+Parameter!$H$6+Parameter!$H$7))-(AM69-AI69))/AI69)))</f>
        <v>1</v>
      </c>
      <c r="AO69" s="50" t="n">
        <f aca="false">IF(LEFT(Cockpit!$I$5,1)="A",H69,IF(CE69=1,CF69,IF(LEFT(Cockpit!$I$5,1)="B",AT69,MAX(AT69,H69))))</f>
        <v>28</v>
      </c>
      <c r="AP69" s="50" t="n">
        <f aca="false">IF(BW69=1,0,ROUNDUP(AO69/BV69,0))</f>
        <v>1</v>
      </c>
      <c r="AQ69" s="52" t="n">
        <f aca="false">IF(CL69&gt;0,CL69*MAX(1,AO69/X69),IF(BW69=1,IF(AO69&lt;=0,0,CA69*MAX(1,IF(H69&gt;0,AO69/H69,1))),IF(R69&gt;0,AP69/R69,0))/MAX(0.1,N(Parameter!$M$21)))</f>
        <v>0.166666666666667</v>
      </c>
      <c r="AR69" s="50" t="n">
        <f aca="false">AQ69*BY69</f>
        <v>72.5</v>
      </c>
      <c r="AS69" s="50" t="n">
        <f aca="false">AO69*G69</f>
        <v>6253.8</v>
      </c>
      <c r="AT69" s="50" t="n">
        <f aca="false">ROUNDUP(MAX(J69/IF(CD69&gt;0,CD69,MAX(0.1,N(Cockpit!$I$6))),CG69)/BV69,0)*BV69</f>
        <v>28</v>
      </c>
      <c r="AU69" s="51" t="n">
        <f aca="false">IF(AR69&gt;0,J69/AR69,-1)</f>
        <v>0.413793103448276</v>
      </c>
      <c r="AV69" s="51" t="n">
        <f aca="false">IF(AND(OR(CC69="L1",CC69="L23",CC69="LIFT"),AR69&gt;0),SUMIFS($AR$7:$AR$1843,$CC$7:$CC$1843,CC69,$AU$7:$AU$1843,"&gt;"&amp;AU69)+SUMIFS($AR$7:$AR$1843,$CC$7:$CC$1843,CC69,$AU$7:$AU$1843,AU69,$BT$7:$BT$1843,"&lt;="&amp;BT69),"")</f>
        <v>14978.1758241758</v>
      </c>
      <c r="AW69" s="58" t="n">
        <f aca="false">IF(AV69="",0,MAX(0,MIN(1,(IF(CC69="L1",Parameter!$H$5,IF(CC69="L23",Parameter!$H$6+Parameter!$H$7,Parameter!$H$5+Parameter!$H$6+Parameter!$H$7))-(AV69-AR69))/AR69)))</f>
        <v>1</v>
      </c>
      <c r="AX69" s="50" t="n">
        <f aca="false">IF(LEFT(Cockpit!$O$5,1)="A",H69,IF(CE69=1,CF69,IF(LEFT(Cockpit!$O$5,1)="B",BC69,MAX(BC69,H69))))</f>
        <v>28</v>
      </c>
      <c r="AY69" s="50" t="n">
        <f aca="false">IF(BW69=1,0,ROUNDUP(AX69/BV69,0))</f>
        <v>1</v>
      </c>
      <c r="AZ69" s="52" t="n">
        <f aca="false">IF(CL69&gt;0,CL69*MAX(1,AX69/X69),IF(BW69=1,IF(AX69&lt;=0,0,CA69*MAX(1,IF(H69&gt;0,AX69/H69,1))),IF(R69&gt;0,AY69/R69,0))/MAX(0.1,N(Parameter!$M$21)))</f>
        <v>0.166666666666667</v>
      </c>
      <c r="BA69" s="50" t="n">
        <f aca="false">AZ69*BY69</f>
        <v>72.5</v>
      </c>
      <c r="BB69" s="50" t="n">
        <f aca="false">AX69*G69</f>
        <v>6253.8</v>
      </c>
      <c r="BC69" s="50" t="n">
        <f aca="false">ROUNDUP(MAX(J69/IF(CD69&gt;0,CD69,MAX(0.1,N(Cockpit!$O$6))),CG69)/BV69,0)*BV69</f>
        <v>28</v>
      </c>
      <c r="BD69" s="51" t="n">
        <f aca="false">IF(BA69&gt;0,J69/BA69,-1)</f>
        <v>0.413793103448276</v>
      </c>
      <c r="BE69" s="51" t="n">
        <f aca="false">IF(AND(OR(CC69="L1",CC69="L23",CC69="LIFT"),BA69&gt;0),SUMIFS($BA$7:$BA$1843,$CC$7:$CC$1843,CC69,$BD$7:$BD$1843,"&gt;"&amp;BD69)+SUMIFS($BA$7:$BA$1843,$CC$7:$CC$1843,CC69,$BD$7:$BD$1843,BD69,$BT$7:$BT$1843,"&lt;="&amp;BT69),"")</f>
        <v>13611.3328754579</v>
      </c>
      <c r="BF69" s="58" t="n">
        <f aca="false">IF(BE69="",0,MAX(0,MIN(1,(IF(CC69="L1",Parameter!$H$5,IF(CC69="L23",Parameter!$H$6+Parameter!$H$7,Parameter!$H$5+Parameter!$H$6+Parameter!$H$7))-(BE69-BA69))/BA69)))</f>
        <v>1</v>
      </c>
      <c r="BG69" s="48" t="str">
        <f aca="false">IF(AI69&lt;=0,"",IF(CC69="Aussen","Aussenlager",IF(CC69="-","Nicht im Lift",IF(AN69&gt;=1,"Lift",IF(AN69&lt;=0,"Aussenlager","teilweise")))))</f>
        <v>Lift</v>
      </c>
      <c r="BH69" s="48" t="str">
        <f aca="false">IF(AR69&lt;=0,"",IF(CC69="Aussen","Aussenlager",IF(CC69="-","Nicht im Lift",IF(AW69&gt;=1,"Lift",IF(AW69&lt;=0,"Aussenlager","teilweise")))))</f>
        <v>Lift</v>
      </c>
      <c r="BI69" s="48" t="str">
        <f aca="false">IF(BA69&lt;=0,"",IF(CC69="Aussen","Aussenlager",IF(CC69="-","Nicht im Lift",IF(BF69&gt;=1,"Lift",IF(BF69&lt;=0,"Aussenlager","teilweise")))))</f>
        <v>Lift</v>
      </c>
      <c r="BJ69" s="48" t="str">
        <f aca="false">IF(A69="","",IF(BS69=1,"Neu; ","")&amp;IF(AND(BS69=0,BN69&lt;0),"negativer Bestand (Export "&amp;BN69&amp;"); ","")&amp;IF(J69&lt;=0,"Kein Verbrauch; ","")&amp;IF(CL69&gt;0,"Lift "&amp;W69&amp;" lt. Liftbericht (Fach "&amp;X69&amp;" Stk); ",IF(BX69=1,"Gebinde geschätzt ("&amp;T69&amp;"); ",IF(BW69=1,"Lose – Tablare geschätzt; ","")))&amp;IF(H69&gt;AT69,"Überbestand "&amp;ROUND(H69-AT69,0)&amp;" Stk / CHF "&amp;ROUND((H69-AT69)*G69,0)&amp;"; ","")&amp;IF(AND(CE69=1,CF69&lt;CG69),"MAX &lt; MB+LG; ","")&amp;IF(AND(CK69&gt;0,CJ69*10&gt;CK69),"zu hoch für Tablar; ","")&amp;IF(AND(BS69=0,OR(CE69=1,AA69&lt;&gt;"",U69&lt;&gt;"",V69&lt;&gt;"",AB69&lt;&gt;"")),"manuell übersteuert; ","")&amp;IF(AND(BW69=0,R69=0),"Gebinde unbekannt / Stellmass fehlt; ","")&amp;IF(AND(BW69=0,N(V69)&lt;=0,N(Q69)&lt;=0),"Menge pro Gebinde fehlt (Ist = 1 Gebinde); ","")&amp;BR69)</f>
        <v/>
      </c>
      <c r="BK69" s="48"/>
      <c r="BL69" s="48"/>
      <c r="BM69" s="55"/>
      <c r="BN69" s="50" t="n">
        <v>15</v>
      </c>
      <c r="BO69" s="50" t="n">
        <v>10</v>
      </c>
      <c r="BP69" s="49" t="n">
        <v>3779.35000000001</v>
      </c>
      <c r="BQ69" s="50" t="n">
        <v>30</v>
      </c>
      <c r="BR69" s="48"/>
      <c r="BS69" s="53" t="n">
        <v>0</v>
      </c>
      <c r="BT69" s="53" t="n">
        <v>69</v>
      </c>
      <c r="BU69" s="48" t="str">
        <f aca="false">IF(U69&lt;&gt;"",UPPER(TRIM(U69)),IF(BX69=1,UPPER(VLOOKUP(T69,Parameter!$I$27:$K$29,2,0)),IF(P69="","LOSE",P69)))</f>
        <v>S72</v>
      </c>
      <c r="BV69" s="50" t="n">
        <f aca="false">IF(BU69="LOSE",1,IF(N(V69)&gt;0,V69,IF(BX69=1,MAX(1,N(VLOOKUP(T69,Parameter!$I$27:$K$29,3,0)),H69,N(N69)),IF(N(Q69)&gt;0,Q69,MAX(1,H69)))))</f>
        <v>28</v>
      </c>
      <c r="BW69" s="53" t="n">
        <f aca="false">IF(BU69="LOSE",1,0)</f>
        <v>0</v>
      </c>
      <c r="BX69" s="53" t="n">
        <f aca="false">IF(AND(U69="",OR(P69="",P69="LOSE"),T69&lt;&gt;"",N(S69)&lt;=0,ISNUMBER(MATCH(T69,Parameter!$I$27:$I$29,0))),1,0)</f>
        <v>0</v>
      </c>
      <c r="BY69" s="53" t="n">
        <f aca="false">IF(CL69&gt;0,INDEX(Parameter!$H$5:$H$7,W69)/INDEX(Parameter!$E$5:$E$7,W69),IF(AND(BW69=0,N(IFERROR(VLOOKUP(BU69,'Gebinde-Kategorie'!$A$5:$N$45,14,0),0))&gt;0),VLOOKUP(BU69,'Gebinde-Kategorie'!$A$5:$N$45,14,0)*10+Parameter!$M$23,Parameter!$M$24))</f>
        <v>435</v>
      </c>
      <c r="BZ69" s="48" t="n">
        <f aca="false">IF(AND(Parameter!$B$19="Ja",E69&lt;&gt;"",ISNUMBER(MATCH(E69,Parameter!$I$35:$I$52,0))),VLOOKUP(E69,Parameter!$I$35:$J$52,2,0),IFERROR(VLOOKUP(D69,Parameter!$A$35:$C$64,2,0),"Nein"))</f>
        <v>1</v>
      </c>
      <c r="CA69" s="52" t="n">
        <f aca="false">IF(BW69=0,0,IF(N(S69)&gt;0,S69,IFERROR(VLOOKUP(D69,Parameter!$A$35:$C$64,3,0)+0,0)))</f>
        <v>0</v>
      </c>
      <c r="CB69" s="48" t="n">
        <f aca="false">IF(AA69&lt;&gt;"",AA69,Z69)</f>
        <v>1</v>
      </c>
      <c r="CC69" s="48" t="str">
        <f aca="false">IF(OR(CB69=1,CB69=2,CB69=3),IF(Parameter!$E$27="Ja","LIFT",IF(CB69=1,"L1","L23")),IF(CB69="Aussen","Aussen","-"))</f>
        <v>LIFT</v>
      </c>
      <c r="CD69" s="59" t="n">
        <f aca="false">IF(N(AB69)&gt;0,AB69,0)</f>
        <v>0</v>
      </c>
      <c r="CE69" s="53" t="n">
        <f aca="false">IF(ISNUMBER(AE69),1,0)</f>
        <v>0</v>
      </c>
      <c r="CF69" s="50" t="n">
        <f aca="false">N(AE69)</f>
        <v>0</v>
      </c>
      <c r="CG69" s="50" t="n">
        <f aca="false">N(M69)+N(N69)</f>
        <v>17</v>
      </c>
      <c r="CH69" s="50" t="n">
        <f aca="false">ROUNDUP(H69/BV69,0)</f>
        <v>1</v>
      </c>
      <c r="CI69" s="50" t="n">
        <f aca="false">ROUNDUP(CF69/BV69,0)</f>
        <v>0</v>
      </c>
      <c r="CJ69" s="53" t="n">
        <f aca="false">IF(BW69=1,0,IFERROR(VLOOKUP(BU69,'Gebinde-Kategorie'!$A$5:$N$45,5,0)+0,0))</f>
        <v>40</v>
      </c>
      <c r="CK69" s="53" t="n">
        <f aca="false">IFERROR(IF(OR(CB69=1,CB69=2,CB69=3),N(INDEX(Parameter!$I$5:$I$7,CB69)),0),0)</f>
        <v>0</v>
      </c>
      <c r="CL69" s="52" t="n">
        <f aca="false">IF(AND(Parameter!$B$21="Ja",ISNUMBER(W69),N(X69)&gt;0),IFERROR(N(INDEX(Parameter!$L$5:$L$7,W69))*INDEX(Parameter!$E$5:$E$7,W69)*X69/SUMIFS($X$7:$X$1843,$W$7:$W$1843,W69),0),0)</f>
        <v>0</v>
      </c>
    </row>
    <row r="70" customFormat="false" ht="15" hidden="false" customHeight="false" outlineLevel="0" collapsed="false">
      <c r="A70" s="48" t="s">
        <v>344</v>
      </c>
      <c r="B70" s="48" t="s">
        <v>345</v>
      </c>
      <c r="C70" s="48" t="s">
        <v>168</v>
      </c>
      <c r="D70" s="48" t="s">
        <v>177</v>
      </c>
      <c r="E70" s="48"/>
      <c r="F70" s="48" t="s">
        <v>222</v>
      </c>
      <c r="G70" s="49" t="n">
        <v>1842</v>
      </c>
      <c r="H70" s="50" t="n">
        <f aca="false">MAX(0,IF(AND(Parameter!$B$21="Ja",ISNUMBER(Y70)),Y70,IF(Parameter!$B$20="Jahresanfang 2025 + Export",BO70+BN70,BN70)))</f>
        <v>2</v>
      </c>
      <c r="I70" s="50" t="n">
        <f aca="false">H70*G70</f>
        <v>3684</v>
      </c>
      <c r="J70" s="50" t="n">
        <f aca="false">BQ70*Parameter!$B$18</f>
        <v>0</v>
      </c>
      <c r="K70" s="51" t="n">
        <v>1</v>
      </c>
      <c r="L70" s="52" t="n">
        <v>0</v>
      </c>
      <c r="M70" s="50" t="n">
        <v>0</v>
      </c>
      <c r="N70" s="50" t="n">
        <v>1</v>
      </c>
      <c r="O70" s="53" t="n">
        <v>70</v>
      </c>
      <c r="P70" s="48" t="s">
        <v>306</v>
      </c>
      <c r="Q70" s="50" t="n">
        <v>2</v>
      </c>
      <c r="R70" s="53" t="n">
        <f aca="false">IF(BW70=1,0,IFERROR(VLOOKUP(BU70,'Gebinde-Kategorie'!$A$5:$N$45,13,0)+0,0))</f>
        <v>26</v>
      </c>
      <c r="S70" s="54"/>
      <c r="T70" s="55"/>
      <c r="U70" s="55"/>
      <c r="V70" s="55"/>
      <c r="W70" s="48"/>
      <c r="X70" s="50"/>
      <c r="Y70" s="50"/>
      <c r="Z70" s="48" t="n">
        <f aca="false">IF(A70="","",IF(AND(Parameter!$B$21="Ja",ISNUMBER(W70)),W70,IF(BZ70="2+3",IF(ISNUMBER(SEARCH("grosser Artikel",BR70)),2,IFERROR(VLOOKUP(BU70,Parameter!$F$35:$G$64,2,0),2)),IF(OR(BZ70="Nein",BZ70=""),"-",BZ70))))</f>
        <v>3</v>
      </c>
      <c r="AA70" s="55"/>
      <c r="AB70" s="56"/>
      <c r="AC70" s="50" t="n">
        <f aca="false">AT70</f>
        <v>2</v>
      </c>
      <c r="AD70" s="50" t="n">
        <f aca="false">MAX(AT70,H70)</f>
        <v>2</v>
      </c>
      <c r="AE70" s="57"/>
      <c r="AF70" s="50" t="n">
        <f aca="false">IF(LEFT(Cockpit!$C$5,1)="A",H70,IF(CE70=1,CF70,IF(LEFT(Cockpit!$C$5,1)="B",AK70,MAX(AK70,H70))))</f>
        <v>2</v>
      </c>
      <c r="AG70" s="50" t="n">
        <f aca="false">IF(BW70=1,0,ROUNDUP(AF70/BV70,0))</f>
        <v>1</v>
      </c>
      <c r="AH70" s="52" t="n">
        <f aca="false">IF(CL70&gt;0,CL70*MAX(1,AF70/X70),IF(BW70=1,IF(AF70&lt;=0,0,CA70*MAX(1,IF(H70&gt;0,AF70/H70,1))),IF(R70&gt;0,AG70/R70,0))/MAX(0.1,N(Parameter!$M$21)))</f>
        <v>0.0384615384615385</v>
      </c>
      <c r="AI70" s="50" t="n">
        <f aca="false">AH70*BY70</f>
        <v>5.96153846153846</v>
      </c>
      <c r="AJ70" s="50" t="n">
        <f aca="false">AF70*G70</f>
        <v>3684</v>
      </c>
      <c r="AK70" s="50" t="n">
        <f aca="false">ROUNDUP(MAX(J70/IF(CD70&gt;0,CD70,MAX(0.1,N(Cockpit!$C$6))),CG70)/BV70,0)*BV70</f>
        <v>2</v>
      </c>
      <c r="AL70" s="51" t="n">
        <f aca="false">IF(AI70&gt;0,J70/AI70,-1)</f>
        <v>0</v>
      </c>
      <c r="AM70" s="51" t="n">
        <f aca="false">IF(AND(OR(CC70="L1",CC70="L23",CC70="LIFT"),AI70&gt;0),SUMIFS($AI$7:$AI$1843,$CC$7:$CC$1843,CC70,$AL$7:$AL$1843,"&gt;"&amp;AL70)+SUMIFS($AI$7:$AI$1843,$CC$7:$CC$1843,CC70,$AL$7:$AL$1843,AL70,$BT$7:$BT$1843,"&lt;="&amp;BT70),"")</f>
        <v>26506.9983314708</v>
      </c>
      <c r="AN70" s="58" t="n">
        <f aca="false">IF(AM70="",0,MAX(0,MIN(1,(IF(CC70="L1",Parameter!$H$5,IF(CC70="L23",Parameter!$H$6+Parameter!$H$7,Parameter!$H$5+Parameter!$H$6+Parameter!$H$7))-(AM70-AI70))/AI70)))</f>
        <v>1</v>
      </c>
      <c r="AO70" s="50" t="n">
        <f aca="false">IF(LEFT(Cockpit!$I$5,1)="A",H70,IF(CE70=1,CF70,IF(LEFT(Cockpit!$I$5,1)="B",AT70,MAX(AT70,H70))))</f>
        <v>2</v>
      </c>
      <c r="AP70" s="50" t="n">
        <f aca="false">IF(BW70=1,0,ROUNDUP(AO70/BV70,0))</f>
        <v>1</v>
      </c>
      <c r="AQ70" s="52" t="n">
        <f aca="false">IF(CL70&gt;0,CL70*MAX(1,AO70/X70),IF(BW70=1,IF(AO70&lt;=0,0,CA70*MAX(1,IF(H70&gt;0,AO70/H70,1))),IF(R70&gt;0,AP70/R70,0))/MAX(0.1,N(Parameter!$M$21)))</f>
        <v>0.0384615384615385</v>
      </c>
      <c r="AR70" s="50" t="n">
        <f aca="false">AQ70*BY70</f>
        <v>5.96153846153846</v>
      </c>
      <c r="AS70" s="50" t="n">
        <f aca="false">AO70*G70</f>
        <v>3684</v>
      </c>
      <c r="AT70" s="50" t="n">
        <f aca="false">ROUNDUP(MAX(J70/IF(CD70&gt;0,CD70,MAX(0.1,N(Cockpit!$I$6))),CG70)/BV70,0)*BV70</f>
        <v>2</v>
      </c>
      <c r="AU70" s="51" t="n">
        <f aca="false">IF(AR70&gt;0,J70/AR70,-1)</f>
        <v>0</v>
      </c>
      <c r="AV70" s="51" t="n">
        <f aca="false">IF(AND(OR(CC70="L1",CC70="L23",CC70="LIFT"),AR70&gt;0),SUMIFS($AR$7:$AR$1843,$CC$7:$CC$1843,CC70,$AU$7:$AU$1843,"&gt;"&amp;AU70)+SUMIFS($AR$7:$AR$1843,$CC$7:$CC$1843,CC70,$AU$7:$AU$1843,AU70,$BT$7:$BT$1843,"&lt;="&amp;BT70),"")</f>
        <v>37788.7715511889</v>
      </c>
      <c r="AW70" s="58" t="n">
        <f aca="false">IF(AV70="",0,MAX(0,MIN(1,(IF(CC70="L1",Parameter!$H$5,IF(CC70="L23",Parameter!$H$6+Parameter!$H$7,Parameter!$H$5+Parameter!$H$6+Parameter!$H$7))-(AV70-AR70))/AR70)))</f>
        <v>0</v>
      </c>
      <c r="AX70" s="50" t="n">
        <f aca="false">IF(LEFT(Cockpit!$O$5,1)="A",H70,IF(CE70=1,CF70,IF(LEFT(Cockpit!$O$5,1)="B",BC70,MAX(BC70,H70))))</f>
        <v>2</v>
      </c>
      <c r="AY70" s="50" t="n">
        <f aca="false">IF(BW70=1,0,ROUNDUP(AX70/BV70,0))</f>
        <v>1</v>
      </c>
      <c r="AZ70" s="52" t="n">
        <f aca="false">IF(CL70&gt;0,CL70*MAX(1,AX70/X70),IF(BW70=1,IF(AX70&lt;=0,0,CA70*MAX(1,IF(H70&gt;0,AX70/H70,1))),IF(R70&gt;0,AY70/R70,0))/MAX(0.1,N(Parameter!$M$21)))</f>
        <v>0.0384615384615385</v>
      </c>
      <c r="BA70" s="50" t="n">
        <f aca="false">AZ70*BY70</f>
        <v>5.96153846153846</v>
      </c>
      <c r="BB70" s="50" t="n">
        <f aca="false">AX70*G70</f>
        <v>3684</v>
      </c>
      <c r="BC70" s="50" t="n">
        <f aca="false">ROUNDUP(MAX(J70/IF(CD70&gt;0,CD70,MAX(0.1,N(Cockpit!$O$6))),CG70)/BV70,0)*BV70</f>
        <v>2</v>
      </c>
      <c r="BD70" s="51" t="n">
        <f aca="false">IF(BA70&gt;0,J70/BA70,-1)</f>
        <v>0</v>
      </c>
      <c r="BE70" s="51" t="n">
        <f aca="false">IF(AND(OR(CC70="L1",CC70="L23",CC70="LIFT"),BA70&gt;0),SUMIFS($BA$7:$BA$1843,$CC$7:$CC$1843,CC70,$BD$7:$BD$1843,"&gt;"&amp;BD70)+SUMIFS($BA$7:$BA$1843,$CC$7:$CC$1843,CC70,$BD$7:$BD$1843,BD70,$BT$7:$BT$1843,"&lt;="&amp;BT70),"")</f>
        <v>34463.7835930548</v>
      </c>
      <c r="BF70" s="58" t="n">
        <f aca="false">IF(BE70="",0,MAX(0,MIN(1,(IF(CC70="L1",Parameter!$H$5,IF(CC70="L23",Parameter!$H$6+Parameter!$H$7,Parameter!$H$5+Parameter!$H$6+Parameter!$H$7))-(BE70-BA70))/BA70)))</f>
        <v>1</v>
      </c>
      <c r="BG70" s="48" t="str">
        <f aca="false">IF(AI70&lt;=0,"",IF(CC70="Aussen","Aussenlager",IF(CC70="-","Nicht im Lift",IF(AN70&gt;=1,"Lift",IF(AN70&lt;=0,"Aussenlager","teilweise")))))</f>
        <v>Lift</v>
      </c>
      <c r="BH70" s="48" t="str">
        <f aca="false">IF(AR70&lt;=0,"",IF(CC70="Aussen","Aussenlager",IF(CC70="-","Nicht im Lift",IF(AW70&gt;=1,"Lift",IF(AW70&lt;=0,"Aussenlager","teilweise")))))</f>
        <v>Aussenlager</v>
      </c>
      <c r="BI70" s="48" t="str">
        <f aca="false">IF(BA70&lt;=0,"",IF(CC70="Aussen","Aussenlager",IF(CC70="-","Nicht im Lift",IF(BF70&gt;=1,"Lift",IF(BF70&lt;=0,"Aussenlager","teilweise")))))</f>
        <v>Lift</v>
      </c>
      <c r="BJ70" s="48" t="str">
        <f aca="false">IF(A70="","",IF(BS70=1,"Neu; ","")&amp;IF(AND(BS70=0,BN70&lt;0),"negativer Bestand (Export "&amp;BN70&amp;"); ","")&amp;IF(J70&lt;=0,"Kein Verbrauch; ","")&amp;IF(CL70&gt;0,"Lift "&amp;W70&amp;" lt. Liftbericht (Fach "&amp;X70&amp;" Stk); ",IF(BX70=1,"Gebinde geschätzt ("&amp;T70&amp;"); ",IF(BW70=1,"Lose – Tablare geschätzt; ","")))&amp;IF(H70&gt;AT70,"Überbestand "&amp;ROUND(H70-AT70,0)&amp;" Stk / CHF "&amp;ROUND((H70-AT70)*G70,0)&amp;"; ","")&amp;IF(AND(CE70=1,CF70&lt;CG70),"MAX &lt; MB+LG; ","")&amp;IF(AND(CK70&gt;0,CJ70*10&gt;CK70),"zu hoch für Tablar; ","")&amp;IF(AND(BS70=0,OR(CE70=1,AA70&lt;&gt;"",U70&lt;&gt;"",V70&lt;&gt;"",AB70&lt;&gt;"")),"manuell übersteuert; ","")&amp;IF(AND(BW70=0,R70=0),"Gebinde unbekannt / Stellmass fehlt; ","")&amp;IF(AND(BW70=0,N(V70)&lt;=0,N(Q70)&lt;=0),"Menge pro Gebinde fehlt (Ist = 1 Gebinde); ","")&amp;BR70)</f>
        <v>Kein Verbrauch; </v>
      </c>
      <c r="BK70" s="48"/>
      <c r="BL70" s="48"/>
      <c r="BM70" s="55"/>
      <c r="BN70" s="50" t="n">
        <v>2</v>
      </c>
      <c r="BO70" s="50" t="n">
        <v>0</v>
      </c>
      <c r="BP70" s="49" t="n">
        <v>3684</v>
      </c>
      <c r="BQ70" s="50" t="n">
        <v>0</v>
      </c>
      <c r="BR70" s="48"/>
      <c r="BS70" s="53" t="n">
        <v>0</v>
      </c>
      <c r="BT70" s="53" t="n">
        <v>70</v>
      </c>
      <c r="BU70" s="48" t="str">
        <f aca="false">IF(U70&lt;&gt;"",UPPER(TRIM(U70)),IF(BX70=1,UPPER(VLOOKUP(T70,Parameter!$I$27:$K$29,2,0)),IF(P70="","LOSE",P70)))</f>
        <v>S51</v>
      </c>
      <c r="BV70" s="50" t="n">
        <f aca="false">IF(BU70="LOSE",1,IF(N(V70)&gt;0,V70,IF(BX70=1,MAX(1,N(VLOOKUP(T70,Parameter!$I$27:$K$29,3,0)),H70,N(N70)),IF(N(Q70)&gt;0,Q70,MAX(1,H70)))))</f>
        <v>2</v>
      </c>
      <c r="BW70" s="53" t="n">
        <f aca="false">IF(BU70="LOSE",1,0)</f>
        <v>0</v>
      </c>
      <c r="BX70" s="53" t="n">
        <f aca="false">IF(AND(U70="",OR(P70="",P70="LOSE"),T70&lt;&gt;"",N(S70)&lt;=0,ISNUMBER(MATCH(T70,Parameter!$I$27:$I$29,0))),1,0)</f>
        <v>0</v>
      </c>
      <c r="BY70" s="53" t="n">
        <f aca="false">IF(CL70&gt;0,INDEX(Parameter!$H$5:$H$7,W70)/INDEX(Parameter!$E$5:$E$7,W70),IF(AND(BW70=0,N(IFERROR(VLOOKUP(BU70,'Gebinde-Kategorie'!$A$5:$N$45,14,0),0))&gt;0),VLOOKUP(BU70,'Gebinde-Kategorie'!$A$5:$N$45,14,0)*10+Parameter!$M$23,Parameter!$M$24))</f>
        <v>155</v>
      </c>
      <c r="BZ70" s="48" t="str">
        <f aca="false">IF(AND(Parameter!$B$19="Ja",E70&lt;&gt;"",ISNUMBER(MATCH(E70,Parameter!$I$35:$I$52,0))),VLOOKUP(E70,Parameter!$I$35:$J$52,2,0),IFERROR(VLOOKUP(D70,Parameter!$A$35:$C$64,2,0),"Nein"))</f>
        <v>2+3</v>
      </c>
      <c r="CA70" s="52" t="n">
        <f aca="false">IF(BW70=0,0,IF(N(S70)&gt;0,S70,IFERROR(VLOOKUP(D70,Parameter!$A$35:$C$64,3,0)+0,0)))</f>
        <v>0</v>
      </c>
      <c r="CB70" s="48" t="n">
        <f aca="false">IF(AA70&lt;&gt;"",AA70,Z70)</f>
        <v>3</v>
      </c>
      <c r="CC70" s="48" t="str">
        <f aca="false">IF(OR(CB70=1,CB70=2,CB70=3),IF(Parameter!$E$27="Ja","LIFT",IF(CB70=1,"L1","L23")),IF(CB70="Aussen","Aussen","-"))</f>
        <v>LIFT</v>
      </c>
      <c r="CD70" s="59" t="n">
        <f aca="false">IF(N(AB70)&gt;0,AB70,0)</f>
        <v>0</v>
      </c>
      <c r="CE70" s="53" t="n">
        <f aca="false">IF(ISNUMBER(AE70),1,0)</f>
        <v>0</v>
      </c>
      <c r="CF70" s="50" t="n">
        <f aca="false">N(AE70)</f>
        <v>0</v>
      </c>
      <c r="CG70" s="50" t="n">
        <f aca="false">N(M70)+N(N70)</f>
        <v>1</v>
      </c>
      <c r="CH70" s="50" t="n">
        <f aca="false">ROUNDUP(H70/BV70,0)</f>
        <v>1</v>
      </c>
      <c r="CI70" s="50" t="n">
        <f aca="false">ROUNDUP(CF70/BV70,0)</f>
        <v>0</v>
      </c>
      <c r="CJ70" s="53" t="n">
        <f aca="false">IF(BW70=1,0,IFERROR(VLOOKUP(BU70,'Gebinde-Kategorie'!$A$5:$N$45,5,0)+0,0))</f>
        <v>11</v>
      </c>
      <c r="CK70" s="53" t="n">
        <f aca="false">IFERROR(IF(OR(CB70=1,CB70=2,CB70=3),N(INDEX(Parameter!$I$5:$I$7,CB70)),0),0)</f>
        <v>0</v>
      </c>
      <c r="CL70" s="52" t="n">
        <f aca="false">IF(AND(Parameter!$B$21="Ja",ISNUMBER(W70),N(X70)&gt;0),IFERROR(N(INDEX(Parameter!$L$5:$L$7,W70))*INDEX(Parameter!$E$5:$E$7,W70)*X70/SUMIFS($X$7:$X$1843,$W$7:$W$1843,W70),0),0)</f>
        <v>0</v>
      </c>
    </row>
    <row r="71" customFormat="false" ht="15" hidden="false" customHeight="false" outlineLevel="0" collapsed="false">
      <c r="A71" s="48" t="s">
        <v>346</v>
      </c>
      <c r="B71" s="48" t="s">
        <v>347</v>
      </c>
      <c r="C71" s="48" t="s">
        <v>168</v>
      </c>
      <c r="D71" s="48" t="s">
        <v>177</v>
      </c>
      <c r="E71" s="48" t="s">
        <v>170</v>
      </c>
      <c r="F71" s="48" t="s">
        <v>222</v>
      </c>
      <c r="G71" s="49" t="n">
        <v>136.73</v>
      </c>
      <c r="H71" s="50" t="n">
        <f aca="false">MAX(0,IF(AND(Parameter!$B$21="Ja",ISNUMBER(Y71)),Y71,IF(Parameter!$B$20="Jahresanfang 2025 + Export",BO71+BN71,BN71)))</f>
        <v>31</v>
      </c>
      <c r="I71" s="50" t="n">
        <f aca="false">H71*G71</f>
        <v>4238.63</v>
      </c>
      <c r="J71" s="50" t="n">
        <f aca="false">BQ71*Parameter!$B$18</f>
        <v>30</v>
      </c>
      <c r="K71" s="51" t="n">
        <v>15</v>
      </c>
      <c r="L71" s="52" t="n">
        <v>2</v>
      </c>
      <c r="M71" s="50" t="n">
        <v>1</v>
      </c>
      <c r="N71" s="50" t="n">
        <v>30</v>
      </c>
      <c r="O71" s="53" t="n">
        <v>21</v>
      </c>
      <c r="P71" s="48" t="s">
        <v>178</v>
      </c>
      <c r="Q71" s="50" t="n">
        <v>24</v>
      </c>
      <c r="R71" s="53" t="n">
        <f aca="false">IF(BW71=1,0,IFERROR(VLOOKUP(BU71,'Gebinde-Kategorie'!$A$5:$N$45,13,0)+0,0))</f>
        <v>6</v>
      </c>
      <c r="S71" s="54"/>
      <c r="T71" s="55"/>
      <c r="U71" s="55"/>
      <c r="V71" s="55"/>
      <c r="W71" s="48"/>
      <c r="X71" s="50"/>
      <c r="Y71" s="50"/>
      <c r="Z71" s="48" t="n">
        <f aca="false">IF(A71="","",IF(AND(Parameter!$B$21="Ja",ISNUMBER(W71)),W71,IF(BZ71="2+3",IF(ISNUMBER(SEARCH("grosser Artikel",BR71)),2,IFERROR(VLOOKUP(BU71,Parameter!$F$35:$G$64,2,0),2)),IF(OR(BZ71="Nein",BZ71=""),"-",BZ71))))</f>
        <v>1</v>
      </c>
      <c r="AA71" s="55"/>
      <c r="AB71" s="56"/>
      <c r="AC71" s="50" t="n">
        <f aca="false">AT71</f>
        <v>48</v>
      </c>
      <c r="AD71" s="50" t="n">
        <f aca="false">MAX(AT71,H71)</f>
        <v>48</v>
      </c>
      <c r="AE71" s="57"/>
      <c r="AF71" s="50" t="n">
        <f aca="false">IF(LEFT(Cockpit!$C$5,1)="A",H71,IF(CE71=1,CF71,IF(LEFT(Cockpit!$C$5,1)="B",AK71,MAX(AK71,H71))))</f>
        <v>31</v>
      </c>
      <c r="AG71" s="50" t="n">
        <f aca="false">IF(BW71=1,0,ROUNDUP(AF71/BV71,0))</f>
        <v>2</v>
      </c>
      <c r="AH71" s="52" t="n">
        <f aca="false">IF(CL71&gt;0,CL71*MAX(1,AF71/X71),IF(BW71=1,IF(AF71&lt;=0,0,CA71*MAX(1,IF(H71&gt;0,AF71/H71,1))),IF(R71&gt;0,AG71/R71,0))/MAX(0.1,N(Parameter!$M$21)))</f>
        <v>0.333333333333333</v>
      </c>
      <c r="AI71" s="50" t="n">
        <f aca="false">AH71*BY71</f>
        <v>78.3333333333333</v>
      </c>
      <c r="AJ71" s="50" t="n">
        <f aca="false">AF71*G71</f>
        <v>4238.63</v>
      </c>
      <c r="AK71" s="50" t="n">
        <f aca="false">ROUNDUP(MAX(J71/IF(CD71&gt;0,CD71,MAX(0.1,N(Cockpit!$C$6))),CG71)/BV71,0)*BV71</f>
        <v>48</v>
      </c>
      <c r="AL71" s="51" t="n">
        <f aca="false">IF(AI71&gt;0,J71/AI71,-1)</f>
        <v>0.382978723404255</v>
      </c>
      <c r="AM71" s="51" t="n">
        <f aca="false">IF(AND(OR(CC71="L1",CC71="L23",CC71="LIFT"),AI71&gt;0),SUMIFS($AI$7:$AI$1843,$CC$7:$CC$1843,CC71,$AL$7:$AL$1843,"&gt;"&amp;AL71)+SUMIFS($AI$7:$AI$1843,$CC$7:$CC$1843,CC71,$AL$7:$AL$1843,AL71,$BT$7:$BT$1843,"&lt;="&amp;BT71),"")</f>
        <v>10380.9999715445</v>
      </c>
      <c r="AN71" s="58" t="n">
        <f aca="false">IF(AM71="",0,MAX(0,MIN(1,(IF(CC71="L1",Parameter!$H$5,IF(CC71="L23",Parameter!$H$6+Parameter!$H$7,Parameter!$H$5+Parameter!$H$6+Parameter!$H$7))-(AM71-AI71))/AI71)))</f>
        <v>1</v>
      </c>
      <c r="AO71" s="50" t="n">
        <f aca="false">IF(LEFT(Cockpit!$I$5,1)="A",H71,IF(CE71=1,CF71,IF(LEFT(Cockpit!$I$5,1)="B",AT71,MAX(AT71,H71))))</f>
        <v>48</v>
      </c>
      <c r="AP71" s="50" t="n">
        <f aca="false">IF(BW71=1,0,ROUNDUP(AO71/BV71,0))</f>
        <v>2</v>
      </c>
      <c r="AQ71" s="52" t="n">
        <f aca="false">IF(CL71&gt;0,CL71*MAX(1,AO71/X71),IF(BW71=1,IF(AO71&lt;=0,0,CA71*MAX(1,IF(H71&gt;0,AO71/H71,1))),IF(R71&gt;0,AP71/R71,0))/MAX(0.1,N(Parameter!$M$21)))</f>
        <v>0.333333333333333</v>
      </c>
      <c r="AR71" s="50" t="n">
        <f aca="false">AQ71*BY71</f>
        <v>78.3333333333333</v>
      </c>
      <c r="AS71" s="50" t="n">
        <f aca="false">AO71*G71</f>
        <v>6563.04</v>
      </c>
      <c r="AT71" s="50" t="n">
        <f aca="false">ROUNDUP(MAX(J71/IF(CD71&gt;0,CD71,MAX(0.1,N(Cockpit!$I$6))),CG71)/BV71,0)*BV71</f>
        <v>48</v>
      </c>
      <c r="AU71" s="51" t="n">
        <f aca="false">IF(AR71&gt;0,J71/AR71,-1)</f>
        <v>0.382978723404255</v>
      </c>
      <c r="AV71" s="51" t="n">
        <f aca="false">IF(AND(OR(CC71="L1",CC71="L23",CC71="LIFT"),AR71&gt;0),SUMIFS($AR$7:$AR$1843,$CC$7:$CC$1843,CC71,$AU$7:$AU$1843,"&gt;"&amp;AU71)+SUMIFS($AR$7:$AR$1843,$CC$7:$CC$1843,CC71,$AU$7:$AU$1843,AU71,$BT$7:$BT$1843,"&lt;="&amp;BT71),"")</f>
        <v>15283.8649267399</v>
      </c>
      <c r="AW71" s="58" t="n">
        <f aca="false">IF(AV71="",0,MAX(0,MIN(1,(IF(CC71="L1",Parameter!$H$5,IF(CC71="L23",Parameter!$H$6+Parameter!$H$7,Parameter!$H$5+Parameter!$H$6+Parameter!$H$7))-(AV71-AR71))/AR71)))</f>
        <v>1</v>
      </c>
      <c r="AX71" s="50" t="n">
        <f aca="false">IF(LEFT(Cockpit!$O$5,1)="A",H71,IF(CE71=1,CF71,IF(LEFT(Cockpit!$O$5,1)="B",BC71,MAX(BC71,H71))))</f>
        <v>48</v>
      </c>
      <c r="AY71" s="50" t="n">
        <f aca="false">IF(BW71=1,0,ROUNDUP(AX71/BV71,0))</f>
        <v>2</v>
      </c>
      <c r="AZ71" s="52" t="n">
        <f aca="false">IF(CL71&gt;0,CL71*MAX(1,AX71/X71),IF(BW71=1,IF(AX71&lt;=0,0,CA71*MAX(1,IF(H71&gt;0,AX71/H71,1))),IF(R71&gt;0,AY71/R71,0))/MAX(0.1,N(Parameter!$M$21)))</f>
        <v>0.333333333333333</v>
      </c>
      <c r="BA71" s="50" t="n">
        <f aca="false">AZ71*BY71</f>
        <v>78.3333333333333</v>
      </c>
      <c r="BB71" s="50" t="n">
        <f aca="false">AX71*G71</f>
        <v>6563.04</v>
      </c>
      <c r="BC71" s="50" t="n">
        <f aca="false">ROUNDUP(MAX(J71/IF(CD71&gt;0,CD71,MAX(0.1,N(Cockpit!$O$6))),CG71)/BV71,0)*BV71</f>
        <v>48</v>
      </c>
      <c r="BD71" s="51" t="n">
        <f aca="false">IF(BA71&gt;0,J71/BA71,-1)</f>
        <v>0.382978723404255</v>
      </c>
      <c r="BE71" s="51" t="n">
        <f aca="false">IF(AND(OR(CC71="L1",CC71="L23",CC71="LIFT"),BA71&gt;0),SUMIFS($BA$7:$BA$1843,$CC$7:$CC$1843,CC71,$BD$7:$BD$1843,"&gt;"&amp;BD71)+SUMIFS($BA$7:$BA$1843,$CC$7:$CC$1843,CC71,$BD$7:$BD$1843,BD71,$BT$7:$BT$1843,"&lt;="&amp;BT71),"")</f>
        <v>14269.521978022</v>
      </c>
      <c r="BF71" s="58" t="n">
        <f aca="false">IF(BE71="",0,MAX(0,MIN(1,(IF(CC71="L1",Parameter!$H$5,IF(CC71="L23",Parameter!$H$6+Parameter!$H$7,Parameter!$H$5+Parameter!$H$6+Parameter!$H$7))-(BE71-BA71))/BA71)))</f>
        <v>1</v>
      </c>
      <c r="BG71" s="48" t="str">
        <f aca="false">IF(AI71&lt;=0,"",IF(CC71="Aussen","Aussenlager",IF(CC71="-","Nicht im Lift",IF(AN71&gt;=1,"Lift",IF(AN71&lt;=0,"Aussenlager","teilweise")))))</f>
        <v>Lift</v>
      </c>
      <c r="BH71" s="48" t="str">
        <f aca="false">IF(AR71&lt;=0,"",IF(CC71="Aussen","Aussenlager",IF(CC71="-","Nicht im Lift",IF(AW71&gt;=1,"Lift",IF(AW71&lt;=0,"Aussenlager","teilweise")))))</f>
        <v>Lift</v>
      </c>
      <c r="BI71" s="48" t="str">
        <f aca="false">IF(BA71&lt;=0,"",IF(CC71="Aussen","Aussenlager",IF(CC71="-","Nicht im Lift",IF(BF71&gt;=1,"Lift",IF(BF71&lt;=0,"Aussenlager","teilweise")))))</f>
        <v>Lift</v>
      </c>
      <c r="BJ71" s="48" t="str">
        <f aca="false">IF(A71="","",IF(BS71=1,"Neu; ","")&amp;IF(AND(BS71=0,BN71&lt;0),"negativer Bestand (Export "&amp;BN71&amp;"); ","")&amp;IF(J71&lt;=0,"Kein Verbrauch; ","")&amp;IF(CL71&gt;0,"Lift "&amp;W71&amp;" lt. Liftbericht (Fach "&amp;X71&amp;" Stk); ",IF(BX71=1,"Gebinde geschätzt ("&amp;T71&amp;"); ",IF(BW71=1,"Lose – Tablare geschätzt; ","")))&amp;IF(H71&gt;AT71,"Überbestand "&amp;ROUND(H71-AT71,0)&amp;" Stk / CHF "&amp;ROUND((H71-AT71)*G71,0)&amp;"; ","")&amp;IF(AND(CE71=1,CF71&lt;CG71),"MAX &lt; MB+LG; ","")&amp;IF(AND(CK71&gt;0,CJ71*10&gt;CK71),"zu hoch für Tablar; ","")&amp;IF(AND(BS71=0,OR(CE71=1,AA71&lt;&gt;"",U71&lt;&gt;"",V71&lt;&gt;"",AB71&lt;&gt;"")),"manuell übersteuert; ","")&amp;IF(AND(BW71=0,R71=0),"Gebinde unbekannt / Stellmass fehlt; ","")&amp;IF(AND(BW71=0,N(V71)&lt;=0,N(Q71)&lt;=0),"Menge pro Gebinde fehlt (Ist = 1 Gebinde); ","")&amp;BR71)</f>
        <v/>
      </c>
      <c r="BK71" s="48" t="s">
        <v>348</v>
      </c>
      <c r="BL71" s="48" t="s">
        <v>349</v>
      </c>
      <c r="BM71" s="55"/>
      <c r="BN71" s="50" t="n">
        <v>26</v>
      </c>
      <c r="BO71" s="50" t="n">
        <v>5</v>
      </c>
      <c r="BP71" s="49" t="n">
        <v>3578.48</v>
      </c>
      <c r="BQ71" s="50" t="n">
        <v>30</v>
      </c>
      <c r="BR71" s="48"/>
      <c r="BS71" s="53" t="n">
        <v>0</v>
      </c>
      <c r="BT71" s="53" t="n">
        <v>71</v>
      </c>
      <c r="BU71" s="48" t="str">
        <f aca="false">IF(U71&lt;&gt;"",UPPER(TRIM(U71)),IF(BX71=1,UPPER(VLOOKUP(T71,Parameter!$I$27:$K$29,2,0)),IF(P71="","LOSE",P71)))</f>
        <v>S71</v>
      </c>
      <c r="BV71" s="50" t="n">
        <f aca="false">IF(BU71="LOSE",1,IF(N(V71)&gt;0,V71,IF(BX71=1,MAX(1,N(VLOOKUP(T71,Parameter!$I$27:$K$29,3,0)),H71,N(N71)),IF(N(Q71)&gt;0,Q71,MAX(1,H71)))))</f>
        <v>24</v>
      </c>
      <c r="BW71" s="53" t="n">
        <f aca="false">IF(BU71="LOSE",1,0)</f>
        <v>0</v>
      </c>
      <c r="BX71" s="53" t="n">
        <f aca="false">IF(AND(U71="",OR(P71="",P71="LOSE"),T71&lt;&gt;"",N(S71)&lt;=0,ISNUMBER(MATCH(T71,Parameter!$I$27:$I$29,0))),1,0)</f>
        <v>0</v>
      </c>
      <c r="BY71" s="53" t="n">
        <f aca="false">IF(CL71&gt;0,INDEX(Parameter!$H$5:$H$7,W71)/INDEX(Parameter!$E$5:$E$7,W71),IF(AND(BW71=0,N(IFERROR(VLOOKUP(BU71,'Gebinde-Kategorie'!$A$5:$N$45,14,0),0))&gt;0),VLOOKUP(BU71,'Gebinde-Kategorie'!$A$5:$N$45,14,0)*10+Parameter!$M$23,Parameter!$M$24))</f>
        <v>235</v>
      </c>
      <c r="BZ71" s="48" t="n">
        <f aca="false">IF(AND(Parameter!$B$19="Ja",E71&lt;&gt;"",ISNUMBER(MATCH(E71,Parameter!$I$35:$I$52,0))),VLOOKUP(E71,Parameter!$I$35:$J$52,2,0),IFERROR(VLOOKUP(D71,Parameter!$A$35:$C$64,2,0),"Nein"))</f>
        <v>1</v>
      </c>
      <c r="CA71" s="52" t="n">
        <f aca="false">IF(BW71=0,0,IF(N(S71)&gt;0,S71,IFERROR(VLOOKUP(D71,Parameter!$A$35:$C$64,3,0)+0,0)))</f>
        <v>0</v>
      </c>
      <c r="CB71" s="48" t="n">
        <f aca="false">IF(AA71&lt;&gt;"",AA71,Z71)</f>
        <v>1</v>
      </c>
      <c r="CC71" s="48" t="str">
        <f aca="false">IF(OR(CB71=1,CB71=2,CB71=3),IF(Parameter!$E$27="Ja","LIFT",IF(CB71=1,"L1","L23")),IF(CB71="Aussen","Aussen","-"))</f>
        <v>LIFT</v>
      </c>
      <c r="CD71" s="59" t="n">
        <f aca="false">IF(N(AB71)&gt;0,AB71,0)</f>
        <v>0</v>
      </c>
      <c r="CE71" s="53" t="n">
        <f aca="false">IF(ISNUMBER(AE71),1,0)</f>
        <v>0</v>
      </c>
      <c r="CF71" s="50" t="n">
        <f aca="false">N(AE71)</f>
        <v>0</v>
      </c>
      <c r="CG71" s="50" t="n">
        <f aca="false">N(M71)+N(N71)</f>
        <v>31</v>
      </c>
      <c r="CH71" s="50" t="n">
        <f aca="false">ROUNDUP(H71/BV71,0)</f>
        <v>2</v>
      </c>
      <c r="CI71" s="50" t="n">
        <f aca="false">ROUNDUP(CF71/BV71,0)</f>
        <v>0</v>
      </c>
      <c r="CJ71" s="53" t="n">
        <f aca="false">IF(BW71=1,0,IFERROR(VLOOKUP(BU71,'Gebinde-Kategorie'!$A$5:$N$45,5,0)+0,0))</f>
        <v>20</v>
      </c>
      <c r="CK71" s="53" t="n">
        <f aca="false">IFERROR(IF(OR(CB71=1,CB71=2,CB71=3),N(INDEX(Parameter!$I$5:$I$7,CB71)),0),0)</f>
        <v>0</v>
      </c>
      <c r="CL71" s="52" t="n">
        <f aca="false">IF(AND(Parameter!$B$21="Ja",ISNUMBER(W71),N(X71)&gt;0),IFERROR(N(INDEX(Parameter!$L$5:$L$7,W71))*INDEX(Parameter!$E$5:$E$7,W71)*X71/SUMIFS($X$7:$X$1843,$W$7:$W$1843,W71),0),0)</f>
        <v>0</v>
      </c>
    </row>
    <row r="72" customFormat="false" ht="15" hidden="false" customHeight="false" outlineLevel="0" collapsed="false">
      <c r="A72" s="48" t="s">
        <v>350</v>
      </c>
      <c r="B72" s="48" t="s">
        <v>351</v>
      </c>
      <c r="C72" s="48" t="s">
        <v>168</v>
      </c>
      <c r="D72" s="48" t="s">
        <v>177</v>
      </c>
      <c r="E72" s="48" t="s">
        <v>189</v>
      </c>
      <c r="F72" s="48" t="s">
        <v>222</v>
      </c>
      <c r="G72" s="49" t="n">
        <v>176.61</v>
      </c>
      <c r="H72" s="50" t="n">
        <f aca="false">MAX(0,IF(AND(Parameter!$B$21="Ja",ISNUMBER(Y72)),Y72,IF(Parameter!$B$20="Jahresanfang 2025 + Export",BO72+BN72,BN72)))</f>
        <v>46</v>
      </c>
      <c r="I72" s="50" t="n">
        <f aca="false">H72*G72</f>
        <v>8124.06</v>
      </c>
      <c r="J72" s="50" t="n">
        <f aca="false">BQ72*Parameter!$B$18</f>
        <v>75</v>
      </c>
      <c r="K72" s="51" t="n">
        <v>46.5</v>
      </c>
      <c r="L72" s="52" t="n">
        <v>1.61290322580645</v>
      </c>
      <c r="M72" s="50" t="n">
        <v>15</v>
      </c>
      <c r="N72" s="50" t="n">
        <v>35</v>
      </c>
      <c r="O72" s="53" t="n">
        <v>60</v>
      </c>
      <c r="P72" s="48" t="s">
        <v>352</v>
      </c>
      <c r="Q72" s="50" t="n">
        <v>38</v>
      </c>
      <c r="R72" s="53" t="n">
        <f aca="false">IF(BW72=1,0,IFERROR(VLOOKUP(BU72,'Gebinde-Kategorie'!$A$5:$N$45,13,0)+0,0))</f>
        <v>4</v>
      </c>
      <c r="S72" s="54"/>
      <c r="T72" s="55"/>
      <c r="U72" s="55"/>
      <c r="V72" s="55"/>
      <c r="W72" s="48"/>
      <c r="X72" s="50"/>
      <c r="Y72" s="50"/>
      <c r="Z72" s="48" t="n">
        <f aca="false">IF(A72="","",IF(AND(Parameter!$B$21="Ja",ISNUMBER(W72)),W72,IF(BZ72="2+3",IF(ISNUMBER(SEARCH("grosser Artikel",BR72)),2,IFERROR(VLOOKUP(BU72,Parameter!$F$35:$G$64,2,0),2)),IF(OR(BZ72="Nein",BZ72=""),"-",BZ72))))</f>
        <v>2</v>
      </c>
      <c r="AA72" s="55"/>
      <c r="AB72" s="56"/>
      <c r="AC72" s="50" t="n">
        <f aca="false">AT72</f>
        <v>76</v>
      </c>
      <c r="AD72" s="50" t="n">
        <f aca="false">MAX(AT72,H72)</f>
        <v>76</v>
      </c>
      <c r="AE72" s="57"/>
      <c r="AF72" s="50" t="n">
        <f aca="false">IF(LEFT(Cockpit!$C$5,1)="A",H72,IF(CE72=1,CF72,IF(LEFT(Cockpit!$C$5,1)="B",AK72,MAX(AK72,H72))))</f>
        <v>46</v>
      </c>
      <c r="AG72" s="50" t="n">
        <f aca="false">IF(BW72=1,0,ROUNDUP(AF72/BV72,0))</f>
        <v>2</v>
      </c>
      <c r="AH72" s="52" t="n">
        <f aca="false">IF(CL72&gt;0,CL72*MAX(1,AF72/X72),IF(BW72=1,IF(AF72&lt;=0,0,CA72*MAX(1,IF(H72&gt;0,AF72/H72,1))),IF(R72&gt;0,AG72/R72,0))/MAX(0.1,N(Parameter!$M$21)))</f>
        <v>0.5</v>
      </c>
      <c r="AI72" s="50" t="n">
        <f aca="false">AH72*BY72</f>
        <v>217.5</v>
      </c>
      <c r="AJ72" s="50" t="n">
        <f aca="false">AF72*G72</f>
        <v>8124.06</v>
      </c>
      <c r="AK72" s="50" t="n">
        <f aca="false">ROUNDUP(MAX(J72/IF(CD72&gt;0,CD72,MAX(0.1,N(Cockpit!$C$6))),CG72)/BV72,0)*BV72</f>
        <v>76</v>
      </c>
      <c r="AL72" s="51" t="n">
        <f aca="false">IF(AI72&gt;0,J72/AI72,-1)</f>
        <v>0.344827586206897</v>
      </c>
      <c r="AM72" s="51" t="n">
        <f aca="false">IF(AND(OR(CC72="L1",CC72="L23",CC72="LIFT"),AI72&gt;0),SUMIFS($AI$7:$AI$1843,$CC$7:$CC$1843,CC72,$AL$7:$AL$1843,"&gt;"&amp;AL72)+SUMIFS($AI$7:$AI$1843,$CC$7:$CC$1843,CC72,$AL$7:$AL$1843,AL72,$BT$7:$BT$1843,"&lt;="&amp;BT72),"")</f>
        <v>10934.7499715445</v>
      </c>
      <c r="AN72" s="58" t="n">
        <f aca="false">IF(AM72="",0,MAX(0,MIN(1,(IF(CC72="L1",Parameter!$H$5,IF(CC72="L23",Parameter!$H$6+Parameter!$H$7,Parameter!$H$5+Parameter!$H$6+Parameter!$H$7))-(AM72-AI72))/AI72)))</f>
        <v>1</v>
      </c>
      <c r="AO72" s="50" t="n">
        <f aca="false">IF(LEFT(Cockpit!$I$5,1)="A",H72,IF(CE72=1,CF72,IF(LEFT(Cockpit!$I$5,1)="B",AT72,MAX(AT72,H72))))</f>
        <v>76</v>
      </c>
      <c r="AP72" s="50" t="n">
        <f aca="false">IF(BW72=1,0,ROUNDUP(AO72/BV72,0))</f>
        <v>2</v>
      </c>
      <c r="AQ72" s="52" t="n">
        <f aca="false">IF(CL72&gt;0,CL72*MAX(1,AO72/X72),IF(BW72=1,IF(AO72&lt;=0,0,CA72*MAX(1,IF(H72&gt;0,AO72/H72,1))),IF(R72&gt;0,AP72/R72,0))/MAX(0.1,N(Parameter!$M$21)))</f>
        <v>0.5</v>
      </c>
      <c r="AR72" s="50" t="n">
        <f aca="false">AQ72*BY72</f>
        <v>217.5</v>
      </c>
      <c r="AS72" s="50" t="n">
        <f aca="false">AO72*G72</f>
        <v>13422.36</v>
      </c>
      <c r="AT72" s="50" t="n">
        <f aca="false">ROUNDUP(MAX(J72/IF(CD72&gt;0,CD72,MAX(0.1,N(Cockpit!$I$6))),CG72)/BV72,0)*BV72</f>
        <v>76</v>
      </c>
      <c r="AU72" s="51" t="n">
        <f aca="false">IF(AR72&gt;0,J72/AR72,-1)</f>
        <v>0.344827586206897</v>
      </c>
      <c r="AV72" s="51" t="n">
        <f aca="false">IF(AND(OR(CC72="L1",CC72="L23",CC72="LIFT"),AR72&gt;0),SUMIFS($AR$7:$AR$1843,$CC$7:$CC$1843,CC72,$AU$7:$AU$1843,"&gt;"&amp;AU72)+SUMIFS($AR$7:$AR$1843,$CC$7:$CC$1843,CC72,$AU$7:$AU$1843,AU72,$BT$7:$BT$1843,"&lt;="&amp;BT72),"")</f>
        <v>16246.1405677656</v>
      </c>
      <c r="AW72" s="58" t="n">
        <f aca="false">IF(AV72="",0,MAX(0,MIN(1,(IF(CC72="L1",Parameter!$H$5,IF(CC72="L23",Parameter!$H$6+Parameter!$H$7,Parameter!$H$5+Parameter!$H$6+Parameter!$H$7))-(AV72-AR72))/AR72)))</f>
        <v>1</v>
      </c>
      <c r="AX72" s="50" t="n">
        <f aca="false">IF(LEFT(Cockpit!$O$5,1)="A",H72,IF(CE72=1,CF72,IF(LEFT(Cockpit!$O$5,1)="B",BC72,MAX(BC72,H72))))</f>
        <v>76</v>
      </c>
      <c r="AY72" s="50" t="n">
        <f aca="false">IF(BW72=1,0,ROUNDUP(AX72/BV72,0))</f>
        <v>2</v>
      </c>
      <c r="AZ72" s="52" t="n">
        <f aca="false">IF(CL72&gt;0,CL72*MAX(1,AX72/X72),IF(BW72=1,IF(AX72&lt;=0,0,CA72*MAX(1,IF(H72&gt;0,AX72/H72,1))),IF(R72&gt;0,AY72/R72,0))/MAX(0.1,N(Parameter!$M$21)))</f>
        <v>0.5</v>
      </c>
      <c r="BA72" s="50" t="n">
        <f aca="false">AZ72*BY72</f>
        <v>217.5</v>
      </c>
      <c r="BB72" s="50" t="n">
        <f aca="false">AX72*G72</f>
        <v>13422.36</v>
      </c>
      <c r="BC72" s="50" t="n">
        <f aca="false">ROUNDUP(MAX(J72/IF(CD72&gt;0,CD72,MAX(0.1,N(Cockpit!$O$6))),CG72)/BV72,0)*BV72</f>
        <v>76</v>
      </c>
      <c r="BD72" s="51" t="n">
        <f aca="false">IF(BA72&gt;0,J72/BA72,-1)</f>
        <v>0.344827586206897</v>
      </c>
      <c r="BE72" s="51" t="n">
        <f aca="false">IF(AND(OR(CC72="L1",CC72="L23",CC72="LIFT"),BA72&gt;0),SUMIFS($BA$7:$BA$1843,$CC$7:$CC$1843,CC72,$BD$7:$BD$1843,"&gt;"&amp;BD72)+SUMIFS($BA$7:$BA$1843,$CC$7:$CC$1843,CC72,$BD$7:$BD$1843,BD72,$BT$7:$BT$1843,"&lt;="&amp;BT72),"")</f>
        <v>14996.7976190476</v>
      </c>
      <c r="BF72" s="58" t="n">
        <f aca="false">IF(BE72="",0,MAX(0,MIN(1,(IF(CC72="L1",Parameter!$H$5,IF(CC72="L23",Parameter!$H$6+Parameter!$H$7,Parameter!$H$5+Parameter!$H$6+Parameter!$H$7))-(BE72-BA72))/BA72)))</f>
        <v>1</v>
      </c>
      <c r="BG72" s="48" t="str">
        <f aca="false">IF(AI72&lt;=0,"",IF(CC72="Aussen","Aussenlager",IF(CC72="-","Nicht im Lift",IF(AN72&gt;=1,"Lift",IF(AN72&lt;=0,"Aussenlager","teilweise")))))</f>
        <v>Lift</v>
      </c>
      <c r="BH72" s="48" t="str">
        <f aca="false">IF(AR72&lt;=0,"",IF(CC72="Aussen","Aussenlager",IF(CC72="-","Nicht im Lift",IF(AW72&gt;=1,"Lift",IF(AW72&lt;=0,"Aussenlager","teilweise")))))</f>
        <v>Lift</v>
      </c>
      <c r="BI72" s="48" t="str">
        <f aca="false">IF(BA72&lt;=0,"",IF(CC72="Aussen","Aussenlager",IF(CC72="-","Nicht im Lift",IF(BF72&gt;=1,"Lift",IF(BF72&lt;=0,"Aussenlager","teilweise")))))</f>
        <v>Lift</v>
      </c>
      <c r="BJ72" s="48" t="str">
        <f aca="false">IF(A72="","",IF(BS72=1,"Neu; ","")&amp;IF(AND(BS72=0,BN72&lt;0),"negativer Bestand (Export "&amp;BN72&amp;"); ","")&amp;IF(J72&lt;=0,"Kein Verbrauch; ","")&amp;IF(CL72&gt;0,"Lift "&amp;W72&amp;" lt. Liftbericht (Fach "&amp;X72&amp;" Stk); ",IF(BX72=1,"Gebinde geschätzt ("&amp;T72&amp;"); ",IF(BW72=1,"Lose – Tablare geschätzt; ","")))&amp;IF(H72&gt;AT72,"Überbestand "&amp;ROUND(H72-AT72,0)&amp;" Stk / CHF "&amp;ROUND((H72-AT72)*G72,0)&amp;"; ","")&amp;IF(AND(CE72=1,CF72&lt;CG72),"MAX &lt; MB+LG; ","")&amp;IF(AND(CK72&gt;0,CJ72*10&gt;CK72),"zu hoch für Tablar; ","")&amp;IF(AND(BS72=0,OR(CE72=1,AA72&lt;&gt;"",U72&lt;&gt;"",V72&lt;&gt;"",AB72&lt;&gt;"")),"manuell übersteuert; ","")&amp;IF(AND(BW72=0,R72=0),"Gebinde unbekannt / Stellmass fehlt; ","")&amp;IF(AND(BW72=0,N(V72)&lt;=0,N(Q72)&lt;=0),"Menge pro Gebinde fehlt (Ist = 1 Gebinde); ","")&amp;BR72)</f>
        <v>grosser Artikel &amp; nicht im KTL</v>
      </c>
      <c r="BK72" s="48" t="s">
        <v>353</v>
      </c>
      <c r="BL72" s="48" t="s">
        <v>349</v>
      </c>
      <c r="BM72" s="55"/>
      <c r="BN72" s="50" t="n">
        <v>22</v>
      </c>
      <c r="BO72" s="50" t="n">
        <v>24</v>
      </c>
      <c r="BP72" s="49" t="n">
        <v>3534.78</v>
      </c>
      <c r="BQ72" s="50" t="n">
        <v>75</v>
      </c>
      <c r="BR72" s="48" t="s">
        <v>265</v>
      </c>
      <c r="BS72" s="53" t="n">
        <v>0</v>
      </c>
      <c r="BT72" s="53" t="n">
        <v>72</v>
      </c>
      <c r="BU72" s="48" t="str">
        <f aca="false">IF(U72&lt;&gt;"",UPPER(TRIM(U72)),IF(BX72=1,UPPER(VLOOKUP(T72,Parameter!$I$27:$K$29,2,0)),IF(P72="","LOSE",P72)))</f>
        <v>S82</v>
      </c>
      <c r="BV72" s="50" t="n">
        <f aca="false">IF(BU72="LOSE",1,IF(N(V72)&gt;0,V72,IF(BX72=1,MAX(1,N(VLOOKUP(T72,Parameter!$I$27:$K$29,3,0)),H72,N(N72)),IF(N(Q72)&gt;0,Q72,MAX(1,H72)))))</f>
        <v>38</v>
      </c>
      <c r="BW72" s="53" t="n">
        <f aca="false">IF(BU72="LOSE",1,0)</f>
        <v>0</v>
      </c>
      <c r="BX72" s="53" t="n">
        <f aca="false">IF(AND(U72="",OR(P72="",P72="LOSE"),T72&lt;&gt;"",N(S72)&lt;=0,ISNUMBER(MATCH(T72,Parameter!$I$27:$I$29,0))),1,0)</f>
        <v>0</v>
      </c>
      <c r="BY72" s="53" t="n">
        <f aca="false">IF(CL72&gt;0,INDEX(Parameter!$H$5:$H$7,W72)/INDEX(Parameter!$E$5:$E$7,W72),IF(AND(BW72=0,N(IFERROR(VLOOKUP(BU72,'Gebinde-Kategorie'!$A$5:$N$45,14,0),0))&gt;0),VLOOKUP(BU72,'Gebinde-Kategorie'!$A$5:$N$45,14,0)*10+Parameter!$M$23,Parameter!$M$24))</f>
        <v>435</v>
      </c>
      <c r="BZ72" s="48" t="str">
        <f aca="false">IF(AND(Parameter!$B$19="Ja",E72&lt;&gt;"",ISNUMBER(MATCH(E72,Parameter!$I$35:$I$52,0))),VLOOKUP(E72,Parameter!$I$35:$J$52,2,0),IFERROR(VLOOKUP(D72,Parameter!$A$35:$C$64,2,0),"Nein"))</f>
        <v>2+3</v>
      </c>
      <c r="CA72" s="52" t="n">
        <f aca="false">IF(BW72=0,0,IF(N(S72)&gt;0,S72,IFERROR(VLOOKUP(D72,Parameter!$A$35:$C$64,3,0)+0,0)))</f>
        <v>0</v>
      </c>
      <c r="CB72" s="48" t="n">
        <f aca="false">IF(AA72&lt;&gt;"",AA72,Z72)</f>
        <v>2</v>
      </c>
      <c r="CC72" s="48" t="str">
        <f aca="false">IF(OR(CB72=1,CB72=2,CB72=3),IF(Parameter!$E$27="Ja","LIFT",IF(CB72=1,"L1","L23")),IF(CB72="Aussen","Aussen","-"))</f>
        <v>LIFT</v>
      </c>
      <c r="CD72" s="59" t="n">
        <f aca="false">IF(N(AB72)&gt;0,AB72,0)</f>
        <v>0</v>
      </c>
      <c r="CE72" s="53" t="n">
        <f aca="false">IF(ISNUMBER(AE72),1,0)</f>
        <v>0</v>
      </c>
      <c r="CF72" s="50" t="n">
        <f aca="false">N(AE72)</f>
        <v>0</v>
      </c>
      <c r="CG72" s="50" t="n">
        <f aca="false">N(M72)+N(N72)</f>
        <v>50</v>
      </c>
      <c r="CH72" s="50" t="n">
        <f aca="false">ROUNDUP(H72/BV72,0)</f>
        <v>2</v>
      </c>
      <c r="CI72" s="50" t="n">
        <f aca="false">ROUNDUP(CF72/BV72,0)</f>
        <v>0</v>
      </c>
      <c r="CJ72" s="53" t="n">
        <f aca="false">IF(BW72=1,0,IFERROR(VLOOKUP(BU72,'Gebinde-Kategorie'!$A$5:$N$45,5,0)+0,0))</f>
        <v>40</v>
      </c>
      <c r="CK72" s="53" t="n">
        <f aca="false">IFERROR(IF(OR(CB72=1,CB72=2,CB72=3),N(INDEX(Parameter!$I$5:$I$7,CB72)),0),0)</f>
        <v>0</v>
      </c>
      <c r="CL72" s="52" t="n">
        <f aca="false">IF(AND(Parameter!$B$21="Ja",ISNUMBER(W72),N(X72)&gt;0),IFERROR(N(INDEX(Parameter!$L$5:$L$7,W72))*INDEX(Parameter!$E$5:$E$7,W72)*X72/SUMIFS($X$7:$X$1843,$W$7:$W$1843,W72),0),0)</f>
        <v>0</v>
      </c>
    </row>
    <row r="73" customFormat="false" ht="15" hidden="false" customHeight="false" outlineLevel="0" collapsed="false">
      <c r="A73" s="48" t="s">
        <v>354</v>
      </c>
      <c r="B73" s="48" t="s">
        <v>296</v>
      </c>
      <c r="C73" s="48" t="s">
        <v>168</v>
      </c>
      <c r="D73" s="48" t="s">
        <v>188</v>
      </c>
      <c r="E73" s="48" t="s">
        <v>189</v>
      </c>
      <c r="F73" s="48" t="s">
        <v>222</v>
      </c>
      <c r="G73" s="49" t="n">
        <v>160.95</v>
      </c>
      <c r="H73" s="50" t="n">
        <f aca="false">MAX(0,IF(AND(Parameter!$B$21="Ja",ISNUMBER(Y73)),Y73,IF(Parameter!$B$20="Jahresanfang 2025 + Export",BO73+BN73,BN73)))</f>
        <v>39</v>
      </c>
      <c r="I73" s="50" t="n">
        <f aca="false">H73*G73</f>
        <v>6277.05</v>
      </c>
      <c r="J73" s="50" t="n">
        <f aca="false">BQ73*Parameter!$B$18</f>
        <v>97</v>
      </c>
      <c r="K73" s="51" t="n">
        <v>15.5</v>
      </c>
      <c r="L73" s="52" t="n">
        <v>6.25806451612903</v>
      </c>
      <c r="M73" s="50" t="n">
        <v>10</v>
      </c>
      <c r="N73" s="50" t="n">
        <v>40</v>
      </c>
      <c r="O73" s="53" t="n">
        <v>30</v>
      </c>
      <c r="P73" s="48" t="s">
        <v>306</v>
      </c>
      <c r="Q73" s="50" t="n">
        <v>31</v>
      </c>
      <c r="R73" s="53" t="n">
        <f aca="false">IF(BW73=1,0,IFERROR(VLOOKUP(BU73,'Gebinde-Kategorie'!$A$5:$N$45,13,0)+0,0))</f>
        <v>26</v>
      </c>
      <c r="S73" s="54"/>
      <c r="T73" s="55"/>
      <c r="U73" s="55"/>
      <c r="V73" s="55"/>
      <c r="W73" s="48"/>
      <c r="X73" s="50"/>
      <c r="Y73" s="50"/>
      <c r="Z73" s="48" t="n">
        <f aca="false">IF(A73="","",IF(AND(Parameter!$B$21="Ja",ISNUMBER(W73)),W73,IF(BZ73="2+3",IF(ISNUMBER(SEARCH("grosser Artikel",BR73)),2,IFERROR(VLOOKUP(BU73,Parameter!$F$35:$G$64,2,0),2)),IF(OR(BZ73="Nein",BZ73=""),"-",BZ73))))</f>
        <v>3</v>
      </c>
      <c r="AA73" s="55"/>
      <c r="AB73" s="56"/>
      <c r="AC73" s="50" t="n">
        <f aca="false">AT73</f>
        <v>62</v>
      </c>
      <c r="AD73" s="50" t="n">
        <f aca="false">MAX(AT73,H73)</f>
        <v>62</v>
      </c>
      <c r="AE73" s="57"/>
      <c r="AF73" s="50" t="n">
        <f aca="false">IF(LEFT(Cockpit!$C$5,1)="A",H73,IF(CE73=1,CF73,IF(LEFT(Cockpit!$C$5,1)="B",AK73,MAX(AK73,H73))))</f>
        <v>39</v>
      </c>
      <c r="AG73" s="50" t="n">
        <f aca="false">IF(BW73=1,0,ROUNDUP(AF73/BV73,0))</f>
        <v>2</v>
      </c>
      <c r="AH73" s="52" t="n">
        <f aca="false">IF(CL73&gt;0,CL73*MAX(1,AF73/X73),IF(BW73=1,IF(AF73&lt;=0,0,CA73*MAX(1,IF(H73&gt;0,AF73/H73,1))),IF(R73&gt;0,AG73/R73,0))/MAX(0.1,N(Parameter!$M$21)))</f>
        <v>0.0769230769230769</v>
      </c>
      <c r="AI73" s="50" t="n">
        <f aca="false">AH73*BY73</f>
        <v>11.9230769230769</v>
      </c>
      <c r="AJ73" s="50" t="n">
        <f aca="false">AF73*G73</f>
        <v>6277.05</v>
      </c>
      <c r="AK73" s="50" t="n">
        <f aca="false">ROUNDUP(MAX(J73/IF(CD73&gt;0,CD73,MAX(0.1,N(Cockpit!$C$6))),CG73)/BV73,0)*BV73</f>
        <v>62</v>
      </c>
      <c r="AL73" s="51" t="n">
        <f aca="false">IF(AI73&gt;0,J73/AI73,-1)</f>
        <v>8.13548387096774</v>
      </c>
      <c r="AM73" s="51" t="n">
        <f aca="false">IF(AND(OR(CC73="L1",CC73="L23",CC73="LIFT"),AI73&gt;0),SUMIFS($AI$7:$AI$1843,$CC$7:$CC$1843,CC73,$AL$7:$AL$1843,"&gt;"&amp;AL73)+SUMIFS($AI$7:$AI$1843,$CC$7:$CC$1843,CC73,$AL$7:$AL$1843,AL73,$BT$7:$BT$1843,"&lt;="&amp;BT73),"")</f>
        <v>3019.63461538462</v>
      </c>
      <c r="AN73" s="58" t="n">
        <f aca="false">IF(AM73="",0,MAX(0,MIN(1,(IF(CC73="L1",Parameter!$H$5,IF(CC73="L23",Parameter!$H$6+Parameter!$H$7,Parameter!$H$5+Parameter!$H$6+Parameter!$H$7))-(AM73-AI73))/AI73)))</f>
        <v>1</v>
      </c>
      <c r="AO73" s="50" t="n">
        <f aca="false">IF(LEFT(Cockpit!$I$5,1)="A",H73,IF(CE73=1,CF73,IF(LEFT(Cockpit!$I$5,1)="B",AT73,MAX(AT73,H73))))</f>
        <v>62</v>
      </c>
      <c r="AP73" s="50" t="n">
        <f aca="false">IF(BW73=1,0,ROUNDUP(AO73/BV73,0))</f>
        <v>2</v>
      </c>
      <c r="AQ73" s="52" t="n">
        <f aca="false">IF(CL73&gt;0,CL73*MAX(1,AO73/X73),IF(BW73=1,IF(AO73&lt;=0,0,CA73*MAX(1,IF(H73&gt;0,AO73/H73,1))),IF(R73&gt;0,AP73/R73,0))/MAX(0.1,N(Parameter!$M$21)))</f>
        <v>0.0769230769230769</v>
      </c>
      <c r="AR73" s="50" t="n">
        <f aca="false">AQ73*BY73</f>
        <v>11.9230769230769</v>
      </c>
      <c r="AS73" s="50" t="n">
        <f aca="false">AO73*G73</f>
        <v>9978.9</v>
      </c>
      <c r="AT73" s="50" t="n">
        <f aca="false">ROUNDUP(MAX(J73/IF(CD73&gt;0,CD73,MAX(0.1,N(Cockpit!$I$6))),CG73)/BV73,0)*BV73</f>
        <v>62</v>
      </c>
      <c r="AU73" s="51" t="n">
        <f aca="false">IF(AR73&gt;0,J73/AR73,-1)</f>
        <v>8.13548387096774</v>
      </c>
      <c r="AV73" s="51" t="n">
        <f aca="false">IF(AND(OR(CC73="L1",CC73="L23",CC73="LIFT"),AR73&gt;0),SUMIFS($AR$7:$AR$1843,$CC$7:$CC$1843,CC73,$AU$7:$AU$1843,"&gt;"&amp;AU73)+SUMIFS($AR$7:$AR$1843,$CC$7:$CC$1843,CC73,$AU$7:$AU$1843,AU73,$BT$7:$BT$1843,"&lt;="&amp;BT73),"")</f>
        <v>4246.43727106227</v>
      </c>
      <c r="AW73" s="58" t="n">
        <f aca="false">IF(AV73="",0,MAX(0,MIN(1,(IF(CC73="L1",Parameter!$H$5,IF(CC73="L23",Parameter!$H$6+Parameter!$H$7,Parameter!$H$5+Parameter!$H$6+Parameter!$H$7))-(AV73-AR73))/AR73)))</f>
        <v>1</v>
      </c>
      <c r="AX73" s="50" t="n">
        <f aca="false">IF(LEFT(Cockpit!$O$5,1)="A",H73,IF(CE73=1,CF73,IF(LEFT(Cockpit!$O$5,1)="B",BC73,MAX(BC73,H73))))</f>
        <v>62</v>
      </c>
      <c r="AY73" s="50" t="n">
        <f aca="false">IF(BW73=1,0,ROUNDUP(AX73/BV73,0))</f>
        <v>2</v>
      </c>
      <c r="AZ73" s="52" t="n">
        <f aca="false">IF(CL73&gt;0,CL73*MAX(1,AX73/X73),IF(BW73=1,IF(AX73&lt;=0,0,CA73*MAX(1,IF(H73&gt;0,AX73/H73,1))),IF(R73&gt;0,AY73/R73,0))/MAX(0.1,N(Parameter!$M$21)))</f>
        <v>0.0769230769230769</v>
      </c>
      <c r="BA73" s="50" t="n">
        <f aca="false">AZ73*BY73</f>
        <v>11.9230769230769</v>
      </c>
      <c r="BB73" s="50" t="n">
        <f aca="false">AX73*G73</f>
        <v>9978.9</v>
      </c>
      <c r="BC73" s="50" t="n">
        <f aca="false">ROUNDUP(MAX(J73/IF(CD73&gt;0,CD73,MAX(0.1,N(Cockpit!$O$6))),CG73)/BV73,0)*BV73</f>
        <v>62</v>
      </c>
      <c r="BD73" s="51" t="n">
        <f aca="false">IF(BA73&gt;0,J73/BA73,-1)</f>
        <v>8.13548387096774</v>
      </c>
      <c r="BE73" s="51" t="n">
        <f aca="false">IF(AND(OR(CC73="L1",CC73="L23",CC73="LIFT"),BA73&gt;0),SUMIFS($BA$7:$BA$1843,$CC$7:$CC$1843,CC73,$BD$7:$BD$1843,"&gt;"&amp;BD73)+SUMIFS($BA$7:$BA$1843,$CC$7:$CC$1843,CC73,$BD$7:$BD$1843,BD73,$BT$7:$BT$1843,"&lt;="&amp;BT73),"")</f>
        <v>3913.98534798535</v>
      </c>
      <c r="BF73" s="58" t="n">
        <f aca="false">IF(BE73="",0,MAX(0,MIN(1,(IF(CC73="L1",Parameter!$H$5,IF(CC73="L23",Parameter!$H$6+Parameter!$H$7,Parameter!$H$5+Parameter!$H$6+Parameter!$H$7))-(BE73-BA73))/BA73)))</f>
        <v>1</v>
      </c>
      <c r="BG73" s="48" t="str">
        <f aca="false">IF(AI73&lt;=0,"",IF(CC73="Aussen","Aussenlager",IF(CC73="-","Nicht im Lift",IF(AN73&gt;=1,"Lift",IF(AN73&lt;=0,"Aussenlager","teilweise")))))</f>
        <v>Lift</v>
      </c>
      <c r="BH73" s="48" t="str">
        <f aca="false">IF(AR73&lt;=0,"",IF(CC73="Aussen","Aussenlager",IF(CC73="-","Nicht im Lift",IF(AW73&gt;=1,"Lift",IF(AW73&lt;=0,"Aussenlager","teilweise")))))</f>
        <v>Lift</v>
      </c>
      <c r="BI73" s="48" t="str">
        <f aca="false">IF(BA73&lt;=0,"",IF(CC73="Aussen","Aussenlager",IF(CC73="-","Nicht im Lift",IF(BF73&gt;=1,"Lift",IF(BF73&lt;=0,"Aussenlager","teilweise")))))</f>
        <v>Lift</v>
      </c>
      <c r="BJ73" s="48" t="str">
        <f aca="false">IF(A73="","",IF(BS73=1,"Neu; ","")&amp;IF(AND(BS73=0,BN73&lt;0),"negativer Bestand (Export "&amp;BN73&amp;"); ","")&amp;IF(J73&lt;=0,"Kein Verbrauch; ","")&amp;IF(CL73&gt;0,"Lift "&amp;W73&amp;" lt. Liftbericht (Fach "&amp;X73&amp;" Stk); ",IF(BX73=1,"Gebinde geschätzt ("&amp;T73&amp;"); ",IF(BW73=1,"Lose – Tablare geschätzt; ","")))&amp;IF(H73&gt;AT73,"Überbestand "&amp;ROUND(H73-AT73,0)&amp;" Stk / CHF "&amp;ROUND((H73-AT73)*G73,0)&amp;"; ","")&amp;IF(AND(CE73=1,CF73&lt;CG73),"MAX &lt; MB+LG; ","")&amp;IF(AND(CK73&gt;0,CJ73*10&gt;CK73),"zu hoch für Tablar; ","")&amp;IF(AND(BS73=0,OR(CE73=1,AA73&lt;&gt;"",U73&lt;&gt;"",V73&lt;&gt;"",AB73&lt;&gt;"")),"manuell übersteuert; ","")&amp;IF(AND(BW73=0,R73=0),"Gebinde unbekannt / Stellmass fehlt; ","")&amp;IF(AND(BW73=0,N(V73)&lt;=0,N(Q73)&lt;=0),"Menge pro Gebinde fehlt (Ist = 1 Gebinde); ","")&amp;BR73)</f>
        <v/>
      </c>
      <c r="BK73" s="48"/>
      <c r="BL73" s="48"/>
      <c r="BM73" s="55"/>
      <c r="BN73" s="50" t="n">
        <v>20</v>
      </c>
      <c r="BO73" s="50" t="n">
        <v>19</v>
      </c>
      <c r="BP73" s="49" t="n">
        <v>3430.65000000001</v>
      </c>
      <c r="BQ73" s="50" t="n">
        <v>97</v>
      </c>
      <c r="BR73" s="48"/>
      <c r="BS73" s="53" t="n">
        <v>0</v>
      </c>
      <c r="BT73" s="53" t="n">
        <v>73</v>
      </c>
      <c r="BU73" s="48" t="str">
        <f aca="false">IF(U73&lt;&gt;"",UPPER(TRIM(U73)),IF(BX73=1,UPPER(VLOOKUP(T73,Parameter!$I$27:$K$29,2,0)),IF(P73="","LOSE",P73)))</f>
        <v>S51</v>
      </c>
      <c r="BV73" s="50" t="n">
        <f aca="false">IF(BU73="LOSE",1,IF(N(V73)&gt;0,V73,IF(BX73=1,MAX(1,N(VLOOKUP(T73,Parameter!$I$27:$K$29,3,0)),H73,N(N73)),IF(N(Q73)&gt;0,Q73,MAX(1,H73)))))</f>
        <v>31</v>
      </c>
      <c r="BW73" s="53" t="n">
        <f aca="false">IF(BU73="LOSE",1,0)</f>
        <v>0</v>
      </c>
      <c r="BX73" s="53" t="n">
        <f aca="false">IF(AND(U73="",OR(P73="",P73="LOSE"),T73&lt;&gt;"",N(S73)&lt;=0,ISNUMBER(MATCH(T73,Parameter!$I$27:$I$29,0))),1,0)</f>
        <v>0</v>
      </c>
      <c r="BY73" s="53" t="n">
        <f aca="false">IF(CL73&gt;0,INDEX(Parameter!$H$5:$H$7,W73)/INDEX(Parameter!$E$5:$E$7,W73),IF(AND(BW73=0,N(IFERROR(VLOOKUP(BU73,'Gebinde-Kategorie'!$A$5:$N$45,14,0),0))&gt;0),VLOOKUP(BU73,'Gebinde-Kategorie'!$A$5:$N$45,14,0)*10+Parameter!$M$23,Parameter!$M$24))</f>
        <v>155</v>
      </c>
      <c r="BZ73" s="48" t="str">
        <f aca="false">IF(AND(Parameter!$B$19="Ja",E73&lt;&gt;"",ISNUMBER(MATCH(E73,Parameter!$I$35:$I$52,0))),VLOOKUP(E73,Parameter!$I$35:$J$52,2,0),IFERROR(VLOOKUP(D73,Parameter!$A$35:$C$64,2,0),"Nein"))</f>
        <v>2+3</v>
      </c>
      <c r="CA73" s="52" t="n">
        <f aca="false">IF(BW73=0,0,IF(N(S73)&gt;0,S73,IFERROR(VLOOKUP(D73,Parameter!$A$35:$C$64,3,0)+0,0)))</f>
        <v>0</v>
      </c>
      <c r="CB73" s="48" t="n">
        <f aca="false">IF(AA73&lt;&gt;"",AA73,Z73)</f>
        <v>3</v>
      </c>
      <c r="CC73" s="48" t="str">
        <f aca="false">IF(OR(CB73=1,CB73=2,CB73=3),IF(Parameter!$E$27="Ja","LIFT",IF(CB73=1,"L1","L23")),IF(CB73="Aussen","Aussen","-"))</f>
        <v>LIFT</v>
      </c>
      <c r="CD73" s="59" t="n">
        <f aca="false">IF(N(AB73)&gt;0,AB73,0)</f>
        <v>0</v>
      </c>
      <c r="CE73" s="53" t="n">
        <f aca="false">IF(ISNUMBER(AE73),1,0)</f>
        <v>0</v>
      </c>
      <c r="CF73" s="50" t="n">
        <f aca="false">N(AE73)</f>
        <v>0</v>
      </c>
      <c r="CG73" s="50" t="n">
        <f aca="false">N(M73)+N(N73)</f>
        <v>50</v>
      </c>
      <c r="CH73" s="50" t="n">
        <f aca="false">ROUNDUP(H73/BV73,0)</f>
        <v>2</v>
      </c>
      <c r="CI73" s="50" t="n">
        <f aca="false">ROUNDUP(CF73/BV73,0)</f>
        <v>0</v>
      </c>
      <c r="CJ73" s="53" t="n">
        <f aca="false">IF(BW73=1,0,IFERROR(VLOOKUP(BU73,'Gebinde-Kategorie'!$A$5:$N$45,5,0)+0,0))</f>
        <v>11</v>
      </c>
      <c r="CK73" s="53" t="n">
        <f aca="false">IFERROR(IF(OR(CB73=1,CB73=2,CB73=3),N(INDEX(Parameter!$I$5:$I$7,CB73)),0),0)</f>
        <v>0</v>
      </c>
      <c r="CL73" s="52" t="n">
        <f aca="false">IF(AND(Parameter!$B$21="Ja",ISNUMBER(W73),N(X73)&gt;0),IFERROR(N(INDEX(Parameter!$L$5:$L$7,W73))*INDEX(Parameter!$E$5:$E$7,W73)*X73/SUMIFS($X$7:$X$1843,$W$7:$W$1843,W73),0),0)</f>
        <v>0</v>
      </c>
    </row>
    <row r="74" customFormat="false" ht="15" hidden="false" customHeight="false" outlineLevel="0" collapsed="false">
      <c r="A74" s="48" t="s">
        <v>355</v>
      </c>
      <c r="B74" s="48" t="s">
        <v>356</v>
      </c>
      <c r="C74" s="48" t="s">
        <v>168</v>
      </c>
      <c r="D74" s="48" t="s">
        <v>357</v>
      </c>
      <c r="E74" s="48"/>
      <c r="F74" s="48" t="s">
        <v>222</v>
      </c>
      <c r="G74" s="49" t="n">
        <v>3398.79</v>
      </c>
      <c r="H74" s="50" t="n">
        <f aca="false">MAX(0,IF(AND(Parameter!$B$21="Ja",ISNUMBER(Y74)),Y74,IF(Parameter!$B$20="Jahresanfang 2025 + Export",BO74+BN74,BN74)))</f>
        <v>1</v>
      </c>
      <c r="I74" s="50" t="n">
        <f aca="false">H74*G74</f>
        <v>3398.79</v>
      </c>
      <c r="J74" s="50" t="n">
        <f aca="false">BQ74*Parameter!$B$18</f>
        <v>0</v>
      </c>
      <c r="K74" s="51" t="n">
        <v>0.5</v>
      </c>
      <c r="L74" s="52" t="n">
        <v>0</v>
      </c>
      <c r="M74" s="50" t="n">
        <v>0</v>
      </c>
      <c r="N74" s="50" t="n">
        <v>1</v>
      </c>
      <c r="O74" s="53" t="n">
        <v>0</v>
      </c>
      <c r="P74" s="48" t="s">
        <v>172</v>
      </c>
      <c r="Q74" s="50"/>
      <c r="R74" s="53" t="n">
        <f aca="false">IF(BW74=1,0,IFERROR(VLOOKUP(BU74,'Gebinde-Kategorie'!$A$5:$N$45,13,0)+0,0))</f>
        <v>0</v>
      </c>
      <c r="S74" s="54"/>
      <c r="T74" s="55"/>
      <c r="U74" s="55"/>
      <c r="V74" s="55"/>
      <c r="W74" s="48"/>
      <c r="X74" s="50"/>
      <c r="Y74" s="50"/>
      <c r="Z74" s="48" t="str">
        <f aca="false">IF(A74="","",IF(AND(Parameter!$B$21="Ja",ISNUMBER(W74)),W74,IF(BZ74="2+3",IF(ISNUMBER(SEARCH("grosser Artikel",BR74)),2,IFERROR(VLOOKUP(BU74,Parameter!$F$35:$G$64,2,0),2)),IF(OR(BZ74="Nein",BZ74=""),"-",BZ74))))</f>
        <v>-</v>
      </c>
      <c r="AA74" s="55"/>
      <c r="AB74" s="56"/>
      <c r="AC74" s="50" t="n">
        <f aca="false">AT74</f>
        <v>1</v>
      </c>
      <c r="AD74" s="50" t="n">
        <f aca="false">MAX(AT74,H74)</f>
        <v>1</v>
      </c>
      <c r="AE74" s="57"/>
      <c r="AF74" s="50" t="n">
        <f aca="false">IF(LEFT(Cockpit!$C$5,1)="A",H74,IF(CE74=1,CF74,IF(LEFT(Cockpit!$C$5,1)="B",AK74,MAX(AK74,H74))))</f>
        <v>1</v>
      </c>
      <c r="AG74" s="50" t="n">
        <f aca="false">IF(BW74=1,0,ROUNDUP(AF74/BV74,0))</f>
        <v>0</v>
      </c>
      <c r="AH74" s="52" t="n">
        <f aca="false">IF(CL74&gt;0,CL74*MAX(1,AF74/X74),IF(BW74=1,IF(AF74&lt;=0,0,CA74*MAX(1,IF(H74&gt;0,AF74/H74,1))),IF(R74&gt;0,AG74/R74,0))/MAX(0.1,N(Parameter!$M$21)))</f>
        <v>0.15</v>
      </c>
      <c r="AI74" s="50" t="n">
        <f aca="false">AH74*BY74</f>
        <v>35.25</v>
      </c>
      <c r="AJ74" s="50" t="n">
        <f aca="false">AF74*G74</f>
        <v>3398.79</v>
      </c>
      <c r="AK74" s="50" t="n">
        <f aca="false">ROUNDUP(MAX(J74/IF(CD74&gt;0,CD74,MAX(0.1,N(Cockpit!$C$6))),CG74)/BV74,0)*BV74</f>
        <v>1</v>
      </c>
      <c r="AL74" s="51" t="n">
        <f aca="false">IF(AI74&gt;0,J74/AI74,-1)</f>
        <v>0</v>
      </c>
      <c r="AM74" s="51" t="str">
        <f aca="false">IF(AND(OR(CC74="L1",CC74="L23",CC74="LIFT"),AI74&gt;0),SUMIFS($AI$7:$AI$1843,$CC$7:$CC$1843,CC74,$AL$7:$AL$1843,"&gt;"&amp;AL74)+SUMIFS($AI$7:$AI$1843,$CC$7:$CC$1843,CC74,$AL$7:$AL$1843,AL74,$BT$7:$BT$1843,"&lt;="&amp;BT74),"")</f>
        <v/>
      </c>
      <c r="AN74" s="58" t="n">
        <f aca="false">IF(AM74="",0,MAX(0,MIN(1,(IF(CC74="L1",Parameter!$H$5,IF(CC74="L23",Parameter!$H$6+Parameter!$H$7,Parameter!$H$5+Parameter!$H$6+Parameter!$H$7))-(AM74-AI74))/AI74)))</f>
        <v>0</v>
      </c>
      <c r="AO74" s="50" t="n">
        <f aca="false">IF(LEFT(Cockpit!$I$5,1)="A",H74,IF(CE74=1,CF74,IF(LEFT(Cockpit!$I$5,1)="B",AT74,MAX(AT74,H74))))</f>
        <v>1</v>
      </c>
      <c r="AP74" s="50" t="n">
        <f aca="false">IF(BW74=1,0,ROUNDUP(AO74/BV74,0))</f>
        <v>0</v>
      </c>
      <c r="AQ74" s="52" t="n">
        <f aca="false">IF(CL74&gt;0,CL74*MAX(1,AO74/X74),IF(BW74=1,IF(AO74&lt;=0,0,CA74*MAX(1,IF(H74&gt;0,AO74/H74,1))),IF(R74&gt;0,AP74/R74,0))/MAX(0.1,N(Parameter!$M$21)))</f>
        <v>0.15</v>
      </c>
      <c r="AR74" s="50" t="n">
        <f aca="false">AQ74*BY74</f>
        <v>35.25</v>
      </c>
      <c r="AS74" s="50" t="n">
        <f aca="false">AO74*G74</f>
        <v>3398.79</v>
      </c>
      <c r="AT74" s="50" t="n">
        <f aca="false">ROUNDUP(MAX(J74/IF(CD74&gt;0,CD74,MAX(0.1,N(Cockpit!$I$6))),CG74)/BV74,0)*BV74</f>
        <v>1</v>
      </c>
      <c r="AU74" s="51" t="n">
        <f aca="false">IF(AR74&gt;0,J74/AR74,-1)</f>
        <v>0</v>
      </c>
      <c r="AV74" s="51" t="str">
        <f aca="false">IF(AND(OR(CC74="L1",CC74="L23",CC74="LIFT"),AR74&gt;0),SUMIFS($AR$7:$AR$1843,$CC$7:$CC$1843,CC74,$AU$7:$AU$1843,"&gt;"&amp;AU74)+SUMIFS($AR$7:$AR$1843,$CC$7:$CC$1843,CC74,$AU$7:$AU$1843,AU74,$BT$7:$BT$1843,"&lt;="&amp;BT74),"")</f>
        <v/>
      </c>
      <c r="AW74" s="58" t="n">
        <f aca="false">IF(AV74="",0,MAX(0,MIN(1,(IF(CC74="L1",Parameter!$H$5,IF(CC74="L23",Parameter!$H$6+Parameter!$H$7,Parameter!$H$5+Parameter!$H$6+Parameter!$H$7))-(AV74-AR74))/AR74)))</f>
        <v>0</v>
      </c>
      <c r="AX74" s="50" t="n">
        <f aca="false">IF(LEFT(Cockpit!$O$5,1)="A",H74,IF(CE74=1,CF74,IF(LEFT(Cockpit!$O$5,1)="B",BC74,MAX(BC74,H74))))</f>
        <v>1</v>
      </c>
      <c r="AY74" s="50" t="n">
        <f aca="false">IF(BW74=1,0,ROUNDUP(AX74/BV74,0))</f>
        <v>0</v>
      </c>
      <c r="AZ74" s="52" t="n">
        <f aca="false">IF(CL74&gt;0,CL74*MAX(1,AX74/X74),IF(BW74=1,IF(AX74&lt;=0,0,CA74*MAX(1,IF(H74&gt;0,AX74/H74,1))),IF(R74&gt;0,AY74/R74,0))/MAX(0.1,N(Parameter!$M$21)))</f>
        <v>0.15</v>
      </c>
      <c r="BA74" s="50" t="n">
        <f aca="false">AZ74*BY74</f>
        <v>35.25</v>
      </c>
      <c r="BB74" s="50" t="n">
        <f aca="false">AX74*G74</f>
        <v>3398.79</v>
      </c>
      <c r="BC74" s="50" t="n">
        <f aca="false">ROUNDUP(MAX(J74/IF(CD74&gt;0,CD74,MAX(0.1,N(Cockpit!$O$6))),CG74)/BV74,0)*BV74</f>
        <v>1</v>
      </c>
      <c r="BD74" s="51" t="n">
        <f aca="false">IF(BA74&gt;0,J74/BA74,-1)</f>
        <v>0</v>
      </c>
      <c r="BE74" s="51" t="str">
        <f aca="false">IF(AND(OR(CC74="L1",CC74="L23",CC74="LIFT"),BA74&gt;0),SUMIFS($BA$7:$BA$1843,$CC$7:$CC$1843,CC74,$BD$7:$BD$1843,"&gt;"&amp;BD74)+SUMIFS($BA$7:$BA$1843,$CC$7:$CC$1843,CC74,$BD$7:$BD$1843,BD74,$BT$7:$BT$1843,"&lt;="&amp;BT74),"")</f>
        <v/>
      </c>
      <c r="BF74" s="58" t="n">
        <f aca="false">IF(BE74="",0,MAX(0,MIN(1,(IF(CC74="L1",Parameter!$H$5,IF(CC74="L23",Parameter!$H$6+Parameter!$H$7,Parameter!$H$5+Parameter!$H$6+Parameter!$H$7))-(BE74-BA74))/BA74)))</f>
        <v>0</v>
      </c>
      <c r="BG74" s="48" t="str">
        <f aca="false">IF(AI74&lt;=0,"",IF(CC74="Aussen","Aussenlager",IF(CC74="-","Nicht im Lift",IF(AN74&gt;=1,"Lift",IF(AN74&lt;=0,"Aussenlager","teilweise")))))</f>
        <v>Nicht im Lift</v>
      </c>
      <c r="BH74" s="48" t="str">
        <f aca="false">IF(AR74&lt;=0,"",IF(CC74="Aussen","Aussenlager",IF(CC74="-","Nicht im Lift",IF(AW74&gt;=1,"Lift",IF(AW74&lt;=0,"Aussenlager","teilweise")))))</f>
        <v>Nicht im Lift</v>
      </c>
      <c r="BI74" s="48" t="str">
        <f aca="false">IF(BA74&lt;=0,"",IF(CC74="Aussen","Aussenlager",IF(CC74="-","Nicht im Lift",IF(BF74&gt;=1,"Lift",IF(BF74&lt;=0,"Aussenlager","teilweise")))))</f>
        <v>Nicht im Lift</v>
      </c>
      <c r="BJ74" s="48" t="str">
        <f aca="false">IF(A74="","",IF(BS74=1,"Neu; ","")&amp;IF(AND(BS74=0,BN74&lt;0),"negativer Bestand (Export "&amp;BN74&amp;"); ","")&amp;IF(J74&lt;=0,"Kein Verbrauch; ","")&amp;IF(CL74&gt;0,"Lift "&amp;W74&amp;" lt. Liftbericht (Fach "&amp;X74&amp;" Stk); ",IF(BX74=1,"Gebinde geschätzt ("&amp;T74&amp;"); ",IF(BW74=1,"Lose – Tablare geschätzt; ","")))&amp;IF(H74&gt;AT74,"Überbestand "&amp;ROUND(H74-AT74,0)&amp;" Stk / CHF "&amp;ROUND((H74-AT74)*G74,0)&amp;"; ","")&amp;IF(AND(CE74=1,CF74&lt;CG74),"MAX &lt; MB+LG; ","")&amp;IF(AND(CK74&gt;0,CJ74*10&gt;CK74),"zu hoch für Tablar; ","")&amp;IF(AND(BS74=0,OR(CE74=1,AA74&lt;&gt;"",U74&lt;&gt;"",V74&lt;&gt;"",AB74&lt;&gt;"")),"manuell übersteuert; ","")&amp;IF(AND(BW74=0,R74=0),"Gebinde unbekannt / Stellmass fehlt; ","")&amp;IF(AND(BW74=0,N(V74)&lt;=0,N(Q74)&lt;=0),"Menge pro Gebinde fehlt (Ist = 1 Gebinde); ","")&amp;BR74)</f>
        <v>Kein Verbrauch; Lose – Tablare geschätzt; </v>
      </c>
      <c r="BK74" s="48"/>
      <c r="BL74" s="48"/>
      <c r="BM74" s="55"/>
      <c r="BN74" s="50" t="n">
        <v>1</v>
      </c>
      <c r="BO74" s="50" t="n">
        <v>0</v>
      </c>
      <c r="BP74" s="49" t="n">
        <v>3398.79</v>
      </c>
      <c r="BQ74" s="50" t="n">
        <v>0</v>
      </c>
      <c r="BR74" s="48"/>
      <c r="BS74" s="53" t="n">
        <v>0</v>
      </c>
      <c r="BT74" s="53" t="n">
        <v>74</v>
      </c>
      <c r="BU74" s="48" t="str">
        <f aca="false">IF(U74&lt;&gt;"",UPPER(TRIM(U74)),IF(BX74=1,UPPER(VLOOKUP(T74,Parameter!$I$27:$K$29,2,0)),IF(P74="","LOSE",P74)))</f>
        <v>LOSE</v>
      </c>
      <c r="BV74" s="50" t="n">
        <f aca="false">IF(BU74="LOSE",1,IF(N(V74)&gt;0,V74,IF(BX74=1,MAX(1,N(VLOOKUP(T74,Parameter!$I$27:$K$29,3,0)),H74,N(N74)),IF(N(Q74)&gt;0,Q74,MAX(1,H74)))))</f>
        <v>1</v>
      </c>
      <c r="BW74" s="53" t="n">
        <f aca="false">IF(BU74="LOSE",1,0)</f>
        <v>1</v>
      </c>
      <c r="BX74" s="53" t="n">
        <f aca="false">IF(AND(U74="",OR(P74="",P74="LOSE"),T74&lt;&gt;"",N(S74)&lt;=0,ISNUMBER(MATCH(T74,Parameter!$I$27:$I$29,0))),1,0)</f>
        <v>0</v>
      </c>
      <c r="BY74" s="53" t="n">
        <f aca="false">IF(CL74&gt;0,INDEX(Parameter!$H$5:$H$7,W74)/INDEX(Parameter!$E$5:$E$7,W74),IF(AND(BW74=0,N(IFERROR(VLOOKUP(BU74,'Gebinde-Kategorie'!$A$5:$N$45,14,0),0))&gt;0),VLOOKUP(BU74,'Gebinde-Kategorie'!$A$5:$N$45,14,0)*10+Parameter!$M$23,Parameter!$M$24))</f>
        <v>235</v>
      </c>
      <c r="BZ74" s="48" t="str">
        <f aca="false">IF(AND(Parameter!$B$19="Ja",E74&lt;&gt;"",ISNUMBER(MATCH(E74,Parameter!$I$35:$I$52,0))),VLOOKUP(E74,Parameter!$I$35:$J$52,2,0),IFERROR(VLOOKUP(D74,Parameter!$A$35:$C$64,2,0),"Nein"))</f>
        <v>Nein</v>
      </c>
      <c r="CA74" s="52" t="n">
        <f aca="false">IF(BW74=0,0,IF(N(S74)&gt;0,S74,IFERROR(VLOOKUP(D74,Parameter!$A$35:$C$64,3,0)+0,0)))</f>
        <v>0.15</v>
      </c>
      <c r="CB74" s="48" t="str">
        <f aca="false">IF(AA74&lt;&gt;"",AA74,Z74)</f>
        <v>-</v>
      </c>
      <c r="CC74" s="48" t="str">
        <f aca="false">IF(OR(CB74=1,CB74=2,CB74=3),IF(Parameter!$E$27="Ja","LIFT",IF(CB74=1,"L1","L23")),IF(CB74="Aussen","Aussen","-"))</f>
        <v>-</v>
      </c>
      <c r="CD74" s="59" t="n">
        <f aca="false">IF(N(AB74)&gt;0,AB74,0)</f>
        <v>0</v>
      </c>
      <c r="CE74" s="53" t="n">
        <f aca="false">IF(ISNUMBER(AE74),1,0)</f>
        <v>0</v>
      </c>
      <c r="CF74" s="50" t="n">
        <f aca="false">N(AE74)</f>
        <v>0</v>
      </c>
      <c r="CG74" s="50" t="n">
        <f aca="false">N(M74)+N(N74)</f>
        <v>1</v>
      </c>
      <c r="CH74" s="50" t="n">
        <f aca="false">ROUNDUP(H74/BV74,0)</f>
        <v>1</v>
      </c>
      <c r="CI74" s="50" t="n">
        <f aca="false">ROUNDUP(CF74/BV74,0)</f>
        <v>0</v>
      </c>
      <c r="CJ74" s="53" t="n">
        <f aca="false">IF(BW74=1,0,IFERROR(VLOOKUP(BU74,'Gebinde-Kategorie'!$A$5:$N$45,5,0)+0,0))</f>
        <v>0</v>
      </c>
      <c r="CK74" s="53" t="n">
        <f aca="false">IFERROR(IF(OR(CB74=1,CB74=2,CB74=3),N(INDEX(Parameter!$I$5:$I$7,CB74)),0),0)</f>
        <v>0</v>
      </c>
      <c r="CL74" s="52" t="n">
        <f aca="false">IF(AND(Parameter!$B$21="Ja",ISNUMBER(W74),N(X74)&gt;0),IFERROR(N(INDEX(Parameter!$L$5:$L$7,W74))*INDEX(Parameter!$E$5:$E$7,W74)*X74/SUMIFS($X$7:$X$1843,$W$7:$W$1843,W74),0),0)</f>
        <v>0</v>
      </c>
    </row>
    <row r="75" customFormat="false" ht="15" hidden="false" customHeight="false" outlineLevel="0" collapsed="false">
      <c r="A75" s="48" t="s">
        <v>358</v>
      </c>
      <c r="B75" s="48" t="s">
        <v>359</v>
      </c>
      <c r="C75" s="48" t="s">
        <v>168</v>
      </c>
      <c r="D75" s="48" t="s">
        <v>177</v>
      </c>
      <c r="E75" s="48"/>
      <c r="F75" s="48" t="s">
        <v>222</v>
      </c>
      <c r="G75" s="49" t="n">
        <v>674.15</v>
      </c>
      <c r="H75" s="50" t="n">
        <f aca="false">MAX(0,IF(AND(Parameter!$B$21="Ja",ISNUMBER(Y75)),Y75,IF(Parameter!$B$20="Jahresanfang 2025 + Export",BO75+BN75,BN75)))</f>
        <v>2</v>
      </c>
      <c r="I75" s="50" t="n">
        <f aca="false">H75*G75</f>
        <v>1348.3</v>
      </c>
      <c r="J75" s="50" t="n">
        <f aca="false">BQ75*Parameter!$B$18</f>
        <v>0</v>
      </c>
      <c r="K75" s="51" t="n">
        <v>0</v>
      </c>
      <c r="L75" s="52" t="n">
        <v>0</v>
      </c>
      <c r="M75" s="50" t="n">
        <v>0</v>
      </c>
      <c r="N75" s="50" t="n">
        <v>5</v>
      </c>
      <c r="O75" s="53" t="n">
        <v>9999</v>
      </c>
      <c r="P75" s="48" t="s">
        <v>172</v>
      </c>
      <c r="Q75" s="50"/>
      <c r="R75" s="53" t="n">
        <f aca="false">IF(BW75=1,0,IFERROR(VLOOKUP(BU75,'Gebinde-Kategorie'!$A$5:$N$45,13,0)+0,0))</f>
        <v>0</v>
      </c>
      <c r="S75" s="54"/>
      <c r="T75" s="55"/>
      <c r="U75" s="55"/>
      <c r="V75" s="55"/>
      <c r="W75" s="48" t="n">
        <v>1</v>
      </c>
      <c r="X75" s="50" t="n">
        <v>4</v>
      </c>
      <c r="Y75" s="50" t="n">
        <v>2</v>
      </c>
      <c r="Z75" s="48" t="n">
        <f aca="false">IF(A75="","",IF(AND(Parameter!$B$21="Ja",ISNUMBER(W75)),W75,IF(BZ75="2+3",IF(ISNUMBER(SEARCH("grosser Artikel",BR75)),2,IFERROR(VLOOKUP(BU75,Parameter!$F$35:$G$64,2,0),2)),IF(OR(BZ75="Nein",BZ75=""),"-",BZ75))))</f>
        <v>1</v>
      </c>
      <c r="AA75" s="55"/>
      <c r="AB75" s="56"/>
      <c r="AC75" s="50" t="n">
        <f aca="false">AT75</f>
        <v>5</v>
      </c>
      <c r="AD75" s="50" t="n">
        <f aca="false">MAX(AT75,H75)</f>
        <v>5</v>
      </c>
      <c r="AE75" s="57"/>
      <c r="AF75" s="50" t="n">
        <f aca="false">IF(LEFT(Cockpit!$C$5,1)="A",H75,IF(CE75=1,CF75,IF(LEFT(Cockpit!$C$5,1)="B",AK75,MAX(AK75,H75))))</f>
        <v>2</v>
      </c>
      <c r="AG75" s="50" t="n">
        <f aca="false">IF(BW75=1,0,ROUNDUP(AF75/BV75,0))</f>
        <v>0</v>
      </c>
      <c r="AH75" s="52" t="n">
        <f aca="false">IF(CL75&gt;0,CL75*MAX(1,AF75/X75),IF(BW75=1,IF(AF75&lt;=0,0,CA75*MAX(1,IF(H75&gt;0,AF75/H75,1))),IF(R75&gt;0,AG75/R75,0))/MAX(0.1,N(Parameter!$M$21)))</f>
        <v>0.32015065913371</v>
      </c>
      <c r="AI75" s="50" t="n">
        <f aca="false">AH75*BY75</f>
        <v>76.195856873823</v>
      </c>
      <c r="AJ75" s="50" t="n">
        <f aca="false">AF75*G75</f>
        <v>1348.3</v>
      </c>
      <c r="AK75" s="50" t="n">
        <f aca="false">ROUNDUP(MAX(J75/IF(CD75&gt;0,CD75,MAX(0.1,N(Cockpit!$C$6))),CG75)/BV75,0)*BV75</f>
        <v>5</v>
      </c>
      <c r="AL75" s="51" t="n">
        <f aca="false">IF(AI75&gt;0,J75/AI75,-1)</f>
        <v>0</v>
      </c>
      <c r="AM75" s="51" t="n">
        <f aca="false">IF(AND(OR(CC75="L1",CC75="L23",CC75="LIFT"),AI75&gt;0),SUMIFS($AI$7:$AI$1843,$CC$7:$CC$1843,CC75,$AL$7:$AL$1843,"&gt;"&amp;AL75)+SUMIFS($AI$7:$AI$1843,$CC$7:$CC$1843,CC75,$AL$7:$AL$1843,AL75,$BT$7:$BT$1843,"&lt;="&amp;BT75),"")</f>
        <v>26583.1941883446</v>
      </c>
      <c r="AN75" s="58" t="n">
        <f aca="false">IF(AM75="",0,MAX(0,MIN(1,(IF(CC75="L1",Parameter!$H$5,IF(CC75="L23",Parameter!$H$6+Parameter!$H$7,Parameter!$H$5+Parameter!$H$6+Parameter!$H$7))-(AM75-AI75))/AI75)))</f>
        <v>1</v>
      </c>
      <c r="AO75" s="50" t="n">
        <f aca="false">IF(LEFT(Cockpit!$I$5,1)="A",H75,IF(CE75=1,CF75,IF(LEFT(Cockpit!$I$5,1)="B",AT75,MAX(AT75,H75))))</f>
        <v>5</v>
      </c>
      <c r="AP75" s="50" t="n">
        <f aca="false">IF(BW75=1,0,ROUNDUP(AO75/BV75,0))</f>
        <v>0</v>
      </c>
      <c r="AQ75" s="52" t="n">
        <f aca="false">IF(CL75&gt;0,CL75*MAX(1,AO75/X75),IF(BW75=1,IF(AO75&lt;=0,0,CA75*MAX(1,IF(H75&gt;0,AO75/H75,1))),IF(R75&gt;0,AP75/R75,0))/MAX(0.1,N(Parameter!$M$21)))</f>
        <v>0.400188323917138</v>
      </c>
      <c r="AR75" s="50" t="n">
        <f aca="false">AQ75*BY75</f>
        <v>95.2448210922787</v>
      </c>
      <c r="AS75" s="50" t="n">
        <f aca="false">AO75*G75</f>
        <v>3370.75</v>
      </c>
      <c r="AT75" s="50" t="n">
        <f aca="false">ROUNDUP(MAX(J75/IF(CD75&gt;0,CD75,MAX(0.1,N(Cockpit!$I$6))),CG75)/BV75,0)*BV75</f>
        <v>5</v>
      </c>
      <c r="AU75" s="51" t="n">
        <f aca="false">IF(AR75&gt;0,J75/AR75,-1)</f>
        <v>0</v>
      </c>
      <c r="AV75" s="51" t="n">
        <f aca="false">IF(AND(OR(CC75="L1",CC75="L23",CC75="LIFT"),AR75&gt;0),SUMIFS($AR$7:$AR$1843,$CC$7:$CC$1843,CC75,$AU$7:$AU$1843,"&gt;"&amp;AU75)+SUMIFS($AR$7:$AR$1843,$CC$7:$CC$1843,CC75,$AU$7:$AU$1843,AU75,$BT$7:$BT$1843,"&lt;="&amp;BT75),"")</f>
        <v>37884.0163722812</v>
      </c>
      <c r="AW75" s="58" t="n">
        <f aca="false">IF(AV75="",0,MAX(0,MIN(1,(IF(CC75="L1",Parameter!$H$5,IF(CC75="L23",Parameter!$H$6+Parameter!$H$7,Parameter!$H$5+Parameter!$H$6+Parameter!$H$7))-(AV75-AR75))/AR75)))</f>
        <v>0</v>
      </c>
      <c r="AX75" s="50" t="n">
        <f aca="false">IF(LEFT(Cockpit!$O$5,1)="A",H75,IF(CE75=1,CF75,IF(LEFT(Cockpit!$O$5,1)="B",BC75,MAX(BC75,H75))))</f>
        <v>5</v>
      </c>
      <c r="AY75" s="50" t="n">
        <f aca="false">IF(BW75=1,0,ROUNDUP(AX75/BV75,0))</f>
        <v>0</v>
      </c>
      <c r="AZ75" s="52" t="n">
        <f aca="false">IF(CL75&gt;0,CL75*MAX(1,AX75/X75),IF(BW75=1,IF(AX75&lt;=0,0,CA75*MAX(1,IF(H75&gt;0,AX75/H75,1))),IF(R75&gt;0,AY75/R75,0))/MAX(0.1,N(Parameter!$M$21)))</f>
        <v>0.400188323917138</v>
      </c>
      <c r="BA75" s="50" t="n">
        <f aca="false">AZ75*BY75</f>
        <v>95.2448210922787</v>
      </c>
      <c r="BB75" s="50" t="n">
        <f aca="false">AX75*G75</f>
        <v>3370.75</v>
      </c>
      <c r="BC75" s="50" t="n">
        <f aca="false">ROUNDUP(MAX(J75/IF(CD75&gt;0,CD75,MAX(0.1,N(Cockpit!$O$6))),CG75)/BV75,0)*BV75</f>
        <v>5</v>
      </c>
      <c r="BD75" s="51" t="n">
        <f aca="false">IF(BA75&gt;0,J75/BA75,-1)</f>
        <v>0</v>
      </c>
      <c r="BE75" s="51" t="n">
        <f aca="false">IF(AND(OR(CC75="L1",CC75="L23",CC75="LIFT"),BA75&gt;0),SUMIFS($BA$7:$BA$1843,$CC$7:$CC$1843,CC75,$BD$7:$BD$1843,"&gt;"&amp;BD75)+SUMIFS($BA$7:$BA$1843,$CC$7:$CC$1843,CC75,$BD$7:$BD$1843,BD75,$BT$7:$BT$1843,"&lt;="&amp;BT75),"")</f>
        <v>34559.0284141471</v>
      </c>
      <c r="BF75" s="58" t="n">
        <f aca="false">IF(BE75="",0,MAX(0,MIN(1,(IF(CC75="L1",Parameter!$H$5,IF(CC75="L23",Parameter!$H$6+Parameter!$H$7,Parameter!$H$5+Parameter!$H$6+Parameter!$H$7))-(BE75-BA75))/BA75)))</f>
        <v>1</v>
      </c>
      <c r="BG75" s="48" t="str">
        <f aca="false">IF(AI75&lt;=0,"",IF(CC75="Aussen","Aussenlager",IF(CC75="-","Nicht im Lift",IF(AN75&gt;=1,"Lift",IF(AN75&lt;=0,"Aussenlager","teilweise")))))</f>
        <v>Lift</v>
      </c>
      <c r="BH75" s="48" t="str">
        <f aca="false">IF(AR75&lt;=0,"",IF(CC75="Aussen","Aussenlager",IF(CC75="-","Nicht im Lift",IF(AW75&gt;=1,"Lift",IF(AW75&lt;=0,"Aussenlager","teilweise")))))</f>
        <v>Aussenlager</v>
      </c>
      <c r="BI75" s="48" t="str">
        <f aca="false">IF(BA75&lt;=0,"",IF(CC75="Aussen","Aussenlager",IF(CC75="-","Nicht im Lift",IF(BF75&gt;=1,"Lift",IF(BF75&lt;=0,"Aussenlager","teilweise")))))</f>
        <v>Lift</v>
      </c>
      <c r="BJ75" s="48" t="str">
        <f aca="false">IF(A75="","",IF(BS75=1,"Neu; ","")&amp;IF(AND(BS75=0,BN75&lt;0),"negativer Bestand (Export "&amp;BN75&amp;"); ","")&amp;IF(J75&lt;=0,"Kein Verbrauch; ","")&amp;IF(CL75&gt;0,"Lift "&amp;W75&amp;" lt. Liftbericht (Fach "&amp;X75&amp;" Stk); ",IF(BX75=1,"Gebinde geschätzt ("&amp;T75&amp;"); ",IF(BW75=1,"Lose – Tablare geschätzt; ","")))&amp;IF(H75&gt;AT75,"Überbestand "&amp;ROUND(H75-AT75,0)&amp;" Stk / CHF "&amp;ROUND((H75-AT75)*G75,0)&amp;"; ","")&amp;IF(AND(CE75=1,CF75&lt;CG75),"MAX &lt; MB+LG; ","")&amp;IF(AND(CK75&gt;0,CJ75*10&gt;CK75),"zu hoch für Tablar; ","")&amp;IF(AND(BS75=0,OR(CE75=1,AA75&lt;&gt;"",U75&lt;&gt;"",V75&lt;&gt;"",AB75&lt;&gt;"")),"manuell übersteuert; ","")&amp;IF(AND(BW75=0,R75=0),"Gebinde unbekannt / Stellmass fehlt; ","")&amp;IF(AND(BW75=0,N(V75)&lt;=0,N(Q75)&lt;=0),"Menge pro Gebinde fehlt (Ist = 1 Gebinde); ","")&amp;BR75)</f>
        <v>Kein Verbrauch; Lift 1 lt. Liftbericht (Fach 4 Stk); </v>
      </c>
      <c r="BK75" s="48" t="s">
        <v>360</v>
      </c>
      <c r="BL75" s="48" t="s">
        <v>349</v>
      </c>
      <c r="BM75" s="55"/>
      <c r="BN75" s="50" t="n">
        <v>5</v>
      </c>
      <c r="BO75" s="50" t="n">
        <v>0</v>
      </c>
      <c r="BP75" s="49" t="n">
        <v>3370.75</v>
      </c>
      <c r="BQ75" s="50" t="n">
        <v>0</v>
      </c>
      <c r="BR75" s="48"/>
      <c r="BS75" s="53" t="n">
        <v>0</v>
      </c>
      <c r="BT75" s="53" t="n">
        <v>75</v>
      </c>
      <c r="BU75" s="48" t="str">
        <f aca="false">IF(U75&lt;&gt;"",UPPER(TRIM(U75)),IF(BX75=1,UPPER(VLOOKUP(T75,Parameter!$I$27:$K$29,2,0)),IF(P75="","LOSE",P75)))</f>
        <v>LOSE</v>
      </c>
      <c r="BV75" s="50" t="n">
        <f aca="false">IF(BU75="LOSE",1,IF(N(V75)&gt;0,V75,IF(BX75=1,MAX(1,N(VLOOKUP(T75,Parameter!$I$27:$K$29,3,0)),H75,N(N75)),IF(N(Q75)&gt;0,Q75,MAX(1,H75)))))</f>
        <v>1</v>
      </c>
      <c r="BW75" s="53" t="n">
        <f aca="false">IF(BU75="LOSE",1,0)</f>
        <v>1</v>
      </c>
      <c r="BX75" s="53" t="n">
        <f aca="false">IF(AND(U75="",OR(P75="",P75="LOSE"),T75&lt;&gt;"",N(S75)&lt;=0,ISNUMBER(MATCH(T75,Parameter!$I$27:$I$29,0))),1,0)</f>
        <v>0</v>
      </c>
      <c r="BY75" s="53" t="n">
        <f aca="false">IF(CL75&gt;0,INDEX(Parameter!$H$5:$H$7,W75)/INDEX(Parameter!$E$5:$E$7,W75),IF(AND(BW75=0,N(IFERROR(VLOOKUP(BU75,'Gebinde-Kategorie'!$A$5:$N$45,14,0),0))&gt;0),VLOOKUP(BU75,'Gebinde-Kategorie'!$A$5:$N$45,14,0)*10+Parameter!$M$23,Parameter!$M$24))</f>
        <v>238</v>
      </c>
      <c r="BZ75" s="48" t="str">
        <f aca="false">IF(AND(Parameter!$B$19="Ja",E75&lt;&gt;"",ISNUMBER(MATCH(E75,Parameter!$I$35:$I$52,0))),VLOOKUP(E75,Parameter!$I$35:$J$52,2,0),IFERROR(VLOOKUP(D75,Parameter!$A$35:$C$64,2,0),"Nein"))</f>
        <v>2+3</v>
      </c>
      <c r="CA75" s="52" t="n">
        <f aca="false">IF(BW75=0,0,IF(N(S75)&gt;0,S75,IFERROR(VLOOKUP(D75,Parameter!$A$35:$C$64,3,0)+0,0)))</f>
        <v>0.15</v>
      </c>
      <c r="CB75" s="48" t="n">
        <f aca="false">IF(AA75&lt;&gt;"",AA75,Z75)</f>
        <v>1</v>
      </c>
      <c r="CC75" s="48" t="str">
        <f aca="false">IF(OR(CB75=1,CB75=2,CB75=3),IF(Parameter!$E$27="Ja","LIFT",IF(CB75=1,"L1","L23")),IF(CB75="Aussen","Aussen","-"))</f>
        <v>LIFT</v>
      </c>
      <c r="CD75" s="59" t="n">
        <f aca="false">IF(N(AB75)&gt;0,AB75,0)</f>
        <v>0</v>
      </c>
      <c r="CE75" s="53" t="n">
        <f aca="false">IF(ISNUMBER(AE75),1,0)</f>
        <v>0</v>
      </c>
      <c r="CF75" s="50" t="n">
        <f aca="false">N(AE75)</f>
        <v>0</v>
      </c>
      <c r="CG75" s="50" t="n">
        <f aca="false">N(M75)+N(N75)</f>
        <v>5</v>
      </c>
      <c r="CH75" s="50" t="n">
        <f aca="false">ROUNDUP(H75/BV75,0)</f>
        <v>2</v>
      </c>
      <c r="CI75" s="50" t="n">
        <f aca="false">ROUNDUP(CF75/BV75,0)</f>
        <v>0</v>
      </c>
      <c r="CJ75" s="53" t="n">
        <f aca="false">IF(BW75=1,0,IFERROR(VLOOKUP(BU75,'Gebinde-Kategorie'!$A$5:$N$45,5,0)+0,0))</f>
        <v>0</v>
      </c>
      <c r="CK75" s="53" t="n">
        <f aca="false">IFERROR(IF(OR(CB75=1,CB75=2,CB75=3),N(INDEX(Parameter!$I$5:$I$7,CB75)),0),0)</f>
        <v>0</v>
      </c>
      <c r="CL75" s="52" t="n">
        <f aca="false">IF(AND(Parameter!$B$21="Ja",ISNUMBER(W75),N(X75)&gt;0),IFERROR(N(INDEX(Parameter!$L$5:$L$7,W75))*INDEX(Parameter!$E$5:$E$7,W75)*X75/SUMIFS($X$7:$X$1843,$W$7:$W$1843,W75),0),0)</f>
        <v>0.32015065913371</v>
      </c>
    </row>
    <row r="76" customFormat="false" ht="15" hidden="false" customHeight="false" outlineLevel="0" collapsed="false">
      <c r="A76" s="48" t="s">
        <v>361</v>
      </c>
      <c r="B76" s="48" t="s">
        <v>362</v>
      </c>
      <c r="C76" s="48" t="s">
        <v>168</v>
      </c>
      <c r="D76" s="48" t="s">
        <v>177</v>
      </c>
      <c r="E76" s="48" t="s">
        <v>189</v>
      </c>
      <c r="F76" s="48" t="s">
        <v>222</v>
      </c>
      <c r="G76" s="49" t="n">
        <v>186.8</v>
      </c>
      <c r="H76" s="50" t="n">
        <f aca="false">MAX(0,IF(AND(Parameter!$B$21="Ja",ISNUMBER(Y76)),Y76,IF(Parameter!$B$20="Jahresanfang 2025 + Export",BO76+BN76,BN76)))</f>
        <v>19</v>
      </c>
      <c r="I76" s="50" t="n">
        <f aca="false">H76*G76</f>
        <v>3549.2</v>
      </c>
      <c r="J76" s="50" t="n">
        <f aca="false">BQ76*Parameter!$B$18</f>
        <v>46</v>
      </c>
      <c r="K76" s="51" t="n">
        <v>8</v>
      </c>
      <c r="L76" s="52" t="n">
        <v>5.75</v>
      </c>
      <c r="M76" s="50" t="n">
        <v>5</v>
      </c>
      <c r="N76" s="50" t="n">
        <v>25</v>
      </c>
      <c r="O76" s="53" t="n">
        <v>49</v>
      </c>
      <c r="P76" s="48" t="s">
        <v>178</v>
      </c>
      <c r="Q76" s="50" t="n">
        <v>13</v>
      </c>
      <c r="R76" s="53" t="n">
        <f aca="false">IF(BW76=1,0,IFERROR(VLOOKUP(BU76,'Gebinde-Kategorie'!$A$5:$N$45,13,0)+0,0))</f>
        <v>6</v>
      </c>
      <c r="S76" s="54"/>
      <c r="T76" s="55"/>
      <c r="U76" s="55"/>
      <c r="V76" s="55"/>
      <c r="W76" s="48"/>
      <c r="X76" s="50"/>
      <c r="Y76" s="50"/>
      <c r="Z76" s="48" t="n">
        <f aca="false">IF(A76="","",IF(AND(Parameter!$B$21="Ja",ISNUMBER(W76)),W76,IF(BZ76="2+3",IF(ISNUMBER(SEARCH("grosser Artikel",BR76)),2,IFERROR(VLOOKUP(BU76,Parameter!$F$35:$G$64,2,0),2)),IF(OR(BZ76="Nein",BZ76=""),"-",BZ76))))</f>
        <v>2</v>
      </c>
      <c r="AA76" s="55"/>
      <c r="AB76" s="56"/>
      <c r="AC76" s="50" t="n">
        <f aca="false">AT76</f>
        <v>39</v>
      </c>
      <c r="AD76" s="50" t="n">
        <f aca="false">MAX(AT76,H76)</f>
        <v>39</v>
      </c>
      <c r="AE76" s="57"/>
      <c r="AF76" s="50" t="n">
        <f aca="false">IF(LEFT(Cockpit!$C$5,1)="A",H76,IF(CE76=1,CF76,IF(LEFT(Cockpit!$C$5,1)="B",AK76,MAX(AK76,H76))))</f>
        <v>19</v>
      </c>
      <c r="AG76" s="50" t="n">
        <f aca="false">IF(BW76=1,0,ROUNDUP(AF76/BV76,0))</f>
        <v>2</v>
      </c>
      <c r="AH76" s="52" t="n">
        <f aca="false">IF(CL76&gt;0,CL76*MAX(1,AF76/X76),IF(BW76=1,IF(AF76&lt;=0,0,CA76*MAX(1,IF(H76&gt;0,AF76/H76,1))),IF(R76&gt;0,AG76/R76,0))/MAX(0.1,N(Parameter!$M$21)))</f>
        <v>0.333333333333333</v>
      </c>
      <c r="AI76" s="50" t="n">
        <f aca="false">AH76*BY76</f>
        <v>78.3333333333333</v>
      </c>
      <c r="AJ76" s="50" t="n">
        <f aca="false">AF76*G76</f>
        <v>3549.2</v>
      </c>
      <c r="AK76" s="50" t="n">
        <f aca="false">ROUNDUP(MAX(J76/IF(CD76&gt;0,CD76,MAX(0.1,N(Cockpit!$C$6))),CG76)/BV76,0)*BV76</f>
        <v>39</v>
      </c>
      <c r="AL76" s="51" t="n">
        <f aca="false">IF(AI76&gt;0,J76/AI76,-1)</f>
        <v>0.587234042553192</v>
      </c>
      <c r="AM76" s="51" t="n">
        <f aca="false">IF(AND(OR(CC76="L1",CC76="L23",CC76="LIFT"),AI76&gt;0),SUMIFS($AI$7:$AI$1843,$CC$7:$CC$1843,CC76,$AL$7:$AL$1843,"&gt;"&amp;AL76)+SUMIFS($AI$7:$AI$1843,$CC$7:$CC$1843,CC76,$AL$7:$AL$1843,AL76,$BT$7:$BT$1843,"&lt;="&amp;BT76),"")</f>
        <v>9357.86947703897</v>
      </c>
      <c r="AN76" s="58" t="n">
        <f aca="false">IF(AM76="",0,MAX(0,MIN(1,(IF(CC76="L1",Parameter!$H$5,IF(CC76="L23",Parameter!$H$6+Parameter!$H$7,Parameter!$H$5+Parameter!$H$6+Parameter!$H$7))-(AM76-AI76))/AI76)))</f>
        <v>1</v>
      </c>
      <c r="AO76" s="50" t="n">
        <f aca="false">IF(LEFT(Cockpit!$I$5,1)="A",H76,IF(CE76=1,CF76,IF(LEFT(Cockpit!$I$5,1)="B",AT76,MAX(AT76,H76))))</f>
        <v>39</v>
      </c>
      <c r="AP76" s="50" t="n">
        <f aca="false">IF(BW76=1,0,ROUNDUP(AO76/BV76,0))</f>
        <v>3</v>
      </c>
      <c r="AQ76" s="52" t="n">
        <f aca="false">IF(CL76&gt;0,CL76*MAX(1,AO76/X76),IF(BW76=1,IF(AO76&lt;=0,0,CA76*MAX(1,IF(H76&gt;0,AO76/H76,1))),IF(R76&gt;0,AP76/R76,0))/MAX(0.1,N(Parameter!$M$21)))</f>
        <v>0.5</v>
      </c>
      <c r="AR76" s="50" t="n">
        <f aca="false">AQ76*BY76</f>
        <v>117.5</v>
      </c>
      <c r="AS76" s="50" t="n">
        <f aca="false">AO76*G76</f>
        <v>7285.2</v>
      </c>
      <c r="AT76" s="50" t="n">
        <f aca="false">ROUNDUP(MAX(J76/IF(CD76&gt;0,CD76,MAX(0.1,N(Cockpit!$I$6))),CG76)/BV76,0)*BV76</f>
        <v>39</v>
      </c>
      <c r="AU76" s="51" t="n">
        <f aca="false">IF(AR76&gt;0,J76/AR76,-1)</f>
        <v>0.391489361702128</v>
      </c>
      <c r="AV76" s="51" t="n">
        <f aca="false">IF(AND(OR(CC76="L1",CC76="L23",CC76="LIFT"),AR76&gt;0),SUMIFS($AR$7:$AR$1843,$CC$7:$CC$1843,CC76,$AU$7:$AU$1843,"&gt;"&amp;AU76)+SUMIFS($AR$7:$AR$1843,$CC$7:$CC$1843,CC76,$AU$7:$AU$1843,AU76,$BT$7:$BT$1843,"&lt;="&amp;BT76),"")</f>
        <v>15205.5315934066</v>
      </c>
      <c r="AW76" s="58" t="n">
        <f aca="false">IF(AV76="",0,MAX(0,MIN(1,(IF(CC76="L1",Parameter!$H$5,IF(CC76="L23",Parameter!$H$6+Parameter!$H$7,Parameter!$H$5+Parameter!$H$6+Parameter!$H$7))-(AV76-AR76))/AR76)))</f>
        <v>1</v>
      </c>
      <c r="AX76" s="50" t="n">
        <f aca="false">IF(LEFT(Cockpit!$O$5,1)="A",H76,IF(CE76=1,CF76,IF(LEFT(Cockpit!$O$5,1)="B",BC76,MAX(BC76,H76))))</f>
        <v>39</v>
      </c>
      <c r="AY76" s="50" t="n">
        <f aca="false">IF(BW76=1,0,ROUNDUP(AX76/BV76,0))</f>
        <v>3</v>
      </c>
      <c r="AZ76" s="52" t="n">
        <f aca="false">IF(CL76&gt;0,CL76*MAX(1,AX76/X76),IF(BW76=1,IF(AX76&lt;=0,0,CA76*MAX(1,IF(H76&gt;0,AX76/H76,1))),IF(R76&gt;0,AY76/R76,0))/MAX(0.1,N(Parameter!$M$21)))</f>
        <v>0.5</v>
      </c>
      <c r="BA76" s="50" t="n">
        <f aca="false">AZ76*BY76</f>
        <v>117.5</v>
      </c>
      <c r="BB76" s="50" t="n">
        <f aca="false">AX76*G76</f>
        <v>7285.2</v>
      </c>
      <c r="BC76" s="50" t="n">
        <f aca="false">ROUNDUP(MAX(J76/IF(CD76&gt;0,CD76,MAX(0.1,N(Cockpit!$O$6))),CG76)/BV76,0)*BV76</f>
        <v>39</v>
      </c>
      <c r="BD76" s="51" t="n">
        <f aca="false">IF(BA76&gt;0,J76/BA76,-1)</f>
        <v>0.391489361702128</v>
      </c>
      <c r="BE76" s="51" t="n">
        <f aca="false">IF(AND(OR(CC76="L1",CC76="L23",CC76="LIFT"),BA76&gt;0),SUMIFS($BA$7:$BA$1843,$CC$7:$CC$1843,CC76,$BD$7:$BD$1843,"&gt;"&amp;BD76)+SUMIFS($BA$7:$BA$1843,$CC$7:$CC$1843,CC76,$BD$7:$BD$1843,BD76,$BT$7:$BT$1843,"&lt;="&amp;BT76),"")</f>
        <v>14191.1886446886</v>
      </c>
      <c r="BF76" s="58" t="n">
        <f aca="false">IF(BE76="",0,MAX(0,MIN(1,(IF(CC76="L1",Parameter!$H$5,IF(CC76="L23",Parameter!$H$6+Parameter!$H$7,Parameter!$H$5+Parameter!$H$6+Parameter!$H$7))-(BE76-BA76))/BA76)))</f>
        <v>1</v>
      </c>
      <c r="BG76" s="48" t="str">
        <f aca="false">IF(AI76&lt;=0,"",IF(CC76="Aussen","Aussenlager",IF(CC76="-","Nicht im Lift",IF(AN76&gt;=1,"Lift",IF(AN76&lt;=0,"Aussenlager","teilweise")))))</f>
        <v>Lift</v>
      </c>
      <c r="BH76" s="48" t="str">
        <f aca="false">IF(AR76&lt;=0,"",IF(CC76="Aussen","Aussenlager",IF(CC76="-","Nicht im Lift",IF(AW76&gt;=1,"Lift",IF(AW76&lt;=0,"Aussenlager","teilweise")))))</f>
        <v>Lift</v>
      </c>
      <c r="BI76" s="48" t="str">
        <f aca="false">IF(BA76&lt;=0,"",IF(CC76="Aussen","Aussenlager",IF(CC76="-","Nicht im Lift",IF(BF76&gt;=1,"Lift",IF(BF76&lt;=0,"Aussenlager","teilweise")))))</f>
        <v>Lift</v>
      </c>
      <c r="BJ76" s="48" t="str">
        <f aca="false">IF(A76="","",IF(BS76=1,"Neu; ","")&amp;IF(AND(BS76=0,BN76&lt;0),"negativer Bestand (Export "&amp;BN76&amp;"); ","")&amp;IF(J76&lt;=0,"Kein Verbrauch; ","")&amp;IF(CL76&gt;0,"Lift "&amp;W76&amp;" lt. Liftbericht (Fach "&amp;X76&amp;" Stk); ",IF(BX76=1,"Gebinde geschätzt ("&amp;T76&amp;"); ",IF(BW76=1,"Lose – Tablare geschätzt; ","")))&amp;IF(H76&gt;AT76,"Überbestand "&amp;ROUND(H76-AT76,0)&amp;" Stk / CHF "&amp;ROUND((H76-AT76)*G76,0)&amp;"; ","")&amp;IF(AND(CE76=1,CF76&lt;CG76),"MAX &lt; MB+LG; ","")&amp;IF(AND(CK76&gt;0,CJ76*10&gt;CK76),"zu hoch für Tablar; ","")&amp;IF(AND(BS76=0,OR(CE76=1,AA76&lt;&gt;"",U76&lt;&gt;"",V76&lt;&gt;"",AB76&lt;&gt;"")),"manuell übersteuert; ","")&amp;IF(AND(BW76=0,R76=0),"Gebinde unbekannt / Stellmass fehlt; ","")&amp;IF(AND(BW76=0,N(V76)&lt;=0,N(Q76)&lt;=0),"Menge pro Gebinde fehlt (Ist = 1 Gebinde); ","")&amp;BR76)</f>
        <v>Überbestand; grosser Artikel &amp; nicht im KTL</v>
      </c>
      <c r="BK76" s="48"/>
      <c r="BL76" s="48"/>
      <c r="BM76" s="55"/>
      <c r="BN76" s="50" t="n">
        <v>18</v>
      </c>
      <c r="BO76" s="50" t="n">
        <v>1</v>
      </c>
      <c r="BP76" s="49" t="n">
        <v>3364.03</v>
      </c>
      <c r="BQ76" s="50" t="n">
        <v>46</v>
      </c>
      <c r="BR76" s="48" t="s">
        <v>363</v>
      </c>
      <c r="BS76" s="53" t="n">
        <v>0</v>
      </c>
      <c r="BT76" s="53" t="n">
        <v>76</v>
      </c>
      <c r="BU76" s="48" t="str">
        <f aca="false">IF(U76&lt;&gt;"",UPPER(TRIM(U76)),IF(BX76=1,UPPER(VLOOKUP(T76,Parameter!$I$27:$K$29,2,0)),IF(P76="","LOSE",P76)))</f>
        <v>S71</v>
      </c>
      <c r="BV76" s="50" t="n">
        <f aca="false">IF(BU76="LOSE",1,IF(N(V76)&gt;0,V76,IF(BX76=1,MAX(1,N(VLOOKUP(T76,Parameter!$I$27:$K$29,3,0)),H76,N(N76)),IF(N(Q76)&gt;0,Q76,MAX(1,H76)))))</f>
        <v>13</v>
      </c>
      <c r="BW76" s="53" t="n">
        <f aca="false">IF(BU76="LOSE",1,0)</f>
        <v>0</v>
      </c>
      <c r="BX76" s="53" t="n">
        <f aca="false">IF(AND(U76="",OR(P76="",P76="LOSE"),T76&lt;&gt;"",N(S76)&lt;=0,ISNUMBER(MATCH(T76,Parameter!$I$27:$I$29,0))),1,0)</f>
        <v>0</v>
      </c>
      <c r="BY76" s="53" t="n">
        <f aca="false">IF(CL76&gt;0,INDEX(Parameter!$H$5:$H$7,W76)/INDEX(Parameter!$E$5:$E$7,W76),IF(AND(BW76=0,N(IFERROR(VLOOKUP(BU76,'Gebinde-Kategorie'!$A$5:$N$45,14,0),0))&gt;0),VLOOKUP(BU76,'Gebinde-Kategorie'!$A$5:$N$45,14,0)*10+Parameter!$M$23,Parameter!$M$24))</f>
        <v>235</v>
      </c>
      <c r="BZ76" s="48" t="str">
        <f aca="false">IF(AND(Parameter!$B$19="Ja",E76&lt;&gt;"",ISNUMBER(MATCH(E76,Parameter!$I$35:$I$52,0))),VLOOKUP(E76,Parameter!$I$35:$J$52,2,0),IFERROR(VLOOKUP(D76,Parameter!$A$35:$C$64,2,0),"Nein"))</f>
        <v>2+3</v>
      </c>
      <c r="CA76" s="52" t="n">
        <f aca="false">IF(BW76=0,0,IF(N(S76)&gt;0,S76,IFERROR(VLOOKUP(D76,Parameter!$A$35:$C$64,3,0)+0,0)))</f>
        <v>0</v>
      </c>
      <c r="CB76" s="48" t="n">
        <f aca="false">IF(AA76&lt;&gt;"",AA76,Z76)</f>
        <v>2</v>
      </c>
      <c r="CC76" s="48" t="str">
        <f aca="false">IF(OR(CB76=1,CB76=2,CB76=3),IF(Parameter!$E$27="Ja","LIFT",IF(CB76=1,"L1","L23")),IF(CB76="Aussen","Aussen","-"))</f>
        <v>LIFT</v>
      </c>
      <c r="CD76" s="59" t="n">
        <f aca="false">IF(N(AB76)&gt;0,AB76,0)</f>
        <v>0</v>
      </c>
      <c r="CE76" s="53" t="n">
        <f aca="false">IF(ISNUMBER(AE76),1,0)</f>
        <v>0</v>
      </c>
      <c r="CF76" s="50" t="n">
        <f aca="false">N(AE76)</f>
        <v>0</v>
      </c>
      <c r="CG76" s="50" t="n">
        <f aca="false">N(M76)+N(N76)</f>
        <v>30</v>
      </c>
      <c r="CH76" s="50" t="n">
        <f aca="false">ROUNDUP(H76/BV76,0)</f>
        <v>2</v>
      </c>
      <c r="CI76" s="50" t="n">
        <f aca="false">ROUNDUP(CF76/BV76,0)</f>
        <v>0</v>
      </c>
      <c r="CJ76" s="53" t="n">
        <f aca="false">IF(BW76=1,0,IFERROR(VLOOKUP(BU76,'Gebinde-Kategorie'!$A$5:$N$45,5,0)+0,0))</f>
        <v>20</v>
      </c>
      <c r="CK76" s="53" t="n">
        <f aca="false">IFERROR(IF(OR(CB76=1,CB76=2,CB76=3),N(INDEX(Parameter!$I$5:$I$7,CB76)),0),0)</f>
        <v>0</v>
      </c>
      <c r="CL76" s="52" t="n">
        <f aca="false">IF(AND(Parameter!$B$21="Ja",ISNUMBER(W76),N(X76)&gt;0),IFERROR(N(INDEX(Parameter!$L$5:$L$7,W76))*INDEX(Parameter!$E$5:$E$7,W76)*X76/SUMIFS($X$7:$X$1843,$W$7:$W$1843,W76),0),0)</f>
        <v>0</v>
      </c>
    </row>
    <row r="77" customFormat="false" ht="15" hidden="false" customHeight="false" outlineLevel="0" collapsed="false">
      <c r="A77" s="48" t="s">
        <v>364</v>
      </c>
      <c r="B77" s="48" t="s">
        <v>365</v>
      </c>
      <c r="C77" s="48" t="s">
        <v>168</v>
      </c>
      <c r="D77" s="48" t="s">
        <v>177</v>
      </c>
      <c r="E77" s="48"/>
      <c r="F77" s="48" t="s">
        <v>222</v>
      </c>
      <c r="G77" s="49" t="n">
        <v>553.67</v>
      </c>
      <c r="H77" s="50" t="n">
        <f aca="false">MAX(0,IF(AND(Parameter!$B$21="Ja",ISNUMBER(Y77)),Y77,IF(Parameter!$B$20="Jahresanfang 2025 + Export",BO77+BN77,BN77)))</f>
        <v>6</v>
      </c>
      <c r="I77" s="50" t="n">
        <f aca="false">H77*G77</f>
        <v>3322.02</v>
      </c>
      <c r="J77" s="50" t="n">
        <f aca="false">BQ77*Parameter!$B$18</f>
        <v>18</v>
      </c>
      <c r="K77" s="51" t="n">
        <v>7</v>
      </c>
      <c r="L77" s="52" t="n">
        <v>2.57142857142857</v>
      </c>
      <c r="M77" s="50" t="n">
        <v>3</v>
      </c>
      <c r="N77" s="50" t="n">
        <v>10</v>
      </c>
      <c r="O77" s="53" t="n">
        <v>63</v>
      </c>
      <c r="P77" s="48" t="s">
        <v>178</v>
      </c>
      <c r="Q77" s="50" t="n">
        <v>20</v>
      </c>
      <c r="R77" s="53" t="n">
        <f aca="false">IF(BW77=1,0,IFERROR(VLOOKUP(BU77,'Gebinde-Kategorie'!$A$5:$N$45,13,0)+0,0))</f>
        <v>6</v>
      </c>
      <c r="S77" s="54"/>
      <c r="T77" s="55"/>
      <c r="U77" s="55"/>
      <c r="V77" s="55"/>
      <c r="W77" s="48"/>
      <c r="X77" s="50"/>
      <c r="Y77" s="50"/>
      <c r="Z77" s="48" t="n">
        <f aca="false">IF(A77="","",IF(AND(Parameter!$B$21="Ja",ISNUMBER(W77)),W77,IF(BZ77="2+3",IF(ISNUMBER(SEARCH("grosser Artikel",BR77)),2,IFERROR(VLOOKUP(BU77,Parameter!$F$35:$G$64,2,0),2)),IF(OR(BZ77="Nein",BZ77=""),"-",BZ77))))</f>
        <v>2</v>
      </c>
      <c r="AA77" s="55"/>
      <c r="AB77" s="56"/>
      <c r="AC77" s="50" t="n">
        <f aca="false">AT77</f>
        <v>20</v>
      </c>
      <c r="AD77" s="50" t="n">
        <f aca="false">MAX(AT77,H77)</f>
        <v>20</v>
      </c>
      <c r="AE77" s="57"/>
      <c r="AF77" s="50" t="n">
        <f aca="false">IF(LEFT(Cockpit!$C$5,1)="A",H77,IF(CE77=1,CF77,IF(LEFT(Cockpit!$C$5,1)="B",AK77,MAX(AK77,H77))))</f>
        <v>6</v>
      </c>
      <c r="AG77" s="50" t="n">
        <f aca="false">IF(BW77=1,0,ROUNDUP(AF77/BV77,0))</f>
        <v>1</v>
      </c>
      <c r="AH77" s="52" t="n">
        <f aca="false">IF(CL77&gt;0,CL77*MAX(1,AF77/X77),IF(BW77=1,IF(AF77&lt;=0,0,CA77*MAX(1,IF(H77&gt;0,AF77/H77,1))),IF(R77&gt;0,AG77/R77,0))/MAX(0.1,N(Parameter!$M$21)))</f>
        <v>0.166666666666667</v>
      </c>
      <c r="AI77" s="50" t="n">
        <f aca="false">AH77*BY77</f>
        <v>39.1666666666667</v>
      </c>
      <c r="AJ77" s="50" t="n">
        <f aca="false">AF77*G77</f>
        <v>3322.02</v>
      </c>
      <c r="AK77" s="50" t="n">
        <f aca="false">ROUNDUP(MAX(J77/IF(CD77&gt;0,CD77,MAX(0.1,N(Cockpit!$C$6))),CG77)/BV77,0)*BV77</f>
        <v>20</v>
      </c>
      <c r="AL77" s="51" t="n">
        <f aca="false">IF(AI77&gt;0,J77/AI77,-1)</f>
        <v>0.459574468085106</v>
      </c>
      <c r="AM77" s="51" t="n">
        <f aca="false">IF(AND(OR(CC77="L1",CC77="L23",CC77="LIFT"),AI77&gt;0),SUMIFS($AI$7:$AI$1843,$CC$7:$CC$1843,CC77,$AL$7:$AL$1843,"&gt;"&amp;AL77)+SUMIFS($AI$7:$AI$1843,$CC$7:$CC$1843,CC77,$AL$7:$AL$1843,AL77,$BT$7:$BT$1843,"&lt;="&amp;BT77),"")</f>
        <v>9739.34383601333</v>
      </c>
      <c r="AN77" s="58" t="n">
        <f aca="false">IF(AM77="",0,MAX(0,MIN(1,(IF(CC77="L1",Parameter!$H$5,IF(CC77="L23",Parameter!$H$6+Parameter!$H$7,Parameter!$H$5+Parameter!$H$6+Parameter!$H$7))-(AM77-AI77))/AI77)))</f>
        <v>1</v>
      </c>
      <c r="AO77" s="50" t="n">
        <f aca="false">IF(LEFT(Cockpit!$I$5,1)="A",H77,IF(CE77=1,CF77,IF(LEFT(Cockpit!$I$5,1)="B",AT77,MAX(AT77,H77))))</f>
        <v>20</v>
      </c>
      <c r="AP77" s="50" t="n">
        <f aca="false">IF(BW77=1,0,ROUNDUP(AO77/BV77,0))</f>
        <v>1</v>
      </c>
      <c r="AQ77" s="52" t="n">
        <f aca="false">IF(CL77&gt;0,CL77*MAX(1,AO77/X77),IF(BW77=1,IF(AO77&lt;=0,0,CA77*MAX(1,IF(H77&gt;0,AO77/H77,1))),IF(R77&gt;0,AP77/R77,0))/MAX(0.1,N(Parameter!$M$21)))</f>
        <v>0.166666666666667</v>
      </c>
      <c r="AR77" s="50" t="n">
        <f aca="false">AQ77*BY77</f>
        <v>39.1666666666667</v>
      </c>
      <c r="AS77" s="50" t="n">
        <f aca="false">AO77*G77</f>
        <v>11073.4</v>
      </c>
      <c r="AT77" s="50" t="n">
        <f aca="false">ROUNDUP(MAX(J77/IF(CD77&gt;0,CD77,MAX(0.1,N(Cockpit!$I$6))),CG77)/BV77,0)*BV77</f>
        <v>20</v>
      </c>
      <c r="AU77" s="51" t="n">
        <f aca="false">IF(AR77&gt;0,J77/AR77,-1)</f>
        <v>0.459574468085106</v>
      </c>
      <c r="AV77" s="51" t="n">
        <f aca="false">IF(AND(OR(CC77="L1",CC77="L23",CC77="LIFT"),AR77&gt;0),SUMIFS($AR$7:$AR$1843,$CC$7:$CC$1843,CC77,$AU$7:$AU$1843,"&gt;"&amp;AU77)+SUMIFS($AR$7:$AR$1843,$CC$7:$CC$1843,CC77,$AU$7:$AU$1843,AU77,$BT$7:$BT$1843,"&lt;="&amp;BT77),"")</f>
        <v>14751.0068681319</v>
      </c>
      <c r="AW77" s="58" t="n">
        <f aca="false">IF(AV77="",0,MAX(0,MIN(1,(IF(CC77="L1",Parameter!$H$5,IF(CC77="L23",Parameter!$H$6+Parameter!$H$7,Parameter!$H$5+Parameter!$H$6+Parameter!$H$7))-(AV77-AR77))/AR77)))</f>
        <v>1</v>
      </c>
      <c r="AX77" s="50" t="n">
        <f aca="false">IF(LEFT(Cockpit!$O$5,1)="A",H77,IF(CE77=1,CF77,IF(LEFT(Cockpit!$O$5,1)="B",BC77,MAX(BC77,H77))))</f>
        <v>20</v>
      </c>
      <c r="AY77" s="50" t="n">
        <f aca="false">IF(BW77=1,0,ROUNDUP(AX77/BV77,0))</f>
        <v>1</v>
      </c>
      <c r="AZ77" s="52" t="n">
        <f aca="false">IF(CL77&gt;0,CL77*MAX(1,AX77/X77),IF(BW77=1,IF(AX77&lt;=0,0,CA77*MAX(1,IF(H77&gt;0,AX77/H77,1))),IF(R77&gt;0,AY77/R77,0))/MAX(0.1,N(Parameter!$M$21)))</f>
        <v>0.166666666666667</v>
      </c>
      <c r="BA77" s="50" t="n">
        <f aca="false">AZ77*BY77</f>
        <v>39.1666666666667</v>
      </c>
      <c r="BB77" s="50" t="n">
        <f aca="false">AX77*G77</f>
        <v>11073.4</v>
      </c>
      <c r="BC77" s="50" t="n">
        <f aca="false">ROUNDUP(MAX(J77/IF(CD77&gt;0,CD77,MAX(0.1,N(Cockpit!$O$6))),CG77)/BV77,0)*BV77</f>
        <v>20</v>
      </c>
      <c r="BD77" s="51" t="n">
        <f aca="false">IF(BA77&gt;0,J77/BA77,-1)</f>
        <v>0.459574468085106</v>
      </c>
      <c r="BE77" s="51" t="n">
        <f aca="false">IF(AND(OR(CC77="L1",CC77="L23",CC77="LIFT"),BA77&gt;0),SUMIFS($BA$7:$BA$1843,$CC$7:$CC$1843,CC77,$BD$7:$BD$1843,"&gt;"&amp;BD77)+SUMIFS($BA$7:$BA$1843,$CC$7:$CC$1843,CC77,$BD$7:$BD$1843,BD77,$BT$7:$BT$1843,"&lt;="&amp;BT77),"")</f>
        <v>13384.1639194139</v>
      </c>
      <c r="BF77" s="58" t="n">
        <f aca="false">IF(BE77="",0,MAX(0,MIN(1,(IF(CC77="L1",Parameter!$H$5,IF(CC77="L23",Parameter!$H$6+Parameter!$H$7,Parameter!$H$5+Parameter!$H$6+Parameter!$H$7))-(BE77-BA77))/BA77)))</f>
        <v>1</v>
      </c>
      <c r="BG77" s="48" t="str">
        <f aca="false">IF(AI77&lt;=0,"",IF(CC77="Aussen","Aussenlager",IF(CC77="-","Nicht im Lift",IF(AN77&gt;=1,"Lift",IF(AN77&lt;=0,"Aussenlager","teilweise")))))</f>
        <v>Lift</v>
      </c>
      <c r="BH77" s="48" t="str">
        <f aca="false">IF(AR77&lt;=0,"",IF(CC77="Aussen","Aussenlager",IF(CC77="-","Nicht im Lift",IF(AW77&gt;=1,"Lift",IF(AW77&lt;=0,"Aussenlager","teilweise")))))</f>
        <v>Lift</v>
      </c>
      <c r="BI77" s="48" t="str">
        <f aca="false">IF(BA77&lt;=0,"",IF(CC77="Aussen","Aussenlager",IF(CC77="-","Nicht im Lift",IF(BF77&gt;=1,"Lift",IF(BF77&lt;=0,"Aussenlager","teilweise")))))</f>
        <v>Lift</v>
      </c>
      <c r="BJ77" s="48" t="str">
        <f aca="false">IF(A77="","",IF(BS77=1,"Neu; ","")&amp;IF(AND(BS77=0,BN77&lt;0),"negativer Bestand (Export "&amp;BN77&amp;"); ","")&amp;IF(J77&lt;=0,"Kein Verbrauch; ","")&amp;IF(CL77&gt;0,"Lift "&amp;W77&amp;" lt. Liftbericht (Fach "&amp;X77&amp;" Stk); ",IF(BX77=1,"Gebinde geschätzt ("&amp;T77&amp;"); ",IF(BW77=1,"Lose – Tablare geschätzt; ","")))&amp;IF(H77&gt;AT77,"Überbestand "&amp;ROUND(H77-AT77,0)&amp;" Stk / CHF "&amp;ROUND((H77-AT77)*G77,0)&amp;"; ","")&amp;IF(AND(CE77=1,CF77&lt;CG77),"MAX &lt; MB+LG; ","")&amp;IF(AND(CK77&gt;0,CJ77*10&gt;CK77),"zu hoch für Tablar; ","")&amp;IF(AND(BS77=0,OR(CE77=1,AA77&lt;&gt;"",U77&lt;&gt;"",V77&lt;&gt;"",AB77&lt;&gt;"")),"manuell übersteuert; ","")&amp;IF(AND(BW77=0,R77=0),"Gebinde unbekannt / Stellmass fehlt; ","")&amp;IF(AND(BW77=0,N(V77)&lt;=0,N(Q77)&lt;=0),"Menge pro Gebinde fehlt (Ist = 1 Gebinde); ","")&amp;BR77)</f>
        <v/>
      </c>
      <c r="BK77" s="48"/>
      <c r="BL77" s="48"/>
      <c r="BM77" s="55"/>
      <c r="BN77" s="50" t="n">
        <v>6</v>
      </c>
      <c r="BO77" s="50" t="n">
        <v>0</v>
      </c>
      <c r="BP77" s="49" t="n">
        <v>3322.02</v>
      </c>
      <c r="BQ77" s="50" t="n">
        <v>18</v>
      </c>
      <c r="BR77" s="48"/>
      <c r="BS77" s="53" t="n">
        <v>0</v>
      </c>
      <c r="BT77" s="53" t="n">
        <v>77</v>
      </c>
      <c r="BU77" s="48" t="str">
        <f aca="false">IF(U77&lt;&gt;"",UPPER(TRIM(U77)),IF(BX77=1,UPPER(VLOOKUP(T77,Parameter!$I$27:$K$29,2,0)),IF(P77="","LOSE",P77)))</f>
        <v>S71</v>
      </c>
      <c r="BV77" s="50" t="n">
        <f aca="false">IF(BU77="LOSE",1,IF(N(V77)&gt;0,V77,IF(BX77=1,MAX(1,N(VLOOKUP(T77,Parameter!$I$27:$K$29,3,0)),H77,N(N77)),IF(N(Q77)&gt;0,Q77,MAX(1,H77)))))</f>
        <v>20</v>
      </c>
      <c r="BW77" s="53" t="n">
        <f aca="false">IF(BU77="LOSE",1,0)</f>
        <v>0</v>
      </c>
      <c r="BX77" s="53" t="n">
        <f aca="false">IF(AND(U77="",OR(P77="",P77="LOSE"),T77&lt;&gt;"",N(S77)&lt;=0,ISNUMBER(MATCH(T77,Parameter!$I$27:$I$29,0))),1,0)</f>
        <v>0</v>
      </c>
      <c r="BY77" s="53" t="n">
        <f aca="false">IF(CL77&gt;0,INDEX(Parameter!$H$5:$H$7,W77)/INDEX(Parameter!$E$5:$E$7,W77),IF(AND(BW77=0,N(IFERROR(VLOOKUP(BU77,'Gebinde-Kategorie'!$A$5:$N$45,14,0),0))&gt;0),VLOOKUP(BU77,'Gebinde-Kategorie'!$A$5:$N$45,14,0)*10+Parameter!$M$23,Parameter!$M$24))</f>
        <v>235</v>
      </c>
      <c r="BZ77" s="48" t="str">
        <f aca="false">IF(AND(Parameter!$B$19="Ja",E77&lt;&gt;"",ISNUMBER(MATCH(E77,Parameter!$I$35:$I$52,0))),VLOOKUP(E77,Parameter!$I$35:$J$52,2,0),IFERROR(VLOOKUP(D77,Parameter!$A$35:$C$64,2,0),"Nein"))</f>
        <v>2+3</v>
      </c>
      <c r="CA77" s="52" t="n">
        <f aca="false">IF(BW77=0,0,IF(N(S77)&gt;0,S77,IFERROR(VLOOKUP(D77,Parameter!$A$35:$C$64,3,0)+0,0)))</f>
        <v>0</v>
      </c>
      <c r="CB77" s="48" t="n">
        <f aca="false">IF(AA77&lt;&gt;"",AA77,Z77)</f>
        <v>2</v>
      </c>
      <c r="CC77" s="48" t="str">
        <f aca="false">IF(OR(CB77=1,CB77=2,CB77=3),IF(Parameter!$E$27="Ja","LIFT",IF(CB77=1,"L1","L23")),IF(CB77="Aussen","Aussen","-"))</f>
        <v>LIFT</v>
      </c>
      <c r="CD77" s="59" t="n">
        <f aca="false">IF(N(AB77)&gt;0,AB77,0)</f>
        <v>0</v>
      </c>
      <c r="CE77" s="53" t="n">
        <f aca="false">IF(ISNUMBER(AE77),1,0)</f>
        <v>0</v>
      </c>
      <c r="CF77" s="50" t="n">
        <f aca="false">N(AE77)</f>
        <v>0</v>
      </c>
      <c r="CG77" s="50" t="n">
        <f aca="false">N(M77)+N(N77)</f>
        <v>13</v>
      </c>
      <c r="CH77" s="50" t="n">
        <f aca="false">ROUNDUP(H77/BV77,0)</f>
        <v>1</v>
      </c>
      <c r="CI77" s="50" t="n">
        <f aca="false">ROUNDUP(CF77/BV77,0)</f>
        <v>0</v>
      </c>
      <c r="CJ77" s="53" t="n">
        <f aca="false">IF(BW77=1,0,IFERROR(VLOOKUP(BU77,'Gebinde-Kategorie'!$A$5:$N$45,5,0)+0,0))</f>
        <v>20</v>
      </c>
      <c r="CK77" s="53" t="n">
        <f aca="false">IFERROR(IF(OR(CB77=1,CB77=2,CB77=3),N(INDEX(Parameter!$I$5:$I$7,CB77)),0),0)</f>
        <v>0</v>
      </c>
      <c r="CL77" s="52" t="n">
        <f aca="false">IF(AND(Parameter!$B$21="Ja",ISNUMBER(W77),N(X77)&gt;0),IFERROR(N(INDEX(Parameter!$L$5:$L$7,W77))*INDEX(Parameter!$E$5:$E$7,W77)*X77/SUMIFS($X$7:$X$1843,$W$7:$W$1843,W77),0),0)</f>
        <v>0</v>
      </c>
    </row>
    <row r="78" customFormat="false" ht="15" hidden="false" customHeight="false" outlineLevel="0" collapsed="false">
      <c r="A78" s="48" t="s">
        <v>366</v>
      </c>
      <c r="B78" s="48" t="s">
        <v>367</v>
      </c>
      <c r="C78" s="48" t="s">
        <v>168</v>
      </c>
      <c r="D78" s="48" t="s">
        <v>188</v>
      </c>
      <c r="E78" s="48"/>
      <c r="F78" s="48" t="s">
        <v>222</v>
      </c>
      <c r="G78" s="49" t="n">
        <v>818.16</v>
      </c>
      <c r="H78" s="50" t="n">
        <f aca="false">MAX(0,IF(AND(Parameter!$B$21="Ja",ISNUMBER(Y78)),Y78,IF(Parameter!$B$20="Jahresanfang 2025 + Export",BO78+BN78,BN78)))</f>
        <v>4</v>
      </c>
      <c r="I78" s="50" t="n">
        <f aca="false">H78*G78</f>
        <v>3272.64</v>
      </c>
      <c r="J78" s="50" t="n">
        <f aca="false">BQ78*Parameter!$B$18</f>
        <v>1</v>
      </c>
      <c r="K78" s="51" t="n">
        <v>2</v>
      </c>
      <c r="L78" s="52" t="n">
        <v>0.5</v>
      </c>
      <c r="M78" s="50" t="n">
        <v>0</v>
      </c>
      <c r="N78" s="50" t="n">
        <v>1</v>
      </c>
      <c r="O78" s="53" t="n">
        <v>49</v>
      </c>
      <c r="P78" s="48" t="s">
        <v>297</v>
      </c>
      <c r="Q78" s="50" t="n">
        <v>5</v>
      </c>
      <c r="R78" s="53" t="n">
        <f aca="false">IF(BW78=1,0,IFERROR(VLOOKUP(BU78,'Gebinde-Kategorie'!$A$5:$N$45,13,0)+0,0))</f>
        <v>12</v>
      </c>
      <c r="S78" s="54"/>
      <c r="T78" s="55"/>
      <c r="U78" s="55"/>
      <c r="V78" s="55"/>
      <c r="W78" s="48"/>
      <c r="X78" s="50"/>
      <c r="Y78" s="50"/>
      <c r="Z78" s="48" t="n">
        <f aca="false">IF(A78="","",IF(AND(Parameter!$B$21="Ja",ISNUMBER(W78)),W78,IF(BZ78="2+3",IF(ISNUMBER(SEARCH("grosser Artikel",BR78)),2,IFERROR(VLOOKUP(BU78,Parameter!$F$35:$G$64,2,0),2)),IF(OR(BZ78="Nein",BZ78=""),"-",BZ78))))</f>
        <v>2</v>
      </c>
      <c r="AA78" s="55"/>
      <c r="AB78" s="56"/>
      <c r="AC78" s="50" t="n">
        <f aca="false">AT78</f>
        <v>5</v>
      </c>
      <c r="AD78" s="50" t="n">
        <f aca="false">MAX(AT78,H78)</f>
        <v>5</v>
      </c>
      <c r="AE78" s="57"/>
      <c r="AF78" s="50" t="n">
        <f aca="false">IF(LEFT(Cockpit!$C$5,1)="A",H78,IF(CE78=1,CF78,IF(LEFT(Cockpit!$C$5,1)="B",AK78,MAX(AK78,H78))))</f>
        <v>4</v>
      </c>
      <c r="AG78" s="50" t="n">
        <f aca="false">IF(BW78=1,0,ROUNDUP(AF78/BV78,0))</f>
        <v>1</v>
      </c>
      <c r="AH78" s="52" t="n">
        <f aca="false">IF(CL78&gt;0,CL78*MAX(1,AF78/X78),IF(BW78=1,IF(AF78&lt;=0,0,CA78*MAX(1,IF(H78&gt;0,AF78/H78,1))),IF(R78&gt;0,AG78/R78,0))/MAX(0.1,N(Parameter!$M$21)))</f>
        <v>0.0833333333333333</v>
      </c>
      <c r="AI78" s="50" t="n">
        <f aca="false">AH78*BY78</f>
        <v>20.4166666666667</v>
      </c>
      <c r="AJ78" s="50" t="n">
        <f aca="false">AF78*G78</f>
        <v>3272.64</v>
      </c>
      <c r="AK78" s="50" t="n">
        <f aca="false">ROUNDUP(MAX(J78/IF(CD78&gt;0,CD78,MAX(0.1,N(Cockpit!$C$6))),CG78)/BV78,0)*BV78</f>
        <v>5</v>
      </c>
      <c r="AL78" s="51" t="n">
        <f aca="false">IF(AI78&gt;0,J78/AI78,-1)</f>
        <v>0.0489795918367347</v>
      </c>
      <c r="AM78" s="51" t="n">
        <f aca="false">IF(AND(OR(CC78="L1",CC78="L23",CC78="LIFT"),AI78&gt;0),SUMIFS($AI$7:$AI$1843,$CC$7:$CC$1843,CC78,$AL$7:$AL$1843,"&gt;"&amp;AL78)+SUMIFS($AI$7:$AI$1843,$CC$7:$CC$1843,CC78,$AL$7:$AL$1843,AL78,$BT$7:$BT$1843,"&lt;="&amp;BT78),"")</f>
        <v>19344.190659858</v>
      </c>
      <c r="AN78" s="58" t="n">
        <f aca="false">IF(AM78="",0,MAX(0,MIN(1,(IF(CC78="L1",Parameter!$H$5,IF(CC78="L23",Parameter!$H$6+Parameter!$H$7,Parameter!$H$5+Parameter!$H$6+Parameter!$H$7))-(AM78-AI78))/AI78)))</f>
        <v>1</v>
      </c>
      <c r="AO78" s="50" t="n">
        <f aca="false">IF(LEFT(Cockpit!$I$5,1)="A",H78,IF(CE78=1,CF78,IF(LEFT(Cockpit!$I$5,1)="B",AT78,MAX(AT78,H78))))</f>
        <v>5</v>
      </c>
      <c r="AP78" s="50" t="n">
        <f aca="false">IF(BW78=1,0,ROUNDUP(AO78/BV78,0))</f>
        <v>1</v>
      </c>
      <c r="AQ78" s="52" t="n">
        <f aca="false">IF(CL78&gt;0,CL78*MAX(1,AO78/X78),IF(BW78=1,IF(AO78&lt;=0,0,CA78*MAX(1,IF(H78&gt;0,AO78/H78,1))),IF(R78&gt;0,AP78/R78,0))/MAX(0.1,N(Parameter!$M$21)))</f>
        <v>0.0833333333333333</v>
      </c>
      <c r="AR78" s="50" t="n">
        <f aca="false">AQ78*BY78</f>
        <v>20.4166666666667</v>
      </c>
      <c r="AS78" s="50" t="n">
        <f aca="false">AO78*G78</f>
        <v>4090.8</v>
      </c>
      <c r="AT78" s="50" t="n">
        <f aca="false">ROUNDUP(MAX(J78/IF(CD78&gt;0,CD78,MAX(0.1,N(Cockpit!$I$6))),CG78)/BV78,0)*BV78</f>
        <v>5</v>
      </c>
      <c r="AU78" s="51" t="n">
        <f aca="false">IF(AR78&gt;0,J78/AR78,-1)</f>
        <v>0.0489795918367347</v>
      </c>
      <c r="AV78" s="51" t="n">
        <f aca="false">IF(AND(OR(CC78="L1",CC78="L23",CC78="LIFT"),AR78&gt;0),SUMIFS($AR$7:$AR$1843,$CC$7:$CC$1843,CC78,$AU$7:$AU$1843,"&gt;"&amp;AU78)+SUMIFS($AR$7:$AR$1843,$CC$7:$CC$1843,CC78,$AU$7:$AU$1843,AU78,$BT$7:$BT$1843,"&lt;="&amp;BT78),"")</f>
        <v>30178.998248691</v>
      </c>
      <c r="AW78" s="58" t="n">
        <f aca="false">IF(AV78="",0,MAX(0,MIN(1,(IF(CC78="L1",Parameter!$H$5,IF(CC78="L23",Parameter!$H$6+Parameter!$H$7,Parameter!$H$5+Parameter!$H$6+Parameter!$H$7))-(AV78-AR78))/AR78)))</f>
        <v>1</v>
      </c>
      <c r="AX78" s="50" t="n">
        <f aca="false">IF(LEFT(Cockpit!$O$5,1)="A",H78,IF(CE78=1,CF78,IF(LEFT(Cockpit!$O$5,1)="B",BC78,MAX(BC78,H78))))</f>
        <v>5</v>
      </c>
      <c r="AY78" s="50" t="n">
        <f aca="false">IF(BW78=1,0,ROUNDUP(AX78/BV78,0))</f>
        <v>1</v>
      </c>
      <c r="AZ78" s="52" t="n">
        <f aca="false">IF(CL78&gt;0,CL78*MAX(1,AX78/X78),IF(BW78=1,IF(AX78&lt;=0,0,CA78*MAX(1,IF(H78&gt;0,AX78/H78,1))),IF(R78&gt;0,AY78/R78,0))/MAX(0.1,N(Parameter!$M$21)))</f>
        <v>0.0833333333333333</v>
      </c>
      <c r="BA78" s="50" t="n">
        <f aca="false">AZ78*BY78</f>
        <v>20.4166666666667</v>
      </c>
      <c r="BB78" s="50" t="n">
        <f aca="false">AX78*G78</f>
        <v>4090.8</v>
      </c>
      <c r="BC78" s="50" t="n">
        <f aca="false">ROUNDUP(MAX(J78/IF(CD78&gt;0,CD78,MAX(0.1,N(Cockpit!$O$6))),CG78)/BV78,0)*BV78</f>
        <v>5</v>
      </c>
      <c r="BD78" s="51" t="n">
        <f aca="false">IF(BA78&gt;0,J78/BA78,-1)</f>
        <v>0.0489795918367347</v>
      </c>
      <c r="BE78" s="51" t="n">
        <f aca="false">IF(AND(OR(CC78="L1",CC78="L23",CC78="LIFT"),BA78&gt;0),SUMIFS($BA$7:$BA$1843,$CC$7:$CC$1843,CC78,$BD$7:$BD$1843,"&gt;"&amp;BD78)+SUMIFS($BA$7:$BA$1843,$CC$7:$CC$1843,CC78,$BD$7:$BD$1843,BD78,$BT$7:$BT$1843,"&lt;="&amp;BT78),"")</f>
        <v>26854.0102905569</v>
      </c>
      <c r="BF78" s="58" t="n">
        <f aca="false">IF(BE78="",0,MAX(0,MIN(1,(IF(CC78="L1",Parameter!$H$5,IF(CC78="L23",Parameter!$H$6+Parameter!$H$7,Parameter!$H$5+Parameter!$H$6+Parameter!$H$7))-(BE78-BA78))/BA78)))</f>
        <v>1</v>
      </c>
      <c r="BG78" s="48" t="str">
        <f aca="false">IF(AI78&lt;=0,"",IF(CC78="Aussen","Aussenlager",IF(CC78="-","Nicht im Lift",IF(AN78&gt;=1,"Lift",IF(AN78&lt;=0,"Aussenlager","teilweise")))))</f>
        <v>Lift</v>
      </c>
      <c r="BH78" s="48" t="str">
        <f aca="false">IF(AR78&lt;=0,"",IF(CC78="Aussen","Aussenlager",IF(CC78="-","Nicht im Lift",IF(AW78&gt;=1,"Lift",IF(AW78&lt;=0,"Aussenlager","teilweise")))))</f>
        <v>Lift</v>
      </c>
      <c r="BI78" s="48" t="str">
        <f aca="false">IF(BA78&lt;=0,"",IF(CC78="Aussen","Aussenlager",IF(CC78="-","Nicht im Lift",IF(BF78&gt;=1,"Lift",IF(BF78&lt;=0,"Aussenlager","teilweise")))))</f>
        <v>Lift</v>
      </c>
      <c r="BJ78" s="48" t="str">
        <f aca="false">IF(A78="","",IF(BS78=1,"Neu; ","")&amp;IF(AND(BS78=0,BN78&lt;0),"negativer Bestand (Export "&amp;BN78&amp;"); ","")&amp;IF(J78&lt;=0,"Kein Verbrauch; ","")&amp;IF(CL78&gt;0,"Lift "&amp;W78&amp;" lt. Liftbericht (Fach "&amp;X78&amp;" Stk); ",IF(BX78=1,"Gebinde geschätzt ("&amp;T78&amp;"); ",IF(BW78=1,"Lose – Tablare geschätzt; ","")))&amp;IF(H78&gt;AT78,"Überbestand "&amp;ROUND(H78-AT78,0)&amp;" Stk / CHF "&amp;ROUND((H78-AT78)*G78,0)&amp;"; ","")&amp;IF(AND(CE78=1,CF78&lt;CG78),"MAX &lt; MB+LG; ","")&amp;IF(AND(CK78&gt;0,CJ78*10&gt;CK78),"zu hoch für Tablar; ","")&amp;IF(AND(BS78=0,OR(CE78=1,AA78&lt;&gt;"",U78&lt;&gt;"",V78&lt;&gt;"",AB78&lt;&gt;"")),"manuell übersteuert; ","")&amp;IF(AND(BW78=0,R78=0),"Gebinde unbekannt / Stellmass fehlt; ","")&amp;IF(AND(BW78=0,N(V78)&lt;=0,N(Q78)&lt;=0),"Menge pro Gebinde fehlt (Ist = 1 Gebinde); ","")&amp;BR78)</f>
        <v/>
      </c>
      <c r="BK78" s="48"/>
      <c r="BL78" s="48" t="s">
        <v>368</v>
      </c>
      <c r="BM78" s="55"/>
      <c r="BN78" s="50" t="n">
        <v>4</v>
      </c>
      <c r="BO78" s="50" t="n">
        <v>0</v>
      </c>
      <c r="BP78" s="49" t="n">
        <v>3272.64</v>
      </c>
      <c r="BQ78" s="50" t="n">
        <v>1</v>
      </c>
      <c r="BR78" s="48"/>
      <c r="BS78" s="53" t="n">
        <v>0</v>
      </c>
      <c r="BT78" s="53" t="n">
        <v>78</v>
      </c>
      <c r="BU78" s="48" t="str">
        <f aca="false">IF(U78&lt;&gt;"",UPPER(TRIM(U78)),IF(BX78=1,UPPER(VLOOKUP(T78,Parameter!$I$27:$K$29,2,0)),IF(P78="","LOSE",P78)))</f>
        <v>S62</v>
      </c>
      <c r="BV78" s="50" t="n">
        <f aca="false">IF(BU78="LOSE",1,IF(N(V78)&gt;0,V78,IF(BX78=1,MAX(1,N(VLOOKUP(T78,Parameter!$I$27:$K$29,3,0)),H78,N(N78)),IF(N(Q78)&gt;0,Q78,MAX(1,H78)))))</f>
        <v>5</v>
      </c>
      <c r="BW78" s="53" t="n">
        <f aca="false">IF(BU78="LOSE",1,0)</f>
        <v>0</v>
      </c>
      <c r="BX78" s="53" t="n">
        <f aca="false">IF(AND(U78="",OR(P78="",P78="LOSE"),T78&lt;&gt;"",N(S78)&lt;=0,ISNUMBER(MATCH(T78,Parameter!$I$27:$I$29,0))),1,0)</f>
        <v>0</v>
      </c>
      <c r="BY78" s="53" t="n">
        <f aca="false">IF(CL78&gt;0,INDEX(Parameter!$H$5:$H$7,W78)/INDEX(Parameter!$E$5:$E$7,W78),IF(AND(BW78=0,N(IFERROR(VLOOKUP(BU78,'Gebinde-Kategorie'!$A$5:$N$45,14,0),0))&gt;0),VLOOKUP(BU78,'Gebinde-Kategorie'!$A$5:$N$45,14,0)*10+Parameter!$M$23,Parameter!$M$24))</f>
        <v>245</v>
      </c>
      <c r="BZ78" s="48" t="str">
        <f aca="false">IF(AND(Parameter!$B$19="Ja",E78&lt;&gt;"",ISNUMBER(MATCH(E78,Parameter!$I$35:$I$52,0))),VLOOKUP(E78,Parameter!$I$35:$J$52,2,0),IFERROR(VLOOKUP(D78,Parameter!$A$35:$C$64,2,0),"Nein"))</f>
        <v>2+3</v>
      </c>
      <c r="CA78" s="52" t="n">
        <f aca="false">IF(BW78=0,0,IF(N(S78)&gt;0,S78,IFERROR(VLOOKUP(D78,Parameter!$A$35:$C$64,3,0)+0,0)))</f>
        <v>0</v>
      </c>
      <c r="CB78" s="48" t="n">
        <f aca="false">IF(AA78&lt;&gt;"",AA78,Z78)</f>
        <v>2</v>
      </c>
      <c r="CC78" s="48" t="str">
        <f aca="false">IF(OR(CB78=1,CB78=2,CB78=3),IF(Parameter!$E$27="Ja","LIFT",IF(CB78=1,"L1","L23")),IF(CB78="Aussen","Aussen","-"))</f>
        <v>LIFT</v>
      </c>
      <c r="CD78" s="59" t="n">
        <f aca="false">IF(N(AB78)&gt;0,AB78,0)</f>
        <v>0</v>
      </c>
      <c r="CE78" s="53" t="n">
        <f aca="false">IF(ISNUMBER(AE78),1,0)</f>
        <v>0</v>
      </c>
      <c r="CF78" s="50" t="n">
        <f aca="false">N(AE78)</f>
        <v>0</v>
      </c>
      <c r="CG78" s="50" t="n">
        <f aca="false">N(M78)+N(N78)</f>
        <v>1</v>
      </c>
      <c r="CH78" s="50" t="n">
        <f aca="false">ROUNDUP(H78/BV78,0)</f>
        <v>1</v>
      </c>
      <c r="CI78" s="50" t="n">
        <f aca="false">ROUNDUP(CF78/BV78,0)</f>
        <v>0</v>
      </c>
      <c r="CJ78" s="53" t="n">
        <f aca="false">IF(BW78=1,0,IFERROR(VLOOKUP(BU78,'Gebinde-Kategorie'!$A$5:$N$45,5,0)+0,0))</f>
        <v>21</v>
      </c>
      <c r="CK78" s="53" t="n">
        <f aca="false">IFERROR(IF(OR(CB78=1,CB78=2,CB78=3),N(INDEX(Parameter!$I$5:$I$7,CB78)),0),0)</f>
        <v>0</v>
      </c>
      <c r="CL78" s="52" t="n">
        <f aca="false">IF(AND(Parameter!$B$21="Ja",ISNUMBER(W78),N(X78)&gt;0),IFERROR(N(INDEX(Parameter!$L$5:$L$7,W78))*INDEX(Parameter!$E$5:$E$7,W78)*X78/SUMIFS($X$7:$X$1843,$W$7:$W$1843,W78),0),0)</f>
        <v>0</v>
      </c>
    </row>
    <row r="79" customFormat="false" ht="15" hidden="false" customHeight="false" outlineLevel="0" collapsed="false">
      <c r="A79" s="48" t="s">
        <v>369</v>
      </c>
      <c r="B79" s="48" t="s">
        <v>305</v>
      </c>
      <c r="C79" s="48" t="s">
        <v>168</v>
      </c>
      <c r="D79" s="48" t="s">
        <v>188</v>
      </c>
      <c r="E79" s="48" t="s">
        <v>189</v>
      </c>
      <c r="F79" s="48" t="s">
        <v>222</v>
      </c>
      <c r="G79" s="49" t="n">
        <v>349</v>
      </c>
      <c r="H79" s="50" t="n">
        <f aca="false">MAX(0,IF(AND(Parameter!$B$21="Ja",ISNUMBER(Y79)),Y79,IF(Parameter!$B$20="Jahresanfang 2025 + Export",BO79+BN79,BN79)))</f>
        <v>30</v>
      </c>
      <c r="I79" s="50" t="n">
        <f aca="false">H79*G79</f>
        <v>10470</v>
      </c>
      <c r="J79" s="50" t="n">
        <f aca="false">BQ79*Parameter!$B$18</f>
        <v>77</v>
      </c>
      <c r="K79" s="51" t="n">
        <v>23</v>
      </c>
      <c r="L79" s="52" t="n">
        <v>3.34782608695652</v>
      </c>
      <c r="M79" s="50" t="n">
        <v>4</v>
      </c>
      <c r="N79" s="50" t="n">
        <v>10</v>
      </c>
      <c r="O79" s="53" t="n">
        <v>21</v>
      </c>
      <c r="P79" s="48" t="s">
        <v>237</v>
      </c>
      <c r="Q79" s="50" t="n">
        <v>35</v>
      </c>
      <c r="R79" s="53" t="n">
        <f aca="false">IF(BW79=1,0,IFERROR(VLOOKUP(BU79,'Gebinde-Kategorie'!$A$5:$N$45,13,0)+0,0))</f>
        <v>26</v>
      </c>
      <c r="S79" s="54"/>
      <c r="T79" s="55"/>
      <c r="U79" s="55"/>
      <c r="V79" s="55"/>
      <c r="W79" s="48"/>
      <c r="X79" s="50"/>
      <c r="Y79" s="50"/>
      <c r="Z79" s="48" t="n">
        <f aca="false">IF(A79="","",IF(AND(Parameter!$B$21="Ja",ISNUMBER(W79)),W79,IF(BZ79="2+3",IF(ISNUMBER(SEARCH("grosser Artikel",BR79)),2,IFERROR(VLOOKUP(BU79,Parameter!$F$35:$G$64,2,0),2)),IF(OR(BZ79="Nein",BZ79=""),"-",BZ79))))</f>
        <v>3</v>
      </c>
      <c r="AA79" s="55"/>
      <c r="AB79" s="56"/>
      <c r="AC79" s="50" t="n">
        <f aca="false">AT79</f>
        <v>70</v>
      </c>
      <c r="AD79" s="50" t="n">
        <f aca="false">MAX(AT79,H79)</f>
        <v>70</v>
      </c>
      <c r="AE79" s="57"/>
      <c r="AF79" s="50" t="n">
        <f aca="false">IF(LEFT(Cockpit!$C$5,1)="A",H79,IF(CE79=1,CF79,IF(LEFT(Cockpit!$C$5,1)="B",AK79,MAX(AK79,H79))))</f>
        <v>30</v>
      </c>
      <c r="AG79" s="50" t="n">
        <f aca="false">IF(BW79=1,0,ROUNDUP(AF79/BV79,0))</f>
        <v>1</v>
      </c>
      <c r="AH79" s="52" t="n">
        <f aca="false">IF(CL79&gt;0,CL79*MAX(1,AF79/X79),IF(BW79=1,IF(AF79&lt;=0,0,CA79*MAX(1,IF(H79&gt;0,AF79/H79,1))),IF(R79&gt;0,AG79/R79,0))/MAX(0.1,N(Parameter!$M$21)))</f>
        <v>0.0384615384615385</v>
      </c>
      <c r="AI79" s="50" t="n">
        <f aca="false">AH79*BY79</f>
        <v>9.42307692307692</v>
      </c>
      <c r="AJ79" s="50" t="n">
        <f aca="false">AF79*G79</f>
        <v>10470</v>
      </c>
      <c r="AK79" s="50" t="n">
        <f aca="false">ROUNDUP(MAX(J79/IF(CD79&gt;0,CD79,MAX(0.1,N(Cockpit!$C$6))),CG79)/BV79,0)*BV79</f>
        <v>70</v>
      </c>
      <c r="AL79" s="51" t="n">
        <f aca="false">IF(AI79&gt;0,J79/AI79,-1)</f>
        <v>8.17142857142857</v>
      </c>
      <c r="AM79" s="51" t="n">
        <f aca="false">IF(AND(OR(CC79="L1",CC79="L23",CC79="LIFT"),AI79&gt;0),SUMIFS($AI$7:$AI$1843,$CC$7:$CC$1843,CC79,$AL$7:$AL$1843,"&gt;"&amp;AL79)+SUMIFS($AI$7:$AI$1843,$CC$7:$CC$1843,CC79,$AL$7:$AL$1843,AL79,$BT$7:$BT$1843,"&lt;="&amp;BT79),"")</f>
        <v>3007.71153846154</v>
      </c>
      <c r="AN79" s="58" t="n">
        <f aca="false">IF(AM79="",0,MAX(0,MIN(1,(IF(CC79="L1",Parameter!$H$5,IF(CC79="L23",Parameter!$H$6+Parameter!$H$7,Parameter!$H$5+Parameter!$H$6+Parameter!$H$7))-(AM79-AI79))/AI79)))</f>
        <v>1</v>
      </c>
      <c r="AO79" s="50" t="n">
        <f aca="false">IF(LEFT(Cockpit!$I$5,1)="A",H79,IF(CE79=1,CF79,IF(LEFT(Cockpit!$I$5,1)="B",AT79,MAX(AT79,H79))))</f>
        <v>70</v>
      </c>
      <c r="AP79" s="50" t="n">
        <f aca="false">IF(BW79=1,0,ROUNDUP(AO79/BV79,0))</f>
        <v>2</v>
      </c>
      <c r="AQ79" s="52" t="n">
        <f aca="false">IF(CL79&gt;0,CL79*MAX(1,AO79/X79),IF(BW79=1,IF(AO79&lt;=0,0,CA79*MAX(1,IF(H79&gt;0,AO79/H79,1))),IF(R79&gt;0,AP79/R79,0))/MAX(0.1,N(Parameter!$M$21)))</f>
        <v>0.0769230769230769</v>
      </c>
      <c r="AR79" s="50" t="n">
        <f aca="false">AQ79*BY79</f>
        <v>18.8461538461538</v>
      </c>
      <c r="AS79" s="50" t="n">
        <f aca="false">AO79*G79</f>
        <v>24430</v>
      </c>
      <c r="AT79" s="50" t="n">
        <f aca="false">ROUNDUP(MAX(J79/IF(CD79&gt;0,CD79,MAX(0.1,N(Cockpit!$I$6))),CG79)/BV79,0)*BV79</f>
        <v>70</v>
      </c>
      <c r="AU79" s="51" t="n">
        <f aca="false">IF(AR79&gt;0,J79/AR79,-1)</f>
        <v>4.08571428571429</v>
      </c>
      <c r="AV79" s="51" t="n">
        <f aca="false">IF(AND(OR(CC79="L1",CC79="L23",CC79="LIFT"),AR79&gt;0),SUMIFS($AR$7:$AR$1843,$CC$7:$CC$1843,CC79,$AU$7:$AU$1843,"&gt;"&amp;AU79)+SUMIFS($AR$7:$AR$1843,$CC$7:$CC$1843,CC79,$AU$7:$AU$1843,AU79,$BT$7:$BT$1843,"&lt;="&amp;BT79),"")</f>
        <v>5524.89972527473</v>
      </c>
      <c r="AW79" s="58" t="n">
        <f aca="false">IF(AV79="",0,MAX(0,MIN(1,(IF(CC79="L1",Parameter!$H$5,IF(CC79="L23",Parameter!$H$6+Parameter!$H$7,Parameter!$H$5+Parameter!$H$6+Parameter!$H$7))-(AV79-AR79))/AR79)))</f>
        <v>1</v>
      </c>
      <c r="AX79" s="50" t="n">
        <f aca="false">IF(LEFT(Cockpit!$O$5,1)="A",H79,IF(CE79=1,CF79,IF(LEFT(Cockpit!$O$5,1)="B",BC79,MAX(BC79,H79))))</f>
        <v>35</v>
      </c>
      <c r="AY79" s="50" t="n">
        <f aca="false">IF(BW79=1,0,ROUNDUP(AX79/BV79,0))</f>
        <v>1</v>
      </c>
      <c r="AZ79" s="52" t="n">
        <f aca="false">IF(CL79&gt;0,CL79*MAX(1,AX79/X79),IF(BW79=1,IF(AX79&lt;=0,0,CA79*MAX(1,IF(H79&gt;0,AX79/H79,1))),IF(R79&gt;0,AY79/R79,0))/MAX(0.1,N(Parameter!$M$21)))</f>
        <v>0.0384615384615385</v>
      </c>
      <c r="BA79" s="50" t="n">
        <f aca="false">AZ79*BY79</f>
        <v>9.42307692307692</v>
      </c>
      <c r="BB79" s="50" t="n">
        <f aca="false">AX79*G79</f>
        <v>12215</v>
      </c>
      <c r="BC79" s="50" t="n">
        <f aca="false">ROUNDUP(MAX(J79/IF(CD79&gt;0,CD79,MAX(0.1,N(Cockpit!$O$6))),CG79)/BV79,0)*BV79</f>
        <v>35</v>
      </c>
      <c r="BD79" s="51" t="n">
        <f aca="false">IF(BA79&gt;0,J79/BA79,-1)</f>
        <v>8.17142857142857</v>
      </c>
      <c r="BE79" s="51" t="n">
        <f aca="false">IF(AND(OR(CC79="L1",CC79="L23",CC79="LIFT"),BA79&gt;0),SUMIFS($BA$7:$BA$1843,$CC$7:$CC$1843,CC79,$BD$7:$BD$1843,"&gt;"&amp;BD79)+SUMIFS($BA$7:$BA$1843,$CC$7:$CC$1843,CC79,$BD$7:$BD$1843,BD79,$BT$7:$BT$1843,"&lt;="&amp;BT79),"")</f>
        <v>3902.06227106227</v>
      </c>
      <c r="BF79" s="58" t="n">
        <f aca="false">IF(BE79="",0,MAX(0,MIN(1,(IF(CC79="L1",Parameter!$H$5,IF(CC79="L23",Parameter!$H$6+Parameter!$H$7,Parameter!$H$5+Parameter!$H$6+Parameter!$H$7))-(BE79-BA79))/BA79)))</f>
        <v>1</v>
      </c>
      <c r="BG79" s="48" t="str">
        <f aca="false">IF(AI79&lt;=0,"",IF(CC79="Aussen","Aussenlager",IF(CC79="-","Nicht im Lift",IF(AN79&gt;=1,"Lift",IF(AN79&lt;=0,"Aussenlager","teilweise")))))</f>
        <v>Lift</v>
      </c>
      <c r="BH79" s="48" t="str">
        <f aca="false">IF(AR79&lt;=0,"",IF(CC79="Aussen","Aussenlager",IF(CC79="-","Nicht im Lift",IF(AW79&gt;=1,"Lift",IF(AW79&lt;=0,"Aussenlager","teilweise")))))</f>
        <v>Lift</v>
      </c>
      <c r="BI79" s="48" t="str">
        <f aca="false">IF(BA79&lt;=0,"",IF(CC79="Aussen","Aussenlager",IF(CC79="-","Nicht im Lift",IF(BF79&gt;=1,"Lift",IF(BF79&lt;=0,"Aussenlager","teilweise")))))</f>
        <v>Lift</v>
      </c>
      <c r="BJ79" s="48" t="str">
        <f aca="false">IF(A79="","",IF(BS79=1,"Neu; ","")&amp;IF(AND(BS79=0,BN79&lt;0),"negativer Bestand (Export "&amp;BN79&amp;"); ","")&amp;IF(J79&lt;=0,"Kein Verbrauch; ","")&amp;IF(CL79&gt;0,"Lift "&amp;W79&amp;" lt. Liftbericht (Fach "&amp;X79&amp;" Stk); ",IF(BX79=1,"Gebinde geschätzt ("&amp;T79&amp;"); ",IF(BW79=1,"Lose – Tablare geschätzt; ","")))&amp;IF(H79&gt;AT79,"Überbestand "&amp;ROUND(H79-AT79,0)&amp;" Stk / CHF "&amp;ROUND((H79-AT79)*G79,0)&amp;"; ","")&amp;IF(AND(CE79=1,CF79&lt;CG79),"MAX &lt; MB+LG; ","")&amp;IF(AND(CK79&gt;0,CJ79*10&gt;CK79),"zu hoch für Tablar; ","")&amp;IF(AND(BS79=0,OR(CE79=1,AA79&lt;&gt;"",U79&lt;&gt;"",V79&lt;&gt;"",AB79&lt;&gt;"")),"manuell übersteuert; ","")&amp;IF(AND(BW79=0,R79=0),"Gebinde unbekannt / Stellmass fehlt; ","")&amp;IF(AND(BW79=0,N(V79)&lt;=0,N(Q79)&lt;=0),"Menge pro Gebinde fehlt (Ist = 1 Gebinde); ","")&amp;BR79)</f>
        <v/>
      </c>
      <c r="BK79" s="48"/>
      <c r="BL79" s="48"/>
      <c r="BM79" s="55"/>
      <c r="BN79" s="50" t="n">
        <v>9</v>
      </c>
      <c r="BO79" s="50" t="n">
        <v>21</v>
      </c>
      <c r="BP79" s="49" t="n">
        <v>3204.82</v>
      </c>
      <c r="BQ79" s="50" t="n">
        <v>77</v>
      </c>
      <c r="BR79" s="48"/>
      <c r="BS79" s="53" t="n">
        <v>0</v>
      </c>
      <c r="BT79" s="53" t="n">
        <v>79</v>
      </c>
      <c r="BU79" s="48" t="str">
        <f aca="false">IF(U79&lt;&gt;"",UPPER(TRIM(U79)),IF(BX79=1,UPPER(VLOOKUP(T79,Parameter!$I$27:$K$29,2,0)),IF(P79="","LOSE",P79)))</f>
        <v>S52</v>
      </c>
      <c r="BV79" s="50" t="n">
        <f aca="false">IF(BU79="LOSE",1,IF(N(V79)&gt;0,V79,IF(BX79=1,MAX(1,N(VLOOKUP(T79,Parameter!$I$27:$K$29,3,0)),H79,N(N79)),IF(N(Q79)&gt;0,Q79,MAX(1,H79)))))</f>
        <v>35</v>
      </c>
      <c r="BW79" s="53" t="n">
        <f aca="false">IF(BU79="LOSE",1,0)</f>
        <v>0</v>
      </c>
      <c r="BX79" s="53" t="n">
        <f aca="false">IF(AND(U79="",OR(P79="",P79="LOSE"),T79&lt;&gt;"",N(S79)&lt;=0,ISNUMBER(MATCH(T79,Parameter!$I$27:$I$29,0))),1,0)</f>
        <v>0</v>
      </c>
      <c r="BY79" s="53" t="n">
        <f aca="false">IF(CL79&gt;0,INDEX(Parameter!$H$5:$H$7,W79)/INDEX(Parameter!$E$5:$E$7,W79),IF(AND(BW79=0,N(IFERROR(VLOOKUP(BU79,'Gebinde-Kategorie'!$A$5:$N$45,14,0),0))&gt;0),VLOOKUP(BU79,'Gebinde-Kategorie'!$A$5:$N$45,14,0)*10+Parameter!$M$23,Parameter!$M$24))</f>
        <v>245</v>
      </c>
      <c r="BZ79" s="48" t="str">
        <f aca="false">IF(AND(Parameter!$B$19="Ja",E79&lt;&gt;"",ISNUMBER(MATCH(E79,Parameter!$I$35:$I$52,0))),VLOOKUP(E79,Parameter!$I$35:$J$52,2,0),IFERROR(VLOOKUP(D79,Parameter!$A$35:$C$64,2,0),"Nein"))</f>
        <v>2+3</v>
      </c>
      <c r="CA79" s="52" t="n">
        <f aca="false">IF(BW79=0,0,IF(N(S79)&gt;0,S79,IFERROR(VLOOKUP(D79,Parameter!$A$35:$C$64,3,0)+0,0)))</f>
        <v>0</v>
      </c>
      <c r="CB79" s="48" t="n">
        <f aca="false">IF(AA79&lt;&gt;"",AA79,Z79)</f>
        <v>3</v>
      </c>
      <c r="CC79" s="48" t="str">
        <f aca="false">IF(OR(CB79=1,CB79=2,CB79=3),IF(Parameter!$E$27="Ja","LIFT",IF(CB79=1,"L1","L23")),IF(CB79="Aussen","Aussen","-"))</f>
        <v>LIFT</v>
      </c>
      <c r="CD79" s="59" t="n">
        <f aca="false">IF(N(AB79)&gt;0,AB79,0)</f>
        <v>0</v>
      </c>
      <c r="CE79" s="53" t="n">
        <f aca="false">IF(ISNUMBER(AE79),1,0)</f>
        <v>0</v>
      </c>
      <c r="CF79" s="50" t="n">
        <f aca="false">N(AE79)</f>
        <v>0</v>
      </c>
      <c r="CG79" s="50" t="n">
        <f aca="false">N(M79)+N(N79)</f>
        <v>14</v>
      </c>
      <c r="CH79" s="50" t="n">
        <f aca="false">ROUNDUP(H79/BV79,0)</f>
        <v>1</v>
      </c>
      <c r="CI79" s="50" t="n">
        <f aca="false">ROUNDUP(CF79/BV79,0)</f>
        <v>0</v>
      </c>
      <c r="CJ79" s="53" t="n">
        <f aca="false">IF(BW79=1,0,IFERROR(VLOOKUP(BU79,'Gebinde-Kategorie'!$A$5:$N$45,5,0)+0,0))</f>
        <v>21</v>
      </c>
      <c r="CK79" s="53" t="n">
        <f aca="false">IFERROR(IF(OR(CB79=1,CB79=2,CB79=3),N(INDEX(Parameter!$I$5:$I$7,CB79)),0),0)</f>
        <v>0</v>
      </c>
      <c r="CL79" s="52" t="n">
        <f aca="false">IF(AND(Parameter!$B$21="Ja",ISNUMBER(W79),N(X79)&gt;0),IFERROR(N(INDEX(Parameter!$L$5:$L$7,W79))*INDEX(Parameter!$E$5:$E$7,W79)*X79/SUMIFS($X$7:$X$1843,$W$7:$W$1843,W79),0),0)</f>
        <v>0</v>
      </c>
    </row>
    <row r="80" customFormat="false" ht="15" hidden="false" customHeight="false" outlineLevel="0" collapsed="false">
      <c r="A80" s="48" t="s">
        <v>370</v>
      </c>
      <c r="B80" s="48" t="s">
        <v>371</v>
      </c>
      <c r="C80" s="48" t="s">
        <v>168</v>
      </c>
      <c r="D80" s="48" t="s">
        <v>177</v>
      </c>
      <c r="E80" s="48"/>
      <c r="F80" s="48" t="s">
        <v>222</v>
      </c>
      <c r="G80" s="49" t="n">
        <v>312</v>
      </c>
      <c r="H80" s="50" t="n">
        <f aca="false">MAX(0,IF(AND(Parameter!$B$21="Ja",ISNUMBER(Y80)),Y80,IF(Parameter!$B$20="Jahresanfang 2025 + Export",BO80+BN80,BN80)))</f>
        <v>10</v>
      </c>
      <c r="I80" s="50" t="n">
        <f aca="false">H80*G80</f>
        <v>3120</v>
      </c>
      <c r="J80" s="50" t="n">
        <f aca="false">BQ80*Parameter!$B$18</f>
        <v>0</v>
      </c>
      <c r="K80" s="51" t="n">
        <v>10</v>
      </c>
      <c r="L80" s="52" t="n">
        <v>0</v>
      </c>
      <c r="M80" s="50" t="n">
        <v>0</v>
      </c>
      <c r="N80" s="50" t="n">
        <v>1</v>
      </c>
      <c r="O80" s="53" t="n">
        <v>35</v>
      </c>
      <c r="P80" s="48" t="s">
        <v>172</v>
      </c>
      <c r="Q80" s="50"/>
      <c r="R80" s="53" t="n">
        <f aca="false">IF(BW80=1,0,IFERROR(VLOOKUP(BU80,'Gebinde-Kategorie'!$A$5:$N$45,13,0)+0,0))</f>
        <v>0</v>
      </c>
      <c r="S80" s="54"/>
      <c r="T80" s="55"/>
      <c r="U80" s="55"/>
      <c r="V80" s="55"/>
      <c r="W80" s="48" t="n">
        <v>1</v>
      </c>
      <c r="X80" s="50" t="n">
        <v>20</v>
      </c>
      <c r="Y80" s="50" t="n">
        <v>10</v>
      </c>
      <c r="Z80" s="48" t="n">
        <f aca="false">IF(A80="","",IF(AND(Parameter!$B$21="Ja",ISNUMBER(W80)),W80,IF(BZ80="2+3",IF(ISNUMBER(SEARCH("grosser Artikel",BR80)),2,IFERROR(VLOOKUP(BU80,Parameter!$F$35:$G$64,2,0),2)),IF(OR(BZ80="Nein",BZ80=""),"-",BZ80))))</f>
        <v>1</v>
      </c>
      <c r="AA80" s="55"/>
      <c r="AB80" s="56"/>
      <c r="AC80" s="50" t="n">
        <f aca="false">AT80</f>
        <v>1</v>
      </c>
      <c r="AD80" s="50" t="n">
        <f aca="false">MAX(AT80,H80)</f>
        <v>10</v>
      </c>
      <c r="AE80" s="57"/>
      <c r="AF80" s="50" t="n">
        <f aca="false">IF(LEFT(Cockpit!$C$5,1)="A",H80,IF(CE80=1,CF80,IF(LEFT(Cockpit!$C$5,1)="B",AK80,MAX(AK80,H80))))</f>
        <v>10</v>
      </c>
      <c r="AG80" s="50" t="n">
        <f aca="false">IF(BW80=1,0,ROUNDUP(AF80/BV80,0))</f>
        <v>0</v>
      </c>
      <c r="AH80" s="52" t="n">
        <f aca="false">IF(CL80&gt;0,CL80*MAX(1,AF80/X80),IF(BW80=1,IF(AF80&lt;=0,0,CA80*MAX(1,IF(H80&gt;0,AF80/H80,1))),IF(R80&gt;0,AG80/R80,0))/MAX(0.1,N(Parameter!$M$21)))</f>
        <v>1.60075329566855</v>
      </c>
      <c r="AI80" s="50" t="n">
        <f aca="false">AH80*BY80</f>
        <v>380.979284369115</v>
      </c>
      <c r="AJ80" s="50" t="n">
        <f aca="false">AF80*G80</f>
        <v>3120</v>
      </c>
      <c r="AK80" s="50" t="n">
        <f aca="false">ROUNDUP(MAX(J80/IF(CD80&gt;0,CD80,MAX(0.1,N(Cockpit!$C$6))),CG80)/BV80,0)*BV80</f>
        <v>1</v>
      </c>
      <c r="AL80" s="51" t="n">
        <f aca="false">IF(AI80&gt;0,J80/AI80,-1)</f>
        <v>0</v>
      </c>
      <c r="AM80" s="51" t="n">
        <f aca="false">IF(AND(OR(CC80="L1",CC80="L23",CC80="LIFT"),AI80&gt;0),SUMIFS($AI$7:$AI$1843,$CC$7:$CC$1843,CC80,$AL$7:$AL$1843,"&gt;"&amp;AL80)+SUMIFS($AI$7:$AI$1843,$CC$7:$CC$1843,CC80,$AL$7:$AL$1843,AL80,$BT$7:$BT$1843,"&lt;="&amp;BT80),"")</f>
        <v>26964.1734727137</v>
      </c>
      <c r="AN80" s="58" t="n">
        <f aca="false">IF(AM80="",0,MAX(0,MIN(1,(IF(CC80="L1",Parameter!$H$5,IF(CC80="L23",Parameter!$H$6+Parameter!$H$7,Parameter!$H$5+Parameter!$H$6+Parameter!$H$7))-(AM80-AI80))/AI80)))</f>
        <v>1</v>
      </c>
      <c r="AO80" s="50" t="n">
        <f aca="false">IF(LEFT(Cockpit!$I$5,1)="A",H80,IF(CE80=1,CF80,IF(LEFT(Cockpit!$I$5,1)="B",AT80,MAX(AT80,H80))))</f>
        <v>10</v>
      </c>
      <c r="AP80" s="50" t="n">
        <f aca="false">IF(BW80=1,0,ROUNDUP(AO80/BV80,0))</f>
        <v>0</v>
      </c>
      <c r="AQ80" s="52" t="n">
        <f aca="false">IF(CL80&gt;0,CL80*MAX(1,AO80/X80),IF(BW80=1,IF(AO80&lt;=0,0,CA80*MAX(1,IF(H80&gt;0,AO80/H80,1))),IF(R80&gt;0,AP80/R80,0))/MAX(0.1,N(Parameter!$M$21)))</f>
        <v>1.60075329566855</v>
      </c>
      <c r="AR80" s="50" t="n">
        <f aca="false">AQ80*BY80</f>
        <v>380.979284369115</v>
      </c>
      <c r="AS80" s="50" t="n">
        <f aca="false">AO80*G80</f>
        <v>3120</v>
      </c>
      <c r="AT80" s="50" t="n">
        <f aca="false">ROUNDUP(MAX(J80/IF(CD80&gt;0,CD80,MAX(0.1,N(Cockpit!$I$6))),CG80)/BV80,0)*BV80</f>
        <v>1</v>
      </c>
      <c r="AU80" s="51" t="n">
        <f aca="false">IF(AR80&gt;0,J80/AR80,-1)</f>
        <v>0</v>
      </c>
      <c r="AV80" s="51" t="n">
        <f aca="false">IF(AND(OR(CC80="L1",CC80="L23",CC80="LIFT"),AR80&gt;0),SUMIFS($AR$7:$AR$1843,$CC$7:$CC$1843,CC80,$AU$7:$AU$1843,"&gt;"&amp;AU80)+SUMIFS($AR$7:$AR$1843,$CC$7:$CC$1843,CC80,$AU$7:$AU$1843,AU80,$BT$7:$BT$1843,"&lt;="&amp;BT80),"")</f>
        <v>38264.9956566503</v>
      </c>
      <c r="AW80" s="58" t="n">
        <f aca="false">IF(AV80="",0,MAX(0,MIN(1,(IF(CC80="L1",Parameter!$H$5,IF(CC80="L23",Parameter!$H$6+Parameter!$H$7,Parameter!$H$5+Parameter!$H$6+Parameter!$H$7))-(AV80-AR80))/AR80)))</f>
        <v>0</v>
      </c>
      <c r="AX80" s="50" t="n">
        <f aca="false">IF(LEFT(Cockpit!$O$5,1)="A",H80,IF(CE80=1,CF80,IF(LEFT(Cockpit!$O$5,1)="B",BC80,MAX(BC80,H80))))</f>
        <v>10</v>
      </c>
      <c r="AY80" s="50" t="n">
        <f aca="false">IF(BW80=1,0,ROUNDUP(AX80/BV80,0))</f>
        <v>0</v>
      </c>
      <c r="AZ80" s="52" t="n">
        <f aca="false">IF(CL80&gt;0,CL80*MAX(1,AX80/X80),IF(BW80=1,IF(AX80&lt;=0,0,CA80*MAX(1,IF(H80&gt;0,AX80/H80,1))),IF(R80&gt;0,AY80/R80,0))/MAX(0.1,N(Parameter!$M$21)))</f>
        <v>1.60075329566855</v>
      </c>
      <c r="BA80" s="50" t="n">
        <f aca="false">AZ80*BY80</f>
        <v>380.979284369115</v>
      </c>
      <c r="BB80" s="50" t="n">
        <f aca="false">AX80*G80</f>
        <v>3120</v>
      </c>
      <c r="BC80" s="50" t="n">
        <f aca="false">ROUNDUP(MAX(J80/IF(CD80&gt;0,CD80,MAX(0.1,N(Cockpit!$O$6))),CG80)/BV80,0)*BV80</f>
        <v>1</v>
      </c>
      <c r="BD80" s="51" t="n">
        <f aca="false">IF(BA80&gt;0,J80/BA80,-1)</f>
        <v>0</v>
      </c>
      <c r="BE80" s="51" t="n">
        <f aca="false">IF(AND(OR(CC80="L1",CC80="L23",CC80="LIFT"),BA80&gt;0),SUMIFS($BA$7:$BA$1843,$CC$7:$CC$1843,CC80,$BD$7:$BD$1843,"&gt;"&amp;BD80)+SUMIFS($BA$7:$BA$1843,$CC$7:$CC$1843,CC80,$BD$7:$BD$1843,BD80,$BT$7:$BT$1843,"&lt;="&amp;BT80),"")</f>
        <v>34940.0076985162</v>
      </c>
      <c r="BF80" s="58" t="n">
        <f aca="false">IF(BE80="",0,MAX(0,MIN(1,(IF(CC80="L1",Parameter!$H$5,IF(CC80="L23",Parameter!$H$6+Parameter!$H$7,Parameter!$H$5+Parameter!$H$6+Parameter!$H$7))-(BE80-BA80))/BA80)))</f>
        <v>1</v>
      </c>
      <c r="BG80" s="48" t="str">
        <f aca="false">IF(AI80&lt;=0,"",IF(CC80="Aussen","Aussenlager",IF(CC80="-","Nicht im Lift",IF(AN80&gt;=1,"Lift",IF(AN80&lt;=0,"Aussenlager","teilweise")))))</f>
        <v>Lift</v>
      </c>
      <c r="BH80" s="48" t="str">
        <f aca="false">IF(AR80&lt;=0,"",IF(CC80="Aussen","Aussenlager",IF(CC80="-","Nicht im Lift",IF(AW80&gt;=1,"Lift",IF(AW80&lt;=0,"Aussenlager","teilweise")))))</f>
        <v>Aussenlager</v>
      </c>
      <c r="BI80" s="48" t="str">
        <f aca="false">IF(BA80&lt;=0,"",IF(CC80="Aussen","Aussenlager",IF(CC80="-","Nicht im Lift",IF(BF80&gt;=1,"Lift",IF(BF80&lt;=0,"Aussenlager","teilweise")))))</f>
        <v>Lift</v>
      </c>
      <c r="BJ80" s="48" t="str">
        <f aca="false">IF(A80="","",IF(BS80=1,"Neu; ","")&amp;IF(AND(BS80=0,BN80&lt;0),"negativer Bestand (Export "&amp;BN80&amp;"); ","")&amp;IF(J80&lt;=0,"Kein Verbrauch; ","")&amp;IF(CL80&gt;0,"Lift "&amp;W80&amp;" lt. Liftbericht (Fach "&amp;X80&amp;" Stk); ",IF(BX80=1,"Gebinde geschätzt ("&amp;T80&amp;"); ",IF(BW80=1,"Lose – Tablare geschätzt; ","")))&amp;IF(H80&gt;AT80,"Überbestand "&amp;ROUND(H80-AT80,0)&amp;" Stk / CHF "&amp;ROUND((H80-AT80)*G80,0)&amp;"; ","")&amp;IF(AND(CE80=1,CF80&lt;CG80),"MAX &lt; MB+LG; ","")&amp;IF(AND(CK80&gt;0,CJ80*10&gt;CK80),"zu hoch für Tablar; ","")&amp;IF(AND(BS80=0,OR(CE80=1,AA80&lt;&gt;"",U80&lt;&gt;"",V80&lt;&gt;"",AB80&lt;&gt;"")),"manuell übersteuert; ","")&amp;IF(AND(BW80=0,R80=0),"Gebinde unbekannt / Stellmass fehlt; ","")&amp;IF(AND(BW80=0,N(V80)&lt;=0,N(Q80)&lt;=0),"Menge pro Gebinde fehlt (Ist = 1 Gebinde); ","")&amp;BR80)</f>
        <v>Kein Verbrauch; Lift 1 lt. Liftbericht (Fach 20 Stk); Überbestand 9 Stk / CHF 2808; </v>
      </c>
      <c r="BK80" s="48"/>
      <c r="BL80" s="48"/>
      <c r="BM80" s="55"/>
      <c r="BN80" s="50" t="n">
        <v>10</v>
      </c>
      <c r="BO80" s="50" t="n">
        <v>10</v>
      </c>
      <c r="BP80" s="49" t="n">
        <v>3120</v>
      </c>
      <c r="BQ80" s="50" t="n">
        <v>0</v>
      </c>
      <c r="BR80" s="48"/>
      <c r="BS80" s="53" t="n">
        <v>0</v>
      </c>
      <c r="BT80" s="53" t="n">
        <v>80</v>
      </c>
      <c r="BU80" s="48" t="str">
        <f aca="false">IF(U80&lt;&gt;"",UPPER(TRIM(U80)),IF(BX80=1,UPPER(VLOOKUP(T80,Parameter!$I$27:$K$29,2,0)),IF(P80="","LOSE",P80)))</f>
        <v>LOSE</v>
      </c>
      <c r="BV80" s="50" t="n">
        <f aca="false">IF(BU80="LOSE",1,IF(N(V80)&gt;0,V80,IF(BX80=1,MAX(1,N(VLOOKUP(T80,Parameter!$I$27:$K$29,3,0)),H80,N(N80)),IF(N(Q80)&gt;0,Q80,MAX(1,H80)))))</f>
        <v>1</v>
      </c>
      <c r="BW80" s="53" t="n">
        <f aca="false">IF(BU80="LOSE",1,0)</f>
        <v>1</v>
      </c>
      <c r="BX80" s="53" t="n">
        <f aca="false">IF(AND(U80="",OR(P80="",P80="LOSE"),T80&lt;&gt;"",N(S80)&lt;=0,ISNUMBER(MATCH(T80,Parameter!$I$27:$I$29,0))),1,0)</f>
        <v>0</v>
      </c>
      <c r="BY80" s="53" t="n">
        <f aca="false">IF(CL80&gt;0,INDEX(Parameter!$H$5:$H$7,W80)/INDEX(Parameter!$E$5:$E$7,W80),IF(AND(BW80=0,N(IFERROR(VLOOKUP(BU80,'Gebinde-Kategorie'!$A$5:$N$45,14,0),0))&gt;0),VLOOKUP(BU80,'Gebinde-Kategorie'!$A$5:$N$45,14,0)*10+Parameter!$M$23,Parameter!$M$24))</f>
        <v>238</v>
      </c>
      <c r="BZ80" s="48" t="str">
        <f aca="false">IF(AND(Parameter!$B$19="Ja",E80&lt;&gt;"",ISNUMBER(MATCH(E80,Parameter!$I$35:$I$52,0))),VLOOKUP(E80,Parameter!$I$35:$J$52,2,0),IFERROR(VLOOKUP(D80,Parameter!$A$35:$C$64,2,0),"Nein"))</f>
        <v>2+3</v>
      </c>
      <c r="CA80" s="52" t="n">
        <f aca="false">IF(BW80=0,0,IF(N(S80)&gt;0,S80,IFERROR(VLOOKUP(D80,Parameter!$A$35:$C$64,3,0)+0,0)))</f>
        <v>0.15</v>
      </c>
      <c r="CB80" s="48" t="n">
        <f aca="false">IF(AA80&lt;&gt;"",AA80,Z80)</f>
        <v>1</v>
      </c>
      <c r="CC80" s="48" t="str">
        <f aca="false">IF(OR(CB80=1,CB80=2,CB80=3),IF(Parameter!$E$27="Ja","LIFT",IF(CB80=1,"L1","L23")),IF(CB80="Aussen","Aussen","-"))</f>
        <v>LIFT</v>
      </c>
      <c r="CD80" s="59" t="n">
        <f aca="false">IF(N(AB80)&gt;0,AB80,0)</f>
        <v>0</v>
      </c>
      <c r="CE80" s="53" t="n">
        <f aca="false">IF(ISNUMBER(AE80),1,0)</f>
        <v>0</v>
      </c>
      <c r="CF80" s="50" t="n">
        <f aca="false">N(AE80)</f>
        <v>0</v>
      </c>
      <c r="CG80" s="50" t="n">
        <f aca="false">N(M80)+N(N80)</f>
        <v>1</v>
      </c>
      <c r="CH80" s="50" t="n">
        <f aca="false">ROUNDUP(H80/BV80,0)</f>
        <v>10</v>
      </c>
      <c r="CI80" s="50" t="n">
        <f aca="false">ROUNDUP(CF80/BV80,0)</f>
        <v>0</v>
      </c>
      <c r="CJ80" s="53" t="n">
        <f aca="false">IF(BW80=1,0,IFERROR(VLOOKUP(BU80,'Gebinde-Kategorie'!$A$5:$N$45,5,0)+0,0))</f>
        <v>0</v>
      </c>
      <c r="CK80" s="53" t="n">
        <f aca="false">IFERROR(IF(OR(CB80=1,CB80=2,CB80=3),N(INDEX(Parameter!$I$5:$I$7,CB80)),0),0)</f>
        <v>0</v>
      </c>
      <c r="CL80" s="52" t="n">
        <f aca="false">IF(AND(Parameter!$B$21="Ja",ISNUMBER(W80),N(X80)&gt;0),IFERROR(N(INDEX(Parameter!$L$5:$L$7,W80))*INDEX(Parameter!$E$5:$E$7,W80)*X80/SUMIFS($X$7:$X$1843,$W$7:$W$1843,W80),0),0)</f>
        <v>1.60075329566855</v>
      </c>
    </row>
    <row r="81" customFormat="false" ht="15" hidden="false" customHeight="false" outlineLevel="0" collapsed="false">
      <c r="A81" s="48" t="s">
        <v>372</v>
      </c>
      <c r="B81" s="48" t="s">
        <v>373</v>
      </c>
      <c r="C81" s="48" t="s">
        <v>168</v>
      </c>
      <c r="D81" s="48" t="s">
        <v>177</v>
      </c>
      <c r="E81" s="48" t="s">
        <v>374</v>
      </c>
      <c r="F81" s="48" t="s">
        <v>222</v>
      </c>
      <c r="G81" s="49" t="n">
        <v>760.97</v>
      </c>
      <c r="H81" s="50" t="n">
        <f aca="false">MAX(0,IF(AND(Parameter!$B$21="Ja",ISNUMBER(Y81)),Y81,IF(Parameter!$B$20="Jahresanfang 2025 + Export",BO81+BN81,BN81)))</f>
        <v>4</v>
      </c>
      <c r="I81" s="50" t="n">
        <f aca="false">H81*G81</f>
        <v>3043.88</v>
      </c>
      <c r="J81" s="50" t="n">
        <f aca="false">BQ81*Parameter!$B$18</f>
        <v>27</v>
      </c>
      <c r="K81" s="51" t="n">
        <v>0.5</v>
      </c>
      <c r="L81" s="52" t="n">
        <v>54</v>
      </c>
      <c r="M81" s="50" t="n">
        <v>0</v>
      </c>
      <c r="N81" s="50" t="n">
        <v>1</v>
      </c>
      <c r="O81" s="53" t="n">
        <v>21</v>
      </c>
      <c r="P81" s="48" t="s">
        <v>172</v>
      </c>
      <c r="Q81" s="50"/>
      <c r="R81" s="53" t="n">
        <f aca="false">IF(BW81=1,0,IFERROR(VLOOKUP(BU81,'Gebinde-Kategorie'!$A$5:$N$45,13,0)+0,0))</f>
        <v>4</v>
      </c>
      <c r="S81" s="54"/>
      <c r="T81" s="55" t="s">
        <v>193</v>
      </c>
      <c r="U81" s="55"/>
      <c r="V81" s="55"/>
      <c r="W81" s="48"/>
      <c r="X81" s="50"/>
      <c r="Y81" s="50"/>
      <c r="Z81" s="48" t="str">
        <f aca="false">IF(A81="","",IF(AND(Parameter!$B$21="Ja",ISNUMBER(W81)),W81,IF(BZ81="2+3",IF(ISNUMBER(SEARCH("grosser Artikel",BR81)),2,IFERROR(VLOOKUP(BU81,Parameter!$F$35:$G$64,2,0),2)),IF(OR(BZ81="Nein",BZ81=""),"-",BZ81))))</f>
        <v>-</v>
      </c>
      <c r="AA81" s="55"/>
      <c r="AB81" s="56"/>
      <c r="AC81" s="50" t="n">
        <f aca="false">AT81</f>
        <v>16</v>
      </c>
      <c r="AD81" s="50" t="n">
        <f aca="false">MAX(AT81,H81)</f>
        <v>16</v>
      </c>
      <c r="AE81" s="57"/>
      <c r="AF81" s="50" t="n">
        <f aca="false">IF(LEFT(Cockpit!$C$5,1)="A",H81,IF(CE81=1,CF81,IF(LEFT(Cockpit!$C$5,1)="B",AK81,MAX(AK81,H81))))</f>
        <v>4</v>
      </c>
      <c r="AG81" s="50" t="n">
        <f aca="false">IF(BW81=1,0,ROUNDUP(AF81/BV81,0))</f>
        <v>1</v>
      </c>
      <c r="AH81" s="52" t="n">
        <f aca="false">IF(CL81&gt;0,CL81*MAX(1,AF81/X81),IF(BW81=1,IF(AF81&lt;=0,0,CA81*MAX(1,IF(H81&gt;0,AF81/H81,1))),IF(R81&gt;0,AG81/R81,0))/MAX(0.1,N(Parameter!$M$21)))</f>
        <v>0.25</v>
      </c>
      <c r="AI81" s="50" t="n">
        <f aca="false">AH81*BY81</f>
        <v>58.75</v>
      </c>
      <c r="AJ81" s="50" t="n">
        <f aca="false">AF81*G81</f>
        <v>3043.88</v>
      </c>
      <c r="AK81" s="50" t="n">
        <f aca="false">ROUNDUP(MAX(J81/IF(CD81&gt;0,CD81,MAX(0.1,N(Cockpit!$C$6))),CG81)/BV81,0)*BV81</f>
        <v>16</v>
      </c>
      <c r="AL81" s="51" t="n">
        <f aca="false">IF(AI81&gt;0,J81/AI81,-1)</f>
        <v>0.459574468085106</v>
      </c>
      <c r="AM81" s="51" t="str">
        <f aca="false">IF(AND(OR(CC81="L1",CC81="L23",CC81="LIFT"),AI81&gt;0),SUMIFS($AI$7:$AI$1843,$CC$7:$CC$1843,CC81,$AL$7:$AL$1843,"&gt;"&amp;AL81)+SUMIFS($AI$7:$AI$1843,$CC$7:$CC$1843,CC81,$AL$7:$AL$1843,AL81,$BT$7:$BT$1843,"&lt;="&amp;BT81),"")</f>
        <v/>
      </c>
      <c r="AN81" s="58" t="n">
        <f aca="false">IF(AM81="",0,MAX(0,MIN(1,(IF(CC81="L1",Parameter!$H$5,IF(CC81="L23",Parameter!$H$6+Parameter!$H$7,Parameter!$H$5+Parameter!$H$6+Parameter!$H$7))-(AM81-AI81))/AI81)))</f>
        <v>0</v>
      </c>
      <c r="AO81" s="50" t="n">
        <f aca="false">IF(LEFT(Cockpit!$I$5,1)="A",H81,IF(CE81=1,CF81,IF(LEFT(Cockpit!$I$5,1)="B",AT81,MAX(AT81,H81))))</f>
        <v>16</v>
      </c>
      <c r="AP81" s="50" t="n">
        <f aca="false">IF(BW81=1,0,ROUNDUP(AO81/BV81,0))</f>
        <v>4</v>
      </c>
      <c r="AQ81" s="52" t="n">
        <f aca="false">IF(CL81&gt;0,CL81*MAX(1,AO81/X81),IF(BW81=1,IF(AO81&lt;=0,0,CA81*MAX(1,IF(H81&gt;0,AO81/H81,1))),IF(R81&gt;0,AP81/R81,0))/MAX(0.1,N(Parameter!$M$21)))</f>
        <v>1</v>
      </c>
      <c r="AR81" s="50" t="n">
        <f aca="false">AQ81*BY81</f>
        <v>235</v>
      </c>
      <c r="AS81" s="50" t="n">
        <f aca="false">AO81*G81</f>
        <v>12175.52</v>
      </c>
      <c r="AT81" s="50" t="n">
        <f aca="false">ROUNDUP(MAX(J81/IF(CD81&gt;0,CD81,MAX(0.1,N(Cockpit!$I$6))),CG81)/BV81,0)*BV81</f>
        <v>16</v>
      </c>
      <c r="AU81" s="51" t="n">
        <f aca="false">IF(AR81&gt;0,J81/AR81,-1)</f>
        <v>0.114893617021277</v>
      </c>
      <c r="AV81" s="51" t="str">
        <f aca="false">IF(AND(OR(CC81="L1",CC81="L23",CC81="LIFT"),AR81&gt;0),SUMIFS($AR$7:$AR$1843,$CC$7:$CC$1843,CC81,$AU$7:$AU$1843,"&gt;"&amp;AU81)+SUMIFS($AR$7:$AR$1843,$CC$7:$CC$1843,CC81,$AU$7:$AU$1843,AU81,$BT$7:$BT$1843,"&lt;="&amp;BT81),"")</f>
        <v/>
      </c>
      <c r="AW81" s="58" t="n">
        <f aca="false">IF(AV81="",0,MAX(0,MIN(1,(IF(CC81="L1",Parameter!$H$5,IF(CC81="L23",Parameter!$H$6+Parameter!$H$7,Parameter!$H$5+Parameter!$H$6+Parameter!$H$7))-(AV81-AR81))/AR81)))</f>
        <v>0</v>
      </c>
      <c r="AX81" s="50" t="n">
        <f aca="false">IF(LEFT(Cockpit!$O$5,1)="A",H81,IF(CE81=1,CF81,IF(LEFT(Cockpit!$O$5,1)="B",BC81,MAX(BC81,H81))))</f>
        <v>12</v>
      </c>
      <c r="AY81" s="50" t="n">
        <f aca="false">IF(BW81=1,0,ROUNDUP(AX81/BV81,0))</f>
        <v>3</v>
      </c>
      <c r="AZ81" s="52" t="n">
        <f aca="false">IF(CL81&gt;0,CL81*MAX(1,AX81/X81),IF(BW81=1,IF(AX81&lt;=0,0,CA81*MAX(1,IF(H81&gt;0,AX81/H81,1))),IF(R81&gt;0,AY81/R81,0))/MAX(0.1,N(Parameter!$M$21)))</f>
        <v>0.75</v>
      </c>
      <c r="BA81" s="50" t="n">
        <f aca="false">AZ81*BY81</f>
        <v>176.25</v>
      </c>
      <c r="BB81" s="50" t="n">
        <f aca="false">AX81*G81</f>
        <v>9131.64</v>
      </c>
      <c r="BC81" s="50" t="n">
        <f aca="false">ROUNDUP(MAX(J81/IF(CD81&gt;0,CD81,MAX(0.1,N(Cockpit!$O$6))),CG81)/BV81,0)*BV81</f>
        <v>12</v>
      </c>
      <c r="BD81" s="51" t="n">
        <f aca="false">IF(BA81&gt;0,J81/BA81,-1)</f>
        <v>0.153191489361702</v>
      </c>
      <c r="BE81" s="51" t="str">
        <f aca="false">IF(AND(OR(CC81="L1",CC81="L23",CC81="LIFT"),BA81&gt;0),SUMIFS($BA$7:$BA$1843,$CC$7:$CC$1843,CC81,$BD$7:$BD$1843,"&gt;"&amp;BD81)+SUMIFS($BA$7:$BA$1843,$CC$7:$CC$1843,CC81,$BD$7:$BD$1843,BD81,$BT$7:$BT$1843,"&lt;="&amp;BT81),"")</f>
        <v/>
      </c>
      <c r="BF81" s="58" t="n">
        <f aca="false">IF(BE81="",0,MAX(0,MIN(1,(IF(CC81="L1",Parameter!$H$5,IF(CC81="L23",Parameter!$H$6+Parameter!$H$7,Parameter!$H$5+Parameter!$H$6+Parameter!$H$7))-(BE81-BA81))/BA81)))</f>
        <v>0</v>
      </c>
      <c r="BG81" s="48" t="str">
        <f aca="false">IF(AI81&lt;=0,"",IF(CC81="Aussen","Aussenlager",IF(CC81="-","Nicht im Lift",IF(AN81&gt;=1,"Lift",IF(AN81&lt;=0,"Aussenlager","teilweise")))))</f>
        <v>Nicht im Lift</v>
      </c>
      <c r="BH81" s="48" t="str">
        <f aca="false">IF(AR81&lt;=0,"",IF(CC81="Aussen","Aussenlager",IF(CC81="-","Nicht im Lift",IF(AW81&gt;=1,"Lift",IF(AW81&lt;=0,"Aussenlager","teilweise")))))</f>
        <v>Nicht im Lift</v>
      </c>
      <c r="BI81" s="48" t="str">
        <f aca="false">IF(BA81&lt;=0,"",IF(CC81="Aussen","Aussenlager",IF(CC81="-","Nicht im Lift",IF(BF81&gt;=1,"Lift",IF(BF81&lt;=0,"Aussenlager","teilweise")))))</f>
        <v>Nicht im Lift</v>
      </c>
      <c r="BJ81" s="48" t="str">
        <f aca="false">IF(A81="","",IF(BS81=1,"Neu; ","")&amp;IF(AND(BS81=0,BN81&lt;0),"negativer Bestand (Export "&amp;BN81&amp;"); ","")&amp;IF(J81&lt;=0,"Kein Verbrauch; ","")&amp;IF(CL81&gt;0,"Lift "&amp;W81&amp;" lt. Liftbericht (Fach "&amp;X81&amp;" Stk); ",IF(BX81=1,"Gebinde geschätzt ("&amp;T81&amp;"); ",IF(BW81=1,"Lose – Tablare geschätzt; ","")))&amp;IF(H81&gt;AT81,"Überbestand "&amp;ROUND(H81-AT81,0)&amp;" Stk / CHF "&amp;ROUND((H81-AT81)*G81,0)&amp;"; ","")&amp;IF(AND(CE81=1,CF81&lt;CG81),"MAX &lt; MB+LG; ","")&amp;IF(AND(CK81&gt;0,CJ81*10&gt;CK81),"zu hoch für Tablar; ","")&amp;IF(AND(BS81=0,OR(CE81=1,AA81&lt;&gt;"",U81&lt;&gt;"",V81&lt;&gt;"",AB81&lt;&gt;"")),"manuell übersteuert; ","")&amp;IF(AND(BW81=0,R81=0),"Gebinde unbekannt / Stellmass fehlt; ","")&amp;IF(AND(BW81=0,N(V81)&lt;=0,N(Q81)&lt;=0),"Menge pro Gebinde fehlt (Ist = 1 Gebinde); ","")&amp;BR81)</f>
        <v>Gebinde geschätzt (Gross); Menge pro Gebinde fehlt (Ist = 1 Gebinde); </v>
      </c>
      <c r="BK81" s="48"/>
      <c r="BL81" s="48"/>
      <c r="BM81" s="55"/>
      <c r="BN81" s="50" t="n">
        <v>4</v>
      </c>
      <c r="BO81" s="50" t="n">
        <v>0</v>
      </c>
      <c r="BP81" s="49" t="n">
        <v>3043.88</v>
      </c>
      <c r="BQ81" s="50" t="n">
        <v>27</v>
      </c>
      <c r="BR81" s="48"/>
      <c r="BS81" s="53" t="n">
        <v>0</v>
      </c>
      <c r="BT81" s="53" t="n">
        <v>81</v>
      </c>
      <c r="BU81" s="48" t="str">
        <f aca="false">IF(U81&lt;&gt;"",UPPER(TRIM(U81)),IF(BX81=1,UPPER(VLOOKUP(T81,Parameter!$I$27:$K$29,2,0)),IF(P81="","LOSE",P81)))</f>
        <v>S81</v>
      </c>
      <c r="BV81" s="50" t="n">
        <f aca="false">IF(BU81="LOSE",1,IF(N(V81)&gt;0,V81,IF(BX81=1,MAX(1,N(VLOOKUP(T81,Parameter!$I$27:$K$29,3,0)),H81,N(N81)),IF(N(Q81)&gt;0,Q81,MAX(1,H81)))))</f>
        <v>4</v>
      </c>
      <c r="BW81" s="53" t="n">
        <f aca="false">IF(BU81="LOSE",1,0)</f>
        <v>0</v>
      </c>
      <c r="BX81" s="53" t="n">
        <f aca="false">IF(AND(U81="",OR(P81="",P81="LOSE"),T81&lt;&gt;"",N(S81)&lt;=0,ISNUMBER(MATCH(T81,Parameter!$I$27:$I$29,0))),1,0)</f>
        <v>1</v>
      </c>
      <c r="BY81" s="53" t="n">
        <f aca="false">IF(CL81&gt;0,INDEX(Parameter!$H$5:$H$7,W81)/INDEX(Parameter!$E$5:$E$7,W81),IF(AND(BW81=0,N(IFERROR(VLOOKUP(BU81,'Gebinde-Kategorie'!$A$5:$N$45,14,0),0))&gt;0),VLOOKUP(BU81,'Gebinde-Kategorie'!$A$5:$N$45,14,0)*10+Parameter!$M$23,Parameter!$M$24))</f>
        <v>235</v>
      </c>
      <c r="BZ81" s="48" t="str">
        <f aca="false">IF(AND(Parameter!$B$19="Ja",E81&lt;&gt;"",ISNUMBER(MATCH(E81,Parameter!$I$35:$I$52,0))),VLOOKUP(E81,Parameter!$I$35:$J$52,2,0),IFERROR(VLOOKUP(D81,Parameter!$A$35:$C$64,2,0),"Nein"))</f>
        <v>Nein</v>
      </c>
      <c r="CA81" s="52" t="n">
        <f aca="false">IF(BW81=0,0,IF(N(S81)&gt;0,S81,IFERROR(VLOOKUP(D81,Parameter!$A$35:$C$64,3,0)+0,0)))</f>
        <v>0</v>
      </c>
      <c r="CB81" s="48" t="str">
        <f aca="false">IF(AA81&lt;&gt;"",AA81,Z81)</f>
        <v>-</v>
      </c>
      <c r="CC81" s="48" t="str">
        <f aca="false">IF(OR(CB81=1,CB81=2,CB81=3),IF(Parameter!$E$27="Ja","LIFT",IF(CB81=1,"L1","L23")),IF(CB81="Aussen","Aussen","-"))</f>
        <v>-</v>
      </c>
      <c r="CD81" s="59" t="n">
        <f aca="false">IF(N(AB81)&gt;0,AB81,0)</f>
        <v>0</v>
      </c>
      <c r="CE81" s="53" t="n">
        <f aca="false">IF(ISNUMBER(AE81),1,0)</f>
        <v>0</v>
      </c>
      <c r="CF81" s="50" t="n">
        <f aca="false">N(AE81)</f>
        <v>0</v>
      </c>
      <c r="CG81" s="50" t="n">
        <f aca="false">N(M81)+N(N81)</f>
        <v>1</v>
      </c>
      <c r="CH81" s="50" t="n">
        <f aca="false">ROUNDUP(H81/BV81,0)</f>
        <v>1</v>
      </c>
      <c r="CI81" s="50" t="n">
        <f aca="false">ROUNDUP(CF81/BV81,0)</f>
        <v>0</v>
      </c>
      <c r="CJ81" s="53" t="n">
        <f aca="false">IF(BW81=1,0,IFERROR(VLOOKUP(BU81,'Gebinde-Kategorie'!$A$5:$N$45,5,0)+0,0))</f>
        <v>20</v>
      </c>
      <c r="CK81" s="53" t="n">
        <f aca="false">IFERROR(IF(OR(CB81=1,CB81=2,CB81=3),N(INDEX(Parameter!$I$5:$I$7,CB81)),0),0)</f>
        <v>0</v>
      </c>
      <c r="CL81" s="52" t="n">
        <f aca="false">IF(AND(Parameter!$B$21="Ja",ISNUMBER(W81),N(X81)&gt;0),IFERROR(N(INDEX(Parameter!$L$5:$L$7,W81))*INDEX(Parameter!$E$5:$E$7,W81)*X81/SUMIFS($X$7:$X$1843,$W$7:$W$1843,W81),0),0)</f>
        <v>0</v>
      </c>
    </row>
    <row r="82" customFormat="false" ht="15" hidden="false" customHeight="false" outlineLevel="0" collapsed="false">
      <c r="A82" s="48" t="s">
        <v>375</v>
      </c>
      <c r="B82" s="48" t="s">
        <v>376</v>
      </c>
      <c r="C82" s="48" t="s">
        <v>168</v>
      </c>
      <c r="D82" s="48" t="s">
        <v>177</v>
      </c>
      <c r="E82" s="48" t="s">
        <v>189</v>
      </c>
      <c r="F82" s="48" t="s">
        <v>222</v>
      </c>
      <c r="G82" s="49" t="n">
        <v>185.43</v>
      </c>
      <c r="H82" s="50" t="n">
        <f aca="false">MAX(0,IF(AND(Parameter!$B$21="Ja",ISNUMBER(Y82)),Y82,IF(Parameter!$B$20="Jahresanfang 2025 + Export",BO82+BN82,BN82)))</f>
        <v>28</v>
      </c>
      <c r="I82" s="50" t="n">
        <f aca="false">H82*G82</f>
        <v>5192.04</v>
      </c>
      <c r="J82" s="50" t="n">
        <f aca="false">BQ82*Parameter!$B$18</f>
        <v>67</v>
      </c>
      <c r="K82" s="51" t="n">
        <v>14</v>
      </c>
      <c r="L82" s="52" t="n">
        <v>4.78571428571429</v>
      </c>
      <c r="M82" s="50" t="n">
        <v>10</v>
      </c>
      <c r="N82" s="50" t="n">
        <v>30</v>
      </c>
      <c r="O82" s="53" t="n">
        <v>44</v>
      </c>
      <c r="P82" s="48" t="s">
        <v>178</v>
      </c>
      <c r="Q82" s="50" t="n">
        <v>18</v>
      </c>
      <c r="R82" s="53" t="n">
        <f aca="false">IF(BW82=1,0,IFERROR(VLOOKUP(BU82,'Gebinde-Kategorie'!$A$5:$N$45,13,0)+0,0))</f>
        <v>6</v>
      </c>
      <c r="S82" s="54"/>
      <c r="T82" s="55"/>
      <c r="U82" s="55"/>
      <c r="V82" s="55"/>
      <c r="W82" s="48"/>
      <c r="X82" s="50"/>
      <c r="Y82" s="50"/>
      <c r="Z82" s="48" t="n">
        <f aca="false">IF(A82="","",IF(AND(Parameter!$B$21="Ja",ISNUMBER(W82)),W82,IF(BZ82="2+3",IF(ISNUMBER(SEARCH("grosser Artikel",BR82)),2,IFERROR(VLOOKUP(BU82,Parameter!$F$35:$G$64,2,0),2)),IF(OR(BZ82="Nein",BZ82=""),"-",BZ82))))</f>
        <v>2</v>
      </c>
      <c r="AA82" s="55"/>
      <c r="AB82" s="56"/>
      <c r="AC82" s="50" t="n">
        <f aca="false">AT82</f>
        <v>54</v>
      </c>
      <c r="AD82" s="50" t="n">
        <f aca="false">MAX(AT82,H82)</f>
        <v>54</v>
      </c>
      <c r="AE82" s="57"/>
      <c r="AF82" s="50" t="n">
        <f aca="false">IF(LEFT(Cockpit!$C$5,1)="A",H82,IF(CE82=1,CF82,IF(LEFT(Cockpit!$C$5,1)="B",AK82,MAX(AK82,H82))))</f>
        <v>28</v>
      </c>
      <c r="AG82" s="50" t="n">
        <f aca="false">IF(BW82=1,0,ROUNDUP(AF82/BV82,0))</f>
        <v>2</v>
      </c>
      <c r="AH82" s="52" t="n">
        <f aca="false">IF(CL82&gt;0,CL82*MAX(1,AF82/X82),IF(BW82=1,IF(AF82&lt;=0,0,CA82*MAX(1,IF(H82&gt;0,AF82/H82,1))),IF(R82&gt;0,AG82/R82,0))/MAX(0.1,N(Parameter!$M$21)))</f>
        <v>0.333333333333333</v>
      </c>
      <c r="AI82" s="50" t="n">
        <f aca="false">AH82*BY82</f>
        <v>78.3333333333333</v>
      </c>
      <c r="AJ82" s="50" t="n">
        <f aca="false">AF82*G82</f>
        <v>5192.04</v>
      </c>
      <c r="AK82" s="50" t="n">
        <f aca="false">ROUNDUP(MAX(J82/IF(CD82&gt;0,CD82,MAX(0.1,N(Cockpit!$C$6))),CG82)/BV82,0)*BV82</f>
        <v>54</v>
      </c>
      <c r="AL82" s="51" t="n">
        <f aca="false">IF(AI82&gt;0,J82/AI82,-1)</f>
        <v>0.85531914893617</v>
      </c>
      <c r="AM82" s="51" t="n">
        <f aca="false">IF(AND(OR(CC82="L1",CC82="L23",CC82="LIFT"),AI82&gt;0),SUMIFS($AI$7:$AI$1843,$CC$7:$CC$1843,CC82,$AL$7:$AL$1843,"&gt;"&amp;AL82)+SUMIFS($AI$7:$AI$1843,$CC$7:$CC$1843,CC82,$AL$7:$AL$1843,AL82,$BT$7:$BT$1843,"&lt;="&amp;BT82),"")</f>
        <v>7732.84294871795</v>
      </c>
      <c r="AN82" s="58" t="n">
        <f aca="false">IF(AM82="",0,MAX(0,MIN(1,(IF(CC82="L1",Parameter!$H$5,IF(CC82="L23",Parameter!$H$6+Parameter!$H$7,Parameter!$H$5+Parameter!$H$6+Parameter!$H$7))-(AM82-AI82))/AI82)))</f>
        <v>1</v>
      </c>
      <c r="AO82" s="50" t="n">
        <f aca="false">IF(LEFT(Cockpit!$I$5,1)="A",H82,IF(CE82=1,CF82,IF(LEFT(Cockpit!$I$5,1)="B",AT82,MAX(AT82,H82))))</f>
        <v>54</v>
      </c>
      <c r="AP82" s="50" t="n">
        <f aca="false">IF(BW82=1,0,ROUNDUP(AO82/BV82,0))</f>
        <v>3</v>
      </c>
      <c r="AQ82" s="52" t="n">
        <f aca="false">IF(CL82&gt;0,CL82*MAX(1,AO82/X82),IF(BW82=1,IF(AO82&lt;=0,0,CA82*MAX(1,IF(H82&gt;0,AO82/H82,1))),IF(R82&gt;0,AP82/R82,0))/MAX(0.1,N(Parameter!$M$21)))</f>
        <v>0.5</v>
      </c>
      <c r="AR82" s="50" t="n">
        <f aca="false">AQ82*BY82</f>
        <v>117.5</v>
      </c>
      <c r="AS82" s="50" t="n">
        <f aca="false">AO82*G82</f>
        <v>10013.22</v>
      </c>
      <c r="AT82" s="50" t="n">
        <f aca="false">ROUNDUP(MAX(J82/IF(CD82&gt;0,CD82,MAX(0.1,N(Cockpit!$I$6))),CG82)/BV82,0)*BV82</f>
        <v>54</v>
      </c>
      <c r="AU82" s="51" t="n">
        <f aca="false">IF(AR82&gt;0,J82/AR82,-1)</f>
        <v>0.570212765957447</v>
      </c>
      <c r="AV82" s="51" t="n">
        <f aca="false">IF(AND(OR(CC82="L1",CC82="L23",CC82="LIFT"),AR82&gt;0),SUMIFS($AR$7:$AR$1843,$CC$7:$CC$1843,CC82,$AU$7:$AU$1843,"&gt;"&amp;AU82)+SUMIFS($AR$7:$AR$1843,$CC$7:$CC$1843,CC82,$AU$7:$AU$1843,AU82,$BT$7:$BT$1843,"&lt;="&amp;BT82),"")</f>
        <v>13277.5773809524</v>
      </c>
      <c r="AW82" s="58" t="n">
        <f aca="false">IF(AV82="",0,MAX(0,MIN(1,(IF(CC82="L1",Parameter!$H$5,IF(CC82="L23",Parameter!$H$6+Parameter!$H$7,Parameter!$H$5+Parameter!$H$6+Parameter!$H$7))-(AV82-AR82))/AR82)))</f>
        <v>1</v>
      </c>
      <c r="AX82" s="50" t="n">
        <f aca="false">IF(LEFT(Cockpit!$O$5,1)="A",H82,IF(CE82=1,CF82,IF(LEFT(Cockpit!$O$5,1)="B",BC82,MAX(BC82,H82))))</f>
        <v>54</v>
      </c>
      <c r="AY82" s="50" t="n">
        <f aca="false">IF(BW82=1,0,ROUNDUP(AX82/BV82,0))</f>
        <v>3</v>
      </c>
      <c r="AZ82" s="52" t="n">
        <f aca="false">IF(CL82&gt;0,CL82*MAX(1,AX82/X82),IF(BW82=1,IF(AX82&lt;=0,0,CA82*MAX(1,IF(H82&gt;0,AX82/H82,1))),IF(R82&gt;0,AY82/R82,0))/MAX(0.1,N(Parameter!$M$21)))</f>
        <v>0.5</v>
      </c>
      <c r="BA82" s="50" t="n">
        <f aca="false">AZ82*BY82</f>
        <v>117.5</v>
      </c>
      <c r="BB82" s="50" t="n">
        <f aca="false">AX82*G82</f>
        <v>10013.22</v>
      </c>
      <c r="BC82" s="50" t="n">
        <f aca="false">ROUNDUP(MAX(J82/IF(CD82&gt;0,CD82,MAX(0.1,N(Cockpit!$O$6))),CG82)/BV82,0)*BV82</f>
        <v>54</v>
      </c>
      <c r="BD82" s="51" t="n">
        <f aca="false">IF(BA82&gt;0,J82/BA82,-1)</f>
        <v>0.570212765957447</v>
      </c>
      <c r="BE82" s="51" t="n">
        <f aca="false">IF(AND(OR(CC82="L1",CC82="L23",CC82="LIFT"),BA82&gt;0),SUMIFS($BA$7:$BA$1843,$CC$7:$CC$1843,CC82,$BD$7:$BD$1843,"&gt;"&amp;BD82)+SUMIFS($BA$7:$BA$1843,$CC$7:$CC$1843,CC82,$BD$7:$BD$1843,BD82,$BT$7:$BT$1843,"&lt;="&amp;BT82),"")</f>
        <v>12116.5677655678</v>
      </c>
      <c r="BF82" s="58" t="n">
        <f aca="false">IF(BE82="",0,MAX(0,MIN(1,(IF(CC82="L1",Parameter!$H$5,IF(CC82="L23",Parameter!$H$6+Parameter!$H$7,Parameter!$H$5+Parameter!$H$6+Parameter!$H$7))-(BE82-BA82))/BA82)))</f>
        <v>1</v>
      </c>
      <c r="BG82" s="48" t="str">
        <f aca="false">IF(AI82&lt;=0,"",IF(CC82="Aussen","Aussenlager",IF(CC82="-","Nicht im Lift",IF(AN82&gt;=1,"Lift",IF(AN82&lt;=0,"Aussenlager","teilweise")))))</f>
        <v>Lift</v>
      </c>
      <c r="BH82" s="48" t="str">
        <f aca="false">IF(AR82&lt;=0,"",IF(CC82="Aussen","Aussenlager",IF(CC82="-","Nicht im Lift",IF(AW82&gt;=1,"Lift",IF(AW82&lt;=0,"Aussenlager","teilweise")))))</f>
        <v>Lift</v>
      </c>
      <c r="BI82" s="48" t="str">
        <f aca="false">IF(BA82&lt;=0,"",IF(CC82="Aussen","Aussenlager",IF(CC82="-","Nicht im Lift",IF(BF82&gt;=1,"Lift",IF(BF82&lt;=0,"Aussenlager","teilweise")))))</f>
        <v>Lift</v>
      </c>
      <c r="BJ82" s="48" t="str">
        <f aca="false">IF(A82="","",IF(BS82=1,"Neu; ","")&amp;IF(AND(BS82=0,BN82&lt;0),"negativer Bestand (Export "&amp;BN82&amp;"); ","")&amp;IF(J82&lt;=0,"Kein Verbrauch; ","")&amp;IF(CL82&gt;0,"Lift "&amp;W82&amp;" lt. Liftbericht (Fach "&amp;X82&amp;" Stk); ",IF(BX82=1,"Gebinde geschätzt ("&amp;T82&amp;"); ",IF(BW82=1,"Lose – Tablare geschätzt; ","")))&amp;IF(H82&gt;AT82,"Überbestand "&amp;ROUND(H82-AT82,0)&amp;" Stk / CHF "&amp;ROUND((H82-AT82)*G82,0)&amp;"; ","")&amp;IF(AND(CE82=1,CF82&lt;CG82),"MAX &lt; MB+LG; ","")&amp;IF(AND(CK82&gt;0,CJ82*10&gt;CK82),"zu hoch für Tablar; ","")&amp;IF(AND(BS82=0,OR(CE82=1,AA82&lt;&gt;"",U82&lt;&gt;"",V82&lt;&gt;"",AB82&lt;&gt;"")),"manuell übersteuert; ","")&amp;IF(AND(BW82=0,R82=0),"Gebinde unbekannt / Stellmass fehlt; ","")&amp;IF(AND(BW82=0,N(V82)&lt;=0,N(Q82)&lt;=0),"Menge pro Gebinde fehlt (Ist = 1 Gebinde); ","")&amp;BR82)</f>
        <v>grosser Artikel &amp; nicht im KTL</v>
      </c>
      <c r="BK82" s="48"/>
      <c r="BL82" s="48"/>
      <c r="BM82" s="55"/>
      <c r="BN82" s="50" t="n">
        <v>15</v>
      </c>
      <c r="BO82" s="50" t="n">
        <v>13</v>
      </c>
      <c r="BP82" s="49" t="n">
        <v>3008.04</v>
      </c>
      <c r="BQ82" s="50" t="n">
        <v>67</v>
      </c>
      <c r="BR82" s="48" t="s">
        <v>265</v>
      </c>
      <c r="BS82" s="53" t="n">
        <v>0</v>
      </c>
      <c r="BT82" s="53" t="n">
        <v>82</v>
      </c>
      <c r="BU82" s="48" t="str">
        <f aca="false">IF(U82&lt;&gt;"",UPPER(TRIM(U82)),IF(BX82=1,UPPER(VLOOKUP(T82,Parameter!$I$27:$K$29,2,0)),IF(P82="","LOSE",P82)))</f>
        <v>S71</v>
      </c>
      <c r="BV82" s="50" t="n">
        <f aca="false">IF(BU82="LOSE",1,IF(N(V82)&gt;0,V82,IF(BX82=1,MAX(1,N(VLOOKUP(T82,Parameter!$I$27:$K$29,3,0)),H82,N(N82)),IF(N(Q82)&gt;0,Q82,MAX(1,H82)))))</f>
        <v>18</v>
      </c>
      <c r="BW82" s="53" t="n">
        <f aca="false">IF(BU82="LOSE",1,0)</f>
        <v>0</v>
      </c>
      <c r="BX82" s="53" t="n">
        <f aca="false">IF(AND(U82="",OR(P82="",P82="LOSE"),T82&lt;&gt;"",N(S82)&lt;=0,ISNUMBER(MATCH(T82,Parameter!$I$27:$I$29,0))),1,0)</f>
        <v>0</v>
      </c>
      <c r="BY82" s="53" t="n">
        <f aca="false">IF(CL82&gt;0,INDEX(Parameter!$H$5:$H$7,W82)/INDEX(Parameter!$E$5:$E$7,W82),IF(AND(BW82=0,N(IFERROR(VLOOKUP(BU82,'Gebinde-Kategorie'!$A$5:$N$45,14,0),0))&gt;0),VLOOKUP(BU82,'Gebinde-Kategorie'!$A$5:$N$45,14,0)*10+Parameter!$M$23,Parameter!$M$24))</f>
        <v>235</v>
      </c>
      <c r="BZ82" s="48" t="str">
        <f aca="false">IF(AND(Parameter!$B$19="Ja",E82&lt;&gt;"",ISNUMBER(MATCH(E82,Parameter!$I$35:$I$52,0))),VLOOKUP(E82,Parameter!$I$35:$J$52,2,0),IFERROR(VLOOKUP(D82,Parameter!$A$35:$C$64,2,0),"Nein"))</f>
        <v>2+3</v>
      </c>
      <c r="CA82" s="52" t="n">
        <f aca="false">IF(BW82=0,0,IF(N(S82)&gt;0,S82,IFERROR(VLOOKUP(D82,Parameter!$A$35:$C$64,3,0)+0,0)))</f>
        <v>0</v>
      </c>
      <c r="CB82" s="48" t="n">
        <f aca="false">IF(AA82&lt;&gt;"",AA82,Z82)</f>
        <v>2</v>
      </c>
      <c r="CC82" s="48" t="str">
        <f aca="false">IF(OR(CB82=1,CB82=2,CB82=3),IF(Parameter!$E$27="Ja","LIFT",IF(CB82=1,"L1","L23")),IF(CB82="Aussen","Aussen","-"))</f>
        <v>LIFT</v>
      </c>
      <c r="CD82" s="59" t="n">
        <f aca="false">IF(N(AB82)&gt;0,AB82,0)</f>
        <v>0</v>
      </c>
      <c r="CE82" s="53" t="n">
        <f aca="false">IF(ISNUMBER(AE82),1,0)</f>
        <v>0</v>
      </c>
      <c r="CF82" s="50" t="n">
        <f aca="false">N(AE82)</f>
        <v>0</v>
      </c>
      <c r="CG82" s="50" t="n">
        <f aca="false">N(M82)+N(N82)</f>
        <v>40</v>
      </c>
      <c r="CH82" s="50" t="n">
        <f aca="false">ROUNDUP(H82/BV82,0)</f>
        <v>2</v>
      </c>
      <c r="CI82" s="50" t="n">
        <f aca="false">ROUNDUP(CF82/BV82,0)</f>
        <v>0</v>
      </c>
      <c r="CJ82" s="53" t="n">
        <f aca="false">IF(BW82=1,0,IFERROR(VLOOKUP(BU82,'Gebinde-Kategorie'!$A$5:$N$45,5,0)+0,0))</f>
        <v>20</v>
      </c>
      <c r="CK82" s="53" t="n">
        <f aca="false">IFERROR(IF(OR(CB82=1,CB82=2,CB82=3),N(INDEX(Parameter!$I$5:$I$7,CB82)),0),0)</f>
        <v>0</v>
      </c>
      <c r="CL82" s="52" t="n">
        <f aca="false">IF(AND(Parameter!$B$21="Ja",ISNUMBER(W82),N(X82)&gt;0),IFERROR(N(INDEX(Parameter!$L$5:$L$7,W82))*INDEX(Parameter!$E$5:$E$7,W82)*X82/SUMIFS($X$7:$X$1843,$W$7:$W$1843,W82),0),0)</f>
        <v>0</v>
      </c>
    </row>
    <row r="83" customFormat="false" ht="15" hidden="false" customHeight="false" outlineLevel="0" collapsed="false">
      <c r="A83" s="48" t="s">
        <v>377</v>
      </c>
      <c r="B83" s="48" t="s">
        <v>378</v>
      </c>
      <c r="C83" s="48" t="s">
        <v>168</v>
      </c>
      <c r="D83" s="48" t="s">
        <v>188</v>
      </c>
      <c r="E83" s="48" t="s">
        <v>189</v>
      </c>
      <c r="F83" s="48" t="s">
        <v>222</v>
      </c>
      <c r="G83" s="49" t="n">
        <v>30.36</v>
      </c>
      <c r="H83" s="50" t="n">
        <f aca="false">MAX(0,IF(AND(Parameter!$B$21="Ja",ISNUMBER(Y83)),Y83,IF(Parameter!$B$20="Jahresanfang 2025 + Export",BO83+BN83,BN83)))</f>
        <v>232</v>
      </c>
      <c r="I83" s="50" t="n">
        <f aca="false">H83*G83</f>
        <v>7043.52</v>
      </c>
      <c r="J83" s="50" t="n">
        <f aca="false">BQ83*Parameter!$B$18</f>
        <v>1152</v>
      </c>
      <c r="K83" s="51" t="n">
        <v>441.5</v>
      </c>
      <c r="L83" s="52" t="n">
        <v>2.60928652321631</v>
      </c>
      <c r="M83" s="50" t="n">
        <v>106</v>
      </c>
      <c r="N83" s="50" t="n">
        <v>400</v>
      </c>
      <c r="O83" s="53" t="n">
        <v>56</v>
      </c>
      <c r="P83" s="48" t="s">
        <v>332</v>
      </c>
      <c r="Q83" s="50" t="n">
        <v>550</v>
      </c>
      <c r="R83" s="53" t="n">
        <f aca="false">IF(BW83=1,0,IFERROR(VLOOKUP(BU83,'Gebinde-Kategorie'!$A$5:$N$45,13,0)+0,0))</f>
        <v>52</v>
      </c>
      <c r="S83" s="54"/>
      <c r="T83" s="55"/>
      <c r="U83" s="55"/>
      <c r="V83" s="55"/>
      <c r="W83" s="48"/>
      <c r="X83" s="50"/>
      <c r="Y83" s="50"/>
      <c r="Z83" s="48" t="n">
        <f aca="false">IF(A83="","",IF(AND(Parameter!$B$21="Ja",ISNUMBER(W83)),W83,IF(BZ83="2+3",IF(ISNUMBER(SEARCH("grosser Artikel",BR83)),2,IFERROR(VLOOKUP(BU83,Parameter!$F$35:$G$64,2,0),2)),IF(OR(BZ83="Nein",BZ83=""),"-",BZ83))))</f>
        <v>3</v>
      </c>
      <c r="AA83" s="55"/>
      <c r="AB83" s="56"/>
      <c r="AC83" s="50" t="n">
        <f aca="false">AT83</f>
        <v>1100</v>
      </c>
      <c r="AD83" s="50" t="n">
        <f aca="false">MAX(AT83,H83)</f>
        <v>1100</v>
      </c>
      <c r="AE83" s="57"/>
      <c r="AF83" s="50" t="n">
        <f aca="false">IF(LEFT(Cockpit!$C$5,1)="A",H83,IF(CE83=1,CF83,IF(LEFT(Cockpit!$C$5,1)="B",AK83,MAX(AK83,H83))))</f>
        <v>232</v>
      </c>
      <c r="AG83" s="50" t="n">
        <f aca="false">IF(BW83=1,0,ROUNDUP(AF83/BV83,0))</f>
        <v>1</v>
      </c>
      <c r="AH83" s="52" t="n">
        <f aca="false">IF(CL83&gt;0,CL83*MAX(1,AF83/X83),IF(BW83=1,IF(AF83&lt;=0,0,CA83*MAX(1,IF(H83&gt;0,AF83/H83,1))),IF(R83&gt;0,AG83/R83,0))/MAX(0.1,N(Parameter!$M$21)))</f>
        <v>0.0192307692307692</v>
      </c>
      <c r="AI83" s="50" t="n">
        <f aca="false">AH83*BY83</f>
        <v>2.98076923076923</v>
      </c>
      <c r="AJ83" s="50" t="n">
        <f aca="false">AF83*G83</f>
        <v>7043.52</v>
      </c>
      <c r="AK83" s="50" t="n">
        <f aca="false">ROUNDUP(MAX(J83/IF(CD83&gt;0,CD83,MAX(0.1,N(Cockpit!$C$6))),CG83)/BV83,0)*BV83</f>
        <v>1100</v>
      </c>
      <c r="AL83" s="51" t="n">
        <f aca="false">IF(AI83&gt;0,J83/AI83,-1)</f>
        <v>386.477419354839</v>
      </c>
      <c r="AM83" s="51" t="n">
        <f aca="false">IF(AND(OR(CC83="L1",CC83="L23",CC83="LIFT"),AI83&gt;0),SUMIFS($AI$7:$AI$1843,$CC$7:$CC$1843,CC83,$AL$7:$AL$1843,"&gt;"&amp;AL83)+SUMIFS($AI$7:$AI$1843,$CC$7:$CC$1843,CC83,$AL$7:$AL$1843,AL83,$BT$7:$BT$1843,"&lt;="&amp;BT83),"")</f>
        <v>202.968406593407</v>
      </c>
      <c r="AN83" s="58" t="n">
        <f aca="false">IF(AM83="",0,MAX(0,MIN(1,(IF(CC83="L1",Parameter!$H$5,IF(CC83="L23",Parameter!$H$6+Parameter!$H$7,Parameter!$H$5+Parameter!$H$6+Parameter!$H$7))-(AM83-AI83))/AI83)))</f>
        <v>1</v>
      </c>
      <c r="AO83" s="50" t="n">
        <f aca="false">IF(LEFT(Cockpit!$I$5,1)="A",H83,IF(CE83=1,CF83,IF(LEFT(Cockpit!$I$5,1)="B",AT83,MAX(AT83,H83))))</f>
        <v>1100</v>
      </c>
      <c r="AP83" s="50" t="n">
        <f aca="false">IF(BW83=1,0,ROUNDUP(AO83/BV83,0))</f>
        <v>2</v>
      </c>
      <c r="AQ83" s="52" t="n">
        <f aca="false">IF(CL83&gt;0,CL83*MAX(1,AO83/X83),IF(BW83=1,IF(AO83&lt;=0,0,CA83*MAX(1,IF(H83&gt;0,AO83/H83,1))),IF(R83&gt;0,AP83/R83,0))/MAX(0.1,N(Parameter!$M$21)))</f>
        <v>0.0384615384615385</v>
      </c>
      <c r="AR83" s="50" t="n">
        <f aca="false">AQ83*BY83</f>
        <v>5.96153846153846</v>
      </c>
      <c r="AS83" s="50" t="n">
        <f aca="false">AO83*G83</f>
        <v>33396</v>
      </c>
      <c r="AT83" s="50" t="n">
        <f aca="false">ROUNDUP(MAX(J83/IF(CD83&gt;0,CD83,MAX(0.1,N(Cockpit!$I$6))),CG83)/BV83,0)*BV83</f>
        <v>1100</v>
      </c>
      <c r="AU83" s="51" t="n">
        <f aca="false">IF(AR83&gt;0,J83/AR83,-1)</f>
        <v>193.238709677419</v>
      </c>
      <c r="AV83" s="51" t="n">
        <f aca="false">IF(AND(OR(CC83="L1",CC83="L23",CC83="LIFT"),AR83&gt;0),SUMIFS($AR$7:$AR$1843,$CC$7:$CC$1843,CC83,$AU$7:$AU$1843,"&gt;"&amp;AU83)+SUMIFS($AR$7:$AR$1843,$CC$7:$CC$1843,CC83,$AU$7:$AU$1843,AU83,$BT$7:$BT$1843,"&lt;="&amp;BT83),"")</f>
        <v>402.891941391941</v>
      </c>
      <c r="AW83" s="58" t="n">
        <f aca="false">IF(AV83="",0,MAX(0,MIN(1,(IF(CC83="L1",Parameter!$H$5,IF(CC83="L23",Parameter!$H$6+Parameter!$H$7,Parameter!$H$5+Parameter!$H$6+Parameter!$H$7))-(AV83-AR83))/AR83)))</f>
        <v>1</v>
      </c>
      <c r="AX83" s="50" t="n">
        <f aca="false">IF(LEFT(Cockpit!$O$5,1)="A",H83,IF(CE83=1,CF83,IF(LEFT(Cockpit!$O$5,1)="B",BC83,MAX(BC83,H83))))</f>
        <v>550</v>
      </c>
      <c r="AY83" s="50" t="n">
        <f aca="false">IF(BW83=1,0,ROUNDUP(AX83/BV83,0))</f>
        <v>1</v>
      </c>
      <c r="AZ83" s="52" t="n">
        <f aca="false">IF(CL83&gt;0,CL83*MAX(1,AX83/X83),IF(BW83=1,IF(AX83&lt;=0,0,CA83*MAX(1,IF(H83&gt;0,AX83/H83,1))),IF(R83&gt;0,AY83/R83,0))/MAX(0.1,N(Parameter!$M$21)))</f>
        <v>0.0192307692307692</v>
      </c>
      <c r="BA83" s="50" t="n">
        <f aca="false">AZ83*BY83</f>
        <v>2.98076923076923</v>
      </c>
      <c r="BB83" s="50" t="n">
        <f aca="false">AX83*G83</f>
        <v>16698</v>
      </c>
      <c r="BC83" s="50" t="n">
        <f aca="false">ROUNDUP(MAX(J83/IF(CD83&gt;0,CD83,MAX(0.1,N(Cockpit!$O$6))),CG83)/BV83,0)*BV83</f>
        <v>550</v>
      </c>
      <c r="BD83" s="51" t="n">
        <f aca="false">IF(BA83&gt;0,J83/BA83,-1)</f>
        <v>386.477419354839</v>
      </c>
      <c r="BE83" s="51" t="n">
        <f aca="false">IF(AND(OR(CC83="L1",CC83="L23",CC83="LIFT"),BA83&gt;0),SUMIFS($BA$7:$BA$1843,$CC$7:$CC$1843,CC83,$BD$7:$BD$1843,"&gt;"&amp;BD83)+SUMIFS($BA$7:$BA$1843,$CC$7:$CC$1843,CC83,$BD$7:$BD$1843,BD83,$BT$7:$BT$1843,"&lt;="&amp;BT83),"")</f>
        <v>127.347985347985</v>
      </c>
      <c r="BF83" s="58" t="n">
        <f aca="false">IF(BE83="",0,MAX(0,MIN(1,(IF(CC83="L1",Parameter!$H$5,IF(CC83="L23",Parameter!$H$6+Parameter!$H$7,Parameter!$H$5+Parameter!$H$6+Parameter!$H$7))-(BE83-BA83))/BA83)))</f>
        <v>1</v>
      </c>
      <c r="BG83" s="48" t="str">
        <f aca="false">IF(AI83&lt;=0,"",IF(CC83="Aussen","Aussenlager",IF(CC83="-","Nicht im Lift",IF(AN83&gt;=1,"Lift",IF(AN83&lt;=0,"Aussenlager","teilweise")))))</f>
        <v>Lift</v>
      </c>
      <c r="BH83" s="48" t="str">
        <f aca="false">IF(AR83&lt;=0,"",IF(CC83="Aussen","Aussenlager",IF(CC83="-","Nicht im Lift",IF(AW83&gt;=1,"Lift",IF(AW83&lt;=0,"Aussenlager","teilweise")))))</f>
        <v>Lift</v>
      </c>
      <c r="BI83" s="48" t="str">
        <f aca="false">IF(BA83&lt;=0,"",IF(CC83="Aussen","Aussenlager",IF(CC83="-","Nicht im Lift",IF(BF83&gt;=1,"Lift",IF(BF83&lt;=0,"Aussenlager","teilweise")))))</f>
        <v>Lift</v>
      </c>
      <c r="BJ83" s="48" t="str">
        <f aca="false">IF(A83="","",IF(BS83=1,"Neu; ","")&amp;IF(AND(BS83=0,BN83&lt;0),"negativer Bestand (Export "&amp;BN83&amp;"); ","")&amp;IF(J83&lt;=0,"Kein Verbrauch; ","")&amp;IF(CL83&gt;0,"Lift "&amp;W83&amp;" lt. Liftbericht (Fach "&amp;X83&amp;" Stk); ",IF(BX83=1,"Gebinde geschätzt ("&amp;T83&amp;"); ",IF(BW83=1,"Lose – Tablare geschätzt; ","")))&amp;IF(H83&gt;AT83,"Überbestand "&amp;ROUND(H83-AT83,0)&amp;" Stk / CHF "&amp;ROUND((H83-AT83)*G83,0)&amp;"; ","")&amp;IF(AND(CE83=1,CF83&lt;CG83),"MAX &lt; MB+LG; ","")&amp;IF(AND(CK83&gt;0,CJ83*10&gt;CK83),"zu hoch für Tablar; ","")&amp;IF(AND(BS83=0,OR(CE83=1,AA83&lt;&gt;"",U83&lt;&gt;"",V83&lt;&gt;"",AB83&lt;&gt;"")),"manuell übersteuert; ","")&amp;IF(AND(BW83=0,R83=0),"Gebinde unbekannt / Stellmass fehlt; ","")&amp;IF(AND(BW83=0,N(V83)&lt;=0,N(Q83)&lt;=0),"Menge pro Gebinde fehlt (Ist = 1 Gebinde); ","")&amp;BR83)</f>
        <v/>
      </c>
      <c r="BK83" s="48"/>
      <c r="BL83" s="48"/>
      <c r="BM83" s="55"/>
      <c r="BN83" s="50" t="n">
        <v>94</v>
      </c>
      <c r="BO83" s="50" t="n">
        <v>138</v>
      </c>
      <c r="BP83" s="49" t="n">
        <v>2989.54000000002</v>
      </c>
      <c r="BQ83" s="50" t="n">
        <v>1152</v>
      </c>
      <c r="BR83" s="48"/>
      <c r="BS83" s="53" t="n">
        <v>0</v>
      </c>
      <c r="BT83" s="53" t="n">
        <v>83</v>
      </c>
      <c r="BU83" s="48" t="str">
        <f aca="false">IF(U83&lt;&gt;"",UPPER(TRIM(U83)),IF(BX83=1,UPPER(VLOOKUP(T83,Parameter!$I$27:$K$29,2,0)),IF(P83="","LOSE",P83)))</f>
        <v>S41</v>
      </c>
      <c r="BV83" s="50" t="n">
        <f aca="false">IF(BU83="LOSE",1,IF(N(V83)&gt;0,V83,IF(BX83=1,MAX(1,N(VLOOKUP(T83,Parameter!$I$27:$K$29,3,0)),H83,N(N83)),IF(N(Q83)&gt;0,Q83,MAX(1,H83)))))</f>
        <v>550</v>
      </c>
      <c r="BW83" s="53" t="n">
        <f aca="false">IF(BU83="LOSE",1,0)</f>
        <v>0</v>
      </c>
      <c r="BX83" s="53" t="n">
        <f aca="false">IF(AND(U83="",OR(P83="",P83="LOSE"),T83&lt;&gt;"",N(S83)&lt;=0,ISNUMBER(MATCH(T83,Parameter!$I$27:$I$29,0))),1,0)</f>
        <v>0</v>
      </c>
      <c r="BY83" s="53" t="n">
        <f aca="false">IF(CL83&gt;0,INDEX(Parameter!$H$5:$H$7,W83)/INDEX(Parameter!$E$5:$E$7,W83),IF(AND(BW83=0,N(IFERROR(VLOOKUP(BU83,'Gebinde-Kategorie'!$A$5:$N$45,14,0),0))&gt;0),VLOOKUP(BU83,'Gebinde-Kategorie'!$A$5:$N$45,14,0)*10+Parameter!$M$23,Parameter!$M$24))</f>
        <v>155</v>
      </c>
      <c r="BZ83" s="48" t="str">
        <f aca="false">IF(AND(Parameter!$B$19="Ja",E83&lt;&gt;"",ISNUMBER(MATCH(E83,Parameter!$I$35:$I$52,0))),VLOOKUP(E83,Parameter!$I$35:$J$52,2,0),IFERROR(VLOOKUP(D83,Parameter!$A$35:$C$64,2,0),"Nein"))</f>
        <v>2+3</v>
      </c>
      <c r="CA83" s="52" t="n">
        <f aca="false">IF(BW83=0,0,IF(N(S83)&gt;0,S83,IFERROR(VLOOKUP(D83,Parameter!$A$35:$C$64,3,0)+0,0)))</f>
        <v>0</v>
      </c>
      <c r="CB83" s="48" t="n">
        <f aca="false">IF(AA83&lt;&gt;"",AA83,Z83)</f>
        <v>3</v>
      </c>
      <c r="CC83" s="48" t="str">
        <f aca="false">IF(OR(CB83=1,CB83=2,CB83=3),IF(Parameter!$E$27="Ja","LIFT",IF(CB83=1,"L1","L23")),IF(CB83="Aussen","Aussen","-"))</f>
        <v>LIFT</v>
      </c>
      <c r="CD83" s="59" t="n">
        <f aca="false">IF(N(AB83)&gt;0,AB83,0)</f>
        <v>0</v>
      </c>
      <c r="CE83" s="53" t="n">
        <f aca="false">IF(ISNUMBER(AE83),1,0)</f>
        <v>0</v>
      </c>
      <c r="CF83" s="50" t="n">
        <f aca="false">N(AE83)</f>
        <v>0</v>
      </c>
      <c r="CG83" s="50" t="n">
        <f aca="false">N(M83)+N(N83)</f>
        <v>506</v>
      </c>
      <c r="CH83" s="50" t="n">
        <f aca="false">ROUNDUP(H83/BV83,0)</f>
        <v>1</v>
      </c>
      <c r="CI83" s="50" t="n">
        <f aca="false">ROUNDUP(CF83/BV83,0)</f>
        <v>0</v>
      </c>
      <c r="CJ83" s="53" t="n">
        <f aca="false">IF(BW83=1,0,IFERROR(VLOOKUP(BU83,'Gebinde-Kategorie'!$A$5:$N$45,5,0)+0,0))</f>
        <v>11</v>
      </c>
      <c r="CK83" s="53" t="n">
        <f aca="false">IFERROR(IF(OR(CB83=1,CB83=2,CB83=3),N(INDEX(Parameter!$I$5:$I$7,CB83)),0),0)</f>
        <v>0</v>
      </c>
      <c r="CL83" s="52" t="n">
        <f aca="false">IF(AND(Parameter!$B$21="Ja",ISNUMBER(W83),N(X83)&gt;0),IFERROR(N(INDEX(Parameter!$L$5:$L$7,W83))*INDEX(Parameter!$E$5:$E$7,W83)*X83/SUMIFS($X$7:$X$1843,$W$7:$W$1843,W83),0),0)</f>
        <v>0</v>
      </c>
    </row>
    <row r="84" customFormat="false" ht="15" hidden="false" customHeight="false" outlineLevel="0" collapsed="false">
      <c r="A84" s="48" t="s">
        <v>379</v>
      </c>
      <c r="B84" s="48" t="s">
        <v>380</v>
      </c>
      <c r="C84" s="48" t="s">
        <v>168</v>
      </c>
      <c r="D84" s="48" t="s">
        <v>188</v>
      </c>
      <c r="E84" s="48" t="s">
        <v>189</v>
      </c>
      <c r="F84" s="48" t="s">
        <v>222</v>
      </c>
      <c r="G84" s="49" t="n">
        <v>58.75</v>
      </c>
      <c r="H84" s="50" t="n">
        <f aca="false">MAX(0,IF(AND(Parameter!$B$21="Ja",ISNUMBER(Y84)),Y84,IF(Parameter!$B$20="Jahresanfang 2025 + Export",BO84+BN84,BN84)))</f>
        <v>161</v>
      </c>
      <c r="I84" s="50" t="n">
        <f aca="false">H84*G84</f>
        <v>9458.75</v>
      </c>
      <c r="J84" s="50" t="n">
        <f aca="false">BQ84*Parameter!$B$18</f>
        <v>357</v>
      </c>
      <c r="K84" s="51" t="n">
        <v>91</v>
      </c>
      <c r="L84" s="52" t="n">
        <v>3.92307692307692</v>
      </c>
      <c r="M84" s="50" t="n">
        <v>20</v>
      </c>
      <c r="N84" s="50" t="n">
        <v>80</v>
      </c>
      <c r="O84" s="53" t="n">
        <v>21</v>
      </c>
      <c r="P84" s="48" t="s">
        <v>237</v>
      </c>
      <c r="Q84" s="50" t="n">
        <v>109</v>
      </c>
      <c r="R84" s="53" t="n">
        <f aca="false">IF(BW84=1,0,IFERROR(VLOOKUP(BU84,'Gebinde-Kategorie'!$A$5:$N$45,13,0)+0,0))</f>
        <v>26</v>
      </c>
      <c r="S84" s="54"/>
      <c r="T84" s="55"/>
      <c r="U84" s="55"/>
      <c r="V84" s="55"/>
      <c r="W84" s="48"/>
      <c r="X84" s="50"/>
      <c r="Y84" s="50"/>
      <c r="Z84" s="48" t="n">
        <f aca="false">IF(A84="","",IF(AND(Parameter!$B$21="Ja",ISNUMBER(W84)),W84,IF(BZ84="2+3",IF(ISNUMBER(SEARCH("grosser Artikel",BR84)),2,IFERROR(VLOOKUP(BU84,Parameter!$F$35:$G$64,2,0),2)),IF(OR(BZ84="Nein",BZ84=""),"-",BZ84))))</f>
        <v>3</v>
      </c>
      <c r="AA84" s="55"/>
      <c r="AB84" s="56"/>
      <c r="AC84" s="50" t="n">
        <f aca="false">AT84</f>
        <v>218</v>
      </c>
      <c r="AD84" s="50" t="n">
        <f aca="false">MAX(AT84,H84)</f>
        <v>218</v>
      </c>
      <c r="AE84" s="57"/>
      <c r="AF84" s="50" t="n">
        <f aca="false">IF(LEFT(Cockpit!$C$5,1)="A",H84,IF(CE84=1,CF84,IF(LEFT(Cockpit!$C$5,1)="B",AK84,MAX(AK84,H84))))</f>
        <v>161</v>
      </c>
      <c r="AG84" s="50" t="n">
        <f aca="false">IF(BW84=1,0,ROUNDUP(AF84/BV84,0))</f>
        <v>2</v>
      </c>
      <c r="AH84" s="52" t="n">
        <f aca="false">IF(CL84&gt;0,CL84*MAX(1,AF84/X84),IF(BW84=1,IF(AF84&lt;=0,0,CA84*MAX(1,IF(H84&gt;0,AF84/H84,1))),IF(R84&gt;0,AG84/R84,0))/MAX(0.1,N(Parameter!$M$21)))</f>
        <v>0.0769230769230769</v>
      </c>
      <c r="AI84" s="50" t="n">
        <f aca="false">AH84*BY84</f>
        <v>18.8461538461538</v>
      </c>
      <c r="AJ84" s="50" t="n">
        <f aca="false">AF84*G84</f>
        <v>9458.75</v>
      </c>
      <c r="AK84" s="50" t="n">
        <f aca="false">ROUNDUP(MAX(J84/IF(CD84&gt;0,CD84,MAX(0.1,N(Cockpit!$C$6))),CG84)/BV84,0)*BV84</f>
        <v>218</v>
      </c>
      <c r="AL84" s="51" t="n">
        <f aca="false">IF(AI84&gt;0,J84/AI84,-1)</f>
        <v>18.9428571428571</v>
      </c>
      <c r="AM84" s="51" t="n">
        <f aca="false">IF(AND(OR(CC84="L1",CC84="L23",CC84="LIFT"),AI84&gt;0),SUMIFS($AI$7:$AI$1843,$CC$7:$CC$1843,CC84,$AL$7:$AL$1843,"&gt;"&amp;AL84)+SUMIFS($AI$7:$AI$1843,$CC$7:$CC$1843,CC84,$AL$7:$AL$1843,AL84,$BT$7:$BT$1843,"&lt;="&amp;BT84),"")</f>
        <v>1766.35073260073</v>
      </c>
      <c r="AN84" s="58" t="n">
        <f aca="false">IF(AM84="",0,MAX(0,MIN(1,(IF(CC84="L1",Parameter!$H$5,IF(CC84="L23",Parameter!$H$6+Parameter!$H$7,Parameter!$H$5+Parameter!$H$6+Parameter!$H$7))-(AM84-AI84))/AI84)))</f>
        <v>1</v>
      </c>
      <c r="AO84" s="50" t="n">
        <f aca="false">IF(LEFT(Cockpit!$I$5,1)="A",H84,IF(CE84=1,CF84,IF(LEFT(Cockpit!$I$5,1)="B",AT84,MAX(AT84,H84))))</f>
        <v>218</v>
      </c>
      <c r="AP84" s="50" t="n">
        <f aca="false">IF(BW84=1,0,ROUNDUP(AO84/BV84,0))</f>
        <v>2</v>
      </c>
      <c r="AQ84" s="52" t="n">
        <f aca="false">IF(CL84&gt;0,CL84*MAX(1,AO84/X84),IF(BW84=1,IF(AO84&lt;=0,0,CA84*MAX(1,IF(H84&gt;0,AO84/H84,1))),IF(R84&gt;0,AP84/R84,0))/MAX(0.1,N(Parameter!$M$21)))</f>
        <v>0.0769230769230769</v>
      </c>
      <c r="AR84" s="50" t="n">
        <f aca="false">AQ84*BY84</f>
        <v>18.8461538461538</v>
      </c>
      <c r="AS84" s="50" t="n">
        <f aca="false">AO84*G84</f>
        <v>12807.5</v>
      </c>
      <c r="AT84" s="50" t="n">
        <f aca="false">ROUNDUP(MAX(J84/IF(CD84&gt;0,CD84,MAX(0.1,N(Cockpit!$I$6))),CG84)/BV84,0)*BV84</f>
        <v>218</v>
      </c>
      <c r="AU84" s="51" t="n">
        <f aca="false">IF(AR84&gt;0,J84/AR84,-1)</f>
        <v>18.9428571428571</v>
      </c>
      <c r="AV84" s="51" t="n">
        <f aca="false">IF(AND(OR(CC84="L1",CC84="L23",CC84="LIFT"),AR84&gt;0),SUMIFS($AR$7:$AR$1843,$CC$7:$CC$1843,CC84,$AU$7:$AU$1843,"&gt;"&amp;AU84)+SUMIFS($AR$7:$AR$1843,$CC$7:$CC$1843,CC84,$AU$7:$AU$1843,AU84,$BT$7:$BT$1843,"&lt;="&amp;BT84),"")</f>
        <v>2658.56547619048</v>
      </c>
      <c r="AW84" s="58" t="n">
        <f aca="false">IF(AV84="",0,MAX(0,MIN(1,(IF(CC84="L1",Parameter!$H$5,IF(CC84="L23",Parameter!$H$6+Parameter!$H$7,Parameter!$H$5+Parameter!$H$6+Parameter!$H$7))-(AV84-AR84))/AR84)))</f>
        <v>1</v>
      </c>
      <c r="AX84" s="50" t="n">
        <f aca="false">IF(LEFT(Cockpit!$O$5,1)="A",H84,IF(CE84=1,CF84,IF(LEFT(Cockpit!$O$5,1)="B",BC84,MAX(BC84,H84))))</f>
        <v>218</v>
      </c>
      <c r="AY84" s="50" t="n">
        <f aca="false">IF(BW84=1,0,ROUNDUP(AX84/BV84,0))</f>
        <v>2</v>
      </c>
      <c r="AZ84" s="52" t="n">
        <f aca="false">IF(CL84&gt;0,CL84*MAX(1,AX84/X84),IF(BW84=1,IF(AX84&lt;=0,0,CA84*MAX(1,IF(H84&gt;0,AX84/H84,1))),IF(R84&gt;0,AY84/R84,0))/MAX(0.1,N(Parameter!$M$21)))</f>
        <v>0.0769230769230769</v>
      </c>
      <c r="BA84" s="50" t="n">
        <f aca="false">AZ84*BY84</f>
        <v>18.8461538461538</v>
      </c>
      <c r="BB84" s="50" t="n">
        <f aca="false">AX84*G84</f>
        <v>12807.5</v>
      </c>
      <c r="BC84" s="50" t="n">
        <f aca="false">ROUNDUP(MAX(J84/IF(CD84&gt;0,CD84,MAX(0.1,N(Cockpit!$O$6))),CG84)/BV84,0)*BV84</f>
        <v>218</v>
      </c>
      <c r="BD84" s="51" t="n">
        <f aca="false">IF(BA84&gt;0,J84/BA84,-1)</f>
        <v>18.9428571428571</v>
      </c>
      <c r="BE84" s="51" t="n">
        <f aca="false">IF(AND(OR(CC84="L1",CC84="L23",CC84="LIFT"),BA84&gt;0),SUMIFS($BA$7:$BA$1843,$CC$7:$CC$1843,CC84,$BD$7:$BD$1843,"&gt;"&amp;BD84)+SUMIFS($BA$7:$BA$1843,$CC$7:$CC$1843,CC84,$BD$7:$BD$1843,BD84,$BT$7:$BT$1843,"&lt;="&amp;BT84),"")</f>
        <v>2478.00457875458</v>
      </c>
      <c r="BF84" s="58" t="n">
        <f aca="false">IF(BE84="",0,MAX(0,MIN(1,(IF(CC84="L1",Parameter!$H$5,IF(CC84="L23",Parameter!$H$6+Parameter!$H$7,Parameter!$H$5+Parameter!$H$6+Parameter!$H$7))-(BE84-BA84))/BA84)))</f>
        <v>1</v>
      </c>
      <c r="BG84" s="48" t="str">
        <f aca="false">IF(AI84&lt;=0,"",IF(CC84="Aussen","Aussenlager",IF(CC84="-","Nicht im Lift",IF(AN84&gt;=1,"Lift",IF(AN84&lt;=0,"Aussenlager","teilweise")))))</f>
        <v>Lift</v>
      </c>
      <c r="BH84" s="48" t="str">
        <f aca="false">IF(AR84&lt;=0,"",IF(CC84="Aussen","Aussenlager",IF(CC84="-","Nicht im Lift",IF(AW84&gt;=1,"Lift",IF(AW84&lt;=0,"Aussenlager","teilweise")))))</f>
        <v>Lift</v>
      </c>
      <c r="BI84" s="48" t="str">
        <f aca="false">IF(BA84&lt;=0,"",IF(CC84="Aussen","Aussenlager",IF(CC84="-","Nicht im Lift",IF(BF84&gt;=1,"Lift",IF(BF84&lt;=0,"Aussenlager","teilweise")))))</f>
        <v>Lift</v>
      </c>
      <c r="BJ84" s="48" t="str">
        <f aca="false">IF(A84="","",IF(BS84=1,"Neu; ","")&amp;IF(AND(BS84=0,BN84&lt;0),"negativer Bestand (Export "&amp;BN84&amp;"); ","")&amp;IF(J84&lt;=0,"Kein Verbrauch; ","")&amp;IF(CL84&gt;0,"Lift "&amp;W84&amp;" lt. Liftbericht (Fach "&amp;X84&amp;" Stk); ",IF(BX84=1,"Gebinde geschätzt ("&amp;T84&amp;"); ",IF(BW84=1,"Lose – Tablare geschätzt; ","")))&amp;IF(H84&gt;AT84,"Überbestand "&amp;ROUND(H84-AT84,0)&amp;" Stk / CHF "&amp;ROUND((H84-AT84)*G84,0)&amp;"; ","")&amp;IF(AND(CE84=1,CF84&lt;CG84),"MAX &lt; MB+LG; ","")&amp;IF(AND(CK84&gt;0,CJ84*10&gt;CK84),"zu hoch für Tablar; ","")&amp;IF(AND(BS84=0,OR(CE84=1,AA84&lt;&gt;"",U84&lt;&gt;"",V84&lt;&gt;"",AB84&lt;&gt;"")),"manuell übersteuert; ","")&amp;IF(AND(BW84=0,R84=0),"Gebinde unbekannt / Stellmass fehlt; ","")&amp;IF(AND(BW84=0,N(V84)&lt;=0,N(Q84)&lt;=0),"Menge pro Gebinde fehlt (Ist = 1 Gebinde); ","")&amp;BR84)</f>
        <v/>
      </c>
      <c r="BK84" s="48"/>
      <c r="BL84" s="48"/>
      <c r="BM84" s="55"/>
      <c r="BN84" s="50" t="n">
        <v>50</v>
      </c>
      <c r="BO84" s="50" t="n">
        <v>111</v>
      </c>
      <c r="BP84" s="49" t="n">
        <v>2976.35</v>
      </c>
      <c r="BQ84" s="50" t="n">
        <v>357</v>
      </c>
      <c r="BR84" s="48"/>
      <c r="BS84" s="53" t="n">
        <v>0</v>
      </c>
      <c r="BT84" s="53" t="n">
        <v>84</v>
      </c>
      <c r="BU84" s="48" t="str">
        <f aca="false">IF(U84&lt;&gt;"",UPPER(TRIM(U84)),IF(BX84=1,UPPER(VLOOKUP(T84,Parameter!$I$27:$K$29,2,0)),IF(P84="","LOSE",P84)))</f>
        <v>S52</v>
      </c>
      <c r="BV84" s="50" t="n">
        <f aca="false">IF(BU84="LOSE",1,IF(N(V84)&gt;0,V84,IF(BX84=1,MAX(1,N(VLOOKUP(T84,Parameter!$I$27:$K$29,3,0)),H84,N(N84)),IF(N(Q84)&gt;0,Q84,MAX(1,H84)))))</f>
        <v>109</v>
      </c>
      <c r="BW84" s="53" t="n">
        <f aca="false">IF(BU84="LOSE",1,0)</f>
        <v>0</v>
      </c>
      <c r="BX84" s="53" t="n">
        <f aca="false">IF(AND(U84="",OR(P84="",P84="LOSE"),T84&lt;&gt;"",N(S84)&lt;=0,ISNUMBER(MATCH(T84,Parameter!$I$27:$I$29,0))),1,0)</f>
        <v>0</v>
      </c>
      <c r="BY84" s="53" t="n">
        <f aca="false">IF(CL84&gt;0,INDEX(Parameter!$H$5:$H$7,W84)/INDEX(Parameter!$E$5:$E$7,W84),IF(AND(BW84=0,N(IFERROR(VLOOKUP(BU84,'Gebinde-Kategorie'!$A$5:$N$45,14,0),0))&gt;0),VLOOKUP(BU84,'Gebinde-Kategorie'!$A$5:$N$45,14,0)*10+Parameter!$M$23,Parameter!$M$24))</f>
        <v>245</v>
      </c>
      <c r="BZ84" s="48" t="str">
        <f aca="false">IF(AND(Parameter!$B$19="Ja",E84&lt;&gt;"",ISNUMBER(MATCH(E84,Parameter!$I$35:$I$52,0))),VLOOKUP(E84,Parameter!$I$35:$J$52,2,0),IFERROR(VLOOKUP(D84,Parameter!$A$35:$C$64,2,0),"Nein"))</f>
        <v>2+3</v>
      </c>
      <c r="CA84" s="52" t="n">
        <f aca="false">IF(BW84=0,0,IF(N(S84)&gt;0,S84,IFERROR(VLOOKUP(D84,Parameter!$A$35:$C$64,3,0)+0,0)))</f>
        <v>0</v>
      </c>
      <c r="CB84" s="48" t="n">
        <f aca="false">IF(AA84&lt;&gt;"",AA84,Z84)</f>
        <v>3</v>
      </c>
      <c r="CC84" s="48" t="str">
        <f aca="false">IF(OR(CB84=1,CB84=2,CB84=3),IF(Parameter!$E$27="Ja","LIFT",IF(CB84=1,"L1","L23")),IF(CB84="Aussen","Aussen","-"))</f>
        <v>LIFT</v>
      </c>
      <c r="CD84" s="59" t="n">
        <f aca="false">IF(N(AB84)&gt;0,AB84,0)</f>
        <v>0</v>
      </c>
      <c r="CE84" s="53" t="n">
        <f aca="false">IF(ISNUMBER(AE84),1,0)</f>
        <v>0</v>
      </c>
      <c r="CF84" s="50" t="n">
        <f aca="false">N(AE84)</f>
        <v>0</v>
      </c>
      <c r="CG84" s="50" t="n">
        <f aca="false">N(M84)+N(N84)</f>
        <v>100</v>
      </c>
      <c r="CH84" s="50" t="n">
        <f aca="false">ROUNDUP(H84/BV84,0)</f>
        <v>2</v>
      </c>
      <c r="CI84" s="50" t="n">
        <f aca="false">ROUNDUP(CF84/BV84,0)</f>
        <v>0</v>
      </c>
      <c r="CJ84" s="53" t="n">
        <f aca="false">IF(BW84=1,0,IFERROR(VLOOKUP(BU84,'Gebinde-Kategorie'!$A$5:$N$45,5,0)+0,0))</f>
        <v>21</v>
      </c>
      <c r="CK84" s="53" t="n">
        <f aca="false">IFERROR(IF(OR(CB84=1,CB84=2,CB84=3),N(INDEX(Parameter!$I$5:$I$7,CB84)),0),0)</f>
        <v>0</v>
      </c>
      <c r="CL84" s="52" t="n">
        <f aca="false">IF(AND(Parameter!$B$21="Ja",ISNUMBER(W84),N(X84)&gt;0),IFERROR(N(INDEX(Parameter!$L$5:$L$7,W84))*INDEX(Parameter!$E$5:$E$7,W84)*X84/SUMIFS($X$7:$X$1843,$W$7:$W$1843,W84),0),0)</f>
        <v>0</v>
      </c>
    </row>
    <row r="85" customFormat="false" ht="15" hidden="false" customHeight="false" outlineLevel="0" collapsed="false">
      <c r="A85" s="48" t="s">
        <v>381</v>
      </c>
      <c r="B85" s="48" t="s">
        <v>285</v>
      </c>
      <c r="C85" s="48" t="s">
        <v>168</v>
      </c>
      <c r="D85" s="48" t="s">
        <v>177</v>
      </c>
      <c r="E85" s="48" t="s">
        <v>189</v>
      </c>
      <c r="F85" s="48" t="s">
        <v>222</v>
      </c>
      <c r="G85" s="49" t="n">
        <v>249.96</v>
      </c>
      <c r="H85" s="50" t="n">
        <f aca="false">MAX(0,IF(AND(Parameter!$B$21="Ja",ISNUMBER(Y85)),Y85,IF(Parameter!$B$20="Jahresanfang 2025 + Export",BO85+BN85,BN85)))</f>
        <v>29</v>
      </c>
      <c r="I85" s="50" t="n">
        <f aca="false">H85*G85</f>
        <v>7248.84</v>
      </c>
      <c r="J85" s="50" t="n">
        <f aca="false">BQ85*Parameter!$B$18</f>
        <v>62</v>
      </c>
      <c r="K85" s="51" t="n">
        <v>22.5</v>
      </c>
      <c r="L85" s="52" t="n">
        <v>2.75555555555556</v>
      </c>
      <c r="M85" s="50" t="n">
        <v>4</v>
      </c>
      <c r="N85" s="50" t="n">
        <v>20</v>
      </c>
      <c r="O85" s="53" t="n">
        <v>21</v>
      </c>
      <c r="P85" s="48" t="s">
        <v>263</v>
      </c>
      <c r="Q85" s="50" t="n">
        <v>31</v>
      </c>
      <c r="R85" s="53" t="n">
        <f aca="false">IF(BW85=1,0,IFERROR(VLOOKUP(BU85,'Gebinde-Kategorie'!$A$5:$N$45,13,0)+0,0))</f>
        <v>6</v>
      </c>
      <c r="S85" s="54"/>
      <c r="T85" s="55"/>
      <c r="U85" s="55"/>
      <c r="V85" s="55"/>
      <c r="W85" s="48"/>
      <c r="X85" s="50"/>
      <c r="Y85" s="50"/>
      <c r="Z85" s="48" t="n">
        <f aca="false">IF(A85="","",IF(AND(Parameter!$B$21="Ja",ISNUMBER(W85)),W85,IF(BZ85="2+3",IF(ISNUMBER(SEARCH("grosser Artikel",BR85)),2,IFERROR(VLOOKUP(BU85,Parameter!$F$35:$G$64,2,0),2)),IF(OR(BZ85="Nein",BZ85=""),"-",BZ85))))</f>
        <v>2</v>
      </c>
      <c r="AA85" s="55"/>
      <c r="AB85" s="56"/>
      <c r="AC85" s="50" t="n">
        <f aca="false">AT85</f>
        <v>31</v>
      </c>
      <c r="AD85" s="50" t="n">
        <f aca="false">MAX(AT85,H85)</f>
        <v>31</v>
      </c>
      <c r="AE85" s="57"/>
      <c r="AF85" s="50" t="n">
        <f aca="false">IF(LEFT(Cockpit!$C$5,1)="A",H85,IF(CE85=1,CF85,IF(LEFT(Cockpit!$C$5,1)="B",AK85,MAX(AK85,H85))))</f>
        <v>29</v>
      </c>
      <c r="AG85" s="50" t="n">
        <f aca="false">IF(BW85=1,0,ROUNDUP(AF85/BV85,0))</f>
        <v>1</v>
      </c>
      <c r="AH85" s="52" t="n">
        <f aca="false">IF(CL85&gt;0,CL85*MAX(1,AF85/X85),IF(BW85=1,IF(AF85&lt;=0,0,CA85*MAX(1,IF(H85&gt;0,AF85/H85,1))),IF(R85&gt;0,AG85/R85,0))/MAX(0.1,N(Parameter!$M$21)))</f>
        <v>0.166666666666667</v>
      </c>
      <c r="AI85" s="50" t="n">
        <f aca="false">AH85*BY85</f>
        <v>72.5</v>
      </c>
      <c r="AJ85" s="50" t="n">
        <f aca="false">AF85*G85</f>
        <v>7248.84</v>
      </c>
      <c r="AK85" s="50" t="n">
        <f aca="false">ROUNDUP(MAX(J85/IF(CD85&gt;0,CD85,MAX(0.1,N(Cockpit!$C$6))),CG85)/BV85,0)*BV85</f>
        <v>31</v>
      </c>
      <c r="AL85" s="51" t="n">
        <f aca="false">IF(AI85&gt;0,J85/AI85,-1)</f>
        <v>0.855172413793104</v>
      </c>
      <c r="AM85" s="51" t="n">
        <f aca="false">IF(AND(OR(CC85="L1",CC85="L23",CC85="LIFT"),AI85&gt;0),SUMIFS($AI$7:$AI$1843,$CC$7:$CC$1843,CC85,$AL$7:$AL$1843,"&gt;"&amp;AL85)+SUMIFS($AI$7:$AI$1843,$CC$7:$CC$1843,CC85,$AL$7:$AL$1843,AL85,$BT$7:$BT$1843,"&lt;="&amp;BT85),"")</f>
        <v>7805.34294871795</v>
      </c>
      <c r="AN85" s="58" t="n">
        <f aca="false">IF(AM85="",0,MAX(0,MIN(1,(IF(CC85="L1",Parameter!$H$5,IF(CC85="L23",Parameter!$H$6+Parameter!$H$7,Parameter!$H$5+Parameter!$H$6+Parameter!$H$7))-(AM85-AI85))/AI85)))</f>
        <v>1</v>
      </c>
      <c r="AO85" s="50" t="n">
        <f aca="false">IF(LEFT(Cockpit!$I$5,1)="A",H85,IF(CE85=1,CF85,IF(LEFT(Cockpit!$I$5,1)="B",AT85,MAX(AT85,H85))))</f>
        <v>31</v>
      </c>
      <c r="AP85" s="50" t="n">
        <f aca="false">IF(BW85=1,0,ROUNDUP(AO85/BV85,0))</f>
        <v>1</v>
      </c>
      <c r="AQ85" s="52" t="n">
        <f aca="false">IF(CL85&gt;0,CL85*MAX(1,AO85/X85),IF(BW85=1,IF(AO85&lt;=0,0,CA85*MAX(1,IF(H85&gt;0,AO85/H85,1))),IF(R85&gt;0,AP85/R85,0))/MAX(0.1,N(Parameter!$M$21)))</f>
        <v>0.166666666666667</v>
      </c>
      <c r="AR85" s="50" t="n">
        <f aca="false">AQ85*BY85</f>
        <v>72.5</v>
      </c>
      <c r="AS85" s="50" t="n">
        <f aca="false">AO85*G85</f>
        <v>7748.76</v>
      </c>
      <c r="AT85" s="50" t="n">
        <f aca="false">ROUNDUP(MAX(J85/IF(CD85&gt;0,CD85,MAX(0.1,N(Cockpit!$I$6))),CG85)/BV85,0)*BV85</f>
        <v>31</v>
      </c>
      <c r="AU85" s="51" t="n">
        <f aca="false">IF(AR85&gt;0,J85/AR85,-1)</f>
        <v>0.855172413793104</v>
      </c>
      <c r="AV85" s="51" t="n">
        <f aca="false">IF(AND(OR(CC85="L1",CC85="L23",CC85="LIFT"),AR85&gt;0),SUMIFS($AR$7:$AR$1843,$CC$7:$CC$1843,CC85,$AU$7:$AU$1843,"&gt;"&amp;AU85)+SUMIFS($AR$7:$AR$1843,$CC$7:$CC$1843,CC85,$AU$7:$AU$1843,AU85,$BT$7:$BT$1843,"&lt;="&amp;BT85),"")</f>
        <v>11175.7664835165</v>
      </c>
      <c r="AW85" s="58" t="n">
        <f aca="false">IF(AV85="",0,MAX(0,MIN(1,(IF(CC85="L1",Parameter!$H$5,IF(CC85="L23",Parameter!$H$6+Parameter!$H$7,Parameter!$H$5+Parameter!$H$6+Parameter!$H$7))-(AV85-AR85))/AR85)))</f>
        <v>1</v>
      </c>
      <c r="AX85" s="50" t="n">
        <f aca="false">IF(LEFT(Cockpit!$O$5,1)="A",H85,IF(CE85=1,CF85,IF(LEFT(Cockpit!$O$5,1)="B",BC85,MAX(BC85,H85))))</f>
        <v>31</v>
      </c>
      <c r="AY85" s="50" t="n">
        <f aca="false">IF(BW85=1,0,ROUNDUP(AX85/BV85,0))</f>
        <v>1</v>
      </c>
      <c r="AZ85" s="52" t="n">
        <f aca="false">IF(CL85&gt;0,CL85*MAX(1,AX85/X85),IF(BW85=1,IF(AX85&lt;=0,0,CA85*MAX(1,IF(H85&gt;0,AX85/H85,1))),IF(R85&gt;0,AY85/R85,0))/MAX(0.1,N(Parameter!$M$21)))</f>
        <v>0.166666666666667</v>
      </c>
      <c r="BA85" s="50" t="n">
        <f aca="false">AZ85*BY85</f>
        <v>72.5</v>
      </c>
      <c r="BB85" s="50" t="n">
        <f aca="false">AX85*G85</f>
        <v>7748.76</v>
      </c>
      <c r="BC85" s="50" t="n">
        <f aca="false">ROUNDUP(MAX(J85/IF(CD85&gt;0,CD85,MAX(0.1,N(Cockpit!$O$6))),CG85)/BV85,0)*BV85</f>
        <v>31</v>
      </c>
      <c r="BD85" s="51" t="n">
        <f aca="false">IF(BA85&gt;0,J85/BA85,-1)</f>
        <v>0.855172413793104</v>
      </c>
      <c r="BE85" s="51" t="n">
        <f aca="false">IF(AND(OR(CC85="L1",CC85="L23",CC85="LIFT"),BA85&gt;0),SUMIFS($BA$7:$BA$1843,$CC$7:$CC$1843,CC85,$BD$7:$BD$1843,"&gt;"&amp;BD85)+SUMIFS($BA$7:$BA$1843,$CC$7:$CC$1843,CC85,$BD$7:$BD$1843,BD85,$BT$7:$BT$1843,"&lt;="&amp;BT85),"")</f>
        <v>10235.1735347985</v>
      </c>
      <c r="BF85" s="58" t="n">
        <f aca="false">IF(BE85="",0,MAX(0,MIN(1,(IF(CC85="L1",Parameter!$H$5,IF(CC85="L23",Parameter!$H$6+Parameter!$H$7,Parameter!$H$5+Parameter!$H$6+Parameter!$H$7))-(BE85-BA85))/BA85)))</f>
        <v>1</v>
      </c>
      <c r="BG85" s="48" t="str">
        <f aca="false">IF(AI85&lt;=0,"",IF(CC85="Aussen","Aussenlager",IF(CC85="-","Nicht im Lift",IF(AN85&gt;=1,"Lift",IF(AN85&lt;=0,"Aussenlager","teilweise")))))</f>
        <v>Lift</v>
      </c>
      <c r="BH85" s="48" t="str">
        <f aca="false">IF(AR85&lt;=0,"",IF(CC85="Aussen","Aussenlager",IF(CC85="-","Nicht im Lift",IF(AW85&gt;=1,"Lift",IF(AW85&lt;=0,"Aussenlager","teilweise")))))</f>
        <v>Lift</v>
      </c>
      <c r="BI85" s="48" t="str">
        <f aca="false">IF(BA85&lt;=0,"",IF(CC85="Aussen","Aussenlager",IF(CC85="-","Nicht im Lift",IF(BF85&gt;=1,"Lift",IF(BF85&lt;=0,"Aussenlager","teilweise")))))</f>
        <v>Lift</v>
      </c>
      <c r="BJ85" s="48" t="str">
        <f aca="false">IF(A85="","",IF(BS85=1,"Neu; ","")&amp;IF(AND(BS85=0,BN85&lt;0),"negativer Bestand (Export "&amp;BN85&amp;"); ","")&amp;IF(J85&lt;=0,"Kein Verbrauch; ","")&amp;IF(CL85&gt;0,"Lift "&amp;W85&amp;" lt. Liftbericht (Fach "&amp;X85&amp;" Stk); ",IF(BX85=1,"Gebinde geschätzt ("&amp;T85&amp;"); ",IF(BW85=1,"Lose – Tablare geschätzt; ","")))&amp;IF(H85&gt;AT85,"Überbestand "&amp;ROUND(H85-AT85,0)&amp;" Stk / CHF "&amp;ROUND((H85-AT85)*G85,0)&amp;"; ","")&amp;IF(AND(CE85=1,CF85&lt;CG85),"MAX &lt; MB+LG; ","")&amp;IF(AND(CK85&gt;0,CJ85*10&gt;CK85),"zu hoch für Tablar; ","")&amp;IF(AND(BS85=0,OR(CE85=1,AA85&lt;&gt;"",U85&lt;&gt;"",V85&lt;&gt;"",AB85&lt;&gt;"")),"manuell übersteuert; ","")&amp;IF(AND(BW85=0,R85=0),"Gebinde unbekannt / Stellmass fehlt; ","")&amp;IF(AND(BW85=0,N(V85)&lt;=0,N(Q85)&lt;=0),"Menge pro Gebinde fehlt (Ist = 1 Gebinde); ","")&amp;BR85)</f>
        <v>grosser Artikel &amp; nicht im KTL</v>
      </c>
      <c r="BK85" s="48"/>
      <c r="BL85" s="48"/>
      <c r="BM85" s="55"/>
      <c r="BN85" s="50" t="n">
        <v>15</v>
      </c>
      <c r="BO85" s="50" t="n">
        <v>14</v>
      </c>
      <c r="BP85" s="49" t="n">
        <v>2968.34</v>
      </c>
      <c r="BQ85" s="50" t="n">
        <v>62</v>
      </c>
      <c r="BR85" s="48" t="s">
        <v>265</v>
      </c>
      <c r="BS85" s="53" t="n">
        <v>0</v>
      </c>
      <c r="BT85" s="53" t="n">
        <v>85</v>
      </c>
      <c r="BU85" s="48" t="str">
        <f aca="false">IF(U85&lt;&gt;"",UPPER(TRIM(U85)),IF(BX85=1,UPPER(VLOOKUP(T85,Parameter!$I$27:$K$29,2,0)),IF(P85="","LOSE",P85)))</f>
        <v>S72</v>
      </c>
      <c r="BV85" s="50" t="n">
        <f aca="false">IF(BU85="LOSE",1,IF(N(V85)&gt;0,V85,IF(BX85=1,MAX(1,N(VLOOKUP(T85,Parameter!$I$27:$K$29,3,0)),H85,N(N85)),IF(N(Q85)&gt;0,Q85,MAX(1,H85)))))</f>
        <v>31</v>
      </c>
      <c r="BW85" s="53" t="n">
        <f aca="false">IF(BU85="LOSE",1,0)</f>
        <v>0</v>
      </c>
      <c r="BX85" s="53" t="n">
        <f aca="false">IF(AND(U85="",OR(P85="",P85="LOSE"),T85&lt;&gt;"",N(S85)&lt;=0,ISNUMBER(MATCH(T85,Parameter!$I$27:$I$29,0))),1,0)</f>
        <v>0</v>
      </c>
      <c r="BY85" s="53" t="n">
        <f aca="false">IF(CL85&gt;0,INDEX(Parameter!$H$5:$H$7,W85)/INDEX(Parameter!$E$5:$E$7,W85),IF(AND(BW85=0,N(IFERROR(VLOOKUP(BU85,'Gebinde-Kategorie'!$A$5:$N$45,14,0),0))&gt;0),VLOOKUP(BU85,'Gebinde-Kategorie'!$A$5:$N$45,14,0)*10+Parameter!$M$23,Parameter!$M$24))</f>
        <v>435</v>
      </c>
      <c r="BZ85" s="48" t="str">
        <f aca="false">IF(AND(Parameter!$B$19="Ja",E85&lt;&gt;"",ISNUMBER(MATCH(E85,Parameter!$I$35:$I$52,0))),VLOOKUP(E85,Parameter!$I$35:$J$52,2,0),IFERROR(VLOOKUP(D85,Parameter!$A$35:$C$64,2,0),"Nein"))</f>
        <v>2+3</v>
      </c>
      <c r="CA85" s="52" t="n">
        <f aca="false">IF(BW85=0,0,IF(N(S85)&gt;0,S85,IFERROR(VLOOKUP(D85,Parameter!$A$35:$C$64,3,0)+0,0)))</f>
        <v>0</v>
      </c>
      <c r="CB85" s="48" t="n">
        <f aca="false">IF(AA85&lt;&gt;"",AA85,Z85)</f>
        <v>2</v>
      </c>
      <c r="CC85" s="48" t="str">
        <f aca="false">IF(OR(CB85=1,CB85=2,CB85=3),IF(Parameter!$E$27="Ja","LIFT",IF(CB85=1,"L1","L23")),IF(CB85="Aussen","Aussen","-"))</f>
        <v>LIFT</v>
      </c>
      <c r="CD85" s="59" t="n">
        <f aca="false">IF(N(AB85)&gt;0,AB85,0)</f>
        <v>0</v>
      </c>
      <c r="CE85" s="53" t="n">
        <f aca="false">IF(ISNUMBER(AE85),1,0)</f>
        <v>0</v>
      </c>
      <c r="CF85" s="50" t="n">
        <f aca="false">N(AE85)</f>
        <v>0</v>
      </c>
      <c r="CG85" s="50" t="n">
        <f aca="false">N(M85)+N(N85)</f>
        <v>24</v>
      </c>
      <c r="CH85" s="50" t="n">
        <f aca="false">ROUNDUP(H85/BV85,0)</f>
        <v>1</v>
      </c>
      <c r="CI85" s="50" t="n">
        <f aca="false">ROUNDUP(CF85/BV85,0)</f>
        <v>0</v>
      </c>
      <c r="CJ85" s="53" t="n">
        <f aca="false">IF(BW85=1,0,IFERROR(VLOOKUP(BU85,'Gebinde-Kategorie'!$A$5:$N$45,5,0)+0,0))</f>
        <v>40</v>
      </c>
      <c r="CK85" s="53" t="n">
        <f aca="false">IFERROR(IF(OR(CB85=1,CB85=2,CB85=3),N(INDEX(Parameter!$I$5:$I$7,CB85)),0),0)</f>
        <v>0</v>
      </c>
      <c r="CL85" s="52" t="n">
        <f aca="false">IF(AND(Parameter!$B$21="Ja",ISNUMBER(W85),N(X85)&gt;0),IFERROR(N(INDEX(Parameter!$L$5:$L$7,W85))*INDEX(Parameter!$E$5:$E$7,W85)*X85/SUMIFS($X$7:$X$1843,$W$7:$W$1843,W85),0),0)</f>
        <v>0</v>
      </c>
    </row>
    <row r="86" customFormat="false" ht="15" hidden="false" customHeight="false" outlineLevel="0" collapsed="false">
      <c r="A86" s="48" t="s">
        <v>382</v>
      </c>
      <c r="B86" s="48" t="s">
        <v>383</v>
      </c>
      <c r="C86" s="48" t="s">
        <v>168</v>
      </c>
      <c r="D86" s="48" t="s">
        <v>177</v>
      </c>
      <c r="E86" s="48"/>
      <c r="F86" s="48" t="s">
        <v>222</v>
      </c>
      <c r="G86" s="49" t="n">
        <v>423.8</v>
      </c>
      <c r="H86" s="50" t="n">
        <f aca="false">MAX(0,IF(AND(Parameter!$B$21="Ja",ISNUMBER(Y86)),Y86,IF(Parameter!$B$20="Jahresanfang 2025 + Export",BO86+BN86,BN86)))</f>
        <v>7</v>
      </c>
      <c r="I86" s="50" t="n">
        <f aca="false">H86*G86</f>
        <v>2966.6</v>
      </c>
      <c r="J86" s="50" t="n">
        <f aca="false">BQ86*Parameter!$B$18</f>
        <v>32</v>
      </c>
      <c r="K86" s="51" t="n">
        <v>14.5</v>
      </c>
      <c r="L86" s="52" t="n">
        <v>2.20689655172414</v>
      </c>
      <c r="M86" s="50" t="n">
        <v>5</v>
      </c>
      <c r="N86" s="50" t="n">
        <v>15</v>
      </c>
      <c r="O86" s="53" t="n">
        <v>63</v>
      </c>
      <c r="P86" s="48" t="s">
        <v>178</v>
      </c>
      <c r="Q86" s="50" t="n">
        <v>22</v>
      </c>
      <c r="R86" s="53" t="n">
        <f aca="false">IF(BW86=1,0,IFERROR(VLOOKUP(BU86,'Gebinde-Kategorie'!$A$5:$N$45,13,0)+0,0))</f>
        <v>6</v>
      </c>
      <c r="S86" s="54"/>
      <c r="T86" s="55"/>
      <c r="U86" s="55"/>
      <c r="V86" s="55"/>
      <c r="W86" s="48"/>
      <c r="X86" s="50"/>
      <c r="Y86" s="50"/>
      <c r="Z86" s="48" t="n">
        <f aca="false">IF(A86="","",IF(AND(Parameter!$B$21="Ja",ISNUMBER(W86)),W86,IF(BZ86="2+3",IF(ISNUMBER(SEARCH("grosser Artikel",BR86)),2,IFERROR(VLOOKUP(BU86,Parameter!$F$35:$G$64,2,0),2)),IF(OR(BZ86="Nein",BZ86=""),"-",BZ86))))</f>
        <v>2</v>
      </c>
      <c r="AA86" s="55"/>
      <c r="AB86" s="56"/>
      <c r="AC86" s="50" t="n">
        <f aca="false">AT86</f>
        <v>22</v>
      </c>
      <c r="AD86" s="50" t="n">
        <f aca="false">MAX(AT86,H86)</f>
        <v>22</v>
      </c>
      <c r="AE86" s="57"/>
      <c r="AF86" s="50" t="n">
        <f aca="false">IF(LEFT(Cockpit!$C$5,1)="A",H86,IF(CE86=1,CF86,IF(LEFT(Cockpit!$C$5,1)="B",AK86,MAX(AK86,H86))))</f>
        <v>7</v>
      </c>
      <c r="AG86" s="50" t="n">
        <f aca="false">IF(BW86=1,0,ROUNDUP(AF86/BV86,0))</f>
        <v>1</v>
      </c>
      <c r="AH86" s="52" t="n">
        <f aca="false">IF(CL86&gt;0,CL86*MAX(1,AF86/X86),IF(BW86=1,IF(AF86&lt;=0,0,CA86*MAX(1,IF(H86&gt;0,AF86/H86,1))),IF(R86&gt;0,AG86/R86,0))/MAX(0.1,N(Parameter!$M$21)))</f>
        <v>0.166666666666667</v>
      </c>
      <c r="AI86" s="50" t="n">
        <f aca="false">AH86*BY86</f>
        <v>39.1666666666667</v>
      </c>
      <c r="AJ86" s="50" t="n">
        <f aca="false">AF86*G86</f>
        <v>2966.6</v>
      </c>
      <c r="AK86" s="50" t="n">
        <f aca="false">ROUNDUP(MAX(J86/IF(CD86&gt;0,CD86,MAX(0.1,N(Cockpit!$C$6))),CG86)/BV86,0)*BV86</f>
        <v>22</v>
      </c>
      <c r="AL86" s="51" t="n">
        <f aca="false">IF(AI86&gt;0,J86/AI86,-1)</f>
        <v>0.817021276595745</v>
      </c>
      <c r="AM86" s="51" t="n">
        <f aca="false">IF(AND(OR(CC86="L1",CC86="L23",CC86="LIFT"),AI86&gt;0),SUMIFS($AI$7:$AI$1843,$CC$7:$CC$1843,CC86,$AL$7:$AL$1843,"&gt;"&amp;AL86)+SUMIFS($AI$7:$AI$1843,$CC$7:$CC$1843,CC86,$AL$7:$AL$1843,AL86,$BT$7:$BT$1843,"&lt;="&amp;BT86),"")</f>
        <v>8017.45833333333</v>
      </c>
      <c r="AN86" s="58" t="n">
        <f aca="false">IF(AM86="",0,MAX(0,MIN(1,(IF(CC86="L1",Parameter!$H$5,IF(CC86="L23",Parameter!$H$6+Parameter!$H$7,Parameter!$H$5+Parameter!$H$6+Parameter!$H$7))-(AM86-AI86))/AI86)))</f>
        <v>1</v>
      </c>
      <c r="AO86" s="50" t="n">
        <f aca="false">IF(LEFT(Cockpit!$I$5,1)="A",H86,IF(CE86=1,CF86,IF(LEFT(Cockpit!$I$5,1)="B",AT86,MAX(AT86,H86))))</f>
        <v>22</v>
      </c>
      <c r="AP86" s="50" t="n">
        <f aca="false">IF(BW86=1,0,ROUNDUP(AO86/BV86,0))</f>
        <v>1</v>
      </c>
      <c r="AQ86" s="52" t="n">
        <f aca="false">IF(CL86&gt;0,CL86*MAX(1,AO86/X86),IF(BW86=1,IF(AO86&lt;=0,0,CA86*MAX(1,IF(H86&gt;0,AO86/H86,1))),IF(R86&gt;0,AP86/R86,0))/MAX(0.1,N(Parameter!$M$21)))</f>
        <v>0.166666666666667</v>
      </c>
      <c r="AR86" s="50" t="n">
        <f aca="false">AQ86*BY86</f>
        <v>39.1666666666667</v>
      </c>
      <c r="AS86" s="50" t="n">
        <f aca="false">AO86*G86</f>
        <v>9323.6</v>
      </c>
      <c r="AT86" s="50" t="n">
        <f aca="false">ROUNDUP(MAX(J86/IF(CD86&gt;0,CD86,MAX(0.1,N(Cockpit!$I$6))),CG86)/BV86,0)*BV86</f>
        <v>22</v>
      </c>
      <c r="AU86" s="51" t="n">
        <f aca="false">IF(AR86&gt;0,J86/AR86,-1)</f>
        <v>0.817021276595745</v>
      </c>
      <c r="AV86" s="51" t="n">
        <f aca="false">IF(AND(OR(CC86="L1",CC86="L23",CC86="LIFT"),AR86&gt;0),SUMIFS($AR$7:$AR$1843,$CC$7:$CC$1843,CC86,$AU$7:$AU$1843,"&gt;"&amp;AU86)+SUMIFS($AR$7:$AR$1843,$CC$7:$CC$1843,CC86,$AU$7:$AU$1843,AU86,$BT$7:$BT$1843,"&lt;="&amp;BT86),"")</f>
        <v>11381.7600732601</v>
      </c>
      <c r="AW86" s="58" t="n">
        <f aca="false">IF(AV86="",0,MAX(0,MIN(1,(IF(CC86="L1",Parameter!$H$5,IF(CC86="L23",Parameter!$H$6+Parameter!$H$7,Parameter!$H$5+Parameter!$H$6+Parameter!$H$7))-(AV86-AR86))/AR86)))</f>
        <v>1</v>
      </c>
      <c r="AX86" s="50" t="n">
        <f aca="false">IF(LEFT(Cockpit!$O$5,1)="A",H86,IF(CE86=1,CF86,IF(LEFT(Cockpit!$O$5,1)="B",BC86,MAX(BC86,H86))))</f>
        <v>22</v>
      </c>
      <c r="AY86" s="50" t="n">
        <f aca="false">IF(BW86=1,0,ROUNDUP(AX86/BV86,0))</f>
        <v>1</v>
      </c>
      <c r="AZ86" s="52" t="n">
        <f aca="false">IF(CL86&gt;0,CL86*MAX(1,AX86/X86),IF(BW86=1,IF(AX86&lt;=0,0,CA86*MAX(1,IF(H86&gt;0,AX86/H86,1))),IF(R86&gt;0,AY86/R86,0))/MAX(0.1,N(Parameter!$M$21)))</f>
        <v>0.166666666666667</v>
      </c>
      <c r="BA86" s="50" t="n">
        <f aca="false">AZ86*BY86</f>
        <v>39.1666666666667</v>
      </c>
      <c r="BB86" s="50" t="n">
        <f aca="false">AX86*G86</f>
        <v>9323.6</v>
      </c>
      <c r="BC86" s="50" t="n">
        <f aca="false">ROUNDUP(MAX(J86/IF(CD86&gt;0,CD86,MAX(0.1,N(Cockpit!$O$6))),CG86)/BV86,0)*BV86</f>
        <v>22</v>
      </c>
      <c r="BD86" s="51" t="n">
        <f aca="false">IF(BA86&gt;0,J86/BA86,-1)</f>
        <v>0.817021276595745</v>
      </c>
      <c r="BE86" s="51" t="n">
        <f aca="false">IF(AND(OR(CC86="L1",CC86="L23",CC86="LIFT"),BA86&gt;0),SUMIFS($BA$7:$BA$1843,$CC$7:$CC$1843,CC86,$BD$7:$BD$1843,"&gt;"&amp;BD86)+SUMIFS($BA$7:$BA$1843,$CC$7:$CC$1843,CC86,$BD$7:$BD$1843,BD86,$BT$7:$BT$1843,"&lt;="&amp;BT86),"")</f>
        <v>10586.1671245421</v>
      </c>
      <c r="BF86" s="58" t="n">
        <f aca="false">IF(BE86="",0,MAX(0,MIN(1,(IF(CC86="L1",Parameter!$H$5,IF(CC86="L23",Parameter!$H$6+Parameter!$H$7,Parameter!$H$5+Parameter!$H$6+Parameter!$H$7))-(BE86-BA86))/BA86)))</f>
        <v>1</v>
      </c>
      <c r="BG86" s="48" t="str">
        <f aca="false">IF(AI86&lt;=0,"",IF(CC86="Aussen","Aussenlager",IF(CC86="-","Nicht im Lift",IF(AN86&gt;=1,"Lift",IF(AN86&lt;=0,"Aussenlager","teilweise")))))</f>
        <v>Lift</v>
      </c>
      <c r="BH86" s="48" t="str">
        <f aca="false">IF(AR86&lt;=0,"",IF(CC86="Aussen","Aussenlager",IF(CC86="-","Nicht im Lift",IF(AW86&gt;=1,"Lift",IF(AW86&lt;=0,"Aussenlager","teilweise")))))</f>
        <v>Lift</v>
      </c>
      <c r="BI86" s="48" t="str">
        <f aca="false">IF(BA86&lt;=0,"",IF(CC86="Aussen","Aussenlager",IF(CC86="-","Nicht im Lift",IF(BF86&gt;=1,"Lift",IF(BF86&lt;=0,"Aussenlager","teilweise")))))</f>
        <v>Lift</v>
      </c>
      <c r="BJ86" s="48" t="str">
        <f aca="false">IF(A86="","",IF(BS86=1,"Neu; ","")&amp;IF(AND(BS86=0,BN86&lt;0),"negativer Bestand (Export "&amp;BN86&amp;"); ","")&amp;IF(J86&lt;=0,"Kein Verbrauch; ","")&amp;IF(CL86&gt;0,"Lift "&amp;W86&amp;" lt. Liftbericht (Fach "&amp;X86&amp;" Stk); ",IF(BX86=1,"Gebinde geschätzt ("&amp;T86&amp;"); ",IF(BW86=1,"Lose – Tablare geschätzt; ","")))&amp;IF(H86&gt;AT86,"Überbestand "&amp;ROUND(H86-AT86,0)&amp;" Stk / CHF "&amp;ROUND((H86-AT86)*G86,0)&amp;"; ","")&amp;IF(AND(CE86=1,CF86&lt;CG86),"MAX &lt; MB+LG; ","")&amp;IF(AND(CK86&gt;0,CJ86*10&gt;CK86),"zu hoch für Tablar; ","")&amp;IF(AND(BS86=0,OR(CE86=1,AA86&lt;&gt;"",U86&lt;&gt;"",V86&lt;&gt;"",AB86&lt;&gt;"")),"manuell übersteuert; ","")&amp;IF(AND(BW86=0,R86=0),"Gebinde unbekannt / Stellmass fehlt; ","")&amp;IF(AND(BW86=0,N(V86)&lt;=0,N(Q86)&lt;=0),"Menge pro Gebinde fehlt (Ist = 1 Gebinde); ","")&amp;BR86)</f>
        <v/>
      </c>
      <c r="BK86" s="48" t="s">
        <v>384</v>
      </c>
      <c r="BL86" s="48" t="s">
        <v>385</v>
      </c>
      <c r="BM86" s="55"/>
      <c r="BN86" s="50" t="n">
        <v>7</v>
      </c>
      <c r="BO86" s="50" t="n">
        <v>0</v>
      </c>
      <c r="BP86" s="49" t="n">
        <v>2966.6</v>
      </c>
      <c r="BQ86" s="50" t="n">
        <v>32</v>
      </c>
      <c r="BR86" s="48"/>
      <c r="BS86" s="53" t="n">
        <v>0</v>
      </c>
      <c r="BT86" s="53" t="n">
        <v>86</v>
      </c>
      <c r="BU86" s="48" t="str">
        <f aca="false">IF(U86&lt;&gt;"",UPPER(TRIM(U86)),IF(BX86=1,UPPER(VLOOKUP(T86,Parameter!$I$27:$K$29,2,0)),IF(P86="","LOSE",P86)))</f>
        <v>S71</v>
      </c>
      <c r="BV86" s="50" t="n">
        <f aca="false">IF(BU86="LOSE",1,IF(N(V86)&gt;0,V86,IF(BX86=1,MAX(1,N(VLOOKUP(T86,Parameter!$I$27:$K$29,3,0)),H86,N(N86)),IF(N(Q86)&gt;0,Q86,MAX(1,H86)))))</f>
        <v>22</v>
      </c>
      <c r="BW86" s="53" t="n">
        <f aca="false">IF(BU86="LOSE",1,0)</f>
        <v>0</v>
      </c>
      <c r="BX86" s="53" t="n">
        <f aca="false">IF(AND(U86="",OR(P86="",P86="LOSE"),T86&lt;&gt;"",N(S86)&lt;=0,ISNUMBER(MATCH(T86,Parameter!$I$27:$I$29,0))),1,0)</f>
        <v>0</v>
      </c>
      <c r="BY86" s="53" t="n">
        <f aca="false">IF(CL86&gt;0,INDEX(Parameter!$H$5:$H$7,W86)/INDEX(Parameter!$E$5:$E$7,W86),IF(AND(BW86=0,N(IFERROR(VLOOKUP(BU86,'Gebinde-Kategorie'!$A$5:$N$45,14,0),0))&gt;0),VLOOKUP(BU86,'Gebinde-Kategorie'!$A$5:$N$45,14,0)*10+Parameter!$M$23,Parameter!$M$24))</f>
        <v>235</v>
      </c>
      <c r="BZ86" s="48" t="str">
        <f aca="false">IF(AND(Parameter!$B$19="Ja",E86&lt;&gt;"",ISNUMBER(MATCH(E86,Parameter!$I$35:$I$52,0))),VLOOKUP(E86,Parameter!$I$35:$J$52,2,0),IFERROR(VLOOKUP(D86,Parameter!$A$35:$C$64,2,0),"Nein"))</f>
        <v>2+3</v>
      </c>
      <c r="CA86" s="52" t="n">
        <f aca="false">IF(BW86=0,0,IF(N(S86)&gt;0,S86,IFERROR(VLOOKUP(D86,Parameter!$A$35:$C$64,3,0)+0,0)))</f>
        <v>0</v>
      </c>
      <c r="CB86" s="48" t="n">
        <f aca="false">IF(AA86&lt;&gt;"",AA86,Z86)</f>
        <v>2</v>
      </c>
      <c r="CC86" s="48" t="str">
        <f aca="false">IF(OR(CB86=1,CB86=2,CB86=3),IF(Parameter!$E$27="Ja","LIFT",IF(CB86=1,"L1","L23")),IF(CB86="Aussen","Aussen","-"))</f>
        <v>LIFT</v>
      </c>
      <c r="CD86" s="59" t="n">
        <f aca="false">IF(N(AB86)&gt;0,AB86,0)</f>
        <v>0</v>
      </c>
      <c r="CE86" s="53" t="n">
        <f aca="false">IF(ISNUMBER(AE86),1,0)</f>
        <v>0</v>
      </c>
      <c r="CF86" s="50" t="n">
        <f aca="false">N(AE86)</f>
        <v>0</v>
      </c>
      <c r="CG86" s="50" t="n">
        <f aca="false">N(M86)+N(N86)</f>
        <v>20</v>
      </c>
      <c r="CH86" s="50" t="n">
        <f aca="false">ROUNDUP(H86/BV86,0)</f>
        <v>1</v>
      </c>
      <c r="CI86" s="50" t="n">
        <f aca="false">ROUNDUP(CF86/BV86,0)</f>
        <v>0</v>
      </c>
      <c r="CJ86" s="53" t="n">
        <f aca="false">IF(BW86=1,0,IFERROR(VLOOKUP(BU86,'Gebinde-Kategorie'!$A$5:$N$45,5,0)+0,0))</f>
        <v>20</v>
      </c>
      <c r="CK86" s="53" t="n">
        <f aca="false">IFERROR(IF(OR(CB86=1,CB86=2,CB86=3),N(INDEX(Parameter!$I$5:$I$7,CB86)),0),0)</f>
        <v>0</v>
      </c>
      <c r="CL86" s="52" t="n">
        <f aca="false">IF(AND(Parameter!$B$21="Ja",ISNUMBER(W86),N(X86)&gt;0),IFERROR(N(INDEX(Parameter!$L$5:$L$7,W86))*INDEX(Parameter!$E$5:$E$7,W86)*X86/SUMIFS($X$7:$X$1843,$W$7:$W$1843,W86),0),0)</f>
        <v>0</v>
      </c>
    </row>
    <row r="87" customFormat="false" ht="15" hidden="false" customHeight="false" outlineLevel="0" collapsed="false">
      <c r="A87" s="48" t="s">
        <v>386</v>
      </c>
      <c r="B87" s="48" t="s">
        <v>387</v>
      </c>
      <c r="C87" s="48" t="s">
        <v>168</v>
      </c>
      <c r="D87" s="48" t="s">
        <v>188</v>
      </c>
      <c r="E87" s="48" t="s">
        <v>189</v>
      </c>
      <c r="F87" s="48" t="s">
        <v>222</v>
      </c>
      <c r="G87" s="49" t="n">
        <v>140.69</v>
      </c>
      <c r="H87" s="50" t="n">
        <f aca="false">MAX(0,IF(AND(Parameter!$B$21="Ja",ISNUMBER(Y87)),Y87,IF(Parameter!$B$20="Jahresanfang 2025 + Export",BO87+BN87,BN87)))</f>
        <v>27</v>
      </c>
      <c r="I87" s="50" t="n">
        <f aca="false">H87*G87</f>
        <v>3798.63</v>
      </c>
      <c r="J87" s="50" t="n">
        <f aca="false">BQ87*Parameter!$B$18</f>
        <v>30</v>
      </c>
      <c r="K87" s="51" t="n">
        <v>8.5</v>
      </c>
      <c r="L87" s="52" t="n">
        <v>3.52941176470588</v>
      </c>
      <c r="M87" s="50" t="n">
        <v>2</v>
      </c>
      <c r="N87" s="50" t="n">
        <v>25</v>
      </c>
      <c r="O87" s="53" t="n">
        <v>21</v>
      </c>
      <c r="P87" s="48" t="s">
        <v>230</v>
      </c>
      <c r="Q87" s="50" t="n">
        <v>30</v>
      </c>
      <c r="R87" s="53" t="n">
        <f aca="false">IF(BW87=1,0,IFERROR(VLOOKUP(BU87,'Gebinde-Kategorie'!$A$5:$N$45,13,0)+0,0))</f>
        <v>12</v>
      </c>
      <c r="S87" s="54"/>
      <c r="T87" s="55"/>
      <c r="U87" s="55"/>
      <c r="V87" s="55"/>
      <c r="W87" s="48"/>
      <c r="X87" s="50"/>
      <c r="Y87" s="50"/>
      <c r="Z87" s="48" t="n">
        <f aca="false">IF(A87="","",IF(AND(Parameter!$B$21="Ja",ISNUMBER(W87)),W87,IF(BZ87="2+3",IF(ISNUMBER(SEARCH("grosser Artikel",BR87)),2,IFERROR(VLOOKUP(BU87,Parameter!$F$35:$G$64,2,0),2)),IF(OR(BZ87="Nein",BZ87=""),"-",BZ87))))</f>
        <v>2</v>
      </c>
      <c r="AA87" s="55"/>
      <c r="AB87" s="56"/>
      <c r="AC87" s="50" t="n">
        <f aca="false">AT87</f>
        <v>30</v>
      </c>
      <c r="AD87" s="50" t="n">
        <f aca="false">MAX(AT87,H87)</f>
        <v>30</v>
      </c>
      <c r="AE87" s="57"/>
      <c r="AF87" s="50" t="n">
        <f aca="false">IF(LEFT(Cockpit!$C$5,1)="A",H87,IF(CE87=1,CF87,IF(LEFT(Cockpit!$C$5,1)="B",AK87,MAX(AK87,H87))))</f>
        <v>27</v>
      </c>
      <c r="AG87" s="50" t="n">
        <f aca="false">IF(BW87=1,0,ROUNDUP(AF87/BV87,0))</f>
        <v>1</v>
      </c>
      <c r="AH87" s="52" t="n">
        <f aca="false">IF(CL87&gt;0,CL87*MAX(1,AF87/X87),IF(BW87=1,IF(AF87&lt;=0,0,CA87*MAX(1,IF(H87&gt;0,AF87/H87,1))),IF(R87&gt;0,AG87/R87,0))/MAX(0.1,N(Parameter!$M$21)))</f>
        <v>0.0833333333333333</v>
      </c>
      <c r="AI87" s="50" t="n">
        <f aca="false">AH87*BY87</f>
        <v>28.75</v>
      </c>
      <c r="AJ87" s="50" t="n">
        <f aca="false">AF87*G87</f>
        <v>3798.63</v>
      </c>
      <c r="AK87" s="50" t="n">
        <f aca="false">ROUNDUP(MAX(J87/IF(CD87&gt;0,CD87,MAX(0.1,N(Cockpit!$C$6))),CG87)/BV87,0)*BV87</f>
        <v>30</v>
      </c>
      <c r="AL87" s="51" t="n">
        <f aca="false">IF(AI87&gt;0,J87/AI87,-1)</f>
        <v>1.04347826086957</v>
      </c>
      <c r="AM87" s="51" t="n">
        <f aca="false">IF(AND(OR(CC87="L1",CC87="L23",CC87="LIFT"),AI87&gt;0),SUMIFS($AI$7:$AI$1843,$CC$7:$CC$1843,CC87,$AL$7:$AL$1843,"&gt;"&amp;AL87)+SUMIFS($AI$7:$AI$1843,$CC$7:$CC$1843,CC87,$AL$7:$AL$1843,AL87,$BT$7:$BT$1843,"&lt;="&amp;BT87),"")</f>
        <v>6960.1543040293</v>
      </c>
      <c r="AN87" s="58" t="n">
        <f aca="false">IF(AM87="",0,MAX(0,MIN(1,(IF(CC87="L1",Parameter!$H$5,IF(CC87="L23",Parameter!$H$6+Parameter!$H$7,Parameter!$H$5+Parameter!$H$6+Parameter!$H$7))-(AM87-AI87))/AI87)))</f>
        <v>1</v>
      </c>
      <c r="AO87" s="50" t="n">
        <f aca="false">IF(LEFT(Cockpit!$I$5,1)="A",H87,IF(CE87=1,CF87,IF(LEFT(Cockpit!$I$5,1)="B",AT87,MAX(AT87,H87))))</f>
        <v>30</v>
      </c>
      <c r="AP87" s="50" t="n">
        <f aca="false">IF(BW87=1,0,ROUNDUP(AO87/BV87,0))</f>
        <v>1</v>
      </c>
      <c r="AQ87" s="52" t="n">
        <f aca="false">IF(CL87&gt;0,CL87*MAX(1,AO87/X87),IF(BW87=1,IF(AO87&lt;=0,0,CA87*MAX(1,IF(H87&gt;0,AO87/H87,1))),IF(R87&gt;0,AP87/R87,0))/MAX(0.1,N(Parameter!$M$21)))</f>
        <v>0.0833333333333333</v>
      </c>
      <c r="AR87" s="50" t="n">
        <f aca="false">AQ87*BY87</f>
        <v>28.75</v>
      </c>
      <c r="AS87" s="50" t="n">
        <f aca="false">AO87*G87</f>
        <v>4220.7</v>
      </c>
      <c r="AT87" s="50" t="n">
        <f aca="false">ROUNDUP(MAX(J87/IF(CD87&gt;0,CD87,MAX(0.1,N(Cockpit!$I$6))),CG87)/BV87,0)*BV87</f>
        <v>30</v>
      </c>
      <c r="AU87" s="51" t="n">
        <f aca="false">IF(AR87&gt;0,J87/AR87,-1)</f>
        <v>1.04347826086957</v>
      </c>
      <c r="AV87" s="51" t="n">
        <f aca="false">IF(AND(OR(CC87="L1",CC87="L23",CC87="LIFT"),AR87&gt;0),SUMIFS($AR$7:$AR$1843,$CC$7:$CC$1843,CC87,$AU$7:$AU$1843,"&gt;"&amp;AU87)+SUMIFS($AR$7:$AR$1843,$CC$7:$CC$1843,CC87,$AU$7:$AU$1843,AU87,$BT$7:$BT$1843,"&lt;="&amp;BT87),"")</f>
        <v>10020.1611721612</v>
      </c>
      <c r="AW87" s="58" t="n">
        <f aca="false">IF(AV87="",0,MAX(0,MIN(1,(IF(CC87="L1",Parameter!$H$5,IF(CC87="L23",Parameter!$H$6+Parameter!$H$7,Parameter!$H$5+Parameter!$H$6+Parameter!$H$7))-(AV87-AR87))/AR87)))</f>
        <v>1</v>
      </c>
      <c r="AX87" s="50" t="n">
        <f aca="false">IF(LEFT(Cockpit!$O$5,1)="A",H87,IF(CE87=1,CF87,IF(LEFT(Cockpit!$O$5,1)="B",BC87,MAX(BC87,H87))))</f>
        <v>30</v>
      </c>
      <c r="AY87" s="50" t="n">
        <f aca="false">IF(BW87=1,0,ROUNDUP(AX87/BV87,0))</f>
        <v>1</v>
      </c>
      <c r="AZ87" s="52" t="n">
        <f aca="false">IF(CL87&gt;0,CL87*MAX(1,AX87/X87),IF(BW87=1,IF(AX87&lt;=0,0,CA87*MAX(1,IF(H87&gt;0,AX87/H87,1))),IF(R87&gt;0,AY87/R87,0))/MAX(0.1,N(Parameter!$M$21)))</f>
        <v>0.0833333333333333</v>
      </c>
      <c r="BA87" s="50" t="n">
        <f aca="false">AZ87*BY87</f>
        <v>28.75</v>
      </c>
      <c r="BB87" s="50" t="n">
        <f aca="false">AX87*G87</f>
        <v>4220.7</v>
      </c>
      <c r="BC87" s="50" t="n">
        <f aca="false">ROUNDUP(MAX(J87/IF(CD87&gt;0,CD87,MAX(0.1,N(Cockpit!$O$6))),CG87)/BV87,0)*BV87</f>
        <v>30</v>
      </c>
      <c r="BD87" s="51" t="n">
        <f aca="false">IF(BA87&gt;0,J87/BA87,-1)</f>
        <v>1.04347826086957</v>
      </c>
      <c r="BE87" s="51" t="n">
        <f aca="false">IF(AND(OR(CC87="L1",CC87="L23",CC87="LIFT"),BA87&gt;0),SUMIFS($BA$7:$BA$1843,$CC$7:$CC$1843,CC87,$BD$7:$BD$1843,"&gt;"&amp;BD87)+SUMIFS($BA$7:$BA$1843,$CC$7:$CC$1843,CC87,$BD$7:$BD$1843,BD87,$BT$7:$BT$1843,"&lt;="&amp;BT87),"")</f>
        <v>9226.65155677656</v>
      </c>
      <c r="BF87" s="58" t="n">
        <f aca="false">IF(BE87="",0,MAX(0,MIN(1,(IF(CC87="L1",Parameter!$H$5,IF(CC87="L23",Parameter!$H$6+Parameter!$H$7,Parameter!$H$5+Parameter!$H$6+Parameter!$H$7))-(BE87-BA87))/BA87)))</f>
        <v>1</v>
      </c>
      <c r="BG87" s="48" t="str">
        <f aca="false">IF(AI87&lt;=0,"",IF(CC87="Aussen","Aussenlager",IF(CC87="-","Nicht im Lift",IF(AN87&gt;=1,"Lift",IF(AN87&lt;=0,"Aussenlager","teilweise")))))</f>
        <v>Lift</v>
      </c>
      <c r="BH87" s="48" t="str">
        <f aca="false">IF(AR87&lt;=0,"",IF(CC87="Aussen","Aussenlager",IF(CC87="-","Nicht im Lift",IF(AW87&gt;=1,"Lift",IF(AW87&lt;=0,"Aussenlager","teilweise")))))</f>
        <v>Lift</v>
      </c>
      <c r="BI87" s="48" t="str">
        <f aca="false">IF(BA87&lt;=0,"",IF(CC87="Aussen","Aussenlager",IF(CC87="-","Nicht im Lift",IF(BF87&gt;=1,"Lift",IF(BF87&lt;=0,"Aussenlager","teilweise")))))</f>
        <v>Lift</v>
      </c>
      <c r="BJ87" s="48" t="str">
        <f aca="false">IF(A87="","",IF(BS87=1,"Neu; ","")&amp;IF(AND(BS87=0,BN87&lt;0),"negativer Bestand (Export "&amp;BN87&amp;"); ","")&amp;IF(J87&lt;=0,"Kein Verbrauch; ","")&amp;IF(CL87&gt;0,"Lift "&amp;W87&amp;" lt. Liftbericht (Fach "&amp;X87&amp;" Stk); ",IF(BX87=1,"Gebinde geschätzt ("&amp;T87&amp;"); ",IF(BW87=1,"Lose – Tablare geschätzt; ","")))&amp;IF(H87&gt;AT87,"Überbestand "&amp;ROUND(H87-AT87,0)&amp;" Stk / CHF "&amp;ROUND((H87-AT87)*G87,0)&amp;"; ","")&amp;IF(AND(CE87=1,CF87&lt;CG87),"MAX &lt; MB+LG; ","")&amp;IF(AND(CK87&gt;0,CJ87*10&gt;CK87),"zu hoch für Tablar; ","")&amp;IF(AND(BS87=0,OR(CE87=1,AA87&lt;&gt;"",U87&lt;&gt;"",V87&lt;&gt;"",AB87&lt;&gt;"")),"manuell übersteuert; ","")&amp;IF(AND(BW87=0,R87=0),"Gebinde unbekannt / Stellmass fehlt; ","")&amp;IF(AND(BW87=0,N(V87)&lt;=0,N(Q87)&lt;=0),"Menge pro Gebinde fehlt (Ist = 1 Gebinde); ","")&amp;BR87)</f>
        <v/>
      </c>
      <c r="BK87" s="48"/>
      <c r="BL87" s="48"/>
      <c r="BM87" s="55"/>
      <c r="BN87" s="50" t="n">
        <v>21</v>
      </c>
      <c r="BO87" s="50" t="n">
        <v>6</v>
      </c>
      <c r="BP87" s="49" t="n">
        <v>2941.11</v>
      </c>
      <c r="BQ87" s="50" t="n">
        <v>30</v>
      </c>
      <c r="BR87" s="48"/>
      <c r="BS87" s="53" t="n">
        <v>0</v>
      </c>
      <c r="BT87" s="53" t="n">
        <v>87</v>
      </c>
      <c r="BU87" s="48" t="str">
        <f aca="false">IF(U87&lt;&gt;"",UPPER(TRIM(U87)),IF(BX87=1,UPPER(VLOOKUP(T87,Parameter!$I$27:$K$29,2,0)),IF(P87="","LOSE",P87)))</f>
        <v>S63</v>
      </c>
      <c r="BV87" s="50" t="n">
        <f aca="false">IF(BU87="LOSE",1,IF(N(V87)&gt;0,V87,IF(BX87=1,MAX(1,N(VLOOKUP(T87,Parameter!$I$27:$K$29,3,0)),H87,N(N87)),IF(N(Q87)&gt;0,Q87,MAX(1,H87)))))</f>
        <v>30</v>
      </c>
      <c r="BW87" s="53" t="n">
        <f aca="false">IF(BU87="LOSE",1,0)</f>
        <v>0</v>
      </c>
      <c r="BX87" s="53" t="n">
        <f aca="false">IF(AND(U87="",OR(P87="",P87="LOSE"),T87&lt;&gt;"",N(S87)&lt;=0,ISNUMBER(MATCH(T87,Parameter!$I$27:$I$29,0))),1,0)</f>
        <v>0</v>
      </c>
      <c r="BY87" s="53" t="n">
        <f aca="false">IF(CL87&gt;0,INDEX(Parameter!$H$5:$H$7,W87)/INDEX(Parameter!$E$5:$E$7,W87),IF(AND(BW87=0,N(IFERROR(VLOOKUP(BU87,'Gebinde-Kategorie'!$A$5:$N$45,14,0),0))&gt;0),VLOOKUP(BU87,'Gebinde-Kategorie'!$A$5:$N$45,14,0)*10+Parameter!$M$23,Parameter!$M$24))</f>
        <v>345</v>
      </c>
      <c r="BZ87" s="48" t="str">
        <f aca="false">IF(AND(Parameter!$B$19="Ja",E87&lt;&gt;"",ISNUMBER(MATCH(E87,Parameter!$I$35:$I$52,0))),VLOOKUP(E87,Parameter!$I$35:$J$52,2,0),IFERROR(VLOOKUP(D87,Parameter!$A$35:$C$64,2,0),"Nein"))</f>
        <v>2+3</v>
      </c>
      <c r="CA87" s="52" t="n">
        <f aca="false">IF(BW87=0,0,IF(N(S87)&gt;0,S87,IFERROR(VLOOKUP(D87,Parameter!$A$35:$C$64,3,0)+0,0)))</f>
        <v>0</v>
      </c>
      <c r="CB87" s="48" t="n">
        <f aca="false">IF(AA87&lt;&gt;"",AA87,Z87)</f>
        <v>2</v>
      </c>
      <c r="CC87" s="48" t="str">
        <f aca="false">IF(OR(CB87=1,CB87=2,CB87=3),IF(Parameter!$E$27="Ja","LIFT",IF(CB87=1,"L1","L23")),IF(CB87="Aussen","Aussen","-"))</f>
        <v>LIFT</v>
      </c>
      <c r="CD87" s="59" t="n">
        <f aca="false">IF(N(AB87)&gt;0,AB87,0)</f>
        <v>0</v>
      </c>
      <c r="CE87" s="53" t="n">
        <f aca="false">IF(ISNUMBER(AE87),1,0)</f>
        <v>0</v>
      </c>
      <c r="CF87" s="50" t="n">
        <f aca="false">N(AE87)</f>
        <v>0</v>
      </c>
      <c r="CG87" s="50" t="n">
        <f aca="false">N(M87)+N(N87)</f>
        <v>27</v>
      </c>
      <c r="CH87" s="50" t="n">
        <f aca="false">ROUNDUP(H87/BV87,0)</f>
        <v>1</v>
      </c>
      <c r="CI87" s="50" t="n">
        <f aca="false">ROUNDUP(CF87/BV87,0)</f>
        <v>0</v>
      </c>
      <c r="CJ87" s="53" t="n">
        <f aca="false">IF(BW87=1,0,IFERROR(VLOOKUP(BU87,'Gebinde-Kategorie'!$A$5:$N$45,5,0)+0,0))</f>
        <v>31</v>
      </c>
      <c r="CK87" s="53" t="n">
        <f aca="false">IFERROR(IF(OR(CB87=1,CB87=2,CB87=3),N(INDEX(Parameter!$I$5:$I$7,CB87)),0),0)</f>
        <v>0</v>
      </c>
      <c r="CL87" s="52" t="n">
        <f aca="false">IF(AND(Parameter!$B$21="Ja",ISNUMBER(W87),N(X87)&gt;0),IFERROR(N(INDEX(Parameter!$L$5:$L$7,W87))*INDEX(Parameter!$E$5:$E$7,W87)*X87/SUMIFS($X$7:$X$1843,$W$7:$W$1843,W87),0),0)</f>
        <v>0</v>
      </c>
    </row>
    <row r="88" customFormat="false" ht="15" hidden="false" customHeight="false" outlineLevel="0" collapsed="false">
      <c r="A88" s="48" t="s">
        <v>388</v>
      </c>
      <c r="B88" s="48" t="s">
        <v>389</v>
      </c>
      <c r="C88" s="48" t="s">
        <v>168</v>
      </c>
      <c r="D88" s="48" t="s">
        <v>188</v>
      </c>
      <c r="E88" s="48" t="s">
        <v>189</v>
      </c>
      <c r="F88" s="48" t="s">
        <v>222</v>
      </c>
      <c r="G88" s="49" t="n">
        <v>12.41</v>
      </c>
      <c r="H88" s="50" t="n">
        <f aca="false">MAX(0,IF(AND(Parameter!$B$21="Ja",ISNUMBER(Y88)),Y88,IF(Parameter!$B$20="Jahresanfang 2025 + Export",BO88+BN88,BN88)))</f>
        <v>277</v>
      </c>
      <c r="I88" s="50" t="n">
        <f aca="false">H88*G88</f>
        <v>3437.57</v>
      </c>
      <c r="J88" s="50" t="n">
        <f aca="false">BQ88*Parameter!$B$18</f>
        <v>315</v>
      </c>
      <c r="K88" s="51" t="n">
        <v>129</v>
      </c>
      <c r="L88" s="52" t="n">
        <v>2.44186046511628</v>
      </c>
      <c r="M88" s="50" t="n">
        <v>55</v>
      </c>
      <c r="N88" s="50" t="n">
        <v>255</v>
      </c>
      <c r="O88" s="53" t="n">
        <v>56</v>
      </c>
      <c r="P88" s="48" t="s">
        <v>332</v>
      </c>
      <c r="Q88" s="50" t="n">
        <v>128</v>
      </c>
      <c r="R88" s="53" t="n">
        <f aca="false">IF(BW88=1,0,IFERROR(VLOOKUP(BU88,'Gebinde-Kategorie'!$A$5:$N$45,13,0)+0,0))</f>
        <v>52</v>
      </c>
      <c r="S88" s="54"/>
      <c r="T88" s="55"/>
      <c r="U88" s="55"/>
      <c r="V88" s="55"/>
      <c r="W88" s="48"/>
      <c r="X88" s="50"/>
      <c r="Y88" s="50"/>
      <c r="Z88" s="48" t="n">
        <f aca="false">IF(A88="","",IF(AND(Parameter!$B$21="Ja",ISNUMBER(W88)),W88,IF(BZ88="2+3",IF(ISNUMBER(SEARCH("grosser Artikel",BR88)),2,IFERROR(VLOOKUP(BU88,Parameter!$F$35:$G$64,2,0),2)),IF(OR(BZ88="Nein",BZ88=""),"-",BZ88))))</f>
        <v>3</v>
      </c>
      <c r="AA88" s="55"/>
      <c r="AB88" s="56"/>
      <c r="AC88" s="50" t="n">
        <f aca="false">AT88</f>
        <v>384</v>
      </c>
      <c r="AD88" s="50" t="n">
        <f aca="false">MAX(AT88,H88)</f>
        <v>384</v>
      </c>
      <c r="AE88" s="57"/>
      <c r="AF88" s="50" t="n">
        <f aca="false">IF(LEFT(Cockpit!$C$5,1)="A",H88,IF(CE88=1,CF88,IF(LEFT(Cockpit!$C$5,1)="B",AK88,MAX(AK88,H88))))</f>
        <v>277</v>
      </c>
      <c r="AG88" s="50" t="n">
        <f aca="false">IF(BW88=1,0,ROUNDUP(AF88/BV88,0))</f>
        <v>3</v>
      </c>
      <c r="AH88" s="52" t="n">
        <f aca="false">IF(CL88&gt;0,CL88*MAX(1,AF88/X88),IF(BW88=1,IF(AF88&lt;=0,0,CA88*MAX(1,IF(H88&gt;0,AF88/H88,1))),IF(R88&gt;0,AG88/R88,0))/MAX(0.1,N(Parameter!$M$21)))</f>
        <v>0.0576923076923077</v>
      </c>
      <c r="AI88" s="50" t="n">
        <f aca="false">AH88*BY88</f>
        <v>8.94230769230769</v>
      </c>
      <c r="AJ88" s="50" t="n">
        <f aca="false">AF88*G88</f>
        <v>3437.57</v>
      </c>
      <c r="AK88" s="50" t="n">
        <f aca="false">ROUNDUP(MAX(J88/IF(CD88&gt;0,CD88,MAX(0.1,N(Cockpit!$C$6))),CG88)/BV88,0)*BV88</f>
        <v>384</v>
      </c>
      <c r="AL88" s="51" t="n">
        <f aca="false">IF(AI88&gt;0,J88/AI88,-1)</f>
        <v>35.2258064516129</v>
      </c>
      <c r="AM88" s="51" t="n">
        <f aca="false">IF(AND(OR(CC88="L1",CC88="L23",CC88="LIFT"),AI88&gt;0),SUMIFS($AI$7:$AI$1843,$CC$7:$CC$1843,CC88,$AL$7:$AL$1843,"&gt;"&amp;AL88)+SUMIFS($AI$7:$AI$1843,$CC$7:$CC$1843,CC88,$AL$7:$AL$1843,AL88,$BT$7:$BT$1843,"&lt;="&amp;BT88),"")</f>
        <v>1292.79532967033</v>
      </c>
      <c r="AN88" s="58" t="n">
        <f aca="false">IF(AM88="",0,MAX(0,MIN(1,(IF(CC88="L1",Parameter!$H$5,IF(CC88="L23",Parameter!$H$6+Parameter!$H$7,Parameter!$H$5+Parameter!$H$6+Parameter!$H$7))-(AM88-AI88))/AI88)))</f>
        <v>1</v>
      </c>
      <c r="AO88" s="50" t="n">
        <f aca="false">IF(LEFT(Cockpit!$I$5,1)="A",H88,IF(CE88=1,CF88,IF(LEFT(Cockpit!$I$5,1)="B",AT88,MAX(AT88,H88))))</f>
        <v>384</v>
      </c>
      <c r="AP88" s="50" t="n">
        <f aca="false">IF(BW88=1,0,ROUNDUP(AO88/BV88,0))</f>
        <v>3</v>
      </c>
      <c r="AQ88" s="52" t="n">
        <f aca="false">IF(CL88&gt;0,CL88*MAX(1,AO88/X88),IF(BW88=1,IF(AO88&lt;=0,0,CA88*MAX(1,IF(H88&gt;0,AO88/H88,1))),IF(R88&gt;0,AP88/R88,0))/MAX(0.1,N(Parameter!$M$21)))</f>
        <v>0.0576923076923077</v>
      </c>
      <c r="AR88" s="50" t="n">
        <f aca="false">AQ88*BY88</f>
        <v>8.94230769230769</v>
      </c>
      <c r="AS88" s="50" t="n">
        <f aca="false">AO88*G88</f>
        <v>4765.44</v>
      </c>
      <c r="AT88" s="50" t="n">
        <f aca="false">ROUNDUP(MAX(J88/IF(CD88&gt;0,CD88,MAX(0.1,N(Cockpit!$I$6))),CG88)/BV88,0)*BV88</f>
        <v>384</v>
      </c>
      <c r="AU88" s="51" t="n">
        <f aca="false">IF(AR88&gt;0,J88/AR88,-1)</f>
        <v>35.2258064516129</v>
      </c>
      <c r="AV88" s="51" t="n">
        <f aca="false">IF(AND(OR(CC88="L1",CC88="L23",CC88="LIFT"),AR88&gt;0),SUMIFS($AR$7:$AR$1843,$CC$7:$CC$1843,CC88,$AU$7:$AU$1843,"&gt;"&amp;AU88)+SUMIFS($AR$7:$AR$1843,$CC$7:$CC$1843,CC88,$AU$7:$AU$1843,AU88,$BT$7:$BT$1843,"&lt;="&amp;BT88),"")</f>
        <v>1797.9271978022</v>
      </c>
      <c r="AW88" s="58" t="n">
        <f aca="false">IF(AV88="",0,MAX(0,MIN(1,(IF(CC88="L1",Parameter!$H$5,IF(CC88="L23",Parameter!$H$6+Parameter!$H$7,Parameter!$H$5+Parameter!$H$6+Parameter!$H$7))-(AV88-AR88))/AR88)))</f>
        <v>1</v>
      </c>
      <c r="AX88" s="50" t="n">
        <f aca="false">IF(LEFT(Cockpit!$O$5,1)="A",H88,IF(CE88=1,CF88,IF(LEFT(Cockpit!$O$5,1)="B",BC88,MAX(BC88,H88))))</f>
        <v>384</v>
      </c>
      <c r="AY88" s="50" t="n">
        <f aca="false">IF(BW88=1,0,ROUNDUP(AX88/BV88,0))</f>
        <v>3</v>
      </c>
      <c r="AZ88" s="52" t="n">
        <f aca="false">IF(CL88&gt;0,CL88*MAX(1,AX88/X88),IF(BW88=1,IF(AX88&lt;=0,0,CA88*MAX(1,IF(H88&gt;0,AX88/H88,1))),IF(R88&gt;0,AY88/R88,0))/MAX(0.1,N(Parameter!$M$21)))</f>
        <v>0.0576923076923077</v>
      </c>
      <c r="BA88" s="50" t="n">
        <f aca="false">AZ88*BY88</f>
        <v>8.94230769230769</v>
      </c>
      <c r="BB88" s="50" t="n">
        <f aca="false">AX88*G88</f>
        <v>4765.44</v>
      </c>
      <c r="BC88" s="50" t="n">
        <f aca="false">ROUNDUP(MAX(J88/IF(CD88&gt;0,CD88,MAX(0.1,N(Cockpit!$O$6))),CG88)/BV88,0)*BV88</f>
        <v>384</v>
      </c>
      <c r="BD88" s="51" t="n">
        <f aca="false">IF(BA88&gt;0,J88/BA88,-1)</f>
        <v>35.2258064516129</v>
      </c>
      <c r="BE88" s="51" t="n">
        <f aca="false">IF(AND(OR(CC88="L1",CC88="L23",CC88="LIFT"),BA88&gt;0),SUMIFS($BA$7:$BA$1843,$CC$7:$CC$1843,CC88,$BD$7:$BD$1843,"&gt;"&amp;BD88)+SUMIFS($BA$7:$BA$1843,$CC$7:$CC$1843,CC88,$BD$7:$BD$1843,BD88,$BT$7:$BT$1843,"&lt;="&amp;BT88),"")</f>
        <v>1633.6163003663</v>
      </c>
      <c r="BF88" s="58" t="n">
        <f aca="false">IF(BE88="",0,MAX(0,MIN(1,(IF(CC88="L1",Parameter!$H$5,IF(CC88="L23",Parameter!$H$6+Parameter!$H$7,Parameter!$H$5+Parameter!$H$6+Parameter!$H$7))-(BE88-BA88))/BA88)))</f>
        <v>1</v>
      </c>
      <c r="BG88" s="48" t="str">
        <f aca="false">IF(AI88&lt;=0,"",IF(CC88="Aussen","Aussenlager",IF(CC88="-","Nicht im Lift",IF(AN88&gt;=1,"Lift",IF(AN88&lt;=0,"Aussenlager","teilweise")))))</f>
        <v>Lift</v>
      </c>
      <c r="BH88" s="48" t="str">
        <f aca="false">IF(AR88&lt;=0,"",IF(CC88="Aussen","Aussenlager",IF(CC88="-","Nicht im Lift",IF(AW88&gt;=1,"Lift",IF(AW88&lt;=0,"Aussenlager","teilweise")))))</f>
        <v>Lift</v>
      </c>
      <c r="BI88" s="48" t="str">
        <f aca="false">IF(BA88&lt;=0,"",IF(CC88="Aussen","Aussenlager",IF(CC88="-","Nicht im Lift",IF(BF88&gt;=1,"Lift",IF(BF88&lt;=0,"Aussenlager","teilweise")))))</f>
        <v>Lift</v>
      </c>
      <c r="BJ88" s="48" t="str">
        <f aca="false">IF(A88="","",IF(BS88=1,"Neu; ","")&amp;IF(AND(BS88=0,BN88&lt;0),"negativer Bestand (Export "&amp;BN88&amp;"); ","")&amp;IF(J88&lt;=0,"Kein Verbrauch; ","")&amp;IF(CL88&gt;0,"Lift "&amp;W88&amp;" lt. Liftbericht (Fach "&amp;X88&amp;" Stk); ",IF(BX88=1,"Gebinde geschätzt ("&amp;T88&amp;"); ",IF(BW88=1,"Lose – Tablare geschätzt; ","")))&amp;IF(H88&gt;AT88,"Überbestand "&amp;ROUND(H88-AT88,0)&amp;" Stk / CHF "&amp;ROUND((H88-AT88)*G88,0)&amp;"; ","")&amp;IF(AND(CE88=1,CF88&lt;CG88),"MAX &lt; MB+LG; ","")&amp;IF(AND(CK88&gt;0,CJ88*10&gt;CK88),"zu hoch für Tablar; ","")&amp;IF(AND(BS88=0,OR(CE88=1,AA88&lt;&gt;"",U88&lt;&gt;"",V88&lt;&gt;"",AB88&lt;&gt;"")),"manuell übersteuert; ","")&amp;IF(AND(BW88=0,R88=0),"Gebinde unbekannt / Stellmass fehlt; ","")&amp;IF(AND(BW88=0,N(V88)&lt;=0,N(Q88)&lt;=0),"Menge pro Gebinde fehlt (Ist = 1 Gebinde); ","")&amp;BR88)</f>
        <v/>
      </c>
      <c r="BK88" s="48"/>
      <c r="BL88" s="48"/>
      <c r="BM88" s="55"/>
      <c r="BN88" s="50" t="n">
        <v>229</v>
      </c>
      <c r="BO88" s="50" t="n">
        <v>48</v>
      </c>
      <c r="BP88" s="49" t="n">
        <v>2896.49</v>
      </c>
      <c r="BQ88" s="50" t="n">
        <v>315</v>
      </c>
      <c r="BR88" s="48"/>
      <c r="BS88" s="53" t="n">
        <v>0</v>
      </c>
      <c r="BT88" s="53" t="n">
        <v>88</v>
      </c>
      <c r="BU88" s="48" t="str">
        <f aca="false">IF(U88&lt;&gt;"",UPPER(TRIM(U88)),IF(BX88=1,UPPER(VLOOKUP(T88,Parameter!$I$27:$K$29,2,0)),IF(P88="","LOSE",P88)))</f>
        <v>S41</v>
      </c>
      <c r="BV88" s="50" t="n">
        <f aca="false">IF(BU88="LOSE",1,IF(N(V88)&gt;0,V88,IF(BX88=1,MAX(1,N(VLOOKUP(T88,Parameter!$I$27:$K$29,3,0)),H88,N(N88)),IF(N(Q88)&gt;0,Q88,MAX(1,H88)))))</f>
        <v>128</v>
      </c>
      <c r="BW88" s="53" t="n">
        <f aca="false">IF(BU88="LOSE",1,0)</f>
        <v>0</v>
      </c>
      <c r="BX88" s="53" t="n">
        <f aca="false">IF(AND(U88="",OR(P88="",P88="LOSE"),T88&lt;&gt;"",N(S88)&lt;=0,ISNUMBER(MATCH(T88,Parameter!$I$27:$I$29,0))),1,0)</f>
        <v>0</v>
      </c>
      <c r="BY88" s="53" t="n">
        <f aca="false">IF(CL88&gt;0,INDEX(Parameter!$H$5:$H$7,W88)/INDEX(Parameter!$E$5:$E$7,W88),IF(AND(BW88=0,N(IFERROR(VLOOKUP(BU88,'Gebinde-Kategorie'!$A$5:$N$45,14,0),0))&gt;0),VLOOKUP(BU88,'Gebinde-Kategorie'!$A$5:$N$45,14,0)*10+Parameter!$M$23,Parameter!$M$24))</f>
        <v>155</v>
      </c>
      <c r="BZ88" s="48" t="str">
        <f aca="false">IF(AND(Parameter!$B$19="Ja",E88&lt;&gt;"",ISNUMBER(MATCH(E88,Parameter!$I$35:$I$52,0))),VLOOKUP(E88,Parameter!$I$35:$J$52,2,0),IFERROR(VLOOKUP(D88,Parameter!$A$35:$C$64,2,0),"Nein"))</f>
        <v>2+3</v>
      </c>
      <c r="CA88" s="52" t="n">
        <f aca="false">IF(BW88=0,0,IF(N(S88)&gt;0,S88,IFERROR(VLOOKUP(D88,Parameter!$A$35:$C$64,3,0)+0,0)))</f>
        <v>0</v>
      </c>
      <c r="CB88" s="48" t="n">
        <f aca="false">IF(AA88&lt;&gt;"",AA88,Z88)</f>
        <v>3</v>
      </c>
      <c r="CC88" s="48" t="str">
        <f aca="false">IF(OR(CB88=1,CB88=2,CB88=3),IF(Parameter!$E$27="Ja","LIFT",IF(CB88=1,"L1","L23")),IF(CB88="Aussen","Aussen","-"))</f>
        <v>LIFT</v>
      </c>
      <c r="CD88" s="59" t="n">
        <f aca="false">IF(N(AB88)&gt;0,AB88,0)</f>
        <v>0</v>
      </c>
      <c r="CE88" s="53" t="n">
        <f aca="false">IF(ISNUMBER(AE88),1,0)</f>
        <v>0</v>
      </c>
      <c r="CF88" s="50" t="n">
        <f aca="false">N(AE88)</f>
        <v>0</v>
      </c>
      <c r="CG88" s="50" t="n">
        <f aca="false">N(M88)+N(N88)</f>
        <v>310</v>
      </c>
      <c r="CH88" s="50" t="n">
        <f aca="false">ROUNDUP(H88/BV88,0)</f>
        <v>3</v>
      </c>
      <c r="CI88" s="50" t="n">
        <f aca="false">ROUNDUP(CF88/BV88,0)</f>
        <v>0</v>
      </c>
      <c r="CJ88" s="53" t="n">
        <f aca="false">IF(BW88=1,0,IFERROR(VLOOKUP(BU88,'Gebinde-Kategorie'!$A$5:$N$45,5,0)+0,0))</f>
        <v>11</v>
      </c>
      <c r="CK88" s="53" t="n">
        <f aca="false">IFERROR(IF(OR(CB88=1,CB88=2,CB88=3),N(INDEX(Parameter!$I$5:$I$7,CB88)),0),0)</f>
        <v>0</v>
      </c>
      <c r="CL88" s="52" t="n">
        <f aca="false">IF(AND(Parameter!$B$21="Ja",ISNUMBER(W88),N(X88)&gt;0),IFERROR(N(INDEX(Parameter!$L$5:$L$7,W88))*INDEX(Parameter!$E$5:$E$7,W88)*X88/SUMIFS($X$7:$X$1843,$W$7:$W$1843,W88),0),0)</f>
        <v>0</v>
      </c>
    </row>
    <row r="89" customFormat="false" ht="15" hidden="false" customHeight="false" outlineLevel="0" collapsed="false">
      <c r="A89" s="48" t="s">
        <v>390</v>
      </c>
      <c r="B89" s="48" t="s">
        <v>391</v>
      </c>
      <c r="C89" s="48" t="s">
        <v>168</v>
      </c>
      <c r="D89" s="48" t="s">
        <v>177</v>
      </c>
      <c r="E89" s="48"/>
      <c r="F89" s="48" t="s">
        <v>222</v>
      </c>
      <c r="G89" s="49" t="n">
        <v>1447</v>
      </c>
      <c r="H89" s="50" t="n">
        <f aca="false">MAX(0,IF(AND(Parameter!$B$21="Ja",ISNUMBER(Y89)),Y89,IF(Parameter!$B$20="Jahresanfang 2025 + Export",BO89+BN89,BN89)))</f>
        <v>2</v>
      </c>
      <c r="I89" s="50" t="n">
        <f aca="false">H89*G89</f>
        <v>2894</v>
      </c>
      <c r="J89" s="50" t="n">
        <f aca="false">BQ89*Parameter!$B$18</f>
        <v>0</v>
      </c>
      <c r="K89" s="51" t="n">
        <v>1</v>
      </c>
      <c r="L89" s="52" t="n">
        <v>0</v>
      </c>
      <c r="M89" s="50" t="n">
        <v>0</v>
      </c>
      <c r="N89" s="50" t="n">
        <v>1</v>
      </c>
      <c r="O89" s="53" t="n">
        <v>70</v>
      </c>
      <c r="P89" s="48" t="s">
        <v>306</v>
      </c>
      <c r="Q89" s="50" t="n">
        <v>2</v>
      </c>
      <c r="R89" s="53" t="n">
        <f aca="false">IF(BW89=1,0,IFERROR(VLOOKUP(BU89,'Gebinde-Kategorie'!$A$5:$N$45,13,0)+0,0))</f>
        <v>26</v>
      </c>
      <c r="S89" s="54"/>
      <c r="T89" s="55"/>
      <c r="U89" s="55"/>
      <c r="V89" s="55"/>
      <c r="W89" s="48"/>
      <c r="X89" s="50"/>
      <c r="Y89" s="50"/>
      <c r="Z89" s="48" t="n">
        <f aca="false">IF(A89="","",IF(AND(Parameter!$B$21="Ja",ISNUMBER(W89)),W89,IF(BZ89="2+3",IF(ISNUMBER(SEARCH("grosser Artikel",BR89)),2,IFERROR(VLOOKUP(BU89,Parameter!$F$35:$G$64,2,0),2)),IF(OR(BZ89="Nein",BZ89=""),"-",BZ89))))</f>
        <v>3</v>
      </c>
      <c r="AA89" s="55"/>
      <c r="AB89" s="56"/>
      <c r="AC89" s="50" t="n">
        <f aca="false">AT89</f>
        <v>2</v>
      </c>
      <c r="AD89" s="50" t="n">
        <f aca="false">MAX(AT89,H89)</f>
        <v>2</v>
      </c>
      <c r="AE89" s="57"/>
      <c r="AF89" s="50" t="n">
        <f aca="false">IF(LEFT(Cockpit!$C$5,1)="A",H89,IF(CE89=1,CF89,IF(LEFT(Cockpit!$C$5,1)="B",AK89,MAX(AK89,H89))))</f>
        <v>2</v>
      </c>
      <c r="AG89" s="50" t="n">
        <f aca="false">IF(BW89=1,0,ROUNDUP(AF89/BV89,0))</f>
        <v>1</v>
      </c>
      <c r="AH89" s="52" t="n">
        <f aca="false">IF(CL89&gt;0,CL89*MAX(1,AF89/X89),IF(BW89=1,IF(AF89&lt;=0,0,CA89*MAX(1,IF(H89&gt;0,AF89/H89,1))),IF(R89&gt;0,AG89/R89,0))/MAX(0.1,N(Parameter!$M$21)))</f>
        <v>0.0384615384615385</v>
      </c>
      <c r="AI89" s="50" t="n">
        <f aca="false">AH89*BY89</f>
        <v>5.96153846153846</v>
      </c>
      <c r="AJ89" s="50" t="n">
        <f aca="false">AF89*G89</f>
        <v>2894</v>
      </c>
      <c r="AK89" s="50" t="n">
        <f aca="false">ROUNDUP(MAX(J89/IF(CD89&gt;0,CD89,MAX(0.1,N(Cockpit!$C$6))),CG89)/BV89,0)*BV89</f>
        <v>2</v>
      </c>
      <c r="AL89" s="51" t="n">
        <f aca="false">IF(AI89&gt;0,J89/AI89,-1)</f>
        <v>0</v>
      </c>
      <c r="AM89" s="51" t="n">
        <f aca="false">IF(AND(OR(CC89="L1",CC89="L23",CC89="LIFT"),AI89&gt;0),SUMIFS($AI$7:$AI$1843,$CC$7:$CC$1843,CC89,$AL$7:$AL$1843,"&gt;"&amp;AL89)+SUMIFS($AI$7:$AI$1843,$CC$7:$CC$1843,CC89,$AL$7:$AL$1843,AL89,$BT$7:$BT$1843,"&lt;="&amp;BT89),"")</f>
        <v>26970.1350111753</v>
      </c>
      <c r="AN89" s="58" t="n">
        <f aca="false">IF(AM89="",0,MAX(0,MIN(1,(IF(CC89="L1",Parameter!$H$5,IF(CC89="L23",Parameter!$H$6+Parameter!$H$7,Parameter!$H$5+Parameter!$H$6+Parameter!$H$7))-(AM89-AI89))/AI89)))</f>
        <v>1</v>
      </c>
      <c r="AO89" s="50" t="n">
        <f aca="false">IF(LEFT(Cockpit!$I$5,1)="A",H89,IF(CE89=1,CF89,IF(LEFT(Cockpit!$I$5,1)="B",AT89,MAX(AT89,H89))))</f>
        <v>2</v>
      </c>
      <c r="AP89" s="50" t="n">
        <f aca="false">IF(BW89=1,0,ROUNDUP(AO89/BV89,0))</f>
        <v>1</v>
      </c>
      <c r="AQ89" s="52" t="n">
        <f aca="false">IF(CL89&gt;0,CL89*MAX(1,AO89/X89),IF(BW89=1,IF(AO89&lt;=0,0,CA89*MAX(1,IF(H89&gt;0,AO89/H89,1))),IF(R89&gt;0,AP89/R89,0))/MAX(0.1,N(Parameter!$M$21)))</f>
        <v>0.0384615384615385</v>
      </c>
      <c r="AR89" s="50" t="n">
        <f aca="false">AQ89*BY89</f>
        <v>5.96153846153846</v>
      </c>
      <c r="AS89" s="50" t="n">
        <f aca="false">AO89*G89</f>
        <v>2894</v>
      </c>
      <c r="AT89" s="50" t="n">
        <f aca="false">ROUNDUP(MAX(J89/IF(CD89&gt;0,CD89,MAX(0.1,N(Cockpit!$I$6))),CG89)/BV89,0)*BV89</f>
        <v>2</v>
      </c>
      <c r="AU89" s="51" t="n">
        <f aca="false">IF(AR89&gt;0,J89/AR89,-1)</f>
        <v>0</v>
      </c>
      <c r="AV89" s="51" t="n">
        <f aca="false">IF(AND(OR(CC89="L1",CC89="L23",CC89="LIFT"),AR89&gt;0),SUMIFS($AR$7:$AR$1843,$CC$7:$CC$1843,CC89,$AU$7:$AU$1843,"&gt;"&amp;AU89)+SUMIFS($AR$7:$AR$1843,$CC$7:$CC$1843,CC89,$AU$7:$AU$1843,AU89,$BT$7:$BT$1843,"&lt;="&amp;BT89),"")</f>
        <v>38270.9571951119</v>
      </c>
      <c r="AW89" s="58" t="n">
        <f aca="false">IF(AV89="",0,MAX(0,MIN(1,(IF(CC89="L1",Parameter!$H$5,IF(CC89="L23",Parameter!$H$6+Parameter!$H$7,Parameter!$H$5+Parameter!$H$6+Parameter!$H$7))-(AV89-AR89))/AR89)))</f>
        <v>0</v>
      </c>
      <c r="AX89" s="50" t="n">
        <f aca="false">IF(LEFT(Cockpit!$O$5,1)="A",H89,IF(CE89=1,CF89,IF(LEFT(Cockpit!$O$5,1)="B",BC89,MAX(BC89,H89))))</f>
        <v>2</v>
      </c>
      <c r="AY89" s="50" t="n">
        <f aca="false">IF(BW89=1,0,ROUNDUP(AX89/BV89,0))</f>
        <v>1</v>
      </c>
      <c r="AZ89" s="52" t="n">
        <f aca="false">IF(CL89&gt;0,CL89*MAX(1,AX89/X89),IF(BW89=1,IF(AX89&lt;=0,0,CA89*MAX(1,IF(H89&gt;0,AX89/H89,1))),IF(R89&gt;0,AY89/R89,0))/MAX(0.1,N(Parameter!$M$21)))</f>
        <v>0.0384615384615385</v>
      </c>
      <c r="BA89" s="50" t="n">
        <f aca="false">AZ89*BY89</f>
        <v>5.96153846153846</v>
      </c>
      <c r="BB89" s="50" t="n">
        <f aca="false">AX89*G89</f>
        <v>2894</v>
      </c>
      <c r="BC89" s="50" t="n">
        <f aca="false">ROUNDUP(MAX(J89/IF(CD89&gt;0,CD89,MAX(0.1,N(Cockpit!$O$6))),CG89)/BV89,0)*BV89</f>
        <v>2</v>
      </c>
      <c r="BD89" s="51" t="n">
        <f aca="false">IF(BA89&gt;0,J89/BA89,-1)</f>
        <v>0</v>
      </c>
      <c r="BE89" s="51" t="n">
        <f aca="false">IF(AND(OR(CC89="L1",CC89="L23",CC89="LIFT"),BA89&gt;0),SUMIFS($BA$7:$BA$1843,$CC$7:$CC$1843,CC89,$BD$7:$BD$1843,"&gt;"&amp;BD89)+SUMIFS($BA$7:$BA$1843,$CC$7:$CC$1843,CC89,$BD$7:$BD$1843,BD89,$BT$7:$BT$1843,"&lt;="&amp;BT89),"")</f>
        <v>34945.9692369777</v>
      </c>
      <c r="BF89" s="58" t="n">
        <f aca="false">IF(BE89="",0,MAX(0,MIN(1,(IF(CC89="L1",Parameter!$H$5,IF(CC89="L23",Parameter!$H$6+Parameter!$H$7,Parameter!$H$5+Parameter!$H$6+Parameter!$H$7))-(BE89-BA89))/BA89)))</f>
        <v>1</v>
      </c>
      <c r="BG89" s="48" t="str">
        <f aca="false">IF(AI89&lt;=0,"",IF(CC89="Aussen","Aussenlager",IF(CC89="-","Nicht im Lift",IF(AN89&gt;=1,"Lift",IF(AN89&lt;=0,"Aussenlager","teilweise")))))</f>
        <v>Lift</v>
      </c>
      <c r="BH89" s="48" t="str">
        <f aca="false">IF(AR89&lt;=0,"",IF(CC89="Aussen","Aussenlager",IF(CC89="-","Nicht im Lift",IF(AW89&gt;=1,"Lift",IF(AW89&lt;=0,"Aussenlager","teilweise")))))</f>
        <v>Aussenlager</v>
      </c>
      <c r="BI89" s="48" t="str">
        <f aca="false">IF(BA89&lt;=0,"",IF(CC89="Aussen","Aussenlager",IF(CC89="-","Nicht im Lift",IF(BF89&gt;=1,"Lift",IF(BF89&lt;=0,"Aussenlager","teilweise")))))</f>
        <v>Lift</v>
      </c>
      <c r="BJ89" s="48" t="str">
        <f aca="false">IF(A89="","",IF(BS89=1,"Neu; ","")&amp;IF(AND(BS89=0,BN89&lt;0),"negativer Bestand (Export "&amp;BN89&amp;"); ","")&amp;IF(J89&lt;=0,"Kein Verbrauch; ","")&amp;IF(CL89&gt;0,"Lift "&amp;W89&amp;" lt. Liftbericht (Fach "&amp;X89&amp;" Stk); ",IF(BX89=1,"Gebinde geschätzt ("&amp;T89&amp;"); ",IF(BW89=1,"Lose – Tablare geschätzt; ","")))&amp;IF(H89&gt;AT89,"Überbestand "&amp;ROUND(H89-AT89,0)&amp;" Stk / CHF "&amp;ROUND((H89-AT89)*G89,0)&amp;"; ","")&amp;IF(AND(CE89=1,CF89&lt;CG89),"MAX &lt; MB+LG; ","")&amp;IF(AND(CK89&gt;0,CJ89*10&gt;CK89),"zu hoch für Tablar; ","")&amp;IF(AND(BS89=0,OR(CE89=1,AA89&lt;&gt;"",U89&lt;&gt;"",V89&lt;&gt;"",AB89&lt;&gt;"")),"manuell übersteuert; ","")&amp;IF(AND(BW89=0,R89=0),"Gebinde unbekannt / Stellmass fehlt; ","")&amp;IF(AND(BW89=0,N(V89)&lt;=0,N(Q89)&lt;=0),"Menge pro Gebinde fehlt (Ist = 1 Gebinde); ","")&amp;BR89)</f>
        <v>Kein Verbrauch; </v>
      </c>
      <c r="BK89" s="48" t="s">
        <v>392</v>
      </c>
      <c r="BL89" s="48" t="s">
        <v>393</v>
      </c>
      <c r="BM89" s="55"/>
      <c r="BN89" s="50" t="n">
        <v>2</v>
      </c>
      <c r="BO89" s="50" t="n">
        <v>0</v>
      </c>
      <c r="BP89" s="49" t="n">
        <v>2894</v>
      </c>
      <c r="BQ89" s="50" t="n">
        <v>0</v>
      </c>
      <c r="BR89" s="48"/>
      <c r="BS89" s="53" t="n">
        <v>0</v>
      </c>
      <c r="BT89" s="53" t="n">
        <v>89</v>
      </c>
      <c r="BU89" s="48" t="str">
        <f aca="false">IF(U89&lt;&gt;"",UPPER(TRIM(U89)),IF(BX89=1,UPPER(VLOOKUP(T89,Parameter!$I$27:$K$29,2,0)),IF(P89="","LOSE",P89)))</f>
        <v>S51</v>
      </c>
      <c r="BV89" s="50" t="n">
        <f aca="false">IF(BU89="LOSE",1,IF(N(V89)&gt;0,V89,IF(BX89=1,MAX(1,N(VLOOKUP(T89,Parameter!$I$27:$K$29,3,0)),H89,N(N89)),IF(N(Q89)&gt;0,Q89,MAX(1,H89)))))</f>
        <v>2</v>
      </c>
      <c r="BW89" s="53" t="n">
        <f aca="false">IF(BU89="LOSE",1,0)</f>
        <v>0</v>
      </c>
      <c r="BX89" s="53" t="n">
        <f aca="false">IF(AND(U89="",OR(P89="",P89="LOSE"),T89&lt;&gt;"",N(S89)&lt;=0,ISNUMBER(MATCH(T89,Parameter!$I$27:$I$29,0))),1,0)</f>
        <v>0</v>
      </c>
      <c r="BY89" s="53" t="n">
        <f aca="false">IF(CL89&gt;0,INDEX(Parameter!$H$5:$H$7,W89)/INDEX(Parameter!$E$5:$E$7,W89),IF(AND(BW89=0,N(IFERROR(VLOOKUP(BU89,'Gebinde-Kategorie'!$A$5:$N$45,14,0),0))&gt;0),VLOOKUP(BU89,'Gebinde-Kategorie'!$A$5:$N$45,14,0)*10+Parameter!$M$23,Parameter!$M$24))</f>
        <v>155</v>
      </c>
      <c r="BZ89" s="48" t="str">
        <f aca="false">IF(AND(Parameter!$B$19="Ja",E89&lt;&gt;"",ISNUMBER(MATCH(E89,Parameter!$I$35:$I$52,0))),VLOOKUP(E89,Parameter!$I$35:$J$52,2,0),IFERROR(VLOOKUP(D89,Parameter!$A$35:$C$64,2,0),"Nein"))</f>
        <v>2+3</v>
      </c>
      <c r="CA89" s="52" t="n">
        <f aca="false">IF(BW89=0,0,IF(N(S89)&gt;0,S89,IFERROR(VLOOKUP(D89,Parameter!$A$35:$C$64,3,0)+0,0)))</f>
        <v>0</v>
      </c>
      <c r="CB89" s="48" t="n">
        <f aca="false">IF(AA89&lt;&gt;"",AA89,Z89)</f>
        <v>3</v>
      </c>
      <c r="CC89" s="48" t="str">
        <f aca="false">IF(OR(CB89=1,CB89=2,CB89=3),IF(Parameter!$E$27="Ja","LIFT",IF(CB89=1,"L1","L23")),IF(CB89="Aussen","Aussen","-"))</f>
        <v>LIFT</v>
      </c>
      <c r="CD89" s="59" t="n">
        <f aca="false">IF(N(AB89)&gt;0,AB89,0)</f>
        <v>0</v>
      </c>
      <c r="CE89" s="53" t="n">
        <f aca="false">IF(ISNUMBER(AE89),1,0)</f>
        <v>0</v>
      </c>
      <c r="CF89" s="50" t="n">
        <f aca="false">N(AE89)</f>
        <v>0</v>
      </c>
      <c r="CG89" s="50" t="n">
        <f aca="false">N(M89)+N(N89)</f>
        <v>1</v>
      </c>
      <c r="CH89" s="50" t="n">
        <f aca="false">ROUNDUP(H89/BV89,0)</f>
        <v>1</v>
      </c>
      <c r="CI89" s="50" t="n">
        <f aca="false">ROUNDUP(CF89/BV89,0)</f>
        <v>0</v>
      </c>
      <c r="CJ89" s="53" t="n">
        <f aca="false">IF(BW89=1,0,IFERROR(VLOOKUP(BU89,'Gebinde-Kategorie'!$A$5:$N$45,5,0)+0,0))</f>
        <v>11</v>
      </c>
      <c r="CK89" s="53" t="n">
        <f aca="false">IFERROR(IF(OR(CB89=1,CB89=2,CB89=3),N(INDEX(Parameter!$I$5:$I$7,CB89)),0),0)</f>
        <v>0</v>
      </c>
      <c r="CL89" s="52" t="n">
        <f aca="false">IF(AND(Parameter!$B$21="Ja",ISNUMBER(W89),N(X89)&gt;0),IFERROR(N(INDEX(Parameter!$L$5:$L$7,W89))*INDEX(Parameter!$E$5:$E$7,W89)*X89/SUMIFS($X$7:$X$1843,$W$7:$W$1843,W89),0),0)</f>
        <v>0</v>
      </c>
    </row>
    <row r="90" customFormat="false" ht="15" hidden="false" customHeight="false" outlineLevel="0" collapsed="false">
      <c r="A90" s="48" t="s">
        <v>394</v>
      </c>
      <c r="B90" s="48" t="s">
        <v>395</v>
      </c>
      <c r="C90" s="48" t="s">
        <v>168</v>
      </c>
      <c r="D90" s="48" t="s">
        <v>188</v>
      </c>
      <c r="E90" s="48" t="s">
        <v>189</v>
      </c>
      <c r="F90" s="48" t="s">
        <v>222</v>
      </c>
      <c r="G90" s="49" t="n">
        <v>294.55</v>
      </c>
      <c r="H90" s="50" t="n">
        <f aca="false">MAX(0,IF(AND(Parameter!$B$21="Ja",ISNUMBER(Y90)),Y90,IF(Parameter!$B$20="Jahresanfang 2025 + Export",BO90+BN90,BN90)))</f>
        <v>13</v>
      </c>
      <c r="I90" s="50" t="n">
        <f aca="false">H90*G90</f>
        <v>3829.15</v>
      </c>
      <c r="J90" s="50" t="n">
        <f aca="false">BQ90*Parameter!$B$18</f>
        <v>2</v>
      </c>
      <c r="K90" s="51" t="n">
        <v>9</v>
      </c>
      <c r="L90" s="52" t="n">
        <v>0.222222222222222</v>
      </c>
      <c r="M90" s="50" t="n">
        <v>0</v>
      </c>
      <c r="N90" s="50" t="n">
        <v>1</v>
      </c>
      <c r="O90" s="53" t="n">
        <v>42</v>
      </c>
      <c r="P90" s="48" t="s">
        <v>237</v>
      </c>
      <c r="Q90" s="50" t="n">
        <v>17</v>
      </c>
      <c r="R90" s="53" t="n">
        <f aca="false">IF(BW90=1,0,IFERROR(VLOOKUP(BU90,'Gebinde-Kategorie'!$A$5:$N$45,13,0)+0,0))</f>
        <v>26</v>
      </c>
      <c r="S90" s="54"/>
      <c r="T90" s="55"/>
      <c r="U90" s="55"/>
      <c r="V90" s="55"/>
      <c r="W90" s="48"/>
      <c r="X90" s="50"/>
      <c r="Y90" s="50"/>
      <c r="Z90" s="48" t="n">
        <f aca="false">IF(A90="","",IF(AND(Parameter!$B$21="Ja",ISNUMBER(W90)),W90,IF(BZ90="2+3",IF(ISNUMBER(SEARCH("grosser Artikel",BR90)),2,IFERROR(VLOOKUP(BU90,Parameter!$F$35:$G$64,2,0),2)),IF(OR(BZ90="Nein",BZ90=""),"-",BZ90))))</f>
        <v>3</v>
      </c>
      <c r="AA90" s="55"/>
      <c r="AB90" s="56"/>
      <c r="AC90" s="50" t="n">
        <f aca="false">AT90</f>
        <v>17</v>
      </c>
      <c r="AD90" s="50" t="n">
        <f aca="false">MAX(AT90,H90)</f>
        <v>17</v>
      </c>
      <c r="AE90" s="57"/>
      <c r="AF90" s="50" t="n">
        <f aca="false">IF(LEFT(Cockpit!$C$5,1)="A",H90,IF(CE90=1,CF90,IF(LEFT(Cockpit!$C$5,1)="B",AK90,MAX(AK90,H90))))</f>
        <v>13</v>
      </c>
      <c r="AG90" s="50" t="n">
        <f aca="false">IF(BW90=1,0,ROUNDUP(AF90/BV90,0))</f>
        <v>1</v>
      </c>
      <c r="AH90" s="52" t="n">
        <f aca="false">IF(CL90&gt;0,CL90*MAX(1,AF90/X90),IF(BW90=1,IF(AF90&lt;=0,0,CA90*MAX(1,IF(H90&gt;0,AF90/H90,1))),IF(R90&gt;0,AG90/R90,0))/MAX(0.1,N(Parameter!$M$21)))</f>
        <v>0.0384615384615385</v>
      </c>
      <c r="AI90" s="50" t="n">
        <f aca="false">AH90*BY90</f>
        <v>9.42307692307692</v>
      </c>
      <c r="AJ90" s="50" t="n">
        <f aca="false">AF90*G90</f>
        <v>3829.15</v>
      </c>
      <c r="AK90" s="50" t="n">
        <f aca="false">ROUNDUP(MAX(J90/IF(CD90&gt;0,CD90,MAX(0.1,N(Cockpit!$C$6))),CG90)/BV90,0)*BV90</f>
        <v>17</v>
      </c>
      <c r="AL90" s="51" t="n">
        <f aca="false">IF(AI90&gt;0,J90/AI90,-1)</f>
        <v>0.212244897959184</v>
      </c>
      <c r="AM90" s="51" t="n">
        <f aca="false">IF(AND(OR(CC90="L1",CC90="L23",CC90="LIFT"),AI90&gt;0),SUMIFS($AI$7:$AI$1843,$CC$7:$CC$1843,CC90,$AL$7:$AL$1843,"&gt;"&amp;AL90)+SUMIFS($AI$7:$AI$1843,$CC$7:$CC$1843,CC90,$AL$7:$AL$1843,AL90,$BT$7:$BT$1843,"&lt;="&amp;BT90),"")</f>
        <v>12335.8555157178</v>
      </c>
      <c r="AN90" s="58" t="n">
        <f aca="false">IF(AM90="",0,MAX(0,MIN(1,(IF(CC90="L1",Parameter!$H$5,IF(CC90="L23",Parameter!$H$6+Parameter!$H$7,Parameter!$H$5+Parameter!$H$6+Parameter!$H$7))-(AM90-AI90))/AI90)))</f>
        <v>1</v>
      </c>
      <c r="AO90" s="50" t="n">
        <f aca="false">IF(LEFT(Cockpit!$I$5,1)="A",H90,IF(CE90=1,CF90,IF(LEFT(Cockpit!$I$5,1)="B",AT90,MAX(AT90,H90))))</f>
        <v>17</v>
      </c>
      <c r="AP90" s="50" t="n">
        <f aca="false">IF(BW90=1,0,ROUNDUP(AO90/BV90,0))</f>
        <v>1</v>
      </c>
      <c r="AQ90" s="52" t="n">
        <f aca="false">IF(CL90&gt;0,CL90*MAX(1,AO90/X90),IF(BW90=1,IF(AO90&lt;=0,0,CA90*MAX(1,IF(H90&gt;0,AO90/H90,1))),IF(R90&gt;0,AP90/R90,0))/MAX(0.1,N(Parameter!$M$21)))</f>
        <v>0.0384615384615385</v>
      </c>
      <c r="AR90" s="50" t="n">
        <f aca="false">AQ90*BY90</f>
        <v>9.42307692307692</v>
      </c>
      <c r="AS90" s="50" t="n">
        <f aca="false">AO90*G90</f>
        <v>5007.35</v>
      </c>
      <c r="AT90" s="50" t="n">
        <f aca="false">ROUNDUP(MAX(J90/IF(CD90&gt;0,CD90,MAX(0.1,N(Cockpit!$I$6))),CG90)/BV90,0)*BV90</f>
        <v>17</v>
      </c>
      <c r="AU90" s="51" t="n">
        <f aca="false">IF(AR90&gt;0,J90/AR90,-1)</f>
        <v>0.212244897959184</v>
      </c>
      <c r="AV90" s="51" t="n">
        <f aca="false">IF(AND(OR(CC90="L1",CC90="L23",CC90="LIFT"),AR90&gt;0),SUMIFS($AR$7:$AR$1843,$CC$7:$CC$1843,CC90,$AU$7:$AU$1843,"&gt;"&amp;AU90)+SUMIFS($AR$7:$AR$1843,$CC$7:$CC$1843,CC90,$AU$7:$AU$1843,AU90,$BT$7:$BT$1843,"&lt;="&amp;BT90),"")</f>
        <v>18249.5902014652</v>
      </c>
      <c r="AW90" s="58" t="n">
        <f aca="false">IF(AV90="",0,MAX(0,MIN(1,(IF(CC90="L1",Parameter!$H$5,IF(CC90="L23",Parameter!$H$6+Parameter!$H$7,Parameter!$H$5+Parameter!$H$6+Parameter!$H$7))-(AV90-AR90))/AR90)))</f>
        <v>1</v>
      </c>
      <c r="AX90" s="50" t="n">
        <f aca="false">IF(LEFT(Cockpit!$O$5,1)="A",H90,IF(CE90=1,CF90,IF(LEFT(Cockpit!$O$5,1)="B",BC90,MAX(BC90,H90))))</f>
        <v>17</v>
      </c>
      <c r="AY90" s="50" t="n">
        <f aca="false">IF(BW90=1,0,ROUNDUP(AX90/BV90,0))</f>
        <v>1</v>
      </c>
      <c r="AZ90" s="52" t="n">
        <f aca="false">IF(CL90&gt;0,CL90*MAX(1,AX90/X90),IF(BW90=1,IF(AX90&lt;=0,0,CA90*MAX(1,IF(H90&gt;0,AX90/H90,1))),IF(R90&gt;0,AY90/R90,0))/MAX(0.1,N(Parameter!$M$21)))</f>
        <v>0.0384615384615385</v>
      </c>
      <c r="BA90" s="50" t="n">
        <f aca="false">AZ90*BY90</f>
        <v>9.42307692307692</v>
      </c>
      <c r="BB90" s="50" t="n">
        <f aca="false">AX90*G90</f>
        <v>5007.35</v>
      </c>
      <c r="BC90" s="50" t="n">
        <f aca="false">ROUNDUP(MAX(J90/IF(CD90&gt;0,CD90,MAX(0.1,N(Cockpit!$O$6))),CG90)/BV90,0)*BV90</f>
        <v>17</v>
      </c>
      <c r="BD90" s="51" t="n">
        <f aca="false">IF(BA90&gt;0,J90/BA90,-1)</f>
        <v>0.212244897959184</v>
      </c>
      <c r="BE90" s="51" t="n">
        <f aca="false">IF(AND(OR(CC90="L1",CC90="L23",CC90="LIFT"),BA90&gt;0),SUMIFS($BA$7:$BA$1843,$CC$7:$CC$1843,CC90,$BD$7:$BD$1843,"&gt;"&amp;BD90)+SUMIFS($BA$7:$BA$1843,$CC$7:$CC$1843,CC90,$BD$7:$BD$1843,BD90,$BT$7:$BT$1843,"&lt;="&amp;BT90),"")</f>
        <v>16902.3305860806</v>
      </c>
      <c r="BF90" s="58" t="n">
        <f aca="false">IF(BE90="",0,MAX(0,MIN(1,(IF(CC90="L1",Parameter!$H$5,IF(CC90="L23",Parameter!$H$6+Parameter!$H$7,Parameter!$H$5+Parameter!$H$6+Parameter!$H$7))-(BE90-BA90))/BA90)))</f>
        <v>1</v>
      </c>
      <c r="BG90" s="48" t="str">
        <f aca="false">IF(AI90&lt;=0,"",IF(CC90="Aussen","Aussenlager",IF(CC90="-","Nicht im Lift",IF(AN90&gt;=1,"Lift",IF(AN90&lt;=0,"Aussenlager","teilweise")))))</f>
        <v>Lift</v>
      </c>
      <c r="BH90" s="48" t="str">
        <f aca="false">IF(AR90&lt;=0,"",IF(CC90="Aussen","Aussenlager",IF(CC90="-","Nicht im Lift",IF(AW90&gt;=1,"Lift",IF(AW90&lt;=0,"Aussenlager","teilweise")))))</f>
        <v>Lift</v>
      </c>
      <c r="BI90" s="48" t="str">
        <f aca="false">IF(BA90&lt;=0,"",IF(CC90="Aussen","Aussenlager",IF(CC90="-","Nicht im Lift",IF(BF90&gt;=1,"Lift",IF(BF90&lt;=0,"Aussenlager","teilweise")))))</f>
        <v>Lift</v>
      </c>
      <c r="BJ90" s="48" t="str">
        <f aca="false">IF(A90="","",IF(BS90=1,"Neu; ","")&amp;IF(AND(BS90=0,BN90&lt;0),"negativer Bestand (Export "&amp;BN90&amp;"); ","")&amp;IF(J90&lt;=0,"Kein Verbrauch; ","")&amp;IF(CL90&gt;0,"Lift "&amp;W90&amp;" lt. Liftbericht (Fach "&amp;X90&amp;" Stk); ",IF(BX90=1,"Gebinde geschätzt ("&amp;T90&amp;"); ",IF(BW90=1,"Lose – Tablare geschätzt; ","")))&amp;IF(H90&gt;AT90,"Überbestand "&amp;ROUND(H90-AT90,0)&amp;" Stk / CHF "&amp;ROUND((H90-AT90)*G90,0)&amp;"; ","")&amp;IF(AND(CE90=1,CF90&lt;CG90),"MAX &lt; MB+LG; ","")&amp;IF(AND(CK90&gt;0,CJ90*10&gt;CK90),"zu hoch für Tablar; ","")&amp;IF(AND(BS90=0,OR(CE90=1,AA90&lt;&gt;"",U90&lt;&gt;"",V90&lt;&gt;"",AB90&lt;&gt;"")),"manuell übersteuert; ","")&amp;IF(AND(BW90=0,R90=0),"Gebinde unbekannt / Stellmass fehlt; ","")&amp;IF(AND(BW90=0,N(V90)&lt;=0,N(Q90)&lt;=0),"Menge pro Gebinde fehlt (Ist = 1 Gebinde); ","")&amp;BR90)</f>
        <v>Überbestand</v>
      </c>
      <c r="BK90" s="48"/>
      <c r="BL90" s="48"/>
      <c r="BM90" s="55"/>
      <c r="BN90" s="50" t="n">
        <v>8</v>
      </c>
      <c r="BO90" s="50" t="n">
        <v>5</v>
      </c>
      <c r="BP90" s="49" t="n">
        <v>2784.35</v>
      </c>
      <c r="BQ90" s="50" t="n">
        <v>2</v>
      </c>
      <c r="BR90" s="48" t="s">
        <v>396</v>
      </c>
      <c r="BS90" s="53" t="n">
        <v>0</v>
      </c>
      <c r="BT90" s="53" t="n">
        <v>90</v>
      </c>
      <c r="BU90" s="48" t="str">
        <f aca="false">IF(U90&lt;&gt;"",UPPER(TRIM(U90)),IF(BX90=1,UPPER(VLOOKUP(T90,Parameter!$I$27:$K$29,2,0)),IF(P90="","LOSE",P90)))</f>
        <v>S52</v>
      </c>
      <c r="BV90" s="50" t="n">
        <f aca="false">IF(BU90="LOSE",1,IF(N(V90)&gt;0,V90,IF(BX90=1,MAX(1,N(VLOOKUP(T90,Parameter!$I$27:$K$29,3,0)),H90,N(N90)),IF(N(Q90)&gt;0,Q90,MAX(1,H90)))))</f>
        <v>17</v>
      </c>
      <c r="BW90" s="53" t="n">
        <f aca="false">IF(BU90="LOSE",1,0)</f>
        <v>0</v>
      </c>
      <c r="BX90" s="53" t="n">
        <f aca="false">IF(AND(U90="",OR(P90="",P90="LOSE"),T90&lt;&gt;"",N(S90)&lt;=0,ISNUMBER(MATCH(T90,Parameter!$I$27:$I$29,0))),1,0)</f>
        <v>0</v>
      </c>
      <c r="BY90" s="53" t="n">
        <f aca="false">IF(CL90&gt;0,INDEX(Parameter!$H$5:$H$7,W90)/INDEX(Parameter!$E$5:$E$7,W90),IF(AND(BW90=0,N(IFERROR(VLOOKUP(BU90,'Gebinde-Kategorie'!$A$5:$N$45,14,0),0))&gt;0),VLOOKUP(BU90,'Gebinde-Kategorie'!$A$5:$N$45,14,0)*10+Parameter!$M$23,Parameter!$M$24))</f>
        <v>245</v>
      </c>
      <c r="BZ90" s="48" t="str">
        <f aca="false">IF(AND(Parameter!$B$19="Ja",E90&lt;&gt;"",ISNUMBER(MATCH(E90,Parameter!$I$35:$I$52,0))),VLOOKUP(E90,Parameter!$I$35:$J$52,2,0),IFERROR(VLOOKUP(D90,Parameter!$A$35:$C$64,2,0),"Nein"))</f>
        <v>2+3</v>
      </c>
      <c r="CA90" s="52" t="n">
        <f aca="false">IF(BW90=0,0,IF(N(S90)&gt;0,S90,IFERROR(VLOOKUP(D90,Parameter!$A$35:$C$64,3,0)+0,0)))</f>
        <v>0</v>
      </c>
      <c r="CB90" s="48" t="n">
        <f aca="false">IF(AA90&lt;&gt;"",AA90,Z90)</f>
        <v>3</v>
      </c>
      <c r="CC90" s="48" t="str">
        <f aca="false">IF(OR(CB90=1,CB90=2,CB90=3),IF(Parameter!$E$27="Ja","LIFT",IF(CB90=1,"L1","L23")),IF(CB90="Aussen","Aussen","-"))</f>
        <v>LIFT</v>
      </c>
      <c r="CD90" s="59" t="n">
        <f aca="false">IF(N(AB90)&gt;0,AB90,0)</f>
        <v>0</v>
      </c>
      <c r="CE90" s="53" t="n">
        <f aca="false">IF(ISNUMBER(AE90),1,0)</f>
        <v>0</v>
      </c>
      <c r="CF90" s="50" t="n">
        <f aca="false">N(AE90)</f>
        <v>0</v>
      </c>
      <c r="CG90" s="50" t="n">
        <f aca="false">N(M90)+N(N90)</f>
        <v>1</v>
      </c>
      <c r="CH90" s="50" t="n">
        <f aca="false">ROUNDUP(H90/BV90,0)</f>
        <v>1</v>
      </c>
      <c r="CI90" s="50" t="n">
        <f aca="false">ROUNDUP(CF90/BV90,0)</f>
        <v>0</v>
      </c>
      <c r="CJ90" s="53" t="n">
        <f aca="false">IF(BW90=1,0,IFERROR(VLOOKUP(BU90,'Gebinde-Kategorie'!$A$5:$N$45,5,0)+0,0))</f>
        <v>21</v>
      </c>
      <c r="CK90" s="53" t="n">
        <f aca="false">IFERROR(IF(OR(CB90=1,CB90=2,CB90=3),N(INDEX(Parameter!$I$5:$I$7,CB90)),0),0)</f>
        <v>0</v>
      </c>
      <c r="CL90" s="52" t="n">
        <f aca="false">IF(AND(Parameter!$B$21="Ja",ISNUMBER(W90),N(X90)&gt;0),IFERROR(N(INDEX(Parameter!$L$5:$L$7,W90))*INDEX(Parameter!$E$5:$E$7,W90)*X90/SUMIFS($X$7:$X$1843,$W$7:$W$1843,W90),0),0)</f>
        <v>0</v>
      </c>
    </row>
    <row r="91" customFormat="false" ht="15" hidden="false" customHeight="false" outlineLevel="0" collapsed="false">
      <c r="A91" s="48" t="s">
        <v>397</v>
      </c>
      <c r="B91" s="48" t="s">
        <v>398</v>
      </c>
      <c r="C91" s="48" t="s">
        <v>168</v>
      </c>
      <c r="D91" s="48" t="s">
        <v>177</v>
      </c>
      <c r="E91" s="48" t="s">
        <v>170</v>
      </c>
      <c r="F91" s="48" t="s">
        <v>222</v>
      </c>
      <c r="G91" s="49" t="n">
        <v>335.82</v>
      </c>
      <c r="H91" s="50" t="n">
        <f aca="false">MAX(0,IF(AND(Parameter!$B$21="Ja",ISNUMBER(Y91)),Y91,IF(Parameter!$B$20="Jahresanfang 2025 + Export",BO91+BN91,BN91)))</f>
        <v>15</v>
      </c>
      <c r="I91" s="50" t="n">
        <f aca="false">H91*G91</f>
        <v>5037.3</v>
      </c>
      <c r="J91" s="50" t="n">
        <f aca="false">BQ91*Parameter!$B$18</f>
        <v>30</v>
      </c>
      <c r="K91" s="51" t="n">
        <v>13.5</v>
      </c>
      <c r="L91" s="52" t="n">
        <v>2.22222222222222</v>
      </c>
      <c r="M91" s="50" t="n">
        <v>2</v>
      </c>
      <c r="N91" s="50" t="n">
        <v>15</v>
      </c>
      <c r="O91" s="53" t="n">
        <v>21</v>
      </c>
      <c r="P91" s="48" t="s">
        <v>178</v>
      </c>
      <c r="Q91" s="50" t="n">
        <v>24</v>
      </c>
      <c r="R91" s="53" t="n">
        <f aca="false">IF(BW91=1,0,IFERROR(VLOOKUP(BU91,'Gebinde-Kategorie'!$A$5:$N$45,13,0)+0,0))</f>
        <v>6</v>
      </c>
      <c r="S91" s="54"/>
      <c r="T91" s="55"/>
      <c r="U91" s="55"/>
      <c r="V91" s="55"/>
      <c r="W91" s="48"/>
      <c r="X91" s="50"/>
      <c r="Y91" s="50"/>
      <c r="Z91" s="48" t="n">
        <f aca="false">IF(A91="","",IF(AND(Parameter!$B$21="Ja",ISNUMBER(W91)),W91,IF(BZ91="2+3",IF(ISNUMBER(SEARCH("grosser Artikel",BR91)),2,IFERROR(VLOOKUP(BU91,Parameter!$F$35:$G$64,2,0),2)),IF(OR(BZ91="Nein",BZ91=""),"-",BZ91))))</f>
        <v>1</v>
      </c>
      <c r="AA91" s="55"/>
      <c r="AB91" s="56"/>
      <c r="AC91" s="50" t="n">
        <f aca="false">AT91</f>
        <v>24</v>
      </c>
      <c r="AD91" s="50" t="n">
        <f aca="false">MAX(AT91,H91)</f>
        <v>24</v>
      </c>
      <c r="AE91" s="57"/>
      <c r="AF91" s="50" t="n">
        <f aca="false">IF(LEFT(Cockpit!$C$5,1)="A",H91,IF(CE91=1,CF91,IF(LEFT(Cockpit!$C$5,1)="B",AK91,MAX(AK91,H91))))</f>
        <v>15</v>
      </c>
      <c r="AG91" s="50" t="n">
        <f aca="false">IF(BW91=1,0,ROUNDUP(AF91/BV91,0))</f>
        <v>1</v>
      </c>
      <c r="AH91" s="52" t="n">
        <f aca="false">IF(CL91&gt;0,CL91*MAX(1,AF91/X91),IF(BW91=1,IF(AF91&lt;=0,0,CA91*MAX(1,IF(H91&gt;0,AF91/H91,1))),IF(R91&gt;0,AG91/R91,0))/MAX(0.1,N(Parameter!$M$21)))</f>
        <v>0.166666666666667</v>
      </c>
      <c r="AI91" s="50" t="n">
        <f aca="false">AH91*BY91</f>
        <v>39.1666666666667</v>
      </c>
      <c r="AJ91" s="50" t="n">
        <f aca="false">AF91*G91</f>
        <v>5037.3</v>
      </c>
      <c r="AK91" s="50" t="n">
        <f aca="false">ROUNDUP(MAX(J91/IF(CD91&gt;0,CD91,MAX(0.1,N(Cockpit!$C$6))),CG91)/BV91,0)*BV91</f>
        <v>24</v>
      </c>
      <c r="AL91" s="51" t="n">
        <f aca="false">IF(AI91&gt;0,J91/AI91,-1)</f>
        <v>0.765957446808511</v>
      </c>
      <c r="AM91" s="51" t="n">
        <f aca="false">IF(AND(OR(CC91="L1",CC91="L23",CC91="LIFT"),AI91&gt;0),SUMIFS($AI$7:$AI$1843,$CC$7:$CC$1843,CC91,$AL$7:$AL$1843,"&gt;"&amp;AL91)+SUMIFS($AI$7:$AI$1843,$CC$7:$CC$1843,CC91,$AL$7:$AL$1843,AL91,$BT$7:$BT$1843,"&lt;="&amp;BT91),"")</f>
        <v>8290.15064102564</v>
      </c>
      <c r="AN91" s="58" t="n">
        <f aca="false">IF(AM91="",0,MAX(0,MIN(1,(IF(CC91="L1",Parameter!$H$5,IF(CC91="L23",Parameter!$H$6+Parameter!$H$7,Parameter!$H$5+Parameter!$H$6+Parameter!$H$7))-(AM91-AI91))/AI91)))</f>
        <v>1</v>
      </c>
      <c r="AO91" s="50" t="n">
        <f aca="false">IF(LEFT(Cockpit!$I$5,1)="A",H91,IF(CE91=1,CF91,IF(LEFT(Cockpit!$I$5,1)="B",AT91,MAX(AT91,H91))))</f>
        <v>24</v>
      </c>
      <c r="AP91" s="50" t="n">
        <f aca="false">IF(BW91=1,0,ROUNDUP(AO91/BV91,0))</f>
        <v>1</v>
      </c>
      <c r="AQ91" s="52" t="n">
        <f aca="false">IF(CL91&gt;0,CL91*MAX(1,AO91/X91),IF(BW91=1,IF(AO91&lt;=0,0,CA91*MAX(1,IF(H91&gt;0,AO91/H91,1))),IF(R91&gt;0,AP91/R91,0))/MAX(0.1,N(Parameter!$M$21)))</f>
        <v>0.166666666666667</v>
      </c>
      <c r="AR91" s="50" t="n">
        <f aca="false">AQ91*BY91</f>
        <v>39.1666666666667</v>
      </c>
      <c r="AS91" s="50" t="n">
        <f aca="false">AO91*G91</f>
        <v>8059.68</v>
      </c>
      <c r="AT91" s="50" t="n">
        <f aca="false">ROUNDUP(MAX(J91/IF(CD91&gt;0,CD91,MAX(0.1,N(Cockpit!$I$6))),CG91)/BV91,0)*BV91</f>
        <v>24</v>
      </c>
      <c r="AU91" s="51" t="n">
        <f aca="false">IF(AR91&gt;0,J91/AR91,-1)</f>
        <v>0.765957446808511</v>
      </c>
      <c r="AV91" s="51" t="n">
        <f aca="false">IF(AND(OR(CC91="L1",CC91="L23",CC91="LIFT"),AR91&gt;0),SUMIFS($AR$7:$AR$1843,$CC$7:$CC$1843,CC91,$AU$7:$AU$1843,"&gt;"&amp;AU91)+SUMIFS($AR$7:$AR$1843,$CC$7:$CC$1843,CC91,$AU$7:$AU$1843,AU91,$BT$7:$BT$1843,"&lt;="&amp;BT91),"")</f>
        <v>11458.619047619</v>
      </c>
      <c r="AW91" s="58" t="n">
        <f aca="false">IF(AV91="",0,MAX(0,MIN(1,(IF(CC91="L1",Parameter!$H$5,IF(CC91="L23",Parameter!$H$6+Parameter!$H$7,Parameter!$H$5+Parameter!$H$6+Parameter!$H$7))-(AV91-AR91))/AR91)))</f>
        <v>1</v>
      </c>
      <c r="AX91" s="50" t="n">
        <f aca="false">IF(LEFT(Cockpit!$O$5,1)="A",H91,IF(CE91=1,CF91,IF(LEFT(Cockpit!$O$5,1)="B",BC91,MAX(BC91,H91))))</f>
        <v>24</v>
      </c>
      <c r="AY91" s="50" t="n">
        <f aca="false">IF(BW91=1,0,ROUNDUP(AX91/BV91,0))</f>
        <v>1</v>
      </c>
      <c r="AZ91" s="52" t="n">
        <f aca="false">IF(CL91&gt;0,CL91*MAX(1,AX91/X91),IF(BW91=1,IF(AX91&lt;=0,0,CA91*MAX(1,IF(H91&gt;0,AX91/H91,1))),IF(R91&gt;0,AY91/R91,0))/MAX(0.1,N(Parameter!$M$21)))</f>
        <v>0.166666666666667</v>
      </c>
      <c r="BA91" s="50" t="n">
        <f aca="false">AZ91*BY91</f>
        <v>39.1666666666667</v>
      </c>
      <c r="BB91" s="50" t="n">
        <f aca="false">AX91*G91</f>
        <v>8059.68</v>
      </c>
      <c r="BC91" s="50" t="n">
        <f aca="false">ROUNDUP(MAX(J91/IF(CD91&gt;0,CD91,MAX(0.1,N(Cockpit!$O$6))),CG91)/BV91,0)*BV91</f>
        <v>24</v>
      </c>
      <c r="BD91" s="51" t="n">
        <f aca="false">IF(BA91&gt;0,J91/BA91,-1)</f>
        <v>0.765957446808511</v>
      </c>
      <c r="BE91" s="51" t="n">
        <f aca="false">IF(AND(OR(CC91="L1",CC91="L23",CC91="LIFT"),BA91&gt;0),SUMIFS($BA$7:$BA$1843,$CC$7:$CC$1843,CC91,$BD$7:$BD$1843,"&gt;"&amp;BD91)+SUMIFS($BA$7:$BA$1843,$CC$7:$CC$1843,CC91,$BD$7:$BD$1843,BD91,$BT$7:$BT$1843,"&lt;="&amp;BT91),"")</f>
        <v>11058.4427655678</v>
      </c>
      <c r="BF91" s="58" t="n">
        <f aca="false">IF(BE91="",0,MAX(0,MIN(1,(IF(CC91="L1",Parameter!$H$5,IF(CC91="L23",Parameter!$H$6+Parameter!$H$7,Parameter!$H$5+Parameter!$H$6+Parameter!$H$7))-(BE91-BA91))/BA91)))</f>
        <v>1</v>
      </c>
      <c r="BG91" s="48" t="str">
        <f aca="false">IF(AI91&lt;=0,"",IF(CC91="Aussen","Aussenlager",IF(CC91="-","Nicht im Lift",IF(AN91&gt;=1,"Lift",IF(AN91&lt;=0,"Aussenlager","teilweise")))))</f>
        <v>Lift</v>
      </c>
      <c r="BH91" s="48" t="str">
        <f aca="false">IF(AR91&lt;=0,"",IF(CC91="Aussen","Aussenlager",IF(CC91="-","Nicht im Lift",IF(AW91&gt;=1,"Lift",IF(AW91&lt;=0,"Aussenlager","teilweise")))))</f>
        <v>Lift</v>
      </c>
      <c r="BI91" s="48" t="str">
        <f aca="false">IF(BA91&lt;=0,"",IF(CC91="Aussen","Aussenlager",IF(CC91="-","Nicht im Lift",IF(BF91&gt;=1,"Lift",IF(BF91&lt;=0,"Aussenlager","teilweise")))))</f>
        <v>Lift</v>
      </c>
      <c r="BJ91" s="48" t="str">
        <f aca="false">IF(A91="","",IF(BS91=1,"Neu; ","")&amp;IF(AND(BS91=0,BN91&lt;0),"negativer Bestand (Export "&amp;BN91&amp;"); ","")&amp;IF(J91&lt;=0,"Kein Verbrauch; ","")&amp;IF(CL91&gt;0,"Lift "&amp;W91&amp;" lt. Liftbericht (Fach "&amp;X91&amp;" Stk); ",IF(BX91=1,"Gebinde geschätzt ("&amp;T91&amp;"); ",IF(BW91=1,"Lose – Tablare geschätzt; ","")))&amp;IF(H91&gt;AT91,"Überbestand "&amp;ROUND(H91-AT91,0)&amp;" Stk / CHF "&amp;ROUND((H91-AT91)*G91,0)&amp;"; ","")&amp;IF(AND(CE91=1,CF91&lt;CG91),"MAX &lt; MB+LG; ","")&amp;IF(AND(CK91&gt;0,CJ91*10&gt;CK91),"zu hoch für Tablar; ","")&amp;IF(AND(BS91=0,OR(CE91=1,AA91&lt;&gt;"",U91&lt;&gt;"",V91&lt;&gt;"",AB91&lt;&gt;"")),"manuell übersteuert; ","")&amp;IF(AND(BW91=0,R91=0),"Gebinde unbekannt / Stellmass fehlt; ","")&amp;IF(AND(BW91=0,N(V91)&lt;=0,N(Q91)&lt;=0),"Menge pro Gebinde fehlt (Ist = 1 Gebinde); ","")&amp;BR91)</f>
        <v/>
      </c>
      <c r="BK91" s="48"/>
      <c r="BL91" s="48"/>
      <c r="BM91" s="55"/>
      <c r="BN91" s="50" t="n">
        <v>7</v>
      </c>
      <c r="BO91" s="50" t="n">
        <v>8</v>
      </c>
      <c r="BP91" s="49" t="n">
        <v>2673.78</v>
      </c>
      <c r="BQ91" s="50" t="n">
        <v>30</v>
      </c>
      <c r="BR91" s="48"/>
      <c r="BS91" s="53" t="n">
        <v>0</v>
      </c>
      <c r="BT91" s="53" t="n">
        <v>91</v>
      </c>
      <c r="BU91" s="48" t="str">
        <f aca="false">IF(U91&lt;&gt;"",UPPER(TRIM(U91)),IF(BX91=1,UPPER(VLOOKUP(T91,Parameter!$I$27:$K$29,2,0)),IF(P91="","LOSE",P91)))</f>
        <v>S71</v>
      </c>
      <c r="BV91" s="50" t="n">
        <f aca="false">IF(BU91="LOSE",1,IF(N(V91)&gt;0,V91,IF(BX91=1,MAX(1,N(VLOOKUP(T91,Parameter!$I$27:$K$29,3,0)),H91,N(N91)),IF(N(Q91)&gt;0,Q91,MAX(1,H91)))))</f>
        <v>24</v>
      </c>
      <c r="BW91" s="53" t="n">
        <f aca="false">IF(BU91="LOSE",1,0)</f>
        <v>0</v>
      </c>
      <c r="BX91" s="53" t="n">
        <f aca="false">IF(AND(U91="",OR(P91="",P91="LOSE"),T91&lt;&gt;"",N(S91)&lt;=0,ISNUMBER(MATCH(T91,Parameter!$I$27:$I$29,0))),1,0)</f>
        <v>0</v>
      </c>
      <c r="BY91" s="53" t="n">
        <f aca="false">IF(CL91&gt;0,INDEX(Parameter!$H$5:$H$7,W91)/INDEX(Parameter!$E$5:$E$7,W91),IF(AND(BW91=0,N(IFERROR(VLOOKUP(BU91,'Gebinde-Kategorie'!$A$5:$N$45,14,0),0))&gt;0),VLOOKUP(BU91,'Gebinde-Kategorie'!$A$5:$N$45,14,0)*10+Parameter!$M$23,Parameter!$M$24))</f>
        <v>235</v>
      </c>
      <c r="BZ91" s="48" t="n">
        <f aca="false">IF(AND(Parameter!$B$19="Ja",E91&lt;&gt;"",ISNUMBER(MATCH(E91,Parameter!$I$35:$I$52,0))),VLOOKUP(E91,Parameter!$I$35:$J$52,2,0),IFERROR(VLOOKUP(D91,Parameter!$A$35:$C$64,2,0),"Nein"))</f>
        <v>1</v>
      </c>
      <c r="CA91" s="52" t="n">
        <f aca="false">IF(BW91=0,0,IF(N(S91)&gt;0,S91,IFERROR(VLOOKUP(D91,Parameter!$A$35:$C$64,3,0)+0,0)))</f>
        <v>0</v>
      </c>
      <c r="CB91" s="48" t="n">
        <f aca="false">IF(AA91&lt;&gt;"",AA91,Z91)</f>
        <v>1</v>
      </c>
      <c r="CC91" s="48" t="str">
        <f aca="false">IF(OR(CB91=1,CB91=2,CB91=3),IF(Parameter!$E$27="Ja","LIFT",IF(CB91=1,"L1","L23")),IF(CB91="Aussen","Aussen","-"))</f>
        <v>LIFT</v>
      </c>
      <c r="CD91" s="59" t="n">
        <f aca="false">IF(N(AB91)&gt;0,AB91,0)</f>
        <v>0</v>
      </c>
      <c r="CE91" s="53" t="n">
        <f aca="false">IF(ISNUMBER(AE91),1,0)</f>
        <v>0</v>
      </c>
      <c r="CF91" s="50" t="n">
        <f aca="false">N(AE91)</f>
        <v>0</v>
      </c>
      <c r="CG91" s="50" t="n">
        <f aca="false">N(M91)+N(N91)</f>
        <v>17</v>
      </c>
      <c r="CH91" s="50" t="n">
        <f aca="false">ROUNDUP(H91/BV91,0)</f>
        <v>1</v>
      </c>
      <c r="CI91" s="50" t="n">
        <f aca="false">ROUNDUP(CF91/BV91,0)</f>
        <v>0</v>
      </c>
      <c r="CJ91" s="53" t="n">
        <f aca="false">IF(BW91=1,0,IFERROR(VLOOKUP(BU91,'Gebinde-Kategorie'!$A$5:$N$45,5,0)+0,0))</f>
        <v>20</v>
      </c>
      <c r="CK91" s="53" t="n">
        <f aca="false">IFERROR(IF(OR(CB91=1,CB91=2,CB91=3),N(INDEX(Parameter!$I$5:$I$7,CB91)),0),0)</f>
        <v>0</v>
      </c>
      <c r="CL91" s="52" t="n">
        <f aca="false">IF(AND(Parameter!$B$21="Ja",ISNUMBER(W91),N(X91)&gt;0),IFERROR(N(INDEX(Parameter!$L$5:$L$7,W91))*INDEX(Parameter!$E$5:$E$7,W91)*X91/SUMIFS($X$7:$X$1843,$W$7:$W$1843,W91),0),0)</f>
        <v>0</v>
      </c>
    </row>
    <row r="92" customFormat="false" ht="15" hidden="false" customHeight="false" outlineLevel="0" collapsed="false">
      <c r="A92" s="48" t="s">
        <v>399</v>
      </c>
      <c r="B92" s="48" t="s">
        <v>400</v>
      </c>
      <c r="C92" s="48" t="s">
        <v>168</v>
      </c>
      <c r="D92" s="48" t="s">
        <v>188</v>
      </c>
      <c r="E92" s="48"/>
      <c r="F92" s="48" t="s">
        <v>222</v>
      </c>
      <c r="G92" s="49" t="n">
        <v>129.65</v>
      </c>
      <c r="H92" s="50" t="n">
        <f aca="false">MAX(0,IF(AND(Parameter!$B$21="Ja",ISNUMBER(Y92)),Y92,IF(Parameter!$B$20="Jahresanfang 2025 + Export",BO92+BN92,BN92)))</f>
        <v>20</v>
      </c>
      <c r="I92" s="50" t="n">
        <f aca="false">H92*G92</f>
        <v>2593</v>
      </c>
      <c r="J92" s="50" t="n">
        <f aca="false">BQ92*Parameter!$B$18</f>
        <v>0</v>
      </c>
      <c r="K92" s="51" t="n">
        <v>0</v>
      </c>
      <c r="L92" s="52" t="n">
        <v>0</v>
      </c>
      <c r="M92" s="50" t="n">
        <v>0</v>
      </c>
      <c r="N92" s="50" t="n">
        <v>1</v>
      </c>
      <c r="O92" s="53" t="n">
        <v>9999</v>
      </c>
      <c r="P92" s="48" t="s">
        <v>172</v>
      </c>
      <c r="Q92" s="50"/>
      <c r="R92" s="53" t="n">
        <f aca="false">IF(BW92=1,0,IFERROR(VLOOKUP(BU92,'Gebinde-Kategorie'!$A$5:$N$45,13,0)+0,0))</f>
        <v>26</v>
      </c>
      <c r="S92" s="54"/>
      <c r="T92" s="55" t="s">
        <v>279</v>
      </c>
      <c r="U92" s="55"/>
      <c r="V92" s="55"/>
      <c r="W92" s="48"/>
      <c r="X92" s="50"/>
      <c r="Y92" s="50"/>
      <c r="Z92" s="48" t="n">
        <f aca="false">IF(A92="","",IF(AND(Parameter!$B$21="Ja",ISNUMBER(W92)),W92,IF(BZ92="2+3",IF(ISNUMBER(SEARCH("grosser Artikel",BR92)),2,IFERROR(VLOOKUP(BU92,Parameter!$F$35:$G$64,2,0),2)),IF(OR(BZ92="Nein",BZ92=""),"-",BZ92))))</f>
        <v>3</v>
      </c>
      <c r="AA92" s="55"/>
      <c r="AB92" s="56"/>
      <c r="AC92" s="50" t="n">
        <f aca="false">AT92</f>
        <v>20</v>
      </c>
      <c r="AD92" s="50" t="n">
        <f aca="false">MAX(AT92,H92)</f>
        <v>20</v>
      </c>
      <c r="AE92" s="57"/>
      <c r="AF92" s="50" t="n">
        <f aca="false">IF(LEFT(Cockpit!$C$5,1)="A",H92,IF(CE92=1,CF92,IF(LEFT(Cockpit!$C$5,1)="B",AK92,MAX(AK92,H92))))</f>
        <v>20</v>
      </c>
      <c r="AG92" s="50" t="n">
        <f aca="false">IF(BW92=1,0,ROUNDUP(AF92/BV92,0))</f>
        <v>1</v>
      </c>
      <c r="AH92" s="52" t="n">
        <f aca="false">IF(CL92&gt;0,CL92*MAX(1,AF92/X92),IF(BW92=1,IF(AF92&lt;=0,0,CA92*MAX(1,IF(H92&gt;0,AF92/H92,1))),IF(R92&gt;0,AG92/R92,0))/MAX(0.1,N(Parameter!$M$21)))</f>
        <v>0.0384615384615385</v>
      </c>
      <c r="AI92" s="50" t="n">
        <f aca="false">AH92*BY92</f>
        <v>5.96153846153846</v>
      </c>
      <c r="AJ92" s="50" t="n">
        <f aca="false">AF92*G92</f>
        <v>2593</v>
      </c>
      <c r="AK92" s="50" t="n">
        <f aca="false">ROUNDUP(MAX(J92/IF(CD92&gt;0,CD92,MAX(0.1,N(Cockpit!$C$6))),CG92)/BV92,0)*BV92</f>
        <v>20</v>
      </c>
      <c r="AL92" s="51" t="n">
        <f aca="false">IF(AI92&gt;0,J92/AI92,-1)</f>
        <v>0</v>
      </c>
      <c r="AM92" s="51" t="n">
        <f aca="false">IF(AND(OR(CC92="L1",CC92="L23",CC92="LIFT"),AI92&gt;0),SUMIFS($AI$7:$AI$1843,$CC$7:$CC$1843,CC92,$AL$7:$AL$1843,"&gt;"&amp;AL92)+SUMIFS($AI$7:$AI$1843,$CC$7:$CC$1843,CC92,$AL$7:$AL$1843,AL92,$BT$7:$BT$1843,"&lt;="&amp;BT92),"")</f>
        <v>26976.0965496368</v>
      </c>
      <c r="AN92" s="58" t="n">
        <f aca="false">IF(AM92="",0,MAX(0,MIN(1,(IF(CC92="L1",Parameter!$H$5,IF(CC92="L23",Parameter!$H$6+Parameter!$H$7,Parameter!$H$5+Parameter!$H$6+Parameter!$H$7))-(AM92-AI92))/AI92)))</f>
        <v>1</v>
      </c>
      <c r="AO92" s="50" t="n">
        <f aca="false">IF(LEFT(Cockpit!$I$5,1)="A",H92,IF(CE92=1,CF92,IF(LEFT(Cockpit!$I$5,1)="B",AT92,MAX(AT92,H92))))</f>
        <v>20</v>
      </c>
      <c r="AP92" s="50" t="n">
        <f aca="false">IF(BW92=1,0,ROUNDUP(AO92/BV92,0))</f>
        <v>1</v>
      </c>
      <c r="AQ92" s="52" t="n">
        <f aca="false">IF(CL92&gt;0,CL92*MAX(1,AO92/X92),IF(BW92=1,IF(AO92&lt;=0,0,CA92*MAX(1,IF(H92&gt;0,AO92/H92,1))),IF(R92&gt;0,AP92/R92,0))/MAX(0.1,N(Parameter!$M$21)))</f>
        <v>0.0384615384615385</v>
      </c>
      <c r="AR92" s="50" t="n">
        <f aca="false">AQ92*BY92</f>
        <v>5.96153846153846</v>
      </c>
      <c r="AS92" s="50" t="n">
        <f aca="false">AO92*G92</f>
        <v>2593</v>
      </c>
      <c r="AT92" s="50" t="n">
        <f aca="false">ROUNDUP(MAX(J92/IF(CD92&gt;0,CD92,MAX(0.1,N(Cockpit!$I$6))),CG92)/BV92,0)*BV92</f>
        <v>20</v>
      </c>
      <c r="AU92" s="51" t="n">
        <f aca="false">IF(AR92&gt;0,J92/AR92,-1)</f>
        <v>0</v>
      </c>
      <c r="AV92" s="51" t="n">
        <f aca="false">IF(AND(OR(CC92="L1",CC92="L23",CC92="LIFT"),AR92&gt;0),SUMIFS($AR$7:$AR$1843,$CC$7:$CC$1843,CC92,$AU$7:$AU$1843,"&gt;"&amp;AU92)+SUMIFS($AR$7:$AR$1843,$CC$7:$CC$1843,CC92,$AU$7:$AU$1843,AU92,$BT$7:$BT$1843,"&lt;="&amp;BT92),"")</f>
        <v>38276.9187335734</v>
      </c>
      <c r="AW92" s="58" t="n">
        <f aca="false">IF(AV92="",0,MAX(0,MIN(1,(IF(CC92="L1",Parameter!$H$5,IF(CC92="L23",Parameter!$H$6+Parameter!$H$7,Parameter!$H$5+Parameter!$H$6+Parameter!$H$7))-(AV92-AR92))/AR92)))</f>
        <v>0</v>
      </c>
      <c r="AX92" s="50" t="n">
        <f aca="false">IF(LEFT(Cockpit!$O$5,1)="A",H92,IF(CE92=1,CF92,IF(LEFT(Cockpit!$O$5,1)="B",BC92,MAX(BC92,H92))))</f>
        <v>20</v>
      </c>
      <c r="AY92" s="50" t="n">
        <f aca="false">IF(BW92=1,0,ROUNDUP(AX92/BV92,0))</f>
        <v>1</v>
      </c>
      <c r="AZ92" s="52" t="n">
        <f aca="false">IF(CL92&gt;0,CL92*MAX(1,AX92/X92),IF(BW92=1,IF(AX92&lt;=0,0,CA92*MAX(1,IF(H92&gt;0,AX92/H92,1))),IF(R92&gt;0,AY92/R92,0))/MAX(0.1,N(Parameter!$M$21)))</f>
        <v>0.0384615384615385</v>
      </c>
      <c r="BA92" s="50" t="n">
        <f aca="false">AZ92*BY92</f>
        <v>5.96153846153846</v>
      </c>
      <c r="BB92" s="50" t="n">
        <f aca="false">AX92*G92</f>
        <v>2593</v>
      </c>
      <c r="BC92" s="50" t="n">
        <f aca="false">ROUNDUP(MAX(J92/IF(CD92&gt;0,CD92,MAX(0.1,N(Cockpit!$O$6))),CG92)/BV92,0)*BV92</f>
        <v>20</v>
      </c>
      <c r="BD92" s="51" t="n">
        <f aca="false">IF(BA92&gt;0,J92/BA92,-1)</f>
        <v>0</v>
      </c>
      <c r="BE92" s="51" t="n">
        <f aca="false">IF(AND(OR(CC92="L1",CC92="L23",CC92="LIFT"),BA92&gt;0),SUMIFS($BA$7:$BA$1843,$CC$7:$CC$1843,CC92,$BD$7:$BD$1843,"&gt;"&amp;BD92)+SUMIFS($BA$7:$BA$1843,$CC$7:$CC$1843,CC92,$BD$7:$BD$1843,BD92,$BT$7:$BT$1843,"&lt;="&amp;BT92),"")</f>
        <v>34951.9307754393</v>
      </c>
      <c r="BF92" s="58" t="n">
        <f aca="false">IF(BE92="",0,MAX(0,MIN(1,(IF(CC92="L1",Parameter!$H$5,IF(CC92="L23",Parameter!$H$6+Parameter!$H$7,Parameter!$H$5+Parameter!$H$6+Parameter!$H$7))-(BE92-BA92))/BA92)))</f>
        <v>1</v>
      </c>
      <c r="BG92" s="48" t="str">
        <f aca="false">IF(AI92&lt;=0,"",IF(CC92="Aussen","Aussenlager",IF(CC92="-","Nicht im Lift",IF(AN92&gt;=1,"Lift",IF(AN92&lt;=0,"Aussenlager","teilweise")))))</f>
        <v>Lift</v>
      </c>
      <c r="BH92" s="48" t="str">
        <f aca="false">IF(AR92&lt;=0,"",IF(CC92="Aussen","Aussenlager",IF(CC92="-","Nicht im Lift",IF(AW92&gt;=1,"Lift",IF(AW92&lt;=0,"Aussenlager","teilweise")))))</f>
        <v>Aussenlager</v>
      </c>
      <c r="BI92" s="48" t="str">
        <f aca="false">IF(BA92&lt;=0,"",IF(CC92="Aussen","Aussenlager",IF(CC92="-","Nicht im Lift",IF(BF92&gt;=1,"Lift",IF(BF92&lt;=0,"Aussenlager","teilweise")))))</f>
        <v>Lift</v>
      </c>
      <c r="BJ92" s="48" t="str">
        <f aca="false">IF(A92="","",IF(BS92=1,"Neu; ","")&amp;IF(AND(BS92=0,BN92&lt;0),"negativer Bestand (Export "&amp;BN92&amp;"); ","")&amp;IF(J92&lt;=0,"Kein Verbrauch; ","")&amp;IF(CL92&gt;0,"Lift "&amp;W92&amp;" lt. Liftbericht (Fach "&amp;X92&amp;" Stk); ",IF(BX92=1,"Gebinde geschätzt ("&amp;T92&amp;"); ",IF(BW92=1,"Lose – Tablare geschätzt; ","")))&amp;IF(H92&gt;AT92,"Überbestand "&amp;ROUND(H92-AT92,0)&amp;" Stk / CHF "&amp;ROUND((H92-AT92)*G92,0)&amp;"; ","")&amp;IF(AND(CE92=1,CF92&lt;CG92),"MAX &lt; MB+LG; ","")&amp;IF(AND(CK92&gt;0,CJ92*10&gt;CK92),"zu hoch für Tablar; ","")&amp;IF(AND(BS92=0,OR(CE92=1,AA92&lt;&gt;"",U92&lt;&gt;"",V92&lt;&gt;"",AB92&lt;&gt;"")),"manuell übersteuert; ","")&amp;IF(AND(BW92=0,R92=0),"Gebinde unbekannt / Stellmass fehlt; ","")&amp;IF(AND(BW92=0,N(V92)&lt;=0,N(Q92)&lt;=0),"Menge pro Gebinde fehlt (Ist = 1 Gebinde); ","")&amp;BR92)</f>
        <v>Kein Verbrauch; Gebinde geschätzt (Klein); Menge pro Gebinde fehlt (Ist = 1 Gebinde); </v>
      </c>
      <c r="BK92" s="48"/>
      <c r="BL92" s="48"/>
      <c r="BM92" s="55"/>
      <c r="BN92" s="50" t="n">
        <v>20</v>
      </c>
      <c r="BO92" s="50" t="n">
        <v>0</v>
      </c>
      <c r="BP92" s="49" t="n">
        <v>2593</v>
      </c>
      <c r="BQ92" s="50" t="n">
        <v>0</v>
      </c>
      <c r="BR92" s="48"/>
      <c r="BS92" s="53" t="n">
        <v>0</v>
      </c>
      <c r="BT92" s="53" t="n">
        <v>92</v>
      </c>
      <c r="BU92" s="48" t="str">
        <f aca="false">IF(U92&lt;&gt;"",UPPER(TRIM(U92)),IF(BX92=1,UPPER(VLOOKUP(T92,Parameter!$I$27:$K$29,2,0)),IF(P92="","LOSE",P92)))</f>
        <v>S51</v>
      </c>
      <c r="BV92" s="50" t="n">
        <f aca="false">IF(BU92="LOSE",1,IF(N(V92)&gt;0,V92,IF(BX92=1,MAX(1,N(VLOOKUP(T92,Parameter!$I$27:$K$29,3,0)),H92,N(N92)),IF(N(Q92)&gt;0,Q92,MAX(1,H92)))))</f>
        <v>20</v>
      </c>
      <c r="BW92" s="53" t="n">
        <f aca="false">IF(BU92="LOSE",1,0)</f>
        <v>0</v>
      </c>
      <c r="BX92" s="53" t="n">
        <f aca="false">IF(AND(U92="",OR(P92="",P92="LOSE"),T92&lt;&gt;"",N(S92)&lt;=0,ISNUMBER(MATCH(T92,Parameter!$I$27:$I$29,0))),1,0)</f>
        <v>1</v>
      </c>
      <c r="BY92" s="53" t="n">
        <f aca="false">IF(CL92&gt;0,INDEX(Parameter!$H$5:$H$7,W92)/INDEX(Parameter!$E$5:$E$7,W92),IF(AND(BW92=0,N(IFERROR(VLOOKUP(BU92,'Gebinde-Kategorie'!$A$5:$N$45,14,0),0))&gt;0),VLOOKUP(BU92,'Gebinde-Kategorie'!$A$5:$N$45,14,0)*10+Parameter!$M$23,Parameter!$M$24))</f>
        <v>155</v>
      </c>
      <c r="BZ92" s="48" t="str">
        <f aca="false">IF(AND(Parameter!$B$19="Ja",E92&lt;&gt;"",ISNUMBER(MATCH(E92,Parameter!$I$35:$I$52,0))),VLOOKUP(E92,Parameter!$I$35:$J$52,2,0),IFERROR(VLOOKUP(D92,Parameter!$A$35:$C$64,2,0),"Nein"))</f>
        <v>2+3</v>
      </c>
      <c r="CA92" s="52" t="n">
        <f aca="false">IF(BW92=0,0,IF(N(S92)&gt;0,S92,IFERROR(VLOOKUP(D92,Parameter!$A$35:$C$64,3,0)+0,0)))</f>
        <v>0</v>
      </c>
      <c r="CB92" s="48" t="n">
        <f aca="false">IF(AA92&lt;&gt;"",AA92,Z92)</f>
        <v>3</v>
      </c>
      <c r="CC92" s="48" t="str">
        <f aca="false">IF(OR(CB92=1,CB92=2,CB92=3),IF(Parameter!$E$27="Ja","LIFT",IF(CB92=1,"L1","L23")),IF(CB92="Aussen","Aussen","-"))</f>
        <v>LIFT</v>
      </c>
      <c r="CD92" s="59" t="n">
        <f aca="false">IF(N(AB92)&gt;0,AB92,0)</f>
        <v>0</v>
      </c>
      <c r="CE92" s="53" t="n">
        <f aca="false">IF(ISNUMBER(AE92),1,0)</f>
        <v>0</v>
      </c>
      <c r="CF92" s="50" t="n">
        <f aca="false">N(AE92)</f>
        <v>0</v>
      </c>
      <c r="CG92" s="50" t="n">
        <f aca="false">N(M92)+N(N92)</f>
        <v>1</v>
      </c>
      <c r="CH92" s="50" t="n">
        <f aca="false">ROUNDUP(H92/BV92,0)</f>
        <v>1</v>
      </c>
      <c r="CI92" s="50" t="n">
        <f aca="false">ROUNDUP(CF92/BV92,0)</f>
        <v>0</v>
      </c>
      <c r="CJ92" s="53" t="n">
        <f aca="false">IF(BW92=1,0,IFERROR(VLOOKUP(BU92,'Gebinde-Kategorie'!$A$5:$N$45,5,0)+0,0))</f>
        <v>11</v>
      </c>
      <c r="CK92" s="53" t="n">
        <f aca="false">IFERROR(IF(OR(CB92=1,CB92=2,CB92=3),N(INDEX(Parameter!$I$5:$I$7,CB92)),0),0)</f>
        <v>0</v>
      </c>
      <c r="CL92" s="52" t="n">
        <f aca="false">IF(AND(Parameter!$B$21="Ja",ISNUMBER(W92),N(X92)&gt;0),IFERROR(N(INDEX(Parameter!$L$5:$L$7,W92))*INDEX(Parameter!$E$5:$E$7,W92)*X92/SUMIFS($X$7:$X$1843,$W$7:$W$1843,W92),0),0)</f>
        <v>0</v>
      </c>
    </row>
    <row r="93" customFormat="false" ht="15" hidden="false" customHeight="false" outlineLevel="0" collapsed="false">
      <c r="A93" s="48" t="s">
        <v>401</v>
      </c>
      <c r="B93" s="48" t="s">
        <v>402</v>
      </c>
      <c r="C93" s="48" t="s">
        <v>168</v>
      </c>
      <c r="D93" s="48" t="s">
        <v>177</v>
      </c>
      <c r="E93" s="48"/>
      <c r="F93" s="48" t="s">
        <v>222</v>
      </c>
      <c r="G93" s="49" t="n">
        <v>510.45</v>
      </c>
      <c r="H93" s="50" t="n">
        <f aca="false">MAX(0,IF(AND(Parameter!$B$21="Ja",ISNUMBER(Y93)),Y93,IF(Parameter!$B$20="Jahresanfang 2025 + Export",BO93+BN93,BN93)))</f>
        <v>5</v>
      </c>
      <c r="I93" s="50" t="n">
        <f aca="false">H93*G93</f>
        <v>2552.25</v>
      </c>
      <c r="J93" s="50" t="n">
        <f aca="false">BQ93*Parameter!$B$18</f>
        <v>0</v>
      </c>
      <c r="K93" s="51" t="n">
        <v>0</v>
      </c>
      <c r="L93" s="52" t="n">
        <v>0</v>
      </c>
      <c r="M93" s="50" t="n">
        <v>2</v>
      </c>
      <c r="N93" s="50" t="n">
        <v>8</v>
      </c>
      <c r="O93" s="53" t="n">
        <v>28</v>
      </c>
      <c r="P93" s="48" t="s">
        <v>172</v>
      </c>
      <c r="Q93" s="50"/>
      <c r="R93" s="53" t="n">
        <f aca="false">IF(BW93=1,0,IFERROR(VLOOKUP(BU93,'Gebinde-Kategorie'!$A$5:$N$45,13,0)+0,0))</f>
        <v>12</v>
      </c>
      <c r="S93" s="54"/>
      <c r="T93" s="55" t="s">
        <v>183</v>
      </c>
      <c r="U93" s="55"/>
      <c r="V93" s="55"/>
      <c r="W93" s="48"/>
      <c r="X93" s="50"/>
      <c r="Y93" s="50"/>
      <c r="Z93" s="48" t="n">
        <f aca="false">IF(A93="","",IF(AND(Parameter!$B$21="Ja",ISNUMBER(W93)),W93,IF(BZ93="2+3",IF(ISNUMBER(SEARCH("grosser Artikel",BR93)),2,IFERROR(VLOOKUP(BU93,Parameter!$F$35:$G$64,2,0),2)),IF(OR(BZ93="Nein",BZ93=""),"-",BZ93))))</f>
        <v>2</v>
      </c>
      <c r="AA93" s="55"/>
      <c r="AB93" s="56"/>
      <c r="AC93" s="50" t="n">
        <f aca="false">AT93</f>
        <v>16</v>
      </c>
      <c r="AD93" s="50" t="n">
        <f aca="false">MAX(AT93,H93)</f>
        <v>16</v>
      </c>
      <c r="AE93" s="57"/>
      <c r="AF93" s="50" t="n">
        <f aca="false">IF(LEFT(Cockpit!$C$5,1)="A",H93,IF(CE93=1,CF93,IF(LEFT(Cockpit!$C$5,1)="B",AK93,MAX(AK93,H93))))</f>
        <v>5</v>
      </c>
      <c r="AG93" s="50" t="n">
        <f aca="false">IF(BW93=1,0,ROUNDUP(AF93/BV93,0))</f>
        <v>1</v>
      </c>
      <c r="AH93" s="52" t="n">
        <f aca="false">IF(CL93&gt;0,CL93*MAX(1,AF93/X93),IF(BW93=1,IF(AF93&lt;=0,0,CA93*MAX(1,IF(H93&gt;0,AF93/H93,1))),IF(R93&gt;0,AG93/R93,0))/MAX(0.1,N(Parameter!$M$21)))</f>
        <v>0.0833333333333333</v>
      </c>
      <c r="AI93" s="50" t="n">
        <f aca="false">AH93*BY93</f>
        <v>12.0833333333333</v>
      </c>
      <c r="AJ93" s="50" t="n">
        <f aca="false">AF93*G93</f>
        <v>2552.25</v>
      </c>
      <c r="AK93" s="50" t="n">
        <f aca="false">ROUNDUP(MAX(J93/IF(CD93&gt;0,CD93,MAX(0.1,N(Cockpit!$C$6))),CG93)/BV93,0)*BV93</f>
        <v>16</v>
      </c>
      <c r="AL93" s="51" t="n">
        <f aca="false">IF(AI93&gt;0,J93/AI93,-1)</f>
        <v>0</v>
      </c>
      <c r="AM93" s="51" t="n">
        <f aca="false">IF(AND(OR(CC93="L1",CC93="L23",CC93="LIFT"),AI93&gt;0),SUMIFS($AI$7:$AI$1843,$CC$7:$CC$1843,CC93,$AL$7:$AL$1843,"&gt;"&amp;AL93)+SUMIFS($AI$7:$AI$1843,$CC$7:$CC$1843,CC93,$AL$7:$AL$1843,AL93,$BT$7:$BT$1843,"&lt;="&amp;BT93),"")</f>
        <v>26988.1798829701</v>
      </c>
      <c r="AN93" s="58" t="n">
        <f aca="false">IF(AM93="",0,MAX(0,MIN(1,(IF(CC93="L1",Parameter!$H$5,IF(CC93="L23",Parameter!$H$6+Parameter!$H$7,Parameter!$H$5+Parameter!$H$6+Parameter!$H$7))-(AM93-AI93))/AI93)))</f>
        <v>1</v>
      </c>
      <c r="AO93" s="50" t="n">
        <f aca="false">IF(LEFT(Cockpit!$I$5,1)="A",H93,IF(CE93=1,CF93,IF(LEFT(Cockpit!$I$5,1)="B",AT93,MAX(AT93,H93))))</f>
        <v>16</v>
      </c>
      <c r="AP93" s="50" t="n">
        <f aca="false">IF(BW93=1,0,ROUNDUP(AO93/BV93,0))</f>
        <v>2</v>
      </c>
      <c r="AQ93" s="52" t="n">
        <f aca="false">IF(CL93&gt;0,CL93*MAX(1,AO93/X93),IF(BW93=1,IF(AO93&lt;=0,0,CA93*MAX(1,IF(H93&gt;0,AO93/H93,1))),IF(R93&gt;0,AP93/R93,0))/MAX(0.1,N(Parameter!$M$21)))</f>
        <v>0.166666666666667</v>
      </c>
      <c r="AR93" s="50" t="n">
        <f aca="false">AQ93*BY93</f>
        <v>24.1666666666667</v>
      </c>
      <c r="AS93" s="50" t="n">
        <f aca="false">AO93*G93</f>
        <v>8167.2</v>
      </c>
      <c r="AT93" s="50" t="n">
        <f aca="false">ROUNDUP(MAX(J93/IF(CD93&gt;0,CD93,MAX(0.1,N(Cockpit!$I$6))),CG93)/BV93,0)*BV93</f>
        <v>16</v>
      </c>
      <c r="AU93" s="51" t="n">
        <f aca="false">IF(AR93&gt;0,J93/AR93,-1)</f>
        <v>0</v>
      </c>
      <c r="AV93" s="51" t="n">
        <f aca="false">IF(AND(OR(CC93="L1",CC93="L23",CC93="LIFT"),AR93&gt;0),SUMIFS($AR$7:$AR$1843,$CC$7:$CC$1843,CC93,$AU$7:$AU$1843,"&gt;"&amp;AU93)+SUMIFS($AR$7:$AR$1843,$CC$7:$CC$1843,CC93,$AU$7:$AU$1843,AU93,$BT$7:$BT$1843,"&lt;="&amp;BT93),"")</f>
        <v>38301.0854002401</v>
      </c>
      <c r="AW93" s="58" t="n">
        <f aca="false">IF(AV93="",0,MAX(0,MIN(1,(IF(CC93="L1",Parameter!$H$5,IF(CC93="L23",Parameter!$H$6+Parameter!$H$7,Parameter!$H$5+Parameter!$H$6+Parameter!$H$7))-(AV93-AR93))/AR93)))</f>
        <v>0</v>
      </c>
      <c r="AX93" s="50" t="n">
        <f aca="false">IF(LEFT(Cockpit!$O$5,1)="A",H93,IF(CE93=1,CF93,IF(LEFT(Cockpit!$O$5,1)="B",BC93,MAX(BC93,H93))))</f>
        <v>16</v>
      </c>
      <c r="AY93" s="50" t="n">
        <f aca="false">IF(BW93=1,0,ROUNDUP(AX93/BV93,0))</f>
        <v>2</v>
      </c>
      <c r="AZ93" s="52" t="n">
        <f aca="false">IF(CL93&gt;0,CL93*MAX(1,AX93/X93),IF(BW93=1,IF(AX93&lt;=0,0,CA93*MAX(1,IF(H93&gt;0,AX93/H93,1))),IF(R93&gt;0,AY93/R93,0))/MAX(0.1,N(Parameter!$M$21)))</f>
        <v>0.166666666666667</v>
      </c>
      <c r="BA93" s="50" t="n">
        <f aca="false">AZ93*BY93</f>
        <v>24.1666666666667</v>
      </c>
      <c r="BB93" s="50" t="n">
        <f aca="false">AX93*G93</f>
        <v>8167.2</v>
      </c>
      <c r="BC93" s="50" t="n">
        <f aca="false">ROUNDUP(MAX(J93/IF(CD93&gt;0,CD93,MAX(0.1,N(Cockpit!$O$6))),CG93)/BV93,0)*BV93</f>
        <v>16</v>
      </c>
      <c r="BD93" s="51" t="n">
        <f aca="false">IF(BA93&gt;0,J93/BA93,-1)</f>
        <v>0</v>
      </c>
      <c r="BE93" s="51" t="n">
        <f aca="false">IF(AND(OR(CC93="L1",CC93="L23",CC93="LIFT"),BA93&gt;0),SUMIFS($BA$7:$BA$1843,$CC$7:$CC$1843,CC93,$BD$7:$BD$1843,"&gt;"&amp;BD93)+SUMIFS($BA$7:$BA$1843,$CC$7:$CC$1843,CC93,$BD$7:$BD$1843,BD93,$BT$7:$BT$1843,"&lt;="&amp;BT93),"")</f>
        <v>34976.0974421059</v>
      </c>
      <c r="BF93" s="58" t="n">
        <f aca="false">IF(BE93="",0,MAX(0,MIN(1,(IF(CC93="L1",Parameter!$H$5,IF(CC93="L23",Parameter!$H$6+Parameter!$H$7,Parameter!$H$5+Parameter!$H$6+Parameter!$H$7))-(BE93-BA93))/BA93)))</f>
        <v>1</v>
      </c>
      <c r="BG93" s="48" t="str">
        <f aca="false">IF(AI93&lt;=0,"",IF(CC93="Aussen","Aussenlager",IF(CC93="-","Nicht im Lift",IF(AN93&gt;=1,"Lift",IF(AN93&lt;=0,"Aussenlager","teilweise")))))</f>
        <v>Lift</v>
      </c>
      <c r="BH93" s="48" t="str">
        <f aca="false">IF(AR93&lt;=0,"",IF(CC93="Aussen","Aussenlager",IF(CC93="-","Nicht im Lift",IF(AW93&gt;=1,"Lift",IF(AW93&lt;=0,"Aussenlager","teilweise")))))</f>
        <v>Aussenlager</v>
      </c>
      <c r="BI93" s="48" t="str">
        <f aca="false">IF(BA93&lt;=0,"",IF(CC93="Aussen","Aussenlager",IF(CC93="-","Nicht im Lift",IF(BF93&gt;=1,"Lift",IF(BF93&lt;=0,"Aussenlager","teilweise")))))</f>
        <v>Lift</v>
      </c>
      <c r="BJ93" s="48" t="str">
        <f aca="false">IF(A93="","",IF(BS93=1,"Neu; ","")&amp;IF(AND(BS93=0,BN93&lt;0),"negativer Bestand (Export "&amp;BN93&amp;"); ","")&amp;IF(J93&lt;=0,"Kein Verbrauch; ","")&amp;IF(CL93&gt;0,"Lift "&amp;W93&amp;" lt. Liftbericht (Fach "&amp;X93&amp;" Stk); ",IF(BX93=1,"Gebinde geschätzt ("&amp;T93&amp;"); ",IF(BW93=1,"Lose – Tablare geschätzt; ","")))&amp;IF(H93&gt;AT93,"Überbestand "&amp;ROUND(H93-AT93,0)&amp;" Stk / CHF "&amp;ROUND((H93-AT93)*G93,0)&amp;"; ","")&amp;IF(AND(CE93=1,CF93&lt;CG93),"MAX &lt; MB+LG; ","")&amp;IF(AND(CK93&gt;0,CJ93*10&gt;CK93),"zu hoch für Tablar; ","")&amp;IF(AND(BS93=0,OR(CE93=1,AA93&lt;&gt;"",U93&lt;&gt;"",V93&lt;&gt;"",AB93&lt;&gt;"")),"manuell übersteuert; ","")&amp;IF(AND(BW93=0,R93=0),"Gebinde unbekannt / Stellmass fehlt; ","")&amp;IF(AND(BW93=0,N(V93)&lt;=0,N(Q93)&lt;=0),"Menge pro Gebinde fehlt (Ist = 1 Gebinde); ","")&amp;BR93)</f>
        <v>Kein Verbrauch; Gebinde geschätzt (Mittel); Menge pro Gebinde fehlt (Ist = 1 Gebinde); </v>
      </c>
      <c r="BK93" s="48"/>
      <c r="BL93" s="48"/>
      <c r="BM93" s="55"/>
      <c r="BN93" s="50" t="n">
        <v>5</v>
      </c>
      <c r="BO93" s="50" t="n">
        <v>0</v>
      </c>
      <c r="BP93" s="49" t="n">
        <v>2552.25</v>
      </c>
      <c r="BQ93" s="50" t="n">
        <v>0</v>
      </c>
      <c r="BR93" s="48"/>
      <c r="BS93" s="53" t="n">
        <v>0</v>
      </c>
      <c r="BT93" s="53" t="n">
        <v>93</v>
      </c>
      <c r="BU93" s="48" t="str">
        <f aca="false">IF(U93&lt;&gt;"",UPPER(TRIM(U93)),IF(BX93=1,UPPER(VLOOKUP(T93,Parameter!$I$27:$K$29,2,0)),IF(P93="","LOSE",P93)))</f>
        <v>S61</v>
      </c>
      <c r="BV93" s="50" t="n">
        <f aca="false">IF(BU93="LOSE",1,IF(N(V93)&gt;0,V93,IF(BX93=1,MAX(1,N(VLOOKUP(T93,Parameter!$I$27:$K$29,3,0)),H93,N(N93)),IF(N(Q93)&gt;0,Q93,MAX(1,H93)))))</f>
        <v>8</v>
      </c>
      <c r="BW93" s="53" t="n">
        <f aca="false">IF(BU93="LOSE",1,0)</f>
        <v>0</v>
      </c>
      <c r="BX93" s="53" t="n">
        <f aca="false">IF(AND(U93="",OR(P93="",P93="LOSE"),T93&lt;&gt;"",N(S93)&lt;=0,ISNUMBER(MATCH(T93,Parameter!$I$27:$I$29,0))),1,0)</f>
        <v>1</v>
      </c>
      <c r="BY93" s="53" t="n">
        <f aca="false">IF(CL93&gt;0,INDEX(Parameter!$H$5:$H$7,W93)/INDEX(Parameter!$E$5:$E$7,W93),IF(AND(BW93=0,N(IFERROR(VLOOKUP(BU93,'Gebinde-Kategorie'!$A$5:$N$45,14,0),0))&gt;0),VLOOKUP(BU93,'Gebinde-Kategorie'!$A$5:$N$45,14,0)*10+Parameter!$M$23,Parameter!$M$24))</f>
        <v>145</v>
      </c>
      <c r="BZ93" s="48" t="str">
        <f aca="false">IF(AND(Parameter!$B$19="Ja",E93&lt;&gt;"",ISNUMBER(MATCH(E93,Parameter!$I$35:$I$52,0))),VLOOKUP(E93,Parameter!$I$35:$J$52,2,0),IFERROR(VLOOKUP(D93,Parameter!$A$35:$C$64,2,0),"Nein"))</f>
        <v>2+3</v>
      </c>
      <c r="CA93" s="52" t="n">
        <f aca="false">IF(BW93=0,0,IF(N(S93)&gt;0,S93,IFERROR(VLOOKUP(D93,Parameter!$A$35:$C$64,3,0)+0,0)))</f>
        <v>0</v>
      </c>
      <c r="CB93" s="48" t="n">
        <f aca="false">IF(AA93&lt;&gt;"",AA93,Z93)</f>
        <v>2</v>
      </c>
      <c r="CC93" s="48" t="str">
        <f aca="false">IF(OR(CB93=1,CB93=2,CB93=3),IF(Parameter!$E$27="Ja","LIFT",IF(CB93=1,"L1","L23")),IF(CB93="Aussen","Aussen","-"))</f>
        <v>LIFT</v>
      </c>
      <c r="CD93" s="59" t="n">
        <f aca="false">IF(N(AB93)&gt;0,AB93,0)</f>
        <v>0</v>
      </c>
      <c r="CE93" s="53" t="n">
        <f aca="false">IF(ISNUMBER(AE93),1,0)</f>
        <v>0</v>
      </c>
      <c r="CF93" s="50" t="n">
        <f aca="false">N(AE93)</f>
        <v>0</v>
      </c>
      <c r="CG93" s="50" t="n">
        <f aca="false">N(M93)+N(N93)</f>
        <v>10</v>
      </c>
      <c r="CH93" s="50" t="n">
        <f aca="false">ROUNDUP(H93/BV93,0)</f>
        <v>1</v>
      </c>
      <c r="CI93" s="50" t="n">
        <f aca="false">ROUNDUP(CF93/BV93,0)</f>
        <v>0</v>
      </c>
      <c r="CJ93" s="53" t="n">
        <f aca="false">IF(BW93=1,0,IFERROR(VLOOKUP(BU93,'Gebinde-Kategorie'!$A$5:$N$45,5,0)+0,0))</f>
        <v>11</v>
      </c>
      <c r="CK93" s="53" t="n">
        <f aca="false">IFERROR(IF(OR(CB93=1,CB93=2,CB93=3),N(INDEX(Parameter!$I$5:$I$7,CB93)),0),0)</f>
        <v>0</v>
      </c>
      <c r="CL93" s="52" t="n">
        <f aca="false">IF(AND(Parameter!$B$21="Ja",ISNUMBER(W93),N(X93)&gt;0),IFERROR(N(INDEX(Parameter!$L$5:$L$7,W93))*INDEX(Parameter!$E$5:$E$7,W93)*X93/SUMIFS($X$7:$X$1843,$W$7:$W$1843,W93),0),0)</f>
        <v>0</v>
      </c>
    </row>
    <row r="94" customFormat="false" ht="15" hidden="false" customHeight="false" outlineLevel="0" collapsed="false">
      <c r="A94" s="48" t="s">
        <v>403</v>
      </c>
      <c r="B94" s="48" t="s">
        <v>404</v>
      </c>
      <c r="C94" s="48" t="s">
        <v>168</v>
      </c>
      <c r="D94" s="48" t="s">
        <v>188</v>
      </c>
      <c r="E94" s="48" t="s">
        <v>170</v>
      </c>
      <c r="F94" s="48" t="s">
        <v>222</v>
      </c>
      <c r="G94" s="49" t="n">
        <v>29.5</v>
      </c>
      <c r="H94" s="50" t="n">
        <f aca="false">MAX(0,IF(AND(Parameter!$B$21="Ja",ISNUMBER(Y94)),Y94,IF(Parameter!$B$20="Jahresanfang 2025 + Export",BO94+BN94,BN94)))</f>
        <v>98</v>
      </c>
      <c r="I94" s="50" t="n">
        <f aca="false">H94*G94</f>
        <v>2891</v>
      </c>
      <c r="J94" s="50" t="n">
        <f aca="false">BQ94*Parameter!$B$18</f>
        <v>88</v>
      </c>
      <c r="K94" s="51" t="n">
        <v>11</v>
      </c>
      <c r="L94" s="52" t="n">
        <v>8</v>
      </c>
      <c r="M94" s="50" t="n">
        <v>5</v>
      </c>
      <c r="N94" s="50" t="n">
        <v>90</v>
      </c>
      <c r="O94" s="53" t="n">
        <v>21</v>
      </c>
      <c r="P94" s="48" t="s">
        <v>405</v>
      </c>
      <c r="Q94" s="50" t="n">
        <v>50</v>
      </c>
      <c r="R94" s="53" t="n">
        <f aca="false">IF(BW94=1,0,IFERROR(VLOOKUP(BU94,'Gebinde-Kategorie'!$A$5:$N$45,13,0)+0,0))</f>
        <v>280</v>
      </c>
      <c r="S94" s="54"/>
      <c r="T94" s="55"/>
      <c r="U94" s="55"/>
      <c r="V94" s="55"/>
      <c r="W94" s="48"/>
      <c r="X94" s="50"/>
      <c r="Y94" s="50"/>
      <c r="Z94" s="48" t="n">
        <f aca="false">IF(A94="","",IF(AND(Parameter!$B$21="Ja",ISNUMBER(W94)),W94,IF(BZ94="2+3",IF(ISNUMBER(SEARCH("grosser Artikel",BR94)),2,IFERROR(VLOOKUP(BU94,Parameter!$F$35:$G$64,2,0),2)),IF(OR(BZ94="Nein",BZ94=""),"-",BZ94))))</f>
        <v>1</v>
      </c>
      <c r="AA94" s="55"/>
      <c r="AB94" s="56"/>
      <c r="AC94" s="50" t="n">
        <f aca="false">AT94</f>
        <v>100</v>
      </c>
      <c r="AD94" s="50" t="n">
        <f aca="false">MAX(AT94,H94)</f>
        <v>100</v>
      </c>
      <c r="AE94" s="57"/>
      <c r="AF94" s="50" t="n">
        <f aca="false">IF(LEFT(Cockpit!$C$5,1)="A",H94,IF(CE94=1,CF94,IF(LEFT(Cockpit!$C$5,1)="B",AK94,MAX(AK94,H94))))</f>
        <v>98</v>
      </c>
      <c r="AG94" s="50" t="n">
        <f aca="false">IF(BW94=1,0,ROUNDUP(AF94/BV94,0))</f>
        <v>2</v>
      </c>
      <c r="AH94" s="52" t="n">
        <f aca="false">IF(CL94&gt;0,CL94*MAX(1,AF94/X94),IF(BW94=1,IF(AF94&lt;=0,0,CA94*MAX(1,IF(H94&gt;0,AF94/H94,1))),IF(R94&gt;0,AG94/R94,0))/MAX(0.1,N(Parameter!$M$21)))</f>
        <v>0.00714285714285714</v>
      </c>
      <c r="AI94" s="50" t="n">
        <f aca="false">AH94*BY94</f>
        <v>1.10714285714286</v>
      </c>
      <c r="AJ94" s="50" t="n">
        <f aca="false">AF94*G94</f>
        <v>2891</v>
      </c>
      <c r="AK94" s="50" t="n">
        <f aca="false">ROUNDUP(MAX(J94/IF(CD94&gt;0,CD94,MAX(0.1,N(Cockpit!$C$6))),CG94)/BV94,0)*BV94</f>
        <v>100</v>
      </c>
      <c r="AL94" s="51" t="n">
        <f aca="false">IF(AI94&gt;0,J94/AI94,-1)</f>
        <v>79.4838709677419</v>
      </c>
      <c r="AM94" s="51" t="n">
        <f aca="false">IF(AND(OR(CC94="L1",CC94="L23",CC94="LIFT"),AI94&gt;0),SUMIFS($AI$7:$AI$1843,$CC$7:$CC$1843,CC94,$AL$7:$AL$1843,"&gt;"&amp;AL94)+SUMIFS($AI$7:$AI$1843,$CC$7:$CC$1843,CC94,$AL$7:$AL$1843,AL94,$BT$7:$BT$1843,"&lt;="&amp;BT94),"")</f>
        <v>861.447802197802</v>
      </c>
      <c r="AN94" s="58" t="n">
        <f aca="false">IF(AM94="",0,MAX(0,MIN(1,(IF(CC94="L1",Parameter!$H$5,IF(CC94="L23",Parameter!$H$6+Parameter!$H$7,Parameter!$H$5+Parameter!$H$6+Parameter!$H$7))-(AM94-AI94))/AI94)))</f>
        <v>1</v>
      </c>
      <c r="AO94" s="50" t="n">
        <f aca="false">IF(LEFT(Cockpit!$I$5,1)="A",H94,IF(CE94=1,CF94,IF(LEFT(Cockpit!$I$5,1)="B",AT94,MAX(AT94,H94))))</f>
        <v>100</v>
      </c>
      <c r="AP94" s="50" t="n">
        <f aca="false">IF(BW94=1,0,ROUNDUP(AO94/BV94,0))</f>
        <v>2</v>
      </c>
      <c r="AQ94" s="52" t="n">
        <f aca="false">IF(CL94&gt;0,CL94*MAX(1,AO94/X94),IF(BW94=1,IF(AO94&lt;=0,0,CA94*MAX(1,IF(H94&gt;0,AO94/H94,1))),IF(R94&gt;0,AP94/R94,0))/MAX(0.1,N(Parameter!$M$21)))</f>
        <v>0.00714285714285714</v>
      </c>
      <c r="AR94" s="50" t="n">
        <f aca="false">AQ94*BY94</f>
        <v>1.10714285714286</v>
      </c>
      <c r="AS94" s="50" t="n">
        <f aca="false">AO94*G94</f>
        <v>2950</v>
      </c>
      <c r="AT94" s="50" t="n">
        <f aca="false">ROUNDUP(MAX(J94/IF(CD94&gt;0,CD94,MAX(0.1,N(Cockpit!$I$6))),CG94)/BV94,0)*BV94</f>
        <v>100</v>
      </c>
      <c r="AU94" s="51" t="n">
        <f aca="false">IF(AR94&gt;0,J94/AR94,-1)</f>
        <v>79.4838709677419</v>
      </c>
      <c r="AV94" s="51" t="n">
        <f aca="false">IF(AND(OR(CC94="L1",CC94="L23",CC94="LIFT"),AR94&gt;0),SUMIFS($AR$7:$AR$1843,$CC$7:$CC$1843,CC94,$AU$7:$AU$1843,"&gt;"&amp;AU94)+SUMIFS($AR$7:$AR$1843,$CC$7:$CC$1843,CC94,$AU$7:$AU$1843,AU94,$BT$7:$BT$1843,"&lt;="&amp;BT94),"")</f>
        <v>985.316391941392</v>
      </c>
      <c r="AW94" s="58" t="n">
        <f aca="false">IF(AV94="",0,MAX(0,MIN(1,(IF(CC94="L1",Parameter!$H$5,IF(CC94="L23",Parameter!$H$6+Parameter!$H$7,Parameter!$H$5+Parameter!$H$6+Parameter!$H$7))-(AV94-AR94))/AR94)))</f>
        <v>1</v>
      </c>
      <c r="AX94" s="50" t="n">
        <f aca="false">IF(LEFT(Cockpit!$O$5,1)="A",H94,IF(CE94=1,CF94,IF(LEFT(Cockpit!$O$5,1)="B",BC94,MAX(BC94,H94))))</f>
        <v>100</v>
      </c>
      <c r="AY94" s="50" t="n">
        <f aca="false">IF(BW94=1,0,ROUNDUP(AX94/BV94,0))</f>
        <v>2</v>
      </c>
      <c r="AZ94" s="52" t="n">
        <f aca="false">IF(CL94&gt;0,CL94*MAX(1,AX94/X94),IF(BW94=1,IF(AX94&lt;=0,0,CA94*MAX(1,IF(H94&gt;0,AX94/H94,1))),IF(R94&gt;0,AY94/R94,0))/MAX(0.1,N(Parameter!$M$21)))</f>
        <v>0.00714285714285714</v>
      </c>
      <c r="BA94" s="50" t="n">
        <f aca="false">AZ94*BY94</f>
        <v>1.10714285714286</v>
      </c>
      <c r="BB94" s="50" t="n">
        <f aca="false">AX94*G94</f>
        <v>2950</v>
      </c>
      <c r="BC94" s="50" t="n">
        <f aca="false">ROUNDUP(MAX(J94/IF(CD94&gt;0,CD94,MAX(0.1,N(Cockpit!$O$6))),CG94)/BV94,0)*BV94</f>
        <v>100</v>
      </c>
      <c r="BD94" s="51" t="n">
        <f aca="false">IF(BA94&gt;0,J94/BA94,-1)</f>
        <v>79.4838709677419</v>
      </c>
      <c r="BE94" s="51" t="n">
        <f aca="false">IF(AND(OR(CC94="L1",CC94="L23",CC94="LIFT"),BA94&gt;0),SUMIFS($BA$7:$BA$1843,$CC$7:$CC$1843,CC94,$BD$7:$BD$1843,"&gt;"&amp;BD94)+SUMIFS($BA$7:$BA$1843,$CC$7:$CC$1843,CC94,$BD$7:$BD$1843,BD94,$BT$7:$BT$1843,"&lt;="&amp;BT94),"")</f>
        <v>1092.73626373626</v>
      </c>
      <c r="BF94" s="58" t="n">
        <f aca="false">IF(BE94="",0,MAX(0,MIN(1,(IF(CC94="L1",Parameter!$H$5,IF(CC94="L23",Parameter!$H$6+Parameter!$H$7,Parameter!$H$5+Parameter!$H$6+Parameter!$H$7))-(BE94-BA94))/BA94)))</f>
        <v>1</v>
      </c>
      <c r="BG94" s="48" t="str">
        <f aca="false">IF(AI94&lt;=0,"",IF(CC94="Aussen","Aussenlager",IF(CC94="-","Nicht im Lift",IF(AN94&gt;=1,"Lift",IF(AN94&lt;=0,"Aussenlager","teilweise")))))</f>
        <v>Lift</v>
      </c>
      <c r="BH94" s="48" t="str">
        <f aca="false">IF(AR94&lt;=0,"",IF(CC94="Aussen","Aussenlager",IF(CC94="-","Nicht im Lift",IF(AW94&gt;=1,"Lift",IF(AW94&lt;=0,"Aussenlager","teilweise")))))</f>
        <v>Lift</v>
      </c>
      <c r="BI94" s="48" t="str">
        <f aca="false">IF(BA94&lt;=0,"",IF(CC94="Aussen","Aussenlager",IF(CC94="-","Nicht im Lift",IF(BF94&gt;=1,"Lift",IF(BF94&lt;=0,"Aussenlager","teilweise")))))</f>
        <v>Lift</v>
      </c>
      <c r="BJ94" s="48" t="str">
        <f aca="false">IF(A94="","",IF(BS94=1,"Neu; ","")&amp;IF(AND(BS94=0,BN94&lt;0),"negativer Bestand (Export "&amp;BN94&amp;"); ","")&amp;IF(J94&lt;=0,"Kein Verbrauch; ","")&amp;IF(CL94&gt;0,"Lift "&amp;W94&amp;" lt. Liftbericht (Fach "&amp;X94&amp;" Stk); ",IF(BX94=1,"Gebinde geschätzt ("&amp;T94&amp;"); ",IF(BW94=1,"Lose – Tablare geschätzt; ","")))&amp;IF(H94&gt;AT94,"Überbestand "&amp;ROUND(H94-AT94,0)&amp;" Stk / CHF "&amp;ROUND((H94-AT94)*G94,0)&amp;"; ","")&amp;IF(AND(CE94=1,CF94&lt;CG94),"MAX &lt; MB+LG; ","")&amp;IF(AND(CK94&gt;0,CJ94*10&gt;CK94),"zu hoch für Tablar; ","")&amp;IF(AND(BS94=0,OR(CE94=1,AA94&lt;&gt;"",U94&lt;&gt;"",V94&lt;&gt;"",AB94&lt;&gt;"")),"manuell übersteuert; ","")&amp;IF(AND(BW94=0,R94=0),"Gebinde unbekannt / Stellmass fehlt; ","")&amp;IF(AND(BW94=0,N(V94)&lt;=0,N(Q94)&lt;=0),"Menge pro Gebinde fehlt (Ist = 1 Gebinde); ","")&amp;BR94)</f>
        <v/>
      </c>
      <c r="BK94" s="48"/>
      <c r="BL94" s="48"/>
      <c r="BM94" s="55"/>
      <c r="BN94" s="50" t="n">
        <v>83</v>
      </c>
      <c r="BO94" s="50" t="n">
        <v>15</v>
      </c>
      <c r="BP94" s="49" t="n">
        <v>2482.39</v>
      </c>
      <c r="BQ94" s="50" t="n">
        <v>88</v>
      </c>
      <c r="BR94" s="48"/>
      <c r="BS94" s="53" t="n">
        <v>0</v>
      </c>
      <c r="BT94" s="53" t="n">
        <v>94</v>
      </c>
      <c r="BU94" s="48" t="str">
        <f aca="false">IF(U94&lt;&gt;"",UPPER(TRIM(U94)),IF(BX94=1,UPPER(VLOOKUP(T94,Parameter!$I$27:$K$29,2,0)),IF(P94="","LOSE",P94)))</f>
        <v>S21</v>
      </c>
      <c r="BV94" s="50" t="n">
        <f aca="false">IF(BU94="LOSE",1,IF(N(V94)&gt;0,V94,IF(BX94=1,MAX(1,N(VLOOKUP(T94,Parameter!$I$27:$K$29,3,0)),H94,N(N94)),IF(N(Q94)&gt;0,Q94,MAX(1,H94)))))</f>
        <v>50</v>
      </c>
      <c r="BW94" s="53" t="n">
        <f aca="false">IF(BU94="LOSE",1,0)</f>
        <v>0</v>
      </c>
      <c r="BX94" s="53" t="n">
        <f aca="false">IF(AND(U94="",OR(P94="",P94="LOSE"),T94&lt;&gt;"",N(S94)&lt;=0,ISNUMBER(MATCH(T94,Parameter!$I$27:$I$29,0))),1,0)</f>
        <v>0</v>
      </c>
      <c r="BY94" s="53" t="n">
        <f aca="false">IF(CL94&gt;0,INDEX(Parameter!$H$5:$H$7,W94)/INDEX(Parameter!$E$5:$E$7,W94),IF(AND(BW94=0,N(IFERROR(VLOOKUP(BU94,'Gebinde-Kategorie'!$A$5:$N$45,14,0),0))&gt;0),VLOOKUP(BU94,'Gebinde-Kategorie'!$A$5:$N$45,14,0)*10+Parameter!$M$23,Parameter!$M$24))</f>
        <v>155</v>
      </c>
      <c r="BZ94" s="48" t="n">
        <f aca="false">IF(AND(Parameter!$B$19="Ja",E94&lt;&gt;"",ISNUMBER(MATCH(E94,Parameter!$I$35:$I$52,0))),VLOOKUP(E94,Parameter!$I$35:$J$52,2,0),IFERROR(VLOOKUP(D94,Parameter!$A$35:$C$64,2,0),"Nein"))</f>
        <v>1</v>
      </c>
      <c r="CA94" s="52" t="n">
        <f aca="false">IF(BW94=0,0,IF(N(S94)&gt;0,S94,IFERROR(VLOOKUP(D94,Parameter!$A$35:$C$64,3,0)+0,0)))</f>
        <v>0</v>
      </c>
      <c r="CB94" s="48" t="n">
        <f aca="false">IF(AA94&lt;&gt;"",AA94,Z94)</f>
        <v>1</v>
      </c>
      <c r="CC94" s="48" t="str">
        <f aca="false">IF(OR(CB94=1,CB94=2,CB94=3),IF(Parameter!$E$27="Ja","LIFT",IF(CB94=1,"L1","L23")),IF(CB94="Aussen","Aussen","-"))</f>
        <v>LIFT</v>
      </c>
      <c r="CD94" s="59" t="n">
        <f aca="false">IF(N(AB94)&gt;0,AB94,0)</f>
        <v>0</v>
      </c>
      <c r="CE94" s="53" t="n">
        <f aca="false">IF(ISNUMBER(AE94),1,0)</f>
        <v>0</v>
      </c>
      <c r="CF94" s="50" t="n">
        <f aca="false">N(AE94)</f>
        <v>0</v>
      </c>
      <c r="CG94" s="50" t="n">
        <f aca="false">N(M94)+N(N94)</f>
        <v>95</v>
      </c>
      <c r="CH94" s="50" t="n">
        <f aca="false">ROUNDUP(H94/BV94,0)</f>
        <v>2</v>
      </c>
      <c r="CI94" s="50" t="n">
        <f aca="false">ROUNDUP(CF94/BV94,0)</f>
        <v>0</v>
      </c>
      <c r="CJ94" s="53" t="n">
        <f aca="false">IF(BW94=1,0,IFERROR(VLOOKUP(BU94,'Gebinde-Kategorie'!$A$5:$N$45,5,0)+0,0))</f>
        <v>8</v>
      </c>
      <c r="CK94" s="53" t="n">
        <f aca="false">IFERROR(IF(OR(CB94=1,CB94=2,CB94=3),N(INDEX(Parameter!$I$5:$I$7,CB94)),0),0)</f>
        <v>0</v>
      </c>
      <c r="CL94" s="52" t="n">
        <f aca="false">IF(AND(Parameter!$B$21="Ja",ISNUMBER(W94),N(X94)&gt;0),IFERROR(N(INDEX(Parameter!$L$5:$L$7,W94))*INDEX(Parameter!$E$5:$E$7,W94)*X94/SUMIFS($X$7:$X$1843,$W$7:$W$1843,W94),0),0)</f>
        <v>0</v>
      </c>
    </row>
    <row r="95" customFormat="false" ht="15" hidden="false" customHeight="false" outlineLevel="0" collapsed="false">
      <c r="A95" s="48" t="s">
        <v>406</v>
      </c>
      <c r="B95" s="48" t="s">
        <v>407</v>
      </c>
      <c r="C95" s="48" t="s">
        <v>168</v>
      </c>
      <c r="D95" s="48" t="s">
        <v>188</v>
      </c>
      <c r="E95" s="48"/>
      <c r="F95" s="48" t="s">
        <v>222</v>
      </c>
      <c r="G95" s="49" t="n">
        <v>33.76</v>
      </c>
      <c r="H95" s="50" t="n">
        <f aca="false">MAX(0,IF(AND(Parameter!$B$21="Ja",ISNUMBER(Y95)),Y95,IF(Parameter!$B$20="Jahresanfang 2025 + Export",BO95+BN95,BN95)))</f>
        <v>72</v>
      </c>
      <c r="I95" s="50" t="n">
        <f aca="false">H95*G95</f>
        <v>2430.72</v>
      </c>
      <c r="J95" s="50" t="n">
        <f aca="false">BQ95*Parameter!$B$18</f>
        <v>12</v>
      </c>
      <c r="K95" s="51" t="n">
        <v>40</v>
      </c>
      <c r="L95" s="52" t="n">
        <v>0.3</v>
      </c>
      <c r="M95" s="50" t="n">
        <v>0</v>
      </c>
      <c r="N95" s="50" t="n">
        <v>10</v>
      </c>
      <c r="O95" s="53" t="n">
        <v>21</v>
      </c>
      <c r="P95" s="48" t="s">
        <v>172</v>
      </c>
      <c r="Q95" s="50"/>
      <c r="R95" s="53" t="n">
        <f aca="false">IF(BW95=1,0,IFERROR(VLOOKUP(BU95,'Gebinde-Kategorie'!$A$5:$N$45,13,0)+0,0))</f>
        <v>26</v>
      </c>
      <c r="S95" s="54"/>
      <c r="T95" s="55" t="s">
        <v>279</v>
      </c>
      <c r="U95" s="55"/>
      <c r="V95" s="55"/>
      <c r="W95" s="48"/>
      <c r="X95" s="50"/>
      <c r="Y95" s="50"/>
      <c r="Z95" s="48" t="n">
        <f aca="false">IF(A95="","",IF(AND(Parameter!$B$21="Ja",ISNUMBER(W95)),W95,IF(BZ95="2+3",IF(ISNUMBER(SEARCH("grosser Artikel",BR95)),2,IFERROR(VLOOKUP(BU95,Parameter!$F$35:$G$64,2,0),2)),IF(OR(BZ95="Nein",BZ95=""),"-",BZ95))))</f>
        <v>3</v>
      </c>
      <c r="AA95" s="55"/>
      <c r="AB95" s="56"/>
      <c r="AC95" s="50" t="n">
        <f aca="false">AT95</f>
        <v>72</v>
      </c>
      <c r="AD95" s="50" t="n">
        <f aca="false">MAX(AT95,H95)</f>
        <v>72</v>
      </c>
      <c r="AE95" s="57"/>
      <c r="AF95" s="50" t="n">
        <f aca="false">IF(LEFT(Cockpit!$C$5,1)="A",H95,IF(CE95=1,CF95,IF(LEFT(Cockpit!$C$5,1)="B",AK95,MAX(AK95,H95))))</f>
        <v>72</v>
      </c>
      <c r="AG95" s="50" t="n">
        <f aca="false">IF(BW95=1,0,ROUNDUP(AF95/BV95,0))</f>
        <v>1</v>
      </c>
      <c r="AH95" s="52" t="n">
        <f aca="false">IF(CL95&gt;0,CL95*MAX(1,AF95/X95),IF(BW95=1,IF(AF95&lt;=0,0,CA95*MAX(1,IF(H95&gt;0,AF95/H95,1))),IF(R95&gt;0,AG95/R95,0))/MAX(0.1,N(Parameter!$M$21)))</f>
        <v>0.0384615384615385</v>
      </c>
      <c r="AI95" s="50" t="n">
        <f aca="false">AH95*BY95</f>
        <v>5.96153846153846</v>
      </c>
      <c r="AJ95" s="50" t="n">
        <f aca="false">AF95*G95</f>
        <v>2430.72</v>
      </c>
      <c r="AK95" s="50" t="n">
        <f aca="false">ROUNDUP(MAX(J95/IF(CD95&gt;0,CD95,MAX(0.1,N(Cockpit!$C$6))),CG95)/BV95,0)*BV95</f>
        <v>72</v>
      </c>
      <c r="AL95" s="51" t="n">
        <f aca="false">IF(AI95&gt;0,J95/AI95,-1)</f>
        <v>2.01290322580645</v>
      </c>
      <c r="AM95" s="51" t="n">
        <f aca="false">IF(AND(OR(CC95="L1",CC95="L23",CC95="LIFT"),AI95&gt;0),SUMIFS($AI$7:$AI$1843,$CC$7:$CC$1843,CC95,$AL$7:$AL$1843,"&gt;"&amp;AL95)+SUMIFS($AI$7:$AI$1843,$CC$7:$CC$1843,CC95,$AL$7:$AL$1843,AL95,$BT$7:$BT$1843,"&lt;="&amp;BT95),"")</f>
        <v>5756.57097069597</v>
      </c>
      <c r="AN95" s="58" t="n">
        <f aca="false">IF(AM95="",0,MAX(0,MIN(1,(IF(CC95="L1",Parameter!$H$5,IF(CC95="L23",Parameter!$H$6+Parameter!$H$7,Parameter!$H$5+Parameter!$H$6+Parameter!$H$7))-(AM95-AI95))/AI95)))</f>
        <v>1</v>
      </c>
      <c r="AO95" s="50" t="n">
        <f aca="false">IF(LEFT(Cockpit!$I$5,1)="A",H95,IF(CE95=1,CF95,IF(LEFT(Cockpit!$I$5,1)="B",AT95,MAX(AT95,H95))))</f>
        <v>72</v>
      </c>
      <c r="AP95" s="50" t="n">
        <f aca="false">IF(BW95=1,0,ROUNDUP(AO95/BV95,0))</f>
        <v>1</v>
      </c>
      <c r="AQ95" s="52" t="n">
        <f aca="false">IF(CL95&gt;0,CL95*MAX(1,AO95/X95),IF(BW95=1,IF(AO95&lt;=0,0,CA95*MAX(1,IF(H95&gt;0,AO95/H95,1))),IF(R95&gt;0,AP95/R95,0))/MAX(0.1,N(Parameter!$M$21)))</f>
        <v>0.0384615384615385</v>
      </c>
      <c r="AR95" s="50" t="n">
        <f aca="false">AQ95*BY95</f>
        <v>5.96153846153846</v>
      </c>
      <c r="AS95" s="50" t="n">
        <f aca="false">AO95*G95</f>
        <v>2430.72</v>
      </c>
      <c r="AT95" s="50" t="n">
        <f aca="false">ROUNDUP(MAX(J95/IF(CD95&gt;0,CD95,MAX(0.1,N(Cockpit!$I$6))),CG95)/BV95,0)*BV95</f>
        <v>72</v>
      </c>
      <c r="AU95" s="51" t="n">
        <f aca="false">IF(AR95&gt;0,J95/AR95,-1)</f>
        <v>2.01290322580645</v>
      </c>
      <c r="AV95" s="51" t="n">
        <f aca="false">IF(AND(OR(CC95="L1",CC95="L23",CC95="LIFT"),AR95&gt;0),SUMIFS($AR$7:$AR$1843,$CC$7:$CC$1843,CC95,$AU$7:$AU$1843,"&gt;"&amp;AU95)+SUMIFS($AR$7:$AR$1843,$CC$7:$CC$1843,CC95,$AU$7:$AU$1843,AU95,$BT$7:$BT$1843,"&lt;="&amp;BT95),"")</f>
        <v>7651.35943223443</v>
      </c>
      <c r="AW95" s="58" t="n">
        <f aca="false">IF(AV95="",0,MAX(0,MIN(1,(IF(CC95="L1",Parameter!$H$5,IF(CC95="L23",Parameter!$H$6+Parameter!$H$7,Parameter!$H$5+Parameter!$H$6+Parameter!$H$7))-(AV95-AR95))/AR95)))</f>
        <v>1</v>
      </c>
      <c r="AX95" s="50" t="n">
        <f aca="false">IF(LEFT(Cockpit!$O$5,1)="A",H95,IF(CE95=1,CF95,IF(LEFT(Cockpit!$O$5,1)="B",BC95,MAX(BC95,H95))))</f>
        <v>72</v>
      </c>
      <c r="AY95" s="50" t="n">
        <f aca="false">IF(BW95=1,0,ROUNDUP(AX95/BV95,0))</f>
        <v>1</v>
      </c>
      <c r="AZ95" s="52" t="n">
        <f aca="false">IF(CL95&gt;0,CL95*MAX(1,AX95/X95),IF(BW95=1,IF(AX95&lt;=0,0,CA95*MAX(1,IF(H95&gt;0,AX95/H95,1))),IF(R95&gt;0,AY95/R95,0))/MAX(0.1,N(Parameter!$M$21)))</f>
        <v>0.0384615384615385</v>
      </c>
      <c r="BA95" s="50" t="n">
        <f aca="false">AZ95*BY95</f>
        <v>5.96153846153846</v>
      </c>
      <c r="BB95" s="50" t="n">
        <f aca="false">AX95*G95</f>
        <v>2430.72</v>
      </c>
      <c r="BC95" s="50" t="n">
        <f aca="false">ROUNDUP(MAX(J95/IF(CD95&gt;0,CD95,MAX(0.1,N(Cockpit!$O$6))),CG95)/BV95,0)*BV95</f>
        <v>72</v>
      </c>
      <c r="BD95" s="51" t="n">
        <f aca="false">IF(BA95&gt;0,J95/BA95,-1)</f>
        <v>2.01290322580645</v>
      </c>
      <c r="BE95" s="51" t="n">
        <f aca="false">IF(AND(OR(CC95="L1",CC95="L23",CC95="LIFT"),BA95&gt;0),SUMIFS($BA$7:$BA$1843,$CC$7:$CC$1843,CC95,$BD$7:$BD$1843,"&gt;"&amp;BD95)+SUMIFS($BA$7:$BA$1843,$CC$7:$CC$1843,CC95,$BD$7:$BD$1843,BD95,$BT$7:$BT$1843,"&lt;="&amp;BT95),"")</f>
        <v>7550.34981684982</v>
      </c>
      <c r="BF95" s="58" t="n">
        <f aca="false">IF(BE95="",0,MAX(0,MIN(1,(IF(CC95="L1",Parameter!$H$5,IF(CC95="L23",Parameter!$H$6+Parameter!$H$7,Parameter!$H$5+Parameter!$H$6+Parameter!$H$7))-(BE95-BA95))/BA95)))</f>
        <v>1</v>
      </c>
      <c r="BG95" s="48" t="str">
        <f aca="false">IF(AI95&lt;=0,"",IF(CC95="Aussen","Aussenlager",IF(CC95="-","Nicht im Lift",IF(AN95&gt;=1,"Lift",IF(AN95&lt;=0,"Aussenlager","teilweise")))))</f>
        <v>Lift</v>
      </c>
      <c r="BH95" s="48" t="str">
        <f aca="false">IF(AR95&lt;=0,"",IF(CC95="Aussen","Aussenlager",IF(CC95="-","Nicht im Lift",IF(AW95&gt;=1,"Lift",IF(AW95&lt;=0,"Aussenlager","teilweise")))))</f>
        <v>Lift</v>
      </c>
      <c r="BI95" s="48" t="str">
        <f aca="false">IF(BA95&lt;=0,"",IF(CC95="Aussen","Aussenlager",IF(CC95="-","Nicht im Lift",IF(BF95&gt;=1,"Lift",IF(BF95&lt;=0,"Aussenlager","teilweise")))))</f>
        <v>Lift</v>
      </c>
      <c r="BJ95" s="48" t="str">
        <f aca="false">IF(A95="","",IF(BS95=1,"Neu; ","")&amp;IF(AND(BS95=0,BN95&lt;0),"negativer Bestand (Export "&amp;BN95&amp;"); ","")&amp;IF(J95&lt;=0,"Kein Verbrauch; ","")&amp;IF(CL95&gt;0,"Lift "&amp;W95&amp;" lt. Liftbericht (Fach "&amp;X95&amp;" Stk); ",IF(BX95=1,"Gebinde geschätzt ("&amp;T95&amp;"); ",IF(BW95=1,"Lose – Tablare geschätzt; ","")))&amp;IF(H95&gt;AT95,"Überbestand "&amp;ROUND(H95-AT95,0)&amp;" Stk / CHF "&amp;ROUND((H95-AT95)*G95,0)&amp;"; ","")&amp;IF(AND(CE95=1,CF95&lt;CG95),"MAX &lt; MB+LG; ","")&amp;IF(AND(CK95&gt;0,CJ95*10&gt;CK95),"zu hoch für Tablar; ","")&amp;IF(AND(BS95=0,OR(CE95=1,AA95&lt;&gt;"",U95&lt;&gt;"",V95&lt;&gt;"",AB95&lt;&gt;"")),"manuell übersteuert; ","")&amp;IF(AND(BW95=0,R95=0),"Gebinde unbekannt / Stellmass fehlt; ","")&amp;IF(AND(BW95=0,N(V95)&lt;=0,N(Q95)&lt;=0),"Menge pro Gebinde fehlt (Ist = 1 Gebinde); ","")&amp;BR95)</f>
        <v>Gebinde geschätzt (Klein); Menge pro Gebinde fehlt (Ist = 1 Gebinde); </v>
      </c>
      <c r="BK95" s="48"/>
      <c r="BL95" s="48"/>
      <c r="BM95" s="55"/>
      <c r="BN95" s="50" t="n">
        <v>72</v>
      </c>
      <c r="BO95" s="50" t="n">
        <v>0</v>
      </c>
      <c r="BP95" s="49" t="n">
        <v>2430.72</v>
      </c>
      <c r="BQ95" s="50" t="n">
        <v>12</v>
      </c>
      <c r="BR95" s="48"/>
      <c r="BS95" s="53" t="n">
        <v>0</v>
      </c>
      <c r="BT95" s="53" t="n">
        <v>95</v>
      </c>
      <c r="BU95" s="48" t="str">
        <f aca="false">IF(U95&lt;&gt;"",UPPER(TRIM(U95)),IF(BX95=1,UPPER(VLOOKUP(T95,Parameter!$I$27:$K$29,2,0)),IF(P95="","LOSE",P95)))</f>
        <v>S51</v>
      </c>
      <c r="BV95" s="50" t="n">
        <f aca="false">IF(BU95="LOSE",1,IF(N(V95)&gt;0,V95,IF(BX95=1,MAX(1,N(VLOOKUP(T95,Parameter!$I$27:$K$29,3,0)),H95,N(N95)),IF(N(Q95)&gt;0,Q95,MAX(1,H95)))))</f>
        <v>72</v>
      </c>
      <c r="BW95" s="53" t="n">
        <f aca="false">IF(BU95="LOSE",1,0)</f>
        <v>0</v>
      </c>
      <c r="BX95" s="53" t="n">
        <f aca="false">IF(AND(U95="",OR(P95="",P95="LOSE"),T95&lt;&gt;"",N(S95)&lt;=0,ISNUMBER(MATCH(T95,Parameter!$I$27:$I$29,0))),1,0)</f>
        <v>1</v>
      </c>
      <c r="BY95" s="53" t="n">
        <f aca="false">IF(CL95&gt;0,INDEX(Parameter!$H$5:$H$7,W95)/INDEX(Parameter!$E$5:$E$7,W95),IF(AND(BW95=0,N(IFERROR(VLOOKUP(BU95,'Gebinde-Kategorie'!$A$5:$N$45,14,0),0))&gt;0),VLOOKUP(BU95,'Gebinde-Kategorie'!$A$5:$N$45,14,0)*10+Parameter!$M$23,Parameter!$M$24))</f>
        <v>155</v>
      </c>
      <c r="BZ95" s="48" t="str">
        <f aca="false">IF(AND(Parameter!$B$19="Ja",E95&lt;&gt;"",ISNUMBER(MATCH(E95,Parameter!$I$35:$I$52,0))),VLOOKUP(E95,Parameter!$I$35:$J$52,2,0),IFERROR(VLOOKUP(D95,Parameter!$A$35:$C$64,2,0),"Nein"))</f>
        <v>2+3</v>
      </c>
      <c r="CA95" s="52" t="n">
        <f aca="false">IF(BW95=0,0,IF(N(S95)&gt;0,S95,IFERROR(VLOOKUP(D95,Parameter!$A$35:$C$64,3,0)+0,0)))</f>
        <v>0</v>
      </c>
      <c r="CB95" s="48" t="n">
        <f aca="false">IF(AA95&lt;&gt;"",AA95,Z95)</f>
        <v>3</v>
      </c>
      <c r="CC95" s="48" t="str">
        <f aca="false">IF(OR(CB95=1,CB95=2,CB95=3),IF(Parameter!$E$27="Ja","LIFT",IF(CB95=1,"L1","L23")),IF(CB95="Aussen","Aussen","-"))</f>
        <v>LIFT</v>
      </c>
      <c r="CD95" s="59" t="n">
        <f aca="false">IF(N(AB95)&gt;0,AB95,0)</f>
        <v>0</v>
      </c>
      <c r="CE95" s="53" t="n">
        <f aca="false">IF(ISNUMBER(AE95),1,0)</f>
        <v>0</v>
      </c>
      <c r="CF95" s="50" t="n">
        <f aca="false">N(AE95)</f>
        <v>0</v>
      </c>
      <c r="CG95" s="50" t="n">
        <f aca="false">N(M95)+N(N95)</f>
        <v>10</v>
      </c>
      <c r="CH95" s="50" t="n">
        <f aca="false">ROUNDUP(H95/BV95,0)</f>
        <v>1</v>
      </c>
      <c r="CI95" s="50" t="n">
        <f aca="false">ROUNDUP(CF95/BV95,0)</f>
        <v>0</v>
      </c>
      <c r="CJ95" s="53" t="n">
        <f aca="false">IF(BW95=1,0,IFERROR(VLOOKUP(BU95,'Gebinde-Kategorie'!$A$5:$N$45,5,0)+0,0))</f>
        <v>11</v>
      </c>
      <c r="CK95" s="53" t="n">
        <f aca="false">IFERROR(IF(OR(CB95=1,CB95=2,CB95=3),N(INDEX(Parameter!$I$5:$I$7,CB95)),0),0)</f>
        <v>0</v>
      </c>
      <c r="CL95" s="52" t="n">
        <f aca="false">IF(AND(Parameter!$B$21="Ja",ISNUMBER(W95),N(X95)&gt;0),IFERROR(N(INDEX(Parameter!$L$5:$L$7,W95))*INDEX(Parameter!$E$5:$E$7,W95)*X95/SUMIFS($X$7:$X$1843,$W$7:$W$1843,W95),0),0)</f>
        <v>0</v>
      </c>
    </row>
    <row r="96" customFormat="false" ht="15" hidden="false" customHeight="false" outlineLevel="0" collapsed="false">
      <c r="A96" s="48" t="s">
        <v>408</v>
      </c>
      <c r="B96" s="48" t="s">
        <v>409</v>
      </c>
      <c r="C96" s="48" t="s">
        <v>168</v>
      </c>
      <c r="D96" s="48" t="s">
        <v>177</v>
      </c>
      <c r="E96" s="48" t="s">
        <v>189</v>
      </c>
      <c r="F96" s="48" t="s">
        <v>222</v>
      </c>
      <c r="G96" s="49" t="n">
        <v>1.44</v>
      </c>
      <c r="H96" s="50" t="n">
        <f aca="false">MAX(0,IF(AND(Parameter!$B$21="Ja",ISNUMBER(Y96)),Y96,IF(Parameter!$B$20="Jahresanfang 2025 + Export",BO96+BN96,BN96)))</f>
        <v>4252</v>
      </c>
      <c r="I96" s="50" t="n">
        <f aca="false">H96*G96</f>
        <v>6122.88</v>
      </c>
      <c r="J96" s="50" t="n">
        <f aca="false">BQ96*Parameter!$B$18</f>
        <v>16871</v>
      </c>
      <c r="K96" s="51" t="n">
        <v>2824.5</v>
      </c>
      <c r="L96" s="52" t="n">
        <v>5.97309258275801</v>
      </c>
      <c r="M96" s="50" t="n">
        <v>1968</v>
      </c>
      <c r="N96" s="50" t="n">
        <v>2000</v>
      </c>
      <c r="O96" s="53" t="n">
        <v>42</v>
      </c>
      <c r="P96" s="48" t="s">
        <v>178</v>
      </c>
      <c r="Q96" s="50"/>
      <c r="R96" s="53" t="n">
        <f aca="false">IF(BW96=1,0,IFERROR(VLOOKUP(BU96,'Gebinde-Kategorie'!$A$5:$N$45,13,0)+0,0))</f>
        <v>6</v>
      </c>
      <c r="S96" s="54"/>
      <c r="T96" s="55"/>
      <c r="U96" s="55"/>
      <c r="V96" s="55"/>
      <c r="W96" s="48"/>
      <c r="X96" s="50"/>
      <c r="Y96" s="50"/>
      <c r="Z96" s="48" t="n">
        <f aca="false">IF(A96="","",IF(AND(Parameter!$B$21="Ja",ISNUMBER(W96)),W96,IF(BZ96="2+3",IF(ISNUMBER(SEARCH("grosser Artikel",BR96)),2,IFERROR(VLOOKUP(BU96,Parameter!$F$35:$G$64,2,0),2)),IF(OR(BZ96="Nein",BZ96=""),"-",BZ96))))</f>
        <v>2</v>
      </c>
      <c r="AA96" s="55"/>
      <c r="AB96" s="56"/>
      <c r="AC96" s="50" t="n">
        <f aca="false">AT96</f>
        <v>8504</v>
      </c>
      <c r="AD96" s="50" t="n">
        <f aca="false">MAX(AT96,H96)</f>
        <v>8504</v>
      </c>
      <c r="AE96" s="57"/>
      <c r="AF96" s="50" t="n">
        <f aca="false">IF(LEFT(Cockpit!$C$5,1)="A",H96,IF(CE96=1,CF96,IF(LEFT(Cockpit!$C$5,1)="B",AK96,MAX(AK96,H96))))</f>
        <v>4252</v>
      </c>
      <c r="AG96" s="50" t="n">
        <f aca="false">IF(BW96=1,0,ROUNDUP(AF96/BV96,0))</f>
        <v>1</v>
      </c>
      <c r="AH96" s="52" t="n">
        <f aca="false">IF(CL96&gt;0,CL96*MAX(1,AF96/X96),IF(BW96=1,IF(AF96&lt;=0,0,CA96*MAX(1,IF(H96&gt;0,AF96/H96,1))),IF(R96&gt;0,AG96/R96,0))/MAX(0.1,N(Parameter!$M$21)))</f>
        <v>0.166666666666667</v>
      </c>
      <c r="AI96" s="50" t="n">
        <f aca="false">AH96*BY96</f>
        <v>39.1666666666667</v>
      </c>
      <c r="AJ96" s="50" t="n">
        <f aca="false">AF96*G96</f>
        <v>6122.88</v>
      </c>
      <c r="AK96" s="50" t="n">
        <f aca="false">ROUNDUP(MAX(J96/IF(CD96&gt;0,CD96,MAX(0.1,N(Cockpit!$C$6))),CG96)/BV96,0)*BV96</f>
        <v>8504</v>
      </c>
      <c r="AL96" s="51" t="n">
        <f aca="false">IF(AI96&gt;0,J96/AI96,-1)</f>
        <v>430.748936170213</v>
      </c>
      <c r="AM96" s="51" t="n">
        <f aca="false">IF(AND(OR(CC96="L1",CC96="L23",CC96="LIFT"),AI96&gt;0),SUMIFS($AI$7:$AI$1843,$CC$7:$CC$1843,CC96,$AL$7:$AL$1843,"&gt;"&amp;AL96)+SUMIFS($AI$7:$AI$1843,$CC$7:$CC$1843,CC96,$AL$7:$AL$1843,AL96,$BT$7:$BT$1843,"&lt;="&amp;BT96),"")</f>
        <v>168.967948717949</v>
      </c>
      <c r="AN96" s="58" t="n">
        <f aca="false">IF(AM96="",0,MAX(0,MIN(1,(IF(CC96="L1",Parameter!$H$5,IF(CC96="L23",Parameter!$H$6+Parameter!$H$7,Parameter!$H$5+Parameter!$H$6+Parameter!$H$7))-(AM96-AI96))/AI96)))</f>
        <v>1</v>
      </c>
      <c r="AO96" s="50" t="n">
        <f aca="false">IF(LEFT(Cockpit!$I$5,1)="A",H96,IF(CE96=1,CF96,IF(LEFT(Cockpit!$I$5,1)="B",AT96,MAX(AT96,H96))))</f>
        <v>8504</v>
      </c>
      <c r="AP96" s="50" t="n">
        <f aca="false">IF(BW96=1,0,ROUNDUP(AO96/BV96,0))</f>
        <v>2</v>
      </c>
      <c r="AQ96" s="52" t="n">
        <f aca="false">IF(CL96&gt;0,CL96*MAX(1,AO96/X96),IF(BW96=1,IF(AO96&lt;=0,0,CA96*MAX(1,IF(H96&gt;0,AO96/H96,1))),IF(R96&gt;0,AP96/R96,0))/MAX(0.1,N(Parameter!$M$21)))</f>
        <v>0.333333333333333</v>
      </c>
      <c r="AR96" s="50" t="n">
        <f aca="false">AQ96*BY96</f>
        <v>78.3333333333333</v>
      </c>
      <c r="AS96" s="50" t="n">
        <f aca="false">AO96*G96</f>
        <v>12245.76</v>
      </c>
      <c r="AT96" s="50" t="n">
        <f aca="false">ROUNDUP(MAX(J96/IF(CD96&gt;0,CD96,MAX(0.1,N(Cockpit!$I$6))),CG96)/BV96,0)*BV96</f>
        <v>8504</v>
      </c>
      <c r="AU96" s="51" t="n">
        <f aca="false">IF(AR96&gt;0,J96/AR96,-1)</f>
        <v>215.374468085106</v>
      </c>
      <c r="AV96" s="51" t="n">
        <f aca="false">IF(AND(OR(CC96="L1",CC96="L23",CC96="LIFT"),AR96&gt;0),SUMIFS($AR$7:$AR$1843,$CC$7:$CC$1843,CC96,$AU$7:$AU$1843,"&gt;"&amp;AU96)+SUMIFS($AR$7:$AR$1843,$CC$7:$CC$1843,CC96,$AU$7:$AU$1843,AU96,$BT$7:$BT$1843,"&lt;="&amp;BT96),"")</f>
        <v>350.077380952381</v>
      </c>
      <c r="AW96" s="58" t="n">
        <f aca="false">IF(AV96="",0,MAX(0,MIN(1,(IF(CC96="L1",Parameter!$H$5,IF(CC96="L23",Parameter!$H$6+Parameter!$H$7,Parameter!$H$5+Parameter!$H$6+Parameter!$H$7))-(AV96-AR96))/AR96)))</f>
        <v>1</v>
      </c>
      <c r="AX96" s="50" t="n">
        <f aca="false">IF(LEFT(Cockpit!$O$5,1)="A",H96,IF(CE96=1,CF96,IF(LEFT(Cockpit!$O$5,1)="B",BC96,MAX(BC96,H96))))</f>
        <v>8504</v>
      </c>
      <c r="AY96" s="50" t="n">
        <f aca="false">IF(BW96=1,0,ROUNDUP(AX96/BV96,0))</f>
        <v>2</v>
      </c>
      <c r="AZ96" s="52" t="n">
        <f aca="false">IF(CL96&gt;0,CL96*MAX(1,AX96/X96),IF(BW96=1,IF(AX96&lt;=0,0,CA96*MAX(1,IF(H96&gt;0,AX96/H96,1))),IF(R96&gt;0,AY96/R96,0))/MAX(0.1,N(Parameter!$M$21)))</f>
        <v>0.333333333333333</v>
      </c>
      <c r="BA96" s="50" t="n">
        <f aca="false">AZ96*BY96</f>
        <v>78.3333333333333</v>
      </c>
      <c r="BB96" s="50" t="n">
        <f aca="false">AX96*G96</f>
        <v>12245.76</v>
      </c>
      <c r="BC96" s="50" t="n">
        <f aca="false">ROUNDUP(MAX(J96/IF(CD96&gt;0,CD96,MAX(0.1,N(Cockpit!$O$6))),CG96)/BV96,0)*BV96</f>
        <v>8504</v>
      </c>
      <c r="BD96" s="51" t="n">
        <f aca="false">IF(BA96&gt;0,J96/BA96,-1)</f>
        <v>215.374468085106</v>
      </c>
      <c r="BE96" s="51" t="n">
        <f aca="false">IF(AND(OR(CC96="L1",CC96="L23",CC96="LIFT"),BA96&gt;0),SUMIFS($BA$7:$BA$1843,$CC$7:$CC$1843,CC96,$BD$7:$BD$1843,"&gt;"&amp;BD96)+SUMIFS($BA$7:$BA$1843,$CC$7:$CC$1843,CC96,$BD$7:$BD$1843,BD96,$BT$7:$BT$1843,"&lt;="&amp;BT96),"")</f>
        <v>414.516483516484</v>
      </c>
      <c r="BF96" s="58" t="n">
        <f aca="false">IF(BE96="",0,MAX(0,MIN(1,(IF(CC96="L1",Parameter!$H$5,IF(CC96="L23",Parameter!$H$6+Parameter!$H$7,Parameter!$H$5+Parameter!$H$6+Parameter!$H$7))-(BE96-BA96))/BA96)))</f>
        <v>1</v>
      </c>
      <c r="BG96" s="48" t="str">
        <f aca="false">IF(AI96&lt;=0,"",IF(CC96="Aussen","Aussenlager",IF(CC96="-","Nicht im Lift",IF(AN96&gt;=1,"Lift",IF(AN96&lt;=0,"Aussenlager","teilweise")))))</f>
        <v>Lift</v>
      </c>
      <c r="BH96" s="48" t="str">
        <f aca="false">IF(AR96&lt;=0,"",IF(CC96="Aussen","Aussenlager",IF(CC96="-","Nicht im Lift",IF(AW96&gt;=1,"Lift",IF(AW96&lt;=0,"Aussenlager","teilweise")))))</f>
        <v>Lift</v>
      </c>
      <c r="BI96" s="48" t="str">
        <f aca="false">IF(BA96&lt;=0,"",IF(CC96="Aussen","Aussenlager",IF(CC96="-","Nicht im Lift",IF(BF96&gt;=1,"Lift",IF(BF96&lt;=0,"Aussenlager","teilweise")))))</f>
        <v>Lift</v>
      </c>
      <c r="BJ96" s="48" t="str">
        <f aca="false">IF(A96="","",IF(BS96=1,"Neu; ","")&amp;IF(AND(BS96=0,BN96&lt;0),"negativer Bestand (Export "&amp;BN96&amp;"); ","")&amp;IF(J96&lt;=0,"Kein Verbrauch; ","")&amp;IF(CL96&gt;0,"Lift "&amp;W96&amp;" lt. Liftbericht (Fach "&amp;X96&amp;" Stk); ",IF(BX96=1,"Gebinde geschätzt ("&amp;T96&amp;"); ",IF(BW96=1,"Lose – Tablare geschätzt; ","")))&amp;IF(H96&gt;AT96,"Überbestand "&amp;ROUND(H96-AT96,0)&amp;" Stk / CHF "&amp;ROUND((H96-AT96)*G96,0)&amp;"; ","")&amp;IF(AND(CE96=1,CF96&lt;CG96),"MAX &lt; MB+LG; ","")&amp;IF(AND(CK96&gt;0,CJ96*10&gt;CK96),"zu hoch für Tablar; ","")&amp;IF(AND(BS96=0,OR(CE96=1,AA96&lt;&gt;"",U96&lt;&gt;"",V96&lt;&gt;"",AB96&lt;&gt;"")),"manuell übersteuert; ","")&amp;IF(AND(BW96=0,R96=0),"Gebinde unbekannt / Stellmass fehlt; ","")&amp;IF(AND(BW96=0,N(V96)&lt;=0,N(Q96)&lt;=0),"Menge pro Gebinde fehlt (Ist = 1 Gebinde); ","")&amp;BR96)</f>
        <v>Menge pro Gebinde fehlt (Ist = 1 Gebinde); grosser Artikel &amp; nicht im KTL</v>
      </c>
      <c r="BK96" s="48"/>
      <c r="BL96" s="48"/>
      <c r="BM96" s="55"/>
      <c r="BN96" s="50" t="n">
        <v>1628</v>
      </c>
      <c r="BO96" s="50" t="n">
        <v>2624</v>
      </c>
      <c r="BP96" s="49" t="n">
        <v>2421.60000000001</v>
      </c>
      <c r="BQ96" s="50" t="n">
        <v>16871</v>
      </c>
      <c r="BR96" s="48" t="s">
        <v>265</v>
      </c>
      <c r="BS96" s="53" t="n">
        <v>0</v>
      </c>
      <c r="BT96" s="53" t="n">
        <v>96</v>
      </c>
      <c r="BU96" s="48" t="str">
        <f aca="false">IF(U96&lt;&gt;"",UPPER(TRIM(U96)),IF(BX96=1,UPPER(VLOOKUP(T96,Parameter!$I$27:$K$29,2,0)),IF(P96="","LOSE",P96)))</f>
        <v>S71</v>
      </c>
      <c r="BV96" s="50" t="n">
        <f aca="false">IF(BU96="LOSE",1,IF(N(V96)&gt;0,V96,IF(BX96=1,MAX(1,N(VLOOKUP(T96,Parameter!$I$27:$K$29,3,0)),H96,N(N96)),IF(N(Q96)&gt;0,Q96,MAX(1,H96)))))</f>
        <v>4252</v>
      </c>
      <c r="BW96" s="53" t="n">
        <f aca="false">IF(BU96="LOSE",1,0)</f>
        <v>0</v>
      </c>
      <c r="BX96" s="53" t="n">
        <f aca="false">IF(AND(U96="",OR(P96="",P96="LOSE"),T96&lt;&gt;"",N(S96)&lt;=0,ISNUMBER(MATCH(T96,Parameter!$I$27:$I$29,0))),1,0)</f>
        <v>0</v>
      </c>
      <c r="BY96" s="53" t="n">
        <f aca="false">IF(CL96&gt;0,INDEX(Parameter!$H$5:$H$7,W96)/INDEX(Parameter!$E$5:$E$7,W96),IF(AND(BW96=0,N(IFERROR(VLOOKUP(BU96,'Gebinde-Kategorie'!$A$5:$N$45,14,0),0))&gt;0),VLOOKUP(BU96,'Gebinde-Kategorie'!$A$5:$N$45,14,0)*10+Parameter!$M$23,Parameter!$M$24))</f>
        <v>235</v>
      </c>
      <c r="BZ96" s="48" t="str">
        <f aca="false">IF(AND(Parameter!$B$19="Ja",E96&lt;&gt;"",ISNUMBER(MATCH(E96,Parameter!$I$35:$I$52,0))),VLOOKUP(E96,Parameter!$I$35:$J$52,2,0),IFERROR(VLOOKUP(D96,Parameter!$A$35:$C$64,2,0),"Nein"))</f>
        <v>2+3</v>
      </c>
      <c r="CA96" s="52" t="n">
        <f aca="false">IF(BW96=0,0,IF(N(S96)&gt;0,S96,IFERROR(VLOOKUP(D96,Parameter!$A$35:$C$64,3,0)+0,0)))</f>
        <v>0</v>
      </c>
      <c r="CB96" s="48" t="n">
        <f aca="false">IF(AA96&lt;&gt;"",AA96,Z96)</f>
        <v>2</v>
      </c>
      <c r="CC96" s="48" t="str">
        <f aca="false">IF(OR(CB96=1,CB96=2,CB96=3),IF(Parameter!$E$27="Ja","LIFT",IF(CB96=1,"L1","L23")),IF(CB96="Aussen","Aussen","-"))</f>
        <v>LIFT</v>
      </c>
      <c r="CD96" s="59" t="n">
        <f aca="false">IF(N(AB96)&gt;0,AB96,0)</f>
        <v>0</v>
      </c>
      <c r="CE96" s="53" t="n">
        <f aca="false">IF(ISNUMBER(AE96),1,0)</f>
        <v>0</v>
      </c>
      <c r="CF96" s="50" t="n">
        <f aca="false">N(AE96)</f>
        <v>0</v>
      </c>
      <c r="CG96" s="50" t="n">
        <f aca="false">N(M96)+N(N96)</f>
        <v>3968</v>
      </c>
      <c r="CH96" s="50" t="n">
        <f aca="false">ROUNDUP(H96/BV96,0)</f>
        <v>1</v>
      </c>
      <c r="CI96" s="50" t="n">
        <f aca="false">ROUNDUP(CF96/BV96,0)</f>
        <v>0</v>
      </c>
      <c r="CJ96" s="53" t="n">
        <f aca="false">IF(BW96=1,0,IFERROR(VLOOKUP(BU96,'Gebinde-Kategorie'!$A$5:$N$45,5,0)+0,0))</f>
        <v>20</v>
      </c>
      <c r="CK96" s="53" t="n">
        <f aca="false">IFERROR(IF(OR(CB96=1,CB96=2,CB96=3),N(INDEX(Parameter!$I$5:$I$7,CB96)),0),0)</f>
        <v>0</v>
      </c>
      <c r="CL96" s="52" t="n">
        <f aca="false">IF(AND(Parameter!$B$21="Ja",ISNUMBER(W96),N(X96)&gt;0),IFERROR(N(INDEX(Parameter!$L$5:$L$7,W96))*INDEX(Parameter!$E$5:$E$7,W96)*X96/SUMIFS($X$7:$X$1843,$W$7:$W$1843,W96),0),0)</f>
        <v>0</v>
      </c>
    </row>
    <row r="97" customFormat="false" ht="15" hidden="false" customHeight="false" outlineLevel="0" collapsed="false">
      <c r="A97" s="48" t="s">
        <v>410</v>
      </c>
      <c r="B97" s="48" t="s">
        <v>411</v>
      </c>
      <c r="C97" s="48" t="s">
        <v>168</v>
      </c>
      <c r="D97" s="48" t="s">
        <v>188</v>
      </c>
      <c r="E97" s="48" t="s">
        <v>189</v>
      </c>
      <c r="F97" s="48" t="s">
        <v>222</v>
      </c>
      <c r="G97" s="49" t="n">
        <v>0.7</v>
      </c>
      <c r="H97" s="50" t="n">
        <f aca="false">MAX(0,IF(AND(Parameter!$B$21="Ja",ISNUMBER(Y97)),Y97,IF(Parameter!$B$20="Jahresanfang 2025 + Export",BO97+BN97,BN97)))</f>
        <v>8796</v>
      </c>
      <c r="I97" s="50" t="n">
        <f aca="false">H97*G97</f>
        <v>6157.2</v>
      </c>
      <c r="J97" s="50" t="n">
        <f aca="false">BQ97*Parameter!$B$18</f>
        <v>7575</v>
      </c>
      <c r="K97" s="51" t="n">
        <v>4450</v>
      </c>
      <c r="L97" s="52" t="n">
        <v>1.70224719101124</v>
      </c>
      <c r="M97" s="50" t="n">
        <v>850</v>
      </c>
      <c r="N97" s="50" t="n">
        <v>2000</v>
      </c>
      <c r="O97" s="53" t="n">
        <v>147</v>
      </c>
      <c r="P97" s="48" t="s">
        <v>230</v>
      </c>
      <c r="Q97" s="50" t="n">
        <v>6979</v>
      </c>
      <c r="R97" s="53" t="n">
        <f aca="false">IF(BW97=1,0,IFERROR(VLOOKUP(BU97,'Gebinde-Kategorie'!$A$5:$N$45,13,0)+0,0))</f>
        <v>12</v>
      </c>
      <c r="S97" s="54"/>
      <c r="T97" s="55"/>
      <c r="U97" s="55"/>
      <c r="V97" s="55"/>
      <c r="W97" s="48"/>
      <c r="X97" s="50"/>
      <c r="Y97" s="50"/>
      <c r="Z97" s="48" t="n">
        <f aca="false">IF(A97="","",IF(AND(Parameter!$B$21="Ja",ISNUMBER(W97)),W97,IF(BZ97="2+3",IF(ISNUMBER(SEARCH("grosser Artikel",BR97)),2,IFERROR(VLOOKUP(BU97,Parameter!$F$35:$G$64,2,0),2)),IF(OR(BZ97="Nein",BZ97=""),"-",BZ97))))</f>
        <v>2</v>
      </c>
      <c r="AA97" s="55"/>
      <c r="AB97" s="56"/>
      <c r="AC97" s="50" t="n">
        <f aca="false">AT97</f>
        <v>6979</v>
      </c>
      <c r="AD97" s="50" t="n">
        <f aca="false">MAX(AT97,H97)</f>
        <v>8796</v>
      </c>
      <c r="AE97" s="57"/>
      <c r="AF97" s="50" t="n">
        <f aca="false">IF(LEFT(Cockpit!$C$5,1)="A",H97,IF(CE97=1,CF97,IF(LEFT(Cockpit!$C$5,1)="B",AK97,MAX(AK97,H97))))</f>
        <v>8796</v>
      </c>
      <c r="AG97" s="50" t="n">
        <f aca="false">IF(BW97=1,0,ROUNDUP(AF97/BV97,0))</f>
        <v>2</v>
      </c>
      <c r="AH97" s="52" t="n">
        <f aca="false">IF(CL97&gt;0,CL97*MAX(1,AF97/X97),IF(BW97=1,IF(AF97&lt;=0,0,CA97*MAX(1,IF(H97&gt;0,AF97/H97,1))),IF(R97&gt;0,AG97/R97,0))/MAX(0.1,N(Parameter!$M$21)))</f>
        <v>0.166666666666667</v>
      </c>
      <c r="AI97" s="50" t="n">
        <f aca="false">AH97*BY97</f>
        <v>57.5</v>
      </c>
      <c r="AJ97" s="50" t="n">
        <f aca="false">AF97*G97</f>
        <v>6157.2</v>
      </c>
      <c r="AK97" s="50" t="n">
        <f aca="false">ROUNDUP(MAX(J97/IF(CD97&gt;0,CD97,MAX(0.1,N(Cockpit!$C$6))),CG97)/BV97,0)*BV97</f>
        <v>6979</v>
      </c>
      <c r="AL97" s="51" t="n">
        <f aca="false">IF(AI97&gt;0,J97/AI97,-1)</f>
        <v>131.739130434783</v>
      </c>
      <c r="AM97" s="51" t="n">
        <f aca="false">IF(AND(OR(CC97="L1",CC97="L23",CC97="LIFT"),AI97&gt;0),SUMIFS($AI$7:$AI$1843,$CC$7:$CC$1843,CC97,$AL$7:$AL$1843,"&gt;"&amp;AL97)+SUMIFS($AI$7:$AI$1843,$CC$7:$CC$1843,CC97,$AL$7:$AL$1843,AL97,$BT$7:$BT$1843,"&lt;="&amp;BT97),"")</f>
        <v>606.298534798535</v>
      </c>
      <c r="AN97" s="58" t="n">
        <f aca="false">IF(AM97="",0,MAX(0,MIN(1,(IF(CC97="L1",Parameter!$H$5,IF(CC97="L23",Parameter!$H$6+Parameter!$H$7,Parameter!$H$5+Parameter!$H$6+Parameter!$H$7))-(AM97-AI97))/AI97)))</f>
        <v>1</v>
      </c>
      <c r="AO97" s="50" t="n">
        <f aca="false">IF(LEFT(Cockpit!$I$5,1)="A",H97,IF(CE97=1,CF97,IF(LEFT(Cockpit!$I$5,1)="B",AT97,MAX(AT97,H97))))</f>
        <v>8796</v>
      </c>
      <c r="AP97" s="50" t="n">
        <f aca="false">IF(BW97=1,0,ROUNDUP(AO97/BV97,0))</f>
        <v>2</v>
      </c>
      <c r="AQ97" s="52" t="n">
        <f aca="false">IF(CL97&gt;0,CL97*MAX(1,AO97/X97),IF(BW97=1,IF(AO97&lt;=0,0,CA97*MAX(1,IF(H97&gt;0,AO97/H97,1))),IF(R97&gt;0,AP97/R97,0))/MAX(0.1,N(Parameter!$M$21)))</f>
        <v>0.166666666666667</v>
      </c>
      <c r="AR97" s="50" t="n">
        <f aca="false">AQ97*BY97</f>
        <v>57.5</v>
      </c>
      <c r="AS97" s="50" t="n">
        <f aca="false">AO97*G97</f>
        <v>6157.2</v>
      </c>
      <c r="AT97" s="50" t="n">
        <f aca="false">ROUNDUP(MAX(J97/IF(CD97&gt;0,CD97,MAX(0.1,N(Cockpit!$I$6))),CG97)/BV97,0)*BV97</f>
        <v>6979</v>
      </c>
      <c r="AU97" s="51" t="n">
        <f aca="false">IF(AR97&gt;0,J97/AR97,-1)</f>
        <v>131.739130434783</v>
      </c>
      <c r="AV97" s="51" t="n">
        <f aca="false">IF(AND(OR(CC97="L1",CC97="L23",CC97="LIFT"),AR97&gt;0),SUMIFS($AR$7:$AR$1843,$CC$7:$CC$1843,CC97,$AU$7:$AU$1843,"&gt;"&amp;AU97)+SUMIFS($AR$7:$AR$1843,$CC$7:$CC$1843,CC97,$AU$7:$AU$1843,AU97,$BT$7:$BT$1843,"&lt;="&amp;BT97),"")</f>
        <v>766.423534798535</v>
      </c>
      <c r="AW97" s="58" t="n">
        <f aca="false">IF(AV97="",0,MAX(0,MIN(1,(IF(CC97="L1",Parameter!$H$5,IF(CC97="L23",Parameter!$H$6+Parameter!$H$7,Parameter!$H$5+Parameter!$H$6+Parameter!$H$7))-(AV97-AR97))/AR97)))</f>
        <v>1</v>
      </c>
      <c r="AX97" s="50" t="n">
        <f aca="false">IF(LEFT(Cockpit!$O$5,1)="A",H97,IF(CE97=1,CF97,IF(LEFT(Cockpit!$O$5,1)="B",BC97,MAX(BC97,H97))))</f>
        <v>8796</v>
      </c>
      <c r="AY97" s="50" t="n">
        <f aca="false">IF(BW97=1,0,ROUNDUP(AX97/BV97,0))</f>
        <v>2</v>
      </c>
      <c r="AZ97" s="52" t="n">
        <f aca="false">IF(CL97&gt;0,CL97*MAX(1,AX97/X97),IF(BW97=1,IF(AX97&lt;=0,0,CA97*MAX(1,IF(H97&gt;0,AX97/H97,1))),IF(R97&gt;0,AY97/R97,0))/MAX(0.1,N(Parameter!$M$21)))</f>
        <v>0.166666666666667</v>
      </c>
      <c r="BA97" s="50" t="n">
        <f aca="false">AZ97*BY97</f>
        <v>57.5</v>
      </c>
      <c r="BB97" s="50" t="n">
        <f aca="false">AX97*G97</f>
        <v>6157.2</v>
      </c>
      <c r="BC97" s="50" t="n">
        <f aca="false">ROUNDUP(MAX(J97/IF(CD97&gt;0,CD97,MAX(0.1,N(Cockpit!$O$6))),CG97)/BV97,0)*BV97</f>
        <v>6979</v>
      </c>
      <c r="BD97" s="51" t="n">
        <f aca="false">IF(BA97&gt;0,J97/BA97,-1)</f>
        <v>131.739130434783</v>
      </c>
      <c r="BE97" s="51" t="n">
        <f aca="false">IF(AND(OR(CC97="L1",CC97="L23",CC97="LIFT"),BA97&gt;0),SUMIFS($BA$7:$BA$1843,$CC$7:$CC$1843,CC97,$BD$7:$BD$1843,"&gt;"&amp;BD97)+SUMIFS($BA$7:$BA$1843,$CC$7:$CC$1843,CC97,$BD$7:$BD$1843,BD97,$BT$7:$BT$1843,"&lt;="&amp;BT97),"")</f>
        <v>710.862637362637</v>
      </c>
      <c r="BF97" s="58" t="n">
        <f aca="false">IF(BE97="",0,MAX(0,MIN(1,(IF(CC97="L1",Parameter!$H$5,IF(CC97="L23",Parameter!$H$6+Parameter!$H$7,Parameter!$H$5+Parameter!$H$6+Parameter!$H$7))-(BE97-BA97))/BA97)))</f>
        <v>1</v>
      </c>
      <c r="BG97" s="48" t="str">
        <f aca="false">IF(AI97&lt;=0,"",IF(CC97="Aussen","Aussenlager",IF(CC97="-","Nicht im Lift",IF(AN97&gt;=1,"Lift",IF(AN97&lt;=0,"Aussenlager","teilweise")))))</f>
        <v>Lift</v>
      </c>
      <c r="BH97" s="48" t="str">
        <f aca="false">IF(AR97&lt;=0,"",IF(CC97="Aussen","Aussenlager",IF(CC97="-","Nicht im Lift",IF(AW97&gt;=1,"Lift",IF(AW97&lt;=0,"Aussenlager","teilweise")))))</f>
        <v>Lift</v>
      </c>
      <c r="BI97" s="48" t="str">
        <f aca="false">IF(BA97&lt;=0,"",IF(CC97="Aussen","Aussenlager",IF(CC97="-","Nicht im Lift",IF(BF97&gt;=1,"Lift",IF(BF97&lt;=0,"Aussenlager","teilweise")))))</f>
        <v>Lift</v>
      </c>
      <c r="BJ97" s="48" t="str">
        <f aca="false">IF(A97="","",IF(BS97=1,"Neu; ","")&amp;IF(AND(BS97=0,BN97&lt;0),"negativer Bestand (Export "&amp;BN97&amp;"); ","")&amp;IF(J97&lt;=0,"Kein Verbrauch; ","")&amp;IF(CL97&gt;0,"Lift "&amp;W97&amp;" lt. Liftbericht (Fach "&amp;X97&amp;" Stk); ",IF(BX97=1,"Gebinde geschätzt ("&amp;T97&amp;"); ",IF(BW97=1,"Lose – Tablare geschätzt; ","")))&amp;IF(H97&gt;AT97,"Überbestand "&amp;ROUND(H97-AT97,0)&amp;" Stk / CHF "&amp;ROUND((H97-AT97)*G97,0)&amp;"; ","")&amp;IF(AND(CE97=1,CF97&lt;CG97),"MAX &lt; MB+LG; ","")&amp;IF(AND(CK97&gt;0,CJ97*10&gt;CK97),"zu hoch für Tablar; ","")&amp;IF(AND(BS97=0,OR(CE97=1,AA97&lt;&gt;"",U97&lt;&gt;"",V97&lt;&gt;"",AB97&lt;&gt;"")),"manuell übersteuert; ","")&amp;IF(AND(BW97=0,R97=0),"Gebinde unbekannt / Stellmass fehlt; ","")&amp;IF(AND(BW97=0,N(V97)&lt;=0,N(Q97)&lt;=0),"Menge pro Gebinde fehlt (Ist = 1 Gebinde); ","")&amp;BR97)</f>
        <v>Überbestand 1817 Stk / CHF 1272; </v>
      </c>
      <c r="BK97" s="48"/>
      <c r="BL97" s="48"/>
      <c r="BM97" s="55"/>
      <c r="BN97" s="50" t="n">
        <v>2568</v>
      </c>
      <c r="BO97" s="50" t="n">
        <v>6228</v>
      </c>
      <c r="BP97" s="49" t="n">
        <v>2416.7</v>
      </c>
      <c r="BQ97" s="50" t="n">
        <v>7575</v>
      </c>
      <c r="BR97" s="48"/>
      <c r="BS97" s="53" t="n">
        <v>0</v>
      </c>
      <c r="BT97" s="53" t="n">
        <v>97</v>
      </c>
      <c r="BU97" s="48" t="str">
        <f aca="false">IF(U97&lt;&gt;"",UPPER(TRIM(U97)),IF(BX97=1,UPPER(VLOOKUP(T97,Parameter!$I$27:$K$29,2,0)),IF(P97="","LOSE",P97)))</f>
        <v>S63</v>
      </c>
      <c r="BV97" s="50" t="n">
        <f aca="false">IF(BU97="LOSE",1,IF(N(V97)&gt;0,V97,IF(BX97=1,MAX(1,N(VLOOKUP(T97,Parameter!$I$27:$K$29,3,0)),H97,N(N97)),IF(N(Q97)&gt;0,Q97,MAX(1,H97)))))</f>
        <v>6979</v>
      </c>
      <c r="BW97" s="53" t="n">
        <f aca="false">IF(BU97="LOSE",1,0)</f>
        <v>0</v>
      </c>
      <c r="BX97" s="53" t="n">
        <f aca="false">IF(AND(U97="",OR(P97="",P97="LOSE"),T97&lt;&gt;"",N(S97)&lt;=0,ISNUMBER(MATCH(T97,Parameter!$I$27:$I$29,0))),1,0)</f>
        <v>0</v>
      </c>
      <c r="BY97" s="53" t="n">
        <f aca="false">IF(CL97&gt;0,INDEX(Parameter!$H$5:$H$7,W97)/INDEX(Parameter!$E$5:$E$7,W97),IF(AND(BW97=0,N(IFERROR(VLOOKUP(BU97,'Gebinde-Kategorie'!$A$5:$N$45,14,0),0))&gt;0),VLOOKUP(BU97,'Gebinde-Kategorie'!$A$5:$N$45,14,0)*10+Parameter!$M$23,Parameter!$M$24))</f>
        <v>345</v>
      </c>
      <c r="BZ97" s="48" t="str">
        <f aca="false">IF(AND(Parameter!$B$19="Ja",E97&lt;&gt;"",ISNUMBER(MATCH(E97,Parameter!$I$35:$I$52,0))),VLOOKUP(E97,Parameter!$I$35:$J$52,2,0),IFERROR(VLOOKUP(D97,Parameter!$A$35:$C$64,2,0),"Nein"))</f>
        <v>2+3</v>
      </c>
      <c r="CA97" s="52" t="n">
        <f aca="false">IF(BW97=0,0,IF(N(S97)&gt;0,S97,IFERROR(VLOOKUP(D97,Parameter!$A$35:$C$64,3,0)+0,0)))</f>
        <v>0</v>
      </c>
      <c r="CB97" s="48" t="n">
        <f aca="false">IF(AA97&lt;&gt;"",AA97,Z97)</f>
        <v>2</v>
      </c>
      <c r="CC97" s="48" t="str">
        <f aca="false">IF(OR(CB97=1,CB97=2,CB97=3),IF(Parameter!$E$27="Ja","LIFT",IF(CB97=1,"L1","L23")),IF(CB97="Aussen","Aussen","-"))</f>
        <v>LIFT</v>
      </c>
      <c r="CD97" s="59" t="n">
        <f aca="false">IF(N(AB97)&gt;0,AB97,0)</f>
        <v>0</v>
      </c>
      <c r="CE97" s="53" t="n">
        <f aca="false">IF(ISNUMBER(AE97),1,0)</f>
        <v>0</v>
      </c>
      <c r="CF97" s="50" t="n">
        <f aca="false">N(AE97)</f>
        <v>0</v>
      </c>
      <c r="CG97" s="50" t="n">
        <f aca="false">N(M97)+N(N97)</f>
        <v>2850</v>
      </c>
      <c r="CH97" s="50" t="n">
        <f aca="false">ROUNDUP(H97/BV97,0)</f>
        <v>2</v>
      </c>
      <c r="CI97" s="50" t="n">
        <f aca="false">ROUNDUP(CF97/BV97,0)</f>
        <v>0</v>
      </c>
      <c r="CJ97" s="53" t="n">
        <f aca="false">IF(BW97=1,0,IFERROR(VLOOKUP(BU97,'Gebinde-Kategorie'!$A$5:$N$45,5,0)+0,0))</f>
        <v>31</v>
      </c>
      <c r="CK97" s="53" t="n">
        <f aca="false">IFERROR(IF(OR(CB97=1,CB97=2,CB97=3),N(INDEX(Parameter!$I$5:$I$7,CB97)),0),0)</f>
        <v>0</v>
      </c>
      <c r="CL97" s="52" t="n">
        <f aca="false">IF(AND(Parameter!$B$21="Ja",ISNUMBER(W97),N(X97)&gt;0),IFERROR(N(INDEX(Parameter!$L$5:$L$7,W97))*INDEX(Parameter!$E$5:$E$7,W97)*X97/SUMIFS($X$7:$X$1843,$W$7:$W$1843,W97),0),0)</f>
        <v>0</v>
      </c>
    </row>
    <row r="98" customFormat="false" ht="15" hidden="false" customHeight="false" outlineLevel="0" collapsed="false">
      <c r="A98" s="48" t="s">
        <v>412</v>
      </c>
      <c r="B98" s="48" t="s">
        <v>413</v>
      </c>
      <c r="C98" s="48" t="s">
        <v>168</v>
      </c>
      <c r="D98" s="48" t="s">
        <v>188</v>
      </c>
      <c r="E98" s="48" t="s">
        <v>189</v>
      </c>
      <c r="F98" s="48" t="s">
        <v>222</v>
      </c>
      <c r="G98" s="49" t="n">
        <v>63</v>
      </c>
      <c r="H98" s="50" t="n">
        <f aca="false">MAX(0,IF(AND(Parameter!$B$21="Ja",ISNUMBER(Y98)),Y98,IF(Parameter!$B$20="Jahresanfang 2025 + Export",BO98+BN98,BN98)))</f>
        <v>51</v>
      </c>
      <c r="I98" s="50" t="n">
        <f aca="false">H98*G98</f>
        <v>3213</v>
      </c>
      <c r="J98" s="50" t="n">
        <f aca="false">BQ98*Parameter!$B$18</f>
        <v>66</v>
      </c>
      <c r="K98" s="51" t="n">
        <v>29.5</v>
      </c>
      <c r="L98" s="52" t="n">
        <v>2.23728813559322</v>
      </c>
      <c r="M98" s="50" t="n">
        <v>5</v>
      </c>
      <c r="N98" s="50" t="n">
        <v>50</v>
      </c>
      <c r="O98" s="53" t="n">
        <v>28</v>
      </c>
      <c r="P98" s="48" t="s">
        <v>306</v>
      </c>
      <c r="Q98" s="50" t="n">
        <v>34</v>
      </c>
      <c r="R98" s="53" t="n">
        <f aca="false">IF(BW98=1,0,IFERROR(VLOOKUP(BU98,'Gebinde-Kategorie'!$A$5:$N$45,13,0)+0,0))</f>
        <v>26</v>
      </c>
      <c r="S98" s="54"/>
      <c r="T98" s="55"/>
      <c r="U98" s="55"/>
      <c r="V98" s="55"/>
      <c r="W98" s="48"/>
      <c r="X98" s="50"/>
      <c r="Y98" s="50"/>
      <c r="Z98" s="48" t="n">
        <f aca="false">IF(A98="","",IF(AND(Parameter!$B$21="Ja",ISNUMBER(W98)),W98,IF(BZ98="2+3",IF(ISNUMBER(SEARCH("grosser Artikel",BR98)),2,IFERROR(VLOOKUP(BU98,Parameter!$F$35:$G$64,2,0),2)),IF(OR(BZ98="Nein",BZ98=""),"-",BZ98))))</f>
        <v>3</v>
      </c>
      <c r="AA98" s="55"/>
      <c r="AB98" s="56"/>
      <c r="AC98" s="50" t="n">
        <f aca="false">AT98</f>
        <v>68</v>
      </c>
      <c r="AD98" s="50" t="n">
        <f aca="false">MAX(AT98,H98)</f>
        <v>68</v>
      </c>
      <c r="AE98" s="57"/>
      <c r="AF98" s="50" t="n">
        <f aca="false">IF(LEFT(Cockpit!$C$5,1)="A",H98,IF(CE98=1,CF98,IF(LEFT(Cockpit!$C$5,1)="B",AK98,MAX(AK98,H98))))</f>
        <v>51</v>
      </c>
      <c r="AG98" s="50" t="n">
        <f aca="false">IF(BW98=1,0,ROUNDUP(AF98/BV98,0))</f>
        <v>2</v>
      </c>
      <c r="AH98" s="52" t="n">
        <f aca="false">IF(CL98&gt;0,CL98*MAX(1,AF98/X98),IF(BW98=1,IF(AF98&lt;=0,0,CA98*MAX(1,IF(H98&gt;0,AF98/H98,1))),IF(R98&gt;0,AG98/R98,0))/MAX(0.1,N(Parameter!$M$21)))</f>
        <v>0.0769230769230769</v>
      </c>
      <c r="AI98" s="50" t="n">
        <f aca="false">AH98*BY98</f>
        <v>11.9230769230769</v>
      </c>
      <c r="AJ98" s="50" t="n">
        <f aca="false">AF98*G98</f>
        <v>3213</v>
      </c>
      <c r="AK98" s="50" t="n">
        <f aca="false">ROUNDUP(MAX(J98/IF(CD98&gt;0,CD98,MAX(0.1,N(Cockpit!$C$6))),CG98)/BV98,0)*BV98</f>
        <v>68</v>
      </c>
      <c r="AL98" s="51" t="n">
        <f aca="false">IF(AI98&gt;0,J98/AI98,-1)</f>
        <v>5.53548387096774</v>
      </c>
      <c r="AM98" s="51" t="n">
        <f aca="false">IF(AND(OR(CC98="L1",CC98="L23",CC98="LIFT"),AI98&gt;0),SUMIFS($AI$7:$AI$1843,$CC$7:$CC$1843,CC98,$AL$7:$AL$1843,"&gt;"&amp;AL98)+SUMIFS($AI$7:$AI$1843,$CC$7:$CC$1843,CC98,$AL$7:$AL$1843,AL98,$BT$7:$BT$1843,"&lt;="&amp;BT98),"")</f>
        <v>3708.51968864469</v>
      </c>
      <c r="AN98" s="58" t="n">
        <f aca="false">IF(AM98="",0,MAX(0,MIN(1,(IF(CC98="L1",Parameter!$H$5,IF(CC98="L23",Parameter!$H$6+Parameter!$H$7,Parameter!$H$5+Parameter!$H$6+Parameter!$H$7))-(AM98-AI98))/AI98)))</f>
        <v>1</v>
      </c>
      <c r="AO98" s="50" t="n">
        <f aca="false">IF(LEFT(Cockpit!$I$5,1)="A",H98,IF(CE98=1,CF98,IF(LEFT(Cockpit!$I$5,1)="B",AT98,MAX(AT98,H98))))</f>
        <v>68</v>
      </c>
      <c r="AP98" s="50" t="n">
        <f aca="false">IF(BW98=1,0,ROUNDUP(AO98/BV98,0))</f>
        <v>2</v>
      </c>
      <c r="AQ98" s="52" t="n">
        <f aca="false">IF(CL98&gt;0,CL98*MAX(1,AO98/X98),IF(BW98=1,IF(AO98&lt;=0,0,CA98*MAX(1,IF(H98&gt;0,AO98/H98,1))),IF(R98&gt;0,AP98/R98,0))/MAX(0.1,N(Parameter!$M$21)))</f>
        <v>0.0769230769230769</v>
      </c>
      <c r="AR98" s="50" t="n">
        <f aca="false">AQ98*BY98</f>
        <v>11.9230769230769</v>
      </c>
      <c r="AS98" s="50" t="n">
        <f aca="false">AO98*G98</f>
        <v>4284</v>
      </c>
      <c r="AT98" s="50" t="n">
        <f aca="false">ROUNDUP(MAX(J98/IF(CD98&gt;0,CD98,MAX(0.1,N(Cockpit!$I$6))),CG98)/BV98,0)*BV98</f>
        <v>68</v>
      </c>
      <c r="AU98" s="51" t="n">
        <f aca="false">IF(AR98&gt;0,J98/AR98,-1)</f>
        <v>5.53548387096774</v>
      </c>
      <c r="AV98" s="51" t="n">
        <f aca="false">IF(AND(OR(CC98="L1",CC98="L23",CC98="LIFT"),AR98&gt;0),SUMIFS($AR$7:$AR$1843,$CC$7:$CC$1843,CC98,$AU$7:$AU$1843,"&gt;"&amp;AU98)+SUMIFS($AR$7:$AR$1843,$CC$7:$CC$1843,CC98,$AU$7:$AU$1843,AU98,$BT$7:$BT$1843,"&lt;="&amp;BT98),"")</f>
        <v>4889.49771062271</v>
      </c>
      <c r="AW98" s="58" t="n">
        <f aca="false">IF(AV98="",0,MAX(0,MIN(1,(IF(CC98="L1",Parameter!$H$5,IF(CC98="L23",Parameter!$H$6+Parameter!$H$7,Parameter!$H$5+Parameter!$H$6+Parameter!$H$7))-(AV98-AR98))/AR98)))</f>
        <v>1</v>
      </c>
      <c r="AX98" s="50" t="n">
        <f aca="false">IF(LEFT(Cockpit!$O$5,1)="A",H98,IF(CE98=1,CF98,IF(LEFT(Cockpit!$O$5,1)="B",BC98,MAX(BC98,H98))))</f>
        <v>68</v>
      </c>
      <c r="AY98" s="50" t="n">
        <f aca="false">IF(BW98=1,0,ROUNDUP(AX98/BV98,0))</f>
        <v>2</v>
      </c>
      <c r="AZ98" s="52" t="n">
        <f aca="false">IF(CL98&gt;0,CL98*MAX(1,AX98/X98),IF(BW98=1,IF(AX98&lt;=0,0,CA98*MAX(1,IF(H98&gt;0,AX98/H98,1))),IF(R98&gt;0,AY98/R98,0))/MAX(0.1,N(Parameter!$M$21)))</f>
        <v>0.0769230769230769</v>
      </c>
      <c r="BA98" s="50" t="n">
        <f aca="false">AZ98*BY98</f>
        <v>11.9230769230769</v>
      </c>
      <c r="BB98" s="50" t="n">
        <f aca="false">AX98*G98</f>
        <v>4284</v>
      </c>
      <c r="BC98" s="50" t="n">
        <f aca="false">ROUNDUP(MAX(J98/IF(CD98&gt;0,CD98,MAX(0.1,N(Cockpit!$O$6))),CG98)/BV98,0)*BV98</f>
        <v>68</v>
      </c>
      <c r="BD98" s="51" t="n">
        <f aca="false">IF(BA98&gt;0,J98/BA98,-1)</f>
        <v>5.53548387096774</v>
      </c>
      <c r="BE98" s="51" t="n">
        <f aca="false">IF(AND(OR(CC98="L1",CC98="L23",CC98="LIFT"),BA98&gt;0),SUMIFS($BA$7:$BA$1843,$CC$7:$CC$1843,CC98,$BD$7:$BD$1843,"&gt;"&amp;BD98)+SUMIFS($BA$7:$BA$1843,$CC$7:$CC$1843,CC98,$BD$7:$BD$1843,BD98,$BT$7:$BT$1843,"&lt;="&amp;BT98),"")</f>
        <v>4559.96245421246</v>
      </c>
      <c r="BF98" s="58" t="n">
        <f aca="false">IF(BE98="",0,MAX(0,MIN(1,(IF(CC98="L1",Parameter!$H$5,IF(CC98="L23",Parameter!$H$6+Parameter!$H$7,Parameter!$H$5+Parameter!$H$6+Parameter!$H$7))-(BE98-BA98))/BA98)))</f>
        <v>1</v>
      </c>
      <c r="BG98" s="48" t="str">
        <f aca="false">IF(AI98&lt;=0,"",IF(CC98="Aussen","Aussenlager",IF(CC98="-","Nicht im Lift",IF(AN98&gt;=1,"Lift",IF(AN98&lt;=0,"Aussenlager","teilweise")))))</f>
        <v>Lift</v>
      </c>
      <c r="BH98" s="48" t="str">
        <f aca="false">IF(AR98&lt;=0,"",IF(CC98="Aussen","Aussenlager",IF(CC98="-","Nicht im Lift",IF(AW98&gt;=1,"Lift",IF(AW98&lt;=0,"Aussenlager","teilweise")))))</f>
        <v>Lift</v>
      </c>
      <c r="BI98" s="48" t="str">
        <f aca="false">IF(BA98&lt;=0,"",IF(CC98="Aussen","Aussenlager",IF(CC98="-","Nicht im Lift",IF(BF98&gt;=1,"Lift",IF(BF98&lt;=0,"Aussenlager","teilweise")))))</f>
        <v>Lift</v>
      </c>
      <c r="BJ98" s="48" t="str">
        <f aca="false">IF(A98="","",IF(BS98=1,"Neu; ","")&amp;IF(AND(BS98=0,BN98&lt;0),"negativer Bestand (Export "&amp;BN98&amp;"); ","")&amp;IF(J98&lt;=0,"Kein Verbrauch; ","")&amp;IF(CL98&gt;0,"Lift "&amp;W98&amp;" lt. Liftbericht (Fach "&amp;X98&amp;" Stk); ",IF(BX98=1,"Gebinde geschätzt ("&amp;T98&amp;"); ",IF(BW98=1,"Lose – Tablare geschätzt; ","")))&amp;IF(H98&gt;AT98,"Überbestand "&amp;ROUND(H98-AT98,0)&amp;" Stk / CHF "&amp;ROUND((H98-AT98)*G98,0)&amp;"; ","")&amp;IF(AND(CE98=1,CF98&lt;CG98),"MAX &lt; MB+LG; ","")&amp;IF(AND(CK98&gt;0,CJ98*10&gt;CK98),"zu hoch für Tablar; ","")&amp;IF(AND(BS98=0,OR(CE98=1,AA98&lt;&gt;"",U98&lt;&gt;"",V98&lt;&gt;"",AB98&lt;&gt;"")),"manuell übersteuert; ","")&amp;IF(AND(BW98=0,R98=0),"Gebinde unbekannt / Stellmass fehlt; ","")&amp;IF(AND(BW98=0,N(V98)&lt;=0,N(Q98)&lt;=0),"Menge pro Gebinde fehlt (Ist = 1 Gebinde); ","")&amp;BR98)</f>
        <v/>
      </c>
      <c r="BK98" s="48"/>
      <c r="BL98" s="48"/>
      <c r="BM98" s="55"/>
      <c r="BN98" s="50" t="n">
        <v>38</v>
      </c>
      <c r="BO98" s="50" t="n">
        <v>13</v>
      </c>
      <c r="BP98" s="49" t="n">
        <v>2394.26</v>
      </c>
      <c r="BQ98" s="50" t="n">
        <v>66</v>
      </c>
      <c r="BR98" s="48"/>
      <c r="BS98" s="53" t="n">
        <v>0</v>
      </c>
      <c r="BT98" s="53" t="n">
        <v>98</v>
      </c>
      <c r="BU98" s="48" t="str">
        <f aca="false">IF(U98&lt;&gt;"",UPPER(TRIM(U98)),IF(BX98=1,UPPER(VLOOKUP(T98,Parameter!$I$27:$K$29,2,0)),IF(P98="","LOSE",P98)))</f>
        <v>S51</v>
      </c>
      <c r="BV98" s="50" t="n">
        <f aca="false">IF(BU98="LOSE",1,IF(N(V98)&gt;0,V98,IF(BX98=1,MAX(1,N(VLOOKUP(T98,Parameter!$I$27:$K$29,3,0)),H98,N(N98)),IF(N(Q98)&gt;0,Q98,MAX(1,H98)))))</f>
        <v>34</v>
      </c>
      <c r="BW98" s="53" t="n">
        <f aca="false">IF(BU98="LOSE",1,0)</f>
        <v>0</v>
      </c>
      <c r="BX98" s="53" t="n">
        <f aca="false">IF(AND(U98="",OR(P98="",P98="LOSE"),T98&lt;&gt;"",N(S98)&lt;=0,ISNUMBER(MATCH(T98,Parameter!$I$27:$I$29,0))),1,0)</f>
        <v>0</v>
      </c>
      <c r="BY98" s="53" t="n">
        <f aca="false">IF(CL98&gt;0,INDEX(Parameter!$H$5:$H$7,W98)/INDEX(Parameter!$E$5:$E$7,W98),IF(AND(BW98=0,N(IFERROR(VLOOKUP(BU98,'Gebinde-Kategorie'!$A$5:$N$45,14,0),0))&gt;0),VLOOKUP(BU98,'Gebinde-Kategorie'!$A$5:$N$45,14,0)*10+Parameter!$M$23,Parameter!$M$24))</f>
        <v>155</v>
      </c>
      <c r="BZ98" s="48" t="str">
        <f aca="false">IF(AND(Parameter!$B$19="Ja",E98&lt;&gt;"",ISNUMBER(MATCH(E98,Parameter!$I$35:$I$52,0))),VLOOKUP(E98,Parameter!$I$35:$J$52,2,0),IFERROR(VLOOKUP(D98,Parameter!$A$35:$C$64,2,0),"Nein"))</f>
        <v>2+3</v>
      </c>
      <c r="CA98" s="52" t="n">
        <f aca="false">IF(BW98=0,0,IF(N(S98)&gt;0,S98,IFERROR(VLOOKUP(D98,Parameter!$A$35:$C$64,3,0)+0,0)))</f>
        <v>0</v>
      </c>
      <c r="CB98" s="48" t="n">
        <f aca="false">IF(AA98&lt;&gt;"",AA98,Z98)</f>
        <v>3</v>
      </c>
      <c r="CC98" s="48" t="str">
        <f aca="false">IF(OR(CB98=1,CB98=2,CB98=3),IF(Parameter!$E$27="Ja","LIFT",IF(CB98=1,"L1","L23")),IF(CB98="Aussen","Aussen","-"))</f>
        <v>LIFT</v>
      </c>
      <c r="CD98" s="59" t="n">
        <f aca="false">IF(N(AB98)&gt;0,AB98,0)</f>
        <v>0</v>
      </c>
      <c r="CE98" s="53" t="n">
        <f aca="false">IF(ISNUMBER(AE98),1,0)</f>
        <v>0</v>
      </c>
      <c r="CF98" s="50" t="n">
        <f aca="false">N(AE98)</f>
        <v>0</v>
      </c>
      <c r="CG98" s="50" t="n">
        <f aca="false">N(M98)+N(N98)</f>
        <v>55</v>
      </c>
      <c r="CH98" s="50" t="n">
        <f aca="false">ROUNDUP(H98/BV98,0)</f>
        <v>2</v>
      </c>
      <c r="CI98" s="50" t="n">
        <f aca="false">ROUNDUP(CF98/BV98,0)</f>
        <v>0</v>
      </c>
      <c r="CJ98" s="53" t="n">
        <f aca="false">IF(BW98=1,0,IFERROR(VLOOKUP(BU98,'Gebinde-Kategorie'!$A$5:$N$45,5,0)+0,0))</f>
        <v>11</v>
      </c>
      <c r="CK98" s="53" t="n">
        <f aca="false">IFERROR(IF(OR(CB98=1,CB98=2,CB98=3),N(INDEX(Parameter!$I$5:$I$7,CB98)),0),0)</f>
        <v>0</v>
      </c>
      <c r="CL98" s="52" t="n">
        <f aca="false">IF(AND(Parameter!$B$21="Ja",ISNUMBER(W98),N(X98)&gt;0),IFERROR(N(INDEX(Parameter!$L$5:$L$7,W98))*INDEX(Parameter!$E$5:$E$7,W98)*X98/SUMIFS($X$7:$X$1843,$W$7:$W$1843,W98),0),0)</f>
        <v>0</v>
      </c>
    </row>
    <row r="99" customFormat="false" ht="15" hidden="false" customHeight="false" outlineLevel="0" collapsed="false">
      <c r="A99" s="48" t="s">
        <v>414</v>
      </c>
      <c r="B99" s="48" t="s">
        <v>415</v>
      </c>
      <c r="C99" s="48" t="s">
        <v>168</v>
      </c>
      <c r="D99" s="48" t="s">
        <v>177</v>
      </c>
      <c r="E99" s="48" t="s">
        <v>189</v>
      </c>
      <c r="F99" s="48" t="s">
        <v>222</v>
      </c>
      <c r="G99" s="49" t="n">
        <v>198.42</v>
      </c>
      <c r="H99" s="50" t="n">
        <f aca="false">MAX(0,IF(AND(Parameter!$B$21="Ja",ISNUMBER(Y99)),Y99,IF(Parameter!$B$20="Jahresanfang 2025 + Export",BO99+BN99,BN99)))</f>
        <v>12</v>
      </c>
      <c r="I99" s="50" t="n">
        <f aca="false">H99*G99</f>
        <v>2381.04</v>
      </c>
      <c r="J99" s="50" t="n">
        <f aca="false">BQ99*Parameter!$B$18</f>
        <v>24</v>
      </c>
      <c r="K99" s="51" t="n">
        <v>7</v>
      </c>
      <c r="L99" s="52" t="n">
        <v>3.42857142857143</v>
      </c>
      <c r="M99" s="50" t="n">
        <v>3</v>
      </c>
      <c r="N99" s="50" t="n">
        <v>15</v>
      </c>
      <c r="O99" s="53" t="n">
        <v>56</v>
      </c>
      <c r="P99" s="48" t="s">
        <v>306</v>
      </c>
      <c r="Q99" s="50" t="n">
        <v>12</v>
      </c>
      <c r="R99" s="53" t="n">
        <f aca="false">IF(BW99=1,0,IFERROR(VLOOKUP(BU99,'Gebinde-Kategorie'!$A$5:$N$45,13,0)+0,0))</f>
        <v>26</v>
      </c>
      <c r="S99" s="54"/>
      <c r="T99" s="55"/>
      <c r="U99" s="55"/>
      <c r="V99" s="55"/>
      <c r="W99" s="48"/>
      <c r="X99" s="50"/>
      <c r="Y99" s="50"/>
      <c r="Z99" s="48" t="n">
        <f aca="false">IF(A99="","",IF(AND(Parameter!$B$21="Ja",ISNUMBER(W99)),W99,IF(BZ99="2+3",IF(ISNUMBER(SEARCH("grosser Artikel",BR99)),2,IFERROR(VLOOKUP(BU99,Parameter!$F$35:$G$64,2,0),2)),IF(OR(BZ99="Nein",BZ99=""),"-",BZ99))))</f>
        <v>3</v>
      </c>
      <c r="AA99" s="55"/>
      <c r="AB99" s="56"/>
      <c r="AC99" s="50" t="n">
        <f aca="false">AT99</f>
        <v>24</v>
      </c>
      <c r="AD99" s="50" t="n">
        <f aca="false">MAX(AT99,H99)</f>
        <v>24</v>
      </c>
      <c r="AE99" s="57"/>
      <c r="AF99" s="50" t="n">
        <f aca="false">IF(LEFT(Cockpit!$C$5,1)="A",H99,IF(CE99=1,CF99,IF(LEFT(Cockpit!$C$5,1)="B",AK99,MAX(AK99,H99))))</f>
        <v>12</v>
      </c>
      <c r="AG99" s="50" t="n">
        <f aca="false">IF(BW99=1,0,ROUNDUP(AF99/BV99,0))</f>
        <v>1</v>
      </c>
      <c r="AH99" s="52" t="n">
        <f aca="false">IF(CL99&gt;0,CL99*MAX(1,AF99/X99),IF(BW99=1,IF(AF99&lt;=0,0,CA99*MAX(1,IF(H99&gt;0,AF99/H99,1))),IF(R99&gt;0,AG99/R99,0))/MAX(0.1,N(Parameter!$M$21)))</f>
        <v>0.0384615384615385</v>
      </c>
      <c r="AI99" s="50" t="n">
        <f aca="false">AH99*BY99</f>
        <v>5.96153846153846</v>
      </c>
      <c r="AJ99" s="50" t="n">
        <f aca="false">AF99*G99</f>
        <v>2381.04</v>
      </c>
      <c r="AK99" s="50" t="n">
        <f aca="false">ROUNDUP(MAX(J99/IF(CD99&gt;0,CD99,MAX(0.1,N(Cockpit!$C$6))),CG99)/BV99,0)*BV99</f>
        <v>24</v>
      </c>
      <c r="AL99" s="51" t="n">
        <f aca="false">IF(AI99&gt;0,J99/AI99,-1)</f>
        <v>4.0258064516129</v>
      </c>
      <c r="AM99" s="51" t="n">
        <f aca="false">IF(AND(OR(CC99="L1",CC99="L23",CC99="LIFT"),AI99&gt;0),SUMIFS($AI$7:$AI$1843,$CC$7:$CC$1843,CC99,$AL$7:$AL$1843,"&gt;"&amp;AL99)+SUMIFS($AI$7:$AI$1843,$CC$7:$CC$1843,CC99,$AL$7:$AL$1843,AL99,$BT$7:$BT$1843,"&lt;="&amp;BT99),"")</f>
        <v>4316.95833333333</v>
      </c>
      <c r="AN99" s="58" t="n">
        <f aca="false">IF(AM99="",0,MAX(0,MIN(1,(IF(CC99="L1",Parameter!$H$5,IF(CC99="L23",Parameter!$H$6+Parameter!$H$7,Parameter!$H$5+Parameter!$H$6+Parameter!$H$7))-(AM99-AI99))/AI99)))</f>
        <v>1</v>
      </c>
      <c r="AO99" s="50" t="n">
        <f aca="false">IF(LEFT(Cockpit!$I$5,1)="A",H99,IF(CE99=1,CF99,IF(LEFT(Cockpit!$I$5,1)="B",AT99,MAX(AT99,H99))))</f>
        <v>24</v>
      </c>
      <c r="AP99" s="50" t="n">
        <f aca="false">IF(BW99=1,0,ROUNDUP(AO99/BV99,0))</f>
        <v>2</v>
      </c>
      <c r="AQ99" s="52" t="n">
        <f aca="false">IF(CL99&gt;0,CL99*MAX(1,AO99/X99),IF(BW99=1,IF(AO99&lt;=0,0,CA99*MAX(1,IF(H99&gt;0,AO99/H99,1))),IF(R99&gt;0,AP99/R99,0))/MAX(0.1,N(Parameter!$M$21)))</f>
        <v>0.0769230769230769</v>
      </c>
      <c r="AR99" s="50" t="n">
        <f aca="false">AQ99*BY99</f>
        <v>11.9230769230769</v>
      </c>
      <c r="AS99" s="50" t="n">
        <f aca="false">AO99*G99</f>
        <v>4762.08</v>
      </c>
      <c r="AT99" s="50" t="n">
        <f aca="false">ROUNDUP(MAX(J99/IF(CD99&gt;0,CD99,MAX(0.1,N(Cockpit!$I$6))),CG99)/BV99,0)*BV99</f>
        <v>24</v>
      </c>
      <c r="AU99" s="51" t="n">
        <f aca="false">IF(AR99&gt;0,J99/AR99,-1)</f>
        <v>2.01290322580645</v>
      </c>
      <c r="AV99" s="51" t="n">
        <f aca="false">IF(AND(OR(CC99="L1",CC99="L23",CC99="LIFT"),AR99&gt;0),SUMIFS($AR$7:$AR$1843,$CC$7:$CC$1843,CC99,$AU$7:$AU$1843,"&gt;"&amp;AU99)+SUMIFS($AR$7:$AR$1843,$CC$7:$CC$1843,CC99,$AU$7:$AU$1843,AU99,$BT$7:$BT$1843,"&lt;="&amp;BT99),"")</f>
        <v>7663.28250915751</v>
      </c>
      <c r="AW99" s="58" t="n">
        <f aca="false">IF(AV99="",0,MAX(0,MIN(1,(IF(CC99="L1",Parameter!$H$5,IF(CC99="L23",Parameter!$H$6+Parameter!$H$7,Parameter!$H$5+Parameter!$H$6+Parameter!$H$7))-(AV99-AR99))/AR99)))</f>
        <v>1</v>
      </c>
      <c r="AX99" s="50" t="n">
        <f aca="false">IF(LEFT(Cockpit!$O$5,1)="A",H99,IF(CE99=1,CF99,IF(LEFT(Cockpit!$O$5,1)="B",BC99,MAX(BC99,H99))))</f>
        <v>24</v>
      </c>
      <c r="AY99" s="50" t="n">
        <f aca="false">IF(BW99=1,0,ROUNDUP(AX99/BV99,0))</f>
        <v>2</v>
      </c>
      <c r="AZ99" s="52" t="n">
        <f aca="false">IF(CL99&gt;0,CL99*MAX(1,AX99/X99),IF(BW99=1,IF(AX99&lt;=0,0,CA99*MAX(1,IF(H99&gt;0,AX99/H99,1))),IF(R99&gt;0,AY99/R99,0))/MAX(0.1,N(Parameter!$M$21)))</f>
        <v>0.0769230769230769</v>
      </c>
      <c r="BA99" s="50" t="n">
        <f aca="false">AZ99*BY99</f>
        <v>11.9230769230769</v>
      </c>
      <c r="BB99" s="50" t="n">
        <f aca="false">AX99*G99</f>
        <v>4762.08</v>
      </c>
      <c r="BC99" s="50" t="n">
        <f aca="false">ROUNDUP(MAX(J99/IF(CD99&gt;0,CD99,MAX(0.1,N(Cockpit!$O$6))),CG99)/BV99,0)*BV99</f>
        <v>24</v>
      </c>
      <c r="BD99" s="51" t="n">
        <f aca="false">IF(BA99&gt;0,J99/BA99,-1)</f>
        <v>2.01290322580645</v>
      </c>
      <c r="BE99" s="51" t="n">
        <f aca="false">IF(AND(OR(CC99="L1",CC99="L23",CC99="LIFT"),BA99&gt;0),SUMIFS($BA$7:$BA$1843,$CC$7:$CC$1843,CC99,$BD$7:$BD$1843,"&gt;"&amp;BD99)+SUMIFS($BA$7:$BA$1843,$CC$7:$CC$1843,CC99,$BD$7:$BD$1843,BD99,$BT$7:$BT$1843,"&lt;="&amp;BT99),"")</f>
        <v>7562.27289377289</v>
      </c>
      <c r="BF99" s="58" t="n">
        <f aca="false">IF(BE99="",0,MAX(0,MIN(1,(IF(CC99="L1",Parameter!$H$5,IF(CC99="L23",Parameter!$H$6+Parameter!$H$7,Parameter!$H$5+Parameter!$H$6+Parameter!$H$7))-(BE99-BA99))/BA99)))</f>
        <v>1</v>
      </c>
      <c r="BG99" s="48" t="str">
        <f aca="false">IF(AI99&lt;=0,"",IF(CC99="Aussen","Aussenlager",IF(CC99="-","Nicht im Lift",IF(AN99&gt;=1,"Lift",IF(AN99&lt;=0,"Aussenlager","teilweise")))))</f>
        <v>Lift</v>
      </c>
      <c r="BH99" s="48" t="str">
        <f aca="false">IF(AR99&lt;=0,"",IF(CC99="Aussen","Aussenlager",IF(CC99="-","Nicht im Lift",IF(AW99&gt;=1,"Lift",IF(AW99&lt;=0,"Aussenlager","teilweise")))))</f>
        <v>Lift</v>
      </c>
      <c r="BI99" s="48" t="str">
        <f aca="false">IF(BA99&lt;=0,"",IF(CC99="Aussen","Aussenlager",IF(CC99="-","Nicht im Lift",IF(BF99&gt;=1,"Lift",IF(BF99&lt;=0,"Aussenlager","teilweise")))))</f>
        <v>Lift</v>
      </c>
      <c r="BJ99" s="48" t="str">
        <f aca="false">IF(A99="","",IF(BS99=1,"Neu; ","")&amp;IF(AND(BS99=0,BN99&lt;0),"negativer Bestand (Export "&amp;BN99&amp;"); ","")&amp;IF(J99&lt;=0,"Kein Verbrauch; ","")&amp;IF(CL99&gt;0,"Lift "&amp;W99&amp;" lt. Liftbericht (Fach "&amp;X99&amp;" Stk); ",IF(BX99=1,"Gebinde geschätzt ("&amp;T99&amp;"); ",IF(BW99=1,"Lose – Tablare geschätzt; ","")))&amp;IF(H99&gt;AT99,"Überbestand "&amp;ROUND(H99-AT99,0)&amp;" Stk / CHF "&amp;ROUND((H99-AT99)*G99,0)&amp;"; ","")&amp;IF(AND(CE99=1,CF99&lt;CG99),"MAX &lt; MB+LG; ","")&amp;IF(AND(CK99&gt;0,CJ99*10&gt;CK99),"zu hoch für Tablar; ","")&amp;IF(AND(BS99=0,OR(CE99=1,AA99&lt;&gt;"",U99&lt;&gt;"",V99&lt;&gt;"",AB99&lt;&gt;"")),"manuell übersteuert; ","")&amp;IF(AND(BW99=0,R99=0),"Gebinde unbekannt / Stellmass fehlt; ","")&amp;IF(AND(BW99=0,N(V99)&lt;=0,N(Q99)&lt;=0),"Menge pro Gebinde fehlt (Ist = 1 Gebinde); ","")&amp;BR99)</f>
        <v/>
      </c>
      <c r="BK99" s="48"/>
      <c r="BL99" s="48"/>
      <c r="BM99" s="55"/>
      <c r="BN99" s="50" t="n">
        <v>12</v>
      </c>
      <c r="BO99" s="50" t="n">
        <v>0</v>
      </c>
      <c r="BP99" s="49" t="n">
        <v>2381.04</v>
      </c>
      <c r="BQ99" s="50" t="n">
        <v>24</v>
      </c>
      <c r="BR99" s="48"/>
      <c r="BS99" s="53" t="n">
        <v>0</v>
      </c>
      <c r="BT99" s="53" t="n">
        <v>99</v>
      </c>
      <c r="BU99" s="48" t="str">
        <f aca="false">IF(U99&lt;&gt;"",UPPER(TRIM(U99)),IF(BX99=1,UPPER(VLOOKUP(T99,Parameter!$I$27:$K$29,2,0)),IF(P99="","LOSE",P99)))</f>
        <v>S51</v>
      </c>
      <c r="BV99" s="50" t="n">
        <f aca="false">IF(BU99="LOSE",1,IF(N(V99)&gt;0,V99,IF(BX99=1,MAX(1,N(VLOOKUP(T99,Parameter!$I$27:$K$29,3,0)),H99,N(N99)),IF(N(Q99)&gt;0,Q99,MAX(1,H99)))))</f>
        <v>12</v>
      </c>
      <c r="BW99" s="53" t="n">
        <f aca="false">IF(BU99="LOSE",1,0)</f>
        <v>0</v>
      </c>
      <c r="BX99" s="53" t="n">
        <f aca="false">IF(AND(U99="",OR(P99="",P99="LOSE"),T99&lt;&gt;"",N(S99)&lt;=0,ISNUMBER(MATCH(T99,Parameter!$I$27:$I$29,0))),1,0)</f>
        <v>0</v>
      </c>
      <c r="BY99" s="53" t="n">
        <f aca="false">IF(CL99&gt;0,INDEX(Parameter!$H$5:$H$7,W99)/INDEX(Parameter!$E$5:$E$7,W99),IF(AND(BW99=0,N(IFERROR(VLOOKUP(BU99,'Gebinde-Kategorie'!$A$5:$N$45,14,0),0))&gt;0),VLOOKUP(BU99,'Gebinde-Kategorie'!$A$5:$N$45,14,0)*10+Parameter!$M$23,Parameter!$M$24))</f>
        <v>155</v>
      </c>
      <c r="BZ99" s="48" t="str">
        <f aca="false">IF(AND(Parameter!$B$19="Ja",E99&lt;&gt;"",ISNUMBER(MATCH(E99,Parameter!$I$35:$I$52,0))),VLOOKUP(E99,Parameter!$I$35:$J$52,2,0),IFERROR(VLOOKUP(D99,Parameter!$A$35:$C$64,2,0),"Nein"))</f>
        <v>2+3</v>
      </c>
      <c r="CA99" s="52" t="n">
        <f aca="false">IF(BW99=0,0,IF(N(S99)&gt;0,S99,IFERROR(VLOOKUP(D99,Parameter!$A$35:$C$64,3,0)+0,0)))</f>
        <v>0</v>
      </c>
      <c r="CB99" s="48" t="n">
        <f aca="false">IF(AA99&lt;&gt;"",AA99,Z99)</f>
        <v>3</v>
      </c>
      <c r="CC99" s="48" t="str">
        <f aca="false">IF(OR(CB99=1,CB99=2,CB99=3),IF(Parameter!$E$27="Ja","LIFT",IF(CB99=1,"L1","L23")),IF(CB99="Aussen","Aussen","-"))</f>
        <v>LIFT</v>
      </c>
      <c r="CD99" s="59" t="n">
        <f aca="false">IF(N(AB99)&gt;0,AB99,0)</f>
        <v>0</v>
      </c>
      <c r="CE99" s="53" t="n">
        <f aca="false">IF(ISNUMBER(AE99),1,0)</f>
        <v>0</v>
      </c>
      <c r="CF99" s="50" t="n">
        <f aca="false">N(AE99)</f>
        <v>0</v>
      </c>
      <c r="CG99" s="50" t="n">
        <f aca="false">N(M99)+N(N99)</f>
        <v>18</v>
      </c>
      <c r="CH99" s="50" t="n">
        <f aca="false">ROUNDUP(H99/BV99,0)</f>
        <v>1</v>
      </c>
      <c r="CI99" s="50" t="n">
        <f aca="false">ROUNDUP(CF99/BV99,0)</f>
        <v>0</v>
      </c>
      <c r="CJ99" s="53" t="n">
        <f aca="false">IF(BW99=1,0,IFERROR(VLOOKUP(BU99,'Gebinde-Kategorie'!$A$5:$N$45,5,0)+0,0))</f>
        <v>11</v>
      </c>
      <c r="CK99" s="53" t="n">
        <f aca="false">IFERROR(IF(OR(CB99=1,CB99=2,CB99=3),N(INDEX(Parameter!$I$5:$I$7,CB99)),0),0)</f>
        <v>0</v>
      </c>
      <c r="CL99" s="52" t="n">
        <f aca="false">IF(AND(Parameter!$B$21="Ja",ISNUMBER(W99),N(X99)&gt;0),IFERROR(N(INDEX(Parameter!$L$5:$L$7,W99))*INDEX(Parameter!$E$5:$E$7,W99)*X99/SUMIFS($X$7:$X$1843,$W$7:$W$1843,W99),0),0)</f>
        <v>0</v>
      </c>
    </row>
    <row r="100" customFormat="false" ht="15" hidden="false" customHeight="false" outlineLevel="0" collapsed="false">
      <c r="A100" s="48" t="s">
        <v>416</v>
      </c>
      <c r="B100" s="48" t="s">
        <v>417</v>
      </c>
      <c r="C100" s="48" t="s">
        <v>168</v>
      </c>
      <c r="D100" s="48" t="s">
        <v>177</v>
      </c>
      <c r="E100" s="48" t="s">
        <v>170</v>
      </c>
      <c r="F100" s="48" t="s">
        <v>222</v>
      </c>
      <c r="G100" s="49" t="n">
        <v>354.44</v>
      </c>
      <c r="H100" s="50" t="n">
        <f aca="false">MAX(0,IF(AND(Parameter!$B$21="Ja",ISNUMBER(Y100)),Y100,IF(Parameter!$B$20="Jahresanfang 2025 + Export",BO100+BN100,BN100)))</f>
        <v>25</v>
      </c>
      <c r="I100" s="50" t="n">
        <f aca="false">H100*G100</f>
        <v>8861</v>
      </c>
      <c r="J100" s="50" t="n">
        <f aca="false">BQ100*Parameter!$B$18</f>
        <v>177</v>
      </c>
      <c r="K100" s="51" t="n">
        <v>52.5</v>
      </c>
      <c r="L100" s="52" t="n">
        <v>3.37142857142857</v>
      </c>
      <c r="M100" s="50" t="n">
        <v>20</v>
      </c>
      <c r="N100" s="50" t="n">
        <v>35</v>
      </c>
      <c r="O100" s="53" t="n">
        <v>84</v>
      </c>
      <c r="P100" s="48" t="s">
        <v>263</v>
      </c>
      <c r="Q100" s="50" t="n">
        <v>20</v>
      </c>
      <c r="R100" s="53" t="n">
        <f aca="false">IF(BW100=1,0,IFERROR(VLOOKUP(BU100,'Gebinde-Kategorie'!$A$5:$N$45,13,0)+0,0))</f>
        <v>6</v>
      </c>
      <c r="S100" s="54"/>
      <c r="T100" s="55"/>
      <c r="U100" s="55"/>
      <c r="V100" s="55"/>
      <c r="W100" s="48"/>
      <c r="X100" s="50"/>
      <c r="Y100" s="50"/>
      <c r="Z100" s="48" t="n">
        <f aca="false">IF(A100="","",IF(AND(Parameter!$B$21="Ja",ISNUMBER(W100)),W100,IF(BZ100="2+3",IF(ISNUMBER(SEARCH("grosser Artikel",BR100)),2,IFERROR(VLOOKUP(BU100,Parameter!$F$35:$G$64,2,0),2)),IF(OR(BZ100="Nein",BZ100=""),"-",BZ100))))</f>
        <v>1</v>
      </c>
      <c r="AA100" s="55"/>
      <c r="AB100" s="56"/>
      <c r="AC100" s="50" t="n">
        <f aca="false">AT100</f>
        <v>100</v>
      </c>
      <c r="AD100" s="50" t="n">
        <f aca="false">MAX(AT100,H100)</f>
        <v>100</v>
      </c>
      <c r="AE100" s="57"/>
      <c r="AF100" s="50" t="n">
        <f aca="false">IF(LEFT(Cockpit!$C$5,1)="A",H100,IF(CE100=1,CF100,IF(LEFT(Cockpit!$C$5,1)="B",AK100,MAX(AK100,H100))))</f>
        <v>25</v>
      </c>
      <c r="AG100" s="50" t="n">
        <f aca="false">IF(BW100=1,0,ROUNDUP(AF100/BV100,0))</f>
        <v>2</v>
      </c>
      <c r="AH100" s="52" t="n">
        <f aca="false">IF(CL100&gt;0,CL100*MAX(1,AF100/X100),IF(BW100=1,IF(AF100&lt;=0,0,CA100*MAX(1,IF(H100&gt;0,AF100/H100,1))),IF(R100&gt;0,AG100/R100,0))/MAX(0.1,N(Parameter!$M$21)))</f>
        <v>0.333333333333333</v>
      </c>
      <c r="AI100" s="50" t="n">
        <f aca="false">AH100*BY100</f>
        <v>145</v>
      </c>
      <c r="AJ100" s="50" t="n">
        <f aca="false">AF100*G100</f>
        <v>8861</v>
      </c>
      <c r="AK100" s="50" t="n">
        <f aca="false">ROUNDUP(MAX(J100/IF(CD100&gt;0,CD100,MAX(0.1,N(Cockpit!$C$6))),CG100)/BV100,0)*BV100</f>
        <v>100</v>
      </c>
      <c r="AL100" s="51" t="n">
        <f aca="false">IF(AI100&gt;0,J100/AI100,-1)</f>
        <v>1.22068965517241</v>
      </c>
      <c r="AM100" s="51" t="n">
        <f aca="false">IF(AND(OR(CC100="L1",CC100="L23",CC100="LIFT"),AI100&gt;0),SUMIFS($AI$7:$AI$1843,$CC$7:$CC$1843,CC100,$AL$7:$AL$1843,"&gt;"&amp;AL100)+SUMIFS($AI$7:$AI$1843,$CC$7:$CC$1843,CC100,$AL$7:$AL$1843,AL100,$BT$7:$BT$1843,"&lt;="&amp;BT100),"")</f>
        <v>6568.13507326007</v>
      </c>
      <c r="AN100" s="58" t="n">
        <f aca="false">IF(AM100="",0,MAX(0,MIN(1,(IF(CC100="L1",Parameter!$H$5,IF(CC100="L23",Parameter!$H$6+Parameter!$H$7,Parameter!$H$5+Parameter!$H$6+Parameter!$H$7))-(AM100-AI100))/AI100)))</f>
        <v>1</v>
      </c>
      <c r="AO100" s="50" t="n">
        <f aca="false">IF(LEFT(Cockpit!$I$5,1)="A",H100,IF(CE100=1,CF100,IF(LEFT(Cockpit!$I$5,1)="B",AT100,MAX(AT100,H100))))</f>
        <v>100</v>
      </c>
      <c r="AP100" s="50" t="n">
        <f aca="false">IF(BW100=1,0,ROUNDUP(AO100/BV100,0))</f>
        <v>5</v>
      </c>
      <c r="AQ100" s="52" t="n">
        <f aca="false">IF(CL100&gt;0,CL100*MAX(1,AO100/X100),IF(BW100=1,IF(AO100&lt;=0,0,CA100*MAX(1,IF(H100&gt;0,AO100/H100,1))),IF(R100&gt;0,AP100/R100,0))/MAX(0.1,N(Parameter!$M$21)))</f>
        <v>0.833333333333333</v>
      </c>
      <c r="AR100" s="50" t="n">
        <f aca="false">AQ100*BY100</f>
        <v>362.5</v>
      </c>
      <c r="AS100" s="50" t="n">
        <f aca="false">AO100*G100</f>
        <v>35444</v>
      </c>
      <c r="AT100" s="50" t="n">
        <f aca="false">ROUNDUP(MAX(J100/IF(CD100&gt;0,CD100,MAX(0.1,N(Cockpit!$I$6))),CG100)/BV100,0)*BV100</f>
        <v>100</v>
      </c>
      <c r="AU100" s="51" t="n">
        <f aca="false">IF(AR100&gt;0,J100/AR100,-1)</f>
        <v>0.488275862068966</v>
      </c>
      <c r="AV100" s="51" t="n">
        <f aca="false">IF(AND(OR(CC100="L1",CC100="L23",CC100="LIFT"),AR100&gt;0),SUMIFS($AR$7:$AR$1843,$CC$7:$CC$1843,CC100,$AU$7:$AU$1843,"&gt;"&amp;AU100)+SUMIFS($AR$7:$AR$1843,$CC$7:$CC$1843,CC100,$AU$7:$AU$1843,AU100,$BT$7:$BT$1843,"&lt;="&amp;BT100),"")</f>
        <v>14654.3402014652</v>
      </c>
      <c r="AW100" s="58" t="n">
        <f aca="false">IF(AV100="",0,MAX(0,MIN(1,(IF(CC100="L1",Parameter!$H$5,IF(CC100="L23",Parameter!$H$6+Parameter!$H$7,Parameter!$H$5+Parameter!$H$6+Parameter!$H$7))-(AV100-AR100))/AR100)))</f>
        <v>1</v>
      </c>
      <c r="AX100" s="50" t="n">
        <f aca="false">IF(LEFT(Cockpit!$O$5,1)="A",H100,IF(CE100=1,CF100,IF(LEFT(Cockpit!$O$5,1)="B",BC100,MAX(BC100,H100))))</f>
        <v>60</v>
      </c>
      <c r="AY100" s="50" t="n">
        <f aca="false">IF(BW100=1,0,ROUNDUP(AX100/BV100,0))</f>
        <v>3</v>
      </c>
      <c r="AZ100" s="52" t="n">
        <f aca="false">IF(CL100&gt;0,CL100*MAX(1,AX100/X100),IF(BW100=1,IF(AX100&lt;=0,0,CA100*MAX(1,IF(H100&gt;0,AX100/H100,1))),IF(R100&gt;0,AY100/R100,0))/MAX(0.1,N(Parameter!$M$21)))</f>
        <v>0.5</v>
      </c>
      <c r="BA100" s="50" t="n">
        <f aca="false">AZ100*BY100</f>
        <v>217.5</v>
      </c>
      <c r="BB100" s="50" t="n">
        <f aca="false">AX100*G100</f>
        <v>21266.4</v>
      </c>
      <c r="BC100" s="50" t="n">
        <f aca="false">ROUNDUP(MAX(J100/IF(CD100&gt;0,CD100,MAX(0.1,N(Cockpit!$O$6))),CG100)/BV100,0)*BV100</f>
        <v>60</v>
      </c>
      <c r="BD100" s="51" t="n">
        <f aca="false">IF(BA100&gt;0,J100/BA100,-1)</f>
        <v>0.813793103448276</v>
      </c>
      <c r="BE100" s="51" t="n">
        <f aca="false">IF(AND(OR(CC100="L1",CC100="L23",CC100="LIFT"),BA100&gt;0),SUMIFS($BA$7:$BA$1843,$CC$7:$CC$1843,CC100,$BD$7:$BD$1843,"&gt;"&amp;BD100)+SUMIFS($BA$7:$BA$1843,$CC$7:$CC$1843,CC100,$BD$7:$BD$1843,BD100,$BT$7:$BT$1843,"&lt;="&amp;BT100),"")</f>
        <v>10803.6671245421</v>
      </c>
      <c r="BF100" s="58" t="n">
        <f aca="false">IF(BE100="",0,MAX(0,MIN(1,(IF(CC100="L1",Parameter!$H$5,IF(CC100="L23",Parameter!$H$6+Parameter!$H$7,Parameter!$H$5+Parameter!$H$6+Parameter!$H$7))-(BE100-BA100))/BA100)))</f>
        <v>1</v>
      </c>
      <c r="BG100" s="48" t="str">
        <f aca="false">IF(AI100&lt;=0,"",IF(CC100="Aussen","Aussenlager",IF(CC100="-","Nicht im Lift",IF(AN100&gt;=1,"Lift",IF(AN100&lt;=0,"Aussenlager","teilweise")))))</f>
        <v>Lift</v>
      </c>
      <c r="BH100" s="48" t="str">
        <f aca="false">IF(AR100&lt;=0,"",IF(CC100="Aussen","Aussenlager",IF(CC100="-","Nicht im Lift",IF(AW100&gt;=1,"Lift",IF(AW100&lt;=0,"Aussenlager","teilweise")))))</f>
        <v>Lift</v>
      </c>
      <c r="BI100" s="48" t="str">
        <f aca="false">IF(BA100&lt;=0,"",IF(CC100="Aussen","Aussenlager",IF(CC100="-","Nicht im Lift",IF(BF100&gt;=1,"Lift",IF(BF100&lt;=0,"Aussenlager","teilweise")))))</f>
        <v>Lift</v>
      </c>
      <c r="BJ100" s="48" t="str">
        <f aca="false">IF(A100="","",IF(BS100=1,"Neu; ","")&amp;IF(AND(BS100=0,BN100&lt;0),"negativer Bestand (Export "&amp;BN100&amp;"); ","")&amp;IF(J100&lt;=0,"Kein Verbrauch; ","")&amp;IF(CL100&gt;0,"Lift "&amp;W100&amp;" lt. Liftbericht (Fach "&amp;X100&amp;" Stk); ",IF(BX100=1,"Gebinde geschätzt ("&amp;T100&amp;"); ",IF(BW100=1,"Lose – Tablare geschätzt; ","")))&amp;IF(H100&gt;AT100,"Überbestand "&amp;ROUND(H100-AT100,0)&amp;" Stk / CHF "&amp;ROUND((H100-AT100)*G100,0)&amp;"; ","")&amp;IF(AND(CE100=1,CF100&lt;CG100),"MAX &lt; MB+LG; ","")&amp;IF(AND(CK100&gt;0,CJ100*10&gt;CK100),"zu hoch für Tablar; ","")&amp;IF(AND(BS100=0,OR(CE100=1,AA100&lt;&gt;"",U100&lt;&gt;"",V100&lt;&gt;"",AB100&lt;&gt;"")),"manuell übersteuert; ","")&amp;IF(AND(BW100=0,R100=0),"Gebinde unbekannt / Stellmass fehlt; ","")&amp;IF(AND(BW100=0,N(V100)&lt;=0,N(Q100)&lt;=0),"Menge pro Gebinde fehlt (Ist = 1 Gebinde); ","")&amp;BR100)</f>
        <v/>
      </c>
      <c r="BK100" s="48"/>
      <c r="BL100" s="48"/>
      <c r="BM100" s="55"/>
      <c r="BN100" s="50" t="n">
        <v>5</v>
      </c>
      <c r="BO100" s="50" t="n">
        <v>20</v>
      </c>
      <c r="BP100" s="49" t="n">
        <v>2352.15000000003</v>
      </c>
      <c r="BQ100" s="50" t="n">
        <v>177</v>
      </c>
      <c r="BR100" s="48"/>
      <c r="BS100" s="53" t="n">
        <v>0</v>
      </c>
      <c r="BT100" s="53" t="n">
        <v>100</v>
      </c>
      <c r="BU100" s="48" t="str">
        <f aca="false">IF(U100&lt;&gt;"",UPPER(TRIM(U100)),IF(BX100=1,UPPER(VLOOKUP(T100,Parameter!$I$27:$K$29,2,0)),IF(P100="","LOSE",P100)))</f>
        <v>S72</v>
      </c>
      <c r="BV100" s="50" t="n">
        <f aca="false">IF(BU100="LOSE",1,IF(N(V100)&gt;0,V100,IF(BX100=1,MAX(1,N(VLOOKUP(T100,Parameter!$I$27:$K$29,3,0)),H100,N(N100)),IF(N(Q100)&gt;0,Q100,MAX(1,H100)))))</f>
        <v>20</v>
      </c>
      <c r="BW100" s="53" t="n">
        <f aca="false">IF(BU100="LOSE",1,0)</f>
        <v>0</v>
      </c>
      <c r="BX100" s="53" t="n">
        <f aca="false">IF(AND(U100="",OR(P100="",P100="LOSE"),T100&lt;&gt;"",N(S100)&lt;=0,ISNUMBER(MATCH(T100,Parameter!$I$27:$I$29,0))),1,0)</f>
        <v>0</v>
      </c>
      <c r="BY100" s="53" t="n">
        <f aca="false">IF(CL100&gt;0,INDEX(Parameter!$H$5:$H$7,W100)/INDEX(Parameter!$E$5:$E$7,W100),IF(AND(BW100=0,N(IFERROR(VLOOKUP(BU100,'Gebinde-Kategorie'!$A$5:$N$45,14,0),0))&gt;0),VLOOKUP(BU100,'Gebinde-Kategorie'!$A$5:$N$45,14,0)*10+Parameter!$M$23,Parameter!$M$24))</f>
        <v>435</v>
      </c>
      <c r="BZ100" s="48" t="n">
        <f aca="false">IF(AND(Parameter!$B$19="Ja",E100&lt;&gt;"",ISNUMBER(MATCH(E100,Parameter!$I$35:$I$52,0))),VLOOKUP(E100,Parameter!$I$35:$J$52,2,0),IFERROR(VLOOKUP(D100,Parameter!$A$35:$C$64,2,0),"Nein"))</f>
        <v>1</v>
      </c>
      <c r="CA100" s="52" t="n">
        <f aca="false">IF(BW100=0,0,IF(N(S100)&gt;0,S100,IFERROR(VLOOKUP(D100,Parameter!$A$35:$C$64,3,0)+0,0)))</f>
        <v>0</v>
      </c>
      <c r="CB100" s="48" t="n">
        <f aca="false">IF(AA100&lt;&gt;"",AA100,Z100)</f>
        <v>1</v>
      </c>
      <c r="CC100" s="48" t="str">
        <f aca="false">IF(OR(CB100=1,CB100=2,CB100=3),IF(Parameter!$E$27="Ja","LIFT",IF(CB100=1,"L1","L23")),IF(CB100="Aussen","Aussen","-"))</f>
        <v>LIFT</v>
      </c>
      <c r="CD100" s="59" t="n">
        <f aca="false">IF(N(AB100)&gt;0,AB100,0)</f>
        <v>0</v>
      </c>
      <c r="CE100" s="53" t="n">
        <f aca="false">IF(ISNUMBER(AE100),1,0)</f>
        <v>0</v>
      </c>
      <c r="CF100" s="50" t="n">
        <f aca="false">N(AE100)</f>
        <v>0</v>
      </c>
      <c r="CG100" s="50" t="n">
        <f aca="false">N(M100)+N(N100)</f>
        <v>55</v>
      </c>
      <c r="CH100" s="50" t="n">
        <f aca="false">ROUNDUP(H100/BV100,0)</f>
        <v>2</v>
      </c>
      <c r="CI100" s="50" t="n">
        <f aca="false">ROUNDUP(CF100/BV100,0)</f>
        <v>0</v>
      </c>
      <c r="CJ100" s="53" t="n">
        <f aca="false">IF(BW100=1,0,IFERROR(VLOOKUP(BU100,'Gebinde-Kategorie'!$A$5:$N$45,5,0)+0,0))</f>
        <v>40</v>
      </c>
      <c r="CK100" s="53" t="n">
        <f aca="false">IFERROR(IF(OR(CB100=1,CB100=2,CB100=3),N(INDEX(Parameter!$I$5:$I$7,CB100)),0),0)</f>
        <v>0</v>
      </c>
      <c r="CL100" s="52" t="n">
        <f aca="false">IF(AND(Parameter!$B$21="Ja",ISNUMBER(W100),N(X100)&gt;0),IFERROR(N(INDEX(Parameter!$L$5:$L$7,W100))*INDEX(Parameter!$E$5:$E$7,W100)*X100/SUMIFS($X$7:$X$1843,$W$7:$W$1843,W100),0),0)</f>
        <v>0</v>
      </c>
    </row>
    <row r="101" customFormat="false" ht="15" hidden="false" customHeight="false" outlineLevel="0" collapsed="false">
      <c r="A101" s="48" t="s">
        <v>418</v>
      </c>
      <c r="B101" s="48" t="s">
        <v>419</v>
      </c>
      <c r="C101" s="48" t="s">
        <v>168</v>
      </c>
      <c r="D101" s="48" t="s">
        <v>188</v>
      </c>
      <c r="E101" s="48"/>
      <c r="F101" s="48" t="s">
        <v>222</v>
      </c>
      <c r="G101" s="49" t="n">
        <v>167.07</v>
      </c>
      <c r="H101" s="50" t="n">
        <f aca="false">MAX(0,IF(AND(Parameter!$B$21="Ja",ISNUMBER(Y101)),Y101,IF(Parameter!$B$20="Jahresanfang 2025 + Export",BO101+BN101,BN101)))</f>
        <v>14</v>
      </c>
      <c r="I101" s="50" t="n">
        <f aca="false">H101*G101</f>
        <v>2338.98</v>
      </c>
      <c r="J101" s="50" t="n">
        <f aca="false">BQ101*Parameter!$B$18</f>
        <v>6</v>
      </c>
      <c r="K101" s="51" t="n">
        <v>0</v>
      </c>
      <c r="L101" s="52" t="n">
        <v>0</v>
      </c>
      <c r="M101" s="50" t="n">
        <v>0</v>
      </c>
      <c r="N101" s="50" t="n">
        <v>5</v>
      </c>
      <c r="O101" s="53" t="n">
        <v>28</v>
      </c>
      <c r="P101" s="48" t="s">
        <v>306</v>
      </c>
      <c r="Q101" s="50" t="n">
        <v>5</v>
      </c>
      <c r="R101" s="53" t="n">
        <f aca="false">IF(BW101=1,0,IFERROR(VLOOKUP(BU101,'Gebinde-Kategorie'!$A$5:$N$45,13,0)+0,0))</f>
        <v>26</v>
      </c>
      <c r="S101" s="54"/>
      <c r="T101" s="55"/>
      <c r="U101" s="55"/>
      <c r="V101" s="55"/>
      <c r="W101" s="48"/>
      <c r="X101" s="50"/>
      <c r="Y101" s="50"/>
      <c r="Z101" s="48" t="n">
        <f aca="false">IF(A101="","",IF(AND(Parameter!$B$21="Ja",ISNUMBER(W101)),W101,IF(BZ101="2+3",IF(ISNUMBER(SEARCH("grosser Artikel",BR101)),2,IFERROR(VLOOKUP(BU101,Parameter!$F$35:$G$64,2,0),2)),IF(OR(BZ101="Nein",BZ101=""),"-",BZ101))))</f>
        <v>3</v>
      </c>
      <c r="AA101" s="55"/>
      <c r="AB101" s="56"/>
      <c r="AC101" s="50" t="n">
        <f aca="false">AT101</f>
        <v>5</v>
      </c>
      <c r="AD101" s="50" t="n">
        <f aca="false">MAX(AT101,H101)</f>
        <v>14</v>
      </c>
      <c r="AE101" s="57"/>
      <c r="AF101" s="50" t="n">
        <f aca="false">IF(LEFT(Cockpit!$C$5,1)="A",H101,IF(CE101=1,CF101,IF(LEFT(Cockpit!$C$5,1)="B",AK101,MAX(AK101,H101))))</f>
        <v>14</v>
      </c>
      <c r="AG101" s="50" t="n">
        <f aca="false">IF(BW101=1,0,ROUNDUP(AF101/BV101,0))</f>
        <v>3</v>
      </c>
      <c r="AH101" s="52" t="n">
        <f aca="false">IF(CL101&gt;0,CL101*MAX(1,AF101/X101),IF(BW101=1,IF(AF101&lt;=0,0,CA101*MAX(1,IF(H101&gt;0,AF101/H101,1))),IF(R101&gt;0,AG101/R101,0))/MAX(0.1,N(Parameter!$M$21)))</f>
        <v>0.115384615384615</v>
      </c>
      <c r="AI101" s="50" t="n">
        <f aca="false">AH101*BY101</f>
        <v>17.8846153846154</v>
      </c>
      <c r="AJ101" s="50" t="n">
        <f aca="false">AF101*G101</f>
        <v>2338.98</v>
      </c>
      <c r="AK101" s="50" t="n">
        <f aca="false">ROUNDUP(MAX(J101/IF(CD101&gt;0,CD101,MAX(0.1,N(Cockpit!$C$6))),CG101)/BV101,0)*BV101</f>
        <v>5</v>
      </c>
      <c r="AL101" s="51" t="n">
        <f aca="false">IF(AI101&gt;0,J101/AI101,-1)</f>
        <v>0.335483870967742</v>
      </c>
      <c r="AM101" s="51" t="n">
        <f aca="false">IF(AND(OR(CC101="L1",CC101="L23",CC101="LIFT"),AI101&gt;0),SUMIFS($AI$7:$AI$1843,$CC$7:$CC$1843,CC101,$AL$7:$AL$1843,"&gt;"&amp;AL101)+SUMIFS($AI$7:$AI$1843,$CC$7:$CC$1843,CC101,$AL$7:$AL$1843,AL101,$BT$7:$BT$1843,"&lt;="&amp;BT101),"")</f>
        <v>11162.1731933321</v>
      </c>
      <c r="AN101" s="58" t="n">
        <f aca="false">IF(AM101="",0,MAX(0,MIN(1,(IF(CC101="L1",Parameter!$H$5,IF(CC101="L23",Parameter!$H$6+Parameter!$H$7,Parameter!$H$5+Parameter!$H$6+Parameter!$H$7))-(AM101-AI101))/AI101)))</f>
        <v>1</v>
      </c>
      <c r="AO101" s="50" t="n">
        <f aca="false">IF(LEFT(Cockpit!$I$5,1)="A",H101,IF(CE101=1,CF101,IF(LEFT(Cockpit!$I$5,1)="B",AT101,MAX(AT101,H101))))</f>
        <v>14</v>
      </c>
      <c r="AP101" s="50" t="n">
        <f aca="false">IF(BW101=1,0,ROUNDUP(AO101/BV101,0))</f>
        <v>3</v>
      </c>
      <c r="AQ101" s="52" t="n">
        <f aca="false">IF(CL101&gt;0,CL101*MAX(1,AO101/X101),IF(BW101=1,IF(AO101&lt;=0,0,CA101*MAX(1,IF(H101&gt;0,AO101/H101,1))),IF(R101&gt;0,AP101/R101,0))/MAX(0.1,N(Parameter!$M$21)))</f>
        <v>0.115384615384615</v>
      </c>
      <c r="AR101" s="50" t="n">
        <f aca="false">AQ101*BY101</f>
        <v>17.8846153846154</v>
      </c>
      <c r="AS101" s="50" t="n">
        <f aca="false">AO101*G101</f>
        <v>2338.98</v>
      </c>
      <c r="AT101" s="50" t="n">
        <f aca="false">ROUNDUP(MAX(J101/IF(CD101&gt;0,CD101,MAX(0.1,N(Cockpit!$I$6))),CG101)/BV101,0)*BV101</f>
        <v>5</v>
      </c>
      <c r="AU101" s="51" t="n">
        <f aca="false">IF(AR101&gt;0,J101/AR101,-1)</f>
        <v>0.335483870967742</v>
      </c>
      <c r="AV101" s="51" t="n">
        <f aca="false">IF(AND(OR(CC101="L1",CC101="L23",CC101="LIFT"),AR101&gt;0),SUMIFS($AR$7:$AR$1843,$CC$7:$CC$1843,CC101,$AU$7:$AU$1843,"&gt;"&amp;AU101)+SUMIFS($AR$7:$AR$1843,$CC$7:$CC$1843,CC101,$AU$7:$AU$1843,AU101,$BT$7:$BT$1843,"&lt;="&amp;BT101),"")</f>
        <v>16264.0251831502</v>
      </c>
      <c r="AW101" s="58" t="n">
        <f aca="false">IF(AV101="",0,MAX(0,MIN(1,(IF(CC101="L1",Parameter!$H$5,IF(CC101="L23",Parameter!$H$6+Parameter!$H$7,Parameter!$H$5+Parameter!$H$6+Parameter!$H$7))-(AV101-AR101))/AR101)))</f>
        <v>1</v>
      </c>
      <c r="AX101" s="50" t="n">
        <f aca="false">IF(LEFT(Cockpit!$O$5,1)="A",H101,IF(CE101=1,CF101,IF(LEFT(Cockpit!$O$5,1)="B",BC101,MAX(BC101,H101))))</f>
        <v>14</v>
      </c>
      <c r="AY101" s="50" t="n">
        <f aca="false">IF(BW101=1,0,ROUNDUP(AX101/BV101,0))</f>
        <v>3</v>
      </c>
      <c r="AZ101" s="52" t="n">
        <f aca="false">IF(CL101&gt;0,CL101*MAX(1,AX101/X101),IF(BW101=1,IF(AX101&lt;=0,0,CA101*MAX(1,IF(H101&gt;0,AX101/H101,1))),IF(R101&gt;0,AY101/R101,0))/MAX(0.1,N(Parameter!$M$21)))</f>
        <v>0.115384615384615</v>
      </c>
      <c r="BA101" s="50" t="n">
        <f aca="false">AZ101*BY101</f>
        <v>17.8846153846154</v>
      </c>
      <c r="BB101" s="50" t="n">
        <f aca="false">AX101*G101</f>
        <v>2338.98</v>
      </c>
      <c r="BC101" s="50" t="n">
        <f aca="false">ROUNDUP(MAX(J101/IF(CD101&gt;0,CD101,MAX(0.1,N(Cockpit!$O$6))),CG101)/BV101,0)*BV101</f>
        <v>5</v>
      </c>
      <c r="BD101" s="51" t="n">
        <f aca="false">IF(BA101&gt;0,J101/BA101,-1)</f>
        <v>0.335483870967742</v>
      </c>
      <c r="BE101" s="51" t="n">
        <f aca="false">IF(AND(OR(CC101="L1",CC101="L23",CC101="LIFT"),BA101&gt;0),SUMIFS($BA$7:$BA$1843,$CC$7:$CC$1843,CC101,$BD$7:$BD$1843,"&gt;"&amp;BD101)+SUMIFS($BA$7:$BA$1843,$CC$7:$CC$1843,CC101,$BD$7:$BD$1843,BD101,$BT$7:$BT$1843,"&lt;="&amp;BT101),"")</f>
        <v>15014.6822344322</v>
      </c>
      <c r="BF101" s="58" t="n">
        <f aca="false">IF(BE101="",0,MAX(0,MIN(1,(IF(CC101="L1",Parameter!$H$5,IF(CC101="L23",Parameter!$H$6+Parameter!$H$7,Parameter!$H$5+Parameter!$H$6+Parameter!$H$7))-(BE101-BA101))/BA101)))</f>
        <v>1</v>
      </c>
      <c r="BG101" s="48" t="str">
        <f aca="false">IF(AI101&lt;=0,"",IF(CC101="Aussen","Aussenlager",IF(CC101="-","Nicht im Lift",IF(AN101&gt;=1,"Lift",IF(AN101&lt;=0,"Aussenlager","teilweise")))))</f>
        <v>Lift</v>
      </c>
      <c r="BH101" s="48" t="str">
        <f aca="false">IF(AR101&lt;=0,"",IF(CC101="Aussen","Aussenlager",IF(CC101="-","Nicht im Lift",IF(AW101&gt;=1,"Lift",IF(AW101&lt;=0,"Aussenlager","teilweise")))))</f>
        <v>Lift</v>
      </c>
      <c r="BI101" s="48" t="str">
        <f aca="false">IF(BA101&lt;=0,"",IF(CC101="Aussen","Aussenlager",IF(CC101="-","Nicht im Lift",IF(BF101&gt;=1,"Lift",IF(BF101&lt;=0,"Aussenlager","teilweise")))))</f>
        <v>Lift</v>
      </c>
      <c r="BJ101" s="48" t="str">
        <f aca="false">IF(A101="","",IF(BS101=1,"Neu; ","")&amp;IF(AND(BS101=0,BN101&lt;0),"negativer Bestand (Export "&amp;BN101&amp;"); ","")&amp;IF(J101&lt;=0,"Kein Verbrauch; ","")&amp;IF(CL101&gt;0,"Lift "&amp;W101&amp;" lt. Liftbericht (Fach "&amp;X101&amp;" Stk); ",IF(BX101=1,"Gebinde geschätzt ("&amp;T101&amp;"); ",IF(BW101=1,"Lose – Tablare geschätzt; ","")))&amp;IF(H101&gt;AT101,"Überbestand "&amp;ROUND(H101-AT101,0)&amp;" Stk / CHF "&amp;ROUND((H101-AT101)*G101,0)&amp;"; ","")&amp;IF(AND(CE101=1,CF101&lt;CG101),"MAX &lt; MB+LG; ","")&amp;IF(AND(CK101&gt;0,CJ101*10&gt;CK101),"zu hoch für Tablar; ","")&amp;IF(AND(BS101=0,OR(CE101=1,AA101&lt;&gt;"",U101&lt;&gt;"",V101&lt;&gt;"",AB101&lt;&gt;"")),"manuell übersteuert; ","")&amp;IF(AND(BW101=0,R101=0),"Gebinde unbekannt / Stellmass fehlt; ","")&amp;IF(AND(BW101=0,N(V101)&lt;=0,N(Q101)&lt;=0),"Menge pro Gebinde fehlt (Ist = 1 Gebinde); ","")&amp;BR101)</f>
        <v>Überbestand 9 Stk / CHF 1504; </v>
      </c>
      <c r="BK101" s="48"/>
      <c r="BL101" s="48"/>
      <c r="BM101" s="55"/>
      <c r="BN101" s="50" t="n">
        <v>14</v>
      </c>
      <c r="BO101" s="50" t="n">
        <v>0</v>
      </c>
      <c r="BP101" s="49" t="n">
        <v>2338.96</v>
      </c>
      <c r="BQ101" s="50" t="n">
        <v>6</v>
      </c>
      <c r="BR101" s="48"/>
      <c r="BS101" s="53" t="n">
        <v>0</v>
      </c>
      <c r="BT101" s="53" t="n">
        <v>101</v>
      </c>
      <c r="BU101" s="48" t="str">
        <f aca="false">IF(U101&lt;&gt;"",UPPER(TRIM(U101)),IF(BX101=1,UPPER(VLOOKUP(T101,Parameter!$I$27:$K$29,2,0)),IF(P101="","LOSE",P101)))</f>
        <v>S51</v>
      </c>
      <c r="BV101" s="50" t="n">
        <f aca="false">IF(BU101="LOSE",1,IF(N(V101)&gt;0,V101,IF(BX101=1,MAX(1,N(VLOOKUP(T101,Parameter!$I$27:$K$29,3,0)),H101,N(N101)),IF(N(Q101)&gt;0,Q101,MAX(1,H101)))))</f>
        <v>5</v>
      </c>
      <c r="BW101" s="53" t="n">
        <f aca="false">IF(BU101="LOSE",1,0)</f>
        <v>0</v>
      </c>
      <c r="BX101" s="53" t="n">
        <f aca="false">IF(AND(U101="",OR(P101="",P101="LOSE"),T101&lt;&gt;"",N(S101)&lt;=0,ISNUMBER(MATCH(T101,Parameter!$I$27:$I$29,0))),1,0)</f>
        <v>0</v>
      </c>
      <c r="BY101" s="53" t="n">
        <f aca="false">IF(CL101&gt;0,INDEX(Parameter!$H$5:$H$7,W101)/INDEX(Parameter!$E$5:$E$7,W101),IF(AND(BW101=0,N(IFERROR(VLOOKUP(BU101,'Gebinde-Kategorie'!$A$5:$N$45,14,0),0))&gt;0),VLOOKUP(BU101,'Gebinde-Kategorie'!$A$5:$N$45,14,0)*10+Parameter!$M$23,Parameter!$M$24))</f>
        <v>155</v>
      </c>
      <c r="BZ101" s="48" t="str">
        <f aca="false">IF(AND(Parameter!$B$19="Ja",E101&lt;&gt;"",ISNUMBER(MATCH(E101,Parameter!$I$35:$I$52,0))),VLOOKUP(E101,Parameter!$I$35:$J$52,2,0),IFERROR(VLOOKUP(D101,Parameter!$A$35:$C$64,2,0),"Nein"))</f>
        <v>2+3</v>
      </c>
      <c r="CA101" s="52" t="n">
        <f aca="false">IF(BW101=0,0,IF(N(S101)&gt;0,S101,IFERROR(VLOOKUP(D101,Parameter!$A$35:$C$64,3,0)+0,0)))</f>
        <v>0</v>
      </c>
      <c r="CB101" s="48" t="n">
        <f aca="false">IF(AA101&lt;&gt;"",AA101,Z101)</f>
        <v>3</v>
      </c>
      <c r="CC101" s="48" t="str">
        <f aca="false">IF(OR(CB101=1,CB101=2,CB101=3),IF(Parameter!$E$27="Ja","LIFT",IF(CB101=1,"L1","L23")),IF(CB101="Aussen","Aussen","-"))</f>
        <v>LIFT</v>
      </c>
      <c r="CD101" s="59" t="n">
        <f aca="false">IF(N(AB101)&gt;0,AB101,0)</f>
        <v>0</v>
      </c>
      <c r="CE101" s="53" t="n">
        <f aca="false">IF(ISNUMBER(AE101),1,0)</f>
        <v>0</v>
      </c>
      <c r="CF101" s="50" t="n">
        <f aca="false">N(AE101)</f>
        <v>0</v>
      </c>
      <c r="CG101" s="50" t="n">
        <f aca="false">N(M101)+N(N101)</f>
        <v>5</v>
      </c>
      <c r="CH101" s="50" t="n">
        <f aca="false">ROUNDUP(H101/BV101,0)</f>
        <v>3</v>
      </c>
      <c r="CI101" s="50" t="n">
        <f aca="false">ROUNDUP(CF101/BV101,0)</f>
        <v>0</v>
      </c>
      <c r="CJ101" s="53" t="n">
        <f aca="false">IF(BW101=1,0,IFERROR(VLOOKUP(BU101,'Gebinde-Kategorie'!$A$5:$N$45,5,0)+0,0))</f>
        <v>11</v>
      </c>
      <c r="CK101" s="53" t="n">
        <f aca="false">IFERROR(IF(OR(CB101=1,CB101=2,CB101=3),N(INDEX(Parameter!$I$5:$I$7,CB101)),0),0)</f>
        <v>0</v>
      </c>
      <c r="CL101" s="52" t="n">
        <f aca="false">IF(AND(Parameter!$B$21="Ja",ISNUMBER(W101),N(X101)&gt;0),IFERROR(N(INDEX(Parameter!$L$5:$L$7,W101))*INDEX(Parameter!$E$5:$E$7,W101)*X101/SUMIFS($X$7:$X$1843,$W$7:$W$1843,W101),0),0)</f>
        <v>0</v>
      </c>
    </row>
    <row r="102" customFormat="false" ht="15" hidden="false" customHeight="false" outlineLevel="0" collapsed="false">
      <c r="A102" s="48" t="s">
        <v>420</v>
      </c>
      <c r="B102" s="48" t="s">
        <v>421</v>
      </c>
      <c r="C102" s="48" t="s">
        <v>168</v>
      </c>
      <c r="D102" s="48" t="s">
        <v>177</v>
      </c>
      <c r="E102" s="48" t="s">
        <v>189</v>
      </c>
      <c r="F102" s="48" t="s">
        <v>222</v>
      </c>
      <c r="G102" s="49" t="n">
        <v>178.31</v>
      </c>
      <c r="H102" s="50" t="n">
        <f aca="false">MAX(0,IF(AND(Parameter!$B$21="Ja",ISNUMBER(Y102)),Y102,IF(Parameter!$B$20="Jahresanfang 2025 + Export",BO102+BN102,BN102)))</f>
        <v>17</v>
      </c>
      <c r="I102" s="50" t="n">
        <f aca="false">H102*G102</f>
        <v>3031.27</v>
      </c>
      <c r="J102" s="50" t="n">
        <f aca="false">BQ102*Parameter!$B$18</f>
        <v>12</v>
      </c>
      <c r="K102" s="51" t="n">
        <v>12</v>
      </c>
      <c r="L102" s="52" t="n">
        <v>1</v>
      </c>
      <c r="M102" s="50" t="n">
        <v>0</v>
      </c>
      <c r="N102" s="50" t="n">
        <v>50</v>
      </c>
      <c r="O102" s="53" t="n">
        <v>14</v>
      </c>
      <c r="P102" s="48" t="s">
        <v>227</v>
      </c>
      <c r="Q102" s="50" t="n">
        <v>15</v>
      </c>
      <c r="R102" s="53" t="n">
        <f aca="false">IF(BW102=1,0,IFERROR(VLOOKUP(BU102,'Gebinde-Kategorie'!$A$5:$N$45,13,0)+0,0))</f>
        <v>4</v>
      </c>
      <c r="S102" s="54"/>
      <c r="T102" s="55"/>
      <c r="U102" s="55"/>
      <c r="V102" s="55"/>
      <c r="W102" s="48"/>
      <c r="X102" s="50"/>
      <c r="Y102" s="50"/>
      <c r="Z102" s="48" t="n">
        <f aca="false">IF(A102="","",IF(AND(Parameter!$B$21="Ja",ISNUMBER(W102)),W102,IF(BZ102="2+3",IF(ISNUMBER(SEARCH("grosser Artikel",BR102)),2,IFERROR(VLOOKUP(BU102,Parameter!$F$35:$G$64,2,0),2)),IF(OR(BZ102="Nein",BZ102=""),"-",BZ102))))</f>
        <v>2</v>
      </c>
      <c r="AA102" s="55"/>
      <c r="AB102" s="56"/>
      <c r="AC102" s="50" t="n">
        <f aca="false">AT102</f>
        <v>60</v>
      </c>
      <c r="AD102" s="50" t="n">
        <f aca="false">MAX(AT102,H102)</f>
        <v>60</v>
      </c>
      <c r="AE102" s="57"/>
      <c r="AF102" s="50" t="n">
        <f aca="false">IF(LEFT(Cockpit!$C$5,1)="A",H102,IF(CE102=1,CF102,IF(LEFT(Cockpit!$C$5,1)="B",AK102,MAX(AK102,H102))))</f>
        <v>17</v>
      </c>
      <c r="AG102" s="50" t="n">
        <f aca="false">IF(BW102=1,0,ROUNDUP(AF102/BV102,0))</f>
        <v>2</v>
      </c>
      <c r="AH102" s="52" t="n">
        <f aca="false">IF(CL102&gt;0,CL102*MAX(1,AF102/X102),IF(BW102=1,IF(AF102&lt;=0,0,CA102*MAX(1,IF(H102&gt;0,AF102/H102,1))),IF(R102&gt;0,AG102/R102,0))/MAX(0.1,N(Parameter!$M$21)))</f>
        <v>0.5</v>
      </c>
      <c r="AI102" s="50" t="n">
        <f aca="false">AH102*BY102</f>
        <v>117.5</v>
      </c>
      <c r="AJ102" s="50" t="n">
        <f aca="false">AF102*G102</f>
        <v>3031.27</v>
      </c>
      <c r="AK102" s="50" t="n">
        <f aca="false">ROUNDUP(MAX(J102/IF(CD102&gt;0,CD102,MAX(0.1,N(Cockpit!$C$6))),CG102)/BV102,0)*BV102</f>
        <v>60</v>
      </c>
      <c r="AL102" s="51" t="n">
        <f aca="false">IF(AI102&gt;0,J102/AI102,-1)</f>
        <v>0.102127659574468</v>
      </c>
      <c r="AM102" s="51" t="n">
        <f aca="false">IF(AND(OR(CC102="L1",CC102="L23",CC102="LIFT"),AI102&gt;0),SUMIFS($AI$7:$AI$1843,$CC$7:$CC$1843,CC102,$AL$7:$AL$1843,"&gt;"&amp;AL102)+SUMIFS($AI$7:$AI$1843,$CC$7:$CC$1843,CC102,$AL$7:$AL$1843,AL102,$BT$7:$BT$1843,"&lt;="&amp;BT102),"")</f>
        <v>15736.4344306823</v>
      </c>
      <c r="AN102" s="58" t="n">
        <f aca="false">IF(AM102="",0,MAX(0,MIN(1,(IF(CC102="L1",Parameter!$H$5,IF(CC102="L23",Parameter!$H$6+Parameter!$H$7,Parameter!$H$5+Parameter!$H$6+Parameter!$H$7))-(AM102-AI102))/AI102)))</f>
        <v>1</v>
      </c>
      <c r="AO102" s="50" t="n">
        <f aca="false">IF(LEFT(Cockpit!$I$5,1)="A",H102,IF(CE102=1,CF102,IF(LEFT(Cockpit!$I$5,1)="B",AT102,MAX(AT102,H102))))</f>
        <v>60</v>
      </c>
      <c r="AP102" s="50" t="n">
        <f aca="false">IF(BW102=1,0,ROUNDUP(AO102/BV102,0))</f>
        <v>4</v>
      </c>
      <c r="AQ102" s="52" t="n">
        <f aca="false">IF(CL102&gt;0,CL102*MAX(1,AO102/X102),IF(BW102=1,IF(AO102&lt;=0,0,CA102*MAX(1,IF(H102&gt;0,AO102/H102,1))),IF(R102&gt;0,AP102/R102,0))/MAX(0.1,N(Parameter!$M$21)))</f>
        <v>1</v>
      </c>
      <c r="AR102" s="50" t="n">
        <f aca="false">AQ102*BY102</f>
        <v>235</v>
      </c>
      <c r="AS102" s="50" t="n">
        <f aca="false">AO102*G102</f>
        <v>10698.6</v>
      </c>
      <c r="AT102" s="50" t="n">
        <f aca="false">ROUNDUP(MAX(J102/IF(CD102&gt;0,CD102,MAX(0.1,N(Cockpit!$I$6))),CG102)/BV102,0)*BV102</f>
        <v>60</v>
      </c>
      <c r="AU102" s="51" t="n">
        <f aca="false">IF(AR102&gt;0,J102/AR102,-1)</f>
        <v>0.051063829787234</v>
      </c>
      <c r="AV102" s="51" t="n">
        <f aca="false">IF(AND(OR(CC102="L1",CC102="L23",CC102="LIFT"),AR102&gt;0),SUMIFS($AR$7:$AR$1843,$CC$7:$CC$1843,CC102,$AU$7:$AU$1843,"&gt;"&amp;AU102)+SUMIFS($AR$7:$AR$1843,$CC$7:$CC$1843,CC102,$AU$7:$AU$1843,AU102,$BT$7:$BT$1843,"&lt;="&amp;BT102),"")</f>
        <v>30035.1200435628</v>
      </c>
      <c r="AW102" s="58" t="n">
        <f aca="false">IF(AV102="",0,MAX(0,MIN(1,(IF(CC102="L1",Parameter!$H$5,IF(CC102="L23",Parameter!$H$6+Parameter!$H$7,Parameter!$H$5+Parameter!$H$6+Parameter!$H$7))-(AV102-AR102))/AR102)))</f>
        <v>1</v>
      </c>
      <c r="AX102" s="50" t="n">
        <f aca="false">IF(LEFT(Cockpit!$O$5,1)="A",H102,IF(CE102=1,CF102,IF(LEFT(Cockpit!$O$5,1)="B",BC102,MAX(BC102,H102))))</f>
        <v>60</v>
      </c>
      <c r="AY102" s="50" t="n">
        <f aca="false">IF(BW102=1,0,ROUNDUP(AX102/BV102,0))</f>
        <v>4</v>
      </c>
      <c r="AZ102" s="52" t="n">
        <f aca="false">IF(CL102&gt;0,CL102*MAX(1,AX102/X102),IF(BW102=1,IF(AX102&lt;=0,0,CA102*MAX(1,IF(H102&gt;0,AX102/H102,1))),IF(R102&gt;0,AY102/R102,0))/MAX(0.1,N(Parameter!$M$21)))</f>
        <v>1</v>
      </c>
      <c r="BA102" s="50" t="n">
        <f aca="false">AZ102*BY102</f>
        <v>235</v>
      </c>
      <c r="BB102" s="50" t="n">
        <f aca="false">AX102*G102</f>
        <v>10698.6</v>
      </c>
      <c r="BC102" s="50" t="n">
        <f aca="false">ROUNDUP(MAX(J102/IF(CD102&gt;0,CD102,MAX(0.1,N(Cockpit!$O$6))),CG102)/BV102,0)*BV102</f>
        <v>60</v>
      </c>
      <c r="BD102" s="51" t="n">
        <f aca="false">IF(BA102&gt;0,J102/BA102,-1)</f>
        <v>0.051063829787234</v>
      </c>
      <c r="BE102" s="51" t="n">
        <f aca="false">IF(AND(OR(CC102="L1",CC102="L23",CC102="LIFT"),BA102&gt;0),SUMIFS($BA$7:$BA$1843,$CC$7:$CC$1843,CC102,$BD$7:$BD$1843,"&gt;"&amp;BD102)+SUMIFS($BA$7:$BA$1843,$CC$7:$CC$1843,CC102,$BD$7:$BD$1843,BD102,$BT$7:$BT$1843,"&lt;="&amp;BT102),"")</f>
        <v>26710.1320854287</v>
      </c>
      <c r="BF102" s="58" t="n">
        <f aca="false">IF(BE102="",0,MAX(0,MIN(1,(IF(CC102="L1",Parameter!$H$5,IF(CC102="L23",Parameter!$H$6+Parameter!$H$7,Parameter!$H$5+Parameter!$H$6+Parameter!$H$7))-(BE102-BA102))/BA102)))</f>
        <v>1</v>
      </c>
      <c r="BG102" s="48" t="str">
        <f aca="false">IF(AI102&lt;=0,"",IF(CC102="Aussen","Aussenlager",IF(CC102="-","Nicht im Lift",IF(AN102&gt;=1,"Lift",IF(AN102&lt;=0,"Aussenlager","teilweise")))))</f>
        <v>Lift</v>
      </c>
      <c r="BH102" s="48" t="str">
        <f aca="false">IF(AR102&lt;=0,"",IF(CC102="Aussen","Aussenlager",IF(CC102="-","Nicht im Lift",IF(AW102&gt;=1,"Lift",IF(AW102&lt;=0,"Aussenlager","teilweise")))))</f>
        <v>Lift</v>
      </c>
      <c r="BI102" s="48" t="str">
        <f aca="false">IF(BA102&lt;=0,"",IF(CC102="Aussen","Aussenlager",IF(CC102="-","Nicht im Lift",IF(BF102&gt;=1,"Lift",IF(BF102&lt;=0,"Aussenlager","teilweise")))))</f>
        <v>Lift</v>
      </c>
      <c r="BJ102" s="48" t="str">
        <f aca="false">IF(A102="","",IF(BS102=1,"Neu; ","")&amp;IF(AND(BS102=0,BN102&lt;0),"negativer Bestand (Export "&amp;BN102&amp;"); ","")&amp;IF(J102&lt;=0,"Kein Verbrauch; ","")&amp;IF(CL102&gt;0,"Lift "&amp;W102&amp;" lt. Liftbericht (Fach "&amp;X102&amp;" Stk); ",IF(BX102=1,"Gebinde geschätzt ("&amp;T102&amp;"); ",IF(BW102=1,"Lose – Tablare geschätzt; ","")))&amp;IF(H102&gt;AT102,"Überbestand "&amp;ROUND(H102-AT102,0)&amp;" Stk / CHF "&amp;ROUND((H102-AT102)*G102,0)&amp;"; ","")&amp;IF(AND(CE102=1,CF102&lt;CG102),"MAX &lt; MB+LG; ","")&amp;IF(AND(CK102&gt;0,CJ102*10&gt;CK102),"zu hoch für Tablar; ","")&amp;IF(AND(BS102=0,OR(CE102=1,AA102&lt;&gt;"",U102&lt;&gt;"",V102&lt;&gt;"",AB102&lt;&gt;"")),"manuell übersteuert; ","")&amp;IF(AND(BW102=0,R102=0),"Gebinde unbekannt / Stellmass fehlt; ","")&amp;IF(AND(BW102=0,N(V102)&lt;=0,N(Q102)&lt;=0),"Menge pro Gebinde fehlt (Ist = 1 Gebinde); ","")&amp;BR102)</f>
        <v>grosser Artikel &amp; nicht im KTL</v>
      </c>
      <c r="BK102" s="48"/>
      <c r="BL102" s="48"/>
      <c r="BM102" s="55"/>
      <c r="BN102" s="50" t="n">
        <v>13</v>
      </c>
      <c r="BO102" s="50" t="n">
        <v>4</v>
      </c>
      <c r="BP102" s="49" t="n">
        <v>2328.73</v>
      </c>
      <c r="BQ102" s="50" t="n">
        <v>12</v>
      </c>
      <c r="BR102" s="48" t="s">
        <v>265</v>
      </c>
      <c r="BS102" s="53" t="n">
        <v>0</v>
      </c>
      <c r="BT102" s="53" t="n">
        <v>102</v>
      </c>
      <c r="BU102" s="48" t="str">
        <f aca="false">IF(U102&lt;&gt;"",UPPER(TRIM(U102)),IF(BX102=1,UPPER(VLOOKUP(T102,Parameter!$I$27:$K$29,2,0)),IF(P102="","LOSE",P102)))</f>
        <v>S81</v>
      </c>
      <c r="BV102" s="50" t="n">
        <f aca="false">IF(BU102="LOSE",1,IF(N(V102)&gt;0,V102,IF(BX102=1,MAX(1,N(VLOOKUP(T102,Parameter!$I$27:$K$29,3,0)),H102,N(N102)),IF(N(Q102)&gt;0,Q102,MAX(1,H102)))))</f>
        <v>15</v>
      </c>
      <c r="BW102" s="53" t="n">
        <f aca="false">IF(BU102="LOSE",1,0)</f>
        <v>0</v>
      </c>
      <c r="BX102" s="53" t="n">
        <f aca="false">IF(AND(U102="",OR(P102="",P102="LOSE"),T102&lt;&gt;"",N(S102)&lt;=0,ISNUMBER(MATCH(T102,Parameter!$I$27:$I$29,0))),1,0)</f>
        <v>0</v>
      </c>
      <c r="BY102" s="53" t="n">
        <f aca="false">IF(CL102&gt;0,INDEX(Parameter!$H$5:$H$7,W102)/INDEX(Parameter!$E$5:$E$7,W102),IF(AND(BW102=0,N(IFERROR(VLOOKUP(BU102,'Gebinde-Kategorie'!$A$5:$N$45,14,0),0))&gt;0),VLOOKUP(BU102,'Gebinde-Kategorie'!$A$5:$N$45,14,0)*10+Parameter!$M$23,Parameter!$M$24))</f>
        <v>235</v>
      </c>
      <c r="BZ102" s="48" t="str">
        <f aca="false">IF(AND(Parameter!$B$19="Ja",E102&lt;&gt;"",ISNUMBER(MATCH(E102,Parameter!$I$35:$I$52,0))),VLOOKUP(E102,Parameter!$I$35:$J$52,2,0),IFERROR(VLOOKUP(D102,Parameter!$A$35:$C$64,2,0),"Nein"))</f>
        <v>2+3</v>
      </c>
      <c r="CA102" s="52" t="n">
        <f aca="false">IF(BW102=0,0,IF(N(S102)&gt;0,S102,IFERROR(VLOOKUP(D102,Parameter!$A$35:$C$64,3,0)+0,0)))</f>
        <v>0</v>
      </c>
      <c r="CB102" s="48" t="n">
        <f aca="false">IF(AA102&lt;&gt;"",AA102,Z102)</f>
        <v>2</v>
      </c>
      <c r="CC102" s="48" t="str">
        <f aca="false">IF(OR(CB102=1,CB102=2,CB102=3),IF(Parameter!$E$27="Ja","LIFT",IF(CB102=1,"L1","L23")),IF(CB102="Aussen","Aussen","-"))</f>
        <v>LIFT</v>
      </c>
      <c r="CD102" s="59" t="n">
        <f aca="false">IF(N(AB102)&gt;0,AB102,0)</f>
        <v>0</v>
      </c>
      <c r="CE102" s="53" t="n">
        <f aca="false">IF(ISNUMBER(AE102),1,0)</f>
        <v>0</v>
      </c>
      <c r="CF102" s="50" t="n">
        <f aca="false">N(AE102)</f>
        <v>0</v>
      </c>
      <c r="CG102" s="50" t="n">
        <f aca="false">N(M102)+N(N102)</f>
        <v>50</v>
      </c>
      <c r="CH102" s="50" t="n">
        <f aca="false">ROUNDUP(H102/BV102,0)</f>
        <v>2</v>
      </c>
      <c r="CI102" s="50" t="n">
        <f aca="false">ROUNDUP(CF102/BV102,0)</f>
        <v>0</v>
      </c>
      <c r="CJ102" s="53" t="n">
        <f aca="false">IF(BW102=1,0,IFERROR(VLOOKUP(BU102,'Gebinde-Kategorie'!$A$5:$N$45,5,0)+0,0))</f>
        <v>20</v>
      </c>
      <c r="CK102" s="53" t="n">
        <f aca="false">IFERROR(IF(OR(CB102=1,CB102=2,CB102=3),N(INDEX(Parameter!$I$5:$I$7,CB102)),0),0)</f>
        <v>0</v>
      </c>
      <c r="CL102" s="52" t="n">
        <f aca="false">IF(AND(Parameter!$B$21="Ja",ISNUMBER(W102),N(X102)&gt;0),IFERROR(N(INDEX(Parameter!$L$5:$L$7,W102))*INDEX(Parameter!$E$5:$E$7,W102)*X102/SUMIFS($X$7:$X$1843,$W$7:$W$1843,W102),0),0)</f>
        <v>0</v>
      </c>
    </row>
    <row r="103" customFormat="false" ht="15" hidden="false" customHeight="false" outlineLevel="0" collapsed="false">
      <c r="A103" s="48" t="s">
        <v>422</v>
      </c>
      <c r="B103" s="48" t="s">
        <v>423</v>
      </c>
      <c r="C103" s="48" t="s">
        <v>168</v>
      </c>
      <c r="D103" s="48" t="s">
        <v>177</v>
      </c>
      <c r="E103" s="48"/>
      <c r="F103" s="48" t="s">
        <v>222</v>
      </c>
      <c r="G103" s="49" t="n">
        <v>305.49</v>
      </c>
      <c r="H103" s="50" t="n">
        <f aca="false">MAX(0,IF(AND(Parameter!$B$21="Ja",ISNUMBER(Y103)),Y103,IF(Parameter!$B$20="Jahresanfang 2025 + Export",BO103+BN103,BN103)))</f>
        <v>41</v>
      </c>
      <c r="I103" s="50" t="n">
        <f aca="false">H103*G103</f>
        <v>12525.09</v>
      </c>
      <c r="J103" s="50" t="n">
        <f aca="false">BQ103*Parameter!$B$18</f>
        <v>151</v>
      </c>
      <c r="K103" s="51" t="n">
        <v>41.5</v>
      </c>
      <c r="L103" s="52" t="n">
        <v>3.63855421686747</v>
      </c>
      <c r="M103" s="50" t="n">
        <v>15</v>
      </c>
      <c r="N103" s="50" t="n">
        <v>24</v>
      </c>
      <c r="O103" s="53" t="n">
        <v>28</v>
      </c>
      <c r="P103" s="48" t="s">
        <v>178</v>
      </c>
      <c r="Q103" s="50" t="n">
        <v>40</v>
      </c>
      <c r="R103" s="53" t="n">
        <f aca="false">IF(BW103=1,0,IFERROR(VLOOKUP(BU103,'Gebinde-Kategorie'!$A$5:$N$45,13,0)+0,0))</f>
        <v>6</v>
      </c>
      <c r="S103" s="54"/>
      <c r="T103" s="55"/>
      <c r="U103" s="55"/>
      <c r="V103" s="55"/>
      <c r="W103" s="48"/>
      <c r="X103" s="50"/>
      <c r="Y103" s="50"/>
      <c r="Z103" s="48" t="n">
        <f aca="false">IF(A103="","",IF(AND(Parameter!$B$21="Ja",ISNUMBER(W103)),W103,IF(BZ103="2+3",IF(ISNUMBER(SEARCH("grosser Artikel",BR103)),2,IFERROR(VLOOKUP(BU103,Parameter!$F$35:$G$64,2,0),2)),IF(OR(BZ103="Nein",BZ103=""),"-",BZ103))))</f>
        <v>2</v>
      </c>
      <c r="AA103" s="55"/>
      <c r="AB103" s="56"/>
      <c r="AC103" s="50" t="n">
        <f aca="false">AT103</f>
        <v>80</v>
      </c>
      <c r="AD103" s="50" t="n">
        <f aca="false">MAX(AT103,H103)</f>
        <v>80</v>
      </c>
      <c r="AE103" s="57"/>
      <c r="AF103" s="50" t="n">
        <f aca="false">IF(LEFT(Cockpit!$C$5,1)="A",H103,IF(CE103=1,CF103,IF(LEFT(Cockpit!$C$5,1)="B",AK103,MAX(AK103,H103))))</f>
        <v>41</v>
      </c>
      <c r="AG103" s="50" t="n">
        <f aca="false">IF(BW103=1,0,ROUNDUP(AF103/BV103,0))</f>
        <v>2</v>
      </c>
      <c r="AH103" s="52" t="n">
        <f aca="false">IF(CL103&gt;0,CL103*MAX(1,AF103/X103),IF(BW103=1,IF(AF103&lt;=0,0,CA103*MAX(1,IF(H103&gt;0,AF103/H103,1))),IF(R103&gt;0,AG103/R103,0))/MAX(0.1,N(Parameter!$M$21)))</f>
        <v>0.333333333333333</v>
      </c>
      <c r="AI103" s="50" t="n">
        <f aca="false">AH103*BY103</f>
        <v>78.3333333333333</v>
      </c>
      <c r="AJ103" s="50" t="n">
        <f aca="false">AF103*G103</f>
        <v>12525.09</v>
      </c>
      <c r="AK103" s="50" t="n">
        <f aca="false">ROUNDUP(MAX(J103/IF(CD103&gt;0,CD103,MAX(0.1,N(Cockpit!$C$6))),CG103)/BV103,0)*BV103</f>
        <v>80</v>
      </c>
      <c r="AL103" s="51" t="n">
        <f aca="false">IF(AI103&gt;0,J103/AI103,-1)</f>
        <v>1.92765957446809</v>
      </c>
      <c r="AM103" s="51" t="n">
        <f aca="false">IF(AND(OR(CC103="L1",CC103="L23",CC103="LIFT"),AI103&gt;0),SUMIFS($AI$7:$AI$1843,$CC$7:$CC$1843,CC103,$AL$7:$AL$1843,"&gt;"&amp;AL103)+SUMIFS($AI$7:$AI$1843,$CC$7:$CC$1843,CC103,$AL$7:$AL$1843,AL103,$BT$7:$BT$1843,"&lt;="&amp;BT103),"")</f>
        <v>5941.76327838828</v>
      </c>
      <c r="AN103" s="58" t="n">
        <f aca="false">IF(AM103="",0,MAX(0,MIN(1,(IF(CC103="L1",Parameter!$H$5,IF(CC103="L23",Parameter!$H$6+Parameter!$H$7,Parameter!$H$5+Parameter!$H$6+Parameter!$H$7))-(AM103-AI103))/AI103)))</f>
        <v>1</v>
      </c>
      <c r="AO103" s="50" t="n">
        <f aca="false">IF(LEFT(Cockpit!$I$5,1)="A",H103,IF(CE103=1,CF103,IF(LEFT(Cockpit!$I$5,1)="B",AT103,MAX(AT103,H103))))</f>
        <v>80</v>
      </c>
      <c r="AP103" s="50" t="n">
        <f aca="false">IF(BW103=1,0,ROUNDUP(AO103/BV103,0))</f>
        <v>2</v>
      </c>
      <c r="AQ103" s="52" t="n">
        <f aca="false">IF(CL103&gt;0,CL103*MAX(1,AO103/X103),IF(BW103=1,IF(AO103&lt;=0,0,CA103*MAX(1,IF(H103&gt;0,AO103/H103,1))),IF(R103&gt;0,AP103/R103,0))/MAX(0.1,N(Parameter!$M$21)))</f>
        <v>0.333333333333333</v>
      </c>
      <c r="AR103" s="50" t="n">
        <f aca="false">AQ103*BY103</f>
        <v>78.3333333333333</v>
      </c>
      <c r="AS103" s="50" t="n">
        <f aca="false">AO103*G103</f>
        <v>24439.2</v>
      </c>
      <c r="AT103" s="50" t="n">
        <f aca="false">ROUNDUP(MAX(J103/IF(CD103&gt;0,CD103,MAX(0.1,N(Cockpit!$I$6))),CG103)/BV103,0)*BV103</f>
        <v>80</v>
      </c>
      <c r="AU103" s="51" t="n">
        <f aca="false">IF(AR103&gt;0,J103/AR103,-1)</f>
        <v>1.92765957446809</v>
      </c>
      <c r="AV103" s="51" t="n">
        <f aca="false">IF(AND(OR(CC103="L1",CC103="L23",CC103="LIFT"),AR103&gt;0),SUMIFS($AR$7:$AR$1843,$CC$7:$CC$1843,CC103,$AU$7:$AU$1843,"&gt;"&amp;AU103)+SUMIFS($AR$7:$AR$1843,$CC$7:$CC$1843,CC103,$AU$7:$AU$1843,AU103,$BT$7:$BT$1843,"&lt;="&amp;BT103),"")</f>
        <v>7929.78891941392</v>
      </c>
      <c r="AW103" s="58" t="n">
        <f aca="false">IF(AV103="",0,MAX(0,MIN(1,(IF(CC103="L1",Parameter!$H$5,IF(CC103="L23",Parameter!$H$6+Parameter!$H$7,Parameter!$H$5+Parameter!$H$6+Parameter!$H$7))-(AV103-AR103))/AR103)))</f>
        <v>1</v>
      </c>
      <c r="AX103" s="50" t="n">
        <f aca="false">IF(LEFT(Cockpit!$O$5,1)="A",H103,IF(CE103=1,CF103,IF(LEFT(Cockpit!$O$5,1)="B",BC103,MAX(BC103,H103))))</f>
        <v>80</v>
      </c>
      <c r="AY103" s="50" t="n">
        <f aca="false">IF(BW103=1,0,ROUNDUP(AX103/BV103,0))</f>
        <v>2</v>
      </c>
      <c r="AZ103" s="52" t="n">
        <f aca="false">IF(CL103&gt;0,CL103*MAX(1,AX103/X103),IF(BW103=1,IF(AX103&lt;=0,0,CA103*MAX(1,IF(H103&gt;0,AX103/H103,1))),IF(R103&gt;0,AY103/R103,0))/MAX(0.1,N(Parameter!$M$21)))</f>
        <v>0.333333333333333</v>
      </c>
      <c r="BA103" s="50" t="n">
        <f aca="false">AZ103*BY103</f>
        <v>78.3333333333333</v>
      </c>
      <c r="BB103" s="50" t="n">
        <f aca="false">AX103*G103</f>
        <v>24439.2</v>
      </c>
      <c r="BC103" s="50" t="n">
        <f aca="false">ROUNDUP(MAX(J103/IF(CD103&gt;0,CD103,MAX(0.1,N(Cockpit!$O$6))),CG103)/BV103,0)*BV103</f>
        <v>80</v>
      </c>
      <c r="BD103" s="51" t="n">
        <f aca="false">IF(BA103&gt;0,J103/BA103,-1)</f>
        <v>1.92765957446809</v>
      </c>
      <c r="BE103" s="51" t="n">
        <f aca="false">IF(AND(OR(CC103="L1",CC103="L23",CC103="LIFT"),BA103&gt;0),SUMIFS($BA$7:$BA$1843,$CC$7:$CC$1843,CC103,$BD$7:$BD$1843,"&gt;"&amp;BD103)+SUMIFS($BA$7:$BA$1843,$CC$7:$CC$1843,CC103,$BD$7:$BD$1843,BD103,$BT$7:$BT$1843,"&lt;="&amp;BT103),"")</f>
        <v>7750.44597069597</v>
      </c>
      <c r="BF103" s="58" t="n">
        <f aca="false">IF(BE103="",0,MAX(0,MIN(1,(IF(CC103="L1",Parameter!$H$5,IF(CC103="L23",Parameter!$H$6+Parameter!$H$7,Parameter!$H$5+Parameter!$H$6+Parameter!$H$7))-(BE103-BA103))/BA103)))</f>
        <v>1</v>
      </c>
      <c r="BG103" s="48" t="str">
        <f aca="false">IF(AI103&lt;=0,"",IF(CC103="Aussen","Aussenlager",IF(CC103="-","Nicht im Lift",IF(AN103&gt;=1,"Lift",IF(AN103&lt;=0,"Aussenlager","teilweise")))))</f>
        <v>Lift</v>
      </c>
      <c r="BH103" s="48" t="str">
        <f aca="false">IF(AR103&lt;=0,"",IF(CC103="Aussen","Aussenlager",IF(CC103="-","Nicht im Lift",IF(AW103&gt;=1,"Lift",IF(AW103&lt;=0,"Aussenlager","teilweise")))))</f>
        <v>Lift</v>
      </c>
      <c r="BI103" s="48" t="str">
        <f aca="false">IF(BA103&lt;=0,"",IF(CC103="Aussen","Aussenlager",IF(CC103="-","Nicht im Lift",IF(BF103&gt;=1,"Lift",IF(BF103&lt;=0,"Aussenlager","teilweise")))))</f>
        <v>Lift</v>
      </c>
      <c r="BJ103" s="48" t="str">
        <f aca="false">IF(A103="","",IF(BS103=1,"Neu; ","")&amp;IF(AND(BS103=0,BN103&lt;0),"negativer Bestand (Export "&amp;BN103&amp;"); ","")&amp;IF(J103&lt;=0,"Kein Verbrauch; ","")&amp;IF(CL103&gt;0,"Lift "&amp;W103&amp;" lt. Liftbericht (Fach "&amp;X103&amp;" Stk); ",IF(BX103=1,"Gebinde geschätzt ("&amp;T103&amp;"); ",IF(BW103=1,"Lose – Tablare geschätzt; ","")))&amp;IF(H103&gt;AT103,"Überbestand "&amp;ROUND(H103-AT103,0)&amp;" Stk / CHF "&amp;ROUND((H103-AT103)*G103,0)&amp;"; ","")&amp;IF(AND(CE103=1,CF103&lt;CG103),"MAX &lt; MB+LG; ","")&amp;IF(AND(CK103&gt;0,CJ103*10&gt;CK103),"zu hoch für Tablar; ","")&amp;IF(AND(BS103=0,OR(CE103=1,AA103&lt;&gt;"",U103&lt;&gt;"",V103&lt;&gt;"",AB103&lt;&gt;"")),"manuell übersteuert; ","")&amp;IF(AND(BW103=0,R103=0),"Gebinde unbekannt / Stellmass fehlt; ","")&amp;IF(AND(BW103=0,N(V103)&lt;=0,N(Q103)&lt;=0),"Menge pro Gebinde fehlt (Ist = 1 Gebinde); ","")&amp;BR103)</f>
        <v/>
      </c>
      <c r="BK103" s="48"/>
      <c r="BL103" s="48"/>
      <c r="BM103" s="55"/>
      <c r="BN103" s="50" t="n">
        <v>5</v>
      </c>
      <c r="BO103" s="50" t="n">
        <v>36</v>
      </c>
      <c r="BP103" s="49" t="n">
        <v>2316.92999999999</v>
      </c>
      <c r="BQ103" s="50" t="n">
        <v>151</v>
      </c>
      <c r="BR103" s="48"/>
      <c r="BS103" s="53" t="n">
        <v>0</v>
      </c>
      <c r="BT103" s="53" t="n">
        <v>103</v>
      </c>
      <c r="BU103" s="48" t="str">
        <f aca="false">IF(U103&lt;&gt;"",UPPER(TRIM(U103)),IF(BX103=1,UPPER(VLOOKUP(T103,Parameter!$I$27:$K$29,2,0)),IF(P103="","LOSE",P103)))</f>
        <v>S71</v>
      </c>
      <c r="BV103" s="50" t="n">
        <f aca="false">IF(BU103="LOSE",1,IF(N(V103)&gt;0,V103,IF(BX103=1,MAX(1,N(VLOOKUP(T103,Parameter!$I$27:$K$29,3,0)),H103,N(N103)),IF(N(Q103)&gt;0,Q103,MAX(1,H103)))))</f>
        <v>40</v>
      </c>
      <c r="BW103" s="53" t="n">
        <f aca="false">IF(BU103="LOSE",1,0)</f>
        <v>0</v>
      </c>
      <c r="BX103" s="53" t="n">
        <f aca="false">IF(AND(U103="",OR(P103="",P103="LOSE"),T103&lt;&gt;"",N(S103)&lt;=0,ISNUMBER(MATCH(T103,Parameter!$I$27:$I$29,0))),1,0)</f>
        <v>0</v>
      </c>
      <c r="BY103" s="53" t="n">
        <f aca="false">IF(CL103&gt;0,INDEX(Parameter!$H$5:$H$7,W103)/INDEX(Parameter!$E$5:$E$7,W103),IF(AND(BW103=0,N(IFERROR(VLOOKUP(BU103,'Gebinde-Kategorie'!$A$5:$N$45,14,0),0))&gt;0),VLOOKUP(BU103,'Gebinde-Kategorie'!$A$5:$N$45,14,0)*10+Parameter!$M$23,Parameter!$M$24))</f>
        <v>235</v>
      </c>
      <c r="BZ103" s="48" t="str">
        <f aca="false">IF(AND(Parameter!$B$19="Ja",E103&lt;&gt;"",ISNUMBER(MATCH(E103,Parameter!$I$35:$I$52,0))),VLOOKUP(E103,Parameter!$I$35:$J$52,2,0),IFERROR(VLOOKUP(D103,Parameter!$A$35:$C$64,2,0),"Nein"))</f>
        <v>2+3</v>
      </c>
      <c r="CA103" s="52" t="n">
        <f aca="false">IF(BW103=0,0,IF(N(S103)&gt;0,S103,IFERROR(VLOOKUP(D103,Parameter!$A$35:$C$64,3,0)+0,0)))</f>
        <v>0</v>
      </c>
      <c r="CB103" s="48" t="n">
        <f aca="false">IF(AA103&lt;&gt;"",AA103,Z103)</f>
        <v>2</v>
      </c>
      <c r="CC103" s="48" t="str">
        <f aca="false">IF(OR(CB103=1,CB103=2,CB103=3),IF(Parameter!$E$27="Ja","LIFT",IF(CB103=1,"L1","L23")),IF(CB103="Aussen","Aussen","-"))</f>
        <v>LIFT</v>
      </c>
      <c r="CD103" s="59" t="n">
        <f aca="false">IF(N(AB103)&gt;0,AB103,0)</f>
        <v>0</v>
      </c>
      <c r="CE103" s="53" t="n">
        <f aca="false">IF(ISNUMBER(AE103),1,0)</f>
        <v>0</v>
      </c>
      <c r="CF103" s="50" t="n">
        <f aca="false">N(AE103)</f>
        <v>0</v>
      </c>
      <c r="CG103" s="50" t="n">
        <f aca="false">N(M103)+N(N103)</f>
        <v>39</v>
      </c>
      <c r="CH103" s="50" t="n">
        <f aca="false">ROUNDUP(H103/BV103,0)</f>
        <v>2</v>
      </c>
      <c r="CI103" s="50" t="n">
        <f aca="false">ROUNDUP(CF103/BV103,0)</f>
        <v>0</v>
      </c>
      <c r="CJ103" s="53" t="n">
        <f aca="false">IF(BW103=1,0,IFERROR(VLOOKUP(BU103,'Gebinde-Kategorie'!$A$5:$N$45,5,0)+0,0))</f>
        <v>20</v>
      </c>
      <c r="CK103" s="53" t="n">
        <f aca="false">IFERROR(IF(OR(CB103=1,CB103=2,CB103=3),N(INDEX(Parameter!$I$5:$I$7,CB103)),0),0)</f>
        <v>0</v>
      </c>
      <c r="CL103" s="52" t="n">
        <f aca="false">IF(AND(Parameter!$B$21="Ja",ISNUMBER(W103),N(X103)&gt;0),IFERROR(N(INDEX(Parameter!$L$5:$L$7,W103))*INDEX(Parameter!$E$5:$E$7,W103)*X103/SUMIFS($X$7:$X$1843,$W$7:$W$1843,W103),0),0)</f>
        <v>0</v>
      </c>
    </row>
    <row r="104" customFormat="false" ht="15" hidden="false" customHeight="false" outlineLevel="0" collapsed="false">
      <c r="A104" s="48" t="s">
        <v>424</v>
      </c>
      <c r="B104" s="48" t="s">
        <v>378</v>
      </c>
      <c r="C104" s="48" t="s">
        <v>168</v>
      </c>
      <c r="D104" s="48" t="s">
        <v>188</v>
      </c>
      <c r="E104" s="48" t="s">
        <v>189</v>
      </c>
      <c r="F104" s="48" t="s">
        <v>222</v>
      </c>
      <c r="G104" s="49" t="n">
        <v>12.37</v>
      </c>
      <c r="H104" s="50" t="n">
        <f aca="false">MAX(0,IF(AND(Parameter!$B$21="Ja",ISNUMBER(Y104)),Y104,IF(Parameter!$B$20="Jahresanfang 2025 + Export",BO104+BN104,BN104)))</f>
        <v>377</v>
      </c>
      <c r="I104" s="50" t="n">
        <f aca="false">H104*G104</f>
        <v>4663.49</v>
      </c>
      <c r="J104" s="50" t="n">
        <f aca="false">BQ104*Parameter!$B$18</f>
        <v>1024</v>
      </c>
      <c r="K104" s="51" t="n">
        <v>264</v>
      </c>
      <c r="L104" s="52" t="n">
        <v>3.87878787878788</v>
      </c>
      <c r="M104" s="50" t="n">
        <v>65</v>
      </c>
      <c r="N104" s="50" t="n">
        <v>500</v>
      </c>
      <c r="O104" s="53" t="n">
        <v>21</v>
      </c>
      <c r="P104" s="48" t="s">
        <v>425</v>
      </c>
      <c r="Q104" s="50" t="n">
        <v>574</v>
      </c>
      <c r="R104" s="53" t="n">
        <f aca="false">IF(BW104=1,0,IFERROR(VLOOKUP(BU104,'Gebinde-Kategorie'!$A$5:$N$45,13,0)+0,0))</f>
        <v>104</v>
      </c>
      <c r="S104" s="54"/>
      <c r="T104" s="55"/>
      <c r="U104" s="55"/>
      <c r="V104" s="55"/>
      <c r="W104" s="48"/>
      <c r="X104" s="50"/>
      <c r="Y104" s="50"/>
      <c r="Z104" s="48" t="n">
        <f aca="false">IF(A104="","",IF(AND(Parameter!$B$21="Ja",ISNUMBER(W104)),W104,IF(BZ104="2+3",IF(ISNUMBER(SEARCH("grosser Artikel",BR104)),2,IFERROR(VLOOKUP(BU104,Parameter!$F$35:$G$64,2,0),2)),IF(OR(BZ104="Nein",BZ104=""),"-",BZ104))))</f>
        <v>3</v>
      </c>
      <c r="AA104" s="55"/>
      <c r="AB104" s="56"/>
      <c r="AC104" s="50" t="n">
        <f aca="false">AT104</f>
        <v>574</v>
      </c>
      <c r="AD104" s="50" t="n">
        <f aca="false">MAX(AT104,H104)</f>
        <v>574</v>
      </c>
      <c r="AE104" s="57"/>
      <c r="AF104" s="50" t="n">
        <f aca="false">IF(LEFT(Cockpit!$C$5,1)="A",H104,IF(CE104=1,CF104,IF(LEFT(Cockpit!$C$5,1)="B",AK104,MAX(AK104,H104))))</f>
        <v>377</v>
      </c>
      <c r="AG104" s="50" t="n">
        <f aca="false">IF(BW104=1,0,ROUNDUP(AF104/BV104,0))</f>
        <v>1</v>
      </c>
      <c r="AH104" s="52" t="n">
        <f aca="false">IF(CL104&gt;0,CL104*MAX(1,AF104/X104),IF(BW104=1,IF(AF104&lt;=0,0,CA104*MAX(1,IF(H104&gt;0,AF104/H104,1))),IF(R104&gt;0,AG104/R104,0))/MAX(0.1,N(Parameter!$M$21)))</f>
        <v>0.00961538461538462</v>
      </c>
      <c r="AI104" s="50" t="n">
        <f aca="false">AH104*BY104</f>
        <v>1.49038461538462</v>
      </c>
      <c r="AJ104" s="50" t="n">
        <f aca="false">AF104*G104</f>
        <v>4663.49</v>
      </c>
      <c r="AK104" s="50" t="n">
        <f aca="false">ROUNDUP(MAX(J104/IF(CD104&gt;0,CD104,MAX(0.1,N(Cockpit!$C$6))),CG104)/BV104,0)*BV104</f>
        <v>574</v>
      </c>
      <c r="AL104" s="51" t="n">
        <f aca="false">IF(AI104&gt;0,J104/AI104,-1)</f>
        <v>687.070967741935</v>
      </c>
      <c r="AM104" s="51" t="n">
        <f aca="false">IF(AND(OR(CC104="L1",CC104="L23",CC104="LIFT"),AI104&gt;0),SUMIFS($AI$7:$AI$1843,$CC$7:$CC$1843,CC104,$AL$7:$AL$1843,"&gt;"&amp;AL104)+SUMIFS($AI$7:$AI$1843,$CC$7:$CC$1843,CC104,$AL$7:$AL$1843,AL104,$BT$7:$BT$1843,"&lt;="&amp;BT104),"")</f>
        <v>26.4436813186813</v>
      </c>
      <c r="AN104" s="58" t="n">
        <f aca="false">IF(AM104="",0,MAX(0,MIN(1,(IF(CC104="L1",Parameter!$H$5,IF(CC104="L23",Parameter!$H$6+Parameter!$H$7,Parameter!$H$5+Parameter!$H$6+Parameter!$H$7))-(AM104-AI104))/AI104)))</f>
        <v>1</v>
      </c>
      <c r="AO104" s="50" t="n">
        <f aca="false">IF(LEFT(Cockpit!$I$5,1)="A",H104,IF(CE104=1,CF104,IF(LEFT(Cockpit!$I$5,1)="B",AT104,MAX(AT104,H104))))</f>
        <v>574</v>
      </c>
      <c r="AP104" s="50" t="n">
        <f aca="false">IF(BW104=1,0,ROUNDUP(AO104/BV104,0))</f>
        <v>1</v>
      </c>
      <c r="AQ104" s="52" t="n">
        <f aca="false">IF(CL104&gt;0,CL104*MAX(1,AO104/X104),IF(BW104=1,IF(AO104&lt;=0,0,CA104*MAX(1,IF(H104&gt;0,AO104/H104,1))),IF(R104&gt;0,AP104/R104,0))/MAX(0.1,N(Parameter!$M$21)))</f>
        <v>0.00961538461538462</v>
      </c>
      <c r="AR104" s="50" t="n">
        <f aca="false">AQ104*BY104</f>
        <v>1.49038461538462</v>
      </c>
      <c r="AS104" s="50" t="n">
        <f aca="false">AO104*G104</f>
        <v>7100.38</v>
      </c>
      <c r="AT104" s="50" t="n">
        <f aca="false">ROUNDUP(MAX(J104/IF(CD104&gt;0,CD104,MAX(0.1,N(Cockpit!$I$6))),CG104)/BV104,0)*BV104</f>
        <v>574</v>
      </c>
      <c r="AU104" s="51" t="n">
        <f aca="false">IF(AR104&gt;0,J104/AR104,-1)</f>
        <v>687.070967741935</v>
      </c>
      <c r="AV104" s="51" t="n">
        <f aca="false">IF(AND(OR(CC104="L1",CC104="L23",CC104="LIFT"),AR104&gt;0),SUMIFS($AR$7:$AR$1843,$CC$7:$CC$1843,CC104,$AU$7:$AU$1843,"&gt;"&amp;AU104)+SUMIFS($AR$7:$AR$1843,$CC$7:$CC$1843,CC104,$AU$7:$AU$1843,AU104,$BT$7:$BT$1843,"&lt;="&amp;BT104),"")</f>
        <v>16.9478021978022</v>
      </c>
      <c r="AW104" s="58" t="n">
        <f aca="false">IF(AV104="",0,MAX(0,MIN(1,(IF(CC104="L1",Parameter!$H$5,IF(CC104="L23",Parameter!$H$6+Parameter!$H$7,Parameter!$H$5+Parameter!$H$6+Parameter!$H$7))-(AV104-AR104))/AR104)))</f>
        <v>1</v>
      </c>
      <c r="AX104" s="50" t="n">
        <f aca="false">IF(LEFT(Cockpit!$O$5,1)="A",H104,IF(CE104=1,CF104,IF(LEFT(Cockpit!$O$5,1)="B",BC104,MAX(BC104,H104))))</f>
        <v>574</v>
      </c>
      <c r="AY104" s="50" t="n">
        <f aca="false">IF(BW104=1,0,ROUNDUP(AX104/BV104,0))</f>
        <v>1</v>
      </c>
      <c r="AZ104" s="52" t="n">
        <f aca="false">IF(CL104&gt;0,CL104*MAX(1,AX104/X104),IF(BW104=1,IF(AX104&lt;=0,0,CA104*MAX(1,IF(H104&gt;0,AX104/H104,1))),IF(R104&gt;0,AY104/R104,0))/MAX(0.1,N(Parameter!$M$21)))</f>
        <v>0.00961538461538462</v>
      </c>
      <c r="BA104" s="50" t="n">
        <f aca="false">AZ104*BY104</f>
        <v>1.49038461538462</v>
      </c>
      <c r="BB104" s="50" t="n">
        <f aca="false">AX104*G104</f>
        <v>7100.38</v>
      </c>
      <c r="BC104" s="50" t="n">
        <f aca="false">ROUNDUP(MAX(J104/IF(CD104&gt;0,CD104,MAX(0.1,N(Cockpit!$O$6))),CG104)/BV104,0)*BV104</f>
        <v>574</v>
      </c>
      <c r="BD104" s="51" t="n">
        <f aca="false">IF(BA104&gt;0,J104/BA104,-1)</f>
        <v>687.070967741935</v>
      </c>
      <c r="BE104" s="51" t="n">
        <f aca="false">IF(AND(OR(CC104="L1",CC104="L23",CC104="LIFT"),BA104&gt;0),SUMIFS($BA$7:$BA$1843,$CC$7:$CC$1843,CC104,$BD$7:$BD$1843,"&gt;"&amp;BD104)+SUMIFS($BA$7:$BA$1843,$CC$7:$CC$1843,CC104,$BD$7:$BD$1843,BD104,$BT$7:$BT$1843,"&lt;="&amp;BT104),"")</f>
        <v>16.9478021978022</v>
      </c>
      <c r="BF104" s="58" t="n">
        <f aca="false">IF(BE104="",0,MAX(0,MIN(1,(IF(CC104="L1",Parameter!$H$5,IF(CC104="L23",Parameter!$H$6+Parameter!$H$7,Parameter!$H$5+Parameter!$H$6+Parameter!$H$7))-(BE104-BA104))/BA104)))</f>
        <v>1</v>
      </c>
      <c r="BG104" s="48" t="str">
        <f aca="false">IF(AI104&lt;=0,"",IF(CC104="Aussen","Aussenlager",IF(CC104="-","Nicht im Lift",IF(AN104&gt;=1,"Lift",IF(AN104&lt;=0,"Aussenlager","teilweise")))))</f>
        <v>Lift</v>
      </c>
      <c r="BH104" s="48" t="str">
        <f aca="false">IF(AR104&lt;=0,"",IF(CC104="Aussen","Aussenlager",IF(CC104="-","Nicht im Lift",IF(AW104&gt;=1,"Lift",IF(AW104&lt;=0,"Aussenlager","teilweise")))))</f>
        <v>Lift</v>
      </c>
      <c r="BI104" s="48" t="str">
        <f aca="false">IF(BA104&lt;=0,"",IF(CC104="Aussen","Aussenlager",IF(CC104="-","Nicht im Lift",IF(BF104&gt;=1,"Lift",IF(BF104&lt;=0,"Aussenlager","teilweise")))))</f>
        <v>Lift</v>
      </c>
      <c r="BJ104" s="48" t="str">
        <f aca="false">IF(A104="","",IF(BS104=1,"Neu; ","")&amp;IF(AND(BS104=0,BN104&lt;0),"negativer Bestand (Export "&amp;BN104&amp;"); ","")&amp;IF(J104&lt;=0,"Kein Verbrauch; ","")&amp;IF(CL104&gt;0,"Lift "&amp;W104&amp;" lt. Liftbericht (Fach "&amp;X104&amp;" Stk); ",IF(BX104=1,"Gebinde geschätzt ("&amp;T104&amp;"); ",IF(BW104=1,"Lose – Tablare geschätzt; ","")))&amp;IF(H104&gt;AT104,"Überbestand "&amp;ROUND(H104-AT104,0)&amp;" Stk / CHF "&amp;ROUND((H104-AT104)*G104,0)&amp;"; ","")&amp;IF(AND(CE104=1,CF104&lt;CG104),"MAX &lt; MB+LG; ","")&amp;IF(AND(CK104&gt;0,CJ104*10&gt;CK104),"zu hoch für Tablar; ","")&amp;IF(AND(BS104=0,OR(CE104=1,AA104&lt;&gt;"",U104&lt;&gt;"",V104&lt;&gt;"",AB104&lt;&gt;"")),"manuell übersteuert; ","")&amp;IF(AND(BW104=0,R104=0),"Gebinde unbekannt / Stellmass fehlt; ","")&amp;IF(AND(BW104=0,N(V104)&lt;=0,N(Q104)&lt;=0),"Menge pro Gebinde fehlt (Ist = 1 Gebinde); ","")&amp;BR104)</f>
        <v/>
      </c>
      <c r="BK104" s="48"/>
      <c r="BL104" s="48"/>
      <c r="BM104" s="55"/>
      <c r="BN104" s="50" t="n">
        <v>196</v>
      </c>
      <c r="BO104" s="50" t="n">
        <v>181</v>
      </c>
      <c r="BP104" s="49" t="n">
        <v>2298.74</v>
      </c>
      <c r="BQ104" s="50" t="n">
        <v>1024</v>
      </c>
      <c r="BR104" s="48"/>
      <c r="BS104" s="53" t="n">
        <v>0</v>
      </c>
      <c r="BT104" s="53" t="n">
        <v>104</v>
      </c>
      <c r="BU104" s="48" t="str">
        <f aca="false">IF(U104&lt;&gt;"",UPPER(TRIM(U104)),IF(BX104=1,UPPER(VLOOKUP(T104,Parameter!$I$27:$K$29,2,0)),IF(P104="","LOSE",P104)))</f>
        <v>S32</v>
      </c>
      <c r="BV104" s="50" t="n">
        <f aca="false">IF(BU104="LOSE",1,IF(N(V104)&gt;0,V104,IF(BX104=1,MAX(1,N(VLOOKUP(T104,Parameter!$I$27:$K$29,3,0)),H104,N(N104)),IF(N(Q104)&gt;0,Q104,MAX(1,H104)))))</f>
        <v>574</v>
      </c>
      <c r="BW104" s="53" t="n">
        <f aca="false">IF(BU104="LOSE",1,0)</f>
        <v>0</v>
      </c>
      <c r="BX104" s="53" t="n">
        <f aca="false">IF(AND(U104="",OR(P104="",P104="LOSE"),T104&lt;&gt;"",N(S104)&lt;=0,ISNUMBER(MATCH(T104,Parameter!$I$27:$I$29,0))),1,0)</f>
        <v>0</v>
      </c>
      <c r="BY104" s="53" t="n">
        <f aca="false">IF(CL104&gt;0,INDEX(Parameter!$H$5:$H$7,W104)/INDEX(Parameter!$E$5:$E$7,W104),IF(AND(BW104=0,N(IFERROR(VLOOKUP(BU104,'Gebinde-Kategorie'!$A$5:$N$45,14,0),0))&gt;0),VLOOKUP(BU104,'Gebinde-Kategorie'!$A$5:$N$45,14,0)*10+Parameter!$M$23,Parameter!$M$24))</f>
        <v>155</v>
      </c>
      <c r="BZ104" s="48" t="str">
        <f aca="false">IF(AND(Parameter!$B$19="Ja",E104&lt;&gt;"",ISNUMBER(MATCH(E104,Parameter!$I$35:$I$52,0))),VLOOKUP(E104,Parameter!$I$35:$J$52,2,0),IFERROR(VLOOKUP(D104,Parameter!$A$35:$C$64,2,0),"Nein"))</f>
        <v>2+3</v>
      </c>
      <c r="CA104" s="52" t="n">
        <f aca="false">IF(BW104=0,0,IF(N(S104)&gt;0,S104,IFERROR(VLOOKUP(D104,Parameter!$A$35:$C$64,3,0)+0,0)))</f>
        <v>0</v>
      </c>
      <c r="CB104" s="48" t="n">
        <f aca="false">IF(AA104&lt;&gt;"",AA104,Z104)</f>
        <v>3</v>
      </c>
      <c r="CC104" s="48" t="str">
        <f aca="false">IF(OR(CB104=1,CB104=2,CB104=3),IF(Parameter!$E$27="Ja","LIFT",IF(CB104=1,"L1","L23")),IF(CB104="Aussen","Aussen","-"))</f>
        <v>LIFT</v>
      </c>
      <c r="CD104" s="59" t="n">
        <f aca="false">IF(N(AB104)&gt;0,AB104,0)</f>
        <v>0</v>
      </c>
      <c r="CE104" s="53" t="n">
        <f aca="false">IF(ISNUMBER(AE104),1,0)</f>
        <v>0</v>
      </c>
      <c r="CF104" s="50" t="n">
        <f aca="false">N(AE104)</f>
        <v>0</v>
      </c>
      <c r="CG104" s="50" t="n">
        <f aca="false">N(M104)+N(N104)</f>
        <v>565</v>
      </c>
      <c r="CH104" s="50" t="n">
        <f aca="false">ROUNDUP(H104/BV104,0)</f>
        <v>1</v>
      </c>
      <c r="CI104" s="50" t="n">
        <f aca="false">ROUNDUP(CF104/BV104,0)</f>
        <v>0</v>
      </c>
      <c r="CJ104" s="53" t="n">
        <f aca="false">IF(BW104=1,0,IFERROR(VLOOKUP(BU104,'Gebinde-Kategorie'!$A$5:$N$45,5,0)+0,0))</f>
        <v>8</v>
      </c>
      <c r="CK104" s="53" t="n">
        <f aca="false">IFERROR(IF(OR(CB104=1,CB104=2,CB104=3),N(INDEX(Parameter!$I$5:$I$7,CB104)),0),0)</f>
        <v>0</v>
      </c>
      <c r="CL104" s="52" t="n">
        <f aca="false">IF(AND(Parameter!$B$21="Ja",ISNUMBER(W104),N(X104)&gt;0),IFERROR(N(INDEX(Parameter!$L$5:$L$7,W104))*INDEX(Parameter!$E$5:$E$7,W104)*X104/SUMIFS($X$7:$X$1843,$W$7:$W$1843,W104),0),0)</f>
        <v>0</v>
      </c>
    </row>
    <row r="105" customFormat="false" ht="15" hidden="false" customHeight="false" outlineLevel="0" collapsed="false">
      <c r="A105" s="48" t="s">
        <v>426</v>
      </c>
      <c r="B105" s="48" t="s">
        <v>427</v>
      </c>
      <c r="C105" s="48" t="s">
        <v>168</v>
      </c>
      <c r="D105" s="48" t="s">
        <v>177</v>
      </c>
      <c r="E105" s="48" t="s">
        <v>177</v>
      </c>
      <c r="F105" s="48" t="s">
        <v>222</v>
      </c>
      <c r="G105" s="49" t="n">
        <v>448.5</v>
      </c>
      <c r="H105" s="50" t="n">
        <f aca="false">MAX(0,IF(AND(Parameter!$B$21="Ja",ISNUMBER(Y105)),Y105,IF(Parameter!$B$20="Jahresanfang 2025 + Export",BO105+BN105,BN105)))</f>
        <v>6</v>
      </c>
      <c r="I105" s="50" t="n">
        <f aca="false">H105*G105</f>
        <v>2691</v>
      </c>
      <c r="J105" s="50" t="n">
        <f aca="false">BQ105*Parameter!$B$18</f>
        <v>5</v>
      </c>
      <c r="K105" s="51" t="n">
        <v>3.5</v>
      </c>
      <c r="L105" s="52" t="n">
        <v>1.42857142857143</v>
      </c>
      <c r="M105" s="50" t="n">
        <v>0</v>
      </c>
      <c r="N105" s="50" t="n">
        <v>5</v>
      </c>
      <c r="O105" s="53" t="n">
        <v>21</v>
      </c>
      <c r="P105" s="48" t="s">
        <v>172</v>
      </c>
      <c r="Q105" s="50"/>
      <c r="R105" s="53" t="n">
        <f aca="false">IF(BW105=1,0,IFERROR(VLOOKUP(BU105,'Gebinde-Kategorie'!$A$5:$N$45,13,0)+0,0))</f>
        <v>4</v>
      </c>
      <c r="S105" s="54"/>
      <c r="T105" s="55" t="s">
        <v>193</v>
      </c>
      <c r="U105" s="55"/>
      <c r="V105" s="55"/>
      <c r="W105" s="48"/>
      <c r="X105" s="50"/>
      <c r="Y105" s="50"/>
      <c r="Z105" s="48" t="str">
        <f aca="false">IF(A105="","",IF(AND(Parameter!$B$21="Ja",ISNUMBER(W105)),W105,IF(BZ105="2+3",IF(ISNUMBER(SEARCH("grosser Artikel",BR105)),2,IFERROR(VLOOKUP(BU105,Parameter!$F$35:$G$64,2,0),2)),IF(OR(BZ105="Nein",BZ105=""),"-",BZ105))))</f>
        <v>-</v>
      </c>
      <c r="AA105" s="55"/>
      <c r="AB105" s="56"/>
      <c r="AC105" s="50" t="n">
        <f aca="false">AT105</f>
        <v>6</v>
      </c>
      <c r="AD105" s="50" t="n">
        <f aca="false">MAX(AT105,H105)</f>
        <v>6</v>
      </c>
      <c r="AE105" s="57"/>
      <c r="AF105" s="50" t="n">
        <f aca="false">IF(LEFT(Cockpit!$C$5,1)="A",H105,IF(CE105=1,CF105,IF(LEFT(Cockpit!$C$5,1)="B",AK105,MAX(AK105,H105))))</f>
        <v>6</v>
      </c>
      <c r="AG105" s="50" t="n">
        <f aca="false">IF(BW105=1,0,ROUNDUP(AF105/BV105,0))</f>
        <v>1</v>
      </c>
      <c r="AH105" s="52" t="n">
        <f aca="false">IF(CL105&gt;0,CL105*MAX(1,AF105/X105),IF(BW105=1,IF(AF105&lt;=0,0,CA105*MAX(1,IF(H105&gt;0,AF105/H105,1))),IF(R105&gt;0,AG105/R105,0))/MAX(0.1,N(Parameter!$M$21)))</f>
        <v>0.25</v>
      </c>
      <c r="AI105" s="50" t="n">
        <f aca="false">AH105*BY105</f>
        <v>58.75</v>
      </c>
      <c r="AJ105" s="50" t="n">
        <f aca="false">AF105*G105</f>
        <v>2691</v>
      </c>
      <c r="AK105" s="50" t="n">
        <f aca="false">ROUNDUP(MAX(J105/IF(CD105&gt;0,CD105,MAX(0.1,N(Cockpit!$C$6))),CG105)/BV105,0)*BV105</f>
        <v>6</v>
      </c>
      <c r="AL105" s="51" t="n">
        <f aca="false">IF(AI105&gt;0,J105/AI105,-1)</f>
        <v>0.0851063829787234</v>
      </c>
      <c r="AM105" s="51" t="str">
        <f aca="false">IF(AND(OR(CC105="L1",CC105="L23",CC105="LIFT"),AI105&gt;0),SUMIFS($AI$7:$AI$1843,$CC$7:$CC$1843,CC105,$AL$7:$AL$1843,"&gt;"&amp;AL105)+SUMIFS($AI$7:$AI$1843,$CC$7:$CC$1843,CC105,$AL$7:$AL$1843,AL105,$BT$7:$BT$1843,"&lt;="&amp;BT105),"")</f>
        <v/>
      </c>
      <c r="AN105" s="58" t="n">
        <f aca="false">IF(AM105="",0,MAX(0,MIN(1,(IF(CC105="L1",Parameter!$H$5,IF(CC105="L23",Parameter!$H$6+Parameter!$H$7,Parameter!$H$5+Parameter!$H$6+Parameter!$H$7))-(AM105-AI105))/AI105)))</f>
        <v>0</v>
      </c>
      <c r="AO105" s="50" t="n">
        <f aca="false">IF(LEFT(Cockpit!$I$5,1)="A",H105,IF(CE105=1,CF105,IF(LEFT(Cockpit!$I$5,1)="B",AT105,MAX(AT105,H105))))</f>
        <v>6</v>
      </c>
      <c r="AP105" s="50" t="n">
        <f aca="false">IF(BW105=1,0,ROUNDUP(AO105/BV105,0))</f>
        <v>1</v>
      </c>
      <c r="AQ105" s="52" t="n">
        <f aca="false">IF(CL105&gt;0,CL105*MAX(1,AO105/X105),IF(BW105=1,IF(AO105&lt;=0,0,CA105*MAX(1,IF(H105&gt;0,AO105/H105,1))),IF(R105&gt;0,AP105/R105,0))/MAX(0.1,N(Parameter!$M$21)))</f>
        <v>0.25</v>
      </c>
      <c r="AR105" s="50" t="n">
        <f aca="false">AQ105*BY105</f>
        <v>58.75</v>
      </c>
      <c r="AS105" s="50" t="n">
        <f aca="false">AO105*G105</f>
        <v>2691</v>
      </c>
      <c r="AT105" s="50" t="n">
        <f aca="false">ROUNDUP(MAX(J105/IF(CD105&gt;0,CD105,MAX(0.1,N(Cockpit!$I$6))),CG105)/BV105,0)*BV105</f>
        <v>6</v>
      </c>
      <c r="AU105" s="51" t="n">
        <f aca="false">IF(AR105&gt;0,J105/AR105,-1)</f>
        <v>0.0851063829787234</v>
      </c>
      <c r="AV105" s="51" t="str">
        <f aca="false">IF(AND(OR(CC105="L1",CC105="L23",CC105="LIFT"),AR105&gt;0),SUMIFS($AR$7:$AR$1843,$CC$7:$CC$1843,CC105,$AU$7:$AU$1843,"&gt;"&amp;AU105)+SUMIFS($AR$7:$AR$1843,$CC$7:$CC$1843,CC105,$AU$7:$AU$1843,AU105,$BT$7:$BT$1843,"&lt;="&amp;BT105),"")</f>
        <v/>
      </c>
      <c r="AW105" s="58" t="n">
        <f aca="false">IF(AV105="",0,MAX(0,MIN(1,(IF(CC105="L1",Parameter!$H$5,IF(CC105="L23",Parameter!$H$6+Parameter!$H$7,Parameter!$H$5+Parameter!$H$6+Parameter!$H$7))-(AV105-AR105))/AR105)))</f>
        <v>0</v>
      </c>
      <c r="AX105" s="50" t="n">
        <f aca="false">IF(LEFT(Cockpit!$O$5,1)="A",H105,IF(CE105=1,CF105,IF(LEFT(Cockpit!$O$5,1)="B",BC105,MAX(BC105,H105))))</f>
        <v>6</v>
      </c>
      <c r="AY105" s="50" t="n">
        <f aca="false">IF(BW105=1,0,ROUNDUP(AX105/BV105,0))</f>
        <v>1</v>
      </c>
      <c r="AZ105" s="52" t="n">
        <f aca="false">IF(CL105&gt;0,CL105*MAX(1,AX105/X105),IF(BW105=1,IF(AX105&lt;=0,0,CA105*MAX(1,IF(H105&gt;0,AX105/H105,1))),IF(R105&gt;0,AY105/R105,0))/MAX(0.1,N(Parameter!$M$21)))</f>
        <v>0.25</v>
      </c>
      <c r="BA105" s="50" t="n">
        <f aca="false">AZ105*BY105</f>
        <v>58.75</v>
      </c>
      <c r="BB105" s="50" t="n">
        <f aca="false">AX105*G105</f>
        <v>2691</v>
      </c>
      <c r="BC105" s="50" t="n">
        <f aca="false">ROUNDUP(MAX(J105/IF(CD105&gt;0,CD105,MAX(0.1,N(Cockpit!$O$6))),CG105)/BV105,0)*BV105</f>
        <v>6</v>
      </c>
      <c r="BD105" s="51" t="n">
        <f aca="false">IF(BA105&gt;0,J105/BA105,-1)</f>
        <v>0.0851063829787234</v>
      </c>
      <c r="BE105" s="51" t="str">
        <f aca="false">IF(AND(OR(CC105="L1",CC105="L23",CC105="LIFT"),BA105&gt;0),SUMIFS($BA$7:$BA$1843,$CC$7:$CC$1843,CC105,$BD$7:$BD$1843,"&gt;"&amp;BD105)+SUMIFS($BA$7:$BA$1843,$CC$7:$CC$1843,CC105,$BD$7:$BD$1843,BD105,$BT$7:$BT$1843,"&lt;="&amp;BT105),"")</f>
        <v/>
      </c>
      <c r="BF105" s="58" t="n">
        <f aca="false">IF(BE105="",0,MAX(0,MIN(1,(IF(CC105="L1",Parameter!$H$5,IF(CC105="L23",Parameter!$H$6+Parameter!$H$7,Parameter!$H$5+Parameter!$H$6+Parameter!$H$7))-(BE105-BA105))/BA105)))</f>
        <v>0</v>
      </c>
      <c r="BG105" s="48" t="str">
        <f aca="false">IF(AI105&lt;=0,"",IF(CC105="Aussen","Aussenlager",IF(CC105="-","Nicht im Lift",IF(AN105&gt;=1,"Lift",IF(AN105&lt;=0,"Aussenlager","teilweise")))))</f>
        <v>Nicht im Lift</v>
      </c>
      <c r="BH105" s="48" t="str">
        <f aca="false">IF(AR105&lt;=0,"",IF(CC105="Aussen","Aussenlager",IF(CC105="-","Nicht im Lift",IF(AW105&gt;=1,"Lift",IF(AW105&lt;=0,"Aussenlager","teilweise")))))</f>
        <v>Nicht im Lift</v>
      </c>
      <c r="BI105" s="48" t="str">
        <f aca="false">IF(BA105&lt;=0,"",IF(CC105="Aussen","Aussenlager",IF(CC105="-","Nicht im Lift",IF(BF105&gt;=1,"Lift",IF(BF105&lt;=0,"Aussenlager","teilweise")))))</f>
        <v>Nicht im Lift</v>
      </c>
      <c r="BJ105" s="48" t="str">
        <f aca="false">IF(A105="","",IF(BS105=1,"Neu; ","")&amp;IF(AND(BS105=0,BN105&lt;0),"negativer Bestand (Export "&amp;BN105&amp;"); ","")&amp;IF(J105&lt;=0,"Kein Verbrauch; ","")&amp;IF(CL105&gt;0,"Lift "&amp;W105&amp;" lt. Liftbericht (Fach "&amp;X105&amp;" Stk); ",IF(BX105=1,"Gebinde geschätzt ("&amp;T105&amp;"); ",IF(BW105=1,"Lose – Tablare geschätzt; ","")))&amp;IF(H105&gt;AT105,"Überbestand "&amp;ROUND(H105-AT105,0)&amp;" Stk / CHF "&amp;ROUND((H105-AT105)*G105,0)&amp;"; ","")&amp;IF(AND(CE105=1,CF105&lt;CG105),"MAX &lt; MB+LG; ","")&amp;IF(AND(CK105&gt;0,CJ105*10&gt;CK105),"zu hoch für Tablar; ","")&amp;IF(AND(BS105=0,OR(CE105=1,AA105&lt;&gt;"",U105&lt;&gt;"",V105&lt;&gt;"",AB105&lt;&gt;"")),"manuell übersteuert; ","")&amp;IF(AND(BW105=0,R105=0),"Gebinde unbekannt / Stellmass fehlt; ","")&amp;IF(AND(BW105=0,N(V105)&lt;=0,N(Q105)&lt;=0),"Menge pro Gebinde fehlt (Ist = 1 Gebinde); ","")&amp;BR105)</f>
        <v>Gebinde geschätzt (Gross); Menge pro Gebinde fehlt (Ist = 1 Gebinde); </v>
      </c>
      <c r="BK105" s="48"/>
      <c r="BL105" s="48"/>
      <c r="BM105" s="55"/>
      <c r="BN105" s="50" t="n">
        <v>5</v>
      </c>
      <c r="BO105" s="50" t="n">
        <v>1</v>
      </c>
      <c r="BP105" s="49" t="n">
        <v>2291.16</v>
      </c>
      <c r="BQ105" s="50" t="n">
        <v>5</v>
      </c>
      <c r="BR105" s="48"/>
      <c r="BS105" s="53" t="n">
        <v>0</v>
      </c>
      <c r="BT105" s="53" t="n">
        <v>105</v>
      </c>
      <c r="BU105" s="48" t="str">
        <f aca="false">IF(U105&lt;&gt;"",UPPER(TRIM(U105)),IF(BX105=1,UPPER(VLOOKUP(T105,Parameter!$I$27:$K$29,2,0)),IF(P105="","LOSE",P105)))</f>
        <v>S81</v>
      </c>
      <c r="BV105" s="50" t="n">
        <f aca="false">IF(BU105="LOSE",1,IF(N(V105)&gt;0,V105,IF(BX105=1,MAX(1,N(VLOOKUP(T105,Parameter!$I$27:$K$29,3,0)),H105,N(N105)),IF(N(Q105)&gt;0,Q105,MAX(1,H105)))))</f>
        <v>6</v>
      </c>
      <c r="BW105" s="53" t="n">
        <f aca="false">IF(BU105="LOSE",1,0)</f>
        <v>0</v>
      </c>
      <c r="BX105" s="53" t="n">
        <f aca="false">IF(AND(U105="",OR(P105="",P105="LOSE"),T105&lt;&gt;"",N(S105)&lt;=0,ISNUMBER(MATCH(T105,Parameter!$I$27:$I$29,0))),1,0)</f>
        <v>1</v>
      </c>
      <c r="BY105" s="53" t="n">
        <f aca="false">IF(CL105&gt;0,INDEX(Parameter!$H$5:$H$7,W105)/INDEX(Parameter!$E$5:$E$7,W105),IF(AND(BW105=0,N(IFERROR(VLOOKUP(BU105,'Gebinde-Kategorie'!$A$5:$N$45,14,0),0))&gt;0),VLOOKUP(BU105,'Gebinde-Kategorie'!$A$5:$N$45,14,0)*10+Parameter!$M$23,Parameter!$M$24))</f>
        <v>235</v>
      </c>
      <c r="BZ105" s="48" t="str">
        <f aca="false">IF(AND(Parameter!$B$19="Ja",E105&lt;&gt;"",ISNUMBER(MATCH(E105,Parameter!$I$35:$I$52,0))),VLOOKUP(E105,Parameter!$I$35:$J$52,2,0),IFERROR(VLOOKUP(D105,Parameter!$A$35:$C$64,2,0),"Nein"))</f>
        <v>Nein</v>
      </c>
      <c r="CA105" s="52" t="n">
        <f aca="false">IF(BW105=0,0,IF(N(S105)&gt;0,S105,IFERROR(VLOOKUP(D105,Parameter!$A$35:$C$64,3,0)+0,0)))</f>
        <v>0</v>
      </c>
      <c r="CB105" s="48" t="str">
        <f aca="false">IF(AA105&lt;&gt;"",AA105,Z105)</f>
        <v>-</v>
      </c>
      <c r="CC105" s="48" t="str">
        <f aca="false">IF(OR(CB105=1,CB105=2,CB105=3),IF(Parameter!$E$27="Ja","LIFT",IF(CB105=1,"L1","L23")),IF(CB105="Aussen","Aussen","-"))</f>
        <v>-</v>
      </c>
      <c r="CD105" s="59" t="n">
        <f aca="false">IF(N(AB105)&gt;0,AB105,0)</f>
        <v>0</v>
      </c>
      <c r="CE105" s="53" t="n">
        <f aca="false">IF(ISNUMBER(AE105),1,0)</f>
        <v>0</v>
      </c>
      <c r="CF105" s="50" t="n">
        <f aca="false">N(AE105)</f>
        <v>0</v>
      </c>
      <c r="CG105" s="50" t="n">
        <f aca="false">N(M105)+N(N105)</f>
        <v>5</v>
      </c>
      <c r="CH105" s="50" t="n">
        <f aca="false">ROUNDUP(H105/BV105,0)</f>
        <v>1</v>
      </c>
      <c r="CI105" s="50" t="n">
        <f aca="false">ROUNDUP(CF105/BV105,0)</f>
        <v>0</v>
      </c>
      <c r="CJ105" s="53" t="n">
        <f aca="false">IF(BW105=1,0,IFERROR(VLOOKUP(BU105,'Gebinde-Kategorie'!$A$5:$N$45,5,0)+0,0))</f>
        <v>20</v>
      </c>
      <c r="CK105" s="53" t="n">
        <f aca="false">IFERROR(IF(OR(CB105=1,CB105=2,CB105=3),N(INDEX(Parameter!$I$5:$I$7,CB105)),0),0)</f>
        <v>0</v>
      </c>
      <c r="CL105" s="52" t="n">
        <f aca="false">IF(AND(Parameter!$B$21="Ja",ISNUMBER(W105),N(X105)&gt;0),IFERROR(N(INDEX(Parameter!$L$5:$L$7,W105))*INDEX(Parameter!$E$5:$E$7,W105)*X105/SUMIFS($X$7:$X$1843,$W$7:$W$1843,W105),0),0)</f>
        <v>0</v>
      </c>
    </row>
    <row r="106" customFormat="false" ht="15" hidden="false" customHeight="false" outlineLevel="0" collapsed="false">
      <c r="A106" s="48" t="s">
        <v>428</v>
      </c>
      <c r="B106" s="48" t="s">
        <v>429</v>
      </c>
      <c r="C106" s="48" t="s">
        <v>168</v>
      </c>
      <c r="D106" s="48" t="s">
        <v>188</v>
      </c>
      <c r="E106" s="48" t="s">
        <v>189</v>
      </c>
      <c r="F106" s="48" t="s">
        <v>222</v>
      </c>
      <c r="G106" s="49" t="n">
        <v>17.68</v>
      </c>
      <c r="H106" s="50" t="n">
        <f aca="false">MAX(0,IF(AND(Parameter!$B$21="Ja",ISNUMBER(Y106)),Y106,IF(Parameter!$B$20="Jahresanfang 2025 + Export",BO106+BN106,BN106)))</f>
        <v>214</v>
      </c>
      <c r="I106" s="50" t="n">
        <f aca="false">H106*G106</f>
        <v>3783.52</v>
      </c>
      <c r="J106" s="50" t="n">
        <f aca="false">BQ106*Parameter!$B$18</f>
        <v>618</v>
      </c>
      <c r="K106" s="51" t="n">
        <v>140</v>
      </c>
      <c r="L106" s="52" t="n">
        <v>4.41428571428572</v>
      </c>
      <c r="M106" s="50" t="n">
        <v>36</v>
      </c>
      <c r="N106" s="50" t="n">
        <v>100</v>
      </c>
      <c r="O106" s="53" t="n">
        <v>21</v>
      </c>
      <c r="P106" s="48" t="s">
        <v>430</v>
      </c>
      <c r="Q106" s="50" t="n">
        <v>333</v>
      </c>
      <c r="R106" s="53" t="n">
        <f aca="false">IF(BW106=1,0,IFERROR(VLOOKUP(BU106,'Gebinde-Kategorie'!$A$5:$N$45,13,0)+0,0))</f>
        <v>140</v>
      </c>
      <c r="S106" s="54"/>
      <c r="T106" s="55"/>
      <c r="U106" s="55"/>
      <c r="V106" s="55"/>
      <c r="W106" s="48"/>
      <c r="X106" s="50"/>
      <c r="Y106" s="50"/>
      <c r="Z106" s="48" t="n">
        <f aca="false">IF(A106="","",IF(AND(Parameter!$B$21="Ja",ISNUMBER(W106)),W106,IF(BZ106="2+3",IF(ISNUMBER(SEARCH("grosser Artikel",BR106)),2,IFERROR(VLOOKUP(BU106,Parameter!$F$35:$G$64,2,0),2)),IF(OR(BZ106="Nein",BZ106=""),"-",BZ106))))</f>
        <v>3</v>
      </c>
      <c r="AA106" s="55"/>
      <c r="AB106" s="56"/>
      <c r="AC106" s="50" t="n">
        <f aca="false">AT106</f>
        <v>333</v>
      </c>
      <c r="AD106" s="50" t="n">
        <f aca="false">MAX(AT106,H106)</f>
        <v>333</v>
      </c>
      <c r="AE106" s="57"/>
      <c r="AF106" s="50" t="n">
        <f aca="false">IF(LEFT(Cockpit!$C$5,1)="A",H106,IF(CE106=1,CF106,IF(LEFT(Cockpit!$C$5,1)="B",AK106,MAX(AK106,H106))))</f>
        <v>214</v>
      </c>
      <c r="AG106" s="50" t="n">
        <f aca="false">IF(BW106=1,0,ROUNDUP(AF106/BV106,0))</f>
        <v>1</v>
      </c>
      <c r="AH106" s="52" t="n">
        <f aca="false">IF(CL106&gt;0,CL106*MAX(1,AF106/X106),IF(BW106=1,IF(AF106&lt;=0,0,CA106*MAX(1,IF(H106&gt;0,AF106/H106,1))),IF(R106&gt;0,AG106/R106,0))/MAX(0.1,N(Parameter!$M$21)))</f>
        <v>0.00714285714285714</v>
      </c>
      <c r="AI106" s="50" t="n">
        <f aca="false">AH106*BY106</f>
        <v>1.10714285714286</v>
      </c>
      <c r="AJ106" s="50" t="n">
        <f aca="false">AF106*G106</f>
        <v>3783.52</v>
      </c>
      <c r="AK106" s="50" t="n">
        <f aca="false">ROUNDUP(MAX(J106/IF(CD106&gt;0,CD106,MAX(0.1,N(Cockpit!$C$6))),CG106)/BV106,0)*BV106</f>
        <v>333</v>
      </c>
      <c r="AL106" s="51" t="n">
        <f aca="false">IF(AI106&gt;0,J106/AI106,-1)</f>
        <v>558.193548387097</v>
      </c>
      <c r="AM106" s="51" t="n">
        <f aca="false">IF(AND(OR(CC106="L1",CC106="L23",CC106="LIFT"),AI106&gt;0),SUMIFS($AI$7:$AI$1843,$CC$7:$CC$1843,CC106,$AL$7:$AL$1843,"&gt;"&amp;AL106)+SUMIFS($AI$7:$AI$1843,$CC$7:$CC$1843,CC106,$AL$7:$AL$1843,AL106,$BT$7:$BT$1843,"&lt;="&amp;BT106),"")</f>
        <v>51.6648351648352</v>
      </c>
      <c r="AN106" s="58" t="n">
        <f aca="false">IF(AM106="",0,MAX(0,MIN(1,(IF(CC106="L1",Parameter!$H$5,IF(CC106="L23",Parameter!$H$6+Parameter!$H$7,Parameter!$H$5+Parameter!$H$6+Parameter!$H$7))-(AM106-AI106))/AI106)))</f>
        <v>1</v>
      </c>
      <c r="AO106" s="50" t="n">
        <f aca="false">IF(LEFT(Cockpit!$I$5,1)="A",H106,IF(CE106=1,CF106,IF(LEFT(Cockpit!$I$5,1)="B",AT106,MAX(AT106,H106))))</f>
        <v>333</v>
      </c>
      <c r="AP106" s="50" t="n">
        <f aca="false">IF(BW106=1,0,ROUNDUP(AO106/BV106,0))</f>
        <v>1</v>
      </c>
      <c r="AQ106" s="52" t="n">
        <f aca="false">IF(CL106&gt;0,CL106*MAX(1,AO106/X106),IF(BW106=1,IF(AO106&lt;=0,0,CA106*MAX(1,IF(H106&gt;0,AO106/H106,1))),IF(R106&gt;0,AP106/R106,0))/MAX(0.1,N(Parameter!$M$21)))</f>
        <v>0.00714285714285714</v>
      </c>
      <c r="AR106" s="50" t="n">
        <f aca="false">AQ106*BY106</f>
        <v>1.10714285714286</v>
      </c>
      <c r="AS106" s="50" t="n">
        <f aca="false">AO106*G106</f>
        <v>5887.44</v>
      </c>
      <c r="AT106" s="50" t="n">
        <f aca="false">ROUNDUP(MAX(J106/IF(CD106&gt;0,CD106,MAX(0.1,N(Cockpit!$I$6))),CG106)/BV106,0)*BV106</f>
        <v>333</v>
      </c>
      <c r="AU106" s="51" t="n">
        <f aca="false">IF(AR106&gt;0,J106/AR106,-1)</f>
        <v>558.193548387097</v>
      </c>
      <c r="AV106" s="51" t="n">
        <f aca="false">IF(AND(OR(CC106="L1",CC106="L23",CC106="LIFT"),AR106&gt;0),SUMIFS($AR$7:$AR$1843,$CC$7:$CC$1843,CC106,$AU$7:$AU$1843,"&gt;"&amp;AU106)+SUMIFS($AR$7:$AR$1843,$CC$7:$CC$1843,CC106,$AU$7:$AU$1843,AU106,$BT$7:$BT$1843,"&lt;="&amp;BT106),"")</f>
        <v>20.2692307692308</v>
      </c>
      <c r="AW106" s="58" t="n">
        <f aca="false">IF(AV106="",0,MAX(0,MIN(1,(IF(CC106="L1",Parameter!$H$5,IF(CC106="L23",Parameter!$H$6+Parameter!$H$7,Parameter!$H$5+Parameter!$H$6+Parameter!$H$7))-(AV106-AR106))/AR106)))</f>
        <v>1</v>
      </c>
      <c r="AX106" s="50" t="n">
        <f aca="false">IF(LEFT(Cockpit!$O$5,1)="A",H106,IF(CE106=1,CF106,IF(LEFT(Cockpit!$O$5,1)="B",BC106,MAX(BC106,H106))))</f>
        <v>333</v>
      </c>
      <c r="AY106" s="50" t="n">
        <f aca="false">IF(BW106=1,0,ROUNDUP(AX106/BV106,0))</f>
        <v>1</v>
      </c>
      <c r="AZ106" s="52" t="n">
        <f aca="false">IF(CL106&gt;0,CL106*MAX(1,AX106/X106),IF(BW106=1,IF(AX106&lt;=0,0,CA106*MAX(1,IF(H106&gt;0,AX106/H106,1))),IF(R106&gt;0,AY106/R106,0))/MAX(0.1,N(Parameter!$M$21)))</f>
        <v>0.00714285714285714</v>
      </c>
      <c r="BA106" s="50" t="n">
        <f aca="false">AZ106*BY106</f>
        <v>1.10714285714286</v>
      </c>
      <c r="BB106" s="50" t="n">
        <f aca="false">AX106*G106</f>
        <v>5887.44</v>
      </c>
      <c r="BC106" s="50" t="n">
        <f aca="false">ROUNDUP(MAX(J106/IF(CD106&gt;0,CD106,MAX(0.1,N(Cockpit!$O$6))),CG106)/BV106,0)*BV106</f>
        <v>333</v>
      </c>
      <c r="BD106" s="51" t="n">
        <f aca="false">IF(BA106&gt;0,J106/BA106,-1)</f>
        <v>558.193548387097</v>
      </c>
      <c r="BE106" s="51" t="n">
        <f aca="false">IF(AND(OR(CC106="L1",CC106="L23",CC106="LIFT"),BA106&gt;0),SUMIFS($BA$7:$BA$1843,$CC$7:$CC$1843,CC106,$BD$7:$BD$1843,"&gt;"&amp;BD106)+SUMIFS($BA$7:$BA$1843,$CC$7:$CC$1843,CC106,$BD$7:$BD$1843,BD106,$BT$7:$BT$1843,"&lt;="&amp;BT106),"")</f>
        <v>32.1923076923077</v>
      </c>
      <c r="BF106" s="58" t="n">
        <f aca="false">IF(BE106="",0,MAX(0,MIN(1,(IF(CC106="L1",Parameter!$H$5,IF(CC106="L23",Parameter!$H$6+Parameter!$H$7,Parameter!$H$5+Parameter!$H$6+Parameter!$H$7))-(BE106-BA106))/BA106)))</f>
        <v>1</v>
      </c>
      <c r="BG106" s="48" t="str">
        <f aca="false">IF(AI106&lt;=0,"",IF(CC106="Aussen","Aussenlager",IF(CC106="-","Nicht im Lift",IF(AN106&gt;=1,"Lift",IF(AN106&lt;=0,"Aussenlager","teilweise")))))</f>
        <v>Lift</v>
      </c>
      <c r="BH106" s="48" t="str">
        <f aca="false">IF(AR106&lt;=0,"",IF(CC106="Aussen","Aussenlager",IF(CC106="-","Nicht im Lift",IF(AW106&gt;=1,"Lift",IF(AW106&lt;=0,"Aussenlager","teilweise")))))</f>
        <v>Lift</v>
      </c>
      <c r="BI106" s="48" t="str">
        <f aca="false">IF(BA106&lt;=0,"",IF(CC106="Aussen","Aussenlager",IF(CC106="-","Nicht im Lift",IF(BF106&gt;=1,"Lift",IF(BF106&lt;=0,"Aussenlager","teilweise")))))</f>
        <v>Lift</v>
      </c>
      <c r="BJ106" s="48" t="str">
        <f aca="false">IF(A106="","",IF(BS106=1,"Neu; ","")&amp;IF(AND(BS106=0,BN106&lt;0),"negativer Bestand (Export "&amp;BN106&amp;"); ","")&amp;IF(J106&lt;=0,"Kein Verbrauch; ","")&amp;IF(CL106&gt;0,"Lift "&amp;W106&amp;" lt. Liftbericht (Fach "&amp;X106&amp;" Stk); ",IF(BX106=1,"Gebinde geschätzt ("&amp;T106&amp;"); ",IF(BW106=1,"Lose – Tablare geschätzt; ","")))&amp;IF(H106&gt;AT106,"Überbestand "&amp;ROUND(H106-AT106,0)&amp;" Stk / CHF "&amp;ROUND((H106-AT106)*G106,0)&amp;"; ","")&amp;IF(AND(CE106=1,CF106&lt;CG106),"MAX &lt; MB+LG; ","")&amp;IF(AND(CK106&gt;0,CJ106*10&gt;CK106),"zu hoch für Tablar; ","")&amp;IF(AND(BS106=0,OR(CE106=1,AA106&lt;&gt;"",U106&lt;&gt;"",V106&lt;&gt;"",AB106&lt;&gt;"")),"manuell übersteuert; ","")&amp;IF(AND(BW106=0,R106=0),"Gebinde unbekannt / Stellmass fehlt; ","")&amp;IF(AND(BW106=0,N(V106)&lt;=0,N(Q106)&lt;=0),"Menge pro Gebinde fehlt (Ist = 1 Gebinde); ","")&amp;BR106)</f>
        <v/>
      </c>
      <c r="BK106" s="48"/>
      <c r="BL106" s="48"/>
      <c r="BM106" s="55"/>
      <c r="BN106" s="50" t="n">
        <v>119</v>
      </c>
      <c r="BO106" s="50" t="n">
        <v>95</v>
      </c>
      <c r="BP106" s="49" t="n">
        <v>2236.92</v>
      </c>
      <c r="BQ106" s="50" t="n">
        <v>618</v>
      </c>
      <c r="BR106" s="48"/>
      <c r="BS106" s="53" t="n">
        <v>0</v>
      </c>
      <c r="BT106" s="53" t="n">
        <v>106</v>
      </c>
      <c r="BU106" s="48" t="str">
        <f aca="false">IF(U106&lt;&gt;"",UPPER(TRIM(U106)),IF(BX106=1,UPPER(VLOOKUP(T106,Parameter!$I$27:$K$29,2,0)),IF(P106="","LOSE",P106)))</f>
        <v>S22</v>
      </c>
      <c r="BV106" s="50" t="n">
        <f aca="false">IF(BU106="LOSE",1,IF(N(V106)&gt;0,V106,IF(BX106=1,MAX(1,N(VLOOKUP(T106,Parameter!$I$27:$K$29,3,0)),H106,N(N106)),IF(N(Q106)&gt;0,Q106,MAX(1,H106)))))</f>
        <v>333</v>
      </c>
      <c r="BW106" s="53" t="n">
        <f aca="false">IF(BU106="LOSE",1,0)</f>
        <v>0</v>
      </c>
      <c r="BX106" s="53" t="n">
        <f aca="false">IF(AND(U106="",OR(P106="",P106="LOSE"),T106&lt;&gt;"",N(S106)&lt;=0,ISNUMBER(MATCH(T106,Parameter!$I$27:$I$29,0))),1,0)</f>
        <v>0</v>
      </c>
      <c r="BY106" s="53" t="n">
        <f aca="false">IF(CL106&gt;0,INDEX(Parameter!$H$5:$H$7,W106)/INDEX(Parameter!$E$5:$E$7,W106),IF(AND(BW106=0,N(IFERROR(VLOOKUP(BU106,'Gebinde-Kategorie'!$A$5:$N$45,14,0),0))&gt;0),VLOOKUP(BU106,'Gebinde-Kategorie'!$A$5:$N$45,14,0)*10+Parameter!$M$23,Parameter!$M$24))</f>
        <v>155</v>
      </c>
      <c r="BZ106" s="48" t="str">
        <f aca="false">IF(AND(Parameter!$B$19="Ja",E106&lt;&gt;"",ISNUMBER(MATCH(E106,Parameter!$I$35:$I$52,0))),VLOOKUP(E106,Parameter!$I$35:$J$52,2,0),IFERROR(VLOOKUP(D106,Parameter!$A$35:$C$64,2,0),"Nein"))</f>
        <v>2+3</v>
      </c>
      <c r="CA106" s="52" t="n">
        <f aca="false">IF(BW106=0,0,IF(N(S106)&gt;0,S106,IFERROR(VLOOKUP(D106,Parameter!$A$35:$C$64,3,0)+0,0)))</f>
        <v>0</v>
      </c>
      <c r="CB106" s="48" t="n">
        <f aca="false">IF(AA106&lt;&gt;"",AA106,Z106)</f>
        <v>3</v>
      </c>
      <c r="CC106" s="48" t="str">
        <f aca="false">IF(OR(CB106=1,CB106=2,CB106=3),IF(Parameter!$E$27="Ja","LIFT",IF(CB106=1,"L1","L23")),IF(CB106="Aussen","Aussen","-"))</f>
        <v>LIFT</v>
      </c>
      <c r="CD106" s="59" t="n">
        <f aca="false">IF(N(AB106)&gt;0,AB106,0)</f>
        <v>0</v>
      </c>
      <c r="CE106" s="53" t="n">
        <f aca="false">IF(ISNUMBER(AE106),1,0)</f>
        <v>0</v>
      </c>
      <c r="CF106" s="50" t="n">
        <f aca="false">N(AE106)</f>
        <v>0</v>
      </c>
      <c r="CG106" s="50" t="n">
        <f aca="false">N(M106)+N(N106)</f>
        <v>136</v>
      </c>
      <c r="CH106" s="50" t="n">
        <f aca="false">ROUNDUP(H106/BV106,0)</f>
        <v>1</v>
      </c>
      <c r="CI106" s="50" t="n">
        <f aca="false">ROUNDUP(CF106/BV106,0)</f>
        <v>0</v>
      </c>
      <c r="CJ106" s="53" t="n">
        <f aca="false">IF(BW106=1,0,IFERROR(VLOOKUP(BU106,'Gebinde-Kategorie'!$A$5:$N$45,5,0)+0,0))</f>
        <v>8</v>
      </c>
      <c r="CK106" s="53" t="n">
        <f aca="false">IFERROR(IF(OR(CB106=1,CB106=2,CB106=3),N(INDEX(Parameter!$I$5:$I$7,CB106)),0),0)</f>
        <v>0</v>
      </c>
      <c r="CL106" s="52" t="n">
        <f aca="false">IF(AND(Parameter!$B$21="Ja",ISNUMBER(W106),N(X106)&gt;0),IFERROR(N(INDEX(Parameter!$L$5:$L$7,W106))*INDEX(Parameter!$E$5:$E$7,W106)*X106/SUMIFS($X$7:$X$1843,$W$7:$W$1843,W106),0),0)</f>
        <v>0</v>
      </c>
    </row>
    <row r="107" customFormat="false" ht="15" hidden="false" customHeight="false" outlineLevel="0" collapsed="false">
      <c r="A107" s="48" t="s">
        <v>431</v>
      </c>
      <c r="B107" s="48" t="s">
        <v>296</v>
      </c>
      <c r="C107" s="48" t="s">
        <v>168</v>
      </c>
      <c r="D107" s="48" t="s">
        <v>188</v>
      </c>
      <c r="E107" s="48" t="s">
        <v>189</v>
      </c>
      <c r="F107" s="48" t="s">
        <v>222</v>
      </c>
      <c r="G107" s="49" t="n">
        <v>160.1</v>
      </c>
      <c r="H107" s="50" t="n">
        <f aca="false">MAX(0,IF(AND(Parameter!$B$21="Ja",ISNUMBER(Y107)),Y107,IF(Parameter!$B$20="Jahresanfang 2025 + Export",BO107+BN107,BN107)))</f>
        <v>37</v>
      </c>
      <c r="I107" s="50" t="n">
        <f aca="false">H107*G107</f>
        <v>5923.7</v>
      </c>
      <c r="J107" s="50" t="n">
        <f aca="false">BQ107*Parameter!$B$18</f>
        <v>90</v>
      </c>
      <c r="K107" s="51" t="n">
        <v>30</v>
      </c>
      <c r="L107" s="52" t="n">
        <v>3</v>
      </c>
      <c r="M107" s="50" t="n">
        <v>10</v>
      </c>
      <c r="N107" s="50" t="n">
        <v>35</v>
      </c>
      <c r="O107" s="53" t="n">
        <v>30</v>
      </c>
      <c r="P107" s="48" t="s">
        <v>306</v>
      </c>
      <c r="Q107" s="50" t="n">
        <v>37</v>
      </c>
      <c r="R107" s="53" t="n">
        <f aca="false">IF(BW107=1,0,IFERROR(VLOOKUP(BU107,'Gebinde-Kategorie'!$A$5:$N$45,13,0)+0,0))</f>
        <v>26</v>
      </c>
      <c r="S107" s="54"/>
      <c r="T107" s="55"/>
      <c r="U107" s="55"/>
      <c r="V107" s="55"/>
      <c r="W107" s="48"/>
      <c r="X107" s="50"/>
      <c r="Y107" s="50"/>
      <c r="Z107" s="48" t="n">
        <f aca="false">IF(A107="","",IF(AND(Parameter!$B$21="Ja",ISNUMBER(W107)),W107,IF(BZ107="2+3",IF(ISNUMBER(SEARCH("grosser Artikel",BR107)),2,IFERROR(VLOOKUP(BU107,Parameter!$F$35:$G$64,2,0),2)),IF(OR(BZ107="Nein",BZ107=""),"-",BZ107))))</f>
        <v>3</v>
      </c>
      <c r="AA107" s="55"/>
      <c r="AB107" s="56"/>
      <c r="AC107" s="50" t="n">
        <f aca="false">AT107</f>
        <v>74</v>
      </c>
      <c r="AD107" s="50" t="n">
        <f aca="false">MAX(AT107,H107)</f>
        <v>74</v>
      </c>
      <c r="AE107" s="57"/>
      <c r="AF107" s="50" t="n">
        <f aca="false">IF(LEFT(Cockpit!$C$5,1)="A",H107,IF(CE107=1,CF107,IF(LEFT(Cockpit!$C$5,1)="B",AK107,MAX(AK107,H107))))</f>
        <v>37</v>
      </c>
      <c r="AG107" s="50" t="n">
        <f aca="false">IF(BW107=1,0,ROUNDUP(AF107/BV107,0))</f>
        <v>1</v>
      </c>
      <c r="AH107" s="52" t="n">
        <f aca="false">IF(CL107&gt;0,CL107*MAX(1,AF107/X107),IF(BW107=1,IF(AF107&lt;=0,0,CA107*MAX(1,IF(H107&gt;0,AF107/H107,1))),IF(R107&gt;0,AG107/R107,0))/MAX(0.1,N(Parameter!$M$21)))</f>
        <v>0.0384615384615385</v>
      </c>
      <c r="AI107" s="50" t="n">
        <f aca="false">AH107*BY107</f>
        <v>5.96153846153846</v>
      </c>
      <c r="AJ107" s="50" t="n">
        <f aca="false">AF107*G107</f>
        <v>5923.7</v>
      </c>
      <c r="AK107" s="50" t="n">
        <f aca="false">ROUNDUP(MAX(J107/IF(CD107&gt;0,CD107,MAX(0.1,N(Cockpit!$C$6))),CG107)/BV107,0)*BV107</f>
        <v>74</v>
      </c>
      <c r="AL107" s="51" t="n">
        <f aca="false">IF(AI107&gt;0,J107/AI107,-1)</f>
        <v>15.0967741935484</v>
      </c>
      <c r="AM107" s="51" t="n">
        <f aca="false">IF(AND(OR(CC107="L1",CC107="L23",CC107="LIFT"),AI107&gt;0),SUMIFS($AI$7:$AI$1843,$CC$7:$CC$1843,CC107,$AL$7:$AL$1843,"&gt;"&amp;AL107)+SUMIFS($AI$7:$AI$1843,$CC$7:$CC$1843,CC107,$AL$7:$AL$1843,AL107,$BT$7:$BT$1843,"&lt;="&amp;BT107),"")</f>
        <v>2073.14102564103</v>
      </c>
      <c r="AN107" s="58" t="n">
        <f aca="false">IF(AM107="",0,MAX(0,MIN(1,(IF(CC107="L1",Parameter!$H$5,IF(CC107="L23",Parameter!$H$6+Parameter!$H$7,Parameter!$H$5+Parameter!$H$6+Parameter!$H$7))-(AM107-AI107))/AI107)))</f>
        <v>1</v>
      </c>
      <c r="AO107" s="50" t="n">
        <f aca="false">IF(LEFT(Cockpit!$I$5,1)="A",H107,IF(CE107=1,CF107,IF(LEFT(Cockpit!$I$5,1)="B",AT107,MAX(AT107,H107))))</f>
        <v>74</v>
      </c>
      <c r="AP107" s="50" t="n">
        <f aca="false">IF(BW107=1,0,ROUNDUP(AO107/BV107,0))</f>
        <v>2</v>
      </c>
      <c r="AQ107" s="52" t="n">
        <f aca="false">IF(CL107&gt;0,CL107*MAX(1,AO107/X107),IF(BW107=1,IF(AO107&lt;=0,0,CA107*MAX(1,IF(H107&gt;0,AO107/H107,1))),IF(R107&gt;0,AP107/R107,0))/MAX(0.1,N(Parameter!$M$21)))</f>
        <v>0.0769230769230769</v>
      </c>
      <c r="AR107" s="50" t="n">
        <f aca="false">AQ107*BY107</f>
        <v>11.9230769230769</v>
      </c>
      <c r="AS107" s="50" t="n">
        <f aca="false">AO107*G107</f>
        <v>11847.4</v>
      </c>
      <c r="AT107" s="50" t="n">
        <f aca="false">ROUNDUP(MAX(J107/IF(CD107&gt;0,CD107,MAX(0.1,N(Cockpit!$I$6))),CG107)/BV107,0)*BV107</f>
        <v>74</v>
      </c>
      <c r="AU107" s="51" t="n">
        <f aca="false">IF(AR107&gt;0,J107/AR107,-1)</f>
        <v>7.54838709677419</v>
      </c>
      <c r="AV107" s="51" t="n">
        <f aca="false">IF(AND(OR(CC107="L1",CC107="L23",CC107="LIFT"),AR107&gt;0),SUMIFS($AR$7:$AR$1843,$CC$7:$CC$1843,CC107,$AU$7:$AU$1843,"&gt;"&amp;AU107)+SUMIFS($AR$7:$AR$1843,$CC$7:$CC$1843,CC107,$AU$7:$AU$1843,AU107,$BT$7:$BT$1843,"&lt;="&amp;BT107),"")</f>
        <v>4306.53342490843</v>
      </c>
      <c r="AW107" s="58" t="n">
        <f aca="false">IF(AV107="",0,MAX(0,MIN(1,(IF(CC107="L1",Parameter!$H$5,IF(CC107="L23",Parameter!$H$6+Parameter!$H$7,Parameter!$H$5+Parameter!$H$6+Parameter!$H$7))-(AV107-AR107))/AR107)))</f>
        <v>1</v>
      </c>
      <c r="AX107" s="50" t="n">
        <f aca="false">IF(LEFT(Cockpit!$O$5,1)="A",H107,IF(CE107=1,CF107,IF(LEFT(Cockpit!$O$5,1)="B",BC107,MAX(BC107,H107))))</f>
        <v>74</v>
      </c>
      <c r="AY107" s="50" t="n">
        <f aca="false">IF(BW107=1,0,ROUNDUP(AX107/BV107,0))</f>
        <v>2</v>
      </c>
      <c r="AZ107" s="52" t="n">
        <f aca="false">IF(CL107&gt;0,CL107*MAX(1,AX107/X107),IF(BW107=1,IF(AX107&lt;=0,0,CA107*MAX(1,IF(H107&gt;0,AX107/H107,1))),IF(R107&gt;0,AY107/R107,0))/MAX(0.1,N(Parameter!$M$21)))</f>
        <v>0.0769230769230769</v>
      </c>
      <c r="BA107" s="50" t="n">
        <f aca="false">AZ107*BY107</f>
        <v>11.9230769230769</v>
      </c>
      <c r="BB107" s="50" t="n">
        <f aca="false">AX107*G107</f>
        <v>11847.4</v>
      </c>
      <c r="BC107" s="50" t="n">
        <f aca="false">ROUNDUP(MAX(J107/IF(CD107&gt;0,CD107,MAX(0.1,N(Cockpit!$O$6))),CG107)/BV107,0)*BV107</f>
        <v>74</v>
      </c>
      <c r="BD107" s="51" t="n">
        <f aca="false">IF(BA107&gt;0,J107/BA107,-1)</f>
        <v>7.54838709677419</v>
      </c>
      <c r="BE107" s="51" t="n">
        <f aca="false">IF(AND(OR(CC107="L1",CC107="L23",CC107="LIFT"),BA107&gt;0),SUMIFS($BA$7:$BA$1843,$CC$7:$CC$1843,CC107,$BD$7:$BD$1843,"&gt;"&amp;BD107)+SUMIFS($BA$7:$BA$1843,$CC$7:$CC$1843,CC107,$BD$7:$BD$1843,BD107,$BT$7:$BT$1843,"&lt;="&amp;BT107),"")</f>
        <v>4049.49816849817</v>
      </c>
      <c r="BF107" s="58" t="n">
        <f aca="false">IF(BE107="",0,MAX(0,MIN(1,(IF(CC107="L1",Parameter!$H$5,IF(CC107="L23",Parameter!$H$6+Parameter!$H$7,Parameter!$H$5+Parameter!$H$6+Parameter!$H$7))-(BE107-BA107))/BA107)))</f>
        <v>1</v>
      </c>
      <c r="BG107" s="48" t="str">
        <f aca="false">IF(AI107&lt;=0,"",IF(CC107="Aussen","Aussenlager",IF(CC107="-","Nicht im Lift",IF(AN107&gt;=1,"Lift",IF(AN107&lt;=0,"Aussenlager","teilweise")))))</f>
        <v>Lift</v>
      </c>
      <c r="BH107" s="48" t="str">
        <f aca="false">IF(AR107&lt;=0,"",IF(CC107="Aussen","Aussenlager",IF(CC107="-","Nicht im Lift",IF(AW107&gt;=1,"Lift",IF(AW107&lt;=0,"Aussenlager","teilweise")))))</f>
        <v>Lift</v>
      </c>
      <c r="BI107" s="48" t="str">
        <f aca="false">IF(BA107&lt;=0,"",IF(CC107="Aussen","Aussenlager",IF(CC107="-","Nicht im Lift",IF(BF107&gt;=1,"Lift",IF(BF107&lt;=0,"Aussenlager","teilweise")))))</f>
        <v>Lift</v>
      </c>
      <c r="BJ107" s="48" t="str">
        <f aca="false">IF(A107="","",IF(BS107=1,"Neu; ","")&amp;IF(AND(BS107=0,BN107&lt;0),"negativer Bestand (Export "&amp;BN107&amp;"); ","")&amp;IF(J107&lt;=0,"Kein Verbrauch; ","")&amp;IF(CL107&gt;0,"Lift "&amp;W107&amp;" lt. Liftbericht (Fach "&amp;X107&amp;" Stk); ",IF(BX107=1,"Gebinde geschätzt ("&amp;T107&amp;"); ",IF(BW107=1,"Lose – Tablare geschätzt; ","")))&amp;IF(H107&gt;AT107,"Überbestand "&amp;ROUND(H107-AT107,0)&amp;" Stk / CHF "&amp;ROUND((H107-AT107)*G107,0)&amp;"; ","")&amp;IF(AND(CE107=1,CF107&lt;CG107),"MAX &lt; MB+LG; ","")&amp;IF(AND(CK107&gt;0,CJ107*10&gt;CK107),"zu hoch für Tablar; ","")&amp;IF(AND(BS107=0,OR(CE107=1,AA107&lt;&gt;"",U107&lt;&gt;"",V107&lt;&gt;"",AB107&lt;&gt;"")),"manuell übersteuert; ","")&amp;IF(AND(BW107=0,R107=0),"Gebinde unbekannt / Stellmass fehlt; ","")&amp;IF(AND(BW107=0,N(V107)&lt;=0,N(Q107)&lt;=0),"Menge pro Gebinde fehlt (Ist = 1 Gebinde); ","")&amp;BR107)</f>
        <v/>
      </c>
      <c r="BK107" s="48"/>
      <c r="BL107" s="48"/>
      <c r="BM107" s="55"/>
      <c r="BN107" s="50" t="n">
        <v>12</v>
      </c>
      <c r="BO107" s="50" t="n">
        <v>25</v>
      </c>
      <c r="BP107" s="49" t="n">
        <v>2199.6</v>
      </c>
      <c r="BQ107" s="50" t="n">
        <v>90</v>
      </c>
      <c r="BR107" s="48"/>
      <c r="BS107" s="53" t="n">
        <v>0</v>
      </c>
      <c r="BT107" s="53" t="n">
        <v>107</v>
      </c>
      <c r="BU107" s="48" t="str">
        <f aca="false">IF(U107&lt;&gt;"",UPPER(TRIM(U107)),IF(BX107=1,UPPER(VLOOKUP(T107,Parameter!$I$27:$K$29,2,0)),IF(P107="","LOSE",P107)))</f>
        <v>S51</v>
      </c>
      <c r="BV107" s="50" t="n">
        <f aca="false">IF(BU107="LOSE",1,IF(N(V107)&gt;0,V107,IF(BX107=1,MAX(1,N(VLOOKUP(T107,Parameter!$I$27:$K$29,3,0)),H107,N(N107)),IF(N(Q107)&gt;0,Q107,MAX(1,H107)))))</f>
        <v>37</v>
      </c>
      <c r="BW107" s="53" t="n">
        <f aca="false">IF(BU107="LOSE",1,0)</f>
        <v>0</v>
      </c>
      <c r="BX107" s="53" t="n">
        <f aca="false">IF(AND(U107="",OR(P107="",P107="LOSE"),T107&lt;&gt;"",N(S107)&lt;=0,ISNUMBER(MATCH(T107,Parameter!$I$27:$I$29,0))),1,0)</f>
        <v>0</v>
      </c>
      <c r="BY107" s="53" t="n">
        <f aca="false">IF(CL107&gt;0,INDEX(Parameter!$H$5:$H$7,W107)/INDEX(Parameter!$E$5:$E$7,W107),IF(AND(BW107=0,N(IFERROR(VLOOKUP(BU107,'Gebinde-Kategorie'!$A$5:$N$45,14,0),0))&gt;0),VLOOKUP(BU107,'Gebinde-Kategorie'!$A$5:$N$45,14,0)*10+Parameter!$M$23,Parameter!$M$24))</f>
        <v>155</v>
      </c>
      <c r="BZ107" s="48" t="str">
        <f aca="false">IF(AND(Parameter!$B$19="Ja",E107&lt;&gt;"",ISNUMBER(MATCH(E107,Parameter!$I$35:$I$52,0))),VLOOKUP(E107,Parameter!$I$35:$J$52,2,0),IFERROR(VLOOKUP(D107,Parameter!$A$35:$C$64,2,0),"Nein"))</f>
        <v>2+3</v>
      </c>
      <c r="CA107" s="52" t="n">
        <f aca="false">IF(BW107=0,0,IF(N(S107)&gt;0,S107,IFERROR(VLOOKUP(D107,Parameter!$A$35:$C$64,3,0)+0,0)))</f>
        <v>0</v>
      </c>
      <c r="CB107" s="48" t="n">
        <f aca="false">IF(AA107&lt;&gt;"",AA107,Z107)</f>
        <v>3</v>
      </c>
      <c r="CC107" s="48" t="str">
        <f aca="false">IF(OR(CB107=1,CB107=2,CB107=3),IF(Parameter!$E$27="Ja","LIFT",IF(CB107=1,"L1","L23")),IF(CB107="Aussen","Aussen","-"))</f>
        <v>LIFT</v>
      </c>
      <c r="CD107" s="59" t="n">
        <f aca="false">IF(N(AB107)&gt;0,AB107,0)</f>
        <v>0</v>
      </c>
      <c r="CE107" s="53" t="n">
        <f aca="false">IF(ISNUMBER(AE107),1,0)</f>
        <v>0</v>
      </c>
      <c r="CF107" s="50" t="n">
        <f aca="false">N(AE107)</f>
        <v>0</v>
      </c>
      <c r="CG107" s="50" t="n">
        <f aca="false">N(M107)+N(N107)</f>
        <v>45</v>
      </c>
      <c r="CH107" s="50" t="n">
        <f aca="false">ROUNDUP(H107/BV107,0)</f>
        <v>1</v>
      </c>
      <c r="CI107" s="50" t="n">
        <f aca="false">ROUNDUP(CF107/BV107,0)</f>
        <v>0</v>
      </c>
      <c r="CJ107" s="53" t="n">
        <f aca="false">IF(BW107=1,0,IFERROR(VLOOKUP(BU107,'Gebinde-Kategorie'!$A$5:$N$45,5,0)+0,0))</f>
        <v>11</v>
      </c>
      <c r="CK107" s="53" t="n">
        <f aca="false">IFERROR(IF(OR(CB107=1,CB107=2,CB107=3),N(INDEX(Parameter!$I$5:$I$7,CB107)),0),0)</f>
        <v>0</v>
      </c>
      <c r="CL107" s="52" t="n">
        <f aca="false">IF(AND(Parameter!$B$21="Ja",ISNUMBER(W107),N(X107)&gt;0),IFERROR(N(INDEX(Parameter!$L$5:$L$7,W107))*INDEX(Parameter!$E$5:$E$7,W107)*X107/SUMIFS($X$7:$X$1843,$W$7:$W$1843,W107),0),0)</f>
        <v>0</v>
      </c>
    </row>
    <row r="108" customFormat="false" ht="15" hidden="false" customHeight="false" outlineLevel="0" collapsed="false">
      <c r="A108" s="48" t="s">
        <v>432</v>
      </c>
      <c r="B108" s="48" t="s">
        <v>433</v>
      </c>
      <c r="C108" s="48" t="s">
        <v>168</v>
      </c>
      <c r="D108" s="48" t="s">
        <v>188</v>
      </c>
      <c r="E108" s="48"/>
      <c r="F108" s="48" t="s">
        <v>222</v>
      </c>
      <c r="G108" s="49" t="n">
        <v>57.81</v>
      </c>
      <c r="H108" s="50" t="n">
        <f aca="false">MAX(0,IF(AND(Parameter!$B$21="Ja",ISNUMBER(Y108)),Y108,IF(Parameter!$B$20="Jahresanfang 2025 + Export",BO108+BN108,BN108)))</f>
        <v>53</v>
      </c>
      <c r="I108" s="50" t="n">
        <f aca="false">H108*G108</f>
        <v>3063.93</v>
      </c>
      <c r="J108" s="50" t="n">
        <f aca="false">BQ108*Parameter!$B$18</f>
        <v>90</v>
      </c>
      <c r="K108" s="51" t="n">
        <v>32</v>
      </c>
      <c r="L108" s="52" t="n">
        <v>2.8125</v>
      </c>
      <c r="M108" s="50" t="n">
        <v>20</v>
      </c>
      <c r="N108" s="50" t="n">
        <v>55</v>
      </c>
      <c r="O108" s="53" t="n">
        <v>70</v>
      </c>
      <c r="P108" s="48" t="s">
        <v>237</v>
      </c>
      <c r="Q108" s="50" t="n">
        <v>50</v>
      </c>
      <c r="R108" s="53" t="n">
        <f aca="false">IF(BW108=1,0,IFERROR(VLOOKUP(BU108,'Gebinde-Kategorie'!$A$5:$N$45,13,0)+0,0))</f>
        <v>26</v>
      </c>
      <c r="S108" s="54"/>
      <c r="T108" s="55"/>
      <c r="U108" s="55"/>
      <c r="V108" s="55"/>
      <c r="W108" s="48"/>
      <c r="X108" s="50"/>
      <c r="Y108" s="50"/>
      <c r="Z108" s="48" t="n">
        <f aca="false">IF(A108="","",IF(AND(Parameter!$B$21="Ja",ISNUMBER(W108)),W108,IF(BZ108="2+3",IF(ISNUMBER(SEARCH("grosser Artikel",BR108)),2,IFERROR(VLOOKUP(BU108,Parameter!$F$35:$G$64,2,0),2)),IF(OR(BZ108="Nein",BZ108=""),"-",BZ108))))</f>
        <v>3</v>
      </c>
      <c r="AA108" s="55"/>
      <c r="AB108" s="56"/>
      <c r="AC108" s="50" t="n">
        <f aca="false">AT108</f>
        <v>100</v>
      </c>
      <c r="AD108" s="50" t="n">
        <f aca="false">MAX(AT108,H108)</f>
        <v>100</v>
      </c>
      <c r="AE108" s="57"/>
      <c r="AF108" s="50" t="n">
        <f aca="false">IF(LEFT(Cockpit!$C$5,1)="A",H108,IF(CE108=1,CF108,IF(LEFT(Cockpit!$C$5,1)="B",AK108,MAX(AK108,H108))))</f>
        <v>53</v>
      </c>
      <c r="AG108" s="50" t="n">
        <f aca="false">IF(BW108=1,0,ROUNDUP(AF108/BV108,0))</f>
        <v>2</v>
      </c>
      <c r="AH108" s="52" t="n">
        <f aca="false">IF(CL108&gt;0,CL108*MAX(1,AF108/X108),IF(BW108=1,IF(AF108&lt;=0,0,CA108*MAX(1,IF(H108&gt;0,AF108/H108,1))),IF(R108&gt;0,AG108/R108,0))/MAX(0.1,N(Parameter!$M$21)))</f>
        <v>0.0769230769230769</v>
      </c>
      <c r="AI108" s="50" t="n">
        <f aca="false">AH108*BY108</f>
        <v>18.8461538461538</v>
      </c>
      <c r="AJ108" s="50" t="n">
        <f aca="false">AF108*G108</f>
        <v>3063.93</v>
      </c>
      <c r="AK108" s="50" t="n">
        <f aca="false">ROUNDUP(MAX(J108/IF(CD108&gt;0,CD108,MAX(0.1,N(Cockpit!$C$6))),CG108)/BV108,0)*BV108</f>
        <v>100</v>
      </c>
      <c r="AL108" s="51" t="n">
        <f aca="false">IF(AI108&gt;0,J108/AI108,-1)</f>
        <v>4.77551020408163</v>
      </c>
      <c r="AM108" s="51" t="n">
        <f aca="false">IF(AND(OR(CC108="L1",CC108="L23",CC108="LIFT"),AI108&gt;0),SUMIFS($AI$7:$AI$1843,$CC$7:$CC$1843,CC108,$AL$7:$AL$1843,"&gt;"&amp;AL108)+SUMIFS($AI$7:$AI$1843,$CC$7:$CC$1843,CC108,$AL$7:$AL$1843,AL108,$BT$7:$BT$1843,"&lt;="&amp;BT108),"")</f>
        <v>4111.52426739927</v>
      </c>
      <c r="AN108" s="58" t="n">
        <f aca="false">IF(AM108="",0,MAX(0,MIN(1,(IF(CC108="L1",Parameter!$H$5,IF(CC108="L23",Parameter!$H$6+Parameter!$H$7,Parameter!$H$5+Parameter!$H$6+Parameter!$H$7))-(AM108-AI108))/AI108)))</f>
        <v>1</v>
      </c>
      <c r="AO108" s="50" t="n">
        <f aca="false">IF(LEFT(Cockpit!$I$5,1)="A",H108,IF(CE108=1,CF108,IF(LEFT(Cockpit!$I$5,1)="B",AT108,MAX(AT108,H108))))</f>
        <v>100</v>
      </c>
      <c r="AP108" s="50" t="n">
        <f aca="false">IF(BW108=1,0,ROUNDUP(AO108/BV108,0))</f>
        <v>2</v>
      </c>
      <c r="AQ108" s="52" t="n">
        <f aca="false">IF(CL108&gt;0,CL108*MAX(1,AO108/X108),IF(BW108=1,IF(AO108&lt;=0,0,CA108*MAX(1,IF(H108&gt;0,AO108/H108,1))),IF(R108&gt;0,AP108/R108,0))/MAX(0.1,N(Parameter!$M$21)))</f>
        <v>0.0769230769230769</v>
      </c>
      <c r="AR108" s="50" t="n">
        <f aca="false">AQ108*BY108</f>
        <v>18.8461538461538</v>
      </c>
      <c r="AS108" s="50" t="n">
        <f aca="false">AO108*G108</f>
        <v>5781</v>
      </c>
      <c r="AT108" s="50" t="n">
        <f aca="false">ROUNDUP(MAX(J108/IF(CD108&gt;0,CD108,MAX(0.1,N(Cockpit!$I$6))),CG108)/BV108,0)*BV108</f>
        <v>100</v>
      </c>
      <c r="AU108" s="51" t="n">
        <f aca="false">IF(AR108&gt;0,J108/AR108,-1)</f>
        <v>4.77551020408163</v>
      </c>
      <c r="AV108" s="51" t="n">
        <f aca="false">IF(AND(OR(CC108="L1",CC108="L23",CC108="LIFT"),AR108&gt;0),SUMIFS($AR$7:$AR$1843,$CC$7:$CC$1843,CC108,$AU$7:$AU$1843,"&gt;"&amp;AU108)+SUMIFS($AR$7:$AR$1843,$CC$7:$CC$1843,CC108,$AU$7:$AU$1843,AU108,$BT$7:$BT$1843,"&lt;="&amp;BT108),"")</f>
        <v>5181.84935897436</v>
      </c>
      <c r="AW108" s="58" t="n">
        <f aca="false">IF(AV108="",0,MAX(0,MIN(1,(IF(CC108="L1",Parameter!$H$5,IF(CC108="L23",Parameter!$H$6+Parameter!$H$7,Parameter!$H$5+Parameter!$H$6+Parameter!$H$7))-(AV108-AR108))/AR108)))</f>
        <v>1</v>
      </c>
      <c r="AX108" s="50" t="n">
        <f aca="false">IF(LEFT(Cockpit!$O$5,1)="A",H108,IF(CE108=1,CF108,IF(LEFT(Cockpit!$O$5,1)="B",BC108,MAX(BC108,H108))))</f>
        <v>100</v>
      </c>
      <c r="AY108" s="50" t="n">
        <f aca="false">IF(BW108=1,0,ROUNDUP(AX108/BV108,0))</f>
        <v>2</v>
      </c>
      <c r="AZ108" s="52" t="n">
        <f aca="false">IF(CL108&gt;0,CL108*MAX(1,AX108/X108),IF(BW108=1,IF(AX108&lt;=0,0,CA108*MAX(1,IF(H108&gt;0,AX108/H108,1))),IF(R108&gt;0,AY108/R108,0))/MAX(0.1,N(Parameter!$M$21)))</f>
        <v>0.0769230769230769</v>
      </c>
      <c r="BA108" s="50" t="n">
        <f aca="false">AZ108*BY108</f>
        <v>18.8461538461538</v>
      </c>
      <c r="BB108" s="50" t="n">
        <f aca="false">AX108*G108</f>
        <v>5781</v>
      </c>
      <c r="BC108" s="50" t="n">
        <f aca="false">ROUNDUP(MAX(J108/IF(CD108&gt;0,CD108,MAX(0.1,N(Cockpit!$O$6))),CG108)/BV108,0)*BV108</f>
        <v>100</v>
      </c>
      <c r="BD108" s="51" t="n">
        <f aca="false">IF(BA108&gt;0,J108/BA108,-1)</f>
        <v>4.77551020408163</v>
      </c>
      <c r="BE108" s="51" t="n">
        <f aca="false">IF(AND(OR(CC108="L1",CC108="L23",CC108="LIFT"),BA108&gt;0),SUMIFS($BA$7:$BA$1843,$CC$7:$CC$1843,CC108,$BD$7:$BD$1843,"&gt;"&amp;BD108)+SUMIFS($BA$7:$BA$1843,$CC$7:$CC$1843,CC108,$BD$7:$BD$1843,BD108,$BT$7:$BT$1843,"&lt;="&amp;BT108),"")</f>
        <v>4852.3141025641</v>
      </c>
      <c r="BF108" s="58" t="n">
        <f aca="false">IF(BE108="",0,MAX(0,MIN(1,(IF(CC108="L1",Parameter!$H$5,IF(CC108="L23",Parameter!$H$6+Parameter!$H$7,Parameter!$H$5+Parameter!$H$6+Parameter!$H$7))-(BE108-BA108))/BA108)))</f>
        <v>1</v>
      </c>
      <c r="BG108" s="48" t="str">
        <f aca="false">IF(AI108&lt;=0,"",IF(CC108="Aussen","Aussenlager",IF(CC108="-","Nicht im Lift",IF(AN108&gt;=1,"Lift",IF(AN108&lt;=0,"Aussenlager","teilweise")))))</f>
        <v>Lift</v>
      </c>
      <c r="BH108" s="48" t="str">
        <f aca="false">IF(AR108&lt;=0,"",IF(CC108="Aussen","Aussenlager",IF(CC108="-","Nicht im Lift",IF(AW108&gt;=1,"Lift",IF(AW108&lt;=0,"Aussenlager","teilweise")))))</f>
        <v>Lift</v>
      </c>
      <c r="BI108" s="48" t="str">
        <f aca="false">IF(BA108&lt;=0,"",IF(CC108="Aussen","Aussenlager",IF(CC108="-","Nicht im Lift",IF(BF108&gt;=1,"Lift",IF(BF108&lt;=0,"Aussenlager","teilweise")))))</f>
        <v>Lift</v>
      </c>
      <c r="BJ108" s="48" t="str">
        <f aca="false">IF(A108="","",IF(BS108=1,"Neu; ","")&amp;IF(AND(BS108=0,BN108&lt;0),"negativer Bestand (Export "&amp;BN108&amp;"); ","")&amp;IF(J108&lt;=0,"Kein Verbrauch; ","")&amp;IF(CL108&gt;0,"Lift "&amp;W108&amp;" lt. Liftbericht (Fach "&amp;X108&amp;" Stk); ",IF(BX108=1,"Gebinde geschätzt ("&amp;T108&amp;"); ",IF(BW108=1,"Lose – Tablare geschätzt; ","")))&amp;IF(H108&gt;AT108,"Überbestand "&amp;ROUND(H108-AT108,0)&amp;" Stk / CHF "&amp;ROUND((H108-AT108)*G108,0)&amp;"; ","")&amp;IF(AND(CE108=1,CF108&lt;CG108),"MAX &lt; MB+LG; ","")&amp;IF(AND(CK108&gt;0,CJ108*10&gt;CK108),"zu hoch für Tablar; ","")&amp;IF(AND(BS108=0,OR(CE108=1,AA108&lt;&gt;"",U108&lt;&gt;"",V108&lt;&gt;"",AB108&lt;&gt;"")),"manuell übersteuert; ","")&amp;IF(AND(BW108=0,R108=0),"Gebinde unbekannt / Stellmass fehlt; ","")&amp;IF(AND(BW108=0,N(V108)&lt;=0,N(Q108)&lt;=0),"Menge pro Gebinde fehlt (Ist = 1 Gebinde); ","")&amp;BR108)</f>
        <v/>
      </c>
      <c r="BK108" s="48"/>
      <c r="BL108" s="48"/>
      <c r="BM108" s="55"/>
      <c r="BN108" s="50" t="n">
        <v>38</v>
      </c>
      <c r="BO108" s="50" t="n">
        <v>15</v>
      </c>
      <c r="BP108" s="49" t="n">
        <v>2184.18</v>
      </c>
      <c r="BQ108" s="50" t="n">
        <v>90</v>
      </c>
      <c r="BR108" s="48"/>
      <c r="BS108" s="53" t="n">
        <v>0</v>
      </c>
      <c r="BT108" s="53" t="n">
        <v>108</v>
      </c>
      <c r="BU108" s="48" t="str">
        <f aca="false">IF(U108&lt;&gt;"",UPPER(TRIM(U108)),IF(BX108=1,UPPER(VLOOKUP(T108,Parameter!$I$27:$K$29,2,0)),IF(P108="","LOSE",P108)))</f>
        <v>S52</v>
      </c>
      <c r="BV108" s="50" t="n">
        <f aca="false">IF(BU108="LOSE",1,IF(N(V108)&gt;0,V108,IF(BX108=1,MAX(1,N(VLOOKUP(T108,Parameter!$I$27:$K$29,3,0)),H108,N(N108)),IF(N(Q108)&gt;0,Q108,MAX(1,H108)))))</f>
        <v>50</v>
      </c>
      <c r="BW108" s="53" t="n">
        <f aca="false">IF(BU108="LOSE",1,0)</f>
        <v>0</v>
      </c>
      <c r="BX108" s="53" t="n">
        <f aca="false">IF(AND(U108="",OR(P108="",P108="LOSE"),T108&lt;&gt;"",N(S108)&lt;=0,ISNUMBER(MATCH(T108,Parameter!$I$27:$I$29,0))),1,0)</f>
        <v>0</v>
      </c>
      <c r="BY108" s="53" t="n">
        <f aca="false">IF(CL108&gt;0,INDEX(Parameter!$H$5:$H$7,W108)/INDEX(Parameter!$E$5:$E$7,W108),IF(AND(BW108=0,N(IFERROR(VLOOKUP(BU108,'Gebinde-Kategorie'!$A$5:$N$45,14,0),0))&gt;0),VLOOKUP(BU108,'Gebinde-Kategorie'!$A$5:$N$45,14,0)*10+Parameter!$M$23,Parameter!$M$24))</f>
        <v>245</v>
      </c>
      <c r="BZ108" s="48" t="str">
        <f aca="false">IF(AND(Parameter!$B$19="Ja",E108&lt;&gt;"",ISNUMBER(MATCH(E108,Parameter!$I$35:$I$52,0))),VLOOKUP(E108,Parameter!$I$35:$J$52,2,0),IFERROR(VLOOKUP(D108,Parameter!$A$35:$C$64,2,0),"Nein"))</f>
        <v>2+3</v>
      </c>
      <c r="CA108" s="52" t="n">
        <f aca="false">IF(BW108=0,0,IF(N(S108)&gt;0,S108,IFERROR(VLOOKUP(D108,Parameter!$A$35:$C$64,3,0)+0,0)))</f>
        <v>0</v>
      </c>
      <c r="CB108" s="48" t="n">
        <f aca="false">IF(AA108&lt;&gt;"",AA108,Z108)</f>
        <v>3</v>
      </c>
      <c r="CC108" s="48" t="str">
        <f aca="false">IF(OR(CB108=1,CB108=2,CB108=3),IF(Parameter!$E$27="Ja","LIFT",IF(CB108=1,"L1","L23")),IF(CB108="Aussen","Aussen","-"))</f>
        <v>LIFT</v>
      </c>
      <c r="CD108" s="59" t="n">
        <f aca="false">IF(N(AB108)&gt;0,AB108,0)</f>
        <v>0</v>
      </c>
      <c r="CE108" s="53" t="n">
        <f aca="false">IF(ISNUMBER(AE108),1,0)</f>
        <v>0</v>
      </c>
      <c r="CF108" s="50" t="n">
        <f aca="false">N(AE108)</f>
        <v>0</v>
      </c>
      <c r="CG108" s="50" t="n">
        <f aca="false">N(M108)+N(N108)</f>
        <v>75</v>
      </c>
      <c r="CH108" s="50" t="n">
        <f aca="false">ROUNDUP(H108/BV108,0)</f>
        <v>2</v>
      </c>
      <c r="CI108" s="50" t="n">
        <f aca="false">ROUNDUP(CF108/BV108,0)</f>
        <v>0</v>
      </c>
      <c r="CJ108" s="53" t="n">
        <f aca="false">IF(BW108=1,0,IFERROR(VLOOKUP(BU108,'Gebinde-Kategorie'!$A$5:$N$45,5,0)+0,0))</f>
        <v>21</v>
      </c>
      <c r="CK108" s="53" t="n">
        <f aca="false">IFERROR(IF(OR(CB108=1,CB108=2,CB108=3),N(INDEX(Parameter!$I$5:$I$7,CB108)),0),0)</f>
        <v>0</v>
      </c>
      <c r="CL108" s="52" t="n">
        <f aca="false">IF(AND(Parameter!$B$21="Ja",ISNUMBER(W108),N(X108)&gt;0),IFERROR(N(INDEX(Parameter!$L$5:$L$7,W108))*INDEX(Parameter!$E$5:$E$7,W108)*X108/SUMIFS($X$7:$X$1843,$W$7:$W$1843,W108),0),0)</f>
        <v>0</v>
      </c>
    </row>
    <row r="109" customFormat="false" ht="15" hidden="false" customHeight="false" outlineLevel="0" collapsed="false">
      <c r="A109" s="48" t="s">
        <v>434</v>
      </c>
      <c r="B109" s="48" t="s">
        <v>435</v>
      </c>
      <c r="C109" s="48" t="s">
        <v>168</v>
      </c>
      <c r="D109" s="48" t="s">
        <v>188</v>
      </c>
      <c r="E109" s="48" t="s">
        <v>189</v>
      </c>
      <c r="F109" s="48" t="s">
        <v>222</v>
      </c>
      <c r="G109" s="49" t="n">
        <v>251.24</v>
      </c>
      <c r="H109" s="50" t="n">
        <f aca="false">MAX(0,IF(AND(Parameter!$B$21="Ja",ISNUMBER(Y109)),Y109,IF(Parameter!$B$20="Jahresanfang 2025 + Export",BO109+BN109,BN109)))</f>
        <v>23</v>
      </c>
      <c r="I109" s="50" t="n">
        <f aca="false">H109*G109</f>
        <v>5778.52</v>
      </c>
      <c r="J109" s="50" t="n">
        <f aca="false">BQ109*Parameter!$B$18</f>
        <v>16</v>
      </c>
      <c r="K109" s="51" t="n">
        <v>17</v>
      </c>
      <c r="L109" s="52" t="n">
        <v>0.941176470588235</v>
      </c>
      <c r="M109" s="50" t="n">
        <v>2</v>
      </c>
      <c r="N109" s="50" t="n">
        <v>10</v>
      </c>
      <c r="O109" s="53" t="n">
        <v>35</v>
      </c>
      <c r="P109" s="48" t="s">
        <v>237</v>
      </c>
      <c r="Q109" s="50" t="n">
        <v>22</v>
      </c>
      <c r="R109" s="53" t="n">
        <f aca="false">IF(BW109=1,0,IFERROR(VLOOKUP(BU109,'Gebinde-Kategorie'!$A$5:$N$45,13,0)+0,0))</f>
        <v>26</v>
      </c>
      <c r="S109" s="54"/>
      <c r="T109" s="55"/>
      <c r="U109" s="55"/>
      <c r="V109" s="55"/>
      <c r="W109" s="48"/>
      <c r="X109" s="50"/>
      <c r="Y109" s="50"/>
      <c r="Z109" s="48" t="n">
        <f aca="false">IF(A109="","",IF(AND(Parameter!$B$21="Ja",ISNUMBER(W109)),W109,IF(BZ109="2+3",IF(ISNUMBER(SEARCH("grosser Artikel",BR109)),2,IFERROR(VLOOKUP(BU109,Parameter!$F$35:$G$64,2,0),2)),IF(OR(BZ109="Nein",BZ109=""),"-",BZ109))))</f>
        <v>3</v>
      </c>
      <c r="AA109" s="55"/>
      <c r="AB109" s="56"/>
      <c r="AC109" s="50" t="n">
        <f aca="false">AT109</f>
        <v>22</v>
      </c>
      <c r="AD109" s="50" t="n">
        <f aca="false">MAX(AT109,H109)</f>
        <v>23</v>
      </c>
      <c r="AE109" s="57"/>
      <c r="AF109" s="50" t="n">
        <f aca="false">IF(LEFT(Cockpit!$C$5,1)="A",H109,IF(CE109=1,CF109,IF(LEFT(Cockpit!$C$5,1)="B",AK109,MAX(AK109,H109))))</f>
        <v>23</v>
      </c>
      <c r="AG109" s="50" t="n">
        <f aca="false">IF(BW109=1,0,ROUNDUP(AF109/BV109,0))</f>
        <v>2</v>
      </c>
      <c r="AH109" s="52" t="n">
        <f aca="false">IF(CL109&gt;0,CL109*MAX(1,AF109/X109),IF(BW109=1,IF(AF109&lt;=0,0,CA109*MAX(1,IF(H109&gt;0,AF109/H109,1))),IF(R109&gt;0,AG109/R109,0))/MAX(0.1,N(Parameter!$M$21)))</f>
        <v>0.0769230769230769</v>
      </c>
      <c r="AI109" s="50" t="n">
        <f aca="false">AH109*BY109</f>
        <v>18.8461538461538</v>
      </c>
      <c r="AJ109" s="50" t="n">
        <f aca="false">AF109*G109</f>
        <v>5778.52</v>
      </c>
      <c r="AK109" s="50" t="n">
        <f aca="false">ROUNDUP(MAX(J109/IF(CD109&gt;0,CD109,MAX(0.1,N(Cockpit!$C$6))),CG109)/BV109,0)*BV109</f>
        <v>22</v>
      </c>
      <c r="AL109" s="51" t="n">
        <f aca="false">IF(AI109&gt;0,J109/AI109,-1)</f>
        <v>0.848979591836735</v>
      </c>
      <c r="AM109" s="51" t="n">
        <f aca="false">IF(AND(OR(CC109="L1",CC109="L23",CC109="LIFT"),AI109&gt;0),SUMIFS($AI$7:$AI$1843,$CC$7:$CC$1843,CC109,$AL$7:$AL$1843,"&gt;"&amp;AL109)+SUMIFS($AI$7:$AI$1843,$CC$7:$CC$1843,CC109,$AL$7:$AL$1843,AL109,$BT$7:$BT$1843,"&lt;="&amp;BT109),"")</f>
        <v>7824.1891025641</v>
      </c>
      <c r="AN109" s="58" t="n">
        <f aca="false">IF(AM109="",0,MAX(0,MIN(1,(IF(CC109="L1",Parameter!$H$5,IF(CC109="L23",Parameter!$H$6+Parameter!$H$7,Parameter!$H$5+Parameter!$H$6+Parameter!$H$7))-(AM109-AI109))/AI109)))</f>
        <v>1</v>
      </c>
      <c r="AO109" s="50" t="n">
        <f aca="false">IF(LEFT(Cockpit!$I$5,1)="A",H109,IF(CE109=1,CF109,IF(LEFT(Cockpit!$I$5,1)="B",AT109,MAX(AT109,H109))))</f>
        <v>23</v>
      </c>
      <c r="AP109" s="50" t="n">
        <f aca="false">IF(BW109=1,0,ROUNDUP(AO109/BV109,0))</f>
        <v>2</v>
      </c>
      <c r="AQ109" s="52" t="n">
        <f aca="false">IF(CL109&gt;0,CL109*MAX(1,AO109/X109),IF(BW109=1,IF(AO109&lt;=0,0,CA109*MAX(1,IF(H109&gt;0,AO109/H109,1))),IF(R109&gt;0,AP109/R109,0))/MAX(0.1,N(Parameter!$M$21)))</f>
        <v>0.0769230769230769</v>
      </c>
      <c r="AR109" s="50" t="n">
        <f aca="false">AQ109*BY109</f>
        <v>18.8461538461538</v>
      </c>
      <c r="AS109" s="50" t="n">
        <f aca="false">AO109*G109</f>
        <v>5778.52</v>
      </c>
      <c r="AT109" s="50" t="n">
        <f aca="false">ROUNDUP(MAX(J109/IF(CD109&gt;0,CD109,MAX(0.1,N(Cockpit!$I$6))),CG109)/BV109,0)*BV109</f>
        <v>22</v>
      </c>
      <c r="AU109" s="51" t="n">
        <f aca="false">IF(AR109&gt;0,J109/AR109,-1)</f>
        <v>0.848979591836735</v>
      </c>
      <c r="AV109" s="51" t="n">
        <f aca="false">IF(AND(OR(CC109="L1",CC109="L23",CC109="LIFT"),AR109&gt;0),SUMIFS($AR$7:$AR$1843,$CC$7:$CC$1843,CC109,$AU$7:$AU$1843,"&gt;"&amp;AU109)+SUMIFS($AR$7:$AR$1843,$CC$7:$CC$1843,CC109,$AU$7:$AU$1843,AU109,$BT$7:$BT$1843,"&lt;="&amp;BT109),"")</f>
        <v>11194.6126373626</v>
      </c>
      <c r="AW109" s="58" t="n">
        <f aca="false">IF(AV109="",0,MAX(0,MIN(1,(IF(CC109="L1",Parameter!$H$5,IF(CC109="L23",Parameter!$H$6+Parameter!$H$7,Parameter!$H$5+Parameter!$H$6+Parameter!$H$7))-(AV109-AR109))/AR109)))</f>
        <v>1</v>
      </c>
      <c r="AX109" s="50" t="n">
        <f aca="false">IF(LEFT(Cockpit!$O$5,1)="A",H109,IF(CE109=1,CF109,IF(LEFT(Cockpit!$O$5,1)="B",BC109,MAX(BC109,H109))))</f>
        <v>23</v>
      </c>
      <c r="AY109" s="50" t="n">
        <f aca="false">IF(BW109=1,0,ROUNDUP(AX109/BV109,0))</f>
        <v>2</v>
      </c>
      <c r="AZ109" s="52" t="n">
        <f aca="false">IF(CL109&gt;0,CL109*MAX(1,AX109/X109),IF(BW109=1,IF(AX109&lt;=0,0,CA109*MAX(1,IF(H109&gt;0,AX109/H109,1))),IF(R109&gt;0,AY109/R109,0))/MAX(0.1,N(Parameter!$M$21)))</f>
        <v>0.0769230769230769</v>
      </c>
      <c r="BA109" s="50" t="n">
        <f aca="false">AZ109*BY109</f>
        <v>18.8461538461538</v>
      </c>
      <c r="BB109" s="50" t="n">
        <f aca="false">AX109*G109</f>
        <v>5778.52</v>
      </c>
      <c r="BC109" s="50" t="n">
        <f aca="false">ROUNDUP(MAX(J109/IF(CD109&gt;0,CD109,MAX(0.1,N(Cockpit!$O$6))),CG109)/BV109,0)*BV109</f>
        <v>22</v>
      </c>
      <c r="BD109" s="51" t="n">
        <f aca="false">IF(BA109&gt;0,J109/BA109,-1)</f>
        <v>0.848979591836735</v>
      </c>
      <c r="BE109" s="51" t="n">
        <f aca="false">IF(AND(OR(CC109="L1",CC109="L23",CC109="LIFT"),BA109&gt;0),SUMIFS($BA$7:$BA$1843,$CC$7:$CC$1843,CC109,$BD$7:$BD$1843,"&gt;"&amp;BD109)+SUMIFS($BA$7:$BA$1843,$CC$7:$CC$1843,CC109,$BD$7:$BD$1843,BD109,$BT$7:$BT$1843,"&lt;="&amp;BT109),"")</f>
        <v>10290.2696886447</v>
      </c>
      <c r="BF109" s="58" t="n">
        <f aca="false">IF(BE109="",0,MAX(0,MIN(1,(IF(CC109="L1",Parameter!$H$5,IF(CC109="L23",Parameter!$H$6+Parameter!$H$7,Parameter!$H$5+Parameter!$H$6+Parameter!$H$7))-(BE109-BA109))/BA109)))</f>
        <v>1</v>
      </c>
      <c r="BG109" s="48" t="str">
        <f aca="false">IF(AI109&lt;=0,"",IF(CC109="Aussen","Aussenlager",IF(CC109="-","Nicht im Lift",IF(AN109&gt;=1,"Lift",IF(AN109&lt;=0,"Aussenlager","teilweise")))))</f>
        <v>Lift</v>
      </c>
      <c r="BH109" s="48" t="str">
        <f aca="false">IF(AR109&lt;=0,"",IF(CC109="Aussen","Aussenlager",IF(CC109="-","Nicht im Lift",IF(AW109&gt;=1,"Lift",IF(AW109&lt;=0,"Aussenlager","teilweise")))))</f>
        <v>Lift</v>
      </c>
      <c r="BI109" s="48" t="str">
        <f aca="false">IF(BA109&lt;=0,"",IF(CC109="Aussen","Aussenlager",IF(CC109="-","Nicht im Lift",IF(BF109&gt;=1,"Lift",IF(BF109&lt;=0,"Aussenlager","teilweise")))))</f>
        <v>Lift</v>
      </c>
      <c r="BJ109" s="48" t="str">
        <f aca="false">IF(A109="","",IF(BS109=1,"Neu; ","")&amp;IF(AND(BS109=0,BN109&lt;0),"negativer Bestand (Export "&amp;BN109&amp;"); ","")&amp;IF(J109&lt;=0,"Kein Verbrauch; ","")&amp;IF(CL109&gt;0,"Lift "&amp;W109&amp;" lt. Liftbericht (Fach "&amp;X109&amp;" Stk); ",IF(BX109=1,"Gebinde geschätzt ("&amp;T109&amp;"); ",IF(BW109=1,"Lose – Tablare geschätzt; ","")))&amp;IF(H109&gt;AT109,"Überbestand "&amp;ROUND(H109-AT109,0)&amp;" Stk / CHF "&amp;ROUND((H109-AT109)*G109,0)&amp;"; ","")&amp;IF(AND(CE109=1,CF109&lt;CG109),"MAX &lt; MB+LG; ","")&amp;IF(AND(CK109&gt;0,CJ109*10&gt;CK109),"zu hoch für Tablar; ","")&amp;IF(AND(BS109=0,OR(CE109=1,AA109&lt;&gt;"",U109&lt;&gt;"",V109&lt;&gt;"",AB109&lt;&gt;"")),"manuell übersteuert; ","")&amp;IF(AND(BW109=0,R109=0),"Gebinde unbekannt / Stellmass fehlt; ","")&amp;IF(AND(BW109=0,N(V109)&lt;=0,N(Q109)&lt;=0),"Menge pro Gebinde fehlt (Ist = 1 Gebinde); ","")&amp;BR109)</f>
        <v>Überbestand 1 Stk / CHF 251; </v>
      </c>
      <c r="BK109" s="48"/>
      <c r="BL109" s="48"/>
      <c r="BM109" s="55"/>
      <c r="BN109" s="50" t="n">
        <v>8</v>
      </c>
      <c r="BO109" s="50" t="n">
        <v>15</v>
      </c>
      <c r="BP109" s="49" t="n">
        <v>2138.62</v>
      </c>
      <c r="BQ109" s="50" t="n">
        <v>16</v>
      </c>
      <c r="BR109" s="48"/>
      <c r="BS109" s="53" t="n">
        <v>0</v>
      </c>
      <c r="BT109" s="53" t="n">
        <v>109</v>
      </c>
      <c r="BU109" s="48" t="str">
        <f aca="false">IF(U109&lt;&gt;"",UPPER(TRIM(U109)),IF(BX109=1,UPPER(VLOOKUP(T109,Parameter!$I$27:$K$29,2,0)),IF(P109="","LOSE",P109)))</f>
        <v>S52</v>
      </c>
      <c r="BV109" s="50" t="n">
        <f aca="false">IF(BU109="LOSE",1,IF(N(V109)&gt;0,V109,IF(BX109=1,MAX(1,N(VLOOKUP(T109,Parameter!$I$27:$K$29,3,0)),H109,N(N109)),IF(N(Q109)&gt;0,Q109,MAX(1,H109)))))</f>
        <v>22</v>
      </c>
      <c r="BW109" s="53" t="n">
        <f aca="false">IF(BU109="LOSE",1,0)</f>
        <v>0</v>
      </c>
      <c r="BX109" s="53" t="n">
        <f aca="false">IF(AND(U109="",OR(P109="",P109="LOSE"),T109&lt;&gt;"",N(S109)&lt;=0,ISNUMBER(MATCH(T109,Parameter!$I$27:$I$29,0))),1,0)</f>
        <v>0</v>
      </c>
      <c r="BY109" s="53" t="n">
        <f aca="false">IF(CL109&gt;0,INDEX(Parameter!$H$5:$H$7,W109)/INDEX(Parameter!$E$5:$E$7,W109),IF(AND(BW109=0,N(IFERROR(VLOOKUP(BU109,'Gebinde-Kategorie'!$A$5:$N$45,14,0),0))&gt;0),VLOOKUP(BU109,'Gebinde-Kategorie'!$A$5:$N$45,14,0)*10+Parameter!$M$23,Parameter!$M$24))</f>
        <v>245</v>
      </c>
      <c r="BZ109" s="48" t="str">
        <f aca="false">IF(AND(Parameter!$B$19="Ja",E109&lt;&gt;"",ISNUMBER(MATCH(E109,Parameter!$I$35:$I$52,0))),VLOOKUP(E109,Parameter!$I$35:$J$52,2,0),IFERROR(VLOOKUP(D109,Parameter!$A$35:$C$64,2,0),"Nein"))</f>
        <v>2+3</v>
      </c>
      <c r="CA109" s="52" t="n">
        <f aca="false">IF(BW109=0,0,IF(N(S109)&gt;0,S109,IFERROR(VLOOKUP(D109,Parameter!$A$35:$C$64,3,0)+0,0)))</f>
        <v>0</v>
      </c>
      <c r="CB109" s="48" t="n">
        <f aca="false">IF(AA109&lt;&gt;"",AA109,Z109)</f>
        <v>3</v>
      </c>
      <c r="CC109" s="48" t="str">
        <f aca="false">IF(OR(CB109=1,CB109=2,CB109=3),IF(Parameter!$E$27="Ja","LIFT",IF(CB109=1,"L1","L23")),IF(CB109="Aussen","Aussen","-"))</f>
        <v>LIFT</v>
      </c>
      <c r="CD109" s="59" t="n">
        <f aca="false">IF(N(AB109)&gt;0,AB109,0)</f>
        <v>0</v>
      </c>
      <c r="CE109" s="53" t="n">
        <f aca="false">IF(ISNUMBER(AE109),1,0)</f>
        <v>0</v>
      </c>
      <c r="CF109" s="50" t="n">
        <f aca="false">N(AE109)</f>
        <v>0</v>
      </c>
      <c r="CG109" s="50" t="n">
        <f aca="false">N(M109)+N(N109)</f>
        <v>12</v>
      </c>
      <c r="CH109" s="50" t="n">
        <f aca="false">ROUNDUP(H109/BV109,0)</f>
        <v>2</v>
      </c>
      <c r="CI109" s="50" t="n">
        <f aca="false">ROUNDUP(CF109/BV109,0)</f>
        <v>0</v>
      </c>
      <c r="CJ109" s="53" t="n">
        <f aca="false">IF(BW109=1,0,IFERROR(VLOOKUP(BU109,'Gebinde-Kategorie'!$A$5:$N$45,5,0)+0,0))</f>
        <v>21</v>
      </c>
      <c r="CK109" s="53" t="n">
        <f aca="false">IFERROR(IF(OR(CB109=1,CB109=2,CB109=3),N(INDEX(Parameter!$I$5:$I$7,CB109)),0),0)</f>
        <v>0</v>
      </c>
      <c r="CL109" s="52" t="n">
        <f aca="false">IF(AND(Parameter!$B$21="Ja",ISNUMBER(W109),N(X109)&gt;0),IFERROR(N(INDEX(Parameter!$L$5:$L$7,W109))*INDEX(Parameter!$E$5:$E$7,W109)*X109/SUMIFS($X$7:$X$1843,$W$7:$W$1843,W109),0),0)</f>
        <v>0</v>
      </c>
    </row>
    <row r="110" customFormat="false" ht="15" hidden="false" customHeight="false" outlineLevel="0" collapsed="false">
      <c r="A110" s="48" t="s">
        <v>436</v>
      </c>
      <c r="B110" s="48" t="s">
        <v>437</v>
      </c>
      <c r="C110" s="48" t="s">
        <v>168</v>
      </c>
      <c r="D110" s="48" t="s">
        <v>188</v>
      </c>
      <c r="E110" s="48"/>
      <c r="F110" s="48" t="s">
        <v>222</v>
      </c>
      <c r="G110" s="49" t="n">
        <v>692.78</v>
      </c>
      <c r="H110" s="50" t="n">
        <f aca="false">MAX(0,IF(AND(Parameter!$B$21="Ja",ISNUMBER(Y110)),Y110,IF(Parameter!$B$20="Jahresanfang 2025 + Export",BO110+BN110,BN110)))</f>
        <v>3</v>
      </c>
      <c r="I110" s="50" t="n">
        <f aca="false">H110*G110</f>
        <v>2078.34</v>
      </c>
      <c r="J110" s="50" t="n">
        <f aca="false">BQ110*Parameter!$B$18</f>
        <v>2</v>
      </c>
      <c r="K110" s="51" t="n">
        <v>2</v>
      </c>
      <c r="L110" s="52" t="n">
        <v>1</v>
      </c>
      <c r="M110" s="50" t="n">
        <v>0</v>
      </c>
      <c r="N110" s="50" t="n">
        <v>1</v>
      </c>
      <c r="O110" s="53" t="n">
        <v>31</v>
      </c>
      <c r="P110" s="48" t="s">
        <v>237</v>
      </c>
      <c r="Q110" s="50" t="n">
        <v>4</v>
      </c>
      <c r="R110" s="53" t="n">
        <f aca="false">IF(BW110=1,0,IFERROR(VLOOKUP(BU110,'Gebinde-Kategorie'!$A$5:$N$45,13,0)+0,0))</f>
        <v>26</v>
      </c>
      <c r="S110" s="54"/>
      <c r="T110" s="55"/>
      <c r="U110" s="55"/>
      <c r="V110" s="55"/>
      <c r="W110" s="48"/>
      <c r="X110" s="50"/>
      <c r="Y110" s="50"/>
      <c r="Z110" s="48" t="n">
        <f aca="false">IF(A110="","",IF(AND(Parameter!$B$21="Ja",ISNUMBER(W110)),W110,IF(BZ110="2+3",IF(ISNUMBER(SEARCH("grosser Artikel",BR110)),2,IFERROR(VLOOKUP(BU110,Parameter!$F$35:$G$64,2,0),2)),IF(OR(BZ110="Nein",BZ110=""),"-",BZ110))))</f>
        <v>3</v>
      </c>
      <c r="AA110" s="55"/>
      <c r="AB110" s="56"/>
      <c r="AC110" s="50" t="n">
        <f aca="false">AT110</f>
        <v>4</v>
      </c>
      <c r="AD110" s="50" t="n">
        <f aca="false">MAX(AT110,H110)</f>
        <v>4</v>
      </c>
      <c r="AE110" s="57"/>
      <c r="AF110" s="50" t="n">
        <f aca="false">IF(LEFT(Cockpit!$C$5,1)="A",H110,IF(CE110=1,CF110,IF(LEFT(Cockpit!$C$5,1)="B",AK110,MAX(AK110,H110))))</f>
        <v>3</v>
      </c>
      <c r="AG110" s="50" t="n">
        <f aca="false">IF(BW110=1,0,ROUNDUP(AF110/BV110,0))</f>
        <v>1</v>
      </c>
      <c r="AH110" s="52" t="n">
        <f aca="false">IF(CL110&gt;0,CL110*MAX(1,AF110/X110),IF(BW110=1,IF(AF110&lt;=0,0,CA110*MAX(1,IF(H110&gt;0,AF110/H110,1))),IF(R110&gt;0,AG110/R110,0))/MAX(0.1,N(Parameter!$M$21)))</f>
        <v>0.0384615384615385</v>
      </c>
      <c r="AI110" s="50" t="n">
        <f aca="false">AH110*BY110</f>
        <v>9.42307692307692</v>
      </c>
      <c r="AJ110" s="50" t="n">
        <f aca="false">AF110*G110</f>
        <v>2078.34</v>
      </c>
      <c r="AK110" s="50" t="n">
        <f aca="false">ROUNDUP(MAX(J110/IF(CD110&gt;0,CD110,MAX(0.1,N(Cockpit!$C$6))),CG110)/BV110,0)*BV110</f>
        <v>4</v>
      </c>
      <c r="AL110" s="51" t="n">
        <f aca="false">IF(AI110&gt;0,J110/AI110,-1)</f>
        <v>0.212244897959184</v>
      </c>
      <c r="AM110" s="51" t="n">
        <f aca="false">IF(AND(OR(CC110="L1",CC110="L23",CC110="LIFT"),AI110&gt;0),SUMIFS($AI$7:$AI$1843,$CC$7:$CC$1843,CC110,$AL$7:$AL$1843,"&gt;"&amp;AL110)+SUMIFS($AI$7:$AI$1843,$CC$7:$CC$1843,CC110,$AL$7:$AL$1843,AL110,$BT$7:$BT$1843,"&lt;="&amp;BT110),"")</f>
        <v>12345.2785926409</v>
      </c>
      <c r="AN110" s="58" t="n">
        <f aca="false">IF(AM110="",0,MAX(0,MIN(1,(IF(CC110="L1",Parameter!$H$5,IF(CC110="L23",Parameter!$H$6+Parameter!$H$7,Parameter!$H$5+Parameter!$H$6+Parameter!$H$7))-(AM110-AI110))/AI110)))</f>
        <v>1</v>
      </c>
      <c r="AO110" s="50" t="n">
        <f aca="false">IF(LEFT(Cockpit!$I$5,1)="A",H110,IF(CE110=1,CF110,IF(LEFT(Cockpit!$I$5,1)="B",AT110,MAX(AT110,H110))))</f>
        <v>4</v>
      </c>
      <c r="AP110" s="50" t="n">
        <f aca="false">IF(BW110=1,0,ROUNDUP(AO110/BV110,0))</f>
        <v>1</v>
      </c>
      <c r="AQ110" s="52" t="n">
        <f aca="false">IF(CL110&gt;0,CL110*MAX(1,AO110/X110),IF(BW110=1,IF(AO110&lt;=0,0,CA110*MAX(1,IF(H110&gt;0,AO110/H110,1))),IF(R110&gt;0,AP110/R110,0))/MAX(0.1,N(Parameter!$M$21)))</f>
        <v>0.0384615384615385</v>
      </c>
      <c r="AR110" s="50" t="n">
        <f aca="false">AQ110*BY110</f>
        <v>9.42307692307692</v>
      </c>
      <c r="AS110" s="50" t="n">
        <f aca="false">AO110*G110</f>
        <v>2771.12</v>
      </c>
      <c r="AT110" s="50" t="n">
        <f aca="false">ROUNDUP(MAX(J110/IF(CD110&gt;0,CD110,MAX(0.1,N(Cockpit!$I$6))),CG110)/BV110,0)*BV110</f>
        <v>4</v>
      </c>
      <c r="AU110" s="51" t="n">
        <f aca="false">IF(AR110&gt;0,J110/AR110,-1)</f>
        <v>0.212244897959184</v>
      </c>
      <c r="AV110" s="51" t="n">
        <f aca="false">IF(AND(OR(CC110="L1",CC110="L23",CC110="LIFT"),AR110&gt;0),SUMIFS($AR$7:$AR$1843,$CC$7:$CC$1843,CC110,$AU$7:$AU$1843,"&gt;"&amp;AU110)+SUMIFS($AR$7:$AR$1843,$CC$7:$CC$1843,CC110,$AU$7:$AU$1843,AU110,$BT$7:$BT$1843,"&lt;="&amp;BT110),"")</f>
        <v>18259.0132783883</v>
      </c>
      <c r="AW110" s="58" t="n">
        <f aca="false">IF(AV110="",0,MAX(0,MIN(1,(IF(CC110="L1",Parameter!$H$5,IF(CC110="L23",Parameter!$H$6+Parameter!$H$7,Parameter!$H$5+Parameter!$H$6+Parameter!$H$7))-(AV110-AR110))/AR110)))</f>
        <v>1</v>
      </c>
      <c r="AX110" s="50" t="n">
        <f aca="false">IF(LEFT(Cockpit!$O$5,1)="A",H110,IF(CE110=1,CF110,IF(LEFT(Cockpit!$O$5,1)="B",BC110,MAX(BC110,H110))))</f>
        <v>4</v>
      </c>
      <c r="AY110" s="50" t="n">
        <f aca="false">IF(BW110=1,0,ROUNDUP(AX110/BV110,0))</f>
        <v>1</v>
      </c>
      <c r="AZ110" s="52" t="n">
        <f aca="false">IF(CL110&gt;0,CL110*MAX(1,AX110/X110),IF(BW110=1,IF(AX110&lt;=0,0,CA110*MAX(1,IF(H110&gt;0,AX110/H110,1))),IF(R110&gt;0,AY110/R110,0))/MAX(0.1,N(Parameter!$M$21)))</f>
        <v>0.0384615384615385</v>
      </c>
      <c r="BA110" s="50" t="n">
        <f aca="false">AZ110*BY110</f>
        <v>9.42307692307692</v>
      </c>
      <c r="BB110" s="50" t="n">
        <f aca="false">AX110*G110</f>
        <v>2771.12</v>
      </c>
      <c r="BC110" s="50" t="n">
        <f aca="false">ROUNDUP(MAX(J110/IF(CD110&gt;0,CD110,MAX(0.1,N(Cockpit!$O$6))),CG110)/BV110,0)*BV110</f>
        <v>4</v>
      </c>
      <c r="BD110" s="51" t="n">
        <f aca="false">IF(BA110&gt;0,J110/BA110,-1)</f>
        <v>0.212244897959184</v>
      </c>
      <c r="BE110" s="51" t="n">
        <f aca="false">IF(AND(OR(CC110="L1",CC110="L23",CC110="LIFT"),BA110&gt;0),SUMIFS($BA$7:$BA$1843,$CC$7:$CC$1843,CC110,$BD$7:$BD$1843,"&gt;"&amp;BD110)+SUMIFS($BA$7:$BA$1843,$CC$7:$CC$1843,CC110,$BD$7:$BD$1843,BD110,$BT$7:$BT$1843,"&lt;="&amp;BT110),"")</f>
        <v>16911.7536630037</v>
      </c>
      <c r="BF110" s="58" t="n">
        <f aca="false">IF(BE110="",0,MAX(0,MIN(1,(IF(CC110="L1",Parameter!$H$5,IF(CC110="L23",Parameter!$H$6+Parameter!$H$7,Parameter!$H$5+Parameter!$H$6+Parameter!$H$7))-(BE110-BA110))/BA110)))</f>
        <v>1</v>
      </c>
      <c r="BG110" s="48" t="str">
        <f aca="false">IF(AI110&lt;=0,"",IF(CC110="Aussen","Aussenlager",IF(CC110="-","Nicht im Lift",IF(AN110&gt;=1,"Lift",IF(AN110&lt;=0,"Aussenlager","teilweise")))))</f>
        <v>Lift</v>
      </c>
      <c r="BH110" s="48" t="str">
        <f aca="false">IF(AR110&lt;=0,"",IF(CC110="Aussen","Aussenlager",IF(CC110="-","Nicht im Lift",IF(AW110&gt;=1,"Lift",IF(AW110&lt;=0,"Aussenlager","teilweise")))))</f>
        <v>Lift</v>
      </c>
      <c r="BI110" s="48" t="str">
        <f aca="false">IF(BA110&lt;=0,"",IF(CC110="Aussen","Aussenlager",IF(CC110="-","Nicht im Lift",IF(BF110&gt;=1,"Lift",IF(BF110&lt;=0,"Aussenlager","teilweise")))))</f>
        <v>Lift</v>
      </c>
      <c r="BJ110" s="48" t="str">
        <f aca="false">IF(A110="","",IF(BS110=1,"Neu; ","")&amp;IF(AND(BS110=0,BN110&lt;0),"negativer Bestand (Export "&amp;BN110&amp;"); ","")&amp;IF(J110&lt;=0,"Kein Verbrauch; ","")&amp;IF(CL110&gt;0,"Lift "&amp;W110&amp;" lt. Liftbericht (Fach "&amp;X110&amp;" Stk); ",IF(BX110=1,"Gebinde geschätzt ("&amp;T110&amp;"); ",IF(BW110=1,"Lose – Tablare geschätzt; ","")))&amp;IF(H110&gt;AT110,"Überbestand "&amp;ROUND(H110-AT110,0)&amp;" Stk / CHF "&amp;ROUND((H110-AT110)*G110,0)&amp;"; ","")&amp;IF(AND(CE110=1,CF110&lt;CG110),"MAX &lt; MB+LG; ","")&amp;IF(AND(CK110&gt;0,CJ110*10&gt;CK110),"zu hoch für Tablar; ","")&amp;IF(AND(BS110=0,OR(CE110=1,AA110&lt;&gt;"",U110&lt;&gt;"",V110&lt;&gt;"",AB110&lt;&gt;"")),"manuell übersteuert; ","")&amp;IF(AND(BW110=0,R110=0),"Gebinde unbekannt / Stellmass fehlt; ","")&amp;IF(AND(BW110=0,N(V110)&lt;=0,N(Q110)&lt;=0),"Menge pro Gebinde fehlt (Ist = 1 Gebinde); ","")&amp;BR110)</f>
        <v/>
      </c>
      <c r="BK110" s="48"/>
      <c r="BL110" s="48"/>
      <c r="BM110" s="55"/>
      <c r="BN110" s="50" t="n">
        <v>3</v>
      </c>
      <c r="BO110" s="50" t="n">
        <v>0</v>
      </c>
      <c r="BP110" s="49" t="n">
        <v>2078.34</v>
      </c>
      <c r="BQ110" s="50" t="n">
        <v>2</v>
      </c>
      <c r="BR110" s="48"/>
      <c r="BS110" s="53" t="n">
        <v>0</v>
      </c>
      <c r="BT110" s="53" t="n">
        <v>110</v>
      </c>
      <c r="BU110" s="48" t="str">
        <f aca="false">IF(U110&lt;&gt;"",UPPER(TRIM(U110)),IF(BX110=1,UPPER(VLOOKUP(T110,Parameter!$I$27:$K$29,2,0)),IF(P110="","LOSE",P110)))</f>
        <v>S52</v>
      </c>
      <c r="BV110" s="50" t="n">
        <f aca="false">IF(BU110="LOSE",1,IF(N(V110)&gt;0,V110,IF(BX110=1,MAX(1,N(VLOOKUP(T110,Parameter!$I$27:$K$29,3,0)),H110,N(N110)),IF(N(Q110)&gt;0,Q110,MAX(1,H110)))))</f>
        <v>4</v>
      </c>
      <c r="BW110" s="53" t="n">
        <f aca="false">IF(BU110="LOSE",1,0)</f>
        <v>0</v>
      </c>
      <c r="BX110" s="53" t="n">
        <f aca="false">IF(AND(U110="",OR(P110="",P110="LOSE"),T110&lt;&gt;"",N(S110)&lt;=0,ISNUMBER(MATCH(T110,Parameter!$I$27:$I$29,0))),1,0)</f>
        <v>0</v>
      </c>
      <c r="BY110" s="53" t="n">
        <f aca="false">IF(CL110&gt;0,INDEX(Parameter!$H$5:$H$7,W110)/INDEX(Parameter!$E$5:$E$7,W110),IF(AND(BW110=0,N(IFERROR(VLOOKUP(BU110,'Gebinde-Kategorie'!$A$5:$N$45,14,0),0))&gt;0),VLOOKUP(BU110,'Gebinde-Kategorie'!$A$5:$N$45,14,0)*10+Parameter!$M$23,Parameter!$M$24))</f>
        <v>245</v>
      </c>
      <c r="BZ110" s="48" t="str">
        <f aca="false">IF(AND(Parameter!$B$19="Ja",E110&lt;&gt;"",ISNUMBER(MATCH(E110,Parameter!$I$35:$I$52,0))),VLOOKUP(E110,Parameter!$I$35:$J$52,2,0),IFERROR(VLOOKUP(D110,Parameter!$A$35:$C$64,2,0),"Nein"))</f>
        <v>2+3</v>
      </c>
      <c r="CA110" s="52" t="n">
        <f aca="false">IF(BW110=0,0,IF(N(S110)&gt;0,S110,IFERROR(VLOOKUP(D110,Parameter!$A$35:$C$64,3,0)+0,0)))</f>
        <v>0</v>
      </c>
      <c r="CB110" s="48" t="n">
        <f aca="false">IF(AA110&lt;&gt;"",AA110,Z110)</f>
        <v>3</v>
      </c>
      <c r="CC110" s="48" t="str">
        <f aca="false">IF(OR(CB110=1,CB110=2,CB110=3),IF(Parameter!$E$27="Ja","LIFT",IF(CB110=1,"L1","L23")),IF(CB110="Aussen","Aussen","-"))</f>
        <v>LIFT</v>
      </c>
      <c r="CD110" s="59" t="n">
        <f aca="false">IF(N(AB110)&gt;0,AB110,0)</f>
        <v>0</v>
      </c>
      <c r="CE110" s="53" t="n">
        <f aca="false">IF(ISNUMBER(AE110),1,0)</f>
        <v>0</v>
      </c>
      <c r="CF110" s="50" t="n">
        <f aca="false">N(AE110)</f>
        <v>0</v>
      </c>
      <c r="CG110" s="50" t="n">
        <f aca="false">N(M110)+N(N110)</f>
        <v>1</v>
      </c>
      <c r="CH110" s="50" t="n">
        <f aca="false">ROUNDUP(H110/BV110,0)</f>
        <v>1</v>
      </c>
      <c r="CI110" s="50" t="n">
        <f aca="false">ROUNDUP(CF110/BV110,0)</f>
        <v>0</v>
      </c>
      <c r="CJ110" s="53" t="n">
        <f aca="false">IF(BW110=1,0,IFERROR(VLOOKUP(BU110,'Gebinde-Kategorie'!$A$5:$N$45,5,0)+0,0))</f>
        <v>21</v>
      </c>
      <c r="CK110" s="53" t="n">
        <f aca="false">IFERROR(IF(OR(CB110=1,CB110=2,CB110=3),N(INDEX(Parameter!$I$5:$I$7,CB110)),0),0)</f>
        <v>0</v>
      </c>
      <c r="CL110" s="52" t="n">
        <f aca="false">IF(AND(Parameter!$B$21="Ja",ISNUMBER(W110),N(X110)&gt;0),IFERROR(N(INDEX(Parameter!$L$5:$L$7,W110))*INDEX(Parameter!$E$5:$E$7,W110)*X110/SUMIFS($X$7:$X$1843,$W$7:$W$1843,W110),0),0)</f>
        <v>0</v>
      </c>
    </row>
    <row r="111" customFormat="false" ht="15" hidden="false" customHeight="false" outlineLevel="0" collapsed="false">
      <c r="A111" s="48" t="s">
        <v>438</v>
      </c>
      <c r="B111" s="48" t="s">
        <v>439</v>
      </c>
      <c r="C111" s="48" t="s">
        <v>168</v>
      </c>
      <c r="D111" s="48" t="s">
        <v>188</v>
      </c>
      <c r="E111" s="48" t="s">
        <v>189</v>
      </c>
      <c r="F111" s="48" t="s">
        <v>222</v>
      </c>
      <c r="G111" s="49" t="n">
        <v>52.61</v>
      </c>
      <c r="H111" s="50" t="n">
        <f aca="false">MAX(0,IF(AND(Parameter!$B$21="Ja",ISNUMBER(Y111)),Y111,IF(Parameter!$B$20="Jahresanfang 2025 + Export",BO111+BN111,BN111)))</f>
        <v>47</v>
      </c>
      <c r="I111" s="50" t="n">
        <f aca="false">H111*G111</f>
        <v>2472.67</v>
      </c>
      <c r="J111" s="50" t="n">
        <f aca="false">BQ111*Parameter!$B$18</f>
        <v>74</v>
      </c>
      <c r="K111" s="51" t="n">
        <v>25.5</v>
      </c>
      <c r="L111" s="52" t="n">
        <v>2.90196078431373</v>
      </c>
      <c r="M111" s="50" t="n">
        <v>5</v>
      </c>
      <c r="N111" s="50" t="n">
        <v>75</v>
      </c>
      <c r="O111" s="53" t="n">
        <v>21</v>
      </c>
      <c r="P111" s="48" t="s">
        <v>237</v>
      </c>
      <c r="Q111" s="50" t="n">
        <v>50</v>
      </c>
      <c r="R111" s="53" t="n">
        <f aca="false">IF(BW111=1,0,IFERROR(VLOOKUP(BU111,'Gebinde-Kategorie'!$A$5:$N$45,13,0)+0,0))</f>
        <v>26</v>
      </c>
      <c r="S111" s="54"/>
      <c r="T111" s="55"/>
      <c r="U111" s="55"/>
      <c r="V111" s="55"/>
      <c r="W111" s="48"/>
      <c r="X111" s="50"/>
      <c r="Y111" s="50"/>
      <c r="Z111" s="48" t="n">
        <f aca="false">IF(A111="","",IF(AND(Parameter!$B$21="Ja",ISNUMBER(W111)),W111,IF(BZ111="2+3",IF(ISNUMBER(SEARCH("grosser Artikel",BR111)),2,IFERROR(VLOOKUP(BU111,Parameter!$F$35:$G$64,2,0),2)),IF(OR(BZ111="Nein",BZ111=""),"-",BZ111))))</f>
        <v>3</v>
      </c>
      <c r="AA111" s="55"/>
      <c r="AB111" s="56"/>
      <c r="AC111" s="50" t="n">
        <f aca="false">AT111</f>
        <v>100</v>
      </c>
      <c r="AD111" s="50" t="n">
        <f aca="false">MAX(AT111,H111)</f>
        <v>100</v>
      </c>
      <c r="AE111" s="57"/>
      <c r="AF111" s="50" t="n">
        <f aca="false">IF(LEFT(Cockpit!$C$5,1)="A",H111,IF(CE111=1,CF111,IF(LEFT(Cockpit!$C$5,1)="B",AK111,MAX(AK111,H111))))</f>
        <v>47</v>
      </c>
      <c r="AG111" s="50" t="n">
        <f aca="false">IF(BW111=1,0,ROUNDUP(AF111/BV111,0))</f>
        <v>1</v>
      </c>
      <c r="AH111" s="52" t="n">
        <f aca="false">IF(CL111&gt;0,CL111*MAX(1,AF111/X111),IF(BW111=1,IF(AF111&lt;=0,0,CA111*MAX(1,IF(H111&gt;0,AF111/H111,1))),IF(R111&gt;0,AG111/R111,0))/MAX(0.1,N(Parameter!$M$21)))</f>
        <v>0.0384615384615385</v>
      </c>
      <c r="AI111" s="50" t="n">
        <f aca="false">AH111*BY111</f>
        <v>9.42307692307692</v>
      </c>
      <c r="AJ111" s="50" t="n">
        <f aca="false">AF111*G111</f>
        <v>2472.67</v>
      </c>
      <c r="AK111" s="50" t="n">
        <f aca="false">ROUNDUP(MAX(J111/IF(CD111&gt;0,CD111,MAX(0.1,N(Cockpit!$C$6))),CG111)/BV111,0)*BV111</f>
        <v>100</v>
      </c>
      <c r="AL111" s="51" t="n">
        <f aca="false">IF(AI111&gt;0,J111/AI111,-1)</f>
        <v>7.8530612244898</v>
      </c>
      <c r="AM111" s="51" t="n">
        <f aca="false">IF(AND(OR(CC111="L1",CC111="L23",CC111="LIFT"),AI111&gt;0),SUMIFS($AI$7:$AI$1843,$CC$7:$CC$1843,CC111,$AL$7:$AL$1843,"&gt;"&amp;AL111)+SUMIFS($AI$7:$AI$1843,$CC$7:$CC$1843,CC111,$AL$7:$AL$1843,AL111,$BT$7:$BT$1843,"&lt;="&amp;BT111),"")</f>
        <v>3098.19230769231</v>
      </c>
      <c r="AN111" s="58" t="n">
        <f aca="false">IF(AM111="",0,MAX(0,MIN(1,(IF(CC111="L1",Parameter!$H$5,IF(CC111="L23",Parameter!$H$6+Parameter!$H$7,Parameter!$H$5+Parameter!$H$6+Parameter!$H$7))-(AM111-AI111))/AI111)))</f>
        <v>1</v>
      </c>
      <c r="AO111" s="50" t="n">
        <f aca="false">IF(LEFT(Cockpit!$I$5,1)="A",H111,IF(CE111=1,CF111,IF(LEFT(Cockpit!$I$5,1)="B",AT111,MAX(AT111,H111))))</f>
        <v>100</v>
      </c>
      <c r="AP111" s="50" t="n">
        <f aca="false">IF(BW111=1,0,ROUNDUP(AO111/BV111,0))</f>
        <v>2</v>
      </c>
      <c r="AQ111" s="52" t="n">
        <f aca="false">IF(CL111&gt;0,CL111*MAX(1,AO111/X111),IF(BW111=1,IF(AO111&lt;=0,0,CA111*MAX(1,IF(H111&gt;0,AO111/H111,1))),IF(R111&gt;0,AP111/R111,0))/MAX(0.1,N(Parameter!$M$21)))</f>
        <v>0.0769230769230769</v>
      </c>
      <c r="AR111" s="50" t="n">
        <f aca="false">AQ111*BY111</f>
        <v>18.8461538461538</v>
      </c>
      <c r="AS111" s="50" t="n">
        <f aca="false">AO111*G111</f>
        <v>5261</v>
      </c>
      <c r="AT111" s="50" t="n">
        <f aca="false">ROUNDUP(MAX(J111/IF(CD111&gt;0,CD111,MAX(0.1,N(Cockpit!$I$6))),CG111)/BV111,0)*BV111</f>
        <v>100</v>
      </c>
      <c r="AU111" s="51" t="n">
        <f aca="false">IF(AR111&gt;0,J111/AR111,-1)</f>
        <v>3.9265306122449</v>
      </c>
      <c r="AV111" s="51" t="n">
        <f aca="false">IF(AND(OR(CC111="L1",CC111="L23",CC111="LIFT"),AR111&gt;0),SUMIFS($AR$7:$AR$1843,$CC$7:$CC$1843,CC111,$AU$7:$AU$1843,"&gt;"&amp;AU111)+SUMIFS($AR$7:$AR$1843,$CC$7:$CC$1843,CC111,$AU$7:$AU$1843,AU111,$BT$7:$BT$1843,"&lt;="&amp;BT111),"")</f>
        <v>5726.72664835165</v>
      </c>
      <c r="AW111" s="58" t="n">
        <f aca="false">IF(AV111="",0,MAX(0,MIN(1,(IF(CC111="L1",Parameter!$H$5,IF(CC111="L23",Parameter!$H$6+Parameter!$H$7,Parameter!$H$5+Parameter!$H$6+Parameter!$H$7))-(AV111-AR111))/AR111)))</f>
        <v>1</v>
      </c>
      <c r="AX111" s="50" t="n">
        <f aca="false">IF(LEFT(Cockpit!$O$5,1)="A",H111,IF(CE111=1,CF111,IF(LEFT(Cockpit!$O$5,1)="B",BC111,MAX(BC111,H111))))</f>
        <v>100</v>
      </c>
      <c r="AY111" s="50" t="n">
        <f aca="false">IF(BW111=1,0,ROUNDUP(AX111/BV111,0))</f>
        <v>2</v>
      </c>
      <c r="AZ111" s="52" t="n">
        <f aca="false">IF(CL111&gt;0,CL111*MAX(1,AX111/X111),IF(BW111=1,IF(AX111&lt;=0,0,CA111*MAX(1,IF(H111&gt;0,AX111/H111,1))),IF(R111&gt;0,AY111/R111,0))/MAX(0.1,N(Parameter!$M$21)))</f>
        <v>0.0769230769230769</v>
      </c>
      <c r="BA111" s="50" t="n">
        <f aca="false">AZ111*BY111</f>
        <v>18.8461538461538</v>
      </c>
      <c r="BB111" s="50" t="n">
        <f aca="false">AX111*G111</f>
        <v>5261</v>
      </c>
      <c r="BC111" s="50" t="n">
        <f aca="false">ROUNDUP(MAX(J111/IF(CD111&gt;0,CD111,MAX(0.1,N(Cockpit!$O$6))),CG111)/BV111,0)*BV111</f>
        <v>100</v>
      </c>
      <c r="BD111" s="51" t="n">
        <f aca="false">IF(BA111&gt;0,J111/BA111,-1)</f>
        <v>3.9265306122449</v>
      </c>
      <c r="BE111" s="51" t="n">
        <f aca="false">IF(AND(OR(CC111="L1",CC111="L23",CC111="LIFT"),BA111&gt;0),SUMIFS($BA$7:$BA$1843,$CC$7:$CC$1843,CC111,$BD$7:$BD$1843,"&gt;"&amp;BD111)+SUMIFS($BA$7:$BA$1843,$CC$7:$CC$1843,CC111,$BD$7:$BD$1843,BD111,$BT$7:$BT$1843,"&lt;="&amp;BT111),"")</f>
        <v>5375.42857142857</v>
      </c>
      <c r="BF111" s="58" t="n">
        <f aca="false">IF(BE111="",0,MAX(0,MIN(1,(IF(CC111="L1",Parameter!$H$5,IF(CC111="L23",Parameter!$H$6+Parameter!$H$7,Parameter!$H$5+Parameter!$H$6+Parameter!$H$7))-(BE111-BA111))/BA111)))</f>
        <v>1</v>
      </c>
      <c r="BG111" s="48" t="str">
        <f aca="false">IF(AI111&lt;=0,"",IF(CC111="Aussen","Aussenlager",IF(CC111="-","Nicht im Lift",IF(AN111&gt;=1,"Lift",IF(AN111&lt;=0,"Aussenlager","teilweise")))))</f>
        <v>Lift</v>
      </c>
      <c r="BH111" s="48" t="str">
        <f aca="false">IF(AR111&lt;=0,"",IF(CC111="Aussen","Aussenlager",IF(CC111="-","Nicht im Lift",IF(AW111&gt;=1,"Lift",IF(AW111&lt;=0,"Aussenlager","teilweise")))))</f>
        <v>Lift</v>
      </c>
      <c r="BI111" s="48" t="str">
        <f aca="false">IF(BA111&lt;=0,"",IF(CC111="Aussen","Aussenlager",IF(CC111="-","Nicht im Lift",IF(BF111&gt;=1,"Lift",IF(BF111&lt;=0,"Aussenlager","teilweise")))))</f>
        <v>Lift</v>
      </c>
      <c r="BJ111" s="48" t="str">
        <f aca="false">IF(A111="","",IF(BS111=1,"Neu; ","")&amp;IF(AND(BS111=0,BN111&lt;0),"negativer Bestand (Export "&amp;BN111&amp;"); ","")&amp;IF(J111&lt;=0,"Kein Verbrauch; ","")&amp;IF(CL111&gt;0,"Lift "&amp;W111&amp;" lt. Liftbericht (Fach "&amp;X111&amp;" Stk); ",IF(BX111=1,"Gebinde geschätzt ("&amp;T111&amp;"); ",IF(BW111=1,"Lose – Tablare geschätzt; ","")))&amp;IF(H111&gt;AT111,"Überbestand "&amp;ROUND(H111-AT111,0)&amp;" Stk / CHF "&amp;ROUND((H111-AT111)*G111,0)&amp;"; ","")&amp;IF(AND(CE111=1,CF111&lt;CG111),"MAX &lt; MB+LG; ","")&amp;IF(AND(CK111&gt;0,CJ111*10&gt;CK111),"zu hoch für Tablar; ","")&amp;IF(AND(BS111=0,OR(CE111=1,AA111&lt;&gt;"",U111&lt;&gt;"",V111&lt;&gt;"",AB111&lt;&gt;"")),"manuell übersteuert; ","")&amp;IF(AND(BW111=0,R111=0),"Gebinde unbekannt / Stellmass fehlt; ","")&amp;IF(AND(BW111=0,N(V111)&lt;=0,N(Q111)&lt;=0),"Menge pro Gebinde fehlt (Ist = 1 Gebinde); ","")&amp;BR111)</f>
        <v/>
      </c>
      <c r="BK111" s="48"/>
      <c r="BL111" s="48"/>
      <c r="BM111" s="55"/>
      <c r="BN111" s="50" t="n">
        <v>34</v>
      </c>
      <c r="BO111" s="50" t="n">
        <v>13</v>
      </c>
      <c r="BP111" s="49" t="n">
        <v>2066.83</v>
      </c>
      <c r="BQ111" s="50" t="n">
        <v>74</v>
      </c>
      <c r="BR111" s="48"/>
      <c r="BS111" s="53" t="n">
        <v>0</v>
      </c>
      <c r="BT111" s="53" t="n">
        <v>111</v>
      </c>
      <c r="BU111" s="48" t="str">
        <f aca="false">IF(U111&lt;&gt;"",UPPER(TRIM(U111)),IF(BX111=1,UPPER(VLOOKUP(T111,Parameter!$I$27:$K$29,2,0)),IF(P111="","LOSE",P111)))</f>
        <v>S52</v>
      </c>
      <c r="BV111" s="50" t="n">
        <f aca="false">IF(BU111="LOSE",1,IF(N(V111)&gt;0,V111,IF(BX111=1,MAX(1,N(VLOOKUP(T111,Parameter!$I$27:$K$29,3,0)),H111,N(N111)),IF(N(Q111)&gt;0,Q111,MAX(1,H111)))))</f>
        <v>50</v>
      </c>
      <c r="BW111" s="53" t="n">
        <f aca="false">IF(BU111="LOSE",1,0)</f>
        <v>0</v>
      </c>
      <c r="BX111" s="53" t="n">
        <f aca="false">IF(AND(U111="",OR(P111="",P111="LOSE"),T111&lt;&gt;"",N(S111)&lt;=0,ISNUMBER(MATCH(T111,Parameter!$I$27:$I$29,0))),1,0)</f>
        <v>0</v>
      </c>
      <c r="BY111" s="53" t="n">
        <f aca="false">IF(CL111&gt;0,INDEX(Parameter!$H$5:$H$7,W111)/INDEX(Parameter!$E$5:$E$7,W111),IF(AND(BW111=0,N(IFERROR(VLOOKUP(BU111,'Gebinde-Kategorie'!$A$5:$N$45,14,0),0))&gt;0),VLOOKUP(BU111,'Gebinde-Kategorie'!$A$5:$N$45,14,0)*10+Parameter!$M$23,Parameter!$M$24))</f>
        <v>245</v>
      </c>
      <c r="BZ111" s="48" t="str">
        <f aca="false">IF(AND(Parameter!$B$19="Ja",E111&lt;&gt;"",ISNUMBER(MATCH(E111,Parameter!$I$35:$I$52,0))),VLOOKUP(E111,Parameter!$I$35:$J$52,2,0),IFERROR(VLOOKUP(D111,Parameter!$A$35:$C$64,2,0),"Nein"))</f>
        <v>2+3</v>
      </c>
      <c r="CA111" s="52" t="n">
        <f aca="false">IF(BW111=0,0,IF(N(S111)&gt;0,S111,IFERROR(VLOOKUP(D111,Parameter!$A$35:$C$64,3,0)+0,0)))</f>
        <v>0</v>
      </c>
      <c r="CB111" s="48" t="n">
        <f aca="false">IF(AA111&lt;&gt;"",AA111,Z111)</f>
        <v>3</v>
      </c>
      <c r="CC111" s="48" t="str">
        <f aca="false">IF(OR(CB111=1,CB111=2,CB111=3),IF(Parameter!$E$27="Ja","LIFT",IF(CB111=1,"L1","L23")),IF(CB111="Aussen","Aussen","-"))</f>
        <v>LIFT</v>
      </c>
      <c r="CD111" s="59" t="n">
        <f aca="false">IF(N(AB111)&gt;0,AB111,0)</f>
        <v>0</v>
      </c>
      <c r="CE111" s="53" t="n">
        <f aca="false">IF(ISNUMBER(AE111),1,0)</f>
        <v>0</v>
      </c>
      <c r="CF111" s="50" t="n">
        <f aca="false">N(AE111)</f>
        <v>0</v>
      </c>
      <c r="CG111" s="50" t="n">
        <f aca="false">N(M111)+N(N111)</f>
        <v>80</v>
      </c>
      <c r="CH111" s="50" t="n">
        <f aca="false">ROUNDUP(H111/BV111,0)</f>
        <v>1</v>
      </c>
      <c r="CI111" s="50" t="n">
        <f aca="false">ROUNDUP(CF111/BV111,0)</f>
        <v>0</v>
      </c>
      <c r="CJ111" s="53" t="n">
        <f aca="false">IF(BW111=1,0,IFERROR(VLOOKUP(BU111,'Gebinde-Kategorie'!$A$5:$N$45,5,0)+0,0))</f>
        <v>21</v>
      </c>
      <c r="CK111" s="53" t="n">
        <f aca="false">IFERROR(IF(OR(CB111=1,CB111=2,CB111=3),N(INDEX(Parameter!$I$5:$I$7,CB111)),0),0)</f>
        <v>0</v>
      </c>
      <c r="CL111" s="52" t="n">
        <f aca="false">IF(AND(Parameter!$B$21="Ja",ISNUMBER(W111),N(X111)&gt;0),IFERROR(N(INDEX(Parameter!$L$5:$L$7,W111))*INDEX(Parameter!$E$5:$E$7,W111)*X111/SUMIFS($X$7:$X$1843,$W$7:$W$1843,W111),0),0)</f>
        <v>0</v>
      </c>
    </row>
    <row r="112" customFormat="false" ht="15" hidden="false" customHeight="false" outlineLevel="0" collapsed="false">
      <c r="A112" s="48" t="s">
        <v>440</v>
      </c>
      <c r="B112" s="48" t="s">
        <v>441</v>
      </c>
      <c r="C112" s="48" t="s">
        <v>168</v>
      </c>
      <c r="D112" s="48" t="s">
        <v>177</v>
      </c>
      <c r="E112" s="48" t="s">
        <v>170</v>
      </c>
      <c r="F112" s="48" t="s">
        <v>222</v>
      </c>
      <c r="G112" s="49" t="n">
        <v>345.4</v>
      </c>
      <c r="H112" s="50" t="n">
        <f aca="false">MAX(0,IF(AND(Parameter!$B$21="Ja",ISNUMBER(Y112)),Y112,IF(Parameter!$B$20="Jahresanfang 2025 + Export",BO112+BN112,BN112)))</f>
        <v>34</v>
      </c>
      <c r="I112" s="50" t="n">
        <f aca="false">H112*G112</f>
        <v>11743.6</v>
      </c>
      <c r="J112" s="50" t="n">
        <f aca="false">BQ112*Parameter!$B$18</f>
        <v>34</v>
      </c>
      <c r="K112" s="51" t="n">
        <v>28</v>
      </c>
      <c r="L112" s="52" t="n">
        <v>1.21428571428571</v>
      </c>
      <c r="M112" s="50" t="n">
        <v>10</v>
      </c>
      <c r="N112" s="50" t="n">
        <v>15</v>
      </c>
      <c r="O112" s="53" t="n">
        <v>98</v>
      </c>
      <c r="P112" s="48" t="s">
        <v>178</v>
      </c>
      <c r="Q112" s="50" t="n">
        <v>24</v>
      </c>
      <c r="R112" s="53" t="n">
        <f aca="false">IF(BW112=1,0,IFERROR(VLOOKUP(BU112,'Gebinde-Kategorie'!$A$5:$N$45,13,0)+0,0))</f>
        <v>6</v>
      </c>
      <c r="S112" s="54"/>
      <c r="T112" s="55"/>
      <c r="U112" s="55"/>
      <c r="V112" s="55"/>
      <c r="W112" s="48"/>
      <c r="X112" s="50"/>
      <c r="Y112" s="50"/>
      <c r="Z112" s="48" t="n">
        <f aca="false">IF(A112="","",IF(AND(Parameter!$B$21="Ja",ISNUMBER(W112)),W112,IF(BZ112="2+3",IF(ISNUMBER(SEARCH("grosser Artikel",BR112)),2,IFERROR(VLOOKUP(BU112,Parameter!$F$35:$G$64,2,0),2)),IF(OR(BZ112="Nein",BZ112=""),"-",BZ112))))</f>
        <v>1</v>
      </c>
      <c r="AA112" s="55"/>
      <c r="AB112" s="56"/>
      <c r="AC112" s="50" t="n">
        <f aca="false">AT112</f>
        <v>48</v>
      </c>
      <c r="AD112" s="50" t="n">
        <f aca="false">MAX(AT112,H112)</f>
        <v>48</v>
      </c>
      <c r="AE112" s="57"/>
      <c r="AF112" s="50" t="n">
        <f aca="false">IF(LEFT(Cockpit!$C$5,1)="A",H112,IF(CE112=1,CF112,IF(LEFT(Cockpit!$C$5,1)="B",AK112,MAX(AK112,H112))))</f>
        <v>34</v>
      </c>
      <c r="AG112" s="50" t="n">
        <f aca="false">IF(BW112=1,0,ROUNDUP(AF112/BV112,0))</f>
        <v>2</v>
      </c>
      <c r="AH112" s="52" t="n">
        <f aca="false">IF(CL112&gt;0,CL112*MAX(1,AF112/X112),IF(BW112=1,IF(AF112&lt;=0,0,CA112*MAX(1,IF(H112&gt;0,AF112/H112,1))),IF(R112&gt;0,AG112/R112,0))/MAX(0.1,N(Parameter!$M$21)))</f>
        <v>0.333333333333333</v>
      </c>
      <c r="AI112" s="50" t="n">
        <f aca="false">AH112*BY112</f>
        <v>78.3333333333333</v>
      </c>
      <c r="AJ112" s="50" t="n">
        <f aca="false">AF112*G112</f>
        <v>11743.6</v>
      </c>
      <c r="AK112" s="50" t="n">
        <f aca="false">ROUNDUP(MAX(J112/IF(CD112&gt;0,CD112,MAX(0.1,N(Cockpit!$C$6))),CG112)/BV112,0)*BV112</f>
        <v>48</v>
      </c>
      <c r="AL112" s="51" t="n">
        <f aca="false">IF(AI112&gt;0,J112/AI112,-1)</f>
        <v>0.434042553191489</v>
      </c>
      <c r="AM112" s="51" t="n">
        <f aca="false">IF(AND(OR(CC112="L1",CC112="L23",CC112="LIFT"),AI112&gt;0),SUMIFS($AI$7:$AI$1843,$CC$7:$CC$1843,CC112,$AL$7:$AL$1843,"&gt;"&amp;AL112)+SUMIFS($AI$7:$AI$1843,$CC$7:$CC$1843,CC112,$AL$7:$AL$1843,AL112,$BT$7:$BT$1843,"&lt;="&amp;BT112),"")</f>
        <v>10002.8268946214</v>
      </c>
      <c r="AN112" s="58" t="n">
        <f aca="false">IF(AM112="",0,MAX(0,MIN(1,(IF(CC112="L1",Parameter!$H$5,IF(CC112="L23",Parameter!$H$6+Parameter!$H$7,Parameter!$H$5+Parameter!$H$6+Parameter!$H$7))-(AM112-AI112))/AI112)))</f>
        <v>1</v>
      </c>
      <c r="AO112" s="50" t="n">
        <f aca="false">IF(LEFT(Cockpit!$I$5,1)="A",H112,IF(CE112=1,CF112,IF(LEFT(Cockpit!$I$5,1)="B",AT112,MAX(AT112,H112))))</f>
        <v>48</v>
      </c>
      <c r="AP112" s="50" t="n">
        <f aca="false">IF(BW112=1,0,ROUNDUP(AO112/BV112,0))</f>
        <v>2</v>
      </c>
      <c r="AQ112" s="52" t="n">
        <f aca="false">IF(CL112&gt;0,CL112*MAX(1,AO112/X112),IF(BW112=1,IF(AO112&lt;=0,0,CA112*MAX(1,IF(H112&gt;0,AO112/H112,1))),IF(R112&gt;0,AP112/R112,0))/MAX(0.1,N(Parameter!$M$21)))</f>
        <v>0.333333333333333</v>
      </c>
      <c r="AR112" s="50" t="n">
        <f aca="false">AQ112*BY112</f>
        <v>78.3333333333333</v>
      </c>
      <c r="AS112" s="50" t="n">
        <f aca="false">AO112*G112</f>
        <v>16579.2</v>
      </c>
      <c r="AT112" s="50" t="n">
        <f aca="false">ROUNDUP(MAX(J112/IF(CD112&gt;0,CD112,MAX(0.1,N(Cockpit!$I$6))),CG112)/BV112,0)*BV112</f>
        <v>48</v>
      </c>
      <c r="AU112" s="51" t="n">
        <f aca="false">IF(AR112&gt;0,J112/AR112,-1)</f>
        <v>0.434042553191489</v>
      </c>
      <c r="AV112" s="51" t="n">
        <f aca="false">IF(AND(OR(CC112="L1",CC112="L23",CC112="LIFT"),AR112&gt;0),SUMIFS($AR$7:$AR$1843,$CC$7:$CC$1843,CC112,$AU$7:$AU$1843,"&gt;"&amp;AU112)+SUMIFS($AR$7:$AR$1843,$CC$7:$CC$1843,CC112,$AU$7:$AU$1843,AU112,$BT$7:$BT$1843,"&lt;="&amp;BT112),"")</f>
        <v>14877.4065934066</v>
      </c>
      <c r="AW112" s="58" t="n">
        <f aca="false">IF(AV112="",0,MAX(0,MIN(1,(IF(CC112="L1",Parameter!$H$5,IF(CC112="L23",Parameter!$H$6+Parameter!$H$7,Parameter!$H$5+Parameter!$H$6+Parameter!$H$7))-(AV112-AR112))/AR112)))</f>
        <v>1</v>
      </c>
      <c r="AX112" s="50" t="n">
        <f aca="false">IF(LEFT(Cockpit!$O$5,1)="A",H112,IF(CE112=1,CF112,IF(LEFT(Cockpit!$O$5,1)="B",BC112,MAX(BC112,H112))))</f>
        <v>48</v>
      </c>
      <c r="AY112" s="50" t="n">
        <f aca="false">IF(BW112=1,0,ROUNDUP(AX112/BV112,0))</f>
        <v>2</v>
      </c>
      <c r="AZ112" s="52" t="n">
        <f aca="false">IF(CL112&gt;0,CL112*MAX(1,AX112/X112),IF(BW112=1,IF(AX112&lt;=0,0,CA112*MAX(1,IF(H112&gt;0,AX112/H112,1))),IF(R112&gt;0,AY112/R112,0))/MAX(0.1,N(Parameter!$M$21)))</f>
        <v>0.333333333333333</v>
      </c>
      <c r="BA112" s="50" t="n">
        <f aca="false">AZ112*BY112</f>
        <v>78.3333333333333</v>
      </c>
      <c r="BB112" s="50" t="n">
        <f aca="false">AX112*G112</f>
        <v>16579.2</v>
      </c>
      <c r="BC112" s="50" t="n">
        <f aca="false">ROUNDUP(MAX(J112/IF(CD112&gt;0,CD112,MAX(0.1,N(Cockpit!$O$6))),CG112)/BV112,0)*BV112</f>
        <v>48</v>
      </c>
      <c r="BD112" s="51" t="n">
        <f aca="false">IF(BA112&gt;0,J112/BA112,-1)</f>
        <v>0.434042553191489</v>
      </c>
      <c r="BE112" s="51" t="n">
        <f aca="false">IF(AND(OR(CC112="L1",CC112="L23",CC112="LIFT"),BA112&gt;0),SUMIFS($BA$7:$BA$1843,$CC$7:$CC$1843,CC112,$BD$7:$BD$1843,"&gt;"&amp;BD112)+SUMIFS($BA$7:$BA$1843,$CC$7:$CC$1843,CC112,$BD$7:$BD$1843,BD112,$BT$7:$BT$1843,"&lt;="&amp;BT112),"")</f>
        <v>13510.5636446886</v>
      </c>
      <c r="BF112" s="58" t="n">
        <f aca="false">IF(BE112="",0,MAX(0,MIN(1,(IF(CC112="L1",Parameter!$H$5,IF(CC112="L23",Parameter!$H$6+Parameter!$H$7,Parameter!$H$5+Parameter!$H$6+Parameter!$H$7))-(BE112-BA112))/BA112)))</f>
        <v>1</v>
      </c>
      <c r="BG112" s="48" t="str">
        <f aca="false">IF(AI112&lt;=0,"",IF(CC112="Aussen","Aussenlager",IF(CC112="-","Nicht im Lift",IF(AN112&gt;=1,"Lift",IF(AN112&lt;=0,"Aussenlager","teilweise")))))</f>
        <v>Lift</v>
      </c>
      <c r="BH112" s="48" t="str">
        <f aca="false">IF(AR112&lt;=0,"",IF(CC112="Aussen","Aussenlager",IF(CC112="-","Nicht im Lift",IF(AW112&gt;=1,"Lift",IF(AW112&lt;=0,"Aussenlager","teilweise")))))</f>
        <v>Lift</v>
      </c>
      <c r="BI112" s="48" t="str">
        <f aca="false">IF(BA112&lt;=0,"",IF(CC112="Aussen","Aussenlager",IF(CC112="-","Nicht im Lift",IF(BF112&gt;=1,"Lift",IF(BF112&lt;=0,"Aussenlager","teilweise")))))</f>
        <v>Lift</v>
      </c>
      <c r="BJ112" s="48" t="str">
        <f aca="false">IF(A112="","",IF(BS112=1,"Neu; ","")&amp;IF(AND(BS112=0,BN112&lt;0),"negativer Bestand (Export "&amp;BN112&amp;"); ","")&amp;IF(J112&lt;=0,"Kein Verbrauch; ","")&amp;IF(CL112&gt;0,"Lift "&amp;W112&amp;" lt. Liftbericht (Fach "&amp;X112&amp;" Stk); ",IF(BX112=1,"Gebinde geschätzt ("&amp;T112&amp;"); ",IF(BW112=1,"Lose – Tablare geschätzt; ","")))&amp;IF(H112&gt;AT112,"Überbestand "&amp;ROUND(H112-AT112,0)&amp;" Stk / CHF "&amp;ROUND((H112-AT112)*G112,0)&amp;"; ","")&amp;IF(AND(CE112=1,CF112&lt;CG112),"MAX &lt; MB+LG; ","")&amp;IF(AND(CK112&gt;0,CJ112*10&gt;CK112),"zu hoch für Tablar; ","")&amp;IF(AND(BS112=0,OR(CE112=1,AA112&lt;&gt;"",U112&lt;&gt;"",V112&lt;&gt;"",AB112&lt;&gt;"")),"manuell übersteuert; ","")&amp;IF(AND(BW112=0,R112=0),"Gebinde unbekannt / Stellmass fehlt; ","")&amp;IF(AND(BW112=0,N(V112)&lt;=0,N(Q112)&lt;=0),"Menge pro Gebinde fehlt (Ist = 1 Gebinde); ","")&amp;BR112)</f>
        <v/>
      </c>
      <c r="BK112" s="48"/>
      <c r="BL112" s="48"/>
      <c r="BM112" s="55"/>
      <c r="BN112" s="50" t="n">
        <v>1</v>
      </c>
      <c r="BO112" s="50" t="n">
        <v>33</v>
      </c>
      <c r="BP112" s="49" t="n">
        <v>2056.76</v>
      </c>
      <c r="BQ112" s="50" t="n">
        <v>34</v>
      </c>
      <c r="BR112" s="48"/>
      <c r="BS112" s="53" t="n">
        <v>0</v>
      </c>
      <c r="BT112" s="53" t="n">
        <v>112</v>
      </c>
      <c r="BU112" s="48" t="str">
        <f aca="false">IF(U112&lt;&gt;"",UPPER(TRIM(U112)),IF(BX112=1,UPPER(VLOOKUP(T112,Parameter!$I$27:$K$29,2,0)),IF(P112="","LOSE",P112)))</f>
        <v>S71</v>
      </c>
      <c r="BV112" s="50" t="n">
        <f aca="false">IF(BU112="LOSE",1,IF(N(V112)&gt;0,V112,IF(BX112=1,MAX(1,N(VLOOKUP(T112,Parameter!$I$27:$K$29,3,0)),H112,N(N112)),IF(N(Q112)&gt;0,Q112,MAX(1,H112)))))</f>
        <v>24</v>
      </c>
      <c r="BW112" s="53" t="n">
        <f aca="false">IF(BU112="LOSE",1,0)</f>
        <v>0</v>
      </c>
      <c r="BX112" s="53" t="n">
        <f aca="false">IF(AND(U112="",OR(P112="",P112="LOSE"),T112&lt;&gt;"",N(S112)&lt;=0,ISNUMBER(MATCH(T112,Parameter!$I$27:$I$29,0))),1,0)</f>
        <v>0</v>
      </c>
      <c r="BY112" s="53" t="n">
        <f aca="false">IF(CL112&gt;0,INDEX(Parameter!$H$5:$H$7,W112)/INDEX(Parameter!$E$5:$E$7,W112),IF(AND(BW112=0,N(IFERROR(VLOOKUP(BU112,'Gebinde-Kategorie'!$A$5:$N$45,14,0),0))&gt;0),VLOOKUP(BU112,'Gebinde-Kategorie'!$A$5:$N$45,14,0)*10+Parameter!$M$23,Parameter!$M$24))</f>
        <v>235</v>
      </c>
      <c r="BZ112" s="48" t="n">
        <f aca="false">IF(AND(Parameter!$B$19="Ja",E112&lt;&gt;"",ISNUMBER(MATCH(E112,Parameter!$I$35:$I$52,0))),VLOOKUP(E112,Parameter!$I$35:$J$52,2,0),IFERROR(VLOOKUP(D112,Parameter!$A$35:$C$64,2,0),"Nein"))</f>
        <v>1</v>
      </c>
      <c r="CA112" s="52" t="n">
        <f aca="false">IF(BW112=0,0,IF(N(S112)&gt;0,S112,IFERROR(VLOOKUP(D112,Parameter!$A$35:$C$64,3,0)+0,0)))</f>
        <v>0</v>
      </c>
      <c r="CB112" s="48" t="n">
        <f aca="false">IF(AA112&lt;&gt;"",AA112,Z112)</f>
        <v>1</v>
      </c>
      <c r="CC112" s="48" t="str">
        <f aca="false">IF(OR(CB112=1,CB112=2,CB112=3),IF(Parameter!$E$27="Ja","LIFT",IF(CB112=1,"L1","L23")),IF(CB112="Aussen","Aussen","-"))</f>
        <v>LIFT</v>
      </c>
      <c r="CD112" s="59" t="n">
        <f aca="false">IF(N(AB112)&gt;0,AB112,0)</f>
        <v>0</v>
      </c>
      <c r="CE112" s="53" t="n">
        <f aca="false">IF(ISNUMBER(AE112),1,0)</f>
        <v>0</v>
      </c>
      <c r="CF112" s="50" t="n">
        <f aca="false">N(AE112)</f>
        <v>0</v>
      </c>
      <c r="CG112" s="50" t="n">
        <f aca="false">N(M112)+N(N112)</f>
        <v>25</v>
      </c>
      <c r="CH112" s="50" t="n">
        <f aca="false">ROUNDUP(H112/BV112,0)</f>
        <v>2</v>
      </c>
      <c r="CI112" s="50" t="n">
        <f aca="false">ROUNDUP(CF112/BV112,0)</f>
        <v>0</v>
      </c>
      <c r="CJ112" s="53" t="n">
        <f aca="false">IF(BW112=1,0,IFERROR(VLOOKUP(BU112,'Gebinde-Kategorie'!$A$5:$N$45,5,0)+0,0))</f>
        <v>20</v>
      </c>
      <c r="CK112" s="53" t="n">
        <f aca="false">IFERROR(IF(OR(CB112=1,CB112=2,CB112=3),N(INDEX(Parameter!$I$5:$I$7,CB112)),0),0)</f>
        <v>0</v>
      </c>
      <c r="CL112" s="52" t="n">
        <f aca="false">IF(AND(Parameter!$B$21="Ja",ISNUMBER(W112),N(X112)&gt;0),IFERROR(N(INDEX(Parameter!$L$5:$L$7,W112))*INDEX(Parameter!$E$5:$E$7,W112)*X112/SUMIFS($X$7:$X$1843,$W$7:$W$1843,W112),0),0)</f>
        <v>0</v>
      </c>
    </row>
    <row r="113" customFormat="false" ht="15" hidden="false" customHeight="false" outlineLevel="0" collapsed="false">
      <c r="A113" s="48" t="s">
        <v>442</v>
      </c>
      <c r="B113" s="48" t="s">
        <v>435</v>
      </c>
      <c r="C113" s="48" t="s">
        <v>168</v>
      </c>
      <c r="D113" s="48" t="s">
        <v>188</v>
      </c>
      <c r="E113" s="48" t="s">
        <v>189</v>
      </c>
      <c r="F113" s="48" t="s">
        <v>222</v>
      </c>
      <c r="G113" s="49" t="n">
        <v>100.28</v>
      </c>
      <c r="H113" s="50" t="n">
        <f aca="false">MAX(0,IF(AND(Parameter!$B$21="Ja",ISNUMBER(Y113)),Y113,IF(Parameter!$B$20="Jahresanfang 2025 + Export",BO113+BN113,BN113)))</f>
        <v>39</v>
      </c>
      <c r="I113" s="50" t="n">
        <f aca="false">H113*G113</f>
        <v>3910.92</v>
      </c>
      <c r="J113" s="50" t="n">
        <f aca="false">BQ113*Parameter!$B$18</f>
        <v>64</v>
      </c>
      <c r="K113" s="51" t="n">
        <v>17.5</v>
      </c>
      <c r="L113" s="52" t="n">
        <v>3.65714285714286</v>
      </c>
      <c r="M113" s="50" t="n">
        <v>5</v>
      </c>
      <c r="N113" s="50" t="n">
        <v>40</v>
      </c>
      <c r="O113" s="53" t="n">
        <v>35</v>
      </c>
      <c r="P113" s="48" t="s">
        <v>230</v>
      </c>
      <c r="Q113" s="50" t="n">
        <v>76</v>
      </c>
      <c r="R113" s="53" t="n">
        <f aca="false">IF(BW113=1,0,IFERROR(VLOOKUP(BU113,'Gebinde-Kategorie'!$A$5:$N$45,13,0)+0,0))</f>
        <v>12</v>
      </c>
      <c r="S113" s="54"/>
      <c r="T113" s="55"/>
      <c r="U113" s="55"/>
      <c r="V113" s="55"/>
      <c r="W113" s="48"/>
      <c r="X113" s="50"/>
      <c r="Y113" s="50"/>
      <c r="Z113" s="48" t="n">
        <f aca="false">IF(A113="","",IF(AND(Parameter!$B$21="Ja",ISNUMBER(W113)),W113,IF(BZ113="2+3",IF(ISNUMBER(SEARCH("grosser Artikel",BR113)),2,IFERROR(VLOOKUP(BU113,Parameter!$F$35:$G$64,2,0),2)),IF(OR(BZ113="Nein",BZ113=""),"-",BZ113))))</f>
        <v>2</v>
      </c>
      <c r="AA113" s="55"/>
      <c r="AB113" s="56"/>
      <c r="AC113" s="50" t="n">
        <f aca="false">AT113</f>
        <v>76</v>
      </c>
      <c r="AD113" s="50" t="n">
        <f aca="false">MAX(AT113,H113)</f>
        <v>76</v>
      </c>
      <c r="AE113" s="57"/>
      <c r="AF113" s="50" t="n">
        <f aca="false">IF(LEFT(Cockpit!$C$5,1)="A",H113,IF(CE113=1,CF113,IF(LEFT(Cockpit!$C$5,1)="B",AK113,MAX(AK113,H113))))</f>
        <v>39</v>
      </c>
      <c r="AG113" s="50" t="n">
        <f aca="false">IF(BW113=1,0,ROUNDUP(AF113/BV113,0))</f>
        <v>1</v>
      </c>
      <c r="AH113" s="52" t="n">
        <f aca="false">IF(CL113&gt;0,CL113*MAX(1,AF113/X113),IF(BW113=1,IF(AF113&lt;=0,0,CA113*MAX(1,IF(H113&gt;0,AF113/H113,1))),IF(R113&gt;0,AG113/R113,0))/MAX(0.1,N(Parameter!$M$21)))</f>
        <v>0.0833333333333333</v>
      </c>
      <c r="AI113" s="50" t="n">
        <f aca="false">AH113*BY113</f>
        <v>28.75</v>
      </c>
      <c r="AJ113" s="50" t="n">
        <f aca="false">AF113*G113</f>
        <v>3910.92</v>
      </c>
      <c r="AK113" s="50" t="n">
        <f aca="false">ROUNDUP(MAX(J113/IF(CD113&gt;0,CD113,MAX(0.1,N(Cockpit!$C$6))),CG113)/BV113,0)*BV113</f>
        <v>76</v>
      </c>
      <c r="AL113" s="51" t="n">
        <f aca="false">IF(AI113&gt;0,J113/AI113,-1)</f>
        <v>2.22608695652174</v>
      </c>
      <c r="AM113" s="51" t="n">
        <f aca="false">IF(AND(OR(CC113="L1",CC113="L23",CC113="LIFT"),AI113&gt;0),SUMIFS($AI$7:$AI$1843,$CC$7:$CC$1843,CC113,$AL$7:$AL$1843,"&gt;"&amp;AL113)+SUMIFS($AI$7:$AI$1843,$CC$7:$CC$1843,CC113,$AL$7:$AL$1843,AL113,$BT$7:$BT$1843,"&lt;="&amp;BT113),"")</f>
        <v>5723.14148351648</v>
      </c>
      <c r="AN113" s="58" t="n">
        <f aca="false">IF(AM113="",0,MAX(0,MIN(1,(IF(CC113="L1",Parameter!$H$5,IF(CC113="L23",Parameter!$H$6+Parameter!$H$7,Parameter!$H$5+Parameter!$H$6+Parameter!$H$7))-(AM113-AI113))/AI113)))</f>
        <v>1</v>
      </c>
      <c r="AO113" s="50" t="n">
        <f aca="false">IF(LEFT(Cockpit!$I$5,1)="A",H113,IF(CE113=1,CF113,IF(LEFT(Cockpit!$I$5,1)="B",AT113,MAX(AT113,H113))))</f>
        <v>76</v>
      </c>
      <c r="AP113" s="50" t="n">
        <f aca="false">IF(BW113=1,0,ROUNDUP(AO113/BV113,0))</f>
        <v>1</v>
      </c>
      <c r="AQ113" s="52" t="n">
        <f aca="false">IF(CL113&gt;0,CL113*MAX(1,AO113/X113),IF(BW113=1,IF(AO113&lt;=0,0,CA113*MAX(1,IF(H113&gt;0,AO113/H113,1))),IF(R113&gt;0,AP113/R113,0))/MAX(0.1,N(Parameter!$M$21)))</f>
        <v>0.0833333333333333</v>
      </c>
      <c r="AR113" s="50" t="n">
        <f aca="false">AQ113*BY113</f>
        <v>28.75</v>
      </c>
      <c r="AS113" s="50" t="n">
        <f aca="false">AO113*G113</f>
        <v>7621.28</v>
      </c>
      <c r="AT113" s="50" t="n">
        <f aca="false">ROUNDUP(MAX(J113/IF(CD113&gt;0,CD113,MAX(0.1,N(Cockpit!$I$6))),CG113)/BV113,0)*BV113</f>
        <v>76</v>
      </c>
      <c r="AU113" s="51" t="n">
        <f aca="false">IF(AR113&gt;0,J113/AR113,-1)</f>
        <v>2.22608695652174</v>
      </c>
      <c r="AV113" s="51" t="n">
        <f aca="false">IF(AND(OR(CC113="L1",CC113="L23",CC113="LIFT"),AR113&gt;0),SUMIFS($AR$7:$AR$1843,$CC$7:$CC$1843,CC113,$AU$7:$AU$1843,"&gt;"&amp;AU113)+SUMIFS($AR$7:$AR$1843,$CC$7:$CC$1843,CC113,$AU$7:$AU$1843,AU113,$BT$7:$BT$1843,"&lt;="&amp;BT113),"")</f>
        <v>7332.67353479854</v>
      </c>
      <c r="AW113" s="58" t="n">
        <f aca="false">IF(AV113="",0,MAX(0,MIN(1,(IF(CC113="L1",Parameter!$H$5,IF(CC113="L23",Parameter!$H$6+Parameter!$H$7,Parameter!$H$5+Parameter!$H$6+Parameter!$H$7))-(AV113-AR113))/AR113)))</f>
        <v>1</v>
      </c>
      <c r="AX113" s="50" t="n">
        <f aca="false">IF(LEFT(Cockpit!$O$5,1)="A",H113,IF(CE113=1,CF113,IF(LEFT(Cockpit!$O$5,1)="B",BC113,MAX(BC113,H113))))</f>
        <v>76</v>
      </c>
      <c r="AY113" s="50" t="n">
        <f aca="false">IF(BW113=1,0,ROUNDUP(AX113/BV113,0))</f>
        <v>1</v>
      </c>
      <c r="AZ113" s="52" t="n">
        <f aca="false">IF(CL113&gt;0,CL113*MAX(1,AX113/X113),IF(BW113=1,IF(AX113&lt;=0,0,CA113*MAX(1,IF(H113&gt;0,AX113/H113,1))),IF(R113&gt;0,AY113/R113,0))/MAX(0.1,N(Parameter!$M$21)))</f>
        <v>0.0833333333333333</v>
      </c>
      <c r="BA113" s="50" t="n">
        <f aca="false">AZ113*BY113</f>
        <v>28.75</v>
      </c>
      <c r="BB113" s="50" t="n">
        <f aca="false">AX113*G113</f>
        <v>7621.28</v>
      </c>
      <c r="BC113" s="50" t="n">
        <f aca="false">ROUNDUP(MAX(J113/IF(CD113&gt;0,CD113,MAX(0.1,N(Cockpit!$O$6))),CG113)/BV113,0)*BV113</f>
        <v>76</v>
      </c>
      <c r="BD113" s="51" t="n">
        <f aca="false">IF(BA113&gt;0,J113/BA113,-1)</f>
        <v>2.22608695652174</v>
      </c>
      <c r="BE113" s="51" t="n">
        <f aca="false">IF(AND(OR(CC113="L1",CC113="L23",CC113="LIFT"),BA113&gt;0),SUMIFS($BA$7:$BA$1843,$CC$7:$CC$1843,CC113,$BD$7:$BD$1843,"&gt;"&amp;BD113)+SUMIFS($BA$7:$BA$1843,$CC$7:$CC$1843,CC113,$BD$7:$BD$1843,BD113,$BT$7:$BT$1843,"&lt;="&amp;BT113),"")</f>
        <v>6905.41391941392</v>
      </c>
      <c r="BF113" s="58" t="n">
        <f aca="false">IF(BE113="",0,MAX(0,MIN(1,(IF(CC113="L1",Parameter!$H$5,IF(CC113="L23",Parameter!$H$6+Parameter!$H$7,Parameter!$H$5+Parameter!$H$6+Parameter!$H$7))-(BE113-BA113))/BA113)))</f>
        <v>1</v>
      </c>
      <c r="BG113" s="48" t="str">
        <f aca="false">IF(AI113&lt;=0,"",IF(CC113="Aussen","Aussenlager",IF(CC113="-","Nicht im Lift",IF(AN113&gt;=1,"Lift",IF(AN113&lt;=0,"Aussenlager","teilweise")))))</f>
        <v>Lift</v>
      </c>
      <c r="BH113" s="48" t="str">
        <f aca="false">IF(AR113&lt;=0,"",IF(CC113="Aussen","Aussenlager",IF(CC113="-","Nicht im Lift",IF(AW113&gt;=1,"Lift",IF(AW113&lt;=0,"Aussenlager","teilweise")))))</f>
        <v>Lift</v>
      </c>
      <c r="BI113" s="48" t="str">
        <f aca="false">IF(BA113&lt;=0,"",IF(CC113="Aussen","Aussenlager",IF(CC113="-","Nicht im Lift",IF(BF113&gt;=1,"Lift",IF(BF113&lt;=0,"Aussenlager","teilweise")))))</f>
        <v>Lift</v>
      </c>
      <c r="BJ113" s="48" t="str">
        <f aca="false">IF(A113="","",IF(BS113=1,"Neu; ","")&amp;IF(AND(BS113=0,BN113&lt;0),"negativer Bestand (Export "&amp;BN113&amp;"); ","")&amp;IF(J113&lt;=0,"Kein Verbrauch; ","")&amp;IF(CL113&gt;0,"Lift "&amp;W113&amp;" lt. Liftbericht (Fach "&amp;X113&amp;" Stk); ",IF(BX113=1,"Gebinde geschätzt ("&amp;T113&amp;"); ",IF(BW113=1,"Lose – Tablare geschätzt; ","")))&amp;IF(H113&gt;AT113,"Überbestand "&amp;ROUND(H113-AT113,0)&amp;" Stk / CHF "&amp;ROUND((H113-AT113)*G113,0)&amp;"; ","")&amp;IF(AND(CE113=1,CF113&lt;CG113),"MAX &lt; MB+LG; ","")&amp;IF(AND(CK113&gt;0,CJ113*10&gt;CK113),"zu hoch für Tablar; ","")&amp;IF(AND(BS113=0,OR(CE113=1,AA113&lt;&gt;"",U113&lt;&gt;"",V113&lt;&gt;"",AB113&lt;&gt;"")),"manuell übersteuert; ","")&amp;IF(AND(BW113=0,R113=0),"Gebinde unbekannt / Stellmass fehlt; ","")&amp;IF(AND(BW113=0,N(V113)&lt;=0,N(Q113)&lt;=0),"Menge pro Gebinde fehlt (Ist = 1 Gebinde); ","")&amp;BR113)</f>
        <v/>
      </c>
      <c r="BK113" s="48"/>
      <c r="BL113" s="48"/>
      <c r="BM113" s="55"/>
      <c r="BN113" s="50" t="n">
        <v>19</v>
      </c>
      <c r="BO113" s="50" t="n">
        <v>20</v>
      </c>
      <c r="BP113" s="49" t="n">
        <v>2016.52</v>
      </c>
      <c r="BQ113" s="50" t="n">
        <v>64</v>
      </c>
      <c r="BR113" s="48"/>
      <c r="BS113" s="53" t="n">
        <v>0</v>
      </c>
      <c r="BT113" s="53" t="n">
        <v>113</v>
      </c>
      <c r="BU113" s="48" t="str">
        <f aca="false">IF(U113&lt;&gt;"",UPPER(TRIM(U113)),IF(BX113=1,UPPER(VLOOKUP(T113,Parameter!$I$27:$K$29,2,0)),IF(P113="","LOSE",P113)))</f>
        <v>S63</v>
      </c>
      <c r="BV113" s="50" t="n">
        <f aca="false">IF(BU113="LOSE",1,IF(N(V113)&gt;0,V113,IF(BX113=1,MAX(1,N(VLOOKUP(T113,Parameter!$I$27:$K$29,3,0)),H113,N(N113)),IF(N(Q113)&gt;0,Q113,MAX(1,H113)))))</f>
        <v>76</v>
      </c>
      <c r="BW113" s="53" t="n">
        <f aca="false">IF(BU113="LOSE",1,0)</f>
        <v>0</v>
      </c>
      <c r="BX113" s="53" t="n">
        <f aca="false">IF(AND(U113="",OR(P113="",P113="LOSE"),T113&lt;&gt;"",N(S113)&lt;=0,ISNUMBER(MATCH(T113,Parameter!$I$27:$I$29,0))),1,0)</f>
        <v>0</v>
      </c>
      <c r="BY113" s="53" t="n">
        <f aca="false">IF(CL113&gt;0,INDEX(Parameter!$H$5:$H$7,W113)/INDEX(Parameter!$E$5:$E$7,W113),IF(AND(BW113=0,N(IFERROR(VLOOKUP(BU113,'Gebinde-Kategorie'!$A$5:$N$45,14,0),0))&gt;0),VLOOKUP(BU113,'Gebinde-Kategorie'!$A$5:$N$45,14,0)*10+Parameter!$M$23,Parameter!$M$24))</f>
        <v>345</v>
      </c>
      <c r="BZ113" s="48" t="str">
        <f aca="false">IF(AND(Parameter!$B$19="Ja",E113&lt;&gt;"",ISNUMBER(MATCH(E113,Parameter!$I$35:$I$52,0))),VLOOKUP(E113,Parameter!$I$35:$J$52,2,0),IFERROR(VLOOKUP(D113,Parameter!$A$35:$C$64,2,0),"Nein"))</f>
        <v>2+3</v>
      </c>
      <c r="CA113" s="52" t="n">
        <f aca="false">IF(BW113=0,0,IF(N(S113)&gt;0,S113,IFERROR(VLOOKUP(D113,Parameter!$A$35:$C$64,3,0)+0,0)))</f>
        <v>0</v>
      </c>
      <c r="CB113" s="48" t="n">
        <f aca="false">IF(AA113&lt;&gt;"",AA113,Z113)</f>
        <v>2</v>
      </c>
      <c r="CC113" s="48" t="str">
        <f aca="false">IF(OR(CB113=1,CB113=2,CB113=3),IF(Parameter!$E$27="Ja","LIFT",IF(CB113=1,"L1","L23")),IF(CB113="Aussen","Aussen","-"))</f>
        <v>LIFT</v>
      </c>
      <c r="CD113" s="59" t="n">
        <f aca="false">IF(N(AB113)&gt;0,AB113,0)</f>
        <v>0</v>
      </c>
      <c r="CE113" s="53" t="n">
        <f aca="false">IF(ISNUMBER(AE113),1,0)</f>
        <v>0</v>
      </c>
      <c r="CF113" s="50" t="n">
        <f aca="false">N(AE113)</f>
        <v>0</v>
      </c>
      <c r="CG113" s="50" t="n">
        <f aca="false">N(M113)+N(N113)</f>
        <v>45</v>
      </c>
      <c r="CH113" s="50" t="n">
        <f aca="false">ROUNDUP(H113/BV113,0)</f>
        <v>1</v>
      </c>
      <c r="CI113" s="50" t="n">
        <f aca="false">ROUNDUP(CF113/BV113,0)</f>
        <v>0</v>
      </c>
      <c r="CJ113" s="53" t="n">
        <f aca="false">IF(BW113=1,0,IFERROR(VLOOKUP(BU113,'Gebinde-Kategorie'!$A$5:$N$45,5,0)+0,0))</f>
        <v>31</v>
      </c>
      <c r="CK113" s="53" t="n">
        <f aca="false">IFERROR(IF(OR(CB113=1,CB113=2,CB113=3),N(INDEX(Parameter!$I$5:$I$7,CB113)),0),0)</f>
        <v>0</v>
      </c>
      <c r="CL113" s="52" t="n">
        <f aca="false">IF(AND(Parameter!$B$21="Ja",ISNUMBER(W113),N(X113)&gt;0),IFERROR(N(INDEX(Parameter!$L$5:$L$7,W113))*INDEX(Parameter!$E$5:$E$7,W113)*X113/SUMIFS($X$7:$X$1843,$W$7:$W$1843,W113),0),0)</f>
        <v>0</v>
      </c>
    </row>
    <row r="114" customFormat="false" ht="15" hidden="false" customHeight="false" outlineLevel="0" collapsed="false">
      <c r="A114" s="48" t="s">
        <v>443</v>
      </c>
      <c r="B114" s="48" t="s">
        <v>444</v>
      </c>
      <c r="C114" s="48" t="s">
        <v>168</v>
      </c>
      <c r="D114" s="48" t="s">
        <v>188</v>
      </c>
      <c r="E114" s="48" t="s">
        <v>189</v>
      </c>
      <c r="F114" s="48" t="s">
        <v>222</v>
      </c>
      <c r="G114" s="49" t="n">
        <v>107</v>
      </c>
      <c r="H114" s="50" t="n">
        <f aca="false">MAX(0,IF(AND(Parameter!$B$21="Ja",ISNUMBER(Y114)),Y114,IF(Parameter!$B$20="Jahresanfang 2025 + Export",BO114+BN114,BN114)))</f>
        <v>25</v>
      </c>
      <c r="I114" s="50" t="n">
        <f aca="false">H114*G114</f>
        <v>2675</v>
      </c>
      <c r="J114" s="50" t="n">
        <f aca="false">BQ114*Parameter!$B$18</f>
        <v>59</v>
      </c>
      <c r="K114" s="51" t="n">
        <v>18.5</v>
      </c>
      <c r="L114" s="52" t="n">
        <v>3.18918918918919</v>
      </c>
      <c r="M114" s="50" t="n">
        <v>2</v>
      </c>
      <c r="N114" s="50" t="n">
        <v>35</v>
      </c>
      <c r="O114" s="53" t="n">
        <v>14</v>
      </c>
      <c r="P114" s="48" t="s">
        <v>237</v>
      </c>
      <c r="Q114" s="50" t="n">
        <v>18</v>
      </c>
      <c r="R114" s="53" t="n">
        <f aca="false">IF(BW114=1,0,IFERROR(VLOOKUP(BU114,'Gebinde-Kategorie'!$A$5:$N$45,13,0)+0,0))</f>
        <v>26</v>
      </c>
      <c r="S114" s="54"/>
      <c r="T114" s="55"/>
      <c r="U114" s="55"/>
      <c r="V114" s="55"/>
      <c r="W114" s="48"/>
      <c r="X114" s="50"/>
      <c r="Y114" s="50"/>
      <c r="Z114" s="48" t="n">
        <f aca="false">IF(A114="","",IF(AND(Parameter!$B$21="Ja",ISNUMBER(W114)),W114,IF(BZ114="2+3",IF(ISNUMBER(SEARCH("grosser Artikel",BR114)),2,IFERROR(VLOOKUP(BU114,Parameter!$F$35:$G$64,2,0),2)),IF(OR(BZ114="Nein",BZ114=""),"-",BZ114))))</f>
        <v>3</v>
      </c>
      <c r="AA114" s="55"/>
      <c r="AB114" s="56"/>
      <c r="AC114" s="50" t="n">
        <f aca="false">AT114</f>
        <v>54</v>
      </c>
      <c r="AD114" s="50" t="n">
        <f aca="false">MAX(AT114,H114)</f>
        <v>54</v>
      </c>
      <c r="AE114" s="57"/>
      <c r="AF114" s="50" t="n">
        <f aca="false">IF(LEFT(Cockpit!$C$5,1)="A",H114,IF(CE114=1,CF114,IF(LEFT(Cockpit!$C$5,1)="B",AK114,MAX(AK114,H114))))</f>
        <v>25</v>
      </c>
      <c r="AG114" s="50" t="n">
        <f aca="false">IF(BW114=1,0,ROUNDUP(AF114/BV114,0))</f>
        <v>2</v>
      </c>
      <c r="AH114" s="52" t="n">
        <f aca="false">IF(CL114&gt;0,CL114*MAX(1,AF114/X114),IF(BW114=1,IF(AF114&lt;=0,0,CA114*MAX(1,IF(H114&gt;0,AF114/H114,1))),IF(R114&gt;0,AG114/R114,0))/MAX(0.1,N(Parameter!$M$21)))</f>
        <v>0.0769230769230769</v>
      </c>
      <c r="AI114" s="50" t="n">
        <f aca="false">AH114*BY114</f>
        <v>18.8461538461538</v>
      </c>
      <c r="AJ114" s="50" t="n">
        <f aca="false">AF114*G114</f>
        <v>2675</v>
      </c>
      <c r="AK114" s="50" t="n">
        <f aca="false">ROUNDUP(MAX(J114/IF(CD114&gt;0,CD114,MAX(0.1,N(Cockpit!$C$6))),CG114)/BV114,0)*BV114</f>
        <v>54</v>
      </c>
      <c r="AL114" s="51" t="n">
        <f aca="false">IF(AI114&gt;0,J114/AI114,-1)</f>
        <v>3.13061224489796</v>
      </c>
      <c r="AM114" s="51" t="n">
        <f aca="false">IF(AND(OR(CC114="L1",CC114="L23",CC114="LIFT"),AI114&gt;0),SUMIFS($AI$7:$AI$1843,$CC$7:$CC$1843,CC114,$AL$7:$AL$1843,"&gt;"&amp;AL114)+SUMIFS($AI$7:$AI$1843,$CC$7:$CC$1843,CC114,$AL$7:$AL$1843,AL114,$BT$7:$BT$1843,"&lt;="&amp;BT114),"")</f>
        <v>4993.96932234432</v>
      </c>
      <c r="AN114" s="58" t="n">
        <f aca="false">IF(AM114="",0,MAX(0,MIN(1,(IF(CC114="L1",Parameter!$H$5,IF(CC114="L23",Parameter!$H$6+Parameter!$H$7,Parameter!$H$5+Parameter!$H$6+Parameter!$H$7))-(AM114-AI114))/AI114)))</f>
        <v>1</v>
      </c>
      <c r="AO114" s="50" t="n">
        <f aca="false">IF(LEFT(Cockpit!$I$5,1)="A",H114,IF(CE114=1,CF114,IF(LEFT(Cockpit!$I$5,1)="B",AT114,MAX(AT114,H114))))</f>
        <v>54</v>
      </c>
      <c r="AP114" s="50" t="n">
        <f aca="false">IF(BW114=1,0,ROUNDUP(AO114/BV114,0))</f>
        <v>3</v>
      </c>
      <c r="AQ114" s="52" t="n">
        <f aca="false">IF(CL114&gt;0,CL114*MAX(1,AO114/X114),IF(BW114=1,IF(AO114&lt;=0,0,CA114*MAX(1,IF(H114&gt;0,AO114/H114,1))),IF(R114&gt;0,AP114/R114,0))/MAX(0.1,N(Parameter!$M$21)))</f>
        <v>0.115384615384615</v>
      </c>
      <c r="AR114" s="50" t="n">
        <f aca="false">AQ114*BY114</f>
        <v>28.2692307692308</v>
      </c>
      <c r="AS114" s="50" t="n">
        <f aca="false">AO114*G114</f>
        <v>5778</v>
      </c>
      <c r="AT114" s="50" t="n">
        <f aca="false">ROUNDUP(MAX(J114/IF(CD114&gt;0,CD114,MAX(0.1,N(Cockpit!$I$6))),CG114)/BV114,0)*BV114</f>
        <v>54</v>
      </c>
      <c r="AU114" s="51" t="n">
        <f aca="false">IF(AR114&gt;0,J114/AR114,-1)</f>
        <v>2.08707482993197</v>
      </c>
      <c r="AV114" s="51" t="n">
        <f aca="false">IF(AND(OR(CC114="L1",CC114="L23",CC114="LIFT"),AR114&gt;0),SUMIFS($AR$7:$AR$1843,$CC$7:$CC$1843,CC114,$AU$7:$AU$1843,"&gt;"&amp;AU114)+SUMIFS($AR$7:$AR$1843,$CC$7:$CC$1843,CC114,$AU$7:$AU$1843,AU114,$BT$7:$BT$1843,"&lt;="&amp;BT114),"")</f>
        <v>7477.48122710623</v>
      </c>
      <c r="AW114" s="58" t="n">
        <f aca="false">IF(AV114="",0,MAX(0,MIN(1,(IF(CC114="L1",Parameter!$H$5,IF(CC114="L23",Parameter!$H$6+Parameter!$H$7,Parameter!$H$5+Parameter!$H$6+Parameter!$H$7))-(AV114-AR114))/AR114)))</f>
        <v>1</v>
      </c>
      <c r="AX114" s="50" t="n">
        <f aca="false">IF(LEFT(Cockpit!$O$5,1)="A",H114,IF(CE114=1,CF114,IF(LEFT(Cockpit!$O$5,1)="B",BC114,MAX(BC114,H114))))</f>
        <v>54</v>
      </c>
      <c r="AY114" s="50" t="n">
        <f aca="false">IF(BW114=1,0,ROUNDUP(AX114/BV114,0))</f>
        <v>3</v>
      </c>
      <c r="AZ114" s="52" t="n">
        <f aca="false">IF(CL114&gt;0,CL114*MAX(1,AX114/X114),IF(BW114=1,IF(AX114&lt;=0,0,CA114*MAX(1,IF(H114&gt;0,AX114/H114,1))),IF(R114&gt;0,AY114/R114,0))/MAX(0.1,N(Parameter!$M$21)))</f>
        <v>0.115384615384615</v>
      </c>
      <c r="BA114" s="50" t="n">
        <f aca="false">AZ114*BY114</f>
        <v>28.2692307692308</v>
      </c>
      <c r="BB114" s="50" t="n">
        <f aca="false">AX114*G114</f>
        <v>5778</v>
      </c>
      <c r="BC114" s="50" t="n">
        <f aca="false">ROUNDUP(MAX(J114/IF(CD114&gt;0,CD114,MAX(0.1,N(Cockpit!$O$6))),CG114)/BV114,0)*BV114</f>
        <v>54</v>
      </c>
      <c r="BD114" s="51" t="n">
        <f aca="false">IF(BA114&gt;0,J114/BA114,-1)</f>
        <v>2.08707482993197</v>
      </c>
      <c r="BE114" s="51" t="n">
        <f aca="false">IF(AND(OR(CC114="L1",CC114="L23",CC114="LIFT"),BA114&gt;0),SUMIFS($BA$7:$BA$1843,$CC$7:$CC$1843,CC114,$BD$7:$BD$1843,"&gt;"&amp;BD114)+SUMIFS($BA$7:$BA$1843,$CC$7:$CC$1843,CC114,$BD$7:$BD$1843,BD114,$BT$7:$BT$1843,"&lt;="&amp;BT114),"")</f>
        <v>7441.88827838828</v>
      </c>
      <c r="BF114" s="58" t="n">
        <f aca="false">IF(BE114="",0,MAX(0,MIN(1,(IF(CC114="L1",Parameter!$H$5,IF(CC114="L23",Parameter!$H$6+Parameter!$H$7,Parameter!$H$5+Parameter!$H$6+Parameter!$H$7))-(BE114-BA114))/BA114)))</f>
        <v>1</v>
      </c>
      <c r="BG114" s="48" t="str">
        <f aca="false">IF(AI114&lt;=0,"",IF(CC114="Aussen","Aussenlager",IF(CC114="-","Nicht im Lift",IF(AN114&gt;=1,"Lift",IF(AN114&lt;=0,"Aussenlager","teilweise")))))</f>
        <v>Lift</v>
      </c>
      <c r="BH114" s="48" t="str">
        <f aca="false">IF(AR114&lt;=0,"",IF(CC114="Aussen","Aussenlager",IF(CC114="-","Nicht im Lift",IF(AW114&gt;=1,"Lift",IF(AW114&lt;=0,"Aussenlager","teilweise")))))</f>
        <v>Lift</v>
      </c>
      <c r="BI114" s="48" t="str">
        <f aca="false">IF(BA114&lt;=0,"",IF(CC114="Aussen","Aussenlager",IF(CC114="-","Nicht im Lift",IF(BF114&gt;=1,"Lift",IF(BF114&lt;=0,"Aussenlager","teilweise")))))</f>
        <v>Lift</v>
      </c>
      <c r="BJ114" s="48" t="str">
        <f aca="false">IF(A114="","",IF(BS114=1,"Neu; ","")&amp;IF(AND(BS114=0,BN114&lt;0),"negativer Bestand (Export "&amp;BN114&amp;"); ","")&amp;IF(J114&lt;=0,"Kein Verbrauch; ","")&amp;IF(CL114&gt;0,"Lift "&amp;W114&amp;" lt. Liftbericht (Fach "&amp;X114&amp;" Stk); ",IF(BX114=1,"Gebinde geschätzt ("&amp;T114&amp;"); ",IF(BW114=1,"Lose – Tablare geschätzt; ","")))&amp;IF(H114&gt;AT114,"Überbestand "&amp;ROUND(H114-AT114,0)&amp;" Stk / CHF "&amp;ROUND((H114-AT114)*G114,0)&amp;"; ","")&amp;IF(AND(CE114=1,CF114&lt;CG114),"MAX &lt; MB+LG; ","")&amp;IF(AND(CK114&gt;0,CJ114*10&gt;CK114),"zu hoch für Tablar; ","")&amp;IF(AND(BS114=0,OR(CE114=1,AA114&lt;&gt;"",U114&lt;&gt;"",V114&lt;&gt;"",AB114&lt;&gt;"")),"manuell übersteuert; ","")&amp;IF(AND(BW114=0,R114=0),"Gebinde unbekannt / Stellmass fehlt; ","")&amp;IF(AND(BW114=0,N(V114)&lt;=0,N(Q114)&lt;=0),"Menge pro Gebinde fehlt (Ist = 1 Gebinde); ","")&amp;BR114)</f>
        <v/>
      </c>
      <c r="BK114" s="48"/>
      <c r="BL114" s="48"/>
      <c r="BM114" s="55"/>
      <c r="BN114" s="50" t="n">
        <v>18</v>
      </c>
      <c r="BO114" s="50" t="n">
        <v>7</v>
      </c>
      <c r="BP114" s="49" t="n">
        <v>1926</v>
      </c>
      <c r="BQ114" s="50" t="n">
        <v>59</v>
      </c>
      <c r="BR114" s="48"/>
      <c r="BS114" s="53" t="n">
        <v>0</v>
      </c>
      <c r="BT114" s="53" t="n">
        <v>114</v>
      </c>
      <c r="BU114" s="48" t="str">
        <f aca="false">IF(U114&lt;&gt;"",UPPER(TRIM(U114)),IF(BX114=1,UPPER(VLOOKUP(T114,Parameter!$I$27:$K$29,2,0)),IF(P114="","LOSE",P114)))</f>
        <v>S52</v>
      </c>
      <c r="BV114" s="50" t="n">
        <f aca="false">IF(BU114="LOSE",1,IF(N(V114)&gt;0,V114,IF(BX114=1,MAX(1,N(VLOOKUP(T114,Parameter!$I$27:$K$29,3,0)),H114,N(N114)),IF(N(Q114)&gt;0,Q114,MAX(1,H114)))))</f>
        <v>18</v>
      </c>
      <c r="BW114" s="53" t="n">
        <f aca="false">IF(BU114="LOSE",1,0)</f>
        <v>0</v>
      </c>
      <c r="BX114" s="53" t="n">
        <f aca="false">IF(AND(U114="",OR(P114="",P114="LOSE"),T114&lt;&gt;"",N(S114)&lt;=0,ISNUMBER(MATCH(T114,Parameter!$I$27:$I$29,0))),1,0)</f>
        <v>0</v>
      </c>
      <c r="BY114" s="53" t="n">
        <f aca="false">IF(CL114&gt;0,INDEX(Parameter!$H$5:$H$7,W114)/INDEX(Parameter!$E$5:$E$7,W114),IF(AND(BW114=0,N(IFERROR(VLOOKUP(BU114,'Gebinde-Kategorie'!$A$5:$N$45,14,0),0))&gt;0),VLOOKUP(BU114,'Gebinde-Kategorie'!$A$5:$N$45,14,0)*10+Parameter!$M$23,Parameter!$M$24))</f>
        <v>245</v>
      </c>
      <c r="BZ114" s="48" t="str">
        <f aca="false">IF(AND(Parameter!$B$19="Ja",E114&lt;&gt;"",ISNUMBER(MATCH(E114,Parameter!$I$35:$I$52,0))),VLOOKUP(E114,Parameter!$I$35:$J$52,2,0),IFERROR(VLOOKUP(D114,Parameter!$A$35:$C$64,2,0),"Nein"))</f>
        <v>2+3</v>
      </c>
      <c r="CA114" s="52" t="n">
        <f aca="false">IF(BW114=0,0,IF(N(S114)&gt;0,S114,IFERROR(VLOOKUP(D114,Parameter!$A$35:$C$64,3,0)+0,0)))</f>
        <v>0</v>
      </c>
      <c r="CB114" s="48" t="n">
        <f aca="false">IF(AA114&lt;&gt;"",AA114,Z114)</f>
        <v>3</v>
      </c>
      <c r="CC114" s="48" t="str">
        <f aca="false">IF(OR(CB114=1,CB114=2,CB114=3),IF(Parameter!$E$27="Ja","LIFT",IF(CB114=1,"L1","L23")),IF(CB114="Aussen","Aussen","-"))</f>
        <v>LIFT</v>
      </c>
      <c r="CD114" s="59" t="n">
        <f aca="false">IF(N(AB114)&gt;0,AB114,0)</f>
        <v>0</v>
      </c>
      <c r="CE114" s="53" t="n">
        <f aca="false">IF(ISNUMBER(AE114),1,0)</f>
        <v>0</v>
      </c>
      <c r="CF114" s="50" t="n">
        <f aca="false">N(AE114)</f>
        <v>0</v>
      </c>
      <c r="CG114" s="50" t="n">
        <f aca="false">N(M114)+N(N114)</f>
        <v>37</v>
      </c>
      <c r="CH114" s="50" t="n">
        <f aca="false">ROUNDUP(H114/BV114,0)</f>
        <v>2</v>
      </c>
      <c r="CI114" s="50" t="n">
        <f aca="false">ROUNDUP(CF114/BV114,0)</f>
        <v>0</v>
      </c>
      <c r="CJ114" s="53" t="n">
        <f aca="false">IF(BW114=1,0,IFERROR(VLOOKUP(BU114,'Gebinde-Kategorie'!$A$5:$N$45,5,0)+0,0))</f>
        <v>21</v>
      </c>
      <c r="CK114" s="53" t="n">
        <f aca="false">IFERROR(IF(OR(CB114=1,CB114=2,CB114=3),N(INDEX(Parameter!$I$5:$I$7,CB114)),0),0)</f>
        <v>0</v>
      </c>
      <c r="CL114" s="52" t="n">
        <f aca="false">IF(AND(Parameter!$B$21="Ja",ISNUMBER(W114),N(X114)&gt;0),IFERROR(N(INDEX(Parameter!$L$5:$L$7,W114))*INDEX(Parameter!$E$5:$E$7,W114)*X114/SUMIFS($X$7:$X$1843,$W$7:$W$1843,W114),0),0)</f>
        <v>0</v>
      </c>
    </row>
    <row r="115" customFormat="false" ht="15" hidden="false" customHeight="false" outlineLevel="0" collapsed="false">
      <c r="A115" s="48" t="s">
        <v>445</v>
      </c>
      <c r="B115" s="48" t="s">
        <v>446</v>
      </c>
      <c r="C115" s="48" t="s">
        <v>168</v>
      </c>
      <c r="D115" s="48" t="s">
        <v>188</v>
      </c>
      <c r="E115" s="48" t="s">
        <v>189</v>
      </c>
      <c r="F115" s="48" t="s">
        <v>222</v>
      </c>
      <c r="G115" s="49" t="n">
        <v>13.66</v>
      </c>
      <c r="H115" s="50" t="n">
        <f aca="false">MAX(0,IF(AND(Parameter!$B$21="Ja",ISNUMBER(Y115)),Y115,IF(Parameter!$B$20="Jahresanfang 2025 + Export",BO115+BN115,BN115)))</f>
        <v>195.1</v>
      </c>
      <c r="I115" s="50" t="n">
        <f aca="false">H115*G115</f>
        <v>2665.066</v>
      </c>
      <c r="J115" s="50" t="n">
        <f aca="false">BQ115*Parameter!$B$18</f>
        <v>447.2</v>
      </c>
      <c r="K115" s="51" t="n">
        <v>62.2</v>
      </c>
      <c r="L115" s="52" t="n">
        <v>7.18971061093248</v>
      </c>
      <c r="M115" s="50" t="n">
        <v>30</v>
      </c>
      <c r="N115" s="50" t="n">
        <v>265</v>
      </c>
      <c r="O115" s="53" t="n">
        <v>21</v>
      </c>
      <c r="P115" s="48" t="s">
        <v>230</v>
      </c>
      <c r="Q115" s="50" t="n">
        <v>91</v>
      </c>
      <c r="R115" s="53" t="n">
        <f aca="false">IF(BW115=1,0,IFERROR(VLOOKUP(BU115,'Gebinde-Kategorie'!$A$5:$N$45,13,0)+0,0))</f>
        <v>12</v>
      </c>
      <c r="S115" s="54"/>
      <c r="T115" s="55"/>
      <c r="U115" s="55"/>
      <c r="V115" s="55"/>
      <c r="W115" s="48"/>
      <c r="X115" s="50"/>
      <c r="Y115" s="50"/>
      <c r="Z115" s="48" t="n">
        <f aca="false">IF(A115="","",IF(AND(Parameter!$B$21="Ja",ISNUMBER(W115)),W115,IF(BZ115="2+3",IF(ISNUMBER(SEARCH("grosser Artikel",BR115)),2,IFERROR(VLOOKUP(BU115,Parameter!$F$35:$G$64,2,0),2)),IF(OR(BZ115="Nein",BZ115=""),"-",BZ115))))</f>
        <v>2</v>
      </c>
      <c r="AA115" s="55"/>
      <c r="AB115" s="56"/>
      <c r="AC115" s="50" t="n">
        <f aca="false">AT115</f>
        <v>364</v>
      </c>
      <c r="AD115" s="50" t="n">
        <f aca="false">MAX(AT115,H115)</f>
        <v>364</v>
      </c>
      <c r="AE115" s="57"/>
      <c r="AF115" s="50" t="n">
        <f aca="false">IF(LEFT(Cockpit!$C$5,1)="A",H115,IF(CE115=1,CF115,IF(LEFT(Cockpit!$C$5,1)="B",AK115,MAX(AK115,H115))))</f>
        <v>195.1</v>
      </c>
      <c r="AG115" s="50" t="n">
        <f aca="false">IF(BW115=1,0,ROUNDUP(AF115/BV115,0))</f>
        <v>3</v>
      </c>
      <c r="AH115" s="52" t="n">
        <f aca="false">IF(CL115&gt;0,CL115*MAX(1,AF115/X115),IF(BW115=1,IF(AF115&lt;=0,0,CA115*MAX(1,IF(H115&gt;0,AF115/H115,1))),IF(R115&gt;0,AG115/R115,0))/MAX(0.1,N(Parameter!$M$21)))</f>
        <v>0.25</v>
      </c>
      <c r="AI115" s="50" t="n">
        <f aca="false">AH115*BY115</f>
        <v>86.25</v>
      </c>
      <c r="AJ115" s="50" t="n">
        <f aca="false">AF115*G115</f>
        <v>2665.066</v>
      </c>
      <c r="AK115" s="50" t="n">
        <f aca="false">ROUNDUP(MAX(J115/IF(CD115&gt;0,CD115,MAX(0.1,N(Cockpit!$C$6))),CG115)/BV115,0)*BV115</f>
        <v>364</v>
      </c>
      <c r="AL115" s="51" t="n">
        <f aca="false">IF(AI115&gt;0,J115/AI115,-1)</f>
        <v>5.18492753623188</v>
      </c>
      <c r="AM115" s="51" t="n">
        <f aca="false">IF(AND(OR(CC115="L1",CC115="L23",CC115="LIFT"),AI115&gt;0),SUMIFS($AI$7:$AI$1843,$CC$7:$CC$1843,CC115,$AL$7:$AL$1843,"&gt;"&amp;AL115)+SUMIFS($AI$7:$AI$1843,$CC$7:$CC$1843,CC115,$AL$7:$AL$1843,AL115,$BT$7:$BT$1843,"&lt;="&amp;BT115),"")</f>
        <v>3819.89331501832</v>
      </c>
      <c r="AN115" s="58" t="n">
        <f aca="false">IF(AM115="",0,MAX(0,MIN(1,(IF(CC115="L1",Parameter!$H$5,IF(CC115="L23",Parameter!$H$6+Parameter!$H$7,Parameter!$H$5+Parameter!$H$6+Parameter!$H$7))-(AM115-AI115))/AI115)))</f>
        <v>1</v>
      </c>
      <c r="AO115" s="50" t="n">
        <f aca="false">IF(LEFT(Cockpit!$I$5,1)="A",H115,IF(CE115=1,CF115,IF(LEFT(Cockpit!$I$5,1)="B",AT115,MAX(AT115,H115))))</f>
        <v>364</v>
      </c>
      <c r="AP115" s="50" t="n">
        <f aca="false">IF(BW115=1,0,ROUNDUP(AO115/BV115,0))</f>
        <v>4</v>
      </c>
      <c r="AQ115" s="52" t="n">
        <f aca="false">IF(CL115&gt;0,CL115*MAX(1,AO115/X115),IF(BW115=1,IF(AO115&lt;=0,0,CA115*MAX(1,IF(H115&gt;0,AO115/H115,1))),IF(R115&gt;0,AP115/R115,0))/MAX(0.1,N(Parameter!$M$21)))</f>
        <v>0.333333333333333</v>
      </c>
      <c r="AR115" s="50" t="n">
        <f aca="false">AQ115*BY115</f>
        <v>115</v>
      </c>
      <c r="AS115" s="50" t="n">
        <f aca="false">AO115*G115</f>
        <v>4972.24</v>
      </c>
      <c r="AT115" s="50" t="n">
        <f aca="false">ROUNDUP(MAX(J115/IF(CD115&gt;0,CD115,MAX(0.1,N(Cockpit!$I$6))),CG115)/BV115,0)*BV115</f>
        <v>364</v>
      </c>
      <c r="AU115" s="51" t="n">
        <f aca="false">IF(AR115&gt;0,J115/AR115,-1)</f>
        <v>3.88869565217391</v>
      </c>
      <c r="AV115" s="51" t="n">
        <f aca="false">IF(AND(OR(CC115="L1",CC115="L23",CC115="LIFT"),AR115&gt;0),SUMIFS($AR$7:$AR$1843,$CC$7:$CC$1843,CC115,$AU$7:$AU$1843,"&gt;"&amp;AU115)+SUMIFS($AR$7:$AR$1843,$CC$7:$CC$1843,CC115,$AU$7:$AU$1843,AU115,$BT$7:$BT$1843,"&lt;="&amp;BT115),"")</f>
        <v>5851.14972527473</v>
      </c>
      <c r="AW115" s="58" t="n">
        <f aca="false">IF(AV115="",0,MAX(0,MIN(1,(IF(CC115="L1",Parameter!$H$5,IF(CC115="L23",Parameter!$H$6+Parameter!$H$7,Parameter!$H$5+Parameter!$H$6+Parameter!$H$7))-(AV115-AR115))/AR115)))</f>
        <v>1</v>
      </c>
      <c r="AX115" s="50" t="n">
        <f aca="false">IF(LEFT(Cockpit!$O$5,1)="A",H115,IF(CE115=1,CF115,IF(LEFT(Cockpit!$O$5,1)="B",BC115,MAX(BC115,H115))))</f>
        <v>364</v>
      </c>
      <c r="AY115" s="50" t="n">
        <f aca="false">IF(BW115=1,0,ROUNDUP(AX115/BV115,0))</f>
        <v>4</v>
      </c>
      <c r="AZ115" s="52" t="n">
        <f aca="false">IF(CL115&gt;0,CL115*MAX(1,AX115/X115),IF(BW115=1,IF(AX115&lt;=0,0,CA115*MAX(1,IF(H115&gt;0,AX115/H115,1))),IF(R115&gt;0,AY115/R115,0))/MAX(0.1,N(Parameter!$M$21)))</f>
        <v>0.333333333333333</v>
      </c>
      <c r="BA115" s="50" t="n">
        <f aca="false">AZ115*BY115</f>
        <v>115</v>
      </c>
      <c r="BB115" s="50" t="n">
        <f aca="false">AX115*G115</f>
        <v>4972.24</v>
      </c>
      <c r="BC115" s="50" t="n">
        <f aca="false">ROUNDUP(MAX(J115/IF(CD115&gt;0,CD115,MAX(0.1,N(Cockpit!$O$6))),CG115)/BV115,0)*BV115</f>
        <v>364</v>
      </c>
      <c r="BD115" s="51" t="n">
        <f aca="false">IF(BA115&gt;0,J115/BA115,-1)</f>
        <v>3.88869565217391</v>
      </c>
      <c r="BE115" s="51" t="n">
        <f aca="false">IF(AND(OR(CC115="L1",CC115="L23",CC115="LIFT"),BA115&gt;0),SUMIFS($BA$7:$BA$1843,$CC$7:$CC$1843,CC115,$BD$7:$BD$1843,"&gt;"&amp;BD115)+SUMIFS($BA$7:$BA$1843,$CC$7:$CC$1843,CC115,$BD$7:$BD$1843,BD115,$BT$7:$BT$1843,"&lt;="&amp;BT115),"")</f>
        <v>5617.35164835165</v>
      </c>
      <c r="BF115" s="58" t="n">
        <f aca="false">IF(BE115="",0,MAX(0,MIN(1,(IF(CC115="L1",Parameter!$H$5,IF(CC115="L23",Parameter!$H$6+Parameter!$H$7,Parameter!$H$5+Parameter!$H$6+Parameter!$H$7))-(BE115-BA115))/BA115)))</f>
        <v>1</v>
      </c>
      <c r="BG115" s="48" t="str">
        <f aca="false">IF(AI115&lt;=0,"",IF(CC115="Aussen","Aussenlager",IF(CC115="-","Nicht im Lift",IF(AN115&gt;=1,"Lift",IF(AN115&lt;=0,"Aussenlager","teilweise")))))</f>
        <v>Lift</v>
      </c>
      <c r="BH115" s="48" t="str">
        <f aca="false">IF(AR115&lt;=0,"",IF(CC115="Aussen","Aussenlager",IF(CC115="-","Nicht im Lift",IF(AW115&gt;=1,"Lift",IF(AW115&lt;=0,"Aussenlager","teilweise")))))</f>
        <v>Lift</v>
      </c>
      <c r="BI115" s="48" t="str">
        <f aca="false">IF(BA115&lt;=0,"",IF(CC115="Aussen","Aussenlager",IF(CC115="-","Nicht im Lift",IF(BF115&gt;=1,"Lift",IF(BF115&lt;=0,"Aussenlager","teilweise")))))</f>
        <v>Lift</v>
      </c>
      <c r="BJ115" s="48" t="str">
        <f aca="false">IF(A115="","",IF(BS115=1,"Neu; ","")&amp;IF(AND(BS115=0,BN115&lt;0),"negativer Bestand (Export "&amp;BN115&amp;"); ","")&amp;IF(J115&lt;=0,"Kein Verbrauch; ","")&amp;IF(CL115&gt;0,"Lift "&amp;W115&amp;" lt. Liftbericht (Fach "&amp;X115&amp;" Stk); ",IF(BX115=1,"Gebinde geschätzt ("&amp;T115&amp;"); ",IF(BW115=1,"Lose – Tablare geschätzt; ","")))&amp;IF(H115&gt;AT115,"Überbestand "&amp;ROUND(H115-AT115,0)&amp;" Stk / CHF "&amp;ROUND((H115-AT115)*G115,0)&amp;"; ","")&amp;IF(AND(CE115=1,CF115&lt;CG115),"MAX &lt; MB+LG; ","")&amp;IF(AND(CK115&gt;0,CJ115*10&gt;CK115),"zu hoch für Tablar; ","")&amp;IF(AND(BS115=0,OR(CE115=1,AA115&lt;&gt;"",U115&lt;&gt;"",V115&lt;&gt;"",AB115&lt;&gt;"")),"manuell übersteuert; ","")&amp;IF(AND(BW115=0,R115=0),"Gebinde unbekannt / Stellmass fehlt; ","")&amp;IF(AND(BW115=0,N(V115)&lt;=0,N(Q115)&lt;=0),"Menge pro Gebinde fehlt (Ist = 1 Gebinde); ","")&amp;BR115)</f>
        <v/>
      </c>
      <c r="BK115" s="48"/>
      <c r="BL115" s="48"/>
      <c r="BM115" s="55"/>
      <c r="BN115" s="50" t="n">
        <v>147.8</v>
      </c>
      <c r="BO115" s="50" t="n">
        <v>47.3</v>
      </c>
      <c r="BP115" s="49" t="n">
        <v>1915.36</v>
      </c>
      <c r="BQ115" s="50" t="n">
        <v>447.2</v>
      </c>
      <c r="BR115" s="48"/>
      <c r="BS115" s="53" t="n">
        <v>0</v>
      </c>
      <c r="BT115" s="53" t="n">
        <v>115</v>
      </c>
      <c r="BU115" s="48" t="str">
        <f aca="false">IF(U115&lt;&gt;"",UPPER(TRIM(U115)),IF(BX115=1,UPPER(VLOOKUP(T115,Parameter!$I$27:$K$29,2,0)),IF(P115="","LOSE",P115)))</f>
        <v>S63</v>
      </c>
      <c r="BV115" s="50" t="n">
        <f aca="false">IF(BU115="LOSE",1,IF(N(V115)&gt;0,V115,IF(BX115=1,MAX(1,N(VLOOKUP(T115,Parameter!$I$27:$K$29,3,0)),H115,N(N115)),IF(N(Q115)&gt;0,Q115,MAX(1,H115)))))</f>
        <v>91</v>
      </c>
      <c r="BW115" s="53" t="n">
        <f aca="false">IF(BU115="LOSE",1,0)</f>
        <v>0</v>
      </c>
      <c r="BX115" s="53" t="n">
        <f aca="false">IF(AND(U115="",OR(P115="",P115="LOSE"),T115&lt;&gt;"",N(S115)&lt;=0,ISNUMBER(MATCH(T115,Parameter!$I$27:$I$29,0))),1,0)</f>
        <v>0</v>
      </c>
      <c r="BY115" s="53" t="n">
        <f aca="false">IF(CL115&gt;0,INDEX(Parameter!$H$5:$H$7,W115)/INDEX(Parameter!$E$5:$E$7,W115),IF(AND(BW115=0,N(IFERROR(VLOOKUP(BU115,'Gebinde-Kategorie'!$A$5:$N$45,14,0),0))&gt;0),VLOOKUP(BU115,'Gebinde-Kategorie'!$A$5:$N$45,14,0)*10+Parameter!$M$23,Parameter!$M$24))</f>
        <v>345</v>
      </c>
      <c r="BZ115" s="48" t="str">
        <f aca="false">IF(AND(Parameter!$B$19="Ja",E115&lt;&gt;"",ISNUMBER(MATCH(E115,Parameter!$I$35:$I$52,0))),VLOOKUP(E115,Parameter!$I$35:$J$52,2,0),IFERROR(VLOOKUP(D115,Parameter!$A$35:$C$64,2,0),"Nein"))</f>
        <v>2+3</v>
      </c>
      <c r="CA115" s="52" t="n">
        <f aca="false">IF(BW115=0,0,IF(N(S115)&gt;0,S115,IFERROR(VLOOKUP(D115,Parameter!$A$35:$C$64,3,0)+0,0)))</f>
        <v>0</v>
      </c>
      <c r="CB115" s="48" t="n">
        <f aca="false">IF(AA115&lt;&gt;"",AA115,Z115)</f>
        <v>2</v>
      </c>
      <c r="CC115" s="48" t="str">
        <f aca="false">IF(OR(CB115=1,CB115=2,CB115=3),IF(Parameter!$E$27="Ja","LIFT",IF(CB115=1,"L1","L23")),IF(CB115="Aussen","Aussen","-"))</f>
        <v>LIFT</v>
      </c>
      <c r="CD115" s="59" t="n">
        <f aca="false">IF(N(AB115)&gt;0,AB115,0)</f>
        <v>0</v>
      </c>
      <c r="CE115" s="53" t="n">
        <f aca="false">IF(ISNUMBER(AE115),1,0)</f>
        <v>0</v>
      </c>
      <c r="CF115" s="50" t="n">
        <f aca="false">N(AE115)</f>
        <v>0</v>
      </c>
      <c r="CG115" s="50" t="n">
        <f aca="false">N(M115)+N(N115)</f>
        <v>295</v>
      </c>
      <c r="CH115" s="50" t="n">
        <f aca="false">ROUNDUP(H115/BV115,0)</f>
        <v>3</v>
      </c>
      <c r="CI115" s="50" t="n">
        <f aca="false">ROUNDUP(CF115/BV115,0)</f>
        <v>0</v>
      </c>
      <c r="CJ115" s="53" t="n">
        <f aca="false">IF(BW115=1,0,IFERROR(VLOOKUP(BU115,'Gebinde-Kategorie'!$A$5:$N$45,5,0)+0,0))</f>
        <v>31</v>
      </c>
      <c r="CK115" s="53" t="n">
        <f aca="false">IFERROR(IF(OR(CB115=1,CB115=2,CB115=3),N(INDEX(Parameter!$I$5:$I$7,CB115)),0),0)</f>
        <v>0</v>
      </c>
      <c r="CL115" s="52" t="n">
        <f aca="false">IF(AND(Parameter!$B$21="Ja",ISNUMBER(W115),N(X115)&gt;0),IFERROR(N(INDEX(Parameter!$L$5:$L$7,W115))*INDEX(Parameter!$E$5:$E$7,W115)*X115/SUMIFS($X$7:$X$1843,$W$7:$W$1843,W115),0),0)</f>
        <v>0</v>
      </c>
    </row>
    <row r="116" customFormat="false" ht="15" hidden="false" customHeight="false" outlineLevel="0" collapsed="false">
      <c r="A116" s="48" t="s">
        <v>447</v>
      </c>
      <c r="B116" s="48" t="s">
        <v>378</v>
      </c>
      <c r="C116" s="48" t="s">
        <v>168</v>
      </c>
      <c r="D116" s="48" t="s">
        <v>188</v>
      </c>
      <c r="E116" s="48" t="s">
        <v>189</v>
      </c>
      <c r="F116" s="48" t="s">
        <v>222</v>
      </c>
      <c r="G116" s="49" t="n">
        <v>9.17</v>
      </c>
      <c r="H116" s="50" t="n">
        <f aca="false">MAX(0,IF(AND(Parameter!$B$21="Ja",ISNUMBER(Y116)),Y116,IF(Parameter!$B$20="Jahresanfang 2025 + Export",BO116+BN116,BN116)))</f>
        <v>266</v>
      </c>
      <c r="I116" s="50" t="n">
        <f aca="false">H116*G116</f>
        <v>2439.22</v>
      </c>
      <c r="J116" s="50" t="n">
        <f aca="false">BQ116*Parameter!$B$18</f>
        <v>309</v>
      </c>
      <c r="K116" s="51" t="n">
        <v>66</v>
      </c>
      <c r="L116" s="52" t="n">
        <v>4.68181818181818</v>
      </c>
      <c r="M116" s="50" t="n">
        <v>30</v>
      </c>
      <c r="N116" s="50" t="n">
        <v>265</v>
      </c>
      <c r="O116" s="53" t="n">
        <v>30</v>
      </c>
      <c r="P116" s="48" t="s">
        <v>405</v>
      </c>
      <c r="Q116" s="50" t="n">
        <v>58</v>
      </c>
      <c r="R116" s="53" t="n">
        <f aca="false">IF(BW116=1,0,IFERROR(VLOOKUP(BU116,'Gebinde-Kategorie'!$A$5:$N$45,13,0)+0,0))</f>
        <v>280</v>
      </c>
      <c r="S116" s="54"/>
      <c r="T116" s="55"/>
      <c r="U116" s="55"/>
      <c r="V116" s="55"/>
      <c r="W116" s="48"/>
      <c r="X116" s="50"/>
      <c r="Y116" s="50"/>
      <c r="Z116" s="48" t="n">
        <f aca="false">IF(A116="","",IF(AND(Parameter!$B$21="Ja",ISNUMBER(W116)),W116,IF(BZ116="2+3",IF(ISNUMBER(SEARCH("grosser Artikel",BR116)),2,IFERROR(VLOOKUP(BU116,Parameter!$F$35:$G$64,2,0),2)),IF(OR(BZ116="Nein",BZ116=""),"-",BZ116))))</f>
        <v>3</v>
      </c>
      <c r="AA116" s="55"/>
      <c r="AB116" s="56"/>
      <c r="AC116" s="50" t="n">
        <f aca="false">AT116</f>
        <v>348</v>
      </c>
      <c r="AD116" s="50" t="n">
        <f aca="false">MAX(AT116,H116)</f>
        <v>348</v>
      </c>
      <c r="AE116" s="57"/>
      <c r="AF116" s="50" t="n">
        <f aca="false">IF(LEFT(Cockpit!$C$5,1)="A",H116,IF(CE116=1,CF116,IF(LEFT(Cockpit!$C$5,1)="B",AK116,MAX(AK116,H116))))</f>
        <v>266</v>
      </c>
      <c r="AG116" s="50" t="n">
        <f aca="false">IF(BW116=1,0,ROUNDUP(AF116/BV116,0))</f>
        <v>5</v>
      </c>
      <c r="AH116" s="52" t="n">
        <f aca="false">IF(CL116&gt;0,CL116*MAX(1,AF116/X116),IF(BW116=1,IF(AF116&lt;=0,0,CA116*MAX(1,IF(H116&gt;0,AF116/H116,1))),IF(R116&gt;0,AG116/R116,0))/MAX(0.1,N(Parameter!$M$21)))</f>
        <v>0.0178571428571429</v>
      </c>
      <c r="AI116" s="50" t="n">
        <f aca="false">AH116*BY116</f>
        <v>2.76785714285714</v>
      </c>
      <c r="AJ116" s="50" t="n">
        <f aca="false">AF116*G116</f>
        <v>2439.22</v>
      </c>
      <c r="AK116" s="50" t="n">
        <f aca="false">ROUNDUP(MAX(J116/IF(CD116&gt;0,CD116,MAX(0.1,N(Cockpit!$C$6))),CG116)/BV116,0)*BV116</f>
        <v>348</v>
      </c>
      <c r="AL116" s="51" t="n">
        <f aca="false">IF(AI116&gt;0,J116/AI116,-1)</f>
        <v>111.638709677419</v>
      </c>
      <c r="AM116" s="51" t="n">
        <f aca="false">IF(AND(OR(CC116="L1",CC116="L23",CC116="LIFT"),AI116&gt;0),SUMIFS($AI$7:$AI$1843,$CC$7:$CC$1843,CC116,$AL$7:$AL$1843,"&gt;"&amp;AL116)+SUMIFS($AI$7:$AI$1843,$CC$7:$CC$1843,CC116,$AL$7:$AL$1843,AL116,$BT$7:$BT$1843,"&lt;="&amp;BT116),"")</f>
        <v>749.580586080586</v>
      </c>
      <c r="AN116" s="58" t="n">
        <f aca="false">IF(AM116="",0,MAX(0,MIN(1,(IF(CC116="L1",Parameter!$H$5,IF(CC116="L23",Parameter!$H$6+Parameter!$H$7,Parameter!$H$5+Parameter!$H$6+Parameter!$H$7))-(AM116-AI116))/AI116)))</f>
        <v>1</v>
      </c>
      <c r="AO116" s="50" t="n">
        <f aca="false">IF(LEFT(Cockpit!$I$5,1)="A",H116,IF(CE116=1,CF116,IF(LEFT(Cockpit!$I$5,1)="B",AT116,MAX(AT116,H116))))</f>
        <v>348</v>
      </c>
      <c r="AP116" s="50" t="n">
        <f aca="false">IF(BW116=1,0,ROUNDUP(AO116/BV116,0))</f>
        <v>6</v>
      </c>
      <c r="AQ116" s="52" t="n">
        <f aca="false">IF(CL116&gt;0,CL116*MAX(1,AO116/X116),IF(BW116=1,IF(AO116&lt;=0,0,CA116*MAX(1,IF(H116&gt;0,AO116/H116,1))),IF(R116&gt;0,AP116/R116,0))/MAX(0.1,N(Parameter!$M$21)))</f>
        <v>0.0214285714285714</v>
      </c>
      <c r="AR116" s="50" t="n">
        <f aca="false">AQ116*BY116</f>
        <v>3.32142857142857</v>
      </c>
      <c r="AS116" s="50" t="n">
        <f aca="false">AO116*G116</f>
        <v>3191.16</v>
      </c>
      <c r="AT116" s="50" t="n">
        <f aca="false">ROUNDUP(MAX(J116/IF(CD116&gt;0,CD116,MAX(0.1,N(Cockpit!$I$6))),CG116)/BV116,0)*BV116</f>
        <v>348</v>
      </c>
      <c r="AU116" s="51" t="n">
        <f aca="false">IF(AR116&gt;0,J116/AR116,-1)</f>
        <v>93.0322580645161</v>
      </c>
      <c r="AV116" s="51" t="n">
        <f aca="false">IF(AND(OR(CC116="L1",CC116="L23",CC116="LIFT"),AR116&gt;0),SUMIFS($AR$7:$AR$1843,$CC$7:$CC$1843,CC116,$AU$7:$AU$1843,"&gt;"&amp;AU116)+SUMIFS($AR$7:$AR$1843,$CC$7:$CC$1843,CC116,$AU$7:$AU$1843,AU116,$BT$7:$BT$1843,"&lt;="&amp;BT116),"")</f>
        <v>923.912545787546</v>
      </c>
      <c r="AW116" s="58" t="n">
        <f aca="false">IF(AV116="",0,MAX(0,MIN(1,(IF(CC116="L1",Parameter!$H$5,IF(CC116="L23",Parameter!$H$6+Parameter!$H$7,Parameter!$H$5+Parameter!$H$6+Parameter!$H$7))-(AV116-AR116))/AR116)))</f>
        <v>1</v>
      </c>
      <c r="AX116" s="50" t="n">
        <f aca="false">IF(LEFT(Cockpit!$O$5,1)="A",H116,IF(CE116=1,CF116,IF(LEFT(Cockpit!$O$5,1)="B",BC116,MAX(BC116,H116))))</f>
        <v>348</v>
      </c>
      <c r="AY116" s="50" t="n">
        <f aca="false">IF(BW116=1,0,ROUNDUP(AX116/BV116,0))</f>
        <v>6</v>
      </c>
      <c r="AZ116" s="52" t="n">
        <f aca="false">IF(CL116&gt;0,CL116*MAX(1,AX116/X116),IF(BW116=1,IF(AX116&lt;=0,0,CA116*MAX(1,IF(H116&gt;0,AX116/H116,1))),IF(R116&gt;0,AY116/R116,0))/MAX(0.1,N(Parameter!$M$21)))</f>
        <v>0.0214285714285714</v>
      </c>
      <c r="BA116" s="50" t="n">
        <f aca="false">AZ116*BY116</f>
        <v>3.32142857142857</v>
      </c>
      <c r="BB116" s="50" t="n">
        <f aca="false">AX116*G116</f>
        <v>3191.16</v>
      </c>
      <c r="BC116" s="50" t="n">
        <f aca="false">ROUNDUP(MAX(J116/IF(CD116&gt;0,CD116,MAX(0.1,N(Cockpit!$O$6))),CG116)/BV116,0)*BV116</f>
        <v>348</v>
      </c>
      <c r="BD116" s="51" t="n">
        <f aca="false">IF(BA116&gt;0,J116/BA116,-1)</f>
        <v>93.0322580645161</v>
      </c>
      <c r="BE116" s="51" t="n">
        <f aca="false">IF(AND(OR(CC116="L1",CC116="L23",CC116="LIFT"),BA116&gt;0),SUMIFS($BA$7:$BA$1843,$CC$7:$CC$1843,CC116,$BD$7:$BD$1843,"&gt;"&amp;BD116)+SUMIFS($BA$7:$BA$1843,$CC$7:$CC$1843,CC116,$BD$7:$BD$1843,BD116,$BT$7:$BT$1843,"&lt;="&amp;BT116),"")</f>
        <v>1031.33241758242</v>
      </c>
      <c r="BF116" s="58" t="n">
        <f aca="false">IF(BE116="",0,MAX(0,MIN(1,(IF(CC116="L1",Parameter!$H$5,IF(CC116="L23",Parameter!$H$6+Parameter!$H$7,Parameter!$H$5+Parameter!$H$6+Parameter!$H$7))-(BE116-BA116))/BA116)))</f>
        <v>1</v>
      </c>
      <c r="BG116" s="48" t="str">
        <f aca="false">IF(AI116&lt;=0,"",IF(CC116="Aussen","Aussenlager",IF(CC116="-","Nicht im Lift",IF(AN116&gt;=1,"Lift",IF(AN116&lt;=0,"Aussenlager","teilweise")))))</f>
        <v>Lift</v>
      </c>
      <c r="BH116" s="48" t="str">
        <f aca="false">IF(AR116&lt;=0,"",IF(CC116="Aussen","Aussenlager",IF(CC116="-","Nicht im Lift",IF(AW116&gt;=1,"Lift",IF(AW116&lt;=0,"Aussenlager","teilweise")))))</f>
        <v>Lift</v>
      </c>
      <c r="BI116" s="48" t="str">
        <f aca="false">IF(BA116&lt;=0,"",IF(CC116="Aussen","Aussenlager",IF(CC116="-","Nicht im Lift",IF(BF116&gt;=1,"Lift",IF(BF116&lt;=0,"Aussenlager","teilweise")))))</f>
        <v>Lift</v>
      </c>
      <c r="BJ116" s="48" t="str">
        <f aca="false">IF(A116="","",IF(BS116=1,"Neu; ","")&amp;IF(AND(BS116=0,BN116&lt;0),"negativer Bestand (Export "&amp;BN116&amp;"); ","")&amp;IF(J116&lt;=0,"Kein Verbrauch; ","")&amp;IF(CL116&gt;0,"Lift "&amp;W116&amp;" lt. Liftbericht (Fach "&amp;X116&amp;" Stk); ",IF(BX116=1,"Gebinde geschätzt ("&amp;T116&amp;"); ",IF(BW116=1,"Lose – Tablare geschätzt; ","")))&amp;IF(H116&gt;AT116,"Überbestand "&amp;ROUND(H116-AT116,0)&amp;" Stk / CHF "&amp;ROUND((H116-AT116)*G116,0)&amp;"; ","")&amp;IF(AND(CE116=1,CF116&lt;CG116),"MAX &lt; MB+LG; ","")&amp;IF(AND(CK116&gt;0,CJ116*10&gt;CK116),"zu hoch für Tablar; ","")&amp;IF(AND(BS116=0,OR(CE116=1,AA116&lt;&gt;"",U116&lt;&gt;"",V116&lt;&gt;"",AB116&lt;&gt;"")),"manuell übersteuert; ","")&amp;IF(AND(BW116=0,R116=0),"Gebinde unbekannt / Stellmass fehlt; ","")&amp;IF(AND(BW116=0,N(V116)&lt;=0,N(Q116)&lt;=0),"Menge pro Gebinde fehlt (Ist = 1 Gebinde); ","")&amp;BR116)</f>
        <v/>
      </c>
      <c r="BK116" s="48"/>
      <c r="BL116" s="48"/>
      <c r="BM116" s="55"/>
      <c r="BN116" s="50" t="n">
        <v>220</v>
      </c>
      <c r="BO116" s="50" t="n">
        <v>46</v>
      </c>
      <c r="BP116" s="49" t="n">
        <v>1914.82</v>
      </c>
      <c r="BQ116" s="50" t="n">
        <v>309</v>
      </c>
      <c r="BR116" s="48"/>
      <c r="BS116" s="53" t="n">
        <v>0</v>
      </c>
      <c r="BT116" s="53" t="n">
        <v>116</v>
      </c>
      <c r="BU116" s="48" t="str">
        <f aca="false">IF(U116&lt;&gt;"",UPPER(TRIM(U116)),IF(BX116=1,UPPER(VLOOKUP(T116,Parameter!$I$27:$K$29,2,0)),IF(P116="","LOSE",P116)))</f>
        <v>S21</v>
      </c>
      <c r="BV116" s="50" t="n">
        <f aca="false">IF(BU116="LOSE",1,IF(N(V116)&gt;0,V116,IF(BX116=1,MAX(1,N(VLOOKUP(T116,Parameter!$I$27:$K$29,3,0)),H116,N(N116)),IF(N(Q116)&gt;0,Q116,MAX(1,H116)))))</f>
        <v>58</v>
      </c>
      <c r="BW116" s="53" t="n">
        <f aca="false">IF(BU116="LOSE",1,0)</f>
        <v>0</v>
      </c>
      <c r="BX116" s="53" t="n">
        <f aca="false">IF(AND(U116="",OR(P116="",P116="LOSE"),T116&lt;&gt;"",N(S116)&lt;=0,ISNUMBER(MATCH(T116,Parameter!$I$27:$I$29,0))),1,0)</f>
        <v>0</v>
      </c>
      <c r="BY116" s="53" t="n">
        <f aca="false">IF(CL116&gt;0,INDEX(Parameter!$H$5:$H$7,W116)/INDEX(Parameter!$E$5:$E$7,W116),IF(AND(BW116=0,N(IFERROR(VLOOKUP(BU116,'Gebinde-Kategorie'!$A$5:$N$45,14,0),0))&gt;0),VLOOKUP(BU116,'Gebinde-Kategorie'!$A$5:$N$45,14,0)*10+Parameter!$M$23,Parameter!$M$24))</f>
        <v>155</v>
      </c>
      <c r="BZ116" s="48" t="str">
        <f aca="false">IF(AND(Parameter!$B$19="Ja",E116&lt;&gt;"",ISNUMBER(MATCH(E116,Parameter!$I$35:$I$52,0))),VLOOKUP(E116,Parameter!$I$35:$J$52,2,0),IFERROR(VLOOKUP(D116,Parameter!$A$35:$C$64,2,0),"Nein"))</f>
        <v>2+3</v>
      </c>
      <c r="CA116" s="52" t="n">
        <f aca="false">IF(BW116=0,0,IF(N(S116)&gt;0,S116,IFERROR(VLOOKUP(D116,Parameter!$A$35:$C$64,3,0)+0,0)))</f>
        <v>0</v>
      </c>
      <c r="CB116" s="48" t="n">
        <f aca="false">IF(AA116&lt;&gt;"",AA116,Z116)</f>
        <v>3</v>
      </c>
      <c r="CC116" s="48" t="str">
        <f aca="false">IF(OR(CB116=1,CB116=2,CB116=3),IF(Parameter!$E$27="Ja","LIFT",IF(CB116=1,"L1","L23")),IF(CB116="Aussen","Aussen","-"))</f>
        <v>LIFT</v>
      </c>
      <c r="CD116" s="59" t="n">
        <f aca="false">IF(N(AB116)&gt;0,AB116,0)</f>
        <v>0</v>
      </c>
      <c r="CE116" s="53" t="n">
        <f aca="false">IF(ISNUMBER(AE116),1,0)</f>
        <v>0</v>
      </c>
      <c r="CF116" s="50" t="n">
        <f aca="false">N(AE116)</f>
        <v>0</v>
      </c>
      <c r="CG116" s="50" t="n">
        <f aca="false">N(M116)+N(N116)</f>
        <v>295</v>
      </c>
      <c r="CH116" s="50" t="n">
        <f aca="false">ROUNDUP(H116/BV116,0)</f>
        <v>5</v>
      </c>
      <c r="CI116" s="50" t="n">
        <f aca="false">ROUNDUP(CF116/BV116,0)</f>
        <v>0</v>
      </c>
      <c r="CJ116" s="53" t="n">
        <f aca="false">IF(BW116=1,0,IFERROR(VLOOKUP(BU116,'Gebinde-Kategorie'!$A$5:$N$45,5,0)+0,0))</f>
        <v>8</v>
      </c>
      <c r="CK116" s="53" t="n">
        <f aca="false">IFERROR(IF(OR(CB116=1,CB116=2,CB116=3),N(INDEX(Parameter!$I$5:$I$7,CB116)),0),0)</f>
        <v>0</v>
      </c>
      <c r="CL116" s="52" t="n">
        <f aca="false">IF(AND(Parameter!$B$21="Ja",ISNUMBER(W116),N(X116)&gt;0),IFERROR(N(INDEX(Parameter!$L$5:$L$7,W116))*INDEX(Parameter!$E$5:$E$7,W116)*X116/SUMIFS($X$7:$X$1843,$W$7:$W$1843,W116),0),0)</f>
        <v>0</v>
      </c>
    </row>
    <row r="117" customFormat="false" ht="15" hidden="false" customHeight="false" outlineLevel="0" collapsed="false">
      <c r="A117" s="48" t="s">
        <v>448</v>
      </c>
      <c r="B117" s="48" t="s">
        <v>449</v>
      </c>
      <c r="C117" s="48" t="s">
        <v>168</v>
      </c>
      <c r="D117" s="48" t="s">
        <v>177</v>
      </c>
      <c r="E117" s="48"/>
      <c r="F117" s="48" t="s">
        <v>222</v>
      </c>
      <c r="G117" s="49" t="n">
        <v>127.1</v>
      </c>
      <c r="H117" s="50" t="n">
        <f aca="false">MAX(0,IF(AND(Parameter!$B$21="Ja",ISNUMBER(Y117)),Y117,IF(Parameter!$B$20="Jahresanfang 2025 + Export",BO117+BN117,BN117)))</f>
        <v>15</v>
      </c>
      <c r="I117" s="50" t="n">
        <f aca="false">H117*G117</f>
        <v>1906.5</v>
      </c>
      <c r="J117" s="50" t="n">
        <f aca="false">BQ117*Parameter!$B$18</f>
        <v>0</v>
      </c>
      <c r="K117" s="51" t="n">
        <v>0</v>
      </c>
      <c r="L117" s="52" t="n">
        <v>0</v>
      </c>
      <c r="M117" s="50" t="n">
        <v>0</v>
      </c>
      <c r="N117" s="50" t="n">
        <v>1</v>
      </c>
      <c r="O117" s="53" t="n">
        <v>9999</v>
      </c>
      <c r="P117" s="48" t="s">
        <v>172</v>
      </c>
      <c r="Q117" s="50"/>
      <c r="R117" s="53" t="n">
        <f aca="false">IF(BW117=1,0,IFERROR(VLOOKUP(BU117,'Gebinde-Kategorie'!$A$5:$N$45,13,0)+0,0))</f>
        <v>12</v>
      </c>
      <c r="S117" s="54"/>
      <c r="T117" s="55" t="s">
        <v>183</v>
      </c>
      <c r="U117" s="55"/>
      <c r="V117" s="55"/>
      <c r="W117" s="48"/>
      <c r="X117" s="50"/>
      <c r="Y117" s="50"/>
      <c r="Z117" s="48" t="n">
        <f aca="false">IF(A117="","",IF(AND(Parameter!$B$21="Ja",ISNUMBER(W117)),W117,IF(BZ117="2+3",IF(ISNUMBER(SEARCH("grosser Artikel",BR117)),2,IFERROR(VLOOKUP(BU117,Parameter!$F$35:$G$64,2,0),2)),IF(OR(BZ117="Nein",BZ117=""),"-",BZ117))))</f>
        <v>2</v>
      </c>
      <c r="AA117" s="55"/>
      <c r="AB117" s="56"/>
      <c r="AC117" s="50" t="n">
        <f aca="false">AT117</f>
        <v>15</v>
      </c>
      <c r="AD117" s="50" t="n">
        <f aca="false">MAX(AT117,H117)</f>
        <v>15</v>
      </c>
      <c r="AE117" s="57"/>
      <c r="AF117" s="50" t="n">
        <f aca="false">IF(LEFT(Cockpit!$C$5,1)="A",H117,IF(CE117=1,CF117,IF(LEFT(Cockpit!$C$5,1)="B",AK117,MAX(AK117,H117))))</f>
        <v>15</v>
      </c>
      <c r="AG117" s="50" t="n">
        <f aca="false">IF(BW117=1,0,ROUNDUP(AF117/BV117,0))</f>
        <v>1</v>
      </c>
      <c r="AH117" s="52" t="n">
        <f aca="false">IF(CL117&gt;0,CL117*MAX(1,AF117/X117),IF(BW117=1,IF(AF117&lt;=0,0,CA117*MAX(1,IF(H117&gt;0,AF117/H117,1))),IF(R117&gt;0,AG117/R117,0))/MAX(0.1,N(Parameter!$M$21)))</f>
        <v>0.0833333333333333</v>
      </c>
      <c r="AI117" s="50" t="n">
        <f aca="false">AH117*BY117</f>
        <v>12.0833333333333</v>
      </c>
      <c r="AJ117" s="50" t="n">
        <f aca="false">AF117*G117</f>
        <v>1906.5</v>
      </c>
      <c r="AK117" s="50" t="n">
        <f aca="false">ROUNDUP(MAX(J117/IF(CD117&gt;0,CD117,MAX(0.1,N(Cockpit!$C$6))),CG117)/BV117,0)*BV117</f>
        <v>15</v>
      </c>
      <c r="AL117" s="51" t="n">
        <f aca="false">IF(AI117&gt;0,J117/AI117,-1)</f>
        <v>0</v>
      </c>
      <c r="AM117" s="51" t="n">
        <f aca="false">IF(AND(OR(CC117="L1",CC117="L23",CC117="LIFT"),AI117&gt;0),SUMIFS($AI$7:$AI$1843,$CC$7:$CC$1843,CC117,$AL$7:$AL$1843,"&gt;"&amp;AL117)+SUMIFS($AI$7:$AI$1843,$CC$7:$CC$1843,CC117,$AL$7:$AL$1843,AL117,$BT$7:$BT$1843,"&lt;="&amp;BT117),"")</f>
        <v>27000.2632163035</v>
      </c>
      <c r="AN117" s="58" t="n">
        <f aca="false">IF(AM117="",0,MAX(0,MIN(1,(IF(CC117="L1",Parameter!$H$5,IF(CC117="L23",Parameter!$H$6+Parameter!$H$7,Parameter!$H$5+Parameter!$H$6+Parameter!$H$7))-(AM117-AI117))/AI117)))</f>
        <v>1</v>
      </c>
      <c r="AO117" s="50" t="n">
        <f aca="false">IF(LEFT(Cockpit!$I$5,1)="A",H117,IF(CE117=1,CF117,IF(LEFT(Cockpit!$I$5,1)="B",AT117,MAX(AT117,H117))))</f>
        <v>15</v>
      </c>
      <c r="AP117" s="50" t="n">
        <f aca="false">IF(BW117=1,0,ROUNDUP(AO117/BV117,0))</f>
        <v>1</v>
      </c>
      <c r="AQ117" s="52" t="n">
        <f aca="false">IF(CL117&gt;0,CL117*MAX(1,AO117/X117),IF(BW117=1,IF(AO117&lt;=0,0,CA117*MAX(1,IF(H117&gt;0,AO117/H117,1))),IF(R117&gt;0,AP117/R117,0))/MAX(0.1,N(Parameter!$M$21)))</f>
        <v>0.0833333333333333</v>
      </c>
      <c r="AR117" s="50" t="n">
        <f aca="false">AQ117*BY117</f>
        <v>12.0833333333333</v>
      </c>
      <c r="AS117" s="50" t="n">
        <f aca="false">AO117*G117</f>
        <v>1906.5</v>
      </c>
      <c r="AT117" s="50" t="n">
        <f aca="false">ROUNDUP(MAX(J117/IF(CD117&gt;0,CD117,MAX(0.1,N(Cockpit!$I$6))),CG117)/BV117,0)*BV117</f>
        <v>15</v>
      </c>
      <c r="AU117" s="51" t="n">
        <f aca="false">IF(AR117&gt;0,J117/AR117,-1)</f>
        <v>0</v>
      </c>
      <c r="AV117" s="51" t="n">
        <f aca="false">IF(AND(OR(CC117="L1",CC117="L23",CC117="LIFT"),AR117&gt;0),SUMIFS($AR$7:$AR$1843,$CC$7:$CC$1843,CC117,$AU$7:$AU$1843,"&gt;"&amp;AU117)+SUMIFS($AR$7:$AR$1843,$CC$7:$CC$1843,CC117,$AU$7:$AU$1843,AU117,$BT$7:$BT$1843,"&lt;="&amp;BT117),"")</f>
        <v>38313.1687335734</v>
      </c>
      <c r="AW117" s="58" t="n">
        <f aca="false">IF(AV117="",0,MAX(0,MIN(1,(IF(CC117="L1",Parameter!$H$5,IF(CC117="L23",Parameter!$H$6+Parameter!$H$7,Parameter!$H$5+Parameter!$H$6+Parameter!$H$7))-(AV117-AR117))/AR117)))</f>
        <v>0</v>
      </c>
      <c r="AX117" s="50" t="n">
        <f aca="false">IF(LEFT(Cockpit!$O$5,1)="A",H117,IF(CE117=1,CF117,IF(LEFT(Cockpit!$O$5,1)="B",BC117,MAX(BC117,H117))))</f>
        <v>15</v>
      </c>
      <c r="AY117" s="50" t="n">
        <f aca="false">IF(BW117=1,0,ROUNDUP(AX117/BV117,0))</f>
        <v>1</v>
      </c>
      <c r="AZ117" s="52" t="n">
        <f aca="false">IF(CL117&gt;0,CL117*MAX(1,AX117/X117),IF(BW117=1,IF(AX117&lt;=0,0,CA117*MAX(1,IF(H117&gt;0,AX117/H117,1))),IF(R117&gt;0,AY117/R117,0))/MAX(0.1,N(Parameter!$M$21)))</f>
        <v>0.0833333333333333</v>
      </c>
      <c r="BA117" s="50" t="n">
        <f aca="false">AZ117*BY117</f>
        <v>12.0833333333333</v>
      </c>
      <c r="BB117" s="50" t="n">
        <f aca="false">AX117*G117</f>
        <v>1906.5</v>
      </c>
      <c r="BC117" s="50" t="n">
        <f aca="false">ROUNDUP(MAX(J117/IF(CD117&gt;0,CD117,MAX(0.1,N(Cockpit!$O$6))),CG117)/BV117,0)*BV117</f>
        <v>15</v>
      </c>
      <c r="BD117" s="51" t="n">
        <f aca="false">IF(BA117&gt;0,J117/BA117,-1)</f>
        <v>0</v>
      </c>
      <c r="BE117" s="51" t="n">
        <f aca="false">IF(AND(OR(CC117="L1",CC117="L23",CC117="LIFT"),BA117&gt;0),SUMIFS($BA$7:$BA$1843,$CC$7:$CC$1843,CC117,$BD$7:$BD$1843,"&gt;"&amp;BD117)+SUMIFS($BA$7:$BA$1843,$CC$7:$CC$1843,CC117,$BD$7:$BD$1843,BD117,$BT$7:$BT$1843,"&lt;="&amp;BT117),"")</f>
        <v>34988.1807754393</v>
      </c>
      <c r="BF117" s="58" t="n">
        <f aca="false">IF(BE117="",0,MAX(0,MIN(1,(IF(CC117="L1",Parameter!$H$5,IF(CC117="L23",Parameter!$H$6+Parameter!$H$7,Parameter!$H$5+Parameter!$H$6+Parameter!$H$7))-(BE117-BA117))/BA117)))</f>
        <v>1</v>
      </c>
      <c r="BG117" s="48" t="str">
        <f aca="false">IF(AI117&lt;=0,"",IF(CC117="Aussen","Aussenlager",IF(CC117="-","Nicht im Lift",IF(AN117&gt;=1,"Lift",IF(AN117&lt;=0,"Aussenlager","teilweise")))))</f>
        <v>Lift</v>
      </c>
      <c r="BH117" s="48" t="str">
        <f aca="false">IF(AR117&lt;=0,"",IF(CC117="Aussen","Aussenlager",IF(CC117="-","Nicht im Lift",IF(AW117&gt;=1,"Lift",IF(AW117&lt;=0,"Aussenlager","teilweise")))))</f>
        <v>Aussenlager</v>
      </c>
      <c r="BI117" s="48" t="str">
        <f aca="false">IF(BA117&lt;=0,"",IF(CC117="Aussen","Aussenlager",IF(CC117="-","Nicht im Lift",IF(BF117&gt;=1,"Lift",IF(BF117&lt;=0,"Aussenlager","teilweise")))))</f>
        <v>Lift</v>
      </c>
      <c r="BJ117" s="48" t="str">
        <f aca="false">IF(A117="","",IF(BS117=1,"Neu; ","")&amp;IF(AND(BS117=0,BN117&lt;0),"negativer Bestand (Export "&amp;BN117&amp;"); ","")&amp;IF(J117&lt;=0,"Kein Verbrauch; ","")&amp;IF(CL117&gt;0,"Lift "&amp;W117&amp;" lt. Liftbericht (Fach "&amp;X117&amp;" Stk); ",IF(BX117=1,"Gebinde geschätzt ("&amp;T117&amp;"); ",IF(BW117=1,"Lose – Tablare geschätzt; ","")))&amp;IF(H117&gt;AT117,"Überbestand "&amp;ROUND(H117-AT117,0)&amp;" Stk / CHF "&amp;ROUND((H117-AT117)*G117,0)&amp;"; ","")&amp;IF(AND(CE117=1,CF117&lt;CG117),"MAX &lt; MB+LG; ","")&amp;IF(AND(CK117&gt;0,CJ117*10&gt;CK117),"zu hoch für Tablar; ","")&amp;IF(AND(BS117=0,OR(CE117=1,AA117&lt;&gt;"",U117&lt;&gt;"",V117&lt;&gt;"",AB117&lt;&gt;"")),"manuell übersteuert; ","")&amp;IF(AND(BW117=0,R117=0),"Gebinde unbekannt / Stellmass fehlt; ","")&amp;IF(AND(BW117=0,N(V117)&lt;=0,N(Q117)&lt;=0),"Menge pro Gebinde fehlt (Ist = 1 Gebinde); ","")&amp;BR117)</f>
        <v>Kein Verbrauch; Gebinde geschätzt (Mittel); Menge pro Gebinde fehlt (Ist = 1 Gebinde); </v>
      </c>
      <c r="BK117" s="48"/>
      <c r="BL117" s="48"/>
      <c r="BM117" s="55"/>
      <c r="BN117" s="50" t="n">
        <v>15</v>
      </c>
      <c r="BO117" s="50" t="n">
        <v>0</v>
      </c>
      <c r="BP117" s="49" t="n">
        <v>1906.5</v>
      </c>
      <c r="BQ117" s="50" t="n">
        <v>0</v>
      </c>
      <c r="BR117" s="48"/>
      <c r="BS117" s="53" t="n">
        <v>0</v>
      </c>
      <c r="BT117" s="53" t="n">
        <v>117</v>
      </c>
      <c r="BU117" s="48" t="str">
        <f aca="false">IF(U117&lt;&gt;"",UPPER(TRIM(U117)),IF(BX117=1,UPPER(VLOOKUP(T117,Parameter!$I$27:$K$29,2,0)),IF(P117="","LOSE",P117)))</f>
        <v>S61</v>
      </c>
      <c r="BV117" s="50" t="n">
        <f aca="false">IF(BU117="LOSE",1,IF(N(V117)&gt;0,V117,IF(BX117=1,MAX(1,N(VLOOKUP(T117,Parameter!$I$27:$K$29,3,0)),H117,N(N117)),IF(N(Q117)&gt;0,Q117,MAX(1,H117)))))</f>
        <v>15</v>
      </c>
      <c r="BW117" s="53" t="n">
        <f aca="false">IF(BU117="LOSE",1,0)</f>
        <v>0</v>
      </c>
      <c r="BX117" s="53" t="n">
        <f aca="false">IF(AND(U117="",OR(P117="",P117="LOSE"),T117&lt;&gt;"",N(S117)&lt;=0,ISNUMBER(MATCH(T117,Parameter!$I$27:$I$29,0))),1,0)</f>
        <v>1</v>
      </c>
      <c r="BY117" s="53" t="n">
        <f aca="false">IF(CL117&gt;0,INDEX(Parameter!$H$5:$H$7,W117)/INDEX(Parameter!$E$5:$E$7,W117),IF(AND(BW117=0,N(IFERROR(VLOOKUP(BU117,'Gebinde-Kategorie'!$A$5:$N$45,14,0),0))&gt;0),VLOOKUP(BU117,'Gebinde-Kategorie'!$A$5:$N$45,14,0)*10+Parameter!$M$23,Parameter!$M$24))</f>
        <v>145</v>
      </c>
      <c r="BZ117" s="48" t="str">
        <f aca="false">IF(AND(Parameter!$B$19="Ja",E117&lt;&gt;"",ISNUMBER(MATCH(E117,Parameter!$I$35:$I$52,0))),VLOOKUP(E117,Parameter!$I$35:$J$52,2,0),IFERROR(VLOOKUP(D117,Parameter!$A$35:$C$64,2,0),"Nein"))</f>
        <v>2+3</v>
      </c>
      <c r="CA117" s="52" t="n">
        <f aca="false">IF(BW117=0,0,IF(N(S117)&gt;0,S117,IFERROR(VLOOKUP(D117,Parameter!$A$35:$C$64,3,0)+0,0)))</f>
        <v>0</v>
      </c>
      <c r="CB117" s="48" t="n">
        <f aca="false">IF(AA117&lt;&gt;"",AA117,Z117)</f>
        <v>2</v>
      </c>
      <c r="CC117" s="48" t="str">
        <f aca="false">IF(OR(CB117=1,CB117=2,CB117=3),IF(Parameter!$E$27="Ja","LIFT",IF(CB117=1,"L1","L23")),IF(CB117="Aussen","Aussen","-"))</f>
        <v>LIFT</v>
      </c>
      <c r="CD117" s="59" t="n">
        <f aca="false">IF(N(AB117)&gt;0,AB117,0)</f>
        <v>0</v>
      </c>
      <c r="CE117" s="53" t="n">
        <f aca="false">IF(ISNUMBER(AE117),1,0)</f>
        <v>0</v>
      </c>
      <c r="CF117" s="50" t="n">
        <f aca="false">N(AE117)</f>
        <v>0</v>
      </c>
      <c r="CG117" s="50" t="n">
        <f aca="false">N(M117)+N(N117)</f>
        <v>1</v>
      </c>
      <c r="CH117" s="50" t="n">
        <f aca="false">ROUNDUP(H117/BV117,0)</f>
        <v>1</v>
      </c>
      <c r="CI117" s="50" t="n">
        <f aca="false">ROUNDUP(CF117/BV117,0)</f>
        <v>0</v>
      </c>
      <c r="CJ117" s="53" t="n">
        <f aca="false">IF(BW117=1,0,IFERROR(VLOOKUP(BU117,'Gebinde-Kategorie'!$A$5:$N$45,5,0)+0,0))</f>
        <v>11</v>
      </c>
      <c r="CK117" s="53" t="n">
        <f aca="false">IFERROR(IF(OR(CB117=1,CB117=2,CB117=3),N(INDEX(Parameter!$I$5:$I$7,CB117)),0),0)</f>
        <v>0</v>
      </c>
      <c r="CL117" s="52" t="n">
        <f aca="false">IF(AND(Parameter!$B$21="Ja",ISNUMBER(W117),N(X117)&gt;0),IFERROR(N(INDEX(Parameter!$L$5:$L$7,W117))*INDEX(Parameter!$E$5:$E$7,W117)*X117/SUMIFS($X$7:$X$1843,$W$7:$W$1843,W117),0),0)</f>
        <v>0</v>
      </c>
    </row>
    <row r="118" customFormat="false" ht="15" hidden="false" customHeight="false" outlineLevel="0" collapsed="false">
      <c r="A118" s="48" t="s">
        <v>450</v>
      </c>
      <c r="B118" s="48" t="s">
        <v>451</v>
      </c>
      <c r="C118" s="48" t="s">
        <v>168</v>
      </c>
      <c r="D118" s="48" t="s">
        <v>188</v>
      </c>
      <c r="E118" s="48"/>
      <c r="F118" s="48" t="s">
        <v>222</v>
      </c>
      <c r="G118" s="49" t="n">
        <v>348.07</v>
      </c>
      <c r="H118" s="50" t="n">
        <f aca="false">MAX(0,IF(AND(Parameter!$B$21="Ja",ISNUMBER(Y118)),Y118,IF(Parameter!$B$20="Jahresanfang 2025 + Export",BO118+BN118,BN118)))</f>
        <v>17</v>
      </c>
      <c r="I118" s="50" t="n">
        <f aca="false">H118*G118</f>
        <v>5917.19</v>
      </c>
      <c r="J118" s="50" t="n">
        <f aca="false">BQ118*Parameter!$B$18</f>
        <v>24</v>
      </c>
      <c r="K118" s="51" t="n">
        <v>10</v>
      </c>
      <c r="L118" s="52" t="n">
        <v>2.4</v>
      </c>
      <c r="M118" s="50" t="n">
        <v>2</v>
      </c>
      <c r="N118" s="50" t="n">
        <v>15</v>
      </c>
      <c r="O118" s="53" t="n">
        <v>42</v>
      </c>
      <c r="P118" s="48" t="s">
        <v>306</v>
      </c>
      <c r="Q118" s="50" t="n">
        <v>12</v>
      </c>
      <c r="R118" s="53" t="n">
        <f aca="false">IF(BW118=1,0,IFERROR(VLOOKUP(BU118,'Gebinde-Kategorie'!$A$5:$N$45,13,0)+0,0))</f>
        <v>26</v>
      </c>
      <c r="S118" s="54"/>
      <c r="T118" s="55"/>
      <c r="U118" s="55"/>
      <c r="V118" s="55"/>
      <c r="W118" s="48"/>
      <c r="X118" s="50"/>
      <c r="Y118" s="50"/>
      <c r="Z118" s="48" t="n">
        <f aca="false">IF(A118="","",IF(AND(Parameter!$B$21="Ja",ISNUMBER(W118)),W118,IF(BZ118="2+3",IF(ISNUMBER(SEARCH("grosser Artikel",BR118)),2,IFERROR(VLOOKUP(BU118,Parameter!$F$35:$G$64,2,0),2)),IF(OR(BZ118="Nein",BZ118=""),"-",BZ118))))</f>
        <v>3</v>
      </c>
      <c r="AA118" s="55"/>
      <c r="AB118" s="56"/>
      <c r="AC118" s="50" t="n">
        <f aca="false">AT118</f>
        <v>24</v>
      </c>
      <c r="AD118" s="50" t="n">
        <f aca="false">MAX(AT118,H118)</f>
        <v>24</v>
      </c>
      <c r="AE118" s="57"/>
      <c r="AF118" s="50" t="n">
        <f aca="false">IF(LEFT(Cockpit!$C$5,1)="A",H118,IF(CE118=1,CF118,IF(LEFT(Cockpit!$C$5,1)="B",AK118,MAX(AK118,H118))))</f>
        <v>17</v>
      </c>
      <c r="AG118" s="50" t="n">
        <f aca="false">IF(BW118=1,0,ROUNDUP(AF118/BV118,0))</f>
        <v>2</v>
      </c>
      <c r="AH118" s="52" t="n">
        <f aca="false">IF(CL118&gt;0,CL118*MAX(1,AF118/X118),IF(BW118=1,IF(AF118&lt;=0,0,CA118*MAX(1,IF(H118&gt;0,AF118/H118,1))),IF(R118&gt;0,AG118/R118,0))/MAX(0.1,N(Parameter!$M$21)))</f>
        <v>0.0769230769230769</v>
      </c>
      <c r="AI118" s="50" t="n">
        <f aca="false">AH118*BY118</f>
        <v>11.9230769230769</v>
      </c>
      <c r="AJ118" s="50" t="n">
        <f aca="false">AF118*G118</f>
        <v>5917.19</v>
      </c>
      <c r="AK118" s="50" t="n">
        <f aca="false">ROUNDUP(MAX(J118/IF(CD118&gt;0,CD118,MAX(0.1,N(Cockpit!$C$6))),CG118)/BV118,0)*BV118</f>
        <v>24</v>
      </c>
      <c r="AL118" s="51" t="n">
        <f aca="false">IF(AI118&gt;0,J118/AI118,-1)</f>
        <v>2.01290322580645</v>
      </c>
      <c r="AM118" s="51" t="n">
        <f aca="false">IF(AND(OR(CC118="L1",CC118="L23",CC118="LIFT"),AI118&gt;0),SUMIFS($AI$7:$AI$1843,$CC$7:$CC$1843,CC118,$AL$7:$AL$1843,"&gt;"&amp;AL118)+SUMIFS($AI$7:$AI$1843,$CC$7:$CC$1843,CC118,$AL$7:$AL$1843,AL118,$BT$7:$BT$1843,"&lt;="&amp;BT118),"")</f>
        <v>5768.49404761905</v>
      </c>
      <c r="AN118" s="58" t="n">
        <f aca="false">IF(AM118="",0,MAX(0,MIN(1,(IF(CC118="L1",Parameter!$H$5,IF(CC118="L23",Parameter!$H$6+Parameter!$H$7,Parameter!$H$5+Parameter!$H$6+Parameter!$H$7))-(AM118-AI118))/AI118)))</f>
        <v>1</v>
      </c>
      <c r="AO118" s="50" t="n">
        <f aca="false">IF(LEFT(Cockpit!$I$5,1)="A",H118,IF(CE118=1,CF118,IF(LEFT(Cockpit!$I$5,1)="B",AT118,MAX(AT118,H118))))</f>
        <v>24</v>
      </c>
      <c r="AP118" s="50" t="n">
        <f aca="false">IF(BW118=1,0,ROUNDUP(AO118/BV118,0))</f>
        <v>2</v>
      </c>
      <c r="AQ118" s="52" t="n">
        <f aca="false">IF(CL118&gt;0,CL118*MAX(1,AO118/X118),IF(BW118=1,IF(AO118&lt;=0,0,CA118*MAX(1,IF(H118&gt;0,AO118/H118,1))),IF(R118&gt;0,AP118/R118,0))/MAX(0.1,N(Parameter!$M$21)))</f>
        <v>0.0769230769230769</v>
      </c>
      <c r="AR118" s="50" t="n">
        <f aca="false">AQ118*BY118</f>
        <v>11.9230769230769</v>
      </c>
      <c r="AS118" s="50" t="n">
        <f aca="false">AO118*G118</f>
        <v>8353.68</v>
      </c>
      <c r="AT118" s="50" t="n">
        <f aca="false">ROUNDUP(MAX(J118/IF(CD118&gt;0,CD118,MAX(0.1,N(Cockpit!$I$6))),CG118)/BV118,0)*BV118</f>
        <v>24</v>
      </c>
      <c r="AU118" s="51" t="n">
        <f aca="false">IF(AR118&gt;0,J118/AR118,-1)</f>
        <v>2.01290322580645</v>
      </c>
      <c r="AV118" s="51" t="n">
        <f aca="false">IF(AND(OR(CC118="L1",CC118="L23",CC118="LIFT"),AR118&gt;0),SUMIFS($AR$7:$AR$1843,$CC$7:$CC$1843,CC118,$AU$7:$AU$1843,"&gt;"&amp;AU118)+SUMIFS($AR$7:$AR$1843,$CC$7:$CC$1843,CC118,$AU$7:$AU$1843,AU118,$BT$7:$BT$1843,"&lt;="&amp;BT118),"")</f>
        <v>7675.20558608059</v>
      </c>
      <c r="AW118" s="58" t="n">
        <f aca="false">IF(AV118="",0,MAX(0,MIN(1,(IF(CC118="L1",Parameter!$H$5,IF(CC118="L23",Parameter!$H$6+Parameter!$H$7,Parameter!$H$5+Parameter!$H$6+Parameter!$H$7))-(AV118-AR118))/AR118)))</f>
        <v>1</v>
      </c>
      <c r="AX118" s="50" t="n">
        <f aca="false">IF(LEFT(Cockpit!$O$5,1)="A",H118,IF(CE118=1,CF118,IF(LEFT(Cockpit!$O$5,1)="B",BC118,MAX(BC118,H118))))</f>
        <v>24</v>
      </c>
      <c r="AY118" s="50" t="n">
        <f aca="false">IF(BW118=1,0,ROUNDUP(AX118/BV118,0))</f>
        <v>2</v>
      </c>
      <c r="AZ118" s="52" t="n">
        <f aca="false">IF(CL118&gt;0,CL118*MAX(1,AX118/X118),IF(BW118=1,IF(AX118&lt;=0,0,CA118*MAX(1,IF(H118&gt;0,AX118/H118,1))),IF(R118&gt;0,AY118/R118,0))/MAX(0.1,N(Parameter!$M$21)))</f>
        <v>0.0769230769230769</v>
      </c>
      <c r="BA118" s="50" t="n">
        <f aca="false">AZ118*BY118</f>
        <v>11.9230769230769</v>
      </c>
      <c r="BB118" s="50" t="n">
        <f aca="false">AX118*G118</f>
        <v>8353.68</v>
      </c>
      <c r="BC118" s="50" t="n">
        <f aca="false">ROUNDUP(MAX(J118/IF(CD118&gt;0,CD118,MAX(0.1,N(Cockpit!$O$6))),CG118)/BV118,0)*BV118</f>
        <v>24</v>
      </c>
      <c r="BD118" s="51" t="n">
        <f aca="false">IF(BA118&gt;0,J118/BA118,-1)</f>
        <v>2.01290322580645</v>
      </c>
      <c r="BE118" s="51" t="n">
        <f aca="false">IF(AND(OR(CC118="L1",CC118="L23",CC118="LIFT"),BA118&gt;0),SUMIFS($BA$7:$BA$1843,$CC$7:$CC$1843,CC118,$BD$7:$BD$1843,"&gt;"&amp;BD118)+SUMIFS($BA$7:$BA$1843,$CC$7:$CC$1843,CC118,$BD$7:$BD$1843,BD118,$BT$7:$BT$1843,"&lt;="&amp;BT118),"")</f>
        <v>7574.19597069597</v>
      </c>
      <c r="BF118" s="58" t="n">
        <f aca="false">IF(BE118="",0,MAX(0,MIN(1,(IF(CC118="L1",Parameter!$H$5,IF(CC118="L23",Parameter!$H$6+Parameter!$H$7,Parameter!$H$5+Parameter!$H$6+Parameter!$H$7))-(BE118-BA118))/BA118)))</f>
        <v>1</v>
      </c>
      <c r="BG118" s="48" t="str">
        <f aca="false">IF(AI118&lt;=0,"",IF(CC118="Aussen","Aussenlager",IF(CC118="-","Nicht im Lift",IF(AN118&gt;=1,"Lift",IF(AN118&lt;=0,"Aussenlager","teilweise")))))</f>
        <v>Lift</v>
      </c>
      <c r="BH118" s="48" t="str">
        <f aca="false">IF(AR118&lt;=0,"",IF(CC118="Aussen","Aussenlager",IF(CC118="-","Nicht im Lift",IF(AW118&gt;=1,"Lift",IF(AW118&lt;=0,"Aussenlager","teilweise")))))</f>
        <v>Lift</v>
      </c>
      <c r="BI118" s="48" t="str">
        <f aca="false">IF(BA118&lt;=0,"",IF(CC118="Aussen","Aussenlager",IF(CC118="-","Nicht im Lift",IF(BF118&gt;=1,"Lift",IF(BF118&lt;=0,"Aussenlager","teilweise")))))</f>
        <v>Lift</v>
      </c>
      <c r="BJ118" s="48" t="str">
        <f aca="false">IF(A118="","",IF(BS118=1,"Neu; ","")&amp;IF(AND(BS118=0,BN118&lt;0),"negativer Bestand (Export "&amp;BN118&amp;"); ","")&amp;IF(J118&lt;=0,"Kein Verbrauch; ","")&amp;IF(CL118&gt;0,"Lift "&amp;W118&amp;" lt. Liftbericht (Fach "&amp;X118&amp;" Stk); ",IF(BX118=1,"Gebinde geschätzt ("&amp;T118&amp;"); ",IF(BW118=1,"Lose – Tablare geschätzt; ","")))&amp;IF(H118&gt;AT118,"Überbestand "&amp;ROUND(H118-AT118,0)&amp;" Stk / CHF "&amp;ROUND((H118-AT118)*G118,0)&amp;"; ","")&amp;IF(AND(CE118=1,CF118&lt;CG118),"MAX &lt; MB+LG; ","")&amp;IF(AND(CK118&gt;0,CJ118*10&gt;CK118),"zu hoch für Tablar; ","")&amp;IF(AND(BS118=0,OR(CE118=1,AA118&lt;&gt;"",U118&lt;&gt;"",V118&lt;&gt;"",AB118&lt;&gt;"")),"manuell übersteuert; ","")&amp;IF(AND(BW118=0,R118=0),"Gebinde unbekannt / Stellmass fehlt; ","")&amp;IF(AND(BW118=0,N(V118)&lt;=0,N(Q118)&lt;=0),"Menge pro Gebinde fehlt (Ist = 1 Gebinde); ","")&amp;BR118)</f>
        <v/>
      </c>
      <c r="BK118" s="48"/>
      <c r="BL118" s="48"/>
      <c r="BM118" s="55"/>
      <c r="BN118" s="50" t="n">
        <v>5</v>
      </c>
      <c r="BO118" s="50" t="n">
        <v>12</v>
      </c>
      <c r="BP118" s="49" t="n">
        <v>1902.10999999999</v>
      </c>
      <c r="BQ118" s="50" t="n">
        <v>24</v>
      </c>
      <c r="BR118" s="48"/>
      <c r="BS118" s="53" t="n">
        <v>0</v>
      </c>
      <c r="BT118" s="53" t="n">
        <v>118</v>
      </c>
      <c r="BU118" s="48" t="str">
        <f aca="false">IF(U118&lt;&gt;"",UPPER(TRIM(U118)),IF(BX118=1,UPPER(VLOOKUP(T118,Parameter!$I$27:$K$29,2,0)),IF(P118="","LOSE",P118)))</f>
        <v>S51</v>
      </c>
      <c r="BV118" s="50" t="n">
        <f aca="false">IF(BU118="LOSE",1,IF(N(V118)&gt;0,V118,IF(BX118=1,MAX(1,N(VLOOKUP(T118,Parameter!$I$27:$K$29,3,0)),H118,N(N118)),IF(N(Q118)&gt;0,Q118,MAX(1,H118)))))</f>
        <v>12</v>
      </c>
      <c r="BW118" s="53" t="n">
        <f aca="false">IF(BU118="LOSE",1,0)</f>
        <v>0</v>
      </c>
      <c r="BX118" s="53" t="n">
        <f aca="false">IF(AND(U118="",OR(P118="",P118="LOSE"),T118&lt;&gt;"",N(S118)&lt;=0,ISNUMBER(MATCH(T118,Parameter!$I$27:$I$29,0))),1,0)</f>
        <v>0</v>
      </c>
      <c r="BY118" s="53" t="n">
        <f aca="false">IF(CL118&gt;0,INDEX(Parameter!$H$5:$H$7,W118)/INDEX(Parameter!$E$5:$E$7,W118),IF(AND(BW118=0,N(IFERROR(VLOOKUP(BU118,'Gebinde-Kategorie'!$A$5:$N$45,14,0),0))&gt;0),VLOOKUP(BU118,'Gebinde-Kategorie'!$A$5:$N$45,14,0)*10+Parameter!$M$23,Parameter!$M$24))</f>
        <v>155</v>
      </c>
      <c r="BZ118" s="48" t="str">
        <f aca="false">IF(AND(Parameter!$B$19="Ja",E118&lt;&gt;"",ISNUMBER(MATCH(E118,Parameter!$I$35:$I$52,0))),VLOOKUP(E118,Parameter!$I$35:$J$52,2,0),IFERROR(VLOOKUP(D118,Parameter!$A$35:$C$64,2,0),"Nein"))</f>
        <v>2+3</v>
      </c>
      <c r="CA118" s="52" t="n">
        <f aca="false">IF(BW118=0,0,IF(N(S118)&gt;0,S118,IFERROR(VLOOKUP(D118,Parameter!$A$35:$C$64,3,0)+0,0)))</f>
        <v>0</v>
      </c>
      <c r="CB118" s="48" t="n">
        <f aca="false">IF(AA118&lt;&gt;"",AA118,Z118)</f>
        <v>3</v>
      </c>
      <c r="CC118" s="48" t="str">
        <f aca="false">IF(OR(CB118=1,CB118=2,CB118=3),IF(Parameter!$E$27="Ja","LIFT",IF(CB118=1,"L1","L23")),IF(CB118="Aussen","Aussen","-"))</f>
        <v>LIFT</v>
      </c>
      <c r="CD118" s="59" t="n">
        <f aca="false">IF(N(AB118)&gt;0,AB118,0)</f>
        <v>0</v>
      </c>
      <c r="CE118" s="53" t="n">
        <f aca="false">IF(ISNUMBER(AE118),1,0)</f>
        <v>0</v>
      </c>
      <c r="CF118" s="50" t="n">
        <f aca="false">N(AE118)</f>
        <v>0</v>
      </c>
      <c r="CG118" s="50" t="n">
        <f aca="false">N(M118)+N(N118)</f>
        <v>17</v>
      </c>
      <c r="CH118" s="50" t="n">
        <f aca="false">ROUNDUP(H118/BV118,0)</f>
        <v>2</v>
      </c>
      <c r="CI118" s="50" t="n">
        <f aca="false">ROUNDUP(CF118/BV118,0)</f>
        <v>0</v>
      </c>
      <c r="CJ118" s="53" t="n">
        <f aca="false">IF(BW118=1,0,IFERROR(VLOOKUP(BU118,'Gebinde-Kategorie'!$A$5:$N$45,5,0)+0,0))</f>
        <v>11</v>
      </c>
      <c r="CK118" s="53" t="n">
        <f aca="false">IFERROR(IF(OR(CB118=1,CB118=2,CB118=3),N(INDEX(Parameter!$I$5:$I$7,CB118)),0),0)</f>
        <v>0</v>
      </c>
      <c r="CL118" s="52" t="n">
        <f aca="false">IF(AND(Parameter!$B$21="Ja",ISNUMBER(W118),N(X118)&gt;0),IFERROR(N(INDEX(Parameter!$L$5:$L$7,W118))*INDEX(Parameter!$E$5:$E$7,W118)*X118/SUMIFS($X$7:$X$1843,$W$7:$W$1843,W118),0),0)</f>
        <v>0</v>
      </c>
    </row>
    <row r="119" customFormat="false" ht="15" hidden="false" customHeight="false" outlineLevel="0" collapsed="false">
      <c r="A119" s="48" t="s">
        <v>452</v>
      </c>
      <c r="B119" s="48" t="s">
        <v>429</v>
      </c>
      <c r="C119" s="48" t="s">
        <v>168</v>
      </c>
      <c r="D119" s="48" t="s">
        <v>188</v>
      </c>
      <c r="E119" s="48" t="s">
        <v>189</v>
      </c>
      <c r="F119" s="48" t="s">
        <v>222</v>
      </c>
      <c r="G119" s="49" t="n">
        <v>41.62</v>
      </c>
      <c r="H119" s="50" t="n">
        <f aca="false">MAX(0,IF(AND(Parameter!$B$21="Ja",ISNUMBER(Y119)),Y119,IF(Parameter!$B$20="Jahresanfang 2025 + Export",BO119+BN119,BN119)))</f>
        <v>228</v>
      </c>
      <c r="I119" s="50" t="n">
        <f aca="false">H119*G119</f>
        <v>9489.36</v>
      </c>
      <c r="J119" s="50" t="n">
        <f aca="false">BQ119*Parameter!$B$18</f>
        <v>1320</v>
      </c>
      <c r="K119" s="51" t="n">
        <v>220</v>
      </c>
      <c r="L119" s="52" t="n">
        <v>6</v>
      </c>
      <c r="M119" s="50" t="n">
        <v>77</v>
      </c>
      <c r="N119" s="50" t="n">
        <v>200</v>
      </c>
      <c r="O119" s="53" t="n">
        <v>21</v>
      </c>
      <c r="P119" s="48" t="s">
        <v>237</v>
      </c>
      <c r="Q119" s="50" t="n">
        <v>850</v>
      </c>
      <c r="R119" s="53" t="n">
        <f aca="false">IF(BW119=1,0,IFERROR(VLOOKUP(BU119,'Gebinde-Kategorie'!$A$5:$N$45,13,0)+0,0))</f>
        <v>26</v>
      </c>
      <c r="S119" s="54"/>
      <c r="T119" s="55"/>
      <c r="U119" s="55"/>
      <c r="V119" s="55"/>
      <c r="W119" s="48"/>
      <c r="X119" s="50"/>
      <c r="Y119" s="50"/>
      <c r="Z119" s="48" t="n">
        <f aca="false">IF(A119="","",IF(AND(Parameter!$B$21="Ja",ISNUMBER(W119)),W119,IF(BZ119="2+3",IF(ISNUMBER(SEARCH("grosser Artikel",BR119)),2,IFERROR(VLOOKUP(BU119,Parameter!$F$35:$G$64,2,0),2)),IF(OR(BZ119="Nein",BZ119=""),"-",BZ119))))</f>
        <v>3</v>
      </c>
      <c r="AA119" s="55"/>
      <c r="AB119" s="56"/>
      <c r="AC119" s="50" t="n">
        <f aca="false">AT119</f>
        <v>850</v>
      </c>
      <c r="AD119" s="50" t="n">
        <f aca="false">MAX(AT119,H119)</f>
        <v>850</v>
      </c>
      <c r="AE119" s="57"/>
      <c r="AF119" s="50" t="n">
        <f aca="false">IF(LEFT(Cockpit!$C$5,1)="A",H119,IF(CE119=1,CF119,IF(LEFT(Cockpit!$C$5,1)="B",AK119,MAX(AK119,H119))))</f>
        <v>228</v>
      </c>
      <c r="AG119" s="50" t="n">
        <f aca="false">IF(BW119=1,0,ROUNDUP(AF119/BV119,0))</f>
        <v>1</v>
      </c>
      <c r="AH119" s="52" t="n">
        <f aca="false">IF(CL119&gt;0,CL119*MAX(1,AF119/X119),IF(BW119=1,IF(AF119&lt;=0,0,CA119*MAX(1,IF(H119&gt;0,AF119/H119,1))),IF(R119&gt;0,AG119/R119,0))/MAX(0.1,N(Parameter!$M$21)))</f>
        <v>0.0384615384615385</v>
      </c>
      <c r="AI119" s="50" t="n">
        <f aca="false">AH119*BY119</f>
        <v>9.42307692307692</v>
      </c>
      <c r="AJ119" s="50" t="n">
        <f aca="false">AF119*G119</f>
        <v>9489.36</v>
      </c>
      <c r="AK119" s="50" t="n">
        <f aca="false">ROUNDUP(MAX(J119/IF(CD119&gt;0,CD119,MAX(0.1,N(Cockpit!$C$6))),CG119)/BV119,0)*BV119</f>
        <v>850</v>
      </c>
      <c r="AL119" s="51" t="n">
        <f aca="false">IF(AI119&gt;0,J119/AI119,-1)</f>
        <v>140.081632653061</v>
      </c>
      <c r="AM119" s="51" t="n">
        <f aca="false">IF(AND(OR(CC119="L1",CC119="L23",CC119="LIFT"),AI119&gt;0),SUMIFS($AI$7:$AI$1843,$CC$7:$CC$1843,CC119,$AL$7:$AL$1843,"&gt;"&amp;AL119)+SUMIFS($AI$7:$AI$1843,$CC$7:$CC$1843,CC119,$AL$7:$AL$1843,AL119,$BT$7:$BT$1843,"&lt;="&amp;BT119),"")</f>
        <v>512.305402930403</v>
      </c>
      <c r="AN119" s="58" t="n">
        <f aca="false">IF(AM119="",0,MAX(0,MIN(1,(IF(CC119="L1",Parameter!$H$5,IF(CC119="L23",Parameter!$H$6+Parameter!$H$7,Parameter!$H$5+Parameter!$H$6+Parameter!$H$7))-(AM119-AI119))/AI119)))</f>
        <v>1</v>
      </c>
      <c r="AO119" s="50" t="n">
        <f aca="false">IF(LEFT(Cockpit!$I$5,1)="A",H119,IF(CE119=1,CF119,IF(LEFT(Cockpit!$I$5,1)="B",AT119,MAX(AT119,H119))))</f>
        <v>850</v>
      </c>
      <c r="AP119" s="50" t="n">
        <f aca="false">IF(BW119=1,0,ROUNDUP(AO119/BV119,0))</f>
        <v>1</v>
      </c>
      <c r="AQ119" s="52" t="n">
        <f aca="false">IF(CL119&gt;0,CL119*MAX(1,AO119/X119),IF(BW119=1,IF(AO119&lt;=0,0,CA119*MAX(1,IF(H119&gt;0,AO119/H119,1))),IF(R119&gt;0,AP119/R119,0))/MAX(0.1,N(Parameter!$M$21)))</f>
        <v>0.0384615384615385</v>
      </c>
      <c r="AR119" s="50" t="n">
        <f aca="false">AQ119*BY119</f>
        <v>9.42307692307692</v>
      </c>
      <c r="AS119" s="50" t="n">
        <f aca="false">AO119*G119</f>
        <v>35377</v>
      </c>
      <c r="AT119" s="50" t="n">
        <f aca="false">ROUNDUP(MAX(J119/IF(CD119&gt;0,CD119,MAX(0.1,N(Cockpit!$I$6))),CG119)/BV119,0)*BV119</f>
        <v>850</v>
      </c>
      <c r="AU119" s="51" t="n">
        <f aca="false">IF(AR119&gt;0,J119/AR119,-1)</f>
        <v>140.081632653061</v>
      </c>
      <c r="AV119" s="51" t="n">
        <f aca="false">IF(AND(OR(CC119="L1",CC119="L23",CC119="LIFT"),AR119&gt;0),SUMIFS($AR$7:$AR$1843,$CC$7:$CC$1843,CC119,$AU$7:$AU$1843,"&gt;"&amp;AU119)+SUMIFS($AR$7:$AR$1843,$CC$7:$CC$1843,CC119,$AU$7:$AU$1843,AU119,$BT$7:$BT$1843,"&lt;="&amp;BT119),"")</f>
        <v>665.787545787546</v>
      </c>
      <c r="AW119" s="58" t="n">
        <f aca="false">IF(AV119="",0,MAX(0,MIN(1,(IF(CC119="L1",Parameter!$H$5,IF(CC119="L23",Parameter!$H$6+Parameter!$H$7,Parameter!$H$5+Parameter!$H$6+Parameter!$H$7))-(AV119-AR119))/AR119)))</f>
        <v>1</v>
      </c>
      <c r="AX119" s="50" t="n">
        <f aca="false">IF(LEFT(Cockpit!$O$5,1)="A",H119,IF(CE119=1,CF119,IF(LEFT(Cockpit!$O$5,1)="B",BC119,MAX(BC119,H119))))</f>
        <v>850</v>
      </c>
      <c r="AY119" s="50" t="n">
        <f aca="false">IF(BW119=1,0,ROUNDUP(AX119/BV119,0))</f>
        <v>1</v>
      </c>
      <c r="AZ119" s="52" t="n">
        <f aca="false">IF(CL119&gt;0,CL119*MAX(1,AX119/X119),IF(BW119=1,IF(AX119&lt;=0,0,CA119*MAX(1,IF(H119&gt;0,AX119/H119,1))),IF(R119&gt;0,AY119/R119,0))/MAX(0.1,N(Parameter!$M$21)))</f>
        <v>0.0384615384615385</v>
      </c>
      <c r="BA119" s="50" t="n">
        <f aca="false">AZ119*BY119</f>
        <v>9.42307692307692</v>
      </c>
      <c r="BB119" s="50" t="n">
        <f aca="false">AX119*G119</f>
        <v>35377</v>
      </c>
      <c r="BC119" s="50" t="n">
        <f aca="false">ROUNDUP(MAX(J119/IF(CD119&gt;0,CD119,MAX(0.1,N(Cockpit!$O$6))),CG119)/BV119,0)*BV119</f>
        <v>850</v>
      </c>
      <c r="BD119" s="51" t="n">
        <f aca="false">IF(BA119&gt;0,J119/BA119,-1)</f>
        <v>140.081632653061</v>
      </c>
      <c r="BE119" s="51" t="n">
        <f aca="false">IF(AND(OR(CC119="L1",CC119="L23",CC119="LIFT"),BA119&gt;0),SUMIFS($BA$7:$BA$1843,$CC$7:$CC$1843,CC119,$BD$7:$BD$1843,"&gt;"&amp;BD119)+SUMIFS($BA$7:$BA$1843,$CC$7:$CC$1843,CC119,$BD$7:$BD$1843,BD119,$BT$7:$BT$1843,"&lt;="&amp;BT119),"")</f>
        <v>610.226648351648</v>
      </c>
      <c r="BF119" s="58" t="n">
        <f aca="false">IF(BE119="",0,MAX(0,MIN(1,(IF(CC119="L1",Parameter!$H$5,IF(CC119="L23",Parameter!$H$6+Parameter!$H$7,Parameter!$H$5+Parameter!$H$6+Parameter!$H$7))-(BE119-BA119))/BA119)))</f>
        <v>1</v>
      </c>
      <c r="BG119" s="48" t="str">
        <f aca="false">IF(AI119&lt;=0,"",IF(CC119="Aussen","Aussenlager",IF(CC119="-","Nicht im Lift",IF(AN119&gt;=1,"Lift",IF(AN119&lt;=0,"Aussenlager","teilweise")))))</f>
        <v>Lift</v>
      </c>
      <c r="BH119" s="48" t="str">
        <f aca="false">IF(AR119&lt;=0,"",IF(CC119="Aussen","Aussenlager",IF(CC119="-","Nicht im Lift",IF(AW119&gt;=1,"Lift",IF(AW119&lt;=0,"Aussenlager","teilweise")))))</f>
        <v>Lift</v>
      </c>
      <c r="BI119" s="48" t="str">
        <f aca="false">IF(BA119&lt;=0,"",IF(CC119="Aussen","Aussenlager",IF(CC119="-","Nicht im Lift",IF(BF119&gt;=1,"Lift",IF(BF119&lt;=0,"Aussenlager","teilweise")))))</f>
        <v>Lift</v>
      </c>
      <c r="BJ119" s="48" t="str">
        <f aca="false">IF(A119="","",IF(BS119=1,"Neu; ","")&amp;IF(AND(BS119=0,BN119&lt;0),"negativer Bestand (Export "&amp;BN119&amp;"); ","")&amp;IF(J119&lt;=0,"Kein Verbrauch; ","")&amp;IF(CL119&gt;0,"Lift "&amp;W119&amp;" lt. Liftbericht (Fach "&amp;X119&amp;" Stk); ",IF(BX119=1,"Gebinde geschätzt ("&amp;T119&amp;"); ",IF(BW119=1,"Lose – Tablare geschätzt; ","")))&amp;IF(H119&gt;AT119,"Überbestand "&amp;ROUND(H119-AT119,0)&amp;" Stk / CHF "&amp;ROUND((H119-AT119)*G119,0)&amp;"; ","")&amp;IF(AND(CE119=1,CF119&lt;CG119),"MAX &lt; MB+LG; ","")&amp;IF(AND(CK119&gt;0,CJ119*10&gt;CK119),"zu hoch für Tablar; ","")&amp;IF(AND(BS119=0,OR(CE119=1,AA119&lt;&gt;"",U119&lt;&gt;"",V119&lt;&gt;"",AB119&lt;&gt;"")),"manuell übersteuert; ","")&amp;IF(AND(BW119=0,R119=0),"Gebinde unbekannt / Stellmass fehlt; ","")&amp;IF(AND(BW119=0,N(V119)&lt;=0,N(Q119)&lt;=0),"Menge pro Gebinde fehlt (Ist = 1 Gebinde); ","")&amp;BR119)</f>
        <v/>
      </c>
      <c r="BK119" s="48"/>
      <c r="BL119" s="48"/>
      <c r="BM119" s="55"/>
      <c r="BN119" s="50" t="n">
        <v>45</v>
      </c>
      <c r="BO119" s="50" t="n">
        <v>183</v>
      </c>
      <c r="BP119" s="49" t="n">
        <v>1852.62</v>
      </c>
      <c r="BQ119" s="50" t="n">
        <v>1320</v>
      </c>
      <c r="BR119" s="48"/>
      <c r="BS119" s="53" t="n">
        <v>0</v>
      </c>
      <c r="BT119" s="53" t="n">
        <v>119</v>
      </c>
      <c r="BU119" s="48" t="str">
        <f aca="false">IF(U119&lt;&gt;"",UPPER(TRIM(U119)),IF(BX119=1,UPPER(VLOOKUP(T119,Parameter!$I$27:$K$29,2,0)),IF(P119="","LOSE",P119)))</f>
        <v>S52</v>
      </c>
      <c r="BV119" s="50" t="n">
        <f aca="false">IF(BU119="LOSE",1,IF(N(V119)&gt;0,V119,IF(BX119=1,MAX(1,N(VLOOKUP(T119,Parameter!$I$27:$K$29,3,0)),H119,N(N119)),IF(N(Q119)&gt;0,Q119,MAX(1,H119)))))</f>
        <v>850</v>
      </c>
      <c r="BW119" s="53" t="n">
        <f aca="false">IF(BU119="LOSE",1,0)</f>
        <v>0</v>
      </c>
      <c r="BX119" s="53" t="n">
        <f aca="false">IF(AND(U119="",OR(P119="",P119="LOSE"),T119&lt;&gt;"",N(S119)&lt;=0,ISNUMBER(MATCH(T119,Parameter!$I$27:$I$29,0))),1,0)</f>
        <v>0</v>
      </c>
      <c r="BY119" s="53" t="n">
        <f aca="false">IF(CL119&gt;0,INDEX(Parameter!$H$5:$H$7,W119)/INDEX(Parameter!$E$5:$E$7,W119),IF(AND(BW119=0,N(IFERROR(VLOOKUP(BU119,'Gebinde-Kategorie'!$A$5:$N$45,14,0),0))&gt;0),VLOOKUP(BU119,'Gebinde-Kategorie'!$A$5:$N$45,14,0)*10+Parameter!$M$23,Parameter!$M$24))</f>
        <v>245</v>
      </c>
      <c r="BZ119" s="48" t="str">
        <f aca="false">IF(AND(Parameter!$B$19="Ja",E119&lt;&gt;"",ISNUMBER(MATCH(E119,Parameter!$I$35:$I$52,0))),VLOOKUP(E119,Parameter!$I$35:$J$52,2,0),IFERROR(VLOOKUP(D119,Parameter!$A$35:$C$64,2,0),"Nein"))</f>
        <v>2+3</v>
      </c>
      <c r="CA119" s="52" t="n">
        <f aca="false">IF(BW119=0,0,IF(N(S119)&gt;0,S119,IFERROR(VLOOKUP(D119,Parameter!$A$35:$C$64,3,0)+0,0)))</f>
        <v>0</v>
      </c>
      <c r="CB119" s="48" t="n">
        <f aca="false">IF(AA119&lt;&gt;"",AA119,Z119)</f>
        <v>3</v>
      </c>
      <c r="CC119" s="48" t="str">
        <f aca="false">IF(OR(CB119=1,CB119=2,CB119=3),IF(Parameter!$E$27="Ja","LIFT",IF(CB119=1,"L1","L23")),IF(CB119="Aussen","Aussen","-"))</f>
        <v>LIFT</v>
      </c>
      <c r="CD119" s="59" t="n">
        <f aca="false">IF(N(AB119)&gt;0,AB119,0)</f>
        <v>0</v>
      </c>
      <c r="CE119" s="53" t="n">
        <f aca="false">IF(ISNUMBER(AE119),1,0)</f>
        <v>0</v>
      </c>
      <c r="CF119" s="50" t="n">
        <f aca="false">N(AE119)</f>
        <v>0</v>
      </c>
      <c r="CG119" s="50" t="n">
        <f aca="false">N(M119)+N(N119)</f>
        <v>277</v>
      </c>
      <c r="CH119" s="50" t="n">
        <f aca="false">ROUNDUP(H119/BV119,0)</f>
        <v>1</v>
      </c>
      <c r="CI119" s="50" t="n">
        <f aca="false">ROUNDUP(CF119/BV119,0)</f>
        <v>0</v>
      </c>
      <c r="CJ119" s="53" t="n">
        <f aca="false">IF(BW119=1,0,IFERROR(VLOOKUP(BU119,'Gebinde-Kategorie'!$A$5:$N$45,5,0)+0,0))</f>
        <v>21</v>
      </c>
      <c r="CK119" s="53" t="n">
        <f aca="false">IFERROR(IF(OR(CB119=1,CB119=2,CB119=3),N(INDEX(Parameter!$I$5:$I$7,CB119)),0),0)</f>
        <v>0</v>
      </c>
      <c r="CL119" s="52" t="n">
        <f aca="false">IF(AND(Parameter!$B$21="Ja",ISNUMBER(W119),N(X119)&gt;0),IFERROR(N(INDEX(Parameter!$L$5:$L$7,W119))*INDEX(Parameter!$E$5:$E$7,W119)*X119/SUMIFS($X$7:$X$1843,$W$7:$W$1843,W119),0),0)</f>
        <v>0</v>
      </c>
    </row>
    <row r="120" customFormat="false" ht="15" hidden="false" customHeight="false" outlineLevel="0" collapsed="false">
      <c r="A120" s="48" t="s">
        <v>453</v>
      </c>
      <c r="B120" s="48" t="s">
        <v>454</v>
      </c>
      <c r="C120" s="48" t="s">
        <v>168</v>
      </c>
      <c r="D120" s="48" t="s">
        <v>177</v>
      </c>
      <c r="E120" s="48" t="s">
        <v>189</v>
      </c>
      <c r="F120" s="48" t="s">
        <v>222</v>
      </c>
      <c r="G120" s="49" t="n">
        <v>106.7</v>
      </c>
      <c r="H120" s="50" t="n">
        <f aca="false">MAX(0,IF(AND(Parameter!$B$21="Ja",ISNUMBER(Y120)),Y120,IF(Parameter!$B$20="Jahresanfang 2025 + Export",BO120+BN120,BN120)))</f>
        <v>113</v>
      </c>
      <c r="I120" s="50" t="n">
        <f aca="false">H120*G120</f>
        <v>12057.1</v>
      </c>
      <c r="J120" s="50" t="n">
        <f aca="false">BQ120*Parameter!$B$18</f>
        <v>444</v>
      </c>
      <c r="K120" s="51" t="n">
        <v>83.5</v>
      </c>
      <c r="L120" s="52" t="n">
        <v>5.31736526946108</v>
      </c>
      <c r="M120" s="50" t="n">
        <v>25</v>
      </c>
      <c r="N120" s="50" t="n">
        <v>110</v>
      </c>
      <c r="O120" s="53" t="n">
        <v>21</v>
      </c>
      <c r="P120" s="48" t="s">
        <v>178</v>
      </c>
      <c r="Q120" s="50" t="n">
        <v>56</v>
      </c>
      <c r="R120" s="53" t="n">
        <f aca="false">IF(BW120=1,0,IFERROR(VLOOKUP(BU120,'Gebinde-Kategorie'!$A$5:$N$45,13,0)+0,0))</f>
        <v>6</v>
      </c>
      <c r="S120" s="54"/>
      <c r="T120" s="55"/>
      <c r="U120" s="55"/>
      <c r="V120" s="55"/>
      <c r="W120" s="48"/>
      <c r="X120" s="50"/>
      <c r="Y120" s="50"/>
      <c r="Z120" s="48" t="n">
        <f aca="false">IF(A120="","",IF(AND(Parameter!$B$21="Ja",ISNUMBER(W120)),W120,IF(BZ120="2+3",IF(ISNUMBER(SEARCH("grosser Artikel",BR120)),2,IFERROR(VLOOKUP(BU120,Parameter!$F$35:$G$64,2,0),2)),IF(OR(BZ120="Nein",BZ120=""),"-",BZ120))))</f>
        <v>2</v>
      </c>
      <c r="AA120" s="55"/>
      <c r="AB120" s="56"/>
      <c r="AC120" s="50" t="n">
        <f aca="false">AT120</f>
        <v>224</v>
      </c>
      <c r="AD120" s="50" t="n">
        <f aca="false">MAX(AT120,H120)</f>
        <v>224</v>
      </c>
      <c r="AE120" s="57"/>
      <c r="AF120" s="50" t="n">
        <f aca="false">IF(LEFT(Cockpit!$C$5,1)="A",H120,IF(CE120=1,CF120,IF(LEFT(Cockpit!$C$5,1)="B",AK120,MAX(AK120,H120))))</f>
        <v>113</v>
      </c>
      <c r="AG120" s="50" t="n">
        <f aca="false">IF(BW120=1,0,ROUNDUP(AF120/BV120,0))</f>
        <v>3</v>
      </c>
      <c r="AH120" s="52" t="n">
        <f aca="false">IF(CL120&gt;0,CL120*MAX(1,AF120/X120),IF(BW120=1,IF(AF120&lt;=0,0,CA120*MAX(1,IF(H120&gt;0,AF120/H120,1))),IF(R120&gt;0,AG120/R120,0))/MAX(0.1,N(Parameter!$M$21)))</f>
        <v>0.5</v>
      </c>
      <c r="AI120" s="50" t="n">
        <f aca="false">AH120*BY120</f>
        <v>117.5</v>
      </c>
      <c r="AJ120" s="50" t="n">
        <f aca="false">AF120*G120</f>
        <v>12057.1</v>
      </c>
      <c r="AK120" s="50" t="n">
        <f aca="false">ROUNDUP(MAX(J120/IF(CD120&gt;0,CD120,MAX(0.1,N(Cockpit!$C$6))),CG120)/BV120,0)*BV120</f>
        <v>224</v>
      </c>
      <c r="AL120" s="51" t="n">
        <f aca="false">IF(AI120&gt;0,J120/AI120,-1)</f>
        <v>3.77872340425532</v>
      </c>
      <c r="AM120" s="51" t="n">
        <f aca="false">IF(AND(OR(CC120="L1",CC120="L23",CC120="LIFT"),AI120&gt;0),SUMIFS($AI$7:$AI$1843,$CC$7:$CC$1843,CC120,$AL$7:$AL$1843,"&gt;"&amp;AL120)+SUMIFS($AI$7:$AI$1843,$CC$7:$CC$1843,CC120,$AL$7:$AL$1843,AL120,$BT$7:$BT$1843,"&lt;="&amp;BT120),"")</f>
        <v>4679.05769230769</v>
      </c>
      <c r="AN120" s="58" t="n">
        <f aca="false">IF(AM120="",0,MAX(0,MIN(1,(IF(CC120="L1",Parameter!$H$5,IF(CC120="L23",Parameter!$H$6+Parameter!$H$7,Parameter!$H$5+Parameter!$H$6+Parameter!$H$7))-(AM120-AI120))/AI120)))</f>
        <v>1</v>
      </c>
      <c r="AO120" s="50" t="n">
        <f aca="false">IF(LEFT(Cockpit!$I$5,1)="A",H120,IF(CE120=1,CF120,IF(LEFT(Cockpit!$I$5,1)="B",AT120,MAX(AT120,H120))))</f>
        <v>224</v>
      </c>
      <c r="AP120" s="50" t="n">
        <f aca="false">IF(BW120=1,0,ROUNDUP(AO120/BV120,0))</f>
        <v>4</v>
      </c>
      <c r="AQ120" s="52" t="n">
        <f aca="false">IF(CL120&gt;0,CL120*MAX(1,AO120/X120),IF(BW120=1,IF(AO120&lt;=0,0,CA120*MAX(1,IF(H120&gt;0,AO120/H120,1))),IF(R120&gt;0,AP120/R120,0))/MAX(0.1,N(Parameter!$M$21)))</f>
        <v>0.666666666666667</v>
      </c>
      <c r="AR120" s="50" t="n">
        <f aca="false">AQ120*BY120</f>
        <v>156.666666666667</v>
      </c>
      <c r="AS120" s="50" t="n">
        <f aca="false">AO120*G120</f>
        <v>23900.8</v>
      </c>
      <c r="AT120" s="50" t="n">
        <f aca="false">ROUNDUP(MAX(J120/IF(CD120&gt;0,CD120,MAX(0.1,N(Cockpit!$I$6))),CG120)/BV120,0)*BV120</f>
        <v>224</v>
      </c>
      <c r="AU120" s="51" t="n">
        <f aca="false">IF(AR120&gt;0,J120/AR120,-1)</f>
        <v>2.83404255319149</v>
      </c>
      <c r="AV120" s="51" t="n">
        <f aca="false">IF(AND(OR(CC120="L1",CC120="L23",CC120="LIFT"),AR120&gt;0),SUMIFS($AR$7:$AR$1843,$CC$7:$CC$1843,CC120,$AU$7:$AU$1843,"&gt;"&amp;AU120)+SUMIFS($AR$7:$AR$1843,$CC$7:$CC$1843,CC120,$AU$7:$AU$1843,AU120,$BT$7:$BT$1843,"&lt;="&amp;BT120),"")</f>
        <v>6610.31227106227</v>
      </c>
      <c r="AW120" s="58" t="n">
        <f aca="false">IF(AV120="",0,MAX(0,MIN(1,(IF(CC120="L1",Parameter!$H$5,IF(CC120="L23",Parameter!$H$6+Parameter!$H$7,Parameter!$H$5+Parameter!$H$6+Parameter!$H$7))-(AV120-AR120))/AR120)))</f>
        <v>1</v>
      </c>
      <c r="AX120" s="50" t="n">
        <f aca="false">IF(LEFT(Cockpit!$O$5,1)="A",H120,IF(CE120=1,CF120,IF(LEFT(Cockpit!$O$5,1)="B",BC120,MAX(BC120,H120))))</f>
        <v>168</v>
      </c>
      <c r="AY120" s="50" t="n">
        <f aca="false">IF(BW120=1,0,ROUNDUP(AX120/BV120,0))</f>
        <v>3</v>
      </c>
      <c r="AZ120" s="52" t="n">
        <f aca="false">IF(CL120&gt;0,CL120*MAX(1,AX120/X120),IF(BW120=1,IF(AX120&lt;=0,0,CA120*MAX(1,IF(H120&gt;0,AX120/H120,1))),IF(R120&gt;0,AY120/R120,0))/MAX(0.1,N(Parameter!$M$21)))</f>
        <v>0.5</v>
      </c>
      <c r="BA120" s="50" t="n">
        <f aca="false">AZ120*BY120</f>
        <v>117.5</v>
      </c>
      <c r="BB120" s="50" t="n">
        <f aca="false">AX120*G120</f>
        <v>17925.6</v>
      </c>
      <c r="BC120" s="50" t="n">
        <f aca="false">ROUNDUP(MAX(J120/IF(CD120&gt;0,CD120,MAX(0.1,N(Cockpit!$O$6))),CG120)/BV120,0)*BV120</f>
        <v>168</v>
      </c>
      <c r="BD120" s="51" t="n">
        <f aca="false">IF(BA120&gt;0,J120/BA120,-1)</f>
        <v>3.77872340425532</v>
      </c>
      <c r="BE120" s="51" t="n">
        <f aca="false">IF(AND(OR(CC120="L1",CC120="L23",CC120="LIFT"),BA120&gt;0),SUMIFS($BA$7:$BA$1843,$CC$7:$CC$1843,CC120,$BD$7:$BD$1843,"&gt;"&amp;BD120)+SUMIFS($BA$7:$BA$1843,$CC$7:$CC$1843,CC120,$BD$7:$BD$1843,BD120,$BT$7:$BT$1843,"&lt;="&amp;BT120),"")</f>
        <v>5752.73626373626</v>
      </c>
      <c r="BF120" s="58" t="n">
        <f aca="false">IF(BE120="",0,MAX(0,MIN(1,(IF(CC120="L1",Parameter!$H$5,IF(CC120="L23",Parameter!$H$6+Parameter!$H$7,Parameter!$H$5+Parameter!$H$6+Parameter!$H$7))-(BE120-BA120))/BA120)))</f>
        <v>1</v>
      </c>
      <c r="BG120" s="48" t="str">
        <f aca="false">IF(AI120&lt;=0,"",IF(CC120="Aussen","Aussenlager",IF(CC120="-","Nicht im Lift",IF(AN120&gt;=1,"Lift",IF(AN120&lt;=0,"Aussenlager","teilweise")))))</f>
        <v>Lift</v>
      </c>
      <c r="BH120" s="48" t="str">
        <f aca="false">IF(AR120&lt;=0,"",IF(CC120="Aussen","Aussenlager",IF(CC120="-","Nicht im Lift",IF(AW120&gt;=1,"Lift",IF(AW120&lt;=0,"Aussenlager","teilweise")))))</f>
        <v>Lift</v>
      </c>
      <c r="BI120" s="48" t="str">
        <f aca="false">IF(BA120&lt;=0,"",IF(CC120="Aussen","Aussenlager",IF(CC120="-","Nicht im Lift",IF(BF120&gt;=1,"Lift",IF(BF120&lt;=0,"Aussenlager","teilweise")))))</f>
        <v>Lift</v>
      </c>
      <c r="BJ120" s="48" t="str">
        <f aca="false">IF(A120="","",IF(BS120=1,"Neu; ","")&amp;IF(AND(BS120=0,BN120&lt;0),"negativer Bestand (Export "&amp;BN120&amp;"); ","")&amp;IF(J120&lt;=0,"Kein Verbrauch; ","")&amp;IF(CL120&gt;0,"Lift "&amp;W120&amp;" lt. Liftbericht (Fach "&amp;X120&amp;" Stk); ",IF(BX120=1,"Gebinde geschätzt ("&amp;T120&amp;"); ",IF(BW120=1,"Lose – Tablare geschätzt; ","")))&amp;IF(H120&gt;AT120,"Überbestand "&amp;ROUND(H120-AT120,0)&amp;" Stk / CHF "&amp;ROUND((H120-AT120)*G120,0)&amp;"; ","")&amp;IF(AND(CE120=1,CF120&lt;CG120),"MAX &lt; MB+LG; ","")&amp;IF(AND(CK120&gt;0,CJ120*10&gt;CK120),"zu hoch für Tablar; ","")&amp;IF(AND(BS120=0,OR(CE120=1,AA120&lt;&gt;"",U120&lt;&gt;"",V120&lt;&gt;"",AB120&lt;&gt;"")),"manuell übersteuert; ","")&amp;IF(AND(BW120=0,R120=0),"Gebinde unbekannt / Stellmass fehlt; ","")&amp;IF(AND(BW120=0,N(V120)&lt;=0,N(Q120)&lt;=0),"Menge pro Gebinde fehlt (Ist = 1 Gebinde); ","")&amp;BR120)</f>
        <v>grosser Artikel &amp; nicht im KTL</v>
      </c>
      <c r="BK120" s="48"/>
      <c r="BL120" s="48"/>
      <c r="BM120" s="55"/>
      <c r="BN120" s="50" t="n">
        <v>20</v>
      </c>
      <c r="BO120" s="50" t="n">
        <v>93</v>
      </c>
      <c r="BP120" s="49" t="n">
        <v>1844.19999999997</v>
      </c>
      <c r="BQ120" s="50" t="n">
        <v>444</v>
      </c>
      <c r="BR120" s="48" t="s">
        <v>265</v>
      </c>
      <c r="BS120" s="53" t="n">
        <v>0</v>
      </c>
      <c r="BT120" s="53" t="n">
        <v>120</v>
      </c>
      <c r="BU120" s="48" t="str">
        <f aca="false">IF(U120&lt;&gt;"",UPPER(TRIM(U120)),IF(BX120=1,UPPER(VLOOKUP(T120,Parameter!$I$27:$K$29,2,0)),IF(P120="","LOSE",P120)))</f>
        <v>S71</v>
      </c>
      <c r="BV120" s="50" t="n">
        <f aca="false">IF(BU120="LOSE",1,IF(N(V120)&gt;0,V120,IF(BX120=1,MAX(1,N(VLOOKUP(T120,Parameter!$I$27:$K$29,3,0)),H120,N(N120)),IF(N(Q120)&gt;0,Q120,MAX(1,H120)))))</f>
        <v>56</v>
      </c>
      <c r="BW120" s="53" t="n">
        <f aca="false">IF(BU120="LOSE",1,0)</f>
        <v>0</v>
      </c>
      <c r="BX120" s="53" t="n">
        <f aca="false">IF(AND(U120="",OR(P120="",P120="LOSE"),T120&lt;&gt;"",N(S120)&lt;=0,ISNUMBER(MATCH(T120,Parameter!$I$27:$I$29,0))),1,0)</f>
        <v>0</v>
      </c>
      <c r="BY120" s="53" t="n">
        <f aca="false">IF(CL120&gt;0,INDEX(Parameter!$H$5:$H$7,W120)/INDEX(Parameter!$E$5:$E$7,W120),IF(AND(BW120=0,N(IFERROR(VLOOKUP(BU120,'Gebinde-Kategorie'!$A$5:$N$45,14,0),0))&gt;0),VLOOKUP(BU120,'Gebinde-Kategorie'!$A$5:$N$45,14,0)*10+Parameter!$M$23,Parameter!$M$24))</f>
        <v>235</v>
      </c>
      <c r="BZ120" s="48" t="str">
        <f aca="false">IF(AND(Parameter!$B$19="Ja",E120&lt;&gt;"",ISNUMBER(MATCH(E120,Parameter!$I$35:$I$52,0))),VLOOKUP(E120,Parameter!$I$35:$J$52,2,0),IFERROR(VLOOKUP(D120,Parameter!$A$35:$C$64,2,0),"Nein"))</f>
        <v>2+3</v>
      </c>
      <c r="CA120" s="52" t="n">
        <f aca="false">IF(BW120=0,0,IF(N(S120)&gt;0,S120,IFERROR(VLOOKUP(D120,Parameter!$A$35:$C$64,3,0)+0,0)))</f>
        <v>0</v>
      </c>
      <c r="CB120" s="48" t="n">
        <f aca="false">IF(AA120&lt;&gt;"",AA120,Z120)</f>
        <v>2</v>
      </c>
      <c r="CC120" s="48" t="str">
        <f aca="false">IF(OR(CB120=1,CB120=2,CB120=3),IF(Parameter!$E$27="Ja","LIFT",IF(CB120=1,"L1","L23")),IF(CB120="Aussen","Aussen","-"))</f>
        <v>LIFT</v>
      </c>
      <c r="CD120" s="59" t="n">
        <f aca="false">IF(N(AB120)&gt;0,AB120,0)</f>
        <v>0</v>
      </c>
      <c r="CE120" s="53" t="n">
        <f aca="false">IF(ISNUMBER(AE120),1,0)</f>
        <v>0</v>
      </c>
      <c r="CF120" s="50" t="n">
        <f aca="false">N(AE120)</f>
        <v>0</v>
      </c>
      <c r="CG120" s="50" t="n">
        <f aca="false">N(M120)+N(N120)</f>
        <v>135</v>
      </c>
      <c r="CH120" s="50" t="n">
        <f aca="false">ROUNDUP(H120/BV120,0)</f>
        <v>3</v>
      </c>
      <c r="CI120" s="50" t="n">
        <f aca="false">ROUNDUP(CF120/BV120,0)</f>
        <v>0</v>
      </c>
      <c r="CJ120" s="53" t="n">
        <f aca="false">IF(BW120=1,0,IFERROR(VLOOKUP(BU120,'Gebinde-Kategorie'!$A$5:$N$45,5,0)+0,0))</f>
        <v>20</v>
      </c>
      <c r="CK120" s="53" t="n">
        <f aca="false">IFERROR(IF(OR(CB120=1,CB120=2,CB120=3),N(INDEX(Parameter!$I$5:$I$7,CB120)),0),0)</f>
        <v>0</v>
      </c>
      <c r="CL120" s="52" t="n">
        <f aca="false">IF(AND(Parameter!$B$21="Ja",ISNUMBER(W120),N(X120)&gt;0),IFERROR(N(INDEX(Parameter!$L$5:$L$7,W120))*INDEX(Parameter!$E$5:$E$7,W120)*X120/SUMIFS($X$7:$X$1843,$W$7:$W$1843,W120),0),0)</f>
        <v>0</v>
      </c>
    </row>
    <row r="121" customFormat="false" ht="15" hidden="false" customHeight="false" outlineLevel="0" collapsed="false">
      <c r="A121" s="48" t="s">
        <v>455</v>
      </c>
      <c r="B121" s="48" t="s">
        <v>456</v>
      </c>
      <c r="C121" s="48" t="s">
        <v>168</v>
      </c>
      <c r="D121" s="48" t="s">
        <v>188</v>
      </c>
      <c r="E121" s="48" t="s">
        <v>189</v>
      </c>
      <c r="F121" s="48" t="s">
        <v>222</v>
      </c>
      <c r="G121" s="49" t="n">
        <v>59.19</v>
      </c>
      <c r="H121" s="50" t="n">
        <f aca="false">MAX(0,IF(AND(Parameter!$B$21="Ja",ISNUMBER(Y121)),Y121,IF(Parameter!$B$20="Jahresanfang 2025 + Export",BO121+BN121,BN121)))</f>
        <v>59</v>
      </c>
      <c r="I121" s="50" t="n">
        <f aca="false">H121*G121</f>
        <v>3492.21</v>
      </c>
      <c r="J121" s="50" t="n">
        <f aca="false">BQ121*Parameter!$B$18</f>
        <v>59</v>
      </c>
      <c r="K121" s="51" t="n">
        <v>52</v>
      </c>
      <c r="L121" s="52" t="n">
        <v>1.13461538461539</v>
      </c>
      <c r="M121" s="50" t="n">
        <v>5</v>
      </c>
      <c r="N121" s="50" t="n">
        <v>50</v>
      </c>
      <c r="O121" s="53" t="n">
        <v>28</v>
      </c>
      <c r="P121" s="48" t="s">
        <v>237</v>
      </c>
      <c r="Q121" s="50" t="n">
        <v>12</v>
      </c>
      <c r="R121" s="53" t="n">
        <f aca="false">IF(BW121=1,0,IFERROR(VLOOKUP(BU121,'Gebinde-Kategorie'!$A$5:$N$45,13,0)+0,0))</f>
        <v>26</v>
      </c>
      <c r="S121" s="54"/>
      <c r="T121" s="55"/>
      <c r="U121" s="55"/>
      <c r="V121" s="55"/>
      <c r="W121" s="48"/>
      <c r="X121" s="50"/>
      <c r="Y121" s="50"/>
      <c r="Z121" s="48" t="n">
        <f aca="false">IF(A121="","",IF(AND(Parameter!$B$21="Ja",ISNUMBER(W121)),W121,IF(BZ121="2+3",IF(ISNUMBER(SEARCH("grosser Artikel",BR121)),2,IFERROR(VLOOKUP(BU121,Parameter!$F$35:$G$64,2,0),2)),IF(OR(BZ121="Nein",BZ121=""),"-",BZ121))))</f>
        <v>3</v>
      </c>
      <c r="AA121" s="55"/>
      <c r="AB121" s="56"/>
      <c r="AC121" s="50" t="n">
        <f aca="false">AT121</f>
        <v>60</v>
      </c>
      <c r="AD121" s="50" t="n">
        <f aca="false">MAX(AT121,H121)</f>
        <v>60</v>
      </c>
      <c r="AE121" s="57"/>
      <c r="AF121" s="50" t="n">
        <f aca="false">IF(LEFT(Cockpit!$C$5,1)="A",H121,IF(CE121=1,CF121,IF(LEFT(Cockpit!$C$5,1)="B",AK121,MAX(AK121,H121))))</f>
        <v>59</v>
      </c>
      <c r="AG121" s="50" t="n">
        <f aca="false">IF(BW121=1,0,ROUNDUP(AF121/BV121,0))</f>
        <v>5</v>
      </c>
      <c r="AH121" s="52" t="n">
        <f aca="false">IF(CL121&gt;0,CL121*MAX(1,AF121/X121),IF(BW121=1,IF(AF121&lt;=0,0,CA121*MAX(1,IF(H121&gt;0,AF121/H121,1))),IF(R121&gt;0,AG121/R121,0))/MAX(0.1,N(Parameter!$M$21)))</f>
        <v>0.192307692307692</v>
      </c>
      <c r="AI121" s="50" t="n">
        <f aca="false">AH121*BY121</f>
        <v>47.1153846153846</v>
      </c>
      <c r="AJ121" s="50" t="n">
        <f aca="false">AF121*G121</f>
        <v>3492.21</v>
      </c>
      <c r="AK121" s="50" t="n">
        <f aca="false">ROUNDUP(MAX(J121/IF(CD121&gt;0,CD121,MAX(0.1,N(Cockpit!$C$6))),CG121)/BV121,0)*BV121</f>
        <v>60</v>
      </c>
      <c r="AL121" s="51" t="n">
        <f aca="false">IF(AI121&gt;0,J121/AI121,-1)</f>
        <v>1.25224489795918</v>
      </c>
      <c r="AM121" s="51" t="n">
        <f aca="false">IF(AND(OR(CC121="L1",CC121="L23",CC121="LIFT"),AI121&gt;0),SUMIFS($AI$7:$AI$1843,$CC$7:$CC$1843,CC121,$AL$7:$AL$1843,"&gt;"&amp;AL121)+SUMIFS($AI$7:$AI$1843,$CC$7:$CC$1843,CC121,$AL$7:$AL$1843,AL121,$BT$7:$BT$1843,"&lt;="&amp;BT121),"")</f>
        <v>6411.05173992674</v>
      </c>
      <c r="AN121" s="58" t="n">
        <f aca="false">IF(AM121="",0,MAX(0,MIN(1,(IF(CC121="L1",Parameter!$H$5,IF(CC121="L23",Parameter!$H$6+Parameter!$H$7,Parameter!$H$5+Parameter!$H$6+Parameter!$H$7))-(AM121-AI121))/AI121)))</f>
        <v>1</v>
      </c>
      <c r="AO121" s="50" t="n">
        <f aca="false">IF(LEFT(Cockpit!$I$5,1)="A",H121,IF(CE121=1,CF121,IF(LEFT(Cockpit!$I$5,1)="B",AT121,MAX(AT121,H121))))</f>
        <v>60</v>
      </c>
      <c r="AP121" s="50" t="n">
        <f aca="false">IF(BW121=1,0,ROUNDUP(AO121/BV121,0))</f>
        <v>5</v>
      </c>
      <c r="AQ121" s="52" t="n">
        <f aca="false">IF(CL121&gt;0,CL121*MAX(1,AO121/X121),IF(BW121=1,IF(AO121&lt;=0,0,CA121*MAX(1,IF(H121&gt;0,AO121/H121,1))),IF(R121&gt;0,AP121/R121,0))/MAX(0.1,N(Parameter!$M$21)))</f>
        <v>0.192307692307692</v>
      </c>
      <c r="AR121" s="50" t="n">
        <f aca="false">AQ121*BY121</f>
        <v>47.1153846153846</v>
      </c>
      <c r="AS121" s="50" t="n">
        <f aca="false">AO121*G121</f>
        <v>3551.4</v>
      </c>
      <c r="AT121" s="50" t="n">
        <f aca="false">ROUNDUP(MAX(J121/IF(CD121&gt;0,CD121,MAX(0.1,N(Cockpit!$I$6))),CG121)/BV121,0)*BV121</f>
        <v>60</v>
      </c>
      <c r="AU121" s="51" t="n">
        <f aca="false">IF(AR121&gt;0,J121/AR121,-1)</f>
        <v>1.25224489795918</v>
      </c>
      <c r="AV121" s="51" t="n">
        <f aca="false">IF(AND(OR(CC121="L1",CC121="L23",CC121="LIFT"),AR121&gt;0),SUMIFS($AR$7:$AR$1843,$CC$7:$CC$1843,CC121,$AU$7:$AU$1843,"&gt;"&amp;AU121)+SUMIFS($AR$7:$AR$1843,$CC$7:$CC$1843,CC121,$AU$7:$AU$1843,AU121,$BT$7:$BT$1843,"&lt;="&amp;BT121),"")</f>
        <v>9604.03937728938</v>
      </c>
      <c r="AW121" s="58" t="n">
        <f aca="false">IF(AV121="",0,MAX(0,MIN(1,(IF(CC121="L1",Parameter!$H$5,IF(CC121="L23",Parameter!$H$6+Parameter!$H$7,Parameter!$H$5+Parameter!$H$6+Parameter!$H$7))-(AV121-AR121))/AR121)))</f>
        <v>1</v>
      </c>
      <c r="AX121" s="50" t="n">
        <f aca="false">IF(LEFT(Cockpit!$O$5,1)="A",H121,IF(CE121=1,CF121,IF(LEFT(Cockpit!$O$5,1)="B",BC121,MAX(BC121,H121))))</f>
        <v>60</v>
      </c>
      <c r="AY121" s="50" t="n">
        <f aca="false">IF(BW121=1,0,ROUNDUP(AX121/BV121,0))</f>
        <v>5</v>
      </c>
      <c r="AZ121" s="52" t="n">
        <f aca="false">IF(CL121&gt;0,CL121*MAX(1,AX121/X121),IF(BW121=1,IF(AX121&lt;=0,0,CA121*MAX(1,IF(H121&gt;0,AX121/H121,1))),IF(R121&gt;0,AY121/R121,0))/MAX(0.1,N(Parameter!$M$21)))</f>
        <v>0.192307692307692</v>
      </c>
      <c r="BA121" s="50" t="n">
        <f aca="false">AZ121*BY121</f>
        <v>47.1153846153846</v>
      </c>
      <c r="BB121" s="50" t="n">
        <f aca="false">AX121*G121</f>
        <v>3551.4</v>
      </c>
      <c r="BC121" s="50" t="n">
        <f aca="false">ROUNDUP(MAX(J121/IF(CD121&gt;0,CD121,MAX(0.1,N(Cockpit!$O$6))),CG121)/BV121,0)*BV121</f>
        <v>60</v>
      </c>
      <c r="BD121" s="51" t="n">
        <f aca="false">IF(BA121&gt;0,J121/BA121,-1)</f>
        <v>1.25224489795918</v>
      </c>
      <c r="BE121" s="51" t="n">
        <f aca="false">IF(AND(OR(CC121="L1",CC121="L23",CC121="LIFT"),BA121&gt;0),SUMIFS($BA$7:$BA$1843,$CC$7:$CC$1843,CC121,$BD$7:$BD$1843,"&gt;"&amp;BD121)+SUMIFS($BA$7:$BA$1843,$CC$7:$CC$1843,CC121,$BD$7:$BD$1843,BD121,$BT$7:$BT$1843,"&lt;="&amp;BT121),"")</f>
        <v>8789.69642857143</v>
      </c>
      <c r="BF121" s="58" t="n">
        <f aca="false">IF(BE121="",0,MAX(0,MIN(1,(IF(CC121="L1",Parameter!$H$5,IF(CC121="L23",Parameter!$H$6+Parameter!$H$7,Parameter!$H$5+Parameter!$H$6+Parameter!$H$7))-(BE121-BA121))/BA121)))</f>
        <v>1</v>
      </c>
      <c r="BG121" s="48" t="str">
        <f aca="false">IF(AI121&lt;=0,"",IF(CC121="Aussen","Aussenlager",IF(CC121="-","Nicht im Lift",IF(AN121&gt;=1,"Lift",IF(AN121&lt;=0,"Aussenlager","teilweise")))))</f>
        <v>Lift</v>
      </c>
      <c r="BH121" s="48" t="str">
        <f aca="false">IF(AR121&lt;=0,"",IF(CC121="Aussen","Aussenlager",IF(CC121="-","Nicht im Lift",IF(AW121&gt;=1,"Lift",IF(AW121&lt;=0,"Aussenlager","teilweise")))))</f>
        <v>Lift</v>
      </c>
      <c r="BI121" s="48" t="str">
        <f aca="false">IF(BA121&lt;=0,"",IF(CC121="Aussen","Aussenlager",IF(CC121="-","Nicht im Lift",IF(BF121&gt;=1,"Lift",IF(BF121&lt;=0,"Aussenlager","teilweise")))))</f>
        <v>Lift</v>
      </c>
      <c r="BJ121" s="48" t="str">
        <f aca="false">IF(A121="","",IF(BS121=1,"Neu; ","")&amp;IF(AND(BS121=0,BN121&lt;0),"negativer Bestand (Export "&amp;BN121&amp;"); ","")&amp;IF(J121&lt;=0,"Kein Verbrauch; ","")&amp;IF(CL121&gt;0,"Lift "&amp;W121&amp;" lt. Liftbericht (Fach "&amp;X121&amp;" Stk); ",IF(BX121=1,"Gebinde geschätzt ("&amp;T121&amp;"); ",IF(BW121=1,"Lose – Tablare geschätzt; ","")))&amp;IF(H121&gt;AT121,"Überbestand "&amp;ROUND(H121-AT121,0)&amp;" Stk / CHF "&amp;ROUND((H121-AT121)*G121,0)&amp;"; ","")&amp;IF(AND(CE121=1,CF121&lt;CG121),"MAX &lt; MB+LG; ","")&amp;IF(AND(CK121&gt;0,CJ121*10&gt;CK121),"zu hoch für Tablar; ","")&amp;IF(AND(BS121=0,OR(CE121=1,AA121&lt;&gt;"",U121&lt;&gt;"",V121&lt;&gt;"",AB121&lt;&gt;"")),"manuell übersteuert; ","")&amp;IF(AND(BW121=0,R121=0),"Gebinde unbekannt / Stellmass fehlt; ","")&amp;IF(AND(BW121=0,N(V121)&lt;=0,N(Q121)&lt;=0),"Menge pro Gebinde fehlt (Ist = 1 Gebinde); ","")&amp;BR121)</f>
        <v/>
      </c>
      <c r="BK121" s="48"/>
      <c r="BL121" s="48"/>
      <c r="BM121" s="55"/>
      <c r="BN121" s="50" t="n">
        <v>31</v>
      </c>
      <c r="BO121" s="50" t="n">
        <v>28</v>
      </c>
      <c r="BP121" s="49" t="n">
        <v>1839.24</v>
      </c>
      <c r="BQ121" s="50" t="n">
        <v>59</v>
      </c>
      <c r="BR121" s="48"/>
      <c r="BS121" s="53" t="n">
        <v>0</v>
      </c>
      <c r="BT121" s="53" t="n">
        <v>121</v>
      </c>
      <c r="BU121" s="48" t="str">
        <f aca="false">IF(U121&lt;&gt;"",UPPER(TRIM(U121)),IF(BX121=1,UPPER(VLOOKUP(T121,Parameter!$I$27:$K$29,2,0)),IF(P121="","LOSE",P121)))</f>
        <v>S52</v>
      </c>
      <c r="BV121" s="50" t="n">
        <f aca="false">IF(BU121="LOSE",1,IF(N(V121)&gt;0,V121,IF(BX121=1,MAX(1,N(VLOOKUP(T121,Parameter!$I$27:$K$29,3,0)),H121,N(N121)),IF(N(Q121)&gt;0,Q121,MAX(1,H121)))))</f>
        <v>12</v>
      </c>
      <c r="BW121" s="53" t="n">
        <f aca="false">IF(BU121="LOSE",1,0)</f>
        <v>0</v>
      </c>
      <c r="BX121" s="53" t="n">
        <f aca="false">IF(AND(U121="",OR(P121="",P121="LOSE"),T121&lt;&gt;"",N(S121)&lt;=0,ISNUMBER(MATCH(T121,Parameter!$I$27:$I$29,0))),1,0)</f>
        <v>0</v>
      </c>
      <c r="BY121" s="53" t="n">
        <f aca="false">IF(CL121&gt;0,INDEX(Parameter!$H$5:$H$7,W121)/INDEX(Parameter!$E$5:$E$7,W121),IF(AND(BW121=0,N(IFERROR(VLOOKUP(BU121,'Gebinde-Kategorie'!$A$5:$N$45,14,0),0))&gt;0),VLOOKUP(BU121,'Gebinde-Kategorie'!$A$5:$N$45,14,0)*10+Parameter!$M$23,Parameter!$M$24))</f>
        <v>245</v>
      </c>
      <c r="BZ121" s="48" t="str">
        <f aca="false">IF(AND(Parameter!$B$19="Ja",E121&lt;&gt;"",ISNUMBER(MATCH(E121,Parameter!$I$35:$I$52,0))),VLOOKUP(E121,Parameter!$I$35:$J$52,2,0),IFERROR(VLOOKUP(D121,Parameter!$A$35:$C$64,2,0),"Nein"))</f>
        <v>2+3</v>
      </c>
      <c r="CA121" s="52" t="n">
        <f aca="false">IF(BW121=0,0,IF(N(S121)&gt;0,S121,IFERROR(VLOOKUP(D121,Parameter!$A$35:$C$64,3,0)+0,0)))</f>
        <v>0</v>
      </c>
      <c r="CB121" s="48" t="n">
        <f aca="false">IF(AA121&lt;&gt;"",AA121,Z121)</f>
        <v>3</v>
      </c>
      <c r="CC121" s="48" t="str">
        <f aca="false">IF(OR(CB121=1,CB121=2,CB121=3),IF(Parameter!$E$27="Ja","LIFT",IF(CB121=1,"L1","L23")),IF(CB121="Aussen","Aussen","-"))</f>
        <v>LIFT</v>
      </c>
      <c r="CD121" s="59" t="n">
        <f aca="false">IF(N(AB121)&gt;0,AB121,0)</f>
        <v>0</v>
      </c>
      <c r="CE121" s="53" t="n">
        <f aca="false">IF(ISNUMBER(AE121),1,0)</f>
        <v>0</v>
      </c>
      <c r="CF121" s="50" t="n">
        <f aca="false">N(AE121)</f>
        <v>0</v>
      </c>
      <c r="CG121" s="50" t="n">
        <f aca="false">N(M121)+N(N121)</f>
        <v>55</v>
      </c>
      <c r="CH121" s="50" t="n">
        <f aca="false">ROUNDUP(H121/BV121,0)</f>
        <v>5</v>
      </c>
      <c r="CI121" s="50" t="n">
        <f aca="false">ROUNDUP(CF121/BV121,0)</f>
        <v>0</v>
      </c>
      <c r="CJ121" s="53" t="n">
        <f aca="false">IF(BW121=1,0,IFERROR(VLOOKUP(BU121,'Gebinde-Kategorie'!$A$5:$N$45,5,0)+0,0))</f>
        <v>21</v>
      </c>
      <c r="CK121" s="53" t="n">
        <f aca="false">IFERROR(IF(OR(CB121=1,CB121=2,CB121=3),N(INDEX(Parameter!$I$5:$I$7,CB121)),0),0)</f>
        <v>0</v>
      </c>
      <c r="CL121" s="52" t="n">
        <f aca="false">IF(AND(Parameter!$B$21="Ja",ISNUMBER(W121),N(X121)&gt;0),IFERROR(N(INDEX(Parameter!$L$5:$L$7,W121))*INDEX(Parameter!$E$5:$E$7,W121)*X121/SUMIFS($X$7:$X$1843,$W$7:$W$1843,W121),0),0)</f>
        <v>0</v>
      </c>
    </row>
    <row r="122" customFormat="false" ht="15" hidden="false" customHeight="false" outlineLevel="0" collapsed="false">
      <c r="A122" s="48" t="s">
        <v>457</v>
      </c>
      <c r="B122" s="48" t="s">
        <v>449</v>
      </c>
      <c r="C122" s="48" t="s">
        <v>168</v>
      </c>
      <c r="D122" s="48" t="s">
        <v>177</v>
      </c>
      <c r="E122" s="48" t="s">
        <v>177</v>
      </c>
      <c r="F122" s="48" t="s">
        <v>222</v>
      </c>
      <c r="G122" s="49" t="n">
        <v>255.71</v>
      </c>
      <c r="H122" s="50" t="n">
        <f aca="false">MAX(0,IF(AND(Parameter!$B$21="Ja",ISNUMBER(Y122)),Y122,IF(Parameter!$B$20="Jahresanfang 2025 + Export",BO122+BN122,BN122)))</f>
        <v>17</v>
      </c>
      <c r="I122" s="50" t="n">
        <f aca="false">H122*G122</f>
        <v>4347.07</v>
      </c>
      <c r="J122" s="50" t="n">
        <f aca="false">BQ122*Parameter!$B$18</f>
        <v>50</v>
      </c>
      <c r="K122" s="51" t="n">
        <v>19</v>
      </c>
      <c r="L122" s="52" t="n">
        <v>2.63157894736842</v>
      </c>
      <c r="M122" s="50" t="n">
        <v>10</v>
      </c>
      <c r="N122" s="50" t="n">
        <v>20</v>
      </c>
      <c r="O122" s="53" t="n">
        <v>40</v>
      </c>
      <c r="P122" s="48" t="s">
        <v>352</v>
      </c>
      <c r="Q122" s="50" t="n">
        <v>35</v>
      </c>
      <c r="R122" s="53" t="n">
        <f aca="false">IF(BW122=1,0,IFERROR(VLOOKUP(BU122,'Gebinde-Kategorie'!$A$5:$N$45,13,0)+0,0))</f>
        <v>4</v>
      </c>
      <c r="S122" s="54"/>
      <c r="T122" s="55"/>
      <c r="U122" s="55"/>
      <c r="V122" s="55"/>
      <c r="W122" s="48"/>
      <c r="X122" s="50"/>
      <c r="Y122" s="50"/>
      <c r="Z122" s="48" t="str">
        <f aca="false">IF(A122="","",IF(AND(Parameter!$B$21="Ja",ISNUMBER(W122)),W122,IF(BZ122="2+3",IF(ISNUMBER(SEARCH("grosser Artikel",BR122)),2,IFERROR(VLOOKUP(BU122,Parameter!$F$35:$G$64,2,0),2)),IF(OR(BZ122="Nein",BZ122=""),"-",BZ122))))</f>
        <v>-</v>
      </c>
      <c r="AA122" s="55"/>
      <c r="AB122" s="56"/>
      <c r="AC122" s="50" t="n">
        <f aca="false">AT122</f>
        <v>35</v>
      </c>
      <c r="AD122" s="50" t="n">
        <f aca="false">MAX(AT122,H122)</f>
        <v>35</v>
      </c>
      <c r="AE122" s="57"/>
      <c r="AF122" s="50" t="n">
        <f aca="false">IF(LEFT(Cockpit!$C$5,1)="A",H122,IF(CE122=1,CF122,IF(LEFT(Cockpit!$C$5,1)="B",AK122,MAX(AK122,H122))))</f>
        <v>17</v>
      </c>
      <c r="AG122" s="50" t="n">
        <f aca="false">IF(BW122=1,0,ROUNDUP(AF122/BV122,0))</f>
        <v>1</v>
      </c>
      <c r="AH122" s="52" t="n">
        <f aca="false">IF(CL122&gt;0,CL122*MAX(1,AF122/X122),IF(BW122=1,IF(AF122&lt;=0,0,CA122*MAX(1,IF(H122&gt;0,AF122/H122,1))),IF(R122&gt;0,AG122/R122,0))/MAX(0.1,N(Parameter!$M$21)))</f>
        <v>0.25</v>
      </c>
      <c r="AI122" s="50" t="n">
        <f aca="false">AH122*BY122</f>
        <v>108.75</v>
      </c>
      <c r="AJ122" s="50" t="n">
        <f aca="false">AF122*G122</f>
        <v>4347.07</v>
      </c>
      <c r="AK122" s="50" t="n">
        <f aca="false">ROUNDUP(MAX(J122/IF(CD122&gt;0,CD122,MAX(0.1,N(Cockpit!$C$6))),CG122)/BV122,0)*BV122</f>
        <v>35</v>
      </c>
      <c r="AL122" s="51" t="n">
        <f aca="false">IF(AI122&gt;0,J122/AI122,-1)</f>
        <v>0.459770114942529</v>
      </c>
      <c r="AM122" s="51" t="str">
        <f aca="false">IF(AND(OR(CC122="L1",CC122="L23",CC122="LIFT"),AI122&gt;0),SUMIFS($AI$7:$AI$1843,$CC$7:$CC$1843,CC122,$AL$7:$AL$1843,"&gt;"&amp;AL122)+SUMIFS($AI$7:$AI$1843,$CC$7:$CC$1843,CC122,$AL$7:$AL$1843,AL122,$BT$7:$BT$1843,"&lt;="&amp;BT122),"")</f>
        <v/>
      </c>
      <c r="AN122" s="58" t="n">
        <f aca="false">IF(AM122="",0,MAX(0,MIN(1,(IF(CC122="L1",Parameter!$H$5,IF(CC122="L23",Parameter!$H$6+Parameter!$H$7,Parameter!$H$5+Parameter!$H$6+Parameter!$H$7))-(AM122-AI122))/AI122)))</f>
        <v>0</v>
      </c>
      <c r="AO122" s="50" t="n">
        <f aca="false">IF(LEFT(Cockpit!$I$5,1)="A",H122,IF(CE122=1,CF122,IF(LEFT(Cockpit!$I$5,1)="B",AT122,MAX(AT122,H122))))</f>
        <v>35</v>
      </c>
      <c r="AP122" s="50" t="n">
        <f aca="false">IF(BW122=1,0,ROUNDUP(AO122/BV122,0))</f>
        <v>1</v>
      </c>
      <c r="AQ122" s="52" t="n">
        <f aca="false">IF(CL122&gt;0,CL122*MAX(1,AO122/X122),IF(BW122=1,IF(AO122&lt;=0,0,CA122*MAX(1,IF(H122&gt;0,AO122/H122,1))),IF(R122&gt;0,AP122/R122,0))/MAX(0.1,N(Parameter!$M$21)))</f>
        <v>0.25</v>
      </c>
      <c r="AR122" s="50" t="n">
        <f aca="false">AQ122*BY122</f>
        <v>108.75</v>
      </c>
      <c r="AS122" s="50" t="n">
        <f aca="false">AO122*G122</f>
        <v>8949.85</v>
      </c>
      <c r="AT122" s="50" t="n">
        <f aca="false">ROUNDUP(MAX(J122/IF(CD122&gt;0,CD122,MAX(0.1,N(Cockpit!$I$6))),CG122)/BV122,0)*BV122</f>
        <v>35</v>
      </c>
      <c r="AU122" s="51" t="n">
        <f aca="false">IF(AR122&gt;0,J122/AR122,-1)</f>
        <v>0.459770114942529</v>
      </c>
      <c r="AV122" s="51" t="str">
        <f aca="false">IF(AND(OR(CC122="L1",CC122="L23",CC122="LIFT"),AR122&gt;0),SUMIFS($AR$7:$AR$1843,$CC$7:$CC$1843,CC122,$AU$7:$AU$1843,"&gt;"&amp;AU122)+SUMIFS($AR$7:$AR$1843,$CC$7:$CC$1843,CC122,$AU$7:$AU$1843,AU122,$BT$7:$BT$1843,"&lt;="&amp;BT122),"")</f>
        <v/>
      </c>
      <c r="AW122" s="58" t="n">
        <f aca="false">IF(AV122="",0,MAX(0,MIN(1,(IF(CC122="L1",Parameter!$H$5,IF(CC122="L23",Parameter!$H$6+Parameter!$H$7,Parameter!$H$5+Parameter!$H$6+Parameter!$H$7))-(AV122-AR122))/AR122)))</f>
        <v>0</v>
      </c>
      <c r="AX122" s="50" t="n">
        <f aca="false">IF(LEFT(Cockpit!$O$5,1)="A",H122,IF(CE122=1,CF122,IF(LEFT(Cockpit!$O$5,1)="B",BC122,MAX(BC122,H122))))</f>
        <v>35</v>
      </c>
      <c r="AY122" s="50" t="n">
        <f aca="false">IF(BW122=1,0,ROUNDUP(AX122/BV122,0))</f>
        <v>1</v>
      </c>
      <c r="AZ122" s="52" t="n">
        <f aca="false">IF(CL122&gt;0,CL122*MAX(1,AX122/X122),IF(BW122=1,IF(AX122&lt;=0,0,CA122*MAX(1,IF(H122&gt;0,AX122/H122,1))),IF(R122&gt;0,AY122/R122,0))/MAX(0.1,N(Parameter!$M$21)))</f>
        <v>0.25</v>
      </c>
      <c r="BA122" s="50" t="n">
        <f aca="false">AZ122*BY122</f>
        <v>108.75</v>
      </c>
      <c r="BB122" s="50" t="n">
        <f aca="false">AX122*G122</f>
        <v>8949.85</v>
      </c>
      <c r="BC122" s="50" t="n">
        <f aca="false">ROUNDUP(MAX(J122/IF(CD122&gt;0,CD122,MAX(0.1,N(Cockpit!$O$6))),CG122)/BV122,0)*BV122</f>
        <v>35</v>
      </c>
      <c r="BD122" s="51" t="n">
        <f aca="false">IF(BA122&gt;0,J122/BA122,-1)</f>
        <v>0.459770114942529</v>
      </c>
      <c r="BE122" s="51" t="str">
        <f aca="false">IF(AND(OR(CC122="L1",CC122="L23",CC122="LIFT"),BA122&gt;0),SUMIFS($BA$7:$BA$1843,$CC$7:$CC$1843,CC122,$BD$7:$BD$1843,"&gt;"&amp;BD122)+SUMIFS($BA$7:$BA$1843,$CC$7:$CC$1843,CC122,$BD$7:$BD$1843,BD122,$BT$7:$BT$1843,"&lt;="&amp;BT122),"")</f>
        <v/>
      </c>
      <c r="BF122" s="58" t="n">
        <f aca="false">IF(BE122="",0,MAX(0,MIN(1,(IF(CC122="L1",Parameter!$H$5,IF(CC122="L23",Parameter!$H$6+Parameter!$H$7,Parameter!$H$5+Parameter!$H$6+Parameter!$H$7))-(BE122-BA122))/BA122)))</f>
        <v>0</v>
      </c>
      <c r="BG122" s="48" t="str">
        <f aca="false">IF(AI122&lt;=0,"",IF(CC122="Aussen","Aussenlager",IF(CC122="-","Nicht im Lift",IF(AN122&gt;=1,"Lift",IF(AN122&lt;=0,"Aussenlager","teilweise")))))</f>
        <v>Nicht im Lift</v>
      </c>
      <c r="BH122" s="48" t="str">
        <f aca="false">IF(AR122&lt;=0,"",IF(CC122="Aussen","Aussenlager",IF(CC122="-","Nicht im Lift",IF(AW122&gt;=1,"Lift",IF(AW122&lt;=0,"Aussenlager","teilweise")))))</f>
        <v>Nicht im Lift</v>
      </c>
      <c r="BI122" s="48" t="str">
        <f aca="false">IF(BA122&lt;=0,"",IF(CC122="Aussen","Aussenlager",IF(CC122="-","Nicht im Lift",IF(BF122&gt;=1,"Lift",IF(BF122&lt;=0,"Aussenlager","teilweise")))))</f>
        <v>Nicht im Lift</v>
      </c>
      <c r="BJ122" s="48" t="str">
        <f aca="false">IF(A122="","",IF(BS122=1,"Neu; ","")&amp;IF(AND(BS122=0,BN122&lt;0),"negativer Bestand (Export "&amp;BN122&amp;"); ","")&amp;IF(J122&lt;=0,"Kein Verbrauch; ","")&amp;IF(CL122&gt;0,"Lift "&amp;W122&amp;" lt. Liftbericht (Fach "&amp;X122&amp;" Stk); ",IF(BX122=1,"Gebinde geschätzt ("&amp;T122&amp;"); ",IF(BW122=1,"Lose – Tablare geschätzt; ","")))&amp;IF(H122&gt;AT122,"Überbestand "&amp;ROUND(H122-AT122,0)&amp;" Stk / CHF "&amp;ROUND((H122-AT122)*G122,0)&amp;"; ","")&amp;IF(AND(CE122=1,CF122&lt;CG122),"MAX &lt; MB+LG; ","")&amp;IF(AND(CK122&gt;0,CJ122*10&gt;CK122),"zu hoch für Tablar; ","")&amp;IF(AND(BS122=0,OR(CE122=1,AA122&lt;&gt;"",U122&lt;&gt;"",V122&lt;&gt;"",AB122&lt;&gt;"")),"manuell übersteuert; ","")&amp;IF(AND(BW122=0,R122=0),"Gebinde unbekannt / Stellmass fehlt; ","")&amp;IF(AND(BW122=0,N(V122)&lt;=0,N(Q122)&lt;=0),"Menge pro Gebinde fehlt (Ist = 1 Gebinde); ","")&amp;BR122)</f>
        <v>Überbestand</v>
      </c>
      <c r="BK122" s="48"/>
      <c r="BL122" s="48"/>
      <c r="BM122" s="55"/>
      <c r="BN122" s="50" t="n">
        <v>7</v>
      </c>
      <c r="BO122" s="50" t="n">
        <v>10</v>
      </c>
      <c r="BP122" s="49" t="n">
        <v>1826.97</v>
      </c>
      <c r="BQ122" s="50" t="n">
        <v>50</v>
      </c>
      <c r="BR122" s="48" t="s">
        <v>396</v>
      </c>
      <c r="BS122" s="53" t="n">
        <v>0</v>
      </c>
      <c r="BT122" s="53" t="n">
        <v>122</v>
      </c>
      <c r="BU122" s="48" t="str">
        <f aca="false">IF(U122&lt;&gt;"",UPPER(TRIM(U122)),IF(BX122=1,UPPER(VLOOKUP(T122,Parameter!$I$27:$K$29,2,0)),IF(P122="","LOSE",P122)))</f>
        <v>S82</v>
      </c>
      <c r="BV122" s="50" t="n">
        <f aca="false">IF(BU122="LOSE",1,IF(N(V122)&gt;0,V122,IF(BX122=1,MAX(1,N(VLOOKUP(T122,Parameter!$I$27:$K$29,3,0)),H122,N(N122)),IF(N(Q122)&gt;0,Q122,MAX(1,H122)))))</f>
        <v>35</v>
      </c>
      <c r="BW122" s="53" t="n">
        <f aca="false">IF(BU122="LOSE",1,0)</f>
        <v>0</v>
      </c>
      <c r="BX122" s="53" t="n">
        <f aca="false">IF(AND(U122="",OR(P122="",P122="LOSE"),T122&lt;&gt;"",N(S122)&lt;=0,ISNUMBER(MATCH(T122,Parameter!$I$27:$I$29,0))),1,0)</f>
        <v>0</v>
      </c>
      <c r="BY122" s="53" t="n">
        <f aca="false">IF(CL122&gt;0,INDEX(Parameter!$H$5:$H$7,W122)/INDEX(Parameter!$E$5:$E$7,W122),IF(AND(BW122=0,N(IFERROR(VLOOKUP(BU122,'Gebinde-Kategorie'!$A$5:$N$45,14,0),0))&gt;0),VLOOKUP(BU122,'Gebinde-Kategorie'!$A$5:$N$45,14,0)*10+Parameter!$M$23,Parameter!$M$24))</f>
        <v>435</v>
      </c>
      <c r="BZ122" s="48" t="str">
        <f aca="false">IF(AND(Parameter!$B$19="Ja",E122&lt;&gt;"",ISNUMBER(MATCH(E122,Parameter!$I$35:$I$52,0))),VLOOKUP(E122,Parameter!$I$35:$J$52,2,0),IFERROR(VLOOKUP(D122,Parameter!$A$35:$C$64,2,0),"Nein"))</f>
        <v>Nein</v>
      </c>
      <c r="CA122" s="52" t="n">
        <f aca="false">IF(BW122=0,0,IF(N(S122)&gt;0,S122,IFERROR(VLOOKUP(D122,Parameter!$A$35:$C$64,3,0)+0,0)))</f>
        <v>0</v>
      </c>
      <c r="CB122" s="48" t="str">
        <f aca="false">IF(AA122&lt;&gt;"",AA122,Z122)</f>
        <v>-</v>
      </c>
      <c r="CC122" s="48" t="str">
        <f aca="false">IF(OR(CB122=1,CB122=2,CB122=3),IF(Parameter!$E$27="Ja","LIFT",IF(CB122=1,"L1","L23")),IF(CB122="Aussen","Aussen","-"))</f>
        <v>-</v>
      </c>
      <c r="CD122" s="59" t="n">
        <f aca="false">IF(N(AB122)&gt;0,AB122,0)</f>
        <v>0</v>
      </c>
      <c r="CE122" s="53" t="n">
        <f aca="false">IF(ISNUMBER(AE122),1,0)</f>
        <v>0</v>
      </c>
      <c r="CF122" s="50" t="n">
        <f aca="false">N(AE122)</f>
        <v>0</v>
      </c>
      <c r="CG122" s="50" t="n">
        <f aca="false">N(M122)+N(N122)</f>
        <v>30</v>
      </c>
      <c r="CH122" s="50" t="n">
        <f aca="false">ROUNDUP(H122/BV122,0)</f>
        <v>1</v>
      </c>
      <c r="CI122" s="50" t="n">
        <f aca="false">ROUNDUP(CF122/BV122,0)</f>
        <v>0</v>
      </c>
      <c r="CJ122" s="53" t="n">
        <f aca="false">IF(BW122=1,0,IFERROR(VLOOKUP(BU122,'Gebinde-Kategorie'!$A$5:$N$45,5,0)+0,0))</f>
        <v>40</v>
      </c>
      <c r="CK122" s="53" t="n">
        <f aca="false">IFERROR(IF(OR(CB122=1,CB122=2,CB122=3),N(INDEX(Parameter!$I$5:$I$7,CB122)),0),0)</f>
        <v>0</v>
      </c>
      <c r="CL122" s="52" t="n">
        <f aca="false">IF(AND(Parameter!$B$21="Ja",ISNUMBER(W122),N(X122)&gt;0),IFERROR(N(INDEX(Parameter!$L$5:$L$7,W122))*INDEX(Parameter!$E$5:$E$7,W122)*X122/SUMIFS($X$7:$X$1843,$W$7:$W$1843,W122),0),0)</f>
        <v>0</v>
      </c>
    </row>
    <row r="123" customFormat="false" ht="15" hidden="false" customHeight="false" outlineLevel="0" collapsed="false">
      <c r="A123" s="48" t="s">
        <v>458</v>
      </c>
      <c r="B123" s="48" t="s">
        <v>459</v>
      </c>
      <c r="C123" s="48" t="s">
        <v>460</v>
      </c>
      <c r="D123" s="48" t="s">
        <v>177</v>
      </c>
      <c r="E123" s="48"/>
      <c r="F123" s="48" t="s">
        <v>222</v>
      </c>
      <c r="G123" s="49" t="n">
        <v>606.9</v>
      </c>
      <c r="H123" s="50" t="n">
        <f aca="false">MAX(0,IF(AND(Parameter!$B$21="Ja",ISNUMBER(Y123)),Y123,IF(Parameter!$B$20="Jahresanfang 2025 + Export",BO123+BN123,BN123)))</f>
        <v>3</v>
      </c>
      <c r="I123" s="50" t="n">
        <f aca="false">H123*G123</f>
        <v>1820.7</v>
      </c>
      <c r="J123" s="50" t="n">
        <f aca="false">BQ123*Parameter!$B$18</f>
        <v>6</v>
      </c>
      <c r="K123" s="51" t="n">
        <v>1.5</v>
      </c>
      <c r="L123" s="52" t="n">
        <v>4</v>
      </c>
      <c r="M123" s="50" t="n">
        <v>0</v>
      </c>
      <c r="N123" s="50" t="n">
        <v>1</v>
      </c>
      <c r="O123" s="53" t="n">
        <v>14</v>
      </c>
      <c r="P123" s="48" t="s">
        <v>172</v>
      </c>
      <c r="Q123" s="50"/>
      <c r="R123" s="53" t="n">
        <f aca="false">IF(BW123=1,0,IFERROR(VLOOKUP(BU123,'Gebinde-Kategorie'!$A$5:$N$45,13,0)+0,0))</f>
        <v>4</v>
      </c>
      <c r="S123" s="54"/>
      <c r="T123" s="55" t="s">
        <v>193</v>
      </c>
      <c r="U123" s="55"/>
      <c r="V123" s="55"/>
      <c r="W123" s="48"/>
      <c r="X123" s="50"/>
      <c r="Y123" s="50"/>
      <c r="Z123" s="48" t="n">
        <f aca="false">IF(A123="","",IF(AND(Parameter!$B$21="Ja",ISNUMBER(W123)),W123,IF(BZ123="2+3",IF(ISNUMBER(SEARCH("grosser Artikel",BR123)),2,IFERROR(VLOOKUP(BU123,Parameter!$F$35:$G$64,2,0),2)),IF(OR(BZ123="Nein",BZ123=""),"-",BZ123))))</f>
        <v>2</v>
      </c>
      <c r="AA123" s="55"/>
      <c r="AB123" s="56"/>
      <c r="AC123" s="50" t="n">
        <f aca="false">AT123</f>
        <v>3</v>
      </c>
      <c r="AD123" s="50" t="n">
        <f aca="false">MAX(AT123,H123)</f>
        <v>3</v>
      </c>
      <c r="AE123" s="57"/>
      <c r="AF123" s="50" t="n">
        <f aca="false">IF(LEFT(Cockpit!$C$5,1)="A",H123,IF(CE123=1,CF123,IF(LEFT(Cockpit!$C$5,1)="B",AK123,MAX(AK123,H123))))</f>
        <v>3</v>
      </c>
      <c r="AG123" s="50" t="n">
        <f aca="false">IF(BW123=1,0,ROUNDUP(AF123/BV123,0))</f>
        <v>1</v>
      </c>
      <c r="AH123" s="52" t="n">
        <f aca="false">IF(CL123&gt;0,CL123*MAX(1,AF123/X123),IF(BW123=1,IF(AF123&lt;=0,0,CA123*MAX(1,IF(H123&gt;0,AF123/H123,1))),IF(R123&gt;0,AG123/R123,0))/MAX(0.1,N(Parameter!$M$21)))</f>
        <v>0.25</v>
      </c>
      <c r="AI123" s="50" t="n">
        <f aca="false">AH123*BY123</f>
        <v>58.75</v>
      </c>
      <c r="AJ123" s="50" t="n">
        <f aca="false">AF123*G123</f>
        <v>1820.7</v>
      </c>
      <c r="AK123" s="50" t="n">
        <f aca="false">ROUNDUP(MAX(J123/IF(CD123&gt;0,CD123,MAX(0.1,N(Cockpit!$C$6))),CG123)/BV123,0)*BV123</f>
        <v>3</v>
      </c>
      <c r="AL123" s="51" t="n">
        <f aca="false">IF(AI123&gt;0,J123/AI123,-1)</f>
        <v>0.102127659574468</v>
      </c>
      <c r="AM123" s="51" t="n">
        <f aca="false">IF(AND(OR(CC123="L1",CC123="L23",CC123="LIFT"),AI123&gt;0),SUMIFS($AI$7:$AI$1843,$CC$7:$CC$1843,CC123,$AL$7:$AL$1843,"&gt;"&amp;AL123)+SUMIFS($AI$7:$AI$1843,$CC$7:$CC$1843,CC123,$AL$7:$AL$1843,AL123,$BT$7:$BT$1843,"&lt;="&amp;BT123),"")</f>
        <v>15795.1844306823</v>
      </c>
      <c r="AN123" s="58" t="n">
        <f aca="false">IF(AM123="",0,MAX(0,MIN(1,(IF(CC123="L1",Parameter!$H$5,IF(CC123="L23",Parameter!$H$6+Parameter!$H$7,Parameter!$H$5+Parameter!$H$6+Parameter!$H$7))-(AM123-AI123))/AI123)))</f>
        <v>1</v>
      </c>
      <c r="AO123" s="50" t="n">
        <f aca="false">IF(LEFT(Cockpit!$I$5,1)="A",H123,IF(CE123=1,CF123,IF(LEFT(Cockpit!$I$5,1)="B",AT123,MAX(AT123,H123))))</f>
        <v>3</v>
      </c>
      <c r="AP123" s="50" t="n">
        <f aca="false">IF(BW123=1,0,ROUNDUP(AO123/BV123,0))</f>
        <v>1</v>
      </c>
      <c r="AQ123" s="52" t="n">
        <f aca="false">IF(CL123&gt;0,CL123*MAX(1,AO123/X123),IF(BW123=1,IF(AO123&lt;=0,0,CA123*MAX(1,IF(H123&gt;0,AO123/H123,1))),IF(R123&gt;0,AP123/R123,0))/MAX(0.1,N(Parameter!$M$21)))</f>
        <v>0.25</v>
      </c>
      <c r="AR123" s="50" t="n">
        <f aca="false">AQ123*BY123</f>
        <v>58.75</v>
      </c>
      <c r="AS123" s="50" t="n">
        <f aca="false">AO123*G123</f>
        <v>1820.7</v>
      </c>
      <c r="AT123" s="50" t="n">
        <f aca="false">ROUNDUP(MAX(J123/IF(CD123&gt;0,CD123,MAX(0.1,N(Cockpit!$I$6))),CG123)/BV123,0)*BV123</f>
        <v>3</v>
      </c>
      <c r="AU123" s="51" t="n">
        <f aca="false">IF(AR123&gt;0,J123/AR123,-1)</f>
        <v>0.102127659574468</v>
      </c>
      <c r="AV123" s="51" t="n">
        <f aca="false">IF(AND(OR(CC123="L1",CC123="L23",CC123="LIFT"),AR123&gt;0),SUMIFS($AR$7:$AR$1843,$CC$7:$CC$1843,CC123,$AU$7:$AU$1843,"&gt;"&amp;AU123)+SUMIFS($AR$7:$AR$1843,$CC$7:$CC$1843,CC123,$AU$7:$AU$1843,AU123,$BT$7:$BT$1843,"&lt;="&amp;BT123),"")</f>
        <v>23493.9844865586</v>
      </c>
      <c r="AW123" s="58" t="n">
        <f aca="false">IF(AV123="",0,MAX(0,MIN(1,(IF(CC123="L1",Parameter!$H$5,IF(CC123="L23",Parameter!$H$6+Parameter!$H$7,Parameter!$H$5+Parameter!$H$6+Parameter!$H$7))-(AV123-AR123))/AR123)))</f>
        <v>1</v>
      </c>
      <c r="AX123" s="50" t="n">
        <f aca="false">IF(LEFT(Cockpit!$O$5,1)="A",H123,IF(CE123=1,CF123,IF(LEFT(Cockpit!$O$5,1)="B",BC123,MAX(BC123,H123))))</f>
        <v>3</v>
      </c>
      <c r="AY123" s="50" t="n">
        <f aca="false">IF(BW123=1,0,ROUNDUP(AX123/BV123,0))</f>
        <v>1</v>
      </c>
      <c r="AZ123" s="52" t="n">
        <f aca="false">IF(CL123&gt;0,CL123*MAX(1,AX123/X123),IF(BW123=1,IF(AX123&lt;=0,0,CA123*MAX(1,IF(H123&gt;0,AX123/H123,1))),IF(R123&gt;0,AY123/R123,0))/MAX(0.1,N(Parameter!$M$21)))</f>
        <v>0.25</v>
      </c>
      <c r="BA123" s="50" t="n">
        <f aca="false">AZ123*BY123</f>
        <v>58.75</v>
      </c>
      <c r="BB123" s="50" t="n">
        <f aca="false">AX123*G123</f>
        <v>1820.7</v>
      </c>
      <c r="BC123" s="50" t="n">
        <f aca="false">ROUNDUP(MAX(J123/IF(CD123&gt;0,CD123,MAX(0.1,N(Cockpit!$O$6))),CG123)/BV123,0)*BV123</f>
        <v>3</v>
      </c>
      <c r="BD123" s="51" t="n">
        <f aca="false">IF(BA123&gt;0,J123/BA123,-1)</f>
        <v>0.102127659574468</v>
      </c>
      <c r="BE123" s="51" t="n">
        <f aca="false">IF(AND(OR(CC123="L1",CC123="L23",CC123="LIFT"),BA123&gt;0),SUMIFS($BA$7:$BA$1843,$CC$7:$CC$1843,CC123,$BD$7:$BD$1843,"&gt;"&amp;BD123)+SUMIFS($BA$7:$BA$1843,$CC$7:$CC$1843,CC123,$BD$7:$BD$1843,BD123,$BT$7:$BT$1843,"&lt;="&amp;BT123),"")</f>
        <v>21353.4268485752</v>
      </c>
      <c r="BF123" s="58" t="n">
        <f aca="false">IF(BE123="",0,MAX(0,MIN(1,(IF(CC123="L1",Parameter!$H$5,IF(CC123="L23",Parameter!$H$6+Parameter!$H$7,Parameter!$H$5+Parameter!$H$6+Parameter!$H$7))-(BE123-BA123))/BA123)))</f>
        <v>1</v>
      </c>
      <c r="BG123" s="48" t="str">
        <f aca="false">IF(AI123&lt;=0,"",IF(CC123="Aussen","Aussenlager",IF(CC123="-","Nicht im Lift",IF(AN123&gt;=1,"Lift",IF(AN123&lt;=0,"Aussenlager","teilweise")))))</f>
        <v>Lift</v>
      </c>
      <c r="BH123" s="48" t="str">
        <f aca="false">IF(AR123&lt;=0,"",IF(CC123="Aussen","Aussenlager",IF(CC123="-","Nicht im Lift",IF(AW123&gt;=1,"Lift",IF(AW123&lt;=0,"Aussenlager","teilweise")))))</f>
        <v>Lift</v>
      </c>
      <c r="BI123" s="48" t="str">
        <f aca="false">IF(BA123&lt;=0,"",IF(CC123="Aussen","Aussenlager",IF(CC123="-","Nicht im Lift",IF(BF123&gt;=1,"Lift",IF(BF123&lt;=0,"Aussenlager","teilweise")))))</f>
        <v>Lift</v>
      </c>
      <c r="BJ123" s="48" t="str">
        <f aca="false">IF(A123="","",IF(BS123=1,"Neu; ","")&amp;IF(AND(BS123=0,BN123&lt;0),"negativer Bestand (Export "&amp;BN123&amp;"); ","")&amp;IF(J123&lt;=0,"Kein Verbrauch; ","")&amp;IF(CL123&gt;0,"Lift "&amp;W123&amp;" lt. Liftbericht (Fach "&amp;X123&amp;" Stk); ",IF(BX123=1,"Gebinde geschätzt ("&amp;T123&amp;"); ",IF(BW123=1,"Lose – Tablare geschätzt; ","")))&amp;IF(H123&gt;AT123,"Überbestand "&amp;ROUND(H123-AT123,0)&amp;" Stk / CHF "&amp;ROUND((H123-AT123)*G123,0)&amp;"; ","")&amp;IF(AND(CE123=1,CF123&lt;CG123),"MAX &lt; MB+LG; ","")&amp;IF(AND(CK123&gt;0,CJ123*10&gt;CK123),"zu hoch für Tablar; ","")&amp;IF(AND(BS123=0,OR(CE123=1,AA123&lt;&gt;"",U123&lt;&gt;"",V123&lt;&gt;"",AB123&lt;&gt;"")),"manuell übersteuert; ","")&amp;IF(AND(BW123=0,R123=0),"Gebinde unbekannt / Stellmass fehlt; ","")&amp;IF(AND(BW123=0,N(V123)&lt;=0,N(Q123)&lt;=0),"Menge pro Gebinde fehlt (Ist = 1 Gebinde); ","")&amp;BR123)</f>
        <v>Gebinde geschätzt (Gross); Menge pro Gebinde fehlt (Ist = 1 Gebinde); </v>
      </c>
      <c r="BK123" s="48"/>
      <c r="BL123" s="48"/>
      <c r="BM123" s="55"/>
      <c r="BN123" s="50" t="n">
        <v>3</v>
      </c>
      <c r="BO123" s="50" t="n">
        <v>0</v>
      </c>
      <c r="BP123" s="49" t="n">
        <v>1820.7</v>
      </c>
      <c r="BQ123" s="50" t="n">
        <v>6</v>
      </c>
      <c r="BR123" s="48"/>
      <c r="BS123" s="53" t="n">
        <v>0</v>
      </c>
      <c r="BT123" s="53" t="n">
        <v>123</v>
      </c>
      <c r="BU123" s="48" t="str">
        <f aca="false">IF(U123&lt;&gt;"",UPPER(TRIM(U123)),IF(BX123=1,UPPER(VLOOKUP(T123,Parameter!$I$27:$K$29,2,0)),IF(P123="","LOSE",P123)))</f>
        <v>S81</v>
      </c>
      <c r="BV123" s="50" t="n">
        <f aca="false">IF(BU123="LOSE",1,IF(N(V123)&gt;0,V123,IF(BX123=1,MAX(1,N(VLOOKUP(T123,Parameter!$I$27:$K$29,3,0)),H123,N(N123)),IF(N(Q123)&gt;0,Q123,MAX(1,H123)))))</f>
        <v>3</v>
      </c>
      <c r="BW123" s="53" t="n">
        <f aca="false">IF(BU123="LOSE",1,0)</f>
        <v>0</v>
      </c>
      <c r="BX123" s="53" t="n">
        <f aca="false">IF(AND(U123="",OR(P123="",P123="LOSE"),T123&lt;&gt;"",N(S123)&lt;=0,ISNUMBER(MATCH(T123,Parameter!$I$27:$I$29,0))),1,0)</f>
        <v>1</v>
      </c>
      <c r="BY123" s="53" t="n">
        <f aca="false">IF(CL123&gt;0,INDEX(Parameter!$H$5:$H$7,W123)/INDEX(Parameter!$E$5:$E$7,W123),IF(AND(BW123=0,N(IFERROR(VLOOKUP(BU123,'Gebinde-Kategorie'!$A$5:$N$45,14,0),0))&gt;0),VLOOKUP(BU123,'Gebinde-Kategorie'!$A$5:$N$45,14,0)*10+Parameter!$M$23,Parameter!$M$24))</f>
        <v>235</v>
      </c>
      <c r="BZ123" s="48" t="str">
        <f aca="false">IF(AND(Parameter!$B$19="Ja",E123&lt;&gt;"",ISNUMBER(MATCH(E123,Parameter!$I$35:$I$52,0))),VLOOKUP(E123,Parameter!$I$35:$J$52,2,0),IFERROR(VLOOKUP(D123,Parameter!$A$35:$C$64,2,0),"Nein"))</f>
        <v>2+3</v>
      </c>
      <c r="CA123" s="52" t="n">
        <f aca="false">IF(BW123=0,0,IF(N(S123)&gt;0,S123,IFERROR(VLOOKUP(D123,Parameter!$A$35:$C$64,3,0)+0,0)))</f>
        <v>0</v>
      </c>
      <c r="CB123" s="48" t="n">
        <f aca="false">IF(AA123&lt;&gt;"",AA123,Z123)</f>
        <v>2</v>
      </c>
      <c r="CC123" s="48" t="str">
        <f aca="false">IF(OR(CB123=1,CB123=2,CB123=3),IF(Parameter!$E$27="Ja","LIFT",IF(CB123=1,"L1","L23")),IF(CB123="Aussen","Aussen","-"))</f>
        <v>LIFT</v>
      </c>
      <c r="CD123" s="59" t="n">
        <f aca="false">IF(N(AB123)&gt;0,AB123,0)</f>
        <v>0</v>
      </c>
      <c r="CE123" s="53" t="n">
        <f aca="false">IF(ISNUMBER(AE123),1,0)</f>
        <v>0</v>
      </c>
      <c r="CF123" s="50" t="n">
        <f aca="false">N(AE123)</f>
        <v>0</v>
      </c>
      <c r="CG123" s="50" t="n">
        <f aca="false">N(M123)+N(N123)</f>
        <v>1</v>
      </c>
      <c r="CH123" s="50" t="n">
        <f aca="false">ROUNDUP(H123/BV123,0)</f>
        <v>1</v>
      </c>
      <c r="CI123" s="50" t="n">
        <f aca="false">ROUNDUP(CF123/BV123,0)</f>
        <v>0</v>
      </c>
      <c r="CJ123" s="53" t="n">
        <f aca="false">IF(BW123=1,0,IFERROR(VLOOKUP(BU123,'Gebinde-Kategorie'!$A$5:$N$45,5,0)+0,0))</f>
        <v>20</v>
      </c>
      <c r="CK123" s="53" t="n">
        <f aca="false">IFERROR(IF(OR(CB123=1,CB123=2,CB123=3),N(INDEX(Parameter!$I$5:$I$7,CB123)),0),0)</f>
        <v>0</v>
      </c>
      <c r="CL123" s="52" t="n">
        <f aca="false">IF(AND(Parameter!$B$21="Ja",ISNUMBER(W123),N(X123)&gt;0),IFERROR(N(INDEX(Parameter!$L$5:$L$7,W123))*INDEX(Parameter!$E$5:$E$7,W123)*X123/SUMIFS($X$7:$X$1843,$W$7:$W$1843,W123),0),0)</f>
        <v>0</v>
      </c>
    </row>
    <row r="124" customFormat="false" ht="15" hidden="false" customHeight="false" outlineLevel="0" collapsed="false">
      <c r="A124" s="48" t="s">
        <v>461</v>
      </c>
      <c r="B124" s="48" t="s">
        <v>462</v>
      </c>
      <c r="C124" s="48" t="s">
        <v>168</v>
      </c>
      <c r="D124" s="48" t="s">
        <v>188</v>
      </c>
      <c r="E124" s="48"/>
      <c r="F124" s="48" t="s">
        <v>222</v>
      </c>
      <c r="G124" s="49" t="n">
        <v>44.35</v>
      </c>
      <c r="H124" s="50" t="n">
        <f aca="false">MAX(0,IF(AND(Parameter!$B$21="Ja",ISNUMBER(Y124)),Y124,IF(Parameter!$B$20="Jahresanfang 2025 + Export",BO124+BN124,BN124)))</f>
        <v>50</v>
      </c>
      <c r="I124" s="50" t="n">
        <f aca="false">H124*G124</f>
        <v>2217.5</v>
      </c>
      <c r="J124" s="50" t="n">
        <f aca="false">BQ124*Parameter!$B$18</f>
        <v>0</v>
      </c>
      <c r="K124" s="51" t="n">
        <v>10</v>
      </c>
      <c r="L124" s="52" t="n">
        <v>0</v>
      </c>
      <c r="M124" s="50" t="n">
        <v>0</v>
      </c>
      <c r="N124" s="50" t="n">
        <v>1</v>
      </c>
      <c r="O124" s="53" t="n">
        <v>42</v>
      </c>
      <c r="P124" s="48" t="s">
        <v>306</v>
      </c>
      <c r="Q124" s="50" t="n">
        <v>50</v>
      </c>
      <c r="R124" s="53" t="n">
        <f aca="false">IF(BW124=1,0,IFERROR(VLOOKUP(BU124,'Gebinde-Kategorie'!$A$5:$N$45,13,0)+0,0))</f>
        <v>26</v>
      </c>
      <c r="S124" s="54"/>
      <c r="T124" s="55"/>
      <c r="U124" s="55"/>
      <c r="V124" s="55"/>
      <c r="W124" s="48"/>
      <c r="X124" s="50"/>
      <c r="Y124" s="50"/>
      <c r="Z124" s="48" t="n">
        <f aca="false">IF(A124="","",IF(AND(Parameter!$B$21="Ja",ISNUMBER(W124)),W124,IF(BZ124="2+3",IF(ISNUMBER(SEARCH("grosser Artikel",BR124)),2,IFERROR(VLOOKUP(BU124,Parameter!$F$35:$G$64,2,0),2)),IF(OR(BZ124="Nein",BZ124=""),"-",BZ124))))</f>
        <v>3</v>
      </c>
      <c r="AA124" s="55"/>
      <c r="AB124" s="56"/>
      <c r="AC124" s="50" t="n">
        <f aca="false">AT124</f>
        <v>50</v>
      </c>
      <c r="AD124" s="50" t="n">
        <f aca="false">MAX(AT124,H124)</f>
        <v>50</v>
      </c>
      <c r="AE124" s="57"/>
      <c r="AF124" s="50" t="n">
        <f aca="false">IF(LEFT(Cockpit!$C$5,1)="A",H124,IF(CE124=1,CF124,IF(LEFT(Cockpit!$C$5,1)="B",AK124,MAX(AK124,H124))))</f>
        <v>50</v>
      </c>
      <c r="AG124" s="50" t="n">
        <f aca="false">IF(BW124=1,0,ROUNDUP(AF124/BV124,0))</f>
        <v>1</v>
      </c>
      <c r="AH124" s="52" t="n">
        <f aca="false">IF(CL124&gt;0,CL124*MAX(1,AF124/X124),IF(BW124=1,IF(AF124&lt;=0,0,CA124*MAX(1,IF(H124&gt;0,AF124/H124,1))),IF(R124&gt;0,AG124/R124,0))/MAX(0.1,N(Parameter!$M$21)))</f>
        <v>0.0384615384615385</v>
      </c>
      <c r="AI124" s="50" t="n">
        <f aca="false">AH124*BY124</f>
        <v>5.96153846153846</v>
      </c>
      <c r="AJ124" s="50" t="n">
        <f aca="false">AF124*G124</f>
        <v>2217.5</v>
      </c>
      <c r="AK124" s="50" t="n">
        <f aca="false">ROUNDUP(MAX(J124/IF(CD124&gt;0,CD124,MAX(0.1,N(Cockpit!$C$6))),CG124)/BV124,0)*BV124</f>
        <v>50</v>
      </c>
      <c r="AL124" s="51" t="n">
        <f aca="false">IF(AI124&gt;0,J124/AI124,-1)</f>
        <v>0</v>
      </c>
      <c r="AM124" s="51" t="n">
        <f aca="false">IF(AND(OR(CC124="L1",CC124="L23",CC124="LIFT"),AI124&gt;0),SUMIFS($AI$7:$AI$1843,$CC$7:$CC$1843,CC124,$AL$7:$AL$1843,"&gt;"&amp;AL124)+SUMIFS($AI$7:$AI$1843,$CC$7:$CC$1843,CC124,$AL$7:$AL$1843,AL124,$BT$7:$BT$1843,"&lt;="&amp;BT124),"")</f>
        <v>27006.224754765</v>
      </c>
      <c r="AN124" s="58" t="n">
        <f aca="false">IF(AM124="",0,MAX(0,MIN(1,(IF(CC124="L1",Parameter!$H$5,IF(CC124="L23",Parameter!$H$6+Parameter!$H$7,Parameter!$H$5+Parameter!$H$6+Parameter!$H$7))-(AM124-AI124))/AI124)))</f>
        <v>1</v>
      </c>
      <c r="AO124" s="50" t="n">
        <f aca="false">IF(LEFT(Cockpit!$I$5,1)="A",H124,IF(CE124=1,CF124,IF(LEFT(Cockpit!$I$5,1)="B",AT124,MAX(AT124,H124))))</f>
        <v>50</v>
      </c>
      <c r="AP124" s="50" t="n">
        <f aca="false">IF(BW124=1,0,ROUNDUP(AO124/BV124,0))</f>
        <v>1</v>
      </c>
      <c r="AQ124" s="52" t="n">
        <f aca="false">IF(CL124&gt;0,CL124*MAX(1,AO124/X124),IF(BW124=1,IF(AO124&lt;=0,0,CA124*MAX(1,IF(H124&gt;0,AO124/H124,1))),IF(R124&gt;0,AP124/R124,0))/MAX(0.1,N(Parameter!$M$21)))</f>
        <v>0.0384615384615385</v>
      </c>
      <c r="AR124" s="50" t="n">
        <f aca="false">AQ124*BY124</f>
        <v>5.96153846153846</v>
      </c>
      <c r="AS124" s="50" t="n">
        <f aca="false">AO124*G124</f>
        <v>2217.5</v>
      </c>
      <c r="AT124" s="50" t="n">
        <f aca="false">ROUNDUP(MAX(J124/IF(CD124&gt;0,CD124,MAX(0.1,N(Cockpit!$I$6))),CG124)/BV124,0)*BV124</f>
        <v>50</v>
      </c>
      <c r="AU124" s="51" t="n">
        <f aca="false">IF(AR124&gt;0,J124/AR124,-1)</f>
        <v>0</v>
      </c>
      <c r="AV124" s="51" t="n">
        <f aca="false">IF(AND(OR(CC124="L1",CC124="L23",CC124="LIFT"),AR124&gt;0),SUMIFS($AR$7:$AR$1843,$CC$7:$CC$1843,CC124,$AU$7:$AU$1843,"&gt;"&amp;AU124)+SUMIFS($AR$7:$AR$1843,$CC$7:$CC$1843,CC124,$AU$7:$AU$1843,AU124,$BT$7:$BT$1843,"&lt;="&amp;BT124),"")</f>
        <v>38319.1302720349</v>
      </c>
      <c r="AW124" s="58" t="n">
        <f aca="false">IF(AV124="",0,MAX(0,MIN(1,(IF(CC124="L1",Parameter!$H$5,IF(CC124="L23",Parameter!$H$6+Parameter!$H$7,Parameter!$H$5+Parameter!$H$6+Parameter!$H$7))-(AV124-AR124))/AR124)))</f>
        <v>0</v>
      </c>
      <c r="AX124" s="50" t="n">
        <f aca="false">IF(LEFT(Cockpit!$O$5,1)="A",H124,IF(CE124=1,CF124,IF(LEFT(Cockpit!$O$5,1)="B",BC124,MAX(BC124,H124))))</f>
        <v>50</v>
      </c>
      <c r="AY124" s="50" t="n">
        <f aca="false">IF(BW124=1,0,ROUNDUP(AX124/BV124,0))</f>
        <v>1</v>
      </c>
      <c r="AZ124" s="52" t="n">
        <f aca="false">IF(CL124&gt;0,CL124*MAX(1,AX124/X124),IF(BW124=1,IF(AX124&lt;=0,0,CA124*MAX(1,IF(H124&gt;0,AX124/H124,1))),IF(R124&gt;0,AY124/R124,0))/MAX(0.1,N(Parameter!$M$21)))</f>
        <v>0.0384615384615385</v>
      </c>
      <c r="BA124" s="50" t="n">
        <f aca="false">AZ124*BY124</f>
        <v>5.96153846153846</v>
      </c>
      <c r="BB124" s="50" t="n">
        <f aca="false">AX124*G124</f>
        <v>2217.5</v>
      </c>
      <c r="BC124" s="50" t="n">
        <f aca="false">ROUNDUP(MAX(J124/IF(CD124&gt;0,CD124,MAX(0.1,N(Cockpit!$O$6))),CG124)/BV124,0)*BV124</f>
        <v>50</v>
      </c>
      <c r="BD124" s="51" t="n">
        <f aca="false">IF(BA124&gt;0,J124/BA124,-1)</f>
        <v>0</v>
      </c>
      <c r="BE124" s="51" t="n">
        <f aca="false">IF(AND(OR(CC124="L1",CC124="L23",CC124="LIFT"),BA124&gt;0),SUMIFS($BA$7:$BA$1843,$CC$7:$CC$1843,CC124,$BD$7:$BD$1843,"&gt;"&amp;BD124)+SUMIFS($BA$7:$BA$1843,$CC$7:$CC$1843,CC124,$BD$7:$BD$1843,BD124,$BT$7:$BT$1843,"&lt;="&amp;BT124),"")</f>
        <v>34994.1423139008</v>
      </c>
      <c r="BF124" s="58" t="n">
        <f aca="false">IF(BE124="",0,MAX(0,MIN(1,(IF(CC124="L1",Parameter!$H$5,IF(CC124="L23",Parameter!$H$6+Parameter!$H$7,Parameter!$H$5+Parameter!$H$6+Parameter!$H$7))-(BE124-BA124))/BA124)))</f>
        <v>1</v>
      </c>
      <c r="BG124" s="48" t="str">
        <f aca="false">IF(AI124&lt;=0,"",IF(CC124="Aussen","Aussenlager",IF(CC124="-","Nicht im Lift",IF(AN124&gt;=1,"Lift",IF(AN124&lt;=0,"Aussenlager","teilweise")))))</f>
        <v>Lift</v>
      </c>
      <c r="BH124" s="48" t="str">
        <f aca="false">IF(AR124&lt;=0,"",IF(CC124="Aussen","Aussenlager",IF(CC124="-","Nicht im Lift",IF(AW124&gt;=1,"Lift",IF(AW124&lt;=0,"Aussenlager","teilweise")))))</f>
        <v>Aussenlager</v>
      </c>
      <c r="BI124" s="48" t="str">
        <f aca="false">IF(BA124&lt;=0,"",IF(CC124="Aussen","Aussenlager",IF(CC124="-","Nicht im Lift",IF(BF124&gt;=1,"Lift",IF(BF124&lt;=0,"Aussenlager","teilweise")))))</f>
        <v>Lift</v>
      </c>
      <c r="BJ124" s="48" t="str">
        <f aca="false">IF(A124="","",IF(BS124=1,"Neu; ","")&amp;IF(AND(BS124=0,BN124&lt;0),"negativer Bestand (Export "&amp;BN124&amp;"); ","")&amp;IF(J124&lt;=0,"Kein Verbrauch; ","")&amp;IF(CL124&gt;0,"Lift "&amp;W124&amp;" lt. Liftbericht (Fach "&amp;X124&amp;" Stk); ",IF(BX124=1,"Gebinde geschätzt ("&amp;T124&amp;"); ",IF(BW124=1,"Lose – Tablare geschätzt; ","")))&amp;IF(H124&gt;AT124,"Überbestand "&amp;ROUND(H124-AT124,0)&amp;" Stk / CHF "&amp;ROUND((H124-AT124)*G124,0)&amp;"; ","")&amp;IF(AND(CE124=1,CF124&lt;CG124),"MAX &lt; MB+LG; ","")&amp;IF(AND(CK124&gt;0,CJ124*10&gt;CK124),"zu hoch für Tablar; ","")&amp;IF(AND(BS124=0,OR(CE124=1,AA124&lt;&gt;"",U124&lt;&gt;"",V124&lt;&gt;"",AB124&lt;&gt;"")),"manuell übersteuert; ","")&amp;IF(AND(BW124=0,R124=0),"Gebinde unbekannt / Stellmass fehlt; ","")&amp;IF(AND(BW124=0,N(V124)&lt;=0,N(Q124)&lt;=0),"Menge pro Gebinde fehlt (Ist = 1 Gebinde); ","")&amp;BR124)</f>
        <v>Kein Verbrauch; </v>
      </c>
      <c r="BK124" s="48"/>
      <c r="BL124" s="48"/>
      <c r="BM124" s="55"/>
      <c r="BN124" s="50" t="n">
        <v>40</v>
      </c>
      <c r="BO124" s="50" t="n">
        <v>10</v>
      </c>
      <c r="BP124" s="49" t="n">
        <v>1795</v>
      </c>
      <c r="BQ124" s="50" t="n">
        <v>0</v>
      </c>
      <c r="BR124" s="48"/>
      <c r="BS124" s="53" t="n">
        <v>0</v>
      </c>
      <c r="BT124" s="53" t="n">
        <v>124</v>
      </c>
      <c r="BU124" s="48" t="str">
        <f aca="false">IF(U124&lt;&gt;"",UPPER(TRIM(U124)),IF(BX124=1,UPPER(VLOOKUP(T124,Parameter!$I$27:$K$29,2,0)),IF(P124="","LOSE",P124)))</f>
        <v>S51</v>
      </c>
      <c r="BV124" s="50" t="n">
        <f aca="false">IF(BU124="LOSE",1,IF(N(V124)&gt;0,V124,IF(BX124=1,MAX(1,N(VLOOKUP(T124,Parameter!$I$27:$K$29,3,0)),H124,N(N124)),IF(N(Q124)&gt;0,Q124,MAX(1,H124)))))</f>
        <v>50</v>
      </c>
      <c r="BW124" s="53" t="n">
        <f aca="false">IF(BU124="LOSE",1,0)</f>
        <v>0</v>
      </c>
      <c r="BX124" s="53" t="n">
        <f aca="false">IF(AND(U124="",OR(P124="",P124="LOSE"),T124&lt;&gt;"",N(S124)&lt;=0,ISNUMBER(MATCH(T124,Parameter!$I$27:$I$29,0))),1,0)</f>
        <v>0</v>
      </c>
      <c r="BY124" s="53" t="n">
        <f aca="false">IF(CL124&gt;0,INDEX(Parameter!$H$5:$H$7,W124)/INDEX(Parameter!$E$5:$E$7,W124),IF(AND(BW124=0,N(IFERROR(VLOOKUP(BU124,'Gebinde-Kategorie'!$A$5:$N$45,14,0),0))&gt;0),VLOOKUP(BU124,'Gebinde-Kategorie'!$A$5:$N$45,14,0)*10+Parameter!$M$23,Parameter!$M$24))</f>
        <v>155</v>
      </c>
      <c r="BZ124" s="48" t="str">
        <f aca="false">IF(AND(Parameter!$B$19="Ja",E124&lt;&gt;"",ISNUMBER(MATCH(E124,Parameter!$I$35:$I$52,0))),VLOOKUP(E124,Parameter!$I$35:$J$52,2,0),IFERROR(VLOOKUP(D124,Parameter!$A$35:$C$64,2,0),"Nein"))</f>
        <v>2+3</v>
      </c>
      <c r="CA124" s="52" t="n">
        <f aca="false">IF(BW124=0,0,IF(N(S124)&gt;0,S124,IFERROR(VLOOKUP(D124,Parameter!$A$35:$C$64,3,0)+0,0)))</f>
        <v>0</v>
      </c>
      <c r="CB124" s="48" t="n">
        <f aca="false">IF(AA124&lt;&gt;"",AA124,Z124)</f>
        <v>3</v>
      </c>
      <c r="CC124" s="48" t="str">
        <f aca="false">IF(OR(CB124=1,CB124=2,CB124=3),IF(Parameter!$E$27="Ja","LIFT",IF(CB124=1,"L1","L23")),IF(CB124="Aussen","Aussen","-"))</f>
        <v>LIFT</v>
      </c>
      <c r="CD124" s="59" t="n">
        <f aca="false">IF(N(AB124)&gt;0,AB124,0)</f>
        <v>0</v>
      </c>
      <c r="CE124" s="53" t="n">
        <f aca="false">IF(ISNUMBER(AE124),1,0)</f>
        <v>0</v>
      </c>
      <c r="CF124" s="50" t="n">
        <f aca="false">N(AE124)</f>
        <v>0</v>
      </c>
      <c r="CG124" s="50" t="n">
        <f aca="false">N(M124)+N(N124)</f>
        <v>1</v>
      </c>
      <c r="CH124" s="50" t="n">
        <f aca="false">ROUNDUP(H124/BV124,0)</f>
        <v>1</v>
      </c>
      <c r="CI124" s="50" t="n">
        <f aca="false">ROUNDUP(CF124/BV124,0)</f>
        <v>0</v>
      </c>
      <c r="CJ124" s="53" t="n">
        <f aca="false">IF(BW124=1,0,IFERROR(VLOOKUP(BU124,'Gebinde-Kategorie'!$A$5:$N$45,5,0)+0,0))</f>
        <v>11</v>
      </c>
      <c r="CK124" s="53" t="n">
        <f aca="false">IFERROR(IF(OR(CB124=1,CB124=2,CB124=3),N(INDEX(Parameter!$I$5:$I$7,CB124)),0),0)</f>
        <v>0</v>
      </c>
      <c r="CL124" s="52" t="n">
        <f aca="false">IF(AND(Parameter!$B$21="Ja",ISNUMBER(W124),N(X124)&gt;0),IFERROR(N(INDEX(Parameter!$L$5:$L$7,W124))*INDEX(Parameter!$E$5:$E$7,W124)*X124/SUMIFS($X$7:$X$1843,$W$7:$W$1843,W124),0),0)</f>
        <v>0</v>
      </c>
    </row>
    <row r="125" customFormat="false" ht="15" hidden="false" customHeight="false" outlineLevel="0" collapsed="false">
      <c r="A125" s="48" t="s">
        <v>463</v>
      </c>
      <c r="B125" s="48" t="s">
        <v>464</v>
      </c>
      <c r="C125" s="48" t="s">
        <v>168</v>
      </c>
      <c r="D125" s="48" t="s">
        <v>177</v>
      </c>
      <c r="E125" s="48"/>
      <c r="F125" s="48" t="s">
        <v>222</v>
      </c>
      <c r="G125" s="49" t="n">
        <v>583</v>
      </c>
      <c r="H125" s="50" t="n">
        <f aca="false">MAX(0,IF(AND(Parameter!$B$21="Ja",ISNUMBER(Y125)),Y125,IF(Parameter!$B$20="Jahresanfang 2025 + Export",BO125+BN125,BN125)))</f>
        <v>5</v>
      </c>
      <c r="I125" s="50" t="n">
        <f aca="false">H125*G125</f>
        <v>2915</v>
      </c>
      <c r="J125" s="50" t="n">
        <f aca="false">BQ125*Parameter!$B$18</f>
        <v>2</v>
      </c>
      <c r="K125" s="51" t="n">
        <v>1.5</v>
      </c>
      <c r="L125" s="52" t="n">
        <v>1.33333333333333</v>
      </c>
      <c r="M125" s="50" t="n">
        <v>0</v>
      </c>
      <c r="N125" s="50" t="n">
        <v>1</v>
      </c>
      <c r="O125" s="53" t="n">
        <v>35</v>
      </c>
      <c r="P125" s="48" t="s">
        <v>190</v>
      </c>
      <c r="Q125" s="50" t="n">
        <v>7</v>
      </c>
      <c r="R125" s="53" t="n">
        <f aca="false">IF(BW125=1,0,IFERROR(VLOOKUP(BU125,'Gebinde-Kategorie'!$A$5:$N$45,13,0)+0,0))</f>
        <v>12</v>
      </c>
      <c r="S125" s="54"/>
      <c r="T125" s="55"/>
      <c r="U125" s="55"/>
      <c r="V125" s="55"/>
      <c r="W125" s="48"/>
      <c r="X125" s="50"/>
      <c r="Y125" s="50"/>
      <c r="Z125" s="48" t="n">
        <f aca="false">IF(A125="","",IF(AND(Parameter!$B$21="Ja",ISNUMBER(W125)),W125,IF(BZ125="2+3",IF(ISNUMBER(SEARCH("grosser Artikel",BR125)),2,IFERROR(VLOOKUP(BU125,Parameter!$F$35:$G$64,2,0),2)),IF(OR(BZ125="Nein",BZ125=""),"-",BZ125))))</f>
        <v>2</v>
      </c>
      <c r="AA125" s="55"/>
      <c r="AB125" s="56"/>
      <c r="AC125" s="50" t="n">
        <f aca="false">AT125</f>
        <v>7</v>
      </c>
      <c r="AD125" s="50" t="n">
        <f aca="false">MAX(AT125,H125)</f>
        <v>7</v>
      </c>
      <c r="AE125" s="57"/>
      <c r="AF125" s="50" t="n">
        <f aca="false">IF(LEFT(Cockpit!$C$5,1)="A",H125,IF(CE125=1,CF125,IF(LEFT(Cockpit!$C$5,1)="B",AK125,MAX(AK125,H125))))</f>
        <v>5</v>
      </c>
      <c r="AG125" s="50" t="n">
        <f aca="false">IF(BW125=1,0,ROUNDUP(AF125/BV125,0))</f>
        <v>1</v>
      </c>
      <c r="AH125" s="52" t="n">
        <f aca="false">IF(CL125&gt;0,CL125*MAX(1,AF125/X125),IF(BW125=1,IF(AF125&lt;=0,0,CA125*MAX(1,IF(H125&gt;0,AF125/H125,1))),IF(R125&gt;0,AG125/R125,0))/MAX(0.1,N(Parameter!$M$21)))</f>
        <v>0.0833333333333333</v>
      </c>
      <c r="AI125" s="50" t="n">
        <f aca="false">AH125*BY125</f>
        <v>12.0833333333333</v>
      </c>
      <c r="AJ125" s="50" t="n">
        <f aca="false">AF125*G125</f>
        <v>2915</v>
      </c>
      <c r="AK125" s="50" t="n">
        <f aca="false">ROUNDUP(MAX(J125/IF(CD125&gt;0,CD125,MAX(0.1,N(Cockpit!$C$6))),CG125)/BV125,0)*BV125</f>
        <v>7</v>
      </c>
      <c r="AL125" s="51" t="n">
        <f aca="false">IF(AI125&gt;0,J125/AI125,-1)</f>
        <v>0.16551724137931</v>
      </c>
      <c r="AM125" s="51" t="n">
        <f aca="false">IF(AND(OR(CC125="L1",CC125="L23",CC125="LIFT"),AI125&gt;0),SUMIFS($AI$7:$AI$1843,$CC$7:$CC$1843,CC125,$AL$7:$AL$1843,"&gt;"&amp;AL125)+SUMIFS($AI$7:$AI$1843,$CC$7:$CC$1843,CC125,$AL$7:$AL$1843,AL125,$BT$7:$BT$1843,"&lt;="&amp;BT125),"")</f>
        <v>12781.2401311024</v>
      </c>
      <c r="AN125" s="58" t="n">
        <f aca="false">IF(AM125="",0,MAX(0,MIN(1,(IF(CC125="L1",Parameter!$H$5,IF(CC125="L23",Parameter!$H$6+Parameter!$H$7,Parameter!$H$5+Parameter!$H$6+Parameter!$H$7))-(AM125-AI125))/AI125)))</f>
        <v>1</v>
      </c>
      <c r="AO125" s="50" t="n">
        <f aca="false">IF(LEFT(Cockpit!$I$5,1)="A",H125,IF(CE125=1,CF125,IF(LEFT(Cockpit!$I$5,1)="B",AT125,MAX(AT125,H125))))</f>
        <v>7</v>
      </c>
      <c r="AP125" s="50" t="n">
        <f aca="false">IF(BW125=1,0,ROUNDUP(AO125/BV125,0))</f>
        <v>1</v>
      </c>
      <c r="AQ125" s="52" t="n">
        <f aca="false">IF(CL125&gt;0,CL125*MAX(1,AO125/X125),IF(BW125=1,IF(AO125&lt;=0,0,CA125*MAX(1,IF(H125&gt;0,AO125/H125,1))),IF(R125&gt;0,AP125/R125,0))/MAX(0.1,N(Parameter!$M$21)))</f>
        <v>0.0833333333333333</v>
      </c>
      <c r="AR125" s="50" t="n">
        <f aca="false">AQ125*BY125</f>
        <v>12.0833333333333</v>
      </c>
      <c r="AS125" s="50" t="n">
        <f aca="false">AO125*G125</f>
        <v>4081</v>
      </c>
      <c r="AT125" s="50" t="n">
        <f aca="false">ROUNDUP(MAX(J125/IF(CD125&gt;0,CD125,MAX(0.1,N(Cockpit!$I$6))),CG125)/BV125,0)*BV125</f>
        <v>7</v>
      </c>
      <c r="AU125" s="51" t="n">
        <f aca="false">IF(AR125&gt;0,J125/AR125,-1)</f>
        <v>0.16551724137931</v>
      </c>
      <c r="AV125" s="51" t="n">
        <f aca="false">IF(AND(OR(CC125="L1",CC125="L23",CC125="LIFT"),AR125&gt;0),SUMIFS($AR$7:$AR$1843,$CC$7:$CC$1843,CC125,$AU$7:$AU$1843,"&gt;"&amp;AU125)+SUMIFS($AR$7:$AR$1843,$CC$7:$CC$1843,CC125,$AU$7:$AU$1843,AU125,$BT$7:$BT$1843,"&lt;="&amp;BT125),"")</f>
        <v>19362.3145604396</v>
      </c>
      <c r="AW125" s="58" t="n">
        <f aca="false">IF(AV125="",0,MAX(0,MIN(1,(IF(CC125="L1",Parameter!$H$5,IF(CC125="L23",Parameter!$H$6+Parameter!$H$7,Parameter!$H$5+Parameter!$H$6+Parameter!$H$7))-(AV125-AR125))/AR125)))</f>
        <v>1</v>
      </c>
      <c r="AX125" s="50" t="n">
        <f aca="false">IF(LEFT(Cockpit!$O$5,1)="A",H125,IF(CE125=1,CF125,IF(LEFT(Cockpit!$O$5,1)="B",BC125,MAX(BC125,H125))))</f>
        <v>7</v>
      </c>
      <c r="AY125" s="50" t="n">
        <f aca="false">IF(BW125=1,0,ROUNDUP(AX125/BV125,0))</f>
        <v>1</v>
      </c>
      <c r="AZ125" s="52" t="n">
        <f aca="false">IF(CL125&gt;0,CL125*MAX(1,AX125/X125),IF(BW125=1,IF(AX125&lt;=0,0,CA125*MAX(1,IF(H125&gt;0,AX125/H125,1))),IF(R125&gt;0,AY125/R125,0))/MAX(0.1,N(Parameter!$M$21)))</f>
        <v>0.0833333333333333</v>
      </c>
      <c r="BA125" s="50" t="n">
        <f aca="false">AZ125*BY125</f>
        <v>12.0833333333333</v>
      </c>
      <c r="BB125" s="50" t="n">
        <f aca="false">AX125*G125</f>
        <v>4081</v>
      </c>
      <c r="BC125" s="50" t="n">
        <f aca="false">ROUNDUP(MAX(J125/IF(CD125&gt;0,CD125,MAX(0.1,N(Cockpit!$O$6))),CG125)/BV125,0)*BV125</f>
        <v>7</v>
      </c>
      <c r="BD125" s="51" t="n">
        <f aca="false">IF(BA125&gt;0,J125/BA125,-1)</f>
        <v>0.16551724137931</v>
      </c>
      <c r="BE125" s="51" t="n">
        <f aca="false">IF(AND(OR(CC125="L1",CC125="L23",CC125="LIFT"),BA125&gt;0),SUMIFS($BA$7:$BA$1843,$CC$7:$CC$1843,CC125,$BD$7:$BD$1843,"&gt;"&amp;BD125)+SUMIFS($BA$7:$BA$1843,$CC$7:$CC$1843,CC125,$BD$7:$BD$1843,BD125,$BT$7:$BT$1843,"&lt;="&amp;BT125),"")</f>
        <v>17388.3882783883</v>
      </c>
      <c r="BF125" s="58" t="n">
        <f aca="false">IF(BE125="",0,MAX(0,MIN(1,(IF(CC125="L1",Parameter!$H$5,IF(CC125="L23",Parameter!$H$6+Parameter!$H$7,Parameter!$H$5+Parameter!$H$6+Parameter!$H$7))-(BE125-BA125))/BA125)))</f>
        <v>1</v>
      </c>
      <c r="BG125" s="48" t="str">
        <f aca="false">IF(AI125&lt;=0,"",IF(CC125="Aussen","Aussenlager",IF(CC125="-","Nicht im Lift",IF(AN125&gt;=1,"Lift",IF(AN125&lt;=0,"Aussenlager","teilweise")))))</f>
        <v>Lift</v>
      </c>
      <c r="BH125" s="48" t="str">
        <f aca="false">IF(AR125&lt;=0,"",IF(CC125="Aussen","Aussenlager",IF(CC125="-","Nicht im Lift",IF(AW125&gt;=1,"Lift",IF(AW125&lt;=0,"Aussenlager","teilweise")))))</f>
        <v>Lift</v>
      </c>
      <c r="BI125" s="48" t="str">
        <f aca="false">IF(BA125&lt;=0,"",IF(CC125="Aussen","Aussenlager",IF(CC125="-","Nicht im Lift",IF(BF125&gt;=1,"Lift",IF(BF125&lt;=0,"Aussenlager","teilweise")))))</f>
        <v>Lift</v>
      </c>
      <c r="BJ125" s="48" t="str">
        <f aca="false">IF(A125="","",IF(BS125=1,"Neu; ","")&amp;IF(AND(BS125=0,BN125&lt;0),"negativer Bestand (Export "&amp;BN125&amp;"); ","")&amp;IF(J125&lt;=0,"Kein Verbrauch; ","")&amp;IF(CL125&gt;0,"Lift "&amp;W125&amp;" lt. Liftbericht (Fach "&amp;X125&amp;" Stk); ",IF(BX125=1,"Gebinde geschätzt ("&amp;T125&amp;"); ",IF(BW125=1,"Lose – Tablare geschätzt; ","")))&amp;IF(H125&gt;AT125,"Überbestand "&amp;ROUND(H125-AT125,0)&amp;" Stk / CHF "&amp;ROUND((H125-AT125)*G125,0)&amp;"; ","")&amp;IF(AND(CE125=1,CF125&lt;CG125),"MAX &lt; MB+LG; ","")&amp;IF(AND(CK125&gt;0,CJ125*10&gt;CK125),"zu hoch für Tablar; ","")&amp;IF(AND(BS125=0,OR(CE125=1,AA125&lt;&gt;"",U125&lt;&gt;"",V125&lt;&gt;"",AB125&lt;&gt;"")),"manuell übersteuert; ","")&amp;IF(AND(BW125=0,R125=0),"Gebinde unbekannt / Stellmass fehlt; ","")&amp;IF(AND(BW125=0,N(V125)&lt;=0,N(Q125)&lt;=0),"Menge pro Gebinde fehlt (Ist = 1 Gebinde); ","")&amp;BR125)</f>
        <v/>
      </c>
      <c r="BK125" s="48"/>
      <c r="BL125" s="48"/>
      <c r="BM125" s="55"/>
      <c r="BN125" s="50" t="n">
        <v>3</v>
      </c>
      <c r="BO125" s="50" t="n">
        <v>2</v>
      </c>
      <c r="BP125" s="49" t="n">
        <v>1783</v>
      </c>
      <c r="BQ125" s="50" t="n">
        <v>2</v>
      </c>
      <c r="BR125" s="48"/>
      <c r="BS125" s="53" t="n">
        <v>0</v>
      </c>
      <c r="BT125" s="53" t="n">
        <v>125</v>
      </c>
      <c r="BU125" s="48" t="str">
        <f aca="false">IF(U125&lt;&gt;"",UPPER(TRIM(U125)),IF(BX125=1,UPPER(VLOOKUP(T125,Parameter!$I$27:$K$29,2,0)),IF(P125="","LOSE",P125)))</f>
        <v>S61</v>
      </c>
      <c r="BV125" s="50" t="n">
        <f aca="false">IF(BU125="LOSE",1,IF(N(V125)&gt;0,V125,IF(BX125=1,MAX(1,N(VLOOKUP(T125,Parameter!$I$27:$K$29,3,0)),H125,N(N125)),IF(N(Q125)&gt;0,Q125,MAX(1,H125)))))</f>
        <v>7</v>
      </c>
      <c r="BW125" s="53" t="n">
        <f aca="false">IF(BU125="LOSE",1,0)</f>
        <v>0</v>
      </c>
      <c r="BX125" s="53" t="n">
        <f aca="false">IF(AND(U125="",OR(P125="",P125="LOSE"),T125&lt;&gt;"",N(S125)&lt;=0,ISNUMBER(MATCH(T125,Parameter!$I$27:$I$29,0))),1,0)</f>
        <v>0</v>
      </c>
      <c r="BY125" s="53" t="n">
        <f aca="false">IF(CL125&gt;0,INDEX(Parameter!$H$5:$H$7,W125)/INDEX(Parameter!$E$5:$E$7,W125),IF(AND(BW125=0,N(IFERROR(VLOOKUP(BU125,'Gebinde-Kategorie'!$A$5:$N$45,14,0),0))&gt;0),VLOOKUP(BU125,'Gebinde-Kategorie'!$A$5:$N$45,14,0)*10+Parameter!$M$23,Parameter!$M$24))</f>
        <v>145</v>
      </c>
      <c r="BZ125" s="48" t="str">
        <f aca="false">IF(AND(Parameter!$B$19="Ja",E125&lt;&gt;"",ISNUMBER(MATCH(E125,Parameter!$I$35:$I$52,0))),VLOOKUP(E125,Parameter!$I$35:$J$52,2,0),IFERROR(VLOOKUP(D125,Parameter!$A$35:$C$64,2,0),"Nein"))</f>
        <v>2+3</v>
      </c>
      <c r="CA125" s="52" t="n">
        <f aca="false">IF(BW125=0,0,IF(N(S125)&gt;0,S125,IFERROR(VLOOKUP(D125,Parameter!$A$35:$C$64,3,0)+0,0)))</f>
        <v>0</v>
      </c>
      <c r="CB125" s="48" t="n">
        <f aca="false">IF(AA125&lt;&gt;"",AA125,Z125)</f>
        <v>2</v>
      </c>
      <c r="CC125" s="48" t="str">
        <f aca="false">IF(OR(CB125=1,CB125=2,CB125=3),IF(Parameter!$E$27="Ja","LIFT",IF(CB125=1,"L1","L23")),IF(CB125="Aussen","Aussen","-"))</f>
        <v>LIFT</v>
      </c>
      <c r="CD125" s="59" t="n">
        <f aca="false">IF(N(AB125)&gt;0,AB125,0)</f>
        <v>0</v>
      </c>
      <c r="CE125" s="53" t="n">
        <f aca="false">IF(ISNUMBER(AE125),1,0)</f>
        <v>0</v>
      </c>
      <c r="CF125" s="50" t="n">
        <f aca="false">N(AE125)</f>
        <v>0</v>
      </c>
      <c r="CG125" s="50" t="n">
        <f aca="false">N(M125)+N(N125)</f>
        <v>1</v>
      </c>
      <c r="CH125" s="50" t="n">
        <f aca="false">ROUNDUP(H125/BV125,0)</f>
        <v>1</v>
      </c>
      <c r="CI125" s="50" t="n">
        <f aca="false">ROUNDUP(CF125/BV125,0)</f>
        <v>0</v>
      </c>
      <c r="CJ125" s="53" t="n">
        <f aca="false">IF(BW125=1,0,IFERROR(VLOOKUP(BU125,'Gebinde-Kategorie'!$A$5:$N$45,5,0)+0,0))</f>
        <v>11</v>
      </c>
      <c r="CK125" s="53" t="n">
        <f aca="false">IFERROR(IF(OR(CB125=1,CB125=2,CB125=3),N(INDEX(Parameter!$I$5:$I$7,CB125)),0),0)</f>
        <v>0</v>
      </c>
      <c r="CL125" s="52" t="n">
        <f aca="false">IF(AND(Parameter!$B$21="Ja",ISNUMBER(W125),N(X125)&gt;0),IFERROR(N(INDEX(Parameter!$L$5:$L$7,W125))*INDEX(Parameter!$E$5:$E$7,W125)*X125/SUMIFS($X$7:$X$1843,$W$7:$W$1843,W125),0),0)</f>
        <v>0</v>
      </c>
    </row>
    <row r="126" customFormat="false" ht="15" hidden="false" customHeight="false" outlineLevel="0" collapsed="false">
      <c r="A126" s="48" t="s">
        <v>465</v>
      </c>
      <c r="B126" s="48" t="s">
        <v>466</v>
      </c>
      <c r="C126" s="48" t="s">
        <v>168</v>
      </c>
      <c r="D126" s="48" t="s">
        <v>169</v>
      </c>
      <c r="E126" s="48"/>
      <c r="F126" s="48" t="s">
        <v>222</v>
      </c>
      <c r="G126" s="49" t="n">
        <v>222.71</v>
      </c>
      <c r="H126" s="50" t="n">
        <f aca="false">MAX(0,IF(AND(Parameter!$B$21="Ja",ISNUMBER(Y126)),Y126,IF(Parameter!$B$20="Jahresanfang 2025 + Export",BO126+BN126,BN126)))</f>
        <v>8</v>
      </c>
      <c r="I126" s="50" t="n">
        <f aca="false">H126*G126</f>
        <v>1781.68</v>
      </c>
      <c r="J126" s="50" t="n">
        <f aca="false">BQ126*Parameter!$B$18</f>
        <v>0</v>
      </c>
      <c r="K126" s="51" t="n">
        <v>4</v>
      </c>
      <c r="L126" s="52" t="n">
        <v>0</v>
      </c>
      <c r="M126" s="50" t="n">
        <v>0</v>
      </c>
      <c r="N126" s="50" t="n">
        <v>1</v>
      </c>
      <c r="O126" s="53" t="n">
        <v>42</v>
      </c>
      <c r="P126" s="48" t="s">
        <v>172</v>
      </c>
      <c r="Q126" s="50"/>
      <c r="R126" s="53" t="n">
        <f aca="false">IF(BW126=1,0,IFERROR(VLOOKUP(BU126,'Gebinde-Kategorie'!$A$5:$N$45,13,0)+0,0))</f>
        <v>0</v>
      </c>
      <c r="S126" s="54"/>
      <c r="T126" s="55"/>
      <c r="U126" s="55"/>
      <c r="V126" s="55"/>
      <c r="W126" s="48" t="n">
        <v>1</v>
      </c>
      <c r="X126" s="50" t="n">
        <v>8</v>
      </c>
      <c r="Y126" s="50" t="n">
        <v>8</v>
      </c>
      <c r="Z126" s="48" t="n">
        <f aca="false">IF(A126="","",IF(AND(Parameter!$B$21="Ja",ISNUMBER(W126)),W126,IF(BZ126="2+3",IF(ISNUMBER(SEARCH("grosser Artikel",BR126)),2,IFERROR(VLOOKUP(BU126,Parameter!$F$35:$G$64,2,0),2)),IF(OR(BZ126="Nein",BZ126=""),"-",BZ126))))</f>
        <v>1</v>
      </c>
      <c r="AA126" s="55"/>
      <c r="AB126" s="56"/>
      <c r="AC126" s="50" t="n">
        <f aca="false">AT126</f>
        <v>1</v>
      </c>
      <c r="AD126" s="50" t="n">
        <f aca="false">MAX(AT126,H126)</f>
        <v>8</v>
      </c>
      <c r="AE126" s="57"/>
      <c r="AF126" s="50" t="n">
        <f aca="false">IF(LEFT(Cockpit!$C$5,1)="A",H126,IF(CE126=1,CF126,IF(LEFT(Cockpit!$C$5,1)="B",AK126,MAX(AK126,H126))))</f>
        <v>8</v>
      </c>
      <c r="AG126" s="50" t="n">
        <f aca="false">IF(BW126=1,0,ROUNDUP(AF126/BV126,0))</f>
        <v>0</v>
      </c>
      <c r="AH126" s="52" t="n">
        <f aca="false">IF(CL126&gt;0,CL126*MAX(1,AF126/X126),IF(BW126=1,IF(AF126&lt;=0,0,CA126*MAX(1,IF(H126&gt;0,AF126/H126,1))),IF(R126&gt;0,AG126/R126,0))/MAX(0.1,N(Parameter!$M$21)))</f>
        <v>0.64030131826742</v>
      </c>
      <c r="AI126" s="50" t="n">
        <f aca="false">AH126*BY126</f>
        <v>152.391713747646</v>
      </c>
      <c r="AJ126" s="50" t="n">
        <f aca="false">AF126*G126</f>
        <v>1781.68</v>
      </c>
      <c r="AK126" s="50" t="n">
        <f aca="false">ROUNDUP(MAX(J126/IF(CD126&gt;0,CD126,MAX(0.1,N(Cockpit!$C$6))),CG126)/BV126,0)*BV126</f>
        <v>1</v>
      </c>
      <c r="AL126" s="51" t="n">
        <f aca="false">IF(AI126&gt;0,J126/AI126,-1)</f>
        <v>0</v>
      </c>
      <c r="AM126" s="51" t="n">
        <f aca="false">IF(AND(OR(CC126="L1",CC126="L23",CC126="LIFT"),AI126&gt;0),SUMIFS($AI$7:$AI$1843,$CC$7:$CC$1843,CC126,$AL$7:$AL$1843,"&gt;"&amp;AL126)+SUMIFS($AI$7:$AI$1843,$CC$7:$CC$1843,CC126,$AL$7:$AL$1843,AL126,$BT$7:$BT$1843,"&lt;="&amp;BT126),"")</f>
        <v>27158.6164685127</v>
      </c>
      <c r="AN126" s="58" t="n">
        <f aca="false">IF(AM126="",0,MAX(0,MIN(1,(IF(CC126="L1",Parameter!$H$5,IF(CC126="L23",Parameter!$H$6+Parameter!$H$7,Parameter!$H$5+Parameter!$H$6+Parameter!$H$7))-(AM126-AI126))/AI126)))</f>
        <v>1</v>
      </c>
      <c r="AO126" s="50" t="n">
        <f aca="false">IF(LEFT(Cockpit!$I$5,1)="A",H126,IF(CE126=1,CF126,IF(LEFT(Cockpit!$I$5,1)="B",AT126,MAX(AT126,H126))))</f>
        <v>8</v>
      </c>
      <c r="AP126" s="50" t="n">
        <f aca="false">IF(BW126=1,0,ROUNDUP(AO126/BV126,0))</f>
        <v>0</v>
      </c>
      <c r="AQ126" s="52" t="n">
        <f aca="false">IF(CL126&gt;0,CL126*MAX(1,AO126/X126),IF(BW126=1,IF(AO126&lt;=0,0,CA126*MAX(1,IF(H126&gt;0,AO126/H126,1))),IF(R126&gt;0,AP126/R126,0))/MAX(0.1,N(Parameter!$M$21)))</f>
        <v>0.64030131826742</v>
      </c>
      <c r="AR126" s="50" t="n">
        <f aca="false">AQ126*BY126</f>
        <v>152.391713747646</v>
      </c>
      <c r="AS126" s="50" t="n">
        <f aca="false">AO126*G126</f>
        <v>1781.68</v>
      </c>
      <c r="AT126" s="50" t="n">
        <f aca="false">ROUNDUP(MAX(J126/IF(CD126&gt;0,CD126,MAX(0.1,N(Cockpit!$I$6))),CG126)/BV126,0)*BV126</f>
        <v>1</v>
      </c>
      <c r="AU126" s="51" t="n">
        <f aca="false">IF(AR126&gt;0,J126/AR126,-1)</f>
        <v>0</v>
      </c>
      <c r="AV126" s="51" t="n">
        <f aca="false">IF(AND(OR(CC126="L1",CC126="L23",CC126="LIFT"),AR126&gt;0),SUMIFS($AR$7:$AR$1843,$CC$7:$CC$1843,CC126,$AU$7:$AU$1843,"&gt;"&amp;AU126)+SUMIFS($AR$7:$AR$1843,$CC$7:$CC$1843,CC126,$AU$7:$AU$1843,AU126,$BT$7:$BT$1843,"&lt;="&amp;BT126),"")</f>
        <v>38471.5219857826</v>
      </c>
      <c r="AW126" s="58" t="n">
        <f aca="false">IF(AV126="",0,MAX(0,MIN(1,(IF(CC126="L1",Parameter!$H$5,IF(CC126="L23",Parameter!$H$6+Parameter!$H$7,Parameter!$H$5+Parameter!$H$6+Parameter!$H$7))-(AV126-AR126))/AR126)))</f>
        <v>0</v>
      </c>
      <c r="AX126" s="50" t="n">
        <f aca="false">IF(LEFT(Cockpit!$O$5,1)="A",H126,IF(CE126=1,CF126,IF(LEFT(Cockpit!$O$5,1)="B",BC126,MAX(BC126,H126))))</f>
        <v>8</v>
      </c>
      <c r="AY126" s="50" t="n">
        <f aca="false">IF(BW126=1,0,ROUNDUP(AX126/BV126,0))</f>
        <v>0</v>
      </c>
      <c r="AZ126" s="52" t="n">
        <f aca="false">IF(CL126&gt;0,CL126*MAX(1,AX126/X126),IF(BW126=1,IF(AX126&lt;=0,0,CA126*MAX(1,IF(H126&gt;0,AX126/H126,1))),IF(R126&gt;0,AY126/R126,0))/MAX(0.1,N(Parameter!$M$21)))</f>
        <v>0.64030131826742</v>
      </c>
      <c r="BA126" s="50" t="n">
        <f aca="false">AZ126*BY126</f>
        <v>152.391713747646</v>
      </c>
      <c r="BB126" s="50" t="n">
        <f aca="false">AX126*G126</f>
        <v>1781.68</v>
      </c>
      <c r="BC126" s="50" t="n">
        <f aca="false">ROUNDUP(MAX(J126/IF(CD126&gt;0,CD126,MAX(0.1,N(Cockpit!$O$6))),CG126)/BV126,0)*BV126</f>
        <v>1</v>
      </c>
      <c r="BD126" s="51" t="n">
        <f aca="false">IF(BA126&gt;0,J126/BA126,-1)</f>
        <v>0</v>
      </c>
      <c r="BE126" s="51" t="n">
        <f aca="false">IF(AND(OR(CC126="L1",CC126="L23",CC126="LIFT"),BA126&gt;0),SUMIFS($BA$7:$BA$1843,$CC$7:$CC$1843,CC126,$BD$7:$BD$1843,"&gt;"&amp;BD126)+SUMIFS($BA$7:$BA$1843,$CC$7:$CC$1843,CC126,$BD$7:$BD$1843,BD126,$BT$7:$BT$1843,"&lt;="&amp;BT126),"")</f>
        <v>35146.5340276484</v>
      </c>
      <c r="BF126" s="58" t="n">
        <f aca="false">IF(BE126="",0,MAX(0,MIN(1,(IF(CC126="L1",Parameter!$H$5,IF(CC126="L23",Parameter!$H$6+Parameter!$H$7,Parameter!$H$5+Parameter!$H$6+Parameter!$H$7))-(BE126-BA126))/BA126)))</f>
        <v>1</v>
      </c>
      <c r="BG126" s="48" t="str">
        <f aca="false">IF(AI126&lt;=0,"",IF(CC126="Aussen","Aussenlager",IF(CC126="-","Nicht im Lift",IF(AN126&gt;=1,"Lift",IF(AN126&lt;=0,"Aussenlager","teilweise")))))</f>
        <v>Lift</v>
      </c>
      <c r="BH126" s="48" t="str">
        <f aca="false">IF(AR126&lt;=0,"",IF(CC126="Aussen","Aussenlager",IF(CC126="-","Nicht im Lift",IF(AW126&gt;=1,"Lift",IF(AW126&lt;=0,"Aussenlager","teilweise")))))</f>
        <v>Aussenlager</v>
      </c>
      <c r="BI126" s="48" t="str">
        <f aca="false">IF(BA126&lt;=0,"",IF(CC126="Aussen","Aussenlager",IF(CC126="-","Nicht im Lift",IF(BF126&gt;=1,"Lift",IF(BF126&lt;=0,"Aussenlager","teilweise")))))</f>
        <v>Lift</v>
      </c>
      <c r="BJ126" s="48" t="str">
        <f aca="false">IF(A126="","",IF(BS126=1,"Neu; ","")&amp;IF(AND(BS126=0,BN126&lt;0),"negativer Bestand (Export "&amp;BN126&amp;"); ","")&amp;IF(J126&lt;=0,"Kein Verbrauch; ","")&amp;IF(CL126&gt;0,"Lift "&amp;W126&amp;" lt. Liftbericht (Fach "&amp;X126&amp;" Stk); ",IF(BX126=1,"Gebinde geschätzt ("&amp;T126&amp;"); ",IF(BW126=1,"Lose – Tablare geschätzt; ","")))&amp;IF(H126&gt;AT126,"Überbestand "&amp;ROUND(H126-AT126,0)&amp;" Stk / CHF "&amp;ROUND((H126-AT126)*G126,0)&amp;"; ","")&amp;IF(AND(CE126=1,CF126&lt;CG126),"MAX &lt; MB+LG; ","")&amp;IF(AND(CK126&gt;0,CJ126*10&gt;CK126),"zu hoch für Tablar; ","")&amp;IF(AND(BS126=0,OR(CE126=1,AA126&lt;&gt;"",U126&lt;&gt;"",V126&lt;&gt;"",AB126&lt;&gt;"")),"manuell übersteuert; ","")&amp;IF(AND(BW126=0,R126=0),"Gebinde unbekannt / Stellmass fehlt; ","")&amp;IF(AND(BW126=0,N(V126)&lt;=0,N(Q126)&lt;=0),"Menge pro Gebinde fehlt (Ist = 1 Gebinde); ","")&amp;BR126)</f>
        <v>Kein Verbrauch; Lift 1 lt. Liftbericht (Fach 8 Stk); Überbestand 7 Stk / CHF 1559; </v>
      </c>
      <c r="BK126" s="48"/>
      <c r="BL126" s="48"/>
      <c r="BM126" s="55"/>
      <c r="BN126" s="50" t="n">
        <v>8</v>
      </c>
      <c r="BO126" s="50" t="n">
        <v>0</v>
      </c>
      <c r="BP126" s="49" t="n">
        <v>1781.68</v>
      </c>
      <c r="BQ126" s="50" t="n">
        <v>0</v>
      </c>
      <c r="BR126" s="48"/>
      <c r="BS126" s="53" t="n">
        <v>0</v>
      </c>
      <c r="BT126" s="53" t="n">
        <v>126</v>
      </c>
      <c r="BU126" s="48" t="str">
        <f aca="false">IF(U126&lt;&gt;"",UPPER(TRIM(U126)),IF(BX126=1,UPPER(VLOOKUP(T126,Parameter!$I$27:$K$29,2,0)),IF(P126="","LOSE",P126)))</f>
        <v>LOSE</v>
      </c>
      <c r="BV126" s="50" t="n">
        <f aca="false">IF(BU126="LOSE",1,IF(N(V126)&gt;0,V126,IF(BX126=1,MAX(1,N(VLOOKUP(T126,Parameter!$I$27:$K$29,3,0)),H126,N(N126)),IF(N(Q126)&gt;0,Q126,MAX(1,H126)))))</f>
        <v>1</v>
      </c>
      <c r="BW126" s="53" t="n">
        <f aca="false">IF(BU126="LOSE",1,0)</f>
        <v>1</v>
      </c>
      <c r="BX126" s="53" t="n">
        <f aca="false">IF(AND(U126="",OR(P126="",P126="LOSE"),T126&lt;&gt;"",N(S126)&lt;=0,ISNUMBER(MATCH(T126,Parameter!$I$27:$I$29,0))),1,0)</f>
        <v>0</v>
      </c>
      <c r="BY126" s="53" t="n">
        <f aca="false">IF(CL126&gt;0,INDEX(Parameter!$H$5:$H$7,W126)/INDEX(Parameter!$E$5:$E$7,W126),IF(AND(BW126=0,N(IFERROR(VLOOKUP(BU126,'Gebinde-Kategorie'!$A$5:$N$45,14,0),0))&gt;0),VLOOKUP(BU126,'Gebinde-Kategorie'!$A$5:$N$45,14,0)*10+Parameter!$M$23,Parameter!$M$24))</f>
        <v>238</v>
      </c>
      <c r="BZ126" s="48" t="n">
        <f aca="false">IF(AND(Parameter!$B$19="Ja",E126&lt;&gt;"",ISNUMBER(MATCH(E126,Parameter!$I$35:$I$52,0))),VLOOKUP(E126,Parameter!$I$35:$J$52,2,0),IFERROR(VLOOKUP(D126,Parameter!$A$35:$C$64,2,0),"Nein"))</f>
        <v>1</v>
      </c>
      <c r="CA126" s="52" t="n">
        <f aca="false">IF(BW126=0,0,IF(N(S126)&gt;0,S126,IFERROR(VLOOKUP(D126,Parameter!$A$35:$C$64,3,0)+0,0)))</f>
        <v>1</v>
      </c>
      <c r="CB126" s="48" t="n">
        <f aca="false">IF(AA126&lt;&gt;"",AA126,Z126)</f>
        <v>1</v>
      </c>
      <c r="CC126" s="48" t="str">
        <f aca="false">IF(OR(CB126=1,CB126=2,CB126=3),IF(Parameter!$E$27="Ja","LIFT",IF(CB126=1,"L1","L23")),IF(CB126="Aussen","Aussen","-"))</f>
        <v>LIFT</v>
      </c>
      <c r="CD126" s="59" t="n">
        <f aca="false">IF(N(AB126)&gt;0,AB126,0)</f>
        <v>0</v>
      </c>
      <c r="CE126" s="53" t="n">
        <f aca="false">IF(ISNUMBER(AE126),1,0)</f>
        <v>0</v>
      </c>
      <c r="CF126" s="50" t="n">
        <f aca="false">N(AE126)</f>
        <v>0</v>
      </c>
      <c r="CG126" s="50" t="n">
        <f aca="false">N(M126)+N(N126)</f>
        <v>1</v>
      </c>
      <c r="CH126" s="50" t="n">
        <f aca="false">ROUNDUP(H126/BV126,0)</f>
        <v>8</v>
      </c>
      <c r="CI126" s="50" t="n">
        <f aca="false">ROUNDUP(CF126/BV126,0)</f>
        <v>0</v>
      </c>
      <c r="CJ126" s="53" t="n">
        <f aca="false">IF(BW126=1,0,IFERROR(VLOOKUP(BU126,'Gebinde-Kategorie'!$A$5:$N$45,5,0)+0,0))</f>
        <v>0</v>
      </c>
      <c r="CK126" s="53" t="n">
        <f aca="false">IFERROR(IF(OR(CB126=1,CB126=2,CB126=3),N(INDEX(Parameter!$I$5:$I$7,CB126)),0),0)</f>
        <v>0</v>
      </c>
      <c r="CL126" s="52" t="n">
        <f aca="false">IF(AND(Parameter!$B$21="Ja",ISNUMBER(W126),N(X126)&gt;0),IFERROR(N(INDEX(Parameter!$L$5:$L$7,W126))*INDEX(Parameter!$E$5:$E$7,W126)*X126/SUMIFS($X$7:$X$1843,$W$7:$W$1843,W126),0),0)</f>
        <v>0.64030131826742</v>
      </c>
    </row>
    <row r="127" customFormat="false" ht="15" hidden="false" customHeight="false" outlineLevel="0" collapsed="false">
      <c r="A127" s="48" t="s">
        <v>467</v>
      </c>
      <c r="B127" s="48" t="s">
        <v>468</v>
      </c>
      <c r="C127" s="48" t="s">
        <v>168</v>
      </c>
      <c r="D127" s="48" t="s">
        <v>177</v>
      </c>
      <c r="E127" s="48" t="s">
        <v>469</v>
      </c>
      <c r="F127" s="48" t="s">
        <v>222</v>
      </c>
      <c r="G127" s="49" t="n">
        <v>19.53</v>
      </c>
      <c r="H127" s="50" t="n">
        <f aca="false">MAX(0,IF(AND(Parameter!$B$21="Ja",ISNUMBER(Y127)),Y127,IF(Parameter!$B$20="Jahresanfang 2025 + Export",BO127+BN127,BN127)))</f>
        <v>113</v>
      </c>
      <c r="I127" s="50" t="n">
        <f aca="false">H127*G127</f>
        <v>2206.89</v>
      </c>
      <c r="J127" s="50" t="n">
        <f aca="false">BQ127*Parameter!$B$18</f>
        <v>25</v>
      </c>
      <c r="K127" s="51" t="n">
        <v>89</v>
      </c>
      <c r="L127" s="52" t="n">
        <v>0.280898876404494</v>
      </c>
      <c r="M127" s="50" t="n">
        <v>1</v>
      </c>
      <c r="N127" s="50" t="n">
        <v>25</v>
      </c>
      <c r="O127" s="53" t="n">
        <v>21</v>
      </c>
      <c r="P127" s="48" t="s">
        <v>172</v>
      </c>
      <c r="Q127" s="50"/>
      <c r="R127" s="53" t="n">
        <f aca="false">IF(BW127=1,0,IFERROR(VLOOKUP(BU127,'Gebinde-Kategorie'!$A$5:$N$45,13,0)+0,0))</f>
        <v>4</v>
      </c>
      <c r="S127" s="54"/>
      <c r="T127" s="55" t="s">
        <v>193</v>
      </c>
      <c r="U127" s="55"/>
      <c r="V127" s="55"/>
      <c r="W127" s="48"/>
      <c r="X127" s="50"/>
      <c r="Y127" s="50"/>
      <c r="Z127" s="48" t="str">
        <f aca="false">IF(A127="","",IF(AND(Parameter!$B$21="Ja",ISNUMBER(W127)),W127,IF(BZ127="2+3",IF(ISNUMBER(SEARCH("grosser Artikel",BR127)),2,IFERROR(VLOOKUP(BU127,Parameter!$F$35:$G$64,2,0),2)),IF(OR(BZ127="Nein",BZ127=""),"-",BZ127))))</f>
        <v>-</v>
      </c>
      <c r="AA127" s="55"/>
      <c r="AB127" s="56"/>
      <c r="AC127" s="50" t="n">
        <f aca="false">AT127</f>
        <v>113</v>
      </c>
      <c r="AD127" s="50" t="n">
        <f aca="false">MAX(AT127,H127)</f>
        <v>113</v>
      </c>
      <c r="AE127" s="57"/>
      <c r="AF127" s="50" t="n">
        <f aca="false">IF(LEFT(Cockpit!$C$5,1)="A",H127,IF(CE127=1,CF127,IF(LEFT(Cockpit!$C$5,1)="B",AK127,MAX(AK127,H127))))</f>
        <v>113</v>
      </c>
      <c r="AG127" s="50" t="n">
        <f aca="false">IF(BW127=1,0,ROUNDUP(AF127/BV127,0))</f>
        <v>1</v>
      </c>
      <c r="AH127" s="52" t="n">
        <f aca="false">IF(CL127&gt;0,CL127*MAX(1,AF127/X127),IF(BW127=1,IF(AF127&lt;=0,0,CA127*MAX(1,IF(H127&gt;0,AF127/H127,1))),IF(R127&gt;0,AG127/R127,0))/MAX(0.1,N(Parameter!$M$21)))</f>
        <v>0.25</v>
      </c>
      <c r="AI127" s="50" t="n">
        <f aca="false">AH127*BY127</f>
        <v>58.75</v>
      </c>
      <c r="AJ127" s="50" t="n">
        <f aca="false">AF127*G127</f>
        <v>2206.89</v>
      </c>
      <c r="AK127" s="50" t="n">
        <f aca="false">ROUNDUP(MAX(J127/IF(CD127&gt;0,CD127,MAX(0.1,N(Cockpit!$C$6))),CG127)/BV127,0)*BV127</f>
        <v>113</v>
      </c>
      <c r="AL127" s="51" t="n">
        <f aca="false">IF(AI127&gt;0,J127/AI127,-1)</f>
        <v>0.425531914893617</v>
      </c>
      <c r="AM127" s="51" t="str">
        <f aca="false">IF(AND(OR(CC127="L1",CC127="L23",CC127="LIFT"),AI127&gt;0),SUMIFS($AI$7:$AI$1843,$CC$7:$CC$1843,CC127,$AL$7:$AL$1843,"&gt;"&amp;AL127)+SUMIFS($AI$7:$AI$1843,$CC$7:$CC$1843,CC127,$AL$7:$AL$1843,AL127,$BT$7:$BT$1843,"&lt;="&amp;BT127),"")</f>
        <v/>
      </c>
      <c r="AN127" s="58" t="n">
        <f aca="false">IF(AM127="",0,MAX(0,MIN(1,(IF(CC127="L1",Parameter!$H$5,IF(CC127="L23",Parameter!$H$6+Parameter!$H$7,Parameter!$H$5+Parameter!$H$6+Parameter!$H$7))-(AM127-AI127))/AI127)))</f>
        <v>0</v>
      </c>
      <c r="AO127" s="50" t="n">
        <f aca="false">IF(LEFT(Cockpit!$I$5,1)="A",H127,IF(CE127=1,CF127,IF(LEFT(Cockpit!$I$5,1)="B",AT127,MAX(AT127,H127))))</f>
        <v>113</v>
      </c>
      <c r="AP127" s="50" t="n">
        <f aca="false">IF(BW127=1,0,ROUNDUP(AO127/BV127,0))</f>
        <v>1</v>
      </c>
      <c r="AQ127" s="52" t="n">
        <f aca="false">IF(CL127&gt;0,CL127*MAX(1,AO127/X127),IF(BW127=1,IF(AO127&lt;=0,0,CA127*MAX(1,IF(H127&gt;0,AO127/H127,1))),IF(R127&gt;0,AP127/R127,0))/MAX(0.1,N(Parameter!$M$21)))</f>
        <v>0.25</v>
      </c>
      <c r="AR127" s="50" t="n">
        <f aca="false">AQ127*BY127</f>
        <v>58.75</v>
      </c>
      <c r="AS127" s="50" t="n">
        <f aca="false">AO127*G127</f>
        <v>2206.89</v>
      </c>
      <c r="AT127" s="50" t="n">
        <f aca="false">ROUNDUP(MAX(J127/IF(CD127&gt;0,CD127,MAX(0.1,N(Cockpit!$I$6))),CG127)/BV127,0)*BV127</f>
        <v>113</v>
      </c>
      <c r="AU127" s="51" t="n">
        <f aca="false">IF(AR127&gt;0,J127/AR127,-1)</f>
        <v>0.425531914893617</v>
      </c>
      <c r="AV127" s="51" t="str">
        <f aca="false">IF(AND(OR(CC127="L1",CC127="L23",CC127="LIFT"),AR127&gt;0),SUMIFS($AR$7:$AR$1843,$CC$7:$CC$1843,CC127,$AU$7:$AU$1843,"&gt;"&amp;AU127)+SUMIFS($AR$7:$AR$1843,$CC$7:$CC$1843,CC127,$AU$7:$AU$1843,AU127,$BT$7:$BT$1843,"&lt;="&amp;BT127),"")</f>
        <v/>
      </c>
      <c r="AW127" s="58" t="n">
        <f aca="false">IF(AV127="",0,MAX(0,MIN(1,(IF(CC127="L1",Parameter!$H$5,IF(CC127="L23",Parameter!$H$6+Parameter!$H$7,Parameter!$H$5+Parameter!$H$6+Parameter!$H$7))-(AV127-AR127))/AR127)))</f>
        <v>0</v>
      </c>
      <c r="AX127" s="50" t="n">
        <f aca="false">IF(LEFT(Cockpit!$O$5,1)="A",H127,IF(CE127=1,CF127,IF(LEFT(Cockpit!$O$5,1)="B",BC127,MAX(BC127,H127))))</f>
        <v>113</v>
      </c>
      <c r="AY127" s="50" t="n">
        <f aca="false">IF(BW127=1,0,ROUNDUP(AX127/BV127,0))</f>
        <v>1</v>
      </c>
      <c r="AZ127" s="52" t="n">
        <f aca="false">IF(CL127&gt;0,CL127*MAX(1,AX127/X127),IF(BW127=1,IF(AX127&lt;=0,0,CA127*MAX(1,IF(H127&gt;0,AX127/H127,1))),IF(R127&gt;0,AY127/R127,0))/MAX(0.1,N(Parameter!$M$21)))</f>
        <v>0.25</v>
      </c>
      <c r="BA127" s="50" t="n">
        <f aca="false">AZ127*BY127</f>
        <v>58.75</v>
      </c>
      <c r="BB127" s="50" t="n">
        <f aca="false">AX127*G127</f>
        <v>2206.89</v>
      </c>
      <c r="BC127" s="50" t="n">
        <f aca="false">ROUNDUP(MAX(J127/IF(CD127&gt;0,CD127,MAX(0.1,N(Cockpit!$O$6))),CG127)/BV127,0)*BV127</f>
        <v>113</v>
      </c>
      <c r="BD127" s="51" t="n">
        <f aca="false">IF(BA127&gt;0,J127/BA127,-1)</f>
        <v>0.425531914893617</v>
      </c>
      <c r="BE127" s="51" t="str">
        <f aca="false">IF(AND(OR(CC127="L1",CC127="L23",CC127="LIFT"),BA127&gt;0),SUMIFS($BA$7:$BA$1843,$CC$7:$CC$1843,CC127,$BD$7:$BD$1843,"&gt;"&amp;BD127)+SUMIFS($BA$7:$BA$1843,$CC$7:$CC$1843,CC127,$BD$7:$BD$1843,BD127,$BT$7:$BT$1843,"&lt;="&amp;BT127),"")</f>
        <v/>
      </c>
      <c r="BF127" s="58" t="n">
        <f aca="false">IF(BE127="",0,MAX(0,MIN(1,(IF(CC127="L1",Parameter!$H$5,IF(CC127="L23",Parameter!$H$6+Parameter!$H$7,Parameter!$H$5+Parameter!$H$6+Parameter!$H$7))-(BE127-BA127))/BA127)))</f>
        <v>0</v>
      </c>
      <c r="BG127" s="48" t="str">
        <f aca="false">IF(AI127&lt;=0,"",IF(CC127="Aussen","Aussenlager",IF(CC127="-","Nicht im Lift",IF(AN127&gt;=1,"Lift",IF(AN127&lt;=0,"Aussenlager","teilweise")))))</f>
        <v>Nicht im Lift</v>
      </c>
      <c r="BH127" s="48" t="str">
        <f aca="false">IF(AR127&lt;=0,"",IF(CC127="Aussen","Aussenlager",IF(CC127="-","Nicht im Lift",IF(AW127&gt;=1,"Lift",IF(AW127&lt;=0,"Aussenlager","teilweise")))))</f>
        <v>Nicht im Lift</v>
      </c>
      <c r="BI127" s="48" t="str">
        <f aca="false">IF(BA127&lt;=0,"",IF(CC127="Aussen","Aussenlager",IF(CC127="-","Nicht im Lift",IF(BF127&gt;=1,"Lift",IF(BF127&lt;=0,"Aussenlager","teilweise")))))</f>
        <v>Nicht im Lift</v>
      </c>
      <c r="BJ127" s="48" t="str">
        <f aca="false">IF(A127="","",IF(BS127=1,"Neu; ","")&amp;IF(AND(BS127=0,BN127&lt;0),"negativer Bestand (Export "&amp;BN127&amp;"); ","")&amp;IF(J127&lt;=0,"Kein Verbrauch; ","")&amp;IF(CL127&gt;0,"Lift "&amp;W127&amp;" lt. Liftbericht (Fach "&amp;X127&amp;" Stk); ",IF(BX127=1,"Gebinde geschätzt ("&amp;T127&amp;"); ",IF(BW127=1,"Lose – Tablare geschätzt; ","")))&amp;IF(H127&gt;AT127,"Überbestand "&amp;ROUND(H127-AT127,0)&amp;" Stk / CHF "&amp;ROUND((H127-AT127)*G127,0)&amp;"; ","")&amp;IF(AND(CE127=1,CF127&lt;CG127),"MAX &lt; MB+LG; ","")&amp;IF(AND(CK127&gt;0,CJ127*10&gt;CK127),"zu hoch für Tablar; ","")&amp;IF(AND(BS127=0,OR(CE127=1,AA127&lt;&gt;"",U127&lt;&gt;"",V127&lt;&gt;"",AB127&lt;&gt;"")),"manuell übersteuert; ","")&amp;IF(AND(BW127=0,R127=0),"Gebinde unbekannt / Stellmass fehlt; ","")&amp;IF(AND(BW127=0,N(V127)&lt;=0,N(Q127)&lt;=0),"Menge pro Gebinde fehlt (Ist = 1 Gebinde); ","")&amp;BR127)</f>
        <v>Gebinde geschätzt (Gross); Menge pro Gebinde fehlt (Ist = 1 Gebinde); </v>
      </c>
      <c r="BK127" s="48"/>
      <c r="BL127" s="48"/>
      <c r="BM127" s="55"/>
      <c r="BN127" s="50" t="n">
        <v>91</v>
      </c>
      <c r="BO127" s="50" t="n">
        <v>22</v>
      </c>
      <c r="BP127" s="49" t="n">
        <v>1776.13</v>
      </c>
      <c r="BQ127" s="50" t="n">
        <v>25</v>
      </c>
      <c r="BR127" s="48"/>
      <c r="BS127" s="53" t="n">
        <v>0</v>
      </c>
      <c r="BT127" s="53" t="n">
        <v>127</v>
      </c>
      <c r="BU127" s="48" t="str">
        <f aca="false">IF(U127&lt;&gt;"",UPPER(TRIM(U127)),IF(BX127=1,UPPER(VLOOKUP(T127,Parameter!$I$27:$K$29,2,0)),IF(P127="","LOSE",P127)))</f>
        <v>S81</v>
      </c>
      <c r="BV127" s="50" t="n">
        <f aca="false">IF(BU127="LOSE",1,IF(N(V127)&gt;0,V127,IF(BX127=1,MAX(1,N(VLOOKUP(T127,Parameter!$I$27:$K$29,3,0)),H127,N(N127)),IF(N(Q127)&gt;0,Q127,MAX(1,H127)))))</f>
        <v>113</v>
      </c>
      <c r="BW127" s="53" t="n">
        <f aca="false">IF(BU127="LOSE",1,0)</f>
        <v>0</v>
      </c>
      <c r="BX127" s="53" t="n">
        <f aca="false">IF(AND(U127="",OR(P127="",P127="LOSE"),T127&lt;&gt;"",N(S127)&lt;=0,ISNUMBER(MATCH(T127,Parameter!$I$27:$I$29,0))),1,0)</f>
        <v>1</v>
      </c>
      <c r="BY127" s="53" t="n">
        <f aca="false">IF(CL127&gt;0,INDEX(Parameter!$H$5:$H$7,W127)/INDEX(Parameter!$E$5:$E$7,W127),IF(AND(BW127=0,N(IFERROR(VLOOKUP(BU127,'Gebinde-Kategorie'!$A$5:$N$45,14,0),0))&gt;0),VLOOKUP(BU127,'Gebinde-Kategorie'!$A$5:$N$45,14,0)*10+Parameter!$M$23,Parameter!$M$24))</f>
        <v>235</v>
      </c>
      <c r="BZ127" s="48" t="str">
        <f aca="false">IF(AND(Parameter!$B$19="Ja",E127&lt;&gt;"",ISNUMBER(MATCH(E127,Parameter!$I$35:$I$52,0))),VLOOKUP(E127,Parameter!$I$35:$J$52,2,0),IFERROR(VLOOKUP(D127,Parameter!$A$35:$C$64,2,0),"Nein"))</f>
        <v>Nein</v>
      </c>
      <c r="CA127" s="52" t="n">
        <f aca="false">IF(BW127=0,0,IF(N(S127)&gt;0,S127,IFERROR(VLOOKUP(D127,Parameter!$A$35:$C$64,3,0)+0,0)))</f>
        <v>0</v>
      </c>
      <c r="CB127" s="48" t="str">
        <f aca="false">IF(AA127&lt;&gt;"",AA127,Z127)</f>
        <v>-</v>
      </c>
      <c r="CC127" s="48" t="str">
        <f aca="false">IF(OR(CB127=1,CB127=2,CB127=3),IF(Parameter!$E$27="Ja","LIFT",IF(CB127=1,"L1","L23")),IF(CB127="Aussen","Aussen","-"))</f>
        <v>-</v>
      </c>
      <c r="CD127" s="59" t="n">
        <f aca="false">IF(N(AB127)&gt;0,AB127,0)</f>
        <v>0</v>
      </c>
      <c r="CE127" s="53" t="n">
        <f aca="false">IF(ISNUMBER(AE127),1,0)</f>
        <v>0</v>
      </c>
      <c r="CF127" s="50" t="n">
        <f aca="false">N(AE127)</f>
        <v>0</v>
      </c>
      <c r="CG127" s="50" t="n">
        <f aca="false">N(M127)+N(N127)</f>
        <v>26</v>
      </c>
      <c r="CH127" s="50" t="n">
        <f aca="false">ROUNDUP(H127/BV127,0)</f>
        <v>1</v>
      </c>
      <c r="CI127" s="50" t="n">
        <f aca="false">ROUNDUP(CF127/BV127,0)</f>
        <v>0</v>
      </c>
      <c r="CJ127" s="53" t="n">
        <f aca="false">IF(BW127=1,0,IFERROR(VLOOKUP(BU127,'Gebinde-Kategorie'!$A$5:$N$45,5,0)+0,0))</f>
        <v>20</v>
      </c>
      <c r="CK127" s="53" t="n">
        <f aca="false">IFERROR(IF(OR(CB127=1,CB127=2,CB127=3),N(INDEX(Parameter!$I$5:$I$7,CB127)),0),0)</f>
        <v>0</v>
      </c>
      <c r="CL127" s="52" t="n">
        <f aca="false">IF(AND(Parameter!$B$21="Ja",ISNUMBER(W127),N(X127)&gt;0),IFERROR(N(INDEX(Parameter!$L$5:$L$7,W127))*INDEX(Parameter!$E$5:$E$7,W127)*X127/SUMIFS($X$7:$X$1843,$W$7:$W$1843,W127),0),0)</f>
        <v>0</v>
      </c>
    </row>
    <row r="128" customFormat="false" ht="15" hidden="false" customHeight="false" outlineLevel="0" collapsed="false">
      <c r="A128" s="48" t="s">
        <v>470</v>
      </c>
      <c r="B128" s="48" t="s">
        <v>435</v>
      </c>
      <c r="C128" s="48" t="s">
        <v>168</v>
      </c>
      <c r="D128" s="48" t="s">
        <v>188</v>
      </c>
      <c r="E128" s="48" t="s">
        <v>189</v>
      </c>
      <c r="F128" s="48" t="s">
        <v>222</v>
      </c>
      <c r="G128" s="49" t="n">
        <v>110.3</v>
      </c>
      <c r="H128" s="50" t="n">
        <f aca="false">MAX(0,IF(AND(Parameter!$B$21="Ja",ISNUMBER(Y128)),Y128,IF(Parameter!$B$20="Jahresanfang 2025 + Export",BO128+BN128,BN128)))</f>
        <v>44</v>
      </c>
      <c r="I128" s="50" t="n">
        <f aca="false">H128*G128</f>
        <v>4853.2</v>
      </c>
      <c r="J128" s="50" t="n">
        <f aca="false">BQ128*Parameter!$B$18</f>
        <v>73</v>
      </c>
      <c r="K128" s="51" t="n">
        <v>26.5</v>
      </c>
      <c r="L128" s="52" t="n">
        <v>2.75471698113208</v>
      </c>
      <c r="M128" s="50" t="n">
        <v>10</v>
      </c>
      <c r="N128" s="50" t="n">
        <v>40</v>
      </c>
      <c r="O128" s="53" t="n">
        <v>35</v>
      </c>
      <c r="P128" s="48" t="s">
        <v>297</v>
      </c>
      <c r="Q128" s="50" t="n">
        <v>75</v>
      </c>
      <c r="R128" s="53" t="n">
        <f aca="false">IF(BW128=1,0,IFERROR(VLOOKUP(BU128,'Gebinde-Kategorie'!$A$5:$N$45,13,0)+0,0))</f>
        <v>12</v>
      </c>
      <c r="S128" s="54"/>
      <c r="T128" s="55"/>
      <c r="U128" s="55"/>
      <c r="V128" s="55"/>
      <c r="W128" s="48"/>
      <c r="X128" s="50"/>
      <c r="Y128" s="50"/>
      <c r="Z128" s="48" t="n">
        <f aca="false">IF(A128="","",IF(AND(Parameter!$B$21="Ja",ISNUMBER(W128)),W128,IF(BZ128="2+3",IF(ISNUMBER(SEARCH("grosser Artikel",BR128)),2,IFERROR(VLOOKUP(BU128,Parameter!$F$35:$G$64,2,0),2)),IF(OR(BZ128="Nein",BZ128=""),"-",BZ128))))</f>
        <v>2</v>
      </c>
      <c r="AA128" s="55"/>
      <c r="AB128" s="56"/>
      <c r="AC128" s="50" t="n">
        <f aca="false">AT128</f>
        <v>75</v>
      </c>
      <c r="AD128" s="50" t="n">
        <f aca="false">MAX(AT128,H128)</f>
        <v>75</v>
      </c>
      <c r="AE128" s="57"/>
      <c r="AF128" s="50" t="n">
        <f aca="false">IF(LEFT(Cockpit!$C$5,1)="A",H128,IF(CE128=1,CF128,IF(LEFT(Cockpit!$C$5,1)="B",AK128,MAX(AK128,H128))))</f>
        <v>44</v>
      </c>
      <c r="AG128" s="50" t="n">
        <f aca="false">IF(BW128=1,0,ROUNDUP(AF128/BV128,0))</f>
        <v>1</v>
      </c>
      <c r="AH128" s="52" t="n">
        <f aca="false">IF(CL128&gt;0,CL128*MAX(1,AF128/X128),IF(BW128=1,IF(AF128&lt;=0,0,CA128*MAX(1,IF(H128&gt;0,AF128/H128,1))),IF(R128&gt;0,AG128/R128,0))/MAX(0.1,N(Parameter!$M$21)))</f>
        <v>0.0833333333333333</v>
      </c>
      <c r="AI128" s="50" t="n">
        <f aca="false">AH128*BY128</f>
        <v>20.4166666666667</v>
      </c>
      <c r="AJ128" s="50" t="n">
        <f aca="false">AF128*G128</f>
        <v>4853.2</v>
      </c>
      <c r="AK128" s="50" t="n">
        <f aca="false">ROUNDUP(MAX(J128/IF(CD128&gt;0,CD128,MAX(0.1,N(Cockpit!$C$6))),CG128)/BV128,0)*BV128</f>
        <v>75</v>
      </c>
      <c r="AL128" s="51" t="n">
        <f aca="false">IF(AI128&gt;0,J128/AI128,-1)</f>
        <v>3.57551020408163</v>
      </c>
      <c r="AM128" s="51" t="n">
        <f aca="false">IF(AND(OR(CC128="L1",CC128="L23",CC128="LIFT"),AI128&gt;0),SUMIFS($AI$7:$AI$1843,$CC$7:$CC$1843,CC128,$AL$7:$AL$1843,"&gt;"&amp;AL128)+SUMIFS($AI$7:$AI$1843,$CC$7:$CC$1843,CC128,$AL$7:$AL$1843,AL128,$BT$7:$BT$1843,"&lt;="&amp;BT128),"")</f>
        <v>4862.1423992674</v>
      </c>
      <c r="AN128" s="58" t="n">
        <f aca="false">IF(AM128="",0,MAX(0,MIN(1,(IF(CC128="L1",Parameter!$H$5,IF(CC128="L23",Parameter!$H$6+Parameter!$H$7,Parameter!$H$5+Parameter!$H$6+Parameter!$H$7))-(AM128-AI128))/AI128)))</f>
        <v>1</v>
      </c>
      <c r="AO128" s="50" t="n">
        <f aca="false">IF(LEFT(Cockpit!$I$5,1)="A",H128,IF(CE128=1,CF128,IF(LEFT(Cockpit!$I$5,1)="B",AT128,MAX(AT128,H128))))</f>
        <v>75</v>
      </c>
      <c r="AP128" s="50" t="n">
        <f aca="false">IF(BW128=1,0,ROUNDUP(AO128/BV128,0))</f>
        <v>1</v>
      </c>
      <c r="AQ128" s="52" t="n">
        <f aca="false">IF(CL128&gt;0,CL128*MAX(1,AO128/X128),IF(BW128=1,IF(AO128&lt;=0,0,CA128*MAX(1,IF(H128&gt;0,AO128/H128,1))),IF(R128&gt;0,AP128/R128,0))/MAX(0.1,N(Parameter!$M$21)))</f>
        <v>0.0833333333333333</v>
      </c>
      <c r="AR128" s="50" t="n">
        <f aca="false">AQ128*BY128</f>
        <v>20.4166666666667</v>
      </c>
      <c r="AS128" s="50" t="n">
        <f aca="false">AO128*G128</f>
        <v>8272.5</v>
      </c>
      <c r="AT128" s="50" t="n">
        <f aca="false">ROUNDUP(MAX(J128/IF(CD128&gt;0,CD128,MAX(0.1,N(Cockpit!$I$6))),CG128)/BV128,0)*BV128</f>
        <v>75</v>
      </c>
      <c r="AU128" s="51" t="n">
        <f aca="false">IF(AR128&gt;0,J128/AR128,-1)</f>
        <v>3.57551020408163</v>
      </c>
      <c r="AV128" s="51" t="n">
        <f aca="false">IF(AND(OR(CC128="L1",CC128="L23",CC128="LIFT"),AR128&gt;0),SUMIFS($AR$7:$AR$1843,$CC$7:$CC$1843,CC128,$AU$7:$AU$1843,"&gt;"&amp;AU128)+SUMIFS($AR$7:$AR$1843,$CC$7:$CC$1843,CC128,$AU$7:$AU$1843,AU128,$BT$7:$BT$1843,"&lt;="&amp;BT128),"")</f>
        <v>5981.33791208791</v>
      </c>
      <c r="AW128" s="58" t="n">
        <f aca="false">IF(AV128="",0,MAX(0,MIN(1,(IF(CC128="L1",Parameter!$H$5,IF(CC128="L23",Parameter!$H$6+Parameter!$H$7,Parameter!$H$5+Parameter!$H$6+Parameter!$H$7))-(AV128-AR128))/AR128)))</f>
        <v>1</v>
      </c>
      <c r="AX128" s="50" t="n">
        <f aca="false">IF(LEFT(Cockpit!$O$5,1)="A",H128,IF(CE128=1,CF128,IF(LEFT(Cockpit!$O$5,1)="B",BC128,MAX(BC128,H128))))</f>
        <v>75</v>
      </c>
      <c r="AY128" s="50" t="n">
        <f aca="false">IF(BW128=1,0,ROUNDUP(AX128/BV128,0))</f>
        <v>1</v>
      </c>
      <c r="AZ128" s="52" t="n">
        <f aca="false">IF(CL128&gt;0,CL128*MAX(1,AX128/X128),IF(BW128=1,IF(AX128&lt;=0,0,CA128*MAX(1,IF(H128&gt;0,AX128/H128,1))),IF(R128&gt;0,AY128/R128,0))/MAX(0.1,N(Parameter!$M$21)))</f>
        <v>0.0833333333333333</v>
      </c>
      <c r="BA128" s="50" t="n">
        <f aca="false">AZ128*BY128</f>
        <v>20.4166666666667</v>
      </c>
      <c r="BB128" s="50" t="n">
        <f aca="false">AX128*G128</f>
        <v>8272.5</v>
      </c>
      <c r="BC128" s="50" t="n">
        <f aca="false">ROUNDUP(MAX(J128/IF(CD128&gt;0,CD128,MAX(0.1,N(Cockpit!$O$6))),CG128)/BV128,0)*BV128</f>
        <v>75</v>
      </c>
      <c r="BD128" s="51" t="n">
        <f aca="false">IF(BA128&gt;0,J128/BA128,-1)</f>
        <v>3.57551020408163</v>
      </c>
      <c r="BE128" s="51" t="n">
        <f aca="false">IF(AND(OR(CC128="L1",CC128="L23",CC128="LIFT"),BA128&gt;0),SUMIFS($BA$7:$BA$1843,$CC$7:$CC$1843,CC128,$BD$7:$BD$1843,"&gt;"&amp;BD128)+SUMIFS($BA$7:$BA$1843,$CC$7:$CC$1843,CC128,$BD$7:$BD$1843,BD128,$BT$7:$BT$1843,"&lt;="&amp;BT128),"")</f>
        <v>5882.92445054945</v>
      </c>
      <c r="BF128" s="58" t="n">
        <f aca="false">IF(BE128="",0,MAX(0,MIN(1,(IF(CC128="L1",Parameter!$H$5,IF(CC128="L23",Parameter!$H$6+Parameter!$H$7,Parameter!$H$5+Parameter!$H$6+Parameter!$H$7))-(BE128-BA128))/BA128)))</f>
        <v>1</v>
      </c>
      <c r="BG128" s="48" t="str">
        <f aca="false">IF(AI128&lt;=0,"",IF(CC128="Aussen","Aussenlager",IF(CC128="-","Nicht im Lift",IF(AN128&gt;=1,"Lift",IF(AN128&lt;=0,"Aussenlager","teilweise")))))</f>
        <v>Lift</v>
      </c>
      <c r="BH128" s="48" t="str">
        <f aca="false">IF(AR128&lt;=0,"",IF(CC128="Aussen","Aussenlager",IF(CC128="-","Nicht im Lift",IF(AW128&gt;=1,"Lift",IF(AW128&lt;=0,"Aussenlager","teilweise")))))</f>
        <v>Lift</v>
      </c>
      <c r="BI128" s="48" t="str">
        <f aca="false">IF(BA128&lt;=0,"",IF(CC128="Aussen","Aussenlager",IF(CC128="-","Nicht im Lift",IF(BF128&gt;=1,"Lift",IF(BF128&lt;=0,"Aussenlager","teilweise")))))</f>
        <v>Lift</v>
      </c>
      <c r="BJ128" s="48" t="str">
        <f aca="false">IF(A128="","",IF(BS128=1,"Neu; ","")&amp;IF(AND(BS128=0,BN128&lt;0),"negativer Bestand (Export "&amp;BN128&amp;"); ","")&amp;IF(J128&lt;=0,"Kein Verbrauch; ","")&amp;IF(CL128&gt;0,"Lift "&amp;W128&amp;" lt. Liftbericht (Fach "&amp;X128&amp;" Stk); ",IF(BX128=1,"Gebinde geschätzt ("&amp;T128&amp;"); ",IF(BW128=1,"Lose – Tablare geschätzt; ","")))&amp;IF(H128&gt;AT128,"Überbestand "&amp;ROUND(H128-AT128,0)&amp;" Stk / CHF "&amp;ROUND((H128-AT128)*G128,0)&amp;"; ","")&amp;IF(AND(CE128=1,CF128&lt;CG128),"MAX &lt; MB+LG; ","")&amp;IF(AND(CK128&gt;0,CJ128*10&gt;CK128),"zu hoch für Tablar; ","")&amp;IF(AND(BS128=0,OR(CE128=1,AA128&lt;&gt;"",U128&lt;&gt;"",V128&lt;&gt;"",AB128&lt;&gt;"")),"manuell übersteuert; ","")&amp;IF(AND(BW128=0,R128=0),"Gebinde unbekannt / Stellmass fehlt; ","")&amp;IF(AND(BW128=0,N(V128)&lt;=0,N(Q128)&lt;=0),"Menge pro Gebinde fehlt (Ist = 1 Gebinde); ","")&amp;BR128)</f>
        <v/>
      </c>
      <c r="BK128" s="48"/>
      <c r="BL128" s="48"/>
      <c r="BM128" s="55"/>
      <c r="BN128" s="50" t="n">
        <v>11</v>
      </c>
      <c r="BO128" s="50" t="n">
        <v>33</v>
      </c>
      <c r="BP128" s="49" t="n">
        <v>1770.01</v>
      </c>
      <c r="BQ128" s="50" t="n">
        <v>73</v>
      </c>
      <c r="BR128" s="48"/>
      <c r="BS128" s="53" t="n">
        <v>0</v>
      </c>
      <c r="BT128" s="53" t="n">
        <v>128</v>
      </c>
      <c r="BU128" s="48" t="str">
        <f aca="false">IF(U128&lt;&gt;"",UPPER(TRIM(U128)),IF(BX128=1,UPPER(VLOOKUP(T128,Parameter!$I$27:$K$29,2,0)),IF(P128="","LOSE",P128)))</f>
        <v>S62</v>
      </c>
      <c r="BV128" s="50" t="n">
        <f aca="false">IF(BU128="LOSE",1,IF(N(V128)&gt;0,V128,IF(BX128=1,MAX(1,N(VLOOKUP(T128,Parameter!$I$27:$K$29,3,0)),H128,N(N128)),IF(N(Q128)&gt;0,Q128,MAX(1,H128)))))</f>
        <v>75</v>
      </c>
      <c r="BW128" s="53" t="n">
        <f aca="false">IF(BU128="LOSE",1,0)</f>
        <v>0</v>
      </c>
      <c r="BX128" s="53" t="n">
        <f aca="false">IF(AND(U128="",OR(P128="",P128="LOSE"),T128&lt;&gt;"",N(S128)&lt;=0,ISNUMBER(MATCH(T128,Parameter!$I$27:$I$29,0))),1,0)</f>
        <v>0</v>
      </c>
      <c r="BY128" s="53" t="n">
        <f aca="false">IF(CL128&gt;0,INDEX(Parameter!$H$5:$H$7,W128)/INDEX(Parameter!$E$5:$E$7,W128),IF(AND(BW128=0,N(IFERROR(VLOOKUP(BU128,'Gebinde-Kategorie'!$A$5:$N$45,14,0),0))&gt;0),VLOOKUP(BU128,'Gebinde-Kategorie'!$A$5:$N$45,14,0)*10+Parameter!$M$23,Parameter!$M$24))</f>
        <v>245</v>
      </c>
      <c r="BZ128" s="48" t="str">
        <f aca="false">IF(AND(Parameter!$B$19="Ja",E128&lt;&gt;"",ISNUMBER(MATCH(E128,Parameter!$I$35:$I$52,0))),VLOOKUP(E128,Parameter!$I$35:$J$52,2,0),IFERROR(VLOOKUP(D128,Parameter!$A$35:$C$64,2,0),"Nein"))</f>
        <v>2+3</v>
      </c>
      <c r="CA128" s="52" t="n">
        <f aca="false">IF(BW128=0,0,IF(N(S128)&gt;0,S128,IFERROR(VLOOKUP(D128,Parameter!$A$35:$C$64,3,0)+0,0)))</f>
        <v>0</v>
      </c>
      <c r="CB128" s="48" t="n">
        <f aca="false">IF(AA128&lt;&gt;"",AA128,Z128)</f>
        <v>2</v>
      </c>
      <c r="CC128" s="48" t="str">
        <f aca="false">IF(OR(CB128=1,CB128=2,CB128=3),IF(Parameter!$E$27="Ja","LIFT",IF(CB128=1,"L1","L23")),IF(CB128="Aussen","Aussen","-"))</f>
        <v>LIFT</v>
      </c>
      <c r="CD128" s="59" t="n">
        <f aca="false">IF(N(AB128)&gt;0,AB128,0)</f>
        <v>0</v>
      </c>
      <c r="CE128" s="53" t="n">
        <f aca="false">IF(ISNUMBER(AE128),1,0)</f>
        <v>0</v>
      </c>
      <c r="CF128" s="50" t="n">
        <f aca="false">N(AE128)</f>
        <v>0</v>
      </c>
      <c r="CG128" s="50" t="n">
        <f aca="false">N(M128)+N(N128)</f>
        <v>50</v>
      </c>
      <c r="CH128" s="50" t="n">
        <f aca="false">ROUNDUP(H128/BV128,0)</f>
        <v>1</v>
      </c>
      <c r="CI128" s="50" t="n">
        <f aca="false">ROUNDUP(CF128/BV128,0)</f>
        <v>0</v>
      </c>
      <c r="CJ128" s="53" t="n">
        <f aca="false">IF(BW128=1,0,IFERROR(VLOOKUP(BU128,'Gebinde-Kategorie'!$A$5:$N$45,5,0)+0,0))</f>
        <v>21</v>
      </c>
      <c r="CK128" s="53" t="n">
        <f aca="false">IFERROR(IF(OR(CB128=1,CB128=2,CB128=3),N(INDEX(Parameter!$I$5:$I$7,CB128)),0),0)</f>
        <v>0</v>
      </c>
      <c r="CL128" s="52" t="n">
        <f aca="false">IF(AND(Parameter!$B$21="Ja",ISNUMBER(W128),N(X128)&gt;0),IFERROR(N(INDEX(Parameter!$L$5:$L$7,W128))*INDEX(Parameter!$E$5:$E$7,W128)*X128/SUMIFS($X$7:$X$1843,$W$7:$W$1843,W128),0),0)</f>
        <v>0</v>
      </c>
    </row>
    <row r="129" customFormat="false" ht="15" hidden="false" customHeight="false" outlineLevel="0" collapsed="false">
      <c r="A129" s="48" t="s">
        <v>471</v>
      </c>
      <c r="B129" s="48" t="s">
        <v>472</v>
      </c>
      <c r="C129" s="48" t="s">
        <v>168</v>
      </c>
      <c r="D129" s="48" t="s">
        <v>188</v>
      </c>
      <c r="E129" s="48" t="s">
        <v>189</v>
      </c>
      <c r="F129" s="48" t="s">
        <v>222</v>
      </c>
      <c r="G129" s="49" t="n">
        <v>3.7</v>
      </c>
      <c r="H129" s="50" t="n">
        <f aca="false">MAX(0,IF(AND(Parameter!$B$21="Ja",ISNUMBER(Y129)),Y129,IF(Parameter!$B$20="Jahresanfang 2025 + Export",BO129+BN129,BN129)))</f>
        <v>601</v>
      </c>
      <c r="I129" s="50" t="n">
        <f aca="false">H129*G129</f>
        <v>2223.7</v>
      </c>
      <c r="J129" s="50" t="n">
        <f aca="false">BQ129*Parameter!$B$18</f>
        <v>689</v>
      </c>
      <c r="K129" s="51" t="n">
        <v>214</v>
      </c>
      <c r="L129" s="52" t="n">
        <v>3.2196261682243</v>
      </c>
      <c r="M129" s="50" t="n">
        <v>26</v>
      </c>
      <c r="N129" s="50" t="n">
        <v>690</v>
      </c>
      <c r="O129" s="53" t="n">
        <v>14</v>
      </c>
      <c r="P129" s="48" t="s">
        <v>237</v>
      </c>
      <c r="Q129" s="50" t="n">
        <v>331</v>
      </c>
      <c r="R129" s="53" t="n">
        <f aca="false">IF(BW129=1,0,IFERROR(VLOOKUP(BU129,'Gebinde-Kategorie'!$A$5:$N$45,13,0)+0,0))</f>
        <v>26</v>
      </c>
      <c r="S129" s="54"/>
      <c r="T129" s="55"/>
      <c r="U129" s="55"/>
      <c r="V129" s="55"/>
      <c r="W129" s="48"/>
      <c r="X129" s="50"/>
      <c r="Y129" s="50"/>
      <c r="Z129" s="48" t="n">
        <f aca="false">IF(A129="","",IF(AND(Parameter!$B$21="Ja",ISNUMBER(W129)),W129,IF(BZ129="2+3",IF(ISNUMBER(SEARCH("grosser Artikel",BR129)),2,IFERROR(VLOOKUP(BU129,Parameter!$F$35:$G$64,2,0),2)),IF(OR(BZ129="Nein",BZ129=""),"-",BZ129))))</f>
        <v>3</v>
      </c>
      <c r="AA129" s="55"/>
      <c r="AB129" s="56"/>
      <c r="AC129" s="50" t="n">
        <f aca="false">AT129</f>
        <v>993</v>
      </c>
      <c r="AD129" s="50" t="n">
        <f aca="false">MAX(AT129,H129)</f>
        <v>993</v>
      </c>
      <c r="AE129" s="57"/>
      <c r="AF129" s="50" t="n">
        <f aca="false">IF(LEFT(Cockpit!$C$5,1)="A",H129,IF(CE129=1,CF129,IF(LEFT(Cockpit!$C$5,1)="B",AK129,MAX(AK129,H129))))</f>
        <v>601</v>
      </c>
      <c r="AG129" s="50" t="n">
        <f aca="false">IF(BW129=1,0,ROUNDUP(AF129/BV129,0))</f>
        <v>2</v>
      </c>
      <c r="AH129" s="52" t="n">
        <f aca="false">IF(CL129&gt;0,CL129*MAX(1,AF129/X129),IF(BW129=1,IF(AF129&lt;=0,0,CA129*MAX(1,IF(H129&gt;0,AF129/H129,1))),IF(R129&gt;0,AG129/R129,0))/MAX(0.1,N(Parameter!$M$21)))</f>
        <v>0.0769230769230769</v>
      </c>
      <c r="AI129" s="50" t="n">
        <f aca="false">AH129*BY129</f>
        <v>18.8461538461538</v>
      </c>
      <c r="AJ129" s="50" t="n">
        <f aca="false">AF129*G129</f>
        <v>2223.7</v>
      </c>
      <c r="AK129" s="50" t="n">
        <f aca="false">ROUNDUP(MAX(J129/IF(CD129&gt;0,CD129,MAX(0.1,N(Cockpit!$C$6))),CG129)/BV129,0)*BV129</f>
        <v>993</v>
      </c>
      <c r="AL129" s="51" t="n">
        <f aca="false">IF(AI129&gt;0,J129/AI129,-1)</f>
        <v>36.5591836734694</v>
      </c>
      <c r="AM129" s="51" t="n">
        <f aca="false">IF(AND(OR(CC129="L1",CC129="L23",CC129="LIFT"),AI129&gt;0),SUMIFS($AI$7:$AI$1843,$CC$7:$CC$1843,CC129,$AL$7:$AL$1843,"&gt;"&amp;AL129)+SUMIFS($AI$7:$AI$1843,$CC$7:$CC$1843,CC129,$AL$7:$AL$1843,AL129,$BT$7:$BT$1843,"&lt;="&amp;BT129),"")</f>
        <v>1280.70192307692</v>
      </c>
      <c r="AN129" s="58" t="n">
        <f aca="false">IF(AM129="",0,MAX(0,MIN(1,(IF(CC129="L1",Parameter!$H$5,IF(CC129="L23",Parameter!$H$6+Parameter!$H$7,Parameter!$H$5+Parameter!$H$6+Parameter!$H$7))-(AM129-AI129))/AI129)))</f>
        <v>1</v>
      </c>
      <c r="AO129" s="50" t="n">
        <f aca="false">IF(LEFT(Cockpit!$I$5,1)="A",H129,IF(CE129=1,CF129,IF(LEFT(Cockpit!$I$5,1)="B",AT129,MAX(AT129,H129))))</f>
        <v>993</v>
      </c>
      <c r="AP129" s="50" t="n">
        <f aca="false">IF(BW129=1,0,ROUNDUP(AO129/BV129,0))</f>
        <v>3</v>
      </c>
      <c r="AQ129" s="52" t="n">
        <f aca="false">IF(CL129&gt;0,CL129*MAX(1,AO129/X129),IF(BW129=1,IF(AO129&lt;=0,0,CA129*MAX(1,IF(H129&gt;0,AO129/H129,1))),IF(R129&gt;0,AP129/R129,0))/MAX(0.1,N(Parameter!$M$21)))</f>
        <v>0.115384615384615</v>
      </c>
      <c r="AR129" s="50" t="n">
        <f aca="false">AQ129*BY129</f>
        <v>28.2692307692308</v>
      </c>
      <c r="AS129" s="50" t="n">
        <f aca="false">AO129*G129</f>
        <v>3674.1</v>
      </c>
      <c r="AT129" s="50" t="n">
        <f aca="false">ROUNDUP(MAX(J129/IF(CD129&gt;0,CD129,MAX(0.1,N(Cockpit!$I$6))),CG129)/BV129,0)*BV129</f>
        <v>993</v>
      </c>
      <c r="AU129" s="51" t="n">
        <f aca="false">IF(AR129&gt;0,J129/AR129,-1)</f>
        <v>24.3727891156463</v>
      </c>
      <c r="AV129" s="51" t="n">
        <f aca="false">IF(AND(OR(CC129="L1",CC129="L23",CC129="LIFT"),AR129&gt;0),SUMIFS($AR$7:$AR$1843,$CC$7:$CC$1843,CC129,$AU$7:$AU$1843,"&gt;"&amp;AU129)+SUMIFS($AR$7:$AR$1843,$CC$7:$CC$1843,CC129,$AU$7:$AU$1843,AU129,$BT$7:$BT$1843,"&lt;="&amp;BT129),"")</f>
        <v>2187.88278388278</v>
      </c>
      <c r="AW129" s="58" t="n">
        <f aca="false">IF(AV129="",0,MAX(0,MIN(1,(IF(CC129="L1",Parameter!$H$5,IF(CC129="L23",Parameter!$H$6+Parameter!$H$7,Parameter!$H$5+Parameter!$H$6+Parameter!$H$7))-(AV129-AR129))/AR129)))</f>
        <v>1</v>
      </c>
      <c r="AX129" s="50" t="n">
        <f aca="false">IF(LEFT(Cockpit!$O$5,1)="A",H129,IF(CE129=1,CF129,IF(LEFT(Cockpit!$O$5,1)="B",BC129,MAX(BC129,H129))))</f>
        <v>993</v>
      </c>
      <c r="AY129" s="50" t="n">
        <f aca="false">IF(BW129=1,0,ROUNDUP(AX129/BV129,0))</f>
        <v>3</v>
      </c>
      <c r="AZ129" s="52" t="n">
        <f aca="false">IF(CL129&gt;0,CL129*MAX(1,AX129/X129),IF(BW129=1,IF(AX129&lt;=0,0,CA129*MAX(1,IF(H129&gt;0,AX129/H129,1))),IF(R129&gt;0,AY129/R129,0))/MAX(0.1,N(Parameter!$M$21)))</f>
        <v>0.115384615384615</v>
      </c>
      <c r="BA129" s="50" t="n">
        <f aca="false">AZ129*BY129</f>
        <v>28.2692307692308</v>
      </c>
      <c r="BB129" s="50" t="n">
        <f aca="false">AX129*G129</f>
        <v>3674.1</v>
      </c>
      <c r="BC129" s="50" t="n">
        <f aca="false">ROUNDUP(MAX(J129/IF(CD129&gt;0,CD129,MAX(0.1,N(Cockpit!$O$6))),CG129)/BV129,0)*BV129</f>
        <v>993</v>
      </c>
      <c r="BD129" s="51" t="n">
        <f aca="false">IF(BA129&gt;0,J129/BA129,-1)</f>
        <v>24.3727891156463</v>
      </c>
      <c r="BE129" s="51" t="n">
        <f aca="false">IF(AND(OR(CC129="L1",CC129="L23",CC129="LIFT"),BA129&gt;0),SUMIFS($BA$7:$BA$1843,$CC$7:$CC$1843,CC129,$BD$7:$BD$1843,"&gt;"&amp;BD129)+SUMIFS($BA$7:$BA$1843,$CC$7:$CC$1843,CC129,$BD$7:$BD$1843,BD129,$BT$7:$BT$1843,"&lt;="&amp;BT129),"")</f>
        <v>2273.47573260073</v>
      </c>
      <c r="BF129" s="58" t="n">
        <f aca="false">IF(BE129="",0,MAX(0,MIN(1,(IF(CC129="L1",Parameter!$H$5,IF(CC129="L23",Parameter!$H$6+Parameter!$H$7,Parameter!$H$5+Parameter!$H$6+Parameter!$H$7))-(BE129-BA129))/BA129)))</f>
        <v>1</v>
      </c>
      <c r="BG129" s="48" t="str">
        <f aca="false">IF(AI129&lt;=0,"",IF(CC129="Aussen","Aussenlager",IF(CC129="-","Nicht im Lift",IF(AN129&gt;=1,"Lift",IF(AN129&lt;=0,"Aussenlager","teilweise")))))</f>
        <v>Lift</v>
      </c>
      <c r="BH129" s="48" t="str">
        <f aca="false">IF(AR129&lt;=0,"",IF(CC129="Aussen","Aussenlager",IF(CC129="-","Nicht im Lift",IF(AW129&gt;=1,"Lift",IF(AW129&lt;=0,"Aussenlager","teilweise")))))</f>
        <v>Lift</v>
      </c>
      <c r="BI129" s="48" t="str">
        <f aca="false">IF(BA129&lt;=0,"",IF(CC129="Aussen","Aussenlager",IF(CC129="-","Nicht im Lift",IF(BF129&gt;=1,"Lift",IF(BF129&lt;=0,"Aussenlager","teilweise")))))</f>
        <v>Lift</v>
      </c>
      <c r="BJ129" s="48" t="str">
        <f aca="false">IF(A129="","",IF(BS129=1,"Neu; ","")&amp;IF(AND(BS129=0,BN129&lt;0),"negativer Bestand (Export "&amp;BN129&amp;"); ","")&amp;IF(J129&lt;=0,"Kein Verbrauch; ","")&amp;IF(CL129&gt;0,"Lift "&amp;W129&amp;" lt. Liftbericht (Fach "&amp;X129&amp;" Stk); ",IF(BX129=1,"Gebinde geschätzt ("&amp;T129&amp;"); ",IF(BW129=1,"Lose – Tablare geschätzt; ","")))&amp;IF(H129&gt;AT129,"Überbestand "&amp;ROUND(H129-AT129,0)&amp;" Stk / CHF "&amp;ROUND((H129-AT129)*G129,0)&amp;"; ","")&amp;IF(AND(CE129=1,CF129&lt;CG129),"MAX &lt; MB+LG; ","")&amp;IF(AND(CK129&gt;0,CJ129*10&gt;CK129),"zu hoch für Tablar; ","")&amp;IF(AND(BS129=0,OR(CE129=1,AA129&lt;&gt;"",U129&lt;&gt;"",V129&lt;&gt;"",AB129&lt;&gt;"")),"manuell übersteuert; ","")&amp;IF(AND(BW129=0,R129=0),"Gebinde unbekannt / Stellmass fehlt; ","")&amp;IF(AND(BW129=0,N(V129)&lt;=0,N(Q129)&lt;=0),"Menge pro Gebinde fehlt (Ist = 1 Gebinde); ","")&amp;BR129)</f>
        <v/>
      </c>
      <c r="BK129" s="48"/>
      <c r="BL129" s="48"/>
      <c r="BM129" s="55"/>
      <c r="BN129" s="50" t="n">
        <v>487</v>
      </c>
      <c r="BO129" s="50" t="n">
        <v>114</v>
      </c>
      <c r="BP129" s="49" t="n">
        <v>1761.24</v>
      </c>
      <c r="BQ129" s="50" t="n">
        <v>689</v>
      </c>
      <c r="BR129" s="48"/>
      <c r="BS129" s="53" t="n">
        <v>0</v>
      </c>
      <c r="BT129" s="53" t="n">
        <v>129</v>
      </c>
      <c r="BU129" s="48" t="str">
        <f aca="false">IF(U129&lt;&gt;"",UPPER(TRIM(U129)),IF(BX129=1,UPPER(VLOOKUP(T129,Parameter!$I$27:$K$29,2,0)),IF(P129="","LOSE",P129)))</f>
        <v>S52</v>
      </c>
      <c r="BV129" s="50" t="n">
        <f aca="false">IF(BU129="LOSE",1,IF(N(V129)&gt;0,V129,IF(BX129=1,MAX(1,N(VLOOKUP(T129,Parameter!$I$27:$K$29,3,0)),H129,N(N129)),IF(N(Q129)&gt;0,Q129,MAX(1,H129)))))</f>
        <v>331</v>
      </c>
      <c r="BW129" s="53" t="n">
        <f aca="false">IF(BU129="LOSE",1,0)</f>
        <v>0</v>
      </c>
      <c r="BX129" s="53" t="n">
        <f aca="false">IF(AND(U129="",OR(P129="",P129="LOSE"),T129&lt;&gt;"",N(S129)&lt;=0,ISNUMBER(MATCH(T129,Parameter!$I$27:$I$29,0))),1,0)</f>
        <v>0</v>
      </c>
      <c r="BY129" s="53" t="n">
        <f aca="false">IF(CL129&gt;0,INDEX(Parameter!$H$5:$H$7,W129)/INDEX(Parameter!$E$5:$E$7,W129),IF(AND(BW129=0,N(IFERROR(VLOOKUP(BU129,'Gebinde-Kategorie'!$A$5:$N$45,14,0),0))&gt;0),VLOOKUP(BU129,'Gebinde-Kategorie'!$A$5:$N$45,14,0)*10+Parameter!$M$23,Parameter!$M$24))</f>
        <v>245</v>
      </c>
      <c r="BZ129" s="48" t="str">
        <f aca="false">IF(AND(Parameter!$B$19="Ja",E129&lt;&gt;"",ISNUMBER(MATCH(E129,Parameter!$I$35:$I$52,0))),VLOOKUP(E129,Parameter!$I$35:$J$52,2,0),IFERROR(VLOOKUP(D129,Parameter!$A$35:$C$64,2,0),"Nein"))</f>
        <v>2+3</v>
      </c>
      <c r="CA129" s="52" t="n">
        <f aca="false">IF(BW129=0,0,IF(N(S129)&gt;0,S129,IFERROR(VLOOKUP(D129,Parameter!$A$35:$C$64,3,0)+0,0)))</f>
        <v>0</v>
      </c>
      <c r="CB129" s="48" t="n">
        <f aca="false">IF(AA129&lt;&gt;"",AA129,Z129)</f>
        <v>3</v>
      </c>
      <c r="CC129" s="48" t="str">
        <f aca="false">IF(OR(CB129=1,CB129=2,CB129=3),IF(Parameter!$E$27="Ja","LIFT",IF(CB129=1,"L1","L23")),IF(CB129="Aussen","Aussen","-"))</f>
        <v>LIFT</v>
      </c>
      <c r="CD129" s="59" t="n">
        <f aca="false">IF(N(AB129)&gt;0,AB129,0)</f>
        <v>0</v>
      </c>
      <c r="CE129" s="53" t="n">
        <f aca="false">IF(ISNUMBER(AE129),1,0)</f>
        <v>0</v>
      </c>
      <c r="CF129" s="50" t="n">
        <f aca="false">N(AE129)</f>
        <v>0</v>
      </c>
      <c r="CG129" s="50" t="n">
        <f aca="false">N(M129)+N(N129)</f>
        <v>716</v>
      </c>
      <c r="CH129" s="50" t="n">
        <f aca="false">ROUNDUP(H129/BV129,0)</f>
        <v>2</v>
      </c>
      <c r="CI129" s="50" t="n">
        <f aca="false">ROUNDUP(CF129/BV129,0)</f>
        <v>0</v>
      </c>
      <c r="CJ129" s="53" t="n">
        <f aca="false">IF(BW129=1,0,IFERROR(VLOOKUP(BU129,'Gebinde-Kategorie'!$A$5:$N$45,5,0)+0,0))</f>
        <v>21</v>
      </c>
      <c r="CK129" s="53" t="n">
        <f aca="false">IFERROR(IF(OR(CB129=1,CB129=2,CB129=3),N(INDEX(Parameter!$I$5:$I$7,CB129)),0),0)</f>
        <v>0</v>
      </c>
      <c r="CL129" s="52" t="n">
        <f aca="false">IF(AND(Parameter!$B$21="Ja",ISNUMBER(W129),N(X129)&gt;0),IFERROR(N(INDEX(Parameter!$L$5:$L$7,W129))*INDEX(Parameter!$E$5:$E$7,W129)*X129/SUMIFS($X$7:$X$1843,$W$7:$W$1843,W129),0),0)</f>
        <v>0</v>
      </c>
    </row>
    <row r="130" customFormat="false" ht="15" hidden="false" customHeight="false" outlineLevel="0" collapsed="false">
      <c r="A130" s="48" t="s">
        <v>473</v>
      </c>
      <c r="B130" s="48" t="s">
        <v>167</v>
      </c>
      <c r="C130" s="48" t="s">
        <v>168</v>
      </c>
      <c r="D130" s="48" t="s">
        <v>169</v>
      </c>
      <c r="E130" s="48" t="s">
        <v>170</v>
      </c>
      <c r="F130" s="48" t="s">
        <v>222</v>
      </c>
      <c r="G130" s="49" t="n">
        <v>3280</v>
      </c>
      <c r="H130" s="50" t="n">
        <f aca="false">MAX(0,IF(AND(Parameter!$B$21="Ja",ISNUMBER(Y130)),Y130,IF(Parameter!$B$20="Jahresanfang 2025 + Export",BO130+BN130,BN130)))</f>
        <v>1</v>
      </c>
      <c r="I130" s="50" t="n">
        <f aca="false">H130*G130</f>
        <v>3280</v>
      </c>
      <c r="J130" s="50" t="n">
        <f aca="false">BQ130*Parameter!$B$18</f>
        <v>3</v>
      </c>
      <c r="K130" s="51" t="n">
        <v>0.5</v>
      </c>
      <c r="L130" s="52" t="n">
        <v>6</v>
      </c>
      <c r="M130" s="50" t="n">
        <v>0</v>
      </c>
      <c r="N130" s="50" t="n">
        <v>1</v>
      </c>
      <c r="O130" s="53" t="n">
        <v>58</v>
      </c>
      <c r="P130" s="48" t="s">
        <v>172</v>
      </c>
      <c r="Q130" s="50"/>
      <c r="R130" s="53" t="n">
        <f aca="false">IF(BW130=1,0,IFERROR(VLOOKUP(BU130,'Gebinde-Kategorie'!$A$5:$N$45,13,0)+0,0))</f>
        <v>0</v>
      </c>
      <c r="S130" s="54"/>
      <c r="T130" s="55"/>
      <c r="U130" s="55"/>
      <c r="V130" s="55"/>
      <c r="W130" s="48" t="n">
        <v>1</v>
      </c>
      <c r="X130" s="50" t="n">
        <v>2</v>
      </c>
      <c r="Y130" s="50" t="n">
        <v>1</v>
      </c>
      <c r="Z130" s="48" t="n">
        <f aca="false">IF(A130="","",IF(AND(Parameter!$B$21="Ja",ISNUMBER(W130)),W130,IF(BZ130="2+3",IF(ISNUMBER(SEARCH("grosser Artikel",BR130)),2,IFERROR(VLOOKUP(BU130,Parameter!$F$35:$G$64,2,0),2)),IF(OR(BZ130="Nein",BZ130=""),"-",BZ130))))</f>
        <v>1</v>
      </c>
      <c r="AA130" s="55"/>
      <c r="AB130" s="56"/>
      <c r="AC130" s="50" t="n">
        <f aca="false">AT130</f>
        <v>2</v>
      </c>
      <c r="AD130" s="50" t="n">
        <f aca="false">MAX(AT130,H130)</f>
        <v>2</v>
      </c>
      <c r="AE130" s="57"/>
      <c r="AF130" s="50" t="n">
        <f aca="false">IF(LEFT(Cockpit!$C$5,1)="A",H130,IF(CE130=1,CF130,IF(LEFT(Cockpit!$C$5,1)="B",AK130,MAX(AK130,H130))))</f>
        <v>1</v>
      </c>
      <c r="AG130" s="50" t="n">
        <f aca="false">IF(BW130=1,0,ROUNDUP(AF130/BV130,0))</f>
        <v>0</v>
      </c>
      <c r="AH130" s="52" t="n">
        <f aca="false">IF(CL130&gt;0,CL130*MAX(1,AF130/X130),IF(BW130=1,IF(AF130&lt;=0,0,CA130*MAX(1,IF(H130&gt;0,AF130/H130,1))),IF(R130&gt;0,AG130/R130,0))/MAX(0.1,N(Parameter!$M$21)))</f>
        <v>0.160075329566855</v>
      </c>
      <c r="AI130" s="50" t="n">
        <f aca="false">AH130*BY130</f>
        <v>38.0979284369115</v>
      </c>
      <c r="AJ130" s="50" t="n">
        <f aca="false">AF130*G130</f>
        <v>3280</v>
      </c>
      <c r="AK130" s="50" t="n">
        <f aca="false">ROUNDUP(MAX(J130/IF(CD130&gt;0,CD130,MAX(0.1,N(Cockpit!$C$6))),CG130)/BV130,0)*BV130</f>
        <v>2</v>
      </c>
      <c r="AL130" s="51" t="n">
        <f aca="false">IF(AI130&gt;0,J130/AI130,-1)</f>
        <v>0.0787444389520514</v>
      </c>
      <c r="AM130" s="51" t="n">
        <f aca="false">IF(AND(OR(CC130="L1",CC130="L23",CC130="LIFT"),AI130&gt;0),SUMIFS($AI$7:$AI$1843,$CC$7:$CC$1843,CC130,$AL$7:$AL$1843,"&gt;"&amp;AL130)+SUMIFS($AI$7:$AI$1843,$CC$7:$CC$1843,CC130,$AL$7:$AL$1843,AL130,$BT$7:$BT$1843,"&lt;="&amp;BT130),"")</f>
        <v>17181.0179450963</v>
      </c>
      <c r="AN130" s="58" t="n">
        <f aca="false">IF(AM130="",0,MAX(0,MIN(1,(IF(CC130="L1",Parameter!$H$5,IF(CC130="L23",Parameter!$H$6+Parameter!$H$7,Parameter!$H$5+Parameter!$H$6+Parameter!$H$7))-(AM130-AI130))/AI130)))</f>
        <v>1</v>
      </c>
      <c r="AO130" s="50" t="n">
        <f aca="false">IF(LEFT(Cockpit!$I$5,1)="A",H130,IF(CE130=1,CF130,IF(LEFT(Cockpit!$I$5,1)="B",AT130,MAX(AT130,H130))))</f>
        <v>2</v>
      </c>
      <c r="AP130" s="50" t="n">
        <f aca="false">IF(BW130=1,0,ROUNDUP(AO130/BV130,0))</f>
        <v>0</v>
      </c>
      <c r="AQ130" s="52" t="n">
        <f aca="false">IF(CL130&gt;0,CL130*MAX(1,AO130/X130),IF(BW130=1,IF(AO130&lt;=0,0,CA130*MAX(1,IF(H130&gt;0,AO130/H130,1))),IF(R130&gt;0,AP130/R130,0))/MAX(0.1,N(Parameter!$M$21)))</f>
        <v>0.160075329566855</v>
      </c>
      <c r="AR130" s="50" t="n">
        <f aca="false">AQ130*BY130</f>
        <v>38.0979284369115</v>
      </c>
      <c r="AS130" s="50" t="n">
        <f aca="false">AO130*G130</f>
        <v>6560</v>
      </c>
      <c r="AT130" s="50" t="n">
        <f aca="false">ROUNDUP(MAX(J130/IF(CD130&gt;0,CD130,MAX(0.1,N(Cockpit!$I$6))),CG130)/BV130,0)*BV130</f>
        <v>2</v>
      </c>
      <c r="AU130" s="51" t="n">
        <f aca="false">IF(AR130&gt;0,J130/AR130,-1)</f>
        <v>0.0787444389520514</v>
      </c>
      <c r="AV130" s="51" t="n">
        <f aca="false">IF(AND(OR(CC130="L1",CC130="L23",CC130="LIFT"),AR130&gt;0),SUMIFS($AR$7:$AR$1843,$CC$7:$CC$1843,CC130,$AU$7:$AU$1843,"&gt;"&amp;AU130)+SUMIFS($AR$7:$AR$1843,$CC$7:$CC$1843,CC130,$AU$7:$AU$1843,AU130,$BT$7:$BT$1843,"&lt;="&amp;BT130),"")</f>
        <v>25689.2483211233</v>
      </c>
      <c r="AW130" s="58" t="n">
        <f aca="false">IF(AV130="",0,MAX(0,MIN(1,(IF(CC130="L1",Parameter!$H$5,IF(CC130="L23",Parameter!$H$6+Parameter!$H$7,Parameter!$H$5+Parameter!$H$6+Parameter!$H$7))-(AV130-AR130))/AR130)))</f>
        <v>1</v>
      </c>
      <c r="AX130" s="50" t="n">
        <f aca="false">IF(LEFT(Cockpit!$O$5,1)="A",H130,IF(CE130=1,CF130,IF(LEFT(Cockpit!$O$5,1)="B",BC130,MAX(BC130,H130))))</f>
        <v>1</v>
      </c>
      <c r="AY130" s="50" t="n">
        <f aca="false">IF(BW130=1,0,ROUNDUP(AX130/BV130,0))</f>
        <v>0</v>
      </c>
      <c r="AZ130" s="52" t="n">
        <f aca="false">IF(CL130&gt;0,CL130*MAX(1,AX130/X130),IF(BW130=1,IF(AX130&lt;=0,0,CA130*MAX(1,IF(H130&gt;0,AX130/H130,1))),IF(R130&gt;0,AY130/R130,0))/MAX(0.1,N(Parameter!$M$21)))</f>
        <v>0.160075329566855</v>
      </c>
      <c r="BA130" s="50" t="n">
        <f aca="false">AZ130*BY130</f>
        <v>38.0979284369115</v>
      </c>
      <c r="BB130" s="50" t="n">
        <f aca="false">AX130*G130</f>
        <v>3280</v>
      </c>
      <c r="BC130" s="50" t="n">
        <f aca="false">ROUNDUP(MAX(J130/IF(CD130&gt;0,CD130,MAX(0.1,N(Cockpit!$O$6))),CG130)/BV130,0)*BV130</f>
        <v>1</v>
      </c>
      <c r="BD130" s="51" t="n">
        <f aca="false">IF(BA130&gt;0,J130/BA130,-1)</f>
        <v>0.0787444389520514</v>
      </c>
      <c r="BE130" s="51" t="n">
        <f aca="false">IF(AND(OR(CC130="L1",CC130="L23",CC130="LIFT"),BA130&gt;0),SUMIFS($BA$7:$BA$1843,$CC$7:$CC$1843,CC130,$BD$7:$BD$1843,"&gt;"&amp;BD130)+SUMIFS($BA$7:$BA$1843,$CC$7:$CC$1843,CC130,$BD$7:$BD$1843,BD130,$BT$7:$BT$1843,"&lt;="&amp;BT130),"")</f>
        <v>23891.7603629892</v>
      </c>
      <c r="BF130" s="58" t="n">
        <f aca="false">IF(BE130="",0,MAX(0,MIN(1,(IF(CC130="L1",Parameter!$H$5,IF(CC130="L23",Parameter!$H$6+Parameter!$H$7,Parameter!$H$5+Parameter!$H$6+Parameter!$H$7))-(BE130-BA130))/BA130)))</f>
        <v>1</v>
      </c>
      <c r="BG130" s="48" t="str">
        <f aca="false">IF(AI130&lt;=0,"",IF(CC130="Aussen","Aussenlager",IF(CC130="-","Nicht im Lift",IF(AN130&gt;=1,"Lift",IF(AN130&lt;=0,"Aussenlager","teilweise")))))</f>
        <v>Lift</v>
      </c>
      <c r="BH130" s="48" t="str">
        <f aca="false">IF(AR130&lt;=0,"",IF(CC130="Aussen","Aussenlager",IF(CC130="-","Nicht im Lift",IF(AW130&gt;=1,"Lift",IF(AW130&lt;=0,"Aussenlager","teilweise")))))</f>
        <v>Lift</v>
      </c>
      <c r="BI130" s="48" t="str">
        <f aca="false">IF(BA130&lt;=0,"",IF(CC130="Aussen","Aussenlager",IF(CC130="-","Nicht im Lift",IF(BF130&gt;=1,"Lift",IF(BF130&lt;=0,"Aussenlager","teilweise")))))</f>
        <v>Lift</v>
      </c>
      <c r="BJ130" s="48" t="str">
        <f aca="false">IF(A130="","",IF(BS130=1,"Neu; ","")&amp;IF(AND(BS130=0,BN130&lt;0),"negativer Bestand (Export "&amp;BN130&amp;"); ","")&amp;IF(J130&lt;=0,"Kein Verbrauch; ","")&amp;IF(CL130&gt;0,"Lift "&amp;W130&amp;" lt. Liftbericht (Fach "&amp;X130&amp;" Stk); ",IF(BX130=1,"Gebinde geschätzt ("&amp;T130&amp;"); ",IF(BW130=1,"Lose – Tablare geschätzt; ","")))&amp;IF(H130&gt;AT130,"Überbestand "&amp;ROUND(H130-AT130,0)&amp;" Stk / CHF "&amp;ROUND((H130-AT130)*G130,0)&amp;"; ","")&amp;IF(AND(CE130=1,CF130&lt;CG130),"MAX &lt; MB+LG; ","")&amp;IF(AND(CK130&gt;0,CJ130*10&gt;CK130),"zu hoch für Tablar; ","")&amp;IF(AND(BS130=0,OR(CE130=1,AA130&lt;&gt;"",U130&lt;&gt;"",V130&lt;&gt;"",AB130&lt;&gt;"")),"manuell übersteuert; ","")&amp;IF(AND(BW130=0,R130=0),"Gebinde unbekannt / Stellmass fehlt; ","")&amp;IF(AND(BW130=0,N(V130)&lt;=0,N(Q130)&lt;=0),"Menge pro Gebinde fehlt (Ist = 1 Gebinde); ","")&amp;BR130)</f>
        <v>Lift 1 lt. Liftbericht (Fach 2 Stk); </v>
      </c>
      <c r="BK130" s="48"/>
      <c r="BL130" s="48"/>
      <c r="BM130" s="55"/>
      <c r="BN130" s="50" t="n">
        <v>0</v>
      </c>
      <c r="BO130" s="50" t="n">
        <v>1</v>
      </c>
      <c r="BP130" s="49" t="n">
        <v>1745</v>
      </c>
      <c r="BQ130" s="50" t="n">
        <v>3</v>
      </c>
      <c r="BR130" s="48"/>
      <c r="BS130" s="53" t="n">
        <v>0</v>
      </c>
      <c r="BT130" s="53" t="n">
        <v>130</v>
      </c>
      <c r="BU130" s="48" t="str">
        <f aca="false">IF(U130&lt;&gt;"",UPPER(TRIM(U130)),IF(BX130=1,UPPER(VLOOKUP(T130,Parameter!$I$27:$K$29,2,0)),IF(P130="","LOSE",P130)))</f>
        <v>LOSE</v>
      </c>
      <c r="BV130" s="50" t="n">
        <f aca="false">IF(BU130="LOSE",1,IF(N(V130)&gt;0,V130,IF(BX130=1,MAX(1,N(VLOOKUP(T130,Parameter!$I$27:$K$29,3,0)),H130,N(N130)),IF(N(Q130)&gt;0,Q130,MAX(1,H130)))))</f>
        <v>1</v>
      </c>
      <c r="BW130" s="53" t="n">
        <f aca="false">IF(BU130="LOSE",1,0)</f>
        <v>1</v>
      </c>
      <c r="BX130" s="53" t="n">
        <f aca="false">IF(AND(U130="",OR(P130="",P130="LOSE"),T130&lt;&gt;"",N(S130)&lt;=0,ISNUMBER(MATCH(T130,Parameter!$I$27:$I$29,0))),1,0)</f>
        <v>0</v>
      </c>
      <c r="BY130" s="53" t="n">
        <f aca="false">IF(CL130&gt;0,INDEX(Parameter!$H$5:$H$7,W130)/INDEX(Parameter!$E$5:$E$7,W130),IF(AND(BW130=0,N(IFERROR(VLOOKUP(BU130,'Gebinde-Kategorie'!$A$5:$N$45,14,0),0))&gt;0),VLOOKUP(BU130,'Gebinde-Kategorie'!$A$5:$N$45,14,0)*10+Parameter!$M$23,Parameter!$M$24))</f>
        <v>238</v>
      </c>
      <c r="BZ130" s="48" t="n">
        <f aca="false">IF(AND(Parameter!$B$19="Ja",E130&lt;&gt;"",ISNUMBER(MATCH(E130,Parameter!$I$35:$I$52,0))),VLOOKUP(E130,Parameter!$I$35:$J$52,2,0),IFERROR(VLOOKUP(D130,Parameter!$A$35:$C$64,2,0),"Nein"))</f>
        <v>1</v>
      </c>
      <c r="CA130" s="52" t="n">
        <f aca="false">IF(BW130=0,0,IF(N(S130)&gt;0,S130,IFERROR(VLOOKUP(D130,Parameter!$A$35:$C$64,3,0)+0,0)))</f>
        <v>1</v>
      </c>
      <c r="CB130" s="48" t="n">
        <f aca="false">IF(AA130&lt;&gt;"",AA130,Z130)</f>
        <v>1</v>
      </c>
      <c r="CC130" s="48" t="str">
        <f aca="false">IF(OR(CB130=1,CB130=2,CB130=3),IF(Parameter!$E$27="Ja","LIFT",IF(CB130=1,"L1","L23")),IF(CB130="Aussen","Aussen","-"))</f>
        <v>LIFT</v>
      </c>
      <c r="CD130" s="59" t="n">
        <f aca="false">IF(N(AB130)&gt;0,AB130,0)</f>
        <v>0</v>
      </c>
      <c r="CE130" s="53" t="n">
        <f aca="false">IF(ISNUMBER(AE130),1,0)</f>
        <v>0</v>
      </c>
      <c r="CF130" s="50" t="n">
        <f aca="false">N(AE130)</f>
        <v>0</v>
      </c>
      <c r="CG130" s="50" t="n">
        <f aca="false">N(M130)+N(N130)</f>
        <v>1</v>
      </c>
      <c r="CH130" s="50" t="n">
        <f aca="false">ROUNDUP(H130/BV130,0)</f>
        <v>1</v>
      </c>
      <c r="CI130" s="50" t="n">
        <f aca="false">ROUNDUP(CF130/BV130,0)</f>
        <v>0</v>
      </c>
      <c r="CJ130" s="53" t="n">
        <f aca="false">IF(BW130=1,0,IFERROR(VLOOKUP(BU130,'Gebinde-Kategorie'!$A$5:$N$45,5,0)+0,0))</f>
        <v>0</v>
      </c>
      <c r="CK130" s="53" t="n">
        <f aca="false">IFERROR(IF(OR(CB130=1,CB130=2,CB130=3),N(INDEX(Parameter!$I$5:$I$7,CB130)),0),0)</f>
        <v>0</v>
      </c>
      <c r="CL130" s="52" t="n">
        <f aca="false">IF(AND(Parameter!$B$21="Ja",ISNUMBER(W130),N(X130)&gt;0),IFERROR(N(INDEX(Parameter!$L$5:$L$7,W130))*INDEX(Parameter!$E$5:$E$7,W130)*X130/SUMIFS($X$7:$X$1843,$W$7:$W$1843,W130),0),0)</f>
        <v>0.160075329566855</v>
      </c>
    </row>
    <row r="131" customFormat="false" ht="15" hidden="false" customHeight="false" outlineLevel="0" collapsed="false">
      <c r="A131" s="48" t="s">
        <v>474</v>
      </c>
      <c r="B131" s="48" t="s">
        <v>475</v>
      </c>
      <c r="C131" s="48" t="s">
        <v>168</v>
      </c>
      <c r="D131" s="48" t="s">
        <v>177</v>
      </c>
      <c r="E131" s="48" t="s">
        <v>189</v>
      </c>
      <c r="F131" s="48" t="s">
        <v>222</v>
      </c>
      <c r="G131" s="49" t="n">
        <v>2.89</v>
      </c>
      <c r="H131" s="50" t="n">
        <f aca="false">MAX(0,IF(AND(Parameter!$B$21="Ja",ISNUMBER(Y131)),Y131,IF(Parameter!$B$20="Jahresanfang 2025 + Export",BO131+BN131,BN131)))</f>
        <v>792</v>
      </c>
      <c r="I131" s="50" t="n">
        <f aca="false">H131*G131</f>
        <v>2288.88</v>
      </c>
      <c r="J131" s="50" t="n">
        <f aca="false">BQ131*Parameter!$B$18</f>
        <v>797</v>
      </c>
      <c r="K131" s="51" t="n">
        <v>333</v>
      </c>
      <c r="L131" s="52" t="n">
        <v>2.39339339339339</v>
      </c>
      <c r="M131" s="50" t="n">
        <v>112</v>
      </c>
      <c r="N131" s="50" t="n">
        <v>800</v>
      </c>
      <c r="O131" s="53" t="n">
        <v>51</v>
      </c>
      <c r="P131" s="48" t="s">
        <v>230</v>
      </c>
      <c r="Q131" s="50" t="n">
        <v>250</v>
      </c>
      <c r="R131" s="53" t="n">
        <f aca="false">IF(BW131=1,0,IFERROR(VLOOKUP(BU131,'Gebinde-Kategorie'!$A$5:$N$45,13,0)+0,0))</f>
        <v>12</v>
      </c>
      <c r="S131" s="54"/>
      <c r="T131" s="55"/>
      <c r="U131" s="55"/>
      <c r="V131" s="55"/>
      <c r="W131" s="48"/>
      <c r="X131" s="50"/>
      <c r="Y131" s="50"/>
      <c r="Z131" s="48" t="n">
        <f aca="false">IF(A131="","",IF(AND(Parameter!$B$21="Ja",ISNUMBER(W131)),W131,IF(BZ131="2+3",IF(ISNUMBER(SEARCH("grosser Artikel",BR131)),2,IFERROR(VLOOKUP(BU131,Parameter!$F$35:$G$64,2,0),2)),IF(OR(BZ131="Nein",BZ131=""),"-",BZ131))))</f>
        <v>2</v>
      </c>
      <c r="AA131" s="55"/>
      <c r="AB131" s="56"/>
      <c r="AC131" s="50" t="n">
        <f aca="false">AT131</f>
        <v>1000</v>
      </c>
      <c r="AD131" s="50" t="n">
        <f aca="false">MAX(AT131,H131)</f>
        <v>1000</v>
      </c>
      <c r="AE131" s="57"/>
      <c r="AF131" s="50" t="n">
        <f aca="false">IF(LEFT(Cockpit!$C$5,1)="A",H131,IF(CE131=1,CF131,IF(LEFT(Cockpit!$C$5,1)="B",AK131,MAX(AK131,H131))))</f>
        <v>792</v>
      </c>
      <c r="AG131" s="50" t="n">
        <f aca="false">IF(BW131=1,0,ROUNDUP(AF131/BV131,0))</f>
        <v>4</v>
      </c>
      <c r="AH131" s="52" t="n">
        <f aca="false">IF(CL131&gt;0,CL131*MAX(1,AF131/X131),IF(BW131=1,IF(AF131&lt;=0,0,CA131*MAX(1,IF(H131&gt;0,AF131/H131,1))),IF(R131&gt;0,AG131/R131,0))/MAX(0.1,N(Parameter!$M$21)))</f>
        <v>0.333333333333333</v>
      </c>
      <c r="AI131" s="50" t="n">
        <f aca="false">AH131*BY131</f>
        <v>115</v>
      </c>
      <c r="AJ131" s="50" t="n">
        <f aca="false">AF131*G131</f>
        <v>2288.88</v>
      </c>
      <c r="AK131" s="50" t="n">
        <f aca="false">ROUNDUP(MAX(J131/IF(CD131&gt;0,CD131,MAX(0.1,N(Cockpit!$C$6))),CG131)/BV131,0)*BV131</f>
        <v>1000</v>
      </c>
      <c r="AL131" s="51" t="n">
        <f aca="false">IF(AI131&gt;0,J131/AI131,-1)</f>
        <v>6.9304347826087</v>
      </c>
      <c r="AM131" s="51" t="n">
        <f aca="false">IF(AND(OR(CC131="L1",CC131="L23",CC131="LIFT"),AI131&gt;0),SUMIFS($AI$7:$AI$1843,$CC$7:$CC$1843,CC131,$AL$7:$AL$1843,"&gt;"&amp;AL131)+SUMIFS($AI$7:$AI$1843,$CC$7:$CC$1843,CC131,$AL$7:$AL$1843,AL131,$BT$7:$BT$1843,"&lt;="&amp;BT131),"")</f>
        <v>3382.22023809524</v>
      </c>
      <c r="AN131" s="58" t="n">
        <f aca="false">IF(AM131="",0,MAX(0,MIN(1,(IF(CC131="L1",Parameter!$H$5,IF(CC131="L23",Parameter!$H$6+Parameter!$H$7,Parameter!$H$5+Parameter!$H$6+Parameter!$H$7))-(AM131-AI131))/AI131)))</f>
        <v>1</v>
      </c>
      <c r="AO131" s="50" t="n">
        <f aca="false">IF(LEFT(Cockpit!$I$5,1)="A",H131,IF(CE131=1,CF131,IF(LEFT(Cockpit!$I$5,1)="B",AT131,MAX(AT131,H131))))</f>
        <v>1000</v>
      </c>
      <c r="AP131" s="50" t="n">
        <f aca="false">IF(BW131=1,0,ROUNDUP(AO131/BV131,0))</f>
        <v>4</v>
      </c>
      <c r="AQ131" s="52" t="n">
        <f aca="false">IF(CL131&gt;0,CL131*MAX(1,AO131/X131),IF(BW131=1,IF(AO131&lt;=0,0,CA131*MAX(1,IF(H131&gt;0,AO131/H131,1))),IF(R131&gt;0,AP131/R131,0))/MAX(0.1,N(Parameter!$M$21)))</f>
        <v>0.333333333333333</v>
      </c>
      <c r="AR131" s="50" t="n">
        <f aca="false">AQ131*BY131</f>
        <v>115</v>
      </c>
      <c r="AS131" s="50" t="n">
        <f aca="false">AO131*G131</f>
        <v>2890</v>
      </c>
      <c r="AT131" s="50" t="n">
        <f aca="false">ROUNDUP(MAX(J131/IF(CD131&gt;0,CD131,MAX(0.1,N(Cockpit!$I$6))),CG131)/BV131,0)*BV131</f>
        <v>1000</v>
      </c>
      <c r="AU131" s="51" t="n">
        <f aca="false">IF(AR131&gt;0,J131/AR131,-1)</f>
        <v>6.9304347826087</v>
      </c>
      <c r="AV131" s="51" t="n">
        <f aca="false">IF(AND(OR(CC131="L1",CC131="L23",CC131="LIFT"),AR131&gt;0),SUMIFS($AR$7:$AR$1843,$CC$7:$CC$1843,CC131,$AU$7:$AU$1843,"&gt;"&amp;AU131)+SUMIFS($AR$7:$AR$1843,$CC$7:$CC$1843,CC131,$AU$7:$AU$1843,AU131,$BT$7:$BT$1843,"&lt;="&amp;BT131),"")</f>
        <v>4516.24038461539</v>
      </c>
      <c r="AW131" s="58" t="n">
        <f aca="false">IF(AV131="",0,MAX(0,MIN(1,(IF(CC131="L1",Parameter!$H$5,IF(CC131="L23",Parameter!$H$6+Parameter!$H$7,Parameter!$H$5+Parameter!$H$6+Parameter!$H$7))-(AV131-AR131))/AR131)))</f>
        <v>1</v>
      </c>
      <c r="AX131" s="50" t="n">
        <f aca="false">IF(LEFT(Cockpit!$O$5,1)="A",H131,IF(CE131=1,CF131,IF(LEFT(Cockpit!$O$5,1)="B",BC131,MAX(BC131,H131))))</f>
        <v>1000</v>
      </c>
      <c r="AY131" s="50" t="n">
        <f aca="false">IF(BW131=1,0,ROUNDUP(AX131/BV131,0))</f>
        <v>4</v>
      </c>
      <c r="AZ131" s="52" t="n">
        <f aca="false">IF(CL131&gt;0,CL131*MAX(1,AX131/X131),IF(BW131=1,IF(AX131&lt;=0,0,CA131*MAX(1,IF(H131&gt;0,AX131/H131,1))),IF(R131&gt;0,AY131/R131,0))/MAX(0.1,N(Parameter!$M$21)))</f>
        <v>0.333333333333333</v>
      </c>
      <c r="BA131" s="50" t="n">
        <f aca="false">AZ131*BY131</f>
        <v>115</v>
      </c>
      <c r="BB131" s="50" t="n">
        <f aca="false">AX131*G131</f>
        <v>2890</v>
      </c>
      <c r="BC131" s="50" t="n">
        <f aca="false">ROUNDUP(MAX(J131/IF(CD131&gt;0,CD131,MAX(0.1,N(Cockpit!$O$6))),CG131)/BV131,0)*BV131</f>
        <v>1000</v>
      </c>
      <c r="BD131" s="51" t="n">
        <f aca="false">IF(BA131&gt;0,J131/BA131,-1)</f>
        <v>6.9304347826087</v>
      </c>
      <c r="BE131" s="51" t="n">
        <f aca="false">IF(AND(OR(CC131="L1",CC131="L23",CC131="LIFT"),BA131&gt;0),SUMIFS($BA$7:$BA$1843,$CC$7:$CC$1843,CC131,$BD$7:$BD$1843,"&gt;"&amp;BD131)+SUMIFS($BA$7:$BA$1843,$CC$7:$CC$1843,CC131,$BD$7:$BD$1843,BD131,$BT$7:$BT$1843,"&lt;="&amp;BT131),"")</f>
        <v>4307.53846153846</v>
      </c>
      <c r="BF131" s="58" t="n">
        <f aca="false">IF(BE131="",0,MAX(0,MIN(1,(IF(CC131="L1",Parameter!$H$5,IF(CC131="L23",Parameter!$H$6+Parameter!$H$7,Parameter!$H$5+Parameter!$H$6+Parameter!$H$7))-(BE131-BA131))/BA131)))</f>
        <v>1</v>
      </c>
      <c r="BG131" s="48" t="str">
        <f aca="false">IF(AI131&lt;=0,"",IF(CC131="Aussen","Aussenlager",IF(CC131="-","Nicht im Lift",IF(AN131&gt;=1,"Lift",IF(AN131&lt;=0,"Aussenlager","teilweise")))))</f>
        <v>Lift</v>
      </c>
      <c r="BH131" s="48" t="str">
        <f aca="false">IF(AR131&lt;=0,"",IF(CC131="Aussen","Aussenlager",IF(CC131="-","Nicht im Lift",IF(AW131&gt;=1,"Lift",IF(AW131&lt;=0,"Aussenlager","teilweise")))))</f>
        <v>Lift</v>
      </c>
      <c r="BI131" s="48" t="str">
        <f aca="false">IF(BA131&lt;=0,"",IF(CC131="Aussen","Aussenlager",IF(CC131="-","Nicht im Lift",IF(BF131&gt;=1,"Lift",IF(BF131&lt;=0,"Aussenlager","teilweise")))))</f>
        <v>Lift</v>
      </c>
      <c r="BJ131" s="48" t="str">
        <f aca="false">IF(A131="","",IF(BS131=1,"Neu; ","")&amp;IF(AND(BS131=0,BN131&lt;0),"negativer Bestand (Export "&amp;BN131&amp;"); ","")&amp;IF(J131&lt;=0,"Kein Verbrauch; ","")&amp;IF(CL131&gt;0,"Lift "&amp;W131&amp;" lt. Liftbericht (Fach "&amp;X131&amp;" Stk); ",IF(BX131=1,"Gebinde geschätzt ("&amp;T131&amp;"); ",IF(BW131=1,"Lose – Tablare geschätzt; ","")))&amp;IF(H131&gt;AT131,"Überbestand "&amp;ROUND(H131-AT131,0)&amp;" Stk / CHF "&amp;ROUND((H131-AT131)*G131,0)&amp;"; ","")&amp;IF(AND(CE131=1,CF131&lt;CG131),"MAX &lt; MB+LG; ","")&amp;IF(AND(CK131&gt;0,CJ131*10&gt;CK131),"zu hoch für Tablar; ","")&amp;IF(AND(BS131=0,OR(CE131=1,AA131&lt;&gt;"",U131&lt;&gt;"",V131&lt;&gt;"",AB131&lt;&gt;"")),"manuell übersteuert; ","")&amp;IF(AND(BW131=0,R131=0),"Gebinde unbekannt / Stellmass fehlt; ","")&amp;IF(AND(BW131=0,N(V131)&lt;=0,N(Q131)&lt;=0),"Menge pro Gebinde fehlt (Ist = 1 Gebinde); ","")&amp;BR131)</f>
        <v>gehört dieser Artikel ins KTL ?</v>
      </c>
      <c r="BK131" s="48"/>
      <c r="BL131" s="48"/>
      <c r="BM131" s="55"/>
      <c r="BN131" s="50" t="n">
        <v>567</v>
      </c>
      <c r="BO131" s="50" t="n">
        <v>225</v>
      </c>
      <c r="BP131" s="49" t="n">
        <v>1734.11</v>
      </c>
      <c r="BQ131" s="50" t="n">
        <v>797</v>
      </c>
      <c r="BR131" s="48" t="s">
        <v>476</v>
      </c>
      <c r="BS131" s="53" t="n">
        <v>0</v>
      </c>
      <c r="BT131" s="53" t="n">
        <v>131</v>
      </c>
      <c r="BU131" s="48" t="str">
        <f aca="false">IF(U131&lt;&gt;"",UPPER(TRIM(U131)),IF(BX131=1,UPPER(VLOOKUP(T131,Parameter!$I$27:$K$29,2,0)),IF(P131="","LOSE",P131)))</f>
        <v>S63</v>
      </c>
      <c r="BV131" s="50" t="n">
        <f aca="false">IF(BU131="LOSE",1,IF(N(V131)&gt;0,V131,IF(BX131=1,MAX(1,N(VLOOKUP(T131,Parameter!$I$27:$K$29,3,0)),H131,N(N131)),IF(N(Q131)&gt;0,Q131,MAX(1,H131)))))</f>
        <v>250</v>
      </c>
      <c r="BW131" s="53" t="n">
        <f aca="false">IF(BU131="LOSE",1,0)</f>
        <v>0</v>
      </c>
      <c r="BX131" s="53" t="n">
        <f aca="false">IF(AND(U131="",OR(P131="",P131="LOSE"),T131&lt;&gt;"",N(S131)&lt;=0,ISNUMBER(MATCH(T131,Parameter!$I$27:$I$29,0))),1,0)</f>
        <v>0</v>
      </c>
      <c r="BY131" s="53" t="n">
        <f aca="false">IF(CL131&gt;0,INDEX(Parameter!$H$5:$H$7,W131)/INDEX(Parameter!$E$5:$E$7,W131),IF(AND(BW131=0,N(IFERROR(VLOOKUP(BU131,'Gebinde-Kategorie'!$A$5:$N$45,14,0),0))&gt;0),VLOOKUP(BU131,'Gebinde-Kategorie'!$A$5:$N$45,14,0)*10+Parameter!$M$23,Parameter!$M$24))</f>
        <v>345</v>
      </c>
      <c r="BZ131" s="48" t="str">
        <f aca="false">IF(AND(Parameter!$B$19="Ja",E131&lt;&gt;"",ISNUMBER(MATCH(E131,Parameter!$I$35:$I$52,0))),VLOOKUP(E131,Parameter!$I$35:$J$52,2,0),IFERROR(VLOOKUP(D131,Parameter!$A$35:$C$64,2,0),"Nein"))</f>
        <v>2+3</v>
      </c>
      <c r="CA131" s="52" t="n">
        <f aca="false">IF(BW131=0,0,IF(N(S131)&gt;0,S131,IFERROR(VLOOKUP(D131,Parameter!$A$35:$C$64,3,0)+0,0)))</f>
        <v>0</v>
      </c>
      <c r="CB131" s="48" t="n">
        <f aca="false">IF(AA131&lt;&gt;"",AA131,Z131)</f>
        <v>2</v>
      </c>
      <c r="CC131" s="48" t="str">
        <f aca="false">IF(OR(CB131=1,CB131=2,CB131=3),IF(Parameter!$E$27="Ja","LIFT",IF(CB131=1,"L1","L23")),IF(CB131="Aussen","Aussen","-"))</f>
        <v>LIFT</v>
      </c>
      <c r="CD131" s="59" t="n">
        <f aca="false">IF(N(AB131)&gt;0,AB131,0)</f>
        <v>0</v>
      </c>
      <c r="CE131" s="53" t="n">
        <f aca="false">IF(ISNUMBER(AE131),1,0)</f>
        <v>0</v>
      </c>
      <c r="CF131" s="50" t="n">
        <f aca="false">N(AE131)</f>
        <v>0</v>
      </c>
      <c r="CG131" s="50" t="n">
        <f aca="false">N(M131)+N(N131)</f>
        <v>912</v>
      </c>
      <c r="CH131" s="50" t="n">
        <f aca="false">ROUNDUP(H131/BV131,0)</f>
        <v>4</v>
      </c>
      <c r="CI131" s="50" t="n">
        <f aca="false">ROUNDUP(CF131/BV131,0)</f>
        <v>0</v>
      </c>
      <c r="CJ131" s="53" t="n">
        <f aca="false">IF(BW131=1,0,IFERROR(VLOOKUP(BU131,'Gebinde-Kategorie'!$A$5:$N$45,5,0)+0,0))</f>
        <v>31</v>
      </c>
      <c r="CK131" s="53" t="n">
        <f aca="false">IFERROR(IF(OR(CB131=1,CB131=2,CB131=3),N(INDEX(Parameter!$I$5:$I$7,CB131)),0),0)</f>
        <v>0</v>
      </c>
      <c r="CL131" s="52" t="n">
        <f aca="false">IF(AND(Parameter!$B$21="Ja",ISNUMBER(W131),N(X131)&gt;0),IFERROR(N(INDEX(Parameter!$L$5:$L$7,W131))*INDEX(Parameter!$E$5:$E$7,W131)*X131/SUMIFS($X$7:$X$1843,$W$7:$W$1843,W131),0),0)</f>
        <v>0</v>
      </c>
    </row>
    <row r="132" customFormat="false" ht="15" hidden="false" customHeight="false" outlineLevel="0" collapsed="false">
      <c r="A132" s="48" t="s">
        <v>477</v>
      </c>
      <c r="B132" s="48" t="s">
        <v>472</v>
      </c>
      <c r="C132" s="48" t="s">
        <v>168</v>
      </c>
      <c r="D132" s="48" t="s">
        <v>188</v>
      </c>
      <c r="E132" s="48" t="s">
        <v>189</v>
      </c>
      <c r="F132" s="48" t="s">
        <v>222</v>
      </c>
      <c r="G132" s="49" t="n">
        <v>7.89</v>
      </c>
      <c r="H132" s="50" t="n">
        <f aca="false">MAX(0,IF(AND(Parameter!$B$21="Ja",ISNUMBER(Y132)),Y132,IF(Parameter!$B$20="Jahresanfang 2025 + Export",BO132+BN132,BN132)))</f>
        <v>263</v>
      </c>
      <c r="I132" s="50" t="n">
        <f aca="false">H132*G132</f>
        <v>2075.07</v>
      </c>
      <c r="J132" s="50" t="n">
        <f aca="false">BQ132*Parameter!$B$18</f>
        <v>391</v>
      </c>
      <c r="K132" s="51" t="n">
        <v>72.5</v>
      </c>
      <c r="L132" s="52" t="n">
        <v>5.39310344827586</v>
      </c>
      <c r="M132" s="50" t="n">
        <v>15</v>
      </c>
      <c r="N132" s="50" t="n">
        <v>390</v>
      </c>
      <c r="O132" s="53" t="n">
        <v>14</v>
      </c>
      <c r="P132" s="48" t="s">
        <v>332</v>
      </c>
      <c r="Q132" s="50" t="n">
        <v>178</v>
      </c>
      <c r="R132" s="53" t="n">
        <f aca="false">IF(BW132=1,0,IFERROR(VLOOKUP(BU132,'Gebinde-Kategorie'!$A$5:$N$45,13,0)+0,0))</f>
        <v>52</v>
      </c>
      <c r="S132" s="54"/>
      <c r="T132" s="55"/>
      <c r="U132" s="55"/>
      <c r="V132" s="55"/>
      <c r="W132" s="48"/>
      <c r="X132" s="50"/>
      <c r="Y132" s="50"/>
      <c r="Z132" s="48" t="n">
        <f aca="false">IF(A132="","",IF(AND(Parameter!$B$21="Ja",ISNUMBER(W132)),W132,IF(BZ132="2+3",IF(ISNUMBER(SEARCH("grosser Artikel",BR132)),2,IFERROR(VLOOKUP(BU132,Parameter!$F$35:$G$64,2,0),2)),IF(OR(BZ132="Nein",BZ132=""),"-",BZ132))))</f>
        <v>3</v>
      </c>
      <c r="AA132" s="55"/>
      <c r="AB132" s="56"/>
      <c r="AC132" s="50" t="n">
        <f aca="false">AT132</f>
        <v>534</v>
      </c>
      <c r="AD132" s="50" t="n">
        <f aca="false">MAX(AT132,H132)</f>
        <v>534</v>
      </c>
      <c r="AE132" s="57"/>
      <c r="AF132" s="50" t="n">
        <f aca="false">IF(LEFT(Cockpit!$C$5,1)="A",H132,IF(CE132=1,CF132,IF(LEFT(Cockpit!$C$5,1)="B",AK132,MAX(AK132,H132))))</f>
        <v>263</v>
      </c>
      <c r="AG132" s="50" t="n">
        <f aca="false">IF(BW132=1,0,ROUNDUP(AF132/BV132,0))</f>
        <v>2</v>
      </c>
      <c r="AH132" s="52" t="n">
        <f aca="false">IF(CL132&gt;0,CL132*MAX(1,AF132/X132),IF(BW132=1,IF(AF132&lt;=0,0,CA132*MAX(1,IF(H132&gt;0,AF132/H132,1))),IF(R132&gt;0,AG132/R132,0))/MAX(0.1,N(Parameter!$M$21)))</f>
        <v>0.0384615384615385</v>
      </c>
      <c r="AI132" s="50" t="n">
        <f aca="false">AH132*BY132</f>
        <v>5.96153846153846</v>
      </c>
      <c r="AJ132" s="50" t="n">
        <f aca="false">AF132*G132</f>
        <v>2075.07</v>
      </c>
      <c r="AK132" s="50" t="n">
        <f aca="false">ROUNDUP(MAX(J132/IF(CD132&gt;0,CD132,MAX(0.1,N(Cockpit!$C$6))),CG132)/BV132,0)*BV132</f>
        <v>534</v>
      </c>
      <c r="AL132" s="51" t="n">
        <f aca="false">IF(AI132&gt;0,J132/AI132,-1)</f>
        <v>65.5870967741935</v>
      </c>
      <c r="AM132" s="51" t="n">
        <f aca="false">IF(AND(OR(CC132="L1",CC132="L23",CC132="LIFT"),AI132&gt;0),SUMIFS($AI$7:$AI$1843,$CC$7:$CC$1843,CC132,$AL$7:$AL$1843,"&gt;"&amp;AL132)+SUMIFS($AI$7:$AI$1843,$CC$7:$CC$1843,CC132,$AL$7:$AL$1843,AL132,$BT$7:$BT$1843,"&lt;="&amp;BT132),"")</f>
        <v>934.701923076923</v>
      </c>
      <c r="AN132" s="58" t="n">
        <f aca="false">IF(AM132="",0,MAX(0,MIN(1,(IF(CC132="L1",Parameter!$H$5,IF(CC132="L23",Parameter!$H$6+Parameter!$H$7,Parameter!$H$5+Parameter!$H$6+Parameter!$H$7))-(AM132-AI132))/AI132)))</f>
        <v>1</v>
      </c>
      <c r="AO132" s="50" t="n">
        <f aca="false">IF(LEFT(Cockpit!$I$5,1)="A",H132,IF(CE132=1,CF132,IF(LEFT(Cockpit!$I$5,1)="B",AT132,MAX(AT132,H132))))</f>
        <v>534</v>
      </c>
      <c r="AP132" s="50" t="n">
        <f aca="false">IF(BW132=1,0,ROUNDUP(AO132/BV132,0))</f>
        <v>3</v>
      </c>
      <c r="AQ132" s="52" t="n">
        <f aca="false">IF(CL132&gt;0,CL132*MAX(1,AO132/X132),IF(BW132=1,IF(AO132&lt;=0,0,CA132*MAX(1,IF(H132&gt;0,AO132/H132,1))),IF(R132&gt;0,AP132/R132,0))/MAX(0.1,N(Parameter!$M$21)))</f>
        <v>0.0576923076923077</v>
      </c>
      <c r="AR132" s="50" t="n">
        <f aca="false">AQ132*BY132</f>
        <v>8.94230769230769</v>
      </c>
      <c r="AS132" s="50" t="n">
        <f aca="false">AO132*G132</f>
        <v>4213.26</v>
      </c>
      <c r="AT132" s="50" t="n">
        <f aca="false">ROUNDUP(MAX(J132/IF(CD132&gt;0,CD132,MAX(0.1,N(Cockpit!$I$6))),CG132)/BV132,0)*BV132</f>
        <v>534</v>
      </c>
      <c r="AU132" s="51" t="n">
        <f aca="false">IF(AR132&gt;0,J132/AR132,-1)</f>
        <v>43.7247311827957</v>
      </c>
      <c r="AV132" s="51" t="n">
        <f aca="false">IF(AND(OR(CC132="L1",CC132="L23",CC132="LIFT"),AR132&gt;0),SUMIFS($AR$7:$AR$1843,$CC$7:$CC$1843,CC132,$AU$7:$AU$1843,"&gt;"&amp;AU132)+SUMIFS($AR$7:$AR$1843,$CC$7:$CC$1843,CC132,$AU$7:$AU$1843,AU132,$BT$7:$BT$1843,"&lt;="&amp;BT132),"")</f>
        <v>1649.74404761905</v>
      </c>
      <c r="AW132" s="58" t="n">
        <f aca="false">IF(AV132="",0,MAX(0,MIN(1,(IF(CC132="L1",Parameter!$H$5,IF(CC132="L23",Parameter!$H$6+Parameter!$H$7,Parameter!$H$5+Parameter!$H$6+Parameter!$H$7))-(AV132-AR132))/AR132)))</f>
        <v>1</v>
      </c>
      <c r="AX132" s="50" t="n">
        <f aca="false">IF(LEFT(Cockpit!$O$5,1)="A",H132,IF(CE132=1,CF132,IF(LEFT(Cockpit!$O$5,1)="B",BC132,MAX(BC132,H132))))</f>
        <v>534</v>
      </c>
      <c r="AY132" s="50" t="n">
        <f aca="false">IF(BW132=1,0,ROUNDUP(AX132/BV132,0))</f>
        <v>3</v>
      </c>
      <c r="AZ132" s="52" t="n">
        <f aca="false">IF(CL132&gt;0,CL132*MAX(1,AX132/X132),IF(BW132=1,IF(AX132&lt;=0,0,CA132*MAX(1,IF(H132&gt;0,AX132/H132,1))),IF(R132&gt;0,AY132/R132,0))/MAX(0.1,N(Parameter!$M$21)))</f>
        <v>0.0576923076923077</v>
      </c>
      <c r="BA132" s="50" t="n">
        <f aca="false">AZ132*BY132</f>
        <v>8.94230769230769</v>
      </c>
      <c r="BB132" s="50" t="n">
        <f aca="false">AX132*G132</f>
        <v>4213.26</v>
      </c>
      <c r="BC132" s="50" t="n">
        <f aca="false">ROUNDUP(MAX(J132/IF(CD132&gt;0,CD132,MAX(0.1,N(Cockpit!$O$6))),CG132)/BV132,0)*BV132</f>
        <v>534</v>
      </c>
      <c r="BD132" s="51" t="n">
        <f aca="false">IF(BA132&gt;0,J132/BA132,-1)</f>
        <v>43.7247311827957</v>
      </c>
      <c r="BE132" s="51" t="n">
        <f aca="false">IF(AND(OR(CC132="L1",CC132="L23",CC132="LIFT"),BA132&gt;0),SUMIFS($BA$7:$BA$1843,$CC$7:$CC$1843,CC132,$BD$7:$BD$1843,"&gt;"&amp;BD132)+SUMIFS($BA$7:$BA$1843,$CC$7:$CC$1843,CC132,$BD$7:$BD$1843,BD132,$BT$7:$BT$1843,"&lt;="&amp;BT132),"")</f>
        <v>1514.66391941392</v>
      </c>
      <c r="BF132" s="58" t="n">
        <f aca="false">IF(BE132="",0,MAX(0,MIN(1,(IF(CC132="L1",Parameter!$H$5,IF(CC132="L23",Parameter!$H$6+Parameter!$H$7,Parameter!$H$5+Parameter!$H$6+Parameter!$H$7))-(BE132-BA132))/BA132)))</f>
        <v>1</v>
      </c>
      <c r="BG132" s="48" t="str">
        <f aca="false">IF(AI132&lt;=0,"",IF(CC132="Aussen","Aussenlager",IF(CC132="-","Nicht im Lift",IF(AN132&gt;=1,"Lift",IF(AN132&lt;=0,"Aussenlager","teilweise")))))</f>
        <v>Lift</v>
      </c>
      <c r="BH132" s="48" t="str">
        <f aca="false">IF(AR132&lt;=0,"",IF(CC132="Aussen","Aussenlager",IF(CC132="-","Nicht im Lift",IF(AW132&gt;=1,"Lift",IF(AW132&lt;=0,"Aussenlager","teilweise")))))</f>
        <v>Lift</v>
      </c>
      <c r="BI132" s="48" t="str">
        <f aca="false">IF(BA132&lt;=0,"",IF(CC132="Aussen","Aussenlager",IF(CC132="-","Nicht im Lift",IF(BF132&gt;=1,"Lift",IF(BF132&lt;=0,"Aussenlager","teilweise")))))</f>
        <v>Lift</v>
      </c>
      <c r="BJ132" s="48" t="str">
        <f aca="false">IF(A132="","",IF(BS132=1,"Neu; ","")&amp;IF(AND(BS132=0,BN132&lt;0),"negativer Bestand (Export "&amp;BN132&amp;"); ","")&amp;IF(J132&lt;=0,"Kein Verbrauch; ","")&amp;IF(CL132&gt;0,"Lift "&amp;W132&amp;" lt. Liftbericht (Fach "&amp;X132&amp;" Stk); ",IF(BX132=1,"Gebinde geschätzt ("&amp;T132&amp;"); ",IF(BW132=1,"Lose – Tablare geschätzt; ","")))&amp;IF(H132&gt;AT132,"Überbestand "&amp;ROUND(H132-AT132,0)&amp;" Stk / CHF "&amp;ROUND((H132-AT132)*G132,0)&amp;"; ","")&amp;IF(AND(CE132=1,CF132&lt;CG132),"MAX &lt; MB+LG; ","")&amp;IF(AND(CK132&gt;0,CJ132*10&gt;CK132),"zu hoch für Tablar; ","")&amp;IF(AND(BS132=0,OR(CE132=1,AA132&lt;&gt;"",U132&lt;&gt;"",V132&lt;&gt;"",AB132&lt;&gt;"")),"manuell übersteuert; ","")&amp;IF(AND(BW132=0,R132=0),"Gebinde unbekannt / Stellmass fehlt; ","")&amp;IF(AND(BW132=0,N(V132)&lt;=0,N(Q132)&lt;=0),"Menge pro Gebinde fehlt (Ist = 1 Gebinde); ","")&amp;BR132)</f>
        <v/>
      </c>
      <c r="BK132" s="48"/>
      <c r="BL132" s="48"/>
      <c r="BM132" s="55"/>
      <c r="BN132" s="50" t="n">
        <v>217</v>
      </c>
      <c r="BO132" s="50" t="n">
        <v>46</v>
      </c>
      <c r="BP132" s="49" t="n">
        <v>1710.09</v>
      </c>
      <c r="BQ132" s="50" t="n">
        <v>391</v>
      </c>
      <c r="BR132" s="48"/>
      <c r="BS132" s="53" t="n">
        <v>0</v>
      </c>
      <c r="BT132" s="53" t="n">
        <v>132</v>
      </c>
      <c r="BU132" s="48" t="str">
        <f aca="false">IF(U132&lt;&gt;"",UPPER(TRIM(U132)),IF(BX132=1,UPPER(VLOOKUP(T132,Parameter!$I$27:$K$29,2,0)),IF(P132="","LOSE",P132)))</f>
        <v>S41</v>
      </c>
      <c r="BV132" s="50" t="n">
        <f aca="false">IF(BU132="LOSE",1,IF(N(V132)&gt;0,V132,IF(BX132=1,MAX(1,N(VLOOKUP(T132,Parameter!$I$27:$K$29,3,0)),H132,N(N132)),IF(N(Q132)&gt;0,Q132,MAX(1,H132)))))</f>
        <v>178</v>
      </c>
      <c r="BW132" s="53" t="n">
        <f aca="false">IF(BU132="LOSE",1,0)</f>
        <v>0</v>
      </c>
      <c r="BX132" s="53" t="n">
        <f aca="false">IF(AND(U132="",OR(P132="",P132="LOSE"),T132&lt;&gt;"",N(S132)&lt;=0,ISNUMBER(MATCH(T132,Parameter!$I$27:$I$29,0))),1,0)</f>
        <v>0</v>
      </c>
      <c r="BY132" s="53" t="n">
        <f aca="false">IF(CL132&gt;0,INDEX(Parameter!$H$5:$H$7,W132)/INDEX(Parameter!$E$5:$E$7,W132),IF(AND(BW132=0,N(IFERROR(VLOOKUP(BU132,'Gebinde-Kategorie'!$A$5:$N$45,14,0),0))&gt;0),VLOOKUP(BU132,'Gebinde-Kategorie'!$A$5:$N$45,14,0)*10+Parameter!$M$23,Parameter!$M$24))</f>
        <v>155</v>
      </c>
      <c r="BZ132" s="48" t="str">
        <f aca="false">IF(AND(Parameter!$B$19="Ja",E132&lt;&gt;"",ISNUMBER(MATCH(E132,Parameter!$I$35:$I$52,0))),VLOOKUP(E132,Parameter!$I$35:$J$52,2,0),IFERROR(VLOOKUP(D132,Parameter!$A$35:$C$64,2,0),"Nein"))</f>
        <v>2+3</v>
      </c>
      <c r="CA132" s="52" t="n">
        <f aca="false">IF(BW132=0,0,IF(N(S132)&gt;0,S132,IFERROR(VLOOKUP(D132,Parameter!$A$35:$C$64,3,0)+0,0)))</f>
        <v>0</v>
      </c>
      <c r="CB132" s="48" t="n">
        <f aca="false">IF(AA132&lt;&gt;"",AA132,Z132)</f>
        <v>3</v>
      </c>
      <c r="CC132" s="48" t="str">
        <f aca="false">IF(OR(CB132=1,CB132=2,CB132=3),IF(Parameter!$E$27="Ja","LIFT",IF(CB132=1,"L1","L23")),IF(CB132="Aussen","Aussen","-"))</f>
        <v>LIFT</v>
      </c>
      <c r="CD132" s="59" t="n">
        <f aca="false">IF(N(AB132)&gt;0,AB132,0)</f>
        <v>0</v>
      </c>
      <c r="CE132" s="53" t="n">
        <f aca="false">IF(ISNUMBER(AE132),1,0)</f>
        <v>0</v>
      </c>
      <c r="CF132" s="50" t="n">
        <f aca="false">N(AE132)</f>
        <v>0</v>
      </c>
      <c r="CG132" s="50" t="n">
        <f aca="false">N(M132)+N(N132)</f>
        <v>405</v>
      </c>
      <c r="CH132" s="50" t="n">
        <f aca="false">ROUNDUP(H132/BV132,0)</f>
        <v>2</v>
      </c>
      <c r="CI132" s="50" t="n">
        <f aca="false">ROUNDUP(CF132/BV132,0)</f>
        <v>0</v>
      </c>
      <c r="CJ132" s="53" t="n">
        <f aca="false">IF(BW132=1,0,IFERROR(VLOOKUP(BU132,'Gebinde-Kategorie'!$A$5:$N$45,5,0)+0,0))</f>
        <v>11</v>
      </c>
      <c r="CK132" s="53" t="n">
        <f aca="false">IFERROR(IF(OR(CB132=1,CB132=2,CB132=3),N(INDEX(Parameter!$I$5:$I$7,CB132)),0),0)</f>
        <v>0</v>
      </c>
      <c r="CL132" s="52" t="n">
        <f aca="false">IF(AND(Parameter!$B$21="Ja",ISNUMBER(W132),N(X132)&gt;0),IFERROR(N(INDEX(Parameter!$L$5:$L$7,W132))*INDEX(Parameter!$E$5:$E$7,W132)*X132/SUMIFS($X$7:$X$1843,$W$7:$W$1843,W132),0),0)</f>
        <v>0</v>
      </c>
    </row>
    <row r="133" customFormat="false" ht="15" hidden="false" customHeight="false" outlineLevel="0" collapsed="false">
      <c r="A133" s="48" t="s">
        <v>478</v>
      </c>
      <c r="B133" s="48" t="s">
        <v>479</v>
      </c>
      <c r="C133" s="48" t="s">
        <v>168</v>
      </c>
      <c r="D133" s="48" t="s">
        <v>188</v>
      </c>
      <c r="E133" s="48" t="s">
        <v>189</v>
      </c>
      <c r="F133" s="48" t="s">
        <v>222</v>
      </c>
      <c r="G133" s="49" t="n">
        <v>1.3</v>
      </c>
      <c r="H133" s="50" t="n">
        <f aca="false">MAX(0,IF(AND(Parameter!$B$21="Ja",ISNUMBER(Y133)),Y133,IF(Parameter!$B$20="Jahresanfang 2025 + Export",BO133+BN133,BN133)))</f>
        <v>2057</v>
      </c>
      <c r="I133" s="50" t="n">
        <f aca="false">H133*G133</f>
        <v>2674.1</v>
      </c>
      <c r="J133" s="50" t="n">
        <f aca="false">BQ133*Parameter!$B$18</f>
        <v>2371</v>
      </c>
      <c r="K133" s="51" t="n">
        <v>739</v>
      </c>
      <c r="L133" s="52" t="n">
        <v>3.20838971583221</v>
      </c>
      <c r="M133" s="50" t="n">
        <v>100</v>
      </c>
      <c r="N133" s="50" t="n">
        <v>2145</v>
      </c>
      <c r="O133" s="53" t="n">
        <v>14</v>
      </c>
      <c r="P133" s="48" t="s">
        <v>480</v>
      </c>
      <c r="Q133" s="50" t="n">
        <v>1988</v>
      </c>
      <c r="R133" s="53" t="n">
        <f aca="false">IF(BW133=1,0,IFERROR(VLOOKUP(BU133,'Gebinde-Kategorie'!$A$5:$N$45,13,0)+0,0))</f>
        <v>52</v>
      </c>
      <c r="S133" s="54"/>
      <c r="T133" s="55"/>
      <c r="U133" s="55"/>
      <c r="V133" s="55"/>
      <c r="W133" s="48"/>
      <c r="X133" s="50"/>
      <c r="Y133" s="50"/>
      <c r="Z133" s="48" t="n">
        <f aca="false">IF(A133="","",IF(AND(Parameter!$B$21="Ja",ISNUMBER(W133)),W133,IF(BZ133="2+3",IF(ISNUMBER(SEARCH("grosser Artikel",BR133)),2,IFERROR(VLOOKUP(BU133,Parameter!$F$35:$G$64,2,0),2)),IF(OR(BZ133="Nein",BZ133=""),"-",BZ133))))</f>
        <v>3</v>
      </c>
      <c r="AA133" s="55"/>
      <c r="AB133" s="56"/>
      <c r="AC133" s="50" t="n">
        <f aca="false">AT133</f>
        <v>3976</v>
      </c>
      <c r="AD133" s="50" t="n">
        <f aca="false">MAX(AT133,H133)</f>
        <v>3976</v>
      </c>
      <c r="AE133" s="57"/>
      <c r="AF133" s="50" t="n">
        <f aca="false">IF(LEFT(Cockpit!$C$5,1)="A",H133,IF(CE133=1,CF133,IF(LEFT(Cockpit!$C$5,1)="B",AK133,MAX(AK133,H133))))</f>
        <v>2057</v>
      </c>
      <c r="AG133" s="50" t="n">
        <f aca="false">IF(BW133=1,0,ROUNDUP(AF133/BV133,0))</f>
        <v>2</v>
      </c>
      <c r="AH133" s="52" t="n">
        <f aca="false">IF(CL133&gt;0,CL133*MAX(1,AF133/X133),IF(BW133=1,IF(AF133&lt;=0,0,CA133*MAX(1,IF(H133&gt;0,AF133/H133,1))),IF(R133&gt;0,AG133/R133,0))/MAX(0.1,N(Parameter!$M$21)))</f>
        <v>0.0384615384615385</v>
      </c>
      <c r="AI133" s="50" t="n">
        <f aca="false">AH133*BY133</f>
        <v>5.96153846153846</v>
      </c>
      <c r="AJ133" s="50" t="n">
        <f aca="false">AF133*G133</f>
        <v>2674.1</v>
      </c>
      <c r="AK133" s="50" t="n">
        <f aca="false">ROUNDUP(MAX(J133/IF(CD133&gt;0,CD133,MAX(0.1,N(Cockpit!$C$6))),CG133)/BV133,0)*BV133</f>
        <v>3976</v>
      </c>
      <c r="AL133" s="51" t="n">
        <f aca="false">IF(AI133&gt;0,J133/AI133,-1)</f>
        <v>397.716129032258</v>
      </c>
      <c r="AM133" s="51" t="n">
        <f aca="false">IF(AND(OR(CC133="L1",CC133="L23",CC133="LIFT"),AI133&gt;0),SUMIFS($AI$7:$AI$1843,$CC$7:$CC$1843,CC133,$AL$7:$AL$1843,"&gt;"&amp;AL133)+SUMIFS($AI$7:$AI$1843,$CC$7:$CC$1843,CC133,$AL$7:$AL$1843,AL133,$BT$7:$BT$1843,"&lt;="&amp;BT133),"")</f>
        <v>177.527014652015</v>
      </c>
      <c r="AN133" s="58" t="n">
        <f aca="false">IF(AM133="",0,MAX(0,MIN(1,(IF(CC133="L1",Parameter!$H$5,IF(CC133="L23",Parameter!$H$6+Parameter!$H$7,Parameter!$H$5+Parameter!$H$6+Parameter!$H$7))-(AM133-AI133))/AI133)))</f>
        <v>1</v>
      </c>
      <c r="AO133" s="50" t="n">
        <f aca="false">IF(LEFT(Cockpit!$I$5,1)="A",H133,IF(CE133=1,CF133,IF(LEFT(Cockpit!$I$5,1)="B",AT133,MAX(AT133,H133))))</f>
        <v>3976</v>
      </c>
      <c r="AP133" s="50" t="n">
        <f aca="false">IF(BW133=1,0,ROUNDUP(AO133/BV133,0))</f>
        <v>2</v>
      </c>
      <c r="AQ133" s="52" t="n">
        <f aca="false">IF(CL133&gt;0,CL133*MAX(1,AO133/X133),IF(BW133=1,IF(AO133&lt;=0,0,CA133*MAX(1,IF(H133&gt;0,AO133/H133,1))),IF(R133&gt;0,AP133/R133,0))/MAX(0.1,N(Parameter!$M$21)))</f>
        <v>0.0384615384615385</v>
      </c>
      <c r="AR133" s="50" t="n">
        <f aca="false">AQ133*BY133</f>
        <v>5.96153846153846</v>
      </c>
      <c r="AS133" s="50" t="n">
        <f aca="false">AO133*G133</f>
        <v>5168.8</v>
      </c>
      <c r="AT133" s="50" t="n">
        <f aca="false">ROUNDUP(MAX(J133/IF(CD133&gt;0,CD133,MAX(0.1,N(Cockpit!$I$6))),CG133)/BV133,0)*BV133</f>
        <v>3976</v>
      </c>
      <c r="AU133" s="51" t="n">
        <f aca="false">IF(AR133&gt;0,J133/AR133,-1)</f>
        <v>397.716129032258</v>
      </c>
      <c r="AV133" s="51" t="n">
        <f aca="false">IF(AND(OR(CC133="L1",CC133="L23",CC133="LIFT"),AR133&gt;0),SUMIFS($AR$7:$AR$1843,$CC$7:$CC$1843,CC133,$AU$7:$AU$1843,"&gt;"&amp;AU133)+SUMIFS($AR$7:$AR$1843,$CC$7:$CC$1843,CC133,$AU$7:$AU$1843,AU133,$BT$7:$BT$1843,"&lt;="&amp;BT133),"")</f>
        <v>94.4546703296703</v>
      </c>
      <c r="AW133" s="58" t="n">
        <f aca="false">IF(AV133="",0,MAX(0,MIN(1,(IF(CC133="L1",Parameter!$H$5,IF(CC133="L23",Parameter!$H$6+Parameter!$H$7,Parameter!$H$5+Parameter!$H$6+Parameter!$H$7))-(AV133-AR133))/AR133)))</f>
        <v>1</v>
      </c>
      <c r="AX133" s="50" t="n">
        <f aca="false">IF(LEFT(Cockpit!$O$5,1)="A",H133,IF(CE133=1,CF133,IF(LEFT(Cockpit!$O$5,1)="B",BC133,MAX(BC133,H133))))</f>
        <v>3976</v>
      </c>
      <c r="AY133" s="50" t="n">
        <f aca="false">IF(BW133=1,0,ROUNDUP(AX133/BV133,0))</f>
        <v>2</v>
      </c>
      <c r="AZ133" s="52" t="n">
        <f aca="false">IF(CL133&gt;0,CL133*MAX(1,AX133/X133),IF(BW133=1,IF(AX133&lt;=0,0,CA133*MAX(1,IF(H133&gt;0,AX133/H133,1))),IF(R133&gt;0,AY133/R133,0))/MAX(0.1,N(Parameter!$M$21)))</f>
        <v>0.0384615384615385</v>
      </c>
      <c r="BA133" s="50" t="n">
        <f aca="false">AZ133*BY133</f>
        <v>5.96153846153846</v>
      </c>
      <c r="BB133" s="50" t="n">
        <f aca="false">AX133*G133</f>
        <v>5168.8</v>
      </c>
      <c r="BC133" s="50" t="n">
        <f aca="false">ROUNDUP(MAX(J133/IF(CD133&gt;0,CD133,MAX(0.1,N(Cockpit!$O$6))),CG133)/BV133,0)*BV133</f>
        <v>3976</v>
      </c>
      <c r="BD133" s="51" t="n">
        <f aca="false">IF(BA133&gt;0,J133/BA133,-1)</f>
        <v>397.716129032258</v>
      </c>
      <c r="BE133" s="51" t="n">
        <f aca="false">IF(AND(OR(CC133="L1",CC133="L23",CC133="LIFT"),BA133&gt;0),SUMIFS($BA$7:$BA$1843,$CC$7:$CC$1843,CC133,$BD$7:$BD$1843,"&gt;"&amp;BD133)+SUMIFS($BA$7:$BA$1843,$CC$7:$CC$1843,CC133,$BD$7:$BD$1843,BD133,$BT$7:$BT$1843,"&lt;="&amp;BT133),"")</f>
        <v>101.906593406593</v>
      </c>
      <c r="BF133" s="58" t="n">
        <f aca="false">IF(BE133="",0,MAX(0,MIN(1,(IF(CC133="L1",Parameter!$H$5,IF(CC133="L23",Parameter!$H$6+Parameter!$H$7,Parameter!$H$5+Parameter!$H$6+Parameter!$H$7))-(BE133-BA133))/BA133)))</f>
        <v>1</v>
      </c>
      <c r="BG133" s="48" t="str">
        <f aca="false">IF(AI133&lt;=0,"",IF(CC133="Aussen","Aussenlager",IF(CC133="-","Nicht im Lift",IF(AN133&gt;=1,"Lift",IF(AN133&lt;=0,"Aussenlager","teilweise")))))</f>
        <v>Lift</v>
      </c>
      <c r="BH133" s="48" t="str">
        <f aca="false">IF(AR133&lt;=0,"",IF(CC133="Aussen","Aussenlager",IF(CC133="-","Nicht im Lift",IF(AW133&gt;=1,"Lift",IF(AW133&lt;=0,"Aussenlager","teilweise")))))</f>
        <v>Lift</v>
      </c>
      <c r="BI133" s="48" t="str">
        <f aca="false">IF(BA133&lt;=0,"",IF(CC133="Aussen","Aussenlager",IF(CC133="-","Nicht im Lift",IF(BF133&gt;=1,"Lift",IF(BF133&lt;=0,"Aussenlager","teilweise")))))</f>
        <v>Lift</v>
      </c>
      <c r="BJ133" s="48" t="str">
        <f aca="false">IF(A133="","",IF(BS133=1,"Neu; ","")&amp;IF(AND(BS133=0,BN133&lt;0),"negativer Bestand (Export "&amp;BN133&amp;"); ","")&amp;IF(J133&lt;=0,"Kein Verbrauch; ","")&amp;IF(CL133&gt;0,"Lift "&amp;W133&amp;" lt. Liftbericht (Fach "&amp;X133&amp;" Stk); ",IF(BX133=1,"Gebinde geschätzt ("&amp;T133&amp;"); ",IF(BW133=1,"Lose – Tablare geschätzt; ","")))&amp;IF(H133&gt;AT133,"Überbestand "&amp;ROUND(H133-AT133,0)&amp;" Stk / CHF "&amp;ROUND((H133-AT133)*G133,0)&amp;"; ","")&amp;IF(AND(CE133=1,CF133&lt;CG133),"MAX &lt; MB+LG; ","")&amp;IF(AND(CK133&gt;0,CJ133*10&gt;CK133),"zu hoch für Tablar; ","")&amp;IF(AND(BS133=0,OR(CE133=1,AA133&lt;&gt;"",U133&lt;&gt;"",V133&lt;&gt;"",AB133&lt;&gt;"")),"manuell übersteuert; ","")&amp;IF(AND(BW133=0,R133=0),"Gebinde unbekannt / Stellmass fehlt; ","")&amp;IF(AND(BW133=0,N(V133)&lt;=0,N(Q133)&lt;=0),"Menge pro Gebinde fehlt (Ist = 1 Gebinde); ","")&amp;BR133)</f>
        <v/>
      </c>
      <c r="BK133" s="48"/>
      <c r="BL133" s="48"/>
      <c r="BM133" s="55"/>
      <c r="BN133" s="50" t="n">
        <v>1387</v>
      </c>
      <c r="BO133" s="50" t="n">
        <v>670</v>
      </c>
      <c r="BP133" s="49" t="n">
        <v>1675.10000000001</v>
      </c>
      <c r="BQ133" s="50" t="n">
        <v>2371</v>
      </c>
      <c r="BR133" s="48"/>
      <c r="BS133" s="53" t="n">
        <v>0</v>
      </c>
      <c r="BT133" s="53" t="n">
        <v>133</v>
      </c>
      <c r="BU133" s="48" t="str">
        <f aca="false">IF(U133&lt;&gt;"",UPPER(TRIM(U133)),IF(BX133=1,UPPER(VLOOKUP(T133,Parameter!$I$27:$K$29,2,0)),IF(P133="","LOSE",P133)))</f>
        <v>S33</v>
      </c>
      <c r="BV133" s="50" t="n">
        <f aca="false">IF(BU133="LOSE",1,IF(N(V133)&gt;0,V133,IF(BX133=1,MAX(1,N(VLOOKUP(T133,Parameter!$I$27:$K$29,3,0)),H133,N(N133)),IF(N(Q133)&gt;0,Q133,MAX(1,H133)))))</f>
        <v>1988</v>
      </c>
      <c r="BW133" s="53" t="n">
        <f aca="false">IF(BU133="LOSE",1,0)</f>
        <v>0</v>
      </c>
      <c r="BX133" s="53" t="n">
        <f aca="false">IF(AND(U133="",OR(P133="",P133="LOSE"),T133&lt;&gt;"",N(S133)&lt;=0,ISNUMBER(MATCH(T133,Parameter!$I$27:$I$29,0))),1,0)</f>
        <v>0</v>
      </c>
      <c r="BY133" s="53" t="n">
        <f aca="false">IF(CL133&gt;0,INDEX(Parameter!$H$5:$H$7,W133)/INDEX(Parameter!$E$5:$E$7,W133),IF(AND(BW133=0,N(IFERROR(VLOOKUP(BU133,'Gebinde-Kategorie'!$A$5:$N$45,14,0),0))&gt;0),VLOOKUP(BU133,'Gebinde-Kategorie'!$A$5:$N$45,14,0)*10+Parameter!$M$23,Parameter!$M$24))</f>
        <v>155</v>
      </c>
      <c r="BZ133" s="48" t="str">
        <f aca="false">IF(AND(Parameter!$B$19="Ja",E133&lt;&gt;"",ISNUMBER(MATCH(E133,Parameter!$I$35:$I$52,0))),VLOOKUP(E133,Parameter!$I$35:$J$52,2,0),IFERROR(VLOOKUP(D133,Parameter!$A$35:$C$64,2,0),"Nein"))</f>
        <v>2+3</v>
      </c>
      <c r="CA133" s="52" t="n">
        <f aca="false">IF(BW133=0,0,IF(N(S133)&gt;0,S133,IFERROR(VLOOKUP(D133,Parameter!$A$35:$C$64,3,0)+0,0)))</f>
        <v>0</v>
      </c>
      <c r="CB133" s="48" t="n">
        <f aca="false">IF(AA133&lt;&gt;"",AA133,Z133)</f>
        <v>3</v>
      </c>
      <c r="CC133" s="48" t="str">
        <f aca="false">IF(OR(CB133=1,CB133=2,CB133=3),IF(Parameter!$E$27="Ja","LIFT",IF(CB133=1,"L1","L23")),IF(CB133="Aussen","Aussen","-"))</f>
        <v>LIFT</v>
      </c>
      <c r="CD133" s="59" t="n">
        <f aca="false">IF(N(AB133)&gt;0,AB133,0)</f>
        <v>0</v>
      </c>
      <c r="CE133" s="53" t="n">
        <f aca="false">IF(ISNUMBER(AE133),1,0)</f>
        <v>0</v>
      </c>
      <c r="CF133" s="50" t="n">
        <f aca="false">N(AE133)</f>
        <v>0</v>
      </c>
      <c r="CG133" s="50" t="n">
        <f aca="false">N(M133)+N(N133)</f>
        <v>2245</v>
      </c>
      <c r="CH133" s="50" t="n">
        <f aca="false">ROUNDUP(H133/BV133,0)</f>
        <v>2</v>
      </c>
      <c r="CI133" s="50" t="n">
        <f aca="false">ROUNDUP(CF133/BV133,0)</f>
        <v>0</v>
      </c>
      <c r="CJ133" s="53" t="n">
        <f aca="false">IF(BW133=1,0,IFERROR(VLOOKUP(BU133,'Gebinde-Kategorie'!$A$5:$N$45,5,0)+0,0))</f>
        <v>8</v>
      </c>
      <c r="CK133" s="53" t="n">
        <f aca="false">IFERROR(IF(OR(CB133=1,CB133=2,CB133=3),N(INDEX(Parameter!$I$5:$I$7,CB133)),0),0)</f>
        <v>0</v>
      </c>
      <c r="CL133" s="52" t="n">
        <f aca="false">IF(AND(Parameter!$B$21="Ja",ISNUMBER(W133),N(X133)&gt;0),IFERROR(N(INDEX(Parameter!$L$5:$L$7,W133))*INDEX(Parameter!$E$5:$E$7,W133)*X133/SUMIFS($X$7:$X$1843,$W$7:$W$1843,W133),0),0)</f>
        <v>0</v>
      </c>
    </row>
    <row r="134" customFormat="false" ht="15" hidden="false" customHeight="false" outlineLevel="0" collapsed="false">
      <c r="A134" s="48" t="s">
        <v>481</v>
      </c>
      <c r="B134" s="48" t="s">
        <v>305</v>
      </c>
      <c r="C134" s="48" t="s">
        <v>168</v>
      </c>
      <c r="D134" s="48" t="s">
        <v>188</v>
      </c>
      <c r="E134" s="48" t="s">
        <v>189</v>
      </c>
      <c r="F134" s="48" t="s">
        <v>222</v>
      </c>
      <c r="G134" s="49" t="n">
        <v>332.74</v>
      </c>
      <c r="H134" s="50" t="n">
        <f aca="false">MAX(0,IF(AND(Parameter!$B$21="Ja",ISNUMBER(Y134)),Y134,IF(Parameter!$B$20="Jahresanfang 2025 + Export",BO134+BN134,BN134)))</f>
        <v>22</v>
      </c>
      <c r="I134" s="50" t="n">
        <f aca="false">H134*G134</f>
        <v>7320.28</v>
      </c>
      <c r="J134" s="50" t="n">
        <f aca="false">BQ134*Parameter!$B$18</f>
        <v>7</v>
      </c>
      <c r="K134" s="51" t="n">
        <v>18.5</v>
      </c>
      <c r="L134" s="52" t="n">
        <v>0.378378378378378</v>
      </c>
      <c r="M134" s="50" t="n">
        <v>2</v>
      </c>
      <c r="N134" s="50" t="n">
        <v>5</v>
      </c>
      <c r="O134" s="53" t="n">
        <v>105</v>
      </c>
      <c r="P134" s="48" t="s">
        <v>306</v>
      </c>
      <c r="Q134" s="50" t="n">
        <v>16</v>
      </c>
      <c r="R134" s="53" t="n">
        <f aca="false">IF(BW134=1,0,IFERROR(VLOOKUP(BU134,'Gebinde-Kategorie'!$A$5:$N$45,13,0)+0,0))</f>
        <v>26</v>
      </c>
      <c r="S134" s="54"/>
      <c r="T134" s="55"/>
      <c r="U134" s="55"/>
      <c r="V134" s="55"/>
      <c r="W134" s="48"/>
      <c r="X134" s="50"/>
      <c r="Y134" s="50"/>
      <c r="Z134" s="48" t="n">
        <f aca="false">IF(A134="","",IF(AND(Parameter!$B$21="Ja",ISNUMBER(W134)),W134,IF(BZ134="2+3",IF(ISNUMBER(SEARCH("grosser Artikel",BR134)),2,IFERROR(VLOOKUP(BU134,Parameter!$F$35:$G$64,2,0),2)),IF(OR(BZ134="Nein",BZ134=""),"-",BZ134))))</f>
        <v>3</v>
      </c>
      <c r="AA134" s="55"/>
      <c r="AB134" s="56"/>
      <c r="AC134" s="50" t="n">
        <f aca="false">AT134</f>
        <v>16</v>
      </c>
      <c r="AD134" s="50" t="n">
        <f aca="false">MAX(AT134,H134)</f>
        <v>22</v>
      </c>
      <c r="AE134" s="57"/>
      <c r="AF134" s="50" t="n">
        <f aca="false">IF(LEFT(Cockpit!$C$5,1)="A",H134,IF(CE134=1,CF134,IF(LEFT(Cockpit!$C$5,1)="B",AK134,MAX(AK134,H134))))</f>
        <v>22</v>
      </c>
      <c r="AG134" s="50" t="n">
        <f aca="false">IF(BW134=1,0,ROUNDUP(AF134/BV134,0))</f>
        <v>2</v>
      </c>
      <c r="AH134" s="52" t="n">
        <f aca="false">IF(CL134&gt;0,CL134*MAX(1,AF134/X134),IF(BW134=1,IF(AF134&lt;=0,0,CA134*MAX(1,IF(H134&gt;0,AF134/H134,1))),IF(R134&gt;0,AG134/R134,0))/MAX(0.1,N(Parameter!$M$21)))</f>
        <v>0.0769230769230769</v>
      </c>
      <c r="AI134" s="50" t="n">
        <f aca="false">AH134*BY134</f>
        <v>11.9230769230769</v>
      </c>
      <c r="AJ134" s="50" t="n">
        <f aca="false">AF134*G134</f>
        <v>7320.28</v>
      </c>
      <c r="AK134" s="50" t="n">
        <f aca="false">ROUNDUP(MAX(J134/IF(CD134&gt;0,CD134,MAX(0.1,N(Cockpit!$C$6))),CG134)/BV134,0)*BV134</f>
        <v>16</v>
      </c>
      <c r="AL134" s="51" t="n">
        <f aca="false">IF(AI134&gt;0,J134/AI134,-1)</f>
        <v>0.587096774193548</v>
      </c>
      <c r="AM134" s="51" t="n">
        <f aca="false">IF(AND(OR(CC134="L1",CC134="L23",CC134="LIFT"),AI134&gt;0),SUMIFS($AI$7:$AI$1843,$CC$7:$CC$1843,CC134,$AL$7:$AL$1843,"&gt;"&amp;AL134)+SUMIFS($AI$7:$AI$1843,$CC$7:$CC$1843,CC134,$AL$7:$AL$1843,AL134,$BT$7:$BT$1843,"&lt;="&amp;BT134),"")</f>
        <v>9369.79255396205</v>
      </c>
      <c r="AN134" s="58" t="n">
        <f aca="false">IF(AM134="",0,MAX(0,MIN(1,(IF(CC134="L1",Parameter!$H$5,IF(CC134="L23",Parameter!$H$6+Parameter!$H$7,Parameter!$H$5+Parameter!$H$6+Parameter!$H$7))-(AM134-AI134))/AI134)))</f>
        <v>1</v>
      </c>
      <c r="AO134" s="50" t="n">
        <f aca="false">IF(LEFT(Cockpit!$I$5,1)="A",H134,IF(CE134=1,CF134,IF(LEFT(Cockpit!$I$5,1)="B",AT134,MAX(AT134,H134))))</f>
        <v>22</v>
      </c>
      <c r="AP134" s="50" t="n">
        <f aca="false">IF(BW134=1,0,ROUNDUP(AO134/BV134,0))</f>
        <v>2</v>
      </c>
      <c r="AQ134" s="52" t="n">
        <f aca="false">IF(CL134&gt;0,CL134*MAX(1,AO134/X134),IF(BW134=1,IF(AO134&lt;=0,0,CA134*MAX(1,IF(H134&gt;0,AO134/H134,1))),IF(R134&gt;0,AP134/R134,0))/MAX(0.1,N(Parameter!$M$21)))</f>
        <v>0.0769230769230769</v>
      </c>
      <c r="AR134" s="50" t="n">
        <f aca="false">AQ134*BY134</f>
        <v>11.9230769230769</v>
      </c>
      <c r="AS134" s="50" t="n">
        <f aca="false">AO134*G134</f>
        <v>7320.28</v>
      </c>
      <c r="AT134" s="50" t="n">
        <f aca="false">ROUNDUP(MAX(J134/IF(CD134&gt;0,CD134,MAX(0.1,N(Cockpit!$I$6))),CG134)/BV134,0)*BV134</f>
        <v>16</v>
      </c>
      <c r="AU134" s="51" t="n">
        <f aca="false">IF(AR134&gt;0,J134/AR134,-1)</f>
        <v>0.587096774193548</v>
      </c>
      <c r="AV134" s="51" t="n">
        <f aca="false">IF(AND(OR(CC134="L1",CC134="L23",CC134="LIFT"),AR134&gt;0),SUMIFS($AR$7:$AR$1843,$CC$7:$CC$1843,CC134,$AU$7:$AU$1843,"&gt;"&amp;AU134)+SUMIFS($AR$7:$AR$1843,$CC$7:$CC$1843,CC134,$AU$7:$AU$1843,AU134,$BT$7:$BT$1843,"&lt;="&amp;BT134),"")</f>
        <v>12961.3273809524</v>
      </c>
      <c r="AW134" s="58" t="n">
        <f aca="false">IF(AV134="",0,MAX(0,MIN(1,(IF(CC134="L1",Parameter!$H$5,IF(CC134="L23",Parameter!$H$6+Parameter!$H$7,Parameter!$H$5+Parameter!$H$6+Parameter!$H$7))-(AV134-AR134))/AR134)))</f>
        <v>1</v>
      </c>
      <c r="AX134" s="50" t="n">
        <f aca="false">IF(LEFT(Cockpit!$O$5,1)="A",H134,IF(CE134=1,CF134,IF(LEFT(Cockpit!$O$5,1)="B",BC134,MAX(BC134,H134))))</f>
        <v>22</v>
      </c>
      <c r="AY134" s="50" t="n">
        <f aca="false">IF(BW134=1,0,ROUNDUP(AX134/BV134,0))</f>
        <v>2</v>
      </c>
      <c r="AZ134" s="52" t="n">
        <f aca="false">IF(CL134&gt;0,CL134*MAX(1,AX134/X134),IF(BW134=1,IF(AX134&lt;=0,0,CA134*MAX(1,IF(H134&gt;0,AX134/H134,1))),IF(R134&gt;0,AY134/R134,0))/MAX(0.1,N(Parameter!$M$21)))</f>
        <v>0.0769230769230769</v>
      </c>
      <c r="BA134" s="50" t="n">
        <f aca="false">AZ134*BY134</f>
        <v>11.9230769230769</v>
      </c>
      <c r="BB134" s="50" t="n">
        <f aca="false">AX134*G134</f>
        <v>7320.28</v>
      </c>
      <c r="BC134" s="50" t="n">
        <f aca="false">ROUNDUP(MAX(J134/IF(CD134&gt;0,CD134,MAX(0.1,N(Cockpit!$O$6))),CG134)/BV134,0)*BV134</f>
        <v>16</v>
      </c>
      <c r="BD134" s="51" t="n">
        <f aca="false">IF(BA134&gt;0,J134/BA134,-1)</f>
        <v>0.587096774193548</v>
      </c>
      <c r="BE134" s="51" t="n">
        <f aca="false">IF(AND(OR(CC134="L1",CC134="L23",CC134="LIFT"),BA134&gt;0),SUMIFS($BA$7:$BA$1843,$CC$7:$CC$1843,CC134,$BD$7:$BD$1843,"&gt;"&amp;BD134)+SUMIFS($BA$7:$BA$1843,$CC$7:$CC$1843,CC134,$BD$7:$BD$1843,BD134,$BT$7:$BT$1843,"&lt;="&amp;BT134),"")</f>
        <v>11884.9010989011</v>
      </c>
      <c r="BF134" s="58" t="n">
        <f aca="false">IF(BE134="",0,MAX(0,MIN(1,(IF(CC134="L1",Parameter!$H$5,IF(CC134="L23",Parameter!$H$6+Parameter!$H$7,Parameter!$H$5+Parameter!$H$6+Parameter!$H$7))-(BE134-BA134))/BA134)))</f>
        <v>1</v>
      </c>
      <c r="BG134" s="48" t="str">
        <f aca="false">IF(AI134&lt;=0,"",IF(CC134="Aussen","Aussenlager",IF(CC134="-","Nicht im Lift",IF(AN134&gt;=1,"Lift",IF(AN134&lt;=0,"Aussenlager","teilweise")))))</f>
        <v>Lift</v>
      </c>
      <c r="BH134" s="48" t="str">
        <f aca="false">IF(AR134&lt;=0,"",IF(CC134="Aussen","Aussenlager",IF(CC134="-","Nicht im Lift",IF(AW134&gt;=1,"Lift",IF(AW134&lt;=0,"Aussenlager","teilweise")))))</f>
        <v>Lift</v>
      </c>
      <c r="BI134" s="48" t="str">
        <f aca="false">IF(BA134&lt;=0,"",IF(CC134="Aussen","Aussenlager",IF(CC134="-","Nicht im Lift",IF(BF134&gt;=1,"Lift",IF(BF134&lt;=0,"Aussenlager","teilweise")))))</f>
        <v>Lift</v>
      </c>
      <c r="BJ134" s="48" t="str">
        <f aca="false">IF(A134="","",IF(BS134=1,"Neu; ","")&amp;IF(AND(BS134=0,BN134&lt;0),"negativer Bestand (Export "&amp;BN134&amp;"); ","")&amp;IF(J134&lt;=0,"Kein Verbrauch; ","")&amp;IF(CL134&gt;0,"Lift "&amp;W134&amp;" lt. Liftbericht (Fach "&amp;X134&amp;" Stk); ",IF(BX134=1,"Gebinde geschätzt ("&amp;T134&amp;"); ",IF(BW134=1,"Lose – Tablare geschätzt; ","")))&amp;IF(H134&gt;AT134,"Überbestand "&amp;ROUND(H134-AT134,0)&amp;" Stk / CHF "&amp;ROUND((H134-AT134)*G134,0)&amp;"; ","")&amp;IF(AND(CE134=1,CF134&lt;CG134),"MAX &lt; MB+LG; ","")&amp;IF(AND(CK134&gt;0,CJ134*10&gt;CK134),"zu hoch für Tablar; ","")&amp;IF(AND(BS134=0,OR(CE134=1,AA134&lt;&gt;"",U134&lt;&gt;"",V134&lt;&gt;"",AB134&lt;&gt;"")),"manuell übersteuert; ","")&amp;IF(AND(BW134=0,R134=0),"Gebinde unbekannt / Stellmass fehlt; ","")&amp;IF(AND(BW134=0,N(V134)&lt;=0,N(Q134)&lt;=0),"Menge pro Gebinde fehlt (Ist = 1 Gebinde); ","")&amp;BR134)</f>
        <v>Überbestand 6 Stk / CHF 1996; </v>
      </c>
      <c r="BK134" s="48"/>
      <c r="BL134" s="48"/>
      <c r="BM134" s="55"/>
      <c r="BN134" s="50" t="n">
        <v>5</v>
      </c>
      <c r="BO134" s="50" t="n">
        <v>17</v>
      </c>
      <c r="BP134" s="49" t="n">
        <v>1663.19</v>
      </c>
      <c r="BQ134" s="50" t="n">
        <v>7</v>
      </c>
      <c r="BR134" s="48"/>
      <c r="BS134" s="53" t="n">
        <v>0</v>
      </c>
      <c r="BT134" s="53" t="n">
        <v>134</v>
      </c>
      <c r="BU134" s="48" t="str">
        <f aca="false">IF(U134&lt;&gt;"",UPPER(TRIM(U134)),IF(BX134=1,UPPER(VLOOKUP(T134,Parameter!$I$27:$K$29,2,0)),IF(P134="","LOSE",P134)))</f>
        <v>S51</v>
      </c>
      <c r="BV134" s="50" t="n">
        <f aca="false">IF(BU134="LOSE",1,IF(N(V134)&gt;0,V134,IF(BX134=1,MAX(1,N(VLOOKUP(T134,Parameter!$I$27:$K$29,3,0)),H134,N(N134)),IF(N(Q134)&gt;0,Q134,MAX(1,H134)))))</f>
        <v>16</v>
      </c>
      <c r="BW134" s="53" t="n">
        <f aca="false">IF(BU134="LOSE",1,0)</f>
        <v>0</v>
      </c>
      <c r="BX134" s="53" t="n">
        <f aca="false">IF(AND(U134="",OR(P134="",P134="LOSE"),T134&lt;&gt;"",N(S134)&lt;=0,ISNUMBER(MATCH(T134,Parameter!$I$27:$I$29,0))),1,0)</f>
        <v>0</v>
      </c>
      <c r="BY134" s="53" t="n">
        <f aca="false">IF(CL134&gt;0,INDEX(Parameter!$H$5:$H$7,W134)/INDEX(Parameter!$E$5:$E$7,W134),IF(AND(BW134=0,N(IFERROR(VLOOKUP(BU134,'Gebinde-Kategorie'!$A$5:$N$45,14,0),0))&gt;0),VLOOKUP(BU134,'Gebinde-Kategorie'!$A$5:$N$45,14,0)*10+Parameter!$M$23,Parameter!$M$24))</f>
        <v>155</v>
      </c>
      <c r="BZ134" s="48" t="str">
        <f aca="false">IF(AND(Parameter!$B$19="Ja",E134&lt;&gt;"",ISNUMBER(MATCH(E134,Parameter!$I$35:$I$52,0))),VLOOKUP(E134,Parameter!$I$35:$J$52,2,0),IFERROR(VLOOKUP(D134,Parameter!$A$35:$C$64,2,0),"Nein"))</f>
        <v>2+3</v>
      </c>
      <c r="CA134" s="52" t="n">
        <f aca="false">IF(BW134=0,0,IF(N(S134)&gt;0,S134,IFERROR(VLOOKUP(D134,Parameter!$A$35:$C$64,3,0)+0,0)))</f>
        <v>0</v>
      </c>
      <c r="CB134" s="48" t="n">
        <f aca="false">IF(AA134&lt;&gt;"",AA134,Z134)</f>
        <v>3</v>
      </c>
      <c r="CC134" s="48" t="str">
        <f aca="false">IF(OR(CB134=1,CB134=2,CB134=3),IF(Parameter!$E$27="Ja","LIFT",IF(CB134=1,"L1","L23")),IF(CB134="Aussen","Aussen","-"))</f>
        <v>LIFT</v>
      </c>
      <c r="CD134" s="59" t="n">
        <f aca="false">IF(N(AB134)&gt;0,AB134,0)</f>
        <v>0</v>
      </c>
      <c r="CE134" s="53" t="n">
        <f aca="false">IF(ISNUMBER(AE134),1,0)</f>
        <v>0</v>
      </c>
      <c r="CF134" s="50" t="n">
        <f aca="false">N(AE134)</f>
        <v>0</v>
      </c>
      <c r="CG134" s="50" t="n">
        <f aca="false">N(M134)+N(N134)</f>
        <v>7</v>
      </c>
      <c r="CH134" s="50" t="n">
        <f aca="false">ROUNDUP(H134/BV134,0)</f>
        <v>2</v>
      </c>
      <c r="CI134" s="50" t="n">
        <f aca="false">ROUNDUP(CF134/BV134,0)</f>
        <v>0</v>
      </c>
      <c r="CJ134" s="53" t="n">
        <f aca="false">IF(BW134=1,0,IFERROR(VLOOKUP(BU134,'Gebinde-Kategorie'!$A$5:$N$45,5,0)+0,0))</f>
        <v>11</v>
      </c>
      <c r="CK134" s="53" t="n">
        <f aca="false">IFERROR(IF(OR(CB134=1,CB134=2,CB134=3),N(INDEX(Parameter!$I$5:$I$7,CB134)),0),0)</f>
        <v>0</v>
      </c>
      <c r="CL134" s="52" t="n">
        <f aca="false">IF(AND(Parameter!$B$21="Ja",ISNUMBER(W134),N(X134)&gt;0),IFERROR(N(INDEX(Parameter!$L$5:$L$7,W134))*INDEX(Parameter!$E$5:$E$7,W134)*X134/SUMIFS($X$7:$X$1843,$W$7:$W$1843,W134),0),0)</f>
        <v>0</v>
      </c>
    </row>
    <row r="135" customFormat="false" ht="15" hidden="false" customHeight="false" outlineLevel="0" collapsed="false">
      <c r="A135" s="48" t="s">
        <v>482</v>
      </c>
      <c r="B135" s="48" t="s">
        <v>351</v>
      </c>
      <c r="C135" s="48" t="s">
        <v>168</v>
      </c>
      <c r="D135" s="48" t="s">
        <v>177</v>
      </c>
      <c r="E135" s="48" t="s">
        <v>177</v>
      </c>
      <c r="F135" s="48" t="s">
        <v>222</v>
      </c>
      <c r="G135" s="49" t="n">
        <v>112.45</v>
      </c>
      <c r="H135" s="50" t="n">
        <f aca="false">MAX(0,IF(AND(Parameter!$B$21="Ja",ISNUMBER(Y135)),Y135,IF(Parameter!$B$20="Jahresanfang 2025 + Export",BO135+BN135,BN135)))</f>
        <v>126</v>
      </c>
      <c r="I135" s="50" t="n">
        <f aca="false">H135*G135</f>
        <v>14168.7</v>
      </c>
      <c r="J135" s="50" t="n">
        <f aca="false">BQ135*Parameter!$B$18</f>
        <v>315</v>
      </c>
      <c r="K135" s="51" t="n">
        <v>124.5</v>
      </c>
      <c r="L135" s="52" t="n">
        <v>2.53012048192771</v>
      </c>
      <c r="M135" s="50" t="n">
        <v>18</v>
      </c>
      <c r="N135" s="50" t="n">
        <v>100</v>
      </c>
      <c r="O135" s="53" t="n">
        <v>21</v>
      </c>
      <c r="P135" s="48" t="s">
        <v>178</v>
      </c>
      <c r="Q135" s="50" t="n">
        <v>60</v>
      </c>
      <c r="R135" s="53" t="n">
        <f aca="false">IF(BW135=1,0,IFERROR(VLOOKUP(BU135,'Gebinde-Kategorie'!$A$5:$N$45,13,0)+0,0))</f>
        <v>6</v>
      </c>
      <c r="S135" s="54"/>
      <c r="T135" s="55"/>
      <c r="U135" s="55"/>
      <c r="V135" s="55"/>
      <c r="W135" s="48"/>
      <c r="X135" s="50"/>
      <c r="Y135" s="50"/>
      <c r="Z135" s="48" t="str">
        <f aca="false">IF(A135="","",IF(AND(Parameter!$B$21="Ja",ISNUMBER(W135)),W135,IF(BZ135="2+3",IF(ISNUMBER(SEARCH("grosser Artikel",BR135)),2,IFERROR(VLOOKUP(BU135,Parameter!$F$35:$G$64,2,0),2)),IF(OR(BZ135="Nein",BZ135=""),"-",BZ135))))</f>
        <v>-</v>
      </c>
      <c r="AA135" s="55"/>
      <c r="AB135" s="56"/>
      <c r="AC135" s="50" t="n">
        <f aca="false">AT135</f>
        <v>180</v>
      </c>
      <c r="AD135" s="50" t="n">
        <f aca="false">MAX(AT135,H135)</f>
        <v>180</v>
      </c>
      <c r="AE135" s="57"/>
      <c r="AF135" s="50" t="n">
        <f aca="false">IF(LEFT(Cockpit!$C$5,1)="A",H135,IF(CE135=1,CF135,IF(LEFT(Cockpit!$C$5,1)="B",AK135,MAX(AK135,H135))))</f>
        <v>126</v>
      </c>
      <c r="AG135" s="50" t="n">
        <f aca="false">IF(BW135=1,0,ROUNDUP(AF135/BV135,0))</f>
        <v>3</v>
      </c>
      <c r="AH135" s="52" t="n">
        <f aca="false">IF(CL135&gt;0,CL135*MAX(1,AF135/X135),IF(BW135=1,IF(AF135&lt;=0,0,CA135*MAX(1,IF(H135&gt;0,AF135/H135,1))),IF(R135&gt;0,AG135/R135,0))/MAX(0.1,N(Parameter!$M$21)))</f>
        <v>0.5</v>
      </c>
      <c r="AI135" s="50" t="n">
        <f aca="false">AH135*BY135</f>
        <v>117.5</v>
      </c>
      <c r="AJ135" s="50" t="n">
        <f aca="false">AF135*G135</f>
        <v>14168.7</v>
      </c>
      <c r="AK135" s="50" t="n">
        <f aca="false">ROUNDUP(MAX(J135/IF(CD135&gt;0,CD135,MAX(0.1,N(Cockpit!$C$6))),CG135)/BV135,0)*BV135</f>
        <v>180</v>
      </c>
      <c r="AL135" s="51" t="n">
        <f aca="false">IF(AI135&gt;0,J135/AI135,-1)</f>
        <v>2.68085106382979</v>
      </c>
      <c r="AM135" s="51" t="str">
        <f aca="false">IF(AND(OR(CC135="L1",CC135="L23",CC135="LIFT"),AI135&gt;0),SUMIFS($AI$7:$AI$1843,$CC$7:$CC$1843,CC135,$AL$7:$AL$1843,"&gt;"&amp;AL135)+SUMIFS($AI$7:$AI$1843,$CC$7:$CC$1843,CC135,$AL$7:$AL$1843,AL135,$BT$7:$BT$1843,"&lt;="&amp;BT135),"")</f>
        <v/>
      </c>
      <c r="AN135" s="58" t="n">
        <f aca="false">IF(AM135="",0,MAX(0,MIN(1,(IF(CC135="L1",Parameter!$H$5,IF(CC135="L23",Parameter!$H$6+Parameter!$H$7,Parameter!$H$5+Parameter!$H$6+Parameter!$H$7))-(AM135-AI135))/AI135)))</f>
        <v>0</v>
      </c>
      <c r="AO135" s="50" t="n">
        <f aca="false">IF(LEFT(Cockpit!$I$5,1)="A",H135,IF(CE135=1,CF135,IF(LEFT(Cockpit!$I$5,1)="B",AT135,MAX(AT135,H135))))</f>
        <v>180</v>
      </c>
      <c r="AP135" s="50" t="n">
        <f aca="false">IF(BW135=1,0,ROUNDUP(AO135/BV135,0))</f>
        <v>3</v>
      </c>
      <c r="AQ135" s="52" t="n">
        <f aca="false">IF(CL135&gt;0,CL135*MAX(1,AO135/X135),IF(BW135=1,IF(AO135&lt;=0,0,CA135*MAX(1,IF(H135&gt;0,AO135/H135,1))),IF(R135&gt;0,AP135/R135,0))/MAX(0.1,N(Parameter!$M$21)))</f>
        <v>0.5</v>
      </c>
      <c r="AR135" s="50" t="n">
        <f aca="false">AQ135*BY135</f>
        <v>117.5</v>
      </c>
      <c r="AS135" s="50" t="n">
        <f aca="false">AO135*G135</f>
        <v>20241</v>
      </c>
      <c r="AT135" s="50" t="n">
        <f aca="false">ROUNDUP(MAX(J135/IF(CD135&gt;0,CD135,MAX(0.1,N(Cockpit!$I$6))),CG135)/BV135,0)*BV135</f>
        <v>180</v>
      </c>
      <c r="AU135" s="51" t="n">
        <f aca="false">IF(AR135&gt;0,J135/AR135,-1)</f>
        <v>2.68085106382979</v>
      </c>
      <c r="AV135" s="51" t="str">
        <f aca="false">IF(AND(OR(CC135="L1",CC135="L23",CC135="LIFT"),AR135&gt;0),SUMIFS($AR$7:$AR$1843,$CC$7:$CC$1843,CC135,$AU$7:$AU$1843,"&gt;"&amp;AU135)+SUMIFS($AR$7:$AR$1843,$CC$7:$CC$1843,CC135,$AU$7:$AU$1843,AU135,$BT$7:$BT$1843,"&lt;="&amp;BT135),"")</f>
        <v/>
      </c>
      <c r="AW135" s="58" t="n">
        <f aca="false">IF(AV135="",0,MAX(0,MIN(1,(IF(CC135="L1",Parameter!$H$5,IF(CC135="L23",Parameter!$H$6+Parameter!$H$7,Parameter!$H$5+Parameter!$H$6+Parameter!$H$7))-(AV135-AR135))/AR135)))</f>
        <v>0</v>
      </c>
      <c r="AX135" s="50" t="n">
        <f aca="false">IF(LEFT(Cockpit!$O$5,1)="A",H135,IF(CE135=1,CF135,IF(LEFT(Cockpit!$O$5,1)="B",BC135,MAX(BC135,H135))))</f>
        <v>126</v>
      </c>
      <c r="AY135" s="50" t="n">
        <f aca="false">IF(BW135=1,0,ROUNDUP(AX135/BV135,0))</f>
        <v>3</v>
      </c>
      <c r="AZ135" s="52" t="n">
        <f aca="false">IF(CL135&gt;0,CL135*MAX(1,AX135/X135),IF(BW135=1,IF(AX135&lt;=0,0,CA135*MAX(1,IF(H135&gt;0,AX135/H135,1))),IF(R135&gt;0,AY135/R135,0))/MAX(0.1,N(Parameter!$M$21)))</f>
        <v>0.5</v>
      </c>
      <c r="BA135" s="50" t="n">
        <f aca="false">AZ135*BY135</f>
        <v>117.5</v>
      </c>
      <c r="BB135" s="50" t="n">
        <f aca="false">AX135*G135</f>
        <v>14168.7</v>
      </c>
      <c r="BC135" s="50" t="n">
        <f aca="false">ROUNDUP(MAX(J135/IF(CD135&gt;0,CD135,MAX(0.1,N(Cockpit!$O$6))),CG135)/BV135,0)*BV135</f>
        <v>120</v>
      </c>
      <c r="BD135" s="51" t="n">
        <f aca="false">IF(BA135&gt;0,J135/BA135,-1)</f>
        <v>2.68085106382979</v>
      </c>
      <c r="BE135" s="51" t="str">
        <f aca="false">IF(AND(OR(CC135="L1",CC135="L23",CC135="LIFT"),BA135&gt;0),SUMIFS($BA$7:$BA$1843,$CC$7:$CC$1843,CC135,$BD$7:$BD$1843,"&gt;"&amp;BD135)+SUMIFS($BA$7:$BA$1843,$CC$7:$CC$1843,CC135,$BD$7:$BD$1843,BD135,$BT$7:$BT$1843,"&lt;="&amp;BT135),"")</f>
        <v/>
      </c>
      <c r="BF135" s="58" t="n">
        <f aca="false">IF(BE135="",0,MAX(0,MIN(1,(IF(CC135="L1",Parameter!$H$5,IF(CC135="L23",Parameter!$H$6+Parameter!$H$7,Parameter!$H$5+Parameter!$H$6+Parameter!$H$7))-(BE135-BA135))/BA135)))</f>
        <v>0</v>
      </c>
      <c r="BG135" s="48" t="str">
        <f aca="false">IF(AI135&lt;=0,"",IF(CC135="Aussen","Aussenlager",IF(CC135="-","Nicht im Lift",IF(AN135&gt;=1,"Lift",IF(AN135&lt;=0,"Aussenlager","teilweise")))))</f>
        <v>Nicht im Lift</v>
      </c>
      <c r="BH135" s="48" t="str">
        <f aca="false">IF(AR135&lt;=0,"",IF(CC135="Aussen","Aussenlager",IF(CC135="-","Nicht im Lift",IF(AW135&gt;=1,"Lift",IF(AW135&lt;=0,"Aussenlager","teilweise")))))</f>
        <v>Nicht im Lift</v>
      </c>
      <c r="BI135" s="48" t="str">
        <f aca="false">IF(BA135&lt;=0,"",IF(CC135="Aussen","Aussenlager",IF(CC135="-","Nicht im Lift",IF(BF135&gt;=1,"Lift",IF(BF135&lt;=0,"Aussenlager","teilweise")))))</f>
        <v>Nicht im Lift</v>
      </c>
      <c r="BJ135" s="48" t="str">
        <f aca="false">IF(A135="","",IF(BS135=1,"Neu; ","")&amp;IF(AND(BS135=0,BN135&lt;0),"negativer Bestand (Export "&amp;BN135&amp;"); ","")&amp;IF(J135&lt;=0,"Kein Verbrauch; ","")&amp;IF(CL135&gt;0,"Lift "&amp;W135&amp;" lt. Liftbericht (Fach "&amp;X135&amp;" Stk); ",IF(BX135=1,"Gebinde geschätzt ("&amp;T135&amp;"); ",IF(BW135=1,"Lose – Tablare geschätzt; ","")))&amp;IF(H135&gt;AT135,"Überbestand "&amp;ROUND(H135-AT135,0)&amp;" Stk / CHF "&amp;ROUND((H135-AT135)*G135,0)&amp;"; ","")&amp;IF(AND(CE135=1,CF135&lt;CG135),"MAX &lt; MB+LG; ","")&amp;IF(AND(CK135&gt;0,CJ135*10&gt;CK135),"zu hoch für Tablar; ","")&amp;IF(AND(BS135=0,OR(CE135=1,AA135&lt;&gt;"",U135&lt;&gt;"",V135&lt;&gt;"",AB135&lt;&gt;"")),"manuell übersteuert; ","")&amp;IF(AND(BW135=0,R135=0),"Gebinde unbekannt / Stellmass fehlt; ","")&amp;IF(AND(BW135=0,N(V135)&lt;=0,N(Q135)&lt;=0),"Menge pro Gebinde fehlt (Ist = 1 Gebinde); ","")&amp;BR135)</f>
        <v/>
      </c>
      <c r="BK135" s="48"/>
      <c r="BL135" s="48"/>
      <c r="BM135" s="55"/>
      <c r="BN135" s="50" t="n">
        <v>20</v>
      </c>
      <c r="BO135" s="50" t="n">
        <v>106</v>
      </c>
      <c r="BP135" s="49" t="n">
        <v>1645.25000000001</v>
      </c>
      <c r="BQ135" s="50" t="n">
        <v>315</v>
      </c>
      <c r="BR135" s="48"/>
      <c r="BS135" s="53" t="n">
        <v>0</v>
      </c>
      <c r="BT135" s="53" t="n">
        <v>135</v>
      </c>
      <c r="BU135" s="48" t="str">
        <f aca="false">IF(U135&lt;&gt;"",UPPER(TRIM(U135)),IF(BX135=1,UPPER(VLOOKUP(T135,Parameter!$I$27:$K$29,2,0)),IF(P135="","LOSE",P135)))</f>
        <v>S71</v>
      </c>
      <c r="BV135" s="50" t="n">
        <f aca="false">IF(BU135="LOSE",1,IF(N(V135)&gt;0,V135,IF(BX135=1,MAX(1,N(VLOOKUP(T135,Parameter!$I$27:$K$29,3,0)),H135,N(N135)),IF(N(Q135)&gt;0,Q135,MAX(1,H135)))))</f>
        <v>60</v>
      </c>
      <c r="BW135" s="53" t="n">
        <f aca="false">IF(BU135="LOSE",1,0)</f>
        <v>0</v>
      </c>
      <c r="BX135" s="53" t="n">
        <f aca="false">IF(AND(U135="",OR(P135="",P135="LOSE"),T135&lt;&gt;"",N(S135)&lt;=0,ISNUMBER(MATCH(T135,Parameter!$I$27:$I$29,0))),1,0)</f>
        <v>0</v>
      </c>
      <c r="BY135" s="53" t="n">
        <f aca="false">IF(CL135&gt;0,INDEX(Parameter!$H$5:$H$7,W135)/INDEX(Parameter!$E$5:$E$7,W135),IF(AND(BW135=0,N(IFERROR(VLOOKUP(BU135,'Gebinde-Kategorie'!$A$5:$N$45,14,0),0))&gt;0),VLOOKUP(BU135,'Gebinde-Kategorie'!$A$5:$N$45,14,0)*10+Parameter!$M$23,Parameter!$M$24))</f>
        <v>235</v>
      </c>
      <c r="BZ135" s="48" t="str">
        <f aca="false">IF(AND(Parameter!$B$19="Ja",E135&lt;&gt;"",ISNUMBER(MATCH(E135,Parameter!$I$35:$I$52,0))),VLOOKUP(E135,Parameter!$I$35:$J$52,2,0),IFERROR(VLOOKUP(D135,Parameter!$A$35:$C$64,2,0),"Nein"))</f>
        <v>Nein</v>
      </c>
      <c r="CA135" s="52" t="n">
        <f aca="false">IF(BW135=0,0,IF(N(S135)&gt;0,S135,IFERROR(VLOOKUP(D135,Parameter!$A$35:$C$64,3,0)+0,0)))</f>
        <v>0</v>
      </c>
      <c r="CB135" s="48" t="str">
        <f aca="false">IF(AA135&lt;&gt;"",AA135,Z135)</f>
        <v>-</v>
      </c>
      <c r="CC135" s="48" t="str">
        <f aca="false">IF(OR(CB135=1,CB135=2,CB135=3),IF(Parameter!$E$27="Ja","LIFT",IF(CB135=1,"L1","L23")),IF(CB135="Aussen","Aussen","-"))</f>
        <v>-</v>
      </c>
      <c r="CD135" s="59" t="n">
        <f aca="false">IF(N(AB135)&gt;0,AB135,0)</f>
        <v>0</v>
      </c>
      <c r="CE135" s="53" t="n">
        <f aca="false">IF(ISNUMBER(AE135),1,0)</f>
        <v>0</v>
      </c>
      <c r="CF135" s="50" t="n">
        <f aca="false">N(AE135)</f>
        <v>0</v>
      </c>
      <c r="CG135" s="50" t="n">
        <f aca="false">N(M135)+N(N135)</f>
        <v>118</v>
      </c>
      <c r="CH135" s="50" t="n">
        <f aca="false">ROUNDUP(H135/BV135,0)</f>
        <v>3</v>
      </c>
      <c r="CI135" s="50" t="n">
        <f aca="false">ROUNDUP(CF135/BV135,0)</f>
        <v>0</v>
      </c>
      <c r="CJ135" s="53" t="n">
        <f aca="false">IF(BW135=1,0,IFERROR(VLOOKUP(BU135,'Gebinde-Kategorie'!$A$5:$N$45,5,0)+0,0))</f>
        <v>20</v>
      </c>
      <c r="CK135" s="53" t="n">
        <f aca="false">IFERROR(IF(OR(CB135=1,CB135=2,CB135=3),N(INDEX(Parameter!$I$5:$I$7,CB135)),0),0)</f>
        <v>0</v>
      </c>
      <c r="CL135" s="52" t="n">
        <f aca="false">IF(AND(Parameter!$B$21="Ja",ISNUMBER(W135),N(X135)&gt;0),IFERROR(N(INDEX(Parameter!$L$5:$L$7,W135))*INDEX(Parameter!$E$5:$E$7,W135)*X135/SUMIFS($X$7:$X$1843,$W$7:$W$1843,W135),0),0)</f>
        <v>0</v>
      </c>
    </row>
    <row r="136" customFormat="false" ht="15" hidden="false" customHeight="false" outlineLevel="0" collapsed="false">
      <c r="A136" s="48" t="s">
        <v>483</v>
      </c>
      <c r="B136" s="48" t="s">
        <v>484</v>
      </c>
      <c r="C136" s="48" t="s">
        <v>168</v>
      </c>
      <c r="D136" s="48" t="s">
        <v>177</v>
      </c>
      <c r="E136" s="48"/>
      <c r="F136" s="48" t="s">
        <v>222</v>
      </c>
      <c r="G136" s="49" t="n">
        <v>96.49</v>
      </c>
      <c r="H136" s="50" t="n">
        <f aca="false">MAX(0,IF(AND(Parameter!$B$21="Ja",ISNUMBER(Y136)),Y136,IF(Parameter!$B$20="Jahresanfang 2025 + Export",BO136+BN136,BN136)))</f>
        <v>49</v>
      </c>
      <c r="I136" s="50" t="n">
        <f aca="false">H136*G136</f>
        <v>4728.01</v>
      </c>
      <c r="J136" s="50" t="n">
        <f aca="false">BQ136*Parameter!$B$18</f>
        <v>151</v>
      </c>
      <c r="K136" s="51" t="n">
        <v>34.5</v>
      </c>
      <c r="L136" s="52" t="n">
        <v>4.3768115942029</v>
      </c>
      <c r="M136" s="50" t="n">
        <v>15</v>
      </c>
      <c r="N136" s="50" t="n">
        <v>60</v>
      </c>
      <c r="O136" s="53" t="n">
        <v>28</v>
      </c>
      <c r="P136" s="48" t="s">
        <v>178</v>
      </c>
      <c r="Q136" s="50" t="n">
        <v>12</v>
      </c>
      <c r="R136" s="53" t="n">
        <f aca="false">IF(BW136=1,0,IFERROR(VLOOKUP(BU136,'Gebinde-Kategorie'!$A$5:$N$45,13,0)+0,0))</f>
        <v>6</v>
      </c>
      <c r="S136" s="54"/>
      <c r="T136" s="55"/>
      <c r="U136" s="55"/>
      <c r="V136" s="55"/>
      <c r="W136" s="48"/>
      <c r="X136" s="50"/>
      <c r="Y136" s="50"/>
      <c r="Z136" s="48" t="n">
        <f aca="false">IF(A136="","",IF(AND(Parameter!$B$21="Ja",ISNUMBER(W136)),W136,IF(BZ136="2+3",IF(ISNUMBER(SEARCH("grosser Artikel",BR136)),2,IFERROR(VLOOKUP(BU136,Parameter!$F$35:$G$64,2,0),2)),IF(OR(BZ136="Nein",BZ136=""),"-",BZ136))))</f>
        <v>2</v>
      </c>
      <c r="AA136" s="55"/>
      <c r="AB136" s="56"/>
      <c r="AC136" s="50" t="n">
        <f aca="false">AT136</f>
        <v>84</v>
      </c>
      <c r="AD136" s="50" t="n">
        <f aca="false">MAX(AT136,H136)</f>
        <v>84</v>
      </c>
      <c r="AE136" s="57"/>
      <c r="AF136" s="50" t="n">
        <f aca="false">IF(LEFT(Cockpit!$C$5,1)="A",H136,IF(CE136=1,CF136,IF(LEFT(Cockpit!$C$5,1)="B",AK136,MAX(AK136,H136))))</f>
        <v>49</v>
      </c>
      <c r="AG136" s="50" t="n">
        <f aca="false">IF(BW136=1,0,ROUNDUP(AF136/BV136,0))</f>
        <v>5</v>
      </c>
      <c r="AH136" s="52" t="n">
        <f aca="false">IF(CL136&gt;0,CL136*MAX(1,AF136/X136),IF(BW136=1,IF(AF136&lt;=0,0,CA136*MAX(1,IF(H136&gt;0,AF136/H136,1))),IF(R136&gt;0,AG136/R136,0))/MAX(0.1,N(Parameter!$M$21)))</f>
        <v>0.833333333333333</v>
      </c>
      <c r="AI136" s="50" t="n">
        <f aca="false">AH136*BY136</f>
        <v>195.833333333333</v>
      </c>
      <c r="AJ136" s="50" t="n">
        <f aca="false">AF136*G136</f>
        <v>4728.01</v>
      </c>
      <c r="AK136" s="50" t="n">
        <f aca="false">ROUNDUP(MAX(J136/IF(CD136&gt;0,CD136,MAX(0.1,N(Cockpit!$C$6))),CG136)/BV136,0)*BV136</f>
        <v>84</v>
      </c>
      <c r="AL136" s="51" t="n">
        <f aca="false">IF(AI136&gt;0,J136/AI136,-1)</f>
        <v>0.771063829787234</v>
      </c>
      <c r="AM136" s="51" t="n">
        <f aca="false">IF(AND(OR(CC136="L1",CC136="L23",CC136="LIFT"),AI136&gt;0),SUMIFS($AI$7:$AI$1843,$CC$7:$CC$1843,CC136,$AL$7:$AL$1843,"&gt;"&amp;AL136)+SUMIFS($AI$7:$AI$1843,$CC$7:$CC$1843,CC136,$AL$7:$AL$1843,AL136,$BT$7:$BT$1843,"&lt;="&amp;BT136),"")</f>
        <v>8250.98397435898</v>
      </c>
      <c r="AN136" s="58" t="n">
        <f aca="false">IF(AM136="",0,MAX(0,MIN(1,(IF(CC136="L1",Parameter!$H$5,IF(CC136="L23",Parameter!$H$6+Parameter!$H$7,Parameter!$H$5+Parameter!$H$6+Parameter!$H$7))-(AM136-AI136))/AI136)))</f>
        <v>1</v>
      </c>
      <c r="AO136" s="50" t="n">
        <f aca="false">IF(LEFT(Cockpit!$I$5,1)="A",H136,IF(CE136=1,CF136,IF(LEFT(Cockpit!$I$5,1)="B",AT136,MAX(AT136,H136))))</f>
        <v>84</v>
      </c>
      <c r="AP136" s="50" t="n">
        <f aca="false">IF(BW136=1,0,ROUNDUP(AO136/BV136,0))</f>
        <v>7</v>
      </c>
      <c r="AQ136" s="52" t="n">
        <f aca="false">IF(CL136&gt;0,CL136*MAX(1,AO136/X136),IF(BW136=1,IF(AO136&lt;=0,0,CA136*MAX(1,IF(H136&gt;0,AO136/H136,1))),IF(R136&gt;0,AP136/R136,0))/MAX(0.1,N(Parameter!$M$21)))</f>
        <v>1.16666666666667</v>
      </c>
      <c r="AR136" s="50" t="n">
        <f aca="false">AQ136*BY136</f>
        <v>274.166666666667</v>
      </c>
      <c r="AS136" s="50" t="n">
        <f aca="false">AO136*G136</f>
        <v>8105.16</v>
      </c>
      <c r="AT136" s="50" t="n">
        <f aca="false">ROUNDUP(MAX(J136/IF(CD136&gt;0,CD136,MAX(0.1,N(Cockpit!$I$6))),CG136)/BV136,0)*BV136</f>
        <v>84</v>
      </c>
      <c r="AU136" s="51" t="n">
        <f aca="false">IF(AR136&gt;0,J136/AR136,-1)</f>
        <v>0.550759878419453</v>
      </c>
      <c r="AV136" s="51" t="n">
        <f aca="false">IF(AND(OR(CC136="L1",CC136="L23",CC136="LIFT"),AR136&gt;0),SUMIFS($AR$7:$AR$1843,$CC$7:$CC$1843,CC136,$AU$7:$AU$1843,"&gt;"&amp;AU136)+SUMIFS($AR$7:$AR$1843,$CC$7:$CC$1843,CC136,$AU$7:$AU$1843,AU136,$BT$7:$BT$1843,"&lt;="&amp;BT136),"")</f>
        <v>13825.9107142857</v>
      </c>
      <c r="AW136" s="58" t="n">
        <f aca="false">IF(AV136="",0,MAX(0,MIN(1,(IF(CC136="L1",Parameter!$H$5,IF(CC136="L23",Parameter!$H$6+Parameter!$H$7,Parameter!$H$5+Parameter!$H$6+Parameter!$H$7))-(AV136-AR136))/AR136)))</f>
        <v>1</v>
      </c>
      <c r="AX136" s="50" t="n">
        <f aca="false">IF(LEFT(Cockpit!$O$5,1)="A",H136,IF(CE136=1,CF136,IF(LEFT(Cockpit!$O$5,1)="B",BC136,MAX(BC136,H136))))</f>
        <v>84</v>
      </c>
      <c r="AY136" s="50" t="n">
        <f aca="false">IF(BW136=1,0,ROUNDUP(AX136/BV136,0))</f>
        <v>7</v>
      </c>
      <c r="AZ136" s="52" t="n">
        <f aca="false">IF(CL136&gt;0,CL136*MAX(1,AX136/X136),IF(BW136=1,IF(AX136&lt;=0,0,CA136*MAX(1,IF(H136&gt;0,AX136/H136,1))),IF(R136&gt;0,AY136/R136,0))/MAX(0.1,N(Parameter!$M$21)))</f>
        <v>1.16666666666667</v>
      </c>
      <c r="BA136" s="50" t="n">
        <f aca="false">AZ136*BY136</f>
        <v>274.166666666667</v>
      </c>
      <c r="BB136" s="50" t="n">
        <f aca="false">AX136*G136</f>
        <v>8105.16</v>
      </c>
      <c r="BC136" s="50" t="n">
        <f aca="false">ROUNDUP(MAX(J136/IF(CD136&gt;0,CD136,MAX(0.1,N(Cockpit!$O$6))),CG136)/BV136,0)*BV136</f>
        <v>84</v>
      </c>
      <c r="BD136" s="51" t="n">
        <f aca="false">IF(BA136&gt;0,J136/BA136,-1)</f>
        <v>0.550759878419453</v>
      </c>
      <c r="BE136" s="51" t="n">
        <f aca="false">IF(AND(OR(CC136="L1",CC136="L23",CC136="LIFT"),BA136&gt;0),SUMIFS($BA$7:$BA$1843,$CC$7:$CC$1843,CC136,$BD$7:$BD$1843,"&gt;"&amp;BD136)+SUMIFS($BA$7:$BA$1843,$CC$7:$CC$1843,CC136,$BD$7:$BD$1843,BD136,$BT$7:$BT$1843,"&lt;="&amp;BT136),"")</f>
        <v>12821.5677655678</v>
      </c>
      <c r="BF136" s="58" t="n">
        <f aca="false">IF(BE136="",0,MAX(0,MIN(1,(IF(CC136="L1",Parameter!$H$5,IF(CC136="L23",Parameter!$H$6+Parameter!$H$7,Parameter!$H$5+Parameter!$H$6+Parameter!$H$7))-(BE136-BA136))/BA136)))</f>
        <v>1</v>
      </c>
      <c r="BG136" s="48" t="str">
        <f aca="false">IF(AI136&lt;=0,"",IF(CC136="Aussen","Aussenlager",IF(CC136="-","Nicht im Lift",IF(AN136&gt;=1,"Lift",IF(AN136&lt;=0,"Aussenlager","teilweise")))))</f>
        <v>Lift</v>
      </c>
      <c r="BH136" s="48" t="str">
        <f aca="false">IF(AR136&lt;=0,"",IF(CC136="Aussen","Aussenlager",IF(CC136="-","Nicht im Lift",IF(AW136&gt;=1,"Lift",IF(AW136&lt;=0,"Aussenlager","teilweise")))))</f>
        <v>Lift</v>
      </c>
      <c r="BI136" s="48" t="str">
        <f aca="false">IF(BA136&lt;=0,"",IF(CC136="Aussen","Aussenlager",IF(CC136="-","Nicht im Lift",IF(BF136&gt;=1,"Lift",IF(BF136&lt;=0,"Aussenlager","teilweise")))))</f>
        <v>Lift</v>
      </c>
      <c r="BJ136" s="48" t="str">
        <f aca="false">IF(A136="","",IF(BS136=1,"Neu; ","")&amp;IF(AND(BS136=0,BN136&lt;0),"negativer Bestand (Export "&amp;BN136&amp;"); ","")&amp;IF(J136&lt;=0,"Kein Verbrauch; ","")&amp;IF(CL136&gt;0,"Lift "&amp;W136&amp;" lt. Liftbericht (Fach "&amp;X136&amp;" Stk); ",IF(BX136=1,"Gebinde geschätzt ("&amp;T136&amp;"); ",IF(BW136=1,"Lose – Tablare geschätzt; ","")))&amp;IF(H136&gt;AT136,"Überbestand "&amp;ROUND(H136-AT136,0)&amp;" Stk / CHF "&amp;ROUND((H136-AT136)*G136,0)&amp;"; ","")&amp;IF(AND(CE136=1,CF136&lt;CG136),"MAX &lt; MB+LG; ","")&amp;IF(AND(CK136&gt;0,CJ136*10&gt;CK136),"zu hoch für Tablar; ","")&amp;IF(AND(BS136=0,OR(CE136=1,AA136&lt;&gt;"",U136&lt;&gt;"",V136&lt;&gt;"",AB136&lt;&gt;"")),"manuell übersteuert; ","")&amp;IF(AND(BW136=0,R136=0),"Gebinde unbekannt / Stellmass fehlt; ","")&amp;IF(AND(BW136=0,N(V136)&lt;=0,N(Q136)&lt;=0),"Menge pro Gebinde fehlt (Ist = 1 Gebinde); ","")&amp;BR136)</f>
        <v/>
      </c>
      <c r="BK136" s="48"/>
      <c r="BL136" s="48"/>
      <c r="BM136" s="55"/>
      <c r="BN136" s="50" t="n">
        <v>19</v>
      </c>
      <c r="BO136" s="50" t="n">
        <v>30</v>
      </c>
      <c r="BP136" s="49" t="n">
        <v>1630.51</v>
      </c>
      <c r="BQ136" s="50" t="n">
        <v>151</v>
      </c>
      <c r="BR136" s="48"/>
      <c r="BS136" s="53" t="n">
        <v>0</v>
      </c>
      <c r="BT136" s="53" t="n">
        <v>136</v>
      </c>
      <c r="BU136" s="48" t="str">
        <f aca="false">IF(U136&lt;&gt;"",UPPER(TRIM(U136)),IF(BX136=1,UPPER(VLOOKUP(T136,Parameter!$I$27:$K$29,2,0)),IF(P136="","LOSE",P136)))</f>
        <v>S71</v>
      </c>
      <c r="BV136" s="50" t="n">
        <f aca="false">IF(BU136="LOSE",1,IF(N(V136)&gt;0,V136,IF(BX136=1,MAX(1,N(VLOOKUP(T136,Parameter!$I$27:$K$29,3,0)),H136,N(N136)),IF(N(Q136)&gt;0,Q136,MAX(1,H136)))))</f>
        <v>12</v>
      </c>
      <c r="BW136" s="53" t="n">
        <f aca="false">IF(BU136="LOSE",1,0)</f>
        <v>0</v>
      </c>
      <c r="BX136" s="53" t="n">
        <f aca="false">IF(AND(U136="",OR(P136="",P136="LOSE"),T136&lt;&gt;"",N(S136)&lt;=0,ISNUMBER(MATCH(T136,Parameter!$I$27:$I$29,0))),1,0)</f>
        <v>0</v>
      </c>
      <c r="BY136" s="53" t="n">
        <f aca="false">IF(CL136&gt;0,INDEX(Parameter!$H$5:$H$7,W136)/INDEX(Parameter!$E$5:$E$7,W136),IF(AND(BW136=0,N(IFERROR(VLOOKUP(BU136,'Gebinde-Kategorie'!$A$5:$N$45,14,0),0))&gt;0),VLOOKUP(BU136,'Gebinde-Kategorie'!$A$5:$N$45,14,0)*10+Parameter!$M$23,Parameter!$M$24))</f>
        <v>235</v>
      </c>
      <c r="BZ136" s="48" t="str">
        <f aca="false">IF(AND(Parameter!$B$19="Ja",E136&lt;&gt;"",ISNUMBER(MATCH(E136,Parameter!$I$35:$I$52,0))),VLOOKUP(E136,Parameter!$I$35:$J$52,2,0),IFERROR(VLOOKUP(D136,Parameter!$A$35:$C$64,2,0),"Nein"))</f>
        <v>2+3</v>
      </c>
      <c r="CA136" s="52" t="n">
        <f aca="false">IF(BW136=0,0,IF(N(S136)&gt;0,S136,IFERROR(VLOOKUP(D136,Parameter!$A$35:$C$64,3,0)+0,0)))</f>
        <v>0</v>
      </c>
      <c r="CB136" s="48" t="n">
        <f aca="false">IF(AA136&lt;&gt;"",AA136,Z136)</f>
        <v>2</v>
      </c>
      <c r="CC136" s="48" t="str">
        <f aca="false">IF(OR(CB136=1,CB136=2,CB136=3),IF(Parameter!$E$27="Ja","LIFT",IF(CB136=1,"L1","L23")),IF(CB136="Aussen","Aussen","-"))</f>
        <v>LIFT</v>
      </c>
      <c r="CD136" s="59" t="n">
        <f aca="false">IF(N(AB136)&gt;0,AB136,0)</f>
        <v>0</v>
      </c>
      <c r="CE136" s="53" t="n">
        <f aca="false">IF(ISNUMBER(AE136),1,0)</f>
        <v>0</v>
      </c>
      <c r="CF136" s="50" t="n">
        <f aca="false">N(AE136)</f>
        <v>0</v>
      </c>
      <c r="CG136" s="50" t="n">
        <f aca="false">N(M136)+N(N136)</f>
        <v>75</v>
      </c>
      <c r="CH136" s="50" t="n">
        <f aca="false">ROUNDUP(H136/BV136,0)</f>
        <v>5</v>
      </c>
      <c r="CI136" s="50" t="n">
        <f aca="false">ROUNDUP(CF136/BV136,0)</f>
        <v>0</v>
      </c>
      <c r="CJ136" s="53" t="n">
        <f aca="false">IF(BW136=1,0,IFERROR(VLOOKUP(BU136,'Gebinde-Kategorie'!$A$5:$N$45,5,0)+0,0))</f>
        <v>20</v>
      </c>
      <c r="CK136" s="53" t="n">
        <f aca="false">IFERROR(IF(OR(CB136=1,CB136=2,CB136=3),N(INDEX(Parameter!$I$5:$I$7,CB136)),0),0)</f>
        <v>0</v>
      </c>
      <c r="CL136" s="52" t="n">
        <f aca="false">IF(AND(Parameter!$B$21="Ja",ISNUMBER(W136),N(X136)&gt;0),IFERROR(N(INDEX(Parameter!$L$5:$L$7,W136))*INDEX(Parameter!$E$5:$E$7,W136)*X136/SUMIFS($X$7:$X$1843,$W$7:$W$1843,W136),0),0)</f>
        <v>0</v>
      </c>
    </row>
    <row r="137" customFormat="false" ht="15" hidden="false" customHeight="false" outlineLevel="0" collapsed="false">
      <c r="A137" s="48" t="s">
        <v>485</v>
      </c>
      <c r="B137" s="48" t="s">
        <v>294</v>
      </c>
      <c r="C137" s="48" t="s">
        <v>168</v>
      </c>
      <c r="D137" s="48" t="s">
        <v>177</v>
      </c>
      <c r="E137" s="48"/>
      <c r="F137" s="48" t="s">
        <v>222</v>
      </c>
      <c r="G137" s="49" t="n">
        <v>120.56</v>
      </c>
      <c r="H137" s="50" t="n">
        <f aca="false">MAX(0,IF(AND(Parameter!$B$21="Ja",ISNUMBER(Y137)),Y137,IF(Parameter!$B$20="Jahresanfang 2025 + Export",BO137+BN137,BN137)))</f>
        <v>26</v>
      </c>
      <c r="I137" s="50" t="n">
        <f aca="false">H137*G137</f>
        <v>3134.56</v>
      </c>
      <c r="J137" s="50" t="n">
        <f aca="false">BQ137*Parameter!$B$18</f>
        <v>0</v>
      </c>
      <c r="K137" s="51" t="n">
        <v>13</v>
      </c>
      <c r="L137" s="52" t="n">
        <v>0</v>
      </c>
      <c r="M137" s="50" t="n">
        <v>0</v>
      </c>
      <c r="N137" s="50" t="n">
        <v>1</v>
      </c>
      <c r="O137" s="53" t="n">
        <v>77</v>
      </c>
      <c r="P137" s="48" t="s">
        <v>297</v>
      </c>
      <c r="Q137" s="50" t="n">
        <v>15</v>
      </c>
      <c r="R137" s="53" t="n">
        <f aca="false">IF(BW137=1,0,IFERROR(VLOOKUP(BU137,'Gebinde-Kategorie'!$A$5:$N$45,13,0)+0,0))</f>
        <v>12</v>
      </c>
      <c r="S137" s="54"/>
      <c r="T137" s="55"/>
      <c r="U137" s="55"/>
      <c r="V137" s="55"/>
      <c r="W137" s="48"/>
      <c r="X137" s="50"/>
      <c r="Y137" s="50"/>
      <c r="Z137" s="48" t="n">
        <f aca="false">IF(A137="","",IF(AND(Parameter!$B$21="Ja",ISNUMBER(W137)),W137,IF(BZ137="2+3",IF(ISNUMBER(SEARCH("grosser Artikel",BR137)),2,IFERROR(VLOOKUP(BU137,Parameter!$F$35:$G$64,2,0),2)),IF(OR(BZ137="Nein",BZ137=""),"-",BZ137))))</f>
        <v>2</v>
      </c>
      <c r="AA137" s="55"/>
      <c r="AB137" s="56"/>
      <c r="AC137" s="50" t="n">
        <f aca="false">AT137</f>
        <v>15</v>
      </c>
      <c r="AD137" s="50" t="n">
        <f aca="false">MAX(AT137,H137)</f>
        <v>26</v>
      </c>
      <c r="AE137" s="57"/>
      <c r="AF137" s="50" t="n">
        <f aca="false">IF(LEFT(Cockpit!$C$5,1)="A",H137,IF(CE137=1,CF137,IF(LEFT(Cockpit!$C$5,1)="B",AK137,MAX(AK137,H137))))</f>
        <v>26</v>
      </c>
      <c r="AG137" s="50" t="n">
        <f aca="false">IF(BW137=1,0,ROUNDUP(AF137/BV137,0))</f>
        <v>2</v>
      </c>
      <c r="AH137" s="52" t="n">
        <f aca="false">IF(CL137&gt;0,CL137*MAX(1,AF137/X137),IF(BW137=1,IF(AF137&lt;=0,0,CA137*MAX(1,IF(H137&gt;0,AF137/H137,1))),IF(R137&gt;0,AG137/R137,0))/MAX(0.1,N(Parameter!$M$21)))</f>
        <v>0.166666666666667</v>
      </c>
      <c r="AI137" s="50" t="n">
        <f aca="false">AH137*BY137</f>
        <v>40.8333333333333</v>
      </c>
      <c r="AJ137" s="50" t="n">
        <f aca="false">AF137*G137</f>
        <v>3134.56</v>
      </c>
      <c r="AK137" s="50" t="n">
        <f aca="false">ROUNDUP(MAX(J137/IF(CD137&gt;0,CD137,MAX(0.1,N(Cockpit!$C$6))),CG137)/BV137,0)*BV137</f>
        <v>15</v>
      </c>
      <c r="AL137" s="51" t="n">
        <f aca="false">IF(AI137&gt;0,J137/AI137,-1)</f>
        <v>0</v>
      </c>
      <c r="AM137" s="51" t="n">
        <f aca="false">IF(AND(OR(CC137="L1",CC137="L23",CC137="LIFT"),AI137&gt;0),SUMIFS($AI$7:$AI$1843,$CC$7:$CC$1843,CC137,$AL$7:$AL$1843,"&gt;"&amp;AL137)+SUMIFS($AI$7:$AI$1843,$CC$7:$CC$1843,CC137,$AL$7:$AL$1843,AL137,$BT$7:$BT$1843,"&lt;="&amp;BT137),"")</f>
        <v>27199.449801846</v>
      </c>
      <c r="AN137" s="58" t="n">
        <f aca="false">IF(AM137="",0,MAX(0,MIN(1,(IF(CC137="L1",Parameter!$H$5,IF(CC137="L23",Parameter!$H$6+Parameter!$H$7,Parameter!$H$5+Parameter!$H$6+Parameter!$H$7))-(AM137-AI137))/AI137)))</f>
        <v>1</v>
      </c>
      <c r="AO137" s="50" t="n">
        <f aca="false">IF(LEFT(Cockpit!$I$5,1)="A",H137,IF(CE137=1,CF137,IF(LEFT(Cockpit!$I$5,1)="B",AT137,MAX(AT137,H137))))</f>
        <v>26</v>
      </c>
      <c r="AP137" s="50" t="n">
        <f aca="false">IF(BW137=1,0,ROUNDUP(AO137/BV137,0))</f>
        <v>2</v>
      </c>
      <c r="AQ137" s="52" t="n">
        <f aca="false">IF(CL137&gt;0,CL137*MAX(1,AO137/X137),IF(BW137=1,IF(AO137&lt;=0,0,CA137*MAX(1,IF(H137&gt;0,AO137/H137,1))),IF(R137&gt;0,AP137/R137,0))/MAX(0.1,N(Parameter!$M$21)))</f>
        <v>0.166666666666667</v>
      </c>
      <c r="AR137" s="50" t="n">
        <f aca="false">AQ137*BY137</f>
        <v>40.8333333333333</v>
      </c>
      <c r="AS137" s="50" t="n">
        <f aca="false">AO137*G137</f>
        <v>3134.56</v>
      </c>
      <c r="AT137" s="50" t="n">
        <f aca="false">ROUNDUP(MAX(J137/IF(CD137&gt;0,CD137,MAX(0.1,N(Cockpit!$I$6))),CG137)/BV137,0)*BV137</f>
        <v>15</v>
      </c>
      <c r="AU137" s="51" t="n">
        <f aca="false">IF(AR137&gt;0,J137/AR137,-1)</f>
        <v>0</v>
      </c>
      <c r="AV137" s="51" t="n">
        <f aca="false">IF(AND(OR(CC137="L1",CC137="L23",CC137="LIFT"),AR137&gt;0),SUMIFS($AR$7:$AR$1843,$CC$7:$CC$1843,CC137,$AU$7:$AU$1843,"&gt;"&amp;AU137)+SUMIFS($AR$7:$AR$1843,$CC$7:$CC$1843,CC137,$AU$7:$AU$1843,AU137,$BT$7:$BT$1843,"&lt;="&amp;BT137),"")</f>
        <v>38512.3553191159</v>
      </c>
      <c r="AW137" s="58" t="n">
        <f aca="false">IF(AV137="",0,MAX(0,MIN(1,(IF(CC137="L1",Parameter!$H$5,IF(CC137="L23",Parameter!$H$6+Parameter!$H$7,Parameter!$H$5+Parameter!$H$6+Parameter!$H$7))-(AV137-AR137))/AR137)))</f>
        <v>0</v>
      </c>
      <c r="AX137" s="50" t="n">
        <f aca="false">IF(LEFT(Cockpit!$O$5,1)="A",H137,IF(CE137=1,CF137,IF(LEFT(Cockpit!$O$5,1)="B",BC137,MAX(BC137,H137))))</f>
        <v>26</v>
      </c>
      <c r="AY137" s="50" t="n">
        <f aca="false">IF(BW137=1,0,ROUNDUP(AX137/BV137,0))</f>
        <v>2</v>
      </c>
      <c r="AZ137" s="52" t="n">
        <f aca="false">IF(CL137&gt;0,CL137*MAX(1,AX137/X137),IF(BW137=1,IF(AX137&lt;=0,0,CA137*MAX(1,IF(H137&gt;0,AX137/H137,1))),IF(R137&gt;0,AY137/R137,0))/MAX(0.1,N(Parameter!$M$21)))</f>
        <v>0.166666666666667</v>
      </c>
      <c r="BA137" s="50" t="n">
        <f aca="false">AZ137*BY137</f>
        <v>40.8333333333333</v>
      </c>
      <c r="BB137" s="50" t="n">
        <f aca="false">AX137*G137</f>
        <v>3134.56</v>
      </c>
      <c r="BC137" s="50" t="n">
        <f aca="false">ROUNDUP(MAX(J137/IF(CD137&gt;0,CD137,MAX(0.1,N(Cockpit!$O$6))),CG137)/BV137,0)*BV137</f>
        <v>15</v>
      </c>
      <c r="BD137" s="51" t="n">
        <f aca="false">IF(BA137&gt;0,J137/BA137,-1)</f>
        <v>0</v>
      </c>
      <c r="BE137" s="51" t="n">
        <f aca="false">IF(AND(OR(CC137="L1",CC137="L23",CC137="LIFT"),BA137&gt;0),SUMIFS($BA$7:$BA$1843,$CC$7:$CC$1843,CC137,$BD$7:$BD$1843,"&gt;"&amp;BD137)+SUMIFS($BA$7:$BA$1843,$CC$7:$CC$1843,CC137,$BD$7:$BD$1843,BD137,$BT$7:$BT$1843,"&lt;="&amp;BT137),"")</f>
        <v>35187.3673609818</v>
      </c>
      <c r="BF137" s="58" t="n">
        <f aca="false">IF(BE137="",0,MAX(0,MIN(1,(IF(CC137="L1",Parameter!$H$5,IF(CC137="L23",Parameter!$H$6+Parameter!$H$7,Parameter!$H$5+Parameter!$H$6+Parameter!$H$7))-(BE137-BA137))/BA137)))</f>
        <v>1</v>
      </c>
      <c r="BG137" s="48" t="str">
        <f aca="false">IF(AI137&lt;=0,"",IF(CC137="Aussen","Aussenlager",IF(CC137="-","Nicht im Lift",IF(AN137&gt;=1,"Lift",IF(AN137&lt;=0,"Aussenlager","teilweise")))))</f>
        <v>Lift</v>
      </c>
      <c r="BH137" s="48" t="str">
        <f aca="false">IF(AR137&lt;=0,"",IF(CC137="Aussen","Aussenlager",IF(CC137="-","Nicht im Lift",IF(AW137&gt;=1,"Lift",IF(AW137&lt;=0,"Aussenlager","teilweise")))))</f>
        <v>Aussenlager</v>
      </c>
      <c r="BI137" s="48" t="str">
        <f aca="false">IF(BA137&lt;=0,"",IF(CC137="Aussen","Aussenlager",IF(CC137="-","Nicht im Lift",IF(BF137&gt;=1,"Lift",IF(BF137&lt;=0,"Aussenlager","teilweise")))))</f>
        <v>Lift</v>
      </c>
      <c r="BJ137" s="48" t="str">
        <f aca="false">IF(A137="","",IF(BS137=1,"Neu; ","")&amp;IF(AND(BS137=0,BN137&lt;0),"negativer Bestand (Export "&amp;BN137&amp;"); ","")&amp;IF(J137&lt;=0,"Kein Verbrauch; ","")&amp;IF(CL137&gt;0,"Lift "&amp;W137&amp;" lt. Liftbericht (Fach "&amp;X137&amp;" Stk); ",IF(BX137=1,"Gebinde geschätzt ("&amp;T137&amp;"); ",IF(BW137=1,"Lose – Tablare geschätzt; ","")))&amp;IF(H137&gt;AT137,"Überbestand "&amp;ROUND(H137-AT137,0)&amp;" Stk / CHF "&amp;ROUND((H137-AT137)*G137,0)&amp;"; ","")&amp;IF(AND(CE137=1,CF137&lt;CG137),"MAX &lt; MB+LG; ","")&amp;IF(AND(CK137&gt;0,CJ137*10&gt;CK137),"zu hoch für Tablar; ","")&amp;IF(AND(BS137=0,OR(CE137=1,AA137&lt;&gt;"",U137&lt;&gt;"",V137&lt;&gt;"",AB137&lt;&gt;"")),"manuell übersteuert; ","")&amp;IF(AND(BW137=0,R137=0),"Gebinde unbekannt / Stellmass fehlt; ","")&amp;IF(AND(BW137=0,N(V137)&lt;=0,N(Q137)&lt;=0),"Menge pro Gebinde fehlt (Ist = 1 Gebinde); ","")&amp;BR137)</f>
        <v>Kein Verbrauch; Überbestand 11 Stk / CHF 1326; </v>
      </c>
      <c r="BK137" s="48"/>
      <c r="BL137" s="48"/>
      <c r="BM137" s="55"/>
      <c r="BN137" s="50" t="n">
        <v>13</v>
      </c>
      <c r="BO137" s="50" t="n">
        <v>13</v>
      </c>
      <c r="BP137" s="49" t="n">
        <v>1567.28</v>
      </c>
      <c r="BQ137" s="50" t="n">
        <v>0</v>
      </c>
      <c r="BR137" s="48"/>
      <c r="BS137" s="53" t="n">
        <v>0</v>
      </c>
      <c r="BT137" s="53" t="n">
        <v>137</v>
      </c>
      <c r="BU137" s="48" t="str">
        <f aca="false">IF(U137&lt;&gt;"",UPPER(TRIM(U137)),IF(BX137=1,UPPER(VLOOKUP(T137,Parameter!$I$27:$K$29,2,0)),IF(P137="","LOSE",P137)))</f>
        <v>S62</v>
      </c>
      <c r="BV137" s="50" t="n">
        <f aca="false">IF(BU137="LOSE",1,IF(N(V137)&gt;0,V137,IF(BX137=1,MAX(1,N(VLOOKUP(T137,Parameter!$I$27:$K$29,3,0)),H137,N(N137)),IF(N(Q137)&gt;0,Q137,MAX(1,H137)))))</f>
        <v>15</v>
      </c>
      <c r="BW137" s="53" t="n">
        <f aca="false">IF(BU137="LOSE",1,0)</f>
        <v>0</v>
      </c>
      <c r="BX137" s="53" t="n">
        <f aca="false">IF(AND(U137="",OR(P137="",P137="LOSE"),T137&lt;&gt;"",N(S137)&lt;=0,ISNUMBER(MATCH(T137,Parameter!$I$27:$I$29,0))),1,0)</f>
        <v>0</v>
      </c>
      <c r="BY137" s="53" t="n">
        <f aca="false">IF(CL137&gt;0,INDEX(Parameter!$H$5:$H$7,W137)/INDEX(Parameter!$E$5:$E$7,W137),IF(AND(BW137=0,N(IFERROR(VLOOKUP(BU137,'Gebinde-Kategorie'!$A$5:$N$45,14,0),0))&gt;0),VLOOKUP(BU137,'Gebinde-Kategorie'!$A$5:$N$45,14,0)*10+Parameter!$M$23,Parameter!$M$24))</f>
        <v>245</v>
      </c>
      <c r="BZ137" s="48" t="str">
        <f aca="false">IF(AND(Parameter!$B$19="Ja",E137&lt;&gt;"",ISNUMBER(MATCH(E137,Parameter!$I$35:$I$52,0))),VLOOKUP(E137,Parameter!$I$35:$J$52,2,0),IFERROR(VLOOKUP(D137,Parameter!$A$35:$C$64,2,0),"Nein"))</f>
        <v>2+3</v>
      </c>
      <c r="CA137" s="52" t="n">
        <f aca="false">IF(BW137=0,0,IF(N(S137)&gt;0,S137,IFERROR(VLOOKUP(D137,Parameter!$A$35:$C$64,3,0)+0,0)))</f>
        <v>0</v>
      </c>
      <c r="CB137" s="48" t="n">
        <f aca="false">IF(AA137&lt;&gt;"",AA137,Z137)</f>
        <v>2</v>
      </c>
      <c r="CC137" s="48" t="str">
        <f aca="false">IF(OR(CB137=1,CB137=2,CB137=3),IF(Parameter!$E$27="Ja","LIFT",IF(CB137=1,"L1","L23")),IF(CB137="Aussen","Aussen","-"))</f>
        <v>LIFT</v>
      </c>
      <c r="CD137" s="59" t="n">
        <f aca="false">IF(N(AB137)&gt;0,AB137,0)</f>
        <v>0</v>
      </c>
      <c r="CE137" s="53" t="n">
        <f aca="false">IF(ISNUMBER(AE137),1,0)</f>
        <v>0</v>
      </c>
      <c r="CF137" s="50" t="n">
        <f aca="false">N(AE137)</f>
        <v>0</v>
      </c>
      <c r="CG137" s="50" t="n">
        <f aca="false">N(M137)+N(N137)</f>
        <v>1</v>
      </c>
      <c r="CH137" s="50" t="n">
        <f aca="false">ROUNDUP(H137/BV137,0)</f>
        <v>2</v>
      </c>
      <c r="CI137" s="50" t="n">
        <f aca="false">ROUNDUP(CF137/BV137,0)</f>
        <v>0</v>
      </c>
      <c r="CJ137" s="53" t="n">
        <f aca="false">IF(BW137=1,0,IFERROR(VLOOKUP(BU137,'Gebinde-Kategorie'!$A$5:$N$45,5,0)+0,0))</f>
        <v>21</v>
      </c>
      <c r="CK137" s="53" t="n">
        <f aca="false">IFERROR(IF(OR(CB137=1,CB137=2,CB137=3),N(INDEX(Parameter!$I$5:$I$7,CB137)),0),0)</f>
        <v>0</v>
      </c>
      <c r="CL137" s="52" t="n">
        <f aca="false">IF(AND(Parameter!$B$21="Ja",ISNUMBER(W137),N(X137)&gt;0),IFERROR(N(INDEX(Parameter!$L$5:$L$7,W137))*INDEX(Parameter!$E$5:$E$7,W137)*X137/SUMIFS($X$7:$X$1843,$W$7:$W$1843,W137),0),0)</f>
        <v>0</v>
      </c>
    </row>
    <row r="138" customFormat="false" ht="15" hidden="false" customHeight="false" outlineLevel="0" collapsed="false">
      <c r="A138" s="48" t="s">
        <v>486</v>
      </c>
      <c r="B138" s="48" t="s">
        <v>487</v>
      </c>
      <c r="C138" s="48" t="s">
        <v>168</v>
      </c>
      <c r="D138" s="48" t="s">
        <v>188</v>
      </c>
      <c r="E138" s="48"/>
      <c r="F138" s="48" t="s">
        <v>222</v>
      </c>
      <c r="G138" s="49" t="n">
        <v>138.33</v>
      </c>
      <c r="H138" s="50" t="n">
        <f aca="false">MAX(0,IF(AND(Parameter!$B$21="Ja",ISNUMBER(Y138)),Y138,IF(Parameter!$B$20="Jahresanfang 2025 + Export",BO138+BN138,BN138)))</f>
        <v>57</v>
      </c>
      <c r="I138" s="50" t="n">
        <f aca="false">H138*G138</f>
        <v>7884.81</v>
      </c>
      <c r="J138" s="50" t="n">
        <f aca="false">BQ138*Parameter!$B$18</f>
        <v>25</v>
      </c>
      <c r="K138" s="51" t="n">
        <v>33.5</v>
      </c>
      <c r="L138" s="52" t="n">
        <v>0.746268656716418</v>
      </c>
      <c r="M138" s="50" t="n">
        <v>1</v>
      </c>
      <c r="N138" s="50" t="n">
        <v>25</v>
      </c>
      <c r="O138" s="53" t="n">
        <v>28</v>
      </c>
      <c r="P138" s="48" t="s">
        <v>332</v>
      </c>
      <c r="Q138" s="50" t="n">
        <v>20</v>
      </c>
      <c r="R138" s="53" t="n">
        <f aca="false">IF(BW138=1,0,IFERROR(VLOOKUP(BU138,'Gebinde-Kategorie'!$A$5:$N$45,13,0)+0,0))</f>
        <v>52</v>
      </c>
      <c r="S138" s="54"/>
      <c r="T138" s="55"/>
      <c r="U138" s="55"/>
      <c r="V138" s="55"/>
      <c r="W138" s="48"/>
      <c r="X138" s="50"/>
      <c r="Y138" s="50"/>
      <c r="Z138" s="48" t="n">
        <f aca="false">IF(A138="","",IF(AND(Parameter!$B$21="Ja",ISNUMBER(W138)),W138,IF(BZ138="2+3",IF(ISNUMBER(SEARCH("grosser Artikel",BR138)),2,IFERROR(VLOOKUP(BU138,Parameter!$F$35:$G$64,2,0),2)),IF(OR(BZ138="Nein",BZ138=""),"-",BZ138))))</f>
        <v>3</v>
      </c>
      <c r="AA138" s="55"/>
      <c r="AB138" s="56"/>
      <c r="AC138" s="50" t="n">
        <f aca="false">AT138</f>
        <v>40</v>
      </c>
      <c r="AD138" s="50" t="n">
        <f aca="false">MAX(AT138,H138)</f>
        <v>57</v>
      </c>
      <c r="AE138" s="57"/>
      <c r="AF138" s="50" t="n">
        <f aca="false">IF(LEFT(Cockpit!$C$5,1)="A",H138,IF(CE138=1,CF138,IF(LEFT(Cockpit!$C$5,1)="B",AK138,MAX(AK138,H138))))</f>
        <v>57</v>
      </c>
      <c r="AG138" s="50" t="n">
        <f aca="false">IF(BW138=1,0,ROUNDUP(AF138/BV138,0))</f>
        <v>3</v>
      </c>
      <c r="AH138" s="52" t="n">
        <f aca="false">IF(CL138&gt;0,CL138*MAX(1,AF138/X138),IF(BW138=1,IF(AF138&lt;=0,0,CA138*MAX(1,IF(H138&gt;0,AF138/H138,1))),IF(R138&gt;0,AG138/R138,0))/MAX(0.1,N(Parameter!$M$21)))</f>
        <v>0.0576923076923077</v>
      </c>
      <c r="AI138" s="50" t="n">
        <f aca="false">AH138*BY138</f>
        <v>8.94230769230769</v>
      </c>
      <c r="AJ138" s="50" t="n">
        <f aca="false">AF138*G138</f>
        <v>7884.81</v>
      </c>
      <c r="AK138" s="50" t="n">
        <f aca="false">ROUNDUP(MAX(J138/IF(CD138&gt;0,CD138,MAX(0.1,N(Cockpit!$C$6))),CG138)/BV138,0)*BV138</f>
        <v>40</v>
      </c>
      <c r="AL138" s="51" t="n">
        <f aca="false">IF(AI138&gt;0,J138/AI138,-1)</f>
        <v>2.79569892473118</v>
      </c>
      <c r="AM138" s="51" t="n">
        <f aca="false">IF(AND(OR(CC138="L1",CC138="L23",CC138="LIFT"),AI138&gt;0),SUMIFS($AI$7:$AI$1843,$CC$7:$CC$1843,CC138,$AL$7:$AL$1843,"&gt;"&amp;AL138)+SUMIFS($AI$7:$AI$1843,$CC$7:$CC$1843,CC138,$AL$7:$AL$1843,AL138,$BT$7:$BT$1843,"&lt;="&amp;BT138),"")</f>
        <v>5259.12957875458</v>
      </c>
      <c r="AN138" s="58" t="n">
        <f aca="false">IF(AM138="",0,MAX(0,MIN(1,(IF(CC138="L1",Parameter!$H$5,IF(CC138="L23",Parameter!$H$6+Parameter!$H$7,Parameter!$H$5+Parameter!$H$6+Parameter!$H$7))-(AM138-AI138))/AI138)))</f>
        <v>1</v>
      </c>
      <c r="AO138" s="50" t="n">
        <f aca="false">IF(LEFT(Cockpit!$I$5,1)="A",H138,IF(CE138=1,CF138,IF(LEFT(Cockpit!$I$5,1)="B",AT138,MAX(AT138,H138))))</f>
        <v>57</v>
      </c>
      <c r="AP138" s="50" t="n">
        <f aca="false">IF(BW138=1,0,ROUNDUP(AO138/BV138,0))</f>
        <v>3</v>
      </c>
      <c r="AQ138" s="52" t="n">
        <f aca="false">IF(CL138&gt;0,CL138*MAX(1,AO138/X138),IF(BW138=1,IF(AO138&lt;=0,0,CA138*MAX(1,IF(H138&gt;0,AO138/H138,1))),IF(R138&gt;0,AP138/R138,0))/MAX(0.1,N(Parameter!$M$21)))</f>
        <v>0.0576923076923077</v>
      </c>
      <c r="AR138" s="50" t="n">
        <f aca="false">AQ138*BY138</f>
        <v>8.94230769230769</v>
      </c>
      <c r="AS138" s="50" t="n">
        <f aca="false">AO138*G138</f>
        <v>7884.81</v>
      </c>
      <c r="AT138" s="50" t="n">
        <f aca="false">ROUNDUP(MAX(J138/IF(CD138&gt;0,CD138,MAX(0.1,N(Cockpit!$I$6))),CG138)/BV138,0)*BV138</f>
        <v>40</v>
      </c>
      <c r="AU138" s="51" t="n">
        <f aca="false">IF(AR138&gt;0,J138/AR138,-1)</f>
        <v>2.79569892473118</v>
      </c>
      <c r="AV138" s="51" t="n">
        <f aca="false">IF(AND(OR(CC138="L1",CC138="L23",CC138="LIFT"),AR138&gt;0),SUMIFS($AR$7:$AR$1843,$CC$7:$CC$1843,CC138,$AU$7:$AU$1843,"&gt;"&amp;AU138)+SUMIFS($AR$7:$AR$1843,$CC$7:$CC$1843,CC138,$AU$7:$AU$1843,AU138,$BT$7:$BT$1843,"&lt;="&amp;BT138),"")</f>
        <v>6697.58791208791</v>
      </c>
      <c r="AW138" s="58" t="n">
        <f aca="false">IF(AV138="",0,MAX(0,MIN(1,(IF(CC138="L1",Parameter!$H$5,IF(CC138="L23",Parameter!$H$6+Parameter!$H$7,Parameter!$H$5+Parameter!$H$6+Parameter!$H$7))-(AV138-AR138))/AR138)))</f>
        <v>1</v>
      </c>
      <c r="AX138" s="50" t="n">
        <f aca="false">IF(LEFT(Cockpit!$O$5,1)="A",H138,IF(CE138=1,CF138,IF(LEFT(Cockpit!$O$5,1)="B",BC138,MAX(BC138,H138))))</f>
        <v>57</v>
      </c>
      <c r="AY138" s="50" t="n">
        <f aca="false">IF(BW138=1,0,ROUNDUP(AX138/BV138,0))</f>
        <v>3</v>
      </c>
      <c r="AZ138" s="52" t="n">
        <f aca="false">IF(CL138&gt;0,CL138*MAX(1,AX138/X138),IF(BW138=1,IF(AX138&lt;=0,0,CA138*MAX(1,IF(H138&gt;0,AX138/H138,1))),IF(R138&gt;0,AY138/R138,0))/MAX(0.1,N(Parameter!$M$21)))</f>
        <v>0.0576923076923077</v>
      </c>
      <c r="BA138" s="50" t="n">
        <f aca="false">AZ138*BY138</f>
        <v>8.94230769230769</v>
      </c>
      <c r="BB138" s="50" t="n">
        <f aca="false">AX138*G138</f>
        <v>7884.81</v>
      </c>
      <c r="BC138" s="50" t="n">
        <f aca="false">ROUNDUP(MAX(J138/IF(CD138&gt;0,CD138,MAX(0.1,N(Cockpit!$O$6))),CG138)/BV138,0)*BV138</f>
        <v>40</v>
      </c>
      <c r="BD138" s="51" t="n">
        <f aca="false">IF(BA138&gt;0,J138/BA138,-1)</f>
        <v>2.79569892473118</v>
      </c>
      <c r="BE138" s="51" t="n">
        <f aca="false">IF(AND(OR(CC138="L1",CC138="L23",CC138="LIFT"),BA138&gt;0),SUMIFS($BA$7:$BA$1843,$CC$7:$CC$1843,CC138,$BD$7:$BD$1843,"&gt;"&amp;BD138)+SUMIFS($BA$7:$BA$1843,$CC$7:$CC$1843,CC138,$BD$7:$BD$1843,BD138,$BT$7:$BT$1843,"&lt;="&amp;BT138),"")</f>
        <v>6480.74496336996</v>
      </c>
      <c r="BF138" s="58" t="n">
        <f aca="false">IF(BE138="",0,MAX(0,MIN(1,(IF(CC138="L1",Parameter!$H$5,IF(CC138="L23",Parameter!$H$6+Parameter!$H$7,Parameter!$H$5+Parameter!$H$6+Parameter!$H$7))-(BE138-BA138))/BA138)))</f>
        <v>1</v>
      </c>
      <c r="BG138" s="48" t="str">
        <f aca="false">IF(AI138&lt;=0,"",IF(CC138="Aussen","Aussenlager",IF(CC138="-","Nicht im Lift",IF(AN138&gt;=1,"Lift",IF(AN138&lt;=0,"Aussenlager","teilweise")))))</f>
        <v>Lift</v>
      </c>
      <c r="BH138" s="48" t="str">
        <f aca="false">IF(AR138&lt;=0,"",IF(CC138="Aussen","Aussenlager",IF(CC138="-","Nicht im Lift",IF(AW138&gt;=1,"Lift",IF(AW138&lt;=0,"Aussenlager","teilweise")))))</f>
        <v>Lift</v>
      </c>
      <c r="BI138" s="48" t="str">
        <f aca="false">IF(BA138&lt;=0,"",IF(CC138="Aussen","Aussenlager",IF(CC138="-","Nicht im Lift",IF(BF138&gt;=1,"Lift",IF(BF138&lt;=0,"Aussenlager","teilweise")))))</f>
        <v>Lift</v>
      </c>
      <c r="BJ138" s="48" t="str">
        <f aca="false">IF(A138="","",IF(BS138=1,"Neu; ","")&amp;IF(AND(BS138=0,BN138&lt;0),"negativer Bestand (Export "&amp;BN138&amp;"); ","")&amp;IF(J138&lt;=0,"Kein Verbrauch; ","")&amp;IF(CL138&gt;0,"Lift "&amp;W138&amp;" lt. Liftbericht (Fach "&amp;X138&amp;" Stk); ",IF(BX138=1,"Gebinde geschätzt ("&amp;T138&amp;"); ",IF(BW138=1,"Lose – Tablare geschätzt; ","")))&amp;IF(H138&gt;AT138,"Überbestand "&amp;ROUND(H138-AT138,0)&amp;" Stk / CHF "&amp;ROUND((H138-AT138)*G138,0)&amp;"; ","")&amp;IF(AND(CE138=1,CF138&lt;CG138),"MAX &lt; MB+LG; ","")&amp;IF(AND(CK138&gt;0,CJ138*10&gt;CK138),"zu hoch für Tablar; ","")&amp;IF(AND(BS138=0,OR(CE138=1,AA138&lt;&gt;"",U138&lt;&gt;"",V138&lt;&gt;"",AB138&lt;&gt;"")),"manuell übersteuert; ","")&amp;IF(AND(BW138=0,R138=0),"Gebinde unbekannt / Stellmass fehlt; ","")&amp;IF(AND(BW138=0,N(V138)&lt;=0,N(Q138)&lt;=0),"Menge pro Gebinde fehlt (Ist = 1 Gebinde); ","")&amp;BR138)</f>
        <v>Überbestand 17 Stk / CHF 2352; </v>
      </c>
      <c r="BK138" s="48"/>
      <c r="BL138" s="48"/>
      <c r="BM138" s="55"/>
      <c r="BN138" s="50" t="n">
        <v>11</v>
      </c>
      <c r="BO138" s="50" t="n">
        <v>46</v>
      </c>
      <c r="BP138" s="49" t="n">
        <v>1567.17</v>
      </c>
      <c r="BQ138" s="50" t="n">
        <v>25</v>
      </c>
      <c r="BR138" s="48"/>
      <c r="BS138" s="53" t="n">
        <v>0</v>
      </c>
      <c r="BT138" s="53" t="n">
        <v>138</v>
      </c>
      <c r="BU138" s="48" t="str">
        <f aca="false">IF(U138&lt;&gt;"",UPPER(TRIM(U138)),IF(BX138=1,UPPER(VLOOKUP(T138,Parameter!$I$27:$K$29,2,0)),IF(P138="","LOSE",P138)))</f>
        <v>S41</v>
      </c>
      <c r="BV138" s="50" t="n">
        <f aca="false">IF(BU138="LOSE",1,IF(N(V138)&gt;0,V138,IF(BX138=1,MAX(1,N(VLOOKUP(T138,Parameter!$I$27:$K$29,3,0)),H138,N(N138)),IF(N(Q138)&gt;0,Q138,MAX(1,H138)))))</f>
        <v>20</v>
      </c>
      <c r="BW138" s="53" t="n">
        <f aca="false">IF(BU138="LOSE",1,0)</f>
        <v>0</v>
      </c>
      <c r="BX138" s="53" t="n">
        <f aca="false">IF(AND(U138="",OR(P138="",P138="LOSE"),T138&lt;&gt;"",N(S138)&lt;=0,ISNUMBER(MATCH(T138,Parameter!$I$27:$I$29,0))),1,0)</f>
        <v>0</v>
      </c>
      <c r="BY138" s="53" t="n">
        <f aca="false">IF(CL138&gt;0,INDEX(Parameter!$H$5:$H$7,W138)/INDEX(Parameter!$E$5:$E$7,W138),IF(AND(BW138=0,N(IFERROR(VLOOKUP(BU138,'Gebinde-Kategorie'!$A$5:$N$45,14,0),0))&gt;0),VLOOKUP(BU138,'Gebinde-Kategorie'!$A$5:$N$45,14,0)*10+Parameter!$M$23,Parameter!$M$24))</f>
        <v>155</v>
      </c>
      <c r="BZ138" s="48" t="str">
        <f aca="false">IF(AND(Parameter!$B$19="Ja",E138&lt;&gt;"",ISNUMBER(MATCH(E138,Parameter!$I$35:$I$52,0))),VLOOKUP(E138,Parameter!$I$35:$J$52,2,0),IFERROR(VLOOKUP(D138,Parameter!$A$35:$C$64,2,0),"Nein"))</f>
        <v>2+3</v>
      </c>
      <c r="CA138" s="52" t="n">
        <f aca="false">IF(BW138=0,0,IF(N(S138)&gt;0,S138,IFERROR(VLOOKUP(D138,Parameter!$A$35:$C$64,3,0)+0,0)))</f>
        <v>0</v>
      </c>
      <c r="CB138" s="48" t="n">
        <f aca="false">IF(AA138&lt;&gt;"",AA138,Z138)</f>
        <v>3</v>
      </c>
      <c r="CC138" s="48" t="str">
        <f aca="false">IF(OR(CB138=1,CB138=2,CB138=3),IF(Parameter!$E$27="Ja","LIFT",IF(CB138=1,"L1","L23")),IF(CB138="Aussen","Aussen","-"))</f>
        <v>LIFT</v>
      </c>
      <c r="CD138" s="59" t="n">
        <f aca="false">IF(N(AB138)&gt;0,AB138,0)</f>
        <v>0</v>
      </c>
      <c r="CE138" s="53" t="n">
        <f aca="false">IF(ISNUMBER(AE138),1,0)</f>
        <v>0</v>
      </c>
      <c r="CF138" s="50" t="n">
        <f aca="false">N(AE138)</f>
        <v>0</v>
      </c>
      <c r="CG138" s="50" t="n">
        <f aca="false">N(M138)+N(N138)</f>
        <v>26</v>
      </c>
      <c r="CH138" s="50" t="n">
        <f aca="false">ROUNDUP(H138/BV138,0)</f>
        <v>3</v>
      </c>
      <c r="CI138" s="50" t="n">
        <f aca="false">ROUNDUP(CF138/BV138,0)</f>
        <v>0</v>
      </c>
      <c r="CJ138" s="53" t="n">
        <f aca="false">IF(BW138=1,0,IFERROR(VLOOKUP(BU138,'Gebinde-Kategorie'!$A$5:$N$45,5,0)+0,0))</f>
        <v>11</v>
      </c>
      <c r="CK138" s="53" t="n">
        <f aca="false">IFERROR(IF(OR(CB138=1,CB138=2,CB138=3),N(INDEX(Parameter!$I$5:$I$7,CB138)),0),0)</f>
        <v>0</v>
      </c>
      <c r="CL138" s="52" t="n">
        <f aca="false">IF(AND(Parameter!$B$21="Ja",ISNUMBER(W138),N(X138)&gt;0),IFERROR(N(INDEX(Parameter!$L$5:$L$7,W138))*INDEX(Parameter!$E$5:$E$7,W138)*X138/SUMIFS($X$7:$X$1843,$W$7:$W$1843,W138),0),0)</f>
        <v>0</v>
      </c>
    </row>
    <row r="139" customFormat="false" ht="15" hidden="false" customHeight="false" outlineLevel="0" collapsed="false">
      <c r="A139" s="48" t="s">
        <v>488</v>
      </c>
      <c r="B139" s="48" t="s">
        <v>489</v>
      </c>
      <c r="C139" s="48" t="s">
        <v>168</v>
      </c>
      <c r="D139" s="48" t="s">
        <v>177</v>
      </c>
      <c r="E139" s="48"/>
      <c r="F139" s="48" t="s">
        <v>222</v>
      </c>
      <c r="G139" s="49" t="n">
        <v>116.64</v>
      </c>
      <c r="H139" s="50" t="n">
        <f aca="false">MAX(0,IF(AND(Parameter!$B$21="Ja",ISNUMBER(Y139)),Y139,IF(Parameter!$B$20="Jahresanfang 2025 + Export",BO139+BN139,BN139)))</f>
        <v>31</v>
      </c>
      <c r="I139" s="50" t="n">
        <f aca="false">H139*G139</f>
        <v>3615.84</v>
      </c>
      <c r="J139" s="50" t="n">
        <f aca="false">BQ139*Parameter!$B$18</f>
        <v>157</v>
      </c>
      <c r="K139" s="51" t="n">
        <v>37.5</v>
      </c>
      <c r="L139" s="52" t="n">
        <v>4.18666666666667</v>
      </c>
      <c r="M139" s="50" t="n">
        <v>3</v>
      </c>
      <c r="N139" s="50" t="n">
        <v>25</v>
      </c>
      <c r="O139" s="53" t="n">
        <v>7</v>
      </c>
      <c r="P139" s="48" t="s">
        <v>178</v>
      </c>
      <c r="Q139" s="50" t="n">
        <v>60</v>
      </c>
      <c r="R139" s="53" t="n">
        <f aca="false">IF(BW139=1,0,IFERROR(VLOOKUP(BU139,'Gebinde-Kategorie'!$A$5:$N$45,13,0)+0,0))</f>
        <v>6</v>
      </c>
      <c r="S139" s="54"/>
      <c r="T139" s="55"/>
      <c r="U139" s="55"/>
      <c r="V139" s="55"/>
      <c r="W139" s="48"/>
      <c r="X139" s="50"/>
      <c r="Y139" s="50"/>
      <c r="Z139" s="48" t="n">
        <f aca="false">IF(A139="","",IF(AND(Parameter!$B$21="Ja",ISNUMBER(W139)),W139,IF(BZ139="2+3",IF(ISNUMBER(SEARCH("grosser Artikel",BR139)),2,IFERROR(VLOOKUP(BU139,Parameter!$F$35:$G$64,2,0),2)),IF(OR(BZ139="Nein",BZ139=""),"-",BZ139))))</f>
        <v>2</v>
      </c>
      <c r="AA139" s="55"/>
      <c r="AB139" s="56"/>
      <c r="AC139" s="50" t="n">
        <f aca="false">AT139</f>
        <v>120</v>
      </c>
      <c r="AD139" s="50" t="n">
        <f aca="false">MAX(AT139,H139)</f>
        <v>120</v>
      </c>
      <c r="AE139" s="57"/>
      <c r="AF139" s="50" t="n">
        <f aca="false">IF(LEFT(Cockpit!$C$5,1)="A",H139,IF(CE139=1,CF139,IF(LEFT(Cockpit!$C$5,1)="B",AK139,MAX(AK139,H139))))</f>
        <v>31</v>
      </c>
      <c r="AG139" s="50" t="n">
        <f aca="false">IF(BW139=1,0,ROUNDUP(AF139/BV139,0))</f>
        <v>1</v>
      </c>
      <c r="AH139" s="52" t="n">
        <f aca="false">IF(CL139&gt;0,CL139*MAX(1,AF139/X139),IF(BW139=1,IF(AF139&lt;=0,0,CA139*MAX(1,IF(H139&gt;0,AF139/H139,1))),IF(R139&gt;0,AG139/R139,0))/MAX(0.1,N(Parameter!$M$21)))</f>
        <v>0.166666666666667</v>
      </c>
      <c r="AI139" s="50" t="n">
        <f aca="false">AH139*BY139</f>
        <v>39.1666666666667</v>
      </c>
      <c r="AJ139" s="50" t="n">
        <f aca="false">AF139*G139</f>
        <v>3615.84</v>
      </c>
      <c r="AK139" s="50" t="n">
        <f aca="false">ROUNDUP(MAX(J139/IF(CD139&gt;0,CD139,MAX(0.1,N(Cockpit!$C$6))),CG139)/BV139,0)*BV139</f>
        <v>120</v>
      </c>
      <c r="AL139" s="51" t="n">
        <f aca="false">IF(AI139&gt;0,J139/AI139,-1)</f>
        <v>4.00851063829787</v>
      </c>
      <c r="AM139" s="51" t="n">
        <f aca="false">IF(AND(OR(CC139="L1",CC139="L23",CC139="LIFT"),AI139&gt;0),SUMIFS($AI$7:$AI$1843,$CC$7:$CC$1843,CC139,$AL$7:$AL$1843,"&gt;"&amp;AL139)+SUMIFS($AI$7:$AI$1843,$CC$7:$CC$1843,CC139,$AL$7:$AL$1843,AL139,$BT$7:$BT$1843,"&lt;="&amp;BT139),"")</f>
        <v>4429.15384615385</v>
      </c>
      <c r="AN139" s="58" t="n">
        <f aca="false">IF(AM139="",0,MAX(0,MIN(1,(IF(CC139="L1",Parameter!$H$5,IF(CC139="L23",Parameter!$H$6+Parameter!$H$7,Parameter!$H$5+Parameter!$H$6+Parameter!$H$7))-(AM139-AI139))/AI139)))</f>
        <v>1</v>
      </c>
      <c r="AO139" s="50" t="n">
        <f aca="false">IF(LEFT(Cockpit!$I$5,1)="A",H139,IF(CE139=1,CF139,IF(LEFT(Cockpit!$I$5,1)="B",AT139,MAX(AT139,H139))))</f>
        <v>120</v>
      </c>
      <c r="AP139" s="50" t="n">
        <f aca="false">IF(BW139=1,0,ROUNDUP(AO139/BV139,0))</f>
        <v>2</v>
      </c>
      <c r="AQ139" s="52" t="n">
        <f aca="false">IF(CL139&gt;0,CL139*MAX(1,AO139/X139),IF(BW139=1,IF(AO139&lt;=0,0,CA139*MAX(1,IF(H139&gt;0,AO139/H139,1))),IF(R139&gt;0,AP139/R139,0))/MAX(0.1,N(Parameter!$M$21)))</f>
        <v>0.333333333333333</v>
      </c>
      <c r="AR139" s="50" t="n">
        <f aca="false">AQ139*BY139</f>
        <v>78.3333333333333</v>
      </c>
      <c r="AS139" s="50" t="n">
        <f aca="false">AO139*G139</f>
        <v>13996.8</v>
      </c>
      <c r="AT139" s="50" t="n">
        <f aca="false">ROUNDUP(MAX(J139/IF(CD139&gt;0,CD139,MAX(0.1,N(Cockpit!$I$6))),CG139)/BV139,0)*BV139</f>
        <v>120</v>
      </c>
      <c r="AU139" s="51" t="n">
        <f aca="false">IF(AR139&gt;0,J139/AR139,-1)</f>
        <v>2.00425531914894</v>
      </c>
      <c r="AV139" s="51" t="n">
        <f aca="false">IF(AND(OR(CC139="L1",CC139="L23",CC139="LIFT"),AR139&gt;0),SUMIFS($AR$7:$AR$1843,$CC$7:$CC$1843,CC139,$AU$7:$AU$1843,"&gt;"&amp;AU139)+SUMIFS($AR$7:$AR$1843,$CC$7:$CC$1843,CC139,$AU$7:$AU$1843,AU139,$BT$7:$BT$1843,"&lt;="&amp;BT139),"")</f>
        <v>7819.11584249084</v>
      </c>
      <c r="AW139" s="58" t="n">
        <f aca="false">IF(AV139="",0,MAX(0,MIN(1,(IF(CC139="L1",Parameter!$H$5,IF(CC139="L23",Parameter!$H$6+Parameter!$H$7,Parameter!$H$5+Parameter!$H$6+Parameter!$H$7))-(AV139-AR139))/AR139)))</f>
        <v>1</v>
      </c>
      <c r="AX139" s="50" t="n">
        <f aca="false">IF(LEFT(Cockpit!$O$5,1)="A",H139,IF(CE139=1,CF139,IF(LEFT(Cockpit!$O$5,1)="B",BC139,MAX(BC139,H139))))</f>
        <v>60</v>
      </c>
      <c r="AY139" s="50" t="n">
        <f aca="false">IF(BW139=1,0,ROUNDUP(AX139/BV139,0))</f>
        <v>1</v>
      </c>
      <c r="AZ139" s="52" t="n">
        <f aca="false">IF(CL139&gt;0,CL139*MAX(1,AX139/X139),IF(BW139=1,IF(AX139&lt;=0,0,CA139*MAX(1,IF(H139&gt;0,AX139/H139,1))),IF(R139&gt;0,AY139/R139,0))/MAX(0.1,N(Parameter!$M$21)))</f>
        <v>0.166666666666667</v>
      </c>
      <c r="BA139" s="50" t="n">
        <f aca="false">AZ139*BY139</f>
        <v>39.1666666666667</v>
      </c>
      <c r="BB139" s="50" t="n">
        <f aca="false">AX139*G139</f>
        <v>6998.4</v>
      </c>
      <c r="BC139" s="50" t="n">
        <f aca="false">ROUNDUP(MAX(J139/IF(CD139&gt;0,CD139,MAX(0.1,N(Cockpit!$O$6))),CG139)/BV139,0)*BV139</f>
        <v>60</v>
      </c>
      <c r="BD139" s="51" t="n">
        <f aca="false">IF(BA139&gt;0,J139/BA139,-1)</f>
        <v>4.00851063829787</v>
      </c>
      <c r="BE139" s="51" t="n">
        <f aca="false">IF(AND(OR(CC139="L1",CC139="L23",CC139="LIFT"),BA139&gt;0),SUMIFS($BA$7:$BA$1843,$CC$7:$CC$1843,CC139,$BD$7:$BD$1843,"&gt;"&amp;BD139)+SUMIFS($BA$7:$BA$1843,$CC$7:$CC$1843,CC139,$BD$7:$BD$1843,BD139,$BT$7:$BT$1843,"&lt;="&amp;BT139),"")</f>
        <v>5341.67857142857</v>
      </c>
      <c r="BF139" s="58" t="n">
        <f aca="false">IF(BE139="",0,MAX(0,MIN(1,(IF(CC139="L1",Parameter!$H$5,IF(CC139="L23",Parameter!$H$6+Parameter!$H$7,Parameter!$H$5+Parameter!$H$6+Parameter!$H$7))-(BE139-BA139))/BA139)))</f>
        <v>1</v>
      </c>
      <c r="BG139" s="48" t="str">
        <f aca="false">IF(AI139&lt;=0,"",IF(CC139="Aussen","Aussenlager",IF(CC139="-","Nicht im Lift",IF(AN139&gt;=1,"Lift",IF(AN139&lt;=0,"Aussenlager","teilweise")))))</f>
        <v>Lift</v>
      </c>
      <c r="BH139" s="48" t="str">
        <f aca="false">IF(AR139&lt;=0,"",IF(CC139="Aussen","Aussenlager",IF(CC139="-","Nicht im Lift",IF(AW139&gt;=1,"Lift",IF(AW139&lt;=0,"Aussenlager","teilweise")))))</f>
        <v>Lift</v>
      </c>
      <c r="BI139" s="48" t="str">
        <f aca="false">IF(BA139&lt;=0,"",IF(CC139="Aussen","Aussenlager",IF(CC139="-","Nicht im Lift",IF(BF139&gt;=1,"Lift",IF(BF139&lt;=0,"Aussenlager","teilweise")))))</f>
        <v>Lift</v>
      </c>
      <c r="BJ139" s="48" t="str">
        <f aca="false">IF(A139="","",IF(BS139=1,"Neu; ","")&amp;IF(AND(BS139=0,BN139&lt;0),"negativer Bestand (Export "&amp;BN139&amp;"); ","")&amp;IF(J139&lt;=0,"Kein Verbrauch; ","")&amp;IF(CL139&gt;0,"Lift "&amp;W139&amp;" lt. Liftbericht (Fach "&amp;X139&amp;" Stk); ",IF(BX139=1,"Gebinde geschätzt ("&amp;T139&amp;"); ",IF(BW139=1,"Lose – Tablare geschätzt; ","")))&amp;IF(H139&gt;AT139,"Überbestand "&amp;ROUND(H139-AT139,0)&amp;" Stk / CHF "&amp;ROUND((H139-AT139)*G139,0)&amp;"; ","")&amp;IF(AND(CE139=1,CF139&lt;CG139),"MAX &lt; MB+LG; ","")&amp;IF(AND(CK139&gt;0,CJ139*10&gt;CK139),"zu hoch für Tablar; ","")&amp;IF(AND(BS139=0,OR(CE139=1,AA139&lt;&gt;"",U139&lt;&gt;"",V139&lt;&gt;"",AB139&lt;&gt;"")),"manuell übersteuert; ","")&amp;IF(AND(BW139=0,R139=0),"Gebinde unbekannt / Stellmass fehlt; ","")&amp;IF(AND(BW139=0,N(V139)&lt;=0,N(Q139)&lt;=0),"Menge pro Gebinde fehlt (Ist = 1 Gebinde); ","")&amp;BR139)</f>
        <v/>
      </c>
      <c r="BK139" s="48"/>
      <c r="BL139" s="48"/>
      <c r="BM139" s="55"/>
      <c r="BN139" s="50" t="n">
        <v>13</v>
      </c>
      <c r="BO139" s="50" t="n">
        <v>18</v>
      </c>
      <c r="BP139" s="49" t="n">
        <v>1547.82</v>
      </c>
      <c r="BQ139" s="50" t="n">
        <v>157</v>
      </c>
      <c r="BR139" s="48"/>
      <c r="BS139" s="53" t="n">
        <v>0</v>
      </c>
      <c r="BT139" s="53" t="n">
        <v>139</v>
      </c>
      <c r="BU139" s="48" t="str">
        <f aca="false">IF(U139&lt;&gt;"",UPPER(TRIM(U139)),IF(BX139=1,UPPER(VLOOKUP(T139,Parameter!$I$27:$K$29,2,0)),IF(P139="","LOSE",P139)))</f>
        <v>S71</v>
      </c>
      <c r="BV139" s="50" t="n">
        <f aca="false">IF(BU139="LOSE",1,IF(N(V139)&gt;0,V139,IF(BX139=1,MAX(1,N(VLOOKUP(T139,Parameter!$I$27:$K$29,3,0)),H139,N(N139)),IF(N(Q139)&gt;0,Q139,MAX(1,H139)))))</f>
        <v>60</v>
      </c>
      <c r="BW139" s="53" t="n">
        <f aca="false">IF(BU139="LOSE",1,0)</f>
        <v>0</v>
      </c>
      <c r="BX139" s="53" t="n">
        <f aca="false">IF(AND(U139="",OR(P139="",P139="LOSE"),T139&lt;&gt;"",N(S139)&lt;=0,ISNUMBER(MATCH(T139,Parameter!$I$27:$I$29,0))),1,0)</f>
        <v>0</v>
      </c>
      <c r="BY139" s="53" t="n">
        <f aca="false">IF(CL139&gt;0,INDEX(Parameter!$H$5:$H$7,W139)/INDEX(Parameter!$E$5:$E$7,W139),IF(AND(BW139=0,N(IFERROR(VLOOKUP(BU139,'Gebinde-Kategorie'!$A$5:$N$45,14,0),0))&gt;0),VLOOKUP(BU139,'Gebinde-Kategorie'!$A$5:$N$45,14,0)*10+Parameter!$M$23,Parameter!$M$24))</f>
        <v>235</v>
      </c>
      <c r="BZ139" s="48" t="str">
        <f aca="false">IF(AND(Parameter!$B$19="Ja",E139&lt;&gt;"",ISNUMBER(MATCH(E139,Parameter!$I$35:$I$52,0))),VLOOKUP(E139,Parameter!$I$35:$J$52,2,0),IFERROR(VLOOKUP(D139,Parameter!$A$35:$C$64,2,0),"Nein"))</f>
        <v>2+3</v>
      </c>
      <c r="CA139" s="52" t="n">
        <f aca="false">IF(BW139=0,0,IF(N(S139)&gt;0,S139,IFERROR(VLOOKUP(D139,Parameter!$A$35:$C$64,3,0)+0,0)))</f>
        <v>0</v>
      </c>
      <c r="CB139" s="48" t="n">
        <f aca="false">IF(AA139&lt;&gt;"",AA139,Z139)</f>
        <v>2</v>
      </c>
      <c r="CC139" s="48" t="str">
        <f aca="false">IF(OR(CB139=1,CB139=2,CB139=3),IF(Parameter!$E$27="Ja","LIFT",IF(CB139=1,"L1","L23")),IF(CB139="Aussen","Aussen","-"))</f>
        <v>LIFT</v>
      </c>
      <c r="CD139" s="59" t="n">
        <f aca="false">IF(N(AB139)&gt;0,AB139,0)</f>
        <v>0</v>
      </c>
      <c r="CE139" s="53" t="n">
        <f aca="false">IF(ISNUMBER(AE139),1,0)</f>
        <v>0</v>
      </c>
      <c r="CF139" s="50" t="n">
        <f aca="false">N(AE139)</f>
        <v>0</v>
      </c>
      <c r="CG139" s="50" t="n">
        <f aca="false">N(M139)+N(N139)</f>
        <v>28</v>
      </c>
      <c r="CH139" s="50" t="n">
        <f aca="false">ROUNDUP(H139/BV139,0)</f>
        <v>1</v>
      </c>
      <c r="CI139" s="50" t="n">
        <f aca="false">ROUNDUP(CF139/BV139,0)</f>
        <v>0</v>
      </c>
      <c r="CJ139" s="53" t="n">
        <f aca="false">IF(BW139=1,0,IFERROR(VLOOKUP(BU139,'Gebinde-Kategorie'!$A$5:$N$45,5,0)+0,0))</f>
        <v>20</v>
      </c>
      <c r="CK139" s="53" t="n">
        <f aca="false">IFERROR(IF(OR(CB139=1,CB139=2,CB139=3),N(INDEX(Parameter!$I$5:$I$7,CB139)),0),0)</f>
        <v>0</v>
      </c>
      <c r="CL139" s="52" t="n">
        <f aca="false">IF(AND(Parameter!$B$21="Ja",ISNUMBER(W139),N(X139)&gt;0),IFERROR(N(INDEX(Parameter!$L$5:$L$7,W139))*INDEX(Parameter!$E$5:$E$7,W139)*X139/SUMIFS($X$7:$X$1843,$W$7:$W$1843,W139),0),0)</f>
        <v>0</v>
      </c>
    </row>
    <row r="140" customFormat="false" ht="15" hidden="false" customHeight="false" outlineLevel="0" collapsed="false">
      <c r="A140" s="48" t="s">
        <v>490</v>
      </c>
      <c r="B140" s="48" t="s">
        <v>491</v>
      </c>
      <c r="C140" s="48" t="s">
        <v>168</v>
      </c>
      <c r="D140" s="48" t="s">
        <v>188</v>
      </c>
      <c r="E140" s="48" t="s">
        <v>189</v>
      </c>
      <c r="F140" s="48" t="s">
        <v>222</v>
      </c>
      <c r="G140" s="49" t="n">
        <v>371.25</v>
      </c>
      <c r="H140" s="50" t="n">
        <f aca="false">MAX(0,IF(AND(Parameter!$B$21="Ja",ISNUMBER(Y140)),Y140,IF(Parameter!$B$20="Jahresanfang 2025 + Export",BO140+BN140,BN140)))</f>
        <v>5</v>
      </c>
      <c r="I140" s="50" t="n">
        <f aca="false">H140*G140</f>
        <v>1856.25</v>
      </c>
      <c r="J140" s="50" t="n">
        <f aca="false">BQ140*Parameter!$B$18</f>
        <v>0</v>
      </c>
      <c r="K140" s="51" t="n">
        <v>3</v>
      </c>
      <c r="L140" s="52" t="n">
        <v>0</v>
      </c>
      <c r="M140" s="50" t="n">
        <v>0</v>
      </c>
      <c r="N140" s="50" t="n">
        <v>1</v>
      </c>
      <c r="O140" s="53" t="n">
        <v>21</v>
      </c>
      <c r="P140" s="48" t="s">
        <v>332</v>
      </c>
      <c r="Q140" s="50" t="n">
        <v>1</v>
      </c>
      <c r="R140" s="53" t="n">
        <f aca="false">IF(BW140=1,0,IFERROR(VLOOKUP(BU140,'Gebinde-Kategorie'!$A$5:$N$45,13,0)+0,0))</f>
        <v>52</v>
      </c>
      <c r="S140" s="54"/>
      <c r="T140" s="55"/>
      <c r="U140" s="55"/>
      <c r="V140" s="55"/>
      <c r="W140" s="48"/>
      <c r="X140" s="50"/>
      <c r="Y140" s="50"/>
      <c r="Z140" s="48" t="n">
        <f aca="false">IF(A140="","",IF(AND(Parameter!$B$21="Ja",ISNUMBER(W140)),W140,IF(BZ140="2+3",IF(ISNUMBER(SEARCH("grosser Artikel",BR140)),2,IFERROR(VLOOKUP(BU140,Parameter!$F$35:$G$64,2,0),2)),IF(OR(BZ140="Nein",BZ140=""),"-",BZ140))))</f>
        <v>3</v>
      </c>
      <c r="AA140" s="55"/>
      <c r="AB140" s="56"/>
      <c r="AC140" s="50" t="n">
        <f aca="false">AT140</f>
        <v>1</v>
      </c>
      <c r="AD140" s="50" t="n">
        <f aca="false">MAX(AT140,H140)</f>
        <v>5</v>
      </c>
      <c r="AE140" s="57"/>
      <c r="AF140" s="50" t="n">
        <f aca="false">IF(LEFT(Cockpit!$C$5,1)="A",H140,IF(CE140=1,CF140,IF(LEFT(Cockpit!$C$5,1)="B",AK140,MAX(AK140,H140))))</f>
        <v>5</v>
      </c>
      <c r="AG140" s="50" t="n">
        <f aca="false">IF(BW140=1,0,ROUNDUP(AF140/BV140,0))</f>
        <v>5</v>
      </c>
      <c r="AH140" s="52" t="n">
        <f aca="false">IF(CL140&gt;0,CL140*MAX(1,AF140/X140),IF(BW140=1,IF(AF140&lt;=0,0,CA140*MAX(1,IF(H140&gt;0,AF140/H140,1))),IF(R140&gt;0,AG140/R140,0))/MAX(0.1,N(Parameter!$M$21)))</f>
        <v>0.0961538461538462</v>
      </c>
      <c r="AI140" s="50" t="n">
        <f aca="false">AH140*BY140</f>
        <v>14.9038461538462</v>
      </c>
      <c r="AJ140" s="50" t="n">
        <f aca="false">AF140*G140</f>
        <v>1856.25</v>
      </c>
      <c r="AK140" s="50" t="n">
        <f aca="false">ROUNDUP(MAX(J140/IF(CD140&gt;0,CD140,MAX(0.1,N(Cockpit!$C$6))),CG140)/BV140,0)*BV140</f>
        <v>1</v>
      </c>
      <c r="AL140" s="51" t="n">
        <f aca="false">IF(AI140&gt;0,J140/AI140,-1)</f>
        <v>0</v>
      </c>
      <c r="AM140" s="51" t="n">
        <f aca="false">IF(AND(OR(CC140="L1",CC140="L23",CC140="LIFT"),AI140&gt;0),SUMIFS($AI$7:$AI$1843,$CC$7:$CC$1843,CC140,$AL$7:$AL$1843,"&gt;"&amp;AL140)+SUMIFS($AI$7:$AI$1843,$CC$7:$CC$1843,CC140,$AL$7:$AL$1843,AL140,$BT$7:$BT$1843,"&lt;="&amp;BT140),"")</f>
        <v>27214.3536479998</v>
      </c>
      <c r="AN140" s="58" t="n">
        <f aca="false">IF(AM140="",0,MAX(0,MIN(1,(IF(CC140="L1",Parameter!$H$5,IF(CC140="L23",Parameter!$H$6+Parameter!$H$7,Parameter!$H$5+Parameter!$H$6+Parameter!$H$7))-(AM140-AI140))/AI140)))</f>
        <v>1</v>
      </c>
      <c r="AO140" s="50" t="n">
        <f aca="false">IF(LEFT(Cockpit!$I$5,1)="A",H140,IF(CE140=1,CF140,IF(LEFT(Cockpit!$I$5,1)="B",AT140,MAX(AT140,H140))))</f>
        <v>5</v>
      </c>
      <c r="AP140" s="50" t="n">
        <f aca="false">IF(BW140=1,0,ROUNDUP(AO140/BV140,0))</f>
        <v>5</v>
      </c>
      <c r="AQ140" s="52" t="n">
        <f aca="false">IF(CL140&gt;0,CL140*MAX(1,AO140/X140),IF(BW140=1,IF(AO140&lt;=0,0,CA140*MAX(1,IF(H140&gt;0,AO140/H140,1))),IF(R140&gt;0,AP140/R140,0))/MAX(0.1,N(Parameter!$M$21)))</f>
        <v>0.0961538461538462</v>
      </c>
      <c r="AR140" s="50" t="n">
        <f aca="false">AQ140*BY140</f>
        <v>14.9038461538462</v>
      </c>
      <c r="AS140" s="50" t="n">
        <f aca="false">AO140*G140</f>
        <v>1856.25</v>
      </c>
      <c r="AT140" s="50" t="n">
        <f aca="false">ROUNDUP(MAX(J140/IF(CD140&gt;0,CD140,MAX(0.1,N(Cockpit!$I$6))),CG140)/BV140,0)*BV140</f>
        <v>1</v>
      </c>
      <c r="AU140" s="51" t="n">
        <f aca="false">IF(AR140&gt;0,J140/AR140,-1)</f>
        <v>0</v>
      </c>
      <c r="AV140" s="51" t="n">
        <f aca="false">IF(AND(OR(CC140="L1",CC140="L23",CC140="LIFT"),AR140&gt;0),SUMIFS($AR$7:$AR$1843,$CC$7:$CC$1843,CC140,$AU$7:$AU$1843,"&gt;"&amp;AU140)+SUMIFS($AR$7:$AR$1843,$CC$7:$CC$1843,CC140,$AU$7:$AU$1843,AU140,$BT$7:$BT$1843,"&lt;="&amp;BT140),"")</f>
        <v>38527.2591652698</v>
      </c>
      <c r="AW140" s="58" t="n">
        <f aca="false">IF(AV140="",0,MAX(0,MIN(1,(IF(CC140="L1",Parameter!$H$5,IF(CC140="L23",Parameter!$H$6+Parameter!$H$7,Parameter!$H$5+Parameter!$H$6+Parameter!$H$7))-(AV140-AR140))/AR140)))</f>
        <v>0</v>
      </c>
      <c r="AX140" s="50" t="n">
        <f aca="false">IF(LEFT(Cockpit!$O$5,1)="A",H140,IF(CE140=1,CF140,IF(LEFT(Cockpit!$O$5,1)="B",BC140,MAX(BC140,H140))))</f>
        <v>5</v>
      </c>
      <c r="AY140" s="50" t="n">
        <f aca="false">IF(BW140=1,0,ROUNDUP(AX140/BV140,0))</f>
        <v>5</v>
      </c>
      <c r="AZ140" s="52" t="n">
        <f aca="false">IF(CL140&gt;0,CL140*MAX(1,AX140/X140),IF(BW140=1,IF(AX140&lt;=0,0,CA140*MAX(1,IF(H140&gt;0,AX140/H140,1))),IF(R140&gt;0,AY140/R140,0))/MAX(0.1,N(Parameter!$M$21)))</f>
        <v>0.0961538461538462</v>
      </c>
      <c r="BA140" s="50" t="n">
        <f aca="false">AZ140*BY140</f>
        <v>14.9038461538462</v>
      </c>
      <c r="BB140" s="50" t="n">
        <f aca="false">AX140*G140</f>
        <v>1856.25</v>
      </c>
      <c r="BC140" s="50" t="n">
        <f aca="false">ROUNDUP(MAX(J140/IF(CD140&gt;0,CD140,MAX(0.1,N(Cockpit!$O$6))),CG140)/BV140,0)*BV140</f>
        <v>1</v>
      </c>
      <c r="BD140" s="51" t="n">
        <f aca="false">IF(BA140&gt;0,J140/BA140,-1)</f>
        <v>0</v>
      </c>
      <c r="BE140" s="51" t="n">
        <f aca="false">IF(AND(OR(CC140="L1",CC140="L23",CC140="LIFT"),BA140&gt;0),SUMIFS($BA$7:$BA$1843,$CC$7:$CC$1843,CC140,$BD$7:$BD$1843,"&gt;"&amp;BD140)+SUMIFS($BA$7:$BA$1843,$CC$7:$CC$1843,CC140,$BD$7:$BD$1843,BD140,$BT$7:$BT$1843,"&lt;="&amp;BT140),"")</f>
        <v>35202.2712071356</v>
      </c>
      <c r="BF140" s="58" t="n">
        <f aca="false">IF(BE140="",0,MAX(0,MIN(1,(IF(CC140="L1",Parameter!$H$5,IF(CC140="L23",Parameter!$H$6+Parameter!$H$7,Parameter!$H$5+Parameter!$H$6+Parameter!$H$7))-(BE140-BA140))/BA140)))</f>
        <v>1</v>
      </c>
      <c r="BG140" s="48" t="str">
        <f aca="false">IF(AI140&lt;=0,"",IF(CC140="Aussen","Aussenlager",IF(CC140="-","Nicht im Lift",IF(AN140&gt;=1,"Lift",IF(AN140&lt;=0,"Aussenlager","teilweise")))))</f>
        <v>Lift</v>
      </c>
      <c r="BH140" s="48" t="str">
        <f aca="false">IF(AR140&lt;=0,"",IF(CC140="Aussen","Aussenlager",IF(CC140="-","Nicht im Lift",IF(AW140&gt;=1,"Lift",IF(AW140&lt;=0,"Aussenlager","teilweise")))))</f>
        <v>Aussenlager</v>
      </c>
      <c r="BI140" s="48" t="str">
        <f aca="false">IF(BA140&lt;=0,"",IF(CC140="Aussen","Aussenlager",IF(CC140="-","Nicht im Lift",IF(BF140&gt;=1,"Lift",IF(BF140&lt;=0,"Aussenlager","teilweise")))))</f>
        <v>Lift</v>
      </c>
      <c r="BJ140" s="48" t="str">
        <f aca="false">IF(A140="","",IF(BS140=1,"Neu; ","")&amp;IF(AND(BS140=0,BN140&lt;0),"negativer Bestand (Export "&amp;BN140&amp;"); ","")&amp;IF(J140&lt;=0,"Kein Verbrauch; ","")&amp;IF(CL140&gt;0,"Lift "&amp;W140&amp;" lt. Liftbericht (Fach "&amp;X140&amp;" Stk); ",IF(BX140=1,"Gebinde geschätzt ("&amp;T140&amp;"); ",IF(BW140=1,"Lose – Tablare geschätzt; ","")))&amp;IF(H140&gt;AT140,"Überbestand "&amp;ROUND(H140-AT140,0)&amp;" Stk / CHF "&amp;ROUND((H140-AT140)*G140,0)&amp;"; ","")&amp;IF(AND(CE140=1,CF140&lt;CG140),"MAX &lt; MB+LG; ","")&amp;IF(AND(CK140&gt;0,CJ140*10&gt;CK140),"zu hoch für Tablar; ","")&amp;IF(AND(BS140=0,OR(CE140=1,AA140&lt;&gt;"",U140&lt;&gt;"",V140&lt;&gt;"",AB140&lt;&gt;"")),"manuell übersteuert; ","")&amp;IF(AND(BW140=0,R140=0),"Gebinde unbekannt / Stellmass fehlt; ","")&amp;IF(AND(BW140=0,N(V140)&lt;=0,N(Q140)&lt;=0),"Menge pro Gebinde fehlt (Ist = 1 Gebinde); ","")&amp;BR140)</f>
        <v>Kein Verbrauch; Überbestand 4 Stk / CHF 1485; </v>
      </c>
      <c r="BK140" s="48"/>
      <c r="BL140" s="48"/>
      <c r="BM140" s="55"/>
      <c r="BN140" s="50" t="n">
        <v>4</v>
      </c>
      <c r="BO140" s="50" t="n">
        <v>1</v>
      </c>
      <c r="BP140" s="49" t="n">
        <v>1487.25</v>
      </c>
      <c r="BQ140" s="50" t="n">
        <v>0</v>
      </c>
      <c r="BR140" s="48"/>
      <c r="BS140" s="53" t="n">
        <v>0</v>
      </c>
      <c r="BT140" s="53" t="n">
        <v>140</v>
      </c>
      <c r="BU140" s="48" t="str">
        <f aca="false">IF(U140&lt;&gt;"",UPPER(TRIM(U140)),IF(BX140=1,UPPER(VLOOKUP(T140,Parameter!$I$27:$K$29,2,0)),IF(P140="","LOSE",P140)))</f>
        <v>S41</v>
      </c>
      <c r="BV140" s="50" t="n">
        <f aca="false">IF(BU140="LOSE",1,IF(N(V140)&gt;0,V140,IF(BX140=1,MAX(1,N(VLOOKUP(T140,Parameter!$I$27:$K$29,3,0)),H140,N(N140)),IF(N(Q140)&gt;0,Q140,MAX(1,H140)))))</f>
        <v>1</v>
      </c>
      <c r="BW140" s="53" t="n">
        <f aca="false">IF(BU140="LOSE",1,0)</f>
        <v>0</v>
      </c>
      <c r="BX140" s="53" t="n">
        <f aca="false">IF(AND(U140="",OR(P140="",P140="LOSE"),T140&lt;&gt;"",N(S140)&lt;=0,ISNUMBER(MATCH(T140,Parameter!$I$27:$I$29,0))),1,0)</f>
        <v>0</v>
      </c>
      <c r="BY140" s="53" t="n">
        <f aca="false">IF(CL140&gt;0,INDEX(Parameter!$H$5:$H$7,W140)/INDEX(Parameter!$E$5:$E$7,W140),IF(AND(BW140=0,N(IFERROR(VLOOKUP(BU140,'Gebinde-Kategorie'!$A$5:$N$45,14,0),0))&gt;0),VLOOKUP(BU140,'Gebinde-Kategorie'!$A$5:$N$45,14,0)*10+Parameter!$M$23,Parameter!$M$24))</f>
        <v>155</v>
      </c>
      <c r="BZ140" s="48" t="str">
        <f aca="false">IF(AND(Parameter!$B$19="Ja",E140&lt;&gt;"",ISNUMBER(MATCH(E140,Parameter!$I$35:$I$52,0))),VLOOKUP(E140,Parameter!$I$35:$J$52,2,0),IFERROR(VLOOKUP(D140,Parameter!$A$35:$C$64,2,0),"Nein"))</f>
        <v>2+3</v>
      </c>
      <c r="CA140" s="52" t="n">
        <f aca="false">IF(BW140=0,0,IF(N(S140)&gt;0,S140,IFERROR(VLOOKUP(D140,Parameter!$A$35:$C$64,3,0)+0,0)))</f>
        <v>0</v>
      </c>
      <c r="CB140" s="48" t="n">
        <f aca="false">IF(AA140&lt;&gt;"",AA140,Z140)</f>
        <v>3</v>
      </c>
      <c r="CC140" s="48" t="str">
        <f aca="false">IF(OR(CB140=1,CB140=2,CB140=3),IF(Parameter!$E$27="Ja","LIFT",IF(CB140=1,"L1","L23")),IF(CB140="Aussen","Aussen","-"))</f>
        <v>LIFT</v>
      </c>
      <c r="CD140" s="59" t="n">
        <f aca="false">IF(N(AB140)&gt;0,AB140,0)</f>
        <v>0</v>
      </c>
      <c r="CE140" s="53" t="n">
        <f aca="false">IF(ISNUMBER(AE140),1,0)</f>
        <v>0</v>
      </c>
      <c r="CF140" s="50" t="n">
        <f aca="false">N(AE140)</f>
        <v>0</v>
      </c>
      <c r="CG140" s="50" t="n">
        <f aca="false">N(M140)+N(N140)</f>
        <v>1</v>
      </c>
      <c r="CH140" s="50" t="n">
        <f aca="false">ROUNDUP(H140/BV140,0)</f>
        <v>5</v>
      </c>
      <c r="CI140" s="50" t="n">
        <f aca="false">ROUNDUP(CF140/BV140,0)</f>
        <v>0</v>
      </c>
      <c r="CJ140" s="53" t="n">
        <f aca="false">IF(BW140=1,0,IFERROR(VLOOKUP(BU140,'Gebinde-Kategorie'!$A$5:$N$45,5,0)+0,0))</f>
        <v>11</v>
      </c>
      <c r="CK140" s="53" t="n">
        <f aca="false">IFERROR(IF(OR(CB140=1,CB140=2,CB140=3),N(INDEX(Parameter!$I$5:$I$7,CB140)),0),0)</f>
        <v>0</v>
      </c>
      <c r="CL140" s="52" t="n">
        <f aca="false">IF(AND(Parameter!$B$21="Ja",ISNUMBER(W140),N(X140)&gt;0),IFERROR(N(INDEX(Parameter!$L$5:$L$7,W140))*INDEX(Parameter!$E$5:$E$7,W140)*X140/SUMIFS($X$7:$X$1843,$W$7:$W$1843,W140),0),0)</f>
        <v>0</v>
      </c>
    </row>
    <row r="141" customFormat="false" ht="15" hidden="false" customHeight="false" outlineLevel="0" collapsed="false">
      <c r="A141" s="48" t="s">
        <v>492</v>
      </c>
      <c r="B141" s="48" t="s">
        <v>493</v>
      </c>
      <c r="C141" s="48" t="s">
        <v>168</v>
      </c>
      <c r="D141" s="48" t="s">
        <v>188</v>
      </c>
      <c r="E141" s="48" t="s">
        <v>189</v>
      </c>
      <c r="F141" s="48" t="s">
        <v>222</v>
      </c>
      <c r="G141" s="49" t="n">
        <v>1.64</v>
      </c>
      <c r="H141" s="50" t="n">
        <f aca="false">MAX(0,IF(AND(Parameter!$B$21="Ja",ISNUMBER(Y141)),Y141,IF(Parameter!$B$20="Jahresanfang 2025 + Export",BO141+BN141,BN141)))</f>
        <v>1539</v>
      </c>
      <c r="I141" s="50" t="n">
        <f aca="false">H141*G141</f>
        <v>2523.96</v>
      </c>
      <c r="J141" s="50" t="n">
        <f aca="false">BQ141*Parameter!$B$18</f>
        <v>4228</v>
      </c>
      <c r="K141" s="51" t="n">
        <v>1050.5</v>
      </c>
      <c r="L141" s="52" t="n">
        <v>4.02475011899096</v>
      </c>
      <c r="M141" s="50" t="n">
        <v>83</v>
      </c>
      <c r="N141" s="50" t="n">
        <v>2500</v>
      </c>
      <c r="O141" s="53" t="n">
        <v>7</v>
      </c>
      <c r="P141" s="48" t="s">
        <v>230</v>
      </c>
      <c r="Q141" s="50" t="n">
        <v>3358</v>
      </c>
      <c r="R141" s="53" t="n">
        <f aca="false">IF(BW141=1,0,IFERROR(VLOOKUP(BU141,'Gebinde-Kategorie'!$A$5:$N$45,13,0)+0,0))</f>
        <v>12</v>
      </c>
      <c r="S141" s="54"/>
      <c r="T141" s="55"/>
      <c r="U141" s="55"/>
      <c r="V141" s="55"/>
      <c r="W141" s="48"/>
      <c r="X141" s="50"/>
      <c r="Y141" s="50"/>
      <c r="Z141" s="48" t="n">
        <f aca="false">IF(A141="","",IF(AND(Parameter!$B$21="Ja",ISNUMBER(W141)),W141,IF(BZ141="2+3",IF(ISNUMBER(SEARCH("grosser Artikel",BR141)),2,IFERROR(VLOOKUP(BU141,Parameter!$F$35:$G$64,2,0),2)),IF(OR(BZ141="Nein",BZ141=""),"-",BZ141))))</f>
        <v>2</v>
      </c>
      <c r="AA141" s="55"/>
      <c r="AB141" s="56"/>
      <c r="AC141" s="50" t="n">
        <f aca="false">AT141</f>
        <v>3358</v>
      </c>
      <c r="AD141" s="50" t="n">
        <f aca="false">MAX(AT141,H141)</f>
        <v>3358</v>
      </c>
      <c r="AE141" s="57"/>
      <c r="AF141" s="50" t="n">
        <f aca="false">IF(LEFT(Cockpit!$C$5,1)="A",H141,IF(CE141=1,CF141,IF(LEFT(Cockpit!$C$5,1)="B",AK141,MAX(AK141,H141))))</f>
        <v>1539</v>
      </c>
      <c r="AG141" s="50" t="n">
        <f aca="false">IF(BW141=1,0,ROUNDUP(AF141/BV141,0))</f>
        <v>1</v>
      </c>
      <c r="AH141" s="52" t="n">
        <f aca="false">IF(CL141&gt;0,CL141*MAX(1,AF141/X141),IF(BW141=1,IF(AF141&lt;=0,0,CA141*MAX(1,IF(H141&gt;0,AF141/H141,1))),IF(R141&gt;0,AG141/R141,0))/MAX(0.1,N(Parameter!$M$21)))</f>
        <v>0.0833333333333333</v>
      </c>
      <c r="AI141" s="50" t="n">
        <f aca="false">AH141*BY141</f>
        <v>28.75</v>
      </c>
      <c r="AJ141" s="50" t="n">
        <f aca="false">AF141*G141</f>
        <v>2523.96</v>
      </c>
      <c r="AK141" s="50" t="n">
        <f aca="false">ROUNDUP(MAX(J141/IF(CD141&gt;0,CD141,MAX(0.1,N(Cockpit!$C$6))),CG141)/BV141,0)*BV141</f>
        <v>3358</v>
      </c>
      <c r="AL141" s="51" t="n">
        <f aca="false">IF(AI141&gt;0,J141/AI141,-1)</f>
        <v>147.060869565217</v>
      </c>
      <c r="AM141" s="51" t="n">
        <f aca="false">IF(AND(OR(CC141="L1",CC141="L23",CC141="LIFT"),AI141&gt;0),SUMIFS($AI$7:$AI$1843,$CC$7:$CC$1843,CC141,$AL$7:$AL$1843,"&gt;"&amp;AL141)+SUMIFS($AI$7:$AI$1843,$CC$7:$CC$1843,CC141,$AL$7:$AL$1843,AL141,$BT$7:$BT$1843,"&lt;="&amp;BT141),"")</f>
        <v>494.876831501832</v>
      </c>
      <c r="AN141" s="58" t="n">
        <f aca="false">IF(AM141="",0,MAX(0,MIN(1,(IF(CC141="L1",Parameter!$H$5,IF(CC141="L23",Parameter!$H$6+Parameter!$H$7,Parameter!$H$5+Parameter!$H$6+Parameter!$H$7))-(AM141-AI141))/AI141)))</f>
        <v>1</v>
      </c>
      <c r="AO141" s="50" t="n">
        <f aca="false">IF(LEFT(Cockpit!$I$5,1)="A",H141,IF(CE141=1,CF141,IF(LEFT(Cockpit!$I$5,1)="B",AT141,MAX(AT141,H141))))</f>
        <v>3358</v>
      </c>
      <c r="AP141" s="50" t="n">
        <f aca="false">IF(BW141=1,0,ROUNDUP(AO141/BV141,0))</f>
        <v>1</v>
      </c>
      <c r="AQ141" s="52" t="n">
        <f aca="false">IF(CL141&gt;0,CL141*MAX(1,AO141/X141),IF(BW141=1,IF(AO141&lt;=0,0,CA141*MAX(1,IF(H141&gt;0,AO141/H141,1))),IF(R141&gt;0,AP141/R141,0))/MAX(0.1,N(Parameter!$M$21)))</f>
        <v>0.0833333333333333</v>
      </c>
      <c r="AR141" s="50" t="n">
        <f aca="false">AQ141*BY141</f>
        <v>28.75</v>
      </c>
      <c r="AS141" s="50" t="n">
        <f aca="false">AO141*G141</f>
        <v>5507.12</v>
      </c>
      <c r="AT141" s="50" t="n">
        <f aca="false">ROUNDUP(MAX(J141/IF(CD141&gt;0,CD141,MAX(0.1,N(Cockpit!$I$6))),CG141)/BV141,0)*BV141</f>
        <v>3358</v>
      </c>
      <c r="AU141" s="51" t="n">
        <f aca="false">IF(AR141&gt;0,J141/AR141,-1)</f>
        <v>147.060869565217</v>
      </c>
      <c r="AV141" s="51" t="n">
        <f aca="false">IF(AND(OR(CC141="L1",CC141="L23",CC141="LIFT"),AR141&gt;0),SUMIFS($AR$7:$AR$1843,$CC$7:$CC$1843,CC141,$AU$7:$AU$1843,"&gt;"&amp;AU141)+SUMIFS($AR$7:$AR$1843,$CC$7:$CC$1843,CC141,$AU$7:$AU$1843,AU141,$BT$7:$BT$1843,"&lt;="&amp;BT141),"")</f>
        <v>648.358974358974</v>
      </c>
      <c r="AW141" s="58" t="n">
        <f aca="false">IF(AV141="",0,MAX(0,MIN(1,(IF(CC141="L1",Parameter!$H$5,IF(CC141="L23",Parameter!$H$6+Parameter!$H$7,Parameter!$H$5+Parameter!$H$6+Parameter!$H$7))-(AV141-AR141))/AR141)))</f>
        <v>1</v>
      </c>
      <c r="AX141" s="50" t="n">
        <f aca="false">IF(LEFT(Cockpit!$O$5,1)="A",H141,IF(CE141=1,CF141,IF(LEFT(Cockpit!$O$5,1)="B",BC141,MAX(BC141,H141))))</f>
        <v>3358</v>
      </c>
      <c r="AY141" s="50" t="n">
        <f aca="false">IF(BW141=1,0,ROUNDUP(AX141/BV141,0))</f>
        <v>1</v>
      </c>
      <c r="AZ141" s="52" t="n">
        <f aca="false">IF(CL141&gt;0,CL141*MAX(1,AX141/X141),IF(BW141=1,IF(AX141&lt;=0,0,CA141*MAX(1,IF(H141&gt;0,AX141/H141,1))),IF(R141&gt;0,AY141/R141,0))/MAX(0.1,N(Parameter!$M$21)))</f>
        <v>0.0833333333333333</v>
      </c>
      <c r="BA141" s="50" t="n">
        <f aca="false">AZ141*BY141</f>
        <v>28.75</v>
      </c>
      <c r="BB141" s="50" t="n">
        <f aca="false">AX141*G141</f>
        <v>5507.12</v>
      </c>
      <c r="BC141" s="50" t="n">
        <f aca="false">ROUNDUP(MAX(J141/IF(CD141&gt;0,CD141,MAX(0.1,N(Cockpit!$O$6))),CG141)/BV141,0)*BV141</f>
        <v>3358</v>
      </c>
      <c r="BD141" s="51" t="n">
        <f aca="false">IF(BA141&gt;0,J141/BA141,-1)</f>
        <v>147.060869565217</v>
      </c>
      <c r="BE141" s="51" t="n">
        <f aca="false">IF(AND(OR(CC141="L1",CC141="L23",CC141="LIFT"),BA141&gt;0),SUMIFS($BA$7:$BA$1843,$CC$7:$CC$1843,CC141,$BD$7:$BD$1843,"&gt;"&amp;BD141)+SUMIFS($BA$7:$BA$1843,$CC$7:$CC$1843,CC141,$BD$7:$BD$1843,BD141,$BT$7:$BT$1843,"&lt;="&amp;BT141),"")</f>
        <v>592.798076923077</v>
      </c>
      <c r="BF141" s="58" t="n">
        <f aca="false">IF(BE141="",0,MAX(0,MIN(1,(IF(CC141="L1",Parameter!$H$5,IF(CC141="L23",Parameter!$H$6+Parameter!$H$7,Parameter!$H$5+Parameter!$H$6+Parameter!$H$7))-(BE141-BA141))/BA141)))</f>
        <v>1</v>
      </c>
      <c r="BG141" s="48" t="str">
        <f aca="false">IF(AI141&lt;=0,"",IF(CC141="Aussen","Aussenlager",IF(CC141="-","Nicht im Lift",IF(AN141&gt;=1,"Lift",IF(AN141&lt;=0,"Aussenlager","teilweise")))))</f>
        <v>Lift</v>
      </c>
      <c r="BH141" s="48" t="str">
        <f aca="false">IF(AR141&lt;=0,"",IF(CC141="Aussen","Aussenlager",IF(CC141="-","Nicht im Lift",IF(AW141&gt;=1,"Lift",IF(AW141&lt;=0,"Aussenlager","teilweise")))))</f>
        <v>Lift</v>
      </c>
      <c r="BI141" s="48" t="str">
        <f aca="false">IF(BA141&lt;=0,"",IF(CC141="Aussen","Aussenlager",IF(CC141="-","Nicht im Lift",IF(BF141&gt;=1,"Lift",IF(BF141&lt;=0,"Aussenlager","teilweise")))))</f>
        <v>Lift</v>
      </c>
      <c r="BJ141" s="48" t="str">
        <f aca="false">IF(A141="","",IF(BS141=1,"Neu; ","")&amp;IF(AND(BS141=0,BN141&lt;0),"negativer Bestand (Export "&amp;BN141&amp;"); ","")&amp;IF(J141&lt;=0,"Kein Verbrauch; ","")&amp;IF(CL141&gt;0,"Lift "&amp;W141&amp;" lt. Liftbericht (Fach "&amp;X141&amp;" Stk); ",IF(BX141=1,"Gebinde geschätzt ("&amp;T141&amp;"); ",IF(BW141=1,"Lose – Tablare geschätzt; ","")))&amp;IF(H141&gt;AT141,"Überbestand "&amp;ROUND(H141-AT141,0)&amp;" Stk / CHF "&amp;ROUND((H141-AT141)*G141,0)&amp;"; ","")&amp;IF(AND(CE141=1,CF141&lt;CG141),"MAX &lt; MB+LG; ","")&amp;IF(AND(CK141&gt;0,CJ141*10&gt;CK141),"zu hoch für Tablar; ","")&amp;IF(AND(BS141=0,OR(CE141=1,AA141&lt;&gt;"",U141&lt;&gt;"",V141&lt;&gt;"",AB141&lt;&gt;"")),"manuell übersteuert; ","")&amp;IF(AND(BW141=0,R141=0),"Gebinde unbekannt / Stellmass fehlt; ","")&amp;IF(AND(BW141=0,N(V141)&lt;=0,N(Q141)&lt;=0),"Menge pro Gebinde fehlt (Ist = 1 Gebinde); ","")&amp;BR141)</f>
        <v/>
      </c>
      <c r="BK141" s="48"/>
      <c r="BL141" s="48"/>
      <c r="BM141" s="55"/>
      <c r="BN141" s="50" t="n">
        <v>902</v>
      </c>
      <c r="BO141" s="50" t="n">
        <v>637</v>
      </c>
      <c r="BP141" s="49" t="n">
        <v>1466.8</v>
      </c>
      <c r="BQ141" s="50" t="n">
        <v>4228</v>
      </c>
      <c r="BR141" s="48"/>
      <c r="BS141" s="53" t="n">
        <v>0</v>
      </c>
      <c r="BT141" s="53" t="n">
        <v>141</v>
      </c>
      <c r="BU141" s="48" t="str">
        <f aca="false">IF(U141&lt;&gt;"",UPPER(TRIM(U141)),IF(BX141=1,UPPER(VLOOKUP(T141,Parameter!$I$27:$K$29,2,0)),IF(P141="","LOSE",P141)))</f>
        <v>S63</v>
      </c>
      <c r="BV141" s="50" t="n">
        <f aca="false">IF(BU141="LOSE",1,IF(N(V141)&gt;0,V141,IF(BX141=1,MAX(1,N(VLOOKUP(T141,Parameter!$I$27:$K$29,3,0)),H141,N(N141)),IF(N(Q141)&gt;0,Q141,MAX(1,H141)))))</f>
        <v>3358</v>
      </c>
      <c r="BW141" s="53" t="n">
        <f aca="false">IF(BU141="LOSE",1,0)</f>
        <v>0</v>
      </c>
      <c r="BX141" s="53" t="n">
        <f aca="false">IF(AND(U141="",OR(P141="",P141="LOSE"),T141&lt;&gt;"",N(S141)&lt;=0,ISNUMBER(MATCH(T141,Parameter!$I$27:$I$29,0))),1,0)</f>
        <v>0</v>
      </c>
      <c r="BY141" s="53" t="n">
        <f aca="false">IF(CL141&gt;0,INDEX(Parameter!$H$5:$H$7,W141)/INDEX(Parameter!$E$5:$E$7,W141),IF(AND(BW141=0,N(IFERROR(VLOOKUP(BU141,'Gebinde-Kategorie'!$A$5:$N$45,14,0),0))&gt;0),VLOOKUP(BU141,'Gebinde-Kategorie'!$A$5:$N$45,14,0)*10+Parameter!$M$23,Parameter!$M$24))</f>
        <v>345</v>
      </c>
      <c r="BZ141" s="48" t="str">
        <f aca="false">IF(AND(Parameter!$B$19="Ja",E141&lt;&gt;"",ISNUMBER(MATCH(E141,Parameter!$I$35:$I$52,0))),VLOOKUP(E141,Parameter!$I$35:$J$52,2,0),IFERROR(VLOOKUP(D141,Parameter!$A$35:$C$64,2,0),"Nein"))</f>
        <v>2+3</v>
      </c>
      <c r="CA141" s="52" t="n">
        <f aca="false">IF(BW141=0,0,IF(N(S141)&gt;0,S141,IFERROR(VLOOKUP(D141,Parameter!$A$35:$C$64,3,0)+0,0)))</f>
        <v>0</v>
      </c>
      <c r="CB141" s="48" t="n">
        <f aca="false">IF(AA141&lt;&gt;"",AA141,Z141)</f>
        <v>2</v>
      </c>
      <c r="CC141" s="48" t="str">
        <f aca="false">IF(OR(CB141=1,CB141=2,CB141=3),IF(Parameter!$E$27="Ja","LIFT",IF(CB141=1,"L1","L23")),IF(CB141="Aussen","Aussen","-"))</f>
        <v>LIFT</v>
      </c>
      <c r="CD141" s="59" t="n">
        <f aca="false">IF(N(AB141)&gt;0,AB141,0)</f>
        <v>0</v>
      </c>
      <c r="CE141" s="53" t="n">
        <f aca="false">IF(ISNUMBER(AE141),1,0)</f>
        <v>0</v>
      </c>
      <c r="CF141" s="50" t="n">
        <f aca="false">N(AE141)</f>
        <v>0</v>
      </c>
      <c r="CG141" s="50" t="n">
        <f aca="false">N(M141)+N(N141)</f>
        <v>2583</v>
      </c>
      <c r="CH141" s="50" t="n">
        <f aca="false">ROUNDUP(H141/BV141,0)</f>
        <v>1</v>
      </c>
      <c r="CI141" s="50" t="n">
        <f aca="false">ROUNDUP(CF141/BV141,0)</f>
        <v>0</v>
      </c>
      <c r="CJ141" s="53" t="n">
        <f aca="false">IF(BW141=1,0,IFERROR(VLOOKUP(BU141,'Gebinde-Kategorie'!$A$5:$N$45,5,0)+0,0))</f>
        <v>31</v>
      </c>
      <c r="CK141" s="53" t="n">
        <f aca="false">IFERROR(IF(OR(CB141=1,CB141=2,CB141=3),N(INDEX(Parameter!$I$5:$I$7,CB141)),0),0)</f>
        <v>0</v>
      </c>
      <c r="CL141" s="52" t="n">
        <f aca="false">IF(AND(Parameter!$B$21="Ja",ISNUMBER(W141),N(X141)&gt;0),IFERROR(N(INDEX(Parameter!$L$5:$L$7,W141))*INDEX(Parameter!$E$5:$E$7,W141)*X141/SUMIFS($X$7:$X$1843,$W$7:$W$1843,W141),0),0)</f>
        <v>0</v>
      </c>
    </row>
    <row r="142" customFormat="false" ht="15" hidden="false" customHeight="false" outlineLevel="0" collapsed="false">
      <c r="A142" s="48" t="s">
        <v>494</v>
      </c>
      <c r="B142" s="48" t="s">
        <v>495</v>
      </c>
      <c r="C142" s="48" t="s">
        <v>168</v>
      </c>
      <c r="D142" s="48" t="s">
        <v>177</v>
      </c>
      <c r="E142" s="48"/>
      <c r="F142" s="48" t="s">
        <v>222</v>
      </c>
      <c r="G142" s="49" t="n">
        <v>365.35</v>
      </c>
      <c r="H142" s="50" t="n">
        <f aca="false">MAX(0,IF(AND(Parameter!$B$21="Ja",ISNUMBER(Y142)),Y142,IF(Parameter!$B$20="Jahresanfang 2025 + Export",BO142+BN142,BN142)))</f>
        <v>4</v>
      </c>
      <c r="I142" s="50" t="n">
        <f aca="false">H142*G142</f>
        <v>1461.4</v>
      </c>
      <c r="J142" s="50" t="n">
        <f aca="false">BQ142*Parameter!$B$18</f>
        <v>0</v>
      </c>
      <c r="K142" s="51" t="n">
        <v>0</v>
      </c>
      <c r="L142" s="52" t="n">
        <v>0</v>
      </c>
      <c r="M142" s="50" t="n">
        <v>0</v>
      </c>
      <c r="N142" s="50" t="n">
        <v>1</v>
      </c>
      <c r="O142" s="53" t="n">
        <v>14</v>
      </c>
      <c r="P142" s="48" t="s">
        <v>172</v>
      </c>
      <c r="Q142" s="50"/>
      <c r="R142" s="53" t="n">
        <f aca="false">IF(BW142=1,0,IFERROR(VLOOKUP(BU142,'Gebinde-Kategorie'!$A$5:$N$45,13,0)+0,0))</f>
        <v>4</v>
      </c>
      <c r="S142" s="54"/>
      <c r="T142" s="55" t="s">
        <v>193</v>
      </c>
      <c r="U142" s="55"/>
      <c r="V142" s="55"/>
      <c r="W142" s="48"/>
      <c r="X142" s="50"/>
      <c r="Y142" s="50"/>
      <c r="Z142" s="48" t="n">
        <f aca="false">IF(A142="","",IF(AND(Parameter!$B$21="Ja",ISNUMBER(W142)),W142,IF(BZ142="2+3",IF(ISNUMBER(SEARCH("grosser Artikel",BR142)),2,IFERROR(VLOOKUP(BU142,Parameter!$F$35:$G$64,2,0),2)),IF(OR(BZ142="Nein",BZ142=""),"-",BZ142))))</f>
        <v>2</v>
      </c>
      <c r="AA142" s="55"/>
      <c r="AB142" s="56"/>
      <c r="AC142" s="50" t="n">
        <f aca="false">AT142</f>
        <v>4</v>
      </c>
      <c r="AD142" s="50" t="n">
        <f aca="false">MAX(AT142,H142)</f>
        <v>4</v>
      </c>
      <c r="AE142" s="57"/>
      <c r="AF142" s="50" t="n">
        <f aca="false">IF(LEFT(Cockpit!$C$5,1)="A",H142,IF(CE142=1,CF142,IF(LEFT(Cockpit!$C$5,1)="B",AK142,MAX(AK142,H142))))</f>
        <v>4</v>
      </c>
      <c r="AG142" s="50" t="n">
        <f aca="false">IF(BW142=1,0,ROUNDUP(AF142/BV142,0))</f>
        <v>1</v>
      </c>
      <c r="AH142" s="52" t="n">
        <f aca="false">IF(CL142&gt;0,CL142*MAX(1,AF142/X142),IF(BW142=1,IF(AF142&lt;=0,0,CA142*MAX(1,IF(H142&gt;0,AF142/H142,1))),IF(R142&gt;0,AG142/R142,0))/MAX(0.1,N(Parameter!$M$21)))</f>
        <v>0.25</v>
      </c>
      <c r="AI142" s="50" t="n">
        <f aca="false">AH142*BY142</f>
        <v>58.75</v>
      </c>
      <c r="AJ142" s="50" t="n">
        <f aca="false">AF142*G142</f>
        <v>1461.4</v>
      </c>
      <c r="AK142" s="50" t="n">
        <f aca="false">ROUNDUP(MAX(J142/IF(CD142&gt;0,CD142,MAX(0.1,N(Cockpit!$C$6))),CG142)/BV142,0)*BV142</f>
        <v>4</v>
      </c>
      <c r="AL142" s="51" t="n">
        <f aca="false">IF(AI142&gt;0,J142/AI142,-1)</f>
        <v>0</v>
      </c>
      <c r="AM142" s="51" t="n">
        <f aca="false">IF(AND(OR(CC142="L1",CC142="L23",CC142="LIFT"),AI142&gt;0),SUMIFS($AI$7:$AI$1843,$CC$7:$CC$1843,CC142,$AL$7:$AL$1843,"&gt;"&amp;AL142)+SUMIFS($AI$7:$AI$1843,$CC$7:$CC$1843,CC142,$AL$7:$AL$1843,AL142,$BT$7:$BT$1843,"&lt;="&amp;BT142),"")</f>
        <v>27273.1036479998</v>
      </c>
      <c r="AN142" s="58" t="n">
        <f aca="false">IF(AM142="",0,MAX(0,MIN(1,(IF(CC142="L1",Parameter!$H$5,IF(CC142="L23",Parameter!$H$6+Parameter!$H$7,Parameter!$H$5+Parameter!$H$6+Parameter!$H$7))-(AM142-AI142))/AI142)))</f>
        <v>1</v>
      </c>
      <c r="AO142" s="50" t="n">
        <f aca="false">IF(LEFT(Cockpit!$I$5,1)="A",H142,IF(CE142=1,CF142,IF(LEFT(Cockpit!$I$5,1)="B",AT142,MAX(AT142,H142))))</f>
        <v>4</v>
      </c>
      <c r="AP142" s="50" t="n">
        <f aca="false">IF(BW142=1,0,ROUNDUP(AO142/BV142,0))</f>
        <v>1</v>
      </c>
      <c r="AQ142" s="52" t="n">
        <f aca="false">IF(CL142&gt;0,CL142*MAX(1,AO142/X142),IF(BW142=1,IF(AO142&lt;=0,0,CA142*MAX(1,IF(H142&gt;0,AO142/H142,1))),IF(R142&gt;0,AP142/R142,0))/MAX(0.1,N(Parameter!$M$21)))</f>
        <v>0.25</v>
      </c>
      <c r="AR142" s="50" t="n">
        <f aca="false">AQ142*BY142</f>
        <v>58.75</v>
      </c>
      <c r="AS142" s="50" t="n">
        <f aca="false">AO142*G142</f>
        <v>1461.4</v>
      </c>
      <c r="AT142" s="50" t="n">
        <f aca="false">ROUNDUP(MAX(J142/IF(CD142&gt;0,CD142,MAX(0.1,N(Cockpit!$I$6))),CG142)/BV142,0)*BV142</f>
        <v>4</v>
      </c>
      <c r="AU142" s="51" t="n">
        <f aca="false">IF(AR142&gt;0,J142/AR142,-1)</f>
        <v>0</v>
      </c>
      <c r="AV142" s="51" t="n">
        <f aca="false">IF(AND(OR(CC142="L1",CC142="L23",CC142="LIFT"),AR142&gt;0),SUMIFS($AR$7:$AR$1843,$CC$7:$CC$1843,CC142,$AU$7:$AU$1843,"&gt;"&amp;AU142)+SUMIFS($AR$7:$AR$1843,$CC$7:$CC$1843,CC142,$AU$7:$AU$1843,AU142,$BT$7:$BT$1843,"&lt;="&amp;BT142),"")</f>
        <v>38586.0091652698</v>
      </c>
      <c r="AW142" s="58" t="n">
        <f aca="false">IF(AV142="",0,MAX(0,MIN(1,(IF(CC142="L1",Parameter!$H$5,IF(CC142="L23",Parameter!$H$6+Parameter!$H$7,Parameter!$H$5+Parameter!$H$6+Parameter!$H$7))-(AV142-AR142))/AR142)))</f>
        <v>0</v>
      </c>
      <c r="AX142" s="50" t="n">
        <f aca="false">IF(LEFT(Cockpit!$O$5,1)="A",H142,IF(CE142=1,CF142,IF(LEFT(Cockpit!$O$5,1)="B",BC142,MAX(BC142,H142))))</f>
        <v>4</v>
      </c>
      <c r="AY142" s="50" t="n">
        <f aca="false">IF(BW142=1,0,ROUNDUP(AX142/BV142,0))</f>
        <v>1</v>
      </c>
      <c r="AZ142" s="52" t="n">
        <f aca="false">IF(CL142&gt;0,CL142*MAX(1,AX142/X142),IF(BW142=1,IF(AX142&lt;=0,0,CA142*MAX(1,IF(H142&gt;0,AX142/H142,1))),IF(R142&gt;0,AY142/R142,0))/MAX(0.1,N(Parameter!$M$21)))</f>
        <v>0.25</v>
      </c>
      <c r="BA142" s="50" t="n">
        <f aca="false">AZ142*BY142</f>
        <v>58.75</v>
      </c>
      <c r="BB142" s="50" t="n">
        <f aca="false">AX142*G142</f>
        <v>1461.4</v>
      </c>
      <c r="BC142" s="50" t="n">
        <f aca="false">ROUNDUP(MAX(J142/IF(CD142&gt;0,CD142,MAX(0.1,N(Cockpit!$O$6))),CG142)/BV142,0)*BV142</f>
        <v>4</v>
      </c>
      <c r="BD142" s="51" t="n">
        <f aca="false">IF(BA142&gt;0,J142/BA142,-1)</f>
        <v>0</v>
      </c>
      <c r="BE142" s="51" t="n">
        <f aca="false">IF(AND(OR(CC142="L1",CC142="L23",CC142="LIFT"),BA142&gt;0),SUMIFS($BA$7:$BA$1843,$CC$7:$CC$1843,CC142,$BD$7:$BD$1843,"&gt;"&amp;BD142)+SUMIFS($BA$7:$BA$1843,$CC$7:$CC$1843,CC142,$BD$7:$BD$1843,BD142,$BT$7:$BT$1843,"&lt;="&amp;BT142),"")</f>
        <v>35261.0212071356</v>
      </c>
      <c r="BF142" s="58" t="n">
        <f aca="false">IF(BE142="",0,MAX(0,MIN(1,(IF(CC142="L1",Parameter!$H$5,IF(CC142="L23",Parameter!$H$6+Parameter!$H$7,Parameter!$H$5+Parameter!$H$6+Parameter!$H$7))-(BE142-BA142))/BA142)))</f>
        <v>1</v>
      </c>
      <c r="BG142" s="48" t="str">
        <f aca="false">IF(AI142&lt;=0,"",IF(CC142="Aussen","Aussenlager",IF(CC142="-","Nicht im Lift",IF(AN142&gt;=1,"Lift",IF(AN142&lt;=0,"Aussenlager","teilweise")))))</f>
        <v>Lift</v>
      </c>
      <c r="BH142" s="48" t="str">
        <f aca="false">IF(AR142&lt;=0,"",IF(CC142="Aussen","Aussenlager",IF(CC142="-","Nicht im Lift",IF(AW142&gt;=1,"Lift",IF(AW142&lt;=0,"Aussenlager","teilweise")))))</f>
        <v>Aussenlager</v>
      </c>
      <c r="BI142" s="48" t="str">
        <f aca="false">IF(BA142&lt;=0,"",IF(CC142="Aussen","Aussenlager",IF(CC142="-","Nicht im Lift",IF(BF142&gt;=1,"Lift",IF(BF142&lt;=0,"Aussenlager","teilweise")))))</f>
        <v>Lift</v>
      </c>
      <c r="BJ142" s="48" t="str">
        <f aca="false">IF(A142="","",IF(BS142=1,"Neu; ","")&amp;IF(AND(BS142=0,BN142&lt;0),"negativer Bestand (Export "&amp;BN142&amp;"); ","")&amp;IF(J142&lt;=0,"Kein Verbrauch; ","")&amp;IF(CL142&gt;0,"Lift "&amp;W142&amp;" lt. Liftbericht (Fach "&amp;X142&amp;" Stk); ",IF(BX142=1,"Gebinde geschätzt ("&amp;T142&amp;"); ",IF(BW142=1,"Lose – Tablare geschätzt; ","")))&amp;IF(H142&gt;AT142,"Überbestand "&amp;ROUND(H142-AT142,0)&amp;" Stk / CHF "&amp;ROUND((H142-AT142)*G142,0)&amp;"; ","")&amp;IF(AND(CE142=1,CF142&lt;CG142),"MAX &lt; MB+LG; ","")&amp;IF(AND(CK142&gt;0,CJ142*10&gt;CK142),"zu hoch für Tablar; ","")&amp;IF(AND(BS142=0,OR(CE142=1,AA142&lt;&gt;"",U142&lt;&gt;"",V142&lt;&gt;"",AB142&lt;&gt;"")),"manuell übersteuert; ","")&amp;IF(AND(BW142=0,R142=0),"Gebinde unbekannt / Stellmass fehlt; ","")&amp;IF(AND(BW142=0,N(V142)&lt;=0,N(Q142)&lt;=0),"Menge pro Gebinde fehlt (Ist = 1 Gebinde); ","")&amp;BR142)</f>
        <v>Kein Verbrauch; Gebinde geschätzt (Gross); Menge pro Gebinde fehlt (Ist = 1 Gebinde); </v>
      </c>
      <c r="BK142" s="48"/>
      <c r="BL142" s="48"/>
      <c r="BM142" s="55"/>
      <c r="BN142" s="50" t="n">
        <v>4</v>
      </c>
      <c r="BO142" s="50" t="n">
        <v>0</v>
      </c>
      <c r="BP142" s="49" t="n">
        <v>1461.4</v>
      </c>
      <c r="BQ142" s="50" t="n">
        <v>0</v>
      </c>
      <c r="BR142" s="48"/>
      <c r="BS142" s="53" t="n">
        <v>0</v>
      </c>
      <c r="BT142" s="53" t="n">
        <v>142</v>
      </c>
      <c r="BU142" s="48" t="str">
        <f aca="false">IF(U142&lt;&gt;"",UPPER(TRIM(U142)),IF(BX142=1,UPPER(VLOOKUP(T142,Parameter!$I$27:$K$29,2,0)),IF(P142="","LOSE",P142)))</f>
        <v>S81</v>
      </c>
      <c r="BV142" s="50" t="n">
        <f aca="false">IF(BU142="LOSE",1,IF(N(V142)&gt;0,V142,IF(BX142=1,MAX(1,N(VLOOKUP(T142,Parameter!$I$27:$K$29,3,0)),H142,N(N142)),IF(N(Q142)&gt;0,Q142,MAX(1,H142)))))</f>
        <v>4</v>
      </c>
      <c r="BW142" s="53" t="n">
        <f aca="false">IF(BU142="LOSE",1,0)</f>
        <v>0</v>
      </c>
      <c r="BX142" s="53" t="n">
        <f aca="false">IF(AND(U142="",OR(P142="",P142="LOSE"),T142&lt;&gt;"",N(S142)&lt;=0,ISNUMBER(MATCH(T142,Parameter!$I$27:$I$29,0))),1,0)</f>
        <v>1</v>
      </c>
      <c r="BY142" s="53" t="n">
        <f aca="false">IF(CL142&gt;0,INDEX(Parameter!$H$5:$H$7,W142)/INDEX(Parameter!$E$5:$E$7,W142),IF(AND(BW142=0,N(IFERROR(VLOOKUP(BU142,'Gebinde-Kategorie'!$A$5:$N$45,14,0),0))&gt;0),VLOOKUP(BU142,'Gebinde-Kategorie'!$A$5:$N$45,14,0)*10+Parameter!$M$23,Parameter!$M$24))</f>
        <v>235</v>
      </c>
      <c r="BZ142" s="48" t="str">
        <f aca="false">IF(AND(Parameter!$B$19="Ja",E142&lt;&gt;"",ISNUMBER(MATCH(E142,Parameter!$I$35:$I$52,0))),VLOOKUP(E142,Parameter!$I$35:$J$52,2,0),IFERROR(VLOOKUP(D142,Parameter!$A$35:$C$64,2,0),"Nein"))</f>
        <v>2+3</v>
      </c>
      <c r="CA142" s="52" t="n">
        <f aca="false">IF(BW142=0,0,IF(N(S142)&gt;0,S142,IFERROR(VLOOKUP(D142,Parameter!$A$35:$C$64,3,0)+0,0)))</f>
        <v>0</v>
      </c>
      <c r="CB142" s="48" t="n">
        <f aca="false">IF(AA142&lt;&gt;"",AA142,Z142)</f>
        <v>2</v>
      </c>
      <c r="CC142" s="48" t="str">
        <f aca="false">IF(OR(CB142=1,CB142=2,CB142=3),IF(Parameter!$E$27="Ja","LIFT",IF(CB142=1,"L1","L23")),IF(CB142="Aussen","Aussen","-"))</f>
        <v>LIFT</v>
      </c>
      <c r="CD142" s="59" t="n">
        <f aca="false">IF(N(AB142)&gt;0,AB142,0)</f>
        <v>0</v>
      </c>
      <c r="CE142" s="53" t="n">
        <f aca="false">IF(ISNUMBER(AE142),1,0)</f>
        <v>0</v>
      </c>
      <c r="CF142" s="50" t="n">
        <f aca="false">N(AE142)</f>
        <v>0</v>
      </c>
      <c r="CG142" s="50" t="n">
        <f aca="false">N(M142)+N(N142)</f>
        <v>1</v>
      </c>
      <c r="CH142" s="50" t="n">
        <f aca="false">ROUNDUP(H142/BV142,0)</f>
        <v>1</v>
      </c>
      <c r="CI142" s="50" t="n">
        <f aca="false">ROUNDUP(CF142/BV142,0)</f>
        <v>0</v>
      </c>
      <c r="CJ142" s="53" t="n">
        <f aca="false">IF(BW142=1,0,IFERROR(VLOOKUP(BU142,'Gebinde-Kategorie'!$A$5:$N$45,5,0)+0,0))</f>
        <v>20</v>
      </c>
      <c r="CK142" s="53" t="n">
        <f aca="false">IFERROR(IF(OR(CB142=1,CB142=2,CB142=3),N(INDEX(Parameter!$I$5:$I$7,CB142)),0),0)</f>
        <v>0</v>
      </c>
      <c r="CL142" s="52" t="n">
        <f aca="false">IF(AND(Parameter!$B$21="Ja",ISNUMBER(W142),N(X142)&gt;0),IFERROR(N(INDEX(Parameter!$L$5:$L$7,W142))*INDEX(Parameter!$E$5:$E$7,W142)*X142/SUMIFS($X$7:$X$1843,$W$7:$W$1843,W142),0),0)</f>
        <v>0</v>
      </c>
    </row>
    <row r="143" customFormat="false" ht="15" hidden="false" customHeight="false" outlineLevel="0" collapsed="false">
      <c r="A143" s="48" t="s">
        <v>496</v>
      </c>
      <c r="B143" s="48" t="s">
        <v>497</v>
      </c>
      <c r="C143" s="48" t="s">
        <v>168</v>
      </c>
      <c r="D143" s="48" t="s">
        <v>177</v>
      </c>
      <c r="E143" s="48"/>
      <c r="F143" s="48" t="s">
        <v>222</v>
      </c>
      <c r="G143" s="49" t="n">
        <v>65.52</v>
      </c>
      <c r="H143" s="50" t="n">
        <f aca="false">MAX(0,IF(AND(Parameter!$B$21="Ja",ISNUMBER(Y143)),Y143,IF(Parameter!$B$20="Jahresanfang 2025 + Export",BO143+BN143,BN143)))</f>
        <v>50</v>
      </c>
      <c r="I143" s="50" t="n">
        <f aca="false">H143*G143</f>
        <v>3276</v>
      </c>
      <c r="J143" s="50" t="n">
        <f aca="false">BQ143*Parameter!$B$18</f>
        <v>8</v>
      </c>
      <c r="K143" s="51" t="n">
        <v>38</v>
      </c>
      <c r="L143" s="52" t="n">
        <v>0.210526315789474</v>
      </c>
      <c r="M143" s="50" t="n">
        <v>0</v>
      </c>
      <c r="N143" s="50" t="n">
        <v>10</v>
      </c>
      <c r="O143" s="53" t="n">
        <v>28</v>
      </c>
      <c r="P143" s="48" t="s">
        <v>178</v>
      </c>
      <c r="Q143" s="50" t="n">
        <v>50</v>
      </c>
      <c r="R143" s="53" t="n">
        <f aca="false">IF(BW143=1,0,IFERROR(VLOOKUP(BU143,'Gebinde-Kategorie'!$A$5:$N$45,13,0)+0,0))</f>
        <v>6</v>
      </c>
      <c r="S143" s="54"/>
      <c r="T143" s="55"/>
      <c r="U143" s="55"/>
      <c r="V143" s="55"/>
      <c r="W143" s="48"/>
      <c r="X143" s="50"/>
      <c r="Y143" s="50"/>
      <c r="Z143" s="48" t="n">
        <f aca="false">IF(A143="","",IF(AND(Parameter!$B$21="Ja",ISNUMBER(W143)),W143,IF(BZ143="2+3",IF(ISNUMBER(SEARCH("grosser Artikel",BR143)),2,IFERROR(VLOOKUP(BU143,Parameter!$F$35:$G$64,2,0),2)),IF(OR(BZ143="Nein",BZ143=""),"-",BZ143))))</f>
        <v>2</v>
      </c>
      <c r="AA143" s="55"/>
      <c r="AB143" s="56"/>
      <c r="AC143" s="50" t="n">
        <f aca="false">AT143</f>
        <v>50</v>
      </c>
      <c r="AD143" s="50" t="n">
        <f aca="false">MAX(AT143,H143)</f>
        <v>50</v>
      </c>
      <c r="AE143" s="57"/>
      <c r="AF143" s="50" t="n">
        <f aca="false">IF(LEFT(Cockpit!$C$5,1)="A",H143,IF(CE143=1,CF143,IF(LEFT(Cockpit!$C$5,1)="B",AK143,MAX(AK143,H143))))</f>
        <v>50</v>
      </c>
      <c r="AG143" s="50" t="n">
        <f aca="false">IF(BW143=1,0,ROUNDUP(AF143/BV143,0))</f>
        <v>1</v>
      </c>
      <c r="AH143" s="52" t="n">
        <f aca="false">IF(CL143&gt;0,CL143*MAX(1,AF143/X143),IF(BW143=1,IF(AF143&lt;=0,0,CA143*MAX(1,IF(H143&gt;0,AF143/H143,1))),IF(R143&gt;0,AG143/R143,0))/MAX(0.1,N(Parameter!$M$21)))</f>
        <v>0.166666666666667</v>
      </c>
      <c r="AI143" s="50" t="n">
        <f aca="false">AH143*BY143</f>
        <v>39.1666666666667</v>
      </c>
      <c r="AJ143" s="50" t="n">
        <f aca="false">AF143*G143</f>
        <v>3276</v>
      </c>
      <c r="AK143" s="50" t="n">
        <f aca="false">ROUNDUP(MAX(J143/IF(CD143&gt;0,CD143,MAX(0.1,N(Cockpit!$C$6))),CG143)/BV143,0)*BV143</f>
        <v>50</v>
      </c>
      <c r="AL143" s="51" t="n">
        <f aca="false">IF(AI143&gt;0,J143/AI143,-1)</f>
        <v>0.204255319148936</v>
      </c>
      <c r="AM143" s="51" t="n">
        <f aca="false">IF(AND(OR(CC143="L1",CC143="L23",CC143="LIFT"),AI143&gt;0),SUMIFS($AI$7:$AI$1843,$CC$7:$CC$1843,CC143,$AL$7:$AL$1843,"&gt;"&amp;AL143)+SUMIFS($AI$7:$AI$1843,$CC$7:$CC$1843,CC143,$AL$7:$AL$1843,AL143,$BT$7:$BT$1843,"&lt;="&amp;BT143),"")</f>
        <v>12440.983720846</v>
      </c>
      <c r="AN143" s="58" t="n">
        <f aca="false">IF(AM143="",0,MAX(0,MIN(1,(IF(CC143="L1",Parameter!$H$5,IF(CC143="L23",Parameter!$H$6+Parameter!$H$7,Parameter!$H$5+Parameter!$H$6+Parameter!$H$7))-(AM143-AI143))/AI143)))</f>
        <v>1</v>
      </c>
      <c r="AO143" s="50" t="n">
        <f aca="false">IF(LEFT(Cockpit!$I$5,1)="A",H143,IF(CE143=1,CF143,IF(LEFT(Cockpit!$I$5,1)="B",AT143,MAX(AT143,H143))))</f>
        <v>50</v>
      </c>
      <c r="AP143" s="50" t="n">
        <f aca="false">IF(BW143=1,0,ROUNDUP(AO143/BV143,0))</f>
        <v>1</v>
      </c>
      <c r="AQ143" s="52" t="n">
        <f aca="false">IF(CL143&gt;0,CL143*MAX(1,AO143/X143),IF(BW143=1,IF(AO143&lt;=0,0,CA143*MAX(1,IF(H143&gt;0,AO143/H143,1))),IF(R143&gt;0,AP143/R143,0))/MAX(0.1,N(Parameter!$M$21)))</f>
        <v>0.166666666666667</v>
      </c>
      <c r="AR143" s="50" t="n">
        <f aca="false">AQ143*BY143</f>
        <v>39.1666666666667</v>
      </c>
      <c r="AS143" s="50" t="n">
        <f aca="false">AO143*G143</f>
        <v>3276</v>
      </c>
      <c r="AT143" s="50" t="n">
        <f aca="false">ROUNDUP(MAX(J143/IF(CD143&gt;0,CD143,MAX(0.1,N(Cockpit!$I$6))),CG143)/BV143,0)*BV143</f>
        <v>50</v>
      </c>
      <c r="AU143" s="51" t="n">
        <f aca="false">IF(AR143&gt;0,J143/AR143,-1)</f>
        <v>0.204255319148936</v>
      </c>
      <c r="AV143" s="51" t="n">
        <f aca="false">IF(AND(OR(CC143="L1",CC143="L23",CC143="LIFT"),AR143&gt;0),SUMIFS($AR$7:$AR$1843,$CC$7:$CC$1843,CC143,$AU$7:$AU$1843,"&gt;"&amp;AU143)+SUMIFS($AR$7:$AR$1843,$CC$7:$CC$1843,CC143,$AU$7:$AU$1843,AU143,$BT$7:$BT$1843,"&lt;="&amp;BT143),"")</f>
        <v>18354.7184065934</v>
      </c>
      <c r="AW143" s="58" t="n">
        <f aca="false">IF(AV143="",0,MAX(0,MIN(1,(IF(CC143="L1",Parameter!$H$5,IF(CC143="L23",Parameter!$H$6+Parameter!$H$7,Parameter!$H$5+Parameter!$H$6+Parameter!$H$7))-(AV143-AR143))/AR143)))</f>
        <v>1</v>
      </c>
      <c r="AX143" s="50" t="n">
        <f aca="false">IF(LEFT(Cockpit!$O$5,1)="A",H143,IF(CE143=1,CF143,IF(LEFT(Cockpit!$O$5,1)="B",BC143,MAX(BC143,H143))))</f>
        <v>50</v>
      </c>
      <c r="AY143" s="50" t="n">
        <f aca="false">IF(BW143=1,0,ROUNDUP(AX143/BV143,0))</f>
        <v>1</v>
      </c>
      <c r="AZ143" s="52" t="n">
        <f aca="false">IF(CL143&gt;0,CL143*MAX(1,AX143/X143),IF(BW143=1,IF(AX143&lt;=0,0,CA143*MAX(1,IF(H143&gt;0,AX143/H143,1))),IF(R143&gt;0,AY143/R143,0))/MAX(0.1,N(Parameter!$M$21)))</f>
        <v>0.166666666666667</v>
      </c>
      <c r="BA143" s="50" t="n">
        <f aca="false">AZ143*BY143</f>
        <v>39.1666666666667</v>
      </c>
      <c r="BB143" s="50" t="n">
        <f aca="false">AX143*G143</f>
        <v>3276</v>
      </c>
      <c r="BC143" s="50" t="n">
        <f aca="false">ROUNDUP(MAX(J143/IF(CD143&gt;0,CD143,MAX(0.1,N(Cockpit!$O$6))),CG143)/BV143,0)*BV143</f>
        <v>50</v>
      </c>
      <c r="BD143" s="51" t="n">
        <f aca="false">IF(BA143&gt;0,J143/BA143,-1)</f>
        <v>0.204255319148936</v>
      </c>
      <c r="BE143" s="51" t="n">
        <f aca="false">IF(AND(OR(CC143="L1",CC143="L23",CC143="LIFT"),BA143&gt;0),SUMIFS($BA$7:$BA$1843,$CC$7:$CC$1843,CC143,$BD$7:$BD$1843,"&gt;"&amp;BD143)+SUMIFS($BA$7:$BA$1843,$CC$7:$CC$1843,CC143,$BD$7:$BD$1843,BD143,$BT$7:$BT$1843,"&lt;="&amp;BT143),"")</f>
        <v>17007.4587912088</v>
      </c>
      <c r="BF143" s="58" t="n">
        <f aca="false">IF(BE143="",0,MAX(0,MIN(1,(IF(CC143="L1",Parameter!$H$5,IF(CC143="L23",Parameter!$H$6+Parameter!$H$7,Parameter!$H$5+Parameter!$H$6+Parameter!$H$7))-(BE143-BA143))/BA143)))</f>
        <v>1</v>
      </c>
      <c r="BG143" s="48" t="str">
        <f aca="false">IF(AI143&lt;=0,"",IF(CC143="Aussen","Aussenlager",IF(CC143="-","Nicht im Lift",IF(AN143&gt;=1,"Lift",IF(AN143&lt;=0,"Aussenlager","teilweise")))))</f>
        <v>Lift</v>
      </c>
      <c r="BH143" s="48" t="str">
        <f aca="false">IF(AR143&lt;=0,"",IF(CC143="Aussen","Aussenlager",IF(CC143="-","Nicht im Lift",IF(AW143&gt;=1,"Lift",IF(AW143&lt;=0,"Aussenlager","teilweise")))))</f>
        <v>Lift</v>
      </c>
      <c r="BI143" s="48" t="str">
        <f aca="false">IF(BA143&lt;=0,"",IF(CC143="Aussen","Aussenlager",IF(CC143="-","Nicht im Lift",IF(BF143&gt;=1,"Lift",IF(BF143&lt;=0,"Aussenlager","teilweise")))))</f>
        <v>Lift</v>
      </c>
      <c r="BJ143" s="48" t="str">
        <f aca="false">IF(A143="","",IF(BS143=1,"Neu; ","")&amp;IF(AND(BS143=0,BN143&lt;0),"negativer Bestand (Export "&amp;BN143&amp;"); ","")&amp;IF(J143&lt;=0,"Kein Verbrauch; ","")&amp;IF(CL143&gt;0,"Lift "&amp;W143&amp;" lt. Liftbericht (Fach "&amp;X143&amp;" Stk); ",IF(BX143=1,"Gebinde geschätzt ("&amp;T143&amp;"); ",IF(BW143=1,"Lose – Tablare geschätzt; ","")))&amp;IF(H143&gt;AT143,"Überbestand "&amp;ROUND(H143-AT143,0)&amp;" Stk / CHF "&amp;ROUND((H143-AT143)*G143,0)&amp;"; ","")&amp;IF(AND(CE143=1,CF143&lt;CG143),"MAX &lt; MB+LG; ","")&amp;IF(AND(CK143&gt;0,CJ143*10&gt;CK143),"zu hoch für Tablar; ","")&amp;IF(AND(BS143=0,OR(CE143=1,AA143&lt;&gt;"",U143&lt;&gt;"",V143&lt;&gt;"",AB143&lt;&gt;"")),"manuell übersteuert; ","")&amp;IF(AND(BW143=0,R143=0),"Gebinde unbekannt / Stellmass fehlt; ","")&amp;IF(AND(BW143=0,N(V143)&lt;=0,N(Q143)&lt;=0),"Menge pro Gebinde fehlt (Ist = 1 Gebinde); ","")&amp;BR143)</f>
        <v/>
      </c>
      <c r="BK143" s="48"/>
      <c r="BL143" s="48"/>
      <c r="BM143" s="55"/>
      <c r="BN143" s="50" t="n">
        <v>24</v>
      </c>
      <c r="BO143" s="50" t="n">
        <v>26</v>
      </c>
      <c r="BP143" s="49" t="n">
        <v>1431.56</v>
      </c>
      <c r="BQ143" s="50" t="n">
        <v>8</v>
      </c>
      <c r="BR143" s="48"/>
      <c r="BS143" s="53" t="n">
        <v>0</v>
      </c>
      <c r="BT143" s="53" t="n">
        <v>143</v>
      </c>
      <c r="BU143" s="48" t="str">
        <f aca="false">IF(U143&lt;&gt;"",UPPER(TRIM(U143)),IF(BX143=1,UPPER(VLOOKUP(T143,Parameter!$I$27:$K$29,2,0)),IF(P143="","LOSE",P143)))</f>
        <v>S71</v>
      </c>
      <c r="BV143" s="50" t="n">
        <f aca="false">IF(BU143="LOSE",1,IF(N(V143)&gt;0,V143,IF(BX143=1,MAX(1,N(VLOOKUP(T143,Parameter!$I$27:$K$29,3,0)),H143,N(N143)),IF(N(Q143)&gt;0,Q143,MAX(1,H143)))))</f>
        <v>50</v>
      </c>
      <c r="BW143" s="53" t="n">
        <f aca="false">IF(BU143="LOSE",1,0)</f>
        <v>0</v>
      </c>
      <c r="BX143" s="53" t="n">
        <f aca="false">IF(AND(U143="",OR(P143="",P143="LOSE"),T143&lt;&gt;"",N(S143)&lt;=0,ISNUMBER(MATCH(T143,Parameter!$I$27:$I$29,0))),1,0)</f>
        <v>0</v>
      </c>
      <c r="BY143" s="53" t="n">
        <f aca="false">IF(CL143&gt;0,INDEX(Parameter!$H$5:$H$7,W143)/INDEX(Parameter!$E$5:$E$7,W143),IF(AND(BW143=0,N(IFERROR(VLOOKUP(BU143,'Gebinde-Kategorie'!$A$5:$N$45,14,0),0))&gt;0),VLOOKUP(BU143,'Gebinde-Kategorie'!$A$5:$N$45,14,0)*10+Parameter!$M$23,Parameter!$M$24))</f>
        <v>235</v>
      </c>
      <c r="BZ143" s="48" t="str">
        <f aca="false">IF(AND(Parameter!$B$19="Ja",E143&lt;&gt;"",ISNUMBER(MATCH(E143,Parameter!$I$35:$I$52,0))),VLOOKUP(E143,Parameter!$I$35:$J$52,2,0),IFERROR(VLOOKUP(D143,Parameter!$A$35:$C$64,2,0),"Nein"))</f>
        <v>2+3</v>
      </c>
      <c r="CA143" s="52" t="n">
        <f aca="false">IF(BW143=0,0,IF(N(S143)&gt;0,S143,IFERROR(VLOOKUP(D143,Parameter!$A$35:$C$64,3,0)+0,0)))</f>
        <v>0</v>
      </c>
      <c r="CB143" s="48" t="n">
        <f aca="false">IF(AA143&lt;&gt;"",AA143,Z143)</f>
        <v>2</v>
      </c>
      <c r="CC143" s="48" t="str">
        <f aca="false">IF(OR(CB143=1,CB143=2,CB143=3),IF(Parameter!$E$27="Ja","LIFT",IF(CB143=1,"L1","L23")),IF(CB143="Aussen","Aussen","-"))</f>
        <v>LIFT</v>
      </c>
      <c r="CD143" s="59" t="n">
        <f aca="false">IF(N(AB143)&gt;0,AB143,0)</f>
        <v>0</v>
      </c>
      <c r="CE143" s="53" t="n">
        <f aca="false">IF(ISNUMBER(AE143),1,0)</f>
        <v>0</v>
      </c>
      <c r="CF143" s="50" t="n">
        <f aca="false">N(AE143)</f>
        <v>0</v>
      </c>
      <c r="CG143" s="50" t="n">
        <f aca="false">N(M143)+N(N143)</f>
        <v>10</v>
      </c>
      <c r="CH143" s="50" t="n">
        <f aca="false">ROUNDUP(H143/BV143,0)</f>
        <v>1</v>
      </c>
      <c r="CI143" s="50" t="n">
        <f aca="false">ROUNDUP(CF143/BV143,0)</f>
        <v>0</v>
      </c>
      <c r="CJ143" s="53" t="n">
        <f aca="false">IF(BW143=1,0,IFERROR(VLOOKUP(BU143,'Gebinde-Kategorie'!$A$5:$N$45,5,0)+0,0))</f>
        <v>20</v>
      </c>
      <c r="CK143" s="53" t="n">
        <f aca="false">IFERROR(IF(OR(CB143=1,CB143=2,CB143=3),N(INDEX(Parameter!$I$5:$I$7,CB143)),0),0)</f>
        <v>0</v>
      </c>
      <c r="CL143" s="52" t="n">
        <f aca="false">IF(AND(Parameter!$B$21="Ja",ISNUMBER(W143),N(X143)&gt;0),IFERROR(N(INDEX(Parameter!$L$5:$L$7,W143))*INDEX(Parameter!$E$5:$E$7,W143)*X143/SUMIFS($X$7:$X$1843,$W$7:$W$1843,W143),0),0)</f>
        <v>0</v>
      </c>
    </row>
    <row r="144" customFormat="false" ht="15" hidden="false" customHeight="false" outlineLevel="0" collapsed="false">
      <c r="A144" s="48" t="s">
        <v>498</v>
      </c>
      <c r="B144" s="48" t="s">
        <v>499</v>
      </c>
      <c r="C144" s="48" t="s">
        <v>168</v>
      </c>
      <c r="D144" s="48" t="s">
        <v>188</v>
      </c>
      <c r="E144" s="48"/>
      <c r="F144" s="48" t="s">
        <v>222</v>
      </c>
      <c r="G144" s="49" t="n">
        <v>6.9</v>
      </c>
      <c r="H144" s="50" t="n">
        <f aca="false">MAX(0,IF(AND(Parameter!$B$21="Ja",ISNUMBER(Y144)),Y144,IF(Parameter!$B$20="Jahresanfang 2025 + Export",BO144+BN144,BN144)))</f>
        <v>207</v>
      </c>
      <c r="I144" s="50" t="n">
        <f aca="false">H144*G144</f>
        <v>1428.3</v>
      </c>
      <c r="J144" s="50" t="n">
        <f aca="false">BQ144*Parameter!$B$18</f>
        <v>40</v>
      </c>
      <c r="K144" s="51" t="n">
        <v>8</v>
      </c>
      <c r="L144" s="52" t="n">
        <v>5</v>
      </c>
      <c r="M144" s="50" t="n">
        <v>1</v>
      </c>
      <c r="N144" s="50" t="n">
        <v>40</v>
      </c>
      <c r="O144" s="53" t="n">
        <v>14</v>
      </c>
      <c r="P144" s="48" t="s">
        <v>430</v>
      </c>
      <c r="Q144" s="50" t="n">
        <v>30</v>
      </c>
      <c r="R144" s="53" t="n">
        <f aca="false">IF(BW144=1,0,IFERROR(VLOOKUP(BU144,'Gebinde-Kategorie'!$A$5:$N$45,13,0)+0,0))</f>
        <v>140</v>
      </c>
      <c r="S144" s="54"/>
      <c r="T144" s="55"/>
      <c r="U144" s="55"/>
      <c r="V144" s="55"/>
      <c r="W144" s="48"/>
      <c r="X144" s="50"/>
      <c r="Y144" s="50"/>
      <c r="Z144" s="48" t="n">
        <f aca="false">IF(A144="","",IF(AND(Parameter!$B$21="Ja",ISNUMBER(W144)),W144,IF(BZ144="2+3",IF(ISNUMBER(SEARCH("grosser Artikel",BR144)),2,IFERROR(VLOOKUP(BU144,Parameter!$F$35:$G$64,2,0),2)),IF(OR(BZ144="Nein",BZ144=""),"-",BZ144))))</f>
        <v>3</v>
      </c>
      <c r="AA144" s="55"/>
      <c r="AB144" s="56"/>
      <c r="AC144" s="50" t="n">
        <f aca="false">AT144</f>
        <v>60</v>
      </c>
      <c r="AD144" s="50" t="n">
        <f aca="false">MAX(AT144,H144)</f>
        <v>207</v>
      </c>
      <c r="AE144" s="57"/>
      <c r="AF144" s="50" t="n">
        <f aca="false">IF(LEFT(Cockpit!$C$5,1)="A",H144,IF(CE144=1,CF144,IF(LEFT(Cockpit!$C$5,1)="B",AK144,MAX(AK144,H144))))</f>
        <v>207</v>
      </c>
      <c r="AG144" s="50" t="n">
        <f aca="false">IF(BW144=1,0,ROUNDUP(AF144/BV144,0))</f>
        <v>7</v>
      </c>
      <c r="AH144" s="52" t="n">
        <f aca="false">IF(CL144&gt;0,CL144*MAX(1,AF144/X144),IF(BW144=1,IF(AF144&lt;=0,0,CA144*MAX(1,IF(H144&gt;0,AF144/H144,1))),IF(R144&gt;0,AG144/R144,0))/MAX(0.1,N(Parameter!$M$21)))</f>
        <v>0.05</v>
      </c>
      <c r="AI144" s="50" t="n">
        <f aca="false">AH144*BY144</f>
        <v>7.75</v>
      </c>
      <c r="AJ144" s="50" t="n">
        <f aca="false">AF144*G144</f>
        <v>1428.3</v>
      </c>
      <c r="AK144" s="50" t="n">
        <f aca="false">ROUNDUP(MAX(J144/IF(CD144&gt;0,CD144,MAX(0.1,N(Cockpit!$C$6))),CG144)/BV144,0)*BV144</f>
        <v>60</v>
      </c>
      <c r="AL144" s="51" t="n">
        <f aca="false">IF(AI144&gt;0,J144/AI144,-1)</f>
        <v>5.16129032258065</v>
      </c>
      <c r="AM144" s="51" t="n">
        <f aca="false">IF(AND(OR(CC144="L1",CC144="L23",CC144="LIFT"),AI144&gt;0),SUMIFS($AI$7:$AI$1843,$CC$7:$CC$1843,CC144,$AL$7:$AL$1843,"&gt;"&amp;AL144)+SUMIFS($AI$7:$AI$1843,$CC$7:$CC$1843,CC144,$AL$7:$AL$1843,AL144,$BT$7:$BT$1843,"&lt;="&amp;BT144),"")</f>
        <v>3885.14331501832</v>
      </c>
      <c r="AN144" s="58" t="n">
        <f aca="false">IF(AM144="",0,MAX(0,MIN(1,(IF(CC144="L1",Parameter!$H$5,IF(CC144="L23",Parameter!$H$6+Parameter!$H$7,Parameter!$H$5+Parameter!$H$6+Parameter!$H$7))-(AM144-AI144))/AI144)))</f>
        <v>1</v>
      </c>
      <c r="AO144" s="50" t="n">
        <f aca="false">IF(LEFT(Cockpit!$I$5,1)="A",H144,IF(CE144=1,CF144,IF(LEFT(Cockpit!$I$5,1)="B",AT144,MAX(AT144,H144))))</f>
        <v>207</v>
      </c>
      <c r="AP144" s="50" t="n">
        <f aca="false">IF(BW144=1,0,ROUNDUP(AO144/BV144,0))</f>
        <v>7</v>
      </c>
      <c r="AQ144" s="52" t="n">
        <f aca="false">IF(CL144&gt;0,CL144*MAX(1,AO144/X144),IF(BW144=1,IF(AO144&lt;=0,0,CA144*MAX(1,IF(H144&gt;0,AO144/H144,1))),IF(R144&gt;0,AP144/R144,0))/MAX(0.1,N(Parameter!$M$21)))</f>
        <v>0.05</v>
      </c>
      <c r="AR144" s="50" t="n">
        <f aca="false">AQ144*BY144</f>
        <v>7.75</v>
      </c>
      <c r="AS144" s="50" t="n">
        <f aca="false">AO144*G144</f>
        <v>1428.3</v>
      </c>
      <c r="AT144" s="50" t="n">
        <f aca="false">ROUNDUP(MAX(J144/IF(CD144&gt;0,CD144,MAX(0.1,N(Cockpit!$I$6))),CG144)/BV144,0)*BV144</f>
        <v>60</v>
      </c>
      <c r="AU144" s="51" t="n">
        <f aca="false">IF(AR144&gt;0,J144/AR144,-1)</f>
        <v>5.16129032258065</v>
      </c>
      <c r="AV144" s="51" t="n">
        <f aca="false">IF(AND(OR(CC144="L1",CC144="L23",CC144="LIFT"),AR144&gt;0),SUMIFS($AR$7:$AR$1843,$CC$7:$CC$1843,CC144,$AU$7:$AU$1843,"&gt;"&amp;AU144)+SUMIFS($AR$7:$AR$1843,$CC$7:$CC$1843,CC144,$AU$7:$AU$1843,AU144,$BT$7:$BT$1843,"&lt;="&amp;BT144),"")</f>
        <v>4925.69276556777</v>
      </c>
      <c r="AW144" s="58" t="n">
        <f aca="false">IF(AV144="",0,MAX(0,MIN(1,(IF(CC144="L1",Parameter!$H$5,IF(CC144="L23",Parameter!$H$6+Parameter!$H$7,Parameter!$H$5+Parameter!$H$6+Parameter!$H$7))-(AV144-AR144))/AR144)))</f>
        <v>1</v>
      </c>
      <c r="AX144" s="50" t="n">
        <f aca="false">IF(LEFT(Cockpit!$O$5,1)="A",H144,IF(CE144=1,CF144,IF(LEFT(Cockpit!$O$5,1)="B",BC144,MAX(BC144,H144))))</f>
        <v>207</v>
      </c>
      <c r="AY144" s="50" t="n">
        <f aca="false">IF(BW144=1,0,ROUNDUP(AX144/BV144,0))</f>
        <v>7</v>
      </c>
      <c r="AZ144" s="52" t="n">
        <f aca="false">IF(CL144&gt;0,CL144*MAX(1,AX144/X144),IF(BW144=1,IF(AX144&lt;=0,0,CA144*MAX(1,IF(H144&gt;0,AX144/H144,1))),IF(R144&gt;0,AY144/R144,0))/MAX(0.1,N(Parameter!$M$21)))</f>
        <v>0.05</v>
      </c>
      <c r="BA144" s="50" t="n">
        <f aca="false">AZ144*BY144</f>
        <v>7.75</v>
      </c>
      <c r="BB144" s="50" t="n">
        <f aca="false">AX144*G144</f>
        <v>1428.3</v>
      </c>
      <c r="BC144" s="50" t="n">
        <f aca="false">ROUNDUP(MAX(J144/IF(CD144&gt;0,CD144,MAX(0.1,N(Cockpit!$O$6))),CG144)/BV144,0)*BV144</f>
        <v>60</v>
      </c>
      <c r="BD144" s="51" t="n">
        <f aca="false">IF(BA144&gt;0,J144/BA144,-1)</f>
        <v>5.16129032258065</v>
      </c>
      <c r="BE144" s="51" t="n">
        <f aca="false">IF(AND(OR(CC144="L1",CC144="L23",CC144="LIFT"),BA144&gt;0),SUMIFS($BA$7:$BA$1843,$CC$7:$CC$1843,CC144,$BD$7:$BD$1843,"&gt;"&amp;BD144)+SUMIFS($BA$7:$BA$1843,$CC$7:$CC$1843,CC144,$BD$7:$BD$1843,BD144,$BT$7:$BT$1843,"&lt;="&amp;BT144),"")</f>
        <v>4596.15750915751</v>
      </c>
      <c r="BF144" s="58" t="n">
        <f aca="false">IF(BE144="",0,MAX(0,MIN(1,(IF(CC144="L1",Parameter!$H$5,IF(CC144="L23",Parameter!$H$6+Parameter!$H$7,Parameter!$H$5+Parameter!$H$6+Parameter!$H$7))-(BE144-BA144))/BA144)))</f>
        <v>1</v>
      </c>
      <c r="BG144" s="48" t="str">
        <f aca="false">IF(AI144&lt;=0,"",IF(CC144="Aussen","Aussenlager",IF(CC144="-","Nicht im Lift",IF(AN144&gt;=1,"Lift",IF(AN144&lt;=0,"Aussenlager","teilweise")))))</f>
        <v>Lift</v>
      </c>
      <c r="BH144" s="48" t="str">
        <f aca="false">IF(AR144&lt;=0,"",IF(CC144="Aussen","Aussenlager",IF(CC144="-","Nicht im Lift",IF(AW144&gt;=1,"Lift",IF(AW144&lt;=0,"Aussenlager","teilweise")))))</f>
        <v>Lift</v>
      </c>
      <c r="BI144" s="48" t="str">
        <f aca="false">IF(BA144&lt;=0,"",IF(CC144="Aussen","Aussenlager",IF(CC144="-","Nicht im Lift",IF(BF144&gt;=1,"Lift",IF(BF144&lt;=0,"Aussenlager","teilweise")))))</f>
        <v>Lift</v>
      </c>
      <c r="BJ144" s="48" t="str">
        <f aca="false">IF(A144="","",IF(BS144=1,"Neu; ","")&amp;IF(AND(BS144=0,BN144&lt;0),"negativer Bestand (Export "&amp;BN144&amp;"); ","")&amp;IF(J144&lt;=0,"Kein Verbrauch; ","")&amp;IF(CL144&gt;0,"Lift "&amp;W144&amp;" lt. Liftbericht (Fach "&amp;X144&amp;" Stk); ",IF(BX144=1,"Gebinde geschätzt ("&amp;T144&amp;"); ",IF(BW144=1,"Lose – Tablare geschätzt; ","")))&amp;IF(H144&gt;AT144,"Überbestand "&amp;ROUND(H144-AT144,0)&amp;" Stk / CHF "&amp;ROUND((H144-AT144)*G144,0)&amp;"; ","")&amp;IF(AND(CE144=1,CF144&lt;CG144),"MAX &lt; MB+LG; ","")&amp;IF(AND(CK144&gt;0,CJ144*10&gt;CK144),"zu hoch für Tablar; ","")&amp;IF(AND(BS144=0,OR(CE144=1,AA144&lt;&gt;"",U144&lt;&gt;"",V144&lt;&gt;"",AB144&lt;&gt;"")),"manuell übersteuert; ","")&amp;IF(AND(BW144=0,R144=0),"Gebinde unbekannt / Stellmass fehlt; ","")&amp;IF(AND(BW144=0,N(V144)&lt;=0,N(Q144)&lt;=0),"Menge pro Gebinde fehlt (Ist = 1 Gebinde); ","")&amp;BR144)</f>
        <v>Überbestand 147 Stk / CHF 1014; </v>
      </c>
      <c r="BK144" s="48"/>
      <c r="BL144" s="48"/>
      <c r="BM144" s="55"/>
      <c r="BN144" s="50" t="n">
        <v>207</v>
      </c>
      <c r="BO144" s="50" t="n">
        <v>0</v>
      </c>
      <c r="BP144" s="49" t="n">
        <v>1428.28</v>
      </c>
      <c r="BQ144" s="50" t="n">
        <v>40</v>
      </c>
      <c r="BR144" s="48"/>
      <c r="BS144" s="53" t="n">
        <v>0</v>
      </c>
      <c r="BT144" s="53" t="n">
        <v>144</v>
      </c>
      <c r="BU144" s="48" t="str">
        <f aca="false">IF(U144&lt;&gt;"",UPPER(TRIM(U144)),IF(BX144=1,UPPER(VLOOKUP(T144,Parameter!$I$27:$K$29,2,0)),IF(P144="","LOSE",P144)))</f>
        <v>S22</v>
      </c>
      <c r="BV144" s="50" t="n">
        <f aca="false">IF(BU144="LOSE",1,IF(N(V144)&gt;0,V144,IF(BX144=1,MAX(1,N(VLOOKUP(T144,Parameter!$I$27:$K$29,3,0)),H144,N(N144)),IF(N(Q144)&gt;0,Q144,MAX(1,H144)))))</f>
        <v>30</v>
      </c>
      <c r="BW144" s="53" t="n">
        <f aca="false">IF(BU144="LOSE",1,0)</f>
        <v>0</v>
      </c>
      <c r="BX144" s="53" t="n">
        <f aca="false">IF(AND(U144="",OR(P144="",P144="LOSE"),T144&lt;&gt;"",N(S144)&lt;=0,ISNUMBER(MATCH(T144,Parameter!$I$27:$I$29,0))),1,0)</f>
        <v>0</v>
      </c>
      <c r="BY144" s="53" t="n">
        <f aca="false">IF(CL144&gt;0,INDEX(Parameter!$H$5:$H$7,W144)/INDEX(Parameter!$E$5:$E$7,W144),IF(AND(BW144=0,N(IFERROR(VLOOKUP(BU144,'Gebinde-Kategorie'!$A$5:$N$45,14,0),0))&gt;0),VLOOKUP(BU144,'Gebinde-Kategorie'!$A$5:$N$45,14,0)*10+Parameter!$M$23,Parameter!$M$24))</f>
        <v>155</v>
      </c>
      <c r="BZ144" s="48" t="str">
        <f aca="false">IF(AND(Parameter!$B$19="Ja",E144&lt;&gt;"",ISNUMBER(MATCH(E144,Parameter!$I$35:$I$52,0))),VLOOKUP(E144,Parameter!$I$35:$J$52,2,0),IFERROR(VLOOKUP(D144,Parameter!$A$35:$C$64,2,0),"Nein"))</f>
        <v>2+3</v>
      </c>
      <c r="CA144" s="52" t="n">
        <f aca="false">IF(BW144=0,0,IF(N(S144)&gt;0,S144,IFERROR(VLOOKUP(D144,Parameter!$A$35:$C$64,3,0)+0,0)))</f>
        <v>0</v>
      </c>
      <c r="CB144" s="48" t="n">
        <f aca="false">IF(AA144&lt;&gt;"",AA144,Z144)</f>
        <v>3</v>
      </c>
      <c r="CC144" s="48" t="str">
        <f aca="false">IF(OR(CB144=1,CB144=2,CB144=3),IF(Parameter!$E$27="Ja","LIFT",IF(CB144=1,"L1","L23")),IF(CB144="Aussen","Aussen","-"))</f>
        <v>LIFT</v>
      </c>
      <c r="CD144" s="59" t="n">
        <f aca="false">IF(N(AB144)&gt;0,AB144,0)</f>
        <v>0</v>
      </c>
      <c r="CE144" s="53" t="n">
        <f aca="false">IF(ISNUMBER(AE144),1,0)</f>
        <v>0</v>
      </c>
      <c r="CF144" s="50" t="n">
        <f aca="false">N(AE144)</f>
        <v>0</v>
      </c>
      <c r="CG144" s="50" t="n">
        <f aca="false">N(M144)+N(N144)</f>
        <v>41</v>
      </c>
      <c r="CH144" s="50" t="n">
        <f aca="false">ROUNDUP(H144/BV144,0)</f>
        <v>7</v>
      </c>
      <c r="CI144" s="50" t="n">
        <f aca="false">ROUNDUP(CF144/BV144,0)</f>
        <v>0</v>
      </c>
      <c r="CJ144" s="53" t="n">
        <f aca="false">IF(BW144=1,0,IFERROR(VLOOKUP(BU144,'Gebinde-Kategorie'!$A$5:$N$45,5,0)+0,0))</f>
        <v>8</v>
      </c>
      <c r="CK144" s="53" t="n">
        <f aca="false">IFERROR(IF(OR(CB144=1,CB144=2,CB144=3),N(INDEX(Parameter!$I$5:$I$7,CB144)),0),0)</f>
        <v>0</v>
      </c>
      <c r="CL144" s="52" t="n">
        <f aca="false">IF(AND(Parameter!$B$21="Ja",ISNUMBER(W144),N(X144)&gt;0),IFERROR(N(INDEX(Parameter!$L$5:$L$7,W144))*INDEX(Parameter!$E$5:$E$7,W144)*X144/SUMIFS($X$7:$X$1843,$W$7:$W$1843,W144),0),0)</f>
        <v>0</v>
      </c>
    </row>
    <row r="145" customFormat="false" ht="15" hidden="false" customHeight="false" outlineLevel="0" collapsed="false">
      <c r="A145" s="48" t="s">
        <v>500</v>
      </c>
      <c r="B145" s="48" t="s">
        <v>501</v>
      </c>
      <c r="C145" s="48" t="s">
        <v>168</v>
      </c>
      <c r="D145" s="48" t="s">
        <v>188</v>
      </c>
      <c r="E145" s="48" t="s">
        <v>189</v>
      </c>
      <c r="F145" s="48" t="s">
        <v>222</v>
      </c>
      <c r="G145" s="49" t="n">
        <v>8.71</v>
      </c>
      <c r="H145" s="50" t="n">
        <f aca="false">MAX(0,IF(AND(Parameter!$B$21="Ja",ISNUMBER(Y145)),Y145,IF(Parameter!$B$20="Jahresanfang 2025 + Export",BO145+BN145,BN145)))</f>
        <v>197</v>
      </c>
      <c r="I145" s="50" t="n">
        <f aca="false">H145*G145</f>
        <v>1715.87</v>
      </c>
      <c r="J145" s="50" t="n">
        <f aca="false">BQ145*Parameter!$B$18</f>
        <v>134</v>
      </c>
      <c r="K145" s="51" t="n">
        <v>86</v>
      </c>
      <c r="L145" s="52" t="n">
        <v>1.55813953488372</v>
      </c>
      <c r="M145" s="50" t="n">
        <v>20</v>
      </c>
      <c r="N145" s="50" t="n">
        <v>135</v>
      </c>
      <c r="O145" s="53" t="n">
        <v>56</v>
      </c>
      <c r="P145" s="48" t="s">
        <v>425</v>
      </c>
      <c r="Q145" s="50" t="n">
        <v>91</v>
      </c>
      <c r="R145" s="53" t="n">
        <f aca="false">IF(BW145=1,0,IFERROR(VLOOKUP(BU145,'Gebinde-Kategorie'!$A$5:$N$45,13,0)+0,0))</f>
        <v>104</v>
      </c>
      <c r="S145" s="54"/>
      <c r="T145" s="55"/>
      <c r="U145" s="55"/>
      <c r="V145" s="55"/>
      <c r="W145" s="48"/>
      <c r="X145" s="50"/>
      <c r="Y145" s="50"/>
      <c r="Z145" s="48" t="n">
        <f aca="false">IF(A145="","",IF(AND(Parameter!$B$21="Ja",ISNUMBER(W145)),W145,IF(BZ145="2+3",IF(ISNUMBER(SEARCH("grosser Artikel",BR145)),2,IFERROR(VLOOKUP(BU145,Parameter!$F$35:$G$64,2,0),2)),IF(OR(BZ145="Nein",BZ145=""),"-",BZ145))))</f>
        <v>3</v>
      </c>
      <c r="AA145" s="55"/>
      <c r="AB145" s="56"/>
      <c r="AC145" s="50" t="n">
        <f aca="false">AT145</f>
        <v>182</v>
      </c>
      <c r="AD145" s="50" t="n">
        <f aca="false">MAX(AT145,H145)</f>
        <v>197</v>
      </c>
      <c r="AE145" s="57"/>
      <c r="AF145" s="50" t="n">
        <f aca="false">IF(LEFT(Cockpit!$C$5,1)="A",H145,IF(CE145=1,CF145,IF(LEFT(Cockpit!$C$5,1)="B",AK145,MAX(AK145,H145))))</f>
        <v>197</v>
      </c>
      <c r="AG145" s="50" t="n">
        <f aca="false">IF(BW145=1,0,ROUNDUP(AF145/BV145,0))</f>
        <v>3</v>
      </c>
      <c r="AH145" s="52" t="n">
        <f aca="false">IF(CL145&gt;0,CL145*MAX(1,AF145/X145),IF(BW145=1,IF(AF145&lt;=0,0,CA145*MAX(1,IF(H145&gt;0,AF145/H145,1))),IF(R145&gt;0,AG145/R145,0))/MAX(0.1,N(Parameter!$M$21)))</f>
        <v>0.0288461538461538</v>
      </c>
      <c r="AI145" s="50" t="n">
        <f aca="false">AH145*BY145</f>
        <v>4.47115384615385</v>
      </c>
      <c r="AJ145" s="50" t="n">
        <f aca="false">AF145*G145</f>
        <v>1715.87</v>
      </c>
      <c r="AK145" s="50" t="n">
        <f aca="false">ROUNDUP(MAX(J145/IF(CD145&gt;0,CD145,MAX(0.1,N(Cockpit!$C$6))),CG145)/BV145,0)*BV145</f>
        <v>182</v>
      </c>
      <c r="AL145" s="51" t="n">
        <f aca="false">IF(AI145&gt;0,J145/AI145,-1)</f>
        <v>29.9698924731183</v>
      </c>
      <c r="AM145" s="51" t="n">
        <f aca="false">IF(AND(OR(CC145="L1",CC145="L23",CC145="LIFT"),AI145&gt;0),SUMIFS($AI$7:$AI$1843,$CC$7:$CC$1843,CC145,$AL$7:$AL$1843,"&gt;"&amp;AL145)+SUMIFS($AI$7:$AI$1843,$CC$7:$CC$1843,CC145,$AL$7:$AL$1843,AL145,$BT$7:$BT$1843,"&lt;="&amp;BT145),"")</f>
        <v>1492.11767399267</v>
      </c>
      <c r="AN145" s="58" t="n">
        <f aca="false">IF(AM145="",0,MAX(0,MIN(1,(IF(CC145="L1",Parameter!$H$5,IF(CC145="L23",Parameter!$H$6+Parameter!$H$7,Parameter!$H$5+Parameter!$H$6+Parameter!$H$7))-(AM145-AI145))/AI145)))</f>
        <v>1</v>
      </c>
      <c r="AO145" s="50" t="n">
        <f aca="false">IF(LEFT(Cockpit!$I$5,1)="A",H145,IF(CE145=1,CF145,IF(LEFT(Cockpit!$I$5,1)="B",AT145,MAX(AT145,H145))))</f>
        <v>197</v>
      </c>
      <c r="AP145" s="50" t="n">
        <f aca="false">IF(BW145=1,0,ROUNDUP(AO145/BV145,0))</f>
        <v>3</v>
      </c>
      <c r="AQ145" s="52" t="n">
        <f aca="false">IF(CL145&gt;0,CL145*MAX(1,AO145/X145),IF(BW145=1,IF(AO145&lt;=0,0,CA145*MAX(1,IF(H145&gt;0,AO145/H145,1))),IF(R145&gt;0,AP145/R145,0))/MAX(0.1,N(Parameter!$M$21)))</f>
        <v>0.0288461538461538</v>
      </c>
      <c r="AR145" s="50" t="n">
        <f aca="false">AQ145*BY145</f>
        <v>4.47115384615385</v>
      </c>
      <c r="AS145" s="50" t="n">
        <f aca="false">AO145*G145</f>
        <v>1715.87</v>
      </c>
      <c r="AT145" s="50" t="n">
        <f aca="false">ROUNDUP(MAX(J145/IF(CD145&gt;0,CD145,MAX(0.1,N(Cockpit!$I$6))),CG145)/BV145,0)*BV145</f>
        <v>182</v>
      </c>
      <c r="AU145" s="51" t="n">
        <f aca="false">IF(AR145&gt;0,J145/AR145,-1)</f>
        <v>29.9698924731183</v>
      </c>
      <c r="AV145" s="51" t="n">
        <f aca="false">IF(AND(OR(CC145="L1",CC145="L23",CC145="LIFT"),AR145&gt;0),SUMIFS($AR$7:$AR$1843,$CC$7:$CC$1843,CC145,$AU$7:$AU$1843,"&gt;"&amp;AU145)+SUMIFS($AR$7:$AR$1843,$CC$7:$CC$1843,CC145,$AU$7:$AU$1843,AU145,$BT$7:$BT$1843,"&lt;="&amp;BT145),"")</f>
        <v>2001.7934981685</v>
      </c>
      <c r="AW145" s="58" t="n">
        <f aca="false">IF(AV145="",0,MAX(0,MIN(1,(IF(CC145="L1",Parameter!$H$5,IF(CC145="L23",Parameter!$H$6+Parameter!$H$7,Parameter!$H$5+Parameter!$H$6+Parameter!$H$7))-(AV145-AR145))/AR145)))</f>
        <v>1</v>
      </c>
      <c r="AX145" s="50" t="n">
        <f aca="false">IF(LEFT(Cockpit!$O$5,1)="A",H145,IF(CE145=1,CF145,IF(LEFT(Cockpit!$O$5,1)="B",BC145,MAX(BC145,H145))))</f>
        <v>197</v>
      </c>
      <c r="AY145" s="50" t="n">
        <f aca="false">IF(BW145=1,0,ROUNDUP(AX145/BV145,0))</f>
        <v>3</v>
      </c>
      <c r="AZ145" s="52" t="n">
        <f aca="false">IF(CL145&gt;0,CL145*MAX(1,AX145/X145),IF(BW145=1,IF(AX145&lt;=0,0,CA145*MAX(1,IF(H145&gt;0,AX145/H145,1))),IF(R145&gt;0,AY145/R145,0))/MAX(0.1,N(Parameter!$M$21)))</f>
        <v>0.0288461538461538</v>
      </c>
      <c r="BA145" s="50" t="n">
        <f aca="false">AZ145*BY145</f>
        <v>4.47115384615385</v>
      </c>
      <c r="BB145" s="50" t="n">
        <f aca="false">AX145*G145</f>
        <v>1715.87</v>
      </c>
      <c r="BC145" s="50" t="n">
        <f aca="false">ROUNDUP(MAX(J145/IF(CD145&gt;0,CD145,MAX(0.1,N(Cockpit!$O$6))),CG145)/BV145,0)*BV145</f>
        <v>182</v>
      </c>
      <c r="BD145" s="51" t="n">
        <f aca="false">IF(BA145&gt;0,J145/BA145,-1)</f>
        <v>29.9698924731183</v>
      </c>
      <c r="BE145" s="51" t="n">
        <f aca="false">IF(AND(OR(CC145="L1",CC145="L23",CC145="LIFT"),BA145&gt;0),SUMIFS($BA$7:$BA$1843,$CC$7:$CC$1843,CC145,$BD$7:$BD$1843,"&gt;"&amp;BD145)+SUMIFS($BA$7:$BA$1843,$CC$7:$CC$1843,CC145,$BD$7:$BD$1843,BD145,$BT$7:$BT$1843,"&lt;="&amp;BT145),"")</f>
        <v>1886.13644688645</v>
      </c>
      <c r="BF145" s="58" t="n">
        <f aca="false">IF(BE145="",0,MAX(0,MIN(1,(IF(CC145="L1",Parameter!$H$5,IF(CC145="L23",Parameter!$H$6+Parameter!$H$7,Parameter!$H$5+Parameter!$H$6+Parameter!$H$7))-(BE145-BA145))/BA145)))</f>
        <v>1</v>
      </c>
      <c r="BG145" s="48" t="str">
        <f aca="false">IF(AI145&lt;=0,"",IF(CC145="Aussen","Aussenlager",IF(CC145="-","Nicht im Lift",IF(AN145&gt;=1,"Lift",IF(AN145&lt;=0,"Aussenlager","teilweise")))))</f>
        <v>Lift</v>
      </c>
      <c r="BH145" s="48" t="str">
        <f aca="false">IF(AR145&lt;=0,"",IF(CC145="Aussen","Aussenlager",IF(CC145="-","Nicht im Lift",IF(AW145&gt;=1,"Lift",IF(AW145&lt;=0,"Aussenlager","teilweise")))))</f>
        <v>Lift</v>
      </c>
      <c r="BI145" s="48" t="str">
        <f aca="false">IF(BA145&lt;=0,"",IF(CC145="Aussen","Aussenlager",IF(CC145="-","Nicht im Lift",IF(BF145&gt;=1,"Lift",IF(BF145&lt;=0,"Aussenlager","teilweise")))))</f>
        <v>Lift</v>
      </c>
      <c r="BJ145" s="48" t="str">
        <f aca="false">IF(A145="","",IF(BS145=1,"Neu; ","")&amp;IF(AND(BS145=0,BN145&lt;0),"negativer Bestand (Export "&amp;BN145&amp;"); ","")&amp;IF(J145&lt;=0,"Kein Verbrauch; ","")&amp;IF(CL145&gt;0,"Lift "&amp;W145&amp;" lt. Liftbericht (Fach "&amp;X145&amp;" Stk); ",IF(BX145=1,"Gebinde geschätzt ("&amp;T145&amp;"); ",IF(BW145=1,"Lose – Tablare geschätzt; ","")))&amp;IF(H145&gt;AT145,"Überbestand "&amp;ROUND(H145-AT145,0)&amp;" Stk / CHF "&amp;ROUND((H145-AT145)*G145,0)&amp;"; ","")&amp;IF(AND(CE145=1,CF145&lt;CG145),"MAX &lt; MB+LG; ","")&amp;IF(AND(CK145&gt;0,CJ145*10&gt;CK145),"zu hoch für Tablar; ","")&amp;IF(AND(BS145=0,OR(CE145=1,AA145&lt;&gt;"",U145&lt;&gt;"",V145&lt;&gt;"",AB145&lt;&gt;"")),"manuell übersteuert; ","")&amp;IF(AND(BW145=0,R145=0),"Gebinde unbekannt / Stellmass fehlt; ","")&amp;IF(AND(BW145=0,N(V145)&lt;=0,N(Q145)&lt;=0),"Menge pro Gebinde fehlt (Ist = 1 Gebinde); ","")&amp;BR145)</f>
        <v>Überbestand 15 Stk / CHF 131; </v>
      </c>
      <c r="BK145" s="48"/>
      <c r="BL145" s="48"/>
      <c r="BM145" s="55"/>
      <c r="BN145" s="50" t="n">
        <v>165</v>
      </c>
      <c r="BO145" s="50" t="n">
        <v>32</v>
      </c>
      <c r="BP145" s="49" t="n">
        <v>1394.19</v>
      </c>
      <c r="BQ145" s="50" t="n">
        <v>134</v>
      </c>
      <c r="BR145" s="48"/>
      <c r="BS145" s="53" t="n">
        <v>0</v>
      </c>
      <c r="BT145" s="53" t="n">
        <v>145</v>
      </c>
      <c r="BU145" s="48" t="str">
        <f aca="false">IF(U145&lt;&gt;"",UPPER(TRIM(U145)),IF(BX145=1,UPPER(VLOOKUP(T145,Parameter!$I$27:$K$29,2,0)),IF(P145="","LOSE",P145)))</f>
        <v>S32</v>
      </c>
      <c r="BV145" s="50" t="n">
        <f aca="false">IF(BU145="LOSE",1,IF(N(V145)&gt;0,V145,IF(BX145=1,MAX(1,N(VLOOKUP(T145,Parameter!$I$27:$K$29,3,0)),H145,N(N145)),IF(N(Q145)&gt;0,Q145,MAX(1,H145)))))</f>
        <v>91</v>
      </c>
      <c r="BW145" s="53" t="n">
        <f aca="false">IF(BU145="LOSE",1,0)</f>
        <v>0</v>
      </c>
      <c r="BX145" s="53" t="n">
        <f aca="false">IF(AND(U145="",OR(P145="",P145="LOSE"),T145&lt;&gt;"",N(S145)&lt;=0,ISNUMBER(MATCH(T145,Parameter!$I$27:$I$29,0))),1,0)</f>
        <v>0</v>
      </c>
      <c r="BY145" s="53" t="n">
        <f aca="false">IF(CL145&gt;0,INDEX(Parameter!$H$5:$H$7,W145)/INDEX(Parameter!$E$5:$E$7,W145),IF(AND(BW145=0,N(IFERROR(VLOOKUP(BU145,'Gebinde-Kategorie'!$A$5:$N$45,14,0),0))&gt;0),VLOOKUP(BU145,'Gebinde-Kategorie'!$A$5:$N$45,14,0)*10+Parameter!$M$23,Parameter!$M$24))</f>
        <v>155</v>
      </c>
      <c r="BZ145" s="48" t="str">
        <f aca="false">IF(AND(Parameter!$B$19="Ja",E145&lt;&gt;"",ISNUMBER(MATCH(E145,Parameter!$I$35:$I$52,0))),VLOOKUP(E145,Parameter!$I$35:$J$52,2,0),IFERROR(VLOOKUP(D145,Parameter!$A$35:$C$64,2,0),"Nein"))</f>
        <v>2+3</v>
      </c>
      <c r="CA145" s="52" t="n">
        <f aca="false">IF(BW145=0,0,IF(N(S145)&gt;0,S145,IFERROR(VLOOKUP(D145,Parameter!$A$35:$C$64,3,0)+0,0)))</f>
        <v>0</v>
      </c>
      <c r="CB145" s="48" t="n">
        <f aca="false">IF(AA145&lt;&gt;"",AA145,Z145)</f>
        <v>3</v>
      </c>
      <c r="CC145" s="48" t="str">
        <f aca="false">IF(OR(CB145=1,CB145=2,CB145=3),IF(Parameter!$E$27="Ja","LIFT",IF(CB145=1,"L1","L23")),IF(CB145="Aussen","Aussen","-"))</f>
        <v>LIFT</v>
      </c>
      <c r="CD145" s="59" t="n">
        <f aca="false">IF(N(AB145)&gt;0,AB145,0)</f>
        <v>0</v>
      </c>
      <c r="CE145" s="53" t="n">
        <f aca="false">IF(ISNUMBER(AE145),1,0)</f>
        <v>0</v>
      </c>
      <c r="CF145" s="50" t="n">
        <f aca="false">N(AE145)</f>
        <v>0</v>
      </c>
      <c r="CG145" s="50" t="n">
        <f aca="false">N(M145)+N(N145)</f>
        <v>155</v>
      </c>
      <c r="CH145" s="50" t="n">
        <f aca="false">ROUNDUP(H145/BV145,0)</f>
        <v>3</v>
      </c>
      <c r="CI145" s="50" t="n">
        <f aca="false">ROUNDUP(CF145/BV145,0)</f>
        <v>0</v>
      </c>
      <c r="CJ145" s="53" t="n">
        <f aca="false">IF(BW145=1,0,IFERROR(VLOOKUP(BU145,'Gebinde-Kategorie'!$A$5:$N$45,5,0)+0,0))</f>
        <v>8</v>
      </c>
      <c r="CK145" s="53" t="n">
        <f aca="false">IFERROR(IF(OR(CB145=1,CB145=2,CB145=3),N(INDEX(Parameter!$I$5:$I$7,CB145)),0),0)</f>
        <v>0</v>
      </c>
      <c r="CL145" s="52" t="n">
        <f aca="false">IF(AND(Parameter!$B$21="Ja",ISNUMBER(W145),N(X145)&gt;0),IFERROR(N(INDEX(Parameter!$L$5:$L$7,W145))*INDEX(Parameter!$E$5:$E$7,W145)*X145/SUMIFS($X$7:$X$1843,$W$7:$W$1843,W145),0),0)</f>
        <v>0</v>
      </c>
    </row>
    <row r="146" customFormat="false" ht="15" hidden="false" customHeight="false" outlineLevel="0" collapsed="false">
      <c r="A146" s="48" t="s">
        <v>502</v>
      </c>
      <c r="B146" s="48" t="s">
        <v>503</v>
      </c>
      <c r="C146" s="48" t="s">
        <v>168</v>
      </c>
      <c r="D146" s="48" t="s">
        <v>177</v>
      </c>
      <c r="E146" s="48"/>
      <c r="F146" s="48" t="s">
        <v>222</v>
      </c>
      <c r="G146" s="49" t="n">
        <v>1394</v>
      </c>
      <c r="H146" s="50" t="n">
        <f aca="false">MAX(0,IF(AND(Parameter!$B$21="Ja",ISNUMBER(Y146)),Y146,IF(Parameter!$B$20="Jahresanfang 2025 + Export",BO146+BN146,BN146)))</f>
        <v>1</v>
      </c>
      <c r="I146" s="50" t="n">
        <f aca="false">H146*G146</f>
        <v>1394</v>
      </c>
      <c r="J146" s="50" t="n">
        <f aca="false">BQ146*Parameter!$B$18</f>
        <v>0</v>
      </c>
      <c r="K146" s="51" t="n">
        <v>1</v>
      </c>
      <c r="L146" s="52" t="n">
        <v>0</v>
      </c>
      <c r="M146" s="50" t="n">
        <v>0</v>
      </c>
      <c r="N146" s="50" t="n">
        <v>1</v>
      </c>
      <c r="O146" s="53" t="n">
        <v>70</v>
      </c>
      <c r="P146" s="48" t="s">
        <v>306</v>
      </c>
      <c r="Q146" s="50" t="n">
        <v>2</v>
      </c>
      <c r="R146" s="53" t="n">
        <f aca="false">IF(BW146=1,0,IFERROR(VLOOKUP(BU146,'Gebinde-Kategorie'!$A$5:$N$45,13,0)+0,0))</f>
        <v>26</v>
      </c>
      <c r="S146" s="54"/>
      <c r="T146" s="55"/>
      <c r="U146" s="55"/>
      <c r="V146" s="55"/>
      <c r="W146" s="48"/>
      <c r="X146" s="50"/>
      <c r="Y146" s="50"/>
      <c r="Z146" s="48" t="n">
        <f aca="false">IF(A146="","",IF(AND(Parameter!$B$21="Ja",ISNUMBER(W146)),W146,IF(BZ146="2+3",IF(ISNUMBER(SEARCH("grosser Artikel",BR146)),2,IFERROR(VLOOKUP(BU146,Parameter!$F$35:$G$64,2,0),2)),IF(OR(BZ146="Nein",BZ146=""),"-",BZ146))))</f>
        <v>3</v>
      </c>
      <c r="AA146" s="55"/>
      <c r="AB146" s="56"/>
      <c r="AC146" s="50" t="n">
        <f aca="false">AT146</f>
        <v>2</v>
      </c>
      <c r="AD146" s="50" t="n">
        <f aca="false">MAX(AT146,H146)</f>
        <v>2</v>
      </c>
      <c r="AE146" s="57"/>
      <c r="AF146" s="50" t="n">
        <f aca="false">IF(LEFT(Cockpit!$C$5,1)="A",H146,IF(CE146=1,CF146,IF(LEFT(Cockpit!$C$5,1)="B",AK146,MAX(AK146,H146))))</f>
        <v>1</v>
      </c>
      <c r="AG146" s="50" t="n">
        <f aca="false">IF(BW146=1,0,ROUNDUP(AF146/BV146,0))</f>
        <v>1</v>
      </c>
      <c r="AH146" s="52" t="n">
        <f aca="false">IF(CL146&gt;0,CL146*MAX(1,AF146/X146),IF(BW146=1,IF(AF146&lt;=0,0,CA146*MAX(1,IF(H146&gt;0,AF146/H146,1))),IF(R146&gt;0,AG146/R146,0))/MAX(0.1,N(Parameter!$M$21)))</f>
        <v>0.0384615384615385</v>
      </c>
      <c r="AI146" s="50" t="n">
        <f aca="false">AH146*BY146</f>
        <v>5.96153846153846</v>
      </c>
      <c r="AJ146" s="50" t="n">
        <f aca="false">AF146*G146</f>
        <v>1394</v>
      </c>
      <c r="AK146" s="50" t="n">
        <f aca="false">ROUNDUP(MAX(J146/IF(CD146&gt;0,CD146,MAX(0.1,N(Cockpit!$C$6))),CG146)/BV146,0)*BV146</f>
        <v>2</v>
      </c>
      <c r="AL146" s="51" t="n">
        <f aca="false">IF(AI146&gt;0,J146/AI146,-1)</f>
        <v>0</v>
      </c>
      <c r="AM146" s="51" t="n">
        <f aca="false">IF(AND(OR(CC146="L1",CC146="L23",CC146="LIFT"),AI146&gt;0),SUMIFS($AI$7:$AI$1843,$CC$7:$CC$1843,CC146,$AL$7:$AL$1843,"&gt;"&amp;AL146)+SUMIFS($AI$7:$AI$1843,$CC$7:$CC$1843,CC146,$AL$7:$AL$1843,AL146,$BT$7:$BT$1843,"&lt;="&amp;BT146),"")</f>
        <v>27279.0651864614</v>
      </c>
      <c r="AN146" s="58" t="n">
        <f aca="false">IF(AM146="",0,MAX(0,MIN(1,(IF(CC146="L1",Parameter!$H$5,IF(CC146="L23",Parameter!$H$6+Parameter!$H$7,Parameter!$H$5+Parameter!$H$6+Parameter!$H$7))-(AM146-AI146))/AI146)))</f>
        <v>1</v>
      </c>
      <c r="AO146" s="50" t="n">
        <f aca="false">IF(LEFT(Cockpit!$I$5,1)="A",H146,IF(CE146=1,CF146,IF(LEFT(Cockpit!$I$5,1)="B",AT146,MAX(AT146,H146))))</f>
        <v>2</v>
      </c>
      <c r="AP146" s="50" t="n">
        <f aca="false">IF(BW146=1,0,ROUNDUP(AO146/BV146,0))</f>
        <v>1</v>
      </c>
      <c r="AQ146" s="52" t="n">
        <f aca="false">IF(CL146&gt;0,CL146*MAX(1,AO146/X146),IF(BW146=1,IF(AO146&lt;=0,0,CA146*MAX(1,IF(H146&gt;0,AO146/H146,1))),IF(R146&gt;0,AP146/R146,0))/MAX(0.1,N(Parameter!$M$21)))</f>
        <v>0.0384615384615385</v>
      </c>
      <c r="AR146" s="50" t="n">
        <f aca="false">AQ146*BY146</f>
        <v>5.96153846153846</v>
      </c>
      <c r="AS146" s="50" t="n">
        <f aca="false">AO146*G146</f>
        <v>2788</v>
      </c>
      <c r="AT146" s="50" t="n">
        <f aca="false">ROUNDUP(MAX(J146/IF(CD146&gt;0,CD146,MAX(0.1,N(Cockpit!$I$6))),CG146)/BV146,0)*BV146</f>
        <v>2</v>
      </c>
      <c r="AU146" s="51" t="n">
        <f aca="false">IF(AR146&gt;0,J146/AR146,-1)</f>
        <v>0</v>
      </c>
      <c r="AV146" s="51" t="n">
        <f aca="false">IF(AND(OR(CC146="L1",CC146="L23",CC146="LIFT"),AR146&gt;0),SUMIFS($AR$7:$AR$1843,$CC$7:$CC$1843,CC146,$AU$7:$AU$1843,"&gt;"&amp;AU146)+SUMIFS($AR$7:$AR$1843,$CC$7:$CC$1843,CC146,$AU$7:$AU$1843,AU146,$BT$7:$BT$1843,"&lt;="&amp;BT146),"")</f>
        <v>38591.9707037313</v>
      </c>
      <c r="AW146" s="58" t="n">
        <f aca="false">IF(AV146="",0,MAX(0,MIN(1,(IF(CC146="L1",Parameter!$H$5,IF(CC146="L23",Parameter!$H$6+Parameter!$H$7,Parameter!$H$5+Parameter!$H$6+Parameter!$H$7))-(AV146-AR146))/AR146)))</f>
        <v>0</v>
      </c>
      <c r="AX146" s="50" t="n">
        <f aca="false">IF(LEFT(Cockpit!$O$5,1)="A",H146,IF(CE146=1,CF146,IF(LEFT(Cockpit!$O$5,1)="B",BC146,MAX(BC146,H146))))</f>
        <v>2</v>
      </c>
      <c r="AY146" s="50" t="n">
        <f aca="false">IF(BW146=1,0,ROUNDUP(AX146/BV146,0))</f>
        <v>1</v>
      </c>
      <c r="AZ146" s="52" t="n">
        <f aca="false">IF(CL146&gt;0,CL146*MAX(1,AX146/X146),IF(BW146=1,IF(AX146&lt;=0,0,CA146*MAX(1,IF(H146&gt;0,AX146/H146,1))),IF(R146&gt;0,AY146/R146,0))/MAX(0.1,N(Parameter!$M$21)))</f>
        <v>0.0384615384615385</v>
      </c>
      <c r="BA146" s="50" t="n">
        <f aca="false">AZ146*BY146</f>
        <v>5.96153846153846</v>
      </c>
      <c r="BB146" s="50" t="n">
        <f aca="false">AX146*G146</f>
        <v>2788</v>
      </c>
      <c r="BC146" s="50" t="n">
        <f aca="false">ROUNDUP(MAX(J146/IF(CD146&gt;0,CD146,MAX(0.1,N(Cockpit!$O$6))),CG146)/BV146,0)*BV146</f>
        <v>2</v>
      </c>
      <c r="BD146" s="51" t="n">
        <f aca="false">IF(BA146&gt;0,J146/BA146,-1)</f>
        <v>0</v>
      </c>
      <c r="BE146" s="51" t="n">
        <f aca="false">IF(AND(OR(CC146="L1",CC146="L23",CC146="LIFT"),BA146&gt;0),SUMIFS($BA$7:$BA$1843,$CC$7:$CC$1843,CC146,$BD$7:$BD$1843,"&gt;"&amp;BD146)+SUMIFS($BA$7:$BA$1843,$CC$7:$CC$1843,CC146,$BD$7:$BD$1843,BD146,$BT$7:$BT$1843,"&lt;="&amp;BT146),"")</f>
        <v>35266.9827455972</v>
      </c>
      <c r="BF146" s="58" t="n">
        <f aca="false">IF(BE146="",0,MAX(0,MIN(1,(IF(CC146="L1",Parameter!$H$5,IF(CC146="L23",Parameter!$H$6+Parameter!$H$7,Parameter!$H$5+Parameter!$H$6+Parameter!$H$7))-(BE146-BA146))/BA146)))</f>
        <v>1</v>
      </c>
      <c r="BG146" s="48" t="str">
        <f aca="false">IF(AI146&lt;=0,"",IF(CC146="Aussen","Aussenlager",IF(CC146="-","Nicht im Lift",IF(AN146&gt;=1,"Lift",IF(AN146&lt;=0,"Aussenlager","teilweise")))))</f>
        <v>Lift</v>
      </c>
      <c r="BH146" s="48" t="str">
        <f aca="false">IF(AR146&lt;=0,"",IF(CC146="Aussen","Aussenlager",IF(CC146="-","Nicht im Lift",IF(AW146&gt;=1,"Lift",IF(AW146&lt;=0,"Aussenlager","teilweise")))))</f>
        <v>Aussenlager</v>
      </c>
      <c r="BI146" s="48" t="str">
        <f aca="false">IF(BA146&lt;=0,"",IF(CC146="Aussen","Aussenlager",IF(CC146="-","Nicht im Lift",IF(BF146&gt;=1,"Lift",IF(BF146&lt;=0,"Aussenlager","teilweise")))))</f>
        <v>Lift</v>
      </c>
      <c r="BJ146" s="48" t="str">
        <f aca="false">IF(A146="","",IF(BS146=1,"Neu; ","")&amp;IF(AND(BS146=0,BN146&lt;0),"negativer Bestand (Export "&amp;BN146&amp;"); ","")&amp;IF(J146&lt;=0,"Kein Verbrauch; ","")&amp;IF(CL146&gt;0,"Lift "&amp;W146&amp;" lt. Liftbericht (Fach "&amp;X146&amp;" Stk); ",IF(BX146=1,"Gebinde geschätzt ("&amp;T146&amp;"); ",IF(BW146=1,"Lose – Tablare geschätzt; ","")))&amp;IF(H146&gt;AT146,"Überbestand "&amp;ROUND(H146-AT146,0)&amp;" Stk / CHF "&amp;ROUND((H146-AT146)*G146,0)&amp;"; ","")&amp;IF(AND(CE146=1,CF146&lt;CG146),"MAX &lt; MB+LG; ","")&amp;IF(AND(CK146&gt;0,CJ146*10&gt;CK146),"zu hoch für Tablar; ","")&amp;IF(AND(BS146=0,OR(CE146=1,AA146&lt;&gt;"",U146&lt;&gt;"",V146&lt;&gt;"",AB146&lt;&gt;"")),"manuell übersteuert; ","")&amp;IF(AND(BW146=0,R146=0),"Gebinde unbekannt / Stellmass fehlt; ","")&amp;IF(AND(BW146=0,N(V146)&lt;=0,N(Q146)&lt;=0),"Menge pro Gebinde fehlt (Ist = 1 Gebinde); ","")&amp;BR146)</f>
        <v>Kein Verbrauch; </v>
      </c>
      <c r="BK146" s="48"/>
      <c r="BL146" s="48"/>
      <c r="BM146" s="55"/>
      <c r="BN146" s="50" t="n">
        <v>1</v>
      </c>
      <c r="BO146" s="50" t="n">
        <v>0</v>
      </c>
      <c r="BP146" s="49" t="n">
        <v>1394</v>
      </c>
      <c r="BQ146" s="50" t="n">
        <v>0</v>
      </c>
      <c r="BR146" s="48"/>
      <c r="BS146" s="53" t="n">
        <v>0</v>
      </c>
      <c r="BT146" s="53" t="n">
        <v>146</v>
      </c>
      <c r="BU146" s="48" t="str">
        <f aca="false">IF(U146&lt;&gt;"",UPPER(TRIM(U146)),IF(BX146=1,UPPER(VLOOKUP(T146,Parameter!$I$27:$K$29,2,0)),IF(P146="","LOSE",P146)))</f>
        <v>S51</v>
      </c>
      <c r="BV146" s="50" t="n">
        <f aca="false">IF(BU146="LOSE",1,IF(N(V146)&gt;0,V146,IF(BX146=1,MAX(1,N(VLOOKUP(T146,Parameter!$I$27:$K$29,3,0)),H146,N(N146)),IF(N(Q146)&gt;0,Q146,MAX(1,H146)))))</f>
        <v>2</v>
      </c>
      <c r="BW146" s="53" t="n">
        <f aca="false">IF(BU146="LOSE",1,0)</f>
        <v>0</v>
      </c>
      <c r="BX146" s="53" t="n">
        <f aca="false">IF(AND(U146="",OR(P146="",P146="LOSE"),T146&lt;&gt;"",N(S146)&lt;=0,ISNUMBER(MATCH(T146,Parameter!$I$27:$I$29,0))),1,0)</f>
        <v>0</v>
      </c>
      <c r="BY146" s="53" t="n">
        <f aca="false">IF(CL146&gt;0,INDEX(Parameter!$H$5:$H$7,W146)/INDEX(Parameter!$E$5:$E$7,W146),IF(AND(BW146=0,N(IFERROR(VLOOKUP(BU146,'Gebinde-Kategorie'!$A$5:$N$45,14,0),0))&gt;0),VLOOKUP(BU146,'Gebinde-Kategorie'!$A$5:$N$45,14,0)*10+Parameter!$M$23,Parameter!$M$24))</f>
        <v>155</v>
      </c>
      <c r="BZ146" s="48" t="str">
        <f aca="false">IF(AND(Parameter!$B$19="Ja",E146&lt;&gt;"",ISNUMBER(MATCH(E146,Parameter!$I$35:$I$52,0))),VLOOKUP(E146,Parameter!$I$35:$J$52,2,0),IFERROR(VLOOKUP(D146,Parameter!$A$35:$C$64,2,0),"Nein"))</f>
        <v>2+3</v>
      </c>
      <c r="CA146" s="52" t="n">
        <f aca="false">IF(BW146=0,0,IF(N(S146)&gt;0,S146,IFERROR(VLOOKUP(D146,Parameter!$A$35:$C$64,3,0)+0,0)))</f>
        <v>0</v>
      </c>
      <c r="CB146" s="48" t="n">
        <f aca="false">IF(AA146&lt;&gt;"",AA146,Z146)</f>
        <v>3</v>
      </c>
      <c r="CC146" s="48" t="str">
        <f aca="false">IF(OR(CB146=1,CB146=2,CB146=3),IF(Parameter!$E$27="Ja","LIFT",IF(CB146=1,"L1","L23")),IF(CB146="Aussen","Aussen","-"))</f>
        <v>LIFT</v>
      </c>
      <c r="CD146" s="59" t="n">
        <f aca="false">IF(N(AB146)&gt;0,AB146,0)</f>
        <v>0</v>
      </c>
      <c r="CE146" s="53" t="n">
        <f aca="false">IF(ISNUMBER(AE146),1,0)</f>
        <v>0</v>
      </c>
      <c r="CF146" s="50" t="n">
        <f aca="false">N(AE146)</f>
        <v>0</v>
      </c>
      <c r="CG146" s="50" t="n">
        <f aca="false">N(M146)+N(N146)</f>
        <v>1</v>
      </c>
      <c r="CH146" s="50" t="n">
        <f aca="false">ROUNDUP(H146/BV146,0)</f>
        <v>1</v>
      </c>
      <c r="CI146" s="50" t="n">
        <f aca="false">ROUNDUP(CF146/BV146,0)</f>
        <v>0</v>
      </c>
      <c r="CJ146" s="53" t="n">
        <f aca="false">IF(BW146=1,0,IFERROR(VLOOKUP(BU146,'Gebinde-Kategorie'!$A$5:$N$45,5,0)+0,0))</f>
        <v>11</v>
      </c>
      <c r="CK146" s="53" t="n">
        <f aca="false">IFERROR(IF(OR(CB146=1,CB146=2,CB146=3),N(INDEX(Parameter!$I$5:$I$7,CB146)),0),0)</f>
        <v>0</v>
      </c>
      <c r="CL146" s="52" t="n">
        <f aca="false">IF(AND(Parameter!$B$21="Ja",ISNUMBER(W146),N(X146)&gt;0),IFERROR(N(INDEX(Parameter!$L$5:$L$7,W146))*INDEX(Parameter!$E$5:$E$7,W146)*X146/SUMIFS($X$7:$X$1843,$W$7:$W$1843,W146),0),0)</f>
        <v>0</v>
      </c>
    </row>
    <row r="147" customFormat="false" ht="15" hidden="false" customHeight="false" outlineLevel="0" collapsed="false">
      <c r="A147" s="48" t="s">
        <v>504</v>
      </c>
      <c r="B147" s="48" t="s">
        <v>505</v>
      </c>
      <c r="C147" s="48" t="s">
        <v>168</v>
      </c>
      <c r="D147" s="48" t="s">
        <v>177</v>
      </c>
      <c r="E147" s="48"/>
      <c r="F147" s="48" t="s">
        <v>222</v>
      </c>
      <c r="G147" s="49" t="n">
        <v>23</v>
      </c>
      <c r="H147" s="50" t="n">
        <f aca="false">MAX(0,IF(AND(Parameter!$B$21="Ja",ISNUMBER(Y147)),Y147,IF(Parameter!$B$20="Jahresanfang 2025 + Export",BO147+BN147,BN147)))</f>
        <v>60</v>
      </c>
      <c r="I147" s="50" t="n">
        <f aca="false">H147*G147</f>
        <v>1380</v>
      </c>
      <c r="J147" s="50" t="n">
        <f aca="false">BQ147*Parameter!$B$18</f>
        <v>0</v>
      </c>
      <c r="K147" s="51" t="n">
        <v>5</v>
      </c>
      <c r="L147" s="52" t="n">
        <v>0</v>
      </c>
      <c r="M147" s="50" t="n">
        <v>0</v>
      </c>
      <c r="N147" s="50" t="n">
        <v>1</v>
      </c>
      <c r="O147" s="53" t="n">
        <v>28</v>
      </c>
      <c r="P147" s="48" t="s">
        <v>172</v>
      </c>
      <c r="Q147" s="50"/>
      <c r="R147" s="53" t="n">
        <f aca="false">IF(BW147=1,0,IFERROR(VLOOKUP(BU147,'Gebinde-Kategorie'!$A$5:$N$45,13,0)+0,0))</f>
        <v>26</v>
      </c>
      <c r="S147" s="54"/>
      <c r="T147" s="55" t="s">
        <v>279</v>
      </c>
      <c r="U147" s="55"/>
      <c r="V147" s="55"/>
      <c r="W147" s="48"/>
      <c r="X147" s="50"/>
      <c r="Y147" s="50"/>
      <c r="Z147" s="48" t="n">
        <f aca="false">IF(A147="","",IF(AND(Parameter!$B$21="Ja",ISNUMBER(W147)),W147,IF(BZ147="2+3",IF(ISNUMBER(SEARCH("grosser Artikel",BR147)),2,IFERROR(VLOOKUP(BU147,Parameter!$F$35:$G$64,2,0),2)),IF(OR(BZ147="Nein",BZ147=""),"-",BZ147))))</f>
        <v>3</v>
      </c>
      <c r="AA147" s="55"/>
      <c r="AB147" s="56"/>
      <c r="AC147" s="50" t="n">
        <f aca="false">AT147</f>
        <v>60</v>
      </c>
      <c r="AD147" s="50" t="n">
        <f aca="false">MAX(AT147,H147)</f>
        <v>60</v>
      </c>
      <c r="AE147" s="57"/>
      <c r="AF147" s="50" t="n">
        <f aca="false">IF(LEFT(Cockpit!$C$5,1)="A",H147,IF(CE147=1,CF147,IF(LEFT(Cockpit!$C$5,1)="B",AK147,MAX(AK147,H147))))</f>
        <v>60</v>
      </c>
      <c r="AG147" s="50" t="n">
        <f aca="false">IF(BW147=1,0,ROUNDUP(AF147/BV147,0))</f>
        <v>1</v>
      </c>
      <c r="AH147" s="52" t="n">
        <f aca="false">IF(CL147&gt;0,CL147*MAX(1,AF147/X147),IF(BW147=1,IF(AF147&lt;=0,0,CA147*MAX(1,IF(H147&gt;0,AF147/H147,1))),IF(R147&gt;0,AG147/R147,0))/MAX(0.1,N(Parameter!$M$21)))</f>
        <v>0.0384615384615385</v>
      </c>
      <c r="AI147" s="50" t="n">
        <f aca="false">AH147*BY147</f>
        <v>5.96153846153846</v>
      </c>
      <c r="AJ147" s="50" t="n">
        <f aca="false">AF147*G147</f>
        <v>1380</v>
      </c>
      <c r="AK147" s="50" t="n">
        <f aca="false">ROUNDUP(MAX(J147/IF(CD147&gt;0,CD147,MAX(0.1,N(Cockpit!$C$6))),CG147)/BV147,0)*BV147</f>
        <v>60</v>
      </c>
      <c r="AL147" s="51" t="n">
        <f aca="false">IF(AI147&gt;0,J147/AI147,-1)</f>
        <v>0</v>
      </c>
      <c r="AM147" s="51" t="n">
        <f aca="false">IF(AND(OR(CC147="L1",CC147="L23",CC147="LIFT"),AI147&gt;0),SUMIFS($AI$7:$AI$1843,$CC$7:$CC$1843,CC147,$AL$7:$AL$1843,"&gt;"&amp;AL147)+SUMIFS($AI$7:$AI$1843,$CC$7:$CC$1843,CC147,$AL$7:$AL$1843,AL147,$BT$7:$BT$1843,"&lt;="&amp;BT147),"")</f>
        <v>27285.0267249229</v>
      </c>
      <c r="AN147" s="58" t="n">
        <f aca="false">IF(AM147="",0,MAX(0,MIN(1,(IF(CC147="L1",Parameter!$H$5,IF(CC147="L23",Parameter!$H$6+Parameter!$H$7,Parameter!$H$5+Parameter!$H$6+Parameter!$H$7))-(AM147-AI147))/AI147)))</f>
        <v>1</v>
      </c>
      <c r="AO147" s="50" t="n">
        <f aca="false">IF(LEFT(Cockpit!$I$5,1)="A",H147,IF(CE147=1,CF147,IF(LEFT(Cockpit!$I$5,1)="B",AT147,MAX(AT147,H147))))</f>
        <v>60</v>
      </c>
      <c r="AP147" s="50" t="n">
        <f aca="false">IF(BW147=1,0,ROUNDUP(AO147/BV147,0))</f>
        <v>1</v>
      </c>
      <c r="AQ147" s="52" t="n">
        <f aca="false">IF(CL147&gt;0,CL147*MAX(1,AO147/X147),IF(BW147=1,IF(AO147&lt;=0,0,CA147*MAX(1,IF(H147&gt;0,AO147/H147,1))),IF(R147&gt;0,AP147/R147,0))/MAX(0.1,N(Parameter!$M$21)))</f>
        <v>0.0384615384615385</v>
      </c>
      <c r="AR147" s="50" t="n">
        <f aca="false">AQ147*BY147</f>
        <v>5.96153846153846</v>
      </c>
      <c r="AS147" s="50" t="n">
        <f aca="false">AO147*G147</f>
        <v>1380</v>
      </c>
      <c r="AT147" s="50" t="n">
        <f aca="false">ROUNDUP(MAX(J147/IF(CD147&gt;0,CD147,MAX(0.1,N(Cockpit!$I$6))),CG147)/BV147,0)*BV147</f>
        <v>60</v>
      </c>
      <c r="AU147" s="51" t="n">
        <f aca="false">IF(AR147&gt;0,J147/AR147,-1)</f>
        <v>0</v>
      </c>
      <c r="AV147" s="51" t="n">
        <f aca="false">IF(AND(OR(CC147="L1",CC147="L23",CC147="LIFT"),AR147&gt;0),SUMIFS($AR$7:$AR$1843,$CC$7:$CC$1843,CC147,$AU$7:$AU$1843,"&gt;"&amp;AU147)+SUMIFS($AR$7:$AR$1843,$CC$7:$CC$1843,CC147,$AU$7:$AU$1843,AU147,$BT$7:$BT$1843,"&lt;="&amp;BT147),"")</f>
        <v>38597.9322421928</v>
      </c>
      <c r="AW147" s="58" t="n">
        <f aca="false">IF(AV147="",0,MAX(0,MIN(1,(IF(CC147="L1",Parameter!$H$5,IF(CC147="L23",Parameter!$H$6+Parameter!$H$7,Parameter!$H$5+Parameter!$H$6+Parameter!$H$7))-(AV147-AR147))/AR147)))</f>
        <v>0</v>
      </c>
      <c r="AX147" s="50" t="n">
        <f aca="false">IF(LEFT(Cockpit!$O$5,1)="A",H147,IF(CE147=1,CF147,IF(LEFT(Cockpit!$O$5,1)="B",BC147,MAX(BC147,H147))))</f>
        <v>60</v>
      </c>
      <c r="AY147" s="50" t="n">
        <f aca="false">IF(BW147=1,0,ROUNDUP(AX147/BV147,0))</f>
        <v>1</v>
      </c>
      <c r="AZ147" s="52" t="n">
        <f aca="false">IF(CL147&gt;0,CL147*MAX(1,AX147/X147),IF(BW147=1,IF(AX147&lt;=0,0,CA147*MAX(1,IF(H147&gt;0,AX147/H147,1))),IF(R147&gt;0,AY147/R147,0))/MAX(0.1,N(Parameter!$M$21)))</f>
        <v>0.0384615384615385</v>
      </c>
      <c r="BA147" s="50" t="n">
        <f aca="false">AZ147*BY147</f>
        <v>5.96153846153846</v>
      </c>
      <c r="BB147" s="50" t="n">
        <f aca="false">AX147*G147</f>
        <v>1380</v>
      </c>
      <c r="BC147" s="50" t="n">
        <f aca="false">ROUNDUP(MAX(J147/IF(CD147&gt;0,CD147,MAX(0.1,N(Cockpit!$O$6))),CG147)/BV147,0)*BV147</f>
        <v>60</v>
      </c>
      <c r="BD147" s="51" t="n">
        <f aca="false">IF(BA147&gt;0,J147/BA147,-1)</f>
        <v>0</v>
      </c>
      <c r="BE147" s="51" t="n">
        <f aca="false">IF(AND(OR(CC147="L1",CC147="L23",CC147="LIFT"),BA147&gt;0),SUMIFS($BA$7:$BA$1843,$CC$7:$CC$1843,CC147,$BD$7:$BD$1843,"&gt;"&amp;BD147)+SUMIFS($BA$7:$BA$1843,$CC$7:$CC$1843,CC147,$BD$7:$BD$1843,BD147,$BT$7:$BT$1843,"&lt;="&amp;BT147),"")</f>
        <v>35272.9442840587</v>
      </c>
      <c r="BF147" s="58" t="n">
        <f aca="false">IF(BE147="",0,MAX(0,MIN(1,(IF(CC147="L1",Parameter!$H$5,IF(CC147="L23",Parameter!$H$6+Parameter!$H$7,Parameter!$H$5+Parameter!$H$6+Parameter!$H$7))-(BE147-BA147))/BA147)))</f>
        <v>1</v>
      </c>
      <c r="BG147" s="48" t="str">
        <f aca="false">IF(AI147&lt;=0,"",IF(CC147="Aussen","Aussenlager",IF(CC147="-","Nicht im Lift",IF(AN147&gt;=1,"Lift",IF(AN147&lt;=0,"Aussenlager","teilweise")))))</f>
        <v>Lift</v>
      </c>
      <c r="BH147" s="48" t="str">
        <f aca="false">IF(AR147&lt;=0,"",IF(CC147="Aussen","Aussenlager",IF(CC147="-","Nicht im Lift",IF(AW147&gt;=1,"Lift",IF(AW147&lt;=0,"Aussenlager","teilweise")))))</f>
        <v>Aussenlager</v>
      </c>
      <c r="BI147" s="48" t="str">
        <f aca="false">IF(BA147&lt;=0,"",IF(CC147="Aussen","Aussenlager",IF(CC147="-","Nicht im Lift",IF(BF147&gt;=1,"Lift",IF(BF147&lt;=0,"Aussenlager","teilweise")))))</f>
        <v>Lift</v>
      </c>
      <c r="BJ147" s="48" t="str">
        <f aca="false">IF(A147="","",IF(BS147=1,"Neu; ","")&amp;IF(AND(BS147=0,BN147&lt;0),"negativer Bestand (Export "&amp;BN147&amp;"); ","")&amp;IF(J147&lt;=0,"Kein Verbrauch; ","")&amp;IF(CL147&gt;0,"Lift "&amp;W147&amp;" lt. Liftbericht (Fach "&amp;X147&amp;" Stk); ",IF(BX147=1,"Gebinde geschätzt ("&amp;T147&amp;"); ",IF(BW147=1,"Lose – Tablare geschätzt; ","")))&amp;IF(H147&gt;AT147,"Überbestand "&amp;ROUND(H147-AT147,0)&amp;" Stk / CHF "&amp;ROUND((H147-AT147)*G147,0)&amp;"; ","")&amp;IF(AND(CE147=1,CF147&lt;CG147),"MAX &lt; MB+LG; ","")&amp;IF(AND(CK147&gt;0,CJ147*10&gt;CK147),"zu hoch für Tablar; ","")&amp;IF(AND(BS147=0,OR(CE147=1,AA147&lt;&gt;"",U147&lt;&gt;"",V147&lt;&gt;"",AB147&lt;&gt;"")),"manuell übersteuert; ","")&amp;IF(AND(BW147=0,R147=0),"Gebinde unbekannt / Stellmass fehlt; ","")&amp;IF(AND(BW147=0,N(V147)&lt;=0,N(Q147)&lt;=0),"Menge pro Gebinde fehlt (Ist = 1 Gebinde); ","")&amp;BR147)</f>
        <v>Kein Verbrauch; Gebinde geschätzt (Klein); Menge pro Gebinde fehlt (Ist = 1 Gebinde); </v>
      </c>
      <c r="BK147" s="48"/>
      <c r="BL147" s="48"/>
      <c r="BM147" s="55"/>
      <c r="BN147" s="50" t="n">
        <v>60</v>
      </c>
      <c r="BO147" s="50" t="n">
        <v>0</v>
      </c>
      <c r="BP147" s="49" t="n">
        <v>1380</v>
      </c>
      <c r="BQ147" s="50" t="n">
        <v>0</v>
      </c>
      <c r="BR147" s="48"/>
      <c r="BS147" s="53" t="n">
        <v>0</v>
      </c>
      <c r="BT147" s="53" t="n">
        <v>147</v>
      </c>
      <c r="BU147" s="48" t="str">
        <f aca="false">IF(U147&lt;&gt;"",UPPER(TRIM(U147)),IF(BX147=1,UPPER(VLOOKUP(T147,Parameter!$I$27:$K$29,2,0)),IF(P147="","LOSE",P147)))</f>
        <v>S51</v>
      </c>
      <c r="BV147" s="50" t="n">
        <f aca="false">IF(BU147="LOSE",1,IF(N(V147)&gt;0,V147,IF(BX147=1,MAX(1,N(VLOOKUP(T147,Parameter!$I$27:$K$29,3,0)),H147,N(N147)),IF(N(Q147)&gt;0,Q147,MAX(1,H147)))))</f>
        <v>60</v>
      </c>
      <c r="BW147" s="53" t="n">
        <f aca="false">IF(BU147="LOSE",1,0)</f>
        <v>0</v>
      </c>
      <c r="BX147" s="53" t="n">
        <f aca="false">IF(AND(U147="",OR(P147="",P147="LOSE"),T147&lt;&gt;"",N(S147)&lt;=0,ISNUMBER(MATCH(T147,Parameter!$I$27:$I$29,0))),1,0)</f>
        <v>1</v>
      </c>
      <c r="BY147" s="53" t="n">
        <f aca="false">IF(CL147&gt;0,INDEX(Parameter!$H$5:$H$7,W147)/INDEX(Parameter!$E$5:$E$7,W147),IF(AND(BW147=0,N(IFERROR(VLOOKUP(BU147,'Gebinde-Kategorie'!$A$5:$N$45,14,0),0))&gt;0),VLOOKUP(BU147,'Gebinde-Kategorie'!$A$5:$N$45,14,0)*10+Parameter!$M$23,Parameter!$M$24))</f>
        <v>155</v>
      </c>
      <c r="BZ147" s="48" t="str">
        <f aca="false">IF(AND(Parameter!$B$19="Ja",E147&lt;&gt;"",ISNUMBER(MATCH(E147,Parameter!$I$35:$I$52,0))),VLOOKUP(E147,Parameter!$I$35:$J$52,2,0),IFERROR(VLOOKUP(D147,Parameter!$A$35:$C$64,2,0),"Nein"))</f>
        <v>2+3</v>
      </c>
      <c r="CA147" s="52" t="n">
        <f aca="false">IF(BW147=0,0,IF(N(S147)&gt;0,S147,IFERROR(VLOOKUP(D147,Parameter!$A$35:$C$64,3,0)+0,0)))</f>
        <v>0</v>
      </c>
      <c r="CB147" s="48" t="n">
        <f aca="false">IF(AA147&lt;&gt;"",AA147,Z147)</f>
        <v>3</v>
      </c>
      <c r="CC147" s="48" t="str">
        <f aca="false">IF(OR(CB147=1,CB147=2,CB147=3),IF(Parameter!$E$27="Ja","LIFT",IF(CB147=1,"L1","L23")),IF(CB147="Aussen","Aussen","-"))</f>
        <v>LIFT</v>
      </c>
      <c r="CD147" s="59" t="n">
        <f aca="false">IF(N(AB147)&gt;0,AB147,0)</f>
        <v>0</v>
      </c>
      <c r="CE147" s="53" t="n">
        <f aca="false">IF(ISNUMBER(AE147),1,0)</f>
        <v>0</v>
      </c>
      <c r="CF147" s="50" t="n">
        <f aca="false">N(AE147)</f>
        <v>0</v>
      </c>
      <c r="CG147" s="50" t="n">
        <f aca="false">N(M147)+N(N147)</f>
        <v>1</v>
      </c>
      <c r="CH147" s="50" t="n">
        <f aca="false">ROUNDUP(H147/BV147,0)</f>
        <v>1</v>
      </c>
      <c r="CI147" s="50" t="n">
        <f aca="false">ROUNDUP(CF147/BV147,0)</f>
        <v>0</v>
      </c>
      <c r="CJ147" s="53" t="n">
        <f aca="false">IF(BW147=1,0,IFERROR(VLOOKUP(BU147,'Gebinde-Kategorie'!$A$5:$N$45,5,0)+0,0))</f>
        <v>11</v>
      </c>
      <c r="CK147" s="53" t="n">
        <f aca="false">IFERROR(IF(OR(CB147=1,CB147=2,CB147=3),N(INDEX(Parameter!$I$5:$I$7,CB147)),0),0)</f>
        <v>0</v>
      </c>
      <c r="CL147" s="52" t="n">
        <f aca="false">IF(AND(Parameter!$B$21="Ja",ISNUMBER(W147),N(X147)&gt;0),IFERROR(N(INDEX(Parameter!$L$5:$L$7,W147))*INDEX(Parameter!$E$5:$E$7,W147)*X147/SUMIFS($X$7:$X$1843,$W$7:$W$1843,W147),0),0)</f>
        <v>0</v>
      </c>
    </row>
    <row r="148" customFormat="false" ht="15" hidden="false" customHeight="false" outlineLevel="0" collapsed="false">
      <c r="A148" s="48" t="s">
        <v>506</v>
      </c>
      <c r="B148" s="48" t="s">
        <v>507</v>
      </c>
      <c r="C148" s="48" t="s">
        <v>168</v>
      </c>
      <c r="D148" s="48" t="s">
        <v>188</v>
      </c>
      <c r="E148" s="48"/>
      <c r="F148" s="48" t="s">
        <v>222</v>
      </c>
      <c r="G148" s="49" t="n">
        <v>227.16</v>
      </c>
      <c r="H148" s="50" t="n">
        <f aca="false">MAX(0,IF(AND(Parameter!$B$21="Ja",ISNUMBER(Y148)),Y148,IF(Parameter!$B$20="Jahresanfang 2025 + Export",BO148+BN148,BN148)))</f>
        <v>8</v>
      </c>
      <c r="I148" s="50" t="n">
        <f aca="false">H148*G148</f>
        <v>1817.28</v>
      </c>
      <c r="J148" s="50" t="n">
        <f aca="false">BQ148*Parameter!$B$18</f>
        <v>0</v>
      </c>
      <c r="K148" s="51" t="n">
        <v>5</v>
      </c>
      <c r="L148" s="52" t="n">
        <v>0</v>
      </c>
      <c r="M148" s="50" t="n">
        <v>0</v>
      </c>
      <c r="N148" s="50" t="n">
        <v>1</v>
      </c>
      <c r="O148" s="53" t="n">
        <v>14</v>
      </c>
      <c r="P148" s="48" t="s">
        <v>297</v>
      </c>
      <c r="Q148" s="50" t="n">
        <v>8</v>
      </c>
      <c r="R148" s="53" t="n">
        <f aca="false">IF(BW148=1,0,IFERROR(VLOOKUP(BU148,'Gebinde-Kategorie'!$A$5:$N$45,13,0)+0,0))</f>
        <v>12</v>
      </c>
      <c r="S148" s="54"/>
      <c r="T148" s="55"/>
      <c r="U148" s="55"/>
      <c r="V148" s="55"/>
      <c r="W148" s="48"/>
      <c r="X148" s="50"/>
      <c r="Y148" s="50"/>
      <c r="Z148" s="48" t="n">
        <f aca="false">IF(A148="","",IF(AND(Parameter!$B$21="Ja",ISNUMBER(W148)),W148,IF(BZ148="2+3",IF(ISNUMBER(SEARCH("grosser Artikel",BR148)),2,IFERROR(VLOOKUP(BU148,Parameter!$F$35:$G$64,2,0),2)),IF(OR(BZ148="Nein",BZ148=""),"-",BZ148))))</f>
        <v>2</v>
      </c>
      <c r="AA148" s="55"/>
      <c r="AB148" s="56"/>
      <c r="AC148" s="50" t="n">
        <f aca="false">AT148</f>
        <v>8</v>
      </c>
      <c r="AD148" s="50" t="n">
        <f aca="false">MAX(AT148,H148)</f>
        <v>8</v>
      </c>
      <c r="AE148" s="57"/>
      <c r="AF148" s="50" t="n">
        <f aca="false">IF(LEFT(Cockpit!$C$5,1)="A",H148,IF(CE148=1,CF148,IF(LEFT(Cockpit!$C$5,1)="B",AK148,MAX(AK148,H148))))</f>
        <v>8</v>
      </c>
      <c r="AG148" s="50" t="n">
        <f aca="false">IF(BW148=1,0,ROUNDUP(AF148/BV148,0))</f>
        <v>1</v>
      </c>
      <c r="AH148" s="52" t="n">
        <f aca="false">IF(CL148&gt;0,CL148*MAX(1,AF148/X148),IF(BW148=1,IF(AF148&lt;=0,0,CA148*MAX(1,IF(H148&gt;0,AF148/H148,1))),IF(R148&gt;0,AG148/R148,0))/MAX(0.1,N(Parameter!$M$21)))</f>
        <v>0.0833333333333333</v>
      </c>
      <c r="AI148" s="50" t="n">
        <f aca="false">AH148*BY148</f>
        <v>20.4166666666667</v>
      </c>
      <c r="AJ148" s="50" t="n">
        <f aca="false">AF148*G148</f>
        <v>1817.28</v>
      </c>
      <c r="AK148" s="50" t="n">
        <f aca="false">ROUNDUP(MAX(J148/IF(CD148&gt;0,CD148,MAX(0.1,N(Cockpit!$C$6))),CG148)/BV148,0)*BV148</f>
        <v>8</v>
      </c>
      <c r="AL148" s="51" t="n">
        <f aca="false">IF(AI148&gt;0,J148/AI148,-1)</f>
        <v>0</v>
      </c>
      <c r="AM148" s="51" t="n">
        <f aca="false">IF(AND(OR(CC148="L1",CC148="L23",CC148="LIFT"),AI148&gt;0),SUMIFS($AI$7:$AI$1843,$CC$7:$CC$1843,CC148,$AL$7:$AL$1843,"&gt;"&amp;AL148)+SUMIFS($AI$7:$AI$1843,$CC$7:$CC$1843,CC148,$AL$7:$AL$1843,AL148,$BT$7:$BT$1843,"&lt;="&amp;BT148),"")</f>
        <v>27305.4433915896</v>
      </c>
      <c r="AN148" s="58" t="n">
        <f aca="false">IF(AM148="",0,MAX(0,MIN(1,(IF(CC148="L1",Parameter!$H$5,IF(CC148="L23",Parameter!$H$6+Parameter!$H$7,Parameter!$H$5+Parameter!$H$6+Parameter!$H$7))-(AM148-AI148))/AI148)))</f>
        <v>1</v>
      </c>
      <c r="AO148" s="50" t="n">
        <f aca="false">IF(LEFT(Cockpit!$I$5,1)="A",H148,IF(CE148=1,CF148,IF(LEFT(Cockpit!$I$5,1)="B",AT148,MAX(AT148,H148))))</f>
        <v>8</v>
      </c>
      <c r="AP148" s="50" t="n">
        <f aca="false">IF(BW148=1,0,ROUNDUP(AO148/BV148,0))</f>
        <v>1</v>
      </c>
      <c r="AQ148" s="52" t="n">
        <f aca="false">IF(CL148&gt;0,CL148*MAX(1,AO148/X148),IF(BW148=1,IF(AO148&lt;=0,0,CA148*MAX(1,IF(H148&gt;0,AO148/H148,1))),IF(R148&gt;0,AP148/R148,0))/MAX(0.1,N(Parameter!$M$21)))</f>
        <v>0.0833333333333333</v>
      </c>
      <c r="AR148" s="50" t="n">
        <f aca="false">AQ148*BY148</f>
        <v>20.4166666666667</v>
      </c>
      <c r="AS148" s="50" t="n">
        <f aca="false">AO148*G148</f>
        <v>1817.28</v>
      </c>
      <c r="AT148" s="50" t="n">
        <f aca="false">ROUNDUP(MAX(J148/IF(CD148&gt;0,CD148,MAX(0.1,N(Cockpit!$I$6))),CG148)/BV148,0)*BV148</f>
        <v>8</v>
      </c>
      <c r="AU148" s="51" t="n">
        <f aca="false">IF(AR148&gt;0,J148/AR148,-1)</f>
        <v>0</v>
      </c>
      <c r="AV148" s="51" t="n">
        <f aca="false">IF(AND(OR(CC148="L1",CC148="L23",CC148="LIFT"),AR148&gt;0),SUMIFS($AR$7:$AR$1843,$CC$7:$CC$1843,CC148,$AU$7:$AU$1843,"&gt;"&amp;AU148)+SUMIFS($AR$7:$AR$1843,$CC$7:$CC$1843,CC148,$AU$7:$AU$1843,AU148,$BT$7:$BT$1843,"&lt;="&amp;BT148),"")</f>
        <v>38618.3489088595</v>
      </c>
      <c r="AW148" s="58" t="n">
        <f aca="false">IF(AV148="",0,MAX(0,MIN(1,(IF(CC148="L1",Parameter!$H$5,IF(CC148="L23",Parameter!$H$6+Parameter!$H$7,Parameter!$H$5+Parameter!$H$6+Parameter!$H$7))-(AV148-AR148))/AR148)))</f>
        <v>0</v>
      </c>
      <c r="AX148" s="50" t="n">
        <f aca="false">IF(LEFT(Cockpit!$O$5,1)="A",H148,IF(CE148=1,CF148,IF(LEFT(Cockpit!$O$5,1)="B",BC148,MAX(BC148,H148))))</f>
        <v>8</v>
      </c>
      <c r="AY148" s="50" t="n">
        <f aca="false">IF(BW148=1,0,ROUNDUP(AX148/BV148,0))</f>
        <v>1</v>
      </c>
      <c r="AZ148" s="52" t="n">
        <f aca="false">IF(CL148&gt;0,CL148*MAX(1,AX148/X148),IF(BW148=1,IF(AX148&lt;=0,0,CA148*MAX(1,IF(H148&gt;0,AX148/H148,1))),IF(R148&gt;0,AY148/R148,0))/MAX(0.1,N(Parameter!$M$21)))</f>
        <v>0.0833333333333333</v>
      </c>
      <c r="BA148" s="50" t="n">
        <f aca="false">AZ148*BY148</f>
        <v>20.4166666666667</v>
      </c>
      <c r="BB148" s="50" t="n">
        <f aca="false">AX148*G148</f>
        <v>1817.28</v>
      </c>
      <c r="BC148" s="50" t="n">
        <f aca="false">ROUNDUP(MAX(J148/IF(CD148&gt;0,CD148,MAX(0.1,N(Cockpit!$O$6))),CG148)/BV148,0)*BV148</f>
        <v>8</v>
      </c>
      <c r="BD148" s="51" t="n">
        <f aca="false">IF(BA148&gt;0,J148/BA148,-1)</f>
        <v>0</v>
      </c>
      <c r="BE148" s="51" t="n">
        <f aca="false">IF(AND(OR(CC148="L1",CC148="L23",CC148="LIFT"),BA148&gt;0),SUMIFS($BA$7:$BA$1843,$CC$7:$CC$1843,CC148,$BD$7:$BD$1843,"&gt;"&amp;BD148)+SUMIFS($BA$7:$BA$1843,$CC$7:$CC$1843,CC148,$BD$7:$BD$1843,BD148,$BT$7:$BT$1843,"&lt;="&amp;BT148),"")</f>
        <v>35293.3609507254</v>
      </c>
      <c r="BF148" s="58" t="n">
        <f aca="false">IF(BE148="",0,MAX(0,MIN(1,(IF(CC148="L1",Parameter!$H$5,IF(CC148="L23",Parameter!$H$6+Parameter!$H$7,Parameter!$H$5+Parameter!$H$6+Parameter!$H$7))-(BE148-BA148))/BA148)))</f>
        <v>1</v>
      </c>
      <c r="BG148" s="48" t="str">
        <f aca="false">IF(AI148&lt;=0,"",IF(CC148="Aussen","Aussenlager",IF(CC148="-","Nicht im Lift",IF(AN148&gt;=1,"Lift",IF(AN148&lt;=0,"Aussenlager","teilweise")))))</f>
        <v>Lift</v>
      </c>
      <c r="BH148" s="48" t="str">
        <f aca="false">IF(AR148&lt;=0,"",IF(CC148="Aussen","Aussenlager",IF(CC148="-","Nicht im Lift",IF(AW148&gt;=1,"Lift",IF(AW148&lt;=0,"Aussenlager","teilweise")))))</f>
        <v>Aussenlager</v>
      </c>
      <c r="BI148" s="48" t="str">
        <f aca="false">IF(BA148&lt;=0,"",IF(CC148="Aussen","Aussenlager",IF(CC148="-","Nicht im Lift",IF(BF148&gt;=1,"Lift",IF(BF148&lt;=0,"Aussenlager","teilweise")))))</f>
        <v>Lift</v>
      </c>
      <c r="BJ148" s="48" t="str">
        <f aca="false">IF(A148="","",IF(BS148=1,"Neu; ","")&amp;IF(AND(BS148=0,BN148&lt;0),"negativer Bestand (Export "&amp;BN148&amp;"); ","")&amp;IF(J148&lt;=0,"Kein Verbrauch; ","")&amp;IF(CL148&gt;0,"Lift "&amp;W148&amp;" lt. Liftbericht (Fach "&amp;X148&amp;" Stk); ",IF(BX148=1,"Gebinde geschätzt ("&amp;T148&amp;"); ",IF(BW148=1,"Lose – Tablare geschätzt; ","")))&amp;IF(H148&gt;AT148,"Überbestand "&amp;ROUND(H148-AT148,0)&amp;" Stk / CHF "&amp;ROUND((H148-AT148)*G148,0)&amp;"; ","")&amp;IF(AND(CE148=1,CF148&lt;CG148),"MAX &lt; MB+LG; ","")&amp;IF(AND(CK148&gt;0,CJ148*10&gt;CK148),"zu hoch für Tablar; ","")&amp;IF(AND(BS148=0,OR(CE148=1,AA148&lt;&gt;"",U148&lt;&gt;"",V148&lt;&gt;"",AB148&lt;&gt;"")),"manuell übersteuert; ","")&amp;IF(AND(BW148=0,R148=0),"Gebinde unbekannt / Stellmass fehlt; ","")&amp;IF(AND(BW148=0,N(V148)&lt;=0,N(Q148)&lt;=0),"Menge pro Gebinde fehlt (Ist = 1 Gebinde); ","")&amp;BR148)</f>
        <v>Kein Verbrauch; </v>
      </c>
      <c r="BK148" s="48"/>
      <c r="BL148" s="48"/>
      <c r="BM148" s="55"/>
      <c r="BN148" s="50" t="n">
        <v>6</v>
      </c>
      <c r="BO148" s="50" t="n">
        <v>2</v>
      </c>
      <c r="BP148" s="49" t="n">
        <v>1362.96</v>
      </c>
      <c r="BQ148" s="50" t="n">
        <v>0</v>
      </c>
      <c r="BR148" s="48"/>
      <c r="BS148" s="53" t="n">
        <v>0</v>
      </c>
      <c r="BT148" s="53" t="n">
        <v>148</v>
      </c>
      <c r="BU148" s="48" t="str">
        <f aca="false">IF(U148&lt;&gt;"",UPPER(TRIM(U148)),IF(BX148=1,UPPER(VLOOKUP(T148,Parameter!$I$27:$K$29,2,0)),IF(P148="","LOSE",P148)))</f>
        <v>S62</v>
      </c>
      <c r="BV148" s="50" t="n">
        <f aca="false">IF(BU148="LOSE",1,IF(N(V148)&gt;0,V148,IF(BX148=1,MAX(1,N(VLOOKUP(T148,Parameter!$I$27:$K$29,3,0)),H148,N(N148)),IF(N(Q148)&gt;0,Q148,MAX(1,H148)))))</f>
        <v>8</v>
      </c>
      <c r="BW148" s="53" t="n">
        <f aca="false">IF(BU148="LOSE",1,0)</f>
        <v>0</v>
      </c>
      <c r="BX148" s="53" t="n">
        <f aca="false">IF(AND(U148="",OR(P148="",P148="LOSE"),T148&lt;&gt;"",N(S148)&lt;=0,ISNUMBER(MATCH(T148,Parameter!$I$27:$I$29,0))),1,0)</f>
        <v>0</v>
      </c>
      <c r="BY148" s="53" t="n">
        <f aca="false">IF(CL148&gt;0,INDEX(Parameter!$H$5:$H$7,W148)/INDEX(Parameter!$E$5:$E$7,W148),IF(AND(BW148=0,N(IFERROR(VLOOKUP(BU148,'Gebinde-Kategorie'!$A$5:$N$45,14,0),0))&gt;0),VLOOKUP(BU148,'Gebinde-Kategorie'!$A$5:$N$45,14,0)*10+Parameter!$M$23,Parameter!$M$24))</f>
        <v>245</v>
      </c>
      <c r="BZ148" s="48" t="str">
        <f aca="false">IF(AND(Parameter!$B$19="Ja",E148&lt;&gt;"",ISNUMBER(MATCH(E148,Parameter!$I$35:$I$52,0))),VLOOKUP(E148,Parameter!$I$35:$J$52,2,0),IFERROR(VLOOKUP(D148,Parameter!$A$35:$C$64,2,0),"Nein"))</f>
        <v>2+3</v>
      </c>
      <c r="CA148" s="52" t="n">
        <f aca="false">IF(BW148=0,0,IF(N(S148)&gt;0,S148,IFERROR(VLOOKUP(D148,Parameter!$A$35:$C$64,3,0)+0,0)))</f>
        <v>0</v>
      </c>
      <c r="CB148" s="48" t="n">
        <f aca="false">IF(AA148&lt;&gt;"",AA148,Z148)</f>
        <v>2</v>
      </c>
      <c r="CC148" s="48" t="str">
        <f aca="false">IF(OR(CB148=1,CB148=2,CB148=3),IF(Parameter!$E$27="Ja","LIFT",IF(CB148=1,"L1","L23")),IF(CB148="Aussen","Aussen","-"))</f>
        <v>LIFT</v>
      </c>
      <c r="CD148" s="59" t="n">
        <f aca="false">IF(N(AB148)&gt;0,AB148,0)</f>
        <v>0</v>
      </c>
      <c r="CE148" s="53" t="n">
        <f aca="false">IF(ISNUMBER(AE148),1,0)</f>
        <v>0</v>
      </c>
      <c r="CF148" s="50" t="n">
        <f aca="false">N(AE148)</f>
        <v>0</v>
      </c>
      <c r="CG148" s="50" t="n">
        <f aca="false">N(M148)+N(N148)</f>
        <v>1</v>
      </c>
      <c r="CH148" s="50" t="n">
        <f aca="false">ROUNDUP(H148/BV148,0)</f>
        <v>1</v>
      </c>
      <c r="CI148" s="50" t="n">
        <f aca="false">ROUNDUP(CF148/BV148,0)</f>
        <v>0</v>
      </c>
      <c r="CJ148" s="53" t="n">
        <f aca="false">IF(BW148=1,0,IFERROR(VLOOKUP(BU148,'Gebinde-Kategorie'!$A$5:$N$45,5,0)+0,0))</f>
        <v>21</v>
      </c>
      <c r="CK148" s="53" t="n">
        <f aca="false">IFERROR(IF(OR(CB148=1,CB148=2,CB148=3),N(INDEX(Parameter!$I$5:$I$7,CB148)),0),0)</f>
        <v>0</v>
      </c>
      <c r="CL148" s="52" t="n">
        <f aca="false">IF(AND(Parameter!$B$21="Ja",ISNUMBER(W148),N(X148)&gt;0),IFERROR(N(INDEX(Parameter!$L$5:$L$7,W148))*INDEX(Parameter!$E$5:$E$7,W148)*X148/SUMIFS($X$7:$X$1843,$W$7:$W$1843,W148),0),0)</f>
        <v>0</v>
      </c>
    </row>
    <row r="149" customFormat="false" ht="15" hidden="false" customHeight="false" outlineLevel="0" collapsed="false">
      <c r="A149" s="48" t="s">
        <v>508</v>
      </c>
      <c r="B149" s="48" t="s">
        <v>509</v>
      </c>
      <c r="C149" s="48" t="s">
        <v>168</v>
      </c>
      <c r="D149" s="48" t="s">
        <v>188</v>
      </c>
      <c r="E149" s="48" t="s">
        <v>189</v>
      </c>
      <c r="F149" s="48" t="s">
        <v>222</v>
      </c>
      <c r="G149" s="49" t="n">
        <v>50.41</v>
      </c>
      <c r="H149" s="50" t="n">
        <f aca="false">MAX(0,IF(AND(Parameter!$B$21="Ja",ISNUMBER(Y149)),Y149,IF(Parameter!$B$20="Jahresanfang 2025 + Export",BO149+BN149,BN149)))</f>
        <v>39</v>
      </c>
      <c r="I149" s="50" t="n">
        <f aca="false">H149*G149</f>
        <v>1965.99</v>
      </c>
      <c r="J149" s="50" t="n">
        <f aca="false">BQ149*Parameter!$B$18</f>
        <v>59</v>
      </c>
      <c r="K149" s="51" t="n">
        <v>34.5</v>
      </c>
      <c r="L149" s="52" t="n">
        <v>1.71014492753623</v>
      </c>
      <c r="M149" s="50" t="n">
        <v>10</v>
      </c>
      <c r="N149" s="50" t="n">
        <v>60</v>
      </c>
      <c r="O149" s="53" t="n">
        <v>35</v>
      </c>
      <c r="P149" s="48" t="s">
        <v>297</v>
      </c>
      <c r="Q149" s="50" t="n">
        <v>16</v>
      </c>
      <c r="R149" s="53" t="n">
        <f aca="false">IF(BW149=1,0,IFERROR(VLOOKUP(BU149,'Gebinde-Kategorie'!$A$5:$N$45,13,0)+0,0))</f>
        <v>12</v>
      </c>
      <c r="S149" s="54"/>
      <c r="T149" s="55"/>
      <c r="U149" s="55"/>
      <c r="V149" s="55"/>
      <c r="W149" s="48"/>
      <c r="X149" s="50"/>
      <c r="Y149" s="50"/>
      <c r="Z149" s="48" t="n">
        <f aca="false">IF(A149="","",IF(AND(Parameter!$B$21="Ja",ISNUMBER(W149)),W149,IF(BZ149="2+3",IF(ISNUMBER(SEARCH("grosser Artikel",BR149)),2,IFERROR(VLOOKUP(BU149,Parameter!$F$35:$G$64,2,0),2)),IF(OR(BZ149="Nein",BZ149=""),"-",BZ149))))</f>
        <v>2</v>
      </c>
      <c r="AA149" s="55"/>
      <c r="AB149" s="56"/>
      <c r="AC149" s="50" t="n">
        <f aca="false">AT149</f>
        <v>80</v>
      </c>
      <c r="AD149" s="50" t="n">
        <f aca="false">MAX(AT149,H149)</f>
        <v>80</v>
      </c>
      <c r="AE149" s="57"/>
      <c r="AF149" s="50" t="n">
        <f aca="false">IF(LEFT(Cockpit!$C$5,1)="A",H149,IF(CE149=1,CF149,IF(LEFT(Cockpit!$C$5,1)="B",AK149,MAX(AK149,H149))))</f>
        <v>39</v>
      </c>
      <c r="AG149" s="50" t="n">
        <f aca="false">IF(BW149=1,0,ROUNDUP(AF149/BV149,0))</f>
        <v>3</v>
      </c>
      <c r="AH149" s="52" t="n">
        <f aca="false">IF(CL149&gt;0,CL149*MAX(1,AF149/X149),IF(BW149=1,IF(AF149&lt;=0,0,CA149*MAX(1,IF(H149&gt;0,AF149/H149,1))),IF(R149&gt;0,AG149/R149,0))/MAX(0.1,N(Parameter!$M$21)))</f>
        <v>0.25</v>
      </c>
      <c r="AI149" s="50" t="n">
        <f aca="false">AH149*BY149</f>
        <v>61.25</v>
      </c>
      <c r="AJ149" s="50" t="n">
        <f aca="false">AF149*G149</f>
        <v>1965.99</v>
      </c>
      <c r="AK149" s="50" t="n">
        <f aca="false">ROUNDUP(MAX(J149/IF(CD149&gt;0,CD149,MAX(0.1,N(Cockpit!$C$6))),CG149)/BV149,0)*BV149</f>
        <v>80</v>
      </c>
      <c r="AL149" s="51" t="n">
        <f aca="false">IF(AI149&gt;0,J149/AI149,-1)</f>
        <v>0.963265306122449</v>
      </c>
      <c r="AM149" s="51" t="n">
        <f aca="false">IF(AND(OR(CC149="L1",CC149="L23",CC149="LIFT"),AI149&gt;0),SUMIFS($AI$7:$AI$1843,$CC$7:$CC$1843,CC149,$AL$7:$AL$1843,"&gt;"&amp;AL149)+SUMIFS($AI$7:$AI$1843,$CC$7:$CC$1843,CC149,$AL$7:$AL$1843,AL149,$BT$7:$BT$1843,"&lt;="&amp;BT149),"")</f>
        <v>7226.2760989011</v>
      </c>
      <c r="AN149" s="58" t="n">
        <f aca="false">IF(AM149="",0,MAX(0,MIN(1,(IF(CC149="L1",Parameter!$H$5,IF(CC149="L23",Parameter!$H$6+Parameter!$H$7,Parameter!$H$5+Parameter!$H$6+Parameter!$H$7))-(AM149-AI149))/AI149)))</f>
        <v>1</v>
      </c>
      <c r="AO149" s="50" t="n">
        <f aca="false">IF(LEFT(Cockpit!$I$5,1)="A",H149,IF(CE149=1,CF149,IF(LEFT(Cockpit!$I$5,1)="B",AT149,MAX(AT149,H149))))</f>
        <v>80</v>
      </c>
      <c r="AP149" s="50" t="n">
        <f aca="false">IF(BW149=1,0,ROUNDUP(AO149/BV149,0))</f>
        <v>5</v>
      </c>
      <c r="AQ149" s="52" t="n">
        <f aca="false">IF(CL149&gt;0,CL149*MAX(1,AO149/X149),IF(BW149=1,IF(AO149&lt;=0,0,CA149*MAX(1,IF(H149&gt;0,AO149/H149,1))),IF(R149&gt;0,AP149/R149,0))/MAX(0.1,N(Parameter!$M$21)))</f>
        <v>0.416666666666667</v>
      </c>
      <c r="AR149" s="50" t="n">
        <f aca="false">AQ149*BY149</f>
        <v>102.083333333333</v>
      </c>
      <c r="AS149" s="50" t="n">
        <f aca="false">AO149*G149</f>
        <v>4032.8</v>
      </c>
      <c r="AT149" s="50" t="n">
        <f aca="false">ROUNDUP(MAX(J149/IF(CD149&gt;0,CD149,MAX(0.1,N(Cockpit!$I$6))),CG149)/BV149,0)*BV149</f>
        <v>80</v>
      </c>
      <c r="AU149" s="51" t="n">
        <f aca="false">IF(AR149&gt;0,J149/AR149,-1)</f>
        <v>0.577959183673469</v>
      </c>
      <c r="AV149" s="51" t="n">
        <f aca="false">IF(AND(OR(CC149="L1",CC149="L23",CC149="LIFT"),AR149&gt;0),SUMIFS($AR$7:$AR$1843,$CC$7:$CC$1843,CC149,$AU$7:$AU$1843,"&gt;"&amp;AU149)+SUMIFS($AR$7:$AR$1843,$CC$7:$CC$1843,CC149,$AU$7:$AU$1843,AU149,$BT$7:$BT$1843,"&lt;="&amp;BT149),"")</f>
        <v>13160.0773809524</v>
      </c>
      <c r="AW149" s="58" t="n">
        <f aca="false">IF(AV149="",0,MAX(0,MIN(1,(IF(CC149="L1",Parameter!$H$5,IF(CC149="L23",Parameter!$H$6+Parameter!$H$7,Parameter!$H$5+Parameter!$H$6+Parameter!$H$7))-(AV149-AR149))/AR149)))</f>
        <v>1</v>
      </c>
      <c r="AX149" s="50" t="n">
        <f aca="false">IF(LEFT(Cockpit!$O$5,1)="A",H149,IF(CE149=1,CF149,IF(LEFT(Cockpit!$O$5,1)="B",BC149,MAX(BC149,H149))))</f>
        <v>80</v>
      </c>
      <c r="AY149" s="50" t="n">
        <f aca="false">IF(BW149=1,0,ROUNDUP(AX149/BV149,0))</f>
        <v>5</v>
      </c>
      <c r="AZ149" s="52" t="n">
        <f aca="false">IF(CL149&gt;0,CL149*MAX(1,AX149/X149),IF(BW149=1,IF(AX149&lt;=0,0,CA149*MAX(1,IF(H149&gt;0,AX149/H149,1))),IF(R149&gt;0,AY149/R149,0))/MAX(0.1,N(Parameter!$M$21)))</f>
        <v>0.416666666666667</v>
      </c>
      <c r="BA149" s="50" t="n">
        <f aca="false">AZ149*BY149</f>
        <v>102.083333333333</v>
      </c>
      <c r="BB149" s="50" t="n">
        <f aca="false">AX149*G149</f>
        <v>4032.8</v>
      </c>
      <c r="BC149" s="50" t="n">
        <f aca="false">ROUNDUP(MAX(J149/IF(CD149&gt;0,CD149,MAX(0.1,N(Cockpit!$O$6))),CG149)/BV149,0)*BV149</f>
        <v>80</v>
      </c>
      <c r="BD149" s="51" t="n">
        <f aca="false">IF(BA149&gt;0,J149/BA149,-1)</f>
        <v>0.577959183673469</v>
      </c>
      <c r="BE149" s="51" t="n">
        <f aca="false">IF(AND(OR(CC149="L1",CC149="L23",CC149="LIFT"),BA149&gt;0),SUMIFS($BA$7:$BA$1843,$CC$7:$CC$1843,CC149,$BD$7:$BD$1843,"&gt;"&amp;BD149)+SUMIFS($BA$7:$BA$1843,$CC$7:$CC$1843,CC149,$BD$7:$BD$1843,BD149,$BT$7:$BT$1843,"&lt;="&amp;BT149),"")</f>
        <v>11999.0677655678</v>
      </c>
      <c r="BF149" s="58" t="n">
        <f aca="false">IF(BE149="",0,MAX(0,MIN(1,(IF(CC149="L1",Parameter!$H$5,IF(CC149="L23",Parameter!$H$6+Parameter!$H$7,Parameter!$H$5+Parameter!$H$6+Parameter!$H$7))-(BE149-BA149))/BA149)))</f>
        <v>1</v>
      </c>
      <c r="BG149" s="48" t="str">
        <f aca="false">IF(AI149&lt;=0,"",IF(CC149="Aussen","Aussenlager",IF(CC149="-","Nicht im Lift",IF(AN149&gt;=1,"Lift",IF(AN149&lt;=0,"Aussenlager","teilweise")))))</f>
        <v>Lift</v>
      </c>
      <c r="BH149" s="48" t="str">
        <f aca="false">IF(AR149&lt;=0,"",IF(CC149="Aussen","Aussenlager",IF(CC149="-","Nicht im Lift",IF(AW149&gt;=1,"Lift",IF(AW149&lt;=0,"Aussenlager","teilweise")))))</f>
        <v>Lift</v>
      </c>
      <c r="BI149" s="48" t="str">
        <f aca="false">IF(BA149&lt;=0,"",IF(CC149="Aussen","Aussenlager",IF(CC149="-","Nicht im Lift",IF(BF149&gt;=1,"Lift",IF(BF149&lt;=0,"Aussenlager","teilweise")))))</f>
        <v>Lift</v>
      </c>
      <c r="BJ149" s="48" t="str">
        <f aca="false">IF(A149="","",IF(BS149=1,"Neu; ","")&amp;IF(AND(BS149=0,BN149&lt;0),"negativer Bestand (Export "&amp;BN149&amp;"); ","")&amp;IF(J149&lt;=0,"Kein Verbrauch; ","")&amp;IF(CL149&gt;0,"Lift "&amp;W149&amp;" lt. Liftbericht (Fach "&amp;X149&amp;" Stk); ",IF(BX149=1,"Gebinde geschätzt ("&amp;T149&amp;"); ",IF(BW149=1,"Lose – Tablare geschätzt; ","")))&amp;IF(H149&gt;AT149,"Überbestand "&amp;ROUND(H149-AT149,0)&amp;" Stk / CHF "&amp;ROUND((H149-AT149)*G149,0)&amp;"; ","")&amp;IF(AND(CE149=1,CF149&lt;CG149),"MAX &lt; MB+LG; ","")&amp;IF(AND(CK149&gt;0,CJ149*10&gt;CK149),"zu hoch für Tablar; ","")&amp;IF(AND(BS149=0,OR(CE149=1,AA149&lt;&gt;"",U149&lt;&gt;"",V149&lt;&gt;"",AB149&lt;&gt;"")),"manuell übersteuert; ","")&amp;IF(AND(BW149=0,R149=0),"Gebinde unbekannt / Stellmass fehlt; ","")&amp;IF(AND(BW149=0,N(V149)&lt;=0,N(Q149)&lt;=0),"Menge pro Gebinde fehlt (Ist = 1 Gebinde); ","")&amp;BR149)</f>
        <v/>
      </c>
      <c r="BK149" s="48"/>
      <c r="BL149" s="48"/>
      <c r="BM149" s="55"/>
      <c r="BN149" s="50" t="n">
        <v>25</v>
      </c>
      <c r="BO149" s="50" t="n">
        <v>14</v>
      </c>
      <c r="BP149" s="49" t="n">
        <v>1353.35</v>
      </c>
      <c r="BQ149" s="50" t="n">
        <v>59</v>
      </c>
      <c r="BR149" s="48"/>
      <c r="BS149" s="53" t="n">
        <v>0</v>
      </c>
      <c r="BT149" s="53" t="n">
        <v>149</v>
      </c>
      <c r="BU149" s="48" t="str">
        <f aca="false">IF(U149&lt;&gt;"",UPPER(TRIM(U149)),IF(BX149=1,UPPER(VLOOKUP(T149,Parameter!$I$27:$K$29,2,0)),IF(P149="","LOSE",P149)))</f>
        <v>S62</v>
      </c>
      <c r="BV149" s="50" t="n">
        <f aca="false">IF(BU149="LOSE",1,IF(N(V149)&gt;0,V149,IF(BX149=1,MAX(1,N(VLOOKUP(T149,Parameter!$I$27:$K$29,3,0)),H149,N(N149)),IF(N(Q149)&gt;0,Q149,MAX(1,H149)))))</f>
        <v>16</v>
      </c>
      <c r="BW149" s="53" t="n">
        <f aca="false">IF(BU149="LOSE",1,0)</f>
        <v>0</v>
      </c>
      <c r="BX149" s="53" t="n">
        <f aca="false">IF(AND(U149="",OR(P149="",P149="LOSE"),T149&lt;&gt;"",N(S149)&lt;=0,ISNUMBER(MATCH(T149,Parameter!$I$27:$I$29,0))),1,0)</f>
        <v>0</v>
      </c>
      <c r="BY149" s="53" t="n">
        <f aca="false">IF(CL149&gt;0,INDEX(Parameter!$H$5:$H$7,W149)/INDEX(Parameter!$E$5:$E$7,W149),IF(AND(BW149=0,N(IFERROR(VLOOKUP(BU149,'Gebinde-Kategorie'!$A$5:$N$45,14,0),0))&gt;0),VLOOKUP(BU149,'Gebinde-Kategorie'!$A$5:$N$45,14,0)*10+Parameter!$M$23,Parameter!$M$24))</f>
        <v>245</v>
      </c>
      <c r="BZ149" s="48" t="str">
        <f aca="false">IF(AND(Parameter!$B$19="Ja",E149&lt;&gt;"",ISNUMBER(MATCH(E149,Parameter!$I$35:$I$52,0))),VLOOKUP(E149,Parameter!$I$35:$J$52,2,0),IFERROR(VLOOKUP(D149,Parameter!$A$35:$C$64,2,0),"Nein"))</f>
        <v>2+3</v>
      </c>
      <c r="CA149" s="52" t="n">
        <f aca="false">IF(BW149=0,0,IF(N(S149)&gt;0,S149,IFERROR(VLOOKUP(D149,Parameter!$A$35:$C$64,3,0)+0,0)))</f>
        <v>0</v>
      </c>
      <c r="CB149" s="48" t="n">
        <f aca="false">IF(AA149&lt;&gt;"",AA149,Z149)</f>
        <v>2</v>
      </c>
      <c r="CC149" s="48" t="str">
        <f aca="false">IF(OR(CB149=1,CB149=2,CB149=3),IF(Parameter!$E$27="Ja","LIFT",IF(CB149=1,"L1","L23")),IF(CB149="Aussen","Aussen","-"))</f>
        <v>LIFT</v>
      </c>
      <c r="CD149" s="59" t="n">
        <f aca="false">IF(N(AB149)&gt;0,AB149,0)</f>
        <v>0</v>
      </c>
      <c r="CE149" s="53" t="n">
        <f aca="false">IF(ISNUMBER(AE149),1,0)</f>
        <v>0</v>
      </c>
      <c r="CF149" s="50" t="n">
        <f aca="false">N(AE149)</f>
        <v>0</v>
      </c>
      <c r="CG149" s="50" t="n">
        <f aca="false">N(M149)+N(N149)</f>
        <v>70</v>
      </c>
      <c r="CH149" s="50" t="n">
        <f aca="false">ROUNDUP(H149/BV149,0)</f>
        <v>3</v>
      </c>
      <c r="CI149" s="50" t="n">
        <f aca="false">ROUNDUP(CF149/BV149,0)</f>
        <v>0</v>
      </c>
      <c r="CJ149" s="53" t="n">
        <f aca="false">IF(BW149=1,0,IFERROR(VLOOKUP(BU149,'Gebinde-Kategorie'!$A$5:$N$45,5,0)+0,0))</f>
        <v>21</v>
      </c>
      <c r="CK149" s="53" t="n">
        <f aca="false">IFERROR(IF(OR(CB149=1,CB149=2,CB149=3),N(INDEX(Parameter!$I$5:$I$7,CB149)),0),0)</f>
        <v>0</v>
      </c>
      <c r="CL149" s="52" t="n">
        <f aca="false">IF(AND(Parameter!$B$21="Ja",ISNUMBER(W149),N(X149)&gt;0),IFERROR(N(INDEX(Parameter!$L$5:$L$7,W149))*INDEX(Parameter!$E$5:$E$7,W149)*X149/SUMIFS($X$7:$X$1843,$W$7:$W$1843,W149),0),0)</f>
        <v>0</v>
      </c>
    </row>
    <row r="150" customFormat="false" ht="15" hidden="false" customHeight="false" outlineLevel="0" collapsed="false">
      <c r="A150" s="48" t="s">
        <v>510</v>
      </c>
      <c r="B150" s="48" t="s">
        <v>511</v>
      </c>
      <c r="C150" s="48" t="s">
        <v>168</v>
      </c>
      <c r="D150" s="48" t="s">
        <v>188</v>
      </c>
      <c r="E150" s="48" t="s">
        <v>189</v>
      </c>
      <c r="F150" s="48" t="s">
        <v>222</v>
      </c>
      <c r="G150" s="49" t="n">
        <v>4.04</v>
      </c>
      <c r="H150" s="50" t="n">
        <f aca="false">MAX(0,IF(AND(Parameter!$B$21="Ja",ISNUMBER(Y150)),Y150,IF(Parameter!$B$20="Jahresanfang 2025 + Export",BO150+BN150,BN150)))</f>
        <v>397</v>
      </c>
      <c r="I150" s="50" t="n">
        <f aca="false">H150*G150</f>
        <v>1603.88</v>
      </c>
      <c r="J150" s="50" t="n">
        <f aca="false">BQ150*Parameter!$B$18</f>
        <v>199</v>
      </c>
      <c r="K150" s="51" t="n">
        <v>57</v>
      </c>
      <c r="L150" s="52" t="n">
        <v>3.49122807017544</v>
      </c>
      <c r="M150" s="50" t="n">
        <v>11</v>
      </c>
      <c r="N150" s="50" t="n">
        <v>200</v>
      </c>
      <c r="O150" s="53" t="n">
        <v>21</v>
      </c>
      <c r="P150" s="48" t="s">
        <v>306</v>
      </c>
      <c r="Q150" s="50" t="n">
        <v>71</v>
      </c>
      <c r="R150" s="53" t="n">
        <f aca="false">IF(BW150=1,0,IFERROR(VLOOKUP(BU150,'Gebinde-Kategorie'!$A$5:$N$45,13,0)+0,0))</f>
        <v>26</v>
      </c>
      <c r="S150" s="54"/>
      <c r="T150" s="55"/>
      <c r="U150" s="55"/>
      <c r="V150" s="55"/>
      <c r="W150" s="48"/>
      <c r="X150" s="50"/>
      <c r="Y150" s="50"/>
      <c r="Z150" s="48" t="n">
        <f aca="false">IF(A150="","",IF(AND(Parameter!$B$21="Ja",ISNUMBER(W150)),W150,IF(BZ150="2+3",IF(ISNUMBER(SEARCH("grosser Artikel",BR150)),2,IFERROR(VLOOKUP(BU150,Parameter!$F$35:$G$64,2,0),2)),IF(OR(BZ150="Nein",BZ150=""),"-",BZ150))))</f>
        <v>3</v>
      </c>
      <c r="AA150" s="55"/>
      <c r="AB150" s="56"/>
      <c r="AC150" s="50" t="n">
        <f aca="false">AT150</f>
        <v>213</v>
      </c>
      <c r="AD150" s="50" t="n">
        <f aca="false">MAX(AT150,H150)</f>
        <v>397</v>
      </c>
      <c r="AE150" s="57"/>
      <c r="AF150" s="50" t="n">
        <f aca="false">IF(LEFT(Cockpit!$C$5,1)="A",H150,IF(CE150=1,CF150,IF(LEFT(Cockpit!$C$5,1)="B",AK150,MAX(AK150,H150))))</f>
        <v>397</v>
      </c>
      <c r="AG150" s="50" t="n">
        <f aca="false">IF(BW150=1,0,ROUNDUP(AF150/BV150,0))</f>
        <v>6</v>
      </c>
      <c r="AH150" s="52" t="n">
        <f aca="false">IF(CL150&gt;0,CL150*MAX(1,AF150/X150),IF(BW150=1,IF(AF150&lt;=0,0,CA150*MAX(1,IF(H150&gt;0,AF150/H150,1))),IF(R150&gt;0,AG150/R150,0))/MAX(0.1,N(Parameter!$M$21)))</f>
        <v>0.230769230769231</v>
      </c>
      <c r="AI150" s="50" t="n">
        <f aca="false">AH150*BY150</f>
        <v>35.7692307692308</v>
      </c>
      <c r="AJ150" s="50" t="n">
        <f aca="false">AF150*G150</f>
        <v>1603.88</v>
      </c>
      <c r="AK150" s="50" t="n">
        <f aca="false">ROUNDUP(MAX(J150/IF(CD150&gt;0,CD150,MAX(0.1,N(Cockpit!$C$6))),CG150)/BV150,0)*BV150</f>
        <v>213</v>
      </c>
      <c r="AL150" s="51" t="n">
        <f aca="false">IF(AI150&gt;0,J150/AI150,-1)</f>
        <v>5.56344086021505</v>
      </c>
      <c r="AM150" s="51" t="n">
        <f aca="false">IF(AND(OR(CC150="L1",CC150="L23",CC150="LIFT"),AI150&gt;0),SUMIFS($AI$7:$AI$1843,$CC$7:$CC$1843,CC150,$AL$7:$AL$1843,"&gt;"&amp;AL150)+SUMIFS($AI$7:$AI$1843,$CC$7:$CC$1843,CC150,$AL$7:$AL$1843,AL150,$BT$7:$BT$1843,"&lt;="&amp;BT150),"")</f>
        <v>3696.59661172161</v>
      </c>
      <c r="AN150" s="58" t="n">
        <f aca="false">IF(AM150="",0,MAX(0,MIN(1,(IF(CC150="L1",Parameter!$H$5,IF(CC150="L23",Parameter!$H$6+Parameter!$H$7,Parameter!$H$5+Parameter!$H$6+Parameter!$H$7))-(AM150-AI150))/AI150)))</f>
        <v>1</v>
      </c>
      <c r="AO150" s="50" t="n">
        <f aca="false">IF(LEFT(Cockpit!$I$5,1)="A",H150,IF(CE150=1,CF150,IF(LEFT(Cockpit!$I$5,1)="B",AT150,MAX(AT150,H150))))</f>
        <v>397</v>
      </c>
      <c r="AP150" s="50" t="n">
        <f aca="false">IF(BW150=1,0,ROUNDUP(AO150/BV150,0))</f>
        <v>6</v>
      </c>
      <c r="AQ150" s="52" t="n">
        <f aca="false">IF(CL150&gt;0,CL150*MAX(1,AO150/X150),IF(BW150=1,IF(AO150&lt;=0,0,CA150*MAX(1,IF(H150&gt;0,AO150/H150,1))),IF(R150&gt;0,AP150/R150,0))/MAX(0.1,N(Parameter!$M$21)))</f>
        <v>0.230769230769231</v>
      </c>
      <c r="AR150" s="50" t="n">
        <f aca="false">AQ150*BY150</f>
        <v>35.7692307692308</v>
      </c>
      <c r="AS150" s="50" t="n">
        <f aca="false">AO150*G150</f>
        <v>1603.88</v>
      </c>
      <c r="AT150" s="50" t="n">
        <f aca="false">ROUNDUP(MAX(J150/IF(CD150&gt;0,CD150,MAX(0.1,N(Cockpit!$I$6))),CG150)/BV150,0)*BV150</f>
        <v>213</v>
      </c>
      <c r="AU150" s="51" t="n">
        <f aca="false">IF(AR150&gt;0,J150/AR150,-1)</f>
        <v>5.56344086021505</v>
      </c>
      <c r="AV150" s="51" t="n">
        <f aca="false">IF(AND(OR(CC150="L1",CC150="L23",CC150="LIFT"),AR150&gt;0),SUMIFS($AR$7:$AR$1843,$CC$7:$CC$1843,CC150,$AU$7:$AU$1843,"&gt;"&amp;AU150)+SUMIFS($AR$7:$AR$1843,$CC$7:$CC$1843,CC150,$AU$7:$AU$1843,AU150,$BT$7:$BT$1843,"&lt;="&amp;BT150),"")</f>
        <v>4877.57463369963</v>
      </c>
      <c r="AW150" s="58" t="n">
        <f aca="false">IF(AV150="",0,MAX(0,MIN(1,(IF(CC150="L1",Parameter!$H$5,IF(CC150="L23",Parameter!$H$6+Parameter!$H$7,Parameter!$H$5+Parameter!$H$6+Parameter!$H$7))-(AV150-AR150))/AR150)))</f>
        <v>1</v>
      </c>
      <c r="AX150" s="50" t="n">
        <f aca="false">IF(LEFT(Cockpit!$O$5,1)="A",H150,IF(CE150=1,CF150,IF(LEFT(Cockpit!$O$5,1)="B",BC150,MAX(BC150,H150))))</f>
        <v>397</v>
      </c>
      <c r="AY150" s="50" t="n">
        <f aca="false">IF(BW150=1,0,ROUNDUP(AX150/BV150,0))</f>
        <v>6</v>
      </c>
      <c r="AZ150" s="52" t="n">
        <f aca="false">IF(CL150&gt;0,CL150*MAX(1,AX150/X150),IF(BW150=1,IF(AX150&lt;=0,0,CA150*MAX(1,IF(H150&gt;0,AX150/H150,1))),IF(R150&gt;0,AY150/R150,0))/MAX(0.1,N(Parameter!$M$21)))</f>
        <v>0.230769230769231</v>
      </c>
      <c r="BA150" s="50" t="n">
        <f aca="false">AZ150*BY150</f>
        <v>35.7692307692308</v>
      </c>
      <c r="BB150" s="50" t="n">
        <f aca="false">AX150*G150</f>
        <v>1603.88</v>
      </c>
      <c r="BC150" s="50" t="n">
        <f aca="false">ROUNDUP(MAX(J150/IF(CD150&gt;0,CD150,MAX(0.1,N(Cockpit!$O$6))),CG150)/BV150,0)*BV150</f>
        <v>213</v>
      </c>
      <c r="BD150" s="51" t="n">
        <f aca="false">IF(BA150&gt;0,J150/BA150,-1)</f>
        <v>5.56344086021505</v>
      </c>
      <c r="BE150" s="51" t="n">
        <f aca="false">IF(AND(OR(CC150="L1",CC150="L23",CC150="LIFT"),BA150&gt;0),SUMIFS($BA$7:$BA$1843,$CC$7:$CC$1843,CC150,$BD$7:$BD$1843,"&gt;"&amp;BD150)+SUMIFS($BA$7:$BA$1843,$CC$7:$CC$1843,CC150,$BD$7:$BD$1843,BD150,$BT$7:$BT$1843,"&lt;="&amp;BT150),"")</f>
        <v>4548.03937728938</v>
      </c>
      <c r="BF150" s="58" t="n">
        <f aca="false">IF(BE150="",0,MAX(0,MIN(1,(IF(CC150="L1",Parameter!$H$5,IF(CC150="L23",Parameter!$H$6+Parameter!$H$7,Parameter!$H$5+Parameter!$H$6+Parameter!$H$7))-(BE150-BA150))/BA150)))</f>
        <v>1</v>
      </c>
      <c r="BG150" s="48" t="str">
        <f aca="false">IF(AI150&lt;=0,"",IF(CC150="Aussen","Aussenlager",IF(CC150="-","Nicht im Lift",IF(AN150&gt;=1,"Lift",IF(AN150&lt;=0,"Aussenlager","teilweise")))))</f>
        <v>Lift</v>
      </c>
      <c r="BH150" s="48" t="str">
        <f aca="false">IF(AR150&lt;=0,"",IF(CC150="Aussen","Aussenlager",IF(CC150="-","Nicht im Lift",IF(AW150&gt;=1,"Lift",IF(AW150&lt;=0,"Aussenlager","teilweise")))))</f>
        <v>Lift</v>
      </c>
      <c r="BI150" s="48" t="str">
        <f aca="false">IF(BA150&lt;=0,"",IF(CC150="Aussen","Aussenlager",IF(CC150="-","Nicht im Lift",IF(BF150&gt;=1,"Lift",IF(BF150&lt;=0,"Aussenlager","teilweise")))))</f>
        <v>Lift</v>
      </c>
      <c r="BJ150" s="48" t="str">
        <f aca="false">IF(A150="","",IF(BS150=1,"Neu; ","")&amp;IF(AND(BS150=0,BN150&lt;0),"negativer Bestand (Export "&amp;BN150&amp;"); ","")&amp;IF(J150&lt;=0,"Kein Verbrauch; ","")&amp;IF(CL150&gt;0,"Lift "&amp;W150&amp;" lt. Liftbericht (Fach "&amp;X150&amp;" Stk); ",IF(BX150=1,"Gebinde geschätzt ("&amp;T150&amp;"); ",IF(BW150=1,"Lose – Tablare geschätzt; ","")))&amp;IF(H150&gt;AT150,"Überbestand "&amp;ROUND(H150-AT150,0)&amp;" Stk / CHF "&amp;ROUND((H150-AT150)*G150,0)&amp;"; ","")&amp;IF(AND(CE150=1,CF150&lt;CG150),"MAX &lt; MB+LG; ","")&amp;IF(AND(CK150&gt;0,CJ150*10&gt;CK150),"zu hoch für Tablar; ","")&amp;IF(AND(BS150=0,OR(CE150=1,AA150&lt;&gt;"",U150&lt;&gt;"",V150&lt;&gt;"",AB150&lt;&gt;"")),"manuell übersteuert; ","")&amp;IF(AND(BW150=0,R150=0),"Gebinde unbekannt / Stellmass fehlt; ","")&amp;IF(AND(BW150=0,N(V150)&lt;=0,N(Q150)&lt;=0),"Menge pro Gebinde fehlt (Ist = 1 Gebinde); ","")&amp;BR150)</f>
        <v>Überbestand 184 Stk / CHF 743; </v>
      </c>
      <c r="BK150" s="48"/>
      <c r="BL150" s="48"/>
      <c r="BM150" s="55"/>
      <c r="BN150" s="50" t="n">
        <v>340</v>
      </c>
      <c r="BO150" s="50" t="n">
        <v>57</v>
      </c>
      <c r="BP150" s="49" t="n">
        <v>1338.26</v>
      </c>
      <c r="BQ150" s="50" t="n">
        <v>199</v>
      </c>
      <c r="BR150" s="48"/>
      <c r="BS150" s="53" t="n">
        <v>0</v>
      </c>
      <c r="BT150" s="53" t="n">
        <v>150</v>
      </c>
      <c r="BU150" s="48" t="str">
        <f aca="false">IF(U150&lt;&gt;"",UPPER(TRIM(U150)),IF(BX150=1,UPPER(VLOOKUP(T150,Parameter!$I$27:$K$29,2,0)),IF(P150="","LOSE",P150)))</f>
        <v>S51</v>
      </c>
      <c r="BV150" s="50" t="n">
        <f aca="false">IF(BU150="LOSE",1,IF(N(V150)&gt;0,V150,IF(BX150=1,MAX(1,N(VLOOKUP(T150,Parameter!$I$27:$K$29,3,0)),H150,N(N150)),IF(N(Q150)&gt;0,Q150,MAX(1,H150)))))</f>
        <v>71</v>
      </c>
      <c r="BW150" s="53" t="n">
        <f aca="false">IF(BU150="LOSE",1,0)</f>
        <v>0</v>
      </c>
      <c r="BX150" s="53" t="n">
        <f aca="false">IF(AND(U150="",OR(P150="",P150="LOSE"),T150&lt;&gt;"",N(S150)&lt;=0,ISNUMBER(MATCH(T150,Parameter!$I$27:$I$29,0))),1,0)</f>
        <v>0</v>
      </c>
      <c r="BY150" s="53" t="n">
        <f aca="false">IF(CL150&gt;0,INDEX(Parameter!$H$5:$H$7,W150)/INDEX(Parameter!$E$5:$E$7,W150),IF(AND(BW150=0,N(IFERROR(VLOOKUP(BU150,'Gebinde-Kategorie'!$A$5:$N$45,14,0),0))&gt;0),VLOOKUP(BU150,'Gebinde-Kategorie'!$A$5:$N$45,14,0)*10+Parameter!$M$23,Parameter!$M$24))</f>
        <v>155</v>
      </c>
      <c r="BZ150" s="48" t="str">
        <f aca="false">IF(AND(Parameter!$B$19="Ja",E150&lt;&gt;"",ISNUMBER(MATCH(E150,Parameter!$I$35:$I$52,0))),VLOOKUP(E150,Parameter!$I$35:$J$52,2,0),IFERROR(VLOOKUP(D150,Parameter!$A$35:$C$64,2,0),"Nein"))</f>
        <v>2+3</v>
      </c>
      <c r="CA150" s="52" t="n">
        <f aca="false">IF(BW150=0,0,IF(N(S150)&gt;0,S150,IFERROR(VLOOKUP(D150,Parameter!$A$35:$C$64,3,0)+0,0)))</f>
        <v>0</v>
      </c>
      <c r="CB150" s="48" t="n">
        <f aca="false">IF(AA150&lt;&gt;"",AA150,Z150)</f>
        <v>3</v>
      </c>
      <c r="CC150" s="48" t="str">
        <f aca="false">IF(OR(CB150=1,CB150=2,CB150=3),IF(Parameter!$E$27="Ja","LIFT",IF(CB150=1,"L1","L23")),IF(CB150="Aussen","Aussen","-"))</f>
        <v>LIFT</v>
      </c>
      <c r="CD150" s="59" t="n">
        <f aca="false">IF(N(AB150)&gt;0,AB150,0)</f>
        <v>0</v>
      </c>
      <c r="CE150" s="53" t="n">
        <f aca="false">IF(ISNUMBER(AE150),1,0)</f>
        <v>0</v>
      </c>
      <c r="CF150" s="50" t="n">
        <f aca="false">N(AE150)</f>
        <v>0</v>
      </c>
      <c r="CG150" s="50" t="n">
        <f aca="false">N(M150)+N(N150)</f>
        <v>211</v>
      </c>
      <c r="CH150" s="50" t="n">
        <f aca="false">ROUNDUP(H150/BV150,0)</f>
        <v>6</v>
      </c>
      <c r="CI150" s="50" t="n">
        <f aca="false">ROUNDUP(CF150/BV150,0)</f>
        <v>0</v>
      </c>
      <c r="CJ150" s="53" t="n">
        <f aca="false">IF(BW150=1,0,IFERROR(VLOOKUP(BU150,'Gebinde-Kategorie'!$A$5:$N$45,5,0)+0,0))</f>
        <v>11</v>
      </c>
      <c r="CK150" s="53" t="n">
        <f aca="false">IFERROR(IF(OR(CB150=1,CB150=2,CB150=3),N(INDEX(Parameter!$I$5:$I$7,CB150)),0),0)</f>
        <v>0</v>
      </c>
      <c r="CL150" s="52" t="n">
        <f aca="false">IF(AND(Parameter!$B$21="Ja",ISNUMBER(W150),N(X150)&gt;0),IFERROR(N(INDEX(Parameter!$L$5:$L$7,W150))*INDEX(Parameter!$E$5:$E$7,W150)*X150/SUMIFS($X$7:$X$1843,$W$7:$W$1843,W150),0),0)</f>
        <v>0</v>
      </c>
    </row>
    <row r="151" customFormat="false" ht="15" hidden="false" customHeight="false" outlineLevel="0" collapsed="false">
      <c r="A151" s="48" t="s">
        <v>512</v>
      </c>
      <c r="B151" s="48" t="s">
        <v>513</v>
      </c>
      <c r="C151" s="48" t="s">
        <v>168</v>
      </c>
      <c r="D151" s="48" t="s">
        <v>177</v>
      </c>
      <c r="E151" s="48" t="s">
        <v>177</v>
      </c>
      <c r="F151" s="48" t="s">
        <v>222</v>
      </c>
      <c r="G151" s="49" t="n">
        <v>444.6</v>
      </c>
      <c r="H151" s="50" t="n">
        <f aca="false">MAX(0,IF(AND(Parameter!$B$21="Ja",ISNUMBER(Y151)),Y151,IF(Parameter!$B$20="Jahresanfang 2025 + Export",BO151+BN151,BN151)))</f>
        <v>3</v>
      </c>
      <c r="I151" s="50" t="n">
        <f aca="false">H151*G151</f>
        <v>1333.8</v>
      </c>
      <c r="J151" s="50" t="n">
        <f aca="false">BQ151*Parameter!$B$18</f>
        <v>3</v>
      </c>
      <c r="K151" s="51" t="n">
        <v>0</v>
      </c>
      <c r="L151" s="52" t="n">
        <v>0</v>
      </c>
      <c r="M151" s="50" t="n">
        <v>0</v>
      </c>
      <c r="N151" s="50" t="n">
        <v>5</v>
      </c>
      <c r="O151" s="53" t="n">
        <v>28</v>
      </c>
      <c r="P151" s="48" t="s">
        <v>172</v>
      </c>
      <c r="Q151" s="50"/>
      <c r="R151" s="53" t="n">
        <f aca="false">IF(BW151=1,0,IFERROR(VLOOKUP(BU151,'Gebinde-Kategorie'!$A$5:$N$45,13,0)+0,0))</f>
        <v>12</v>
      </c>
      <c r="S151" s="54"/>
      <c r="T151" s="55" t="s">
        <v>183</v>
      </c>
      <c r="U151" s="55"/>
      <c r="V151" s="55"/>
      <c r="W151" s="48"/>
      <c r="X151" s="50"/>
      <c r="Y151" s="50"/>
      <c r="Z151" s="48" t="str">
        <f aca="false">IF(A151="","",IF(AND(Parameter!$B$21="Ja",ISNUMBER(W151)),W151,IF(BZ151="2+3",IF(ISNUMBER(SEARCH("grosser Artikel",BR151)),2,IFERROR(VLOOKUP(BU151,Parameter!$F$35:$G$64,2,0),2)),IF(OR(BZ151="Nein",BZ151=""),"-",BZ151))))</f>
        <v>-</v>
      </c>
      <c r="AA151" s="55"/>
      <c r="AB151" s="56"/>
      <c r="AC151" s="50" t="n">
        <f aca="false">AT151</f>
        <v>5</v>
      </c>
      <c r="AD151" s="50" t="n">
        <f aca="false">MAX(AT151,H151)</f>
        <v>5</v>
      </c>
      <c r="AE151" s="57"/>
      <c r="AF151" s="50" t="n">
        <f aca="false">IF(LEFT(Cockpit!$C$5,1)="A",H151,IF(CE151=1,CF151,IF(LEFT(Cockpit!$C$5,1)="B",AK151,MAX(AK151,H151))))</f>
        <v>3</v>
      </c>
      <c r="AG151" s="50" t="n">
        <f aca="false">IF(BW151=1,0,ROUNDUP(AF151/BV151,0))</f>
        <v>1</v>
      </c>
      <c r="AH151" s="52" t="n">
        <f aca="false">IF(CL151&gt;0,CL151*MAX(1,AF151/X151),IF(BW151=1,IF(AF151&lt;=0,0,CA151*MAX(1,IF(H151&gt;0,AF151/H151,1))),IF(R151&gt;0,AG151/R151,0))/MAX(0.1,N(Parameter!$M$21)))</f>
        <v>0.0833333333333333</v>
      </c>
      <c r="AI151" s="50" t="n">
        <f aca="false">AH151*BY151</f>
        <v>12.0833333333333</v>
      </c>
      <c r="AJ151" s="50" t="n">
        <f aca="false">AF151*G151</f>
        <v>1333.8</v>
      </c>
      <c r="AK151" s="50" t="n">
        <f aca="false">ROUNDUP(MAX(J151/IF(CD151&gt;0,CD151,MAX(0.1,N(Cockpit!$C$6))),CG151)/BV151,0)*BV151</f>
        <v>5</v>
      </c>
      <c r="AL151" s="51" t="n">
        <f aca="false">IF(AI151&gt;0,J151/AI151,-1)</f>
        <v>0.248275862068966</v>
      </c>
      <c r="AM151" s="51" t="str">
        <f aca="false">IF(AND(OR(CC151="L1",CC151="L23",CC151="LIFT"),AI151&gt;0),SUMIFS($AI$7:$AI$1843,$CC$7:$CC$1843,CC151,$AL$7:$AL$1843,"&gt;"&amp;AL151)+SUMIFS($AI$7:$AI$1843,$CC$7:$CC$1843,CC151,$AL$7:$AL$1843,AL151,$BT$7:$BT$1843,"&lt;="&amp;BT151),"")</f>
        <v/>
      </c>
      <c r="AN151" s="58" t="n">
        <f aca="false">IF(AM151="",0,MAX(0,MIN(1,(IF(CC151="L1",Parameter!$H$5,IF(CC151="L23",Parameter!$H$6+Parameter!$H$7,Parameter!$H$5+Parameter!$H$6+Parameter!$H$7))-(AM151-AI151))/AI151)))</f>
        <v>0</v>
      </c>
      <c r="AO151" s="50" t="n">
        <f aca="false">IF(LEFT(Cockpit!$I$5,1)="A",H151,IF(CE151=1,CF151,IF(LEFT(Cockpit!$I$5,1)="B",AT151,MAX(AT151,H151))))</f>
        <v>5</v>
      </c>
      <c r="AP151" s="50" t="n">
        <f aca="false">IF(BW151=1,0,ROUNDUP(AO151/BV151,0))</f>
        <v>1</v>
      </c>
      <c r="AQ151" s="52" t="n">
        <f aca="false">IF(CL151&gt;0,CL151*MAX(1,AO151/X151),IF(BW151=1,IF(AO151&lt;=0,0,CA151*MAX(1,IF(H151&gt;0,AO151/H151,1))),IF(R151&gt;0,AP151/R151,0))/MAX(0.1,N(Parameter!$M$21)))</f>
        <v>0.0833333333333333</v>
      </c>
      <c r="AR151" s="50" t="n">
        <f aca="false">AQ151*BY151</f>
        <v>12.0833333333333</v>
      </c>
      <c r="AS151" s="50" t="n">
        <f aca="false">AO151*G151</f>
        <v>2223</v>
      </c>
      <c r="AT151" s="50" t="n">
        <f aca="false">ROUNDUP(MAX(J151/IF(CD151&gt;0,CD151,MAX(0.1,N(Cockpit!$I$6))),CG151)/BV151,0)*BV151</f>
        <v>5</v>
      </c>
      <c r="AU151" s="51" t="n">
        <f aca="false">IF(AR151&gt;0,J151/AR151,-1)</f>
        <v>0.248275862068966</v>
      </c>
      <c r="AV151" s="51" t="str">
        <f aca="false">IF(AND(OR(CC151="L1",CC151="L23",CC151="LIFT"),AR151&gt;0),SUMIFS($AR$7:$AR$1843,$CC$7:$CC$1843,CC151,$AU$7:$AU$1843,"&gt;"&amp;AU151)+SUMIFS($AR$7:$AR$1843,$CC$7:$CC$1843,CC151,$AU$7:$AU$1843,AU151,$BT$7:$BT$1843,"&lt;="&amp;BT151),"")</f>
        <v/>
      </c>
      <c r="AW151" s="58" t="n">
        <f aca="false">IF(AV151="",0,MAX(0,MIN(1,(IF(CC151="L1",Parameter!$H$5,IF(CC151="L23",Parameter!$H$6+Parameter!$H$7,Parameter!$H$5+Parameter!$H$6+Parameter!$H$7))-(AV151-AR151))/AR151)))</f>
        <v>0</v>
      </c>
      <c r="AX151" s="50" t="n">
        <f aca="false">IF(LEFT(Cockpit!$O$5,1)="A",H151,IF(CE151=1,CF151,IF(LEFT(Cockpit!$O$5,1)="B",BC151,MAX(BC151,H151))))</f>
        <v>5</v>
      </c>
      <c r="AY151" s="50" t="n">
        <f aca="false">IF(BW151=1,0,ROUNDUP(AX151/BV151,0))</f>
        <v>1</v>
      </c>
      <c r="AZ151" s="52" t="n">
        <f aca="false">IF(CL151&gt;0,CL151*MAX(1,AX151/X151),IF(BW151=1,IF(AX151&lt;=0,0,CA151*MAX(1,IF(H151&gt;0,AX151/H151,1))),IF(R151&gt;0,AY151/R151,0))/MAX(0.1,N(Parameter!$M$21)))</f>
        <v>0.0833333333333333</v>
      </c>
      <c r="BA151" s="50" t="n">
        <f aca="false">AZ151*BY151</f>
        <v>12.0833333333333</v>
      </c>
      <c r="BB151" s="50" t="n">
        <f aca="false">AX151*G151</f>
        <v>2223</v>
      </c>
      <c r="BC151" s="50" t="n">
        <f aca="false">ROUNDUP(MAX(J151/IF(CD151&gt;0,CD151,MAX(0.1,N(Cockpit!$O$6))),CG151)/BV151,0)*BV151</f>
        <v>5</v>
      </c>
      <c r="BD151" s="51" t="n">
        <f aca="false">IF(BA151&gt;0,J151/BA151,-1)</f>
        <v>0.248275862068966</v>
      </c>
      <c r="BE151" s="51" t="str">
        <f aca="false">IF(AND(OR(CC151="L1",CC151="L23",CC151="LIFT"),BA151&gt;0),SUMIFS($BA$7:$BA$1843,$CC$7:$CC$1843,CC151,$BD$7:$BD$1843,"&gt;"&amp;BD151)+SUMIFS($BA$7:$BA$1843,$CC$7:$CC$1843,CC151,$BD$7:$BD$1843,BD151,$BT$7:$BT$1843,"&lt;="&amp;BT151),"")</f>
        <v/>
      </c>
      <c r="BF151" s="58" t="n">
        <f aca="false">IF(BE151="",0,MAX(0,MIN(1,(IF(CC151="L1",Parameter!$H$5,IF(CC151="L23",Parameter!$H$6+Parameter!$H$7,Parameter!$H$5+Parameter!$H$6+Parameter!$H$7))-(BE151-BA151))/BA151)))</f>
        <v>0</v>
      </c>
      <c r="BG151" s="48" t="str">
        <f aca="false">IF(AI151&lt;=0,"",IF(CC151="Aussen","Aussenlager",IF(CC151="-","Nicht im Lift",IF(AN151&gt;=1,"Lift",IF(AN151&lt;=0,"Aussenlager","teilweise")))))</f>
        <v>Nicht im Lift</v>
      </c>
      <c r="BH151" s="48" t="str">
        <f aca="false">IF(AR151&lt;=0,"",IF(CC151="Aussen","Aussenlager",IF(CC151="-","Nicht im Lift",IF(AW151&gt;=1,"Lift",IF(AW151&lt;=0,"Aussenlager","teilweise")))))</f>
        <v>Nicht im Lift</v>
      </c>
      <c r="BI151" s="48" t="str">
        <f aca="false">IF(BA151&lt;=0,"",IF(CC151="Aussen","Aussenlager",IF(CC151="-","Nicht im Lift",IF(BF151&gt;=1,"Lift",IF(BF151&lt;=0,"Aussenlager","teilweise")))))</f>
        <v>Nicht im Lift</v>
      </c>
      <c r="BJ151" s="48" t="str">
        <f aca="false">IF(A151="","",IF(BS151=1,"Neu; ","")&amp;IF(AND(BS151=0,BN151&lt;0),"negativer Bestand (Export "&amp;BN151&amp;"); ","")&amp;IF(J151&lt;=0,"Kein Verbrauch; ","")&amp;IF(CL151&gt;0,"Lift "&amp;W151&amp;" lt. Liftbericht (Fach "&amp;X151&amp;" Stk); ",IF(BX151=1,"Gebinde geschätzt ("&amp;T151&amp;"); ",IF(BW151=1,"Lose – Tablare geschätzt; ","")))&amp;IF(H151&gt;AT151,"Überbestand "&amp;ROUND(H151-AT151,0)&amp;" Stk / CHF "&amp;ROUND((H151-AT151)*G151,0)&amp;"; ","")&amp;IF(AND(CE151=1,CF151&lt;CG151),"MAX &lt; MB+LG; ","")&amp;IF(AND(CK151&gt;0,CJ151*10&gt;CK151),"zu hoch für Tablar; ","")&amp;IF(AND(BS151=0,OR(CE151=1,AA151&lt;&gt;"",U151&lt;&gt;"",V151&lt;&gt;"",AB151&lt;&gt;"")),"manuell übersteuert; ","")&amp;IF(AND(BW151=0,R151=0),"Gebinde unbekannt / Stellmass fehlt; ","")&amp;IF(AND(BW151=0,N(V151)&lt;=0,N(Q151)&lt;=0),"Menge pro Gebinde fehlt (Ist = 1 Gebinde); ","")&amp;BR151)</f>
        <v>Gebinde geschätzt (Mittel); Menge pro Gebinde fehlt (Ist = 1 Gebinde); </v>
      </c>
      <c r="BK151" s="48"/>
      <c r="BL151" s="48"/>
      <c r="BM151" s="55"/>
      <c r="BN151" s="50" t="n">
        <v>3</v>
      </c>
      <c r="BO151" s="50" t="n">
        <v>0</v>
      </c>
      <c r="BP151" s="49" t="n">
        <v>1333.8</v>
      </c>
      <c r="BQ151" s="50" t="n">
        <v>3</v>
      </c>
      <c r="BR151" s="48"/>
      <c r="BS151" s="53" t="n">
        <v>0</v>
      </c>
      <c r="BT151" s="53" t="n">
        <v>151</v>
      </c>
      <c r="BU151" s="48" t="str">
        <f aca="false">IF(U151&lt;&gt;"",UPPER(TRIM(U151)),IF(BX151=1,UPPER(VLOOKUP(T151,Parameter!$I$27:$K$29,2,0)),IF(P151="","LOSE",P151)))</f>
        <v>S61</v>
      </c>
      <c r="BV151" s="50" t="n">
        <f aca="false">IF(BU151="LOSE",1,IF(N(V151)&gt;0,V151,IF(BX151=1,MAX(1,N(VLOOKUP(T151,Parameter!$I$27:$K$29,3,0)),H151,N(N151)),IF(N(Q151)&gt;0,Q151,MAX(1,H151)))))</f>
        <v>5</v>
      </c>
      <c r="BW151" s="53" t="n">
        <f aca="false">IF(BU151="LOSE",1,0)</f>
        <v>0</v>
      </c>
      <c r="BX151" s="53" t="n">
        <f aca="false">IF(AND(U151="",OR(P151="",P151="LOSE"),T151&lt;&gt;"",N(S151)&lt;=0,ISNUMBER(MATCH(T151,Parameter!$I$27:$I$29,0))),1,0)</f>
        <v>1</v>
      </c>
      <c r="BY151" s="53" t="n">
        <f aca="false">IF(CL151&gt;0,INDEX(Parameter!$H$5:$H$7,W151)/INDEX(Parameter!$E$5:$E$7,W151),IF(AND(BW151=0,N(IFERROR(VLOOKUP(BU151,'Gebinde-Kategorie'!$A$5:$N$45,14,0),0))&gt;0),VLOOKUP(BU151,'Gebinde-Kategorie'!$A$5:$N$45,14,0)*10+Parameter!$M$23,Parameter!$M$24))</f>
        <v>145</v>
      </c>
      <c r="BZ151" s="48" t="str">
        <f aca="false">IF(AND(Parameter!$B$19="Ja",E151&lt;&gt;"",ISNUMBER(MATCH(E151,Parameter!$I$35:$I$52,0))),VLOOKUP(E151,Parameter!$I$35:$J$52,2,0),IFERROR(VLOOKUP(D151,Parameter!$A$35:$C$64,2,0),"Nein"))</f>
        <v>Nein</v>
      </c>
      <c r="CA151" s="52" t="n">
        <f aca="false">IF(BW151=0,0,IF(N(S151)&gt;0,S151,IFERROR(VLOOKUP(D151,Parameter!$A$35:$C$64,3,0)+0,0)))</f>
        <v>0</v>
      </c>
      <c r="CB151" s="48" t="str">
        <f aca="false">IF(AA151&lt;&gt;"",AA151,Z151)</f>
        <v>-</v>
      </c>
      <c r="CC151" s="48" t="str">
        <f aca="false">IF(OR(CB151=1,CB151=2,CB151=3),IF(Parameter!$E$27="Ja","LIFT",IF(CB151=1,"L1","L23")),IF(CB151="Aussen","Aussen","-"))</f>
        <v>-</v>
      </c>
      <c r="CD151" s="59" t="n">
        <f aca="false">IF(N(AB151)&gt;0,AB151,0)</f>
        <v>0</v>
      </c>
      <c r="CE151" s="53" t="n">
        <f aca="false">IF(ISNUMBER(AE151),1,0)</f>
        <v>0</v>
      </c>
      <c r="CF151" s="50" t="n">
        <f aca="false">N(AE151)</f>
        <v>0</v>
      </c>
      <c r="CG151" s="50" t="n">
        <f aca="false">N(M151)+N(N151)</f>
        <v>5</v>
      </c>
      <c r="CH151" s="50" t="n">
        <f aca="false">ROUNDUP(H151/BV151,0)</f>
        <v>1</v>
      </c>
      <c r="CI151" s="50" t="n">
        <f aca="false">ROUNDUP(CF151/BV151,0)</f>
        <v>0</v>
      </c>
      <c r="CJ151" s="53" t="n">
        <f aca="false">IF(BW151=1,0,IFERROR(VLOOKUP(BU151,'Gebinde-Kategorie'!$A$5:$N$45,5,0)+0,0))</f>
        <v>11</v>
      </c>
      <c r="CK151" s="53" t="n">
        <f aca="false">IFERROR(IF(OR(CB151=1,CB151=2,CB151=3),N(INDEX(Parameter!$I$5:$I$7,CB151)),0),0)</f>
        <v>0</v>
      </c>
      <c r="CL151" s="52" t="n">
        <f aca="false">IF(AND(Parameter!$B$21="Ja",ISNUMBER(W151),N(X151)&gt;0),IFERROR(N(INDEX(Parameter!$L$5:$L$7,W151))*INDEX(Parameter!$E$5:$E$7,W151)*X151/SUMIFS($X$7:$X$1843,$W$7:$W$1843,W151),0),0)</f>
        <v>0</v>
      </c>
    </row>
    <row r="152" customFormat="false" ht="15" hidden="false" customHeight="false" outlineLevel="0" collapsed="false">
      <c r="A152" s="48" t="s">
        <v>514</v>
      </c>
      <c r="B152" s="48" t="s">
        <v>515</v>
      </c>
      <c r="C152" s="48" t="s">
        <v>168</v>
      </c>
      <c r="D152" s="48" t="s">
        <v>188</v>
      </c>
      <c r="E152" s="48"/>
      <c r="F152" s="48" t="s">
        <v>222</v>
      </c>
      <c r="G152" s="49" t="n">
        <v>32.83</v>
      </c>
      <c r="H152" s="50" t="n">
        <f aca="false">MAX(0,IF(AND(Parameter!$B$21="Ja",ISNUMBER(Y152)),Y152,IF(Parameter!$B$20="Jahresanfang 2025 + Export",BO152+BN152,BN152)))</f>
        <v>42</v>
      </c>
      <c r="I152" s="50" t="n">
        <f aca="false">H152*G152</f>
        <v>1378.86</v>
      </c>
      <c r="J152" s="50" t="n">
        <f aca="false">BQ152*Parameter!$B$18</f>
        <v>0</v>
      </c>
      <c r="K152" s="51" t="n">
        <v>2</v>
      </c>
      <c r="L152" s="52" t="n">
        <v>0</v>
      </c>
      <c r="M152" s="50" t="n">
        <v>0</v>
      </c>
      <c r="N152" s="50" t="n">
        <v>1</v>
      </c>
      <c r="O152" s="53" t="n">
        <v>28</v>
      </c>
      <c r="P152" s="48" t="s">
        <v>306</v>
      </c>
      <c r="Q152" s="50" t="n">
        <v>50</v>
      </c>
      <c r="R152" s="53" t="n">
        <f aca="false">IF(BW152=1,0,IFERROR(VLOOKUP(BU152,'Gebinde-Kategorie'!$A$5:$N$45,13,0)+0,0))</f>
        <v>26</v>
      </c>
      <c r="S152" s="54"/>
      <c r="T152" s="55"/>
      <c r="U152" s="55"/>
      <c r="V152" s="55"/>
      <c r="W152" s="48"/>
      <c r="X152" s="50"/>
      <c r="Y152" s="50"/>
      <c r="Z152" s="48" t="n">
        <f aca="false">IF(A152="","",IF(AND(Parameter!$B$21="Ja",ISNUMBER(W152)),W152,IF(BZ152="2+3",IF(ISNUMBER(SEARCH("grosser Artikel",BR152)),2,IFERROR(VLOOKUP(BU152,Parameter!$F$35:$G$64,2,0),2)),IF(OR(BZ152="Nein",BZ152=""),"-",BZ152))))</f>
        <v>3</v>
      </c>
      <c r="AA152" s="55"/>
      <c r="AB152" s="56"/>
      <c r="AC152" s="50" t="n">
        <f aca="false">AT152</f>
        <v>50</v>
      </c>
      <c r="AD152" s="50" t="n">
        <f aca="false">MAX(AT152,H152)</f>
        <v>50</v>
      </c>
      <c r="AE152" s="57"/>
      <c r="AF152" s="50" t="n">
        <f aca="false">IF(LEFT(Cockpit!$C$5,1)="A",H152,IF(CE152=1,CF152,IF(LEFT(Cockpit!$C$5,1)="B",AK152,MAX(AK152,H152))))</f>
        <v>42</v>
      </c>
      <c r="AG152" s="50" t="n">
        <f aca="false">IF(BW152=1,0,ROUNDUP(AF152/BV152,0))</f>
        <v>1</v>
      </c>
      <c r="AH152" s="52" t="n">
        <f aca="false">IF(CL152&gt;0,CL152*MAX(1,AF152/X152),IF(BW152=1,IF(AF152&lt;=0,0,CA152*MAX(1,IF(H152&gt;0,AF152/H152,1))),IF(R152&gt;0,AG152/R152,0))/MAX(0.1,N(Parameter!$M$21)))</f>
        <v>0.0384615384615385</v>
      </c>
      <c r="AI152" s="50" t="n">
        <f aca="false">AH152*BY152</f>
        <v>5.96153846153846</v>
      </c>
      <c r="AJ152" s="50" t="n">
        <f aca="false">AF152*G152</f>
        <v>1378.86</v>
      </c>
      <c r="AK152" s="50" t="n">
        <f aca="false">ROUNDUP(MAX(J152/IF(CD152&gt;0,CD152,MAX(0.1,N(Cockpit!$C$6))),CG152)/BV152,0)*BV152</f>
        <v>50</v>
      </c>
      <c r="AL152" s="51" t="n">
        <f aca="false">IF(AI152&gt;0,J152/AI152,-1)</f>
        <v>0</v>
      </c>
      <c r="AM152" s="51" t="n">
        <f aca="false">IF(AND(OR(CC152="L1",CC152="L23",CC152="LIFT"),AI152&gt;0),SUMIFS($AI$7:$AI$1843,$CC$7:$CC$1843,CC152,$AL$7:$AL$1843,"&gt;"&amp;AL152)+SUMIFS($AI$7:$AI$1843,$CC$7:$CC$1843,CC152,$AL$7:$AL$1843,AL152,$BT$7:$BT$1843,"&lt;="&amp;BT152),"")</f>
        <v>27311.4049300511</v>
      </c>
      <c r="AN152" s="58" t="n">
        <f aca="false">IF(AM152="",0,MAX(0,MIN(1,(IF(CC152="L1",Parameter!$H$5,IF(CC152="L23",Parameter!$H$6+Parameter!$H$7,Parameter!$H$5+Parameter!$H$6+Parameter!$H$7))-(AM152-AI152))/AI152)))</f>
        <v>1</v>
      </c>
      <c r="AO152" s="50" t="n">
        <f aca="false">IF(LEFT(Cockpit!$I$5,1)="A",H152,IF(CE152=1,CF152,IF(LEFT(Cockpit!$I$5,1)="B",AT152,MAX(AT152,H152))))</f>
        <v>50</v>
      </c>
      <c r="AP152" s="50" t="n">
        <f aca="false">IF(BW152=1,0,ROUNDUP(AO152/BV152,0))</f>
        <v>1</v>
      </c>
      <c r="AQ152" s="52" t="n">
        <f aca="false">IF(CL152&gt;0,CL152*MAX(1,AO152/X152),IF(BW152=1,IF(AO152&lt;=0,0,CA152*MAX(1,IF(H152&gt;0,AO152/H152,1))),IF(R152&gt;0,AP152/R152,0))/MAX(0.1,N(Parameter!$M$21)))</f>
        <v>0.0384615384615385</v>
      </c>
      <c r="AR152" s="50" t="n">
        <f aca="false">AQ152*BY152</f>
        <v>5.96153846153846</v>
      </c>
      <c r="AS152" s="50" t="n">
        <f aca="false">AO152*G152</f>
        <v>1641.5</v>
      </c>
      <c r="AT152" s="50" t="n">
        <f aca="false">ROUNDUP(MAX(J152/IF(CD152&gt;0,CD152,MAX(0.1,N(Cockpit!$I$6))),CG152)/BV152,0)*BV152</f>
        <v>50</v>
      </c>
      <c r="AU152" s="51" t="n">
        <f aca="false">IF(AR152&gt;0,J152/AR152,-1)</f>
        <v>0</v>
      </c>
      <c r="AV152" s="51" t="n">
        <f aca="false">IF(AND(OR(CC152="L1",CC152="L23",CC152="LIFT"),AR152&gt;0),SUMIFS($AR$7:$AR$1843,$CC$7:$CC$1843,CC152,$AU$7:$AU$1843,"&gt;"&amp;AU152)+SUMIFS($AR$7:$AR$1843,$CC$7:$CC$1843,CC152,$AU$7:$AU$1843,AU152,$BT$7:$BT$1843,"&lt;="&amp;BT152),"")</f>
        <v>38624.310447321</v>
      </c>
      <c r="AW152" s="58" t="n">
        <f aca="false">IF(AV152="",0,MAX(0,MIN(1,(IF(CC152="L1",Parameter!$H$5,IF(CC152="L23",Parameter!$H$6+Parameter!$H$7,Parameter!$H$5+Parameter!$H$6+Parameter!$H$7))-(AV152-AR152))/AR152)))</f>
        <v>0</v>
      </c>
      <c r="AX152" s="50" t="n">
        <f aca="false">IF(LEFT(Cockpit!$O$5,1)="A",H152,IF(CE152=1,CF152,IF(LEFT(Cockpit!$O$5,1)="B",BC152,MAX(BC152,H152))))</f>
        <v>50</v>
      </c>
      <c r="AY152" s="50" t="n">
        <f aca="false">IF(BW152=1,0,ROUNDUP(AX152/BV152,0))</f>
        <v>1</v>
      </c>
      <c r="AZ152" s="52" t="n">
        <f aca="false">IF(CL152&gt;0,CL152*MAX(1,AX152/X152),IF(BW152=1,IF(AX152&lt;=0,0,CA152*MAX(1,IF(H152&gt;0,AX152/H152,1))),IF(R152&gt;0,AY152/R152,0))/MAX(0.1,N(Parameter!$M$21)))</f>
        <v>0.0384615384615385</v>
      </c>
      <c r="BA152" s="50" t="n">
        <f aca="false">AZ152*BY152</f>
        <v>5.96153846153846</v>
      </c>
      <c r="BB152" s="50" t="n">
        <f aca="false">AX152*G152</f>
        <v>1641.5</v>
      </c>
      <c r="BC152" s="50" t="n">
        <f aca="false">ROUNDUP(MAX(J152/IF(CD152&gt;0,CD152,MAX(0.1,N(Cockpit!$O$6))),CG152)/BV152,0)*BV152</f>
        <v>50</v>
      </c>
      <c r="BD152" s="51" t="n">
        <f aca="false">IF(BA152&gt;0,J152/BA152,-1)</f>
        <v>0</v>
      </c>
      <c r="BE152" s="51" t="n">
        <f aca="false">IF(AND(OR(CC152="L1",CC152="L23",CC152="LIFT"),BA152&gt;0),SUMIFS($BA$7:$BA$1843,$CC$7:$CC$1843,CC152,$BD$7:$BD$1843,"&gt;"&amp;BD152)+SUMIFS($BA$7:$BA$1843,$CC$7:$CC$1843,CC152,$BD$7:$BD$1843,BD152,$BT$7:$BT$1843,"&lt;="&amp;BT152),"")</f>
        <v>35299.3224891869</v>
      </c>
      <c r="BF152" s="58" t="n">
        <f aca="false">IF(BE152="",0,MAX(0,MIN(1,(IF(CC152="L1",Parameter!$H$5,IF(CC152="L23",Parameter!$H$6+Parameter!$H$7,Parameter!$H$5+Parameter!$H$6+Parameter!$H$7))-(BE152-BA152))/BA152)))</f>
        <v>1</v>
      </c>
      <c r="BG152" s="48" t="str">
        <f aca="false">IF(AI152&lt;=0,"",IF(CC152="Aussen","Aussenlager",IF(CC152="-","Nicht im Lift",IF(AN152&gt;=1,"Lift",IF(AN152&lt;=0,"Aussenlager","teilweise")))))</f>
        <v>Lift</v>
      </c>
      <c r="BH152" s="48" t="str">
        <f aca="false">IF(AR152&lt;=0,"",IF(CC152="Aussen","Aussenlager",IF(CC152="-","Nicht im Lift",IF(AW152&gt;=1,"Lift",IF(AW152&lt;=0,"Aussenlager","teilweise")))))</f>
        <v>Aussenlager</v>
      </c>
      <c r="BI152" s="48" t="str">
        <f aca="false">IF(BA152&lt;=0,"",IF(CC152="Aussen","Aussenlager",IF(CC152="-","Nicht im Lift",IF(BF152&gt;=1,"Lift",IF(BF152&lt;=0,"Aussenlager","teilweise")))))</f>
        <v>Lift</v>
      </c>
      <c r="BJ152" s="48" t="str">
        <f aca="false">IF(A152="","",IF(BS152=1,"Neu; ","")&amp;IF(AND(BS152=0,BN152&lt;0),"negativer Bestand (Export "&amp;BN152&amp;"); ","")&amp;IF(J152&lt;=0,"Kein Verbrauch; ","")&amp;IF(CL152&gt;0,"Lift "&amp;W152&amp;" lt. Liftbericht (Fach "&amp;X152&amp;" Stk); ",IF(BX152=1,"Gebinde geschätzt ("&amp;T152&amp;"); ",IF(BW152=1,"Lose – Tablare geschätzt; ","")))&amp;IF(H152&gt;AT152,"Überbestand "&amp;ROUND(H152-AT152,0)&amp;" Stk / CHF "&amp;ROUND((H152-AT152)*G152,0)&amp;"; ","")&amp;IF(AND(CE152=1,CF152&lt;CG152),"MAX &lt; MB+LG; ","")&amp;IF(AND(CK152&gt;0,CJ152*10&gt;CK152),"zu hoch für Tablar; ","")&amp;IF(AND(BS152=0,OR(CE152=1,AA152&lt;&gt;"",U152&lt;&gt;"",V152&lt;&gt;"",AB152&lt;&gt;"")),"manuell übersteuert; ","")&amp;IF(AND(BW152=0,R152=0),"Gebinde unbekannt / Stellmass fehlt; ","")&amp;IF(AND(BW152=0,N(V152)&lt;=0,N(Q152)&lt;=0),"Menge pro Gebinde fehlt (Ist = 1 Gebinde); ","")&amp;BR152)</f>
        <v>Kein Verbrauch; Neuer Art.</v>
      </c>
      <c r="BK152" s="48"/>
      <c r="BL152" s="48"/>
      <c r="BM152" s="55"/>
      <c r="BN152" s="50" t="n">
        <v>40</v>
      </c>
      <c r="BO152" s="50" t="n">
        <v>2</v>
      </c>
      <c r="BP152" s="49" t="n">
        <v>1322.06</v>
      </c>
      <c r="BQ152" s="50" t="n">
        <v>0</v>
      </c>
      <c r="BR152" s="48" t="s">
        <v>516</v>
      </c>
      <c r="BS152" s="53" t="n">
        <v>0</v>
      </c>
      <c r="BT152" s="53" t="n">
        <v>152</v>
      </c>
      <c r="BU152" s="48" t="str">
        <f aca="false">IF(U152&lt;&gt;"",UPPER(TRIM(U152)),IF(BX152=1,UPPER(VLOOKUP(T152,Parameter!$I$27:$K$29,2,0)),IF(P152="","LOSE",P152)))</f>
        <v>S51</v>
      </c>
      <c r="BV152" s="50" t="n">
        <f aca="false">IF(BU152="LOSE",1,IF(N(V152)&gt;0,V152,IF(BX152=1,MAX(1,N(VLOOKUP(T152,Parameter!$I$27:$K$29,3,0)),H152,N(N152)),IF(N(Q152)&gt;0,Q152,MAX(1,H152)))))</f>
        <v>50</v>
      </c>
      <c r="BW152" s="53" t="n">
        <f aca="false">IF(BU152="LOSE",1,0)</f>
        <v>0</v>
      </c>
      <c r="BX152" s="53" t="n">
        <f aca="false">IF(AND(U152="",OR(P152="",P152="LOSE"),T152&lt;&gt;"",N(S152)&lt;=0,ISNUMBER(MATCH(T152,Parameter!$I$27:$I$29,0))),1,0)</f>
        <v>0</v>
      </c>
      <c r="BY152" s="53" t="n">
        <f aca="false">IF(CL152&gt;0,INDEX(Parameter!$H$5:$H$7,W152)/INDEX(Parameter!$E$5:$E$7,W152),IF(AND(BW152=0,N(IFERROR(VLOOKUP(BU152,'Gebinde-Kategorie'!$A$5:$N$45,14,0),0))&gt;0),VLOOKUP(BU152,'Gebinde-Kategorie'!$A$5:$N$45,14,0)*10+Parameter!$M$23,Parameter!$M$24))</f>
        <v>155</v>
      </c>
      <c r="BZ152" s="48" t="str">
        <f aca="false">IF(AND(Parameter!$B$19="Ja",E152&lt;&gt;"",ISNUMBER(MATCH(E152,Parameter!$I$35:$I$52,0))),VLOOKUP(E152,Parameter!$I$35:$J$52,2,0),IFERROR(VLOOKUP(D152,Parameter!$A$35:$C$64,2,0),"Nein"))</f>
        <v>2+3</v>
      </c>
      <c r="CA152" s="52" t="n">
        <f aca="false">IF(BW152=0,0,IF(N(S152)&gt;0,S152,IFERROR(VLOOKUP(D152,Parameter!$A$35:$C$64,3,0)+0,0)))</f>
        <v>0</v>
      </c>
      <c r="CB152" s="48" t="n">
        <f aca="false">IF(AA152&lt;&gt;"",AA152,Z152)</f>
        <v>3</v>
      </c>
      <c r="CC152" s="48" t="str">
        <f aca="false">IF(OR(CB152=1,CB152=2,CB152=3),IF(Parameter!$E$27="Ja","LIFT",IF(CB152=1,"L1","L23")),IF(CB152="Aussen","Aussen","-"))</f>
        <v>LIFT</v>
      </c>
      <c r="CD152" s="59" t="n">
        <f aca="false">IF(N(AB152)&gt;0,AB152,0)</f>
        <v>0</v>
      </c>
      <c r="CE152" s="53" t="n">
        <f aca="false">IF(ISNUMBER(AE152),1,0)</f>
        <v>0</v>
      </c>
      <c r="CF152" s="50" t="n">
        <f aca="false">N(AE152)</f>
        <v>0</v>
      </c>
      <c r="CG152" s="50" t="n">
        <f aca="false">N(M152)+N(N152)</f>
        <v>1</v>
      </c>
      <c r="CH152" s="50" t="n">
        <f aca="false">ROUNDUP(H152/BV152,0)</f>
        <v>1</v>
      </c>
      <c r="CI152" s="50" t="n">
        <f aca="false">ROUNDUP(CF152/BV152,0)</f>
        <v>0</v>
      </c>
      <c r="CJ152" s="53" t="n">
        <f aca="false">IF(BW152=1,0,IFERROR(VLOOKUP(BU152,'Gebinde-Kategorie'!$A$5:$N$45,5,0)+0,0))</f>
        <v>11</v>
      </c>
      <c r="CK152" s="53" t="n">
        <f aca="false">IFERROR(IF(OR(CB152=1,CB152=2,CB152=3),N(INDEX(Parameter!$I$5:$I$7,CB152)),0),0)</f>
        <v>0</v>
      </c>
      <c r="CL152" s="52" t="n">
        <f aca="false">IF(AND(Parameter!$B$21="Ja",ISNUMBER(W152),N(X152)&gt;0),IFERROR(N(INDEX(Parameter!$L$5:$L$7,W152))*INDEX(Parameter!$E$5:$E$7,W152)*X152/SUMIFS($X$7:$X$1843,$W$7:$W$1843,W152),0),0)</f>
        <v>0</v>
      </c>
    </row>
    <row r="153" customFormat="false" ht="15" hidden="false" customHeight="false" outlineLevel="0" collapsed="false">
      <c r="A153" s="48" t="s">
        <v>517</v>
      </c>
      <c r="B153" s="48" t="s">
        <v>518</v>
      </c>
      <c r="C153" s="48" t="s">
        <v>168</v>
      </c>
      <c r="D153" s="48" t="s">
        <v>177</v>
      </c>
      <c r="E153" s="48" t="s">
        <v>170</v>
      </c>
      <c r="F153" s="48" t="s">
        <v>222</v>
      </c>
      <c r="G153" s="49" t="n">
        <v>2753.47</v>
      </c>
      <c r="H153" s="50" t="n">
        <f aca="false">MAX(0,IF(AND(Parameter!$B$21="Ja",ISNUMBER(Y153)),Y153,IF(Parameter!$B$20="Jahresanfang 2025 + Export",BO153+BN153,BN153)))</f>
        <v>2</v>
      </c>
      <c r="I153" s="50" t="n">
        <f aca="false">H153*G153</f>
        <v>5506.94</v>
      </c>
      <c r="J153" s="50" t="n">
        <f aca="false">BQ153*Parameter!$B$18</f>
        <v>2</v>
      </c>
      <c r="K153" s="51" t="n">
        <v>2.5</v>
      </c>
      <c r="L153" s="52" t="n">
        <v>0.8</v>
      </c>
      <c r="M153" s="50" t="n">
        <v>1</v>
      </c>
      <c r="N153" s="50" t="n">
        <v>1</v>
      </c>
      <c r="O153" s="53" t="n">
        <v>56</v>
      </c>
      <c r="P153" s="48" t="s">
        <v>172</v>
      </c>
      <c r="Q153" s="50"/>
      <c r="R153" s="53" t="n">
        <f aca="false">IF(BW153=1,0,IFERROR(VLOOKUP(BU153,'Gebinde-Kategorie'!$A$5:$N$45,13,0)+0,0))</f>
        <v>0</v>
      </c>
      <c r="S153" s="54"/>
      <c r="T153" s="55"/>
      <c r="U153" s="55"/>
      <c r="V153" s="55"/>
      <c r="W153" s="48" t="n">
        <v>1</v>
      </c>
      <c r="X153" s="50" t="n">
        <v>4</v>
      </c>
      <c r="Y153" s="50" t="n">
        <v>2</v>
      </c>
      <c r="Z153" s="48" t="n">
        <f aca="false">IF(A153="","",IF(AND(Parameter!$B$21="Ja",ISNUMBER(W153)),W153,IF(BZ153="2+3",IF(ISNUMBER(SEARCH("grosser Artikel",BR153)),2,IFERROR(VLOOKUP(BU153,Parameter!$F$35:$G$64,2,0),2)),IF(OR(BZ153="Nein",BZ153=""),"-",BZ153))))</f>
        <v>1</v>
      </c>
      <c r="AA153" s="55"/>
      <c r="AB153" s="56"/>
      <c r="AC153" s="50" t="n">
        <f aca="false">AT153</f>
        <v>2</v>
      </c>
      <c r="AD153" s="50" t="n">
        <f aca="false">MAX(AT153,H153)</f>
        <v>2</v>
      </c>
      <c r="AE153" s="57"/>
      <c r="AF153" s="50" t="n">
        <f aca="false">IF(LEFT(Cockpit!$C$5,1)="A",H153,IF(CE153=1,CF153,IF(LEFT(Cockpit!$C$5,1)="B",AK153,MAX(AK153,H153))))</f>
        <v>2</v>
      </c>
      <c r="AG153" s="50" t="n">
        <f aca="false">IF(BW153=1,0,ROUNDUP(AF153/BV153,0))</f>
        <v>0</v>
      </c>
      <c r="AH153" s="52" t="n">
        <f aca="false">IF(CL153&gt;0,CL153*MAX(1,AF153/X153),IF(BW153=1,IF(AF153&lt;=0,0,CA153*MAX(1,IF(H153&gt;0,AF153/H153,1))),IF(R153&gt;0,AG153/R153,0))/MAX(0.1,N(Parameter!$M$21)))</f>
        <v>0.32015065913371</v>
      </c>
      <c r="AI153" s="50" t="n">
        <f aca="false">AH153*BY153</f>
        <v>76.195856873823</v>
      </c>
      <c r="AJ153" s="50" t="n">
        <f aca="false">AF153*G153</f>
        <v>5506.94</v>
      </c>
      <c r="AK153" s="50" t="n">
        <f aca="false">ROUNDUP(MAX(J153/IF(CD153&gt;0,CD153,MAX(0.1,N(Cockpit!$C$6))),CG153)/BV153,0)*BV153</f>
        <v>2</v>
      </c>
      <c r="AL153" s="51" t="n">
        <f aca="false">IF(AI153&gt;0,J153/AI153,-1)</f>
        <v>0.0262481463173505</v>
      </c>
      <c r="AM153" s="51" t="n">
        <f aca="false">IF(AND(OR(CC153="L1",CC153="L23",CC153="LIFT"),AI153&gt;0),SUMIFS($AI$7:$AI$1843,$CC$7:$CC$1843,CC153,$AL$7:$AL$1843,"&gt;"&amp;AL153)+SUMIFS($AI$7:$AI$1843,$CC$7:$CC$1843,CC153,$AL$7:$AL$1843,AL153,$BT$7:$BT$1843,"&lt;="&amp;BT153),"")</f>
        <v>21691.5124764595</v>
      </c>
      <c r="AN153" s="58" t="n">
        <f aca="false">IF(AM153="",0,MAX(0,MIN(1,(IF(CC153="L1",Parameter!$H$5,IF(CC153="L23",Parameter!$H$6+Parameter!$H$7,Parameter!$H$5+Parameter!$H$6+Parameter!$H$7))-(AM153-AI153))/AI153)))</f>
        <v>1</v>
      </c>
      <c r="AO153" s="50" t="n">
        <f aca="false">IF(LEFT(Cockpit!$I$5,1)="A",H153,IF(CE153=1,CF153,IF(LEFT(Cockpit!$I$5,1)="B",AT153,MAX(AT153,H153))))</f>
        <v>2</v>
      </c>
      <c r="AP153" s="50" t="n">
        <f aca="false">IF(BW153=1,0,ROUNDUP(AO153/BV153,0))</f>
        <v>0</v>
      </c>
      <c r="AQ153" s="52" t="n">
        <f aca="false">IF(CL153&gt;0,CL153*MAX(1,AO153/X153),IF(BW153=1,IF(AO153&lt;=0,0,CA153*MAX(1,IF(H153&gt;0,AO153/H153,1))),IF(R153&gt;0,AP153/R153,0))/MAX(0.1,N(Parameter!$M$21)))</f>
        <v>0.32015065913371</v>
      </c>
      <c r="AR153" s="50" t="n">
        <f aca="false">AQ153*BY153</f>
        <v>76.195856873823</v>
      </c>
      <c r="AS153" s="50" t="n">
        <f aca="false">AO153*G153</f>
        <v>5506.94</v>
      </c>
      <c r="AT153" s="50" t="n">
        <f aca="false">ROUNDUP(MAX(J153/IF(CD153&gt;0,CD153,MAX(0.1,N(Cockpit!$I$6))),CG153)/BV153,0)*BV153</f>
        <v>2</v>
      </c>
      <c r="AU153" s="51" t="n">
        <f aca="false">IF(AR153&gt;0,J153/AR153,-1)</f>
        <v>0.0262481463173505</v>
      </c>
      <c r="AV153" s="51" t="n">
        <f aca="false">IF(AND(OR(CC153="L1",CC153="L23",CC153="LIFT"),AR153&gt;0),SUMIFS($AR$7:$AR$1843,$CC$7:$CC$1843,CC153,$AU$7:$AU$1843,"&gt;"&amp;AU153)+SUMIFS($AR$7:$AR$1843,$CC$7:$CC$1843,CC153,$AU$7:$AU$1843,AU153,$BT$7:$BT$1843,"&lt;="&amp;BT153),"")</f>
        <v>32428.4033986259</v>
      </c>
      <c r="AW153" s="58" t="n">
        <f aca="false">IF(AV153="",0,MAX(0,MIN(1,(IF(CC153="L1",Parameter!$H$5,IF(CC153="L23",Parameter!$H$6+Parameter!$H$7,Parameter!$H$5+Parameter!$H$6+Parameter!$H$7))-(AV153-AR153))/AR153)))</f>
        <v>1</v>
      </c>
      <c r="AX153" s="50" t="n">
        <f aca="false">IF(LEFT(Cockpit!$O$5,1)="A",H153,IF(CE153=1,CF153,IF(LEFT(Cockpit!$O$5,1)="B",BC153,MAX(BC153,H153))))</f>
        <v>2</v>
      </c>
      <c r="AY153" s="50" t="n">
        <f aca="false">IF(BW153=1,0,ROUNDUP(AX153/BV153,0))</f>
        <v>0</v>
      </c>
      <c r="AZ153" s="52" t="n">
        <f aca="false">IF(CL153&gt;0,CL153*MAX(1,AX153/X153),IF(BW153=1,IF(AX153&lt;=0,0,CA153*MAX(1,IF(H153&gt;0,AX153/H153,1))),IF(R153&gt;0,AY153/R153,0))/MAX(0.1,N(Parameter!$M$21)))</f>
        <v>0.32015065913371</v>
      </c>
      <c r="BA153" s="50" t="n">
        <f aca="false">AZ153*BY153</f>
        <v>76.195856873823</v>
      </c>
      <c r="BB153" s="50" t="n">
        <f aca="false">AX153*G153</f>
        <v>5506.94</v>
      </c>
      <c r="BC153" s="50" t="n">
        <f aca="false">ROUNDUP(MAX(J153/IF(CD153&gt;0,CD153,MAX(0.1,N(Cockpit!$O$6))),CG153)/BV153,0)*BV153</f>
        <v>2</v>
      </c>
      <c r="BD153" s="51" t="n">
        <f aca="false">IF(BA153&gt;0,J153/BA153,-1)</f>
        <v>0.0262481463173505</v>
      </c>
      <c r="BE153" s="51" t="n">
        <f aca="false">IF(AND(OR(CC153="L1",CC153="L23",CC153="LIFT"),BA153&gt;0),SUMIFS($BA$7:$BA$1843,$CC$7:$CC$1843,CC153,$BD$7:$BD$1843,"&gt;"&amp;BD153)+SUMIFS($BA$7:$BA$1843,$CC$7:$CC$1843,CC153,$BD$7:$BD$1843,BD153,$BT$7:$BT$1843,"&lt;="&amp;BT153),"")</f>
        <v>29103.4154404917</v>
      </c>
      <c r="BF153" s="58" t="n">
        <f aca="false">IF(BE153="",0,MAX(0,MIN(1,(IF(CC153="L1",Parameter!$H$5,IF(CC153="L23",Parameter!$H$6+Parameter!$H$7,Parameter!$H$5+Parameter!$H$6+Parameter!$H$7))-(BE153-BA153))/BA153)))</f>
        <v>1</v>
      </c>
      <c r="BG153" s="48" t="str">
        <f aca="false">IF(AI153&lt;=0,"",IF(CC153="Aussen","Aussenlager",IF(CC153="-","Nicht im Lift",IF(AN153&gt;=1,"Lift",IF(AN153&lt;=0,"Aussenlager","teilweise")))))</f>
        <v>Lift</v>
      </c>
      <c r="BH153" s="48" t="str">
        <f aca="false">IF(AR153&lt;=0,"",IF(CC153="Aussen","Aussenlager",IF(CC153="-","Nicht im Lift",IF(AW153&gt;=1,"Lift",IF(AW153&lt;=0,"Aussenlager","teilweise")))))</f>
        <v>Lift</v>
      </c>
      <c r="BI153" s="48" t="str">
        <f aca="false">IF(BA153&lt;=0,"",IF(CC153="Aussen","Aussenlager",IF(CC153="-","Nicht im Lift",IF(BF153&gt;=1,"Lift",IF(BF153&lt;=0,"Aussenlager","teilweise")))))</f>
        <v>Lift</v>
      </c>
      <c r="BJ153" s="48" t="str">
        <f aca="false">IF(A153="","",IF(BS153=1,"Neu; ","")&amp;IF(AND(BS153=0,BN153&lt;0),"negativer Bestand (Export "&amp;BN153&amp;"); ","")&amp;IF(J153&lt;=0,"Kein Verbrauch; ","")&amp;IF(CL153&gt;0,"Lift "&amp;W153&amp;" lt. Liftbericht (Fach "&amp;X153&amp;" Stk); ",IF(BX153=1,"Gebinde geschätzt ("&amp;T153&amp;"); ",IF(BW153=1,"Lose – Tablare geschätzt; ","")))&amp;IF(H153&gt;AT153,"Überbestand "&amp;ROUND(H153-AT153,0)&amp;" Stk / CHF "&amp;ROUND((H153-AT153)*G153,0)&amp;"; ","")&amp;IF(AND(CE153=1,CF153&lt;CG153),"MAX &lt; MB+LG; ","")&amp;IF(AND(CK153&gt;0,CJ153*10&gt;CK153),"zu hoch für Tablar; ","")&amp;IF(AND(BS153=0,OR(CE153=1,AA153&lt;&gt;"",U153&lt;&gt;"",V153&lt;&gt;"",AB153&lt;&gt;"")),"manuell übersteuert; ","")&amp;IF(AND(BW153=0,R153=0),"Gebinde unbekannt / Stellmass fehlt; ","")&amp;IF(AND(BW153=0,N(V153)&lt;=0,N(Q153)&lt;=0),"Menge pro Gebinde fehlt (Ist = 1 Gebinde); ","")&amp;BR153)</f>
        <v>Lift 1 lt. Liftbericht (Fach 4 Stk); </v>
      </c>
      <c r="BK153" s="48"/>
      <c r="BL153" s="48"/>
      <c r="BM153" s="55"/>
      <c r="BN153" s="50" t="n">
        <v>0</v>
      </c>
      <c r="BO153" s="50" t="n">
        <v>3</v>
      </c>
      <c r="BP153" s="49" t="n">
        <v>1295.4</v>
      </c>
      <c r="BQ153" s="50" t="n">
        <v>2</v>
      </c>
      <c r="BR153" s="48"/>
      <c r="BS153" s="53" t="n">
        <v>0</v>
      </c>
      <c r="BT153" s="53" t="n">
        <v>153</v>
      </c>
      <c r="BU153" s="48" t="str">
        <f aca="false">IF(U153&lt;&gt;"",UPPER(TRIM(U153)),IF(BX153=1,UPPER(VLOOKUP(T153,Parameter!$I$27:$K$29,2,0)),IF(P153="","LOSE",P153)))</f>
        <v>LOSE</v>
      </c>
      <c r="BV153" s="50" t="n">
        <f aca="false">IF(BU153="LOSE",1,IF(N(V153)&gt;0,V153,IF(BX153=1,MAX(1,N(VLOOKUP(T153,Parameter!$I$27:$K$29,3,0)),H153,N(N153)),IF(N(Q153)&gt;0,Q153,MAX(1,H153)))))</f>
        <v>1</v>
      </c>
      <c r="BW153" s="53" t="n">
        <f aca="false">IF(BU153="LOSE",1,0)</f>
        <v>1</v>
      </c>
      <c r="BX153" s="53" t="n">
        <f aca="false">IF(AND(U153="",OR(P153="",P153="LOSE"),T153&lt;&gt;"",N(S153)&lt;=0,ISNUMBER(MATCH(T153,Parameter!$I$27:$I$29,0))),1,0)</f>
        <v>0</v>
      </c>
      <c r="BY153" s="53" t="n">
        <f aca="false">IF(CL153&gt;0,INDEX(Parameter!$H$5:$H$7,W153)/INDEX(Parameter!$E$5:$E$7,W153),IF(AND(BW153=0,N(IFERROR(VLOOKUP(BU153,'Gebinde-Kategorie'!$A$5:$N$45,14,0),0))&gt;0),VLOOKUP(BU153,'Gebinde-Kategorie'!$A$5:$N$45,14,0)*10+Parameter!$M$23,Parameter!$M$24))</f>
        <v>238</v>
      </c>
      <c r="BZ153" s="48" t="n">
        <f aca="false">IF(AND(Parameter!$B$19="Ja",E153&lt;&gt;"",ISNUMBER(MATCH(E153,Parameter!$I$35:$I$52,0))),VLOOKUP(E153,Parameter!$I$35:$J$52,2,0),IFERROR(VLOOKUP(D153,Parameter!$A$35:$C$64,2,0),"Nein"))</f>
        <v>1</v>
      </c>
      <c r="CA153" s="52" t="n">
        <f aca="false">IF(BW153=0,0,IF(N(S153)&gt;0,S153,IFERROR(VLOOKUP(D153,Parameter!$A$35:$C$64,3,0)+0,0)))</f>
        <v>0.15</v>
      </c>
      <c r="CB153" s="48" t="n">
        <f aca="false">IF(AA153&lt;&gt;"",AA153,Z153)</f>
        <v>1</v>
      </c>
      <c r="CC153" s="48" t="str">
        <f aca="false">IF(OR(CB153=1,CB153=2,CB153=3),IF(Parameter!$E$27="Ja","LIFT",IF(CB153=1,"L1","L23")),IF(CB153="Aussen","Aussen","-"))</f>
        <v>LIFT</v>
      </c>
      <c r="CD153" s="59" t="n">
        <f aca="false">IF(N(AB153)&gt;0,AB153,0)</f>
        <v>0</v>
      </c>
      <c r="CE153" s="53" t="n">
        <f aca="false">IF(ISNUMBER(AE153),1,0)</f>
        <v>0</v>
      </c>
      <c r="CF153" s="50" t="n">
        <f aca="false">N(AE153)</f>
        <v>0</v>
      </c>
      <c r="CG153" s="50" t="n">
        <f aca="false">N(M153)+N(N153)</f>
        <v>2</v>
      </c>
      <c r="CH153" s="50" t="n">
        <f aca="false">ROUNDUP(H153/BV153,0)</f>
        <v>2</v>
      </c>
      <c r="CI153" s="50" t="n">
        <f aca="false">ROUNDUP(CF153/BV153,0)</f>
        <v>0</v>
      </c>
      <c r="CJ153" s="53" t="n">
        <f aca="false">IF(BW153=1,0,IFERROR(VLOOKUP(BU153,'Gebinde-Kategorie'!$A$5:$N$45,5,0)+0,0))</f>
        <v>0</v>
      </c>
      <c r="CK153" s="53" t="n">
        <f aca="false">IFERROR(IF(OR(CB153=1,CB153=2,CB153=3),N(INDEX(Parameter!$I$5:$I$7,CB153)),0),0)</f>
        <v>0</v>
      </c>
      <c r="CL153" s="52" t="n">
        <f aca="false">IF(AND(Parameter!$B$21="Ja",ISNUMBER(W153),N(X153)&gt;0),IFERROR(N(INDEX(Parameter!$L$5:$L$7,W153))*INDEX(Parameter!$E$5:$E$7,W153)*X153/SUMIFS($X$7:$X$1843,$W$7:$W$1843,W153),0),0)</f>
        <v>0.32015065913371</v>
      </c>
    </row>
    <row r="154" customFormat="false" ht="15" hidden="false" customHeight="false" outlineLevel="0" collapsed="false">
      <c r="A154" s="48" t="s">
        <v>519</v>
      </c>
      <c r="B154" s="48" t="s">
        <v>520</v>
      </c>
      <c r="C154" s="48" t="s">
        <v>168</v>
      </c>
      <c r="D154" s="48" t="s">
        <v>177</v>
      </c>
      <c r="E154" s="48"/>
      <c r="F154" s="48" t="s">
        <v>222</v>
      </c>
      <c r="G154" s="49" t="n">
        <v>66.47</v>
      </c>
      <c r="H154" s="50" t="n">
        <f aca="false">MAX(0,IF(AND(Parameter!$B$21="Ja",ISNUMBER(Y154)),Y154,IF(Parameter!$B$20="Jahresanfang 2025 + Export",BO154+BN154,BN154)))</f>
        <v>36</v>
      </c>
      <c r="I154" s="50" t="n">
        <f aca="false">H154*G154</f>
        <v>2392.92</v>
      </c>
      <c r="J154" s="50" t="n">
        <f aca="false">BQ154*Parameter!$B$18</f>
        <v>1</v>
      </c>
      <c r="K154" s="51" t="n">
        <v>26.5</v>
      </c>
      <c r="L154" s="52" t="n">
        <v>0.0377358490566038</v>
      </c>
      <c r="M154" s="50" t="n">
        <v>0</v>
      </c>
      <c r="N154" s="50" t="n">
        <v>1</v>
      </c>
      <c r="O154" s="53" t="n">
        <v>56</v>
      </c>
      <c r="P154" s="48" t="s">
        <v>172</v>
      </c>
      <c r="Q154" s="50"/>
      <c r="R154" s="53" t="n">
        <f aca="false">IF(BW154=1,0,IFERROR(VLOOKUP(BU154,'Gebinde-Kategorie'!$A$5:$N$45,13,0)+0,0))</f>
        <v>12</v>
      </c>
      <c r="S154" s="54"/>
      <c r="T154" s="55" t="s">
        <v>183</v>
      </c>
      <c r="U154" s="55"/>
      <c r="V154" s="55"/>
      <c r="W154" s="48"/>
      <c r="X154" s="50"/>
      <c r="Y154" s="50"/>
      <c r="Z154" s="48" t="n">
        <f aca="false">IF(A154="","",IF(AND(Parameter!$B$21="Ja",ISNUMBER(W154)),W154,IF(BZ154="2+3",IF(ISNUMBER(SEARCH("grosser Artikel",BR154)),2,IFERROR(VLOOKUP(BU154,Parameter!$F$35:$G$64,2,0),2)),IF(OR(BZ154="Nein",BZ154=""),"-",BZ154))))</f>
        <v>2</v>
      </c>
      <c r="AA154" s="55"/>
      <c r="AB154" s="56"/>
      <c r="AC154" s="50" t="n">
        <f aca="false">AT154</f>
        <v>36</v>
      </c>
      <c r="AD154" s="50" t="n">
        <f aca="false">MAX(AT154,H154)</f>
        <v>36</v>
      </c>
      <c r="AE154" s="57"/>
      <c r="AF154" s="50" t="n">
        <f aca="false">IF(LEFT(Cockpit!$C$5,1)="A",H154,IF(CE154=1,CF154,IF(LEFT(Cockpit!$C$5,1)="B",AK154,MAX(AK154,H154))))</f>
        <v>36</v>
      </c>
      <c r="AG154" s="50" t="n">
        <f aca="false">IF(BW154=1,0,ROUNDUP(AF154/BV154,0))</f>
        <v>1</v>
      </c>
      <c r="AH154" s="52" t="n">
        <f aca="false">IF(CL154&gt;0,CL154*MAX(1,AF154/X154),IF(BW154=1,IF(AF154&lt;=0,0,CA154*MAX(1,IF(H154&gt;0,AF154/H154,1))),IF(R154&gt;0,AG154/R154,0))/MAX(0.1,N(Parameter!$M$21)))</f>
        <v>0.0833333333333333</v>
      </c>
      <c r="AI154" s="50" t="n">
        <f aca="false">AH154*BY154</f>
        <v>12.0833333333333</v>
      </c>
      <c r="AJ154" s="50" t="n">
        <f aca="false">AF154*G154</f>
        <v>2392.92</v>
      </c>
      <c r="AK154" s="50" t="n">
        <f aca="false">ROUNDUP(MAX(J154/IF(CD154&gt;0,CD154,MAX(0.1,N(Cockpit!$C$6))),CG154)/BV154,0)*BV154</f>
        <v>36</v>
      </c>
      <c r="AL154" s="51" t="n">
        <f aca="false">IF(AI154&gt;0,J154/AI154,-1)</f>
        <v>0.0827586206896552</v>
      </c>
      <c r="AM154" s="51" t="n">
        <f aca="false">IF(AND(OR(CC154="L1",CC154="L23",CC154="LIFT"),AI154&gt;0),SUMIFS($AI$7:$AI$1843,$CC$7:$CC$1843,CC154,$AL$7:$AL$1843,"&gt;"&amp;AL154)+SUMIFS($AI$7:$AI$1843,$CC$7:$CC$1843,CC154,$AL$7:$AL$1843,AL154,$BT$7:$BT$1843,"&lt;="&amp;BT154),"")</f>
        <v>16689.4407322903</v>
      </c>
      <c r="AN154" s="58" t="n">
        <f aca="false">IF(AM154="",0,MAX(0,MIN(1,(IF(CC154="L1",Parameter!$H$5,IF(CC154="L23",Parameter!$H$6+Parameter!$H$7,Parameter!$H$5+Parameter!$H$6+Parameter!$H$7))-(AM154-AI154))/AI154)))</f>
        <v>1</v>
      </c>
      <c r="AO154" s="50" t="n">
        <f aca="false">IF(LEFT(Cockpit!$I$5,1)="A",H154,IF(CE154=1,CF154,IF(LEFT(Cockpit!$I$5,1)="B",AT154,MAX(AT154,H154))))</f>
        <v>36</v>
      </c>
      <c r="AP154" s="50" t="n">
        <f aca="false">IF(BW154=1,0,ROUNDUP(AO154/BV154,0))</f>
        <v>1</v>
      </c>
      <c r="AQ154" s="52" t="n">
        <f aca="false">IF(CL154&gt;0,CL154*MAX(1,AO154/X154),IF(BW154=1,IF(AO154&lt;=0,0,CA154*MAX(1,IF(H154&gt;0,AO154/H154,1))),IF(R154&gt;0,AP154/R154,0))/MAX(0.1,N(Parameter!$M$21)))</f>
        <v>0.0833333333333333</v>
      </c>
      <c r="AR154" s="50" t="n">
        <f aca="false">AQ154*BY154</f>
        <v>12.0833333333333</v>
      </c>
      <c r="AS154" s="50" t="n">
        <f aca="false">AO154*G154</f>
        <v>2392.92</v>
      </c>
      <c r="AT154" s="50" t="n">
        <f aca="false">ROUNDUP(MAX(J154/IF(CD154&gt;0,CD154,MAX(0.1,N(Cockpit!$I$6))),CG154)/BV154,0)*BV154</f>
        <v>36</v>
      </c>
      <c r="AU154" s="51" t="n">
        <f aca="false">IF(AR154&gt;0,J154/AR154,-1)</f>
        <v>0.0827586206896552</v>
      </c>
      <c r="AV154" s="51" t="n">
        <f aca="false">IF(AND(OR(CC154="L1",CC154="L23",CC154="LIFT"),AR154&gt;0),SUMIFS($AR$7:$AR$1843,$CC$7:$CC$1843,CC154,$AU$7:$AU$1843,"&gt;"&amp;AU154)+SUMIFS($AR$7:$AR$1843,$CC$7:$CC$1843,CC154,$AU$7:$AU$1843,AU154,$BT$7:$BT$1843,"&lt;="&amp;BT154),"")</f>
        <v>25161.4211083173</v>
      </c>
      <c r="AW154" s="58" t="n">
        <f aca="false">IF(AV154="",0,MAX(0,MIN(1,(IF(CC154="L1",Parameter!$H$5,IF(CC154="L23",Parameter!$H$6+Parameter!$H$7,Parameter!$H$5+Parameter!$H$6+Parameter!$H$7))-(AV154-AR154))/AR154)))</f>
        <v>1</v>
      </c>
      <c r="AX154" s="50" t="n">
        <f aca="false">IF(LEFT(Cockpit!$O$5,1)="A",H154,IF(CE154=1,CF154,IF(LEFT(Cockpit!$O$5,1)="B",BC154,MAX(BC154,H154))))</f>
        <v>36</v>
      </c>
      <c r="AY154" s="50" t="n">
        <f aca="false">IF(BW154=1,0,ROUNDUP(AX154/BV154,0))</f>
        <v>1</v>
      </c>
      <c r="AZ154" s="52" t="n">
        <f aca="false">IF(CL154&gt;0,CL154*MAX(1,AX154/X154),IF(BW154=1,IF(AX154&lt;=0,0,CA154*MAX(1,IF(H154&gt;0,AX154/H154,1))),IF(R154&gt;0,AY154/R154,0))/MAX(0.1,N(Parameter!$M$21)))</f>
        <v>0.0833333333333333</v>
      </c>
      <c r="BA154" s="50" t="n">
        <f aca="false">AZ154*BY154</f>
        <v>12.0833333333333</v>
      </c>
      <c r="BB154" s="50" t="n">
        <f aca="false">AX154*G154</f>
        <v>2392.92</v>
      </c>
      <c r="BC154" s="50" t="n">
        <f aca="false">ROUNDUP(MAX(J154/IF(CD154&gt;0,CD154,MAX(0.1,N(Cockpit!$O$6))),CG154)/BV154,0)*BV154</f>
        <v>36</v>
      </c>
      <c r="BD154" s="51" t="n">
        <f aca="false">IF(BA154&gt;0,J154/BA154,-1)</f>
        <v>0.0827586206896552</v>
      </c>
      <c r="BE154" s="51" t="n">
        <f aca="false">IF(AND(OR(CC154="L1",CC154="L23",CC154="LIFT"),BA154&gt;0),SUMIFS($BA$7:$BA$1843,$CC$7:$CC$1843,CC154,$BD$7:$BD$1843,"&gt;"&amp;BD154)+SUMIFS($BA$7:$BA$1843,$CC$7:$CC$1843,CC154,$BD$7:$BD$1843,BD154,$BT$7:$BT$1843,"&lt;="&amp;BT154),"")</f>
        <v>23363.9331501832</v>
      </c>
      <c r="BF154" s="58" t="n">
        <f aca="false">IF(BE154="",0,MAX(0,MIN(1,(IF(CC154="L1",Parameter!$H$5,IF(CC154="L23",Parameter!$H$6+Parameter!$H$7,Parameter!$H$5+Parameter!$H$6+Parameter!$H$7))-(BE154-BA154))/BA154)))</f>
        <v>1</v>
      </c>
      <c r="BG154" s="48" t="str">
        <f aca="false">IF(AI154&lt;=0,"",IF(CC154="Aussen","Aussenlager",IF(CC154="-","Nicht im Lift",IF(AN154&gt;=1,"Lift",IF(AN154&lt;=0,"Aussenlager","teilweise")))))</f>
        <v>Lift</v>
      </c>
      <c r="BH154" s="48" t="str">
        <f aca="false">IF(AR154&lt;=0,"",IF(CC154="Aussen","Aussenlager",IF(CC154="-","Nicht im Lift",IF(AW154&gt;=1,"Lift",IF(AW154&lt;=0,"Aussenlager","teilweise")))))</f>
        <v>Lift</v>
      </c>
      <c r="BI154" s="48" t="str">
        <f aca="false">IF(BA154&lt;=0,"",IF(CC154="Aussen","Aussenlager",IF(CC154="-","Nicht im Lift",IF(BF154&gt;=1,"Lift",IF(BF154&lt;=0,"Aussenlager","teilweise")))))</f>
        <v>Lift</v>
      </c>
      <c r="BJ154" s="48" t="str">
        <f aca="false">IF(A154="","",IF(BS154=1,"Neu; ","")&amp;IF(AND(BS154=0,BN154&lt;0),"negativer Bestand (Export "&amp;BN154&amp;"); ","")&amp;IF(J154&lt;=0,"Kein Verbrauch; ","")&amp;IF(CL154&gt;0,"Lift "&amp;W154&amp;" lt. Liftbericht (Fach "&amp;X154&amp;" Stk); ",IF(BX154=1,"Gebinde geschätzt ("&amp;T154&amp;"); ",IF(BW154=1,"Lose – Tablare geschätzt; ","")))&amp;IF(H154&gt;AT154,"Überbestand "&amp;ROUND(H154-AT154,0)&amp;" Stk / CHF "&amp;ROUND((H154-AT154)*G154,0)&amp;"; ","")&amp;IF(AND(CE154=1,CF154&lt;CG154),"MAX &lt; MB+LG; ","")&amp;IF(AND(CK154&gt;0,CJ154*10&gt;CK154),"zu hoch für Tablar; ","")&amp;IF(AND(BS154=0,OR(CE154=1,AA154&lt;&gt;"",U154&lt;&gt;"",V154&lt;&gt;"",AB154&lt;&gt;"")),"manuell übersteuert; ","")&amp;IF(AND(BW154=0,R154=0),"Gebinde unbekannt / Stellmass fehlt; ","")&amp;IF(AND(BW154=0,N(V154)&lt;=0,N(Q154)&lt;=0),"Menge pro Gebinde fehlt (Ist = 1 Gebinde); ","")&amp;BR154)</f>
        <v>Gebinde geschätzt (Mittel); Menge pro Gebinde fehlt (Ist = 1 Gebinde); </v>
      </c>
      <c r="BK154" s="48"/>
      <c r="BL154" s="48"/>
      <c r="BM154" s="55"/>
      <c r="BN154" s="50" t="n">
        <v>19</v>
      </c>
      <c r="BO154" s="50" t="n">
        <v>17</v>
      </c>
      <c r="BP154" s="49" t="n">
        <v>1283.5</v>
      </c>
      <c r="BQ154" s="50" t="n">
        <v>1</v>
      </c>
      <c r="BR154" s="48"/>
      <c r="BS154" s="53" t="n">
        <v>0</v>
      </c>
      <c r="BT154" s="53" t="n">
        <v>154</v>
      </c>
      <c r="BU154" s="48" t="str">
        <f aca="false">IF(U154&lt;&gt;"",UPPER(TRIM(U154)),IF(BX154=1,UPPER(VLOOKUP(T154,Parameter!$I$27:$K$29,2,0)),IF(P154="","LOSE",P154)))</f>
        <v>S61</v>
      </c>
      <c r="BV154" s="50" t="n">
        <f aca="false">IF(BU154="LOSE",1,IF(N(V154)&gt;0,V154,IF(BX154=1,MAX(1,N(VLOOKUP(T154,Parameter!$I$27:$K$29,3,0)),H154,N(N154)),IF(N(Q154)&gt;0,Q154,MAX(1,H154)))))</f>
        <v>36</v>
      </c>
      <c r="BW154" s="53" t="n">
        <f aca="false">IF(BU154="LOSE",1,0)</f>
        <v>0</v>
      </c>
      <c r="BX154" s="53" t="n">
        <f aca="false">IF(AND(U154="",OR(P154="",P154="LOSE"),T154&lt;&gt;"",N(S154)&lt;=0,ISNUMBER(MATCH(T154,Parameter!$I$27:$I$29,0))),1,0)</f>
        <v>1</v>
      </c>
      <c r="BY154" s="53" t="n">
        <f aca="false">IF(CL154&gt;0,INDEX(Parameter!$H$5:$H$7,W154)/INDEX(Parameter!$E$5:$E$7,W154),IF(AND(BW154=0,N(IFERROR(VLOOKUP(BU154,'Gebinde-Kategorie'!$A$5:$N$45,14,0),0))&gt;0),VLOOKUP(BU154,'Gebinde-Kategorie'!$A$5:$N$45,14,0)*10+Parameter!$M$23,Parameter!$M$24))</f>
        <v>145</v>
      </c>
      <c r="BZ154" s="48" t="str">
        <f aca="false">IF(AND(Parameter!$B$19="Ja",E154&lt;&gt;"",ISNUMBER(MATCH(E154,Parameter!$I$35:$I$52,0))),VLOOKUP(E154,Parameter!$I$35:$J$52,2,0),IFERROR(VLOOKUP(D154,Parameter!$A$35:$C$64,2,0),"Nein"))</f>
        <v>2+3</v>
      </c>
      <c r="CA154" s="52" t="n">
        <f aca="false">IF(BW154=0,0,IF(N(S154)&gt;0,S154,IFERROR(VLOOKUP(D154,Parameter!$A$35:$C$64,3,0)+0,0)))</f>
        <v>0</v>
      </c>
      <c r="CB154" s="48" t="n">
        <f aca="false">IF(AA154&lt;&gt;"",AA154,Z154)</f>
        <v>2</v>
      </c>
      <c r="CC154" s="48" t="str">
        <f aca="false">IF(OR(CB154=1,CB154=2,CB154=3),IF(Parameter!$E$27="Ja","LIFT",IF(CB154=1,"L1","L23")),IF(CB154="Aussen","Aussen","-"))</f>
        <v>LIFT</v>
      </c>
      <c r="CD154" s="59" t="n">
        <f aca="false">IF(N(AB154)&gt;0,AB154,0)</f>
        <v>0</v>
      </c>
      <c r="CE154" s="53" t="n">
        <f aca="false">IF(ISNUMBER(AE154),1,0)</f>
        <v>0</v>
      </c>
      <c r="CF154" s="50" t="n">
        <f aca="false">N(AE154)</f>
        <v>0</v>
      </c>
      <c r="CG154" s="50" t="n">
        <f aca="false">N(M154)+N(N154)</f>
        <v>1</v>
      </c>
      <c r="CH154" s="50" t="n">
        <f aca="false">ROUNDUP(H154/BV154,0)</f>
        <v>1</v>
      </c>
      <c r="CI154" s="50" t="n">
        <f aca="false">ROUNDUP(CF154/BV154,0)</f>
        <v>0</v>
      </c>
      <c r="CJ154" s="53" t="n">
        <f aca="false">IF(BW154=1,0,IFERROR(VLOOKUP(BU154,'Gebinde-Kategorie'!$A$5:$N$45,5,0)+0,0))</f>
        <v>11</v>
      </c>
      <c r="CK154" s="53" t="n">
        <f aca="false">IFERROR(IF(OR(CB154=1,CB154=2,CB154=3),N(INDEX(Parameter!$I$5:$I$7,CB154)),0),0)</f>
        <v>0</v>
      </c>
      <c r="CL154" s="52" t="n">
        <f aca="false">IF(AND(Parameter!$B$21="Ja",ISNUMBER(W154),N(X154)&gt;0),IFERROR(N(INDEX(Parameter!$L$5:$L$7,W154))*INDEX(Parameter!$E$5:$E$7,W154)*X154/SUMIFS($X$7:$X$1843,$W$7:$W$1843,W154),0),0)</f>
        <v>0</v>
      </c>
    </row>
    <row r="155" customFormat="false" ht="15" hidden="false" customHeight="false" outlineLevel="0" collapsed="false">
      <c r="A155" s="48" t="s">
        <v>521</v>
      </c>
      <c r="B155" s="48" t="s">
        <v>522</v>
      </c>
      <c r="C155" s="48" t="s">
        <v>168</v>
      </c>
      <c r="D155" s="48" t="s">
        <v>177</v>
      </c>
      <c r="E155" s="48" t="s">
        <v>189</v>
      </c>
      <c r="F155" s="48" t="s">
        <v>222</v>
      </c>
      <c r="G155" s="49" t="n">
        <v>57.07</v>
      </c>
      <c r="H155" s="50" t="n">
        <f aca="false">MAX(0,IF(AND(Parameter!$B$21="Ja",ISNUMBER(Y155)),Y155,IF(Parameter!$B$20="Jahresanfang 2025 + Export",BO155+BN155,BN155)))</f>
        <v>124</v>
      </c>
      <c r="I155" s="50" t="n">
        <f aca="false">H155*G155</f>
        <v>7076.68</v>
      </c>
      <c r="J155" s="50" t="n">
        <f aca="false">BQ155*Parameter!$B$18</f>
        <v>388</v>
      </c>
      <c r="K155" s="51" t="n">
        <v>163.5</v>
      </c>
      <c r="L155" s="52" t="n">
        <v>2.37308868501529</v>
      </c>
      <c r="M155" s="50" t="n">
        <v>80</v>
      </c>
      <c r="N155" s="50" t="n">
        <v>135</v>
      </c>
      <c r="O155" s="53" t="n">
        <v>70</v>
      </c>
      <c r="P155" s="48" t="s">
        <v>178</v>
      </c>
      <c r="Q155" s="50" t="n">
        <v>150</v>
      </c>
      <c r="R155" s="53" t="n">
        <f aca="false">IF(BW155=1,0,IFERROR(VLOOKUP(BU155,'Gebinde-Kategorie'!$A$5:$N$45,13,0)+0,0))</f>
        <v>6</v>
      </c>
      <c r="S155" s="54"/>
      <c r="T155" s="55"/>
      <c r="U155" s="55"/>
      <c r="V155" s="55"/>
      <c r="W155" s="48"/>
      <c r="X155" s="50"/>
      <c r="Y155" s="50"/>
      <c r="Z155" s="48" t="n">
        <f aca="false">IF(A155="","",IF(AND(Parameter!$B$21="Ja",ISNUMBER(W155)),W155,IF(BZ155="2+3",IF(ISNUMBER(SEARCH("grosser Artikel",BR155)),2,IFERROR(VLOOKUP(BU155,Parameter!$F$35:$G$64,2,0),2)),IF(OR(BZ155="Nein",BZ155=""),"-",BZ155))))</f>
        <v>2</v>
      </c>
      <c r="AA155" s="55"/>
      <c r="AB155" s="56"/>
      <c r="AC155" s="50" t="n">
        <f aca="false">AT155</f>
        <v>300</v>
      </c>
      <c r="AD155" s="50" t="n">
        <f aca="false">MAX(AT155,H155)</f>
        <v>300</v>
      </c>
      <c r="AE155" s="57"/>
      <c r="AF155" s="50" t="n">
        <f aca="false">IF(LEFT(Cockpit!$C$5,1)="A",H155,IF(CE155=1,CF155,IF(LEFT(Cockpit!$C$5,1)="B",AK155,MAX(AK155,H155))))</f>
        <v>124</v>
      </c>
      <c r="AG155" s="50" t="n">
        <f aca="false">IF(BW155=1,0,ROUNDUP(AF155/BV155,0))</f>
        <v>1</v>
      </c>
      <c r="AH155" s="52" t="n">
        <f aca="false">IF(CL155&gt;0,CL155*MAX(1,AF155/X155),IF(BW155=1,IF(AF155&lt;=0,0,CA155*MAX(1,IF(H155&gt;0,AF155/H155,1))),IF(R155&gt;0,AG155/R155,0))/MAX(0.1,N(Parameter!$M$21)))</f>
        <v>0.166666666666667</v>
      </c>
      <c r="AI155" s="50" t="n">
        <f aca="false">AH155*BY155</f>
        <v>39.1666666666667</v>
      </c>
      <c r="AJ155" s="50" t="n">
        <f aca="false">AF155*G155</f>
        <v>7076.68</v>
      </c>
      <c r="AK155" s="50" t="n">
        <f aca="false">ROUNDUP(MAX(J155/IF(CD155&gt;0,CD155,MAX(0.1,N(Cockpit!$C$6))),CG155)/BV155,0)*BV155</f>
        <v>300</v>
      </c>
      <c r="AL155" s="51" t="n">
        <f aca="false">IF(AI155&gt;0,J155/AI155,-1)</f>
        <v>9.90638297872341</v>
      </c>
      <c r="AM155" s="51" t="n">
        <f aca="false">IF(AND(OR(CC155="L1",CC155="L23",CC155="LIFT"),AI155&gt;0),SUMIFS($AI$7:$AI$1843,$CC$7:$CC$1843,CC155,$AL$7:$AL$1843,"&gt;"&amp;AL155)+SUMIFS($AI$7:$AI$1843,$CC$7:$CC$1843,CC155,$AL$7:$AL$1843,AL155,$BT$7:$BT$1843,"&lt;="&amp;BT155),"")</f>
        <v>2642.40613553114</v>
      </c>
      <c r="AN155" s="58" t="n">
        <f aca="false">IF(AM155="",0,MAX(0,MIN(1,(IF(CC155="L1",Parameter!$H$5,IF(CC155="L23",Parameter!$H$6+Parameter!$H$7,Parameter!$H$5+Parameter!$H$6+Parameter!$H$7))-(AM155-AI155))/AI155)))</f>
        <v>1</v>
      </c>
      <c r="AO155" s="50" t="n">
        <f aca="false">IF(LEFT(Cockpit!$I$5,1)="A",H155,IF(CE155=1,CF155,IF(LEFT(Cockpit!$I$5,1)="B",AT155,MAX(AT155,H155))))</f>
        <v>300</v>
      </c>
      <c r="AP155" s="50" t="n">
        <f aca="false">IF(BW155=1,0,ROUNDUP(AO155/BV155,0))</f>
        <v>2</v>
      </c>
      <c r="AQ155" s="52" t="n">
        <f aca="false">IF(CL155&gt;0,CL155*MAX(1,AO155/X155),IF(BW155=1,IF(AO155&lt;=0,0,CA155*MAX(1,IF(H155&gt;0,AO155/H155,1))),IF(R155&gt;0,AP155/R155,0))/MAX(0.1,N(Parameter!$M$21)))</f>
        <v>0.333333333333333</v>
      </c>
      <c r="AR155" s="50" t="n">
        <f aca="false">AQ155*BY155</f>
        <v>78.3333333333333</v>
      </c>
      <c r="AS155" s="50" t="n">
        <f aca="false">AO155*G155</f>
        <v>17121</v>
      </c>
      <c r="AT155" s="50" t="n">
        <f aca="false">ROUNDUP(MAX(J155/IF(CD155&gt;0,CD155,MAX(0.1,N(Cockpit!$I$6))),CG155)/BV155,0)*BV155</f>
        <v>300</v>
      </c>
      <c r="AU155" s="51" t="n">
        <f aca="false">IF(AR155&gt;0,J155/AR155,-1)</f>
        <v>4.9531914893617</v>
      </c>
      <c r="AV155" s="51" t="n">
        <f aca="false">IF(AND(OR(CC155="L1",CC155="L23",CC155="LIFT"),AR155&gt;0),SUMIFS($AR$7:$AR$1843,$CC$7:$CC$1843,CC155,$AU$7:$AU$1843,"&gt;"&amp;AU155)+SUMIFS($AR$7:$AR$1843,$CC$7:$CC$1843,CC155,$AU$7:$AU$1843,AU155,$BT$7:$BT$1843,"&lt;="&amp;BT155),"")</f>
        <v>5058.83653846154</v>
      </c>
      <c r="AW155" s="58" t="n">
        <f aca="false">IF(AV155="",0,MAX(0,MIN(1,(IF(CC155="L1",Parameter!$H$5,IF(CC155="L23",Parameter!$H$6+Parameter!$H$7,Parameter!$H$5+Parameter!$H$6+Parameter!$H$7))-(AV155-AR155))/AR155)))</f>
        <v>1</v>
      </c>
      <c r="AX155" s="50" t="n">
        <f aca="false">IF(LEFT(Cockpit!$O$5,1)="A",H155,IF(CE155=1,CF155,IF(LEFT(Cockpit!$O$5,1)="B",BC155,MAX(BC155,H155))))</f>
        <v>300</v>
      </c>
      <c r="AY155" s="50" t="n">
        <f aca="false">IF(BW155=1,0,ROUNDUP(AX155/BV155,0))</f>
        <v>2</v>
      </c>
      <c r="AZ155" s="52" t="n">
        <f aca="false">IF(CL155&gt;0,CL155*MAX(1,AX155/X155),IF(BW155=1,IF(AX155&lt;=0,0,CA155*MAX(1,IF(H155&gt;0,AX155/H155,1))),IF(R155&gt;0,AY155/R155,0))/MAX(0.1,N(Parameter!$M$21)))</f>
        <v>0.333333333333333</v>
      </c>
      <c r="BA155" s="50" t="n">
        <f aca="false">AZ155*BY155</f>
        <v>78.3333333333333</v>
      </c>
      <c r="BB155" s="50" t="n">
        <f aca="false">AX155*G155</f>
        <v>17121</v>
      </c>
      <c r="BC155" s="50" t="n">
        <f aca="false">ROUNDUP(MAX(J155/IF(CD155&gt;0,CD155,MAX(0.1,N(Cockpit!$O$6))),CG155)/BV155,0)*BV155</f>
        <v>300</v>
      </c>
      <c r="BD155" s="51" t="n">
        <f aca="false">IF(BA155&gt;0,J155/BA155,-1)</f>
        <v>4.9531914893617</v>
      </c>
      <c r="BE155" s="51" t="n">
        <f aca="false">IF(AND(OR(CC155="L1",CC155="L23",CC155="LIFT"),BA155&gt;0),SUMIFS($BA$7:$BA$1843,$CC$7:$CC$1843,CC155,$BD$7:$BD$1843,"&gt;"&amp;BD155)+SUMIFS($BA$7:$BA$1843,$CC$7:$CC$1843,CC155,$BD$7:$BD$1843,BD155,$BT$7:$BT$1843,"&lt;="&amp;BT155),"")</f>
        <v>4729.30128205128</v>
      </c>
      <c r="BF155" s="58" t="n">
        <f aca="false">IF(BE155="",0,MAX(0,MIN(1,(IF(CC155="L1",Parameter!$H$5,IF(CC155="L23",Parameter!$H$6+Parameter!$H$7,Parameter!$H$5+Parameter!$H$6+Parameter!$H$7))-(BE155-BA155))/BA155)))</f>
        <v>1</v>
      </c>
      <c r="BG155" s="48" t="str">
        <f aca="false">IF(AI155&lt;=0,"",IF(CC155="Aussen","Aussenlager",IF(CC155="-","Nicht im Lift",IF(AN155&gt;=1,"Lift",IF(AN155&lt;=0,"Aussenlager","teilweise")))))</f>
        <v>Lift</v>
      </c>
      <c r="BH155" s="48" t="str">
        <f aca="false">IF(AR155&lt;=0,"",IF(CC155="Aussen","Aussenlager",IF(CC155="-","Nicht im Lift",IF(AW155&gt;=1,"Lift",IF(AW155&lt;=0,"Aussenlager","teilweise")))))</f>
        <v>Lift</v>
      </c>
      <c r="BI155" s="48" t="str">
        <f aca="false">IF(BA155&lt;=0,"",IF(CC155="Aussen","Aussenlager",IF(CC155="-","Nicht im Lift",IF(BF155&gt;=1,"Lift",IF(BF155&lt;=0,"Aussenlager","teilweise")))))</f>
        <v>Lift</v>
      </c>
      <c r="BJ155" s="48" t="str">
        <f aca="false">IF(A155="","",IF(BS155=1,"Neu; ","")&amp;IF(AND(BS155=0,BN155&lt;0),"negativer Bestand (Export "&amp;BN155&amp;"); ","")&amp;IF(J155&lt;=0,"Kein Verbrauch; ","")&amp;IF(CL155&gt;0,"Lift "&amp;W155&amp;" lt. Liftbericht (Fach "&amp;X155&amp;" Stk); ",IF(BX155=1,"Gebinde geschätzt ("&amp;T155&amp;"); ",IF(BW155=1,"Lose – Tablare geschätzt; ","")))&amp;IF(H155&gt;AT155,"Überbestand "&amp;ROUND(H155-AT155,0)&amp;" Stk / CHF "&amp;ROUND((H155-AT155)*G155,0)&amp;"; ","")&amp;IF(AND(CE155=1,CF155&lt;CG155),"MAX &lt; MB+LG; ","")&amp;IF(AND(CK155&gt;0,CJ155*10&gt;CK155),"zu hoch für Tablar; ","")&amp;IF(AND(BS155=0,OR(CE155=1,AA155&lt;&gt;"",U155&lt;&gt;"",V155&lt;&gt;"",AB155&lt;&gt;"")),"manuell übersteuert; ","")&amp;IF(AND(BW155=0,R155=0),"Gebinde unbekannt / Stellmass fehlt; ","")&amp;IF(AND(BW155=0,N(V155)&lt;=0,N(Q155)&lt;=0),"Menge pro Gebinde fehlt (Ist = 1 Gebinde); ","")&amp;BR155)</f>
        <v>grosser Artikel &amp; nicht im KTL</v>
      </c>
      <c r="BK155" s="48"/>
      <c r="BL155" s="48"/>
      <c r="BM155" s="55"/>
      <c r="BN155" s="50" t="n">
        <v>27</v>
      </c>
      <c r="BO155" s="50" t="n">
        <v>97</v>
      </c>
      <c r="BP155" s="49" t="n">
        <v>1272.2</v>
      </c>
      <c r="BQ155" s="50" t="n">
        <v>388</v>
      </c>
      <c r="BR155" s="48" t="s">
        <v>265</v>
      </c>
      <c r="BS155" s="53" t="n">
        <v>0</v>
      </c>
      <c r="BT155" s="53" t="n">
        <v>155</v>
      </c>
      <c r="BU155" s="48" t="str">
        <f aca="false">IF(U155&lt;&gt;"",UPPER(TRIM(U155)),IF(BX155=1,UPPER(VLOOKUP(T155,Parameter!$I$27:$K$29,2,0)),IF(P155="","LOSE",P155)))</f>
        <v>S71</v>
      </c>
      <c r="BV155" s="50" t="n">
        <f aca="false">IF(BU155="LOSE",1,IF(N(V155)&gt;0,V155,IF(BX155=1,MAX(1,N(VLOOKUP(T155,Parameter!$I$27:$K$29,3,0)),H155,N(N155)),IF(N(Q155)&gt;0,Q155,MAX(1,H155)))))</f>
        <v>150</v>
      </c>
      <c r="BW155" s="53" t="n">
        <f aca="false">IF(BU155="LOSE",1,0)</f>
        <v>0</v>
      </c>
      <c r="BX155" s="53" t="n">
        <f aca="false">IF(AND(U155="",OR(P155="",P155="LOSE"),T155&lt;&gt;"",N(S155)&lt;=0,ISNUMBER(MATCH(T155,Parameter!$I$27:$I$29,0))),1,0)</f>
        <v>0</v>
      </c>
      <c r="BY155" s="53" t="n">
        <f aca="false">IF(CL155&gt;0,INDEX(Parameter!$H$5:$H$7,W155)/INDEX(Parameter!$E$5:$E$7,W155),IF(AND(BW155=0,N(IFERROR(VLOOKUP(BU155,'Gebinde-Kategorie'!$A$5:$N$45,14,0),0))&gt;0),VLOOKUP(BU155,'Gebinde-Kategorie'!$A$5:$N$45,14,0)*10+Parameter!$M$23,Parameter!$M$24))</f>
        <v>235</v>
      </c>
      <c r="BZ155" s="48" t="str">
        <f aca="false">IF(AND(Parameter!$B$19="Ja",E155&lt;&gt;"",ISNUMBER(MATCH(E155,Parameter!$I$35:$I$52,0))),VLOOKUP(E155,Parameter!$I$35:$J$52,2,0),IFERROR(VLOOKUP(D155,Parameter!$A$35:$C$64,2,0),"Nein"))</f>
        <v>2+3</v>
      </c>
      <c r="CA155" s="52" t="n">
        <f aca="false">IF(BW155=0,0,IF(N(S155)&gt;0,S155,IFERROR(VLOOKUP(D155,Parameter!$A$35:$C$64,3,0)+0,0)))</f>
        <v>0</v>
      </c>
      <c r="CB155" s="48" t="n">
        <f aca="false">IF(AA155&lt;&gt;"",AA155,Z155)</f>
        <v>2</v>
      </c>
      <c r="CC155" s="48" t="str">
        <f aca="false">IF(OR(CB155=1,CB155=2,CB155=3),IF(Parameter!$E$27="Ja","LIFT",IF(CB155=1,"L1","L23")),IF(CB155="Aussen","Aussen","-"))</f>
        <v>LIFT</v>
      </c>
      <c r="CD155" s="59" t="n">
        <f aca="false">IF(N(AB155)&gt;0,AB155,0)</f>
        <v>0</v>
      </c>
      <c r="CE155" s="53" t="n">
        <f aca="false">IF(ISNUMBER(AE155),1,0)</f>
        <v>0</v>
      </c>
      <c r="CF155" s="50" t="n">
        <f aca="false">N(AE155)</f>
        <v>0</v>
      </c>
      <c r="CG155" s="50" t="n">
        <f aca="false">N(M155)+N(N155)</f>
        <v>215</v>
      </c>
      <c r="CH155" s="50" t="n">
        <f aca="false">ROUNDUP(H155/BV155,0)</f>
        <v>1</v>
      </c>
      <c r="CI155" s="50" t="n">
        <f aca="false">ROUNDUP(CF155/BV155,0)</f>
        <v>0</v>
      </c>
      <c r="CJ155" s="53" t="n">
        <f aca="false">IF(BW155=1,0,IFERROR(VLOOKUP(BU155,'Gebinde-Kategorie'!$A$5:$N$45,5,0)+0,0))</f>
        <v>20</v>
      </c>
      <c r="CK155" s="53" t="n">
        <f aca="false">IFERROR(IF(OR(CB155=1,CB155=2,CB155=3),N(INDEX(Parameter!$I$5:$I$7,CB155)),0),0)</f>
        <v>0</v>
      </c>
      <c r="CL155" s="52" t="n">
        <f aca="false">IF(AND(Parameter!$B$21="Ja",ISNUMBER(W155),N(X155)&gt;0),IFERROR(N(INDEX(Parameter!$L$5:$L$7,W155))*INDEX(Parameter!$E$5:$E$7,W155)*X155/SUMIFS($X$7:$X$1843,$W$7:$W$1843,W155),0),0)</f>
        <v>0</v>
      </c>
    </row>
    <row r="156" customFormat="false" ht="15" hidden="false" customHeight="false" outlineLevel="0" collapsed="false">
      <c r="A156" s="48" t="s">
        <v>523</v>
      </c>
      <c r="B156" s="48" t="s">
        <v>524</v>
      </c>
      <c r="C156" s="48" t="s">
        <v>168</v>
      </c>
      <c r="D156" s="48" t="s">
        <v>188</v>
      </c>
      <c r="E156" s="48" t="s">
        <v>189</v>
      </c>
      <c r="F156" s="48" t="s">
        <v>222</v>
      </c>
      <c r="G156" s="49" t="n">
        <v>45.59</v>
      </c>
      <c r="H156" s="50" t="n">
        <f aca="false">MAX(0,IF(AND(Parameter!$B$21="Ja",ISNUMBER(Y156)),Y156,IF(Parameter!$B$20="Jahresanfang 2025 + Export",BO156+BN156,BN156)))</f>
        <v>64</v>
      </c>
      <c r="I156" s="50" t="n">
        <f aca="false">H156*G156</f>
        <v>2917.76</v>
      </c>
      <c r="J156" s="50" t="n">
        <f aca="false">BQ156*Parameter!$B$18</f>
        <v>69</v>
      </c>
      <c r="K156" s="51" t="n">
        <v>33.5</v>
      </c>
      <c r="L156" s="52" t="n">
        <v>2.05970149253731</v>
      </c>
      <c r="M156" s="50" t="n">
        <v>2</v>
      </c>
      <c r="N156" s="50" t="n">
        <v>60</v>
      </c>
      <c r="O156" s="53" t="n">
        <v>10</v>
      </c>
      <c r="P156" s="48" t="s">
        <v>306</v>
      </c>
      <c r="Q156" s="50" t="n">
        <v>107</v>
      </c>
      <c r="R156" s="53" t="n">
        <f aca="false">IF(BW156=1,0,IFERROR(VLOOKUP(BU156,'Gebinde-Kategorie'!$A$5:$N$45,13,0)+0,0))</f>
        <v>26</v>
      </c>
      <c r="S156" s="54"/>
      <c r="T156" s="55"/>
      <c r="U156" s="55"/>
      <c r="V156" s="55"/>
      <c r="W156" s="48"/>
      <c r="X156" s="50"/>
      <c r="Y156" s="50"/>
      <c r="Z156" s="48" t="n">
        <f aca="false">IF(A156="","",IF(AND(Parameter!$B$21="Ja",ISNUMBER(W156)),W156,IF(BZ156="2+3",IF(ISNUMBER(SEARCH("grosser Artikel",BR156)),2,IFERROR(VLOOKUP(BU156,Parameter!$F$35:$G$64,2,0),2)),IF(OR(BZ156="Nein",BZ156=""),"-",BZ156))))</f>
        <v>3</v>
      </c>
      <c r="AA156" s="55"/>
      <c r="AB156" s="56"/>
      <c r="AC156" s="50" t="n">
        <f aca="false">AT156</f>
        <v>107</v>
      </c>
      <c r="AD156" s="50" t="n">
        <f aca="false">MAX(AT156,H156)</f>
        <v>107</v>
      </c>
      <c r="AE156" s="57"/>
      <c r="AF156" s="50" t="n">
        <f aca="false">IF(LEFT(Cockpit!$C$5,1)="A",H156,IF(CE156=1,CF156,IF(LEFT(Cockpit!$C$5,1)="B",AK156,MAX(AK156,H156))))</f>
        <v>64</v>
      </c>
      <c r="AG156" s="50" t="n">
        <f aca="false">IF(BW156=1,0,ROUNDUP(AF156/BV156,0))</f>
        <v>1</v>
      </c>
      <c r="AH156" s="52" t="n">
        <f aca="false">IF(CL156&gt;0,CL156*MAX(1,AF156/X156),IF(BW156=1,IF(AF156&lt;=0,0,CA156*MAX(1,IF(H156&gt;0,AF156/H156,1))),IF(R156&gt;0,AG156/R156,0))/MAX(0.1,N(Parameter!$M$21)))</f>
        <v>0.0384615384615385</v>
      </c>
      <c r="AI156" s="50" t="n">
        <f aca="false">AH156*BY156</f>
        <v>5.96153846153846</v>
      </c>
      <c r="AJ156" s="50" t="n">
        <f aca="false">AF156*G156</f>
        <v>2917.76</v>
      </c>
      <c r="AK156" s="50" t="n">
        <f aca="false">ROUNDUP(MAX(J156/IF(CD156&gt;0,CD156,MAX(0.1,N(Cockpit!$C$6))),CG156)/BV156,0)*BV156</f>
        <v>107</v>
      </c>
      <c r="AL156" s="51" t="n">
        <f aca="false">IF(AI156&gt;0,J156/AI156,-1)</f>
        <v>11.5741935483871</v>
      </c>
      <c r="AM156" s="51" t="n">
        <f aca="false">IF(AND(OR(CC156="L1",CC156="L23",CC156="LIFT"),AI156&gt;0),SUMIFS($AI$7:$AI$1843,$CC$7:$CC$1843,CC156,$AL$7:$AL$1843,"&gt;"&amp;AL156)+SUMIFS($AI$7:$AI$1843,$CC$7:$CC$1843,CC156,$AL$7:$AL$1843,AL156,$BT$7:$BT$1843,"&lt;="&amp;BT156),"")</f>
        <v>2541.47527472527</v>
      </c>
      <c r="AN156" s="58" t="n">
        <f aca="false">IF(AM156="",0,MAX(0,MIN(1,(IF(CC156="L1",Parameter!$H$5,IF(CC156="L23",Parameter!$H$6+Parameter!$H$7,Parameter!$H$5+Parameter!$H$6+Parameter!$H$7))-(AM156-AI156))/AI156)))</f>
        <v>1</v>
      </c>
      <c r="AO156" s="50" t="n">
        <f aca="false">IF(LEFT(Cockpit!$I$5,1)="A",H156,IF(CE156=1,CF156,IF(LEFT(Cockpit!$I$5,1)="B",AT156,MAX(AT156,H156))))</f>
        <v>107</v>
      </c>
      <c r="AP156" s="50" t="n">
        <f aca="false">IF(BW156=1,0,ROUNDUP(AO156/BV156,0))</f>
        <v>1</v>
      </c>
      <c r="AQ156" s="52" t="n">
        <f aca="false">IF(CL156&gt;0,CL156*MAX(1,AO156/X156),IF(BW156=1,IF(AO156&lt;=0,0,CA156*MAX(1,IF(H156&gt;0,AO156/H156,1))),IF(R156&gt;0,AP156/R156,0))/MAX(0.1,N(Parameter!$M$21)))</f>
        <v>0.0384615384615385</v>
      </c>
      <c r="AR156" s="50" t="n">
        <f aca="false">AQ156*BY156</f>
        <v>5.96153846153846</v>
      </c>
      <c r="AS156" s="50" t="n">
        <f aca="false">AO156*G156</f>
        <v>4878.13</v>
      </c>
      <c r="AT156" s="50" t="n">
        <f aca="false">ROUNDUP(MAX(J156/IF(CD156&gt;0,CD156,MAX(0.1,N(Cockpit!$I$6))),CG156)/BV156,0)*BV156</f>
        <v>107</v>
      </c>
      <c r="AU156" s="51" t="n">
        <f aca="false">IF(AR156&gt;0,J156/AR156,-1)</f>
        <v>11.5741935483871</v>
      </c>
      <c r="AV156" s="51" t="n">
        <f aca="false">IF(AND(OR(CC156="L1",CC156="L23",CC156="LIFT"),AR156&gt;0),SUMIFS($AR$7:$AR$1843,$CC$7:$CC$1843,CC156,$AU$7:$AU$1843,"&gt;"&amp;AU156)+SUMIFS($AR$7:$AR$1843,$CC$7:$CC$1843,CC156,$AU$7:$AU$1843,AU156,$BT$7:$BT$1843,"&lt;="&amp;BT156),"")</f>
        <v>3697.25961538462</v>
      </c>
      <c r="AW156" s="58" t="n">
        <f aca="false">IF(AV156="",0,MAX(0,MIN(1,(IF(CC156="L1",Parameter!$H$5,IF(CC156="L23",Parameter!$H$6+Parameter!$H$7,Parameter!$H$5+Parameter!$H$6+Parameter!$H$7))-(AV156-AR156))/AR156)))</f>
        <v>1</v>
      </c>
      <c r="AX156" s="50" t="n">
        <f aca="false">IF(LEFT(Cockpit!$O$5,1)="A",H156,IF(CE156=1,CF156,IF(LEFT(Cockpit!$O$5,1)="B",BC156,MAX(BC156,H156))))</f>
        <v>107</v>
      </c>
      <c r="AY156" s="50" t="n">
        <f aca="false">IF(BW156=1,0,ROUNDUP(AX156/BV156,0))</f>
        <v>1</v>
      </c>
      <c r="AZ156" s="52" t="n">
        <f aca="false">IF(CL156&gt;0,CL156*MAX(1,AX156/X156),IF(BW156=1,IF(AX156&lt;=0,0,CA156*MAX(1,IF(H156&gt;0,AX156/H156,1))),IF(R156&gt;0,AY156/R156,0))/MAX(0.1,N(Parameter!$M$21)))</f>
        <v>0.0384615384615385</v>
      </c>
      <c r="BA156" s="50" t="n">
        <f aca="false">AZ156*BY156</f>
        <v>5.96153846153846</v>
      </c>
      <c r="BB156" s="50" t="n">
        <f aca="false">AX156*G156</f>
        <v>4878.13</v>
      </c>
      <c r="BC156" s="50" t="n">
        <f aca="false">ROUNDUP(MAX(J156/IF(CD156&gt;0,CD156,MAX(0.1,N(Cockpit!$O$6))),CG156)/BV156,0)*BV156</f>
        <v>107</v>
      </c>
      <c r="BD156" s="51" t="n">
        <f aca="false">IF(BA156&gt;0,J156/BA156,-1)</f>
        <v>11.5741935483871</v>
      </c>
      <c r="BE156" s="51" t="n">
        <f aca="false">IF(AND(OR(CC156="L1",CC156="L23",CC156="LIFT"),BA156&gt;0),SUMIFS($BA$7:$BA$1843,$CC$7:$CC$1843,CC156,$BD$7:$BD$1843,"&gt;"&amp;BD156)+SUMIFS($BA$7:$BA$1843,$CC$7:$CC$1843,CC156,$BD$7:$BD$1843,BD156,$BT$7:$BT$1843,"&lt;="&amp;BT156),"")</f>
        <v>3334.96794871795</v>
      </c>
      <c r="BF156" s="58" t="n">
        <f aca="false">IF(BE156="",0,MAX(0,MIN(1,(IF(CC156="L1",Parameter!$H$5,IF(CC156="L23",Parameter!$H$6+Parameter!$H$7,Parameter!$H$5+Parameter!$H$6+Parameter!$H$7))-(BE156-BA156))/BA156)))</f>
        <v>1</v>
      </c>
      <c r="BG156" s="48" t="str">
        <f aca="false">IF(AI156&lt;=0,"",IF(CC156="Aussen","Aussenlager",IF(CC156="-","Nicht im Lift",IF(AN156&gt;=1,"Lift",IF(AN156&lt;=0,"Aussenlager","teilweise")))))</f>
        <v>Lift</v>
      </c>
      <c r="BH156" s="48" t="str">
        <f aca="false">IF(AR156&lt;=0,"",IF(CC156="Aussen","Aussenlager",IF(CC156="-","Nicht im Lift",IF(AW156&gt;=1,"Lift",IF(AW156&lt;=0,"Aussenlager","teilweise")))))</f>
        <v>Lift</v>
      </c>
      <c r="BI156" s="48" t="str">
        <f aca="false">IF(BA156&lt;=0,"",IF(CC156="Aussen","Aussenlager",IF(CC156="-","Nicht im Lift",IF(BF156&gt;=1,"Lift",IF(BF156&lt;=0,"Aussenlager","teilweise")))))</f>
        <v>Lift</v>
      </c>
      <c r="BJ156" s="48" t="str">
        <f aca="false">IF(A156="","",IF(BS156=1,"Neu; ","")&amp;IF(AND(BS156=0,BN156&lt;0),"negativer Bestand (Export "&amp;BN156&amp;"); ","")&amp;IF(J156&lt;=0,"Kein Verbrauch; ","")&amp;IF(CL156&gt;0,"Lift "&amp;W156&amp;" lt. Liftbericht (Fach "&amp;X156&amp;" Stk); ",IF(BX156=1,"Gebinde geschätzt ("&amp;T156&amp;"); ",IF(BW156=1,"Lose – Tablare geschätzt; ","")))&amp;IF(H156&gt;AT156,"Überbestand "&amp;ROUND(H156-AT156,0)&amp;" Stk / CHF "&amp;ROUND((H156-AT156)*G156,0)&amp;"; ","")&amp;IF(AND(CE156=1,CF156&lt;CG156),"MAX &lt; MB+LG; ","")&amp;IF(AND(CK156&gt;0,CJ156*10&gt;CK156),"zu hoch für Tablar; ","")&amp;IF(AND(BS156=0,OR(CE156=1,AA156&lt;&gt;"",U156&lt;&gt;"",V156&lt;&gt;"",AB156&lt;&gt;"")),"manuell übersteuert; ","")&amp;IF(AND(BW156=0,R156=0),"Gebinde unbekannt / Stellmass fehlt; ","")&amp;IF(AND(BW156=0,N(V156)&lt;=0,N(Q156)&lt;=0),"Menge pro Gebinde fehlt (Ist = 1 Gebinde); ","")&amp;BR156)</f>
        <v/>
      </c>
      <c r="BK156" s="48"/>
      <c r="BL156" s="48"/>
      <c r="BM156" s="55"/>
      <c r="BN156" s="50" t="n">
        <v>26</v>
      </c>
      <c r="BO156" s="50" t="n">
        <v>38</v>
      </c>
      <c r="BP156" s="49" t="n">
        <v>1269.7</v>
      </c>
      <c r="BQ156" s="50" t="n">
        <v>69</v>
      </c>
      <c r="BR156" s="48"/>
      <c r="BS156" s="53" t="n">
        <v>0</v>
      </c>
      <c r="BT156" s="53" t="n">
        <v>156</v>
      </c>
      <c r="BU156" s="48" t="str">
        <f aca="false">IF(U156&lt;&gt;"",UPPER(TRIM(U156)),IF(BX156=1,UPPER(VLOOKUP(T156,Parameter!$I$27:$K$29,2,0)),IF(P156="","LOSE",P156)))</f>
        <v>S51</v>
      </c>
      <c r="BV156" s="50" t="n">
        <f aca="false">IF(BU156="LOSE",1,IF(N(V156)&gt;0,V156,IF(BX156=1,MAX(1,N(VLOOKUP(T156,Parameter!$I$27:$K$29,3,0)),H156,N(N156)),IF(N(Q156)&gt;0,Q156,MAX(1,H156)))))</f>
        <v>107</v>
      </c>
      <c r="BW156" s="53" t="n">
        <f aca="false">IF(BU156="LOSE",1,0)</f>
        <v>0</v>
      </c>
      <c r="BX156" s="53" t="n">
        <f aca="false">IF(AND(U156="",OR(P156="",P156="LOSE"),T156&lt;&gt;"",N(S156)&lt;=0,ISNUMBER(MATCH(T156,Parameter!$I$27:$I$29,0))),1,0)</f>
        <v>0</v>
      </c>
      <c r="BY156" s="53" t="n">
        <f aca="false">IF(CL156&gt;0,INDEX(Parameter!$H$5:$H$7,W156)/INDEX(Parameter!$E$5:$E$7,W156),IF(AND(BW156=0,N(IFERROR(VLOOKUP(BU156,'Gebinde-Kategorie'!$A$5:$N$45,14,0),0))&gt;0),VLOOKUP(BU156,'Gebinde-Kategorie'!$A$5:$N$45,14,0)*10+Parameter!$M$23,Parameter!$M$24))</f>
        <v>155</v>
      </c>
      <c r="BZ156" s="48" t="str">
        <f aca="false">IF(AND(Parameter!$B$19="Ja",E156&lt;&gt;"",ISNUMBER(MATCH(E156,Parameter!$I$35:$I$52,0))),VLOOKUP(E156,Parameter!$I$35:$J$52,2,0),IFERROR(VLOOKUP(D156,Parameter!$A$35:$C$64,2,0),"Nein"))</f>
        <v>2+3</v>
      </c>
      <c r="CA156" s="52" t="n">
        <f aca="false">IF(BW156=0,0,IF(N(S156)&gt;0,S156,IFERROR(VLOOKUP(D156,Parameter!$A$35:$C$64,3,0)+0,0)))</f>
        <v>0</v>
      </c>
      <c r="CB156" s="48" t="n">
        <f aca="false">IF(AA156&lt;&gt;"",AA156,Z156)</f>
        <v>3</v>
      </c>
      <c r="CC156" s="48" t="str">
        <f aca="false">IF(OR(CB156=1,CB156=2,CB156=3),IF(Parameter!$E$27="Ja","LIFT",IF(CB156=1,"L1","L23")),IF(CB156="Aussen","Aussen","-"))</f>
        <v>LIFT</v>
      </c>
      <c r="CD156" s="59" t="n">
        <f aca="false">IF(N(AB156)&gt;0,AB156,0)</f>
        <v>0</v>
      </c>
      <c r="CE156" s="53" t="n">
        <f aca="false">IF(ISNUMBER(AE156),1,0)</f>
        <v>0</v>
      </c>
      <c r="CF156" s="50" t="n">
        <f aca="false">N(AE156)</f>
        <v>0</v>
      </c>
      <c r="CG156" s="50" t="n">
        <f aca="false">N(M156)+N(N156)</f>
        <v>62</v>
      </c>
      <c r="CH156" s="50" t="n">
        <f aca="false">ROUNDUP(H156/BV156,0)</f>
        <v>1</v>
      </c>
      <c r="CI156" s="50" t="n">
        <f aca="false">ROUNDUP(CF156/BV156,0)</f>
        <v>0</v>
      </c>
      <c r="CJ156" s="53" t="n">
        <f aca="false">IF(BW156=1,0,IFERROR(VLOOKUP(BU156,'Gebinde-Kategorie'!$A$5:$N$45,5,0)+0,0))</f>
        <v>11</v>
      </c>
      <c r="CK156" s="53" t="n">
        <f aca="false">IFERROR(IF(OR(CB156=1,CB156=2,CB156=3),N(INDEX(Parameter!$I$5:$I$7,CB156)),0),0)</f>
        <v>0</v>
      </c>
      <c r="CL156" s="52" t="n">
        <f aca="false">IF(AND(Parameter!$B$21="Ja",ISNUMBER(W156),N(X156)&gt;0),IFERROR(N(INDEX(Parameter!$L$5:$L$7,W156))*INDEX(Parameter!$E$5:$E$7,W156)*X156/SUMIFS($X$7:$X$1843,$W$7:$W$1843,W156),0),0)</f>
        <v>0</v>
      </c>
    </row>
    <row r="157" customFormat="false" ht="15" hidden="false" customHeight="false" outlineLevel="0" collapsed="false">
      <c r="A157" s="48" t="s">
        <v>525</v>
      </c>
      <c r="B157" s="48" t="s">
        <v>526</v>
      </c>
      <c r="C157" s="48" t="s">
        <v>168</v>
      </c>
      <c r="D157" s="48" t="s">
        <v>177</v>
      </c>
      <c r="E157" s="48" t="s">
        <v>189</v>
      </c>
      <c r="F157" s="48" t="s">
        <v>222</v>
      </c>
      <c r="G157" s="49" t="n">
        <v>421.59</v>
      </c>
      <c r="H157" s="50" t="n">
        <f aca="false">MAX(0,IF(AND(Parameter!$B$21="Ja",ISNUMBER(Y157)),Y157,IF(Parameter!$B$20="Jahresanfang 2025 + Export",BO157+BN157,BN157)))</f>
        <v>7</v>
      </c>
      <c r="I157" s="50" t="n">
        <f aca="false">H157*G157</f>
        <v>2951.13</v>
      </c>
      <c r="J157" s="50" t="n">
        <f aca="false">BQ157*Parameter!$B$18</f>
        <v>0</v>
      </c>
      <c r="K157" s="51" t="n">
        <v>5.5</v>
      </c>
      <c r="L157" s="52" t="n">
        <v>0</v>
      </c>
      <c r="M157" s="50" t="n">
        <v>0</v>
      </c>
      <c r="N157" s="50" t="n">
        <v>1</v>
      </c>
      <c r="O157" s="53" t="n">
        <v>30</v>
      </c>
      <c r="P157" s="48" t="s">
        <v>178</v>
      </c>
      <c r="Q157" s="50" t="n">
        <v>7</v>
      </c>
      <c r="R157" s="53" t="n">
        <f aca="false">IF(BW157=1,0,IFERROR(VLOOKUP(BU157,'Gebinde-Kategorie'!$A$5:$N$45,13,0)+0,0))</f>
        <v>6</v>
      </c>
      <c r="S157" s="54"/>
      <c r="T157" s="55"/>
      <c r="U157" s="55"/>
      <c r="V157" s="55"/>
      <c r="W157" s="48"/>
      <c r="X157" s="50"/>
      <c r="Y157" s="50"/>
      <c r="Z157" s="48" t="n">
        <f aca="false">IF(A157="","",IF(AND(Parameter!$B$21="Ja",ISNUMBER(W157)),W157,IF(BZ157="2+3",IF(ISNUMBER(SEARCH("grosser Artikel",BR157)),2,IFERROR(VLOOKUP(BU157,Parameter!$F$35:$G$64,2,0),2)),IF(OR(BZ157="Nein",BZ157=""),"-",BZ157))))</f>
        <v>2</v>
      </c>
      <c r="AA157" s="55"/>
      <c r="AB157" s="56"/>
      <c r="AC157" s="50" t="n">
        <f aca="false">AT157</f>
        <v>7</v>
      </c>
      <c r="AD157" s="50" t="n">
        <f aca="false">MAX(AT157,H157)</f>
        <v>7</v>
      </c>
      <c r="AE157" s="57"/>
      <c r="AF157" s="50" t="n">
        <f aca="false">IF(LEFT(Cockpit!$C$5,1)="A",H157,IF(CE157=1,CF157,IF(LEFT(Cockpit!$C$5,1)="B",AK157,MAX(AK157,H157))))</f>
        <v>7</v>
      </c>
      <c r="AG157" s="50" t="n">
        <f aca="false">IF(BW157=1,0,ROUNDUP(AF157/BV157,0))</f>
        <v>1</v>
      </c>
      <c r="AH157" s="52" t="n">
        <f aca="false">IF(CL157&gt;0,CL157*MAX(1,AF157/X157),IF(BW157=1,IF(AF157&lt;=0,0,CA157*MAX(1,IF(H157&gt;0,AF157/H157,1))),IF(R157&gt;0,AG157/R157,0))/MAX(0.1,N(Parameter!$M$21)))</f>
        <v>0.166666666666667</v>
      </c>
      <c r="AI157" s="50" t="n">
        <f aca="false">AH157*BY157</f>
        <v>39.1666666666667</v>
      </c>
      <c r="AJ157" s="50" t="n">
        <f aca="false">AF157*G157</f>
        <v>2951.13</v>
      </c>
      <c r="AK157" s="50" t="n">
        <f aca="false">ROUNDUP(MAX(J157/IF(CD157&gt;0,CD157,MAX(0.1,N(Cockpit!$C$6))),CG157)/BV157,0)*BV157</f>
        <v>7</v>
      </c>
      <c r="AL157" s="51" t="n">
        <f aca="false">IF(AI157&gt;0,J157/AI157,-1)</f>
        <v>0</v>
      </c>
      <c r="AM157" s="51" t="n">
        <f aca="false">IF(AND(OR(CC157="L1",CC157="L23",CC157="LIFT"),AI157&gt;0),SUMIFS($AI$7:$AI$1843,$CC$7:$CC$1843,CC157,$AL$7:$AL$1843,"&gt;"&amp;AL157)+SUMIFS($AI$7:$AI$1843,$CC$7:$CC$1843,CC157,$AL$7:$AL$1843,AL157,$BT$7:$BT$1843,"&lt;="&amp;BT157),"")</f>
        <v>27350.5715967178</v>
      </c>
      <c r="AN157" s="58" t="n">
        <f aca="false">IF(AM157="",0,MAX(0,MIN(1,(IF(CC157="L1",Parameter!$H$5,IF(CC157="L23",Parameter!$H$6+Parameter!$H$7,Parameter!$H$5+Parameter!$H$6+Parameter!$H$7))-(AM157-AI157))/AI157)))</f>
        <v>1</v>
      </c>
      <c r="AO157" s="50" t="n">
        <f aca="false">IF(LEFT(Cockpit!$I$5,1)="A",H157,IF(CE157=1,CF157,IF(LEFT(Cockpit!$I$5,1)="B",AT157,MAX(AT157,H157))))</f>
        <v>7</v>
      </c>
      <c r="AP157" s="50" t="n">
        <f aca="false">IF(BW157=1,0,ROUNDUP(AO157/BV157,0))</f>
        <v>1</v>
      </c>
      <c r="AQ157" s="52" t="n">
        <f aca="false">IF(CL157&gt;0,CL157*MAX(1,AO157/X157),IF(BW157=1,IF(AO157&lt;=0,0,CA157*MAX(1,IF(H157&gt;0,AO157/H157,1))),IF(R157&gt;0,AP157/R157,0))/MAX(0.1,N(Parameter!$M$21)))</f>
        <v>0.166666666666667</v>
      </c>
      <c r="AR157" s="50" t="n">
        <f aca="false">AQ157*BY157</f>
        <v>39.1666666666667</v>
      </c>
      <c r="AS157" s="50" t="n">
        <f aca="false">AO157*G157</f>
        <v>2951.13</v>
      </c>
      <c r="AT157" s="50" t="n">
        <f aca="false">ROUNDUP(MAX(J157/IF(CD157&gt;0,CD157,MAX(0.1,N(Cockpit!$I$6))),CG157)/BV157,0)*BV157</f>
        <v>7</v>
      </c>
      <c r="AU157" s="51" t="n">
        <f aca="false">IF(AR157&gt;0,J157/AR157,-1)</f>
        <v>0</v>
      </c>
      <c r="AV157" s="51" t="n">
        <f aca="false">IF(AND(OR(CC157="L1",CC157="L23",CC157="LIFT"),AR157&gt;0),SUMIFS($AR$7:$AR$1843,$CC$7:$CC$1843,CC157,$AU$7:$AU$1843,"&gt;"&amp;AU157)+SUMIFS($AR$7:$AR$1843,$CC$7:$CC$1843,CC157,$AU$7:$AU$1843,AU157,$BT$7:$BT$1843,"&lt;="&amp;BT157),"")</f>
        <v>38663.4771139877</v>
      </c>
      <c r="AW157" s="58" t="n">
        <f aca="false">IF(AV157="",0,MAX(0,MIN(1,(IF(CC157="L1",Parameter!$H$5,IF(CC157="L23",Parameter!$H$6+Parameter!$H$7,Parameter!$H$5+Parameter!$H$6+Parameter!$H$7))-(AV157-AR157))/AR157)))</f>
        <v>0</v>
      </c>
      <c r="AX157" s="50" t="n">
        <f aca="false">IF(LEFT(Cockpit!$O$5,1)="A",H157,IF(CE157=1,CF157,IF(LEFT(Cockpit!$O$5,1)="B",BC157,MAX(BC157,H157))))</f>
        <v>7</v>
      </c>
      <c r="AY157" s="50" t="n">
        <f aca="false">IF(BW157=1,0,ROUNDUP(AX157/BV157,0))</f>
        <v>1</v>
      </c>
      <c r="AZ157" s="52" t="n">
        <f aca="false">IF(CL157&gt;0,CL157*MAX(1,AX157/X157),IF(BW157=1,IF(AX157&lt;=0,0,CA157*MAX(1,IF(H157&gt;0,AX157/H157,1))),IF(R157&gt;0,AY157/R157,0))/MAX(0.1,N(Parameter!$M$21)))</f>
        <v>0.166666666666667</v>
      </c>
      <c r="BA157" s="50" t="n">
        <f aca="false">AZ157*BY157</f>
        <v>39.1666666666667</v>
      </c>
      <c r="BB157" s="50" t="n">
        <f aca="false">AX157*G157</f>
        <v>2951.13</v>
      </c>
      <c r="BC157" s="50" t="n">
        <f aca="false">ROUNDUP(MAX(J157/IF(CD157&gt;0,CD157,MAX(0.1,N(Cockpit!$O$6))),CG157)/BV157,0)*BV157</f>
        <v>7</v>
      </c>
      <c r="BD157" s="51" t="n">
        <f aca="false">IF(BA157&gt;0,J157/BA157,-1)</f>
        <v>0</v>
      </c>
      <c r="BE157" s="51" t="n">
        <f aca="false">IF(AND(OR(CC157="L1",CC157="L23",CC157="LIFT"),BA157&gt;0),SUMIFS($BA$7:$BA$1843,$CC$7:$CC$1843,CC157,$BD$7:$BD$1843,"&gt;"&amp;BD157)+SUMIFS($BA$7:$BA$1843,$CC$7:$CC$1843,CC157,$BD$7:$BD$1843,BD157,$BT$7:$BT$1843,"&lt;="&amp;BT157),"")</f>
        <v>35338.4891558536</v>
      </c>
      <c r="BF157" s="58" t="n">
        <f aca="false">IF(BE157="",0,MAX(0,MIN(1,(IF(CC157="L1",Parameter!$H$5,IF(CC157="L23",Parameter!$H$6+Parameter!$H$7,Parameter!$H$5+Parameter!$H$6+Parameter!$H$7))-(BE157-BA157))/BA157)))</f>
        <v>1</v>
      </c>
      <c r="BG157" s="48" t="str">
        <f aca="false">IF(AI157&lt;=0,"",IF(CC157="Aussen","Aussenlager",IF(CC157="-","Nicht im Lift",IF(AN157&gt;=1,"Lift",IF(AN157&lt;=0,"Aussenlager","teilweise")))))</f>
        <v>Lift</v>
      </c>
      <c r="BH157" s="48" t="str">
        <f aca="false">IF(AR157&lt;=0,"",IF(CC157="Aussen","Aussenlager",IF(CC157="-","Nicht im Lift",IF(AW157&gt;=1,"Lift",IF(AW157&lt;=0,"Aussenlager","teilweise")))))</f>
        <v>Aussenlager</v>
      </c>
      <c r="BI157" s="48" t="str">
        <f aca="false">IF(BA157&lt;=0,"",IF(CC157="Aussen","Aussenlager",IF(CC157="-","Nicht im Lift",IF(BF157&gt;=1,"Lift",IF(BF157&lt;=0,"Aussenlager","teilweise")))))</f>
        <v>Lift</v>
      </c>
      <c r="BJ157" s="48" t="str">
        <f aca="false">IF(A157="","",IF(BS157=1,"Neu; ","")&amp;IF(AND(BS157=0,BN157&lt;0),"negativer Bestand (Export "&amp;BN157&amp;"); ","")&amp;IF(J157&lt;=0,"Kein Verbrauch; ","")&amp;IF(CL157&gt;0,"Lift "&amp;W157&amp;" lt. Liftbericht (Fach "&amp;X157&amp;" Stk); ",IF(BX157=1,"Gebinde geschätzt ("&amp;T157&amp;"); ",IF(BW157=1,"Lose – Tablare geschätzt; ","")))&amp;IF(H157&gt;AT157,"Überbestand "&amp;ROUND(H157-AT157,0)&amp;" Stk / CHF "&amp;ROUND((H157-AT157)*G157,0)&amp;"; ","")&amp;IF(AND(CE157=1,CF157&lt;CG157),"MAX &lt; MB+LG; ","")&amp;IF(AND(CK157&gt;0,CJ157*10&gt;CK157),"zu hoch für Tablar; ","")&amp;IF(AND(BS157=0,OR(CE157=1,AA157&lt;&gt;"",U157&lt;&gt;"",V157&lt;&gt;"",AB157&lt;&gt;"")),"manuell übersteuert; ","")&amp;IF(AND(BW157=0,R157=0),"Gebinde unbekannt / Stellmass fehlt; ","")&amp;IF(AND(BW157=0,N(V157)&lt;=0,N(Q157)&lt;=0),"Menge pro Gebinde fehlt (Ist = 1 Gebinde); ","")&amp;BR157)</f>
        <v>Kein Verbrauch; grosser Artikel &amp; nicht im KTL</v>
      </c>
      <c r="BK157" s="48"/>
      <c r="BL157" s="48"/>
      <c r="BM157" s="55"/>
      <c r="BN157" s="50" t="n">
        <v>3</v>
      </c>
      <c r="BO157" s="50" t="n">
        <v>4</v>
      </c>
      <c r="BP157" s="49" t="n">
        <v>1264.77</v>
      </c>
      <c r="BQ157" s="50" t="n">
        <v>0</v>
      </c>
      <c r="BR157" s="48" t="s">
        <v>265</v>
      </c>
      <c r="BS157" s="53" t="n">
        <v>0</v>
      </c>
      <c r="BT157" s="53" t="n">
        <v>157</v>
      </c>
      <c r="BU157" s="48" t="str">
        <f aca="false">IF(U157&lt;&gt;"",UPPER(TRIM(U157)),IF(BX157=1,UPPER(VLOOKUP(T157,Parameter!$I$27:$K$29,2,0)),IF(P157="","LOSE",P157)))</f>
        <v>S71</v>
      </c>
      <c r="BV157" s="50" t="n">
        <f aca="false">IF(BU157="LOSE",1,IF(N(V157)&gt;0,V157,IF(BX157=1,MAX(1,N(VLOOKUP(T157,Parameter!$I$27:$K$29,3,0)),H157,N(N157)),IF(N(Q157)&gt;0,Q157,MAX(1,H157)))))</f>
        <v>7</v>
      </c>
      <c r="BW157" s="53" t="n">
        <f aca="false">IF(BU157="LOSE",1,0)</f>
        <v>0</v>
      </c>
      <c r="BX157" s="53" t="n">
        <f aca="false">IF(AND(U157="",OR(P157="",P157="LOSE"),T157&lt;&gt;"",N(S157)&lt;=0,ISNUMBER(MATCH(T157,Parameter!$I$27:$I$29,0))),1,0)</f>
        <v>0</v>
      </c>
      <c r="BY157" s="53" t="n">
        <f aca="false">IF(CL157&gt;0,INDEX(Parameter!$H$5:$H$7,W157)/INDEX(Parameter!$E$5:$E$7,W157),IF(AND(BW157=0,N(IFERROR(VLOOKUP(BU157,'Gebinde-Kategorie'!$A$5:$N$45,14,0),0))&gt;0),VLOOKUP(BU157,'Gebinde-Kategorie'!$A$5:$N$45,14,0)*10+Parameter!$M$23,Parameter!$M$24))</f>
        <v>235</v>
      </c>
      <c r="BZ157" s="48" t="str">
        <f aca="false">IF(AND(Parameter!$B$19="Ja",E157&lt;&gt;"",ISNUMBER(MATCH(E157,Parameter!$I$35:$I$52,0))),VLOOKUP(E157,Parameter!$I$35:$J$52,2,0),IFERROR(VLOOKUP(D157,Parameter!$A$35:$C$64,2,0),"Nein"))</f>
        <v>2+3</v>
      </c>
      <c r="CA157" s="52" t="n">
        <f aca="false">IF(BW157=0,0,IF(N(S157)&gt;0,S157,IFERROR(VLOOKUP(D157,Parameter!$A$35:$C$64,3,0)+0,0)))</f>
        <v>0</v>
      </c>
      <c r="CB157" s="48" t="n">
        <f aca="false">IF(AA157&lt;&gt;"",AA157,Z157)</f>
        <v>2</v>
      </c>
      <c r="CC157" s="48" t="str">
        <f aca="false">IF(OR(CB157=1,CB157=2,CB157=3),IF(Parameter!$E$27="Ja","LIFT",IF(CB157=1,"L1","L23")),IF(CB157="Aussen","Aussen","-"))</f>
        <v>LIFT</v>
      </c>
      <c r="CD157" s="59" t="n">
        <f aca="false">IF(N(AB157)&gt;0,AB157,0)</f>
        <v>0</v>
      </c>
      <c r="CE157" s="53" t="n">
        <f aca="false">IF(ISNUMBER(AE157),1,0)</f>
        <v>0</v>
      </c>
      <c r="CF157" s="50" t="n">
        <f aca="false">N(AE157)</f>
        <v>0</v>
      </c>
      <c r="CG157" s="50" t="n">
        <f aca="false">N(M157)+N(N157)</f>
        <v>1</v>
      </c>
      <c r="CH157" s="50" t="n">
        <f aca="false">ROUNDUP(H157/BV157,0)</f>
        <v>1</v>
      </c>
      <c r="CI157" s="50" t="n">
        <f aca="false">ROUNDUP(CF157/BV157,0)</f>
        <v>0</v>
      </c>
      <c r="CJ157" s="53" t="n">
        <f aca="false">IF(BW157=1,0,IFERROR(VLOOKUP(BU157,'Gebinde-Kategorie'!$A$5:$N$45,5,0)+0,0))</f>
        <v>20</v>
      </c>
      <c r="CK157" s="53" t="n">
        <f aca="false">IFERROR(IF(OR(CB157=1,CB157=2,CB157=3),N(INDEX(Parameter!$I$5:$I$7,CB157)),0),0)</f>
        <v>0</v>
      </c>
      <c r="CL157" s="52" t="n">
        <f aca="false">IF(AND(Parameter!$B$21="Ja",ISNUMBER(W157),N(X157)&gt;0),IFERROR(N(INDEX(Parameter!$L$5:$L$7,W157))*INDEX(Parameter!$E$5:$E$7,W157)*X157/SUMIFS($X$7:$X$1843,$W$7:$W$1843,W157),0),0)</f>
        <v>0</v>
      </c>
    </row>
    <row r="158" customFormat="false" ht="15" hidden="false" customHeight="false" outlineLevel="0" collapsed="false">
      <c r="A158" s="48" t="s">
        <v>527</v>
      </c>
      <c r="B158" s="48" t="s">
        <v>528</v>
      </c>
      <c r="C158" s="48" t="s">
        <v>168</v>
      </c>
      <c r="D158" s="48" t="s">
        <v>188</v>
      </c>
      <c r="E158" s="48" t="s">
        <v>189</v>
      </c>
      <c r="F158" s="48" t="s">
        <v>222</v>
      </c>
      <c r="G158" s="49" t="n">
        <v>4.82</v>
      </c>
      <c r="H158" s="50" t="n">
        <f aca="false">MAX(0,IF(AND(Parameter!$B$21="Ja",ISNUMBER(Y158)),Y158,IF(Parameter!$B$20="Jahresanfang 2025 + Export",BO158+BN158,BN158)))</f>
        <v>339</v>
      </c>
      <c r="I158" s="50" t="n">
        <f aca="false">H158*G158</f>
        <v>1633.98</v>
      </c>
      <c r="J158" s="50" t="n">
        <f aca="false">BQ158*Parameter!$B$18</f>
        <v>386</v>
      </c>
      <c r="K158" s="51" t="n">
        <v>85.5</v>
      </c>
      <c r="L158" s="52" t="n">
        <v>4.51461988304094</v>
      </c>
      <c r="M158" s="50" t="n">
        <v>15</v>
      </c>
      <c r="N158" s="50" t="n">
        <v>390</v>
      </c>
      <c r="O158" s="53" t="n">
        <v>14</v>
      </c>
      <c r="P158" s="48" t="s">
        <v>237</v>
      </c>
      <c r="Q158" s="50" t="n">
        <v>131</v>
      </c>
      <c r="R158" s="53" t="n">
        <f aca="false">IF(BW158=1,0,IFERROR(VLOOKUP(BU158,'Gebinde-Kategorie'!$A$5:$N$45,13,0)+0,0))</f>
        <v>26</v>
      </c>
      <c r="S158" s="54"/>
      <c r="T158" s="55"/>
      <c r="U158" s="55"/>
      <c r="V158" s="55"/>
      <c r="W158" s="48"/>
      <c r="X158" s="50"/>
      <c r="Y158" s="50"/>
      <c r="Z158" s="48" t="n">
        <f aca="false">IF(A158="","",IF(AND(Parameter!$B$21="Ja",ISNUMBER(W158)),W158,IF(BZ158="2+3",IF(ISNUMBER(SEARCH("grosser Artikel",BR158)),2,IFERROR(VLOOKUP(BU158,Parameter!$F$35:$G$64,2,0),2)),IF(OR(BZ158="Nein",BZ158=""),"-",BZ158))))</f>
        <v>3</v>
      </c>
      <c r="AA158" s="55"/>
      <c r="AB158" s="56"/>
      <c r="AC158" s="50" t="n">
        <f aca="false">AT158</f>
        <v>524</v>
      </c>
      <c r="AD158" s="50" t="n">
        <f aca="false">MAX(AT158,H158)</f>
        <v>524</v>
      </c>
      <c r="AE158" s="57"/>
      <c r="AF158" s="50" t="n">
        <f aca="false">IF(LEFT(Cockpit!$C$5,1)="A",H158,IF(CE158=1,CF158,IF(LEFT(Cockpit!$C$5,1)="B",AK158,MAX(AK158,H158))))</f>
        <v>339</v>
      </c>
      <c r="AG158" s="50" t="n">
        <f aca="false">IF(BW158=1,0,ROUNDUP(AF158/BV158,0))</f>
        <v>3</v>
      </c>
      <c r="AH158" s="52" t="n">
        <f aca="false">IF(CL158&gt;0,CL158*MAX(1,AF158/X158),IF(BW158=1,IF(AF158&lt;=0,0,CA158*MAX(1,IF(H158&gt;0,AF158/H158,1))),IF(R158&gt;0,AG158/R158,0))/MAX(0.1,N(Parameter!$M$21)))</f>
        <v>0.115384615384615</v>
      </c>
      <c r="AI158" s="50" t="n">
        <f aca="false">AH158*BY158</f>
        <v>28.2692307692308</v>
      </c>
      <c r="AJ158" s="50" t="n">
        <f aca="false">AF158*G158</f>
        <v>1633.98</v>
      </c>
      <c r="AK158" s="50" t="n">
        <f aca="false">ROUNDUP(MAX(J158/IF(CD158&gt;0,CD158,MAX(0.1,N(Cockpit!$C$6))),CG158)/BV158,0)*BV158</f>
        <v>524</v>
      </c>
      <c r="AL158" s="51" t="n">
        <f aca="false">IF(AI158&gt;0,J158/AI158,-1)</f>
        <v>13.6544217687075</v>
      </c>
      <c r="AM158" s="51" t="n">
        <f aca="false">IF(AND(OR(CC158="L1",CC158="L23",CC158="LIFT"),AI158&gt;0),SUMIFS($AI$7:$AI$1843,$CC$7:$CC$1843,CC158,$AL$7:$AL$1843,"&gt;"&amp;AL158)+SUMIFS($AI$7:$AI$1843,$CC$7:$CC$1843,CC158,$AL$7:$AL$1843,AL158,$BT$7:$BT$1843,"&lt;="&amp;BT158),"")</f>
        <v>2338.40750915751</v>
      </c>
      <c r="AN158" s="58" t="n">
        <f aca="false">IF(AM158="",0,MAX(0,MIN(1,(IF(CC158="L1",Parameter!$H$5,IF(CC158="L23",Parameter!$H$6+Parameter!$H$7,Parameter!$H$5+Parameter!$H$6+Parameter!$H$7))-(AM158-AI158))/AI158)))</f>
        <v>1</v>
      </c>
      <c r="AO158" s="50" t="n">
        <f aca="false">IF(LEFT(Cockpit!$I$5,1)="A",H158,IF(CE158=1,CF158,IF(LEFT(Cockpit!$I$5,1)="B",AT158,MAX(AT158,H158))))</f>
        <v>524</v>
      </c>
      <c r="AP158" s="50" t="n">
        <f aca="false">IF(BW158=1,0,ROUNDUP(AO158/BV158,0))</f>
        <v>4</v>
      </c>
      <c r="AQ158" s="52" t="n">
        <f aca="false">IF(CL158&gt;0,CL158*MAX(1,AO158/X158),IF(BW158=1,IF(AO158&lt;=0,0,CA158*MAX(1,IF(H158&gt;0,AO158/H158,1))),IF(R158&gt;0,AP158/R158,0))/MAX(0.1,N(Parameter!$M$21)))</f>
        <v>0.153846153846154</v>
      </c>
      <c r="AR158" s="50" t="n">
        <f aca="false">AQ158*BY158</f>
        <v>37.6923076923077</v>
      </c>
      <c r="AS158" s="50" t="n">
        <f aca="false">AO158*G158</f>
        <v>2525.68</v>
      </c>
      <c r="AT158" s="50" t="n">
        <f aca="false">ROUNDUP(MAX(J158/IF(CD158&gt;0,CD158,MAX(0.1,N(Cockpit!$I$6))),CG158)/BV158,0)*BV158</f>
        <v>524</v>
      </c>
      <c r="AU158" s="51" t="n">
        <f aca="false">IF(AR158&gt;0,J158/AR158,-1)</f>
        <v>10.2408163265306</v>
      </c>
      <c r="AV158" s="51" t="n">
        <f aca="false">IF(AND(OR(CC158="L1",CC158="L23",CC158="LIFT"),AR158&gt;0),SUMIFS($AR$7:$AR$1843,$CC$7:$CC$1843,CC158,$AU$7:$AU$1843,"&gt;"&amp;AU158)+SUMIFS($AR$7:$AR$1843,$CC$7:$CC$1843,CC158,$AU$7:$AU$1843,AU158,$BT$7:$BT$1843,"&lt;="&amp;BT158),"")</f>
        <v>3795.52884615385</v>
      </c>
      <c r="AW158" s="58" t="n">
        <f aca="false">IF(AV158="",0,MAX(0,MIN(1,(IF(CC158="L1",Parameter!$H$5,IF(CC158="L23",Parameter!$H$6+Parameter!$H$7,Parameter!$H$5+Parameter!$H$6+Parameter!$H$7))-(AV158-AR158))/AR158)))</f>
        <v>1</v>
      </c>
      <c r="AX158" s="50" t="n">
        <f aca="false">IF(LEFT(Cockpit!$O$5,1)="A",H158,IF(CE158=1,CF158,IF(LEFT(Cockpit!$O$5,1)="B",BC158,MAX(BC158,H158))))</f>
        <v>524</v>
      </c>
      <c r="AY158" s="50" t="n">
        <f aca="false">IF(BW158=1,0,ROUNDUP(AX158/BV158,0))</f>
        <v>4</v>
      </c>
      <c r="AZ158" s="52" t="n">
        <f aca="false">IF(CL158&gt;0,CL158*MAX(1,AX158/X158),IF(BW158=1,IF(AX158&lt;=0,0,CA158*MAX(1,IF(H158&gt;0,AX158/H158,1))),IF(R158&gt;0,AY158/R158,0))/MAX(0.1,N(Parameter!$M$21)))</f>
        <v>0.153846153846154</v>
      </c>
      <c r="BA158" s="50" t="n">
        <f aca="false">AZ158*BY158</f>
        <v>37.6923076923077</v>
      </c>
      <c r="BB158" s="50" t="n">
        <f aca="false">AX158*G158</f>
        <v>2525.68</v>
      </c>
      <c r="BC158" s="50" t="n">
        <f aca="false">ROUNDUP(MAX(J158/IF(CD158&gt;0,CD158,MAX(0.1,N(Cockpit!$O$6))),CG158)/BV158,0)*BV158</f>
        <v>524</v>
      </c>
      <c r="BD158" s="51" t="n">
        <f aca="false">IF(BA158&gt;0,J158/BA158,-1)</f>
        <v>10.2408163265306</v>
      </c>
      <c r="BE158" s="51" t="n">
        <f aca="false">IF(AND(OR(CC158="L1",CC158="L23",CC158="LIFT"),BA158&gt;0),SUMIFS($BA$7:$BA$1843,$CC$7:$CC$1843,CC158,$BD$7:$BD$1843,"&gt;"&amp;BD158)+SUMIFS($BA$7:$BA$1843,$CC$7:$CC$1843,CC158,$BD$7:$BD$1843,BD158,$BT$7:$BT$1843,"&lt;="&amp;BT158),"")</f>
        <v>3453.65384615385</v>
      </c>
      <c r="BF158" s="58" t="n">
        <f aca="false">IF(BE158="",0,MAX(0,MIN(1,(IF(CC158="L1",Parameter!$H$5,IF(CC158="L23",Parameter!$H$6+Parameter!$H$7,Parameter!$H$5+Parameter!$H$6+Parameter!$H$7))-(BE158-BA158))/BA158)))</f>
        <v>1</v>
      </c>
      <c r="BG158" s="48" t="str">
        <f aca="false">IF(AI158&lt;=0,"",IF(CC158="Aussen","Aussenlager",IF(CC158="-","Nicht im Lift",IF(AN158&gt;=1,"Lift",IF(AN158&lt;=0,"Aussenlager","teilweise")))))</f>
        <v>Lift</v>
      </c>
      <c r="BH158" s="48" t="str">
        <f aca="false">IF(AR158&lt;=0,"",IF(CC158="Aussen","Aussenlager",IF(CC158="-","Nicht im Lift",IF(AW158&gt;=1,"Lift",IF(AW158&lt;=0,"Aussenlager","teilweise")))))</f>
        <v>Lift</v>
      </c>
      <c r="BI158" s="48" t="str">
        <f aca="false">IF(BA158&lt;=0,"",IF(CC158="Aussen","Aussenlager",IF(CC158="-","Nicht im Lift",IF(BF158&gt;=1,"Lift",IF(BF158&lt;=0,"Aussenlager","teilweise")))))</f>
        <v>Lift</v>
      </c>
      <c r="BJ158" s="48" t="str">
        <f aca="false">IF(A158="","",IF(BS158=1,"Neu; ","")&amp;IF(AND(BS158=0,BN158&lt;0),"negativer Bestand (Export "&amp;BN158&amp;"); ","")&amp;IF(J158&lt;=0,"Kein Verbrauch; ","")&amp;IF(CL158&gt;0,"Lift "&amp;W158&amp;" lt. Liftbericht (Fach "&amp;X158&amp;" Stk); ",IF(BX158=1,"Gebinde geschätzt ("&amp;T158&amp;"); ",IF(BW158=1,"Lose – Tablare geschätzt; ","")))&amp;IF(H158&gt;AT158,"Überbestand "&amp;ROUND(H158-AT158,0)&amp;" Stk / CHF "&amp;ROUND((H158-AT158)*G158,0)&amp;"; ","")&amp;IF(AND(CE158=1,CF158&lt;CG158),"MAX &lt; MB+LG; ","")&amp;IF(AND(CK158&gt;0,CJ158*10&gt;CK158),"zu hoch für Tablar; ","")&amp;IF(AND(BS158=0,OR(CE158=1,AA158&lt;&gt;"",U158&lt;&gt;"",V158&lt;&gt;"",AB158&lt;&gt;"")),"manuell übersteuert; ","")&amp;IF(AND(BW158=0,R158=0),"Gebinde unbekannt / Stellmass fehlt; ","")&amp;IF(AND(BW158=0,N(V158)&lt;=0,N(Q158)&lt;=0),"Menge pro Gebinde fehlt (Ist = 1 Gebinde); ","")&amp;BR158)</f>
        <v/>
      </c>
      <c r="BK158" s="48"/>
      <c r="BL158" s="48"/>
      <c r="BM158" s="55"/>
      <c r="BN158" s="50" t="n">
        <v>259</v>
      </c>
      <c r="BO158" s="50" t="n">
        <v>80</v>
      </c>
      <c r="BP158" s="49" t="n">
        <v>1249.1</v>
      </c>
      <c r="BQ158" s="50" t="n">
        <v>386</v>
      </c>
      <c r="BR158" s="48"/>
      <c r="BS158" s="53" t="n">
        <v>0</v>
      </c>
      <c r="BT158" s="53" t="n">
        <v>158</v>
      </c>
      <c r="BU158" s="48" t="str">
        <f aca="false">IF(U158&lt;&gt;"",UPPER(TRIM(U158)),IF(BX158=1,UPPER(VLOOKUP(T158,Parameter!$I$27:$K$29,2,0)),IF(P158="","LOSE",P158)))</f>
        <v>S52</v>
      </c>
      <c r="BV158" s="50" t="n">
        <f aca="false">IF(BU158="LOSE",1,IF(N(V158)&gt;0,V158,IF(BX158=1,MAX(1,N(VLOOKUP(T158,Parameter!$I$27:$K$29,3,0)),H158,N(N158)),IF(N(Q158)&gt;0,Q158,MAX(1,H158)))))</f>
        <v>131</v>
      </c>
      <c r="BW158" s="53" t="n">
        <f aca="false">IF(BU158="LOSE",1,0)</f>
        <v>0</v>
      </c>
      <c r="BX158" s="53" t="n">
        <f aca="false">IF(AND(U158="",OR(P158="",P158="LOSE"),T158&lt;&gt;"",N(S158)&lt;=0,ISNUMBER(MATCH(T158,Parameter!$I$27:$I$29,0))),1,0)</f>
        <v>0</v>
      </c>
      <c r="BY158" s="53" t="n">
        <f aca="false">IF(CL158&gt;0,INDEX(Parameter!$H$5:$H$7,W158)/INDEX(Parameter!$E$5:$E$7,W158),IF(AND(BW158=0,N(IFERROR(VLOOKUP(BU158,'Gebinde-Kategorie'!$A$5:$N$45,14,0),0))&gt;0),VLOOKUP(BU158,'Gebinde-Kategorie'!$A$5:$N$45,14,0)*10+Parameter!$M$23,Parameter!$M$24))</f>
        <v>245</v>
      </c>
      <c r="BZ158" s="48" t="str">
        <f aca="false">IF(AND(Parameter!$B$19="Ja",E158&lt;&gt;"",ISNUMBER(MATCH(E158,Parameter!$I$35:$I$52,0))),VLOOKUP(E158,Parameter!$I$35:$J$52,2,0),IFERROR(VLOOKUP(D158,Parameter!$A$35:$C$64,2,0),"Nein"))</f>
        <v>2+3</v>
      </c>
      <c r="CA158" s="52" t="n">
        <f aca="false">IF(BW158=0,0,IF(N(S158)&gt;0,S158,IFERROR(VLOOKUP(D158,Parameter!$A$35:$C$64,3,0)+0,0)))</f>
        <v>0</v>
      </c>
      <c r="CB158" s="48" t="n">
        <f aca="false">IF(AA158&lt;&gt;"",AA158,Z158)</f>
        <v>3</v>
      </c>
      <c r="CC158" s="48" t="str">
        <f aca="false">IF(OR(CB158=1,CB158=2,CB158=3),IF(Parameter!$E$27="Ja","LIFT",IF(CB158=1,"L1","L23")),IF(CB158="Aussen","Aussen","-"))</f>
        <v>LIFT</v>
      </c>
      <c r="CD158" s="59" t="n">
        <f aca="false">IF(N(AB158)&gt;0,AB158,0)</f>
        <v>0</v>
      </c>
      <c r="CE158" s="53" t="n">
        <f aca="false">IF(ISNUMBER(AE158),1,0)</f>
        <v>0</v>
      </c>
      <c r="CF158" s="50" t="n">
        <f aca="false">N(AE158)</f>
        <v>0</v>
      </c>
      <c r="CG158" s="50" t="n">
        <f aca="false">N(M158)+N(N158)</f>
        <v>405</v>
      </c>
      <c r="CH158" s="50" t="n">
        <f aca="false">ROUNDUP(H158/BV158,0)</f>
        <v>3</v>
      </c>
      <c r="CI158" s="50" t="n">
        <f aca="false">ROUNDUP(CF158/BV158,0)</f>
        <v>0</v>
      </c>
      <c r="CJ158" s="53" t="n">
        <f aca="false">IF(BW158=1,0,IFERROR(VLOOKUP(BU158,'Gebinde-Kategorie'!$A$5:$N$45,5,0)+0,0))</f>
        <v>21</v>
      </c>
      <c r="CK158" s="53" t="n">
        <f aca="false">IFERROR(IF(OR(CB158=1,CB158=2,CB158=3),N(INDEX(Parameter!$I$5:$I$7,CB158)),0),0)</f>
        <v>0</v>
      </c>
      <c r="CL158" s="52" t="n">
        <f aca="false">IF(AND(Parameter!$B$21="Ja",ISNUMBER(W158),N(X158)&gt;0),IFERROR(N(INDEX(Parameter!$L$5:$L$7,W158))*INDEX(Parameter!$E$5:$E$7,W158)*X158/SUMIFS($X$7:$X$1843,$W$7:$W$1843,W158),0),0)</f>
        <v>0</v>
      </c>
    </row>
    <row r="159" customFormat="false" ht="15" hidden="false" customHeight="false" outlineLevel="0" collapsed="false">
      <c r="A159" s="48" t="s">
        <v>529</v>
      </c>
      <c r="B159" s="48" t="s">
        <v>530</v>
      </c>
      <c r="C159" s="48" t="s">
        <v>168</v>
      </c>
      <c r="D159" s="48" t="s">
        <v>177</v>
      </c>
      <c r="E159" s="48"/>
      <c r="F159" s="48" t="s">
        <v>222</v>
      </c>
      <c r="G159" s="49" t="n">
        <v>103.6</v>
      </c>
      <c r="H159" s="50" t="n">
        <f aca="false">MAX(0,IF(AND(Parameter!$B$21="Ja",ISNUMBER(Y159)),Y159,IF(Parameter!$B$20="Jahresanfang 2025 + Export",BO159+BN159,BN159)))</f>
        <v>45</v>
      </c>
      <c r="I159" s="50" t="n">
        <f aca="false">H159*G159</f>
        <v>4662</v>
      </c>
      <c r="J159" s="50" t="n">
        <f aca="false">BQ159*Parameter!$B$18</f>
        <v>151</v>
      </c>
      <c r="K159" s="51" t="n">
        <v>35.5</v>
      </c>
      <c r="L159" s="52" t="n">
        <v>4.25352112676056</v>
      </c>
      <c r="M159" s="50" t="n">
        <v>15</v>
      </c>
      <c r="N159" s="50" t="n">
        <v>55</v>
      </c>
      <c r="O159" s="53" t="n">
        <v>28</v>
      </c>
      <c r="P159" s="48" t="s">
        <v>172</v>
      </c>
      <c r="Q159" s="50"/>
      <c r="R159" s="53" t="n">
        <f aca="false">IF(BW159=1,0,IFERROR(VLOOKUP(BU159,'Gebinde-Kategorie'!$A$5:$N$45,13,0)+0,0))</f>
        <v>12</v>
      </c>
      <c r="S159" s="54"/>
      <c r="T159" s="55" t="s">
        <v>183</v>
      </c>
      <c r="U159" s="55"/>
      <c r="V159" s="55"/>
      <c r="W159" s="48"/>
      <c r="X159" s="50"/>
      <c r="Y159" s="50"/>
      <c r="Z159" s="48" t="n">
        <f aca="false">IF(A159="","",IF(AND(Parameter!$B$21="Ja",ISNUMBER(W159)),W159,IF(BZ159="2+3",IF(ISNUMBER(SEARCH("grosser Artikel",BR159)),2,IFERROR(VLOOKUP(BU159,Parameter!$F$35:$G$64,2,0),2)),IF(OR(BZ159="Nein",BZ159=""),"-",BZ159))))</f>
        <v>2</v>
      </c>
      <c r="AA159" s="55"/>
      <c r="AB159" s="56"/>
      <c r="AC159" s="50" t="n">
        <f aca="false">AT159</f>
        <v>110</v>
      </c>
      <c r="AD159" s="50" t="n">
        <f aca="false">MAX(AT159,H159)</f>
        <v>110</v>
      </c>
      <c r="AE159" s="57"/>
      <c r="AF159" s="50" t="n">
        <f aca="false">IF(LEFT(Cockpit!$C$5,1)="A",H159,IF(CE159=1,CF159,IF(LEFT(Cockpit!$C$5,1)="B",AK159,MAX(AK159,H159))))</f>
        <v>45</v>
      </c>
      <c r="AG159" s="50" t="n">
        <f aca="false">IF(BW159=1,0,ROUNDUP(AF159/BV159,0))</f>
        <v>1</v>
      </c>
      <c r="AH159" s="52" t="n">
        <f aca="false">IF(CL159&gt;0,CL159*MAX(1,AF159/X159),IF(BW159=1,IF(AF159&lt;=0,0,CA159*MAX(1,IF(H159&gt;0,AF159/H159,1))),IF(R159&gt;0,AG159/R159,0))/MAX(0.1,N(Parameter!$M$21)))</f>
        <v>0.0833333333333333</v>
      </c>
      <c r="AI159" s="50" t="n">
        <f aca="false">AH159*BY159</f>
        <v>12.0833333333333</v>
      </c>
      <c r="AJ159" s="50" t="n">
        <f aca="false">AF159*G159</f>
        <v>4662</v>
      </c>
      <c r="AK159" s="50" t="n">
        <f aca="false">ROUNDUP(MAX(J159/IF(CD159&gt;0,CD159,MAX(0.1,N(Cockpit!$C$6))),CG159)/BV159,0)*BV159</f>
        <v>110</v>
      </c>
      <c r="AL159" s="51" t="n">
        <f aca="false">IF(AI159&gt;0,J159/AI159,-1)</f>
        <v>12.4965517241379</v>
      </c>
      <c r="AM159" s="51" t="n">
        <f aca="false">IF(AND(OR(CC159="L1",CC159="L23",CC159="LIFT"),AI159&gt;0),SUMIFS($AI$7:$AI$1843,$CC$7:$CC$1843,CC159,$AL$7:$AL$1843,"&gt;"&amp;AL159)+SUMIFS($AI$7:$AI$1843,$CC$7:$CC$1843,CC159,$AL$7:$AL$1843,AL159,$BT$7:$BT$1843,"&lt;="&amp;BT159),"")</f>
        <v>2450.46428571429</v>
      </c>
      <c r="AN159" s="58" t="n">
        <f aca="false">IF(AM159="",0,MAX(0,MIN(1,(IF(CC159="L1",Parameter!$H$5,IF(CC159="L23",Parameter!$H$6+Parameter!$H$7,Parameter!$H$5+Parameter!$H$6+Parameter!$H$7))-(AM159-AI159))/AI159)))</f>
        <v>1</v>
      </c>
      <c r="AO159" s="50" t="n">
        <f aca="false">IF(LEFT(Cockpit!$I$5,1)="A",H159,IF(CE159=1,CF159,IF(LEFT(Cockpit!$I$5,1)="B",AT159,MAX(AT159,H159))))</f>
        <v>110</v>
      </c>
      <c r="AP159" s="50" t="n">
        <f aca="false">IF(BW159=1,0,ROUNDUP(AO159/BV159,0))</f>
        <v>2</v>
      </c>
      <c r="AQ159" s="52" t="n">
        <f aca="false">IF(CL159&gt;0,CL159*MAX(1,AO159/X159),IF(BW159=1,IF(AO159&lt;=0,0,CA159*MAX(1,IF(H159&gt;0,AO159/H159,1))),IF(R159&gt;0,AP159/R159,0))/MAX(0.1,N(Parameter!$M$21)))</f>
        <v>0.166666666666667</v>
      </c>
      <c r="AR159" s="50" t="n">
        <f aca="false">AQ159*BY159</f>
        <v>24.1666666666667</v>
      </c>
      <c r="AS159" s="50" t="n">
        <f aca="false">AO159*G159</f>
        <v>11396</v>
      </c>
      <c r="AT159" s="50" t="n">
        <f aca="false">ROUNDUP(MAX(J159/IF(CD159&gt;0,CD159,MAX(0.1,N(Cockpit!$I$6))),CG159)/BV159,0)*BV159</f>
        <v>110</v>
      </c>
      <c r="AU159" s="51" t="n">
        <f aca="false">IF(AR159&gt;0,J159/AR159,-1)</f>
        <v>6.24827586206897</v>
      </c>
      <c r="AV159" s="51" t="n">
        <f aca="false">IF(AND(OR(CC159="L1",CC159="L23",CC159="LIFT"),AR159&gt;0),SUMIFS($AR$7:$AR$1843,$CC$7:$CC$1843,CC159,$AU$7:$AU$1843,"&gt;"&amp;AU159)+SUMIFS($AR$7:$AR$1843,$CC$7:$CC$1843,CC159,$AU$7:$AU$1843,AU159,$BT$7:$BT$1843,"&lt;="&amp;BT159),"")</f>
        <v>4577.47847985348</v>
      </c>
      <c r="AW159" s="58" t="n">
        <f aca="false">IF(AV159="",0,MAX(0,MIN(1,(IF(CC159="L1",Parameter!$H$5,IF(CC159="L23",Parameter!$H$6+Parameter!$H$7,Parameter!$H$5+Parameter!$H$6+Parameter!$H$7))-(AV159-AR159))/AR159)))</f>
        <v>1</v>
      </c>
      <c r="AX159" s="50" t="n">
        <f aca="false">IF(LEFT(Cockpit!$O$5,1)="A",H159,IF(CE159=1,CF159,IF(LEFT(Cockpit!$O$5,1)="B",BC159,MAX(BC159,H159))))</f>
        <v>110</v>
      </c>
      <c r="AY159" s="50" t="n">
        <f aca="false">IF(BW159=1,0,ROUNDUP(AX159/BV159,0))</f>
        <v>2</v>
      </c>
      <c r="AZ159" s="52" t="n">
        <f aca="false">IF(CL159&gt;0,CL159*MAX(1,AX159/X159),IF(BW159=1,IF(AX159&lt;=0,0,CA159*MAX(1,IF(H159&gt;0,AX159/H159,1))),IF(R159&gt;0,AY159/R159,0))/MAX(0.1,N(Parameter!$M$21)))</f>
        <v>0.166666666666667</v>
      </c>
      <c r="BA159" s="50" t="n">
        <f aca="false">AZ159*BY159</f>
        <v>24.1666666666667</v>
      </c>
      <c r="BB159" s="50" t="n">
        <f aca="false">AX159*G159</f>
        <v>11396</v>
      </c>
      <c r="BC159" s="50" t="n">
        <f aca="false">ROUNDUP(MAX(J159/IF(CD159&gt;0,CD159,MAX(0.1,N(Cockpit!$O$6))),CG159)/BV159,0)*BV159</f>
        <v>110</v>
      </c>
      <c r="BD159" s="51" t="n">
        <f aca="false">IF(BA159&gt;0,J159/BA159,-1)</f>
        <v>6.24827586206897</v>
      </c>
      <c r="BE159" s="51" t="n">
        <f aca="false">IF(AND(OR(CC159="L1",CC159="L23",CC159="LIFT"),BA159&gt;0),SUMIFS($BA$7:$BA$1843,$CC$7:$CC$1843,CC159,$BD$7:$BD$1843,"&gt;"&amp;BD159)+SUMIFS($BA$7:$BA$1843,$CC$7:$CC$1843,CC159,$BD$7:$BD$1843,BD159,$BT$7:$BT$1843,"&lt;="&amp;BT159),"")</f>
        <v>4368.77655677656</v>
      </c>
      <c r="BF159" s="58" t="n">
        <f aca="false">IF(BE159="",0,MAX(0,MIN(1,(IF(CC159="L1",Parameter!$H$5,IF(CC159="L23",Parameter!$H$6+Parameter!$H$7,Parameter!$H$5+Parameter!$H$6+Parameter!$H$7))-(BE159-BA159))/BA159)))</f>
        <v>1</v>
      </c>
      <c r="BG159" s="48" t="str">
        <f aca="false">IF(AI159&lt;=0,"",IF(CC159="Aussen","Aussenlager",IF(CC159="-","Nicht im Lift",IF(AN159&gt;=1,"Lift",IF(AN159&lt;=0,"Aussenlager","teilweise")))))</f>
        <v>Lift</v>
      </c>
      <c r="BH159" s="48" t="str">
        <f aca="false">IF(AR159&lt;=0,"",IF(CC159="Aussen","Aussenlager",IF(CC159="-","Nicht im Lift",IF(AW159&gt;=1,"Lift",IF(AW159&lt;=0,"Aussenlager","teilweise")))))</f>
        <v>Lift</v>
      </c>
      <c r="BI159" s="48" t="str">
        <f aca="false">IF(BA159&lt;=0,"",IF(CC159="Aussen","Aussenlager",IF(CC159="-","Nicht im Lift",IF(BF159&gt;=1,"Lift",IF(BF159&lt;=0,"Aussenlager","teilweise")))))</f>
        <v>Lift</v>
      </c>
      <c r="BJ159" s="48" t="str">
        <f aca="false">IF(A159="","",IF(BS159=1,"Neu; ","")&amp;IF(AND(BS159=0,BN159&lt;0),"negativer Bestand (Export "&amp;BN159&amp;"); ","")&amp;IF(J159&lt;=0,"Kein Verbrauch; ","")&amp;IF(CL159&gt;0,"Lift "&amp;W159&amp;" lt. Liftbericht (Fach "&amp;X159&amp;" Stk); ",IF(BX159=1,"Gebinde geschätzt ("&amp;T159&amp;"); ",IF(BW159=1,"Lose – Tablare geschätzt; ","")))&amp;IF(H159&gt;AT159,"Überbestand "&amp;ROUND(H159-AT159,0)&amp;" Stk / CHF "&amp;ROUND((H159-AT159)*G159,0)&amp;"; ","")&amp;IF(AND(CE159=1,CF159&lt;CG159),"MAX &lt; MB+LG; ","")&amp;IF(AND(CK159&gt;0,CJ159*10&gt;CK159),"zu hoch für Tablar; ","")&amp;IF(AND(BS159=0,OR(CE159=1,AA159&lt;&gt;"",U159&lt;&gt;"",V159&lt;&gt;"",AB159&lt;&gt;"")),"manuell übersteuert; ","")&amp;IF(AND(BW159=0,R159=0),"Gebinde unbekannt / Stellmass fehlt; ","")&amp;IF(AND(BW159=0,N(V159)&lt;=0,N(Q159)&lt;=0),"Menge pro Gebinde fehlt (Ist = 1 Gebinde); ","")&amp;BR159)</f>
        <v>Gebinde geschätzt (Mittel); Menge pro Gebinde fehlt (Ist = 1 Gebinde); </v>
      </c>
      <c r="BK159" s="48"/>
      <c r="BL159" s="48"/>
      <c r="BM159" s="55"/>
      <c r="BN159" s="50" t="n">
        <v>14</v>
      </c>
      <c r="BO159" s="50" t="n">
        <v>31</v>
      </c>
      <c r="BP159" s="49" t="n">
        <v>1244.25</v>
      </c>
      <c r="BQ159" s="50" t="n">
        <v>151</v>
      </c>
      <c r="BR159" s="48"/>
      <c r="BS159" s="53" t="n">
        <v>0</v>
      </c>
      <c r="BT159" s="53" t="n">
        <v>159</v>
      </c>
      <c r="BU159" s="48" t="str">
        <f aca="false">IF(U159&lt;&gt;"",UPPER(TRIM(U159)),IF(BX159=1,UPPER(VLOOKUP(T159,Parameter!$I$27:$K$29,2,0)),IF(P159="","LOSE",P159)))</f>
        <v>S61</v>
      </c>
      <c r="BV159" s="50" t="n">
        <f aca="false">IF(BU159="LOSE",1,IF(N(V159)&gt;0,V159,IF(BX159=1,MAX(1,N(VLOOKUP(T159,Parameter!$I$27:$K$29,3,0)),H159,N(N159)),IF(N(Q159)&gt;0,Q159,MAX(1,H159)))))</f>
        <v>55</v>
      </c>
      <c r="BW159" s="53" t="n">
        <f aca="false">IF(BU159="LOSE",1,0)</f>
        <v>0</v>
      </c>
      <c r="BX159" s="53" t="n">
        <f aca="false">IF(AND(U159="",OR(P159="",P159="LOSE"),T159&lt;&gt;"",N(S159)&lt;=0,ISNUMBER(MATCH(T159,Parameter!$I$27:$I$29,0))),1,0)</f>
        <v>1</v>
      </c>
      <c r="BY159" s="53" t="n">
        <f aca="false">IF(CL159&gt;0,INDEX(Parameter!$H$5:$H$7,W159)/INDEX(Parameter!$E$5:$E$7,W159),IF(AND(BW159=0,N(IFERROR(VLOOKUP(BU159,'Gebinde-Kategorie'!$A$5:$N$45,14,0),0))&gt;0),VLOOKUP(BU159,'Gebinde-Kategorie'!$A$5:$N$45,14,0)*10+Parameter!$M$23,Parameter!$M$24))</f>
        <v>145</v>
      </c>
      <c r="BZ159" s="48" t="str">
        <f aca="false">IF(AND(Parameter!$B$19="Ja",E159&lt;&gt;"",ISNUMBER(MATCH(E159,Parameter!$I$35:$I$52,0))),VLOOKUP(E159,Parameter!$I$35:$J$52,2,0),IFERROR(VLOOKUP(D159,Parameter!$A$35:$C$64,2,0),"Nein"))</f>
        <v>2+3</v>
      </c>
      <c r="CA159" s="52" t="n">
        <f aca="false">IF(BW159=0,0,IF(N(S159)&gt;0,S159,IFERROR(VLOOKUP(D159,Parameter!$A$35:$C$64,3,0)+0,0)))</f>
        <v>0</v>
      </c>
      <c r="CB159" s="48" t="n">
        <f aca="false">IF(AA159&lt;&gt;"",AA159,Z159)</f>
        <v>2</v>
      </c>
      <c r="CC159" s="48" t="str">
        <f aca="false">IF(OR(CB159=1,CB159=2,CB159=3),IF(Parameter!$E$27="Ja","LIFT",IF(CB159=1,"L1","L23")),IF(CB159="Aussen","Aussen","-"))</f>
        <v>LIFT</v>
      </c>
      <c r="CD159" s="59" t="n">
        <f aca="false">IF(N(AB159)&gt;0,AB159,0)</f>
        <v>0</v>
      </c>
      <c r="CE159" s="53" t="n">
        <f aca="false">IF(ISNUMBER(AE159),1,0)</f>
        <v>0</v>
      </c>
      <c r="CF159" s="50" t="n">
        <f aca="false">N(AE159)</f>
        <v>0</v>
      </c>
      <c r="CG159" s="50" t="n">
        <f aca="false">N(M159)+N(N159)</f>
        <v>70</v>
      </c>
      <c r="CH159" s="50" t="n">
        <f aca="false">ROUNDUP(H159/BV159,0)</f>
        <v>1</v>
      </c>
      <c r="CI159" s="50" t="n">
        <f aca="false">ROUNDUP(CF159/BV159,0)</f>
        <v>0</v>
      </c>
      <c r="CJ159" s="53" t="n">
        <f aca="false">IF(BW159=1,0,IFERROR(VLOOKUP(BU159,'Gebinde-Kategorie'!$A$5:$N$45,5,0)+0,0))</f>
        <v>11</v>
      </c>
      <c r="CK159" s="53" t="n">
        <f aca="false">IFERROR(IF(OR(CB159=1,CB159=2,CB159=3),N(INDEX(Parameter!$I$5:$I$7,CB159)),0),0)</f>
        <v>0</v>
      </c>
      <c r="CL159" s="52" t="n">
        <f aca="false">IF(AND(Parameter!$B$21="Ja",ISNUMBER(W159),N(X159)&gt;0),IFERROR(N(INDEX(Parameter!$L$5:$L$7,W159))*INDEX(Parameter!$E$5:$E$7,W159)*X159/SUMIFS($X$7:$X$1843,$W$7:$W$1843,W159),0),0)</f>
        <v>0</v>
      </c>
    </row>
    <row r="160" customFormat="false" ht="15" hidden="false" customHeight="false" outlineLevel="0" collapsed="false">
      <c r="A160" s="48" t="s">
        <v>531</v>
      </c>
      <c r="B160" s="48" t="s">
        <v>387</v>
      </c>
      <c r="C160" s="48" t="s">
        <v>168</v>
      </c>
      <c r="D160" s="48" t="s">
        <v>188</v>
      </c>
      <c r="E160" s="48" t="s">
        <v>189</v>
      </c>
      <c r="F160" s="48" t="s">
        <v>222</v>
      </c>
      <c r="G160" s="49" t="n">
        <v>598.49</v>
      </c>
      <c r="H160" s="50" t="n">
        <f aca="false">MAX(0,IF(AND(Parameter!$B$21="Ja",ISNUMBER(Y160)),Y160,IF(Parameter!$B$20="Jahresanfang 2025 + Export",BO160+BN160,BN160)))</f>
        <v>7</v>
      </c>
      <c r="I160" s="50" t="n">
        <f aca="false">H160*G160</f>
        <v>4189.43</v>
      </c>
      <c r="J160" s="50" t="n">
        <f aca="false">BQ160*Parameter!$B$18</f>
        <v>21</v>
      </c>
      <c r="K160" s="51" t="n">
        <v>6.5</v>
      </c>
      <c r="L160" s="52" t="n">
        <v>3.23076923076923</v>
      </c>
      <c r="M160" s="50" t="n">
        <v>1</v>
      </c>
      <c r="N160" s="50" t="n">
        <v>1</v>
      </c>
      <c r="O160" s="53" t="n">
        <v>14</v>
      </c>
      <c r="P160" s="48" t="s">
        <v>178</v>
      </c>
      <c r="Q160" s="50" t="n">
        <v>12</v>
      </c>
      <c r="R160" s="53" t="n">
        <f aca="false">IF(BW160=1,0,IFERROR(VLOOKUP(BU160,'Gebinde-Kategorie'!$A$5:$N$45,13,0)+0,0))</f>
        <v>6</v>
      </c>
      <c r="S160" s="54"/>
      <c r="T160" s="55"/>
      <c r="U160" s="55"/>
      <c r="V160" s="55"/>
      <c r="W160" s="48"/>
      <c r="X160" s="50"/>
      <c r="Y160" s="50"/>
      <c r="Z160" s="48" t="n">
        <f aca="false">IF(A160="","",IF(AND(Parameter!$B$21="Ja",ISNUMBER(W160)),W160,IF(BZ160="2+3",IF(ISNUMBER(SEARCH("grosser Artikel",BR160)),2,IFERROR(VLOOKUP(BU160,Parameter!$F$35:$G$64,2,0),2)),IF(OR(BZ160="Nein",BZ160=""),"-",BZ160))))</f>
        <v>2</v>
      </c>
      <c r="AA160" s="55"/>
      <c r="AB160" s="56"/>
      <c r="AC160" s="50" t="n">
        <f aca="false">AT160</f>
        <v>12</v>
      </c>
      <c r="AD160" s="50" t="n">
        <f aca="false">MAX(AT160,H160)</f>
        <v>12</v>
      </c>
      <c r="AE160" s="57"/>
      <c r="AF160" s="50" t="n">
        <f aca="false">IF(LEFT(Cockpit!$C$5,1)="A",H160,IF(CE160=1,CF160,IF(LEFT(Cockpit!$C$5,1)="B",AK160,MAX(AK160,H160))))</f>
        <v>7</v>
      </c>
      <c r="AG160" s="50" t="n">
        <f aca="false">IF(BW160=1,0,ROUNDUP(AF160/BV160,0))</f>
        <v>1</v>
      </c>
      <c r="AH160" s="52" t="n">
        <f aca="false">IF(CL160&gt;0,CL160*MAX(1,AF160/X160),IF(BW160=1,IF(AF160&lt;=0,0,CA160*MAX(1,IF(H160&gt;0,AF160/H160,1))),IF(R160&gt;0,AG160/R160,0))/MAX(0.1,N(Parameter!$M$21)))</f>
        <v>0.166666666666667</v>
      </c>
      <c r="AI160" s="50" t="n">
        <f aca="false">AH160*BY160</f>
        <v>39.1666666666667</v>
      </c>
      <c r="AJ160" s="50" t="n">
        <f aca="false">AF160*G160</f>
        <v>4189.43</v>
      </c>
      <c r="AK160" s="50" t="n">
        <f aca="false">ROUNDUP(MAX(J160/IF(CD160&gt;0,CD160,MAX(0.1,N(Cockpit!$C$6))),CG160)/BV160,0)*BV160</f>
        <v>12</v>
      </c>
      <c r="AL160" s="51" t="n">
        <f aca="false">IF(AI160&gt;0,J160/AI160,-1)</f>
        <v>0.536170212765957</v>
      </c>
      <c r="AM160" s="51" t="n">
        <f aca="false">IF(AND(OR(CC160="L1",CC160="L23",CC160="LIFT"),AI160&gt;0),SUMIFS($AI$7:$AI$1843,$CC$7:$CC$1843,CC160,$AL$7:$AL$1843,"&gt;"&amp;AL160)+SUMIFS($AI$7:$AI$1843,$CC$7:$CC$1843,CC160,$AL$7:$AL$1843,AL160,$BT$7:$BT$1843,"&lt;="&amp;BT160),"")</f>
        <v>9500.20922062871</v>
      </c>
      <c r="AN160" s="58" t="n">
        <f aca="false">IF(AM160="",0,MAX(0,MIN(1,(IF(CC160="L1",Parameter!$H$5,IF(CC160="L23",Parameter!$H$6+Parameter!$H$7,Parameter!$H$5+Parameter!$H$6+Parameter!$H$7))-(AM160-AI160))/AI160)))</f>
        <v>1</v>
      </c>
      <c r="AO160" s="50" t="n">
        <f aca="false">IF(LEFT(Cockpit!$I$5,1)="A",H160,IF(CE160=1,CF160,IF(LEFT(Cockpit!$I$5,1)="B",AT160,MAX(AT160,H160))))</f>
        <v>12</v>
      </c>
      <c r="AP160" s="50" t="n">
        <f aca="false">IF(BW160=1,0,ROUNDUP(AO160/BV160,0))</f>
        <v>1</v>
      </c>
      <c r="AQ160" s="52" t="n">
        <f aca="false">IF(CL160&gt;0,CL160*MAX(1,AO160/X160),IF(BW160=1,IF(AO160&lt;=0,0,CA160*MAX(1,IF(H160&gt;0,AO160/H160,1))),IF(R160&gt;0,AP160/R160,0))/MAX(0.1,N(Parameter!$M$21)))</f>
        <v>0.166666666666667</v>
      </c>
      <c r="AR160" s="50" t="n">
        <f aca="false">AQ160*BY160</f>
        <v>39.1666666666667</v>
      </c>
      <c r="AS160" s="50" t="n">
        <f aca="false">AO160*G160</f>
        <v>7181.88</v>
      </c>
      <c r="AT160" s="50" t="n">
        <f aca="false">ROUNDUP(MAX(J160/IF(CD160&gt;0,CD160,MAX(0.1,N(Cockpit!$I$6))),CG160)/BV160,0)*BV160</f>
        <v>12</v>
      </c>
      <c r="AU160" s="51" t="n">
        <f aca="false">IF(AR160&gt;0,J160/AR160,-1)</f>
        <v>0.536170212765957</v>
      </c>
      <c r="AV160" s="51" t="n">
        <f aca="false">IF(AND(OR(CC160="L1",CC160="L23",CC160="LIFT"),AR160&gt;0),SUMIFS($AR$7:$AR$1843,$CC$7:$CC$1843,CC160,$AU$7:$AU$1843,"&gt;"&amp;AU160)+SUMIFS($AR$7:$AR$1843,$CC$7:$CC$1843,CC160,$AU$7:$AU$1843,AU160,$BT$7:$BT$1843,"&lt;="&amp;BT160),"")</f>
        <v>13967.1607142857</v>
      </c>
      <c r="AW160" s="58" t="n">
        <f aca="false">IF(AV160="",0,MAX(0,MIN(1,(IF(CC160="L1",Parameter!$H$5,IF(CC160="L23",Parameter!$H$6+Parameter!$H$7,Parameter!$H$5+Parameter!$H$6+Parameter!$H$7))-(AV160-AR160))/AR160)))</f>
        <v>1</v>
      </c>
      <c r="AX160" s="50" t="n">
        <f aca="false">IF(LEFT(Cockpit!$O$5,1)="A",H160,IF(CE160=1,CF160,IF(LEFT(Cockpit!$O$5,1)="B",BC160,MAX(BC160,H160))))</f>
        <v>12</v>
      </c>
      <c r="AY160" s="50" t="n">
        <f aca="false">IF(BW160=1,0,ROUNDUP(AX160/BV160,0))</f>
        <v>1</v>
      </c>
      <c r="AZ160" s="52" t="n">
        <f aca="false">IF(CL160&gt;0,CL160*MAX(1,AX160/X160),IF(BW160=1,IF(AX160&lt;=0,0,CA160*MAX(1,IF(H160&gt;0,AX160/H160,1))),IF(R160&gt;0,AY160/R160,0))/MAX(0.1,N(Parameter!$M$21)))</f>
        <v>0.166666666666667</v>
      </c>
      <c r="BA160" s="50" t="n">
        <f aca="false">AZ160*BY160</f>
        <v>39.1666666666667</v>
      </c>
      <c r="BB160" s="50" t="n">
        <f aca="false">AX160*G160</f>
        <v>7181.88</v>
      </c>
      <c r="BC160" s="50" t="n">
        <f aca="false">ROUNDUP(MAX(J160/IF(CD160&gt;0,CD160,MAX(0.1,N(Cockpit!$O$6))),CG160)/BV160,0)*BV160</f>
        <v>12</v>
      </c>
      <c r="BD160" s="51" t="n">
        <f aca="false">IF(BA160&gt;0,J160/BA160,-1)</f>
        <v>0.536170212765957</v>
      </c>
      <c r="BE160" s="51" t="n">
        <f aca="false">IF(AND(OR(CC160="L1",CC160="L23",CC160="LIFT"),BA160&gt;0),SUMIFS($BA$7:$BA$1843,$CC$7:$CC$1843,CC160,$BD$7:$BD$1843,"&gt;"&amp;BD160)+SUMIFS($BA$7:$BA$1843,$CC$7:$CC$1843,CC160,$BD$7:$BD$1843,BD160,$BT$7:$BT$1843,"&lt;="&amp;BT160),"")</f>
        <v>12962.8177655678</v>
      </c>
      <c r="BF160" s="58" t="n">
        <f aca="false">IF(BE160="",0,MAX(0,MIN(1,(IF(CC160="L1",Parameter!$H$5,IF(CC160="L23",Parameter!$H$6+Parameter!$H$7,Parameter!$H$5+Parameter!$H$6+Parameter!$H$7))-(BE160-BA160))/BA160)))</f>
        <v>1</v>
      </c>
      <c r="BG160" s="48" t="str">
        <f aca="false">IF(AI160&lt;=0,"",IF(CC160="Aussen","Aussenlager",IF(CC160="-","Nicht im Lift",IF(AN160&gt;=1,"Lift",IF(AN160&lt;=0,"Aussenlager","teilweise")))))</f>
        <v>Lift</v>
      </c>
      <c r="BH160" s="48" t="str">
        <f aca="false">IF(AR160&lt;=0,"",IF(CC160="Aussen","Aussenlager",IF(CC160="-","Nicht im Lift",IF(AW160&gt;=1,"Lift",IF(AW160&lt;=0,"Aussenlager","teilweise")))))</f>
        <v>Lift</v>
      </c>
      <c r="BI160" s="48" t="str">
        <f aca="false">IF(BA160&lt;=0,"",IF(CC160="Aussen","Aussenlager",IF(CC160="-","Nicht im Lift",IF(BF160&gt;=1,"Lift",IF(BF160&lt;=0,"Aussenlager","teilweise")))))</f>
        <v>Lift</v>
      </c>
      <c r="BJ160" s="48" t="str">
        <f aca="false">IF(A160="","",IF(BS160=1,"Neu; ","")&amp;IF(AND(BS160=0,BN160&lt;0),"negativer Bestand (Export "&amp;BN160&amp;"); ","")&amp;IF(J160&lt;=0,"Kein Verbrauch; ","")&amp;IF(CL160&gt;0,"Lift "&amp;W160&amp;" lt. Liftbericht (Fach "&amp;X160&amp;" Stk); ",IF(BX160=1,"Gebinde geschätzt ("&amp;T160&amp;"); ",IF(BW160=1,"Lose – Tablare geschätzt; ","")))&amp;IF(H160&gt;AT160,"Überbestand "&amp;ROUND(H160-AT160,0)&amp;" Stk / CHF "&amp;ROUND((H160-AT160)*G160,0)&amp;"; ","")&amp;IF(AND(CE160=1,CF160&lt;CG160),"MAX &lt; MB+LG; ","")&amp;IF(AND(CK160&gt;0,CJ160*10&gt;CK160),"zu hoch für Tablar; ","")&amp;IF(AND(BS160=0,OR(CE160=1,AA160&lt;&gt;"",U160&lt;&gt;"",V160&lt;&gt;"",AB160&lt;&gt;"")),"manuell übersteuert; ","")&amp;IF(AND(BW160=0,R160=0),"Gebinde unbekannt / Stellmass fehlt; ","")&amp;IF(AND(BW160=0,N(V160)&lt;=0,N(Q160)&lt;=0),"Menge pro Gebinde fehlt (Ist = 1 Gebinde); ","")&amp;BR160)</f>
        <v>länger als die Kisten</v>
      </c>
      <c r="BK160" s="48"/>
      <c r="BL160" s="48"/>
      <c r="BM160" s="55"/>
      <c r="BN160" s="50" t="n">
        <v>2</v>
      </c>
      <c r="BO160" s="50" t="n">
        <v>5</v>
      </c>
      <c r="BP160" s="49" t="n">
        <v>1225.11</v>
      </c>
      <c r="BQ160" s="50" t="n">
        <v>21</v>
      </c>
      <c r="BR160" s="48" t="s">
        <v>532</v>
      </c>
      <c r="BS160" s="53" t="n">
        <v>0</v>
      </c>
      <c r="BT160" s="53" t="n">
        <v>160</v>
      </c>
      <c r="BU160" s="48" t="str">
        <f aca="false">IF(U160&lt;&gt;"",UPPER(TRIM(U160)),IF(BX160=1,UPPER(VLOOKUP(T160,Parameter!$I$27:$K$29,2,0)),IF(P160="","LOSE",P160)))</f>
        <v>S71</v>
      </c>
      <c r="BV160" s="50" t="n">
        <f aca="false">IF(BU160="LOSE",1,IF(N(V160)&gt;0,V160,IF(BX160=1,MAX(1,N(VLOOKUP(T160,Parameter!$I$27:$K$29,3,0)),H160,N(N160)),IF(N(Q160)&gt;0,Q160,MAX(1,H160)))))</f>
        <v>12</v>
      </c>
      <c r="BW160" s="53" t="n">
        <f aca="false">IF(BU160="LOSE",1,0)</f>
        <v>0</v>
      </c>
      <c r="BX160" s="53" t="n">
        <f aca="false">IF(AND(U160="",OR(P160="",P160="LOSE"),T160&lt;&gt;"",N(S160)&lt;=0,ISNUMBER(MATCH(T160,Parameter!$I$27:$I$29,0))),1,0)</f>
        <v>0</v>
      </c>
      <c r="BY160" s="53" t="n">
        <f aca="false">IF(CL160&gt;0,INDEX(Parameter!$H$5:$H$7,W160)/INDEX(Parameter!$E$5:$E$7,W160),IF(AND(BW160=0,N(IFERROR(VLOOKUP(BU160,'Gebinde-Kategorie'!$A$5:$N$45,14,0),0))&gt;0),VLOOKUP(BU160,'Gebinde-Kategorie'!$A$5:$N$45,14,0)*10+Parameter!$M$23,Parameter!$M$24))</f>
        <v>235</v>
      </c>
      <c r="BZ160" s="48" t="str">
        <f aca="false">IF(AND(Parameter!$B$19="Ja",E160&lt;&gt;"",ISNUMBER(MATCH(E160,Parameter!$I$35:$I$52,0))),VLOOKUP(E160,Parameter!$I$35:$J$52,2,0),IFERROR(VLOOKUP(D160,Parameter!$A$35:$C$64,2,0),"Nein"))</f>
        <v>2+3</v>
      </c>
      <c r="CA160" s="52" t="n">
        <f aca="false">IF(BW160=0,0,IF(N(S160)&gt;0,S160,IFERROR(VLOOKUP(D160,Parameter!$A$35:$C$64,3,0)+0,0)))</f>
        <v>0</v>
      </c>
      <c r="CB160" s="48" t="n">
        <f aca="false">IF(AA160&lt;&gt;"",AA160,Z160)</f>
        <v>2</v>
      </c>
      <c r="CC160" s="48" t="str">
        <f aca="false">IF(OR(CB160=1,CB160=2,CB160=3),IF(Parameter!$E$27="Ja","LIFT",IF(CB160=1,"L1","L23")),IF(CB160="Aussen","Aussen","-"))</f>
        <v>LIFT</v>
      </c>
      <c r="CD160" s="59" t="n">
        <f aca="false">IF(N(AB160)&gt;0,AB160,0)</f>
        <v>0</v>
      </c>
      <c r="CE160" s="53" t="n">
        <f aca="false">IF(ISNUMBER(AE160),1,0)</f>
        <v>0</v>
      </c>
      <c r="CF160" s="50" t="n">
        <f aca="false">N(AE160)</f>
        <v>0</v>
      </c>
      <c r="CG160" s="50" t="n">
        <f aca="false">N(M160)+N(N160)</f>
        <v>2</v>
      </c>
      <c r="CH160" s="50" t="n">
        <f aca="false">ROUNDUP(H160/BV160,0)</f>
        <v>1</v>
      </c>
      <c r="CI160" s="50" t="n">
        <f aca="false">ROUNDUP(CF160/BV160,0)</f>
        <v>0</v>
      </c>
      <c r="CJ160" s="53" t="n">
        <f aca="false">IF(BW160=1,0,IFERROR(VLOOKUP(BU160,'Gebinde-Kategorie'!$A$5:$N$45,5,0)+0,0))</f>
        <v>20</v>
      </c>
      <c r="CK160" s="53" t="n">
        <f aca="false">IFERROR(IF(OR(CB160=1,CB160=2,CB160=3),N(INDEX(Parameter!$I$5:$I$7,CB160)),0),0)</f>
        <v>0</v>
      </c>
      <c r="CL160" s="52" t="n">
        <f aca="false">IF(AND(Parameter!$B$21="Ja",ISNUMBER(W160),N(X160)&gt;0),IFERROR(N(INDEX(Parameter!$L$5:$L$7,W160))*INDEX(Parameter!$E$5:$E$7,W160)*X160/SUMIFS($X$7:$X$1843,$W$7:$W$1843,W160),0),0)</f>
        <v>0</v>
      </c>
    </row>
    <row r="161" customFormat="false" ht="15" hidden="false" customHeight="false" outlineLevel="0" collapsed="false">
      <c r="A161" s="48" t="s">
        <v>533</v>
      </c>
      <c r="B161" s="48" t="s">
        <v>534</v>
      </c>
      <c r="C161" s="48" t="s">
        <v>168</v>
      </c>
      <c r="D161" s="48" t="s">
        <v>188</v>
      </c>
      <c r="E161" s="48"/>
      <c r="F161" s="48" t="s">
        <v>222</v>
      </c>
      <c r="G161" s="49" t="n">
        <v>51</v>
      </c>
      <c r="H161" s="50" t="n">
        <f aca="false">MAX(0,IF(AND(Parameter!$B$21="Ja",ISNUMBER(Y161)),Y161,IF(Parameter!$B$20="Jahresanfang 2025 + Export",BO161+BN161,BN161)))</f>
        <v>24</v>
      </c>
      <c r="I161" s="50" t="n">
        <f aca="false">H161*G161</f>
        <v>1224</v>
      </c>
      <c r="J161" s="50" t="n">
        <f aca="false">BQ161*Parameter!$B$18</f>
        <v>0</v>
      </c>
      <c r="K161" s="51" t="n">
        <v>0</v>
      </c>
      <c r="L161" s="52" t="n">
        <v>0</v>
      </c>
      <c r="M161" s="50" t="n">
        <v>0</v>
      </c>
      <c r="N161" s="50" t="n">
        <v>1</v>
      </c>
      <c r="O161" s="53" t="n">
        <v>9999</v>
      </c>
      <c r="P161" s="48" t="s">
        <v>172</v>
      </c>
      <c r="Q161" s="50"/>
      <c r="R161" s="53" t="n">
        <f aca="false">IF(BW161=1,0,IFERROR(VLOOKUP(BU161,'Gebinde-Kategorie'!$A$5:$N$45,13,0)+0,0))</f>
        <v>4</v>
      </c>
      <c r="S161" s="54"/>
      <c r="T161" s="55" t="s">
        <v>193</v>
      </c>
      <c r="U161" s="55"/>
      <c r="V161" s="55"/>
      <c r="W161" s="48"/>
      <c r="X161" s="50"/>
      <c r="Y161" s="50"/>
      <c r="Z161" s="48" t="n">
        <f aca="false">IF(A161="","",IF(AND(Parameter!$B$21="Ja",ISNUMBER(W161)),W161,IF(BZ161="2+3",IF(ISNUMBER(SEARCH("grosser Artikel",BR161)),2,IFERROR(VLOOKUP(BU161,Parameter!$F$35:$G$64,2,0),2)),IF(OR(BZ161="Nein",BZ161=""),"-",BZ161))))</f>
        <v>2</v>
      </c>
      <c r="AA161" s="55"/>
      <c r="AB161" s="56"/>
      <c r="AC161" s="50" t="n">
        <f aca="false">AT161</f>
        <v>24</v>
      </c>
      <c r="AD161" s="50" t="n">
        <f aca="false">MAX(AT161,H161)</f>
        <v>24</v>
      </c>
      <c r="AE161" s="57"/>
      <c r="AF161" s="50" t="n">
        <f aca="false">IF(LEFT(Cockpit!$C$5,1)="A",H161,IF(CE161=1,CF161,IF(LEFT(Cockpit!$C$5,1)="B",AK161,MAX(AK161,H161))))</f>
        <v>24</v>
      </c>
      <c r="AG161" s="50" t="n">
        <f aca="false">IF(BW161=1,0,ROUNDUP(AF161/BV161,0))</f>
        <v>1</v>
      </c>
      <c r="AH161" s="52" t="n">
        <f aca="false">IF(CL161&gt;0,CL161*MAX(1,AF161/X161),IF(BW161=1,IF(AF161&lt;=0,0,CA161*MAX(1,IF(H161&gt;0,AF161/H161,1))),IF(R161&gt;0,AG161/R161,0))/MAX(0.1,N(Parameter!$M$21)))</f>
        <v>0.25</v>
      </c>
      <c r="AI161" s="50" t="n">
        <f aca="false">AH161*BY161</f>
        <v>58.75</v>
      </c>
      <c r="AJ161" s="50" t="n">
        <f aca="false">AF161*G161</f>
        <v>1224</v>
      </c>
      <c r="AK161" s="50" t="n">
        <f aca="false">ROUNDUP(MAX(J161/IF(CD161&gt;0,CD161,MAX(0.1,N(Cockpit!$C$6))),CG161)/BV161,0)*BV161</f>
        <v>24</v>
      </c>
      <c r="AL161" s="51" t="n">
        <f aca="false">IF(AI161&gt;0,J161/AI161,-1)</f>
        <v>0</v>
      </c>
      <c r="AM161" s="51" t="n">
        <f aca="false">IF(AND(OR(CC161="L1",CC161="L23",CC161="LIFT"),AI161&gt;0),SUMIFS($AI$7:$AI$1843,$CC$7:$CC$1843,CC161,$AL$7:$AL$1843,"&gt;"&amp;AL161)+SUMIFS($AI$7:$AI$1843,$CC$7:$CC$1843,CC161,$AL$7:$AL$1843,AL161,$BT$7:$BT$1843,"&lt;="&amp;BT161),"")</f>
        <v>27409.3215967178</v>
      </c>
      <c r="AN161" s="58" t="n">
        <f aca="false">IF(AM161="",0,MAX(0,MIN(1,(IF(CC161="L1",Parameter!$H$5,IF(CC161="L23",Parameter!$H$6+Parameter!$H$7,Parameter!$H$5+Parameter!$H$6+Parameter!$H$7))-(AM161-AI161))/AI161)))</f>
        <v>1</v>
      </c>
      <c r="AO161" s="50" t="n">
        <f aca="false">IF(LEFT(Cockpit!$I$5,1)="A",H161,IF(CE161=1,CF161,IF(LEFT(Cockpit!$I$5,1)="B",AT161,MAX(AT161,H161))))</f>
        <v>24</v>
      </c>
      <c r="AP161" s="50" t="n">
        <f aca="false">IF(BW161=1,0,ROUNDUP(AO161/BV161,0))</f>
        <v>1</v>
      </c>
      <c r="AQ161" s="52" t="n">
        <f aca="false">IF(CL161&gt;0,CL161*MAX(1,AO161/X161),IF(BW161=1,IF(AO161&lt;=0,0,CA161*MAX(1,IF(H161&gt;0,AO161/H161,1))),IF(R161&gt;0,AP161/R161,0))/MAX(0.1,N(Parameter!$M$21)))</f>
        <v>0.25</v>
      </c>
      <c r="AR161" s="50" t="n">
        <f aca="false">AQ161*BY161</f>
        <v>58.75</v>
      </c>
      <c r="AS161" s="50" t="n">
        <f aca="false">AO161*G161</f>
        <v>1224</v>
      </c>
      <c r="AT161" s="50" t="n">
        <f aca="false">ROUNDUP(MAX(J161/IF(CD161&gt;0,CD161,MAX(0.1,N(Cockpit!$I$6))),CG161)/BV161,0)*BV161</f>
        <v>24</v>
      </c>
      <c r="AU161" s="51" t="n">
        <f aca="false">IF(AR161&gt;0,J161/AR161,-1)</f>
        <v>0</v>
      </c>
      <c r="AV161" s="51" t="n">
        <f aca="false">IF(AND(OR(CC161="L1",CC161="L23",CC161="LIFT"),AR161&gt;0),SUMIFS($AR$7:$AR$1843,$CC$7:$CC$1843,CC161,$AU$7:$AU$1843,"&gt;"&amp;AU161)+SUMIFS($AR$7:$AR$1843,$CC$7:$CC$1843,CC161,$AU$7:$AU$1843,AU161,$BT$7:$BT$1843,"&lt;="&amp;BT161),"")</f>
        <v>38722.2271139877</v>
      </c>
      <c r="AW161" s="58" t="n">
        <f aca="false">IF(AV161="",0,MAX(0,MIN(1,(IF(CC161="L1",Parameter!$H$5,IF(CC161="L23",Parameter!$H$6+Parameter!$H$7,Parameter!$H$5+Parameter!$H$6+Parameter!$H$7))-(AV161-AR161))/AR161)))</f>
        <v>0</v>
      </c>
      <c r="AX161" s="50" t="n">
        <f aca="false">IF(LEFT(Cockpit!$O$5,1)="A",H161,IF(CE161=1,CF161,IF(LEFT(Cockpit!$O$5,1)="B",BC161,MAX(BC161,H161))))</f>
        <v>24</v>
      </c>
      <c r="AY161" s="50" t="n">
        <f aca="false">IF(BW161=1,0,ROUNDUP(AX161/BV161,0))</f>
        <v>1</v>
      </c>
      <c r="AZ161" s="52" t="n">
        <f aca="false">IF(CL161&gt;0,CL161*MAX(1,AX161/X161),IF(BW161=1,IF(AX161&lt;=0,0,CA161*MAX(1,IF(H161&gt;0,AX161/H161,1))),IF(R161&gt;0,AY161/R161,0))/MAX(0.1,N(Parameter!$M$21)))</f>
        <v>0.25</v>
      </c>
      <c r="BA161" s="50" t="n">
        <f aca="false">AZ161*BY161</f>
        <v>58.75</v>
      </c>
      <c r="BB161" s="50" t="n">
        <f aca="false">AX161*G161</f>
        <v>1224</v>
      </c>
      <c r="BC161" s="50" t="n">
        <f aca="false">ROUNDUP(MAX(J161/IF(CD161&gt;0,CD161,MAX(0.1,N(Cockpit!$O$6))),CG161)/BV161,0)*BV161</f>
        <v>24</v>
      </c>
      <c r="BD161" s="51" t="n">
        <f aca="false">IF(BA161&gt;0,J161/BA161,-1)</f>
        <v>0</v>
      </c>
      <c r="BE161" s="51" t="n">
        <f aca="false">IF(AND(OR(CC161="L1",CC161="L23",CC161="LIFT"),BA161&gt;0),SUMIFS($BA$7:$BA$1843,$CC$7:$CC$1843,CC161,$BD$7:$BD$1843,"&gt;"&amp;BD161)+SUMIFS($BA$7:$BA$1843,$CC$7:$CC$1843,CC161,$BD$7:$BD$1843,BD161,$BT$7:$BT$1843,"&lt;="&amp;BT161),"")</f>
        <v>35397.2391558536</v>
      </c>
      <c r="BF161" s="58" t="n">
        <f aca="false">IF(BE161="",0,MAX(0,MIN(1,(IF(CC161="L1",Parameter!$H$5,IF(CC161="L23",Parameter!$H$6+Parameter!$H$7,Parameter!$H$5+Parameter!$H$6+Parameter!$H$7))-(BE161-BA161))/BA161)))</f>
        <v>1</v>
      </c>
      <c r="BG161" s="48" t="str">
        <f aca="false">IF(AI161&lt;=0,"",IF(CC161="Aussen","Aussenlager",IF(CC161="-","Nicht im Lift",IF(AN161&gt;=1,"Lift",IF(AN161&lt;=0,"Aussenlager","teilweise")))))</f>
        <v>Lift</v>
      </c>
      <c r="BH161" s="48" t="str">
        <f aca="false">IF(AR161&lt;=0,"",IF(CC161="Aussen","Aussenlager",IF(CC161="-","Nicht im Lift",IF(AW161&gt;=1,"Lift",IF(AW161&lt;=0,"Aussenlager","teilweise")))))</f>
        <v>Aussenlager</v>
      </c>
      <c r="BI161" s="48" t="str">
        <f aca="false">IF(BA161&lt;=0,"",IF(CC161="Aussen","Aussenlager",IF(CC161="-","Nicht im Lift",IF(BF161&gt;=1,"Lift",IF(BF161&lt;=0,"Aussenlager","teilweise")))))</f>
        <v>Lift</v>
      </c>
      <c r="BJ161" s="48" t="str">
        <f aca="false">IF(A161="","",IF(BS161=1,"Neu; ","")&amp;IF(AND(BS161=0,BN161&lt;0),"negativer Bestand (Export "&amp;BN161&amp;"); ","")&amp;IF(J161&lt;=0,"Kein Verbrauch; ","")&amp;IF(CL161&gt;0,"Lift "&amp;W161&amp;" lt. Liftbericht (Fach "&amp;X161&amp;" Stk); ",IF(BX161=1,"Gebinde geschätzt ("&amp;T161&amp;"); ",IF(BW161=1,"Lose – Tablare geschätzt; ","")))&amp;IF(H161&gt;AT161,"Überbestand "&amp;ROUND(H161-AT161,0)&amp;" Stk / CHF "&amp;ROUND((H161-AT161)*G161,0)&amp;"; ","")&amp;IF(AND(CE161=1,CF161&lt;CG161),"MAX &lt; MB+LG; ","")&amp;IF(AND(CK161&gt;0,CJ161*10&gt;CK161),"zu hoch für Tablar; ","")&amp;IF(AND(BS161=0,OR(CE161=1,AA161&lt;&gt;"",U161&lt;&gt;"",V161&lt;&gt;"",AB161&lt;&gt;"")),"manuell übersteuert; ","")&amp;IF(AND(BW161=0,R161=0),"Gebinde unbekannt / Stellmass fehlt; ","")&amp;IF(AND(BW161=0,N(V161)&lt;=0,N(Q161)&lt;=0),"Menge pro Gebinde fehlt (Ist = 1 Gebinde); ","")&amp;BR161)</f>
        <v>Kein Verbrauch; Gebinde geschätzt (Gross); Menge pro Gebinde fehlt (Ist = 1 Gebinde); </v>
      </c>
      <c r="BK161" s="48"/>
      <c r="BL161" s="48"/>
      <c r="BM161" s="55"/>
      <c r="BN161" s="50" t="n">
        <v>24</v>
      </c>
      <c r="BO161" s="50" t="n">
        <v>0</v>
      </c>
      <c r="BP161" s="49" t="n">
        <v>1224</v>
      </c>
      <c r="BQ161" s="50" t="n">
        <v>0</v>
      </c>
      <c r="BR161" s="48"/>
      <c r="BS161" s="53" t="n">
        <v>0</v>
      </c>
      <c r="BT161" s="53" t="n">
        <v>161</v>
      </c>
      <c r="BU161" s="48" t="str">
        <f aca="false">IF(U161&lt;&gt;"",UPPER(TRIM(U161)),IF(BX161=1,UPPER(VLOOKUP(T161,Parameter!$I$27:$K$29,2,0)),IF(P161="","LOSE",P161)))</f>
        <v>S81</v>
      </c>
      <c r="BV161" s="50" t="n">
        <f aca="false">IF(BU161="LOSE",1,IF(N(V161)&gt;0,V161,IF(BX161=1,MAX(1,N(VLOOKUP(T161,Parameter!$I$27:$K$29,3,0)),H161,N(N161)),IF(N(Q161)&gt;0,Q161,MAX(1,H161)))))</f>
        <v>24</v>
      </c>
      <c r="BW161" s="53" t="n">
        <f aca="false">IF(BU161="LOSE",1,0)</f>
        <v>0</v>
      </c>
      <c r="BX161" s="53" t="n">
        <f aca="false">IF(AND(U161="",OR(P161="",P161="LOSE"),T161&lt;&gt;"",N(S161)&lt;=0,ISNUMBER(MATCH(T161,Parameter!$I$27:$I$29,0))),1,0)</f>
        <v>1</v>
      </c>
      <c r="BY161" s="53" t="n">
        <f aca="false">IF(CL161&gt;0,INDEX(Parameter!$H$5:$H$7,W161)/INDEX(Parameter!$E$5:$E$7,W161),IF(AND(BW161=0,N(IFERROR(VLOOKUP(BU161,'Gebinde-Kategorie'!$A$5:$N$45,14,0),0))&gt;0),VLOOKUP(BU161,'Gebinde-Kategorie'!$A$5:$N$45,14,0)*10+Parameter!$M$23,Parameter!$M$24))</f>
        <v>235</v>
      </c>
      <c r="BZ161" s="48" t="str">
        <f aca="false">IF(AND(Parameter!$B$19="Ja",E161&lt;&gt;"",ISNUMBER(MATCH(E161,Parameter!$I$35:$I$52,0))),VLOOKUP(E161,Parameter!$I$35:$J$52,2,0),IFERROR(VLOOKUP(D161,Parameter!$A$35:$C$64,2,0),"Nein"))</f>
        <v>2+3</v>
      </c>
      <c r="CA161" s="52" t="n">
        <f aca="false">IF(BW161=0,0,IF(N(S161)&gt;0,S161,IFERROR(VLOOKUP(D161,Parameter!$A$35:$C$64,3,0)+0,0)))</f>
        <v>0</v>
      </c>
      <c r="CB161" s="48" t="n">
        <f aca="false">IF(AA161&lt;&gt;"",AA161,Z161)</f>
        <v>2</v>
      </c>
      <c r="CC161" s="48" t="str">
        <f aca="false">IF(OR(CB161=1,CB161=2,CB161=3),IF(Parameter!$E$27="Ja","LIFT",IF(CB161=1,"L1","L23")),IF(CB161="Aussen","Aussen","-"))</f>
        <v>LIFT</v>
      </c>
      <c r="CD161" s="59" t="n">
        <f aca="false">IF(N(AB161)&gt;0,AB161,0)</f>
        <v>0</v>
      </c>
      <c r="CE161" s="53" t="n">
        <f aca="false">IF(ISNUMBER(AE161),1,0)</f>
        <v>0</v>
      </c>
      <c r="CF161" s="50" t="n">
        <f aca="false">N(AE161)</f>
        <v>0</v>
      </c>
      <c r="CG161" s="50" t="n">
        <f aca="false">N(M161)+N(N161)</f>
        <v>1</v>
      </c>
      <c r="CH161" s="50" t="n">
        <f aca="false">ROUNDUP(H161/BV161,0)</f>
        <v>1</v>
      </c>
      <c r="CI161" s="50" t="n">
        <f aca="false">ROUNDUP(CF161/BV161,0)</f>
        <v>0</v>
      </c>
      <c r="CJ161" s="53" t="n">
        <f aca="false">IF(BW161=1,0,IFERROR(VLOOKUP(BU161,'Gebinde-Kategorie'!$A$5:$N$45,5,0)+0,0))</f>
        <v>20</v>
      </c>
      <c r="CK161" s="53" t="n">
        <f aca="false">IFERROR(IF(OR(CB161=1,CB161=2,CB161=3),N(INDEX(Parameter!$I$5:$I$7,CB161)),0),0)</f>
        <v>0</v>
      </c>
      <c r="CL161" s="52" t="n">
        <f aca="false">IF(AND(Parameter!$B$21="Ja",ISNUMBER(W161),N(X161)&gt;0),IFERROR(N(INDEX(Parameter!$L$5:$L$7,W161))*INDEX(Parameter!$E$5:$E$7,W161)*X161/SUMIFS($X$7:$X$1843,$W$7:$W$1843,W161),0),0)</f>
        <v>0</v>
      </c>
    </row>
    <row r="162" customFormat="false" ht="15" hidden="false" customHeight="false" outlineLevel="0" collapsed="false">
      <c r="A162" s="48" t="s">
        <v>535</v>
      </c>
      <c r="B162" s="48" t="s">
        <v>536</v>
      </c>
      <c r="C162" s="48" t="s">
        <v>168</v>
      </c>
      <c r="D162" s="48" t="s">
        <v>188</v>
      </c>
      <c r="E162" s="48"/>
      <c r="F162" s="48" t="s">
        <v>222</v>
      </c>
      <c r="G162" s="49" t="n">
        <v>10.02</v>
      </c>
      <c r="H162" s="50" t="n">
        <f aca="false">MAX(0,IF(AND(Parameter!$B$21="Ja",ISNUMBER(Y162)),Y162,IF(Parameter!$B$20="Jahresanfang 2025 + Export",BO162+BN162,BN162)))</f>
        <v>173</v>
      </c>
      <c r="I162" s="50" t="n">
        <f aca="false">H162*G162</f>
        <v>1733.46</v>
      </c>
      <c r="J162" s="50" t="n">
        <f aca="false">BQ162*Parameter!$B$18</f>
        <v>153</v>
      </c>
      <c r="K162" s="51" t="n">
        <v>52</v>
      </c>
      <c r="L162" s="52" t="n">
        <v>2.94230769230769</v>
      </c>
      <c r="M162" s="50" t="n">
        <v>26</v>
      </c>
      <c r="N162" s="50" t="n">
        <v>155</v>
      </c>
      <c r="O162" s="53" t="n">
        <v>63</v>
      </c>
      <c r="P162" s="48" t="s">
        <v>332</v>
      </c>
      <c r="Q162" s="50" t="n">
        <v>40</v>
      </c>
      <c r="R162" s="53" t="n">
        <f aca="false">IF(BW162=1,0,IFERROR(VLOOKUP(BU162,'Gebinde-Kategorie'!$A$5:$N$45,13,0)+0,0))</f>
        <v>52</v>
      </c>
      <c r="S162" s="54"/>
      <c r="T162" s="55"/>
      <c r="U162" s="55"/>
      <c r="V162" s="55"/>
      <c r="W162" s="48"/>
      <c r="X162" s="50"/>
      <c r="Y162" s="50"/>
      <c r="Z162" s="48" t="n">
        <f aca="false">IF(A162="","",IF(AND(Parameter!$B$21="Ja",ISNUMBER(W162)),W162,IF(BZ162="2+3",IF(ISNUMBER(SEARCH("grosser Artikel",BR162)),2,IFERROR(VLOOKUP(BU162,Parameter!$F$35:$G$64,2,0),2)),IF(OR(BZ162="Nein",BZ162=""),"-",BZ162))))</f>
        <v>3</v>
      </c>
      <c r="AA162" s="55"/>
      <c r="AB162" s="56"/>
      <c r="AC162" s="50" t="n">
        <f aca="false">AT162</f>
        <v>200</v>
      </c>
      <c r="AD162" s="50" t="n">
        <f aca="false">MAX(AT162,H162)</f>
        <v>200</v>
      </c>
      <c r="AE162" s="57"/>
      <c r="AF162" s="50" t="n">
        <f aca="false">IF(LEFT(Cockpit!$C$5,1)="A",H162,IF(CE162=1,CF162,IF(LEFT(Cockpit!$C$5,1)="B",AK162,MAX(AK162,H162))))</f>
        <v>173</v>
      </c>
      <c r="AG162" s="50" t="n">
        <f aca="false">IF(BW162=1,0,ROUNDUP(AF162/BV162,0))</f>
        <v>5</v>
      </c>
      <c r="AH162" s="52" t="n">
        <f aca="false">IF(CL162&gt;0,CL162*MAX(1,AF162/X162),IF(BW162=1,IF(AF162&lt;=0,0,CA162*MAX(1,IF(H162&gt;0,AF162/H162,1))),IF(R162&gt;0,AG162/R162,0))/MAX(0.1,N(Parameter!$M$21)))</f>
        <v>0.0961538461538462</v>
      </c>
      <c r="AI162" s="50" t="n">
        <f aca="false">AH162*BY162</f>
        <v>14.9038461538462</v>
      </c>
      <c r="AJ162" s="50" t="n">
        <f aca="false">AF162*G162</f>
        <v>1733.46</v>
      </c>
      <c r="AK162" s="50" t="n">
        <f aca="false">ROUNDUP(MAX(J162/IF(CD162&gt;0,CD162,MAX(0.1,N(Cockpit!$C$6))),CG162)/BV162,0)*BV162</f>
        <v>200</v>
      </c>
      <c r="AL162" s="51" t="n">
        <f aca="false">IF(AI162&gt;0,J162/AI162,-1)</f>
        <v>10.2658064516129</v>
      </c>
      <c r="AM162" s="51" t="n">
        <f aca="false">IF(AND(OR(CC162="L1",CC162="L23",CC162="LIFT"),AI162&gt;0),SUMIFS($AI$7:$AI$1843,$CC$7:$CC$1843,CC162,$AL$7:$AL$1843,"&gt;"&amp;AL162)+SUMIFS($AI$7:$AI$1843,$CC$7:$CC$1843,CC162,$AL$7:$AL$1843,AL162,$BT$7:$BT$1843,"&lt;="&amp;BT162),"")</f>
        <v>2597.66117216117</v>
      </c>
      <c r="AN162" s="58" t="n">
        <f aca="false">IF(AM162="",0,MAX(0,MIN(1,(IF(CC162="L1",Parameter!$H$5,IF(CC162="L23",Parameter!$H$6+Parameter!$H$7,Parameter!$H$5+Parameter!$H$6+Parameter!$H$7))-(AM162-AI162))/AI162)))</f>
        <v>1</v>
      </c>
      <c r="AO162" s="50" t="n">
        <f aca="false">IF(LEFT(Cockpit!$I$5,1)="A",H162,IF(CE162=1,CF162,IF(LEFT(Cockpit!$I$5,1)="B",AT162,MAX(AT162,H162))))</f>
        <v>200</v>
      </c>
      <c r="AP162" s="50" t="n">
        <f aca="false">IF(BW162=1,0,ROUNDUP(AO162/BV162,0))</f>
        <v>5</v>
      </c>
      <c r="AQ162" s="52" t="n">
        <f aca="false">IF(CL162&gt;0,CL162*MAX(1,AO162/X162),IF(BW162=1,IF(AO162&lt;=0,0,CA162*MAX(1,IF(H162&gt;0,AO162/H162,1))),IF(R162&gt;0,AP162/R162,0))/MAX(0.1,N(Parameter!$M$21)))</f>
        <v>0.0961538461538462</v>
      </c>
      <c r="AR162" s="50" t="n">
        <f aca="false">AQ162*BY162</f>
        <v>14.9038461538462</v>
      </c>
      <c r="AS162" s="50" t="n">
        <f aca="false">AO162*G162</f>
        <v>2004</v>
      </c>
      <c r="AT162" s="50" t="n">
        <f aca="false">ROUNDUP(MAX(J162/IF(CD162&gt;0,CD162,MAX(0.1,N(Cockpit!$I$6))),CG162)/BV162,0)*BV162</f>
        <v>200</v>
      </c>
      <c r="AU162" s="51" t="n">
        <f aca="false">IF(AR162&gt;0,J162/AR162,-1)</f>
        <v>10.2658064516129</v>
      </c>
      <c r="AV162" s="51" t="n">
        <f aca="false">IF(AND(OR(CC162="L1",CC162="L23",CC162="LIFT"),AR162&gt;0),SUMIFS($AR$7:$AR$1843,$CC$7:$CC$1843,CC162,$AU$7:$AU$1843,"&gt;"&amp;AU162)+SUMIFS($AR$7:$AR$1843,$CC$7:$CC$1843,CC162,$AU$7:$AU$1843,AU162,$BT$7:$BT$1843,"&lt;="&amp;BT162),"")</f>
        <v>3757.83653846154</v>
      </c>
      <c r="AW162" s="58" t="n">
        <f aca="false">IF(AV162="",0,MAX(0,MIN(1,(IF(CC162="L1",Parameter!$H$5,IF(CC162="L23",Parameter!$H$6+Parameter!$H$7,Parameter!$H$5+Parameter!$H$6+Parameter!$H$7))-(AV162-AR162))/AR162)))</f>
        <v>1</v>
      </c>
      <c r="AX162" s="50" t="n">
        <f aca="false">IF(LEFT(Cockpit!$O$5,1)="A",H162,IF(CE162=1,CF162,IF(LEFT(Cockpit!$O$5,1)="B",BC162,MAX(BC162,H162))))</f>
        <v>200</v>
      </c>
      <c r="AY162" s="50" t="n">
        <f aca="false">IF(BW162=1,0,ROUNDUP(AX162/BV162,0))</f>
        <v>5</v>
      </c>
      <c r="AZ162" s="52" t="n">
        <f aca="false">IF(CL162&gt;0,CL162*MAX(1,AX162/X162),IF(BW162=1,IF(AX162&lt;=0,0,CA162*MAX(1,IF(H162&gt;0,AX162/H162,1))),IF(R162&gt;0,AY162/R162,0))/MAX(0.1,N(Parameter!$M$21)))</f>
        <v>0.0961538461538462</v>
      </c>
      <c r="BA162" s="50" t="n">
        <f aca="false">AZ162*BY162</f>
        <v>14.9038461538462</v>
      </c>
      <c r="BB162" s="50" t="n">
        <f aca="false">AX162*G162</f>
        <v>2004</v>
      </c>
      <c r="BC162" s="50" t="n">
        <f aca="false">ROUNDUP(MAX(J162/IF(CD162&gt;0,CD162,MAX(0.1,N(Cockpit!$O$6))),CG162)/BV162,0)*BV162</f>
        <v>200</v>
      </c>
      <c r="BD162" s="51" t="n">
        <f aca="false">IF(BA162&gt;0,J162/BA162,-1)</f>
        <v>10.2658064516129</v>
      </c>
      <c r="BE162" s="51" t="n">
        <f aca="false">IF(AND(OR(CC162="L1",CC162="L23",CC162="LIFT"),BA162&gt;0),SUMIFS($BA$7:$BA$1843,$CC$7:$CC$1843,CC162,$BD$7:$BD$1843,"&gt;"&amp;BD162)+SUMIFS($BA$7:$BA$1843,$CC$7:$CC$1843,CC162,$BD$7:$BD$1843,BD162,$BT$7:$BT$1843,"&lt;="&amp;BT162),"")</f>
        <v>3415.96153846154</v>
      </c>
      <c r="BF162" s="58" t="n">
        <f aca="false">IF(BE162="",0,MAX(0,MIN(1,(IF(CC162="L1",Parameter!$H$5,IF(CC162="L23",Parameter!$H$6+Parameter!$H$7,Parameter!$H$5+Parameter!$H$6+Parameter!$H$7))-(BE162-BA162))/BA162)))</f>
        <v>1</v>
      </c>
      <c r="BG162" s="48" t="str">
        <f aca="false">IF(AI162&lt;=0,"",IF(CC162="Aussen","Aussenlager",IF(CC162="-","Nicht im Lift",IF(AN162&gt;=1,"Lift",IF(AN162&lt;=0,"Aussenlager","teilweise")))))</f>
        <v>Lift</v>
      </c>
      <c r="BH162" s="48" t="str">
        <f aca="false">IF(AR162&lt;=0,"",IF(CC162="Aussen","Aussenlager",IF(CC162="-","Nicht im Lift",IF(AW162&gt;=1,"Lift",IF(AW162&lt;=0,"Aussenlager","teilweise")))))</f>
        <v>Lift</v>
      </c>
      <c r="BI162" s="48" t="str">
        <f aca="false">IF(BA162&lt;=0,"",IF(CC162="Aussen","Aussenlager",IF(CC162="-","Nicht im Lift",IF(BF162&gt;=1,"Lift",IF(BF162&lt;=0,"Aussenlager","teilweise")))))</f>
        <v>Lift</v>
      </c>
      <c r="BJ162" s="48" t="str">
        <f aca="false">IF(A162="","",IF(BS162=1,"Neu; ","")&amp;IF(AND(BS162=0,BN162&lt;0),"negativer Bestand (Export "&amp;BN162&amp;"); ","")&amp;IF(J162&lt;=0,"Kein Verbrauch; ","")&amp;IF(CL162&gt;0,"Lift "&amp;W162&amp;" lt. Liftbericht (Fach "&amp;X162&amp;" Stk); ",IF(BX162=1,"Gebinde geschätzt ("&amp;T162&amp;"); ",IF(BW162=1,"Lose – Tablare geschätzt; ","")))&amp;IF(H162&gt;AT162,"Überbestand "&amp;ROUND(H162-AT162,0)&amp;" Stk / CHF "&amp;ROUND((H162-AT162)*G162,0)&amp;"; ","")&amp;IF(AND(CE162=1,CF162&lt;CG162),"MAX &lt; MB+LG; ","")&amp;IF(AND(CK162&gt;0,CJ162*10&gt;CK162),"zu hoch für Tablar; ","")&amp;IF(AND(BS162=0,OR(CE162=1,AA162&lt;&gt;"",U162&lt;&gt;"",V162&lt;&gt;"",AB162&lt;&gt;"")),"manuell übersteuert; ","")&amp;IF(AND(BW162=0,R162=0),"Gebinde unbekannt / Stellmass fehlt; ","")&amp;IF(AND(BW162=0,N(V162)&lt;=0,N(Q162)&lt;=0),"Menge pro Gebinde fehlt (Ist = 1 Gebinde); ","")&amp;BR162)</f>
        <v/>
      </c>
      <c r="BK162" s="48"/>
      <c r="BL162" s="48"/>
      <c r="BM162" s="55"/>
      <c r="BN162" s="50" t="n">
        <v>122</v>
      </c>
      <c r="BO162" s="50" t="n">
        <v>51</v>
      </c>
      <c r="BP162" s="49" t="n">
        <v>1214.28</v>
      </c>
      <c r="BQ162" s="50" t="n">
        <v>153</v>
      </c>
      <c r="BR162" s="48"/>
      <c r="BS162" s="53" t="n">
        <v>0</v>
      </c>
      <c r="BT162" s="53" t="n">
        <v>162</v>
      </c>
      <c r="BU162" s="48" t="str">
        <f aca="false">IF(U162&lt;&gt;"",UPPER(TRIM(U162)),IF(BX162=1,UPPER(VLOOKUP(T162,Parameter!$I$27:$K$29,2,0)),IF(P162="","LOSE",P162)))</f>
        <v>S41</v>
      </c>
      <c r="BV162" s="50" t="n">
        <f aca="false">IF(BU162="LOSE",1,IF(N(V162)&gt;0,V162,IF(BX162=1,MAX(1,N(VLOOKUP(T162,Parameter!$I$27:$K$29,3,0)),H162,N(N162)),IF(N(Q162)&gt;0,Q162,MAX(1,H162)))))</f>
        <v>40</v>
      </c>
      <c r="BW162" s="53" t="n">
        <f aca="false">IF(BU162="LOSE",1,0)</f>
        <v>0</v>
      </c>
      <c r="BX162" s="53" t="n">
        <f aca="false">IF(AND(U162="",OR(P162="",P162="LOSE"),T162&lt;&gt;"",N(S162)&lt;=0,ISNUMBER(MATCH(T162,Parameter!$I$27:$I$29,0))),1,0)</f>
        <v>0</v>
      </c>
      <c r="BY162" s="53" t="n">
        <f aca="false">IF(CL162&gt;0,INDEX(Parameter!$H$5:$H$7,W162)/INDEX(Parameter!$E$5:$E$7,W162),IF(AND(BW162=0,N(IFERROR(VLOOKUP(BU162,'Gebinde-Kategorie'!$A$5:$N$45,14,0),0))&gt;0),VLOOKUP(BU162,'Gebinde-Kategorie'!$A$5:$N$45,14,0)*10+Parameter!$M$23,Parameter!$M$24))</f>
        <v>155</v>
      </c>
      <c r="BZ162" s="48" t="str">
        <f aca="false">IF(AND(Parameter!$B$19="Ja",E162&lt;&gt;"",ISNUMBER(MATCH(E162,Parameter!$I$35:$I$52,0))),VLOOKUP(E162,Parameter!$I$35:$J$52,2,0),IFERROR(VLOOKUP(D162,Parameter!$A$35:$C$64,2,0),"Nein"))</f>
        <v>2+3</v>
      </c>
      <c r="CA162" s="52" t="n">
        <f aca="false">IF(BW162=0,0,IF(N(S162)&gt;0,S162,IFERROR(VLOOKUP(D162,Parameter!$A$35:$C$64,3,0)+0,0)))</f>
        <v>0</v>
      </c>
      <c r="CB162" s="48" t="n">
        <f aca="false">IF(AA162&lt;&gt;"",AA162,Z162)</f>
        <v>3</v>
      </c>
      <c r="CC162" s="48" t="str">
        <f aca="false">IF(OR(CB162=1,CB162=2,CB162=3),IF(Parameter!$E$27="Ja","LIFT",IF(CB162=1,"L1","L23")),IF(CB162="Aussen","Aussen","-"))</f>
        <v>LIFT</v>
      </c>
      <c r="CD162" s="59" t="n">
        <f aca="false">IF(N(AB162)&gt;0,AB162,0)</f>
        <v>0</v>
      </c>
      <c r="CE162" s="53" t="n">
        <f aca="false">IF(ISNUMBER(AE162),1,0)</f>
        <v>0</v>
      </c>
      <c r="CF162" s="50" t="n">
        <f aca="false">N(AE162)</f>
        <v>0</v>
      </c>
      <c r="CG162" s="50" t="n">
        <f aca="false">N(M162)+N(N162)</f>
        <v>181</v>
      </c>
      <c r="CH162" s="50" t="n">
        <f aca="false">ROUNDUP(H162/BV162,0)</f>
        <v>5</v>
      </c>
      <c r="CI162" s="50" t="n">
        <f aca="false">ROUNDUP(CF162/BV162,0)</f>
        <v>0</v>
      </c>
      <c r="CJ162" s="53" t="n">
        <f aca="false">IF(BW162=1,0,IFERROR(VLOOKUP(BU162,'Gebinde-Kategorie'!$A$5:$N$45,5,0)+0,0))</f>
        <v>11</v>
      </c>
      <c r="CK162" s="53" t="n">
        <f aca="false">IFERROR(IF(OR(CB162=1,CB162=2,CB162=3),N(INDEX(Parameter!$I$5:$I$7,CB162)),0),0)</f>
        <v>0</v>
      </c>
      <c r="CL162" s="52" t="n">
        <f aca="false">IF(AND(Parameter!$B$21="Ja",ISNUMBER(W162),N(X162)&gt;0),IFERROR(N(INDEX(Parameter!$L$5:$L$7,W162))*INDEX(Parameter!$E$5:$E$7,W162)*X162/SUMIFS($X$7:$X$1843,$W$7:$W$1843,W162),0),0)</f>
        <v>0</v>
      </c>
    </row>
    <row r="163" customFormat="false" ht="15" hidden="false" customHeight="false" outlineLevel="0" collapsed="false">
      <c r="A163" s="48" t="s">
        <v>537</v>
      </c>
      <c r="B163" s="48" t="s">
        <v>493</v>
      </c>
      <c r="C163" s="48" t="s">
        <v>168</v>
      </c>
      <c r="D163" s="48" t="s">
        <v>188</v>
      </c>
      <c r="E163" s="48" t="s">
        <v>189</v>
      </c>
      <c r="F163" s="48" t="s">
        <v>222</v>
      </c>
      <c r="G163" s="49" t="n">
        <v>1.8</v>
      </c>
      <c r="H163" s="50" t="n">
        <f aca="false">MAX(0,IF(AND(Parameter!$B$21="Ja",ISNUMBER(Y163)),Y163,IF(Parameter!$B$20="Jahresanfang 2025 + Export",BO163+BN163,BN163)))</f>
        <v>776</v>
      </c>
      <c r="I163" s="50" t="n">
        <f aca="false">H163*G163</f>
        <v>1396.8</v>
      </c>
      <c r="J163" s="50" t="n">
        <f aca="false">BQ163*Parameter!$B$18</f>
        <v>985</v>
      </c>
      <c r="K163" s="51" t="n">
        <v>215</v>
      </c>
      <c r="L163" s="52" t="n">
        <v>4.58139534883721</v>
      </c>
      <c r="M163" s="50" t="n">
        <v>38</v>
      </c>
      <c r="N163" s="50" t="n">
        <v>985</v>
      </c>
      <c r="O163" s="53" t="n">
        <v>14</v>
      </c>
      <c r="P163" s="48" t="s">
        <v>332</v>
      </c>
      <c r="Q163" s="50" t="n">
        <v>388</v>
      </c>
      <c r="R163" s="53" t="n">
        <f aca="false">IF(BW163=1,0,IFERROR(VLOOKUP(BU163,'Gebinde-Kategorie'!$A$5:$N$45,13,0)+0,0))</f>
        <v>52</v>
      </c>
      <c r="S163" s="54"/>
      <c r="T163" s="55"/>
      <c r="U163" s="55"/>
      <c r="V163" s="55"/>
      <c r="W163" s="48"/>
      <c r="X163" s="50"/>
      <c r="Y163" s="50"/>
      <c r="Z163" s="48" t="n">
        <f aca="false">IF(A163="","",IF(AND(Parameter!$B$21="Ja",ISNUMBER(W163)),W163,IF(BZ163="2+3",IF(ISNUMBER(SEARCH("grosser Artikel",BR163)),2,IFERROR(VLOOKUP(BU163,Parameter!$F$35:$G$64,2,0),2)),IF(OR(BZ163="Nein",BZ163=""),"-",BZ163))))</f>
        <v>3</v>
      </c>
      <c r="AA163" s="55"/>
      <c r="AB163" s="56"/>
      <c r="AC163" s="50" t="n">
        <f aca="false">AT163</f>
        <v>1164</v>
      </c>
      <c r="AD163" s="50" t="n">
        <f aca="false">MAX(AT163,H163)</f>
        <v>1164</v>
      </c>
      <c r="AE163" s="57"/>
      <c r="AF163" s="50" t="n">
        <f aca="false">IF(LEFT(Cockpit!$C$5,1)="A",H163,IF(CE163=1,CF163,IF(LEFT(Cockpit!$C$5,1)="B",AK163,MAX(AK163,H163))))</f>
        <v>776</v>
      </c>
      <c r="AG163" s="50" t="n">
        <f aca="false">IF(BW163=1,0,ROUNDUP(AF163/BV163,0))</f>
        <v>2</v>
      </c>
      <c r="AH163" s="52" t="n">
        <f aca="false">IF(CL163&gt;0,CL163*MAX(1,AF163/X163),IF(BW163=1,IF(AF163&lt;=0,0,CA163*MAX(1,IF(H163&gt;0,AF163/H163,1))),IF(R163&gt;0,AG163/R163,0))/MAX(0.1,N(Parameter!$M$21)))</f>
        <v>0.0384615384615385</v>
      </c>
      <c r="AI163" s="50" t="n">
        <f aca="false">AH163*BY163</f>
        <v>5.96153846153846</v>
      </c>
      <c r="AJ163" s="50" t="n">
        <f aca="false">AF163*G163</f>
        <v>1396.8</v>
      </c>
      <c r="AK163" s="50" t="n">
        <f aca="false">ROUNDUP(MAX(J163/IF(CD163&gt;0,CD163,MAX(0.1,N(Cockpit!$C$6))),CG163)/BV163,0)*BV163</f>
        <v>1164</v>
      </c>
      <c r="AL163" s="51" t="n">
        <f aca="false">IF(AI163&gt;0,J163/AI163,-1)</f>
        <v>165.225806451613</v>
      </c>
      <c r="AM163" s="51" t="n">
        <f aca="false">IF(AND(OR(CC163="L1",CC163="L23",CC163="LIFT"),AI163&gt;0),SUMIFS($AI$7:$AI$1843,$CC$7:$CC$1843,CC163,$AL$7:$AL$1843,"&gt;"&amp;AL163)+SUMIFS($AI$7:$AI$1843,$CC$7:$CC$1843,CC163,$AL$7:$AL$1843,AL163,$BT$7:$BT$1843,"&lt;="&amp;BT163),"")</f>
        <v>414.346611721612</v>
      </c>
      <c r="AN163" s="58" t="n">
        <f aca="false">IF(AM163="",0,MAX(0,MIN(1,(IF(CC163="L1",Parameter!$H$5,IF(CC163="L23",Parameter!$H$6+Parameter!$H$7,Parameter!$H$5+Parameter!$H$6+Parameter!$H$7))-(AM163-AI163))/AI163)))</f>
        <v>1</v>
      </c>
      <c r="AO163" s="50" t="n">
        <f aca="false">IF(LEFT(Cockpit!$I$5,1)="A",H163,IF(CE163=1,CF163,IF(LEFT(Cockpit!$I$5,1)="B",AT163,MAX(AT163,H163))))</f>
        <v>1164</v>
      </c>
      <c r="AP163" s="50" t="n">
        <f aca="false">IF(BW163=1,0,ROUNDUP(AO163/BV163,0))</f>
        <v>3</v>
      </c>
      <c r="AQ163" s="52" t="n">
        <f aca="false">IF(CL163&gt;0,CL163*MAX(1,AO163/X163),IF(BW163=1,IF(AO163&lt;=0,0,CA163*MAX(1,IF(H163&gt;0,AO163/H163,1))),IF(R163&gt;0,AP163/R163,0))/MAX(0.1,N(Parameter!$M$21)))</f>
        <v>0.0576923076923077</v>
      </c>
      <c r="AR163" s="50" t="n">
        <f aca="false">AQ163*BY163</f>
        <v>8.94230769230769</v>
      </c>
      <c r="AS163" s="50" t="n">
        <f aca="false">AO163*G163</f>
        <v>2095.2</v>
      </c>
      <c r="AT163" s="50" t="n">
        <f aca="false">ROUNDUP(MAX(J163/IF(CD163&gt;0,CD163,MAX(0.1,N(Cockpit!$I$6))),CG163)/BV163,0)*BV163</f>
        <v>1164</v>
      </c>
      <c r="AU163" s="51" t="n">
        <f aca="false">IF(AR163&gt;0,J163/AR163,-1)</f>
        <v>110.150537634409</v>
      </c>
      <c r="AV163" s="51" t="n">
        <f aca="false">IF(AND(OR(CC163="L1",CC163="L23",CC163="LIFT"),AR163&gt;0),SUMIFS($AR$7:$AR$1843,$CC$7:$CC$1843,CC163,$AU$7:$AU$1843,"&gt;"&amp;AU163)+SUMIFS($AR$7:$AR$1843,$CC$7:$CC$1843,CC163,$AU$7:$AU$1843,AU163,$BT$7:$BT$1843,"&lt;="&amp;BT163),"")</f>
        <v>863.378205128205</v>
      </c>
      <c r="AW163" s="58" t="n">
        <f aca="false">IF(AV163="",0,MAX(0,MIN(1,(IF(CC163="L1",Parameter!$H$5,IF(CC163="L23",Parameter!$H$6+Parameter!$H$7,Parameter!$H$5+Parameter!$H$6+Parameter!$H$7))-(AV163-AR163))/AR163)))</f>
        <v>1</v>
      </c>
      <c r="AX163" s="50" t="n">
        <f aca="false">IF(LEFT(Cockpit!$O$5,1)="A",H163,IF(CE163=1,CF163,IF(LEFT(Cockpit!$O$5,1)="B",BC163,MAX(BC163,H163))))</f>
        <v>1164</v>
      </c>
      <c r="AY163" s="50" t="n">
        <f aca="false">IF(BW163=1,0,ROUNDUP(AX163/BV163,0))</f>
        <v>3</v>
      </c>
      <c r="AZ163" s="52" t="n">
        <f aca="false">IF(CL163&gt;0,CL163*MAX(1,AX163/X163),IF(BW163=1,IF(AX163&lt;=0,0,CA163*MAX(1,IF(H163&gt;0,AX163/H163,1))),IF(R163&gt;0,AY163/R163,0))/MAX(0.1,N(Parameter!$M$21)))</f>
        <v>0.0576923076923077</v>
      </c>
      <c r="BA163" s="50" t="n">
        <f aca="false">AZ163*BY163</f>
        <v>8.94230769230769</v>
      </c>
      <c r="BB163" s="50" t="n">
        <f aca="false">AX163*G163</f>
        <v>2095.2</v>
      </c>
      <c r="BC163" s="50" t="n">
        <f aca="false">ROUNDUP(MAX(J163/IF(CD163&gt;0,CD163,MAX(0.1,N(Cockpit!$O$6))),CG163)/BV163,0)*BV163</f>
        <v>1164</v>
      </c>
      <c r="BD163" s="51" t="n">
        <f aca="false">IF(BA163&gt;0,J163/BA163,-1)</f>
        <v>110.150537634409</v>
      </c>
      <c r="BE163" s="51" t="n">
        <f aca="false">IF(AND(OR(CC163="L1",CC163="L23",CC163="LIFT"),BA163&gt;0),SUMIFS($BA$7:$BA$1843,$CC$7:$CC$1843,CC163,$BD$7:$BD$1843,"&gt;"&amp;BD163)+SUMIFS($BA$7:$BA$1843,$CC$7:$CC$1843,CC163,$BD$7:$BD$1843,BD163,$BT$7:$BT$1843,"&lt;="&amp;BT163),"")</f>
        <v>813.778846153846</v>
      </c>
      <c r="BF163" s="58" t="n">
        <f aca="false">IF(BE163="",0,MAX(0,MIN(1,(IF(CC163="L1",Parameter!$H$5,IF(CC163="L23",Parameter!$H$6+Parameter!$H$7,Parameter!$H$5+Parameter!$H$6+Parameter!$H$7))-(BE163-BA163))/BA163)))</f>
        <v>1</v>
      </c>
      <c r="BG163" s="48" t="str">
        <f aca="false">IF(AI163&lt;=0,"",IF(CC163="Aussen","Aussenlager",IF(CC163="-","Nicht im Lift",IF(AN163&gt;=1,"Lift",IF(AN163&lt;=0,"Aussenlager","teilweise")))))</f>
        <v>Lift</v>
      </c>
      <c r="BH163" s="48" t="str">
        <f aca="false">IF(AR163&lt;=0,"",IF(CC163="Aussen","Aussenlager",IF(CC163="-","Nicht im Lift",IF(AW163&gt;=1,"Lift",IF(AW163&lt;=0,"Aussenlager","teilweise")))))</f>
        <v>Lift</v>
      </c>
      <c r="BI163" s="48" t="str">
        <f aca="false">IF(BA163&lt;=0,"",IF(CC163="Aussen","Aussenlager",IF(CC163="-","Nicht im Lift",IF(BF163&gt;=1,"Lift",IF(BF163&lt;=0,"Aussenlager","teilweise")))))</f>
        <v>Lift</v>
      </c>
      <c r="BJ163" s="48" t="str">
        <f aca="false">IF(A163="","",IF(BS163=1,"Neu; ","")&amp;IF(AND(BS163=0,BN163&lt;0),"negativer Bestand (Export "&amp;BN163&amp;"); ","")&amp;IF(J163&lt;=0,"Kein Verbrauch; ","")&amp;IF(CL163&gt;0,"Lift "&amp;W163&amp;" lt. Liftbericht (Fach "&amp;X163&amp;" Stk); ",IF(BX163=1,"Gebinde geschätzt ("&amp;T163&amp;"); ",IF(BW163=1,"Lose – Tablare geschätzt; ","")))&amp;IF(H163&gt;AT163,"Überbestand "&amp;ROUND(H163-AT163,0)&amp;" Stk / CHF "&amp;ROUND((H163-AT163)*G163,0)&amp;"; ","")&amp;IF(AND(CE163=1,CF163&lt;CG163),"MAX &lt; MB+LG; ","")&amp;IF(AND(CK163&gt;0,CJ163*10&gt;CK163),"zu hoch für Tablar; ","")&amp;IF(AND(BS163=0,OR(CE163=1,AA163&lt;&gt;"",U163&lt;&gt;"",V163&lt;&gt;"",AB163&lt;&gt;"")),"manuell übersteuert; ","")&amp;IF(AND(BW163=0,R163=0),"Gebinde unbekannt / Stellmass fehlt; ","")&amp;IF(AND(BW163=0,N(V163)&lt;=0,N(Q163)&lt;=0),"Menge pro Gebinde fehlt (Ist = 1 Gebinde); ","")&amp;BR163)</f>
        <v/>
      </c>
      <c r="BK163" s="48"/>
      <c r="BL163" s="48"/>
      <c r="BM163" s="55"/>
      <c r="BN163" s="50" t="n">
        <v>665</v>
      </c>
      <c r="BO163" s="50" t="n">
        <v>111</v>
      </c>
      <c r="BP163" s="49" t="n">
        <v>1197</v>
      </c>
      <c r="BQ163" s="50" t="n">
        <v>985</v>
      </c>
      <c r="BR163" s="48"/>
      <c r="BS163" s="53" t="n">
        <v>0</v>
      </c>
      <c r="BT163" s="53" t="n">
        <v>163</v>
      </c>
      <c r="BU163" s="48" t="str">
        <f aca="false">IF(U163&lt;&gt;"",UPPER(TRIM(U163)),IF(BX163=1,UPPER(VLOOKUP(T163,Parameter!$I$27:$K$29,2,0)),IF(P163="","LOSE",P163)))</f>
        <v>S41</v>
      </c>
      <c r="BV163" s="50" t="n">
        <f aca="false">IF(BU163="LOSE",1,IF(N(V163)&gt;0,V163,IF(BX163=1,MAX(1,N(VLOOKUP(T163,Parameter!$I$27:$K$29,3,0)),H163,N(N163)),IF(N(Q163)&gt;0,Q163,MAX(1,H163)))))</f>
        <v>388</v>
      </c>
      <c r="BW163" s="53" t="n">
        <f aca="false">IF(BU163="LOSE",1,0)</f>
        <v>0</v>
      </c>
      <c r="BX163" s="53" t="n">
        <f aca="false">IF(AND(U163="",OR(P163="",P163="LOSE"),T163&lt;&gt;"",N(S163)&lt;=0,ISNUMBER(MATCH(T163,Parameter!$I$27:$I$29,0))),1,0)</f>
        <v>0</v>
      </c>
      <c r="BY163" s="53" t="n">
        <f aca="false">IF(CL163&gt;0,INDEX(Parameter!$H$5:$H$7,W163)/INDEX(Parameter!$E$5:$E$7,W163),IF(AND(BW163=0,N(IFERROR(VLOOKUP(BU163,'Gebinde-Kategorie'!$A$5:$N$45,14,0),0))&gt;0),VLOOKUP(BU163,'Gebinde-Kategorie'!$A$5:$N$45,14,0)*10+Parameter!$M$23,Parameter!$M$24))</f>
        <v>155</v>
      </c>
      <c r="BZ163" s="48" t="str">
        <f aca="false">IF(AND(Parameter!$B$19="Ja",E163&lt;&gt;"",ISNUMBER(MATCH(E163,Parameter!$I$35:$I$52,0))),VLOOKUP(E163,Parameter!$I$35:$J$52,2,0),IFERROR(VLOOKUP(D163,Parameter!$A$35:$C$64,2,0),"Nein"))</f>
        <v>2+3</v>
      </c>
      <c r="CA163" s="52" t="n">
        <f aca="false">IF(BW163=0,0,IF(N(S163)&gt;0,S163,IFERROR(VLOOKUP(D163,Parameter!$A$35:$C$64,3,0)+0,0)))</f>
        <v>0</v>
      </c>
      <c r="CB163" s="48" t="n">
        <f aca="false">IF(AA163&lt;&gt;"",AA163,Z163)</f>
        <v>3</v>
      </c>
      <c r="CC163" s="48" t="str">
        <f aca="false">IF(OR(CB163=1,CB163=2,CB163=3),IF(Parameter!$E$27="Ja","LIFT",IF(CB163=1,"L1","L23")),IF(CB163="Aussen","Aussen","-"))</f>
        <v>LIFT</v>
      </c>
      <c r="CD163" s="59" t="n">
        <f aca="false">IF(N(AB163)&gt;0,AB163,0)</f>
        <v>0</v>
      </c>
      <c r="CE163" s="53" t="n">
        <f aca="false">IF(ISNUMBER(AE163),1,0)</f>
        <v>0</v>
      </c>
      <c r="CF163" s="50" t="n">
        <f aca="false">N(AE163)</f>
        <v>0</v>
      </c>
      <c r="CG163" s="50" t="n">
        <f aca="false">N(M163)+N(N163)</f>
        <v>1023</v>
      </c>
      <c r="CH163" s="50" t="n">
        <f aca="false">ROUNDUP(H163/BV163,0)</f>
        <v>2</v>
      </c>
      <c r="CI163" s="50" t="n">
        <f aca="false">ROUNDUP(CF163/BV163,0)</f>
        <v>0</v>
      </c>
      <c r="CJ163" s="53" t="n">
        <f aca="false">IF(BW163=1,0,IFERROR(VLOOKUP(BU163,'Gebinde-Kategorie'!$A$5:$N$45,5,0)+0,0))</f>
        <v>11</v>
      </c>
      <c r="CK163" s="53" t="n">
        <f aca="false">IFERROR(IF(OR(CB163=1,CB163=2,CB163=3),N(INDEX(Parameter!$I$5:$I$7,CB163)),0),0)</f>
        <v>0</v>
      </c>
      <c r="CL163" s="52" t="n">
        <f aca="false">IF(AND(Parameter!$B$21="Ja",ISNUMBER(W163),N(X163)&gt;0),IFERROR(N(INDEX(Parameter!$L$5:$L$7,W163))*INDEX(Parameter!$E$5:$E$7,W163)*X163/SUMIFS($X$7:$X$1843,$W$7:$W$1843,W163),0),0)</f>
        <v>0</v>
      </c>
    </row>
    <row r="164" customFormat="false" ht="15" hidden="false" customHeight="false" outlineLevel="0" collapsed="false">
      <c r="A164" s="48" t="s">
        <v>538</v>
      </c>
      <c r="B164" s="48" t="s">
        <v>539</v>
      </c>
      <c r="C164" s="48" t="s">
        <v>168</v>
      </c>
      <c r="D164" s="48" t="s">
        <v>188</v>
      </c>
      <c r="E164" s="48"/>
      <c r="F164" s="48" t="s">
        <v>222</v>
      </c>
      <c r="G164" s="49" t="n">
        <v>22.14</v>
      </c>
      <c r="H164" s="50" t="n">
        <f aca="false">MAX(0,IF(AND(Parameter!$B$21="Ja",ISNUMBER(Y164)),Y164,IF(Parameter!$B$20="Jahresanfang 2025 + Export",BO164+BN164,BN164)))</f>
        <v>123</v>
      </c>
      <c r="I164" s="50" t="n">
        <f aca="false">H164*G164</f>
        <v>2723.22</v>
      </c>
      <c r="J164" s="50" t="n">
        <f aca="false">BQ164*Parameter!$B$18</f>
        <v>2</v>
      </c>
      <c r="K164" s="51" t="n">
        <v>75</v>
      </c>
      <c r="L164" s="52" t="n">
        <v>0.0266666666666667</v>
      </c>
      <c r="M164" s="50" t="n">
        <v>0</v>
      </c>
      <c r="N164" s="50" t="n">
        <v>1</v>
      </c>
      <c r="O164" s="53" t="n">
        <v>70</v>
      </c>
      <c r="P164" s="48" t="s">
        <v>190</v>
      </c>
      <c r="Q164" s="50" t="n">
        <v>100</v>
      </c>
      <c r="R164" s="53" t="n">
        <f aca="false">IF(BW164=1,0,IFERROR(VLOOKUP(BU164,'Gebinde-Kategorie'!$A$5:$N$45,13,0)+0,0))</f>
        <v>12</v>
      </c>
      <c r="S164" s="54"/>
      <c r="T164" s="55"/>
      <c r="U164" s="55"/>
      <c r="V164" s="55"/>
      <c r="W164" s="48"/>
      <c r="X164" s="50"/>
      <c r="Y164" s="50"/>
      <c r="Z164" s="48" t="n">
        <f aca="false">IF(A164="","",IF(AND(Parameter!$B$21="Ja",ISNUMBER(W164)),W164,IF(BZ164="2+3",IF(ISNUMBER(SEARCH("grosser Artikel",BR164)),2,IFERROR(VLOOKUP(BU164,Parameter!$F$35:$G$64,2,0),2)),IF(OR(BZ164="Nein",BZ164=""),"-",BZ164))))</f>
        <v>2</v>
      </c>
      <c r="AA164" s="55"/>
      <c r="AB164" s="56"/>
      <c r="AC164" s="50" t="n">
        <f aca="false">AT164</f>
        <v>100</v>
      </c>
      <c r="AD164" s="50" t="n">
        <f aca="false">MAX(AT164,H164)</f>
        <v>123</v>
      </c>
      <c r="AE164" s="57"/>
      <c r="AF164" s="50" t="n">
        <f aca="false">IF(LEFT(Cockpit!$C$5,1)="A",H164,IF(CE164=1,CF164,IF(LEFT(Cockpit!$C$5,1)="B",AK164,MAX(AK164,H164))))</f>
        <v>123</v>
      </c>
      <c r="AG164" s="50" t="n">
        <f aca="false">IF(BW164=1,0,ROUNDUP(AF164/BV164,0))</f>
        <v>2</v>
      </c>
      <c r="AH164" s="52" t="n">
        <f aca="false">IF(CL164&gt;0,CL164*MAX(1,AF164/X164),IF(BW164=1,IF(AF164&lt;=0,0,CA164*MAX(1,IF(H164&gt;0,AF164/H164,1))),IF(R164&gt;0,AG164/R164,0))/MAX(0.1,N(Parameter!$M$21)))</f>
        <v>0.166666666666667</v>
      </c>
      <c r="AI164" s="50" t="n">
        <f aca="false">AH164*BY164</f>
        <v>24.1666666666667</v>
      </c>
      <c r="AJ164" s="50" t="n">
        <f aca="false">AF164*G164</f>
        <v>2723.22</v>
      </c>
      <c r="AK164" s="50" t="n">
        <f aca="false">ROUNDUP(MAX(J164/IF(CD164&gt;0,CD164,MAX(0.1,N(Cockpit!$C$6))),CG164)/BV164,0)*BV164</f>
        <v>100</v>
      </c>
      <c r="AL164" s="51" t="n">
        <f aca="false">IF(AI164&gt;0,J164/AI164,-1)</f>
        <v>0.0827586206896552</v>
      </c>
      <c r="AM164" s="51" t="n">
        <f aca="false">IF(AND(OR(CC164="L1",CC164="L23",CC164="LIFT"),AI164&gt;0),SUMIFS($AI$7:$AI$1843,$CC$7:$CC$1843,CC164,$AL$7:$AL$1843,"&gt;"&amp;AL164)+SUMIFS($AI$7:$AI$1843,$CC$7:$CC$1843,CC164,$AL$7:$AL$1843,AL164,$BT$7:$BT$1843,"&lt;="&amp;BT164),"")</f>
        <v>16713.607398957</v>
      </c>
      <c r="AN164" s="58" t="n">
        <f aca="false">IF(AM164="",0,MAX(0,MIN(1,(IF(CC164="L1",Parameter!$H$5,IF(CC164="L23",Parameter!$H$6+Parameter!$H$7,Parameter!$H$5+Parameter!$H$6+Parameter!$H$7))-(AM164-AI164))/AI164)))</f>
        <v>1</v>
      </c>
      <c r="AO164" s="50" t="n">
        <f aca="false">IF(LEFT(Cockpit!$I$5,1)="A",H164,IF(CE164=1,CF164,IF(LEFT(Cockpit!$I$5,1)="B",AT164,MAX(AT164,H164))))</f>
        <v>123</v>
      </c>
      <c r="AP164" s="50" t="n">
        <f aca="false">IF(BW164=1,0,ROUNDUP(AO164/BV164,0))</f>
        <v>2</v>
      </c>
      <c r="AQ164" s="52" t="n">
        <f aca="false">IF(CL164&gt;0,CL164*MAX(1,AO164/X164),IF(BW164=1,IF(AO164&lt;=0,0,CA164*MAX(1,IF(H164&gt;0,AO164/H164,1))),IF(R164&gt;0,AP164/R164,0))/MAX(0.1,N(Parameter!$M$21)))</f>
        <v>0.166666666666667</v>
      </c>
      <c r="AR164" s="50" t="n">
        <f aca="false">AQ164*BY164</f>
        <v>24.1666666666667</v>
      </c>
      <c r="AS164" s="50" t="n">
        <f aca="false">AO164*G164</f>
        <v>2723.22</v>
      </c>
      <c r="AT164" s="50" t="n">
        <f aca="false">ROUNDUP(MAX(J164/IF(CD164&gt;0,CD164,MAX(0.1,N(Cockpit!$I$6))),CG164)/BV164,0)*BV164</f>
        <v>100</v>
      </c>
      <c r="AU164" s="51" t="n">
        <f aca="false">IF(AR164&gt;0,J164/AR164,-1)</f>
        <v>0.0827586206896552</v>
      </c>
      <c r="AV164" s="51" t="n">
        <f aca="false">IF(AND(OR(CC164="L1",CC164="L23",CC164="LIFT"),AR164&gt;0),SUMIFS($AR$7:$AR$1843,$CC$7:$CC$1843,CC164,$AU$7:$AU$1843,"&gt;"&amp;AU164)+SUMIFS($AR$7:$AR$1843,$CC$7:$CC$1843,CC164,$AU$7:$AU$1843,AU164,$BT$7:$BT$1843,"&lt;="&amp;BT164),"")</f>
        <v>25185.587774984</v>
      </c>
      <c r="AW164" s="58" t="n">
        <f aca="false">IF(AV164="",0,MAX(0,MIN(1,(IF(CC164="L1",Parameter!$H$5,IF(CC164="L23",Parameter!$H$6+Parameter!$H$7,Parameter!$H$5+Parameter!$H$6+Parameter!$H$7))-(AV164-AR164))/AR164)))</f>
        <v>1</v>
      </c>
      <c r="AX164" s="50" t="n">
        <f aca="false">IF(LEFT(Cockpit!$O$5,1)="A",H164,IF(CE164=1,CF164,IF(LEFT(Cockpit!$O$5,1)="B",BC164,MAX(BC164,H164))))</f>
        <v>123</v>
      </c>
      <c r="AY164" s="50" t="n">
        <f aca="false">IF(BW164=1,0,ROUNDUP(AX164/BV164,0))</f>
        <v>2</v>
      </c>
      <c r="AZ164" s="52" t="n">
        <f aca="false">IF(CL164&gt;0,CL164*MAX(1,AX164/X164),IF(BW164=1,IF(AX164&lt;=0,0,CA164*MAX(1,IF(H164&gt;0,AX164/H164,1))),IF(R164&gt;0,AY164/R164,0))/MAX(0.1,N(Parameter!$M$21)))</f>
        <v>0.166666666666667</v>
      </c>
      <c r="BA164" s="50" t="n">
        <f aca="false">AZ164*BY164</f>
        <v>24.1666666666667</v>
      </c>
      <c r="BB164" s="50" t="n">
        <f aca="false">AX164*G164</f>
        <v>2723.22</v>
      </c>
      <c r="BC164" s="50" t="n">
        <f aca="false">ROUNDUP(MAX(J164/IF(CD164&gt;0,CD164,MAX(0.1,N(Cockpit!$O$6))),CG164)/BV164,0)*BV164</f>
        <v>100</v>
      </c>
      <c r="BD164" s="51" t="n">
        <f aca="false">IF(BA164&gt;0,J164/BA164,-1)</f>
        <v>0.0827586206896552</v>
      </c>
      <c r="BE164" s="51" t="n">
        <f aca="false">IF(AND(OR(CC164="L1",CC164="L23",CC164="LIFT"),BA164&gt;0),SUMIFS($BA$7:$BA$1843,$CC$7:$CC$1843,CC164,$BD$7:$BD$1843,"&gt;"&amp;BD164)+SUMIFS($BA$7:$BA$1843,$CC$7:$CC$1843,CC164,$BD$7:$BD$1843,BD164,$BT$7:$BT$1843,"&lt;="&amp;BT164),"")</f>
        <v>23388.0998168498</v>
      </c>
      <c r="BF164" s="58" t="n">
        <f aca="false">IF(BE164="",0,MAX(0,MIN(1,(IF(CC164="L1",Parameter!$H$5,IF(CC164="L23",Parameter!$H$6+Parameter!$H$7,Parameter!$H$5+Parameter!$H$6+Parameter!$H$7))-(BE164-BA164))/BA164)))</f>
        <v>1</v>
      </c>
      <c r="BG164" s="48" t="str">
        <f aca="false">IF(AI164&lt;=0,"",IF(CC164="Aussen","Aussenlager",IF(CC164="-","Nicht im Lift",IF(AN164&gt;=1,"Lift",IF(AN164&lt;=0,"Aussenlager","teilweise")))))</f>
        <v>Lift</v>
      </c>
      <c r="BH164" s="48" t="str">
        <f aca="false">IF(AR164&lt;=0,"",IF(CC164="Aussen","Aussenlager",IF(CC164="-","Nicht im Lift",IF(AW164&gt;=1,"Lift",IF(AW164&lt;=0,"Aussenlager","teilweise")))))</f>
        <v>Lift</v>
      </c>
      <c r="BI164" s="48" t="str">
        <f aca="false">IF(BA164&lt;=0,"",IF(CC164="Aussen","Aussenlager",IF(CC164="-","Nicht im Lift",IF(BF164&gt;=1,"Lift",IF(BF164&lt;=0,"Aussenlager","teilweise")))))</f>
        <v>Lift</v>
      </c>
      <c r="BJ164" s="48" t="str">
        <f aca="false">IF(A164="","",IF(BS164=1,"Neu; ","")&amp;IF(AND(BS164=0,BN164&lt;0),"negativer Bestand (Export "&amp;BN164&amp;"); ","")&amp;IF(J164&lt;=0,"Kein Verbrauch; ","")&amp;IF(CL164&gt;0,"Lift "&amp;W164&amp;" lt. Liftbericht (Fach "&amp;X164&amp;" Stk); ",IF(BX164=1,"Gebinde geschätzt ("&amp;T164&amp;"); ",IF(BW164=1,"Lose – Tablare geschätzt; ","")))&amp;IF(H164&gt;AT164,"Überbestand "&amp;ROUND(H164-AT164,0)&amp;" Stk / CHF "&amp;ROUND((H164-AT164)*G164,0)&amp;"; ","")&amp;IF(AND(CE164=1,CF164&lt;CG164),"MAX &lt; MB+LG; ","")&amp;IF(AND(CK164&gt;0,CJ164*10&gt;CK164),"zu hoch für Tablar; ","")&amp;IF(AND(BS164=0,OR(CE164=1,AA164&lt;&gt;"",U164&lt;&gt;"",V164&lt;&gt;"",AB164&lt;&gt;"")),"manuell übersteuert; ","")&amp;IF(AND(BW164=0,R164=0),"Gebinde unbekannt / Stellmass fehlt; ","")&amp;IF(AND(BW164=0,N(V164)&lt;=0,N(Q164)&lt;=0),"Menge pro Gebinde fehlt (Ist = 1 Gebinde); ","")&amp;BR164)</f>
        <v>Überbestand 23 Stk / CHF 509; i.o</v>
      </c>
      <c r="BK164" s="48"/>
      <c r="BL164" s="48"/>
      <c r="BM164" s="55"/>
      <c r="BN164" s="50" t="n">
        <v>48</v>
      </c>
      <c r="BO164" s="50" t="n">
        <v>75</v>
      </c>
      <c r="BP164" s="49" t="n">
        <v>1171.2</v>
      </c>
      <c r="BQ164" s="50" t="n">
        <v>2</v>
      </c>
      <c r="BR164" s="48" t="s">
        <v>540</v>
      </c>
      <c r="BS164" s="53" t="n">
        <v>0</v>
      </c>
      <c r="BT164" s="53" t="n">
        <v>164</v>
      </c>
      <c r="BU164" s="48" t="str">
        <f aca="false">IF(U164&lt;&gt;"",UPPER(TRIM(U164)),IF(BX164=1,UPPER(VLOOKUP(T164,Parameter!$I$27:$K$29,2,0)),IF(P164="","LOSE",P164)))</f>
        <v>S61</v>
      </c>
      <c r="BV164" s="50" t="n">
        <f aca="false">IF(BU164="LOSE",1,IF(N(V164)&gt;0,V164,IF(BX164=1,MAX(1,N(VLOOKUP(T164,Parameter!$I$27:$K$29,3,0)),H164,N(N164)),IF(N(Q164)&gt;0,Q164,MAX(1,H164)))))</f>
        <v>100</v>
      </c>
      <c r="BW164" s="53" t="n">
        <f aca="false">IF(BU164="LOSE",1,0)</f>
        <v>0</v>
      </c>
      <c r="BX164" s="53" t="n">
        <f aca="false">IF(AND(U164="",OR(P164="",P164="LOSE"),T164&lt;&gt;"",N(S164)&lt;=0,ISNUMBER(MATCH(T164,Parameter!$I$27:$I$29,0))),1,0)</f>
        <v>0</v>
      </c>
      <c r="BY164" s="53" t="n">
        <f aca="false">IF(CL164&gt;0,INDEX(Parameter!$H$5:$H$7,W164)/INDEX(Parameter!$E$5:$E$7,W164),IF(AND(BW164=0,N(IFERROR(VLOOKUP(BU164,'Gebinde-Kategorie'!$A$5:$N$45,14,0),0))&gt;0),VLOOKUP(BU164,'Gebinde-Kategorie'!$A$5:$N$45,14,0)*10+Parameter!$M$23,Parameter!$M$24))</f>
        <v>145</v>
      </c>
      <c r="BZ164" s="48" t="str">
        <f aca="false">IF(AND(Parameter!$B$19="Ja",E164&lt;&gt;"",ISNUMBER(MATCH(E164,Parameter!$I$35:$I$52,0))),VLOOKUP(E164,Parameter!$I$35:$J$52,2,0),IFERROR(VLOOKUP(D164,Parameter!$A$35:$C$64,2,0),"Nein"))</f>
        <v>2+3</v>
      </c>
      <c r="CA164" s="52" t="n">
        <f aca="false">IF(BW164=0,0,IF(N(S164)&gt;0,S164,IFERROR(VLOOKUP(D164,Parameter!$A$35:$C$64,3,0)+0,0)))</f>
        <v>0</v>
      </c>
      <c r="CB164" s="48" t="n">
        <f aca="false">IF(AA164&lt;&gt;"",AA164,Z164)</f>
        <v>2</v>
      </c>
      <c r="CC164" s="48" t="str">
        <f aca="false">IF(OR(CB164=1,CB164=2,CB164=3),IF(Parameter!$E$27="Ja","LIFT",IF(CB164=1,"L1","L23")),IF(CB164="Aussen","Aussen","-"))</f>
        <v>LIFT</v>
      </c>
      <c r="CD164" s="59" t="n">
        <f aca="false">IF(N(AB164)&gt;0,AB164,0)</f>
        <v>0</v>
      </c>
      <c r="CE164" s="53" t="n">
        <f aca="false">IF(ISNUMBER(AE164),1,0)</f>
        <v>0</v>
      </c>
      <c r="CF164" s="50" t="n">
        <f aca="false">N(AE164)</f>
        <v>0</v>
      </c>
      <c r="CG164" s="50" t="n">
        <f aca="false">N(M164)+N(N164)</f>
        <v>1</v>
      </c>
      <c r="CH164" s="50" t="n">
        <f aca="false">ROUNDUP(H164/BV164,0)</f>
        <v>2</v>
      </c>
      <c r="CI164" s="50" t="n">
        <f aca="false">ROUNDUP(CF164/BV164,0)</f>
        <v>0</v>
      </c>
      <c r="CJ164" s="53" t="n">
        <f aca="false">IF(BW164=1,0,IFERROR(VLOOKUP(BU164,'Gebinde-Kategorie'!$A$5:$N$45,5,0)+0,0))</f>
        <v>11</v>
      </c>
      <c r="CK164" s="53" t="n">
        <f aca="false">IFERROR(IF(OR(CB164=1,CB164=2,CB164=3),N(INDEX(Parameter!$I$5:$I$7,CB164)),0),0)</f>
        <v>0</v>
      </c>
      <c r="CL164" s="52" t="n">
        <f aca="false">IF(AND(Parameter!$B$21="Ja",ISNUMBER(W164),N(X164)&gt;0),IFERROR(N(INDEX(Parameter!$L$5:$L$7,W164))*INDEX(Parameter!$E$5:$E$7,W164)*X164/SUMIFS($X$7:$X$1843,$W$7:$W$1843,W164),0),0)</f>
        <v>0</v>
      </c>
    </row>
    <row r="165" customFormat="false" ht="15" hidden="false" customHeight="false" outlineLevel="0" collapsed="false">
      <c r="A165" s="48" t="s">
        <v>541</v>
      </c>
      <c r="B165" s="48" t="s">
        <v>542</v>
      </c>
      <c r="C165" s="48" t="s">
        <v>168</v>
      </c>
      <c r="D165" s="48" t="s">
        <v>177</v>
      </c>
      <c r="E165" s="48"/>
      <c r="F165" s="48" t="s">
        <v>222</v>
      </c>
      <c r="G165" s="49" t="n">
        <v>145.13</v>
      </c>
      <c r="H165" s="50" t="n">
        <f aca="false">MAX(0,IF(AND(Parameter!$B$21="Ja",ISNUMBER(Y165)),Y165,IF(Parameter!$B$20="Jahresanfang 2025 + Export",BO165+BN165,BN165)))</f>
        <v>18</v>
      </c>
      <c r="I165" s="50" t="n">
        <f aca="false">H165*G165</f>
        <v>2612.34</v>
      </c>
      <c r="J165" s="50" t="n">
        <f aca="false">BQ165*Parameter!$B$18</f>
        <v>28</v>
      </c>
      <c r="K165" s="51" t="n">
        <v>11.5</v>
      </c>
      <c r="L165" s="52" t="n">
        <v>2.43478260869565</v>
      </c>
      <c r="M165" s="50" t="n">
        <v>4</v>
      </c>
      <c r="N165" s="50" t="n">
        <v>20</v>
      </c>
      <c r="O165" s="53" t="n">
        <v>50</v>
      </c>
      <c r="P165" s="48" t="s">
        <v>178</v>
      </c>
      <c r="Q165" s="50" t="n">
        <v>15</v>
      </c>
      <c r="R165" s="53" t="n">
        <f aca="false">IF(BW165=1,0,IFERROR(VLOOKUP(BU165,'Gebinde-Kategorie'!$A$5:$N$45,13,0)+0,0))</f>
        <v>6</v>
      </c>
      <c r="S165" s="54"/>
      <c r="T165" s="55"/>
      <c r="U165" s="55"/>
      <c r="V165" s="55"/>
      <c r="W165" s="48"/>
      <c r="X165" s="50"/>
      <c r="Y165" s="50"/>
      <c r="Z165" s="48" t="n">
        <f aca="false">IF(A165="","",IF(AND(Parameter!$B$21="Ja",ISNUMBER(W165)),W165,IF(BZ165="2+3",IF(ISNUMBER(SEARCH("grosser Artikel",BR165)),2,IFERROR(VLOOKUP(BU165,Parameter!$F$35:$G$64,2,0),2)),IF(OR(BZ165="Nein",BZ165=""),"-",BZ165))))</f>
        <v>2</v>
      </c>
      <c r="AA165" s="55"/>
      <c r="AB165" s="56"/>
      <c r="AC165" s="50" t="n">
        <f aca="false">AT165</f>
        <v>30</v>
      </c>
      <c r="AD165" s="50" t="n">
        <f aca="false">MAX(AT165,H165)</f>
        <v>30</v>
      </c>
      <c r="AE165" s="57"/>
      <c r="AF165" s="50" t="n">
        <f aca="false">IF(LEFT(Cockpit!$C$5,1)="A",H165,IF(CE165=1,CF165,IF(LEFT(Cockpit!$C$5,1)="B",AK165,MAX(AK165,H165))))</f>
        <v>18</v>
      </c>
      <c r="AG165" s="50" t="n">
        <f aca="false">IF(BW165=1,0,ROUNDUP(AF165/BV165,0))</f>
        <v>2</v>
      </c>
      <c r="AH165" s="52" t="n">
        <f aca="false">IF(CL165&gt;0,CL165*MAX(1,AF165/X165),IF(BW165=1,IF(AF165&lt;=0,0,CA165*MAX(1,IF(H165&gt;0,AF165/H165,1))),IF(R165&gt;0,AG165/R165,0))/MAX(0.1,N(Parameter!$M$21)))</f>
        <v>0.333333333333333</v>
      </c>
      <c r="AI165" s="50" t="n">
        <f aca="false">AH165*BY165</f>
        <v>78.3333333333333</v>
      </c>
      <c r="AJ165" s="50" t="n">
        <f aca="false">AF165*G165</f>
        <v>2612.34</v>
      </c>
      <c r="AK165" s="50" t="n">
        <f aca="false">ROUNDUP(MAX(J165/IF(CD165&gt;0,CD165,MAX(0.1,N(Cockpit!$C$6))),CG165)/BV165,0)*BV165</f>
        <v>30</v>
      </c>
      <c r="AL165" s="51" t="n">
        <f aca="false">IF(AI165&gt;0,J165/AI165,-1)</f>
        <v>0.357446808510638</v>
      </c>
      <c r="AM165" s="51" t="n">
        <f aca="false">IF(AND(OR(CC165="L1",CC165="L23",CC165="LIFT"),AI165&gt;0),SUMIFS($AI$7:$AI$1843,$CC$7:$CC$1843,CC165,$AL$7:$AL$1843,"&gt;"&amp;AL165)+SUMIFS($AI$7:$AI$1843,$CC$7:$CC$1843,CC165,$AL$7:$AL$1843,AL165,$BT$7:$BT$1843,"&lt;="&amp;BT165),"")</f>
        <v>10619.3333048778</v>
      </c>
      <c r="AN165" s="58" t="n">
        <f aca="false">IF(AM165="",0,MAX(0,MIN(1,(IF(CC165="L1",Parameter!$H$5,IF(CC165="L23",Parameter!$H$6+Parameter!$H$7,Parameter!$H$5+Parameter!$H$6+Parameter!$H$7))-(AM165-AI165))/AI165)))</f>
        <v>1</v>
      </c>
      <c r="AO165" s="50" t="n">
        <f aca="false">IF(LEFT(Cockpit!$I$5,1)="A",H165,IF(CE165=1,CF165,IF(LEFT(Cockpit!$I$5,1)="B",AT165,MAX(AT165,H165))))</f>
        <v>30</v>
      </c>
      <c r="AP165" s="50" t="n">
        <f aca="false">IF(BW165=1,0,ROUNDUP(AO165/BV165,0))</f>
        <v>2</v>
      </c>
      <c r="AQ165" s="52" t="n">
        <f aca="false">IF(CL165&gt;0,CL165*MAX(1,AO165/X165),IF(BW165=1,IF(AO165&lt;=0,0,CA165*MAX(1,IF(H165&gt;0,AO165/H165,1))),IF(R165&gt;0,AP165/R165,0))/MAX(0.1,N(Parameter!$M$21)))</f>
        <v>0.333333333333333</v>
      </c>
      <c r="AR165" s="50" t="n">
        <f aca="false">AQ165*BY165</f>
        <v>78.3333333333333</v>
      </c>
      <c r="AS165" s="50" t="n">
        <f aca="false">AO165*G165</f>
        <v>4353.9</v>
      </c>
      <c r="AT165" s="50" t="n">
        <f aca="false">ROUNDUP(MAX(J165/IF(CD165&gt;0,CD165,MAX(0.1,N(Cockpit!$I$6))),CG165)/BV165,0)*BV165</f>
        <v>30</v>
      </c>
      <c r="AU165" s="51" t="n">
        <f aca="false">IF(AR165&gt;0,J165/AR165,-1)</f>
        <v>0.357446808510638</v>
      </c>
      <c r="AV165" s="51" t="n">
        <f aca="false">IF(AND(OR(CC165="L1",CC165="L23",CC165="LIFT"),AR165&gt;0),SUMIFS($AR$7:$AR$1843,$CC$7:$CC$1843,CC165,$AU$7:$AU$1843,"&gt;"&amp;AU165)+SUMIFS($AR$7:$AR$1843,$CC$7:$CC$1843,CC165,$AU$7:$AU$1843,AU165,$BT$7:$BT$1843,"&lt;="&amp;BT165),"")</f>
        <v>15893.0315934066</v>
      </c>
      <c r="AW165" s="58" t="n">
        <f aca="false">IF(AV165="",0,MAX(0,MIN(1,(IF(CC165="L1",Parameter!$H$5,IF(CC165="L23",Parameter!$H$6+Parameter!$H$7,Parameter!$H$5+Parameter!$H$6+Parameter!$H$7))-(AV165-AR165))/AR165)))</f>
        <v>1</v>
      </c>
      <c r="AX165" s="50" t="n">
        <f aca="false">IF(LEFT(Cockpit!$O$5,1)="A",H165,IF(CE165=1,CF165,IF(LEFT(Cockpit!$O$5,1)="B",BC165,MAX(BC165,H165))))</f>
        <v>30</v>
      </c>
      <c r="AY165" s="50" t="n">
        <f aca="false">IF(BW165=1,0,ROUNDUP(AX165/BV165,0))</f>
        <v>2</v>
      </c>
      <c r="AZ165" s="52" t="n">
        <f aca="false">IF(CL165&gt;0,CL165*MAX(1,AX165/X165),IF(BW165=1,IF(AX165&lt;=0,0,CA165*MAX(1,IF(H165&gt;0,AX165/H165,1))),IF(R165&gt;0,AY165/R165,0))/MAX(0.1,N(Parameter!$M$21)))</f>
        <v>0.333333333333333</v>
      </c>
      <c r="BA165" s="50" t="n">
        <f aca="false">AZ165*BY165</f>
        <v>78.3333333333333</v>
      </c>
      <c r="BB165" s="50" t="n">
        <f aca="false">AX165*G165</f>
        <v>4353.9</v>
      </c>
      <c r="BC165" s="50" t="n">
        <f aca="false">ROUNDUP(MAX(J165/IF(CD165&gt;0,CD165,MAX(0.1,N(Cockpit!$O$6))),CG165)/BV165,0)*BV165</f>
        <v>30</v>
      </c>
      <c r="BD165" s="51" t="n">
        <f aca="false">IF(BA165&gt;0,J165/BA165,-1)</f>
        <v>0.357446808510638</v>
      </c>
      <c r="BE165" s="51" t="n">
        <f aca="false">IF(AND(OR(CC165="L1",CC165="L23",CC165="LIFT"),BA165&gt;0),SUMIFS($BA$7:$BA$1843,$CC$7:$CC$1843,CC165,$BD$7:$BD$1843,"&gt;"&amp;BD165)+SUMIFS($BA$7:$BA$1843,$CC$7:$CC$1843,CC165,$BD$7:$BD$1843,BD165,$BT$7:$BT$1843,"&lt;="&amp;BT165),"")</f>
        <v>14643.6886446886</v>
      </c>
      <c r="BF165" s="58" t="n">
        <f aca="false">IF(BE165="",0,MAX(0,MIN(1,(IF(CC165="L1",Parameter!$H$5,IF(CC165="L23",Parameter!$H$6+Parameter!$H$7,Parameter!$H$5+Parameter!$H$6+Parameter!$H$7))-(BE165-BA165))/BA165)))</f>
        <v>1</v>
      </c>
      <c r="BG165" s="48" t="str">
        <f aca="false">IF(AI165&lt;=0,"",IF(CC165="Aussen","Aussenlager",IF(CC165="-","Nicht im Lift",IF(AN165&gt;=1,"Lift",IF(AN165&lt;=0,"Aussenlager","teilweise")))))</f>
        <v>Lift</v>
      </c>
      <c r="BH165" s="48" t="str">
        <f aca="false">IF(AR165&lt;=0,"",IF(CC165="Aussen","Aussenlager",IF(CC165="-","Nicht im Lift",IF(AW165&gt;=1,"Lift",IF(AW165&lt;=0,"Aussenlager","teilweise")))))</f>
        <v>Lift</v>
      </c>
      <c r="BI165" s="48" t="str">
        <f aca="false">IF(BA165&lt;=0,"",IF(CC165="Aussen","Aussenlager",IF(CC165="-","Nicht im Lift",IF(BF165&gt;=1,"Lift",IF(BF165&lt;=0,"Aussenlager","teilweise")))))</f>
        <v>Lift</v>
      </c>
      <c r="BJ165" s="48" t="str">
        <f aca="false">IF(A165="","",IF(BS165=1,"Neu; ","")&amp;IF(AND(BS165=0,BN165&lt;0),"negativer Bestand (Export "&amp;BN165&amp;"); ","")&amp;IF(J165&lt;=0,"Kein Verbrauch; ","")&amp;IF(CL165&gt;0,"Lift "&amp;W165&amp;" lt. Liftbericht (Fach "&amp;X165&amp;" Stk); ",IF(BX165=1,"Gebinde geschätzt ("&amp;T165&amp;"); ",IF(BW165=1,"Lose – Tablare geschätzt; ","")))&amp;IF(H165&gt;AT165,"Überbestand "&amp;ROUND(H165-AT165,0)&amp;" Stk / CHF "&amp;ROUND((H165-AT165)*G165,0)&amp;"; ","")&amp;IF(AND(CE165=1,CF165&lt;CG165),"MAX &lt; MB+LG; ","")&amp;IF(AND(CK165&gt;0,CJ165*10&gt;CK165),"zu hoch für Tablar; ","")&amp;IF(AND(BS165=0,OR(CE165=1,AA165&lt;&gt;"",U165&lt;&gt;"",V165&lt;&gt;"",AB165&lt;&gt;"")),"manuell übersteuert; ","")&amp;IF(AND(BW165=0,R165=0),"Gebinde unbekannt / Stellmass fehlt; ","")&amp;IF(AND(BW165=0,N(V165)&lt;=0,N(Q165)&lt;=0),"Menge pro Gebinde fehlt (Ist = 1 Gebinde); ","")&amp;BR165)</f>
        <v/>
      </c>
      <c r="BK165" s="48"/>
      <c r="BL165" s="48"/>
      <c r="BM165" s="55"/>
      <c r="BN165" s="50" t="n">
        <v>7</v>
      </c>
      <c r="BO165" s="50" t="n">
        <v>11</v>
      </c>
      <c r="BP165" s="49" t="n">
        <v>1134.27</v>
      </c>
      <c r="BQ165" s="50" t="n">
        <v>28</v>
      </c>
      <c r="BR165" s="48"/>
      <c r="BS165" s="53" t="n">
        <v>0</v>
      </c>
      <c r="BT165" s="53" t="n">
        <v>165</v>
      </c>
      <c r="BU165" s="48" t="str">
        <f aca="false">IF(U165&lt;&gt;"",UPPER(TRIM(U165)),IF(BX165=1,UPPER(VLOOKUP(T165,Parameter!$I$27:$K$29,2,0)),IF(P165="","LOSE",P165)))</f>
        <v>S71</v>
      </c>
      <c r="BV165" s="50" t="n">
        <f aca="false">IF(BU165="LOSE",1,IF(N(V165)&gt;0,V165,IF(BX165=1,MAX(1,N(VLOOKUP(T165,Parameter!$I$27:$K$29,3,0)),H165,N(N165)),IF(N(Q165)&gt;0,Q165,MAX(1,H165)))))</f>
        <v>15</v>
      </c>
      <c r="BW165" s="53" t="n">
        <f aca="false">IF(BU165="LOSE",1,0)</f>
        <v>0</v>
      </c>
      <c r="BX165" s="53" t="n">
        <f aca="false">IF(AND(U165="",OR(P165="",P165="LOSE"),T165&lt;&gt;"",N(S165)&lt;=0,ISNUMBER(MATCH(T165,Parameter!$I$27:$I$29,0))),1,0)</f>
        <v>0</v>
      </c>
      <c r="BY165" s="53" t="n">
        <f aca="false">IF(CL165&gt;0,INDEX(Parameter!$H$5:$H$7,W165)/INDEX(Parameter!$E$5:$E$7,W165),IF(AND(BW165=0,N(IFERROR(VLOOKUP(BU165,'Gebinde-Kategorie'!$A$5:$N$45,14,0),0))&gt;0),VLOOKUP(BU165,'Gebinde-Kategorie'!$A$5:$N$45,14,0)*10+Parameter!$M$23,Parameter!$M$24))</f>
        <v>235</v>
      </c>
      <c r="BZ165" s="48" t="str">
        <f aca="false">IF(AND(Parameter!$B$19="Ja",E165&lt;&gt;"",ISNUMBER(MATCH(E165,Parameter!$I$35:$I$52,0))),VLOOKUP(E165,Parameter!$I$35:$J$52,2,0),IFERROR(VLOOKUP(D165,Parameter!$A$35:$C$64,2,0),"Nein"))</f>
        <v>2+3</v>
      </c>
      <c r="CA165" s="52" t="n">
        <f aca="false">IF(BW165=0,0,IF(N(S165)&gt;0,S165,IFERROR(VLOOKUP(D165,Parameter!$A$35:$C$64,3,0)+0,0)))</f>
        <v>0</v>
      </c>
      <c r="CB165" s="48" t="n">
        <f aca="false">IF(AA165&lt;&gt;"",AA165,Z165)</f>
        <v>2</v>
      </c>
      <c r="CC165" s="48" t="str">
        <f aca="false">IF(OR(CB165=1,CB165=2,CB165=3),IF(Parameter!$E$27="Ja","LIFT",IF(CB165=1,"L1","L23")),IF(CB165="Aussen","Aussen","-"))</f>
        <v>LIFT</v>
      </c>
      <c r="CD165" s="59" t="n">
        <f aca="false">IF(N(AB165)&gt;0,AB165,0)</f>
        <v>0</v>
      </c>
      <c r="CE165" s="53" t="n">
        <f aca="false">IF(ISNUMBER(AE165),1,0)</f>
        <v>0</v>
      </c>
      <c r="CF165" s="50" t="n">
        <f aca="false">N(AE165)</f>
        <v>0</v>
      </c>
      <c r="CG165" s="50" t="n">
        <f aca="false">N(M165)+N(N165)</f>
        <v>24</v>
      </c>
      <c r="CH165" s="50" t="n">
        <f aca="false">ROUNDUP(H165/BV165,0)</f>
        <v>2</v>
      </c>
      <c r="CI165" s="50" t="n">
        <f aca="false">ROUNDUP(CF165/BV165,0)</f>
        <v>0</v>
      </c>
      <c r="CJ165" s="53" t="n">
        <f aca="false">IF(BW165=1,0,IFERROR(VLOOKUP(BU165,'Gebinde-Kategorie'!$A$5:$N$45,5,0)+0,0))</f>
        <v>20</v>
      </c>
      <c r="CK165" s="53" t="n">
        <f aca="false">IFERROR(IF(OR(CB165=1,CB165=2,CB165=3),N(INDEX(Parameter!$I$5:$I$7,CB165)),0),0)</f>
        <v>0</v>
      </c>
      <c r="CL165" s="52" t="n">
        <f aca="false">IF(AND(Parameter!$B$21="Ja",ISNUMBER(W165),N(X165)&gt;0),IFERROR(N(INDEX(Parameter!$L$5:$L$7,W165))*INDEX(Parameter!$E$5:$E$7,W165)*X165/SUMIFS($X$7:$X$1843,$W$7:$W$1843,W165),0),0)</f>
        <v>0</v>
      </c>
    </row>
    <row r="166" customFormat="false" ht="15" hidden="false" customHeight="false" outlineLevel="0" collapsed="false">
      <c r="A166" s="48" t="s">
        <v>543</v>
      </c>
      <c r="B166" s="48" t="s">
        <v>544</v>
      </c>
      <c r="C166" s="48" t="s">
        <v>168</v>
      </c>
      <c r="D166" s="48" t="s">
        <v>177</v>
      </c>
      <c r="E166" s="48" t="s">
        <v>374</v>
      </c>
      <c r="F166" s="48" t="s">
        <v>222</v>
      </c>
      <c r="G166" s="49" t="n">
        <v>314.61</v>
      </c>
      <c r="H166" s="50" t="n">
        <f aca="false">MAX(0,IF(AND(Parameter!$B$21="Ja",ISNUMBER(Y166)),Y166,IF(Parameter!$B$20="Jahresanfang 2025 + Export",BO166+BN166,BN166)))</f>
        <v>5</v>
      </c>
      <c r="I166" s="50" t="n">
        <f aca="false">H166*G166</f>
        <v>1573.05</v>
      </c>
      <c r="J166" s="50" t="n">
        <f aca="false">BQ166*Parameter!$B$18</f>
        <v>17</v>
      </c>
      <c r="K166" s="51" t="n">
        <v>1.5</v>
      </c>
      <c r="L166" s="52" t="n">
        <v>11.3333333333333</v>
      </c>
      <c r="M166" s="50" t="n">
        <v>1</v>
      </c>
      <c r="N166" s="50" t="n">
        <v>2</v>
      </c>
      <c r="O166" s="53" t="n">
        <v>14</v>
      </c>
      <c r="P166" s="48" t="s">
        <v>172</v>
      </c>
      <c r="Q166" s="50"/>
      <c r="R166" s="53" t="n">
        <f aca="false">IF(BW166=1,0,IFERROR(VLOOKUP(BU166,'Gebinde-Kategorie'!$A$5:$N$45,13,0)+0,0))</f>
        <v>4</v>
      </c>
      <c r="S166" s="54"/>
      <c r="T166" s="55" t="s">
        <v>193</v>
      </c>
      <c r="U166" s="55"/>
      <c r="V166" s="55"/>
      <c r="W166" s="48"/>
      <c r="X166" s="50"/>
      <c r="Y166" s="50"/>
      <c r="Z166" s="48" t="str">
        <f aca="false">IF(A166="","",IF(AND(Parameter!$B$21="Ja",ISNUMBER(W166)),W166,IF(BZ166="2+3",IF(ISNUMBER(SEARCH("grosser Artikel",BR166)),2,IFERROR(VLOOKUP(BU166,Parameter!$F$35:$G$64,2,0),2)),IF(OR(BZ166="Nein",BZ166=""),"-",BZ166))))</f>
        <v>-</v>
      </c>
      <c r="AA166" s="55"/>
      <c r="AB166" s="56"/>
      <c r="AC166" s="50" t="n">
        <f aca="false">AT166</f>
        <v>10</v>
      </c>
      <c r="AD166" s="50" t="n">
        <f aca="false">MAX(AT166,H166)</f>
        <v>10</v>
      </c>
      <c r="AE166" s="57"/>
      <c r="AF166" s="50" t="n">
        <f aca="false">IF(LEFT(Cockpit!$C$5,1)="A",H166,IF(CE166=1,CF166,IF(LEFT(Cockpit!$C$5,1)="B",AK166,MAX(AK166,H166))))</f>
        <v>5</v>
      </c>
      <c r="AG166" s="50" t="n">
        <f aca="false">IF(BW166=1,0,ROUNDUP(AF166/BV166,0))</f>
        <v>1</v>
      </c>
      <c r="AH166" s="52" t="n">
        <f aca="false">IF(CL166&gt;0,CL166*MAX(1,AF166/X166),IF(BW166=1,IF(AF166&lt;=0,0,CA166*MAX(1,IF(H166&gt;0,AF166/H166,1))),IF(R166&gt;0,AG166/R166,0))/MAX(0.1,N(Parameter!$M$21)))</f>
        <v>0.25</v>
      </c>
      <c r="AI166" s="50" t="n">
        <f aca="false">AH166*BY166</f>
        <v>58.75</v>
      </c>
      <c r="AJ166" s="50" t="n">
        <f aca="false">AF166*G166</f>
        <v>1573.05</v>
      </c>
      <c r="AK166" s="50" t="n">
        <f aca="false">ROUNDUP(MAX(J166/IF(CD166&gt;0,CD166,MAX(0.1,N(Cockpit!$C$6))),CG166)/BV166,0)*BV166</f>
        <v>10</v>
      </c>
      <c r="AL166" s="51" t="n">
        <f aca="false">IF(AI166&gt;0,J166/AI166,-1)</f>
        <v>0.28936170212766</v>
      </c>
      <c r="AM166" s="51" t="str">
        <f aca="false">IF(AND(OR(CC166="L1",CC166="L23",CC166="LIFT"),AI166&gt;0),SUMIFS($AI$7:$AI$1843,$CC$7:$CC$1843,CC166,$AL$7:$AL$1843,"&gt;"&amp;AL166)+SUMIFS($AI$7:$AI$1843,$CC$7:$CC$1843,CC166,$AL$7:$AL$1843,AL166,$BT$7:$BT$1843,"&lt;="&amp;BT166),"")</f>
        <v/>
      </c>
      <c r="AN166" s="58" t="n">
        <f aca="false">IF(AM166="",0,MAX(0,MIN(1,(IF(CC166="L1",Parameter!$H$5,IF(CC166="L23",Parameter!$H$6+Parameter!$H$7,Parameter!$H$5+Parameter!$H$6+Parameter!$H$7))-(AM166-AI166))/AI166)))</f>
        <v>0</v>
      </c>
      <c r="AO166" s="50" t="n">
        <f aca="false">IF(LEFT(Cockpit!$I$5,1)="A",H166,IF(CE166=1,CF166,IF(LEFT(Cockpit!$I$5,1)="B",AT166,MAX(AT166,H166))))</f>
        <v>10</v>
      </c>
      <c r="AP166" s="50" t="n">
        <f aca="false">IF(BW166=1,0,ROUNDUP(AO166/BV166,0))</f>
        <v>2</v>
      </c>
      <c r="AQ166" s="52" t="n">
        <f aca="false">IF(CL166&gt;0,CL166*MAX(1,AO166/X166),IF(BW166=1,IF(AO166&lt;=0,0,CA166*MAX(1,IF(H166&gt;0,AO166/H166,1))),IF(R166&gt;0,AP166/R166,0))/MAX(0.1,N(Parameter!$M$21)))</f>
        <v>0.5</v>
      </c>
      <c r="AR166" s="50" t="n">
        <f aca="false">AQ166*BY166</f>
        <v>117.5</v>
      </c>
      <c r="AS166" s="50" t="n">
        <f aca="false">AO166*G166</f>
        <v>3146.1</v>
      </c>
      <c r="AT166" s="50" t="n">
        <f aca="false">ROUNDUP(MAX(J166/IF(CD166&gt;0,CD166,MAX(0.1,N(Cockpit!$I$6))),CG166)/BV166,0)*BV166</f>
        <v>10</v>
      </c>
      <c r="AU166" s="51" t="n">
        <f aca="false">IF(AR166&gt;0,J166/AR166,-1)</f>
        <v>0.14468085106383</v>
      </c>
      <c r="AV166" s="51" t="str">
        <f aca="false">IF(AND(OR(CC166="L1",CC166="L23",CC166="LIFT"),AR166&gt;0),SUMIFS($AR$7:$AR$1843,$CC$7:$CC$1843,CC166,$AU$7:$AU$1843,"&gt;"&amp;AU166)+SUMIFS($AR$7:$AR$1843,$CC$7:$CC$1843,CC166,$AU$7:$AU$1843,AU166,$BT$7:$BT$1843,"&lt;="&amp;BT166),"")</f>
        <v/>
      </c>
      <c r="AW166" s="58" t="n">
        <f aca="false">IF(AV166="",0,MAX(0,MIN(1,(IF(CC166="L1",Parameter!$H$5,IF(CC166="L23",Parameter!$H$6+Parameter!$H$7,Parameter!$H$5+Parameter!$H$6+Parameter!$H$7))-(AV166-AR166))/AR166)))</f>
        <v>0</v>
      </c>
      <c r="AX166" s="50" t="n">
        <f aca="false">IF(LEFT(Cockpit!$O$5,1)="A",H166,IF(CE166=1,CF166,IF(LEFT(Cockpit!$O$5,1)="B",BC166,MAX(BC166,H166))))</f>
        <v>10</v>
      </c>
      <c r="AY166" s="50" t="n">
        <f aca="false">IF(BW166=1,0,ROUNDUP(AX166/BV166,0))</f>
        <v>2</v>
      </c>
      <c r="AZ166" s="52" t="n">
        <f aca="false">IF(CL166&gt;0,CL166*MAX(1,AX166/X166),IF(BW166=1,IF(AX166&lt;=0,0,CA166*MAX(1,IF(H166&gt;0,AX166/H166,1))),IF(R166&gt;0,AY166/R166,0))/MAX(0.1,N(Parameter!$M$21)))</f>
        <v>0.5</v>
      </c>
      <c r="BA166" s="50" t="n">
        <f aca="false">AZ166*BY166</f>
        <v>117.5</v>
      </c>
      <c r="BB166" s="50" t="n">
        <f aca="false">AX166*G166</f>
        <v>3146.1</v>
      </c>
      <c r="BC166" s="50" t="n">
        <f aca="false">ROUNDUP(MAX(J166/IF(CD166&gt;0,CD166,MAX(0.1,N(Cockpit!$O$6))),CG166)/BV166,0)*BV166</f>
        <v>10</v>
      </c>
      <c r="BD166" s="51" t="n">
        <f aca="false">IF(BA166&gt;0,J166/BA166,-1)</f>
        <v>0.14468085106383</v>
      </c>
      <c r="BE166" s="51" t="str">
        <f aca="false">IF(AND(OR(CC166="L1",CC166="L23",CC166="LIFT"),BA166&gt;0),SUMIFS($BA$7:$BA$1843,$CC$7:$CC$1843,CC166,$BD$7:$BD$1843,"&gt;"&amp;BD166)+SUMIFS($BA$7:$BA$1843,$CC$7:$CC$1843,CC166,$BD$7:$BD$1843,BD166,$BT$7:$BT$1843,"&lt;="&amp;BT166),"")</f>
        <v/>
      </c>
      <c r="BF166" s="58" t="n">
        <f aca="false">IF(BE166="",0,MAX(0,MIN(1,(IF(CC166="L1",Parameter!$H$5,IF(CC166="L23",Parameter!$H$6+Parameter!$H$7,Parameter!$H$5+Parameter!$H$6+Parameter!$H$7))-(BE166-BA166))/BA166)))</f>
        <v>0</v>
      </c>
      <c r="BG166" s="48" t="str">
        <f aca="false">IF(AI166&lt;=0,"",IF(CC166="Aussen","Aussenlager",IF(CC166="-","Nicht im Lift",IF(AN166&gt;=1,"Lift",IF(AN166&lt;=0,"Aussenlager","teilweise")))))</f>
        <v>Nicht im Lift</v>
      </c>
      <c r="BH166" s="48" t="str">
        <f aca="false">IF(AR166&lt;=0,"",IF(CC166="Aussen","Aussenlager",IF(CC166="-","Nicht im Lift",IF(AW166&gt;=1,"Lift",IF(AW166&lt;=0,"Aussenlager","teilweise")))))</f>
        <v>Nicht im Lift</v>
      </c>
      <c r="BI166" s="48" t="str">
        <f aca="false">IF(BA166&lt;=0,"",IF(CC166="Aussen","Aussenlager",IF(CC166="-","Nicht im Lift",IF(BF166&gt;=1,"Lift",IF(BF166&lt;=0,"Aussenlager","teilweise")))))</f>
        <v>Nicht im Lift</v>
      </c>
      <c r="BJ166" s="48" t="str">
        <f aca="false">IF(A166="","",IF(BS166=1,"Neu; ","")&amp;IF(AND(BS166=0,BN166&lt;0),"negativer Bestand (Export "&amp;BN166&amp;"); ","")&amp;IF(J166&lt;=0,"Kein Verbrauch; ","")&amp;IF(CL166&gt;0,"Lift "&amp;W166&amp;" lt. Liftbericht (Fach "&amp;X166&amp;" Stk); ",IF(BX166=1,"Gebinde geschätzt ("&amp;T166&amp;"); ",IF(BW166=1,"Lose – Tablare geschätzt; ","")))&amp;IF(H166&gt;AT166,"Überbestand "&amp;ROUND(H166-AT166,0)&amp;" Stk / CHF "&amp;ROUND((H166-AT166)*G166,0)&amp;"; ","")&amp;IF(AND(CE166=1,CF166&lt;CG166),"MAX &lt; MB+LG; ","")&amp;IF(AND(CK166&gt;0,CJ166*10&gt;CK166),"zu hoch für Tablar; ","")&amp;IF(AND(BS166=0,OR(CE166=1,AA166&lt;&gt;"",U166&lt;&gt;"",V166&lt;&gt;"",AB166&lt;&gt;"")),"manuell übersteuert; ","")&amp;IF(AND(BW166=0,R166=0),"Gebinde unbekannt / Stellmass fehlt; ","")&amp;IF(AND(BW166=0,N(V166)&lt;=0,N(Q166)&lt;=0),"Menge pro Gebinde fehlt (Ist = 1 Gebinde); ","")&amp;BR166)</f>
        <v>Gebinde geschätzt (Gross); Menge pro Gebinde fehlt (Ist = 1 Gebinde); </v>
      </c>
      <c r="BK166" s="48"/>
      <c r="BL166" s="48"/>
      <c r="BM166" s="55"/>
      <c r="BN166" s="50" t="n">
        <v>3</v>
      </c>
      <c r="BO166" s="50" t="n">
        <v>2</v>
      </c>
      <c r="BP166" s="49" t="n">
        <v>1123.95</v>
      </c>
      <c r="BQ166" s="50" t="n">
        <v>17</v>
      </c>
      <c r="BR166" s="48"/>
      <c r="BS166" s="53" t="n">
        <v>0</v>
      </c>
      <c r="BT166" s="53" t="n">
        <v>166</v>
      </c>
      <c r="BU166" s="48" t="str">
        <f aca="false">IF(U166&lt;&gt;"",UPPER(TRIM(U166)),IF(BX166=1,UPPER(VLOOKUP(T166,Parameter!$I$27:$K$29,2,0)),IF(P166="","LOSE",P166)))</f>
        <v>S81</v>
      </c>
      <c r="BV166" s="50" t="n">
        <f aca="false">IF(BU166="LOSE",1,IF(N(V166)&gt;0,V166,IF(BX166=1,MAX(1,N(VLOOKUP(T166,Parameter!$I$27:$K$29,3,0)),H166,N(N166)),IF(N(Q166)&gt;0,Q166,MAX(1,H166)))))</f>
        <v>5</v>
      </c>
      <c r="BW166" s="53" t="n">
        <f aca="false">IF(BU166="LOSE",1,0)</f>
        <v>0</v>
      </c>
      <c r="BX166" s="53" t="n">
        <f aca="false">IF(AND(U166="",OR(P166="",P166="LOSE"),T166&lt;&gt;"",N(S166)&lt;=0,ISNUMBER(MATCH(T166,Parameter!$I$27:$I$29,0))),1,0)</f>
        <v>1</v>
      </c>
      <c r="BY166" s="53" t="n">
        <f aca="false">IF(CL166&gt;0,INDEX(Parameter!$H$5:$H$7,W166)/INDEX(Parameter!$E$5:$E$7,W166),IF(AND(BW166=0,N(IFERROR(VLOOKUP(BU166,'Gebinde-Kategorie'!$A$5:$N$45,14,0),0))&gt;0),VLOOKUP(BU166,'Gebinde-Kategorie'!$A$5:$N$45,14,0)*10+Parameter!$M$23,Parameter!$M$24))</f>
        <v>235</v>
      </c>
      <c r="BZ166" s="48" t="str">
        <f aca="false">IF(AND(Parameter!$B$19="Ja",E166&lt;&gt;"",ISNUMBER(MATCH(E166,Parameter!$I$35:$I$52,0))),VLOOKUP(E166,Parameter!$I$35:$J$52,2,0),IFERROR(VLOOKUP(D166,Parameter!$A$35:$C$64,2,0),"Nein"))</f>
        <v>Nein</v>
      </c>
      <c r="CA166" s="52" t="n">
        <f aca="false">IF(BW166=0,0,IF(N(S166)&gt;0,S166,IFERROR(VLOOKUP(D166,Parameter!$A$35:$C$64,3,0)+0,0)))</f>
        <v>0</v>
      </c>
      <c r="CB166" s="48" t="str">
        <f aca="false">IF(AA166&lt;&gt;"",AA166,Z166)</f>
        <v>-</v>
      </c>
      <c r="CC166" s="48" t="str">
        <f aca="false">IF(OR(CB166=1,CB166=2,CB166=3),IF(Parameter!$E$27="Ja","LIFT",IF(CB166=1,"L1","L23")),IF(CB166="Aussen","Aussen","-"))</f>
        <v>-</v>
      </c>
      <c r="CD166" s="59" t="n">
        <f aca="false">IF(N(AB166)&gt;0,AB166,0)</f>
        <v>0</v>
      </c>
      <c r="CE166" s="53" t="n">
        <f aca="false">IF(ISNUMBER(AE166),1,0)</f>
        <v>0</v>
      </c>
      <c r="CF166" s="50" t="n">
        <f aca="false">N(AE166)</f>
        <v>0</v>
      </c>
      <c r="CG166" s="50" t="n">
        <f aca="false">N(M166)+N(N166)</f>
        <v>3</v>
      </c>
      <c r="CH166" s="50" t="n">
        <f aca="false">ROUNDUP(H166/BV166,0)</f>
        <v>1</v>
      </c>
      <c r="CI166" s="50" t="n">
        <f aca="false">ROUNDUP(CF166/BV166,0)</f>
        <v>0</v>
      </c>
      <c r="CJ166" s="53" t="n">
        <f aca="false">IF(BW166=1,0,IFERROR(VLOOKUP(BU166,'Gebinde-Kategorie'!$A$5:$N$45,5,0)+0,0))</f>
        <v>20</v>
      </c>
      <c r="CK166" s="53" t="n">
        <f aca="false">IFERROR(IF(OR(CB166=1,CB166=2,CB166=3),N(INDEX(Parameter!$I$5:$I$7,CB166)),0),0)</f>
        <v>0</v>
      </c>
      <c r="CL166" s="52" t="n">
        <f aca="false">IF(AND(Parameter!$B$21="Ja",ISNUMBER(W166),N(X166)&gt;0),IFERROR(N(INDEX(Parameter!$L$5:$L$7,W166))*INDEX(Parameter!$E$5:$E$7,W166)*X166/SUMIFS($X$7:$X$1843,$W$7:$W$1843,W166),0),0)</f>
        <v>0</v>
      </c>
    </row>
    <row r="167" customFormat="false" ht="15" hidden="false" customHeight="false" outlineLevel="0" collapsed="false">
      <c r="A167" s="48" t="s">
        <v>545</v>
      </c>
      <c r="B167" s="48" t="s">
        <v>546</v>
      </c>
      <c r="C167" s="48" t="s">
        <v>168</v>
      </c>
      <c r="D167" s="48" t="s">
        <v>188</v>
      </c>
      <c r="E167" s="48" t="s">
        <v>189</v>
      </c>
      <c r="F167" s="48" t="s">
        <v>222</v>
      </c>
      <c r="G167" s="49" t="n">
        <v>102.3</v>
      </c>
      <c r="H167" s="50" t="n">
        <f aca="false">MAX(0,IF(AND(Parameter!$B$21="Ja",ISNUMBER(Y167)),Y167,IF(Parameter!$B$20="Jahresanfang 2025 + Export",BO167+BN167,BN167)))</f>
        <v>18</v>
      </c>
      <c r="I167" s="50" t="n">
        <f aca="false">H167*G167</f>
        <v>1841.4</v>
      </c>
      <c r="J167" s="50" t="n">
        <f aca="false">BQ167*Parameter!$B$18</f>
        <v>28</v>
      </c>
      <c r="K167" s="51" t="n">
        <v>13</v>
      </c>
      <c r="L167" s="52" t="n">
        <v>2.15384615384615</v>
      </c>
      <c r="M167" s="50" t="n">
        <v>1</v>
      </c>
      <c r="N167" s="50" t="n">
        <v>30</v>
      </c>
      <c r="O167" s="53" t="n">
        <v>21</v>
      </c>
      <c r="P167" s="48" t="s">
        <v>306</v>
      </c>
      <c r="Q167" s="50" t="n">
        <v>7</v>
      </c>
      <c r="R167" s="53" t="n">
        <f aca="false">IF(BW167=1,0,IFERROR(VLOOKUP(BU167,'Gebinde-Kategorie'!$A$5:$N$45,13,0)+0,0))</f>
        <v>26</v>
      </c>
      <c r="S167" s="54"/>
      <c r="T167" s="55"/>
      <c r="U167" s="55"/>
      <c r="V167" s="55"/>
      <c r="W167" s="48"/>
      <c r="X167" s="50"/>
      <c r="Y167" s="50"/>
      <c r="Z167" s="48" t="n">
        <f aca="false">IF(A167="","",IF(AND(Parameter!$B$21="Ja",ISNUMBER(W167)),W167,IF(BZ167="2+3",IF(ISNUMBER(SEARCH("grosser Artikel",BR167)),2,IFERROR(VLOOKUP(BU167,Parameter!$F$35:$G$64,2,0),2)),IF(OR(BZ167="Nein",BZ167=""),"-",BZ167))))</f>
        <v>3</v>
      </c>
      <c r="AA167" s="55"/>
      <c r="AB167" s="56"/>
      <c r="AC167" s="50" t="n">
        <f aca="false">AT167</f>
        <v>35</v>
      </c>
      <c r="AD167" s="50" t="n">
        <f aca="false">MAX(AT167,H167)</f>
        <v>35</v>
      </c>
      <c r="AE167" s="57"/>
      <c r="AF167" s="50" t="n">
        <f aca="false">IF(LEFT(Cockpit!$C$5,1)="A",H167,IF(CE167=1,CF167,IF(LEFT(Cockpit!$C$5,1)="B",AK167,MAX(AK167,H167))))</f>
        <v>18</v>
      </c>
      <c r="AG167" s="50" t="n">
        <f aca="false">IF(BW167=1,0,ROUNDUP(AF167/BV167,0))</f>
        <v>3</v>
      </c>
      <c r="AH167" s="52" t="n">
        <f aca="false">IF(CL167&gt;0,CL167*MAX(1,AF167/X167),IF(BW167=1,IF(AF167&lt;=0,0,CA167*MAX(1,IF(H167&gt;0,AF167/H167,1))),IF(R167&gt;0,AG167/R167,0))/MAX(0.1,N(Parameter!$M$21)))</f>
        <v>0.115384615384615</v>
      </c>
      <c r="AI167" s="50" t="n">
        <f aca="false">AH167*BY167</f>
        <v>17.8846153846154</v>
      </c>
      <c r="AJ167" s="50" t="n">
        <f aca="false">AF167*G167</f>
        <v>1841.4</v>
      </c>
      <c r="AK167" s="50" t="n">
        <f aca="false">ROUNDUP(MAX(J167/IF(CD167&gt;0,CD167,MAX(0.1,N(Cockpit!$C$6))),CG167)/BV167,0)*BV167</f>
        <v>35</v>
      </c>
      <c r="AL167" s="51" t="n">
        <f aca="false">IF(AI167&gt;0,J167/AI167,-1)</f>
        <v>1.56559139784946</v>
      </c>
      <c r="AM167" s="51" t="n">
        <f aca="false">IF(AND(OR(CC167="L1",CC167="L23",CC167="LIFT"),AI167&gt;0),SUMIFS($AI$7:$AI$1843,$CC$7:$CC$1843,CC167,$AL$7:$AL$1843,"&gt;"&amp;AL167)+SUMIFS($AI$7:$AI$1843,$CC$7:$CC$1843,CC167,$AL$7:$AL$1843,AL167,$BT$7:$BT$1843,"&lt;="&amp;BT167),"")</f>
        <v>6198.00686813187</v>
      </c>
      <c r="AN167" s="58" t="n">
        <f aca="false">IF(AM167="",0,MAX(0,MIN(1,(IF(CC167="L1",Parameter!$H$5,IF(CC167="L23",Parameter!$H$6+Parameter!$H$7,Parameter!$H$5+Parameter!$H$6+Parameter!$H$7))-(AM167-AI167))/AI167)))</f>
        <v>1</v>
      </c>
      <c r="AO167" s="50" t="n">
        <f aca="false">IF(LEFT(Cockpit!$I$5,1)="A",H167,IF(CE167=1,CF167,IF(LEFT(Cockpit!$I$5,1)="B",AT167,MAX(AT167,H167))))</f>
        <v>35</v>
      </c>
      <c r="AP167" s="50" t="n">
        <f aca="false">IF(BW167=1,0,ROUNDUP(AO167/BV167,0))</f>
        <v>5</v>
      </c>
      <c r="AQ167" s="52" t="n">
        <f aca="false">IF(CL167&gt;0,CL167*MAX(1,AO167/X167),IF(BW167=1,IF(AO167&lt;=0,0,CA167*MAX(1,IF(H167&gt;0,AO167/H167,1))),IF(R167&gt;0,AP167/R167,0))/MAX(0.1,N(Parameter!$M$21)))</f>
        <v>0.192307692307692</v>
      </c>
      <c r="AR167" s="50" t="n">
        <f aca="false">AQ167*BY167</f>
        <v>29.8076923076923</v>
      </c>
      <c r="AS167" s="50" t="n">
        <f aca="false">AO167*G167</f>
        <v>3580.5</v>
      </c>
      <c r="AT167" s="50" t="n">
        <f aca="false">ROUNDUP(MAX(J167/IF(CD167&gt;0,CD167,MAX(0.1,N(Cockpit!$I$6))),CG167)/BV167,0)*BV167</f>
        <v>35</v>
      </c>
      <c r="AU167" s="51" t="n">
        <f aca="false">IF(AR167&gt;0,J167/AR167,-1)</f>
        <v>0.939354838709677</v>
      </c>
      <c r="AV167" s="51" t="n">
        <f aca="false">IF(AND(OR(CC167="L1",CC167="L23",CC167="LIFT"),AR167&gt;0),SUMIFS($AR$7:$AR$1843,$CC$7:$CC$1843,CC167,$AU$7:$AU$1843,"&gt;"&amp;AU167)+SUMIFS($AR$7:$AR$1843,$CC$7:$CC$1843,CC167,$AU$7:$AU$1843,AU167,$BT$7:$BT$1843,"&lt;="&amp;BT167),"")</f>
        <v>10380.5457875458</v>
      </c>
      <c r="AW167" s="58" t="n">
        <f aca="false">IF(AV167="",0,MAX(0,MIN(1,(IF(CC167="L1",Parameter!$H$5,IF(CC167="L23",Parameter!$H$6+Parameter!$H$7,Parameter!$H$5+Parameter!$H$6+Parameter!$H$7))-(AV167-AR167))/AR167)))</f>
        <v>1</v>
      </c>
      <c r="AX167" s="50" t="n">
        <f aca="false">IF(LEFT(Cockpit!$O$5,1)="A",H167,IF(CE167=1,CF167,IF(LEFT(Cockpit!$O$5,1)="B",BC167,MAX(BC167,H167))))</f>
        <v>35</v>
      </c>
      <c r="AY167" s="50" t="n">
        <f aca="false">IF(BW167=1,0,ROUNDUP(AX167/BV167,0))</f>
        <v>5</v>
      </c>
      <c r="AZ167" s="52" t="n">
        <f aca="false">IF(CL167&gt;0,CL167*MAX(1,AX167/X167),IF(BW167=1,IF(AX167&lt;=0,0,CA167*MAX(1,IF(H167&gt;0,AX167/H167,1))),IF(R167&gt;0,AY167/R167,0))/MAX(0.1,N(Parameter!$M$21)))</f>
        <v>0.192307692307692</v>
      </c>
      <c r="BA167" s="50" t="n">
        <f aca="false">AZ167*BY167</f>
        <v>29.8076923076923</v>
      </c>
      <c r="BB167" s="50" t="n">
        <f aca="false">AX167*G167</f>
        <v>3580.5</v>
      </c>
      <c r="BC167" s="50" t="n">
        <f aca="false">ROUNDUP(MAX(J167/IF(CD167&gt;0,CD167,MAX(0.1,N(Cockpit!$O$6))),CG167)/BV167,0)*BV167</f>
        <v>35</v>
      </c>
      <c r="BD167" s="51" t="n">
        <f aca="false">IF(BA167&gt;0,J167/BA167,-1)</f>
        <v>0.939354838709677</v>
      </c>
      <c r="BE167" s="51" t="n">
        <f aca="false">IF(AND(OR(CC167="L1",CC167="L23",CC167="LIFT"),BA167&gt;0),SUMIFS($BA$7:$BA$1843,$CC$7:$CC$1843,CC167,$BD$7:$BD$1843,"&gt;"&amp;BD167)+SUMIFS($BA$7:$BA$1843,$CC$7:$CC$1843,CC167,$BD$7:$BD$1843,BD167,$BT$7:$BT$1843,"&lt;="&amp;BT167),"")</f>
        <v>9493.70283882784</v>
      </c>
      <c r="BF167" s="58" t="n">
        <f aca="false">IF(BE167="",0,MAX(0,MIN(1,(IF(CC167="L1",Parameter!$H$5,IF(CC167="L23",Parameter!$H$6+Parameter!$H$7,Parameter!$H$5+Parameter!$H$6+Parameter!$H$7))-(BE167-BA167))/BA167)))</f>
        <v>1</v>
      </c>
      <c r="BG167" s="48" t="str">
        <f aca="false">IF(AI167&lt;=0,"",IF(CC167="Aussen","Aussenlager",IF(CC167="-","Nicht im Lift",IF(AN167&gt;=1,"Lift",IF(AN167&lt;=0,"Aussenlager","teilweise")))))</f>
        <v>Lift</v>
      </c>
      <c r="BH167" s="48" t="str">
        <f aca="false">IF(AR167&lt;=0,"",IF(CC167="Aussen","Aussenlager",IF(CC167="-","Nicht im Lift",IF(AW167&gt;=1,"Lift",IF(AW167&lt;=0,"Aussenlager","teilweise")))))</f>
        <v>Lift</v>
      </c>
      <c r="BI167" s="48" t="str">
        <f aca="false">IF(BA167&lt;=0,"",IF(CC167="Aussen","Aussenlager",IF(CC167="-","Nicht im Lift",IF(BF167&gt;=1,"Lift",IF(BF167&lt;=0,"Aussenlager","teilweise")))))</f>
        <v>Lift</v>
      </c>
      <c r="BJ167" s="48" t="str">
        <f aca="false">IF(A167="","",IF(BS167=1,"Neu; ","")&amp;IF(AND(BS167=0,BN167&lt;0),"negativer Bestand (Export "&amp;BN167&amp;"); ","")&amp;IF(J167&lt;=0,"Kein Verbrauch; ","")&amp;IF(CL167&gt;0,"Lift "&amp;W167&amp;" lt. Liftbericht (Fach "&amp;X167&amp;" Stk); ",IF(BX167=1,"Gebinde geschätzt ("&amp;T167&amp;"); ",IF(BW167=1,"Lose – Tablare geschätzt; ","")))&amp;IF(H167&gt;AT167,"Überbestand "&amp;ROUND(H167-AT167,0)&amp;" Stk / CHF "&amp;ROUND((H167-AT167)*G167,0)&amp;"; ","")&amp;IF(AND(CE167=1,CF167&lt;CG167),"MAX &lt; MB+LG; ","")&amp;IF(AND(CK167&gt;0,CJ167*10&gt;CK167),"zu hoch für Tablar; ","")&amp;IF(AND(BS167=0,OR(CE167=1,AA167&lt;&gt;"",U167&lt;&gt;"",V167&lt;&gt;"",AB167&lt;&gt;"")),"manuell übersteuert; ","")&amp;IF(AND(BW167=0,R167=0),"Gebinde unbekannt / Stellmass fehlt; ","")&amp;IF(AND(BW167=0,N(V167)&lt;=0,N(Q167)&lt;=0),"Menge pro Gebinde fehlt (Ist = 1 Gebinde); ","")&amp;BR167)</f>
        <v/>
      </c>
      <c r="BK167" s="48"/>
      <c r="BL167" s="48"/>
      <c r="BM167" s="55"/>
      <c r="BN167" s="50" t="n">
        <v>10</v>
      </c>
      <c r="BO167" s="50" t="n">
        <v>8</v>
      </c>
      <c r="BP167" s="49" t="n">
        <v>1120.12</v>
      </c>
      <c r="BQ167" s="50" t="n">
        <v>28</v>
      </c>
      <c r="BR167" s="48"/>
      <c r="BS167" s="53" t="n">
        <v>0</v>
      </c>
      <c r="BT167" s="53" t="n">
        <v>167</v>
      </c>
      <c r="BU167" s="48" t="str">
        <f aca="false">IF(U167&lt;&gt;"",UPPER(TRIM(U167)),IF(BX167=1,UPPER(VLOOKUP(T167,Parameter!$I$27:$K$29,2,0)),IF(P167="","LOSE",P167)))</f>
        <v>S51</v>
      </c>
      <c r="BV167" s="50" t="n">
        <f aca="false">IF(BU167="LOSE",1,IF(N(V167)&gt;0,V167,IF(BX167=1,MAX(1,N(VLOOKUP(T167,Parameter!$I$27:$K$29,3,0)),H167,N(N167)),IF(N(Q167)&gt;0,Q167,MAX(1,H167)))))</f>
        <v>7</v>
      </c>
      <c r="BW167" s="53" t="n">
        <f aca="false">IF(BU167="LOSE",1,0)</f>
        <v>0</v>
      </c>
      <c r="BX167" s="53" t="n">
        <f aca="false">IF(AND(U167="",OR(P167="",P167="LOSE"),T167&lt;&gt;"",N(S167)&lt;=0,ISNUMBER(MATCH(T167,Parameter!$I$27:$I$29,0))),1,0)</f>
        <v>0</v>
      </c>
      <c r="BY167" s="53" t="n">
        <f aca="false">IF(CL167&gt;0,INDEX(Parameter!$H$5:$H$7,W167)/INDEX(Parameter!$E$5:$E$7,W167),IF(AND(BW167=0,N(IFERROR(VLOOKUP(BU167,'Gebinde-Kategorie'!$A$5:$N$45,14,0),0))&gt;0),VLOOKUP(BU167,'Gebinde-Kategorie'!$A$5:$N$45,14,0)*10+Parameter!$M$23,Parameter!$M$24))</f>
        <v>155</v>
      </c>
      <c r="BZ167" s="48" t="str">
        <f aca="false">IF(AND(Parameter!$B$19="Ja",E167&lt;&gt;"",ISNUMBER(MATCH(E167,Parameter!$I$35:$I$52,0))),VLOOKUP(E167,Parameter!$I$35:$J$52,2,0),IFERROR(VLOOKUP(D167,Parameter!$A$35:$C$64,2,0),"Nein"))</f>
        <v>2+3</v>
      </c>
      <c r="CA167" s="52" t="n">
        <f aca="false">IF(BW167=0,0,IF(N(S167)&gt;0,S167,IFERROR(VLOOKUP(D167,Parameter!$A$35:$C$64,3,0)+0,0)))</f>
        <v>0</v>
      </c>
      <c r="CB167" s="48" t="n">
        <f aca="false">IF(AA167&lt;&gt;"",AA167,Z167)</f>
        <v>3</v>
      </c>
      <c r="CC167" s="48" t="str">
        <f aca="false">IF(OR(CB167=1,CB167=2,CB167=3),IF(Parameter!$E$27="Ja","LIFT",IF(CB167=1,"L1","L23")),IF(CB167="Aussen","Aussen","-"))</f>
        <v>LIFT</v>
      </c>
      <c r="CD167" s="59" t="n">
        <f aca="false">IF(N(AB167)&gt;0,AB167,0)</f>
        <v>0</v>
      </c>
      <c r="CE167" s="53" t="n">
        <f aca="false">IF(ISNUMBER(AE167),1,0)</f>
        <v>0</v>
      </c>
      <c r="CF167" s="50" t="n">
        <f aca="false">N(AE167)</f>
        <v>0</v>
      </c>
      <c r="CG167" s="50" t="n">
        <f aca="false">N(M167)+N(N167)</f>
        <v>31</v>
      </c>
      <c r="CH167" s="50" t="n">
        <f aca="false">ROUNDUP(H167/BV167,0)</f>
        <v>3</v>
      </c>
      <c r="CI167" s="50" t="n">
        <f aca="false">ROUNDUP(CF167/BV167,0)</f>
        <v>0</v>
      </c>
      <c r="CJ167" s="53" t="n">
        <f aca="false">IF(BW167=1,0,IFERROR(VLOOKUP(BU167,'Gebinde-Kategorie'!$A$5:$N$45,5,0)+0,0))</f>
        <v>11</v>
      </c>
      <c r="CK167" s="53" t="n">
        <f aca="false">IFERROR(IF(OR(CB167=1,CB167=2,CB167=3),N(INDEX(Parameter!$I$5:$I$7,CB167)),0),0)</f>
        <v>0</v>
      </c>
      <c r="CL167" s="52" t="n">
        <f aca="false">IF(AND(Parameter!$B$21="Ja",ISNUMBER(W167),N(X167)&gt;0),IFERROR(N(INDEX(Parameter!$L$5:$L$7,W167))*INDEX(Parameter!$E$5:$E$7,W167)*X167/SUMIFS($X$7:$X$1843,$W$7:$W$1843,W167),0),0)</f>
        <v>0</v>
      </c>
    </row>
    <row r="168" customFormat="false" ht="15" hidden="false" customHeight="false" outlineLevel="0" collapsed="false">
      <c r="A168" s="48" t="s">
        <v>547</v>
      </c>
      <c r="B168" s="48" t="s">
        <v>548</v>
      </c>
      <c r="C168" s="48" t="s">
        <v>168</v>
      </c>
      <c r="D168" s="48" t="s">
        <v>188</v>
      </c>
      <c r="E168" s="48" t="s">
        <v>189</v>
      </c>
      <c r="F168" s="48" t="s">
        <v>222</v>
      </c>
      <c r="G168" s="49" t="n">
        <v>14.58</v>
      </c>
      <c r="H168" s="50" t="n">
        <f aca="false">MAX(0,IF(AND(Parameter!$B$21="Ja",ISNUMBER(Y168)),Y168,IF(Parameter!$B$20="Jahresanfang 2025 + Export",BO168+BN168,BN168)))</f>
        <v>130</v>
      </c>
      <c r="I168" s="50" t="n">
        <f aca="false">H168*G168</f>
        <v>1895.4</v>
      </c>
      <c r="J168" s="50" t="n">
        <f aca="false">BQ168*Parameter!$B$18</f>
        <v>151</v>
      </c>
      <c r="K168" s="51" t="n">
        <v>44</v>
      </c>
      <c r="L168" s="52" t="n">
        <v>3.43181818181818</v>
      </c>
      <c r="M168" s="50" t="n">
        <v>8</v>
      </c>
      <c r="N168" s="50" t="n">
        <v>150</v>
      </c>
      <c r="O168" s="53" t="n">
        <v>28</v>
      </c>
      <c r="P168" s="48" t="s">
        <v>425</v>
      </c>
      <c r="Q168" s="50" t="n">
        <v>76</v>
      </c>
      <c r="R168" s="53" t="n">
        <f aca="false">IF(BW168=1,0,IFERROR(VLOOKUP(BU168,'Gebinde-Kategorie'!$A$5:$N$45,13,0)+0,0))</f>
        <v>104</v>
      </c>
      <c r="S168" s="54"/>
      <c r="T168" s="55"/>
      <c r="U168" s="55"/>
      <c r="V168" s="55"/>
      <c r="W168" s="48"/>
      <c r="X168" s="50"/>
      <c r="Y168" s="50"/>
      <c r="Z168" s="48" t="n">
        <f aca="false">IF(A168="","",IF(AND(Parameter!$B$21="Ja",ISNUMBER(W168)),W168,IF(BZ168="2+3",IF(ISNUMBER(SEARCH("grosser Artikel",BR168)),2,IFERROR(VLOOKUP(BU168,Parameter!$F$35:$G$64,2,0),2)),IF(OR(BZ168="Nein",BZ168=""),"-",BZ168))))</f>
        <v>3</v>
      </c>
      <c r="AA168" s="55"/>
      <c r="AB168" s="56"/>
      <c r="AC168" s="50" t="n">
        <f aca="false">AT168</f>
        <v>228</v>
      </c>
      <c r="AD168" s="50" t="n">
        <f aca="false">MAX(AT168,H168)</f>
        <v>228</v>
      </c>
      <c r="AE168" s="57"/>
      <c r="AF168" s="50" t="n">
        <f aca="false">IF(LEFT(Cockpit!$C$5,1)="A",H168,IF(CE168=1,CF168,IF(LEFT(Cockpit!$C$5,1)="B",AK168,MAX(AK168,H168))))</f>
        <v>130</v>
      </c>
      <c r="AG168" s="50" t="n">
        <f aca="false">IF(BW168=1,0,ROUNDUP(AF168/BV168,0))</f>
        <v>2</v>
      </c>
      <c r="AH168" s="52" t="n">
        <f aca="false">IF(CL168&gt;0,CL168*MAX(1,AF168/X168),IF(BW168=1,IF(AF168&lt;=0,0,CA168*MAX(1,IF(H168&gt;0,AF168/H168,1))),IF(R168&gt;0,AG168/R168,0))/MAX(0.1,N(Parameter!$M$21)))</f>
        <v>0.0192307692307692</v>
      </c>
      <c r="AI168" s="50" t="n">
        <f aca="false">AH168*BY168</f>
        <v>2.98076923076923</v>
      </c>
      <c r="AJ168" s="50" t="n">
        <f aca="false">AF168*G168</f>
        <v>1895.4</v>
      </c>
      <c r="AK168" s="50" t="n">
        <f aca="false">ROUNDUP(MAX(J168/IF(CD168&gt;0,CD168,MAX(0.1,N(Cockpit!$C$6))),CG168)/BV168,0)*BV168</f>
        <v>228</v>
      </c>
      <c r="AL168" s="51" t="n">
        <f aca="false">IF(AI168&gt;0,J168/AI168,-1)</f>
        <v>50.658064516129</v>
      </c>
      <c r="AM168" s="51" t="n">
        <f aca="false">IF(AND(OR(CC168="L1",CC168="L23",CC168="LIFT"),AI168&gt;0),SUMIFS($AI$7:$AI$1843,$CC$7:$CC$1843,CC168,$AL$7:$AL$1843,"&gt;"&amp;AL168)+SUMIFS($AI$7:$AI$1843,$CC$7:$CC$1843,CC168,$AL$7:$AL$1843,AL168,$BT$7:$BT$1843,"&lt;="&amp;BT168),"")</f>
        <v>1020.91346153846</v>
      </c>
      <c r="AN168" s="58" t="n">
        <f aca="false">IF(AM168="",0,MAX(0,MIN(1,(IF(CC168="L1",Parameter!$H$5,IF(CC168="L23",Parameter!$H$6+Parameter!$H$7,Parameter!$H$5+Parameter!$H$6+Parameter!$H$7))-(AM168-AI168))/AI168)))</f>
        <v>1</v>
      </c>
      <c r="AO168" s="50" t="n">
        <f aca="false">IF(LEFT(Cockpit!$I$5,1)="A",H168,IF(CE168=1,CF168,IF(LEFT(Cockpit!$I$5,1)="B",AT168,MAX(AT168,H168))))</f>
        <v>228</v>
      </c>
      <c r="AP168" s="50" t="n">
        <f aca="false">IF(BW168=1,0,ROUNDUP(AO168/BV168,0))</f>
        <v>3</v>
      </c>
      <c r="AQ168" s="52" t="n">
        <f aca="false">IF(CL168&gt;0,CL168*MAX(1,AO168/X168),IF(BW168=1,IF(AO168&lt;=0,0,CA168*MAX(1,IF(H168&gt;0,AO168/H168,1))),IF(R168&gt;0,AP168/R168,0))/MAX(0.1,N(Parameter!$M$21)))</f>
        <v>0.0288461538461538</v>
      </c>
      <c r="AR168" s="50" t="n">
        <f aca="false">AQ168*BY168</f>
        <v>4.47115384615385</v>
      </c>
      <c r="AS168" s="50" t="n">
        <f aca="false">AO168*G168</f>
        <v>3324.24</v>
      </c>
      <c r="AT168" s="50" t="n">
        <f aca="false">ROUNDUP(MAX(J168/IF(CD168&gt;0,CD168,MAX(0.1,N(Cockpit!$I$6))),CG168)/BV168,0)*BV168</f>
        <v>228</v>
      </c>
      <c r="AU168" s="51" t="n">
        <f aca="false">IF(AR168&gt;0,J168/AR168,-1)</f>
        <v>33.7720430107527</v>
      </c>
      <c r="AV168" s="51" t="n">
        <f aca="false">IF(AND(OR(CC168="L1",CC168="L23",CC168="LIFT"),AR168&gt;0),SUMIFS($AR$7:$AR$1843,$CC$7:$CC$1843,CC168,$AU$7:$AU$1843,"&gt;"&amp;AU168)+SUMIFS($AR$7:$AR$1843,$CC$7:$CC$1843,CC168,$AU$7:$AU$1843,AU168,$BT$7:$BT$1843,"&lt;="&amp;BT168),"")</f>
        <v>1827.73489010989</v>
      </c>
      <c r="AW168" s="58" t="n">
        <f aca="false">IF(AV168="",0,MAX(0,MIN(1,(IF(CC168="L1",Parameter!$H$5,IF(CC168="L23",Parameter!$H$6+Parameter!$H$7,Parameter!$H$5+Parameter!$H$6+Parameter!$H$7))-(AV168-AR168))/AR168)))</f>
        <v>1</v>
      </c>
      <c r="AX168" s="50" t="n">
        <f aca="false">IF(LEFT(Cockpit!$O$5,1)="A",H168,IF(CE168=1,CF168,IF(LEFT(Cockpit!$O$5,1)="B",BC168,MAX(BC168,H168))))</f>
        <v>228</v>
      </c>
      <c r="AY168" s="50" t="n">
        <f aca="false">IF(BW168=1,0,ROUNDUP(AX168/BV168,0))</f>
        <v>3</v>
      </c>
      <c r="AZ168" s="52" t="n">
        <f aca="false">IF(CL168&gt;0,CL168*MAX(1,AX168/X168),IF(BW168=1,IF(AX168&lt;=0,0,CA168*MAX(1,IF(H168&gt;0,AX168/H168,1))),IF(R168&gt;0,AY168/R168,0))/MAX(0.1,N(Parameter!$M$21)))</f>
        <v>0.0288461538461538</v>
      </c>
      <c r="BA168" s="50" t="n">
        <f aca="false">AZ168*BY168</f>
        <v>4.47115384615385</v>
      </c>
      <c r="BB168" s="50" t="n">
        <f aca="false">AX168*G168</f>
        <v>3324.24</v>
      </c>
      <c r="BC168" s="50" t="n">
        <f aca="false">ROUNDUP(MAX(J168/IF(CD168&gt;0,CD168,MAX(0.1,N(Cockpit!$O$6))),CG168)/BV168,0)*BV168</f>
        <v>228</v>
      </c>
      <c r="BD168" s="51" t="n">
        <f aca="false">IF(BA168&gt;0,J168/BA168,-1)</f>
        <v>33.7720430107527</v>
      </c>
      <c r="BE168" s="51" t="n">
        <f aca="false">IF(AND(OR(CC168="L1",CC168="L23",CC168="LIFT"),BA168&gt;0),SUMIFS($BA$7:$BA$1843,$CC$7:$CC$1843,CC168,$BD$7:$BD$1843,"&gt;"&amp;BD168)+SUMIFS($BA$7:$BA$1843,$CC$7:$CC$1843,CC168,$BD$7:$BD$1843,BD168,$BT$7:$BT$1843,"&lt;="&amp;BT168),"")</f>
        <v>1663.42399267399</v>
      </c>
      <c r="BF168" s="58" t="n">
        <f aca="false">IF(BE168="",0,MAX(0,MIN(1,(IF(CC168="L1",Parameter!$H$5,IF(CC168="L23",Parameter!$H$6+Parameter!$H$7,Parameter!$H$5+Parameter!$H$6+Parameter!$H$7))-(BE168-BA168))/BA168)))</f>
        <v>1</v>
      </c>
      <c r="BG168" s="48" t="str">
        <f aca="false">IF(AI168&lt;=0,"",IF(CC168="Aussen","Aussenlager",IF(CC168="-","Nicht im Lift",IF(AN168&gt;=1,"Lift",IF(AN168&lt;=0,"Aussenlager","teilweise")))))</f>
        <v>Lift</v>
      </c>
      <c r="BH168" s="48" t="str">
        <f aca="false">IF(AR168&lt;=0,"",IF(CC168="Aussen","Aussenlager",IF(CC168="-","Nicht im Lift",IF(AW168&gt;=1,"Lift",IF(AW168&lt;=0,"Aussenlager","teilweise")))))</f>
        <v>Lift</v>
      </c>
      <c r="BI168" s="48" t="str">
        <f aca="false">IF(BA168&lt;=0,"",IF(CC168="Aussen","Aussenlager",IF(CC168="-","Nicht im Lift",IF(BF168&gt;=1,"Lift",IF(BF168&lt;=0,"Aussenlager","teilweise")))))</f>
        <v>Lift</v>
      </c>
      <c r="BJ168" s="48" t="str">
        <f aca="false">IF(A168="","",IF(BS168=1,"Neu; ","")&amp;IF(AND(BS168=0,BN168&lt;0),"negativer Bestand (Export "&amp;BN168&amp;"); ","")&amp;IF(J168&lt;=0,"Kein Verbrauch; ","")&amp;IF(CL168&gt;0,"Lift "&amp;W168&amp;" lt. Liftbericht (Fach "&amp;X168&amp;" Stk); ",IF(BX168=1,"Gebinde geschätzt ("&amp;T168&amp;"); ",IF(BW168=1,"Lose – Tablare geschätzt; ","")))&amp;IF(H168&gt;AT168,"Überbestand "&amp;ROUND(H168-AT168,0)&amp;" Stk / CHF "&amp;ROUND((H168-AT168)*G168,0)&amp;"; ","")&amp;IF(AND(CE168=1,CF168&lt;CG168),"MAX &lt; MB+LG; ","")&amp;IF(AND(CK168&gt;0,CJ168*10&gt;CK168),"zu hoch für Tablar; ","")&amp;IF(AND(BS168=0,OR(CE168=1,AA168&lt;&gt;"",U168&lt;&gt;"",V168&lt;&gt;"",AB168&lt;&gt;"")),"manuell übersteuert; ","")&amp;IF(AND(BW168=0,R168=0),"Gebinde unbekannt / Stellmass fehlt; ","")&amp;IF(AND(BW168=0,N(V168)&lt;=0,N(Q168)&lt;=0),"Menge pro Gebinde fehlt (Ist = 1 Gebinde); ","")&amp;BR168)</f>
        <v/>
      </c>
      <c r="BK168" s="48"/>
      <c r="BL168" s="48"/>
      <c r="BM168" s="55"/>
      <c r="BN168" s="50" t="n">
        <v>82</v>
      </c>
      <c r="BO168" s="50" t="n">
        <v>48</v>
      </c>
      <c r="BP168" s="49" t="n">
        <v>1112.04</v>
      </c>
      <c r="BQ168" s="50" t="n">
        <v>151</v>
      </c>
      <c r="BR168" s="48"/>
      <c r="BS168" s="53" t="n">
        <v>0</v>
      </c>
      <c r="BT168" s="53" t="n">
        <v>168</v>
      </c>
      <c r="BU168" s="48" t="str">
        <f aca="false">IF(U168&lt;&gt;"",UPPER(TRIM(U168)),IF(BX168=1,UPPER(VLOOKUP(T168,Parameter!$I$27:$K$29,2,0)),IF(P168="","LOSE",P168)))</f>
        <v>S32</v>
      </c>
      <c r="BV168" s="50" t="n">
        <f aca="false">IF(BU168="LOSE",1,IF(N(V168)&gt;0,V168,IF(BX168=1,MAX(1,N(VLOOKUP(T168,Parameter!$I$27:$K$29,3,0)),H168,N(N168)),IF(N(Q168)&gt;0,Q168,MAX(1,H168)))))</f>
        <v>76</v>
      </c>
      <c r="BW168" s="53" t="n">
        <f aca="false">IF(BU168="LOSE",1,0)</f>
        <v>0</v>
      </c>
      <c r="BX168" s="53" t="n">
        <f aca="false">IF(AND(U168="",OR(P168="",P168="LOSE"),T168&lt;&gt;"",N(S168)&lt;=0,ISNUMBER(MATCH(T168,Parameter!$I$27:$I$29,0))),1,0)</f>
        <v>0</v>
      </c>
      <c r="BY168" s="53" t="n">
        <f aca="false">IF(CL168&gt;0,INDEX(Parameter!$H$5:$H$7,W168)/INDEX(Parameter!$E$5:$E$7,W168),IF(AND(BW168=0,N(IFERROR(VLOOKUP(BU168,'Gebinde-Kategorie'!$A$5:$N$45,14,0),0))&gt;0),VLOOKUP(BU168,'Gebinde-Kategorie'!$A$5:$N$45,14,0)*10+Parameter!$M$23,Parameter!$M$24))</f>
        <v>155</v>
      </c>
      <c r="BZ168" s="48" t="str">
        <f aca="false">IF(AND(Parameter!$B$19="Ja",E168&lt;&gt;"",ISNUMBER(MATCH(E168,Parameter!$I$35:$I$52,0))),VLOOKUP(E168,Parameter!$I$35:$J$52,2,0),IFERROR(VLOOKUP(D168,Parameter!$A$35:$C$64,2,0),"Nein"))</f>
        <v>2+3</v>
      </c>
      <c r="CA168" s="52" t="n">
        <f aca="false">IF(BW168=0,0,IF(N(S168)&gt;0,S168,IFERROR(VLOOKUP(D168,Parameter!$A$35:$C$64,3,0)+0,0)))</f>
        <v>0</v>
      </c>
      <c r="CB168" s="48" t="n">
        <f aca="false">IF(AA168&lt;&gt;"",AA168,Z168)</f>
        <v>3</v>
      </c>
      <c r="CC168" s="48" t="str">
        <f aca="false">IF(OR(CB168=1,CB168=2,CB168=3),IF(Parameter!$E$27="Ja","LIFT",IF(CB168=1,"L1","L23")),IF(CB168="Aussen","Aussen","-"))</f>
        <v>LIFT</v>
      </c>
      <c r="CD168" s="59" t="n">
        <f aca="false">IF(N(AB168)&gt;0,AB168,0)</f>
        <v>0</v>
      </c>
      <c r="CE168" s="53" t="n">
        <f aca="false">IF(ISNUMBER(AE168),1,0)</f>
        <v>0</v>
      </c>
      <c r="CF168" s="50" t="n">
        <f aca="false">N(AE168)</f>
        <v>0</v>
      </c>
      <c r="CG168" s="50" t="n">
        <f aca="false">N(M168)+N(N168)</f>
        <v>158</v>
      </c>
      <c r="CH168" s="50" t="n">
        <f aca="false">ROUNDUP(H168/BV168,0)</f>
        <v>2</v>
      </c>
      <c r="CI168" s="50" t="n">
        <f aca="false">ROUNDUP(CF168/BV168,0)</f>
        <v>0</v>
      </c>
      <c r="CJ168" s="53" t="n">
        <f aca="false">IF(BW168=1,0,IFERROR(VLOOKUP(BU168,'Gebinde-Kategorie'!$A$5:$N$45,5,0)+0,0))</f>
        <v>8</v>
      </c>
      <c r="CK168" s="53" t="n">
        <f aca="false">IFERROR(IF(OR(CB168=1,CB168=2,CB168=3),N(INDEX(Parameter!$I$5:$I$7,CB168)),0),0)</f>
        <v>0</v>
      </c>
      <c r="CL168" s="52" t="n">
        <f aca="false">IF(AND(Parameter!$B$21="Ja",ISNUMBER(W168),N(X168)&gt;0),IFERROR(N(INDEX(Parameter!$L$5:$L$7,W168))*INDEX(Parameter!$E$5:$E$7,W168)*X168/SUMIFS($X$7:$X$1843,$W$7:$W$1843,W168),0),0)</f>
        <v>0</v>
      </c>
    </row>
    <row r="169" customFormat="false" ht="15" hidden="false" customHeight="false" outlineLevel="0" collapsed="false">
      <c r="A169" s="48" t="s">
        <v>549</v>
      </c>
      <c r="B169" s="48" t="s">
        <v>550</v>
      </c>
      <c r="C169" s="48" t="s">
        <v>168</v>
      </c>
      <c r="D169" s="48" t="s">
        <v>188</v>
      </c>
      <c r="E169" s="48"/>
      <c r="F169" s="48" t="s">
        <v>222</v>
      </c>
      <c r="G169" s="49" t="n">
        <v>11.02</v>
      </c>
      <c r="H169" s="50" t="n">
        <f aca="false">MAX(0,IF(AND(Parameter!$B$21="Ja",ISNUMBER(Y169)),Y169,IF(Parameter!$B$20="Jahresanfang 2025 + Export",BO169+BN169,BN169)))</f>
        <v>100</v>
      </c>
      <c r="I169" s="50" t="n">
        <f aca="false">H169*G169</f>
        <v>1102</v>
      </c>
      <c r="J169" s="50" t="n">
        <f aca="false">BQ169*Parameter!$B$18</f>
        <v>0</v>
      </c>
      <c r="K169" s="51" t="n">
        <v>0</v>
      </c>
      <c r="L169" s="52" t="n">
        <v>0</v>
      </c>
      <c r="M169" s="50" t="n">
        <v>0</v>
      </c>
      <c r="N169" s="50" t="n">
        <v>1</v>
      </c>
      <c r="O169" s="53" t="n">
        <v>9999</v>
      </c>
      <c r="P169" s="48" t="s">
        <v>172</v>
      </c>
      <c r="Q169" s="50"/>
      <c r="R169" s="53" t="n">
        <f aca="false">IF(BW169=1,0,IFERROR(VLOOKUP(BU169,'Gebinde-Kategorie'!$A$5:$N$45,13,0)+0,0))</f>
        <v>26</v>
      </c>
      <c r="S169" s="54"/>
      <c r="T169" s="55" t="s">
        <v>279</v>
      </c>
      <c r="U169" s="55"/>
      <c r="V169" s="55"/>
      <c r="W169" s="48"/>
      <c r="X169" s="50"/>
      <c r="Y169" s="50"/>
      <c r="Z169" s="48" t="n">
        <f aca="false">IF(A169="","",IF(AND(Parameter!$B$21="Ja",ISNUMBER(W169)),W169,IF(BZ169="2+3",IF(ISNUMBER(SEARCH("grosser Artikel",BR169)),2,IFERROR(VLOOKUP(BU169,Parameter!$F$35:$G$64,2,0),2)),IF(OR(BZ169="Nein",BZ169=""),"-",BZ169))))</f>
        <v>3</v>
      </c>
      <c r="AA169" s="55"/>
      <c r="AB169" s="56"/>
      <c r="AC169" s="50" t="n">
        <f aca="false">AT169</f>
        <v>100</v>
      </c>
      <c r="AD169" s="50" t="n">
        <f aca="false">MAX(AT169,H169)</f>
        <v>100</v>
      </c>
      <c r="AE169" s="57"/>
      <c r="AF169" s="50" t="n">
        <f aca="false">IF(LEFT(Cockpit!$C$5,1)="A",H169,IF(CE169=1,CF169,IF(LEFT(Cockpit!$C$5,1)="B",AK169,MAX(AK169,H169))))</f>
        <v>100</v>
      </c>
      <c r="AG169" s="50" t="n">
        <f aca="false">IF(BW169=1,0,ROUNDUP(AF169/BV169,0))</f>
        <v>1</v>
      </c>
      <c r="AH169" s="52" t="n">
        <f aca="false">IF(CL169&gt;0,CL169*MAX(1,AF169/X169),IF(BW169=1,IF(AF169&lt;=0,0,CA169*MAX(1,IF(H169&gt;0,AF169/H169,1))),IF(R169&gt;0,AG169/R169,0))/MAX(0.1,N(Parameter!$M$21)))</f>
        <v>0.0384615384615385</v>
      </c>
      <c r="AI169" s="50" t="n">
        <f aca="false">AH169*BY169</f>
        <v>5.96153846153846</v>
      </c>
      <c r="AJ169" s="50" t="n">
        <f aca="false">AF169*G169</f>
        <v>1102</v>
      </c>
      <c r="AK169" s="50" t="n">
        <f aca="false">ROUNDUP(MAX(J169/IF(CD169&gt;0,CD169,MAX(0.1,N(Cockpit!$C$6))),CG169)/BV169,0)*BV169</f>
        <v>100</v>
      </c>
      <c r="AL169" s="51" t="n">
        <f aca="false">IF(AI169&gt;0,J169/AI169,-1)</f>
        <v>0</v>
      </c>
      <c r="AM169" s="51" t="n">
        <f aca="false">IF(AND(OR(CC169="L1",CC169="L23",CC169="LIFT"),AI169&gt;0),SUMIFS($AI$7:$AI$1843,$CC$7:$CC$1843,CC169,$AL$7:$AL$1843,"&gt;"&amp;AL169)+SUMIFS($AI$7:$AI$1843,$CC$7:$CC$1843,CC169,$AL$7:$AL$1843,AL169,$BT$7:$BT$1843,"&lt;="&amp;BT169),"")</f>
        <v>27415.2831351793</v>
      </c>
      <c r="AN169" s="58" t="n">
        <f aca="false">IF(AM169="",0,MAX(0,MIN(1,(IF(CC169="L1",Parameter!$H$5,IF(CC169="L23",Parameter!$H$6+Parameter!$H$7,Parameter!$H$5+Parameter!$H$6+Parameter!$H$7))-(AM169-AI169))/AI169)))</f>
        <v>1</v>
      </c>
      <c r="AO169" s="50" t="n">
        <f aca="false">IF(LEFT(Cockpit!$I$5,1)="A",H169,IF(CE169=1,CF169,IF(LEFT(Cockpit!$I$5,1)="B",AT169,MAX(AT169,H169))))</f>
        <v>100</v>
      </c>
      <c r="AP169" s="50" t="n">
        <f aca="false">IF(BW169=1,0,ROUNDUP(AO169/BV169,0))</f>
        <v>1</v>
      </c>
      <c r="AQ169" s="52" t="n">
        <f aca="false">IF(CL169&gt;0,CL169*MAX(1,AO169/X169),IF(BW169=1,IF(AO169&lt;=0,0,CA169*MAX(1,IF(H169&gt;0,AO169/H169,1))),IF(R169&gt;0,AP169/R169,0))/MAX(0.1,N(Parameter!$M$21)))</f>
        <v>0.0384615384615385</v>
      </c>
      <c r="AR169" s="50" t="n">
        <f aca="false">AQ169*BY169</f>
        <v>5.96153846153846</v>
      </c>
      <c r="AS169" s="50" t="n">
        <f aca="false">AO169*G169</f>
        <v>1102</v>
      </c>
      <c r="AT169" s="50" t="n">
        <f aca="false">ROUNDUP(MAX(J169/IF(CD169&gt;0,CD169,MAX(0.1,N(Cockpit!$I$6))),CG169)/BV169,0)*BV169</f>
        <v>100</v>
      </c>
      <c r="AU169" s="51" t="n">
        <f aca="false">IF(AR169&gt;0,J169/AR169,-1)</f>
        <v>0</v>
      </c>
      <c r="AV169" s="51" t="n">
        <f aca="false">IF(AND(OR(CC169="L1",CC169="L23",CC169="LIFT"),AR169&gt;0),SUMIFS($AR$7:$AR$1843,$CC$7:$CC$1843,CC169,$AU$7:$AU$1843,"&gt;"&amp;AU169)+SUMIFS($AR$7:$AR$1843,$CC$7:$CC$1843,CC169,$AU$7:$AU$1843,AU169,$BT$7:$BT$1843,"&lt;="&amp;BT169),"")</f>
        <v>38728.1886524493</v>
      </c>
      <c r="AW169" s="58" t="n">
        <f aca="false">IF(AV169="",0,MAX(0,MIN(1,(IF(CC169="L1",Parameter!$H$5,IF(CC169="L23",Parameter!$H$6+Parameter!$H$7,Parameter!$H$5+Parameter!$H$6+Parameter!$H$7))-(AV169-AR169))/AR169)))</f>
        <v>0</v>
      </c>
      <c r="AX169" s="50" t="n">
        <f aca="false">IF(LEFT(Cockpit!$O$5,1)="A",H169,IF(CE169=1,CF169,IF(LEFT(Cockpit!$O$5,1)="B",BC169,MAX(BC169,H169))))</f>
        <v>100</v>
      </c>
      <c r="AY169" s="50" t="n">
        <f aca="false">IF(BW169=1,0,ROUNDUP(AX169/BV169,0))</f>
        <v>1</v>
      </c>
      <c r="AZ169" s="52" t="n">
        <f aca="false">IF(CL169&gt;0,CL169*MAX(1,AX169/X169),IF(BW169=1,IF(AX169&lt;=0,0,CA169*MAX(1,IF(H169&gt;0,AX169/H169,1))),IF(R169&gt;0,AY169/R169,0))/MAX(0.1,N(Parameter!$M$21)))</f>
        <v>0.0384615384615385</v>
      </c>
      <c r="BA169" s="50" t="n">
        <f aca="false">AZ169*BY169</f>
        <v>5.96153846153846</v>
      </c>
      <c r="BB169" s="50" t="n">
        <f aca="false">AX169*G169</f>
        <v>1102</v>
      </c>
      <c r="BC169" s="50" t="n">
        <f aca="false">ROUNDUP(MAX(J169/IF(CD169&gt;0,CD169,MAX(0.1,N(Cockpit!$O$6))),CG169)/BV169,0)*BV169</f>
        <v>100</v>
      </c>
      <c r="BD169" s="51" t="n">
        <f aca="false">IF(BA169&gt;0,J169/BA169,-1)</f>
        <v>0</v>
      </c>
      <c r="BE169" s="51" t="n">
        <f aca="false">IF(AND(OR(CC169="L1",CC169="L23",CC169="LIFT"),BA169&gt;0),SUMIFS($BA$7:$BA$1843,$CC$7:$CC$1843,CC169,$BD$7:$BD$1843,"&gt;"&amp;BD169)+SUMIFS($BA$7:$BA$1843,$CC$7:$CC$1843,CC169,$BD$7:$BD$1843,BD169,$BT$7:$BT$1843,"&lt;="&amp;BT169),"")</f>
        <v>35403.2006943151</v>
      </c>
      <c r="BF169" s="58" t="n">
        <f aca="false">IF(BE169="",0,MAX(0,MIN(1,(IF(CC169="L1",Parameter!$H$5,IF(CC169="L23",Parameter!$H$6+Parameter!$H$7,Parameter!$H$5+Parameter!$H$6+Parameter!$H$7))-(BE169-BA169))/BA169)))</f>
        <v>1</v>
      </c>
      <c r="BG169" s="48" t="str">
        <f aca="false">IF(AI169&lt;=0,"",IF(CC169="Aussen","Aussenlager",IF(CC169="-","Nicht im Lift",IF(AN169&gt;=1,"Lift",IF(AN169&lt;=0,"Aussenlager","teilweise")))))</f>
        <v>Lift</v>
      </c>
      <c r="BH169" s="48" t="str">
        <f aca="false">IF(AR169&lt;=0,"",IF(CC169="Aussen","Aussenlager",IF(CC169="-","Nicht im Lift",IF(AW169&gt;=1,"Lift",IF(AW169&lt;=0,"Aussenlager","teilweise")))))</f>
        <v>Aussenlager</v>
      </c>
      <c r="BI169" s="48" t="str">
        <f aca="false">IF(BA169&lt;=0,"",IF(CC169="Aussen","Aussenlager",IF(CC169="-","Nicht im Lift",IF(BF169&gt;=1,"Lift",IF(BF169&lt;=0,"Aussenlager","teilweise")))))</f>
        <v>Lift</v>
      </c>
      <c r="BJ169" s="48" t="str">
        <f aca="false">IF(A169="","",IF(BS169=1,"Neu; ","")&amp;IF(AND(BS169=0,BN169&lt;0),"negativer Bestand (Export "&amp;BN169&amp;"); ","")&amp;IF(J169&lt;=0,"Kein Verbrauch; ","")&amp;IF(CL169&gt;0,"Lift "&amp;W169&amp;" lt. Liftbericht (Fach "&amp;X169&amp;" Stk); ",IF(BX169=1,"Gebinde geschätzt ("&amp;T169&amp;"); ",IF(BW169=1,"Lose – Tablare geschätzt; ","")))&amp;IF(H169&gt;AT169,"Überbestand "&amp;ROUND(H169-AT169,0)&amp;" Stk / CHF "&amp;ROUND((H169-AT169)*G169,0)&amp;"; ","")&amp;IF(AND(CE169=1,CF169&lt;CG169),"MAX &lt; MB+LG; ","")&amp;IF(AND(CK169&gt;0,CJ169*10&gt;CK169),"zu hoch für Tablar; ","")&amp;IF(AND(BS169=0,OR(CE169=1,AA169&lt;&gt;"",U169&lt;&gt;"",V169&lt;&gt;"",AB169&lt;&gt;"")),"manuell übersteuert; ","")&amp;IF(AND(BW169=0,R169=0),"Gebinde unbekannt / Stellmass fehlt; ","")&amp;IF(AND(BW169=0,N(V169)&lt;=0,N(Q169)&lt;=0),"Menge pro Gebinde fehlt (Ist = 1 Gebinde); ","")&amp;BR169)</f>
        <v>Kein Verbrauch; Gebinde geschätzt (Klein); Menge pro Gebinde fehlt (Ist = 1 Gebinde); </v>
      </c>
      <c r="BK169" s="48"/>
      <c r="BL169" s="48"/>
      <c r="BM169" s="55"/>
      <c r="BN169" s="50" t="n">
        <v>100</v>
      </c>
      <c r="BO169" s="50" t="n">
        <v>0</v>
      </c>
      <c r="BP169" s="49" t="n">
        <v>1102</v>
      </c>
      <c r="BQ169" s="50" t="n">
        <v>0</v>
      </c>
      <c r="BR169" s="48"/>
      <c r="BS169" s="53" t="n">
        <v>0</v>
      </c>
      <c r="BT169" s="53" t="n">
        <v>169</v>
      </c>
      <c r="BU169" s="48" t="str">
        <f aca="false">IF(U169&lt;&gt;"",UPPER(TRIM(U169)),IF(BX169=1,UPPER(VLOOKUP(T169,Parameter!$I$27:$K$29,2,0)),IF(P169="","LOSE",P169)))</f>
        <v>S51</v>
      </c>
      <c r="BV169" s="50" t="n">
        <f aca="false">IF(BU169="LOSE",1,IF(N(V169)&gt;0,V169,IF(BX169=1,MAX(1,N(VLOOKUP(T169,Parameter!$I$27:$K$29,3,0)),H169,N(N169)),IF(N(Q169)&gt;0,Q169,MAX(1,H169)))))</f>
        <v>100</v>
      </c>
      <c r="BW169" s="53" t="n">
        <f aca="false">IF(BU169="LOSE",1,0)</f>
        <v>0</v>
      </c>
      <c r="BX169" s="53" t="n">
        <f aca="false">IF(AND(U169="",OR(P169="",P169="LOSE"),T169&lt;&gt;"",N(S169)&lt;=0,ISNUMBER(MATCH(T169,Parameter!$I$27:$I$29,0))),1,0)</f>
        <v>1</v>
      </c>
      <c r="BY169" s="53" t="n">
        <f aca="false">IF(CL169&gt;0,INDEX(Parameter!$H$5:$H$7,W169)/INDEX(Parameter!$E$5:$E$7,W169),IF(AND(BW169=0,N(IFERROR(VLOOKUP(BU169,'Gebinde-Kategorie'!$A$5:$N$45,14,0),0))&gt;0),VLOOKUP(BU169,'Gebinde-Kategorie'!$A$5:$N$45,14,0)*10+Parameter!$M$23,Parameter!$M$24))</f>
        <v>155</v>
      </c>
      <c r="BZ169" s="48" t="str">
        <f aca="false">IF(AND(Parameter!$B$19="Ja",E169&lt;&gt;"",ISNUMBER(MATCH(E169,Parameter!$I$35:$I$52,0))),VLOOKUP(E169,Parameter!$I$35:$J$52,2,0),IFERROR(VLOOKUP(D169,Parameter!$A$35:$C$64,2,0),"Nein"))</f>
        <v>2+3</v>
      </c>
      <c r="CA169" s="52" t="n">
        <f aca="false">IF(BW169=0,0,IF(N(S169)&gt;0,S169,IFERROR(VLOOKUP(D169,Parameter!$A$35:$C$64,3,0)+0,0)))</f>
        <v>0</v>
      </c>
      <c r="CB169" s="48" t="n">
        <f aca="false">IF(AA169&lt;&gt;"",AA169,Z169)</f>
        <v>3</v>
      </c>
      <c r="CC169" s="48" t="str">
        <f aca="false">IF(OR(CB169=1,CB169=2,CB169=3),IF(Parameter!$E$27="Ja","LIFT",IF(CB169=1,"L1","L23")),IF(CB169="Aussen","Aussen","-"))</f>
        <v>LIFT</v>
      </c>
      <c r="CD169" s="59" t="n">
        <f aca="false">IF(N(AB169)&gt;0,AB169,0)</f>
        <v>0</v>
      </c>
      <c r="CE169" s="53" t="n">
        <f aca="false">IF(ISNUMBER(AE169),1,0)</f>
        <v>0</v>
      </c>
      <c r="CF169" s="50" t="n">
        <f aca="false">N(AE169)</f>
        <v>0</v>
      </c>
      <c r="CG169" s="50" t="n">
        <f aca="false">N(M169)+N(N169)</f>
        <v>1</v>
      </c>
      <c r="CH169" s="50" t="n">
        <f aca="false">ROUNDUP(H169/BV169,0)</f>
        <v>1</v>
      </c>
      <c r="CI169" s="50" t="n">
        <f aca="false">ROUNDUP(CF169/BV169,0)</f>
        <v>0</v>
      </c>
      <c r="CJ169" s="53" t="n">
        <f aca="false">IF(BW169=1,0,IFERROR(VLOOKUP(BU169,'Gebinde-Kategorie'!$A$5:$N$45,5,0)+0,0))</f>
        <v>11</v>
      </c>
      <c r="CK169" s="53" t="n">
        <f aca="false">IFERROR(IF(OR(CB169=1,CB169=2,CB169=3),N(INDEX(Parameter!$I$5:$I$7,CB169)),0),0)</f>
        <v>0</v>
      </c>
      <c r="CL169" s="52" t="n">
        <f aca="false">IF(AND(Parameter!$B$21="Ja",ISNUMBER(W169),N(X169)&gt;0),IFERROR(N(INDEX(Parameter!$L$5:$L$7,W169))*INDEX(Parameter!$E$5:$E$7,W169)*X169/SUMIFS($X$7:$X$1843,$W$7:$W$1843,W169),0),0)</f>
        <v>0</v>
      </c>
    </row>
    <row r="170" customFormat="false" ht="15" hidden="false" customHeight="false" outlineLevel="0" collapsed="false">
      <c r="A170" s="48" t="s">
        <v>551</v>
      </c>
      <c r="B170" s="48" t="s">
        <v>552</v>
      </c>
      <c r="C170" s="48" t="s">
        <v>168</v>
      </c>
      <c r="D170" s="48" t="s">
        <v>188</v>
      </c>
      <c r="E170" s="48"/>
      <c r="F170" s="48" t="s">
        <v>222</v>
      </c>
      <c r="G170" s="49" t="n">
        <v>45.71</v>
      </c>
      <c r="H170" s="50" t="n">
        <f aca="false">MAX(0,IF(AND(Parameter!$B$21="Ja",ISNUMBER(Y170)),Y170,IF(Parameter!$B$20="Jahresanfang 2025 + Export",BO170+BN170,BN170)))</f>
        <v>24</v>
      </c>
      <c r="I170" s="50" t="n">
        <f aca="false">H170*G170</f>
        <v>1097.04</v>
      </c>
      <c r="J170" s="50" t="n">
        <f aca="false">BQ170*Parameter!$B$18</f>
        <v>0</v>
      </c>
      <c r="K170" s="51" t="n">
        <v>0</v>
      </c>
      <c r="L170" s="52" t="n">
        <v>0</v>
      </c>
      <c r="M170" s="50" t="n">
        <v>0</v>
      </c>
      <c r="N170" s="50" t="n">
        <v>1</v>
      </c>
      <c r="O170" s="53" t="n">
        <v>9999</v>
      </c>
      <c r="P170" s="48" t="s">
        <v>172</v>
      </c>
      <c r="Q170" s="50"/>
      <c r="R170" s="53" t="n">
        <f aca="false">IF(BW170=1,0,IFERROR(VLOOKUP(BU170,'Gebinde-Kategorie'!$A$5:$N$45,13,0)+0,0))</f>
        <v>26</v>
      </c>
      <c r="S170" s="54"/>
      <c r="T170" s="55" t="s">
        <v>279</v>
      </c>
      <c r="U170" s="55"/>
      <c r="V170" s="55"/>
      <c r="W170" s="48"/>
      <c r="X170" s="50"/>
      <c r="Y170" s="50"/>
      <c r="Z170" s="48" t="n">
        <f aca="false">IF(A170="","",IF(AND(Parameter!$B$21="Ja",ISNUMBER(W170)),W170,IF(BZ170="2+3",IF(ISNUMBER(SEARCH("grosser Artikel",BR170)),2,IFERROR(VLOOKUP(BU170,Parameter!$F$35:$G$64,2,0),2)),IF(OR(BZ170="Nein",BZ170=""),"-",BZ170))))</f>
        <v>3</v>
      </c>
      <c r="AA170" s="55"/>
      <c r="AB170" s="56"/>
      <c r="AC170" s="50" t="n">
        <f aca="false">AT170</f>
        <v>24</v>
      </c>
      <c r="AD170" s="50" t="n">
        <f aca="false">MAX(AT170,H170)</f>
        <v>24</v>
      </c>
      <c r="AE170" s="57"/>
      <c r="AF170" s="50" t="n">
        <f aca="false">IF(LEFT(Cockpit!$C$5,1)="A",H170,IF(CE170=1,CF170,IF(LEFT(Cockpit!$C$5,1)="B",AK170,MAX(AK170,H170))))</f>
        <v>24</v>
      </c>
      <c r="AG170" s="50" t="n">
        <f aca="false">IF(BW170=1,0,ROUNDUP(AF170/BV170,0))</f>
        <v>1</v>
      </c>
      <c r="AH170" s="52" t="n">
        <f aca="false">IF(CL170&gt;0,CL170*MAX(1,AF170/X170),IF(BW170=1,IF(AF170&lt;=0,0,CA170*MAX(1,IF(H170&gt;0,AF170/H170,1))),IF(R170&gt;0,AG170/R170,0))/MAX(0.1,N(Parameter!$M$21)))</f>
        <v>0.0384615384615385</v>
      </c>
      <c r="AI170" s="50" t="n">
        <f aca="false">AH170*BY170</f>
        <v>5.96153846153846</v>
      </c>
      <c r="AJ170" s="50" t="n">
        <f aca="false">AF170*G170</f>
        <v>1097.04</v>
      </c>
      <c r="AK170" s="50" t="n">
        <f aca="false">ROUNDUP(MAX(J170/IF(CD170&gt;0,CD170,MAX(0.1,N(Cockpit!$C$6))),CG170)/BV170,0)*BV170</f>
        <v>24</v>
      </c>
      <c r="AL170" s="51" t="n">
        <f aca="false">IF(AI170&gt;0,J170/AI170,-1)</f>
        <v>0</v>
      </c>
      <c r="AM170" s="51" t="n">
        <f aca="false">IF(AND(OR(CC170="L1",CC170="L23",CC170="LIFT"),AI170&gt;0),SUMIFS($AI$7:$AI$1843,$CC$7:$CC$1843,CC170,$AL$7:$AL$1843,"&gt;"&amp;AL170)+SUMIFS($AI$7:$AI$1843,$CC$7:$CC$1843,CC170,$AL$7:$AL$1843,AL170,$BT$7:$BT$1843,"&lt;="&amp;BT170),"")</f>
        <v>27421.2446736409</v>
      </c>
      <c r="AN170" s="58" t="n">
        <f aca="false">IF(AM170="",0,MAX(0,MIN(1,(IF(CC170="L1",Parameter!$H$5,IF(CC170="L23",Parameter!$H$6+Parameter!$H$7,Parameter!$H$5+Parameter!$H$6+Parameter!$H$7))-(AM170-AI170))/AI170)))</f>
        <v>1</v>
      </c>
      <c r="AO170" s="50" t="n">
        <f aca="false">IF(LEFT(Cockpit!$I$5,1)="A",H170,IF(CE170=1,CF170,IF(LEFT(Cockpit!$I$5,1)="B",AT170,MAX(AT170,H170))))</f>
        <v>24</v>
      </c>
      <c r="AP170" s="50" t="n">
        <f aca="false">IF(BW170=1,0,ROUNDUP(AO170/BV170,0))</f>
        <v>1</v>
      </c>
      <c r="AQ170" s="52" t="n">
        <f aca="false">IF(CL170&gt;0,CL170*MAX(1,AO170/X170),IF(BW170=1,IF(AO170&lt;=0,0,CA170*MAX(1,IF(H170&gt;0,AO170/H170,1))),IF(R170&gt;0,AP170/R170,0))/MAX(0.1,N(Parameter!$M$21)))</f>
        <v>0.0384615384615385</v>
      </c>
      <c r="AR170" s="50" t="n">
        <f aca="false">AQ170*BY170</f>
        <v>5.96153846153846</v>
      </c>
      <c r="AS170" s="50" t="n">
        <f aca="false">AO170*G170</f>
        <v>1097.04</v>
      </c>
      <c r="AT170" s="50" t="n">
        <f aca="false">ROUNDUP(MAX(J170/IF(CD170&gt;0,CD170,MAX(0.1,N(Cockpit!$I$6))),CG170)/BV170,0)*BV170</f>
        <v>24</v>
      </c>
      <c r="AU170" s="51" t="n">
        <f aca="false">IF(AR170&gt;0,J170/AR170,-1)</f>
        <v>0</v>
      </c>
      <c r="AV170" s="51" t="n">
        <f aca="false">IF(AND(OR(CC170="L1",CC170="L23",CC170="LIFT"),AR170&gt;0),SUMIFS($AR$7:$AR$1843,$CC$7:$CC$1843,CC170,$AU$7:$AU$1843,"&gt;"&amp;AU170)+SUMIFS($AR$7:$AR$1843,$CC$7:$CC$1843,CC170,$AU$7:$AU$1843,AU170,$BT$7:$BT$1843,"&lt;="&amp;BT170),"")</f>
        <v>38734.1501909108</v>
      </c>
      <c r="AW170" s="58" t="n">
        <f aca="false">IF(AV170="",0,MAX(0,MIN(1,(IF(CC170="L1",Parameter!$H$5,IF(CC170="L23",Parameter!$H$6+Parameter!$H$7,Parameter!$H$5+Parameter!$H$6+Parameter!$H$7))-(AV170-AR170))/AR170)))</f>
        <v>0</v>
      </c>
      <c r="AX170" s="50" t="n">
        <f aca="false">IF(LEFT(Cockpit!$O$5,1)="A",H170,IF(CE170=1,CF170,IF(LEFT(Cockpit!$O$5,1)="B",BC170,MAX(BC170,H170))))</f>
        <v>24</v>
      </c>
      <c r="AY170" s="50" t="n">
        <f aca="false">IF(BW170=1,0,ROUNDUP(AX170/BV170,0))</f>
        <v>1</v>
      </c>
      <c r="AZ170" s="52" t="n">
        <f aca="false">IF(CL170&gt;0,CL170*MAX(1,AX170/X170),IF(BW170=1,IF(AX170&lt;=0,0,CA170*MAX(1,IF(H170&gt;0,AX170/H170,1))),IF(R170&gt;0,AY170/R170,0))/MAX(0.1,N(Parameter!$M$21)))</f>
        <v>0.0384615384615385</v>
      </c>
      <c r="BA170" s="50" t="n">
        <f aca="false">AZ170*BY170</f>
        <v>5.96153846153846</v>
      </c>
      <c r="BB170" s="50" t="n">
        <f aca="false">AX170*G170</f>
        <v>1097.04</v>
      </c>
      <c r="BC170" s="50" t="n">
        <f aca="false">ROUNDUP(MAX(J170/IF(CD170&gt;0,CD170,MAX(0.1,N(Cockpit!$O$6))),CG170)/BV170,0)*BV170</f>
        <v>24</v>
      </c>
      <c r="BD170" s="51" t="n">
        <f aca="false">IF(BA170&gt;0,J170/BA170,-1)</f>
        <v>0</v>
      </c>
      <c r="BE170" s="51" t="n">
        <f aca="false">IF(AND(OR(CC170="L1",CC170="L23",CC170="LIFT"),BA170&gt;0),SUMIFS($BA$7:$BA$1843,$CC$7:$CC$1843,CC170,$BD$7:$BD$1843,"&gt;"&amp;BD170)+SUMIFS($BA$7:$BA$1843,$CC$7:$CC$1843,CC170,$BD$7:$BD$1843,BD170,$BT$7:$BT$1843,"&lt;="&amp;BT170),"")</f>
        <v>35409.1622327766</v>
      </c>
      <c r="BF170" s="58" t="n">
        <f aca="false">IF(BE170="",0,MAX(0,MIN(1,(IF(CC170="L1",Parameter!$H$5,IF(CC170="L23",Parameter!$H$6+Parameter!$H$7,Parameter!$H$5+Parameter!$H$6+Parameter!$H$7))-(BE170-BA170))/BA170)))</f>
        <v>1</v>
      </c>
      <c r="BG170" s="48" t="str">
        <f aca="false">IF(AI170&lt;=0,"",IF(CC170="Aussen","Aussenlager",IF(CC170="-","Nicht im Lift",IF(AN170&gt;=1,"Lift",IF(AN170&lt;=0,"Aussenlager","teilweise")))))</f>
        <v>Lift</v>
      </c>
      <c r="BH170" s="48" t="str">
        <f aca="false">IF(AR170&lt;=0,"",IF(CC170="Aussen","Aussenlager",IF(CC170="-","Nicht im Lift",IF(AW170&gt;=1,"Lift",IF(AW170&lt;=0,"Aussenlager","teilweise")))))</f>
        <v>Aussenlager</v>
      </c>
      <c r="BI170" s="48" t="str">
        <f aca="false">IF(BA170&lt;=0,"",IF(CC170="Aussen","Aussenlager",IF(CC170="-","Nicht im Lift",IF(BF170&gt;=1,"Lift",IF(BF170&lt;=0,"Aussenlager","teilweise")))))</f>
        <v>Lift</v>
      </c>
      <c r="BJ170" s="48" t="str">
        <f aca="false">IF(A170="","",IF(BS170=1,"Neu; ","")&amp;IF(AND(BS170=0,BN170&lt;0),"negativer Bestand (Export "&amp;BN170&amp;"); ","")&amp;IF(J170&lt;=0,"Kein Verbrauch; ","")&amp;IF(CL170&gt;0,"Lift "&amp;W170&amp;" lt. Liftbericht (Fach "&amp;X170&amp;" Stk); ",IF(BX170=1,"Gebinde geschätzt ("&amp;T170&amp;"); ",IF(BW170=1,"Lose – Tablare geschätzt; ","")))&amp;IF(H170&gt;AT170,"Überbestand "&amp;ROUND(H170-AT170,0)&amp;" Stk / CHF "&amp;ROUND((H170-AT170)*G170,0)&amp;"; ","")&amp;IF(AND(CE170=1,CF170&lt;CG170),"MAX &lt; MB+LG; ","")&amp;IF(AND(CK170&gt;0,CJ170*10&gt;CK170),"zu hoch für Tablar; ","")&amp;IF(AND(BS170=0,OR(CE170=1,AA170&lt;&gt;"",U170&lt;&gt;"",V170&lt;&gt;"",AB170&lt;&gt;"")),"manuell übersteuert; ","")&amp;IF(AND(BW170=0,R170=0),"Gebinde unbekannt / Stellmass fehlt; ","")&amp;IF(AND(BW170=0,N(V170)&lt;=0,N(Q170)&lt;=0),"Menge pro Gebinde fehlt (Ist = 1 Gebinde); ","")&amp;BR170)</f>
        <v>Kein Verbrauch; Gebinde geschätzt (Klein); Menge pro Gebinde fehlt (Ist = 1 Gebinde); </v>
      </c>
      <c r="BK170" s="48"/>
      <c r="BL170" s="48"/>
      <c r="BM170" s="55"/>
      <c r="BN170" s="50" t="n">
        <v>24</v>
      </c>
      <c r="BO170" s="50" t="n">
        <v>0</v>
      </c>
      <c r="BP170" s="49" t="n">
        <v>1097.04</v>
      </c>
      <c r="BQ170" s="50" t="n">
        <v>0</v>
      </c>
      <c r="BR170" s="48"/>
      <c r="BS170" s="53" t="n">
        <v>0</v>
      </c>
      <c r="BT170" s="53" t="n">
        <v>170</v>
      </c>
      <c r="BU170" s="48" t="str">
        <f aca="false">IF(U170&lt;&gt;"",UPPER(TRIM(U170)),IF(BX170=1,UPPER(VLOOKUP(T170,Parameter!$I$27:$K$29,2,0)),IF(P170="","LOSE",P170)))</f>
        <v>S51</v>
      </c>
      <c r="BV170" s="50" t="n">
        <f aca="false">IF(BU170="LOSE",1,IF(N(V170)&gt;0,V170,IF(BX170=1,MAX(1,N(VLOOKUP(T170,Parameter!$I$27:$K$29,3,0)),H170,N(N170)),IF(N(Q170)&gt;0,Q170,MAX(1,H170)))))</f>
        <v>24</v>
      </c>
      <c r="BW170" s="53" t="n">
        <f aca="false">IF(BU170="LOSE",1,0)</f>
        <v>0</v>
      </c>
      <c r="BX170" s="53" t="n">
        <f aca="false">IF(AND(U170="",OR(P170="",P170="LOSE"),T170&lt;&gt;"",N(S170)&lt;=0,ISNUMBER(MATCH(T170,Parameter!$I$27:$I$29,0))),1,0)</f>
        <v>1</v>
      </c>
      <c r="BY170" s="53" t="n">
        <f aca="false">IF(CL170&gt;0,INDEX(Parameter!$H$5:$H$7,W170)/INDEX(Parameter!$E$5:$E$7,W170),IF(AND(BW170=0,N(IFERROR(VLOOKUP(BU170,'Gebinde-Kategorie'!$A$5:$N$45,14,0),0))&gt;0),VLOOKUP(BU170,'Gebinde-Kategorie'!$A$5:$N$45,14,0)*10+Parameter!$M$23,Parameter!$M$24))</f>
        <v>155</v>
      </c>
      <c r="BZ170" s="48" t="str">
        <f aca="false">IF(AND(Parameter!$B$19="Ja",E170&lt;&gt;"",ISNUMBER(MATCH(E170,Parameter!$I$35:$I$52,0))),VLOOKUP(E170,Parameter!$I$35:$J$52,2,0),IFERROR(VLOOKUP(D170,Parameter!$A$35:$C$64,2,0),"Nein"))</f>
        <v>2+3</v>
      </c>
      <c r="CA170" s="52" t="n">
        <f aca="false">IF(BW170=0,0,IF(N(S170)&gt;0,S170,IFERROR(VLOOKUP(D170,Parameter!$A$35:$C$64,3,0)+0,0)))</f>
        <v>0</v>
      </c>
      <c r="CB170" s="48" t="n">
        <f aca="false">IF(AA170&lt;&gt;"",AA170,Z170)</f>
        <v>3</v>
      </c>
      <c r="CC170" s="48" t="str">
        <f aca="false">IF(OR(CB170=1,CB170=2,CB170=3),IF(Parameter!$E$27="Ja","LIFT",IF(CB170=1,"L1","L23")),IF(CB170="Aussen","Aussen","-"))</f>
        <v>LIFT</v>
      </c>
      <c r="CD170" s="59" t="n">
        <f aca="false">IF(N(AB170)&gt;0,AB170,0)</f>
        <v>0</v>
      </c>
      <c r="CE170" s="53" t="n">
        <f aca="false">IF(ISNUMBER(AE170),1,0)</f>
        <v>0</v>
      </c>
      <c r="CF170" s="50" t="n">
        <f aca="false">N(AE170)</f>
        <v>0</v>
      </c>
      <c r="CG170" s="50" t="n">
        <f aca="false">N(M170)+N(N170)</f>
        <v>1</v>
      </c>
      <c r="CH170" s="50" t="n">
        <f aca="false">ROUNDUP(H170/BV170,0)</f>
        <v>1</v>
      </c>
      <c r="CI170" s="50" t="n">
        <f aca="false">ROUNDUP(CF170/BV170,0)</f>
        <v>0</v>
      </c>
      <c r="CJ170" s="53" t="n">
        <f aca="false">IF(BW170=1,0,IFERROR(VLOOKUP(BU170,'Gebinde-Kategorie'!$A$5:$N$45,5,0)+0,0))</f>
        <v>11</v>
      </c>
      <c r="CK170" s="53" t="n">
        <f aca="false">IFERROR(IF(OR(CB170=1,CB170=2,CB170=3),N(INDEX(Parameter!$I$5:$I$7,CB170)),0),0)</f>
        <v>0</v>
      </c>
      <c r="CL170" s="52" t="n">
        <f aca="false">IF(AND(Parameter!$B$21="Ja",ISNUMBER(W170),N(X170)&gt;0),IFERROR(N(INDEX(Parameter!$L$5:$L$7,W170))*INDEX(Parameter!$E$5:$E$7,W170)*X170/SUMIFS($X$7:$X$1843,$W$7:$W$1843,W170),0),0)</f>
        <v>0</v>
      </c>
    </row>
    <row r="171" customFormat="false" ht="15" hidden="false" customHeight="false" outlineLevel="0" collapsed="false">
      <c r="A171" s="48" t="s">
        <v>553</v>
      </c>
      <c r="B171" s="48" t="s">
        <v>552</v>
      </c>
      <c r="C171" s="48" t="s">
        <v>168</v>
      </c>
      <c r="D171" s="48" t="s">
        <v>188</v>
      </c>
      <c r="E171" s="48"/>
      <c r="F171" s="48" t="s">
        <v>222</v>
      </c>
      <c r="G171" s="49" t="n">
        <v>45.71</v>
      </c>
      <c r="H171" s="50" t="n">
        <f aca="false">MAX(0,IF(AND(Parameter!$B$21="Ja",ISNUMBER(Y171)),Y171,IF(Parameter!$B$20="Jahresanfang 2025 + Export",BO171+BN171,BN171)))</f>
        <v>24</v>
      </c>
      <c r="I171" s="50" t="n">
        <f aca="false">H171*G171</f>
        <v>1097.04</v>
      </c>
      <c r="J171" s="50" t="n">
        <f aca="false">BQ171*Parameter!$B$18</f>
        <v>0</v>
      </c>
      <c r="K171" s="51" t="n">
        <v>0</v>
      </c>
      <c r="L171" s="52" t="n">
        <v>0</v>
      </c>
      <c r="M171" s="50" t="n">
        <v>0</v>
      </c>
      <c r="N171" s="50" t="n">
        <v>1</v>
      </c>
      <c r="O171" s="53" t="n">
        <v>9999</v>
      </c>
      <c r="P171" s="48" t="s">
        <v>172</v>
      </c>
      <c r="Q171" s="50"/>
      <c r="R171" s="53" t="n">
        <f aca="false">IF(BW171=1,0,IFERROR(VLOOKUP(BU171,'Gebinde-Kategorie'!$A$5:$N$45,13,0)+0,0))</f>
        <v>26</v>
      </c>
      <c r="S171" s="54"/>
      <c r="T171" s="55" t="s">
        <v>279</v>
      </c>
      <c r="U171" s="55"/>
      <c r="V171" s="55"/>
      <c r="W171" s="48"/>
      <c r="X171" s="50"/>
      <c r="Y171" s="50"/>
      <c r="Z171" s="48" t="n">
        <f aca="false">IF(A171="","",IF(AND(Parameter!$B$21="Ja",ISNUMBER(W171)),W171,IF(BZ171="2+3",IF(ISNUMBER(SEARCH("grosser Artikel",BR171)),2,IFERROR(VLOOKUP(BU171,Parameter!$F$35:$G$64,2,0),2)),IF(OR(BZ171="Nein",BZ171=""),"-",BZ171))))</f>
        <v>3</v>
      </c>
      <c r="AA171" s="55"/>
      <c r="AB171" s="56"/>
      <c r="AC171" s="50" t="n">
        <f aca="false">AT171</f>
        <v>24</v>
      </c>
      <c r="AD171" s="50" t="n">
        <f aca="false">MAX(AT171,H171)</f>
        <v>24</v>
      </c>
      <c r="AE171" s="57"/>
      <c r="AF171" s="50" t="n">
        <f aca="false">IF(LEFT(Cockpit!$C$5,1)="A",H171,IF(CE171=1,CF171,IF(LEFT(Cockpit!$C$5,1)="B",AK171,MAX(AK171,H171))))</f>
        <v>24</v>
      </c>
      <c r="AG171" s="50" t="n">
        <f aca="false">IF(BW171=1,0,ROUNDUP(AF171/BV171,0))</f>
        <v>1</v>
      </c>
      <c r="AH171" s="52" t="n">
        <f aca="false">IF(CL171&gt;0,CL171*MAX(1,AF171/X171),IF(BW171=1,IF(AF171&lt;=0,0,CA171*MAX(1,IF(H171&gt;0,AF171/H171,1))),IF(R171&gt;0,AG171/R171,0))/MAX(0.1,N(Parameter!$M$21)))</f>
        <v>0.0384615384615385</v>
      </c>
      <c r="AI171" s="50" t="n">
        <f aca="false">AH171*BY171</f>
        <v>5.96153846153846</v>
      </c>
      <c r="AJ171" s="50" t="n">
        <f aca="false">AF171*G171</f>
        <v>1097.04</v>
      </c>
      <c r="AK171" s="50" t="n">
        <f aca="false">ROUNDUP(MAX(J171/IF(CD171&gt;0,CD171,MAX(0.1,N(Cockpit!$C$6))),CG171)/BV171,0)*BV171</f>
        <v>24</v>
      </c>
      <c r="AL171" s="51" t="n">
        <f aca="false">IF(AI171&gt;0,J171/AI171,-1)</f>
        <v>0</v>
      </c>
      <c r="AM171" s="51" t="n">
        <f aca="false">IF(AND(OR(CC171="L1",CC171="L23",CC171="LIFT"),AI171&gt;0),SUMIFS($AI$7:$AI$1843,$CC$7:$CC$1843,CC171,$AL$7:$AL$1843,"&gt;"&amp;AL171)+SUMIFS($AI$7:$AI$1843,$CC$7:$CC$1843,CC171,$AL$7:$AL$1843,AL171,$BT$7:$BT$1843,"&lt;="&amp;BT171),"")</f>
        <v>27427.2062121024</v>
      </c>
      <c r="AN171" s="58" t="n">
        <f aca="false">IF(AM171="",0,MAX(0,MIN(1,(IF(CC171="L1",Parameter!$H$5,IF(CC171="L23",Parameter!$H$6+Parameter!$H$7,Parameter!$H$5+Parameter!$H$6+Parameter!$H$7))-(AM171-AI171))/AI171)))</f>
        <v>1</v>
      </c>
      <c r="AO171" s="50" t="n">
        <f aca="false">IF(LEFT(Cockpit!$I$5,1)="A",H171,IF(CE171=1,CF171,IF(LEFT(Cockpit!$I$5,1)="B",AT171,MAX(AT171,H171))))</f>
        <v>24</v>
      </c>
      <c r="AP171" s="50" t="n">
        <f aca="false">IF(BW171=1,0,ROUNDUP(AO171/BV171,0))</f>
        <v>1</v>
      </c>
      <c r="AQ171" s="52" t="n">
        <f aca="false">IF(CL171&gt;0,CL171*MAX(1,AO171/X171),IF(BW171=1,IF(AO171&lt;=0,0,CA171*MAX(1,IF(H171&gt;0,AO171/H171,1))),IF(R171&gt;0,AP171/R171,0))/MAX(0.1,N(Parameter!$M$21)))</f>
        <v>0.0384615384615385</v>
      </c>
      <c r="AR171" s="50" t="n">
        <f aca="false">AQ171*BY171</f>
        <v>5.96153846153846</v>
      </c>
      <c r="AS171" s="50" t="n">
        <f aca="false">AO171*G171</f>
        <v>1097.04</v>
      </c>
      <c r="AT171" s="50" t="n">
        <f aca="false">ROUNDUP(MAX(J171/IF(CD171&gt;0,CD171,MAX(0.1,N(Cockpit!$I$6))),CG171)/BV171,0)*BV171</f>
        <v>24</v>
      </c>
      <c r="AU171" s="51" t="n">
        <f aca="false">IF(AR171&gt;0,J171/AR171,-1)</f>
        <v>0</v>
      </c>
      <c r="AV171" s="51" t="n">
        <f aca="false">IF(AND(OR(CC171="L1",CC171="L23",CC171="LIFT"),AR171&gt;0),SUMIFS($AR$7:$AR$1843,$CC$7:$CC$1843,CC171,$AU$7:$AU$1843,"&gt;"&amp;AU171)+SUMIFS($AR$7:$AR$1843,$CC$7:$CC$1843,CC171,$AU$7:$AU$1843,AU171,$BT$7:$BT$1843,"&lt;="&amp;BT171),"")</f>
        <v>38740.1117293723</v>
      </c>
      <c r="AW171" s="58" t="n">
        <f aca="false">IF(AV171="",0,MAX(0,MIN(1,(IF(CC171="L1",Parameter!$H$5,IF(CC171="L23",Parameter!$H$6+Parameter!$H$7,Parameter!$H$5+Parameter!$H$6+Parameter!$H$7))-(AV171-AR171))/AR171)))</f>
        <v>0</v>
      </c>
      <c r="AX171" s="50" t="n">
        <f aca="false">IF(LEFT(Cockpit!$O$5,1)="A",H171,IF(CE171=1,CF171,IF(LEFT(Cockpit!$O$5,1)="B",BC171,MAX(BC171,H171))))</f>
        <v>24</v>
      </c>
      <c r="AY171" s="50" t="n">
        <f aca="false">IF(BW171=1,0,ROUNDUP(AX171/BV171,0))</f>
        <v>1</v>
      </c>
      <c r="AZ171" s="52" t="n">
        <f aca="false">IF(CL171&gt;0,CL171*MAX(1,AX171/X171),IF(BW171=1,IF(AX171&lt;=0,0,CA171*MAX(1,IF(H171&gt;0,AX171/H171,1))),IF(R171&gt;0,AY171/R171,0))/MAX(0.1,N(Parameter!$M$21)))</f>
        <v>0.0384615384615385</v>
      </c>
      <c r="BA171" s="50" t="n">
        <f aca="false">AZ171*BY171</f>
        <v>5.96153846153846</v>
      </c>
      <c r="BB171" s="50" t="n">
        <f aca="false">AX171*G171</f>
        <v>1097.04</v>
      </c>
      <c r="BC171" s="50" t="n">
        <f aca="false">ROUNDUP(MAX(J171/IF(CD171&gt;0,CD171,MAX(0.1,N(Cockpit!$O$6))),CG171)/BV171,0)*BV171</f>
        <v>24</v>
      </c>
      <c r="BD171" s="51" t="n">
        <f aca="false">IF(BA171&gt;0,J171/BA171,-1)</f>
        <v>0</v>
      </c>
      <c r="BE171" s="51" t="n">
        <f aca="false">IF(AND(OR(CC171="L1",CC171="L23",CC171="LIFT"),BA171&gt;0),SUMIFS($BA$7:$BA$1843,$CC$7:$CC$1843,CC171,$BD$7:$BD$1843,"&gt;"&amp;BD171)+SUMIFS($BA$7:$BA$1843,$CC$7:$CC$1843,CC171,$BD$7:$BD$1843,BD171,$BT$7:$BT$1843,"&lt;="&amp;BT171),"")</f>
        <v>35415.1237712382</v>
      </c>
      <c r="BF171" s="58" t="n">
        <f aca="false">IF(BE171="",0,MAX(0,MIN(1,(IF(CC171="L1",Parameter!$H$5,IF(CC171="L23",Parameter!$H$6+Parameter!$H$7,Parameter!$H$5+Parameter!$H$6+Parameter!$H$7))-(BE171-BA171))/BA171)))</f>
        <v>1</v>
      </c>
      <c r="BG171" s="48" t="str">
        <f aca="false">IF(AI171&lt;=0,"",IF(CC171="Aussen","Aussenlager",IF(CC171="-","Nicht im Lift",IF(AN171&gt;=1,"Lift",IF(AN171&lt;=0,"Aussenlager","teilweise")))))</f>
        <v>Lift</v>
      </c>
      <c r="BH171" s="48" t="str">
        <f aca="false">IF(AR171&lt;=0,"",IF(CC171="Aussen","Aussenlager",IF(CC171="-","Nicht im Lift",IF(AW171&gt;=1,"Lift",IF(AW171&lt;=0,"Aussenlager","teilweise")))))</f>
        <v>Aussenlager</v>
      </c>
      <c r="BI171" s="48" t="str">
        <f aca="false">IF(BA171&lt;=0,"",IF(CC171="Aussen","Aussenlager",IF(CC171="-","Nicht im Lift",IF(BF171&gt;=1,"Lift",IF(BF171&lt;=0,"Aussenlager","teilweise")))))</f>
        <v>Lift</v>
      </c>
      <c r="BJ171" s="48" t="str">
        <f aca="false">IF(A171="","",IF(BS171=1,"Neu; ","")&amp;IF(AND(BS171=0,BN171&lt;0),"negativer Bestand (Export "&amp;BN171&amp;"); ","")&amp;IF(J171&lt;=0,"Kein Verbrauch; ","")&amp;IF(CL171&gt;0,"Lift "&amp;W171&amp;" lt. Liftbericht (Fach "&amp;X171&amp;" Stk); ",IF(BX171=1,"Gebinde geschätzt ("&amp;T171&amp;"); ",IF(BW171=1,"Lose – Tablare geschätzt; ","")))&amp;IF(H171&gt;AT171,"Überbestand "&amp;ROUND(H171-AT171,0)&amp;" Stk / CHF "&amp;ROUND((H171-AT171)*G171,0)&amp;"; ","")&amp;IF(AND(CE171=1,CF171&lt;CG171),"MAX &lt; MB+LG; ","")&amp;IF(AND(CK171&gt;0,CJ171*10&gt;CK171),"zu hoch für Tablar; ","")&amp;IF(AND(BS171=0,OR(CE171=1,AA171&lt;&gt;"",U171&lt;&gt;"",V171&lt;&gt;"",AB171&lt;&gt;"")),"manuell übersteuert; ","")&amp;IF(AND(BW171=0,R171=0),"Gebinde unbekannt / Stellmass fehlt; ","")&amp;IF(AND(BW171=0,N(V171)&lt;=0,N(Q171)&lt;=0),"Menge pro Gebinde fehlt (Ist = 1 Gebinde); ","")&amp;BR171)</f>
        <v>Kein Verbrauch; Gebinde geschätzt (Klein); Menge pro Gebinde fehlt (Ist = 1 Gebinde); </v>
      </c>
      <c r="BK171" s="48"/>
      <c r="BL171" s="48"/>
      <c r="BM171" s="55"/>
      <c r="BN171" s="50" t="n">
        <v>24</v>
      </c>
      <c r="BO171" s="50" t="n">
        <v>0</v>
      </c>
      <c r="BP171" s="49" t="n">
        <v>1097.04</v>
      </c>
      <c r="BQ171" s="50" t="n">
        <v>0</v>
      </c>
      <c r="BR171" s="48"/>
      <c r="BS171" s="53" t="n">
        <v>0</v>
      </c>
      <c r="BT171" s="53" t="n">
        <v>171</v>
      </c>
      <c r="BU171" s="48" t="str">
        <f aca="false">IF(U171&lt;&gt;"",UPPER(TRIM(U171)),IF(BX171=1,UPPER(VLOOKUP(T171,Parameter!$I$27:$K$29,2,0)),IF(P171="","LOSE",P171)))</f>
        <v>S51</v>
      </c>
      <c r="BV171" s="50" t="n">
        <f aca="false">IF(BU171="LOSE",1,IF(N(V171)&gt;0,V171,IF(BX171=1,MAX(1,N(VLOOKUP(T171,Parameter!$I$27:$K$29,3,0)),H171,N(N171)),IF(N(Q171)&gt;0,Q171,MAX(1,H171)))))</f>
        <v>24</v>
      </c>
      <c r="BW171" s="53" t="n">
        <f aca="false">IF(BU171="LOSE",1,0)</f>
        <v>0</v>
      </c>
      <c r="BX171" s="53" t="n">
        <f aca="false">IF(AND(U171="",OR(P171="",P171="LOSE"),T171&lt;&gt;"",N(S171)&lt;=0,ISNUMBER(MATCH(T171,Parameter!$I$27:$I$29,0))),1,0)</f>
        <v>1</v>
      </c>
      <c r="BY171" s="53" t="n">
        <f aca="false">IF(CL171&gt;0,INDEX(Parameter!$H$5:$H$7,W171)/INDEX(Parameter!$E$5:$E$7,W171),IF(AND(BW171=0,N(IFERROR(VLOOKUP(BU171,'Gebinde-Kategorie'!$A$5:$N$45,14,0),0))&gt;0),VLOOKUP(BU171,'Gebinde-Kategorie'!$A$5:$N$45,14,0)*10+Parameter!$M$23,Parameter!$M$24))</f>
        <v>155</v>
      </c>
      <c r="BZ171" s="48" t="str">
        <f aca="false">IF(AND(Parameter!$B$19="Ja",E171&lt;&gt;"",ISNUMBER(MATCH(E171,Parameter!$I$35:$I$52,0))),VLOOKUP(E171,Parameter!$I$35:$J$52,2,0),IFERROR(VLOOKUP(D171,Parameter!$A$35:$C$64,2,0),"Nein"))</f>
        <v>2+3</v>
      </c>
      <c r="CA171" s="52" t="n">
        <f aca="false">IF(BW171=0,0,IF(N(S171)&gt;0,S171,IFERROR(VLOOKUP(D171,Parameter!$A$35:$C$64,3,0)+0,0)))</f>
        <v>0</v>
      </c>
      <c r="CB171" s="48" t="n">
        <f aca="false">IF(AA171&lt;&gt;"",AA171,Z171)</f>
        <v>3</v>
      </c>
      <c r="CC171" s="48" t="str">
        <f aca="false">IF(OR(CB171=1,CB171=2,CB171=3),IF(Parameter!$E$27="Ja","LIFT",IF(CB171=1,"L1","L23")),IF(CB171="Aussen","Aussen","-"))</f>
        <v>LIFT</v>
      </c>
      <c r="CD171" s="59" t="n">
        <f aca="false">IF(N(AB171)&gt;0,AB171,0)</f>
        <v>0</v>
      </c>
      <c r="CE171" s="53" t="n">
        <f aca="false">IF(ISNUMBER(AE171),1,0)</f>
        <v>0</v>
      </c>
      <c r="CF171" s="50" t="n">
        <f aca="false">N(AE171)</f>
        <v>0</v>
      </c>
      <c r="CG171" s="50" t="n">
        <f aca="false">N(M171)+N(N171)</f>
        <v>1</v>
      </c>
      <c r="CH171" s="50" t="n">
        <f aca="false">ROUNDUP(H171/BV171,0)</f>
        <v>1</v>
      </c>
      <c r="CI171" s="50" t="n">
        <f aca="false">ROUNDUP(CF171/BV171,0)</f>
        <v>0</v>
      </c>
      <c r="CJ171" s="53" t="n">
        <f aca="false">IF(BW171=1,0,IFERROR(VLOOKUP(BU171,'Gebinde-Kategorie'!$A$5:$N$45,5,0)+0,0))</f>
        <v>11</v>
      </c>
      <c r="CK171" s="53" t="n">
        <f aca="false">IFERROR(IF(OR(CB171=1,CB171=2,CB171=3),N(INDEX(Parameter!$I$5:$I$7,CB171)),0),0)</f>
        <v>0</v>
      </c>
      <c r="CL171" s="52" t="n">
        <f aca="false">IF(AND(Parameter!$B$21="Ja",ISNUMBER(W171),N(X171)&gt;0),IFERROR(N(INDEX(Parameter!$L$5:$L$7,W171))*INDEX(Parameter!$E$5:$E$7,W171)*X171/SUMIFS($X$7:$X$1843,$W$7:$W$1843,W171),0),0)</f>
        <v>0</v>
      </c>
    </row>
    <row r="172" customFormat="false" ht="15" hidden="false" customHeight="false" outlineLevel="0" collapsed="false">
      <c r="A172" s="48" t="s">
        <v>554</v>
      </c>
      <c r="B172" s="48" t="s">
        <v>555</v>
      </c>
      <c r="C172" s="48" t="s">
        <v>168</v>
      </c>
      <c r="D172" s="48" t="s">
        <v>188</v>
      </c>
      <c r="E172" s="48" t="s">
        <v>189</v>
      </c>
      <c r="F172" s="48" t="s">
        <v>222</v>
      </c>
      <c r="G172" s="49" t="n">
        <v>10.48</v>
      </c>
      <c r="H172" s="50" t="n">
        <f aca="false">MAX(0,IF(AND(Parameter!$B$21="Ja",ISNUMBER(Y172)),Y172,IF(Parameter!$B$20="Jahresanfang 2025 + Export",BO172+BN172,BN172)))</f>
        <v>206</v>
      </c>
      <c r="I172" s="50" t="n">
        <f aca="false">H172*G172</f>
        <v>2158.88</v>
      </c>
      <c r="J172" s="50" t="n">
        <f aca="false">BQ172*Parameter!$B$18</f>
        <v>378</v>
      </c>
      <c r="K172" s="51" t="n">
        <v>102.5</v>
      </c>
      <c r="L172" s="52" t="n">
        <v>3.68780487804878</v>
      </c>
      <c r="M172" s="50" t="n">
        <v>25</v>
      </c>
      <c r="N172" s="50" t="n">
        <v>280</v>
      </c>
      <c r="O172" s="53" t="n">
        <v>21</v>
      </c>
      <c r="P172" s="48" t="s">
        <v>306</v>
      </c>
      <c r="Q172" s="50" t="n">
        <v>155</v>
      </c>
      <c r="R172" s="53" t="n">
        <f aca="false">IF(BW172=1,0,IFERROR(VLOOKUP(BU172,'Gebinde-Kategorie'!$A$5:$N$45,13,0)+0,0))</f>
        <v>26</v>
      </c>
      <c r="S172" s="54"/>
      <c r="T172" s="55"/>
      <c r="U172" s="55"/>
      <c r="V172" s="55"/>
      <c r="W172" s="48"/>
      <c r="X172" s="50"/>
      <c r="Y172" s="50"/>
      <c r="Z172" s="48" t="n">
        <f aca="false">IF(A172="","",IF(AND(Parameter!$B$21="Ja",ISNUMBER(W172)),W172,IF(BZ172="2+3",IF(ISNUMBER(SEARCH("grosser Artikel",BR172)),2,IFERROR(VLOOKUP(BU172,Parameter!$F$35:$G$64,2,0),2)),IF(OR(BZ172="Nein",BZ172=""),"-",BZ172))))</f>
        <v>3</v>
      </c>
      <c r="AA172" s="55"/>
      <c r="AB172" s="56"/>
      <c r="AC172" s="50" t="n">
        <f aca="false">AT172</f>
        <v>310</v>
      </c>
      <c r="AD172" s="50" t="n">
        <f aca="false">MAX(AT172,H172)</f>
        <v>310</v>
      </c>
      <c r="AE172" s="57"/>
      <c r="AF172" s="50" t="n">
        <f aca="false">IF(LEFT(Cockpit!$C$5,1)="A",H172,IF(CE172=1,CF172,IF(LEFT(Cockpit!$C$5,1)="B",AK172,MAX(AK172,H172))))</f>
        <v>206</v>
      </c>
      <c r="AG172" s="50" t="n">
        <f aca="false">IF(BW172=1,0,ROUNDUP(AF172/BV172,0))</f>
        <v>2</v>
      </c>
      <c r="AH172" s="52" t="n">
        <f aca="false">IF(CL172&gt;0,CL172*MAX(1,AF172/X172),IF(BW172=1,IF(AF172&lt;=0,0,CA172*MAX(1,IF(H172&gt;0,AF172/H172,1))),IF(R172&gt;0,AG172/R172,0))/MAX(0.1,N(Parameter!$M$21)))</f>
        <v>0.0769230769230769</v>
      </c>
      <c r="AI172" s="50" t="n">
        <f aca="false">AH172*BY172</f>
        <v>11.9230769230769</v>
      </c>
      <c r="AJ172" s="50" t="n">
        <f aca="false">AF172*G172</f>
        <v>2158.88</v>
      </c>
      <c r="AK172" s="50" t="n">
        <f aca="false">ROUNDUP(MAX(J172/IF(CD172&gt;0,CD172,MAX(0.1,N(Cockpit!$C$6))),CG172)/BV172,0)*BV172</f>
        <v>310</v>
      </c>
      <c r="AL172" s="51" t="n">
        <f aca="false">IF(AI172&gt;0,J172/AI172,-1)</f>
        <v>31.7032258064516</v>
      </c>
      <c r="AM172" s="51" t="n">
        <f aca="false">IF(AND(OR(CC172="L1",CC172="L23",CC172="LIFT"),AI172&gt;0),SUMIFS($AI$7:$AI$1843,$CC$7:$CC$1843,CC172,$AL$7:$AL$1843,"&gt;"&amp;AL172)+SUMIFS($AI$7:$AI$1843,$CC$7:$CC$1843,CC172,$AL$7:$AL$1843,AL172,$BT$7:$BT$1843,"&lt;="&amp;BT172),"")</f>
        <v>1379.02472527473</v>
      </c>
      <c r="AN172" s="58" t="n">
        <f aca="false">IF(AM172="",0,MAX(0,MIN(1,(IF(CC172="L1",Parameter!$H$5,IF(CC172="L23",Parameter!$H$6+Parameter!$H$7,Parameter!$H$5+Parameter!$H$6+Parameter!$H$7))-(AM172-AI172))/AI172)))</f>
        <v>1</v>
      </c>
      <c r="AO172" s="50" t="n">
        <f aca="false">IF(LEFT(Cockpit!$I$5,1)="A",H172,IF(CE172=1,CF172,IF(LEFT(Cockpit!$I$5,1)="B",AT172,MAX(AT172,H172))))</f>
        <v>310</v>
      </c>
      <c r="AP172" s="50" t="n">
        <f aca="false">IF(BW172=1,0,ROUNDUP(AO172/BV172,0))</f>
        <v>2</v>
      </c>
      <c r="AQ172" s="52" t="n">
        <f aca="false">IF(CL172&gt;0,CL172*MAX(1,AO172/X172),IF(BW172=1,IF(AO172&lt;=0,0,CA172*MAX(1,IF(H172&gt;0,AO172/H172,1))),IF(R172&gt;0,AP172/R172,0))/MAX(0.1,N(Parameter!$M$21)))</f>
        <v>0.0769230769230769</v>
      </c>
      <c r="AR172" s="50" t="n">
        <f aca="false">AQ172*BY172</f>
        <v>11.9230769230769</v>
      </c>
      <c r="AS172" s="50" t="n">
        <f aca="false">AO172*G172</f>
        <v>3248.8</v>
      </c>
      <c r="AT172" s="50" t="n">
        <f aca="false">ROUNDUP(MAX(J172/IF(CD172&gt;0,CD172,MAX(0.1,N(Cockpit!$I$6))),CG172)/BV172,0)*BV172</f>
        <v>310</v>
      </c>
      <c r="AU172" s="51" t="n">
        <f aca="false">IF(AR172&gt;0,J172/AR172,-1)</f>
        <v>31.7032258064516</v>
      </c>
      <c r="AV172" s="51" t="n">
        <f aca="false">IF(AND(OR(CC172="L1",CC172="L23",CC172="LIFT"),AR172&gt;0),SUMIFS($AR$7:$AR$1843,$CC$7:$CC$1843,CC172,$AU$7:$AU$1843,"&gt;"&amp;AU172)+SUMIFS($AR$7:$AR$1843,$CC$7:$CC$1843,CC172,$AU$7:$AU$1843,AU172,$BT$7:$BT$1843,"&lt;="&amp;BT172),"")</f>
        <v>1875.21428571429</v>
      </c>
      <c r="AW172" s="58" t="n">
        <f aca="false">IF(AV172="",0,MAX(0,MIN(1,(IF(CC172="L1",Parameter!$H$5,IF(CC172="L23",Parameter!$H$6+Parameter!$H$7,Parameter!$H$5+Parameter!$H$6+Parameter!$H$7))-(AV172-AR172))/AR172)))</f>
        <v>1</v>
      </c>
      <c r="AX172" s="50" t="n">
        <f aca="false">IF(LEFT(Cockpit!$O$5,1)="A",H172,IF(CE172=1,CF172,IF(LEFT(Cockpit!$O$5,1)="B",BC172,MAX(BC172,H172))))</f>
        <v>310</v>
      </c>
      <c r="AY172" s="50" t="n">
        <f aca="false">IF(BW172=1,0,ROUNDUP(AX172/BV172,0))</f>
        <v>2</v>
      </c>
      <c r="AZ172" s="52" t="n">
        <f aca="false">IF(CL172&gt;0,CL172*MAX(1,AX172/X172),IF(BW172=1,IF(AX172&lt;=0,0,CA172*MAX(1,IF(H172&gt;0,AX172/H172,1))),IF(R172&gt;0,AY172/R172,0))/MAX(0.1,N(Parameter!$M$21)))</f>
        <v>0.0769230769230769</v>
      </c>
      <c r="BA172" s="50" t="n">
        <f aca="false">AZ172*BY172</f>
        <v>11.9230769230769</v>
      </c>
      <c r="BB172" s="50" t="n">
        <f aca="false">AX172*G172</f>
        <v>3248.8</v>
      </c>
      <c r="BC172" s="50" t="n">
        <f aca="false">ROUNDUP(MAX(J172/IF(CD172&gt;0,CD172,MAX(0.1,N(Cockpit!$O$6))),CG172)/BV172,0)*BV172</f>
        <v>310</v>
      </c>
      <c r="BD172" s="51" t="n">
        <f aca="false">IF(BA172&gt;0,J172/BA172,-1)</f>
        <v>31.7032258064516</v>
      </c>
      <c r="BE172" s="51" t="n">
        <f aca="false">IF(AND(OR(CC172="L1",CC172="L23",CC172="LIFT"),BA172&gt;0),SUMIFS($BA$7:$BA$1843,$CC$7:$CC$1843,CC172,$BD$7:$BD$1843,"&gt;"&amp;BD172)+SUMIFS($BA$7:$BA$1843,$CC$7:$CC$1843,CC172,$BD$7:$BD$1843,BD172,$BT$7:$BT$1843,"&lt;="&amp;BT172),"")</f>
        <v>1783.40338827839</v>
      </c>
      <c r="BF172" s="58" t="n">
        <f aca="false">IF(BE172="",0,MAX(0,MIN(1,(IF(CC172="L1",Parameter!$H$5,IF(CC172="L23",Parameter!$H$6+Parameter!$H$7,Parameter!$H$5+Parameter!$H$6+Parameter!$H$7))-(BE172-BA172))/BA172)))</f>
        <v>1</v>
      </c>
      <c r="BG172" s="48" t="str">
        <f aca="false">IF(AI172&lt;=0,"",IF(CC172="Aussen","Aussenlager",IF(CC172="-","Nicht im Lift",IF(AN172&gt;=1,"Lift",IF(AN172&lt;=0,"Aussenlager","teilweise")))))</f>
        <v>Lift</v>
      </c>
      <c r="BH172" s="48" t="str">
        <f aca="false">IF(AR172&lt;=0,"",IF(CC172="Aussen","Aussenlager",IF(CC172="-","Nicht im Lift",IF(AW172&gt;=1,"Lift",IF(AW172&lt;=0,"Aussenlager","teilweise")))))</f>
        <v>Lift</v>
      </c>
      <c r="BI172" s="48" t="str">
        <f aca="false">IF(BA172&lt;=0,"",IF(CC172="Aussen","Aussenlager",IF(CC172="-","Nicht im Lift",IF(BF172&gt;=1,"Lift",IF(BF172&lt;=0,"Aussenlager","teilweise")))))</f>
        <v>Lift</v>
      </c>
      <c r="BJ172" s="48" t="str">
        <f aca="false">IF(A172="","",IF(BS172=1,"Neu; ","")&amp;IF(AND(BS172=0,BN172&lt;0),"negativer Bestand (Export "&amp;BN172&amp;"); ","")&amp;IF(J172&lt;=0,"Kein Verbrauch; ","")&amp;IF(CL172&gt;0,"Lift "&amp;W172&amp;" lt. Liftbericht (Fach "&amp;X172&amp;" Stk); ",IF(BX172=1,"Gebinde geschätzt ("&amp;T172&amp;"); ",IF(BW172=1,"Lose – Tablare geschätzt; ","")))&amp;IF(H172&gt;AT172,"Überbestand "&amp;ROUND(H172-AT172,0)&amp;" Stk / CHF "&amp;ROUND((H172-AT172)*G172,0)&amp;"; ","")&amp;IF(AND(CE172=1,CF172&lt;CG172),"MAX &lt; MB+LG; ","")&amp;IF(AND(CK172&gt;0,CJ172*10&gt;CK172),"zu hoch für Tablar; ","")&amp;IF(AND(BS172=0,OR(CE172=1,AA172&lt;&gt;"",U172&lt;&gt;"",V172&lt;&gt;"",AB172&lt;&gt;"")),"manuell übersteuert; ","")&amp;IF(AND(BW172=0,R172=0),"Gebinde unbekannt / Stellmass fehlt; ","")&amp;IF(AND(BW172=0,N(V172)&lt;=0,N(Q172)&lt;=0),"Menge pro Gebinde fehlt (Ist = 1 Gebinde); ","")&amp;BR172)</f>
        <v/>
      </c>
      <c r="BK172" s="48"/>
      <c r="BL172" s="48"/>
      <c r="BM172" s="55"/>
      <c r="BN172" s="50" t="n">
        <v>119</v>
      </c>
      <c r="BO172" s="50" t="n">
        <v>87</v>
      </c>
      <c r="BP172" s="49" t="n">
        <v>1093.13</v>
      </c>
      <c r="BQ172" s="50" t="n">
        <v>378</v>
      </c>
      <c r="BR172" s="48"/>
      <c r="BS172" s="53" t="n">
        <v>0</v>
      </c>
      <c r="BT172" s="53" t="n">
        <v>172</v>
      </c>
      <c r="BU172" s="48" t="str">
        <f aca="false">IF(U172&lt;&gt;"",UPPER(TRIM(U172)),IF(BX172=1,UPPER(VLOOKUP(T172,Parameter!$I$27:$K$29,2,0)),IF(P172="","LOSE",P172)))</f>
        <v>S51</v>
      </c>
      <c r="BV172" s="50" t="n">
        <f aca="false">IF(BU172="LOSE",1,IF(N(V172)&gt;0,V172,IF(BX172=1,MAX(1,N(VLOOKUP(T172,Parameter!$I$27:$K$29,3,0)),H172,N(N172)),IF(N(Q172)&gt;0,Q172,MAX(1,H172)))))</f>
        <v>155</v>
      </c>
      <c r="BW172" s="53" t="n">
        <f aca="false">IF(BU172="LOSE",1,0)</f>
        <v>0</v>
      </c>
      <c r="BX172" s="53" t="n">
        <f aca="false">IF(AND(U172="",OR(P172="",P172="LOSE"),T172&lt;&gt;"",N(S172)&lt;=0,ISNUMBER(MATCH(T172,Parameter!$I$27:$I$29,0))),1,0)</f>
        <v>0</v>
      </c>
      <c r="BY172" s="53" t="n">
        <f aca="false">IF(CL172&gt;0,INDEX(Parameter!$H$5:$H$7,W172)/INDEX(Parameter!$E$5:$E$7,W172),IF(AND(BW172=0,N(IFERROR(VLOOKUP(BU172,'Gebinde-Kategorie'!$A$5:$N$45,14,0),0))&gt;0),VLOOKUP(BU172,'Gebinde-Kategorie'!$A$5:$N$45,14,0)*10+Parameter!$M$23,Parameter!$M$24))</f>
        <v>155</v>
      </c>
      <c r="BZ172" s="48" t="str">
        <f aca="false">IF(AND(Parameter!$B$19="Ja",E172&lt;&gt;"",ISNUMBER(MATCH(E172,Parameter!$I$35:$I$52,0))),VLOOKUP(E172,Parameter!$I$35:$J$52,2,0),IFERROR(VLOOKUP(D172,Parameter!$A$35:$C$64,2,0),"Nein"))</f>
        <v>2+3</v>
      </c>
      <c r="CA172" s="52" t="n">
        <f aca="false">IF(BW172=0,0,IF(N(S172)&gt;0,S172,IFERROR(VLOOKUP(D172,Parameter!$A$35:$C$64,3,0)+0,0)))</f>
        <v>0</v>
      </c>
      <c r="CB172" s="48" t="n">
        <f aca="false">IF(AA172&lt;&gt;"",AA172,Z172)</f>
        <v>3</v>
      </c>
      <c r="CC172" s="48" t="str">
        <f aca="false">IF(OR(CB172=1,CB172=2,CB172=3),IF(Parameter!$E$27="Ja","LIFT",IF(CB172=1,"L1","L23")),IF(CB172="Aussen","Aussen","-"))</f>
        <v>LIFT</v>
      </c>
      <c r="CD172" s="59" t="n">
        <f aca="false">IF(N(AB172)&gt;0,AB172,0)</f>
        <v>0</v>
      </c>
      <c r="CE172" s="53" t="n">
        <f aca="false">IF(ISNUMBER(AE172),1,0)</f>
        <v>0</v>
      </c>
      <c r="CF172" s="50" t="n">
        <f aca="false">N(AE172)</f>
        <v>0</v>
      </c>
      <c r="CG172" s="50" t="n">
        <f aca="false">N(M172)+N(N172)</f>
        <v>305</v>
      </c>
      <c r="CH172" s="50" t="n">
        <f aca="false">ROUNDUP(H172/BV172,0)</f>
        <v>2</v>
      </c>
      <c r="CI172" s="50" t="n">
        <f aca="false">ROUNDUP(CF172/BV172,0)</f>
        <v>0</v>
      </c>
      <c r="CJ172" s="53" t="n">
        <f aca="false">IF(BW172=1,0,IFERROR(VLOOKUP(BU172,'Gebinde-Kategorie'!$A$5:$N$45,5,0)+0,0))</f>
        <v>11</v>
      </c>
      <c r="CK172" s="53" t="n">
        <f aca="false">IFERROR(IF(OR(CB172=1,CB172=2,CB172=3),N(INDEX(Parameter!$I$5:$I$7,CB172)),0),0)</f>
        <v>0</v>
      </c>
      <c r="CL172" s="52" t="n">
        <f aca="false">IF(AND(Parameter!$B$21="Ja",ISNUMBER(W172),N(X172)&gt;0),IFERROR(N(INDEX(Parameter!$L$5:$L$7,W172))*INDEX(Parameter!$E$5:$E$7,W172)*X172/SUMIFS($X$7:$X$1843,$W$7:$W$1843,W172),0),0)</f>
        <v>0</v>
      </c>
    </row>
    <row r="173" customFormat="false" ht="15" hidden="false" customHeight="false" outlineLevel="0" collapsed="false">
      <c r="A173" s="48" t="s">
        <v>556</v>
      </c>
      <c r="B173" s="48" t="s">
        <v>557</v>
      </c>
      <c r="C173" s="48" t="s">
        <v>168</v>
      </c>
      <c r="D173" s="48" t="s">
        <v>188</v>
      </c>
      <c r="E173" s="48" t="s">
        <v>189</v>
      </c>
      <c r="F173" s="48" t="s">
        <v>222</v>
      </c>
      <c r="G173" s="49" t="n">
        <v>11.46</v>
      </c>
      <c r="H173" s="50" t="n">
        <f aca="false">MAX(0,IF(AND(Parameter!$B$21="Ja",ISNUMBER(Y173)),Y173,IF(Parameter!$B$20="Jahresanfang 2025 + Export",BO173+BN173,BN173)))</f>
        <v>172</v>
      </c>
      <c r="I173" s="50" t="n">
        <f aca="false">H173*G173</f>
        <v>1971.12</v>
      </c>
      <c r="J173" s="50" t="n">
        <f aca="false">BQ173*Parameter!$B$18</f>
        <v>152</v>
      </c>
      <c r="K173" s="51" t="n">
        <v>110</v>
      </c>
      <c r="L173" s="52" t="n">
        <v>1.38181818181818</v>
      </c>
      <c r="M173" s="50" t="n">
        <v>17</v>
      </c>
      <c r="N173" s="50" t="n">
        <v>150</v>
      </c>
      <c r="O173" s="53" t="n">
        <v>42</v>
      </c>
      <c r="P173" s="48" t="s">
        <v>306</v>
      </c>
      <c r="Q173" s="50" t="n">
        <v>122</v>
      </c>
      <c r="R173" s="53" t="n">
        <f aca="false">IF(BW173=1,0,IFERROR(VLOOKUP(BU173,'Gebinde-Kategorie'!$A$5:$N$45,13,0)+0,0))</f>
        <v>26</v>
      </c>
      <c r="S173" s="54"/>
      <c r="T173" s="55"/>
      <c r="U173" s="55"/>
      <c r="V173" s="55"/>
      <c r="W173" s="48"/>
      <c r="X173" s="50"/>
      <c r="Y173" s="50"/>
      <c r="Z173" s="48" t="n">
        <f aca="false">IF(A173="","",IF(AND(Parameter!$B$21="Ja",ISNUMBER(W173)),W173,IF(BZ173="2+3",IF(ISNUMBER(SEARCH("grosser Artikel",BR173)),2,IFERROR(VLOOKUP(BU173,Parameter!$F$35:$G$64,2,0),2)),IF(OR(BZ173="Nein",BZ173=""),"-",BZ173))))</f>
        <v>3</v>
      </c>
      <c r="AA173" s="55"/>
      <c r="AB173" s="56"/>
      <c r="AC173" s="50" t="n">
        <f aca="false">AT173</f>
        <v>244</v>
      </c>
      <c r="AD173" s="50" t="n">
        <f aca="false">MAX(AT173,H173)</f>
        <v>244</v>
      </c>
      <c r="AE173" s="57"/>
      <c r="AF173" s="50" t="n">
        <f aca="false">IF(LEFT(Cockpit!$C$5,1)="A",H173,IF(CE173=1,CF173,IF(LEFT(Cockpit!$C$5,1)="B",AK173,MAX(AK173,H173))))</f>
        <v>172</v>
      </c>
      <c r="AG173" s="50" t="n">
        <f aca="false">IF(BW173=1,0,ROUNDUP(AF173/BV173,0))</f>
        <v>2</v>
      </c>
      <c r="AH173" s="52" t="n">
        <f aca="false">IF(CL173&gt;0,CL173*MAX(1,AF173/X173),IF(BW173=1,IF(AF173&lt;=0,0,CA173*MAX(1,IF(H173&gt;0,AF173/H173,1))),IF(R173&gt;0,AG173/R173,0))/MAX(0.1,N(Parameter!$M$21)))</f>
        <v>0.0769230769230769</v>
      </c>
      <c r="AI173" s="50" t="n">
        <f aca="false">AH173*BY173</f>
        <v>11.9230769230769</v>
      </c>
      <c r="AJ173" s="50" t="n">
        <f aca="false">AF173*G173</f>
        <v>1971.12</v>
      </c>
      <c r="AK173" s="50" t="n">
        <f aca="false">ROUNDUP(MAX(J173/IF(CD173&gt;0,CD173,MAX(0.1,N(Cockpit!$C$6))),CG173)/BV173,0)*BV173</f>
        <v>244</v>
      </c>
      <c r="AL173" s="51" t="n">
        <f aca="false">IF(AI173&gt;0,J173/AI173,-1)</f>
        <v>12.7483870967742</v>
      </c>
      <c r="AM173" s="51" t="n">
        <f aca="false">IF(AND(OR(CC173="L1",CC173="L23",CC173="LIFT"),AI173&gt;0),SUMIFS($AI$7:$AI$1843,$CC$7:$CC$1843,CC173,$AL$7:$AL$1843,"&gt;"&amp;AL173)+SUMIFS($AI$7:$AI$1843,$CC$7:$CC$1843,CC173,$AL$7:$AL$1843,AL173,$BT$7:$BT$1843,"&lt;="&amp;BT173),"")</f>
        <v>2393.50915750916</v>
      </c>
      <c r="AN173" s="58" t="n">
        <f aca="false">IF(AM173="",0,MAX(0,MIN(1,(IF(CC173="L1",Parameter!$H$5,IF(CC173="L23",Parameter!$H$6+Parameter!$H$7,Parameter!$H$5+Parameter!$H$6+Parameter!$H$7))-(AM173-AI173))/AI173)))</f>
        <v>1</v>
      </c>
      <c r="AO173" s="50" t="n">
        <f aca="false">IF(LEFT(Cockpit!$I$5,1)="A",H173,IF(CE173=1,CF173,IF(LEFT(Cockpit!$I$5,1)="B",AT173,MAX(AT173,H173))))</f>
        <v>244</v>
      </c>
      <c r="AP173" s="50" t="n">
        <f aca="false">IF(BW173=1,0,ROUNDUP(AO173/BV173,0))</f>
        <v>2</v>
      </c>
      <c r="AQ173" s="52" t="n">
        <f aca="false">IF(CL173&gt;0,CL173*MAX(1,AO173/X173),IF(BW173=1,IF(AO173&lt;=0,0,CA173*MAX(1,IF(H173&gt;0,AO173/H173,1))),IF(R173&gt;0,AP173/R173,0))/MAX(0.1,N(Parameter!$M$21)))</f>
        <v>0.0769230769230769</v>
      </c>
      <c r="AR173" s="50" t="n">
        <f aca="false">AQ173*BY173</f>
        <v>11.9230769230769</v>
      </c>
      <c r="AS173" s="50" t="n">
        <f aca="false">AO173*G173</f>
        <v>2796.24</v>
      </c>
      <c r="AT173" s="50" t="n">
        <f aca="false">ROUNDUP(MAX(J173/IF(CD173&gt;0,CD173,MAX(0.1,N(Cockpit!$I$6))),CG173)/BV173,0)*BV173</f>
        <v>244</v>
      </c>
      <c r="AU173" s="51" t="n">
        <f aca="false">IF(AR173&gt;0,J173/AR173,-1)</f>
        <v>12.7483870967742</v>
      </c>
      <c r="AV173" s="51" t="n">
        <f aca="false">IF(AND(OR(CC173="L1",CC173="L23",CC173="LIFT"),AR173&gt;0),SUMIFS($AR$7:$AR$1843,$CC$7:$CC$1843,CC173,$AU$7:$AU$1843,"&gt;"&amp;AU173)+SUMIFS($AR$7:$AR$1843,$CC$7:$CC$1843,CC173,$AU$7:$AU$1843,AU173,$BT$7:$BT$1843,"&lt;="&amp;BT173),"")</f>
        <v>3572.49862637363</v>
      </c>
      <c r="AW173" s="58" t="n">
        <f aca="false">IF(AV173="",0,MAX(0,MIN(1,(IF(CC173="L1",Parameter!$H$5,IF(CC173="L23",Parameter!$H$6+Parameter!$H$7,Parameter!$H$5+Parameter!$H$6+Parameter!$H$7))-(AV173-AR173))/AR173)))</f>
        <v>1</v>
      </c>
      <c r="AX173" s="50" t="n">
        <f aca="false">IF(LEFT(Cockpit!$O$5,1)="A",H173,IF(CE173=1,CF173,IF(LEFT(Cockpit!$O$5,1)="B",BC173,MAX(BC173,H173))))</f>
        <v>244</v>
      </c>
      <c r="AY173" s="50" t="n">
        <f aca="false">IF(BW173=1,0,ROUNDUP(AX173/BV173,0))</f>
        <v>2</v>
      </c>
      <c r="AZ173" s="52" t="n">
        <f aca="false">IF(CL173&gt;0,CL173*MAX(1,AX173/X173),IF(BW173=1,IF(AX173&lt;=0,0,CA173*MAX(1,IF(H173&gt;0,AX173/H173,1))),IF(R173&gt;0,AY173/R173,0))/MAX(0.1,N(Parameter!$M$21)))</f>
        <v>0.0769230769230769</v>
      </c>
      <c r="BA173" s="50" t="n">
        <f aca="false">AZ173*BY173</f>
        <v>11.9230769230769</v>
      </c>
      <c r="BB173" s="50" t="n">
        <f aca="false">AX173*G173</f>
        <v>2796.24</v>
      </c>
      <c r="BC173" s="50" t="n">
        <f aca="false">ROUNDUP(MAX(J173/IF(CD173&gt;0,CD173,MAX(0.1,N(Cockpit!$O$6))),CG173)/BV173,0)*BV173</f>
        <v>244</v>
      </c>
      <c r="BD173" s="51" t="n">
        <f aca="false">IF(BA173&gt;0,J173/BA173,-1)</f>
        <v>12.7483870967742</v>
      </c>
      <c r="BE173" s="51" t="n">
        <f aca="false">IF(AND(OR(CC173="L1",CC173="L23",CC173="LIFT"),BA173&gt;0),SUMIFS($BA$7:$BA$1843,$CC$7:$CC$1843,CC173,$BD$7:$BD$1843,"&gt;"&amp;BD173)+SUMIFS($BA$7:$BA$1843,$CC$7:$CC$1843,CC173,$BD$7:$BD$1843,BD173,$BT$7:$BT$1843,"&lt;="&amp;BT173),"")</f>
        <v>3229.05311355311</v>
      </c>
      <c r="BF173" s="58" t="n">
        <f aca="false">IF(BE173="",0,MAX(0,MIN(1,(IF(CC173="L1",Parameter!$H$5,IF(CC173="L23",Parameter!$H$6+Parameter!$H$7,Parameter!$H$5+Parameter!$H$6+Parameter!$H$7))-(BE173-BA173))/BA173)))</f>
        <v>1</v>
      </c>
      <c r="BG173" s="48" t="str">
        <f aca="false">IF(AI173&lt;=0,"",IF(CC173="Aussen","Aussenlager",IF(CC173="-","Nicht im Lift",IF(AN173&gt;=1,"Lift",IF(AN173&lt;=0,"Aussenlager","teilweise")))))</f>
        <v>Lift</v>
      </c>
      <c r="BH173" s="48" t="str">
        <f aca="false">IF(AR173&lt;=0,"",IF(CC173="Aussen","Aussenlager",IF(CC173="-","Nicht im Lift",IF(AW173&gt;=1,"Lift",IF(AW173&lt;=0,"Aussenlager","teilweise")))))</f>
        <v>Lift</v>
      </c>
      <c r="BI173" s="48" t="str">
        <f aca="false">IF(BA173&lt;=0,"",IF(CC173="Aussen","Aussenlager",IF(CC173="-","Nicht im Lift",IF(BF173&gt;=1,"Lift",IF(BF173&lt;=0,"Aussenlager","teilweise")))))</f>
        <v>Lift</v>
      </c>
      <c r="BJ173" s="48" t="str">
        <f aca="false">IF(A173="","",IF(BS173=1,"Neu; ","")&amp;IF(AND(BS173=0,BN173&lt;0),"negativer Bestand (Export "&amp;BN173&amp;"); ","")&amp;IF(J173&lt;=0,"Kein Verbrauch; ","")&amp;IF(CL173&gt;0,"Lift "&amp;W173&amp;" lt. Liftbericht (Fach "&amp;X173&amp;" Stk); ",IF(BX173=1,"Gebinde geschätzt ("&amp;T173&amp;"); ",IF(BW173=1,"Lose – Tablare geschätzt; ","")))&amp;IF(H173&gt;AT173,"Überbestand "&amp;ROUND(H173-AT173,0)&amp;" Stk / CHF "&amp;ROUND((H173-AT173)*G173,0)&amp;"; ","")&amp;IF(AND(CE173=1,CF173&lt;CG173),"MAX &lt; MB+LG; ","")&amp;IF(AND(CK173&gt;0,CJ173*10&gt;CK173),"zu hoch für Tablar; ","")&amp;IF(AND(BS173=0,OR(CE173=1,AA173&lt;&gt;"",U173&lt;&gt;"",V173&lt;&gt;"",AB173&lt;&gt;"")),"manuell übersteuert; ","")&amp;IF(AND(BW173=0,R173=0),"Gebinde unbekannt / Stellmass fehlt; ","")&amp;IF(AND(BW173=0,N(V173)&lt;=0,N(Q173)&lt;=0),"Menge pro Gebinde fehlt (Ist = 1 Gebinde); ","")&amp;BR173)</f>
        <v/>
      </c>
      <c r="BK173" s="48"/>
      <c r="BL173" s="48"/>
      <c r="BM173" s="55"/>
      <c r="BN173" s="50" t="n">
        <v>84</v>
      </c>
      <c r="BO173" s="50" t="n">
        <v>88</v>
      </c>
      <c r="BP173" s="49" t="n">
        <v>1092</v>
      </c>
      <c r="BQ173" s="50" t="n">
        <v>152</v>
      </c>
      <c r="BR173" s="48"/>
      <c r="BS173" s="53" t="n">
        <v>0</v>
      </c>
      <c r="BT173" s="53" t="n">
        <v>173</v>
      </c>
      <c r="BU173" s="48" t="str">
        <f aca="false">IF(U173&lt;&gt;"",UPPER(TRIM(U173)),IF(BX173=1,UPPER(VLOOKUP(T173,Parameter!$I$27:$K$29,2,0)),IF(P173="","LOSE",P173)))</f>
        <v>S51</v>
      </c>
      <c r="BV173" s="50" t="n">
        <f aca="false">IF(BU173="LOSE",1,IF(N(V173)&gt;0,V173,IF(BX173=1,MAX(1,N(VLOOKUP(T173,Parameter!$I$27:$K$29,3,0)),H173,N(N173)),IF(N(Q173)&gt;0,Q173,MAX(1,H173)))))</f>
        <v>122</v>
      </c>
      <c r="BW173" s="53" t="n">
        <f aca="false">IF(BU173="LOSE",1,0)</f>
        <v>0</v>
      </c>
      <c r="BX173" s="53" t="n">
        <f aca="false">IF(AND(U173="",OR(P173="",P173="LOSE"),T173&lt;&gt;"",N(S173)&lt;=0,ISNUMBER(MATCH(T173,Parameter!$I$27:$I$29,0))),1,0)</f>
        <v>0</v>
      </c>
      <c r="BY173" s="53" t="n">
        <f aca="false">IF(CL173&gt;0,INDEX(Parameter!$H$5:$H$7,W173)/INDEX(Parameter!$E$5:$E$7,W173),IF(AND(BW173=0,N(IFERROR(VLOOKUP(BU173,'Gebinde-Kategorie'!$A$5:$N$45,14,0),0))&gt;0),VLOOKUP(BU173,'Gebinde-Kategorie'!$A$5:$N$45,14,0)*10+Parameter!$M$23,Parameter!$M$24))</f>
        <v>155</v>
      </c>
      <c r="BZ173" s="48" t="str">
        <f aca="false">IF(AND(Parameter!$B$19="Ja",E173&lt;&gt;"",ISNUMBER(MATCH(E173,Parameter!$I$35:$I$52,0))),VLOOKUP(E173,Parameter!$I$35:$J$52,2,0),IFERROR(VLOOKUP(D173,Parameter!$A$35:$C$64,2,0),"Nein"))</f>
        <v>2+3</v>
      </c>
      <c r="CA173" s="52" t="n">
        <f aca="false">IF(BW173=0,0,IF(N(S173)&gt;0,S173,IFERROR(VLOOKUP(D173,Parameter!$A$35:$C$64,3,0)+0,0)))</f>
        <v>0</v>
      </c>
      <c r="CB173" s="48" t="n">
        <f aca="false">IF(AA173&lt;&gt;"",AA173,Z173)</f>
        <v>3</v>
      </c>
      <c r="CC173" s="48" t="str">
        <f aca="false">IF(OR(CB173=1,CB173=2,CB173=3),IF(Parameter!$E$27="Ja","LIFT",IF(CB173=1,"L1","L23")),IF(CB173="Aussen","Aussen","-"))</f>
        <v>LIFT</v>
      </c>
      <c r="CD173" s="59" t="n">
        <f aca="false">IF(N(AB173)&gt;0,AB173,0)</f>
        <v>0</v>
      </c>
      <c r="CE173" s="53" t="n">
        <f aca="false">IF(ISNUMBER(AE173),1,0)</f>
        <v>0</v>
      </c>
      <c r="CF173" s="50" t="n">
        <f aca="false">N(AE173)</f>
        <v>0</v>
      </c>
      <c r="CG173" s="50" t="n">
        <f aca="false">N(M173)+N(N173)</f>
        <v>167</v>
      </c>
      <c r="CH173" s="50" t="n">
        <f aca="false">ROUNDUP(H173/BV173,0)</f>
        <v>2</v>
      </c>
      <c r="CI173" s="50" t="n">
        <f aca="false">ROUNDUP(CF173/BV173,0)</f>
        <v>0</v>
      </c>
      <c r="CJ173" s="53" t="n">
        <f aca="false">IF(BW173=1,0,IFERROR(VLOOKUP(BU173,'Gebinde-Kategorie'!$A$5:$N$45,5,0)+0,0))</f>
        <v>11</v>
      </c>
      <c r="CK173" s="53" t="n">
        <f aca="false">IFERROR(IF(OR(CB173=1,CB173=2,CB173=3),N(INDEX(Parameter!$I$5:$I$7,CB173)),0),0)</f>
        <v>0</v>
      </c>
      <c r="CL173" s="52" t="n">
        <f aca="false">IF(AND(Parameter!$B$21="Ja",ISNUMBER(W173),N(X173)&gt;0),IFERROR(N(INDEX(Parameter!$L$5:$L$7,W173))*INDEX(Parameter!$E$5:$E$7,W173)*X173/SUMIFS($X$7:$X$1843,$W$7:$W$1843,W173),0),0)</f>
        <v>0</v>
      </c>
    </row>
    <row r="174" customFormat="false" ht="15" hidden="false" customHeight="false" outlineLevel="0" collapsed="false">
      <c r="A174" s="48" t="s">
        <v>558</v>
      </c>
      <c r="B174" s="48" t="s">
        <v>559</v>
      </c>
      <c r="C174" s="48" t="s">
        <v>168</v>
      </c>
      <c r="D174" s="48" t="s">
        <v>177</v>
      </c>
      <c r="E174" s="48"/>
      <c r="F174" s="48" t="s">
        <v>222</v>
      </c>
      <c r="G174" s="49" t="n">
        <v>533.7</v>
      </c>
      <c r="H174" s="50" t="n">
        <f aca="false">MAX(0,IF(AND(Parameter!$B$21="Ja",ISNUMBER(Y174)),Y174,IF(Parameter!$B$20="Jahresanfang 2025 + Export",BO174+BN174,BN174)))</f>
        <v>2</v>
      </c>
      <c r="I174" s="50" t="n">
        <f aca="false">H174*G174</f>
        <v>1067.4</v>
      </c>
      <c r="J174" s="50" t="n">
        <f aca="false">BQ174*Parameter!$B$18</f>
        <v>0</v>
      </c>
      <c r="K174" s="51" t="n">
        <v>0</v>
      </c>
      <c r="L174" s="52" t="n">
        <v>0</v>
      </c>
      <c r="M174" s="50" t="n">
        <v>0</v>
      </c>
      <c r="N174" s="50" t="n">
        <v>1</v>
      </c>
      <c r="O174" s="53" t="n">
        <v>28</v>
      </c>
      <c r="P174" s="48" t="s">
        <v>172</v>
      </c>
      <c r="Q174" s="50"/>
      <c r="R174" s="53" t="n">
        <f aca="false">IF(BW174=1,0,IFERROR(VLOOKUP(BU174,'Gebinde-Kategorie'!$A$5:$N$45,13,0)+0,0))</f>
        <v>12</v>
      </c>
      <c r="S174" s="54"/>
      <c r="T174" s="55" t="s">
        <v>183</v>
      </c>
      <c r="U174" s="55"/>
      <c r="V174" s="55"/>
      <c r="W174" s="48"/>
      <c r="X174" s="50"/>
      <c r="Y174" s="50"/>
      <c r="Z174" s="48" t="n">
        <f aca="false">IF(A174="","",IF(AND(Parameter!$B$21="Ja",ISNUMBER(W174)),W174,IF(BZ174="2+3",IF(ISNUMBER(SEARCH("grosser Artikel",BR174)),2,IFERROR(VLOOKUP(BU174,Parameter!$F$35:$G$64,2,0),2)),IF(OR(BZ174="Nein",BZ174=""),"-",BZ174))))</f>
        <v>2</v>
      </c>
      <c r="AA174" s="55"/>
      <c r="AB174" s="56"/>
      <c r="AC174" s="50" t="n">
        <f aca="false">AT174</f>
        <v>4</v>
      </c>
      <c r="AD174" s="50" t="n">
        <f aca="false">MAX(AT174,H174)</f>
        <v>4</v>
      </c>
      <c r="AE174" s="57"/>
      <c r="AF174" s="50" t="n">
        <f aca="false">IF(LEFT(Cockpit!$C$5,1)="A",H174,IF(CE174=1,CF174,IF(LEFT(Cockpit!$C$5,1)="B",AK174,MAX(AK174,H174))))</f>
        <v>2</v>
      </c>
      <c r="AG174" s="50" t="n">
        <f aca="false">IF(BW174=1,0,ROUNDUP(AF174/BV174,0))</f>
        <v>1</v>
      </c>
      <c r="AH174" s="52" t="n">
        <f aca="false">IF(CL174&gt;0,CL174*MAX(1,AF174/X174),IF(BW174=1,IF(AF174&lt;=0,0,CA174*MAX(1,IF(H174&gt;0,AF174/H174,1))),IF(R174&gt;0,AG174/R174,0))/MAX(0.1,N(Parameter!$M$21)))</f>
        <v>0.0833333333333333</v>
      </c>
      <c r="AI174" s="50" t="n">
        <f aca="false">AH174*BY174</f>
        <v>12.0833333333333</v>
      </c>
      <c r="AJ174" s="50" t="n">
        <f aca="false">AF174*G174</f>
        <v>1067.4</v>
      </c>
      <c r="AK174" s="50" t="n">
        <f aca="false">ROUNDUP(MAX(J174/IF(CD174&gt;0,CD174,MAX(0.1,N(Cockpit!$C$6))),CG174)/BV174,0)*BV174</f>
        <v>4</v>
      </c>
      <c r="AL174" s="51" t="n">
        <f aca="false">IF(AI174&gt;0,J174/AI174,-1)</f>
        <v>0</v>
      </c>
      <c r="AM174" s="51" t="n">
        <f aca="false">IF(AND(OR(CC174="L1",CC174="L23",CC174="LIFT"),AI174&gt;0),SUMIFS($AI$7:$AI$1843,$CC$7:$CC$1843,CC174,$AL$7:$AL$1843,"&gt;"&amp;AL174)+SUMIFS($AI$7:$AI$1843,$CC$7:$CC$1843,CC174,$AL$7:$AL$1843,AL174,$BT$7:$BT$1843,"&lt;="&amp;BT174),"")</f>
        <v>27439.2895454357</v>
      </c>
      <c r="AN174" s="58" t="n">
        <f aca="false">IF(AM174="",0,MAX(0,MIN(1,(IF(CC174="L1",Parameter!$H$5,IF(CC174="L23",Parameter!$H$6+Parameter!$H$7,Parameter!$H$5+Parameter!$H$6+Parameter!$H$7))-(AM174-AI174))/AI174)))</f>
        <v>1</v>
      </c>
      <c r="AO174" s="50" t="n">
        <f aca="false">IF(LEFT(Cockpit!$I$5,1)="A",H174,IF(CE174=1,CF174,IF(LEFT(Cockpit!$I$5,1)="B",AT174,MAX(AT174,H174))))</f>
        <v>4</v>
      </c>
      <c r="AP174" s="50" t="n">
        <f aca="false">IF(BW174=1,0,ROUNDUP(AO174/BV174,0))</f>
        <v>1</v>
      </c>
      <c r="AQ174" s="52" t="n">
        <f aca="false">IF(CL174&gt;0,CL174*MAX(1,AO174/X174),IF(BW174=1,IF(AO174&lt;=0,0,CA174*MAX(1,IF(H174&gt;0,AO174/H174,1))),IF(R174&gt;0,AP174/R174,0))/MAX(0.1,N(Parameter!$M$21)))</f>
        <v>0.0833333333333333</v>
      </c>
      <c r="AR174" s="50" t="n">
        <f aca="false">AQ174*BY174</f>
        <v>12.0833333333333</v>
      </c>
      <c r="AS174" s="50" t="n">
        <f aca="false">AO174*G174</f>
        <v>2134.8</v>
      </c>
      <c r="AT174" s="50" t="n">
        <f aca="false">ROUNDUP(MAX(J174/IF(CD174&gt;0,CD174,MAX(0.1,N(Cockpit!$I$6))),CG174)/BV174,0)*BV174</f>
        <v>4</v>
      </c>
      <c r="AU174" s="51" t="n">
        <f aca="false">IF(AR174&gt;0,J174/AR174,-1)</f>
        <v>0</v>
      </c>
      <c r="AV174" s="51" t="n">
        <f aca="false">IF(AND(OR(CC174="L1",CC174="L23",CC174="LIFT"),AR174&gt;0),SUMIFS($AR$7:$AR$1843,$CC$7:$CC$1843,CC174,$AU$7:$AU$1843,"&gt;"&amp;AU174)+SUMIFS($AR$7:$AR$1843,$CC$7:$CC$1843,CC174,$AU$7:$AU$1843,AU174,$BT$7:$BT$1843,"&lt;="&amp;BT174),"")</f>
        <v>38752.1950627057</v>
      </c>
      <c r="AW174" s="58" t="n">
        <f aca="false">IF(AV174="",0,MAX(0,MIN(1,(IF(CC174="L1",Parameter!$H$5,IF(CC174="L23",Parameter!$H$6+Parameter!$H$7,Parameter!$H$5+Parameter!$H$6+Parameter!$H$7))-(AV174-AR174))/AR174)))</f>
        <v>0</v>
      </c>
      <c r="AX174" s="50" t="n">
        <f aca="false">IF(LEFT(Cockpit!$O$5,1)="A",H174,IF(CE174=1,CF174,IF(LEFT(Cockpit!$O$5,1)="B",BC174,MAX(BC174,H174))))</f>
        <v>4</v>
      </c>
      <c r="AY174" s="50" t="n">
        <f aca="false">IF(BW174=1,0,ROUNDUP(AX174/BV174,0))</f>
        <v>1</v>
      </c>
      <c r="AZ174" s="52" t="n">
        <f aca="false">IF(CL174&gt;0,CL174*MAX(1,AX174/X174),IF(BW174=1,IF(AX174&lt;=0,0,CA174*MAX(1,IF(H174&gt;0,AX174/H174,1))),IF(R174&gt;0,AY174/R174,0))/MAX(0.1,N(Parameter!$M$21)))</f>
        <v>0.0833333333333333</v>
      </c>
      <c r="BA174" s="50" t="n">
        <f aca="false">AZ174*BY174</f>
        <v>12.0833333333333</v>
      </c>
      <c r="BB174" s="50" t="n">
        <f aca="false">AX174*G174</f>
        <v>2134.8</v>
      </c>
      <c r="BC174" s="50" t="n">
        <f aca="false">ROUNDUP(MAX(J174/IF(CD174&gt;0,CD174,MAX(0.1,N(Cockpit!$O$6))),CG174)/BV174,0)*BV174</f>
        <v>4</v>
      </c>
      <c r="BD174" s="51" t="n">
        <f aca="false">IF(BA174&gt;0,J174/BA174,-1)</f>
        <v>0</v>
      </c>
      <c r="BE174" s="51" t="n">
        <f aca="false">IF(AND(OR(CC174="L1",CC174="L23",CC174="LIFT"),BA174&gt;0),SUMIFS($BA$7:$BA$1843,$CC$7:$CC$1843,CC174,$BD$7:$BD$1843,"&gt;"&amp;BD174)+SUMIFS($BA$7:$BA$1843,$CC$7:$CC$1843,CC174,$BD$7:$BD$1843,BD174,$BT$7:$BT$1843,"&lt;="&amp;BT174),"")</f>
        <v>35427.2071045715</v>
      </c>
      <c r="BF174" s="58" t="n">
        <f aca="false">IF(BE174="",0,MAX(0,MIN(1,(IF(CC174="L1",Parameter!$H$5,IF(CC174="L23",Parameter!$H$6+Parameter!$H$7,Parameter!$H$5+Parameter!$H$6+Parameter!$H$7))-(BE174-BA174))/BA174)))</f>
        <v>1</v>
      </c>
      <c r="BG174" s="48" t="str">
        <f aca="false">IF(AI174&lt;=0,"",IF(CC174="Aussen","Aussenlager",IF(CC174="-","Nicht im Lift",IF(AN174&gt;=1,"Lift",IF(AN174&lt;=0,"Aussenlager","teilweise")))))</f>
        <v>Lift</v>
      </c>
      <c r="BH174" s="48" t="str">
        <f aca="false">IF(AR174&lt;=0,"",IF(CC174="Aussen","Aussenlager",IF(CC174="-","Nicht im Lift",IF(AW174&gt;=1,"Lift",IF(AW174&lt;=0,"Aussenlager","teilweise")))))</f>
        <v>Aussenlager</v>
      </c>
      <c r="BI174" s="48" t="str">
        <f aca="false">IF(BA174&lt;=0,"",IF(CC174="Aussen","Aussenlager",IF(CC174="-","Nicht im Lift",IF(BF174&gt;=1,"Lift",IF(BF174&lt;=0,"Aussenlager","teilweise")))))</f>
        <v>Lift</v>
      </c>
      <c r="BJ174" s="48" t="str">
        <f aca="false">IF(A174="","",IF(BS174=1,"Neu; ","")&amp;IF(AND(BS174=0,BN174&lt;0),"negativer Bestand (Export "&amp;BN174&amp;"); ","")&amp;IF(J174&lt;=0,"Kein Verbrauch; ","")&amp;IF(CL174&gt;0,"Lift "&amp;W174&amp;" lt. Liftbericht (Fach "&amp;X174&amp;" Stk); ",IF(BX174=1,"Gebinde geschätzt ("&amp;T174&amp;"); ",IF(BW174=1,"Lose – Tablare geschätzt; ","")))&amp;IF(H174&gt;AT174,"Überbestand "&amp;ROUND(H174-AT174,0)&amp;" Stk / CHF "&amp;ROUND((H174-AT174)*G174,0)&amp;"; ","")&amp;IF(AND(CE174=1,CF174&lt;CG174),"MAX &lt; MB+LG; ","")&amp;IF(AND(CK174&gt;0,CJ174*10&gt;CK174),"zu hoch für Tablar; ","")&amp;IF(AND(BS174=0,OR(CE174=1,AA174&lt;&gt;"",U174&lt;&gt;"",V174&lt;&gt;"",AB174&lt;&gt;"")),"manuell übersteuert; ","")&amp;IF(AND(BW174=0,R174=0),"Gebinde unbekannt / Stellmass fehlt; ","")&amp;IF(AND(BW174=0,N(V174)&lt;=0,N(Q174)&lt;=0),"Menge pro Gebinde fehlt (Ist = 1 Gebinde); ","")&amp;BR174)</f>
        <v>Kein Verbrauch; Gebinde geschätzt (Mittel); Menge pro Gebinde fehlt (Ist = 1 Gebinde); </v>
      </c>
      <c r="BK174" s="48"/>
      <c r="BL174" s="48"/>
      <c r="BM174" s="55"/>
      <c r="BN174" s="50" t="n">
        <v>2</v>
      </c>
      <c r="BO174" s="50" t="n">
        <v>0</v>
      </c>
      <c r="BP174" s="49" t="n">
        <v>1067.4</v>
      </c>
      <c r="BQ174" s="50" t="n">
        <v>0</v>
      </c>
      <c r="BR174" s="48"/>
      <c r="BS174" s="53" t="n">
        <v>0</v>
      </c>
      <c r="BT174" s="53" t="n">
        <v>174</v>
      </c>
      <c r="BU174" s="48" t="str">
        <f aca="false">IF(U174&lt;&gt;"",UPPER(TRIM(U174)),IF(BX174=1,UPPER(VLOOKUP(T174,Parameter!$I$27:$K$29,2,0)),IF(P174="","LOSE",P174)))</f>
        <v>S61</v>
      </c>
      <c r="BV174" s="50" t="n">
        <f aca="false">IF(BU174="LOSE",1,IF(N(V174)&gt;0,V174,IF(BX174=1,MAX(1,N(VLOOKUP(T174,Parameter!$I$27:$K$29,3,0)),H174,N(N174)),IF(N(Q174)&gt;0,Q174,MAX(1,H174)))))</f>
        <v>4</v>
      </c>
      <c r="BW174" s="53" t="n">
        <f aca="false">IF(BU174="LOSE",1,0)</f>
        <v>0</v>
      </c>
      <c r="BX174" s="53" t="n">
        <f aca="false">IF(AND(U174="",OR(P174="",P174="LOSE"),T174&lt;&gt;"",N(S174)&lt;=0,ISNUMBER(MATCH(T174,Parameter!$I$27:$I$29,0))),1,0)</f>
        <v>1</v>
      </c>
      <c r="BY174" s="53" t="n">
        <f aca="false">IF(CL174&gt;0,INDEX(Parameter!$H$5:$H$7,W174)/INDEX(Parameter!$E$5:$E$7,W174),IF(AND(BW174=0,N(IFERROR(VLOOKUP(BU174,'Gebinde-Kategorie'!$A$5:$N$45,14,0),0))&gt;0),VLOOKUP(BU174,'Gebinde-Kategorie'!$A$5:$N$45,14,0)*10+Parameter!$M$23,Parameter!$M$24))</f>
        <v>145</v>
      </c>
      <c r="BZ174" s="48" t="str">
        <f aca="false">IF(AND(Parameter!$B$19="Ja",E174&lt;&gt;"",ISNUMBER(MATCH(E174,Parameter!$I$35:$I$52,0))),VLOOKUP(E174,Parameter!$I$35:$J$52,2,0),IFERROR(VLOOKUP(D174,Parameter!$A$35:$C$64,2,0),"Nein"))</f>
        <v>2+3</v>
      </c>
      <c r="CA174" s="52" t="n">
        <f aca="false">IF(BW174=0,0,IF(N(S174)&gt;0,S174,IFERROR(VLOOKUP(D174,Parameter!$A$35:$C$64,3,0)+0,0)))</f>
        <v>0</v>
      </c>
      <c r="CB174" s="48" t="n">
        <f aca="false">IF(AA174&lt;&gt;"",AA174,Z174)</f>
        <v>2</v>
      </c>
      <c r="CC174" s="48" t="str">
        <f aca="false">IF(OR(CB174=1,CB174=2,CB174=3),IF(Parameter!$E$27="Ja","LIFT",IF(CB174=1,"L1","L23")),IF(CB174="Aussen","Aussen","-"))</f>
        <v>LIFT</v>
      </c>
      <c r="CD174" s="59" t="n">
        <f aca="false">IF(N(AB174)&gt;0,AB174,0)</f>
        <v>0</v>
      </c>
      <c r="CE174" s="53" t="n">
        <f aca="false">IF(ISNUMBER(AE174),1,0)</f>
        <v>0</v>
      </c>
      <c r="CF174" s="50" t="n">
        <f aca="false">N(AE174)</f>
        <v>0</v>
      </c>
      <c r="CG174" s="50" t="n">
        <f aca="false">N(M174)+N(N174)</f>
        <v>1</v>
      </c>
      <c r="CH174" s="50" t="n">
        <f aca="false">ROUNDUP(H174/BV174,0)</f>
        <v>1</v>
      </c>
      <c r="CI174" s="50" t="n">
        <f aca="false">ROUNDUP(CF174/BV174,0)</f>
        <v>0</v>
      </c>
      <c r="CJ174" s="53" t="n">
        <f aca="false">IF(BW174=1,0,IFERROR(VLOOKUP(BU174,'Gebinde-Kategorie'!$A$5:$N$45,5,0)+0,0))</f>
        <v>11</v>
      </c>
      <c r="CK174" s="53" t="n">
        <f aca="false">IFERROR(IF(OR(CB174=1,CB174=2,CB174=3),N(INDEX(Parameter!$I$5:$I$7,CB174)),0),0)</f>
        <v>0</v>
      </c>
      <c r="CL174" s="52" t="n">
        <f aca="false">IF(AND(Parameter!$B$21="Ja",ISNUMBER(W174),N(X174)&gt;0),IFERROR(N(INDEX(Parameter!$L$5:$L$7,W174))*INDEX(Parameter!$E$5:$E$7,W174)*X174/SUMIFS($X$7:$X$1843,$W$7:$W$1843,W174),0),0)</f>
        <v>0</v>
      </c>
    </row>
    <row r="175" customFormat="false" ht="15" hidden="false" customHeight="false" outlineLevel="0" collapsed="false">
      <c r="A175" s="48" t="s">
        <v>560</v>
      </c>
      <c r="B175" s="48" t="s">
        <v>561</v>
      </c>
      <c r="C175" s="48" t="s">
        <v>168</v>
      </c>
      <c r="D175" s="48" t="s">
        <v>188</v>
      </c>
      <c r="E175" s="48" t="s">
        <v>189</v>
      </c>
      <c r="F175" s="48" t="s">
        <v>222</v>
      </c>
      <c r="G175" s="49" t="n">
        <v>9.07</v>
      </c>
      <c r="H175" s="50" t="n">
        <f aca="false">MAX(0,IF(AND(Parameter!$B$21="Ja",ISNUMBER(Y175)),Y175,IF(Parameter!$B$20="Jahresanfang 2025 + Export",BO175+BN175,BN175)))</f>
        <v>207</v>
      </c>
      <c r="I175" s="50" t="n">
        <f aca="false">H175*G175</f>
        <v>1877.49</v>
      </c>
      <c r="J175" s="50" t="n">
        <f aca="false">BQ175*Parameter!$B$18</f>
        <v>178</v>
      </c>
      <c r="K175" s="51" t="n">
        <v>76.5</v>
      </c>
      <c r="L175" s="52" t="n">
        <v>2.32679738562092</v>
      </c>
      <c r="M175" s="50" t="n">
        <v>13</v>
      </c>
      <c r="N175" s="50" t="n">
        <v>180</v>
      </c>
      <c r="O175" s="53" t="n">
        <v>28</v>
      </c>
      <c r="P175" s="48" t="s">
        <v>190</v>
      </c>
      <c r="Q175" s="50" t="n">
        <v>90</v>
      </c>
      <c r="R175" s="53" t="n">
        <f aca="false">IF(BW175=1,0,IFERROR(VLOOKUP(BU175,'Gebinde-Kategorie'!$A$5:$N$45,13,0)+0,0))</f>
        <v>12</v>
      </c>
      <c r="S175" s="54"/>
      <c r="T175" s="55"/>
      <c r="U175" s="55"/>
      <c r="V175" s="55"/>
      <c r="W175" s="48"/>
      <c r="X175" s="50"/>
      <c r="Y175" s="50"/>
      <c r="Z175" s="48" t="n">
        <f aca="false">IF(A175="","",IF(AND(Parameter!$B$21="Ja",ISNUMBER(W175)),W175,IF(BZ175="2+3",IF(ISNUMBER(SEARCH("grosser Artikel",BR175)),2,IFERROR(VLOOKUP(BU175,Parameter!$F$35:$G$64,2,0),2)),IF(OR(BZ175="Nein",BZ175=""),"-",BZ175))))</f>
        <v>2</v>
      </c>
      <c r="AA175" s="55"/>
      <c r="AB175" s="56"/>
      <c r="AC175" s="50" t="n">
        <f aca="false">AT175</f>
        <v>270</v>
      </c>
      <c r="AD175" s="50" t="n">
        <f aca="false">MAX(AT175,H175)</f>
        <v>270</v>
      </c>
      <c r="AE175" s="57"/>
      <c r="AF175" s="50" t="n">
        <f aca="false">IF(LEFT(Cockpit!$C$5,1)="A",H175,IF(CE175=1,CF175,IF(LEFT(Cockpit!$C$5,1)="B",AK175,MAX(AK175,H175))))</f>
        <v>207</v>
      </c>
      <c r="AG175" s="50" t="n">
        <f aca="false">IF(BW175=1,0,ROUNDUP(AF175/BV175,0))</f>
        <v>3</v>
      </c>
      <c r="AH175" s="52" t="n">
        <f aca="false">IF(CL175&gt;0,CL175*MAX(1,AF175/X175),IF(BW175=1,IF(AF175&lt;=0,0,CA175*MAX(1,IF(H175&gt;0,AF175/H175,1))),IF(R175&gt;0,AG175/R175,0))/MAX(0.1,N(Parameter!$M$21)))</f>
        <v>0.25</v>
      </c>
      <c r="AI175" s="50" t="n">
        <f aca="false">AH175*BY175</f>
        <v>36.25</v>
      </c>
      <c r="AJ175" s="50" t="n">
        <f aca="false">AF175*G175</f>
        <v>1877.49</v>
      </c>
      <c r="AK175" s="50" t="n">
        <f aca="false">ROUNDUP(MAX(J175/IF(CD175&gt;0,CD175,MAX(0.1,N(Cockpit!$C$6))),CG175)/BV175,0)*BV175</f>
        <v>270</v>
      </c>
      <c r="AL175" s="51" t="n">
        <f aca="false">IF(AI175&gt;0,J175/AI175,-1)</f>
        <v>4.91034482758621</v>
      </c>
      <c r="AM175" s="51" t="n">
        <f aca="false">IF(AND(OR(CC175="L1",CC175="L23",CC175="LIFT"),AI175&gt;0),SUMIFS($AI$7:$AI$1843,$CC$7:$CC$1843,CC175,$AL$7:$AL$1843,"&gt;"&amp;AL175)+SUMIFS($AI$7:$AI$1843,$CC$7:$CC$1843,CC175,$AL$7:$AL$1843,AL175,$BT$7:$BT$1843,"&lt;="&amp;BT175),"")</f>
        <v>4029.21657509158</v>
      </c>
      <c r="AN175" s="58" t="n">
        <f aca="false">IF(AM175="",0,MAX(0,MIN(1,(IF(CC175="L1",Parameter!$H$5,IF(CC175="L23",Parameter!$H$6+Parameter!$H$7,Parameter!$H$5+Parameter!$H$6+Parameter!$H$7))-(AM175-AI175))/AI175)))</f>
        <v>1</v>
      </c>
      <c r="AO175" s="50" t="n">
        <f aca="false">IF(LEFT(Cockpit!$I$5,1)="A",H175,IF(CE175=1,CF175,IF(LEFT(Cockpit!$I$5,1)="B",AT175,MAX(AT175,H175))))</f>
        <v>270</v>
      </c>
      <c r="AP175" s="50" t="n">
        <f aca="false">IF(BW175=1,0,ROUNDUP(AO175/BV175,0))</f>
        <v>3</v>
      </c>
      <c r="AQ175" s="52" t="n">
        <f aca="false">IF(CL175&gt;0,CL175*MAX(1,AO175/X175),IF(BW175=1,IF(AO175&lt;=0,0,CA175*MAX(1,IF(H175&gt;0,AO175/H175,1))),IF(R175&gt;0,AP175/R175,0))/MAX(0.1,N(Parameter!$M$21)))</f>
        <v>0.25</v>
      </c>
      <c r="AR175" s="50" t="n">
        <f aca="false">AQ175*BY175</f>
        <v>36.25</v>
      </c>
      <c r="AS175" s="50" t="n">
        <f aca="false">AO175*G175</f>
        <v>2448.9</v>
      </c>
      <c r="AT175" s="50" t="n">
        <f aca="false">ROUNDUP(MAX(J175/IF(CD175&gt;0,CD175,MAX(0.1,N(Cockpit!$I$6))),CG175)/BV175,0)*BV175</f>
        <v>270</v>
      </c>
      <c r="AU175" s="51" t="n">
        <f aca="false">IF(AR175&gt;0,J175/AR175,-1)</f>
        <v>4.91034482758621</v>
      </c>
      <c r="AV175" s="51" t="n">
        <f aca="false">IF(AND(OR(CC175="L1",CC175="L23",CC175="LIFT"),AR175&gt;0),SUMIFS($AR$7:$AR$1843,$CC$7:$CC$1843,CC175,$AU$7:$AU$1843,"&gt;"&amp;AU175)+SUMIFS($AR$7:$AR$1843,$CC$7:$CC$1843,CC175,$AU$7:$AU$1843,AU175,$BT$7:$BT$1843,"&lt;="&amp;BT175),"")</f>
        <v>5163.00320512821</v>
      </c>
      <c r="AW175" s="58" t="n">
        <f aca="false">IF(AV175="",0,MAX(0,MIN(1,(IF(CC175="L1",Parameter!$H$5,IF(CC175="L23",Parameter!$H$6+Parameter!$H$7,Parameter!$H$5+Parameter!$H$6+Parameter!$H$7))-(AV175-AR175))/AR175)))</f>
        <v>1</v>
      </c>
      <c r="AX175" s="50" t="n">
        <f aca="false">IF(LEFT(Cockpit!$O$5,1)="A",H175,IF(CE175=1,CF175,IF(LEFT(Cockpit!$O$5,1)="B",BC175,MAX(BC175,H175))))</f>
        <v>270</v>
      </c>
      <c r="AY175" s="50" t="n">
        <f aca="false">IF(BW175=1,0,ROUNDUP(AX175/BV175,0))</f>
        <v>3</v>
      </c>
      <c r="AZ175" s="52" t="n">
        <f aca="false">IF(CL175&gt;0,CL175*MAX(1,AX175/X175),IF(BW175=1,IF(AX175&lt;=0,0,CA175*MAX(1,IF(H175&gt;0,AX175/H175,1))),IF(R175&gt;0,AY175/R175,0))/MAX(0.1,N(Parameter!$M$21)))</f>
        <v>0.25</v>
      </c>
      <c r="BA175" s="50" t="n">
        <f aca="false">AZ175*BY175</f>
        <v>36.25</v>
      </c>
      <c r="BB175" s="50" t="n">
        <f aca="false">AX175*G175</f>
        <v>2448.9</v>
      </c>
      <c r="BC175" s="50" t="n">
        <f aca="false">ROUNDUP(MAX(J175/IF(CD175&gt;0,CD175,MAX(0.1,N(Cockpit!$O$6))),CG175)/BV175,0)*BV175</f>
        <v>270</v>
      </c>
      <c r="BD175" s="51" t="n">
        <f aca="false">IF(BA175&gt;0,J175/BA175,-1)</f>
        <v>4.91034482758621</v>
      </c>
      <c r="BE175" s="51" t="n">
        <f aca="false">IF(AND(OR(CC175="L1",CC175="L23",CC175="LIFT"),BA175&gt;0),SUMIFS($BA$7:$BA$1843,$CC$7:$CC$1843,CC175,$BD$7:$BD$1843,"&gt;"&amp;BD175)+SUMIFS($BA$7:$BA$1843,$CC$7:$CC$1843,CC175,$BD$7:$BD$1843,BD175,$BT$7:$BT$1843,"&lt;="&amp;BT175),"")</f>
        <v>4833.46794871795</v>
      </c>
      <c r="BF175" s="58" t="n">
        <f aca="false">IF(BE175="",0,MAX(0,MIN(1,(IF(CC175="L1",Parameter!$H$5,IF(CC175="L23",Parameter!$H$6+Parameter!$H$7,Parameter!$H$5+Parameter!$H$6+Parameter!$H$7))-(BE175-BA175))/BA175)))</f>
        <v>1</v>
      </c>
      <c r="BG175" s="48" t="str">
        <f aca="false">IF(AI175&lt;=0,"",IF(CC175="Aussen","Aussenlager",IF(CC175="-","Nicht im Lift",IF(AN175&gt;=1,"Lift",IF(AN175&lt;=0,"Aussenlager","teilweise")))))</f>
        <v>Lift</v>
      </c>
      <c r="BH175" s="48" t="str">
        <f aca="false">IF(AR175&lt;=0,"",IF(CC175="Aussen","Aussenlager",IF(CC175="-","Nicht im Lift",IF(AW175&gt;=1,"Lift",IF(AW175&lt;=0,"Aussenlager","teilweise")))))</f>
        <v>Lift</v>
      </c>
      <c r="BI175" s="48" t="str">
        <f aca="false">IF(BA175&lt;=0,"",IF(CC175="Aussen","Aussenlager",IF(CC175="-","Nicht im Lift",IF(BF175&gt;=1,"Lift",IF(BF175&lt;=0,"Aussenlager","teilweise")))))</f>
        <v>Lift</v>
      </c>
      <c r="BJ175" s="48" t="str">
        <f aca="false">IF(A175="","",IF(BS175=1,"Neu; ","")&amp;IF(AND(BS175=0,BN175&lt;0),"negativer Bestand (Export "&amp;BN175&amp;"); ","")&amp;IF(J175&lt;=0,"Kein Verbrauch; ","")&amp;IF(CL175&gt;0,"Lift "&amp;W175&amp;" lt. Liftbericht (Fach "&amp;X175&amp;" Stk); ",IF(BX175=1,"Gebinde geschätzt ("&amp;T175&amp;"); ",IF(BW175=1,"Lose – Tablare geschätzt; ","")))&amp;IF(H175&gt;AT175,"Überbestand "&amp;ROUND(H175-AT175,0)&amp;" Stk / CHF "&amp;ROUND((H175-AT175)*G175,0)&amp;"; ","")&amp;IF(AND(CE175=1,CF175&lt;CG175),"MAX &lt; MB+LG; ","")&amp;IF(AND(CK175&gt;0,CJ175*10&gt;CK175),"zu hoch für Tablar; ","")&amp;IF(AND(BS175=0,OR(CE175=1,AA175&lt;&gt;"",U175&lt;&gt;"",V175&lt;&gt;"",AB175&lt;&gt;"")),"manuell übersteuert; ","")&amp;IF(AND(BW175=0,R175=0),"Gebinde unbekannt / Stellmass fehlt; ","")&amp;IF(AND(BW175=0,N(V175)&lt;=0,N(Q175)&lt;=0),"Menge pro Gebinde fehlt (Ist = 1 Gebinde); ","")&amp;BR175)</f>
        <v>nicht im KTL vorhanden</v>
      </c>
      <c r="BK175" s="48"/>
      <c r="BL175" s="48"/>
      <c r="BM175" s="55"/>
      <c r="BN175" s="50" t="n">
        <v>116</v>
      </c>
      <c r="BO175" s="50" t="n">
        <v>91</v>
      </c>
      <c r="BP175" s="49" t="n">
        <v>1053.94</v>
      </c>
      <c r="BQ175" s="50" t="n">
        <v>178</v>
      </c>
      <c r="BR175" s="48" t="s">
        <v>234</v>
      </c>
      <c r="BS175" s="53" t="n">
        <v>0</v>
      </c>
      <c r="BT175" s="53" t="n">
        <v>175</v>
      </c>
      <c r="BU175" s="48" t="str">
        <f aca="false">IF(U175&lt;&gt;"",UPPER(TRIM(U175)),IF(BX175=1,UPPER(VLOOKUP(T175,Parameter!$I$27:$K$29,2,0)),IF(P175="","LOSE",P175)))</f>
        <v>S61</v>
      </c>
      <c r="BV175" s="50" t="n">
        <f aca="false">IF(BU175="LOSE",1,IF(N(V175)&gt;0,V175,IF(BX175=1,MAX(1,N(VLOOKUP(T175,Parameter!$I$27:$K$29,3,0)),H175,N(N175)),IF(N(Q175)&gt;0,Q175,MAX(1,H175)))))</f>
        <v>90</v>
      </c>
      <c r="BW175" s="53" t="n">
        <f aca="false">IF(BU175="LOSE",1,0)</f>
        <v>0</v>
      </c>
      <c r="BX175" s="53" t="n">
        <f aca="false">IF(AND(U175="",OR(P175="",P175="LOSE"),T175&lt;&gt;"",N(S175)&lt;=0,ISNUMBER(MATCH(T175,Parameter!$I$27:$I$29,0))),1,0)</f>
        <v>0</v>
      </c>
      <c r="BY175" s="53" t="n">
        <f aca="false">IF(CL175&gt;0,INDEX(Parameter!$H$5:$H$7,W175)/INDEX(Parameter!$E$5:$E$7,W175),IF(AND(BW175=0,N(IFERROR(VLOOKUP(BU175,'Gebinde-Kategorie'!$A$5:$N$45,14,0),0))&gt;0),VLOOKUP(BU175,'Gebinde-Kategorie'!$A$5:$N$45,14,0)*10+Parameter!$M$23,Parameter!$M$24))</f>
        <v>145</v>
      </c>
      <c r="BZ175" s="48" t="str">
        <f aca="false">IF(AND(Parameter!$B$19="Ja",E175&lt;&gt;"",ISNUMBER(MATCH(E175,Parameter!$I$35:$I$52,0))),VLOOKUP(E175,Parameter!$I$35:$J$52,2,0),IFERROR(VLOOKUP(D175,Parameter!$A$35:$C$64,2,0),"Nein"))</f>
        <v>2+3</v>
      </c>
      <c r="CA175" s="52" t="n">
        <f aca="false">IF(BW175=0,0,IF(N(S175)&gt;0,S175,IFERROR(VLOOKUP(D175,Parameter!$A$35:$C$64,3,0)+0,0)))</f>
        <v>0</v>
      </c>
      <c r="CB175" s="48" t="n">
        <f aca="false">IF(AA175&lt;&gt;"",AA175,Z175)</f>
        <v>2</v>
      </c>
      <c r="CC175" s="48" t="str">
        <f aca="false">IF(OR(CB175=1,CB175=2,CB175=3),IF(Parameter!$E$27="Ja","LIFT",IF(CB175=1,"L1","L23")),IF(CB175="Aussen","Aussen","-"))</f>
        <v>LIFT</v>
      </c>
      <c r="CD175" s="59" t="n">
        <f aca="false">IF(N(AB175)&gt;0,AB175,0)</f>
        <v>0</v>
      </c>
      <c r="CE175" s="53" t="n">
        <f aca="false">IF(ISNUMBER(AE175),1,0)</f>
        <v>0</v>
      </c>
      <c r="CF175" s="50" t="n">
        <f aca="false">N(AE175)</f>
        <v>0</v>
      </c>
      <c r="CG175" s="50" t="n">
        <f aca="false">N(M175)+N(N175)</f>
        <v>193</v>
      </c>
      <c r="CH175" s="50" t="n">
        <f aca="false">ROUNDUP(H175/BV175,0)</f>
        <v>3</v>
      </c>
      <c r="CI175" s="50" t="n">
        <f aca="false">ROUNDUP(CF175/BV175,0)</f>
        <v>0</v>
      </c>
      <c r="CJ175" s="53" t="n">
        <f aca="false">IF(BW175=1,0,IFERROR(VLOOKUP(BU175,'Gebinde-Kategorie'!$A$5:$N$45,5,0)+0,0))</f>
        <v>11</v>
      </c>
      <c r="CK175" s="53" t="n">
        <f aca="false">IFERROR(IF(OR(CB175=1,CB175=2,CB175=3),N(INDEX(Parameter!$I$5:$I$7,CB175)),0),0)</f>
        <v>0</v>
      </c>
      <c r="CL175" s="52" t="n">
        <f aca="false">IF(AND(Parameter!$B$21="Ja",ISNUMBER(W175),N(X175)&gt;0),IFERROR(N(INDEX(Parameter!$L$5:$L$7,W175))*INDEX(Parameter!$E$5:$E$7,W175)*X175/SUMIFS($X$7:$X$1843,$W$7:$W$1843,W175),0),0)</f>
        <v>0</v>
      </c>
    </row>
    <row r="176" customFormat="false" ht="15" hidden="false" customHeight="false" outlineLevel="0" collapsed="false">
      <c r="A176" s="48" t="s">
        <v>562</v>
      </c>
      <c r="B176" s="48" t="s">
        <v>563</v>
      </c>
      <c r="C176" s="48" t="s">
        <v>168</v>
      </c>
      <c r="D176" s="48" t="s">
        <v>188</v>
      </c>
      <c r="E176" s="48" t="s">
        <v>189</v>
      </c>
      <c r="F176" s="48" t="s">
        <v>222</v>
      </c>
      <c r="G176" s="49" t="n">
        <v>11.84</v>
      </c>
      <c r="H176" s="50" t="n">
        <f aca="false">MAX(0,IF(AND(Parameter!$B$21="Ja",ISNUMBER(Y176)),Y176,IF(Parameter!$B$20="Jahresanfang 2025 + Export",BO176+BN176,BN176)))</f>
        <v>149</v>
      </c>
      <c r="I176" s="50" t="n">
        <f aca="false">H176*G176</f>
        <v>1764.16</v>
      </c>
      <c r="J176" s="50" t="n">
        <f aca="false">BQ176*Parameter!$B$18</f>
        <v>161</v>
      </c>
      <c r="K176" s="51" t="n">
        <v>60.5</v>
      </c>
      <c r="L176" s="52" t="n">
        <v>2.66115702479339</v>
      </c>
      <c r="M176" s="50" t="n">
        <v>12</v>
      </c>
      <c r="N176" s="50" t="n">
        <v>160</v>
      </c>
      <c r="O176" s="53" t="n">
        <v>28</v>
      </c>
      <c r="P176" s="48" t="s">
        <v>237</v>
      </c>
      <c r="Q176" s="50" t="n">
        <v>67</v>
      </c>
      <c r="R176" s="53" t="n">
        <f aca="false">IF(BW176=1,0,IFERROR(VLOOKUP(BU176,'Gebinde-Kategorie'!$A$5:$N$45,13,0)+0,0))</f>
        <v>26</v>
      </c>
      <c r="S176" s="54"/>
      <c r="T176" s="55"/>
      <c r="U176" s="55"/>
      <c r="V176" s="55"/>
      <c r="W176" s="48"/>
      <c r="X176" s="50"/>
      <c r="Y176" s="50"/>
      <c r="Z176" s="48" t="n">
        <f aca="false">IF(A176="","",IF(AND(Parameter!$B$21="Ja",ISNUMBER(W176)),W176,IF(BZ176="2+3",IF(ISNUMBER(SEARCH("grosser Artikel",BR176)),2,IFERROR(VLOOKUP(BU176,Parameter!$F$35:$G$64,2,0),2)),IF(OR(BZ176="Nein",BZ176=""),"-",BZ176))))</f>
        <v>3</v>
      </c>
      <c r="AA176" s="55"/>
      <c r="AB176" s="56"/>
      <c r="AC176" s="50" t="n">
        <f aca="false">AT176</f>
        <v>201</v>
      </c>
      <c r="AD176" s="50" t="n">
        <f aca="false">MAX(AT176,H176)</f>
        <v>201</v>
      </c>
      <c r="AE176" s="57"/>
      <c r="AF176" s="50" t="n">
        <f aca="false">IF(LEFT(Cockpit!$C$5,1)="A",H176,IF(CE176=1,CF176,IF(LEFT(Cockpit!$C$5,1)="B",AK176,MAX(AK176,H176))))</f>
        <v>149</v>
      </c>
      <c r="AG176" s="50" t="n">
        <f aca="false">IF(BW176=1,0,ROUNDUP(AF176/BV176,0))</f>
        <v>3</v>
      </c>
      <c r="AH176" s="52" t="n">
        <f aca="false">IF(CL176&gt;0,CL176*MAX(1,AF176/X176),IF(BW176=1,IF(AF176&lt;=0,0,CA176*MAX(1,IF(H176&gt;0,AF176/H176,1))),IF(R176&gt;0,AG176/R176,0))/MAX(0.1,N(Parameter!$M$21)))</f>
        <v>0.115384615384615</v>
      </c>
      <c r="AI176" s="50" t="n">
        <f aca="false">AH176*BY176</f>
        <v>28.2692307692308</v>
      </c>
      <c r="AJ176" s="50" t="n">
        <f aca="false">AF176*G176</f>
        <v>1764.16</v>
      </c>
      <c r="AK176" s="50" t="n">
        <f aca="false">ROUNDUP(MAX(J176/IF(CD176&gt;0,CD176,MAX(0.1,N(Cockpit!$C$6))),CG176)/BV176,0)*BV176</f>
        <v>201</v>
      </c>
      <c r="AL176" s="51" t="n">
        <f aca="false">IF(AI176&gt;0,J176/AI176,-1)</f>
        <v>5.6952380952381</v>
      </c>
      <c r="AM176" s="51" t="n">
        <f aca="false">IF(AND(OR(CC176="L1",CC176="L23",CC176="LIFT"),AI176&gt;0),SUMIFS($AI$7:$AI$1843,$CC$7:$CC$1843,CC176,$AL$7:$AL$1843,"&gt;"&amp;AL176)+SUMIFS($AI$7:$AI$1843,$CC$7:$CC$1843,CC176,$AL$7:$AL$1843,AL176,$BT$7:$BT$1843,"&lt;="&amp;BT176),"")</f>
        <v>3621.66071428571</v>
      </c>
      <c r="AN176" s="58" t="n">
        <f aca="false">IF(AM176="",0,MAX(0,MIN(1,(IF(CC176="L1",Parameter!$H$5,IF(CC176="L23",Parameter!$H$6+Parameter!$H$7,Parameter!$H$5+Parameter!$H$6+Parameter!$H$7))-(AM176-AI176))/AI176)))</f>
        <v>1</v>
      </c>
      <c r="AO176" s="50" t="n">
        <f aca="false">IF(LEFT(Cockpit!$I$5,1)="A",H176,IF(CE176=1,CF176,IF(LEFT(Cockpit!$I$5,1)="B",AT176,MAX(AT176,H176))))</f>
        <v>201</v>
      </c>
      <c r="AP176" s="50" t="n">
        <f aca="false">IF(BW176=1,0,ROUNDUP(AO176/BV176,0))</f>
        <v>3</v>
      </c>
      <c r="AQ176" s="52" t="n">
        <f aca="false">IF(CL176&gt;0,CL176*MAX(1,AO176/X176),IF(BW176=1,IF(AO176&lt;=0,0,CA176*MAX(1,IF(H176&gt;0,AO176/H176,1))),IF(R176&gt;0,AP176/R176,0))/MAX(0.1,N(Parameter!$M$21)))</f>
        <v>0.115384615384615</v>
      </c>
      <c r="AR176" s="50" t="n">
        <f aca="false">AQ176*BY176</f>
        <v>28.2692307692308</v>
      </c>
      <c r="AS176" s="50" t="n">
        <f aca="false">AO176*G176</f>
        <v>2379.84</v>
      </c>
      <c r="AT176" s="50" t="n">
        <f aca="false">ROUNDUP(MAX(J176/IF(CD176&gt;0,CD176,MAX(0.1,N(Cockpit!$I$6))),CG176)/BV176,0)*BV176</f>
        <v>201</v>
      </c>
      <c r="AU176" s="51" t="n">
        <f aca="false">IF(AR176&gt;0,J176/AR176,-1)</f>
        <v>5.6952380952381</v>
      </c>
      <c r="AV176" s="51" t="n">
        <f aca="false">IF(AND(OR(CC176="L1",CC176="L23",CC176="LIFT"),AR176&gt;0),SUMIFS($AR$7:$AR$1843,$CC$7:$CC$1843,CC176,$AU$7:$AU$1843,"&gt;"&amp;AU176)+SUMIFS($AR$7:$AR$1843,$CC$7:$CC$1843,CC176,$AU$7:$AU$1843,AU176,$BT$7:$BT$1843,"&lt;="&amp;BT176),"")</f>
        <v>4740.5554029304</v>
      </c>
      <c r="AW176" s="58" t="n">
        <f aca="false">IF(AV176="",0,MAX(0,MIN(1,(IF(CC176="L1",Parameter!$H$5,IF(CC176="L23",Parameter!$H$6+Parameter!$H$7,Parameter!$H$5+Parameter!$H$6+Parameter!$H$7))-(AV176-AR176))/AR176)))</f>
        <v>1</v>
      </c>
      <c r="AX176" s="50" t="n">
        <f aca="false">IF(LEFT(Cockpit!$O$5,1)="A",H176,IF(CE176=1,CF176,IF(LEFT(Cockpit!$O$5,1)="B",BC176,MAX(BC176,H176))))</f>
        <v>201</v>
      </c>
      <c r="AY176" s="50" t="n">
        <f aca="false">IF(BW176=1,0,ROUNDUP(AX176/BV176,0))</f>
        <v>3</v>
      </c>
      <c r="AZ176" s="52" t="n">
        <f aca="false">IF(CL176&gt;0,CL176*MAX(1,AX176/X176),IF(BW176=1,IF(AX176&lt;=0,0,CA176*MAX(1,IF(H176&gt;0,AX176/H176,1))),IF(R176&gt;0,AY176/R176,0))/MAX(0.1,N(Parameter!$M$21)))</f>
        <v>0.115384615384615</v>
      </c>
      <c r="BA176" s="50" t="n">
        <f aca="false">AZ176*BY176</f>
        <v>28.2692307692308</v>
      </c>
      <c r="BB176" s="50" t="n">
        <f aca="false">AX176*G176</f>
        <v>2379.84</v>
      </c>
      <c r="BC176" s="50" t="n">
        <f aca="false">ROUNDUP(MAX(J176/IF(CD176&gt;0,CD176,MAX(0.1,N(Cockpit!$O$6))),CG176)/BV176,0)*BV176</f>
        <v>201</v>
      </c>
      <c r="BD176" s="51" t="n">
        <f aca="false">IF(BA176&gt;0,J176/BA176,-1)</f>
        <v>5.6952380952381</v>
      </c>
      <c r="BE176" s="51" t="n">
        <f aca="false">IF(AND(OR(CC176="L1",CC176="L23",CC176="LIFT"),BA176&gt;0),SUMIFS($BA$7:$BA$1843,$CC$7:$CC$1843,CC176,$BD$7:$BD$1843,"&gt;"&amp;BD176)+SUMIFS($BA$7:$BA$1843,$CC$7:$CC$1843,CC176,$BD$7:$BD$1843,BD176,$BT$7:$BT$1843,"&lt;="&amp;BT176),"")</f>
        <v>4512.27014652015</v>
      </c>
      <c r="BF176" s="58" t="n">
        <f aca="false">IF(BE176="",0,MAX(0,MIN(1,(IF(CC176="L1",Parameter!$H$5,IF(CC176="L23",Parameter!$H$6+Parameter!$H$7,Parameter!$H$5+Parameter!$H$6+Parameter!$H$7))-(BE176-BA176))/BA176)))</f>
        <v>1</v>
      </c>
      <c r="BG176" s="48" t="str">
        <f aca="false">IF(AI176&lt;=0,"",IF(CC176="Aussen","Aussenlager",IF(CC176="-","Nicht im Lift",IF(AN176&gt;=1,"Lift",IF(AN176&lt;=0,"Aussenlager","teilweise")))))</f>
        <v>Lift</v>
      </c>
      <c r="BH176" s="48" t="str">
        <f aca="false">IF(AR176&lt;=0,"",IF(CC176="Aussen","Aussenlager",IF(CC176="-","Nicht im Lift",IF(AW176&gt;=1,"Lift",IF(AW176&lt;=0,"Aussenlager","teilweise")))))</f>
        <v>Lift</v>
      </c>
      <c r="BI176" s="48" t="str">
        <f aca="false">IF(BA176&lt;=0,"",IF(CC176="Aussen","Aussenlager",IF(CC176="-","Nicht im Lift",IF(BF176&gt;=1,"Lift",IF(BF176&lt;=0,"Aussenlager","teilweise")))))</f>
        <v>Lift</v>
      </c>
      <c r="BJ176" s="48" t="str">
        <f aca="false">IF(A176="","",IF(BS176=1,"Neu; ","")&amp;IF(AND(BS176=0,BN176&lt;0),"negativer Bestand (Export "&amp;BN176&amp;"); ","")&amp;IF(J176&lt;=0,"Kein Verbrauch; ","")&amp;IF(CL176&gt;0,"Lift "&amp;W176&amp;" lt. Liftbericht (Fach "&amp;X176&amp;" Stk); ",IF(BX176=1,"Gebinde geschätzt ("&amp;T176&amp;"); ",IF(BW176=1,"Lose – Tablare geschätzt; ","")))&amp;IF(H176&gt;AT176,"Überbestand "&amp;ROUND(H176-AT176,0)&amp;" Stk / CHF "&amp;ROUND((H176-AT176)*G176,0)&amp;"; ","")&amp;IF(AND(CE176=1,CF176&lt;CG176),"MAX &lt; MB+LG; ","")&amp;IF(AND(CK176&gt;0,CJ176*10&gt;CK176),"zu hoch für Tablar; ","")&amp;IF(AND(BS176=0,OR(CE176=1,AA176&lt;&gt;"",U176&lt;&gt;"",V176&lt;&gt;"",AB176&lt;&gt;"")),"manuell übersteuert; ","")&amp;IF(AND(BW176=0,R176=0),"Gebinde unbekannt / Stellmass fehlt; ","")&amp;IF(AND(BW176=0,N(V176)&lt;=0,N(Q176)&lt;=0),"Menge pro Gebinde fehlt (Ist = 1 Gebinde); ","")&amp;BR176)</f>
        <v/>
      </c>
      <c r="BK176" s="48"/>
      <c r="BL176" s="48"/>
      <c r="BM176" s="55"/>
      <c r="BN176" s="50" t="n">
        <v>88</v>
      </c>
      <c r="BO176" s="50" t="n">
        <v>61</v>
      </c>
      <c r="BP176" s="49" t="n">
        <v>1041.92</v>
      </c>
      <c r="BQ176" s="50" t="n">
        <v>161</v>
      </c>
      <c r="BR176" s="48"/>
      <c r="BS176" s="53" t="n">
        <v>0</v>
      </c>
      <c r="BT176" s="53" t="n">
        <v>176</v>
      </c>
      <c r="BU176" s="48" t="str">
        <f aca="false">IF(U176&lt;&gt;"",UPPER(TRIM(U176)),IF(BX176=1,UPPER(VLOOKUP(T176,Parameter!$I$27:$K$29,2,0)),IF(P176="","LOSE",P176)))</f>
        <v>S52</v>
      </c>
      <c r="BV176" s="50" t="n">
        <f aca="false">IF(BU176="LOSE",1,IF(N(V176)&gt;0,V176,IF(BX176=1,MAX(1,N(VLOOKUP(T176,Parameter!$I$27:$K$29,3,0)),H176,N(N176)),IF(N(Q176)&gt;0,Q176,MAX(1,H176)))))</f>
        <v>67</v>
      </c>
      <c r="BW176" s="53" t="n">
        <f aca="false">IF(BU176="LOSE",1,0)</f>
        <v>0</v>
      </c>
      <c r="BX176" s="53" t="n">
        <f aca="false">IF(AND(U176="",OR(P176="",P176="LOSE"),T176&lt;&gt;"",N(S176)&lt;=0,ISNUMBER(MATCH(T176,Parameter!$I$27:$I$29,0))),1,0)</f>
        <v>0</v>
      </c>
      <c r="BY176" s="53" t="n">
        <f aca="false">IF(CL176&gt;0,INDEX(Parameter!$H$5:$H$7,W176)/INDEX(Parameter!$E$5:$E$7,W176),IF(AND(BW176=0,N(IFERROR(VLOOKUP(BU176,'Gebinde-Kategorie'!$A$5:$N$45,14,0),0))&gt;0),VLOOKUP(BU176,'Gebinde-Kategorie'!$A$5:$N$45,14,0)*10+Parameter!$M$23,Parameter!$M$24))</f>
        <v>245</v>
      </c>
      <c r="BZ176" s="48" t="str">
        <f aca="false">IF(AND(Parameter!$B$19="Ja",E176&lt;&gt;"",ISNUMBER(MATCH(E176,Parameter!$I$35:$I$52,0))),VLOOKUP(E176,Parameter!$I$35:$J$52,2,0),IFERROR(VLOOKUP(D176,Parameter!$A$35:$C$64,2,0),"Nein"))</f>
        <v>2+3</v>
      </c>
      <c r="CA176" s="52" t="n">
        <f aca="false">IF(BW176=0,0,IF(N(S176)&gt;0,S176,IFERROR(VLOOKUP(D176,Parameter!$A$35:$C$64,3,0)+0,0)))</f>
        <v>0</v>
      </c>
      <c r="CB176" s="48" t="n">
        <f aca="false">IF(AA176&lt;&gt;"",AA176,Z176)</f>
        <v>3</v>
      </c>
      <c r="CC176" s="48" t="str">
        <f aca="false">IF(OR(CB176=1,CB176=2,CB176=3),IF(Parameter!$E$27="Ja","LIFT",IF(CB176=1,"L1","L23")),IF(CB176="Aussen","Aussen","-"))</f>
        <v>LIFT</v>
      </c>
      <c r="CD176" s="59" t="n">
        <f aca="false">IF(N(AB176)&gt;0,AB176,0)</f>
        <v>0</v>
      </c>
      <c r="CE176" s="53" t="n">
        <f aca="false">IF(ISNUMBER(AE176),1,0)</f>
        <v>0</v>
      </c>
      <c r="CF176" s="50" t="n">
        <f aca="false">N(AE176)</f>
        <v>0</v>
      </c>
      <c r="CG176" s="50" t="n">
        <f aca="false">N(M176)+N(N176)</f>
        <v>172</v>
      </c>
      <c r="CH176" s="50" t="n">
        <f aca="false">ROUNDUP(H176/BV176,0)</f>
        <v>3</v>
      </c>
      <c r="CI176" s="50" t="n">
        <f aca="false">ROUNDUP(CF176/BV176,0)</f>
        <v>0</v>
      </c>
      <c r="CJ176" s="53" t="n">
        <f aca="false">IF(BW176=1,0,IFERROR(VLOOKUP(BU176,'Gebinde-Kategorie'!$A$5:$N$45,5,0)+0,0))</f>
        <v>21</v>
      </c>
      <c r="CK176" s="53" t="n">
        <f aca="false">IFERROR(IF(OR(CB176=1,CB176=2,CB176=3),N(INDEX(Parameter!$I$5:$I$7,CB176)),0),0)</f>
        <v>0</v>
      </c>
      <c r="CL176" s="52" t="n">
        <f aca="false">IF(AND(Parameter!$B$21="Ja",ISNUMBER(W176),N(X176)&gt;0),IFERROR(N(INDEX(Parameter!$L$5:$L$7,W176))*INDEX(Parameter!$E$5:$E$7,W176)*X176/SUMIFS($X$7:$X$1843,$W$7:$W$1843,W176),0),0)</f>
        <v>0</v>
      </c>
    </row>
    <row r="177" customFormat="false" ht="15" hidden="false" customHeight="false" outlineLevel="0" collapsed="false">
      <c r="A177" s="48" t="s">
        <v>564</v>
      </c>
      <c r="B177" s="48" t="s">
        <v>493</v>
      </c>
      <c r="C177" s="48" t="s">
        <v>168</v>
      </c>
      <c r="D177" s="48" t="s">
        <v>188</v>
      </c>
      <c r="E177" s="48" t="s">
        <v>189</v>
      </c>
      <c r="F177" s="48" t="s">
        <v>222</v>
      </c>
      <c r="G177" s="49" t="n">
        <v>1.51</v>
      </c>
      <c r="H177" s="50" t="n">
        <f aca="false">MAX(0,IF(AND(Parameter!$B$21="Ja",ISNUMBER(Y177)),Y177,IF(Parameter!$B$20="Jahresanfang 2025 + Export",BO177+BN177,BN177)))</f>
        <v>1155</v>
      </c>
      <c r="I177" s="50" t="n">
        <f aca="false">H177*G177</f>
        <v>1744.05</v>
      </c>
      <c r="J177" s="50" t="n">
        <f aca="false">BQ177*Parameter!$B$18</f>
        <v>2212</v>
      </c>
      <c r="K177" s="51" t="n">
        <v>594.5</v>
      </c>
      <c r="L177" s="52" t="n">
        <v>3.72077375946173</v>
      </c>
      <c r="M177" s="50" t="n">
        <v>45</v>
      </c>
      <c r="N177" s="50" t="n">
        <v>1870</v>
      </c>
      <c r="O177" s="53" t="n">
        <v>7</v>
      </c>
      <c r="P177" s="48" t="s">
        <v>306</v>
      </c>
      <c r="Q177" s="50" t="n">
        <v>1322</v>
      </c>
      <c r="R177" s="53" t="n">
        <f aca="false">IF(BW177=1,0,IFERROR(VLOOKUP(BU177,'Gebinde-Kategorie'!$A$5:$N$45,13,0)+0,0))</f>
        <v>26</v>
      </c>
      <c r="S177" s="54"/>
      <c r="T177" s="55"/>
      <c r="U177" s="55"/>
      <c r="V177" s="55"/>
      <c r="W177" s="48"/>
      <c r="X177" s="50"/>
      <c r="Y177" s="50"/>
      <c r="Z177" s="48" t="n">
        <f aca="false">IF(A177="","",IF(AND(Parameter!$B$21="Ja",ISNUMBER(W177)),W177,IF(BZ177="2+3",IF(ISNUMBER(SEARCH("grosser Artikel",BR177)),2,IFERROR(VLOOKUP(BU177,Parameter!$F$35:$G$64,2,0),2)),IF(OR(BZ177="Nein",BZ177=""),"-",BZ177))))</f>
        <v>3</v>
      </c>
      <c r="AA177" s="55"/>
      <c r="AB177" s="56"/>
      <c r="AC177" s="50" t="n">
        <f aca="false">AT177</f>
        <v>2644</v>
      </c>
      <c r="AD177" s="50" t="n">
        <f aca="false">MAX(AT177,H177)</f>
        <v>2644</v>
      </c>
      <c r="AE177" s="57"/>
      <c r="AF177" s="50" t="n">
        <f aca="false">IF(LEFT(Cockpit!$C$5,1)="A",H177,IF(CE177=1,CF177,IF(LEFT(Cockpit!$C$5,1)="B",AK177,MAX(AK177,H177))))</f>
        <v>1155</v>
      </c>
      <c r="AG177" s="50" t="n">
        <f aca="false">IF(BW177=1,0,ROUNDUP(AF177/BV177,0))</f>
        <v>1</v>
      </c>
      <c r="AH177" s="52" t="n">
        <f aca="false">IF(CL177&gt;0,CL177*MAX(1,AF177/X177),IF(BW177=1,IF(AF177&lt;=0,0,CA177*MAX(1,IF(H177&gt;0,AF177/H177,1))),IF(R177&gt;0,AG177/R177,0))/MAX(0.1,N(Parameter!$M$21)))</f>
        <v>0.0384615384615385</v>
      </c>
      <c r="AI177" s="50" t="n">
        <f aca="false">AH177*BY177</f>
        <v>5.96153846153846</v>
      </c>
      <c r="AJ177" s="50" t="n">
        <f aca="false">AF177*G177</f>
        <v>1744.05</v>
      </c>
      <c r="AK177" s="50" t="n">
        <f aca="false">ROUNDUP(MAX(J177/IF(CD177&gt;0,CD177,MAX(0.1,N(Cockpit!$C$6))),CG177)/BV177,0)*BV177</f>
        <v>2644</v>
      </c>
      <c r="AL177" s="51" t="n">
        <f aca="false">IF(AI177&gt;0,J177/AI177,-1)</f>
        <v>371.045161290323</v>
      </c>
      <c r="AM177" s="51" t="n">
        <f aca="false">IF(AND(OR(CC177="L1",CC177="L23",CC177="LIFT"),AI177&gt;0),SUMIFS($AI$7:$AI$1843,$CC$7:$CC$1843,CC177,$AL$7:$AL$1843,"&gt;"&amp;AL177)+SUMIFS($AI$7:$AI$1843,$CC$7:$CC$1843,CC177,$AL$7:$AL$1843,AL177,$BT$7:$BT$1843,"&lt;="&amp;BT177),"")</f>
        <v>211.910714285714</v>
      </c>
      <c r="AN177" s="58" t="n">
        <f aca="false">IF(AM177="",0,MAX(0,MIN(1,(IF(CC177="L1",Parameter!$H$5,IF(CC177="L23",Parameter!$H$6+Parameter!$H$7,Parameter!$H$5+Parameter!$H$6+Parameter!$H$7))-(AM177-AI177))/AI177)))</f>
        <v>1</v>
      </c>
      <c r="AO177" s="50" t="n">
        <f aca="false">IF(LEFT(Cockpit!$I$5,1)="A",H177,IF(CE177=1,CF177,IF(LEFT(Cockpit!$I$5,1)="B",AT177,MAX(AT177,H177))))</f>
        <v>2644</v>
      </c>
      <c r="AP177" s="50" t="n">
        <f aca="false">IF(BW177=1,0,ROUNDUP(AO177/BV177,0))</f>
        <v>2</v>
      </c>
      <c r="AQ177" s="52" t="n">
        <f aca="false">IF(CL177&gt;0,CL177*MAX(1,AO177/X177),IF(BW177=1,IF(AO177&lt;=0,0,CA177*MAX(1,IF(H177&gt;0,AO177/H177,1))),IF(R177&gt;0,AP177/R177,0))/MAX(0.1,N(Parameter!$M$21)))</f>
        <v>0.0769230769230769</v>
      </c>
      <c r="AR177" s="50" t="n">
        <f aca="false">AQ177*BY177</f>
        <v>11.9230769230769</v>
      </c>
      <c r="AS177" s="50" t="n">
        <f aca="false">AO177*G177</f>
        <v>3992.44</v>
      </c>
      <c r="AT177" s="50" t="n">
        <f aca="false">ROUNDUP(MAX(J177/IF(CD177&gt;0,CD177,MAX(0.1,N(Cockpit!$I$6))),CG177)/BV177,0)*BV177</f>
        <v>2644</v>
      </c>
      <c r="AU177" s="51" t="n">
        <f aca="false">IF(AR177&gt;0,J177/AR177,-1)</f>
        <v>185.522580645161</v>
      </c>
      <c r="AV177" s="51" t="n">
        <f aca="false">IF(AND(OR(CC177="L1",CC177="L23",CC177="LIFT"),AR177&gt;0),SUMIFS($AR$7:$AR$1843,$CC$7:$CC$1843,CC177,$AU$7:$AU$1843,"&gt;"&amp;AU177)+SUMIFS($AR$7:$AR$1843,$CC$7:$CC$1843,CC177,$AU$7:$AU$1843,AU177,$BT$7:$BT$1843,"&lt;="&amp;BT177),"")</f>
        <v>434.360347985348</v>
      </c>
      <c r="AW177" s="58" t="n">
        <f aca="false">IF(AV177="",0,MAX(0,MIN(1,(IF(CC177="L1",Parameter!$H$5,IF(CC177="L23",Parameter!$H$6+Parameter!$H$7,Parameter!$H$5+Parameter!$H$6+Parameter!$H$7))-(AV177-AR177))/AR177)))</f>
        <v>1</v>
      </c>
      <c r="AX177" s="50" t="n">
        <f aca="false">IF(LEFT(Cockpit!$O$5,1)="A",H177,IF(CE177=1,CF177,IF(LEFT(Cockpit!$O$5,1)="B",BC177,MAX(BC177,H177))))</f>
        <v>2644</v>
      </c>
      <c r="AY177" s="50" t="n">
        <f aca="false">IF(BW177=1,0,ROUNDUP(AX177/BV177,0))</f>
        <v>2</v>
      </c>
      <c r="AZ177" s="52" t="n">
        <f aca="false">IF(CL177&gt;0,CL177*MAX(1,AX177/X177),IF(BW177=1,IF(AX177&lt;=0,0,CA177*MAX(1,IF(H177&gt;0,AX177/H177,1))),IF(R177&gt;0,AY177/R177,0))/MAX(0.1,N(Parameter!$M$21)))</f>
        <v>0.0769230769230769</v>
      </c>
      <c r="BA177" s="50" t="n">
        <f aca="false">AZ177*BY177</f>
        <v>11.9230769230769</v>
      </c>
      <c r="BB177" s="50" t="n">
        <f aca="false">AX177*G177</f>
        <v>3992.44</v>
      </c>
      <c r="BC177" s="50" t="n">
        <f aca="false">ROUNDUP(MAX(J177/IF(CD177&gt;0,CD177,MAX(0.1,N(Cockpit!$O$6))),CG177)/BV177,0)*BV177</f>
        <v>2644</v>
      </c>
      <c r="BD177" s="51" t="n">
        <f aca="false">IF(BA177&gt;0,J177/BA177,-1)</f>
        <v>185.522580645161</v>
      </c>
      <c r="BE177" s="51" t="n">
        <f aca="false">IF(AND(OR(CC177="L1",CC177="L23",CC177="LIFT"),BA177&gt;0),SUMIFS($BA$7:$BA$1843,$CC$7:$CC$1843,CC177,$BD$7:$BD$1843,"&gt;"&amp;BD177)+SUMIFS($BA$7:$BA$1843,$CC$7:$CC$1843,CC177,$BD$7:$BD$1843,BD177,$BT$7:$BT$1843,"&lt;="&amp;BT177),"")</f>
        <v>496.299450549451</v>
      </c>
      <c r="BF177" s="58" t="n">
        <f aca="false">IF(BE177="",0,MAX(0,MIN(1,(IF(CC177="L1",Parameter!$H$5,IF(CC177="L23",Parameter!$H$6+Parameter!$H$7,Parameter!$H$5+Parameter!$H$6+Parameter!$H$7))-(BE177-BA177))/BA177)))</f>
        <v>1</v>
      </c>
      <c r="BG177" s="48" t="str">
        <f aca="false">IF(AI177&lt;=0,"",IF(CC177="Aussen","Aussenlager",IF(CC177="-","Nicht im Lift",IF(AN177&gt;=1,"Lift",IF(AN177&lt;=0,"Aussenlager","teilweise")))))</f>
        <v>Lift</v>
      </c>
      <c r="BH177" s="48" t="str">
        <f aca="false">IF(AR177&lt;=0,"",IF(CC177="Aussen","Aussenlager",IF(CC177="-","Nicht im Lift",IF(AW177&gt;=1,"Lift",IF(AW177&lt;=0,"Aussenlager","teilweise")))))</f>
        <v>Lift</v>
      </c>
      <c r="BI177" s="48" t="str">
        <f aca="false">IF(BA177&lt;=0,"",IF(CC177="Aussen","Aussenlager",IF(CC177="-","Nicht im Lift",IF(BF177&gt;=1,"Lift",IF(BF177&lt;=0,"Aussenlager","teilweise")))))</f>
        <v>Lift</v>
      </c>
      <c r="BJ177" s="48" t="str">
        <f aca="false">IF(A177="","",IF(BS177=1,"Neu; ","")&amp;IF(AND(BS177=0,BN177&lt;0),"negativer Bestand (Export "&amp;BN177&amp;"); ","")&amp;IF(J177&lt;=0,"Kein Verbrauch; ","")&amp;IF(CL177&gt;0,"Lift "&amp;W177&amp;" lt. Liftbericht (Fach "&amp;X177&amp;" Stk); ",IF(BX177=1,"Gebinde geschätzt ("&amp;T177&amp;"); ",IF(BW177=1,"Lose – Tablare geschätzt; ","")))&amp;IF(H177&gt;AT177,"Überbestand "&amp;ROUND(H177-AT177,0)&amp;" Stk / CHF "&amp;ROUND((H177-AT177)*G177,0)&amp;"; ","")&amp;IF(AND(CE177=1,CF177&lt;CG177),"MAX &lt; MB+LG; ","")&amp;IF(AND(CK177&gt;0,CJ177*10&gt;CK177),"zu hoch für Tablar; ","")&amp;IF(AND(BS177=0,OR(CE177=1,AA177&lt;&gt;"",U177&lt;&gt;"",V177&lt;&gt;"",AB177&lt;&gt;"")),"manuell übersteuert; ","")&amp;IF(AND(BW177=0,R177=0),"Gebinde unbekannt / Stellmass fehlt; ","")&amp;IF(AND(BW177=0,N(V177)&lt;=0,N(Q177)&lt;=0),"Menge pro Gebinde fehlt (Ist = 1 Gebinde); ","")&amp;BR177)</f>
        <v/>
      </c>
      <c r="BK177" s="48"/>
      <c r="BL177" s="48"/>
      <c r="BM177" s="55"/>
      <c r="BN177" s="50" t="n">
        <v>744</v>
      </c>
      <c r="BO177" s="50" t="n">
        <v>411</v>
      </c>
      <c r="BP177" s="49" t="n">
        <v>1039.86</v>
      </c>
      <c r="BQ177" s="50" t="n">
        <v>2212</v>
      </c>
      <c r="BR177" s="48"/>
      <c r="BS177" s="53" t="n">
        <v>0</v>
      </c>
      <c r="BT177" s="53" t="n">
        <v>177</v>
      </c>
      <c r="BU177" s="48" t="str">
        <f aca="false">IF(U177&lt;&gt;"",UPPER(TRIM(U177)),IF(BX177=1,UPPER(VLOOKUP(T177,Parameter!$I$27:$K$29,2,0)),IF(P177="","LOSE",P177)))</f>
        <v>S51</v>
      </c>
      <c r="BV177" s="50" t="n">
        <f aca="false">IF(BU177="LOSE",1,IF(N(V177)&gt;0,V177,IF(BX177=1,MAX(1,N(VLOOKUP(T177,Parameter!$I$27:$K$29,3,0)),H177,N(N177)),IF(N(Q177)&gt;0,Q177,MAX(1,H177)))))</f>
        <v>1322</v>
      </c>
      <c r="BW177" s="53" t="n">
        <f aca="false">IF(BU177="LOSE",1,0)</f>
        <v>0</v>
      </c>
      <c r="BX177" s="53" t="n">
        <f aca="false">IF(AND(U177="",OR(P177="",P177="LOSE"),T177&lt;&gt;"",N(S177)&lt;=0,ISNUMBER(MATCH(T177,Parameter!$I$27:$I$29,0))),1,0)</f>
        <v>0</v>
      </c>
      <c r="BY177" s="53" t="n">
        <f aca="false">IF(CL177&gt;0,INDEX(Parameter!$H$5:$H$7,W177)/INDEX(Parameter!$E$5:$E$7,W177),IF(AND(BW177=0,N(IFERROR(VLOOKUP(BU177,'Gebinde-Kategorie'!$A$5:$N$45,14,0),0))&gt;0),VLOOKUP(BU177,'Gebinde-Kategorie'!$A$5:$N$45,14,0)*10+Parameter!$M$23,Parameter!$M$24))</f>
        <v>155</v>
      </c>
      <c r="BZ177" s="48" t="str">
        <f aca="false">IF(AND(Parameter!$B$19="Ja",E177&lt;&gt;"",ISNUMBER(MATCH(E177,Parameter!$I$35:$I$52,0))),VLOOKUP(E177,Parameter!$I$35:$J$52,2,0),IFERROR(VLOOKUP(D177,Parameter!$A$35:$C$64,2,0),"Nein"))</f>
        <v>2+3</v>
      </c>
      <c r="CA177" s="52" t="n">
        <f aca="false">IF(BW177=0,0,IF(N(S177)&gt;0,S177,IFERROR(VLOOKUP(D177,Parameter!$A$35:$C$64,3,0)+0,0)))</f>
        <v>0</v>
      </c>
      <c r="CB177" s="48" t="n">
        <f aca="false">IF(AA177&lt;&gt;"",AA177,Z177)</f>
        <v>3</v>
      </c>
      <c r="CC177" s="48" t="str">
        <f aca="false">IF(OR(CB177=1,CB177=2,CB177=3),IF(Parameter!$E$27="Ja","LIFT",IF(CB177=1,"L1","L23")),IF(CB177="Aussen","Aussen","-"))</f>
        <v>LIFT</v>
      </c>
      <c r="CD177" s="59" t="n">
        <f aca="false">IF(N(AB177)&gt;0,AB177,0)</f>
        <v>0</v>
      </c>
      <c r="CE177" s="53" t="n">
        <f aca="false">IF(ISNUMBER(AE177),1,0)</f>
        <v>0</v>
      </c>
      <c r="CF177" s="50" t="n">
        <f aca="false">N(AE177)</f>
        <v>0</v>
      </c>
      <c r="CG177" s="50" t="n">
        <f aca="false">N(M177)+N(N177)</f>
        <v>1915</v>
      </c>
      <c r="CH177" s="50" t="n">
        <f aca="false">ROUNDUP(H177/BV177,0)</f>
        <v>1</v>
      </c>
      <c r="CI177" s="50" t="n">
        <f aca="false">ROUNDUP(CF177/BV177,0)</f>
        <v>0</v>
      </c>
      <c r="CJ177" s="53" t="n">
        <f aca="false">IF(BW177=1,0,IFERROR(VLOOKUP(BU177,'Gebinde-Kategorie'!$A$5:$N$45,5,0)+0,0))</f>
        <v>11</v>
      </c>
      <c r="CK177" s="53" t="n">
        <f aca="false">IFERROR(IF(OR(CB177=1,CB177=2,CB177=3),N(INDEX(Parameter!$I$5:$I$7,CB177)),0),0)</f>
        <v>0</v>
      </c>
      <c r="CL177" s="52" t="n">
        <f aca="false">IF(AND(Parameter!$B$21="Ja",ISNUMBER(W177),N(X177)&gt;0),IFERROR(N(INDEX(Parameter!$L$5:$L$7,W177))*INDEX(Parameter!$E$5:$E$7,W177)*X177/SUMIFS($X$7:$X$1843,$W$7:$W$1843,W177),0),0)</f>
        <v>0</v>
      </c>
    </row>
    <row r="178" customFormat="false" ht="15" hidden="false" customHeight="false" outlineLevel="0" collapsed="false">
      <c r="A178" s="48" t="s">
        <v>565</v>
      </c>
      <c r="B178" s="48" t="s">
        <v>566</v>
      </c>
      <c r="C178" s="48" t="s">
        <v>168</v>
      </c>
      <c r="D178" s="48" t="s">
        <v>188</v>
      </c>
      <c r="E178" s="48" t="s">
        <v>189</v>
      </c>
      <c r="F178" s="48" t="s">
        <v>222</v>
      </c>
      <c r="G178" s="49" t="n">
        <v>62.49</v>
      </c>
      <c r="H178" s="50" t="n">
        <f aca="false">MAX(0,IF(AND(Parameter!$B$21="Ja",ISNUMBER(Y178)),Y178,IF(Parameter!$B$20="Jahresanfang 2025 + Export",BO178+BN178,BN178)))</f>
        <v>39</v>
      </c>
      <c r="I178" s="50" t="n">
        <f aca="false">H178*G178</f>
        <v>2437.11</v>
      </c>
      <c r="J178" s="50" t="n">
        <f aca="false">BQ178*Parameter!$B$18</f>
        <v>69</v>
      </c>
      <c r="K178" s="51" t="n">
        <v>46</v>
      </c>
      <c r="L178" s="52" t="n">
        <v>1.5</v>
      </c>
      <c r="M178" s="50" t="n">
        <v>15</v>
      </c>
      <c r="N178" s="50" t="n">
        <v>50</v>
      </c>
      <c r="O178" s="53" t="n">
        <v>56</v>
      </c>
      <c r="P178" s="48" t="s">
        <v>306</v>
      </c>
      <c r="Q178" s="50" t="n">
        <v>43</v>
      </c>
      <c r="R178" s="53" t="n">
        <f aca="false">IF(BW178=1,0,IFERROR(VLOOKUP(BU178,'Gebinde-Kategorie'!$A$5:$N$45,13,0)+0,0))</f>
        <v>26</v>
      </c>
      <c r="S178" s="54"/>
      <c r="T178" s="55"/>
      <c r="U178" s="55"/>
      <c r="V178" s="55"/>
      <c r="W178" s="48"/>
      <c r="X178" s="50"/>
      <c r="Y178" s="50"/>
      <c r="Z178" s="48" t="n">
        <f aca="false">IF(A178="","",IF(AND(Parameter!$B$21="Ja",ISNUMBER(W178)),W178,IF(BZ178="2+3",IF(ISNUMBER(SEARCH("grosser Artikel",BR178)),2,IFERROR(VLOOKUP(BU178,Parameter!$F$35:$G$64,2,0),2)),IF(OR(BZ178="Nein",BZ178=""),"-",BZ178))))</f>
        <v>3</v>
      </c>
      <c r="AA178" s="55"/>
      <c r="AB178" s="56"/>
      <c r="AC178" s="50" t="n">
        <f aca="false">AT178</f>
        <v>86</v>
      </c>
      <c r="AD178" s="50" t="n">
        <f aca="false">MAX(AT178,H178)</f>
        <v>86</v>
      </c>
      <c r="AE178" s="57"/>
      <c r="AF178" s="50" t="n">
        <f aca="false">IF(LEFT(Cockpit!$C$5,1)="A",H178,IF(CE178=1,CF178,IF(LEFT(Cockpit!$C$5,1)="B",AK178,MAX(AK178,H178))))</f>
        <v>39</v>
      </c>
      <c r="AG178" s="50" t="n">
        <f aca="false">IF(BW178=1,0,ROUNDUP(AF178/BV178,0))</f>
        <v>1</v>
      </c>
      <c r="AH178" s="52" t="n">
        <f aca="false">IF(CL178&gt;0,CL178*MAX(1,AF178/X178),IF(BW178=1,IF(AF178&lt;=0,0,CA178*MAX(1,IF(H178&gt;0,AF178/H178,1))),IF(R178&gt;0,AG178/R178,0))/MAX(0.1,N(Parameter!$M$21)))</f>
        <v>0.0384615384615385</v>
      </c>
      <c r="AI178" s="50" t="n">
        <f aca="false">AH178*BY178</f>
        <v>5.96153846153846</v>
      </c>
      <c r="AJ178" s="50" t="n">
        <f aca="false">AF178*G178</f>
        <v>2437.11</v>
      </c>
      <c r="AK178" s="50" t="n">
        <f aca="false">ROUNDUP(MAX(J178/IF(CD178&gt;0,CD178,MAX(0.1,N(Cockpit!$C$6))),CG178)/BV178,0)*BV178</f>
        <v>86</v>
      </c>
      <c r="AL178" s="51" t="n">
        <f aca="false">IF(AI178&gt;0,J178/AI178,-1)</f>
        <v>11.5741935483871</v>
      </c>
      <c r="AM178" s="51" t="n">
        <f aca="false">IF(AND(OR(CC178="L1",CC178="L23",CC178="LIFT"),AI178&gt;0),SUMIFS($AI$7:$AI$1843,$CC$7:$CC$1843,CC178,$AL$7:$AL$1843,"&gt;"&amp;AL178)+SUMIFS($AI$7:$AI$1843,$CC$7:$CC$1843,CC178,$AL$7:$AL$1843,AL178,$BT$7:$BT$1843,"&lt;="&amp;BT178),"")</f>
        <v>2547.43681318681</v>
      </c>
      <c r="AN178" s="58" t="n">
        <f aca="false">IF(AM178="",0,MAX(0,MIN(1,(IF(CC178="L1",Parameter!$H$5,IF(CC178="L23",Parameter!$H$6+Parameter!$H$7,Parameter!$H$5+Parameter!$H$6+Parameter!$H$7))-(AM178-AI178))/AI178)))</f>
        <v>1</v>
      </c>
      <c r="AO178" s="50" t="n">
        <f aca="false">IF(LEFT(Cockpit!$I$5,1)="A",H178,IF(CE178=1,CF178,IF(LEFT(Cockpit!$I$5,1)="B",AT178,MAX(AT178,H178))))</f>
        <v>86</v>
      </c>
      <c r="AP178" s="50" t="n">
        <f aca="false">IF(BW178=1,0,ROUNDUP(AO178/BV178,0))</f>
        <v>2</v>
      </c>
      <c r="AQ178" s="52" t="n">
        <f aca="false">IF(CL178&gt;0,CL178*MAX(1,AO178/X178),IF(BW178=1,IF(AO178&lt;=0,0,CA178*MAX(1,IF(H178&gt;0,AO178/H178,1))),IF(R178&gt;0,AP178/R178,0))/MAX(0.1,N(Parameter!$M$21)))</f>
        <v>0.0769230769230769</v>
      </c>
      <c r="AR178" s="50" t="n">
        <f aca="false">AQ178*BY178</f>
        <v>11.9230769230769</v>
      </c>
      <c r="AS178" s="50" t="n">
        <f aca="false">AO178*G178</f>
        <v>5374.14</v>
      </c>
      <c r="AT178" s="50" t="n">
        <f aca="false">ROUNDUP(MAX(J178/IF(CD178&gt;0,CD178,MAX(0.1,N(Cockpit!$I$6))),CG178)/BV178,0)*BV178</f>
        <v>86</v>
      </c>
      <c r="AU178" s="51" t="n">
        <f aca="false">IF(AR178&gt;0,J178/AR178,-1)</f>
        <v>5.78709677419355</v>
      </c>
      <c r="AV178" s="51" t="n">
        <f aca="false">IF(AND(OR(CC178="L1",CC178="L23",CC178="LIFT"),AR178&gt;0),SUMIFS($AR$7:$AR$1843,$CC$7:$CC$1843,CC178,$AU$7:$AU$1843,"&gt;"&amp;AU178)+SUMIFS($AR$7:$AR$1843,$CC$7:$CC$1843,CC178,$AU$7:$AU$1843,AU178,$BT$7:$BT$1843,"&lt;="&amp;BT178),"")</f>
        <v>4640.10668498169</v>
      </c>
      <c r="AW178" s="58" t="n">
        <f aca="false">IF(AV178="",0,MAX(0,MIN(1,(IF(CC178="L1",Parameter!$H$5,IF(CC178="L23",Parameter!$H$6+Parameter!$H$7,Parameter!$H$5+Parameter!$H$6+Parameter!$H$7))-(AV178-AR178))/AR178)))</f>
        <v>1</v>
      </c>
      <c r="AX178" s="50" t="n">
        <f aca="false">IF(LEFT(Cockpit!$O$5,1)="A",H178,IF(CE178=1,CF178,IF(LEFT(Cockpit!$O$5,1)="B",BC178,MAX(BC178,H178))))</f>
        <v>86</v>
      </c>
      <c r="AY178" s="50" t="n">
        <f aca="false">IF(BW178=1,0,ROUNDUP(AX178/BV178,0))</f>
        <v>2</v>
      </c>
      <c r="AZ178" s="52" t="n">
        <f aca="false">IF(CL178&gt;0,CL178*MAX(1,AX178/X178),IF(BW178=1,IF(AX178&lt;=0,0,CA178*MAX(1,IF(H178&gt;0,AX178/H178,1))),IF(R178&gt;0,AY178/R178,0))/MAX(0.1,N(Parameter!$M$21)))</f>
        <v>0.0769230769230769</v>
      </c>
      <c r="BA178" s="50" t="n">
        <f aca="false">AZ178*BY178</f>
        <v>11.9230769230769</v>
      </c>
      <c r="BB178" s="50" t="n">
        <f aca="false">AX178*G178</f>
        <v>5374.14</v>
      </c>
      <c r="BC178" s="50" t="n">
        <f aca="false">ROUNDUP(MAX(J178/IF(CD178&gt;0,CD178,MAX(0.1,N(Cockpit!$O$6))),CG178)/BV178,0)*BV178</f>
        <v>86</v>
      </c>
      <c r="BD178" s="51" t="n">
        <f aca="false">IF(BA178&gt;0,J178/BA178,-1)</f>
        <v>5.78709677419355</v>
      </c>
      <c r="BE178" s="51" t="n">
        <f aca="false">IF(AND(OR(CC178="L1",CC178="L23",CC178="LIFT"),BA178&gt;0),SUMIFS($BA$7:$BA$1843,$CC$7:$CC$1843,CC178,$BD$7:$BD$1843,"&gt;"&amp;BD178)+SUMIFS($BA$7:$BA$1843,$CC$7:$CC$1843,CC178,$BD$7:$BD$1843,BD178,$BT$7:$BT$1843,"&lt;="&amp;BT178),"")</f>
        <v>4431.40476190476</v>
      </c>
      <c r="BF178" s="58" t="n">
        <f aca="false">IF(BE178="",0,MAX(0,MIN(1,(IF(CC178="L1",Parameter!$H$5,IF(CC178="L23",Parameter!$H$6+Parameter!$H$7,Parameter!$H$5+Parameter!$H$6+Parameter!$H$7))-(BE178-BA178))/BA178)))</f>
        <v>1</v>
      </c>
      <c r="BG178" s="48" t="str">
        <f aca="false">IF(AI178&lt;=0,"",IF(CC178="Aussen","Aussenlager",IF(CC178="-","Nicht im Lift",IF(AN178&gt;=1,"Lift",IF(AN178&lt;=0,"Aussenlager","teilweise")))))</f>
        <v>Lift</v>
      </c>
      <c r="BH178" s="48" t="str">
        <f aca="false">IF(AR178&lt;=0,"",IF(CC178="Aussen","Aussenlager",IF(CC178="-","Nicht im Lift",IF(AW178&gt;=1,"Lift",IF(AW178&lt;=0,"Aussenlager","teilweise")))))</f>
        <v>Lift</v>
      </c>
      <c r="BI178" s="48" t="str">
        <f aca="false">IF(BA178&lt;=0,"",IF(CC178="Aussen","Aussenlager",IF(CC178="-","Nicht im Lift",IF(BF178&gt;=1,"Lift",IF(BF178&lt;=0,"Aussenlager","teilweise")))))</f>
        <v>Lift</v>
      </c>
      <c r="BJ178" s="48" t="str">
        <f aca="false">IF(A178="","",IF(BS178=1,"Neu; ","")&amp;IF(AND(BS178=0,BN178&lt;0),"negativer Bestand (Export "&amp;BN178&amp;"); ","")&amp;IF(J178&lt;=0,"Kein Verbrauch; ","")&amp;IF(CL178&gt;0,"Lift "&amp;W178&amp;" lt. Liftbericht (Fach "&amp;X178&amp;" Stk); ",IF(BX178=1,"Gebinde geschätzt ("&amp;T178&amp;"); ",IF(BW178=1,"Lose – Tablare geschätzt; ","")))&amp;IF(H178&gt;AT178,"Überbestand "&amp;ROUND(H178-AT178,0)&amp;" Stk / CHF "&amp;ROUND((H178-AT178)*G178,0)&amp;"; ","")&amp;IF(AND(CE178=1,CF178&lt;CG178),"MAX &lt; MB+LG; ","")&amp;IF(AND(CK178&gt;0,CJ178*10&gt;CK178),"zu hoch für Tablar; ","")&amp;IF(AND(BS178=0,OR(CE178=1,AA178&lt;&gt;"",U178&lt;&gt;"",V178&lt;&gt;"",AB178&lt;&gt;"")),"manuell übersteuert; ","")&amp;IF(AND(BW178=0,R178=0),"Gebinde unbekannt / Stellmass fehlt; ","")&amp;IF(AND(BW178=0,N(V178)&lt;=0,N(Q178)&lt;=0),"Menge pro Gebinde fehlt (Ist = 1 Gebinde); ","")&amp;BR178)</f>
        <v/>
      </c>
      <c r="BK178" s="48"/>
      <c r="BL178" s="48"/>
      <c r="BM178" s="55"/>
      <c r="BN178" s="50" t="n">
        <v>23</v>
      </c>
      <c r="BO178" s="50" t="n">
        <v>16</v>
      </c>
      <c r="BP178" s="49" t="n">
        <v>1027.83</v>
      </c>
      <c r="BQ178" s="50" t="n">
        <v>69</v>
      </c>
      <c r="BR178" s="48"/>
      <c r="BS178" s="53" t="n">
        <v>0</v>
      </c>
      <c r="BT178" s="53" t="n">
        <v>178</v>
      </c>
      <c r="BU178" s="48" t="str">
        <f aca="false">IF(U178&lt;&gt;"",UPPER(TRIM(U178)),IF(BX178=1,UPPER(VLOOKUP(T178,Parameter!$I$27:$K$29,2,0)),IF(P178="","LOSE",P178)))</f>
        <v>S51</v>
      </c>
      <c r="BV178" s="50" t="n">
        <f aca="false">IF(BU178="LOSE",1,IF(N(V178)&gt;0,V178,IF(BX178=1,MAX(1,N(VLOOKUP(T178,Parameter!$I$27:$K$29,3,0)),H178,N(N178)),IF(N(Q178)&gt;0,Q178,MAX(1,H178)))))</f>
        <v>43</v>
      </c>
      <c r="BW178" s="53" t="n">
        <f aca="false">IF(BU178="LOSE",1,0)</f>
        <v>0</v>
      </c>
      <c r="BX178" s="53" t="n">
        <f aca="false">IF(AND(U178="",OR(P178="",P178="LOSE"),T178&lt;&gt;"",N(S178)&lt;=0,ISNUMBER(MATCH(T178,Parameter!$I$27:$I$29,0))),1,0)</f>
        <v>0</v>
      </c>
      <c r="BY178" s="53" t="n">
        <f aca="false">IF(CL178&gt;0,INDEX(Parameter!$H$5:$H$7,W178)/INDEX(Parameter!$E$5:$E$7,W178),IF(AND(BW178=0,N(IFERROR(VLOOKUP(BU178,'Gebinde-Kategorie'!$A$5:$N$45,14,0),0))&gt;0),VLOOKUP(BU178,'Gebinde-Kategorie'!$A$5:$N$45,14,0)*10+Parameter!$M$23,Parameter!$M$24))</f>
        <v>155</v>
      </c>
      <c r="BZ178" s="48" t="str">
        <f aca="false">IF(AND(Parameter!$B$19="Ja",E178&lt;&gt;"",ISNUMBER(MATCH(E178,Parameter!$I$35:$I$52,0))),VLOOKUP(E178,Parameter!$I$35:$J$52,2,0),IFERROR(VLOOKUP(D178,Parameter!$A$35:$C$64,2,0),"Nein"))</f>
        <v>2+3</v>
      </c>
      <c r="CA178" s="52" t="n">
        <f aca="false">IF(BW178=0,0,IF(N(S178)&gt;0,S178,IFERROR(VLOOKUP(D178,Parameter!$A$35:$C$64,3,0)+0,0)))</f>
        <v>0</v>
      </c>
      <c r="CB178" s="48" t="n">
        <f aca="false">IF(AA178&lt;&gt;"",AA178,Z178)</f>
        <v>3</v>
      </c>
      <c r="CC178" s="48" t="str">
        <f aca="false">IF(OR(CB178=1,CB178=2,CB178=3),IF(Parameter!$E$27="Ja","LIFT",IF(CB178=1,"L1","L23")),IF(CB178="Aussen","Aussen","-"))</f>
        <v>LIFT</v>
      </c>
      <c r="CD178" s="59" t="n">
        <f aca="false">IF(N(AB178)&gt;0,AB178,0)</f>
        <v>0</v>
      </c>
      <c r="CE178" s="53" t="n">
        <f aca="false">IF(ISNUMBER(AE178),1,0)</f>
        <v>0</v>
      </c>
      <c r="CF178" s="50" t="n">
        <f aca="false">N(AE178)</f>
        <v>0</v>
      </c>
      <c r="CG178" s="50" t="n">
        <f aca="false">N(M178)+N(N178)</f>
        <v>65</v>
      </c>
      <c r="CH178" s="50" t="n">
        <f aca="false">ROUNDUP(H178/BV178,0)</f>
        <v>1</v>
      </c>
      <c r="CI178" s="50" t="n">
        <f aca="false">ROUNDUP(CF178/BV178,0)</f>
        <v>0</v>
      </c>
      <c r="CJ178" s="53" t="n">
        <f aca="false">IF(BW178=1,0,IFERROR(VLOOKUP(BU178,'Gebinde-Kategorie'!$A$5:$N$45,5,0)+0,0))</f>
        <v>11</v>
      </c>
      <c r="CK178" s="53" t="n">
        <f aca="false">IFERROR(IF(OR(CB178=1,CB178=2,CB178=3),N(INDEX(Parameter!$I$5:$I$7,CB178)),0),0)</f>
        <v>0</v>
      </c>
      <c r="CL178" s="52" t="n">
        <f aca="false">IF(AND(Parameter!$B$21="Ja",ISNUMBER(W178),N(X178)&gt;0),IFERROR(N(INDEX(Parameter!$L$5:$L$7,W178))*INDEX(Parameter!$E$5:$E$7,W178)*X178/SUMIFS($X$7:$X$1843,$W$7:$W$1843,W178),0),0)</f>
        <v>0</v>
      </c>
    </row>
    <row r="179" customFormat="false" ht="15" hidden="false" customHeight="false" outlineLevel="0" collapsed="false">
      <c r="A179" s="48" t="s">
        <v>567</v>
      </c>
      <c r="B179" s="48" t="s">
        <v>568</v>
      </c>
      <c r="C179" s="48" t="s">
        <v>168</v>
      </c>
      <c r="D179" s="48" t="s">
        <v>188</v>
      </c>
      <c r="E179" s="48" t="s">
        <v>189</v>
      </c>
      <c r="F179" s="48" t="s">
        <v>222</v>
      </c>
      <c r="G179" s="49" t="n">
        <v>17.82</v>
      </c>
      <c r="H179" s="50" t="n">
        <f aca="false">MAX(0,IF(AND(Parameter!$B$21="Ja",ISNUMBER(Y179)),Y179,IF(Parameter!$B$20="Jahresanfang 2025 + Export",BO179+BN179,BN179)))</f>
        <v>71</v>
      </c>
      <c r="I179" s="50" t="n">
        <f aca="false">H179*G179</f>
        <v>1265.22</v>
      </c>
      <c r="J179" s="50" t="n">
        <f aca="false">BQ179*Parameter!$B$18</f>
        <v>10</v>
      </c>
      <c r="K179" s="51" t="n">
        <v>9.5</v>
      </c>
      <c r="L179" s="52" t="n">
        <v>1.05263157894737</v>
      </c>
      <c r="M179" s="50" t="n">
        <v>0</v>
      </c>
      <c r="N179" s="50" t="n">
        <v>10</v>
      </c>
      <c r="O179" s="53" t="n">
        <v>28</v>
      </c>
      <c r="P179" s="48" t="s">
        <v>480</v>
      </c>
      <c r="Q179" s="50" t="n">
        <v>27</v>
      </c>
      <c r="R179" s="53" t="n">
        <f aca="false">IF(BW179=1,0,IFERROR(VLOOKUP(BU179,'Gebinde-Kategorie'!$A$5:$N$45,13,0)+0,0))</f>
        <v>52</v>
      </c>
      <c r="S179" s="54"/>
      <c r="T179" s="55"/>
      <c r="U179" s="55"/>
      <c r="V179" s="55"/>
      <c r="W179" s="48"/>
      <c r="X179" s="50"/>
      <c r="Y179" s="50"/>
      <c r="Z179" s="48" t="n">
        <f aca="false">IF(A179="","",IF(AND(Parameter!$B$21="Ja",ISNUMBER(W179)),W179,IF(BZ179="2+3",IF(ISNUMBER(SEARCH("grosser Artikel",BR179)),2,IFERROR(VLOOKUP(BU179,Parameter!$F$35:$G$64,2,0),2)),IF(OR(BZ179="Nein",BZ179=""),"-",BZ179))))</f>
        <v>3</v>
      </c>
      <c r="AA179" s="55"/>
      <c r="AB179" s="56"/>
      <c r="AC179" s="50" t="n">
        <f aca="false">AT179</f>
        <v>27</v>
      </c>
      <c r="AD179" s="50" t="n">
        <f aca="false">MAX(AT179,H179)</f>
        <v>71</v>
      </c>
      <c r="AE179" s="57"/>
      <c r="AF179" s="50" t="n">
        <f aca="false">IF(LEFT(Cockpit!$C$5,1)="A",H179,IF(CE179=1,CF179,IF(LEFT(Cockpit!$C$5,1)="B",AK179,MAX(AK179,H179))))</f>
        <v>71</v>
      </c>
      <c r="AG179" s="50" t="n">
        <f aca="false">IF(BW179=1,0,ROUNDUP(AF179/BV179,0))</f>
        <v>3</v>
      </c>
      <c r="AH179" s="52" t="n">
        <f aca="false">IF(CL179&gt;0,CL179*MAX(1,AF179/X179),IF(BW179=1,IF(AF179&lt;=0,0,CA179*MAX(1,IF(H179&gt;0,AF179/H179,1))),IF(R179&gt;0,AG179/R179,0))/MAX(0.1,N(Parameter!$M$21)))</f>
        <v>0.0576923076923077</v>
      </c>
      <c r="AI179" s="50" t="n">
        <f aca="false">AH179*BY179</f>
        <v>8.94230769230769</v>
      </c>
      <c r="AJ179" s="50" t="n">
        <f aca="false">AF179*G179</f>
        <v>1265.22</v>
      </c>
      <c r="AK179" s="50" t="n">
        <f aca="false">ROUNDUP(MAX(J179/IF(CD179&gt;0,CD179,MAX(0.1,N(Cockpit!$C$6))),CG179)/BV179,0)*BV179</f>
        <v>27</v>
      </c>
      <c r="AL179" s="51" t="n">
        <f aca="false">IF(AI179&gt;0,J179/AI179,-1)</f>
        <v>1.11827956989247</v>
      </c>
      <c r="AM179" s="51" t="n">
        <f aca="false">IF(AND(OR(CC179="L1",CC179="L23",CC179="LIFT"),AI179&gt;0),SUMIFS($AI$7:$AI$1843,$CC$7:$CC$1843,CC179,$AL$7:$AL$1843,"&gt;"&amp;AL179)+SUMIFS($AI$7:$AI$1843,$CC$7:$CC$1843,CC179,$AL$7:$AL$1843,AL179,$BT$7:$BT$1843,"&lt;="&amp;BT179),"")</f>
        <v>6763.711996337</v>
      </c>
      <c r="AN179" s="58" t="n">
        <f aca="false">IF(AM179="",0,MAX(0,MIN(1,(IF(CC179="L1",Parameter!$H$5,IF(CC179="L23",Parameter!$H$6+Parameter!$H$7,Parameter!$H$5+Parameter!$H$6+Parameter!$H$7))-(AM179-AI179))/AI179)))</f>
        <v>1</v>
      </c>
      <c r="AO179" s="50" t="n">
        <f aca="false">IF(LEFT(Cockpit!$I$5,1)="A",H179,IF(CE179=1,CF179,IF(LEFT(Cockpit!$I$5,1)="B",AT179,MAX(AT179,H179))))</f>
        <v>71</v>
      </c>
      <c r="AP179" s="50" t="n">
        <f aca="false">IF(BW179=1,0,ROUNDUP(AO179/BV179,0))</f>
        <v>3</v>
      </c>
      <c r="AQ179" s="52" t="n">
        <f aca="false">IF(CL179&gt;0,CL179*MAX(1,AO179/X179),IF(BW179=1,IF(AO179&lt;=0,0,CA179*MAX(1,IF(H179&gt;0,AO179/H179,1))),IF(R179&gt;0,AP179/R179,0))/MAX(0.1,N(Parameter!$M$21)))</f>
        <v>0.0576923076923077</v>
      </c>
      <c r="AR179" s="50" t="n">
        <f aca="false">AQ179*BY179</f>
        <v>8.94230769230769</v>
      </c>
      <c r="AS179" s="50" t="n">
        <f aca="false">AO179*G179</f>
        <v>1265.22</v>
      </c>
      <c r="AT179" s="50" t="n">
        <f aca="false">ROUNDUP(MAX(J179/IF(CD179&gt;0,CD179,MAX(0.1,N(Cockpit!$I$6))),CG179)/BV179,0)*BV179</f>
        <v>27</v>
      </c>
      <c r="AU179" s="51" t="n">
        <f aca="false">IF(AR179&gt;0,J179/AR179,-1)</f>
        <v>1.11827956989247</v>
      </c>
      <c r="AV179" s="51" t="n">
        <f aca="false">IF(AND(OR(CC179="L1",CC179="L23",CC179="LIFT"),AR179&gt;0),SUMIFS($AR$7:$AR$1843,$CC$7:$CC$1843,CC179,$AU$7:$AU$1843,"&gt;"&amp;AU179)+SUMIFS($AR$7:$AR$1843,$CC$7:$CC$1843,CC179,$AU$7:$AU$1843,AU179,$BT$7:$BT$1843,"&lt;="&amp;BT179),"")</f>
        <v>9906.63553113553</v>
      </c>
      <c r="AW179" s="58" t="n">
        <f aca="false">IF(AV179="",0,MAX(0,MIN(1,(IF(CC179="L1",Parameter!$H$5,IF(CC179="L23",Parameter!$H$6+Parameter!$H$7,Parameter!$H$5+Parameter!$H$6+Parameter!$H$7))-(AV179-AR179))/AR179)))</f>
        <v>1</v>
      </c>
      <c r="AX179" s="50" t="n">
        <f aca="false">IF(LEFT(Cockpit!$O$5,1)="A",H179,IF(CE179=1,CF179,IF(LEFT(Cockpit!$O$5,1)="B",BC179,MAX(BC179,H179))))</f>
        <v>71</v>
      </c>
      <c r="AY179" s="50" t="n">
        <f aca="false">IF(BW179=1,0,ROUNDUP(AX179/BV179,0))</f>
        <v>3</v>
      </c>
      <c r="AZ179" s="52" t="n">
        <f aca="false">IF(CL179&gt;0,CL179*MAX(1,AX179/X179),IF(BW179=1,IF(AX179&lt;=0,0,CA179*MAX(1,IF(H179&gt;0,AX179/H179,1))),IF(R179&gt;0,AY179/R179,0))/MAX(0.1,N(Parameter!$M$21)))</f>
        <v>0.0576923076923077</v>
      </c>
      <c r="BA179" s="50" t="n">
        <f aca="false">AZ179*BY179</f>
        <v>8.94230769230769</v>
      </c>
      <c r="BB179" s="50" t="n">
        <f aca="false">AX179*G179</f>
        <v>1265.22</v>
      </c>
      <c r="BC179" s="50" t="n">
        <f aca="false">ROUNDUP(MAX(J179/IF(CD179&gt;0,CD179,MAX(0.1,N(Cockpit!$O$6))),CG179)/BV179,0)*BV179</f>
        <v>27</v>
      </c>
      <c r="BD179" s="51" t="n">
        <f aca="false">IF(BA179&gt;0,J179/BA179,-1)</f>
        <v>1.11827956989247</v>
      </c>
      <c r="BE179" s="51" t="n">
        <f aca="false">IF(AND(OR(CC179="L1",CC179="L23",CC179="LIFT"),BA179&gt;0),SUMIFS($BA$7:$BA$1843,$CC$7:$CC$1843,CC179,$BD$7:$BD$1843,"&gt;"&amp;BD179)+SUMIFS($BA$7:$BA$1843,$CC$7:$CC$1843,CC179,$BD$7:$BD$1843,BD179,$BT$7:$BT$1843,"&lt;="&amp;BT179),"")</f>
        <v>8917.29258241758</v>
      </c>
      <c r="BF179" s="58" t="n">
        <f aca="false">IF(BE179="",0,MAX(0,MIN(1,(IF(CC179="L1",Parameter!$H$5,IF(CC179="L23",Parameter!$H$6+Parameter!$H$7,Parameter!$H$5+Parameter!$H$6+Parameter!$H$7))-(BE179-BA179))/BA179)))</f>
        <v>1</v>
      </c>
      <c r="BG179" s="48" t="str">
        <f aca="false">IF(AI179&lt;=0,"",IF(CC179="Aussen","Aussenlager",IF(CC179="-","Nicht im Lift",IF(AN179&gt;=1,"Lift",IF(AN179&lt;=0,"Aussenlager","teilweise")))))</f>
        <v>Lift</v>
      </c>
      <c r="BH179" s="48" t="str">
        <f aca="false">IF(AR179&lt;=0,"",IF(CC179="Aussen","Aussenlager",IF(CC179="-","Nicht im Lift",IF(AW179&gt;=1,"Lift",IF(AW179&lt;=0,"Aussenlager","teilweise")))))</f>
        <v>Lift</v>
      </c>
      <c r="BI179" s="48" t="str">
        <f aca="false">IF(BA179&lt;=0,"",IF(CC179="Aussen","Aussenlager",IF(CC179="-","Nicht im Lift",IF(BF179&gt;=1,"Lift",IF(BF179&lt;=0,"Aussenlager","teilweise")))))</f>
        <v>Lift</v>
      </c>
      <c r="BJ179" s="48" t="str">
        <f aca="false">IF(A179="","",IF(BS179=1,"Neu; ","")&amp;IF(AND(BS179=0,BN179&lt;0),"negativer Bestand (Export "&amp;BN179&amp;"); ","")&amp;IF(J179&lt;=0,"Kein Verbrauch; ","")&amp;IF(CL179&gt;0,"Lift "&amp;W179&amp;" lt. Liftbericht (Fach "&amp;X179&amp;" Stk); ",IF(BX179=1,"Gebinde geschätzt ("&amp;T179&amp;"); ",IF(BW179=1,"Lose – Tablare geschätzt; ","")))&amp;IF(H179&gt;AT179,"Überbestand "&amp;ROUND(H179-AT179,0)&amp;" Stk / CHF "&amp;ROUND((H179-AT179)*G179,0)&amp;"; ","")&amp;IF(AND(CE179=1,CF179&lt;CG179),"MAX &lt; MB+LG; ","")&amp;IF(AND(CK179&gt;0,CJ179*10&gt;CK179),"zu hoch für Tablar; ","")&amp;IF(AND(BS179=0,OR(CE179=1,AA179&lt;&gt;"",U179&lt;&gt;"",V179&lt;&gt;"",AB179&lt;&gt;"")),"manuell übersteuert; ","")&amp;IF(AND(BW179=0,R179=0),"Gebinde unbekannt / Stellmass fehlt; ","")&amp;IF(AND(BW179=0,N(V179)&lt;=0,N(Q179)&lt;=0),"Menge pro Gebinde fehlt (Ist = 1 Gebinde); ","")&amp;BR179)</f>
        <v>Überbestand 44 Stk / CHF 784; </v>
      </c>
      <c r="BK179" s="48"/>
      <c r="BL179" s="48"/>
      <c r="BM179" s="55"/>
      <c r="BN179" s="50" t="n">
        <v>66</v>
      </c>
      <c r="BO179" s="50" t="n">
        <v>5</v>
      </c>
      <c r="BP179" s="49" t="n">
        <v>1025.77</v>
      </c>
      <c r="BQ179" s="50" t="n">
        <v>10</v>
      </c>
      <c r="BR179" s="48"/>
      <c r="BS179" s="53" t="n">
        <v>0</v>
      </c>
      <c r="BT179" s="53" t="n">
        <v>179</v>
      </c>
      <c r="BU179" s="48" t="str">
        <f aca="false">IF(U179&lt;&gt;"",UPPER(TRIM(U179)),IF(BX179=1,UPPER(VLOOKUP(T179,Parameter!$I$27:$K$29,2,0)),IF(P179="","LOSE",P179)))</f>
        <v>S33</v>
      </c>
      <c r="BV179" s="50" t="n">
        <f aca="false">IF(BU179="LOSE",1,IF(N(V179)&gt;0,V179,IF(BX179=1,MAX(1,N(VLOOKUP(T179,Parameter!$I$27:$K$29,3,0)),H179,N(N179)),IF(N(Q179)&gt;0,Q179,MAX(1,H179)))))</f>
        <v>27</v>
      </c>
      <c r="BW179" s="53" t="n">
        <f aca="false">IF(BU179="LOSE",1,0)</f>
        <v>0</v>
      </c>
      <c r="BX179" s="53" t="n">
        <f aca="false">IF(AND(U179="",OR(P179="",P179="LOSE"),T179&lt;&gt;"",N(S179)&lt;=0,ISNUMBER(MATCH(T179,Parameter!$I$27:$I$29,0))),1,0)</f>
        <v>0</v>
      </c>
      <c r="BY179" s="53" t="n">
        <f aca="false">IF(CL179&gt;0,INDEX(Parameter!$H$5:$H$7,W179)/INDEX(Parameter!$E$5:$E$7,W179),IF(AND(BW179=0,N(IFERROR(VLOOKUP(BU179,'Gebinde-Kategorie'!$A$5:$N$45,14,0),0))&gt;0),VLOOKUP(BU179,'Gebinde-Kategorie'!$A$5:$N$45,14,0)*10+Parameter!$M$23,Parameter!$M$24))</f>
        <v>155</v>
      </c>
      <c r="BZ179" s="48" t="str">
        <f aca="false">IF(AND(Parameter!$B$19="Ja",E179&lt;&gt;"",ISNUMBER(MATCH(E179,Parameter!$I$35:$I$52,0))),VLOOKUP(E179,Parameter!$I$35:$J$52,2,0),IFERROR(VLOOKUP(D179,Parameter!$A$35:$C$64,2,0),"Nein"))</f>
        <v>2+3</v>
      </c>
      <c r="CA179" s="52" t="n">
        <f aca="false">IF(BW179=0,0,IF(N(S179)&gt;0,S179,IFERROR(VLOOKUP(D179,Parameter!$A$35:$C$64,3,0)+0,0)))</f>
        <v>0</v>
      </c>
      <c r="CB179" s="48" t="n">
        <f aca="false">IF(AA179&lt;&gt;"",AA179,Z179)</f>
        <v>3</v>
      </c>
      <c r="CC179" s="48" t="str">
        <f aca="false">IF(OR(CB179=1,CB179=2,CB179=3),IF(Parameter!$E$27="Ja","LIFT",IF(CB179=1,"L1","L23")),IF(CB179="Aussen","Aussen","-"))</f>
        <v>LIFT</v>
      </c>
      <c r="CD179" s="59" t="n">
        <f aca="false">IF(N(AB179)&gt;0,AB179,0)</f>
        <v>0</v>
      </c>
      <c r="CE179" s="53" t="n">
        <f aca="false">IF(ISNUMBER(AE179),1,0)</f>
        <v>0</v>
      </c>
      <c r="CF179" s="50" t="n">
        <f aca="false">N(AE179)</f>
        <v>0</v>
      </c>
      <c r="CG179" s="50" t="n">
        <f aca="false">N(M179)+N(N179)</f>
        <v>10</v>
      </c>
      <c r="CH179" s="50" t="n">
        <f aca="false">ROUNDUP(H179/BV179,0)</f>
        <v>3</v>
      </c>
      <c r="CI179" s="50" t="n">
        <f aca="false">ROUNDUP(CF179/BV179,0)</f>
        <v>0</v>
      </c>
      <c r="CJ179" s="53" t="n">
        <f aca="false">IF(BW179=1,0,IFERROR(VLOOKUP(BU179,'Gebinde-Kategorie'!$A$5:$N$45,5,0)+0,0))</f>
        <v>8</v>
      </c>
      <c r="CK179" s="53" t="n">
        <f aca="false">IFERROR(IF(OR(CB179=1,CB179=2,CB179=3),N(INDEX(Parameter!$I$5:$I$7,CB179)),0),0)</f>
        <v>0</v>
      </c>
      <c r="CL179" s="52" t="n">
        <f aca="false">IF(AND(Parameter!$B$21="Ja",ISNUMBER(W179),N(X179)&gt;0),IFERROR(N(INDEX(Parameter!$L$5:$L$7,W179))*INDEX(Parameter!$E$5:$E$7,W179)*X179/SUMIFS($X$7:$X$1843,$W$7:$W$1843,W179),0),0)</f>
        <v>0</v>
      </c>
    </row>
    <row r="180" customFormat="false" ht="15" hidden="false" customHeight="false" outlineLevel="0" collapsed="false">
      <c r="A180" s="48" t="s">
        <v>569</v>
      </c>
      <c r="B180" s="48" t="s">
        <v>570</v>
      </c>
      <c r="C180" s="48" t="s">
        <v>168</v>
      </c>
      <c r="D180" s="48" t="s">
        <v>188</v>
      </c>
      <c r="E180" s="48" t="s">
        <v>189</v>
      </c>
      <c r="F180" s="48" t="s">
        <v>222</v>
      </c>
      <c r="G180" s="49" t="n">
        <v>134.64</v>
      </c>
      <c r="H180" s="50" t="n">
        <f aca="false">MAX(0,IF(AND(Parameter!$B$21="Ja",ISNUMBER(Y180)),Y180,IF(Parameter!$B$20="Jahresanfang 2025 + Export",BO180+BN180,BN180)))</f>
        <v>13</v>
      </c>
      <c r="I180" s="50" t="n">
        <f aca="false">H180*G180</f>
        <v>1750.32</v>
      </c>
      <c r="J180" s="50" t="n">
        <f aca="false">BQ180*Parameter!$B$18</f>
        <v>13</v>
      </c>
      <c r="K180" s="51" t="n">
        <v>6</v>
      </c>
      <c r="L180" s="52" t="n">
        <v>2.16666666666667</v>
      </c>
      <c r="M180" s="50" t="n">
        <v>0</v>
      </c>
      <c r="N180" s="50" t="n">
        <v>15</v>
      </c>
      <c r="O180" s="53" t="n">
        <v>14</v>
      </c>
      <c r="P180" s="48" t="s">
        <v>480</v>
      </c>
      <c r="Q180" s="50" t="n">
        <v>29</v>
      </c>
      <c r="R180" s="53" t="n">
        <f aca="false">IF(BW180=1,0,IFERROR(VLOOKUP(BU180,'Gebinde-Kategorie'!$A$5:$N$45,13,0)+0,0))</f>
        <v>52</v>
      </c>
      <c r="S180" s="54"/>
      <c r="T180" s="55"/>
      <c r="U180" s="55"/>
      <c r="V180" s="55"/>
      <c r="W180" s="48"/>
      <c r="X180" s="50"/>
      <c r="Y180" s="50"/>
      <c r="Z180" s="48" t="n">
        <f aca="false">IF(A180="","",IF(AND(Parameter!$B$21="Ja",ISNUMBER(W180)),W180,IF(BZ180="2+3",IF(ISNUMBER(SEARCH("grosser Artikel",BR180)),2,IFERROR(VLOOKUP(BU180,Parameter!$F$35:$G$64,2,0),2)),IF(OR(BZ180="Nein",BZ180=""),"-",BZ180))))</f>
        <v>3</v>
      </c>
      <c r="AA180" s="55"/>
      <c r="AB180" s="56"/>
      <c r="AC180" s="50" t="n">
        <f aca="false">AT180</f>
        <v>29</v>
      </c>
      <c r="AD180" s="50" t="n">
        <f aca="false">MAX(AT180,H180)</f>
        <v>29</v>
      </c>
      <c r="AE180" s="57"/>
      <c r="AF180" s="50" t="n">
        <f aca="false">IF(LEFT(Cockpit!$C$5,1)="A",H180,IF(CE180=1,CF180,IF(LEFT(Cockpit!$C$5,1)="B",AK180,MAX(AK180,H180))))</f>
        <v>13</v>
      </c>
      <c r="AG180" s="50" t="n">
        <f aca="false">IF(BW180=1,0,ROUNDUP(AF180/BV180,0))</f>
        <v>1</v>
      </c>
      <c r="AH180" s="52" t="n">
        <f aca="false">IF(CL180&gt;0,CL180*MAX(1,AF180/X180),IF(BW180=1,IF(AF180&lt;=0,0,CA180*MAX(1,IF(H180&gt;0,AF180/H180,1))),IF(R180&gt;0,AG180/R180,0))/MAX(0.1,N(Parameter!$M$21)))</f>
        <v>0.0192307692307692</v>
      </c>
      <c r="AI180" s="50" t="n">
        <f aca="false">AH180*BY180</f>
        <v>2.98076923076923</v>
      </c>
      <c r="AJ180" s="50" t="n">
        <f aca="false">AF180*G180</f>
        <v>1750.32</v>
      </c>
      <c r="AK180" s="50" t="n">
        <f aca="false">ROUNDUP(MAX(J180/IF(CD180&gt;0,CD180,MAX(0.1,N(Cockpit!$C$6))),CG180)/BV180,0)*BV180</f>
        <v>29</v>
      </c>
      <c r="AL180" s="51" t="n">
        <f aca="false">IF(AI180&gt;0,J180/AI180,-1)</f>
        <v>4.36129032258065</v>
      </c>
      <c r="AM180" s="51" t="n">
        <f aca="false">IF(AND(OR(CC180="L1",CC180="L23",CC180="LIFT"),AI180&gt;0),SUMIFS($AI$7:$AI$1843,$CC$7:$CC$1843,CC180,$AL$7:$AL$1843,"&gt;"&amp;AL180)+SUMIFS($AI$7:$AI$1843,$CC$7:$CC$1843,CC180,$AL$7:$AL$1843,AL180,$BT$7:$BT$1843,"&lt;="&amp;BT180),"")</f>
        <v>4180.61217948718</v>
      </c>
      <c r="AN180" s="58" t="n">
        <f aca="false">IF(AM180="",0,MAX(0,MIN(1,(IF(CC180="L1",Parameter!$H$5,IF(CC180="L23",Parameter!$H$6+Parameter!$H$7,Parameter!$H$5+Parameter!$H$6+Parameter!$H$7))-(AM180-AI180))/AI180)))</f>
        <v>1</v>
      </c>
      <c r="AO180" s="50" t="n">
        <f aca="false">IF(LEFT(Cockpit!$I$5,1)="A",H180,IF(CE180=1,CF180,IF(LEFT(Cockpit!$I$5,1)="B",AT180,MAX(AT180,H180))))</f>
        <v>29</v>
      </c>
      <c r="AP180" s="50" t="n">
        <f aca="false">IF(BW180=1,0,ROUNDUP(AO180/BV180,0))</f>
        <v>1</v>
      </c>
      <c r="AQ180" s="52" t="n">
        <f aca="false">IF(CL180&gt;0,CL180*MAX(1,AO180/X180),IF(BW180=1,IF(AO180&lt;=0,0,CA180*MAX(1,IF(H180&gt;0,AO180/H180,1))),IF(R180&gt;0,AP180/R180,0))/MAX(0.1,N(Parameter!$M$21)))</f>
        <v>0.0192307692307692</v>
      </c>
      <c r="AR180" s="50" t="n">
        <f aca="false">AQ180*BY180</f>
        <v>2.98076923076923</v>
      </c>
      <c r="AS180" s="50" t="n">
        <f aca="false">AO180*G180</f>
        <v>3904.56</v>
      </c>
      <c r="AT180" s="50" t="n">
        <f aca="false">ROUNDUP(MAX(J180/IF(CD180&gt;0,CD180,MAX(0.1,N(Cockpit!$I$6))),CG180)/BV180,0)*BV180</f>
        <v>29</v>
      </c>
      <c r="AU180" s="51" t="n">
        <f aca="false">IF(AR180&gt;0,J180/AR180,-1)</f>
        <v>4.36129032258065</v>
      </c>
      <c r="AV180" s="51" t="n">
        <f aca="false">IF(AND(OR(CC180="L1",CC180="L23",CC180="LIFT"),AR180&gt;0),SUMIFS($AR$7:$AR$1843,$CC$7:$CC$1843,CC180,$AU$7:$AU$1843,"&gt;"&amp;AU180)+SUMIFS($AR$7:$AR$1843,$CC$7:$CC$1843,CC180,$AU$7:$AU$1843,AU180,$BT$7:$BT$1843,"&lt;="&amp;BT180),"")</f>
        <v>5326.18177655678</v>
      </c>
      <c r="AW180" s="58" t="n">
        <f aca="false">IF(AV180="",0,MAX(0,MIN(1,(IF(CC180="L1",Parameter!$H$5,IF(CC180="L23",Parameter!$H$6+Parameter!$H$7,Parameter!$H$5+Parameter!$H$6+Parameter!$H$7))-(AV180-AR180))/AR180)))</f>
        <v>1</v>
      </c>
      <c r="AX180" s="50" t="n">
        <f aca="false">IF(LEFT(Cockpit!$O$5,1)="A",H180,IF(CE180=1,CF180,IF(LEFT(Cockpit!$O$5,1)="B",BC180,MAX(BC180,H180))))</f>
        <v>29</v>
      </c>
      <c r="AY180" s="50" t="n">
        <f aca="false">IF(BW180=1,0,ROUNDUP(AX180/BV180,0))</f>
        <v>1</v>
      </c>
      <c r="AZ180" s="52" t="n">
        <f aca="false">IF(CL180&gt;0,CL180*MAX(1,AX180/X180),IF(BW180=1,IF(AX180&lt;=0,0,CA180*MAX(1,IF(H180&gt;0,AX180/H180,1))),IF(R180&gt;0,AY180/R180,0))/MAX(0.1,N(Parameter!$M$21)))</f>
        <v>0.0192307692307692</v>
      </c>
      <c r="BA180" s="50" t="n">
        <f aca="false">AZ180*BY180</f>
        <v>2.98076923076923</v>
      </c>
      <c r="BB180" s="50" t="n">
        <f aca="false">AX180*G180</f>
        <v>3904.56</v>
      </c>
      <c r="BC180" s="50" t="n">
        <f aca="false">ROUNDUP(MAX(J180/IF(CD180&gt;0,CD180,MAX(0.1,N(Cockpit!$O$6))),CG180)/BV180,0)*BV180</f>
        <v>29</v>
      </c>
      <c r="BD180" s="51" t="n">
        <f aca="false">IF(BA180&gt;0,J180/BA180,-1)</f>
        <v>4.36129032258065</v>
      </c>
      <c r="BE180" s="51" t="n">
        <f aca="false">IF(AND(OR(CC180="L1",CC180="L23",CC180="LIFT"),BA180&gt;0),SUMIFS($BA$7:$BA$1843,$CC$7:$CC$1843,CC180,$BD$7:$BD$1843,"&gt;"&amp;BD180)+SUMIFS($BA$7:$BA$1843,$CC$7:$CC$1843,CC180,$BD$7:$BD$1843,BD180,$BT$7:$BT$1843,"&lt;="&amp;BT180),"")</f>
        <v>4996.64652014652</v>
      </c>
      <c r="BF180" s="58" t="n">
        <f aca="false">IF(BE180="",0,MAX(0,MIN(1,(IF(CC180="L1",Parameter!$H$5,IF(CC180="L23",Parameter!$H$6+Parameter!$H$7,Parameter!$H$5+Parameter!$H$6+Parameter!$H$7))-(BE180-BA180))/BA180)))</f>
        <v>1</v>
      </c>
      <c r="BG180" s="48" t="str">
        <f aca="false">IF(AI180&lt;=0,"",IF(CC180="Aussen","Aussenlager",IF(CC180="-","Nicht im Lift",IF(AN180&gt;=1,"Lift",IF(AN180&lt;=0,"Aussenlager","teilweise")))))</f>
        <v>Lift</v>
      </c>
      <c r="BH180" s="48" t="str">
        <f aca="false">IF(AR180&lt;=0,"",IF(CC180="Aussen","Aussenlager",IF(CC180="-","Nicht im Lift",IF(AW180&gt;=1,"Lift",IF(AW180&lt;=0,"Aussenlager","teilweise")))))</f>
        <v>Lift</v>
      </c>
      <c r="BI180" s="48" t="str">
        <f aca="false">IF(BA180&lt;=0,"",IF(CC180="Aussen","Aussenlager",IF(CC180="-","Nicht im Lift",IF(BF180&gt;=1,"Lift",IF(BF180&lt;=0,"Aussenlager","teilweise")))))</f>
        <v>Lift</v>
      </c>
      <c r="BJ180" s="48" t="str">
        <f aca="false">IF(A180="","",IF(BS180=1,"Neu; ","")&amp;IF(AND(BS180=0,BN180&lt;0),"negativer Bestand (Export "&amp;BN180&amp;"); ","")&amp;IF(J180&lt;=0,"Kein Verbrauch; ","")&amp;IF(CL180&gt;0,"Lift "&amp;W180&amp;" lt. Liftbericht (Fach "&amp;X180&amp;" Stk); ",IF(BX180=1,"Gebinde geschätzt ("&amp;T180&amp;"); ",IF(BW180=1,"Lose – Tablare geschätzt; ","")))&amp;IF(H180&gt;AT180,"Überbestand "&amp;ROUND(H180-AT180,0)&amp;" Stk / CHF "&amp;ROUND((H180-AT180)*G180,0)&amp;"; ","")&amp;IF(AND(CE180=1,CF180&lt;CG180),"MAX &lt; MB+LG; ","")&amp;IF(AND(CK180&gt;0,CJ180*10&gt;CK180),"zu hoch für Tablar; ","")&amp;IF(AND(BS180=0,OR(CE180=1,AA180&lt;&gt;"",U180&lt;&gt;"",V180&lt;&gt;"",AB180&lt;&gt;"")),"manuell übersteuert; ","")&amp;IF(AND(BW180=0,R180=0),"Gebinde unbekannt / Stellmass fehlt; ","")&amp;IF(AND(BW180=0,N(V180)&lt;=0,N(Q180)&lt;=0),"Menge pro Gebinde fehlt (Ist = 1 Gebinde); ","")&amp;BR180)</f>
        <v/>
      </c>
      <c r="BK180" s="48"/>
      <c r="BL180" s="48"/>
      <c r="BM180" s="55"/>
      <c r="BN180" s="50" t="n">
        <v>5</v>
      </c>
      <c r="BO180" s="50" t="n">
        <v>8</v>
      </c>
      <c r="BP180" s="49" t="n">
        <v>1016.24</v>
      </c>
      <c r="BQ180" s="50" t="n">
        <v>13</v>
      </c>
      <c r="BR180" s="48"/>
      <c r="BS180" s="53" t="n">
        <v>0</v>
      </c>
      <c r="BT180" s="53" t="n">
        <v>180</v>
      </c>
      <c r="BU180" s="48" t="str">
        <f aca="false">IF(U180&lt;&gt;"",UPPER(TRIM(U180)),IF(BX180=1,UPPER(VLOOKUP(T180,Parameter!$I$27:$K$29,2,0)),IF(P180="","LOSE",P180)))</f>
        <v>S33</v>
      </c>
      <c r="BV180" s="50" t="n">
        <f aca="false">IF(BU180="LOSE",1,IF(N(V180)&gt;0,V180,IF(BX180=1,MAX(1,N(VLOOKUP(T180,Parameter!$I$27:$K$29,3,0)),H180,N(N180)),IF(N(Q180)&gt;0,Q180,MAX(1,H180)))))</f>
        <v>29</v>
      </c>
      <c r="BW180" s="53" t="n">
        <f aca="false">IF(BU180="LOSE",1,0)</f>
        <v>0</v>
      </c>
      <c r="BX180" s="53" t="n">
        <f aca="false">IF(AND(U180="",OR(P180="",P180="LOSE"),T180&lt;&gt;"",N(S180)&lt;=0,ISNUMBER(MATCH(T180,Parameter!$I$27:$I$29,0))),1,0)</f>
        <v>0</v>
      </c>
      <c r="BY180" s="53" t="n">
        <f aca="false">IF(CL180&gt;0,INDEX(Parameter!$H$5:$H$7,W180)/INDEX(Parameter!$E$5:$E$7,W180),IF(AND(BW180=0,N(IFERROR(VLOOKUP(BU180,'Gebinde-Kategorie'!$A$5:$N$45,14,0),0))&gt;0),VLOOKUP(BU180,'Gebinde-Kategorie'!$A$5:$N$45,14,0)*10+Parameter!$M$23,Parameter!$M$24))</f>
        <v>155</v>
      </c>
      <c r="BZ180" s="48" t="str">
        <f aca="false">IF(AND(Parameter!$B$19="Ja",E180&lt;&gt;"",ISNUMBER(MATCH(E180,Parameter!$I$35:$I$52,0))),VLOOKUP(E180,Parameter!$I$35:$J$52,2,0),IFERROR(VLOOKUP(D180,Parameter!$A$35:$C$64,2,0),"Nein"))</f>
        <v>2+3</v>
      </c>
      <c r="CA180" s="52" t="n">
        <f aca="false">IF(BW180=0,0,IF(N(S180)&gt;0,S180,IFERROR(VLOOKUP(D180,Parameter!$A$35:$C$64,3,0)+0,0)))</f>
        <v>0</v>
      </c>
      <c r="CB180" s="48" t="n">
        <f aca="false">IF(AA180&lt;&gt;"",AA180,Z180)</f>
        <v>3</v>
      </c>
      <c r="CC180" s="48" t="str">
        <f aca="false">IF(OR(CB180=1,CB180=2,CB180=3),IF(Parameter!$E$27="Ja","LIFT",IF(CB180=1,"L1","L23")),IF(CB180="Aussen","Aussen","-"))</f>
        <v>LIFT</v>
      </c>
      <c r="CD180" s="59" t="n">
        <f aca="false">IF(N(AB180)&gt;0,AB180,0)</f>
        <v>0</v>
      </c>
      <c r="CE180" s="53" t="n">
        <f aca="false">IF(ISNUMBER(AE180),1,0)</f>
        <v>0</v>
      </c>
      <c r="CF180" s="50" t="n">
        <f aca="false">N(AE180)</f>
        <v>0</v>
      </c>
      <c r="CG180" s="50" t="n">
        <f aca="false">N(M180)+N(N180)</f>
        <v>15</v>
      </c>
      <c r="CH180" s="50" t="n">
        <f aca="false">ROUNDUP(H180/BV180,0)</f>
        <v>1</v>
      </c>
      <c r="CI180" s="50" t="n">
        <f aca="false">ROUNDUP(CF180/BV180,0)</f>
        <v>0</v>
      </c>
      <c r="CJ180" s="53" t="n">
        <f aca="false">IF(BW180=1,0,IFERROR(VLOOKUP(BU180,'Gebinde-Kategorie'!$A$5:$N$45,5,0)+0,0))</f>
        <v>8</v>
      </c>
      <c r="CK180" s="53" t="n">
        <f aca="false">IFERROR(IF(OR(CB180=1,CB180=2,CB180=3),N(INDEX(Parameter!$I$5:$I$7,CB180)),0),0)</f>
        <v>0</v>
      </c>
      <c r="CL180" s="52" t="n">
        <f aca="false">IF(AND(Parameter!$B$21="Ja",ISNUMBER(W180),N(X180)&gt;0),IFERROR(N(INDEX(Parameter!$L$5:$L$7,W180))*INDEX(Parameter!$E$5:$E$7,W180)*X180/SUMIFS($X$7:$X$1843,$W$7:$W$1843,W180),0),0)</f>
        <v>0</v>
      </c>
    </row>
    <row r="181" customFormat="false" ht="15" hidden="false" customHeight="false" outlineLevel="0" collapsed="false">
      <c r="A181" s="48" t="s">
        <v>571</v>
      </c>
      <c r="B181" s="48" t="s">
        <v>548</v>
      </c>
      <c r="C181" s="48" t="s">
        <v>168</v>
      </c>
      <c r="D181" s="48" t="s">
        <v>188</v>
      </c>
      <c r="E181" s="48" t="s">
        <v>189</v>
      </c>
      <c r="F181" s="48" t="s">
        <v>222</v>
      </c>
      <c r="G181" s="49" t="n">
        <v>14.91</v>
      </c>
      <c r="H181" s="50" t="n">
        <f aca="false">MAX(0,IF(AND(Parameter!$B$21="Ja",ISNUMBER(Y181)),Y181,IF(Parameter!$B$20="Jahresanfang 2025 + Export",BO181+BN181,BN181)))</f>
        <v>83</v>
      </c>
      <c r="I181" s="50" t="n">
        <f aca="false">H181*G181</f>
        <v>1237.53</v>
      </c>
      <c r="J181" s="50" t="n">
        <f aca="false">BQ181*Parameter!$B$18</f>
        <v>83</v>
      </c>
      <c r="K181" s="51" t="n">
        <v>13.5</v>
      </c>
      <c r="L181" s="52" t="n">
        <v>6.14814814814815</v>
      </c>
      <c r="M181" s="50" t="n">
        <v>4</v>
      </c>
      <c r="N181" s="50" t="n">
        <v>85</v>
      </c>
      <c r="O181" s="53" t="n">
        <v>21</v>
      </c>
      <c r="P181" s="48" t="s">
        <v>430</v>
      </c>
      <c r="Q181" s="50" t="n">
        <v>36</v>
      </c>
      <c r="R181" s="53" t="n">
        <f aca="false">IF(BW181=1,0,IFERROR(VLOOKUP(BU181,'Gebinde-Kategorie'!$A$5:$N$45,13,0)+0,0))</f>
        <v>140</v>
      </c>
      <c r="S181" s="54"/>
      <c r="T181" s="55"/>
      <c r="U181" s="55"/>
      <c r="V181" s="55"/>
      <c r="W181" s="48"/>
      <c r="X181" s="50"/>
      <c r="Y181" s="50"/>
      <c r="Z181" s="48" t="n">
        <f aca="false">IF(A181="","",IF(AND(Parameter!$B$21="Ja",ISNUMBER(W181)),W181,IF(BZ181="2+3",IF(ISNUMBER(SEARCH("grosser Artikel",BR181)),2,IFERROR(VLOOKUP(BU181,Parameter!$F$35:$G$64,2,0),2)),IF(OR(BZ181="Nein",BZ181=""),"-",BZ181))))</f>
        <v>3</v>
      </c>
      <c r="AA181" s="55"/>
      <c r="AB181" s="56"/>
      <c r="AC181" s="50" t="n">
        <f aca="false">AT181</f>
        <v>108</v>
      </c>
      <c r="AD181" s="50" t="n">
        <f aca="false">MAX(AT181,H181)</f>
        <v>108</v>
      </c>
      <c r="AE181" s="57"/>
      <c r="AF181" s="50" t="n">
        <f aca="false">IF(LEFT(Cockpit!$C$5,1)="A",H181,IF(CE181=1,CF181,IF(LEFT(Cockpit!$C$5,1)="B",AK181,MAX(AK181,H181))))</f>
        <v>83</v>
      </c>
      <c r="AG181" s="50" t="n">
        <f aca="false">IF(BW181=1,0,ROUNDUP(AF181/BV181,0))</f>
        <v>3</v>
      </c>
      <c r="AH181" s="52" t="n">
        <f aca="false">IF(CL181&gt;0,CL181*MAX(1,AF181/X181),IF(BW181=1,IF(AF181&lt;=0,0,CA181*MAX(1,IF(H181&gt;0,AF181/H181,1))),IF(R181&gt;0,AG181/R181,0))/MAX(0.1,N(Parameter!$M$21)))</f>
        <v>0.0214285714285714</v>
      </c>
      <c r="AI181" s="50" t="n">
        <f aca="false">AH181*BY181</f>
        <v>3.32142857142857</v>
      </c>
      <c r="AJ181" s="50" t="n">
        <f aca="false">AF181*G181</f>
        <v>1237.53</v>
      </c>
      <c r="AK181" s="50" t="n">
        <f aca="false">ROUNDUP(MAX(J181/IF(CD181&gt;0,CD181,MAX(0.1,N(Cockpit!$C$6))),CG181)/BV181,0)*BV181</f>
        <v>108</v>
      </c>
      <c r="AL181" s="51" t="n">
        <f aca="false">IF(AI181&gt;0,J181/AI181,-1)</f>
        <v>24.989247311828</v>
      </c>
      <c r="AM181" s="51" t="n">
        <f aca="false">IF(AND(OR(CC181="L1",CC181="L23",CC181="LIFT"),AI181&gt;0),SUMIFS($AI$7:$AI$1843,$CC$7:$CC$1843,CC181,$AL$7:$AL$1843,"&gt;"&amp;AL181)+SUMIFS($AI$7:$AI$1843,$CC$7:$CC$1843,CC181,$AL$7:$AL$1843,AL181,$BT$7:$BT$1843,"&lt;="&amp;BT181),"")</f>
        <v>1542.62728937729</v>
      </c>
      <c r="AN181" s="58" t="n">
        <f aca="false">IF(AM181="",0,MAX(0,MIN(1,(IF(CC181="L1",Parameter!$H$5,IF(CC181="L23",Parameter!$H$6+Parameter!$H$7,Parameter!$H$5+Parameter!$H$6+Parameter!$H$7))-(AM181-AI181))/AI181)))</f>
        <v>1</v>
      </c>
      <c r="AO181" s="50" t="n">
        <f aca="false">IF(LEFT(Cockpit!$I$5,1)="A",H181,IF(CE181=1,CF181,IF(LEFT(Cockpit!$I$5,1)="B",AT181,MAX(AT181,H181))))</f>
        <v>108</v>
      </c>
      <c r="AP181" s="50" t="n">
        <f aca="false">IF(BW181=1,0,ROUNDUP(AO181/BV181,0))</f>
        <v>3</v>
      </c>
      <c r="AQ181" s="52" t="n">
        <f aca="false">IF(CL181&gt;0,CL181*MAX(1,AO181/X181),IF(BW181=1,IF(AO181&lt;=0,0,CA181*MAX(1,IF(H181&gt;0,AO181/H181,1))),IF(R181&gt;0,AP181/R181,0))/MAX(0.1,N(Parameter!$M$21)))</f>
        <v>0.0214285714285714</v>
      </c>
      <c r="AR181" s="50" t="n">
        <f aca="false">AQ181*BY181</f>
        <v>3.32142857142857</v>
      </c>
      <c r="AS181" s="50" t="n">
        <f aca="false">AO181*G181</f>
        <v>1610.28</v>
      </c>
      <c r="AT181" s="50" t="n">
        <f aca="false">ROUNDUP(MAX(J181/IF(CD181&gt;0,CD181,MAX(0.1,N(Cockpit!$I$6))),CG181)/BV181,0)*BV181</f>
        <v>108</v>
      </c>
      <c r="AU181" s="51" t="n">
        <f aca="false">IF(AR181&gt;0,J181/AR181,-1)</f>
        <v>24.989247311828</v>
      </c>
      <c r="AV181" s="51" t="n">
        <f aca="false">IF(AND(OR(CC181="L1",CC181="L23",CC181="LIFT"),AR181&gt;0),SUMIFS($AR$7:$AR$1843,$CC$7:$CC$1843,CC181,$AU$7:$AU$1843,"&gt;"&amp;AU181)+SUMIFS($AR$7:$AR$1843,$CC$7:$CC$1843,CC181,$AU$7:$AU$1843,AU181,$BT$7:$BT$1843,"&lt;="&amp;BT181),"")</f>
        <v>2158.12316849817</v>
      </c>
      <c r="AW181" s="58" t="n">
        <f aca="false">IF(AV181="",0,MAX(0,MIN(1,(IF(CC181="L1",Parameter!$H$5,IF(CC181="L23",Parameter!$H$6+Parameter!$H$7,Parameter!$H$5+Parameter!$H$6+Parameter!$H$7))-(AV181-AR181))/AR181)))</f>
        <v>1</v>
      </c>
      <c r="AX181" s="50" t="n">
        <f aca="false">IF(LEFT(Cockpit!$O$5,1)="A",H181,IF(CE181=1,CF181,IF(LEFT(Cockpit!$O$5,1)="B",BC181,MAX(BC181,H181))))</f>
        <v>108</v>
      </c>
      <c r="AY181" s="50" t="n">
        <f aca="false">IF(BW181=1,0,ROUNDUP(AX181/BV181,0))</f>
        <v>3</v>
      </c>
      <c r="AZ181" s="52" t="n">
        <f aca="false">IF(CL181&gt;0,CL181*MAX(1,AX181/X181),IF(BW181=1,IF(AX181&lt;=0,0,CA181*MAX(1,IF(H181&gt;0,AX181/H181,1))),IF(R181&gt;0,AY181/R181,0))/MAX(0.1,N(Parameter!$M$21)))</f>
        <v>0.0214285714285714</v>
      </c>
      <c r="BA181" s="50" t="n">
        <f aca="false">AZ181*BY181</f>
        <v>3.32142857142857</v>
      </c>
      <c r="BB181" s="50" t="n">
        <f aca="false">AX181*G181</f>
        <v>1610.28</v>
      </c>
      <c r="BC181" s="50" t="n">
        <f aca="false">ROUNDUP(MAX(J181/IF(CD181&gt;0,CD181,MAX(0.1,N(Cockpit!$O$6))),CG181)/BV181,0)*BV181</f>
        <v>108</v>
      </c>
      <c r="BD181" s="51" t="n">
        <f aca="false">IF(BA181&gt;0,J181/BA181,-1)</f>
        <v>24.989247311828</v>
      </c>
      <c r="BE181" s="51" t="n">
        <f aca="false">IF(AND(OR(CC181="L1",CC181="L23",CC181="LIFT"),BA181&gt;0),SUMIFS($BA$7:$BA$1843,$CC$7:$CC$1843,CC181,$BD$7:$BD$1843,"&gt;"&amp;BD181)+SUMIFS($BA$7:$BA$1843,$CC$7:$CC$1843,CC181,$BD$7:$BD$1843,BD181,$BT$7:$BT$1843,"&lt;="&amp;BT181),"")</f>
        <v>2243.71611721612</v>
      </c>
      <c r="BF181" s="58" t="n">
        <f aca="false">IF(BE181="",0,MAX(0,MIN(1,(IF(CC181="L1",Parameter!$H$5,IF(CC181="L23",Parameter!$H$6+Parameter!$H$7,Parameter!$H$5+Parameter!$H$6+Parameter!$H$7))-(BE181-BA181))/BA181)))</f>
        <v>1</v>
      </c>
      <c r="BG181" s="48" t="str">
        <f aca="false">IF(AI181&lt;=0,"",IF(CC181="Aussen","Aussenlager",IF(CC181="-","Nicht im Lift",IF(AN181&gt;=1,"Lift",IF(AN181&lt;=0,"Aussenlager","teilweise")))))</f>
        <v>Lift</v>
      </c>
      <c r="BH181" s="48" t="str">
        <f aca="false">IF(AR181&lt;=0,"",IF(CC181="Aussen","Aussenlager",IF(CC181="-","Nicht im Lift",IF(AW181&gt;=1,"Lift",IF(AW181&lt;=0,"Aussenlager","teilweise")))))</f>
        <v>Lift</v>
      </c>
      <c r="BI181" s="48" t="str">
        <f aca="false">IF(BA181&lt;=0,"",IF(CC181="Aussen","Aussenlager",IF(CC181="-","Nicht im Lift",IF(BF181&gt;=1,"Lift",IF(BF181&lt;=0,"Aussenlager","teilweise")))))</f>
        <v>Lift</v>
      </c>
      <c r="BJ181" s="48" t="str">
        <f aca="false">IF(A181="","",IF(BS181=1,"Neu; ","")&amp;IF(AND(BS181=0,BN181&lt;0),"negativer Bestand (Export "&amp;BN181&amp;"); ","")&amp;IF(J181&lt;=0,"Kein Verbrauch; ","")&amp;IF(CL181&gt;0,"Lift "&amp;W181&amp;" lt. Liftbericht (Fach "&amp;X181&amp;" Stk); ",IF(BX181=1,"Gebinde geschätzt ("&amp;T181&amp;"); ",IF(BW181=1,"Lose – Tablare geschätzt; ","")))&amp;IF(H181&gt;AT181,"Überbestand "&amp;ROUND(H181-AT181,0)&amp;" Stk / CHF "&amp;ROUND((H181-AT181)*G181,0)&amp;"; ","")&amp;IF(AND(CE181=1,CF181&lt;CG181),"MAX &lt; MB+LG; ","")&amp;IF(AND(CK181&gt;0,CJ181*10&gt;CK181),"zu hoch für Tablar; ","")&amp;IF(AND(BS181=0,OR(CE181=1,AA181&lt;&gt;"",U181&lt;&gt;"",V181&lt;&gt;"",AB181&lt;&gt;"")),"manuell übersteuert; ","")&amp;IF(AND(BW181=0,R181=0),"Gebinde unbekannt / Stellmass fehlt; ","")&amp;IF(AND(BW181=0,N(V181)&lt;=0,N(Q181)&lt;=0),"Menge pro Gebinde fehlt (Ist = 1 Gebinde); ","")&amp;BR181)</f>
        <v/>
      </c>
      <c r="BK181" s="48"/>
      <c r="BL181" s="48"/>
      <c r="BM181" s="55"/>
      <c r="BN181" s="50" t="n">
        <v>71</v>
      </c>
      <c r="BO181" s="50" t="n">
        <v>12</v>
      </c>
      <c r="BP181" s="49" t="n">
        <v>1001.61</v>
      </c>
      <c r="BQ181" s="50" t="n">
        <v>83</v>
      </c>
      <c r="BR181" s="48"/>
      <c r="BS181" s="53" t="n">
        <v>0</v>
      </c>
      <c r="BT181" s="53" t="n">
        <v>181</v>
      </c>
      <c r="BU181" s="48" t="str">
        <f aca="false">IF(U181&lt;&gt;"",UPPER(TRIM(U181)),IF(BX181=1,UPPER(VLOOKUP(T181,Parameter!$I$27:$K$29,2,0)),IF(P181="","LOSE",P181)))</f>
        <v>S22</v>
      </c>
      <c r="BV181" s="50" t="n">
        <f aca="false">IF(BU181="LOSE",1,IF(N(V181)&gt;0,V181,IF(BX181=1,MAX(1,N(VLOOKUP(T181,Parameter!$I$27:$K$29,3,0)),H181,N(N181)),IF(N(Q181)&gt;0,Q181,MAX(1,H181)))))</f>
        <v>36</v>
      </c>
      <c r="BW181" s="53" t="n">
        <f aca="false">IF(BU181="LOSE",1,0)</f>
        <v>0</v>
      </c>
      <c r="BX181" s="53" t="n">
        <f aca="false">IF(AND(U181="",OR(P181="",P181="LOSE"),T181&lt;&gt;"",N(S181)&lt;=0,ISNUMBER(MATCH(T181,Parameter!$I$27:$I$29,0))),1,0)</f>
        <v>0</v>
      </c>
      <c r="BY181" s="53" t="n">
        <f aca="false">IF(CL181&gt;0,INDEX(Parameter!$H$5:$H$7,W181)/INDEX(Parameter!$E$5:$E$7,W181),IF(AND(BW181=0,N(IFERROR(VLOOKUP(BU181,'Gebinde-Kategorie'!$A$5:$N$45,14,0),0))&gt;0),VLOOKUP(BU181,'Gebinde-Kategorie'!$A$5:$N$45,14,0)*10+Parameter!$M$23,Parameter!$M$24))</f>
        <v>155</v>
      </c>
      <c r="BZ181" s="48" t="str">
        <f aca="false">IF(AND(Parameter!$B$19="Ja",E181&lt;&gt;"",ISNUMBER(MATCH(E181,Parameter!$I$35:$I$52,0))),VLOOKUP(E181,Parameter!$I$35:$J$52,2,0),IFERROR(VLOOKUP(D181,Parameter!$A$35:$C$64,2,0),"Nein"))</f>
        <v>2+3</v>
      </c>
      <c r="CA181" s="52" t="n">
        <f aca="false">IF(BW181=0,0,IF(N(S181)&gt;0,S181,IFERROR(VLOOKUP(D181,Parameter!$A$35:$C$64,3,0)+0,0)))</f>
        <v>0</v>
      </c>
      <c r="CB181" s="48" t="n">
        <f aca="false">IF(AA181&lt;&gt;"",AA181,Z181)</f>
        <v>3</v>
      </c>
      <c r="CC181" s="48" t="str">
        <f aca="false">IF(OR(CB181=1,CB181=2,CB181=3),IF(Parameter!$E$27="Ja","LIFT",IF(CB181=1,"L1","L23")),IF(CB181="Aussen","Aussen","-"))</f>
        <v>LIFT</v>
      </c>
      <c r="CD181" s="59" t="n">
        <f aca="false">IF(N(AB181)&gt;0,AB181,0)</f>
        <v>0</v>
      </c>
      <c r="CE181" s="53" t="n">
        <f aca="false">IF(ISNUMBER(AE181),1,0)</f>
        <v>0</v>
      </c>
      <c r="CF181" s="50" t="n">
        <f aca="false">N(AE181)</f>
        <v>0</v>
      </c>
      <c r="CG181" s="50" t="n">
        <f aca="false">N(M181)+N(N181)</f>
        <v>89</v>
      </c>
      <c r="CH181" s="50" t="n">
        <f aca="false">ROUNDUP(H181/BV181,0)</f>
        <v>3</v>
      </c>
      <c r="CI181" s="50" t="n">
        <f aca="false">ROUNDUP(CF181/BV181,0)</f>
        <v>0</v>
      </c>
      <c r="CJ181" s="53" t="n">
        <f aca="false">IF(BW181=1,0,IFERROR(VLOOKUP(BU181,'Gebinde-Kategorie'!$A$5:$N$45,5,0)+0,0))</f>
        <v>8</v>
      </c>
      <c r="CK181" s="53" t="n">
        <f aca="false">IFERROR(IF(OR(CB181=1,CB181=2,CB181=3),N(INDEX(Parameter!$I$5:$I$7,CB181)),0),0)</f>
        <v>0</v>
      </c>
      <c r="CL181" s="52" t="n">
        <f aca="false">IF(AND(Parameter!$B$21="Ja",ISNUMBER(W181),N(X181)&gt;0),IFERROR(N(INDEX(Parameter!$L$5:$L$7,W181))*INDEX(Parameter!$E$5:$E$7,W181)*X181/SUMIFS($X$7:$X$1843,$W$7:$W$1843,W181),0),0)</f>
        <v>0</v>
      </c>
    </row>
    <row r="182" customFormat="false" ht="15" hidden="false" customHeight="false" outlineLevel="0" collapsed="false">
      <c r="A182" s="48" t="s">
        <v>572</v>
      </c>
      <c r="B182" s="48" t="s">
        <v>573</v>
      </c>
      <c r="C182" s="48" t="s">
        <v>168</v>
      </c>
      <c r="D182" s="48" t="s">
        <v>188</v>
      </c>
      <c r="E182" s="48"/>
      <c r="F182" s="48" t="s">
        <v>222</v>
      </c>
      <c r="G182" s="49" t="n">
        <v>66.53</v>
      </c>
      <c r="H182" s="50" t="n">
        <f aca="false">MAX(0,IF(AND(Parameter!$B$21="Ja",ISNUMBER(Y182)),Y182,IF(Parameter!$B$20="Jahresanfang 2025 + Export",BO182+BN182,BN182)))</f>
        <v>15</v>
      </c>
      <c r="I182" s="50" t="n">
        <f aca="false">H182*G182</f>
        <v>997.95</v>
      </c>
      <c r="J182" s="50" t="n">
        <f aca="false">BQ182*Parameter!$B$18</f>
        <v>0</v>
      </c>
      <c r="K182" s="51" t="n">
        <v>0</v>
      </c>
      <c r="L182" s="52" t="n">
        <v>0</v>
      </c>
      <c r="M182" s="50" t="n">
        <v>0</v>
      </c>
      <c r="N182" s="50" t="n">
        <v>1</v>
      </c>
      <c r="O182" s="53" t="n">
        <v>9999</v>
      </c>
      <c r="P182" s="48" t="s">
        <v>172</v>
      </c>
      <c r="Q182" s="50"/>
      <c r="R182" s="53" t="n">
        <f aca="false">IF(BW182=1,0,IFERROR(VLOOKUP(BU182,'Gebinde-Kategorie'!$A$5:$N$45,13,0)+0,0))</f>
        <v>4</v>
      </c>
      <c r="S182" s="54"/>
      <c r="T182" s="55" t="s">
        <v>193</v>
      </c>
      <c r="U182" s="55"/>
      <c r="V182" s="55"/>
      <c r="W182" s="48"/>
      <c r="X182" s="50"/>
      <c r="Y182" s="50"/>
      <c r="Z182" s="48" t="n">
        <f aca="false">IF(A182="","",IF(AND(Parameter!$B$21="Ja",ISNUMBER(W182)),W182,IF(BZ182="2+3",IF(ISNUMBER(SEARCH("grosser Artikel",BR182)),2,IFERROR(VLOOKUP(BU182,Parameter!$F$35:$G$64,2,0),2)),IF(OR(BZ182="Nein",BZ182=""),"-",BZ182))))</f>
        <v>2</v>
      </c>
      <c r="AA182" s="55"/>
      <c r="AB182" s="56"/>
      <c r="AC182" s="50" t="n">
        <f aca="false">AT182</f>
        <v>15</v>
      </c>
      <c r="AD182" s="50" t="n">
        <f aca="false">MAX(AT182,H182)</f>
        <v>15</v>
      </c>
      <c r="AE182" s="57"/>
      <c r="AF182" s="50" t="n">
        <f aca="false">IF(LEFT(Cockpit!$C$5,1)="A",H182,IF(CE182=1,CF182,IF(LEFT(Cockpit!$C$5,1)="B",AK182,MAX(AK182,H182))))</f>
        <v>15</v>
      </c>
      <c r="AG182" s="50" t="n">
        <f aca="false">IF(BW182=1,0,ROUNDUP(AF182/BV182,0))</f>
        <v>1</v>
      </c>
      <c r="AH182" s="52" t="n">
        <f aca="false">IF(CL182&gt;0,CL182*MAX(1,AF182/X182),IF(BW182=1,IF(AF182&lt;=0,0,CA182*MAX(1,IF(H182&gt;0,AF182/H182,1))),IF(R182&gt;0,AG182/R182,0))/MAX(0.1,N(Parameter!$M$21)))</f>
        <v>0.25</v>
      </c>
      <c r="AI182" s="50" t="n">
        <f aca="false">AH182*BY182</f>
        <v>58.75</v>
      </c>
      <c r="AJ182" s="50" t="n">
        <f aca="false">AF182*G182</f>
        <v>997.95</v>
      </c>
      <c r="AK182" s="50" t="n">
        <f aca="false">ROUNDUP(MAX(J182/IF(CD182&gt;0,CD182,MAX(0.1,N(Cockpit!$C$6))),CG182)/BV182,0)*BV182</f>
        <v>15</v>
      </c>
      <c r="AL182" s="51" t="n">
        <f aca="false">IF(AI182&gt;0,J182/AI182,-1)</f>
        <v>0</v>
      </c>
      <c r="AM182" s="51" t="n">
        <f aca="false">IF(AND(OR(CC182="L1",CC182="L23",CC182="LIFT"),AI182&gt;0),SUMIFS($AI$7:$AI$1843,$CC$7:$CC$1843,CC182,$AL$7:$AL$1843,"&gt;"&amp;AL182)+SUMIFS($AI$7:$AI$1843,$CC$7:$CC$1843,CC182,$AL$7:$AL$1843,AL182,$BT$7:$BT$1843,"&lt;="&amp;BT182),"")</f>
        <v>27498.0395454357</v>
      </c>
      <c r="AN182" s="58" t="n">
        <f aca="false">IF(AM182="",0,MAX(0,MIN(1,(IF(CC182="L1",Parameter!$H$5,IF(CC182="L23",Parameter!$H$6+Parameter!$H$7,Parameter!$H$5+Parameter!$H$6+Parameter!$H$7))-(AM182-AI182))/AI182)))</f>
        <v>1</v>
      </c>
      <c r="AO182" s="50" t="n">
        <f aca="false">IF(LEFT(Cockpit!$I$5,1)="A",H182,IF(CE182=1,CF182,IF(LEFT(Cockpit!$I$5,1)="B",AT182,MAX(AT182,H182))))</f>
        <v>15</v>
      </c>
      <c r="AP182" s="50" t="n">
        <f aca="false">IF(BW182=1,0,ROUNDUP(AO182/BV182,0))</f>
        <v>1</v>
      </c>
      <c r="AQ182" s="52" t="n">
        <f aca="false">IF(CL182&gt;0,CL182*MAX(1,AO182/X182),IF(BW182=1,IF(AO182&lt;=0,0,CA182*MAX(1,IF(H182&gt;0,AO182/H182,1))),IF(R182&gt;0,AP182/R182,0))/MAX(0.1,N(Parameter!$M$21)))</f>
        <v>0.25</v>
      </c>
      <c r="AR182" s="50" t="n">
        <f aca="false">AQ182*BY182</f>
        <v>58.75</v>
      </c>
      <c r="AS182" s="50" t="n">
        <f aca="false">AO182*G182</f>
        <v>997.95</v>
      </c>
      <c r="AT182" s="50" t="n">
        <f aca="false">ROUNDUP(MAX(J182/IF(CD182&gt;0,CD182,MAX(0.1,N(Cockpit!$I$6))),CG182)/BV182,0)*BV182</f>
        <v>15</v>
      </c>
      <c r="AU182" s="51" t="n">
        <f aca="false">IF(AR182&gt;0,J182/AR182,-1)</f>
        <v>0</v>
      </c>
      <c r="AV182" s="51" t="n">
        <f aca="false">IF(AND(OR(CC182="L1",CC182="L23",CC182="LIFT"),AR182&gt;0),SUMIFS($AR$7:$AR$1843,$CC$7:$CC$1843,CC182,$AU$7:$AU$1843,"&gt;"&amp;AU182)+SUMIFS($AR$7:$AR$1843,$CC$7:$CC$1843,CC182,$AU$7:$AU$1843,AU182,$BT$7:$BT$1843,"&lt;="&amp;BT182),"")</f>
        <v>38810.9450627057</v>
      </c>
      <c r="AW182" s="58" t="n">
        <f aca="false">IF(AV182="",0,MAX(0,MIN(1,(IF(CC182="L1",Parameter!$H$5,IF(CC182="L23",Parameter!$H$6+Parameter!$H$7,Parameter!$H$5+Parameter!$H$6+Parameter!$H$7))-(AV182-AR182))/AR182)))</f>
        <v>0</v>
      </c>
      <c r="AX182" s="50" t="n">
        <f aca="false">IF(LEFT(Cockpit!$O$5,1)="A",H182,IF(CE182=1,CF182,IF(LEFT(Cockpit!$O$5,1)="B",BC182,MAX(BC182,H182))))</f>
        <v>15</v>
      </c>
      <c r="AY182" s="50" t="n">
        <f aca="false">IF(BW182=1,0,ROUNDUP(AX182/BV182,0))</f>
        <v>1</v>
      </c>
      <c r="AZ182" s="52" t="n">
        <f aca="false">IF(CL182&gt;0,CL182*MAX(1,AX182/X182),IF(BW182=1,IF(AX182&lt;=0,0,CA182*MAX(1,IF(H182&gt;0,AX182/H182,1))),IF(R182&gt;0,AY182/R182,0))/MAX(0.1,N(Parameter!$M$21)))</f>
        <v>0.25</v>
      </c>
      <c r="BA182" s="50" t="n">
        <f aca="false">AZ182*BY182</f>
        <v>58.75</v>
      </c>
      <c r="BB182" s="50" t="n">
        <f aca="false">AX182*G182</f>
        <v>997.95</v>
      </c>
      <c r="BC182" s="50" t="n">
        <f aca="false">ROUNDUP(MAX(J182/IF(CD182&gt;0,CD182,MAX(0.1,N(Cockpit!$O$6))),CG182)/BV182,0)*BV182</f>
        <v>15</v>
      </c>
      <c r="BD182" s="51" t="n">
        <f aca="false">IF(BA182&gt;0,J182/BA182,-1)</f>
        <v>0</v>
      </c>
      <c r="BE182" s="51" t="n">
        <f aca="false">IF(AND(OR(CC182="L1",CC182="L23",CC182="LIFT"),BA182&gt;0),SUMIFS($BA$7:$BA$1843,$CC$7:$CC$1843,CC182,$BD$7:$BD$1843,"&gt;"&amp;BD182)+SUMIFS($BA$7:$BA$1843,$CC$7:$CC$1843,CC182,$BD$7:$BD$1843,BD182,$BT$7:$BT$1843,"&lt;="&amp;BT182),"")</f>
        <v>35485.9571045715</v>
      </c>
      <c r="BF182" s="58" t="n">
        <f aca="false">IF(BE182="",0,MAX(0,MIN(1,(IF(CC182="L1",Parameter!$H$5,IF(CC182="L23",Parameter!$H$6+Parameter!$H$7,Parameter!$H$5+Parameter!$H$6+Parameter!$H$7))-(BE182-BA182))/BA182)))</f>
        <v>1</v>
      </c>
      <c r="BG182" s="48" t="str">
        <f aca="false">IF(AI182&lt;=0,"",IF(CC182="Aussen","Aussenlager",IF(CC182="-","Nicht im Lift",IF(AN182&gt;=1,"Lift",IF(AN182&lt;=0,"Aussenlager","teilweise")))))</f>
        <v>Lift</v>
      </c>
      <c r="BH182" s="48" t="str">
        <f aca="false">IF(AR182&lt;=0,"",IF(CC182="Aussen","Aussenlager",IF(CC182="-","Nicht im Lift",IF(AW182&gt;=1,"Lift",IF(AW182&lt;=0,"Aussenlager","teilweise")))))</f>
        <v>Aussenlager</v>
      </c>
      <c r="BI182" s="48" t="str">
        <f aca="false">IF(BA182&lt;=0,"",IF(CC182="Aussen","Aussenlager",IF(CC182="-","Nicht im Lift",IF(BF182&gt;=1,"Lift",IF(BF182&lt;=0,"Aussenlager","teilweise")))))</f>
        <v>Lift</v>
      </c>
      <c r="BJ182" s="48" t="str">
        <f aca="false">IF(A182="","",IF(BS182=1,"Neu; ","")&amp;IF(AND(BS182=0,BN182&lt;0),"negativer Bestand (Export "&amp;BN182&amp;"); ","")&amp;IF(J182&lt;=0,"Kein Verbrauch; ","")&amp;IF(CL182&gt;0,"Lift "&amp;W182&amp;" lt. Liftbericht (Fach "&amp;X182&amp;" Stk); ",IF(BX182=1,"Gebinde geschätzt ("&amp;T182&amp;"); ",IF(BW182=1,"Lose – Tablare geschätzt; ","")))&amp;IF(H182&gt;AT182,"Überbestand "&amp;ROUND(H182-AT182,0)&amp;" Stk / CHF "&amp;ROUND((H182-AT182)*G182,0)&amp;"; ","")&amp;IF(AND(CE182=1,CF182&lt;CG182),"MAX &lt; MB+LG; ","")&amp;IF(AND(CK182&gt;0,CJ182*10&gt;CK182),"zu hoch für Tablar; ","")&amp;IF(AND(BS182=0,OR(CE182=1,AA182&lt;&gt;"",U182&lt;&gt;"",V182&lt;&gt;"",AB182&lt;&gt;"")),"manuell übersteuert; ","")&amp;IF(AND(BW182=0,R182=0),"Gebinde unbekannt / Stellmass fehlt; ","")&amp;IF(AND(BW182=0,N(V182)&lt;=0,N(Q182)&lt;=0),"Menge pro Gebinde fehlt (Ist = 1 Gebinde); ","")&amp;BR182)</f>
        <v>Kein Verbrauch; Gebinde geschätzt (Gross); Menge pro Gebinde fehlt (Ist = 1 Gebinde); </v>
      </c>
      <c r="BK182" s="48"/>
      <c r="BL182" s="48"/>
      <c r="BM182" s="55"/>
      <c r="BN182" s="50" t="n">
        <v>15</v>
      </c>
      <c r="BO182" s="50" t="n">
        <v>0</v>
      </c>
      <c r="BP182" s="49" t="n">
        <v>997.95</v>
      </c>
      <c r="BQ182" s="50" t="n">
        <v>0</v>
      </c>
      <c r="BR182" s="48"/>
      <c r="BS182" s="53" t="n">
        <v>0</v>
      </c>
      <c r="BT182" s="53" t="n">
        <v>182</v>
      </c>
      <c r="BU182" s="48" t="str">
        <f aca="false">IF(U182&lt;&gt;"",UPPER(TRIM(U182)),IF(BX182=1,UPPER(VLOOKUP(T182,Parameter!$I$27:$K$29,2,0)),IF(P182="","LOSE",P182)))</f>
        <v>S81</v>
      </c>
      <c r="BV182" s="50" t="n">
        <f aca="false">IF(BU182="LOSE",1,IF(N(V182)&gt;0,V182,IF(BX182=1,MAX(1,N(VLOOKUP(T182,Parameter!$I$27:$K$29,3,0)),H182,N(N182)),IF(N(Q182)&gt;0,Q182,MAX(1,H182)))))</f>
        <v>15</v>
      </c>
      <c r="BW182" s="53" t="n">
        <f aca="false">IF(BU182="LOSE",1,0)</f>
        <v>0</v>
      </c>
      <c r="BX182" s="53" t="n">
        <f aca="false">IF(AND(U182="",OR(P182="",P182="LOSE"),T182&lt;&gt;"",N(S182)&lt;=0,ISNUMBER(MATCH(T182,Parameter!$I$27:$I$29,0))),1,0)</f>
        <v>1</v>
      </c>
      <c r="BY182" s="53" t="n">
        <f aca="false">IF(CL182&gt;0,INDEX(Parameter!$H$5:$H$7,W182)/INDEX(Parameter!$E$5:$E$7,W182),IF(AND(BW182=0,N(IFERROR(VLOOKUP(BU182,'Gebinde-Kategorie'!$A$5:$N$45,14,0),0))&gt;0),VLOOKUP(BU182,'Gebinde-Kategorie'!$A$5:$N$45,14,0)*10+Parameter!$M$23,Parameter!$M$24))</f>
        <v>235</v>
      </c>
      <c r="BZ182" s="48" t="str">
        <f aca="false">IF(AND(Parameter!$B$19="Ja",E182&lt;&gt;"",ISNUMBER(MATCH(E182,Parameter!$I$35:$I$52,0))),VLOOKUP(E182,Parameter!$I$35:$J$52,2,0),IFERROR(VLOOKUP(D182,Parameter!$A$35:$C$64,2,0),"Nein"))</f>
        <v>2+3</v>
      </c>
      <c r="CA182" s="52" t="n">
        <f aca="false">IF(BW182=0,0,IF(N(S182)&gt;0,S182,IFERROR(VLOOKUP(D182,Parameter!$A$35:$C$64,3,0)+0,0)))</f>
        <v>0</v>
      </c>
      <c r="CB182" s="48" t="n">
        <f aca="false">IF(AA182&lt;&gt;"",AA182,Z182)</f>
        <v>2</v>
      </c>
      <c r="CC182" s="48" t="str">
        <f aca="false">IF(OR(CB182=1,CB182=2,CB182=3),IF(Parameter!$E$27="Ja","LIFT",IF(CB182=1,"L1","L23")),IF(CB182="Aussen","Aussen","-"))</f>
        <v>LIFT</v>
      </c>
      <c r="CD182" s="59" t="n">
        <f aca="false">IF(N(AB182)&gt;0,AB182,0)</f>
        <v>0</v>
      </c>
      <c r="CE182" s="53" t="n">
        <f aca="false">IF(ISNUMBER(AE182),1,0)</f>
        <v>0</v>
      </c>
      <c r="CF182" s="50" t="n">
        <f aca="false">N(AE182)</f>
        <v>0</v>
      </c>
      <c r="CG182" s="50" t="n">
        <f aca="false">N(M182)+N(N182)</f>
        <v>1</v>
      </c>
      <c r="CH182" s="50" t="n">
        <f aca="false">ROUNDUP(H182/BV182,0)</f>
        <v>1</v>
      </c>
      <c r="CI182" s="50" t="n">
        <f aca="false">ROUNDUP(CF182/BV182,0)</f>
        <v>0</v>
      </c>
      <c r="CJ182" s="53" t="n">
        <f aca="false">IF(BW182=1,0,IFERROR(VLOOKUP(BU182,'Gebinde-Kategorie'!$A$5:$N$45,5,0)+0,0))</f>
        <v>20</v>
      </c>
      <c r="CK182" s="53" t="n">
        <f aca="false">IFERROR(IF(OR(CB182=1,CB182=2,CB182=3),N(INDEX(Parameter!$I$5:$I$7,CB182)),0),0)</f>
        <v>0</v>
      </c>
      <c r="CL182" s="52" t="n">
        <f aca="false">IF(AND(Parameter!$B$21="Ja",ISNUMBER(W182),N(X182)&gt;0),IFERROR(N(INDEX(Parameter!$L$5:$L$7,W182))*INDEX(Parameter!$E$5:$E$7,W182)*X182/SUMIFS($X$7:$X$1843,$W$7:$W$1843,W182),0),0)</f>
        <v>0</v>
      </c>
    </row>
    <row r="183" customFormat="false" ht="15" hidden="false" customHeight="false" outlineLevel="0" collapsed="false">
      <c r="A183" s="48" t="s">
        <v>574</v>
      </c>
      <c r="B183" s="48" t="s">
        <v>575</v>
      </c>
      <c r="C183" s="48" t="s">
        <v>168</v>
      </c>
      <c r="D183" s="48" t="s">
        <v>188</v>
      </c>
      <c r="E183" s="48" t="s">
        <v>189</v>
      </c>
      <c r="F183" s="48" t="s">
        <v>222</v>
      </c>
      <c r="G183" s="49" t="n">
        <v>16.3</v>
      </c>
      <c r="H183" s="50" t="n">
        <f aca="false">MAX(0,IF(AND(Parameter!$B$21="Ja",ISNUMBER(Y183)),Y183,IF(Parameter!$B$20="Jahresanfang 2025 + Export",BO183+BN183,BN183)))</f>
        <v>122</v>
      </c>
      <c r="I183" s="50" t="n">
        <f aca="false">H183*G183</f>
        <v>1988.6</v>
      </c>
      <c r="J183" s="50" t="n">
        <f aca="false">BQ183*Parameter!$B$18</f>
        <v>280</v>
      </c>
      <c r="K183" s="51" t="n">
        <v>55.5</v>
      </c>
      <c r="L183" s="52" t="n">
        <v>5.04504504504505</v>
      </c>
      <c r="M183" s="50" t="n">
        <v>16</v>
      </c>
      <c r="N183" s="50" t="n">
        <v>100</v>
      </c>
      <c r="O183" s="53" t="n">
        <v>21</v>
      </c>
      <c r="P183" s="48" t="s">
        <v>306</v>
      </c>
      <c r="Q183" s="50" t="n">
        <v>112</v>
      </c>
      <c r="R183" s="53" t="n">
        <f aca="false">IF(BW183=1,0,IFERROR(VLOOKUP(BU183,'Gebinde-Kategorie'!$A$5:$N$45,13,0)+0,0))</f>
        <v>26</v>
      </c>
      <c r="S183" s="54"/>
      <c r="T183" s="55"/>
      <c r="U183" s="55"/>
      <c r="V183" s="55"/>
      <c r="W183" s="48"/>
      <c r="X183" s="50"/>
      <c r="Y183" s="50"/>
      <c r="Z183" s="48" t="n">
        <f aca="false">IF(A183="","",IF(AND(Parameter!$B$21="Ja",ISNUMBER(W183)),W183,IF(BZ183="2+3",IF(ISNUMBER(SEARCH("grosser Artikel",BR183)),2,IFERROR(VLOOKUP(BU183,Parameter!$F$35:$G$64,2,0),2)),IF(OR(BZ183="Nein",BZ183=""),"-",BZ183))))</f>
        <v>3</v>
      </c>
      <c r="AA183" s="55"/>
      <c r="AB183" s="56"/>
      <c r="AC183" s="50" t="n">
        <f aca="false">AT183</f>
        <v>224</v>
      </c>
      <c r="AD183" s="50" t="n">
        <f aca="false">MAX(AT183,H183)</f>
        <v>224</v>
      </c>
      <c r="AE183" s="57"/>
      <c r="AF183" s="50" t="n">
        <f aca="false">IF(LEFT(Cockpit!$C$5,1)="A",H183,IF(CE183=1,CF183,IF(LEFT(Cockpit!$C$5,1)="B",AK183,MAX(AK183,H183))))</f>
        <v>122</v>
      </c>
      <c r="AG183" s="50" t="n">
        <f aca="false">IF(BW183=1,0,ROUNDUP(AF183/BV183,0))</f>
        <v>2</v>
      </c>
      <c r="AH183" s="52" t="n">
        <f aca="false">IF(CL183&gt;0,CL183*MAX(1,AF183/X183),IF(BW183=1,IF(AF183&lt;=0,0,CA183*MAX(1,IF(H183&gt;0,AF183/H183,1))),IF(R183&gt;0,AG183/R183,0))/MAX(0.1,N(Parameter!$M$21)))</f>
        <v>0.0769230769230769</v>
      </c>
      <c r="AI183" s="50" t="n">
        <f aca="false">AH183*BY183</f>
        <v>11.9230769230769</v>
      </c>
      <c r="AJ183" s="50" t="n">
        <f aca="false">AF183*G183</f>
        <v>1988.6</v>
      </c>
      <c r="AK183" s="50" t="n">
        <f aca="false">ROUNDUP(MAX(J183/IF(CD183&gt;0,CD183,MAX(0.1,N(Cockpit!$C$6))),CG183)/BV183,0)*BV183</f>
        <v>224</v>
      </c>
      <c r="AL183" s="51" t="n">
        <f aca="false">IF(AI183&gt;0,J183/AI183,-1)</f>
        <v>23.4838709677419</v>
      </c>
      <c r="AM183" s="51" t="n">
        <f aca="false">IF(AND(OR(CC183="L1",CC183="L23",CC183="LIFT"),AI183&gt;0),SUMIFS($AI$7:$AI$1843,$CC$7:$CC$1843,CC183,$AL$7:$AL$1843,"&gt;"&amp;AL183)+SUMIFS($AI$7:$AI$1843,$CC$7:$CC$1843,CC183,$AL$7:$AL$1843,AL183,$BT$7:$BT$1843,"&lt;="&amp;BT183),"")</f>
        <v>1575.89652014652</v>
      </c>
      <c r="AN183" s="58" t="n">
        <f aca="false">IF(AM183="",0,MAX(0,MIN(1,(IF(CC183="L1",Parameter!$H$5,IF(CC183="L23",Parameter!$H$6+Parameter!$H$7,Parameter!$H$5+Parameter!$H$6+Parameter!$H$7))-(AM183-AI183))/AI183)))</f>
        <v>1</v>
      </c>
      <c r="AO183" s="50" t="n">
        <f aca="false">IF(LEFT(Cockpit!$I$5,1)="A",H183,IF(CE183=1,CF183,IF(LEFT(Cockpit!$I$5,1)="B",AT183,MAX(AT183,H183))))</f>
        <v>224</v>
      </c>
      <c r="AP183" s="50" t="n">
        <f aca="false">IF(BW183=1,0,ROUNDUP(AO183/BV183,0))</f>
        <v>2</v>
      </c>
      <c r="AQ183" s="52" t="n">
        <f aca="false">IF(CL183&gt;0,CL183*MAX(1,AO183/X183),IF(BW183=1,IF(AO183&lt;=0,0,CA183*MAX(1,IF(H183&gt;0,AO183/H183,1))),IF(R183&gt;0,AP183/R183,0))/MAX(0.1,N(Parameter!$M$21)))</f>
        <v>0.0769230769230769</v>
      </c>
      <c r="AR183" s="50" t="n">
        <f aca="false">AQ183*BY183</f>
        <v>11.9230769230769</v>
      </c>
      <c r="AS183" s="50" t="n">
        <f aca="false">AO183*G183</f>
        <v>3651.2</v>
      </c>
      <c r="AT183" s="50" t="n">
        <f aca="false">ROUNDUP(MAX(J183/IF(CD183&gt;0,CD183,MAX(0.1,N(Cockpit!$I$6))),CG183)/BV183,0)*BV183</f>
        <v>224</v>
      </c>
      <c r="AU183" s="51" t="n">
        <f aca="false">IF(AR183&gt;0,J183/AR183,-1)</f>
        <v>23.4838709677419</v>
      </c>
      <c r="AV183" s="51" t="n">
        <f aca="false">IF(AND(OR(CC183="L1",CC183="L23",CC183="LIFT"),AR183&gt;0),SUMIFS($AR$7:$AR$1843,$CC$7:$CC$1843,CC183,$AU$7:$AU$1843,"&gt;"&amp;AU183)+SUMIFS($AR$7:$AR$1843,$CC$7:$CC$1843,CC183,$AU$7:$AU$1843,AU183,$BT$7:$BT$1843,"&lt;="&amp;BT183),"")</f>
        <v>2213.55998168498</v>
      </c>
      <c r="AW183" s="58" t="n">
        <f aca="false">IF(AV183="",0,MAX(0,MIN(1,(IF(CC183="L1",Parameter!$H$5,IF(CC183="L23",Parameter!$H$6+Parameter!$H$7,Parameter!$H$5+Parameter!$H$6+Parameter!$H$7))-(AV183-AR183))/AR183)))</f>
        <v>1</v>
      </c>
      <c r="AX183" s="50" t="n">
        <f aca="false">IF(LEFT(Cockpit!$O$5,1)="A",H183,IF(CE183=1,CF183,IF(LEFT(Cockpit!$O$5,1)="B",BC183,MAX(BC183,H183))))</f>
        <v>224</v>
      </c>
      <c r="AY183" s="50" t="n">
        <f aca="false">IF(BW183=1,0,ROUNDUP(AX183/BV183,0))</f>
        <v>2</v>
      </c>
      <c r="AZ183" s="52" t="n">
        <f aca="false">IF(CL183&gt;0,CL183*MAX(1,AX183/X183),IF(BW183=1,IF(AX183&lt;=0,0,CA183*MAX(1,IF(H183&gt;0,AX183/H183,1))),IF(R183&gt;0,AY183/R183,0))/MAX(0.1,N(Parameter!$M$21)))</f>
        <v>0.0769230769230769</v>
      </c>
      <c r="BA183" s="50" t="n">
        <f aca="false">AZ183*BY183</f>
        <v>11.9230769230769</v>
      </c>
      <c r="BB183" s="50" t="n">
        <f aca="false">AX183*G183</f>
        <v>3651.2</v>
      </c>
      <c r="BC183" s="50" t="n">
        <f aca="false">ROUNDUP(MAX(J183/IF(CD183&gt;0,CD183,MAX(0.1,N(Cockpit!$O$6))),CG183)/BV183,0)*BV183</f>
        <v>224</v>
      </c>
      <c r="BD183" s="51" t="n">
        <f aca="false">IF(BA183&gt;0,J183/BA183,-1)</f>
        <v>23.4838709677419</v>
      </c>
      <c r="BE183" s="51" t="n">
        <f aca="false">IF(AND(OR(CC183="L1",CC183="L23",CC183="LIFT"),BA183&gt;0),SUMIFS($BA$7:$BA$1843,$CC$7:$CC$1843,CC183,$BD$7:$BD$1843,"&gt;"&amp;BD183)+SUMIFS($BA$7:$BA$1843,$CC$7:$CC$1843,CC183,$BD$7:$BD$1843,BD183,$BT$7:$BT$1843,"&lt;="&amp;BT183),"")</f>
        <v>2308.57600732601</v>
      </c>
      <c r="BF183" s="58" t="n">
        <f aca="false">IF(BE183="",0,MAX(0,MIN(1,(IF(CC183="L1",Parameter!$H$5,IF(CC183="L23",Parameter!$H$6+Parameter!$H$7,Parameter!$H$5+Parameter!$H$6+Parameter!$H$7))-(BE183-BA183))/BA183)))</f>
        <v>1</v>
      </c>
      <c r="BG183" s="48" t="str">
        <f aca="false">IF(AI183&lt;=0,"",IF(CC183="Aussen","Aussenlager",IF(CC183="-","Nicht im Lift",IF(AN183&gt;=1,"Lift",IF(AN183&lt;=0,"Aussenlager","teilweise")))))</f>
        <v>Lift</v>
      </c>
      <c r="BH183" s="48" t="str">
        <f aca="false">IF(AR183&lt;=0,"",IF(CC183="Aussen","Aussenlager",IF(CC183="-","Nicht im Lift",IF(AW183&gt;=1,"Lift",IF(AW183&lt;=0,"Aussenlager","teilweise")))))</f>
        <v>Lift</v>
      </c>
      <c r="BI183" s="48" t="str">
        <f aca="false">IF(BA183&lt;=0,"",IF(CC183="Aussen","Aussenlager",IF(CC183="-","Nicht im Lift",IF(BF183&gt;=1,"Lift",IF(BF183&lt;=0,"Aussenlager","teilweise")))))</f>
        <v>Lift</v>
      </c>
      <c r="BJ183" s="48" t="str">
        <f aca="false">IF(A183="","",IF(BS183=1,"Neu; ","")&amp;IF(AND(BS183=0,BN183&lt;0),"negativer Bestand (Export "&amp;BN183&amp;"); ","")&amp;IF(J183&lt;=0,"Kein Verbrauch; ","")&amp;IF(CL183&gt;0,"Lift "&amp;W183&amp;" lt. Liftbericht (Fach "&amp;X183&amp;" Stk); ",IF(BX183=1,"Gebinde geschätzt ("&amp;T183&amp;"); ",IF(BW183=1,"Lose – Tablare geschätzt; ","")))&amp;IF(H183&gt;AT183,"Überbestand "&amp;ROUND(H183-AT183,0)&amp;" Stk / CHF "&amp;ROUND((H183-AT183)*G183,0)&amp;"; ","")&amp;IF(AND(CE183=1,CF183&lt;CG183),"MAX &lt; MB+LG; ","")&amp;IF(AND(CK183&gt;0,CJ183*10&gt;CK183),"zu hoch für Tablar; ","")&amp;IF(AND(BS183=0,OR(CE183=1,AA183&lt;&gt;"",U183&lt;&gt;"",V183&lt;&gt;"",AB183&lt;&gt;"")),"manuell übersteuert; ","")&amp;IF(AND(BW183=0,R183=0),"Gebinde unbekannt / Stellmass fehlt; ","")&amp;IF(AND(BW183=0,N(V183)&lt;=0,N(Q183)&lt;=0),"Menge pro Gebinde fehlt (Ist = 1 Gebinde); ","")&amp;BR183)</f>
        <v/>
      </c>
      <c r="BK183" s="48"/>
      <c r="BL183" s="48"/>
      <c r="BM183" s="55"/>
      <c r="BN183" s="50" t="n">
        <v>77</v>
      </c>
      <c r="BO183" s="50" t="n">
        <v>45</v>
      </c>
      <c r="BP183" s="49" t="n">
        <v>995.94</v>
      </c>
      <c r="BQ183" s="50" t="n">
        <v>280</v>
      </c>
      <c r="BR183" s="48"/>
      <c r="BS183" s="53" t="n">
        <v>0</v>
      </c>
      <c r="BT183" s="53" t="n">
        <v>183</v>
      </c>
      <c r="BU183" s="48" t="str">
        <f aca="false">IF(U183&lt;&gt;"",UPPER(TRIM(U183)),IF(BX183=1,UPPER(VLOOKUP(T183,Parameter!$I$27:$K$29,2,0)),IF(P183="","LOSE",P183)))</f>
        <v>S51</v>
      </c>
      <c r="BV183" s="50" t="n">
        <f aca="false">IF(BU183="LOSE",1,IF(N(V183)&gt;0,V183,IF(BX183=1,MAX(1,N(VLOOKUP(T183,Parameter!$I$27:$K$29,3,0)),H183,N(N183)),IF(N(Q183)&gt;0,Q183,MAX(1,H183)))))</f>
        <v>112</v>
      </c>
      <c r="BW183" s="53" t="n">
        <f aca="false">IF(BU183="LOSE",1,0)</f>
        <v>0</v>
      </c>
      <c r="BX183" s="53" t="n">
        <f aca="false">IF(AND(U183="",OR(P183="",P183="LOSE"),T183&lt;&gt;"",N(S183)&lt;=0,ISNUMBER(MATCH(T183,Parameter!$I$27:$I$29,0))),1,0)</f>
        <v>0</v>
      </c>
      <c r="BY183" s="53" t="n">
        <f aca="false">IF(CL183&gt;0,INDEX(Parameter!$H$5:$H$7,W183)/INDEX(Parameter!$E$5:$E$7,W183),IF(AND(BW183=0,N(IFERROR(VLOOKUP(BU183,'Gebinde-Kategorie'!$A$5:$N$45,14,0),0))&gt;0),VLOOKUP(BU183,'Gebinde-Kategorie'!$A$5:$N$45,14,0)*10+Parameter!$M$23,Parameter!$M$24))</f>
        <v>155</v>
      </c>
      <c r="BZ183" s="48" t="str">
        <f aca="false">IF(AND(Parameter!$B$19="Ja",E183&lt;&gt;"",ISNUMBER(MATCH(E183,Parameter!$I$35:$I$52,0))),VLOOKUP(E183,Parameter!$I$35:$J$52,2,0),IFERROR(VLOOKUP(D183,Parameter!$A$35:$C$64,2,0),"Nein"))</f>
        <v>2+3</v>
      </c>
      <c r="CA183" s="52" t="n">
        <f aca="false">IF(BW183=0,0,IF(N(S183)&gt;0,S183,IFERROR(VLOOKUP(D183,Parameter!$A$35:$C$64,3,0)+0,0)))</f>
        <v>0</v>
      </c>
      <c r="CB183" s="48" t="n">
        <f aca="false">IF(AA183&lt;&gt;"",AA183,Z183)</f>
        <v>3</v>
      </c>
      <c r="CC183" s="48" t="str">
        <f aca="false">IF(OR(CB183=1,CB183=2,CB183=3),IF(Parameter!$E$27="Ja","LIFT",IF(CB183=1,"L1","L23")),IF(CB183="Aussen","Aussen","-"))</f>
        <v>LIFT</v>
      </c>
      <c r="CD183" s="59" t="n">
        <f aca="false">IF(N(AB183)&gt;0,AB183,0)</f>
        <v>0</v>
      </c>
      <c r="CE183" s="53" t="n">
        <f aca="false">IF(ISNUMBER(AE183),1,0)</f>
        <v>0</v>
      </c>
      <c r="CF183" s="50" t="n">
        <f aca="false">N(AE183)</f>
        <v>0</v>
      </c>
      <c r="CG183" s="50" t="n">
        <f aca="false">N(M183)+N(N183)</f>
        <v>116</v>
      </c>
      <c r="CH183" s="50" t="n">
        <f aca="false">ROUNDUP(H183/BV183,0)</f>
        <v>2</v>
      </c>
      <c r="CI183" s="50" t="n">
        <f aca="false">ROUNDUP(CF183/BV183,0)</f>
        <v>0</v>
      </c>
      <c r="CJ183" s="53" t="n">
        <f aca="false">IF(BW183=1,0,IFERROR(VLOOKUP(BU183,'Gebinde-Kategorie'!$A$5:$N$45,5,0)+0,0))</f>
        <v>11</v>
      </c>
      <c r="CK183" s="53" t="n">
        <f aca="false">IFERROR(IF(OR(CB183=1,CB183=2,CB183=3),N(INDEX(Parameter!$I$5:$I$7,CB183)),0),0)</f>
        <v>0</v>
      </c>
      <c r="CL183" s="52" t="n">
        <f aca="false">IF(AND(Parameter!$B$21="Ja",ISNUMBER(W183),N(X183)&gt;0),IFERROR(N(INDEX(Parameter!$L$5:$L$7,W183))*INDEX(Parameter!$E$5:$E$7,W183)*X183/SUMIFS($X$7:$X$1843,$W$7:$W$1843,W183),0),0)</f>
        <v>0</v>
      </c>
    </row>
    <row r="184" customFormat="false" ht="15" hidden="false" customHeight="false" outlineLevel="0" collapsed="false">
      <c r="A184" s="48" t="s">
        <v>576</v>
      </c>
      <c r="B184" s="48" t="s">
        <v>577</v>
      </c>
      <c r="C184" s="48" t="s">
        <v>168</v>
      </c>
      <c r="D184" s="48" t="s">
        <v>177</v>
      </c>
      <c r="E184" s="48" t="s">
        <v>189</v>
      </c>
      <c r="F184" s="48" t="s">
        <v>222</v>
      </c>
      <c r="G184" s="49" t="n">
        <v>159.24</v>
      </c>
      <c r="H184" s="50" t="n">
        <f aca="false">MAX(0,IF(AND(Parameter!$B$21="Ja",ISNUMBER(Y184)),Y184,IF(Parameter!$B$20="Jahresanfang 2025 + Export",BO184+BN184,BN184)))</f>
        <v>8</v>
      </c>
      <c r="I184" s="50" t="n">
        <f aca="false">H184*G184</f>
        <v>1273.92</v>
      </c>
      <c r="J184" s="50" t="n">
        <f aca="false">BQ184*Parameter!$B$18</f>
        <v>0</v>
      </c>
      <c r="K184" s="51" t="n">
        <v>6.5</v>
      </c>
      <c r="L184" s="52" t="n">
        <v>0</v>
      </c>
      <c r="M184" s="50" t="n">
        <v>0</v>
      </c>
      <c r="N184" s="50" t="n">
        <v>1</v>
      </c>
      <c r="O184" s="53" t="n">
        <v>70</v>
      </c>
      <c r="P184" s="48" t="s">
        <v>297</v>
      </c>
      <c r="Q184" s="50" t="n">
        <v>12</v>
      </c>
      <c r="R184" s="53" t="n">
        <f aca="false">IF(BW184=1,0,IFERROR(VLOOKUP(BU184,'Gebinde-Kategorie'!$A$5:$N$45,13,0)+0,0))</f>
        <v>12</v>
      </c>
      <c r="S184" s="54"/>
      <c r="T184" s="55"/>
      <c r="U184" s="55"/>
      <c r="V184" s="55"/>
      <c r="W184" s="48"/>
      <c r="X184" s="50"/>
      <c r="Y184" s="50"/>
      <c r="Z184" s="48" t="n">
        <f aca="false">IF(A184="","",IF(AND(Parameter!$B$21="Ja",ISNUMBER(W184)),W184,IF(BZ184="2+3",IF(ISNUMBER(SEARCH("grosser Artikel",BR184)),2,IFERROR(VLOOKUP(BU184,Parameter!$F$35:$G$64,2,0),2)),IF(OR(BZ184="Nein",BZ184=""),"-",BZ184))))</f>
        <v>2</v>
      </c>
      <c r="AA184" s="55"/>
      <c r="AB184" s="56"/>
      <c r="AC184" s="50" t="n">
        <f aca="false">AT184</f>
        <v>12</v>
      </c>
      <c r="AD184" s="50" t="n">
        <f aca="false">MAX(AT184,H184)</f>
        <v>12</v>
      </c>
      <c r="AE184" s="57"/>
      <c r="AF184" s="50" t="n">
        <f aca="false">IF(LEFT(Cockpit!$C$5,1)="A",H184,IF(CE184=1,CF184,IF(LEFT(Cockpit!$C$5,1)="B",AK184,MAX(AK184,H184))))</f>
        <v>8</v>
      </c>
      <c r="AG184" s="50" t="n">
        <f aca="false">IF(BW184=1,0,ROUNDUP(AF184/BV184,0))</f>
        <v>1</v>
      </c>
      <c r="AH184" s="52" t="n">
        <f aca="false">IF(CL184&gt;0,CL184*MAX(1,AF184/X184),IF(BW184=1,IF(AF184&lt;=0,0,CA184*MAX(1,IF(H184&gt;0,AF184/H184,1))),IF(R184&gt;0,AG184/R184,0))/MAX(0.1,N(Parameter!$M$21)))</f>
        <v>0.0833333333333333</v>
      </c>
      <c r="AI184" s="50" t="n">
        <f aca="false">AH184*BY184</f>
        <v>20.4166666666667</v>
      </c>
      <c r="AJ184" s="50" t="n">
        <f aca="false">AF184*G184</f>
        <v>1273.92</v>
      </c>
      <c r="AK184" s="50" t="n">
        <f aca="false">ROUNDUP(MAX(J184/IF(CD184&gt;0,CD184,MAX(0.1,N(Cockpit!$C$6))),CG184)/BV184,0)*BV184</f>
        <v>12</v>
      </c>
      <c r="AL184" s="51" t="n">
        <f aca="false">IF(AI184&gt;0,J184/AI184,-1)</f>
        <v>0</v>
      </c>
      <c r="AM184" s="51" t="n">
        <f aca="false">IF(AND(OR(CC184="L1",CC184="L23",CC184="LIFT"),AI184&gt;0),SUMIFS($AI$7:$AI$1843,$CC$7:$CC$1843,CC184,$AL$7:$AL$1843,"&gt;"&amp;AL184)+SUMIFS($AI$7:$AI$1843,$CC$7:$CC$1843,CC184,$AL$7:$AL$1843,AL184,$BT$7:$BT$1843,"&lt;="&amp;BT184),"")</f>
        <v>27518.4562121024</v>
      </c>
      <c r="AN184" s="58" t="n">
        <f aca="false">IF(AM184="",0,MAX(0,MIN(1,(IF(CC184="L1",Parameter!$H$5,IF(CC184="L23",Parameter!$H$6+Parameter!$H$7,Parameter!$H$5+Parameter!$H$6+Parameter!$H$7))-(AM184-AI184))/AI184)))</f>
        <v>1</v>
      </c>
      <c r="AO184" s="50" t="n">
        <f aca="false">IF(LEFT(Cockpit!$I$5,1)="A",H184,IF(CE184=1,CF184,IF(LEFT(Cockpit!$I$5,1)="B",AT184,MAX(AT184,H184))))</f>
        <v>12</v>
      </c>
      <c r="AP184" s="50" t="n">
        <f aca="false">IF(BW184=1,0,ROUNDUP(AO184/BV184,0))</f>
        <v>1</v>
      </c>
      <c r="AQ184" s="52" t="n">
        <f aca="false">IF(CL184&gt;0,CL184*MAX(1,AO184/X184),IF(BW184=1,IF(AO184&lt;=0,0,CA184*MAX(1,IF(H184&gt;0,AO184/H184,1))),IF(R184&gt;0,AP184/R184,0))/MAX(0.1,N(Parameter!$M$21)))</f>
        <v>0.0833333333333333</v>
      </c>
      <c r="AR184" s="50" t="n">
        <f aca="false">AQ184*BY184</f>
        <v>20.4166666666667</v>
      </c>
      <c r="AS184" s="50" t="n">
        <f aca="false">AO184*G184</f>
        <v>1910.88</v>
      </c>
      <c r="AT184" s="50" t="n">
        <f aca="false">ROUNDUP(MAX(J184/IF(CD184&gt;0,CD184,MAX(0.1,N(Cockpit!$I$6))),CG184)/BV184,0)*BV184</f>
        <v>12</v>
      </c>
      <c r="AU184" s="51" t="n">
        <f aca="false">IF(AR184&gt;0,J184/AR184,-1)</f>
        <v>0</v>
      </c>
      <c r="AV184" s="51" t="n">
        <f aca="false">IF(AND(OR(CC184="L1",CC184="L23",CC184="LIFT"),AR184&gt;0),SUMIFS($AR$7:$AR$1843,$CC$7:$CC$1843,CC184,$AU$7:$AU$1843,"&gt;"&amp;AU184)+SUMIFS($AR$7:$AR$1843,$CC$7:$CC$1843,CC184,$AU$7:$AU$1843,AU184,$BT$7:$BT$1843,"&lt;="&amp;BT184),"")</f>
        <v>38831.3617293723</v>
      </c>
      <c r="AW184" s="58" t="n">
        <f aca="false">IF(AV184="",0,MAX(0,MIN(1,(IF(CC184="L1",Parameter!$H$5,IF(CC184="L23",Parameter!$H$6+Parameter!$H$7,Parameter!$H$5+Parameter!$H$6+Parameter!$H$7))-(AV184-AR184))/AR184)))</f>
        <v>0</v>
      </c>
      <c r="AX184" s="50" t="n">
        <f aca="false">IF(LEFT(Cockpit!$O$5,1)="A",H184,IF(CE184=1,CF184,IF(LEFT(Cockpit!$O$5,1)="B",BC184,MAX(BC184,H184))))</f>
        <v>12</v>
      </c>
      <c r="AY184" s="50" t="n">
        <f aca="false">IF(BW184=1,0,ROUNDUP(AX184/BV184,0))</f>
        <v>1</v>
      </c>
      <c r="AZ184" s="52" t="n">
        <f aca="false">IF(CL184&gt;0,CL184*MAX(1,AX184/X184),IF(BW184=1,IF(AX184&lt;=0,0,CA184*MAX(1,IF(H184&gt;0,AX184/H184,1))),IF(R184&gt;0,AY184/R184,0))/MAX(0.1,N(Parameter!$M$21)))</f>
        <v>0.0833333333333333</v>
      </c>
      <c r="BA184" s="50" t="n">
        <f aca="false">AZ184*BY184</f>
        <v>20.4166666666667</v>
      </c>
      <c r="BB184" s="50" t="n">
        <f aca="false">AX184*G184</f>
        <v>1910.88</v>
      </c>
      <c r="BC184" s="50" t="n">
        <f aca="false">ROUNDUP(MAX(J184/IF(CD184&gt;0,CD184,MAX(0.1,N(Cockpit!$O$6))),CG184)/BV184,0)*BV184</f>
        <v>12</v>
      </c>
      <c r="BD184" s="51" t="n">
        <f aca="false">IF(BA184&gt;0,J184/BA184,-1)</f>
        <v>0</v>
      </c>
      <c r="BE184" s="51" t="n">
        <f aca="false">IF(AND(OR(CC184="L1",CC184="L23",CC184="LIFT"),BA184&gt;0),SUMIFS($BA$7:$BA$1843,$CC$7:$CC$1843,CC184,$BD$7:$BD$1843,"&gt;"&amp;BD184)+SUMIFS($BA$7:$BA$1843,$CC$7:$CC$1843,CC184,$BD$7:$BD$1843,BD184,$BT$7:$BT$1843,"&lt;="&amp;BT184),"")</f>
        <v>35506.3737712382</v>
      </c>
      <c r="BF184" s="58" t="n">
        <f aca="false">IF(BE184="",0,MAX(0,MIN(1,(IF(CC184="L1",Parameter!$H$5,IF(CC184="L23",Parameter!$H$6+Parameter!$H$7,Parameter!$H$5+Parameter!$H$6+Parameter!$H$7))-(BE184-BA184))/BA184)))</f>
        <v>1</v>
      </c>
      <c r="BG184" s="48" t="str">
        <f aca="false">IF(AI184&lt;=0,"",IF(CC184="Aussen","Aussenlager",IF(CC184="-","Nicht im Lift",IF(AN184&gt;=1,"Lift",IF(AN184&lt;=0,"Aussenlager","teilweise")))))</f>
        <v>Lift</v>
      </c>
      <c r="BH184" s="48" t="str">
        <f aca="false">IF(AR184&lt;=0,"",IF(CC184="Aussen","Aussenlager",IF(CC184="-","Nicht im Lift",IF(AW184&gt;=1,"Lift",IF(AW184&lt;=0,"Aussenlager","teilweise")))))</f>
        <v>Aussenlager</v>
      </c>
      <c r="BI184" s="48" t="str">
        <f aca="false">IF(BA184&lt;=0,"",IF(CC184="Aussen","Aussenlager",IF(CC184="-","Nicht im Lift",IF(BF184&gt;=1,"Lift",IF(BF184&lt;=0,"Aussenlager","teilweise")))))</f>
        <v>Lift</v>
      </c>
      <c r="BJ184" s="48" t="str">
        <f aca="false">IF(A184="","",IF(BS184=1,"Neu; ","")&amp;IF(AND(BS184=0,BN184&lt;0),"negativer Bestand (Export "&amp;BN184&amp;"); ","")&amp;IF(J184&lt;=0,"Kein Verbrauch; ","")&amp;IF(CL184&gt;0,"Lift "&amp;W184&amp;" lt. Liftbericht (Fach "&amp;X184&amp;" Stk); ",IF(BX184=1,"Gebinde geschätzt ("&amp;T184&amp;"); ",IF(BW184=1,"Lose – Tablare geschätzt; ","")))&amp;IF(H184&gt;AT184,"Überbestand "&amp;ROUND(H184-AT184,0)&amp;" Stk / CHF "&amp;ROUND((H184-AT184)*G184,0)&amp;"; ","")&amp;IF(AND(CE184=1,CF184&lt;CG184),"MAX &lt; MB+LG; ","")&amp;IF(AND(CK184&gt;0,CJ184*10&gt;CK184),"zu hoch für Tablar; ","")&amp;IF(AND(BS184=0,OR(CE184=1,AA184&lt;&gt;"",U184&lt;&gt;"",V184&lt;&gt;"",AB184&lt;&gt;"")),"manuell übersteuert; ","")&amp;IF(AND(BW184=0,R184=0),"Gebinde unbekannt / Stellmass fehlt; ","")&amp;IF(AND(BW184=0,N(V184)&lt;=0,N(Q184)&lt;=0),"Menge pro Gebinde fehlt (Ist = 1 Gebinde); ","")&amp;BR184)</f>
        <v>Kein Verbrauch; Überbestand</v>
      </c>
      <c r="BK184" s="48"/>
      <c r="BL184" s="48"/>
      <c r="BM184" s="55"/>
      <c r="BN184" s="50" t="n">
        <v>6</v>
      </c>
      <c r="BO184" s="50" t="n">
        <v>2</v>
      </c>
      <c r="BP184" s="49" t="n">
        <v>964.86</v>
      </c>
      <c r="BQ184" s="50" t="n">
        <v>0</v>
      </c>
      <c r="BR184" s="48" t="s">
        <v>396</v>
      </c>
      <c r="BS184" s="53" t="n">
        <v>0</v>
      </c>
      <c r="BT184" s="53" t="n">
        <v>184</v>
      </c>
      <c r="BU184" s="48" t="str">
        <f aca="false">IF(U184&lt;&gt;"",UPPER(TRIM(U184)),IF(BX184=1,UPPER(VLOOKUP(T184,Parameter!$I$27:$K$29,2,0)),IF(P184="","LOSE",P184)))</f>
        <v>S62</v>
      </c>
      <c r="BV184" s="50" t="n">
        <f aca="false">IF(BU184="LOSE",1,IF(N(V184)&gt;0,V184,IF(BX184=1,MAX(1,N(VLOOKUP(T184,Parameter!$I$27:$K$29,3,0)),H184,N(N184)),IF(N(Q184)&gt;0,Q184,MAX(1,H184)))))</f>
        <v>12</v>
      </c>
      <c r="BW184" s="53" t="n">
        <f aca="false">IF(BU184="LOSE",1,0)</f>
        <v>0</v>
      </c>
      <c r="BX184" s="53" t="n">
        <f aca="false">IF(AND(U184="",OR(P184="",P184="LOSE"),T184&lt;&gt;"",N(S184)&lt;=0,ISNUMBER(MATCH(T184,Parameter!$I$27:$I$29,0))),1,0)</f>
        <v>0</v>
      </c>
      <c r="BY184" s="53" t="n">
        <f aca="false">IF(CL184&gt;0,INDEX(Parameter!$H$5:$H$7,W184)/INDEX(Parameter!$E$5:$E$7,W184),IF(AND(BW184=0,N(IFERROR(VLOOKUP(BU184,'Gebinde-Kategorie'!$A$5:$N$45,14,0),0))&gt;0),VLOOKUP(BU184,'Gebinde-Kategorie'!$A$5:$N$45,14,0)*10+Parameter!$M$23,Parameter!$M$24))</f>
        <v>245</v>
      </c>
      <c r="BZ184" s="48" t="str">
        <f aca="false">IF(AND(Parameter!$B$19="Ja",E184&lt;&gt;"",ISNUMBER(MATCH(E184,Parameter!$I$35:$I$52,0))),VLOOKUP(E184,Parameter!$I$35:$J$52,2,0),IFERROR(VLOOKUP(D184,Parameter!$A$35:$C$64,2,0),"Nein"))</f>
        <v>2+3</v>
      </c>
      <c r="CA184" s="52" t="n">
        <f aca="false">IF(BW184=0,0,IF(N(S184)&gt;0,S184,IFERROR(VLOOKUP(D184,Parameter!$A$35:$C$64,3,0)+0,0)))</f>
        <v>0</v>
      </c>
      <c r="CB184" s="48" t="n">
        <f aca="false">IF(AA184&lt;&gt;"",AA184,Z184)</f>
        <v>2</v>
      </c>
      <c r="CC184" s="48" t="str">
        <f aca="false">IF(OR(CB184=1,CB184=2,CB184=3),IF(Parameter!$E$27="Ja","LIFT",IF(CB184=1,"L1","L23")),IF(CB184="Aussen","Aussen","-"))</f>
        <v>LIFT</v>
      </c>
      <c r="CD184" s="59" t="n">
        <f aca="false">IF(N(AB184)&gt;0,AB184,0)</f>
        <v>0</v>
      </c>
      <c r="CE184" s="53" t="n">
        <f aca="false">IF(ISNUMBER(AE184),1,0)</f>
        <v>0</v>
      </c>
      <c r="CF184" s="50" t="n">
        <f aca="false">N(AE184)</f>
        <v>0</v>
      </c>
      <c r="CG184" s="50" t="n">
        <f aca="false">N(M184)+N(N184)</f>
        <v>1</v>
      </c>
      <c r="CH184" s="50" t="n">
        <f aca="false">ROUNDUP(H184/BV184,0)</f>
        <v>1</v>
      </c>
      <c r="CI184" s="50" t="n">
        <f aca="false">ROUNDUP(CF184/BV184,0)</f>
        <v>0</v>
      </c>
      <c r="CJ184" s="53" t="n">
        <f aca="false">IF(BW184=1,0,IFERROR(VLOOKUP(BU184,'Gebinde-Kategorie'!$A$5:$N$45,5,0)+0,0))</f>
        <v>21</v>
      </c>
      <c r="CK184" s="53" t="n">
        <f aca="false">IFERROR(IF(OR(CB184=1,CB184=2,CB184=3),N(INDEX(Parameter!$I$5:$I$7,CB184)),0),0)</f>
        <v>0</v>
      </c>
      <c r="CL184" s="52" t="n">
        <f aca="false">IF(AND(Parameter!$B$21="Ja",ISNUMBER(W184),N(X184)&gt;0),IFERROR(N(INDEX(Parameter!$L$5:$L$7,W184))*INDEX(Parameter!$E$5:$E$7,W184)*X184/SUMIFS($X$7:$X$1843,$W$7:$W$1843,W184),0),0)</f>
        <v>0</v>
      </c>
    </row>
    <row r="185" customFormat="false" ht="15" hidden="false" customHeight="false" outlineLevel="0" collapsed="false">
      <c r="A185" s="48" t="s">
        <v>578</v>
      </c>
      <c r="B185" s="48" t="s">
        <v>343</v>
      </c>
      <c r="C185" s="48" t="s">
        <v>168</v>
      </c>
      <c r="D185" s="48" t="s">
        <v>177</v>
      </c>
      <c r="E185" s="48"/>
      <c r="F185" s="48" t="s">
        <v>222</v>
      </c>
      <c r="G185" s="49" t="n">
        <v>388.14</v>
      </c>
      <c r="H185" s="50" t="n">
        <f aca="false">MAX(0,IF(AND(Parameter!$B$21="Ja",ISNUMBER(Y185)),Y185,IF(Parameter!$B$20="Jahresanfang 2025 + Export",BO185+BN185,BN185)))</f>
        <v>5</v>
      </c>
      <c r="I185" s="50" t="n">
        <f aca="false">H185*G185</f>
        <v>1940.7</v>
      </c>
      <c r="J185" s="50" t="n">
        <f aca="false">BQ185*Parameter!$B$18</f>
        <v>2</v>
      </c>
      <c r="K185" s="51" t="n">
        <v>3.5</v>
      </c>
      <c r="L185" s="52" t="n">
        <v>0.571428571428571</v>
      </c>
      <c r="M185" s="50" t="n">
        <v>0</v>
      </c>
      <c r="N185" s="50" t="n">
        <v>1</v>
      </c>
      <c r="O185" s="53" t="n">
        <v>28</v>
      </c>
      <c r="P185" s="48" t="s">
        <v>178</v>
      </c>
      <c r="Q185" s="50" t="n">
        <v>5</v>
      </c>
      <c r="R185" s="53" t="n">
        <f aca="false">IF(BW185=1,0,IFERROR(VLOOKUP(BU185,'Gebinde-Kategorie'!$A$5:$N$45,13,0)+0,0))</f>
        <v>6</v>
      </c>
      <c r="S185" s="54"/>
      <c r="T185" s="55"/>
      <c r="U185" s="55"/>
      <c r="V185" s="55"/>
      <c r="W185" s="48"/>
      <c r="X185" s="50"/>
      <c r="Y185" s="50"/>
      <c r="Z185" s="48" t="n">
        <f aca="false">IF(A185="","",IF(AND(Parameter!$B$21="Ja",ISNUMBER(W185)),W185,IF(BZ185="2+3",IF(ISNUMBER(SEARCH("grosser Artikel",BR185)),2,IFERROR(VLOOKUP(BU185,Parameter!$F$35:$G$64,2,0),2)),IF(OR(BZ185="Nein",BZ185=""),"-",BZ185))))</f>
        <v>2</v>
      </c>
      <c r="AA185" s="55"/>
      <c r="AB185" s="56"/>
      <c r="AC185" s="50" t="n">
        <f aca="false">AT185</f>
        <v>5</v>
      </c>
      <c r="AD185" s="50" t="n">
        <f aca="false">MAX(AT185,H185)</f>
        <v>5</v>
      </c>
      <c r="AE185" s="57"/>
      <c r="AF185" s="50" t="n">
        <f aca="false">IF(LEFT(Cockpit!$C$5,1)="A",H185,IF(CE185=1,CF185,IF(LEFT(Cockpit!$C$5,1)="B",AK185,MAX(AK185,H185))))</f>
        <v>5</v>
      </c>
      <c r="AG185" s="50" t="n">
        <f aca="false">IF(BW185=1,0,ROUNDUP(AF185/BV185,0))</f>
        <v>1</v>
      </c>
      <c r="AH185" s="52" t="n">
        <f aca="false">IF(CL185&gt;0,CL185*MAX(1,AF185/X185),IF(BW185=1,IF(AF185&lt;=0,0,CA185*MAX(1,IF(H185&gt;0,AF185/H185,1))),IF(R185&gt;0,AG185/R185,0))/MAX(0.1,N(Parameter!$M$21)))</f>
        <v>0.166666666666667</v>
      </c>
      <c r="AI185" s="50" t="n">
        <f aca="false">AH185*BY185</f>
        <v>39.1666666666667</v>
      </c>
      <c r="AJ185" s="50" t="n">
        <f aca="false">AF185*G185</f>
        <v>1940.7</v>
      </c>
      <c r="AK185" s="50" t="n">
        <f aca="false">ROUNDUP(MAX(J185/IF(CD185&gt;0,CD185,MAX(0.1,N(Cockpit!$C$6))),CG185)/BV185,0)*BV185</f>
        <v>5</v>
      </c>
      <c r="AL185" s="51" t="n">
        <f aca="false">IF(AI185&gt;0,J185/AI185,-1)</f>
        <v>0.0510638297872341</v>
      </c>
      <c r="AM185" s="51" t="n">
        <f aca="false">IF(AND(OR(CC185="L1",CC185="L23",CC185="LIFT"),AI185&gt;0),SUMIFS($AI$7:$AI$1843,$CC$7:$CC$1843,CC185,$AL$7:$AL$1843,"&gt;"&amp;AL185)+SUMIFS($AI$7:$AI$1843,$CC$7:$CC$1843,CC185,$AL$7:$AL$1843,AL185,$BT$7:$BT$1843,"&lt;="&amp;BT185),"")</f>
        <v>19180.7291213965</v>
      </c>
      <c r="AN185" s="58" t="n">
        <f aca="false">IF(AM185="",0,MAX(0,MIN(1,(IF(CC185="L1",Parameter!$H$5,IF(CC185="L23",Parameter!$H$6+Parameter!$H$7,Parameter!$H$5+Parameter!$H$6+Parameter!$H$7))-(AM185-AI185))/AI185)))</f>
        <v>1</v>
      </c>
      <c r="AO185" s="50" t="n">
        <f aca="false">IF(LEFT(Cockpit!$I$5,1)="A",H185,IF(CE185=1,CF185,IF(LEFT(Cockpit!$I$5,1)="B",AT185,MAX(AT185,H185))))</f>
        <v>5</v>
      </c>
      <c r="AP185" s="50" t="n">
        <f aca="false">IF(BW185=1,0,ROUNDUP(AO185/BV185,0))</f>
        <v>1</v>
      </c>
      <c r="AQ185" s="52" t="n">
        <f aca="false">IF(CL185&gt;0,CL185*MAX(1,AO185/X185),IF(BW185=1,IF(AO185&lt;=0,0,CA185*MAX(1,IF(H185&gt;0,AO185/H185,1))),IF(R185&gt;0,AP185/R185,0))/MAX(0.1,N(Parameter!$M$21)))</f>
        <v>0.166666666666667</v>
      </c>
      <c r="AR185" s="50" t="n">
        <f aca="false">AQ185*BY185</f>
        <v>39.1666666666667</v>
      </c>
      <c r="AS185" s="50" t="n">
        <f aca="false">AO185*G185</f>
        <v>1940.7</v>
      </c>
      <c r="AT185" s="50" t="n">
        <f aca="false">ROUNDUP(MAX(J185/IF(CD185&gt;0,CD185,MAX(0.1,N(Cockpit!$I$6))),CG185)/BV185,0)*BV185</f>
        <v>5</v>
      </c>
      <c r="AU185" s="51" t="n">
        <f aca="false">IF(AR185&gt;0,J185/AR185,-1)</f>
        <v>0.0510638297872341</v>
      </c>
      <c r="AV185" s="51" t="n">
        <f aca="false">IF(AND(OR(CC185="L1",CC185="L23",CC185="LIFT"),AR185&gt;0),SUMIFS($AR$7:$AR$1843,$CC$7:$CC$1843,CC185,$AU$7:$AU$1843,"&gt;"&amp;AU185)+SUMIFS($AR$7:$AR$1843,$CC$7:$CC$1843,CC185,$AU$7:$AU$1843,AU185,$BT$7:$BT$1843,"&lt;="&amp;BT185),"")</f>
        <v>30074.2867102295</v>
      </c>
      <c r="AW185" s="58" t="n">
        <f aca="false">IF(AV185="",0,MAX(0,MIN(1,(IF(CC185="L1",Parameter!$H$5,IF(CC185="L23",Parameter!$H$6+Parameter!$H$7,Parameter!$H$5+Parameter!$H$6+Parameter!$H$7))-(AV185-AR185))/AR185)))</f>
        <v>1</v>
      </c>
      <c r="AX185" s="50" t="n">
        <f aca="false">IF(LEFT(Cockpit!$O$5,1)="A",H185,IF(CE185=1,CF185,IF(LEFT(Cockpit!$O$5,1)="B",BC185,MAX(BC185,H185))))</f>
        <v>5</v>
      </c>
      <c r="AY185" s="50" t="n">
        <f aca="false">IF(BW185=1,0,ROUNDUP(AX185/BV185,0))</f>
        <v>1</v>
      </c>
      <c r="AZ185" s="52" t="n">
        <f aca="false">IF(CL185&gt;0,CL185*MAX(1,AX185/X185),IF(BW185=1,IF(AX185&lt;=0,0,CA185*MAX(1,IF(H185&gt;0,AX185/H185,1))),IF(R185&gt;0,AY185/R185,0))/MAX(0.1,N(Parameter!$M$21)))</f>
        <v>0.166666666666667</v>
      </c>
      <c r="BA185" s="50" t="n">
        <f aca="false">AZ185*BY185</f>
        <v>39.1666666666667</v>
      </c>
      <c r="BB185" s="50" t="n">
        <f aca="false">AX185*G185</f>
        <v>1940.7</v>
      </c>
      <c r="BC185" s="50" t="n">
        <f aca="false">ROUNDUP(MAX(J185/IF(CD185&gt;0,CD185,MAX(0.1,N(Cockpit!$O$6))),CG185)/BV185,0)*BV185</f>
        <v>5</v>
      </c>
      <c r="BD185" s="51" t="n">
        <f aca="false">IF(BA185&gt;0,J185/BA185,-1)</f>
        <v>0.0510638297872341</v>
      </c>
      <c r="BE185" s="51" t="n">
        <f aca="false">IF(AND(OR(CC185="L1",CC185="L23",CC185="LIFT"),BA185&gt;0),SUMIFS($BA$7:$BA$1843,$CC$7:$CC$1843,CC185,$BD$7:$BD$1843,"&gt;"&amp;BD185)+SUMIFS($BA$7:$BA$1843,$CC$7:$CC$1843,CC185,$BD$7:$BD$1843,BD185,$BT$7:$BT$1843,"&lt;="&amp;BT185),"")</f>
        <v>26749.2987520954</v>
      </c>
      <c r="BF185" s="58" t="n">
        <f aca="false">IF(BE185="",0,MAX(0,MIN(1,(IF(CC185="L1",Parameter!$H$5,IF(CC185="L23",Parameter!$H$6+Parameter!$H$7,Parameter!$H$5+Parameter!$H$6+Parameter!$H$7))-(BE185-BA185))/BA185)))</f>
        <v>1</v>
      </c>
      <c r="BG185" s="48" t="str">
        <f aca="false">IF(AI185&lt;=0,"",IF(CC185="Aussen","Aussenlager",IF(CC185="-","Nicht im Lift",IF(AN185&gt;=1,"Lift",IF(AN185&lt;=0,"Aussenlager","teilweise")))))</f>
        <v>Lift</v>
      </c>
      <c r="BH185" s="48" t="str">
        <f aca="false">IF(AR185&lt;=0,"",IF(CC185="Aussen","Aussenlager",IF(CC185="-","Nicht im Lift",IF(AW185&gt;=1,"Lift",IF(AW185&lt;=0,"Aussenlager","teilweise")))))</f>
        <v>Lift</v>
      </c>
      <c r="BI185" s="48" t="str">
        <f aca="false">IF(BA185&lt;=0,"",IF(CC185="Aussen","Aussenlager",IF(CC185="-","Nicht im Lift",IF(BF185&gt;=1,"Lift",IF(BF185&lt;=0,"Aussenlager","teilweise")))))</f>
        <v>Lift</v>
      </c>
      <c r="BJ185" s="48" t="str">
        <f aca="false">IF(A185="","",IF(BS185=1,"Neu; ","")&amp;IF(AND(BS185=0,BN185&lt;0),"negativer Bestand (Export "&amp;BN185&amp;"); ","")&amp;IF(J185&lt;=0,"Kein Verbrauch; ","")&amp;IF(CL185&gt;0,"Lift "&amp;W185&amp;" lt. Liftbericht (Fach "&amp;X185&amp;" Stk); ",IF(BX185=1,"Gebinde geschätzt ("&amp;T185&amp;"); ",IF(BW185=1,"Lose – Tablare geschätzt; ","")))&amp;IF(H185&gt;AT185,"Überbestand "&amp;ROUND(H185-AT185,0)&amp;" Stk / CHF "&amp;ROUND((H185-AT185)*G185,0)&amp;"; ","")&amp;IF(AND(CE185=1,CF185&lt;CG185),"MAX &lt; MB+LG; ","")&amp;IF(AND(CK185&gt;0,CJ185*10&gt;CK185),"zu hoch für Tablar; ","")&amp;IF(AND(BS185=0,OR(CE185=1,AA185&lt;&gt;"",U185&lt;&gt;"",V185&lt;&gt;"",AB185&lt;&gt;"")),"manuell übersteuert; ","")&amp;IF(AND(BW185=0,R185=0),"Gebinde unbekannt / Stellmass fehlt; ","")&amp;IF(AND(BW185=0,N(V185)&lt;=0,N(Q185)&lt;=0),"Menge pro Gebinde fehlt (Ist = 1 Gebinde); ","")&amp;BR185)</f>
        <v/>
      </c>
      <c r="BK185" s="48"/>
      <c r="BL185" s="48"/>
      <c r="BM185" s="55"/>
      <c r="BN185" s="50" t="n">
        <v>3</v>
      </c>
      <c r="BO185" s="50" t="n">
        <v>2</v>
      </c>
      <c r="BP185" s="49" t="n">
        <v>958.700000000001</v>
      </c>
      <c r="BQ185" s="50" t="n">
        <v>2</v>
      </c>
      <c r="BR185" s="48"/>
      <c r="BS185" s="53" t="n">
        <v>0</v>
      </c>
      <c r="BT185" s="53" t="n">
        <v>185</v>
      </c>
      <c r="BU185" s="48" t="str">
        <f aca="false">IF(U185&lt;&gt;"",UPPER(TRIM(U185)),IF(BX185=1,UPPER(VLOOKUP(T185,Parameter!$I$27:$K$29,2,0)),IF(P185="","LOSE",P185)))</f>
        <v>S71</v>
      </c>
      <c r="BV185" s="50" t="n">
        <f aca="false">IF(BU185="LOSE",1,IF(N(V185)&gt;0,V185,IF(BX185=1,MAX(1,N(VLOOKUP(T185,Parameter!$I$27:$K$29,3,0)),H185,N(N185)),IF(N(Q185)&gt;0,Q185,MAX(1,H185)))))</f>
        <v>5</v>
      </c>
      <c r="BW185" s="53" t="n">
        <f aca="false">IF(BU185="LOSE",1,0)</f>
        <v>0</v>
      </c>
      <c r="BX185" s="53" t="n">
        <f aca="false">IF(AND(U185="",OR(P185="",P185="LOSE"),T185&lt;&gt;"",N(S185)&lt;=0,ISNUMBER(MATCH(T185,Parameter!$I$27:$I$29,0))),1,0)</f>
        <v>0</v>
      </c>
      <c r="BY185" s="53" t="n">
        <f aca="false">IF(CL185&gt;0,INDEX(Parameter!$H$5:$H$7,W185)/INDEX(Parameter!$E$5:$E$7,W185),IF(AND(BW185=0,N(IFERROR(VLOOKUP(BU185,'Gebinde-Kategorie'!$A$5:$N$45,14,0),0))&gt;0),VLOOKUP(BU185,'Gebinde-Kategorie'!$A$5:$N$45,14,0)*10+Parameter!$M$23,Parameter!$M$24))</f>
        <v>235</v>
      </c>
      <c r="BZ185" s="48" t="str">
        <f aca="false">IF(AND(Parameter!$B$19="Ja",E185&lt;&gt;"",ISNUMBER(MATCH(E185,Parameter!$I$35:$I$52,0))),VLOOKUP(E185,Parameter!$I$35:$J$52,2,0),IFERROR(VLOOKUP(D185,Parameter!$A$35:$C$64,2,0),"Nein"))</f>
        <v>2+3</v>
      </c>
      <c r="CA185" s="52" t="n">
        <f aca="false">IF(BW185=0,0,IF(N(S185)&gt;0,S185,IFERROR(VLOOKUP(D185,Parameter!$A$35:$C$64,3,0)+0,0)))</f>
        <v>0</v>
      </c>
      <c r="CB185" s="48" t="n">
        <f aca="false">IF(AA185&lt;&gt;"",AA185,Z185)</f>
        <v>2</v>
      </c>
      <c r="CC185" s="48" t="str">
        <f aca="false">IF(OR(CB185=1,CB185=2,CB185=3),IF(Parameter!$E$27="Ja","LIFT",IF(CB185=1,"L1","L23")),IF(CB185="Aussen","Aussen","-"))</f>
        <v>LIFT</v>
      </c>
      <c r="CD185" s="59" t="n">
        <f aca="false">IF(N(AB185)&gt;0,AB185,0)</f>
        <v>0</v>
      </c>
      <c r="CE185" s="53" t="n">
        <f aca="false">IF(ISNUMBER(AE185),1,0)</f>
        <v>0</v>
      </c>
      <c r="CF185" s="50" t="n">
        <f aca="false">N(AE185)</f>
        <v>0</v>
      </c>
      <c r="CG185" s="50" t="n">
        <f aca="false">N(M185)+N(N185)</f>
        <v>1</v>
      </c>
      <c r="CH185" s="50" t="n">
        <f aca="false">ROUNDUP(H185/BV185,0)</f>
        <v>1</v>
      </c>
      <c r="CI185" s="50" t="n">
        <f aca="false">ROUNDUP(CF185/BV185,0)</f>
        <v>0</v>
      </c>
      <c r="CJ185" s="53" t="n">
        <f aca="false">IF(BW185=1,0,IFERROR(VLOOKUP(BU185,'Gebinde-Kategorie'!$A$5:$N$45,5,0)+0,0))</f>
        <v>20</v>
      </c>
      <c r="CK185" s="53" t="n">
        <f aca="false">IFERROR(IF(OR(CB185=1,CB185=2,CB185=3),N(INDEX(Parameter!$I$5:$I$7,CB185)),0),0)</f>
        <v>0</v>
      </c>
      <c r="CL185" s="52" t="n">
        <f aca="false">IF(AND(Parameter!$B$21="Ja",ISNUMBER(W185),N(X185)&gt;0),IFERROR(N(INDEX(Parameter!$L$5:$L$7,W185))*INDEX(Parameter!$E$5:$E$7,W185)*X185/SUMIFS($X$7:$X$1843,$W$7:$W$1843,W185),0),0)</f>
        <v>0</v>
      </c>
    </row>
    <row r="186" customFormat="false" ht="15" hidden="false" customHeight="false" outlineLevel="0" collapsed="false">
      <c r="A186" s="48" t="s">
        <v>579</v>
      </c>
      <c r="B186" s="48" t="s">
        <v>580</v>
      </c>
      <c r="C186" s="48" t="s">
        <v>168</v>
      </c>
      <c r="D186" s="48" t="s">
        <v>188</v>
      </c>
      <c r="E186" s="48"/>
      <c r="F186" s="48" t="s">
        <v>222</v>
      </c>
      <c r="G186" s="49" t="n">
        <v>428.28</v>
      </c>
      <c r="H186" s="50" t="n">
        <f aca="false">MAX(0,IF(AND(Parameter!$B$21="Ja",ISNUMBER(Y186)),Y186,IF(Parameter!$B$20="Jahresanfang 2025 + Export",BO186+BN186,BN186)))</f>
        <v>9</v>
      </c>
      <c r="I186" s="50" t="n">
        <f aca="false">H186*G186</f>
        <v>3854.52</v>
      </c>
      <c r="J186" s="50" t="n">
        <f aca="false">BQ186*Parameter!$B$18</f>
        <v>8</v>
      </c>
      <c r="K186" s="51" t="n">
        <v>5</v>
      </c>
      <c r="L186" s="52" t="n">
        <v>1.6</v>
      </c>
      <c r="M186" s="50" t="n">
        <v>10</v>
      </c>
      <c r="N186" s="50" t="n">
        <v>5</v>
      </c>
      <c r="O186" s="53" t="n">
        <v>35</v>
      </c>
      <c r="P186" s="48" t="s">
        <v>172</v>
      </c>
      <c r="Q186" s="50"/>
      <c r="R186" s="53" t="n">
        <f aca="false">IF(BW186=1,0,IFERROR(VLOOKUP(BU186,'Gebinde-Kategorie'!$A$5:$N$45,13,0)+0,0))</f>
        <v>26</v>
      </c>
      <c r="S186" s="54"/>
      <c r="T186" s="55" t="s">
        <v>279</v>
      </c>
      <c r="U186" s="55"/>
      <c r="V186" s="55"/>
      <c r="W186" s="48"/>
      <c r="X186" s="50"/>
      <c r="Y186" s="50"/>
      <c r="Z186" s="48" t="n">
        <f aca="false">IF(A186="","",IF(AND(Parameter!$B$21="Ja",ISNUMBER(W186)),W186,IF(BZ186="2+3",IF(ISNUMBER(SEARCH("grosser Artikel",BR186)),2,IFERROR(VLOOKUP(BU186,Parameter!$F$35:$G$64,2,0),2)),IF(OR(BZ186="Nein",BZ186=""),"-",BZ186))))</f>
        <v>3</v>
      </c>
      <c r="AA186" s="55"/>
      <c r="AB186" s="56"/>
      <c r="AC186" s="50" t="n">
        <f aca="false">AT186</f>
        <v>20</v>
      </c>
      <c r="AD186" s="50" t="n">
        <f aca="false">MAX(AT186,H186)</f>
        <v>20</v>
      </c>
      <c r="AE186" s="57"/>
      <c r="AF186" s="50" t="n">
        <f aca="false">IF(LEFT(Cockpit!$C$5,1)="A",H186,IF(CE186=1,CF186,IF(LEFT(Cockpit!$C$5,1)="B",AK186,MAX(AK186,H186))))</f>
        <v>9</v>
      </c>
      <c r="AG186" s="50" t="n">
        <f aca="false">IF(BW186=1,0,ROUNDUP(AF186/BV186,0))</f>
        <v>1</v>
      </c>
      <c r="AH186" s="52" t="n">
        <f aca="false">IF(CL186&gt;0,CL186*MAX(1,AF186/X186),IF(BW186=1,IF(AF186&lt;=0,0,CA186*MAX(1,IF(H186&gt;0,AF186/H186,1))),IF(R186&gt;0,AG186/R186,0))/MAX(0.1,N(Parameter!$M$21)))</f>
        <v>0.0384615384615385</v>
      </c>
      <c r="AI186" s="50" t="n">
        <f aca="false">AH186*BY186</f>
        <v>5.96153846153846</v>
      </c>
      <c r="AJ186" s="50" t="n">
        <f aca="false">AF186*G186</f>
        <v>3854.52</v>
      </c>
      <c r="AK186" s="50" t="n">
        <f aca="false">ROUNDUP(MAX(J186/IF(CD186&gt;0,CD186,MAX(0.1,N(Cockpit!$C$6))),CG186)/BV186,0)*BV186</f>
        <v>20</v>
      </c>
      <c r="AL186" s="51" t="n">
        <f aca="false">IF(AI186&gt;0,J186/AI186,-1)</f>
        <v>1.34193548387097</v>
      </c>
      <c r="AM186" s="51" t="n">
        <f aca="false">IF(AND(OR(CC186="L1",CC186="L23",CC186="LIFT"),AI186&gt;0),SUMIFS($AI$7:$AI$1843,$CC$7:$CC$1843,CC186,$AL$7:$AL$1843,"&gt;"&amp;AL186)+SUMIFS($AI$7:$AI$1843,$CC$7:$CC$1843,CC186,$AL$7:$AL$1843,AL186,$BT$7:$BT$1843,"&lt;="&amp;BT186),"")</f>
        <v>6325.18635531136</v>
      </c>
      <c r="AN186" s="58" t="n">
        <f aca="false">IF(AM186="",0,MAX(0,MIN(1,(IF(CC186="L1",Parameter!$H$5,IF(CC186="L23",Parameter!$H$6+Parameter!$H$7,Parameter!$H$5+Parameter!$H$6+Parameter!$H$7))-(AM186-AI186))/AI186)))</f>
        <v>1</v>
      </c>
      <c r="AO186" s="50" t="n">
        <f aca="false">IF(LEFT(Cockpit!$I$5,1)="A",H186,IF(CE186=1,CF186,IF(LEFT(Cockpit!$I$5,1)="B",AT186,MAX(AT186,H186))))</f>
        <v>20</v>
      </c>
      <c r="AP186" s="50" t="n">
        <f aca="false">IF(BW186=1,0,ROUNDUP(AO186/BV186,0))</f>
        <v>1</v>
      </c>
      <c r="AQ186" s="52" t="n">
        <f aca="false">IF(CL186&gt;0,CL186*MAX(1,AO186/X186),IF(BW186=1,IF(AO186&lt;=0,0,CA186*MAX(1,IF(H186&gt;0,AO186/H186,1))),IF(R186&gt;0,AP186/R186,0))/MAX(0.1,N(Parameter!$M$21)))</f>
        <v>0.0384615384615385</v>
      </c>
      <c r="AR186" s="50" t="n">
        <f aca="false">AQ186*BY186</f>
        <v>5.96153846153846</v>
      </c>
      <c r="AS186" s="50" t="n">
        <f aca="false">AO186*G186</f>
        <v>8565.6</v>
      </c>
      <c r="AT186" s="50" t="n">
        <f aca="false">ROUNDUP(MAX(J186/IF(CD186&gt;0,CD186,MAX(0.1,N(Cockpit!$I$6))),CG186)/BV186,0)*BV186</f>
        <v>20</v>
      </c>
      <c r="AU186" s="51" t="n">
        <f aca="false">IF(AR186&gt;0,J186/AR186,-1)</f>
        <v>1.34193548387097</v>
      </c>
      <c r="AV186" s="51" t="n">
        <f aca="false">IF(AND(OR(CC186="L1",CC186="L23",CC186="LIFT"),AR186&gt;0),SUMIFS($AR$7:$AR$1843,$CC$7:$CC$1843,CC186,$AU$7:$AU$1843,"&gt;"&amp;AU186)+SUMIFS($AR$7:$AR$1843,$CC$7:$CC$1843,CC186,$AU$7:$AU$1843,AU186,$BT$7:$BT$1843,"&lt;="&amp;BT186),"")</f>
        <v>9383.75091575092</v>
      </c>
      <c r="AW186" s="58" t="n">
        <f aca="false">IF(AV186="",0,MAX(0,MIN(1,(IF(CC186="L1",Parameter!$H$5,IF(CC186="L23",Parameter!$H$6+Parameter!$H$7,Parameter!$H$5+Parameter!$H$6+Parameter!$H$7))-(AV186-AR186))/AR186)))</f>
        <v>1</v>
      </c>
      <c r="AX186" s="50" t="n">
        <f aca="false">IF(LEFT(Cockpit!$O$5,1)="A",H186,IF(CE186=1,CF186,IF(LEFT(Cockpit!$O$5,1)="B",BC186,MAX(BC186,H186))))</f>
        <v>20</v>
      </c>
      <c r="AY186" s="50" t="n">
        <f aca="false">IF(BW186=1,0,ROUNDUP(AX186/BV186,0))</f>
        <v>1</v>
      </c>
      <c r="AZ186" s="52" t="n">
        <f aca="false">IF(CL186&gt;0,CL186*MAX(1,AX186/X186),IF(BW186=1,IF(AX186&lt;=0,0,CA186*MAX(1,IF(H186&gt;0,AX186/H186,1))),IF(R186&gt;0,AY186/R186,0))/MAX(0.1,N(Parameter!$M$21)))</f>
        <v>0.0384615384615385</v>
      </c>
      <c r="BA186" s="50" t="n">
        <f aca="false">AZ186*BY186</f>
        <v>5.96153846153846</v>
      </c>
      <c r="BB186" s="50" t="n">
        <f aca="false">AX186*G186</f>
        <v>8565.6</v>
      </c>
      <c r="BC186" s="50" t="n">
        <f aca="false">ROUNDUP(MAX(J186/IF(CD186&gt;0,CD186,MAX(0.1,N(Cockpit!$O$6))),CG186)/BV186,0)*BV186</f>
        <v>20</v>
      </c>
      <c r="BD186" s="51" t="n">
        <f aca="false">IF(BA186&gt;0,J186/BA186,-1)</f>
        <v>1.34193548387097</v>
      </c>
      <c r="BE186" s="51" t="n">
        <f aca="false">IF(AND(OR(CC186="L1",CC186="L23",CC186="LIFT"),BA186&gt;0),SUMIFS($BA$7:$BA$1843,$CC$7:$CC$1843,CC186,$BD$7:$BD$1843,"&gt;"&amp;BD186)+SUMIFS($BA$7:$BA$1843,$CC$7:$CC$1843,CC186,$BD$7:$BD$1843,BD186,$BT$7:$BT$1843,"&lt;="&amp;BT186),"")</f>
        <v>8569.40796703297</v>
      </c>
      <c r="BF186" s="58" t="n">
        <f aca="false">IF(BE186="",0,MAX(0,MIN(1,(IF(CC186="L1",Parameter!$H$5,IF(CC186="L23",Parameter!$H$6+Parameter!$H$7,Parameter!$H$5+Parameter!$H$6+Parameter!$H$7))-(BE186-BA186))/BA186)))</f>
        <v>1</v>
      </c>
      <c r="BG186" s="48" t="str">
        <f aca="false">IF(AI186&lt;=0,"",IF(CC186="Aussen","Aussenlager",IF(CC186="-","Nicht im Lift",IF(AN186&gt;=1,"Lift",IF(AN186&lt;=0,"Aussenlager","teilweise")))))</f>
        <v>Lift</v>
      </c>
      <c r="BH186" s="48" t="str">
        <f aca="false">IF(AR186&lt;=0,"",IF(CC186="Aussen","Aussenlager",IF(CC186="-","Nicht im Lift",IF(AW186&gt;=1,"Lift",IF(AW186&lt;=0,"Aussenlager","teilweise")))))</f>
        <v>Lift</v>
      </c>
      <c r="BI186" s="48" t="str">
        <f aca="false">IF(BA186&lt;=0,"",IF(CC186="Aussen","Aussenlager",IF(CC186="-","Nicht im Lift",IF(BF186&gt;=1,"Lift",IF(BF186&lt;=0,"Aussenlager","teilweise")))))</f>
        <v>Lift</v>
      </c>
      <c r="BJ186" s="48" t="str">
        <f aca="false">IF(A186="","",IF(BS186=1,"Neu; ","")&amp;IF(AND(BS186=0,BN186&lt;0),"negativer Bestand (Export "&amp;BN186&amp;"); ","")&amp;IF(J186&lt;=0,"Kein Verbrauch; ","")&amp;IF(CL186&gt;0,"Lift "&amp;W186&amp;" lt. Liftbericht (Fach "&amp;X186&amp;" Stk); ",IF(BX186=1,"Gebinde geschätzt ("&amp;T186&amp;"); ",IF(BW186=1,"Lose – Tablare geschätzt; ","")))&amp;IF(H186&gt;AT186,"Überbestand "&amp;ROUND(H186-AT186,0)&amp;" Stk / CHF "&amp;ROUND((H186-AT186)*G186,0)&amp;"; ","")&amp;IF(AND(CE186=1,CF186&lt;CG186),"MAX &lt; MB+LG; ","")&amp;IF(AND(CK186&gt;0,CJ186*10&gt;CK186),"zu hoch für Tablar; ","")&amp;IF(AND(BS186=0,OR(CE186=1,AA186&lt;&gt;"",U186&lt;&gt;"",V186&lt;&gt;"",AB186&lt;&gt;"")),"manuell übersteuert; ","")&amp;IF(AND(BW186=0,R186=0),"Gebinde unbekannt / Stellmass fehlt; ","")&amp;IF(AND(BW186=0,N(V186)&lt;=0,N(Q186)&lt;=0),"Menge pro Gebinde fehlt (Ist = 1 Gebinde); ","")&amp;BR186)</f>
        <v>Gebinde geschätzt (Klein); Menge pro Gebinde fehlt (Ist = 1 Gebinde); </v>
      </c>
      <c r="BK186" s="48"/>
      <c r="BL186" s="48"/>
      <c r="BM186" s="55"/>
      <c r="BN186" s="50" t="n">
        <v>2</v>
      </c>
      <c r="BO186" s="50" t="n">
        <v>7</v>
      </c>
      <c r="BP186" s="49" t="n">
        <v>957.990000000001</v>
      </c>
      <c r="BQ186" s="50" t="n">
        <v>8</v>
      </c>
      <c r="BR186" s="48"/>
      <c r="BS186" s="53" t="n">
        <v>0</v>
      </c>
      <c r="BT186" s="53" t="n">
        <v>186</v>
      </c>
      <c r="BU186" s="48" t="str">
        <f aca="false">IF(U186&lt;&gt;"",UPPER(TRIM(U186)),IF(BX186=1,UPPER(VLOOKUP(T186,Parameter!$I$27:$K$29,2,0)),IF(P186="","LOSE",P186)))</f>
        <v>S51</v>
      </c>
      <c r="BV186" s="50" t="n">
        <f aca="false">IF(BU186="LOSE",1,IF(N(V186)&gt;0,V186,IF(BX186=1,MAX(1,N(VLOOKUP(T186,Parameter!$I$27:$K$29,3,0)),H186,N(N186)),IF(N(Q186)&gt;0,Q186,MAX(1,H186)))))</f>
        <v>20</v>
      </c>
      <c r="BW186" s="53" t="n">
        <f aca="false">IF(BU186="LOSE",1,0)</f>
        <v>0</v>
      </c>
      <c r="BX186" s="53" t="n">
        <f aca="false">IF(AND(U186="",OR(P186="",P186="LOSE"),T186&lt;&gt;"",N(S186)&lt;=0,ISNUMBER(MATCH(T186,Parameter!$I$27:$I$29,0))),1,0)</f>
        <v>1</v>
      </c>
      <c r="BY186" s="53" t="n">
        <f aca="false">IF(CL186&gt;0,INDEX(Parameter!$H$5:$H$7,W186)/INDEX(Parameter!$E$5:$E$7,W186),IF(AND(BW186=0,N(IFERROR(VLOOKUP(BU186,'Gebinde-Kategorie'!$A$5:$N$45,14,0),0))&gt;0),VLOOKUP(BU186,'Gebinde-Kategorie'!$A$5:$N$45,14,0)*10+Parameter!$M$23,Parameter!$M$24))</f>
        <v>155</v>
      </c>
      <c r="BZ186" s="48" t="str">
        <f aca="false">IF(AND(Parameter!$B$19="Ja",E186&lt;&gt;"",ISNUMBER(MATCH(E186,Parameter!$I$35:$I$52,0))),VLOOKUP(E186,Parameter!$I$35:$J$52,2,0),IFERROR(VLOOKUP(D186,Parameter!$A$35:$C$64,2,0),"Nein"))</f>
        <v>2+3</v>
      </c>
      <c r="CA186" s="52" t="n">
        <f aca="false">IF(BW186=0,0,IF(N(S186)&gt;0,S186,IFERROR(VLOOKUP(D186,Parameter!$A$35:$C$64,3,0)+0,0)))</f>
        <v>0</v>
      </c>
      <c r="CB186" s="48" t="n">
        <f aca="false">IF(AA186&lt;&gt;"",AA186,Z186)</f>
        <v>3</v>
      </c>
      <c r="CC186" s="48" t="str">
        <f aca="false">IF(OR(CB186=1,CB186=2,CB186=3),IF(Parameter!$E$27="Ja","LIFT",IF(CB186=1,"L1","L23")),IF(CB186="Aussen","Aussen","-"))</f>
        <v>LIFT</v>
      </c>
      <c r="CD186" s="59" t="n">
        <f aca="false">IF(N(AB186)&gt;0,AB186,0)</f>
        <v>0</v>
      </c>
      <c r="CE186" s="53" t="n">
        <f aca="false">IF(ISNUMBER(AE186),1,0)</f>
        <v>0</v>
      </c>
      <c r="CF186" s="50" t="n">
        <f aca="false">N(AE186)</f>
        <v>0</v>
      </c>
      <c r="CG186" s="50" t="n">
        <f aca="false">N(M186)+N(N186)</f>
        <v>15</v>
      </c>
      <c r="CH186" s="50" t="n">
        <f aca="false">ROUNDUP(H186/BV186,0)</f>
        <v>1</v>
      </c>
      <c r="CI186" s="50" t="n">
        <f aca="false">ROUNDUP(CF186/BV186,0)</f>
        <v>0</v>
      </c>
      <c r="CJ186" s="53" t="n">
        <f aca="false">IF(BW186=1,0,IFERROR(VLOOKUP(BU186,'Gebinde-Kategorie'!$A$5:$N$45,5,0)+0,0))</f>
        <v>11</v>
      </c>
      <c r="CK186" s="53" t="n">
        <f aca="false">IFERROR(IF(OR(CB186=1,CB186=2,CB186=3),N(INDEX(Parameter!$I$5:$I$7,CB186)),0),0)</f>
        <v>0</v>
      </c>
      <c r="CL186" s="52" t="n">
        <f aca="false">IF(AND(Parameter!$B$21="Ja",ISNUMBER(W186),N(X186)&gt;0),IFERROR(N(INDEX(Parameter!$L$5:$L$7,W186))*INDEX(Parameter!$E$5:$E$7,W186)*X186/SUMIFS($X$7:$X$1843,$W$7:$W$1843,W186),0),0)</f>
        <v>0</v>
      </c>
    </row>
    <row r="187" customFormat="false" ht="15" hidden="false" customHeight="false" outlineLevel="0" collapsed="false">
      <c r="A187" s="48" t="s">
        <v>581</v>
      </c>
      <c r="B187" s="48" t="s">
        <v>582</v>
      </c>
      <c r="C187" s="48" t="s">
        <v>168</v>
      </c>
      <c r="D187" s="48" t="s">
        <v>177</v>
      </c>
      <c r="E187" s="48" t="s">
        <v>189</v>
      </c>
      <c r="F187" s="48" t="s">
        <v>222</v>
      </c>
      <c r="G187" s="49" t="n">
        <v>227.72</v>
      </c>
      <c r="H187" s="50" t="n">
        <f aca="false">MAX(0,IF(AND(Parameter!$B$21="Ja",ISNUMBER(Y187)),Y187,IF(Parameter!$B$20="Jahresanfang 2025 + Export",BO187+BN187,BN187)))</f>
        <v>15</v>
      </c>
      <c r="I187" s="50" t="n">
        <f aca="false">H187*G187</f>
        <v>3415.8</v>
      </c>
      <c r="J187" s="50" t="n">
        <f aca="false">BQ187*Parameter!$B$18</f>
        <v>29</v>
      </c>
      <c r="K187" s="51" t="n">
        <v>19</v>
      </c>
      <c r="L187" s="52" t="n">
        <v>1.52631578947368</v>
      </c>
      <c r="M187" s="50" t="n">
        <v>3</v>
      </c>
      <c r="N187" s="50" t="n">
        <v>20</v>
      </c>
      <c r="O187" s="53" t="n">
        <v>35</v>
      </c>
      <c r="P187" s="48" t="s">
        <v>306</v>
      </c>
      <c r="Q187" s="50" t="n">
        <v>15</v>
      </c>
      <c r="R187" s="53" t="n">
        <f aca="false">IF(BW187=1,0,IFERROR(VLOOKUP(BU187,'Gebinde-Kategorie'!$A$5:$N$45,13,0)+0,0))</f>
        <v>26</v>
      </c>
      <c r="S187" s="54"/>
      <c r="T187" s="55"/>
      <c r="U187" s="55"/>
      <c r="V187" s="55"/>
      <c r="W187" s="48"/>
      <c r="X187" s="50"/>
      <c r="Y187" s="50"/>
      <c r="Z187" s="48" t="n">
        <f aca="false">IF(A187="","",IF(AND(Parameter!$B$21="Ja",ISNUMBER(W187)),W187,IF(BZ187="2+3",IF(ISNUMBER(SEARCH("grosser Artikel",BR187)),2,IFERROR(VLOOKUP(BU187,Parameter!$F$35:$G$64,2,0),2)),IF(OR(BZ187="Nein",BZ187=""),"-",BZ187))))</f>
        <v>3</v>
      </c>
      <c r="AA187" s="55"/>
      <c r="AB187" s="56"/>
      <c r="AC187" s="50" t="n">
        <f aca="false">AT187</f>
        <v>30</v>
      </c>
      <c r="AD187" s="50" t="n">
        <f aca="false">MAX(AT187,H187)</f>
        <v>30</v>
      </c>
      <c r="AE187" s="57"/>
      <c r="AF187" s="50" t="n">
        <f aca="false">IF(LEFT(Cockpit!$C$5,1)="A",H187,IF(CE187=1,CF187,IF(LEFT(Cockpit!$C$5,1)="B",AK187,MAX(AK187,H187))))</f>
        <v>15</v>
      </c>
      <c r="AG187" s="50" t="n">
        <f aca="false">IF(BW187=1,0,ROUNDUP(AF187/BV187,0))</f>
        <v>1</v>
      </c>
      <c r="AH187" s="52" t="n">
        <f aca="false">IF(CL187&gt;0,CL187*MAX(1,AF187/X187),IF(BW187=1,IF(AF187&lt;=0,0,CA187*MAX(1,IF(H187&gt;0,AF187/H187,1))),IF(R187&gt;0,AG187/R187,0))/MAX(0.1,N(Parameter!$M$21)))</f>
        <v>0.0384615384615385</v>
      </c>
      <c r="AI187" s="50" t="n">
        <f aca="false">AH187*BY187</f>
        <v>5.96153846153846</v>
      </c>
      <c r="AJ187" s="50" t="n">
        <f aca="false">AF187*G187</f>
        <v>3415.8</v>
      </c>
      <c r="AK187" s="50" t="n">
        <f aca="false">ROUNDUP(MAX(J187/IF(CD187&gt;0,CD187,MAX(0.1,N(Cockpit!$C$6))),CG187)/BV187,0)*BV187</f>
        <v>30</v>
      </c>
      <c r="AL187" s="51" t="n">
        <f aca="false">IF(AI187&gt;0,J187/AI187,-1)</f>
        <v>4.86451612903226</v>
      </c>
      <c r="AM187" s="51" t="n">
        <f aca="false">IF(AND(OR(CC187="L1",CC187="L23",CC187="LIFT"),AI187&gt;0),SUMIFS($AI$7:$AI$1843,$CC$7:$CC$1843,CC187,$AL$7:$AL$1843,"&gt;"&amp;AL187)+SUMIFS($AI$7:$AI$1843,$CC$7:$CC$1843,CC187,$AL$7:$AL$1843,AL187,$BT$7:$BT$1843,"&lt;="&amp;BT187),"")</f>
        <v>4092.67811355311</v>
      </c>
      <c r="AN187" s="58" t="n">
        <f aca="false">IF(AM187="",0,MAX(0,MIN(1,(IF(CC187="L1",Parameter!$H$5,IF(CC187="L23",Parameter!$H$6+Parameter!$H$7,Parameter!$H$5+Parameter!$H$6+Parameter!$H$7))-(AM187-AI187))/AI187)))</f>
        <v>1</v>
      </c>
      <c r="AO187" s="50" t="n">
        <f aca="false">IF(LEFT(Cockpit!$I$5,1)="A",H187,IF(CE187=1,CF187,IF(LEFT(Cockpit!$I$5,1)="B",AT187,MAX(AT187,H187))))</f>
        <v>30</v>
      </c>
      <c r="AP187" s="50" t="n">
        <f aca="false">IF(BW187=1,0,ROUNDUP(AO187/BV187,0))</f>
        <v>2</v>
      </c>
      <c r="AQ187" s="52" t="n">
        <f aca="false">IF(CL187&gt;0,CL187*MAX(1,AO187/X187),IF(BW187=1,IF(AO187&lt;=0,0,CA187*MAX(1,IF(H187&gt;0,AO187/H187,1))),IF(R187&gt;0,AP187/R187,0))/MAX(0.1,N(Parameter!$M$21)))</f>
        <v>0.0769230769230769</v>
      </c>
      <c r="AR187" s="50" t="n">
        <f aca="false">AQ187*BY187</f>
        <v>11.9230769230769</v>
      </c>
      <c r="AS187" s="50" t="n">
        <f aca="false">AO187*G187</f>
        <v>6831.6</v>
      </c>
      <c r="AT187" s="50" t="n">
        <f aca="false">ROUNDUP(MAX(J187/IF(CD187&gt;0,CD187,MAX(0.1,N(Cockpit!$I$6))),CG187)/BV187,0)*BV187</f>
        <v>30</v>
      </c>
      <c r="AU187" s="51" t="n">
        <f aca="false">IF(AR187&gt;0,J187/AR187,-1)</f>
        <v>2.43225806451613</v>
      </c>
      <c r="AV187" s="51" t="n">
        <f aca="false">IF(AND(OR(CC187="L1",CC187="L23",CC187="LIFT"),AR187&gt;0),SUMIFS($AR$7:$AR$1843,$CC$7:$CC$1843,CC187,$AU$7:$AU$1843,"&gt;"&amp;AU187)+SUMIFS($AR$7:$AR$1843,$CC$7:$CC$1843,CC187,$AU$7:$AU$1843,AU187,$BT$7:$BT$1843,"&lt;="&amp;BT187),"")</f>
        <v>6794.03159340659</v>
      </c>
      <c r="AW187" s="58" t="n">
        <f aca="false">IF(AV187="",0,MAX(0,MIN(1,(IF(CC187="L1",Parameter!$H$5,IF(CC187="L23",Parameter!$H$6+Parameter!$H$7,Parameter!$H$5+Parameter!$H$6+Parameter!$H$7))-(AV187-AR187))/AR187)))</f>
        <v>1</v>
      </c>
      <c r="AX187" s="50" t="n">
        <f aca="false">IF(LEFT(Cockpit!$O$5,1)="A",H187,IF(CE187=1,CF187,IF(LEFT(Cockpit!$O$5,1)="B",BC187,MAX(BC187,H187))))</f>
        <v>30</v>
      </c>
      <c r="AY187" s="50" t="n">
        <f aca="false">IF(BW187=1,0,ROUNDUP(AX187/BV187,0))</f>
        <v>2</v>
      </c>
      <c r="AZ187" s="52" t="n">
        <f aca="false">IF(CL187&gt;0,CL187*MAX(1,AX187/X187),IF(BW187=1,IF(AX187&lt;=0,0,CA187*MAX(1,IF(H187&gt;0,AX187/H187,1))),IF(R187&gt;0,AY187/R187,0))/MAX(0.1,N(Parameter!$M$21)))</f>
        <v>0.0769230769230769</v>
      </c>
      <c r="BA187" s="50" t="n">
        <f aca="false">AZ187*BY187</f>
        <v>11.9230769230769</v>
      </c>
      <c r="BB187" s="50" t="n">
        <f aca="false">AX187*G187</f>
        <v>6831.6</v>
      </c>
      <c r="BC187" s="50" t="n">
        <f aca="false">ROUNDUP(MAX(J187/IF(CD187&gt;0,CD187,MAX(0.1,N(Cockpit!$O$6))),CG187)/BV187,0)*BV187</f>
        <v>30</v>
      </c>
      <c r="BD187" s="51" t="n">
        <f aca="false">IF(BA187&gt;0,J187/BA187,-1)</f>
        <v>2.43225806451613</v>
      </c>
      <c r="BE187" s="51" t="n">
        <f aca="false">IF(AND(OR(CC187="L1",CC187="L23",CC187="LIFT"),BA187&gt;0),SUMIFS($BA$7:$BA$1843,$CC$7:$CC$1843,CC187,$BD$7:$BD$1843,"&gt;"&amp;BD187)+SUMIFS($BA$7:$BA$1843,$CC$7:$CC$1843,CC187,$BD$7:$BD$1843,BD187,$BT$7:$BT$1843,"&lt;="&amp;BT187),"")</f>
        <v>6635.93864468865</v>
      </c>
      <c r="BF187" s="58" t="n">
        <f aca="false">IF(BE187="",0,MAX(0,MIN(1,(IF(CC187="L1",Parameter!$H$5,IF(CC187="L23",Parameter!$H$6+Parameter!$H$7,Parameter!$H$5+Parameter!$H$6+Parameter!$H$7))-(BE187-BA187))/BA187)))</f>
        <v>1</v>
      </c>
      <c r="BG187" s="48" t="str">
        <f aca="false">IF(AI187&lt;=0,"",IF(CC187="Aussen","Aussenlager",IF(CC187="-","Nicht im Lift",IF(AN187&gt;=1,"Lift",IF(AN187&lt;=0,"Aussenlager","teilweise")))))</f>
        <v>Lift</v>
      </c>
      <c r="BH187" s="48" t="str">
        <f aca="false">IF(AR187&lt;=0,"",IF(CC187="Aussen","Aussenlager",IF(CC187="-","Nicht im Lift",IF(AW187&gt;=1,"Lift",IF(AW187&lt;=0,"Aussenlager","teilweise")))))</f>
        <v>Lift</v>
      </c>
      <c r="BI187" s="48" t="str">
        <f aca="false">IF(BA187&lt;=0,"",IF(CC187="Aussen","Aussenlager",IF(CC187="-","Nicht im Lift",IF(BF187&gt;=1,"Lift",IF(BF187&lt;=0,"Aussenlager","teilweise")))))</f>
        <v>Lift</v>
      </c>
      <c r="BJ187" s="48" t="str">
        <f aca="false">IF(A187="","",IF(BS187=1,"Neu; ","")&amp;IF(AND(BS187=0,BN187&lt;0),"negativer Bestand (Export "&amp;BN187&amp;"); ","")&amp;IF(J187&lt;=0,"Kein Verbrauch; ","")&amp;IF(CL187&gt;0,"Lift "&amp;W187&amp;" lt. Liftbericht (Fach "&amp;X187&amp;" Stk); ",IF(BX187=1,"Gebinde geschätzt ("&amp;T187&amp;"); ",IF(BW187=1,"Lose – Tablare geschätzt; ","")))&amp;IF(H187&gt;AT187,"Überbestand "&amp;ROUND(H187-AT187,0)&amp;" Stk / CHF "&amp;ROUND((H187-AT187)*G187,0)&amp;"; ","")&amp;IF(AND(CE187=1,CF187&lt;CG187),"MAX &lt; MB+LG; ","")&amp;IF(AND(CK187&gt;0,CJ187*10&gt;CK187),"zu hoch für Tablar; ","")&amp;IF(AND(BS187=0,OR(CE187=1,AA187&lt;&gt;"",U187&lt;&gt;"",V187&lt;&gt;"",AB187&lt;&gt;"")),"manuell übersteuert; ","")&amp;IF(AND(BW187=0,R187=0),"Gebinde unbekannt / Stellmass fehlt; ","")&amp;IF(AND(BW187=0,N(V187)&lt;=0,N(Q187)&lt;=0),"Menge pro Gebinde fehlt (Ist = 1 Gebinde); ","")&amp;BR187)</f>
        <v/>
      </c>
      <c r="BK187" s="48"/>
      <c r="BL187" s="48"/>
      <c r="BM187" s="55"/>
      <c r="BN187" s="50" t="n">
        <v>2</v>
      </c>
      <c r="BO187" s="50" t="n">
        <v>13</v>
      </c>
      <c r="BP187" s="49" t="n">
        <v>952.169999999999</v>
      </c>
      <c r="BQ187" s="50" t="n">
        <v>29</v>
      </c>
      <c r="BR187" s="48"/>
      <c r="BS187" s="53" t="n">
        <v>0</v>
      </c>
      <c r="BT187" s="53" t="n">
        <v>187</v>
      </c>
      <c r="BU187" s="48" t="str">
        <f aca="false">IF(U187&lt;&gt;"",UPPER(TRIM(U187)),IF(BX187=1,UPPER(VLOOKUP(T187,Parameter!$I$27:$K$29,2,0)),IF(P187="","LOSE",P187)))</f>
        <v>S51</v>
      </c>
      <c r="BV187" s="50" t="n">
        <f aca="false">IF(BU187="LOSE",1,IF(N(V187)&gt;0,V187,IF(BX187=1,MAX(1,N(VLOOKUP(T187,Parameter!$I$27:$K$29,3,0)),H187,N(N187)),IF(N(Q187)&gt;0,Q187,MAX(1,H187)))))</f>
        <v>15</v>
      </c>
      <c r="BW187" s="53" t="n">
        <f aca="false">IF(BU187="LOSE",1,0)</f>
        <v>0</v>
      </c>
      <c r="BX187" s="53" t="n">
        <f aca="false">IF(AND(U187="",OR(P187="",P187="LOSE"),T187&lt;&gt;"",N(S187)&lt;=0,ISNUMBER(MATCH(T187,Parameter!$I$27:$I$29,0))),1,0)</f>
        <v>0</v>
      </c>
      <c r="BY187" s="53" t="n">
        <f aca="false">IF(CL187&gt;0,INDEX(Parameter!$H$5:$H$7,W187)/INDEX(Parameter!$E$5:$E$7,W187),IF(AND(BW187=0,N(IFERROR(VLOOKUP(BU187,'Gebinde-Kategorie'!$A$5:$N$45,14,0),0))&gt;0),VLOOKUP(BU187,'Gebinde-Kategorie'!$A$5:$N$45,14,0)*10+Parameter!$M$23,Parameter!$M$24))</f>
        <v>155</v>
      </c>
      <c r="BZ187" s="48" t="str">
        <f aca="false">IF(AND(Parameter!$B$19="Ja",E187&lt;&gt;"",ISNUMBER(MATCH(E187,Parameter!$I$35:$I$52,0))),VLOOKUP(E187,Parameter!$I$35:$J$52,2,0),IFERROR(VLOOKUP(D187,Parameter!$A$35:$C$64,2,0),"Nein"))</f>
        <v>2+3</v>
      </c>
      <c r="CA187" s="52" t="n">
        <f aca="false">IF(BW187=0,0,IF(N(S187)&gt;0,S187,IFERROR(VLOOKUP(D187,Parameter!$A$35:$C$64,3,0)+0,0)))</f>
        <v>0</v>
      </c>
      <c r="CB187" s="48" t="n">
        <f aca="false">IF(AA187&lt;&gt;"",AA187,Z187)</f>
        <v>3</v>
      </c>
      <c r="CC187" s="48" t="str">
        <f aca="false">IF(OR(CB187=1,CB187=2,CB187=3),IF(Parameter!$E$27="Ja","LIFT",IF(CB187=1,"L1","L23")),IF(CB187="Aussen","Aussen","-"))</f>
        <v>LIFT</v>
      </c>
      <c r="CD187" s="59" t="n">
        <f aca="false">IF(N(AB187)&gt;0,AB187,0)</f>
        <v>0</v>
      </c>
      <c r="CE187" s="53" t="n">
        <f aca="false">IF(ISNUMBER(AE187),1,0)</f>
        <v>0</v>
      </c>
      <c r="CF187" s="50" t="n">
        <f aca="false">N(AE187)</f>
        <v>0</v>
      </c>
      <c r="CG187" s="50" t="n">
        <f aca="false">N(M187)+N(N187)</f>
        <v>23</v>
      </c>
      <c r="CH187" s="50" t="n">
        <f aca="false">ROUNDUP(H187/BV187,0)</f>
        <v>1</v>
      </c>
      <c r="CI187" s="50" t="n">
        <f aca="false">ROUNDUP(CF187/BV187,0)</f>
        <v>0</v>
      </c>
      <c r="CJ187" s="53" t="n">
        <f aca="false">IF(BW187=1,0,IFERROR(VLOOKUP(BU187,'Gebinde-Kategorie'!$A$5:$N$45,5,0)+0,0))</f>
        <v>11</v>
      </c>
      <c r="CK187" s="53" t="n">
        <f aca="false">IFERROR(IF(OR(CB187=1,CB187=2,CB187=3),N(INDEX(Parameter!$I$5:$I$7,CB187)),0),0)</f>
        <v>0</v>
      </c>
      <c r="CL187" s="52" t="n">
        <f aca="false">IF(AND(Parameter!$B$21="Ja",ISNUMBER(W187),N(X187)&gt;0),IFERROR(N(INDEX(Parameter!$L$5:$L$7,W187))*INDEX(Parameter!$E$5:$E$7,W187)*X187/SUMIFS($X$7:$X$1843,$W$7:$W$1843,W187),0),0)</f>
        <v>0</v>
      </c>
    </row>
    <row r="188" customFormat="false" ht="15" hidden="false" customHeight="false" outlineLevel="0" collapsed="false">
      <c r="A188" s="48" t="s">
        <v>583</v>
      </c>
      <c r="B188" s="48" t="s">
        <v>584</v>
      </c>
      <c r="C188" s="48" t="s">
        <v>168</v>
      </c>
      <c r="D188" s="48" t="s">
        <v>177</v>
      </c>
      <c r="E188" s="48" t="s">
        <v>170</v>
      </c>
      <c r="F188" s="48" t="s">
        <v>222</v>
      </c>
      <c r="G188" s="49" t="n">
        <v>150.01</v>
      </c>
      <c r="H188" s="50" t="n">
        <f aca="false">MAX(0,IF(AND(Parameter!$B$21="Ja",ISNUMBER(Y188)),Y188,IF(Parameter!$B$20="Jahresanfang 2025 + Export",BO188+BN188,BN188)))</f>
        <v>11</v>
      </c>
      <c r="I188" s="50" t="n">
        <f aca="false">H188*G188</f>
        <v>1650.11</v>
      </c>
      <c r="J188" s="50" t="n">
        <f aca="false">BQ188*Parameter!$B$18</f>
        <v>30</v>
      </c>
      <c r="K188" s="51" t="n">
        <v>10</v>
      </c>
      <c r="L188" s="52" t="n">
        <v>3</v>
      </c>
      <c r="M188" s="50" t="n">
        <v>1</v>
      </c>
      <c r="N188" s="50" t="n">
        <v>15</v>
      </c>
      <c r="O188" s="53" t="n">
        <v>21</v>
      </c>
      <c r="P188" s="48" t="s">
        <v>178</v>
      </c>
      <c r="Q188" s="50" t="n">
        <v>15</v>
      </c>
      <c r="R188" s="53" t="n">
        <f aca="false">IF(BW188=1,0,IFERROR(VLOOKUP(BU188,'Gebinde-Kategorie'!$A$5:$N$45,13,0)+0,0))</f>
        <v>6</v>
      </c>
      <c r="S188" s="54"/>
      <c r="T188" s="55"/>
      <c r="U188" s="55"/>
      <c r="V188" s="55"/>
      <c r="W188" s="48"/>
      <c r="X188" s="50"/>
      <c r="Y188" s="50"/>
      <c r="Z188" s="48" t="n">
        <f aca="false">IF(A188="","",IF(AND(Parameter!$B$21="Ja",ISNUMBER(W188)),W188,IF(BZ188="2+3",IF(ISNUMBER(SEARCH("grosser Artikel",BR188)),2,IFERROR(VLOOKUP(BU188,Parameter!$F$35:$G$64,2,0),2)),IF(OR(BZ188="Nein",BZ188=""),"-",BZ188))))</f>
        <v>1</v>
      </c>
      <c r="AA188" s="55"/>
      <c r="AB188" s="56"/>
      <c r="AC188" s="50" t="n">
        <f aca="false">AT188</f>
        <v>30</v>
      </c>
      <c r="AD188" s="50" t="n">
        <f aca="false">MAX(AT188,H188)</f>
        <v>30</v>
      </c>
      <c r="AE188" s="57"/>
      <c r="AF188" s="50" t="n">
        <f aca="false">IF(LEFT(Cockpit!$C$5,1)="A",H188,IF(CE188=1,CF188,IF(LEFT(Cockpit!$C$5,1)="B",AK188,MAX(AK188,H188))))</f>
        <v>11</v>
      </c>
      <c r="AG188" s="50" t="n">
        <f aca="false">IF(BW188=1,0,ROUNDUP(AF188/BV188,0))</f>
        <v>1</v>
      </c>
      <c r="AH188" s="52" t="n">
        <f aca="false">IF(CL188&gt;0,CL188*MAX(1,AF188/X188),IF(BW188=1,IF(AF188&lt;=0,0,CA188*MAX(1,IF(H188&gt;0,AF188/H188,1))),IF(R188&gt;0,AG188/R188,0))/MAX(0.1,N(Parameter!$M$21)))</f>
        <v>0.166666666666667</v>
      </c>
      <c r="AI188" s="50" t="n">
        <f aca="false">AH188*BY188</f>
        <v>39.1666666666667</v>
      </c>
      <c r="AJ188" s="50" t="n">
        <f aca="false">AF188*G188</f>
        <v>1650.11</v>
      </c>
      <c r="AK188" s="50" t="n">
        <f aca="false">ROUNDUP(MAX(J188/IF(CD188&gt;0,CD188,MAX(0.1,N(Cockpit!$C$6))),CG188)/BV188,0)*BV188</f>
        <v>30</v>
      </c>
      <c r="AL188" s="51" t="n">
        <f aca="false">IF(AI188&gt;0,J188/AI188,-1)</f>
        <v>0.765957446808511</v>
      </c>
      <c r="AM188" s="51" t="n">
        <f aca="false">IF(AND(OR(CC188="L1",CC188="L23",CC188="LIFT"),AI188&gt;0),SUMIFS($AI$7:$AI$1843,$CC$7:$CC$1843,CC188,$AL$7:$AL$1843,"&gt;"&amp;AL188)+SUMIFS($AI$7:$AI$1843,$CC$7:$CC$1843,CC188,$AL$7:$AL$1843,AL188,$BT$7:$BT$1843,"&lt;="&amp;BT188),"")</f>
        <v>8329.31730769231</v>
      </c>
      <c r="AN188" s="58" t="n">
        <f aca="false">IF(AM188="",0,MAX(0,MIN(1,(IF(CC188="L1",Parameter!$H$5,IF(CC188="L23",Parameter!$H$6+Parameter!$H$7,Parameter!$H$5+Parameter!$H$6+Parameter!$H$7))-(AM188-AI188))/AI188)))</f>
        <v>1</v>
      </c>
      <c r="AO188" s="50" t="n">
        <f aca="false">IF(LEFT(Cockpit!$I$5,1)="A",H188,IF(CE188=1,CF188,IF(LEFT(Cockpit!$I$5,1)="B",AT188,MAX(AT188,H188))))</f>
        <v>30</v>
      </c>
      <c r="AP188" s="50" t="n">
        <f aca="false">IF(BW188=1,0,ROUNDUP(AO188/BV188,0))</f>
        <v>2</v>
      </c>
      <c r="AQ188" s="52" t="n">
        <f aca="false">IF(CL188&gt;0,CL188*MAX(1,AO188/X188),IF(BW188=1,IF(AO188&lt;=0,0,CA188*MAX(1,IF(H188&gt;0,AO188/H188,1))),IF(R188&gt;0,AP188/R188,0))/MAX(0.1,N(Parameter!$M$21)))</f>
        <v>0.333333333333333</v>
      </c>
      <c r="AR188" s="50" t="n">
        <f aca="false">AQ188*BY188</f>
        <v>78.3333333333333</v>
      </c>
      <c r="AS188" s="50" t="n">
        <f aca="false">AO188*G188</f>
        <v>4500.3</v>
      </c>
      <c r="AT188" s="50" t="n">
        <f aca="false">ROUNDUP(MAX(J188/IF(CD188&gt;0,CD188,MAX(0.1,N(Cockpit!$I$6))),CG188)/BV188,0)*BV188</f>
        <v>30</v>
      </c>
      <c r="AU188" s="51" t="n">
        <f aca="false">IF(AR188&gt;0,J188/AR188,-1)</f>
        <v>0.382978723404255</v>
      </c>
      <c r="AV188" s="51" t="n">
        <f aca="false">IF(AND(OR(CC188="L1",CC188="L23",CC188="LIFT"),AR188&gt;0),SUMIFS($AR$7:$AR$1843,$CC$7:$CC$1843,CC188,$AU$7:$AU$1843,"&gt;"&amp;AU188)+SUMIFS($AR$7:$AR$1843,$CC$7:$CC$1843,CC188,$AU$7:$AU$1843,AU188,$BT$7:$BT$1843,"&lt;="&amp;BT188),"")</f>
        <v>15362.1982600733</v>
      </c>
      <c r="AW188" s="58" t="n">
        <f aca="false">IF(AV188="",0,MAX(0,MIN(1,(IF(CC188="L1",Parameter!$H$5,IF(CC188="L23",Parameter!$H$6+Parameter!$H$7,Parameter!$H$5+Parameter!$H$6+Parameter!$H$7))-(AV188-AR188))/AR188)))</f>
        <v>1</v>
      </c>
      <c r="AX188" s="50" t="n">
        <f aca="false">IF(LEFT(Cockpit!$O$5,1)="A",H188,IF(CE188=1,CF188,IF(LEFT(Cockpit!$O$5,1)="B",BC188,MAX(BC188,H188))))</f>
        <v>30</v>
      </c>
      <c r="AY188" s="50" t="n">
        <f aca="false">IF(BW188=1,0,ROUNDUP(AX188/BV188,0))</f>
        <v>2</v>
      </c>
      <c r="AZ188" s="52" t="n">
        <f aca="false">IF(CL188&gt;0,CL188*MAX(1,AX188/X188),IF(BW188=1,IF(AX188&lt;=0,0,CA188*MAX(1,IF(H188&gt;0,AX188/H188,1))),IF(R188&gt;0,AY188/R188,0))/MAX(0.1,N(Parameter!$M$21)))</f>
        <v>0.333333333333333</v>
      </c>
      <c r="BA188" s="50" t="n">
        <f aca="false">AZ188*BY188</f>
        <v>78.3333333333333</v>
      </c>
      <c r="BB188" s="50" t="n">
        <f aca="false">AX188*G188</f>
        <v>4500.3</v>
      </c>
      <c r="BC188" s="50" t="n">
        <f aca="false">ROUNDUP(MAX(J188/IF(CD188&gt;0,CD188,MAX(0.1,N(Cockpit!$O$6))),CG188)/BV188,0)*BV188</f>
        <v>30</v>
      </c>
      <c r="BD188" s="51" t="n">
        <f aca="false">IF(BA188&gt;0,J188/BA188,-1)</f>
        <v>0.382978723404255</v>
      </c>
      <c r="BE188" s="51" t="n">
        <f aca="false">IF(AND(OR(CC188="L1",CC188="L23",CC188="LIFT"),BA188&gt;0),SUMIFS($BA$7:$BA$1843,$CC$7:$CC$1843,CC188,$BD$7:$BD$1843,"&gt;"&amp;BD188)+SUMIFS($BA$7:$BA$1843,$CC$7:$CC$1843,CC188,$BD$7:$BD$1843,BD188,$BT$7:$BT$1843,"&lt;="&amp;BT188),"")</f>
        <v>14347.8553113553</v>
      </c>
      <c r="BF188" s="58" t="n">
        <f aca="false">IF(BE188="",0,MAX(0,MIN(1,(IF(CC188="L1",Parameter!$H$5,IF(CC188="L23",Parameter!$H$6+Parameter!$H$7,Parameter!$H$5+Parameter!$H$6+Parameter!$H$7))-(BE188-BA188))/BA188)))</f>
        <v>1</v>
      </c>
      <c r="BG188" s="48" t="str">
        <f aca="false">IF(AI188&lt;=0,"",IF(CC188="Aussen","Aussenlager",IF(CC188="-","Nicht im Lift",IF(AN188&gt;=1,"Lift",IF(AN188&lt;=0,"Aussenlager","teilweise")))))</f>
        <v>Lift</v>
      </c>
      <c r="BH188" s="48" t="str">
        <f aca="false">IF(AR188&lt;=0,"",IF(CC188="Aussen","Aussenlager",IF(CC188="-","Nicht im Lift",IF(AW188&gt;=1,"Lift",IF(AW188&lt;=0,"Aussenlager","teilweise")))))</f>
        <v>Lift</v>
      </c>
      <c r="BI188" s="48" t="str">
        <f aca="false">IF(BA188&lt;=0,"",IF(CC188="Aussen","Aussenlager",IF(CC188="-","Nicht im Lift",IF(BF188&gt;=1,"Lift",IF(BF188&lt;=0,"Aussenlager","teilweise")))))</f>
        <v>Lift</v>
      </c>
      <c r="BJ188" s="48" t="str">
        <f aca="false">IF(A188="","",IF(BS188=1,"Neu; ","")&amp;IF(AND(BS188=0,BN188&lt;0),"negativer Bestand (Export "&amp;BN188&amp;"); ","")&amp;IF(J188&lt;=0,"Kein Verbrauch; ","")&amp;IF(CL188&gt;0,"Lift "&amp;W188&amp;" lt. Liftbericht (Fach "&amp;X188&amp;" Stk); ",IF(BX188=1,"Gebinde geschätzt ("&amp;T188&amp;"); ",IF(BW188=1,"Lose – Tablare geschätzt; ","")))&amp;IF(H188&gt;AT188,"Überbestand "&amp;ROUND(H188-AT188,0)&amp;" Stk / CHF "&amp;ROUND((H188-AT188)*G188,0)&amp;"; ","")&amp;IF(AND(CE188=1,CF188&lt;CG188),"MAX &lt; MB+LG; ","")&amp;IF(AND(CK188&gt;0,CJ188*10&gt;CK188),"zu hoch für Tablar; ","")&amp;IF(AND(BS188=0,OR(CE188=1,AA188&lt;&gt;"",U188&lt;&gt;"",V188&lt;&gt;"",AB188&lt;&gt;"")),"manuell übersteuert; ","")&amp;IF(AND(BW188=0,R188=0),"Gebinde unbekannt / Stellmass fehlt; ","")&amp;IF(AND(BW188=0,N(V188)&lt;=0,N(Q188)&lt;=0),"Menge pro Gebinde fehlt (Ist = 1 Gebinde); ","")&amp;BR188)</f>
        <v/>
      </c>
      <c r="BK188" s="48"/>
      <c r="BL188" s="48"/>
      <c r="BM188" s="55"/>
      <c r="BN188" s="50" t="n">
        <v>6</v>
      </c>
      <c r="BO188" s="50" t="n">
        <v>5</v>
      </c>
      <c r="BP188" s="49" t="n">
        <v>951.909999999999</v>
      </c>
      <c r="BQ188" s="50" t="n">
        <v>30</v>
      </c>
      <c r="BR188" s="48"/>
      <c r="BS188" s="53" t="n">
        <v>0</v>
      </c>
      <c r="BT188" s="53" t="n">
        <v>188</v>
      </c>
      <c r="BU188" s="48" t="str">
        <f aca="false">IF(U188&lt;&gt;"",UPPER(TRIM(U188)),IF(BX188=1,UPPER(VLOOKUP(T188,Parameter!$I$27:$K$29,2,0)),IF(P188="","LOSE",P188)))</f>
        <v>S71</v>
      </c>
      <c r="BV188" s="50" t="n">
        <f aca="false">IF(BU188="LOSE",1,IF(N(V188)&gt;0,V188,IF(BX188=1,MAX(1,N(VLOOKUP(T188,Parameter!$I$27:$K$29,3,0)),H188,N(N188)),IF(N(Q188)&gt;0,Q188,MAX(1,H188)))))</f>
        <v>15</v>
      </c>
      <c r="BW188" s="53" t="n">
        <f aca="false">IF(BU188="LOSE",1,0)</f>
        <v>0</v>
      </c>
      <c r="BX188" s="53" t="n">
        <f aca="false">IF(AND(U188="",OR(P188="",P188="LOSE"),T188&lt;&gt;"",N(S188)&lt;=0,ISNUMBER(MATCH(T188,Parameter!$I$27:$I$29,0))),1,0)</f>
        <v>0</v>
      </c>
      <c r="BY188" s="53" t="n">
        <f aca="false">IF(CL188&gt;0,INDEX(Parameter!$H$5:$H$7,W188)/INDEX(Parameter!$E$5:$E$7,W188),IF(AND(BW188=0,N(IFERROR(VLOOKUP(BU188,'Gebinde-Kategorie'!$A$5:$N$45,14,0),0))&gt;0),VLOOKUP(BU188,'Gebinde-Kategorie'!$A$5:$N$45,14,0)*10+Parameter!$M$23,Parameter!$M$24))</f>
        <v>235</v>
      </c>
      <c r="BZ188" s="48" t="n">
        <f aca="false">IF(AND(Parameter!$B$19="Ja",E188&lt;&gt;"",ISNUMBER(MATCH(E188,Parameter!$I$35:$I$52,0))),VLOOKUP(E188,Parameter!$I$35:$J$52,2,0),IFERROR(VLOOKUP(D188,Parameter!$A$35:$C$64,2,0),"Nein"))</f>
        <v>1</v>
      </c>
      <c r="CA188" s="52" t="n">
        <f aca="false">IF(BW188=0,0,IF(N(S188)&gt;0,S188,IFERROR(VLOOKUP(D188,Parameter!$A$35:$C$64,3,0)+0,0)))</f>
        <v>0</v>
      </c>
      <c r="CB188" s="48" t="n">
        <f aca="false">IF(AA188&lt;&gt;"",AA188,Z188)</f>
        <v>1</v>
      </c>
      <c r="CC188" s="48" t="str">
        <f aca="false">IF(OR(CB188=1,CB188=2,CB188=3),IF(Parameter!$E$27="Ja","LIFT",IF(CB188=1,"L1","L23")),IF(CB188="Aussen","Aussen","-"))</f>
        <v>LIFT</v>
      </c>
      <c r="CD188" s="59" t="n">
        <f aca="false">IF(N(AB188)&gt;0,AB188,0)</f>
        <v>0</v>
      </c>
      <c r="CE188" s="53" t="n">
        <f aca="false">IF(ISNUMBER(AE188),1,0)</f>
        <v>0</v>
      </c>
      <c r="CF188" s="50" t="n">
        <f aca="false">N(AE188)</f>
        <v>0</v>
      </c>
      <c r="CG188" s="50" t="n">
        <f aca="false">N(M188)+N(N188)</f>
        <v>16</v>
      </c>
      <c r="CH188" s="50" t="n">
        <f aca="false">ROUNDUP(H188/BV188,0)</f>
        <v>1</v>
      </c>
      <c r="CI188" s="50" t="n">
        <f aca="false">ROUNDUP(CF188/BV188,0)</f>
        <v>0</v>
      </c>
      <c r="CJ188" s="53" t="n">
        <f aca="false">IF(BW188=1,0,IFERROR(VLOOKUP(BU188,'Gebinde-Kategorie'!$A$5:$N$45,5,0)+0,0))</f>
        <v>20</v>
      </c>
      <c r="CK188" s="53" t="n">
        <f aca="false">IFERROR(IF(OR(CB188=1,CB188=2,CB188=3),N(INDEX(Parameter!$I$5:$I$7,CB188)),0),0)</f>
        <v>0</v>
      </c>
      <c r="CL188" s="52" t="n">
        <f aca="false">IF(AND(Parameter!$B$21="Ja",ISNUMBER(W188),N(X188)&gt;0),IFERROR(N(INDEX(Parameter!$L$5:$L$7,W188))*INDEX(Parameter!$E$5:$E$7,W188)*X188/SUMIFS($X$7:$X$1843,$W$7:$W$1843,W188),0),0)</f>
        <v>0</v>
      </c>
    </row>
    <row r="189" customFormat="false" ht="15" hidden="false" customHeight="false" outlineLevel="0" collapsed="false">
      <c r="A189" s="48" t="s">
        <v>585</v>
      </c>
      <c r="B189" s="48" t="s">
        <v>586</v>
      </c>
      <c r="C189" s="48" t="s">
        <v>168</v>
      </c>
      <c r="D189" s="48" t="s">
        <v>188</v>
      </c>
      <c r="E189" s="48" t="s">
        <v>189</v>
      </c>
      <c r="F189" s="48" t="s">
        <v>222</v>
      </c>
      <c r="G189" s="49" t="n">
        <v>33.18</v>
      </c>
      <c r="H189" s="50" t="n">
        <f aca="false">MAX(0,IF(AND(Parameter!$B$21="Ja",ISNUMBER(Y189)),Y189,IF(Parameter!$B$20="Jahresanfang 2025 + Export",BO189+BN189,BN189)))</f>
        <v>81</v>
      </c>
      <c r="I189" s="50" t="n">
        <f aca="false">H189*G189</f>
        <v>2687.58</v>
      </c>
      <c r="J189" s="50" t="n">
        <f aca="false">BQ189*Parameter!$B$18</f>
        <v>35</v>
      </c>
      <c r="K189" s="51" t="n">
        <v>77</v>
      </c>
      <c r="L189" s="52" t="n">
        <v>0.454545454545455</v>
      </c>
      <c r="M189" s="50" t="n">
        <v>8</v>
      </c>
      <c r="N189" s="50" t="n">
        <v>35</v>
      </c>
      <c r="O189" s="53" t="n">
        <v>84</v>
      </c>
      <c r="P189" s="48" t="s">
        <v>306</v>
      </c>
      <c r="Q189" s="50" t="n">
        <v>99</v>
      </c>
      <c r="R189" s="53" t="n">
        <f aca="false">IF(BW189=1,0,IFERROR(VLOOKUP(BU189,'Gebinde-Kategorie'!$A$5:$N$45,13,0)+0,0))</f>
        <v>26</v>
      </c>
      <c r="S189" s="54"/>
      <c r="T189" s="55"/>
      <c r="U189" s="55"/>
      <c r="V189" s="55"/>
      <c r="W189" s="48"/>
      <c r="X189" s="50"/>
      <c r="Y189" s="50"/>
      <c r="Z189" s="48" t="n">
        <f aca="false">IF(A189="","",IF(AND(Parameter!$B$21="Ja",ISNUMBER(W189)),W189,IF(BZ189="2+3",IF(ISNUMBER(SEARCH("grosser Artikel",BR189)),2,IFERROR(VLOOKUP(BU189,Parameter!$F$35:$G$64,2,0),2)),IF(OR(BZ189="Nein",BZ189=""),"-",BZ189))))</f>
        <v>3</v>
      </c>
      <c r="AA189" s="55"/>
      <c r="AB189" s="56"/>
      <c r="AC189" s="50" t="n">
        <f aca="false">AT189</f>
        <v>99</v>
      </c>
      <c r="AD189" s="50" t="n">
        <f aca="false">MAX(AT189,H189)</f>
        <v>99</v>
      </c>
      <c r="AE189" s="57"/>
      <c r="AF189" s="50" t="n">
        <f aca="false">IF(LEFT(Cockpit!$C$5,1)="A",H189,IF(CE189=1,CF189,IF(LEFT(Cockpit!$C$5,1)="B",AK189,MAX(AK189,H189))))</f>
        <v>81</v>
      </c>
      <c r="AG189" s="50" t="n">
        <f aca="false">IF(BW189=1,0,ROUNDUP(AF189/BV189,0))</f>
        <v>1</v>
      </c>
      <c r="AH189" s="52" t="n">
        <f aca="false">IF(CL189&gt;0,CL189*MAX(1,AF189/X189),IF(BW189=1,IF(AF189&lt;=0,0,CA189*MAX(1,IF(H189&gt;0,AF189/H189,1))),IF(R189&gt;0,AG189/R189,0))/MAX(0.1,N(Parameter!$M$21)))</f>
        <v>0.0384615384615385</v>
      </c>
      <c r="AI189" s="50" t="n">
        <f aca="false">AH189*BY189</f>
        <v>5.96153846153846</v>
      </c>
      <c r="AJ189" s="50" t="n">
        <f aca="false">AF189*G189</f>
        <v>2687.58</v>
      </c>
      <c r="AK189" s="50" t="n">
        <f aca="false">ROUNDUP(MAX(J189/IF(CD189&gt;0,CD189,MAX(0.1,N(Cockpit!$C$6))),CG189)/BV189,0)*BV189</f>
        <v>99</v>
      </c>
      <c r="AL189" s="51" t="n">
        <f aca="false">IF(AI189&gt;0,J189/AI189,-1)</f>
        <v>5.87096774193548</v>
      </c>
      <c r="AM189" s="51" t="n">
        <f aca="false">IF(AND(OR(CC189="L1",CC189="L23",CC189="LIFT"),AI189&gt;0),SUMIFS($AI$7:$AI$1843,$CC$7:$CC$1843,CC189,$AL$7:$AL$1843,"&gt;"&amp;AL189)+SUMIFS($AI$7:$AI$1843,$CC$7:$CC$1843,CC189,$AL$7:$AL$1843,AL189,$BT$7:$BT$1843,"&lt;="&amp;BT189),"")</f>
        <v>3528.87225274725</v>
      </c>
      <c r="AN189" s="58" t="n">
        <f aca="false">IF(AM189="",0,MAX(0,MIN(1,(IF(CC189="L1",Parameter!$H$5,IF(CC189="L23",Parameter!$H$6+Parameter!$H$7,Parameter!$H$5+Parameter!$H$6+Parameter!$H$7))-(AM189-AI189))/AI189)))</f>
        <v>1</v>
      </c>
      <c r="AO189" s="50" t="n">
        <f aca="false">IF(LEFT(Cockpit!$I$5,1)="A",H189,IF(CE189=1,CF189,IF(LEFT(Cockpit!$I$5,1)="B",AT189,MAX(AT189,H189))))</f>
        <v>99</v>
      </c>
      <c r="AP189" s="50" t="n">
        <f aca="false">IF(BW189=1,0,ROUNDUP(AO189/BV189,0))</f>
        <v>1</v>
      </c>
      <c r="AQ189" s="52" t="n">
        <f aca="false">IF(CL189&gt;0,CL189*MAX(1,AO189/X189),IF(BW189=1,IF(AO189&lt;=0,0,CA189*MAX(1,IF(H189&gt;0,AO189/H189,1))),IF(R189&gt;0,AP189/R189,0))/MAX(0.1,N(Parameter!$M$21)))</f>
        <v>0.0384615384615385</v>
      </c>
      <c r="AR189" s="50" t="n">
        <f aca="false">AQ189*BY189</f>
        <v>5.96153846153846</v>
      </c>
      <c r="AS189" s="50" t="n">
        <f aca="false">AO189*G189</f>
        <v>3284.82</v>
      </c>
      <c r="AT189" s="50" t="n">
        <f aca="false">ROUNDUP(MAX(J189/IF(CD189&gt;0,CD189,MAX(0.1,N(Cockpit!$I$6))),CG189)/BV189,0)*BV189</f>
        <v>99</v>
      </c>
      <c r="AU189" s="51" t="n">
        <f aca="false">IF(AR189&gt;0,J189/AR189,-1)</f>
        <v>5.87096774193548</v>
      </c>
      <c r="AV189" s="51" t="n">
        <f aca="false">IF(AND(OR(CC189="L1",CC189="L23",CC189="LIFT"),AR189&gt;0),SUMIFS($AR$7:$AR$1843,$CC$7:$CC$1843,CC189,$AU$7:$AU$1843,"&gt;"&amp;AU189)+SUMIFS($AR$7:$AR$1843,$CC$7:$CC$1843,CC189,$AU$7:$AU$1843,AU189,$BT$7:$BT$1843,"&lt;="&amp;BT189),"")</f>
        <v>4628.18360805861</v>
      </c>
      <c r="AW189" s="58" t="n">
        <f aca="false">IF(AV189="",0,MAX(0,MIN(1,(IF(CC189="L1",Parameter!$H$5,IF(CC189="L23",Parameter!$H$6+Parameter!$H$7,Parameter!$H$5+Parameter!$H$6+Parameter!$H$7))-(AV189-AR189))/AR189)))</f>
        <v>1</v>
      </c>
      <c r="AX189" s="50" t="n">
        <f aca="false">IF(LEFT(Cockpit!$O$5,1)="A",H189,IF(CE189=1,CF189,IF(LEFT(Cockpit!$O$5,1)="B",BC189,MAX(BC189,H189))))</f>
        <v>99</v>
      </c>
      <c r="AY189" s="50" t="n">
        <f aca="false">IF(BW189=1,0,ROUNDUP(AX189/BV189,0))</f>
        <v>1</v>
      </c>
      <c r="AZ189" s="52" t="n">
        <f aca="false">IF(CL189&gt;0,CL189*MAX(1,AX189/X189),IF(BW189=1,IF(AX189&lt;=0,0,CA189*MAX(1,IF(H189&gt;0,AX189/H189,1))),IF(R189&gt;0,AY189/R189,0))/MAX(0.1,N(Parameter!$M$21)))</f>
        <v>0.0384615384615385</v>
      </c>
      <c r="BA189" s="50" t="n">
        <f aca="false">AZ189*BY189</f>
        <v>5.96153846153846</v>
      </c>
      <c r="BB189" s="50" t="n">
        <f aca="false">AX189*G189</f>
        <v>3284.82</v>
      </c>
      <c r="BC189" s="50" t="n">
        <f aca="false">ROUNDUP(MAX(J189/IF(CD189&gt;0,CD189,MAX(0.1,N(Cockpit!$O$6))),CG189)/BV189,0)*BV189</f>
        <v>99</v>
      </c>
      <c r="BD189" s="51" t="n">
        <f aca="false">IF(BA189&gt;0,J189/BA189,-1)</f>
        <v>5.87096774193548</v>
      </c>
      <c r="BE189" s="51" t="n">
        <f aca="false">IF(AND(OR(CC189="L1",CC189="L23",CC189="LIFT"),BA189&gt;0),SUMIFS($BA$7:$BA$1843,$CC$7:$CC$1843,CC189,$BD$7:$BD$1843,"&gt;"&amp;BD189)+SUMIFS($BA$7:$BA$1843,$CC$7:$CC$1843,CC189,$BD$7:$BD$1843,BD189,$BT$7:$BT$1843,"&lt;="&amp;BT189),"")</f>
        <v>4419.48168498168</v>
      </c>
      <c r="BF189" s="58" t="n">
        <f aca="false">IF(BE189="",0,MAX(0,MIN(1,(IF(CC189="L1",Parameter!$H$5,IF(CC189="L23",Parameter!$H$6+Parameter!$H$7,Parameter!$H$5+Parameter!$H$6+Parameter!$H$7))-(BE189-BA189))/BA189)))</f>
        <v>1</v>
      </c>
      <c r="BG189" s="48" t="str">
        <f aca="false">IF(AI189&lt;=0,"",IF(CC189="Aussen","Aussenlager",IF(CC189="-","Nicht im Lift",IF(AN189&gt;=1,"Lift",IF(AN189&lt;=0,"Aussenlager","teilweise")))))</f>
        <v>Lift</v>
      </c>
      <c r="BH189" s="48" t="str">
        <f aca="false">IF(AR189&lt;=0,"",IF(CC189="Aussen","Aussenlager",IF(CC189="-","Nicht im Lift",IF(AW189&gt;=1,"Lift",IF(AW189&lt;=0,"Aussenlager","teilweise")))))</f>
        <v>Lift</v>
      </c>
      <c r="BI189" s="48" t="str">
        <f aca="false">IF(BA189&lt;=0,"",IF(CC189="Aussen","Aussenlager",IF(CC189="-","Nicht im Lift",IF(BF189&gt;=1,"Lift",IF(BF189&lt;=0,"Aussenlager","teilweise")))))</f>
        <v>Lift</v>
      </c>
      <c r="BJ189" s="48" t="str">
        <f aca="false">IF(A189="","",IF(BS189=1,"Neu; ","")&amp;IF(AND(BS189=0,BN189&lt;0),"negativer Bestand (Export "&amp;BN189&amp;"); ","")&amp;IF(J189&lt;=0,"Kein Verbrauch; ","")&amp;IF(CL189&gt;0,"Lift "&amp;W189&amp;" lt. Liftbericht (Fach "&amp;X189&amp;" Stk); ",IF(BX189=1,"Gebinde geschätzt ("&amp;T189&amp;"); ",IF(BW189=1,"Lose – Tablare geschätzt; ","")))&amp;IF(H189&gt;AT189,"Überbestand "&amp;ROUND(H189-AT189,0)&amp;" Stk / CHF "&amp;ROUND((H189-AT189)*G189,0)&amp;"; ","")&amp;IF(AND(CE189=1,CF189&lt;CG189),"MAX &lt; MB+LG; ","")&amp;IF(AND(CK189&gt;0,CJ189*10&gt;CK189),"zu hoch für Tablar; ","")&amp;IF(AND(BS189=0,OR(CE189=1,AA189&lt;&gt;"",U189&lt;&gt;"",V189&lt;&gt;"",AB189&lt;&gt;"")),"manuell übersteuert; ","")&amp;IF(AND(BW189=0,R189=0),"Gebinde unbekannt / Stellmass fehlt; ","")&amp;IF(AND(BW189=0,N(V189)&lt;=0,N(Q189)&lt;=0),"Menge pro Gebinde fehlt (Ist = 1 Gebinde); ","")&amp;BR189)</f>
        <v/>
      </c>
      <c r="BK189" s="48"/>
      <c r="BL189" s="48"/>
      <c r="BM189" s="55"/>
      <c r="BN189" s="50" t="n">
        <v>33</v>
      </c>
      <c r="BO189" s="50" t="n">
        <v>48</v>
      </c>
      <c r="BP189" s="49" t="n">
        <v>948.66</v>
      </c>
      <c r="BQ189" s="50" t="n">
        <v>35</v>
      </c>
      <c r="BR189" s="48"/>
      <c r="BS189" s="53" t="n">
        <v>0</v>
      </c>
      <c r="BT189" s="53" t="n">
        <v>189</v>
      </c>
      <c r="BU189" s="48" t="str">
        <f aca="false">IF(U189&lt;&gt;"",UPPER(TRIM(U189)),IF(BX189=1,UPPER(VLOOKUP(T189,Parameter!$I$27:$K$29,2,0)),IF(P189="","LOSE",P189)))</f>
        <v>S51</v>
      </c>
      <c r="BV189" s="50" t="n">
        <f aca="false">IF(BU189="LOSE",1,IF(N(V189)&gt;0,V189,IF(BX189=1,MAX(1,N(VLOOKUP(T189,Parameter!$I$27:$K$29,3,0)),H189,N(N189)),IF(N(Q189)&gt;0,Q189,MAX(1,H189)))))</f>
        <v>99</v>
      </c>
      <c r="BW189" s="53" t="n">
        <f aca="false">IF(BU189="LOSE",1,0)</f>
        <v>0</v>
      </c>
      <c r="BX189" s="53" t="n">
        <f aca="false">IF(AND(U189="",OR(P189="",P189="LOSE"),T189&lt;&gt;"",N(S189)&lt;=0,ISNUMBER(MATCH(T189,Parameter!$I$27:$I$29,0))),1,0)</f>
        <v>0</v>
      </c>
      <c r="BY189" s="53" t="n">
        <f aca="false">IF(CL189&gt;0,INDEX(Parameter!$H$5:$H$7,W189)/INDEX(Parameter!$E$5:$E$7,W189),IF(AND(BW189=0,N(IFERROR(VLOOKUP(BU189,'Gebinde-Kategorie'!$A$5:$N$45,14,0),0))&gt;0),VLOOKUP(BU189,'Gebinde-Kategorie'!$A$5:$N$45,14,0)*10+Parameter!$M$23,Parameter!$M$24))</f>
        <v>155</v>
      </c>
      <c r="BZ189" s="48" t="str">
        <f aca="false">IF(AND(Parameter!$B$19="Ja",E189&lt;&gt;"",ISNUMBER(MATCH(E189,Parameter!$I$35:$I$52,0))),VLOOKUP(E189,Parameter!$I$35:$J$52,2,0),IFERROR(VLOOKUP(D189,Parameter!$A$35:$C$64,2,0),"Nein"))</f>
        <v>2+3</v>
      </c>
      <c r="CA189" s="52" t="n">
        <f aca="false">IF(BW189=0,0,IF(N(S189)&gt;0,S189,IFERROR(VLOOKUP(D189,Parameter!$A$35:$C$64,3,0)+0,0)))</f>
        <v>0</v>
      </c>
      <c r="CB189" s="48" t="n">
        <f aca="false">IF(AA189&lt;&gt;"",AA189,Z189)</f>
        <v>3</v>
      </c>
      <c r="CC189" s="48" t="str">
        <f aca="false">IF(OR(CB189=1,CB189=2,CB189=3),IF(Parameter!$E$27="Ja","LIFT",IF(CB189=1,"L1","L23")),IF(CB189="Aussen","Aussen","-"))</f>
        <v>LIFT</v>
      </c>
      <c r="CD189" s="59" t="n">
        <f aca="false">IF(N(AB189)&gt;0,AB189,0)</f>
        <v>0</v>
      </c>
      <c r="CE189" s="53" t="n">
        <f aca="false">IF(ISNUMBER(AE189),1,0)</f>
        <v>0</v>
      </c>
      <c r="CF189" s="50" t="n">
        <f aca="false">N(AE189)</f>
        <v>0</v>
      </c>
      <c r="CG189" s="50" t="n">
        <f aca="false">N(M189)+N(N189)</f>
        <v>43</v>
      </c>
      <c r="CH189" s="50" t="n">
        <f aca="false">ROUNDUP(H189/BV189,0)</f>
        <v>1</v>
      </c>
      <c r="CI189" s="50" t="n">
        <f aca="false">ROUNDUP(CF189/BV189,0)</f>
        <v>0</v>
      </c>
      <c r="CJ189" s="53" t="n">
        <f aca="false">IF(BW189=1,0,IFERROR(VLOOKUP(BU189,'Gebinde-Kategorie'!$A$5:$N$45,5,0)+0,0))</f>
        <v>11</v>
      </c>
      <c r="CK189" s="53" t="n">
        <f aca="false">IFERROR(IF(OR(CB189=1,CB189=2,CB189=3),N(INDEX(Parameter!$I$5:$I$7,CB189)),0),0)</f>
        <v>0</v>
      </c>
      <c r="CL189" s="52" t="n">
        <f aca="false">IF(AND(Parameter!$B$21="Ja",ISNUMBER(W189),N(X189)&gt;0),IFERROR(N(INDEX(Parameter!$L$5:$L$7,W189))*INDEX(Parameter!$E$5:$E$7,W189)*X189/SUMIFS($X$7:$X$1843,$W$7:$W$1843,W189),0),0)</f>
        <v>0</v>
      </c>
    </row>
    <row r="190" customFormat="false" ht="15" hidden="false" customHeight="false" outlineLevel="0" collapsed="false">
      <c r="A190" s="48" t="s">
        <v>587</v>
      </c>
      <c r="B190" s="48" t="s">
        <v>429</v>
      </c>
      <c r="C190" s="48" t="s">
        <v>168</v>
      </c>
      <c r="D190" s="48" t="s">
        <v>188</v>
      </c>
      <c r="E190" s="48" t="s">
        <v>189</v>
      </c>
      <c r="F190" s="48" t="s">
        <v>222</v>
      </c>
      <c r="G190" s="49" t="n">
        <v>10.96</v>
      </c>
      <c r="H190" s="50" t="n">
        <f aca="false">MAX(0,IF(AND(Parameter!$B$21="Ja",ISNUMBER(Y190)),Y190,IF(Parameter!$B$20="Jahresanfang 2025 + Export",BO190+BN190,BN190)))</f>
        <v>134</v>
      </c>
      <c r="I190" s="50" t="n">
        <f aca="false">H190*G190</f>
        <v>1468.64</v>
      </c>
      <c r="J190" s="50" t="n">
        <f aca="false">BQ190*Parameter!$B$18</f>
        <v>156</v>
      </c>
      <c r="K190" s="51" t="n">
        <v>33</v>
      </c>
      <c r="L190" s="52" t="n">
        <v>4.72727272727273</v>
      </c>
      <c r="M190" s="50" t="n">
        <v>10</v>
      </c>
      <c r="N190" s="50" t="n">
        <v>50</v>
      </c>
      <c r="O190" s="53" t="n">
        <v>21</v>
      </c>
      <c r="P190" s="48" t="s">
        <v>306</v>
      </c>
      <c r="Q190" s="50" t="n">
        <v>61</v>
      </c>
      <c r="R190" s="53" t="n">
        <f aca="false">IF(BW190=1,0,IFERROR(VLOOKUP(BU190,'Gebinde-Kategorie'!$A$5:$N$45,13,0)+0,0))</f>
        <v>26</v>
      </c>
      <c r="S190" s="54"/>
      <c r="T190" s="55"/>
      <c r="U190" s="55"/>
      <c r="V190" s="55"/>
      <c r="W190" s="48"/>
      <c r="X190" s="50"/>
      <c r="Y190" s="50"/>
      <c r="Z190" s="48" t="n">
        <f aca="false">IF(A190="","",IF(AND(Parameter!$B$21="Ja",ISNUMBER(W190)),W190,IF(BZ190="2+3",IF(ISNUMBER(SEARCH("grosser Artikel",BR190)),2,IFERROR(VLOOKUP(BU190,Parameter!$F$35:$G$64,2,0),2)),IF(OR(BZ190="Nein",BZ190=""),"-",BZ190))))</f>
        <v>3</v>
      </c>
      <c r="AA190" s="55"/>
      <c r="AB190" s="56"/>
      <c r="AC190" s="50" t="n">
        <f aca="false">AT190</f>
        <v>122</v>
      </c>
      <c r="AD190" s="50" t="n">
        <f aca="false">MAX(AT190,H190)</f>
        <v>134</v>
      </c>
      <c r="AE190" s="57"/>
      <c r="AF190" s="50" t="n">
        <f aca="false">IF(LEFT(Cockpit!$C$5,1)="A",H190,IF(CE190=1,CF190,IF(LEFT(Cockpit!$C$5,1)="B",AK190,MAX(AK190,H190))))</f>
        <v>134</v>
      </c>
      <c r="AG190" s="50" t="n">
        <f aca="false">IF(BW190=1,0,ROUNDUP(AF190/BV190,0))</f>
        <v>3</v>
      </c>
      <c r="AH190" s="52" t="n">
        <f aca="false">IF(CL190&gt;0,CL190*MAX(1,AF190/X190),IF(BW190=1,IF(AF190&lt;=0,0,CA190*MAX(1,IF(H190&gt;0,AF190/H190,1))),IF(R190&gt;0,AG190/R190,0))/MAX(0.1,N(Parameter!$M$21)))</f>
        <v>0.115384615384615</v>
      </c>
      <c r="AI190" s="50" t="n">
        <f aca="false">AH190*BY190</f>
        <v>17.8846153846154</v>
      </c>
      <c r="AJ190" s="50" t="n">
        <f aca="false">AF190*G190</f>
        <v>1468.64</v>
      </c>
      <c r="AK190" s="50" t="n">
        <f aca="false">ROUNDUP(MAX(J190/IF(CD190&gt;0,CD190,MAX(0.1,N(Cockpit!$C$6))),CG190)/BV190,0)*BV190</f>
        <v>122</v>
      </c>
      <c r="AL190" s="51" t="n">
        <f aca="false">IF(AI190&gt;0,J190/AI190,-1)</f>
        <v>8.72258064516129</v>
      </c>
      <c r="AM190" s="51" t="n">
        <f aca="false">IF(AND(OR(CC190="L1",CC190="L23",CC190="LIFT"),AI190&gt;0),SUMIFS($AI$7:$AI$1843,$CC$7:$CC$1843,CC190,$AL$7:$AL$1843,"&gt;"&amp;AL190)+SUMIFS($AI$7:$AI$1843,$CC$7:$CC$1843,CC190,$AL$7:$AL$1843,AL190,$BT$7:$BT$1843,"&lt;="&amp;BT190),"")</f>
        <v>2947.94917582418</v>
      </c>
      <c r="AN190" s="58" t="n">
        <f aca="false">IF(AM190="",0,MAX(0,MIN(1,(IF(CC190="L1",Parameter!$H$5,IF(CC190="L23",Parameter!$H$6+Parameter!$H$7,Parameter!$H$5+Parameter!$H$6+Parameter!$H$7))-(AM190-AI190))/AI190)))</f>
        <v>1</v>
      </c>
      <c r="AO190" s="50" t="n">
        <f aca="false">IF(LEFT(Cockpit!$I$5,1)="A",H190,IF(CE190=1,CF190,IF(LEFT(Cockpit!$I$5,1)="B",AT190,MAX(AT190,H190))))</f>
        <v>134</v>
      </c>
      <c r="AP190" s="50" t="n">
        <f aca="false">IF(BW190=1,0,ROUNDUP(AO190/BV190,0))</f>
        <v>3</v>
      </c>
      <c r="AQ190" s="52" t="n">
        <f aca="false">IF(CL190&gt;0,CL190*MAX(1,AO190/X190),IF(BW190=1,IF(AO190&lt;=0,0,CA190*MAX(1,IF(H190&gt;0,AO190/H190,1))),IF(R190&gt;0,AP190/R190,0))/MAX(0.1,N(Parameter!$M$21)))</f>
        <v>0.115384615384615</v>
      </c>
      <c r="AR190" s="50" t="n">
        <f aca="false">AQ190*BY190</f>
        <v>17.8846153846154</v>
      </c>
      <c r="AS190" s="50" t="n">
        <f aca="false">AO190*G190</f>
        <v>1468.64</v>
      </c>
      <c r="AT190" s="50" t="n">
        <f aca="false">ROUNDUP(MAX(J190/IF(CD190&gt;0,CD190,MAX(0.1,N(Cockpit!$I$6))),CG190)/BV190,0)*BV190</f>
        <v>122</v>
      </c>
      <c r="AU190" s="51" t="n">
        <f aca="false">IF(AR190&gt;0,J190/AR190,-1)</f>
        <v>8.72258064516129</v>
      </c>
      <c r="AV190" s="51" t="n">
        <f aca="false">IF(AND(OR(CC190="L1",CC190="L23",CC190="LIFT"),AR190&gt;0),SUMIFS($AR$7:$AR$1843,$CC$7:$CC$1843,CC190,$AU$7:$AU$1843,"&gt;"&amp;AU190)+SUMIFS($AR$7:$AR$1843,$CC$7:$CC$1843,CC190,$AU$7:$AU$1843,AU190,$BT$7:$BT$1843,"&lt;="&amp;BT190),"")</f>
        <v>4193.54990842491</v>
      </c>
      <c r="AW190" s="58" t="n">
        <f aca="false">IF(AV190="",0,MAX(0,MIN(1,(IF(CC190="L1",Parameter!$H$5,IF(CC190="L23",Parameter!$H$6+Parameter!$H$7,Parameter!$H$5+Parameter!$H$6+Parameter!$H$7))-(AV190-AR190))/AR190)))</f>
        <v>1</v>
      </c>
      <c r="AX190" s="50" t="n">
        <f aca="false">IF(LEFT(Cockpit!$O$5,1)="A",H190,IF(CE190=1,CF190,IF(LEFT(Cockpit!$O$5,1)="B",BC190,MAX(BC190,H190))))</f>
        <v>134</v>
      </c>
      <c r="AY190" s="50" t="n">
        <f aca="false">IF(BW190=1,0,ROUNDUP(AX190/BV190,0))</f>
        <v>3</v>
      </c>
      <c r="AZ190" s="52" t="n">
        <f aca="false">IF(CL190&gt;0,CL190*MAX(1,AX190/X190),IF(BW190=1,IF(AX190&lt;=0,0,CA190*MAX(1,IF(H190&gt;0,AX190/H190,1))),IF(R190&gt;0,AY190/R190,0))/MAX(0.1,N(Parameter!$M$21)))</f>
        <v>0.115384615384615</v>
      </c>
      <c r="BA190" s="50" t="n">
        <f aca="false">AZ190*BY190</f>
        <v>17.8846153846154</v>
      </c>
      <c r="BB190" s="50" t="n">
        <f aca="false">AX190*G190</f>
        <v>1468.64</v>
      </c>
      <c r="BC190" s="50" t="n">
        <f aca="false">ROUNDUP(MAX(J190/IF(CD190&gt;0,CD190,MAX(0.1,N(Cockpit!$O$6))),CG190)/BV190,0)*BV190</f>
        <v>61</v>
      </c>
      <c r="BD190" s="51" t="n">
        <f aca="false">IF(BA190&gt;0,J190/BA190,-1)</f>
        <v>8.72258064516129</v>
      </c>
      <c r="BE190" s="51" t="n">
        <f aca="false">IF(AND(OR(CC190="L1",CC190="L23",CC190="LIFT"),BA190&gt;0),SUMIFS($BA$7:$BA$1843,$CC$7:$CC$1843,CC190,$BD$7:$BD$1843,"&gt;"&amp;BD190)+SUMIFS($BA$7:$BA$1843,$CC$7:$CC$1843,CC190,$BD$7:$BD$1843,BD190,$BT$7:$BT$1843,"&lt;="&amp;BT190),"")</f>
        <v>3851.67490842491</v>
      </c>
      <c r="BF190" s="58" t="n">
        <f aca="false">IF(BE190="",0,MAX(0,MIN(1,(IF(CC190="L1",Parameter!$H$5,IF(CC190="L23",Parameter!$H$6+Parameter!$H$7,Parameter!$H$5+Parameter!$H$6+Parameter!$H$7))-(BE190-BA190))/BA190)))</f>
        <v>1</v>
      </c>
      <c r="BG190" s="48" t="str">
        <f aca="false">IF(AI190&lt;=0,"",IF(CC190="Aussen","Aussenlager",IF(CC190="-","Nicht im Lift",IF(AN190&gt;=1,"Lift",IF(AN190&lt;=0,"Aussenlager","teilweise")))))</f>
        <v>Lift</v>
      </c>
      <c r="BH190" s="48" t="str">
        <f aca="false">IF(AR190&lt;=0,"",IF(CC190="Aussen","Aussenlager",IF(CC190="-","Nicht im Lift",IF(AW190&gt;=1,"Lift",IF(AW190&lt;=0,"Aussenlager","teilweise")))))</f>
        <v>Lift</v>
      </c>
      <c r="BI190" s="48" t="str">
        <f aca="false">IF(BA190&lt;=0,"",IF(CC190="Aussen","Aussenlager",IF(CC190="-","Nicht im Lift",IF(BF190&gt;=1,"Lift",IF(BF190&lt;=0,"Aussenlager","teilweise")))))</f>
        <v>Lift</v>
      </c>
      <c r="BJ190" s="48" t="str">
        <f aca="false">IF(A190="","",IF(BS190=1,"Neu; ","")&amp;IF(AND(BS190=0,BN190&lt;0),"negativer Bestand (Export "&amp;BN190&amp;"); ","")&amp;IF(J190&lt;=0,"Kein Verbrauch; ","")&amp;IF(CL190&gt;0,"Lift "&amp;W190&amp;" lt. Liftbericht (Fach "&amp;X190&amp;" Stk); ",IF(BX190=1,"Gebinde geschätzt ("&amp;T190&amp;"); ",IF(BW190=1,"Lose – Tablare geschätzt; ","")))&amp;IF(H190&gt;AT190,"Überbestand "&amp;ROUND(H190-AT190,0)&amp;" Stk / CHF "&amp;ROUND((H190-AT190)*G190,0)&amp;"; ","")&amp;IF(AND(CE190=1,CF190&lt;CG190),"MAX &lt; MB+LG; ","")&amp;IF(AND(CK190&gt;0,CJ190*10&gt;CK190),"zu hoch für Tablar; ","")&amp;IF(AND(BS190=0,OR(CE190=1,AA190&lt;&gt;"",U190&lt;&gt;"",V190&lt;&gt;"",AB190&lt;&gt;"")),"manuell übersteuert; ","")&amp;IF(AND(BW190=0,R190=0),"Gebinde unbekannt / Stellmass fehlt; ","")&amp;IF(AND(BW190=0,N(V190)&lt;=0,N(Q190)&lt;=0),"Menge pro Gebinde fehlt (Ist = 1 Gebinde); ","")&amp;BR190)</f>
        <v>Überbestand 12 Stk / CHF 132; </v>
      </c>
      <c r="BK190" s="48"/>
      <c r="BL190" s="48"/>
      <c r="BM190" s="55"/>
      <c r="BN190" s="50" t="n">
        <v>98</v>
      </c>
      <c r="BO190" s="50" t="n">
        <v>36</v>
      </c>
      <c r="BP190" s="49" t="n">
        <v>926.84</v>
      </c>
      <c r="BQ190" s="50" t="n">
        <v>156</v>
      </c>
      <c r="BR190" s="48"/>
      <c r="BS190" s="53" t="n">
        <v>0</v>
      </c>
      <c r="BT190" s="53" t="n">
        <v>190</v>
      </c>
      <c r="BU190" s="48" t="str">
        <f aca="false">IF(U190&lt;&gt;"",UPPER(TRIM(U190)),IF(BX190=1,UPPER(VLOOKUP(T190,Parameter!$I$27:$K$29,2,0)),IF(P190="","LOSE",P190)))</f>
        <v>S51</v>
      </c>
      <c r="BV190" s="50" t="n">
        <f aca="false">IF(BU190="LOSE",1,IF(N(V190)&gt;0,V190,IF(BX190=1,MAX(1,N(VLOOKUP(T190,Parameter!$I$27:$K$29,3,0)),H190,N(N190)),IF(N(Q190)&gt;0,Q190,MAX(1,H190)))))</f>
        <v>61</v>
      </c>
      <c r="BW190" s="53" t="n">
        <f aca="false">IF(BU190="LOSE",1,0)</f>
        <v>0</v>
      </c>
      <c r="BX190" s="53" t="n">
        <f aca="false">IF(AND(U190="",OR(P190="",P190="LOSE"),T190&lt;&gt;"",N(S190)&lt;=0,ISNUMBER(MATCH(T190,Parameter!$I$27:$I$29,0))),1,0)</f>
        <v>0</v>
      </c>
      <c r="BY190" s="53" t="n">
        <f aca="false">IF(CL190&gt;0,INDEX(Parameter!$H$5:$H$7,W190)/INDEX(Parameter!$E$5:$E$7,W190),IF(AND(BW190=0,N(IFERROR(VLOOKUP(BU190,'Gebinde-Kategorie'!$A$5:$N$45,14,0),0))&gt;0),VLOOKUP(BU190,'Gebinde-Kategorie'!$A$5:$N$45,14,0)*10+Parameter!$M$23,Parameter!$M$24))</f>
        <v>155</v>
      </c>
      <c r="BZ190" s="48" t="str">
        <f aca="false">IF(AND(Parameter!$B$19="Ja",E190&lt;&gt;"",ISNUMBER(MATCH(E190,Parameter!$I$35:$I$52,0))),VLOOKUP(E190,Parameter!$I$35:$J$52,2,0),IFERROR(VLOOKUP(D190,Parameter!$A$35:$C$64,2,0),"Nein"))</f>
        <v>2+3</v>
      </c>
      <c r="CA190" s="52" t="n">
        <f aca="false">IF(BW190=0,0,IF(N(S190)&gt;0,S190,IFERROR(VLOOKUP(D190,Parameter!$A$35:$C$64,3,0)+0,0)))</f>
        <v>0</v>
      </c>
      <c r="CB190" s="48" t="n">
        <f aca="false">IF(AA190&lt;&gt;"",AA190,Z190)</f>
        <v>3</v>
      </c>
      <c r="CC190" s="48" t="str">
        <f aca="false">IF(OR(CB190=1,CB190=2,CB190=3),IF(Parameter!$E$27="Ja","LIFT",IF(CB190=1,"L1","L23")),IF(CB190="Aussen","Aussen","-"))</f>
        <v>LIFT</v>
      </c>
      <c r="CD190" s="59" t="n">
        <f aca="false">IF(N(AB190)&gt;0,AB190,0)</f>
        <v>0</v>
      </c>
      <c r="CE190" s="53" t="n">
        <f aca="false">IF(ISNUMBER(AE190),1,0)</f>
        <v>0</v>
      </c>
      <c r="CF190" s="50" t="n">
        <f aca="false">N(AE190)</f>
        <v>0</v>
      </c>
      <c r="CG190" s="50" t="n">
        <f aca="false">N(M190)+N(N190)</f>
        <v>60</v>
      </c>
      <c r="CH190" s="50" t="n">
        <f aca="false">ROUNDUP(H190/BV190,0)</f>
        <v>3</v>
      </c>
      <c r="CI190" s="50" t="n">
        <f aca="false">ROUNDUP(CF190/BV190,0)</f>
        <v>0</v>
      </c>
      <c r="CJ190" s="53" t="n">
        <f aca="false">IF(BW190=1,0,IFERROR(VLOOKUP(BU190,'Gebinde-Kategorie'!$A$5:$N$45,5,0)+0,0))</f>
        <v>11</v>
      </c>
      <c r="CK190" s="53" t="n">
        <f aca="false">IFERROR(IF(OR(CB190=1,CB190=2,CB190=3),N(INDEX(Parameter!$I$5:$I$7,CB190)),0),0)</f>
        <v>0</v>
      </c>
      <c r="CL190" s="52" t="n">
        <f aca="false">IF(AND(Parameter!$B$21="Ja",ISNUMBER(W190),N(X190)&gt;0),IFERROR(N(INDEX(Parameter!$L$5:$L$7,W190))*INDEX(Parameter!$E$5:$E$7,W190)*X190/SUMIFS($X$7:$X$1843,$W$7:$W$1843,W190),0),0)</f>
        <v>0</v>
      </c>
    </row>
    <row r="191" customFormat="false" ht="15" hidden="false" customHeight="false" outlineLevel="0" collapsed="false">
      <c r="A191" s="48" t="s">
        <v>588</v>
      </c>
      <c r="B191" s="48" t="s">
        <v>589</v>
      </c>
      <c r="C191" s="48" t="s">
        <v>168</v>
      </c>
      <c r="D191" s="48" t="s">
        <v>177</v>
      </c>
      <c r="E191" s="48"/>
      <c r="F191" s="48" t="s">
        <v>222</v>
      </c>
      <c r="G191" s="49" t="n">
        <v>185.13</v>
      </c>
      <c r="H191" s="50" t="n">
        <f aca="false">MAX(0,IF(AND(Parameter!$B$21="Ja",ISNUMBER(Y191)),Y191,IF(Parameter!$B$20="Jahresanfang 2025 + Export",BO191+BN191,BN191)))</f>
        <v>5</v>
      </c>
      <c r="I191" s="50" t="n">
        <f aca="false">H191*G191</f>
        <v>925.65</v>
      </c>
      <c r="J191" s="50" t="n">
        <f aca="false">BQ191*Parameter!$B$18</f>
        <v>2</v>
      </c>
      <c r="K191" s="51" t="n">
        <v>1.5</v>
      </c>
      <c r="L191" s="52" t="n">
        <v>1.33333333333333</v>
      </c>
      <c r="M191" s="50" t="n">
        <v>0</v>
      </c>
      <c r="N191" s="50" t="n">
        <v>1</v>
      </c>
      <c r="O191" s="53" t="n">
        <v>31</v>
      </c>
      <c r="P191" s="48" t="s">
        <v>172</v>
      </c>
      <c r="Q191" s="50"/>
      <c r="R191" s="53" t="n">
        <f aca="false">IF(BW191=1,0,IFERROR(VLOOKUP(BU191,'Gebinde-Kategorie'!$A$5:$N$45,13,0)+0,0))</f>
        <v>26</v>
      </c>
      <c r="S191" s="54"/>
      <c r="T191" s="55" t="s">
        <v>279</v>
      </c>
      <c r="U191" s="55"/>
      <c r="V191" s="55"/>
      <c r="W191" s="48"/>
      <c r="X191" s="50"/>
      <c r="Y191" s="50"/>
      <c r="Z191" s="48" t="n">
        <f aca="false">IF(A191="","",IF(AND(Parameter!$B$21="Ja",ISNUMBER(W191)),W191,IF(BZ191="2+3",IF(ISNUMBER(SEARCH("grosser Artikel",BR191)),2,IFERROR(VLOOKUP(BU191,Parameter!$F$35:$G$64,2,0),2)),IF(OR(BZ191="Nein",BZ191=""),"-",BZ191))))</f>
        <v>3</v>
      </c>
      <c r="AA191" s="55"/>
      <c r="AB191" s="56"/>
      <c r="AC191" s="50" t="n">
        <f aca="false">AT191</f>
        <v>20</v>
      </c>
      <c r="AD191" s="50" t="n">
        <f aca="false">MAX(AT191,H191)</f>
        <v>20</v>
      </c>
      <c r="AE191" s="57"/>
      <c r="AF191" s="50" t="n">
        <f aca="false">IF(LEFT(Cockpit!$C$5,1)="A",H191,IF(CE191=1,CF191,IF(LEFT(Cockpit!$C$5,1)="B",AK191,MAX(AK191,H191))))</f>
        <v>5</v>
      </c>
      <c r="AG191" s="50" t="n">
        <f aca="false">IF(BW191=1,0,ROUNDUP(AF191/BV191,0))</f>
        <v>1</v>
      </c>
      <c r="AH191" s="52" t="n">
        <f aca="false">IF(CL191&gt;0,CL191*MAX(1,AF191/X191),IF(BW191=1,IF(AF191&lt;=0,0,CA191*MAX(1,IF(H191&gt;0,AF191/H191,1))),IF(R191&gt;0,AG191/R191,0))/MAX(0.1,N(Parameter!$M$21)))</f>
        <v>0.0384615384615385</v>
      </c>
      <c r="AI191" s="50" t="n">
        <f aca="false">AH191*BY191</f>
        <v>5.96153846153846</v>
      </c>
      <c r="AJ191" s="50" t="n">
        <f aca="false">AF191*G191</f>
        <v>925.65</v>
      </c>
      <c r="AK191" s="50" t="n">
        <f aca="false">ROUNDUP(MAX(J191/IF(CD191&gt;0,CD191,MAX(0.1,N(Cockpit!$C$6))),CG191)/BV191,0)*BV191</f>
        <v>20</v>
      </c>
      <c r="AL191" s="51" t="n">
        <f aca="false">IF(AI191&gt;0,J191/AI191,-1)</f>
        <v>0.335483870967742</v>
      </c>
      <c r="AM191" s="51" t="n">
        <f aca="false">IF(AND(OR(CC191="L1",CC191="L23",CC191="LIFT"),AI191&gt;0),SUMIFS($AI$7:$AI$1843,$CC$7:$CC$1843,CC191,$AL$7:$AL$1843,"&gt;"&amp;AL191)+SUMIFS($AI$7:$AI$1843,$CC$7:$CC$1843,CC191,$AL$7:$AL$1843,AL191,$BT$7:$BT$1843,"&lt;="&amp;BT191),"")</f>
        <v>11168.1347317936</v>
      </c>
      <c r="AN191" s="58" t="n">
        <f aca="false">IF(AM191="",0,MAX(0,MIN(1,(IF(CC191="L1",Parameter!$H$5,IF(CC191="L23",Parameter!$H$6+Parameter!$H$7,Parameter!$H$5+Parameter!$H$6+Parameter!$H$7))-(AM191-AI191))/AI191)))</f>
        <v>1</v>
      </c>
      <c r="AO191" s="50" t="n">
        <f aca="false">IF(LEFT(Cockpit!$I$5,1)="A",H191,IF(CE191=1,CF191,IF(LEFT(Cockpit!$I$5,1)="B",AT191,MAX(AT191,H191))))</f>
        <v>20</v>
      </c>
      <c r="AP191" s="50" t="n">
        <f aca="false">IF(BW191=1,0,ROUNDUP(AO191/BV191,0))</f>
        <v>1</v>
      </c>
      <c r="AQ191" s="52" t="n">
        <f aca="false">IF(CL191&gt;0,CL191*MAX(1,AO191/X191),IF(BW191=1,IF(AO191&lt;=0,0,CA191*MAX(1,IF(H191&gt;0,AO191/H191,1))),IF(R191&gt;0,AP191/R191,0))/MAX(0.1,N(Parameter!$M$21)))</f>
        <v>0.0384615384615385</v>
      </c>
      <c r="AR191" s="50" t="n">
        <f aca="false">AQ191*BY191</f>
        <v>5.96153846153846</v>
      </c>
      <c r="AS191" s="50" t="n">
        <f aca="false">AO191*G191</f>
        <v>3702.6</v>
      </c>
      <c r="AT191" s="50" t="n">
        <f aca="false">ROUNDUP(MAX(J191/IF(CD191&gt;0,CD191,MAX(0.1,N(Cockpit!$I$6))),CG191)/BV191,0)*BV191</f>
        <v>20</v>
      </c>
      <c r="AU191" s="51" t="n">
        <f aca="false">IF(AR191&gt;0,J191/AR191,-1)</f>
        <v>0.335483870967742</v>
      </c>
      <c r="AV191" s="51" t="n">
        <f aca="false">IF(AND(OR(CC191="L1",CC191="L23",CC191="LIFT"),AR191&gt;0),SUMIFS($AR$7:$AR$1843,$CC$7:$CC$1843,CC191,$AU$7:$AU$1843,"&gt;"&amp;AU191)+SUMIFS($AR$7:$AR$1843,$CC$7:$CC$1843,CC191,$AU$7:$AU$1843,AU191,$BT$7:$BT$1843,"&lt;="&amp;BT191),"")</f>
        <v>16269.9867216117</v>
      </c>
      <c r="AW191" s="58" t="n">
        <f aca="false">IF(AV191="",0,MAX(0,MIN(1,(IF(CC191="L1",Parameter!$H$5,IF(CC191="L23",Parameter!$H$6+Parameter!$H$7,Parameter!$H$5+Parameter!$H$6+Parameter!$H$7))-(AV191-AR191))/AR191)))</f>
        <v>1</v>
      </c>
      <c r="AX191" s="50" t="n">
        <f aca="false">IF(LEFT(Cockpit!$O$5,1)="A",H191,IF(CE191=1,CF191,IF(LEFT(Cockpit!$O$5,1)="B",BC191,MAX(BC191,H191))))</f>
        <v>20</v>
      </c>
      <c r="AY191" s="50" t="n">
        <f aca="false">IF(BW191=1,0,ROUNDUP(AX191/BV191,0))</f>
        <v>1</v>
      </c>
      <c r="AZ191" s="52" t="n">
        <f aca="false">IF(CL191&gt;0,CL191*MAX(1,AX191/X191),IF(BW191=1,IF(AX191&lt;=0,0,CA191*MAX(1,IF(H191&gt;0,AX191/H191,1))),IF(R191&gt;0,AY191/R191,0))/MAX(0.1,N(Parameter!$M$21)))</f>
        <v>0.0384615384615385</v>
      </c>
      <c r="BA191" s="50" t="n">
        <f aca="false">AZ191*BY191</f>
        <v>5.96153846153846</v>
      </c>
      <c r="BB191" s="50" t="n">
        <f aca="false">AX191*G191</f>
        <v>3702.6</v>
      </c>
      <c r="BC191" s="50" t="n">
        <f aca="false">ROUNDUP(MAX(J191/IF(CD191&gt;0,CD191,MAX(0.1,N(Cockpit!$O$6))),CG191)/BV191,0)*BV191</f>
        <v>20</v>
      </c>
      <c r="BD191" s="51" t="n">
        <f aca="false">IF(BA191&gt;0,J191/BA191,-1)</f>
        <v>0.335483870967742</v>
      </c>
      <c r="BE191" s="51" t="n">
        <f aca="false">IF(AND(OR(CC191="L1",CC191="L23",CC191="LIFT"),BA191&gt;0),SUMIFS($BA$7:$BA$1843,$CC$7:$CC$1843,CC191,$BD$7:$BD$1843,"&gt;"&amp;BD191)+SUMIFS($BA$7:$BA$1843,$CC$7:$CC$1843,CC191,$BD$7:$BD$1843,BD191,$BT$7:$BT$1843,"&lt;="&amp;BT191),"")</f>
        <v>15020.6437728938</v>
      </c>
      <c r="BF191" s="58" t="n">
        <f aca="false">IF(BE191="",0,MAX(0,MIN(1,(IF(CC191="L1",Parameter!$H$5,IF(CC191="L23",Parameter!$H$6+Parameter!$H$7,Parameter!$H$5+Parameter!$H$6+Parameter!$H$7))-(BE191-BA191))/BA191)))</f>
        <v>1</v>
      </c>
      <c r="BG191" s="48" t="str">
        <f aca="false">IF(AI191&lt;=0,"",IF(CC191="Aussen","Aussenlager",IF(CC191="-","Nicht im Lift",IF(AN191&gt;=1,"Lift",IF(AN191&lt;=0,"Aussenlager","teilweise")))))</f>
        <v>Lift</v>
      </c>
      <c r="BH191" s="48" t="str">
        <f aca="false">IF(AR191&lt;=0,"",IF(CC191="Aussen","Aussenlager",IF(CC191="-","Nicht im Lift",IF(AW191&gt;=1,"Lift",IF(AW191&lt;=0,"Aussenlager","teilweise")))))</f>
        <v>Lift</v>
      </c>
      <c r="BI191" s="48" t="str">
        <f aca="false">IF(BA191&lt;=0,"",IF(CC191="Aussen","Aussenlager",IF(CC191="-","Nicht im Lift",IF(BF191&gt;=1,"Lift",IF(BF191&lt;=0,"Aussenlager","teilweise")))))</f>
        <v>Lift</v>
      </c>
      <c r="BJ191" s="48" t="str">
        <f aca="false">IF(A191="","",IF(BS191=1,"Neu; ","")&amp;IF(AND(BS191=0,BN191&lt;0),"negativer Bestand (Export "&amp;BN191&amp;"); ","")&amp;IF(J191&lt;=0,"Kein Verbrauch; ","")&amp;IF(CL191&gt;0,"Lift "&amp;W191&amp;" lt. Liftbericht (Fach "&amp;X191&amp;" Stk); ",IF(BX191=1,"Gebinde geschätzt ("&amp;T191&amp;"); ",IF(BW191=1,"Lose – Tablare geschätzt; ","")))&amp;IF(H191&gt;AT191,"Überbestand "&amp;ROUND(H191-AT191,0)&amp;" Stk / CHF "&amp;ROUND((H191-AT191)*G191,0)&amp;"; ","")&amp;IF(AND(CE191=1,CF191&lt;CG191),"MAX &lt; MB+LG; ","")&amp;IF(AND(CK191&gt;0,CJ191*10&gt;CK191),"zu hoch für Tablar; ","")&amp;IF(AND(BS191=0,OR(CE191=1,AA191&lt;&gt;"",U191&lt;&gt;"",V191&lt;&gt;"",AB191&lt;&gt;"")),"manuell übersteuert; ","")&amp;IF(AND(BW191=0,R191=0),"Gebinde unbekannt / Stellmass fehlt; ","")&amp;IF(AND(BW191=0,N(V191)&lt;=0,N(Q191)&lt;=0),"Menge pro Gebinde fehlt (Ist = 1 Gebinde); ","")&amp;BR191)</f>
        <v>Gebinde geschätzt (Klein); Menge pro Gebinde fehlt (Ist = 1 Gebinde); </v>
      </c>
      <c r="BK191" s="48"/>
      <c r="BL191" s="48"/>
      <c r="BM191" s="55"/>
      <c r="BN191" s="50" t="n">
        <v>5</v>
      </c>
      <c r="BO191" s="50" t="n">
        <v>0</v>
      </c>
      <c r="BP191" s="49" t="n">
        <v>925.65</v>
      </c>
      <c r="BQ191" s="50" t="n">
        <v>2</v>
      </c>
      <c r="BR191" s="48"/>
      <c r="BS191" s="53" t="n">
        <v>0</v>
      </c>
      <c r="BT191" s="53" t="n">
        <v>191</v>
      </c>
      <c r="BU191" s="48" t="str">
        <f aca="false">IF(U191&lt;&gt;"",UPPER(TRIM(U191)),IF(BX191=1,UPPER(VLOOKUP(T191,Parameter!$I$27:$K$29,2,0)),IF(P191="","LOSE",P191)))</f>
        <v>S51</v>
      </c>
      <c r="BV191" s="50" t="n">
        <f aca="false">IF(BU191="LOSE",1,IF(N(V191)&gt;0,V191,IF(BX191=1,MAX(1,N(VLOOKUP(T191,Parameter!$I$27:$K$29,3,0)),H191,N(N191)),IF(N(Q191)&gt;0,Q191,MAX(1,H191)))))</f>
        <v>20</v>
      </c>
      <c r="BW191" s="53" t="n">
        <f aca="false">IF(BU191="LOSE",1,0)</f>
        <v>0</v>
      </c>
      <c r="BX191" s="53" t="n">
        <f aca="false">IF(AND(U191="",OR(P191="",P191="LOSE"),T191&lt;&gt;"",N(S191)&lt;=0,ISNUMBER(MATCH(T191,Parameter!$I$27:$I$29,0))),1,0)</f>
        <v>1</v>
      </c>
      <c r="BY191" s="53" t="n">
        <f aca="false">IF(CL191&gt;0,INDEX(Parameter!$H$5:$H$7,W191)/INDEX(Parameter!$E$5:$E$7,W191),IF(AND(BW191=0,N(IFERROR(VLOOKUP(BU191,'Gebinde-Kategorie'!$A$5:$N$45,14,0),0))&gt;0),VLOOKUP(BU191,'Gebinde-Kategorie'!$A$5:$N$45,14,0)*10+Parameter!$M$23,Parameter!$M$24))</f>
        <v>155</v>
      </c>
      <c r="BZ191" s="48" t="str">
        <f aca="false">IF(AND(Parameter!$B$19="Ja",E191&lt;&gt;"",ISNUMBER(MATCH(E191,Parameter!$I$35:$I$52,0))),VLOOKUP(E191,Parameter!$I$35:$J$52,2,0),IFERROR(VLOOKUP(D191,Parameter!$A$35:$C$64,2,0),"Nein"))</f>
        <v>2+3</v>
      </c>
      <c r="CA191" s="52" t="n">
        <f aca="false">IF(BW191=0,0,IF(N(S191)&gt;0,S191,IFERROR(VLOOKUP(D191,Parameter!$A$35:$C$64,3,0)+0,0)))</f>
        <v>0</v>
      </c>
      <c r="CB191" s="48" t="n">
        <f aca="false">IF(AA191&lt;&gt;"",AA191,Z191)</f>
        <v>3</v>
      </c>
      <c r="CC191" s="48" t="str">
        <f aca="false">IF(OR(CB191=1,CB191=2,CB191=3),IF(Parameter!$E$27="Ja","LIFT",IF(CB191=1,"L1","L23")),IF(CB191="Aussen","Aussen","-"))</f>
        <v>LIFT</v>
      </c>
      <c r="CD191" s="59" t="n">
        <f aca="false">IF(N(AB191)&gt;0,AB191,0)</f>
        <v>0</v>
      </c>
      <c r="CE191" s="53" t="n">
        <f aca="false">IF(ISNUMBER(AE191),1,0)</f>
        <v>0</v>
      </c>
      <c r="CF191" s="50" t="n">
        <f aca="false">N(AE191)</f>
        <v>0</v>
      </c>
      <c r="CG191" s="50" t="n">
        <f aca="false">N(M191)+N(N191)</f>
        <v>1</v>
      </c>
      <c r="CH191" s="50" t="n">
        <f aca="false">ROUNDUP(H191/BV191,0)</f>
        <v>1</v>
      </c>
      <c r="CI191" s="50" t="n">
        <f aca="false">ROUNDUP(CF191/BV191,0)</f>
        <v>0</v>
      </c>
      <c r="CJ191" s="53" t="n">
        <f aca="false">IF(BW191=1,0,IFERROR(VLOOKUP(BU191,'Gebinde-Kategorie'!$A$5:$N$45,5,0)+0,0))</f>
        <v>11</v>
      </c>
      <c r="CK191" s="53" t="n">
        <f aca="false">IFERROR(IF(OR(CB191=1,CB191=2,CB191=3),N(INDEX(Parameter!$I$5:$I$7,CB191)),0),0)</f>
        <v>0</v>
      </c>
      <c r="CL191" s="52" t="n">
        <f aca="false">IF(AND(Parameter!$B$21="Ja",ISNUMBER(W191),N(X191)&gt;0),IFERROR(N(INDEX(Parameter!$L$5:$L$7,W191))*INDEX(Parameter!$E$5:$E$7,W191)*X191/SUMIFS($X$7:$X$1843,$W$7:$W$1843,W191),0),0)</f>
        <v>0</v>
      </c>
    </row>
    <row r="192" customFormat="false" ht="15" hidden="false" customHeight="false" outlineLevel="0" collapsed="false">
      <c r="A192" s="48" t="s">
        <v>590</v>
      </c>
      <c r="B192" s="48" t="s">
        <v>591</v>
      </c>
      <c r="C192" s="48" t="s">
        <v>168</v>
      </c>
      <c r="D192" s="48" t="s">
        <v>188</v>
      </c>
      <c r="E192" s="48" t="s">
        <v>189</v>
      </c>
      <c r="F192" s="48" t="s">
        <v>222</v>
      </c>
      <c r="G192" s="49" t="n">
        <v>4.88</v>
      </c>
      <c r="H192" s="50" t="n">
        <f aca="false">MAX(0,IF(AND(Parameter!$B$21="Ja",ISNUMBER(Y192)),Y192,IF(Parameter!$B$20="Jahresanfang 2025 + Export",BO192+BN192,BN192)))</f>
        <v>335</v>
      </c>
      <c r="I192" s="50" t="n">
        <f aca="false">H192*G192</f>
        <v>1634.8</v>
      </c>
      <c r="J192" s="50" t="n">
        <f aca="false">BQ192*Parameter!$B$18</f>
        <v>354</v>
      </c>
      <c r="K192" s="51" t="n">
        <v>175</v>
      </c>
      <c r="L192" s="52" t="n">
        <v>2.02285714285714</v>
      </c>
      <c r="M192" s="50" t="n">
        <v>20</v>
      </c>
      <c r="N192" s="50" t="n">
        <v>355</v>
      </c>
      <c r="O192" s="53" t="n">
        <v>21</v>
      </c>
      <c r="P192" s="48" t="s">
        <v>425</v>
      </c>
      <c r="Q192" s="50" t="n">
        <v>241</v>
      </c>
      <c r="R192" s="53" t="n">
        <f aca="false">IF(BW192=1,0,IFERROR(VLOOKUP(BU192,'Gebinde-Kategorie'!$A$5:$N$45,13,0)+0,0))</f>
        <v>104</v>
      </c>
      <c r="S192" s="54"/>
      <c r="T192" s="55"/>
      <c r="U192" s="55"/>
      <c r="V192" s="55"/>
      <c r="W192" s="48"/>
      <c r="X192" s="50"/>
      <c r="Y192" s="50"/>
      <c r="Z192" s="48" t="n">
        <f aca="false">IF(A192="","",IF(AND(Parameter!$B$21="Ja",ISNUMBER(W192)),W192,IF(BZ192="2+3",IF(ISNUMBER(SEARCH("grosser Artikel",BR192)),2,IFERROR(VLOOKUP(BU192,Parameter!$F$35:$G$64,2,0),2)),IF(OR(BZ192="Nein",BZ192=""),"-",BZ192))))</f>
        <v>3</v>
      </c>
      <c r="AA192" s="55"/>
      <c r="AB192" s="56"/>
      <c r="AC192" s="50" t="n">
        <f aca="false">AT192</f>
        <v>482</v>
      </c>
      <c r="AD192" s="50" t="n">
        <f aca="false">MAX(AT192,H192)</f>
        <v>482</v>
      </c>
      <c r="AE192" s="57"/>
      <c r="AF192" s="50" t="n">
        <f aca="false">IF(LEFT(Cockpit!$C$5,1)="A",H192,IF(CE192=1,CF192,IF(LEFT(Cockpit!$C$5,1)="B",AK192,MAX(AK192,H192))))</f>
        <v>335</v>
      </c>
      <c r="AG192" s="50" t="n">
        <f aca="false">IF(BW192=1,0,ROUNDUP(AF192/BV192,0))</f>
        <v>2</v>
      </c>
      <c r="AH192" s="52" t="n">
        <f aca="false">IF(CL192&gt;0,CL192*MAX(1,AF192/X192),IF(BW192=1,IF(AF192&lt;=0,0,CA192*MAX(1,IF(H192&gt;0,AF192/H192,1))),IF(R192&gt;0,AG192/R192,0))/MAX(0.1,N(Parameter!$M$21)))</f>
        <v>0.0192307692307692</v>
      </c>
      <c r="AI192" s="50" t="n">
        <f aca="false">AH192*BY192</f>
        <v>2.98076923076923</v>
      </c>
      <c r="AJ192" s="50" t="n">
        <f aca="false">AF192*G192</f>
        <v>1634.8</v>
      </c>
      <c r="AK192" s="50" t="n">
        <f aca="false">ROUNDUP(MAX(J192/IF(CD192&gt;0,CD192,MAX(0.1,N(Cockpit!$C$6))),CG192)/BV192,0)*BV192</f>
        <v>482</v>
      </c>
      <c r="AL192" s="51" t="n">
        <f aca="false">IF(AI192&gt;0,J192/AI192,-1)</f>
        <v>118.761290322581</v>
      </c>
      <c r="AM192" s="51" t="n">
        <f aca="false">IF(AND(OR(CC192="L1",CC192="L23",CC192="LIFT"),AI192&gt;0),SUMIFS($AI$7:$AI$1843,$CC$7:$CC$1843,CC192,$AL$7:$AL$1843,"&gt;"&amp;AL192)+SUMIFS($AI$7:$AI$1843,$CC$7:$CC$1843,CC192,$AL$7:$AL$1843,AL192,$BT$7:$BT$1843,"&lt;="&amp;BT192),"")</f>
        <v>681.202380952381</v>
      </c>
      <c r="AN192" s="58" t="n">
        <f aca="false">IF(AM192="",0,MAX(0,MIN(1,(IF(CC192="L1",Parameter!$H$5,IF(CC192="L23",Parameter!$H$6+Parameter!$H$7,Parameter!$H$5+Parameter!$H$6+Parameter!$H$7))-(AM192-AI192))/AI192)))</f>
        <v>1</v>
      </c>
      <c r="AO192" s="50" t="n">
        <f aca="false">IF(LEFT(Cockpit!$I$5,1)="A",H192,IF(CE192=1,CF192,IF(LEFT(Cockpit!$I$5,1)="B",AT192,MAX(AT192,H192))))</f>
        <v>482</v>
      </c>
      <c r="AP192" s="50" t="n">
        <f aca="false">IF(BW192=1,0,ROUNDUP(AO192/BV192,0))</f>
        <v>2</v>
      </c>
      <c r="AQ192" s="52" t="n">
        <f aca="false">IF(CL192&gt;0,CL192*MAX(1,AO192/X192),IF(BW192=1,IF(AO192&lt;=0,0,CA192*MAX(1,IF(H192&gt;0,AO192/H192,1))),IF(R192&gt;0,AP192/R192,0))/MAX(0.1,N(Parameter!$M$21)))</f>
        <v>0.0192307692307692</v>
      </c>
      <c r="AR192" s="50" t="n">
        <f aca="false">AQ192*BY192</f>
        <v>2.98076923076923</v>
      </c>
      <c r="AS192" s="50" t="n">
        <f aca="false">AO192*G192</f>
        <v>2352.16</v>
      </c>
      <c r="AT192" s="50" t="n">
        <f aca="false">ROUNDUP(MAX(J192/IF(CD192&gt;0,CD192,MAX(0.1,N(Cockpit!$I$6))),CG192)/BV192,0)*BV192</f>
        <v>482</v>
      </c>
      <c r="AU192" s="51" t="n">
        <f aca="false">IF(AR192&gt;0,J192/AR192,-1)</f>
        <v>118.761290322581</v>
      </c>
      <c r="AV192" s="51" t="n">
        <f aca="false">IF(AND(OR(CC192="L1",CC192="L23",CC192="LIFT"),AR192&gt;0),SUMIFS($AR$7:$AR$1843,$CC$7:$CC$1843,CC192,$AU$7:$AU$1843,"&gt;"&amp;AU192)+SUMIFS($AR$7:$AR$1843,$CC$7:$CC$1843,CC192,$AU$7:$AU$1843,AU192,$BT$7:$BT$1843,"&lt;="&amp;BT192),"")</f>
        <v>838.637820512821</v>
      </c>
      <c r="AW192" s="58" t="n">
        <f aca="false">IF(AV192="",0,MAX(0,MIN(1,(IF(CC192="L1",Parameter!$H$5,IF(CC192="L23",Parameter!$H$6+Parameter!$H$7,Parameter!$H$5+Parameter!$H$6+Parameter!$H$7))-(AV192-AR192))/AR192)))</f>
        <v>1</v>
      </c>
      <c r="AX192" s="50" t="n">
        <f aca="false">IF(LEFT(Cockpit!$O$5,1)="A",H192,IF(CE192=1,CF192,IF(LEFT(Cockpit!$O$5,1)="B",BC192,MAX(BC192,H192))))</f>
        <v>482</v>
      </c>
      <c r="AY192" s="50" t="n">
        <f aca="false">IF(BW192=1,0,ROUNDUP(AX192/BV192,0))</f>
        <v>2</v>
      </c>
      <c r="AZ192" s="52" t="n">
        <f aca="false">IF(CL192&gt;0,CL192*MAX(1,AX192/X192),IF(BW192=1,IF(AX192&lt;=0,0,CA192*MAX(1,IF(H192&gt;0,AX192/H192,1))),IF(R192&gt;0,AY192/R192,0))/MAX(0.1,N(Parameter!$M$21)))</f>
        <v>0.0192307692307692</v>
      </c>
      <c r="BA192" s="50" t="n">
        <f aca="false">AZ192*BY192</f>
        <v>2.98076923076923</v>
      </c>
      <c r="BB192" s="50" t="n">
        <f aca="false">AX192*G192</f>
        <v>2352.16</v>
      </c>
      <c r="BC192" s="50" t="n">
        <f aca="false">ROUNDUP(MAX(J192/IF(CD192&gt;0,CD192,MAX(0.1,N(Cockpit!$O$6))),CG192)/BV192,0)*BV192</f>
        <v>482</v>
      </c>
      <c r="BD192" s="51" t="n">
        <f aca="false">IF(BA192&gt;0,J192/BA192,-1)</f>
        <v>118.761290322581</v>
      </c>
      <c r="BE192" s="51" t="n">
        <f aca="false">IF(AND(OR(CC192="L1",CC192="L23",CC192="LIFT"),BA192&gt;0),SUMIFS($BA$7:$BA$1843,$CC$7:$CC$1843,CC192,$BD$7:$BD$1843,"&gt;"&amp;BD192)+SUMIFS($BA$7:$BA$1843,$CC$7:$CC$1843,CC192,$BD$7:$BD$1843,BD192,$BT$7:$BT$1843,"&lt;="&amp;BT192),"")</f>
        <v>783.076923076923</v>
      </c>
      <c r="BF192" s="58" t="n">
        <f aca="false">IF(BE192="",0,MAX(0,MIN(1,(IF(CC192="L1",Parameter!$H$5,IF(CC192="L23",Parameter!$H$6+Parameter!$H$7,Parameter!$H$5+Parameter!$H$6+Parameter!$H$7))-(BE192-BA192))/BA192)))</f>
        <v>1</v>
      </c>
      <c r="BG192" s="48" t="str">
        <f aca="false">IF(AI192&lt;=0,"",IF(CC192="Aussen","Aussenlager",IF(CC192="-","Nicht im Lift",IF(AN192&gt;=1,"Lift",IF(AN192&lt;=0,"Aussenlager","teilweise")))))</f>
        <v>Lift</v>
      </c>
      <c r="BH192" s="48" t="str">
        <f aca="false">IF(AR192&lt;=0,"",IF(CC192="Aussen","Aussenlager",IF(CC192="-","Nicht im Lift",IF(AW192&gt;=1,"Lift",IF(AW192&lt;=0,"Aussenlager","teilweise")))))</f>
        <v>Lift</v>
      </c>
      <c r="BI192" s="48" t="str">
        <f aca="false">IF(BA192&lt;=0,"",IF(CC192="Aussen","Aussenlager",IF(CC192="-","Nicht im Lift",IF(BF192&gt;=1,"Lift",IF(BF192&lt;=0,"Aussenlager","teilweise")))))</f>
        <v>Lift</v>
      </c>
      <c r="BJ192" s="48" t="str">
        <f aca="false">IF(A192="","",IF(BS192=1,"Neu; ","")&amp;IF(AND(BS192=0,BN192&lt;0),"negativer Bestand (Export "&amp;BN192&amp;"); ","")&amp;IF(J192&lt;=0,"Kein Verbrauch; ","")&amp;IF(CL192&gt;0,"Lift "&amp;W192&amp;" lt. Liftbericht (Fach "&amp;X192&amp;" Stk); ",IF(BX192=1,"Gebinde geschätzt ("&amp;T192&amp;"); ",IF(BW192=1,"Lose – Tablare geschätzt; ","")))&amp;IF(H192&gt;AT192,"Überbestand "&amp;ROUND(H192-AT192,0)&amp;" Stk / CHF "&amp;ROUND((H192-AT192)*G192,0)&amp;"; ","")&amp;IF(AND(CE192=1,CF192&lt;CG192),"MAX &lt; MB+LG; ","")&amp;IF(AND(CK192&gt;0,CJ192*10&gt;CK192),"zu hoch für Tablar; ","")&amp;IF(AND(BS192=0,OR(CE192=1,AA192&lt;&gt;"",U192&lt;&gt;"",V192&lt;&gt;"",AB192&lt;&gt;"")),"manuell übersteuert; ","")&amp;IF(AND(BW192=0,R192=0),"Gebinde unbekannt / Stellmass fehlt; ","")&amp;IF(AND(BW192=0,N(V192)&lt;=0,N(Q192)&lt;=0),"Menge pro Gebinde fehlt (Ist = 1 Gebinde); ","")&amp;BR192)</f>
        <v/>
      </c>
      <c r="BK192" s="48"/>
      <c r="BL192" s="48"/>
      <c r="BM192" s="55"/>
      <c r="BN192" s="50" t="n">
        <v>216</v>
      </c>
      <c r="BO192" s="50" t="n">
        <v>119</v>
      </c>
      <c r="BP192" s="49" t="n">
        <v>900.630000000002</v>
      </c>
      <c r="BQ192" s="50" t="n">
        <v>354</v>
      </c>
      <c r="BR192" s="48"/>
      <c r="BS192" s="53" t="n">
        <v>0</v>
      </c>
      <c r="BT192" s="53" t="n">
        <v>192</v>
      </c>
      <c r="BU192" s="48" t="str">
        <f aca="false">IF(U192&lt;&gt;"",UPPER(TRIM(U192)),IF(BX192=1,UPPER(VLOOKUP(T192,Parameter!$I$27:$K$29,2,0)),IF(P192="","LOSE",P192)))</f>
        <v>S32</v>
      </c>
      <c r="BV192" s="50" t="n">
        <f aca="false">IF(BU192="LOSE",1,IF(N(V192)&gt;0,V192,IF(BX192=1,MAX(1,N(VLOOKUP(T192,Parameter!$I$27:$K$29,3,0)),H192,N(N192)),IF(N(Q192)&gt;0,Q192,MAX(1,H192)))))</f>
        <v>241</v>
      </c>
      <c r="BW192" s="53" t="n">
        <f aca="false">IF(BU192="LOSE",1,0)</f>
        <v>0</v>
      </c>
      <c r="BX192" s="53" t="n">
        <f aca="false">IF(AND(U192="",OR(P192="",P192="LOSE"),T192&lt;&gt;"",N(S192)&lt;=0,ISNUMBER(MATCH(T192,Parameter!$I$27:$I$29,0))),1,0)</f>
        <v>0</v>
      </c>
      <c r="BY192" s="53" t="n">
        <f aca="false">IF(CL192&gt;0,INDEX(Parameter!$H$5:$H$7,W192)/INDEX(Parameter!$E$5:$E$7,W192),IF(AND(BW192=0,N(IFERROR(VLOOKUP(BU192,'Gebinde-Kategorie'!$A$5:$N$45,14,0),0))&gt;0),VLOOKUP(BU192,'Gebinde-Kategorie'!$A$5:$N$45,14,0)*10+Parameter!$M$23,Parameter!$M$24))</f>
        <v>155</v>
      </c>
      <c r="BZ192" s="48" t="str">
        <f aca="false">IF(AND(Parameter!$B$19="Ja",E192&lt;&gt;"",ISNUMBER(MATCH(E192,Parameter!$I$35:$I$52,0))),VLOOKUP(E192,Parameter!$I$35:$J$52,2,0),IFERROR(VLOOKUP(D192,Parameter!$A$35:$C$64,2,0),"Nein"))</f>
        <v>2+3</v>
      </c>
      <c r="CA192" s="52" t="n">
        <f aca="false">IF(BW192=0,0,IF(N(S192)&gt;0,S192,IFERROR(VLOOKUP(D192,Parameter!$A$35:$C$64,3,0)+0,0)))</f>
        <v>0</v>
      </c>
      <c r="CB192" s="48" t="n">
        <f aca="false">IF(AA192&lt;&gt;"",AA192,Z192)</f>
        <v>3</v>
      </c>
      <c r="CC192" s="48" t="str">
        <f aca="false">IF(OR(CB192=1,CB192=2,CB192=3),IF(Parameter!$E$27="Ja","LIFT",IF(CB192=1,"L1","L23")),IF(CB192="Aussen","Aussen","-"))</f>
        <v>LIFT</v>
      </c>
      <c r="CD192" s="59" t="n">
        <f aca="false">IF(N(AB192)&gt;0,AB192,0)</f>
        <v>0</v>
      </c>
      <c r="CE192" s="53" t="n">
        <f aca="false">IF(ISNUMBER(AE192),1,0)</f>
        <v>0</v>
      </c>
      <c r="CF192" s="50" t="n">
        <f aca="false">N(AE192)</f>
        <v>0</v>
      </c>
      <c r="CG192" s="50" t="n">
        <f aca="false">N(M192)+N(N192)</f>
        <v>375</v>
      </c>
      <c r="CH192" s="50" t="n">
        <f aca="false">ROUNDUP(H192/BV192,0)</f>
        <v>2</v>
      </c>
      <c r="CI192" s="50" t="n">
        <f aca="false">ROUNDUP(CF192/BV192,0)</f>
        <v>0</v>
      </c>
      <c r="CJ192" s="53" t="n">
        <f aca="false">IF(BW192=1,0,IFERROR(VLOOKUP(BU192,'Gebinde-Kategorie'!$A$5:$N$45,5,0)+0,0))</f>
        <v>8</v>
      </c>
      <c r="CK192" s="53" t="n">
        <f aca="false">IFERROR(IF(OR(CB192=1,CB192=2,CB192=3),N(INDEX(Parameter!$I$5:$I$7,CB192)),0),0)</f>
        <v>0</v>
      </c>
      <c r="CL192" s="52" t="n">
        <f aca="false">IF(AND(Parameter!$B$21="Ja",ISNUMBER(W192),N(X192)&gt;0),IFERROR(N(INDEX(Parameter!$L$5:$L$7,W192))*INDEX(Parameter!$E$5:$E$7,W192)*X192/SUMIFS($X$7:$X$1843,$W$7:$W$1843,W192),0),0)</f>
        <v>0</v>
      </c>
    </row>
    <row r="193" customFormat="false" ht="15" hidden="false" customHeight="false" outlineLevel="0" collapsed="false">
      <c r="A193" s="48" t="s">
        <v>592</v>
      </c>
      <c r="B193" s="48" t="s">
        <v>593</v>
      </c>
      <c r="C193" s="48" t="s">
        <v>168</v>
      </c>
      <c r="D193" s="48" t="s">
        <v>188</v>
      </c>
      <c r="E193" s="48"/>
      <c r="F193" s="48" t="s">
        <v>222</v>
      </c>
      <c r="G193" s="49" t="n">
        <v>54.41</v>
      </c>
      <c r="H193" s="50" t="n">
        <f aca="false">MAX(0,IF(AND(Parameter!$B$21="Ja",ISNUMBER(Y193)),Y193,IF(Parameter!$B$20="Jahresanfang 2025 + Export",BO193+BN193,BN193)))</f>
        <v>16</v>
      </c>
      <c r="I193" s="50" t="n">
        <f aca="false">H193*G193</f>
        <v>870.56</v>
      </c>
      <c r="J193" s="50" t="n">
        <f aca="false">BQ193*Parameter!$B$18</f>
        <v>40</v>
      </c>
      <c r="K193" s="51" t="n">
        <v>8</v>
      </c>
      <c r="L193" s="52" t="n">
        <v>5</v>
      </c>
      <c r="M193" s="50" t="n">
        <v>3</v>
      </c>
      <c r="N193" s="50" t="n">
        <v>40</v>
      </c>
      <c r="O193" s="53" t="n">
        <v>35</v>
      </c>
      <c r="P193" s="48" t="s">
        <v>425</v>
      </c>
      <c r="Q193" s="50" t="n">
        <v>40</v>
      </c>
      <c r="R193" s="53" t="n">
        <f aca="false">IF(BW193=1,0,IFERROR(VLOOKUP(BU193,'Gebinde-Kategorie'!$A$5:$N$45,13,0)+0,0))</f>
        <v>104</v>
      </c>
      <c r="S193" s="54"/>
      <c r="T193" s="55"/>
      <c r="U193" s="55"/>
      <c r="V193" s="55"/>
      <c r="W193" s="48"/>
      <c r="X193" s="50"/>
      <c r="Y193" s="50"/>
      <c r="Z193" s="48" t="n">
        <f aca="false">IF(A193="","",IF(AND(Parameter!$B$21="Ja",ISNUMBER(W193)),W193,IF(BZ193="2+3",IF(ISNUMBER(SEARCH("grosser Artikel",BR193)),2,IFERROR(VLOOKUP(BU193,Parameter!$F$35:$G$64,2,0),2)),IF(OR(BZ193="Nein",BZ193=""),"-",BZ193))))</f>
        <v>3</v>
      </c>
      <c r="AA193" s="55"/>
      <c r="AB193" s="56"/>
      <c r="AC193" s="50" t="n">
        <f aca="false">AT193</f>
        <v>80</v>
      </c>
      <c r="AD193" s="50" t="n">
        <f aca="false">MAX(AT193,H193)</f>
        <v>80</v>
      </c>
      <c r="AE193" s="57"/>
      <c r="AF193" s="50" t="n">
        <f aca="false">IF(LEFT(Cockpit!$C$5,1)="A",H193,IF(CE193=1,CF193,IF(LEFT(Cockpit!$C$5,1)="B",AK193,MAX(AK193,H193))))</f>
        <v>16</v>
      </c>
      <c r="AG193" s="50" t="n">
        <f aca="false">IF(BW193=1,0,ROUNDUP(AF193/BV193,0))</f>
        <v>1</v>
      </c>
      <c r="AH193" s="52" t="n">
        <f aca="false">IF(CL193&gt;0,CL193*MAX(1,AF193/X193),IF(BW193=1,IF(AF193&lt;=0,0,CA193*MAX(1,IF(H193&gt;0,AF193/H193,1))),IF(R193&gt;0,AG193/R193,0))/MAX(0.1,N(Parameter!$M$21)))</f>
        <v>0.00961538461538462</v>
      </c>
      <c r="AI193" s="50" t="n">
        <f aca="false">AH193*BY193</f>
        <v>1.49038461538462</v>
      </c>
      <c r="AJ193" s="50" t="n">
        <f aca="false">AF193*G193</f>
        <v>870.56</v>
      </c>
      <c r="AK193" s="50" t="n">
        <f aca="false">ROUNDUP(MAX(J193/IF(CD193&gt;0,CD193,MAX(0.1,N(Cockpit!$C$6))),CG193)/BV193,0)*BV193</f>
        <v>80</v>
      </c>
      <c r="AL193" s="51" t="n">
        <f aca="false">IF(AI193&gt;0,J193/AI193,-1)</f>
        <v>26.8387096774194</v>
      </c>
      <c r="AM193" s="51" t="n">
        <f aca="false">IF(AND(OR(CC193="L1",CC193="L23",CC193="LIFT"),AI193&gt;0),SUMIFS($AI$7:$AI$1843,$CC$7:$CC$1843,CC193,$AL$7:$AL$1843,"&gt;"&amp;AL193)+SUMIFS($AI$7:$AI$1843,$CC$7:$CC$1843,CC193,$AL$7:$AL$1843,AL193,$BT$7:$BT$1843,"&lt;="&amp;BT193),"")</f>
        <v>1503.03113553114</v>
      </c>
      <c r="AN193" s="58" t="n">
        <f aca="false">IF(AM193="",0,MAX(0,MIN(1,(IF(CC193="L1",Parameter!$H$5,IF(CC193="L23",Parameter!$H$6+Parameter!$H$7,Parameter!$H$5+Parameter!$H$6+Parameter!$H$7))-(AM193-AI193))/AI193)))</f>
        <v>1</v>
      </c>
      <c r="AO193" s="50" t="n">
        <f aca="false">IF(LEFT(Cockpit!$I$5,1)="A",H193,IF(CE193=1,CF193,IF(LEFT(Cockpit!$I$5,1)="B",AT193,MAX(AT193,H193))))</f>
        <v>80</v>
      </c>
      <c r="AP193" s="50" t="n">
        <f aca="false">IF(BW193=1,0,ROUNDUP(AO193/BV193,0))</f>
        <v>2</v>
      </c>
      <c r="AQ193" s="52" t="n">
        <f aca="false">IF(CL193&gt;0,CL193*MAX(1,AO193/X193),IF(BW193=1,IF(AO193&lt;=0,0,CA193*MAX(1,IF(H193&gt;0,AO193/H193,1))),IF(R193&gt;0,AP193/R193,0))/MAX(0.1,N(Parameter!$M$21)))</f>
        <v>0.0192307692307692</v>
      </c>
      <c r="AR193" s="50" t="n">
        <f aca="false">AQ193*BY193</f>
        <v>2.98076923076923</v>
      </c>
      <c r="AS193" s="50" t="n">
        <f aca="false">AO193*G193</f>
        <v>4352.8</v>
      </c>
      <c r="AT193" s="50" t="n">
        <f aca="false">ROUNDUP(MAX(J193/IF(CD193&gt;0,CD193,MAX(0.1,N(Cockpit!$I$6))),CG193)/BV193,0)*BV193</f>
        <v>80</v>
      </c>
      <c r="AU193" s="51" t="n">
        <f aca="false">IF(AR193&gt;0,J193/AR193,-1)</f>
        <v>13.4193548387097</v>
      </c>
      <c r="AV193" s="51" t="n">
        <f aca="false">IF(AND(OR(CC193="L1",CC193="L23",CC193="LIFT"),AR193&gt;0),SUMIFS($AR$7:$AR$1843,$CC$7:$CC$1843,CC193,$AU$7:$AU$1843,"&gt;"&amp;AU193)+SUMIFS($AR$7:$AR$1843,$CC$7:$CC$1843,CC193,$AU$7:$AU$1843,AU193,$BT$7:$BT$1843,"&lt;="&amp;BT193),"")</f>
        <v>3524.80631868132</v>
      </c>
      <c r="AW193" s="58" t="n">
        <f aca="false">IF(AV193="",0,MAX(0,MIN(1,(IF(CC193="L1",Parameter!$H$5,IF(CC193="L23",Parameter!$H$6+Parameter!$H$7,Parameter!$H$5+Parameter!$H$6+Parameter!$H$7))-(AV193-AR193))/AR193)))</f>
        <v>1</v>
      </c>
      <c r="AX193" s="50" t="n">
        <f aca="false">IF(LEFT(Cockpit!$O$5,1)="A",H193,IF(CE193=1,CF193,IF(LEFT(Cockpit!$O$5,1)="B",BC193,MAX(BC193,H193))))</f>
        <v>80</v>
      </c>
      <c r="AY193" s="50" t="n">
        <f aca="false">IF(BW193=1,0,ROUNDUP(AX193/BV193,0))</f>
        <v>2</v>
      </c>
      <c r="AZ193" s="52" t="n">
        <f aca="false">IF(CL193&gt;0,CL193*MAX(1,AX193/X193),IF(BW193=1,IF(AX193&lt;=0,0,CA193*MAX(1,IF(H193&gt;0,AX193/H193,1))),IF(R193&gt;0,AY193/R193,0))/MAX(0.1,N(Parameter!$M$21)))</f>
        <v>0.0192307692307692</v>
      </c>
      <c r="BA193" s="50" t="n">
        <f aca="false">AZ193*BY193</f>
        <v>2.98076923076923</v>
      </c>
      <c r="BB193" s="50" t="n">
        <f aca="false">AX193*G193</f>
        <v>4352.8</v>
      </c>
      <c r="BC193" s="50" t="n">
        <f aca="false">ROUNDUP(MAX(J193/IF(CD193&gt;0,CD193,MAX(0.1,N(Cockpit!$O$6))),CG193)/BV193,0)*BV193</f>
        <v>80</v>
      </c>
      <c r="BD193" s="51" t="n">
        <f aca="false">IF(BA193&gt;0,J193/BA193,-1)</f>
        <v>13.4193548387097</v>
      </c>
      <c r="BE193" s="51" t="n">
        <f aca="false">IF(AND(OR(CC193="L1",CC193="L23",CC193="LIFT"),BA193&gt;0),SUMIFS($BA$7:$BA$1843,$CC$7:$CC$1843,CC193,$BD$7:$BD$1843,"&gt;"&amp;BD193)+SUMIFS($BA$7:$BA$1843,$CC$7:$CC$1843,CC193,$BD$7:$BD$1843,BD193,$BT$7:$BT$1843,"&lt;="&amp;BT193),"")</f>
        <v>3181.36080586081</v>
      </c>
      <c r="BF193" s="58" t="n">
        <f aca="false">IF(BE193="",0,MAX(0,MIN(1,(IF(CC193="L1",Parameter!$H$5,IF(CC193="L23",Parameter!$H$6+Parameter!$H$7,Parameter!$H$5+Parameter!$H$6+Parameter!$H$7))-(BE193-BA193))/BA193)))</f>
        <v>1</v>
      </c>
      <c r="BG193" s="48" t="str">
        <f aca="false">IF(AI193&lt;=0,"",IF(CC193="Aussen","Aussenlager",IF(CC193="-","Nicht im Lift",IF(AN193&gt;=1,"Lift",IF(AN193&lt;=0,"Aussenlager","teilweise")))))</f>
        <v>Lift</v>
      </c>
      <c r="BH193" s="48" t="str">
        <f aca="false">IF(AR193&lt;=0,"",IF(CC193="Aussen","Aussenlager",IF(CC193="-","Nicht im Lift",IF(AW193&gt;=1,"Lift",IF(AW193&lt;=0,"Aussenlager","teilweise")))))</f>
        <v>Lift</v>
      </c>
      <c r="BI193" s="48" t="str">
        <f aca="false">IF(BA193&lt;=0,"",IF(CC193="Aussen","Aussenlager",IF(CC193="-","Nicht im Lift",IF(BF193&gt;=1,"Lift",IF(BF193&lt;=0,"Aussenlager","teilweise")))))</f>
        <v>Lift</v>
      </c>
      <c r="BJ193" s="48" t="str">
        <f aca="false">IF(A193="","",IF(BS193=1,"Neu; ","")&amp;IF(AND(BS193=0,BN193&lt;0),"negativer Bestand (Export "&amp;BN193&amp;"); ","")&amp;IF(J193&lt;=0,"Kein Verbrauch; ","")&amp;IF(CL193&gt;0,"Lift "&amp;W193&amp;" lt. Liftbericht (Fach "&amp;X193&amp;" Stk); ",IF(BX193=1,"Gebinde geschätzt ("&amp;T193&amp;"); ",IF(BW193=1,"Lose – Tablare geschätzt; ","")))&amp;IF(H193&gt;AT193,"Überbestand "&amp;ROUND(H193-AT193,0)&amp;" Stk / CHF "&amp;ROUND((H193-AT193)*G193,0)&amp;"; ","")&amp;IF(AND(CE193=1,CF193&lt;CG193),"MAX &lt; MB+LG; ","")&amp;IF(AND(CK193&gt;0,CJ193*10&gt;CK193),"zu hoch für Tablar; ","")&amp;IF(AND(BS193=0,OR(CE193=1,AA193&lt;&gt;"",U193&lt;&gt;"",V193&lt;&gt;"",AB193&lt;&gt;"")),"manuell übersteuert; ","")&amp;IF(AND(BW193=0,R193=0),"Gebinde unbekannt / Stellmass fehlt; ","")&amp;IF(AND(BW193=0,N(V193)&lt;=0,N(Q193)&lt;=0),"Menge pro Gebinde fehlt (Ist = 1 Gebinde); ","")&amp;BR193)</f>
        <v/>
      </c>
      <c r="BK193" s="48"/>
      <c r="BL193" s="48"/>
      <c r="BM193" s="55"/>
      <c r="BN193" s="50" t="n">
        <v>16</v>
      </c>
      <c r="BO193" s="50" t="n">
        <v>0</v>
      </c>
      <c r="BP193" s="49" t="n">
        <v>870.56</v>
      </c>
      <c r="BQ193" s="50" t="n">
        <v>40</v>
      </c>
      <c r="BR193" s="48"/>
      <c r="BS193" s="53" t="n">
        <v>0</v>
      </c>
      <c r="BT193" s="53" t="n">
        <v>193</v>
      </c>
      <c r="BU193" s="48" t="str">
        <f aca="false">IF(U193&lt;&gt;"",UPPER(TRIM(U193)),IF(BX193=1,UPPER(VLOOKUP(T193,Parameter!$I$27:$K$29,2,0)),IF(P193="","LOSE",P193)))</f>
        <v>S32</v>
      </c>
      <c r="BV193" s="50" t="n">
        <f aca="false">IF(BU193="LOSE",1,IF(N(V193)&gt;0,V193,IF(BX193=1,MAX(1,N(VLOOKUP(T193,Parameter!$I$27:$K$29,3,0)),H193,N(N193)),IF(N(Q193)&gt;0,Q193,MAX(1,H193)))))</f>
        <v>40</v>
      </c>
      <c r="BW193" s="53" t="n">
        <f aca="false">IF(BU193="LOSE",1,0)</f>
        <v>0</v>
      </c>
      <c r="BX193" s="53" t="n">
        <f aca="false">IF(AND(U193="",OR(P193="",P193="LOSE"),T193&lt;&gt;"",N(S193)&lt;=0,ISNUMBER(MATCH(T193,Parameter!$I$27:$I$29,0))),1,0)</f>
        <v>0</v>
      </c>
      <c r="BY193" s="53" t="n">
        <f aca="false">IF(CL193&gt;0,INDEX(Parameter!$H$5:$H$7,W193)/INDEX(Parameter!$E$5:$E$7,W193),IF(AND(BW193=0,N(IFERROR(VLOOKUP(BU193,'Gebinde-Kategorie'!$A$5:$N$45,14,0),0))&gt;0),VLOOKUP(BU193,'Gebinde-Kategorie'!$A$5:$N$45,14,0)*10+Parameter!$M$23,Parameter!$M$24))</f>
        <v>155</v>
      </c>
      <c r="BZ193" s="48" t="str">
        <f aca="false">IF(AND(Parameter!$B$19="Ja",E193&lt;&gt;"",ISNUMBER(MATCH(E193,Parameter!$I$35:$I$52,0))),VLOOKUP(E193,Parameter!$I$35:$J$52,2,0),IFERROR(VLOOKUP(D193,Parameter!$A$35:$C$64,2,0),"Nein"))</f>
        <v>2+3</v>
      </c>
      <c r="CA193" s="52" t="n">
        <f aca="false">IF(BW193=0,0,IF(N(S193)&gt;0,S193,IFERROR(VLOOKUP(D193,Parameter!$A$35:$C$64,3,0)+0,0)))</f>
        <v>0</v>
      </c>
      <c r="CB193" s="48" t="n">
        <f aca="false">IF(AA193&lt;&gt;"",AA193,Z193)</f>
        <v>3</v>
      </c>
      <c r="CC193" s="48" t="str">
        <f aca="false">IF(OR(CB193=1,CB193=2,CB193=3),IF(Parameter!$E$27="Ja","LIFT",IF(CB193=1,"L1","L23")),IF(CB193="Aussen","Aussen","-"))</f>
        <v>LIFT</v>
      </c>
      <c r="CD193" s="59" t="n">
        <f aca="false">IF(N(AB193)&gt;0,AB193,0)</f>
        <v>0</v>
      </c>
      <c r="CE193" s="53" t="n">
        <f aca="false">IF(ISNUMBER(AE193),1,0)</f>
        <v>0</v>
      </c>
      <c r="CF193" s="50" t="n">
        <f aca="false">N(AE193)</f>
        <v>0</v>
      </c>
      <c r="CG193" s="50" t="n">
        <f aca="false">N(M193)+N(N193)</f>
        <v>43</v>
      </c>
      <c r="CH193" s="50" t="n">
        <f aca="false">ROUNDUP(H193/BV193,0)</f>
        <v>1</v>
      </c>
      <c r="CI193" s="50" t="n">
        <f aca="false">ROUNDUP(CF193/BV193,0)</f>
        <v>0</v>
      </c>
      <c r="CJ193" s="53" t="n">
        <f aca="false">IF(BW193=1,0,IFERROR(VLOOKUP(BU193,'Gebinde-Kategorie'!$A$5:$N$45,5,0)+0,0))</f>
        <v>8</v>
      </c>
      <c r="CK193" s="53" t="n">
        <f aca="false">IFERROR(IF(OR(CB193=1,CB193=2,CB193=3),N(INDEX(Parameter!$I$5:$I$7,CB193)),0),0)</f>
        <v>0</v>
      </c>
      <c r="CL193" s="52" t="n">
        <f aca="false">IF(AND(Parameter!$B$21="Ja",ISNUMBER(W193),N(X193)&gt;0),IFERROR(N(INDEX(Parameter!$L$5:$L$7,W193))*INDEX(Parameter!$E$5:$E$7,W193)*X193/SUMIFS($X$7:$X$1843,$W$7:$W$1843,W193),0),0)</f>
        <v>0</v>
      </c>
    </row>
    <row r="194" customFormat="false" ht="15" hidden="false" customHeight="false" outlineLevel="0" collapsed="false">
      <c r="A194" s="48" t="s">
        <v>594</v>
      </c>
      <c r="B194" s="48" t="s">
        <v>595</v>
      </c>
      <c r="C194" s="48" t="s">
        <v>168</v>
      </c>
      <c r="D194" s="48" t="s">
        <v>188</v>
      </c>
      <c r="E194" s="48" t="s">
        <v>189</v>
      </c>
      <c r="F194" s="48" t="s">
        <v>222</v>
      </c>
      <c r="G194" s="49" t="n">
        <v>10.46</v>
      </c>
      <c r="H194" s="50" t="n">
        <f aca="false">MAX(0,IF(AND(Parameter!$B$21="Ja",ISNUMBER(Y194)),Y194,IF(Parameter!$B$20="Jahresanfang 2025 + Export",BO194+BN194,BN194)))</f>
        <v>130</v>
      </c>
      <c r="I194" s="50" t="n">
        <f aca="false">H194*G194</f>
        <v>1359.8</v>
      </c>
      <c r="J194" s="50" t="n">
        <f aca="false">BQ194*Parameter!$B$18</f>
        <v>153</v>
      </c>
      <c r="K194" s="51" t="n">
        <v>41</v>
      </c>
      <c r="L194" s="52" t="n">
        <v>3.73170731707317</v>
      </c>
      <c r="M194" s="50" t="n">
        <v>8</v>
      </c>
      <c r="N194" s="50" t="n">
        <v>150</v>
      </c>
      <c r="O194" s="53" t="n">
        <v>21</v>
      </c>
      <c r="P194" s="48" t="s">
        <v>425</v>
      </c>
      <c r="Q194" s="50" t="n">
        <v>75</v>
      </c>
      <c r="R194" s="53" t="n">
        <f aca="false">IF(BW194=1,0,IFERROR(VLOOKUP(BU194,'Gebinde-Kategorie'!$A$5:$N$45,13,0)+0,0))</f>
        <v>104</v>
      </c>
      <c r="S194" s="54"/>
      <c r="T194" s="55"/>
      <c r="U194" s="55"/>
      <c r="V194" s="55"/>
      <c r="W194" s="48"/>
      <c r="X194" s="50"/>
      <c r="Y194" s="50"/>
      <c r="Z194" s="48" t="n">
        <f aca="false">IF(A194="","",IF(AND(Parameter!$B$21="Ja",ISNUMBER(W194)),W194,IF(BZ194="2+3",IF(ISNUMBER(SEARCH("grosser Artikel",BR194)),2,IFERROR(VLOOKUP(BU194,Parameter!$F$35:$G$64,2,0),2)),IF(OR(BZ194="Nein",BZ194=""),"-",BZ194))))</f>
        <v>3</v>
      </c>
      <c r="AA194" s="55"/>
      <c r="AB194" s="56"/>
      <c r="AC194" s="50" t="n">
        <f aca="false">AT194</f>
        <v>225</v>
      </c>
      <c r="AD194" s="50" t="n">
        <f aca="false">MAX(AT194,H194)</f>
        <v>225</v>
      </c>
      <c r="AE194" s="57"/>
      <c r="AF194" s="50" t="n">
        <f aca="false">IF(LEFT(Cockpit!$C$5,1)="A",H194,IF(CE194=1,CF194,IF(LEFT(Cockpit!$C$5,1)="B",AK194,MAX(AK194,H194))))</f>
        <v>130</v>
      </c>
      <c r="AG194" s="50" t="n">
        <f aca="false">IF(BW194=1,0,ROUNDUP(AF194/BV194,0))</f>
        <v>2</v>
      </c>
      <c r="AH194" s="52" t="n">
        <f aca="false">IF(CL194&gt;0,CL194*MAX(1,AF194/X194),IF(BW194=1,IF(AF194&lt;=0,0,CA194*MAX(1,IF(H194&gt;0,AF194/H194,1))),IF(R194&gt;0,AG194/R194,0))/MAX(0.1,N(Parameter!$M$21)))</f>
        <v>0.0192307692307692</v>
      </c>
      <c r="AI194" s="50" t="n">
        <f aca="false">AH194*BY194</f>
        <v>2.98076923076923</v>
      </c>
      <c r="AJ194" s="50" t="n">
        <f aca="false">AF194*G194</f>
        <v>1359.8</v>
      </c>
      <c r="AK194" s="50" t="n">
        <f aca="false">ROUNDUP(MAX(J194/IF(CD194&gt;0,CD194,MAX(0.1,N(Cockpit!$C$6))),CG194)/BV194,0)*BV194</f>
        <v>225</v>
      </c>
      <c r="AL194" s="51" t="n">
        <f aca="false">IF(AI194&gt;0,J194/AI194,-1)</f>
        <v>51.3290322580645</v>
      </c>
      <c r="AM194" s="51" t="n">
        <f aca="false">IF(AND(OR(CC194="L1",CC194="L23",CC194="LIFT"),AI194&gt;0),SUMIFS($AI$7:$AI$1843,$CC$7:$CC$1843,CC194,$AL$7:$AL$1843,"&gt;"&amp;AL194)+SUMIFS($AI$7:$AI$1843,$CC$7:$CC$1843,CC194,$AL$7:$AL$1843,AL194,$BT$7:$BT$1843,"&lt;="&amp;BT194),"")</f>
        <v>1017.93269230769</v>
      </c>
      <c r="AN194" s="58" t="n">
        <f aca="false">IF(AM194="",0,MAX(0,MIN(1,(IF(CC194="L1",Parameter!$H$5,IF(CC194="L23",Parameter!$H$6+Parameter!$H$7,Parameter!$H$5+Parameter!$H$6+Parameter!$H$7))-(AM194-AI194))/AI194)))</f>
        <v>1</v>
      </c>
      <c r="AO194" s="50" t="n">
        <f aca="false">IF(LEFT(Cockpit!$I$5,1)="A",H194,IF(CE194=1,CF194,IF(LEFT(Cockpit!$I$5,1)="B",AT194,MAX(AT194,H194))))</f>
        <v>225</v>
      </c>
      <c r="AP194" s="50" t="n">
        <f aca="false">IF(BW194=1,0,ROUNDUP(AO194/BV194,0))</f>
        <v>3</v>
      </c>
      <c r="AQ194" s="52" t="n">
        <f aca="false">IF(CL194&gt;0,CL194*MAX(1,AO194/X194),IF(BW194=1,IF(AO194&lt;=0,0,CA194*MAX(1,IF(H194&gt;0,AO194/H194,1))),IF(R194&gt;0,AP194/R194,0))/MAX(0.1,N(Parameter!$M$21)))</f>
        <v>0.0288461538461538</v>
      </c>
      <c r="AR194" s="50" t="n">
        <f aca="false">AQ194*BY194</f>
        <v>4.47115384615385</v>
      </c>
      <c r="AS194" s="50" t="n">
        <f aca="false">AO194*G194</f>
        <v>2353.5</v>
      </c>
      <c r="AT194" s="50" t="n">
        <f aca="false">ROUNDUP(MAX(J194/IF(CD194&gt;0,CD194,MAX(0.1,N(Cockpit!$I$6))),CG194)/BV194,0)*BV194</f>
        <v>225</v>
      </c>
      <c r="AU194" s="51" t="n">
        <f aca="false">IF(AR194&gt;0,J194/AR194,-1)</f>
        <v>34.2193548387097</v>
      </c>
      <c r="AV194" s="51" t="n">
        <f aca="false">IF(AND(OR(CC194="L1",CC194="L23",CC194="LIFT"),AR194&gt;0),SUMIFS($AR$7:$AR$1843,$CC$7:$CC$1843,CC194,$AU$7:$AU$1843,"&gt;"&amp;AU194)+SUMIFS($AR$7:$AR$1843,$CC$7:$CC$1843,CC194,$AU$7:$AU$1843,AU194,$BT$7:$BT$1843,"&lt;="&amp;BT194),"")</f>
        <v>1823.26373626374</v>
      </c>
      <c r="AW194" s="58" t="n">
        <f aca="false">IF(AV194="",0,MAX(0,MIN(1,(IF(CC194="L1",Parameter!$H$5,IF(CC194="L23",Parameter!$H$6+Parameter!$H$7,Parameter!$H$5+Parameter!$H$6+Parameter!$H$7))-(AV194-AR194))/AR194)))</f>
        <v>1</v>
      </c>
      <c r="AX194" s="50" t="n">
        <f aca="false">IF(LEFT(Cockpit!$O$5,1)="A",H194,IF(CE194=1,CF194,IF(LEFT(Cockpit!$O$5,1)="B",BC194,MAX(BC194,H194))))</f>
        <v>225</v>
      </c>
      <c r="AY194" s="50" t="n">
        <f aca="false">IF(BW194=1,0,ROUNDUP(AX194/BV194,0))</f>
        <v>3</v>
      </c>
      <c r="AZ194" s="52" t="n">
        <f aca="false">IF(CL194&gt;0,CL194*MAX(1,AX194/X194),IF(BW194=1,IF(AX194&lt;=0,0,CA194*MAX(1,IF(H194&gt;0,AX194/H194,1))),IF(R194&gt;0,AY194/R194,0))/MAX(0.1,N(Parameter!$M$21)))</f>
        <v>0.0288461538461538</v>
      </c>
      <c r="BA194" s="50" t="n">
        <f aca="false">AZ194*BY194</f>
        <v>4.47115384615385</v>
      </c>
      <c r="BB194" s="50" t="n">
        <f aca="false">AX194*G194</f>
        <v>2353.5</v>
      </c>
      <c r="BC194" s="50" t="n">
        <f aca="false">ROUNDUP(MAX(J194/IF(CD194&gt;0,CD194,MAX(0.1,N(Cockpit!$O$6))),CG194)/BV194,0)*BV194</f>
        <v>225</v>
      </c>
      <c r="BD194" s="51" t="n">
        <f aca="false">IF(BA194&gt;0,J194/BA194,-1)</f>
        <v>34.2193548387097</v>
      </c>
      <c r="BE194" s="51" t="n">
        <f aca="false">IF(AND(OR(CC194="L1",CC194="L23",CC194="LIFT"),BA194&gt;0),SUMIFS($BA$7:$BA$1843,$CC$7:$CC$1843,CC194,$BD$7:$BD$1843,"&gt;"&amp;BD194)+SUMIFS($BA$7:$BA$1843,$CC$7:$CC$1843,CC194,$BD$7:$BD$1843,BD194,$BT$7:$BT$1843,"&lt;="&amp;BT194),"")</f>
        <v>1658.95283882784</v>
      </c>
      <c r="BF194" s="58" t="n">
        <f aca="false">IF(BE194="",0,MAX(0,MIN(1,(IF(CC194="L1",Parameter!$H$5,IF(CC194="L23",Parameter!$H$6+Parameter!$H$7,Parameter!$H$5+Parameter!$H$6+Parameter!$H$7))-(BE194-BA194))/BA194)))</f>
        <v>1</v>
      </c>
      <c r="BG194" s="48" t="str">
        <f aca="false">IF(AI194&lt;=0,"",IF(CC194="Aussen","Aussenlager",IF(CC194="-","Nicht im Lift",IF(AN194&gt;=1,"Lift",IF(AN194&lt;=0,"Aussenlager","teilweise")))))</f>
        <v>Lift</v>
      </c>
      <c r="BH194" s="48" t="str">
        <f aca="false">IF(AR194&lt;=0,"",IF(CC194="Aussen","Aussenlager",IF(CC194="-","Nicht im Lift",IF(AW194&gt;=1,"Lift",IF(AW194&lt;=0,"Aussenlager","teilweise")))))</f>
        <v>Lift</v>
      </c>
      <c r="BI194" s="48" t="str">
        <f aca="false">IF(BA194&lt;=0,"",IF(CC194="Aussen","Aussenlager",IF(CC194="-","Nicht im Lift",IF(BF194&gt;=1,"Lift",IF(BF194&lt;=0,"Aussenlager","teilweise")))))</f>
        <v>Lift</v>
      </c>
      <c r="BJ194" s="48" t="str">
        <f aca="false">IF(A194="","",IF(BS194=1,"Neu; ","")&amp;IF(AND(BS194=0,BN194&lt;0),"negativer Bestand (Export "&amp;BN194&amp;"); ","")&amp;IF(J194&lt;=0,"Kein Verbrauch; ","")&amp;IF(CL194&gt;0,"Lift "&amp;W194&amp;" lt. Liftbericht (Fach "&amp;X194&amp;" Stk); ",IF(BX194=1,"Gebinde geschätzt ("&amp;T194&amp;"); ",IF(BW194=1,"Lose – Tablare geschätzt; ","")))&amp;IF(H194&gt;AT194,"Überbestand "&amp;ROUND(H194-AT194,0)&amp;" Stk / CHF "&amp;ROUND((H194-AT194)*G194,0)&amp;"; ","")&amp;IF(AND(CE194=1,CF194&lt;CG194),"MAX &lt; MB+LG; ","")&amp;IF(AND(CK194&gt;0,CJ194*10&gt;CK194),"zu hoch für Tablar; ","")&amp;IF(AND(BS194=0,OR(CE194=1,AA194&lt;&gt;"",U194&lt;&gt;"",V194&lt;&gt;"",AB194&lt;&gt;"")),"manuell übersteuert; ","")&amp;IF(AND(BW194=0,R194=0),"Gebinde unbekannt / Stellmass fehlt; ","")&amp;IF(AND(BW194=0,N(V194)&lt;=0,N(Q194)&lt;=0),"Menge pro Gebinde fehlt (Ist = 1 Gebinde); ","")&amp;BR194)</f>
        <v/>
      </c>
      <c r="BK194" s="48"/>
      <c r="BL194" s="48"/>
      <c r="BM194" s="55"/>
      <c r="BN194" s="50" t="n">
        <v>86</v>
      </c>
      <c r="BO194" s="50" t="n">
        <v>44</v>
      </c>
      <c r="BP194" s="49" t="n">
        <v>842.36</v>
      </c>
      <c r="BQ194" s="50" t="n">
        <v>153</v>
      </c>
      <c r="BR194" s="48"/>
      <c r="BS194" s="53" t="n">
        <v>0</v>
      </c>
      <c r="BT194" s="53" t="n">
        <v>194</v>
      </c>
      <c r="BU194" s="48" t="str">
        <f aca="false">IF(U194&lt;&gt;"",UPPER(TRIM(U194)),IF(BX194=1,UPPER(VLOOKUP(T194,Parameter!$I$27:$K$29,2,0)),IF(P194="","LOSE",P194)))</f>
        <v>S32</v>
      </c>
      <c r="BV194" s="50" t="n">
        <f aca="false">IF(BU194="LOSE",1,IF(N(V194)&gt;0,V194,IF(BX194=1,MAX(1,N(VLOOKUP(T194,Parameter!$I$27:$K$29,3,0)),H194,N(N194)),IF(N(Q194)&gt;0,Q194,MAX(1,H194)))))</f>
        <v>75</v>
      </c>
      <c r="BW194" s="53" t="n">
        <f aca="false">IF(BU194="LOSE",1,0)</f>
        <v>0</v>
      </c>
      <c r="BX194" s="53" t="n">
        <f aca="false">IF(AND(U194="",OR(P194="",P194="LOSE"),T194&lt;&gt;"",N(S194)&lt;=0,ISNUMBER(MATCH(T194,Parameter!$I$27:$I$29,0))),1,0)</f>
        <v>0</v>
      </c>
      <c r="BY194" s="53" t="n">
        <f aca="false">IF(CL194&gt;0,INDEX(Parameter!$H$5:$H$7,W194)/INDEX(Parameter!$E$5:$E$7,W194),IF(AND(BW194=0,N(IFERROR(VLOOKUP(BU194,'Gebinde-Kategorie'!$A$5:$N$45,14,0),0))&gt;0),VLOOKUP(BU194,'Gebinde-Kategorie'!$A$5:$N$45,14,0)*10+Parameter!$M$23,Parameter!$M$24))</f>
        <v>155</v>
      </c>
      <c r="BZ194" s="48" t="str">
        <f aca="false">IF(AND(Parameter!$B$19="Ja",E194&lt;&gt;"",ISNUMBER(MATCH(E194,Parameter!$I$35:$I$52,0))),VLOOKUP(E194,Parameter!$I$35:$J$52,2,0),IFERROR(VLOOKUP(D194,Parameter!$A$35:$C$64,2,0),"Nein"))</f>
        <v>2+3</v>
      </c>
      <c r="CA194" s="52" t="n">
        <f aca="false">IF(BW194=0,0,IF(N(S194)&gt;0,S194,IFERROR(VLOOKUP(D194,Parameter!$A$35:$C$64,3,0)+0,0)))</f>
        <v>0</v>
      </c>
      <c r="CB194" s="48" t="n">
        <f aca="false">IF(AA194&lt;&gt;"",AA194,Z194)</f>
        <v>3</v>
      </c>
      <c r="CC194" s="48" t="str">
        <f aca="false">IF(OR(CB194=1,CB194=2,CB194=3),IF(Parameter!$E$27="Ja","LIFT",IF(CB194=1,"L1","L23")),IF(CB194="Aussen","Aussen","-"))</f>
        <v>LIFT</v>
      </c>
      <c r="CD194" s="59" t="n">
        <f aca="false">IF(N(AB194)&gt;0,AB194,0)</f>
        <v>0</v>
      </c>
      <c r="CE194" s="53" t="n">
        <f aca="false">IF(ISNUMBER(AE194),1,0)</f>
        <v>0</v>
      </c>
      <c r="CF194" s="50" t="n">
        <f aca="false">N(AE194)</f>
        <v>0</v>
      </c>
      <c r="CG194" s="50" t="n">
        <f aca="false">N(M194)+N(N194)</f>
        <v>158</v>
      </c>
      <c r="CH194" s="50" t="n">
        <f aca="false">ROUNDUP(H194/BV194,0)</f>
        <v>2</v>
      </c>
      <c r="CI194" s="50" t="n">
        <f aca="false">ROUNDUP(CF194/BV194,0)</f>
        <v>0</v>
      </c>
      <c r="CJ194" s="53" t="n">
        <f aca="false">IF(BW194=1,0,IFERROR(VLOOKUP(BU194,'Gebinde-Kategorie'!$A$5:$N$45,5,0)+0,0))</f>
        <v>8</v>
      </c>
      <c r="CK194" s="53" t="n">
        <f aca="false">IFERROR(IF(OR(CB194=1,CB194=2,CB194=3),N(INDEX(Parameter!$I$5:$I$7,CB194)),0),0)</f>
        <v>0</v>
      </c>
      <c r="CL194" s="52" t="n">
        <f aca="false">IF(AND(Parameter!$B$21="Ja",ISNUMBER(W194),N(X194)&gt;0),IFERROR(N(INDEX(Parameter!$L$5:$L$7,W194))*INDEX(Parameter!$E$5:$E$7,W194)*X194/SUMIFS($X$7:$X$1843,$W$7:$W$1843,W194),0),0)</f>
        <v>0</v>
      </c>
    </row>
    <row r="195" customFormat="false" ht="15" hidden="false" customHeight="false" outlineLevel="0" collapsed="false">
      <c r="A195" s="48" t="s">
        <v>596</v>
      </c>
      <c r="B195" s="48" t="s">
        <v>493</v>
      </c>
      <c r="C195" s="48" t="s">
        <v>168</v>
      </c>
      <c r="D195" s="48" t="s">
        <v>188</v>
      </c>
      <c r="E195" s="48" t="s">
        <v>189</v>
      </c>
      <c r="F195" s="48" t="s">
        <v>222</v>
      </c>
      <c r="G195" s="49" t="n">
        <v>1.2</v>
      </c>
      <c r="H195" s="50" t="n">
        <f aca="false">MAX(0,IF(AND(Parameter!$B$21="Ja",ISNUMBER(Y195)),Y195,IF(Parameter!$B$20="Jahresanfang 2025 + Export",BO195+BN195,BN195)))</f>
        <v>1006</v>
      </c>
      <c r="I195" s="50" t="n">
        <f aca="false">H195*G195</f>
        <v>1207.2</v>
      </c>
      <c r="J195" s="50" t="n">
        <f aca="false">BQ195*Parameter!$B$18</f>
        <v>1270</v>
      </c>
      <c r="K195" s="51" t="n">
        <v>400</v>
      </c>
      <c r="L195" s="52" t="n">
        <v>3.175</v>
      </c>
      <c r="M195" s="50" t="n">
        <v>49</v>
      </c>
      <c r="N195" s="50" t="n">
        <v>1270</v>
      </c>
      <c r="O195" s="53" t="n">
        <v>14</v>
      </c>
      <c r="P195" s="48" t="s">
        <v>480</v>
      </c>
      <c r="Q195" s="50" t="n">
        <v>666</v>
      </c>
      <c r="R195" s="53" t="n">
        <f aca="false">IF(BW195=1,0,IFERROR(VLOOKUP(BU195,'Gebinde-Kategorie'!$A$5:$N$45,13,0)+0,0))</f>
        <v>52</v>
      </c>
      <c r="S195" s="54"/>
      <c r="T195" s="55"/>
      <c r="U195" s="55"/>
      <c r="V195" s="55"/>
      <c r="W195" s="48"/>
      <c r="X195" s="50"/>
      <c r="Y195" s="50"/>
      <c r="Z195" s="48" t="n">
        <f aca="false">IF(A195="","",IF(AND(Parameter!$B$21="Ja",ISNUMBER(W195)),W195,IF(BZ195="2+3",IF(ISNUMBER(SEARCH("grosser Artikel",BR195)),2,IFERROR(VLOOKUP(BU195,Parameter!$F$35:$G$64,2,0),2)),IF(OR(BZ195="Nein",BZ195=""),"-",BZ195))))</f>
        <v>3</v>
      </c>
      <c r="AA195" s="55"/>
      <c r="AB195" s="56"/>
      <c r="AC195" s="50" t="n">
        <f aca="false">AT195</f>
        <v>1332</v>
      </c>
      <c r="AD195" s="50" t="n">
        <f aca="false">MAX(AT195,H195)</f>
        <v>1332</v>
      </c>
      <c r="AE195" s="57"/>
      <c r="AF195" s="50" t="n">
        <f aca="false">IF(LEFT(Cockpit!$C$5,1)="A",H195,IF(CE195=1,CF195,IF(LEFT(Cockpit!$C$5,1)="B",AK195,MAX(AK195,H195))))</f>
        <v>1006</v>
      </c>
      <c r="AG195" s="50" t="n">
        <f aca="false">IF(BW195=1,0,ROUNDUP(AF195/BV195,0))</f>
        <v>2</v>
      </c>
      <c r="AH195" s="52" t="n">
        <f aca="false">IF(CL195&gt;0,CL195*MAX(1,AF195/X195),IF(BW195=1,IF(AF195&lt;=0,0,CA195*MAX(1,IF(H195&gt;0,AF195/H195,1))),IF(R195&gt;0,AG195/R195,0))/MAX(0.1,N(Parameter!$M$21)))</f>
        <v>0.0384615384615385</v>
      </c>
      <c r="AI195" s="50" t="n">
        <f aca="false">AH195*BY195</f>
        <v>5.96153846153846</v>
      </c>
      <c r="AJ195" s="50" t="n">
        <f aca="false">AF195*G195</f>
        <v>1207.2</v>
      </c>
      <c r="AK195" s="50" t="n">
        <f aca="false">ROUNDUP(MAX(J195/IF(CD195&gt;0,CD195,MAX(0.1,N(Cockpit!$C$6))),CG195)/BV195,0)*BV195</f>
        <v>1332</v>
      </c>
      <c r="AL195" s="51" t="n">
        <f aca="false">IF(AI195&gt;0,J195/AI195,-1)</f>
        <v>213.032258064516</v>
      </c>
      <c r="AM195" s="51" t="n">
        <f aca="false">IF(AND(OR(CC195="L1",CC195="L23",CC195="LIFT"),AI195&gt;0),SUMIFS($AI$7:$AI$1843,$CC$7:$CC$1843,CC195,$AL$7:$AL$1843,"&gt;"&amp;AL195)+SUMIFS($AI$7:$AI$1843,$CC$7:$CC$1843,CC195,$AL$7:$AL$1843,AL195,$BT$7:$BT$1843,"&lt;="&amp;BT195),"")</f>
        <v>328.974358974359</v>
      </c>
      <c r="AN195" s="58" t="n">
        <f aca="false">IF(AM195="",0,MAX(0,MIN(1,(IF(CC195="L1",Parameter!$H$5,IF(CC195="L23",Parameter!$H$6+Parameter!$H$7,Parameter!$H$5+Parameter!$H$6+Parameter!$H$7))-(AM195-AI195))/AI195)))</f>
        <v>1</v>
      </c>
      <c r="AO195" s="50" t="n">
        <f aca="false">IF(LEFT(Cockpit!$I$5,1)="A",H195,IF(CE195=1,CF195,IF(LEFT(Cockpit!$I$5,1)="B",AT195,MAX(AT195,H195))))</f>
        <v>1332</v>
      </c>
      <c r="AP195" s="50" t="n">
        <f aca="false">IF(BW195=1,0,ROUNDUP(AO195/BV195,0))</f>
        <v>2</v>
      </c>
      <c r="AQ195" s="52" t="n">
        <f aca="false">IF(CL195&gt;0,CL195*MAX(1,AO195/X195),IF(BW195=1,IF(AO195&lt;=0,0,CA195*MAX(1,IF(H195&gt;0,AO195/H195,1))),IF(R195&gt;0,AP195/R195,0))/MAX(0.1,N(Parameter!$M$21)))</f>
        <v>0.0384615384615385</v>
      </c>
      <c r="AR195" s="50" t="n">
        <f aca="false">AQ195*BY195</f>
        <v>5.96153846153846</v>
      </c>
      <c r="AS195" s="50" t="n">
        <f aca="false">AO195*G195</f>
        <v>1598.4</v>
      </c>
      <c r="AT195" s="50" t="n">
        <f aca="false">ROUNDUP(MAX(J195/IF(CD195&gt;0,CD195,MAX(0.1,N(Cockpit!$I$6))),CG195)/BV195,0)*BV195</f>
        <v>1332</v>
      </c>
      <c r="AU195" s="51" t="n">
        <f aca="false">IF(AR195&gt;0,J195/AR195,-1)</f>
        <v>213.032258064516</v>
      </c>
      <c r="AV195" s="51" t="n">
        <f aca="false">IF(AND(OR(CC195="L1",CC195="L23",CC195="LIFT"),AR195&gt;0),SUMIFS($AR$7:$AR$1843,$CC$7:$CC$1843,CC195,$AU$7:$AU$1843,"&gt;"&amp;AU195)+SUMIFS($AR$7:$AR$1843,$CC$7:$CC$1843,CC195,$AU$7:$AU$1843,AU195,$BT$7:$BT$1843,"&lt;="&amp;BT195),"")</f>
        <v>356.592490842491</v>
      </c>
      <c r="AW195" s="58" t="n">
        <f aca="false">IF(AV195="",0,MAX(0,MIN(1,(IF(CC195="L1",Parameter!$H$5,IF(CC195="L23",Parameter!$H$6+Parameter!$H$7,Parameter!$H$5+Parameter!$H$6+Parameter!$H$7))-(AV195-AR195))/AR195)))</f>
        <v>1</v>
      </c>
      <c r="AX195" s="50" t="n">
        <f aca="false">IF(LEFT(Cockpit!$O$5,1)="A",H195,IF(CE195=1,CF195,IF(LEFT(Cockpit!$O$5,1)="B",BC195,MAX(BC195,H195))))</f>
        <v>1332</v>
      </c>
      <c r="AY195" s="50" t="n">
        <f aca="false">IF(BW195=1,0,ROUNDUP(AX195/BV195,0))</f>
        <v>2</v>
      </c>
      <c r="AZ195" s="52" t="n">
        <f aca="false">IF(CL195&gt;0,CL195*MAX(1,AX195/X195),IF(BW195=1,IF(AX195&lt;=0,0,CA195*MAX(1,IF(H195&gt;0,AX195/H195,1))),IF(R195&gt;0,AY195/R195,0))/MAX(0.1,N(Parameter!$M$21)))</f>
        <v>0.0384615384615385</v>
      </c>
      <c r="BA195" s="50" t="n">
        <f aca="false">AZ195*BY195</f>
        <v>5.96153846153846</v>
      </c>
      <c r="BB195" s="50" t="n">
        <f aca="false">AX195*G195</f>
        <v>1598.4</v>
      </c>
      <c r="BC195" s="50" t="n">
        <f aca="false">ROUNDUP(MAX(J195/IF(CD195&gt;0,CD195,MAX(0.1,N(Cockpit!$O$6))),CG195)/BV195,0)*BV195</f>
        <v>1332</v>
      </c>
      <c r="BD195" s="51" t="n">
        <f aca="false">IF(BA195&gt;0,J195/BA195,-1)</f>
        <v>213.032258064516</v>
      </c>
      <c r="BE195" s="51" t="n">
        <f aca="false">IF(AND(OR(CC195="L1",CC195="L23",CC195="LIFT"),BA195&gt;0),SUMIFS($BA$7:$BA$1843,$CC$7:$CC$1843,CC195,$BD$7:$BD$1843,"&gt;"&amp;BD195)+SUMIFS($BA$7:$BA$1843,$CC$7:$CC$1843,CC195,$BD$7:$BD$1843,BD195,$BT$7:$BT$1843,"&lt;="&amp;BT195),"")</f>
        <v>421.031593406593</v>
      </c>
      <c r="BF195" s="58" t="n">
        <f aca="false">IF(BE195="",0,MAX(0,MIN(1,(IF(CC195="L1",Parameter!$H$5,IF(CC195="L23",Parameter!$H$6+Parameter!$H$7,Parameter!$H$5+Parameter!$H$6+Parameter!$H$7))-(BE195-BA195))/BA195)))</f>
        <v>1</v>
      </c>
      <c r="BG195" s="48" t="str">
        <f aca="false">IF(AI195&lt;=0,"",IF(CC195="Aussen","Aussenlager",IF(CC195="-","Nicht im Lift",IF(AN195&gt;=1,"Lift",IF(AN195&lt;=0,"Aussenlager","teilweise")))))</f>
        <v>Lift</v>
      </c>
      <c r="BH195" s="48" t="str">
        <f aca="false">IF(AR195&lt;=0,"",IF(CC195="Aussen","Aussenlager",IF(CC195="-","Nicht im Lift",IF(AW195&gt;=1,"Lift",IF(AW195&lt;=0,"Aussenlager","teilweise")))))</f>
        <v>Lift</v>
      </c>
      <c r="BI195" s="48" t="str">
        <f aca="false">IF(BA195&lt;=0,"",IF(CC195="Aussen","Aussenlager",IF(CC195="-","Nicht im Lift",IF(BF195&gt;=1,"Lift",IF(BF195&lt;=0,"Aussenlager","teilweise")))))</f>
        <v>Lift</v>
      </c>
      <c r="BJ195" s="48" t="str">
        <f aca="false">IF(A195="","",IF(BS195=1,"Neu; ","")&amp;IF(AND(BS195=0,BN195&lt;0),"negativer Bestand (Export "&amp;BN195&amp;"); ","")&amp;IF(J195&lt;=0,"Kein Verbrauch; ","")&amp;IF(CL195&gt;0,"Lift "&amp;W195&amp;" lt. Liftbericht (Fach "&amp;X195&amp;" Stk); ",IF(BX195=1,"Gebinde geschätzt ("&amp;T195&amp;"); ",IF(BW195=1,"Lose – Tablare geschätzt; ","")))&amp;IF(H195&gt;AT195,"Überbestand "&amp;ROUND(H195-AT195,0)&amp;" Stk / CHF "&amp;ROUND((H195-AT195)*G195,0)&amp;"; ","")&amp;IF(AND(CE195=1,CF195&lt;CG195),"MAX &lt; MB+LG; ","")&amp;IF(AND(CK195&gt;0,CJ195*10&gt;CK195),"zu hoch für Tablar; ","")&amp;IF(AND(BS195=0,OR(CE195=1,AA195&lt;&gt;"",U195&lt;&gt;"",V195&lt;&gt;"",AB195&lt;&gt;"")),"manuell übersteuert; ","")&amp;IF(AND(BW195=0,R195=0),"Gebinde unbekannt / Stellmass fehlt; ","")&amp;IF(AND(BW195=0,N(V195)&lt;=0,N(Q195)&lt;=0),"Menge pro Gebinde fehlt (Ist = 1 Gebinde); ","")&amp;BR195)</f>
        <v/>
      </c>
      <c r="BK195" s="48"/>
      <c r="BL195" s="48"/>
      <c r="BM195" s="55"/>
      <c r="BN195" s="50" t="n">
        <v>746</v>
      </c>
      <c r="BO195" s="50" t="n">
        <v>260</v>
      </c>
      <c r="BP195" s="49" t="n">
        <v>830.199999999999</v>
      </c>
      <c r="BQ195" s="50" t="n">
        <v>1270</v>
      </c>
      <c r="BR195" s="48"/>
      <c r="BS195" s="53" t="n">
        <v>0</v>
      </c>
      <c r="BT195" s="53" t="n">
        <v>195</v>
      </c>
      <c r="BU195" s="48" t="str">
        <f aca="false">IF(U195&lt;&gt;"",UPPER(TRIM(U195)),IF(BX195=1,UPPER(VLOOKUP(T195,Parameter!$I$27:$K$29,2,0)),IF(P195="","LOSE",P195)))</f>
        <v>S33</v>
      </c>
      <c r="BV195" s="50" t="n">
        <f aca="false">IF(BU195="LOSE",1,IF(N(V195)&gt;0,V195,IF(BX195=1,MAX(1,N(VLOOKUP(T195,Parameter!$I$27:$K$29,3,0)),H195,N(N195)),IF(N(Q195)&gt;0,Q195,MAX(1,H195)))))</f>
        <v>666</v>
      </c>
      <c r="BW195" s="53" t="n">
        <f aca="false">IF(BU195="LOSE",1,0)</f>
        <v>0</v>
      </c>
      <c r="BX195" s="53" t="n">
        <f aca="false">IF(AND(U195="",OR(P195="",P195="LOSE"),T195&lt;&gt;"",N(S195)&lt;=0,ISNUMBER(MATCH(T195,Parameter!$I$27:$I$29,0))),1,0)</f>
        <v>0</v>
      </c>
      <c r="BY195" s="53" t="n">
        <f aca="false">IF(CL195&gt;0,INDEX(Parameter!$H$5:$H$7,W195)/INDEX(Parameter!$E$5:$E$7,W195),IF(AND(BW195=0,N(IFERROR(VLOOKUP(BU195,'Gebinde-Kategorie'!$A$5:$N$45,14,0),0))&gt;0),VLOOKUP(BU195,'Gebinde-Kategorie'!$A$5:$N$45,14,0)*10+Parameter!$M$23,Parameter!$M$24))</f>
        <v>155</v>
      </c>
      <c r="BZ195" s="48" t="str">
        <f aca="false">IF(AND(Parameter!$B$19="Ja",E195&lt;&gt;"",ISNUMBER(MATCH(E195,Parameter!$I$35:$I$52,0))),VLOOKUP(E195,Parameter!$I$35:$J$52,2,0),IFERROR(VLOOKUP(D195,Parameter!$A$35:$C$64,2,0),"Nein"))</f>
        <v>2+3</v>
      </c>
      <c r="CA195" s="52" t="n">
        <f aca="false">IF(BW195=0,0,IF(N(S195)&gt;0,S195,IFERROR(VLOOKUP(D195,Parameter!$A$35:$C$64,3,0)+0,0)))</f>
        <v>0</v>
      </c>
      <c r="CB195" s="48" t="n">
        <f aca="false">IF(AA195&lt;&gt;"",AA195,Z195)</f>
        <v>3</v>
      </c>
      <c r="CC195" s="48" t="str">
        <f aca="false">IF(OR(CB195=1,CB195=2,CB195=3),IF(Parameter!$E$27="Ja","LIFT",IF(CB195=1,"L1","L23")),IF(CB195="Aussen","Aussen","-"))</f>
        <v>LIFT</v>
      </c>
      <c r="CD195" s="59" t="n">
        <f aca="false">IF(N(AB195)&gt;0,AB195,0)</f>
        <v>0</v>
      </c>
      <c r="CE195" s="53" t="n">
        <f aca="false">IF(ISNUMBER(AE195),1,0)</f>
        <v>0</v>
      </c>
      <c r="CF195" s="50" t="n">
        <f aca="false">N(AE195)</f>
        <v>0</v>
      </c>
      <c r="CG195" s="50" t="n">
        <f aca="false">N(M195)+N(N195)</f>
        <v>1319</v>
      </c>
      <c r="CH195" s="50" t="n">
        <f aca="false">ROUNDUP(H195/BV195,0)</f>
        <v>2</v>
      </c>
      <c r="CI195" s="50" t="n">
        <f aca="false">ROUNDUP(CF195/BV195,0)</f>
        <v>0</v>
      </c>
      <c r="CJ195" s="53" t="n">
        <f aca="false">IF(BW195=1,0,IFERROR(VLOOKUP(BU195,'Gebinde-Kategorie'!$A$5:$N$45,5,0)+0,0))</f>
        <v>8</v>
      </c>
      <c r="CK195" s="53" t="n">
        <f aca="false">IFERROR(IF(OR(CB195=1,CB195=2,CB195=3),N(INDEX(Parameter!$I$5:$I$7,CB195)),0),0)</f>
        <v>0</v>
      </c>
      <c r="CL195" s="52" t="n">
        <f aca="false">IF(AND(Parameter!$B$21="Ja",ISNUMBER(W195),N(X195)&gt;0),IFERROR(N(INDEX(Parameter!$L$5:$L$7,W195))*INDEX(Parameter!$E$5:$E$7,W195)*X195/SUMIFS($X$7:$X$1843,$W$7:$W$1843,W195),0),0)</f>
        <v>0</v>
      </c>
    </row>
    <row r="196" customFormat="false" ht="15" hidden="false" customHeight="false" outlineLevel="0" collapsed="false">
      <c r="A196" s="48" t="s">
        <v>597</v>
      </c>
      <c r="B196" s="48" t="s">
        <v>598</v>
      </c>
      <c r="C196" s="48" t="s">
        <v>168</v>
      </c>
      <c r="D196" s="48" t="s">
        <v>188</v>
      </c>
      <c r="E196" s="48"/>
      <c r="F196" s="48" t="s">
        <v>222</v>
      </c>
      <c r="G196" s="49" t="n">
        <v>34.52</v>
      </c>
      <c r="H196" s="50" t="n">
        <f aca="false">MAX(0,IF(AND(Parameter!$B$21="Ja",ISNUMBER(Y196)),Y196,IF(Parameter!$B$20="Jahresanfang 2025 + Export",BO196+BN196,BN196)))</f>
        <v>24</v>
      </c>
      <c r="I196" s="50" t="n">
        <f aca="false">H196*G196</f>
        <v>828.48</v>
      </c>
      <c r="J196" s="50" t="n">
        <f aca="false">BQ196*Parameter!$B$18</f>
        <v>0</v>
      </c>
      <c r="K196" s="51" t="n">
        <v>0</v>
      </c>
      <c r="L196" s="52" t="n">
        <v>0</v>
      </c>
      <c r="M196" s="50" t="n">
        <v>0</v>
      </c>
      <c r="N196" s="50" t="n">
        <v>1</v>
      </c>
      <c r="O196" s="53" t="n">
        <v>9999</v>
      </c>
      <c r="P196" s="48" t="s">
        <v>172</v>
      </c>
      <c r="Q196" s="50"/>
      <c r="R196" s="53" t="n">
        <f aca="false">IF(BW196=1,0,IFERROR(VLOOKUP(BU196,'Gebinde-Kategorie'!$A$5:$N$45,13,0)+0,0))</f>
        <v>26</v>
      </c>
      <c r="S196" s="54"/>
      <c r="T196" s="55" t="s">
        <v>279</v>
      </c>
      <c r="U196" s="55"/>
      <c r="V196" s="55"/>
      <c r="W196" s="48"/>
      <c r="X196" s="50"/>
      <c r="Y196" s="50"/>
      <c r="Z196" s="48" t="n">
        <f aca="false">IF(A196="","",IF(AND(Parameter!$B$21="Ja",ISNUMBER(W196)),W196,IF(BZ196="2+3",IF(ISNUMBER(SEARCH("grosser Artikel",BR196)),2,IFERROR(VLOOKUP(BU196,Parameter!$F$35:$G$64,2,0),2)),IF(OR(BZ196="Nein",BZ196=""),"-",BZ196))))</f>
        <v>3</v>
      </c>
      <c r="AA196" s="55"/>
      <c r="AB196" s="56"/>
      <c r="AC196" s="50" t="n">
        <f aca="false">AT196</f>
        <v>24</v>
      </c>
      <c r="AD196" s="50" t="n">
        <f aca="false">MAX(AT196,H196)</f>
        <v>24</v>
      </c>
      <c r="AE196" s="57"/>
      <c r="AF196" s="50" t="n">
        <f aca="false">IF(LEFT(Cockpit!$C$5,1)="A",H196,IF(CE196=1,CF196,IF(LEFT(Cockpit!$C$5,1)="B",AK196,MAX(AK196,H196))))</f>
        <v>24</v>
      </c>
      <c r="AG196" s="50" t="n">
        <f aca="false">IF(BW196=1,0,ROUNDUP(AF196/BV196,0))</f>
        <v>1</v>
      </c>
      <c r="AH196" s="52" t="n">
        <f aca="false">IF(CL196&gt;0,CL196*MAX(1,AF196/X196),IF(BW196=1,IF(AF196&lt;=0,0,CA196*MAX(1,IF(H196&gt;0,AF196/H196,1))),IF(R196&gt;0,AG196/R196,0))/MAX(0.1,N(Parameter!$M$21)))</f>
        <v>0.0384615384615385</v>
      </c>
      <c r="AI196" s="50" t="n">
        <f aca="false">AH196*BY196</f>
        <v>5.96153846153846</v>
      </c>
      <c r="AJ196" s="50" t="n">
        <f aca="false">AF196*G196</f>
        <v>828.48</v>
      </c>
      <c r="AK196" s="50" t="n">
        <f aca="false">ROUNDUP(MAX(J196/IF(CD196&gt;0,CD196,MAX(0.1,N(Cockpit!$C$6))),CG196)/BV196,0)*BV196</f>
        <v>24</v>
      </c>
      <c r="AL196" s="51" t="n">
        <f aca="false">IF(AI196&gt;0,J196/AI196,-1)</f>
        <v>0</v>
      </c>
      <c r="AM196" s="51" t="n">
        <f aca="false">IF(AND(OR(CC196="L1",CC196="L23",CC196="LIFT"),AI196&gt;0),SUMIFS($AI$7:$AI$1843,$CC$7:$CC$1843,CC196,$AL$7:$AL$1843,"&gt;"&amp;AL196)+SUMIFS($AI$7:$AI$1843,$CC$7:$CC$1843,CC196,$AL$7:$AL$1843,AL196,$BT$7:$BT$1843,"&lt;="&amp;BT196),"")</f>
        <v>27524.4177505639</v>
      </c>
      <c r="AN196" s="58" t="n">
        <f aca="false">IF(AM196="",0,MAX(0,MIN(1,(IF(CC196="L1",Parameter!$H$5,IF(CC196="L23",Parameter!$H$6+Parameter!$H$7,Parameter!$H$5+Parameter!$H$6+Parameter!$H$7))-(AM196-AI196))/AI196)))</f>
        <v>1</v>
      </c>
      <c r="AO196" s="50" t="n">
        <f aca="false">IF(LEFT(Cockpit!$I$5,1)="A",H196,IF(CE196=1,CF196,IF(LEFT(Cockpit!$I$5,1)="B",AT196,MAX(AT196,H196))))</f>
        <v>24</v>
      </c>
      <c r="AP196" s="50" t="n">
        <f aca="false">IF(BW196=1,0,ROUNDUP(AO196/BV196,0))</f>
        <v>1</v>
      </c>
      <c r="AQ196" s="52" t="n">
        <f aca="false">IF(CL196&gt;0,CL196*MAX(1,AO196/X196),IF(BW196=1,IF(AO196&lt;=0,0,CA196*MAX(1,IF(H196&gt;0,AO196/H196,1))),IF(R196&gt;0,AP196/R196,0))/MAX(0.1,N(Parameter!$M$21)))</f>
        <v>0.0384615384615385</v>
      </c>
      <c r="AR196" s="50" t="n">
        <f aca="false">AQ196*BY196</f>
        <v>5.96153846153846</v>
      </c>
      <c r="AS196" s="50" t="n">
        <f aca="false">AO196*G196</f>
        <v>828.48</v>
      </c>
      <c r="AT196" s="50" t="n">
        <f aca="false">ROUNDUP(MAX(J196/IF(CD196&gt;0,CD196,MAX(0.1,N(Cockpit!$I$6))),CG196)/BV196,0)*BV196</f>
        <v>24</v>
      </c>
      <c r="AU196" s="51" t="n">
        <f aca="false">IF(AR196&gt;0,J196/AR196,-1)</f>
        <v>0</v>
      </c>
      <c r="AV196" s="51" t="n">
        <f aca="false">IF(AND(OR(CC196="L1",CC196="L23",CC196="LIFT"),AR196&gt;0),SUMIFS($AR$7:$AR$1843,$CC$7:$CC$1843,CC196,$AU$7:$AU$1843,"&gt;"&amp;AU196)+SUMIFS($AR$7:$AR$1843,$CC$7:$CC$1843,CC196,$AU$7:$AU$1843,AU196,$BT$7:$BT$1843,"&lt;="&amp;BT196),"")</f>
        <v>38837.3232678339</v>
      </c>
      <c r="AW196" s="58" t="n">
        <f aca="false">IF(AV196="",0,MAX(0,MIN(1,(IF(CC196="L1",Parameter!$H$5,IF(CC196="L23",Parameter!$H$6+Parameter!$H$7,Parameter!$H$5+Parameter!$H$6+Parameter!$H$7))-(AV196-AR196))/AR196)))</f>
        <v>0</v>
      </c>
      <c r="AX196" s="50" t="n">
        <f aca="false">IF(LEFT(Cockpit!$O$5,1)="A",H196,IF(CE196=1,CF196,IF(LEFT(Cockpit!$O$5,1)="B",BC196,MAX(BC196,H196))))</f>
        <v>24</v>
      </c>
      <c r="AY196" s="50" t="n">
        <f aca="false">IF(BW196=1,0,ROUNDUP(AX196/BV196,0))</f>
        <v>1</v>
      </c>
      <c r="AZ196" s="52" t="n">
        <f aca="false">IF(CL196&gt;0,CL196*MAX(1,AX196/X196),IF(BW196=1,IF(AX196&lt;=0,0,CA196*MAX(1,IF(H196&gt;0,AX196/H196,1))),IF(R196&gt;0,AY196/R196,0))/MAX(0.1,N(Parameter!$M$21)))</f>
        <v>0.0384615384615385</v>
      </c>
      <c r="BA196" s="50" t="n">
        <f aca="false">AZ196*BY196</f>
        <v>5.96153846153846</v>
      </c>
      <c r="BB196" s="50" t="n">
        <f aca="false">AX196*G196</f>
        <v>828.48</v>
      </c>
      <c r="BC196" s="50" t="n">
        <f aca="false">ROUNDUP(MAX(J196/IF(CD196&gt;0,CD196,MAX(0.1,N(Cockpit!$O$6))),CG196)/BV196,0)*BV196</f>
        <v>24</v>
      </c>
      <c r="BD196" s="51" t="n">
        <f aca="false">IF(BA196&gt;0,J196/BA196,-1)</f>
        <v>0</v>
      </c>
      <c r="BE196" s="51" t="n">
        <f aca="false">IF(AND(OR(CC196="L1",CC196="L23",CC196="LIFT"),BA196&gt;0),SUMIFS($BA$7:$BA$1843,$CC$7:$CC$1843,CC196,$BD$7:$BD$1843,"&gt;"&amp;BD196)+SUMIFS($BA$7:$BA$1843,$CC$7:$CC$1843,CC196,$BD$7:$BD$1843,BD196,$BT$7:$BT$1843,"&lt;="&amp;BT196),"")</f>
        <v>35512.3353096997</v>
      </c>
      <c r="BF196" s="58" t="n">
        <f aca="false">IF(BE196="",0,MAX(0,MIN(1,(IF(CC196="L1",Parameter!$H$5,IF(CC196="L23",Parameter!$H$6+Parameter!$H$7,Parameter!$H$5+Parameter!$H$6+Parameter!$H$7))-(BE196-BA196))/BA196)))</f>
        <v>1</v>
      </c>
      <c r="BG196" s="48" t="str">
        <f aca="false">IF(AI196&lt;=0,"",IF(CC196="Aussen","Aussenlager",IF(CC196="-","Nicht im Lift",IF(AN196&gt;=1,"Lift",IF(AN196&lt;=0,"Aussenlager","teilweise")))))</f>
        <v>Lift</v>
      </c>
      <c r="BH196" s="48" t="str">
        <f aca="false">IF(AR196&lt;=0,"",IF(CC196="Aussen","Aussenlager",IF(CC196="-","Nicht im Lift",IF(AW196&gt;=1,"Lift",IF(AW196&lt;=0,"Aussenlager","teilweise")))))</f>
        <v>Aussenlager</v>
      </c>
      <c r="BI196" s="48" t="str">
        <f aca="false">IF(BA196&lt;=0,"",IF(CC196="Aussen","Aussenlager",IF(CC196="-","Nicht im Lift",IF(BF196&gt;=1,"Lift",IF(BF196&lt;=0,"Aussenlager","teilweise")))))</f>
        <v>Lift</v>
      </c>
      <c r="BJ196" s="48" t="str">
        <f aca="false">IF(A196="","",IF(BS196=1,"Neu; ","")&amp;IF(AND(BS196=0,BN196&lt;0),"negativer Bestand (Export "&amp;BN196&amp;"); ","")&amp;IF(J196&lt;=0,"Kein Verbrauch; ","")&amp;IF(CL196&gt;0,"Lift "&amp;W196&amp;" lt. Liftbericht (Fach "&amp;X196&amp;" Stk); ",IF(BX196=1,"Gebinde geschätzt ("&amp;T196&amp;"); ",IF(BW196=1,"Lose – Tablare geschätzt; ","")))&amp;IF(H196&gt;AT196,"Überbestand "&amp;ROUND(H196-AT196,0)&amp;" Stk / CHF "&amp;ROUND((H196-AT196)*G196,0)&amp;"; ","")&amp;IF(AND(CE196=1,CF196&lt;CG196),"MAX &lt; MB+LG; ","")&amp;IF(AND(CK196&gt;0,CJ196*10&gt;CK196),"zu hoch für Tablar; ","")&amp;IF(AND(BS196=0,OR(CE196=1,AA196&lt;&gt;"",U196&lt;&gt;"",V196&lt;&gt;"",AB196&lt;&gt;"")),"manuell übersteuert; ","")&amp;IF(AND(BW196=0,R196=0),"Gebinde unbekannt / Stellmass fehlt; ","")&amp;IF(AND(BW196=0,N(V196)&lt;=0,N(Q196)&lt;=0),"Menge pro Gebinde fehlt (Ist = 1 Gebinde); ","")&amp;BR196)</f>
        <v>Kein Verbrauch; Gebinde geschätzt (Klein); Menge pro Gebinde fehlt (Ist = 1 Gebinde); </v>
      </c>
      <c r="BK196" s="48"/>
      <c r="BL196" s="48"/>
      <c r="BM196" s="55"/>
      <c r="BN196" s="50" t="n">
        <v>24</v>
      </c>
      <c r="BO196" s="50" t="n">
        <v>0</v>
      </c>
      <c r="BP196" s="49" t="n">
        <v>828.48</v>
      </c>
      <c r="BQ196" s="50" t="n">
        <v>0</v>
      </c>
      <c r="BR196" s="48"/>
      <c r="BS196" s="53" t="n">
        <v>0</v>
      </c>
      <c r="BT196" s="53" t="n">
        <v>196</v>
      </c>
      <c r="BU196" s="48" t="str">
        <f aca="false">IF(U196&lt;&gt;"",UPPER(TRIM(U196)),IF(BX196=1,UPPER(VLOOKUP(T196,Parameter!$I$27:$K$29,2,0)),IF(P196="","LOSE",P196)))</f>
        <v>S51</v>
      </c>
      <c r="BV196" s="50" t="n">
        <f aca="false">IF(BU196="LOSE",1,IF(N(V196)&gt;0,V196,IF(BX196=1,MAX(1,N(VLOOKUP(T196,Parameter!$I$27:$K$29,3,0)),H196,N(N196)),IF(N(Q196)&gt;0,Q196,MAX(1,H196)))))</f>
        <v>24</v>
      </c>
      <c r="BW196" s="53" t="n">
        <f aca="false">IF(BU196="LOSE",1,0)</f>
        <v>0</v>
      </c>
      <c r="BX196" s="53" t="n">
        <f aca="false">IF(AND(U196="",OR(P196="",P196="LOSE"),T196&lt;&gt;"",N(S196)&lt;=0,ISNUMBER(MATCH(T196,Parameter!$I$27:$I$29,0))),1,0)</f>
        <v>1</v>
      </c>
      <c r="BY196" s="53" t="n">
        <f aca="false">IF(CL196&gt;0,INDEX(Parameter!$H$5:$H$7,W196)/INDEX(Parameter!$E$5:$E$7,W196),IF(AND(BW196=0,N(IFERROR(VLOOKUP(BU196,'Gebinde-Kategorie'!$A$5:$N$45,14,0),0))&gt;0),VLOOKUP(BU196,'Gebinde-Kategorie'!$A$5:$N$45,14,0)*10+Parameter!$M$23,Parameter!$M$24))</f>
        <v>155</v>
      </c>
      <c r="BZ196" s="48" t="str">
        <f aca="false">IF(AND(Parameter!$B$19="Ja",E196&lt;&gt;"",ISNUMBER(MATCH(E196,Parameter!$I$35:$I$52,0))),VLOOKUP(E196,Parameter!$I$35:$J$52,2,0),IFERROR(VLOOKUP(D196,Parameter!$A$35:$C$64,2,0),"Nein"))</f>
        <v>2+3</v>
      </c>
      <c r="CA196" s="52" t="n">
        <f aca="false">IF(BW196=0,0,IF(N(S196)&gt;0,S196,IFERROR(VLOOKUP(D196,Parameter!$A$35:$C$64,3,0)+0,0)))</f>
        <v>0</v>
      </c>
      <c r="CB196" s="48" t="n">
        <f aca="false">IF(AA196&lt;&gt;"",AA196,Z196)</f>
        <v>3</v>
      </c>
      <c r="CC196" s="48" t="str">
        <f aca="false">IF(OR(CB196=1,CB196=2,CB196=3),IF(Parameter!$E$27="Ja","LIFT",IF(CB196=1,"L1","L23")),IF(CB196="Aussen","Aussen","-"))</f>
        <v>LIFT</v>
      </c>
      <c r="CD196" s="59" t="n">
        <f aca="false">IF(N(AB196)&gt;0,AB196,0)</f>
        <v>0</v>
      </c>
      <c r="CE196" s="53" t="n">
        <f aca="false">IF(ISNUMBER(AE196),1,0)</f>
        <v>0</v>
      </c>
      <c r="CF196" s="50" t="n">
        <f aca="false">N(AE196)</f>
        <v>0</v>
      </c>
      <c r="CG196" s="50" t="n">
        <f aca="false">N(M196)+N(N196)</f>
        <v>1</v>
      </c>
      <c r="CH196" s="50" t="n">
        <f aca="false">ROUNDUP(H196/BV196,0)</f>
        <v>1</v>
      </c>
      <c r="CI196" s="50" t="n">
        <f aca="false">ROUNDUP(CF196/BV196,0)</f>
        <v>0</v>
      </c>
      <c r="CJ196" s="53" t="n">
        <f aca="false">IF(BW196=1,0,IFERROR(VLOOKUP(BU196,'Gebinde-Kategorie'!$A$5:$N$45,5,0)+0,0))</f>
        <v>11</v>
      </c>
      <c r="CK196" s="53" t="n">
        <f aca="false">IFERROR(IF(OR(CB196=1,CB196=2,CB196=3),N(INDEX(Parameter!$I$5:$I$7,CB196)),0),0)</f>
        <v>0</v>
      </c>
      <c r="CL196" s="52" t="n">
        <f aca="false">IF(AND(Parameter!$B$21="Ja",ISNUMBER(W196),N(X196)&gt;0),IFERROR(N(INDEX(Parameter!$L$5:$L$7,W196))*INDEX(Parameter!$E$5:$E$7,W196)*X196/SUMIFS($X$7:$X$1843,$W$7:$W$1843,W196),0),0)</f>
        <v>0</v>
      </c>
    </row>
    <row r="197" customFormat="false" ht="15" hidden="false" customHeight="false" outlineLevel="0" collapsed="false">
      <c r="A197" s="48" t="s">
        <v>599</v>
      </c>
      <c r="B197" s="48" t="s">
        <v>600</v>
      </c>
      <c r="C197" s="48" t="s">
        <v>168</v>
      </c>
      <c r="D197" s="48" t="s">
        <v>188</v>
      </c>
      <c r="E197" s="48" t="s">
        <v>189</v>
      </c>
      <c r="F197" s="48" t="s">
        <v>222</v>
      </c>
      <c r="G197" s="49" t="n">
        <v>25.14</v>
      </c>
      <c r="H197" s="50" t="n">
        <f aca="false">MAX(0,IF(AND(Parameter!$B$21="Ja",ISNUMBER(Y197)),Y197,IF(Parameter!$B$20="Jahresanfang 2025 + Export",BO197+BN197,BN197)))</f>
        <v>112</v>
      </c>
      <c r="I197" s="50" t="n">
        <f aca="false">H197*G197</f>
        <v>2815.68</v>
      </c>
      <c r="J197" s="50" t="n">
        <f aca="false">BQ197*Parameter!$B$18</f>
        <v>112</v>
      </c>
      <c r="K197" s="51" t="n">
        <v>123</v>
      </c>
      <c r="L197" s="52" t="n">
        <v>0.910569105691057</v>
      </c>
      <c r="M197" s="50" t="n">
        <v>26</v>
      </c>
      <c r="N197" s="50" t="n">
        <v>110</v>
      </c>
      <c r="O197" s="53" t="n">
        <v>84</v>
      </c>
      <c r="P197" s="48" t="s">
        <v>332</v>
      </c>
      <c r="Q197" s="50" t="n">
        <v>19</v>
      </c>
      <c r="R197" s="53" t="n">
        <f aca="false">IF(BW197=1,0,IFERROR(VLOOKUP(BU197,'Gebinde-Kategorie'!$A$5:$N$45,13,0)+0,0))</f>
        <v>52</v>
      </c>
      <c r="S197" s="54"/>
      <c r="T197" s="55"/>
      <c r="U197" s="55"/>
      <c r="V197" s="55"/>
      <c r="W197" s="48"/>
      <c r="X197" s="50"/>
      <c r="Y197" s="50"/>
      <c r="Z197" s="48" t="n">
        <f aca="false">IF(A197="","",IF(AND(Parameter!$B$21="Ja",ISNUMBER(W197)),W197,IF(BZ197="2+3",IF(ISNUMBER(SEARCH("grosser Artikel",BR197)),2,IFERROR(VLOOKUP(BU197,Parameter!$F$35:$G$64,2,0),2)),IF(OR(BZ197="Nein",BZ197=""),"-",BZ197))))</f>
        <v>3</v>
      </c>
      <c r="AA197" s="55"/>
      <c r="AB197" s="56"/>
      <c r="AC197" s="50" t="n">
        <f aca="false">AT197</f>
        <v>152</v>
      </c>
      <c r="AD197" s="50" t="n">
        <f aca="false">MAX(AT197,H197)</f>
        <v>152</v>
      </c>
      <c r="AE197" s="57"/>
      <c r="AF197" s="50" t="n">
        <f aca="false">IF(LEFT(Cockpit!$C$5,1)="A",H197,IF(CE197=1,CF197,IF(LEFT(Cockpit!$C$5,1)="B",AK197,MAX(AK197,H197))))</f>
        <v>112</v>
      </c>
      <c r="AG197" s="50" t="n">
        <f aca="false">IF(BW197=1,0,ROUNDUP(AF197/BV197,0))</f>
        <v>6</v>
      </c>
      <c r="AH197" s="52" t="n">
        <f aca="false">IF(CL197&gt;0,CL197*MAX(1,AF197/X197),IF(BW197=1,IF(AF197&lt;=0,0,CA197*MAX(1,IF(H197&gt;0,AF197/H197,1))),IF(R197&gt;0,AG197/R197,0))/MAX(0.1,N(Parameter!$M$21)))</f>
        <v>0.115384615384615</v>
      </c>
      <c r="AI197" s="50" t="n">
        <f aca="false">AH197*BY197</f>
        <v>17.8846153846154</v>
      </c>
      <c r="AJ197" s="50" t="n">
        <f aca="false">AF197*G197</f>
        <v>2815.68</v>
      </c>
      <c r="AK197" s="50" t="n">
        <f aca="false">ROUNDUP(MAX(J197/IF(CD197&gt;0,CD197,MAX(0.1,N(Cockpit!$C$6))),CG197)/BV197,0)*BV197</f>
        <v>152</v>
      </c>
      <c r="AL197" s="51" t="n">
        <f aca="false">IF(AI197&gt;0,J197/AI197,-1)</f>
        <v>6.26236559139785</v>
      </c>
      <c r="AM197" s="51" t="n">
        <f aca="false">IF(AND(OR(CC197="L1",CC197="L23",CC197="LIFT"),AI197&gt;0),SUMIFS($AI$7:$AI$1843,$CC$7:$CC$1843,CC197,$AL$7:$AL$1843,"&gt;"&amp;AL197)+SUMIFS($AI$7:$AI$1843,$CC$7:$CC$1843,CC197,$AL$7:$AL$1843,AL197,$BT$7:$BT$1843,"&lt;="&amp;BT197),"")</f>
        <v>3490.0902014652</v>
      </c>
      <c r="AN197" s="58" t="n">
        <f aca="false">IF(AM197="",0,MAX(0,MIN(1,(IF(CC197="L1",Parameter!$H$5,IF(CC197="L23",Parameter!$H$6+Parameter!$H$7,Parameter!$H$5+Parameter!$H$6+Parameter!$H$7))-(AM197-AI197))/AI197)))</f>
        <v>1</v>
      </c>
      <c r="AO197" s="50" t="n">
        <f aca="false">IF(LEFT(Cockpit!$I$5,1)="A",H197,IF(CE197=1,CF197,IF(LEFT(Cockpit!$I$5,1)="B",AT197,MAX(AT197,H197))))</f>
        <v>152</v>
      </c>
      <c r="AP197" s="50" t="n">
        <f aca="false">IF(BW197=1,0,ROUNDUP(AO197/BV197,0))</f>
        <v>8</v>
      </c>
      <c r="AQ197" s="52" t="n">
        <f aca="false">IF(CL197&gt;0,CL197*MAX(1,AO197/X197),IF(BW197=1,IF(AO197&lt;=0,0,CA197*MAX(1,IF(H197&gt;0,AO197/H197,1))),IF(R197&gt;0,AP197/R197,0))/MAX(0.1,N(Parameter!$M$21)))</f>
        <v>0.153846153846154</v>
      </c>
      <c r="AR197" s="50" t="n">
        <f aca="false">AQ197*BY197</f>
        <v>23.8461538461538</v>
      </c>
      <c r="AS197" s="50" t="n">
        <f aca="false">AO197*G197</f>
        <v>3821.28</v>
      </c>
      <c r="AT197" s="50" t="n">
        <f aca="false">ROUNDUP(MAX(J197/IF(CD197&gt;0,CD197,MAX(0.1,N(Cockpit!$I$6))),CG197)/BV197,0)*BV197</f>
        <v>152</v>
      </c>
      <c r="AU197" s="51" t="n">
        <f aca="false">IF(AR197&gt;0,J197/AR197,-1)</f>
        <v>4.69677419354839</v>
      </c>
      <c r="AV197" s="51" t="n">
        <f aca="false">IF(AND(OR(CC197="L1",CC197="L23",CC197="LIFT"),AR197&gt;0),SUMIFS($AR$7:$AR$1843,$CC$7:$CC$1843,CC197,$AU$7:$AU$1843,"&gt;"&amp;AU197)+SUMIFS($AR$7:$AR$1843,$CC$7:$CC$1843,CC197,$AU$7:$AU$1843,AU197,$BT$7:$BT$1843,"&lt;="&amp;BT197),"")</f>
        <v>5205.69551282051</v>
      </c>
      <c r="AW197" s="58" t="n">
        <f aca="false">IF(AV197="",0,MAX(0,MIN(1,(IF(CC197="L1",Parameter!$H$5,IF(CC197="L23",Parameter!$H$6+Parameter!$H$7,Parameter!$H$5+Parameter!$H$6+Parameter!$H$7))-(AV197-AR197))/AR197)))</f>
        <v>1</v>
      </c>
      <c r="AX197" s="50" t="n">
        <f aca="false">IF(LEFT(Cockpit!$O$5,1)="A",H197,IF(CE197=1,CF197,IF(LEFT(Cockpit!$O$5,1)="B",BC197,MAX(BC197,H197))))</f>
        <v>152</v>
      </c>
      <c r="AY197" s="50" t="n">
        <f aca="false">IF(BW197=1,0,ROUNDUP(AX197/BV197,0))</f>
        <v>8</v>
      </c>
      <c r="AZ197" s="52" t="n">
        <f aca="false">IF(CL197&gt;0,CL197*MAX(1,AX197/X197),IF(BW197=1,IF(AX197&lt;=0,0,CA197*MAX(1,IF(H197&gt;0,AX197/H197,1))),IF(R197&gt;0,AY197/R197,0))/MAX(0.1,N(Parameter!$M$21)))</f>
        <v>0.153846153846154</v>
      </c>
      <c r="BA197" s="50" t="n">
        <f aca="false">AZ197*BY197</f>
        <v>23.8461538461538</v>
      </c>
      <c r="BB197" s="50" t="n">
        <f aca="false">AX197*G197</f>
        <v>3821.28</v>
      </c>
      <c r="BC197" s="50" t="n">
        <f aca="false">ROUNDUP(MAX(J197/IF(CD197&gt;0,CD197,MAX(0.1,N(Cockpit!$O$6))),CG197)/BV197,0)*BV197</f>
        <v>152</v>
      </c>
      <c r="BD197" s="51" t="n">
        <f aca="false">IF(BA197&gt;0,J197/BA197,-1)</f>
        <v>4.69677419354839</v>
      </c>
      <c r="BE197" s="51" t="n">
        <f aca="false">IF(AND(OR(CC197="L1",CC197="L23",CC197="LIFT"),BA197&gt;0),SUMIFS($BA$7:$BA$1843,$CC$7:$CC$1843,CC197,$BD$7:$BD$1843,"&gt;"&amp;BD197)+SUMIFS($BA$7:$BA$1843,$CC$7:$CC$1843,CC197,$BD$7:$BD$1843,BD197,$BT$7:$BT$1843,"&lt;="&amp;BT197),"")</f>
        <v>4876.16025641026</v>
      </c>
      <c r="BF197" s="58" t="n">
        <f aca="false">IF(BE197="",0,MAX(0,MIN(1,(IF(CC197="L1",Parameter!$H$5,IF(CC197="L23",Parameter!$H$6+Parameter!$H$7,Parameter!$H$5+Parameter!$H$6+Parameter!$H$7))-(BE197-BA197))/BA197)))</f>
        <v>1</v>
      </c>
      <c r="BG197" s="48" t="str">
        <f aca="false">IF(AI197&lt;=0,"",IF(CC197="Aussen","Aussenlager",IF(CC197="-","Nicht im Lift",IF(AN197&gt;=1,"Lift",IF(AN197&lt;=0,"Aussenlager","teilweise")))))</f>
        <v>Lift</v>
      </c>
      <c r="BH197" s="48" t="str">
        <f aca="false">IF(AR197&lt;=0,"",IF(CC197="Aussen","Aussenlager",IF(CC197="-","Nicht im Lift",IF(AW197&gt;=1,"Lift",IF(AW197&lt;=0,"Aussenlager","teilweise")))))</f>
        <v>Lift</v>
      </c>
      <c r="BI197" s="48" t="str">
        <f aca="false">IF(BA197&lt;=0,"",IF(CC197="Aussen","Aussenlager",IF(CC197="-","Nicht im Lift",IF(BF197&gt;=1,"Lift",IF(BF197&lt;=0,"Aussenlager","teilweise")))))</f>
        <v>Lift</v>
      </c>
      <c r="BJ197" s="48" t="str">
        <f aca="false">IF(A197="","",IF(BS197=1,"Neu; ","")&amp;IF(AND(BS197=0,BN197&lt;0),"negativer Bestand (Export "&amp;BN197&amp;"); ","")&amp;IF(J197&lt;=0,"Kein Verbrauch; ","")&amp;IF(CL197&gt;0,"Lift "&amp;W197&amp;" lt. Liftbericht (Fach "&amp;X197&amp;" Stk); ",IF(BX197=1,"Gebinde geschätzt ("&amp;T197&amp;"); ",IF(BW197=1,"Lose – Tablare geschätzt; ","")))&amp;IF(H197&gt;AT197,"Überbestand "&amp;ROUND(H197-AT197,0)&amp;" Stk / CHF "&amp;ROUND((H197-AT197)*G197,0)&amp;"; ","")&amp;IF(AND(CE197=1,CF197&lt;CG197),"MAX &lt; MB+LG; ","")&amp;IF(AND(CK197&gt;0,CJ197*10&gt;CK197),"zu hoch für Tablar; ","")&amp;IF(AND(BS197=0,OR(CE197=1,AA197&lt;&gt;"",U197&lt;&gt;"",V197&lt;&gt;"",AB197&lt;&gt;"")),"manuell übersteuert; ","")&amp;IF(AND(BW197=0,R197=0),"Gebinde unbekannt / Stellmass fehlt; ","")&amp;IF(AND(BW197=0,N(V197)&lt;=0,N(Q197)&lt;=0),"Menge pro Gebinde fehlt (Ist = 1 Gebinde); ","")&amp;BR197)</f>
        <v/>
      </c>
      <c r="BK197" s="48"/>
      <c r="BL197" s="48"/>
      <c r="BM197" s="55"/>
      <c r="BN197" s="50" t="n">
        <v>52</v>
      </c>
      <c r="BO197" s="50" t="n">
        <v>60</v>
      </c>
      <c r="BP197" s="49" t="n">
        <v>819.519999999994</v>
      </c>
      <c r="BQ197" s="50" t="n">
        <v>112</v>
      </c>
      <c r="BR197" s="48"/>
      <c r="BS197" s="53" t="n">
        <v>0</v>
      </c>
      <c r="BT197" s="53" t="n">
        <v>197</v>
      </c>
      <c r="BU197" s="48" t="str">
        <f aca="false">IF(U197&lt;&gt;"",UPPER(TRIM(U197)),IF(BX197=1,UPPER(VLOOKUP(T197,Parameter!$I$27:$K$29,2,0)),IF(P197="","LOSE",P197)))</f>
        <v>S41</v>
      </c>
      <c r="BV197" s="50" t="n">
        <f aca="false">IF(BU197="LOSE",1,IF(N(V197)&gt;0,V197,IF(BX197=1,MAX(1,N(VLOOKUP(T197,Parameter!$I$27:$K$29,3,0)),H197,N(N197)),IF(N(Q197)&gt;0,Q197,MAX(1,H197)))))</f>
        <v>19</v>
      </c>
      <c r="BW197" s="53" t="n">
        <f aca="false">IF(BU197="LOSE",1,0)</f>
        <v>0</v>
      </c>
      <c r="BX197" s="53" t="n">
        <f aca="false">IF(AND(U197="",OR(P197="",P197="LOSE"),T197&lt;&gt;"",N(S197)&lt;=0,ISNUMBER(MATCH(T197,Parameter!$I$27:$I$29,0))),1,0)</f>
        <v>0</v>
      </c>
      <c r="BY197" s="53" t="n">
        <f aca="false">IF(CL197&gt;0,INDEX(Parameter!$H$5:$H$7,W197)/INDEX(Parameter!$E$5:$E$7,W197),IF(AND(BW197=0,N(IFERROR(VLOOKUP(BU197,'Gebinde-Kategorie'!$A$5:$N$45,14,0),0))&gt;0),VLOOKUP(BU197,'Gebinde-Kategorie'!$A$5:$N$45,14,0)*10+Parameter!$M$23,Parameter!$M$24))</f>
        <v>155</v>
      </c>
      <c r="BZ197" s="48" t="str">
        <f aca="false">IF(AND(Parameter!$B$19="Ja",E197&lt;&gt;"",ISNUMBER(MATCH(E197,Parameter!$I$35:$I$52,0))),VLOOKUP(E197,Parameter!$I$35:$J$52,2,0),IFERROR(VLOOKUP(D197,Parameter!$A$35:$C$64,2,0),"Nein"))</f>
        <v>2+3</v>
      </c>
      <c r="CA197" s="52" t="n">
        <f aca="false">IF(BW197=0,0,IF(N(S197)&gt;0,S197,IFERROR(VLOOKUP(D197,Parameter!$A$35:$C$64,3,0)+0,0)))</f>
        <v>0</v>
      </c>
      <c r="CB197" s="48" t="n">
        <f aca="false">IF(AA197&lt;&gt;"",AA197,Z197)</f>
        <v>3</v>
      </c>
      <c r="CC197" s="48" t="str">
        <f aca="false">IF(OR(CB197=1,CB197=2,CB197=3),IF(Parameter!$E$27="Ja","LIFT",IF(CB197=1,"L1","L23")),IF(CB197="Aussen","Aussen","-"))</f>
        <v>LIFT</v>
      </c>
      <c r="CD197" s="59" t="n">
        <f aca="false">IF(N(AB197)&gt;0,AB197,0)</f>
        <v>0</v>
      </c>
      <c r="CE197" s="53" t="n">
        <f aca="false">IF(ISNUMBER(AE197),1,0)</f>
        <v>0</v>
      </c>
      <c r="CF197" s="50" t="n">
        <f aca="false">N(AE197)</f>
        <v>0</v>
      </c>
      <c r="CG197" s="50" t="n">
        <f aca="false">N(M197)+N(N197)</f>
        <v>136</v>
      </c>
      <c r="CH197" s="50" t="n">
        <f aca="false">ROUNDUP(H197/BV197,0)</f>
        <v>6</v>
      </c>
      <c r="CI197" s="50" t="n">
        <f aca="false">ROUNDUP(CF197/BV197,0)</f>
        <v>0</v>
      </c>
      <c r="CJ197" s="53" t="n">
        <f aca="false">IF(BW197=1,0,IFERROR(VLOOKUP(BU197,'Gebinde-Kategorie'!$A$5:$N$45,5,0)+0,0))</f>
        <v>11</v>
      </c>
      <c r="CK197" s="53" t="n">
        <f aca="false">IFERROR(IF(OR(CB197=1,CB197=2,CB197=3),N(INDEX(Parameter!$I$5:$I$7,CB197)),0),0)</f>
        <v>0</v>
      </c>
      <c r="CL197" s="52" t="n">
        <f aca="false">IF(AND(Parameter!$B$21="Ja",ISNUMBER(W197),N(X197)&gt;0),IFERROR(N(INDEX(Parameter!$L$5:$L$7,W197))*INDEX(Parameter!$E$5:$E$7,W197)*X197/SUMIFS($X$7:$X$1843,$W$7:$W$1843,W197),0),0)</f>
        <v>0</v>
      </c>
    </row>
    <row r="198" customFormat="false" ht="15" hidden="false" customHeight="false" outlineLevel="0" collapsed="false">
      <c r="A198" s="48" t="s">
        <v>601</v>
      </c>
      <c r="B198" s="48" t="s">
        <v>602</v>
      </c>
      <c r="C198" s="48" t="s">
        <v>168</v>
      </c>
      <c r="D198" s="48" t="s">
        <v>188</v>
      </c>
      <c r="E198" s="48" t="s">
        <v>189</v>
      </c>
      <c r="F198" s="48" t="s">
        <v>222</v>
      </c>
      <c r="G198" s="49" t="n">
        <v>6.37</v>
      </c>
      <c r="H198" s="50" t="n">
        <f aca="false">MAX(0,IF(AND(Parameter!$B$21="Ja",ISNUMBER(Y198)),Y198,IF(Parameter!$B$20="Jahresanfang 2025 + Export",BO198+BN198,BN198)))</f>
        <v>341</v>
      </c>
      <c r="I198" s="50" t="n">
        <f aca="false">H198*G198</f>
        <v>2172.17</v>
      </c>
      <c r="J198" s="50" t="n">
        <f aca="false">BQ198*Parameter!$B$18</f>
        <v>869</v>
      </c>
      <c r="K198" s="51" t="n">
        <v>225.5</v>
      </c>
      <c r="L198" s="52" t="n">
        <v>3.85365853658537</v>
      </c>
      <c r="M198" s="50" t="n">
        <v>25</v>
      </c>
      <c r="N198" s="50" t="n">
        <v>585</v>
      </c>
      <c r="O198" s="53" t="n">
        <v>10</v>
      </c>
      <c r="P198" s="48" t="s">
        <v>306</v>
      </c>
      <c r="Q198" s="50" t="n">
        <v>895</v>
      </c>
      <c r="R198" s="53" t="n">
        <f aca="false">IF(BW198=1,0,IFERROR(VLOOKUP(BU198,'Gebinde-Kategorie'!$A$5:$N$45,13,0)+0,0))</f>
        <v>26</v>
      </c>
      <c r="S198" s="54"/>
      <c r="T198" s="55"/>
      <c r="U198" s="55"/>
      <c r="V198" s="55"/>
      <c r="W198" s="48"/>
      <c r="X198" s="50"/>
      <c r="Y198" s="50"/>
      <c r="Z198" s="48" t="n">
        <f aca="false">IF(A198="","",IF(AND(Parameter!$B$21="Ja",ISNUMBER(W198)),W198,IF(BZ198="2+3",IF(ISNUMBER(SEARCH("grosser Artikel",BR198)),2,IFERROR(VLOOKUP(BU198,Parameter!$F$35:$G$64,2,0),2)),IF(OR(BZ198="Nein",BZ198=""),"-",BZ198))))</f>
        <v>3</v>
      </c>
      <c r="AA198" s="55"/>
      <c r="AB198" s="56"/>
      <c r="AC198" s="50" t="n">
        <f aca="false">AT198</f>
        <v>895</v>
      </c>
      <c r="AD198" s="50" t="n">
        <f aca="false">MAX(AT198,H198)</f>
        <v>895</v>
      </c>
      <c r="AE198" s="57"/>
      <c r="AF198" s="50" t="n">
        <f aca="false">IF(LEFT(Cockpit!$C$5,1)="A",H198,IF(CE198=1,CF198,IF(LEFT(Cockpit!$C$5,1)="B",AK198,MAX(AK198,H198))))</f>
        <v>341</v>
      </c>
      <c r="AG198" s="50" t="n">
        <f aca="false">IF(BW198=1,0,ROUNDUP(AF198/BV198,0))</f>
        <v>1</v>
      </c>
      <c r="AH198" s="52" t="n">
        <f aca="false">IF(CL198&gt;0,CL198*MAX(1,AF198/X198),IF(BW198=1,IF(AF198&lt;=0,0,CA198*MAX(1,IF(H198&gt;0,AF198/H198,1))),IF(R198&gt;0,AG198/R198,0))/MAX(0.1,N(Parameter!$M$21)))</f>
        <v>0.0384615384615385</v>
      </c>
      <c r="AI198" s="50" t="n">
        <f aca="false">AH198*BY198</f>
        <v>5.96153846153846</v>
      </c>
      <c r="AJ198" s="50" t="n">
        <f aca="false">AF198*G198</f>
        <v>2172.17</v>
      </c>
      <c r="AK198" s="50" t="n">
        <f aca="false">ROUNDUP(MAX(J198/IF(CD198&gt;0,CD198,MAX(0.1,N(Cockpit!$C$6))),CG198)/BV198,0)*BV198</f>
        <v>895</v>
      </c>
      <c r="AL198" s="51" t="n">
        <f aca="false">IF(AI198&gt;0,J198/AI198,-1)</f>
        <v>145.767741935484</v>
      </c>
      <c r="AM198" s="51" t="n">
        <f aca="false">IF(AND(OR(CC198="L1",CC198="L23",CC198="LIFT"),AI198&gt;0),SUMIFS($AI$7:$AI$1843,$CC$7:$CC$1843,CC198,$AL$7:$AL$1843,"&gt;"&amp;AL198)+SUMIFS($AI$7:$AI$1843,$CC$7:$CC$1843,CC198,$AL$7:$AL$1843,AL198,$BT$7:$BT$1843,"&lt;="&amp;BT198),"")</f>
        <v>502.328754578755</v>
      </c>
      <c r="AN198" s="58" t="n">
        <f aca="false">IF(AM198="",0,MAX(0,MIN(1,(IF(CC198="L1",Parameter!$H$5,IF(CC198="L23",Parameter!$H$6+Parameter!$H$7,Parameter!$H$5+Parameter!$H$6+Parameter!$H$7))-(AM198-AI198))/AI198)))</f>
        <v>1</v>
      </c>
      <c r="AO198" s="50" t="n">
        <f aca="false">IF(LEFT(Cockpit!$I$5,1)="A",H198,IF(CE198=1,CF198,IF(LEFT(Cockpit!$I$5,1)="B",AT198,MAX(AT198,H198))))</f>
        <v>895</v>
      </c>
      <c r="AP198" s="50" t="n">
        <f aca="false">IF(BW198=1,0,ROUNDUP(AO198/BV198,0))</f>
        <v>1</v>
      </c>
      <c r="AQ198" s="52" t="n">
        <f aca="false">IF(CL198&gt;0,CL198*MAX(1,AO198/X198),IF(BW198=1,IF(AO198&lt;=0,0,CA198*MAX(1,IF(H198&gt;0,AO198/H198,1))),IF(R198&gt;0,AP198/R198,0))/MAX(0.1,N(Parameter!$M$21)))</f>
        <v>0.0384615384615385</v>
      </c>
      <c r="AR198" s="50" t="n">
        <f aca="false">AQ198*BY198</f>
        <v>5.96153846153846</v>
      </c>
      <c r="AS198" s="50" t="n">
        <f aca="false">AO198*G198</f>
        <v>5701.15</v>
      </c>
      <c r="AT198" s="50" t="n">
        <f aca="false">ROUNDUP(MAX(J198/IF(CD198&gt;0,CD198,MAX(0.1,N(Cockpit!$I$6))),CG198)/BV198,0)*BV198</f>
        <v>895</v>
      </c>
      <c r="AU198" s="51" t="n">
        <f aca="false">IF(AR198&gt;0,J198/AR198,-1)</f>
        <v>145.767741935484</v>
      </c>
      <c r="AV198" s="51" t="n">
        <f aca="false">IF(AND(OR(CC198="L1",CC198="L23",CC198="LIFT"),AR198&gt;0),SUMIFS($AR$7:$AR$1843,$CC$7:$CC$1843,CC198,$AU$7:$AU$1843,"&gt;"&amp;AU198)+SUMIFS($AR$7:$AR$1843,$CC$7:$CC$1843,CC198,$AU$7:$AU$1843,AU198,$BT$7:$BT$1843,"&lt;="&amp;BT198),"")</f>
        <v>655.810897435898</v>
      </c>
      <c r="AW198" s="58" t="n">
        <f aca="false">IF(AV198="",0,MAX(0,MIN(1,(IF(CC198="L1",Parameter!$H$5,IF(CC198="L23",Parameter!$H$6+Parameter!$H$7,Parameter!$H$5+Parameter!$H$6+Parameter!$H$7))-(AV198-AR198))/AR198)))</f>
        <v>1</v>
      </c>
      <c r="AX198" s="50" t="n">
        <f aca="false">IF(LEFT(Cockpit!$O$5,1)="A",H198,IF(CE198=1,CF198,IF(LEFT(Cockpit!$O$5,1)="B",BC198,MAX(BC198,H198))))</f>
        <v>895</v>
      </c>
      <c r="AY198" s="50" t="n">
        <f aca="false">IF(BW198=1,0,ROUNDUP(AX198/BV198,0))</f>
        <v>1</v>
      </c>
      <c r="AZ198" s="52" t="n">
        <f aca="false">IF(CL198&gt;0,CL198*MAX(1,AX198/X198),IF(BW198=1,IF(AX198&lt;=0,0,CA198*MAX(1,IF(H198&gt;0,AX198/H198,1))),IF(R198&gt;0,AY198/R198,0))/MAX(0.1,N(Parameter!$M$21)))</f>
        <v>0.0384615384615385</v>
      </c>
      <c r="BA198" s="50" t="n">
        <f aca="false">AZ198*BY198</f>
        <v>5.96153846153846</v>
      </c>
      <c r="BB198" s="50" t="n">
        <f aca="false">AX198*G198</f>
        <v>5701.15</v>
      </c>
      <c r="BC198" s="50" t="n">
        <f aca="false">ROUNDUP(MAX(J198/IF(CD198&gt;0,CD198,MAX(0.1,N(Cockpit!$O$6))),CG198)/BV198,0)*BV198</f>
        <v>895</v>
      </c>
      <c r="BD198" s="51" t="n">
        <f aca="false">IF(BA198&gt;0,J198/BA198,-1)</f>
        <v>145.767741935484</v>
      </c>
      <c r="BE198" s="51" t="n">
        <f aca="false">IF(AND(OR(CC198="L1",CC198="L23",CC198="LIFT"),BA198&gt;0),SUMIFS($BA$7:$BA$1843,$CC$7:$CC$1843,CC198,$BD$7:$BD$1843,"&gt;"&amp;BD198)+SUMIFS($BA$7:$BA$1843,$CC$7:$CC$1843,CC198,$BD$7:$BD$1843,BD198,$BT$7:$BT$1843,"&lt;="&amp;BT198),"")</f>
        <v>600.25</v>
      </c>
      <c r="BF198" s="58" t="n">
        <f aca="false">IF(BE198="",0,MAX(0,MIN(1,(IF(CC198="L1",Parameter!$H$5,IF(CC198="L23",Parameter!$H$6+Parameter!$H$7,Parameter!$H$5+Parameter!$H$6+Parameter!$H$7))-(BE198-BA198))/BA198)))</f>
        <v>1</v>
      </c>
      <c r="BG198" s="48" t="str">
        <f aca="false">IF(AI198&lt;=0,"",IF(CC198="Aussen","Aussenlager",IF(CC198="-","Nicht im Lift",IF(AN198&gt;=1,"Lift",IF(AN198&lt;=0,"Aussenlager","teilweise")))))</f>
        <v>Lift</v>
      </c>
      <c r="BH198" s="48" t="str">
        <f aca="false">IF(AR198&lt;=0,"",IF(CC198="Aussen","Aussenlager",IF(CC198="-","Nicht im Lift",IF(AW198&gt;=1,"Lift",IF(AW198&lt;=0,"Aussenlager","teilweise")))))</f>
        <v>Lift</v>
      </c>
      <c r="BI198" s="48" t="str">
        <f aca="false">IF(BA198&lt;=0,"",IF(CC198="Aussen","Aussenlager",IF(CC198="-","Nicht im Lift",IF(BF198&gt;=1,"Lift",IF(BF198&lt;=0,"Aussenlager","teilweise")))))</f>
        <v>Lift</v>
      </c>
      <c r="BJ198" s="48" t="str">
        <f aca="false">IF(A198="","",IF(BS198=1,"Neu; ","")&amp;IF(AND(BS198=0,BN198&lt;0),"negativer Bestand (Export "&amp;BN198&amp;"); ","")&amp;IF(J198&lt;=0,"Kein Verbrauch; ","")&amp;IF(CL198&gt;0,"Lift "&amp;W198&amp;" lt. Liftbericht (Fach "&amp;X198&amp;" Stk); ",IF(BX198=1,"Gebinde geschätzt ("&amp;T198&amp;"); ",IF(BW198=1,"Lose – Tablare geschätzt; ","")))&amp;IF(H198&gt;AT198,"Überbestand "&amp;ROUND(H198-AT198,0)&amp;" Stk / CHF "&amp;ROUND((H198-AT198)*G198,0)&amp;"; ","")&amp;IF(AND(CE198=1,CF198&lt;CG198),"MAX &lt; MB+LG; ","")&amp;IF(AND(CK198&gt;0,CJ198*10&gt;CK198),"zu hoch für Tablar; ","")&amp;IF(AND(BS198=0,OR(CE198=1,AA198&lt;&gt;"",U198&lt;&gt;"",V198&lt;&gt;"",AB198&lt;&gt;"")),"manuell übersteuert; ","")&amp;IF(AND(BW198=0,R198=0),"Gebinde unbekannt / Stellmass fehlt; ","")&amp;IF(AND(BW198=0,N(V198)&lt;=0,N(Q198)&lt;=0),"Menge pro Gebinde fehlt (Ist = 1 Gebinde); ","")&amp;BR198)</f>
        <v/>
      </c>
      <c r="BK198" s="48"/>
      <c r="BL198" s="48"/>
      <c r="BM198" s="55"/>
      <c r="BN198" s="50" t="n">
        <v>131</v>
      </c>
      <c r="BO198" s="50" t="n">
        <v>210</v>
      </c>
      <c r="BP198" s="49" t="n">
        <v>818.950000000001</v>
      </c>
      <c r="BQ198" s="50" t="n">
        <v>869</v>
      </c>
      <c r="BR198" s="48"/>
      <c r="BS198" s="53" t="n">
        <v>0</v>
      </c>
      <c r="BT198" s="53" t="n">
        <v>198</v>
      </c>
      <c r="BU198" s="48" t="str">
        <f aca="false">IF(U198&lt;&gt;"",UPPER(TRIM(U198)),IF(BX198=1,UPPER(VLOOKUP(T198,Parameter!$I$27:$K$29,2,0)),IF(P198="","LOSE",P198)))</f>
        <v>S51</v>
      </c>
      <c r="BV198" s="50" t="n">
        <f aca="false">IF(BU198="LOSE",1,IF(N(V198)&gt;0,V198,IF(BX198=1,MAX(1,N(VLOOKUP(T198,Parameter!$I$27:$K$29,3,0)),H198,N(N198)),IF(N(Q198)&gt;0,Q198,MAX(1,H198)))))</f>
        <v>895</v>
      </c>
      <c r="BW198" s="53" t="n">
        <f aca="false">IF(BU198="LOSE",1,0)</f>
        <v>0</v>
      </c>
      <c r="BX198" s="53" t="n">
        <f aca="false">IF(AND(U198="",OR(P198="",P198="LOSE"),T198&lt;&gt;"",N(S198)&lt;=0,ISNUMBER(MATCH(T198,Parameter!$I$27:$I$29,0))),1,0)</f>
        <v>0</v>
      </c>
      <c r="BY198" s="53" t="n">
        <f aca="false">IF(CL198&gt;0,INDEX(Parameter!$H$5:$H$7,W198)/INDEX(Parameter!$E$5:$E$7,W198),IF(AND(BW198=0,N(IFERROR(VLOOKUP(BU198,'Gebinde-Kategorie'!$A$5:$N$45,14,0),0))&gt;0),VLOOKUP(BU198,'Gebinde-Kategorie'!$A$5:$N$45,14,0)*10+Parameter!$M$23,Parameter!$M$24))</f>
        <v>155</v>
      </c>
      <c r="BZ198" s="48" t="str">
        <f aca="false">IF(AND(Parameter!$B$19="Ja",E198&lt;&gt;"",ISNUMBER(MATCH(E198,Parameter!$I$35:$I$52,0))),VLOOKUP(E198,Parameter!$I$35:$J$52,2,0),IFERROR(VLOOKUP(D198,Parameter!$A$35:$C$64,2,0),"Nein"))</f>
        <v>2+3</v>
      </c>
      <c r="CA198" s="52" t="n">
        <f aca="false">IF(BW198=0,0,IF(N(S198)&gt;0,S198,IFERROR(VLOOKUP(D198,Parameter!$A$35:$C$64,3,0)+0,0)))</f>
        <v>0</v>
      </c>
      <c r="CB198" s="48" t="n">
        <f aca="false">IF(AA198&lt;&gt;"",AA198,Z198)</f>
        <v>3</v>
      </c>
      <c r="CC198" s="48" t="str">
        <f aca="false">IF(OR(CB198=1,CB198=2,CB198=3),IF(Parameter!$E$27="Ja","LIFT",IF(CB198=1,"L1","L23")),IF(CB198="Aussen","Aussen","-"))</f>
        <v>LIFT</v>
      </c>
      <c r="CD198" s="59" t="n">
        <f aca="false">IF(N(AB198)&gt;0,AB198,0)</f>
        <v>0</v>
      </c>
      <c r="CE198" s="53" t="n">
        <f aca="false">IF(ISNUMBER(AE198),1,0)</f>
        <v>0</v>
      </c>
      <c r="CF198" s="50" t="n">
        <f aca="false">N(AE198)</f>
        <v>0</v>
      </c>
      <c r="CG198" s="50" t="n">
        <f aca="false">N(M198)+N(N198)</f>
        <v>610</v>
      </c>
      <c r="CH198" s="50" t="n">
        <f aca="false">ROUNDUP(H198/BV198,0)</f>
        <v>1</v>
      </c>
      <c r="CI198" s="50" t="n">
        <f aca="false">ROUNDUP(CF198/BV198,0)</f>
        <v>0</v>
      </c>
      <c r="CJ198" s="53" t="n">
        <f aca="false">IF(BW198=1,0,IFERROR(VLOOKUP(BU198,'Gebinde-Kategorie'!$A$5:$N$45,5,0)+0,0))</f>
        <v>11</v>
      </c>
      <c r="CK198" s="53" t="n">
        <f aca="false">IFERROR(IF(OR(CB198=1,CB198=2,CB198=3),N(INDEX(Parameter!$I$5:$I$7,CB198)),0),0)</f>
        <v>0</v>
      </c>
      <c r="CL198" s="52" t="n">
        <f aca="false">IF(AND(Parameter!$B$21="Ja",ISNUMBER(W198),N(X198)&gt;0),IFERROR(N(INDEX(Parameter!$L$5:$L$7,W198))*INDEX(Parameter!$E$5:$E$7,W198)*X198/SUMIFS($X$7:$X$1843,$W$7:$W$1843,W198),0),0)</f>
        <v>0</v>
      </c>
    </row>
    <row r="199" customFormat="false" ht="15" hidden="false" customHeight="false" outlineLevel="0" collapsed="false">
      <c r="A199" s="48" t="s">
        <v>603</v>
      </c>
      <c r="B199" s="48" t="s">
        <v>604</v>
      </c>
      <c r="C199" s="48" t="s">
        <v>168</v>
      </c>
      <c r="D199" s="48" t="s">
        <v>188</v>
      </c>
      <c r="E199" s="48" t="s">
        <v>189</v>
      </c>
      <c r="F199" s="48" t="s">
        <v>222</v>
      </c>
      <c r="G199" s="49" t="n">
        <v>15.65</v>
      </c>
      <c r="H199" s="50" t="n">
        <f aca="false">MAX(0,IF(AND(Parameter!$B$21="Ja",ISNUMBER(Y199)),Y199,IF(Parameter!$B$20="Jahresanfang 2025 + Export",BO199+BN199,BN199)))</f>
        <v>78</v>
      </c>
      <c r="I199" s="50" t="n">
        <f aca="false">H199*G199</f>
        <v>1220.7</v>
      </c>
      <c r="J199" s="50" t="n">
        <f aca="false">BQ199*Parameter!$B$18</f>
        <v>54</v>
      </c>
      <c r="K199" s="51" t="n">
        <v>24</v>
      </c>
      <c r="L199" s="52" t="n">
        <v>2.25</v>
      </c>
      <c r="M199" s="50" t="n">
        <v>6</v>
      </c>
      <c r="N199" s="50" t="n">
        <v>55</v>
      </c>
      <c r="O199" s="53" t="n">
        <v>42</v>
      </c>
      <c r="P199" s="48" t="s">
        <v>306</v>
      </c>
      <c r="Q199" s="50" t="n">
        <v>62</v>
      </c>
      <c r="R199" s="53" t="n">
        <f aca="false">IF(BW199=1,0,IFERROR(VLOOKUP(BU199,'Gebinde-Kategorie'!$A$5:$N$45,13,0)+0,0))</f>
        <v>26</v>
      </c>
      <c r="S199" s="54"/>
      <c r="T199" s="55"/>
      <c r="U199" s="55"/>
      <c r="V199" s="55"/>
      <c r="W199" s="48"/>
      <c r="X199" s="50"/>
      <c r="Y199" s="50"/>
      <c r="Z199" s="48" t="n">
        <f aca="false">IF(A199="","",IF(AND(Parameter!$B$21="Ja",ISNUMBER(W199)),W199,IF(BZ199="2+3",IF(ISNUMBER(SEARCH("grosser Artikel",BR199)),2,IFERROR(VLOOKUP(BU199,Parameter!$F$35:$G$64,2,0),2)),IF(OR(BZ199="Nein",BZ199=""),"-",BZ199))))</f>
        <v>3</v>
      </c>
      <c r="AA199" s="55"/>
      <c r="AB199" s="56"/>
      <c r="AC199" s="50" t="n">
        <f aca="false">AT199</f>
        <v>62</v>
      </c>
      <c r="AD199" s="50" t="n">
        <f aca="false">MAX(AT199,H199)</f>
        <v>78</v>
      </c>
      <c r="AE199" s="57"/>
      <c r="AF199" s="50" t="n">
        <f aca="false">IF(LEFT(Cockpit!$C$5,1)="A",H199,IF(CE199=1,CF199,IF(LEFT(Cockpit!$C$5,1)="B",AK199,MAX(AK199,H199))))</f>
        <v>78</v>
      </c>
      <c r="AG199" s="50" t="n">
        <f aca="false">IF(BW199=1,0,ROUNDUP(AF199/BV199,0))</f>
        <v>2</v>
      </c>
      <c r="AH199" s="52" t="n">
        <f aca="false">IF(CL199&gt;0,CL199*MAX(1,AF199/X199),IF(BW199=1,IF(AF199&lt;=0,0,CA199*MAX(1,IF(H199&gt;0,AF199/H199,1))),IF(R199&gt;0,AG199/R199,0))/MAX(0.1,N(Parameter!$M$21)))</f>
        <v>0.0769230769230769</v>
      </c>
      <c r="AI199" s="50" t="n">
        <f aca="false">AH199*BY199</f>
        <v>11.9230769230769</v>
      </c>
      <c r="AJ199" s="50" t="n">
        <f aca="false">AF199*G199</f>
        <v>1220.7</v>
      </c>
      <c r="AK199" s="50" t="n">
        <f aca="false">ROUNDUP(MAX(J199/IF(CD199&gt;0,CD199,MAX(0.1,N(Cockpit!$C$6))),CG199)/BV199,0)*BV199</f>
        <v>62</v>
      </c>
      <c r="AL199" s="51" t="n">
        <f aca="false">IF(AI199&gt;0,J199/AI199,-1)</f>
        <v>4.52903225806452</v>
      </c>
      <c r="AM199" s="51" t="n">
        <f aca="false">IF(AND(OR(CC199="L1",CC199="L23",CC199="LIFT"),AI199&gt;0),SUMIFS($AI$7:$AI$1843,$CC$7:$CC$1843,CC199,$AL$7:$AL$1843,"&gt;"&amp;AL199)+SUMIFS($AI$7:$AI$1843,$CC$7:$CC$1843,CC199,$AL$7:$AL$1843,AL199,$BT$7:$BT$1843,"&lt;="&amp;BT199),"")</f>
        <v>4141.81272893773</v>
      </c>
      <c r="AN199" s="58" t="n">
        <f aca="false">IF(AM199="",0,MAX(0,MIN(1,(IF(CC199="L1",Parameter!$H$5,IF(CC199="L23",Parameter!$H$6+Parameter!$H$7,Parameter!$H$5+Parameter!$H$6+Parameter!$H$7))-(AM199-AI199))/AI199)))</f>
        <v>1</v>
      </c>
      <c r="AO199" s="50" t="n">
        <f aca="false">IF(LEFT(Cockpit!$I$5,1)="A",H199,IF(CE199=1,CF199,IF(LEFT(Cockpit!$I$5,1)="B",AT199,MAX(AT199,H199))))</f>
        <v>78</v>
      </c>
      <c r="AP199" s="50" t="n">
        <f aca="false">IF(BW199=1,0,ROUNDUP(AO199/BV199,0))</f>
        <v>2</v>
      </c>
      <c r="AQ199" s="52" t="n">
        <f aca="false">IF(CL199&gt;0,CL199*MAX(1,AO199/X199),IF(BW199=1,IF(AO199&lt;=0,0,CA199*MAX(1,IF(H199&gt;0,AO199/H199,1))),IF(R199&gt;0,AP199/R199,0))/MAX(0.1,N(Parameter!$M$21)))</f>
        <v>0.0769230769230769</v>
      </c>
      <c r="AR199" s="50" t="n">
        <f aca="false">AQ199*BY199</f>
        <v>11.9230769230769</v>
      </c>
      <c r="AS199" s="50" t="n">
        <f aca="false">AO199*G199</f>
        <v>1220.7</v>
      </c>
      <c r="AT199" s="50" t="n">
        <f aca="false">ROUNDUP(MAX(J199/IF(CD199&gt;0,CD199,MAX(0.1,N(Cockpit!$I$6))),CG199)/BV199,0)*BV199</f>
        <v>62</v>
      </c>
      <c r="AU199" s="51" t="n">
        <f aca="false">IF(AR199&gt;0,J199/AR199,-1)</f>
        <v>4.52903225806452</v>
      </c>
      <c r="AV199" s="51" t="n">
        <f aca="false">IF(AND(OR(CC199="L1",CC199="L23",CC199="LIFT"),AR199&gt;0),SUMIFS($AR$7:$AR$1843,$CC$7:$CC$1843,CC199,$AU$7:$AU$1843,"&gt;"&amp;AU199)+SUMIFS($AR$7:$AR$1843,$CC$7:$CC$1843,CC199,$AU$7:$AU$1843,AU199,$BT$7:$BT$1843,"&lt;="&amp;BT199),"")</f>
        <v>5312.8108974359</v>
      </c>
      <c r="AW199" s="58" t="n">
        <f aca="false">IF(AV199="",0,MAX(0,MIN(1,(IF(CC199="L1",Parameter!$H$5,IF(CC199="L23",Parameter!$H$6+Parameter!$H$7,Parameter!$H$5+Parameter!$H$6+Parameter!$H$7))-(AV199-AR199))/AR199)))</f>
        <v>1</v>
      </c>
      <c r="AX199" s="50" t="n">
        <f aca="false">IF(LEFT(Cockpit!$O$5,1)="A",H199,IF(CE199=1,CF199,IF(LEFT(Cockpit!$O$5,1)="B",BC199,MAX(BC199,H199))))</f>
        <v>78</v>
      </c>
      <c r="AY199" s="50" t="n">
        <f aca="false">IF(BW199=1,0,ROUNDUP(AX199/BV199,0))</f>
        <v>2</v>
      </c>
      <c r="AZ199" s="52" t="n">
        <f aca="false">IF(CL199&gt;0,CL199*MAX(1,AX199/X199),IF(BW199=1,IF(AX199&lt;=0,0,CA199*MAX(1,IF(H199&gt;0,AX199/H199,1))),IF(R199&gt;0,AY199/R199,0))/MAX(0.1,N(Parameter!$M$21)))</f>
        <v>0.0769230769230769</v>
      </c>
      <c r="BA199" s="50" t="n">
        <f aca="false">AZ199*BY199</f>
        <v>11.9230769230769</v>
      </c>
      <c r="BB199" s="50" t="n">
        <f aca="false">AX199*G199</f>
        <v>1220.7</v>
      </c>
      <c r="BC199" s="50" t="n">
        <f aca="false">ROUNDUP(MAX(J199/IF(CD199&gt;0,CD199,MAX(0.1,N(Cockpit!$O$6))),CG199)/BV199,0)*BV199</f>
        <v>62</v>
      </c>
      <c r="BD199" s="51" t="n">
        <f aca="false">IF(BA199&gt;0,J199/BA199,-1)</f>
        <v>4.52903225806452</v>
      </c>
      <c r="BE199" s="51" t="n">
        <f aca="false">IF(AND(OR(CC199="L1",CC199="L23",CC199="LIFT"),BA199&gt;0),SUMIFS($BA$7:$BA$1843,$CC$7:$CC$1843,CC199,$BD$7:$BD$1843,"&gt;"&amp;BD199)+SUMIFS($BA$7:$BA$1843,$CC$7:$CC$1843,CC199,$BD$7:$BD$1843,BD199,$BT$7:$BT$1843,"&lt;="&amp;BT199),"")</f>
        <v>4983.27564102564</v>
      </c>
      <c r="BF199" s="58" t="n">
        <f aca="false">IF(BE199="",0,MAX(0,MIN(1,(IF(CC199="L1",Parameter!$H$5,IF(CC199="L23",Parameter!$H$6+Parameter!$H$7,Parameter!$H$5+Parameter!$H$6+Parameter!$H$7))-(BE199-BA199))/BA199)))</f>
        <v>1</v>
      </c>
      <c r="BG199" s="48" t="str">
        <f aca="false">IF(AI199&lt;=0,"",IF(CC199="Aussen","Aussenlager",IF(CC199="-","Nicht im Lift",IF(AN199&gt;=1,"Lift",IF(AN199&lt;=0,"Aussenlager","teilweise")))))</f>
        <v>Lift</v>
      </c>
      <c r="BH199" s="48" t="str">
        <f aca="false">IF(AR199&lt;=0,"",IF(CC199="Aussen","Aussenlager",IF(CC199="-","Nicht im Lift",IF(AW199&gt;=1,"Lift",IF(AW199&lt;=0,"Aussenlager","teilweise")))))</f>
        <v>Lift</v>
      </c>
      <c r="BI199" s="48" t="str">
        <f aca="false">IF(BA199&lt;=0,"",IF(CC199="Aussen","Aussenlager",IF(CC199="-","Nicht im Lift",IF(BF199&gt;=1,"Lift",IF(BF199&lt;=0,"Aussenlager","teilweise")))))</f>
        <v>Lift</v>
      </c>
      <c r="BJ199" s="48" t="str">
        <f aca="false">IF(A199="","",IF(BS199=1,"Neu; ","")&amp;IF(AND(BS199=0,BN199&lt;0),"negativer Bestand (Export "&amp;BN199&amp;"); ","")&amp;IF(J199&lt;=0,"Kein Verbrauch; ","")&amp;IF(CL199&gt;0,"Lift "&amp;W199&amp;" lt. Liftbericht (Fach "&amp;X199&amp;" Stk); ",IF(BX199=1,"Gebinde geschätzt ("&amp;T199&amp;"); ",IF(BW199=1,"Lose – Tablare geschätzt; ","")))&amp;IF(H199&gt;AT199,"Überbestand "&amp;ROUND(H199-AT199,0)&amp;" Stk / CHF "&amp;ROUND((H199-AT199)*G199,0)&amp;"; ","")&amp;IF(AND(CE199=1,CF199&lt;CG199),"MAX &lt; MB+LG; ","")&amp;IF(AND(CK199&gt;0,CJ199*10&gt;CK199),"zu hoch für Tablar; ","")&amp;IF(AND(BS199=0,OR(CE199=1,AA199&lt;&gt;"",U199&lt;&gt;"",V199&lt;&gt;"",AB199&lt;&gt;"")),"manuell übersteuert; ","")&amp;IF(AND(BW199=0,R199=0),"Gebinde unbekannt / Stellmass fehlt; ","")&amp;IF(AND(BW199=0,N(V199)&lt;=0,N(Q199)&lt;=0),"Menge pro Gebinde fehlt (Ist = 1 Gebinde); ","")&amp;BR199)</f>
        <v>Überbestand 16 Stk / CHF 250; </v>
      </c>
      <c r="BK199" s="48"/>
      <c r="BL199" s="48"/>
      <c r="BM199" s="55"/>
      <c r="BN199" s="50" t="n">
        <v>52</v>
      </c>
      <c r="BO199" s="50" t="n">
        <v>26</v>
      </c>
      <c r="BP199" s="49" t="n">
        <v>815.88</v>
      </c>
      <c r="BQ199" s="50" t="n">
        <v>54</v>
      </c>
      <c r="BR199" s="48"/>
      <c r="BS199" s="53" t="n">
        <v>0</v>
      </c>
      <c r="BT199" s="53" t="n">
        <v>199</v>
      </c>
      <c r="BU199" s="48" t="str">
        <f aca="false">IF(U199&lt;&gt;"",UPPER(TRIM(U199)),IF(BX199=1,UPPER(VLOOKUP(T199,Parameter!$I$27:$K$29,2,0)),IF(P199="","LOSE",P199)))</f>
        <v>S51</v>
      </c>
      <c r="BV199" s="50" t="n">
        <f aca="false">IF(BU199="LOSE",1,IF(N(V199)&gt;0,V199,IF(BX199=1,MAX(1,N(VLOOKUP(T199,Parameter!$I$27:$K$29,3,0)),H199,N(N199)),IF(N(Q199)&gt;0,Q199,MAX(1,H199)))))</f>
        <v>62</v>
      </c>
      <c r="BW199" s="53" t="n">
        <f aca="false">IF(BU199="LOSE",1,0)</f>
        <v>0</v>
      </c>
      <c r="BX199" s="53" t="n">
        <f aca="false">IF(AND(U199="",OR(P199="",P199="LOSE"),T199&lt;&gt;"",N(S199)&lt;=0,ISNUMBER(MATCH(T199,Parameter!$I$27:$I$29,0))),1,0)</f>
        <v>0</v>
      </c>
      <c r="BY199" s="53" t="n">
        <f aca="false">IF(CL199&gt;0,INDEX(Parameter!$H$5:$H$7,W199)/INDEX(Parameter!$E$5:$E$7,W199),IF(AND(BW199=0,N(IFERROR(VLOOKUP(BU199,'Gebinde-Kategorie'!$A$5:$N$45,14,0),0))&gt;0),VLOOKUP(BU199,'Gebinde-Kategorie'!$A$5:$N$45,14,0)*10+Parameter!$M$23,Parameter!$M$24))</f>
        <v>155</v>
      </c>
      <c r="BZ199" s="48" t="str">
        <f aca="false">IF(AND(Parameter!$B$19="Ja",E199&lt;&gt;"",ISNUMBER(MATCH(E199,Parameter!$I$35:$I$52,0))),VLOOKUP(E199,Parameter!$I$35:$J$52,2,0),IFERROR(VLOOKUP(D199,Parameter!$A$35:$C$64,2,0),"Nein"))</f>
        <v>2+3</v>
      </c>
      <c r="CA199" s="52" t="n">
        <f aca="false">IF(BW199=0,0,IF(N(S199)&gt;0,S199,IFERROR(VLOOKUP(D199,Parameter!$A$35:$C$64,3,0)+0,0)))</f>
        <v>0</v>
      </c>
      <c r="CB199" s="48" t="n">
        <f aca="false">IF(AA199&lt;&gt;"",AA199,Z199)</f>
        <v>3</v>
      </c>
      <c r="CC199" s="48" t="str">
        <f aca="false">IF(OR(CB199=1,CB199=2,CB199=3),IF(Parameter!$E$27="Ja","LIFT",IF(CB199=1,"L1","L23")),IF(CB199="Aussen","Aussen","-"))</f>
        <v>LIFT</v>
      </c>
      <c r="CD199" s="59" t="n">
        <f aca="false">IF(N(AB199)&gt;0,AB199,0)</f>
        <v>0</v>
      </c>
      <c r="CE199" s="53" t="n">
        <f aca="false">IF(ISNUMBER(AE199),1,0)</f>
        <v>0</v>
      </c>
      <c r="CF199" s="50" t="n">
        <f aca="false">N(AE199)</f>
        <v>0</v>
      </c>
      <c r="CG199" s="50" t="n">
        <f aca="false">N(M199)+N(N199)</f>
        <v>61</v>
      </c>
      <c r="CH199" s="50" t="n">
        <f aca="false">ROUNDUP(H199/BV199,0)</f>
        <v>2</v>
      </c>
      <c r="CI199" s="50" t="n">
        <f aca="false">ROUNDUP(CF199/BV199,0)</f>
        <v>0</v>
      </c>
      <c r="CJ199" s="53" t="n">
        <f aca="false">IF(BW199=1,0,IFERROR(VLOOKUP(BU199,'Gebinde-Kategorie'!$A$5:$N$45,5,0)+0,0))</f>
        <v>11</v>
      </c>
      <c r="CK199" s="53" t="n">
        <f aca="false">IFERROR(IF(OR(CB199=1,CB199=2,CB199=3),N(INDEX(Parameter!$I$5:$I$7,CB199)),0),0)</f>
        <v>0</v>
      </c>
      <c r="CL199" s="52" t="n">
        <f aca="false">IF(AND(Parameter!$B$21="Ja",ISNUMBER(W199),N(X199)&gt;0),IFERROR(N(INDEX(Parameter!$L$5:$L$7,W199))*INDEX(Parameter!$E$5:$E$7,W199)*X199/SUMIFS($X$7:$X$1843,$W$7:$W$1843,W199),0),0)</f>
        <v>0</v>
      </c>
    </row>
    <row r="200" customFormat="false" ht="15" hidden="false" customHeight="false" outlineLevel="0" collapsed="false">
      <c r="A200" s="48" t="s">
        <v>605</v>
      </c>
      <c r="B200" s="48" t="s">
        <v>606</v>
      </c>
      <c r="C200" s="48" t="s">
        <v>168</v>
      </c>
      <c r="D200" s="48" t="s">
        <v>177</v>
      </c>
      <c r="E200" s="48" t="s">
        <v>189</v>
      </c>
      <c r="F200" s="48" t="s">
        <v>222</v>
      </c>
      <c r="G200" s="49" t="n">
        <v>39.92</v>
      </c>
      <c r="H200" s="50" t="n">
        <f aca="false">MAX(0,IF(AND(Parameter!$B$21="Ja",ISNUMBER(Y200)),Y200,IF(Parameter!$B$20="Jahresanfang 2025 + Export",BO200+BN200,BN200)))</f>
        <v>78</v>
      </c>
      <c r="I200" s="50" t="n">
        <f aca="false">H200*G200</f>
        <v>3113.76</v>
      </c>
      <c r="J200" s="50" t="n">
        <f aca="false">BQ200*Parameter!$B$18</f>
        <v>281</v>
      </c>
      <c r="K200" s="51" t="n">
        <v>49</v>
      </c>
      <c r="L200" s="52" t="n">
        <v>5.73469387755102</v>
      </c>
      <c r="M200" s="50" t="n">
        <v>5</v>
      </c>
      <c r="N200" s="50" t="n">
        <v>135</v>
      </c>
      <c r="O200" s="53" t="n">
        <v>7</v>
      </c>
      <c r="P200" s="48" t="s">
        <v>230</v>
      </c>
      <c r="Q200" s="50" t="n">
        <v>50</v>
      </c>
      <c r="R200" s="53" t="n">
        <f aca="false">IF(BW200=1,0,IFERROR(VLOOKUP(BU200,'Gebinde-Kategorie'!$A$5:$N$45,13,0)+0,0))</f>
        <v>12</v>
      </c>
      <c r="S200" s="54"/>
      <c r="T200" s="55"/>
      <c r="U200" s="55"/>
      <c r="V200" s="55"/>
      <c r="W200" s="48"/>
      <c r="X200" s="50"/>
      <c r="Y200" s="50"/>
      <c r="Z200" s="48" t="n">
        <f aca="false">IF(A200="","",IF(AND(Parameter!$B$21="Ja",ISNUMBER(W200)),W200,IF(BZ200="2+3",IF(ISNUMBER(SEARCH("grosser Artikel",BR200)),2,IFERROR(VLOOKUP(BU200,Parameter!$F$35:$G$64,2,0),2)),IF(OR(BZ200="Nein",BZ200=""),"-",BZ200))))</f>
        <v>2</v>
      </c>
      <c r="AA200" s="55"/>
      <c r="AB200" s="56"/>
      <c r="AC200" s="50" t="n">
        <f aca="false">AT200</f>
        <v>150</v>
      </c>
      <c r="AD200" s="50" t="n">
        <f aca="false">MAX(AT200,H200)</f>
        <v>150</v>
      </c>
      <c r="AE200" s="57"/>
      <c r="AF200" s="50" t="n">
        <f aca="false">IF(LEFT(Cockpit!$C$5,1)="A",H200,IF(CE200=1,CF200,IF(LEFT(Cockpit!$C$5,1)="B",AK200,MAX(AK200,H200))))</f>
        <v>78</v>
      </c>
      <c r="AG200" s="50" t="n">
        <f aca="false">IF(BW200=1,0,ROUNDUP(AF200/BV200,0))</f>
        <v>2</v>
      </c>
      <c r="AH200" s="52" t="n">
        <f aca="false">IF(CL200&gt;0,CL200*MAX(1,AF200/X200),IF(BW200=1,IF(AF200&lt;=0,0,CA200*MAX(1,IF(H200&gt;0,AF200/H200,1))),IF(R200&gt;0,AG200/R200,0))/MAX(0.1,N(Parameter!$M$21)))</f>
        <v>0.166666666666667</v>
      </c>
      <c r="AI200" s="50" t="n">
        <f aca="false">AH200*BY200</f>
        <v>57.5</v>
      </c>
      <c r="AJ200" s="50" t="n">
        <f aca="false">AF200*G200</f>
        <v>3113.76</v>
      </c>
      <c r="AK200" s="50" t="n">
        <f aca="false">ROUNDUP(MAX(J200/IF(CD200&gt;0,CD200,MAX(0.1,N(Cockpit!$C$6))),CG200)/BV200,0)*BV200</f>
        <v>150</v>
      </c>
      <c r="AL200" s="51" t="n">
        <f aca="false">IF(AI200&gt;0,J200/AI200,-1)</f>
        <v>4.88695652173913</v>
      </c>
      <c r="AM200" s="51" t="n">
        <f aca="false">IF(AND(OR(CC200="L1",CC200="L23",CC200="LIFT"),AI200&gt;0),SUMIFS($AI$7:$AI$1843,$CC$7:$CC$1843,CC200,$AL$7:$AL$1843,"&gt;"&amp;AL200)+SUMIFS($AI$7:$AI$1843,$CC$7:$CC$1843,CC200,$AL$7:$AL$1843,AL200,$BT$7:$BT$1843,"&lt;="&amp;BT200),"")</f>
        <v>4086.71657509158</v>
      </c>
      <c r="AN200" s="58" t="n">
        <f aca="false">IF(AM200="",0,MAX(0,MIN(1,(IF(CC200="L1",Parameter!$H$5,IF(CC200="L23",Parameter!$H$6+Parameter!$H$7,Parameter!$H$5+Parameter!$H$6+Parameter!$H$7))-(AM200-AI200))/AI200)))</f>
        <v>1</v>
      </c>
      <c r="AO200" s="50" t="n">
        <f aca="false">IF(LEFT(Cockpit!$I$5,1)="A",H200,IF(CE200=1,CF200,IF(LEFT(Cockpit!$I$5,1)="B",AT200,MAX(AT200,H200))))</f>
        <v>150</v>
      </c>
      <c r="AP200" s="50" t="n">
        <f aca="false">IF(BW200=1,0,ROUNDUP(AO200/BV200,0))</f>
        <v>3</v>
      </c>
      <c r="AQ200" s="52" t="n">
        <f aca="false">IF(CL200&gt;0,CL200*MAX(1,AO200/X200),IF(BW200=1,IF(AO200&lt;=0,0,CA200*MAX(1,IF(H200&gt;0,AO200/H200,1))),IF(R200&gt;0,AP200/R200,0))/MAX(0.1,N(Parameter!$M$21)))</f>
        <v>0.25</v>
      </c>
      <c r="AR200" s="50" t="n">
        <f aca="false">AQ200*BY200</f>
        <v>86.25</v>
      </c>
      <c r="AS200" s="50" t="n">
        <f aca="false">AO200*G200</f>
        <v>5988</v>
      </c>
      <c r="AT200" s="50" t="n">
        <f aca="false">ROUNDUP(MAX(J200/IF(CD200&gt;0,CD200,MAX(0.1,N(Cockpit!$I$6))),CG200)/BV200,0)*BV200</f>
        <v>150</v>
      </c>
      <c r="AU200" s="51" t="n">
        <f aca="false">IF(AR200&gt;0,J200/AR200,-1)</f>
        <v>3.25797101449275</v>
      </c>
      <c r="AV200" s="51" t="n">
        <f aca="false">IF(AND(OR(CC200="L1",CC200="L23",CC200="LIFT"),AR200&gt;0),SUMIFS($AR$7:$AR$1843,$CC$7:$CC$1843,CC200,$AU$7:$AU$1843,"&gt;"&amp;AU200)+SUMIFS($AR$7:$AR$1843,$CC$7:$CC$1843,CC200,$AU$7:$AU$1843,AU200,$BT$7:$BT$1843,"&lt;="&amp;BT200),"")</f>
        <v>6145.08791208791</v>
      </c>
      <c r="AW200" s="58" t="n">
        <f aca="false">IF(AV200="",0,MAX(0,MIN(1,(IF(CC200="L1",Parameter!$H$5,IF(CC200="L23",Parameter!$H$6+Parameter!$H$7,Parameter!$H$5+Parameter!$H$6+Parameter!$H$7))-(AV200-AR200))/AR200)))</f>
        <v>1</v>
      </c>
      <c r="AX200" s="50" t="n">
        <f aca="false">IF(LEFT(Cockpit!$O$5,1)="A",H200,IF(CE200=1,CF200,IF(LEFT(Cockpit!$O$5,1)="B",BC200,MAX(BC200,H200))))</f>
        <v>150</v>
      </c>
      <c r="AY200" s="50" t="n">
        <f aca="false">IF(BW200=1,0,ROUNDUP(AX200/BV200,0))</f>
        <v>3</v>
      </c>
      <c r="AZ200" s="52" t="n">
        <f aca="false">IF(CL200&gt;0,CL200*MAX(1,AX200/X200),IF(BW200=1,IF(AX200&lt;=0,0,CA200*MAX(1,IF(H200&gt;0,AX200/H200,1))),IF(R200&gt;0,AY200/R200,0))/MAX(0.1,N(Parameter!$M$21)))</f>
        <v>0.25</v>
      </c>
      <c r="BA200" s="50" t="n">
        <f aca="false">AZ200*BY200</f>
        <v>86.25</v>
      </c>
      <c r="BB200" s="50" t="n">
        <f aca="false">AX200*G200</f>
        <v>5988</v>
      </c>
      <c r="BC200" s="50" t="n">
        <f aca="false">ROUNDUP(MAX(J200/IF(CD200&gt;0,CD200,MAX(0.1,N(Cockpit!$O$6))),CG200)/BV200,0)*BV200</f>
        <v>150</v>
      </c>
      <c r="BD200" s="51" t="n">
        <f aca="false">IF(BA200&gt;0,J200/BA200,-1)</f>
        <v>3.25797101449275</v>
      </c>
      <c r="BE200" s="51" t="n">
        <f aca="false">IF(AND(OR(CC200="L1",CC200="L23",CC200="LIFT"),BA200&gt;0),SUMIFS($BA$7:$BA$1843,$CC$7:$CC$1843,CC200,$BD$7:$BD$1843,"&gt;"&amp;BD200)+SUMIFS($BA$7:$BA$1843,$CC$7:$CC$1843,CC200,$BD$7:$BD$1843,BD200,$BT$7:$BT$1843,"&lt;="&amp;BT200),"")</f>
        <v>6132.92445054945</v>
      </c>
      <c r="BF200" s="58" t="n">
        <f aca="false">IF(BE200="",0,MAX(0,MIN(1,(IF(CC200="L1",Parameter!$H$5,IF(CC200="L23",Parameter!$H$6+Parameter!$H$7,Parameter!$H$5+Parameter!$H$6+Parameter!$H$7))-(BE200-BA200))/BA200)))</f>
        <v>1</v>
      </c>
      <c r="BG200" s="48" t="str">
        <f aca="false">IF(AI200&lt;=0,"",IF(CC200="Aussen","Aussenlager",IF(CC200="-","Nicht im Lift",IF(AN200&gt;=1,"Lift",IF(AN200&lt;=0,"Aussenlager","teilweise")))))</f>
        <v>Lift</v>
      </c>
      <c r="BH200" s="48" t="str">
        <f aca="false">IF(AR200&lt;=0,"",IF(CC200="Aussen","Aussenlager",IF(CC200="-","Nicht im Lift",IF(AW200&gt;=1,"Lift",IF(AW200&lt;=0,"Aussenlager","teilweise")))))</f>
        <v>Lift</v>
      </c>
      <c r="BI200" s="48" t="str">
        <f aca="false">IF(BA200&lt;=0,"",IF(CC200="Aussen","Aussenlager",IF(CC200="-","Nicht im Lift",IF(BF200&gt;=1,"Lift",IF(BF200&lt;=0,"Aussenlager","teilweise")))))</f>
        <v>Lift</v>
      </c>
      <c r="BJ200" s="48" t="str">
        <f aca="false">IF(A200="","",IF(BS200=1,"Neu; ","")&amp;IF(AND(BS200=0,BN200&lt;0),"negativer Bestand (Export "&amp;BN200&amp;"); ","")&amp;IF(J200&lt;=0,"Kein Verbrauch; ","")&amp;IF(CL200&gt;0,"Lift "&amp;W200&amp;" lt. Liftbericht (Fach "&amp;X200&amp;" Stk); ",IF(BX200=1,"Gebinde geschätzt ("&amp;T200&amp;"); ",IF(BW200=1,"Lose – Tablare geschätzt; ","")))&amp;IF(H200&gt;AT200,"Überbestand "&amp;ROUND(H200-AT200,0)&amp;" Stk / CHF "&amp;ROUND((H200-AT200)*G200,0)&amp;"; ","")&amp;IF(AND(CE200=1,CF200&lt;CG200),"MAX &lt; MB+LG; ","")&amp;IF(AND(CK200&gt;0,CJ200*10&gt;CK200),"zu hoch für Tablar; ","")&amp;IF(AND(BS200=0,OR(CE200=1,AA200&lt;&gt;"",U200&lt;&gt;"",V200&lt;&gt;"",AB200&lt;&gt;"")),"manuell übersteuert; ","")&amp;IF(AND(BW200=0,R200=0),"Gebinde unbekannt / Stellmass fehlt; ","")&amp;IF(AND(BW200=0,N(V200)&lt;=0,N(Q200)&lt;=0),"Menge pro Gebinde fehlt (Ist = 1 Gebinde); ","")&amp;BR200)</f>
        <v/>
      </c>
      <c r="BK200" s="48"/>
      <c r="BL200" s="48"/>
      <c r="BM200" s="55"/>
      <c r="BN200" s="50" t="n">
        <v>21</v>
      </c>
      <c r="BO200" s="50" t="n">
        <v>57</v>
      </c>
      <c r="BP200" s="49" t="n">
        <v>810.96</v>
      </c>
      <c r="BQ200" s="50" t="n">
        <v>281</v>
      </c>
      <c r="BR200" s="48"/>
      <c r="BS200" s="53" t="n">
        <v>0</v>
      </c>
      <c r="BT200" s="53" t="n">
        <v>200</v>
      </c>
      <c r="BU200" s="48" t="str">
        <f aca="false">IF(U200&lt;&gt;"",UPPER(TRIM(U200)),IF(BX200=1,UPPER(VLOOKUP(T200,Parameter!$I$27:$K$29,2,0)),IF(P200="","LOSE",P200)))</f>
        <v>S63</v>
      </c>
      <c r="BV200" s="50" t="n">
        <f aca="false">IF(BU200="LOSE",1,IF(N(V200)&gt;0,V200,IF(BX200=1,MAX(1,N(VLOOKUP(T200,Parameter!$I$27:$K$29,3,0)),H200,N(N200)),IF(N(Q200)&gt;0,Q200,MAX(1,H200)))))</f>
        <v>50</v>
      </c>
      <c r="BW200" s="53" t="n">
        <f aca="false">IF(BU200="LOSE",1,0)</f>
        <v>0</v>
      </c>
      <c r="BX200" s="53" t="n">
        <f aca="false">IF(AND(U200="",OR(P200="",P200="LOSE"),T200&lt;&gt;"",N(S200)&lt;=0,ISNUMBER(MATCH(T200,Parameter!$I$27:$I$29,0))),1,0)</f>
        <v>0</v>
      </c>
      <c r="BY200" s="53" t="n">
        <f aca="false">IF(CL200&gt;0,INDEX(Parameter!$H$5:$H$7,W200)/INDEX(Parameter!$E$5:$E$7,W200),IF(AND(BW200=0,N(IFERROR(VLOOKUP(BU200,'Gebinde-Kategorie'!$A$5:$N$45,14,0),0))&gt;0),VLOOKUP(BU200,'Gebinde-Kategorie'!$A$5:$N$45,14,0)*10+Parameter!$M$23,Parameter!$M$24))</f>
        <v>345</v>
      </c>
      <c r="BZ200" s="48" t="str">
        <f aca="false">IF(AND(Parameter!$B$19="Ja",E200&lt;&gt;"",ISNUMBER(MATCH(E200,Parameter!$I$35:$I$52,0))),VLOOKUP(E200,Parameter!$I$35:$J$52,2,0),IFERROR(VLOOKUP(D200,Parameter!$A$35:$C$64,2,0),"Nein"))</f>
        <v>2+3</v>
      </c>
      <c r="CA200" s="52" t="n">
        <f aca="false">IF(BW200=0,0,IF(N(S200)&gt;0,S200,IFERROR(VLOOKUP(D200,Parameter!$A$35:$C$64,3,0)+0,0)))</f>
        <v>0</v>
      </c>
      <c r="CB200" s="48" t="n">
        <f aca="false">IF(AA200&lt;&gt;"",AA200,Z200)</f>
        <v>2</v>
      </c>
      <c r="CC200" s="48" t="str">
        <f aca="false">IF(OR(CB200=1,CB200=2,CB200=3),IF(Parameter!$E$27="Ja","LIFT",IF(CB200=1,"L1","L23")),IF(CB200="Aussen","Aussen","-"))</f>
        <v>LIFT</v>
      </c>
      <c r="CD200" s="59" t="n">
        <f aca="false">IF(N(AB200)&gt;0,AB200,0)</f>
        <v>0</v>
      </c>
      <c r="CE200" s="53" t="n">
        <f aca="false">IF(ISNUMBER(AE200),1,0)</f>
        <v>0</v>
      </c>
      <c r="CF200" s="50" t="n">
        <f aca="false">N(AE200)</f>
        <v>0</v>
      </c>
      <c r="CG200" s="50" t="n">
        <f aca="false">N(M200)+N(N200)</f>
        <v>140</v>
      </c>
      <c r="CH200" s="50" t="n">
        <f aca="false">ROUNDUP(H200/BV200,0)</f>
        <v>2</v>
      </c>
      <c r="CI200" s="50" t="n">
        <f aca="false">ROUNDUP(CF200/BV200,0)</f>
        <v>0</v>
      </c>
      <c r="CJ200" s="53" t="n">
        <f aca="false">IF(BW200=1,0,IFERROR(VLOOKUP(BU200,'Gebinde-Kategorie'!$A$5:$N$45,5,0)+0,0))</f>
        <v>31</v>
      </c>
      <c r="CK200" s="53" t="n">
        <f aca="false">IFERROR(IF(OR(CB200=1,CB200=2,CB200=3),N(INDEX(Parameter!$I$5:$I$7,CB200)),0),0)</f>
        <v>0</v>
      </c>
      <c r="CL200" s="52" t="n">
        <f aca="false">IF(AND(Parameter!$B$21="Ja",ISNUMBER(W200),N(X200)&gt;0),IFERROR(N(INDEX(Parameter!$L$5:$L$7,W200))*INDEX(Parameter!$E$5:$E$7,W200)*X200/SUMIFS($X$7:$X$1843,$W$7:$W$1843,W200),0),0)</f>
        <v>0</v>
      </c>
    </row>
    <row r="201" customFormat="false" ht="15" hidden="false" customHeight="false" outlineLevel="0" collapsed="false">
      <c r="A201" s="48" t="s">
        <v>607</v>
      </c>
      <c r="B201" s="48" t="s">
        <v>608</v>
      </c>
      <c r="C201" s="48" t="s">
        <v>168</v>
      </c>
      <c r="D201" s="48" t="s">
        <v>177</v>
      </c>
      <c r="E201" s="48" t="s">
        <v>189</v>
      </c>
      <c r="F201" s="48" t="s">
        <v>222</v>
      </c>
      <c r="G201" s="49" t="n">
        <v>98.69</v>
      </c>
      <c r="H201" s="50" t="n">
        <f aca="false">MAX(0,IF(AND(Parameter!$B$21="Ja",ISNUMBER(Y201)),Y201,IF(Parameter!$B$20="Jahresanfang 2025 + Export",BO201+BN201,BN201)))</f>
        <v>33</v>
      </c>
      <c r="I201" s="50" t="n">
        <f aca="false">H201*G201</f>
        <v>3256.77</v>
      </c>
      <c r="J201" s="50" t="n">
        <f aca="false">BQ201*Parameter!$B$18</f>
        <v>77</v>
      </c>
      <c r="K201" s="51" t="n">
        <v>30</v>
      </c>
      <c r="L201" s="52" t="n">
        <v>2.56666666666667</v>
      </c>
      <c r="M201" s="50" t="n">
        <v>10</v>
      </c>
      <c r="N201" s="50" t="n">
        <v>45</v>
      </c>
      <c r="O201" s="53" t="n">
        <v>49</v>
      </c>
      <c r="P201" s="48" t="s">
        <v>178</v>
      </c>
      <c r="Q201" s="50" t="n">
        <v>18</v>
      </c>
      <c r="R201" s="53" t="n">
        <f aca="false">IF(BW201=1,0,IFERROR(VLOOKUP(BU201,'Gebinde-Kategorie'!$A$5:$N$45,13,0)+0,0))</f>
        <v>6</v>
      </c>
      <c r="S201" s="54"/>
      <c r="T201" s="55"/>
      <c r="U201" s="55"/>
      <c r="V201" s="55"/>
      <c r="W201" s="48"/>
      <c r="X201" s="50"/>
      <c r="Y201" s="50"/>
      <c r="Z201" s="48" t="n">
        <f aca="false">IF(A201="","",IF(AND(Parameter!$B$21="Ja",ISNUMBER(W201)),W201,IF(BZ201="2+3",IF(ISNUMBER(SEARCH("grosser Artikel",BR201)),2,IFERROR(VLOOKUP(BU201,Parameter!$F$35:$G$64,2,0),2)),IF(OR(BZ201="Nein",BZ201=""),"-",BZ201))))</f>
        <v>2</v>
      </c>
      <c r="AA201" s="55"/>
      <c r="AB201" s="56"/>
      <c r="AC201" s="50" t="n">
        <f aca="false">AT201</f>
        <v>72</v>
      </c>
      <c r="AD201" s="50" t="n">
        <f aca="false">MAX(AT201,H201)</f>
        <v>72</v>
      </c>
      <c r="AE201" s="57"/>
      <c r="AF201" s="50" t="n">
        <f aca="false">IF(LEFT(Cockpit!$C$5,1)="A",H201,IF(CE201=1,CF201,IF(LEFT(Cockpit!$C$5,1)="B",AK201,MAX(AK201,H201))))</f>
        <v>33</v>
      </c>
      <c r="AG201" s="50" t="n">
        <f aca="false">IF(BW201=1,0,ROUNDUP(AF201/BV201,0))</f>
        <v>2</v>
      </c>
      <c r="AH201" s="52" t="n">
        <f aca="false">IF(CL201&gt;0,CL201*MAX(1,AF201/X201),IF(BW201=1,IF(AF201&lt;=0,0,CA201*MAX(1,IF(H201&gt;0,AF201/H201,1))),IF(R201&gt;0,AG201/R201,0))/MAX(0.1,N(Parameter!$M$21)))</f>
        <v>0.333333333333333</v>
      </c>
      <c r="AI201" s="50" t="n">
        <f aca="false">AH201*BY201</f>
        <v>78.3333333333333</v>
      </c>
      <c r="AJ201" s="50" t="n">
        <f aca="false">AF201*G201</f>
        <v>3256.77</v>
      </c>
      <c r="AK201" s="50" t="n">
        <f aca="false">ROUNDUP(MAX(J201/IF(CD201&gt;0,CD201,MAX(0.1,N(Cockpit!$C$6))),CG201)/BV201,0)*BV201</f>
        <v>72</v>
      </c>
      <c r="AL201" s="51" t="n">
        <f aca="false">IF(AI201&gt;0,J201/AI201,-1)</f>
        <v>0.982978723404255</v>
      </c>
      <c r="AM201" s="51" t="n">
        <f aca="false">IF(AND(OR(CC201="L1",CC201="L23",CC201="LIFT"),AI201&gt;0),SUMIFS($AI$7:$AI$1843,$CC$7:$CC$1843,CC201,$AL$7:$AL$1843,"&gt;"&amp;AL201)+SUMIFS($AI$7:$AI$1843,$CC$7:$CC$1843,CC201,$AL$7:$AL$1843,AL201,$BT$7:$BT$1843,"&lt;="&amp;BT201),"")</f>
        <v>7165.0260989011</v>
      </c>
      <c r="AN201" s="58" t="n">
        <f aca="false">IF(AM201="",0,MAX(0,MIN(1,(IF(CC201="L1",Parameter!$H$5,IF(CC201="L23",Parameter!$H$6+Parameter!$H$7,Parameter!$H$5+Parameter!$H$6+Parameter!$H$7))-(AM201-AI201))/AI201)))</f>
        <v>1</v>
      </c>
      <c r="AO201" s="50" t="n">
        <f aca="false">IF(LEFT(Cockpit!$I$5,1)="A",H201,IF(CE201=1,CF201,IF(LEFT(Cockpit!$I$5,1)="B",AT201,MAX(AT201,H201))))</f>
        <v>72</v>
      </c>
      <c r="AP201" s="50" t="n">
        <f aca="false">IF(BW201=1,0,ROUNDUP(AO201/BV201,0))</f>
        <v>4</v>
      </c>
      <c r="AQ201" s="52" t="n">
        <f aca="false">IF(CL201&gt;0,CL201*MAX(1,AO201/X201),IF(BW201=1,IF(AO201&lt;=0,0,CA201*MAX(1,IF(H201&gt;0,AO201/H201,1))),IF(R201&gt;0,AP201/R201,0))/MAX(0.1,N(Parameter!$M$21)))</f>
        <v>0.666666666666667</v>
      </c>
      <c r="AR201" s="50" t="n">
        <f aca="false">AQ201*BY201</f>
        <v>156.666666666667</v>
      </c>
      <c r="AS201" s="50" t="n">
        <f aca="false">AO201*G201</f>
        <v>7105.68</v>
      </c>
      <c r="AT201" s="50" t="n">
        <f aca="false">ROUNDUP(MAX(J201/IF(CD201&gt;0,CD201,MAX(0.1,N(Cockpit!$I$6))),CG201)/BV201,0)*BV201</f>
        <v>72</v>
      </c>
      <c r="AU201" s="51" t="n">
        <f aca="false">IF(AR201&gt;0,J201/AR201,-1)</f>
        <v>0.491489361702128</v>
      </c>
      <c r="AV201" s="51" t="n">
        <f aca="false">IF(AND(OR(CC201="L1",CC201="L23",CC201="LIFT"),AR201&gt;0),SUMIFS($AR$7:$AR$1843,$CC$7:$CC$1843,CC201,$AU$7:$AU$1843,"&gt;"&amp;AU201)+SUMIFS($AR$7:$AR$1843,$CC$7:$CC$1843,CC201,$AU$7:$AU$1843,AU201,$BT$7:$BT$1843,"&lt;="&amp;BT201),"")</f>
        <v>14271.4235347985</v>
      </c>
      <c r="AW201" s="58" t="n">
        <f aca="false">IF(AV201="",0,MAX(0,MIN(1,(IF(CC201="L1",Parameter!$H$5,IF(CC201="L23",Parameter!$H$6+Parameter!$H$7,Parameter!$H$5+Parameter!$H$6+Parameter!$H$7))-(AV201-AR201))/AR201)))</f>
        <v>1</v>
      </c>
      <c r="AX201" s="50" t="n">
        <f aca="false">IF(LEFT(Cockpit!$O$5,1)="A",H201,IF(CE201=1,CF201,IF(LEFT(Cockpit!$O$5,1)="B",BC201,MAX(BC201,H201))))</f>
        <v>72</v>
      </c>
      <c r="AY201" s="50" t="n">
        <f aca="false">IF(BW201=1,0,ROUNDUP(AX201/BV201,0))</f>
        <v>4</v>
      </c>
      <c r="AZ201" s="52" t="n">
        <f aca="false">IF(CL201&gt;0,CL201*MAX(1,AX201/X201),IF(BW201=1,IF(AX201&lt;=0,0,CA201*MAX(1,IF(H201&gt;0,AX201/H201,1))),IF(R201&gt;0,AY201/R201,0))/MAX(0.1,N(Parameter!$M$21)))</f>
        <v>0.666666666666667</v>
      </c>
      <c r="BA201" s="50" t="n">
        <f aca="false">AZ201*BY201</f>
        <v>156.666666666667</v>
      </c>
      <c r="BB201" s="50" t="n">
        <f aca="false">AX201*G201</f>
        <v>7105.68</v>
      </c>
      <c r="BC201" s="50" t="n">
        <f aca="false">ROUNDUP(MAX(J201/IF(CD201&gt;0,CD201,MAX(0.1,N(Cockpit!$O$6))),CG201)/BV201,0)*BV201</f>
        <v>72</v>
      </c>
      <c r="BD201" s="51" t="n">
        <f aca="false">IF(BA201&gt;0,J201/BA201,-1)</f>
        <v>0.491489361702128</v>
      </c>
      <c r="BE201" s="51" t="n">
        <f aca="false">IF(AND(OR(CC201="L1",CC201="L23",CC201="LIFT"),BA201&gt;0),SUMIFS($BA$7:$BA$1843,$CC$7:$CC$1843,CC201,$BD$7:$BD$1843,"&gt;"&amp;BD201)+SUMIFS($BA$7:$BA$1843,$CC$7:$CC$1843,CC201,$BD$7:$BD$1843,BD201,$BT$7:$BT$1843,"&lt;="&amp;BT201),"")</f>
        <v>13267.0805860806</v>
      </c>
      <c r="BF201" s="58" t="n">
        <f aca="false">IF(BE201="",0,MAX(0,MIN(1,(IF(CC201="L1",Parameter!$H$5,IF(CC201="L23",Parameter!$H$6+Parameter!$H$7,Parameter!$H$5+Parameter!$H$6+Parameter!$H$7))-(BE201-BA201))/BA201)))</f>
        <v>1</v>
      </c>
      <c r="BG201" s="48" t="str">
        <f aca="false">IF(AI201&lt;=0,"",IF(CC201="Aussen","Aussenlager",IF(CC201="-","Nicht im Lift",IF(AN201&gt;=1,"Lift",IF(AN201&lt;=0,"Aussenlager","teilweise")))))</f>
        <v>Lift</v>
      </c>
      <c r="BH201" s="48" t="str">
        <f aca="false">IF(AR201&lt;=0,"",IF(CC201="Aussen","Aussenlager",IF(CC201="-","Nicht im Lift",IF(AW201&gt;=1,"Lift",IF(AW201&lt;=0,"Aussenlager","teilweise")))))</f>
        <v>Lift</v>
      </c>
      <c r="BI201" s="48" t="str">
        <f aca="false">IF(BA201&lt;=0,"",IF(CC201="Aussen","Aussenlager",IF(CC201="-","Nicht im Lift",IF(BF201&gt;=1,"Lift",IF(BF201&lt;=0,"Aussenlager","teilweise")))))</f>
        <v>Lift</v>
      </c>
      <c r="BJ201" s="48" t="str">
        <f aca="false">IF(A201="","",IF(BS201=1,"Neu; ","")&amp;IF(AND(BS201=0,BN201&lt;0),"negativer Bestand (Export "&amp;BN201&amp;"); ","")&amp;IF(J201&lt;=0,"Kein Verbrauch; ","")&amp;IF(CL201&gt;0,"Lift "&amp;W201&amp;" lt. Liftbericht (Fach "&amp;X201&amp;" Stk); ",IF(BX201=1,"Gebinde geschätzt ("&amp;T201&amp;"); ",IF(BW201=1,"Lose – Tablare geschätzt; ","")))&amp;IF(H201&gt;AT201,"Überbestand "&amp;ROUND(H201-AT201,0)&amp;" Stk / CHF "&amp;ROUND((H201-AT201)*G201,0)&amp;"; ","")&amp;IF(AND(CE201=1,CF201&lt;CG201),"MAX &lt; MB+LG; ","")&amp;IF(AND(CK201&gt;0,CJ201*10&gt;CK201),"zu hoch für Tablar; ","")&amp;IF(AND(BS201=0,OR(CE201=1,AA201&lt;&gt;"",U201&lt;&gt;"",V201&lt;&gt;"",AB201&lt;&gt;"")),"manuell übersteuert; ","")&amp;IF(AND(BW201=0,R201=0),"Gebinde unbekannt / Stellmass fehlt; ","")&amp;IF(AND(BW201=0,N(V201)&lt;=0,N(Q201)&lt;=0),"Menge pro Gebinde fehlt (Ist = 1 Gebinde); ","")&amp;BR201)</f>
        <v>grosser Artikel &amp; nicht im KTL</v>
      </c>
      <c r="BK201" s="48"/>
      <c r="BL201" s="48"/>
      <c r="BM201" s="55"/>
      <c r="BN201" s="50" t="n">
        <v>8</v>
      </c>
      <c r="BO201" s="50" t="n">
        <v>25</v>
      </c>
      <c r="BP201" s="49" t="n">
        <v>801.770000000001</v>
      </c>
      <c r="BQ201" s="50" t="n">
        <v>77</v>
      </c>
      <c r="BR201" s="48" t="s">
        <v>265</v>
      </c>
      <c r="BS201" s="53" t="n">
        <v>0</v>
      </c>
      <c r="BT201" s="53" t="n">
        <v>201</v>
      </c>
      <c r="BU201" s="48" t="str">
        <f aca="false">IF(U201&lt;&gt;"",UPPER(TRIM(U201)),IF(BX201=1,UPPER(VLOOKUP(T201,Parameter!$I$27:$K$29,2,0)),IF(P201="","LOSE",P201)))</f>
        <v>S71</v>
      </c>
      <c r="BV201" s="50" t="n">
        <f aca="false">IF(BU201="LOSE",1,IF(N(V201)&gt;0,V201,IF(BX201=1,MAX(1,N(VLOOKUP(T201,Parameter!$I$27:$K$29,3,0)),H201,N(N201)),IF(N(Q201)&gt;0,Q201,MAX(1,H201)))))</f>
        <v>18</v>
      </c>
      <c r="BW201" s="53" t="n">
        <f aca="false">IF(BU201="LOSE",1,0)</f>
        <v>0</v>
      </c>
      <c r="BX201" s="53" t="n">
        <f aca="false">IF(AND(U201="",OR(P201="",P201="LOSE"),T201&lt;&gt;"",N(S201)&lt;=0,ISNUMBER(MATCH(T201,Parameter!$I$27:$I$29,0))),1,0)</f>
        <v>0</v>
      </c>
      <c r="BY201" s="53" t="n">
        <f aca="false">IF(CL201&gt;0,INDEX(Parameter!$H$5:$H$7,W201)/INDEX(Parameter!$E$5:$E$7,W201),IF(AND(BW201=0,N(IFERROR(VLOOKUP(BU201,'Gebinde-Kategorie'!$A$5:$N$45,14,0),0))&gt;0),VLOOKUP(BU201,'Gebinde-Kategorie'!$A$5:$N$45,14,0)*10+Parameter!$M$23,Parameter!$M$24))</f>
        <v>235</v>
      </c>
      <c r="BZ201" s="48" t="str">
        <f aca="false">IF(AND(Parameter!$B$19="Ja",E201&lt;&gt;"",ISNUMBER(MATCH(E201,Parameter!$I$35:$I$52,0))),VLOOKUP(E201,Parameter!$I$35:$J$52,2,0),IFERROR(VLOOKUP(D201,Parameter!$A$35:$C$64,2,0),"Nein"))</f>
        <v>2+3</v>
      </c>
      <c r="CA201" s="52" t="n">
        <f aca="false">IF(BW201=0,0,IF(N(S201)&gt;0,S201,IFERROR(VLOOKUP(D201,Parameter!$A$35:$C$64,3,0)+0,0)))</f>
        <v>0</v>
      </c>
      <c r="CB201" s="48" t="n">
        <f aca="false">IF(AA201&lt;&gt;"",AA201,Z201)</f>
        <v>2</v>
      </c>
      <c r="CC201" s="48" t="str">
        <f aca="false">IF(OR(CB201=1,CB201=2,CB201=3),IF(Parameter!$E$27="Ja","LIFT",IF(CB201=1,"L1","L23")),IF(CB201="Aussen","Aussen","-"))</f>
        <v>LIFT</v>
      </c>
      <c r="CD201" s="59" t="n">
        <f aca="false">IF(N(AB201)&gt;0,AB201,0)</f>
        <v>0</v>
      </c>
      <c r="CE201" s="53" t="n">
        <f aca="false">IF(ISNUMBER(AE201),1,0)</f>
        <v>0</v>
      </c>
      <c r="CF201" s="50" t="n">
        <f aca="false">N(AE201)</f>
        <v>0</v>
      </c>
      <c r="CG201" s="50" t="n">
        <f aca="false">N(M201)+N(N201)</f>
        <v>55</v>
      </c>
      <c r="CH201" s="50" t="n">
        <f aca="false">ROUNDUP(H201/BV201,0)</f>
        <v>2</v>
      </c>
      <c r="CI201" s="50" t="n">
        <f aca="false">ROUNDUP(CF201/BV201,0)</f>
        <v>0</v>
      </c>
      <c r="CJ201" s="53" t="n">
        <f aca="false">IF(BW201=1,0,IFERROR(VLOOKUP(BU201,'Gebinde-Kategorie'!$A$5:$N$45,5,0)+0,0))</f>
        <v>20</v>
      </c>
      <c r="CK201" s="53" t="n">
        <f aca="false">IFERROR(IF(OR(CB201=1,CB201=2,CB201=3),N(INDEX(Parameter!$I$5:$I$7,CB201)),0),0)</f>
        <v>0</v>
      </c>
      <c r="CL201" s="52" t="n">
        <f aca="false">IF(AND(Parameter!$B$21="Ja",ISNUMBER(W201),N(X201)&gt;0),IFERROR(N(INDEX(Parameter!$L$5:$L$7,W201))*INDEX(Parameter!$E$5:$E$7,W201)*X201/SUMIFS($X$7:$X$1843,$W$7:$W$1843,W201),0),0)</f>
        <v>0</v>
      </c>
    </row>
    <row r="202" customFormat="false" ht="15" hidden="false" customHeight="false" outlineLevel="0" collapsed="false">
      <c r="A202" s="48" t="s">
        <v>609</v>
      </c>
      <c r="B202" s="48" t="s">
        <v>435</v>
      </c>
      <c r="C202" s="48" t="s">
        <v>168</v>
      </c>
      <c r="D202" s="48" t="s">
        <v>188</v>
      </c>
      <c r="E202" s="48" t="s">
        <v>189</v>
      </c>
      <c r="F202" s="48" t="s">
        <v>222</v>
      </c>
      <c r="G202" s="49" t="n">
        <v>66.73</v>
      </c>
      <c r="H202" s="50" t="n">
        <f aca="false">MAX(0,IF(AND(Parameter!$B$21="Ja",ISNUMBER(Y202)),Y202,IF(Parameter!$B$20="Jahresanfang 2025 + Export",BO202+BN202,BN202)))</f>
        <v>39</v>
      </c>
      <c r="I202" s="50" t="n">
        <f aca="false">H202*G202</f>
        <v>2602.47</v>
      </c>
      <c r="J202" s="50" t="n">
        <f aca="false">BQ202*Parameter!$B$18</f>
        <v>7</v>
      </c>
      <c r="K202" s="51" t="n">
        <v>35</v>
      </c>
      <c r="L202" s="52" t="n">
        <v>0.2</v>
      </c>
      <c r="M202" s="50" t="n">
        <v>1</v>
      </c>
      <c r="N202" s="50" t="n">
        <v>5</v>
      </c>
      <c r="O202" s="53" t="n">
        <v>70</v>
      </c>
      <c r="P202" s="48" t="s">
        <v>237</v>
      </c>
      <c r="Q202" s="50" t="n">
        <v>45</v>
      </c>
      <c r="R202" s="53" t="n">
        <f aca="false">IF(BW202=1,0,IFERROR(VLOOKUP(BU202,'Gebinde-Kategorie'!$A$5:$N$45,13,0)+0,0))</f>
        <v>26</v>
      </c>
      <c r="S202" s="54"/>
      <c r="T202" s="55"/>
      <c r="U202" s="55"/>
      <c r="V202" s="55"/>
      <c r="W202" s="48"/>
      <c r="X202" s="50"/>
      <c r="Y202" s="50"/>
      <c r="Z202" s="48" t="n">
        <f aca="false">IF(A202="","",IF(AND(Parameter!$B$21="Ja",ISNUMBER(W202)),W202,IF(BZ202="2+3",IF(ISNUMBER(SEARCH("grosser Artikel",BR202)),2,IFERROR(VLOOKUP(BU202,Parameter!$F$35:$G$64,2,0),2)),IF(OR(BZ202="Nein",BZ202=""),"-",BZ202))))</f>
        <v>3</v>
      </c>
      <c r="AA202" s="55"/>
      <c r="AB202" s="56"/>
      <c r="AC202" s="50" t="n">
        <f aca="false">AT202</f>
        <v>45</v>
      </c>
      <c r="AD202" s="50" t="n">
        <f aca="false">MAX(AT202,H202)</f>
        <v>45</v>
      </c>
      <c r="AE202" s="57"/>
      <c r="AF202" s="50" t="n">
        <f aca="false">IF(LEFT(Cockpit!$C$5,1)="A",H202,IF(CE202=1,CF202,IF(LEFT(Cockpit!$C$5,1)="B",AK202,MAX(AK202,H202))))</f>
        <v>39</v>
      </c>
      <c r="AG202" s="50" t="n">
        <f aca="false">IF(BW202=1,0,ROUNDUP(AF202/BV202,0))</f>
        <v>1</v>
      </c>
      <c r="AH202" s="52" t="n">
        <f aca="false">IF(CL202&gt;0,CL202*MAX(1,AF202/X202),IF(BW202=1,IF(AF202&lt;=0,0,CA202*MAX(1,IF(H202&gt;0,AF202/H202,1))),IF(R202&gt;0,AG202/R202,0))/MAX(0.1,N(Parameter!$M$21)))</f>
        <v>0.0384615384615385</v>
      </c>
      <c r="AI202" s="50" t="n">
        <f aca="false">AH202*BY202</f>
        <v>9.42307692307692</v>
      </c>
      <c r="AJ202" s="50" t="n">
        <f aca="false">AF202*G202</f>
        <v>2602.47</v>
      </c>
      <c r="AK202" s="50" t="n">
        <f aca="false">ROUNDUP(MAX(J202/IF(CD202&gt;0,CD202,MAX(0.1,N(Cockpit!$C$6))),CG202)/BV202,0)*BV202</f>
        <v>45</v>
      </c>
      <c r="AL202" s="51" t="n">
        <f aca="false">IF(AI202&gt;0,J202/AI202,-1)</f>
        <v>0.742857142857143</v>
      </c>
      <c r="AM202" s="51" t="n">
        <f aca="false">IF(AND(OR(CC202="L1",CC202="L23",CC202="LIFT"),AI202&gt;0),SUMIFS($AI$7:$AI$1843,$CC$7:$CC$1843,CC202,$AL$7:$AL$1843,"&gt;"&amp;AL202)+SUMIFS($AI$7:$AI$1843,$CC$7:$CC$1843,CC202,$AL$7:$AL$1843,AL202,$BT$7:$BT$1843,"&lt;="&amp;BT202),"")</f>
        <v>8379.57371794872</v>
      </c>
      <c r="AN202" s="58" t="n">
        <f aca="false">IF(AM202="",0,MAX(0,MIN(1,(IF(CC202="L1",Parameter!$H$5,IF(CC202="L23",Parameter!$H$6+Parameter!$H$7,Parameter!$H$5+Parameter!$H$6+Parameter!$H$7))-(AM202-AI202))/AI202)))</f>
        <v>1</v>
      </c>
      <c r="AO202" s="50" t="n">
        <f aca="false">IF(LEFT(Cockpit!$I$5,1)="A",H202,IF(CE202=1,CF202,IF(LEFT(Cockpit!$I$5,1)="B",AT202,MAX(AT202,H202))))</f>
        <v>45</v>
      </c>
      <c r="AP202" s="50" t="n">
        <f aca="false">IF(BW202=1,0,ROUNDUP(AO202/BV202,0))</f>
        <v>1</v>
      </c>
      <c r="AQ202" s="52" t="n">
        <f aca="false">IF(CL202&gt;0,CL202*MAX(1,AO202/X202),IF(BW202=1,IF(AO202&lt;=0,0,CA202*MAX(1,IF(H202&gt;0,AO202/H202,1))),IF(R202&gt;0,AP202/R202,0))/MAX(0.1,N(Parameter!$M$21)))</f>
        <v>0.0384615384615385</v>
      </c>
      <c r="AR202" s="50" t="n">
        <f aca="false">AQ202*BY202</f>
        <v>9.42307692307692</v>
      </c>
      <c r="AS202" s="50" t="n">
        <f aca="false">AO202*G202</f>
        <v>3002.85</v>
      </c>
      <c r="AT202" s="50" t="n">
        <f aca="false">ROUNDUP(MAX(J202/IF(CD202&gt;0,CD202,MAX(0.1,N(Cockpit!$I$6))),CG202)/BV202,0)*BV202</f>
        <v>45</v>
      </c>
      <c r="AU202" s="51" t="n">
        <f aca="false">IF(AR202&gt;0,J202/AR202,-1)</f>
        <v>0.742857142857143</v>
      </c>
      <c r="AV202" s="51" t="n">
        <f aca="false">IF(AND(OR(CC202="L1",CC202="L23",CC202="LIFT"),AR202&gt;0),SUMIFS($AR$7:$AR$1843,$CC$7:$CC$1843,CC202,$AU$7:$AU$1843,"&gt;"&amp;AU202)+SUMIFS($AR$7:$AR$1843,$CC$7:$CC$1843,CC202,$AU$7:$AU$1843,AU202,$BT$7:$BT$1843,"&lt;="&amp;BT202),"")</f>
        <v>11480.1254578755</v>
      </c>
      <c r="AW202" s="58" t="n">
        <f aca="false">IF(AV202="",0,MAX(0,MIN(1,(IF(CC202="L1",Parameter!$H$5,IF(CC202="L23",Parameter!$H$6+Parameter!$H$7,Parameter!$H$5+Parameter!$H$6+Parameter!$H$7))-(AV202-AR202))/AR202)))</f>
        <v>1</v>
      </c>
      <c r="AX202" s="50" t="n">
        <f aca="false">IF(LEFT(Cockpit!$O$5,1)="A",H202,IF(CE202=1,CF202,IF(LEFT(Cockpit!$O$5,1)="B",BC202,MAX(BC202,H202))))</f>
        <v>45</v>
      </c>
      <c r="AY202" s="50" t="n">
        <f aca="false">IF(BW202=1,0,ROUNDUP(AX202/BV202,0))</f>
        <v>1</v>
      </c>
      <c r="AZ202" s="52" t="n">
        <f aca="false">IF(CL202&gt;0,CL202*MAX(1,AX202/X202),IF(BW202=1,IF(AX202&lt;=0,0,CA202*MAX(1,IF(H202&gt;0,AX202/H202,1))),IF(R202&gt;0,AY202/R202,0))/MAX(0.1,N(Parameter!$M$21)))</f>
        <v>0.0384615384615385</v>
      </c>
      <c r="BA202" s="50" t="n">
        <f aca="false">AZ202*BY202</f>
        <v>9.42307692307692</v>
      </c>
      <c r="BB202" s="50" t="n">
        <f aca="false">AX202*G202</f>
        <v>3002.85</v>
      </c>
      <c r="BC202" s="50" t="n">
        <f aca="false">ROUNDUP(MAX(J202/IF(CD202&gt;0,CD202,MAX(0.1,N(Cockpit!$O$6))),CG202)/BV202,0)*BV202</f>
        <v>45</v>
      </c>
      <c r="BD202" s="51" t="n">
        <f aca="false">IF(BA202&gt;0,J202/BA202,-1)</f>
        <v>0.742857142857143</v>
      </c>
      <c r="BE202" s="51" t="n">
        <f aca="false">IF(AND(OR(CC202="L1",CC202="L23",CC202="LIFT"),BA202&gt;0),SUMIFS($BA$7:$BA$1843,$CC$7:$CC$1843,CC202,$BD$7:$BD$1843,"&gt;"&amp;BD202)+SUMIFS($BA$7:$BA$1843,$CC$7:$CC$1843,CC202,$BD$7:$BD$1843,BD202,$BT$7:$BT$1843,"&lt;="&amp;BT202),"")</f>
        <v>11079.9491758242</v>
      </c>
      <c r="BF202" s="58" t="n">
        <f aca="false">IF(BE202="",0,MAX(0,MIN(1,(IF(CC202="L1",Parameter!$H$5,IF(CC202="L23",Parameter!$H$6+Parameter!$H$7,Parameter!$H$5+Parameter!$H$6+Parameter!$H$7))-(BE202-BA202))/BA202)))</f>
        <v>1</v>
      </c>
      <c r="BG202" s="48" t="str">
        <f aca="false">IF(AI202&lt;=0,"",IF(CC202="Aussen","Aussenlager",IF(CC202="-","Nicht im Lift",IF(AN202&gt;=1,"Lift",IF(AN202&lt;=0,"Aussenlager","teilweise")))))</f>
        <v>Lift</v>
      </c>
      <c r="BH202" s="48" t="str">
        <f aca="false">IF(AR202&lt;=0,"",IF(CC202="Aussen","Aussenlager",IF(CC202="-","Nicht im Lift",IF(AW202&gt;=1,"Lift",IF(AW202&lt;=0,"Aussenlager","teilweise")))))</f>
        <v>Lift</v>
      </c>
      <c r="BI202" s="48" t="str">
        <f aca="false">IF(BA202&lt;=0,"",IF(CC202="Aussen","Aussenlager",IF(CC202="-","Nicht im Lift",IF(BF202&gt;=1,"Lift",IF(BF202&lt;=0,"Aussenlager","teilweise")))))</f>
        <v>Lift</v>
      </c>
      <c r="BJ202" s="48" t="str">
        <f aca="false">IF(A202="","",IF(BS202=1,"Neu; ","")&amp;IF(AND(BS202=0,BN202&lt;0),"negativer Bestand (Export "&amp;BN202&amp;"); ","")&amp;IF(J202&lt;=0,"Kein Verbrauch; ","")&amp;IF(CL202&gt;0,"Lift "&amp;W202&amp;" lt. Liftbericht (Fach "&amp;X202&amp;" Stk); ",IF(BX202=1,"Gebinde geschätzt ("&amp;T202&amp;"); ",IF(BW202=1,"Lose – Tablare geschätzt; ","")))&amp;IF(H202&gt;AT202,"Überbestand "&amp;ROUND(H202-AT202,0)&amp;" Stk / CHF "&amp;ROUND((H202-AT202)*G202,0)&amp;"; ","")&amp;IF(AND(CE202=1,CF202&lt;CG202),"MAX &lt; MB+LG; ","")&amp;IF(AND(CK202&gt;0,CJ202*10&gt;CK202),"zu hoch für Tablar; ","")&amp;IF(AND(BS202=0,OR(CE202=1,AA202&lt;&gt;"",U202&lt;&gt;"",V202&lt;&gt;"",AB202&lt;&gt;"")),"manuell übersteuert; ","")&amp;IF(AND(BW202=0,R202=0),"Gebinde unbekannt / Stellmass fehlt; ","")&amp;IF(AND(BW202=0,N(V202)&lt;=0,N(Q202)&lt;=0),"Menge pro Gebinde fehlt (Ist = 1 Gebinde); ","")&amp;BR202)</f>
        <v/>
      </c>
      <c r="BK202" s="48"/>
      <c r="BL202" s="48"/>
      <c r="BM202" s="55"/>
      <c r="BN202" s="50" t="n">
        <v>12</v>
      </c>
      <c r="BO202" s="50" t="n">
        <v>27</v>
      </c>
      <c r="BP202" s="49" t="n">
        <v>800.76</v>
      </c>
      <c r="BQ202" s="50" t="n">
        <v>7</v>
      </c>
      <c r="BR202" s="48"/>
      <c r="BS202" s="53" t="n">
        <v>0</v>
      </c>
      <c r="BT202" s="53" t="n">
        <v>202</v>
      </c>
      <c r="BU202" s="48" t="str">
        <f aca="false">IF(U202&lt;&gt;"",UPPER(TRIM(U202)),IF(BX202=1,UPPER(VLOOKUP(T202,Parameter!$I$27:$K$29,2,0)),IF(P202="","LOSE",P202)))</f>
        <v>S52</v>
      </c>
      <c r="BV202" s="50" t="n">
        <f aca="false">IF(BU202="LOSE",1,IF(N(V202)&gt;0,V202,IF(BX202=1,MAX(1,N(VLOOKUP(T202,Parameter!$I$27:$K$29,3,0)),H202,N(N202)),IF(N(Q202)&gt;0,Q202,MAX(1,H202)))))</f>
        <v>45</v>
      </c>
      <c r="BW202" s="53" t="n">
        <f aca="false">IF(BU202="LOSE",1,0)</f>
        <v>0</v>
      </c>
      <c r="BX202" s="53" t="n">
        <f aca="false">IF(AND(U202="",OR(P202="",P202="LOSE"),T202&lt;&gt;"",N(S202)&lt;=0,ISNUMBER(MATCH(T202,Parameter!$I$27:$I$29,0))),1,0)</f>
        <v>0</v>
      </c>
      <c r="BY202" s="53" t="n">
        <f aca="false">IF(CL202&gt;0,INDEX(Parameter!$H$5:$H$7,W202)/INDEX(Parameter!$E$5:$E$7,W202),IF(AND(BW202=0,N(IFERROR(VLOOKUP(BU202,'Gebinde-Kategorie'!$A$5:$N$45,14,0),0))&gt;0),VLOOKUP(BU202,'Gebinde-Kategorie'!$A$5:$N$45,14,0)*10+Parameter!$M$23,Parameter!$M$24))</f>
        <v>245</v>
      </c>
      <c r="BZ202" s="48" t="str">
        <f aca="false">IF(AND(Parameter!$B$19="Ja",E202&lt;&gt;"",ISNUMBER(MATCH(E202,Parameter!$I$35:$I$52,0))),VLOOKUP(E202,Parameter!$I$35:$J$52,2,0),IFERROR(VLOOKUP(D202,Parameter!$A$35:$C$64,2,0),"Nein"))</f>
        <v>2+3</v>
      </c>
      <c r="CA202" s="52" t="n">
        <f aca="false">IF(BW202=0,0,IF(N(S202)&gt;0,S202,IFERROR(VLOOKUP(D202,Parameter!$A$35:$C$64,3,0)+0,0)))</f>
        <v>0</v>
      </c>
      <c r="CB202" s="48" t="n">
        <f aca="false">IF(AA202&lt;&gt;"",AA202,Z202)</f>
        <v>3</v>
      </c>
      <c r="CC202" s="48" t="str">
        <f aca="false">IF(OR(CB202=1,CB202=2,CB202=3),IF(Parameter!$E$27="Ja","LIFT",IF(CB202=1,"L1","L23")),IF(CB202="Aussen","Aussen","-"))</f>
        <v>LIFT</v>
      </c>
      <c r="CD202" s="59" t="n">
        <f aca="false">IF(N(AB202)&gt;0,AB202,0)</f>
        <v>0</v>
      </c>
      <c r="CE202" s="53" t="n">
        <f aca="false">IF(ISNUMBER(AE202),1,0)</f>
        <v>0</v>
      </c>
      <c r="CF202" s="50" t="n">
        <f aca="false">N(AE202)</f>
        <v>0</v>
      </c>
      <c r="CG202" s="50" t="n">
        <f aca="false">N(M202)+N(N202)</f>
        <v>6</v>
      </c>
      <c r="CH202" s="50" t="n">
        <f aca="false">ROUNDUP(H202/BV202,0)</f>
        <v>1</v>
      </c>
      <c r="CI202" s="50" t="n">
        <f aca="false">ROUNDUP(CF202/BV202,0)</f>
        <v>0</v>
      </c>
      <c r="CJ202" s="53" t="n">
        <f aca="false">IF(BW202=1,0,IFERROR(VLOOKUP(BU202,'Gebinde-Kategorie'!$A$5:$N$45,5,0)+0,0))</f>
        <v>21</v>
      </c>
      <c r="CK202" s="53" t="n">
        <f aca="false">IFERROR(IF(OR(CB202=1,CB202=2,CB202=3),N(INDEX(Parameter!$I$5:$I$7,CB202)),0),0)</f>
        <v>0</v>
      </c>
      <c r="CL202" s="52" t="n">
        <f aca="false">IF(AND(Parameter!$B$21="Ja",ISNUMBER(W202),N(X202)&gt;0),IFERROR(N(INDEX(Parameter!$L$5:$L$7,W202))*INDEX(Parameter!$E$5:$E$7,W202)*X202/SUMIFS($X$7:$X$1843,$W$7:$W$1843,W202),0),0)</f>
        <v>0</v>
      </c>
    </row>
    <row r="203" customFormat="false" ht="15" hidden="false" customHeight="false" outlineLevel="0" collapsed="false">
      <c r="A203" s="48" t="s">
        <v>610</v>
      </c>
      <c r="B203" s="48" t="s">
        <v>611</v>
      </c>
      <c r="C203" s="48" t="s">
        <v>168</v>
      </c>
      <c r="D203" s="48" t="s">
        <v>188</v>
      </c>
      <c r="E203" s="48"/>
      <c r="F203" s="48" t="s">
        <v>222</v>
      </c>
      <c r="G203" s="49" t="n">
        <v>44.47</v>
      </c>
      <c r="H203" s="50" t="n">
        <f aca="false">MAX(0,IF(AND(Parameter!$B$21="Ja",ISNUMBER(Y203)),Y203,IF(Parameter!$B$20="Jahresanfang 2025 + Export",BO203+BN203,BN203)))</f>
        <v>18</v>
      </c>
      <c r="I203" s="50" t="n">
        <f aca="false">H203*G203</f>
        <v>800.46</v>
      </c>
      <c r="J203" s="50" t="n">
        <f aca="false">BQ203*Parameter!$B$18</f>
        <v>25</v>
      </c>
      <c r="K203" s="51" t="n">
        <v>2.5</v>
      </c>
      <c r="L203" s="52" t="n">
        <v>10</v>
      </c>
      <c r="M203" s="50" t="n">
        <v>1</v>
      </c>
      <c r="N203" s="50" t="n">
        <v>25</v>
      </c>
      <c r="O203" s="53" t="n">
        <v>28</v>
      </c>
      <c r="P203" s="48" t="s">
        <v>425</v>
      </c>
      <c r="Q203" s="50" t="n">
        <v>25</v>
      </c>
      <c r="R203" s="53" t="n">
        <f aca="false">IF(BW203=1,0,IFERROR(VLOOKUP(BU203,'Gebinde-Kategorie'!$A$5:$N$45,13,0)+0,0))</f>
        <v>104</v>
      </c>
      <c r="S203" s="54"/>
      <c r="T203" s="55"/>
      <c r="U203" s="55"/>
      <c r="V203" s="55"/>
      <c r="W203" s="48"/>
      <c r="X203" s="50"/>
      <c r="Y203" s="50"/>
      <c r="Z203" s="48" t="n">
        <f aca="false">IF(A203="","",IF(AND(Parameter!$B$21="Ja",ISNUMBER(W203)),W203,IF(BZ203="2+3",IF(ISNUMBER(SEARCH("grosser Artikel",BR203)),2,IFERROR(VLOOKUP(BU203,Parameter!$F$35:$G$64,2,0),2)),IF(OR(BZ203="Nein",BZ203=""),"-",BZ203))))</f>
        <v>3</v>
      </c>
      <c r="AA203" s="55"/>
      <c r="AB203" s="56"/>
      <c r="AC203" s="50" t="n">
        <f aca="false">AT203</f>
        <v>50</v>
      </c>
      <c r="AD203" s="50" t="n">
        <f aca="false">MAX(AT203,H203)</f>
        <v>50</v>
      </c>
      <c r="AE203" s="57"/>
      <c r="AF203" s="50" t="n">
        <f aca="false">IF(LEFT(Cockpit!$C$5,1)="A",H203,IF(CE203=1,CF203,IF(LEFT(Cockpit!$C$5,1)="B",AK203,MAX(AK203,H203))))</f>
        <v>18</v>
      </c>
      <c r="AG203" s="50" t="n">
        <f aca="false">IF(BW203=1,0,ROUNDUP(AF203/BV203,0))</f>
        <v>1</v>
      </c>
      <c r="AH203" s="52" t="n">
        <f aca="false">IF(CL203&gt;0,CL203*MAX(1,AF203/X203),IF(BW203=1,IF(AF203&lt;=0,0,CA203*MAX(1,IF(H203&gt;0,AF203/H203,1))),IF(R203&gt;0,AG203/R203,0))/MAX(0.1,N(Parameter!$M$21)))</f>
        <v>0.00961538461538462</v>
      </c>
      <c r="AI203" s="50" t="n">
        <f aca="false">AH203*BY203</f>
        <v>1.49038461538462</v>
      </c>
      <c r="AJ203" s="50" t="n">
        <f aca="false">AF203*G203</f>
        <v>800.46</v>
      </c>
      <c r="AK203" s="50" t="n">
        <f aca="false">ROUNDUP(MAX(J203/IF(CD203&gt;0,CD203,MAX(0.1,N(Cockpit!$C$6))),CG203)/BV203,0)*BV203</f>
        <v>50</v>
      </c>
      <c r="AL203" s="51" t="n">
        <f aca="false">IF(AI203&gt;0,J203/AI203,-1)</f>
        <v>16.7741935483871</v>
      </c>
      <c r="AM203" s="51" t="n">
        <f aca="false">IF(AND(OR(CC203="L1",CC203="L23",CC203="LIFT"),AI203&gt;0),SUMIFS($AI$7:$AI$1843,$CC$7:$CC$1843,CC203,$AL$7:$AL$1843,"&gt;"&amp;AL203)+SUMIFS($AI$7:$AI$1843,$CC$7:$CC$1843,CC203,$AL$7:$AL$1843,AL203,$BT$7:$BT$1843,"&lt;="&amp;BT203),"")</f>
        <v>2009.73351648352</v>
      </c>
      <c r="AN203" s="58" t="n">
        <f aca="false">IF(AM203="",0,MAX(0,MIN(1,(IF(CC203="L1",Parameter!$H$5,IF(CC203="L23",Parameter!$H$6+Parameter!$H$7,Parameter!$H$5+Parameter!$H$6+Parameter!$H$7))-(AM203-AI203))/AI203)))</f>
        <v>1</v>
      </c>
      <c r="AO203" s="50" t="n">
        <f aca="false">IF(LEFT(Cockpit!$I$5,1)="A",H203,IF(CE203=1,CF203,IF(LEFT(Cockpit!$I$5,1)="B",AT203,MAX(AT203,H203))))</f>
        <v>50</v>
      </c>
      <c r="AP203" s="50" t="n">
        <f aca="false">IF(BW203=1,0,ROUNDUP(AO203/BV203,0))</f>
        <v>2</v>
      </c>
      <c r="AQ203" s="52" t="n">
        <f aca="false">IF(CL203&gt;0,CL203*MAX(1,AO203/X203),IF(BW203=1,IF(AO203&lt;=0,0,CA203*MAX(1,IF(H203&gt;0,AO203/H203,1))),IF(R203&gt;0,AP203/R203,0))/MAX(0.1,N(Parameter!$M$21)))</f>
        <v>0.0192307692307692</v>
      </c>
      <c r="AR203" s="50" t="n">
        <f aca="false">AQ203*BY203</f>
        <v>2.98076923076923</v>
      </c>
      <c r="AS203" s="50" t="n">
        <f aca="false">AO203*G203</f>
        <v>2223.5</v>
      </c>
      <c r="AT203" s="50" t="n">
        <f aca="false">ROUNDUP(MAX(J203/IF(CD203&gt;0,CD203,MAX(0.1,N(Cockpit!$I$6))),CG203)/BV203,0)*BV203</f>
        <v>50</v>
      </c>
      <c r="AU203" s="51" t="n">
        <f aca="false">IF(AR203&gt;0,J203/AR203,-1)</f>
        <v>8.38709677419355</v>
      </c>
      <c r="AV203" s="51" t="n">
        <f aca="false">IF(AND(OR(CC203="L1",CC203="L23",CC203="LIFT"),AR203&gt;0),SUMIFS($AR$7:$AR$1843,$CC$7:$CC$1843,CC203,$AU$7:$AU$1843,"&gt;"&amp;AU203)+SUMIFS($AR$7:$AR$1843,$CC$7:$CC$1843,CC203,$AU$7:$AU$1843,AU203,$BT$7:$BT$1843,"&lt;="&amp;BT203),"")</f>
        <v>4209.17765567766</v>
      </c>
      <c r="AW203" s="58" t="n">
        <f aca="false">IF(AV203="",0,MAX(0,MIN(1,(IF(CC203="L1",Parameter!$H$5,IF(CC203="L23",Parameter!$H$6+Parameter!$H$7,Parameter!$H$5+Parameter!$H$6+Parameter!$H$7))-(AV203-AR203))/AR203)))</f>
        <v>1</v>
      </c>
      <c r="AX203" s="50" t="n">
        <f aca="false">IF(LEFT(Cockpit!$O$5,1)="A",H203,IF(CE203=1,CF203,IF(LEFT(Cockpit!$O$5,1)="B",BC203,MAX(BC203,H203))))</f>
        <v>50</v>
      </c>
      <c r="AY203" s="50" t="n">
        <f aca="false">IF(BW203=1,0,ROUNDUP(AX203/BV203,0))</f>
        <v>2</v>
      </c>
      <c r="AZ203" s="52" t="n">
        <f aca="false">IF(CL203&gt;0,CL203*MAX(1,AX203/X203),IF(BW203=1,IF(AX203&lt;=0,0,CA203*MAX(1,IF(H203&gt;0,AX203/H203,1))),IF(R203&gt;0,AY203/R203,0))/MAX(0.1,N(Parameter!$M$21)))</f>
        <v>0.0192307692307692</v>
      </c>
      <c r="BA203" s="50" t="n">
        <f aca="false">AZ203*BY203</f>
        <v>2.98076923076923</v>
      </c>
      <c r="BB203" s="50" t="n">
        <f aca="false">AX203*G203</f>
        <v>2223.5</v>
      </c>
      <c r="BC203" s="50" t="n">
        <f aca="false">ROUNDUP(MAX(J203/IF(CD203&gt;0,CD203,MAX(0.1,N(Cockpit!$O$6))),CG203)/BV203,0)*BV203</f>
        <v>50</v>
      </c>
      <c r="BD203" s="51" t="n">
        <f aca="false">IF(BA203&gt;0,J203/BA203,-1)</f>
        <v>8.38709677419355</v>
      </c>
      <c r="BE203" s="51" t="n">
        <f aca="false">IF(AND(OR(CC203="L1",CC203="L23",CC203="LIFT"),BA203&gt;0),SUMIFS($BA$7:$BA$1843,$CC$7:$CC$1843,CC203,$BD$7:$BD$1843,"&gt;"&amp;BD203)+SUMIFS($BA$7:$BA$1843,$CC$7:$CC$1843,CC203,$BD$7:$BD$1843,BD203,$BT$7:$BT$1843,"&lt;="&amp;BT203),"")</f>
        <v>3867.30265567766</v>
      </c>
      <c r="BF203" s="58" t="n">
        <f aca="false">IF(BE203="",0,MAX(0,MIN(1,(IF(CC203="L1",Parameter!$H$5,IF(CC203="L23",Parameter!$H$6+Parameter!$H$7,Parameter!$H$5+Parameter!$H$6+Parameter!$H$7))-(BE203-BA203))/BA203)))</f>
        <v>1</v>
      </c>
      <c r="BG203" s="48" t="str">
        <f aca="false">IF(AI203&lt;=0,"",IF(CC203="Aussen","Aussenlager",IF(CC203="-","Nicht im Lift",IF(AN203&gt;=1,"Lift",IF(AN203&lt;=0,"Aussenlager","teilweise")))))</f>
        <v>Lift</v>
      </c>
      <c r="BH203" s="48" t="str">
        <f aca="false">IF(AR203&lt;=0,"",IF(CC203="Aussen","Aussenlager",IF(CC203="-","Nicht im Lift",IF(AW203&gt;=1,"Lift",IF(AW203&lt;=0,"Aussenlager","teilweise")))))</f>
        <v>Lift</v>
      </c>
      <c r="BI203" s="48" t="str">
        <f aca="false">IF(BA203&lt;=0,"",IF(CC203="Aussen","Aussenlager",IF(CC203="-","Nicht im Lift",IF(BF203&gt;=1,"Lift",IF(BF203&lt;=0,"Aussenlager","teilweise")))))</f>
        <v>Lift</v>
      </c>
      <c r="BJ203" s="48" t="str">
        <f aca="false">IF(A203="","",IF(BS203=1,"Neu; ","")&amp;IF(AND(BS203=0,BN203&lt;0),"negativer Bestand (Export "&amp;BN203&amp;"); ","")&amp;IF(J203&lt;=0,"Kein Verbrauch; ","")&amp;IF(CL203&gt;0,"Lift "&amp;W203&amp;" lt. Liftbericht (Fach "&amp;X203&amp;" Stk); ",IF(BX203=1,"Gebinde geschätzt ("&amp;T203&amp;"); ",IF(BW203=1,"Lose – Tablare geschätzt; ","")))&amp;IF(H203&gt;AT203,"Überbestand "&amp;ROUND(H203-AT203,0)&amp;" Stk / CHF "&amp;ROUND((H203-AT203)*G203,0)&amp;"; ","")&amp;IF(AND(CE203=1,CF203&lt;CG203),"MAX &lt; MB+LG; ","")&amp;IF(AND(CK203&gt;0,CJ203*10&gt;CK203),"zu hoch für Tablar; ","")&amp;IF(AND(BS203=0,OR(CE203=1,AA203&lt;&gt;"",U203&lt;&gt;"",V203&lt;&gt;"",AB203&lt;&gt;"")),"manuell übersteuert; ","")&amp;IF(AND(BW203=0,R203=0),"Gebinde unbekannt / Stellmass fehlt; ","")&amp;IF(AND(BW203=0,N(V203)&lt;=0,N(Q203)&lt;=0),"Menge pro Gebinde fehlt (Ist = 1 Gebinde); ","")&amp;BR203)</f>
        <v/>
      </c>
      <c r="BK203" s="48"/>
      <c r="BL203" s="48"/>
      <c r="BM203" s="55"/>
      <c r="BN203" s="50" t="n">
        <v>18</v>
      </c>
      <c r="BO203" s="50" t="n">
        <v>0</v>
      </c>
      <c r="BP203" s="49" t="n">
        <v>800.46</v>
      </c>
      <c r="BQ203" s="50" t="n">
        <v>25</v>
      </c>
      <c r="BR203" s="48"/>
      <c r="BS203" s="53" t="n">
        <v>0</v>
      </c>
      <c r="BT203" s="53" t="n">
        <v>203</v>
      </c>
      <c r="BU203" s="48" t="str">
        <f aca="false">IF(U203&lt;&gt;"",UPPER(TRIM(U203)),IF(BX203=1,UPPER(VLOOKUP(T203,Parameter!$I$27:$K$29,2,0)),IF(P203="","LOSE",P203)))</f>
        <v>S32</v>
      </c>
      <c r="BV203" s="50" t="n">
        <f aca="false">IF(BU203="LOSE",1,IF(N(V203)&gt;0,V203,IF(BX203=1,MAX(1,N(VLOOKUP(T203,Parameter!$I$27:$K$29,3,0)),H203,N(N203)),IF(N(Q203)&gt;0,Q203,MAX(1,H203)))))</f>
        <v>25</v>
      </c>
      <c r="BW203" s="53" t="n">
        <f aca="false">IF(BU203="LOSE",1,0)</f>
        <v>0</v>
      </c>
      <c r="BX203" s="53" t="n">
        <f aca="false">IF(AND(U203="",OR(P203="",P203="LOSE"),T203&lt;&gt;"",N(S203)&lt;=0,ISNUMBER(MATCH(T203,Parameter!$I$27:$I$29,0))),1,0)</f>
        <v>0</v>
      </c>
      <c r="BY203" s="53" t="n">
        <f aca="false">IF(CL203&gt;0,INDEX(Parameter!$H$5:$H$7,W203)/INDEX(Parameter!$E$5:$E$7,W203),IF(AND(BW203=0,N(IFERROR(VLOOKUP(BU203,'Gebinde-Kategorie'!$A$5:$N$45,14,0),0))&gt;0),VLOOKUP(BU203,'Gebinde-Kategorie'!$A$5:$N$45,14,0)*10+Parameter!$M$23,Parameter!$M$24))</f>
        <v>155</v>
      </c>
      <c r="BZ203" s="48" t="str">
        <f aca="false">IF(AND(Parameter!$B$19="Ja",E203&lt;&gt;"",ISNUMBER(MATCH(E203,Parameter!$I$35:$I$52,0))),VLOOKUP(E203,Parameter!$I$35:$J$52,2,0),IFERROR(VLOOKUP(D203,Parameter!$A$35:$C$64,2,0),"Nein"))</f>
        <v>2+3</v>
      </c>
      <c r="CA203" s="52" t="n">
        <f aca="false">IF(BW203=0,0,IF(N(S203)&gt;0,S203,IFERROR(VLOOKUP(D203,Parameter!$A$35:$C$64,3,0)+0,0)))</f>
        <v>0</v>
      </c>
      <c r="CB203" s="48" t="n">
        <f aca="false">IF(AA203&lt;&gt;"",AA203,Z203)</f>
        <v>3</v>
      </c>
      <c r="CC203" s="48" t="str">
        <f aca="false">IF(OR(CB203=1,CB203=2,CB203=3),IF(Parameter!$E$27="Ja","LIFT",IF(CB203=1,"L1","L23")),IF(CB203="Aussen","Aussen","-"))</f>
        <v>LIFT</v>
      </c>
      <c r="CD203" s="59" t="n">
        <f aca="false">IF(N(AB203)&gt;0,AB203,0)</f>
        <v>0</v>
      </c>
      <c r="CE203" s="53" t="n">
        <f aca="false">IF(ISNUMBER(AE203),1,0)</f>
        <v>0</v>
      </c>
      <c r="CF203" s="50" t="n">
        <f aca="false">N(AE203)</f>
        <v>0</v>
      </c>
      <c r="CG203" s="50" t="n">
        <f aca="false">N(M203)+N(N203)</f>
        <v>26</v>
      </c>
      <c r="CH203" s="50" t="n">
        <f aca="false">ROUNDUP(H203/BV203,0)</f>
        <v>1</v>
      </c>
      <c r="CI203" s="50" t="n">
        <f aca="false">ROUNDUP(CF203/BV203,0)</f>
        <v>0</v>
      </c>
      <c r="CJ203" s="53" t="n">
        <f aca="false">IF(BW203=1,0,IFERROR(VLOOKUP(BU203,'Gebinde-Kategorie'!$A$5:$N$45,5,0)+0,0))</f>
        <v>8</v>
      </c>
      <c r="CK203" s="53" t="n">
        <f aca="false">IFERROR(IF(OR(CB203=1,CB203=2,CB203=3),N(INDEX(Parameter!$I$5:$I$7,CB203)),0),0)</f>
        <v>0</v>
      </c>
      <c r="CL203" s="52" t="n">
        <f aca="false">IF(AND(Parameter!$B$21="Ja",ISNUMBER(W203),N(X203)&gt;0),IFERROR(N(INDEX(Parameter!$L$5:$L$7,W203))*INDEX(Parameter!$E$5:$E$7,W203)*X203/SUMIFS($X$7:$X$1843,$W$7:$W$1843,W203),0),0)</f>
        <v>0</v>
      </c>
    </row>
    <row r="204" customFormat="false" ht="15" hidden="false" customHeight="false" outlineLevel="0" collapsed="false">
      <c r="A204" s="48" t="s">
        <v>612</v>
      </c>
      <c r="B204" s="48" t="s">
        <v>613</v>
      </c>
      <c r="C204" s="48" t="s">
        <v>168</v>
      </c>
      <c r="D204" s="48" t="s">
        <v>188</v>
      </c>
      <c r="E204" s="48"/>
      <c r="F204" s="48" t="s">
        <v>222</v>
      </c>
      <c r="G204" s="49" t="n">
        <v>31.77</v>
      </c>
      <c r="H204" s="50" t="n">
        <f aca="false">MAX(0,IF(AND(Parameter!$B$21="Ja",ISNUMBER(Y204)),Y204,IF(Parameter!$B$20="Jahresanfang 2025 + Export",BO204+BN204,BN204)))</f>
        <v>25</v>
      </c>
      <c r="I204" s="50" t="n">
        <f aca="false">H204*G204</f>
        <v>794.25</v>
      </c>
      <c r="J204" s="50" t="n">
        <f aca="false">BQ204*Parameter!$B$18</f>
        <v>0</v>
      </c>
      <c r="K204" s="51" t="n">
        <v>0</v>
      </c>
      <c r="L204" s="52" t="n">
        <v>0</v>
      </c>
      <c r="M204" s="50" t="n">
        <v>0</v>
      </c>
      <c r="N204" s="50" t="n">
        <v>1</v>
      </c>
      <c r="O204" s="53" t="n">
        <v>9999</v>
      </c>
      <c r="P204" s="48" t="s">
        <v>172</v>
      </c>
      <c r="Q204" s="50"/>
      <c r="R204" s="53" t="n">
        <f aca="false">IF(BW204=1,0,IFERROR(VLOOKUP(BU204,'Gebinde-Kategorie'!$A$5:$N$45,13,0)+0,0))</f>
        <v>26</v>
      </c>
      <c r="S204" s="54"/>
      <c r="T204" s="55" t="s">
        <v>279</v>
      </c>
      <c r="U204" s="55"/>
      <c r="V204" s="55"/>
      <c r="W204" s="48"/>
      <c r="X204" s="50"/>
      <c r="Y204" s="50"/>
      <c r="Z204" s="48" t="n">
        <f aca="false">IF(A204="","",IF(AND(Parameter!$B$21="Ja",ISNUMBER(W204)),W204,IF(BZ204="2+3",IF(ISNUMBER(SEARCH("grosser Artikel",BR204)),2,IFERROR(VLOOKUP(BU204,Parameter!$F$35:$G$64,2,0),2)),IF(OR(BZ204="Nein",BZ204=""),"-",BZ204))))</f>
        <v>3</v>
      </c>
      <c r="AA204" s="55"/>
      <c r="AB204" s="56"/>
      <c r="AC204" s="50" t="n">
        <f aca="false">AT204</f>
        <v>25</v>
      </c>
      <c r="AD204" s="50" t="n">
        <f aca="false">MAX(AT204,H204)</f>
        <v>25</v>
      </c>
      <c r="AE204" s="57"/>
      <c r="AF204" s="50" t="n">
        <f aca="false">IF(LEFT(Cockpit!$C$5,1)="A",H204,IF(CE204=1,CF204,IF(LEFT(Cockpit!$C$5,1)="B",AK204,MAX(AK204,H204))))</f>
        <v>25</v>
      </c>
      <c r="AG204" s="50" t="n">
        <f aca="false">IF(BW204=1,0,ROUNDUP(AF204/BV204,0))</f>
        <v>1</v>
      </c>
      <c r="AH204" s="52" t="n">
        <f aca="false">IF(CL204&gt;0,CL204*MAX(1,AF204/X204),IF(BW204=1,IF(AF204&lt;=0,0,CA204*MAX(1,IF(H204&gt;0,AF204/H204,1))),IF(R204&gt;0,AG204/R204,0))/MAX(0.1,N(Parameter!$M$21)))</f>
        <v>0.0384615384615385</v>
      </c>
      <c r="AI204" s="50" t="n">
        <f aca="false">AH204*BY204</f>
        <v>5.96153846153846</v>
      </c>
      <c r="AJ204" s="50" t="n">
        <f aca="false">AF204*G204</f>
        <v>794.25</v>
      </c>
      <c r="AK204" s="50" t="n">
        <f aca="false">ROUNDUP(MAX(J204/IF(CD204&gt;0,CD204,MAX(0.1,N(Cockpit!$C$6))),CG204)/BV204,0)*BV204</f>
        <v>25</v>
      </c>
      <c r="AL204" s="51" t="n">
        <f aca="false">IF(AI204&gt;0,J204/AI204,-1)</f>
        <v>0</v>
      </c>
      <c r="AM204" s="51" t="n">
        <f aca="false">IF(AND(OR(CC204="L1",CC204="L23",CC204="LIFT"),AI204&gt;0),SUMIFS($AI$7:$AI$1843,$CC$7:$CC$1843,CC204,$AL$7:$AL$1843,"&gt;"&amp;AL204)+SUMIFS($AI$7:$AI$1843,$CC$7:$CC$1843,CC204,$AL$7:$AL$1843,AL204,$BT$7:$BT$1843,"&lt;="&amp;BT204),"")</f>
        <v>27530.3792890255</v>
      </c>
      <c r="AN204" s="58" t="n">
        <f aca="false">IF(AM204="",0,MAX(0,MIN(1,(IF(CC204="L1",Parameter!$H$5,IF(CC204="L23",Parameter!$H$6+Parameter!$H$7,Parameter!$H$5+Parameter!$H$6+Parameter!$H$7))-(AM204-AI204))/AI204)))</f>
        <v>1</v>
      </c>
      <c r="AO204" s="50" t="n">
        <f aca="false">IF(LEFT(Cockpit!$I$5,1)="A",H204,IF(CE204=1,CF204,IF(LEFT(Cockpit!$I$5,1)="B",AT204,MAX(AT204,H204))))</f>
        <v>25</v>
      </c>
      <c r="AP204" s="50" t="n">
        <f aca="false">IF(BW204=1,0,ROUNDUP(AO204/BV204,0))</f>
        <v>1</v>
      </c>
      <c r="AQ204" s="52" t="n">
        <f aca="false">IF(CL204&gt;0,CL204*MAX(1,AO204/X204),IF(BW204=1,IF(AO204&lt;=0,0,CA204*MAX(1,IF(H204&gt;0,AO204/H204,1))),IF(R204&gt;0,AP204/R204,0))/MAX(0.1,N(Parameter!$M$21)))</f>
        <v>0.0384615384615385</v>
      </c>
      <c r="AR204" s="50" t="n">
        <f aca="false">AQ204*BY204</f>
        <v>5.96153846153846</v>
      </c>
      <c r="AS204" s="50" t="n">
        <f aca="false">AO204*G204</f>
        <v>794.25</v>
      </c>
      <c r="AT204" s="50" t="n">
        <f aca="false">ROUNDUP(MAX(J204/IF(CD204&gt;0,CD204,MAX(0.1,N(Cockpit!$I$6))),CG204)/BV204,0)*BV204</f>
        <v>25</v>
      </c>
      <c r="AU204" s="51" t="n">
        <f aca="false">IF(AR204&gt;0,J204/AR204,-1)</f>
        <v>0</v>
      </c>
      <c r="AV204" s="51" t="n">
        <f aca="false">IF(AND(OR(CC204="L1",CC204="L23",CC204="LIFT"),AR204&gt;0),SUMIFS($AR$7:$AR$1843,$CC$7:$CC$1843,CC204,$AU$7:$AU$1843,"&gt;"&amp;AU204)+SUMIFS($AR$7:$AR$1843,$CC$7:$CC$1843,CC204,$AU$7:$AU$1843,AU204,$BT$7:$BT$1843,"&lt;="&amp;BT204),"")</f>
        <v>38843.2848062954</v>
      </c>
      <c r="AW204" s="58" t="n">
        <f aca="false">IF(AV204="",0,MAX(0,MIN(1,(IF(CC204="L1",Parameter!$H$5,IF(CC204="L23",Parameter!$H$6+Parameter!$H$7,Parameter!$H$5+Parameter!$H$6+Parameter!$H$7))-(AV204-AR204))/AR204)))</f>
        <v>0</v>
      </c>
      <c r="AX204" s="50" t="n">
        <f aca="false">IF(LEFT(Cockpit!$O$5,1)="A",H204,IF(CE204=1,CF204,IF(LEFT(Cockpit!$O$5,1)="B",BC204,MAX(BC204,H204))))</f>
        <v>25</v>
      </c>
      <c r="AY204" s="50" t="n">
        <f aca="false">IF(BW204=1,0,ROUNDUP(AX204/BV204,0))</f>
        <v>1</v>
      </c>
      <c r="AZ204" s="52" t="n">
        <f aca="false">IF(CL204&gt;0,CL204*MAX(1,AX204/X204),IF(BW204=1,IF(AX204&lt;=0,0,CA204*MAX(1,IF(H204&gt;0,AX204/H204,1))),IF(R204&gt;0,AY204/R204,0))/MAX(0.1,N(Parameter!$M$21)))</f>
        <v>0.0384615384615385</v>
      </c>
      <c r="BA204" s="50" t="n">
        <f aca="false">AZ204*BY204</f>
        <v>5.96153846153846</v>
      </c>
      <c r="BB204" s="50" t="n">
        <f aca="false">AX204*G204</f>
        <v>794.25</v>
      </c>
      <c r="BC204" s="50" t="n">
        <f aca="false">ROUNDUP(MAX(J204/IF(CD204&gt;0,CD204,MAX(0.1,N(Cockpit!$O$6))),CG204)/BV204,0)*BV204</f>
        <v>25</v>
      </c>
      <c r="BD204" s="51" t="n">
        <f aca="false">IF(BA204&gt;0,J204/BA204,-1)</f>
        <v>0</v>
      </c>
      <c r="BE204" s="51" t="n">
        <f aca="false">IF(AND(OR(CC204="L1",CC204="L23",CC204="LIFT"),BA204&gt;0),SUMIFS($BA$7:$BA$1843,$CC$7:$CC$1843,CC204,$BD$7:$BD$1843,"&gt;"&amp;BD204)+SUMIFS($BA$7:$BA$1843,$CC$7:$CC$1843,CC204,$BD$7:$BD$1843,BD204,$BT$7:$BT$1843,"&lt;="&amp;BT204),"")</f>
        <v>35518.2968481613</v>
      </c>
      <c r="BF204" s="58" t="n">
        <f aca="false">IF(BE204="",0,MAX(0,MIN(1,(IF(CC204="L1",Parameter!$H$5,IF(CC204="L23",Parameter!$H$6+Parameter!$H$7,Parameter!$H$5+Parameter!$H$6+Parameter!$H$7))-(BE204-BA204))/BA204)))</f>
        <v>1</v>
      </c>
      <c r="BG204" s="48" t="str">
        <f aca="false">IF(AI204&lt;=0,"",IF(CC204="Aussen","Aussenlager",IF(CC204="-","Nicht im Lift",IF(AN204&gt;=1,"Lift",IF(AN204&lt;=0,"Aussenlager","teilweise")))))</f>
        <v>Lift</v>
      </c>
      <c r="BH204" s="48" t="str">
        <f aca="false">IF(AR204&lt;=0,"",IF(CC204="Aussen","Aussenlager",IF(CC204="-","Nicht im Lift",IF(AW204&gt;=1,"Lift",IF(AW204&lt;=0,"Aussenlager","teilweise")))))</f>
        <v>Aussenlager</v>
      </c>
      <c r="BI204" s="48" t="str">
        <f aca="false">IF(BA204&lt;=0,"",IF(CC204="Aussen","Aussenlager",IF(CC204="-","Nicht im Lift",IF(BF204&gt;=1,"Lift",IF(BF204&lt;=0,"Aussenlager","teilweise")))))</f>
        <v>Lift</v>
      </c>
      <c r="BJ204" s="48" t="str">
        <f aca="false">IF(A204="","",IF(BS204=1,"Neu; ","")&amp;IF(AND(BS204=0,BN204&lt;0),"negativer Bestand (Export "&amp;BN204&amp;"); ","")&amp;IF(J204&lt;=0,"Kein Verbrauch; ","")&amp;IF(CL204&gt;0,"Lift "&amp;W204&amp;" lt. Liftbericht (Fach "&amp;X204&amp;" Stk); ",IF(BX204=1,"Gebinde geschätzt ("&amp;T204&amp;"); ",IF(BW204=1,"Lose – Tablare geschätzt; ","")))&amp;IF(H204&gt;AT204,"Überbestand "&amp;ROUND(H204-AT204,0)&amp;" Stk / CHF "&amp;ROUND((H204-AT204)*G204,0)&amp;"; ","")&amp;IF(AND(CE204=1,CF204&lt;CG204),"MAX &lt; MB+LG; ","")&amp;IF(AND(CK204&gt;0,CJ204*10&gt;CK204),"zu hoch für Tablar; ","")&amp;IF(AND(BS204=0,OR(CE204=1,AA204&lt;&gt;"",U204&lt;&gt;"",V204&lt;&gt;"",AB204&lt;&gt;"")),"manuell übersteuert; ","")&amp;IF(AND(BW204=0,R204=0),"Gebinde unbekannt / Stellmass fehlt; ","")&amp;IF(AND(BW204=0,N(V204)&lt;=0,N(Q204)&lt;=0),"Menge pro Gebinde fehlt (Ist = 1 Gebinde); ","")&amp;BR204)</f>
        <v>Kein Verbrauch; Gebinde geschätzt (Klein); Menge pro Gebinde fehlt (Ist = 1 Gebinde); </v>
      </c>
      <c r="BK204" s="48"/>
      <c r="BL204" s="48"/>
      <c r="BM204" s="55"/>
      <c r="BN204" s="50" t="n">
        <v>25</v>
      </c>
      <c r="BO204" s="50" t="n">
        <v>0</v>
      </c>
      <c r="BP204" s="49" t="n">
        <v>794.25</v>
      </c>
      <c r="BQ204" s="50" t="n">
        <v>0</v>
      </c>
      <c r="BR204" s="48"/>
      <c r="BS204" s="53" t="n">
        <v>0</v>
      </c>
      <c r="BT204" s="53" t="n">
        <v>204</v>
      </c>
      <c r="BU204" s="48" t="str">
        <f aca="false">IF(U204&lt;&gt;"",UPPER(TRIM(U204)),IF(BX204=1,UPPER(VLOOKUP(T204,Parameter!$I$27:$K$29,2,0)),IF(P204="","LOSE",P204)))</f>
        <v>S51</v>
      </c>
      <c r="BV204" s="50" t="n">
        <f aca="false">IF(BU204="LOSE",1,IF(N(V204)&gt;0,V204,IF(BX204=1,MAX(1,N(VLOOKUP(T204,Parameter!$I$27:$K$29,3,0)),H204,N(N204)),IF(N(Q204)&gt;0,Q204,MAX(1,H204)))))</f>
        <v>25</v>
      </c>
      <c r="BW204" s="53" t="n">
        <f aca="false">IF(BU204="LOSE",1,0)</f>
        <v>0</v>
      </c>
      <c r="BX204" s="53" t="n">
        <f aca="false">IF(AND(U204="",OR(P204="",P204="LOSE"),T204&lt;&gt;"",N(S204)&lt;=0,ISNUMBER(MATCH(T204,Parameter!$I$27:$I$29,0))),1,0)</f>
        <v>1</v>
      </c>
      <c r="BY204" s="53" t="n">
        <f aca="false">IF(CL204&gt;0,INDEX(Parameter!$H$5:$H$7,W204)/INDEX(Parameter!$E$5:$E$7,W204),IF(AND(BW204=0,N(IFERROR(VLOOKUP(BU204,'Gebinde-Kategorie'!$A$5:$N$45,14,0),0))&gt;0),VLOOKUP(BU204,'Gebinde-Kategorie'!$A$5:$N$45,14,0)*10+Parameter!$M$23,Parameter!$M$24))</f>
        <v>155</v>
      </c>
      <c r="BZ204" s="48" t="str">
        <f aca="false">IF(AND(Parameter!$B$19="Ja",E204&lt;&gt;"",ISNUMBER(MATCH(E204,Parameter!$I$35:$I$52,0))),VLOOKUP(E204,Parameter!$I$35:$J$52,2,0),IFERROR(VLOOKUP(D204,Parameter!$A$35:$C$64,2,0),"Nein"))</f>
        <v>2+3</v>
      </c>
      <c r="CA204" s="52" t="n">
        <f aca="false">IF(BW204=0,0,IF(N(S204)&gt;0,S204,IFERROR(VLOOKUP(D204,Parameter!$A$35:$C$64,3,0)+0,0)))</f>
        <v>0</v>
      </c>
      <c r="CB204" s="48" t="n">
        <f aca="false">IF(AA204&lt;&gt;"",AA204,Z204)</f>
        <v>3</v>
      </c>
      <c r="CC204" s="48" t="str">
        <f aca="false">IF(OR(CB204=1,CB204=2,CB204=3),IF(Parameter!$E$27="Ja","LIFT",IF(CB204=1,"L1","L23")),IF(CB204="Aussen","Aussen","-"))</f>
        <v>LIFT</v>
      </c>
      <c r="CD204" s="59" t="n">
        <f aca="false">IF(N(AB204)&gt;0,AB204,0)</f>
        <v>0</v>
      </c>
      <c r="CE204" s="53" t="n">
        <f aca="false">IF(ISNUMBER(AE204),1,0)</f>
        <v>0</v>
      </c>
      <c r="CF204" s="50" t="n">
        <f aca="false">N(AE204)</f>
        <v>0</v>
      </c>
      <c r="CG204" s="50" t="n">
        <f aca="false">N(M204)+N(N204)</f>
        <v>1</v>
      </c>
      <c r="CH204" s="50" t="n">
        <f aca="false">ROUNDUP(H204/BV204,0)</f>
        <v>1</v>
      </c>
      <c r="CI204" s="50" t="n">
        <f aca="false">ROUNDUP(CF204/BV204,0)</f>
        <v>0</v>
      </c>
      <c r="CJ204" s="53" t="n">
        <f aca="false">IF(BW204=1,0,IFERROR(VLOOKUP(BU204,'Gebinde-Kategorie'!$A$5:$N$45,5,0)+0,0))</f>
        <v>11</v>
      </c>
      <c r="CK204" s="53" t="n">
        <f aca="false">IFERROR(IF(OR(CB204=1,CB204=2,CB204=3),N(INDEX(Parameter!$I$5:$I$7,CB204)),0),0)</f>
        <v>0</v>
      </c>
      <c r="CL204" s="52" t="n">
        <f aca="false">IF(AND(Parameter!$B$21="Ja",ISNUMBER(W204),N(X204)&gt;0),IFERROR(N(INDEX(Parameter!$L$5:$L$7,W204))*INDEX(Parameter!$E$5:$E$7,W204)*X204/SUMIFS($X$7:$X$1843,$W$7:$W$1843,W204),0),0)</f>
        <v>0</v>
      </c>
    </row>
    <row r="205" customFormat="false" ht="15" hidden="false" customHeight="false" outlineLevel="0" collapsed="false">
      <c r="A205" s="48" t="s">
        <v>614</v>
      </c>
      <c r="B205" s="48" t="s">
        <v>305</v>
      </c>
      <c r="C205" s="48" t="s">
        <v>168</v>
      </c>
      <c r="D205" s="48" t="s">
        <v>188</v>
      </c>
      <c r="E205" s="48"/>
      <c r="F205" s="48" t="s">
        <v>222</v>
      </c>
      <c r="G205" s="49" t="n">
        <v>539</v>
      </c>
      <c r="H205" s="50" t="n">
        <f aca="false">MAX(0,IF(AND(Parameter!$B$21="Ja",ISNUMBER(Y205)),Y205,IF(Parameter!$B$20="Jahresanfang 2025 + Export",BO205+BN205,BN205)))</f>
        <v>5</v>
      </c>
      <c r="I205" s="50" t="n">
        <f aca="false">H205*G205</f>
        <v>2695</v>
      </c>
      <c r="J205" s="50" t="n">
        <f aca="false">BQ205*Parameter!$B$18</f>
        <v>4</v>
      </c>
      <c r="K205" s="51" t="n">
        <v>4.5</v>
      </c>
      <c r="L205" s="52" t="n">
        <v>0.888888888888889</v>
      </c>
      <c r="M205" s="50" t="n">
        <v>0</v>
      </c>
      <c r="N205" s="50" t="n">
        <v>5</v>
      </c>
      <c r="O205" s="53" t="n">
        <v>35</v>
      </c>
      <c r="P205" s="48" t="s">
        <v>332</v>
      </c>
      <c r="Q205" s="50" t="n">
        <v>4</v>
      </c>
      <c r="R205" s="53" t="n">
        <f aca="false">IF(BW205=1,0,IFERROR(VLOOKUP(BU205,'Gebinde-Kategorie'!$A$5:$N$45,13,0)+0,0))</f>
        <v>52</v>
      </c>
      <c r="S205" s="54"/>
      <c r="T205" s="55"/>
      <c r="U205" s="55"/>
      <c r="V205" s="55"/>
      <c r="W205" s="48"/>
      <c r="X205" s="50"/>
      <c r="Y205" s="50"/>
      <c r="Z205" s="48" t="n">
        <f aca="false">IF(A205="","",IF(AND(Parameter!$B$21="Ja",ISNUMBER(W205)),W205,IF(BZ205="2+3",IF(ISNUMBER(SEARCH("grosser Artikel",BR205)),2,IFERROR(VLOOKUP(BU205,Parameter!$F$35:$G$64,2,0),2)),IF(OR(BZ205="Nein",BZ205=""),"-",BZ205))))</f>
        <v>3</v>
      </c>
      <c r="AA205" s="55"/>
      <c r="AB205" s="56"/>
      <c r="AC205" s="50" t="n">
        <f aca="false">AT205</f>
        <v>8</v>
      </c>
      <c r="AD205" s="50" t="n">
        <f aca="false">MAX(AT205,H205)</f>
        <v>8</v>
      </c>
      <c r="AE205" s="57"/>
      <c r="AF205" s="50" t="n">
        <f aca="false">IF(LEFT(Cockpit!$C$5,1)="A",H205,IF(CE205=1,CF205,IF(LEFT(Cockpit!$C$5,1)="B",AK205,MAX(AK205,H205))))</f>
        <v>5</v>
      </c>
      <c r="AG205" s="50" t="n">
        <f aca="false">IF(BW205=1,0,ROUNDUP(AF205/BV205,0))</f>
        <v>2</v>
      </c>
      <c r="AH205" s="52" t="n">
        <f aca="false">IF(CL205&gt;0,CL205*MAX(1,AF205/X205),IF(BW205=1,IF(AF205&lt;=0,0,CA205*MAX(1,IF(H205&gt;0,AF205/H205,1))),IF(R205&gt;0,AG205/R205,0))/MAX(0.1,N(Parameter!$M$21)))</f>
        <v>0.0384615384615385</v>
      </c>
      <c r="AI205" s="50" t="n">
        <f aca="false">AH205*BY205</f>
        <v>5.96153846153846</v>
      </c>
      <c r="AJ205" s="50" t="n">
        <f aca="false">AF205*G205</f>
        <v>2695</v>
      </c>
      <c r="AK205" s="50" t="n">
        <f aca="false">ROUNDUP(MAX(J205/IF(CD205&gt;0,CD205,MAX(0.1,N(Cockpit!$C$6))),CG205)/BV205,0)*BV205</f>
        <v>8</v>
      </c>
      <c r="AL205" s="51" t="n">
        <f aca="false">IF(AI205&gt;0,J205/AI205,-1)</f>
        <v>0.670967741935484</v>
      </c>
      <c r="AM205" s="51" t="n">
        <f aca="false">IF(AND(OR(CC205="L1",CC205="L23",CC205="LIFT"),AI205&gt;0),SUMIFS($AI$7:$AI$1843,$CC$7:$CC$1843,CC205,$AL$7:$AL$1843,"&gt;"&amp;AL205)+SUMIFS($AI$7:$AI$1843,$CC$7:$CC$1843,CC205,$AL$7:$AL$1843,AL205,$BT$7:$BT$1843,"&lt;="&amp;BT205),"")</f>
        <v>8601.20833333333</v>
      </c>
      <c r="AN205" s="58" t="n">
        <f aca="false">IF(AM205="",0,MAX(0,MIN(1,(IF(CC205="L1",Parameter!$H$5,IF(CC205="L23",Parameter!$H$6+Parameter!$H$7,Parameter!$H$5+Parameter!$H$6+Parameter!$H$7))-(AM205-AI205))/AI205)))</f>
        <v>1</v>
      </c>
      <c r="AO205" s="50" t="n">
        <f aca="false">IF(LEFT(Cockpit!$I$5,1)="A",H205,IF(CE205=1,CF205,IF(LEFT(Cockpit!$I$5,1)="B",AT205,MAX(AT205,H205))))</f>
        <v>8</v>
      </c>
      <c r="AP205" s="50" t="n">
        <f aca="false">IF(BW205=1,0,ROUNDUP(AO205/BV205,0))</f>
        <v>2</v>
      </c>
      <c r="AQ205" s="52" t="n">
        <f aca="false">IF(CL205&gt;0,CL205*MAX(1,AO205/X205),IF(BW205=1,IF(AO205&lt;=0,0,CA205*MAX(1,IF(H205&gt;0,AO205/H205,1))),IF(R205&gt;0,AP205/R205,0))/MAX(0.1,N(Parameter!$M$21)))</f>
        <v>0.0384615384615385</v>
      </c>
      <c r="AR205" s="50" t="n">
        <f aca="false">AQ205*BY205</f>
        <v>5.96153846153846</v>
      </c>
      <c r="AS205" s="50" t="n">
        <f aca="false">AO205*G205</f>
        <v>4312</v>
      </c>
      <c r="AT205" s="50" t="n">
        <f aca="false">ROUNDUP(MAX(J205/IF(CD205&gt;0,CD205,MAX(0.1,N(Cockpit!$I$6))),CG205)/BV205,0)*BV205</f>
        <v>8</v>
      </c>
      <c r="AU205" s="51" t="n">
        <f aca="false">IF(AR205&gt;0,J205/AR205,-1)</f>
        <v>0.670967741935484</v>
      </c>
      <c r="AV205" s="51" t="n">
        <f aca="false">IF(AND(OR(CC205="L1",CC205="L23",CC205="LIFT"),AR205&gt;0),SUMIFS($AR$7:$AR$1843,$CC$7:$CC$1843,CC205,$AU$7:$AU$1843,"&gt;"&amp;AU205)+SUMIFS($AR$7:$AR$1843,$CC$7:$CC$1843,CC205,$AU$7:$AU$1843,AU205,$BT$7:$BT$1843,"&lt;="&amp;BT205),"")</f>
        <v>11743.3305860806</v>
      </c>
      <c r="AW205" s="58" t="n">
        <f aca="false">IF(AV205="",0,MAX(0,MIN(1,(IF(CC205="L1",Parameter!$H$5,IF(CC205="L23",Parameter!$H$6+Parameter!$H$7,Parameter!$H$5+Parameter!$H$6+Parameter!$H$7))-(AV205-AR205))/AR205)))</f>
        <v>1</v>
      </c>
      <c r="AX205" s="50" t="n">
        <f aca="false">IF(LEFT(Cockpit!$O$5,1)="A",H205,IF(CE205=1,CF205,IF(LEFT(Cockpit!$O$5,1)="B",BC205,MAX(BC205,H205))))</f>
        <v>8</v>
      </c>
      <c r="AY205" s="50" t="n">
        <f aca="false">IF(BW205=1,0,ROUNDUP(AX205/BV205,0))</f>
        <v>2</v>
      </c>
      <c r="AZ205" s="52" t="n">
        <f aca="false">IF(CL205&gt;0,CL205*MAX(1,AX205/X205),IF(BW205=1,IF(AX205&lt;=0,0,CA205*MAX(1,IF(H205&gt;0,AX205/H205,1))),IF(R205&gt;0,AY205/R205,0))/MAX(0.1,N(Parameter!$M$21)))</f>
        <v>0.0384615384615385</v>
      </c>
      <c r="BA205" s="50" t="n">
        <f aca="false">AZ205*BY205</f>
        <v>5.96153846153846</v>
      </c>
      <c r="BB205" s="50" t="n">
        <f aca="false">AX205*G205</f>
        <v>4312</v>
      </c>
      <c r="BC205" s="50" t="n">
        <f aca="false">ROUNDUP(MAX(J205/IF(CD205&gt;0,CD205,MAX(0.1,N(Cockpit!$O$6))),CG205)/BV205,0)*BV205</f>
        <v>8</v>
      </c>
      <c r="BD205" s="51" t="n">
        <f aca="false">IF(BA205&gt;0,J205/BA205,-1)</f>
        <v>0.670967741935484</v>
      </c>
      <c r="BE205" s="51" t="n">
        <f aca="false">IF(AND(OR(CC205="L1",CC205="L23",CC205="LIFT"),BA205&gt;0),SUMIFS($BA$7:$BA$1843,$CC$7:$CC$1843,CC205,$BD$7:$BD$1843,"&gt;"&amp;BD205)+SUMIFS($BA$7:$BA$1843,$CC$7:$CC$1843,CC205,$BD$7:$BD$1843,BD205,$BT$7:$BT$1843,"&lt;="&amp;BT205),"")</f>
        <v>11343.1543040293</v>
      </c>
      <c r="BF205" s="58" t="n">
        <f aca="false">IF(BE205="",0,MAX(0,MIN(1,(IF(CC205="L1",Parameter!$H$5,IF(CC205="L23",Parameter!$H$6+Parameter!$H$7,Parameter!$H$5+Parameter!$H$6+Parameter!$H$7))-(BE205-BA205))/BA205)))</f>
        <v>1</v>
      </c>
      <c r="BG205" s="48" t="str">
        <f aca="false">IF(AI205&lt;=0,"",IF(CC205="Aussen","Aussenlager",IF(CC205="-","Nicht im Lift",IF(AN205&gt;=1,"Lift",IF(AN205&lt;=0,"Aussenlager","teilweise")))))</f>
        <v>Lift</v>
      </c>
      <c r="BH205" s="48" t="str">
        <f aca="false">IF(AR205&lt;=0,"",IF(CC205="Aussen","Aussenlager",IF(CC205="-","Nicht im Lift",IF(AW205&gt;=1,"Lift",IF(AW205&lt;=0,"Aussenlager","teilweise")))))</f>
        <v>Lift</v>
      </c>
      <c r="BI205" s="48" t="str">
        <f aca="false">IF(BA205&lt;=0,"",IF(CC205="Aussen","Aussenlager",IF(CC205="-","Nicht im Lift",IF(BF205&gt;=1,"Lift",IF(BF205&lt;=0,"Aussenlager","teilweise")))))</f>
        <v>Lift</v>
      </c>
      <c r="BJ205" s="48" t="str">
        <f aca="false">IF(A205="","",IF(BS205=1,"Neu; ","")&amp;IF(AND(BS205=0,BN205&lt;0),"negativer Bestand (Export "&amp;BN205&amp;"); ","")&amp;IF(J205&lt;=0,"Kein Verbrauch; ","")&amp;IF(CL205&gt;0,"Lift "&amp;W205&amp;" lt. Liftbericht (Fach "&amp;X205&amp;" Stk); ",IF(BX205=1,"Gebinde geschätzt ("&amp;T205&amp;"); ",IF(BW205=1,"Lose – Tablare geschätzt; ","")))&amp;IF(H205&gt;AT205,"Überbestand "&amp;ROUND(H205-AT205,0)&amp;" Stk / CHF "&amp;ROUND((H205-AT205)*G205,0)&amp;"; ","")&amp;IF(AND(CE205=1,CF205&lt;CG205),"MAX &lt; MB+LG; ","")&amp;IF(AND(CK205&gt;0,CJ205*10&gt;CK205),"zu hoch für Tablar; ","")&amp;IF(AND(BS205=0,OR(CE205=1,AA205&lt;&gt;"",U205&lt;&gt;"",V205&lt;&gt;"",AB205&lt;&gt;"")),"manuell übersteuert; ","")&amp;IF(AND(BW205=0,R205=0),"Gebinde unbekannt / Stellmass fehlt; ","")&amp;IF(AND(BW205=0,N(V205)&lt;=0,N(Q205)&lt;=0),"Menge pro Gebinde fehlt (Ist = 1 Gebinde); ","")&amp;BR205)</f>
        <v/>
      </c>
      <c r="BK205" s="48"/>
      <c r="BL205" s="48"/>
      <c r="BM205" s="55"/>
      <c r="BN205" s="50" t="n">
        <v>1</v>
      </c>
      <c r="BO205" s="50" t="n">
        <v>4</v>
      </c>
      <c r="BP205" s="49" t="n">
        <v>780.479999999999</v>
      </c>
      <c r="BQ205" s="50" t="n">
        <v>4</v>
      </c>
      <c r="BR205" s="48"/>
      <c r="BS205" s="53" t="n">
        <v>0</v>
      </c>
      <c r="BT205" s="53" t="n">
        <v>205</v>
      </c>
      <c r="BU205" s="48" t="str">
        <f aca="false">IF(U205&lt;&gt;"",UPPER(TRIM(U205)),IF(BX205=1,UPPER(VLOOKUP(T205,Parameter!$I$27:$K$29,2,0)),IF(P205="","LOSE",P205)))</f>
        <v>S41</v>
      </c>
      <c r="BV205" s="50" t="n">
        <f aca="false">IF(BU205="LOSE",1,IF(N(V205)&gt;0,V205,IF(BX205=1,MAX(1,N(VLOOKUP(T205,Parameter!$I$27:$K$29,3,0)),H205,N(N205)),IF(N(Q205)&gt;0,Q205,MAX(1,H205)))))</f>
        <v>4</v>
      </c>
      <c r="BW205" s="53" t="n">
        <f aca="false">IF(BU205="LOSE",1,0)</f>
        <v>0</v>
      </c>
      <c r="BX205" s="53" t="n">
        <f aca="false">IF(AND(U205="",OR(P205="",P205="LOSE"),T205&lt;&gt;"",N(S205)&lt;=0,ISNUMBER(MATCH(T205,Parameter!$I$27:$I$29,0))),1,0)</f>
        <v>0</v>
      </c>
      <c r="BY205" s="53" t="n">
        <f aca="false">IF(CL205&gt;0,INDEX(Parameter!$H$5:$H$7,W205)/INDEX(Parameter!$E$5:$E$7,W205),IF(AND(BW205=0,N(IFERROR(VLOOKUP(BU205,'Gebinde-Kategorie'!$A$5:$N$45,14,0),0))&gt;0),VLOOKUP(BU205,'Gebinde-Kategorie'!$A$5:$N$45,14,0)*10+Parameter!$M$23,Parameter!$M$24))</f>
        <v>155</v>
      </c>
      <c r="BZ205" s="48" t="str">
        <f aca="false">IF(AND(Parameter!$B$19="Ja",E205&lt;&gt;"",ISNUMBER(MATCH(E205,Parameter!$I$35:$I$52,0))),VLOOKUP(E205,Parameter!$I$35:$J$52,2,0),IFERROR(VLOOKUP(D205,Parameter!$A$35:$C$64,2,0),"Nein"))</f>
        <v>2+3</v>
      </c>
      <c r="CA205" s="52" t="n">
        <f aca="false">IF(BW205=0,0,IF(N(S205)&gt;0,S205,IFERROR(VLOOKUP(D205,Parameter!$A$35:$C$64,3,0)+0,0)))</f>
        <v>0</v>
      </c>
      <c r="CB205" s="48" t="n">
        <f aca="false">IF(AA205&lt;&gt;"",AA205,Z205)</f>
        <v>3</v>
      </c>
      <c r="CC205" s="48" t="str">
        <f aca="false">IF(OR(CB205=1,CB205=2,CB205=3),IF(Parameter!$E$27="Ja","LIFT",IF(CB205=1,"L1","L23")),IF(CB205="Aussen","Aussen","-"))</f>
        <v>LIFT</v>
      </c>
      <c r="CD205" s="59" t="n">
        <f aca="false">IF(N(AB205)&gt;0,AB205,0)</f>
        <v>0</v>
      </c>
      <c r="CE205" s="53" t="n">
        <f aca="false">IF(ISNUMBER(AE205),1,0)</f>
        <v>0</v>
      </c>
      <c r="CF205" s="50" t="n">
        <f aca="false">N(AE205)</f>
        <v>0</v>
      </c>
      <c r="CG205" s="50" t="n">
        <f aca="false">N(M205)+N(N205)</f>
        <v>5</v>
      </c>
      <c r="CH205" s="50" t="n">
        <f aca="false">ROUNDUP(H205/BV205,0)</f>
        <v>2</v>
      </c>
      <c r="CI205" s="50" t="n">
        <f aca="false">ROUNDUP(CF205/BV205,0)</f>
        <v>0</v>
      </c>
      <c r="CJ205" s="53" t="n">
        <f aca="false">IF(BW205=1,0,IFERROR(VLOOKUP(BU205,'Gebinde-Kategorie'!$A$5:$N$45,5,0)+0,0))</f>
        <v>11</v>
      </c>
      <c r="CK205" s="53" t="n">
        <f aca="false">IFERROR(IF(OR(CB205=1,CB205=2,CB205=3),N(INDEX(Parameter!$I$5:$I$7,CB205)),0),0)</f>
        <v>0</v>
      </c>
      <c r="CL205" s="52" t="n">
        <f aca="false">IF(AND(Parameter!$B$21="Ja",ISNUMBER(W205),N(X205)&gt;0),IFERROR(N(INDEX(Parameter!$L$5:$L$7,W205))*INDEX(Parameter!$E$5:$E$7,W205)*X205/SUMIFS($X$7:$X$1843,$W$7:$W$1843,W205),0),0)</f>
        <v>0</v>
      </c>
    </row>
    <row r="206" customFormat="false" ht="15" hidden="false" customHeight="false" outlineLevel="0" collapsed="false">
      <c r="A206" s="48" t="s">
        <v>615</v>
      </c>
      <c r="B206" s="48" t="s">
        <v>616</v>
      </c>
      <c r="C206" s="48" t="s">
        <v>168</v>
      </c>
      <c r="D206" s="48" t="s">
        <v>188</v>
      </c>
      <c r="E206" s="48" t="s">
        <v>189</v>
      </c>
      <c r="F206" s="48" t="s">
        <v>222</v>
      </c>
      <c r="G206" s="49" t="n">
        <v>8.16</v>
      </c>
      <c r="H206" s="50" t="n">
        <f aca="false">MAX(0,IF(AND(Parameter!$B$21="Ja",ISNUMBER(Y206)),Y206,IF(Parameter!$B$20="Jahresanfang 2025 + Export",BO206+BN206,BN206)))</f>
        <v>137</v>
      </c>
      <c r="I206" s="50" t="n">
        <f aca="false">H206*G206</f>
        <v>1117.92</v>
      </c>
      <c r="J206" s="50" t="n">
        <f aca="false">BQ206*Parameter!$B$18</f>
        <v>151</v>
      </c>
      <c r="K206" s="51" t="n">
        <v>72</v>
      </c>
      <c r="L206" s="52" t="n">
        <v>2.09722222222222</v>
      </c>
      <c r="M206" s="50" t="n">
        <v>5</v>
      </c>
      <c r="N206" s="50" t="n">
        <v>150</v>
      </c>
      <c r="O206" s="53" t="n">
        <v>14</v>
      </c>
      <c r="P206" s="48" t="s">
        <v>480</v>
      </c>
      <c r="Q206" s="50" t="n">
        <v>71</v>
      </c>
      <c r="R206" s="53" t="n">
        <f aca="false">IF(BW206=1,0,IFERROR(VLOOKUP(BU206,'Gebinde-Kategorie'!$A$5:$N$45,13,0)+0,0))</f>
        <v>52</v>
      </c>
      <c r="S206" s="54"/>
      <c r="T206" s="55"/>
      <c r="U206" s="55"/>
      <c r="V206" s="55"/>
      <c r="W206" s="48"/>
      <c r="X206" s="50"/>
      <c r="Y206" s="50"/>
      <c r="Z206" s="48" t="n">
        <f aca="false">IF(A206="","",IF(AND(Parameter!$B$21="Ja",ISNUMBER(W206)),W206,IF(BZ206="2+3",IF(ISNUMBER(SEARCH("grosser Artikel",BR206)),2,IFERROR(VLOOKUP(BU206,Parameter!$F$35:$G$64,2,0),2)),IF(OR(BZ206="Nein",BZ206=""),"-",BZ206))))</f>
        <v>3</v>
      </c>
      <c r="AA206" s="55"/>
      <c r="AB206" s="56"/>
      <c r="AC206" s="50" t="n">
        <f aca="false">AT206</f>
        <v>213</v>
      </c>
      <c r="AD206" s="50" t="n">
        <f aca="false">MAX(AT206,H206)</f>
        <v>213</v>
      </c>
      <c r="AE206" s="57"/>
      <c r="AF206" s="50" t="n">
        <f aca="false">IF(LEFT(Cockpit!$C$5,1)="A",H206,IF(CE206=1,CF206,IF(LEFT(Cockpit!$C$5,1)="B",AK206,MAX(AK206,H206))))</f>
        <v>137</v>
      </c>
      <c r="AG206" s="50" t="n">
        <f aca="false">IF(BW206=1,0,ROUNDUP(AF206/BV206,0))</f>
        <v>2</v>
      </c>
      <c r="AH206" s="52" t="n">
        <f aca="false">IF(CL206&gt;0,CL206*MAX(1,AF206/X206),IF(BW206=1,IF(AF206&lt;=0,0,CA206*MAX(1,IF(H206&gt;0,AF206/H206,1))),IF(R206&gt;0,AG206/R206,0))/MAX(0.1,N(Parameter!$M$21)))</f>
        <v>0.0384615384615385</v>
      </c>
      <c r="AI206" s="50" t="n">
        <f aca="false">AH206*BY206</f>
        <v>5.96153846153846</v>
      </c>
      <c r="AJ206" s="50" t="n">
        <f aca="false">AF206*G206</f>
        <v>1117.92</v>
      </c>
      <c r="AK206" s="50" t="n">
        <f aca="false">ROUNDUP(MAX(J206/IF(CD206&gt;0,CD206,MAX(0.1,N(Cockpit!$C$6))),CG206)/BV206,0)*BV206</f>
        <v>213</v>
      </c>
      <c r="AL206" s="51" t="n">
        <f aca="false">IF(AI206&gt;0,J206/AI206,-1)</f>
        <v>25.3290322580645</v>
      </c>
      <c r="AM206" s="51" t="n">
        <f aca="false">IF(AND(OR(CC206="L1",CC206="L23",CC206="LIFT"),AI206&gt;0),SUMIFS($AI$7:$AI$1843,$CC$7:$CC$1843,CC206,$AL$7:$AL$1843,"&gt;"&amp;AL206)+SUMIFS($AI$7:$AI$1843,$CC$7:$CC$1843,CC206,$AL$7:$AL$1843,AL206,$BT$7:$BT$1843,"&lt;="&amp;BT206),"")</f>
        <v>1510.48305860806</v>
      </c>
      <c r="AN206" s="58" t="n">
        <f aca="false">IF(AM206="",0,MAX(0,MIN(1,(IF(CC206="L1",Parameter!$H$5,IF(CC206="L23",Parameter!$H$6+Parameter!$H$7,Parameter!$H$5+Parameter!$H$6+Parameter!$H$7))-(AM206-AI206))/AI206)))</f>
        <v>1</v>
      </c>
      <c r="AO206" s="50" t="n">
        <f aca="false">IF(LEFT(Cockpit!$I$5,1)="A",H206,IF(CE206=1,CF206,IF(LEFT(Cockpit!$I$5,1)="B",AT206,MAX(AT206,H206))))</f>
        <v>213</v>
      </c>
      <c r="AP206" s="50" t="n">
        <f aca="false">IF(BW206=1,0,ROUNDUP(AO206/BV206,0))</f>
        <v>3</v>
      </c>
      <c r="AQ206" s="52" t="n">
        <f aca="false">IF(CL206&gt;0,CL206*MAX(1,AO206/X206),IF(BW206=1,IF(AO206&lt;=0,0,CA206*MAX(1,IF(H206&gt;0,AO206/H206,1))),IF(R206&gt;0,AP206/R206,0))/MAX(0.1,N(Parameter!$M$21)))</f>
        <v>0.0576923076923077</v>
      </c>
      <c r="AR206" s="50" t="n">
        <f aca="false">AQ206*BY206</f>
        <v>8.94230769230769</v>
      </c>
      <c r="AS206" s="50" t="n">
        <f aca="false">AO206*G206</f>
        <v>1738.08</v>
      </c>
      <c r="AT206" s="50" t="n">
        <f aca="false">ROUNDUP(MAX(J206/IF(CD206&gt;0,CD206,MAX(0.1,N(Cockpit!$I$6))),CG206)/BV206,0)*BV206</f>
        <v>213</v>
      </c>
      <c r="AU206" s="51" t="n">
        <f aca="false">IF(AR206&gt;0,J206/AR206,-1)</f>
        <v>16.8860215053763</v>
      </c>
      <c r="AV206" s="51" t="n">
        <f aca="false">IF(AND(OR(CC206="L1",CC206="L23",CC206="LIFT"),AR206&gt;0),SUMIFS($AR$7:$AR$1843,$CC$7:$CC$1843,CC206,$AU$7:$AU$1843,"&gt;"&amp;AU206)+SUMIFS($AR$7:$AR$1843,$CC$7:$CC$1843,CC206,$AU$7:$AU$1843,AU206,$BT$7:$BT$1843,"&lt;="&amp;BT206),"")</f>
        <v>2875.92124542125</v>
      </c>
      <c r="AW206" s="58" t="n">
        <f aca="false">IF(AV206="",0,MAX(0,MIN(1,(IF(CC206="L1",Parameter!$H$5,IF(CC206="L23",Parameter!$H$6+Parameter!$H$7,Parameter!$H$5+Parameter!$H$6+Parameter!$H$7))-(AV206-AR206))/AR206)))</f>
        <v>1</v>
      </c>
      <c r="AX206" s="50" t="n">
        <f aca="false">IF(LEFT(Cockpit!$O$5,1)="A",H206,IF(CE206=1,CF206,IF(LEFT(Cockpit!$O$5,1)="B",BC206,MAX(BC206,H206))))</f>
        <v>213</v>
      </c>
      <c r="AY206" s="50" t="n">
        <f aca="false">IF(BW206=1,0,ROUNDUP(AX206/BV206,0))</f>
        <v>3</v>
      </c>
      <c r="AZ206" s="52" t="n">
        <f aca="false">IF(CL206&gt;0,CL206*MAX(1,AX206/X206),IF(BW206=1,IF(AX206&lt;=0,0,CA206*MAX(1,IF(H206&gt;0,AX206/H206,1))),IF(R206&gt;0,AY206/R206,0))/MAX(0.1,N(Parameter!$M$21)))</f>
        <v>0.0576923076923077</v>
      </c>
      <c r="BA206" s="50" t="n">
        <f aca="false">AZ206*BY206</f>
        <v>8.94230769230769</v>
      </c>
      <c r="BB206" s="50" t="n">
        <f aca="false">AX206*G206</f>
        <v>1738.08</v>
      </c>
      <c r="BC206" s="50" t="n">
        <f aca="false">ROUNDUP(MAX(J206/IF(CD206&gt;0,CD206,MAX(0.1,N(Cockpit!$O$6))),CG206)/BV206,0)*BV206</f>
        <v>213</v>
      </c>
      <c r="BD206" s="51" t="n">
        <f aca="false">IF(BA206&gt;0,J206/BA206,-1)</f>
        <v>16.8860215053763</v>
      </c>
      <c r="BE206" s="51" t="n">
        <f aca="false">IF(AND(OR(CC206="L1",CC206="L23",CC206="LIFT"),BA206&gt;0),SUMIFS($BA$7:$BA$1843,$CC$7:$CC$1843,CC206,$BD$7:$BD$1843,"&gt;"&amp;BD206)+SUMIFS($BA$7:$BA$1843,$CC$7:$CC$1843,CC206,$BD$7:$BD$1843,BD206,$BT$7:$BT$1843,"&lt;="&amp;BT206),"")</f>
        <v>2695.36034798535</v>
      </c>
      <c r="BF206" s="58" t="n">
        <f aca="false">IF(BE206="",0,MAX(0,MIN(1,(IF(CC206="L1",Parameter!$H$5,IF(CC206="L23",Parameter!$H$6+Parameter!$H$7,Parameter!$H$5+Parameter!$H$6+Parameter!$H$7))-(BE206-BA206))/BA206)))</f>
        <v>1</v>
      </c>
      <c r="BG206" s="48" t="str">
        <f aca="false">IF(AI206&lt;=0,"",IF(CC206="Aussen","Aussenlager",IF(CC206="-","Nicht im Lift",IF(AN206&gt;=1,"Lift",IF(AN206&lt;=0,"Aussenlager","teilweise")))))</f>
        <v>Lift</v>
      </c>
      <c r="BH206" s="48" t="str">
        <f aca="false">IF(AR206&lt;=0,"",IF(CC206="Aussen","Aussenlager",IF(CC206="-","Nicht im Lift",IF(AW206&gt;=1,"Lift",IF(AW206&lt;=0,"Aussenlager","teilweise")))))</f>
        <v>Lift</v>
      </c>
      <c r="BI206" s="48" t="str">
        <f aca="false">IF(BA206&lt;=0,"",IF(CC206="Aussen","Aussenlager",IF(CC206="-","Nicht im Lift",IF(BF206&gt;=1,"Lift",IF(BF206&lt;=0,"Aussenlager","teilweise")))))</f>
        <v>Lift</v>
      </c>
      <c r="BJ206" s="48" t="str">
        <f aca="false">IF(A206="","",IF(BS206=1,"Neu; ","")&amp;IF(AND(BS206=0,BN206&lt;0),"negativer Bestand (Export "&amp;BN206&amp;"); ","")&amp;IF(J206&lt;=0,"Kein Verbrauch; ","")&amp;IF(CL206&gt;0,"Lift "&amp;W206&amp;" lt. Liftbericht (Fach "&amp;X206&amp;" Stk); ",IF(BX206=1,"Gebinde geschätzt ("&amp;T206&amp;"); ",IF(BW206=1,"Lose – Tablare geschätzt; ","")))&amp;IF(H206&gt;AT206,"Überbestand "&amp;ROUND(H206-AT206,0)&amp;" Stk / CHF "&amp;ROUND((H206-AT206)*G206,0)&amp;"; ","")&amp;IF(AND(CE206=1,CF206&lt;CG206),"MAX &lt; MB+LG; ","")&amp;IF(AND(CK206&gt;0,CJ206*10&gt;CK206),"zu hoch für Tablar; ","")&amp;IF(AND(BS206=0,OR(CE206=1,AA206&lt;&gt;"",U206&lt;&gt;"",V206&lt;&gt;"",AB206&lt;&gt;"")),"manuell übersteuert; ","")&amp;IF(AND(BW206=0,R206=0),"Gebinde unbekannt / Stellmass fehlt; ","")&amp;IF(AND(BW206=0,N(V206)&lt;=0,N(Q206)&lt;=0),"Menge pro Gebinde fehlt (Ist = 1 Gebinde); ","")&amp;BR206)</f>
        <v/>
      </c>
      <c r="BK206" s="48"/>
      <c r="BL206" s="48"/>
      <c r="BM206" s="55"/>
      <c r="BN206" s="50" t="n">
        <v>90</v>
      </c>
      <c r="BO206" s="50" t="n">
        <v>47</v>
      </c>
      <c r="BP206" s="49" t="n">
        <v>744.27</v>
      </c>
      <c r="BQ206" s="50" t="n">
        <v>151</v>
      </c>
      <c r="BR206" s="48"/>
      <c r="BS206" s="53" t="n">
        <v>0</v>
      </c>
      <c r="BT206" s="53" t="n">
        <v>206</v>
      </c>
      <c r="BU206" s="48" t="str">
        <f aca="false">IF(U206&lt;&gt;"",UPPER(TRIM(U206)),IF(BX206=1,UPPER(VLOOKUP(T206,Parameter!$I$27:$K$29,2,0)),IF(P206="","LOSE",P206)))</f>
        <v>S33</v>
      </c>
      <c r="BV206" s="50" t="n">
        <f aca="false">IF(BU206="LOSE",1,IF(N(V206)&gt;0,V206,IF(BX206=1,MAX(1,N(VLOOKUP(T206,Parameter!$I$27:$K$29,3,0)),H206,N(N206)),IF(N(Q206)&gt;0,Q206,MAX(1,H206)))))</f>
        <v>71</v>
      </c>
      <c r="BW206" s="53" t="n">
        <f aca="false">IF(BU206="LOSE",1,0)</f>
        <v>0</v>
      </c>
      <c r="BX206" s="53" t="n">
        <f aca="false">IF(AND(U206="",OR(P206="",P206="LOSE"),T206&lt;&gt;"",N(S206)&lt;=0,ISNUMBER(MATCH(T206,Parameter!$I$27:$I$29,0))),1,0)</f>
        <v>0</v>
      </c>
      <c r="BY206" s="53" t="n">
        <f aca="false">IF(CL206&gt;0,INDEX(Parameter!$H$5:$H$7,W206)/INDEX(Parameter!$E$5:$E$7,W206),IF(AND(BW206=0,N(IFERROR(VLOOKUP(BU206,'Gebinde-Kategorie'!$A$5:$N$45,14,0),0))&gt;0),VLOOKUP(BU206,'Gebinde-Kategorie'!$A$5:$N$45,14,0)*10+Parameter!$M$23,Parameter!$M$24))</f>
        <v>155</v>
      </c>
      <c r="BZ206" s="48" t="str">
        <f aca="false">IF(AND(Parameter!$B$19="Ja",E206&lt;&gt;"",ISNUMBER(MATCH(E206,Parameter!$I$35:$I$52,0))),VLOOKUP(E206,Parameter!$I$35:$J$52,2,0),IFERROR(VLOOKUP(D206,Parameter!$A$35:$C$64,2,0),"Nein"))</f>
        <v>2+3</v>
      </c>
      <c r="CA206" s="52" t="n">
        <f aca="false">IF(BW206=0,0,IF(N(S206)&gt;0,S206,IFERROR(VLOOKUP(D206,Parameter!$A$35:$C$64,3,0)+0,0)))</f>
        <v>0</v>
      </c>
      <c r="CB206" s="48" t="n">
        <f aca="false">IF(AA206&lt;&gt;"",AA206,Z206)</f>
        <v>3</v>
      </c>
      <c r="CC206" s="48" t="str">
        <f aca="false">IF(OR(CB206=1,CB206=2,CB206=3),IF(Parameter!$E$27="Ja","LIFT",IF(CB206=1,"L1","L23")),IF(CB206="Aussen","Aussen","-"))</f>
        <v>LIFT</v>
      </c>
      <c r="CD206" s="59" t="n">
        <f aca="false">IF(N(AB206)&gt;0,AB206,0)</f>
        <v>0</v>
      </c>
      <c r="CE206" s="53" t="n">
        <f aca="false">IF(ISNUMBER(AE206),1,0)</f>
        <v>0</v>
      </c>
      <c r="CF206" s="50" t="n">
        <f aca="false">N(AE206)</f>
        <v>0</v>
      </c>
      <c r="CG206" s="50" t="n">
        <f aca="false">N(M206)+N(N206)</f>
        <v>155</v>
      </c>
      <c r="CH206" s="50" t="n">
        <f aca="false">ROUNDUP(H206/BV206,0)</f>
        <v>2</v>
      </c>
      <c r="CI206" s="50" t="n">
        <f aca="false">ROUNDUP(CF206/BV206,0)</f>
        <v>0</v>
      </c>
      <c r="CJ206" s="53" t="n">
        <f aca="false">IF(BW206=1,0,IFERROR(VLOOKUP(BU206,'Gebinde-Kategorie'!$A$5:$N$45,5,0)+0,0))</f>
        <v>8</v>
      </c>
      <c r="CK206" s="53" t="n">
        <f aca="false">IFERROR(IF(OR(CB206=1,CB206=2,CB206=3),N(INDEX(Parameter!$I$5:$I$7,CB206)),0),0)</f>
        <v>0</v>
      </c>
      <c r="CL206" s="52" t="n">
        <f aca="false">IF(AND(Parameter!$B$21="Ja",ISNUMBER(W206),N(X206)&gt;0),IFERROR(N(INDEX(Parameter!$L$5:$L$7,W206))*INDEX(Parameter!$E$5:$E$7,W206)*X206/SUMIFS($X$7:$X$1843,$W$7:$W$1843,W206),0),0)</f>
        <v>0</v>
      </c>
    </row>
    <row r="207" customFormat="false" ht="15" hidden="false" customHeight="false" outlineLevel="0" collapsed="false">
      <c r="A207" s="48" t="s">
        <v>617</v>
      </c>
      <c r="B207" s="48" t="s">
        <v>618</v>
      </c>
      <c r="C207" s="48" t="s">
        <v>168</v>
      </c>
      <c r="D207" s="48" t="s">
        <v>188</v>
      </c>
      <c r="E207" s="48" t="s">
        <v>189</v>
      </c>
      <c r="F207" s="48" t="s">
        <v>222</v>
      </c>
      <c r="G207" s="49" t="n">
        <v>11.13</v>
      </c>
      <c r="H207" s="50" t="n">
        <f aca="false">MAX(0,IF(AND(Parameter!$B$21="Ja",ISNUMBER(Y207)),Y207,IF(Parameter!$B$20="Jahresanfang 2025 + Export",BO207+BN207,BN207)))</f>
        <v>395</v>
      </c>
      <c r="I207" s="50" t="n">
        <f aca="false">H207*G207</f>
        <v>4396.35</v>
      </c>
      <c r="J207" s="50" t="n">
        <f aca="false">BQ207*Parameter!$B$18</f>
        <v>1125</v>
      </c>
      <c r="K207" s="51" t="n">
        <v>471.5</v>
      </c>
      <c r="L207" s="52" t="n">
        <v>2.38600212089077</v>
      </c>
      <c r="M207" s="50" t="n">
        <v>65</v>
      </c>
      <c r="N207" s="50" t="n">
        <v>500</v>
      </c>
      <c r="O207" s="53" t="n">
        <v>21</v>
      </c>
      <c r="P207" s="48" t="s">
        <v>237</v>
      </c>
      <c r="Q207" s="50" t="n">
        <v>951</v>
      </c>
      <c r="R207" s="53" t="n">
        <f aca="false">IF(BW207=1,0,IFERROR(VLOOKUP(BU207,'Gebinde-Kategorie'!$A$5:$N$45,13,0)+0,0))</f>
        <v>26</v>
      </c>
      <c r="S207" s="54"/>
      <c r="T207" s="55"/>
      <c r="U207" s="55"/>
      <c r="V207" s="55"/>
      <c r="W207" s="48"/>
      <c r="X207" s="50"/>
      <c r="Y207" s="50"/>
      <c r="Z207" s="48" t="n">
        <f aca="false">IF(A207="","",IF(AND(Parameter!$B$21="Ja",ISNUMBER(W207)),W207,IF(BZ207="2+3",IF(ISNUMBER(SEARCH("grosser Artikel",BR207)),2,IFERROR(VLOOKUP(BU207,Parameter!$F$35:$G$64,2,0),2)),IF(OR(BZ207="Nein",BZ207=""),"-",BZ207))))</f>
        <v>3</v>
      </c>
      <c r="AA207" s="55"/>
      <c r="AB207" s="56"/>
      <c r="AC207" s="50" t="n">
        <f aca="false">AT207</f>
        <v>951</v>
      </c>
      <c r="AD207" s="50" t="n">
        <f aca="false">MAX(AT207,H207)</f>
        <v>951</v>
      </c>
      <c r="AE207" s="57"/>
      <c r="AF207" s="50" t="n">
        <f aca="false">IF(LEFT(Cockpit!$C$5,1)="A",H207,IF(CE207=1,CF207,IF(LEFT(Cockpit!$C$5,1)="B",AK207,MAX(AK207,H207))))</f>
        <v>395</v>
      </c>
      <c r="AG207" s="50" t="n">
        <f aca="false">IF(BW207=1,0,ROUNDUP(AF207/BV207,0))</f>
        <v>1</v>
      </c>
      <c r="AH207" s="52" t="n">
        <f aca="false">IF(CL207&gt;0,CL207*MAX(1,AF207/X207),IF(BW207=1,IF(AF207&lt;=0,0,CA207*MAX(1,IF(H207&gt;0,AF207/H207,1))),IF(R207&gt;0,AG207/R207,0))/MAX(0.1,N(Parameter!$M$21)))</f>
        <v>0.0384615384615385</v>
      </c>
      <c r="AI207" s="50" t="n">
        <f aca="false">AH207*BY207</f>
        <v>9.42307692307692</v>
      </c>
      <c r="AJ207" s="50" t="n">
        <f aca="false">AF207*G207</f>
        <v>4396.35</v>
      </c>
      <c r="AK207" s="50" t="n">
        <f aca="false">ROUNDUP(MAX(J207/IF(CD207&gt;0,CD207,MAX(0.1,N(Cockpit!$C$6))),CG207)/BV207,0)*BV207</f>
        <v>951</v>
      </c>
      <c r="AL207" s="51" t="n">
        <f aca="false">IF(AI207&gt;0,J207/AI207,-1)</f>
        <v>119.387755102041</v>
      </c>
      <c r="AM207" s="51" t="n">
        <f aca="false">IF(AND(OR(CC207="L1",CC207="L23",CC207="LIFT"),AI207&gt;0),SUMIFS($AI$7:$AI$1843,$CC$7:$CC$1843,CC207,$AL$7:$AL$1843,"&gt;"&amp;AL207)+SUMIFS($AI$7:$AI$1843,$CC$7:$CC$1843,CC207,$AL$7:$AL$1843,AL207,$BT$7:$BT$1843,"&lt;="&amp;BT207),"")</f>
        <v>678.221611721612</v>
      </c>
      <c r="AN207" s="58" t="n">
        <f aca="false">IF(AM207="",0,MAX(0,MIN(1,(IF(CC207="L1",Parameter!$H$5,IF(CC207="L23",Parameter!$H$6+Parameter!$H$7,Parameter!$H$5+Parameter!$H$6+Parameter!$H$7))-(AM207-AI207))/AI207)))</f>
        <v>1</v>
      </c>
      <c r="AO207" s="50" t="n">
        <f aca="false">IF(LEFT(Cockpit!$I$5,1)="A",H207,IF(CE207=1,CF207,IF(LEFT(Cockpit!$I$5,1)="B",AT207,MAX(AT207,H207))))</f>
        <v>951</v>
      </c>
      <c r="AP207" s="50" t="n">
        <f aca="false">IF(BW207=1,0,ROUNDUP(AO207/BV207,0))</f>
        <v>1</v>
      </c>
      <c r="AQ207" s="52" t="n">
        <f aca="false">IF(CL207&gt;0,CL207*MAX(1,AO207/X207),IF(BW207=1,IF(AO207&lt;=0,0,CA207*MAX(1,IF(H207&gt;0,AO207/H207,1))),IF(R207&gt;0,AP207/R207,0))/MAX(0.1,N(Parameter!$M$21)))</f>
        <v>0.0384615384615385</v>
      </c>
      <c r="AR207" s="50" t="n">
        <f aca="false">AQ207*BY207</f>
        <v>9.42307692307692</v>
      </c>
      <c r="AS207" s="50" t="n">
        <f aca="false">AO207*G207</f>
        <v>10584.63</v>
      </c>
      <c r="AT207" s="50" t="n">
        <f aca="false">ROUNDUP(MAX(J207/IF(CD207&gt;0,CD207,MAX(0.1,N(Cockpit!$I$6))),CG207)/BV207,0)*BV207</f>
        <v>951</v>
      </c>
      <c r="AU207" s="51" t="n">
        <f aca="false">IF(AR207&gt;0,J207/AR207,-1)</f>
        <v>119.387755102041</v>
      </c>
      <c r="AV207" s="51" t="n">
        <f aca="false">IF(AND(OR(CC207="L1",CC207="L23",CC207="LIFT"),AR207&gt;0),SUMIFS($AR$7:$AR$1843,$CC$7:$CC$1843,CC207,$AU$7:$AU$1843,"&gt;"&amp;AU207)+SUMIFS($AR$7:$AR$1843,$CC$7:$CC$1843,CC207,$AU$7:$AU$1843,AU207,$BT$7:$BT$1843,"&lt;="&amp;BT207),"")</f>
        <v>834.549908424908</v>
      </c>
      <c r="AW207" s="58" t="n">
        <f aca="false">IF(AV207="",0,MAX(0,MIN(1,(IF(CC207="L1",Parameter!$H$5,IF(CC207="L23",Parameter!$H$6+Parameter!$H$7,Parameter!$H$5+Parameter!$H$6+Parameter!$H$7))-(AV207-AR207))/AR207)))</f>
        <v>1</v>
      </c>
      <c r="AX207" s="50" t="n">
        <f aca="false">IF(LEFT(Cockpit!$O$5,1)="A",H207,IF(CE207=1,CF207,IF(LEFT(Cockpit!$O$5,1)="B",BC207,MAX(BC207,H207))))</f>
        <v>951</v>
      </c>
      <c r="AY207" s="50" t="n">
        <f aca="false">IF(BW207=1,0,ROUNDUP(AX207/BV207,0))</f>
        <v>1</v>
      </c>
      <c r="AZ207" s="52" t="n">
        <f aca="false">IF(CL207&gt;0,CL207*MAX(1,AX207/X207),IF(BW207=1,IF(AX207&lt;=0,0,CA207*MAX(1,IF(H207&gt;0,AX207/H207,1))),IF(R207&gt;0,AY207/R207,0))/MAX(0.1,N(Parameter!$M$21)))</f>
        <v>0.0384615384615385</v>
      </c>
      <c r="BA207" s="50" t="n">
        <f aca="false">AZ207*BY207</f>
        <v>9.42307692307692</v>
      </c>
      <c r="BB207" s="50" t="n">
        <f aca="false">AX207*G207</f>
        <v>10584.63</v>
      </c>
      <c r="BC207" s="50" t="n">
        <f aca="false">ROUNDUP(MAX(J207/IF(CD207&gt;0,CD207,MAX(0.1,N(Cockpit!$O$6))),CG207)/BV207,0)*BV207</f>
        <v>951</v>
      </c>
      <c r="BD207" s="51" t="n">
        <f aca="false">IF(BA207&gt;0,J207/BA207,-1)</f>
        <v>119.387755102041</v>
      </c>
      <c r="BE207" s="51" t="n">
        <f aca="false">IF(AND(OR(CC207="L1",CC207="L23",CC207="LIFT"),BA207&gt;0),SUMIFS($BA$7:$BA$1843,$CC$7:$CC$1843,CC207,$BD$7:$BD$1843,"&gt;"&amp;BD207)+SUMIFS($BA$7:$BA$1843,$CC$7:$CC$1843,CC207,$BD$7:$BD$1843,BD207,$BT$7:$BT$1843,"&lt;="&amp;BT207),"")</f>
        <v>778.989010989011</v>
      </c>
      <c r="BF207" s="58" t="n">
        <f aca="false">IF(BE207="",0,MAX(0,MIN(1,(IF(CC207="L1",Parameter!$H$5,IF(CC207="L23",Parameter!$H$6+Parameter!$H$7,Parameter!$H$5+Parameter!$H$6+Parameter!$H$7))-(BE207-BA207))/BA207)))</f>
        <v>1</v>
      </c>
      <c r="BG207" s="48" t="str">
        <f aca="false">IF(AI207&lt;=0,"",IF(CC207="Aussen","Aussenlager",IF(CC207="-","Nicht im Lift",IF(AN207&gt;=1,"Lift",IF(AN207&lt;=0,"Aussenlager","teilweise")))))</f>
        <v>Lift</v>
      </c>
      <c r="BH207" s="48" t="str">
        <f aca="false">IF(AR207&lt;=0,"",IF(CC207="Aussen","Aussenlager",IF(CC207="-","Nicht im Lift",IF(AW207&gt;=1,"Lift",IF(AW207&lt;=0,"Aussenlager","teilweise")))))</f>
        <v>Lift</v>
      </c>
      <c r="BI207" s="48" t="str">
        <f aca="false">IF(BA207&lt;=0,"",IF(CC207="Aussen","Aussenlager",IF(CC207="-","Nicht im Lift",IF(BF207&gt;=1,"Lift",IF(BF207&lt;=0,"Aussenlager","teilweise")))))</f>
        <v>Lift</v>
      </c>
      <c r="BJ207" s="48" t="str">
        <f aca="false">IF(A207="","",IF(BS207=1,"Neu; ","")&amp;IF(AND(BS207=0,BN207&lt;0),"negativer Bestand (Export "&amp;BN207&amp;"); ","")&amp;IF(J207&lt;=0,"Kein Verbrauch; ","")&amp;IF(CL207&gt;0,"Lift "&amp;W207&amp;" lt. Liftbericht (Fach "&amp;X207&amp;" Stk); ",IF(BX207=1,"Gebinde geschätzt ("&amp;T207&amp;"); ",IF(BW207=1,"Lose – Tablare geschätzt; ","")))&amp;IF(H207&gt;AT207,"Überbestand "&amp;ROUND(H207-AT207,0)&amp;" Stk / CHF "&amp;ROUND((H207-AT207)*G207,0)&amp;"; ","")&amp;IF(AND(CE207=1,CF207&lt;CG207),"MAX &lt; MB+LG; ","")&amp;IF(AND(CK207&gt;0,CJ207*10&gt;CK207),"zu hoch für Tablar; ","")&amp;IF(AND(BS207=0,OR(CE207=1,AA207&lt;&gt;"",U207&lt;&gt;"",V207&lt;&gt;"",AB207&lt;&gt;"")),"manuell übersteuert; ","")&amp;IF(AND(BW207=0,R207=0),"Gebinde unbekannt / Stellmass fehlt; ","")&amp;IF(AND(BW207=0,N(V207)&lt;=0,N(Q207)&lt;=0),"Menge pro Gebinde fehlt (Ist = 1 Gebinde); ","")&amp;BR207)</f>
        <v/>
      </c>
      <c r="BK207" s="48"/>
      <c r="BL207" s="48"/>
      <c r="BM207" s="55"/>
      <c r="BN207" s="50" t="n">
        <v>106</v>
      </c>
      <c r="BO207" s="50" t="n">
        <v>289</v>
      </c>
      <c r="BP207" s="49" t="n">
        <v>741.420000000001</v>
      </c>
      <c r="BQ207" s="50" t="n">
        <v>1125</v>
      </c>
      <c r="BR207" s="48"/>
      <c r="BS207" s="53" t="n">
        <v>0</v>
      </c>
      <c r="BT207" s="53" t="n">
        <v>207</v>
      </c>
      <c r="BU207" s="48" t="str">
        <f aca="false">IF(U207&lt;&gt;"",UPPER(TRIM(U207)),IF(BX207=1,UPPER(VLOOKUP(T207,Parameter!$I$27:$K$29,2,0)),IF(P207="","LOSE",P207)))</f>
        <v>S52</v>
      </c>
      <c r="BV207" s="50" t="n">
        <f aca="false">IF(BU207="LOSE",1,IF(N(V207)&gt;0,V207,IF(BX207=1,MAX(1,N(VLOOKUP(T207,Parameter!$I$27:$K$29,3,0)),H207,N(N207)),IF(N(Q207)&gt;0,Q207,MAX(1,H207)))))</f>
        <v>951</v>
      </c>
      <c r="BW207" s="53" t="n">
        <f aca="false">IF(BU207="LOSE",1,0)</f>
        <v>0</v>
      </c>
      <c r="BX207" s="53" t="n">
        <f aca="false">IF(AND(U207="",OR(P207="",P207="LOSE"),T207&lt;&gt;"",N(S207)&lt;=0,ISNUMBER(MATCH(T207,Parameter!$I$27:$I$29,0))),1,0)</f>
        <v>0</v>
      </c>
      <c r="BY207" s="53" t="n">
        <f aca="false">IF(CL207&gt;0,INDEX(Parameter!$H$5:$H$7,W207)/INDEX(Parameter!$E$5:$E$7,W207),IF(AND(BW207=0,N(IFERROR(VLOOKUP(BU207,'Gebinde-Kategorie'!$A$5:$N$45,14,0),0))&gt;0),VLOOKUP(BU207,'Gebinde-Kategorie'!$A$5:$N$45,14,0)*10+Parameter!$M$23,Parameter!$M$24))</f>
        <v>245</v>
      </c>
      <c r="BZ207" s="48" t="str">
        <f aca="false">IF(AND(Parameter!$B$19="Ja",E207&lt;&gt;"",ISNUMBER(MATCH(E207,Parameter!$I$35:$I$52,0))),VLOOKUP(E207,Parameter!$I$35:$J$52,2,0),IFERROR(VLOOKUP(D207,Parameter!$A$35:$C$64,2,0),"Nein"))</f>
        <v>2+3</v>
      </c>
      <c r="CA207" s="52" t="n">
        <f aca="false">IF(BW207=0,0,IF(N(S207)&gt;0,S207,IFERROR(VLOOKUP(D207,Parameter!$A$35:$C$64,3,0)+0,0)))</f>
        <v>0</v>
      </c>
      <c r="CB207" s="48" t="n">
        <f aca="false">IF(AA207&lt;&gt;"",AA207,Z207)</f>
        <v>3</v>
      </c>
      <c r="CC207" s="48" t="str">
        <f aca="false">IF(OR(CB207=1,CB207=2,CB207=3),IF(Parameter!$E$27="Ja","LIFT",IF(CB207=1,"L1","L23")),IF(CB207="Aussen","Aussen","-"))</f>
        <v>LIFT</v>
      </c>
      <c r="CD207" s="59" t="n">
        <f aca="false">IF(N(AB207)&gt;0,AB207,0)</f>
        <v>0</v>
      </c>
      <c r="CE207" s="53" t="n">
        <f aca="false">IF(ISNUMBER(AE207),1,0)</f>
        <v>0</v>
      </c>
      <c r="CF207" s="50" t="n">
        <f aca="false">N(AE207)</f>
        <v>0</v>
      </c>
      <c r="CG207" s="50" t="n">
        <f aca="false">N(M207)+N(N207)</f>
        <v>565</v>
      </c>
      <c r="CH207" s="50" t="n">
        <f aca="false">ROUNDUP(H207/BV207,0)</f>
        <v>1</v>
      </c>
      <c r="CI207" s="50" t="n">
        <f aca="false">ROUNDUP(CF207/BV207,0)</f>
        <v>0</v>
      </c>
      <c r="CJ207" s="53" t="n">
        <f aca="false">IF(BW207=1,0,IFERROR(VLOOKUP(BU207,'Gebinde-Kategorie'!$A$5:$N$45,5,0)+0,0))</f>
        <v>21</v>
      </c>
      <c r="CK207" s="53" t="n">
        <f aca="false">IFERROR(IF(OR(CB207=1,CB207=2,CB207=3),N(INDEX(Parameter!$I$5:$I$7,CB207)),0),0)</f>
        <v>0</v>
      </c>
      <c r="CL207" s="52" t="n">
        <f aca="false">IF(AND(Parameter!$B$21="Ja",ISNUMBER(W207),N(X207)&gt;0),IFERROR(N(INDEX(Parameter!$L$5:$L$7,W207))*INDEX(Parameter!$E$5:$E$7,W207)*X207/SUMIFS($X$7:$X$1843,$W$7:$W$1843,W207),0),0)</f>
        <v>0</v>
      </c>
    </row>
    <row r="208" customFormat="false" ht="15" hidden="false" customHeight="false" outlineLevel="0" collapsed="false">
      <c r="A208" s="48" t="s">
        <v>619</v>
      </c>
      <c r="B208" s="48" t="s">
        <v>435</v>
      </c>
      <c r="C208" s="48" t="s">
        <v>168</v>
      </c>
      <c r="D208" s="48" t="s">
        <v>188</v>
      </c>
      <c r="E208" s="48" t="s">
        <v>189</v>
      </c>
      <c r="F208" s="48" t="s">
        <v>222</v>
      </c>
      <c r="G208" s="49" t="n">
        <v>67.09</v>
      </c>
      <c r="H208" s="50" t="n">
        <f aca="false">MAX(0,IF(AND(Parameter!$B$21="Ja",ISNUMBER(Y208)),Y208,IF(Parameter!$B$20="Jahresanfang 2025 + Export",BO208+BN208,BN208)))</f>
        <v>34</v>
      </c>
      <c r="I208" s="50" t="n">
        <f aca="false">H208*G208</f>
        <v>2281.06</v>
      </c>
      <c r="J208" s="50" t="n">
        <f aca="false">BQ208*Parameter!$B$18</f>
        <v>4</v>
      </c>
      <c r="K208" s="51" t="n">
        <v>21</v>
      </c>
      <c r="L208" s="52" t="n">
        <v>0.190476190476191</v>
      </c>
      <c r="M208" s="50" t="n">
        <v>0</v>
      </c>
      <c r="N208" s="50" t="n">
        <v>5</v>
      </c>
      <c r="O208" s="53" t="n">
        <v>70</v>
      </c>
      <c r="P208" s="48" t="s">
        <v>237</v>
      </c>
      <c r="Q208" s="50" t="n">
        <v>15</v>
      </c>
      <c r="R208" s="53" t="n">
        <f aca="false">IF(BW208=1,0,IFERROR(VLOOKUP(BU208,'Gebinde-Kategorie'!$A$5:$N$45,13,0)+0,0))</f>
        <v>26</v>
      </c>
      <c r="S208" s="54"/>
      <c r="T208" s="55"/>
      <c r="U208" s="55"/>
      <c r="V208" s="55"/>
      <c r="W208" s="48"/>
      <c r="X208" s="50"/>
      <c r="Y208" s="50"/>
      <c r="Z208" s="48" t="n">
        <f aca="false">IF(A208="","",IF(AND(Parameter!$B$21="Ja",ISNUMBER(W208)),W208,IF(BZ208="2+3",IF(ISNUMBER(SEARCH("grosser Artikel",BR208)),2,IFERROR(VLOOKUP(BU208,Parameter!$F$35:$G$64,2,0),2)),IF(OR(BZ208="Nein",BZ208=""),"-",BZ208))))</f>
        <v>3</v>
      </c>
      <c r="AA208" s="55"/>
      <c r="AB208" s="56"/>
      <c r="AC208" s="50" t="n">
        <f aca="false">AT208</f>
        <v>15</v>
      </c>
      <c r="AD208" s="50" t="n">
        <f aca="false">MAX(AT208,H208)</f>
        <v>34</v>
      </c>
      <c r="AE208" s="57"/>
      <c r="AF208" s="50" t="n">
        <f aca="false">IF(LEFT(Cockpit!$C$5,1)="A",H208,IF(CE208=1,CF208,IF(LEFT(Cockpit!$C$5,1)="B",AK208,MAX(AK208,H208))))</f>
        <v>34</v>
      </c>
      <c r="AG208" s="50" t="n">
        <f aca="false">IF(BW208=1,0,ROUNDUP(AF208/BV208,0))</f>
        <v>3</v>
      </c>
      <c r="AH208" s="52" t="n">
        <f aca="false">IF(CL208&gt;0,CL208*MAX(1,AF208/X208),IF(BW208=1,IF(AF208&lt;=0,0,CA208*MAX(1,IF(H208&gt;0,AF208/H208,1))),IF(R208&gt;0,AG208/R208,0))/MAX(0.1,N(Parameter!$M$21)))</f>
        <v>0.115384615384615</v>
      </c>
      <c r="AI208" s="50" t="n">
        <f aca="false">AH208*BY208</f>
        <v>28.2692307692308</v>
      </c>
      <c r="AJ208" s="50" t="n">
        <f aca="false">AF208*G208</f>
        <v>2281.06</v>
      </c>
      <c r="AK208" s="50" t="n">
        <f aca="false">ROUNDUP(MAX(J208/IF(CD208&gt;0,CD208,MAX(0.1,N(Cockpit!$C$6))),CG208)/BV208,0)*BV208</f>
        <v>15</v>
      </c>
      <c r="AL208" s="51" t="n">
        <f aca="false">IF(AI208&gt;0,J208/AI208,-1)</f>
        <v>0.141496598639456</v>
      </c>
      <c r="AM208" s="51" t="n">
        <f aca="false">IF(AND(OR(CC208="L1",CC208="L23",CC208="LIFT"),AI208&gt;0),SUMIFS($AI$7:$AI$1843,$CC$7:$CC$1843,CC208,$AL$7:$AL$1843,"&gt;"&amp;AL208)+SUMIFS($AI$7:$AI$1843,$CC$7:$CC$1843,CC208,$AL$7:$AL$1843,AL208,$BT$7:$BT$1843,"&lt;="&amp;BT208),"")</f>
        <v>13152.842695205</v>
      </c>
      <c r="AN208" s="58" t="n">
        <f aca="false">IF(AM208="",0,MAX(0,MIN(1,(IF(CC208="L1",Parameter!$H$5,IF(CC208="L23",Parameter!$H$6+Parameter!$H$7,Parameter!$H$5+Parameter!$H$6+Parameter!$H$7))-(AM208-AI208))/AI208)))</f>
        <v>1</v>
      </c>
      <c r="AO208" s="50" t="n">
        <f aca="false">IF(LEFT(Cockpit!$I$5,1)="A",H208,IF(CE208=1,CF208,IF(LEFT(Cockpit!$I$5,1)="B",AT208,MAX(AT208,H208))))</f>
        <v>34</v>
      </c>
      <c r="AP208" s="50" t="n">
        <f aca="false">IF(BW208=1,0,ROUNDUP(AO208/BV208,0))</f>
        <v>3</v>
      </c>
      <c r="AQ208" s="52" t="n">
        <f aca="false">IF(CL208&gt;0,CL208*MAX(1,AO208/X208),IF(BW208=1,IF(AO208&lt;=0,0,CA208*MAX(1,IF(H208&gt;0,AO208/H208,1))),IF(R208&gt;0,AP208/R208,0))/MAX(0.1,N(Parameter!$M$21)))</f>
        <v>0.115384615384615</v>
      </c>
      <c r="AR208" s="50" t="n">
        <f aca="false">AQ208*BY208</f>
        <v>28.2692307692308</v>
      </c>
      <c r="AS208" s="50" t="n">
        <f aca="false">AO208*G208</f>
        <v>2281.06</v>
      </c>
      <c r="AT208" s="50" t="n">
        <f aca="false">ROUNDUP(MAX(J208/IF(CD208&gt;0,CD208,MAX(0.1,N(Cockpit!$I$6))),CG208)/BV208,0)*BV208</f>
        <v>15</v>
      </c>
      <c r="AU208" s="51" t="n">
        <f aca="false">IF(AR208&gt;0,J208/AR208,-1)</f>
        <v>0.141496598639456</v>
      </c>
      <c r="AV208" s="51" t="n">
        <f aca="false">IF(AND(OR(CC208="L1",CC208="L23",CC208="LIFT"),AR208&gt;0),SUMIFS($AR$7:$AR$1843,$CC$7:$CC$1843,CC208,$AU$7:$AU$1843,"&gt;"&amp;AU208)+SUMIFS($AR$7:$AR$1843,$CC$7:$CC$1843,CC208,$AU$7:$AU$1843,AU208,$BT$7:$BT$1843,"&lt;="&amp;BT208),"")</f>
        <v>19972.7632783883</v>
      </c>
      <c r="AW208" s="58" t="n">
        <f aca="false">IF(AV208="",0,MAX(0,MIN(1,(IF(CC208="L1",Parameter!$H$5,IF(CC208="L23",Parameter!$H$6+Parameter!$H$7,Parameter!$H$5+Parameter!$H$6+Parameter!$H$7))-(AV208-AR208))/AR208)))</f>
        <v>1</v>
      </c>
      <c r="AX208" s="50" t="n">
        <f aca="false">IF(LEFT(Cockpit!$O$5,1)="A",H208,IF(CE208=1,CF208,IF(LEFT(Cockpit!$O$5,1)="B",BC208,MAX(BC208,H208))))</f>
        <v>34</v>
      </c>
      <c r="AY208" s="50" t="n">
        <f aca="false">IF(BW208=1,0,ROUNDUP(AX208/BV208,0))</f>
        <v>3</v>
      </c>
      <c r="AZ208" s="52" t="n">
        <f aca="false">IF(CL208&gt;0,CL208*MAX(1,AX208/X208),IF(BW208=1,IF(AX208&lt;=0,0,CA208*MAX(1,IF(H208&gt;0,AX208/H208,1))),IF(R208&gt;0,AY208/R208,0))/MAX(0.1,N(Parameter!$M$21)))</f>
        <v>0.115384615384615</v>
      </c>
      <c r="BA208" s="50" t="n">
        <f aca="false">AZ208*BY208</f>
        <v>28.2692307692308</v>
      </c>
      <c r="BB208" s="50" t="n">
        <f aca="false">AX208*G208</f>
        <v>2281.06</v>
      </c>
      <c r="BC208" s="50" t="n">
        <f aca="false">ROUNDUP(MAX(J208/IF(CD208&gt;0,CD208,MAX(0.1,N(Cockpit!$O$6))),CG208)/BV208,0)*BV208</f>
        <v>15</v>
      </c>
      <c r="BD208" s="51" t="n">
        <f aca="false">IF(BA208&gt;0,J208/BA208,-1)</f>
        <v>0.141496598639456</v>
      </c>
      <c r="BE208" s="51" t="n">
        <f aca="false">IF(AND(OR(CC208="L1",CC208="L23",CC208="LIFT"),BA208&gt;0),SUMIFS($BA$7:$BA$1843,$CC$7:$CC$1843,CC208,$BD$7:$BD$1843,"&gt;"&amp;BD208)+SUMIFS($BA$7:$BA$1843,$CC$7:$CC$1843,CC208,$BD$7:$BD$1843,BD208,$BT$7:$BT$1843,"&lt;="&amp;BT208),"")</f>
        <v>18994.1924577306</v>
      </c>
      <c r="BF208" s="58" t="n">
        <f aca="false">IF(BE208="",0,MAX(0,MIN(1,(IF(CC208="L1",Parameter!$H$5,IF(CC208="L23",Parameter!$H$6+Parameter!$H$7,Parameter!$H$5+Parameter!$H$6+Parameter!$H$7))-(BE208-BA208))/BA208)))</f>
        <v>1</v>
      </c>
      <c r="BG208" s="48" t="str">
        <f aca="false">IF(AI208&lt;=0,"",IF(CC208="Aussen","Aussenlager",IF(CC208="-","Nicht im Lift",IF(AN208&gt;=1,"Lift",IF(AN208&lt;=0,"Aussenlager","teilweise")))))</f>
        <v>Lift</v>
      </c>
      <c r="BH208" s="48" t="str">
        <f aca="false">IF(AR208&lt;=0,"",IF(CC208="Aussen","Aussenlager",IF(CC208="-","Nicht im Lift",IF(AW208&gt;=1,"Lift",IF(AW208&lt;=0,"Aussenlager","teilweise")))))</f>
        <v>Lift</v>
      </c>
      <c r="BI208" s="48" t="str">
        <f aca="false">IF(BA208&lt;=0,"",IF(CC208="Aussen","Aussenlager",IF(CC208="-","Nicht im Lift",IF(BF208&gt;=1,"Lift",IF(BF208&lt;=0,"Aussenlager","teilweise")))))</f>
        <v>Lift</v>
      </c>
      <c r="BJ208" s="48" t="str">
        <f aca="false">IF(A208="","",IF(BS208=1,"Neu; ","")&amp;IF(AND(BS208=0,BN208&lt;0),"negativer Bestand (Export "&amp;BN208&amp;"); ","")&amp;IF(J208&lt;=0,"Kein Verbrauch; ","")&amp;IF(CL208&gt;0,"Lift "&amp;W208&amp;" lt. Liftbericht (Fach "&amp;X208&amp;" Stk); ",IF(BX208=1,"Gebinde geschätzt ("&amp;T208&amp;"); ",IF(BW208=1,"Lose – Tablare geschätzt; ","")))&amp;IF(H208&gt;AT208,"Überbestand "&amp;ROUND(H208-AT208,0)&amp;" Stk / CHF "&amp;ROUND((H208-AT208)*G208,0)&amp;"; ","")&amp;IF(AND(CE208=1,CF208&lt;CG208),"MAX &lt; MB+LG; ","")&amp;IF(AND(CK208&gt;0,CJ208*10&gt;CK208),"zu hoch für Tablar; ","")&amp;IF(AND(BS208=0,OR(CE208=1,AA208&lt;&gt;"",U208&lt;&gt;"",V208&lt;&gt;"",AB208&lt;&gt;"")),"manuell übersteuert; ","")&amp;IF(AND(BW208=0,R208=0),"Gebinde unbekannt / Stellmass fehlt; ","")&amp;IF(AND(BW208=0,N(V208)&lt;=0,N(Q208)&lt;=0),"Menge pro Gebinde fehlt (Ist = 1 Gebinde); ","")&amp;BR208)</f>
        <v>Überbestand 19 Stk / CHF 1275; </v>
      </c>
      <c r="BK208" s="48"/>
      <c r="BL208" s="48"/>
      <c r="BM208" s="55"/>
      <c r="BN208" s="50" t="n">
        <v>11</v>
      </c>
      <c r="BO208" s="50" t="n">
        <v>23</v>
      </c>
      <c r="BP208" s="49" t="n">
        <v>740.99</v>
      </c>
      <c r="BQ208" s="50" t="n">
        <v>4</v>
      </c>
      <c r="BR208" s="48"/>
      <c r="BS208" s="53" t="n">
        <v>0</v>
      </c>
      <c r="BT208" s="53" t="n">
        <v>208</v>
      </c>
      <c r="BU208" s="48" t="str">
        <f aca="false">IF(U208&lt;&gt;"",UPPER(TRIM(U208)),IF(BX208=1,UPPER(VLOOKUP(T208,Parameter!$I$27:$K$29,2,0)),IF(P208="","LOSE",P208)))</f>
        <v>S52</v>
      </c>
      <c r="BV208" s="50" t="n">
        <f aca="false">IF(BU208="LOSE",1,IF(N(V208)&gt;0,V208,IF(BX208=1,MAX(1,N(VLOOKUP(T208,Parameter!$I$27:$K$29,3,0)),H208,N(N208)),IF(N(Q208)&gt;0,Q208,MAX(1,H208)))))</f>
        <v>15</v>
      </c>
      <c r="BW208" s="53" t="n">
        <f aca="false">IF(BU208="LOSE",1,0)</f>
        <v>0</v>
      </c>
      <c r="BX208" s="53" t="n">
        <f aca="false">IF(AND(U208="",OR(P208="",P208="LOSE"),T208&lt;&gt;"",N(S208)&lt;=0,ISNUMBER(MATCH(T208,Parameter!$I$27:$I$29,0))),1,0)</f>
        <v>0</v>
      </c>
      <c r="BY208" s="53" t="n">
        <f aca="false">IF(CL208&gt;0,INDEX(Parameter!$H$5:$H$7,W208)/INDEX(Parameter!$E$5:$E$7,W208),IF(AND(BW208=0,N(IFERROR(VLOOKUP(BU208,'Gebinde-Kategorie'!$A$5:$N$45,14,0),0))&gt;0),VLOOKUP(BU208,'Gebinde-Kategorie'!$A$5:$N$45,14,0)*10+Parameter!$M$23,Parameter!$M$24))</f>
        <v>245</v>
      </c>
      <c r="BZ208" s="48" t="str">
        <f aca="false">IF(AND(Parameter!$B$19="Ja",E208&lt;&gt;"",ISNUMBER(MATCH(E208,Parameter!$I$35:$I$52,0))),VLOOKUP(E208,Parameter!$I$35:$J$52,2,0),IFERROR(VLOOKUP(D208,Parameter!$A$35:$C$64,2,0),"Nein"))</f>
        <v>2+3</v>
      </c>
      <c r="CA208" s="52" t="n">
        <f aca="false">IF(BW208=0,0,IF(N(S208)&gt;0,S208,IFERROR(VLOOKUP(D208,Parameter!$A$35:$C$64,3,0)+0,0)))</f>
        <v>0</v>
      </c>
      <c r="CB208" s="48" t="n">
        <f aca="false">IF(AA208&lt;&gt;"",AA208,Z208)</f>
        <v>3</v>
      </c>
      <c r="CC208" s="48" t="str">
        <f aca="false">IF(OR(CB208=1,CB208=2,CB208=3),IF(Parameter!$E$27="Ja","LIFT",IF(CB208=1,"L1","L23")),IF(CB208="Aussen","Aussen","-"))</f>
        <v>LIFT</v>
      </c>
      <c r="CD208" s="59" t="n">
        <f aca="false">IF(N(AB208)&gt;0,AB208,0)</f>
        <v>0</v>
      </c>
      <c r="CE208" s="53" t="n">
        <f aca="false">IF(ISNUMBER(AE208),1,0)</f>
        <v>0</v>
      </c>
      <c r="CF208" s="50" t="n">
        <f aca="false">N(AE208)</f>
        <v>0</v>
      </c>
      <c r="CG208" s="50" t="n">
        <f aca="false">N(M208)+N(N208)</f>
        <v>5</v>
      </c>
      <c r="CH208" s="50" t="n">
        <f aca="false">ROUNDUP(H208/BV208,0)</f>
        <v>3</v>
      </c>
      <c r="CI208" s="50" t="n">
        <f aca="false">ROUNDUP(CF208/BV208,0)</f>
        <v>0</v>
      </c>
      <c r="CJ208" s="53" t="n">
        <f aca="false">IF(BW208=1,0,IFERROR(VLOOKUP(BU208,'Gebinde-Kategorie'!$A$5:$N$45,5,0)+0,0))</f>
        <v>21</v>
      </c>
      <c r="CK208" s="53" t="n">
        <f aca="false">IFERROR(IF(OR(CB208=1,CB208=2,CB208=3),N(INDEX(Parameter!$I$5:$I$7,CB208)),0),0)</f>
        <v>0</v>
      </c>
      <c r="CL208" s="52" t="n">
        <f aca="false">IF(AND(Parameter!$B$21="Ja",ISNUMBER(W208),N(X208)&gt;0),IFERROR(N(INDEX(Parameter!$L$5:$L$7,W208))*INDEX(Parameter!$E$5:$E$7,W208)*X208/SUMIFS($X$7:$X$1843,$W$7:$W$1843,W208),0),0)</f>
        <v>0</v>
      </c>
    </row>
    <row r="209" customFormat="false" ht="15" hidden="false" customHeight="false" outlineLevel="0" collapsed="false">
      <c r="A209" s="48" t="s">
        <v>620</v>
      </c>
      <c r="B209" s="48" t="s">
        <v>493</v>
      </c>
      <c r="C209" s="48" t="s">
        <v>168</v>
      </c>
      <c r="D209" s="48" t="s">
        <v>188</v>
      </c>
      <c r="E209" s="48" t="s">
        <v>189</v>
      </c>
      <c r="F209" s="48" t="s">
        <v>222</v>
      </c>
      <c r="G209" s="49" t="n">
        <v>14.7</v>
      </c>
      <c r="H209" s="50" t="n">
        <f aca="false">MAX(0,IF(AND(Parameter!$B$21="Ja",ISNUMBER(Y209)),Y209,IF(Parameter!$B$20="Jahresanfang 2025 + Export",BO209+BN209,BN209)))</f>
        <v>136</v>
      </c>
      <c r="I209" s="50" t="n">
        <f aca="false">H209*G209</f>
        <v>1999.2</v>
      </c>
      <c r="J209" s="50" t="n">
        <f aca="false">BQ209*Parameter!$B$18</f>
        <v>318</v>
      </c>
      <c r="K209" s="51" t="n">
        <v>76</v>
      </c>
      <c r="L209" s="52" t="n">
        <v>4.18421052631579</v>
      </c>
      <c r="M209" s="50" t="n">
        <v>10</v>
      </c>
      <c r="N209" s="50" t="n">
        <v>225</v>
      </c>
      <c r="O209" s="53" t="n">
        <v>7</v>
      </c>
      <c r="P209" s="48" t="s">
        <v>306</v>
      </c>
      <c r="Q209" s="50" t="n">
        <v>60</v>
      </c>
      <c r="R209" s="53" t="n">
        <f aca="false">IF(BW209=1,0,IFERROR(VLOOKUP(BU209,'Gebinde-Kategorie'!$A$5:$N$45,13,0)+0,0))</f>
        <v>26</v>
      </c>
      <c r="S209" s="54"/>
      <c r="T209" s="55"/>
      <c r="U209" s="55"/>
      <c r="V209" s="55"/>
      <c r="W209" s="48"/>
      <c r="X209" s="50"/>
      <c r="Y209" s="50"/>
      <c r="Z209" s="48" t="n">
        <f aca="false">IF(A209="","",IF(AND(Parameter!$B$21="Ja",ISNUMBER(W209)),W209,IF(BZ209="2+3",IF(ISNUMBER(SEARCH("grosser Artikel",BR209)),2,IFERROR(VLOOKUP(BU209,Parameter!$F$35:$G$64,2,0),2)),IF(OR(BZ209="Nein",BZ209=""),"-",BZ209))))</f>
        <v>3</v>
      </c>
      <c r="AA209" s="55"/>
      <c r="AB209" s="56"/>
      <c r="AC209" s="50" t="n">
        <f aca="false">AT209</f>
        <v>240</v>
      </c>
      <c r="AD209" s="50" t="n">
        <f aca="false">MAX(AT209,H209)</f>
        <v>240</v>
      </c>
      <c r="AE209" s="57"/>
      <c r="AF209" s="50" t="n">
        <f aca="false">IF(LEFT(Cockpit!$C$5,1)="A",H209,IF(CE209=1,CF209,IF(LEFT(Cockpit!$C$5,1)="B",AK209,MAX(AK209,H209))))</f>
        <v>136</v>
      </c>
      <c r="AG209" s="50" t="n">
        <f aca="false">IF(BW209=1,0,ROUNDUP(AF209/BV209,0))</f>
        <v>3</v>
      </c>
      <c r="AH209" s="52" t="n">
        <f aca="false">IF(CL209&gt;0,CL209*MAX(1,AF209/X209),IF(BW209=1,IF(AF209&lt;=0,0,CA209*MAX(1,IF(H209&gt;0,AF209/H209,1))),IF(R209&gt;0,AG209/R209,0))/MAX(0.1,N(Parameter!$M$21)))</f>
        <v>0.115384615384615</v>
      </c>
      <c r="AI209" s="50" t="n">
        <f aca="false">AH209*BY209</f>
        <v>17.8846153846154</v>
      </c>
      <c r="AJ209" s="50" t="n">
        <f aca="false">AF209*G209</f>
        <v>1999.2</v>
      </c>
      <c r="AK209" s="50" t="n">
        <f aca="false">ROUNDUP(MAX(J209/IF(CD209&gt;0,CD209,MAX(0.1,N(Cockpit!$C$6))),CG209)/BV209,0)*BV209</f>
        <v>240</v>
      </c>
      <c r="AL209" s="51" t="n">
        <f aca="false">IF(AI209&gt;0,J209/AI209,-1)</f>
        <v>17.7806451612903</v>
      </c>
      <c r="AM209" s="51" t="n">
        <f aca="false">IF(AND(OR(CC209="L1",CC209="L23",CC209="LIFT"),AI209&gt;0),SUMIFS($AI$7:$AI$1843,$CC$7:$CC$1843,CC209,$AL$7:$AL$1843,"&gt;"&amp;AL209)+SUMIFS($AI$7:$AI$1843,$CC$7:$CC$1843,CC209,$AL$7:$AL$1843,AL209,$BT$7:$BT$1843,"&lt;="&amp;BT209),"")</f>
        <v>1916.73672161172</v>
      </c>
      <c r="AN209" s="58" t="n">
        <f aca="false">IF(AM209="",0,MAX(0,MIN(1,(IF(CC209="L1",Parameter!$H$5,IF(CC209="L23",Parameter!$H$6+Parameter!$H$7,Parameter!$H$5+Parameter!$H$6+Parameter!$H$7))-(AM209-AI209))/AI209)))</f>
        <v>1</v>
      </c>
      <c r="AO209" s="50" t="n">
        <f aca="false">IF(LEFT(Cockpit!$I$5,1)="A",H209,IF(CE209=1,CF209,IF(LEFT(Cockpit!$I$5,1)="B",AT209,MAX(AT209,H209))))</f>
        <v>240</v>
      </c>
      <c r="AP209" s="50" t="n">
        <f aca="false">IF(BW209=1,0,ROUNDUP(AO209/BV209,0))</f>
        <v>4</v>
      </c>
      <c r="AQ209" s="52" t="n">
        <f aca="false">IF(CL209&gt;0,CL209*MAX(1,AO209/X209),IF(BW209=1,IF(AO209&lt;=0,0,CA209*MAX(1,IF(H209&gt;0,AO209/H209,1))),IF(R209&gt;0,AP209/R209,0))/MAX(0.1,N(Parameter!$M$21)))</f>
        <v>0.153846153846154</v>
      </c>
      <c r="AR209" s="50" t="n">
        <f aca="false">AQ209*BY209</f>
        <v>23.8461538461538</v>
      </c>
      <c r="AS209" s="50" t="n">
        <f aca="false">AO209*G209</f>
        <v>3528</v>
      </c>
      <c r="AT209" s="50" t="n">
        <f aca="false">ROUNDUP(MAX(J209/IF(CD209&gt;0,CD209,MAX(0.1,N(Cockpit!$I$6))),CG209)/BV209,0)*BV209</f>
        <v>240</v>
      </c>
      <c r="AU209" s="51" t="n">
        <f aca="false">IF(AR209&gt;0,J209/AR209,-1)</f>
        <v>13.3354838709677</v>
      </c>
      <c r="AV209" s="51" t="n">
        <f aca="false">IF(AND(OR(CC209="L1",CC209="L23",CC209="LIFT"),AR209&gt;0),SUMIFS($AR$7:$AR$1843,$CC$7:$CC$1843,CC209,$AU$7:$AU$1843,"&gt;"&amp;AU209)+SUMIFS($AR$7:$AR$1843,$CC$7:$CC$1843,CC209,$AU$7:$AU$1843,AU209,$BT$7:$BT$1843,"&lt;="&amp;BT209),"")</f>
        <v>3554.61401098901</v>
      </c>
      <c r="AW209" s="58" t="n">
        <f aca="false">IF(AV209="",0,MAX(0,MIN(1,(IF(CC209="L1",Parameter!$H$5,IF(CC209="L23",Parameter!$H$6+Parameter!$H$7,Parameter!$H$5+Parameter!$H$6+Parameter!$H$7))-(AV209-AR209))/AR209)))</f>
        <v>1</v>
      </c>
      <c r="AX209" s="50" t="n">
        <f aca="false">IF(LEFT(Cockpit!$O$5,1)="A",H209,IF(CE209=1,CF209,IF(LEFT(Cockpit!$O$5,1)="B",BC209,MAX(BC209,H209))))</f>
        <v>240</v>
      </c>
      <c r="AY209" s="50" t="n">
        <f aca="false">IF(BW209=1,0,ROUNDUP(AX209/BV209,0))</f>
        <v>4</v>
      </c>
      <c r="AZ209" s="52" t="n">
        <f aca="false">IF(CL209&gt;0,CL209*MAX(1,AX209/X209),IF(BW209=1,IF(AX209&lt;=0,0,CA209*MAX(1,IF(H209&gt;0,AX209/H209,1))),IF(R209&gt;0,AY209/R209,0))/MAX(0.1,N(Parameter!$M$21)))</f>
        <v>0.153846153846154</v>
      </c>
      <c r="BA209" s="50" t="n">
        <f aca="false">AZ209*BY209</f>
        <v>23.8461538461538</v>
      </c>
      <c r="BB209" s="50" t="n">
        <f aca="false">AX209*G209</f>
        <v>3528</v>
      </c>
      <c r="BC209" s="50" t="n">
        <f aca="false">ROUNDUP(MAX(J209/IF(CD209&gt;0,CD209,MAX(0.1,N(Cockpit!$O$6))),CG209)/BV209,0)*BV209</f>
        <v>240</v>
      </c>
      <c r="BD209" s="51" t="n">
        <f aca="false">IF(BA209&gt;0,J209/BA209,-1)</f>
        <v>13.3354838709677</v>
      </c>
      <c r="BE209" s="51" t="n">
        <f aca="false">IF(AND(OR(CC209="L1",CC209="L23",CC209="LIFT"),BA209&gt;0),SUMIFS($BA$7:$BA$1843,$CC$7:$CC$1843,CC209,$BD$7:$BD$1843,"&gt;"&amp;BD209)+SUMIFS($BA$7:$BA$1843,$CC$7:$CC$1843,CC209,$BD$7:$BD$1843,BD209,$BT$7:$BT$1843,"&lt;="&amp;BT209),"")</f>
        <v>3211.1684981685</v>
      </c>
      <c r="BF209" s="58" t="n">
        <f aca="false">IF(BE209="",0,MAX(0,MIN(1,(IF(CC209="L1",Parameter!$H$5,IF(CC209="L23",Parameter!$H$6+Parameter!$H$7,Parameter!$H$5+Parameter!$H$6+Parameter!$H$7))-(BE209-BA209))/BA209)))</f>
        <v>1</v>
      </c>
      <c r="BG209" s="48" t="str">
        <f aca="false">IF(AI209&lt;=0,"",IF(CC209="Aussen","Aussenlager",IF(CC209="-","Nicht im Lift",IF(AN209&gt;=1,"Lift",IF(AN209&lt;=0,"Aussenlager","teilweise")))))</f>
        <v>Lift</v>
      </c>
      <c r="BH209" s="48" t="str">
        <f aca="false">IF(AR209&lt;=0,"",IF(CC209="Aussen","Aussenlager",IF(CC209="-","Nicht im Lift",IF(AW209&gt;=1,"Lift",IF(AW209&lt;=0,"Aussenlager","teilweise")))))</f>
        <v>Lift</v>
      </c>
      <c r="BI209" s="48" t="str">
        <f aca="false">IF(BA209&lt;=0,"",IF(CC209="Aussen","Aussenlager",IF(CC209="-","Nicht im Lift",IF(BF209&gt;=1,"Lift",IF(BF209&lt;=0,"Aussenlager","teilweise")))))</f>
        <v>Lift</v>
      </c>
      <c r="BJ209" s="48" t="str">
        <f aca="false">IF(A209="","",IF(BS209=1,"Neu; ","")&amp;IF(AND(BS209=0,BN209&lt;0),"negativer Bestand (Export "&amp;BN209&amp;"); ","")&amp;IF(J209&lt;=0,"Kein Verbrauch; ","")&amp;IF(CL209&gt;0,"Lift "&amp;W209&amp;" lt. Liftbericht (Fach "&amp;X209&amp;" Stk); ",IF(BX209=1,"Gebinde geschätzt ("&amp;T209&amp;"); ",IF(BW209=1,"Lose – Tablare geschätzt; ","")))&amp;IF(H209&gt;AT209,"Überbestand "&amp;ROUND(H209-AT209,0)&amp;" Stk / CHF "&amp;ROUND((H209-AT209)*G209,0)&amp;"; ","")&amp;IF(AND(CE209=1,CF209&lt;CG209),"MAX &lt; MB+LG; ","")&amp;IF(AND(CK209&gt;0,CJ209*10&gt;CK209),"zu hoch für Tablar; ","")&amp;IF(AND(BS209=0,OR(CE209=1,AA209&lt;&gt;"",U209&lt;&gt;"",V209&lt;&gt;"",AB209&lt;&gt;"")),"manuell übersteuert; ","")&amp;IF(AND(BW209=0,R209=0),"Gebinde unbekannt / Stellmass fehlt; ","")&amp;IF(AND(BW209=0,N(V209)&lt;=0,N(Q209)&lt;=0),"Menge pro Gebinde fehlt (Ist = 1 Gebinde); ","")&amp;BR209)</f>
        <v/>
      </c>
      <c r="BK209" s="48"/>
      <c r="BL209" s="48"/>
      <c r="BM209" s="55"/>
      <c r="BN209" s="50" t="n">
        <v>52</v>
      </c>
      <c r="BO209" s="50" t="n">
        <v>84</v>
      </c>
      <c r="BP209" s="49" t="n">
        <v>740.079999999999</v>
      </c>
      <c r="BQ209" s="50" t="n">
        <v>318</v>
      </c>
      <c r="BR209" s="48"/>
      <c r="BS209" s="53" t="n">
        <v>0</v>
      </c>
      <c r="BT209" s="53" t="n">
        <v>209</v>
      </c>
      <c r="BU209" s="48" t="str">
        <f aca="false">IF(U209&lt;&gt;"",UPPER(TRIM(U209)),IF(BX209=1,UPPER(VLOOKUP(T209,Parameter!$I$27:$K$29,2,0)),IF(P209="","LOSE",P209)))</f>
        <v>S51</v>
      </c>
      <c r="BV209" s="50" t="n">
        <f aca="false">IF(BU209="LOSE",1,IF(N(V209)&gt;0,V209,IF(BX209=1,MAX(1,N(VLOOKUP(T209,Parameter!$I$27:$K$29,3,0)),H209,N(N209)),IF(N(Q209)&gt;0,Q209,MAX(1,H209)))))</f>
        <v>60</v>
      </c>
      <c r="BW209" s="53" t="n">
        <f aca="false">IF(BU209="LOSE",1,0)</f>
        <v>0</v>
      </c>
      <c r="BX209" s="53" t="n">
        <f aca="false">IF(AND(U209="",OR(P209="",P209="LOSE"),T209&lt;&gt;"",N(S209)&lt;=0,ISNUMBER(MATCH(T209,Parameter!$I$27:$I$29,0))),1,0)</f>
        <v>0</v>
      </c>
      <c r="BY209" s="53" t="n">
        <f aca="false">IF(CL209&gt;0,INDEX(Parameter!$H$5:$H$7,W209)/INDEX(Parameter!$E$5:$E$7,W209),IF(AND(BW209=0,N(IFERROR(VLOOKUP(BU209,'Gebinde-Kategorie'!$A$5:$N$45,14,0),0))&gt;0),VLOOKUP(BU209,'Gebinde-Kategorie'!$A$5:$N$45,14,0)*10+Parameter!$M$23,Parameter!$M$24))</f>
        <v>155</v>
      </c>
      <c r="BZ209" s="48" t="str">
        <f aca="false">IF(AND(Parameter!$B$19="Ja",E209&lt;&gt;"",ISNUMBER(MATCH(E209,Parameter!$I$35:$I$52,0))),VLOOKUP(E209,Parameter!$I$35:$J$52,2,0),IFERROR(VLOOKUP(D209,Parameter!$A$35:$C$64,2,0),"Nein"))</f>
        <v>2+3</v>
      </c>
      <c r="CA209" s="52" t="n">
        <f aca="false">IF(BW209=0,0,IF(N(S209)&gt;0,S209,IFERROR(VLOOKUP(D209,Parameter!$A$35:$C$64,3,0)+0,0)))</f>
        <v>0</v>
      </c>
      <c r="CB209" s="48" t="n">
        <f aca="false">IF(AA209&lt;&gt;"",AA209,Z209)</f>
        <v>3</v>
      </c>
      <c r="CC209" s="48" t="str">
        <f aca="false">IF(OR(CB209=1,CB209=2,CB209=3),IF(Parameter!$E$27="Ja","LIFT",IF(CB209=1,"L1","L23")),IF(CB209="Aussen","Aussen","-"))</f>
        <v>LIFT</v>
      </c>
      <c r="CD209" s="59" t="n">
        <f aca="false">IF(N(AB209)&gt;0,AB209,0)</f>
        <v>0</v>
      </c>
      <c r="CE209" s="53" t="n">
        <f aca="false">IF(ISNUMBER(AE209),1,0)</f>
        <v>0</v>
      </c>
      <c r="CF209" s="50" t="n">
        <f aca="false">N(AE209)</f>
        <v>0</v>
      </c>
      <c r="CG209" s="50" t="n">
        <f aca="false">N(M209)+N(N209)</f>
        <v>235</v>
      </c>
      <c r="CH209" s="50" t="n">
        <f aca="false">ROUNDUP(H209/BV209,0)</f>
        <v>3</v>
      </c>
      <c r="CI209" s="50" t="n">
        <f aca="false">ROUNDUP(CF209/BV209,0)</f>
        <v>0</v>
      </c>
      <c r="CJ209" s="53" t="n">
        <f aca="false">IF(BW209=1,0,IFERROR(VLOOKUP(BU209,'Gebinde-Kategorie'!$A$5:$N$45,5,0)+0,0))</f>
        <v>11</v>
      </c>
      <c r="CK209" s="53" t="n">
        <f aca="false">IFERROR(IF(OR(CB209=1,CB209=2,CB209=3),N(INDEX(Parameter!$I$5:$I$7,CB209)),0),0)</f>
        <v>0</v>
      </c>
      <c r="CL209" s="52" t="n">
        <f aca="false">IF(AND(Parameter!$B$21="Ja",ISNUMBER(W209),N(X209)&gt;0),IFERROR(N(INDEX(Parameter!$L$5:$L$7,W209))*INDEX(Parameter!$E$5:$E$7,W209)*X209/SUMIFS($X$7:$X$1843,$W$7:$W$1843,W209),0),0)</f>
        <v>0</v>
      </c>
    </row>
    <row r="210" customFormat="false" ht="15" hidden="false" customHeight="false" outlineLevel="0" collapsed="false">
      <c r="A210" s="48" t="s">
        <v>621</v>
      </c>
      <c r="B210" s="48" t="s">
        <v>435</v>
      </c>
      <c r="C210" s="48" t="s">
        <v>168</v>
      </c>
      <c r="D210" s="48" t="s">
        <v>188</v>
      </c>
      <c r="E210" s="48"/>
      <c r="F210" s="48" t="s">
        <v>222</v>
      </c>
      <c r="G210" s="49" t="n">
        <v>244.93</v>
      </c>
      <c r="H210" s="50" t="n">
        <f aca="false">MAX(0,IF(AND(Parameter!$B$21="Ja",ISNUMBER(Y210)),Y210,IF(Parameter!$B$20="Jahresanfang 2025 + Export",BO210+BN210,BN210)))</f>
        <v>3</v>
      </c>
      <c r="I210" s="50" t="n">
        <f aca="false">H210*G210</f>
        <v>734.79</v>
      </c>
      <c r="J210" s="50" t="n">
        <f aca="false">BQ210*Parameter!$B$18</f>
        <v>248</v>
      </c>
      <c r="K210" s="51" t="n">
        <v>1.5</v>
      </c>
      <c r="L210" s="52" t="n">
        <v>165.333333333333</v>
      </c>
      <c r="M210" s="50" t="n">
        <v>0</v>
      </c>
      <c r="N210" s="50" t="n">
        <v>0</v>
      </c>
      <c r="O210" s="53" t="n">
        <v>42</v>
      </c>
      <c r="P210" s="48" t="s">
        <v>230</v>
      </c>
      <c r="Q210" s="50" t="n">
        <v>80</v>
      </c>
      <c r="R210" s="53" t="n">
        <f aca="false">IF(BW210=1,0,IFERROR(VLOOKUP(BU210,'Gebinde-Kategorie'!$A$5:$N$45,13,0)+0,0))</f>
        <v>12</v>
      </c>
      <c r="S210" s="54"/>
      <c r="T210" s="55"/>
      <c r="U210" s="55"/>
      <c r="V210" s="55"/>
      <c r="W210" s="48"/>
      <c r="X210" s="50"/>
      <c r="Y210" s="50"/>
      <c r="Z210" s="48" t="n">
        <f aca="false">IF(A210="","",IF(AND(Parameter!$B$21="Ja",ISNUMBER(W210)),W210,IF(BZ210="2+3",IF(ISNUMBER(SEARCH("grosser Artikel",BR210)),2,IFERROR(VLOOKUP(BU210,Parameter!$F$35:$G$64,2,0),2)),IF(OR(BZ210="Nein",BZ210=""),"-",BZ210))))</f>
        <v>2</v>
      </c>
      <c r="AA210" s="55"/>
      <c r="AB210" s="56"/>
      <c r="AC210" s="50" t="n">
        <f aca="false">AT210</f>
        <v>160</v>
      </c>
      <c r="AD210" s="50" t="n">
        <f aca="false">MAX(AT210,H210)</f>
        <v>160</v>
      </c>
      <c r="AE210" s="57"/>
      <c r="AF210" s="50" t="n">
        <f aca="false">IF(LEFT(Cockpit!$C$5,1)="A",H210,IF(CE210=1,CF210,IF(LEFT(Cockpit!$C$5,1)="B",AK210,MAX(AK210,H210))))</f>
        <v>3</v>
      </c>
      <c r="AG210" s="50" t="n">
        <f aca="false">IF(BW210=1,0,ROUNDUP(AF210/BV210,0))</f>
        <v>1</v>
      </c>
      <c r="AH210" s="52" t="n">
        <f aca="false">IF(CL210&gt;0,CL210*MAX(1,AF210/X210),IF(BW210=1,IF(AF210&lt;=0,0,CA210*MAX(1,IF(H210&gt;0,AF210/H210,1))),IF(R210&gt;0,AG210/R210,0))/MAX(0.1,N(Parameter!$M$21)))</f>
        <v>0.0833333333333333</v>
      </c>
      <c r="AI210" s="50" t="n">
        <f aca="false">AH210*BY210</f>
        <v>28.75</v>
      </c>
      <c r="AJ210" s="50" t="n">
        <f aca="false">AF210*G210</f>
        <v>734.79</v>
      </c>
      <c r="AK210" s="50" t="n">
        <f aca="false">ROUNDUP(MAX(J210/IF(CD210&gt;0,CD210,MAX(0.1,N(Cockpit!$C$6))),CG210)/BV210,0)*BV210</f>
        <v>160</v>
      </c>
      <c r="AL210" s="51" t="n">
        <f aca="false">IF(AI210&gt;0,J210/AI210,-1)</f>
        <v>8.62608695652174</v>
      </c>
      <c r="AM210" s="51" t="n">
        <f aca="false">IF(AND(OR(CC210="L1",CC210="L23",CC210="LIFT"),AI210&gt;0),SUMIFS($AI$7:$AI$1843,$CC$7:$CC$1843,CC210,$AL$7:$AL$1843,"&gt;"&amp;AL210)+SUMIFS($AI$7:$AI$1843,$CC$7:$CC$1843,CC210,$AL$7:$AL$1843,AL210,$BT$7:$BT$1843,"&lt;="&amp;BT210),"")</f>
        <v>2982.66071428571</v>
      </c>
      <c r="AN210" s="58" t="n">
        <f aca="false">IF(AM210="",0,MAX(0,MIN(1,(IF(CC210="L1",Parameter!$H$5,IF(CC210="L23",Parameter!$H$6+Parameter!$H$7,Parameter!$H$5+Parameter!$H$6+Parameter!$H$7))-(AM210-AI210))/AI210)))</f>
        <v>1</v>
      </c>
      <c r="AO210" s="50" t="n">
        <f aca="false">IF(LEFT(Cockpit!$I$5,1)="A",H210,IF(CE210=1,CF210,IF(LEFT(Cockpit!$I$5,1)="B",AT210,MAX(AT210,H210))))</f>
        <v>160</v>
      </c>
      <c r="AP210" s="50" t="n">
        <f aca="false">IF(BW210=1,0,ROUNDUP(AO210/BV210,0))</f>
        <v>2</v>
      </c>
      <c r="AQ210" s="52" t="n">
        <f aca="false">IF(CL210&gt;0,CL210*MAX(1,AO210/X210),IF(BW210=1,IF(AO210&lt;=0,0,CA210*MAX(1,IF(H210&gt;0,AO210/H210,1))),IF(R210&gt;0,AP210/R210,0))/MAX(0.1,N(Parameter!$M$21)))</f>
        <v>0.166666666666667</v>
      </c>
      <c r="AR210" s="50" t="n">
        <f aca="false">AQ210*BY210</f>
        <v>57.5</v>
      </c>
      <c r="AS210" s="50" t="n">
        <f aca="false">AO210*G210</f>
        <v>39188.8</v>
      </c>
      <c r="AT210" s="50" t="n">
        <f aca="false">ROUNDUP(MAX(J210/IF(CD210&gt;0,CD210,MAX(0.1,N(Cockpit!$I$6))),CG210)/BV210,0)*BV210</f>
        <v>160</v>
      </c>
      <c r="AU210" s="51" t="n">
        <f aca="false">IF(AR210&gt;0,J210/AR210,-1)</f>
        <v>4.31304347826087</v>
      </c>
      <c r="AV210" s="51" t="n">
        <f aca="false">IF(AND(OR(CC210="L1",CC210="L23",CC210="LIFT"),AR210&gt;0),SUMIFS($AR$7:$AR$1843,$CC$7:$CC$1843,CC210,$AU$7:$AU$1843,"&gt;"&amp;AU210)+SUMIFS($AR$7:$AR$1843,$CC$7:$CC$1843,CC210,$AU$7:$AU$1843,AU210,$BT$7:$BT$1843,"&lt;="&amp;BT210),"")</f>
        <v>5482.04716117216</v>
      </c>
      <c r="AW210" s="58" t="n">
        <f aca="false">IF(AV210="",0,MAX(0,MIN(1,(IF(CC210="L1",Parameter!$H$5,IF(CC210="L23",Parameter!$H$6+Parameter!$H$7,Parameter!$H$5+Parameter!$H$6+Parameter!$H$7))-(AV210-AR210))/AR210)))</f>
        <v>1</v>
      </c>
      <c r="AX210" s="50" t="n">
        <f aca="false">IF(LEFT(Cockpit!$O$5,1)="A",H210,IF(CE210=1,CF210,IF(LEFT(Cockpit!$O$5,1)="B",BC210,MAX(BC210,H210))))</f>
        <v>160</v>
      </c>
      <c r="AY210" s="50" t="n">
        <f aca="false">IF(BW210=1,0,ROUNDUP(AX210/BV210,0))</f>
        <v>2</v>
      </c>
      <c r="AZ210" s="52" t="n">
        <f aca="false">IF(CL210&gt;0,CL210*MAX(1,AX210/X210),IF(BW210=1,IF(AX210&lt;=0,0,CA210*MAX(1,IF(H210&gt;0,AX210/H210,1))),IF(R210&gt;0,AY210/R210,0))/MAX(0.1,N(Parameter!$M$21)))</f>
        <v>0.166666666666667</v>
      </c>
      <c r="BA210" s="50" t="n">
        <f aca="false">AZ210*BY210</f>
        <v>57.5</v>
      </c>
      <c r="BB210" s="50" t="n">
        <f aca="false">AX210*G210</f>
        <v>39188.8</v>
      </c>
      <c r="BC210" s="50" t="n">
        <f aca="false">ROUNDUP(MAX(J210/IF(CD210&gt;0,CD210,MAX(0.1,N(Cockpit!$O$6))),CG210)/BV210,0)*BV210</f>
        <v>160</v>
      </c>
      <c r="BD210" s="51" t="n">
        <f aca="false">IF(BA210&gt;0,J210/BA210,-1)</f>
        <v>4.31304347826087</v>
      </c>
      <c r="BE210" s="51" t="n">
        <f aca="false">IF(AND(OR(CC210="L1",CC210="L23",CC210="LIFT"),BA210&gt;0),SUMIFS($BA$7:$BA$1843,$CC$7:$CC$1843,CC210,$BD$7:$BD$1843,"&gt;"&amp;BD210)+SUMIFS($BA$7:$BA$1843,$CC$7:$CC$1843,CC210,$BD$7:$BD$1843,BD210,$BT$7:$BT$1843,"&lt;="&amp;BT210),"")</f>
        <v>5152.51190476191</v>
      </c>
      <c r="BF210" s="58" t="n">
        <f aca="false">IF(BE210="",0,MAX(0,MIN(1,(IF(CC210="L1",Parameter!$H$5,IF(CC210="L23",Parameter!$H$6+Parameter!$H$7,Parameter!$H$5+Parameter!$H$6+Parameter!$H$7))-(BE210-BA210))/BA210)))</f>
        <v>1</v>
      </c>
      <c r="BG210" s="48" t="str">
        <f aca="false">IF(AI210&lt;=0,"",IF(CC210="Aussen","Aussenlager",IF(CC210="-","Nicht im Lift",IF(AN210&gt;=1,"Lift",IF(AN210&lt;=0,"Aussenlager","teilweise")))))</f>
        <v>Lift</v>
      </c>
      <c r="BH210" s="48" t="str">
        <f aca="false">IF(AR210&lt;=0,"",IF(CC210="Aussen","Aussenlager",IF(CC210="-","Nicht im Lift",IF(AW210&gt;=1,"Lift",IF(AW210&lt;=0,"Aussenlager","teilweise")))))</f>
        <v>Lift</v>
      </c>
      <c r="BI210" s="48" t="str">
        <f aca="false">IF(BA210&lt;=0,"",IF(CC210="Aussen","Aussenlager",IF(CC210="-","Nicht im Lift",IF(BF210&gt;=1,"Lift",IF(BF210&lt;=0,"Aussenlager","teilweise")))))</f>
        <v>Lift</v>
      </c>
      <c r="BJ210" s="48" t="str">
        <f aca="false">IF(A210="","",IF(BS210=1,"Neu; ","")&amp;IF(AND(BS210=0,BN210&lt;0),"negativer Bestand (Export "&amp;BN210&amp;"); ","")&amp;IF(J210&lt;=0,"Kein Verbrauch; ","")&amp;IF(CL210&gt;0,"Lift "&amp;W210&amp;" lt. Liftbericht (Fach "&amp;X210&amp;" Stk); ",IF(BX210=1,"Gebinde geschätzt ("&amp;T210&amp;"); ",IF(BW210=1,"Lose – Tablare geschätzt; ","")))&amp;IF(H210&gt;AT210,"Überbestand "&amp;ROUND(H210-AT210,0)&amp;" Stk / CHF "&amp;ROUND((H210-AT210)*G210,0)&amp;"; ","")&amp;IF(AND(CE210=1,CF210&lt;CG210),"MAX &lt; MB+LG; ","")&amp;IF(AND(CK210&gt;0,CJ210*10&gt;CK210),"zu hoch für Tablar; ","")&amp;IF(AND(BS210=0,OR(CE210=1,AA210&lt;&gt;"",U210&lt;&gt;"",V210&lt;&gt;"",AB210&lt;&gt;"")),"manuell übersteuert; ","")&amp;IF(AND(BW210=0,R210=0),"Gebinde unbekannt / Stellmass fehlt; ","")&amp;IF(AND(BW210=0,N(V210)&lt;=0,N(Q210)&lt;=0),"Menge pro Gebinde fehlt (Ist = 1 Gebinde); ","")&amp;BR210)</f>
        <v/>
      </c>
      <c r="BK210" s="48"/>
      <c r="BL210" s="48"/>
      <c r="BM210" s="55"/>
      <c r="BN210" s="50" t="n">
        <v>3</v>
      </c>
      <c r="BO210" s="50" t="n">
        <v>0</v>
      </c>
      <c r="BP210" s="49" t="n">
        <v>734.79</v>
      </c>
      <c r="BQ210" s="50" t="n">
        <v>248</v>
      </c>
      <c r="BR210" s="48"/>
      <c r="BS210" s="53" t="n">
        <v>0</v>
      </c>
      <c r="BT210" s="53" t="n">
        <v>210</v>
      </c>
      <c r="BU210" s="48" t="str">
        <f aca="false">IF(U210&lt;&gt;"",UPPER(TRIM(U210)),IF(BX210=1,UPPER(VLOOKUP(T210,Parameter!$I$27:$K$29,2,0)),IF(P210="","LOSE",P210)))</f>
        <v>S63</v>
      </c>
      <c r="BV210" s="50" t="n">
        <f aca="false">IF(BU210="LOSE",1,IF(N(V210)&gt;0,V210,IF(BX210=1,MAX(1,N(VLOOKUP(T210,Parameter!$I$27:$K$29,3,0)),H210,N(N210)),IF(N(Q210)&gt;0,Q210,MAX(1,H210)))))</f>
        <v>80</v>
      </c>
      <c r="BW210" s="53" t="n">
        <f aca="false">IF(BU210="LOSE",1,0)</f>
        <v>0</v>
      </c>
      <c r="BX210" s="53" t="n">
        <f aca="false">IF(AND(U210="",OR(P210="",P210="LOSE"),T210&lt;&gt;"",N(S210)&lt;=0,ISNUMBER(MATCH(T210,Parameter!$I$27:$I$29,0))),1,0)</f>
        <v>0</v>
      </c>
      <c r="BY210" s="53" t="n">
        <f aca="false">IF(CL210&gt;0,INDEX(Parameter!$H$5:$H$7,W210)/INDEX(Parameter!$E$5:$E$7,W210),IF(AND(BW210=0,N(IFERROR(VLOOKUP(BU210,'Gebinde-Kategorie'!$A$5:$N$45,14,0),0))&gt;0),VLOOKUP(BU210,'Gebinde-Kategorie'!$A$5:$N$45,14,0)*10+Parameter!$M$23,Parameter!$M$24))</f>
        <v>345</v>
      </c>
      <c r="BZ210" s="48" t="str">
        <f aca="false">IF(AND(Parameter!$B$19="Ja",E210&lt;&gt;"",ISNUMBER(MATCH(E210,Parameter!$I$35:$I$52,0))),VLOOKUP(E210,Parameter!$I$35:$J$52,2,0),IFERROR(VLOOKUP(D210,Parameter!$A$35:$C$64,2,0),"Nein"))</f>
        <v>2+3</v>
      </c>
      <c r="CA210" s="52" t="n">
        <f aca="false">IF(BW210=0,0,IF(N(S210)&gt;0,S210,IFERROR(VLOOKUP(D210,Parameter!$A$35:$C$64,3,0)+0,0)))</f>
        <v>0</v>
      </c>
      <c r="CB210" s="48" t="n">
        <f aca="false">IF(AA210&lt;&gt;"",AA210,Z210)</f>
        <v>2</v>
      </c>
      <c r="CC210" s="48" t="str">
        <f aca="false">IF(OR(CB210=1,CB210=2,CB210=3),IF(Parameter!$E$27="Ja","LIFT",IF(CB210=1,"L1","L23")),IF(CB210="Aussen","Aussen","-"))</f>
        <v>LIFT</v>
      </c>
      <c r="CD210" s="59" t="n">
        <f aca="false">IF(N(AB210)&gt;0,AB210,0)</f>
        <v>0</v>
      </c>
      <c r="CE210" s="53" t="n">
        <f aca="false">IF(ISNUMBER(AE210),1,0)</f>
        <v>0</v>
      </c>
      <c r="CF210" s="50" t="n">
        <f aca="false">N(AE210)</f>
        <v>0</v>
      </c>
      <c r="CG210" s="50" t="n">
        <f aca="false">N(M210)+N(N210)</f>
        <v>0</v>
      </c>
      <c r="CH210" s="50" t="n">
        <f aca="false">ROUNDUP(H210/BV210,0)</f>
        <v>1</v>
      </c>
      <c r="CI210" s="50" t="n">
        <f aca="false">ROUNDUP(CF210/BV210,0)</f>
        <v>0</v>
      </c>
      <c r="CJ210" s="53" t="n">
        <f aca="false">IF(BW210=1,0,IFERROR(VLOOKUP(BU210,'Gebinde-Kategorie'!$A$5:$N$45,5,0)+0,0))</f>
        <v>31</v>
      </c>
      <c r="CK210" s="53" t="n">
        <f aca="false">IFERROR(IF(OR(CB210=1,CB210=2,CB210=3),N(INDEX(Parameter!$I$5:$I$7,CB210)),0),0)</f>
        <v>0</v>
      </c>
      <c r="CL210" s="52" t="n">
        <f aca="false">IF(AND(Parameter!$B$21="Ja",ISNUMBER(W210),N(X210)&gt;0),IFERROR(N(INDEX(Parameter!$L$5:$L$7,W210))*INDEX(Parameter!$E$5:$E$7,W210)*X210/SUMIFS($X$7:$X$1843,$W$7:$W$1843,W210),0),0)</f>
        <v>0</v>
      </c>
    </row>
    <row r="211" customFormat="false" ht="15" hidden="false" customHeight="false" outlineLevel="0" collapsed="false">
      <c r="A211" s="48" t="s">
        <v>622</v>
      </c>
      <c r="B211" s="48" t="s">
        <v>623</v>
      </c>
      <c r="C211" s="48" t="s">
        <v>168</v>
      </c>
      <c r="D211" s="48" t="s">
        <v>188</v>
      </c>
      <c r="E211" s="48" t="s">
        <v>189</v>
      </c>
      <c r="F211" s="48" t="s">
        <v>222</v>
      </c>
      <c r="G211" s="49" t="n">
        <v>26.21</v>
      </c>
      <c r="H211" s="50" t="n">
        <f aca="false">MAX(0,IF(AND(Parameter!$B$21="Ja",ISNUMBER(Y211)),Y211,IF(Parameter!$B$20="Jahresanfang 2025 + Export",BO211+BN211,BN211)))</f>
        <v>257</v>
      </c>
      <c r="I211" s="50" t="n">
        <f aca="false">H211*G211</f>
        <v>6735.97</v>
      </c>
      <c r="J211" s="50" t="n">
        <f aca="false">BQ211*Parameter!$B$18</f>
        <v>685</v>
      </c>
      <c r="K211" s="51" t="n">
        <v>242.5</v>
      </c>
      <c r="L211" s="52" t="n">
        <v>2.82474226804124</v>
      </c>
      <c r="M211" s="50" t="n">
        <v>39</v>
      </c>
      <c r="N211" s="50" t="n">
        <v>200</v>
      </c>
      <c r="O211" s="53" t="n">
        <v>21</v>
      </c>
      <c r="P211" s="48" t="s">
        <v>297</v>
      </c>
      <c r="Q211" s="50" t="n">
        <v>178</v>
      </c>
      <c r="R211" s="53" t="n">
        <f aca="false">IF(BW211=1,0,IFERROR(VLOOKUP(BU211,'Gebinde-Kategorie'!$A$5:$N$45,13,0)+0,0))</f>
        <v>12</v>
      </c>
      <c r="S211" s="54"/>
      <c r="T211" s="55"/>
      <c r="U211" s="55"/>
      <c r="V211" s="55"/>
      <c r="W211" s="48"/>
      <c r="X211" s="50"/>
      <c r="Y211" s="50"/>
      <c r="Z211" s="48" t="n">
        <f aca="false">IF(A211="","",IF(AND(Parameter!$B$21="Ja",ISNUMBER(W211)),W211,IF(BZ211="2+3",IF(ISNUMBER(SEARCH("grosser Artikel",BR211)),2,IFERROR(VLOOKUP(BU211,Parameter!$F$35:$G$64,2,0),2)),IF(OR(BZ211="Nein",BZ211=""),"-",BZ211))))</f>
        <v>2</v>
      </c>
      <c r="AA211" s="55"/>
      <c r="AB211" s="56"/>
      <c r="AC211" s="50" t="n">
        <f aca="false">AT211</f>
        <v>356</v>
      </c>
      <c r="AD211" s="50" t="n">
        <f aca="false">MAX(AT211,H211)</f>
        <v>356</v>
      </c>
      <c r="AE211" s="57"/>
      <c r="AF211" s="50" t="n">
        <f aca="false">IF(LEFT(Cockpit!$C$5,1)="A",H211,IF(CE211=1,CF211,IF(LEFT(Cockpit!$C$5,1)="B",AK211,MAX(AK211,H211))))</f>
        <v>257</v>
      </c>
      <c r="AG211" s="50" t="n">
        <f aca="false">IF(BW211=1,0,ROUNDUP(AF211/BV211,0))</f>
        <v>2</v>
      </c>
      <c r="AH211" s="52" t="n">
        <f aca="false">IF(CL211&gt;0,CL211*MAX(1,AF211/X211),IF(BW211=1,IF(AF211&lt;=0,0,CA211*MAX(1,IF(H211&gt;0,AF211/H211,1))),IF(R211&gt;0,AG211/R211,0))/MAX(0.1,N(Parameter!$M$21)))</f>
        <v>0.166666666666667</v>
      </c>
      <c r="AI211" s="50" t="n">
        <f aca="false">AH211*BY211</f>
        <v>40.8333333333333</v>
      </c>
      <c r="AJ211" s="50" t="n">
        <f aca="false">AF211*G211</f>
        <v>6735.97</v>
      </c>
      <c r="AK211" s="50" t="n">
        <f aca="false">ROUNDUP(MAX(J211/IF(CD211&gt;0,CD211,MAX(0.1,N(Cockpit!$C$6))),CG211)/BV211,0)*BV211</f>
        <v>356</v>
      </c>
      <c r="AL211" s="51" t="n">
        <f aca="false">IF(AI211&gt;0,J211/AI211,-1)</f>
        <v>16.7755102040816</v>
      </c>
      <c r="AM211" s="51" t="n">
        <f aca="false">IF(AND(OR(CC211="L1",CC211="L23",CC211="LIFT"),AI211&gt;0),SUMIFS($AI$7:$AI$1843,$CC$7:$CC$1843,CC211,$AL$7:$AL$1843,"&gt;"&amp;AL211)+SUMIFS($AI$7:$AI$1843,$CC$7:$CC$1843,CC211,$AL$7:$AL$1843,AL211,$BT$7:$BT$1843,"&lt;="&amp;BT211),"")</f>
        <v>2008.24313186813</v>
      </c>
      <c r="AN211" s="58" t="n">
        <f aca="false">IF(AM211="",0,MAX(0,MIN(1,(IF(CC211="L1",Parameter!$H$5,IF(CC211="L23",Parameter!$H$6+Parameter!$H$7,Parameter!$H$5+Parameter!$H$6+Parameter!$H$7))-(AM211-AI211))/AI211)))</f>
        <v>1</v>
      </c>
      <c r="AO211" s="50" t="n">
        <f aca="false">IF(LEFT(Cockpit!$I$5,1)="A",H211,IF(CE211=1,CF211,IF(LEFT(Cockpit!$I$5,1)="B",AT211,MAX(AT211,H211))))</f>
        <v>356</v>
      </c>
      <c r="AP211" s="50" t="n">
        <f aca="false">IF(BW211=1,0,ROUNDUP(AO211/BV211,0))</f>
        <v>2</v>
      </c>
      <c r="AQ211" s="52" t="n">
        <f aca="false">IF(CL211&gt;0,CL211*MAX(1,AO211/X211),IF(BW211=1,IF(AO211&lt;=0,0,CA211*MAX(1,IF(H211&gt;0,AO211/H211,1))),IF(R211&gt;0,AP211/R211,0))/MAX(0.1,N(Parameter!$M$21)))</f>
        <v>0.166666666666667</v>
      </c>
      <c r="AR211" s="50" t="n">
        <f aca="false">AQ211*BY211</f>
        <v>40.8333333333333</v>
      </c>
      <c r="AS211" s="50" t="n">
        <f aca="false">AO211*G211</f>
        <v>9330.76</v>
      </c>
      <c r="AT211" s="50" t="n">
        <f aca="false">ROUNDUP(MAX(J211/IF(CD211&gt;0,CD211,MAX(0.1,N(Cockpit!$I$6))),CG211)/BV211,0)*BV211</f>
        <v>356</v>
      </c>
      <c r="AU211" s="51" t="n">
        <f aca="false">IF(AR211&gt;0,J211/AR211,-1)</f>
        <v>16.7755102040816</v>
      </c>
      <c r="AV211" s="51" t="n">
        <f aca="false">IF(AND(OR(CC211="L1",CC211="L23",CC211="LIFT"),AR211&gt;0),SUMIFS($AR$7:$AR$1843,$CC$7:$CC$1843,CC211,$AU$7:$AU$1843,"&gt;"&amp;AU211)+SUMIFS($AR$7:$AR$1843,$CC$7:$CC$1843,CC211,$AU$7:$AU$1843,AU211,$BT$7:$BT$1843,"&lt;="&amp;BT211),"")</f>
        <v>2916.75457875458</v>
      </c>
      <c r="AW211" s="58" t="n">
        <f aca="false">IF(AV211="",0,MAX(0,MIN(1,(IF(CC211="L1",Parameter!$H$5,IF(CC211="L23",Parameter!$H$6+Parameter!$H$7,Parameter!$H$5+Parameter!$H$6+Parameter!$H$7))-(AV211-AR211))/AR211)))</f>
        <v>1</v>
      </c>
      <c r="AX211" s="50" t="n">
        <f aca="false">IF(LEFT(Cockpit!$O$5,1)="A",H211,IF(CE211=1,CF211,IF(LEFT(Cockpit!$O$5,1)="B",BC211,MAX(BC211,H211))))</f>
        <v>356</v>
      </c>
      <c r="AY211" s="50" t="n">
        <f aca="false">IF(BW211=1,0,ROUNDUP(AX211/BV211,0))</f>
        <v>2</v>
      </c>
      <c r="AZ211" s="52" t="n">
        <f aca="false">IF(CL211&gt;0,CL211*MAX(1,AX211/X211),IF(BW211=1,IF(AX211&lt;=0,0,CA211*MAX(1,IF(H211&gt;0,AX211/H211,1))),IF(R211&gt;0,AY211/R211,0))/MAX(0.1,N(Parameter!$M$21)))</f>
        <v>0.166666666666667</v>
      </c>
      <c r="BA211" s="50" t="n">
        <f aca="false">AZ211*BY211</f>
        <v>40.8333333333333</v>
      </c>
      <c r="BB211" s="50" t="n">
        <f aca="false">AX211*G211</f>
        <v>9330.76</v>
      </c>
      <c r="BC211" s="50" t="n">
        <f aca="false">ROUNDUP(MAX(J211/IF(CD211&gt;0,CD211,MAX(0.1,N(Cockpit!$O$6))),CG211)/BV211,0)*BV211</f>
        <v>356</v>
      </c>
      <c r="BD211" s="51" t="n">
        <f aca="false">IF(BA211&gt;0,J211/BA211,-1)</f>
        <v>16.7755102040816</v>
      </c>
      <c r="BE211" s="51" t="n">
        <f aca="false">IF(AND(OR(CC211="L1",CC211="L23",CC211="LIFT"),BA211&gt;0),SUMIFS($BA$7:$BA$1843,$CC$7:$CC$1843,CC211,$BD$7:$BD$1843,"&gt;"&amp;BD211)+SUMIFS($BA$7:$BA$1843,$CC$7:$CC$1843,CC211,$BD$7:$BD$1843,BD211,$BT$7:$BT$1843,"&lt;="&amp;BT211),"")</f>
        <v>2736.19368131868</v>
      </c>
      <c r="BF211" s="58" t="n">
        <f aca="false">IF(BE211="",0,MAX(0,MIN(1,(IF(CC211="L1",Parameter!$H$5,IF(CC211="L23",Parameter!$H$6+Parameter!$H$7,Parameter!$H$5+Parameter!$H$6+Parameter!$H$7))-(BE211-BA211))/BA211)))</f>
        <v>1</v>
      </c>
      <c r="BG211" s="48" t="str">
        <f aca="false">IF(AI211&lt;=0,"",IF(CC211="Aussen","Aussenlager",IF(CC211="-","Nicht im Lift",IF(AN211&gt;=1,"Lift",IF(AN211&lt;=0,"Aussenlager","teilweise")))))</f>
        <v>Lift</v>
      </c>
      <c r="BH211" s="48" t="str">
        <f aca="false">IF(AR211&lt;=0,"",IF(CC211="Aussen","Aussenlager",IF(CC211="-","Nicht im Lift",IF(AW211&gt;=1,"Lift",IF(AW211&lt;=0,"Aussenlager","teilweise")))))</f>
        <v>Lift</v>
      </c>
      <c r="BI211" s="48" t="str">
        <f aca="false">IF(BA211&lt;=0,"",IF(CC211="Aussen","Aussenlager",IF(CC211="-","Nicht im Lift",IF(BF211&gt;=1,"Lift",IF(BF211&lt;=0,"Aussenlager","teilweise")))))</f>
        <v>Lift</v>
      </c>
      <c r="BJ211" s="48" t="str">
        <f aca="false">IF(A211="","",IF(BS211=1,"Neu; ","")&amp;IF(AND(BS211=0,BN211&lt;0),"negativer Bestand (Export "&amp;BN211&amp;"); ","")&amp;IF(J211&lt;=0,"Kein Verbrauch; ","")&amp;IF(CL211&gt;0,"Lift "&amp;W211&amp;" lt. Liftbericht (Fach "&amp;X211&amp;" Stk); ",IF(BX211=1,"Gebinde geschätzt ("&amp;T211&amp;"); ",IF(BW211=1,"Lose – Tablare geschätzt; ","")))&amp;IF(H211&gt;AT211,"Überbestand "&amp;ROUND(H211-AT211,0)&amp;" Stk / CHF "&amp;ROUND((H211-AT211)*G211,0)&amp;"; ","")&amp;IF(AND(CE211=1,CF211&lt;CG211),"MAX &lt; MB+LG; ","")&amp;IF(AND(CK211&gt;0,CJ211*10&gt;CK211),"zu hoch für Tablar; ","")&amp;IF(AND(BS211=0,OR(CE211=1,AA211&lt;&gt;"",U211&lt;&gt;"",V211&lt;&gt;"",AB211&lt;&gt;"")),"manuell übersteuert; ","")&amp;IF(AND(BW211=0,R211=0),"Gebinde unbekannt / Stellmass fehlt; ","")&amp;IF(AND(BW211=0,N(V211)&lt;=0,N(Q211)&lt;=0),"Menge pro Gebinde fehlt (Ist = 1 Gebinde); ","")&amp;BR211)</f>
        <v/>
      </c>
      <c r="BK211" s="48"/>
      <c r="BL211" s="48"/>
      <c r="BM211" s="55"/>
      <c r="BN211" s="50" t="n">
        <v>77</v>
      </c>
      <c r="BO211" s="50" t="n">
        <v>180</v>
      </c>
      <c r="BP211" s="49" t="n">
        <v>729.890000000004</v>
      </c>
      <c r="BQ211" s="50" t="n">
        <v>685</v>
      </c>
      <c r="BR211" s="48"/>
      <c r="BS211" s="53" t="n">
        <v>0</v>
      </c>
      <c r="BT211" s="53" t="n">
        <v>211</v>
      </c>
      <c r="BU211" s="48" t="str">
        <f aca="false">IF(U211&lt;&gt;"",UPPER(TRIM(U211)),IF(BX211=1,UPPER(VLOOKUP(T211,Parameter!$I$27:$K$29,2,0)),IF(P211="","LOSE",P211)))</f>
        <v>S62</v>
      </c>
      <c r="BV211" s="50" t="n">
        <f aca="false">IF(BU211="LOSE",1,IF(N(V211)&gt;0,V211,IF(BX211=1,MAX(1,N(VLOOKUP(T211,Parameter!$I$27:$K$29,3,0)),H211,N(N211)),IF(N(Q211)&gt;0,Q211,MAX(1,H211)))))</f>
        <v>178</v>
      </c>
      <c r="BW211" s="53" t="n">
        <f aca="false">IF(BU211="LOSE",1,0)</f>
        <v>0</v>
      </c>
      <c r="BX211" s="53" t="n">
        <f aca="false">IF(AND(U211="",OR(P211="",P211="LOSE"),T211&lt;&gt;"",N(S211)&lt;=0,ISNUMBER(MATCH(T211,Parameter!$I$27:$I$29,0))),1,0)</f>
        <v>0</v>
      </c>
      <c r="BY211" s="53" t="n">
        <f aca="false">IF(CL211&gt;0,INDEX(Parameter!$H$5:$H$7,W211)/INDEX(Parameter!$E$5:$E$7,W211),IF(AND(BW211=0,N(IFERROR(VLOOKUP(BU211,'Gebinde-Kategorie'!$A$5:$N$45,14,0),0))&gt;0),VLOOKUP(BU211,'Gebinde-Kategorie'!$A$5:$N$45,14,0)*10+Parameter!$M$23,Parameter!$M$24))</f>
        <v>245</v>
      </c>
      <c r="BZ211" s="48" t="str">
        <f aca="false">IF(AND(Parameter!$B$19="Ja",E211&lt;&gt;"",ISNUMBER(MATCH(E211,Parameter!$I$35:$I$52,0))),VLOOKUP(E211,Parameter!$I$35:$J$52,2,0),IFERROR(VLOOKUP(D211,Parameter!$A$35:$C$64,2,0),"Nein"))</f>
        <v>2+3</v>
      </c>
      <c r="CA211" s="52" t="n">
        <f aca="false">IF(BW211=0,0,IF(N(S211)&gt;0,S211,IFERROR(VLOOKUP(D211,Parameter!$A$35:$C$64,3,0)+0,0)))</f>
        <v>0</v>
      </c>
      <c r="CB211" s="48" t="n">
        <f aca="false">IF(AA211&lt;&gt;"",AA211,Z211)</f>
        <v>2</v>
      </c>
      <c r="CC211" s="48" t="str">
        <f aca="false">IF(OR(CB211=1,CB211=2,CB211=3),IF(Parameter!$E$27="Ja","LIFT",IF(CB211=1,"L1","L23")),IF(CB211="Aussen","Aussen","-"))</f>
        <v>LIFT</v>
      </c>
      <c r="CD211" s="59" t="n">
        <f aca="false">IF(N(AB211)&gt;0,AB211,0)</f>
        <v>0</v>
      </c>
      <c r="CE211" s="53" t="n">
        <f aca="false">IF(ISNUMBER(AE211),1,0)</f>
        <v>0</v>
      </c>
      <c r="CF211" s="50" t="n">
        <f aca="false">N(AE211)</f>
        <v>0</v>
      </c>
      <c r="CG211" s="50" t="n">
        <f aca="false">N(M211)+N(N211)</f>
        <v>239</v>
      </c>
      <c r="CH211" s="50" t="n">
        <f aca="false">ROUNDUP(H211/BV211,0)</f>
        <v>2</v>
      </c>
      <c r="CI211" s="50" t="n">
        <f aca="false">ROUNDUP(CF211/BV211,0)</f>
        <v>0</v>
      </c>
      <c r="CJ211" s="53" t="n">
        <f aca="false">IF(BW211=1,0,IFERROR(VLOOKUP(BU211,'Gebinde-Kategorie'!$A$5:$N$45,5,0)+0,0))</f>
        <v>21</v>
      </c>
      <c r="CK211" s="53" t="n">
        <f aca="false">IFERROR(IF(OR(CB211=1,CB211=2,CB211=3),N(INDEX(Parameter!$I$5:$I$7,CB211)),0),0)</f>
        <v>0</v>
      </c>
      <c r="CL211" s="52" t="n">
        <f aca="false">IF(AND(Parameter!$B$21="Ja",ISNUMBER(W211),N(X211)&gt;0),IFERROR(N(INDEX(Parameter!$L$5:$L$7,W211))*INDEX(Parameter!$E$5:$E$7,W211)*X211/SUMIFS($X$7:$X$1843,$W$7:$W$1843,W211),0),0)</f>
        <v>0</v>
      </c>
    </row>
    <row r="212" customFormat="false" ht="15" hidden="false" customHeight="false" outlineLevel="0" collapsed="false">
      <c r="A212" s="48" t="s">
        <v>624</v>
      </c>
      <c r="B212" s="48" t="s">
        <v>625</v>
      </c>
      <c r="C212" s="48" t="s">
        <v>168</v>
      </c>
      <c r="D212" s="48" t="s">
        <v>188</v>
      </c>
      <c r="E212" s="48" t="s">
        <v>189</v>
      </c>
      <c r="F212" s="48" t="s">
        <v>222</v>
      </c>
      <c r="G212" s="49" t="n">
        <v>19.3</v>
      </c>
      <c r="H212" s="50" t="n">
        <f aca="false">MAX(0,IF(AND(Parameter!$B$21="Ja",ISNUMBER(Y212)),Y212,IF(Parameter!$B$20="Jahresanfang 2025 + Export",BO212+BN212,BN212)))</f>
        <v>65</v>
      </c>
      <c r="I212" s="50" t="n">
        <f aca="false">H212*G212</f>
        <v>1254.5</v>
      </c>
      <c r="J212" s="50" t="n">
        <f aca="false">BQ212*Parameter!$B$18</f>
        <v>56</v>
      </c>
      <c r="K212" s="51" t="n">
        <v>80</v>
      </c>
      <c r="L212" s="52" t="n">
        <v>0.7</v>
      </c>
      <c r="M212" s="50" t="n">
        <v>9</v>
      </c>
      <c r="N212" s="50" t="n">
        <v>55</v>
      </c>
      <c r="O212" s="53" t="n">
        <v>63</v>
      </c>
      <c r="P212" s="48" t="s">
        <v>332</v>
      </c>
      <c r="Q212" s="50" t="n">
        <v>66</v>
      </c>
      <c r="R212" s="53" t="n">
        <f aca="false">IF(BW212=1,0,IFERROR(VLOOKUP(BU212,'Gebinde-Kategorie'!$A$5:$N$45,13,0)+0,0))</f>
        <v>52</v>
      </c>
      <c r="S212" s="54"/>
      <c r="T212" s="55"/>
      <c r="U212" s="55"/>
      <c r="V212" s="55"/>
      <c r="W212" s="48"/>
      <c r="X212" s="50"/>
      <c r="Y212" s="50"/>
      <c r="Z212" s="48" t="n">
        <f aca="false">IF(A212="","",IF(AND(Parameter!$B$21="Ja",ISNUMBER(W212)),W212,IF(BZ212="2+3",IF(ISNUMBER(SEARCH("grosser Artikel",BR212)),2,IFERROR(VLOOKUP(BU212,Parameter!$F$35:$G$64,2,0),2)),IF(OR(BZ212="Nein",BZ212=""),"-",BZ212))))</f>
        <v>3</v>
      </c>
      <c r="AA212" s="55"/>
      <c r="AB212" s="56"/>
      <c r="AC212" s="50" t="n">
        <f aca="false">AT212</f>
        <v>66</v>
      </c>
      <c r="AD212" s="50" t="n">
        <f aca="false">MAX(AT212,H212)</f>
        <v>66</v>
      </c>
      <c r="AE212" s="57"/>
      <c r="AF212" s="50" t="n">
        <f aca="false">IF(LEFT(Cockpit!$C$5,1)="A",H212,IF(CE212=1,CF212,IF(LEFT(Cockpit!$C$5,1)="B",AK212,MAX(AK212,H212))))</f>
        <v>65</v>
      </c>
      <c r="AG212" s="50" t="n">
        <f aca="false">IF(BW212=1,0,ROUNDUP(AF212/BV212,0))</f>
        <v>1</v>
      </c>
      <c r="AH212" s="52" t="n">
        <f aca="false">IF(CL212&gt;0,CL212*MAX(1,AF212/X212),IF(BW212=1,IF(AF212&lt;=0,0,CA212*MAX(1,IF(H212&gt;0,AF212/H212,1))),IF(R212&gt;0,AG212/R212,0))/MAX(0.1,N(Parameter!$M$21)))</f>
        <v>0.0192307692307692</v>
      </c>
      <c r="AI212" s="50" t="n">
        <f aca="false">AH212*BY212</f>
        <v>2.98076923076923</v>
      </c>
      <c r="AJ212" s="50" t="n">
        <f aca="false">AF212*G212</f>
        <v>1254.5</v>
      </c>
      <c r="AK212" s="50" t="n">
        <f aca="false">ROUNDUP(MAX(J212/IF(CD212&gt;0,CD212,MAX(0.1,N(Cockpit!$C$6))),CG212)/BV212,0)*BV212</f>
        <v>66</v>
      </c>
      <c r="AL212" s="51" t="n">
        <f aca="false">IF(AI212&gt;0,J212/AI212,-1)</f>
        <v>18.7870967741935</v>
      </c>
      <c r="AM212" s="51" t="n">
        <f aca="false">IF(AND(OR(CC212="L1",CC212="L23",CC212="LIFT"),AI212&gt;0),SUMIFS($AI$7:$AI$1843,$CC$7:$CC$1843,CC212,$AL$7:$AL$1843,"&gt;"&amp;AL212)+SUMIFS($AI$7:$AI$1843,$CC$7:$CC$1843,CC212,$AL$7:$AL$1843,AL212,$BT$7:$BT$1843,"&lt;="&amp;BT212),"")</f>
        <v>1769.3315018315</v>
      </c>
      <c r="AN212" s="58" t="n">
        <f aca="false">IF(AM212="",0,MAX(0,MIN(1,(IF(CC212="L1",Parameter!$H$5,IF(CC212="L23",Parameter!$H$6+Parameter!$H$7,Parameter!$H$5+Parameter!$H$6+Parameter!$H$7))-(AM212-AI212))/AI212)))</f>
        <v>1</v>
      </c>
      <c r="AO212" s="50" t="n">
        <f aca="false">IF(LEFT(Cockpit!$I$5,1)="A",H212,IF(CE212=1,CF212,IF(LEFT(Cockpit!$I$5,1)="B",AT212,MAX(AT212,H212))))</f>
        <v>66</v>
      </c>
      <c r="AP212" s="50" t="n">
        <f aca="false">IF(BW212=1,0,ROUNDUP(AO212/BV212,0))</f>
        <v>1</v>
      </c>
      <c r="AQ212" s="52" t="n">
        <f aca="false">IF(CL212&gt;0,CL212*MAX(1,AO212/X212),IF(BW212=1,IF(AO212&lt;=0,0,CA212*MAX(1,IF(H212&gt;0,AO212/H212,1))),IF(R212&gt;0,AP212/R212,0))/MAX(0.1,N(Parameter!$M$21)))</f>
        <v>0.0192307692307692</v>
      </c>
      <c r="AR212" s="50" t="n">
        <f aca="false">AQ212*BY212</f>
        <v>2.98076923076923</v>
      </c>
      <c r="AS212" s="50" t="n">
        <f aca="false">AO212*G212</f>
        <v>1273.8</v>
      </c>
      <c r="AT212" s="50" t="n">
        <f aca="false">ROUNDUP(MAX(J212/IF(CD212&gt;0,CD212,MAX(0.1,N(Cockpit!$I$6))),CG212)/BV212,0)*BV212</f>
        <v>66</v>
      </c>
      <c r="AU212" s="51" t="n">
        <f aca="false">IF(AR212&gt;0,J212/AR212,-1)</f>
        <v>18.7870967741935</v>
      </c>
      <c r="AV212" s="51" t="n">
        <f aca="false">IF(AND(OR(CC212="L1",CC212="L23",CC212="LIFT"),AR212&gt;0),SUMIFS($AR$7:$AR$1843,$CC$7:$CC$1843,CC212,$AU$7:$AU$1843,"&gt;"&amp;AU212)+SUMIFS($AR$7:$AR$1843,$CC$7:$CC$1843,CC212,$AU$7:$AU$1843,AU212,$BT$7:$BT$1843,"&lt;="&amp;BT212),"")</f>
        <v>2661.54624542125</v>
      </c>
      <c r="AW212" s="58" t="n">
        <f aca="false">IF(AV212="",0,MAX(0,MIN(1,(IF(CC212="L1",Parameter!$H$5,IF(CC212="L23",Parameter!$H$6+Parameter!$H$7,Parameter!$H$5+Parameter!$H$6+Parameter!$H$7))-(AV212-AR212))/AR212)))</f>
        <v>1</v>
      </c>
      <c r="AX212" s="50" t="n">
        <f aca="false">IF(LEFT(Cockpit!$O$5,1)="A",H212,IF(CE212=1,CF212,IF(LEFT(Cockpit!$O$5,1)="B",BC212,MAX(BC212,H212))))</f>
        <v>66</v>
      </c>
      <c r="AY212" s="50" t="n">
        <f aca="false">IF(BW212=1,0,ROUNDUP(AX212/BV212,0))</f>
        <v>1</v>
      </c>
      <c r="AZ212" s="52" t="n">
        <f aca="false">IF(CL212&gt;0,CL212*MAX(1,AX212/X212),IF(BW212=1,IF(AX212&lt;=0,0,CA212*MAX(1,IF(H212&gt;0,AX212/H212,1))),IF(R212&gt;0,AY212/R212,0))/MAX(0.1,N(Parameter!$M$21)))</f>
        <v>0.0192307692307692</v>
      </c>
      <c r="BA212" s="50" t="n">
        <f aca="false">AZ212*BY212</f>
        <v>2.98076923076923</v>
      </c>
      <c r="BB212" s="50" t="n">
        <f aca="false">AX212*G212</f>
        <v>1273.8</v>
      </c>
      <c r="BC212" s="50" t="n">
        <f aca="false">ROUNDUP(MAX(J212/IF(CD212&gt;0,CD212,MAX(0.1,N(Cockpit!$O$6))),CG212)/BV212,0)*BV212</f>
        <v>66</v>
      </c>
      <c r="BD212" s="51" t="n">
        <f aca="false">IF(BA212&gt;0,J212/BA212,-1)</f>
        <v>18.7870967741935</v>
      </c>
      <c r="BE212" s="51" t="n">
        <f aca="false">IF(AND(OR(CC212="L1",CC212="L23",CC212="LIFT"),BA212&gt;0),SUMIFS($BA$7:$BA$1843,$CC$7:$CC$1843,CC212,$BD$7:$BD$1843,"&gt;"&amp;BD212)+SUMIFS($BA$7:$BA$1843,$CC$7:$CC$1843,CC212,$BD$7:$BD$1843,BD212,$BT$7:$BT$1843,"&lt;="&amp;BT212),"")</f>
        <v>2480.98534798535</v>
      </c>
      <c r="BF212" s="58" t="n">
        <f aca="false">IF(BE212="",0,MAX(0,MIN(1,(IF(CC212="L1",Parameter!$H$5,IF(CC212="L23",Parameter!$H$6+Parameter!$H$7,Parameter!$H$5+Parameter!$H$6+Parameter!$H$7))-(BE212-BA212))/BA212)))</f>
        <v>1</v>
      </c>
      <c r="BG212" s="48" t="str">
        <f aca="false">IF(AI212&lt;=0,"",IF(CC212="Aussen","Aussenlager",IF(CC212="-","Nicht im Lift",IF(AN212&gt;=1,"Lift",IF(AN212&lt;=0,"Aussenlager","teilweise")))))</f>
        <v>Lift</v>
      </c>
      <c r="BH212" s="48" t="str">
        <f aca="false">IF(AR212&lt;=0,"",IF(CC212="Aussen","Aussenlager",IF(CC212="-","Nicht im Lift",IF(AW212&gt;=1,"Lift",IF(AW212&lt;=0,"Aussenlager","teilweise")))))</f>
        <v>Lift</v>
      </c>
      <c r="BI212" s="48" t="str">
        <f aca="false">IF(BA212&lt;=0,"",IF(CC212="Aussen","Aussenlager",IF(CC212="-","Nicht im Lift",IF(BF212&gt;=1,"Lift",IF(BF212&lt;=0,"Aussenlager","teilweise")))))</f>
        <v>Lift</v>
      </c>
      <c r="BJ212" s="48" t="str">
        <f aca="false">IF(A212="","",IF(BS212=1,"Neu; ","")&amp;IF(AND(BS212=0,BN212&lt;0),"negativer Bestand (Export "&amp;BN212&amp;"); ","")&amp;IF(J212&lt;=0,"Kein Verbrauch; ","")&amp;IF(CL212&gt;0,"Lift "&amp;W212&amp;" lt. Liftbericht (Fach "&amp;X212&amp;" Stk); ",IF(BX212=1,"Gebinde geschätzt ("&amp;T212&amp;"); ",IF(BW212=1,"Lose – Tablare geschätzt; ","")))&amp;IF(H212&gt;AT212,"Überbestand "&amp;ROUND(H212-AT212,0)&amp;" Stk / CHF "&amp;ROUND((H212-AT212)*G212,0)&amp;"; ","")&amp;IF(AND(CE212=1,CF212&lt;CG212),"MAX &lt; MB+LG; ","")&amp;IF(AND(CK212&gt;0,CJ212*10&gt;CK212),"zu hoch für Tablar; ","")&amp;IF(AND(BS212=0,OR(CE212=1,AA212&lt;&gt;"",U212&lt;&gt;"",V212&lt;&gt;"",AB212&lt;&gt;"")),"manuell übersteuert; ","")&amp;IF(AND(BW212=0,R212=0),"Gebinde unbekannt / Stellmass fehlt; ","")&amp;IF(AND(BW212=0,N(V212)&lt;=0,N(Q212)&lt;=0),"Menge pro Gebinde fehlt (Ist = 1 Gebinde); ","")&amp;BR212)</f>
        <v/>
      </c>
      <c r="BK212" s="48"/>
      <c r="BL212" s="48"/>
      <c r="BM212" s="55"/>
      <c r="BN212" s="50" t="n">
        <v>37</v>
      </c>
      <c r="BO212" s="50" t="n">
        <v>28</v>
      </c>
      <c r="BP212" s="49" t="n">
        <v>720.26</v>
      </c>
      <c r="BQ212" s="50" t="n">
        <v>56</v>
      </c>
      <c r="BR212" s="48"/>
      <c r="BS212" s="53" t="n">
        <v>0</v>
      </c>
      <c r="BT212" s="53" t="n">
        <v>212</v>
      </c>
      <c r="BU212" s="48" t="str">
        <f aca="false">IF(U212&lt;&gt;"",UPPER(TRIM(U212)),IF(BX212=1,UPPER(VLOOKUP(T212,Parameter!$I$27:$K$29,2,0)),IF(P212="","LOSE",P212)))</f>
        <v>S41</v>
      </c>
      <c r="BV212" s="50" t="n">
        <f aca="false">IF(BU212="LOSE",1,IF(N(V212)&gt;0,V212,IF(BX212=1,MAX(1,N(VLOOKUP(T212,Parameter!$I$27:$K$29,3,0)),H212,N(N212)),IF(N(Q212)&gt;0,Q212,MAX(1,H212)))))</f>
        <v>66</v>
      </c>
      <c r="BW212" s="53" t="n">
        <f aca="false">IF(BU212="LOSE",1,0)</f>
        <v>0</v>
      </c>
      <c r="BX212" s="53" t="n">
        <f aca="false">IF(AND(U212="",OR(P212="",P212="LOSE"),T212&lt;&gt;"",N(S212)&lt;=0,ISNUMBER(MATCH(T212,Parameter!$I$27:$I$29,0))),1,0)</f>
        <v>0</v>
      </c>
      <c r="BY212" s="53" t="n">
        <f aca="false">IF(CL212&gt;0,INDEX(Parameter!$H$5:$H$7,W212)/INDEX(Parameter!$E$5:$E$7,W212),IF(AND(BW212=0,N(IFERROR(VLOOKUP(BU212,'Gebinde-Kategorie'!$A$5:$N$45,14,0),0))&gt;0),VLOOKUP(BU212,'Gebinde-Kategorie'!$A$5:$N$45,14,0)*10+Parameter!$M$23,Parameter!$M$24))</f>
        <v>155</v>
      </c>
      <c r="BZ212" s="48" t="str">
        <f aca="false">IF(AND(Parameter!$B$19="Ja",E212&lt;&gt;"",ISNUMBER(MATCH(E212,Parameter!$I$35:$I$52,0))),VLOOKUP(E212,Parameter!$I$35:$J$52,2,0),IFERROR(VLOOKUP(D212,Parameter!$A$35:$C$64,2,0),"Nein"))</f>
        <v>2+3</v>
      </c>
      <c r="CA212" s="52" t="n">
        <f aca="false">IF(BW212=0,0,IF(N(S212)&gt;0,S212,IFERROR(VLOOKUP(D212,Parameter!$A$35:$C$64,3,0)+0,0)))</f>
        <v>0</v>
      </c>
      <c r="CB212" s="48" t="n">
        <f aca="false">IF(AA212&lt;&gt;"",AA212,Z212)</f>
        <v>3</v>
      </c>
      <c r="CC212" s="48" t="str">
        <f aca="false">IF(OR(CB212=1,CB212=2,CB212=3),IF(Parameter!$E$27="Ja","LIFT",IF(CB212=1,"L1","L23")),IF(CB212="Aussen","Aussen","-"))</f>
        <v>LIFT</v>
      </c>
      <c r="CD212" s="59" t="n">
        <f aca="false">IF(N(AB212)&gt;0,AB212,0)</f>
        <v>0</v>
      </c>
      <c r="CE212" s="53" t="n">
        <f aca="false">IF(ISNUMBER(AE212),1,0)</f>
        <v>0</v>
      </c>
      <c r="CF212" s="50" t="n">
        <f aca="false">N(AE212)</f>
        <v>0</v>
      </c>
      <c r="CG212" s="50" t="n">
        <f aca="false">N(M212)+N(N212)</f>
        <v>64</v>
      </c>
      <c r="CH212" s="50" t="n">
        <f aca="false">ROUNDUP(H212/BV212,0)</f>
        <v>1</v>
      </c>
      <c r="CI212" s="50" t="n">
        <f aca="false">ROUNDUP(CF212/BV212,0)</f>
        <v>0</v>
      </c>
      <c r="CJ212" s="53" t="n">
        <f aca="false">IF(BW212=1,0,IFERROR(VLOOKUP(BU212,'Gebinde-Kategorie'!$A$5:$N$45,5,0)+0,0))</f>
        <v>11</v>
      </c>
      <c r="CK212" s="53" t="n">
        <f aca="false">IFERROR(IF(OR(CB212=1,CB212=2,CB212=3),N(INDEX(Parameter!$I$5:$I$7,CB212)),0),0)</f>
        <v>0</v>
      </c>
      <c r="CL212" s="52" t="n">
        <f aca="false">IF(AND(Parameter!$B$21="Ja",ISNUMBER(W212),N(X212)&gt;0),IFERROR(N(INDEX(Parameter!$L$5:$L$7,W212))*INDEX(Parameter!$E$5:$E$7,W212)*X212/SUMIFS($X$7:$X$1843,$W$7:$W$1843,W212),0),0)</f>
        <v>0</v>
      </c>
    </row>
    <row r="213" customFormat="false" ht="15" hidden="false" customHeight="false" outlineLevel="0" collapsed="false">
      <c r="A213" s="48" t="s">
        <v>626</v>
      </c>
      <c r="B213" s="48" t="s">
        <v>226</v>
      </c>
      <c r="C213" s="48" t="s">
        <v>168</v>
      </c>
      <c r="D213" s="48" t="s">
        <v>177</v>
      </c>
      <c r="E213" s="48" t="s">
        <v>177</v>
      </c>
      <c r="F213" s="48" t="s">
        <v>222</v>
      </c>
      <c r="G213" s="49" t="n">
        <v>165.25</v>
      </c>
      <c r="H213" s="50" t="n">
        <f aca="false">MAX(0,IF(AND(Parameter!$B$21="Ja",ISNUMBER(Y213)),Y213,IF(Parameter!$B$20="Jahresanfang 2025 + Export",BO213+BN213,BN213)))</f>
        <v>39</v>
      </c>
      <c r="I213" s="50" t="n">
        <f aca="false">H213*G213</f>
        <v>6444.75</v>
      </c>
      <c r="J213" s="50" t="n">
        <f aca="false">BQ213*Parameter!$B$18</f>
        <v>122</v>
      </c>
      <c r="K213" s="51" t="n">
        <v>35</v>
      </c>
      <c r="L213" s="52" t="n">
        <v>3.48571428571429</v>
      </c>
      <c r="M213" s="50" t="n">
        <v>10</v>
      </c>
      <c r="N213" s="50" t="n">
        <v>40</v>
      </c>
      <c r="O213" s="53" t="n">
        <v>21</v>
      </c>
      <c r="P213" s="48" t="s">
        <v>263</v>
      </c>
      <c r="Q213" s="50" t="n">
        <v>22</v>
      </c>
      <c r="R213" s="53" t="n">
        <f aca="false">IF(BW213=1,0,IFERROR(VLOOKUP(BU213,'Gebinde-Kategorie'!$A$5:$N$45,13,0)+0,0))</f>
        <v>6</v>
      </c>
      <c r="S213" s="54"/>
      <c r="T213" s="55"/>
      <c r="U213" s="55"/>
      <c r="V213" s="55"/>
      <c r="W213" s="48"/>
      <c r="X213" s="50"/>
      <c r="Y213" s="50"/>
      <c r="Z213" s="48" t="str">
        <f aca="false">IF(A213="","",IF(AND(Parameter!$B$21="Ja",ISNUMBER(W213)),W213,IF(BZ213="2+3",IF(ISNUMBER(SEARCH("grosser Artikel",BR213)),2,IFERROR(VLOOKUP(BU213,Parameter!$F$35:$G$64,2,0),2)),IF(OR(BZ213="Nein",BZ213=""),"-",BZ213))))</f>
        <v>-</v>
      </c>
      <c r="AA213" s="55"/>
      <c r="AB213" s="56"/>
      <c r="AC213" s="50" t="n">
        <f aca="false">AT213</f>
        <v>66</v>
      </c>
      <c r="AD213" s="50" t="n">
        <f aca="false">MAX(AT213,H213)</f>
        <v>66</v>
      </c>
      <c r="AE213" s="57"/>
      <c r="AF213" s="50" t="n">
        <f aca="false">IF(LEFT(Cockpit!$C$5,1)="A",H213,IF(CE213=1,CF213,IF(LEFT(Cockpit!$C$5,1)="B",AK213,MAX(AK213,H213))))</f>
        <v>39</v>
      </c>
      <c r="AG213" s="50" t="n">
        <f aca="false">IF(BW213=1,0,ROUNDUP(AF213/BV213,0))</f>
        <v>2</v>
      </c>
      <c r="AH213" s="52" t="n">
        <f aca="false">IF(CL213&gt;0,CL213*MAX(1,AF213/X213),IF(BW213=1,IF(AF213&lt;=0,0,CA213*MAX(1,IF(H213&gt;0,AF213/H213,1))),IF(R213&gt;0,AG213/R213,0))/MAX(0.1,N(Parameter!$M$21)))</f>
        <v>0.333333333333333</v>
      </c>
      <c r="AI213" s="50" t="n">
        <f aca="false">AH213*BY213</f>
        <v>145</v>
      </c>
      <c r="AJ213" s="50" t="n">
        <f aca="false">AF213*G213</f>
        <v>6444.75</v>
      </c>
      <c r="AK213" s="50" t="n">
        <f aca="false">ROUNDUP(MAX(J213/IF(CD213&gt;0,CD213,MAX(0.1,N(Cockpit!$C$6))),CG213)/BV213,0)*BV213</f>
        <v>66</v>
      </c>
      <c r="AL213" s="51" t="n">
        <f aca="false">IF(AI213&gt;0,J213/AI213,-1)</f>
        <v>0.841379310344828</v>
      </c>
      <c r="AM213" s="51" t="str">
        <f aca="false">IF(AND(OR(CC213="L1",CC213="L23",CC213="LIFT"),AI213&gt;0),SUMIFS($AI$7:$AI$1843,$CC$7:$CC$1843,CC213,$AL$7:$AL$1843,"&gt;"&amp;AL213)+SUMIFS($AI$7:$AI$1843,$CC$7:$CC$1843,CC213,$AL$7:$AL$1843,AL213,$BT$7:$BT$1843,"&lt;="&amp;BT213),"")</f>
        <v/>
      </c>
      <c r="AN213" s="58" t="n">
        <f aca="false">IF(AM213="",0,MAX(0,MIN(1,(IF(CC213="L1",Parameter!$H$5,IF(CC213="L23",Parameter!$H$6+Parameter!$H$7,Parameter!$H$5+Parameter!$H$6+Parameter!$H$7))-(AM213-AI213))/AI213)))</f>
        <v>0</v>
      </c>
      <c r="AO213" s="50" t="n">
        <f aca="false">IF(LEFT(Cockpit!$I$5,1)="A",H213,IF(CE213=1,CF213,IF(LEFT(Cockpit!$I$5,1)="B",AT213,MAX(AT213,H213))))</f>
        <v>66</v>
      </c>
      <c r="AP213" s="50" t="n">
        <f aca="false">IF(BW213=1,0,ROUNDUP(AO213/BV213,0))</f>
        <v>3</v>
      </c>
      <c r="AQ213" s="52" t="n">
        <f aca="false">IF(CL213&gt;0,CL213*MAX(1,AO213/X213),IF(BW213=1,IF(AO213&lt;=0,0,CA213*MAX(1,IF(H213&gt;0,AO213/H213,1))),IF(R213&gt;0,AP213/R213,0))/MAX(0.1,N(Parameter!$M$21)))</f>
        <v>0.5</v>
      </c>
      <c r="AR213" s="50" t="n">
        <f aca="false">AQ213*BY213</f>
        <v>217.5</v>
      </c>
      <c r="AS213" s="50" t="n">
        <f aca="false">AO213*G213</f>
        <v>10906.5</v>
      </c>
      <c r="AT213" s="50" t="n">
        <f aca="false">ROUNDUP(MAX(J213/IF(CD213&gt;0,CD213,MAX(0.1,N(Cockpit!$I$6))),CG213)/BV213,0)*BV213</f>
        <v>66</v>
      </c>
      <c r="AU213" s="51" t="n">
        <f aca="false">IF(AR213&gt;0,J213/AR213,-1)</f>
        <v>0.560919540229885</v>
      </c>
      <c r="AV213" s="51" t="str">
        <f aca="false">IF(AND(OR(CC213="L1",CC213="L23",CC213="LIFT"),AR213&gt;0),SUMIFS($AR$7:$AR$1843,$CC$7:$CC$1843,CC213,$AU$7:$AU$1843,"&gt;"&amp;AU213)+SUMIFS($AR$7:$AR$1843,$CC$7:$CC$1843,CC213,$AU$7:$AU$1843,AU213,$BT$7:$BT$1843,"&lt;="&amp;BT213),"")</f>
        <v/>
      </c>
      <c r="AW213" s="58" t="n">
        <f aca="false">IF(AV213="",0,MAX(0,MIN(1,(IF(CC213="L1",Parameter!$H$5,IF(CC213="L23",Parameter!$H$6+Parameter!$H$7,Parameter!$H$5+Parameter!$H$6+Parameter!$H$7))-(AV213-AR213))/AR213)))</f>
        <v>0</v>
      </c>
      <c r="AX213" s="50" t="n">
        <f aca="false">IF(LEFT(Cockpit!$O$5,1)="A",H213,IF(CE213=1,CF213,IF(LEFT(Cockpit!$O$5,1)="B",BC213,MAX(BC213,H213))))</f>
        <v>66</v>
      </c>
      <c r="AY213" s="50" t="n">
        <f aca="false">IF(BW213=1,0,ROUNDUP(AX213/BV213,0))</f>
        <v>3</v>
      </c>
      <c r="AZ213" s="52" t="n">
        <f aca="false">IF(CL213&gt;0,CL213*MAX(1,AX213/X213),IF(BW213=1,IF(AX213&lt;=0,0,CA213*MAX(1,IF(H213&gt;0,AX213/H213,1))),IF(R213&gt;0,AY213/R213,0))/MAX(0.1,N(Parameter!$M$21)))</f>
        <v>0.5</v>
      </c>
      <c r="BA213" s="50" t="n">
        <f aca="false">AZ213*BY213</f>
        <v>217.5</v>
      </c>
      <c r="BB213" s="50" t="n">
        <f aca="false">AX213*G213</f>
        <v>10906.5</v>
      </c>
      <c r="BC213" s="50" t="n">
        <f aca="false">ROUNDUP(MAX(J213/IF(CD213&gt;0,CD213,MAX(0.1,N(Cockpit!$O$6))),CG213)/BV213,0)*BV213</f>
        <v>66</v>
      </c>
      <c r="BD213" s="51" t="n">
        <f aca="false">IF(BA213&gt;0,J213/BA213,-1)</f>
        <v>0.560919540229885</v>
      </c>
      <c r="BE213" s="51" t="str">
        <f aca="false">IF(AND(OR(CC213="L1",CC213="L23",CC213="LIFT"),BA213&gt;0),SUMIFS($BA$7:$BA$1843,$CC$7:$CC$1843,CC213,$BD$7:$BD$1843,"&gt;"&amp;BD213)+SUMIFS($BA$7:$BA$1843,$CC$7:$CC$1843,CC213,$BD$7:$BD$1843,BD213,$BT$7:$BT$1843,"&lt;="&amp;BT213),"")</f>
        <v/>
      </c>
      <c r="BF213" s="58" t="n">
        <f aca="false">IF(BE213="",0,MAX(0,MIN(1,(IF(CC213="L1",Parameter!$H$5,IF(CC213="L23",Parameter!$H$6+Parameter!$H$7,Parameter!$H$5+Parameter!$H$6+Parameter!$H$7))-(BE213-BA213))/BA213)))</f>
        <v>0</v>
      </c>
      <c r="BG213" s="48" t="str">
        <f aca="false">IF(AI213&lt;=0,"",IF(CC213="Aussen","Aussenlager",IF(CC213="-","Nicht im Lift",IF(AN213&gt;=1,"Lift",IF(AN213&lt;=0,"Aussenlager","teilweise")))))</f>
        <v>Nicht im Lift</v>
      </c>
      <c r="BH213" s="48" t="str">
        <f aca="false">IF(AR213&lt;=0,"",IF(CC213="Aussen","Aussenlager",IF(CC213="-","Nicht im Lift",IF(AW213&gt;=1,"Lift",IF(AW213&lt;=0,"Aussenlager","teilweise")))))</f>
        <v>Nicht im Lift</v>
      </c>
      <c r="BI213" s="48" t="str">
        <f aca="false">IF(BA213&lt;=0,"",IF(CC213="Aussen","Aussenlager",IF(CC213="-","Nicht im Lift",IF(BF213&gt;=1,"Lift",IF(BF213&lt;=0,"Aussenlager","teilweise")))))</f>
        <v>Nicht im Lift</v>
      </c>
      <c r="BJ213" s="48" t="str">
        <f aca="false">IF(A213="","",IF(BS213=1,"Neu; ","")&amp;IF(AND(BS213=0,BN213&lt;0),"negativer Bestand (Export "&amp;BN213&amp;"); ","")&amp;IF(J213&lt;=0,"Kein Verbrauch; ","")&amp;IF(CL213&gt;0,"Lift "&amp;W213&amp;" lt. Liftbericht (Fach "&amp;X213&amp;" Stk); ",IF(BX213=1,"Gebinde geschätzt ("&amp;T213&amp;"); ",IF(BW213=1,"Lose – Tablare geschätzt; ","")))&amp;IF(H213&gt;AT213,"Überbestand "&amp;ROUND(H213-AT213,0)&amp;" Stk / CHF "&amp;ROUND((H213-AT213)*G213,0)&amp;"; ","")&amp;IF(AND(CE213=1,CF213&lt;CG213),"MAX &lt; MB+LG; ","")&amp;IF(AND(CK213&gt;0,CJ213*10&gt;CK213),"zu hoch für Tablar; ","")&amp;IF(AND(BS213=0,OR(CE213=1,AA213&lt;&gt;"",U213&lt;&gt;"",V213&lt;&gt;"",AB213&lt;&gt;"")),"manuell übersteuert; ","")&amp;IF(AND(BW213=0,R213=0),"Gebinde unbekannt / Stellmass fehlt; ","")&amp;IF(AND(BW213=0,N(V213)&lt;=0,N(Q213)&lt;=0),"Menge pro Gebinde fehlt (Ist = 1 Gebinde); ","")&amp;BR213)</f>
        <v/>
      </c>
      <c r="BK213" s="48"/>
      <c r="BL213" s="48"/>
      <c r="BM213" s="55"/>
      <c r="BN213" s="50" t="n">
        <v>8</v>
      </c>
      <c r="BO213" s="50" t="n">
        <v>31</v>
      </c>
      <c r="BP213" s="49" t="n">
        <v>719.980000000002</v>
      </c>
      <c r="BQ213" s="50" t="n">
        <v>122</v>
      </c>
      <c r="BR213" s="48"/>
      <c r="BS213" s="53" t="n">
        <v>0</v>
      </c>
      <c r="BT213" s="53" t="n">
        <v>213</v>
      </c>
      <c r="BU213" s="48" t="str">
        <f aca="false">IF(U213&lt;&gt;"",UPPER(TRIM(U213)),IF(BX213=1,UPPER(VLOOKUP(T213,Parameter!$I$27:$K$29,2,0)),IF(P213="","LOSE",P213)))</f>
        <v>S72</v>
      </c>
      <c r="BV213" s="50" t="n">
        <f aca="false">IF(BU213="LOSE",1,IF(N(V213)&gt;0,V213,IF(BX213=1,MAX(1,N(VLOOKUP(T213,Parameter!$I$27:$K$29,3,0)),H213,N(N213)),IF(N(Q213)&gt;0,Q213,MAX(1,H213)))))</f>
        <v>22</v>
      </c>
      <c r="BW213" s="53" t="n">
        <f aca="false">IF(BU213="LOSE",1,0)</f>
        <v>0</v>
      </c>
      <c r="BX213" s="53" t="n">
        <f aca="false">IF(AND(U213="",OR(P213="",P213="LOSE"),T213&lt;&gt;"",N(S213)&lt;=0,ISNUMBER(MATCH(T213,Parameter!$I$27:$I$29,0))),1,0)</f>
        <v>0</v>
      </c>
      <c r="BY213" s="53" t="n">
        <f aca="false">IF(CL213&gt;0,INDEX(Parameter!$H$5:$H$7,W213)/INDEX(Parameter!$E$5:$E$7,W213),IF(AND(BW213=0,N(IFERROR(VLOOKUP(BU213,'Gebinde-Kategorie'!$A$5:$N$45,14,0),0))&gt;0),VLOOKUP(BU213,'Gebinde-Kategorie'!$A$5:$N$45,14,0)*10+Parameter!$M$23,Parameter!$M$24))</f>
        <v>435</v>
      </c>
      <c r="BZ213" s="48" t="str">
        <f aca="false">IF(AND(Parameter!$B$19="Ja",E213&lt;&gt;"",ISNUMBER(MATCH(E213,Parameter!$I$35:$I$52,0))),VLOOKUP(E213,Parameter!$I$35:$J$52,2,0),IFERROR(VLOOKUP(D213,Parameter!$A$35:$C$64,2,0),"Nein"))</f>
        <v>Nein</v>
      </c>
      <c r="CA213" s="52" t="n">
        <f aca="false">IF(BW213=0,0,IF(N(S213)&gt;0,S213,IFERROR(VLOOKUP(D213,Parameter!$A$35:$C$64,3,0)+0,0)))</f>
        <v>0</v>
      </c>
      <c r="CB213" s="48" t="str">
        <f aca="false">IF(AA213&lt;&gt;"",AA213,Z213)</f>
        <v>-</v>
      </c>
      <c r="CC213" s="48" t="str">
        <f aca="false">IF(OR(CB213=1,CB213=2,CB213=3),IF(Parameter!$E$27="Ja","LIFT",IF(CB213=1,"L1","L23")),IF(CB213="Aussen","Aussen","-"))</f>
        <v>-</v>
      </c>
      <c r="CD213" s="59" t="n">
        <f aca="false">IF(N(AB213)&gt;0,AB213,0)</f>
        <v>0</v>
      </c>
      <c r="CE213" s="53" t="n">
        <f aca="false">IF(ISNUMBER(AE213),1,0)</f>
        <v>0</v>
      </c>
      <c r="CF213" s="50" t="n">
        <f aca="false">N(AE213)</f>
        <v>0</v>
      </c>
      <c r="CG213" s="50" t="n">
        <f aca="false">N(M213)+N(N213)</f>
        <v>50</v>
      </c>
      <c r="CH213" s="50" t="n">
        <f aca="false">ROUNDUP(H213/BV213,0)</f>
        <v>2</v>
      </c>
      <c r="CI213" s="50" t="n">
        <f aca="false">ROUNDUP(CF213/BV213,0)</f>
        <v>0</v>
      </c>
      <c r="CJ213" s="53" t="n">
        <f aca="false">IF(BW213=1,0,IFERROR(VLOOKUP(BU213,'Gebinde-Kategorie'!$A$5:$N$45,5,0)+0,0))</f>
        <v>40</v>
      </c>
      <c r="CK213" s="53" t="n">
        <f aca="false">IFERROR(IF(OR(CB213=1,CB213=2,CB213=3),N(INDEX(Parameter!$I$5:$I$7,CB213)),0),0)</f>
        <v>0</v>
      </c>
      <c r="CL213" s="52" t="n">
        <f aca="false">IF(AND(Parameter!$B$21="Ja",ISNUMBER(W213),N(X213)&gt;0),IFERROR(N(INDEX(Parameter!$L$5:$L$7,W213))*INDEX(Parameter!$E$5:$E$7,W213)*X213/SUMIFS($X$7:$X$1843,$W$7:$W$1843,W213),0),0)</f>
        <v>0</v>
      </c>
    </row>
    <row r="214" customFormat="false" ht="15" hidden="false" customHeight="false" outlineLevel="0" collapsed="false">
      <c r="A214" s="48" t="s">
        <v>627</v>
      </c>
      <c r="B214" s="48" t="s">
        <v>550</v>
      </c>
      <c r="C214" s="48" t="s">
        <v>168</v>
      </c>
      <c r="D214" s="48" t="s">
        <v>188</v>
      </c>
      <c r="E214" s="48"/>
      <c r="F214" s="48" t="s">
        <v>222</v>
      </c>
      <c r="G214" s="49" t="n">
        <v>14.2</v>
      </c>
      <c r="H214" s="50" t="n">
        <f aca="false">MAX(0,IF(AND(Parameter!$B$21="Ja",ISNUMBER(Y214)),Y214,IF(Parameter!$B$20="Jahresanfang 2025 + Export",BO214+BN214,BN214)))</f>
        <v>50</v>
      </c>
      <c r="I214" s="50" t="n">
        <f aca="false">H214*G214</f>
        <v>710</v>
      </c>
      <c r="J214" s="50" t="n">
        <f aca="false">BQ214*Parameter!$B$18</f>
        <v>0</v>
      </c>
      <c r="K214" s="51" t="n">
        <v>0</v>
      </c>
      <c r="L214" s="52" t="n">
        <v>0</v>
      </c>
      <c r="M214" s="50" t="n">
        <v>0</v>
      </c>
      <c r="N214" s="50" t="n">
        <v>1</v>
      </c>
      <c r="O214" s="53" t="n">
        <v>9999</v>
      </c>
      <c r="P214" s="48" t="s">
        <v>172</v>
      </c>
      <c r="Q214" s="50"/>
      <c r="R214" s="53" t="n">
        <f aca="false">IF(BW214=1,0,IFERROR(VLOOKUP(BU214,'Gebinde-Kategorie'!$A$5:$N$45,13,0)+0,0))</f>
        <v>26</v>
      </c>
      <c r="S214" s="54"/>
      <c r="T214" s="55" t="s">
        <v>279</v>
      </c>
      <c r="U214" s="55"/>
      <c r="V214" s="55"/>
      <c r="W214" s="48"/>
      <c r="X214" s="50"/>
      <c r="Y214" s="50"/>
      <c r="Z214" s="48" t="n">
        <f aca="false">IF(A214="","",IF(AND(Parameter!$B$21="Ja",ISNUMBER(W214)),W214,IF(BZ214="2+3",IF(ISNUMBER(SEARCH("grosser Artikel",BR214)),2,IFERROR(VLOOKUP(BU214,Parameter!$F$35:$G$64,2,0),2)),IF(OR(BZ214="Nein",BZ214=""),"-",BZ214))))</f>
        <v>3</v>
      </c>
      <c r="AA214" s="55"/>
      <c r="AB214" s="56"/>
      <c r="AC214" s="50" t="n">
        <f aca="false">AT214</f>
        <v>50</v>
      </c>
      <c r="AD214" s="50" t="n">
        <f aca="false">MAX(AT214,H214)</f>
        <v>50</v>
      </c>
      <c r="AE214" s="57"/>
      <c r="AF214" s="50" t="n">
        <f aca="false">IF(LEFT(Cockpit!$C$5,1)="A",H214,IF(CE214=1,CF214,IF(LEFT(Cockpit!$C$5,1)="B",AK214,MAX(AK214,H214))))</f>
        <v>50</v>
      </c>
      <c r="AG214" s="50" t="n">
        <f aca="false">IF(BW214=1,0,ROUNDUP(AF214/BV214,0))</f>
        <v>1</v>
      </c>
      <c r="AH214" s="52" t="n">
        <f aca="false">IF(CL214&gt;0,CL214*MAX(1,AF214/X214),IF(BW214=1,IF(AF214&lt;=0,0,CA214*MAX(1,IF(H214&gt;0,AF214/H214,1))),IF(R214&gt;0,AG214/R214,0))/MAX(0.1,N(Parameter!$M$21)))</f>
        <v>0.0384615384615385</v>
      </c>
      <c r="AI214" s="50" t="n">
        <f aca="false">AH214*BY214</f>
        <v>5.96153846153846</v>
      </c>
      <c r="AJ214" s="50" t="n">
        <f aca="false">AF214*G214</f>
        <v>710</v>
      </c>
      <c r="AK214" s="50" t="n">
        <f aca="false">ROUNDUP(MAX(J214/IF(CD214&gt;0,CD214,MAX(0.1,N(Cockpit!$C$6))),CG214)/BV214,0)*BV214</f>
        <v>50</v>
      </c>
      <c r="AL214" s="51" t="n">
        <f aca="false">IF(AI214&gt;0,J214/AI214,-1)</f>
        <v>0</v>
      </c>
      <c r="AM214" s="51" t="n">
        <f aca="false">IF(AND(OR(CC214="L1",CC214="L23",CC214="LIFT"),AI214&gt;0),SUMIFS($AI$7:$AI$1843,$CC$7:$CC$1843,CC214,$AL$7:$AL$1843,"&gt;"&amp;AL214)+SUMIFS($AI$7:$AI$1843,$CC$7:$CC$1843,CC214,$AL$7:$AL$1843,AL214,$BT$7:$BT$1843,"&lt;="&amp;BT214),"")</f>
        <v>27536.340827487</v>
      </c>
      <c r="AN214" s="58" t="n">
        <f aca="false">IF(AM214="",0,MAX(0,MIN(1,(IF(CC214="L1",Parameter!$H$5,IF(CC214="L23",Parameter!$H$6+Parameter!$H$7,Parameter!$H$5+Parameter!$H$6+Parameter!$H$7))-(AM214-AI214))/AI214)))</f>
        <v>1</v>
      </c>
      <c r="AO214" s="50" t="n">
        <f aca="false">IF(LEFT(Cockpit!$I$5,1)="A",H214,IF(CE214=1,CF214,IF(LEFT(Cockpit!$I$5,1)="B",AT214,MAX(AT214,H214))))</f>
        <v>50</v>
      </c>
      <c r="AP214" s="50" t="n">
        <f aca="false">IF(BW214=1,0,ROUNDUP(AO214/BV214,0))</f>
        <v>1</v>
      </c>
      <c r="AQ214" s="52" t="n">
        <f aca="false">IF(CL214&gt;0,CL214*MAX(1,AO214/X214),IF(BW214=1,IF(AO214&lt;=0,0,CA214*MAX(1,IF(H214&gt;0,AO214/H214,1))),IF(R214&gt;0,AP214/R214,0))/MAX(0.1,N(Parameter!$M$21)))</f>
        <v>0.0384615384615385</v>
      </c>
      <c r="AR214" s="50" t="n">
        <f aca="false">AQ214*BY214</f>
        <v>5.96153846153846</v>
      </c>
      <c r="AS214" s="50" t="n">
        <f aca="false">AO214*G214</f>
        <v>710</v>
      </c>
      <c r="AT214" s="50" t="n">
        <f aca="false">ROUNDUP(MAX(J214/IF(CD214&gt;0,CD214,MAX(0.1,N(Cockpit!$I$6))),CG214)/BV214,0)*BV214</f>
        <v>50</v>
      </c>
      <c r="AU214" s="51" t="n">
        <f aca="false">IF(AR214&gt;0,J214/AR214,-1)</f>
        <v>0</v>
      </c>
      <c r="AV214" s="51" t="n">
        <f aca="false">IF(AND(OR(CC214="L1",CC214="L23",CC214="LIFT"),AR214&gt;0),SUMIFS($AR$7:$AR$1843,$CC$7:$CC$1843,CC214,$AU$7:$AU$1843,"&gt;"&amp;AU214)+SUMIFS($AR$7:$AR$1843,$CC$7:$CC$1843,CC214,$AU$7:$AU$1843,AU214,$BT$7:$BT$1843,"&lt;="&amp;BT214),"")</f>
        <v>38849.2463447569</v>
      </c>
      <c r="AW214" s="58" t="n">
        <f aca="false">IF(AV214="",0,MAX(0,MIN(1,(IF(CC214="L1",Parameter!$H$5,IF(CC214="L23",Parameter!$H$6+Parameter!$H$7,Parameter!$H$5+Parameter!$H$6+Parameter!$H$7))-(AV214-AR214))/AR214)))</f>
        <v>0</v>
      </c>
      <c r="AX214" s="50" t="n">
        <f aca="false">IF(LEFT(Cockpit!$O$5,1)="A",H214,IF(CE214=1,CF214,IF(LEFT(Cockpit!$O$5,1)="B",BC214,MAX(BC214,H214))))</f>
        <v>50</v>
      </c>
      <c r="AY214" s="50" t="n">
        <f aca="false">IF(BW214=1,0,ROUNDUP(AX214/BV214,0))</f>
        <v>1</v>
      </c>
      <c r="AZ214" s="52" t="n">
        <f aca="false">IF(CL214&gt;0,CL214*MAX(1,AX214/X214),IF(BW214=1,IF(AX214&lt;=0,0,CA214*MAX(1,IF(H214&gt;0,AX214/H214,1))),IF(R214&gt;0,AY214/R214,0))/MAX(0.1,N(Parameter!$M$21)))</f>
        <v>0.0384615384615385</v>
      </c>
      <c r="BA214" s="50" t="n">
        <f aca="false">AZ214*BY214</f>
        <v>5.96153846153846</v>
      </c>
      <c r="BB214" s="50" t="n">
        <f aca="false">AX214*G214</f>
        <v>710</v>
      </c>
      <c r="BC214" s="50" t="n">
        <f aca="false">ROUNDUP(MAX(J214/IF(CD214&gt;0,CD214,MAX(0.1,N(Cockpit!$O$6))),CG214)/BV214,0)*BV214</f>
        <v>50</v>
      </c>
      <c r="BD214" s="51" t="n">
        <f aca="false">IF(BA214&gt;0,J214/BA214,-1)</f>
        <v>0</v>
      </c>
      <c r="BE214" s="51" t="n">
        <f aca="false">IF(AND(OR(CC214="L1",CC214="L23",CC214="LIFT"),BA214&gt;0),SUMIFS($BA$7:$BA$1843,$CC$7:$CC$1843,CC214,$BD$7:$BD$1843,"&gt;"&amp;BD214)+SUMIFS($BA$7:$BA$1843,$CC$7:$CC$1843,CC214,$BD$7:$BD$1843,BD214,$BT$7:$BT$1843,"&lt;="&amp;BT214),"")</f>
        <v>35524.2583866228</v>
      </c>
      <c r="BF214" s="58" t="n">
        <f aca="false">IF(BE214="",0,MAX(0,MIN(1,(IF(CC214="L1",Parameter!$H$5,IF(CC214="L23",Parameter!$H$6+Parameter!$H$7,Parameter!$H$5+Parameter!$H$6+Parameter!$H$7))-(BE214-BA214))/BA214)))</f>
        <v>1</v>
      </c>
      <c r="BG214" s="48" t="str">
        <f aca="false">IF(AI214&lt;=0,"",IF(CC214="Aussen","Aussenlager",IF(CC214="-","Nicht im Lift",IF(AN214&gt;=1,"Lift",IF(AN214&lt;=0,"Aussenlager","teilweise")))))</f>
        <v>Lift</v>
      </c>
      <c r="BH214" s="48" t="str">
        <f aca="false">IF(AR214&lt;=0,"",IF(CC214="Aussen","Aussenlager",IF(CC214="-","Nicht im Lift",IF(AW214&gt;=1,"Lift",IF(AW214&lt;=0,"Aussenlager","teilweise")))))</f>
        <v>Aussenlager</v>
      </c>
      <c r="BI214" s="48" t="str">
        <f aca="false">IF(BA214&lt;=0,"",IF(CC214="Aussen","Aussenlager",IF(CC214="-","Nicht im Lift",IF(BF214&gt;=1,"Lift",IF(BF214&lt;=0,"Aussenlager","teilweise")))))</f>
        <v>Lift</v>
      </c>
      <c r="BJ214" s="48" t="str">
        <f aca="false">IF(A214="","",IF(BS214=1,"Neu; ","")&amp;IF(AND(BS214=0,BN214&lt;0),"negativer Bestand (Export "&amp;BN214&amp;"); ","")&amp;IF(J214&lt;=0,"Kein Verbrauch; ","")&amp;IF(CL214&gt;0,"Lift "&amp;W214&amp;" lt. Liftbericht (Fach "&amp;X214&amp;" Stk); ",IF(BX214=1,"Gebinde geschätzt ("&amp;T214&amp;"); ",IF(BW214=1,"Lose – Tablare geschätzt; ","")))&amp;IF(H214&gt;AT214,"Überbestand "&amp;ROUND(H214-AT214,0)&amp;" Stk / CHF "&amp;ROUND((H214-AT214)*G214,0)&amp;"; ","")&amp;IF(AND(CE214=1,CF214&lt;CG214),"MAX &lt; MB+LG; ","")&amp;IF(AND(CK214&gt;0,CJ214*10&gt;CK214),"zu hoch für Tablar; ","")&amp;IF(AND(BS214=0,OR(CE214=1,AA214&lt;&gt;"",U214&lt;&gt;"",V214&lt;&gt;"",AB214&lt;&gt;"")),"manuell übersteuert; ","")&amp;IF(AND(BW214=0,R214=0),"Gebinde unbekannt / Stellmass fehlt; ","")&amp;IF(AND(BW214=0,N(V214)&lt;=0,N(Q214)&lt;=0),"Menge pro Gebinde fehlt (Ist = 1 Gebinde); ","")&amp;BR214)</f>
        <v>Kein Verbrauch; Gebinde geschätzt (Klein); Menge pro Gebinde fehlt (Ist = 1 Gebinde); </v>
      </c>
      <c r="BK214" s="48"/>
      <c r="BL214" s="48"/>
      <c r="BM214" s="55"/>
      <c r="BN214" s="50" t="n">
        <v>50</v>
      </c>
      <c r="BO214" s="50" t="n">
        <v>0</v>
      </c>
      <c r="BP214" s="49" t="n">
        <v>710</v>
      </c>
      <c r="BQ214" s="50" t="n">
        <v>0</v>
      </c>
      <c r="BR214" s="48"/>
      <c r="BS214" s="53" t="n">
        <v>0</v>
      </c>
      <c r="BT214" s="53" t="n">
        <v>214</v>
      </c>
      <c r="BU214" s="48" t="str">
        <f aca="false">IF(U214&lt;&gt;"",UPPER(TRIM(U214)),IF(BX214=1,UPPER(VLOOKUP(T214,Parameter!$I$27:$K$29,2,0)),IF(P214="","LOSE",P214)))</f>
        <v>S51</v>
      </c>
      <c r="BV214" s="50" t="n">
        <f aca="false">IF(BU214="LOSE",1,IF(N(V214)&gt;0,V214,IF(BX214=1,MAX(1,N(VLOOKUP(T214,Parameter!$I$27:$K$29,3,0)),H214,N(N214)),IF(N(Q214)&gt;0,Q214,MAX(1,H214)))))</f>
        <v>50</v>
      </c>
      <c r="BW214" s="53" t="n">
        <f aca="false">IF(BU214="LOSE",1,0)</f>
        <v>0</v>
      </c>
      <c r="BX214" s="53" t="n">
        <f aca="false">IF(AND(U214="",OR(P214="",P214="LOSE"),T214&lt;&gt;"",N(S214)&lt;=0,ISNUMBER(MATCH(T214,Parameter!$I$27:$I$29,0))),1,0)</f>
        <v>1</v>
      </c>
      <c r="BY214" s="53" t="n">
        <f aca="false">IF(CL214&gt;0,INDEX(Parameter!$H$5:$H$7,W214)/INDEX(Parameter!$E$5:$E$7,W214),IF(AND(BW214=0,N(IFERROR(VLOOKUP(BU214,'Gebinde-Kategorie'!$A$5:$N$45,14,0),0))&gt;0),VLOOKUP(BU214,'Gebinde-Kategorie'!$A$5:$N$45,14,0)*10+Parameter!$M$23,Parameter!$M$24))</f>
        <v>155</v>
      </c>
      <c r="BZ214" s="48" t="str">
        <f aca="false">IF(AND(Parameter!$B$19="Ja",E214&lt;&gt;"",ISNUMBER(MATCH(E214,Parameter!$I$35:$I$52,0))),VLOOKUP(E214,Parameter!$I$35:$J$52,2,0),IFERROR(VLOOKUP(D214,Parameter!$A$35:$C$64,2,0),"Nein"))</f>
        <v>2+3</v>
      </c>
      <c r="CA214" s="52" t="n">
        <f aca="false">IF(BW214=0,0,IF(N(S214)&gt;0,S214,IFERROR(VLOOKUP(D214,Parameter!$A$35:$C$64,3,0)+0,0)))</f>
        <v>0</v>
      </c>
      <c r="CB214" s="48" t="n">
        <f aca="false">IF(AA214&lt;&gt;"",AA214,Z214)</f>
        <v>3</v>
      </c>
      <c r="CC214" s="48" t="str">
        <f aca="false">IF(OR(CB214=1,CB214=2,CB214=3),IF(Parameter!$E$27="Ja","LIFT",IF(CB214=1,"L1","L23")),IF(CB214="Aussen","Aussen","-"))</f>
        <v>LIFT</v>
      </c>
      <c r="CD214" s="59" t="n">
        <f aca="false">IF(N(AB214)&gt;0,AB214,0)</f>
        <v>0</v>
      </c>
      <c r="CE214" s="53" t="n">
        <f aca="false">IF(ISNUMBER(AE214),1,0)</f>
        <v>0</v>
      </c>
      <c r="CF214" s="50" t="n">
        <f aca="false">N(AE214)</f>
        <v>0</v>
      </c>
      <c r="CG214" s="50" t="n">
        <f aca="false">N(M214)+N(N214)</f>
        <v>1</v>
      </c>
      <c r="CH214" s="50" t="n">
        <f aca="false">ROUNDUP(H214/BV214,0)</f>
        <v>1</v>
      </c>
      <c r="CI214" s="50" t="n">
        <f aca="false">ROUNDUP(CF214/BV214,0)</f>
        <v>0</v>
      </c>
      <c r="CJ214" s="53" t="n">
        <f aca="false">IF(BW214=1,0,IFERROR(VLOOKUP(BU214,'Gebinde-Kategorie'!$A$5:$N$45,5,0)+0,0))</f>
        <v>11</v>
      </c>
      <c r="CK214" s="53" t="n">
        <f aca="false">IFERROR(IF(OR(CB214=1,CB214=2,CB214=3),N(INDEX(Parameter!$I$5:$I$7,CB214)),0),0)</f>
        <v>0</v>
      </c>
      <c r="CL214" s="52" t="n">
        <f aca="false">IF(AND(Parameter!$B$21="Ja",ISNUMBER(W214),N(X214)&gt;0),IFERROR(N(INDEX(Parameter!$L$5:$L$7,W214))*INDEX(Parameter!$E$5:$E$7,W214)*X214/SUMIFS($X$7:$X$1843,$W$7:$W$1843,W214),0),0)</f>
        <v>0</v>
      </c>
    </row>
    <row r="215" customFormat="false" ht="15" hidden="false" customHeight="false" outlineLevel="0" collapsed="false">
      <c r="A215" s="48" t="s">
        <v>628</v>
      </c>
      <c r="B215" s="48" t="s">
        <v>387</v>
      </c>
      <c r="C215" s="48" t="s">
        <v>168</v>
      </c>
      <c r="D215" s="48" t="s">
        <v>188</v>
      </c>
      <c r="E215" s="48" t="s">
        <v>189</v>
      </c>
      <c r="F215" s="48" t="s">
        <v>222</v>
      </c>
      <c r="G215" s="49" t="n">
        <v>223.2</v>
      </c>
      <c r="H215" s="50" t="n">
        <f aca="false">MAX(0,IF(AND(Parameter!$B$21="Ja",ISNUMBER(Y215)),Y215,IF(Parameter!$B$20="Jahresanfang 2025 + Export",BO215+BN215,BN215)))</f>
        <v>10</v>
      </c>
      <c r="I215" s="50" t="n">
        <f aca="false">H215*G215</f>
        <v>2232</v>
      </c>
      <c r="J215" s="50" t="n">
        <f aca="false">BQ215*Parameter!$B$18</f>
        <v>22</v>
      </c>
      <c r="K215" s="51" t="n">
        <v>6.5</v>
      </c>
      <c r="L215" s="52" t="n">
        <v>3.38461538461539</v>
      </c>
      <c r="M215" s="50" t="n">
        <v>1</v>
      </c>
      <c r="N215" s="50" t="n">
        <v>5</v>
      </c>
      <c r="O215" s="53" t="n">
        <v>21</v>
      </c>
      <c r="P215" s="48" t="s">
        <v>297</v>
      </c>
      <c r="Q215" s="50" t="n">
        <v>18</v>
      </c>
      <c r="R215" s="53" t="n">
        <f aca="false">IF(BW215=1,0,IFERROR(VLOOKUP(BU215,'Gebinde-Kategorie'!$A$5:$N$45,13,0)+0,0))</f>
        <v>12</v>
      </c>
      <c r="S215" s="54"/>
      <c r="T215" s="55"/>
      <c r="U215" s="55"/>
      <c r="V215" s="55"/>
      <c r="W215" s="48"/>
      <c r="X215" s="50"/>
      <c r="Y215" s="50"/>
      <c r="Z215" s="48" t="n">
        <f aca="false">IF(A215="","",IF(AND(Parameter!$B$21="Ja",ISNUMBER(W215)),W215,IF(BZ215="2+3",IF(ISNUMBER(SEARCH("grosser Artikel",BR215)),2,IFERROR(VLOOKUP(BU215,Parameter!$F$35:$G$64,2,0),2)),IF(OR(BZ215="Nein",BZ215=""),"-",BZ215))))</f>
        <v>2</v>
      </c>
      <c r="AA215" s="55"/>
      <c r="AB215" s="56"/>
      <c r="AC215" s="50" t="n">
        <f aca="false">AT215</f>
        <v>18</v>
      </c>
      <c r="AD215" s="50" t="n">
        <f aca="false">MAX(AT215,H215)</f>
        <v>18</v>
      </c>
      <c r="AE215" s="57"/>
      <c r="AF215" s="50" t="n">
        <f aca="false">IF(LEFT(Cockpit!$C$5,1)="A",H215,IF(CE215=1,CF215,IF(LEFT(Cockpit!$C$5,1)="B",AK215,MAX(AK215,H215))))</f>
        <v>10</v>
      </c>
      <c r="AG215" s="50" t="n">
        <f aca="false">IF(BW215=1,0,ROUNDUP(AF215/BV215,0))</f>
        <v>1</v>
      </c>
      <c r="AH215" s="52" t="n">
        <f aca="false">IF(CL215&gt;0,CL215*MAX(1,AF215/X215),IF(BW215=1,IF(AF215&lt;=0,0,CA215*MAX(1,IF(H215&gt;0,AF215/H215,1))),IF(R215&gt;0,AG215/R215,0))/MAX(0.1,N(Parameter!$M$21)))</f>
        <v>0.0833333333333333</v>
      </c>
      <c r="AI215" s="50" t="n">
        <f aca="false">AH215*BY215</f>
        <v>20.4166666666667</v>
      </c>
      <c r="AJ215" s="50" t="n">
        <f aca="false">AF215*G215</f>
        <v>2232</v>
      </c>
      <c r="AK215" s="50" t="n">
        <f aca="false">ROUNDUP(MAX(J215/IF(CD215&gt;0,CD215,MAX(0.1,N(Cockpit!$C$6))),CG215)/BV215,0)*BV215</f>
        <v>18</v>
      </c>
      <c r="AL215" s="51" t="n">
        <f aca="false">IF(AI215&gt;0,J215/AI215,-1)</f>
        <v>1.07755102040816</v>
      </c>
      <c r="AM215" s="51" t="n">
        <f aca="false">IF(AND(OR(CC215="L1",CC215="L23",CC215="LIFT"),AI215&gt;0),SUMIFS($AI$7:$AI$1843,$CC$7:$CC$1843,CC215,$AL$7:$AL$1843,"&gt;"&amp;AL215)+SUMIFS($AI$7:$AI$1843,$CC$7:$CC$1843,CC215,$AL$7:$AL$1843,AL215,$BT$7:$BT$1843,"&lt;="&amp;BT215),"")</f>
        <v>6903.13507326007</v>
      </c>
      <c r="AN215" s="58" t="n">
        <f aca="false">IF(AM215="",0,MAX(0,MIN(1,(IF(CC215="L1",Parameter!$H$5,IF(CC215="L23",Parameter!$H$6+Parameter!$H$7,Parameter!$H$5+Parameter!$H$6+Parameter!$H$7))-(AM215-AI215))/AI215)))</f>
        <v>1</v>
      </c>
      <c r="AO215" s="50" t="n">
        <f aca="false">IF(LEFT(Cockpit!$I$5,1)="A",H215,IF(CE215=1,CF215,IF(LEFT(Cockpit!$I$5,1)="B",AT215,MAX(AT215,H215))))</f>
        <v>18</v>
      </c>
      <c r="AP215" s="50" t="n">
        <f aca="false">IF(BW215=1,0,ROUNDUP(AO215/BV215,0))</f>
        <v>1</v>
      </c>
      <c r="AQ215" s="52" t="n">
        <f aca="false">IF(CL215&gt;0,CL215*MAX(1,AO215/X215),IF(BW215=1,IF(AO215&lt;=0,0,CA215*MAX(1,IF(H215&gt;0,AO215/H215,1))),IF(R215&gt;0,AP215/R215,0))/MAX(0.1,N(Parameter!$M$21)))</f>
        <v>0.0833333333333333</v>
      </c>
      <c r="AR215" s="50" t="n">
        <f aca="false">AQ215*BY215</f>
        <v>20.4166666666667</v>
      </c>
      <c r="AS215" s="50" t="n">
        <f aca="false">AO215*G215</f>
        <v>4017.6</v>
      </c>
      <c r="AT215" s="50" t="n">
        <f aca="false">ROUNDUP(MAX(J215/IF(CD215&gt;0,CD215,MAX(0.1,N(Cockpit!$I$6))),CG215)/BV215,0)*BV215</f>
        <v>18</v>
      </c>
      <c r="AU215" s="51" t="n">
        <f aca="false">IF(AR215&gt;0,J215/AR215,-1)</f>
        <v>1.07755102040816</v>
      </c>
      <c r="AV215" s="51" t="n">
        <f aca="false">IF(AND(OR(CC215="L1",CC215="L23",CC215="LIFT"),AR215&gt;0),SUMIFS($AR$7:$AR$1843,$CC$7:$CC$1843,CC215,$AU$7:$AU$1843,"&gt;"&amp;AU215)+SUMIFS($AR$7:$AR$1843,$CC$7:$CC$1843,CC215,$AU$7:$AU$1843,AU215,$BT$7:$BT$1843,"&lt;="&amp;BT215),"")</f>
        <v>9963.14194139194</v>
      </c>
      <c r="AW215" s="58" t="n">
        <f aca="false">IF(AV215="",0,MAX(0,MIN(1,(IF(CC215="L1",Parameter!$H$5,IF(CC215="L23",Parameter!$H$6+Parameter!$H$7,Parameter!$H$5+Parameter!$H$6+Parameter!$H$7))-(AV215-AR215))/AR215)))</f>
        <v>1</v>
      </c>
      <c r="AX215" s="50" t="n">
        <f aca="false">IF(LEFT(Cockpit!$O$5,1)="A",H215,IF(CE215=1,CF215,IF(LEFT(Cockpit!$O$5,1)="B",BC215,MAX(BC215,H215))))</f>
        <v>18</v>
      </c>
      <c r="AY215" s="50" t="n">
        <f aca="false">IF(BW215=1,0,ROUNDUP(AX215/BV215,0))</f>
        <v>1</v>
      </c>
      <c r="AZ215" s="52" t="n">
        <f aca="false">IF(CL215&gt;0,CL215*MAX(1,AX215/X215),IF(BW215=1,IF(AX215&lt;=0,0,CA215*MAX(1,IF(H215&gt;0,AX215/H215,1))),IF(R215&gt;0,AY215/R215,0))/MAX(0.1,N(Parameter!$M$21)))</f>
        <v>0.0833333333333333</v>
      </c>
      <c r="BA215" s="50" t="n">
        <f aca="false">AZ215*BY215</f>
        <v>20.4166666666667</v>
      </c>
      <c r="BB215" s="50" t="n">
        <f aca="false">AX215*G215</f>
        <v>4017.6</v>
      </c>
      <c r="BC215" s="50" t="n">
        <f aca="false">ROUNDUP(MAX(J215/IF(CD215&gt;0,CD215,MAX(0.1,N(Cockpit!$O$6))),CG215)/BV215,0)*BV215</f>
        <v>18</v>
      </c>
      <c r="BD215" s="51" t="n">
        <f aca="false">IF(BA215&gt;0,J215/BA215,-1)</f>
        <v>1.07755102040816</v>
      </c>
      <c r="BE215" s="51" t="n">
        <f aca="false">IF(AND(OR(CC215="L1",CC215="L23",CC215="LIFT"),BA215&gt;0),SUMIFS($BA$7:$BA$1843,$CC$7:$CC$1843,CC215,$BD$7:$BD$1843,"&gt;"&amp;BD215)+SUMIFS($BA$7:$BA$1843,$CC$7:$CC$1843,CC215,$BD$7:$BD$1843,BD215,$BT$7:$BT$1843,"&lt;="&amp;BT215),"")</f>
        <v>8973.79899267399</v>
      </c>
      <c r="BF215" s="58" t="n">
        <f aca="false">IF(BE215="",0,MAX(0,MIN(1,(IF(CC215="L1",Parameter!$H$5,IF(CC215="L23",Parameter!$H$6+Parameter!$H$7,Parameter!$H$5+Parameter!$H$6+Parameter!$H$7))-(BE215-BA215))/BA215)))</f>
        <v>1</v>
      </c>
      <c r="BG215" s="48" t="str">
        <f aca="false">IF(AI215&lt;=0,"",IF(CC215="Aussen","Aussenlager",IF(CC215="-","Nicht im Lift",IF(AN215&gt;=1,"Lift",IF(AN215&lt;=0,"Aussenlager","teilweise")))))</f>
        <v>Lift</v>
      </c>
      <c r="BH215" s="48" t="str">
        <f aca="false">IF(AR215&lt;=0,"",IF(CC215="Aussen","Aussenlager",IF(CC215="-","Nicht im Lift",IF(AW215&gt;=1,"Lift",IF(AW215&lt;=0,"Aussenlager","teilweise")))))</f>
        <v>Lift</v>
      </c>
      <c r="BI215" s="48" t="str">
        <f aca="false">IF(BA215&lt;=0,"",IF(CC215="Aussen","Aussenlager",IF(CC215="-","Nicht im Lift",IF(BF215&gt;=1,"Lift",IF(BF215&lt;=0,"Aussenlager","teilweise")))))</f>
        <v>Lift</v>
      </c>
      <c r="BJ215" s="48" t="str">
        <f aca="false">IF(A215="","",IF(BS215=1,"Neu; ","")&amp;IF(AND(BS215=0,BN215&lt;0),"negativer Bestand (Export "&amp;BN215&amp;"); ","")&amp;IF(J215&lt;=0,"Kein Verbrauch; ","")&amp;IF(CL215&gt;0,"Lift "&amp;W215&amp;" lt. Liftbericht (Fach "&amp;X215&amp;" Stk); ",IF(BX215=1,"Gebinde geschätzt ("&amp;T215&amp;"); ",IF(BW215=1,"Lose – Tablare geschätzt; ","")))&amp;IF(H215&gt;AT215,"Überbestand "&amp;ROUND(H215-AT215,0)&amp;" Stk / CHF "&amp;ROUND((H215-AT215)*G215,0)&amp;"; ","")&amp;IF(AND(CE215=1,CF215&lt;CG215),"MAX &lt; MB+LG; ","")&amp;IF(AND(CK215&gt;0,CJ215*10&gt;CK215),"zu hoch für Tablar; ","")&amp;IF(AND(BS215=0,OR(CE215=1,AA215&lt;&gt;"",U215&lt;&gt;"",V215&lt;&gt;"",AB215&lt;&gt;"")),"manuell übersteuert; ","")&amp;IF(AND(BW215=0,R215=0),"Gebinde unbekannt / Stellmass fehlt; ","")&amp;IF(AND(BW215=0,N(V215)&lt;=0,N(Q215)&lt;=0),"Menge pro Gebinde fehlt (Ist = 1 Gebinde); ","")&amp;BR215)</f>
        <v/>
      </c>
      <c r="BK215" s="48"/>
      <c r="BL215" s="48"/>
      <c r="BM215" s="55"/>
      <c r="BN215" s="50" t="n">
        <v>3</v>
      </c>
      <c r="BO215" s="50" t="n">
        <v>7</v>
      </c>
      <c r="BP215" s="49" t="n">
        <v>705.600000000001</v>
      </c>
      <c r="BQ215" s="50" t="n">
        <v>22</v>
      </c>
      <c r="BR215" s="48"/>
      <c r="BS215" s="53" t="n">
        <v>0</v>
      </c>
      <c r="BT215" s="53" t="n">
        <v>215</v>
      </c>
      <c r="BU215" s="48" t="str">
        <f aca="false">IF(U215&lt;&gt;"",UPPER(TRIM(U215)),IF(BX215=1,UPPER(VLOOKUP(T215,Parameter!$I$27:$K$29,2,0)),IF(P215="","LOSE",P215)))</f>
        <v>S62</v>
      </c>
      <c r="BV215" s="50" t="n">
        <f aca="false">IF(BU215="LOSE",1,IF(N(V215)&gt;0,V215,IF(BX215=1,MAX(1,N(VLOOKUP(T215,Parameter!$I$27:$K$29,3,0)),H215,N(N215)),IF(N(Q215)&gt;0,Q215,MAX(1,H215)))))</f>
        <v>18</v>
      </c>
      <c r="BW215" s="53" t="n">
        <f aca="false">IF(BU215="LOSE",1,0)</f>
        <v>0</v>
      </c>
      <c r="BX215" s="53" t="n">
        <f aca="false">IF(AND(U215="",OR(P215="",P215="LOSE"),T215&lt;&gt;"",N(S215)&lt;=0,ISNUMBER(MATCH(T215,Parameter!$I$27:$I$29,0))),1,0)</f>
        <v>0</v>
      </c>
      <c r="BY215" s="53" t="n">
        <f aca="false">IF(CL215&gt;0,INDEX(Parameter!$H$5:$H$7,W215)/INDEX(Parameter!$E$5:$E$7,W215),IF(AND(BW215=0,N(IFERROR(VLOOKUP(BU215,'Gebinde-Kategorie'!$A$5:$N$45,14,0),0))&gt;0),VLOOKUP(BU215,'Gebinde-Kategorie'!$A$5:$N$45,14,0)*10+Parameter!$M$23,Parameter!$M$24))</f>
        <v>245</v>
      </c>
      <c r="BZ215" s="48" t="str">
        <f aca="false">IF(AND(Parameter!$B$19="Ja",E215&lt;&gt;"",ISNUMBER(MATCH(E215,Parameter!$I$35:$I$52,0))),VLOOKUP(E215,Parameter!$I$35:$J$52,2,0),IFERROR(VLOOKUP(D215,Parameter!$A$35:$C$64,2,0),"Nein"))</f>
        <v>2+3</v>
      </c>
      <c r="CA215" s="52" t="n">
        <f aca="false">IF(BW215=0,0,IF(N(S215)&gt;0,S215,IFERROR(VLOOKUP(D215,Parameter!$A$35:$C$64,3,0)+0,0)))</f>
        <v>0</v>
      </c>
      <c r="CB215" s="48" t="n">
        <f aca="false">IF(AA215&lt;&gt;"",AA215,Z215)</f>
        <v>2</v>
      </c>
      <c r="CC215" s="48" t="str">
        <f aca="false">IF(OR(CB215=1,CB215=2,CB215=3),IF(Parameter!$E$27="Ja","LIFT",IF(CB215=1,"L1","L23")),IF(CB215="Aussen","Aussen","-"))</f>
        <v>LIFT</v>
      </c>
      <c r="CD215" s="59" t="n">
        <f aca="false">IF(N(AB215)&gt;0,AB215,0)</f>
        <v>0</v>
      </c>
      <c r="CE215" s="53" t="n">
        <f aca="false">IF(ISNUMBER(AE215),1,0)</f>
        <v>0</v>
      </c>
      <c r="CF215" s="50" t="n">
        <f aca="false">N(AE215)</f>
        <v>0</v>
      </c>
      <c r="CG215" s="50" t="n">
        <f aca="false">N(M215)+N(N215)</f>
        <v>6</v>
      </c>
      <c r="CH215" s="50" t="n">
        <f aca="false">ROUNDUP(H215/BV215,0)</f>
        <v>1</v>
      </c>
      <c r="CI215" s="50" t="n">
        <f aca="false">ROUNDUP(CF215/BV215,0)</f>
        <v>0</v>
      </c>
      <c r="CJ215" s="53" t="n">
        <f aca="false">IF(BW215=1,0,IFERROR(VLOOKUP(BU215,'Gebinde-Kategorie'!$A$5:$N$45,5,0)+0,0))</f>
        <v>21</v>
      </c>
      <c r="CK215" s="53" t="n">
        <f aca="false">IFERROR(IF(OR(CB215=1,CB215=2,CB215=3),N(INDEX(Parameter!$I$5:$I$7,CB215)),0),0)</f>
        <v>0</v>
      </c>
      <c r="CL215" s="52" t="n">
        <f aca="false">IF(AND(Parameter!$B$21="Ja",ISNUMBER(W215),N(X215)&gt;0),IFERROR(N(INDEX(Parameter!$L$5:$L$7,W215))*INDEX(Parameter!$E$5:$E$7,W215)*X215/SUMIFS($X$7:$X$1843,$W$7:$W$1843,W215),0),0)</f>
        <v>0</v>
      </c>
    </row>
    <row r="216" customFormat="false" ht="15" hidden="false" customHeight="false" outlineLevel="0" collapsed="false">
      <c r="A216" s="48" t="s">
        <v>629</v>
      </c>
      <c r="B216" s="48" t="s">
        <v>511</v>
      </c>
      <c r="C216" s="48" t="s">
        <v>168</v>
      </c>
      <c r="D216" s="48" t="s">
        <v>188</v>
      </c>
      <c r="E216" s="48" t="s">
        <v>189</v>
      </c>
      <c r="F216" s="48" t="s">
        <v>222</v>
      </c>
      <c r="G216" s="49" t="n">
        <v>29.19</v>
      </c>
      <c r="H216" s="50" t="n">
        <f aca="false">MAX(0,IF(AND(Parameter!$B$21="Ja",ISNUMBER(Y216)),Y216,IF(Parameter!$B$20="Jahresanfang 2025 + Export",BO216+BN216,BN216)))</f>
        <v>39</v>
      </c>
      <c r="I216" s="50" t="n">
        <f aca="false">H216*G216</f>
        <v>1138.41</v>
      </c>
      <c r="J216" s="50" t="n">
        <f aca="false">BQ216*Parameter!$B$18</f>
        <v>0</v>
      </c>
      <c r="K216" s="51" t="n">
        <v>27</v>
      </c>
      <c r="L216" s="52" t="n">
        <v>0</v>
      </c>
      <c r="M216" s="50" t="n">
        <v>0</v>
      </c>
      <c r="N216" s="50" t="n">
        <v>1</v>
      </c>
      <c r="O216" s="53" t="n">
        <v>21</v>
      </c>
      <c r="P216" s="48" t="s">
        <v>237</v>
      </c>
      <c r="Q216" s="50" t="n">
        <v>24</v>
      </c>
      <c r="R216" s="53" t="n">
        <f aca="false">IF(BW216=1,0,IFERROR(VLOOKUP(BU216,'Gebinde-Kategorie'!$A$5:$N$45,13,0)+0,0))</f>
        <v>26</v>
      </c>
      <c r="S216" s="54"/>
      <c r="T216" s="55"/>
      <c r="U216" s="55"/>
      <c r="V216" s="55"/>
      <c r="W216" s="48"/>
      <c r="X216" s="50"/>
      <c r="Y216" s="50"/>
      <c r="Z216" s="48" t="n">
        <f aca="false">IF(A216="","",IF(AND(Parameter!$B$21="Ja",ISNUMBER(W216)),W216,IF(BZ216="2+3",IF(ISNUMBER(SEARCH("grosser Artikel",BR216)),2,IFERROR(VLOOKUP(BU216,Parameter!$F$35:$G$64,2,0),2)),IF(OR(BZ216="Nein",BZ216=""),"-",BZ216))))</f>
        <v>3</v>
      </c>
      <c r="AA216" s="55"/>
      <c r="AB216" s="56"/>
      <c r="AC216" s="50" t="n">
        <f aca="false">AT216</f>
        <v>24</v>
      </c>
      <c r="AD216" s="50" t="n">
        <f aca="false">MAX(AT216,H216)</f>
        <v>39</v>
      </c>
      <c r="AE216" s="57"/>
      <c r="AF216" s="50" t="n">
        <f aca="false">IF(LEFT(Cockpit!$C$5,1)="A",H216,IF(CE216=1,CF216,IF(LEFT(Cockpit!$C$5,1)="B",AK216,MAX(AK216,H216))))</f>
        <v>39</v>
      </c>
      <c r="AG216" s="50" t="n">
        <f aca="false">IF(BW216=1,0,ROUNDUP(AF216/BV216,0))</f>
        <v>2</v>
      </c>
      <c r="AH216" s="52" t="n">
        <f aca="false">IF(CL216&gt;0,CL216*MAX(1,AF216/X216),IF(BW216=1,IF(AF216&lt;=0,0,CA216*MAX(1,IF(H216&gt;0,AF216/H216,1))),IF(R216&gt;0,AG216/R216,0))/MAX(0.1,N(Parameter!$M$21)))</f>
        <v>0.0769230769230769</v>
      </c>
      <c r="AI216" s="50" t="n">
        <f aca="false">AH216*BY216</f>
        <v>18.8461538461538</v>
      </c>
      <c r="AJ216" s="50" t="n">
        <f aca="false">AF216*G216</f>
        <v>1138.41</v>
      </c>
      <c r="AK216" s="50" t="n">
        <f aca="false">ROUNDUP(MAX(J216/IF(CD216&gt;0,CD216,MAX(0.1,N(Cockpit!$C$6))),CG216)/BV216,0)*BV216</f>
        <v>24</v>
      </c>
      <c r="AL216" s="51" t="n">
        <f aca="false">IF(AI216&gt;0,J216/AI216,-1)</f>
        <v>0</v>
      </c>
      <c r="AM216" s="51" t="n">
        <f aca="false">IF(AND(OR(CC216="L1",CC216="L23",CC216="LIFT"),AI216&gt;0),SUMIFS($AI$7:$AI$1843,$CC$7:$CC$1843,CC216,$AL$7:$AL$1843,"&gt;"&amp;AL216)+SUMIFS($AI$7:$AI$1843,$CC$7:$CC$1843,CC216,$AL$7:$AL$1843,AL216,$BT$7:$BT$1843,"&lt;="&amp;BT216),"")</f>
        <v>27555.1869813332</v>
      </c>
      <c r="AN216" s="58" t="n">
        <f aca="false">IF(AM216="",0,MAX(0,MIN(1,(IF(CC216="L1",Parameter!$H$5,IF(CC216="L23",Parameter!$H$6+Parameter!$H$7,Parameter!$H$5+Parameter!$H$6+Parameter!$H$7))-(AM216-AI216))/AI216)))</f>
        <v>1</v>
      </c>
      <c r="AO216" s="50" t="n">
        <f aca="false">IF(LEFT(Cockpit!$I$5,1)="A",H216,IF(CE216=1,CF216,IF(LEFT(Cockpit!$I$5,1)="B",AT216,MAX(AT216,H216))))</f>
        <v>39</v>
      </c>
      <c r="AP216" s="50" t="n">
        <f aca="false">IF(BW216=1,0,ROUNDUP(AO216/BV216,0))</f>
        <v>2</v>
      </c>
      <c r="AQ216" s="52" t="n">
        <f aca="false">IF(CL216&gt;0,CL216*MAX(1,AO216/X216),IF(BW216=1,IF(AO216&lt;=0,0,CA216*MAX(1,IF(H216&gt;0,AO216/H216,1))),IF(R216&gt;0,AP216/R216,0))/MAX(0.1,N(Parameter!$M$21)))</f>
        <v>0.0769230769230769</v>
      </c>
      <c r="AR216" s="50" t="n">
        <f aca="false">AQ216*BY216</f>
        <v>18.8461538461538</v>
      </c>
      <c r="AS216" s="50" t="n">
        <f aca="false">AO216*G216</f>
        <v>1138.41</v>
      </c>
      <c r="AT216" s="50" t="n">
        <f aca="false">ROUNDUP(MAX(J216/IF(CD216&gt;0,CD216,MAX(0.1,N(Cockpit!$I$6))),CG216)/BV216,0)*BV216</f>
        <v>24</v>
      </c>
      <c r="AU216" s="51" t="n">
        <f aca="false">IF(AR216&gt;0,J216/AR216,-1)</f>
        <v>0</v>
      </c>
      <c r="AV216" s="51" t="n">
        <f aca="false">IF(AND(OR(CC216="L1",CC216="L23",CC216="LIFT"),AR216&gt;0),SUMIFS($AR$7:$AR$1843,$CC$7:$CC$1843,CC216,$AU$7:$AU$1843,"&gt;"&amp;AU216)+SUMIFS($AR$7:$AR$1843,$CC$7:$CC$1843,CC216,$AU$7:$AU$1843,AU216,$BT$7:$BT$1843,"&lt;="&amp;BT216),"")</f>
        <v>38868.0924986031</v>
      </c>
      <c r="AW216" s="58" t="n">
        <f aca="false">IF(AV216="",0,MAX(0,MIN(1,(IF(CC216="L1",Parameter!$H$5,IF(CC216="L23",Parameter!$H$6+Parameter!$H$7,Parameter!$H$5+Parameter!$H$6+Parameter!$H$7))-(AV216-AR216))/AR216)))</f>
        <v>0</v>
      </c>
      <c r="AX216" s="50" t="n">
        <f aca="false">IF(LEFT(Cockpit!$O$5,1)="A",H216,IF(CE216=1,CF216,IF(LEFT(Cockpit!$O$5,1)="B",BC216,MAX(BC216,H216))))</f>
        <v>39</v>
      </c>
      <c r="AY216" s="50" t="n">
        <f aca="false">IF(BW216=1,0,ROUNDUP(AX216/BV216,0))</f>
        <v>2</v>
      </c>
      <c r="AZ216" s="52" t="n">
        <f aca="false">IF(CL216&gt;0,CL216*MAX(1,AX216/X216),IF(BW216=1,IF(AX216&lt;=0,0,CA216*MAX(1,IF(H216&gt;0,AX216/H216,1))),IF(R216&gt;0,AY216/R216,0))/MAX(0.1,N(Parameter!$M$21)))</f>
        <v>0.0769230769230769</v>
      </c>
      <c r="BA216" s="50" t="n">
        <f aca="false">AZ216*BY216</f>
        <v>18.8461538461538</v>
      </c>
      <c r="BB216" s="50" t="n">
        <f aca="false">AX216*G216</f>
        <v>1138.41</v>
      </c>
      <c r="BC216" s="50" t="n">
        <f aca="false">ROUNDUP(MAX(J216/IF(CD216&gt;0,CD216,MAX(0.1,N(Cockpit!$O$6))),CG216)/BV216,0)*BV216</f>
        <v>24</v>
      </c>
      <c r="BD216" s="51" t="n">
        <f aca="false">IF(BA216&gt;0,J216/BA216,-1)</f>
        <v>0</v>
      </c>
      <c r="BE216" s="51" t="n">
        <f aca="false">IF(AND(OR(CC216="L1",CC216="L23",CC216="LIFT"),BA216&gt;0),SUMIFS($BA$7:$BA$1843,$CC$7:$CC$1843,CC216,$BD$7:$BD$1843,"&gt;"&amp;BD216)+SUMIFS($BA$7:$BA$1843,$CC$7:$CC$1843,CC216,$BD$7:$BD$1843,BD216,$BT$7:$BT$1843,"&lt;="&amp;BT216),"")</f>
        <v>35543.104540469</v>
      </c>
      <c r="BF216" s="58" t="n">
        <f aca="false">IF(BE216="",0,MAX(0,MIN(1,(IF(CC216="L1",Parameter!$H$5,IF(CC216="L23",Parameter!$H$6+Parameter!$H$7,Parameter!$H$5+Parameter!$H$6+Parameter!$H$7))-(BE216-BA216))/BA216)))</f>
        <v>1</v>
      </c>
      <c r="BG216" s="48" t="str">
        <f aca="false">IF(AI216&lt;=0,"",IF(CC216="Aussen","Aussenlager",IF(CC216="-","Nicht im Lift",IF(AN216&gt;=1,"Lift",IF(AN216&lt;=0,"Aussenlager","teilweise")))))</f>
        <v>Lift</v>
      </c>
      <c r="BH216" s="48" t="str">
        <f aca="false">IF(AR216&lt;=0,"",IF(CC216="Aussen","Aussenlager",IF(CC216="-","Nicht im Lift",IF(AW216&gt;=1,"Lift",IF(AW216&lt;=0,"Aussenlager","teilweise")))))</f>
        <v>Aussenlager</v>
      </c>
      <c r="BI216" s="48" t="str">
        <f aca="false">IF(BA216&lt;=0,"",IF(CC216="Aussen","Aussenlager",IF(CC216="-","Nicht im Lift",IF(BF216&gt;=1,"Lift",IF(BF216&lt;=0,"Aussenlager","teilweise")))))</f>
        <v>Lift</v>
      </c>
      <c r="BJ216" s="48" t="str">
        <f aca="false">IF(A216="","",IF(BS216=1,"Neu; ","")&amp;IF(AND(BS216=0,BN216&lt;0),"negativer Bestand (Export "&amp;BN216&amp;"); ","")&amp;IF(J216&lt;=0,"Kein Verbrauch; ","")&amp;IF(CL216&gt;0,"Lift "&amp;W216&amp;" lt. Liftbericht (Fach "&amp;X216&amp;" Stk); ",IF(BX216=1,"Gebinde geschätzt ("&amp;T216&amp;"); ",IF(BW216=1,"Lose – Tablare geschätzt; ","")))&amp;IF(H216&gt;AT216,"Überbestand "&amp;ROUND(H216-AT216,0)&amp;" Stk / CHF "&amp;ROUND((H216-AT216)*G216,0)&amp;"; ","")&amp;IF(AND(CE216=1,CF216&lt;CG216),"MAX &lt; MB+LG; ","")&amp;IF(AND(CK216&gt;0,CJ216*10&gt;CK216),"zu hoch für Tablar; ","")&amp;IF(AND(BS216=0,OR(CE216=1,AA216&lt;&gt;"",U216&lt;&gt;"",V216&lt;&gt;"",AB216&lt;&gt;"")),"manuell übersteuert; ","")&amp;IF(AND(BW216=0,R216=0),"Gebinde unbekannt / Stellmass fehlt; ","")&amp;IF(AND(BW216=0,N(V216)&lt;=0,N(Q216)&lt;=0),"Menge pro Gebinde fehlt (Ist = 1 Gebinde); ","")&amp;BR216)</f>
        <v>Kein Verbrauch; Überbestand 15 Stk / CHF 438; Neu</v>
      </c>
      <c r="BK216" s="48"/>
      <c r="BL216" s="48"/>
      <c r="BM216" s="55"/>
      <c r="BN216" s="50" t="n">
        <v>24</v>
      </c>
      <c r="BO216" s="50" t="n">
        <v>15</v>
      </c>
      <c r="BP216" s="49" t="n">
        <v>700.56</v>
      </c>
      <c r="BQ216" s="50" t="n">
        <v>0</v>
      </c>
      <c r="BR216" s="48" t="s">
        <v>630</v>
      </c>
      <c r="BS216" s="53" t="n">
        <v>0</v>
      </c>
      <c r="BT216" s="53" t="n">
        <v>216</v>
      </c>
      <c r="BU216" s="48" t="str">
        <f aca="false">IF(U216&lt;&gt;"",UPPER(TRIM(U216)),IF(BX216=1,UPPER(VLOOKUP(T216,Parameter!$I$27:$K$29,2,0)),IF(P216="","LOSE",P216)))</f>
        <v>S52</v>
      </c>
      <c r="BV216" s="50" t="n">
        <f aca="false">IF(BU216="LOSE",1,IF(N(V216)&gt;0,V216,IF(BX216=1,MAX(1,N(VLOOKUP(T216,Parameter!$I$27:$K$29,3,0)),H216,N(N216)),IF(N(Q216)&gt;0,Q216,MAX(1,H216)))))</f>
        <v>24</v>
      </c>
      <c r="BW216" s="53" t="n">
        <f aca="false">IF(BU216="LOSE",1,0)</f>
        <v>0</v>
      </c>
      <c r="BX216" s="53" t="n">
        <f aca="false">IF(AND(U216="",OR(P216="",P216="LOSE"),T216&lt;&gt;"",N(S216)&lt;=0,ISNUMBER(MATCH(T216,Parameter!$I$27:$I$29,0))),1,0)</f>
        <v>0</v>
      </c>
      <c r="BY216" s="53" t="n">
        <f aca="false">IF(CL216&gt;0,INDEX(Parameter!$H$5:$H$7,W216)/INDEX(Parameter!$E$5:$E$7,W216),IF(AND(BW216=0,N(IFERROR(VLOOKUP(BU216,'Gebinde-Kategorie'!$A$5:$N$45,14,0),0))&gt;0),VLOOKUP(BU216,'Gebinde-Kategorie'!$A$5:$N$45,14,0)*10+Parameter!$M$23,Parameter!$M$24))</f>
        <v>245</v>
      </c>
      <c r="BZ216" s="48" t="str">
        <f aca="false">IF(AND(Parameter!$B$19="Ja",E216&lt;&gt;"",ISNUMBER(MATCH(E216,Parameter!$I$35:$I$52,0))),VLOOKUP(E216,Parameter!$I$35:$J$52,2,0),IFERROR(VLOOKUP(D216,Parameter!$A$35:$C$64,2,0),"Nein"))</f>
        <v>2+3</v>
      </c>
      <c r="CA216" s="52" t="n">
        <f aca="false">IF(BW216=0,0,IF(N(S216)&gt;0,S216,IFERROR(VLOOKUP(D216,Parameter!$A$35:$C$64,3,0)+0,0)))</f>
        <v>0</v>
      </c>
      <c r="CB216" s="48" t="n">
        <f aca="false">IF(AA216&lt;&gt;"",AA216,Z216)</f>
        <v>3</v>
      </c>
      <c r="CC216" s="48" t="str">
        <f aca="false">IF(OR(CB216=1,CB216=2,CB216=3),IF(Parameter!$E$27="Ja","LIFT",IF(CB216=1,"L1","L23")),IF(CB216="Aussen","Aussen","-"))</f>
        <v>LIFT</v>
      </c>
      <c r="CD216" s="59" t="n">
        <f aca="false">IF(N(AB216)&gt;0,AB216,0)</f>
        <v>0</v>
      </c>
      <c r="CE216" s="53" t="n">
        <f aca="false">IF(ISNUMBER(AE216),1,0)</f>
        <v>0</v>
      </c>
      <c r="CF216" s="50" t="n">
        <f aca="false">N(AE216)</f>
        <v>0</v>
      </c>
      <c r="CG216" s="50" t="n">
        <f aca="false">N(M216)+N(N216)</f>
        <v>1</v>
      </c>
      <c r="CH216" s="50" t="n">
        <f aca="false">ROUNDUP(H216/BV216,0)</f>
        <v>2</v>
      </c>
      <c r="CI216" s="50" t="n">
        <f aca="false">ROUNDUP(CF216/BV216,0)</f>
        <v>0</v>
      </c>
      <c r="CJ216" s="53" t="n">
        <f aca="false">IF(BW216=1,0,IFERROR(VLOOKUP(BU216,'Gebinde-Kategorie'!$A$5:$N$45,5,0)+0,0))</f>
        <v>21</v>
      </c>
      <c r="CK216" s="53" t="n">
        <f aca="false">IFERROR(IF(OR(CB216=1,CB216=2,CB216=3),N(INDEX(Parameter!$I$5:$I$7,CB216)),0),0)</f>
        <v>0</v>
      </c>
      <c r="CL216" s="52" t="n">
        <f aca="false">IF(AND(Parameter!$B$21="Ja",ISNUMBER(W216),N(X216)&gt;0),IFERROR(N(INDEX(Parameter!$L$5:$L$7,W216))*INDEX(Parameter!$E$5:$E$7,W216)*X216/SUMIFS($X$7:$X$1843,$W$7:$W$1843,W216),0),0)</f>
        <v>0</v>
      </c>
    </row>
    <row r="217" customFormat="false" ht="15" hidden="false" customHeight="false" outlineLevel="0" collapsed="false">
      <c r="A217" s="48" t="s">
        <v>631</v>
      </c>
      <c r="B217" s="48" t="s">
        <v>632</v>
      </c>
      <c r="C217" s="48" t="s">
        <v>168</v>
      </c>
      <c r="D217" s="48" t="s">
        <v>188</v>
      </c>
      <c r="E217" s="48" t="s">
        <v>189</v>
      </c>
      <c r="F217" s="48" t="s">
        <v>222</v>
      </c>
      <c r="G217" s="49" t="n">
        <v>23.17</v>
      </c>
      <c r="H217" s="50" t="n">
        <f aca="false">MAX(0,IF(AND(Parameter!$B$21="Ja",ISNUMBER(Y217)),Y217,IF(Parameter!$B$20="Jahresanfang 2025 + Export",BO217+BN217,BN217)))</f>
        <v>33</v>
      </c>
      <c r="I217" s="50" t="n">
        <f aca="false">H217*G217</f>
        <v>764.61</v>
      </c>
      <c r="J217" s="50" t="n">
        <f aca="false">BQ217*Parameter!$B$18</f>
        <v>9</v>
      </c>
      <c r="K217" s="51" t="n">
        <v>2</v>
      </c>
      <c r="L217" s="52" t="n">
        <v>4.5</v>
      </c>
      <c r="M217" s="50" t="n">
        <v>0</v>
      </c>
      <c r="N217" s="50" t="n">
        <v>10</v>
      </c>
      <c r="O217" s="53" t="n">
        <v>19</v>
      </c>
      <c r="P217" s="48" t="s">
        <v>425</v>
      </c>
      <c r="Q217" s="50" t="n">
        <v>16</v>
      </c>
      <c r="R217" s="53" t="n">
        <f aca="false">IF(BW217=1,0,IFERROR(VLOOKUP(BU217,'Gebinde-Kategorie'!$A$5:$N$45,13,0)+0,0))</f>
        <v>104</v>
      </c>
      <c r="S217" s="54"/>
      <c r="T217" s="55"/>
      <c r="U217" s="55"/>
      <c r="V217" s="55"/>
      <c r="W217" s="48"/>
      <c r="X217" s="50"/>
      <c r="Y217" s="50"/>
      <c r="Z217" s="48" t="n">
        <f aca="false">IF(A217="","",IF(AND(Parameter!$B$21="Ja",ISNUMBER(W217)),W217,IF(BZ217="2+3",IF(ISNUMBER(SEARCH("grosser Artikel",BR217)),2,IFERROR(VLOOKUP(BU217,Parameter!$F$35:$G$64,2,0),2)),IF(OR(BZ217="Nein",BZ217=""),"-",BZ217))))</f>
        <v>3</v>
      </c>
      <c r="AA217" s="55"/>
      <c r="AB217" s="56"/>
      <c r="AC217" s="50" t="n">
        <f aca="false">AT217</f>
        <v>16</v>
      </c>
      <c r="AD217" s="50" t="n">
        <f aca="false">MAX(AT217,H217)</f>
        <v>33</v>
      </c>
      <c r="AE217" s="57"/>
      <c r="AF217" s="50" t="n">
        <f aca="false">IF(LEFT(Cockpit!$C$5,1)="A",H217,IF(CE217=1,CF217,IF(LEFT(Cockpit!$C$5,1)="B",AK217,MAX(AK217,H217))))</f>
        <v>33</v>
      </c>
      <c r="AG217" s="50" t="n">
        <f aca="false">IF(BW217=1,0,ROUNDUP(AF217/BV217,0))</f>
        <v>3</v>
      </c>
      <c r="AH217" s="52" t="n">
        <f aca="false">IF(CL217&gt;0,CL217*MAX(1,AF217/X217),IF(BW217=1,IF(AF217&lt;=0,0,CA217*MAX(1,IF(H217&gt;0,AF217/H217,1))),IF(R217&gt;0,AG217/R217,0))/MAX(0.1,N(Parameter!$M$21)))</f>
        <v>0.0288461538461538</v>
      </c>
      <c r="AI217" s="50" t="n">
        <f aca="false">AH217*BY217</f>
        <v>4.47115384615385</v>
      </c>
      <c r="AJ217" s="50" t="n">
        <f aca="false">AF217*G217</f>
        <v>764.61</v>
      </c>
      <c r="AK217" s="50" t="n">
        <f aca="false">ROUNDUP(MAX(J217/IF(CD217&gt;0,CD217,MAX(0.1,N(Cockpit!$C$6))),CG217)/BV217,0)*BV217</f>
        <v>16</v>
      </c>
      <c r="AL217" s="51" t="n">
        <f aca="false">IF(AI217&gt;0,J217/AI217,-1)</f>
        <v>2.01290322580645</v>
      </c>
      <c r="AM217" s="51" t="n">
        <f aca="false">IF(AND(OR(CC217="L1",CC217="L23",CC217="LIFT"),AI217&gt;0),SUMIFS($AI$7:$AI$1843,$CC$7:$CC$1843,CC217,$AL$7:$AL$1843,"&gt;"&amp;AL217)+SUMIFS($AI$7:$AI$1843,$CC$7:$CC$1843,CC217,$AL$7:$AL$1843,AL217,$BT$7:$BT$1843,"&lt;="&amp;BT217),"")</f>
        <v>5772.9652014652</v>
      </c>
      <c r="AN217" s="58" t="n">
        <f aca="false">IF(AM217="",0,MAX(0,MIN(1,(IF(CC217="L1",Parameter!$H$5,IF(CC217="L23",Parameter!$H$6+Parameter!$H$7,Parameter!$H$5+Parameter!$H$6+Parameter!$H$7))-(AM217-AI217))/AI217)))</f>
        <v>1</v>
      </c>
      <c r="AO217" s="50" t="n">
        <f aca="false">IF(LEFT(Cockpit!$I$5,1)="A",H217,IF(CE217=1,CF217,IF(LEFT(Cockpit!$I$5,1)="B",AT217,MAX(AT217,H217))))</f>
        <v>33</v>
      </c>
      <c r="AP217" s="50" t="n">
        <f aca="false">IF(BW217=1,0,ROUNDUP(AO217/BV217,0))</f>
        <v>3</v>
      </c>
      <c r="AQ217" s="52" t="n">
        <f aca="false">IF(CL217&gt;0,CL217*MAX(1,AO217/X217),IF(BW217=1,IF(AO217&lt;=0,0,CA217*MAX(1,IF(H217&gt;0,AO217/H217,1))),IF(R217&gt;0,AP217/R217,0))/MAX(0.1,N(Parameter!$M$21)))</f>
        <v>0.0288461538461538</v>
      </c>
      <c r="AR217" s="50" t="n">
        <f aca="false">AQ217*BY217</f>
        <v>4.47115384615385</v>
      </c>
      <c r="AS217" s="50" t="n">
        <f aca="false">AO217*G217</f>
        <v>764.61</v>
      </c>
      <c r="AT217" s="50" t="n">
        <f aca="false">ROUNDUP(MAX(J217/IF(CD217&gt;0,CD217,MAX(0.1,N(Cockpit!$I$6))),CG217)/BV217,0)*BV217</f>
        <v>16</v>
      </c>
      <c r="AU217" s="51" t="n">
        <f aca="false">IF(AR217&gt;0,J217/AR217,-1)</f>
        <v>2.01290322580645</v>
      </c>
      <c r="AV217" s="51" t="n">
        <f aca="false">IF(AND(OR(CC217="L1",CC217="L23",CC217="LIFT"),AR217&gt;0),SUMIFS($AR$7:$AR$1843,$CC$7:$CC$1843,CC217,$AU$7:$AU$1843,"&gt;"&amp;AU217)+SUMIFS($AR$7:$AR$1843,$CC$7:$CC$1843,CC217,$AU$7:$AU$1843,AU217,$BT$7:$BT$1843,"&lt;="&amp;BT217),"")</f>
        <v>7679.67673992674</v>
      </c>
      <c r="AW217" s="58" t="n">
        <f aca="false">IF(AV217="",0,MAX(0,MIN(1,(IF(CC217="L1",Parameter!$H$5,IF(CC217="L23",Parameter!$H$6+Parameter!$H$7,Parameter!$H$5+Parameter!$H$6+Parameter!$H$7))-(AV217-AR217))/AR217)))</f>
        <v>1</v>
      </c>
      <c r="AX217" s="50" t="n">
        <f aca="false">IF(LEFT(Cockpit!$O$5,1)="A",H217,IF(CE217=1,CF217,IF(LEFT(Cockpit!$O$5,1)="B",BC217,MAX(BC217,H217))))</f>
        <v>33</v>
      </c>
      <c r="AY217" s="50" t="n">
        <f aca="false">IF(BW217=1,0,ROUNDUP(AX217/BV217,0))</f>
        <v>3</v>
      </c>
      <c r="AZ217" s="52" t="n">
        <f aca="false">IF(CL217&gt;0,CL217*MAX(1,AX217/X217),IF(BW217=1,IF(AX217&lt;=0,0,CA217*MAX(1,IF(H217&gt;0,AX217/H217,1))),IF(R217&gt;0,AY217/R217,0))/MAX(0.1,N(Parameter!$M$21)))</f>
        <v>0.0288461538461538</v>
      </c>
      <c r="BA217" s="50" t="n">
        <f aca="false">AZ217*BY217</f>
        <v>4.47115384615385</v>
      </c>
      <c r="BB217" s="50" t="n">
        <f aca="false">AX217*G217</f>
        <v>764.61</v>
      </c>
      <c r="BC217" s="50" t="n">
        <f aca="false">ROUNDUP(MAX(J217/IF(CD217&gt;0,CD217,MAX(0.1,N(Cockpit!$O$6))),CG217)/BV217,0)*BV217</f>
        <v>16</v>
      </c>
      <c r="BD217" s="51" t="n">
        <f aca="false">IF(BA217&gt;0,J217/BA217,-1)</f>
        <v>2.01290322580645</v>
      </c>
      <c r="BE217" s="51" t="n">
        <f aca="false">IF(AND(OR(CC217="L1",CC217="L23",CC217="LIFT"),BA217&gt;0),SUMIFS($BA$7:$BA$1843,$CC$7:$CC$1843,CC217,$BD$7:$BD$1843,"&gt;"&amp;BD217)+SUMIFS($BA$7:$BA$1843,$CC$7:$CC$1843,CC217,$BD$7:$BD$1843,BD217,$BT$7:$BT$1843,"&lt;="&amp;BT217),"")</f>
        <v>7578.66712454212</v>
      </c>
      <c r="BF217" s="58" t="n">
        <f aca="false">IF(BE217="",0,MAX(0,MIN(1,(IF(CC217="L1",Parameter!$H$5,IF(CC217="L23",Parameter!$H$6+Parameter!$H$7,Parameter!$H$5+Parameter!$H$6+Parameter!$H$7))-(BE217-BA217))/BA217)))</f>
        <v>1</v>
      </c>
      <c r="BG217" s="48" t="str">
        <f aca="false">IF(AI217&lt;=0,"",IF(CC217="Aussen","Aussenlager",IF(CC217="-","Nicht im Lift",IF(AN217&gt;=1,"Lift",IF(AN217&lt;=0,"Aussenlager","teilweise")))))</f>
        <v>Lift</v>
      </c>
      <c r="BH217" s="48" t="str">
        <f aca="false">IF(AR217&lt;=0,"",IF(CC217="Aussen","Aussenlager",IF(CC217="-","Nicht im Lift",IF(AW217&gt;=1,"Lift",IF(AW217&lt;=0,"Aussenlager","teilweise")))))</f>
        <v>Lift</v>
      </c>
      <c r="BI217" s="48" t="str">
        <f aca="false">IF(BA217&lt;=0,"",IF(CC217="Aussen","Aussenlager",IF(CC217="-","Nicht im Lift",IF(BF217&gt;=1,"Lift",IF(BF217&lt;=0,"Aussenlager","teilweise")))))</f>
        <v>Lift</v>
      </c>
      <c r="BJ217" s="48" t="str">
        <f aca="false">IF(A217="","",IF(BS217=1,"Neu; ","")&amp;IF(AND(BS217=0,BN217&lt;0),"negativer Bestand (Export "&amp;BN217&amp;"); ","")&amp;IF(J217&lt;=0,"Kein Verbrauch; ","")&amp;IF(CL217&gt;0,"Lift "&amp;W217&amp;" lt. Liftbericht (Fach "&amp;X217&amp;" Stk); ",IF(BX217=1,"Gebinde geschätzt ("&amp;T217&amp;"); ",IF(BW217=1,"Lose – Tablare geschätzt; ","")))&amp;IF(H217&gt;AT217,"Überbestand "&amp;ROUND(H217-AT217,0)&amp;" Stk / CHF "&amp;ROUND((H217-AT217)*G217,0)&amp;"; ","")&amp;IF(AND(CE217=1,CF217&lt;CG217),"MAX &lt; MB+LG; ","")&amp;IF(AND(CK217&gt;0,CJ217*10&gt;CK217),"zu hoch für Tablar; ","")&amp;IF(AND(BS217=0,OR(CE217=1,AA217&lt;&gt;"",U217&lt;&gt;"",V217&lt;&gt;"",AB217&lt;&gt;"")),"manuell übersteuert; ","")&amp;IF(AND(BW217=0,R217=0),"Gebinde unbekannt / Stellmass fehlt; ","")&amp;IF(AND(BW217=0,N(V217)&lt;=0,N(Q217)&lt;=0),"Menge pro Gebinde fehlt (Ist = 1 Gebinde); ","")&amp;BR217)</f>
        <v>Überbestand 17 Stk / CHF 394; Neu</v>
      </c>
      <c r="BK217" s="48"/>
      <c r="BL217" s="48"/>
      <c r="BM217" s="55"/>
      <c r="BN217" s="50" t="n">
        <v>31</v>
      </c>
      <c r="BO217" s="50" t="n">
        <v>2</v>
      </c>
      <c r="BP217" s="49" t="n">
        <v>698.21</v>
      </c>
      <c r="BQ217" s="50" t="n">
        <v>9</v>
      </c>
      <c r="BR217" s="48" t="s">
        <v>630</v>
      </c>
      <c r="BS217" s="53" t="n">
        <v>0</v>
      </c>
      <c r="BT217" s="53" t="n">
        <v>217</v>
      </c>
      <c r="BU217" s="48" t="str">
        <f aca="false">IF(U217&lt;&gt;"",UPPER(TRIM(U217)),IF(BX217=1,UPPER(VLOOKUP(T217,Parameter!$I$27:$K$29,2,0)),IF(P217="","LOSE",P217)))</f>
        <v>S32</v>
      </c>
      <c r="BV217" s="50" t="n">
        <f aca="false">IF(BU217="LOSE",1,IF(N(V217)&gt;0,V217,IF(BX217=1,MAX(1,N(VLOOKUP(T217,Parameter!$I$27:$K$29,3,0)),H217,N(N217)),IF(N(Q217)&gt;0,Q217,MAX(1,H217)))))</f>
        <v>16</v>
      </c>
      <c r="BW217" s="53" t="n">
        <f aca="false">IF(BU217="LOSE",1,0)</f>
        <v>0</v>
      </c>
      <c r="BX217" s="53" t="n">
        <f aca="false">IF(AND(U217="",OR(P217="",P217="LOSE"),T217&lt;&gt;"",N(S217)&lt;=0,ISNUMBER(MATCH(T217,Parameter!$I$27:$I$29,0))),1,0)</f>
        <v>0</v>
      </c>
      <c r="BY217" s="53" t="n">
        <f aca="false">IF(CL217&gt;0,INDEX(Parameter!$H$5:$H$7,W217)/INDEX(Parameter!$E$5:$E$7,W217),IF(AND(BW217=0,N(IFERROR(VLOOKUP(BU217,'Gebinde-Kategorie'!$A$5:$N$45,14,0),0))&gt;0),VLOOKUP(BU217,'Gebinde-Kategorie'!$A$5:$N$45,14,0)*10+Parameter!$M$23,Parameter!$M$24))</f>
        <v>155</v>
      </c>
      <c r="BZ217" s="48" t="str">
        <f aca="false">IF(AND(Parameter!$B$19="Ja",E217&lt;&gt;"",ISNUMBER(MATCH(E217,Parameter!$I$35:$I$52,0))),VLOOKUP(E217,Parameter!$I$35:$J$52,2,0),IFERROR(VLOOKUP(D217,Parameter!$A$35:$C$64,2,0),"Nein"))</f>
        <v>2+3</v>
      </c>
      <c r="CA217" s="52" t="n">
        <f aca="false">IF(BW217=0,0,IF(N(S217)&gt;0,S217,IFERROR(VLOOKUP(D217,Parameter!$A$35:$C$64,3,0)+0,0)))</f>
        <v>0</v>
      </c>
      <c r="CB217" s="48" t="n">
        <f aca="false">IF(AA217&lt;&gt;"",AA217,Z217)</f>
        <v>3</v>
      </c>
      <c r="CC217" s="48" t="str">
        <f aca="false">IF(OR(CB217=1,CB217=2,CB217=3),IF(Parameter!$E$27="Ja","LIFT",IF(CB217=1,"L1","L23")),IF(CB217="Aussen","Aussen","-"))</f>
        <v>LIFT</v>
      </c>
      <c r="CD217" s="59" t="n">
        <f aca="false">IF(N(AB217)&gt;0,AB217,0)</f>
        <v>0</v>
      </c>
      <c r="CE217" s="53" t="n">
        <f aca="false">IF(ISNUMBER(AE217),1,0)</f>
        <v>0</v>
      </c>
      <c r="CF217" s="50" t="n">
        <f aca="false">N(AE217)</f>
        <v>0</v>
      </c>
      <c r="CG217" s="50" t="n">
        <f aca="false">N(M217)+N(N217)</f>
        <v>10</v>
      </c>
      <c r="CH217" s="50" t="n">
        <f aca="false">ROUNDUP(H217/BV217,0)</f>
        <v>3</v>
      </c>
      <c r="CI217" s="50" t="n">
        <f aca="false">ROUNDUP(CF217/BV217,0)</f>
        <v>0</v>
      </c>
      <c r="CJ217" s="53" t="n">
        <f aca="false">IF(BW217=1,0,IFERROR(VLOOKUP(BU217,'Gebinde-Kategorie'!$A$5:$N$45,5,0)+0,0))</f>
        <v>8</v>
      </c>
      <c r="CK217" s="53" t="n">
        <f aca="false">IFERROR(IF(OR(CB217=1,CB217=2,CB217=3),N(INDEX(Parameter!$I$5:$I$7,CB217)),0),0)</f>
        <v>0</v>
      </c>
      <c r="CL217" s="52" t="n">
        <f aca="false">IF(AND(Parameter!$B$21="Ja",ISNUMBER(W217),N(X217)&gt;0),IFERROR(N(INDEX(Parameter!$L$5:$L$7,W217))*INDEX(Parameter!$E$5:$E$7,W217)*X217/SUMIFS($X$7:$X$1843,$W$7:$W$1843,W217),0),0)</f>
        <v>0</v>
      </c>
    </row>
    <row r="218" customFormat="false" ht="15" hidden="false" customHeight="false" outlineLevel="0" collapsed="false">
      <c r="A218" s="48" t="s">
        <v>633</v>
      </c>
      <c r="B218" s="48" t="s">
        <v>343</v>
      </c>
      <c r="C218" s="48" t="s">
        <v>168</v>
      </c>
      <c r="D218" s="48" t="s">
        <v>177</v>
      </c>
      <c r="E218" s="48" t="s">
        <v>170</v>
      </c>
      <c r="F218" s="48" t="s">
        <v>222</v>
      </c>
      <c r="G218" s="49" t="n">
        <v>301.38</v>
      </c>
      <c r="H218" s="50" t="n">
        <f aca="false">MAX(0,IF(AND(Parameter!$B$21="Ja",ISNUMBER(Y218)),Y218,IF(Parameter!$B$20="Jahresanfang 2025 + Export",BO218+BN218,BN218)))</f>
        <v>10</v>
      </c>
      <c r="I218" s="50" t="n">
        <f aca="false">H218*G218</f>
        <v>3013.8</v>
      </c>
      <c r="J218" s="50" t="n">
        <f aca="false">BQ218*Parameter!$B$18</f>
        <v>24</v>
      </c>
      <c r="K218" s="51" t="n">
        <v>9</v>
      </c>
      <c r="L218" s="52" t="n">
        <v>2.66666666666667</v>
      </c>
      <c r="M218" s="50" t="n">
        <v>3</v>
      </c>
      <c r="N218" s="50" t="n">
        <v>15</v>
      </c>
      <c r="O218" s="53" t="n">
        <v>35</v>
      </c>
      <c r="P218" s="48" t="s">
        <v>178</v>
      </c>
      <c r="Q218" s="50" t="n">
        <v>22</v>
      </c>
      <c r="R218" s="53" t="n">
        <f aca="false">IF(BW218=1,0,IFERROR(VLOOKUP(BU218,'Gebinde-Kategorie'!$A$5:$N$45,13,0)+0,0))</f>
        <v>6</v>
      </c>
      <c r="S218" s="54"/>
      <c r="T218" s="55"/>
      <c r="U218" s="55"/>
      <c r="V218" s="55"/>
      <c r="W218" s="48"/>
      <c r="X218" s="50"/>
      <c r="Y218" s="50"/>
      <c r="Z218" s="48" t="n">
        <f aca="false">IF(A218="","",IF(AND(Parameter!$B$21="Ja",ISNUMBER(W218)),W218,IF(BZ218="2+3",IF(ISNUMBER(SEARCH("grosser Artikel",BR218)),2,IFERROR(VLOOKUP(BU218,Parameter!$F$35:$G$64,2,0),2)),IF(OR(BZ218="Nein",BZ218=""),"-",BZ218))))</f>
        <v>1</v>
      </c>
      <c r="AA218" s="55"/>
      <c r="AB218" s="56"/>
      <c r="AC218" s="50" t="n">
        <f aca="false">AT218</f>
        <v>22</v>
      </c>
      <c r="AD218" s="50" t="n">
        <f aca="false">MAX(AT218,H218)</f>
        <v>22</v>
      </c>
      <c r="AE218" s="57"/>
      <c r="AF218" s="50" t="n">
        <f aca="false">IF(LEFT(Cockpit!$C$5,1)="A",H218,IF(CE218=1,CF218,IF(LEFT(Cockpit!$C$5,1)="B",AK218,MAX(AK218,H218))))</f>
        <v>10</v>
      </c>
      <c r="AG218" s="50" t="n">
        <f aca="false">IF(BW218=1,0,ROUNDUP(AF218/BV218,0))</f>
        <v>1</v>
      </c>
      <c r="AH218" s="52" t="n">
        <f aca="false">IF(CL218&gt;0,CL218*MAX(1,AF218/X218),IF(BW218=1,IF(AF218&lt;=0,0,CA218*MAX(1,IF(H218&gt;0,AF218/H218,1))),IF(R218&gt;0,AG218/R218,0))/MAX(0.1,N(Parameter!$M$21)))</f>
        <v>0.166666666666667</v>
      </c>
      <c r="AI218" s="50" t="n">
        <f aca="false">AH218*BY218</f>
        <v>39.1666666666667</v>
      </c>
      <c r="AJ218" s="50" t="n">
        <f aca="false">AF218*G218</f>
        <v>3013.8</v>
      </c>
      <c r="AK218" s="50" t="n">
        <f aca="false">ROUNDUP(MAX(J218/IF(CD218&gt;0,CD218,MAX(0.1,N(Cockpit!$C$6))),CG218)/BV218,0)*BV218</f>
        <v>22</v>
      </c>
      <c r="AL218" s="51" t="n">
        <f aca="false">IF(AI218&gt;0,J218/AI218,-1)</f>
        <v>0.612765957446809</v>
      </c>
      <c r="AM218" s="51" t="n">
        <f aca="false">IF(AND(OR(CC218="L1",CC218="L23",CC218="LIFT"),AI218&gt;0),SUMIFS($AI$7:$AI$1843,$CC$7:$CC$1843,CC218,$AL$7:$AL$1843,"&gt;"&amp;AL218)+SUMIFS($AI$7:$AI$1843,$CC$7:$CC$1843,CC218,$AL$7:$AL$1843,AL218,$BT$7:$BT$1843,"&lt;="&amp;BT218),"")</f>
        <v>9152.03614370563</v>
      </c>
      <c r="AN218" s="58" t="n">
        <f aca="false">IF(AM218="",0,MAX(0,MIN(1,(IF(CC218="L1",Parameter!$H$5,IF(CC218="L23",Parameter!$H$6+Parameter!$H$7,Parameter!$H$5+Parameter!$H$6+Parameter!$H$7))-(AM218-AI218))/AI218)))</f>
        <v>1</v>
      </c>
      <c r="AO218" s="50" t="n">
        <f aca="false">IF(LEFT(Cockpit!$I$5,1)="A",H218,IF(CE218=1,CF218,IF(LEFT(Cockpit!$I$5,1)="B",AT218,MAX(AT218,H218))))</f>
        <v>22</v>
      </c>
      <c r="AP218" s="50" t="n">
        <f aca="false">IF(BW218=1,0,ROUNDUP(AO218/BV218,0))</f>
        <v>1</v>
      </c>
      <c r="AQ218" s="52" t="n">
        <f aca="false">IF(CL218&gt;0,CL218*MAX(1,AO218/X218),IF(BW218=1,IF(AO218&lt;=0,0,CA218*MAX(1,IF(H218&gt;0,AO218/H218,1))),IF(R218&gt;0,AP218/R218,0))/MAX(0.1,N(Parameter!$M$21)))</f>
        <v>0.166666666666667</v>
      </c>
      <c r="AR218" s="50" t="n">
        <f aca="false">AQ218*BY218</f>
        <v>39.1666666666667</v>
      </c>
      <c r="AS218" s="50" t="n">
        <f aca="false">AO218*G218</f>
        <v>6630.36</v>
      </c>
      <c r="AT218" s="50" t="n">
        <f aca="false">ROUNDUP(MAX(J218/IF(CD218&gt;0,CD218,MAX(0.1,N(Cockpit!$I$6))),CG218)/BV218,0)*BV218</f>
        <v>22</v>
      </c>
      <c r="AU218" s="51" t="n">
        <f aca="false">IF(AR218&gt;0,J218/AR218,-1)</f>
        <v>0.612765957446809</v>
      </c>
      <c r="AV218" s="51" t="n">
        <f aca="false">IF(AND(OR(CC218="L1",CC218="L23",CC218="LIFT"),AR218&gt;0),SUMIFS($AR$7:$AR$1843,$CC$7:$CC$1843,CC218,$AU$7:$AU$1843,"&gt;"&amp;AU218)+SUMIFS($AR$7:$AR$1843,$CC$7:$CC$1843,CC218,$AU$7:$AU$1843,AU218,$BT$7:$BT$1843,"&lt;="&amp;BT218),"")</f>
        <v>12505.2376373626</v>
      </c>
      <c r="AW218" s="58" t="n">
        <f aca="false">IF(AV218="",0,MAX(0,MIN(1,(IF(CC218="L1",Parameter!$H$5,IF(CC218="L23",Parameter!$H$6+Parameter!$H$7,Parameter!$H$5+Parameter!$H$6+Parameter!$H$7))-(AV218-AR218))/AR218)))</f>
        <v>1</v>
      </c>
      <c r="AX218" s="50" t="n">
        <f aca="false">IF(LEFT(Cockpit!$O$5,1)="A",H218,IF(CE218=1,CF218,IF(LEFT(Cockpit!$O$5,1)="B",BC218,MAX(BC218,H218))))</f>
        <v>22</v>
      </c>
      <c r="AY218" s="50" t="n">
        <f aca="false">IF(BW218=1,0,ROUNDUP(AX218/BV218,0))</f>
        <v>1</v>
      </c>
      <c r="AZ218" s="52" t="n">
        <f aca="false">IF(CL218&gt;0,CL218*MAX(1,AX218/X218),IF(BW218=1,IF(AX218&lt;=0,0,CA218*MAX(1,IF(H218&gt;0,AX218/H218,1))),IF(R218&gt;0,AY218/R218,0))/MAX(0.1,N(Parameter!$M$21)))</f>
        <v>0.166666666666667</v>
      </c>
      <c r="BA218" s="50" t="n">
        <f aca="false">AZ218*BY218</f>
        <v>39.1666666666667</v>
      </c>
      <c r="BB218" s="50" t="n">
        <f aca="false">AX218*G218</f>
        <v>6630.36</v>
      </c>
      <c r="BC218" s="50" t="n">
        <f aca="false">ROUNDUP(MAX(J218/IF(CD218&gt;0,CD218,MAX(0.1,N(Cockpit!$O$6))),CG218)/BV218,0)*BV218</f>
        <v>22</v>
      </c>
      <c r="BD218" s="51" t="n">
        <f aca="false">IF(BA218&gt;0,J218/BA218,-1)</f>
        <v>0.612765957446809</v>
      </c>
      <c r="BE218" s="51" t="n">
        <f aca="false">IF(AND(OR(CC218="L1",CC218="L23",CC218="LIFT"),BA218&gt;0),SUMIFS($BA$7:$BA$1843,$CC$7:$CC$1843,CC218,$BD$7:$BD$1843,"&gt;"&amp;BD218)+SUMIFS($BA$7:$BA$1843,$CC$7:$CC$1843,CC218,$BD$7:$BD$1843,BD218,$BT$7:$BT$1843,"&lt;="&amp;BT218),"")</f>
        <v>11670.0613553114</v>
      </c>
      <c r="BF218" s="58" t="n">
        <f aca="false">IF(BE218="",0,MAX(0,MIN(1,(IF(CC218="L1",Parameter!$H$5,IF(CC218="L23",Parameter!$H$6+Parameter!$H$7,Parameter!$H$5+Parameter!$H$6+Parameter!$H$7))-(BE218-BA218))/BA218)))</f>
        <v>1</v>
      </c>
      <c r="BG218" s="48" t="str">
        <f aca="false">IF(AI218&lt;=0,"",IF(CC218="Aussen","Aussenlager",IF(CC218="-","Nicht im Lift",IF(AN218&gt;=1,"Lift",IF(AN218&lt;=0,"Aussenlager","teilweise")))))</f>
        <v>Lift</v>
      </c>
      <c r="BH218" s="48" t="str">
        <f aca="false">IF(AR218&lt;=0,"",IF(CC218="Aussen","Aussenlager",IF(CC218="-","Nicht im Lift",IF(AW218&gt;=1,"Lift",IF(AW218&lt;=0,"Aussenlager","teilweise")))))</f>
        <v>Lift</v>
      </c>
      <c r="BI218" s="48" t="str">
        <f aca="false">IF(BA218&lt;=0,"",IF(CC218="Aussen","Aussenlager",IF(CC218="-","Nicht im Lift",IF(BF218&gt;=1,"Lift",IF(BF218&lt;=0,"Aussenlager","teilweise")))))</f>
        <v>Lift</v>
      </c>
      <c r="BJ218" s="48" t="str">
        <f aca="false">IF(A218="","",IF(BS218=1,"Neu; ","")&amp;IF(AND(BS218=0,BN218&lt;0),"negativer Bestand (Export "&amp;BN218&amp;"); ","")&amp;IF(J218&lt;=0,"Kein Verbrauch; ","")&amp;IF(CL218&gt;0,"Lift "&amp;W218&amp;" lt. Liftbericht (Fach "&amp;X218&amp;" Stk); ",IF(BX218=1,"Gebinde geschätzt ("&amp;T218&amp;"); ",IF(BW218=1,"Lose – Tablare geschätzt; ","")))&amp;IF(H218&gt;AT218,"Überbestand "&amp;ROUND(H218-AT218,0)&amp;" Stk / CHF "&amp;ROUND((H218-AT218)*G218,0)&amp;"; ","")&amp;IF(AND(CE218=1,CF218&lt;CG218),"MAX &lt; MB+LG; ","")&amp;IF(AND(CK218&gt;0,CJ218*10&gt;CK218),"zu hoch für Tablar; ","")&amp;IF(AND(BS218=0,OR(CE218=1,AA218&lt;&gt;"",U218&lt;&gt;"",V218&lt;&gt;"",AB218&lt;&gt;"")),"manuell übersteuert; ","")&amp;IF(AND(BW218=0,R218=0),"Gebinde unbekannt / Stellmass fehlt; ","")&amp;IF(AND(BW218=0,N(V218)&lt;=0,N(Q218)&lt;=0),"Menge pro Gebinde fehlt (Ist = 1 Gebinde); ","")&amp;BR218)</f>
        <v/>
      </c>
      <c r="BK218" s="48"/>
      <c r="BL218" s="48"/>
      <c r="BM218" s="55"/>
      <c r="BN218" s="50" t="n">
        <v>3</v>
      </c>
      <c r="BO218" s="50" t="n">
        <v>7</v>
      </c>
      <c r="BP218" s="49" t="n">
        <v>696.450000000001</v>
      </c>
      <c r="BQ218" s="50" t="n">
        <v>24</v>
      </c>
      <c r="BR218" s="48"/>
      <c r="BS218" s="53" t="n">
        <v>0</v>
      </c>
      <c r="BT218" s="53" t="n">
        <v>218</v>
      </c>
      <c r="BU218" s="48" t="str">
        <f aca="false">IF(U218&lt;&gt;"",UPPER(TRIM(U218)),IF(BX218=1,UPPER(VLOOKUP(T218,Parameter!$I$27:$K$29,2,0)),IF(P218="","LOSE",P218)))</f>
        <v>S71</v>
      </c>
      <c r="BV218" s="50" t="n">
        <f aca="false">IF(BU218="LOSE",1,IF(N(V218)&gt;0,V218,IF(BX218=1,MAX(1,N(VLOOKUP(T218,Parameter!$I$27:$K$29,3,0)),H218,N(N218)),IF(N(Q218)&gt;0,Q218,MAX(1,H218)))))</f>
        <v>22</v>
      </c>
      <c r="BW218" s="53" t="n">
        <f aca="false">IF(BU218="LOSE",1,0)</f>
        <v>0</v>
      </c>
      <c r="BX218" s="53" t="n">
        <f aca="false">IF(AND(U218="",OR(P218="",P218="LOSE"),T218&lt;&gt;"",N(S218)&lt;=0,ISNUMBER(MATCH(T218,Parameter!$I$27:$I$29,0))),1,0)</f>
        <v>0</v>
      </c>
      <c r="BY218" s="53" t="n">
        <f aca="false">IF(CL218&gt;0,INDEX(Parameter!$H$5:$H$7,W218)/INDEX(Parameter!$E$5:$E$7,W218),IF(AND(BW218=0,N(IFERROR(VLOOKUP(BU218,'Gebinde-Kategorie'!$A$5:$N$45,14,0),0))&gt;0),VLOOKUP(BU218,'Gebinde-Kategorie'!$A$5:$N$45,14,0)*10+Parameter!$M$23,Parameter!$M$24))</f>
        <v>235</v>
      </c>
      <c r="BZ218" s="48" t="n">
        <f aca="false">IF(AND(Parameter!$B$19="Ja",E218&lt;&gt;"",ISNUMBER(MATCH(E218,Parameter!$I$35:$I$52,0))),VLOOKUP(E218,Parameter!$I$35:$J$52,2,0),IFERROR(VLOOKUP(D218,Parameter!$A$35:$C$64,2,0),"Nein"))</f>
        <v>1</v>
      </c>
      <c r="CA218" s="52" t="n">
        <f aca="false">IF(BW218=0,0,IF(N(S218)&gt;0,S218,IFERROR(VLOOKUP(D218,Parameter!$A$35:$C$64,3,0)+0,0)))</f>
        <v>0</v>
      </c>
      <c r="CB218" s="48" t="n">
        <f aca="false">IF(AA218&lt;&gt;"",AA218,Z218)</f>
        <v>1</v>
      </c>
      <c r="CC218" s="48" t="str">
        <f aca="false">IF(OR(CB218=1,CB218=2,CB218=3),IF(Parameter!$E$27="Ja","LIFT",IF(CB218=1,"L1","L23")),IF(CB218="Aussen","Aussen","-"))</f>
        <v>LIFT</v>
      </c>
      <c r="CD218" s="59" t="n">
        <f aca="false">IF(N(AB218)&gt;0,AB218,0)</f>
        <v>0</v>
      </c>
      <c r="CE218" s="53" t="n">
        <f aca="false">IF(ISNUMBER(AE218),1,0)</f>
        <v>0</v>
      </c>
      <c r="CF218" s="50" t="n">
        <f aca="false">N(AE218)</f>
        <v>0</v>
      </c>
      <c r="CG218" s="50" t="n">
        <f aca="false">N(M218)+N(N218)</f>
        <v>18</v>
      </c>
      <c r="CH218" s="50" t="n">
        <f aca="false">ROUNDUP(H218/BV218,0)</f>
        <v>1</v>
      </c>
      <c r="CI218" s="50" t="n">
        <f aca="false">ROUNDUP(CF218/BV218,0)</f>
        <v>0</v>
      </c>
      <c r="CJ218" s="53" t="n">
        <f aca="false">IF(BW218=1,0,IFERROR(VLOOKUP(BU218,'Gebinde-Kategorie'!$A$5:$N$45,5,0)+0,0))</f>
        <v>20</v>
      </c>
      <c r="CK218" s="53" t="n">
        <f aca="false">IFERROR(IF(OR(CB218=1,CB218=2,CB218=3),N(INDEX(Parameter!$I$5:$I$7,CB218)),0),0)</f>
        <v>0</v>
      </c>
      <c r="CL218" s="52" t="n">
        <f aca="false">IF(AND(Parameter!$B$21="Ja",ISNUMBER(W218),N(X218)&gt;0),IFERROR(N(INDEX(Parameter!$L$5:$L$7,W218))*INDEX(Parameter!$E$5:$E$7,W218)*X218/SUMIFS($X$7:$X$1843,$W$7:$W$1843,W218),0),0)</f>
        <v>0</v>
      </c>
    </row>
    <row r="219" customFormat="false" ht="15" hidden="false" customHeight="false" outlineLevel="0" collapsed="false">
      <c r="A219" s="48" t="s">
        <v>634</v>
      </c>
      <c r="B219" s="48" t="s">
        <v>635</v>
      </c>
      <c r="C219" s="48" t="s">
        <v>168</v>
      </c>
      <c r="D219" s="48" t="s">
        <v>188</v>
      </c>
      <c r="E219" s="48"/>
      <c r="F219" s="48" t="s">
        <v>222</v>
      </c>
      <c r="G219" s="49" t="n">
        <v>14</v>
      </c>
      <c r="H219" s="50" t="n">
        <f aca="false">MAX(0,IF(AND(Parameter!$B$21="Ja",ISNUMBER(Y219)),Y219,IF(Parameter!$B$20="Jahresanfang 2025 + Export",BO219+BN219,BN219)))</f>
        <v>53</v>
      </c>
      <c r="I219" s="50" t="n">
        <f aca="false">H219*G219</f>
        <v>742</v>
      </c>
      <c r="J219" s="50" t="n">
        <f aca="false">BQ219*Parameter!$B$18</f>
        <v>0</v>
      </c>
      <c r="K219" s="51" t="n">
        <v>4</v>
      </c>
      <c r="L219" s="52" t="n">
        <v>0</v>
      </c>
      <c r="M219" s="50" t="n">
        <v>0</v>
      </c>
      <c r="N219" s="50" t="n">
        <v>1</v>
      </c>
      <c r="O219" s="53" t="n">
        <v>28</v>
      </c>
      <c r="P219" s="48" t="s">
        <v>425</v>
      </c>
      <c r="Q219" s="50" t="n">
        <v>55</v>
      </c>
      <c r="R219" s="53" t="n">
        <f aca="false">IF(BW219=1,0,IFERROR(VLOOKUP(BU219,'Gebinde-Kategorie'!$A$5:$N$45,13,0)+0,0))</f>
        <v>104</v>
      </c>
      <c r="S219" s="54"/>
      <c r="T219" s="55"/>
      <c r="U219" s="55"/>
      <c r="V219" s="55"/>
      <c r="W219" s="48"/>
      <c r="X219" s="50"/>
      <c r="Y219" s="50"/>
      <c r="Z219" s="48" t="n">
        <f aca="false">IF(A219="","",IF(AND(Parameter!$B$21="Ja",ISNUMBER(W219)),W219,IF(BZ219="2+3",IF(ISNUMBER(SEARCH("grosser Artikel",BR219)),2,IFERROR(VLOOKUP(BU219,Parameter!$F$35:$G$64,2,0),2)),IF(OR(BZ219="Nein",BZ219=""),"-",BZ219))))</f>
        <v>3</v>
      </c>
      <c r="AA219" s="55"/>
      <c r="AB219" s="56"/>
      <c r="AC219" s="50" t="n">
        <f aca="false">AT219</f>
        <v>55</v>
      </c>
      <c r="AD219" s="50" t="n">
        <f aca="false">MAX(AT219,H219)</f>
        <v>55</v>
      </c>
      <c r="AE219" s="57"/>
      <c r="AF219" s="50" t="n">
        <f aca="false">IF(LEFT(Cockpit!$C$5,1)="A",H219,IF(CE219=1,CF219,IF(LEFT(Cockpit!$C$5,1)="B",AK219,MAX(AK219,H219))))</f>
        <v>53</v>
      </c>
      <c r="AG219" s="50" t="n">
        <f aca="false">IF(BW219=1,0,ROUNDUP(AF219/BV219,0))</f>
        <v>1</v>
      </c>
      <c r="AH219" s="52" t="n">
        <f aca="false">IF(CL219&gt;0,CL219*MAX(1,AF219/X219),IF(BW219=1,IF(AF219&lt;=0,0,CA219*MAX(1,IF(H219&gt;0,AF219/H219,1))),IF(R219&gt;0,AG219/R219,0))/MAX(0.1,N(Parameter!$M$21)))</f>
        <v>0.00961538461538462</v>
      </c>
      <c r="AI219" s="50" t="n">
        <f aca="false">AH219*BY219</f>
        <v>1.49038461538462</v>
      </c>
      <c r="AJ219" s="50" t="n">
        <f aca="false">AF219*G219</f>
        <v>742</v>
      </c>
      <c r="AK219" s="50" t="n">
        <f aca="false">ROUNDUP(MAX(J219/IF(CD219&gt;0,CD219,MAX(0.1,N(Cockpit!$C$6))),CG219)/BV219,0)*BV219</f>
        <v>55</v>
      </c>
      <c r="AL219" s="51" t="n">
        <f aca="false">IF(AI219&gt;0,J219/AI219,-1)</f>
        <v>0</v>
      </c>
      <c r="AM219" s="51" t="n">
        <f aca="false">IF(AND(OR(CC219="L1",CC219="L23",CC219="LIFT"),AI219&gt;0),SUMIFS($AI$7:$AI$1843,$CC$7:$CC$1843,CC219,$AL$7:$AL$1843,"&gt;"&amp;AL219)+SUMIFS($AI$7:$AI$1843,$CC$7:$CC$1843,CC219,$AL$7:$AL$1843,AL219,$BT$7:$BT$1843,"&lt;="&amp;BT219),"")</f>
        <v>27556.6773659486</v>
      </c>
      <c r="AN219" s="58" t="n">
        <f aca="false">IF(AM219="",0,MAX(0,MIN(1,(IF(CC219="L1",Parameter!$H$5,IF(CC219="L23",Parameter!$H$6+Parameter!$H$7,Parameter!$H$5+Parameter!$H$6+Parameter!$H$7))-(AM219-AI219))/AI219)))</f>
        <v>1</v>
      </c>
      <c r="AO219" s="50" t="n">
        <f aca="false">IF(LEFT(Cockpit!$I$5,1)="A",H219,IF(CE219=1,CF219,IF(LEFT(Cockpit!$I$5,1)="B",AT219,MAX(AT219,H219))))</f>
        <v>55</v>
      </c>
      <c r="AP219" s="50" t="n">
        <f aca="false">IF(BW219=1,0,ROUNDUP(AO219/BV219,0))</f>
        <v>1</v>
      </c>
      <c r="AQ219" s="52" t="n">
        <f aca="false">IF(CL219&gt;0,CL219*MAX(1,AO219/X219),IF(BW219=1,IF(AO219&lt;=0,0,CA219*MAX(1,IF(H219&gt;0,AO219/H219,1))),IF(R219&gt;0,AP219/R219,0))/MAX(0.1,N(Parameter!$M$21)))</f>
        <v>0.00961538461538462</v>
      </c>
      <c r="AR219" s="50" t="n">
        <f aca="false">AQ219*BY219</f>
        <v>1.49038461538462</v>
      </c>
      <c r="AS219" s="50" t="n">
        <f aca="false">AO219*G219</f>
        <v>770</v>
      </c>
      <c r="AT219" s="50" t="n">
        <f aca="false">ROUNDUP(MAX(J219/IF(CD219&gt;0,CD219,MAX(0.1,N(Cockpit!$I$6))),CG219)/BV219,0)*BV219</f>
        <v>55</v>
      </c>
      <c r="AU219" s="51" t="n">
        <f aca="false">IF(AR219&gt;0,J219/AR219,-1)</f>
        <v>0</v>
      </c>
      <c r="AV219" s="51" t="n">
        <f aca="false">IF(AND(OR(CC219="L1",CC219="L23",CC219="LIFT"),AR219&gt;0),SUMIFS($AR$7:$AR$1843,$CC$7:$CC$1843,CC219,$AU$7:$AU$1843,"&gt;"&amp;AU219)+SUMIFS($AR$7:$AR$1843,$CC$7:$CC$1843,CC219,$AU$7:$AU$1843,AU219,$BT$7:$BT$1843,"&lt;="&amp;BT219),"")</f>
        <v>38869.5828832185</v>
      </c>
      <c r="AW219" s="58" t="n">
        <f aca="false">IF(AV219="",0,MAX(0,MIN(1,(IF(CC219="L1",Parameter!$H$5,IF(CC219="L23",Parameter!$H$6+Parameter!$H$7,Parameter!$H$5+Parameter!$H$6+Parameter!$H$7))-(AV219-AR219))/AR219)))</f>
        <v>0</v>
      </c>
      <c r="AX219" s="50" t="n">
        <f aca="false">IF(LEFT(Cockpit!$O$5,1)="A",H219,IF(CE219=1,CF219,IF(LEFT(Cockpit!$O$5,1)="B",BC219,MAX(BC219,H219))))</f>
        <v>55</v>
      </c>
      <c r="AY219" s="50" t="n">
        <f aca="false">IF(BW219=1,0,ROUNDUP(AX219/BV219,0))</f>
        <v>1</v>
      </c>
      <c r="AZ219" s="52" t="n">
        <f aca="false">IF(CL219&gt;0,CL219*MAX(1,AX219/X219),IF(BW219=1,IF(AX219&lt;=0,0,CA219*MAX(1,IF(H219&gt;0,AX219/H219,1))),IF(R219&gt;0,AY219/R219,0))/MAX(0.1,N(Parameter!$M$21)))</f>
        <v>0.00961538461538462</v>
      </c>
      <c r="BA219" s="50" t="n">
        <f aca="false">AZ219*BY219</f>
        <v>1.49038461538462</v>
      </c>
      <c r="BB219" s="50" t="n">
        <f aca="false">AX219*G219</f>
        <v>770</v>
      </c>
      <c r="BC219" s="50" t="n">
        <f aca="false">ROUNDUP(MAX(J219/IF(CD219&gt;0,CD219,MAX(0.1,N(Cockpit!$O$6))),CG219)/BV219,0)*BV219</f>
        <v>55</v>
      </c>
      <c r="BD219" s="51" t="n">
        <f aca="false">IF(BA219&gt;0,J219/BA219,-1)</f>
        <v>0</v>
      </c>
      <c r="BE219" s="51" t="n">
        <f aca="false">IF(AND(OR(CC219="L1",CC219="L23",CC219="LIFT"),BA219&gt;0),SUMIFS($BA$7:$BA$1843,$CC$7:$CC$1843,CC219,$BD$7:$BD$1843,"&gt;"&amp;BD219)+SUMIFS($BA$7:$BA$1843,$CC$7:$CC$1843,CC219,$BD$7:$BD$1843,BD219,$BT$7:$BT$1843,"&lt;="&amp;BT219),"")</f>
        <v>35544.5949250843</v>
      </c>
      <c r="BF219" s="58" t="n">
        <f aca="false">IF(BE219="",0,MAX(0,MIN(1,(IF(CC219="L1",Parameter!$H$5,IF(CC219="L23",Parameter!$H$6+Parameter!$H$7,Parameter!$H$5+Parameter!$H$6+Parameter!$H$7))-(BE219-BA219))/BA219)))</f>
        <v>1</v>
      </c>
      <c r="BG219" s="48" t="str">
        <f aca="false">IF(AI219&lt;=0,"",IF(CC219="Aussen","Aussenlager",IF(CC219="-","Nicht im Lift",IF(AN219&gt;=1,"Lift",IF(AN219&lt;=0,"Aussenlager","teilweise")))))</f>
        <v>Lift</v>
      </c>
      <c r="BH219" s="48" t="str">
        <f aca="false">IF(AR219&lt;=0,"",IF(CC219="Aussen","Aussenlager",IF(CC219="-","Nicht im Lift",IF(AW219&gt;=1,"Lift",IF(AW219&lt;=0,"Aussenlager","teilweise")))))</f>
        <v>Aussenlager</v>
      </c>
      <c r="BI219" s="48" t="str">
        <f aca="false">IF(BA219&lt;=0,"",IF(CC219="Aussen","Aussenlager",IF(CC219="-","Nicht im Lift",IF(BF219&gt;=1,"Lift",IF(BF219&lt;=0,"Aussenlager","teilweise")))))</f>
        <v>Lift</v>
      </c>
      <c r="BJ219" s="48" t="str">
        <f aca="false">IF(A219="","",IF(BS219=1,"Neu; ","")&amp;IF(AND(BS219=0,BN219&lt;0),"negativer Bestand (Export "&amp;BN219&amp;"); ","")&amp;IF(J219&lt;=0,"Kein Verbrauch; ","")&amp;IF(CL219&gt;0,"Lift "&amp;W219&amp;" lt. Liftbericht (Fach "&amp;X219&amp;" Stk); ",IF(BX219=1,"Gebinde geschätzt ("&amp;T219&amp;"); ",IF(BW219=1,"Lose – Tablare geschätzt; ","")))&amp;IF(H219&gt;AT219,"Überbestand "&amp;ROUND(H219-AT219,0)&amp;" Stk / CHF "&amp;ROUND((H219-AT219)*G219,0)&amp;"; ","")&amp;IF(AND(CE219=1,CF219&lt;CG219),"MAX &lt; MB+LG; ","")&amp;IF(AND(CK219&gt;0,CJ219*10&gt;CK219),"zu hoch für Tablar; ","")&amp;IF(AND(BS219=0,OR(CE219=1,AA219&lt;&gt;"",U219&lt;&gt;"",V219&lt;&gt;"",AB219&lt;&gt;"")),"manuell übersteuert; ","")&amp;IF(AND(BW219=0,R219=0),"Gebinde unbekannt / Stellmass fehlt; ","")&amp;IF(AND(BW219=0,N(V219)&lt;=0,N(Q219)&lt;=0),"Menge pro Gebinde fehlt (Ist = 1 Gebinde); ","")&amp;BR219)</f>
        <v>Kein Verbrauch; </v>
      </c>
      <c r="BK219" s="48"/>
      <c r="BL219" s="48"/>
      <c r="BM219" s="55"/>
      <c r="BN219" s="50" t="n">
        <v>49</v>
      </c>
      <c r="BO219" s="50" t="n">
        <v>4</v>
      </c>
      <c r="BP219" s="49" t="n">
        <v>688.92</v>
      </c>
      <c r="BQ219" s="50" t="n">
        <v>0</v>
      </c>
      <c r="BR219" s="48"/>
      <c r="BS219" s="53" t="n">
        <v>0</v>
      </c>
      <c r="BT219" s="53" t="n">
        <v>219</v>
      </c>
      <c r="BU219" s="48" t="str">
        <f aca="false">IF(U219&lt;&gt;"",UPPER(TRIM(U219)),IF(BX219=1,UPPER(VLOOKUP(T219,Parameter!$I$27:$K$29,2,0)),IF(P219="","LOSE",P219)))</f>
        <v>S32</v>
      </c>
      <c r="BV219" s="50" t="n">
        <f aca="false">IF(BU219="LOSE",1,IF(N(V219)&gt;0,V219,IF(BX219=1,MAX(1,N(VLOOKUP(T219,Parameter!$I$27:$K$29,3,0)),H219,N(N219)),IF(N(Q219)&gt;0,Q219,MAX(1,H219)))))</f>
        <v>55</v>
      </c>
      <c r="BW219" s="53" t="n">
        <f aca="false">IF(BU219="LOSE",1,0)</f>
        <v>0</v>
      </c>
      <c r="BX219" s="53" t="n">
        <f aca="false">IF(AND(U219="",OR(P219="",P219="LOSE"),T219&lt;&gt;"",N(S219)&lt;=0,ISNUMBER(MATCH(T219,Parameter!$I$27:$I$29,0))),1,0)</f>
        <v>0</v>
      </c>
      <c r="BY219" s="53" t="n">
        <f aca="false">IF(CL219&gt;0,INDEX(Parameter!$H$5:$H$7,W219)/INDEX(Parameter!$E$5:$E$7,W219),IF(AND(BW219=0,N(IFERROR(VLOOKUP(BU219,'Gebinde-Kategorie'!$A$5:$N$45,14,0),0))&gt;0),VLOOKUP(BU219,'Gebinde-Kategorie'!$A$5:$N$45,14,0)*10+Parameter!$M$23,Parameter!$M$24))</f>
        <v>155</v>
      </c>
      <c r="BZ219" s="48" t="str">
        <f aca="false">IF(AND(Parameter!$B$19="Ja",E219&lt;&gt;"",ISNUMBER(MATCH(E219,Parameter!$I$35:$I$52,0))),VLOOKUP(E219,Parameter!$I$35:$J$52,2,0),IFERROR(VLOOKUP(D219,Parameter!$A$35:$C$64,2,0),"Nein"))</f>
        <v>2+3</v>
      </c>
      <c r="CA219" s="52" t="n">
        <f aca="false">IF(BW219=0,0,IF(N(S219)&gt;0,S219,IFERROR(VLOOKUP(D219,Parameter!$A$35:$C$64,3,0)+0,0)))</f>
        <v>0</v>
      </c>
      <c r="CB219" s="48" t="n">
        <f aca="false">IF(AA219&lt;&gt;"",AA219,Z219)</f>
        <v>3</v>
      </c>
      <c r="CC219" s="48" t="str">
        <f aca="false">IF(OR(CB219=1,CB219=2,CB219=3),IF(Parameter!$E$27="Ja","LIFT",IF(CB219=1,"L1","L23")),IF(CB219="Aussen","Aussen","-"))</f>
        <v>LIFT</v>
      </c>
      <c r="CD219" s="59" t="n">
        <f aca="false">IF(N(AB219)&gt;0,AB219,0)</f>
        <v>0</v>
      </c>
      <c r="CE219" s="53" t="n">
        <f aca="false">IF(ISNUMBER(AE219),1,0)</f>
        <v>0</v>
      </c>
      <c r="CF219" s="50" t="n">
        <f aca="false">N(AE219)</f>
        <v>0</v>
      </c>
      <c r="CG219" s="50" t="n">
        <f aca="false">N(M219)+N(N219)</f>
        <v>1</v>
      </c>
      <c r="CH219" s="50" t="n">
        <f aca="false">ROUNDUP(H219/BV219,0)</f>
        <v>1</v>
      </c>
      <c r="CI219" s="50" t="n">
        <f aca="false">ROUNDUP(CF219/BV219,0)</f>
        <v>0</v>
      </c>
      <c r="CJ219" s="53" t="n">
        <f aca="false">IF(BW219=1,0,IFERROR(VLOOKUP(BU219,'Gebinde-Kategorie'!$A$5:$N$45,5,0)+0,0))</f>
        <v>8</v>
      </c>
      <c r="CK219" s="53" t="n">
        <f aca="false">IFERROR(IF(OR(CB219=1,CB219=2,CB219=3),N(INDEX(Parameter!$I$5:$I$7,CB219)),0),0)</f>
        <v>0</v>
      </c>
      <c r="CL219" s="52" t="n">
        <f aca="false">IF(AND(Parameter!$B$21="Ja",ISNUMBER(W219),N(X219)&gt;0),IFERROR(N(INDEX(Parameter!$L$5:$L$7,W219))*INDEX(Parameter!$E$5:$E$7,W219)*X219/SUMIFS($X$7:$X$1843,$W$7:$W$1843,W219),0),0)</f>
        <v>0</v>
      </c>
    </row>
    <row r="220" customFormat="false" ht="15" hidden="false" customHeight="false" outlineLevel="0" collapsed="false">
      <c r="A220" s="48" t="s">
        <v>636</v>
      </c>
      <c r="B220" s="48" t="s">
        <v>637</v>
      </c>
      <c r="C220" s="48" t="s">
        <v>168</v>
      </c>
      <c r="D220" s="48" t="s">
        <v>177</v>
      </c>
      <c r="E220" s="48"/>
      <c r="F220" s="48" t="s">
        <v>222</v>
      </c>
      <c r="G220" s="49" t="n">
        <v>678.65</v>
      </c>
      <c r="H220" s="50" t="n">
        <f aca="false">MAX(0,IF(AND(Parameter!$B$21="Ja",ISNUMBER(Y220)),Y220,IF(Parameter!$B$20="Jahresanfang 2025 + Export",BO220+BN220,BN220)))</f>
        <v>1</v>
      </c>
      <c r="I220" s="50" t="n">
        <f aca="false">H220*G220</f>
        <v>678.65</v>
      </c>
      <c r="J220" s="50" t="n">
        <f aca="false">BQ220*Parameter!$B$18</f>
        <v>0</v>
      </c>
      <c r="K220" s="51" t="n">
        <v>0.5</v>
      </c>
      <c r="L220" s="52" t="n">
        <v>0</v>
      </c>
      <c r="M220" s="50" t="n">
        <v>0</v>
      </c>
      <c r="N220" s="50" t="n">
        <v>1</v>
      </c>
      <c r="O220" s="53" t="n">
        <v>14</v>
      </c>
      <c r="P220" s="48" t="s">
        <v>172</v>
      </c>
      <c r="Q220" s="50"/>
      <c r="R220" s="53" t="n">
        <f aca="false">IF(BW220=1,0,IFERROR(VLOOKUP(BU220,'Gebinde-Kategorie'!$A$5:$N$45,13,0)+0,0))</f>
        <v>4</v>
      </c>
      <c r="S220" s="54"/>
      <c r="T220" s="55" t="s">
        <v>193</v>
      </c>
      <c r="U220" s="55"/>
      <c r="V220" s="55"/>
      <c r="W220" s="48"/>
      <c r="X220" s="50"/>
      <c r="Y220" s="50"/>
      <c r="Z220" s="48" t="n">
        <f aca="false">IF(A220="","",IF(AND(Parameter!$B$21="Ja",ISNUMBER(W220)),W220,IF(BZ220="2+3",IF(ISNUMBER(SEARCH("grosser Artikel",BR220)),2,IFERROR(VLOOKUP(BU220,Parameter!$F$35:$G$64,2,0),2)),IF(OR(BZ220="Nein",BZ220=""),"-",BZ220))))</f>
        <v>2</v>
      </c>
      <c r="AA220" s="55"/>
      <c r="AB220" s="56"/>
      <c r="AC220" s="50" t="n">
        <f aca="false">AT220</f>
        <v>2</v>
      </c>
      <c r="AD220" s="50" t="n">
        <f aca="false">MAX(AT220,H220)</f>
        <v>2</v>
      </c>
      <c r="AE220" s="57"/>
      <c r="AF220" s="50" t="n">
        <f aca="false">IF(LEFT(Cockpit!$C$5,1)="A",H220,IF(CE220=1,CF220,IF(LEFT(Cockpit!$C$5,1)="B",AK220,MAX(AK220,H220))))</f>
        <v>1</v>
      </c>
      <c r="AG220" s="50" t="n">
        <f aca="false">IF(BW220=1,0,ROUNDUP(AF220/BV220,0))</f>
        <v>1</v>
      </c>
      <c r="AH220" s="52" t="n">
        <f aca="false">IF(CL220&gt;0,CL220*MAX(1,AF220/X220),IF(BW220=1,IF(AF220&lt;=0,0,CA220*MAX(1,IF(H220&gt;0,AF220/H220,1))),IF(R220&gt;0,AG220/R220,0))/MAX(0.1,N(Parameter!$M$21)))</f>
        <v>0.25</v>
      </c>
      <c r="AI220" s="50" t="n">
        <f aca="false">AH220*BY220</f>
        <v>58.75</v>
      </c>
      <c r="AJ220" s="50" t="n">
        <f aca="false">AF220*G220</f>
        <v>678.65</v>
      </c>
      <c r="AK220" s="50" t="n">
        <f aca="false">ROUNDUP(MAX(J220/IF(CD220&gt;0,CD220,MAX(0.1,N(Cockpit!$C$6))),CG220)/BV220,0)*BV220</f>
        <v>2</v>
      </c>
      <c r="AL220" s="51" t="n">
        <f aca="false">IF(AI220&gt;0,J220/AI220,-1)</f>
        <v>0</v>
      </c>
      <c r="AM220" s="51" t="n">
        <f aca="false">IF(AND(OR(CC220="L1",CC220="L23",CC220="LIFT"),AI220&gt;0),SUMIFS($AI$7:$AI$1843,$CC$7:$CC$1843,CC220,$AL$7:$AL$1843,"&gt;"&amp;AL220)+SUMIFS($AI$7:$AI$1843,$CC$7:$CC$1843,CC220,$AL$7:$AL$1843,AL220,$BT$7:$BT$1843,"&lt;="&amp;BT220),"")</f>
        <v>27615.4273659486</v>
      </c>
      <c r="AN220" s="58" t="n">
        <f aca="false">IF(AM220="",0,MAX(0,MIN(1,(IF(CC220="L1",Parameter!$H$5,IF(CC220="L23",Parameter!$H$6+Parameter!$H$7,Parameter!$H$5+Parameter!$H$6+Parameter!$H$7))-(AM220-AI220))/AI220)))</f>
        <v>1</v>
      </c>
      <c r="AO220" s="50" t="n">
        <f aca="false">IF(LEFT(Cockpit!$I$5,1)="A",H220,IF(CE220=1,CF220,IF(LEFT(Cockpit!$I$5,1)="B",AT220,MAX(AT220,H220))))</f>
        <v>2</v>
      </c>
      <c r="AP220" s="50" t="n">
        <f aca="false">IF(BW220=1,0,ROUNDUP(AO220/BV220,0))</f>
        <v>1</v>
      </c>
      <c r="AQ220" s="52" t="n">
        <f aca="false">IF(CL220&gt;0,CL220*MAX(1,AO220/X220),IF(BW220=1,IF(AO220&lt;=0,0,CA220*MAX(1,IF(H220&gt;0,AO220/H220,1))),IF(R220&gt;0,AP220/R220,0))/MAX(0.1,N(Parameter!$M$21)))</f>
        <v>0.25</v>
      </c>
      <c r="AR220" s="50" t="n">
        <f aca="false">AQ220*BY220</f>
        <v>58.75</v>
      </c>
      <c r="AS220" s="50" t="n">
        <f aca="false">AO220*G220</f>
        <v>1357.3</v>
      </c>
      <c r="AT220" s="50" t="n">
        <f aca="false">ROUNDUP(MAX(J220/IF(CD220&gt;0,CD220,MAX(0.1,N(Cockpit!$I$6))),CG220)/BV220,0)*BV220</f>
        <v>2</v>
      </c>
      <c r="AU220" s="51" t="n">
        <f aca="false">IF(AR220&gt;0,J220/AR220,-1)</f>
        <v>0</v>
      </c>
      <c r="AV220" s="51" t="n">
        <f aca="false">IF(AND(OR(CC220="L1",CC220="L23",CC220="LIFT"),AR220&gt;0),SUMIFS($AR$7:$AR$1843,$CC$7:$CC$1843,CC220,$AU$7:$AU$1843,"&gt;"&amp;AU220)+SUMIFS($AR$7:$AR$1843,$CC$7:$CC$1843,CC220,$AU$7:$AU$1843,AU220,$BT$7:$BT$1843,"&lt;="&amp;BT220),"")</f>
        <v>38928.3328832185</v>
      </c>
      <c r="AW220" s="58" t="n">
        <f aca="false">IF(AV220="",0,MAX(0,MIN(1,(IF(CC220="L1",Parameter!$H$5,IF(CC220="L23",Parameter!$H$6+Parameter!$H$7,Parameter!$H$5+Parameter!$H$6+Parameter!$H$7))-(AV220-AR220))/AR220)))</f>
        <v>0</v>
      </c>
      <c r="AX220" s="50" t="n">
        <f aca="false">IF(LEFT(Cockpit!$O$5,1)="A",H220,IF(CE220=1,CF220,IF(LEFT(Cockpit!$O$5,1)="B",BC220,MAX(BC220,H220))))</f>
        <v>2</v>
      </c>
      <c r="AY220" s="50" t="n">
        <f aca="false">IF(BW220=1,0,ROUNDUP(AX220/BV220,0))</f>
        <v>1</v>
      </c>
      <c r="AZ220" s="52" t="n">
        <f aca="false">IF(CL220&gt;0,CL220*MAX(1,AX220/X220),IF(BW220=1,IF(AX220&lt;=0,0,CA220*MAX(1,IF(H220&gt;0,AX220/H220,1))),IF(R220&gt;0,AY220/R220,0))/MAX(0.1,N(Parameter!$M$21)))</f>
        <v>0.25</v>
      </c>
      <c r="BA220" s="50" t="n">
        <f aca="false">AZ220*BY220</f>
        <v>58.75</v>
      </c>
      <c r="BB220" s="50" t="n">
        <f aca="false">AX220*G220</f>
        <v>1357.3</v>
      </c>
      <c r="BC220" s="50" t="n">
        <f aca="false">ROUNDUP(MAX(J220/IF(CD220&gt;0,CD220,MAX(0.1,N(Cockpit!$O$6))),CG220)/BV220,0)*BV220</f>
        <v>2</v>
      </c>
      <c r="BD220" s="51" t="n">
        <f aca="false">IF(BA220&gt;0,J220/BA220,-1)</f>
        <v>0</v>
      </c>
      <c r="BE220" s="51" t="n">
        <f aca="false">IF(AND(OR(CC220="L1",CC220="L23",CC220="LIFT"),BA220&gt;0),SUMIFS($BA$7:$BA$1843,$CC$7:$CC$1843,CC220,$BD$7:$BD$1843,"&gt;"&amp;BD220)+SUMIFS($BA$7:$BA$1843,$CC$7:$CC$1843,CC220,$BD$7:$BD$1843,BD220,$BT$7:$BT$1843,"&lt;="&amp;BT220),"")</f>
        <v>35603.3449250843</v>
      </c>
      <c r="BF220" s="58" t="n">
        <f aca="false">IF(BE220="",0,MAX(0,MIN(1,(IF(CC220="L1",Parameter!$H$5,IF(CC220="L23",Parameter!$H$6+Parameter!$H$7,Parameter!$H$5+Parameter!$H$6+Parameter!$H$7))-(BE220-BA220))/BA220)))</f>
        <v>1</v>
      </c>
      <c r="BG220" s="48" t="str">
        <f aca="false">IF(AI220&lt;=0,"",IF(CC220="Aussen","Aussenlager",IF(CC220="-","Nicht im Lift",IF(AN220&gt;=1,"Lift",IF(AN220&lt;=0,"Aussenlager","teilweise")))))</f>
        <v>Lift</v>
      </c>
      <c r="BH220" s="48" t="str">
        <f aca="false">IF(AR220&lt;=0,"",IF(CC220="Aussen","Aussenlager",IF(CC220="-","Nicht im Lift",IF(AW220&gt;=1,"Lift",IF(AW220&lt;=0,"Aussenlager","teilweise")))))</f>
        <v>Aussenlager</v>
      </c>
      <c r="BI220" s="48" t="str">
        <f aca="false">IF(BA220&lt;=0,"",IF(CC220="Aussen","Aussenlager",IF(CC220="-","Nicht im Lift",IF(BF220&gt;=1,"Lift",IF(BF220&lt;=0,"Aussenlager","teilweise")))))</f>
        <v>Lift</v>
      </c>
      <c r="BJ220" s="48" t="str">
        <f aca="false">IF(A220="","",IF(BS220=1,"Neu; ","")&amp;IF(AND(BS220=0,BN220&lt;0),"negativer Bestand (Export "&amp;BN220&amp;"); ","")&amp;IF(J220&lt;=0,"Kein Verbrauch; ","")&amp;IF(CL220&gt;0,"Lift "&amp;W220&amp;" lt. Liftbericht (Fach "&amp;X220&amp;" Stk); ",IF(BX220=1,"Gebinde geschätzt ("&amp;T220&amp;"); ",IF(BW220=1,"Lose – Tablare geschätzt; ","")))&amp;IF(H220&gt;AT220,"Überbestand "&amp;ROUND(H220-AT220,0)&amp;" Stk / CHF "&amp;ROUND((H220-AT220)*G220,0)&amp;"; ","")&amp;IF(AND(CE220=1,CF220&lt;CG220),"MAX &lt; MB+LG; ","")&amp;IF(AND(CK220&gt;0,CJ220*10&gt;CK220),"zu hoch für Tablar; ","")&amp;IF(AND(BS220=0,OR(CE220=1,AA220&lt;&gt;"",U220&lt;&gt;"",V220&lt;&gt;"",AB220&lt;&gt;"")),"manuell übersteuert; ","")&amp;IF(AND(BW220=0,R220=0),"Gebinde unbekannt / Stellmass fehlt; ","")&amp;IF(AND(BW220=0,N(V220)&lt;=0,N(Q220)&lt;=0),"Menge pro Gebinde fehlt (Ist = 1 Gebinde); ","")&amp;BR220)</f>
        <v>Kein Verbrauch; Gebinde geschätzt (Gross); Menge pro Gebinde fehlt (Ist = 1 Gebinde); </v>
      </c>
      <c r="BK220" s="48"/>
      <c r="BL220" s="48"/>
      <c r="BM220" s="55"/>
      <c r="BN220" s="50" t="n">
        <v>1</v>
      </c>
      <c r="BO220" s="50" t="n">
        <v>0</v>
      </c>
      <c r="BP220" s="49" t="n">
        <v>678.65</v>
      </c>
      <c r="BQ220" s="50" t="n">
        <v>0</v>
      </c>
      <c r="BR220" s="48"/>
      <c r="BS220" s="53" t="n">
        <v>0</v>
      </c>
      <c r="BT220" s="53" t="n">
        <v>220</v>
      </c>
      <c r="BU220" s="48" t="str">
        <f aca="false">IF(U220&lt;&gt;"",UPPER(TRIM(U220)),IF(BX220=1,UPPER(VLOOKUP(T220,Parameter!$I$27:$K$29,2,0)),IF(P220="","LOSE",P220)))</f>
        <v>S81</v>
      </c>
      <c r="BV220" s="50" t="n">
        <f aca="false">IF(BU220="LOSE",1,IF(N(V220)&gt;0,V220,IF(BX220=1,MAX(1,N(VLOOKUP(T220,Parameter!$I$27:$K$29,3,0)),H220,N(N220)),IF(N(Q220)&gt;0,Q220,MAX(1,H220)))))</f>
        <v>2</v>
      </c>
      <c r="BW220" s="53" t="n">
        <f aca="false">IF(BU220="LOSE",1,0)</f>
        <v>0</v>
      </c>
      <c r="BX220" s="53" t="n">
        <f aca="false">IF(AND(U220="",OR(P220="",P220="LOSE"),T220&lt;&gt;"",N(S220)&lt;=0,ISNUMBER(MATCH(T220,Parameter!$I$27:$I$29,0))),1,0)</f>
        <v>1</v>
      </c>
      <c r="BY220" s="53" t="n">
        <f aca="false">IF(CL220&gt;0,INDEX(Parameter!$H$5:$H$7,W220)/INDEX(Parameter!$E$5:$E$7,W220),IF(AND(BW220=0,N(IFERROR(VLOOKUP(BU220,'Gebinde-Kategorie'!$A$5:$N$45,14,0),0))&gt;0),VLOOKUP(BU220,'Gebinde-Kategorie'!$A$5:$N$45,14,0)*10+Parameter!$M$23,Parameter!$M$24))</f>
        <v>235</v>
      </c>
      <c r="BZ220" s="48" t="str">
        <f aca="false">IF(AND(Parameter!$B$19="Ja",E220&lt;&gt;"",ISNUMBER(MATCH(E220,Parameter!$I$35:$I$52,0))),VLOOKUP(E220,Parameter!$I$35:$J$52,2,0),IFERROR(VLOOKUP(D220,Parameter!$A$35:$C$64,2,0),"Nein"))</f>
        <v>2+3</v>
      </c>
      <c r="CA220" s="52" t="n">
        <f aca="false">IF(BW220=0,0,IF(N(S220)&gt;0,S220,IFERROR(VLOOKUP(D220,Parameter!$A$35:$C$64,3,0)+0,0)))</f>
        <v>0</v>
      </c>
      <c r="CB220" s="48" t="n">
        <f aca="false">IF(AA220&lt;&gt;"",AA220,Z220)</f>
        <v>2</v>
      </c>
      <c r="CC220" s="48" t="str">
        <f aca="false">IF(OR(CB220=1,CB220=2,CB220=3),IF(Parameter!$E$27="Ja","LIFT",IF(CB220=1,"L1","L23")),IF(CB220="Aussen","Aussen","-"))</f>
        <v>LIFT</v>
      </c>
      <c r="CD220" s="59" t="n">
        <f aca="false">IF(N(AB220)&gt;0,AB220,0)</f>
        <v>0</v>
      </c>
      <c r="CE220" s="53" t="n">
        <f aca="false">IF(ISNUMBER(AE220),1,0)</f>
        <v>0</v>
      </c>
      <c r="CF220" s="50" t="n">
        <f aca="false">N(AE220)</f>
        <v>0</v>
      </c>
      <c r="CG220" s="50" t="n">
        <f aca="false">N(M220)+N(N220)</f>
        <v>1</v>
      </c>
      <c r="CH220" s="50" t="n">
        <f aca="false">ROUNDUP(H220/BV220,0)</f>
        <v>1</v>
      </c>
      <c r="CI220" s="50" t="n">
        <f aca="false">ROUNDUP(CF220/BV220,0)</f>
        <v>0</v>
      </c>
      <c r="CJ220" s="53" t="n">
        <f aca="false">IF(BW220=1,0,IFERROR(VLOOKUP(BU220,'Gebinde-Kategorie'!$A$5:$N$45,5,0)+0,0))</f>
        <v>20</v>
      </c>
      <c r="CK220" s="53" t="n">
        <f aca="false">IFERROR(IF(OR(CB220=1,CB220=2,CB220=3),N(INDEX(Parameter!$I$5:$I$7,CB220)),0),0)</f>
        <v>0</v>
      </c>
      <c r="CL220" s="52" t="n">
        <f aca="false">IF(AND(Parameter!$B$21="Ja",ISNUMBER(W220),N(X220)&gt;0),IFERROR(N(INDEX(Parameter!$L$5:$L$7,W220))*INDEX(Parameter!$E$5:$E$7,W220)*X220/SUMIFS($X$7:$X$1843,$W$7:$W$1843,W220),0),0)</f>
        <v>0</v>
      </c>
    </row>
    <row r="221" customFormat="false" ht="15" hidden="false" customHeight="false" outlineLevel="0" collapsed="false">
      <c r="A221" s="48" t="s">
        <v>638</v>
      </c>
      <c r="B221" s="48" t="s">
        <v>639</v>
      </c>
      <c r="C221" s="48" t="s">
        <v>168</v>
      </c>
      <c r="D221" s="48" t="s">
        <v>188</v>
      </c>
      <c r="E221" s="48"/>
      <c r="F221" s="48" t="s">
        <v>222</v>
      </c>
      <c r="G221" s="49" t="n">
        <v>36.84</v>
      </c>
      <c r="H221" s="50" t="n">
        <f aca="false">MAX(0,IF(AND(Parameter!$B$21="Ja",ISNUMBER(Y221)),Y221,IF(Parameter!$B$20="Jahresanfang 2025 + Export",BO221+BN221,BN221)))</f>
        <v>36</v>
      </c>
      <c r="I221" s="50" t="n">
        <f aca="false">H221*G221</f>
        <v>1326.24</v>
      </c>
      <c r="J221" s="50" t="n">
        <f aca="false">BQ221*Parameter!$B$18</f>
        <v>49</v>
      </c>
      <c r="K221" s="51" t="n">
        <v>23</v>
      </c>
      <c r="L221" s="52" t="n">
        <v>2.1304347826087</v>
      </c>
      <c r="M221" s="50" t="n">
        <v>3</v>
      </c>
      <c r="N221" s="50" t="n">
        <v>50</v>
      </c>
      <c r="O221" s="53" t="n">
        <v>28</v>
      </c>
      <c r="P221" s="48" t="s">
        <v>190</v>
      </c>
      <c r="Q221" s="50" t="n">
        <v>40</v>
      </c>
      <c r="R221" s="53" t="n">
        <f aca="false">IF(BW221=1,0,IFERROR(VLOOKUP(BU221,'Gebinde-Kategorie'!$A$5:$N$45,13,0)+0,0))</f>
        <v>12</v>
      </c>
      <c r="S221" s="54"/>
      <c r="T221" s="55"/>
      <c r="U221" s="55"/>
      <c r="V221" s="55"/>
      <c r="W221" s="48"/>
      <c r="X221" s="50"/>
      <c r="Y221" s="50"/>
      <c r="Z221" s="48" t="n">
        <f aca="false">IF(A221="","",IF(AND(Parameter!$B$21="Ja",ISNUMBER(W221)),W221,IF(BZ221="2+3",IF(ISNUMBER(SEARCH("grosser Artikel",BR221)),2,IFERROR(VLOOKUP(BU221,Parameter!$F$35:$G$64,2,0),2)),IF(OR(BZ221="Nein",BZ221=""),"-",BZ221))))</f>
        <v>2</v>
      </c>
      <c r="AA221" s="55"/>
      <c r="AB221" s="56"/>
      <c r="AC221" s="50" t="n">
        <f aca="false">AT221</f>
        <v>80</v>
      </c>
      <c r="AD221" s="50" t="n">
        <f aca="false">MAX(AT221,H221)</f>
        <v>80</v>
      </c>
      <c r="AE221" s="57"/>
      <c r="AF221" s="50" t="n">
        <f aca="false">IF(LEFT(Cockpit!$C$5,1)="A",H221,IF(CE221=1,CF221,IF(LEFT(Cockpit!$C$5,1)="B",AK221,MAX(AK221,H221))))</f>
        <v>36</v>
      </c>
      <c r="AG221" s="50" t="n">
        <f aca="false">IF(BW221=1,0,ROUNDUP(AF221/BV221,0))</f>
        <v>1</v>
      </c>
      <c r="AH221" s="52" t="n">
        <f aca="false">IF(CL221&gt;0,CL221*MAX(1,AF221/X221),IF(BW221=1,IF(AF221&lt;=0,0,CA221*MAX(1,IF(H221&gt;0,AF221/H221,1))),IF(R221&gt;0,AG221/R221,0))/MAX(0.1,N(Parameter!$M$21)))</f>
        <v>0.0833333333333333</v>
      </c>
      <c r="AI221" s="50" t="n">
        <f aca="false">AH221*BY221</f>
        <v>12.0833333333333</v>
      </c>
      <c r="AJ221" s="50" t="n">
        <f aca="false">AF221*G221</f>
        <v>1326.24</v>
      </c>
      <c r="AK221" s="50" t="n">
        <f aca="false">ROUNDUP(MAX(J221/IF(CD221&gt;0,CD221,MAX(0.1,N(Cockpit!$C$6))),CG221)/BV221,0)*BV221</f>
        <v>80</v>
      </c>
      <c r="AL221" s="51" t="n">
        <f aca="false">IF(AI221&gt;0,J221/AI221,-1)</f>
        <v>4.0551724137931</v>
      </c>
      <c r="AM221" s="51" t="n">
        <f aca="false">IF(AND(OR(CC221="L1",CC221="L23",CC221="LIFT"),AI221&gt;0),SUMIFS($AI$7:$AI$1843,$CC$7:$CC$1843,CC221,$AL$7:$AL$1843,"&gt;"&amp;AL221)+SUMIFS($AI$7:$AI$1843,$CC$7:$CC$1843,CC221,$AL$7:$AL$1843,AL221,$BT$7:$BT$1843,"&lt;="&amp;BT221),"")</f>
        <v>4249.7467948718</v>
      </c>
      <c r="AN221" s="58" t="n">
        <f aca="false">IF(AM221="",0,MAX(0,MIN(1,(IF(CC221="L1",Parameter!$H$5,IF(CC221="L23",Parameter!$H$6+Parameter!$H$7,Parameter!$H$5+Parameter!$H$6+Parameter!$H$7))-(AM221-AI221))/AI221)))</f>
        <v>1</v>
      </c>
      <c r="AO221" s="50" t="n">
        <f aca="false">IF(LEFT(Cockpit!$I$5,1)="A",H221,IF(CE221=1,CF221,IF(LEFT(Cockpit!$I$5,1)="B",AT221,MAX(AT221,H221))))</f>
        <v>80</v>
      </c>
      <c r="AP221" s="50" t="n">
        <f aca="false">IF(BW221=1,0,ROUNDUP(AO221/BV221,0))</f>
        <v>2</v>
      </c>
      <c r="AQ221" s="52" t="n">
        <f aca="false">IF(CL221&gt;0,CL221*MAX(1,AO221/X221),IF(BW221=1,IF(AO221&lt;=0,0,CA221*MAX(1,IF(H221&gt;0,AO221/H221,1))),IF(R221&gt;0,AP221/R221,0))/MAX(0.1,N(Parameter!$M$21)))</f>
        <v>0.166666666666667</v>
      </c>
      <c r="AR221" s="50" t="n">
        <f aca="false">AQ221*BY221</f>
        <v>24.1666666666667</v>
      </c>
      <c r="AS221" s="50" t="n">
        <f aca="false">AO221*G221</f>
        <v>2947.2</v>
      </c>
      <c r="AT221" s="50" t="n">
        <f aca="false">ROUNDUP(MAX(J221/IF(CD221&gt;0,CD221,MAX(0.1,N(Cockpit!$I$6))),CG221)/BV221,0)*BV221</f>
        <v>80</v>
      </c>
      <c r="AU221" s="51" t="n">
        <f aca="false">IF(AR221&gt;0,J221/AR221,-1)</f>
        <v>2.02758620689655</v>
      </c>
      <c r="AV221" s="51" t="n">
        <f aca="false">IF(AND(OR(CC221="L1",CC221="L23",CC221="LIFT"),AR221&gt;0),SUMIFS($AR$7:$AR$1843,$CC$7:$CC$1843,CC221,$AU$7:$AU$1843,"&gt;"&amp;AU221)+SUMIFS($AR$7:$AR$1843,$CC$7:$CC$1843,CC221,$AU$7:$AU$1843,AU221,$BT$7:$BT$1843,"&lt;="&amp;BT221),"")</f>
        <v>7645.39789377289</v>
      </c>
      <c r="AW221" s="58" t="n">
        <f aca="false">IF(AV221="",0,MAX(0,MIN(1,(IF(CC221="L1",Parameter!$H$5,IF(CC221="L23",Parameter!$H$6+Parameter!$H$7,Parameter!$H$5+Parameter!$H$6+Parameter!$H$7))-(AV221-AR221))/AR221)))</f>
        <v>1</v>
      </c>
      <c r="AX221" s="50" t="n">
        <f aca="false">IF(LEFT(Cockpit!$O$5,1)="A",H221,IF(CE221=1,CF221,IF(LEFT(Cockpit!$O$5,1)="B",BC221,MAX(BC221,H221))))</f>
        <v>80</v>
      </c>
      <c r="AY221" s="50" t="n">
        <f aca="false">IF(BW221=1,0,ROUNDUP(AX221/BV221,0))</f>
        <v>2</v>
      </c>
      <c r="AZ221" s="52" t="n">
        <f aca="false">IF(CL221&gt;0,CL221*MAX(1,AX221/X221),IF(BW221=1,IF(AX221&lt;=0,0,CA221*MAX(1,IF(H221&gt;0,AX221/H221,1))),IF(R221&gt;0,AY221/R221,0))/MAX(0.1,N(Parameter!$M$21)))</f>
        <v>0.166666666666667</v>
      </c>
      <c r="BA221" s="50" t="n">
        <f aca="false">AZ221*BY221</f>
        <v>24.1666666666667</v>
      </c>
      <c r="BB221" s="50" t="n">
        <f aca="false">AX221*G221</f>
        <v>2947.2</v>
      </c>
      <c r="BC221" s="50" t="n">
        <f aca="false">ROUNDUP(MAX(J221/IF(CD221&gt;0,CD221,MAX(0.1,N(Cockpit!$O$6))),CG221)/BV221,0)*BV221</f>
        <v>80</v>
      </c>
      <c r="BD221" s="51" t="n">
        <f aca="false">IF(BA221&gt;0,J221/BA221,-1)</f>
        <v>2.02758620689655</v>
      </c>
      <c r="BE221" s="51" t="n">
        <f aca="false">IF(AND(OR(CC221="L1",CC221="L23",CC221="LIFT"),BA221&gt;0),SUMIFS($BA$7:$BA$1843,$CC$7:$CC$1843,CC221,$BD$7:$BD$1843,"&gt;"&amp;BD221)+SUMIFS($BA$7:$BA$1843,$CC$7:$CC$1843,CC221,$BD$7:$BD$1843,BD221,$BT$7:$BT$1843,"&lt;="&amp;BT221),"")</f>
        <v>7544.38827838828</v>
      </c>
      <c r="BF221" s="58" t="n">
        <f aca="false">IF(BE221="",0,MAX(0,MIN(1,(IF(CC221="L1",Parameter!$H$5,IF(CC221="L23",Parameter!$H$6+Parameter!$H$7,Parameter!$H$5+Parameter!$H$6+Parameter!$H$7))-(BE221-BA221))/BA221)))</f>
        <v>1</v>
      </c>
      <c r="BG221" s="48" t="str">
        <f aca="false">IF(AI221&lt;=0,"",IF(CC221="Aussen","Aussenlager",IF(CC221="-","Nicht im Lift",IF(AN221&gt;=1,"Lift",IF(AN221&lt;=0,"Aussenlager","teilweise")))))</f>
        <v>Lift</v>
      </c>
      <c r="BH221" s="48" t="str">
        <f aca="false">IF(AR221&lt;=0,"",IF(CC221="Aussen","Aussenlager",IF(CC221="-","Nicht im Lift",IF(AW221&gt;=1,"Lift",IF(AW221&lt;=0,"Aussenlager","teilweise")))))</f>
        <v>Lift</v>
      </c>
      <c r="BI221" s="48" t="str">
        <f aca="false">IF(BA221&lt;=0,"",IF(CC221="Aussen","Aussenlager",IF(CC221="-","Nicht im Lift",IF(BF221&gt;=1,"Lift",IF(BF221&lt;=0,"Aussenlager","teilweise")))))</f>
        <v>Lift</v>
      </c>
      <c r="BJ221" s="48" t="str">
        <f aca="false">IF(A221="","",IF(BS221=1,"Neu; ","")&amp;IF(AND(BS221=0,BN221&lt;0),"negativer Bestand (Export "&amp;BN221&amp;"); ","")&amp;IF(J221&lt;=0,"Kein Verbrauch; ","")&amp;IF(CL221&gt;0,"Lift "&amp;W221&amp;" lt. Liftbericht (Fach "&amp;X221&amp;" Stk); ",IF(BX221=1,"Gebinde geschätzt ("&amp;T221&amp;"); ",IF(BW221=1,"Lose – Tablare geschätzt; ","")))&amp;IF(H221&gt;AT221,"Überbestand "&amp;ROUND(H221-AT221,0)&amp;" Stk / CHF "&amp;ROUND((H221-AT221)*G221,0)&amp;"; ","")&amp;IF(AND(CE221=1,CF221&lt;CG221),"MAX &lt; MB+LG; ","")&amp;IF(AND(CK221&gt;0,CJ221*10&gt;CK221),"zu hoch für Tablar; ","")&amp;IF(AND(BS221=0,OR(CE221=1,AA221&lt;&gt;"",U221&lt;&gt;"",V221&lt;&gt;"",AB221&lt;&gt;"")),"manuell übersteuert; ","")&amp;IF(AND(BW221=0,R221=0),"Gebinde unbekannt / Stellmass fehlt; ","")&amp;IF(AND(BW221=0,N(V221)&lt;=0,N(Q221)&lt;=0),"Menge pro Gebinde fehlt (Ist = 1 Gebinde); ","")&amp;BR221)</f>
        <v/>
      </c>
      <c r="BK221" s="48"/>
      <c r="BL221" s="48"/>
      <c r="BM221" s="55"/>
      <c r="BN221" s="50" t="n">
        <v>18</v>
      </c>
      <c r="BO221" s="50" t="n">
        <v>18</v>
      </c>
      <c r="BP221" s="49" t="n">
        <v>675.72</v>
      </c>
      <c r="BQ221" s="50" t="n">
        <v>49</v>
      </c>
      <c r="BR221" s="48"/>
      <c r="BS221" s="53" t="n">
        <v>0</v>
      </c>
      <c r="BT221" s="53" t="n">
        <v>221</v>
      </c>
      <c r="BU221" s="48" t="str">
        <f aca="false">IF(U221&lt;&gt;"",UPPER(TRIM(U221)),IF(BX221=1,UPPER(VLOOKUP(T221,Parameter!$I$27:$K$29,2,0)),IF(P221="","LOSE",P221)))</f>
        <v>S61</v>
      </c>
      <c r="BV221" s="50" t="n">
        <f aca="false">IF(BU221="LOSE",1,IF(N(V221)&gt;0,V221,IF(BX221=1,MAX(1,N(VLOOKUP(T221,Parameter!$I$27:$K$29,3,0)),H221,N(N221)),IF(N(Q221)&gt;0,Q221,MAX(1,H221)))))</f>
        <v>40</v>
      </c>
      <c r="BW221" s="53" t="n">
        <f aca="false">IF(BU221="LOSE",1,0)</f>
        <v>0</v>
      </c>
      <c r="BX221" s="53" t="n">
        <f aca="false">IF(AND(U221="",OR(P221="",P221="LOSE"),T221&lt;&gt;"",N(S221)&lt;=0,ISNUMBER(MATCH(T221,Parameter!$I$27:$I$29,0))),1,0)</f>
        <v>0</v>
      </c>
      <c r="BY221" s="53" t="n">
        <f aca="false">IF(CL221&gt;0,INDEX(Parameter!$H$5:$H$7,W221)/INDEX(Parameter!$E$5:$E$7,W221),IF(AND(BW221=0,N(IFERROR(VLOOKUP(BU221,'Gebinde-Kategorie'!$A$5:$N$45,14,0),0))&gt;0),VLOOKUP(BU221,'Gebinde-Kategorie'!$A$5:$N$45,14,0)*10+Parameter!$M$23,Parameter!$M$24))</f>
        <v>145</v>
      </c>
      <c r="BZ221" s="48" t="str">
        <f aca="false">IF(AND(Parameter!$B$19="Ja",E221&lt;&gt;"",ISNUMBER(MATCH(E221,Parameter!$I$35:$I$52,0))),VLOOKUP(E221,Parameter!$I$35:$J$52,2,0),IFERROR(VLOOKUP(D221,Parameter!$A$35:$C$64,2,0),"Nein"))</f>
        <v>2+3</v>
      </c>
      <c r="CA221" s="52" t="n">
        <f aca="false">IF(BW221=0,0,IF(N(S221)&gt;0,S221,IFERROR(VLOOKUP(D221,Parameter!$A$35:$C$64,3,0)+0,0)))</f>
        <v>0</v>
      </c>
      <c r="CB221" s="48" t="n">
        <f aca="false">IF(AA221&lt;&gt;"",AA221,Z221)</f>
        <v>2</v>
      </c>
      <c r="CC221" s="48" t="str">
        <f aca="false">IF(OR(CB221=1,CB221=2,CB221=3),IF(Parameter!$E$27="Ja","LIFT",IF(CB221=1,"L1","L23")),IF(CB221="Aussen","Aussen","-"))</f>
        <v>LIFT</v>
      </c>
      <c r="CD221" s="59" t="n">
        <f aca="false">IF(N(AB221)&gt;0,AB221,0)</f>
        <v>0</v>
      </c>
      <c r="CE221" s="53" t="n">
        <f aca="false">IF(ISNUMBER(AE221),1,0)</f>
        <v>0</v>
      </c>
      <c r="CF221" s="50" t="n">
        <f aca="false">N(AE221)</f>
        <v>0</v>
      </c>
      <c r="CG221" s="50" t="n">
        <f aca="false">N(M221)+N(N221)</f>
        <v>53</v>
      </c>
      <c r="CH221" s="50" t="n">
        <f aca="false">ROUNDUP(H221/BV221,0)</f>
        <v>1</v>
      </c>
      <c r="CI221" s="50" t="n">
        <f aca="false">ROUNDUP(CF221/BV221,0)</f>
        <v>0</v>
      </c>
      <c r="CJ221" s="53" t="n">
        <f aca="false">IF(BW221=1,0,IFERROR(VLOOKUP(BU221,'Gebinde-Kategorie'!$A$5:$N$45,5,0)+0,0))</f>
        <v>11</v>
      </c>
      <c r="CK221" s="53" t="n">
        <f aca="false">IFERROR(IF(OR(CB221=1,CB221=2,CB221=3),N(INDEX(Parameter!$I$5:$I$7,CB221)),0),0)</f>
        <v>0</v>
      </c>
      <c r="CL221" s="52" t="n">
        <f aca="false">IF(AND(Parameter!$B$21="Ja",ISNUMBER(W221),N(X221)&gt;0),IFERROR(N(INDEX(Parameter!$L$5:$L$7,W221))*INDEX(Parameter!$E$5:$E$7,W221)*X221/SUMIFS($X$7:$X$1843,$W$7:$W$1843,W221),0),0)</f>
        <v>0</v>
      </c>
    </row>
    <row r="222" customFormat="false" ht="15" hidden="false" customHeight="false" outlineLevel="0" collapsed="false">
      <c r="A222" s="48" t="s">
        <v>640</v>
      </c>
      <c r="B222" s="48" t="s">
        <v>641</v>
      </c>
      <c r="C222" s="48" t="s">
        <v>168</v>
      </c>
      <c r="D222" s="48" t="s">
        <v>188</v>
      </c>
      <c r="E222" s="48" t="s">
        <v>189</v>
      </c>
      <c r="F222" s="48" t="s">
        <v>222</v>
      </c>
      <c r="G222" s="49" t="n">
        <v>5.56</v>
      </c>
      <c r="H222" s="50" t="n">
        <f aca="false">MAX(0,IF(AND(Parameter!$B$21="Ja",ISNUMBER(Y222)),Y222,IF(Parameter!$B$20="Jahresanfang 2025 + Export",BO222+BN222,BN222)))</f>
        <v>162</v>
      </c>
      <c r="I222" s="50" t="n">
        <f aca="false">H222*G222</f>
        <v>900.72</v>
      </c>
      <c r="J222" s="50" t="n">
        <f aca="false">BQ222*Parameter!$B$18</f>
        <v>150</v>
      </c>
      <c r="K222" s="51" t="n">
        <v>47.5</v>
      </c>
      <c r="L222" s="52" t="n">
        <v>3.15789473684211</v>
      </c>
      <c r="M222" s="50" t="n">
        <v>11</v>
      </c>
      <c r="N222" s="50" t="n">
        <v>150</v>
      </c>
      <c r="O222" s="53" t="n">
        <v>28</v>
      </c>
      <c r="P222" s="48" t="s">
        <v>306</v>
      </c>
      <c r="Q222" s="50" t="n">
        <v>89</v>
      </c>
      <c r="R222" s="53" t="n">
        <f aca="false">IF(BW222=1,0,IFERROR(VLOOKUP(BU222,'Gebinde-Kategorie'!$A$5:$N$45,13,0)+0,0))</f>
        <v>26</v>
      </c>
      <c r="S222" s="54"/>
      <c r="T222" s="55"/>
      <c r="U222" s="55"/>
      <c r="V222" s="55"/>
      <c r="W222" s="48"/>
      <c r="X222" s="50"/>
      <c r="Y222" s="50"/>
      <c r="Z222" s="48" t="n">
        <f aca="false">IF(A222="","",IF(AND(Parameter!$B$21="Ja",ISNUMBER(W222)),W222,IF(BZ222="2+3",IF(ISNUMBER(SEARCH("grosser Artikel",BR222)),2,IFERROR(VLOOKUP(BU222,Parameter!$F$35:$G$64,2,0),2)),IF(OR(BZ222="Nein",BZ222=""),"-",BZ222))))</f>
        <v>3</v>
      </c>
      <c r="AA222" s="55"/>
      <c r="AB222" s="56"/>
      <c r="AC222" s="50" t="n">
        <f aca="false">AT222</f>
        <v>178</v>
      </c>
      <c r="AD222" s="50" t="n">
        <f aca="false">MAX(AT222,H222)</f>
        <v>178</v>
      </c>
      <c r="AE222" s="57"/>
      <c r="AF222" s="50" t="n">
        <f aca="false">IF(LEFT(Cockpit!$C$5,1)="A",H222,IF(CE222=1,CF222,IF(LEFT(Cockpit!$C$5,1)="B",AK222,MAX(AK222,H222))))</f>
        <v>162</v>
      </c>
      <c r="AG222" s="50" t="n">
        <f aca="false">IF(BW222=1,0,ROUNDUP(AF222/BV222,0))</f>
        <v>2</v>
      </c>
      <c r="AH222" s="52" t="n">
        <f aca="false">IF(CL222&gt;0,CL222*MAX(1,AF222/X222),IF(BW222=1,IF(AF222&lt;=0,0,CA222*MAX(1,IF(H222&gt;0,AF222/H222,1))),IF(R222&gt;0,AG222/R222,0))/MAX(0.1,N(Parameter!$M$21)))</f>
        <v>0.0769230769230769</v>
      </c>
      <c r="AI222" s="50" t="n">
        <f aca="false">AH222*BY222</f>
        <v>11.9230769230769</v>
      </c>
      <c r="AJ222" s="50" t="n">
        <f aca="false">AF222*G222</f>
        <v>900.72</v>
      </c>
      <c r="AK222" s="50" t="n">
        <f aca="false">ROUNDUP(MAX(J222/IF(CD222&gt;0,CD222,MAX(0.1,N(Cockpit!$C$6))),CG222)/BV222,0)*BV222</f>
        <v>178</v>
      </c>
      <c r="AL222" s="51" t="n">
        <f aca="false">IF(AI222&gt;0,J222/AI222,-1)</f>
        <v>12.5806451612903</v>
      </c>
      <c r="AM222" s="51" t="n">
        <f aca="false">IF(AND(OR(CC222="L1",CC222="L23",CC222="LIFT"),AI222&gt;0),SUMIFS($AI$7:$AI$1843,$CC$7:$CC$1843,CC222,$AL$7:$AL$1843,"&gt;"&amp;AL222)+SUMIFS($AI$7:$AI$1843,$CC$7:$CC$1843,CC222,$AL$7:$AL$1843,AL222,$BT$7:$BT$1843,"&lt;="&amp;BT222),"")</f>
        <v>2408.413003663</v>
      </c>
      <c r="AN222" s="58" t="n">
        <f aca="false">IF(AM222="",0,MAX(0,MIN(1,(IF(CC222="L1",Parameter!$H$5,IF(CC222="L23",Parameter!$H$6+Parameter!$H$7,Parameter!$H$5+Parameter!$H$6+Parameter!$H$7))-(AM222-AI222))/AI222)))</f>
        <v>1</v>
      </c>
      <c r="AO222" s="50" t="n">
        <f aca="false">IF(LEFT(Cockpit!$I$5,1)="A",H222,IF(CE222=1,CF222,IF(LEFT(Cockpit!$I$5,1)="B",AT222,MAX(AT222,H222))))</f>
        <v>178</v>
      </c>
      <c r="AP222" s="50" t="n">
        <f aca="false">IF(BW222=1,0,ROUNDUP(AO222/BV222,0))</f>
        <v>2</v>
      </c>
      <c r="AQ222" s="52" t="n">
        <f aca="false">IF(CL222&gt;0,CL222*MAX(1,AO222/X222),IF(BW222=1,IF(AO222&lt;=0,0,CA222*MAX(1,IF(H222&gt;0,AO222/H222,1))),IF(R222&gt;0,AP222/R222,0))/MAX(0.1,N(Parameter!$M$21)))</f>
        <v>0.0769230769230769</v>
      </c>
      <c r="AR222" s="50" t="n">
        <f aca="false">AQ222*BY222</f>
        <v>11.9230769230769</v>
      </c>
      <c r="AS222" s="50" t="n">
        <f aca="false">AO222*G222</f>
        <v>989.68</v>
      </c>
      <c r="AT222" s="50" t="n">
        <f aca="false">ROUNDUP(MAX(J222/IF(CD222&gt;0,CD222,MAX(0.1,N(Cockpit!$I$6))),CG222)/BV222,0)*BV222</f>
        <v>178</v>
      </c>
      <c r="AU222" s="51" t="n">
        <f aca="false">IF(AR222&gt;0,J222/AR222,-1)</f>
        <v>12.5806451612903</v>
      </c>
      <c r="AV222" s="51" t="n">
        <f aca="false">IF(AND(OR(CC222="L1",CC222="L23",CC222="LIFT"),AR222&gt;0),SUMIFS($AR$7:$AR$1843,$CC$7:$CC$1843,CC222,$AU$7:$AU$1843,"&gt;"&amp;AU222)+SUMIFS($AR$7:$AR$1843,$CC$7:$CC$1843,CC222,$AU$7:$AU$1843,AU222,$BT$7:$BT$1843,"&lt;="&amp;BT222),"")</f>
        <v>3587.40247252747</v>
      </c>
      <c r="AW222" s="58" t="n">
        <f aca="false">IF(AV222="",0,MAX(0,MIN(1,(IF(CC222="L1",Parameter!$H$5,IF(CC222="L23",Parameter!$H$6+Parameter!$H$7,Parameter!$H$5+Parameter!$H$6+Parameter!$H$7))-(AV222-AR222))/AR222)))</f>
        <v>1</v>
      </c>
      <c r="AX222" s="50" t="n">
        <f aca="false">IF(LEFT(Cockpit!$O$5,1)="A",H222,IF(CE222=1,CF222,IF(LEFT(Cockpit!$O$5,1)="B",BC222,MAX(BC222,H222))))</f>
        <v>178</v>
      </c>
      <c r="AY222" s="50" t="n">
        <f aca="false">IF(BW222=1,0,ROUNDUP(AX222/BV222,0))</f>
        <v>2</v>
      </c>
      <c r="AZ222" s="52" t="n">
        <f aca="false">IF(CL222&gt;0,CL222*MAX(1,AX222/X222),IF(BW222=1,IF(AX222&lt;=0,0,CA222*MAX(1,IF(H222&gt;0,AX222/H222,1))),IF(R222&gt;0,AY222/R222,0))/MAX(0.1,N(Parameter!$M$21)))</f>
        <v>0.0769230769230769</v>
      </c>
      <c r="BA222" s="50" t="n">
        <f aca="false">AZ222*BY222</f>
        <v>11.9230769230769</v>
      </c>
      <c r="BB222" s="50" t="n">
        <f aca="false">AX222*G222</f>
        <v>989.68</v>
      </c>
      <c r="BC222" s="50" t="n">
        <f aca="false">ROUNDUP(MAX(J222/IF(CD222&gt;0,CD222,MAX(0.1,N(Cockpit!$O$6))),CG222)/BV222,0)*BV222</f>
        <v>178</v>
      </c>
      <c r="BD222" s="51" t="n">
        <f aca="false">IF(BA222&gt;0,J222/BA222,-1)</f>
        <v>12.5806451612903</v>
      </c>
      <c r="BE222" s="51" t="n">
        <f aca="false">IF(AND(OR(CC222="L1",CC222="L23",CC222="LIFT"),BA222&gt;0),SUMIFS($BA$7:$BA$1843,$CC$7:$CC$1843,CC222,$BD$7:$BD$1843,"&gt;"&amp;BD222)+SUMIFS($BA$7:$BA$1843,$CC$7:$CC$1843,CC222,$BD$7:$BD$1843,BD222,$BT$7:$BT$1843,"&lt;="&amp;BT222),"")</f>
        <v>3243.95695970696</v>
      </c>
      <c r="BF222" s="58" t="n">
        <f aca="false">IF(BE222="",0,MAX(0,MIN(1,(IF(CC222="L1",Parameter!$H$5,IF(CC222="L23",Parameter!$H$6+Parameter!$H$7,Parameter!$H$5+Parameter!$H$6+Parameter!$H$7))-(BE222-BA222))/BA222)))</f>
        <v>1</v>
      </c>
      <c r="BG222" s="48" t="str">
        <f aca="false">IF(AI222&lt;=0,"",IF(CC222="Aussen","Aussenlager",IF(CC222="-","Nicht im Lift",IF(AN222&gt;=1,"Lift",IF(AN222&lt;=0,"Aussenlager","teilweise")))))</f>
        <v>Lift</v>
      </c>
      <c r="BH222" s="48" t="str">
        <f aca="false">IF(AR222&lt;=0,"",IF(CC222="Aussen","Aussenlager",IF(CC222="-","Nicht im Lift",IF(AW222&gt;=1,"Lift",IF(AW222&lt;=0,"Aussenlager","teilweise")))))</f>
        <v>Lift</v>
      </c>
      <c r="BI222" s="48" t="str">
        <f aca="false">IF(BA222&lt;=0,"",IF(CC222="Aussen","Aussenlager",IF(CC222="-","Nicht im Lift",IF(BF222&gt;=1,"Lift",IF(BF222&lt;=0,"Aussenlager","teilweise")))))</f>
        <v>Lift</v>
      </c>
      <c r="BJ222" s="48" t="str">
        <f aca="false">IF(A222="","",IF(BS222=1,"Neu; ","")&amp;IF(AND(BS222=0,BN222&lt;0),"negativer Bestand (Export "&amp;BN222&amp;"); ","")&amp;IF(J222&lt;=0,"Kein Verbrauch; ","")&amp;IF(CL222&gt;0,"Lift "&amp;W222&amp;" lt. Liftbericht (Fach "&amp;X222&amp;" Stk); ",IF(BX222=1,"Gebinde geschätzt ("&amp;T222&amp;"); ",IF(BW222=1,"Lose – Tablare geschätzt; ","")))&amp;IF(H222&gt;AT222,"Überbestand "&amp;ROUND(H222-AT222,0)&amp;" Stk / CHF "&amp;ROUND((H222-AT222)*G222,0)&amp;"; ","")&amp;IF(AND(CE222=1,CF222&lt;CG222),"MAX &lt; MB+LG; ","")&amp;IF(AND(CK222&gt;0,CJ222*10&gt;CK222),"zu hoch für Tablar; ","")&amp;IF(AND(BS222=0,OR(CE222=1,AA222&lt;&gt;"",U222&lt;&gt;"",V222&lt;&gt;"",AB222&lt;&gt;"")),"manuell übersteuert; ","")&amp;IF(AND(BW222=0,R222=0),"Gebinde unbekannt / Stellmass fehlt; ","")&amp;IF(AND(BW222=0,N(V222)&lt;=0,N(Q222)&lt;=0),"Menge pro Gebinde fehlt (Ist = 1 Gebinde); ","")&amp;BR222)</f>
        <v/>
      </c>
      <c r="BK222" s="48"/>
      <c r="BL222" s="48"/>
      <c r="BM222" s="55"/>
      <c r="BN222" s="50" t="n">
        <v>119</v>
      </c>
      <c r="BO222" s="50" t="n">
        <v>43</v>
      </c>
      <c r="BP222" s="49" t="n">
        <v>671.96</v>
      </c>
      <c r="BQ222" s="50" t="n">
        <v>150</v>
      </c>
      <c r="BR222" s="48"/>
      <c r="BS222" s="53" t="n">
        <v>0</v>
      </c>
      <c r="BT222" s="53" t="n">
        <v>222</v>
      </c>
      <c r="BU222" s="48" t="str">
        <f aca="false">IF(U222&lt;&gt;"",UPPER(TRIM(U222)),IF(BX222=1,UPPER(VLOOKUP(T222,Parameter!$I$27:$K$29,2,0)),IF(P222="","LOSE",P222)))</f>
        <v>S51</v>
      </c>
      <c r="BV222" s="50" t="n">
        <f aca="false">IF(BU222="LOSE",1,IF(N(V222)&gt;0,V222,IF(BX222=1,MAX(1,N(VLOOKUP(T222,Parameter!$I$27:$K$29,3,0)),H222,N(N222)),IF(N(Q222)&gt;0,Q222,MAX(1,H222)))))</f>
        <v>89</v>
      </c>
      <c r="BW222" s="53" t="n">
        <f aca="false">IF(BU222="LOSE",1,0)</f>
        <v>0</v>
      </c>
      <c r="BX222" s="53" t="n">
        <f aca="false">IF(AND(U222="",OR(P222="",P222="LOSE"),T222&lt;&gt;"",N(S222)&lt;=0,ISNUMBER(MATCH(T222,Parameter!$I$27:$I$29,0))),1,0)</f>
        <v>0</v>
      </c>
      <c r="BY222" s="53" t="n">
        <f aca="false">IF(CL222&gt;0,INDEX(Parameter!$H$5:$H$7,W222)/INDEX(Parameter!$E$5:$E$7,W222),IF(AND(BW222=0,N(IFERROR(VLOOKUP(BU222,'Gebinde-Kategorie'!$A$5:$N$45,14,0),0))&gt;0),VLOOKUP(BU222,'Gebinde-Kategorie'!$A$5:$N$45,14,0)*10+Parameter!$M$23,Parameter!$M$24))</f>
        <v>155</v>
      </c>
      <c r="BZ222" s="48" t="str">
        <f aca="false">IF(AND(Parameter!$B$19="Ja",E222&lt;&gt;"",ISNUMBER(MATCH(E222,Parameter!$I$35:$I$52,0))),VLOOKUP(E222,Parameter!$I$35:$J$52,2,0),IFERROR(VLOOKUP(D222,Parameter!$A$35:$C$64,2,0),"Nein"))</f>
        <v>2+3</v>
      </c>
      <c r="CA222" s="52" t="n">
        <f aca="false">IF(BW222=0,0,IF(N(S222)&gt;0,S222,IFERROR(VLOOKUP(D222,Parameter!$A$35:$C$64,3,0)+0,0)))</f>
        <v>0</v>
      </c>
      <c r="CB222" s="48" t="n">
        <f aca="false">IF(AA222&lt;&gt;"",AA222,Z222)</f>
        <v>3</v>
      </c>
      <c r="CC222" s="48" t="str">
        <f aca="false">IF(OR(CB222=1,CB222=2,CB222=3),IF(Parameter!$E$27="Ja","LIFT",IF(CB222=1,"L1","L23")),IF(CB222="Aussen","Aussen","-"))</f>
        <v>LIFT</v>
      </c>
      <c r="CD222" s="59" t="n">
        <f aca="false">IF(N(AB222)&gt;0,AB222,0)</f>
        <v>0</v>
      </c>
      <c r="CE222" s="53" t="n">
        <f aca="false">IF(ISNUMBER(AE222),1,0)</f>
        <v>0</v>
      </c>
      <c r="CF222" s="50" t="n">
        <f aca="false">N(AE222)</f>
        <v>0</v>
      </c>
      <c r="CG222" s="50" t="n">
        <f aca="false">N(M222)+N(N222)</f>
        <v>161</v>
      </c>
      <c r="CH222" s="50" t="n">
        <f aca="false">ROUNDUP(H222/BV222,0)</f>
        <v>2</v>
      </c>
      <c r="CI222" s="50" t="n">
        <f aca="false">ROUNDUP(CF222/BV222,0)</f>
        <v>0</v>
      </c>
      <c r="CJ222" s="53" t="n">
        <f aca="false">IF(BW222=1,0,IFERROR(VLOOKUP(BU222,'Gebinde-Kategorie'!$A$5:$N$45,5,0)+0,0))</f>
        <v>11</v>
      </c>
      <c r="CK222" s="53" t="n">
        <f aca="false">IFERROR(IF(OR(CB222=1,CB222=2,CB222=3),N(INDEX(Parameter!$I$5:$I$7,CB222)),0),0)</f>
        <v>0</v>
      </c>
      <c r="CL222" s="52" t="n">
        <f aca="false">IF(AND(Parameter!$B$21="Ja",ISNUMBER(W222),N(X222)&gt;0),IFERROR(N(INDEX(Parameter!$L$5:$L$7,W222))*INDEX(Parameter!$E$5:$E$7,W222)*X222/SUMIFS($X$7:$X$1843,$W$7:$W$1843,W222),0),0)</f>
        <v>0</v>
      </c>
    </row>
    <row r="223" customFormat="false" ht="15" hidden="false" customHeight="false" outlineLevel="0" collapsed="false">
      <c r="A223" s="48" t="s">
        <v>642</v>
      </c>
      <c r="B223" s="48" t="s">
        <v>643</v>
      </c>
      <c r="C223" s="48" t="s">
        <v>168</v>
      </c>
      <c r="D223" s="48" t="s">
        <v>188</v>
      </c>
      <c r="E223" s="48" t="s">
        <v>189</v>
      </c>
      <c r="F223" s="48" t="s">
        <v>222</v>
      </c>
      <c r="G223" s="49" t="n">
        <v>13.8</v>
      </c>
      <c r="H223" s="50" t="n">
        <f aca="false">MAX(0,IF(AND(Parameter!$B$21="Ja",ISNUMBER(Y223)),Y223,IF(Parameter!$B$20="Jahresanfang 2025 + Export",BO223+BN223,BN223)))</f>
        <v>55</v>
      </c>
      <c r="I223" s="50" t="n">
        <f aca="false">H223*G223</f>
        <v>759</v>
      </c>
      <c r="J223" s="50" t="n">
        <f aca="false">BQ223*Parameter!$B$18</f>
        <v>6</v>
      </c>
      <c r="K223" s="51" t="n">
        <v>8.5</v>
      </c>
      <c r="L223" s="52" t="n">
        <v>0.705882352941177</v>
      </c>
      <c r="M223" s="50" t="n">
        <v>0</v>
      </c>
      <c r="N223" s="50" t="n">
        <v>5</v>
      </c>
      <c r="O223" s="53" t="n">
        <v>14</v>
      </c>
      <c r="P223" s="48" t="s">
        <v>332</v>
      </c>
      <c r="Q223" s="50" t="n">
        <v>11</v>
      </c>
      <c r="R223" s="53" t="n">
        <f aca="false">IF(BW223=1,0,IFERROR(VLOOKUP(BU223,'Gebinde-Kategorie'!$A$5:$N$45,13,0)+0,0))</f>
        <v>52</v>
      </c>
      <c r="S223" s="54"/>
      <c r="T223" s="55"/>
      <c r="U223" s="55"/>
      <c r="V223" s="55"/>
      <c r="W223" s="48"/>
      <c r="X223" s="50"/>
      <c r="Y223" s="50"/>
      <c r="Z223" s="48" t="n">
        <f aca="false">IF(A223="","",IF(AND(Parameter!$B$21="Ja",ISNUMBER(W223)),W223,IF(BZ223="2+3",IF(ISNUMBER(SEARCH("grosser Artikel",BR223)),2,IFERROR(VLOOKUP(BU223,Parameter!$F$35:$G$64,2,0),2)),IF(OR(BZ223="Nein",BZ223=""),"-",BZ223))))</f>
        <v>3</v>
      </c>
      <c r="AA223" s="55"/>
      <c r="AB223" s="56"/>
      <c r="AC223" s="50" t="n">
        <f aca="false">AT223</f>
        <v>11</v>
      </c>
      <c r="AD223" s="50" t="n">
        <f aca="false">MAX(AT223,H223)</f>
        <v>55</v>
      </c>
      <c r="AE223" s="57"/>
      <c r="AF223" s="50" t="n">
        <f aca="false">IF(LEFT(Cockpit!$C$5,1)="A",H223,IF(CE223=1,CF223,IF(LEFT(Cockpit!$C$5,1)="B",AK223,MAX(AK223,H223))))</f>
        <v>55</v>
      </c>
      <c r="AG223" s="50" t="n">
        <f aca="false">IF(BW223=1,0,ROUNDUP(AF223/BV223,0))</f>
        <v>5</v>
      </c>
      <c r="AH223" s="52" t="n">
        <f aca="false">IF(CL223&gt;0,CL223*MAX(1,AF223/X223),IF(BW223=1,IF(AF223&lt;=0,0,CA223*MAX(1,IF(H223&gt;0,AF223/H223,1))),IF(R223&gt;0,AG223/R223,0))/MAX(0.1,N(Parameter!$M$21)))</f>
        <v>0.0961538461538462</v>
      </c>
      <c r="AI223" s="50" t="n">
        <f aca="false">AH223*BY223</f>
        <v>14.9038461538462</v>
      </c>
      <c r="AJ223" s="50" t="n">
        <f aca="false">AF223*G223</f>
        <v>759</v>
      </c>
      <c r="AK223" s="50" t="n">
        <f aca="false">ROUNDUP(MAX(J223/IF(CD223&gt;0,CD223,MAX(0.1,N(Cockpit!$C$6))),CG223)/BV223,0)*BV223</f>
        <v>11</v>
      </c>
      <c r="AL223" s="51" t="n">
        <f aca="false">IF(AI223&gt;0,J223/AI223,-1)</f>
        <v>0.40258064516129</v>
      </c>
      <c r="AM223" s="51" t="n">
        <f aca="false">IF(AND(OR(CC223="L1",CC223="L23",CC223="LIFT"),AI223&gt;0),SUMIFS($AI$7:$AI$1843,$CC$7:$CC$1843,CC223,$AL$7:$AL$1843,"&gt;"&amp;AL223)+SUMIFS($AI$7:$AI$1843,$CC$7:$CC$1843,CC223,$AL$7:$AL$1843,AL223,$BT$7:$BT$1843,"&lt;="&amp;BT223),"")</f>
        <v>10157.6666382111</v>
      </c>
      <c r="AN223" s="58" t="n">
        <f aca="false">IF(AM223="",0,MAX(0,MIN(1,(IF(CC223="L1",Parameter!$H$5,IF(CC223="L23",Parameter!$H$6+Parameter!$H$7,Parameter!$H$5+Parameter!$H$6+Parameter!$H$7))-(AM223-AI223))/AI223)))</f>
        <v>1</v>
      </c>
      <c r="AO223" s="50" t="n">
        <f aca="false">IF(LEFT(Cockpit!$I$5,1)="A",H223,IF(CE223=1,CF223,IF(LEFT(Cockpit!$I$5,1)="B",AT223,MAX(AT223,H223))))</f>
        <v>55</v>
      </c>
      <c r="AP223" s="50" t="n">
        <f aca="false">IF(BW223=1,0,ROUNDUP(AO223/BV223,0))</f>
        <v>5</v>
      </c>
      <c r="AQ223" s="52" t="n">
        <f aca="false">IF(CL223&gt;0,CL223*MAX(1,AO223/X223),IF(BW223=1,IF(AO223&lt;=0,0,CA223*MAX(1,IF(H223&gt;0,AO223/H223,1))),IF(R223&gt;0,AP223/R223,0))/MAX(0.1,N(Parameter!$M$21)))</f>
        <v>0.0961538461538462</v>
      </c>
      <c r="AR223" s="50" t="n">
        <f aca="false">AQ223*BY223</f>
        <v>14.9038461538462</v>
      </c>
      <c r="AS223" s="50" t="n">
        <f aca="false">AO223*G223</f>
        <v>759</v>
      </c>
      <c r="AT223" s="50" t="n">
        <f aca="false">ROUNDUP(MAX(J223/IF(CD223&gt;0,CD223,MAX(0.1,N(Cockpit!$I$6))),CG223)/BV223,0)*BV223</f>
        <v>11</v>
      </c>
      <c r="AU223" s="51" t="n">
        <f aca="false">IF(AR223&gt;0,J223/AR223,-1)</f>
        <v>0.40258064516129</v>
      </c>
      <c r="AV223" s="51" t="n">
        <f aca="false">IF(AND(OR(CC223="L1",CC223="L23",CC223="LIFT"),AR223&gt;0),SUMIFS($AR$7:$AR$1843,$CC$7:$CC$1843,CC223,$AU$7:$AU$1843,"&gt;"&amp;AU223)+SUMIFS($AR$7:$AR$1843,$CC$7:$CC$1843,CC223,$AU$7:$AU$1843,AU223,$BT$7:$BT$1843,"&lt;="&amp;BT223),"")</f>
        <v>15080.5796703297</v>
      </c>
      <c r="AW223" s="58" t="n">
        <f aca="false">IF(AV223="",0,MAX(0,MIN(1,(IF(CC223="L1",Parameter!$H$5,IF(CC223="L23",Parameter!$H$6+Parameter!$H$7,Parameter!$H$5+Parameter!$H$6+Parameter!$H$7))-(AV223-AR223))/AR223)))</f>
        <v>1</v>
      </c>
      <c r="AX223" s="50" t="n">
        <f aca="false">IF(LEFT(Cockpit!$O$5,1)="A",H223,IF(CE223=1,CF223,IF(LEFT(Cockpit!$O$5,1)="B",BC223,MAX(BC223,H223))))</f>
        <v>55</v>
      </c>
      <c r="AY223" s="50" t="n">
        <f aca="false">IF(BW223=1,0,ROUNDUP(AX223/BV223,0))</f>
        <v>5</v>
      </c>
      <c r="AZ223" s="52" t="n">
        <f aca="false">IF(CL223&gt;0,CL223*MAX(1,AX223/X223),IF(BW223=1,IF(AX223&lt;=0,0,CA223*MAX(1,IF(H223&gt;0,AX223/H223,1))),IF(R223&gt;0,AY223/R223,0))/MAX(0.1,N(Parameter!$M$21)))</f>
        <v>0.0961538461538462</v>
      </c>
      <c r="BA223" s="50" t="n">
        <f aca="false">AZ223*BY223</f>
        <v>14.9038461538462</v>
      </c>
      <c r="BB223" s="50" t="n">
        <f aca="false">AX223*G223</f>
        <v>759</v>
      </c>
      <c r="BC223" s="50" t="n">
        <f aca="false">ROUNDUP(MAX(J223/IF(CD223&gt;0,CD223,MAX(0.1,N(Cockpit!$O$6))),CG223)/BV223,0)*BV223</f>
        <v>11</v>
      </c>
      <c r="BD223" s="51" t="n">
        <f aca="false">IF(BA223&gt;0,J223/BA223,-1)</f>
        <v>0.40258064516129</v>
      </c>
      <c r="BE223" s="51" t="n">
        <f aca="false">IF(AND(OR(CC223="L1",CC223="L23",CC223="LIFT"),BA223&gt;0),SUMIFS($BA$7:$BA$1843,$CC$7:$CC$1843,CC223,$BD$7:$BD$1843,"&gt;"&amp;BD223)+SUMIFS($BA$7:$BA$1843,$CC$7:$CC$1843,CC223,$BD$7:$BD$1843,BD223,$BT$7:$BT$1843,"&lt;="&amp;BT223),"")</f>
        <v>14066.2367216117</v>
      </c>
      <c r="BF223" s="58" t="n">
        <f aca="false">IF(BE223="",0,MAX(0,MIN(1,(IF(CC223="L1",Parameter!$H$5,IF(CC223="L23",Parameter!$H$6+Parameter!$H$7,Parameter!$H$5+Parameter!$H$6+Parameter!$H$7))-(BE223-BA223))/BA223)))</f>
        <v>1</v>
      </c>
      <c r="BG223" s="48" t="str">
        <f aca="false">IF(AI223&lt;=0,"",IF(CC223="Aussen","Aussenlager",IF(CC223="-","Nicht im Lift",IF(AN223&gt;=1,"Lift",IF(AN223&lt;=0,"Aussenlager","teilweise")))))</f>
        <v>Lift</v>
      </c>
      <c r="BH223" s="48" t="str">
        <f aca="false">IF(AR223&lt;=0,"",IF(CC223="Aussen","Aussenlager",IF(CC223="-","Nicht im Lift",IF(AW223&gt;=1,"Lift",IF(AW223&lt;=0,"Aussenlager","teilweise")))))</f>
        <v>Lift</v>
      </c>
      <c r="BI223" s="48" t="str">
        <f aca="false">IF(BA223&lt;=0,"",IF(CC223="Aussen","Aussenlager",IF(CC223="-","Nicht im Lift",IF(BF223&gt;=1,"Lift",IF(BF223&lt;=0,"Aussenlager","teilweise")))))</f>
        <v>Lift</v>
      </c>
      <c r="BJ223" s="48" t="str">
        <f aca="false">IF(A223="","",IF(BS223=1,"Neu; ","")&amp;IF(AND(BS223=0,BN223&lt;0),"negativer Bestand (Export "&amp;BN223&amp;"); ","")&amp;IF(J223&lt;=0,"Kein Verbrauch; ","")&amp;IF(CL223&gt;0,"Lift "&amp;W223&amp;" lt. Liftbericht (Fach "&amp;X223&amp;" Stk); ",IF(BX223=1,"Gebinde geschätzt ("&amp;T223&amp;"); ",IF(BW223=1,"Lose – Tablare geschätzt; ","")))&amp;IF(H223&gt;AT223,"Überbestand "&amp;ROUND(H223-AT223,0)&amp;" Stk / CHF "&amp;ROUND((H223-AT223)*G223,0)&amp;"; ","")&amp;IF(AND(CE223=1,CF223&lt;CG223),"MAX &lt; MB+LG; ","")&amp;IF(AND(CK223&gt;0,CJ223*10&gt;CK223),"zu hoch für Tablar; ","")&amp;IF(AND(BS223=0,OR(CE223=1,AA223&lt;&gt;"",U223&lt;&gt;"",V223&lt;&gt;"",AB223&lt;&gt;"")),"manuell übersteuert; ","")&amp;IF(AND(BW223=0,R223=0),"Gebinde unbekannt / Stellmass fehlt; ","")&amp;IF(AND(BW223=0,N(V223)&lt;=0,N(Q223)&lt;=0),"Menge pro Gebinde fehlt (Ist = 1 Gebinde); ","")&amp;BR223)</f>
        <v>Überbestand 44 Stk / CHF 607; </v>
      </c>
      <c r="BK223" s="48"/>
      <c r="BL223" s="48"/>
      <c r="BM223" s="55"/>
      <c r="BN223" s="50" t="n">
        <v>48</v>
      </c>
      <c r="BO223" s="50" t="n">
        <v>7</v>
      </c>
      <c r="BP223" s="49" t="n">
        <v>656.1</v>
      </c>
      <c r="BQ223" s="50" t="n">
        <v>6</v>
      </c>
      <c r="BR223" s="48"/>
      <c r="BS223" s="53" t="n">
        <v>0</v>
      </c>
      <c r="BT223" s="53" t="n">
        <v>223</v>
      </c>
      <c r="BU223" s="48" t="str">
        <f aca="false">IF(U223&lt;&gt;"",UPPER(TRIM(U223)),IF(BX223=1,UPPER(VLOOKUP(T223,Parameter!$I$27:$K$29,2,0)),IF(P223="","LOSE",P223)))</f>
        <v>S41</v>
      </c>
      <c r="BV223" s="50" t="n">
        <f aca="false">IF(BU223="LOSE",1,IF(N(V223)&gt;0,V223,IF(BX223=1,MAX(1,N(VLOOKUP(T223,Parameter!$I$27:$K$29,3,0)),H223,N(N223)),IF(N(Q223)&gt;0,Q223,MAX(1,H223)))))</f>
        <v>11</v>
      </c>
      <c r="BW223" s="53" t="n">
        <f aca="false">IF(BU223="LOSE",1,0)</f>
        <v>0</v>
      </c>
      <c r="BX223" s="53" t="n">
        <f aca="false">IF(AND(U223="",OR(P223="",P223="LOSE"),T223&lt;&gt;"",N(S223)&lt;=0,ISNUMBER(MATCH(T223,Parameter!$I$27:$I$29,0))),1,0)</f>
        <v>0</v>
      </c>
      <c r="BY223" s="53" t="n">
        <f aca="false">IF(CL223&gt;0,INDEX(Parameter!$H$5:$H$7,W223)/INDEX(Parameter!$E$5:$E$7,W223),IF(AND(BW223=0,N(IFERROR(VLOOKUP(BU223,'Gebinde-Kategorie'!$A$5:$N$45,14,0),0))&gt;0),VLOOKUP(BU223,'Gebinde-Kategorie'!$A$5:$N$45,14,0)*10+Parameter!$M$23,Parameter!$M$24))</f>
        <v>155</v>
      </c>
      <c r="BZ223" s="48" t="str">
        <f aca="false">IF(AND(Parameter!$B$19="Ja",E223&lt;&gt;"",ISNUMBER(MATCH(E223,Parameter!$I$35:$I$52,0))),VLOOKUP(E223,Parameter!$I$35:$J$52,2,0),IFERROR(VLOOKUP(D223,Parameter!$A$35:$C$64,2,0),"Nein"))</f>
        <v>2+3</v>
      </c>
      <c r="CA223" s="52" t="n">
        <f aca="false">IF(BW223=0,0,IF(N(S223)&gt;0,S223,IFERROR(VLOOKUP(D223,Parameter!$A$35:$C$64,3,0)+0,0)))</f>
        <v>0</v>
      </c>
      <c r="CB223" s="48" t="n">
        <f aca="false">IF(AA223&lt;&gt;"",AA223,Z223)</f>
        <v>3</v>
      </c>
      <c r="CC223" s="48" t="str">
        <f aca="false">IF(OR(CB223=1,CB223=2,CB223=3),IF(Parameter!$E$27="Ja","LIFT",IF(CB223=1,"L1","L23")),IF(CB223="Aussen","Aussen","-"))</f>
        <v>LIFT</v>
      </c>
      <c r="CD223" s="59" t="n">
        <f aca="false">IF(N(AB223)&gt;0,AB223,0)</f>
        <v>0</v>
      </c>
      <c r="CE223" s="53" t="n">
        <f aca="false">IF(ISNUMBER(AE223),1,0)</f>
        <v>0</v>
      </c>
      <c r="CF223" s="50" t="n">
        <f aca="false">N(AE223)</f>
        <v>0</v>
      </c>
      <c r="CG223" s="50" t="n">
        <f aca="false">N(M223)+N(N223)</f>
        <v>5</v>
      </c>
      <c r="CH223" s="50" t="n">
        <f aca="false">ROUNDUP(H223/BV223,0)</f>
        <v>5</v>
      </c>
      <c r="CI223" s="50" t="n">
        <f aca="false">ROUNDUP(CF223/BV223,0)</f>
        <v>0</v>
      </c>
      <c r="CJ223" s="53" t="n">
        <f aca="false">IF(BW223=1,0,IFERROR(VLOOKUP(BU223,'Gebinde-Kategorie'!$A$5:$N$45,5,0)+0,0))</f>
        <v>11</v>
      </c>
      <c r="CK223" s="53" t="n">
        <f aca="false">IFERROR(IF(OR(CB223=1,CB223=2,CB223=3),N(INDEX(Parameter!$I$5:$I$7,CB223)),0),0)</f>
        <v>0</v>
      </c>
      <c r="CL223" s="52" t="n">
        <f aca="false">IF(AND(Parameter!$B$21="Ja",ISNUMBER(W223),N(X223)&gt;0),IFERROR(N(INDEX(Parameter!$L$5:$L$7,W223))*INDEX(Parameter!$E$5:$E$7,W223)*X223/SUMIFS($X$7:$X$1843,$W$7:$W$1843,W223),0),0)</f>
        <v>0</v>
      </c>
    </row>
    <row r="224" customFormat="false" ht="15" hidden="false" customHeight="false" outlineLevel="0" collapsed="false">
      <c r="A224" s="48" t="s">
        <v>644</v>
      </c>
      <c r="B224" s="48" t="s">
        <v>575</v>
      </c>
      <c r="C224" s="48" t="s">
        <v>168</v>
      </c>
      <c r="D224" s="48" t="s">
        <v>188</v>
      </c>
      <c r="E224" s="48" t="s">
        <v>189</v>
      </c>
      <c r="F224" s="48" t="s">
        <v>222</v>
      </c>
      <c r="G224" s="49" t="n">
        <v>6.91</v>
      </c>
      <c r="H224" s="50" t="n">
        <f aca="false">MAX(0,IF(AND(Parameter!$B$21="Ja",ISNUMBER(Y224)),Y224,IF(Parameter!$B$20="Jahresanfang 2025 + Export",BO224+BN224,BN224)))</f>
        <v>152</v>
      </c>
      <c r="I224" s="50" t="n">
        <f aca="false">H224*G224</f>
        <v>1050.32</v>
      </c>
      <c r="J224" s="50" t="n">
        <f aca="false">BQ224*Parameter!$B$18</f>
        <v>428</v>
      </c>
      <c r="K224" s="51" t="n">
        <v>137</v>
      </c>
      <c r="L224" s="52" t="n">
        <v>3.12408759124088</v>
      </c>
      <c r="M224" s="50" t="n">
        <v>32</v>
      </c>
      <c r="N224" s="50" t="n">
        <v>200</v>
      </c>
      <c r="O224" s="53" t="n">
        <v>70</v>
      </c>
      <c r="P224" s="48" t="s">
        <v>306</v>
      </c>
      <c r="Q224" s="50" t="n">
        <v>179</v>
      </c>
      <c r="R224" s="53" t="n">
        <f aca="false">IF(BW224=1,0,IFERROR(VLOOKUP(BU224,'Gebinde-Kategorie'!$A$5:$N$45,13,0)+0,0))</f>
        <v>26</v>
      </c>
      <c r="S224" s="54"/>
      <c r="T224" s="55"/>
      <c r="U224" s="55"/>
      <c r="V224" s="55"/>
      <c r="W224" s="48"/>
      <c r="X224" s="50"/>
      <c r="Y224" s="50"/>
      <c r="Z224" s="48" t="n">
        <f aca="false">IF(A224="","",IF(AND(Parameter!$B$21="Ja",ISNUMBER(W224)),W224,IF(BZ224="2+3",IF(ISNUMBER(SEARCH("grosser Artikel",BR224)),2,IFERROR(VLOOKUP(BU224,Parameter!$F$35:$G$64,2,0),2)),IF(OR(BZ224="Nein",BZ224=""),"-",BZ224))))</f>
        <v>3</v>
      </c>
      <c r="AA224" s="55"/>
      <c r="AB224" s="56"/>
      <c r="AC224" s="50" t="n">
        <f aca="false">AT224</f>
        <v>358</v>
      </c>
      <c r="AD224" s="50" t="n">
        <f aca="false">MAX(AT224,H224)</f>
        <v>358</v>
      </c>
      <c r="AE224" s="57"/>
      <c r="AF224" s="50" t="n">
        <f aca="false">IF(LEFT(Cockpit!$C$5,1)="A",H224,IF(CE224=1,CF224,IF(LEFT(Cockpit!$C$5,1)="B",AK224,MAX(AK224,H224))))</f>
        <v>152</v>
      </c>
      <c r="AG224" s="50" t="n">
        <f aca="false">IF(BW224=1,0,ROUNDUP(AF224/BV224,0))</f>
        <v>1</v>
      </c>
      <c r="AH224" s="52" t="n">
        <f aca="false">IF(CL224&gt;0,CL224*MAX(1,AF224/X224),IF(BW224=1,IF(AF224&lt;=0,0,CA224*MAX(1,IF(H224&gt;0,AF224/H224,1))),IF(R224&gt;0,AG224/R224,0))/MAX(0.1,N(Parameter!$M$21)))</f>
        <v>0.0384615384615385</v>
      </c>
      <c r="AI224" s="50" t="n">
        <f aca="false">AH224*BY224</f>
        <v>5.96153846153846</v>
      </c>
      <c r="AJ224" s="50" t="n">
        <f aca="false">AF224*G224</f>
        <v>1050.32</v>
      </c>
      <c r="AK224" s="50" t="n">
        <f aca="false">ROUNDUP(MAX(J224/IF(CD224&gt;0,CD224,MAX(0.1,N(Cockpit!$C$6))),CG224)/BV224,0)*BV224</f>
        <v>358</v>
      </c>
      <c r="AL224" s="51" t="n">
        <f aca="false">IF(AI224&gt;0,J224/AI224,-1)</f>
        <v>71.7935483870968</v>
      </c>
      <c r="AM224" s="51" t="n">
        <f aca="false">IF(AND(OR(CC224="L1",CC224="L23",CC224="LIFT"),AI224&gt;0),SUMIFS($AI$7:$AI$1843,$CC$7:$CC$1843,CC224,$AL$7:$AL$1843,"&gt;"&amp;AL224)+SUMIFS($AI$7:$AI$1843,$CC$7:$CC$1843,CC224,$AL$7:$AL$1843,AL224,$BT$7:$BT$1843,"&lt;="&amp;BT224),"")</f>
        <v>886.498626373626</v>
      </c>
      <c r="AN224" s="58" t="n">
        <f aca="false">IF(AM224="",0,MAX(0,MIN(1,(IF(CC224="L1",Parameter!$H$5,IF(CC224="L23",Parameter!$H$6+Parameter!$H$7,Parameter!$H$5+Parameter!$H$6+Parameter!$H$7))-(AM224-AI224))/AI224)))</f>
        <v>1</v>
      </c>
      <c r="AO224" s="50" t="n">
        <f aca="false">IF(LEFT(Cockpit!$I$5,1)="A",H224,IF(CE224=1,CF224,IF(LEFT(Cockpit!$I$5,1)="B",AT224,MAX(AT224,H224))))</f>
        <v>358</v>
      </c>
      <c r="AP224" s="50" t="n">
        <f aca="false">IF(BW224=1,0,ROUNDUP(AO224/BV224,0))</f>
        <v>2</v>
      </c>
      <c r="AQ224" s="52" t="n">
        <f aca="false">IF(CL224&gt;0,CL224*MAX(1,AO224/X224),IF(BW224=1,IF(AO224&lt;=0,0,CA224*MAX(1,IF(H224&gt;0,AO224/H224,1))),IF(R224&gt;0,AP224/R224,0))/MAX(0.1,N(Parameter!$M$21)))</f>
        <v>0.0769230769230769</v>
      </c>
      <c r="AR224" s="50" t="n">
        <f aca="false">AQ224*BY224</f>
        <v>11.9230769230769</v>
      </c>
      <c r="AS224" s="50" t="n">
        <f aca="false">AO224*G224</f>
        <v>2473.78</v>
      </c>
      <c r="AT224" s="50" t="n">
        <f aca="false">ROUNDUP(MAX(J224/IF(CD224&gt;0,CD224,MAX(0.1,N(Cockpit!$I$6))),CG224)/BV224,0)*BV224</f>
        <v>358</v>
      </c>
      <c r="AU224" s="51" t="n">
        <f aca="false">IF(AR224&gt;0,J224/AR224,-1)</f>
        <v>35.8967741935484</v>
      </c>
      <c r="AV224" s="51" t="n">
        <f aca="false">IF(AND(OR(CC224="L1",CC224="L23",CC224="LIFT"),AR224&gt;0),SUMIFS($AR$7:$AR$1843,$CC$7:$CC$1843,CC224,$AU$7:$AU$1843,"&gt;"&amp;AU224)+SUMIFS($AR$7:$AR$1843,$CC$7:$CC$1843,CC224,$AU$7:$AU$1843,AU224,$BT$7:$BT$1843,"&lt;="&amp;BT224),"")</f>
        <v>1788.98489010989</v>
      </c>
      <c r="AW224" s="58" t="n">
        <f aca="false">IF(AV224="",0,MAX(0,MIN(1,(IF(CC224="L1",Parameter!$H$5,IF(CC224="L23",Parameter!$H$6+Parameter!$H$7,Parameter!$H$5+Parameter!$H$6+Parameter!$H$7))-(AV224-AR224))/AR224)))</f>
        <v>1</v>
      </c>
      <c r="AX224" s="50" t="n">
        <f aca="false">IF(LEFT(Cockpit!$O$5,1)="A",H224,IF(CE224=1,CF224,IF(LEFT(Cockpit!$O$5,1)="B",BC224,MAX(BC224,H224))))</f>
        <v>358</v>
      </c>
      <c r="AY224" s="50" t="n">
        <f aca="false">IF(BW224=1,0,ROUNDUP(AX224/BV224,0))</f>
        <v>2</v>
      </c>
      <c r="AZ224" s="52" t="n">
        <f aca="false">IF(CL224&gt;0,CL224*MAX(1,AX224/X224),IF(BW224=1,IF(AX224&lt;=0,0,CA224*MAX(1,IF(H224&gt;0,AX224/H224,1))),IF(R224&gt;0,AY224/R224,0))/MAX(0.1,N(Parameter!$M$21)))</f>
        <v>0.0769230769230769</v>
      </c>
      <c r="BA224" s="50" t="n">
        <f aca="false">AZ224*BY224</f>
        <v>11.9230769230769</v>
      </c>
      <c r="BB224" s="50" t="n">
        <f aca="false">AX224*G224</f>
        <v>2473.78</v>
      </c>
      <c r="BC224" s="50" t="n">
        <f aca="false">ROUNDUP(MAX(J224/IF(CD224&gt;0,CD224,MAX(0.1,N(Cockpit!$O$6))),CG224)/BV224,0)*BV224</f>
        <v>358</v>
      </c>
      <c r="BD224" s="51" t="n">
        <f aca="false">IF(BA224&gt;0,J224/BA224,-1)</f>
        <v>35.8967741935484</v>
      </c>
      <c r="BE224" s="51" t="n">
        <f aca="false">IF(AND(OR(CC224="L1",CC224="L23",CC224="LIFT"),BA224&gt;0),SUMIFS($BA$7:$BA$1843,$CC$7:$CC$1843,CC224,$BD$7:$BD$1843,"&gt;"&amp;BD224)+SUMIFS($BA$7:$BA$1843,$CC$7:$CC$1843,CC224,$BD$7:$BD$1843,BD224,$BT$7:$BT$1843,"&lt;="&amp;BT224),"")</f>
        <v>1624.67399267399</v>
      </c>
      <c r="BF224" s="58" t="n">
        <f aca="false">IF(BE224="",0,MAX(0,MIN(1,(IF(CC224="L1",Parameter!$H$5,IF(CC224="L23",Parameter!$H$6+Parameter!$H$7,Parameter!$H$5+Parameter!$H$6+Parameter!$H$7))-(BE224-BA224))/BA224)))</f>
        <v>1</v>
      </c>
      <c r="BG224" s="48" t="str">
        <f aca="false">IF(AI224&lt;=0,"",IF(CC224="Aussen","Aussenlager",IF(CC224="-","Nicht im Lift",IF(AN224&gt;=1,"Lift",IF(AN224&lt;=0,"Aussenlager","teilweise")))))</f>
        <v>Lift</v>
      </c>
      <c r="BH224" s="48" t="str">
        <f aca="false">IF(AR224&lt;=0,"",IF(CC224="Aussen","Aussenlager",IF(CC224="-","Nicht im Lift",IF(AW224&gt;=1,"Lift",IF(AW224&lt;=0,"Aussenlager","teilweise")))))</f>
        <v>Lift</v>
      </c>
      <c r="BI224" s="48" t="str">
        <f aca="false">IF(BA224&lt;=0,"",IF(CC224="Aussen","Aussenlager",IF(CC224="-","Nicht im Lift",IF(BF224&gt;=1,"Lift",IF(BF224&lt;=0,"Aussenlager","teilweise")))))</f>
        <v>Lift</v>
      </c>
      <c r="BJ224" s="48" t="str">
        <f aca="false">IF(A224="","",IF(BS224=1,"Neu; ","")&amp;IF(AND(BS224=0,BN224&lt;0),"negativer Bestand (Export "&amp;BN224&amp;"); ","")&amp;IF(J224&lt;=0,"Kein Verbrauch; ","")&amp;IF(CL224&gt;0,"Lift "&amp;W224&amp;" lt. Liftbericht (Fach "&amp;X224&amp;" Stk); ",IF(BX224=1,"Gebinde geschätzt ("&amp;T224&amp;"); ",IF(BW224=1,"Lose – Tablare geschätzt; ","")))&amp;IF(H224&gt;AT224,"Überbestand "&amp;ROUND(H224-AT224,0)&amp;" Stk / CHF "&amp;ROUND((H224-AT224)*G224,0)&amp;"; ","")&amp;IF(AND(CE224=1,CF224&lt;CG224),"MAX &lt; MB+LG; ","")&amp;IF(AND(CK224&gt;0,CJ224*10&gt;CK224),"zu hoch für Tablar; ","")&amp;IF(AND(BS224=0,OR(CE224=1,AA224&lt;&gt;"",U224&lt;&gt;"",V224&lt;&gt;"",AB224&lt;&gt;"")),"manuell übersteuert; ","")&amp;IF(AND(BW224=0,R224=0),"Gebinde unbekannt / Stellmass fehlt; ","")&amp;IF(AND(BW224=0,N(V224)&lt;=0,N(Q224)&lt;=0),"Menge pro Gebinde fehlt (Ist = 1 Gebinde); ","")&amp;BR224)</f>
        <v/>
      </c>
      <c r="BK224" s="48"/>
      <c r="BL224" s="48"/>
      <c r="BM224" s="55"/>
      <c r="BN224" s="50" t="n">
        <v>81</v>
      </c>
      <c r="BO224" s="50" t="n">
        <v>71</v>
      </c>
      <c r="BP224" s="49" t="n">
        <v>642.240000000004</v>
      </c>
      <c r="BQ224" s="50" t="n">
        <v>428</v>
      </c>
      <c r="BR224" s="48"/>
      <c r="BS224" s="53" t="n">
        <v>0</v>
      </c>
      <c r="BT224" s="53" t="n">
        <v>224</v>
      </c>
      <c r="BU224" s="48" t="str">
        <f aca="false">IF(U224&lt;&gt;"",UPPER(TRIM(U224)),IF(BX224=1,UPPER(VLOOKUP(T224,Parameter!$I$27:$K$29,2,0)),IF(P224="","LOSE",P224)))</f>
        <v>S51</v>
      </c>
      <c r="BV224" s="50" t="n">
        <f aca="false">IF(BU224="LOSE",1,IF(N(V224)&gt;0,V224,IF(BX224=1,MAX(1,N(VLOOKUP(T224,Parameter!$I$27:$K$29,3,0)),H224,N(N224)),IF(N(Q224)&gt;0,Q224,MAX(1,H224)))))</f>
        <v>179</v>
      </c>
      <c r="BW224" s="53" t="n">
        <f aca="false">IF(BU224="LOSE",1,0)</f>
        <v>0</v>
      </c>
      <c r="BX224" s="53" t="n">
        <f aca="false">IF(AND(U224="",OR(P224="",P224="LOSE"),T224&lt;&gt;"",N(S224)&lt;=0,ISNUMBER(MATCH(T224,Parameter!$I$27:$I$29,0))),1,0)</f>
        <v>0</v>
      </c>
      <c r="BY224" s="53" t="n">
        <f aca="false">IF(CL224&gt;0,INDEX(Parameter!$H$5:$H$7,W224)/INDEX(Parameter!$E$5:$E$7,W224),IF(AND(BW224=0,N(IFERROR(VLOOKUP(BU224,'Gebinde-Kategorie'!$A$5:$N$45,14,0),0))&gt;0),VLOOKUP(BU224,'Gebinde-Kategorie'!$A$5:$N$45,14,0)*10+Parameter!$M$23,Parameter!$M$24))</f>
        <v>155</v>
      </c>
      <c r="BZ224" s="48" t="str">
        <f aca="false">IF(AND(Parameter!$B$19="Ja",E224&lt;&gt;"",ISNUMBER(MATCH(E224,Parameter!$I$35:$I$52,0))),VLOOKUP(E224,Parameter!$I$35:$J$52,2,0),IFERROR(VLOOKUP(D224,Parameter!$A$35:$C$64,2,0),"Nein"))</f>
        <v>2+3</v>
      </c>
      <c r="CA224" s="52" t="n">
        <f aca="false">IF(BW224=0,0,IF(N(S224)&gt;0,S224,IFERROR(VLOOKUP(D224,Parameter!$A$35:$C$64,3,0)+0,0)))</f>
        <v>0</v>
      </c>
      <c r="CB224" s="48" t="n">
        <f aca="false">IF(AA224&lt;&gt;"",AA224,Z224)</f>
        <v>3</v>
      </c>
      <c r="CC224" s="48" t="str">
        <f aca="false">IF(OR(CB224=1,CB224=2,CB224=3),IF(Parameter!$E$27="Ja","LIFT",IF(CB224=1,"L1","L23")),IF(CB224="Aussen","Aussen","-"))</f>
        <v>LIFT</v>
      </c>
      <c r="CD224" s="59" t="n">
        <f aca="false">IF(N(AB224)&gt;0,AB224,0)</f>
        <v>0</v>
      </c>
      <c r="CE224" s="53" t="n">
        <f aca="false">IF(ISNUMBER(AE224),1,0)</f>
        <v>0</v>
      </c>
      <c r="CF224" s="50" t="n">
        <f aca="false">N(AE224)</f>
        <v>0</v>
      </c>
      <c r="CG224" s="50" t="n">
        <f aca="false">N(M224)+N(N224)</f>
        <v>232</v>
      </c>
      <c r="CH224" s="50" t="n">
        <f aca="false">ROUNDUP(H224/BV224,0)</f>
        <v>1</v>
      </c>
      <c r="CI224" s="50" t="n">
        <f aca="false">ROUNDUP(CF224/BV224,0)</f>
        <v>0</v>
      </c>
      <c r="CJ224" s="53" t="n">
        <f aca="false">IF(BW224=1,0,IFERROR(VLOOKUP(BU224,'Gebinde-Kategorie'!$A$5:$N$45,5,0)+0,0))</f>
        <v>11</v>
      </c>
      <c r="CK224" s="53" t="n">
        <f aca="false">IFERROR(IF(OR(CB224=1,CB224=2,CB224=3),N(INDEX(Parameter!$I$5:$I$7,CB224)),0),0)</f>
        <v>0</v>
      </c>
      <c r="CL224" s="52" t="n">
        <f aca="false">IF(AND(Parameter!$B$21="Ja",ISNUMBER(W224),N(X224)&gt;0),IFERROR(N(INDEX(Parameter!$L$5:$L$7,W224))*INDEX(Parameter!$E$5:$E$7,W224)*X224/SUMIFS($X$7:$X$1843,$W$7:$W$1843,W224),0),0)</f>
        <v>0</v>
      </c>
    </row>
    <row r="225" customFormat="false" ht="15" hidden="false" customHeight="false" outlineLevel="0" collapsed="false">
      <c r="A225" s="48" t="s">
        <v>645</v>
      </c>
      <c r="B225" s="48" t="s">
        <v>646</v>
      </c>
      <c r="C225" s="48" t="s">
        <v>168</v>
      </c>
      <c r="D225" s="48" t="s">
        <v>177</v>
      </c>
      <c r="E225" s="48"/>
      <c r="F225" s="48" t="s">
        <v>222</v>
      </c>
      <c r="G225" s="49" t="n">
        <v>640</v>
      </c>
      <c r="H225" s="50" t="n">
        <f aca="false">MAX(0,IF(AND(Parameter!$B$21="Ja",ISNUMBER(Y225)),Y225,IF(Parameter!$B$20="Jahresanfang 2025 + Export",BO225+BN225,BN225)))</f>
        <v>1</v>
      </c>
      <c r="I225" s="50" t="n">
        <f aca="false">H225*G225</f>
        <v>640</v>
      </c>
      <c r="J225" s="50" t="n">
        <f aca="false">BQ225*Parameter!$B$18</f>
        <v>11</v>
      </c>
      <c r="K225" s="51" t="n">
        <v>0.5</v>
      </c>
      <c r="L225" s="52" t="n">
        <v>22</v>
      </c>
      <c r="M225" s="50" t="n">
        <v>1</v>
      </c>
      <c r="N225" s="50" t="n">
        <v>5</v>
      </c>
      <c r="O225" s="53" t="n">
        <v>35</v>
      </c>
      <c r="P225" s="48" t="s">
        <v>190</v>
      </c>
      <c r="Q225" s="50" t="n">
        <v>6</v>
      </c>
      <c r="R225" s="53" t="n">
        <f aca="false">IF(BW225=1,0,IFERROR(VLOOKUP(BU225,'Gebinde-Kategorie'!$A$5:$N$45,13,0)+0,0))</f>
        <v>12</v>
      </c>
      <c r="S225" s="54"/>
      <c r="T225" s="55"/>
      <c r="U225" s="55"/>
      <c r="V225" s="55"/>
      <c r="W225" s="48"/>
      <c r="X225" s="50"/>
      <c r="Y225" s="50"/>
      <c r="Z225" s="48" t="n">
        <f aca="false">IF(A225="","",IF(AND(Parameter!$B$21="Ja",ISNUMBER(W225)),W225,IF(BZ225="2+3",IF(ISNUMBER(SEARCH("grosser Artikel",BR225)),2,IFERROR(VLOOKUP(BU225,Parameter!$F$35:$G$64,2,0),2)),IF(OR(BZ225="Nein",BZ225=""),"-",BZ225))))</f>
        <v>2</v>
      </c>
      <c r="AA225" s="55"/>
      <c r="AB225" s="56"/>
      <c r="AC225" s="50" t="n">
        <f aca="false">AT225</f>
        <v>6</v>
      </c>
      <c r="AD225" s="50" t="n">
        <f aca="false">MAX(AT225,H225)</f>
        <v>6</v>
      </c>
      <c r="AE225" s="57"/>
      <c r="AF225" s="50" t="n">
        <f aca="false">IF(LEFT(Cockpit!$C$5,1)="A",H225,IF(CE225=1,CF225,IF(LEFT(Cockpit!$C$5,1)="B",AK225,MAX(AK225,H225))))</f>
        <v>1</v>
      </c>
      <c r="AG225" s="50" t="n">
        <f aca="false">IF(BW225=1,0,ROUNDUP(AF225/BV225,0))</f>
        <v>1</v>
      </c>
      <c r="AH225" s="52" t="n">
        <f aca="false">IF(CL225&gt;0,CL225*MAX(1,AF225/X225),IF(BW225=1,IF(AF225&lt;=0,0,CA225*MAX(1,IF(H225&gt;0,AF225/H225,1))),IF(R225&gt;0,AG225/R225,0))/MAX(0.1,N(Parameter!$M$21)))</f>
        <v>0.0833333333333333</v>
      </c>
      <c r="AI225" s="50" t="n">
        <f aca="false">AH225*BY225</f>
        <v>12.0833333333333</v>
      </c>
      <c r="AJ225" s="50" t="n">
        <f aca="false">AF225*G225</f>
        <v>640</v>
      </c>
      <c r="AK225" s="50" t="n">
        <f aca="false">ROUNDUP(MAX(J225/IF(CD225&gt;0,CD225,MAX(0.1,N(Cockpit!$C$6))),CG225)/BV225,0)*BV225</f>
        <v>6</v>
      </c>
      <c r="AL225" s="51" t="n">
        <f aca="false">IF(AI225&gt;0,J225/AI225,-1)</f>
        <v>0.910344827586207</v>
      </c>
      <c r="AM225" s="51" t="n">
        <f aca="false">IF(AND(OR(CC225="L1",CC225="L23",CC225="LIFT"),AI225&gt;0),SUMIFS($AI$7:$AI$1843,$CC$7:$CC$1843,CC225,$AL$7:$AL$1843,"&gt;"&amp;AL225)+SUMIFS($AI$7:$AI$1843,$CC$7:$CC$1843,CC225,$AL$7:$AL$1843,AL225,$BT$7:$BT$1843,"&lt;="&amp;BT225),"")</f>
        <v>7418.87225274725</v>
      </c>
      <c r="AN225" s="58" t="n">
        <f aca="false">IF(AM225="",0,MAX(0,MIN(1,(IF(CC225="L1",Parameter!$H$5,IF(CC225="L23",Parameter!$H$6+Parameter!$H$7,Parameter!$H$5+Parameter!$H$6+Parameter!$H$7))-(AM225-AI225))/AI225)))</f>
        <v>1</v>
      </c>
      <c r="AO225" s="50" t="n">
        <f aca="false">IF(LEFT(Cockpit!$I$5,1)="A",H225,IF(CE225=1,CF225,IF(LEFT(Cockpit!$I$5,1)="B",AT225,MAX(AT225,H225))))</f>
        <v>6</v>
      </c>
      <c r="AP225" s="50" t="n">
        <f aca="false">IF(BW225=1,0,ROUNDUP(AO225/BV225,0))</f>
        <v>1</v>
      </c>
      <c r="AQ225" s="52" t="n">
        <f aca="false">IF(CL225&gt;0,CL225*MAX(1,AO225/X225),IF(BW225=1,IF(AO225&lt;=0,0,CA225*MAX(1,IF(H225&gt;0,AO225/H225,1))),IF(R225&gt;0,AP225/R225,0))/MAX(0.1,N(Parameter!$M$21)))</f>
        <v>0.0833333333333333</v>
      </c>
      <c r="AR225" s="50" t="n">
        <f aca="false">AQ225*BY225</f>
        <v>12.0833333333333</v>
      </c>
      <c r="AS225" s="50" t="n">
        <f aca="false">AO225*G225</f>
        <v>3840</v>
      </c>
      <c r="AT225" s="50" t="n">
        <f aca="false">ROUNDUP(MAX(J225/IF(CD225&gt;0,CD225,MAX(0.1,N(Cockpit!$I$6))),CG225)/BV225,0)*BV225</f>
        <v>6</v>
      </c>
      <c r="AU225" s="51" t="n">
        <f aca="false">IF(AR225&gt;0,J225/AR225,-1)</f>
        <v>0.910344827586207</v>
      </c>
      <c r="AV225" s="51" t="n">
        <f aca="false">IF(AND(OR(CC225="L1",CC225="L23",CC225="LIFT"),AR225&gt;0),SUMIFS($AR$7:$AR$1843,$CC$7:$CC$1843,CC225,$AU$7:$AU$1843,"&gt;"&amp;AU225)+SUMIFS($AR$7:$AR$1843,$CC$7:$CC$1843,CC225,$AU$7:$AU$1843,AU225,$BT$7:$BT$1843,"&lt;="&amp;BT225),"")</f>
        <v>10554.2957875458</v>
      </c>
      <c r="AW225" s="58" t="n">
        <f aca="false">IF(AV225="",0,MAX(0,MIN(1,(IF(CC225="L1",Parameter!$H$5,IF(CC225="L23",Parameter!$H$6+Parameter!$H$7,Parameter!$H$5+Parameter!$H$6+Parameter!$H$7))-(AV225-AR225))/AR225)))</f>
        <v>1</v>
      </c>
      <c r="AX225" s="50" t="n">
        <f aca="false">IF(LEFT(Cockpit!$O$5,1)="A",H225,IF(CE225=1,CF225,IF(LEFT(Cockpit!$O$5,1)="B",BC225,MAX(BC225,H225))))</f>
        <v>6</v>
      </c>
      <c r="AY225" s="50" t="n">
        <f aca="false">IF(BW225=1,0,ROUNDUP(AX225/BV225,0))</f>
        <v>1</v>
      </c>
      <c r="AZ225" s="52" t="n">
        <f aca="false">IF(CL225&gt;0,CL225*MAX(1,AX225/X225),IF(BW225=1,IF(AX225&lt;=0,0,CA225*MAX(1,IF(H225&gt;0,AX225/H225,1))),IF(R225&gt;0,AY225/R225,0))/MAX(0.1,N(Parameter!$M$21)))</f>
        <v>0.0833333333333333</v>
      </c>
      <c r="BA225" s="50" t="n">
        <f aca="false">AZ225*BY225</f>
        <v>12.0833333333333</v>
      </c>
      <c r="BB225" s="50" t="n">
        <f aca="false">AX225*G225</f>
        <v>3840</v>
      </c>
      <c r="BC225" s="50" t="n">
        <f aca="false">ROUNDUP(MAX(J225/IF(CD225&gt;0,CD225,MAX(0.1,N(Cockpit!$O$6))),CG225)/BV225,0)*BV225</f>
        <v>6</v>
      </c>
      <c r="BD225" s="51" t="n">
        <f aca="false">IF(BA225&gt;0,J225/BA225,-1)</f>
        <v>0.910344827586207</v>
      </c>
      <c r="BE225" s="51" t="n">
        <f aca="false">IF(AND(OR(CC225="L1",CC225="L23",CC225="LIFT"),BA225&gt;0),SUMIFS($BA$7:$BA$1843,$CC$7:$CC$1843,CC225,$BD$7:$BD$1843,"&gt;"&amp;BD225)+SUMIFS($BA$7:$BA$1843,$CC$7:$CC$1843,CC225,$BD$7:$BD$1843,BD225,$BT$7:$BT$1843,"&lt;="&amp;BT225),"")</f>
        <v>9812.45283882784</v>
      </c>
      <c r="BF225" s="58" t="n">
        <f aca="false">IF(BE225="",0,MAX(0,MIN(1,(IF(CC225="L1",Parameter!$H$5,IF(CC225="L23",Parameter!$H$6+Parameter!$H$7,Parameter!$H$5+Parameter!$H$6+Parameter!$H$7))-(BE225-BA225))/BA225)))</f>
        <v>1</v>
      </c>
      <c r="BG225" s="48" t="str">
        <f aca="false">IF(AI225&lt;=0,"",IF(CC225="Aussen","Aussenlager",IF(CC225="-","Nicht im Lift",IF(AN225&gt;=1,"Lift",IF(AN225&lt;=0,"Aussenlager","teilweise")))))</f>
        <v>Lift</v>
      </c>
      <c r="BH225" s="48" t="str">
        <f aca="false">IF(AR225&lt;=0,"",IF(CC225="Aussen","Aussenlager",IF(CC225="-","Nicht im Lift",IF(AW225&gt;=1,"Lift",IF(AW225&lt;=0,"Aussenlager","teilweise")))))</f>
        <v>Lift</v>
      </c>
      <c r="BI225" s="48" t="str">
        <f aca="false">IF(BA225&lt;=0,"",IF(CC225="Aussen","Aussenlager",IF(CC225="-","Nicht im Lift",IF(BF225&gt;=1,"Lift",IF(BF225&lt;=0,"Aussenlager","teilweise")))))</f>
        <v>Lift</v>
      </c>
      <c r="BJ225" s="48" t="str">
        <f aca="false">IF(A225="","",IF(BS225=1,"Neu; ","")&amp;IF(AND(BS225=0,BN225&lt;0),"negativer Bestand (Export "&amp;BN225&amp;"); ","")&amp;IF(J225&lt;=0,"Kein Verbrauch; ","")&amp;IF(CL225&gt;0,"Lift "&amp;W225&amp;" lt. Liftbericht (Fach "&amp;X225&amp;" Stk); ",IF(BX225=1,"Gebinde geschätzt ("&amp;T225&amp;"); ",IF(BW225=1,"Lose – Tablare geschätzt; ","")))&amp;IF(H225&gt;AT225,"Überbestand "&amp;ROUND(H225-AT225,0)&amp;" Stk / CHF "&amp;ROUND((H225-AT225)*G225,0)&amp;"; ","")&amp;IF(AND(CE225=1,CF225&lt;CG225),"MAX &lt; MB+LG; ","")&amp;IF(AND(CK225&gt;0,CJ225*10&gt;CK225),"zu hoch für Tablar; ","")&amp;IF(AND(BS225=0,OR(CE225=1,AA225&lt;&gt;"",U225&lt;&gt;"",V225&lt;&gt;"",AB225&lt;&gt;"")),"manuell übersteuert; ","")&amp;IF(AND(BW225=0,R225=0),"Gebinde unbekannt / Stellmass fehlt; ","")&amp;IF(AND(BW225=0,N(V225)&lt;=0,N(Q225)&lt;=0),"Menge pro Gebinde fehlt (Ist = 1 Gebinde); ","")&amp;BR225)</f>
        <v/>
      </c>
      <c r="BK225" s="48"/>
      <c r="BL225" s="48"/>
      <c r="BM225" s="55"/>
      <c r="BN225" s="50" t="n">
        <v>1</v>
      </c>
      <c r="BO225" s="50" t="n">
        <v>0</v>
      </c>
      <c r="BP225" s="49" t="n">
        <v>640</v>
      </c>
      <c r="BQ225" s="50" t="n">
        <v>11</v>
      </c>
      <c r="BR225" s="48"/>
      <c r="BS225" s="53" t="n">
        <v>0</v>
      </c>
      <c r="BT225" s="53" t="n">
        <v>225</v>
      </c>
      <c r="BU225" s="48" t="str">
        <f aca="false">IF(U225&lt;&gt;"",UPPER(TRIM(U225)),IF(BX225=1,UPPER(VLOOKUP(T225,Parameter!$I$27:$K$29,2,0)),IF(P225="","LOSE",P225)))</f>
        <v>S61</v>
      </c>
      <c r="BV225" s="50" t="n">
        <f aca="false">IF(BU225="LOSE",1,IF(N(V225)&gt;0,V225,IF(BX225=1,MAX(1,N(VLOOKUP(T225,Parameter!$I$27:$K$29,3,0)),H225,N(N225)),IF(N(Q225)&gt;0,Q225,MAX(1,H225)))))</f>
        <v>6</v>
      </c>
      <c r="BW225" s="53" t="n">
        <f aca="false">IF(BU225="LOSE",1,0)</f>
        <v>0</v>
      </c>
      <c r="BX225" s="53" t="n">
        <f aca="false">IF(AND(U225="",OR(P225="",P225="LOSE"),T225&lt;&gt;"",N(S225)&lt;=0,ISNUMBER(MATCH(T225,Parameter!$I$27:$I$29,0))),1,0)</f>
        <v>0</v>
      </c>
      <c r="BY225" s="53" t="n">
        <f aca="false">IF(CL225&gt;0,INDEX(Parameter!$H$5:$H$7,W225)/INDEX(Parameter!$E$5:$E$7,W225),IF(AND(BW225=0,N(IFERROR(VLOOKUP(BU225,'Gebinde-Kategorie'!$A$5:$N$45,14,0),0))&gt;0),VLOOKUP(BU225,'Gebinde-Kategorie'!$A$5:$N$45,14,0)*10+Parameter!$M$23,Parameter!$M$24))</f>
        <v>145</v>
      </c>
      <c r="BZ225" s="48" t="str">
        <f aca="false">IF(AND(Parameter!$B$19="Ja",E225&lt;&gt;"",ISNUMBER(MATCH(E225,Parameter!$I$35:$I$52,0))),VLOOKUP(E225,Parameter!$I$35:$J$52,2,0),IFERROR(VLOOKUP(D225,Parameter!$A$35:$C$64,2,0),"Nein"))</f>
        <v>2+3</v>
      </c>
      <c r="CA225" s="52" t="n">
        <f aca="false">IF(BW225=0,0,IF(N(S225)&gt;0,S225,IFERROR(VLOOKUP(D225,Parameter!$A$35:$C$64,3,0)+0,0)))</f>
        <v>0</v>
      </c>
      <c r="CB225" s="48" t="n">
        <f aca="false">IF(AA225&lt;&gt;"",AA225,Z225)</f>
        <v>2</v>
      </c>
      <c r="CC225" s="48" t="str">
        <f aca="false">IF(OR(CB225=1,CB225=2,CB225=3),IF(Parameter!$E$27="Ja","LIFT",IF(CB225=1,"L1","L23")),IF(CB225="Aussen","Aussen","-"))</f>
        <v>LIFT</v>
      </c>
      <c r="CD225" s="59" t="n">
        <f aca="false">IF(N(AB225)&gt;0,AB225,0)</f>
        <v>0</v>
      </c>
      <c r="CE225" s="53" t="n">
        <f aca="false">IF(ISNUMBER(AE225),1,0)</f>
        <v>0</v>
      </c>
      <c r="CF225" s="50" t="n">
        <f aca="false">N(AE225)</f>
        <v>0</v>
      </c>
      <c r="CG225" s="50" t="n">
        <f aca="false">N(M225)+N(N225)</f>
        <v>6</v>
      </c>
      <c r="CH225" s="50" t="n">
        <f aca="false">ROUNDUP(H225/BV225,0)</f>
        <v>1</v>
      </c>
      <c r="CI225" s="50" t="n">
        <f aca="false">ROUNDUP(CF225/BV225,0)</f>
        <v>0</v>
      </c>
      <c r="CJ225" s="53" t="n">
        <f aca="false">IF(BW225=1,0,IFERROR(VLOOKUP(BU225,'Gebinde-Kategorie'!$A$5:$N$45,5,0)+0,0))</f>
        <v>11</v>
      </c>
      <c r="CK225" s="53" t="n">
        <f aca="false">IFERROR(IF(OR(CB225=1,CB225=2,CB225=3),N(INDEX(Parameter!$I$5:$I$7,CB225)),0),0)</f>
        <v>0</v>
      </c>
      <c r="CL225" s="52" t="n">
        <f aca="false">IF(AND(Parameter!$B$21="Ja",ISNUMBER(W225),N(X225)&gt;0),IFERROR(N(INDEX(Parameter!$L$5:$L$7,W225))*INDEX(Parameter!$E$5:$E$7,W225)*X225/SUMIFS($X$7:$X$1843,$W$7:$W$1843,W225),0),0)</f>
        <v>0</v>
      </c>
    </row>
    <row r="226" customFormat="false" ht="15" hidden="false" customHeight="false" outlineLevel="0" collapsed="false">
      <c r="A226" s="48" t="s">
        <v>647</v>
      </c>
      <c r="B226" s="48" t="s">
        <v>648</v>
      </c>
      <c r="C226" s="48" t="s">
        <v>168</v>
      </c>
      <c r="D226" s="48" t="s">
        <v>188</v>
      </c>
      <c r="E226" s="48" t="s">
        <v>189</v>
      </c>
      <c r="F226" s="48" t="s">
        <v>222</v>
      </c>
      <c r="G226" s="49" t="n">
        <v>7.7</v>
      </c>
      <c r="H226" s="50" t="n">
        <f aca="false">MAX(0,IF(AND(Parameter!$B$21="Ja",ISNUMBER(Y226)),Y226,IF(Parameter!$B$20="Jahresanfang 2025 + Export",BO226+BN226,BN226)))</f>
        <v>119</v>
      </c>
      <c r="I226" s="50" t="n">
        <f aca="false">H226*G226</f>
        <v>916.3</v>
      </c>
      <c r="J226" s="50" t="n">
        <f aca="false">BQ226*Parameter!$B$18</f>
        <v>129</v>
      </c>
      <c r="K226" s="51" t="n">
        <v>37</v>
      </c>
      <c r="L226" s="52" t="n">
        <v>3.48648648648649</v>
      </c>
      <c r="M226" s="50" t="n">
        <v>7</v>
      </c>
      <c r="N226" s="50" t="n">
        <v>130</v>
      </c>
      <c r="O226" s="53" t="n">
        <v>21</v>
      </c>
      <c r="P226" s="48" t="s">
        <v>306</v>
      </c>
      <c r="Q226" s="50" t="n">
        <v>131</v>
      </c>
      <c r="R226" s="53" t="n">
        <f aca="false">IF(BW226=1,0,IFERROR(VLOOKUP(BU226,'Gebinde-Kategorie'!$A$5:$N$45,13,0)+0,0))</f>
        <v>26</v>
      </c>
      <c r="S226" s="54"/>
      <c r="T226" s="55"/>
      <c r="U226" s="55"/>
      <c r="V226" s="55"/>
      <c r="W226" s="48"/>
      <c r="X226" s="50"/>
      <c r="Y226" s="50"/>
      <c r="Z226" s="48" t="n">
        <f aca="false">IF(A226="","",IF(AND(Parameter!$B$21="Ja",ISNUMBER(W226)),W226,IF(BZ226="2+3",IF(ISNUMBER(SEARCH("grosser Artikel",BR226)),2,IFERROR(VLOOKUP(BU226,Parameter!$F$35:$G$64,2,0),2)),IF(OR(BZ226="Nein",BZ226=""),"-",BZ226))))</f>
        <v>3</v>
      </c>
      <c r="AA226" s="55"/>
      <c r="AB226" s="56"/>
      <c r="AC226" s="50" t="n">
        <f aca="false">AT226</f>
        <v>262</v>
      </c>
      <c r="AD226" s="50" t="n">
        <f aca="false">MAX(AT226,H226)</f>
        <v>262</v>
      </c>
      <c r="AE226" s="57"/>
      <c r="AF226" s="50" t="n">
        <f aca="false">IF(LEFT(Cockpit!$C$5,1)="A",H226,IF(CE226=1,CF226,IF(LEFT(Cockpit!$C$5,1)="B",AK226,MAX(AK226,H226))))</f>
        <v>119</v>
      </c>
      <c r="AG226" s="50" t="n">
        <f aca="false">IF(BW226=1,0,ROUNDUP(AF226/BV226,0))</f>
        <v>1</v>
      </c>
      <c r="AH226" s="52" t="n">
        <f aca="false">IF(CL226&gt;0,CL226*MAX(1,AF226/X226),IF(BW226=1,IF(AF226&lt;=0,0,CA226*MAX(1,IF(H226&gt;0,AF226/H226,1))),IF(R226&gt;0,AG226/R226,0))/MAX(0.1,N(Parameter!$M$21)))</f>
        <v>0.0384615384615385</v>
      </c>
      <c r="AI226" s="50" t="n">
        <f aca="false">AH226*BY226</f>
        <v>5.96153846153846</v>
      </c>
      <c r="AJ226" s="50" t="n">
        <f aca="false">AF226*G226</f>
        <v>916.3</v>
      </c>
      <c r="AK226" s="50" t="n">
        <f aca="false">ROUNDUP(MAX(J226/IF(CD226&gt;0,CD226,MAX(0.1,N(Cockpit!$C$6))),CG226)/BV226,0)*BV226</f>
        <v>262</v>
      </c>
      <c r="AL226" s="51" t="n">
        <f aca="false">IF(AI226&gt;0,J226/AI226,-1)</f>
        <v>21.6387096774194</v>
      </c>
      <c r="AM226" s="51" t="n">
        <f aca="false">IF(AND(OR(CC226="L1",CC226="L23",CC226="LIFT"),AI226&gt;0),SUMIFS($AI$7:$AI$1843,$CC$7:$CC$1843,CC226,$AL$7:$AL$1843,"&gt;"&amp;AL226)+SUMIFS($AI$7:$AI$1843,$CC$7:$CC$1843,CC226,$AL$7:$AL$1843,AL226,$BT$7:$BT$1843,"&lt;="&amp;BT226),"")</f>
        <v>1619.37545787546</v>
      </c>
      <c r="AN226" s="58" t="n">
        <f aca="false">IF(AM226="",0,MAX(0,MIN(1,(IF(CC226="L1",Parameter!$H$5,IF(CC226="L23",Parameter!$H$6+Parameter!$H$7,Parameter!$H$5+Parameter!$H$6+Parameter!$H$7))-(AM226-AI226))/AI226)))</f>
        <v>1</v>
      </c>
      <c r="AO226" s="50" t="n">
        <f aca="false">IF(LEFT(Cockpit!$I$5,1)="A",H226,IF(CE226=1,CF226,IF(LEFT(Cockpit!$I$5,1)="B",AT226,MAX(AT226,H226))))</f>
        <v>262</v>
      </c>
      <c r="AP226" s="50" t="n">
        <f aca="false">IF(BW226=1,0,ROUNDUP(AO226/BV226,0))</f>
        <v>2</v>
      </c>
      <c r="AQ226" s="52" t="n">
        <f aca="false">IF(CL226&gt;0,CL226*MAX(1,AO226/X226),IF(BW226=1,IF(AO226&lt;=0,0,CA226*MAX(1,IF(H226&gt;0,AO226/H226,1))),IF(R226&gt;0,AP226/R226,0))/MAX(0.1,N(Parameter!$M$21)))</f>
        <v>0.0769230769230769</v>
      </c>
      <c r="AR226" s="50" t="n">
        <f aca="false">AQ226*BY226</f>
        <v>11.9230769230769</v>
      </c>
      <c r="AS226" s="50" t="n">
        <f aca="false">AO226*G226</f>
        <v>2017.4</v>
      </c>
      <c r="AT226" s="50" t="n">
        <f aca="false">ROUNDUP(MAX(J226/IF(CD226&gt;0,CD226,MAX(0.1,N(Cockpit!$I$6))),CG226)/BV226,0)*BV226</f>
        <v>262</v>
      </c>
      <c r="AU226" s="51" t="n">
        <f aca="false">IF(AR226&gt;0,J226/AR226,-1)</f>
        <v>10.8193548387097</v>
      </c>
      <c r="AV226" s="51" t="n">
        <f aca="false">IF(AND(OR(CC226="L1",CC226="L23",CC226="LIFT"),AR226&gt;0),SUMIFS($AR$7:$AR$1843,$CC$7:$CC$1843,CC226,$AU$7:$AU$1843,"&gt;"&amp;AU226)+SUMIFS($AR$7:$AR$1843,$CC$7:$CC$1843,CC226,$AU$7:$AU$1843,AU226,$BT$7:$BT$1843,"&lt;="&amp;BT226),"")</f>
        <v>3736.97115384615</v>
      </c>
      <c r="AW226" s="58" t="n">
        <f aca="false">IF(AV226="",0,MAX(0,MIN(1,(IF(CC226="L1",Parameter!$H$5,IF(CC226="L23",Parameter!$H$6+Parameter!$H$7,Parameter!$H$5+Parameter!$H$6+Parameter!$H$7))-(AV226-AR226))/AR226)))</f>
        <v>1</v>
      </c>
      <c r="AX226" s="50" t="n">
        <f aca="false">IF(LEFT(Cockpit!$O$5,1)="A",H226,IF(CE226=1,CF226,IF(LEFT(Cockpit!$O$5,1)="B",BC226,MAX(BC226,H226))))</f>
        <v>262</v>
      </c>
      <c r="AY226" s="50" t="n">
        <f aca="false">IF(BW226=1,0,ROUNDUP(AX226/BV226,0))</f>
        <v>2</v>
      </c>
      <c r="AZ226" s="52" t="n">
        <f aca="false">IF(CL226&gt;0,CL226*MAX(1,AX226/X226),IF(BW226=1,IF(AX226&lt;=0,0,CA226*MAX(1,IF(H226&gt;0,AX226/H226,1))),IF(R226&gt;0,AY226/R226,0))/MAX(0.1,N(Parameter!$M$21)))</f>
        <v>0.0769230769230769</v>
      </c>
      <c r="BA226" s="50" t="n">
        <f aca="false">AZ226*BY226</f>
        <v>11.9230769230769</v>
      </c>
      <c r="BB226" s="50" t="n">
        <f aca="false">AX226*G226</f>
        <v>2017.4</v>
      </c>
      <c r="BC226" s="50" t="n">
        <f aca="false">ROUNDUP(MAX(J226/IF(CD226&gt;0,CD226,MAX(0.1,N(Cockpit!$O$6))),CG226)/BV226,0)*BV226</f>
        <v>262</v>
      </c>
      <c r="BD226" s="51" t="n">
        <f aca="false">IF(BA226&gt;0,J226/BA226,-1)</f>
        <v>10.8193548387097</v>
      </c>
      <c r="BE226" s="51" t="n">
        <f aca="false">IF(AND(OR(CC226="L1",CC226="L23",CC226="LIFT"),BA226&gt;0),SUMIFS($BA$7:$BA$1843,$CC$7:$CC$1843,CC226,$BD$7:$BD$1843,"&gt;"&amp;BD226)+SUMIFS($BA$7:$BA$1843,$CC$7:$CC$1843,CC226,$BD$7:$BD$1843,BD226,$BT$7:$BT$1843,"&lt;="&amp;BT226),"")</f>
        <v>3395.09615384615</v>
      </c>
      <c r="BF226" s="58" t="n">
        <f aca="false">IF(BE226="",0,MAX(0,MIN(1,(IF(CC226="L1",Parameter!$H$5,IF(CC226="L23",Parameter!$H$6+Parameter!$H$7,Parameter!$H$5+Parameter!$H$6+Parameter!$H$7))-(BE226-BA226))/BA226)))</f>
        <v>1</v>
      </c>
      <c r="BG226" s="48" t="str">
        <f aca="false">IF(AI226&lt;=0,"",IF(CC226="Aussen","Aussenlager",IF(CC226="-","Nicht im Lift",IF(AN226&gt;=1,"Lift",IF(AN226&lt;=0,"Aussenlager","teilweise")))))</f>
        <v>Lift</v>
      </c>
      <c r="BH226" s="48" t="str">
        <f aca="false">IF(AR226&lt;=0,"",IF(CC226="Aussen","Aussenlager",IF(CC226="-","Nicht im Lift",IF(AW226&gt;=1,"Lift",IF(AW226&lt;=0,"Aussenlager","teilweise")))))</f>
        <v>Lift</v>
      </c>
      <c r="BI226" s="48" t="str">
        <f aca="false">IF(BA226&lt;=0,"",IF(CC226="Aussen","Aussenlager",IF(CC226="-","Nicht im Lift",IF(BF226&gt;=1,"Lift",IF(BF226&lt;=0,"Aussenlager","teilweise")))))</f>
        <v>Lift</v>
      </c>
      <c r="BJ226" s="48" t="str">
        <f aca="false">IF(A226="","",IF(BS226=1,"Neu; ","")&amp;IF(AND(BS226=0,BN226&lt;0),"negativer Bestand (Export "&amp;BN226&amp;"); ","")&amp;IF(J226&lt;=0,"Kein Verbrauch; ","")&amp;IF(CL226&gt;0,"Lift "&amp;W226&amp;" lt. Liftbericht (Fach "&amp;X226&amp;" Stk); ",IF(BX226=1,"Gebinde geschätzt ("&amp;T226&amp;"); ",IF(BW226=1,"Lose – Tablare geschätzt; ","")))&amp;IF(H226&gt;AT226,"Überbestand "&amp;ROUND(H226-AT226,0)&amp;" Stk / CHF "&amp;ROUND((H226-AT226)*G226,0)&amp;"; ","")&amp;IF(AND(CE226=1,CF226&lt;CG226),"MAX &lt; MB+LG; ","")&amp;IF(AND(CK226&gt;0,CJ226*10&gt;CK226),"zu hoch für Tablar; ","")&amp;IF(AND(BS226=0,OR(CE226=1,AA226&lt;&gt;"",U226&lt;&gt;"",V226&lt;&gt;"",AB226&lt;&gt;"")),"manuell übersteuert; ","")&amp;IF(AND(BW226=0,R226=0),"Gebinde unbekannt / Stellmass fehlt; ","")&amp;IF(AND(BW226=0,N(V226)&lt;=0,N(Q226)&lt;=0),"Menge pro Gebinde fehlt (Ist = 1 Gebinde); ","")&amp;BR226)</f>
        <v/>
      </c>
      <c r="BK226" s="48"/>
      <c r="BL226" s="48"/>
      <c r="BM226" s="55"/>
      <c r="BN226" s="50" t="n">
        <v>83</v>
      </c>
      <c r="BO226" s="50" t="n">
        <v>36</v>
      </c>
      <c r="BP226" s="49" t="n">
        <v>638.739999999999</v>
      </c>
      <c r="BQ226" s="50" t="n">
        <v>129</v>
      </c>
      <c r="BR226" s="48"/>
      <c r="BS226" s="53" t="n">
        <v>0</v>
      </c>
      <c r="BT226" s="53" t="n">
        <v>226</v>
      </c>
      <c r="BU226" s="48" t="str">
        <f aca="false">IF(U226&lt;&gt;"",UPPER(TRIM(U226)),IF(BX226=1,UPPER(VLOOKUP(T226,Parameter!$I$27:$K$29,2,0)),IF(P226="","LOSE",P226)))</f>
        <v>S51</v>
      </c>
      <c r="BV226" s="50" t="n">
        <f aca="false">IF(BU226="LOSE",1,IF(N(V226)&gt;0,V226,IF(BX226=1,MAX(1,N(VLOOKUP(T226,Parameter!$I$27:$K$29,3,0)),H226,N(N226)),IF(N(Q226)&gt;0,Q226,MAX(1,H226)))))</f>
        <v>131</v>
      </c>
      <c r="BW226" s="53" t="n">
        <f aca="false">IF(BU226="LOSE",1,0)</f>
        <v>0</v>
      </c>
      <c r="BX226" s="53" t="n">
        <f aca="false">IF(AND(U226="",OR(P226="",P226="LOSE"),T226&lt;&gt;"",N(S226)&lt;=0,ISNUMBER(MATCH(T226,Parameter!$I$27:$I$29,0))),1,0)</f>
        <v>0</v>
      </c>
      <c r="BY226" s="53" t="n">
        <f aca="false">IF(CL226&gt;0,INDEX(Parameter!$H$5:$H$7,W226)/INDEX(Parameter!$E$5:$E$7,W226),IF(AND(BW226=0,N(IFERROR(VLOOKUP(BU226,'Gebinde-Kategorie'!$A$5:$N$45,14,0),0))&gt;0),VLOOKUP(BU226,'Gebinde-Kategorie'!$A$5:$N$45,14,0)*10+Parameter!$M$23,Parameter!$M$24))</f>
        <v>155</v>
      </c>
      <c r="BZ226" s="48" t="str">
        <f aca="false">IF(AND(Parameter!$B$19="Ja",E226&lt;&gt;"",ISNUMBER(MATCH(E226,Parameter!$I$35:$I$52,0))),VLOOKUP(E226,Parameter!$I$35:$J$52,2,0),IFERROR(VLOOKUP(D226,Parameter!$A$35:$C$64,2,0),"Nein"))</f>
        <v>2+3</v>
      </c>
      <c r="CA226" s="52" t="n">
        <f aca="false">IF(BW226=0,0,IF(N(S226)&gt;0,S226,IFERROR(VLOOKUP(D226,Parameter!$A$35:$C$64,3,0)+0,0)))</f>
        <v>0</v>
      </c>
      <c r="CB226" s="48" t="n">
        <f aca="false">IF(AA226&lt;&gt;"",AA226,Z226)</f>
        <v>3</v>
      </c>
      <c r="CC226" s="48" t="str">
        <f aca="false">IF(OR(CB226=1,CB226=2,CB226=3),IF(Parameter!$E$27="Ja","LIFT",IF(CB226=1,"L1","L23")),IF(CB226="Aussen","Aussen","-"))</f>
        <v>LIFT</v>
      </c>
      <c r="CD226" s="59" t="n">
        <f aca="false">IF(N(AB226)&gt;0,AB226,0)</f>
        <v>0</v>
      </c>
      <c r="CE226" s="53" t="n">
        <f aca="false">IF(ISNUMBER(AE226),1,0)</f>
        <v>0</v>
      </c>
      <c r="CF226" s="50" t="n">
        <f aca="false">N(AE226)</f>
        <v>0</v>
      </c>
      <c r="CG226" s="50" t="n">
        <f aca="false">N(M226)+N(N226)</f>
        <v>137</v>
      </c>
      <c r="CH226" s="50" t="n">
        <f aca="false">ROUNDUP(H226/BV226,0)</f>
        <v>1</v>
      </c>
      <c r="CI226" s="50" t="n">
        <f aca="false">ROUNDUP(CF226/BV226,0)</f>
        <v>0</v>
      </c>
      <c r="CJ226" s="53" t="n">
        <f aca="false">IF(BW226=1,0,IFERROR(VLOOKUP(BU226,'Gebinde-Kategorie'!$A$5:$N$45,5,0)+0,0))</f>
        <v>11</v>
      </c>
      <c r="CK226" s="53" t="n">
        <f aca="false">IFERROR(IF(OR(CB226=1,CB226=2,CB226=3),N(INDEX(Parameter!$I$5:$I$7,CB226)),0),0)</f>
        <v>0</v>
      </c>
      <c r="CL226" s="52" t="n">
        <f aca="false">IF(AND(Parameter!$B$21="Ja",ISNUMBER(W226),N(X226)&gt;0),IFERROR(N(INDEX(Parameter!$L$5:$L$7,W226))*INDEX(Parameter!$E$5:$E$7,W226)*X226/SUMIFS($X$7:$X$1843,$W$7:$W$1843,W226),0),0)</f>
        <v>0</v>
      </c>
    </row>
    <row r="227" customFormat="false" ht="15" hidden="false" customHeight="false" outlineLevel="0" collapsed="false">
      <c r="A227" s="48" t="s">
        <v>649</v>
      </c>
      <c r="B227" s="48" t="s">
        <v>650</v>
      </c>
      <c r="C227" s="48" t="s">
        <v>168</v>
      </c>
      <c r="D227" s="48" t="s">
        <v>177</v>
      </c>
      <c r="E227" s="48" t="s">
        <v>374</v>
      </c>
      <c r="F227" s="48" t="s">
        <v>222</v>
      </c>
      <c r="G227" s="49" t="n">
        <v>245.45</v>
      </c>
      <c r="H227" s="50" t="n">
        <f aca="false">MAX(0,IF(AND(Parameter!$B$21="Ja",ISNUMBER(Y227)),Y227,IF(Parameter!$B$20="Jahresanfang 2025 + Export",BO227+BN227,BN227)))</f>
        <v>4</v>
      </c>
      <c r="I227" s="50" t="n">
        <f aca="false">H227*G227</f>
        <v>981.8</v>
      </c>
      <c r="J227" s="50" t="n">
        <f aca="false">BQ227*Parameter!$B$18</f>
        <v>20</v>
      </c>
      <c r="K227" s="51" t="n">
        <v>1</v>
      </c>
      <c r="L227" s="52" t="n">
        <v>20</v>
      </c>
      <c r="M227" s="50" t="n">
        <v>1</v>
      </c>
      <c r="N227" s="50" t="n">
        <v>2</v>
      </c>
      <c r="O227" s="53" t="n">
        <v>14</v>
      </c>
      <c r="P227" s="48" t="s">
        <v>172</v>
      </c>
      <c r="Q227" s="50"/>
      <c r="R227" s="53" t="n">
        <f aca="false">IF(BW227=1,0,IFERROR(VLOOKUP(BU227,'Gebinde-Kategorie'!$A$5:$N$45,13,0)+0,0))</f>
        <v>4</v>
      </c>
      <c r="S227" s="54"/>
      <c r="T227" s="55" t="s">
        <v>193</v>
      </c>
      <c r="U227" s="55"/>
      <c r="V227" s="55"/>
      <c r="W227" s="48"/>
      <c r="X227" s="50"/>
      <c r="Y227" s="50"/>
      <c r="Z227" s="48" t="str">
        <f aca="false">IF(A227="","",IF(AND(Parameter!$B$21="Ja",ISNUMBER(W227)),W227,IF(BZ227="2+3",IF(ISNUMBER(SEARCH("grosser Artikel",BR227)),2,IFERROR(VLOOKUP(BU227,Parameter!$F$35:$G$64,2,0),2)),IF(OR(BZ227="Nein",BZ227=""),"-",BZ227))))</f>
        <v>-</v>
      </c>
      <c r="AA227" s="55"/>
      <c r="AB227" s="56"/>
      <c r="AC227" s="50" t="n">
        <f aca="false">AT227</f>
        <v>12</v>
      </c>
      <c r="AD227" s="50" t="n">
        <f aca="false">MAX(AT227,H227)</f>
        <v>12</v>
      </c>
      <c r="AE227" s="57"/>
      <c r="AF227" s="50" t="n">
        <f aca="false">IF(LEFT(Cockpit!$C$5,1)="A",H227,IF(CE227=1,CF227,IF(LEFT(Cockpit!$C$5,1)="B",AK227,MAX(AK227,H227))))</f>
        <v>4</v>
      </c>
      <c r="AG227" s="50" t="n">
        <f aca="false">IF(BW227=1,0,ROUNDUP(AF227/BV227,0))</f>
        <v>1</v>
      </c>
      <c r="AH227" s="52" t="n">
        <f aca="false">IF(CL227&gt;0,CL227*MAX(1,AF227/X227),IF(BW227=1,IF(AF227&lt;=0,0,CA227*MAX(1,IF(H227&gt;0,AF227/H227,1))),IF(R227&gt;0,AG227/R227,0))/MAX(0.1,N(Parameter!$M$21)))</f>
        <v>0.25</v>
      </c>
      <c r="AI227" s="50" t="n">
        <f aca="false">AH227*BY227</f>
        <v>58.75</v>
      </c>
      <c r="AJ227" s="50" t="n">
        <f aca="false">AF227*G227</f>
        <v>981.8</v>
      </c>
      <c r="AK227" s="50" t="n">
        <f aca="false">ROUNDUP(MAX(J227/IF(CD227&gt;0,CD227,MAX(0.1,N(Cockpit!$C$6))),CG227)/BV227,0)*BV227</f>
        <v>12</v>
      </c>
      <c r="AL227" s="51" t="n">
        <f aca="false">IF(AI227&gt;0,J227/AI227,-1)</f>
        <v>0.340425531914894</v>
      </c>
      <c r="AM227" s="51" t="str">
        <f aca="false">IF(AND(OR(CC227="L1",CC227="L23",CC227="LIFT"),AI227&gt;0),SUMIFS($AI$7:$AI$1843,$CC$7:$CC$1843,CC227,$AL$7:$AL$1843,"&gt;"&amp;AL227)+SUMIFS($AI$7:$AI$1843,$CC$7:$CC$1843,CC227,$AL$7:$AL$1843,AL227,$BT$7:$BT$1843,"&lt;="&amp;BT227),"")</f>
        <v/>
      </c>
      <c r="AN227" s="58" t="n">
        <f aca="false">IF(AM227="",0,MAX(0,MIN(1,(IF(CC227="L1",Parameter!$H$5,IF(CC227="L23",Parameter!$H$6+Parameter!$H$7,Parameter!$H$5+Parameter!$H$6+Parameter!$H$7))-(AM227-AI227))/AI227)))</f>
        <v>0</v>
      </c>
      <c r="AO227" s="50" t="n">
        <f aca="false">IF(LEFT(Cockpit!$I$5,1)="A",H227,IF(CE227=1,CF227,IF(LEFT(Cockpit!$I$5,1)="B",AT227,MAX(AT227,H227))))</f>
        <v>12</v>
      </c>
      <c r="AP227" s="50" t="n">
        <f aca="false">IF(BW227=1,0,ROUNDUP(AO227/BV227,0))</f>
        <v>3</v>
      </c>
      <c r="AQ227" s="52" t="n">
        <f aca="false">IF(CL227&gt;0,CL227*MAX(1,AO227/X227),IF(BW227=1,IF(AO227&lt;=0,0,CA227*MAX(1,IF(H227&gt;0,AO227/H227,1))),IF(R227&gt;0,AP227/R227,0))/MAX(0.1,N(Parameter!$M$21)))</f>
        <v>0.75</v>
      </c>
      <c r="AR227" s="50" t="n">
        <f aca="false">AQ227*BY227</f>
        <v>176.25</v>
      </c>
      <c r="AS227" s="50" t="n">
        <f aca="false">AO227*G227</f>
        <v>2945.4</v>
      </c>
      <c r="AT227" s="50" t="n">
        <f aca="false">ROUNDUP(MAX(J227/IF(CD227&gt;0,CD227,MAX(0.1,N(Cockpit!$I$6))),CG227)/BV227,0)*BV227</f>
        <v>12</v>
      </c>
      <c r="AU227" s="51" t="n">
        <f aca="false">IF(AR227&gt;0,J227/AR227,-1)</f>
        <v>0.113475177304965</v>
      </c>
      <c r="AV227" s="51" t="str">
        <f aca="false">IF(AND(OR(CC227="L1",CC227="L23",CC227="LIFT"),AR227&gt;0),SUMIFS($AR$7:$AR$1843,$CC$7:$CC$1843,CC227,$AU$7:$AU$1843,"&gt;"&amp;AU227)+SUMIFS($AR$7:$AR$1843,$CC$7:$CC$1843,CC227,$AU$7:$AU$1843,AU227,$BT$7:$BT$1843,"&lt;="&amp;BT227),"")</f>
        <v/>
      </c>
      <c r="AW227" s="58" t="n">
        <f aca="false">IF(AV227="",0,MAX(0,MIN(1,(IF(CC227="L1",Parameter!$H$5,IF(CC227="L23",Parameter!$H$6+Parameter!$H$7,Parameter!$H$5+Parameter!$H$6+Parameter!$H$7))-(AV227-AR227))/AR227)))</f>
        <v>0</v>
      </c>
      <c r="AX227" s="50" t="n">
        <f aca="false">IF(LEFT(Cockpit!$O$5,1)="A",H227,IF(CE227=1,CF227,IF(LEFT(Cockpit!$O$5,1)="B",BC227,MAX(BC227,H227))))</f>
        <v>8</v>
      </c>
      <c r="AY227" s="50" t="n">
        <f aca="false">IF(BW227=1,0,ROUNDUP(AX227/BV227,0))</f>
        <v>2</v>
      </c>
      <c r="AZ227" s="52" t="n">
        <f aca="false">IF(CL227&gt;0,CL227*MAX(1,AX227/X227),IF(BW227=1,IF(AX227&lt;=0,0,CA227*MAX(1,IF(H227&gt;0,AX227/H227,1))),IF(R227&gt;0,AY227/R227,0))/MAX(0.1,N(Parameter!$M$21)))</f>
        <v>0.5</v>
      </c>
      <c r="BA227" s="50" t="n">
        <f aca="false">AZ227*BY227</f>
        <v>117.5</v>
      </c>
      <c r="BB227" s="50" t="n">
        <f aca="false">AX227*G227</f>
        <v>1963.6</v>
      </c>
      <c r="BC227" s="50" t="n">
        <f aca="false">ROUNDUP(MAX(J227/IF(CD227&gt;0,CD227,MAX(0.1,N(Cockpit!$O$6))),CG227)/BV227,0)*BV227</f>
        <v>8</v>
      </c>
      <c r="BD227" s="51" t="n">
        <f aca="false">IF(BA227&gt;0,J227/BA227,-1)</f>
        <v>0.170212765957447</v>
      </c>
      <c r="BE227" s="51" t="str">
        <f aca="false">IF(AND(OR(CC227="L1",CC227="L23",CC227="LIFT"),BA227&gt;0),SUMIFS($BA$7:$BA$1843,$CC$7:$CC$1843,CC227,$BD$7:$BD$1843,"&gt;"&amp;BD227)+SUMIFS($BA$7:$BA$1843,$CC$7:$CC$1843,CC227,$BD$7:$BD$1843,BD227,$BT$7:$BT$1843,"&lt;="&amp;BT227),"")</f>
        <v/>
      </c>
      <c r="BF227" s="58" t="n">
        <f aca="false">IF(BE227="",0,MAX(0,MIN(1,(IF(CC227="L1",Parameter!$H$5,IF(CC227="L23",Parameter!$H$6+Parameter!$H$7,Parameter!$H$5+Parameter!$H$6+Parameter!$H$7))-(BE227-BA227))/BA227)))</f>
        <v>0</v>
      </c>
      <c r="BG227" s="48" t="str">
        <f aca="false">IF(AI227&lt;=0,"",IF(CC227="Aussen","Aussenlager",IF(CC227="-","Nicht im Lift",IF(AN227&gt;=1,"Lift",IF(AN227&lt;=0,"Aussenlager","teilweise")))))</f>
        <v>Nicht im Lift</v>
      </c>
      <c r="BH227" s="48" t="str">
        <f aca="false">IF(AR227&lt;=0,"",IF(CC227="Aussen","Aussenlager",IF(CC227="-","Nicht im Lift",IF(AW227&gt;=1,"Lift",IF(AW227&lt;=0,"Aussenlager","teilweise")))))</f>
        <v>Nicht im Lift</v>
      </c>
      <c r="BI227" s="48" t="str">
        <f aca="false">IF(BA227&lt;=0,"",IF(CC227="Aussen","Aussenlager",IF(CC227="-","Nicht im Lift",IF(BF227&gt;=1,"Lift",IF(BF227&lt;=0,"Aussenlager","teilweise")))))</f>
        <v>Nicht im Lift</v>
      </c>
      <c r="BJ227" s="48" t="str">
        <f aca="false">IF(A227="","",IF(BS227=1,"Neu; ","")&amp;IF(AND(BS227=0,BN227&lt;0),"negativer Bestand (Export "&amp;BN227&amp;"); ","")&amp;IF(J227&lt;=0,"Kein Verbrauch; ","")&amp;IF(CL227&gt;0,"Lift "&amp;W227&amp;" lt. Liftbericht (Fach "&amp;X227&amp;" Stk); ",IF(BX227=1,"Gebinde geschätzt ("&amp;T227&amp;"); ",IF(BW227=1,"Lose – Tablare geschätzt; ","")))&amp;IF(H227&gt;AT227,"Überbestand "&amp;ROUND(H227-AT227,0)&amp;" Stk / CHF "&amp;ROUND((H227-AT227)*G227,0)&amp;"; ","")&amp;IF(AND(CE227=1,CF227&lt;CG227),"MAX &lt; MB+LG; ","")&amp;IF(AND(CK227&gt;0,CJ227*10&gt;CK227),"zu hoch für Tablar; ","")&amp;IF(AND(BS227=0,OR(CE227=1,AA227&lt;&gt;"",U227&lt;&gt;"",V227&lt;&gt;"",AB227&lt;&gt;"")),"manuell übersteuert; ","")&amp;IF(AND(BW227=0,R227=0),"Gebinde unbekannt / Stellmass fehlt; ","")&amp;IF(AND(BW227=0,N(V227)&lt;=0,N(Q227)&lt;=0),"Menge pro Gebinde fehlt (Ist = 1 Gebinde); ","")&amp;BR227)</f>
        <v>Gebinde geschätzt (Gross); Menge pro Gebinde fehlt (Ist = 1 Gebinde); </v>
      </c>
      <c r="BK227" s="48"/>
      <c r="BL227" s="48"/>
      <c r="BM227" s="55"/>
      <c r="BN227" s="50" t="n">
        <v>2</v>
      </c>
      <c r="BO227" s="50" t="n">
        <v>2</v>
      </c>
      <c r="BP227" s="49" t="n">
        <v>636.5</v>
      </c>
      <c r="BQ227" s="50" t="n">
        <v>20</v>
      </c>
      <c r="BR227" s="48"/>
      <c r="BS227" s="53" t="n">
        <v>0</v>
      </c>
      <c r="BT227" s="53" t="n">
        <v>227</v>
      </c>
      <c r="BU227" s="48" t="str">
        <f aca="false">IF(U227&lt;&gt;"",UPPER(TRIM(U227)),IF(BX227=1,UPPER(VLOOKUP(T227,Parameter!$I$27:$K$29,2,0)),IF(P227="","LOSE",P227)))</f>
        <v>S81</v>
      </c>
      <c r="BV227" s="50" t="n">
        <f aca="false">IF(BU227="LOSE",1,IF(N(V227)&gt;0,V227,IF(BX227=1,MAX(1,N(VLOOKUP(T227,Parameter!$I$27:$K$29,3,0)),H227,N(N227)),IF(N(Q227)&gt;0,Q227,MAX(1,H227)))))</f>
        <v>4</v>
      </c>
      <c r="BW227" s="53" t="n">
        <f aca="false">IF(BU227="LOSE",1,0)</f>
        <v>0</v>
      </c>
      <c r="BX227" s="53" t="n">
        <f aca="false">IF(AND(U227="",OR(P227="",P227="LOSE"),T227&lt;&gt;"",N(S227)&lt;=0,ISNUMBER(MATCH(T227,Parameter!$I$27:$I$29,0))),1,0)</f>
        <v>1</v>
      </c>
      <c r="BY227" s="53" t="n">
        <f aca="false">IF(CL227&gt;0,INDEX(Parameter!$H$5:$H$7,W227)/INDEX(Parameter!$E$5:$E$7,W227),IF(AND(BW227=0,N(IFERROR(VLOOKUP(BU227,'Gebinde-Kategorie'!$A$5:$N$45,14,0),0))&gt;0),VLOOKUP(BU227,'Gebinde-Kategorie'!$A$5:$N$45,14,0)*10+Parameter!$M$23,Parameter!$M$24))</f>
        <v>235</v>
      </c>
      <c r="BZ227" s="48" t="str">
        <f aca="false">IF(AND(Parameter!$B$19="Ja",E227&lt;&gt;"",ISNUMBER(MATCH(E227,Parameter!$I$35:$I$52,0))),VLOOKUP(E227,Parameter!$I$35:$J$52,2,0),IFERROR(VLOOKUP(D227,Parameter!$A$35:$C$64,2,0),"Nein"))</f>
        <v>Nein</v>
      </c>
      <c r="CA227" s="52" t="n">
        <f aca="false">IF(BW227=0,0,IF(N(S227)&gt;0,S227,IFERROR(VLOOKUP(D227,Parameter!$A$35:$C$64,3,0)+0,0)))</f>
        <v>0</v>
      </c>
      <c r="CB227" s="48" t="str">
        <f aca="false">IF(AA227&lt;&gt;"",AA227,Z227)</f>
        <v>-</v>
      </c>
      <c r="CC227" s="48" t="str">
        <f aca="false">IF(OR(CB227=1,CB227=2,CB227=3),IF(Parameter!$E$27="Ja","LIFT",IF(CB227=1,"L1","L23")),IF(CB227="Aussen","Aussen","-"))</f>
        <v>-</v>
      </c>
      <c r="CD227" s="59" t="n">
        <f aca="false">IF(N(AB227)&gt;0,AB227,0)</f>
        <v>0</v>
      </c>
      <c r="CE227" s="53" t="n">
        <f aca="false">IF(ISNUMBER(AE227),1,0)</f>
        <v>0</v>
      </c>
      <c r="CF227" s="50" t="n">
        <f aca="false">N(AE227)</f>
        <v>0</v>
      </c>
      <c r="CG227" s="50" t="n">
        <f aca="false">N(M227)+N(N227)</f>
        <v>3</v>
      </c>
      <c r="CH227" s="50" t="n">
        <f aca="false">ROUNDUP(H227/BV227,0)</f>
        <v>1</v>
      </c>
      <c r="CI227" s="50" t="n">
        <f aca="false">ROUNDUP(CF227/BV227,0)</f>
        <v>0</v>
      </c>
      <c r="CJ227" s="53" t="n">
        <f aca="false">IF(BW227=1,0,IFERROR(VLOOKUP(BU227,'Gebinde-Kategorie'!$A$5:$N$45,5,0)+0,0))</f>
        <v>20</v>
      </c>
      <c r="CK227" s="53" t="n">
        <f aca="false">IFERROR(IF(OR(CB227=1,CB227=2,CB227=3),N(INDEX(Parameter!$I$5:$I$7,CB227)),0),0)</f>
        <v>0</v>
      </c>
      <c r="CL227" s="52" t="n">
        <f aca="false">IF(AND(Parameter!$B$21="Ja",ISNUMBER(W227),N(X227)&gt;0),IFERROR(N(INDEX(Parameter!$L$5:$L$7,W227))*INDEX(Parameter!$E$5:$E$7,W227)*X227/SUMIFS($X$7:$X$1843,$W$7:$W$1843,W227),0),0)</f>
        <v>0</v>
      </c>
    </row>
    <row r="228" customFormat="false" ht="15" hidden="false" customHeight="false" outlineLevel="0" collapsed="false">
      <c r="A228" s="48" t="s">
        <v>651</v>
      </c>
      <c r="B228" s="48" t="s">
        <v>550</v>
      </c>
      <c r="C228" s="48" t="s">
        <v>168</v>
      </c>
      <c r="D228" s="48" t="s">
        <v>188</v>
      </c>
      <c r="E228" s="48"/>
      <c r="F228" s="48" t="s">
        <v>222</v>
      </c>
      <c r="G228" s="49" t="n">
        <v>15.33</v>
      </c>
      <c r="H228" s="50" t="n">
        <f aca="false">MAX(0,IF(AND(Parameter!$B$21="Ja",ISNUMBER(Y228)),Y228,IF(Parameter!$B$20="Jahresanfang 2025 + Export",BO228+BN228,BN228)))</f>
        <v>40</v>
      </c>
      <c r="I228" s="50" t="n">
        <f aca="false">H228*G228</f>
        <v>613.2</v>
      </c>
      <c r="J228" s="50" t="n">
        <f aca="false">BQ228*Parameter!$B$18</f>
        <v>0</v>
      </c>
      <c r="K228" s="51" t="n">
        <v>0</v>
      </c>
      <c r="L228" s="52" t="n">
        <v>0</v>
      </c>
      <c r="M228" s="50" t="n">
        <v>0</v>
      </c>
      <c r="N228" s="50" t="n">
        <v>1</v>
      </c>
      <c r="O228" s="53" t="n">
        <v>9999</v>
      </c>
      <c r="P228" s="48" t="s">
        <v>172</v>
      </c>
      <c r="Q228" s="50"/>
      <c r="R228" s="53" t="n">
        <f aca="false">IF(BW228=1,0,IFERROR(VLOOKUP(BU228,'Gebinde-Kategorie'!$A$5:$N$45,13,0)+0,0))</f>
        <v>26</v>
      </c>
      <c r="S228" s="54"/>
      <c r="T228" s="55" t="s">
        <v>279</v>
      </c>
      <c r="U228" s="55"/>
      <c r="V228" s="55"/>
      <c r="W228" s="48"/>
      <c r="X228" s="50"/>
      <c r="Y228" s="50"/>
      <c r="Z228" s="48" t="n">
        <f aca="false">IF(A228="","",IF(AND(Parameter!$B$21="Ja",ISNUMBER(W228)),W228,IF(BZ228="2+3",IF(ISNUMBER(SEARCH("grosser Artikel",BR228)),2,IFERROR(VLOOKUP(BU228,Parameter!$F$35:$G$64,2,0),2)),IF(OR(BZ228="Nein",BZ228=""),"-",BZ228))))</f>
        <v>3</v>
      </c>
      <c r="AA228" s="55"/>
      <c r="AB228" s="56"/>
      <c r="AC228" s="50" t="n">
        <f aca="false">AT228</f>
        <v>40</v>
      </c>
      <c r="AD228" s="50" t="n">
        <f aca="false">MAX(AT228,H228)</f>
        <v>40</v>
      </c>
      <c r="AE228" s="57"/>
      <c r="AF228" s="50" t="n">
        <f aca="false">IF(LEFT(Cockpit!$C$5,1)="A",H228,IF(CE228=1,CF228,IF(LEFT(Cockpit!$C$5,1)="B",AK228,MAX(AK228,H228))))</f>
        <v>40</v>
      </c>
      <c r="AG228" s="50" t="n">
        <f aca="false">IF(BW228=1,0,ROUNDUP(AF228/BV228,0))</f>
        <v>1</v>
      </c>
      <c r="AH228" s="52" t="n">
        <f aca="false">IF(CL228&gt;0,CL228*MAX(1,AF228/X228),IF(BW228=1,IF(AF228&lt;=0,0,CA228*MAX(1,IF(H228&gt;0,AF228/H228,1))),IF(R228&gt;0,AG228/R228,0))/MAX(0.1,N(Parameter!$M$21)))</f>
        <v>0.0384615384615385</v>
      </c>
      <c r="AI228" s="50" t="n">
        <f aca="false">AH228*BY228</f>
        <v>5.96153846153846</v>
      </c>
      <c r="AJ228" s="50" t="n">
        <f aca="false">AF228*G228</f>
        <v>613.2</v>
      </c>
      <c r="AK228" s="50" t="n">
        <f aca="false">ROUNDUP(MAX(J228/IF(CD228&gt;0,CD228,MAX(0.1,N(Cockpit!$C$6))),CG228)/BV228,0)*BV228</f>
        <v>40</v>
      </c>
      <c r="AL228" s="51" t="n">
        <f aca="false">IF(AI228&gt;0,J228/AI228,-1)</f>
        <v>0</v>
      </c>
      <c r="AM228" s="51" t="n">
        <f aca="false">IF(AND(OR(CC228="L1",CC228="L23",CC228="LIFT"),AI228&gt;0),SUMIFS($AI$7:$AI$1843,$CC$7:$CC$1843,CC228,$AL$7:$AL$1843,"&gt;"&amp;AL228)+SUMIFS($AI$7:$AI$1843,$CC$7:$CC$1843,CC228,$AL$7:$AL$1843,AL228,$BT$7:$BT$1843,"&lt;="&amp;BT228),"")</f>
        <v>27621.3889044101</v>
      </c>
      <c r="AN228" s="58" t="n">
        <f aca="false">IF(AM228="",0,MAX(0,MIN(1,(IF(CC228="L1",Parameter!$H$5,IF(CC228="L23",Parameter!$H$6+Parameter!$H$7,Parameter!$H$5+Parameter!$H$6+Parameter!$H$7))-(AM228-AI228))/AI228)))</f>
        <v>1</v>
      </c>
      <c r="AO228" s="50" t="n">
        <f aca="false">IF(LEFT(Cockpit!$I$5,1)="A",H228,IF(CE228=1,CF228,IF(LEFT(Cockpit!$I$5,1)="B",AT228,MAX(AT228,H228))))</f>
        <v>40</v>
      </c>
      <c r="AP228" s="50" t="n">
        <f aca="false">IF(BW228=1,0,ROUNDUP(AO228/BV228,0))</f>
        <v>1</v>
      </c>
      <c r="AQ228" s="52" t="n">
        <f aca="false">IF(CL228&gt;0,CL228*MAX(1,AO228/X228),IF(BW228=1,IF(AO228&lt;=0,0,CA228*MAX(1,IF(H228&gt;0,AO228/H228,1))),IF(R228&gt;0,AP228/R228,0))/MAX(0.1,N(Parameter!$M$21)))</f>
        <v>0.0384615384615385</v>
      </c>
      <c r="AR228" s="50" t="n">
        <f aca="false">AQ228*BY228</f>
        <v>5.96153846153846</v>
      </c>
      <c r="AS228" s="50" t="n">
        <f aca="false">AO228*G228</f>
        <v>613.2</v>
      </c>
      <c r="AT228" s="50" t="n">
        <f aca="false">ROUNDUP(MAX(J228/IF(CD228&gt;0,CD228,MAX(0.1,N(Cockpit!$I$6))),CG228)/BV228,0)*BV228</f>
        <v>40</v>
      </c>
      <c r="AU228" s="51" t="n">
        <f aca="false">IF(AR228&gt;0,J228/AR228,-1)</f>
        <v>0</v>
      </c>
      <c r="AV228" s="51" t="n">
        <f aca="false">IF(AND(OR(CC228="L1",CC228="L23",CC228="LIFT"),AR228&gt;0),SUMIFS($AR$7:$AR$1843,$CC$7:$CC$1843,CC228,$AU$7:$AU$1843,"&gt;"&amp;AU228)+SUMIFS($AR$7:$AR$1843,$CC$7:$CC$1843,CC228,$AU$7:$AU$1843,AU228,$BT$7:$BT$1843,"&lt;="&amp;BT228),"")</f>
        <v>38934.29442168</v>
      </c>
      <c r="AW228" s="58" t="n">
        <f aca="false">IF(AV228="",0,MAX(0,MIN(1,(IF(CC228="L1",Parameter!$H$5,IF(CC228="L23",Parameter!$H$6+Parameter!$H$7,Parameter!$H$5+Parameter!$H$6+Parameter!$H$7))-(AV228-AR228))/AR228)))</f>
        <v>0</v>
      </c>
      <c r="AX228" s="50" t="n">
        <f aca="false">IF(LEFT(Cockpit!$O$5,1)="A",H228,IF(CE228=1,CF228,IF(LEFT(Cockpit!$O$5,1)="B",BC228,MAX(BC228,H228))))</f>
        <v>40</v>
      </c>
      <c r="AY228" s="50" t="n">
        <f aca="false">IF(BW228=1,0,ROUNDUP(AX228/BV228,0))</f>
        <v>1</v>
      </c>
      <c r="AZ228" s="52" t="n">
        <f aca="false">IF(CL228&gt;0,CL228*MAX(1,AX228/X228),IF(BW228=1,IF(AX228&lt;=0,0,CA228*MAX(1,IF(H228&gt;0,AX228/H228,1))),IF(R228&gt;0,AY228/R228,0))/MAX(0.1,N(Parameter!$M$21)))</f>
        <v>0.0384615384615385</v>
      </c>
      <c r="BA228" s="50" t="n">
        <f aca="false">AZ228*BY228</f>
        <v>5.96153846153846</v>
      </c>
      <c r="BB228" s="50" t="n">
        <f aca="false">AX228*G228</f>
        <v>613.2</v>
      </c>
      <c r="BC228" s="50" t="n">
        <f aca="false">ROUNDUP(MAX(J228/IF(CD228&gt;0,CD228,MAX(0.1,N(Cockpit!$O$6))),CG228)/BV228,0)*BV228</f>
        <v>40</v>
      </c>
      <c r="BD228" s="51" t="n">
        <f aca="false">IF(BA228&gt;0,J228/BA228,-1)</f>
        <v>0</v>
      </c>
      <c r="BE228" s="51" t="n">
        <f aca="false">IF(AND(OR(CC228="L1",CC228="L23",CC228="LIFT"),BA228&gt;0),SUMIFS($BA$7:$BA$1843,$CC$7:$CC$1843,CC228,$BD$7:$BD$1843,"&gt;"&amp;BD228)+SUMIFS($BA$7:$BA$1843,$CC$7:$CC$1843,CC228,$BD$7:$BD$1843,BD228,$BT$7:$BT$1843,"&lt;="&amp;BT228),"")</f>
        <v>35609.3064635459</v>
      </c>
      <c r="BF228" s="58" t="n">
        <f aca="false">IF(BE228="",0,MAX(0,MIN(1,(IF(CC228="L1",Parameter!$H$5,IF(CC228="L23",Parameter!$H$6+Parameter!$H$7,Parameter!$H$5+Parameter!$H$6+Parameter!$H$7))-(BE228-BA228))/BA228)))</f>
        <v>1</v>
      </c>
      <c r="BG228" s="48" t="str">
        <f aca="false">IF(AI228&lt;=0,"",IF(CC228="Aussen","Aussenlager",IF(CC228="-","Nicht im Lift",IF(AN228&gt;=1,"Lift",IF(AN228&lt;=0,"Aussenlager","teilweise")))))</f>
        <v>Lift</v>
      </c>
      <c r="BH228" s="48" t="str">
        <f aca="false">IF(AR228&lt;=0,"",IF(CC228="Aussen","Aussenlager",IF(CC228="-","Nicht im Lift",IF(AW228&gt;=1,"Lift",IF(AW228&lt;=0,"Aussenlager","teilweise")))))</f>
        <v>Aussenlager</v>
      </c>
      <c r="BI228" s="48" t="str">
        <f aca="false">IF(BA228&lt;=0,"",IF(CC228="Aussen","Aussenlager",IF(CC228="-","Nicht im Lift",IF(BF228&gt;=1,"Lift",IF(BF228&lt;=0,"Aussenlager","teilweise")))))</f>
        <v>Lift</v>
      </c>
      <c r="BJ228" s="48" t="str">
        <f aca="false">IF(A228="","",IF(BS228=1,"Neu; ","")&amp;IF(AND(BS228=0,BN228&lt;0),"negativer Bestand (Export "&amp;BN228&amp;"); ","")&amp;IF(J228&lt;=0,"Kein Verbrauch; ","")&amp;IF(CL228&gt;0,"Lift "&amp;W228&amp;" lt. Liftbericht (Fach "&amp;X228&amp;" Stk); ",IF(BX228=1,"Gebinde geschätzt ("&amp;T228&amp;"); ",IF(BW228=1,"Lose – Tablare geschätzt; ","")))&amp;IF(H228&gt;AT228,"Überbestand "&amp;ROUND(H228-AT228,0)&amp;" Stk / CHF "&amp;ROUND((H228-AT228)*G228,0)&amp;"; ","")&amp;IF(AND(CE228=1,CF228&lt;CG228),"MAX &lt; MB+LG; ","")&amp;IF(AND(CK228&gt;0,CJ228*10&gt;CK228),"zu hoch für Tablar; ","")&amp;IF(AND(BS228=0,OR(CE228=1,AA228&lt;&gt;"",U228&lt;&gt;"",V228&lt;&gt;"",AB228&lt;&gt;"")),"manuell übersteuert; ","")&amp;IF(AND(BW228=0,R228=0),"Gebinde unbekannt / Stellmass fehlt; ","")&amp;IF(AND(BW228=0,N(V228)&lt;=0,N(Q228)&lt;=0),"Menge pro Gebinde fehlt (Ist = 1 Gebinde); ","")&amp;BR228)</f>
        <v>Kein Verbrauch; Gebinde geschätzt (Klein); Menge pro Gebinde fehlt (Ist = 1 Gebinde); </v>
      </c>
      <c r="BK228" s="48"/>
      <c r="BL228" s="48"/>
      <c r="BM228" s="55"/>
      <c r="BN228" s="50" t="n">
        <v>40</v>
      </c>
      <c r="BO228" s="50" t="n">
        <v>0</v>
      </c>
      <c r="BP228" s="49" t="n">
        <v>613.2</v>
      </c>
      <c r="BQ228" s="50" t="n">
        <v>0</v>
      </c>
      <c r="BR228" s="48"/>
      <c r="BS228" s="53" t="n">
        <v>0</v>
      </c>
      <c r="BT228" s="53" t="n">
        <v>228</v>
      </c>
      <c r="BU228" s="48" t="str">
        <f aca="false">IF(U228&lt;&gt;"",UPPER(TRIM(U228)),IF(BX228=1,UPPER(VLOOKUP(T228,Parameter!$I$27:$K$29,2,0)),IF(P228="","LOSE",P228)))</f>
        <v>S51</v>
      </c>
      <c r="BV228" s="50" t="n">
        <f aca="false">IF(BU228="LOSE",1,IF(N(V228)&gt;0,V228,IF(BX228=1,MAX(1,N(VLOOKUP(T228,Parameter!$I$27:$K$29,3,0)),H228,N(N228)),IF(N(Q228)&gt;0,Q228,MAX(1,H228)))))</f>
        <v>40</v>
      </c>
      <c r="BW228" s="53" t="n">
        <f aca="false">IF(BU228="LOSE",1,0)</f>
        <v>0</v>
      </c>
      <c r="BX228" s="53" t="n">
        <f aca="false">IF(AND(U228="",OR(P228="",P228="LOSE"),T228&lt;&gt;"",N(S228)&lt;=0,ISNUMBER(MATCH(T228,Parameter!$I$27:$I$29,0))),1,0)</f>
        <v>1</v>
      </c>
      <c r="BY228" s="53" t="n">
        <f aca="false">IF(CL228&gt;0,INDEX(Parameter!$H$5:$H$7,W228)/INDEX(Parameter!$E$5:$E$7,W228),IF(AND(BW228=0,N(IFERROR(VLOOKUP(BU228,'Gebinde-Kategorie'!$A$5:$N$45,14,0),0))&gt;0),VLOOKUP(BU228,'Gebinde-Kategorie'!$A$5:$N$45,14,0)*10+Parameter!$M$23,Parameter!$M$24))</f>
        <v>155</v>
      </c>
      <c r="BZ228" s="48" t="str">
        <f aca="false">IF(AND(Parameter!$B$19="Ja",E228&lt;&gt;"",ISNUMBER(MATCH(E228,Parameter!$I$35:$I$52,0))),VLOOKUP(E228,Parameter!$I$35:$J$52,2,0),IFERROR(VLOOKUP(D228,Parameter!$A$35:$C$64,2,0),"Nein"))</f>
        <v>2+3</v>
      </c>
      <c r="CA228" s="52" t="n">
        <f aca="false">IF(BW228=0,0,IF(N(S228)&gt;0,S228,IFERROR(VLOOKUP(D228,Parameter!$A$35:$C$64,3,0)+0,0)))</f>
        <v>0</v>
      </c>
      <c r="CB228" s="48" t="n">
        <f aca="false">IF(AA228&lt;&gt;"",AA228,Z228)</f>
        <v>3</v>
      </c>
      <c r="CC228" s="48" t="str">
        <f aca="false">IF(OR(CB228=1,CB228=2,CB228=3),IF(Parameter!$E$27="Ja","LIFT",IF(CB228=1,"L1","L23")),IF(CB228="Aussen","Aussen","-"))</f>
        <v>LIFT</v>
      </c>
      <c r="CD228" s="59" t="n">
        <f aca="false">IF(N(AB228)&gt;0,AB228,0)</f>
        <v>0</v>
      </c>
      <c r="CE228" s="53" t="n">
        <f aca="false">IF(ISNUMBER(AE228),1,0)</f>
        <v>0</v>
      </c>
      <c r="CF228" s="50" t="n">
        <f aca="false">N(AE228)</f>
        <v>0</v>
      </c>
      <c r="CG228" s="50" t="n">
        <f aca="false">N(M228)+N(N228)</f>
        <v>1</v>
      </c>
      <c r="CH228" s="50" t="n">
        <f aca="false">ROUNDUP(H228/BV228,0)</f>
        <v>1</v>
      </c>
      <c r="CI228" s="50" t="n">
        <f aca="false">ROUNDUP(CF228/BV228,0)</f>
        <v>0</v>
      </c>
      <c r="CJ228" s="53" t="n">
        <f aca="false">IF(BW228=1,0,IFERROR(VLOOKUP(BU228,'Gebinde-Kategorie'!$A$5:$N$45,5,0)+0,0))</f>
        <v>11</v>
      </c>
      <c r="CK228" s="53" t="n">
        <f aca="false">IFERROR(IF(OR(CB228=1,CB228=2,CB228=3),N(INDEX(Parameter!$I$5:$I$7,CB228)),0),0)</f>
        <v>0</v>
      </c>
      <c r="CL228" s="52" t="n">
        <f aca="false">IF(AND(Parameter!$B$21="Ja",ISNUMBER(W228),N(X228)&gt;0),IFERROR(N(INDEX(Parameter!$L$5:$L$7,W228))*INDEX(Parameter!$E$5:$E$7,W228)*X228/SUMIFS($X$7:$X$1843,$W$7:$W$1843,W228),0),0)</f>
        <v>0</v>
      </c>
    </row>
    <row r="229" customFormat="false" ht="15" hidden="false" customHeight="false" outlineLevel="0" collapsed="false">
      <c r="A229" s="48" t="s">
        <v>652</v>
      </c>
      <c r="B229" s="48" t="s">
        <v>301</v>
      </c>
      <c r="C229" s="48" t="s">
        <v>168</v>
      </c>
      <c r="D229" s="48" t="s">
        <v>169</v>
      </c>
      <c r="E229" s="48" t="s">
        <v>170</v>
      </c>
      <c r="F229" s="48" t="s">
        <v>222</v>
      </c>
      <c r="G229" s="49" t="n">
        <v>229.54</v>
      </c>
      <c r="H229" s="50" t="n">
        <f aca="false">MAX(0,IF(AND(Parameter!$B$21="Ja",ISNUMBER(Y229)),Y229,IF(Parameter!$B$20="Jahresanfang 2025 + Export",BO229+BN229,BN229)))</f>
        <v>9</v>
      </c>
      <c r="I229" s="50" t="n">
        <f aca="false">H229*G229</f>
        <v>2065.86</v>
      </c>
      <c r="J229" s="50" t="n">
        <f aca="false">BQ229*Parameter!$B$18</f>
        <v>14</v>
      </c>
      <c r="K229" s="51" t="n">
        <v>10.5</v>
      </c>
      <c r="L229" s="52" t="n">
        <v>1.33333333333333</v>
      </c>
      <c r="M229" s="50" t="n">
        <v>3</v>
      </c>
      <c r="N229" s="50" t="n">
        <v>10</v>
      </c>
      <c r="O229" s="53" t="n">
        <v>70</v>
      </c>
      <c r="P229" s="48" t="s">
        <v>172</v>
      </c>
      <c r="Q229" s="50"/>
      <c r="R229" s="53" t="n">
        <f aca="false">IF(BW229=1,0,IFERROR(VLOOKUP(BU229,'Gebinde-Kategorie'!$A$5:$N$45,13,0)+0,0))</f>
        <v>0</v>
      </c>
      <c r="S229" s="54"/>
      <c r="T229" s="55"/>
      <c r="U229" s="55"/>
      <c r="V229" s="55"/>
      <c r="W229" s="48" t="n">
        <v>1</v>
      </c>
      <c r="X229" s="50" t="n">
        <v>16</v>
      </c>
      <c r="Y229" s="50" t="n">
        <v>9</v>
      </c>
      <c r="Z229" s="48" t="n">
        <f aca="false">IF(A229="","",IF(AND(Parameter!$B$21="Ja",ISNUMBER(W229)),W229,IF(BZ229="2+3",IF(ISNUMBER(SEARCH("grosser Artikel",BR229)),2,IFERROR(VLOOKUP(BU229,Parameter!$F$35:$G$64,2,0),2)),IF(OR(BZ229="Nein",BZ229=""),"-",BZ229))))</f>
        <v>1</v>
      </c>
      <c r="AA229" s="55"/>
      <c r="AB229" s="56"/>
      <c r="AC229" s="50" t="n">
        <f aca="false">AT229</f>
        <v>13</v>
      </c>
      <c r="AD229" s="50" t="n">
        <f aca="false">MAX(AT229,H229)</f>
        <v>13</v>
      </c>
      <c r="AE229" s="57"/>
      <c r="AF229" s="50" t="n">
        <f aca="false">IF(LEFT(Cockpit!$C$5,1)="A",H229,IF(CE229=1,CF229,IF(LEFT(Cockpit!$C$5,1)="B",AK229,MAX(AK229,H229))))</f>
        <v>9</v>
      </c>
      <c r="AG229" s="50" t="n">
        <f aca="false">IF(BW229=1,0,ROUNDUP(AF229/BV229,0))</f>
        <v>0</v>
      </c>
      <c r="AH229" s="52" t="n">
        <f aca="false">IF(CL229&gt;0,CL229*MAX(1,AF229/X229),IF(BW229=1,IF(AF229&lt;=0,0,CA229*MAX(1,IF(H229&gt;0,AF229/H229,1))),IF(R229&gt;0,AG229/R229,0))/MAX(0.1,N(Parameter!$M$21)))</f>
        <v>1.28060263653484</v>
      </c>
      <c r="AI229" s="50" t="n">
        <f aca="false">AH229*BY229</f>
        <v>304.783427495292</v>
      </c>
      <c r="AJ229" s="50" t="n">
        <f aca="false">AF229*G229</f>
        <v>2065.86</v>
      </c>
      <c r="AK229" s="50" t="n">
        <f aca="false">ROUNDUP(MAX(J229/IF(CD229&gt;0,CD229,MAX(0.1,N(Cockpit!$C$6))),CG229)/BV229,0)*BV229</f>
        <v>13</v>
      </c>
      <c r="AL229" s="51" t="n">
        <f aca="false">IF(AI229&gt;0,J229/AI229,-1)</f>
        <v>0.0459342560553633</v>
      </c>
      <c r="AM229" s="51" t="n">
        <f aca="false">IF(AND(OR(CC229="L1",CC229="L23",CC229="LIFT"),AI229&gt;0),SUMIFS($AI$7:$AI$1843,$CC$7:$CC$1843,CC229,$AL$7:$AL$1843,"&gt;"&amp;AL229)+SUMIFS($AI$7:$AI$1843,$CC$7:$CC$1843,CC229,$AL$7:$AL$1843,AL229,$BT$7:$BT$1843,"&lt;="&amp;BT229),"")</f>
        <v>19648.9740873533</v>
      </c>
      <c r="AN229" s="58" t="n">
        <f aca="false">IF(AM229="",0,MAX(0,MIN(1,(IF(CC229="L1",Parameter!$H$5,IF(CC229="L23",Parameter!$H$6+Parameter!$H$7,Parameter!$H$5+Parameter!$H$6+Parameter!$H$7))-(AM229-AI229))/AI229)))</f>
        <v>1</v>
      </c>
      <c r="AO229" s="50" t="n">
        <f aca="false">IF(LEFT(Cockpit!$I$5,1)="A",H229,IF(CE229=1,CF229,IF(LEFT(Cockpit!$I$5,1)="B",AT229,MAX(AT229,H229))))</f>
        <v>13</v>
      </c>
      <c r="AP229" s="50" t="n">
        <f aca="false">IF(BW229=1,0,ROUNDUP(AO229/BV229,0))</f>
        <v>0</v>
      </c>
      <c r="AQ229" s="52" t="n">
        <f aca="false">IF(CL229&gt;0,CL229*MAX(1,AO229/X229),IF(BW229=1,IF(AO229&lt;=0,0,CA229*MAX(1,IF(H229&gt;0,AO229/H229,1))),IF(R229&gt;0,AP229/R229,0))/MAX(0.1,N(Parameter!$M$21)))</f>
        <v>1.28060263653484</v>
      </c>
      <c r="AR229" s="50" t="n">
        <f aca="false">AQ229*BY229</f>
        <v>304.783427495292</v>
      </c>
      <c r="AS229" s="50" t="n">
        <f aca="false">AO229*G229</f>
        <v>2984.02</v>
      </c>
      <c r="AT229" s="50" t="n">
        <f aca="false">ROUNDUP(MAX(J229/IF(CD229&gt;0,CD229,MAX(0.1,N(Cockpit!$I$6))),CG229)/BV229,0)*BV229</f>
        <v>13</v>
      </c>
      <c r="AU229" s="51" t="n">
        <f aca="false">IF(AR229&gt;0,J229/AR229,-1)</f>
        <v>0.0459342560553633</v>
      </c>
      <c r="AV229" s="51" t="n">
        <f aca="false">IF(AND(OR(CC229="L1",CC229="L23",CC229="LIFT"),AR229&gt;0),SUMIFS($AR$7:$AR$1843,$CC$7:$CC$1843,CC229,$AU$7:$AU$1843,"&gt;"&amp;AU229)+SUMIFS($AR$7:$AR$1843,$CC$7:$CC$1843,CC229,$AU$7:$AU$1843,AU229,$BT$7:$BT$1843,"&lt;="&amp;BT229),"")</f>
        <v>30483.7816761863</v>
      </c>
      <c r="AW229" s="58" t="n">
        <f aca="false">IF(AV229="",0,MAX(0,MIN(1,(IF(CC229="L1",Parameter!$H$5,IF(CC229="L23",Parameter!$H$6+Parameter!$H$7,Parameter!$H$5+Parameter!$H$6+Parameter!$H$7))-(AV229-AR229))/AR229)))</f>
        <v>1</v>
      </c>
      <c r="AX229" s="50" t="n">
        <f aca="false">IF(LEFT(Cockpit!$O$5,1)="A",H229,IF(CE229=1,CF229,IF(LEFT(Cockpit!$O$5,1)="B",BC229,MAX(BC229,H229))))</f>
        <v>13</v>
      </c>
      <c r="AY229" s="50" t="n">
        <f aca="false">IF(BW229=1,0,ROUNDUP(AX229/BV229,0))</f>
        <v>0</v>
      </c>
      <c r="AZ229" s="52" t="n">
        <f aca="false">IF(CL229&gt;0,CL229*MAX(1,AX229/X229),IF(BW229=1,IF(AX229&lt;=0,0,CA229*MAX(1,IF(H229&gt;0,AX229/H229,1))),IF(R229&gt;0,AY229/R229,0))/MAX(0.1,N(Parameter!$M$21)))</f>
        <v>1.28060263653484</v>
      </c>
      <c r="BA229" s="50" t="n">
        <f aca="false">AZ229*BY229</f>
        <v>304.783427495292</v>
      </c>
      <c r="BB229" s="50" t="n">
        <f aca="false">AX229*G229</f>
        <v>2984.02</v>
      </c>
      <c r="BC229" s="50" t="n">
        <f aca="false">ROUNDUP(MAX(J229/IF(CD229&gt;0,CD229,MAX(0.1,N(Cockpit!$O$6))),CG229)/BV229,0)*BV229</f>
        <v>13</v>
      </c>
      <c r="BD229" s="51" t="n">
        <f aca="false">IF(BA229&gt;0,J229/BA229,-1)</f>
        <v>0.0459342560553633</v>
      </c>
      <c r="BE229" s="51" t="n">
        <f aca="false">IF(AND(OR(CC229="L1",CC229="L23",CC229="LIFT"),BA229&gt;0),SUMIFS($BA$7:$BA$1843,$CC$7:$CC$1843,CC229,$BD$7:$BD$1843,"&gt;"&amp;BD229)+SUMIFS($BA$7:$BA$1843,$CC$7:$CC$1843,CC229,$BD$7:$BD$1843,BD229,$BT$7:$BT$1843,"&lt;="&amp;BT229),"")</f>
        <v>27158.7937180522</v>
      </c>
      <c r="BF229" s="58" t="n">
        <f aca="false">IF(BE229="",0,MAX(0,MIN(1,(IF(CC229="L1",Parameter!$H$5,IF(CC229="L23",Parameter!$H$6+Parameter!$H$7,Parameter!$H$5+Parameter!$H$6+Parameter!$H$7))-(BE229-BA229))/BA229)))</f>
        <v>1</v>
      </c>
      <c r="BG229" s="48" t="str">
        <f aca="false">IF(AI229&lt;=0,"",IF(CC229="Aussen","Aussenlager",IF(CC229="-","Nicht im Lift",IF(AN229&gt;=1,"Lift",IF(AN229&lt;=0,"Aussenlager","teilweise")))))</f>
        <v>Lift</v>
      </c>
      <c r="BH229" s="48" t="str">
        <f aca="false">IF(AR229&lt;=0,"",IF(CC229="Aussen","Aussenlager",IF(CC229="-","Nicht im Lift",IF(AW229&gt;=1,"Lift",IF(AW229&lt;=0,"Aussenlager","teilweise")))))</f>
        <v>Lift</v>
      </c>
      <c r="BI229" s="48" t="str">
        <f aca="false">IF(BA229&lt;=0,"",IF(CC229="Aussen","Aussenlager",IF(CC229="-","Nicht im Lift",IF(BF229&gt;=1,"Lift",IF(BF229&lt;=0,"Aussenlager","teilweise")))))</f>
        <v>Lift</v>
      </c>
      <c r="BJ229" s="48" t="str">
        <f aca="false">IF(A229="","",IF(BS229=1,"Neu; ","")&amp;IF(AND(BS229=0,BN229&lt;0),"negativer Bestand (Export "&amp;BN229&amp;"); ","")&amp;IF(J229&lt;=0,"Kein Verbrauch; ","")&amp;IF(CL229&gt;0,"Lift "&amp;W229&amp;" lt. Liftbericht (Fach "&amp;X229&amp;" Stk); ",IF(BX229=1,"Gebinde geschätzt ("&amp;T229&amp;"); ",IF(BW229=1,"Lose – Tablare geschätzt; ","")))&amp;IF(H229&gt;AT229,"Überbestand "&amp;ROUND(H229-AT229,0)&amp;" Stk / CHF "&amp;ROUND((H229-AT229)*G229,0)&amp;"; ","")&amp;IF(AND(CE229=1,CF229&lt;CG229),"MAX &lt; MB+LG; ","")&amp;IF(AND(CK229&gt;0,CJ229*10&gt;CK229),"zu hoch für Tablar; ","")&amp;IF(AND(BS229=0,OR(CE229=1,AA229&lt;&gt;"",U229&lt;&gt;"",V229&lt;&gt;"",AB229&lt;&gt;"")),"manuell übersteuert; ","")&amp;IF(AND(BW229=0,R229=0),"Gebinde unbekannt / Stellmass fehlt; ","")&amp;IF(AND(BW229=0,N(V229)&lt;=0,N(Q229)&lt;=0),"Menge pro Gebinde fehlt (Ist = 1 Gebinde); ","")&amp;BR229)</f>
        <v>Lift 1 lt. Liftbericht (Fach 16 Stk); </v>
      </c>
      <c r="BK229" s="48"/>
      <c r="BL229" s="48"/>
      <c r="BM229" s="55"/>
      <c r="BN229" s="50" t="n">
        <v>3</v>
      </c>
      <c r="BO229" s="50" t="n">
        <v>6</v>
      </c>
      <c r="BP229" s="49" t="n">
        <v>598.979999999999</v>
      </c>
      <c r="BQ229" s="50" t="n">
        <v>14</v>
      </c>
      <c r="BR229" s="48"/>
      <c r="BS229" s="53" t="n">
        <v>0</v>
      </c>
      <c r="BT229" s="53" t="n">
        <v>229</v>
      </c>
      <c r="BU229" s="48" t="str">
        <f aca="false">IF(U229&lt;&gt;"",UPPER(TRIM(U229)),IF(BX229=1,UPPER(VLOOKUP(T229,Parameter!$I$27:$K$29,2,0)),IF(P229="","LOSE",P229)))</f>
        <v>LOSE</v>
      </c>
      <c r="BV229" s="50" t="n">
        <f aca="false">IF(BU229="LOSE",1,IF(N(V229)&gt;0,V229,IF(BX229=1,MAX(1,N(VLOOKUP(T229,Parameter!$I$27:$K$29,3,0)),H229,N(N229)),IF(N(Q229)&gt;0,Q229,MAX(1,H229)))))</f>
        <v>1</v>
      </c>
      <c r="BW229" s="53" t="n">
        <f aca="false">IF(BU229="LOSE",1,0)</f>
        <v>1</v>
      </c>
      <c r="BX229" s="53" t="n">
        <f aca="false">IF(AND(U229="",OR(P229="",P229="LOSE"),T229&lt;&gt;"",N(S229)&lt;=0,ISNUMBER(MATCH(T229,Parameter!$I$27:$I$29,0))),1,0)</f>
        <v>0</v>
      </c>
      <c r="BY229" s="53" t="n">
        <f aca="false">IF(CL229&gt;0,INDEX(Parameter!$H$5:$H$7,W229)/INDEX(Parameter!$E$5:$E$7,W229),IF(AND(BW229=0,N(IFERROR(VLOOKUP(BU229,'Gebinde-Kategorie'!$A$5:$N$45,14,0),0))&gt;0),VLOOKUP(BU229,'Gebinde-Kategorie'!$A$5:$N$45,14,0)*10+Parameter!$M$23,Parameter!$M$24))</f>
        <v>238</v>
      </c>
      <c r="BZ229" s="48" t="n">
        <f aca="false">IF(AND(Parameter!$B$19="Ja",E229&lt;&gt;"",ISNUMBER(MATCH(E229,Parameter!$I$35:$I$52,0))),VLOOKUP(E229,Parameter!$I$35:$J$52,2,0),IFERROR(VLOOKUP(D229,Parameter!$A$35:$C$64,2,0),"Nein"))</f>
        <v>1</v>
      </c>
      <c r="CA229" s="52" t="n">
        <f aca="false">IF(BW229=0,0,IF(N(S229)&gt;0,S229,IFERROR(VLOOKUP(D229,Parameter!$A$35:$C$64,3,0)+0,0)))</f>
        <v>1</v>
      </c>
      <c r="CB229" s="48" t="n">
        <f aca="false">IF(AA229&lt;&gt;"",AA229,Z229)</f>
        <v>1</v>
      </c>
      <c r="CC229" s="48" t="str">
        <f aca="false">IF(OR(CB229=1,CB229=2,CB229=3),IF(Parameter!$E$27="Ja","LIFT",IF(CB229=1,"L1","L23")),IF(CB229="Aussen","Aussen","-"))</f>
        <v>LIFT</v>
      </c>
      <c r="CD229" s="59" t="n">
        <f aca="false">IF(N(AB229)&gt;0,AB229,0)</f>
        <v>0</v>
      </c>
      <c r="CE229" s="53" t="n">
        <f aca="false">IF(ISNUMBER(AE229),1,0)</f>
        <v>0</v>
      </c>
      <c r="CF229" s="50" t="n">
        <f aca="false">N(AE229)</f>
        <v>0</v>
      </c>
      <c r="CG229" s="50" t="n">
        <f aca="false">N(M229)+N(N229)</f>
        <v>13</v>
      </c>
      <c r="CH229" s="50" t="n">
        <f aca="false">ROUNDUP(H229/BV229,0)</f>
        <v>9</v>
      </c>
      <c r="CI229" s="50" t="n">
        <f aca="false">ROUNDUP(CF229/BV229,0)</f>
        <v>0</v>
      </c>
      <c r="CJ229" s="53" t="n">
        <f aca="false">IF(BW229=1,0,IFERROR(VLOOKUP(BU229,'Gebinde-Kategorie'!$A$5:$N$45,5,0)+0,0))</f>
        <v>0</v>
      </c>
      <c r="CK229" s="53" t="n">
        <f aca="false">IFERROR(IF(OR(CB229=1,CB229=2,CB229=3),N(INDEX(Parameter!$I$5:$I$7,CB229)),0),0)</f>
        <v>0</v>
      </c>
      <c r="CL229" s="52" t="n">
        <f aca="false">IF(AND(Parameter!$B$21="Ja",ISNUMBER(W229),N(X229)&gt;0),IFERROR(N(INDEX(Parameter!$L$5:$L$7,W229))*INDEX(Parameter!$E$5:$E$7,W229)*X229/SUMIFS($X$7:$X$1843,$W$7:$W$1843,W229),0),0)</f>
        <v>1.28060263653484</v>
      </c>
    </row>
    <row r="230" customFormat="false" ht="15" hidden="false" customHeight="false" outlineLevel="0" collapsed="false">
      <c r="A230" s="48" t="s">
        <v>653</v>
      </c>
      <c r="B230" s="48" t="s">
        <v>654</v>
      </c>
      <c r="C230" s="48" t="s">
        <v>168</v>
      </c>
      <c r="D230" s="48" t="s">
        <v>188</v>
      </c>
      <c r="E230" s="48" t="s">
        <v>189</v>
      </c>
      <c r="F230" s="48" t="s">
        <v>222</v>
      </c>
      <c r="G230" s="49" t="n">
        <v>9.98</v>
      </c>
      <c r="H230" s="50" t="n">
        <f aca="false">MAX(0,IF(AND(Parameter!$B$21="Ja",ISNUMBER(Y230)),Y230,IF(Parameter!$B$20="Jahresanfang 2025 + Export",BO230+BN230,BN230)))</f>
        <v>148</v>
      </c>
      <c r="I230" s="50" t="n">
        <f aca="false">H230*G230</f>
        <v>1477.04</v>
      </c>
      <c r="J230" s="50" t="n">
        <f aca="false">BQ230*Parameter!$B$18</f>
        <v>168</v>
      </c>
      <c r="K230" s="51" t="n">
        <v>82.5</v>
      </c>
      <c r="L230" s="52" t="n">
        <v>2.03636363636364</v>
      </c>
      <c r="M230" s="50" t="n">
        <v>10</v>
      </c>
      <c r="N230" s="50" t="n">
        <v>170</v>
      </c>
      <c r="O230" s="53" t="n">
        <v>28</v>
      </c>
      <c r="P230" s="48" t="s">
        <v>237</v>
      </c>
      <c r="Q230" s="50" t="n">
        <v>150</v>
      </c>
      <c r="R230" s="53" t="n">
        <f aca="false">IF(BW230=1,0,IFERROR(VLOOKUP(BU230,'Gebinde-Kategorie'!$A$5:$N$45,13,0)+0,0))</f>
        <v>26</v>
      </c>
      <c r="S230" s="54"/>
      <c r="T230" s="55"/>
      <c r="U230" s="55"/>
      <c r="V230" s="55"/>
      <c r="W230" s="48"/>
      <c r="X230" s="50"/>
      <c r="Y230" s="50"/>
      <c r="Z230" s="48" t="n">
        <f aca="false">IF(A230="","",IF(AND(Parameter!$B$21="Ja",ISNUMBER(W230)),W230,IF(BZ230="2+3",IF(ISNUMBER(SEARCH("grosser Artikel",BR230)),2,IFERROR(VLOOKUP(BU230,Parameter!$F$35:$G$64,2,0),2)),IF(OR(BZ230="Nein",BZ230=""),"-",BZ230))))</f>
        <v>3</v>
      </c>
      <c r="AA230" s="55"/>
      <c r="AB230" s="56"/>
      <c r="AC230" s="50" t="n">
        <f aca="false">AT230</f>
        <v>300</v>
      </c>
      <c r="AD230" s="50" t="n">
        <f aca="false">MAX(AT230,H230)</f>
        <v>300</v>
      </c>
      <c r="AE230" s="57"/>
      <c r="AF230" s="50" t="n">
        <f aca="false">IF(LEFT(Cockpit!$C$5,1)="A",H230,IF(CE230=1,CF230,IF(LEFT(Cockpit!$C$5,1)="B",AK230,MAX(AK230,H230))))</f>
        <v>148</v>
      </c>
      <c r="AG230" s="50" t="n">
        <f aca="false">IF(BW230=1,0,ROUNDUP(AF230/BV230,0))</f>
        <v>1</v>
      </c>
      <c r="AH230" s="52" t="n">
        <f aca="false">IF(CL230&gt;0,CL230*MAX(1,AF230/X230),IF(BW230=1,IF(AF230&lt;=0,0,CA230*MAX(1,IF(H230&gt;0,AF230/H230,1))),IF(R230&gt;0,AG230/R230,0))/MAX(0.1,N(Parameter!$M$21)))</f>
        <v>0.0384615384615385</v>
      </c>
      <c r="AI230" s="50" t="n">
        <f aca="false">AH230*BY230</f>
        <v>9.42307692307692</v>
      </c>
      <c r="AJ230" s="50" t="n">
        <f aca="false">AF230*G230</f>
        <v>1477.04</v>
      </c>
      <c r="AK230" s="50" t="n">
        <f aca="false">ROUNDUP(MAX(J230/IF(CD230&gt;0,CD230,MAX(0.1,N(Cockpit!$C$6))),CG230)/BV230,0)*BV230</f>
        <v>300</v>
      </c>
      <c r="AL230" s="51" t="n">
        <f aca="false">IF(AI230&gt;0,J230/AI230,-1)</f>
        <v>17.8285714285714</v>
      </c>
      <c r="AM230" s="51" t="n">
        <f aca="false">IF(AND(OR(CC230="L1",CC230="L23",CC230="LIFT"),AI230&gt;0),SUMIFS($AI$7:$AI$1843,$CC$7:$CC$1843,CC230,$AL$7:$AL$1843,"&gt;"&amp;AL230)+SUMIFS($AI$7:$AI$1843,$CC$7:$CC$1843,CC230,$AL$7:$AL$1843,AL230,$BT$7:$BT$1843,"&lt;="&amp;BT230),"")</f>
        <v>1898.85210622711</v>
      </c>
      <c r="AN230" s="58" t="n">
        <f aca="false">IF(AM230="",0,MAX(0,MIN(1,(IF(CC230="L1",Parameter!$H$5,IF(CC230="L23",Parameter!$H$6+Parameter!$H$7,Parameter!$H$5+Parameter!$H$6+Parameter!$H$7))-(AM230-AI230))/AI230)))</f>
        <v>1</v>
      </c>
      <c r="AO230" s="50" t="n">
        <f aca="false">IF(LEFT(Cockpit!$I$5,1)="A",H230,IF(CE230=1,CF230,IF(LEFT(Cockpit!$I$5,1)="B",AT230,MAX(AT230,H230))))</f>
        <v>300</v>
      </c>
      <c r="AP230" s="50" t="n">
        <f aca="false">IF(BW230=1,0,ROUNDUP(AO230/BV230,0))</f>
        <v>2</v>
      </c>
      <c r="AQ230" s="52" t="n">
        <f aca="false">IF(CL230&gt;0,CL230*MAX(1,AO230/X230),IF(BW230=1,IF(AO230&lt;=0,0,CA230*MAX(1,IF(H230&gt;0,AO230/H230,1))),IF(R230&gt;0,AP230/R230,0))/MAX(0.1,N(Parameter!$M$21)))</f>
        <v>0.0769230769230769</v>
      </c>
      <c r="AR230" s="50" t="n">
        <f aca="false">AQ230*BY230</f>
        <v>18.8461538461538</v>
      </c>
      <c r="AS230" s="50" t="n">
        <f aca="false">AO230*G230</f>
        <v>2994</v>
      </c>
      <c r="AT230" s="50" t="n">
        <f aca="false">ROUNDUP(MAX(J230/IF(CD230&gt;0,CD230,MAX(0.1,N(Cockpit!$I$6))),CG230)/BV230,0)*BV230</f>
        <v>300</v>
      </c>
      <c r="AU230" s="51" t="n">
        <f aca="false">IF(AR230&gt;0,J230/AR230,-1)</f>
        <v>8.91428571428572</v>
      </c>
      <c r="AV230" s="51" t="n">
        <f aca="false">IF(AND(OR(CC230="L1",CC230="L23",CC230="LIFT"),AR230&gt;0),SUMIFS($AR$7:$AR$1843,$CC$7:$CC$1843,CC230,$AU$7:$AU$1843,"&gt;"&amp;AU230)+SUMIFS($AR$7:$AR$1843,$CC$7:$CC$1843,CC230,$AU$7:$AU$1843,AU230,$BT$7:$BT$1843,"&lt;="&amp;BT230),"")</f>
        <v>4163.74221611722</v>
      </c>
      <c r="AW230" s="58" t="n">
        <f aca="false">IF(AV230="",0,MAX(0,MIN(1,(IF(CC230="L1",Parameter!$H$5,IF(CC230="L23",Parameter!$H$6+Parameter!$H$7,Parameter!$H$5+Parameter!$H$6+Parameter!$H$7))-(AV230-AR230))/AR230)))</f>
        <v>1</v>
      </c>
      <c r="AX230" s="50" t="n">
        <f aca="false">IF(LEFT(Cockpit!$O$5,1)="A",H230,IF(CE230=1,CF230,IF(LEFT(Cockpit!$O$5,1)="B",BC230,MAX(BC230,H230))))</f>
        <v>300</v>
      </c>
      <c r="AY230" s="50" t="n">
        <f aca="false">IF(BW230=1,0,ROUNDUP(AX230/BV230,0))</f>
        <v>2</v>
      </c>
      <c r="AZ230" s="52" t="n">
        <f aca="false">IF(CL230&gt;0,CL230*MAX(1,AX230/X230),IF(BW230=1,IF(AX230&lt;=0,0,CA230*MAX(1,IF(H230&gt;0,AX230/H230,1))),IF(R230&gt;0,AY230/R230,0))/MAX(0.1,N(Parameter!$M$21)))</f>
        <v>0.0769230769230769</v>
      </c>
      <c r="BA230" s="50" t="n">
        <f aca="false">AZ230*BY230</f>
        <v>18.8461538461538</v>
      </c>
      <c r="BB230" s="50" t="n">
        <f aca="false">AX230*G230</f>
        <v>2994</v>
      </c>
      <c r="BC230" s="50" t="n">
        <f aca="false">ROUNDUP(MAX(J230/IF(CD230&gt;0,CD230,MAX(0.1,N(Cockpit!$O$6))),CG230)/BV230,0)*BV230</f>
        <v>300</v>
      </c>
      <c r="BD230" s="51" t="n">
        <f aca="false">IF(BA230&gt;0,J230/BA230,-1)</f>
        <v>8.91428571428572</v>
      </c>
      <c r="BE230" s="51" t="n">
        <f aca="false">IF(AND(OR(CC230="L1",CC230="L23",CC230="LIFT"),BA230&gt;0),SUMIFS($BA$7:$BA$1843,$CC$7:$CC$1843,CC230,$BD$7:$BD$1843,"&gt;"&amp;BD230)+SUMIFS($BA$7:$BA$1843,$CC$7:$CC$1843,CC230,$BD$7:$BD$1843,BD230,$BT$7:$BT$1843,"&lt;="&amp;BT230),"")</f>
        <v>3821.86721611722</v>
      </c>
      <c r="BF230" s="58" t="n">
        <f aca="false">IF(BE230="",0,MAX(0,MIN(1,(IF(CC230="L1",Parameter!$H$5,IF(CC230="L23",Parameter!$H$6+Parameter!$H$7,Parameter!$H$5+Parameter!$H$6+Parameter!$H$7))-(BE230-BA230))/BA230)))</f>
        <v>1</v>
      </c>
      <c r="BG230" s="48" t="str">
        <f aca="false">IF(AI230&lt;=0,"",IF(CC230="Aussen","Aussenlager",IF(CC230="-","Nicht im Lift",IF(AN230&gt;=1,"Lift",IF(AN230&lt;=0,"Aussenlager","teilweise")))))</f>
        <v>Lift</v>
      </c>
      <c r="BH230" s="48" t="str">
        <f aca="false">IF(AR230&lt;=0,"",IF(CC230="Aussen","Aussenlager",IF(CC230="-","Nicht im Lift",IF(AW230&gt;=1,"Lift",IF(AW230&lt;=0,"Aussenlager","teilweise")))))</f>
        <v>Lift</v>
      </c>
      <c r="BI230" s="48" t="str">
        <f aca="false">IF(BA230&lt;=0,"",IF(CC230="Aussen","Aussenlager",IF(CC230="-","Nicht im Lift",IF(BF230&gt;=1,"Lift",IF(BF230&lt;=0,"Aussenlager","teilweise")))))</f>
        <v>Lift</v>
      </c>
      <c r="BJ230" s="48" t="str">
        <f aca="false">IF(A230="","",IF(BS230=1,"Neu; ","")&amp;IF(AND(BS230=0,BN230&lt;0),"negativer Bestand (Export "&amp;BN230&amp;"); ","")&amp;IF(J230&lt;=0,"Kein Verbrauch; ","")&amp;IF(CL230&gt;0,"Lift "&amp;W230&amp;" lt. Liftbericht (Fach "&amp;X230&amp;" Stk); ",IF(BX230=1,"Gebinde geschätzt ("&amp;T230&amp;"); ",IF(BW230=1,"Lose – Tablare geschätzt; ","")))&amp;IF(H230&gt;AT230,"Überbestand "&amp;ROUND(H230-AT230,0)&amp;" Stk / CHF "&amp;ROUND((H230-AT230)*G230,0)&amp;"; ","")&amp;IF(AND(CE230=1,CF230&lt;CG230),"MAX &lt; MB+LG; ","")&amp;IF(AND(CK230&gt;0,CJ230*10&gt;CK230),"zu hoch für Tablar; ","")&amp;IF(AND(BS230=0,OR(CE230=1,AA230&lt;&gt;"",U230&lt;&gt;"",V230&lt;&gt;"",AB230&lt;&gt;"")),"manuell übersteuert; ","")&amp;IF(AND(BW230=0,R230=0),"Gebinde unbekannt / Stellmass fehlt; ","")&amp;IF(AND(BW230=0,N(V230)&lt;=0,N(Q230)&lt;=0),"Menge pro Gebinde fehlt (Ist = 1 Gebinde); ","")&amp;BR230)</f>
        <v/>
      </c>
      <c r="BK230" s="48"/>
      <c r="BL230" s="48"/>
      <c r="BM230" s="55"/>
      <c r="BN230" s="50" t="n">
        <v>59</v>
      </c>
      <c r="BO230" s="50" t="n">
        <v>89</v>
      </c>
      <c r="BP230" s="49" t="n">
        <v>591.49</v>
      </c>
      <c r="BQ230" s="50" t="n">
        <v>168</v>
      </c>
      <c r="BR230" s="48"/>
      <c r="BS230" s="53" t="n">
        <v>0</v>
      </c>
      <c r="BT230" s="53" t="n">
        <v>230</v>
      </c>
      <c r="BU230" s="48" t="str">
        <f aca="false">IF(U230&lt;&gt;"",UPPER(TRIM(U230)),IF(BX230=1,UPPER(VLOOKUP(T230,Parameter!$I$27:$K$29,2,0)),IF(P230="","LOSE",P230)))</f>
        <v>S52</v>
      </c>
      <c r="BV230" s="50" t="n">
        <f aca="false">IF(BU230="LOSE",1,IF(N(V230)&gt;0,V230,IF(BX230=1,MAX(1,N(VLOOKUP(T230,Parameter!$I$27:$K$29,3,0)),H230,N(N230)),IF(N(Q230)&gt;0,Q230,MAX(1,H230)))))</f>
        <v>150</v>
      </c>
      <c r="BW230" s="53" t="n">
        <f aca="false">IF(BU230="LOSE",1,0)</f>
        <v>0</v>
      </c>
      <c r="BX230" s="53" t="n">
        <f aca="false">IF(AND(U230="",OR(P230="",P230="LOSE"),T230&lt;&gt;"",N(S230)&lt;=0,ISNUMBER(MATCH(T230,Parameter!$I$27:$I$29,0))),1,0)</f>
        <v>0</v>
      </c>
      <c r="BY230" s="53" t="n">
        <f aca="false">IF(CL230&gt;0,INDEX(Parameter!$H$5:$H$7,W230)/INDEX(Parameter!$E$5:$E$7,W230),IF(AND(BW230=0,N(IFERROR(VLOOKUP(BU230,'Gebinde-Kategorie'!$A$5:$N$45,14,0),0))&gt;0),VLOOKUP(BU230,'Gebinde-Kategorie'!$A$5:$N$45,14,0)*10+Parameter!$M$23,Parameter!$M$24))</f>
        <v>245</v>
      </c>
      <c r="BZ230" s="48" t="str">
        <f aca="false">IF(AND(Parameter!$B$19="Ja",E230&lt;&gt;"",ISNUMBER(MATCH(E230,Parameter!$I$35:$I$52,0))),VLOOKUP(E230,Parameter!$I$35:$J$52,2,0),IFERROR(VLOOKUP(D230,Parameter!$A$35:$C$64,2,0),"Nein"))</f>
        <v>2+3</v>
      </c>
      <c r="CA230" s="52" t="n">
        <f aca="false">IF(BW230=0,0,IF(N(S230)&gt;0,S230,IFERROR(VLOOKUP(D230,Parameter!$A$35:$C$64,3,0)+0,0)))</f>
        <v>0</v>
      </c>
      <c r="CB230" s="48" t="n">
        <f aca="false">IF(AA230&lt;&gt;"",AA230,Z230)</f>
        <v>3</v>
      </c>
      <c r="CC230" s="48" t="str">
        <f aca="false">IF(OR(CB230=1,CB230=2,CB230=3),IF(Parameter!$E$27="Ja","LIFT",IF(CB230=1,"L1","L23")),IF(CB230="Aussen","Aussen","-"))</f>
        <v>LIFT</v>
      </c>
      <c r="CD230" s="59" t="n">
        <f aca="false">IF(N(AB230)&gt;0,AB230,0)</f>
        <v>0</v>
      </c>
      <c r="CE230" s="53" t="n">
        <f aca="false">IF(ISNUMBER(AE230),1,0)</f>
        <v>0</v>
      </c>
      <c r="CF230" s="50" t="n">
        <f aca="false">N(AE230)</f>
        <v>0</v>
      </c>
      <c r="CG230" s="50" t="n">
        <f aca="false">N(M230)+N(N230)</f>
        <v>180</v>
      </c>
      <c r="CH230" s="50" t="n">
        <f aca="false">ROUNDUP(H230/BV230,0)</f>
        <v>1</v>
      </c>
      <c r="CI230" s="50" t="n">
        <f aca="false">ROUNDUP(CF230/BV230,0)</f>
        <v>0</v>
      </c>
      <c r="CJ230" s="53" t="n">
        <f aca="false">IF(BW230=1,0,IFERROR(VLOOKUP(BU230,'Gebinde-Kategorie'!$A$5:$N$45,5,0)+0,0))</f>
        <v>21</v>
      </c>
      <c r="CK230" s="53" t="n">
        <f aca="false">IFERROR(IF(OR(CB230=1,CB230=2,CB230=3),N(INDEX(Parameter!$I$5:$I$7,CB230)),0),0)</f>
        <v>0</v>
      </c>
      <c r="CL230" s="52" t="n">
        <f aca="false">IF(AND(Parameter!$B$21="Ja",ISNUMBER(W230),N(X230)&gt;0),IFERROR(N(INDEX(Parameter!$L$5:$L$7,W230))*INDEX(Parameter!$E$5:$E$7,W230)*X230/SUMIFS($X$7:$X$1843,$W$7:$W$1843,W230),0),0)</f>
        <v>0</v>
      </c>
    </row>
    <row r="231" customFormat="false" ht="15" hidden="false" customHeight="false" outlineLevel="0" collapsed="false">
      <c r="A231" s="48" t="s">
        <v>655</v>
      </c>
      <c r="B231" s="48" t="s">
        <v>656</v>
      </c>
      <c r="C231" s="48" t="s">
        <v>168</v>
      </c>
      <c r="D231" s="48" t="s">
        <v>177</v>
      </c>
      <c r="E231" s="48" t="s">
        <v>170</v>
      </c>
      <c r="F231" s="48" t="s">
        <v>222</v>
      </c>
      <c r="G231" s="49" t="n">
        <v>579</v>
      </c>
      <c r="H231" s="50" t="n">
        <f aca="false">MAX(0,IF(AND(Parameter!$B$21="Ja",ISNUMBER(Y231)),Y231,IF(Parameter!$B$20="Jahresanfang 2025 + Export",BO231+BN231,BN231)))</f>
        <v>1</v>
      </c>
      <c r="I231" s="50" t="n">
        <f aca="false">H231*G231</f>
        <v>579</v>
      </c>
      <c r="J231" s="50" t="n">
        <f aca="false">BQ231*Parameter!$B$18</f>
        <v>1</v>
      </c>
      <c r="K231" s="51" t="n">
        <v>0.5</v>
      </c>
      <c r="L231" s="52" t="n">
        <v>2</v>
      </c>
      <c r="M231" s="50" t="n">
        <v>0</v>
      </c>
      <c r="N231" s="50" t="n">
        <v>1</v>
      </c>
      <c r="O231" s="53" t="n">
        <v>14</v>
      </c>
      <c r="P231" s="48" t="s">
        <v>172</v>
      </c>
      <c r="Q231" s="50"/>
      <c r="R231" s="53" t="n">
        <f aca="false">IF(BW231=1,0,IFERROR(VLOOKUP(BU231,'Gebinde-Kategorie'!$A$5:$N$45,13,0)+0,0))</f>
        <v>0</v>
      </c>
      <c r="S231" s="54"/>
      <c r="T231" s="55"/>
      <c r="U231" s="55"/>
      <c r="V231" s="55"/>
      <c r="W231" s="48" t="n">
        <v>1</v>
      </c>
      <c r="X231" s="50" t="n">
        <v>1</v>
      </c>
      <c r="Y231" s="50" t="n">
        <v>1</v>
      </c>
      <c r="Z231" s="48" t="n">
        <f aca="false">IF(A231="","",IF(AND(Parameter!$B$21="Ja",ISNUMBER(W231)),W231,IF(BZ231="2+3",IF(ISNUMBER(SEARCH("grosser Artikel",BR231)),2,IFERROR(VLOOKUP(BU231,Parameter!$F$35:$G$64,2,0),2)),IF(OR(BZ231="Nein",BZ231=""),"-",BZ231))))</f>
        <v>1</v>
      </c>
      <c r="AA231" s="55"/>
      <c r="AB231" s="56"/>
      <c r="AC231" s="50" t="n">
        <f aca="false">AT231</f>
        <v>1</v>
      </c>
      <c r="AD231" s="50" t="n">
        <f aca="false">MAX(AT231,H231)</f>
        <v>1</v>
      </c>
      <c r="AE231" s="57"/>
      <c r="AF231" s="50" t="n">
        <f aca="false">IF(LEFT(Cockpit!$C$5,1)="A",H231,IF(CE231=1,CF231,IF(LEFT(Cockpit!$C$5,1)="B",AK231,MAX(AK231,H231))))</f>
        <v>1</v>
      </c>
      <c r="AG231" s="50" t="n">
        <f aca="false">IF(BW231=1,0,ROUNDUP(AF231/BV231,0))</f>
        <v>0</v>
      </c>
      <c r="AH231" s="52" t="n">
        <f aca="false">IF(CL231&gt;0,CL231*MAX(1,AF231/X231),IF(BW231=1,IF(AF231&lt;=0,0,CA231*MAX(1,IF(H231&gt;0,AF231/H231,1))),IF(R231&gt;0,AG231/R231,0))/MAX(0.1,N(Parameter!$M$21)))</f>
        <v>0.0800376647834275</v>
      </c>
      <c r="AI231" s="50" t="n">
        <f aca="false">AH231*BY231</f>
        <v>19.0489642184557</v>
      </c>
      <c r="AJ231" s="50" t="n">
        <f aca="false">AF231*G231</f>
        <v>579</v>
      </c>
      <c r="AK231" s="50" t="n">
        <f aca="false">ROUNDUP(MAX(J231/IF(CD231&gt;0,CD231,MAX(0.1,N(Cockpit!$C$6))),CG231)/BV231,0)*BV231</f>
        <v>1</v>
      </c>
      <c r="AL231" s="51" t="n">
        <f aca="false">IF(AI231&gt;0,J231/AI231,-1)</f>
        <v>0.0524962926347009</v>
      </c>
      <c r="AM231" s="51" t="n">
        <f aca="false">IF(AND(OR(CC231="L1",CC231="L23",CC231="LIFT"),AI231&gt;0),SUMIFS($AI$7:$AI$1843,$CC$7:$CC$1843,CC231,$AL$7:$AL$1843,"&gt;"&amp;AL231)+SUMIFS($AI$7:$AI$1843,$CC$7:$CC$1843,CC231,$AL$7:$AL$1843,AL231,$BT$7:$BT$1843,"&lt;="&amp;BT231),"")</f>
        <v>19045.9645262929</v>
      </c>
      <c r="AN231" s="58" t="n">
        <f aca="false">IF(AM231="",0,MAX(0,MIN(1,(IF(CC231="L1",Parameter!$H$5,IF(CC231="L23",Parameter!$H$6+Parameter!$H$7,Parameter!$H$5+Parameter!$H$6+Parameter!$H$7))-(AM231-AI231))/AI231)))</f>
        <v>1</v>
      </c>
      <c r="AO231" s="50" t="n">
        <f aca="false">IF(LEFT(Cockpit!$I$5,1)="A",H231,IF(CE231=1,CF231,IF(LEFT(Cockpit!$I$5,1)="B",AT231,MAX(AT231,H231))))</f>
        <v>1</v>
      </c>
      <c r="AP231" s="50" t="n">
        <f aca="false">IF(BW231=1,0,ROUNDUP(AO231/BV231,0))</f>
        <v>0</v>
      </c>
      <c r="AQ231" s="52" t="n">
        <f aca="false">IF(CL231&gt;0,CL231*MAX(1,AO231/X231),IF(BW231=1,IF(AO231&lt;=0,0,CA231*MAX(1,IF(H231&gt;0,AO231/H231,1))),IF(R231&gt;0,AP231/R231,0))/MAX(0.1,N(Parameter!$M$21)))</f>
        <v>0.0800376647834275</v>
      </c>
      <c r="AR231" s="50" t="n">
        <f aca="false">AQ231*BY231</f>
        <v>19.0489642184557</v>
      </c>
      <c r="AS231" s="50" t="n">
        <f aca="false">AO231*G231</f>
        <v>579</v>
      </c>
      <c r="AT231" s="50" t="n">
        <f aca="false">ROUNDUP(MAX(J231/IF(CD231&gt;0,CD231,MAX(0.1,N(Cockpit!$I$6))),CG231)/BV231,0)*BV231</f>
        <v>1</v>
      </c>
      <c r="AU231" s="51" t="n">
        <f aca="false">IF(AR231&gt;0,J231/AR231,-1)</f>
        <v>0.0524962926347009</v>
      </c>
      <c r="AV231" s="51" t="n">
        <f aca="false">IF(AND(OR(CC231="L1",CC231="L23",CC231="LIFT"),AR231&gt;0),SUMIFS($AR$7:$AR$1843,$CC$7:$CC$1843,CC231,$AU$7:$AU$1843,"&gt;"&amp;AU231)+SUMIFS($AR$7:$AR$1843,$CC$7:$CC$1843,CC231,$AU$7:$AU$1843,AU231,$BT$7:$BT$1843,"&lt;="&amp;BT231),"")</f>
        <v>29704.5221151259</v>
      </c>
      <c r="AW231" s="58" t="n">
        <f aca="false">IF(AV231="",0,MAX(0,MIN(1,(IF(CC231="L1",Parameter!$H$5,IF(CC231="L23",Parameter!$H$6+Parameter!$H$7,Parameter!$H$5+Parameter!$H$6+Parameter!$H$7))-(AV231-AR231))/AR231)))</f>
        <v>1</v>
      </c>
      <c r="AX231" s="50" t="n">
        <f aca="false">IF(LEFT(Cockpit!$O$5,1)="A",H231,IF(CE231=1,CF231,IF(LEFT(Cockpit!$O$5,1)="B",BC231,MAX(BC231,H231))))</f>
        <v>1</v>
      </c>
      <c r="AY231" s="50" t="n">
        <f aca="false">IF(BW231=1,0,ROUNDUP(AX231/BV231,0))</f>
        <v>0</v>
      </c>
      <c r="AZ231" s="52" t="n">
        <f aca="false">IF(CL231&gt;0,CL231*MAX(1,AX231/X231),IF(BW231=1,IF(AX231&lt;=0,0,CA231*MAX(1,IF(H231&gt;0,AX231/H231,1))),IF(R231&gt;0,AY231/R231,0))/MAX(0.1,N(Parameter!$M$21)))</f>
        <v>0.0800376647834275</v>
      </c>
      <c r="BA231" s="50" t="n">
        <f aca="false">AZ231*BY231</f>
        <v>19.0489642184557</v>
      </c>
      <c r="BB231" s="50" t="n">
        <f aca="false">AX231*G231</f>
        <v>579</v>
      </c>
      <c r="BC231" s="50" t="n">
        <f aca="false">ROUNDUP(MAX(J231/IF(CD231&gt;0,CD231,MAX(0.1,N(Cockpit!$O$6))),CG231)/BV231,0)*BV231</f>
        <v>1</v>
      </c>
      <c r="BD231" s="51" t="n">
        <f aca="false">IF(BA231&gt;0,J231/BA231,-1)</f>
        <v>0.0524962926347009</v>
      </c>
      <c r="BE231" s="51" t="n">
        <f aca="false">IF(AND(OR(CC231="L1",CC231="L23",CC231="LIFT"),BA231&gt;0),SUMIFS($BA$7:$BA$1843,$CC$7:$CC$1843,CC231,$BD$7:$BD$1843,"&gt;"&amp;BD231)+SUMIFS($BA$7:$BA$1843,$CC$7:$CC$1843,CC231,$BD$7:$BD$1843,BD231,$BT$7:$BT$1843,"&lt;="&amp;BT231),"")</f>
        <v>26379.5341569918</v>
      </c>
      <c r="BF231" s="58" t="n">
        <f aca="false">IF(BE231="",0,MAX(0,MIN(1,(IF(CC231="L1",Parameter!$H$5,IF(CC231="L23",Parameter!$H$6+Parameter!$H$7,Parameter!$H$5+Parameter!$H$6+Parameter!$H$7))-(BE231-BA231))/BA231)))</f>
        <v>1</v>
      </c>
      <c r="BG231" s="48" t="str">
        <f aca="false">IF(AI231&lt;=0,"",IF(CC231="Aussen","Aussenlager",IF(CC231="-","Nicht im Lift",IF(AN231&gt;=1,"Lift",IF(AN231&lt;=0,"Aussenlager","teilweise")))))</f>
        <v>Lift</v>
      </c>
      <c r="BH231" s="48" t="str">
        <f aca="false">IF(AR231&lt;=0,"",IF(CC231="Aussen","Aussenlager",IF(CC231="-","Nicht im Lift",IF(AW231&gt;=1,"Lift",IF(AW231&lt;=0,"Aussenlager","teilweise")))))</f>
        <v>Lift</v>
      </c>
      <c r="BI231" s="48" t="str">
        <f aca="false">IF(BA231&lt;=0,"",IF(CC231="Aussen","Aussenlager",IF(CC231="-","Nicht im Lift",IF(BF231&gt;=1,"Lift",IF(BF231&lt;=0,"Aussenlager","teilweise")))))</f>
        <v>Lift</v>
      </c>
      <c r="BJ231" s="48" t="str">
        <f aca="false">IF(A231="","",IF(BS231=1,"Neu; ","")&amp;IF(AND(BS231=0,BN231&lt;0),"negativer Bestand (Export "&amp;BN231&amp;"); ","")&amp;IF(J231&lt;=0,"Kein Verbrauch; ","")&amp;IF(CL231&gt;0,"Lift "&amp;W231&amp;" lt. Liftbericht (Fach "&amp;X231&amp;" Stk); ",IF(BX231=1,"Gebinde geschätzt ("&amp;T231&amp;"); ",IF(BW231=1,"Lose – Tablare geschätzt; ","")))&amp;IF(H231&gt;AT231,"Überbestand "&amp;ROUND(H231-AT231,0)&amp;" Stk / CHF "&amp;ROUND((H231-AT231)*G231,0)&amp;"; ","")&amp;IF(AND(CE231=1,CF231&lt;CG231),"MAX &lt; MB+LG; ","")&amp;IF(AND(CK231&gt;0,CJ231*10&gt;CK231),"zu hoch für Tablar; ","")&amp;IF(AND(BS231=0,OR(CE231=1,AA231&lt;&gt;"",U231&lt;&gt;"",V231&lt;&gt;"",AB231&lt;&gt;"")),"manuell übersteuert; ","")&amp;IF(AND(BW231=0,R231=0),"Gebinde unbekannt / Stellmass fehlt; ","")&amp;IF(AND(BW231=0,N(V231)&lt;=0,N(Q231)&lt;=0),"Menge pro Gebinde fehlt (Ist = 1 Gebinde); ","")&amp;BR231)</f>
        <v>Lift 1 lt. Liftbericht (Fach 1 Stk); </v>
      </c>
      <c r="BK231" s="48"/>
      <c r="BL231" s="48"/>
      <c r="BM231" s="55"/>
      <c r="BN231" s="50" t="n">
        <v>1</v>
      </c>
      <c r="BO231" s="50" t="n">
        <v>0</v>
      </c>
      <c r="BP231" s="49" t="n">
        <v>579</v>
      </c>
      <c r="BQ231" s="50" t="n">
        <v>1</v>
      </c>
      <c r="BR231" s="48"/>
      <c r="BS231" s="53" t="n">
        <v>0</v>
      </c>
      <c r="BT231" s="53" t="n">
        <v>231</v>
      </c>
      <c r="BU231" s="48" t="str">
        <f aca="false">IF(U231&lt;&gt;"",UPPER(TRIM(U231)),IF(BX231=1,UPPER(VLOOKUP(T231,Parameter!$I$27:$K$29,2,0)),IF(P231="","LOSE",P231)))</f>
        <v>LOSE</v>
      </c>
      <c r="BV231" s="50" t="n">
        <f aca="false">IF(BU231="LOSE",1,IF(N(V231)&gt;0,V231,IF(BX231=1,MAX(1,N(VLOOKUP(T231,Parameter!$I$27:$K$29,3,0)),H231,N(N231)),IF(N(Q231)&gt;0,Q231,MAX(1,H231)))))</f>
        <v>1</v>
      </c>
      <c r="BW231" s="53" t="n">
        <f aca="false">IF(BU231="LOSE",1,0)</f>
        <v>1</v>
      </c>
      <c r="BX231" s="53" t="n">
        <f aca="false">IF(AND(U231="",OR(P231="",P231="LOSE"),T231&lt;&gt;"",N(S231)&lt;=0,ISNUMBER(MATCH(T231,Parameter!$I$27:$I$29,0))),1,0)</f>
        <v>0</v>
      </c>
      <c r="BY231" s="53" t="n">
        <f aca="false">IF(CL231&gt;0,INDEX(Parameter!$H$5:$H$7,W231)/INDEX(Parameter!$E$5:$E$7,W231),IF(AND(BW231=0,N(IFERROR(VLOOKUP(BU231,'Gebinde-Kategorie'!$A$5:$N$45,14,0),0))&gt;0),VLOOKUP(BU231,'Gebinde-Kategorie'!$A$5:$N$45,14,0)*10+Parameter!$M$23,Parameter!$M$24))</f>
        <v>238</v>
      </c>
      <c r="BZ231" s="48" t="n">
        <f aca="false">IF(AND(Parameter!$B$19="Ja",E231&lt;&gt;"",ISNUMBER(MATCH(E231,Parameter!$I$35:$I$52,0))),VLOOKUP(E231,Parameter!$I$35:$J$52,2,0),IFERROR(VLOOKUP(D231,Parameter!$A$35:$C$64,2,0),"Nein"))</f>
        <v>1</v>
      </c>
      <c r="CA231" s="52" t="n">
        <f aca="false">IF(BW231=0,0,IF(N(S231)&gt;0,S231,IFERROR(VLOOKUP(D231,Parameter!$A$35:$C$64,3,0)+0,0)))</f>
        <v>0.15</v>
      </c>
      <c r="CB231" s="48" t="n">
        <f aca="false">IF(AA231&lt;&gt;"",AA231,Z231)</f>
        <v>1</v>
      </c>
      <c r="CC231" s="48" t="str">
        <f aca="false">IF(OR(CB231=1,CB231=2,CB231=3),IF(Parameter!$E$27="Ja","LIFT",IF(CB231=1,"L1","L23")),IF(CB231="Aussen","Aussen","-"))</f>
        <v>LIFT</v>
      </c>
      <c r="CD231" s="59" t="n">
        <f aca="false">IF(N(AB231)&gt;0,AB231,0)</f>
        <v>0</v>
      </c>
      <c r="CE231" s="53" t="n">
        <f aca="false">IF(ISNUMBER(AE231),1,0)</f>
        <v>0</v>
      </c>
      <c r="CF231" s="50" t="n">
        <f aca="false">N(AE231)</f>
        <v>0</v>
      </c>
      <c r="CG231" s="50" t="n">
        <f aca="false">N(M231)+N(N231)</f>
        <v>1</v>
      </c>
      <c r="CH231" s="50" t="n">
        <f aca="false">ROUNDUP(H231/BV231,0)</f>
        <v>1</v>
      </c>
      <c r="CI231" s="50" t="n">
        <f aca="false">ROUNDUP(CF231/BV231,0)</f>
        <v>0</v>
      </c>
      <c r="CJ231" s="53" t="n">
        <f aca="false">IF(BW231=1,0,IFERROR(VLOOKUP(BU231,'Gebinde-Kategorie'!$A$5:$N$45,5,0)+0,0))</f>
        <v>0</v>
      </c>
      <c r="CK231" s="53" t="n">
        <f aca="false">IFERROR(IF(OR(CB231=1,CB231=2,CB231=3),N(INDEX(Parameter!$I$5:$I$7,CB231)),0),0)</f>
        <v>0</v>
      </c>
      <c r="CL231" s="52" t="n">
        <f aca="false">IF(AND(Parameter!$B$21="Ja",ISNUMBER(W231),N(X231)&gt;0),IFERROR(N(INDEX(Parameter!$L$5:$L$7,W231))*INDEX(Parameter!$E$5:$E$7,W231)*X231/SUMIFS($X$7:$X$1843,$W$7:$W$1843,W231),0),0)</f>
        <v>0.0800376647834275</v>
      </c>
    </row>
    <row r="232" customFormat="false" ht="15" hidden="false" customHeight="false" outlineLevel="0" collapsed="false">
      <c r="A232" s="48" t="s">
        <v>657</v>
      </c>
      <c r="B232" s="48" t="s">
        <v>658</v>
      </c>
      <c r="C232" s="48" t="s">
        <v>168</v>
      </c>
      <c r="D232" s="48" t="s">
        <v>188</v>
      </c>
      <c r="E232" s="48" t="s">
        <v>189</v>
      </c>
      <c r="F232" s="48" t="s">
        <v>222</v>
      </c>
      <c r="G232" s="49" t="n">
        <v>41.32</v>
      </c>
      <c r="H232" s="50" t="n">
        <f aca="false">MAX(0,IF(AND(Parameter!$B$21="Ja",ISNUMBER(Y232)),Y232,IF(Parameter!$B$20="Jahresanfang 2025 + Export",BO232+BN232,BN232)))</f>
        <v>21</v>
      </c>
      <c r="I232" s="50" t="n">
        <f aca="false">H232*G232</f>
        <v>867.72</v>
      </c>
      <c r="J232" s="50" t="n">
        <f aca="false">BQ232*Parameter!$B$18</f>
        <v>10</v>
      </c>
      <c r="K232" s="51" t="n">
        <v>4</v>
      </c>
      <c r="L232" s="52" t="n">
        <v>2.5</v>
      </c>
      <c r="M232" s="50" t="n">
        <v>0</v>
      </c>
      <c r="N232" s="50" t="n">
        <v>10</v>
      </c>
      <c r="O232" s="53" t="n">
        <v>35</v>
      </c>
      <c r="P232" s="48" t="s">
        <v>425</v>
      </c>
      <c r="Q232" s="50" t="n">
        <v>13</v>
      </c>
      <c r="R232" s="53" t="n">
        <f aca="false">IF(BW232=1,0,IFERROR(VLOOKUP(BU232,'Gebinde-Kategorie'!$A$5:$N$45,13,0)+0,0))</f>
        <v>104</v>
      </c>
      <c r="S232" s="54"/>
      <c r="T232" s="55"/>
      <c r="U232" s="55"/>
      <c r="V232" s="55"/>
      <c r="W232" s="48"/>
      <c r="X232" s="50"/>
      <c r="Y232" s="50"/>
      <c r="Z232" s="48" t="n">
        <f aca="false">IF(A232="","",IF(AND(Parameter!$B$21="Ja",ISNUMBER(W232)),W232,IF(BZ232="2+3",IF(ISNUMBER(SEARCH("grosser Artikel",BR232)),2,IFERROR(VLOOKUP(BU232,Parameter!$F$35:$G$64,2,0),2)),IF(OR(BZ232="Nein",BZ232=""),"-",BZ232))))</f>
        <v>3</v>
      </c>
      <c r="AA232" s="55"/>
      <c r="AB232" s="56"/>
      <c r="AC232" s="50" t="n">
        <f aca="false">AT232</f>
        <v>13</v>
      </c>
      <c r="AD232" s="50" t="n">
        <f aca="false">MAX(AT232,H232)</f>
        <v>21</v>
      </c>
      <c r="AE232" s="57"/>
      <c r="AF232" s="50" t="n">
        <f aca="false">IF(LEFT(Cockpit!$C$5,1)="A",H232,IF(CE232=1,CF232,IF(LEFT(Cockpit!$C$5,1)="B",AK232,MAX(AK232,H232))))</f>
        <v>21</v>
      </c>
      <c r="AG232" s="50" t="n">
        <f aca="false">IF(BW232=1,0,ROUNDUP(AF232/BV232,0))</f>
        <v>2</v>
      </c>
      <c r="AH232" s="52" t="n">
        <f aca="false">IF(CL232&gt;0,CL232*MAX(1,AF232/X232),IF(BW232=1,IF(AF232&lt;=0,0,CA232*MAX(1,IF(H232&gt;0,AF232/H232,1))),IF(R232&gt;0,AG232/R232,0))/MAX(0.1,N(Parameter!$M$21)))</f>
        <v>0.0192307692307692</v>
      </c>
      <c r="AI232" s="50" t="n">
        <f aca="false">AH232*BY232</f>
        <v>2.98076923076923</v>
      </c>
      <c r="AJ232" s="50" t="n">
        <f aca="false">AF232*G232</f>
        <v>867.72</v>
      </c>
      <c r="AK232" s="50" t="n">
        <f aca="false">ROUNDUP(MAX(J232/IF(CD232&gt;0,CD232,MAX(0.1,N(Cockpit!$C$6))),CG232)/BV232,0)*BV232</f>
        <v>13</v>
      </c>
      <c r="AL232" s="51" t="n">
        <f aca="false">IF(AI232&gt;0,J232/AI232,-1)</f>
        <v>3.35483870967742</v>
      </c>
      <c r="AM232" s="51" t="n">
        <f aca="false">IF(AND(OR(CC232="L1",CC232="L23",CC232="LIFT"),AI232&gt;0),SUMIFS($AI$7:$AI$1843,$CC$7:$CC$1843,CC232,$AL$7:$AL$1843,"&gt;"&amp;AL232)+SUMIFS($AI$7:$AI$1843,$CC$7:$CC$1843,CC232,$AL$7:$AL$1843,AL232,$BT$7:$BT$1843,"&lt;="&amp;BT232),"")</f>
        <v>4903.42445054945</v>
      </c>
      <c r="AN232" s="58" t="n">
        <f aca="false">IF(AM232="",0,MAX(0,MIN(1,(IF(CC232="L1",Parameter!$H$5,IF(CC232="L23",Parameter!$H$6+Parameter!$H$7,Parameter!$H$5+Parameter!$H$6+Parameter!$H$7))-(AM232-AI232))/AI232)))</f>
        <v>1</v>
      </c>
      <c r="AO232" s="50" t="n">
        <f aca="false">IF(LEFT(Cockpit!$I$5,1)="A",H232,IF(CE232=1,CF232,IF(LEFT(Cockpit!$I$5,1)="B",AT232,MAX(AT232,H232))))</f>
        <v>21</v>
      </c>
      <c r="AP232" s="50" t="n">
        <f aca="false">IF(BW232=1,0,ROUNDUP(AO232/BV232,0))</f>
        <v>2</v>
      </c>
      <c r="AQ232" s="52" t="n">
        <f aca="false">IF(CL232&gt;0,CL232*MAX(1,AO232/X232),IF(BW232=1,IF(AO232&lt;=0,0,CA232*MAX(1,IF(H232&gt;0,AO232/H232,1))),IF(R232&gt;0,AP232/R232,0))/MAX(0.1,N(Parameter!$M$21)))</f>
        <v>0.0192307692307692</v>
      </c>
      <c r="AR232" s="50" t="n">
        <f aca="false">AQ232*BY232</f>
        <v>2.98076923076923</v>
      </c>
      <c r="AS232" s="50" t="n">
        <f aca="false">AO232*G232</f>
        <v>867.72</v>
      </c>
      <c r="AT232" s="50" t="n">
        <f aca="false">ROUNDUP(MAX(J232/IF(CD232&gt;0,CD232,MAX(0.1,N(Cockpit!$I$6))),CG232)/BV232,0)*BV232</f>
        <v>13</v>
      </c>
      <c r="AU232" s="51" t="n">
        <f aca="false">IF(AR232&gt;0,J232/AR232,-1)</f>
        <v>3.35483870967742</v>
      </c>
      <c r="AV232" s="51" t="n">
        <f aca="false">IF(AND(OR(CC232="L1",CC232="L23",CC232="LIFT"),AR232&gt;0),SUMIFS($AR$7:$AR$1843,$CC$7:$CC$1843,CC232,$AU$7:$AU$1843,"&gt;"&amp;AU232)+SUMIFS($AR$7:$AR$1843,$CC$7:$CC$1843,CC232,$AU$7:$AU$1843,AU232,$BT$7:$BT$1843,"&lt;="&amp;BT232),"")</f>
        <v>6002.2032967033</v>
      </c>
      <c r="AW232" s="58" t="n">
        <f aca="false">IF(AV232="",0,MAX(0,MIN(1,(IF(CC232="L1",Parameter!$H$5,IF(CC232="L23",Parameter!$H$6+Parameter!$H$7,Parameter!$H$5+Parameter!$H$6+Parameter!$H$7))-(AV232-AR232))/AR232)))</f>
        <v>1</v>
      </c>
      <c r="AX232" s="50" t="n">
        <f aca="false">IF(LEFT(Cockpit!$O$5,1)="A",H232,IF(CE232=1,CF232,IF(LEFT(Cockpit!$O$5,1)="B",BC232,MAX(BC232,H232))))</f>
        <v>21</v>
      </c>
      <c r="AY232" s="50" t="n">
        <f aca="false">IF(BW232=1,0,ROUNDUP(AX232/BV232,0))</f>
        <v>2</v>
      </c>
      <c r="AZ232" s="52" t="n">
        <f aca="false">IF(CL232&gt;0,CL232*MAX(1,AX232/X232),IF(BW232=1,IF(AX232&lt;=0,0,CA232*MAX(1,IF(H232&gt;0,AX232/H232,1))),IF(R232&gt;0,AY232/R232,0))/MAX(0.1,N(Parameter!$M$21)))</f>
        <v>0.0192307692307692</v>
      </c>
      <c r="BA232" s="50" t="n">
        <f aca="false">AZ232*BY232</f>
        <v>2.98076923076923</v>
      </c>
      <c r="BB232" s="50" t="n">
        <f aca="false">AX232*G232</f>
        <v>867.72</v>
      </c>
      <c r="BC232" s="50" t="n">
        <f aca="false">ROUNDUP(MAX(J232/IF(CD232&gt;0,CD232,MAX(0.1,N(Cockpit!$O$6))),CG232)/BV232,0)*BV232</f>
        <v>13</v>
      </c>
      <c r="BD232" s="51" t="n">
        <f aca="false">IF(BA232&gt;0,J232/BA232,-1)</f>
        <v>3.35483870967742</v>
      </c>
      <c r="BE232" s="51" t="n">
        <f aca="false">IF(AND(OR(CC232="L1",CC232="L23",CC232="LIFT"),BA232&gt;0),SUMIFS($BA$7:$BA$1843,$CC$7:$CC$1843,CC232,$BD$7:$BD$1843,"&gt;"&amp;BD232)+SUMIFS($BA$7:$BA$1843,$CC$7:$CC$1843,CC232,$BD$7:$BD$1843,BD232,$BT$7:$BT$1843,"&lt;="&amp;BT232),"")</f>
        <v>5990.03983516484</v>
      </c>
      <c r="BF232" s="58" t="n">
        <f aca="false">IF(BE232="",0,MAX(0,MIN(1,(IF(CC232="L1",Parameter!$H$5,IF(CC232="L23",Parameter!$H$6+Parameter!$H$7,Parameter!$H$5+Parameter!$H$6+Parameter!$H$7))-(BE232-BA232))/BA232)))</f>
        <v>1</v>
      </c>
      <c r="BG232" s="48" t="str">
        <f aca="false">IF(AI232&lt;=0,"",IF(CC232="Aussen","Aussenlager",IF(CC232="-","Nicht im Lift",IF(AN232&gt;=1,"Lift",IF(AN232&lt;=0,"Aussenlager","teilweise")))))</f>
        <v>Lift</v>
      </c>
      <c r="BH232" s="48" t="str">
        <f aca="false">IF(AR232&lt;=0,"",IF(CC232="Aussen","Aussenlager",IF(CC232="-","Nicht im Lift",IF(AW232&gt;=1,"Lift",IF(AW232&lt;=0,"Aussenlager","teilweise")))))</f>
        <v>Lift</v>
      </c>
      <c r="BI232" s="48" t="str">
        <f aca="false">IF(BA232&lt;=0,"",IF(CC232="Aussen","Aussenlager",IF(CC232="-","Nicht im Lift",IF(BF232&gt;=1,"Lift",IF(BF232&lt;=0,"Aussenlager","teilweise")))))</f>
        <v>Lift</v>
      </c>
      <c r="BJ232" s="48" t="str">
        <f aca="false">IF(A232="","",IF(BS232=1,"Neu; ","")&amp;IF(AND(BS232=0,BN232&lt;0),"negativer Bestand (Export "&amp;BN232&amp;"); ","")&amp;IF(J232&lt;=0,"Kein Verbrauch; ","")&amp;IF(CL232&gt;0,"Lift "&amp;W232&amp;" lt. Liftbericht (Fach "&amp;X232&amp;" Stk); ",IF(BX232=1,"Gebinde geschätzt ("&amp;T232&amp;"); ",IF(BW232=1,"Lose – Tablare geschätzt; ","")))&amp;IF(H232&gt;AT232,"Überbestand "&amp;ROUND(H232-AT232,0)&amp;" Stk / CHF "&amp;ROUND((H232-AT232)*G232,0)&amp;"; ","")&amp;IF(AND(CE232=1,CF232&lt;CG232),"MAX &lt; MB+LG; ","")&amp;IF(AND(CK232&gt;0,CJ232*10&gt;CK232),"zu hoch für Tablar; ","")&amp;IF(AND(BS232=0,OR(CE232=1,AA232&lt;&gt;"",U232&lt;&gt;"",V232&lt;&gt;"",AB232&lt;&gt;"")),"manuell übersteuert; ","")&amp;IF(AND(BW232=0,R232=0),"Gebinde unbekannt / Stellmass fehlt; ","")&amp;IF(AND(BW232=0,N(V232)&lt;=0,N(Q232)&lt;=0),"Menge pro Gebinde fehlt (Ist = 1 Gebinde); ","")&amp;BR232)</f>
        <v>Überbestand 8 Stk / CHF 331; </v>
      </c>
      <c r="BK232" s="48"/>
      <c r="BL232" s="48"/>
      <c r="BM232" s="55"/>
      <c r="BN232" s="50" t="n">
        <v>17</v>
      </c>
      <c r="BO232" s="50" t="n">
        <v>4</v>
      </c>
      <c r="BP232" s="49" t="n">
        <v>578.4</v>
      </c>
      <c r="BQ232" s="50" t="n">
        <v>10</v>
      </c>
      <c r="BR232" s="48"/>
      <c r="BS232" s="53" t="n">
        <v>0</v>
      </c>
      <c r="BT232" s="53" t="n">
        <v>232</v>
      </c>
      <c r="BU232" s="48" t="str">
        <f aca="false">IF(U232&lt;&gt;"",UPPER(TRIM(U232)),IF(BX232=1,UPPER(VLOOKUP(T232,Parameter!$I$27:$K$29,2,0)),IF(P232="","LOSE",P232)))</f>
        <v>S32</v>
      </c>
      <c r="BV232" s="50" t="n">
        <f aca="false">IF(BU232="LOSE",1,IF(N(V232)&gt;0,V232,IF(BX232=1,MAX(1,N(VLOOKUP(T232,Parameter!$I$27:$K$29,3,0)),H232,N(N232)),IF(N(Q232)&gt;0,Q232,MAX(1,H232)))))</f>
        <v>13</v>
      </c>
      <c r="BW232" s="53" t="n">
        <f aca="false">IF(BU232="LOSE",1,0)</f>
        <v>0</v>
      </c>
      <c r="BX232" s="53" t="n">
        <f aca="false">IF(AND(U232="",OR(P232="",P232="LOSE"),T232&lt;&gt;"",N(S232)&lt;=0,ISNUMBER(MATCH(T232,Parameter!$I$27:$I$29,0))),1,0)</f>
        <v>0</v>
      </c>
      <c r="BY232" s="53" t="n">
        <f aca="false">IF(CL232&gt;0,INDEX(Parameter!$H$5:$H$7,W232)/INDEX(Parameter!$E$5:$E$7,W232),IF(AND(BW232=0,N(IFERROR(VLOOKUP(BU232,'Gebinde-Kategorie'!$A$5:$N$45,14,0),0))&gt;0),VLOOKUP(BU232,'Gebinde-Kategorie'!$A$5:$N$45,14,0)*10+Parameter!$M$23,Parameter!$M$24))</f>
        <v>155</v>
      </c>
      <c r="BZ232" s="48" t="str">
        <f aca="false">IF(AND(Parameter!$B$19="Ja",E232&lt;&gt;"",ISNUMBER(MATCH(E232,Parameter!$I$35:$I$52,0))),VLOOKUP(E232,Parameter!$I$35:$J$52,2,0),IFERROR(VLOOKUP(D232,Parameter!$A$35:$C$64,2,0),"Nein"))</f>
        <v>2+3</v>
      </c>
      <c r="CA232" s="52" t="n">
        <f aca="false">IF(BW232=0,0,IF(N(S232)&gt;0,S232,IFERROR(VLOOKUP(D232,Parameter!$A$35:$C$64,3,0)+0,0)))</f>
        <v>0</v>
      </c>
      <c r="CB232" s="48" t="n">
        <f aca="false">IF(AA232&lt;&gt;"",AA232,Z232)</f>
        <v>3</v>
      </c>
      <c r="CC232" s="48" t="str">
        <f aca="false">IF(OR(CB232=1,CB232=2,CB232=3),IF(Parameter!$E$27="Ja","LIFT",IF(CB232=1,"L1","L23")),IF(CB232="Aussen","Aussen","-"))</f>
        <v>LIFT</v>
      </c>
      <c r="CD232" s="59" t="n">
        <f aca="false">IF(N(AB232)&gt;0,AB232,0)</f>
        <v>0</v>
      </c>
      <c r="CE232" s="53" t="n">
        <f aca="false">IF(ISNUMBER(AE232),1,0)</f>
        <v>0</v>
      </c>
      <c r="CF232" s="50" t="n">
        <f aca="false">N(AE232)</f>
        <v>0</v>
      </c>
      <c r="CG232" s="50" t="n">
        <f aca="false">N(M232)+N(N232)</f>
        <v>10</v>
      </c>
      <c r="CH232" s="50" t="n">
        <f aca="false">ROUNDUP(H232/BV232,0)</f>
        <v>2</v>
      </c>
      <c r="CI232" s="50" t="n">
        <f aca="false">ROUNDUP(CF232/BV232,0)</f>
        <v>0</v>
      </c>
      <c r="CJ232" s="53" t="n">
        <f aca="false">IF(BW232=1,0,IFERROR(VLOOKUP(BU232,'Gebinde-Kategorie'!$A$5:$N$45,5,0)+0,0))</f>
        <v>8</v>
      </c>
      <c r="CK232" s="53" t="n">
        <f aca="false">IFERROR(IF(OR(CB232=1,CB232=2,CB232=3),N(INDEX(Parameter!$I$5:$I$7,CB232)),0),0)</f>
        <v>0</v>
      </c>
      <c r="CL232" s="52" t="n">
        <f aca="false">IF(AND(Parameter!$B$21="Ja",ISNUMBER(W232),N(X232)&gt;0),IFERROR(N(INDEX(Parameter!$L$5:$L$7,W232))*INDEX(Parameter!$E$5:$E$7,W232)*X232/SUMIFS($X$7:$X$1843,$W$7:$W$1843,W232),0),0)</f>
        <v>0</v>
      </c>
    </row>
    <row r="233" customFormat="false" ht="15" hidden="false" customHeight="false" outlineLevel="0" collapsed="false">
      <c r="A233" s="48" t="s">
        <v>659</v>
      </c>
      <c r="B233" s="48" t="s">
        <v>660</v>
      </c>
      <c r="C233" s="48" t="s">
        <v>168</v>
      </c>
      <c r="D233" s="48" t="s">
        <v>177</v>
      </c>
      <c r="E233" s="48"/>
      <c r="F233" s="48" t="s">
        <v>222</v>
      </c>
      <c r="G233" s="49" t="n">
        <v>533.7</v>
      </c>
      <c r="H233" s="50" t="n">
        <f aca="false">MAX(0,IF(AND(Parameter!$B$21="Ja",ISNUMBER(Y233)),Y233,IF(Parameter!$B$20="Jahresanfang 2025 + Export",BO233+BN233,BN233)))</f>
        <v>2</v>
      </c>
      <c r="I233" s="50" t="n">
        <f aca="false">H233*G233</f>
        <v>1067.4</v>
      </c>
      <c r="J233" s="50" t="n">
        <f aca="false">BQ233*Parameter!$B$18</f>
        <v>0</v>
      </c>
      <c r="K233" s="51" t="n">
        <v>1</v>
      </c>
      <c r="L233" s="52" t="n">
        <v>0</v>
      </c>
      <c r="M233" s="50" t="n">
        <v>0</v>
      </c>
      <c r="N233" s="50" t="n">
        <v>1</v>
      </c>
      <c r="O233" s="53" t="n">
        <v>28</v>
      </c>
      <c r="P233" s="48" t="s">
        <v>172</v>
      </c>
      <c r="Q233" s="50"/>
      <c r="R233" s="53" t="n">
        <f aca="false">IF(BW233=1,0,IFERROR(VLOOKUP(BU233,'Gebinde-Kategorie'!$A$5:$N$45,13,0)+0,0))</f>
        <v>12</v>
      </c>
      <c r="S233" s="54"/>
      <c r="T233" s="55" t="s">
        <v>183</v>
      </c>
      <c r="U233" s="55"/>
      <c r="V233" s="55"/>
      <c r="W233" s="48"/>
      <c r="X233" s="50"/>
      <c r="Y233" s="50"/>
      <c r="Z233" s="48" t="n">
        <f aca="false">IF(A233="","",IF(AND(Parameter!$B$21="Ja",ISNUMBER(W233)),W233,IF(BZ233="2+3",IF(ISNUMBER(SEARCH("grosser Artikel",BR233)),2,IFERROR(VLOOKUP(BU233,Parameter!$F$35:$G$64,2,0),2)),IF(OR(BZ233="Nein",BZ233=""),"-",BZ233))))</f>
        <v>2</v>
      </c>
      <c r="AA233" s="55"/>
      <c r="AB233" s="56"/>
      <c r="AC233" s="50" t="n">
        <f aca="false">AT233</f>
        <v>4</v>
      </c>
      <c r="AD233" s="50" t="n">
        <f aca="false">MAX(AT233,H233)</f>
        <v>4</v>
      </c>
      <c r="AE233" s="57"/>
      <c r="AF233" s="50" t="n">
        <f aca="false">IF(LEFT(Cockpit!$C$5,1)="A",H233,IF(CE233=1,CF233,IF(LEFT(Cockpit!$C$5,1)="B",AK233,MAX(AK233,H233))))</f>
        <v>2</v>
      </c>
      <c r="AG233" s="50" t="n">
        <f aca="false">IF(BW233=1,0,ROUNDUP(AF233/BV233,0))</f>
        <v>1</v>
      </c>
      <c r="AH233" s="52" t="n">
        <f aca="false">IF(CL233&gt;0,CL233*MAX(1,AF233/X233),IF(BW233=1,IF(AF233&lt;=0,0,CA233*MAX(1,IF(H233&gt;0,AF233/H233,1))),IF(R233&gt;0,AG233/R233,0))/MAX(0.1,N(Parameter!$M$21)))</f>
        <v>0.0833333333333333</v>
      </c>
      <c r="AI233" s="50" t="n">
        <f aca="false">AH233*BY233</f>
        <v>12.0833333333333</v>
      </c>
      <c r="AJ233" s="50" t="n">
        <f aca="false">AF233*G233</f>
        <v>1067.4</v>
      </c>
      <c r="AK233" s="50" t="n">
        <f aca="false">ROUNDUP(MAX(J233/IF(CD233&gt;0,CD233,MAX(0.1,N(Cockpit!$C$6))),CG233)/BV233,0)*BV233</f>
        <v>4</v>
      </c>
      <c r="AL233" s="51" t="n">
        <f aca="false">IF(AI233&gt;0,J233/AI233,-1)</f>
        <v>0</v>
      </c>
      <c r="AM233" s="51" t="n">
        <f aca="false">IF(AND(OR(CC233="L1",CC233="L23",CC233="LIFT"),AI233&gt;0),SUMIFS($AI$7:$AI$1843,$CC$7:$CC$1843,CC233,$AL$7:$AL$1843,"&gt;"&amp;AL233)+SUMIFS($AI$7:$AI$1843,$CC$7:$CC$1843,CC233,$AL$7:$AL$1843,AL233,$BT$7:$BT$1843,"&lt;="&amp;BT233),"")</f>
        <v>27633.4722377434</v>
      </c>
      <c r="AN233" s="58" t="n">
        <f aca="false">IF(AM233="",0,MAX(0,MIN(1,(IF(CC233="L1",Parameter!$H$5,IF(CC233="L23",Parameter!$H$6+Parameter!$H$7,Parameter!$H$5+Parameter!$H$6+Parameter!$H$7))-(AM233-AI233))/AI233)))</f>
        <v>1</v>
      </c>
      <c r="AO233" s="50" t="n">
        <f aca="false">IF(LEFT(Cockpit!$I$5,1)="A",H233,IF(CE233=1,CF233,IF(LEFT(Cockpit!$I$5,1)="B",AT233,MAX(AT233,H233))))</f>
        <v>4</v>
      </c>
      <c r="AP233" s="50" t="n">
        <f aca="false">IF(BW233=1,0,ROUNDUP(AO233/BV233,0))</f>
        <v>1</v>
      </c>
      <c r="AQ233" s="52" t="n">
        <f aca="false">IF(CL233&gt;0,CL233*MAX(1,AO233/X233),IF(BW233=1,IF(AO233&lt;=0,0,CA233*MAX(1,IF(H233&gt;0,AO233/H233,1))),IF(R233&gt;0,AP233/R233,0))/MAX(0.1,N(Parameter!$M$21)))</f>
        <v>0.0833333333333333</v>
      </c>
      <c r="AR233" s="50" t="n">
        <f aca="false">AQ233*BY233</f>
        <v>12.0833333333333</v>
      </c>
      <c r="AS233" s="50" t="n">
        <f aca="false">AO233*G233</f>
        <v>2134.8</v>
      </c>
      <c r="AT233" s="50" t="n">
        <f aca="false">ROUNDUP(MAX(J233/IF(CD233&gt;0,CD233,MAX(0.1,N(Cockpit!$I$6))),CG233)/BV233,0)*BV233</f>
        <v>4</v>
      </c>
      <c r="AU233" s="51" t="n">
        <f aca="false">IF(AR233&gt;0,J233/AR233,-1)</f>
        <v>0</v>
      </c>
      <c r="AV233" s="51" t="n">
        <f aca="false">IF(AND(OR(CC233="L1",CC233="L23",CC233="LIFT"),AR233&gt;0),SUMIFS($AR$7:$AR$1843,$CC$7:$CC$1843,CC233,$AU$7:$AU$1843,"&gt;"&amp;AU233)+SUMIFS($AR$7:$AR$1843,$CC$7:$CC$1843,CC233,$AU$7:$AU$1843,AU233,$BT$7:$BT$1843,"&lt;="&amp;BT233),"")</f>
        <v>38946.3777550134</v>
      </c>
      <c r="AW233" s="58" t="n">
        <f aca="false">IF(AV233="",0,MAX(0,MIN(1,(IF(CC233="L1",Parameter!$H$5,IF(CC233="L23",Parameter!$H$6+Parameter!$H$7,Parameter!$H$5+Parameter!$H$6+Parameter!$H$7))-(AV233-AR233))/AR233)))</f>
        <v>0</v>
      </c>
      <c r="AX233" s="50" t="n">
        <f aca="false">IF(LEFT(Cockpit!$O$5,1)="A",H233,IF(CE233=1,CF233,IF(LEFT(Cockpit!$O$5,1)="B",BC233,MAX(BC233,H233))))</f>
        <v>4</v>
      </c>
      <c r="AY233" s="50" t="n">
        <f aca="false">IF(BW233=1,0,ROUNDUP(AX233/BV233,0))</f>
        <v>1</v>
      </c>
      <c r="AZ233" s="52" t="n">
        <f aca="false">IF(CL233&gt;0,CL233*MAX(1,AX233/X233),IF(BW233=1,IF(AX233&lt;=0,0,CA233*MAX(1,IF(H233&gt;0,AX233/H233,1))),IF(R233&gt;0,AY233/R233,0))/MAX(0.1,N(Parameter!$M$21)))</f>
        <v>0.0833333333333333</v>
      </c>
      <c r="BA233" s="50" t="n">
        <f aca="false">AZ233*BY233</f>
        <v>12.0833333333333</v>
      </c>
      <c r="BB233" s="50" t="n">
        <f aca="false">AX233*G233</f>
        <v>2134.8</v>
      </c>
      <c r="BC233" s="50" t="n">
        <f aca="false">ROUNDUP(MAX(J233/IF(CD233&gt;0,CD233,MAX(0.1,N(Cockpit!$O$6))),CG233)/BV233,0)*BV233</f>
        <v>4</v>
      </c>
      <c r="BD233" s="51" t="n">
        <f aca="false">IF(BA233&gt;0,J233/BA233,-1)</f>
        <v>0</v>
      </c>
      <c r="BE233" s="51" t="n">
        <f aca="false">IF(AND(OR(CC233="L1",CC233="L23",CC233="LIFT"),BA233&gt;0),SUMIFS($BA$7:$BA$1843,$CC$7:$CC$1843,CC233,$BD$7:$BD$1843,"&gt;"&amp;BD233)+SUMIFS($BA$7:$BA$1843,$CC$7:$CC$1843,CC233,$BD$7:$BD$1843,BD233,$BT$7:$BT$1843,"&lt;="&amp;BT233),"")</f>
        <v>35621.3897968792</v>
      </c>
      <c r="BF233" s="58" t="n">
        <f aca="false">IF(BE233="",0,MAX(0,MIN(1,(IF(CC233="L1",Parameter!$H$5,IF(CC233="L23",Parameter!$H$6+Parameter!$H$7,Parameter!$H$5+Parameter!$H$6+Parameter!$H$7))-(BE233-BA233))/BA233)))</f>
        <v>1</v>
      </c>
      <c r="BG233" s="48" t="str">
        <f aca="false">IF(AI233&lt;=0,"",IF(CC233="Aussen","Aussenlager",IF(CC233="-","Nicht im Lift",IF(AN233&gt;=1,"Lift",IF(AN233&lt;=0,"Aussenlager","teilweise")))))</f>
        <v>Lift</v>
      </c>
      <c r="BH233" s="48" t="str">
        <f aca="false">IF(AR233&lt;=0,"",IF(CC233="Aussen","Aussenlager",IF(CC233="-","Nicht im Lift",IF(AW233&gt;=1,"Lift",IF(AW233&lt;=0,"Aussenlager","teilweise")))))</f>
        <v>Aussenlager</v>
      </c>
      <c r="BI233" s="48" t="str">
        <f aca="false">IF(BA233&lt;=0,"",IF(CC233="Aussen","Aussenlager",IF(CC233="-","Nicht im Lift",IF(BF233&gt;=1,"Lift",IF(BF233&lt;=0,"Aussenlager","teilweise")))))</f>
        <v>Lift</v>
      </c>
      <c r="BJ233" s="48" t="str">
        <f aca="false">IF(A233="","",IF(BS233=1,"Neu; ","")&amp;IF(AND(BS233=0,BN233&lt;0),"negativer Bestand (Export "&amp;BN233&amp;"); ","")&amp;IF(J233&lt;=0,"Kein Verbrauch; ","")&amp;IF(CL233&gt;0,"Lift "&amp;W233&amp;" lt. Liftbericht (Fach "&amp;X233&amp;" Stk); ",IF(BX233=1,"Gebinde geschätzt ("&amp;T233&amp;"); ",IF(BW233=1,"Lose – Tablare geschätzt; ","")))&amp;IF(H233&gt;AT233,"Überbestand "&amp;ROUND(H233-AT233,0)&amp;" Stk / CHF "&amp;ROUND((H233-AT233)*G233,0)&amp;"; ","")&amp;IF(AND(CE233=1,CF233&lt;CG233),"MAX &lt; MB+LG; ","")&amp;IF(AND(CK233&gt;0,CJ233*10&gt;CK233),"zu hoch für Tablar; ","")&amp;IF(AND(BS233=0,OR(CE233=1,AA233&lt;&gt;"",U233&lt;&gt;"",V233&lt;&gt;"",AB233&lt;&gt;"")),"manuell übersteuert; ","")&amp;IF(AND(BW233=0,R233=0),"Gebinde unbekannt / Stellmass fehlt; ","")&amp;IF(AND(BW233=0,N(V233)&lt;=0,N(Q233)&lt;=0),"Menge pro Gebinde fehlt (Ist = 1 Gebinde); ","")&amp;BR233)</f>
        <v>Kein Verbrauch; Gebinde geschätzt (Mittel); Menge pro Gebinde fehlt (Ist = 1 Gebinde); </v>
      </c>
      <c r="BK233" s="48"/>
      <c r="BL233" s="48"/>
      <c r="BM233" s="55"/>
      <c r="BN233" s="50" t="n">
        <v>1</v>
      </c>
      <c r="BO233" s="50" t="n">
        <v>1</v>
      </c>
      <c r="BP233" s="49" t="n">
        <v>576.9</v>
      </c>
      <c r="BQ233" s="50" t="n">
        <v>0</v>
      </c>
      <c r="BR233" s="48"/>
      <c r="BS233" s="53" t="n">
        <v>0</v>
      </c>
      <c r="BT233" s="53" t="n">
        <v>233</v>
      </c>
      <c r="BU233" s="48" t="str">
        <f aca="false">IF(U233&lt;&gt;"",UPPER(TRIM(U233)),IF(BX233=1,UPPER(VLOOKUP(T233,Parameter!$I$27:$K$29,2,0)),IF(P233="","LOSE",P233)))</f>
        <v>S61</v>
      </c>
      <c r="BV233" s="50" t="n">
        <f aca="false">IF(BU233="LOSE",1,IF(N(V233)&gt;0,V233,IF(BX233=1,MAX(1,N(VLOOKUP(T233,Parameter!$I$27:$K$29,3,0)),H233,N(N233)),IF(N(Q233)&gt;0,Q233,MAX(1,H233)))))</f>
        <v>4</v>
      </c>
      <c r="BW233" s="53" t="n">
        <f aca="false">IF(BU233="LOSE",1,0)</f>
        <v>0</v>
      </c>
      <c r="BX233" s="53" t="n">
        <f aca="false">IF(AND(U233="",OR(P233="",P233="LOSE"),T233&lt;&gt;"",N(S233)&lt;=0,ISNUMBER(MATCH(T233,Parameter!$I$27:$I$29,0))),1,0)</f>
        <v>1</v>
      </c>
      <c r="BY233" s="53" t="n">
        <f aca="false">IF(CL233&gt;0,INDEX(Parameter!$H$5:$H$7,W233)/INDEX(Parameter!$E$5:$E$7,W233),IF(AND(BW233=0,N(IFERROR(VLOOKUP(BU233,'Gebinde-Kategorie'!$A$5:$N$45,14,0),0))&gt;0),VLOOKUP(BU233,'Gebinde-Kategorie'!$A$5:$N$45,14,0)*10+Parameter!$M$23,Parameter!$M$24))</f>
        <v>145</v>
      </c>
      <c r="BZ233" s="48" t="str">
        <f aca="false">IF(AND(Parameter!$B$19="Ja",E233&lt;&gt;"",ISNUMBER(MATCH(E233,Parameter!$I$35:$I$52,0))),VLOOKUP(E233,Parameter!$I$35:$J$52,2,0),IFERROR(VLOOKUP(D233,Parameter!$A$35:$C$64,2,0),"Nein"))</f>
        <v>2+3</v>
      </c>
      <c r="CA233" s="52" t="n">
        <f aca="false">IF(BW233=0,0,IF(N(S233)&gt;0,S233,IFERROR(VLOOKUP(D233,Parameter!$A$35:$C$64,3,0)+0,0)))</f>
        <v>0</v>
      </c>
      <c r="CB233" s="48" t="n">
        <f aca="false">IF(AA233&lt;&gt;"",AA233,Z233)</f>
        <v>2</v>
      </c>
      <c r="CC233" s="48" t="str">
        <f aca="false">IF(OR(CB233=1,CB233=2,CB233=3),IF(Parameter!$E$27="Ja","LIFT",IF(CB233=1,"L1","L23")),IF(CB233="Aussen","Aussen","-"))</f>
        <v>LIFT</v>
      </c>
      <c r="CD233" s="59" t="n">
        <f aca="false">IF(N(AB233)&gt;0,AB233,0)</f>
        <v>0</v>
      </c>
      <c r="CE233" s="53" t="n">
        <f aca="false">IF(ISNUMBER(AE233),1,0)</f>
        <v>0</v>
      </c>
      <c r="CF233" s="50" t="n">
        <f aca="false">N(AE233)</f>
        <v>0</v>
      </c>
      <c r="CG233" s="50" t="n">
        <f aca="false">N(M233)+N(N233)</f>
        <v>1</v>
      </c>
      <c r="CH233" s="50" t="n">
        <f aca="false">ROUNDUP(H233/BV233,0)</f>
        <v>1</v>
      </c>
      <c r="CI233" s="50" t="n">
        <f aca="false">ROUNDUP(CF233/BV233,0)</f>
        <v>0</v>
      </c>
      <c r="CJ233" s="53" t="n">
        <f aca="false">IF(BW233=1,0,IFERROR(VLOOKUP(BU233,'Gebinde-Kategorie'!$A$5:$N$45,5,0)+0,0))</f>
        <v>11</v>
      </c>
      <c r="CK233" s="53" t="n">
        <f aca="false">IFERROR(IF(OR(CB233=1,CB233=2,CB233=3),N(INDEX(Parameter!$I$5:$I$7,CB233)),0),0)</f>
        <v>0</v>
      </c>
      <c r="CL233" s="52" t="n">
        <f aca="false">IF(AND(Parameter!$B$21="Ja",ISNUMBER(W233),N(X233)&gt;0),IFERROR(N(INDEX(Parameter!$L$5:$L$7,W233))*INDEX(Parameter!$E$5:$E$7,W233)*X233/SUMIFS($X$7:$X$1843,$W$7:$W$1843,W233),0),0)</f>
        <v>0</v>
      </c>
    </row>
    <row r="234" customFormat="false" ht="15" hidden="false" customHeight="false" outlineLevel="0" collapsed="false">
      <c r="A234" s="48" t="s">
        <v>661</v>
      </c>
      <c r="B234" s="48" t="s">
        <v>662</v>
      </c>
      <c r="C234" s="48" t="s">
        <v>168</v>
      </c>
      <c r="D234" s="48" t="s">
        <v>177</v>
      </c>
      <c r="E234" s="48"/>
      <c r="F234" s="48" t="s">
        <v>222</v>
      </c>
      <c r="G234" s="49" t="n">
        <v>533.7</v>
      </c>
      <c r="H234" s="50" t="n">
        <f aca="false">MAX(0,IF(AND(Parameter!$B$21="Ja",ISNUMBER(Y234)),Y234,IF(Parameter!$B$20="Jahresanfang 2025 + Export",BO234+BN234,BN234)))</f>
        <v>2</v>
      </c>
      <c r="I234" s="50" t="n">
        <f aca="false">H234*G234</f>
        <v>1067.4</v>
      </c>
      <c r="J234" s="50" t="n">
        <f aca="false">BQ234*Parameter!$B$18</f>
        <v>0</v>
      </c>
      <c r="K234" s="51" t="n">
        <v>1</v>
      </c>
      <c r="L234" s="52" t="n">
        <v>0</v>
      </c>
      <c r="M234" s="50" t="n">
        <v>0</v>
      </c>
      <c r="N234" s="50" t="n">
        <v>1</v>
      </c>
      <c r="O234" s="53" t="n">
        <v>28</v>
      </c>
      <c r="P234" s="48" t="s">
        <v>172</v>
      </c>
      <c r="Q234" s="50"/>
      <c r="R234" s="53" t="n">
        <f aca="false">IF(BW234=1,0,IFERROR(VLOOKUP(BU234,'Gebinde-Kategorie'!$A$5:$N$45,13,0)+0,0))</f>
        <v>12</v>
      </c>
      <c r="S234" s="54"/>
      <c r="T234" s="55" t="s">
        <v>183</v>
      </c>
      <c r="U234" s="55"/>
      <c r="V234" s="55"/>
      <c r="W234" s="48"/>
      <c r="X234" s="50"/>
      <c r="Y234" s="50"/>
      <c r="Z234" s="48" t="n">
        <f aca="false">IF(A234="","",IF(AND(Parameter!$B$21="Ja",ISNUMBER(W234)),W234,IF(BZ234="2+3",IF(ISNUMBER(SEARCH("grosser Artikel",BR234)),2,IFERROR(VLOOKUP(BU234,Parameter!$F$35:$G$64,2,0),2)),IF(OR(BZ234="Nein",BZ234=""),"-",BZ234))))</f>
        <v>2</v>
      </c>
      <c r="AA234" s="55"/>
      <c r="AB234" s="56"/>
      <c r="AC234" s="50" t="n">
        <f aca="false">AT234</f>
        <v>4</v>
      </c>
      <c r="AD234" s="50" t="n">
        <f aca="false">MAX(AT234,H234)</f>
        <v>4</v>
      </c>
      <c r="AE234" s="57"/>
      <c r="AF234" s="50" t="n">
        <f aca="false">IF(LEFT(Cockpit!$C$5,1)="A",H234,IF(CE234=1,CF234,IF(LEFT(Cockpit!$C$5,1)="B",AK234,MAX(AK234,H234))))</f>
        <v>2</v>
      </c>
      <c r="AG234" s="50" t="n">
        <f aca="false">IF(BW234=1,0,ROUNDUP(AF234/BV234,0))</f>
        <v>1</v>
      </c>
      <c r="AH234" s="52" t="n">
        <f aca="false">IF(CL234&gt;0,CL234*MAX(1,AF234/X234),IF(BW234=1,IF(AF234&lt;=0,0,CA234*MAX(1,IF(H234&gt;0,AF234/H234,1))),IF(R234&gt;0,AG234/R234,0))/MAX(0.1,N(Parameter!$M$21)))</f>
        <v>0.0833333333333333</v>
      </c>
      <c r="AI234" s="50" t="n">
        <f aca="false">AH234*BY234</f>
        <v>12.0833333333333</v>
      </c>
      <c r="AJ234" s="50" t="n">
        <f aca="false">AF234*G234</f>
        <v>1067.4</v>
      </c>
      <c r="AK234" s="50" t="n">
        <f aca="false">ROUNDUP(MAX(J234/IF(CD234&gt;0,CD234,MAX(0.1,N(Cockpit!$C$6))),CG234)/BV234,0)*BV234</f>
        <v>4</v>
      </c>
      <c r="AL234" s="51" t="n">
        <f aca="false">IF(AI234&gt;0,J234/AI234,-1)</f>
        <v>0</v>
      </c>
      <c r="AM234" s="51" t="n">
        <f aca="false">IF(AND(OR(CC234="L1",CC234="L23",CC234="LIFT"),AI234&gt;0),SUMIFS($AI$7:$AI$1843,$CC$7:$CC$1843,CC234,$AL$7:$AL$1843,"&gt;"&amp;AL234)+SUMIFS($AI$7:$AI$1843,$CC$7:$CC$1843,CC234,$AL$7:$AL$1843,AL234,$BT$7:$BT$1843,"&lt;="&amp;BT234),"")</f>
        <v>27645.5555710768</v>
      </c>
      <c r="AN234" s="58" t="n">
        <f aca="false">IF(AM234="",0,MAX(0,MIN(1,(IF(CC234="L1",Parameter!$H$5,IF(CC234="L23",Parameter!$H$6+Parameter!$H$7,Parameter!$H$5+Parameter!$H$6+Parameter!$H$7))-(AM234-AI234))/AI234)))</f>
        <v>1</v>
      </c>
      <c r="AO234" s="50" t="n">
        <f aca="false">IF(LEFT(Cockpit!$I$5,1)="A",H234,IF(CE234=1,CF234,IF(LEFT(Cockpit!$I$5,1)="B",AT234,MAX(AT234,H234))))</f>
        <v>4</v>
      </c>
      <c r="AP234" s="50" t="n">
        <f aca="false">IF(BW234=1,0,ROUNDUP(AO234/BV234,0))</f>
        <v>1</v>
      </c>
      <c r="AQ234" s="52" t="n">
        <f aca="false">IF(CL234&gt;0,CL234*MAX(1,AO234/X234),IF(BW234=1,IF(AO234&lt;=0,0,CA234*MAX(1,IF(H234&gt;0,AO234/H234,1))),IF(R234&gt;0,AP234/R234,0))/MAX(0.1,N(Parameter!$M$21)))</f>
        <v>0.0833333333333333</v>
      </c>
      <c r="AR234" s="50" t="n">
        <f aca="false">AQ234*BY234</f>
        <v>12.0833333333333</v>
      </c>
      <c r="AS234" s="50" t="n">
        <f aca="false">AO234*G234</f>
        <v>2134.8</v>
      </c>
      <c r="AT234" s="50" t="n">
        <f aca="false">ROUNDUP(MAX(J234/IF(CD234&gt;0,CD234,MAX(0.1,N(Cockpit!$I$6))),CG234)/BV234,0)*BV234</f>
        <v>4</v>
      </c>
      <c r="AU234" s="51" t="n">
        <f aca="false">IF(AR234&gt;0,J234/AR234,-1)</f>
        <v>0</v>
      </c>
      <c r="AV234" s="51" t="n">
        <f aca="false">IF(AND(OR(CC234="L1",CC234="L23",CC234="LIFT"),AR234&gt;0),SUMIFS($AR$7:$AR$1843,$CC$7:$CC$1843,CC234,$AU$7:$AU$1843,"&gt;"&amp;AU234)+SUMIFS($AR$7:$AR$1843,$CC$7:$CC$1843,CC234,$AU$7:$AU$1843,AU234,$BT$7:$BT$1843,"&lt;="&amp;BT234),"")</f>
        <v>38958.4610883467</v>
      </c>
      <c r="AW234" s="58" t="n">
        <f aca="false">IF(AV234="",0,MAX(0,MIN(1,(IF(CC234="L1",Parameter!$H$5,IF(CC234="L23",Parameter!$H$6+Parameter!$H$7,Parameter!$H$5+Parameter!$H$6+Parameter!$H$7))-(AV234-AR234))/AR234)))</f>
        <v>0</v>
      </c>
      <c r="AX234" s="50" t="n">
        <f aca="false">IF(LEFT(Cockpit!$O$5,1)="A",H234,IF(CE234=1,CF234,IF(LEFT(Cockpit!$O$5,1)="B",BC234,MAX(BC234,H234))))</f>
        <v>4</v>
      </c>
      <c r="AY234" s="50" t="n">
        <f aca="false">IF(BW234=1,0,ROUNDUP(AX234/BV234,0))</f>
        <v>1</v>
      </c>
      <c r="AZ234" s="52" t="n">
        <f aca="false">IF(CL234&gt;0,CL234*MAX(1,AX234/X234),IF(BW234=1,IF(AX234&lt;=0,0,CA234*MAX(1,IF(H234&gt;0,AX234/H234,1))),IF(R234&gt;0,AY234/R234,0))/MAX(0.1,N(Parameter!$M$21)))</f>
        <v>0.0833333333333333</v>
      </c>
      <c r="BA234" s="50" t="n">
        <f aca="false">AZ234*BY234</f>
        <v>12.0833333333333</v>
      </c>
      <c r="BB234" s="50" t="n">
        <f aca="false">AX234*G234</f>
        <v>2134.8</v>
      </c>
      <c r="BC234" s="50" t="n">
        <f aca="false">ROUNDUP(MAX(J234/IF(CD234&gt;0,CD234,MAX(0.1,N(Cockpit!$O$6))),CG234)/BV234,0)*BV234</f>
        <v>4</v>
      </c>
      <c r="BD234" s="51" t="n">
        <f aca="false">IF(BA234&gt;0,J234/BA234,-1)</f>
        <v>0</v>
      </c>
      <c r="BE234" s="51" t="n">
        <f aca="false">IF(AND(OR(CC234="L1",CC234="L23",CC234="LIFT"),BA234&gt;0),SUMIFS($BA$7:$BA$1843,$CC$7:$CC$1843,CC234,$BD$7:$BD$1843,"&gt;"&amp;BD234)+SUMIFS($BA$7:$BA$1843,$CC$7:$CC$1843,CC234,$BD$7:$BD$1843,BD234,$BT$7:$BT$1843,"&lt;="&amp;BT234),"")</f>
        <v>35633.4731302125</v>
      </c>
      <c r="BF234" s="58" t="n">
        <f aca="false">IF(BE234="",0,MAX(0,MIN(1,(IF(CC234="L1",Parameter!$H$5,IF(CC234="L23",Parameter!$H$6+Parameter!$H$7,Parameter!$H$5+Parameter!$H$6+Parameter!$H$7))-(BE234-BA234))/BA234)))</f>
        <v>1</v>
      </c>
      <c r="BG234" s="48" t="str">
        <f aca="false">IF(AI234&lt;=0,"",IF(CC234="Aussen","Aussenlager",IF(CC234="-","Nicht im Lift",IF(AN234&gt;=1,"Lift",IF(AN234&lt;=0,"Aussenlager","teilweise")))))</f>
        <v>Lift</v>
      </c>
      <c r="BH234" s="48" t="str">
        <f aca="false">IF(AR234&lt;=0,"",IF(CC234="Aussen","Aussenlager",IF(CC234="-","Nicht im Lift",IF(AW234&gt;=1,"Lift",IF(AW234&lt;=0,"Aussenlager","teilweise")))))</f>
        <v>Aussenlager</v>
      </c>
      <c r="BI234" s="48" t="str">
        <f aca="false">IF(BA234&lt;=0,"",IF(CC234="Aussen","Aussenlager",IF(CC234="-","Nicht im Lift",IF(BF234&gt;=1,"Lift",IF(BF234&lt;=0,"Aussenlager","teilweise")))))</f>
        <v>Lift</v>
      </c>
      <c r="BJ234" s="48" t="str">
        <f aca="false">IF(A234="","",IF(BS234=1,"Neu; ","")&amp;IF(AND(BS234=0,BN234&lt;0),"negativer Bestand (Export "&amp;BN234&amp;"); ","")&amp;IF(J234&lt;=0,"Kein Verbrauch; ","")&amp;IF(CL234&gt;0,"Lift "&amp;W234&amp;" lt. Liftbericht (Fach "&amp;X234&amp;" Stk); ",IF(BX234=1,"Gebinde geschätzt ("&amp;T234&amp;"); ",IF(BW234=1,"Lose – Tablare geschätzt; ","")))&amp;IF(H234&gt;AT234,"Überbestand "&amp;ROUND(H234-AT234,0)&amp;" Stk / CHF "&amp;ROUND((H234-AT234)*G234,0)&amp;"; ","")&amp;IF(AND(CE234=1,CF234&lt;CG234),"MAX &lt; MB+LG; ","")&amp;IF(AND(CK234&gt;0,CJ234*10&gt;CK234),"zu hoch für Tablar; ","")&amp;IF(AND(BS234=0,OR(CE234=1,AA234&lt;&gt;"",U234&lt;&gt;"",V234&lt;&gt;"",AB234&lt;&gt;"")),"manuell übersteuert; ","")&amp;IF(AND(BW234=0,R234=0),"Gebinde unbekannt / Stellmass fehlt; ","")&amp;IF(AND(BW234=0,N(V234)&lt;=0,N(Q234)&lt;=0),"Menge pro Gebinde fehlt (Ist = 1 Gebinde); ","")&amp;BR234)</f>
        <v>Kein Verbrauch; Gebinde geschätzt (Mittel); Menge pro Gebinde fehlt (Ist = 1 Gebinde); </v>
      </c>
      <c r="BK234" s="48"/>
      <c r="BL234" s="48"/>
      <c r="BM234" s="55"/>
      <c r="BN234" s="50" t="n">
        <v>1</v>
      </c>
      <c r="BO234" s="50" t="n">
        <v>1</v>
      </c>
      <c r="BP234" s="49" t="n">
        <v>576.9</v>
      </c>
      <c r="BQ234" s="50" t="n">
        <v>0</v>
      </c>
      <c r="BR234" s="48"/>
      <c r="BS234" s="53" t="n">
        <v>0</v>
      </c>
      <c r="BT234" s="53" t="n">
        <v>234</v>
      </c>
      <c r="BU234" s="48" t="str">
        <f aca="false">IF(U234&lt;&gt;"",UPPER(TRIM(U234)),IF(BX234=1,UPPER(VLOOKUP(T234,Parameter!$I$27:$K$29,2,0)),IF(P234="","LOSE",P234)))</f>
        <v>S61</v>
      </c>
      <c r="BV234" s="50" t="n">
        <f aca="false">IF(BU234="LOSE",1,IF(N(V234)&gt;0,V234,IF(BX234=1,MAX(1,N(VLOOKUP(T234,Parameter!$I$27:$K$29,3,0)),H234,N(N234)),IF(N(Q234)&gt;0,Q234,MAX(1,H234)))))</f>
        <v>4</v>
      </c>
      <c r="BW234" s="53" t="n">
        <f aca="false">IF(BU234="LOSE",1,0)</f>
        <v>0</v>
      </c>
      <c r="BX234" s="53" t="n">
        <f aca="false">IF(AND(U234="",OR(P234="",P234="LOSE"),T234&lt;&gt;"",N(S234)&lt;=0,ISNUMBER(MATCH(T234,Parameter!$I$27:$I$29,0))),1,0)</f>
        <v>1</v>
      </c>
      <c r="BY234" s="53" t="n">
        <f aca="false">IF(CL234&gt;0,INDEX(Parameter!$H$5:$H$7,W234)/INDEX(Parameter!$E$5:$E$7,W234),IF(AND(BW234=0,N(IFERROR(VLOOKUP(BU234,'Gebinde-Kategorie'!$A$5:$N$45,14,0),0))&gt;0),VLOOKUP(BU234,'Gebinde-Kategorie'!$A$5:$N$45,14,0)*10+Parameter!$M$23,Parameter!$M$24))</f>
        <v>145</v>
      </c>
      <c r="BZ234" s="48" t="str">
        <f aca="false">IF(AND(Parameter!$B$19="Ja",E234&lt;&gt;"",ISNUMBER(MATCH(E234,Parameter!$I$35:$I$52,0))),VLOOKUP(E234,Parameter!$I$35:$J$52,2,0),IFERROR(VLOOKUP(D234,Parameter!$A$35:$C$64,2,0),"Nein"))</f>
        <v>2+3</v>
      </c>
      <c r="CA234" s="52" t="n">
        <f aca="false">IF(BW234=0,0,IF(N(S234)&gt;0,S234,IFERROR(VLOOKUP(D234,Parameter!$A$35:$C$64,3,0)+0,0)))</f>
        <v>0</v>
      </c>
      <c r="CB234" s="48" t="n">
        <f aca="false">IF(AA234&lt;&gt;"",AA234,Z234)</f>
        <v>2</v>
      </c>
      <c r="CC234" s="48" t="str">
        <f aca="false">IF(OR(CB234=1,CB234=2,CB234=3),IF(Parameter!$E$27="Ja","LIFT",IF(CB234=1,"L1","L23")),IF(CB234="Aussen","Aussen","-"))</f>
        <v>LIFT</v>
      </c>
      <c r="CD234" s="59" t="n">
        <f aca="false">IF(N(AB234)&gt;0,AB234,0)</f>
        <v>0</v>
      </c>
      <c r="CE234" s="53" t="n">
        <f aca="false">IF(ISNUMBER(AE234),1,0)</f>
        <v>0</v>
      </c>
      <c r="CF234" s="50" t="n">
        <f aca="false">N(AE234)</f>
        <v>0</v>
      </c>
      <c r="CG234" s="50" t="n">
        <f aca="false">N(M234)+N(N234)</f>
        <v>1</v>
      </c>
      <c r="CH234" s="50" t="n">
        <f aca="false">ROUNDUP(H234/BV234,0)</f>
        <v>1</v>
      </c>
      <c r="CI234" s="50" t="n">
        <f aca="false">ROUNDUP(CF234/BV234,0)</f>
        <v>0</v>
      </c>
      <c r="CJ234" s="53" t="n">
        <f aca="false">IF(BW234=1,0,IFERROR(VLOOKUP(BU234,'Gebinde-Kategorie'!$A$5:$N$45,5,0)+0,0))</f>
        <v>11</v>
      </c>
      <c r="CK234" s="53" t="n">
        <f aca="false">IFERROR(IF(OR(CB234=1,CB234=2,CB234=3),N(INDEX(Parameter!$I$5:$I$7,CB234)),0),0)</f>
        <v>0</v>
      </c>
      <c r="CL234" s="52" t="n">
        <f aca="false">IF(AND(Parameter!$B$21="Ja",ISNUMBER(W234),N(X234)&gt;0),IFERROR(N(INDEX(Parameter!$L$5:$L$7,W234))*INDEX(Parameter!$E$5:$E$7,W234)*X234/SUMIFS($X$7:$X$1843,$W$7:$W$1843,W234),0),0)</f>
        <v>0</v>
      </c>
    </row>
    <row r="235" customFormat="false" ht="15" hidden="false" customHeight="false" outlineLevel="0" collapsed="false">
      <c r="A235" s="48" t="s">
        <v>663</v>
      </c>
      <c r="B235" s="48" t="s">
        <v>550</v>
      </c>
      <c r="C235" s="48" t="s">
        <v>168</v>
      </c>
      <c r="D235" s="48" t="s">
        <v>188</v>
      </c>
      <c r="E235" s="48"/>
      <c r="F235" s="48" t="s">
        <v>222</v>
      </c>
      <c r="G235" s="49" t="n">
        <v>11.5</v>
      </c>
      <c r="H235" s="50" t="n">
        <f aca="false">MAX(0,IF(AND(Parameter!$B$21="Ja",ISNUMBER(Y235)),Y235,IF(Parameter!$B$20="Jahresanfang 2025 + Export",BO235+BN235,BN235)))</f>
        <v>50</v>
      </c>
      <c r="I235" s="50" t="n">
        <f aca="false">H235*G235</f>
        <v>575</v>
      </c>
      <c r="J235" s="50" t="n">
        <f aca="false">BQ235*Parameter!$B$18</f>
        <v>0</v>
      </c>
      <c r="K235" s="51" t="n">
        <v>0</v>
      </c>
      <c r="L235" s="52" t="n">
        <v>0</v>
      </c>
      <c r="M235" s="50" t="n">
        <v>0</v>
      </c>
      <c r="N235" s="50" t="n">
        <v>1</v>
      </c>
      <c r="O235" s="53" t="n">
        <v>9999</v>
      </c>
      <c r="P235" s="48" t="s">
        <v>172</v>
      </c>
      <c r="Q235" s="50"/>
      <c r="R235" s="53" t="n">
        <f aca="false">IF(BW235=1,0,IFERROR(VLOOKUP(BU235,'Gebinde-Kategorie'!$A$5:$N$45,13,0)+0,0))</f>
        <v>26</v>
      </c>
      <c r="S235" s="54"/>
      <c r="T235" s="55" t="s">
        <v>279</v>
      </c>
      <c r="U235" s="55"/>
      <c r="V235" s="55"/>
      <c r="W235" s="48"/>
      <c r="X235" s="50"/>
      <c r="Y235" s="50"/>
      <c r="Z235" s="48" t="n">
        <f aca="false">IF(A235="","",IF(AND(Parameter!$B$21="Ja",ISNUMBER(W235)),W235,IF(BZ235="2+3",IF(ISNUMBER(SEARCH("grosser Artikel",BR235)),2,IFERROR(VLOOKUP(BU235,Parameter!$F$35:$G$64,2,0),2)),IF(OR(BZ235="Nein",BZ235=""),"-",BZ235))))</f>
        <v>3</v>
      </c>
      <c r="AA235" s="55"/>
      <c r="AB235" s="56"/>
      <c r="AC235" s="50" t="n">
        <f aca="false">AT235</f>
        <v>50</v>
      </c>
      <c r="AD235" s="50" t="n">
        <f aca="false">MAX(AT235,H235)</f>
        <v>50</v>
      </c>
      <c r="AE235" s="57"/>
      <c r="AF235" s="50" t="n">
        <f aca="false">IF(LEFT(Cockpit!$C$5,1)="A",H235,IF(CE235=1,CF235,IF(LEFT(Cockpit!$C$5,1)="B",AK235,MAX(AK235,H235))))</f>
        <v>50</v>
      </c>
      <c r="AG235" s="50" t="n">
        <f aca="false">IF(BW235=1,0,ROUNDUP(AF235/BV235,0))</f>
        <v>1</v>
      </c>
      <c r="AH235" s="52" t="n">
        <f aca="false">IF(CL235&gt;0,CL235*MAX(1,AF235/X235),IF(BW235=1,IF(AF235&lt;=0,0,CA235*MAX(1,IF(H235&gt;0,AF235/H235,1))),IF(R235&gt;0,AG235/R235,0))/MAX(0.1,N(Parameter!$M$21)))</f>
        <v>0.0384615384615385</v>
      </c>
      <c r="AI235" s="50" t="n">
        <f aca="false">AH235*BY235</f>
        <v>5.96153846153846</v>
      </c>
      <c r="AJ235" s="50" t="n">
        <f aca="false">AF235*G235</f>
        <v>575</v>
      </c>
      <c r="AK235" s="50" t="n">
        <f aca="false">ROUNDUP(MAX(J235/IF(CD235&gt;0,CD235,MAX(0.1,N(Cockpit!$C$6))),CG235)/BV235,0)*BV235</f>
        <v>50</v>
      </c>
      <c r="AL235" s="51" t="n">
        <f aca="false">IF(AI235&gt;0,J235/AI235,-1)</f>
        <v>0</v>
      </c>
      <c r="AM235" s="51" t="n">
        <f aca="false">IF(AND(OR(CC235="L1",CC235="L23",CC235="LIFT"),AI235&gt;0),SUMIFS($AI$7:$AI$1843,$CC$7:$CC$1843,CC235,$AL$7:$AL$1843,"&gt;"&amp;AL235)+SUMIFS($AI$7:$AI$1843,$CC$7:$CC$1843,CC235,$AL$7:$AL$1843,AL235,$BT$7:$BT$1843,"&lt;="&amp;BT235),"")</f>
        <v>27651.5171095383</v>
      </c>
      <c r="AN235" s="58" t="n">
        <f aca="false">IF(AM235="",0,MAX(0,MIN(1,(IF(CC235="L1",Parameter!$H$5,IF(CC235="L23",Parameter!$H$6+Parameter!$H$7,Parameter!$H$5+Parameter!$H$6+Parameter!$H$7))-(AM235-AI235))/AI235)))</f>
        <v>1</v>
      </c>
      <c r="AO235" s="50" t="n">
        <f aca="false">IF(LEFT(Cockpit!$I$5,1)="A",H235,IF(CE235=1,CF235,IF(LEFT(Cockpit!$I$5,1)="B",AT235,MAX(AT235,H235))))</f>
        <v>50</v>
      </c>
      <c r="AP235" s="50" t="n">
        <f aca="false">IF(BW235=1,0,ROUNDUP(AO235/BV235,0))</f>
        <v>1</v>
      </c>
      <c r="AQ235" s="52" t="n">
        <f aca="false">IF(CL235&gt;0,CL235*MAX(1,AO235/X235),IF(BW235=1,IF(AO235&lt;=0,0,CA235*MAX(1,IF(H235&gt;0,AO235/H235,1))),IF(R235&gt;0,AP235/R235,0))/MAX(0.1,N(Parameter!$M$21)))</f>
        <v>0.0384615384615385</v>
      </c>
      <c r="AR235" s="50" t="n">
        <f aca="false">AQ235*BY235</f>
        <v>5.96153846153846</v>
      </c>
      <c r="AS235" s="50" t="n">
        <f aca="false">AO235*G235</f>
        <v>575</v>
      </c>
      <c r="AT235" s="50" t="n">
        <f aca="false">ROUNDUP(MAX(J235/IF(CD235&gt;0,CD235,MAX(0.1,N(Cockpit!$I$6))),CG235)/BV235,0)*BV235</f>
        <v>50</v>
      </c>
      <c r="AU235" s="51" t="n">
        <f aca="false">IF(AR235&gt;0,J235/AR235,-1)</f>
        <v>0</v>
      </c>
      <c r="AV235" s="51" t="n">
        <f aca="false">IF(AND(OR(CC235="L1",CC235="L23",CC235="LIFT"),AR235&gt;0),SUMIFS($AR$7:$AR$1843,$CC$7:$CC$1843,CC235,$AU$7:$AU$1843,"&gt;"&amp;AU235)+SUMIFS($AR$7:$AR$1843,$CC$7:$CC$1843,CC235,$AU$7:$AU$1843,AU235,$BT$7:$BT$1843,"&lt;="&amp;BT235),"")</f>
        <v>38964.4226268082</v>
      </c>
      <c r="AW235" s="58" t="n">
        <f aca="false">IF(AV235="",0,MAX(0,MIN(1,(IF(CC235="L1",Parameter!$H$5,IF(CC235="L23",Parameter!$H$6+Parameter!$H$7,Parameter!$H$5+Parameter!$H$6+Parameter!$H$7))-(AV235-AR235))/AR235)))</f>
        <v>0</v>
      </c>
      <c r="AX235" s="50" t="n">
        <f aca="false">IF(LEFT(Cockpit!$O$5,1)="A",H235,IF(CE235=1,CF235,IF(LEFT(Cockpit!$O$5,1)="B",BC235,MAX(BC235,H235))))</f>
        <v>50</v>
      </c>
      <c r="AY235" s="50" t="n">
        <f aca="false">IF(BW235=1,0,ROUNDUP(AX235/BV235,0))</f>
        <v>1</v>
      </c>
      <c r="AZ235" s="52" t="n">
        <f aca="false">IF(CL235&gt;0,CL235*MAX(1,AX235/X235),IF(BW235=1,IF(AX235&lt;=0,0,CA235*MAX(1,IF(H235&gt;0,AX235/H235,1))),IF(R235&gt;0,AY235/R235,0))/MAX(0.1,N(Parameter!$M$21)))</f>
        <v>0.0384615384615385</v>
      </c>
      <c r="BA235" s="50" t="n">
        <f aca="false">AZ235*BY235</f>
        <v>5.96153846153846</v>
      </c>
      <c r="BB235" s="50" t="n">
        <f aca="false">AX235*G235</f>
        <v>575</v>
      </c>
      <c r="BC235" s="50" t="n">
        <f aca="false">ROUNDUP(MAX(J235/IF(CD235&gt;0,CD235,MAX(0.1,N(Cockpit!$O$6))),CG235)/BV235,0)*BV235</f>
        <v>50</v>
      </c>
      <c r="BD235" s="51" t="n">
        <f aca="false">IF(BA235&gt;0,J235/BA235,-1)</f>
        <v>0</v>
      </c>
      <c r="BE235" s="51" t="n">
        <f aca="false">IF(AND(OR(CC235="L1",CC235="L23",CC235="LIFT"),BA235&gt;0),SUMIFS($BA$7:$BA$1843,$CC$7:$CC$1843,CC235,$BD$7:$BD$1843,"&gt;"&amp;BD235)+SUMIFS($BA$7:$BA$1843,$CC$7:$CC$1843,CC235,$BD$7:$BD$1843,BD235,$BT$7:$BT$1843,"&lt;="&amp;BT235),"")</f>
        <v>35639.4346686741</v>
      </c>
      <c r="BF235" s="58" t="n">
        <f aca="false">IF(BE235="",0,MAX(0,MIN(1,(IF(CC235="L1",Parameter!$H$5,IF(CC235="L23",Parameter!$H$6+Parameter!$H$7,Parameter!$H$5+Parameter!$H$6+Parameter!$H$7))-(BE235-BA235))/BA235)))</f>
        <v>1</v>
      </c>
      <c r="BG235" s="48" t="str">
        <f aca="false">IF(AI235&lt;=0,"",IF(CC235="Aussen","Aussenlager",IF(CC235="-","Nicht im Lift",IF(AN235&gt;=1,"Lift",IF(AN235&lt;=0,"Aussenlager","teilweise")))))</f>
        <v>Lift</v>
      </c>
      <c r="BH235" s="48" t="str">
        <f aca="false">IF(AR235&lt;=0,"",IF(CC235="Aussen","Aussenlager",IF(CC235="-","Nicht im Lift",IF(AW235&gt;=1,"Lift",IF(AW235&lt;=0,"Aussenlager","teilweise")))))</f>
        <v>Aussenlager</v>
      </c>
      <c r="BI235" s="48" t="str">
        <f aca="false">IF(BA235&lt;=0,"",IF(CC235="Aussen","Aussenlager",IF(CC235="-","Nicht im Lift",IF(BF235&gt;=1,"Lift",IF(BF235&lt;=0,"Aussenlager","teilweise")))))</f>
        <v>Lift</v>
      </c>
      <c r="BJ235" s="48" t="str">
        <f aca="false">IF(A235="","",IF(BS235=1,"Neu; ","")&amp;IF(AND(BS235=0,BN235&lt;0),"negativer Bestand (Export "&amp;BN235&amp;"); ","")&amp;IF(J235&lt;=0,"Kein Verbrauch; ","")&amp;IF(CL235&gt;0,"Lift "&amp;W235&amp;" lt. Liftbericht (Fach "&amp;X235&amp;" Stk); ",IF(BX235=1,"Gebinde geschätzt ("&amp;T235&amp;"); ",IF(BW235=1,"Lose – Tablare geschätzt; ","")))&amp;IF(H235&gt;AT235,"Überbestand "&amp;ROUND(H235-AT235,0)&amp;" Stk / CHF "&amp;ROUND((H235-AT235)*G235,0)&amp;"; ","")&amp;IF(AND(CE235=1,CF235&lt;CG235),"MAX &lt; MB+LG; ","")&amp;IF(AND(CK235&gt;0,CJ235*10&gt;CK235),"zu hoch für Tablar; ","")&amp;IF(AND(BS235=0,OR(CE235=1,AA235&lt;&gt;"",U235&lt;&gt;"",V235&lt;&gt;"",AB235&lt;&gt;"")),"manuell übersteuert; ","")&amp;IF(AND(BW235=0,R235=0),"Gebinde unbekannt / Stellmass fehlt; ","")&amp;IF(AND(BW235=0,N(V235)&lt;=0,N(Q235)&lt;=0),"Menge pro Gebinde fehlt (Ist = 1 Gebinde); ","")&amp;BR235)</f>
        <v>Kein Verbrauch; Gebinde geschätzt (Klein); Menge pro Gebinde fehlt (Ist = 1 Gebinde); </v>
      </c>
      <c r="BK235" s="48"/>
      <c r="BL235" s="48"/>
      <c r="BM235" s="55"/>
      <c r="BN235" s="50" t="n">
        <v>50</v>
      </c>
      <c r="BO235" s="50" t="n">
        <v>0</v>
      </c>
      <c r="BP235" s="49" t="n">
        <v>575</v>
      </c>
      <c r="BQ235" s="50" t="n">
        <v>0</v>
      </c>
      <c r="BR235" s="48"/>
      <c r="BS235" s="53" t="n">
        <v>0</v>
      </c>
      <c r="BT235" s="53" t="n">
        <v>235</v>
      </c>
      <c r="BU235" s="48" t="str">
        <f aca="false">IF(U235&lt;&gt;"",UPPER(TRIM(U235)),IF(BX235=1,UPPER(VLOOKUP(T235,Parameter!$I$27:$K$29,2,0)),IF(P235="","LOSE",P235)))</f>
        <v>S51</v>
      </c>
      <c r="BV235" s="50" t="n">
        <f aca="false">IF(BU235="LOSE",1,IF(N(V235)&gt;0,V235,IF(BX235=1,MAX(1,N(VLOOKUP(T235,Parameter!$I$27:$K$29,3,0)),H235,N(N235)),IF(N(Q235)&gt;0,Q235,MAX(1,H235)))))</f>
        <v>50</v>
      </c>
      <c r="BW235" s="53" t="n">
        <f aca="false">IF(BU235="LOSE",1,0)</f>
        <v>0</v>
      </c>
      <c r="BX235" s="53" t="n">
        <f aca="false">IF(AND(U235="",OR(P235="",P235="LOSE"),T235&lt;&gt;"",N(S235)&lt;=0,ISNUMBER(MATCH(T235,Parameter!$I$27:$I$29,0))),1,0)</f>
        <v>1</v>
      </c>
      <c r="BY235" s="53" t="n">
        <f aca="false">IF(CL235&gt;0,INDEX(Parameter!$H$5:$H$7,W235)/INDEX(Parameter!$E$5:$E$7,W235),IF(AND(BW235=0,N(IFERROR(VLOOKUP(BU235,'Gebinde-Kategorie'!$A$5:$N$45,14,0),0))&gt;0),VLOOKUP(BU235,'Gebinde-Kategorie'!$A$5:$N$45,14,0)*10+Parameter!$M$23,Parameter!$M$24))</f>
        <v>155</v>
      </c>
      <c r="BZ235" s="48" t="str">
        <f aca="false">IF(AND(Parameter!$B$19="Ja",E235&lt;&gt;"",ISNUMBER(MATCH(E235,Parameter!$I$35:$I$52,0))),VLOOKUP(E235,Parameter!$I$35:$J$52,2,0),IFERROR(VLOOKUP(D235,Parameter!$A$35:$C$64,2,0),"Nein"))</f>
        <v>2+3</v>
      </c>
      <c r="CA235" s="52" t="n">
        <f aca="false">IF(BW235=0,0,IF(N(S235)&gt;0,S235,IFERROR(VLOOKUP(D235,Parameter!$A$35:$C$64,3,0)+0,0)))</f>
        <v>0</v>
      </c>
      <c r="CB235" s="48" t="n">
        <f aca="false">IF(AA235&lt;&gt;"",AA235,Z235)</f>
        <v>3</v>
      </c>
      <c r="CC235" s="48" t="str">
        <f aca="false">IF(OR(CB235=1,CB235=2,CB235=3),IF(Parameter!$E$27="Ja","LIFT",IF(CB235=1,"L1","L23")),IF(CB235="Aussen","Aussen","-"))</f>
        <v>LIFT</v>
      </c>
      <c r="CD235" s="59" t="n">
        <f aca="false">IF(N(AB235)&gt;0,AB235,0)</f>
        <v>0</v>
      </c>
      <c r="CE235" s="53" t="n">
        <f aca="false">IF(ISNUMBER(AE235),1,0)</f>
        <v>0</v>
      </c>
      <c r="CF235" s="50" t="n">
        <f aca="false">N(AE235)</f>
        <v>0</v>
      </c>
      <c r="CG235" s="50" t="n">
        <f aca="false">N(M235)+N(N235)</f>
        <v>1</v>
      </c>
      <c r="CH235" s="50" t="n">
        <f aca="false">ROUNDUP(H235/BV235,0)</f>
        <v>1</v>
      </c>
      <c r="CI235" s="50" t="n">
        <f aca="false">ROUNDUP(CF235/BV235,0)</f>
        <v>0</v>
      </c>
      <c r="CJ235" s="53" t="n">
        <f aca="false">IF(BW235=1,0,IFERROR(VLOOKUP(BU235,'Gebinde-Kategorie'!$A$5:$N$45,5,0)+0,0))</f>
        <v>11</v>
      </c>
      <c r="CK235" s="53" t="n">
        <f aca="false">IFERROR(IF(OR(CB235=1,CB235=2,CB235=3),N(INDEX(Parameter!$I$5:$I$7,CB235)),0),0)</f>
        <v>0</v>
      </c>
      <c r="CL235" s="52" t="n">
        <f aca="false">IF(AND(Parameter!$B$21="Ja",ISNUMBER(W235),N(X235)&gt;0),IFERROR(N(INDEX(Parameter!$L$5:$L$7,W235))*INDEX(Parameter!$E$5:$E$7,W235)*X235/SUMIFS($X$7:$X$1843,$W$7:$W$1843,W235),0),0)</f>
        <v>0</v>
      </c>
    </row>
    <row r="236" customFormat="false" ht="15" hidden="false" customHeight="false" outlineLevel="0" collapsed="false">
      <c r="A236" s="48" t="s">
        <v>664</v>
      </c>
      <c r="B236" s="48" t="s">
        <v>665</v>
      </c>
      <c r="C236" s="48" t="s">
        <v>168</v>
      </c>
      <c r="D236" s="48" t="s">
        <v>188</v>
      </c>
      <c r="E236" s="48" t="s">
        <v>189</v>
      </c>
      <c r="F236" s="48" t="s">
        <v>222</v>
      </c>
      <c r="G236" s="49" t="n">
        <v>114.02</v>
      </c>
      <c r="H236" s="50" t="n">
        <f aca="false">MAX(0,IF(AND(Parameter!$B$21="Ja",ISNUMBER(Y236)),Y236,IF(Parameter!$B$20="Jahresanfang 2025 + Export",BO236+BN236,BN236)))</f>
        <v>61</v>
      </c>
      <c r="I236" s="50" t="n">
        <f aca="false">H236*G236</f>
        <v>6955.22</v>
      </c>
      <c r="J236" s="50" t="n">
        <f aca="false">BQ236*Parameter!$B$18</f>
        <v>2</v>
      </c>
      <c r="K236" s="51" t="n">
        <v>60.5</v>
      </c>
      <c r="L236" s="52" t="n">
        <v>0.0330578512396694</v>
      </c>
      <c r="M236" s="50" t="n">
        <v>0</v>
      </c>
      <c r="N236" s="50" t="n">
        <v>5</v>
      </c>
      <c r="O236" s="53" t="n">
        <v>42</v>
      </c>
      <c r="P236" s="48" t="s">
        <v>237</v>
      </c>
      <c r="Q236" s="50" t="n">
        <v>146</v>
      </c>
      <c r="R236" s="53" t="n">
        <f aca="false">IF(BW236=1,0,IFERROR(VLOOKUP(BU236,'Gebinde-Kategorie'!$A$5:$N$45,13,0)+0,0))</f>
        <v>26</v>
      </c>
      <c r="S236" s="54"/>
      <c r="T236" s="55"/>
      <c r="U236" s="55"/>
      <c r="V236" s="55"/>
      <c r="W236" s="48"/>
      <c r="X236" s="50"/>
      <c r="Y236" s="50"/>
      <c r="Z236" s="48" t="n">
        <f aca="false">IF(A236="","",IF(AND(Parameter!$B$21="Ja",ISNUMBER(W236)),W236,IF(BZ236="2+3",IF(ISNUMBER(SEARCH("grosser Artikel",BR236)),2,IFERROR(VLOOKUP(BU236,Parameter!$F$35:$G$64,2,0),2)),IF(OR(BZ236="Nein",BZ236=""),"-",BZ236))))</f>
        <v>3</v>
      </c>
      <c r="AA236" s="55"/>
      <c r="AB236" s="56"/>
      <c r="AC236" s="50" t="n">
        <f aca="false">AT236</f>
        <v>146</v>
      </c>
      <c r="AD236" s="50" t="n">
        <f aca="false">MAX(AT236,H236)</f>
        <v>146</v>
      </c>
      <c r="AE236" s="57"/>
      <c r="AF236" s="50" t="n">
        <f aca="false">IF(LEFT(Cockpit!$C$5,1)="A",H236,IF(CE236=1,CF236,IF(LEFT(Cockpit!$C$5,1)="B",AK236,MAX(AK236,H236))))</f>
        <v>61</v>
      </c>
      <c r="AG236" s="50" t="n">
        <f aca="false">IF(BW236=1,0,ROUNDUP(AF236/BV236,0))</f>
        <v>1</v>
      </c>
      <c r="AH236" s="52" t="n">
        <f aca="false">IF(CL236&gt;0,CL236*MAX(1,AF236/X236),IF(BW236=1,IF(AF236&lt;=0,0,CA236*MAX(1,IF(H236&gt;0,AF236/H236,1))),IF(R236&gt;0,AG236/R236,0))/MAX(0.1,N(Parameter!$M$21)))</f>
        <v>0.0384615384615385</v>
      </c>
      <c r="AI236" s="50" t="n">
        <f aca="false">AH236*BY236</f>
        <v>9.42307692307692</v>
      </c>
      <c r="AJ236" s="50" t="n">
        <f aca="false">AF236*G236</f>
        <v>6955.22</v>
      </c>
      <c r="AK236" s="50" t="n">
        <f aca="false">ROUNDUP(MAX(J236/IF(CD236&gt;0,CD236,MAX(0.1,N(Cockpit!$C$6))),CG236)/BV236,0)*BV236</f>
        <v>146</v>
      </c>
      <c r="AL236" s="51" t="n">
        <f aca="false">IF(AI236&gt;0,J236/AI236,-1)</f>
        <v>0.212244897959184</v>
      </c>
      <c r="AM236" s="51" t="n">
        <f aca="false">IF(AND(OR(CC236="L1",CC236="L23",CC236="LIFT"),AI236&gt;0),SUMIFS($AI$7:$AI$1843,$CC$7:$CC$1843,CC236,$AL$7:$AL$1843,"&gt;"&amp;AL236)+SUMIFS($AI$7:$AI$1843,$CC$7:$CC$1843,CC236,$AL$7:$AL$1843,AL236,$BT$7:$BT$1843,"&lt;="&amp;BT236),"")</f>
        <v>12354.701669564</v>
      </c>
      <c r="AN236" s="58" t="n">
        <f aca="false">IF(AM236="",0,MAX(0,MIN(1,(IF(CC236="L1",Parameter!$H$5,IF(CC236="L23",Parameter!$H$6+Parameter!$H$7,Parameter!$H$5+Parameter!$H$6+Parameter!$H$7))-(AM236-AI236))/AI236)))</f>
        <v>1</v>
      </c>
      <c r="AO236" s="50" t="n">
        <f aca="false">IF(LEFT(Cockpit!$I$5,1)="A",H236,IF(CE236=1,CF236,IF(LEFT(Cockpit!$I$5,1)="B",AT236,MAX(AT236,H236))))</f>
        <v>146</v>
      </c>
      <c r="AP236" s="50" t="n">
        <f aca="false">IF(BW236=1,0,ROUNDUP(AO236/BV236,0))</f>
        <v>1</v>
      </c>
      <c r="AQ236" s="52" t="n">
        <f aca="false">IF(CL236&gt;0,CL236*MAX(1,AO236/X236),IF(BW236=1,IF(AO236&lt;=0,0,CA236*MAX(1,IF(H236&gt;0,AO236/H236,1))),IF(R236&gt;0,AP236/R236,0))/MAX(0.1,N(Parameter!$M$21)))</f>
        <v>0.0384615384615385</v>
      </c>
      <c r="AR236" s="50" t="n">
        <f aca="false">AQ236*BY236</f>
        <v>9.42307692307692</v>
      </c>
      <c r="AS236" s="50" t="n">
        <f aca="false">AO236*G236</f>
        <v>16646.92</v>
      </c>
      <c r="AT236" s="50" t="n">
        <f aca="false">ROUNDUP(MAX(J236/IF(CD236&gt;0,CD236,MAX(0.1,N(Cockpit!$I$6))),CG236)/BV236,0)*BV236</f>
        <v>146</v>
      </c>
      <c r="AU236" s="51" t="n">
        <f aca="false">IF(AR236&gt;0,J236/AR236,-1)</f>
        <v>0.212244897959184</v>
      </c>
      <c r="AV236" s="51" t="n">
        <f aca="false">IF(AND(OR(CC236="L1",CC236="L23",CC236="LIFT"),AR236&gt;0),SUMIFS($AR$7:$AR$1843,$CC$7:$CC$1843,CC236,$AU$7:$AU$1843,"&gt;"&amp;AU236)+SUMIFS($AR$7:$AR$1843,$CC$7:$CC$1843,CC236,$AU$7:$AU$1843,AU236,$BT$7:$BT$1843,"&lt;="&amp;BT236),"")</f>
        <v>18268.4363553114</v>
      </c>
      <c r="AW236" s="58" t="n">
        <f aca="false">IF(AV236="",0,MAX(0,MIN(1,(IF(CC236="L1",Parameter!$H$5,IF(CC236="L23",Parameter!$H$6+Parameter!$H$7,Parameter!$H$5+Parameter!$H$6+Parameter!$H$7))-(AV236-AR236))/AR236)))</f>
        <v>1</v>
      </c>
      <c r="AX236" s="50" t="n">
        <f aca="false">IF(LEFT(Cockpit!$O$5,1)="A",H236,IF(CE236=1,CF236,IF(LEFT(Cockpit!$O$5,1)="B",BC236,MAX(BC236,H236))))</f>
        <v>146</v>
      </c>
      <c r="AY236" s="50" t="n">
        <f aca="false">IF(BW236=1,0,ROUNDUP(AX236/BV236,0))</f>
        <v>1</v>
      </c>
      <c r="AZ236" s="52" t="n">
        <f aca="false">IF(CL236&gt;0,CL236*MAX(1,AX236/X236),IF(BW236=1,IF(AX236&lt;=0,0,CA236*MAX(1,IF(H236&gt;0,AX236/H236,1))),IF(R236&gt;0,AY236/R236,0))/MAX(0.1,N(Parameter!$M$21)))</f>
        <v>0.0384615384615385</v>
      </c>
      <c r="BA236" s="50" t="n">
        <f aca="false">AZ236*BY236</f>
        <v>9.42307692307692</v>
      </c>
      <c r="BB236" s="50" t="n">
        <f aca="false">AX236*G236</f>
        <v>16646.92</v>
      </c>
      <c r="BC236" s="50" t="n">
        <f aca="false">ROUNDUP(MAX(J236/IF(CD236&gt;0,CD236,MAX(0.1,N(Cockpit!$O$6))),CG236)/BV236,0)*BV236</f>
        <v>146</v>
      </c>
      <c r="BD236" s="51" t="n">
        <f aca="false">IF(BA236&gt;0,J236/BA236,-1)</f>
        <v>0.212244897959184</v>
      </c>
      <c r="BE236" s="51" t="n">
        <f aca="false">IF(AND(OR(CC236="L1",CC236="L23",CC236="LIFT"),BA236&gt;0),SUMIFS($BA$7:$BA$1843,$CC$7:$CC$1843,CC236,$BD$7:$BD$1843,"&gt;"&amp;BD236)+SUMIFS($BA$7:$BA$1843,$CC$7:$CC$1843,CC236,$BD$7:$BD$1843,BD236,$BT$7:$BT$1843,"&lt;="&amp;BT236),"")</f>
        <v>16921.1767399267</v>
      </c>
      <c r="BF236" s="58" t="n">
        <f aca="false">IF(BE236="",0,MAX(0,MIN(1,(IF(CC236="L1",Parameter!$H$5,IF(CC236="L23",Parameter!$H$6+Parameter!$H$7,Parameter!$H$5+Parameter!$H$6+Parameter!$H$7))-(BE236-BA236))/BA236)))</f>
        <v>1</v>
      </c>
      <c r="BG236" s="48" t="str">
        <f aca="false">IF(AI236&lt;=0,"",IF(CC236="Aussen","Aussenlager",IF(CC236="-","Nicht im Lift",IF(AN236&gt;=1,"Lift",IF(AN236&lt;=0,"Aussenlager","teilweise")))))</f>
        <v>Lift</v>
      </c>
      <c r="BH236" s="48" t="str">
        <f aca="false">IF(AR236&lt;=0,"",IF(CC236="Aussen","Aussenlager",IF(CC236="-","Nicht im Lift",IF(AW236&gt;=1,"Lift",IF(AW236&lt;=0,"Aussenlager","teilweise")))))</f>
        <v>Lift</v>
      </c>
      <c r="BI236" s="48" t="str">
        <f aca="false">IF(BA236&lt;=0,"",IF(CC236="Aussen","Aussenlager",IF(CC236="-","Nicht im Lift",IF(BF236&gt;=1,"Lift",IF(BF236&lt;=0,"Aussenlager","teilweise")))))</f>
        <v>Lift</v>
      </c>
      <c r="BJ236" s="48" t="str">
        <f aca="false">IF(A236="","",IF(BS236=1,"Neu; ","")&amp;IF(AND(BS236=0,BN236&lt;0),"negativer Bestand (Export "&amp;BN236&amp;"); ","")&amp;IF(J236&lt;=0,"Kein Verbrauch; ","")&amp;IF(CL236&gt;0,"Lift "&amp;W236&amp;" lt. Liftbericht (Fach "&amp;X236&amp;" Stk); ",IF(BX236=1,"Gebinde geschätzt ("&amp;T236&amp;"); ",IF(BW236=1,"Lose – Tablare geschätzt; ","")))&amp;IF(H236&gt;AT236,"Überbestand "&amp;ROUND(H236-AT236,0)&amp;" Stk / CHF "&amp;ROUND((H236-AT236)*G236,0)&amp;"; ","")&amp;IF(AND(CE236=1,CF236&lt;CG236),"MAX &lt; MB+LG; ","")&amp;IF(AND(CK236&gt;0,CJ236*10&gt;CK236),"zu hoch für Tablar; ","")&amp;IF(AND(BS236=0,OR(CE236=1,AA236&lt;&gt;"",U236&lt;&gt;"",V236&lt;&gt;"",AB236&lt;&gt;"")),"manuell übersteuert; ","")&amp;IF(AND(BW236=0,R236=0),"Gebinde unbekannt / Stellmass fehlt; ","")&amp;IF(AND(BW236=0,N(V236)&lt;=0,N(Q236)&lt;=0),"Menge pro Gebinde fehlt (Ist = 1 Gebinde); ","")&amp;BR236)</f>
        <v>Überbestand</v>
      </c>
      <c r="BK236" s="48"/>
      <c r="BL236" s="48"/>
      <c r="BM236" s="55"/>
      <c r="BN236" s="50" t="n">
        <v>5</v>
      </c>
      <c r="BO236" s="50" t="n">
        <v>56</v>
      </c>
      <c r="BP236" s="49" t="n">
        <v>570.1</v>
      </c>
      <c r="BQ236" s="50" t="n">
        <v>2</v>
      </c>
      <c r="BR236" s="48" t="s">
        <v>396</v>
      </c>
      <c r="BS236" s="53" t="n">
        <v>0</v>
      </c>
      <c r="BT236" s="53" t="n">
        <v>236</v>
      </c>
      <c r="BU236" s="48" t="str">
        <f aca="false">IF(U236&lt;&gt;"",UPPER(TRIM(U236)),IF(BX236=1,UPPER(VLOOKUP(T236,Parameter!$I$27:$K$29,2,0)),IF(P236="","LOSE",P236)))</f>
        <v>S52</v>
      </c>
      <c r="BV236" s="50" t="n">
        <f aca="false">IF(BU236="LOSE",1,IF(N(V236)&gt;0,V236,IF(BX236=1,MAX(1,N(VLOOKUP(T236,Parameter!$I$27:$K$29,3,0)),H236,N(N236)),IF(N(Q236)&gt;0,Q236,MAX(1,H236)))))</f>
        <v>146</v>
      </c>
      <c r="BW236" s="53" t="n">
        <f aca="false">IF(BU236="LOSE",1,0)</f>
        <v>0</v>
      </c>
      <c r="BX236" s="53" t="n">
        <f aca="false">IF(AND(U236="",OR(P236="",P236="LOSE"),T236&lt;&gt;"",N(S236)&lt;=0,ISNUMBER(MATCH(T236,Parameter!$I$27:$I$29,0))),1,0)</f>
        <v>0</v>
      </c>
      <c r="BY236" s="53" t="n">
        <f aca="false">IF(CL236&gt;0,INDEX(Parameter!$H$5:$H$7,W236)/INDEX(Parameter!$E$5:$E$7,W236),IF(AND(BW236=0,N(IFERROR(VLOOKUP(BU236,'Gebinde-Kategorie'!$A$5:$N$45,14,0),0))&gt;0),VLOOKUP(BU236,'Gebinde-Kategorie'!$A$5:$N$45,14,0)*10+Parameter!$M$23,Parameter!$M$24))</f>
        <v>245</v>
      </c>
      <c r="BZ236" s="48" t="str">
        <f aca="false">IF(AND(Parameter!$B$19="Ja",E236&lt;&gt;"",ISNUMBER(MATCH(E236,Parameter!$I$35:$I$52,0))),VLOOKUP(E236,Parameter!$I$35:$J$52,2,0),IFERROR(VLOOKUP(D236,Parameter!$A$35:$C$64,2,0),"Nein"))</f>
        <v>2+3</v>
      </c>
      <c r="CA236" s="52" t="n">
        <f aca="false">IF(BW236=0,0,IF(N(S236)&gt;0,S236,IFERROR(VLOOKUP(D236,Parameter!$A$35:$C$64,3,0)+0,0)))</f>
        <v>0</v>
      </c>
      <c r="CB236" s="48" t="n">
        <f aca="false">IF(AA236&lt;&gt;"",AA236,Z236)</f>
        <v>3</v>
      </c>
      <c r="CC236" s="48" t="str">
        <f aca="false">IF(OR(CB236=1,CB236=2,CB236=3),IF(Parameter!$E$27="Ja","LIFT",IF(CB236=1,"L1","L23")),IF(CB236="Aussen","Aussen","-"))</f>
        <v>LIFT</v>
      </c>
      <c r="CD236" s="59" t="n">
        <f aca="false">IF(N(AB236)&gt;0,AB236,0)</f>
        <v>0</v>
      </c>
      <c r="CE236" s="53" t="n">
        <f aca="false">IF(ISNUMBER(AE236),1,0)</f>
        <v>0</v>
      </c>
      <c r="CF236" s="50" t="n">
        <f aca="false">N(AE236)</f>
        <v>0</v>
      </c>
      <c r="CG236" s="50" t="n">
        <f aca="false">N(M236)+N(N236)</f>
        <v>5</v>
      </c>
      <c r="CH236" s="50" t="n">
        <f aca="false">ROUNDUP(H236/BV236,0)</f>
        <v>1</v>
      </c>
      <c r="CI236" s="50" t="n">
        <f aca="false">ROUNDUP(CF236/BV236,0)</f>
        <v>0</v>
      </c>
      <c r="CJ236" s="53" t="n">
        <f aca="false">IF(BW236=1,0,IFERROR(VLOOKUP(BU236,'Gebinde-Kategorie'!$A$5:$N$45,5,0)+0,0))</f>
        <v>21</v>
      </c>
      <c r="CK236" s="53" t="n">
        <f aca="false">IFERROR(IF(OR(CB236=1,CB236=2,CB236=3),N(INDEX(Parameter!$I$5:$I$7,CB236)),0),0)</f>
        <v>0</v>
      </c>
      <c r="CL236" s="52" t="n">
        <f aca="false">IF(AND(Parameter!$B$21="Ja",ISNUMBER(W236),N(X236)&gt;0),IFERROR(N(INDEX(Parameter!$L$5:$L$7,W236))*INDEX(Parameter!$E$5:$E$7,W236)*X236/SUMIFS($X$7:$X$1843,$W$7:$W$1843,W236),0),0)</f>
        <v>0</v>
      </c>
    </row>
    <row r="237" customFormat="false" ht="15" hidden="false" customHeight="false" outlineLevel="0" collapsed="false">
      <c r="A237" s="48" t="s">
        <v>666</v>
      </c>
      <c r="B237" s="48" t="s">
        <v>472</v>
      </c>
      <c r="C237" s="48" t="s">
        <v>168</v>
      </c>
      <c r="D237" s="48" t="s">
        <v>188</v>
      </c>
      <c r="E237" s="48" t="s">
        <v>189</v>
      </c>
      <c r="F237" s="48" t="s">
        <v>222</v>
      </c>
      <c r="G237" s="49" t="n">
        <v>4.28</v>
      </c>
      <c r="H237" s="50" t="n">
        <f aca="false">MAX(0,IF(AND(Parameter!$B$21="Ja",ISNUMBER(Y237)),Y237,IF(Parameter!$B$20="Jahresanfang 2025 + Export",BO237+BN237,BN237)))</f>
        <v>187</v>
      </c>
      <c r="I237" s="50" t="n">
        <f aca="false">H237*G237</f>
        <v>800.36</v>
      </c>
      <c r="J237" s="50" t="n">
        <f aca="false">BQ237*Parameter!$B$18</f>
        <v>30</v>
      </c>
      <c r="K237" s="51" t="n">
        <v>144.5</v>
      </c>
      <c r="L237" s="52" t="n">
        <v>0.207612456747405</v>
      </c>
      <c r="M237" s="50" t="n">
        <v>1</v>
      </c>
      <c r="N237" s="50" t="n">
        <v>30</v>
      </c>
      <c r="O237" s="53" t="n">
        <v>14</v>
      </c>
      <c r="P237" s="48" t="s">
        <v>237</v>
      </c>
      <c r="Q237" s="50" t="n">
        <v>139</v>
      </c>
      <c r="R237" s="53" t="n">
        <f aca="false">IF(BW237=1,0,IFERROR(VLOOKUP(BU237,'Gebinde-Kategorie'!$A$5:$N$45,13,0)+0,0))</f>
        <v>26</v>
      </c>
      <c r="S237" s="54"/>
      <c r="T237" s="55"/>
      <c r="U237" s="55"/>
      <c r="V237" s="55"/>
      <c r="W237" s="48"/>
      <c r="X237" s="50"/>
      <c r="Y237" s="50"/>
      <c r="Z237" s="48" t="n">
        <f aca="false">IF(A237="","",IF(AND(Parameter!$B$21="Ja",ISNUMBER(W237)),W237,IF(BZ237="2+3",IF(ISNUMBER(SEARCH("grosser Artikel",BR237)),2,IFERROR(VLOOKUP(BU237,Parameter!$F$35:$G$64,2,0),2)),IF(OR(BZ237="Nein",BZ237=""),"-",BZ237))))</f>
        <v>3</v>
      </c>
      <c r="AA237" s="55"/>
      <c r="AB237" s="56"/>
      <c r="AC237" s="50" t="n">
        <f aca="false">AT237</f>
        <v>139</v>
      </c>
      <c r="AD237" s="50" t="n">
        <f aca="false">MAX(AT237,H237)</f>
        <v>187</v>
      </c>
      <c r="AE237" s="57"/>
      <c r="AF237" s="50" t="n">
        <f aca="false">IF(LEFT(Cockpit!$C$5,1)="A",H237,IF(CE237=1,CF237,IF(LEFT(Cockpit!$C$5,1)="B",AK237,MAX(AK237,H237))))</f>
        <v>187</v>
      </c>
      <c r="AG237" s="50" t="n">
        <f aca="false">IF(BW237=1,0,ROUNDUP(AF237/BV237,0))</f>
        <v>2</v>
      </c>
      <c r="AH237" s="52" t="n">
        <f aca="false">IF(CL237&gt;0,CL237*MAX(1,AF237/X237),IF(BW237=1,IF(AF237&lt;=0,0,CA237*MAX(1,IF(H237&gt;0,AF237/H237,1))),IF(R237&gt;0,AG237/R237,0))/MAX(0.1,N(Parameter!$M$21)))</f>
        <v>0.0769230769230769</v>
      </c>
      <c r="AI237" s="50" t="n">
        <f aca="false">AH237*BY237</f>
        <v>18.8461538461538</v>
      </c>
      <c r="AJ237" s="50" t="n">
        <f aca="false">AF237*G237</f>
        <v>800.36</v>
      </c>
      <c r="AK237" s="50" t="n">
        <f aca="false">ROUNDUP(MAX(J237/IF(CD237&gt;0,CD237,MAX(0.1,N(Cockpit!$C$6))),CG237)/BV237,0)*BV237</f>
        <v>139</v>
      </c>
      <c r="AL237" s="51" t="n">
        <f aca="false">IF(AI237&gt;0,J237/AI237,-1)</f>
        <v>1.59183673469388</v>
      </c>
      <c r="AM237" s="51" t="n">
        <f aca="false">IF(AND(OR(CC237="L1",CC237="L23",CC237="LIFT"),AI237&gt;0),SUMIFS($AI$7:$AI$1843,$CC$7:$CC$1843,CC237,$AL$7:$AL$1843,"&gt;"&amp;AL237)+SUMIFS($AI$7:$AI$1843,$CC$7:$CC$1843,CC237,$AL$7:$AL$1843,AL237,$BT$7:$BT$1843,"&lt;="&amp;BT237),"")</f>
        <v>6180.12225274725</v>
      </c>
      <c r="AN237" s="58" t="n">
        <f aca="false">IF(AM237="",0,MAX(0,MIN(1,(IF(CC237="L1",Parameter!$H$5,IF(CC237="L23",Parameter!$H$6+Parameter!$H$7,Parameter!$H$5+Parameter!$H$6+Parameter!$H$7))-(AM237-AI237))/AI237)))</f>
        <v>1</v>
      </c>
      <c r="AO237" s="50" t="n">
        <f aca="false">IF(LEFT(Cockpit!$I$5,1)="A",H237,IF(CE237=1,CF237,IF(LEFT(Cockpit!$I$5,1)="B",AT237,MAX(AT237,H237))))</f>
        <v>187</v>
      </c>
      <c r="AP237" s="50" t="n">
        <f aca="false">IF(BW237=1,0,ROUNDUP(AO237/BV237,0))</f>
        <v>2</v>
      </c>
      <c r="AQ237" s="52" t="n">
        <f aca="false">IF(CL237&gt;0,CL237*MAX(1,AO237/X237),IF(BW237=1,IF(AO237&lt;=0,0,CA237*MAX(1,IF(H237&gt;0,AO237/H237,1))),IF(R237&gt;0,AP237/R237,0))/MAX(0.1,N(Parameter!$M$21)))</f>
        <v>0.0769230769230769</v>
      </c>
      <c r="AR237" s="50" t="n">
        <f aca="false">AQ237*BY237</f>
        <v>18.8461538461538</v>
      </c>
      <c r="AS237" s="50" t="n">
        <f aca="false">AO237*G237</f>
        <v>800.36</v>
      </c>
      <c r="AT237" s="50" t="n">
        <f aca="false">ROUNDUP(MAX(J237/IF(CD237&gt;0,CD237,MAX(0.1,N(Cockpit!$I$6))),CG237)/BV237,0)*BV237</f>
        <v>139</v>
      </c>
      <c r="AU237" s="51" t="n">
        <f aca="false">IF(AR237&gt;0,J237/AR237,-1)</f>
        <v>1.59183673469388</v>
      </c>
      <c r="AV237" s="51" t="n">
        <f aca="false">IF(AND(OR(CC237="L1",CC237="L23",CC237="LIFT"),AR237&gt;0),SUMIFS($AR$7:$AR$1843,$CC$7:$CC$1843,CC237,$AU$7:$AU$1843,"&gt;"&amp;AU237)+SUMIFS($AR$7:$AR$1843,$CC$7:$CC$1843,CC237,$AU$7:$AU$1843,AU237,$BT$7:$BT$1843,"&lt;="&amp;BT237),"")</f>
        <v>8342.0521978022</v>
      </c>
      <c r="AW237" s="58" t="n">
        <f aca="false">IF(AV237="",0,MAX(0,MIN(1,(IF(CC237="L1",Parameter!$H$5,IF(CC237="L23",Parameter!$H$6+Parameter!$H$7,Parameter!$H$5+Parameter!$H$6+Parameter!$H$7))-(AV237-AR237))/AR237)))</f>
        <v>1</v>
      </c>
      <c r="AX237" s="50" t="n">
        <f aca="false">IF(LEFT(Cockpit!$O$5,1)="A",H237,IF(CE237=1,CF237,IF(LEFT(Cockpit!$O$5,1)="B",BC237,MAX(BC237,H237))))</f>
        <v>187</v>
      </c>
      <c r="AY237" s="50" t="n">
        <f aca="false">IF(BW237=1,0,ROUNDUP(AX237/BV237,0))</f>
        <v>2</v>
      </c>
      <c r="AZ237" s="52" t="n">
        <f aca="false">IF(CL237&gt;0,CL237*MAX(1,AX237/X237),IF(BW237=1,IF(AX237&lt;=0,0,CA237*MAX(1,IF(H237&gt;0,AX237/H237,1))),IF(R237&gt;0,AY237/R237,0))/MAX(0.1,N(Parameter!$M$21)))</f>
        <v>0.0769230769230769</v>
      </c>
      <c r="BA237" s="50" t="n">
        <f aca="false">AZ237*BY237</f>
        <v>18.8461538461538</v>
      </c>
      <c r="BB237" s="50" t="n">
        <f aca="false">AX237*G237</f>
        <v>800.36</v>
      </c>
      <c r="BC237" s="50" t="n">
        <f aca="false">ROUNDUP(MAX(J237/IF(CD237&gt;0,CD237,MAX(0.1,N(Cockpit!$O$6))),CG237)/BV237,0)*BV237</f>
        <v>139</v>
      </c>
      <c r="BD237" s="51" t="n">
        <f aca="false">IF(BA237&gt;0,J237/BA237,-1)</f>
        <v>1.59183673469388</v>
      </c>
      <c r="BE237" s="51" t="n">
        <f aca="false">IF(AND(OR(CC237="L1",CC237="L23",CC237="LIFT"),BA237&gt;0),SUMIFS($BA$7:$BA$1843,$CC$7:$CC$1843,CC237,$BD$7:$BD$1843,"&gt;"&amp;BD237)+SUMIFS($BA$7:$BA$1843,$CC$7:$CC$1843,CC237,$BD$7:$BD$1843,BD237,$BT$7:$BT$1843,"&lt;="&amp;BT237),"")</f>
        <v>8256.45924908425</v>
      </c>
      <c r="BF237" s="58" t="n">
        <f aca="false">IF(BE237="",0,MAX(0,MIN(1,(IF(CC237="L1",Parameter!$H$5,IF(CC237="L23",Parameter!$H$6+Parameter!$H$7,Parameter!$H$5+Parameter!$H$6+Parameter!$H$7))-(BE237-BA237))/BA237)))</f>
        <v>1</v>
      </c>
      <c r="BG237" s="48" t="str">
        <f aca="false">IF(AI237&lt;=0,"",IF(CC237="Aussen","Aussenlager",IF(CC237="-","Nicht im Lift",IF(AN237&gt;=1,"Lift",IF(AN237&lt;=0,"Aussenlager","teilweise")))))</f>
        <v>Lift</v>
      </c>
      <c r="BH237" s="48" t="str">
        <f aca="false">IF(AR237&lt;=0,"",IF(CC237="Aussen","Aussenlager",IF(CC237="-","Nicht im Lift",IF(AW237&gt;=1,"Lift",IF(AW237&lt;=0,"Aussenlager","teilweise")))))</f>
        <v>Lift</v>
      </c>
      <c r="BI237" s="48" t="str">
        <f aca="false">IF(BA237&lt;=0,"",IF(CC237="Aussen","Aussenlager",IF(CC237="-","Nicht im Lift",IF(BF237&gt;=1,"Lift",IF(BF237&lt;=0,"Aussenlager","teilweise")))))</f>
        <v>Lift</v>
      </c>
      <c r="BJ237" s="48" t="str">
        <f aca="false">IF(A237="","",IF(BS237=1,"Neu; ","")&amp;IF(AND(BS237=0,BN237&lt;0),"negativer Bestand (Export "&amp;BN237&amp;"); ","")&amp;IF(J237&lt;=0,"Kein Verbrauch; ","")&amp;IF(CL237&gt;0,"Lift "&amp;W237&amp;" lt. Liftbericht (Fach "&amp;X237&amp;" Stk); ",IF(BX237=1,"Gebinde geschätzt ("&amp;T237&amp;"); ",IF(BW237=1,"Lose – Tablare geschätzt; ","")))&amp;IF(H237&gt;AT237,"Überbestand "&amp;ROUND(H237-AT237,0)&amp;" Stk / CHF "&amp;ROUND((H237-AT237)*G237,0)&amp;"; ","")&amp;IF(AND(CE237=1,CF237&lt;CG237),"MAX &lt; MB+LG; ","")&amp;IF(AND(CK237&gt;0,CJ237*10&gt;CK237),"zu hoch für Tablar; ","")&amp;IF(AND(BS237=0,OR(CE237=1,AA237&lt;&gt;"",U237&lt;&gt;"",V237&lt;&gt;"",AB237&lt;&gt;"")),"manuell übersteuert; ","")&amp;IF(AND(BW237=0,R237=0),"Gebinde unbekannt / Stellmass fehlt; ","")&amp;IF(AND(BW237=0,N(V237)&lt;=0,N(Q237)&lt;=0),"Menge pro Gebinde fehlt (Ist = 1 Gebinde); ","")&amp;BR237)</f>
        <v>Überbestand 48 Stk / CHF 205; </v>
      </c>
      <c r="BK237" s="48"/>
      <c r="BL237" s="48"/>
      <c r="BM237" s="55"/>
      <c r="BN237" s="50" t="n">
        <v>135</v>
      </c>
      <c r="BO237" s="50" t="n">
        <v>52</v>
      </c>
      <c r="BP237" s="49" t="n">
        <v>570.000000000001</v>
      </c>
      <c r="BQ237" s="50" t="n">
        <v>30</v>
      </c>
      <c r="BR237" s="48"/>
      <c r="BS237" s="53" t="n">
        <v>0</v>
      </c>
      <c r="BT237" s="53" t="n">
        <v>237</v>
      </c>
      <c r="BU237" s="48" t="str">
        <f aca="false">IF(U237&lt;&gt;"",UPPER(TRIM(U237)),IF(BX237=1,UPPER(VLOOKUP(T237,Parameter!$I$27:$K$29,2,0)),IF(P237="","LOSE",P237)))</f>
        <v>S52</v>
      </c>
      <c r="BV237" s="50" t="n">
        <f aca="false">IF(BU237="LOSE",1,IF(N(V237)&gt;0,V237,IF(BX237=1,MAX(1,N(VLOOKUP(T237,Parameter!$I$27:$K$29,3,0)),H237,N(N237)),IF(N(Q237)&gt;0,Q237,MAX(1,H237)))))</f>
        <v>139</v>
      </c>
      <c r="BW237" s="53" t="n">
        <f aca="false">IF(BU237="LOSE",1,0)</f>
        <v>0</v>
      </c>
      <c r="BX237" s="53" t="n">
        <f aca="false">IF(AND(U237="",OR(P237="",P237="LOSE"),T237&lt;&gt;"",N(S237)&lt;=0,ISNUMBER(MATCH(T237,Parameter!$I$27:$I$29,0))),1,0)</f>
        <v>0</v>
      </c>
      <c r="BY237" s="53" t="n">
        <f aca="false">IF(CL237&gt;0,INDEX(Parameter!$H$5:$H$7,W237)/INDEX(Parameter!$E$5:$E$7,W237),IF(AND(BW237=0,N(IFERROR(VLOOKUP(BU237,'Gebinde-Kategorie'!$A$5:$N$45,14,0),0))&gt;0),VLOOKUP(BU237,'Gebinde-Kategorie'!$A$5:$N$45,14,0)*10+Parameter!$M$23,Parameter!$M$24))</f>
        <v>245</v>
      </c>
      <c r="BZ237" s="48" t="str">
        <f aca="false">IF(AND(Parameter!$B$19="Ja",E237&lt;&gt;"",ISNUMBER(MATCH(E237,Parameter!$I$35:$I$52,0))),VLOOKUP(E237,Parameter!$I$35:$J$52,2,0),IFERROR(VLOOKUP(D237,Parameter!$A$35:$C$64,2,0),"Nein"))</f>
        <v>2+3</v>
      </c>
      <c r="CA237" s="52" t="n">
        <f aca="false">IF(BW237=0,0,IF(N(S237)&gt;0,S237,IFERROR(VLOOKUP(D237,Parameter!$A$35:$C$64,3,0)+0,0)))</f>
        <v>0</v>
      </c>
      <c r="CB237" s="48" t="n">
        <f aca="false">IF(AA237&lt;&gt;"",AA237,Z237)</f>
        <v>3</v>
      </c>
      <c r="CC237" s="48" t="str">
        <f aca="false">IF(OR(CB237=1,CB237=2,CB237=3),IF(Parameter!$E$27="Ja","LIFT",IF(CB237=1,"L1","L23")),IF(CB237="Aussen","Aussen","-"))</f>
        <v>LIFT</v>
      </c>
      <c r="CD237" s="59" t="n">
        <f aca="false">IF(N(AB237)&gt;0,AB237,0)</f>
        <v>0</v>
      </c>
      <c r="CE237" s="53" t="n">
        <f aca="false">IF(ISNUMBER(AE237),1,0)</f>
        <v>0</v>
      </c>
      <c r="CF237" s="50" t="n">
        <f aca="false">N(AE237)</f>
        <v>0</v>
      </c>
      <c r="CG237" s="50" t="n">
        <f aca="false">N(M237)+N(N237)</f>
        <v>31</v>
      </c>
      <c r="CH237" s="50" t="n">
        <f aca="false">ROUNDUP(H237/BV237,0)</f>
        <v>2</v>
      </c>
      <c r="CI237" s="50" t="n">
        <f aca="false">ROUNDUP(CF237/BV237,0)</f>
        <v>0</v>
      </c>
      <c r="CJ237" s="53" t="n">
        <f aca="false">IF(BW237=1,0,IFERROR(VLOOKUP(BU237,'Gebinde-Kategorie'!$A$5:$N$45,5,0)+0,0))</f>
        <v>21</v>
      </c>
      <c r="CK237" s="53" t="n">
        <f aca="false">IFERROR(IF(OR(CB237=1,CB237=2,CB237=3),N(INDEX(Parameter!$I$5:$I$7,CB237)),0),0)</f>
        <v>0</v>
      </c>
      <c r="CL237" s="52" t="n">
        <f aca="false">IF(AND(Parameter!$B$21="Ja",ISNUMBER(W237),N(X237)&gt;0),IFERROR(N(INDEX(Parameter!$L$5:$L$7,W237))*INDEX(Parameter!$E$5:$E$7,W237)*X237/SUMIFS($X$7:$X$1843,$W$7:$W$1843,W237),0),0)</f>
        <v>0</v>
      </c>
    </row>
    <row r="238" customFormat="false" ht="15" hidden="false" customHeight="false" outlineLevel="0" collapsed="false">
      <c r="A238" s="48" t="s">
        <v>667</v>
      </c>
      <c r="B238" s="48" t="s">
        <v>668</v>
      </c>
      <c r="C238" s="48" t="s">
        <v>168</v>
      </c>
      <c r="D238" s="48" t="s">
        <v>177</v>
      </c>
      <c r="E238" s="48" t="s">
        <v>189</v>
      </c>
      <c r="F238" s="48" t="s">
        <v>222</v>
      </c>
      <c r="G238" s="49" t="n">
        <v>142</v>
      </c>
      <c r="H238" s="50" t="n">
        <f aca="false">MAX(0,IF(AND(Parameter!$B$21="Ja",ISNUMBER(Y238)),Y238,IF(Parameter!$B$20="Jahresanfang 2025 + Export",BO238+BN238,BN238)))</f>
        <v>5</v>
      </c>
      <c r="I238" s="50" t="n">
        <f aca="false">H238*G238</f>
        <v>710</v>
      </c>
      <c r="J238" s="50" t="n">
        <f aca="false">BQ238*Parameter!$B$18</f>
        <v>12</v>
      </c>
      <c r="K238" s="51" t="n">
        <v>4.5</v>
      </c>
      <c r="L238" s="52" t="n">
        <v>2.66666666666667</v>
      </c>
      <c r="M238" s="50" t="n">
        <v>1</v>
      </c>
      <c r="N238" s="50" t="n">
        <v>10</v>
      </c>
      <c r="O238" s="53" t="n">
        <v>35</v>
      </c>
      <c r="P238" s="48" t="s">
        <v>178</v>
      </c>
      <c r="Q238" s="50" t="n">
        <v>10</v>
      </c>
      <c r="R238" s="53" t="n">
        <f aca="false">IF(BW238=1,0,IFERROR(VLOOKUP(BU238,'Gebinde-Kategorie'!$A$5:$N$45,13,0)+0,0))</f>
        <v>6</v>
      </c>
      <c r="S238" s="54"/>
      <c r="T238" s="55"/>
      <c r="U238" s="55"/>
      <c r="V238" s="55"/>
      <c r="W238" s="48"/>
      <c r="X238" s="50"/>
      <c r="Y238" s="50"/>
      <c r="Z238" s="48" t="n">
        <f aca="false">IF(A238="","",IF(AND(Parameter!$B$21="Ja",ISNUMBER(W238)),W238,IF(BZ238="2+3",IF(ISNUMBER(SEARCH("grosser Artikel",BR238)),2,IFERROR(VLOOKUP(BU238,Parameter!$F$35:$G$64,2,0),2)),IF(OR(BZ238="Nein",BZ238=""),"-",BZ238))))</f>
        <v>2</v>
      </c>
      <c r="AA238" s="55"/>
      <c r="AB238" s="56"/>
      <c r="AC238" s="50" t="n">
        <f aca="false">AT238</f>
        <v>20</v>
      </c>
      <c r="AD238" s="50" t="n">
        <f aca="false">MAX(AT238,H238)</f>
        <v>20</v>
      </c>
      <c r="AE238" s="57"/>
      <c r="AF238" s="50" t="n">
        <f aca="false">IF(LEFT(Cockpit!$C$5,1)="A",H238,IF(CE238=1,CF238,IF(LEFT(Cockpit!$C$5,1)="B",AK238,MAX(AK238,H238))))</f>
        <v>5</v>
      </c>
      <c r="AG238" s="50" t="n">
        <f aca="false">IF(BW238=1,0,ROUNDUP(AF238/BV238,0))</f>
        <v>1</v>
      </c>
      <c r="AH238" s="52" t="n">
        <f aca="false">IF(CL238&gt;0,CL238*MAX(1,AF238/X238),IF(BW238=1,IF(AF238&lt;=0,0,CA238*MAX(1,IF(H238&gt;0,AF238/H238,1))),IF(R238&gt;0,AG238/R238,0))/MAX(0.1,N(Parameter!$M$21)))</f>
        <v>0.166666666666667</v>
      </c>
      <c r="AI238" s="50" t="n">
        <f aca="false">AH238*BY238</f>
        <v>39.1666666666667</v>
      </c>
      <c r="AJ238" s="50" t="n">
        <f aca="false">AF238*G238</f>
        <v>710</v>
      </c>
      <c r="AK238" s="50" t="n">
        <f aca="false">ROUNDUP(MAX(J238/IF(CD238&gt;0,CD238,MAX(0.1,N(Cockpit!$C$6))),CG238)/BV238,0)*BV238</f>
        <v>20</v>
      </c>
      <c r="AL238" s="51" t="n">
        <f aca="false">IF(AI238&gt;0,J238/AI238,-1)</f>
        <v>0.306382978723404</v>
      </c>
      <c r="AM238" s="51" t="n">
        <f aca="false">IF(AND(OR(CC238="L1",CC238="L23",CC238="LIFT"),AI238&gt;0),SUMIFS($AI$7:$AI$1843,$CC$7:$CC$1843,CC238,$AL$7:$AL$1843,"&gt;"&amp;AL238)+SUMIFS($AI$7:$AI$1843,$CC$7:$CC$1843,CC238,$AL$7:$AL$1843,AL238,$BT$7:$BT$1843,"&lt;="&amp;BT238),"")</f>
        <v>11287.7821676911</v>
      </c>
      <c r="AN238" s="58" t="n">
        <f aca="false">IF(AM238="",0,MAX(0,MIN(1,(IF(CC238="L1",Parameter!$H$5,IF(CC238="L23",Parameter!$H$6+Parameter!$H$7,Parameter!$H$5+Parameter!$H$6+Parameter!$H$7))-(AM238-AI238))/AI238)))</f>
        <v>1</v>
      </c>
      <c r="AO238" s="50" t="n">
        <f aca="false">IF(LEFT(Cockpit!$I$5,1)="A",H238,IF(CE238=1,CF238,IF(LEFT(Cockpit!$I$5,1)="B",AT238,MAX(AT238,H238))))</f>
        <v>20</v>
      </c>
      <c r="AP238" s="50" t="n">
        <f aca="false">IF(BW238=1,0,ROUNDUP(AO238/BV238,0))</f>
        <v>2</v>
      </c>
      <c r="AQ238" s="52" t="n">
        <f aca="false">IF(CL238&gt;0,CL238*MAX(1,AO238/X238),IF(BW238=1,IF(AO238&lt;=0,0,CA238*MAX(1,IF(H238&gt;0,AO238/H238,1))),IF(R238&gt;0,AP238/R238,0))/MAX(0.1,N(Parameter!$M$21)))</f>
        <v>0.333333333333333</v>
      </c>
      <c r="AR238" s="50" t="n">
        <f aca="false">AQ238*BY238</f>
        <v>78.3333333333333</v>
      </c>
      <c r="AS238" s="50" t="n">
        <f aca="false">AO238*G238</f>
        <v>2840</v>
      </c>
      <c r="AT238" s="50" t="n">
        <f aca="false">ROUNDUP(MAX(J238/IF(CD238&gt;0,CD238,MAX(0.1,N(Cockpit!$I$6))),CG238)/BV238,0)*BV238</f>
        <v>20</v>
      </c>
      <c r="AU238" s="51" t="n">
        <f aca="false">IF(AR238&gt;0,J238/AR238,-1)</f>
        <v>0.153191489361702</v>
      </c>
      <c r="AV238" s="51" t="n">
        <f aca="false">IF(AND(OR(CC238="L1",CC238="L23",CC238="LIFT"),AR238&gt;0),SUMIFS($AR$7:$AR$1843,$CC$7:$CC$1843,CC238,$AU$7:$AU$1843,"&gt;"&amp;AU238)+SUMIFS($AR$7:$AR$1843,$CC$7:$CC$1843,CC238,$AU$7:$AU$1843,AU238,$BT$7:$BT$1843,"&lt;="&amp;BT238),"")</f>
        <v>19842.4107142857</v>
      </c>
      <c r="AW238" s="58" t="n">
        <f aca="false">IF(AV238="",0,MAX(0,MIN(1,(IF(CC238="L1",Parameter!$H$5,IF(CC238="L23",Parameter!$H$6+Parameter!$H$7,Parameter!$H$5+Parameter!$H$6+Parameter!$H$7))-(AV238-AR238))/AR238)))</f>
        <v>1</v>
      </c>
      <c r="AX238" s="50" t="n">
        <f aca="false">IF(LEFT(Cockpit!$O$5,1)="A",H238,IF(CE238=1,CF238,IF(LEFT(Cockpit!$O$5,1)="B",BC238,MAX(BC238,H238))))</f>
        <v>20</v>
      </c>
      <c r="AY238" s="50" t="n">
        <f aca="false">IF(BW238=1,0,ROUNDUP(AX238/BV238,0))</f>
        <v>2</v>
      </c>
      <c r="AZ238" s="52" t="n">
        <f aca="false">IF(CL238&gt;0,CL238*MAX(1,AX238/X238),IF(BW238=1,IF(AX238&lt;=0,0,CA238*MAX(1,IF(H238&gt;0,AX238/H238,1))),IF(R238&gt;0,AY238/R238,0))/MAX(0.1,N(Parameter!$M$21)))</f>
        <v>0.333333333333333</v>
      </c>
      <c r="BA238" s="50" t="n">
        <f aca="false">AZ238*BY238</f>
        <v>78.3333333333333</v>
      </c>
      <c r="BB238" s="50" t="n">
        <f aca="false">AX238*G238</f>
        <v>2840</v>
      </c>
      <c r="BC238" s="50" t="n">
        <f aca="false">ROUNDUP(MAX(J238/IF(CD238&gt;0,CD238,MAX(0.1,N(Cockpit!$O$6))),CG238)/BV238,0)*BV238</f>
        <v>20</v>
      </c>
      <c r="BD238" s="51" t="n">
        <f aca="false">IF(BA238&gt;0,J238/BA238,-1)</f>
        <v>0.153191489361702</v>
      </c>
      <c r="BE238" s="51" t="n">
        <f aca="false">IF(AND(OR(CC238="L1",CC238="L23",CC238="LIFT"),BA238&gt;0),SUMIFS($BA$7:$BA$1843,$CC$7:$CC$1843,CC238,$BD$7:$BD$1843,"&gt;"&amp;BD238)+SUMIFS($BA$7:$BA$1843,$CC$7:$CC$1843,CC238,$BD$7:$BD$1843,BD238,$BT$7:$BT$1843,"&lt;="&amp;BT238),"")</f>
        <v>18325.6595734774</v>
      </c>
      <c r="BF238" s="58" t="n">
        <f aca="false">IF(BE238="",0,MAX(0,MIN(1,(IF(CC238="L1",Parameter!$H$5,IF(CC238="L23",Parameter!$H$6+Parameter!$H$7,Parameter!$H$5+Parameter!$H$6+Parameter!$H$7))-(BE238-BA238))/BA238)))</f>
        <v>1</v>
      </c>
      <c r="BG238" s="48" t="str">
        <f aca="false">IF(AI238&lt;=0,"",IF(CC238="Aussen","Aussenlager",IF(CC238="-","Nicht im Lift",IF(AN238&gt;=1,"Lift",IF(AN238&lt;=0,"Aussenlager","teilweise")))))</f>
        <v>Lift</v>
      </c>
      <c r="BH238" s="48" t="str">
        <f aca="false">IF(AR238&lt;=0,"",IF(CC238="Aussen","Aussenlager",IF(CC238="-","Nicht im Lift",IF(AW238&gt;=1,"Lift",IF(AW238&lt;=0,"Aussenlager","teilweise")))))</f>
        <v>Lift</v>
      </c>
      <c r="BI238" s="48" t="str">
        <f aca="false">IF(BA238&lt;=0,"",IF(CC238="Aussen","Aussenlager",IF(CC238="-","Nicht im Lift",IF(BF238&gt;=1,"Lift",IF(BF238&lt;=0,"Aussenlager","teilweise")))))</f>
        <v>Lift</v>
      </c>
      <c r="BJ238" s="48" t="str">
        <f aca="false">IF(A238="","",IF(BS238=1,"Neu; ","")&amp;IF(AND(BS238=0,BN238&lt;0),"negativer Bestand (Export "&amp;BN238&amp;"); ","")&amp;IF(J238&lt;=0,"Kein Verbrauch; ","")&amp;IF(CL238&gt;0,"Lift "&amp;W238&amp;" lt. Liftbericht (Fach "&amp;X238&amp;" Stk); ",IF(BX238=1,"Gebinde geschätzt ("&amp;T238&amp;"); ",IF(BW238=1,"Lose – Tablare geschätzt; ","")))&amp;IF(H238&gt;AT238,"Überbestand "&amp;ROUND(H238-AT238,0)&amp;" Stk / CHF "&amp;ROUND((H238-AT238)*G238,0)&amp;"; ","")&amp;IF(AND(CE238=1,CF238&lt;CG238),"MAX &lt; MB+LG; ","")&amp;IF(AND(CK238&gt;0,CJ238*10&gt;CK238),"zu hoch für Tablar; ","")&amp;IF(AND(BS238=0,OR(CE238=1,AA238&lt;&gt;"",U238&lt;&gt;"",V238&lt;&gt;"",AB238&lt;&gt;"")),"manuell übersteuert; ","")&amp;IF(AND(BW238=0,R238=0),"Gebinde unbekannt / Stellmass fehlt; ","")&amp;IF(AND(BW238=0,N(V238)&lt;=0,N(Q238)&lt;=0),"Menge pro Gebinde fehlt (Ist = 1 Gebinde); ","")&amp;BR238)</f>
        <v>grosser Artikel &amp; nicht im KTL</v>
      </c>
      <c r="BK238" s="48"/>
      <c r="BL238" s="48"/>
      <c r="BM238" s="55"/>
      <c r="BN238" s="50" t="n">
        <v>4</v>
      </c>
      <c r="BO238" s="50" t="n">
        <v>1</v>
      </c>
      <c r="BP238" s="49" t="n">
        <v>567.95</v>
      </c>
      <c r="BQ238" s="50" t="n">
        <v>12</v>
      </c>
      <c r="BR238" s="48" t="s">
        <v>265</v>
      </c>
      <c r="BS238" s="53" t="n">
        <v>0</v>
      </c>
      <c r="BT238" s="53" t="n">
        <v>238</v>
      </c>
      <c r="BU238" s="48" t="str">
        <f aca="false">IF(U238&lt;&gt;"",UPPER(TRIM(U238)),IF(BX238=1,UPPER(VLOOKUP(T238,Parameter!$I$27:$K$29,2,0)),IF(P238="","LOSE",P238)))</f>
        <v>S71</v>
      </c>
      <c r="BV238" s="50" t="n">
        <f aca="false">IF(BU238="LOSE",1,IF(N(V238)&gt;0,V238,IF(BX238=1,MAX(1,N(VLOOKUP(T238,Parameter!$I$27:$K$29,3,0)),H238,N(N238)),IF(N(Q238)&gt;0,Q238,MAX(1,H238)))))</f>
        <v>10</v>
      </c>
      <c r="BW238" s="53" t="n">
        <f aca="false">IF(BU238="LOSE",1,0)</f>
        <v>0</v>
      </c>
      <c r="BX238" s="53" t="n">
        <f aca="false">IF(AND(U238="",OR(P238="",P238="LOSE"),T238&lt;&gt;"",N(S238)&lt;=0,ISNUMBER(MATCH(T238,Parameter!$I$27:$I$29,0))),1,0)</f>
        <v>0</v>
      </c>
      <c r="BY238" s="53" t="n">
        <f aca="false">IF(CL238&gt;0,INDEX(Parameter!$H$5:$H$7,W238)/INDEX(Parameter!$E$5:$E$7,W238),IF(AND(BW238=0,N(IFERROR(VLOOKUP(BU238,'Gebinde-Kategorie'!$A$5:$N$45,14,0),0))&gt;0),VLOOKUP(BU238,'Gebinde-Kategorie'!$A$5:$N$45,14,0)*10+Parameter!$M$23,Parameter!$M$24))</f>
        <v>235</v>
      </c>
      <c r="BZ238" s="48" t="str">
        <f aca="false">IF(AND(Parameter!$B$19="Ja",E238&lt;&gt;"",ISNUMBER(MATCH(E238,Parameter!$I$35:$I$52,0))),VLOOKUP(E238,Parameter!$I$35:$J$52,2,0),IFERROR(VLOOKUP(D238,Parameter!$A$35:$C$64,2,0),"Nein"))</f>
        <v>2+3</v>
      </c>
      <c r="CA238" s="52" t="n">
        <f aca="false">IF(BW238=0,0,IF(N(S238)&gt;0,S238,IFERROR(VLOOKUP(D238,Parameter!$A$35:$C$64,3,0)+0,0)))</f>
        <v>0</v>
      </c>
      <c r="CB238" s="48" t="n">
        <f aca="false">IF(AA238&lt;&gt;"",AA238,Z238)</f>
        <v>2</v>
      </c>
      <c r="CC238" s="48" t="str">
        <f aca="false">IF(OR(CB238=1,CB238=2,CB238=3),IF(Parameter!$E$27="Ja","LIFT",IF(CB238=1,"L1","L23")),IF(CB238="Aussen","Aussen","-"))</f>
        <v>LIFT</v>
      </c>
      <c r="CD238" s="59" t="n">
        <f aca="false">IF(N(AB238)&gt;0,AB238,0)</f>
        <v>0</v>
      </c>
      <c r="CE238" s="53" t="n">
        <f aca="false">IF(ISNUMBER(AE238),1,0)</f>
        <v>0</v>
      </c>
      <c r="CF238" s="50" t="n">
        <f aca="false">N(AE238)</f>
        <v>0</v>
      </c>
      <c r="CG238" s="50" t="n">
        <f aca="false">N(M238)+N(N238)</f>
        <v>11</v>
      </c>
      <c r="CH238" s="50" t="n">
        <f aca="false">ROUNDUP(H238/BV238,0)</f>
        <v>1</v>
      </c>
      <c r="CI238" s="50" t="n">
        <f aca="false">ROUNDUP(CF238/BV238,0)</f>
        <v>0</v>
      </c>
      <c r="CJ238" s="53" t="n">
        <f aca="false">IF(BW238=1,0,IFERROR(VLOOKUP(BU238,'Gebinde-Kategorie'!$A$5:$N$45,5,0)+0,0))</f>
        <v>20</v>
      </c>
      <c r="CK238" s="53" t="n">
        <f aca="false">IFERROR(IF(OR(CB238=1,CB238=2,CB238=3),N(INDEX(Parameter!$I$5:$I$7,CB238)),0),0)</f>
        <v>0</v>
      </c>
      <c r="CL238" s="52" t="n">
        <f aca="false">IF(AND(Parameter!$B$21="Ja",ISNUMBER(W238),N(X238)&gt;0),IFERROR(N(INDEX(Parameter!$L$5:$L$7,W238))*INDEX(Parameter!$E$5:$E$7,W238)*X238/SUMIFS($X$7:$X$1843,$W$7:$W$1843,W238),0),0)</f>
        <v>0</v>
      </c>
    </row>
    <row r="239" customFormat="false" ht="15" hidden="false" customHeight="false" outlineLevel="0" collapsed="false">
      <c r="A239" s="48" t="s">
        <v>669</v>
      </c>
      <c r="B239" s="48" t="s">
        <v>670</v>
      </c>
      <c r="C239" s="48" t="s">
        <v>168</v>
      </c>
      <c r="D239" s="48" t="s">
        <v>188</v>
      </c>
      <c r="E239" s="48" t="s">
        <v>189</v>
      </c>
      <c r="F239" s="48" t="s">
        <v>222</v>
      </c>
      <c r="G239" s="49" t="n">
        <v>10.59</v>
      </c>
      <c r="H239" s="50" t="n">
        <f aca="false">MAX(0,IF(AND(Parameter!$B$21="Ja",ISNUMBER(Y239)),Y239,IF(Parameter!$B$20="Jahresanfang 2025 + Export",BO239+BN239,BN239)))</f>
        <v>102</v>
      </c>
      <c r="I239" s="50" t="n">
        <f aca="false">H239*G239</f>
        <v>1080.18</v>
      </c>
      <c r="J239" s="50" t="n">
        <f aca="false">BQ239*Parameter!$B$18</f>
        <v>108</v>
      </c>
      <c r="K239" s="51" t="n">
        <v>80</v>
      </c>
      <c r="L239" s="52" t="n">
        <v>1.35</v>
      </c>
      <c r="M239" s="50" t="n">
        <v>12</v>
      </c>
      <c r="N239" s="50" t="n">
        <v>110</v>
      </c>
      <c r="O239" s="53" t="n">
        <v>42</v>
      </c>
      <c r="P239" s="48" t="s">
        <v>425</v>
      </c>
      <c r="Q239" s="50" t="n">
        <v>311</v>
      </c>
      <c r="R239" s="53" t="n">
        <f aca="false">IF(BW239=1,0,IFERROR(VLOOKUP(BU239,'Gebinde-Kategorie'!$A$5:$N$45,13,0)+0,0))</f>
        <v>104</v>
      </c>
      <c r="S239" s="54"/>
      <c r="T239" s="55"/>
      <c r="U239" s="55"/>
      <c r="V239" s="55"/>
      <c r="W239" s="48"/>
      <c r="X239" s="50"/>
      <c r="Y239" s="50"/>
      <c r="Z239" s="48" t="n">
        <f aca="false">IF(A239="","",IF(AND(Parameter!$B$21="Ja",ISNUMBER(W239)),W239,IF(BZ239="2+3",IF(ISNUMBER(SEARCH("grosser Artikel",BR239)),2,IFERROR(VLOOKUP(BU239,Parameter!$F$35:$G$64,2,0),2)),IF(OR(BZ239="Nein",BZ239=""),"-",BZ239))))</f>
        <v>3</v>
      </c>
      <c r="AA239" s="55"/>
      <c r="AB239" s="56"/>
      <c r="AC239" s="50" t="n">
        <f aca="false">AT239</f>
        <v>311</v>
      </c>
      <c r="AD239" s="50" t="n">
        <f aca="false">MAX(AT239,H239)</f>
        <v>311</v>
      </c>
      <c r="AE239" s="57"/>
      <c r="AF239" s="50" t="n">
        <f aca="false">IF(LEFT(Cockpit!$C$5,1)="A",H239,IF(CE239=1,CF239,IF(LEFT(Cockpit!$C$5,1)="B",AK239,MAX(AK239,H239))))</f>
        <v>102</v>
      </c>
      <c r="AG239" s="50" t="n">
        <f aca="false">IF(BW239=1,0,ROUNDUP(AF239/BV239,0))</f>
        <v>1</v>
      </c>
      <c r="AH239" s="52" t="n">
        <f aca="false">IF(CL239&gt;0,CL239*MAX(1,AF239/X239),IF(BW239=1,IF(AF239&lt;=0,0,CA239*MAX(1,IF(H239&gt;0,AF239/H239,1))),IF(R239&gt;0,AG239/R239,0))/MAX(0.1,N(Parameter!$M$21)))</f>
        <v>0.00961538461538462</v>
      </c>
      <c r="AI239" s="50" t="n">
        <f aca="false">AH239*BY239</f>
        <v>1.49038461538462</v>
      </c>
      <c r="AJ239" s="50" t="n">
        <f aca="false">AF239*G239</f>
        <v>1080.18</v>
      </c>
      <c r="AK239" s="50" t="n">
        <f aca="false">ROUNDUP(MAX(J239/IF(CD239&gt;0,CD239,MAX(0.1,N(Cockpit!$C$6))),CG239)/BV239,0)*BV239</f>
        <v>311</v>
      </c>
      <c r="AL239" s="51" t="n">
        <f aca="false">IF(AI239&gt;0,J239/AI239,-1)</f>
        <v>72.4645161290323</v>
      </c>
      <c r="AM239" s="51" t="n">
        <f aca="false">IF(AND(OR(CC239="L1",CC239="L23",CC239="LIFT"),AI239&gt;0),SUMIFS($AI$7:$AI$1843,$CC$7:$CC$1843,CC239,$AL$7:$AL$1843,"&gt;"&amp;AL239)+SUMIFS($AI$7:$AI$1843,$CC$7:$CC$1843,CC239,$AL$7:$AL$1843,AL239,$BT$7:$BT$1843,"&lt;="&amp;BT239),"")</f>
        <v>878.322802197802</v>
      </c>
      <c r="AN239" s="58" t="n">
        <f aca="false">IF(AM239="",0,MAX(0,MIN(1,(IF(CC239="L1",Parameter!$H$5,IF(CC239="L23",Parameter!$H$6+Parameter!$H$7,Parameter!$H$5+Parameter!$H$6+Parameter!$H$7))-(AM239-AI239))/AI239)))</f>
        <v>1</v>
      </c>
      <c r="AO239" s="50" t="n">
        <f aca="false">IF(LEFT(Cockpit!$I$5,1)="A",H239,IF(CE239=1,CF239,IF(LEFT(Cockpit!$I$5,1)="B",AT239,MAX(AT239,H239))))</f>
        <v>311</v>
      </c>
      <c r="AP239" s="50" t="n">
        <f aca="false">IF(BW239=1,0,ROUNDUP(AO239/BV239,0))</f>
        <v>1</v>
      </c>
      <c r="AQ239" s="52" t="n">
        <f aca="false">IF(CL239&gt;0,CL239*MAX(1,AO239/X239),IF(BW239=1,IF(AO239&lt;=0,0,CA239*MAX(1,IF(H239&gt;0,AO239/H239,1))),IF(R239&gt;0,AP239/R239,0))/MAX(0.1,N(Parameter!$M$21)))</f>
        <v>0.00961538461538462</v>
      </c>
      <c r="AR239" s="50" t="n">
        <f aca="false">AQ239*BY239</f>
        <v>1.49038461538462</v>
      </c>
      <c r="AS239" s="50" t="n">
        <f aca="false">AO239*G239</f>
        <v>3293.49</v>
      </c>
      <c r="AT239" s="50" t="n">
        <f aca="false">ROUNDUP(MAX(J239/IF(CD239&gt;0,CD239,MAX(0.1,N(Cockpit!$I$6))),CG239)/BV239,0)*BV239</f>
        <v>311</v>
      </c>
      <c r="AU239" s="51" t="n">
        <f aca="false">IF(AR239&gt;0,J239/AR239,-1)</f>
        <v>72.4645161290323</v>
      </c>
      <c r="AV239" s="51" t="n">
        <f aca="false">IF(AND(OR(CC239="L1",CC239="L23",CC239="LIFT"),AR239&gt;0),SUMIFS($AR$7:$AR$1843,$CC$7:$CC$1843,CC239,$AU$7:$AU$1843,"&gt;"&amp;AU239)+SUMIFS($AR$7:$AR$1843,$CC$7:$CC$1843,CC239,$AU$7:$AU$1843,AU239,$BT$7:$BT$1843,"&lt;="&amp;BT239),"")</f>
        <v>999.210622710623</v>
      </c>
      <c r="AW239" s="58" t="n">
        <f aca="false">IF(AV239="",0,MAX(0,MIN(1,(IF(CC239="L1",Parameter!$H$5,IF(CC239="L23",Parameter!$H$6+Parameter!$H$7,Parameter!$H$5+Parameter!$H$6+Parameter!$H$7))-(AV239-AR239))/AR239)))</f>
        <v>1</v>
      </c>
      <c r="AX239" s="50" t="n">
        <f aca="false">IF(LEFT(Cockpit!$O$5,1)="A",H239,IF(CE239=1,CF239,IF(LEFT(Cockpit!$O$5,1)="B",BC239,MAX(BC239,H239))))</f>
        <v>311</v>
      </c>
      <c r="AY239" s="50" t="n">
        <f aca="false">IF(BW239=1,0,ROUNDUP(AX239/BV239,0))</f>
        <v>1</v>
      </c>
      <c r="AZ239" s="52" t="n">
        <f aca="false">IF(CL239&gt;0,CL239*MAX(1,AX239/X239),IF(BW239=1,IF(AX239&lt;=0,0,CA239*MAX(1,IF(H239&gt;0,AX239/H239,1))),IF(R239&gt;0,AY239/R239,0))/MAX(0.1,N(Parameter!$M$21)))</f>
        <v>0.00961538461538462</v>
      </c>
      <c r="BA239" s="50" t="n">
        <f aca="false">AZ239*BY239</f>
        <v>1.49038461538462</v>
      </c>
      <c r="BB239" s="50" t="n">
        <f aca="false">AX239*G239</f>
        <v>3293.49</v>
      </c>
      <c r="BC239" s="50" t="n">
        <f aca="false">ROUNDUP(MAX(J239/IF(CD239&gt;0,CD239,MAX(0.1,N(Cockpit!$O$6))),CG239)/BV239,0)*BV239</f>
        <v>311</v>
      </c>
      <c r="BD239" s="51" t="n">
        <f aca="false">IF(BA239&gt;0,J239/BA239,-1)</f>
        <v>72.4645161290323</v>
      </c>
      <c r="BE239" s="51" t="n">
        <f aca="false">IF(AND(OR(CC239="L1",CC239="L23",CC239="LIFT"),BA239&gt;0),SUMIFS($BA$7:$BA$1843,$CC$7:$CC$1843,CC239,$BD$7:$BD$1843,"&gt;"&amp;BD239)+SUMIFS($BA$7:$BA$1843,$CC$7:$CC$1843,CC239,$BD$7:$BD$1843,BD239,$BT$7:$BT$1843,"&lt;="&amp;BT239),"")</f>
        <v>1106.63049450549</v>
      </c>
      <c r="BF239" s="58" t="n">
        <f aca="false">IF(BE239="",0,MAX(0,MIN(1,(IF(CC239="L1",Parameter!$H$5,IF(CC239="L23",Parameter!$H$6+Parameter!$H$7,Parameter!$H$5+Parameter!$H$6+Parameter!$H$7))-(BE239-BA239))/BA239)))</f>
        <v>1</v>
      </c>
      <c r="BG239" s="48" t="str">
        <f aca="false">IF(AI239&lt;=0,"",IF(CC239="Aussen","Aussenlager",IF(CC239="-","Nicht im Lift",IF(AN239&gt;=1,"Lift",IF(AN239&lt;=0,"Aussenlager","teilweise")))))</f>
        <v>Lift</v>
      </c>
      <c r="BH239" s="48" t="str">
        <f aca="false">IF(AR239&lt;=0,"",IF(CC239="Aussen","Aussenlager",IF(CC239="-","Nicht im Lift",IF(AW239&gt;=1,"Lift",IF(AW239&lt;=0,"Aussenlager","teilweise")))))</f>
        <v>Lift</v>
      </c>
      <c r="BI239" s="48" t="str">
        <f aca="false">IF(BA239&lt;=0,"",IF(CC239="Aussen","Aussenlager",IF(CC239="-","Nicht im Lift",IF(BF239&gt;=1,"Lift",IF(BF239&lt;=0,"Aussenlager","teilweise")))))</f>
        <v>Lift</v>
      </c>
      <c r="BJ239" s="48" t="str">
        <f aca="false">IF(A239="","",IF(BS239=1,"Neu; ","")&amp;IF(AND(BS239=0,BN239&lt;0),"negativer Bestand (Export "&amp;BN239&amp;"); ","")&amp;IF(J239&lt;=0,"Kein Verbrauch; ","")&amp;IF(CL239&gt;0,"Lift "&amp;W239&amp;" lt. Liftbericht (Fach "&amp;X239&amp;" Stk); ",IF(BX239=1,"Gebinde geschätzt ("&amp;T239&amp;"); ",IF(BW239=1,"Lose – Tablare geschätzt; ","")))&amp;IF(H239&gt;AT239,"Überbestand "&amp;ROUND(H239-AT239,0)&amp;" Stk / CHF "&amp;ROUND((H239-AT239)*G239,0)&amp;"; ","")&amp;IF(AND(CE239=1,CF239&lt;CG239),"MAX &lt; MB+LG; ","")&amp;IF(AND(CK239&gt;0,CJ239*10&gt;CK239),"zu hoch für Tablar; ","")&amp;IF(AND(BS239=0,OR(CE239=1,AA239&lt;&gt;"",U239&lt;&gt;"",V239&lt;&gt;"",AB239&lt;&gt;"")),"manuell übersteuert; ","")&amp;IF(AND(BW239=0,R239=0),"Gebinde unbekannt / Stellmass fehlt; ","")&amp;IF(AND(BW239=0,N(V239)&lt;=0,N(Q239)&lt;=0),"Menge pro Gebinde fehlt (Ist = 1 Gebinde); ","")&amp;BR239)</f>
        <v/>
      </c>
      <c r="BK239" s="48"/>
      <c r="BL239" s="48"/>
      <c r="BM239" s="55"/>
      <c r="BN239" s="50" t="n">
        <v>46</v>
      </c>
      <c r="BO239" s="50" t="n">
        <v>56</v>
      </c>
      <c r="BP239" s="49" t="n">
        <v>564.67</v>
      </c>
      <c r="BQ239" s="50" t="n">
        <v>108</v>
      </c>
      <c r="BR239" s="48"/>
      <c r="BS239" s="53" t="n">
        <v>0</v>
      </c>
      <c r="BT239" s="53" t="n">
        <v>239</v>
      </c>
      <c r="BU239" s="48" t="str">
        <f aca="false">IF(U239&lt;&gt;"",UPPER(TRIM(U239)),IF(BX239=1,UPPER(VLOOKUP(T239,Parameter!$I$27:$K$29,2,0)),IF(P239="","LOSE",P239)))</f>
        <v>S32</v>
      </c>
      <c r="BV239" s="50" t="n">
        <f aca="false">IF(BU239="LOSE",1,IF(N(V239)&gt;0,V239,IF(BX239=1,MAX(1,N(VLOOKUP(T239,Parameter!$I$27:$K$29,3,0)),H239,N(N239)),IF(N(Q239)&gt;0,Q239,MAX(1,H239)))))</f>
        <v>311</v>
      </c>
      <c r="BW239" s="53" t="n">
        <f aca="false">IF(BU239="LOSE",1,0)</f>
        <v>0</v>
      </c>
      <c r="BX239" s="53" t="n">
        <f aca="false">IF(AND(U239="",OR(P239="",P239="LOSE"),T239&lt;&gt;"",N(S239)&lt;=0,ISNUMBER(MATCH(T239,Parameter!$I$27:$I$29,0))),1,0)</f>
        <v>0</v>
      </c>
      <c r="BY239" s="53" t="n">
        <f aca="false">IF(CL239&gt;0,INDEX(Parameter!$H$5:$H$7,W239)/INDEX(Parameter!$E$5:$E$7,W239),IF(AND(BW239=0,N(IFERROR(VLOOKUP(BU239,'Gebinde-Kategorie'!$A$5:$N$45,14,0),0))&gt;0),VLOOKUP(BU239,'Gebinde-Kategorie'!$A$5:$N$45,14,0)*10+Parameter!$M$23,Parameter!$M$24))</f>
        <v>155</v>
      </c>
      <c r="BZ239" s="48" t="str">
        <f aca="false">IF(AND(Parameter!$B$19="Ja",E239&lt;&gt;"",ISNUMBER(MATCH(E239,Parameter!$I$35:$I$52,0))),VLOOKUP(E239,Parameter!$I$35:$J$52,2,0),IFERROR(VLOOKUP(D239,Parameter!$A$35:$C$64,2,0),"Nein"))</f>
        <v>2+3</v>
      </c>
      <c r="CA239" s="52" t="n">
        <f aca="false">IF(BW239=0,0,IF(N(S239)&gt;0,S239,IFERROR(VLOOKUP(D239,Parameter!$A$35:$C$64,3,0)+0,0)))</f>
        <v>0</v>
      </c>
      <c r="CB239" s="48" t="n">
        <f aca="false">IF(AA239&lt;&gt;"",AA239,Z239)</f>
        <v>3</v>
      </c>
      <c r="CC239" s="48" t="str">
        <f aca="false">IF(OR(CB239=1,CB239=2,CB239=3),IF(Parameter!$E$27="Ja","LIFT",IF(CB239=1,"L1","L23")),IF(CB239="Aussen","Aussen","-"))</f>
        <v>LIFT</v>
      </c>
      <c r="CD239" s="59" t="n">
        <f aca="false">IF(N(AB239)&gt;0,AB239,0)</f>
        <v>0</v>
      </c>
      <c r="CE239" s="53" t="n">
        <f aca="false">IF(ISNUMBER(AE239),1,0)</f>
        <v>0</v>
      </c>
      <c r="CF239" s="50" t="n">
        <f aca="false">N(AE239)</f>
        <v>0</v>
      </c>
      <c r="CG239" s="50" t="n">
        <f aca="false">N(M239)+N(N239)</f>
        <v>122</v>
      </c>
      <c r="CH239" s="50" t="n">
        <f aca="false">ROUNDUP(H239/BV239,0)</f>
        <v>1</v>
      </c>
      <c r="CI239" s="50" t="n">
        <f aca="false">ROUNDUP(CF239/BV239,0)</f>
        <v>0</v>
      </c>
      <c r="CJ239" s="53" t="n">
        <f aca="false">IF(BW239=1,0,IFERROR(VLOOKUP(BU239,'Gebinde-Kategorie'!$A$5:$N$45,5,0)+0,0))</f>
        <v>8</v>
      </c>
      <c r="CK239" s="53" t="n">
        <f aca="false">IFERROR(IF(OR(CB239=1,CB239=2,CB239=3),N(INDEX(Parameter!$I$5:$I$7,CB239)),0),0)</f>
        <v>0</v>
      </c>
      <c r="CL239" s="52" t="n">
        <f aca="false">IF(AND(Parameter!$B$21="Ja",ISNUMBER(W239),N(X239)&gt;0),IFERROR(N(INDEX(Parameter!$L$5:$L$7,W239))*INDEX(Parameter!$E$5:$E$7,W239)*X239/SUMIFS($X$7:$X$1843,$W$7:$W$1843,W239),0),0)</f>
        <v>0</v>
      </c>
    </row>
    <row r="240" customFormat="false" ht="15" hidden="false" customHeight="false" outlineLevel="0" collapsed="false">
      <c r="A240" s="48" t="s">
        <v>671</v>
      </c>
      <c r="B240" s="48" t="s">
        <v>672</v>
      </c>
      <c r="C240" s="48" t="s">
        <v>168</v>
      </c>
      <c r="D240" s="48" t="s">
        <v>169</v>
      </c>
      <c r="E240" s="48"/>
      <c r="F240" s="48" t="s">
        <v>222</v>
      </c>
      <c r="G240" s="49" t="n">
        <v>284.49</v>
      </c>
      <c r="H240" s="50" t="n">
        <f aca="false">MAX(0,IF(AND(Parameter!$B$21="Ja",ISNUMBER(Y240)),Y240,IF(Parameter!$B$20="Jahresanfang 2025 + Export",BO240+BN240,BN240)))</f>
        <v>13</v>
      </c>
      <c r="I240" s="50" t="n">
        <f aca="false">H240*G240</f>
        <v>3698.37</v>
      </c>
      <c r="J240" s="50" t="n">
        <f aca="false">BQ240*Parameter!$B$18</f>
        <v>14</v>
      </c>
      <c r="K240" s="51" t="n">
        <v>9</v>
      </c>
      <c r="L240" s="52" t="n">
        <v>1.55555555555556</v>
      </c>
      <c r="M240" s="50" t="n">
        <v>1</v>
      </c>
      <c r="N240" s="50" t="n">
        <v>10</v>
      </c>
      <c r="O240" s="53" t="n">
        <v>28</v>
      </c>
      <c r="P240" s="48" t="s">
        <v>172</v>
      </c>
      <c r="Q240" s="50"/>
      <c r="R240" s="53" t="n">
        <f aca="false">IF(BW240=1,0,IFERROR(VLOOKUP(BU240,'Gebinde-Kategorie'!$A$5:$N$45,13,0)+0,0))</f>
        <v>0</v>
      </c>
      <c r="S240" s="54"/>
      <c r="T240" s="55"/>
      <c r="U240" s="55"/>
      <c r="V240" s="55"/>
      <c r="W240" s="48" t="n">
        <v>1</v>
      </c>
      <c r="X240" s="50" t="n">
        <v>22</v>
      </c>
      <c r="Y240" s="50" t="n">
        <v>13</v>
      </c>
      <c r="Z240" s="48" t="n">
        <f aca="false">IF(A240="","",IF(AND(Parameter!$B$21="Ja",ISNUMBER(W240)),W240,IF(BZ240="2+3",IF(ISNUMBER(SEARCH("grosser Artikel",BR240)),2,IFERROR(VLOOKUP(BU240,Parameter!$F$35:$G$64,2,0),2)),IF(OR(BZ240="Nein",BZ240=""),"-",BZ240))))</f>
        <v>1</v>
      </c>
      <c r="AA240" s="55"/>
      <c r="AB240" s="56"/>
      <c r="AC240" s="50" t="n">
        <f aca="false">AT240</f>
        <v>11</v>
      </c>
      <c r="AD240" s="50" t="n">
        <f aca="false">MAX(AT240,H240)</f>
        <v>13</v>
      </c>
      <c r="AE240" s="57"/>
      <c r="AF240" s="50" t="n">
        <f aca="false">IF(LEFT(Cockpit!$C$5,1)="A",H240,IF(CE240=1,CF240,IF(LEFT(Cockpit!$C$5,1)="B",AK240,MAX(AK240,H240))))</f>
        <v>13</v>
      </c>
      <c r="AG240" s="50" t="n">
        <f aca="false">IF(BW240=1,0,ROUNDUP(AF240/BV240,0))</f>
        <v>0</v>
      </c>
      <c r="AH240" s="52" t="n">
        <f aca="false">IF(CL240&gt;0,CL240*MAX(1,AF240/X240),IF(BW240=1,IF(AF240&lt;=0,0,CA240*MAX(1,IF(H240&gt;0,AF240/H240,1))),IF(R240&gt;0,AG240/R240,0))/MAX(0.1,N(Parameter!$M$21)))</f>
        <v>1.7608286252354</v>
      </c>
      <c r="AI240" s="50" t="n">
        <f aca="false">AH240*BY240</f>
        <v>419.077212806026</v>
      </c>
      <c r="AJ240" s="50" t="n">
        <f aca="false">AF240*G240</f>
        <v>3698.37</v>
      </c>
      <c r="AK240" s="50" t="n">
        <f aca="false">ROUNDUP(MAX(J240/IF(CD240&gt;0,CD240,MAX(0.1,N(Cockpit!$C$6))),CG240)/BV240,0)*BV240</f>
        <v>11</v>
      </c>
      <c r="AL240" s="51" t="n">
        <f aca="false">IF(AI240&gt;0,J240/AI240,-1)</f>
        <v>0.0334067316766279</v>
      </c>
      <c r="AM240" s="51" t="n">
        <f aca="false">IF(AND(OR(CC240="L1",CC240="L23",CC240="LIFT"),AI240&gt;0),SUMIFS($AI$7:$AI$1843,$CC$7:$CC$1843,CC240,$AL$7:$AL$1843,"&gt;"&amp;AL240)+SUMIFS($AI$7:$AI$1843,$CC$7:$CC$1843,CC240,$AL$7:$AL$1843,AL240,$BT$7:$BT$1843,"&lt;="&amp;BT240),"")</f>
        <v>20810.9851694915</v>
      </c>
      <c r="AN240" s="58" t="n">
        <f aca="false">IF(AM240="",0,MAX(0,MIN(1,(IF(CC240="L1",Parameter!$H$5,IF(CC240="L23",Parameter!$H$6+Parameter!$H$7,Parameter!$H$5+Parameter!$H$6+Parameter!$H$7))-(AM240-AI240))/AI240)))</f>
        <v>1</v>
      </c>
      <c r="AO240" s="50" t="n">
        <f aca="false">IF(LEFT(Cockpit!$I$5,1)="A",H240,IF(CE240=1,CF240,IF(LEFT(Cockpit!$I$5,1)="B",AT240,MAX(AT240,H240))))</f>
        <v>13</v>
      </c>
      <c r="AP240" s="50" t="n">
        <f aca="false">IF(BW240=1,0,ROUNDUP(AO240/BV240,0))</f>
        <v>0</v>
      </c>
      <c r="AQ240" s="52" t="n">
        <f aca="false">IF(CL240&gt;0,CL240*MAX(1,AO240/X240),IF(BW240=1,IF(AO240&lt;=0,0,CA240*MAX(1,IF(H240&gt;0,AO240/H240,1))),IF(R240&gt;0,AP240/R240,0))/MAX(0.1,N(Parameter!$M$21)))</f>
        <v>1.7608286252354</v>
      </c>
      <c r="AR240" s="50" t="n">
        <f aca="false">AQ240*BY240</f>
        <v>419.077212806026</v>
      </c>
      <c r="AS240" s="50" t="n">
        <f aca="false">AO240*G240</f>
        <v>3698.37</v>
      </c>
      <c r="AT240" s="50" t="n">
        <f aca="false">ROUNDUP(MAX(J240/IF(CD240&gt;0,CD240,MAX(0.1,N(Cockpit!$I$6))),CG240)/BV240,0)*BV240</f>
        <v>11</v>
      </c>
      <c r="AU240" s="51" t="n">
        <f aca="false">IF(AR240&gt;0,J240/AR240,-1)</f>
        <v>0.0334067316766279</v>
      </c>
      <c r="AV240" s="51" t="n">
        <f aca="false">IF(AND(OR(CC240="L1",CC240="L23",CC240="LIFT"),AR240&gt;0),SUMIFS($AR$7:$AR$1843,$CC$7:$CC$1843,CC240,$AU$7:$AU$1843,"&gt;"&amp;AU240)+SUMIFS($AR$7:$AR$1843,$CC$7:$CC$1843,CC240,$AU$7:$AU$1843,AU240,$BT$7:$BT$1843,"&lt;="&amp;BT240),"")</f>
        <v>31704.5427583245</v>
      </c>
      <c r="AW240" s="58" t="n">
        <f aca="false">IF(AV240="",0,MAX(0,MIN(1,(IF(CC240="L1",Parameter!$H$5,IF(CC240="L23",Parameter!$H$6+Parameter!$H$7,Parameter!$H$5+Parameter!$H$6+Parameter!$H$7))-(AV240-AR240))/AR240)))</f>
        <v>1</v>
      </c>
      <c r="AX240" s="50" t="n">
        <f aca="false">IF(LEFT(Cockpit!$O$5,1)="A",H240,IF(CE240=1,CF240,IF(LEFT(Cockpit!$O$5,1)="B",BC240,MAX(BC240,H240))))</f>
        <v>13</v>
      </c>
      <c r="AY240" s="50" t="n">
        <f aca="false">IF(BW240=1,0,ROUNDUP(AX240/BV240,0))</f>
        <v>0</v>
      </c>
      <c r="AZ240" s="52" t="n">
        <f aca="false">IF(CL240&gt;0,CL240*MAX(1,AX240/X240),IF(BW240=1,IF(AX240&lt;=0,0,CA240*MAX(1,IF(H240&gt;0,AX240/H240,1))),IF(R240&gt;0,AY240/R240,0))/MAX(0.1,N(Parameter!$M$21)))</f>
        <v>1.7608286252354</v>
      </c>
      <c r="BA240" s="50" t="n">
        <f aca="false">AZ240*BY240</f>
        <v>419.077212806026</v>
      </c>
      <c r="BB240" s="50" t="n">
        <f aca="false">AX240*G240</f>
        <v>3698.37</v>
      </c>
      <c r="BC240" s="50" t="n">
        <f aca="false">ROUNDUP(MAX(J240/IF(CD240&gt;0,CD240,MAX(0.1,N(Cockpit!$O$6))),CG240)/BV240,0)*BV240</f>
        <v>11</v>
      </c>
      <c r="BD240" s="51" t="n">
        <f aca="false">IF(BA240&gt;0,J240/BA240,-1)</f>
        <v>0.0334067316766279</v>
      </c>
      <c r="BE240" s="51" t="n">
        <f aca="false">IF(AND(OR(CC240="L1",CC240="L23",CC240="LIFT"),BA240&gt;0),SUMIFS($BA$7:$BA$1843,$CC$7:$CC$1843,CC240,$BD$7:$BD$1843,"&gt;"&amp;BD240)+SUMIFS($BA$7:$BA$1843,$CC$7:$CC$1843,CC240,$BD$7:$BD$1843,BD240,$BT$7:$BT$1843,"&lt;="&amp;BT240),"")</f>
        <v>28379.5548001904</v>
      </c>
      <c r="BF240" s="58" t="n">
        <f aca="false">IF(BE240="",0,MAX(0,MIN(1,(IF(CC240="L1",Parameter!$H$5,IF(CC240="L23",Parameter!$H$6+Parameter!$H$7,Parameter!$H$5+Parameter!$H$6+Parameter!$H$7))-(BE240-BA240))/BA240)))</f>
        <v>1</v>
      </c>
      <c r="BG240" s="48" t="str">
        <f aca="false">IF(AI240&lt;=0,"",IF(CC240="Aussen","Aussenlager",IF(CC240="-","Nicht im Lift",IF(AN240&gt;=1,"Lift",IF(AN240&lt;=0,"Aussenlager","teilweise")))))</f>
        <v>Lift</v>
      </c>
      <c r="BH240" s="48" t="str">
        <f aca="false">IF(AR240&lt;=0,"",IF(CC240="Aussen","Aussenlager",IF(CC240="-","Nicht im Lift",IF(AW240&gt;=1,"Lift",IF(AW240&lt;=0,"Aussenlager","teilweise")))))</f>
        <v>Lift</v>
      </c>
      <c r="BI240" s="48" t="str">
        <f aca="false">IF(BA240&lt;=0,"",IF(CC240="Aussen","Aussenlager",IF(CC240="-","Nicht im Lift",IF(BF240&gt;=1,"Lift",IF(BF240&lt;=0,"Aussenlager","teilweise")))))</f>
        <v>Lift</v>
      </c>
      <c r="BJ240" s="48" t="str">
        <f aca="false">IF(A240="","",IF(BS240=1,"Neu; ","")&amp;IF(AND(BS240=0,BN240&lt;0),"negativer Bestand (Export "&amp;BN240&amp;"); ","")&amp;IF(J240&lt;=0,"Kein Verbrauch; ","")&amp;IF(CL240&gt;0,"Lift "&amp;W240&amp;" lt. Liftbericht (Fach "&amp;X240&amp;" Stk); ",IF(BX240=1,"Gebinde geschätzt ("&amp;T240&amp;"); ",IF(BW240=1,"Lose – Tablare geschätzt; ","")))&amp;IF(H240&gt;AT240,"Überbestand "&amp;ROUND(H240-AT240,0)&amp;" Stk / CHF "&amp;ROUND((H240-AT240)*G240,0)&amp;"; ","")&amp;IF(AND(CE240=1,CF240&lt;CG240),"MAX &lt; MB+LG; ","")&amp;IF(AND(CK240&gt;0,CJ240*10&gt;CK240),"zu hoch für Tablar; ","")&amp;IF(AND(BS240=0,OR(CE240=1,AA240&lt;&gt;"",U240&lt;&gt;"",V240&lt;&gt;"",AB240&lt;&gt;"")),"manuell übersteuert; ","")&amp;IF(AND(BW240=0,R240=0),"Gebinde unbekannt / Stellmass fehlt; ","")&amp;IF(AND(BW240=0,N(V240)&lt;=0,N(Q240)&lt;=0),"Menge pro Gebinde fehlt (Ist = 1 Gebinde); ","")&amp;BR240)</f>
        <v>Lift 1 lt. Liftbericht (Fach 22 Stk); Überbestand 2 Stk / CHF 569; </v>
      </c>
      <c r="BK240" s="48"/>
      <c r="BL240" s="48"/>
      <c r="BM240" s="55"/>
      <c r="BN240" s="50" t="n">
        <v>2</v>
      </c>
      <c r="BO240" s="50" t="n">
        <v>11</v>
      </c>
      <c r="BP240" s="49" t="n">
        <v>558.200000000001</v>
      </c>
      <c r="BQ240" s="50" t="n">
        <v>14</v>
      </c>
      <c r="BR240" s="48"/>
      <c r="BS240" s="53" t="n">
        <v>0</v>
      </c>
      <c r="BT240" s="53" t="n">
        <v>240</v>
      </c>
      <c r="BU240" s="48" t="str">
        <f aca="false">IF(U240&lt;&gt;"",UPPER(TRIM(U240)),IF(BX240=1,UPPER(VLOOKUP(T240,Parameter!$I$27:$K$29,2,0)),IF(P240="","LOSE",P240)))</f>
        <v>LOSE</v>
      </c>
      <c r="BV240" s="50" t="n">
        <f aca="false">IF(BU240="LOSE",1,IF(N(V240)&gt;0,V240,IF(BX240=1,MAX(1,N(VLOOKUP(T240,Parameter!$I$27:$K$29,3,0)),H240,N(N240)),IF(N(Q240)&gt;0,Q240,MAX(1,H240)))))</f>
        <v>1</v>
      </c>
      <c r="BW240" s="53" t="n">
        <f aca="false">IF(BU240="LOSE",1,0)</f>
        <v>1</v>
      </c>
      <c r="BX240" s="53" t="n">
        <f aca="false">IF(AND(U240="",OR(P240="",P240="LOSE"),T240&lt;&gt;"",N(S240)&lt;=0,ISNUMBER(MATCH(T240,Parameter!$I$27:$I$29,0))),1,0)</f>
        <v>0</v>
      </c>
      <c r="BY240" s="53" t="n">
        <f aca="false">IF(CL240&gt;0,INDEX(Parameter!$H$5:$H$7,W240)/INDEX(Parameter!$E$5:$E$7,W240),IF(AND(BW240=0,N(IFERROR(VLOOKUP(BU240,'Gebinde-Kategorie'!$A$5:$N$45,14,0),0))&gt;0),VLOOKUP(BU240,'Gebinde-Kategorie'!$A$5:$N$45,14,0)*10+Parameter!$M$23,Parameter!$M$24))</f>
        <v>238</v>
      </c>
      <c r="BZ240" s="48" t="n">
        <f aca="false">IF(AND(Parameter!$B$19="Ja",E240&lt;&gt;"",ISNUMBER(MATCH(E240,Parameter!$I$35:$I$52,0))),VLOOKUP(E240,Parameter!$I$35:$J$52,2,0),IFERROR(VLOOKUP(D240,Parameter!$A$35:$C$64,2,0),"Nein"))</f>
        <v>1</v>
      </c>
      <c r="CA240" s="52" t="n">
        <f aca="false">IF(BW240=0,0,IF(N(S240)&gt;0,S240,IFERROR(VLOOKUP(D240,Parameter!$A$35:$C$64,3,0)+0,0)))</f>
        <v>1</v>
      </c>
      <c r="CB240" s="48" t="n">
        <f aca="false">IF(AA240&lt;&gt;"",AA240,Z240)</f>
        <v>1</v>
      </c>
      <c r="CC240" s="48" t="str">
        <f aca="false">IF(OR(CB240=1,CB240=2,CB240=3),IF(Parameter!$E$27="Ja","LIFT",IF(CB240=1,"L1","L23")),IF(CB240="Aussen","Aussen","-"))</f>
        <v>LIFT</v>
      </c>
      <c r="CD240" s="59" t="n">
        <f aca="false">IF(N(AB240)&gt;0,AB240,0)</f>
        <v>0</v>
      </c>
      <c r="CE240" s="53" t="n">
        <f aca="false">IF(ISNUMBER(AE240),1,0)</f>
        <v>0</v>
      </c>
      <c r="CF240" s="50" t="n">
        <f aca="false">N(AE240)</f>
        <v>0</v>
      </c>
      <c r="CG240" s="50" t="n">
        <f aca="false">N(M240)+N(N240)</f>
        <v>11</v>
      </c>
      <c r="CH240" s="50" t="n">
        <f aca="false">ROUNDUP(H240/BV240,0)</f>
        <v>13</v>
      </c>
      <c r="CI240" s="50" t="n">
        <f aca="false">ROUNDUP(CF240/BV240,0)</f>
        <v>0</v>
      </c>
      <c r="CJ240" s="53" t="n">
        <f aca="false">IF(BW240=1,0,IFERROR(VLOOKUP(BU240,'Gebinde-Kategorie'!$A$5:$N$45,5,0)+0,0))</f>
        <v>0</v>
      </c>
      <c r="CK240" s="53" t="n">
        <f aca="false">IFERROR(IF(OR(CB240=1,CB240=2,CB240=3),N(INDEX(Parameter!$I$5:$I$7,CB240)),0),0)</f>
        <v>0</v>
      </c>
      <c r="CL240" s="52" t="n">
        <f aca="false">IF(AND(Parameter!$B$21="Ja",ISNUMBER(W240),N(X240)&gt;0),IFERROR(N(INDEX(Parameter!$L$5:$L$7,W240))*INDEX(Parameter!$E$5:$E$7,W240)*X240/SUMIFS($X$7:$X$1843,$W$7:$W$1843,W240),0),0)</f>
        <v>1.7608286252354</v>
      </c>
    </row>
    <row r="241" customFormat="false" ht="15" hidden="false" customHeight="false" outlineLevel="0" collapsed="false">
      <c r="A241" s="48" t="s">
        <v>673</v>
      </c>
      <c r="B241" s="48" t="s">
        <v>674</v>
      </c>
      <c r="C241" s="48" t="s">
        <v>168</v>
      </c>
      <c r="D241" s="48" t="s">
        <v>177</v>
      </c>
      <c r="E241" s="48" t="s">
        <v>177</v>
      </c>
      <c r="F241" s="48" t="s">
        <v>222</v>
      </c>
      <c r="G241" s="49" t="n">
        <v>35.2</v>
      </c>
      <c r="H241" s="50" t="n">
        <f aca="false">MAX(0,IF(AND(Parameter!$B$21="Ja",ISNUMBER(Y241)),Y241,IF(Parameter!$B$20="Jahresanfang 2025 + Export",BO241+BN241,BN241)))</f>
        <v>26</v>
      </c>
      <c r="I241" s="50" t="n">
        <f aca="false">H241*G241</f>
        <v>915.2</v>
      </c>
      <c r="J241" s="50" t="n">
        <f aca="false">BQ241*Parameter!$B$18</f>
        <v>52</v>
      </c>
      <c r="K241" s="51" t="n">
        <v>34</v>
      </c>
      <c r="L241" s="52" t="n">
        <v>1.52941176470588</v>
      </c>
      <c r="M241" s="50" t="n">
        <v>5</v>
      </c>
      <c r="N241" s="50" t="n">
        <v>50</v>
      </c>
      <c r="O241" s="53" t="n">
        <v>35</v>
      </c>
      <c r="P241" s="48" t="s">
        <v>178</v>
      </c>
      <c r="Q241" s="50" t="n">
        <v>35</v>
      </c>
      <c r="R241" s="53" t="n">
        <f aca="false">IF(BW241=1,0,IFERROR(VLOOKUP(BU241,'Gebinde-Kategorie'!$A$5:$N$45,13,0)+0,0))</f>
        <v>6</v>
      </c>
      <c r="S241" s="54"/>
      <c r="T241" s="55"/>
      <c r="U241" s="55"/>
      <c r="V241" s="55"/>
      <c r="W241" s="48"/>
      <c r="X241" s="50"/>
      <c r="Y241" s="50"/>
      <c r="Z241" s="48" t="str">
        <f aca="false">IF(A241="","",IF(AND(Parameter!$B$21="Ja",ISNUMBER(W241)),W241,IF(BZ241="2+3",IF(ISNUMBER(SEARCH("grosser Artikel",BR241)),2,IFERROR(VLOOKUP(BU241,Parameter!$F$35:$G$64,2,0),2)),IF(OR(BZ241="Nein",BZ241=""),"-",BZ241))))</f>
        <v>-</v>
      </c>
      <c r="AA241" s="55"/>
      <c r="AB241" s="56"/>
      <c r="AC241" s="50" t="n">
        <f aca="false">AT241</f>
        <v>70</v>
      </c>
      <c r="AD241" s="50" t="n">
        <f aca="false">MAX(AT241,H241)</f>
        <v>70</v>
      </c>
      <c r="AE241" s="57"/>
      <c r="AF241" s="50" t="n">
        <f aca="false">IF(LEFT(Cockpit!$C$5,1)="A",H241,IF(CE241=1,CF241,IF(LEFT(Cockpit!$C$5,1)="B",AK241,MAX(AK241,H241))))</f>
        <v>26</v>
      </c>
      <c r="AG241" s="50" t="n">
        <f aca="false">IF(BW241=1,0,ROUNDUP(AF241/BV241,0))</f>
        <v>1</v>
      </c>
      <c r="AH241" s="52" t="n">
        <f aca="false">IF(CL241&gt;0,CL241*MAX(1,AF241/X241),IF(BW241=1,IF(AF241&lt;=0,0,CA241*MAX(1,IF(H241&gt;0,AF241/H241,1))),IF(R241&gt;0,AG241/R241,0))/MAX(0.1,N(Parameter!$M$21)))</f>
        <v>0.166666666666667</v>
      </c>
      <c r="AI241" s="50" t="n">
        <f aca="false">AH241*BY241</f>
        <v>39.1666666666667</v>
      </c>
      <c r="AJ241" s="50" t="n">
        <f aca="false">AF241*G241</f>
        <v>915.2</v>
      </c>
      <c r="AK241" s="50" t="n">
        <f aca="false">ROUNDUP(MAX(J241/IF(CD241&gt;0,CD241,MAX(0.1,N(Cockpit!$C$6))),CG241)/BV241,0)*BV241</f>
        <v>70</v>
      </c>
      <c r="AL241" s="51" t="n">
        <f aca="false">IF(AI241&gt;0,J241/AI241,-1)</f>
        <v>1.32765957446809</v>
      </c>
      <c r="AM241" s="51" t="str">
        <f aca="false">IF(AND(OR(CC241="L1",CC241="L23",CC241="LIFT"),AI241&gt;0),SUMIFS($AI$7:$AI$1843,$CC$7:$CC$1843,CC241,$AL$7:$AL$1843,"&gt;"&amp;AL241)+SUMIFS($AI$7:$AI$1843,$CC$7:$CC$1843,CC241,$AL$7:$AL$1843,AL241,$BT$7:$BT$1843,"&lt;="&amp;BT241),"")</f>
        <v/>
      </c>
      <c r="AN241" s="58" t="n">
        <f aca="false">IF(AM241="",0,MAX(0,MIN(1,(IF(CC241="L1",Parameter!$H$5,IF(CC241="L23",Parameter!$H$6+Parameter!$H$7,Parameter!$H$5+Parameter!$H$6+Parameter!$H$7))-(AM241-AI241))/AI241)))</f>
        <v>0</v>
      </c>
      <c r="AO241" s="50" t="n">
        <f aca="false">IF(LEFT(Cockpit!$I$5,1)="A",H241,IF(CE241=1,CF241,IF(LEFT(Cockpit!$I$5,1)="B",AT241,MAX(AT241,H241))))</f>
        <v>70</v>
      </c>
      <c r="AP241" s="50" t="n">
        <f aca="false">IF(BW241=1,0,ROUNDUP(AO241/BV241,0))</f>
        <v>2</v>
      </c>
      <c r="AQ241" s="52" t="n">
        <f aca="false">IF(CL241&gt;0,CL241*MAX(1,AO241/X241),IF(BW241=1,IF(AO241&lt;=0,0,CA241*MAX(1,IF(H241&gt;0,AO241/H241,1))),IF(R241&gt;0,AP241/R241,0))/MAX(0.1,N(Parameter!$M$21)))</f>
        <v>0.333333333333333</v>
      </c>
      <c r="AR241" s="50" t="n">
        <f aca="false">AQ241*BY241</f>
        <v>78.3333333333333</v>
      </c>
      <c r="AS241" s="50" t="n">
        <f aca="false">AO241*G241</f>
        <v>2464</v>
      </c>
      <c r="AT241" s="50" t="n">
        <f aca="false">ROUNDUP(MAX(J241/IF(CD241&gt;0,CD241,MAX(0.1,N(Cockpit!$I$6))),CG241)/BV241,0)*BV241</f>
        <v>70</v>
      </c>
      <c r="AU241" s="51" t="n">
        <f aca="false">IF(AR241&gt;0,J241/AR241,-1)</f>
        <v>0.663829787234043</v>
      </c>
      <c r="AV241" s="51" t="str">
        <f aca="false">IF(AND(OR(CC241="L1",CC241="L23",CC241="LIFT"),AR241&gt;0),SUMIFS($AR$7:$AR$1843,$CC$7:$CC$1843,CC241,$AU$7:$AU$1843,"&gt;"&amp;AU241)+SUMIFS($AR$7:$AR$1843,$CC$7:$CC$1843,CC241,$AU$7:$AU$1843,AU241,$BT$7:$BT$1843,"&lt;="&amp;BT241),"")</f>
        <v/>
      </c>
      <c r="AW241" s="58" t="n">
        <f aca="false">IF(AV241="",0,MAX(0,MIN(1,(IF(CC241="L1",Parameter!$H$5,IF(CC241="L23",Parameter!$H$6+Parameter!$H$7,Parameter!$H$5+Parameter!$H$6+Parameter!$H$7))-(AV241-AR241))/AR241)))</f>
        <v>0</v>
      </c>
      <c r="AX241" s="50" t="n">
        <f aca="false">IF(LEFT(Cockpit!$O$5,1)="A",H241,IF(CE241=1,CF241,IF(LEFT(Cockpit!$O$5,1)="B",BC241,MAX(BC241,H241))))</f>
        <v>70</v>
      </c>
      <c r="AY241" s="50" t="n">
        <f aca="false">IF(BW241=1,0,ROUNDUP(AX241/BV241,0))</f>
        <v>2</v>
      </c>
      <c r="AZ241" s="52" t="n">
        <f aca="false">IF(CL241&gt;0,CL241*MAX(1,AX241/X241),IF(BW241=1,IF(AX241&lt;=0,0,CA241*MAX(1,IF(H241&gt;0,AX241/H241,1))),IF(R241&gt;0,AY241/R241,0))/MAX(0.1,N(Parameter!$M$21)))</f>
        <v>0.333333333333333</v>
      </c>
      <c r="BA241" s="50" t="n">
        <f aca="false">AZ241*BY241</f>
        <v>78.3333333333333</v>
      </c>
      <c r="BB241" s="50" t="n">
        <f aca="false">AX241*G241</f>
        <v>2464</v>
      </c>
      <c r="BC241" s="50" t="n">
        <f aca="false">ROUNDUP(MAX(J241/IF(CD241&gt;0,CD241,MAX(0.1,N(Cockpit!$O$6))),CG241)/BV241,0)*BV241</f>
        <v>70</v>
      </c>
      <c r="BD241" s="51" t="n">
        <f aca="false">IF(BA241&gt;0,J241/BA241,-1)</f>
        <v>0.663829787234043</v>
      </c>
      <c r="BE241" s="51" t="str">
        <f aca="false">IF(AND(OR(CC241="L1",CC241="L23",CC241="LIFT"),BA241&gt;0),SUMIFS($BA$7:$BA$1843,$CC$7:$CC$1843,CC241,$BD$7:$BD$1843,"&gt;"&amp;BD241)+SUMIFS($BA$7:$BA$1843,$CC$7:$CC$1843,CC241,$BD$7:$BD$1843,BD241,$BT$7:$BT$1843,"&lt;="&amp;BT241),"")</f>
        <v/>
      </c>
      <c r="BF241" s="58" t="n">
        <f aca="false">IF(BE241="",0,MAX(0,MIN(1,(IF(CC241="L1",Parameter!$H$5,IF(CC241="L23",Parameter!$H$6+Parameter!$H$7,Parameter!$H$5+Parameter!$H$6+Parameter!$H$7))-(BE241-BA241))/BA241)))</f>
        <v>0</v>
      </c>
      <c r="BG241" s="48" t="str">
        <f aca="false">IF(AI241&lt;=0,"",IF(CC241="Aussen","Aussenlager",IF(CC241="-","Nicht im Lift",IF(AN241&gt;=1,"Lift",IF(AN241&lt;=0,"Aussenlager","teilweise")))))</f>
        <v>Nicht im Lift</v>
      </c>
      <c r="BH241" s="48" t="str">
        <f aca="false">IF(AR241&lt;=0,"",IF(CC241="Aussen","Aussenlager",IF(CC241="-","Nicht im Lift",IF(AW241&gt;=1,"Lift",IF(AW241&lt;=0,"Aussenlager","teilweise")))))</f>
        <v>Nicht im Lift</v>
      </c>
      <c r="BI241" s="48" t="str">
        <f aca="false">IF(BA241&lt;=0,"",IF(CC241="Aussen","Aussenlager",IF(CC241="-","Nicht im Lift",IF(BF241&gt;=1,"Lift",IF(BF241&lt;=0,"Aussenlager","teilweise")))))</f>
        <v>Nicht im Lift</v>
      </c>
      <c r="BJ241" s="48" t="str">
        <f aca="false">IF(A241="","",IF(BS241=1,"Neu; ","")&amp;IF(AND(BS241=0,BN241&lt;0),"negativer Bestand (Export "&amp;BN241&amp;"); ","")&amp;IF(J241&lt;=0,"Kein Verbrauch; ","")&amp;IF(CL241&gt;0,"Lift "&amp;W241&amp;" lt. Liftbericht (Fach "&amp;X241&amp;" Stk); ",IF(BX241=1,"Gebinde geschätzt ("&amp;T241&amp;"); ",IF(BW241=1,"Lose – Tablare geschätzt; ","")))&amp;IF(H241&gt;AT241,"Überbestand "&amp;ROUND(H241-AT241,0)&amp;" Stk / CHF "&amp;ROUND((H241-AT241)*G241,0)&amp;"; ","")&amp;IF(AND(CE241=1,CF241&lt;CG241),"MAX &lt; MB+LG; ","")&amp;IF(AND(CK241&gt;0,CJ241*10&gt;CK241),"zu hoch für Tablar; ","")&amp;IF(AND(BS241=0,OR(CE241=1,AA241&lt;&gt;"",U241&lt;&gt;"",V241&lt;&gt;"",AB241&lt;&gt;"")),"manuell übersteuert; ","")&amp;IF(AND(BW241=0,R241=0),"Gebinde unbekannt / Stellmass fehlt; ","")&amp;IF(AND(BW241=0,N(V241)&lt;=0,N(Q241)&lt;=0),"Menge pro Gebinde fehlt (Ist = 1 Gebinde); ","")&amp;BR241)</f>
        <v/>
      </c>
      <c r="BK241" s="48"/>
      <c r="BL241" s="48"/>
      <c r="BM241" s="55"/>
      <c r="BN241" s="50" t="n">
        <v>17</v>
      </c>
      <c r="BO241" s="50" t="n">
        <v>9</v>
      </c>
      <c r="BP241" s="49" t="n">
        <v>553.130000000005</v>
      </c>
      <c r="BQ241" s="50" t="n">
        <v>52</v>
      </c>
      <c r="BR241" s="48"/>
      <c r="BS241" s="53" t="n">
        <v>0</v>
      </c>
      <c r="BT241" s="53" t="n">
        <v>241</v>
      </c>
      <c r="BU241" s="48" t="str">
        <f aca="false">IF(U241&lt;&gt;"",UPPER(TRIM(U241)),IF(BX241=1,UPPER(VLOOKUP(T241,Parameter!$I$27:$K$29,2,0)),IF(P241="","LOSE",P241)))</f>
        <v>S71</v>
      </c>
      <c r="BV241" s="50" t="n">
        <f aca="false">IF(BU241="LOSE",1,IF(N(V241)&gt;0,V241,IF(BX241=1,MAX(1,N(VLOOKUP(T241,Parameter!$I$27:$K$29,3,0)),H241,N(N241)),IF(N(Q241)&gt;0,Q241,MAX(1,H241)))))</f>
        <v>35</v>
      </c>
      <c r="BW241" s="53" t="n">
        <f aca="false">IF(BU241="LOSE",1,0)</f>
        <v>0</v>
      </c>
      <c r="BX241" s="53" t="n">
        <f aca="false">IF(AND(U241="",OR(P241="",P241="LOSE"),T241&lt;&gt;"",N(S241)&lt;=0,ISNUMBER(MATCH(T241,Parameter!$I$27:$I$29,0))),1,0)</f>
        <v>0</v>
      </c>
      <c r="BY241" s="53" t="n">
        <f aca="false">IF(CL241&gt;0,INDEX(Parameter!$H$5:$H$7,W241)/INDEX(Parameter!$E$5:$E$7,W241),IF(AND(BW241=0,N(IFERROR(VLOOKUP(BU241,'Gebinde-Kategorie'!$A$5:$N$45,14,0),0))&gt;0),VLOOKUP(BU241,'Gebinde-Kategorie'!$A$5:$N$45,14,0)*10+Parameter!$M$23,Parameter!$M$24))</f>
        <v>235</v>
      </c>
      <c r="BZ241" s="48" t="str">
        <f aca="false">IF(AND(Parameter!$B$19="Ja",E241&lt;&gt;"",ISNUMBER(MATCH(E241,Parameter!$I$35:$I$52,0))),VLOOKUP(E241,Parameter!$I$35:$J$52,2,0),IFERROR(VLOOKUP(D241,Parameter!$A$35:$C$64,2,0),"Nein"))</f>
        <v>Nein</v>
      </c>
      <c r="CA241" s="52" t="n">
        <f aca="false">IF(BW241=0,0,IF(N(S241)&gt;0,S241,IFERROR(VLOOKUP(D241,Parameter!$A$35:$C$64,3,0)+0,0)))</f>
        <v>0</v>
      </c>
      <c r="CB241" s="48" t="str">
        <f aca="false">IF(AA241&lt;&gt;"",AA241,Z241)</f>
        <v>-</v>
      </c>
      <c r="CC241" s="48" t="str">
        <f aca="false">IF(OR(CB241=1,CB241=2,CB241=3),IF(Parameter!$E$27="Ja","LIFT",IF(CB241=1,"L1","L23")),IF(CB241="Aussen","Aussen","-"))</f>
        <v>-</v>
      </c>
      <c r="CD241" s="59" t="n">
        <f aca="false">IF(N(AB241)&gt;0,AB241,0)</f>
        <v>0</v>
      </c>
      <c r="CE241" s="53" t="n">
        <f aca="false">IF(ISNUMBER(AE241),1,0)</f>
        <v>0</v>
      </c>
      <c r="CF241" s="50" t="n">
        <f aca="false">N(AE241)</f>
        <v>0</v>
      </c>
      <c r="CG241" s="50" t="n">
        <f aca="false">N(M241)+N(N241)</f>
        <v>55</v>
      </c>
      <c r="CH241" s="50" t="n">
        <f aca="false">ROUNDUP(H241/BV241,0)</f>
        <v>1</v>
      </c>
      <c r="CI241" s="50" t="n">
        <f aca="false">ROUNDUP(CF241/BV241,0)</f>
        <v>0</v>
      </c>
      <c r="CJ241" s="53" t="n">
        <f aca="false">IF(BW241=1,0,IFERROR(VLOOKUP(BU241,'Gebinde-Kategorie'!$A$5:$N$45,5,0)+0,0))</f>
        <v>20</v>
      </c>
      <c r="CK241" s="53" t="n">
        <f aca="false">IFERROR(IF(OR(CB241=1,CB241=2,CB241=3),N(INDEX(Parameter!$I$5:$I$7,CB241)),0),0)</f>
        <v>0</v>
      </c>
      <c r="CL241" s="52" t="n">
        <f aca="false">IF(AND(Parameter!$B$21="Ja",ISNUMBER(W241),N(X241)&gt;0),IFERROR(N(INDEX(Parameter!$L$5:$L$7,W241))*INDEX(Parameter!$E$5:$E$7,W241)*X241/SUMIFS($X$7:$X$1843,$W$7:$W$1843,W241),0),0)</f>
        <v>0</v>
      </c>
    </row>
    <row r="242" customFormat="false" ht="15" hidden="false" customHeight="false" outlineLevel="0" collapsed="false">
      <c r="A242" s="48" t="s">
        <v>675</v>
      </c>
      <c r="B242" s="48" t="s">
        <v>398</v>
      </c>
      <c r="C242" s="48" t="s">
        <v>168</v>
      </c>
      <c r="D242" s="48" t="s">
        <v>177</v>
      </c>
      <c r="E242" s="48" t="s">
        <v>189</v>
      </c>
      <c r="F242" s="48" t="s">
        <v>222</v>
      </c>
      <c r="G242" s="49" t="n">
        <v>423.49</v>
      </c>
      <c r="H242" s="50" t="n">
        <f aca="false">MAX(0,IF(AND(Parameter!$B$21="Ja",ISNUMBER(Y242)),Y242,IF(Parameter!$B$20="Jahresanfang 2025 + Export",BO242+BN242,BN242)))</f>
        <v>11</v>
      </c>
      <c r="I242" s="50" t="n">
        <f aca="false">H242*G242</f>
        <v>4658.39</v>
      </c>
      <c r="J242" s="50" t="n">
        <f aca="false">BQ242*Parameter!$B$18</f>
        <v>26</v>
      </c>
      <c r="K242" s="51" t="n">
        <v>11</v>
      </c>
      <c r="L242" s="52" t="n">
        <v>2.36363636363636</v>
      </c>
      <c r="M242" s="50" t="n">
        <v>1</v>
      </c>
      <c r="N242" s="50" t="n">
        <v>10</v>
      </c>
      <c r="O242" s="53" t="n">
        <v>21</v>
      </c>
      <c r="P242" s="48" t="s">
        <v>178</v>
      </c>
      <c r="Q242" s="50" t="n">
        <v>13</v>
      </c>
      <c r="R242" s="53" t="n">
        <f aca="false">IF(BW242=1,0,IFERROR(VLOOKUP(BU242,'Gebinde-Kategorie'!$A$5:$N$45,13,0)+0,0))</f>
        <v>6</v>
      </c>
      <c r="S242" s="54"/>
      <c r="T242" s="55"/>
      <c r="U242" s="55"/>
      <c r="V242" s="55"/>
      <c r="W242" s="48"/>
      <c r="X242" s="50"/>
      <c r="Y242" s="50"/>
      <c r="Z242" s="48" t="n">
        <f aca="false">IF(A242="","",IF(AND(Parameter!$B$21="Ja",ISNUMBER(W242)),W242,IF(BZ242="2+3",IF(ISNUMBER(SEARCH("grosser Artikel",BR242)),2,IFERROR(VLOOKUP(BU242,Parameter!$F$35:$G$64,2,0),2)),IF(OR(BZ242="Nein",BZ242=""),"-",BZ242))))</f>
        <v>2</v>
      </c>
      <c r="AA242" s="55"/>
      <c r="AB242" s="56"/>
      <c r="AC242" s="50" t="n">
        <f aca="false">AT242</f>
        <v>13</v>
      </c>
      <c r="AD242" s="50" t="n">
        <f aca="false">MAX(AT242,H242)</f>
        <v>13</v>
      </c>
      <c r="AE242" s="57"/>
      <c r="AF242" s="50" t="n">
        <f aca="false">IF(LEFT(Cockpit!$C$5,1)="A",H242,IF(CE242=1,CF242,IF(LEFT(Cockpit!$C$5,1)="B",AK242,MAX(AK242,H242))))</f>
        <v>11</v>
      </c>
      <c r="AG242" s="50" t="n">
        <f aca="false">IF(BW242=1,0,ROUNDUP(AF242/BV242,0))</f>
        <v>1</v>
      </c>
      <c r="AH242" s="52" t="n">
        <f aca="false">IF(CL242&gt;0,CL242*MAX(1,AF242/X242),IF(BW242=1,IF(AF242&lt;=0,0,CA242*MAX(1,IF(H242&gt;0,AF242/H242,1))),IF(R242&gt;0,AG242/R242,0))/MAX(0.1,N(Parameter!$M$21)))</f>
        <v>0.166666666666667</v>
      </c>
      <c r="AI242" s="50" t="n">
        <f aca="false">AH242*BY242</f>
        <v>39.1666666666667</v>
      </c>
      <c r="AJ242" s="50" t="n">
        <f aca="false">AF242*G242</f>
        <v>4658.39</v>
      </c>
      <c r="AK242" s="50" t="n">
        <f aca="false">ROUNDUP(MAX(J242/IF(CD242&gt;0,CD242,MAX(0.1,N(Cockpit!$C$6))),CG242)/BV242,0)*BV242</f>
        <v>13</v>
      </c>
      <c r="AL242" s="51" t="n">
        <f aca="false">IF(AI242&gt;0,J242/AI242,-1)</f>
        <v>0.663829787234043</v>
      </c>
      <c r="AM242" s="51" t="n">
        <f aca="false">IF(AND(OR(CC242="L1",CC242="L23",CC242="LIFT"),AI242&gt;0),SUMIFS($AI$7:$AI$1843,$CC$7:$CC$1843,CC242,$AL$7:$AL$1843,"&gt;"&amp;AL242)+SUMIFS($AI$7:$AI$1843,$CC$7:$CC$1843,CC242,$AL$7:$AL$1843,AL242,$BT$7:$BT$1843,"&lt;="&amp;BT242),"")</f>
        <v>8692.53846153846</v>
      </c>
      <c r="AN242" s="58" t="n">
        <f aca="false">IF(AM242="",0,MAX(0,MIN(1,(IF(CC242="L1",Parameter!$H$5,IF(CC242="L23",Parameter!$H$6+Parameter!$H$7,Parameter!$H$5+Parameter!$H$6+Parameter!$H$7))-(AM242-AI242))/AI242)))</f>
        <v>1</v>
      </c>
      <c r="AO242" s="50" t="n">
        <f aca="false">IF(LEFT(Cockpit!$I$5,1)="A",H242,IF(CE242=1,CF242,IF(LEFT(Cockpit!$I$5,1)="B",AT242,MAX(AT242,H242))))</f>
        <v>13</v>
      </c>
      <c r="AP242" s="50" t="n">
        <f aca="false">IF(BW242=1,0,ROUNDUP(AO242/BV242,0))</f>
        <v>1</v>
      </c>
      <c r="AQ242" s="52" t="n">
        <f aca="false">IF(CL242&gt;0,CL242*MAX(1,AO242/X242),IF(BW242=1,IF(AO242&lt;=0,0,CA242*MAX(1,IF(H242&gt;0,AO242/H242,1))),IF(R242&gt;0,AP242/R242,0))/MAX(0.1,N(Parameter!$M$21)))</f>
        <v>0.166666666666667</v>
      </c>
      <c r="AR242" s="50" t="n">
        <f aca="false">AQ242*BY242</f>
        <v>39.1666666666667</v>
      </c>
      <c r="AS242" s="50" t="n">
        <f aca="false">AO242*G242</f>
        <v>5505.37</v>
      </c>
      <c r="AT242" s="50" t="n">
        <f aca="false">ROUNDUP(MAX(J242/IF(CD242&gt;0,CD242,MAX(0.1,N(Cockpit!$I$6))),CG242)/BV242,0)*BV242</f>
        <v>13</v>
      </c>
      <c r="AU242" s="51" t="n">
        <f aca="false">IF(AR242&gt;0,J242/AR242,-1)</f>
        <v>0.663829787234043</v>
      </c>
      <c r="AV242" s="51" t="n">
        <f aca="false">IF(AND(OR(CC242="L1",CC242="L23",CC242="LIFT"),AR242&gt;0),SUMIFS($AR$7:$AR$1843,$CC$7:$CC$1843,CC242,$AU$7:$AU$1843,"&gt;"&amp;AU242)+SUMIFS($AR$7:$AR$1843,$CC$7:$CC$1843,CC242,$AU$7:$AU$1843,AU242,$BT$7:$BT$1843,"&lt;="&amp;BT242),"")</f>
        <v>11840.6222527473</v>
      </c>
      <c r="AW242" s="58" t="n">
        <f aca="false">IF(AV242="",0,MAX(0,MIN(1,(IF(CC242="L1",Parameter!$H$5,IF(CC242="L23",Parameter!$H$6+Parameter!$H$7,Parameter!$H$5+Parameter!$H$6+Parameter!$H$7))-(AV242-AR242))/AR242)))</f>
        <v>1</v>
      </c>
      <c r="AX242" s="50" t="n">
        <f aca="false">IF(LEFT(Cockpit!$O$5,1)="A",H242,IF(CE242=1,CF242,IF(LEFT(Cockpit!$O$5,1)="B",BC242,MAX(BC242,H242))))</f>
        <v>13</v>
      </c>
      <c r="AY242" s="50" t="n">
        <f aca="false">IF(BW242=1,0,ROUNDUP(AX242/BV242,0))</f>
        <v>1</v>
      </c>
      <c r="AZ242" s="52" t="n">
        <f aca="false">IF(CL242&gt;0,CL242*MAX(1,AX242/X242),IF(BW242=1,IF(AX242&lt;=0,0,CA242*MAX(1,IF(H242&gt;0,AX242/H242,1))),IF(R242&gt;0,AY242/R242,0))/MAX(0.1,N(Parameter!$M$21)))</f>
        <v>0.166666666666667</v>
      </c>
      <c r="BA242" s="50" t="n">
        <f aca="false">AZ242*BY242</f>
        <v>39.1666666666667</v>
      </c>
      <c r="BB242" s="50" t="n">
        <f aca="false">AX242*G242</f>
        <v>5505.37</v>
      </c>
      <c r="BC242" s="50" t="n">
        <f aca="false">ROUNDUP(MAX(J242/IF(CD242&gt;0,CD242,MAX(0.1,N(Cockpit!$O$6))),CG242)/BV242,0)*BV242</f>
        <v>13</v>
      </c>
      <c r="BD242" s="51" t="n">
        <f aca="false">IF(BA242&gt;0,J242/BA242,-1)</f>
        <v>0.663829787234043</v>
      </c>
      <c r="BE242" s="51" t="n">
        <f aca="false">IF(AND(OR(CC242="L1",CC242="L23",CC242="LIFT"),BA242&gt;0),SUMIFS($BA$7:$BA$1843,$CC$7:$CC$1843,CC242,$BD$7:$BD$1843,"&gt;"&amp;BD242)+SUMIFS($BA$7:$BA$1843,$CC$7:$CC$1843,CC242,$BD$7:$BD$1843,BD242,$BT$7:$BT$1843,"&lt;="&amp;BT242),"")</f>
        <v>11440.445970696</v>
      </c>
      <c r="BF242" s="58" t="n">
        <f aca="false">IF(BE242="",0,MAX(0,MIN(1,(IF(CC242="L1",Parameter!$H$5,IF(CC242="L23",Parameter!$H$6+Parameter!$H$7,Parameter!$H$5+Parameter!$H$6+Parameter!$H$7))-(BE242-BA242))/BA242)))</f>
        <v>1</v>
      </c>
      <c r="BG242" s="48" t="str">
        <f aca="false">IF(AI242&lt;=0,"",IF(CC242="Aussen","Aussenlager",IF(CC242="-","Nicht im Lift",IF(AN242&gt;=1,"Lift",IF(AN242&lt;=0,"Aussenlager","teilweise")))))</f>
        <v>Lift</v>
      </c>
      <c r="BH242" s="48" t="str">
        <f aca="false">IF(AR242&lt;=0,"",IF(CC242="Aussen","Aussenlager",IF(CC242="-","Nicht im Lift",IF(AW242&gt;=1,"Lift",IF(AW242&lt;=0,"Aussenlager","teilweise")))))</f>
        <v>Lift</v>
      </c>
      <c r="BI242" s="48" t="str">
        <f aca="false">IF(BA242&lt;=0,"",IF(CC242="Aussen","Aussenlager",IF(CC242="-","Nicht im Lift",IF(BF242&gt;=1,"Lift",IF(BF242&lt;=0,"Aussenlager","teilweise")))))</f>
        <v>Lift</v>
      </c>
      <c r="BJ242" s="48" t="str">
        <f aca="false">IF(A242="","",IF(BS242=1,"Neu; ","")&amp;IF(AND(BS242=0,BN242&lt;0),"negativer Bestand (Export "&amp;BN242&amp;"); ","")&amp;IF(J242&lt;=0,"Kein Verbrauch; ","")&amp;IF(CL242&gt;0,"Lift "&amp;W242&amp;" lt. Liftbericht (Fach "&amp;X242&amp;" Stk); ",IF(BX242=1,"Gebinde geschätzt ("&amp;T242&amp;"); ",IF(BW242=1,"Lose – Tablare geschätzt; ","")))&amp;IF(H242&gt;AT242,"Überbestand "&amp;ROUND(H242-AT242,0)&amp;" Stk / CHF "&amp;ROUND((H242-AT242)*G242,0)&amp;"; ","")&amp;IF(AND(CE242=1,CF242&lt;CG242),"MAX &lt; MB+LG; ","")&amp;IF(AND(CK242&gt;0,CJ242*10&gt;CK242),"zu hoch für Tablar; ","")&amp;IF(AND(BS242=0,OR(CE242=1,AA242&lt;&gt;"",U242&lt;&gt;"",V242&lt;&gt;"",AB242&lt;&gt;"")),"manuell übersteuert; ","")&amp;IF(AND(BW242=0,R242=0),"Gebinde unbekannt / Stellmass fehlt; ","")&amp;IF(AND(BW242=0,N(V242)&lt;=0,N(Q242)&lt;=0),"Menge pro Gebinde fehlt (Ist = 1 Gebinde); ","")&amp;BR242)</f>
        <v>grosser Artikel &amp; nicht im KTL</v>
      </c>
      <c r="BK242" s="48"/>
      <c r="BL242" s="48"/>
      <c r="BM242" s="55"/>
      <c r="BN242" s="50" t="n">
        <v>1</v>
      </c>
      <c r="BO242" s="50" t="n">
        <v>10</v>
      </c>
      <c r="BP242" s="49" t="n">
        <v>545.890000000001</v>
      </c>
      <c r="BQ242" s="50" t="n">
        <v>26</v>
      </c>
      <c r="BR242" s="48" t="s">
        <v>265</v>
      </c>
      <c r="BS242" s="53" t="n">
        <v>0</v>
      </c>
      <c r="BT242" s="53" t="n">
        <v>242</v>
      </c>
      <c r="BU242" s="48" t="str">
        <f aca="false">IF(U242&lt;&gt;"",UPPER(TRIM(U242)),IF(BX242=1,UPPER(VLOOKUP(T242,Parameter!$I$27:$K$29,2,0)),IF(P242="","LOSE",P242)))</f>
        <v>S71</v>
      </c>
      <c r="BV242" s="50" t="n">
        <f aca="false">IF(BU242="LOSE",1,IF(N(V242)&gt;0,V242,IF(BX242=1,MAX(1,N(VLOOKUP(T242,Parameter!$I$27:$K$29,3,0)),H242,N(N242)),IF(N(Q242)&gt;0,Q242,MAX(1,H242)))))</f>
        <v>13</v>
      </c>
      <c r="BW242" s="53" t="n">
        <f aca="false">IF(BU242="LOSE",1,0)</f>
        <v>0</v>
      </c>
      <c r="BX242" s="53" t="n">
        <f aca="false">IF(AND(U242="",OR(P242="",P242="LOSE"),T242&lt;&gt;"",N(S242)&lt;=0,ISNUMBER(MATCH(T242,Parameter!$I$27:$I$29,0))),1,0)</f>
        <v>0</v>
      </c>
      <c r="BY242" s="53" t="n">
        <f aca="false">IF(CL242&gt;0,INDEX(Parameter!$H$5:$H$7,W242)/INDEX(Parameter!$E$5:$E$7,W242),IF(AND(BW242=0,N(IFERROR(VLOOKUP(BU242,'Gebinde-Kategorie'!$A$5:$N$45,14,0),0))&gt;0),VLOOKUP(BU242,'Gebinde-Kategorie'!$A$5:$N$45,14,0)*10+Parameter!$M$23,Parameter!$M$24))</f>
        <v>235</v>
      </c>
      <c r="BZ242" s="48" t="str">
        <f aca="false">IF(AND(Parameter!$B$19="Ja",E242&lt;&gt;"",ISNUMBER(MATCH(E242,Parameter!$I$35:$I$52,0))),VLOOKUP(E242,Parameter!$I$35:$J$52,2,0),IFERROR(VLOOKUP(D242,Parameter!$A$35:$C$64,2,0),"Nein"))</f>
        <v>2+3</v>
      </c>
      <c r="CA242" s="52" t="n">
        <f aca="false">IF(BW242=0,0,IF(N(S242)&gt;0,S242,IFERROR(VLOOKUP(D242,Parameter!$A$35:$C$64,3,0)+0,0)))</f>
        <v>0</v>
      </c>
      <c r="CB242" s="48" t="n">
        <f aca="false">IF(AA242&lt;&gt;"",AA242,Z242)</f>
        <v>2</v>
      </c>
      <c r="CC242" s="48" t="str">
        <f aca="false">IF(OR(CB242=1,CB242=2,CB242=3),IF(Parameter!$E$27="Ja","LIFT",IF(CB242=1,"L1","L23")),IF(CB242="Aussen","Aussen","-"))</f>
        <v>LIFT</v>
      </c>
      <c r="CD242" s="59" t="n">
        <f aca="false">IF(N(AB242)&gt;0,AB242,0)</f>
        <v>0</v>
      </c>
      <c r="CE242" s="53" t="n">
        <f aca="false">IF(ISNUMBER(AE242),1,0)</f>
        <v>0</v>
      </c>
      <c r="CF242" s="50" t="n">
        <f aca="false">N(AE242)</f>
        <v>0</v>
      </c>
      <c r="CG242" s="50" t="n">
        <f aca="false">N(M242)+N(N242)</f>
        <v>11</v>
      </c>
      <c r="CH242" s="50" t="n">
        <f aca="false">ROUNDUP(H242/BV242,0)</f>
        <v>1</v>
      </c>
      <c r="CI242" s="50" t="n">
        <f aca="false">ROUNDUP(CF242/BV242,0)</f>
        <v>0</v>
      </c>
      <c r="CJ242" s="53" t="n">
        <f aca="false">IF(BW242=1,0,IFERROR(VLOOKUP(BU242,'Gebinde-Kategorie'!$A$5:$N$45,5,0)+0,0))</f>
        <v>20</v>
      </c>
      <c r="CK242" s="53" t="n">
        <f aca="false">IFERROR(IF(OR(CB242=1,CB242=2,CB242=3),N(INDEX(Parameter!$I$5:$I$7,CB242)),0),0)</f>
        <v>0</v>
      </c>
      <c r="CL242" s="52" t="n">
        <f aca="false">IF(AND(Parameter!$B$21="Ja",ISNUMBER(W242),N(X242)&gt;0),IFERROR(N(INDEX(Parameter!$L$5:$L$7,W242))*INDEX(Parameter!$E$5:$E$7,W242)*X242/SUMIFS($X$7:$X$1843,$W$7:$W$1843,W242),0),0)</f>
        <v>0</v>
      </c>
    </row>
    <row r="243" customFormat="false" ht="15" hidden="false" customHeight="false" outlineLevel="0" collapsed="false">
      <c r="A243" s="48" t="s">
        <v>676</v>
      </c>
      <c r="B243" s="48" t="s">
        <v>677</v>
      </c>
      <c r="C243" s="48" t="s">
        <v>168</v>
      </c>
      <c r="D243" s="48" t="s">
        <v>188</v>
      </c>
      <c r="E243" s="48"/>
      <c r="F243" s="48" t="s">
        <v>222</v>
      </c>
      <c r="G243" s="49" t="n">
        <v>108.25</v>
      </c>
      <c r="H243" s="50" t="n">
        <f aca="false">MAX(0,IF(AND(Parameter!$B$21="Ja",ISNUMBER(Y243)),Y243,IF(Parameter!$B$20="Jahresanfang 2025 + Export",BO243+BN243,BN243)))</f>
        <v>28</v>
      </c>
      <c r="I243" s="50" t="n">
        <f aca="false">H243*G243</f>
        <v>3031</v>
      </c>
      <c r="J243" s="50" t="n">
        <f aca="false">BQ243*Parameter!$B$18</f>
        <v>0</v>
      </c>
      <c r="K243" s="51" t="n">
        <v>25.5</v>
      </c>
      <c r="L243" s="52" t="n">
        <v>0</v>
      </c>
      <c r="M243" s="50" t="n">
        <v>0</v>
      </c>
      <c r="N243" s="50" t="n">
        <v>1</v>
      </c>
      <c r="O243" s="53" t="n">
        <v>49</v>
      </c>
      <c r="P243" s="48" t="s">
        <v>230</v>
      </c>
      <c r="Q243" s="50" t="n">
        <v>30</v>
      </c>
      <c r="R243" s="53" t="n">
        <f aca="false">IF(BW243=1,0,IFERROR(VLOOKUP(BU243,'Gebinde-Kategorie'!$A$5:$N$45,13,0)+0,0))</f>
        <v>12</v>
      </c>
      <c r="S243" s="54"/>
      <c r="T243" s="55"/>
      <c r="U243" s="55"/>
      <c r="V243" s="55"/>
      <c r="W243" s="48"/>
      <c r="X243" s="50"/>
      <c r="Y243" s="50"/>
      <c r="Z243" s="48" t="n">
        <f aca="false">IF(A243="","",IF(AND(Parameter!$B$21="Ja",ISNUMBER(W243)),W243,IF(BZ243="2+3",IF(ISNUMBER(SEARCH("grosser Artikel",BR243)),2,IFERROR(VLOOKUP(BU243,Parameter!$F$35:$G$64,2,0),2)),IF(OR(BZ243="Nein",BZ243=""),"-",BZ243))))</f>
        <v>2</v>
      </c>
      <c r="AA243" s="55"/>
      <c r="AB243" s="56"/>
      <c r="AC243" s="50" t="n">
        <f aca="false">AT243</f>
        <v>30</v>
      </c>
      <c r="AD243" s="50" t="n">
        <f aca="false">MAX(AT243,H243)</f>
        <v>30</v>
      </c>
      <c r="AE243" s="57"/>
      <c r="AF243" s="50" t="n">
        <f aca="false">IF(LEFT(Cockpit!$C$5,1)="A",H243,IF(CE243=1,CF243,IF(LEFT(Cockpit!$C$5,1)="B",AK243,MAX(AK243,H243))))</f>
        <v>28</v>
      </c>
      <c r="AG243" s="50" t="n">
        <f aca="false">IF(BW243=1,0,ROUNDUP(AF243/BV243,0))</f>
        <v>1</v>
      </c>
      <c r="AH243" s="52" t="n">
        <f aca="false">IF(CL243&gt;0,CL243*MAX(1,AF243/X243),IF(BW243=1,IF(AF243&lt;=0,0,CA243*MAX(1,IF(H243&gt;0,AF243/H243,1))),IF(R243&gt;0,AG243/R243,0))/MAX(0.1,N(Parameter!$M$21)))</f>
        <v>0.0833333333333333</v>
      </c>
      <c r="AI243" s="50" t="n">
        <f aca="false">AH243*BY243</f>
        <v>28.75</v>
      </c>
      <c r="AJ243" s="50" t="n">
        <f aca="false">AF243*G243</f>
        <v>3031</v>
      </c>
      <c r="AK243" s="50" t="n">
        <f aca="false">ROUNDUP(MAX(J243/IF(CD243&gt;0,CD243,MAX(0.1,N(Cockpit!$C$6))),CG243)/BV243,0)*BV243</f>
        <v>30</v>
      </c>
      <c r="AL243" s="51" t="n">
        <f aca="false">IF(AI243&gt;0,J243/AI243,-1)</f>
        <v>0</v>
      </c>
      <c r="AM243" s="51" t="n">
        <f aca="false">IF(AND(OR(CC243="L1",CC243="L23",CC243="LIFT"),AI243&gt;0),SUMIFS($AI$7:$AI$1843,$CC$7:$CC$1843,CC243,$AL$7:$AL$1843,"&gt;"&amp;AL243)+SUMIFS($AI$7:$AI$1843,$CC$7:$CC$1843,CC243,$AL$7:$AL$1843,AL243,$BT$7:$BT$1843,"&lt;="&amp;BT243),"")</f>
        <v>27680.2671095383</v>
      </c>
      <c r="AN243" s="58" t="n">
        <f aca="false">IF(AM243="",0,MAX(0,MIN(1,(IF(CC243="L1",Parameter!$H$5,IF(CC243="L23",Parameter!$H$6+Parameter!$H$7,Parameter!$H$5+Parameter!$H$6+Parameter!$H$7))-(AM243-AI243))/AI243)))</f>
        <v>1</v>
      </c>
      <c r="AO243" s="50" t="n">
        <f aca="false">IF(LEFT(Cockpit!$I$5,1)="A",H243,IF(CE243=1,CF243,IF(LEFT(Cockpit!$I$5,1)="B",AT243,MAX(AT243,H243))))</f>
        <v>30</v>
      </c>
      <c r="AP243" s="50" t="n">
        <f aca="false">IF(BW243=1,0,ROUNDUP(AO243/BV243,0))</f>
        <v>1</v>
      </c>
      <c r="AQ243" s="52" t="n">
        <f aca="false">IF(CL243&gt;0,CL243*MAX(1,AO243/X243),IF(BW243=1,IF(AO243&lt;=0,0,CA243*MAX(1,IF(H243&gt;0,AO243/H243,1))),IF(R243&gt;0,AP243/R243,0))/MAX(0.1,N(Parameter!$M$21)))</f>
        <v>0.0833333333333333</v>
      </c>
      <c r="AR243" s="50" t="n">
        <f aca="false">AQ243*BY243</f>
        <v>28.75</v>
      </c>
      <c r="AS243" s="50" t="n">
        <f aca="false">AO243*G243</f>
        <v>3247.5</v>
      </c>
      <c r="AT243" s="50" t="n">
        <f aca="false">ROUNDUP(MAX(J243/IF(CD243&gt;0,CD243,MAX(0.1,N(Cockpit!$I$6))),CG243)/BV243,0)*BV243</f>
        <v>30</v>
      </c>
      <c r="AU243" s="51" t="n">
        <f aca="false">IF(AR243&gt;0,J243/AR243,-1)</f>
        <v>0</v>
      </c>
      <c r="AV243" s="51" t="n">
        <f aca="false">IF(AND(OR(CC243="L1",CC243="L23",CC243="LIFT"),AR243&gt;0),SUMIFS($AR$7:$AR$1843,$CC$7:$CC$1843,CC243,$AU$7:$AU$1843,"&gt;"&amp;AU243)+SUMIFS($AR$7:$AR$1843,$CC$7:$CC$1843,CC243,$AU$7:$AU$1843,AU243,$BT$7:$BT$1843,"&lt;="&amp;BT243),"")</f>
        <v>38993.1726268082</v>
      </c>
      <c r="AW243" s="58" t="n">
        <f aca="false">IF(AV243="",0,MAX(0,MIN(1,(IF(CC243="L1",Parameter!$H$5,IF(CC243="L23",Parameter!$H$6+Parameter!$H$7,Parameter!$H$5+Parameter!$H$6+Parameter!$H$7))-(AV243-AR243))/AR243)))</f>
        <v>0</v>
      </c>
      <c r="AX243" s="50" t="n">
        <f aca="false">IF(LEFT(Cockpit!$O$5,1)="A",H243,IF(CE243=1,CF243,IF(LEFT(Cockpit!$O$5,1)="B",BC243,MAX(BC243,H243))))</f>
        <v>30</v>
      </c>
      <c r="AY243" s="50" t="n">
        <f aca="false">IF(BW243=1,0,ROUNDUP(AX243/BV243,0))</f>
        <v>1</v>
      </c>
      <c r="AZ243" s="52" t="n">
        <f aca="false">IF(CL243&gt;0,CL243*MAX(1,AX243/X243),IF(BW243=1,IF(AX243&lt;=0,0,CA243*MAX(1,IF(H243&gt;0,AX243/H243,1))),IF(R243&gt;0,AY243/R243,0))/MAX(0.1,N(Parameter!$M$21)))</f>
        <v>0.0833333333333333</v>
      </c>
      <c r="BA243" s="50" t="n">
        <f aca="false">AZ243*BY243</f>
        <v>28.75</v>
      </c>
      <c r="BB243" s="50" t="n">
        <f aca="false">AX243*G243</f>
        <v>3247.5</v>
      </c>
      <c r="BC243" s="50" t="n">
        <f aca="false">ROUNDUP(MAX(J243/IF(CD243&gt;0,CD243,MAX(0.1,N(Cockpit!$O$6))),CG243)/BV243,0)*BV243</f>
        <v>30</v>
      </c>
      <c r="BD243" s="51" t="n">
        <f aca="false">IF(BA243&gt;0,J243/BA243,-1)</f>
        <v>0</v>
      </c>
      <c r="BE243" s="51" t="n">
        <f aca="false">IF(AND(OR(CC243="L1",CC243="L23",CC243="LIFT"),BA243&gt;0),SUMIFS($BA$7:$BA$1843,$CC$7:$CC$1843,CC243,$BD$7:$BD$1843,"&gt;"&amp;BD243)+SUMIFS($BA$7:$BA$1843,$CC$7:$CC$1843,CC243,$BD$7:$BD$1843,BD243,$BT$7:$BT$1843,"&lt;="&amp;BT243),"")</f>
        <v>35668.1846686741</v>
      </c>
      <c r="BF243" s="58" t="n">
        <f aca="false">IF(BE243="",0,MAX(0,MIN(1,(IF(CC243="L1",Parameter!$H$5,IF(CC243="L23",Parameter!$H$6+Parameter!$H$7,Parameter!$H$5+Parameter!$H$6+Parameter!$H$7))-(BE243-BA243))/BA243)))</f>
        <v>1</v>
      </c>
      <c r="BG243" s="48" t="str">
        <f aca="false">IF(AI243&lt;=0,"",IF(CC243="Aussen","Aussenlager",IF(CC243="-","Nicht im Lift",IF(AN243&gt;=1,"Lift",IF(AN243&lt;=0,"Aussenlager","teilweise")))))</f>
        <v>Lift</v>
      </c>
      <c r="BH243" s="48" t="str">
        <f aca="false">IF(AR243&lt;=0,"",IF(CC243="Aussen","Aussenlager",IF(CC243="-","Nicht im Lift",IF(AW243&gt;=1,"Lift",IF(AW243&lt;=0,"Aussenlager","teilweise")))))</f>
        <v>Aussenlager</v>
      </c>
      <c r="BI243" s="48" t="str">
        <f aca="false">IF(BA243&lt;=0,"",IF(CC243="Aussen","Aussenlager",IF(CC243="-","Nicht im Lift",IF(BF243&gt;=1,"Lift",IF(BF243&lt;=0,"Aussenlager","teilweise")))))</f>
        <v>Lift</v>
      </c>
      <c r="BJ243" s="48" t="str">
        <f aca="false">IF(A243="","",IF(BS243=1,"Neu; ","")&amp;IF(AND(BS243=0,BN243&lt;0),"negativer Bestand (Export "&amp;BN243&amp;"); ","")&amp;IF(J243&lt;=0,"Kein Verbrauch; ","")&amp;IF(CL243&gt;0,"Lift "&amp;W243&amp;" lt. Liftbericht (Fach "&amp;X243&amp;" Stk); ",IF(BX243=1,"Gebinde geschätzt ("&amp;T243&amp;"); ",IF(BW243=1,"Lose – Tablare geschätzt; ","")))&amp;IF(H243&gt;AT243,"Überbestand "&amp;ROUND(H243-AT243,0)&amp;" Stk / CHF "&amp;ROUND((H243-AT243)*G243,0)&amp;"; ","")&amp;IF(AND(CE243=1,CF243&lt;CG243),"MAX &lt; MB+LG; ","")&amp;IF(AND(CK243&gt;0,CJ243*10&gt;CK243),"zu hoch für Tablar; ","")&amp;IF(AND(BS243=0,OR(CE243=1,AA243&lt;&gt;"",U243&lt;&gt;"",V243&lt;&gt;"",AB243&lt;&gt;"")),"manuell übersteuert; ","")&amp;IF(AND(BW243=0,R243=0),"Gebinde unbekannt / Stellmass fehlt; ","")&amp;IF(AND(BW243=0,N(V243)&lt;=0,N(Q243)&lt;=0),"Menge pro Gebinde fehlt (Ist = 1 Gebinde); ","")&amp;BR243)</f>
        <v>Kein Verbrauch; </v>
      </c>
      <c r="BK243" s="48"/>
      <c r="BL243" s="48"/>
      <c r="BM243" s="55"/>
      <c r="BN243" s="50" t="n">
        <v>5</v>
      </c>
      <c r="BO243" s="50" t="n">
        <v>23</v>
      </c>
      <c r="BP243" s="49" t="n">
        <v>541.25</v>
      </c>
      <c r="BQ243" s="50" t="n">
        <v>0</v>
      </c>
      <c r="BR243" s="48"/>
      <c r="BS243" s="53" t="n">
        <v>0</v>
      </c>
      <c r="BT243" s="53" t="n">
        <v>243</v>
      </c>
      <c r="BU243" s="48" t="str">
        <f aca="false">IF(U243&lt;&gt;"",UPPER(TRIM(U243)),IF(BX243=1,UPPER(VLOOKUP(T243,Parameter!$I$27:$K$29,2,0)),IF(P243="","LOSE",P243)))</f>
        <v>S63</v>
      </c>
      <c r="BV243" s="50" t="n">
        <f aca="false">IF(BU243="LOSE",1,IF(N(V243)&gt;0,V243,IF(BX243=1,MAX(1,N(VLOOKUP(T243,Parameter!$I$27:$K$29,3,0)),H243,N(N243)),IF(N(Q243)&gt;0,Q243,MAX(1,H243)))))</f>
        <v>30</v>
      </c>
      <c r="BW243" s="53" t="n">
        <f aca="false">IF(BU243="LOSE",1,0)</f>
        <v>0</v>
      </c>
      <c r="BX243" s="53" t="n">
        <f aca="false">IF(AND(U243="",OR(P243="",P243="LOSE"),T243&lt;&gt;"",N(S243)&lt;=0,ISNUMBER(MATCH(T243,Parameter!$I$27:$I$29,0))),1,0)</f>
        <v>0</v>
      </c>
      <c r="BY243" s="53" t="n">
        <f aca="false">IF(CL243&gt;0,INDEX(Parameter!$H$5:$H$7,W243)/INDEX(Parameter!$E$5:$E$7,W243),IF(AND(BW243=0,N(IFERROR(VLOOKUP(BU243,'Gebinde-Kategorie'!$A$5:$N$45,14,0),0))&gt;0),VLOOKUP(BU243,'Gebinde-Kategorie'!$A$5:$N$45,14,0)*10+Parameter!$M$23,Parameter!$M$24))</f>
        <v>345</v>
      </c>
      <c r="BZ243" s="48" t="str">
        <f aca="false">IF(AND(Parameter!$B$19="Ja",E243&lt;&gt;"",ISNUMBER(MATCH(E243,Parameter!$I$35:$I$52,0))),VLOOKUP(E243,Parameter!$I$35:$J$52,2,0),IFERROR(VLOOKUP(D243,Parameter!$A$35:$C$64,2,0),"Nein"))</f>
        <v>2+3</v>
      </c>
      <c r="CA243" s="52" t="n">
        <f aca="false">IF(BW243=0,0,IF(N(S243)&gt;0,S243,IFERROR(VLOOKUP(D243,Parameter!$A$35:$C$64,3,0)+0,0)))</f>
        <v>0</v>
      </c>
      <c r="CB243" s="48" t="n">
        <f aca="false">IF(AA243&lt;&gt;"",AA243,Z243)</f>
        <v>2</v>
      </c>
      <c r="CC243" s="48" t="str">
        <f aca="false">IF(OR(CB243=1,CB243=2,CB243=3),IF(Parameter!$E$27="Ja","LIFT",IF(CB243=1,"L1","L23")),IF(CB243="Aussen","Aussen","-"))</f>
        <v>LIFT</v>
      </c>
      <c r="CD243" s="59" t="n">
        <f aca="false">IF(N(AB243)&gt;0,AB243,0)</f>
        <v>0</v>
      </c>
      <c r="CE243" s="53" t="n">
        <f aca="false">IF(ISNUMBER(AE243),1,0)</f>
        <v>0</v>
      </c>
      <c r="CF243" s="50" t="n">
        <f aca="false">N(AE243)</f>
        <v>0</v>
      </c>
      <c r="CG243" s="50" t="n">
        <f aca="false">N(M243)+N(N243)</f>
        <v>1</v>
      </c>
      <c r="CH243" s="50" t="n">
        <f aca="false">ROUNDUP(H243/BV243,0)</f>
        <v>1</v>
      </c>
      <c r="CI243" s="50" t="n">
        <f aca="false">ROUNDUP(CF243/BV243,0)</f>
        <v>0</v>
      </c>
      <c r="CJ243" s="53" t="n">
        <f aca="false">IF(BW243=1,0,IFERROR(VLOOKUP(BU243,'Gebinde-Kategorie'!$A$5:$N$45,5,0)+0,0))</f>
        <v>31</v>
      </c>
      <c r="CK243" s="53" t="n">
        <f aca="false">IFERROR(IF(OR(CB243=1,CB243=2,CB243=3),N(INDEX(Parameter!$I$5:$I$7,CB243)),0),0)</f>
        <v>0</v>
      </c>
      <c r="CL243" s="52" t="n">
        <f aca="false">IF(AND(Parameter!$B$21="Ja",ISNUMBER(W243),N(X243)&gt;0),IFERROR(N(INDEX(Parameter!$L$5:$L$7,W243))*INDEX(Parameter!$E$5:$E$7,W243)*X243/SUMIFS($X$7:$X$1843,$W$7:$W$1843,W243),0),0)</f>
        <v>0</v>
      </c>
    </row>
    <row r="244" customFormat="false" ht="15" hidden="false" customHeight="false" outlineLevel="0" collapsed="false">
      <c r="A244" s="48" t="s">
        <v>678</v>
      </c>
      <c r="B244" s="48" t="s">
        <v>472</v>
      </c>
      <c r="C244" s="48" t="s">
        <v>168</v>
      </c>
      <c r="D244" s="48" t="s">
        <v>188</v>
      </c>
      <c r="E244" s="48" t="s">
        <v>189</v>
      </c>
      <c r="F244" s="48" t="s">
        <v>222</v>
      </c>
      <c r="G244" s="49" t="n">
        <v>0.81</v>
      </c>
      <c r="H244" s="50" t="n">
        <f aca="false">MAX(0,IF(AND(Parameter!$B$21="Ja",ISNUMBER(Y244)),Y244,IF(Parameter!$B$20="Jahresanfang 2025 + Export",BO244+BN244,BN244)))</f>
        <v>1034</v>
      </c>
      <c r="I244" s="50" t="n">
        <f aca="false">H244*G244</f>
        <v>837.54</v>
      </c>
      <c r="J244" s="50" t="n">
        <f aca="false">BQ244*Parameter!$B$18</f>
        <v>1638</v>
      </c>
      <c r="K244" s="51" t="n">
        <v>432.5</v>
      </c>
      <c r="L244" s="52" t="n">
        <v>3.78728323699422</v>
      </c>
      <c r="M244" s="50" t="n">
        <v>63</v>
      </c>
      <c r="N244" s="50" t="n">
        <v>1640</v>
      </c>
      <c r="O244" s="53" t="n">
        <v>14</v>
      </c>
      <c r="P244" s="48" t="s">
        <v>306</v>
      </c>
      <c r="Q244" s="50" t="n">
        <v>961</v>
      </c>
      <c r="R244" s="53" t="n">
        <f aca="false">IF(BW244=1,0,IFERROR(VLOOKUP(BU244,'Gebinde-Kategorie'!$A$5:$N$45,13,0)+0,0))</f>
        <v>26</v>
      </c>
      <c r="S244" s="54"/>
      <c r="T244" s="55"/>
      <c r="U244" s="55"/>
      <c r="V244" s="55"/>
      <c r="W244" s="48"/>
      <c r="X244" s="50"/>
      <c r="Y244" s="50"/>
      <c r="Z244" s="48" t="n">
        <f aca="false">IF(A244="","",IF(AND(Parameter!$B$21="Ja",ISNUMBER(W244)),W244,IF(BZ244="2+3",IF(ISNUMBER(SEARCH("grosser Artikel",BR244)),2,IFERROR(VLOOKUP(BU244,Parameter!$F$35:$G$64,2,0),2)),IF(OR(BZ244="Nein",BZ244=""),"-",BZ244))))</f>
        <v>3</v>
      </c>
      <c r="AA244" s="55"/>
      <c r="AB244" s="56"/>
      <c r="AC244" s="50" t="n">
        <f aca="false">AT244</f>
        <v>1922</v>
      </c>
      <c r="AD244" s="50" t="n">
        <f aca="false">MAX(AT244,H244)</f>
        <v>1922</v>
      </c>
      <c r="AE244" s="57"/>
      <c r="AF244" s="50" t="n">
        <f aca="false">IF(LEFT(Cockpit!$C$5,1)="A",H244,IF(CE244=1,CF244,IF(LEFT(Cockpit!$C$5,1)="B",AK244,MAX(AK244,H244))))</f>
        <v>1034</v>
      </c>
      <c r="AG244" s="50" t="n">
        <f aca="false">IF(BW244=1,0,ROUNDUP(AF244/BV244,0))</f>
        <v>2</v>
      </c>
      <c r="AH244" s="52" t="n">
        <f aca="false">IF(CL244&gt;0,CL244*MAX(1,AF244/X244),IF(BW244=1,IF(AF244&lt;=0,0,CA244*MAX(1,IF(H244&gt;0,AF244/H244,1))),IF(R244&gt;0,AG244/R244,0))/MAX(0.1,N(Parameter!$M$21)))</f>
        <v>0.0769230769230769</v>
      </c>
      <c r="AI244" s="50" t="n">
        <f aca="false">AH244*BY244</f>
        <v>11.9230769230769</v>
      </c>
      <c r="AJ244" s="50" t="n">
        <f aca="false">AF244*G244</f>
        <v>837.54</v>
      </c>
      <c r="AK244" s="50" t="n">
        <f aca="false">ROUNDUP(MAX(J244/IF(CD244&gt;0,CD244,MAX(0.1,N(Cockpit!$C$6))),CG244)/BV244,0)*BV244</f>
        <v>1922</v>
      </c>
      <c r="AL244" s="51" t="n">
        <f aca="false">IF(AI244&gt;0,J244/AI244,-1)</f>
        <v>137.38064516129</v>
      </c>
      <c r="AM244" s="51" t="n">
        <f aca="false">IF(AND(OR(CC244="L1",CC244="L23",CC244="LIFT"),AI244&gt;0),SUMIFS($AI$7:$AI$1843,$CC$7:$CC$1843,CC244,$AL$7:$AL$1843,"&gt;"&amp;AL244)+SUMIFS($AI$7:$AI$1843,$CC$7:$CC$1843,CC244,$AL$7:$AL$1843,AL244,$BT$7:$BT$1843,"&lt;="&amp;BT244),"")</f>
        <v>533.170787545788</v>
      </c>
      <c r="AN244" s="58" t="n">
        <f aca="false">IF(AM244="",0,MAX(0,MIN(1,(IF(CC244="L1",Parameter!$H$5,IF(CC244="L23",Parameter!$H$6+Parameter!$H$7,Parameter!$H$5+Parameter!$H$6+Parameter!$H$7))-(AM244-AI244))/AI244)))</f>
        <v>1</v>
      </c>
      <c r="AO244" s="50" t="n">
        <f aca="false">IF(LEFT(Cockpit!$I$5,1)="A",H244,IF(CE244=1,CF244,IF(LEFT(Cockpit!$I$5,1)="B",AT244,MAX(AT244,H244))))</f>
        <v>1922</v>
      </c>
      <c r="AP244" s="50" t="n">
        <f aca="false">IF(BW244=1,0,ROUNDUP(AO244/BV244,0))</f>
        <v>2</v>
      </c>
      <c r="AQ244" s="52" t="n">
        <f aca="false">IF(CL244&gt;0,CL244*MAX(1,AO244/X244),IF(BW244=1,IF(AO244&lt;=0,0,CA244*MAX(1,IF(H244&gt;0,AO244/H244,1))),IF(R244&gt;0,AP244/R244,0))/MAX(0.1,N(Parameter!$M$21)))</f>
        <v>0.0769230769230769</v>
      </c>
      <c r="AR244" s="50" t="n">
        <f aca="false">AQ244*BY244</f>
        <v>11.9230769230769</v>
      </c>
      <c r="AS244" s="50" t="n">
        <f aca="false">AO244*G244</f>
        <v>1556.82</v>
      </c>
      <c r="AT244" s="50" t="n">
        <f aca="false">ROUNDUP(MAX(J244/IF(CD244&gt;0,CD244,MAX(0.1,N(Cockpit!$I$6))),CG244)/BV244,0)*BV244</f>
        <v>1922</v>
      </c>
      <c r="AU244" s="51" t="n">
        <f aca="false">IF(AR244&gt;0,J244/AR244,-1)</f>
        <v>137.38064516129</v>
      </c>
      <c r="AV244" s="51" t="n">
        <f aca="false">IF(AND(OR(CC244="L1",CC244="L23",CC244="LIFT"),AR244&gt;0),SUMIFS($AR$7:$AR$1843,$CC$7:$CC$1843,CC244,$AU$7:$AU$1843,"&gt;"&amp;AU244)+SUMIFS($AR$7:$AR$1843,$CC$7:$CC$1843,CC244,$AU$7:$AU$1843,AU244,$BT$7:$BT$1843,"&lt;="&amp;BT244),"")</f>
        <v>693.295787545788</v>
      </c>
      <c r="AW244" s="58" t="n">
        <f aca="false">IF(AV244="",0,MAX(0,MIN(1,(IF(CC244="L1",Parameter!$H$5,IF(CC244="L23",Parameter!$H$6+Parameter!$H$7,Parameter!$H$5+Parameter!$H$6+Parameter!$H$7))-(AV244-AR244))/AR244)))</f>
        <v>1</v>
      </c>
      <c r="AX244" s="50" t="n">
        <f aca="false">IF(LEFT(Cockpit!$O$5,1)="A",H244,IF(CE244=1,CF244,IF(LEFT(Cockpit!$O$5,1)="B",BC244,MAX(BC244,H244))))</f>
        <v>1922</v>
      </c>
      <c r="AY244" s="50" t="n">
        <f aca="false">IF(BW244=1,0,ROUNDUP(AX244/BV244,0))</f>
        <v>2</v>
      </c>
      <c r="AZ244" s="52" t="n">
        <f aca="false">IF(CL244&gt;0,CL244*MAX(1,AX244/X244),IF(BW244=1,IF(AX244&lt;=0,0,CA244*MAX(1,IF(H244&gt;0,AX244/H244,1))),IF(R244&gt;0,AY244/R244,0))/MAX(0.1,N(Parameter!$M$21)))</f>
        <v>0.0769230769230769</v>
      </c>
      <c r="BA244" s="50" t="n">
        <f aca="false">AZ244*BY244</f>
        <v>11.9230769230769</v>
      </c>
      <c r="BB244" s="50" t="n">
        <f aca="false">AX244*G244</f>
        <v>1556.82</v>
      </c>
      <c r="BC244" s="50" t="n">
        <f aca="false">ROUNDUP(MAX(J244/IF(CD244&gt;0,CD244,MAX(0.1,N(Cockpit!$O$6))),CG244)/BV244,0)*BV244</f>
        <v>1922</v>
      </c>
      <c r="BD244" s="51" t="n">
        <f aca="false">IF(BA244&gt;0,J244/BA244,-1)</f>
        <v>137.38064516129</v>
      </c>
      <c r="BE244" s="51" t="n">
        <f aca="false">IF(AND(OR(CC244="L1",CC244="L23",CC244="LIFT"),BA244&gt;0),SUMIFS($BA$7:$BA$1843,$CC$7:$CC$1843,CC244,$BD$7:$BD$1843,"&gt;"&amp;BD244)+SUMIFS($BA$7:$BA$1843,$CC$7:$CC$1843,CC244,$BD$7:$BD$1843,BD244,$BT$7:$BT$1843,"&lt;="&amp;BT244),"")</f>
        <v>637.73489010989</v>
      </c>
      <c r="BF244" s="58" t="n">
        <f aca="false">IF(BE244="",0,MAX(0,MIN(1,(IF(CC244="L1",Parameter!$H$5,IF(CC244="L23",Parameter!$H$6+Parameter!$H$7,Parameter!$H$5+Parameter!$H$6+Parameter!$H$7))-(BE244-BA244))/BA244)))</f>
        <v>1</v>
      </c>
      <c r="BG244" s="48" t="str">
        <f aca="false">IF(AI244&lt;=0,"",IF(CC244="Aussen","Aussenlager",IF(CC244="-","Nicht im Lift",IF(AN244&gt;=1,"Lift",IF(AN244&lt;=0,"Aussenlager","teilweise")))))</f>
        <v>Lift</v>
      </c>
      <c r="BH244" s="48" t="str">
        <f aca="false">IF(AR244&lt;=0,"",IF(CC244="Aussen","Aussenlager",IF(CC244="-","Nicht im Lift",IF(AW244&gt;=1,"Lift",IF(AW244&lt;=0,"Aussenlager","teilweise")))))</f>
        <v>Lift</v>
      </c>
      <c r="BI244" s="48" t="str">
        <f aca="false">IF(BA244&lt;=0,"",IF(CC244="Aussen","Aussenlager",IF(CC244="-","Nicht im Lift",IF(BF244&gt;=1,"Lift",IF(BF244&lt;=0,"Aussenlager","teilweise")))))</f>
        <v>Lift</v>
      </c>
      <c r="BJ244" s="48" t="str">
        <f aca="false">IF(A244="","",IF(BS244=1,"Neu; ","")&amp;IF(AND(BS244=0,BN244&lt;0),"negativer Bestand (Export "&amp;BN244&amp;"); ","")&amp;IF(J244&lt;=0,"Kein Verbrauch; ","")&amp;IF(CL244&gt;0,"Lift "&amp;W244&amp;" lt. Liftbericht (Fach "&amp;X244&amp;" Stk); ",IF(BX244=1,"Gebinde geschätzt ("&amp;T244&amp;"); ",IF(BW244=1,"Lose – Tablare geschätzt; ","")))&amp;IF(H244&gt;AT244,"Überbestand "&amp;ROUND(H244-AT244,0)&amp;" Stk / CHF "&amp;ROUND((H244-AT244)*G244,0)&amp;"; ","")&amp;IF(AND(CE244=1,CF244&lt;CG244),"MAX &lt; MB+LG; ","")&amp;IF(AND(CK244&gt;0,CJ244*10&gt;CK244),"zu hoch für Tablar; ","")&amp;IF(AND(BS244=0,OR(CE244=1,AA244&lt;&gt;"",U244&lt;&gt;"",V244&lt;&gt;"",AB244&lt;&gt;"")),"manuell übersteuert; ","")&amp;IF(AND(BW244=0,R244=0),"Gebinde unbekannt / Stellmass fehlt; ","")&amp;IF(AND(BW244=0,N(V244)&lt;=0,N(Q244)&lt;=0),"Menge pro Gebinde fehlt (Ist = 1 Gebinde); ","")&amp;BR244)</f>
        <v/>
      </c>
      <c r="BK244" s="48"/>
      <c r="BL244" s="48"/>
      <c r="BM244" s="55"/>
      <c r="BN244" s="50" t="n">
        <v>663</v>
      </c>
      <c r="BO244" s="50" t="n">
        <v>371</v>
      </c>
      <c r="BP244" s="49" t="n">
        <v>540.659999999999</v>
      </c>
      <c r="BQ244" s="50" t="n">
        <v>1638</v>
      </c>
      <c r="BR244" s="48"/>
      <c r="BS244" s="53" t="n">
        <v>0</v>
      </c>
      <c r="BT244" s="53" t="n">
        <v>244</v>
      </c>
      <c r="BU244" s="48" t="str">
        <f aca="false">IF(U244&lt;&gt;"",UPPER(TRIM(U244)),IF(BX244=1,UPPER(VLOOKUP(T244,Parameter!$I$27:$K$29,2,0)),IF(P244="","LOSE",P244)))</f>
        <v>S51</v>
      </c>
      <c r="BV244" s="50" t="n">
        <f aca="false">IF(BU244="LOSE",1,IF(N(V244)&gt;0,V244,IF(BX244=1,MAX(1,N(VLOOKUP(T244,Parameter!$I$27:$K$29,3,0)),H244,N(N244)),IF(N(Q244)&gt;0,Q244,MAX(1,H244)))))</f>
        <v>961</v>
      </c>
      <c r="BW244" s="53" t="n">
        <f aca="false">IF(BU244="LOSE",1,0)</f>
        <v>0</v>
      </c>
      <c r="BX244" s="53" t="n">
        <f aca="false">IF(AND(U244="",OR(P244="",P244="LOSE"),T244&lt;&gt;"",N(S244)&lt;=0,ISNUMBER(MATCH(T244,Parameter!$I$27:$I$29,0))),1,0)</f>
        <v>0</v>
      </c>
      <c r="BY244" s="53" t="n">
        <f aca="false">IF(CL244&gt;0,INDEX(Parameter!$H$5:$H$7,W244)/INDEX(Parameter!$E$5:$E$7,W244),IF(AND(BW244=0,N(IFERROR(VLOOKUP(BU244,'Gebinde-Kategorie'!$A$5:$N$45,14,0),0))&gt;0),VLOOKUP(BU244,'Gebinde-Kategorie'!$A$5:$N$45,14,0)*10+Parameter!$M$23,Parameter!$M$24))</f>
        <v>155</v>
      </c>
      <c r="BZ244" s="48" t="str">
        <f aca="false">IF(AND(Parameter!$B$19="Ja",E244&lt;&gt;"",ISNUMBER(MATCH(E244,Parameter!$I$35:$I$52,0))),VLOOKUP(E244,Parameter!$I$35:$J$52,2,0),IFERROR(VLOOKUP(D244,Parameter!$A$35:$C$64,2,0),"Nein"))</f>
        <v>2+3</v>
      </c>
      <c r="CA244" s="52" t="n">
        <f aca="false">IF(BW244=0,0,IF(N(S244)&gt;0,S244,IFERROR(VLOOKUP(D244,Parameter!$A$35:$C$64,3,0)+0,0)))</f>
        <v>0</v>
      </c>
      <c r="CB244" s="48" t="n">
        <f aca="false">IF(AA244&lt;&gt;"",AA244,Z244)</f>
        <v>3</v>
      </c>
      <c r="CC244" s="48" t="str">
        <f aca="false">IF(OR(CB244=1,CB244=2,CB244=3),IF(Parameter!$E$27="Ja","LIFT",IF(CB244=1,"L1","L23")),IF(CB244="Aussen","Aussen","-"))</f>
        <v>LIFT</v>
      </c>
      <c r="CD244" s="59" t="n">
        <f aca="false">IF(N(AB244)&gt;0,AB244,0)</f>
        <v>0</v>
      </c>
      <c r="CE244" s="53" t="n">
        <f aca="false">IF(ISNUMBER(AE244),1,0)</f>
        <v>0</v>
      </c>
      <c r="CF244" s="50" t="n">
        <f aca="false">N(AE244)</f>
        <v>0</v>
      </c>
      <c r="CG244" s="50" t="n">
        <f aca="false">N(M244)+N(N244)</f>
        <v>1703</v>
      </c>
      <c r="CH244" s="50" t="n">
        <f aca="false">ROUNDUP(H244/BV244,0)</f>
        <v>2</v>
      </c>
      <c r="CI244" s="50" t="n">
        <f aca="false">ROUNDUP(CF244/BV244,0)</f>
        <v>0</v>
      </c>
      <c r="CJ244" s="53" t="n">
        <f aca="false">IF(BW244=1,0,IFERROR(VLOOKUP(BU244,'Gebinde-Kategorie'!$A$5:$N$45,5,0)+0,0))</f>
        <v>11</v>
      </c>
      <c r="CK244" s="53" t="n">
        <f aca="false">IFERROR(IF(OR(CB244=1,CB244=2,CB244=3),N(INDEX(Parameter!$I$5:$I$7,CB244)),0),0)</f>
        <v>0</v>
      </c>
      <c r="CL244" s="52" t="n">
        <f aca="false">IF(AND(Parameter!$B$21="Ja",ISNUMBER(W244),N(X244)&gt;0),IFERROR(N(INDEX(Parameter!$L$5:$L$7,W244))*INDEX(Parameter!$E$5:$E$7,W244)*X244/SUMIFS($X$7:$X$1843,$W$7:$W$1843,W244),0),0)</f>
        <v>0</v>
      </c>
    </row>
    <row r="245" customFormat="false" ht="15" hidden="false" customHeight="false" outlineLevel="0" collapsed="false">
      <c r="A245" s="48" t="s">
        <v>679</v>
      </c>
      <c r="B245" s="48" t="s">
        <v>680</v>
      </c>
      <c r="C245" s="48" t="s">
        <v>168</v>
      </c>
      <c r="D245" s="48" t="s">
        <v>188</v>
      </c>
      <c r="E245" s="48"/>
      <c r="F245" s="48" t="s">
        <v>222</v>
      </c>
      <c r="G245" s="49" t="n">
        <v>44.7</v>
      </c>
      <c r="H245" s="50" t="n">
        <f aca="false">MAX(0,IF(AND(Parameter!$B$21="Ja",ISNUMBER(Y245)),Y245,IF(Parameter!$B$20="Jahresanfang 2025 + Export",BO245+BN245,BN245)))</f>
        <v>65</v>
      </c>
      <c r="I245" s="50" t="n">
        <f aca="false">H245*G245</f>
        <v>2905.5</v>
      </c>
      <c r="J245" s="50" t="n">
        <f aca="false">BQ245*Parameter!$B$18</f>
        <v>1</v>
      </c>
      <c r="K245" s="51" t="n">
        <v>49</v>
      </c>
      <c r="L245" s="52" t="n">
        <v>0.0204081632653061</v>
      </c>
      <c r="M245" s="50" t="n">
        <v>0</v>
      </c>
      <c r="N245" s="50" t="n">
        <v>1</v>
      </c>
      <c r="O245" s="53" t="n">
        <v>63</v>
      </c>
      <c r="P245" s="48" t="s">
        <v>297</v>
      </c>
      <c r="Q245" s="50" t="n">
        <v>50</v>
      </c>
      <c r="R245" s="53" t="n">
        <f aca="false">IF(BW245=1,0,IFERROR(VLOOKUP(BU245,'Gebinde-Kategorie'!$A$5:$N$45,13,0)+0,0))</f>
        <v>12</v>
      </c>
      <c r="S245" s="54"/>
      <c r="T245" s="55"/>
      <c r="U245" s="55"/>
      <c r="V245" s="55"/>
      <c r="W245" s="48"/>
      <c r="X245" s="50"/>
      <c r="Y245" s="50"/>
      <c r="Z245" s="48" t="n">
        <f aca="false">IF(A245="","",IF(AND(Parameter!$B$21="Ja",ISNUMBER(W245)),W245,IF(BZ245="2+3",IF(ISNUMBER(SEARCH("grosser Artikel",BR245)),2,IFERROR(VLOOKUP(BU245,Parameter!$F$35:$G$64,2,0),2)),IF(OR(BZ245="Nein",BZ245=""),"-",BZ245))))</f>
        <v>2</v>
      </c>
      <c r="AA245" s="55"/>
      <c r="AB245" s="56"/>
      <c r="AC245" s="50" t="n">
        <f aca="false">AT245</f>
        <v>50</v>
      </c>
      <c r="AD245" s="50" t="n">
        <f aca="false">MAX(AT245,H245)</f>
        <v>65</v>
      </c>
      <c r="AE245" s="57"/>
      <c r="AF245" s="50" t="n">
        <f aca="false">IF(LEFT(Cockpit!$C$5,1)="A",H245,IF(CE245=1,CF245,IF(LEFT(Cockpit!$C$5,1)="B",AK245,MAX(AK245,H245))))</f>
        <v>65</v>
      </c>
      <c r="AG245" s="50" t="n">
        <f aca="false">IF(BW245=1,0,ROUNDUP(AF245/BV245,0))</f>
        <v>2</v>
      </c>
      <c r="AH245" s="52" t="n">
        <f aca="false">IF(CL245&gt;0,CL245*MAX(1,AF245/X245),IF(BW245=1,IF(AF245&lt;=0,0,CA245*MAX(1,IF(H245&gt;0,AF245/H245,1))),IF(R245&gt;0,AG245/R245,0))/MAX(0.1,N(Parameter!$M$21)))</f>
        <v>0.166666666666667</v>
      </c>
      <c r="AI245" s="50" t="n">
        <f aca="false">AH245*BY245</f>
        <v>40.8333333333333</v>
      </c>
      <c r="AJ245" s="50" t="n">
        <f aca="false">AF245*G245</f>
        <v>2905.5</v>
      </c>
      <c r="AK245" s="50" t="n">
        <f aca="false">ROUNDUP(MAX(J245/IF(CD245&gt;0,CD245,MAX(0.1,N(Cockpit!$C$6))),CG245)/BV245,0)*BV245</f>
        <v>50</v>
      </c>
      <c r="AL245" s="51" t="n">
        <f aca="false">IF(AI245&gt;0,J245/AI245,-1)</f>
        <v>0.0244897959183674</v>
      </c>
      <c r="AM245" s="51" t="n">
        <f aca="false">IF(AND(OR(CC245="L1",CC245="L23",CC245="LIFT"),AI245&gt;0),SUMIFS($AI$7:$AI$1843,$CC$7:$CC$1843,CC245,$AL$7:$AL$1843,"&gt;"&amp;AL245)+SUMIFS($AI$7:$AI$1843,$CC$7:$CC$1843,CC245,$AL$7:$AL$1843,AL245,$BT$7:$BT$1843,"&lt;="&amp;BT245),"")</f>
        <v>22044.6104048964</v>
      </c>
      <c r="AN245" s="58" t="n">
        <f aca="false">IF(AM245="",0,MAX(0,MIN(1,(IF(CC245="L1",Parameter!$H$5,IF(CC245="L23",Parameter!$H$6+Parameter!$H$7,Parameter!$H$5+Parameter!$H$6+Parameter!$H$7))-(AM245-AI245))/AI245)))</f>
        <v>1</v>
      </c>
      <c r="AO245" s="50" t="n">
        <f aca="false">IF(LEFT(Cockpit!$I$5,1)="A",H245,IF(CE245=1,CF245,IF(LEFT(Cockpit!$I$5,1)="B",AT245,MAX(AT245,H245))))</f>
        <v>65</v>
      </c>
      <c r="AP245" s="50" t="n">
        <f aca="false">IF(BW245=1,0,ROUNDUP(AO245/BV245,0))</f>
        <v>2</v>
      </c>
      <c r="AQ245" s="52" t="n">
        <f aca="false">IF(CL245&gt;0,CL245*MAX(1,AO245/X245),IF(BW245=1,IF(AO245&lt;=0,0,CA245*MAX(1,IF(H245&gt;0,AO245/H245,1))),IF(R245&gt;0,AP245/R245,0))/MAX(0.1,N(Parameter!$M$21)))</f>
        <v>0.166666666666667</v>
      </c>
      <c r="AR245" s="50" t="n">
        <f aca="false">AQ245*BY245</f>
        <v>40.8333333333333</v>
      </c>
      <c r="AS245" s="50" t="n">
        <f aca="false">AO245*G245</f>
        <v>2905.5</v>
      </c>
      <c r="AT245" s="50" t="n">
        <f aca="false">ROUNDUP(MAX(J245/IF(CD245&gt;0,CD245,MAX(0.1,N(Cockpit!$I$6))),CG245)/BV245,0)*BV245</f>
        <v>50</v>
      </c>
      <c r="AU245" s="51" t="n">
        <f aca="false">IF(AR245&gt;0,J245/AR245,-1)</f>
        <v>0.0244897959183674</v>
      </c>
      <c r="AV245" s="51" t="n">
        <f aca="false">IF(AND(OR(CC245="L1",CC245="L23",CC245="LIFT"),AR245&gt;0),SUMIFS($AR$7:$AR$1843,$CC$7:$CC$1843,CC245,$AU$7:$AU$1843,"&gt;"&amp;AU245)+SUMIFS($AR$7:$AR$1843,$CC$7:$CC$1843,CC245,$AU$7:$AU$1843,AU245,$BT$7:$BT$1843,"&lt;="&amp;BT245),"")</f>
        <v>32977.3346603961</v>
      </c>
      <c r="AW245" s="58" t="n">
        <f aca="false">IF(AV245="",0,MAX(0,MIN(1,(IF(CC245="L1",Parameter!$H$5,IF(CC245="L23",Parameter!$H$6+Parameter!$H$7,Parameter!$H$5+Parameter!$H$6+Parameter!$H$7))-(AV245-AR245))/AR245)))</f>
        <v>1</v>
      </c>
      <c r="AX245" s="50" t="n">
        <f aca="false">IF(LEFT(Cockpit!$O$5,1)="A",H245,IF(CE245=1,CF245,IF(LEFT(Cockpit!$O$5,1)="B",BC245,MAX(BC245,H245))))</f>
        <v>65</v>
      </c>
      <c r="AY245" s="50" t="n">
        <f aca="false">IF(BW245=1,0,ROUNDUP(AX245/BV245,0))</f>
        <v>2</v>
      </c>
      <c r="AZ245" s="52" t="n">
        <f aca="false">IF(CL245&gt;0,CL245*MAX(1,AX245/X245),IF(BW245=1,IF(AX245&lt;=0,0,CA245*MAX(1,IF(H245&gt;0,AX245/H245,1))),IF(R245&gt;0,AY245/R245,0))/MAX(0.1,N(Parameter!$M$21)))</f>
        <v>0.166666666666667</v>
      </c>
      <c r="BA245" s="50" t="n">
        <f aca="false">AZ245*BY245</f>
        <v>40.8333333333333</v>
      </c>
      <c r="BB245" s="50" t="n">
        <f aca="false">AX245*G245</f>
        <v>2905.5</v>
      </c>
      <c r="BC245" s="50" t="n">
        <f aca="false">ROUNDUP(MAX(J245/IF(CD245&gt;0,CD245,MAX(0.1,N(Cockpit!$O$6))),CG245)/BV245,0)*BV245</f>
        <v>50</v>
      </c>
      <c r="BD245" s="51" t="n">
        <f aca="false">IF(BA245&gt;0,J245/BA245,-1)</f>
        <v>0.0244897959183674</v>
      </c>
      <c r="BE245" s="51" t="n">
        <f aca="false">IF(AND(OR(CC245="L1",CC245="L23",CC245="LIFT"),BA245&gt;0),SUMIFS($BA$7:$BA$1843,$CC$7:$CC$1843,CC245,$BD$7:$BD$1843,"&gt;"&amp;BD245)+SUMIFS($BA$7:$BA$1843,$CC$7:$CC$1843,CC245,$BD$7:$BD$1843,BD245,$BT$7:$BT$1843,"&lt;="&amp;BT245),"")</f>
        <v>29652.346702262</v>
      </c>
      <c r="BF245" s="58" t="n">
        <f aca="false">IF(BE245="",0,MAX(0,MIN(1,(IF(CC245="L1",Parameter!$H$5,IF(CC245="L23",Parameter!$H$6+Parameter!$H$7,Parameter!$H$5+Parameter!$H$6+Parameter!$H$7))-(BE245-BA245))/BA245)))</f>
        <v>1</v>
      </c>
      <c r="BG245" s="48" t="str">
        <f aca="false">IF(AI245&lt;=0,"",IF(CC245="Aussen","Aussenlager",IF(CC245="-","Nicht im Lift",IF(AN245&gt;=1,"Lift",IF(AN245&lt;=0,"Aussenlager","teilweise")))))</f>
        <v>Lift</v>
      </c>
      <c r="BH245" s="48" t="str">
        <f aca="false">IF(AR245&lt;=0,"",IF(CC245="Aussen","Aussenlager",IF(CC245="-","Nicht im Lift",IF(AW245&gt;=1,"Lift",IF(AW245&lt;=0,"Aussenlager","teilweise")))))</f>
        <v>Lift</v>
      </c>
      <c r="BI245" s="48" t="str">
        <f aca="false">IF(BA245&lt;=0,"",IF(CC245="Aussen","Aussenlager",IF(CC245="-","Nicht im Lift",IF(BF245&gt;=1,"Lift",IF(BF245&lt;=0,"Aussenlager","teilweise")))))</f>
        <v>Lift</v>
      </c>
      <c r="BJ245" s="48" t="str">
        <f aca="false">IF(A245="","",IF(BS245=1,"Neu; ","")&amp;IF(AND(BS245=0,BN245&lt;0),"negativer Bestand (Export "&amp;BN245&amp;"); ","")&amp;IF(J245&lt;=0,"Kein Verbrauch; ","")&amp;IF(CL245&gt;0,"Lift "&amp;W245&amp;" lt. Liftbericht (Fach "&amp;X245&amp;" Stk); ",IF(BX245=1,"Gebinde geschätzt ("&amp;T245&amp;"); ",IF(BW245=1,"Lose – Tablare geschätzt; ","")))&amp;IF(H245&gt;AT245,"Überbestand "&amp;ROUND(H245-AT245,0)&amp;" Stk / CHF "&amp;ROUND((H245-AT245)*G245,0)&amp;"; ","")&amp;IF(AND(CE245=1,CF245&lt;CG245),"MAX &lt; MB+LG; ","")&amp;IF(AND(CK245&gt;0,CJ245*10&gt;CK245),"zu hoch für Tablar; ","")&amp;IF(AND(BS245=0,OR(CE245=1,AA245&lt;&gt;"",U245&lt;&gt;"",V245&lt;&gt;"",AB245&lt;&gt;"")),"manuell übersteuert; ","")&amp;IF(AND(BW245=0,R245=0),"Gebinde unbekannt / Stellmass fehlt; ","")&amp;IF(AND(BW245=0,N(V245)&lt;=0,N(Q245)&lt;=0),"Menge pro Gebinde fehlt (Ist = 1 Gebinde); ","")&amp;BR245)</f>
        <v>Überbestand 15 Stk / CHF 671; </v>
      </c>
      <c r="BK245" s="48"/>
      <c r="BL245" s="48"/>
      <c r="BM245" s="55"/>
      <c r="BN245" s="50" t="n">
        <v>16</v>
      </c>
      <c r="BO245" s="50" t="n">
        <v>49</v>
      </c>
      <c r="BP245" s="49" t="n">
        <v>529.74</v>
      </c>
      <c r="BQ245" s="50" t="n">
        <v>1</v>
      </c>
      <c r="BR245" s="48"/>
      <c r="BS245" s="53" t="n">
        <v>0</v>
      </c>
      <c r="BT245" s="53" t="n">
        <v>245</v>
      </c>
      <c r="BU245" s="48" t="str">
        <f aca="false">IF(U245&lt;&gt;"",UPPER(TRIM(U245)),IF(BX245=1,UPPER(VLOOKUP(T245,Parameter!$I$27:$K$29,2,0)),IF(P245="","LOSE",P245)))</f>
        <v>S62</v>
      </c>
      <c r="BV245" s="50" t="n">
        <f aca="false">IF(BU245="LOSE",1,IF(N(V245)&gt;0,V245,IF(BX245=1,MAX(1,N(VLOOKUP(T245,Parameter!$I$27:$K$29,3,0)),H245,N(N245)),IF(N(Q245)&gt;0,Q245,MAX(1,H245)))))</f>
        <v>50</v>
      </c>
      <c r="BW245" s="53" t="n">
        <f aca="false">IF(BU245="LOSE",1,0)</f>
        <v>0</v>
      </c>
      <c r="BX245" s="53" t="n">
        <f aca="false">IF(AND(U245="",OR(P245="",P245="LOSE"),T245&lt;&gt;"",N(S245)&lt;=0,ISNUMBER(MATCH(T245,Parameter!$I$27:$I$29,0))),1,0)</f>
        <v>0</v>
      </c>
      <c r="BY245" s="53" t="n">
        <f aca="false">IF(CL245&gt;0,INDEX(Parameter!$H$5:$H$7,W245)/INDEX(Parameter!$E$5:$E$7,W245),IF(AND(BW245=0,N(IFERROR(VLOOKUP(BU245,'Gebinde-Kategorie'!$A$5:$N$45,14,0),0))&gt;0),VLOOKUP(BU245,'Gebinde-Kategorie'!$A$5:$N$45,14,0)*10+Parameter!$M$23,Parameter!$M$24))</f>
        <v>245</v>
      </c>
      <c r="BZ245" s="48" t="str">
        <f aca="false">IF(AND(Parameter!$B$19="Ja",E245&lt;&gt;"",ISNUMBER(MATCH(E245,Parameter!$I$35:$I$52,0))),VLOOKUP(E245,Parameter!$I$35:$J$52,2,0),IFERROR(VLOOKUP(D245,Parameter!$A$35:$C$64,2,0),"Nein"))</f>
        <v>2+3</v>
      </c>
      <c r="CA245" s="52" t="n">
        <f aca="false">IF(BW245=0,0,IF(N(S245)&gt;0,S245,IFERROR(VLOOKUP(D245,Parameter!$A$35:$C$64,3,0)+0,0)))</f>
        <v>0</v>
      </c>
      <c r="CB245" s="48" t="n">
        <f aca="false">IF(AA245&lt;&gt;"",AA245,Z245)</f>
        <v>2</v>
      </c>
      <c r="CC245" s="48" t="str">
        <f aca="false">IF(OR(CB245=1,CB245=2,CB245=3),IF(Parameter!$E$27="Ja","LIFT",IF(CB245=1,"L1","L23")),IF(CB245="Aussen","Aussen","-"))</f>
        <v>LIFT</v>
      </c>
      <c r="CD245" s="59" t="n">
        <f aca="false">IF(N(AB245)&gt;0,AB245,0)</f>
        <v>0</v>
      </c>
      <c r="CE245" s="53" t="n">
        <f aca="false">IF(ISNUMBER(AE245),1,0)</f>
        <v>0</v>
      </c>
      <c r="CF245" s="50" t="n">
        <f aca="false">N(AE245)</f>
        <v>0</v>
      </c>
      <c r="CG245" s="50" t="n">
        <f aca="false">N(M245)+N(N245)</f>
        <v>1</v>
      </c>
      <c r="CH245" s="50" t="n">
        <f aca="false">ROUNDUP(H245/BV245,0)</f>
        <v>2</v>
      </c>
      <c r="CI245" s="50" t="n">
        <f aca="false">ROUNDUP(CF245/BV245,0)</f>
        <v>0</v>
      </c>
      <c r="CJ245" s="53" t="n">
        <f aca="false">IF(BW245=1,0,IFERROR(VLOOKUP(BU245,'Gebinde-Kategorie'!$A$5:$N$45,5,0)+0,0))</f>
        <v>21</v>
      </c>
      <c r="CK245" s="53" t="n">
        <f aca="false">IFERROR(IF(OR(CB245=1,CB245=2,CB245=3),N(INDEX(Parameter!$I$5:$I$7,CB245)),0),0)</f>
        <v>0</v>
      </c>
      <c r="CL245" s="52" t="n">
        <f aca="false">IF(AND(Parameter!$B$21="Ja",ISNUMBER(W245),N(X245)&gt;0),IFERROR(N(INDEX(Parameter!$L$5:$L$7,W245))*INDEX(Parameter!$E$5:$E$7,W245)*X245/SUMIFS($X$7:$X$1843,$W$7:$W$1843,W245),0),0)</f>
        <v>0</v>
      </c>
    </row>
    <row r="246" customFormat="false" ht="15" hidden="false" customHeight="false" outlineLevel="0" collapsed="false">
      <c r="A246" s="48" t="s">
        <v>681</v>
      </c>
      <c r="B246" s="48" t="s">
        <v>371</v>
      </c>
      <c r="C246" s="48" t="s">
        <v>168</v>
      </c>
      <c r="D246" s="48" t="s">
        <v>177</v>
      </c>
      <c r="E246" s="48" t="s">
        <v>170</v>
      </c>
      <c r="F246" s="48" t="s">
        <v>222</v>
      </c>
      <c r="G246" s="49" t="n">
        <v>520</v>
      </c>
      <c r="H246" s="50" t="n">
        <f aca="false">MAX(0,IF(AND(Parameter!$B$21="Ja",ISNUMBER(Y246)),Y246,IF(Parameter!$B$20="Jahresanfang 2025 + Export",BO246+BN246,BN246)))</f>
        <v>1</v>
      </c>
      <c r="I246" s="50" t="n">
        <f aca="false">H246*G246</f>
        <v>520</v>
      </c>
      <c r="J246" s="50" t="n">
        <f aca="false">BQ246*Parameter!$B$18</f>
        <v>1</v>
      </c>
      <c r="K246" s="51" t="n">
        <v>0.5</v>
      </c>
      <c r="L246" s="52" t="n">
        <v>2</v>
      </c>
      <c r="M246" s="50" t="n">
        <v>0</v>
      </c>
      <c r="N246" s="50" t="n">
        <v>1</v>
      </c>
      <c r="O246" s="53" t="n">
        <v>28</v>
      </c>
      <c r="P246" s="48" t="s">
        <v>172</v>
      </c>
      <c r="Q246" s="50"/>
      <c r="R246" s="53" t="n">
        <f aca="false">IF(BW246=1,0,IFERROR(VLOOKUP(BU246,'Gebinde-Kategorie'!$A$5:$N$45,13,0)+0,0))</f>
        <v>0</v>
      </c>
      <c r="S246" s="54"/>
      <c r="T246" s="55"/>
      <c r="U246" s="55"/>
      <c r="V246" s="55"/>
      <c r="W246" s="48" t="n">
        <v>1</v>
      </c>
      <c r="X246" s="50" t="n">
        <v>1</v>
      </c>
      <c r="Y246" s="50" t="n">
        <v>1</v>
      </c>
      <c r="Z246" s="48" t="n">
        <f aca="false">IF(A246="","",IF(AND(Parameter!$B$21="Ja",ISNUMBER(W246)),W246,IF(BZ246="2+3",IF(ISNUMBER(SEARCH("grosser Artikel",BR246)),2,IFERROR(VLOOKUP(BU246,Parameter!$F$35:$G$64,2,0),2)),IF(OR(BZ246="Nein",BZ246=""),"-",BZ246))))</f>
        <v>1</v>
      </c>
      <c r="AA246" s="55"/>
      <c r="AB246" s="56"/>
      <c r="AC246" s="50" t="n">
        <f aca="false">AT246</f>
        <v>1</v>
      </c>
      <c r="AD246" s="50" t="n">
        <f aca="false">MAX(AT246,H246)</f>
        <v>1</v>
      </c>
      <c r="AE246" s="57"/>
      <c r="AF246" s="50" t="n">
        <f aca="false">IF(LEFT(Cockpit!$C$5,1)="A",H246,IF(CE246=1,CF246,IF(LEFT(Cockpit!$C$5,1)="B",AK246,MAX(AK246,H246))))</f>
        <v>1</v>
      </c>
      <c r="AG246" s="50" t="n">
        <f aca="false">IF(BW246=1,0,ROUNDUP(AF246/BV246,0))</f>
        <v>0</v>
      </c>
      <c r="AH246" s="52" t="n">
        <f aca="false">IF(CL246&gt;0,CL246*MAX(1,AF246/X246),IF(BW246=1,IF(AF246&lt;=0,0,CA246*MAX(1,IF(H246&gt;0,AF246/H246,1))),IF(R246&gt;0,AG246/R246,0))/MAX(0.1,N(Parameter!$M$21)))</f>
        <v>0.0800376647834275</v>
      </c>
      <c r="AI246" s="50" t="n">
        <f aca="false">AH246*BY246</f>
        <v>19.0489642184557</v>
      </c>
      <c r="AJ246" s="50" t="n">
        <f aca="false">AF246*G246</f>
        <v>520</v>
      </c>
      <c r="AK246" s="50" t="n">
        <f aca="false">ROUNDUP(MAX(J246/IF(CD246&gt;0,CD246,MAX(0.1,N(Cockpit!$C$6))),CG246)/BV246,0)*BV246</f>
        <v>1</v>
      </c>
      <c r="AL246" s="51" t="n">
        <f aca="false">IF(AI246&gt;0,J246/AI246,-1)</f>
        <v>0.0524962926347009</v>
      </c>
      <c r="AM246" s="51" t="n">
        <f aca="false">IF(AND(OR(CC246="L1",CC246="L23",CC246="LIFT"),AI246&gt;0),SUMIFS($AI$7:$AI$1843,$CC$7:$CC$1843,CC246,$AL$7:$AL$1843,"&gt;"&amp;AL246)+SUMIFS($AI$7:$AI$1843,$CC$7:$CC$1843,CC246,$AL$7:$AL$1843,AL246,$BT$7:$BT$1843,"&lt;="&amp;BT246),"")</f>
        <v>19065.0134905114</v>
      </c>
      <c r="AN246" s="58" t="n">
        <f aca="false">IF(AM246="",0,MAX(0,MIN(1,(IF(CC246="L1",Parameter!$H$5,IF(CC246="L23",Parameter!$H$6+Parameter!$H$7,Parameter!$H$5+Parameter!$H$6+Parameter!$H$7))-(AM246-AI246))/AI246)))</f>
        <v>1</v>
      </c>
      <c r="AO246" s="50" t="n">
        <f aca="false">IF(LEFT(Cockpit!$I$5,1)="A",H246,IF(CE246=1,CF246,IF(LEFT(Cockpit!$I$5,1)="B",AT246,MAX(AT246,H246))))</f>
        <v>1</v>
      </c>
      <c r="AP246" s="50" t="n">
        <f aca="false">IF(BW246=1,0,ROUNDUP(AO246/BV246,0))</f>
        <v>0</v>
      </c>
      <c r="AQ246" s="52" t="n">
        <f aca="false">IF(CL246&gt;0,CL246*MAX(1,AO246/X246),IF(BW246=1,IF(AO246&lt;=0,0,CA246*MAX(1,IF(H246&gt;0,AO246/H246,1))),IF(R246&gt;0,AP246/R246,0))/MAX(0.1,N(Parameter!$M$21)))</f>
        <v>0.0800376647834275</v>
      </c>
      <c r="AR246" s="50" t="n">
        <f aca="false">AQ246*BY246</f>
        <v>19.0489642184557</v>
      </c>
      <c r="AS246" s="50" t="n">
        <f aca="false">AO246*G246</f>
        <v>520</v>
      </c>
      <c r="AT246" s="50" t="n">
        <f aca="false">ROUNDUP(MAX(J246/IF(CD246&gt;0,CD246,MAX(0.1,N(Cockpit!$I$6))),CG246)/BV246,0)*BV246</f>
        <v>1</v>
      </c>
      <c r="AU246" s="51" t="n">
        <f aca="false">IF(AR246&gt;0,J246/AR246,-1)</f>
        <v>0.0524962926347009</v>
      </c>
      <c r="AV246" s="51" t="n">
        <f aca="false">IF(AND(OR(CC246="L1",CC246="L23",CC246="LIFT"),AR246&gt;0),SUMIFS($AR$7:$AR$1843,$CC$7:$CC$1843,CC246,$AU$7:$AU$1843,"&gt;"&amp;AU246)+SUMIFS($AR$7:$AR$1843,$CC$7:$CC$1843,CC246,$AU$7:$AU$1843,AU246,$BT$7:$BT$1843,"&lt;="&amp;BT246),"")</f>
        <v>29723.5710793444</v>
      </c>
      <c r="AW246" s="58" t="n">
        <f aca="false">IF(AV246="",0,MAX(0,MIN(1,(IF(CC246="L1",Parameter!$H$5,IF(CC246="L23",Parameter!$H$6+Parameter!$H$7,Parameter!$H$5+Parameter!$H$6+Parameter!$H$7))-(AV246-AR246))/AR246)))</f>
        <v>1</v>
      </c>
      <c r="AX246" s="50" t="n">
        <f aca="false">IF(LEFT(Cockpit!$O$5,1)="A",H246,IF(CE246=1,CF246,IF(LEFT(Cockpit!$O$5,1)="B",BC246,MAX(BC246,H246))))</f>
        <v>1</v>
      </c>
      <c r="AY246" s="50" t="n">
        <f aca="false">IF(BW246=1,0,ROUNDUP(AX246/BV246,0))</f>
        <v>0</v>
      </c>
      <c r="AZ246" s="52" t="n">
        <f aca="false">IF(CL246&gt;0,CL246*MAX(1,AX246/X246),IF(BW246=1,IF(AX246&lt;=0,0,CA246*MAX(1,IF(H246&gt;0,AX246/H246,1))),IF(R246&gt;0,AY246/R246,0))/MAX(0.1,N(Parameter!$M$21)))</f>
        <v>0.0800376647834275</v>
      </c>
      <c r="BA246" s="50" t="n">
        <f aca="false">AZ246*BY246</f>
        <v>19.0489642184557</v>
      </c>
      <c r="BB246" s="50" t="n">
        <f aca="false">AX246*G246</f>
        <v>520</v>
      </c>
      <c r="BC246" s="50" t="n">
        <f aca="false">ROUNDUP(MAX(J246/IF(CD246&gt;0,CD246,MAX(0.1,N(Cockpit!$O$6))),CG246)/BV246,0)*BV246</f>
        <v>1</v>
      </c>
      <c r="BD246" s="51" t="n">
        <f aca="false">IF(BA246&gt;0,J246/BA246,-1)</f>
        <v>0.0524962926347009</v>
      </c>
      <c r="BE246" s="51" t="n">
        <f aca="false">IF(AND(OR(CC246="L1",CC246="L23",CC246="LIFT"),BA246&gt;0),SUMIFS($BA$7:$BA$1843,$CC$7:$CC$1843,CC246,$BD$7:$BD$1843,"&gt;"&amp;BD246)+SUMIFS($BA$7:$BA$1843,$CC$7:$CC$1843,CC246,$BD$7:$BD$1843,BD246,$BT$7:$BT$1843,"&lt;="&amp;BT246),"")</f>
        <v>26398.5831212102</v>
      </c>
      <c r="BF246" s="58" t="n">
        <f aca="false">IF(BE246="",0,MAX(0,MIN(1,(IF(CC246="L1",Parameter!$H$5,IF(CC246="L23",Parameter!$H$6+Parameter!$H$7,Parameter!$H$5+Parameter!$H$6+Parameter!$H$7))-(BE246-BA246))/BA246)))</f>
        <v>1</v>
      </c>
      <c r="BG246" s="48" t="str">
        <f aca="false">IF(AI246&lt;=0,"",IF(CC246="Aussen","Aussenlager",IF(CC246="-","Nicht im Lift",IF(AN246&gt;=1,"Lift",IF(AN246&lt;=0,"Aussenlager","teilweise")))))</f>
        <v>Lift</v>
      </c>
      <c r="BH246" s="48" t="str">
        <f aca="false">IF(AR246&lt;=0,"",IF(CC246="Aussen","Aussenlager",IF(CC246="-","Nicht im Lift",IF(AW246&gt;=1,"Lift",IF(AW246&lt;=0,"Aussenlager","teilweise")))))</f>
        <v>Lift</v>
      </c>
      <c r="BI246" s="48" t="str">
        <f aca="false">IF(BA246&lt;=0,"",IF(CC246="Aussen","Aussenlager",IF(CC246="-","Nicht im Lift",IF(BF246&gt;=1,"Lift",IF(BF246&lt;=0,"Aussenlager","teilweise")))))</f>
        <v>Lift</v>
      </c>
      <c r="BJ246" s="48" t="str">
        <f aca="false">IF(A246="","",IF(BS246=1,"Neu; ","")&amp;IF(AND(BS246=0,BN246&lt;0),"negativer Bestand (Export "&amp;BN246&amp;"); ","")&amp;IF(J246&lt;=0,"Kein Verbrauch; ","")&amp;IF(CL246&gt;0,"Lift "&amp;W246&amp;" lt. Liftbericht (Fach "&amp;X246&amp;" Stk); ",IF(BX246=1,"Gebinde geschätzt ("&amp;T246&amp;"); ",IF(BW246=1,"Lose – Tablare geschätzt; ","")))&amp;IF(H246&gt;AT246,"Überbestand "&amp;ROUND(H246-AT246,0)&amp;" Stk / CHF "&amp;ROUND((H246-AT246)*G246,0)&amp;"; ","")&amp;IF(AND(CE246=1,CF246&lt;CG246),"MAX &lt; MB+LG; ","")&amp;IF(AND(CK246&gt;0,CJ246*10&gt;CK246),"zu hoch für Tablar; ","")&amp;IF(AND(BS246=0,OR(CE246=1,AA246&lt;&gt;"",U246&lt;&gt;"",V246&lt;&gt;"",AB246&lt;&gt;"")),"manuell übersteuert; ","")&amp;IF(AND(BW246=0,R246=0),"Gebinde unbekannt / Stellmass fehlt; ","")&amp;IF(AND(BW246=0,N(V246)&lt;=0,N(Q246)&lt;=0),"Menge pro Gebinde fehlt (Ist = 1 Gebinde); ","")&amp;BR246)</f>
        <v>Lift 1 lt. Liftbericht (Fach 1 Stk); </v>
      </c>
      <c r="BK246" s="48"/>
      <c r="BL246" s="48"/>
      <c r="BM246" s="55"/>
      <c r="BN246" s="50" t="n">
        <v>1</v>
      </c>
      <c r="BO246" s="50" t="n">
        <v>0</v>
      </c>
      <c r="BP246" s="49" t="n">
        <v>520</v>
      </c>
      <c r="BQ246" s="50" t="n">
        <v>1</v>
      </c>
      <c r="BR246" s="48"/>
      <c r="BS246" s="53" t="n">
        <v>0</v>
      </c>
      <c r="BT246" s="53" t="n">
        <v>246</v>
      </c>
      <c r="BU246" s="48" t="str">
        <f aca="false">IF(U246&lt;&gt;"",UPPER(TRIM(U246)),IF(BX246=1,UPPER(VLOOKUP(T246,Parameter!$I$27:$K$29,2,0)),IF(P246="","LOSE",P246)))</f>
        <v>LOSE</v>
      </c>
      <c r="BV246" s="50" t="n">
        <f aca="false">IF(BU246="LOSE",1,IF(N(V246)&gt;0,V246,IF(BX246=1,MAX(1,N(VLOOKUP(T246,Parameter!$I$27:$K$29,3,0)),H246,N(N246)),IF(N(Q246)&gt;0,Q246,MAX(1,H246)))))</f>
        <v>1</v>
      </c>
      <c r="BW246" s="53" t="n">
        <f aca="false">IF(BU246="LOSE",1,0)</f>
        <v>1</v>
      </c>
      <c r="BX246" s="53" t="n">
        <f aca="false">IF(AND(U246="",OR(P246="",P246="LOSE"),T246&lt;&gt;"",N(S246)&lt;=0,ISNUMBER(MATCH(T246,Parameter!$I$27:$I$29,0))),1,0)</f>
        <v>0</v>
      </c>
      <c r="BY246" s="53" t="n">
        <f aca="false">IF(CL246&gt;0,INDEX(Parameter!$H$5:$H$7,W246)/INDEX(Parameter!$E$5:$E$7,W246),IF(AND(BW246=0,N(IFERROR(VLOOKUP(BU246,'Gebinde-Kategorie'!$A$5:$N$45,14,0),0))&gt;0),VLOOKUP(BU246,'Gebinde-Kategorie'!$A$5:$N$45,14,0)*10+Parameter!$M$23,Parameter!$M$24))</f>
        <v>238</v>
      </c>
      <c r="BZ246" s="48" t="n">
        <f aca="false">IF(AND(Parameter!$B$19="Ja",E246&lt;&gt;"",ISNUMBER(MATCH(E246,Parameter!$I$35:$I$52,0))),VLOOKUP(E246,Parameter!$I$35:$J$52,2,0),IFERROR(VLOOKUP(D246,Parameter!$A$35:$C$64,2,0),"Nein"))</f>
        <v>1</v>
      </c>
      <c r="CA246" s="52" t="n">
        <f aca="false">IF(BW246=0,0,IF(N(S246)&gt;0,S246,IFERROR(VLOOKUP(D246,Parameter!$A$35:$C$64,3,0)+0,0)))</f>
        <v>0.15</v>
      </c>
      <c r="CB246" s="48" t="n">
        <f aca="false">IF(AA246&lt;&gt;"",AA246,Z246)</f>
        <v>1</v>
      </c>
      <c r="CC246" s="48" t="str">
        <f aca="false">IF(OR(CB246=1,CB246=2,CB246=3),IF(Parameter!$E$27="Ja","LIFT",IF(CB246=1,"L1","L23")),IF(CB246="Aussen","Aussen","-"))</f>
        <v>LIFT</v>
      </c>
      <c r="CD246" s="59" t="n">
        <f aca="false">IF(N(AB246)&gt;0,AB246,0)</f>
        <v>0</v>
      </c>
      <c r="CE246" s="53" t="n">
        <f aca="false">IF(ISNUMBER(AE246),1,0)</f>
        <v>0</v>
      </c>
      <c r="CF246" s="50" t="n">
        <f aca="false">N(AE246)</f>
        <v>0</v>
      </c>
      <c r="CG246" s="50" t="n">
        <f aca="false">N(M246)+N(N246)</f>
        <v>1</v>
      </c>
      <c r="CH246" s="50" t="n">
        <f aca="false">ROUNDUP(H246/BV246,0)</f>
        <v>1</v>
      </c>
      <c r="CI246" s="50" t="n">
        <f aca="false">ROUNDUP(CF246/BV246,0)</f>
        <v>0</v>
      </c>
      <c r="CJ246" s="53" t="n">
        <f aca="false">IF(BW246=1,0,IFERROR(VLOOKUP(BU246,'Gebinde-Kategorie'!$A$5:$N$45,5,0)+0,0))</f>
        <v>0</v>
      </c>
      <c r="CK246" s="53" t="n">
        <f aca="false">IFERROR(IF(OR(CB246=1,CB246=2,CB246=3),N(INDEX(Parameter!$I$5:$I$7,CB246)),0),0)</f>
        <v>0</v>
      </c>
      <c r="CL246" s="52" t="n">
        <f aca="false">IF(AND(Parameter!$B$21="Ja",ISNUMBER(W246),N(X246)&gt;0),IFERROR(N(INDEX(Parameter!$L$5:$L$7,W246))*INDEX(Parameter!$E$5:$E$7,W246)*X246/SUMIFS($X$7:$X$1843,$W$7:$W$1843,W246),0),0)</f>
        <v>0.0800376647834275</v>
      </c>
    </row>
    <row r="247" customFormat="false" ht="15" hidden="false" customHeight="false" outlineLevel="0" collapsed="false">
      <c r="A247" s="48" t="s">
        <v>682</v>
      </c>
      <c r="B247" s="48" t="s">
        <v>683</v>
      </c>
      <c r="C247" s="48" t="s">
        <v>168</v>
      </c>
      <c r="D247" s="48" t="s">
        <v>188</v>
      </c>
      <c r="E247" s="48" t="s">
        <v>189</v>
      </c>
      <c r="F247" s="48" t="s">
        <v>222</v>
      </c>
      <c r="G247" s="49" t="n">
        <v>37</v>
      </c>
      <c r="H247" s="50" t="n">
        <f aca="false">MAX(0,IF(AND(Parameter!$B$21="Ja",ISNUMBER(Y247)),Y247,IF(Parameter!$B$20="Jahresanfang 2025 + Export",BO247+BN247,BN247)))</f>
        <v>14</v>
      </c>
      <c r="I247" s="50" t="n">
        <f aca="false">H247*G247</f>
        <v>518</v>
      </c>
      <c r="J247" s="50" t="n">
        <f aca="false">BQ247*Parameter!$B$18</f>
        <v>1</v>
      </c>
      <c r="K247" s="51" t="n">
        <v>7</v>
      </c>
      <c r="L247" s="52" t="n">
        <v>0.142857142857143</v>
      </c>
      <c r="M247" s="50" t="n">
        <v>0</v>
      </c>
      <c r="N247" s="50" t="n">
        <v>1</v>
      </c>
      <c r="O247" s="53" t="n">
        <v>35</v>
      </c>
      <c r="P247" s="48" t="s">
        <v>430</v>
      </c>
      <c r="Q247" s="50" t="n">
        <v>8</v>
      </c>
      <c r="R247" s="53" t="n">
        <f aca="false">IF(BW247=1,0,IFERROR(VLOOKUP(BU247,'Gebinde-Kategorie'!$A$5:$N$45,13,0)+0,0))</f>
        <v>140</v>
      </c>
      <c r="S247" s="54"/>
      <c r="T247" s="55"/>
      <c r="U247" s="55"/>
      <c r="V247" s="55"/>
      <c r="W247" s="48"/>
      <c r="X247" s="50"/>
      <c r="Y247" s="50"/>
      <c r="Z247" s="48" t="n">
        <f aca="false">IF(A247="","",IF(AND(Parameter!$B$21="Ja",ISNUMBER(W247)),W247,IF(BZ247="2+3",IF(ISNUMBER(SEARCH("grosser Artikel",BR247)),2,IFERROR(VLOOKUP(BU247,Parameter!$F$35:$G$64,2,0),2)),IF(OR(BZ247="Nein",BZ247=""),"-",BZ247))))</f>
        <v>3</v>
      </c>
      <c r="AA247" s="55"/>
      <c r="AB247" s="56"/>
      <c r="AC247" s="50" t="n">
        <f aca="false">AT247</f>
        <v>8</v>
      </c>
      <c r="AD247" s="50" t="n">
        <f aca="false">MAX(AT247,H247)</f>
        <v>14</v>
      </c>
      <c r="AE247" s="57"/>
      <c r="AF247" s="50" t="n">
        <f aca="false">IF(LEFT(Cockpit!$C$5,1)="A",H247,IF(CE247=1,CF247,IF(LEFT(Cockpit!$C$5,1)="B",AK247,MAX(AK247,H247))))</f>
        <v>14</v>
      </c>
      <c r="AG247" s="50" t="n">
        <f aca="false">IF(BW247=1,0,ROUNDUP(AF247/BV247,0))</f>
        <v>2</v>
      </c>
      <c r="AH247" s="52" t="n">
        <f aca="false">IF(CL247&gt;0,CL247*MAX(1,AF247/X247),IF(BW247=1,IF(AF247&lt;=0,0,CA247*MAX(1,IF(H247&gt;0,AF247/H247,1))),IF(R247&gt;0,AG247/R247,0))/MAX(0.1,N(Parameter!$M$21)))</f>
        <v>0.0142857142857143</v>
      </c>
      <c r="AI247" s="50" t="n">
        <f aca="false">AH247*BY247</f>
        <v>2.21428571428571</v>
      </c>
      <c r="AJ247" s="50" t="n">
        <f aca="false">AF247*G247</f>
        <v>518</v>
      </c>
      <c r="AK247" s="50" t="n">
        <f aca="false">ROUNDUP(MAX(J247/IF(CD247&gt;0,CD247,MAX(0.1,N(Cockpit!$C$6))),CG247)/BV247,0)*BV247</f>
        <v>8</v>
      </c>
      <c r="AL247" s="51" t="n">
        <f aca="false">IF(AI247&gt;0,J247/AI247,-1)</f>
        <v>0.451612903225806</v>
      </c>
      <c r="AM247" s="51" t="n">
        <f aca="false">IF(AND(OR(CC247="L1",CC247="L23",CC247="LIFT"),AI247&gt;0),SUMIFS($AI$7:$AI$1843,$CC$7:$CC$1843,CC247,$AL$7:$AL$1843,"&gt;"&amp;AL247)+SUMIFS($AI$7:$AI$1843,$CC$7:$CC$1843,CC247,$AL$7:$AL$1843,AL247,$BT$7:$BT$1843,"&lt;="&amp;BT247),"")</f>
        <v>9859.05812172761</v>
      </c>
      <c r="AN247" s="58" t="n">
        <f aca="false">IF(AM247="",0,MAX(0,MIN(1,(IF(CC247="L1",Parameter!$H$5,IF(CC247="L23",Parameter!$H$6+Parameter!$H$7,Parameter!$H$5+Parameter!$H$6+Parameter!$H$7))-(AM247-AI247))/AI247)))</f>
        <v>1</v>
      </c>
      <c r="AO247" s="50" t="n">
        <f aca="false">IF(LEFT(Cockpit!$I$5,1)="A",H247,IF(CE247=1,CF247,IF(LEFT(Cockpit!$I$5,1)="B",AT247,MAX(AT247,H247))))</f>
        <v>14</v>
      </c>
      <c r="AP247" s="50" t="n">
        <f aca="false">IF(BW247=1,0,ROUNDUP(AO247/BV247,0))</f>
        <v>2</v>
      </c>
      <c r="AQ247" s="52" t="n">
        <f aca="false">IF(CL247&gt;0,CL247*MAX(1,AO247/X247),IF(BW247=1,IF(AO247&lt;=0,0,CA247*MAX(1,IF(H247&gt;0,AO247/H247,1))),IF(R247&gt;0,AP247/R247,0))/MAX(0.1,N(Parameter!$M$21)))</f>
        <v>0.0142857142857143</v>
      </c>
      <c r="AR247" s="50" t="n">
        <f aca="false">AQ247*BY247</f>
        <v>2.21428571428571</v>
      </c>
      <c r="AS247" s="50" t="n">
        <f aca="false">AO247*G247</f>
        <v>518</v>
      </c>
      <c r="AT247" s="50" t="n">
        <f aca="false">ROUNDUP(MAX(J247/IF(CD247&gt;0,CD247,MAX(0.1,N(Cockpit!$I$6))),CG247)/BV247,0)*BV247</f>
        <v>8</v>
      </c>
      <c r="AU247" s="51" t="n">
        <f aca="false">IF(AR247&gt;0,J247/AR247,-1)</f>
        <v>0.451612903225806</v>
      </c>
      <c r="AV247" s="51" t="n">
        <f aca="false">IF(AND(OR(CC247="L1",CC247="L23",CC247="LIFT"),AR247&gt;0),SUMIFS($AR$7:$AR$1843,$CC$7:$CC$1843,CC247,$AU$7:$AU$1843,"&gt;"&amp;AU247)+SUMIFS($AR$7:$AR$1843,$CC$7:$CC$1843,CC247,$AU$7:$AU$1843,AU247,$BT$7:$BT$1843,"&lt;="&amp;BT247),"")</f>
        <v>14792.3878205128</v>
      </c>
      <c r="AW247" s="58" t="n">
        <f aca="false">IF(AV247="",0,MAX(0,MIN(1,(IF(CC247="L1",Parameter!$H$5,IF(CC247="L23",Parameter!$H$6+Parameter!$H$7,Parameter!$H$5+Parameter!$H$6+Parameter!$H$7))-(AV247-AR247))/AR247)))</f>
        <v>1</v>
      </c>
      <c r="AX247" s="50" t="n">
        <f aca="false">IF(LEFT(Cockpit!$O$5,1)="A",H247,IF(CE247=1,CF247,IF(LEFT(Cockpit!$O$5,1)="B",BC247,MAX(BC247,H247))))</f>
        <v>14</v>
      </c>
      <c r="AY247" s="50" t="n">
        <f aca="false">IF(BW247=1,0,ROUNDUP(AX247/BV247,0))</f>
        <v>2</v>
      </c>
      <c r="AZ247" s="52" t="n">
        <f aca="false">IF(CL247&gt;0,CL247*MAX(1,AX247/X247),IF(BW247=1,IF(AX247&lt;=0,0,CA247*MAX(1,IF(H247&gt;0,AX247/H247,1))),IF(R247&gt;0,AY247/R247,0))/MAX(0.1,N(Parameter!$M$21)))</f>
        <v>0.0142857142857143</v>
      </c>
      <c r="BA247" s="50" t="n">
        <f aca="false">AZ247*BY247</f>
        <v>2.21428571428571</v>
      </c>
      <c r="BB247" s="50" t="n">
        <f aca="false">AX247*G247</f>
        <v>518</v>
      </c>
      <c r="BC247" s="50" t="n">
        <f aca="false">ROUNDUP(MAX(J247/IF(CD247&gt;0,CD247,MAX(0.1,N(Cockpit!$O$6))),CG247)/BV247,0)*BV247</f>
        <v>8</v>
      </c>
      <c r="BD247" s="51" t="n">
        <f aca="false">IF(BA247&gt;0,J247/BA247,-1)</f>
        <v>0.451612903225806</v>
      </c>
      <c r="BE247" s="51" t="n">
        <f aca="false">IF(AND(OR(CC247="L1",CC247="L23",CC247="LIFT"),BA247&gt;0),SUMIFS($BA$7:$BA$1843,$CC$7:$CC$1843,CC247,$BD$7:$BD$1843,"&gt;"&amp;BD247)+SUMIFS($BA$7:$BA$1843,$CC$7:$CC$1843,CC247,$BD$7:$BD$1843,BD247,$BT$7:$BT$1843,"&lt;="&amp;BT247),"")</f>
        <v>13425.5448717949</v>
      </c>
      <c r="BF247" s="58" t="n">
        <f aca="false">IF(BE247="",0,MAX(0,MIN(1,(IF(CC247="L1",Parameter!$H$5,IF(CC247="L23",Parameter!$H$6+Parameter!$H$7,Parameter!$H$5+Parameter!$H$6+Parameter!$H$7))-(BE247-BA247))/BA247)))</f>
        <v>1</v>
      </c>
      <c r="BG247" s="48" t="str">
        <f aca="false">IF(AI247&lt;=0,"",IF(CC247="Aussen","Aussenlager",IF(CC247="-","Nicht im Lift",IF(AN247&gt;=1,"Lift",IF(AN247&lt;=0,"Aussenlager","teilweise")))))</f>
        <v>Lift</v>
      </c>
      <c r="BH247" s="48" t="str">
        <f aca="false">IF(AR247&lt;=0,"",IF(CC247="Aussen","Aussenlager",IF(CC247="-","Nicht im Lift",IF(AW247&gt;=1,"Lift",IF(AW247&lt;=0,"Aussenlager","teilweise")))))</f>
        <v>Lift</v>
      </c>
      <c r="BI247" s="48" t="str">
        <f aca="false">IF(BA247&lt;=0,"",IF(CC247="Aussen","Aussenlager",IF(CC247="-","Nicht im Lift",IF(BF247&gt;=1,"Lift",IF(BF247&lt;=0,"Aussenlager","teilweise")))))</f>
        <v>Lift</v>
      </c>
      <c r="BJ247" s="48" t="str">
        <f aca="false">IF(A247="","",IF(BS247=1,"Neu; ","")&amp;IF(AND(BS247=0,BN247&lt;0),"negativer Bestand (Export "&amp;BN247&amp;"); ","")&amp;IF(J247&lt;=0,"Kein Verbrauch; ","")&amp;IF(CL247&gt;0,"Lift "&amp;W247&amp;" lt. Liftbericht (Fach "&amp;X247&amp;" Stk); ",IF(BX247=1,"Gebinde geschätzt ("&amp;T247&amp;"); ",IF(BW247=1,"Lose – Tablare geschätzt; ","")))&amp;IF(H247&gt;AT247,"Überbestand "&amp;ROUND(H247-AT247,0)&amp;" Stk / CHF "&amp;ROUND((H247-AT247)*G247,0)&amp;"; ","")&amp;IF(AND(CE247=1,CF247&lt;CG247),"MAX &lt; MB+LG; ","")&amp;IF(AND(CK247&gt;0,CJ247*10&gt;CK247),"zu hoch für Tablar; ","")&amp;IF(AND(BS247=0,OR(CE247=1,AA247&lt;&gt;"",U247&lt;&gt;"",V247&lt;&gt;"",AB247&lt;&gt;"")),"manuell übersteuert; ","")&amp;IF(AND(BW247=0,R247=0),"Gebinde unbekannt / Stellmass fehlt; ","")&amp;IF(AND(BW247=0,N(V247)&lt;=0,N(Q247)&lt;=0),"Menge pro Gebinde fehlt (Ist = 1 Gebinde); ","")&amp;BR247)</f>
        <v>Überbestand 6 Stk / CHF 222; </v>
      </c>
      <c r="BK247" s="48"/>
      <c r="BL247" s="48"/>
      <c r="BM247" s="55"/>
      <c r="BN247" s="50" t="n">
        <v>14</v>
      </c>
      <c r="BO247" s="50" t="n">
        <v>0</v>
      </c>
      <c r="BP247" s="49" t="n">
        <v>518</v>
      </c>
      <c r="BQ247" s="50" t="n">
        <v>1</v>
      </c>
      <c r="BR247" s="48"/>
      <c r="BS247" s="53" t="n">
        <v>0</v>
      </c>
      <c r="BT247" s="53" t="n">
        <v>247</v>
      </c>
      <c r="BU247" s="48" t="str">
        <f aca="false">IF(U247&lt;&gt;"",UPPER(TRIM(U247)),IF(BX247=1,UPPER(VLOOKUP(T247,Parameter!$I$27:$K$29,2,0)),IF(P247="","LOSE",P247)))</f>
        <v>S22</v>
      </c>
      <c r="BV247" s="50" t="n">
        <f aca="false">IF(BU247="LOSE",1,IF(N(V247)&gt;0,V247,IF(BX247=1,MAX(1,N(VLOOKUP(T247,Parameter!$I$27:$K$29,3,0)),H247,N(N247)),IF(N(Q247)&gt;0,Q247,MAX(1,H247)))))</f>
        <v>8</v>
      </c>
      <c r="BW247" s="53" t="n">
        <f aca="false">IF(BU247="LOSE",1,0)</f>
        <v>0</v>
      </c>
      <c r="BX247" s="53" t="n">
        <f aca="false">IF(AND(U247="",OR(P247="",P247="LOSE"),T247&lt;&gt;"",N(S247)&lt;=0,ISNUMBER(MATCH(T247,Parameter!$I$27:$I$29,0))),1,0)</f>
        <v>0</v>
      </c>
      <c r="BY247" s="53" t="n">
        <f aca="false">IF(CL247&gt;0,INDEX(Parameter!$H$5:$H$7,W247)/INDEX(Parameter!$E$5:$E$7,W247),IF(AND(BW247=0,N(IFERROR(VLOOKUP(BU247,'Gebinde-Kategorie'!$A$5:$N$45,14,0),0))&gt;0),VLOOKUP(BU247,'Gebinde-Kategorie'!$A$5:$N$45,14,0)*10+Parameter!$M$23,Parameter!$M$24))</f>
        <v>155</v>
      </c>
      <c r="BZ247" s="48" t="str">
        <f aca="false">IF(AND(Parameter!$B$19="Ja",E247&lt;&gt;"",ISNUMBER(MATCH(E247,Parameter!$I$35:$I$52,0))),VLOOKUP(E247,Parameter!$I$35:$J$52,2,0),IFERROR(VLOOKUP(D247,Parameter!$A$35:$C$64,2,0),"Nein"))</f>
        <v>2+3</v>
      </c>
      <c r="CA247" s="52" t="n">
        <f aca="false">IF(BW247=0,0,IF(N(S247)&gt;0,S247,IFERROR(VLOOKUP(D247,Parameter!$A$35:$C$64,3,0)+0,0)))</f>
        <v>0</v>
      </c>
      <c r="CB247" s="48" t="n">
        <f aca="false">IF(AA247&lt;&gt;"",AA247,Z247)</f>
        <v>3</v>
      </c>
      <c r="CC247" s="48" t="str">
        <f aca="false">IF(OR(CB247=1,CB247=2,CB247=3),IF(Parameter!$E$27="Ja","LIFT",IF(CB247=1,"L1","L23")),IF(CB247="Aussen","Aussen","-"))</f>
        <v>LIFT</v>
      </c>
      <c r="CD247" s="59" t="n">
        <f aca="false">IF(N(AB247)&gt;0,AB247,0)</f>
        <v>0</v>
      </c>
      <c r="CE247" s="53" t="n">
        <f aca="false">IF(ISNUMBER(AE247),1,0)</f>
        <v>0</v>
      </c>
      <c r="CF247" s="50" t="n">
        <f aca="false">N(AE247)</f>
        <v>0</v>
      </c>
      <c r="CG247" s="50" t="n">
        <f aca="false">N(M247)+N(N247)</f>
        <v>1</v>
      </c>
      <c r="CH247" s="50" t="n">
        <f aca="false">ROUNDUP(H247/BV247,0)</f>
        <v>2</v>
      </c>
      <c r="CI247" s="50" t="n">
        <f aca="false">ROUNDUP(CF247/BV247,0)</f>
        <v>0</v>
      </c>
      <c r="CJ247" s="53" t="n">
        <f aca="false">IF(BW247=1,0,IFERROR(VLOOKUP(BU247,'Gebinde-Kategorie'!$A$5:$N$45,5,0)+0,0))</f>
        <v>8</v>
      </c>
      <c r="CK247" s="53" t="n">
        <f aca="false">IFERROR(IF(OR(CB247=1,CB247=2,CB247=3),N(INDEX(Parameter!$I$5:$I$7,CB247)),0),0)</f>
        <v>0</v>
      </c>
      <c r="CL247" s="52" t="n">
        <f aca="false">IF(AND(Parameter!$B$21="Ja",ISNUMBER(W247),N(X247)&gt;0),IFERROR(N(INDEX(Parameter!$L$5:$L$7,W247))*INDEX(Parameter!$E$5:$E$7,W247)*X247/SUMIFS($X$7:$X$1843,$W$7:$W$1843,W247),0),0)</f>
        <v>0</v>
      </c>
    </row>
    <row r="248" customFormat="false" ht="15" hidden="false" customHeight="false" outlineLevel="0" collapsed="false">
      <c r="A248" s="48" t="s">
        <v>684</v>
      </c>
      <c r="B248" s="48" t="s">
        <v>685</v>
      </c>
      <c r="C248" s="48" t="s">
        <v>168</v>
      </c>
      <c r="D248" s="48" t="s">
        <v>188</v>
      </c>
      <c r="E248" s="48" t="s">
        <v>189</v>
      </c>
      <c r="F248" s="48" t="s">
        <v>222</v>
      </c>
      <c r="G248" s="49" t="n">
        <v>2.83</v>
      </c>
      <c r="H248" s="50" t="n">
        <f aca="false">MAX(0,IF(AND(Parameter!$B$21="Ja",ISNUMBER(Y248)),Y248,IF(Parameter!$B$20="Jahresanfang 2025 + Export",BO248+BN248,BN248)))</f>
        <v>337</v>
      </c>
      <c r="I248" s="50" t="n">
        <f aca="false">H248*G248</f>
        <v>953.71</v>
      </c>
      <c r="J248" s="50" t="n">
        <f aca="false">BQ248*Parameter!$B$18</f>
        <v>300</v>
      </c>
      <c r="K248" s="51" t="n">
        <v>155</v>
      </c>
      <c r="L248" s="52" t="n">
        <v>1.93548387096774</v>
      </c>
      <c r="M248" s="50" t="n">
        <v>35</v>
      </c>
      <c r="N248" s="50" t="n">
        <v>300</v>
      </c>
      <c r="O248" s="53" t="n">
        <v>42</v>
      </c>
      <c r="P248" s="48" t="s">
        <v>480</v>
      </c>
      <c r="Q248" s="50" t="n">
        <v>150</v>
      </c>
      <c r="R248" s="53" t="n">
        <f aca="false">IF(BW248=1,0,IFERROR(VLOOKUP(BU248,'Gebinde-Kategorie'!$A$5:$N$45,13,0)+0,0))</f>
        <v>52</v>
      </c>
      <c r="S248" s="54"/>
      <c r="T248" s="55"/>
      <c r="U248" s="55"/>
      <c r="V248" s="55"/>
      <c r="W248" s="48"/>
      <c r="X248" s="50"/>
      <c r="Y248" s="50"/>
      <c r="Z248" s="48" t="n">
        <f aca="false">IF(A248="","",IF(AND(Parameter!$B$21="Ja",ISNUMBER(W248)),W248,IF(BZ248="2+3",IF(ISNUMBER(SEARCH("grosser Artikel",BR248)),2,IFERROR(VLOOKUP(BU248,Parameter!$F$35:$G$64,2,0),2)),IF(OR(BZ248="Nein",BZ248=""),"-",BZ248))))</f>
        <v>3</v>
      </c>
      <c r="AA248" s="55"/>
      <c r="AB248" s="56"/>
      <c r="AC248" s="50" t="n">
        <f aca="false">AT248</f>
        <v>450</v>
      </c>
      <c r="AD248" s="50" t="n">
        <f aca="false">MAX(AT248,H248)</f>
        <v>450</v>
      </c>
      <c r="AE248" s="57"/>
      <c r="AF248" s="50" t="n">
        <f aca="false">IF(LEFT(Cockpit!$C$5,1)="A",H248,IF(CE248=1,CF248,IF(LEFT(Cockpit!$C$5,1)="B",AK248,MAX(AK248,H248))))</f>
        <v>337</v>
      </c>
      <c r="AG248" s="50" t="n">
        <f aca="false">IF(BW248=1,0,ROUNDUP(AF248/BV248,0))</f>
        <v>3</v>
      </c>
      <c r="AH248" s="52" t="n">
        <f aca="false">IF(CL248&gt;0,CL248*MAX(1,AF248/X248),IF(BW248=1,IF(AF248&lt;=0,0,CA248*MAX(1,IF(H248&gt;0,AF248/H248,1))),IF(R248&gt;0,AG248/R248,0))/MAX(0.1,N(Parameter!$M$21)))</f>
        <v>0.0576923076923077</v>
      </c>
      <c r="AI248" s="50" t="n">
        <f aca="false">AH248*BY248</f>
        <v>8.94230769230769</v>
      </c>
      <c r="AJ248" s="50" t="n">
        <f aca="false">AF248*G248</f>
        <v>953.71</v>
      </c>
      <c r="AK248" s="50" t="n">
        <f aca="false">ROUNDUP(MAX(J248/IF(CD248&gt;0,CD248,MAX(0.1,N(Cockpit!$C$6))),CG248)/BV248,0)*BV248</f>
        <v>450</v>
      </c>
      <c r="AL248" s="51" t="n">
        <f aca="false">IF(AI248&gt;0,J248/AI248,-1)</f>
        <v>33.5483870967742</v>
      </c>
      <c r="AM248" s="51" t="n">
        <f aca="false">IF(AND(OR(CC248="L1",CC248="L23",CC248="LIFT"),AI248&gt;0),SUMIFS($AI$7:$AI$1843,$CC$7:$CC$1843,CC248,$AL$7:$AL$1843,"&gt;"&amp;AL248)+SUMIFS($AI$7:$AI$1843,$CC$7:$CC$1843,CC248,$AL$7:$AL$1843,AL248,$BT$7:$BT$1843,"&lt;="&amp;BT248),"")</f>
        <v>1316.64148351648</v>
      </c>
      <c r="AN248" s="58" t="n">
        <f aca="false">IF(AM248="",0,MAX(0,MIN(1,(IF(CC248="L1",Parameter!$H$5,IF(CC248="L23",Parameter!$H$6+Parameter!$H$7,Parameter!$H$5+Parameter!$H$6+Parameter!$H$7))-(AM248-AI248))/AI248)))</f>
        <v>1</v>
      </c>
      <c r="AO248" s="50" t="n">
        <f aca="false">IF(LEFT(Cockpit!$I$5,1)="A",H248,IF(CE248=1,CF248,IF(LEFT(Cockpit!$I$5,1)="B",AT248,MAX(AT248,H248))))</f>
        <v>450</v>
      </c>
      <c r="AP248" s="50" t="n">
        <f aca="false">IF(BW248=1,0,ROUNDUP(AO248/BV248,0))</f>
        <v>3</v>
      </c>
      <c r="AQ248" s="52" t="n">
        <f aca="false">IF(CL248&gt;0,CL248*MAX(1,AO248/X248),IF(BW248=1,IF(AO248&lt;=0,0,CA248*MAX(1,IF(H248&gt;0,AO248/H248,1))),IF(R248&gt;0,AP248/R248,0))/MAX(0.1,N(Parameter!$M$21)))</f>
        <v>0.0576923076923077</v>
      </c>
      <c r="AR248" s="50" t="n">
        <f aca="false">AQ248*BY248</f>
        <v>8.94230769230769</v>
      </c>
      <c r="AS248" s="50" t="n">
        <f aca="false">AO248*G248</f>
        <v>1273.5</v>
      </c>
      <c r="AT248" s="50" t="n">
        <f aca="false">ROUNDUP(MAX(J248/IF(CD248&gt;0,CD248,MAX(0.1,N(Cockpit!$I$6))),CG248)/BV248,0)*BV248</f>
        <v>450</v>
      </c>
      <c r="AU248" s="51" t="n">
        <f aca="false">IF(AR248&gt;0,J248/AR248,-1)</f>
        <v>33.5483870967742</v>
      </c>
      <c r="AV248" s="51" t="n">
        <f aca="false">IF(AND(OR(CC248="L1",CC248="L23",CC248="LIFT"),AR248&gt;0),SUMIFS($AR$7:$AR$1843,$CC$7:$CC$1843,CC248,$AU$7:$AU$1843,"&gt;"&amp;AU248)+SUMIFS($AR$7:$AR$1843,$CC$7:$CC$1843,CC248,$AU$7:$AU$1843,AU248,$BT$7:$BT$1843,"&lt;="&amp;BT248),"")</f>
        <v>1836.6771978022</v>
      </c>
      <c r="AW248" s="58" t="n">
        <f aca="false">IF(AV248="",0,MAX(0,MIN(1,(IF(CC248="L1",Parameter!$H$5,IF(CC248="L23",Parameter!$H$6+Parameter!$H$7,Parameter!$H$5+Parameter!$H$6+Parameter!$H$7))-(AV248-AR248))/AR248)))</f>
        <v>1</v>
      </c>
      <c r="AX248" s="50" t="n">
        <f aca="false">IF(LEFT(Cockpit!$O$5,1)="A",H248,IF(CE248=1,CF248,IF(LEFT(Cockpit!$O$5,1)="B",BC248,MAX(BC248,H248))))</f>
        <v>450</v>
      </c>
      <c r="AY248" s="50" t="n">
        <f aca="false">IF(BW248=1,0,ROUNDUP(AX248/BV248,0))</f>
        <v>3</v>
      </c>
      <c r="AZ248" s="52" t="n">
        <f aca="false">IF(CL248&gt;0,CL248*MAX(1,AX248/X248),IF(BW248=1,IF(AX248&lt;=0,0,CA248*MAX(1,IF(H248&gt;0,AX248/H248,1))),IF(R248&gt;0,AY248/R248,0))/MAX(0.1,N(Parameter!$M$21)))</f>
        <v>0.0576923076923077</v>
      </c>
      <c r="BA248" s="50" t="n">
        <f aca="false">AZ248*BY248</f>
        <v>8.94230769230769</v>
      </c>
      <c r="BB248" s="50" t="n">
        <f aca="false">AX248*G248</f>
        <v>1273.5</v>
      </c>
      <c r="BC248" s="50" t="n">
        <f aca="false">ROUNDUP(MAX(J248/IF(CD248&gt;0,CD248,MAX(0.1,N(Cockpit!$O$6))),CG248)/BV248,0)*BV248</f>
        <v>450</v>
      </c>
      <c r="BD248" s="51" t="n">
        <f aca="false">IF(BA248&gt;0,J248/BA248,-1)</f>
        <v>33.5483870967742</v>
      </c>
      <c r="BE248" s="51" t="n">
        <f aca="false">IF(AND(OR(CC248="L1",CC248="L23",CC248="LIFT"),BA248&gt;0),SUMIFS($BA$7:$BA$1843,$CC$7:$CC$1843,CC248,$BD$7:$BD$1843,"&gt;"&amp;BD248)+SUMIFS($BA$7:$BA$1843,$CC$7:$CC$1843,CC248,$BD$7:$BD$1843,BD248,$BT$7:$BT$1843,"&lt;="&amp;BT248),"")</f>
        <v>1672.3663003663</v>
      </c>
      <c r="BF248" s="58" t="n">
        <f aca="false">IF(BE248="",0,MAX(0,MIN(1,(IF(CC248="L1",Parameter!$H$5,IF(CC248="L23",Parameter!$H$6+Parameter!$H$7,Parameter!$H$5+Parameter!$H$6+Parameter!$H$7))-(BE248-BA248))/BA248)))</f>
        <v>1</v>
      </c>
      <c r="BG248" s="48" t="str">
        <f aca="false">IF(AI248&lt;=0,"",IF(CC248="Aussen","Aussenlager",IF(CC248="-","Nicht im Lift",IF(AN248&gt;=1,"Lift",IF(AN248&lt;=0,"Aussenlager","teilweise")))))</f>
        <v>Lift</v>
      </c>
      <c r="BH248" s="48" t="str">
        <f aca="false">IF(AR248&lt;=0,"",IF(CC248="Aussen","Aussenlager",IF(CC248="-","Nicht im Lift",IF(AW248&gt;=1,"Lift",IF(AW248&lt;=0,"Aussenlager","teilweise")))))</f>
        <v>Lift</v>
      </c>
      <c r="BI248" s="48" t="str">
        <f aca="false">IF(BA248&lt;=0,"",IF(CC248="Aussen","Aussenlager",IF(CC248="-","Nicht im Lift",IF(BF248&gt;=1,"Lift",IF(BF248&lt;=0,"Aussenlager","teilweise")))))</f>
        <v>Lift</v>
      </c>
      <c r="BJ248" s="48" t="str">
        <f aca="false">IF(A248="","",IF(BS248=1,"Neu; ","")&amp;IF(AND(BS248=0,BN248&lt;0),"negativer Bestand (Export "&amp;BN248&amp;"); ","")&amp;IF(J248&lt;=0,"Kein Verbrauch; ","")&amp;IF(CL248&gt;0,"Lift "&amp;W248&amp;" lt. Liftbericht (Fach "&amp;X248&amp;" Stk); ",IF(BX248=1,"Gebinde geschätzt ("&amp;T248&amp;"); ",IF(BW248=1,"Lose – Tablare geschätzt; ","")))&amp;IF(H248&gt;AT248,"Überbestand "&amp;ROUND(H248-AT248,0)&amp;" Stk / CHF "&amp;ROUND((H248-AT248)*G248,0)&amp;"; ","")&amp;IF(AND(CE248=1,CF248&lt;CG248),"MAX &lt; MB+LG; ","")&amp;IF(AND(CK248&gt;0,CJ248*10&gt;CK248),"zu hoch für Tablar; ","")&amp;IF(AND(BS248=0,OR(CE248=1,AA248&lt;&gt;"",U248&lt;&gt;"",V248&lt;&gt;"",AB248&lt;&gt;"")),"manuell übersteuert; ","")&amp;IF(AND(BW248=0,R248=0),"Gebinde unbekannt / Stellmass fehlt; ","")&amp;IF(AND(BW248=0,N(V248)&lt;=0,N(Q248)&lt;=0),"Menge pro Gebinde fehlt (Ist = 1 Gebinde); ","")&amp;BR248)</f>
        <v>nicht im KTL vorhanden</v>
      </c>
      <c r="BK248" s="48"/>
      <c r="BL248" s="48"/>
      <c r="BM248" s="55"/>
      <c r="BN248" s="50" t="n">
        <v>184</v>
      </c>
      <c r="BO248" s="50" t="n">
        <v>153</v>
      </c>
      <c r="BP248" s="49" t="n">
        <v>517.66</v>
      </c>
      <c r="BQ248" s="50" t="n">
        <v>300</v>
      </c>
      <c r="BR248" s="48" t="s">
        <v>234</v>
      </c>
      <c r="BS248" s="53" t="n">
        <v>0</v>
      </c>
      <c r="BT248" s="53" t="n">
        <v>248</v>
      </c>
      <c r="BU248" s="48" t="str">
        <f aca="false">IF(U248&lt;&gt;"",UPPER(TRIM(U248)),IF(BX248=1,UPPER(VLOOKUP(T248,Parameter!$I$27:$K$29,2,0)),IF(P248="","LOSE",P248)))</f>
        <v>S33</v>
      </c>
      <c r="BV248" s="50" t="n">
        <f aca="false">IF(BU248="LOSE",1,IF(N(V248)&gt;0,V248,IF(BX248=1,MAX(1,N(VLOOKUP(T248,Parameter!$I$27:$K$29,3,0)),H248,N(N248)),IF(N(Q248)&gt;0,Q248,MAX(1,H248)))))</f>
        <v>150</v>
      </c>
      <c r="BW248" s="53" t="n">
        <f aca="false">IF(BU248="LOSE",1,0)</f>
        <v>0</v>
      </c>
      <c r="BX248" s="53" t="n">
        <f aca="false">IF(AND(U248="",OR(P248="",P248="LOSE"),T248&lt;&gt;"",N(S248)&lt;=0,ISNUMBER(MATCH(T248,Parameter!$I$27:$I$29,0))),1,0)</f>
        <v>0</v>
      </c>
      <c r="BY248" s="53" t="n">
        <f aca="false">IF(CL248&gt;0,INDEX(Parameter!$H$5:$H$7,W248)/INDEX(Parameter!$E$5:$E$7,W248),IF(AND(BW248=0,N(IFERROR(VLOOKUP(BU248,'Gebinde-Kategorie'!$A$5:$N$45,14,0),0))&gt;0),VLOOKUP(BU248,'Gebinde-Kategorie'!$A$5:$N$45,14,0)*10+Parameter!$M$23,Parameter!$M$24))</f>
        <v>155</v>
      </c>
      <c r="BZ248" s="48" t="str">
        <f aca="false">IF(AND(Parameter!$B$19="Ja",E248&lt;&gt;"",ISNUMBER(MATCH(E248,Parameter!$I$35:$I$52,0))),VLOOKUP(E248,Parameter!$I$35:$J$52,2,0),IFERROR(VLOOKUP(D248,Parameter!$A$35:$C$64,2,0),"Nein"))</f>
        <v>2+3</v>
      </c>
      <c r="CA248" s="52" t="n">
        <f aca="false">IF(BW248=0,0,IF(N(S248)&gt;0,S248,IFERROR(VLOOKUP(D248,Parameter!$A$35:$C$64,3,0)+0,0)))</f>
        <v>0</v>
      </c>
      <c r="CB248" s="48" t="n">
        <f aca="false">IF(AA248&lt;&gt;"",AA248,Z248)</f>
        <v>3</v>
      </c>
      <c r="CC248" s="48" t="str">
        <f aca="false">IF(OR(CB248=1,CB248=2,CB248=3),IF(Parameter!$E$27="Ja","LIFT",IF(CB248=1,"L1","L23")),IF(CB248="Aussen","Aussen","-"))</f>
        <v>LIFT</v>
      </c>
      <c r="CD248" s="59" t="n">
        <f aca="false">IF(N(AB248)&gt;0,AB248,0)</f>
        <v>0</v>
      </c>
      <c r="CE248" s="53" t="n">
        <f aca="false">IF(ISNUMBER(AE248),1,0)</f>
        <v>0</v>
      </c>
      <c r="CF248" s="50" t="n">
        <f aca="false">N(AE248)</f>
        <v>0</v>
      </c>
      <c r="CG248" s="50" t="n">
        <f aca="false">N(M248)+N(N248)</f>
        <v>335</v>
      </c>
      <c r="CH248" s="50" t="n">
        <f aca="false">ROUNDUP(H248/BV248,0)</f>
        <v>3</v>
      </c>
      <c r="CI248" s="50" t="n">
        <f aca="false">ROUNDUP(CF248/BV248,0)</f>
        <v>0</v>
      </c>
      <c r="CJ248" s="53" t="n">
        <f aca="false">IF(BW248=1,0,IFERROR(VLOOKUP(BU248,'Gebinde-Kategorie'!$A$5:$N$45,5,0)+0,0))</f>
        <v>8</v>
      </c>
      <c r="CK248" s="53" t="n">
        <f aca="false">IFERROR(IF(OR(CB248=1,CB248=2,CB248=3),N(INDEX(Parameter!$I$5:$I$7,CB248)),0),0)</f>
        <v>0</v>
      </c>
      <c r="CL248" s="52" t="n">
        <f aca="false">IF(AND(Parameter!$B$21="Ja",ISNUMBER(W248),N(X248)&gt;0),IFERROR(N(INDEX(Parameter!$L$5:$L$7,W248))*INDEX(Parameter!$E$5:$E$7,W248)*X248/SUMIFS($X$7:$X$1843,$W$7:$W$1843,W248),0),0)</f>
        <v>0</v>
      </c>
    </row>
    <row r="249" customFormat="false" ht="15" hidden="false" customHeight="false" outlineLevel="0" collapsed="false">
      <c r="A249" s="48" t="s">
        <v>686</v>
      </c>
      <c r="B249" s="48" t="s">
        <v>427</v>
      </c>
      <c r="C249" s="48" t="s">
        <v>168</v>
      </c>
      <c r="D249" s="48" t="s">
        <v>177</v>
      </c>
      <c r="E249" s="48" t="s">
        <v>177</v>
      </c>
      <c r="F249" s="48" t="s">
        <v>222</v>
      </c>
      <c r="G249" s="49" t="n">
        <v>126.31</v>
      </c>
      <c r="H249" s="50" t="n">
        <f aca="false">MAX(0,IF(AND(Parameter!$B$21="Ja",ISNUMBER(Y249)),Y249,IF(Parameter!$B$20="Jahresanfang 2025 + Export",BO249+BN249,BN249)))</f>
        <v>13</v>
      </c>
      <c r="I249" s="50" t="n">
        <f aca="false">H249*G249</f>
        <v>1642.03</v>
      </c>
      <c r="J249" s="50" t="n">
        <f aca="false">BQ249*Parameter!$B$18</f>
        <v>43</v>
      </c>
      <c r="K249" s="51" t="n">
        <v>12.5</v>
      </c>
      <c r="L249" s="52" t="n">
        <v>3.44</v>
      </c>
      <c r="M249" s="50" t="n">
        <v>2</v>
      </c>
      <c r="N249" s="50" t="n">
        <v>6</v>
      </c>
      <c r="O249" s="53" t="n">
        <v>21</v>
      </c>
      <c r="P249" s="48" t="s">
        <v>263</v>
      </c>
      <c r="Q249" s="50" t="n">
        <v>12</v>
      </c>
      <c r="R249" s="53" t="n">
        <f aca="false">IF(BW249=1,0,IFERROR(VLOOKUP(BU249,'Gebinde-Kategorie'!$A$5:$N$45,13,0)+0,0))</f>
        <v>6</v>
      </c>
      <c r="S249" s="54"/>
      <c r="T249" s="55"/>
      <c r="U249" s="55"/>
      <c r="V249" s="55"/>
      <c r="W249" s="48"/>
      <c r="X249" s="50"/>
      <c r="Y249" s="50"/>
      <c r="Z249" s="48" t="str">
        <f aca="false">IF(A249="","",IF(AND(Parameter!$B$21="Ja",ISNUMBER(W249)),W249,IF(BZ249="2+3",IF(ISNUMBER(SEARCH("grosser Artikel",BR249)),2,IFERROR(VLOOKUP(BU249,Parameter!$F$35:$G$64,2,0),2)),IF(OR(BZ249="Nein",BZ249=""),"-",BZ249))))</f>
        <v>-</v>
      </c>
      <c r="AA249" s="55"/>
      <c r="AB249" s="56"/>
      <c r="AC249" s="50" t="n">
        <f aca="false">AT249</f>
        <v>24</v>
      </c>
      <c r="AD249" s="50" t="n">
        <f aca="false">MAX(AT249,H249)</f>
        <v>24</v>
      </c>
      <c r="AE249" s="57"/>
      <c r="AF249" s="50" t="n">
        <f aca="false">IF(LEFT(Cockpit!$C$5,1)="A",H249,IF(CE249=1,CF249,IF(LEFT(Cockpit!$C$5,1)="B",AK249,MAX(AK249,H249))))</f>
        <v>13</v>
      </c>
      <c r="AG249" s="50" t="n">
        <f aca="false">IF(BW249=1,0,ROUNDUP(AF249/BV249,0))</f>
        <v>2</v>
      </c>
      <c r="AH249" s="52" t="n">
        <f aca="false">IF(CL249&gt;0,CL249*MAX(1,AF249/X249),IF(BW249=1,IF(AF249&lt;=0,0,CA249*MAX(1,IF(H249&gt;0,AF249/H249,1))),IF(R249&gt;0,AG249/R249,0))/MAX(0.1,N(Parameter!$M$21)))</f>
        <v>0.333333333333333</v>
      </c>
      <c r="AI249" s="50" t="n">
        <f aca="false">AH249*BY249</f>
        <v>145</v>
      </c>
      <c r="AJ249" s="50" t="n">
        <f aca="false">AF249*G249</f>
        <v>1642.03</v>
      </c>
      <c r="AK249" s="50" t="n">
        <f aca="false">ROUNDUP(MAX(J249/IF(CD249&gt;0,CD249,MAX(0.1,N(Cockpit!$C$6))),CG249)/BV249,0)*BV249</f>
        <v>24</v>
      </c>
      <c r="AL249" s="51" t="n">
        <f aca="false">IF(AI249&gt;0,J249/AI249,-1)</f>
        <v>0.296551724137931</v>
      </c>
      <c r="AM249" s="51" t="str">
        <f aca="false">IF(AND(OR(CC249="L1",CC249="L23",CC249="LIFT"),AI249&gt;0),SUMIFS($AI$7:$AI$1843,$CC$7:$CC$1843,CC249,$AL$7:$AL$1843,"&gt;"&amp;AL249)+SUMIFS($AI$7:$AI$1843,$CC$7:$CC$1843,CC249,$AL$7:$AL$1843,AL249,$BT$7:$BT$1843,"&lt;="&amp;BT249),"")</f>
        <v/>
      </c>
      <c r="AN249" s="58" t="n">
        <f aca="false">IF(AM249="",0,MAX(0,MIN(1,(IF(CC249="L1",Parameter!$H$5,IF(CC249="L23",Parameter!$H$6+Parameter!$H$7,Parameter!$H$5+Parameter!$H$6+Parameter!$H$7))-(AM249-AI249))/AI249)))</f>
        <v>0</v>
      </c>
      <c r="AO249" s="50" t="n">
        <f aca="false">IF(LEFT(Cockpit!$I$5,1)="A",H249,IF(CE249=1,CF249,IF(LEFT(Cockpit!$I$5,1)="B",AT249,MAX(AT249,H249))))</f>
        <v>24</v>
      </c>
      <c r="AP249" s="50" t="n">
        <f aca="false">IF(BW249=1,0,ROUNDUP(AO249/BV249,0))</f>
        <v>2</v>
      </c>
      <c r="AQ249" s="52" t="n">
        <f aca="false">IF(CL249&gt;0,CL249*MAX(1,AO249/X249),IF(BW249=1,IF(AO249&lt;=0,0,CA249*MAX(1,IF(H249&gt;0,AO249/H249,1))),IF(R249&gt;0,AP249/R249,0))/MAX(0.1,N(Parameter!$M$21)))</f>
        <v>0.333333333333333</v>
      </c>
      <c r="AR249" s="50" t="n">
        <f aca="false">AQ249*BY249</f>
        <v>145</v>
      </c>
      <c r="AS249" s="50" t="n">
        <f aca="false">AO249*G249</f>
        <v>3031.44</v>
      </c>
      <c r="AT249" s="50" t="n">
        <f aca="false">ROUNDUP(MAX(J249/IF(CD249&gt;0,CD249,MAX(0.1,N(Cockpit!$I$6))),CG249)/BV249,0)*BV249</f>
        <v>24</v>
      </c>
      <c r="AU249" s="51" t="n">
        <f aca="false">IF(AR249&gt;0,J249/AR249,-1)</f>
        <v>0.296551724137931</v>
      </c>
      <c r="AV249" s="51" t="str">
        <f aca="false">IF(AND(OR(CC249="L1",CC249="L23",CC249="LIFT"),AR249&gt;0),SUMIFS($AR$7:$AR$1843,$CC$7:$CC$1843,CC249,$AU$7:$AU$1843,"&gt;"&amp;AU249)+SUMIFS($AR$7:$AR$1843,$CC$7:$CC$1843,CC249,$AU$7:$AU$1843,AU249,$BT$7:$BT$1843,"&lt;="&amp;BT249),"")</f>
        <v/>
      </c>
      <c r="AW249" s="58" t="n">
        <f aca="false">IF(AV249="",0,MAX(0,MIN(1,(IF(CC249="L1",Parameter!$H$5,IF(CC249="L23",Parameter!$H$6+Parameter!$H$7,Parameter!$H$5+Parameter!$H$6+Parameter!$H$7))-(AV249-AR249))/AR249)))</f>
        <v>0</v>
      </c>
      <c r="AX249" s="50" t="n">
        <f aca="false">IF(LEFT(Cockpit!$O$5,1)="A",H249,IF(CE249=1,CF249,IF(LEFT(Cockpit!$O$5,1)="B",BC249,MAX(BC249,H249))))</f>
        <v>24</v>
      </c>
      <c r="AY249" s="50" t="n">
        <f aca="false">IF(BW249=1,0,ROUNDUP(AX249/BV249,0))</f>
        <v>2</v>
      </c>
      <c r="AZ249" s="52" t="n">
        <f aca="false">IF(CL249&gt;0,CL249*MAX(1,AX249/X249),IF(BW249=1,IF(AX249&lt;=0,0,CA249*MAX(1,IF(H249&gt;0,AX249/H249,1))),IF(R249&gt;0,AY249/R249,0))/MAX(0.1,N(Parameter!$M$21)))</f>
        <v>0.333333333333333</v>
      </c>
      <c r="BA249" s="50" t="n">
        <f aca="false">AZ249*BY249</f>
        <v>145</v>
      </c>
      <c r="BB249" s="50" t="n">
        <f aca="false">AX249*G249</f>
        <v>3031.44</v>
      </c>
      <c r="BC249" s="50" t="n">
        <f aca="false">ROUNDUP(MAX(J249/IF(CD249&gt;0,CD249,MAX(0.1,N(Cockpit!$O$6))),CG249)/BV249,0)*BV249</f>
        <v>24</v>
      </c>
      <c r="BD249" s="51" t="n">
        <f aca="false">IF(BA249&gt;0,J249/BA249,-1)</f>
        <v>0.296551724137931</v>
      </c>
      <c r="BE249" s="51" t="str">
        <f aca="false">IF(AND(OR(CC249="L1",CC249="L23",CC249="LIFT"),BA249&gt;0),SUMIFS($BA$7:$BA$1843,$CC$7:$CC$1843,CC249,$BD$7:$BD$1843,"&gt;"&amp;BD249)+SUMIFS($BA$7:$BA$1843,$CC$7:$CC$1843,CC249,$BD$7:$BD$1843,BD249,$BT$7:$BT$1843,"&lt;="&amp;BT249),"")</f>
        <v/>
      </c>
      <c r="BF249" s="58" t="n">
        <f aca="false">IF(BE249="",0,MAX(0,MIN(1,(IF(CC249="L1",Parameter!$H$5,IF(CC249="L23",Parameter!$H$6+Parameter!$H$7,Parameter!$H$5+Parameter!$H$6+Parameter!$H$7))-(BE249-BA249))/BA249)))</f>
        <v>0</v>
      </c>
      <c r="BG249" s="48" t="str">
        <f aca="false">IF(AI249&lt;=0,"",IF(CC249="Aussen","Aussenlager",IF(CC249="-","Nicht im Lift",IF(AN249&gt;=1,"Lift",IF(AN249&lt;=0,"Aussenlager","teilweise")))))</f>
        <v>Nicht im Lift</v>
      </c>
      <c r="BH249" s="48" t="str">
        <f aca="false">IF(AR249&lt;=0,"",IF(CC249="Aussen","Aussenlager",IF(CC249="-","Nicht im Lift",IF(AW249&gt;=1,"Lift",IF(AW249&lt;=0,"Aussenlager","teilweise")))))</f>
        <v>Nicht im Lift</v>
      </c>
      <c r="BI249" s="48" t="str">
        <f aca="false">IF(BA249&lt;=0,"",IF(CC249="Aussen","Aussenlager",IF(CC249="-","Nicht im Lift",IF(BF249&gt;=1,"Lift",IF(BF249&lt;=0,"Aussenlager","teilweise")))))</f>
        <v>Nicht im Lift</v>
      </c>
      <c r="BJ249" s="48" t="str">
        <f aca="false">IF(A249="","",IF(BS249=1,"Neu; ","")&amp;IF(AND(BS249=0,BN249&lt;0),"negativer Bestand (Export "&amp;BN249&amp;"); ","")&amp;IF(J249&lt;=0,"Kein Verbrauch; ","")&amp;IF(CL249&gt;0,"Lift "&amp;W249&amp;" lt. Liftbericht (Fach "&amp;X249&amp;" Stk); ",IF(BX249=1,"Gebinde geschätzt ("&amp;T249&amp;"); ",IF(BW249=1,"Lose – Tablare geschätzt; ","")))&amp;IF(H249&gt;AT249,"Überbestand "&amp;ROUND(H249-AT249,0)&amp;" Stk / CHF "&amp;ROUND((H249-AT249)*G249,0)&amp;"; ","")&amp;IF(AND(CE249=1,CF249&lt;CG249),"MAX &lt; MB+LG; ","")&amp;IF(AND(CK249&gt;0,CJ249*10&gt;CK249),"zu hoch für Tablar; ","")&amp;IF(AND(BS249=0,OR(CE249=1,AA249&lt;&gt;"",U249&lt;&gt;"",V249&lt;&gt;"",AB249&lt;&gt;"")),"manuell übersteuert; ","")&amp;IF(AND(BW249=0,R249=0),"Gebinde unbekannt / Stellmass fehlt; ","")&amp;IF(AND(BW249=0,N(V249)&lt;=0,N(Q249)&lt;=0),"Menge pro Gebinde fehlt (Ist = 1 Gebinde); ","")&amp;BR249)</f>
        <v/>
      </c>
      <c r="BK249" s="48"/>
      <c r="BL249" s="48"/>
      <c r="BM249" s="55"/>
      <c r="BN249" s="50" t="n">
        <v>3</v>
      </c>
      <c r="BO249" s="50" t="n">
        <v>10</v>
      </c>
      <c r="BP249" s="49" t="n">
        <v>515.759999999998</v>
      </c>
      <c r="BQ249" s="50" t="n">
        <v>43</v>
      </c>
      <c r="BR249" s="48"/>
      <c r="BS249" s="53" t="n">
        <v>0</v>
      </c>
      <c r="BT249" s="53" t="n">
        <v>249</v>
      </c>
      <c r="BU249" s="48" t="str">
        <f aca="false">IF(U249&lt;&gt;"",UPPER(TRIM(U249)),IF(BX249=1,UPPER(VLOOKUP(T249,Parameter!$I$27:$K$29,2,0)),IF(P249="","LOSE",P249)))</f>
        <v>S72</v>
      </c>
      <c r="BV249" s="50" t="n">
        <f aca="false">IF(BU249="LOSE",1,IF(N(V249)&gt;0,V249,IF(BX249=1,MAX(1,N(VLOOKUP(T249,Parameter!$I$27:$K$29,3,0)),H249,N(N249)),IF(N(Q249)&gt;0,Q249,MAX(1,H249)))))</f>
        <v>12</v>
      </c>
      <c r="BW249" s="53" t="n">
        <f aca="false">IF(BU249="LOSE",1,0)</f>
        <v>0</v>
      </c>
      <c r="BX249" s="53" t="n">
        <f aca="false">IF(AND(U249="",OR(P249="",P249="LOSE"),T249&lt;&gt;"",N(S249)&lt;=0,ISNUMBER(MATCH(T249,Parameter!$I$27:$I$29,0))),1,0)</f>
        <v>0</v>
      </c>
      <c r="BY249" s="53" t="n">
        <f aca="false">IF(CL249&gt;0,INDEX(Parameter!$H$5:$H$7,W249)/INDEX(Parameter!$E$5:$E$7,W249),IF(AND(BW249=0,N(IFERROR(VLOOKUP(BU249,'Gebinde-Kategorie'!$A$5:$N$45,14,0),0))&gt;0),VLOOKUP(BU249,'Gebinde-Kategorie'!$A$5:$N$45,14,0)*10+Parameter!$M$23,Parameter!$M$24))</f>
        <v>435</v>
      </c>
      <c r="BZ249" s="48" t="str">
        <f aca="false">IF(AND(Parameter!$B$19="Ja",E249&lt;&gt;"",ISNUMBER(MATCH(E249,Parameter!$I$35:$I$52,0))),VLOOKUP(E249,Parameter!$I$35:$J$52,2,0),IFERROR(VLOOKUP(D249,Parameter!$A$35:$C$64,2,0),"Nein"))</f>
        <v>Nein</v>
      </c>
      <c r="CA249" s="52" t="n">
        <f aca="false">IF(BW249=0,0,IF(N(S249)&gt;0,S249,IFERROR(VLOOKUP(D249,Parameter!$A$35:$C$64,3,0)+0,0)))</f>
        <v>0</v>
      </c>
      <c r="CB249" s="48" t="str">
        <f aca="false">IF(AA249&lt;&gt;"",AA249,Z249)</f>
        <v>-</v>
      </c>
      <c r="CC249" s="48" t="str">
        <f aca="false">IF(OR(CB249=1,CB249=2,CB249=3),IF(Parameter!$E$27="Ja","LIFT",IF(CB249=1,"L1","L23")),IF(CB249="Aussen","Aussen","-"))</f>
        <v>-</v>
      </c>
      <c r="CD249" s="59" t="n">
        <f aca="false">IF(N(AB249)&gt;0,AB249,0)</f>
        <v>0</v>
      </c>
      <c r="CE249" s="53" t="n">
        <f aca="false">IF(ISNUMBER(AE249),1,0)</f>
        <v>0</v>
      </c>
      <c r="CF249" s="50" t="n">
        <f aca="false">N(AE249)</f>
        <v>0</v>
      </c>
      <c r="CG249" s="50" t="n">
        <f aca="false">N(M249)+N(N249)</f>
        <v>8</v>
      </c>
      <c r="CH249" s="50" t="n">
        <f aca="false">ROUNDUP(H249/BV249,0)</f>
        <v>2</v>
      </c>
      <c r="CI249" s="50" t="n">
        <f aca="false">ROUNDUP(CF249/BV249,0)</f>
        <v>0</v>
      </c>
      <c r="CJ249" s="53" t="n">
        <f aca="false">IF(BW249=1,0,IFERROR(VLOOKUP(BU249,'Gebinde-Kategorie'!$A$5:$N$45,5,0)+0,0))</f>
        <v>40</v>
      </c>
      <c r="CK249" s="53" t="n">
        <f aca="false">IFERROR(IF(OR(CB249=1,CB249=2,CB249=3),N(INDEX(Parameter!$I$5:$I$7,CB249)),0),0)</f>
        <v>0</v>
      </c>
      <c r="CL249" s="52" t="n">
        <f aca="false">IF(AND(Parameter!$B$21="Ja",ISNUMBER(W249),N(X249)&gt;0),IFERROR(N(INDEX(Parameter!$L$5:$L$7,W249))*INDEX(Parameter!$E$5:$E$7,W249)*X249/SUMIFS($X$7:$X$1843,$W$7:$W$1843,W249),0),0)</f>
        <v>0</v>
      </c>
    </row>
    <row r="250" customFormat="false" ht="15" hidden="false" customHeight="false" outlineLevel="0" collapsed="false">
      <c r="A250" s="48" t="s">
        <v>687</v>
      </c>
      <c r="B250" s="48" t="s">
        <v>688</v>
      </c>
      <c r="C250" s="48" t="s">
        <v>168</v>
      </c>
      <c r="D250" s="48" t="s">
        <v>188</v>
      </c>
      <c r="E250" s="48" t="s">
        <v>189</v>
      </c>
      <c r="F250" s="48" t="s">
        <v>222</v>
      </c>
      <c r="G250" s="49" t="n">
        <v>1.23</v>
      </c>
      <c r="H250" s="50" t="n">
        <f aca="false">MAX(0,IF(AND(Parameter!$B$21="Ja",ISNUMBER(Y250)),Y250,IF(Parameter!$B$20="Jahresanfang 2025 + Export",BO250+BN250,BN250)))</f>
        <v>549</v>
      </c>
      <c r="I250" s="50" t="n">
        <f aca="false">H250*G250</f>
        <v>675.27</v>
      </c>
      <c r="J250" s="50" t="n">
        <f aca="false">BQ250*Parameter!$B$18</f>
        <v>602</v>
      </c>
      <c r="K250" s="51" t="n">
        <v>211.5</v>
      </c>
      <c r="L250" s="52" t="n">
        <v>2.84633569739953</v>
      </c>
      <c r="M250" s="50" t="n">
        <v>35</v>
      </c>
      <c r="N250" s="50" t="n">
        <v>250</v>
      </c>
      <c r="O250" s="53" t="n">
        <v>21</v>
      </c>
      <c r="P250" s="48" t="s">
        <v>306</v>
      </c>
      <c r="Q250" s="50" t="n">
        <v>559</v>
      </c>
      <c r="R250" s="53" t="n">
        <f aca="false">IF(BW250=1,0,IFERROR(VLOOKUP(BU250,'Gebinde-Kategorie'!$A$5:$N$45,13,0)+0,0))</f>
        <v>26</v>
      </c>
      <c r="S250" s="54"/>
      <c r="T250" s="55"/>
      <c r="U250" s="55"/>
      <c r="V250" s="55"/>
      <c r="W250" s="48"/>
      <c r="X250" s="50"/>
      <c r="Y250" s="50"/>
      <c r="Z250" s="48" t="n">
        <f aca="false">IF(A250="","",IF(AND(Parameter!$B$21="Ja",ISNUMBER(W250)),W250,IF(BZ250="2+3",IF(ISNUMBER(SEARCH("grosser Artikel",BR250)),2,IFERROR(VLOOKUP(BU250,Parameter!$F$35:$G$64,2,0),2)),IF(OR(BZ250="Nein",BZ250=""),"-",BZ250))))</f>
        <v>3</v>
      </c>
      <c r="AA250" s="55"/>
      <c r="AB250" s="56"/>
      <c r="AC250" s="50" t="n">
        <f aca="false">AT250</f>
        <v>559</v>
      </c>
      <c r="AD250" s="50" t="n">
        <f aca="false">MAX(AT250,H250)</f>
        <v>559</v>
      </c>
      <c r="AE250" s="57"/>
      <c r="AF250" s="50" t="n">
        <f aca="false">IF(LEFT(Cockpit!$C$5,1)="A",H250,IF(CE250=1,CF250,IF(LEFT(Cockpit!$C$5,1)="B",AK250,MAX(AK250,H250))))</f>
        <v>549</v>
      </c>
      <c r="AG250" s="50" t="n">
        <f aca="false">IF(BW250=1,0,ROUNDUP(AF250/BV250,0))</f>
        <v>1</v>
      </c>
      <c r="AH250" s="52" t="n">
        <f aca="false">IF(CL250&gt;0,CL250*MAX(1,AF250/X250),IF(BW250=1,IF(AF250&lt;=0,0,CA250*MAX(1,IF(H250&gt;0,AF250/H250,1))),IF(R250&gt;0,AG250/R250,0))/MAX(0.1,N(Parameter!$M$21)))</f>
        <v>0.0384615384615385</v>
      </c>
      <c r="AI250" s="50" t="n">
        <f aca="false">AH250*BY250</f>
        <v>5.96153846153846</v>
      </c>
      <c r="AJ250" s="50" t="n">
        <f aca="false">AF250*G250</f>
        <v>675.27</v>
      </c>
      <c r="AK250" s="50" t="n">
        <f aca="false">ROUNDUP(MAX(J250/IF(CD250&gt;0,CD250,MAX(0.1,N(Cockpit!$C$6))),CG250)/BV250,0)*BV250</f>
        <v>559</v>
      </c>
      <c r="AL250" s="51" t="n">
        <f aca="false">IF(AI250&gt;0,J250/AI250,-1)</f>
        <v>100.98064516129</v>
      </c>
      <c r="AM250" s="51" t="n">
        <f aca="false">IF(AND(OR(CC250="L1",CC250="L23",CC250="LIFT"),AI250&gt;0),SUMIFS($AI$7:$AI$1843,$CC$7:$CC$1843,CC250,$AL$7:$AL$1843,"&gt;"&amp;AL250)+SUMIFS($AI$7:$AI$1843,$CC$7:$CC$1843,CC250,$AL$7:$AL$1843,AL250,$BT$7:$BT$1843,"&lt;="&amp;BT250),"")</f>
        <v>764.44184981685</v>
      </c>
      <c r="AN250" s="58" t="n">
        <f aca="false">IF(AM250="",0,MAX(0,MIN(1,(IF(CC250="L1",Parameter!$H$5,IF(CC250="L23",Parameter!$H$6+Parameter!$H$7,Parameter!$H$5+Parameter!$H$6+Parameter!$H$7))-(AM250-AI250))/AI250)))</f>
        <v>1</v>
      </c>
      <c r="AO250" s="50" t="n">
        <f aca="false">IF(LEFT(Cockpit!$I$5,1)="A",H250,IF(CE250=1,CF250,IF(LEFT(Cockpit!$I$5,1)="B",AT250,MAX(AT250,H250))))</f>
        <v>559</v>
      </c>
      <c r="AP250" s="50" t="n">
        <f aca="false">IF(BW250=1,0,ROUNDUP(AO250/BV250,0))</f>
        <v>1</v>
      </c>
      <c r="AQ250" s="52" t="n">
        <f aca="false">IF(CL250&gt;0,CL250*MAX(1,AO250/X250),IF(BW250=1,IF(AO250&lt;=0,0,CA250*MAX(1,IF(H250&gt;0,AO250/H250,1))),IF(R250&gt;0,AP250/R250,0))/MAX(0.1,N(Parameter!$M$21)))</f>
        <v>0.0384615384615385</v>
      </c>
      <c r="AR250" s="50" t="n">
        <f aca="false">AQ250*BY250</f>
        <v>5.96153846153846</v>
      </c>
      <c r="AS250" s="50" t="n">
        <f aca="false">AO250*G250</f>
        <v>687.57</v>
      </c>
      <c r="AT250" s="50" t="n">
        <f aca="false">ROUNDUP(MAX(J250/IF(CD250&gt;0,CD250,MAX(0.1,N(Cockpit!$I$6))),CG250)/BV250,0)*BV250</f>
        <v>559</v>
      </c>
      <c r="AU250" s="51" t="n">
        <f aca="false">IF(AR250&gt;0,J250/AR250,-1)</f>
        <v>100.98064516129</v>
      </c>
      <c r="AV250" s="51" t="n">
        <f aca="false">IF(AND(OR(CC250="L1",CC250="L23",CC250="LIFT"),AR250&gt;0),SUMIFS($AR$7:$AR$1843,$CC$7:$CC$1843,CC250,$AU$7:$AU$1843,"&gt;"&amp;AU250)+SUMIFS($AR$7:$AR$1843,$CC$7:$CC$1843,CC250,$AU$7:$AU$1843,AU250,$BT$7:$BT$1843,"&lt;="&amp;BT250),"")</f>
        <v>916.119963369963</v>
      </c>
      <c r="AW250" s="58" t="n">
        <f aca="false">IF(AV250="",0,MAX(0,MIN(1,(IF(CC250="L1",Parameter!$H$5,IF(CC250="L23",Parameter!$H$6+Parameter!$H$7,Parameter!$H$5+Parameter!$H$6+Parameter!$H$7))-(AV250-AR250))/AR250)))</f>
        <v>1</v>
      </c>
      <c r="AX250" s="50" t="n">
        <f aca="false">IF(LEFT(Cockpit!$O$5,1)="A",H250,IF(CE250=1,CF250,IF(LEFT(Cockpit!$O$5,1)="B",BC250,MAX(BC250,H250))))</f>
        <v>559</v>
      </c>
      <c r="AY250" s="50" t="n">
        <f aca="false">IF(BW250=1,0,ROUNDUP(AX250/BV250,0))</f>
        <v>1</v>
      </c>
      <c r="AZ250" s="52" t="n">
        <f aca="false">IF(CL250&gt;0,CL250*MAX(1,AX250/X250),IF(BW250=1,IF(AX250&lt;=0,0,CA250*MAX(1,IF(H250&gt;0,AX250/H250,1))),IF(R250&gt;0,AY250/R250,0))/MAX(0.1,N(Parameter!$M$21)))</f>
        <v>0.0384615384615385</v>
      </c>
      <c r="BA250" s="50" t="n">
        <f aca="false">AZ250*BY250</f>
        <v>5.96153846153846</v>
      </c>
      <c r="BB250" s="50" t="n">
        <f aca="false">AX250*G250</f>
        <v>687.57</v>
      </c>
      <c r="BC250" s="50" t="n">
        <f aca="false">ROUNDUP(MAX(J250/IF(CD250&gt;0,CD250,MAX(0.1,N(Cockpit!$O$6))),CG250)/BV250,0)*BV250</f>
        <v>559</v>
      </c>
      <c r="BD250" s="51" t="n">
        <f aca="false">IF(BA250&gt;0,J250/BA250,-1)</f>
        <v>100.98064516129</v>
      </c>
      <c r="BE250" s="51" t="n">
        <f aca="false">IF(AND(OR(CC250="L1",CC250="L23",CC250="LIFT"),BA250&gt;0),SUMIFS($BA$7:$BA$1843,$CC$7:$CC$1843,CC250,$BD$7:$BD$1843,"&gt;"&amp;BD250)+SUMIFS($BA$7:$BA$1843,$CC$7:$CC$1843,CC250,$BD$7:$BD$1843,BD250,$BT$7:$BT$1843,"&lt;="&amp;BT250),"")</f>
        <v>844.693681318681</v>
      </c>
      <c r="BF250" s="58" t="n">
        <f aca="false">IF(BE250="",0,MAX(0,MIN(1,(IF(CC250="L1",Parameter!$H$5,IF(CC250="L23",Parameter!$H$6+Parameter!$H$7,Parameter!$H$5+Parameter!$H$6+Parameter!$H$7))-(BE250-BA250))/BA250)))</f>
        <v>1</v>
      </c>
      <c r="BG250" s="48" t="str">
        <f aca="false">IF(AI250&lt;=0,"",IF(CC250="Aussen","Aussenlager",IF(CC250="-","Nicht im Lift",IF(AN250&gt;=1,"Lift",IF(AN250&lt;=0,"Aussenlager","teilweise")))))</f>
        <v>Lift</v>
      </c>
      <c r="BH250" s="48" t="str">
        <f aca="false">IF(AR250&lt;=0,"",IF(CC250="Aussen","Aussenlager",IF(CC250="-","Nicht im Lift",IF(AW250&gt;=1,"Lift",IF(AW250&lt;=0,"Aussenlager","teilweise")))))</f>
        <v>Lift</v>
      </c>
      <c r="BI250" s="48" t="str">
        <f aca="false">IF(BA250&lt;=0,"",IF(CC250="Aussen","Aussenlager",IF(CC250="-","Nicht im Lift",IF(BF250&gt;=1,"Lift",IF(BF250&lt;=0,"Aussenlager","teilweise")))))</f>
        <v>Lift</v>
      </c>
      <c r="BJ250" s="48" t="str">
        <f aca="false">IF(A250="","",IF(BS250=1,"Neu; ","")&amp;IF(AND(BS250=0,BN250&lt;0),"negativer Bestand (Export "&amp;BN250&amp;"); ","")&amp;IF(J250&lt;=0,"Kein Verbrauch; ","")&amp;IF(CL250&gt;0,"Lift "&amp;W250&amp;" lt. Liftbericht (Fach "&amp;X250&amp;" Stk); ",IF(BX250=1,"Gebinde geschätzt ("&amp;T250&amp;"); ",IF(BW250=1,"Lose – Tablare geschätzt; ","")))&amp;IF(H250&gt;AT250,"Überbestand "&amp;ROUND(H250-AT250,0)&amp;" Stk / CHF "&amp;ROUND((H250-AT250)*G250,0)&amp;"; ","")&amp;IF(AND(CE250=1,CF250&lt;CG250),"MAX &lt; MB+LG; ","")&amp;IF(AND(CK250&gt;0,CJ250*10&gt;CK250),"zu hoch für Tablar; ","")&amp;IF(AND(BS250=0,OR(CE250=1,AA250&lt;&gt;"",U250&lt;&gt;"",V250&lt;&gt;"",AB250&lt;&gt;"")),"manuell übersteuert; ","")&amp;IF(AND(BW250=0,R250=0),"Gebinde unbekannt / Stellmass fehlt; ","")&amp;IF(AND(BW250=0,N(V250)&lt;=0,N(Q250)&lt;=0),"Menge pro Gebinde fehlt (Ist = 1 Gebinde); ","")&amp;BR250)</f>
        <v/>
      </c>
      <c r="BK250" s="48"/>
      <c r="BL250" s="48"/>
      <c r="BM250" s="55"/>
      <c r="BN250" s="50" t="n">
        <v>380</v>
      </c>
      <c r="BO250" s="50" t="n">
        <v>169</v>
      </c>
      <c r="BP250" s="49" t="n">
        <v>495.66</v>
      </c>
      <c r="BQ250" s="50" t="n">
        <v>602</v>
      </c>
      <c r="BR250" s="48"/>
      <c r="BS250" s="53" t="n">
        <v>0</v>
      </c>
      <c r="BT250" s="53" t="n">
        <v>250</v>
      </c>
      <c r="BU250" s="48" t="str">
        <f aca="false">IF(U250&lt;&gt;"",UPPER(TRIM(U250)),IF(BX250=1,UPPER(VLOOKUP(T250,Parameter!$I$27:$K$29,2,0)),IF(P250="","LOSE",P250)))</f>
        <v>S51</v>
      </c>
      <c r="BV250" s="50" t="n">
        <f aca="false">IF(BU250="LOSE",1,IF(N(V250)&gt;0,V250,IF(BX250=1,MAX(1,N(VLOOKUP(T250,Parameter!$I$27:$K$29,3,0)),H250,N(N250)),IF(N(Q250)&gt;0,Q250,MAX(1,H250)))))</f>
        <v>559</v>
      </c>
      <c r="BW250" s="53" t="n">
        <f aca="false">IF(BU250="LOSE",1,0)</f>
        <v>0</v>
      </c>
      <c r="BX250" s="53" t="n">
        <f aca="false">IF(AND(U250="",OR(P250="",P250="LOSE"),T250&lt;&gt;"",N(S250)&lt;=0,ISNUMBER(MATCH(T250,Parameter!$I$27:$I$29,0))),1,0)</f>
        <v>0</v>
      </c>
      <c r="BY250" s="53" t="n">
        <f aca="false">IF(CL250&gt;0,INDEX(Parameter!$H$5:$H$7,W250)/INDEX(Parameter!$E$5:$E$7,W250),IF(AND(BW250=0,N(IFERROR(VLOOKUP(BU250,'Gebinde-Kategorie'!$A$5:$N$45,14,0),0))&gt;0),VLOOKUP(BU250,'Gebinde-Kategorie'!$A$5:$N$45,14,0)*10+Parameter!$M$23,Parameter!$M$24))</f>
        <v>155</v>
      </c>
      <c r="BZ250" s="48" t="str">
        <f aca="false">IF(AND(Parameter!$B$19="Ja",E250&lt;&gt;"",ISNUMBER(MATCH(E250,Parameter!$I$35:$I$52,0))),VLOOKUP(E250,Parameter!$I$35:$J$52,2,0),IFERROR(VLOOKUP(D250,Parameter!$A$35:$C$64,2,0),"Nein"))</f>
        <v>2+3</v>
      </c>
      <c r="CA250" s="52" t="n">
        <f aca="false">IF(BW250=0,0,IF(N(S250)&gt;0,S250,IFERROR(VLOOKUP(D250,Parameter!$A$35:$C$64,3,0)+0,0)))</f>
        <v>0</v>
      </c>
      <c r="CB250" s="48" t="n">
        <f aca="false">IF(AA250&lt;&gt;"",AA250,Z250)</f>
        <v>3</v>
      </c>
      <c r="CC250" s="48" t="str">
        <f aca="false">IF(OR(CB250=1,CB250=2,CB250=3),IF(Parameter!$E$27="Ja","LIFT",IF(CB250=1,"L1","L23")),IF(CB250="Aussen","Aussen","-"))</f>
        <v>LIFT</v>
      </c>
      <c r="CD250" s="59" t="n">
        <f aca="false">IF(N(AB250)&gt;0,AB250,0)</f>
        <v>0</v>
      </c>
      <c r="CE250" s="53" t="n">
        <f aca="false">IF(ISNUMBER(AE250),1,0)</f>
        <v>0</v>
      </c>
      <c r="CF250" s="50" t="n">
        <f aca="false">N(AE250)</f>
        <v>0</v>
      </c>
      <c r="CG250" s="50" t="n">
        <f aca="false">N(M250)+N(N250)</f>
        <v>285</v>
      </c>
      <c r="CH250" s="50" t="n">
        <f aca="false">ROUNDUP(H250/BV250,0)</f>
        <v>1</v>
      </c>
      <c r="CI250" s="50" t="n">
        <f aca="false">ROUNDUP(CF250/BV250,0)</f>
        <v>0</v>
      </c>
      <c r="CJ250" s="53" t="n">
        <f aca="false">IF(BW250=1,0,IFERROR(VLOOKUP(BU250,'Gebinde-Kategorie'!$A$5:$N$45,5,0)+0,0))</f>
        <v>11</v>
      </c>
      <c r="CK250" s="53" t="n">
        <f aca="false">IFERROR(IF(OR(CB250=1,CB250=2,CB250=3),N(INDEX(Parameter!$I$5:$I$7,CB250)),0),0)</f>
        <v>0</v>
      </c>
      <c r="CL250" s="52" t="n">
        <f aca="false">IF(AND(Parameter!$B$21="Ja",ISNUMBER(W250),N(X250)&gt;0),IFERROR(N(INDEX(Parameter!$L$5:$L$7,W250))*INDEX(Parameter!$E$5:$E$7,W250)*X250/SUMIFS($X$7:$X$1843,$W$7:$W$1843,W250),0),0)</f>
        <v>0</v>
      </c>
    </row>
    <row r="251" customFormat="false" ht="15" hidden="false" customHeight="false" outlineLevel="0" collapsed="false">
      <c r="A251" s="48" t="s">
        <v>689</v>
      </c>
      <c r="B251" s="48" t="s">
        <v>690</v>
      </c>
      <c r="C251" s="48" t="s">
        <v>168</v>
      </c>
      <c r="D251" s="48" t="s">
        <v>188</v>
      </c>
      <c r="E251" s="48"/>
      <c r="F251" s="48" t="s">
        <v>222</v>
      </c>
      <c r="G251" s="49" t="n">
        <v>32.98</v>
      </c>
      <c r="H251" s="50" t="n">
        <f aca="false">MAX(0,IF(AND(Parameter!$B$21="Ja",ISNUMBER(Y251)),Y251,IF(Parameter!$B$20="Jahresanfang 2025 + Export",BO251+BN251,BN251)))</f>
        <v>15</v>
      </c>
      <c r="I251" s="50" t="n">
        <f aca="false">H251*G251</f>
        <v>494.7</v>
      </c>
      <c r="J251" s="50" t="n">
        <f aca="false">BQ251*Parameter!$B$18</f>
        <v>0</v>
      </c>
      <c r="K251" s="51" t="n">
        <v>0</v>
      </c>
      <c r="L251" s="52" t="n">
        <v>0</v>
      </c>
      <c r="M251" s="50" t="n">
        <v>0</v>
      </c>
      <c r="N251" s="50" t="n">
        <v>1</v>
      </c>
      <c r="O251" s="53" t="n">
        <v>9999</v>
      </c>
      <c r="P251" s="48" t="s">
        <v>172</v>
      </c>
      <c r="Q251" s="50"/>
      <c r="R251" s="53" t="n">
        <f aca="false">IF(BW251=1,0,IFERROR(VLOOKUP(BU251,'Gebinde-Kategorie'!$A$5:$N$45,13,0)+0,0))</f>
        <v>4</v>
      </c>
      <c r="S251" s="54"/>
      <c r="T251" s="55" t="s">
        <v>193</v>
      </c>
      <c r="U251" s="55"/>
      <c r="V251" s="55"/>
      <c r="W251" s="48"/>
      <c r="X251" s="50"/>
      <c r="Y251" s="50"/>
      <c r="Z251" s="48" t="n">
        <f aca="false">IF(A251="","",IF(AND(Parameter!$B$21="Ja",ISNUMBER(W251)),W251,IF(BZ251="2+3",IF(ISNUMBER(SEARCH("grosser Artikel",BR251)),2,IFERROR(VLOOKUP(BU251,Parameter!$F$35:$G$64,2,0),2)),IF(OR(BZ251="Nein",BZ251=""),"-",BZ251))))</f>
        <v>2</v>
      </c>
      <c r="AA251" s="55"/>
      <c r="AB251" s="56"/>
      <c r="AC251" s="50" t="n">
        <f aca="false">AT251</f>
        <v>15</v>
      </c>
      <c r="AD251" s="50" t="n">
        <f aca="false">MAX(AT251,H251)</f>
        <v>15</v>
      </c>
      <c r="AE251" s="57"/>
      <c r="AF251" s="50" t="n">
        <f aca="false">IF(LEFT(Cockpit!$C$5,1)="A",H251,IF(CE251=1,CF251,IF(LEFT(Cockpit!$C$5,1)="B",AK251,MAX(AK251,H251))))</f>
        <v>15</v>
      </c>
      <c r="AG251" s="50" t="n">
        <f aca="false">IF(BW251=1,0,ROUNDUP(AF251/BV251,0))</f>
        <v>1</v>
      </c>
      <c r="AH251" s="52" t="n">
        <f aca="false">IF(CL251&gt;0,CL251*MAX(1,AF251/X251),IF(BW251=1,IF(AF251&lt;=0,0,CA251*MAX(1,IF(H251&gt;0,AF251/H251,1))),IF(R251&gt;0,AG251/R251,0))/MAX(0.1,N(Parameter!$M$21)))</f>
        <v>0.25</v>
      </c>
      <c r="AI251" s="50" t="n">
        <f aca="false">AH251*BY251</f>
        <v>58.75</v>
      </c>
      <c r="AJ251" s="50" t="n">
        <f aca="false">AF251*G251</f>
        <v>494.7</v>
      </c>
      <c r="AK251" s="50" t="n">
        <f aca="false">ROUNDUP(MAX(J251/IF(CD251&gt;0,CD251,MAX(0.1,N(Cockpit!$C$6))),CG251)/BV251,0)*BV251</f>
        <v>15</v>
      </c>
      <c r="AL251" s="51" t="n">
        <f aca="false">IF(AI251&gt;0,J251/AI251,-1)</f>
        <v>0</v>
      </c>
      <c r="AM251" s="51" t="n">
        <f aca="false">IF(AND(OR(CC251="L1",CC251="L23",CC251="LIFT"),AI251&gt;0),SUMIFS($AI$7:$AI$1843,$CC$7:$CC$1843,CC251,$AL$7:$AL$1843,"&gt;"&amp;AL251)+SUMIFS($AI$7:$AI$1843,$CC$7:$CC$1843,CC251,$AL$7:$AL$1843,AL251,$BT$7:$BT$1843,"&lt;="&amp;BT251),"")</f>
        <v>27739.0171095383</v>
      </c>
      <c r="AN251" s="58" t="n">
        <f aca="false">IF(AM251="",0,MAX(0,MIN(1,(IF(CC251="L1",Parameter!$H$5,IF(CC251="L23",Parameter!$H$6+Parameter!$H$7,Parameter!$H$5+Parameter!$H$6+Parameter!$H$7))-(AM251-AI251))/AI251)))</f>
        <v>1</v>
      </c>
      <c r="AO251" s="50" t="n">
        <f aca="false">IF(LEFT(Cockpit!$I$5,1)="A",H251,IF(CE251=1,CF251,IF(LEFT(Cockpit!$I$5,1)="B",AT251,MAX(AT251,H251))))</f>
        <v>15</v>
      </c>
      <c r="AP251" s="50" t="n">
        <f aca="false">IF(BW251=1,0,ROUNDUP(AO251/BV251,0))</f>
        <v>1</v>
      </c>
      <c r="AQ251" s="52" t="n">
        <f aca="false">IF(CL251&gt;0,CL251*MAX(1,AO251/X251),IF(BW251=1,IF(AO251&lt;=0,0,CA251*MAX(1,IF(H251&gt;0,AO251/H251,1))),IF(R251&gt;0,AP251/R251,0))/MAX(0.1,N(Parameter!$M$21)))</f>
        <v>0.25</v>
      </c>
      <c r="AR251" s="50" t="n">
        <f aca="false">AQ251*BY251</f>
        <v>58.75</v>
      </c>
      <c r="AS251" s="50" t="n">
        <f aca="false">AO251*G251</f>
        <v>494.7</v>
      </c>
      <c r="AT251" s="50" t="n">
        <f aca="false">ROUNDUP(MAX(J251/IF(CD251&gt;0,CD251,MAX(0.1,N(Cockpit!$I$6))),CG251)/BV251,0)*BV251</f>
        <v>15</v>
      </c>
      <c r="AU251" s="51" t="n">
        <f aca="false">IF(AR251&gt;0,J251/AR251,-1)</f>
        <v>0</v>
      </c>
      <c r="AV251" s="51" t="n">
        <f aca="false">IF(AND(OR(CC251="L1",CC251="L23",CC251="LIFT"),AR251&gt;0),SUMIFS($AR$7:$AR$1843,$CC$7:$CC$1843,CC251,$AU$7:$AU$1843,"&gt;"&amp;AU251)+SUMIFS($AR$7:$AR$1843,$CC$7:$CC$1843,CC251,$AU$7:$AU$1843,AU251,$BT$7:$BT$1843,"&lt;="&amp;BT251),"")</f>
        <v>39051.9226268082</v>
      </c>
      <c r="AW251" s="58" t="n">
        <f aca="false">IF(AV251="",0,MAX(0,MIN(1,(IF(CC251="L1",Parameter!$H$5,IF(CC251="L23",Parameter!$H$6+Parameter!$H$7,Parameter!$H$5+Parameter!$H$6+Parameter!$H$7))-(AV251-AR251))/AR251)))</f>
        <v>0</v>
      </c>
      <c r="AX251" s="50" t="n">
        <f aca="false">IF(LEFT(Cockpit!$O$5,1)="A",H251,IF(CE251=1,CF251,IF(LEFT(Cockpit!$O$5,1)="B",BC251,MAX(BC251,H251))))</f>
        <v>15</v>
      </c>
      <c r="AY251" s="50" t="n">
        <f aca="false">IF(BW251=1,0,ROUNDUP(AX251/BV251,0))</f>
        <v>1</v>
      </c>
      <c r="AZ251" s="52" t="n">
        <f aca="false">IF(CL251&gt;0,CL251*MAX(1,AX251/X251),IF(BW251=1,IF(AX251&lt;=0,0,CA251*MAX(1,IF(H251&gt;0,AX251/H251,1))),IF(R251&gt;0,AY251/R251,0))/MAX(0.1,N(Parameter!$M$21)))</f>
        <v>0.25</v>
      </c>
      <c r="BA251" s="50" t="n">
        <f aca="false">AZ251*BY251</f>
        <v>58.75</v>
      </c>
      <c r="BB251" s="50" t="n">
        <f aca="false">AX251*G251</f>
        <v>494.7</v>
      </c>
      <c r="BC251" s="50" t="n">
        <f aca="false">ROUNDUP(MAX(J251/IF(CD251&gt;0,CD251,MAX(0.1,N(Cockpit!$O$6))),CG251)/BV251,0)*BV251</f>
        <v>15</v>
      </c>
      <c r="BD251" s="51" t="n">
        <f aca="false">IF(BA251&gt;0,J251/BA251,-1)</f>
        <v>0</v>
      </c>
      <c r="BE251" s="51" t="n">
        <f aca="false">IF(AND(OR(CC251="L1",CC251="L23",CC251="LIFT"),BA251&gt;0),SUMIFS($BA$7:$BA$1843,$CC$7:$CC$1843,CC251,$BD$7:$BD$1843,"&gt;"&amp;BD251)+SUMIFS($BA$7:$BA$1843,$CC$7:$CC$1843,CC251,$BD$7:$BD$1843,BD251,$BT$7:$BT$1843,"&lt;="&amp;BT251),"")</f>
        <v>35726.9346686741</v>
      </c>
      <c r="BF251" s="58" t="n">
        <f aca="false">IF(BE251="",0,MAX(0,MIN(1,(IF(CC251="L1",Parameter!$H$5,IF(CC251="L23",Parameter!$H$6+Parameter!$H$7,Parameter!$H$5+Parameter!$H$6+Parameter!$H$7))-(BE251-BA251))/BA251)))</f>
        <v>0.541537554483821</v>
      </c>
      <c r="BG251" s="48" t="str">
        <f aca="false">IF(AI251&lt;=0,"",IF(CC251="Aussen","Aussenlager",IF(CC251="-","Nicht im Lift",IF(AN251&gt;=1,"Lift",IF(AN251&lt;=0,"Aussenlager","teilweise")))))</f>
        <v>Lift</v>
      </c>
      <c r="BH251" s="48" t="str">
        <f aca="false">IF(AR251&lt;=0,"",IF(CC251="Aussen","Aussenlager",IF(CC251="-","Nicht im Lift",IF(AW251&gt;=1,"Lift",IF(AW251&lt;=0,"Aussenlager","teilweise")))))</f>
        <v>Aussenlager</v>
      </c>
      <c r="BI251" s="48" t="str">
        <f aca="false">IF(BA251&lt;=0,"",IF(CC251="Aussen","Aussenlager",IF(CC251="-","Nicht im Lift",IF(BF251&gt;=1,"Lift",IF(BF251&lt;=0,"Aussenlager","teilweise")))))</f>
        <v>teilweise</v>
      </c>
      <c r="BJ251" s="48" t="str">
        <f aca="false">IF(A251="","",IF(BS251=1,"Neu; ","")&amp;IF(AND(BS251=0,BN251&lt;0),"negativer Bestand (Export "&amp;BN251&amp;"); ","")&amp;IF(J251&lt;=0,"Kein Verbrauch; ","")&amp;IF(CL251&gt;0,"Lift "&amp;W251&amp;" lt. Liftbericht (Fach "&amp;X251&amp;" Stk); ",IF(BX251=1,"Gebinde geschätzt ("&amp;T251&amp;"); ",IF(BW251=1,"Lose – Tablare geschätzt; ","")))&amp;IF(H251&gt;AT251,"Überbestand "&amp;ROUND(H251-AT251,0)&amp;" Stk / CHF "&amp;ROUND((H251-AT251)*G251,0)&amp;"; ","")&amp;IF(AND(CE251=1,CF251&lt;CG251),"MAX &lt; MB+LG; ","")&amp;IF(AND(CK251&gt;0,CJ251*10&gt;CK251),"zu hoch für Tablar; ","")&amp;IF(AND(BS251=0,OR(CE251=1,AA251&lt;&gt;"",U251&lt;&gt;"",V251&lt;&gt;"",AB251&lt;&gt;"")),"manuell übersteuert; ","")&amp;IF(AND(BW251=0,R251=0),"Gebinde unbekannt / Stellmass fehlt; ","")&amp;IF(AND(BW251=0,N(V251)&lt;=0,N(Q251)&lt;=0),"Menge pro Gebinde fehlt (Ist = 1 Gebinde); ","")&amp;BR251)</f>
        <v>Kein Verbrauch; Gebinde geschätzt (Gross); Menge pro Gebinde fehlt (Ist = 1 Gebinde); </v>
      </c>
      <c r="BK251" s="48"/>
      <c r="BL251" s="48"/>
      <c r="BM251" s="55"/>
      <c r="BN251" s="50" t="n">
        <v>15</v>
      </c>
      <c r="BO251" s="50" t="n">
        <v>0</v>
      </c>
      <c r="BP251" s="49" t="n">
        <v>494.7</v>
      </c>
      <c r="BQ251" s="50" t="n">
        <v>0</v>
      </c>
      <c r="BR251" s="48"/>
      <c r="BS251" s="53" t="n">
        <v>0</v>
      </c>
      <c r="BT251" s="53" t="n">
        <v>251</v>
      </c>
      <c r="BU251" s="48" t="str">
        <f aca="false">IF(U251&lt;&gt;"",UPPER(TRIM(U251)),IF(BX251=1,UPPER(VLOOKUP(T251,Parameter!$I$27:$K$29,2,0)),IF(P251="","LOSE",P251)))</f>
        <v>S81</v>
      </c>
      <c r="BV251" s="50" t="n">
        <f aca="false">IF(BU251="LOSE",1,IF(N(V251)&gt;0,V251,IF(BX251=1,MAX(1,N(VLOOKUP(T251,Parameter!$I$27:$K$29,3,0)),H251,N(N251)),IF(N(Q251)&gt;0,Q251,MAX(1,H251)))))</f>
        <v>15</v>
      </c>
      <c r="BW251" s="53" t="n">
        <f aca="false">IF(BU251="LOSE",1,0)</f>
        <v>0</v>
      </c>
      <c r="BX251" s="53" t="n">
        <f aca="false">IF(AND(U251="",OR(P251="",P251="LOSE"),T251&lt;&gt;"",N(S251)&lt;=0,ISNUMBER(MATCH(T251,Parameter!$I$27:$I$29,0))),1,0)</f>
        <v>1</v>
      </c>
      <c r="BY251" s="53" t="n">
        <f aca="false">IF(CL251&gt;0,INDEX(Parameter!$H$5:$H$7,W251)/INDEX(Parameter!$E$5:$E$7,W251),IF(AND(BW251=0,N(IFERROR(VLOOKUP(BU251,'Gebinde-Kategorie'!$A$5:$N$45,14,0),0))&gt;0),VLOOKUP(BU251,'Gebinde-Kategorie'!$A$5:$N$45,14,0)*10+Parameter!$M$23,Parameter!$M$24))</f>
        <v>235</v>
      </c>
      <c r="BZ251" s="48" t="str">
        <f aca="false">IF(AND(Parameter!$B$19="Ja",E251&lt;&gt;"",ISNUMBER(MATCH(E251,Parameter!$I$35:$I$52,0))),VLOOKUP(E251,Parameter!$I$35:$J$52,2,0),IFERROR(VLOOKUP(D251,Parameter!$A$35:$C$64,2,0),"Nein"))</f>
        <v>2+3</v>
      </c>
      <c r="CA251" s="52" t="n">
        <f aca="false">IF(BW251=0,0,IF(N(S251)&gt;0,S251,IFERROR(VLOOKUP(D251,Parameter!$A$35:$C$64,3,0)+0,0)))</f>
        <v>0</v>
      </c>
      <c r="CB251" s="48" t="n">
        <f aca="false">IF(AA251&lt;&gt;"",AA251,Z251)</f>
        <v>2</v>
      </c>
      <c r="CC251" s="48" t="str">
        <f aca="false">IF(OR(CB251=1,CB251=2,CB251=3),IF(Parameter!$E$27="Ja","LIFT",IF(CB251=1,"L1","L23")),IF(CB251="Aussen","Aussen","-"))</f>
        <v>LIFT</v>
      </c>
      <c r="CD251" s="59" t="n">
        <f aca="false">IF(N(AB251)&gt;0,AB251,0)</f>
        <v>0</v>
      </c>
      <c r="CE251" s="53" t="n">
        <f aca="false">IF(ISNUMBER(AE251),1,0)</f>
        <v>0</v>
      </c>
      <c r="CF251" s="50" t="n">
        <f aca="false">N(AE251)</f>
        <v>0</v>
      </c>
      <c r="CG251" s="50" t="n">
        <f aca="false">N(M251)+N(N251)</f>
        <v>1</v>
      </c>
      <c r="CH251" s="50" t="n">
        <f aca="false">ROUNDUP(H251/BV251,0)</f>
        <v>1</v>
      </c>
      <c r="CI251" s="50" t="n">
        <f aca="false">ROUNDUP(CF251/BV251,0)</f>
        <v>0</v>
      </c>
      <c r="CJ251" s="53" t="n">
        <f aca="false">IF(BW251=1,0,IFERROR(VLOOKUP(BU251,'Gebinde-Kategorie'!$A$5:$N$45,5,0)+0,0))</f>
        <v>20</v>
      </c>
      <c r="CK251" s="53" t="n">
        <f aca="false">IFERROR(IF(OR(CB251=1,CB251=2,CB251=3),N(INDEX(Parameter!$I$5:$I$7,CB251)),0),0)</f>
        <v>0</v>
      </c>
      <c r="CL251" s="52" t="n">
        <f aca="false">IF(AND(Parameter!$B$21="Ja",ISNUMBER(W251),N(X251)&gt;0),IFERROR(N(INDEX(Parameter!$L$5:$L$7,W251))*INDEX(Parameter!$E$5:$E$7,W251)*X251/SUMIFS($X$7:$X$1843,$W$7:$W$1843,W251),0),0)</f>
        <v>0</v>
      </c>
    </row>
    <row r="252" customFormat="false" ht="15" hidden="false" customHeight="false" outlineLevel="0" collapsed="false">
      <c r="A252" s="48" t="s">
        <v>691</v>
      </c>
      <c r="B252" s="48" t="s">
        <v>692</v>
      </c>
      <c r="C252" s="48" t="s">
        <v>168</v>
      </c>
      <c r="D252" s="48" t="s">
        <v>188</v>
      </c>
      <c r="E252" s="48" t="s">
        <v>189</v>
      </c>
      <c r="F252" s="48" t="s">
        <v>222</v>
      </c>
      <c r="G252" s="49" t="n">
        <v>11.85</v>
      </c>
      <c r="H252" s="50" t="n">
        <f aca="false">MAX(0,IF(AND(Parameter!$B$21="Ja",ISNUMBER(Y252)),Y252,IF(Parameter!$B$20="Jahresanfang 2025 + Export",BO252+BN252,BN252)))</f>
        <v>69</v>
      </c>
      <c r="I252" s="50" t="n">
        <f aca="false">H252*G252</f>
        <v>817.65</v>
      </c>
      <c r="J252" s="50" t="n">
        <f aca="false">BQ252*Parameter!$B$18</f>
        <v>72</v>
      </c>
      <c r="K252" s="51" t="n">
        <v>28</v>
      </c>
      <c r="L252" s="52" t="n">
        <v>2.57142857142857</v>
      </c>
      <c r="M252" s="50" t="n">
        <v>5</v>
      </c>
      <c r="N252" s="50" t="n">
        <v>70</v>
      </c>
      <c r="O252" s="53" t="n">
        <v>28</v>
      </c>
      <c r="P252" s="48" t="s">
        <v>306</v>
      </c>
      <c r="Q252" s="50" t="n">
        <v>25</v>
      </c>
      <c r="R252" s="53" t="n">
        <f aca="false">IF(BW252=1,0,IFERROR(VLOOKUP(BU252,'Gebinde-Kategorie'!$A$5:$N$45,13,0)+0,0))</f>
        <v>26</v>
      </c>
      <c r="S252" s="54"/>
      <c r="T252" s="55"/>
      <c r="U252" s="55"/>
      <c r="V252" s="55"/>
      <c r="W252" s="48"/>
      <c r="X252" s="50"/>
      <c r="Y252" s="50"/>
      <c r="Z252" s="48" t="n">
        <f aca="false">IF(A252="","",IF(AND(Parameter!$B$21="Ja",ISNUMBER(W252)),W252,IF(BZ252="2+3",IF(ISNUMBER(SEARCH("grosser Artikel",BR252)),2,IFERROR(VLOOKUP(BU252,Parameter!$F$35:$G$64,2,0),2)),IF(OR(BZ252="Nein",BZ252=""),"-",BZ252))))</f>
        <v>3</v>
      </c>
      <c r="AA252" s="55"/>
      <c r="AB252" s="56"/>
      <c r="AC252" s="50" t="n">
        <f aca="false">AT252</f>
        <v>75</v>
      </c>
      <c r="AD252" s="50" t="n">
        <f aca="false">MAX(AT252,H252)</f>
        <v>75</v>
      </c>
      <c r="AE252" s="57"/>
      <c r="AF252" s="50" t="n">
        <f aca="false">IF(LEFT(Cockpit!$C$5,1)="A",H252,IF(CE252=1,CF252,IF(LEFT(Cockpit!$C$5,1)="B",AK252,MAX(AK252,H252))))</f>
        <v>69</v>
      </c>
      <c r="AG252" s="50" t="n">
        <f aca="false">IF(BW252=1,0,ROUNDUP(AF252/BV252,0))</f>
        <v>3</v>
      </c>
      <c r="AH252" s="52" t="n">
        <f aca="false">IF(CL252&gt;0,CL252*MAX(1,AF252/X252),IF(BW252=1,IF(AF252&lt;=0,0,CA252*MAX(1,IF(H252&gt;0,AF252/H252,1))),IF(R252&gt;0,AG252/R252,0))/MAX(0.1,N(Parameter!$M$21)))</f>
        <v>0.115384615384615</v>
      </c>
      <c r="AI252" s="50" t="n">
        <f aca="false">AH252*BY252</f>
        <v>17.8846153846154</v>
      </c>
      <c r="AJ252" s="50" t="n">
        <f aca="false">AF252*G252</f>
        <v>817.65</v>
      </c>
      <c r="AK252" s="50" t="n">
        <f aca="false">ROUNDUP(MAX(J252/IF(CD252&gt;0,CD252,MAX(0.1,N(Cockpit!$C$6))),CG252)/BV252,0)*BV252</f>
        <v>75</v>
      </c>
      <c r="AL252" s="51" t="n">
        <f aca="false">IF(AI252&gt;0,J252/AI252,-1)</f>
        <v>4.0258064516129</v>
      </c>
      <c r="AM252" s="51" t="n">
        <f aca="false">IF(AND(OR(CC252="L1",CC252="L23",CC252="LIFT"),AI252&gt;0),SUMIFS($AI$7:$AI$1843,$CC$7:$CC$1843,CC252,$AL$7:$AL$1843,"&gt;"&amp;AL252)+SUMIFS($AI$7:$AI$1843,$CC$7:$CC$1843,CC252,$AL$7:$AL$1843,AL252,$BT$7:$BT$1843,"&lt;="&amp;BT252),"")</f>
        <v>4334.84294871795</v>
      </c>
      <c r="AN252" s="58" t="n">
        <f aca="false">IF(AM252="",0,MAX(0,MIN(1,(IF(CC252="L1",Parameter!$H$5,IF(CC252="L23",Parameter!$H$6+Parameter!$H$7,Parameter!$H$5+Parameter!$H$6+Parameter!$H$7))-(AM252-AI252))/AI252)))</f>
        <v>1</v>
      </c>
      <c r="AO252" s="50" t="n">
        <f aca="false">IF(LEFT(Cockpit!$I$5,1)="A",H252,IF(CE252=1,CF252,IF(LEFT(Cockpit!$I$5,1)="B",AT252,MAX(AT252,H252))))</f>
        <v>75</v>
      </c>
      <c r="AP252" s="50" t="n">
        <f aca="false">IF(BW252=1,0,ROUNDUP(AO252/BV252,0))</f>
        <v>3</v>
      </c>
      <c r="AQ252" s="52" t="n">
        <f aca="false">IF(CL252&gt;0,CL252*MAX(1,AO252/X252),IF(BW252=1,IF(AO252&lt;=0,0,CA252*MAX(1,IF(H252&gt;0,AO252/H252,1))),IF(R252&gt;0,AP252/R252,0))/MAX(0.1,N(Parameter!$M$21)))</f>
        <v>0.115384615384615</v>
      </c>
      <c r="AR252" s="50" t="n">
        <f aca="false">AQ252*BY252</f>
        <v>17.8846153846154</v>
      </c>
      <c r="AS252" s="50" t="n">
        <f aca="false">AO252*G252</f>
        <v>888.75</v>
      </c>
      <c r="AT252" s="50" t="n">
        <f aca="false">ROUNDUP(MAX(J252/IF(CD252&gt;0,CD252,MAX(0.1,N(Cockpit!$I$6))),CG252)/BV252,0)*BV252</f>
        <v>75</v>
      </c>
      <c r="AU252" s="51" t="n">
        <f aca="false">IF(AR252&gt;0,J252/AR252,-1)</f>
        <v>4.0258064516129</v>
      </c>
      <c r="AV252" s="51" t="n">
        <f aca="false">IF(AND(OR(CC252="L1",CC252="L23",CC252="LIFT"),AR252&gt;0),SUMIFS($AR$7:$AR$1843,$CC$7:$CC$1843,CC252,$AU$7:$AU$1843,"&gt;"&amp;AU252)+SUMIFS($AR$7:$AR$1843,$CC$7:$CC$1843,CC252,$AU$7:$AU$1843,AU252,$BT$7:$BT$1843,"&lt;="&amp;BT252),"")</f>
        <v>5566.95100732601</v>
      </c>
      <c r="AW252" s="58" t="n">
        <f aca="false">IF(AV252="",0,MAX(0,MIN(1,(IF(CC252="L1",Parameter!$H$5,IF(CC252="L23",Parameter!$H$6+Parameter!$H$7,Parameter!$H$5+Parameter!$H$6+Parameter!$H$7))-(AV252-AR252))/AR252)))</f>
        <v>1</v>
      </c>
      <c r="AX252" s="50" t="n">
        <f aca="false">IF(LEFT(Cockpit!$O$5,1)="A",H252,IF(CE252=1,CF252,IF(LEFT(Cockpit!$O$5,1)="B",BC252,MAX(BC252,H252))))</f>
        <v>75</v>
      </c>
      <c r="AY252" s="50" t="n">
        <f aca="false">IF(BW252=1,0,ROUNDUP(AX252/BV252,0))</f>
        <v>3</v>
      </c>
      <c r="AZ252" s="52" t="n">
        <f aca="false">IF(CL252&gt;0,CL252*MAX(1,AX252/X252),IF(BW252=1,IF(AX252&lt;=0,0,CA252*MAX(1,IF(H252&gt;0,AX252/H252,1))),IF(R252&gt;0,AY252/R252,0))/MAX(0.1,N(Parameter!$M$21)))</f>
        <v>0.115384615384615</v>
      </c>
      <c r="BA252" s="50" t="n">
        <f aca="false">AZ252*BY252</f>
        <v>17.8846153846154</v>
      </c>
      <c r="BB252" s="50" t="n">
        <f aca="false">AX252*G252</f>
        <v>888.75</v>
      </c>
      <c r="BC252" s="50" t="n">
        <f aca="false">ROUNDUP(MAX(J252/IF(CD252&gt;0,CD252,MAX(0.1,N(Cockpit!$O$6))),CG252)/BV252,0)*BV252</f>
        <v>75</v>
      </c>
      <c r="BD252" s="51" t="n">
        <f aca="false">IF(BA252&gt;0,J252/BA252,-1)</f>
        <v>4.0258064516129</v>
      </c>
      <c r="BE252" s="51" t="n">
        <f aca="false">IF(AND(OR(CC252="L1",CC252="L23",CC252="LIFT"),BA252&gt;0),SUMIFS($BA$7:$BA$1843,$CC$7:$CC$1843,CC252,$BD$7:$BD$1843,"&gt;"&amp;BD252)+SUMIFS($BA$7:$BA$1843,$CC$7:$CC$1843,CC252,$BD$7:$BD$1843,BD252,$BT$7:$BT$1843,"&lt;="&amp;BT252),"")</f>
        <v>5254.8195970696</v>
      </c>
      <c r="BF252" s="58" t="n">
        <f aca="false">IF(BE252="",0,MAX(0,MIN(1,(IF(CC252="L1",Parameter!$H$5,IF(CC252="L23",Parameter!$H$6+Parameter!$H$7,Parameter!$H$5+Parameter!$H$6+Parameter!$H$7))-(BE252-BA252))/BA252)))</f>
        <v>1</v>
      </c>
      <c r="BG252" s="48" t="str">
        <f aca="false">IF(AI252&lt;=0,"",IF(CC252="Aussen","Aussenlager",IF(CC252="-","Nicht im Lift",IF(AN252&gt;=1,"Lift",IF(AN252&lt;=0,"Aussenlager","teilweise")))))</f>
        <v>Lift</v>
      </c>
      <c r="BH252" s="48" t="str">
        <f aca="false">IF(AR252&lt;=0,"",IF(CC252="Aussen","Aussenlager",IF(CC252="-","Nicht im Lift",IF(AW252&gt;=1,"Lift",IF(AW252&lt;=0,"Aussenlager","teilweise")))))</f>
        <v>Lift</v>
      </c>
      <c r="BI252" s="48" t="str">
        <f aca="false">IF(BA252&lt;=0,"",IF(CC252="Aussen","Aussenlager",IF(CC252="-","Nicht im Lift",IF(BF252&gt;=1,"Lift",IF(BF252&lt;=0,"Aussenlager","teilweise")))))</f>
        <v>Lift</v>
      </c>
      <c r="BJ252" s="48" t="str">
        <f aca="false">IF(A252="","",IF(BS252=1,"Neu; ","")&amp;IF(AND(BS252=0,BN252&lt;0),"negativer Bestand (Export "&amp;BN252&amp;"); ","")&amp;IF(J252&lt;=0,"Kein Verbrauch; ","")&amp;IF(CL252&gt;0,"Lift "&amp;W252&amp;" lt. Liftbericht (Fach "&amp;X252&amp;" Stk); ",IF(BX252=1,"Gebinde geschätzt ("&amp;T252&amp;"); ",IF(BW252=1,"Lose – Tablare geschätzt; ","")))&amp;IF(H252&gt;AT252,"Überbestand "&amp;ROUND(H252-AT252,0)&amp;" Stk / CHF "&amp;ROUND((H252-AT252)*G252,0)&amp;"; ","")&amp;IF(AND(CE252=1,CF252&lt;CG252),"MAX &lt; MB+LG; ","")&amp;IF(AND(CK252&gt;0,CJ252*10&gt;CK252),"zu hoch für Tablar; ","")&amp;IF(AND(BS252=0,OR(CE252=1,AA252&lt;&gt;"",U252&lt;&gt;"",V252&lt;&gt;"",AB252&lt;&gt;"")),"manuell übersteuert; ","")&amp;IF(AND(BW252=0,R252=0),"Gebinde unbekannt / Stellmass fehlt; ","")&amp;IF(AND(BW252=0,N(V252)&lt;=0,N(Q252)&lt;=0),"Menge pro Gebinde fehlt (Ist = 1 Gebinde); ","")&amp;BR252)</f>
        <v/>
      </c>
      <c r="BK252" s="48"/>
      <c r="BL252" s="48"/>
      <c r="BM252" s="55"/>
      <c r="BN252" s="50" t="n">
        <v>45</v>
      </c>
      <c r="BO252" s="50" t="n">
        <v>24</v>
      </c>
      <c r="BP252" s="49" t="n">
        <v>492.929999999998</v>
      </c>
      <c r="BQ252" s="50" t="n">
        <v>72</v>
      </c>
      <c r="BR252" s="48"/>
      <c r="BS252" s="53" t="n">
        <v>0</v>
      </c>
      <c r="BT252" s="53" t="n">
        <v>252</v>
      </c>
      <c r="BU252" s="48" t="str">
        <f aca="false">IF(U252&lt;&gt;"",UPPER(TRIM(U252)),IF(BX252=1,UPPER(VLOOKUP(T252,Parameter!$I$27:$K$29,2,0)),IF(P252="","LOSE",P252)))</f>
        <v>S51</v>
      </c>
      <c r="BV252" s="50" t="n">
        <f aca="false">IF(BU252="LOSE",1,IF(N(V252)&gt;0,V252,IF(BX252=1,MAX(1,N(VLOOKUP(T252,Parameter!$I$27:$K$29,3,0)),H252,N(N252)),IF(N(Q252)&gt;0,Q252,MAX(1,H252)))))</f>
        <v>25</v>
      </c>
      <c r="BW252" s="53" t="n">
        <f aca="false">IF(BU252="LOSE",1,0)</f>
        <v>0</v>
      </c>
      <c r="BX252" s="53" t="n">
        <f aca="false">IF(AND(U252="",OR(P252="",P252="LOSE"),T252&lt;&gt;"",N(S252)&lt;=0,ISNUMBER(MATCH(T252,Parameter!$I$27:$I$29,0))),1,0)</f>
        <v>0</v>
      </c>
      <c r="BY252" s="53" t="n">
        <f aca="false">IF(CL252&gt;0,INDEX(Parameter!$H$5:$H$7,W252)/INDEX(Parameter!$E$5:$E$7,W252),IF(AND(BW252=0,N(IFERROR(VLOOKUP(BU252,'Gebinde-Kategorie'!$A$5:$N$45,14,0),0))&gt;0),VLOOKUP(BU252,'Gebinde-Kategorie'!$A$5:$N$45,14,0)*10+Parameter!$M$23,Parameter!$M$24))</f>
        <v>155</v>
      </c>
      <c r="BZ252" s="48" t="str">
        <f aca="false">IF(AND(Parameter!$B$19="Ja",E252&lt;&gt;"",ISNUMBER(MATCH(E252,Parameter!$I$35:$I$52,0))),VLOOKUP(E252,Parameter!$I$35:$J$52,2,0),IFERROR(VLOOKUP(D252,Parameter!$A$35:$C$64,2,0),"Nein"))</f>
        <v>2+3</v>
      </c>
      <c r="CA252" s="52" t="n">
        <f aca="false">IF(BW252=0,0,IF(N(S252)&gt;0,S252,IFERROR(VLOOKUP(D252,Parameter!$A$35:$C$64,3,0)+0,0)))</f>
        <v>0</v>
      </c>
      <c r="CB252" s="48" t="n">
        <f aca="false">IF(AA252&lt;&gt;"",AA252,Z252)</f>
        <v>3</v>
      </c>
      <c r="CC252" s="48" t="str">
        <f aca="false">IF(OR(CB252=1,CB252=2,CB252=3),IF(Parameter!$E$27="Ja","LIFT",IF(CB252=1,"L1","L23")),IF(CB252="Aussen","Aussen","-"))</f>
        <v>LIFT</v>
      </c>
      <c r="CD252" s="59" t="n">
        <f aca="false">IF(N(AB252)&gt;0,AB252,0)</f>
        <v>0</v>
      </c>
      <c r="CE252" s="53" t="n">
        <f aca="false">IF(ISNUMBER(AE252),1,0)</f>
        <v>0</v>
      </c>
      <c r="CF252" s="50" t="n">
        <f aca="false">N(AE252)</f>
        <v>0</v>
      </c>
      <c r="CG252" s="50" t="n">
        <f aca="false">N(M252)+N(N252)</f>
        <v>75</v>
      </c>
      <c r="CH252" s="50" t="n">
        <f aca="false">ROUNDUP(H252/BV252,0)</f>
        <v>3</v>
      </c>
      <c r="CI252" s="50" t="n">
        <f aca="false">ROUNDUP(CF252/BV252,0)</f>
        <v>0</v>
      </c>
      <c r="CJ252" s="53" t="n">
        <f aca="false">IF(BW252=1,0,IFERROR(VLOOKUP(BU252,'Gebinde-Kategorie'!$A$5:$N$45,5,0)+0,0))</f>
        <v>11</v>
      </c>
      <c r="CK252" s="53" t="n">
        <f aca="false">IFERROR(IF(OR(CB252=1,CB252=2,CB252=3),N(INDEX(Parameter!$I$5:$I$7,CB252)),0),0)</f>
        <v>0</v>
      </c>
      <c r="CL252" s="52" t="n">
        <f aca="false">IF(AND(Parameter!$B$21="Ja",ISNUMBER(W252),N(X252)&gt;0),IFERROR(N(INDEX(Parameter!$L$5:$L$7,W252))*INDEX(Parameter!$E$5:$E$7,W252)*X252/SUMIFS($X$7:$X$1843,$W$7:$W$1843,W252),0),0)</f>
        <v>0</v>
      </c>
    </row>
    <row r="253" customFormat="false" ht="15" hidden="false" customHeight="false" outlineLevel="0" collapsed="false">
      <c r="A253" s="48" t="s">
        <v>693</v>
      </c>
      <c r="B253" s="48" t="s">
        <v>694</v>
      </c>
      <c r="C253" s="48" t="s">
        <v>168</v>
      </c>
      <c r="D253" s="48" t="s">
        <v>177</v>
      </c>
      <c r="E253" s="48"/>
      <c r="F253" s="48" t="s">
        <v>222</v>
      </c>
      <c r="G253" s="49" t="n">
        <v>32.33</v>
      </c>
      <c r="H253" s="50" t="n">
        <f aca="false">MAX(0,IF(AND(Parameter!$B$21="Ja",ISNUMBER(Y253)),Y253,IF(Parameter!$B$20="Jahresanfang 2025 + Export",BO253+BN253,BN253)))</f>
        <v>15</v>
      </c>
      <c r="I253" s="50" t="n">
        <f aca="false">H253*G253</f>
        <v>484.95</v>
      </c>
      <c r="J253" s="50" t="n">
        <f aca="false">BQ253*Parameter!$B$18</f>
        <v>0</v>
      </c>
      <c r="K253" s="51" t="n">
        <v>0</v>
      </c>
      <c r="L253" s="52" t="n">
        <v>0</v>
      </c>
      <c r="M253" s="50" t="n">
        <v>0</v>
      </c>
      <c r="N253" s="50" t="n">
        <v>1</v>
      </c>
      <c r="O253" s="53" t="n">
        <v>9999</v>
      </c>
      <c r="P253" s="48" t="s">
        <v>172</v>
      </c>
      <c r="Q253" s="50"/>
      <c r="R253" s="53" t="n">
        <f aca="false">IF(BW253=1,0,IFERROR(VLOOKUP(BU253,'Gebinde-Kategorie'!$A$5:$N$45,13,0)+0,0))</f>
        <v>12</v>
      </c>
      <c r="S253" s="54"/>
      <c r="T253" s="55" t="s">
        <v>183</v>
      </c>
      <c r="U253" s="55"/>
      <c r="V253" s="55"/>
      <c r="W253" s="48"/>
      <c r="X253" s="50"/>
      <c r="Y253" s="50"/>
      <c r="Z253" s="48" t="n">
        <f aca="false">IF(A253="","",IF(AND(Parameter!$B$21="Ja",ISNUMBER(W253)),W253,IF(BZ253="2+3",IF(ISNUMBER(SEARCH("grosser Artikel",BR253)),2,IFERROR(VLOOKUP(BU253,Parameter!$F$35:$G$64,2,0),2)),IF(OR(BZ253="Nein",BZ253=""),"-",BZ253))))</f>
        <v>2</v>
      </c>
      <c r="AA253" s="55"/>
      <c r="AB253" s="56"/>
      <c r="AC253" s="50" t="n">
        <f aca="false">AT253</f>
        <v>15</v>
      </c>
      <c r="AD253" s="50" t="n">
        <f aca="false">MAX(AT253,H253)</f>
        <v>15</v>
      </c>
      <c r="AE253" s="57"/>
      <c r="AF253" s="50" t="n">
        <f aca="false">IF(LEFT(Cockpit!$C$5,1)="A",H253,IF(CE253=1,CF253,IF(LEFT(Cockpit!$C$5,1)="B",AK253,MAX(AK253,H253))))</f>
        <v>15</v>
      </c>
      <c r="AG253" s="50" t="n">
        <f aca="false">IF(BW253=1,0,ROUNDUP(AF253/BV253,0))</f>
        <v>1</v>
      </c>
      <c r="AH253" s="52" t="n">
        <f aca="false">IF(CL253&gt;0,CL253*MAX(1,AF253/X253),IF(BW253=1,IF(AF253&lt;=0,0,CA253*MAX(1,IF(H253&gt;0,AF253/H253,1))),IF(R253&gt;0,AG253/R253,0))/MAX(0.1,N(Parameter!$M$21)))</f>
        <v>0.0833333333333333</v>
      </c>
      <c r="AI253" s="50" t="n">
        <f aca="false">AH253*BY253</f>
        <v>12.0833333333333</v>
      </c>
      <c r="AJ253" s="50" t="n">
        <f aca="false">AF253*G253</f>
        <v>484.95</v>
      </c>
      <c r="AK253" s="50" t="n">
        <f aca="false">ROUNDUP(MAX(J253/IF(CD253&gt;0,CD253,MAX(0.1,N(Cockpit!$C$6))),CG253)/BV253,0)*BV253</f>
        <v>15</v>
      </c>
      <c r="AL253" s="51" t="n">
        <f aca="false">IF(AI253&gt;0,J253/AI253,-1)</f>
        <v>0</v>
      </c>
      <c r="AM253" s="51" t="n">
        <f aca="false">IF(AND(OR(CC253="L1",CC253="L23",CC253="LIFT"),AI253&gt;0),SUMIFS($AI$7:$AI$1843,$CC$7:$CC$1843,CC253,$AL$7:$AL$1843,"&gt;"&amp;AL253)+SUMIFS($AI$7:$AI$1843,$CC$7:$CC$1843,CC253,$AL$7:$AL$1843,AL253,$BT$7:$BT$1843,"&lt;="&amp;BT253),"")</f>
        <v>27751.1004428716</v>
      </c>
      <c r="AN253" s="58" t="n">
        <f aca="false">IF(AM253="",0,MAX(0,MIN(1,(IF(CC253="L1",Parameter!$H$5,IF(CC253="L23",Parameter!$H$6+Parameter!$H$7,Parameter!$H$5+Parameter!$H$6+Parameter!$H$7))-(AM253-AI253))/AI253)))</f>
        <v>1</v>
      </c>
      <c r="AO253" s="50" t="n">
        <f aca="false">IF(LEFT(Cockpit!$I$5,1)="A",H253,IF(CE253=1,CF253,IF(LEFT(Cockpit!$I$5,1)="B",AT253,MAX(AT253,H253))))</f>
        <v>15</v>
      </c>
      <c r="AP253" s="50" t="n">
        <f aca="false">IF(BW253=1,0,ROUNDUP(AO253/BV253,0))</f>
        <v>1</v>
      </c>
      <c r="AQ253" s="52" t="n">
        <f aca="false">IF(CL253&gt;0,CL253*MAX(1,AO253/X253),IF(BW253=1,IF(AO253&lt;=0,0,CA253*MAX(1,IF(H253&gt;0,AO253/H253,1))),IF(R253&gt;0,AP253/R253,0))/MAX(0.1,N(Parameter!$M$21)))</f>
        <v>0.0833333333333333</v>
      </c>
      <c r="AR253" s="50" t="n">
        <f aca="false">AQ253*BY253</f>
        <v>12.0833333333333</v>
      </c>
      <c r="AS253" s="50" t="n">
        <f aca="false">AO253*G253</f>
        <v>484.95</v>
      </c>
      <c r="AT253" s="50" t="n">
        <f aca="false">ROUNDUP(MAX(J253/IF(CD253&gt;0,CD253,MAX(0.1,N(Cockpit!$I$6))),CG253)/BV253,0)*BV253</f>
        <v>15</v>
      </c>
      <c r="AU253" s="51" t="n">
        <f aca="false">IF(AR253&gt;0,J253/AR253,-1)</f>
        <v>0</v>
      </c>
      <c r="AV253" s="51" t="n">
        <f aca="false">IF(AND(OR(CC253="L1",CC253="L23",CC253="LIFT"),AR253&gt;0),SUMIFS($AR$7:$AR$1843,$CC$7:$CC$1843,CC253,$AU$7:$AU$1843,"&gt;"&amp;AU253)+SUMIFS($AR$7:$AR$1843,$CC$7:$CC$1843,CC253,$AU$7:$AU$1843,AU253,$BT$7:$BT$1843,"&lt;="&amp;BT253),"")</f>
        <v>39064.0059601416</v>
      </c>
      <c r="AW253" s="58" t="n">
        <f aca="false">IF(AV253="",0,MAX(0,MIN(1,(IF(CC253="L1",Parameter!$H$5,IF(CC253="L23",Parameter!$H$6+Parameter!$H$7,Parameter!$H$5+Parameter!$H$6+Parameter!$H$7))-(AV253-AR253))/AR253)))</f>
        <v>0</v>
      </c>
      <c r="AX253" s="50" t="n">
        <f aca="false">IF(LEFT(Cockpit!$O$5,1)="A",H253,IF(CE253=1,CF253,IF(LEFT(Cockpit!$O$5,1)="B",BC253,MAX(BC253,H253))))</f>
        <v>15</v>
      </c>
      <c r="AY253" s="50" t="n">
        <f aca="false">IF(BW253=1,0,ROUNDUP(AX253/BV253,0))</f>
        <v>1</v>
      </c>
      <c r="AZ253" s="52" t="n">
        <f aca="false">IF(CL253&gt;0,CL253*MAX(1,AX253/X253),IF(BW253=1,IF(AX253&lt;=0,0,CA253*MAX(1,IF(H253&gt;0,AX253/H253,1))),IF(R253&gt;0,AY253/R253,0))/MAX(0.1,N(Parameter!$M$21)))</f>
        <v>0.0833333333333333</v>
      </c>
      <c r="BA253" s="50" t="n">
        <f aca="false">AZ253*BY253</f>
        <v>12.0833333333333</v>
      </c>
      <c r="BB253" s="50" t="n">
        <f aca="false">AX253*G253</f>
        <v>484.95</v>
      </c>
      <c r="BC253" s="50" t="n">
        <f aca="false">ROUNDUP(MAX(J253/IF(CD253&gt;0,CD253,MAX(0.1,N(Cockpit!$O$6))),CG253)/BV253,0)*BV253</f>
        <v>15</v>
      </c>
      <c r="BD253" s="51" t="n">
        <f aca="false">IF(BA253&gt;0,J253/BA253,-1)</f>
        <v>0</v>
      </c>
      <c r="BE253" s="51" t="n">
        <f aca="false">IF(AND(OR(CC253="L1",CC253="L23",CC253="LIFT"),BA253&gt;0),SUMIFS($BA$7:$BA$1843,$CC$7:$CC$1843,CC253,$BD$7:$BD$1843,"&gt;"&amp;BD253)+SUMIFS($BA$7:$BA$1843,$CC$7:$CC$1843,CC253,$BD$7:$BD$1843,BD253,$BT$7:$BT$1843,"&lt;="&amp;BT253),"")</f>
        <v>35739.0180020074</v>
      </c>
      <c r="BF253" s="58" t="n">
        <f aca="false">IF(BE253="",0,MAX(0,MIN(1,(IF(CC253="L1",Parameter!$H$5,IF(CC253="L23",Parameter!$H$6+Parameter!$H$7,Parameter!$H$5+Parameter!$H$6+Parameter!$H$7))-(BE253-BA253))/BA253)))</f>
        <v>0</v>
      </c>
      <c r="BG253" s="48" t="str">
        <f aca="false">IF(AI253&lt;=0,"",IF(CC253="Aussen","Aussenlager",IF(CC253="-","Nicht im Lift",IF(AN253&gt;=1,"Lift",IF(AN253&lt;=0,"Aussenlager","teilweise")))))</f>
        <v>Lift</v>
      </c>
      <c r="BH253" s="48" t="str">
        <f aca="false">IF(AR253&lt;=0,"",IF(CC253="Aussen","Aussenlager",IF(CC253="-","Nicht im Lift",IF(AW253&gt;=1,"Lift",IF(AW253&lt;=0,"Aussenlager","teilweise")))))</f>
        <v>Aussenlager</v>
      </c>
      <c r="BI253" s="48" t="str">
        <f aca="false">IF(BA253&lt;=0,"",IF(CC253="Aussen","Aussenlager",IF(CC253="-","Nicht im Lift",IF(BF253&gt;=1,"Lift",IF(BF253&lt;=0,"Aussenlager","teilweise")))))</f>
        <v>Aussenlager</v>
      </c>
      <c r="BJ253" s="48" t="str">
        <f aca="false">IF(A253="","",IF(BS253=1,"Neu; ","")&amp;IF(AND(BS253=0,BN253&lt;0),"negativer Bestand (Export "&amp;BN253&amp;"); ","")&amp;IF(J253&lt;=0,"Kein Verbrauch; ","")&amp;IF(CL253&gt;0,"Lift "&amp;W253&amp;" lt. Liftbericht (Fach "&amp;X253&amp;" Stk); ",IF(BX253=1,"Gebinde geschätzt ("&amp;T253&amp;"); ",IF(BW253=1,"Lose – Tablare geschätzt; ","")))&amp;IF(H253&gt;AT253,"Überbestand "&amp;ROUND(H253-AT253,0)&amp;" Stk / CHF "&amp;ROUND((H253-AT253)*G253,0)&amp;"; ","")&amp;IF(AND(CE253=1,CF253&lt;CG253),"MAX &lt; MB+LG; ","")&amp;IF(AND(CK253&gt;0,CJ253*10&gt;CK253),"zu hoch für Tablar; ","")&amp;IF(AND(BS253=0,OR(CE253=1,AA253&lt;&gt;"",U253&lt;&gt;"",V253&lt;&gt;"",AB253&lt;&gt;"")),"manuell übersteuert; ","")&amp;IF(AND(BW253=0,R253=0),"Gebinde unbekannt / Stellmass fehlt; ","")&amp;IF(AND(BW253=0,N(V253)&lt;=0,N(Q253)&lt;=0),"Menge pro Gebinde fehlt (Ist = 1 Gebinde); ","")&amp;BR253)</f>
        <v>Kein Verbrauch; Gebinde geschätzt (Mittel); Menge pro Gebinde fehlt (Ist = 1 Gebinde); </v>
      </c>
      <c r="BK253" s="48"/>
      <c r="BL253" s="48"/>
      <c r="BM253" s="55"/>
      <c r="BN253" s="50" t="n">
        <v>15</v>
      </c>
      <c r="BO253" s="50" t="n">
        <v>0</v>
      </c>
      <c r="BP253" s="49" t="n">
        <v>484.95</v>
      </c>
      <c r="BQ253" s="50" t="n">
        <v>0</v>
      </c>
      <c r="BR253" s="48"/>
      <c r="BS253" s="53" t="n">
        <v>0</v>
      </c>
      <c r="BT253" s="53" t="n">
        <v>253</v>
      </c>
      <c r="BU253" s="48" t="str">
        <f aca="false">IF(U253&lt;&gt;"",UPPER(TRIM(U253)),IF(BX253=1,UPPER(VLOOKUP(T253,Parameter!$I$27:$K$29,2,0)),IF(P253="","LOSE",P253)))</f>
        <v>S61</v>
      </c>
      <c r="BV253" s="50" t="n">
        <f aca="false">IF(BU253="LOSE",1,IF(N(V253)&gt;0,V253,IF(BX253=1,MAX(1,N(VLOOKUP(T253,Parameter!$I$27:$K$29,3,0)),H253,N(N253)),IF(N(Q253)&gt;0,Q253,MAX(1,H253)))))</f>
        <v>15</v>
      </c>
      <c r="BW253" s="53" t="n">
        <f aca="false">IF(BU253="LOSE",1,0)</f>
        <v>0</v>
      </c>
      <c r="BX253" s="53" t="n">
        <f aca="false">IF(AND(U253="",OR(P253="",P253="LOSE"),T253&lt;&gt;"",N(S253)&lt;=0,ISNUMBER(MATCH(T253,Parameter!$I$27:$I$29,0))),1,0)</f>
        <v>1</v>
      </c>
      <c r="BY253" s="53" t="n">
        <f aca="false">IF(CL253&gt;0,INDEX(Parameter!$H$5:$H$7,W253)/INDEX(Parameter!$E$5:$E$7,W253),IF(AND(BW253=0,N(IFERROR(VLOOKUP(BU253,'Gebinde-Kategorie'!$A$5:$N$45,14,0),0))&gt;0),VLOOKUP(BU253,'Gebinde-Kategorie'!$A$5:$N$45,14,0)*10+Parameter!$M$23,Parameter!$M$24))</f>
        <v>145</v>
      </c>
      <c r="BZ253" s="48" t="str">
        <f aca="false">IF(AND(Parameter!$B$19="Ja",E253&lt;&gt;"",ISNUMBER(MATCH(E253,Parameter!$I$35:$I$52,0))),VLOOKUP(E253,Parameter!$I$35:$J$52,2,0),IFERROR(VLOOKUP(D253,Parameter!$A$35:$C$64,2,0),"Nein"))</f>
        <v>2+3</v>
      </c>
      <c r="CA253" s="52" t="n">
        <f aca="false">IF(BW253=0,0,IF(N(S253)&gt;0,S253,IFERROR(VLOOKUP(D253,Parameter!$A$35:$C$64,3,0)+0,0)))</f>
        <v>0</v>
      </c>
      <c r="CB253" s="48" t="n">
        <f aca="false">IF(AA253&lt;&gt;"",AA253,Z253)</f>
        <v>2</v>
      </c>
      <c r="CC253" s="48" t="str">
        <f aca="false">IF(OR(CB253=1,CB253=2,CB253=3),IF(Parameter!$E$27="Ja","LIFT",IF(CB253=1,"L1","L23")),IF(CB253="Aussen","Aussen","-"))</f>
        <v>LIFT</v>
      </c>
      <c r="CD253" s="59" t="n">
        <f aca="false">IF(N(AB253)&gt;0,AB253,0)</f>
        <v>0</v>
      </c>
      <c r="CE253" s="53" t="n">
        <f aca="false">IF(ISNUMBER(AE253),1,0)</f>
        <v>0</v>
      </c>
      <c r="CF253" s="50" t="n">
        <f aca="false">N(AE253)</f>
        <v>0</v>
      </c>
      <c r="CG253" s="50" t="n">
        <f aca="false">N(M253)+N(N253)</f>
        <v>1</v>
      </c>
      <c r="CH253" s="50" t="n">
        <f aca="false">ROUNDUP(H253/BV253,0)</f>
        <v>1</v>
      </c>
      <c r="CI253" s="50" t="n">
        <f aca="false">ROUNDUP(CF253/BV253,0)</f>
        <v>0</v>
      </c>
      <c r="CJ253" s="53" t="n">
        <f aca="false">IF(BW253=1,0,IFERROR(VLOOKUP(BU253,'Gebinde-Kategorie'!$A$5:$N$45,5,0)+0,0))</f>
        <v>11</v>
      </c>
      <c r="CK253" s="53" t="n">
        <f aca="false">IFERROR(IF(OR(CB253=1,CB253=2,CB253=3),N(INDEX(Parameter!$I$5:$I$7,CB253)),0),0)</f>
        <v>0</v>
      </c>
      <c r="CL253" s="52" t="n">
        <f aca="false">IF(AND(Parameter!$B$21="Ja",ISNUMBER(W253),N(X253)&gt;0),IFERROR(N(INDEX(Parameter!$L$5:$L$7,W253))*INDEX(Parameter!$E$5:$E$7,W253)*X253/SUMIFS($X$7:$X$1843,$W$7:$W$1843,W253),0),0)</f>
        <v>0</v>
      </c>
    </row>
    <row r="254" customFormat="false" ht="15" hidden="false" customHeight="false" outlineLevel="0" collapsed="false">
      <c r="A254" s="48" t="s">
        <v>695</v>
      </c>
      <c r="B254" s="48" t="s">
        <v>696</v>
      </c>
      <c r="C254" s="48" t="s">
        <v>168</v>
      </c>
      <c r="D254" s="48" t="s">
        <v>177</v>
      </c>
      <c r="E254" s="48"/>
      <c r="F254" s="48" t="s">
        <v>222</v>
      </c>
      <c r="G254" s="49" t="n">
        <v>118.62</v>
      </c>
      <c r="H254" s="50" t="n">
        <f aca="false">MAX(0,IF(AND(Parameter!$B$21="Ja",ISNUMBER(Y254)),Y254,IF(Parameter!$B$20="Jahresanfang 2025 + Export",BO254+BN254,BN254)))</f>
        <v>4</v>
      </c>
      <c r="I254" s="50" t="n">
        <f aca="false">H254*G254</f>
        <v>474.48</v>
      </c>
      <c r="J254" s="50" t="n">
        <f aca="false">BQ254*Parameter!$B$18</f>
        <v>2</v>
      </c>
      <c r="K254" s="51" t="n">
        <v>1.5</v>
      </c>
      <c r="L254" s="52" t="n">
        <v>1.33333333333333</v>
      </c>
      <c r="M254" s="50" t="n">
        <v>0</v>
      </c>
      <c r="N254" s="50" t="n">
        <v>1</v>
      </c>
      <c r="O254" s="53" t="n">
        <v>31</v>
      </c>
      <c r="P254" s="48" t="s">
        <v>172</v>
      </c>
      <c r="Q254" s="50"/>
      <c r="R254" s="53" t="n">
        <f aca="false">IF(BW254=1,0,IFERROR(VLOOKUP(BU254,'Gebinde-Kategorie'!$A$5:$N$45,13,0)+0,0))</f>
        <v>12</v>
      </c>
      <c r="S254" s="54"/>
      <c r="T254" s="55" t="s">
        <v>183</v>
      </c>
      <c r="U254" s="55"/>
      <c r="V254" s="55"/>
      <c r="W254" s="48"/>
      <c r="X254" s="50"/>
      <c r="Y254" s="50"/>
      <c r="Z254" s="48" t="n">
        <f aca="false">IF(A254="","",IF(AND(Parameter!$B$21="Ja",ISNUMBER(W254)),W254,IF(BZ254="2+3",IF(ISNUMBER(SEARCH("grosser Artikel",BR254)),2,IFERROR(VLOOKUP(BU254,Parameter!$F$35:$G$64,2,0),2)),IF(OR(BZ254="Nein",BZ254=""),"-",BZ254))))</f>
        <v>2</v>
      </c>
      <c r="AA254" s="55"/>
      <c r="AB254" s="56"/>
      <c r="AC254" s="50" t="n">
        <f aca="false">AT254</f>
        <v>4</v>
      </c>
      <c r="AD254" s="50" t="n">
        <f aca="false">MAX(AT254,H254)</f>
        <v>4</v>
      </c>
      <c r="AE254" s="57"/>
      <c r="AF254" s="50" t="n">
        <f aca="false">IF(LEFT(Cockpit!$C$5,1)="A",H254,IF(CE254=1,CF254,IF(LEFT(Cockpit!$C$5,1)="B",AK254,MAX(AK254,H254))))</f>
        <v>4</v>
      </c>
      <c r="AG254" s="50" t="n">
        <f aca="false">IF(BW254=1,0,ROUNDUP(AF254/BV254,0))</f>
        <v>1</v>
      </c>
      <c r="AH254" s="52" t="n">
        <f aca="false">IF(CL254&gt;0,CL254*MAX(1,AF254/X254),IF(BW254=1,IF(AF254&lt;=0,0,CA254*MAX(1,IF(H254&gt;0,AF254/H254,1))),IF(R254&gt;0,AG254/R254,0))/MAX(0.1,N(Parameter!$M$21)))</f>
        <v>0.0833333333333333</v>
      </c>
      <c r="AI254" s="50" t="n">
        <f aca="false">AH254*BY254</f>
        <v>12.0833333333333</v>
      </c>
      <c r="AJ254" s="50" t="n">
        <f aca="false">AF254*G254</f>
        <v>474.48</v>
      </c>
      <c r="AK254" s="50" t="n">
        <f aca="false">ROUNDUP(MAX(J254/IF(CD254&gt;0,CD254,MAX(0.1,N(Cockpit!$C$6))),CG254)/BV254,0)*BV254</f>
        <v>4</v>
      </c>
      <c r="AL254" s="51" t="n">
        <f aca="false">IF(AI254&gt;0,J254/AI254,-1)</f>
        <v>0.16551724137931</v>
      </c>
      <c r="AM254" s="51" t="n">
        <f aca="false">IF(AND(OR(CC254="L1",CC254="L23",CC254="LIFT"),AI254&gt;0),SUMIFS($AI$7:$AI$1843,$CC$7:$CC$1843,CC254,$AL$7:$AL$1843,"&gt;"&amp;AL254)+SUMIFS($AI$7:$AI$1843,$CC$7:$CC$1843,CC254,$AL$7:$AL$1843,AL254,$BT$7:$BT$1843,"&lt;="&amp;BT254),"")</f>
        <v>12793.3234644358</v>
      </c>
      <c r="AN254" s="58" t="n">
        <f aca="false">IF(AM254="",0,MAX(0,MIN(1,(IF(CC254="L1",Parameter!$H$5,IF(CC254="L23",Parameter!$H$6+Parameter!$H$7,Parameter!$H$5+Parameter!$H$6+Parameter!$H$7))-(AM254-AI254))/AI254)))</f>
        <v>1</v>
      </c>
      <c r="AO254" s="50" t="n">
        <f aca="false">IF(LEFT(Cockpit!$I$5,1)="A",H254,IF(CE254=1,CF254,IF(LEFT(Cockpit!$I$5,1)="B",AT254,MAX(AT254,H254))))</f>
        <v>4</v>
      </c>
      <c r="AP254" s="50" t="n">
        <f aca="false">IF(BW254=1,0,ROUNDUP(AO254/BV254,0))</f>
        <v>1</v>
      </c>
      <c r="AQ254" s="52" t="n">
        <f aca="false">IF(CL254&gt;0,CL254*MAX(1,AO254/X254),IF(BW254=1,IF(AO254&lt;=0,0,CA254*MAX(1,IF(H254&gt;0,AO254/H254,1))),IF(R254&gt;0,AP254/R254,0))/MAX(0.1,N(Parameter!$M$21)))</f>
        <v>0.0833333333333333</v>
      </c>
      <c r="AR254" s="50" t="n">
        <f aca="false">AQ254*BY254</f>
        <v>12.0833333333333</v>
      </c>
      <c r="AS254" s="50" t="n">
        <f aca="false">AO254*G254</f>
        <v>474.48</v>
      </c>
      <c r="AT254" s="50" t="n">
        <f aca="false">ROUNDUP(MAX(J254/IF(CD254&gt;0,CD254,MAX(0.1,N(Cockpit!$I$6))),CG254)/BV254,0)*BV254</f>
        <v>4</v>
      </c>
      <c r="AU254" s="51" t="n">
        <f aca="false">IF(AR254&gt;0,J254/AR254,-1)</f>
        <v>0.16551724137931</v>
      </c>
      <c r="AV254" s="51" t="n">
        <f aca="false">IF(AND(OR(CC254="L1",CC254="L23",CC254="LIFT"),AR254&gt;0),SUMIFS($AR$7:$AR$1843,$CC$7:$CC$1843,CC254,$AU$7:$AU$1843,"&gt;"&amp;AU254)+SUMIFS($AR$7:$AR$1843,$CC$7:$CC$1843,CC254,$AU$7:$AU$1843,AU254,$BT$7:$BT$1843,"&lt;="&amp;BT254),"")</f>
        <v>19374.3978937729</v>
      </c>
      <c r="AW254" s="58" t="n">
        <f aca="false">IF(AV254="",0,MAX(0,MIN(1,(IF(CC254="L1",Parameter!$H$5,IF(CC254="L23",Parameter!$H$6+Parameter!$H$7,Parameter!$H$5+Parameter!$H$6+Parameter!$H$7))-(AV254-AR254))/AR254)))</f>
        <v>1</v>
      </c>
      <c r="AX254" s="50" t="n">
        <f aca="false">IF(LEFT(Cockpit!$O$5,1)="A",H254,IF(CE254=1,CF254,IF(LEFT(Cockpit!$O$5,1)="B",BC254,MAX(BC254,H254))))</f>
        <v>4</v>
      </c>
      <c r="AY254" s="50" t="n">
        <f aca="false">IF(BW254=1,0,ROUNDUP(AX254/BV254,0))</f>
        <v>1</v>
      </c>
      <c r="AZ254" s="52" t="n">
        <f aca="false">IF(CL254&gt;0,CL254*MAX(1,AX254/X254),IF(BW254=1,IF(AX254&lt;=0,0,CA254*MAX(1,IF(H254&gt;0,AX254/H254,1))),IF(R254&gt;0,AY254/R254,0))/MAX(0.1,N(Parameter!$M$21)))</f>
        <v>0.0833333333333333</v>
      </c>
      <c r="BA254" s="50" t="n">
        <f aca="false">AZ254*BY254</f>
        <v>12.0833333333333</v>
      </c>
      <c r="BB254" s="50" t="n">
        <f aca="false">AX254*G254</f>
        <v>474.48</v>
      </c>
      <c r="BC254" s="50" t="n">
        <f aca="false">ROUNDUP(MAX(J254/IF(CD254&gt;0,CD254,MAX(0.1,N(Cockpit!$O$6))),CG254)/BV254,0)*BV254</f>
        <v>4</v>
      </c>
      <c r="BD254" s="51" t="n">
        <f aca="false">IF(BA254&gt;0,J254/BA254,-1)</f>
        <v>0.16551724137931</v>
      </c>
      <c r="BE254" s="51" t="n">
        <f aca="false">IF(AND(OR(CC254="L1",CC254="L23",CC254="LIFT"),BA254&gt;0),SUMIFS($BA$7:$BA$1843,$CC$7:$CC$1843,CC254,$BD$7:$BD$1843,"&gt;"&amp;BD254)+SUMIFS($BA$7:$BA$1843,$CC$7:$CC$1843,CC254,$BD$7:$BD$1843,BD254,$BT$7:$BT$1843,"&lt;="&amp;BT254),"")</f>
        <v>17400.4716117216</v>
      </c>
      <c r="BF254" s="58" t="n">
        <f aca="false">IF(BE254="",0,MAX(0,MIN(1,(IF(CC254="L1",Parameter!$H$5,IF(CC254="L23",Parameter!$H$6+Parameter!$H$7,Parameter!$H$5+Parameter!$H$6+Parameter!$H$7))-(BE254-BA254))/BA254)))</f>
        <v>1</v>
      </c>
      <c r="BG254" s="48" t="str">
        <f aca="false">IF(AI254&lt;=0,"",IF(CC254="Aussen","Aussenlager",IF(CC254="-","Nicht im Lift",IF(AN254&gt;=1,"Lift",IF(AN254&lt;=0,"Aussenlager","teilweise")))))</f>
        <v>Lift</v>
      </c>
      <c r="BH254" s="48" t="str">
        <f aca="false">IF(AR254&lt;=0,"",IF(CC254="Aussen","Aussenlager",IF(CC254="-","Nicht im Lift",IF(AW254&gt;=1,"Lift",IF(AW254&lt;=0,"Aussenlager","teilweise")))))</f>
        <v>Lift</v>
      </c>
      <c r="BI254" s="48" t="str">
        <f aca="false">IF(BA254&lt;=0,"",IF(CC254="Aussen","Aussenlager",IF(CC254="-","Nicht im Lift",IF(BF254&gt;=1,"Lift",IF(BF254&lt;=0,"Aussenlager","teilweise")))))</f>
        <v>Lift</v>
      </c>
      <c r="BJ254" s="48" t="str">
        <f aca="false">IF(A254="","",IF(BS254=1,"Neu; ","")&amp;IF(AND(BS254=0,BN254&lt;0),"negativer Bestand (Export "&amp;BN254&amp;"); ","")&amp;IF(J254&lt;=0,"Kein Verbrauch; ","")&amp;IF(CL254&gt;0,"Lift "&amp;W254&amp;" lt. Liftbericht (Fach "&amp;X254&amp;" Stk); ",IF(BX254=1,"Gebinde geschätzt ("&amp;T254&amp;"); ",IF(BW254=1,"Lose – Tablare geschätzt; ","")))&amp;IF(H254&gt;AT254,"Überbestand "&amp;ROUND(H254-AT254,0)&amp;" Stk / CHF "&amp;ROUND((H254-AT254)*G254,0)&amp;"; ","")&amp;IF(AND(CE254=1,CF254&lt;CG254),"MAX &lt; MB+LG; ","")&amp;IF(AND(CK254&gt;0,CJ254*10&gt;CK254),"zu hoch für Tablar; ","")&amp;IF(AND(BS254=0,OR(CE254=1,AA254&lt;&gt;"",U254&lt;&gt;"",V254&lt;&gt;"",AB254&lt;&gt;"")),"manuell übersteuert; ","")&amp;IF(AND(BW254=0,R254=0),"Gebinde unbekannt / Stellmass fehlt; ","")&amp;IF(AND(BW254=0,N(V254)&lt;=0,N(Q254)&lt;=0),"Menge pro Gebinde fehlt (Ist = 1 Gebinde); ","")&amp;BR254)</f>
        <v>Gebinde geschätzt (Mittel); Menge pro Gebinde fehlt (Ist = 1 Gebinde); </v>
      </c>
      <c r="BK254" s="48"/>
      <c r="BL254" s="48"/>
      <c r="BM254" s="55"/>
      <c r="BN254" s="50" t="n">
        <v>4</v>
      </c>
      <c r="BO254" s="50" t="n">
        <v>0</v>
      </c>
      <c r="BP254" s="49" t="n">
        <v>474.48</v>
      </c>
      <c r="BQ254" s="50" t="n">
        <v>2</v>
      </c>
      <c r="BR254" s="48"/>
      <c r="BS254" s="53" t="n">
        <v>0</v>
      </c>
      <c r="BT254" s="53" t="n">
        <v>254</v>
      </c>
      <c r="BU254" s="48" t="str">
        <f aca="false">IF(U254&lt;&gt;"",UPPER(TRIM(U254)),IF(BX254=1,UPPER(VLOOKUP(T254,Parameter!$I$27:$K$29,2,0)),IF(P254="","LOSE",P254)))</f>
        <v>S61</v>
      </c>
      <c r="BV254" s="50" t="n">
        <f aca="false">IF(BU254="LOSE",1,IF(N(V254)&gt;0,V254,IF(BX254=1,MAX(1,N(VLOOKUP(T254,Parameter!$I$27:$K$29,3,0)),H254,N(N254)),IF(N(Q254)&gt;0,Q254,MAX(1,H254)))))</f>
        <v>4</v>
      </c>
      <c r="BW254" s="53" t="n">
        <f aca="false">IF(BU254="LOSE",1,0)</f>
        <v>0</v>
      </c>
      <c r="BX254" s="53" t="n">
        <f aca="false">IF(AND(U254="",OR(P254="",P254="LOSE"),T254&lt;&gt;"",N(S254)&lt;=0,ISNUMBER(MATCH(T254,Parameter!$I$27:$I$29,0))),1,0)</f>
        <v>1</v>
      </c>
      <c r="BY254" s="53" t="n">
        <f aca="false">IF(CL254&gt;0,INDEX(Parameter!$H$5:$H$7,W254)/INDEX(Parameter!$E$5:$E$7,W254),IF(AND(BW254=0,N(IFERROR(VLOOKUP(BU254,'Gebinde-Kategorie'!$A$5:$N$45,14,0),0))&gt;0),VLOOKUP(BU254,'Gebinde-Kategorie'!$A$5:$N$45,14,0)*10+Parameter!$M$23,Parameter!$M$24))</f>
        <v>145</v>
      </c>
      <c r="BZ254" s="48" t="str">
        <f aca="false">IF(AND(Parameter!$B$19="Ja",E254&lt;&gt;"",ISNUMBER(MATCH(E254,Parameter!$I$35:$I$52,0))),VLOOKUP(E254,Parameter!$I$35:$J$52,2,0),IFERROR(VLOOKUP(D254,Parameter!$A$35:$C$64,2,0),"Nein"))</f>
        <v>2+3</v>
      </c>
      <c r="CA254" s="52" t="n">
        <f aca="false">IF(BW254=0,0,IF(N(S254)&gt;0,S254,IFERROR(VLOOKUP(D254,Parameter!$A$35:$C$64,3,0)+0,0)))</f>
        <v>0</v>
      </c>
      <c r="CB254" s="48" t="n">
        <f aca="false">IF(AA254&lt;&gt;"",AA254,Z254)</f>
        <v>2</v>
      </c>
      <c r="CC254" s="48" t="str">
        <f aca="false">IF(OR(CB254=1,CB254=2,CB254=3),IF(Parameter!$E$27="Ja","LIFT",IF(CB254=1,"L1","L23")),IF(CB254="Aussen","Aussen","-"))</f>
        <v>LIFT</v>
      </c>
      <c r="CD254" s="59" t="n">
        <f aca="false">IF(N(AB254)&gt;0,AB254,0)</f>
        <v>0</v>
      </c>
      <c r="CE254" s="53" t="n">
        <f aca="false">IF(ISNUMBER(AE254),1,0)</f>
        <v>0</v>
      </c>
      <c r="CF254" s="50" t="n">
        <f aca="false">N(AE254)</f>
        <v>0</v>
      </c>
      <c r="CG254" s="50" t="n">
        <f aca="false">N(M254)+N(N254)</f>
        <v>1</v>
      </c>
      <c r="CH254" s="50" t="n">
        <f aca="false">ROUNDUP(H254/BV254,0)</f>
        <v>1</v>
      </c>
      <c r="CI254" s="50" t="n">
        <f aca="false">ROUNDUP(CF254/BV254,0)</f>
        <v>0</v>
      </c>
      <c r="CJ254" s="53" t="n">
        <f aca="false">IF(BW254=1,0,IFERROR(VLOOKUP(BU254,'Gebinde-Kategorie'!$A$5:$N$45,5,0)+0,0))</f>
        <v>11</v>
      </c>
      <c r="CK254" s="53" t="n">
        <f aca="false">IFERROR(IF(OR(CB254=1,CB254=2,CB254=3),N(INDEX(Parameter!$I$5:$I$7,CB254)),0),0)</f>
        <v>0</v>
      </c>
      <c r="CL254" s="52" t="n">
        <f aca="false">IF(AND(Parameter!$B$21="Ja",ISNUMBER(W254),N(X254)&gt;0),IFERROR(N(INDEX(Parameter!$L$5:$L$7,W254))*INDEX(Parameter!$E$5:$E$7,W254)*X254/SUMIFS($X$7:$X$1843,$W$7:$W$1843,W254),0),0)</f>
        <v>0</v>
      </c>
    </row>
    <row r="255" customFormat="false" ht="15" hidden="false" customHeight="false" outlineLevel="0" collapsed="false">
      <c r="A255" s="48" t="s">
        <v>697</v>
      </c>
      <c r="B255" s="48" t="s">
        <v>698</v>
      </c>
      <c r="C255" s="48" t="s">
        <v>168</v>
      </c>
      <c r="D255" s="48" t="s">
        <v>188</v>
      </c>
      <c r="E255" s="48"/>
      <c r="F255" s="48" t="s">
        <v>222</v>
      </c>
      <c r="G255" s="49" t="n">
        <v>5.93</v>
      </c>
      <c r="H255" s="50" t="n">
        <f aca="false">MAX(0,IF(AND(Parameter!$B$21="Ja",ISNUMBER(Y255)),Y255,IF(Parameter!$B$20="Jahresanfang 2025 + Export",BO255+BN255,BN255)))</f>
        <v>176</v>
      </c>
      <c r="I255" s="50" t="n">
        <f aca="false">H255*G255</f>
        <v>1043.68</v>
      </c>
      <c r="J255" s="50" t="n">
        <f aca="false">BQ255*Parameter!$B$18</f>
        <v>193</v>
      </c>
      <c r="K255" s="51" t="n">
        <v>79</v>
      </c>
      <c r="L255" s="52" t="n">
        <v>2.44303797468354</v>
      </c>
      <c r="M255" s="50" t="n">
        <v>7</v>
      </c>
      <c r="N255" s="50" t="n">
        <v>195</v>
      </c>
      <c r="O255" s="53" t="n">
        <v>14</v>
      </c>
      <c r="P255" s="48" t="s">
        <v>172</v>
      </c>
      <c r="Q255" s="50"/>
      <c r="R255" s="53" t="n">
        <f aca="false">IF(BW255=1,0,IFERROR(VLOOKUP(BU255,'Gebinde-Kategorie'!$A$5:$N$45,13,0)+0,0))</f>
        <v>26</v>
      </c>
      <c r="S255" s="54"/>
      <c r="T255" s="55" t="s">
        <v>279</v>
      </c>
      <c r="U255" s="55"/>
      <c r="V255" s="55"/>
      <c r="W255" s="48"/>
      <c r="X255" s="50"/>
      <c r="Y255" s="50"/>
      <c r="Z255" s="48" t="n">
        <f aca="false">IF(A255="","",IF(AND(Parameter!$B$21="Ja",ISNUMBER(W255)),W255,IF(BZ255="2+3",IF(ISNUMBER(SEARCH("grosser Artikel",BR255)),2,IFERROR(VLOOKUP(BU255,Parameter!$F$35:$G$64,2,0),2)),IF(OR(BZ255="Nein",BZ255=""),"-",BZ255))))</f>
        <v>3</v>
      </c>
      <c r="AA255" s="55"/>
      <c r="AB255" s="56"/>
      <c r="AC255" s="50" t="n">
        <f aca="false">AT255</f>
        <v>390</v>
      </c>
      <c r="AD255" s="50" t="n">
        <f aca="false">MAX(AT255,H255)</f>
        <v>390</v>
      </c>
      <c r="AE255" s="57"/>
      <c r="AF255" s="50" t="n">
        <f aca="false">IF(LEFT(Cockpit!$C$5,1)="A",H255,IF(CE255=1,CF255,IF(LEFT(Cockpit!$C$5,1)="B",AK255,MAX(AK255,H255))))</f>
        <v>176</v>
      </c>
      <c r="AG255" s="50" t="n">
        <f aca="false">IF(BW255=1,0,ROUNDUP(AF255/BV255,0))</f>
        <v>1</v>
      </c>
      <c r="AH255" s="52" t="n">
        <f aca="false">IF(CL255&gt;0,CL255*MAX(1,AF255/X255),IF(BW255=1,IF(AF255&lt;=0,0,CA255*MAX(1,IF(H255&gt;0,AF255/H255,1))),IF(R255&gt;0,AG255/R255,0))/MAX(0.1,N(Parameter!$M$21)))</f>
        <v>0.0384615384615385</v>
      </c>
      <c r="AI255" s="50" t="n">
        <f aca="false">AH255*BY255</f>
        <v>5.96153846153846</v>
      </c>
      <c r="AJ255" s="50" t="n">
        <f aca="false">AF255*G255</f>
        <v>1043.68</v>
      </c>
      <c r="AK255" s="50" t="n">
        <f aca="false">ROUNDUP(MAX(J255/IF(CD255&gt;0,CD255,MAX(0.1,N(Cockpit!$C$6))),CG255)/BV255,0)*BV255</f>
        <v>390</v>
      </c>
      <c r="AL255" s="51" t="n">
        <f aca="false">IF(AI255&gt;0,J255/AI255,-1)</f>
        <v>32.3741935483871</v>
      </c>
      <c r="AM255" s="51" t="n">
        <f aca="false">IF(AND(OR(CC255="L1",CC255="L23",CC255="LIFT"),AI255&gt;0),SUMIFS($AI$7:$AI$1843,$CC$7:$CC$1843,CC255,$AL$7:$AL$1843,"&gt;"&amp;AL255)+SUMIFS($AI$7:$AI$1843,$CC$7:$CC$1843,CC255,$AL$7:$AL$1843,AL255,$BT$7:$BT$1843,"&lt;="&amp;BT255),"")</f>
        <v>1352.96428571429</v>
      </c>
      <c r="AN255" s="58" t="n">
        <f aca="false">IF(AM255="",0,MAX(0,MIN(1,(IF(CC255="L1",Parameter!$H$5,IF(CC255="L23",Parameter!$H$6+Parameter!$H$7,Parameter!$H$5+Parameter!$H$6+Parameter!$H$7))-(AM255-AI255))/AI255)))</f>
        <v>1</v>
      </c>
      <c r="AO255" s="50" t="n">
        <f aca="false">IF(LEFT(Cockpit!$I$5,1)="A",H255,IF(CE255=1,CF255,IF(LEFT(Cockpit!$I$5,1)="B",AT255,MAX(AT255,H255))))</f>
        <v>390</v>
      </c>
      <c r="AP255" s="50" t="n">
        <f aca="false">IF(BW255=1,0,ROUNDUP(AO255/BV255,0))</f>
        <v>2</v>
      </c>
      <c r="AQ255" s="52" t="n">
        <f aca="false">IF(CL255&gt;0,CL255*MAX(1,AO255/X255),IF(BW255=1,IF(AO255&lt;=0,0,CA255*MAX(1,IF(H255&gt;0,AO255/H255,1))),IF(R255&gt;0,AP255/R255,0))/MAX(0.1,N(Parameter!$M$21)))</f>
        <v>0.0769230769230769</v>
      </c>
      <c r="AR255" s="50" t="n">
        <f aca="false">AQ255*BY255</f>
        <v>11.9230769230769</v>
      </c>
      <c r="AS255" s="50" t="n">
        <f aca="false">AO255*G255</f>
        <v>2312.7</v>
      </c>
      <c r="AT255" s="50" t="n">
        <f aca="false">ROUNDUP(MAX(J255/IF(CD255&gt;0,CD255,MAX(0.1,N(Cockpit!$I$6))),CG255)/BV255,0)*BV255</f>
        <v>390</v>
      </c>
      <c r="AU255" s="51" t="n">
        <f aca="false">IF(AR255&gt;0,J255/AR255,-1)</f>
        <v>16.1870967741936</v>
      </c>
      <c r="AV255" s="51" t="n">
        <f aca="false">IF(AND(OR(CC255="L1",CC255="L23",CC255="LIFT"),AR255&gt;0),SUMIFS($AR$7:$AR$1843,$CC$7:$CC$1843,CC255,$AU$7:$AU$1843,"&gt;"&amp;AU255)+SUMIFS($AR$7:$AR$1843,$CC$7:$CC$1843,CC255,$AU$7:$AU$1843,AU255,$BT$7:$BT$1843,"&lt;="&amp;BT255),"")</f>
        <v>3155.35302197802</v>
      </c>
      <c r="AW255" s="58" t="n">
        <f aca="false">IF(AV255="",0,MAX(0,MIN(1,(IF(CC255="L1",Parameter!$H$5,IF(CC255="L23",Parameter!$H$6+Parameter!$H$7,Parameter!$H$5+Parameter!$H$6+Parameter!$H$7))-(AV255-AR255))/AR255)))</f>
        <v>1</v>
      </c>
      <c r="AX255" s="50" t="n">
        <f aca="false">IF(LEFT(Cockpit!$O$5,1)="A",H255,IF(CE255=1,CF255,IF(LEFT(Cockpit!$O$5,1)="B",BC255,MAX(BC255,H255))))</f>
        <v>390</v>
      </c>
      <c r="AY255" s="50" t="n">
        <f aca="false">IF(BW255=1,0,ROUNDUP(AX255/BV255,0))</f>
        <v>2</v>
      </c>
      <c r="AZ255" s="52" t="n">
        <f aca="false">IF(CL255&gt;0,CL255*MAX(1,AX255/X255),IF(BW255=1,IF(AX255&lt;=0,0,CA255*MAX(1,IF(H255&gt;0,AX255/H255,1))),IF(R255&gt;0,AY255/R255,0))/MAX(0.1,N(Parameter!$M$21)))</f>
        <v>0.0769230769230769</v>
      </c>
      <c r="BA255" s="50" t="n">
        <f aca="false">AZ255*BY255</f>
        <v>11.9230769230769</v>
      </c>
      <c r="BB255" s="50" t="n">
        <f aca="false">AX255*G255</f>
        <v>2312.7</v>
      </c>
      <c r="BC255" s="50" t="n">
        <f aca="false">ROUNDUP(MAX(J255/IF(CD255&gt;0,CD255,MAX(0.1,N(Cockpit!$O$6))),CG255)/BV255,0)*BV255</f>
        <v>390</v>
      </c>
      <c r="BD255" s="51" t="n">
        <f aca="false">IF(BA255&gt;0,J255/BA255,-1)</f>
        <v>16.1870967741936</v>
      </c>
      <c r="BE255" s="51" t="n">
        <f aca="false">IF(AND(OR(CC255="L1",CC255="L23",CC255="LIFT"),BA255&gt;0),SUMIFS($BA$7:$BA$1843,$CC$7:$CC$1843,CC255,$BD$7:$BD$1843,"&gt;"&amp;BD255)+SUMIFS($BA$7:$BA$1843,$CC$7:$CC$1843,CC255,$BD$7:$BD$1843,BD255,$BT$7:$BT$1843,"&lt;="&amp;BT255),"")</f>
        <v>2829.79212454213</v>
      </c>
      <c r="BF255" s="58" t="n">
        <f aca="false">IF(BE255="",0,MAX(0,MIN(1,(IF(CC255="L1",Parameter!$H$5,IF(CC255="L23",Parameter!$H$6+Parameter!$H$7,Parameter!$H$5+Parameter!$H$6+Parameter!$H$7))-(BE255-BA255))/BA255)))</f>
        <v>1</v>
      </c>
      <c r="BG255" s="48" t="str">
        <f aca="false">IF(AI255&lt;=0,"",IF(CC255="Aussen","Aussenlager",IF(CC255="-","Nicht im Lift",IF(AN255&gt;=1,"Lift",IF(AN255&lt;=0,"Aussenlager","teilweise")))))</f>
        <v>Lift</v>
      </c>
      <c r="BH255" s="48" t="str">
        <f aca="false">IF(AR255&lt;=0,"",IF(CC255="Aussen","Aussenlager",IF(CC255="-","Nicht im Lift",IF(AW255&gt;=1,"Lift",IF(AW255&lt;=0,"Aussenlager","teilweise")))))</f>
        <v>Lift</v>
      </c>
      <c r="BI255" s="48" t="str">
        <f aca="false">IF(BA255&lt;=0,"",IF(CC255="Aussen","Aussenlager",IF(CC255="-","Nicht im Lift",IF(BF255&gt;=1,"Lift",IF(BF255&lt;=0,"Aussenlager","teilweise")))))</f>
        <v>Lift</v>
      </c>
      <c r="BJ255" s="48" t="str">
        <f aca="false">IF(A255="","",IF(BS255=1,"Neu; ","")&amp;IF(AND(BS255=0,BN255&lt;0),"negativer Bestand (Export "&amp;BN255&amp;"); ","")&amp;IF(J255&lt;=0,"Kein Verbrauch; ","")&amp;IF(CL255&gt;0,"Lift "&amp;W255&amp;" lt. Liftbericht (Fach "&amp;X255&amp;" Stk); ",IF(BX255=1,"Gebinde geschätzt ("&amp;T255&amp;"); ",IF(BW255=1,"Lose – Tablare geschätzt; ","")))&amp;IF(H255&gt;AT255,"Überbestand "&amp;ROUND(H255-AT255,0)&amp;" Stk / CHF "&amp;ROUND((H255-AT255)*G255,0)&amp;"; ","")&amp;IF(AND(CE255=1,CF255&lt;CG255),"MAX &lt; MB+LG; ","")&amp;IF(AND(CK255&gt;0,CJ255*10&gt;CK255),"zu hoch für Tablar; ","")&amp;IF(AND(BS255=0,OR(CE255=1,AA255&lt;&gt;"",U255&lt;&gt;"",V255&lt;&gt;"",AB255&lt;&gt;"")),"manuell übersteuert; ","")&amp;IF(AND(BW255=0,R255=0),"Gebinde unbekannt / Stellmass fehlt; ","")&amp;IF(AND(BW255=0,N(V255)&lt;=0,N(Q255)&lt;=0),"Menge pro Gebinde fehlt (Ist = 1 Gebinde); ","")&amp;BR255)</f>
        <v>Gebinde geschätzt (Klein); Menge pro Gebinde fehlt (Ist = 1 Gebinde); </v>
      </c>
      <c r="BK255" s="48"/>
      <c r="BL255" s="48"/>
      <c r="BM255" s="55"/>
      <c r="BN255" s="50" t="n">
        <v>83</v>
      </c>
      <c r="BO255" s="50" t="n">
        <v>93</v>
      </c>
      <c r="BP255" s="49" t="n">
        <v>470.8</v>
      </c>
      <c r="BQ255" s="50" t="n">
        <v>193</v>
      </c>
      <c r="BR255" s="48"/>
      <c r="BS255" s="53" t="n">
        <v>0</v>
      </c>
      <c r="BT255" s="53" t="n">
        <v>255</v>
      </c>
      <c r="BU255" s="48" t="str">
        <f aca="false">IF(U255&lt;&gt;"",UPPER(TRIM(U255)),IF(BX255=1,UPPER(VLOOKUP(T255,Parameter!$I$27:$K$29,2,0)),IF(P255="","LOSE",P255)))</f>
        <v>S51</v>
      </c>
      <c r="BV255" s="50" t="n">
        <f aca="false">IF(BU255="LOSE",1,IF(N(V255)&gt;0,V255,IF(BX255=1,MAX(1,N(VLOOKUP(T255,Parameter!$I$27:$K$29,3,0)),H255,N(N255)),IF(N(Q255)&gt;0,Q255,MAX(1,H255)))))</f>
        <v>195</v>
      </c>
      <c r="BW255" s="53" t="n">
        <f aca="false">IF(BU255="LOSE",1,0)</f>
        <v>0</v>
      </c>
      <c r="BX255" s="53" t="n">
        <f aca="false">IF(AND(U255="",OR(P255="",P255="LOSE"),T255&lt;&gt;"",N(S255)&lt;=0,ISNUMBER(MATCH(T255,Parameter!$I$27:$I$29,0))),1,0)</f>
        <v>1</v>
      </c>
      <c r="BY255" s="53" t="n">
        <f aca="false">IF(CL255&gt;0,INDEX(Parameter!$H$5:$H$7,W255)/INDEX(Parameter!$E$5:$E$7,W255),IF(AND(BW255=0,N(IFERROR(VLOOKUP(BU255,'Gebinde-Kategorie'!$A$5:$N$45,14,0),0))&gt;0),VLOOKUP(BU255,'Gebinde-Kategorie'!$A$5:$N$45,14,0)*10+Parameter!$M$23,Parameter!$M$24))</f>
        <v>155</v>
      </c>
      <c r="BZ255" s="48" t="str">
        <f aca="false">IF(AND(Parameter!$B$19="Ja",E255&lt;&gt;"",ISNUMBER(MATCH(E255,Parameter!$I$35:$I$52,0))),VLOOKUP(E255,Parameter!$I$35:$J$52,2,0),IFERROR(VLOOKUP(D255,Parameter!$A$35:$C$64,2,0),"Nein"))</f>
        <v>2+3</v>
      </c>
      <c r="CA255" s="52" t="n">
        <f aca="false">IF(BW255=0,0,IF(N(S255)&gt;0,S255,IFERROR(VLOOKUP(D255,Parameter!$A$35:$C$64,3,0)+0,0)))</f>
        <v>0</v>
      </c>
      <c r="CB255" s="48" t="n">
        <f aca="false">IF(AA255&lt;&gt;"",AA255,Z255)</f>
        <v>3</v>
      </c>
      <c r="CC255" s="48" t="str">
        <f aca="false">IF(OR(CB255=1,CB255=2,CB255=3),IF(Parameter!$E$27="Ja","LIFT",IF(CB255=1,"L1","L23")),IF(CB255="Aussen","Aussen","-"))</f>
        <v>LIFT</v>
      </c>
      <c r="CD255" s="59" t="n">
        <f aca="false">IF(N(AB255)&gt;0,AB255,0)</f>
        <v>0</v>
      </c>
      <c r="CE255" s="53" t="n">
        <f aca="false">IF(ISNUMBER(AE255),1,0)</f>
        <v>0</v>
      </c>
      <c r="CF255" s="50" t="n">
        <f aca="false">N(AE255)</f>
        <v>0</v>
      </c>
      <c r="CG255" s="50" t="n">
        <f aca="false">N(M255)+N(N255)</f>
        <v>202</v>
      </c>
      <c r="CH255" s="50" t="n">
        <f aca="false">ROUNDUP(H255/BV255,0)</f>
        <v>1</v>
      </c>
      <c r="CI255" s="50" t="n">
        <f aca="false">ROUNDUP(CF255/BV255,0)</f>
        <v>0</v>
      </c>
      <c r="CJ255" s="53" t="n">
        <f aca="false">IF(BW255=1,0,IFERROR(VLOOKUP(BU255,'Gebinde-Kategorie'!$A$5:$N$45,5,0)+0,0))</f>
        <v>11</v>
      </c>
      <c r="CK255" s="53" t="n">
        <f aca="false">IFERROR(IF(OR(CB255=1,CB255=2,CB255=3),N(INDEX(Parameter!$I$5:$I$7,CB255)),0),0)</f>
        <v>0</v>
      </c>
      <c r="CL255" s="52" t="n">
        <f aca="false">IF(AND(Parameter!$B$21="Ja",ISNUMBER(W255),N(X255)&gt;0),IFERROR(N(INDEX(Parameter!$L$5:$L$7,W255))*INDEX(Parameter!$E$5:$E$7,W255)*X255/SUMIFS($X$7:$X$1843,$W$7:$W$1843,W255),0),0)</f>
        <v>0</v>
      </c>
    </row>
    <row r="256" customFormat="false" ht="15" hidden="false" customHeight="false" outlineLevel="0" collapsed="false">
      <c r="A256" s="48" t="s">
        <v>699</v>
      </c>
      <c r="B256" s="48" t="s">
        <v>700</v>
      </c>
      <c r="C256" s="48" t="s">
        <v>168</v>
      </c>
      <c r="D256" s="48" t="s">
        <v>188</v>
      </c>
      <c r="E256" s="48" t="s">
        <v>189</v>
      </c>
      <c r="F256" s="48" t="s">
        <v>222</v>
      </c>
      <c r="G256" s="49" t="n">
        <v>116.9</v>
      </c>
      <c r="H256" s="50" t="n">
        <f aca="false">MAX(0,IF(AND(Parameter!$B$21="Ja",ISNUMBER(Y256)),Y256,IF(Parameter!$B$20="Jahresanfang 2025 + Export",BO256+BN256,BN256)))</f>
        <v>4</v>
      </c>
      <c r="I256" s="50" t="n">
        <f aca="false">H256*G256</f>
        <v>467.6</v>
      </c>
      <c r="J256" s="50" t="n">
        <f aca="false">BQ256*Parameter!$B$18</f>
        <v>0</v>
      </c>
      <c r="K256" s="51" t="n">
        <v>2.5</v>
      </c>
      <c r="L256" s="52" t="n">
        <v>0</v>
      </c>
      <c r="M256" s="50" t="n">
        <v>0</v>
      </c>
      <c r="N256" s="50" t="n">
        <v>1</v>
      </c>
      <c r="O256" s="53" t="n">
        <v>21</v>
      </c>
      <c r="P256" s="48" t="s">
        <v>237</v>
      </c>
      <c r="Q256" s="50" t="n">
        <v>9</v>
      </c>
      <c r="R256" s="53" t="n">
        <f aca="false">IF(BW256=1,0,IFERROR(VLOOKUP(BU256,'Gebinde-Kategorie'!$A$5:$N$45,13,0)+0,0))</f>
        <v>26</v>
      </c>
      <c r="S256" s="54"/>
      <c r="T256" s="55"/>
      <c r="U256" s="55"/>
      <c r="V256" s="55"/>
      <c r="W256" s="48"/>
      <c r="X256" s="50"/>
      <c r="Y256" s="50"/>
      <c r="Z256" s="48" t="n">
        <f aca="false">IF(A256="","",IF(AND(Parameter!$B$21="Ja",ISNUMBER(W256)),W256,IF(BZ256="2+3",IF(ISNUMBER(SEARCH("grosser Artikel",BR256)),2,IFERROR(VLOOKUP(BU256,Parameter!$F$35:$G$64,2,0),2)),IF(OR(BZ256="Nein",BZ256=""),"-",BZ256))))</f>
        <v>3</v>
      </c>
      <c r="AA256" s="55"/>
      <c r="AB256" s="56"/>
      <c r="AC256" s="50" t="n">
        <f aca="false">AT256</f>
        <v>9</v>
      </c>
      <c r="AD256" s="50" t="n">
        <f aca="false">MAX(AT256,H256)</f>
        <v>9</v>
      </c>
      <c r="AE256" s="57"/>
      <c r="AF256" s="50" t="n">
        <f aca="false">IF(LEFT(Cockpit!$C$5,1)="A",H256,IF(CE256=1,CF256,IF(LEFT(Cockpit!$C$5,1)="B",AK256,MAX(AK256,H256))))</f>
        <v>4</v>
      </c>
      <c r="AG256" s="50" t="n">
        <f aca="false">IF(BW256=1,0,ROUNDUP(AF256/BV256,0))</f>
        <v>1</v>
      </c>
      <c r="AH256" s="52" t="n">
        <f aca="false">IF(CL256&gt;0,CL256*MAX(1,AF256/X256),IF(BW256=1,IF(AF256&lt;=0,0,CA256*MAX(1,IF(H256&gt;0,AF256/H256,1))),IF(R256&gt;0,AG256/R256,0))/MAX(0.1,N(Parameter!$M$21)))</f>
        <v>0.0384615384615385</v>
      </c>
      <c r="AI256" s="50" t="n">
        <f aca="false">AH256*BY256</f>
        <v>9.42307692307692</v>
      </c>
      <c r="AJ256" s="50" t="n">
        <f aca="false">AF256*G256</f>
        <v>467.6</v>
      </c>
      <c r="AK256" s="50" t="n">
        <f aca="false">ROUNDUP(MAX(J256/IF(CD256&gt;0,CD256,MAX(0.1,N(Cockpit!$C$6))),CG256)/BV256,0)*BV256</f>
        <v>9</v>
      </c>
      <c r="AL256" s="51" t="n">
        <f aca="false">IF(AI256&gt;0,J256/AI256,-1)</f>
        <v>0</v>
      </c>
      <c r="AM256" s="51" t="n">
        <f aca="false">IF(AND(OR(CC256="L1",CC256="L23",CC256="LIFT"),AI256&gt;0),SUMIFS($AI$7:$AI$1843,$CC$7:$CC$1843,CC256,$AL$7:$AL$1843,"&gt;"&amp;AL256)+SUMIFS($AI$7:$AI$1843,$CC$7:$CC$1843,CC256,$AL$7:$AL$1843,AL256,$BT$7:$BT$1843,"&lt;="&amp;BT256),"")</f>
        <v>27760.5235197947</v>
      </c>
      <c r="AN256" s="58" t="n">
        <f aca="false">IF(AM256="",0,MAX(0,MIN(1,(IF(CC256="L1",Parameter!$H$5,IF(CC256="L23",Parameter!$H$6+Parameter!$H$7,Parameter!$H$5+Parameter!$H$6+Parameter!$H$7))-(AM256-AI256))/AI256)))</f>
        <v>1</v>
      </c>
      <c r="AO256" s="50" t="n">
        <f aca="false">IF(LEFT(Cockpit!$I$5,1)="A",H256,IF(CE256=1,CF256,IF(LEFT(Cockpit!$I$5,1)="B",AT256,MAX(AT256,H256))))</f>
        <v>9</v>
      </c>
      <c r="AP256" s="50" t="n">
        <f aca="false">IF(BW256=1,0,ROUNDUP(AO256/BV256,0))</f>
        <v>1</v>
      </c>
      <c r="AQ256" s="52" t="n">
        <f aca="false">IF(CL256&gt;0,CL256*MAX(1,AO256/X256),IF(BW256=1,IF(AO256&lt;=0,0,CA256*MAX(1,IF(H256&gt;0,AO256/H256,1))),IF(R256&gt;0,AP256/R256,0))/MAX(0.1,N(Parameter!$M$21)))</f>
        <v>0.0384615384615385</v>
      </c>
      <c r="AR256" s="50" t="n">
        <f aca="false">AQ256*BY256</f>
        <v>9.42307692307692</v>
      </c>
      <c r="AS256" s="50" t="n">
        <f aca="false">AO256*G256</f>
        <v>1052.1</v>
      </c>
      <c r="AT256" s="50" t="n">
        <f aca="false">ROUNDUP(MAX(J256/IF(CD256&gt;0,CD256,MAX(0.1,N(Cockpit!$I$6))),CG256)/BV256,0)*BV256</f>
        <v>9</v>
      </c>
      <c r="AU256" s="51" t="n">
        <f aca="false">IF(AR256&gt;0,J256/AR256,-1)</f>
        <v>0</v>
      </c>
      <c r="AV256" s="51" t="n">
        <f aca="false">IF(AND(OR(CC256="L1",CC256="L23",CC256="LIFT"),AR256&gt;0),SUMIFS($AR$7:$AR$1843,$CC$7:$CC$1843,CC256,$AU$7:$AU$1843,"&gt;"&amp;AU256)+SUMIFS($AR$7:$AR$1843,$CC$7:$CC$1843,CC256,$AU$7:$AU$1843,AU256,$BT$7:$BT$1843,"&lt;="&amp;BT256),"")</f>
        <v>39073.4290370646</v>
      </c>
      <c r="AW256" s="58" t="n">
        <f aca="false">IF(AV256="",0,MAX(0,MIN(1,(IF(CC256="L1",Parameter!$H$5,IF(CC256="L23",Parameter!$H$6+Parameter!$H$7,Parameter!$H$5+Parameter!$H$6+Parameter!$H$7))-(AV256-AR256))/AR256)))</f>
        <v>0</v>
      </c>
      <c r="AX256" s="50" t="n">
        <f aca="false">IF(LEFT(Cockpit!$O$5,1)="A",H256,IF(CE256=1,CF256,IF(LEFT(Cockpit!$O$5,1)="B",BC256,MAX(BC256,H256))))</f>
        <v>9</v>
      </c>
      <c r="AY256" s="50" t="n">
        <f aca="false">IF(BW256=1,0,ROUNDUP(AX256/BV256,0))</f>
        <v>1</v>
      </c>
      <c r="AZ256" s="52" t="n">
        <f aca="false">IF(CL256&gt;0,CL256*MAX(1,AX256/X256),IF(BW256=1,IF(AX256&lt;=0,0,CA256*MAX(1,IF(H256&gt;0,AX256/H256,1))),IF(R256&gt;0,AY256/R256,0))/MAX(0.1,N(Parameter!$M$21)))</f>
        <v>0.0384615384615385</v>
      </c>
      <c r="BA256" s="50" t="n">
        <f aca="false">AZ256*BY256</f>
        <v>9.42307692307692</v>
      </c>
      <c r="BB256" s="50" t="n">
        <f aca="false">AX256*G256</f>
        <v>1052.1</v>
      </c>
      <c r="BC256" s="50" t="n">
        <f aca="false">ROUNDUP(MAX(J256/IF(CD256&gt;0,CD256,MAX(0.1,N(Cockpit!$O$6))),CG256)/BV256,0)*BV256</f>
        <v>9</v>
      </c>
      <c r="BD256" s="51" t="n">
        <f aca="false">IF(BA256&gt;0,J256/BA256,-1)</f>
        <v>0</v>
      </c>
      <c r="BE256" s="51" t="n">
        <f aca="false">IF(AND(OR(CC256="L1",CC256="L23",CC256="LIFT"),BA256&gt;0),SUMIFS($BA$7:$BA$1843,$CC$7:$CC$1843,CC256,$BD$7:$BD$1843,"&gt;"&amp;BD256)+SUMIFS($BA$7:$BA$1843,$CC$7:$CC$1843,CC256,$BD$7:$BD$1843,BD256,$BT$7:$BT$1843,"&lt;="&amp;BT256),"")</f>
        <v>35748.4410789305</v>
      </c>
      <c r="BF256" s="58" t="n">
        <f aca="false">IF(BE256="",0,MAX(0,MIN(1,(IF(CC256="L1",Parameter!$H$5,IF(CC256="L23",Parameter!$H$6+Parameter!$H$7,Parameter!$H$5+Parameter!$H$6+Parameter!$H$7))-(BE256-BA256))/BA256)))</f>
        <v>0</v>
      </c>
      <c r="BG256" s="48" t="str">
        <f aca="false">IF(AI256&lt;=0,"",IF(CC256="Aussen","Aussenlager",IF(CC256="-","Nicht im Lift",IF(AN256&gt;=1,"Lift",IF(AN256&lt;=0,"Aussenlager","teilweise")))))</f>
        <v>Lift</v>
      </c>
      <c r="BH256" s="48" t="str">
        <f aca="false">IF(AR256&lt;=0,"",IF(CC256="Aussen","Aussenlager",IF(CC256="-","Nicht im Lift",IF(AW256&gt;=1,"Lift",IF(AW256&lt;=0,"Aussenlager","teilweise")))))</f>
        <v>Aussenlager</v>
      </c>
      <c r="BI256" s="48" t="str">
        <f aca="false">IF(BA256&lt;=0,"",IF(CC256="Aussen","Aussenlager",IF(CC256="-","Nicht im Lift",IF(BF256&gt;=1,"Lift",IF(BF256&lt;=0,"Aussenlager","teilweise")))))</f>
        <v>Aussenlager</v>
      </c>
      <c r="BJ256" s="48" t="str">
        <f aca="false">IF(A256="","",IF(BS256=1,"Neu; ","")&amp;IF(AND(BS256=0,BN256&lt;0),"negativer Bestand (Export "&amp;BN256&amp;"); ","")&amp;IF(J256&lt;=0,"Kein Verbrauch; ","")&amp;IF(CL256&gt;0,"Lift "&amp;W256&amp;" lt. Liftbericht (Fach "&amp;X256&amp;" Stk); ",IF(BX256=1,"Gebinde geschätzt ("&amp;T256&amp;"); ",IF(BW256=1,"Lose – Tablare geschätzt; ","")))&amp;IF(H256&gt;AT256,"Überbestand "&amp;ROUND(H256-AT256,0)&amp;" Stk / CHF "&amp;ROUND((H256-AT256)*G256,0)&amp;"; ","")&amp;IF(AND(CE256=1,CF256&lt;CG256),"MAX &lt; MB+LG; ","")&amp;IF(AND(CK256&gt;0,CJ256*10&gt;CK256),"zu hoch für Tablar; ","")&amp;IF(AND(BS256=0,OR(CE256=1,AA256&lt;&gt;"",U256&lt;&gt;"",V256&lt;&gt;"",AB256&lt;&gt;"")),"manuell übersteuert; ","")&amp;IF(AND(BW256=0,R256=0),"Gebinde unbekannt / Stellmass fehlt; ","")&amp;IF(AND(BW256=0,N(V256)&lt;=0,N(Q256)&lt;=0),"Menge pro Gebinde fehlt (Ist = 1 Gebinde); ","")&amp;BR256)</f>
        <v>Kein Verbrauch; </v>
      </c>
      <c r="BK256" s="48"/>
      <c r="BL256" s="48"/>
      <c r="BM256" s="55"/>
      <c r="BN256" s="50" t="n">
        <v>4</v>
      </c>
      <c r="BO256" s="50" t="n">
        <v>0</v>
      </c>
      <c r="BP256" s="49" t="n">
        <v>467.6</v>
      </c>
      <c r="BQ256" s="50" t="n">
        <v>0</v>
      </c>
      <c r="BR256" s="48"/>
      <c r="BS256" s="53" t="n">
        <v>0</v>
      </c>
      <c r="BT256" s="53" t="n">
        <v>256</v>
      </c>
      <c r="BU256" s="48" t="str">
        <f aca="false">IF(U256&lt;&gt;"",UPPER(TRIM(U256)),IF(BX256=1,UPPER(VLOOKUP(T256,Parameter!$I$27:$K$29,2,0)),IF(P256="","LOSE",P256)))</f>
        <v>S52</v>
      </c>
      <c r="BV256" s="50" t="n">
        <f aca="false">IF(BU256="LOSE",1,IF(N(V256)&gt;0,V256,IF(BX256=1,MAX(1,N(VLOOKUP(T256,Parameter!$I$27:$K$29,3,0)),H256,N(N256)),IF(N(Q256)&gt;0,Q256,MAX(1,H256)))))</f>
        <v>9</v>
      </c>
      <c r="BW256" s="53" t="n">
        <f aca="false">IF(BU256="LOSE",1,0)</f>
        <v>0</v>
      </c>
      <c r="BX256" s="53" t="n">
        <f aca="false">IF(AND(U256="",OR(P256="",P256="LOSE"),T256&lt;&gt;"",N(S256)&lt;=0,ISNUMBER(MATCH(T256,Parameter!$I$27:$I$29,0))),1,0)</f>
        <v>0</v>
      </c>
      <c r="BY256" s="53" t="n">
        <f aca="false">IF(CL256&gt;0,INDEX(Parameter!$H$5:$H$7,W256)/INDEX(Parameter!$E$5:$E$7,W256),IF(AND(BW256=0,N(IFERROR(VLOOKUP(BU256,'Gebinde-Kategorie'!$A$5:$N$45,14,0),0))&gt;0),VLOOKUP(BU256,'Gebinde-Kategorie'!$A$5:$N$45,14,0)*10+Parameter!$M$23,Parameter!$M$24))</f>
        <v>245</v>
      </c>
      <c r="BZ256" s="48" t="str">
        <f aca="false">IF(AND(Parameter!$B$19="Ja",E256&lt;&gt;"",ISNUMBER(MATCH(E256,Parameter!$I$35:$I$52,0))),VLOOKUP(E256,Parameter!$I$35:$J$52,2,0),IFERROR(VLOOKUP(D256,Parameter!$A$35:$C$64,2,0),"Nein"))</f>
        <v>2+3</v>
      </c>
      <c r="CA256" s="52" t="n">
        <f aca="false">IF(BW256=0,0,IF(N(S256)&gt;0,S256,IFERROR(VLOOKUP(D256,Parameter!$A$35:$C$64,3,0)+0,0)))</f>
        <v>0</v>
      </c>
      <c r="CB256" s="48" t="n">
        <f aca="false">IF(AA256&lt;&gt;"",AA256,Z256)</f>
        <v>3</v>
      </c>
      <c r="CC256" s="48" t="str">
        <f aca="false">IF(OR(CB256=1,CB256=2,CB256=3),IF(Parameter!$E$27="Ja","LIFT",IF(CB256=1,"L1","L23")),IF(CB256="Aussen","Aussen","-"))</f>
        <v>LIFT</v>
      </c>
      <c r="CD256" s="59" t="n">
        <f aca="false">IF(N(AB256)&gt;0,AB256,0)</f>
        <v>0</v>
      </c>
      <c r="CE256" s="53" t="n">
        <f aca="false">IF(ISNUMBER(AE256),1,0)</f>
        <v>0</v>
      </c>
      <c r="CF256" s="50" t="n">
        <f aca="false">N(AE256)</f>
        <v>0</v>
      </c>
      <c r="CG256" s="50" t="n">
        <f aca="false">N(M256)+N(N256)</f>
        <v>1</v>
      </c>
      <c r="CH256" s="50" t="n">
        <f aca="false">ROUNDUP(H256/BV256,0)</f>
        <v>1</v>
      </c>
      <c r="CI256" s="50" t="n">
        <f aca="false">ROUNDUP(CF256/BV256,0)</f>
        <v>0</v>
      </c>
      <c r="CJ256" s="53" t="n">
        <f aca="false">IF(BW256=1,0,IFERROR(VLOOKUP(BU256,'Gebinde-Kategorie'!$A$5:$N$45,5,0)+0,0))</f>
        <v>21</v>
      </c>
      <c r="CK256" s="53" t="n">
        <f aca="false">IFERROR(IF(OR(CB256=1,CB256=2,CB256=3),N(INDEX(Parameter!$I$5:$I$7,CB256)),0),0)</f>
        <v>0</v>
      </c>
      <c r="CL256" s="52" t="n">
        <f aca="false">IF(AND(Parameter!$B$21="Ja",ISNUMBER(W256),N(X256)&gt;0),IFERROR(N(INDEX(Parameter!$L$5:$L$7,W256))*INDEX(Parameter!$E$5:$E$7,W256)*X256/SUMIFS($X$7:$X$1843,$W$7:$W$1843,W256),0),0)</f>
        <v>0</v>
      </c>
    </row>
    <row r="257" customFormat="false" ht="15" hidden="false" customHeight="false" outlineLevel="0" collapsed="false">
      <c r="A257" s="48" t="s">
        <v>701</v>
      </c>
      <c r="B257" s="48" t="s">
        <v>702</v>
      </c>
      <c r="C257" s="48" t="s">
        <v>168</v>
      </c>
      <c r="D257" s="48" t="s">
        <v>177</v>
      </c>
      <c r="E257" s="48" t="s">
        <v>177</v>
      </c>
      <c r="F257" s="48" t="s">
        <v>222</v>
      </c>
      <c r="G257" s="49" t="n">
        <v>467.1</v>
      </c>
      <c r="H257" s="50" t="n">
        <f aca="false">MAX(0,IF(AND(Parameter!$B$21="Ja",ISNUMBER(Y257)),Y257,IF(Parameter!$B$20="Jahresanfang 2025 + Export",BO257+BN257,BN257)))</f>
        <v>1</v>
      </c>
      <c r="I257" s="50" t="n">
        <f aca="false">H257*G257</f>
        <v>467.1</v>
      </c>
      <c r="J257" s="50" t="n">
        <f aca="false">BQ257*Parameter!$B$18</f>
        <v>1</v>
      </c>
      <c r="K257" s="51" t="n">
        <v>0.5</v>
      </c>
      <c r="L257" s="52" t="n">
        <v>2</v>
      </c>
      <c r="M257" s="50" t="n">
        <v>0</v>
      </c>
      <c r="N257" s="50" t="n">
        <v>1</v>
      </c>
      <c r="O257" s="53" t="n">
        <v>28</v>
      </c>
      <c r="P257" s="48" t="s">
        <v>172</v>
      </c>
      <c r="Q257" s="50"/>
      <c r="R257" s="53" t="n">
        <f aca="false">IF(BW257=1,0,IFERROR(VLOOKUP(BU257,'Gebinde-Kategorie'!$A$5:$N$45,13,0)+0,0))</f>
        <v>12</v>
      </c>
      <c r="S257" s="54"/>
      <c r="T257" s="55" t="s">
        <v>183</v>
      </c>
      <c r="U257" s="55"/>
      <c r="V257" s="55"/>
      <c r="W257" s="48"/>
      <c r="X257" s="50"/>
      <c r="Y257" s="50"/>
      <c r="Z257" s="48" t="str">
        <f aca="false">IF(A257="","",IF(AND(Parameter!$B$21="Ja",ISNUMBER(W257)),W257,IF(BZ257="2+3",IF(ISNUMBER(SEARCH("grosser Artikel",BR257)),2,IFERROR(VLOOKUP(BU257,Parameter!$F$35:$G$64,2,0),2)),IF(OR(BZ257="Nein",BZ257=""),"-",BZ257))))</f>
        <v>-</v>
      </c>
      <c r="AA257" s="55"/>
      <c r="AB257" s="56"/>
      <c r="AC257" s="50" t="n">
        <f aca="false">AT257</f>
        <v>4</v>
      </c>
      <c r="AD257" s="50" t="n">
        <f aca="false">MAX(AT257,H257)</f>
        <v>4</v>
      </c>
      <c r="AE257" s="57"/>
      <c r="AF257" s="50" t="n">
        <f aca="false">IF(LEFT(Cockpit!$C$5,1)="A",H257,IF(CE257=1,CF257,IF(LEFT(Cockpit!$C$5,1)="B",AK257,MAX(AK257,H257))))</f>
        <v>1</v>
      </c>
      <c r="AG257" s="50" t="n">
        <f aca="false">IF(BW257=1,0,ROUNDUP(AF257/BV257,0))</f>
        <v>1</v>
      </c>
      <c r="AH257" s="52" t="n">
        <f aca="false">IF(CL257&gt;0,CL257*MAX(1,AF257/X257),IF(BW257=1,IF(AF257&lt;=0,0,CA257*MAX(1,IF(H257&gt;0,AF257/H257,1))),IF(R257&gt;0,AG257/R257,0))/MAX(0.1,N(Parameter!$M$21)))</f>
        <v>0.0833333333333333</v>
      </c>
      <c r="AI257" s="50" t="n">
        <f aca="false">AH257*BY257</f>
        <v>12.0833333333333</v>
      </c>
      <c r="AJ257" s="50" t="n">
        <f aca="false">AF257*G257</f>
        <v>467.1</v>
      </c>
      <c r="AK257" s="50" t="n">
        <f aca="false">ROUNDUP(MAX(J257/IF(CD257&gt;0,CD257,MAX(0.1,N(Cockpit!$C$6))),CG257)/BV257,0)*BV257</f>
        <v>4</v>
      </c>
      <c r="AL257" s="51" t="n">
        <f aca="false">IF(AI257&gt;0,J257/AI257,-1)</f>
        <v>0.0827586206896552</v>
      </c>
      <c r="AM257" s="51" t="str">
        <f aca="false">IF(AND(OR(CC257="L1",CC257="L23",CC257="LIFT"),AI257&gt;0),SUMIFS($AI$7:$AI$1843,$CC$7:$CC$1843,CC257,$AL$7:$AL$1843,"&gt;"&amp;AL257)+SUMIFS($AI$7:$AI$1843,$CC$7:$CC$1843,CC257,$AL$7:$AL$1843,AL257,$BT$7:$BT$1843,"&lt;="&amp;BT257),"")</f>
        <v/>
      </c>
      <c r="AN257" s="58" t="n">
        <f aca="false">IF(AM257="",0,MAX(0,MIN(1,(IF(CC257="L1",Parameter!$H$5,IF(CC257="L23",Parameter!$H$6+Parameter!$H$7,Parameter!$H$5+Parameter!$H$6+Parameter!$H$7))-(AM257-AI257))/AI257)))</f>
        <v>0</v>
      </c>
      <c r="AO257" s="50" t="n">
        <f aca="false">IF(LEFT(Cockpit!$I$5,1)="A",H257,IF(CE257=1,CF257,IF(LEFT(Cockpit!$I$5,1)="B",AT257,MAX(AT257,H257))))</f>
        <v>4</v>
      </c>
      <c r="AP257" s="50" t="n">
        <f aca="false">IF(BW257=1,0,ROUNDUP(AO257/BV257,0))</f>
        <v>1</v>
      </c>
      <c r="AQ257" s="52" t="n">
        <f aca="false">IF(CL257&gt;0,CL257*MAX(1,AO257/X257),IF(BW257=1,IF(AO257&lt;=0,0,CA257*MAX(1,IF(H257&gt;0,AO257/H257,1))),IF(R257&gt;0,AP257/R257,0))/MAX(0.1,N(Parameter!$M$21)))</f>
        <v>0.0833333333333333</v>
      </c>
      <c r="AR257" s="50" t="n">
        <f aca="false">AQ257*BY257</f>
        <v>12.0833333333333</v>
      </c>
      <c r="AS257" s="50" t="n">
        <f aca="false">AO257*G257</f>
        <v>1868.4</v>
      </c>
      <c r="AT257" s="50" t="n">
        <f aca="false">ROUNDUP(MAX(J257/IF(CD257&gt;0,CD257,MAX(0.1,N(Cockpit!$I$6))),CG257)/BV257,0)*BV257</f>
        <v>4</v>
      </c>
      <c r="AU257" s="51" t="n">
        <f aca="false">IF(AR257&gt;0,J257/AR257,-1)</f>
        <v>0.0827586206896552</v>
      </c>
      <c r="AV257" s="51" t="str">
        <f aca="false">IF(AND(OR(CC257="L1",CC257="L23",CC257="LIFT"),AR257&gt;0),SUMIFS($AR$7:$AR$1843,$CC$7:$CC$1843,CC257,$AU$7:$AU$1843,"&gt;"&amp;AU257)+SUMIFS($AR$7:$AR$1843,$CC$7:$CC$1843,CC257,$AU$7:$AU$1843,AU257,$BT$7:$BT$1843,"&lt;="&amp;BT257),"")</f>
        <v/>
      </c>
      <c r="AW257" s="58" t="n">
        <f aca="false">IF(AV257="",0,MAX(0,MIN(1,(IF(CC257="L1",Parameter!$H$5,IF(CC257="L23",Parameter!$H$6+Parameter!$H$7,Parameter!$H$5+Parameter!$H$6+Parameter!$H$7))-(AV257-AR257))/AR257)))</f>
        <v>0</v>
      </c>
      <c r="AX257" s="50" t="n">
        <f aca="false">IF(LEFT(Cockpit!$O$5,1)="A",H257,IF(CE257=1,CF257,IF(LEFT(Cockpit!$O$5,1)="B",BC257,MAX(BC257,H257))))</f>
        <v>4</v>
      </c>
      <c r="AY257" s="50" t="n">
        <f aca="false">IF(BW257=1,0,ROUNDUP(AX257/BV257,0))</f>
        <v>1</v>
      </c>
      <c r="AZ257" s="52" t="n">
        <f aca="false">IF(CL257&gt;0,CL257*MAX(1,AX257/X257),IF(BW257=1,IF(AX257&lt;=0,0,CA257*MAX(1,IF(H257&gt;0,AX257/H257,1))),IF(R257&gt;0,AY257/R257,0))/MAX(0.1,N(Parameter!$M$21)))</f>
        <v>0.0833333333333333</v>
      </c>
      <c r="BA257" s="50" t="n">
        <f aca="false">AZ257*BY257</f>
        <v>12.0833333333333</v>
      </c>
      <c r="BB257" s="50" t="n">
        <f aca="false">AX257*G257</f>
        <v>1868.4</v>
      </c>
      <c r="BC257" s="50" t="n">
        <f aca="false">ROUNDUP(MAX(J257/IF(CD257&gt;0,CD257,MAX(0.1,N(Cockpit!$O$6))),CG257)/BV257,0)*BV257</f>
        <v>4</v>
      </c>
      <c r="BD257" s="51" t="n">
        <f aca="false">IF(BA257&gt;0,J257/BA257,-1)</f>
        <v>0.0827586206896552</v>
      </c>
      <c r="BE257" s="51" t="str">
        <f aca="false">IF(AND(OR(CC257="L1",CC257="L23",CC257="LIFT"),BA257&gt;0),SUMIFS($BA$7:$BA$1843,$CC$7:$CC$1843,CC257,$BD$7:$BD$1843,"&gt;"&amp;BD257)+SUMIFS($BA$7:$BA$1843,$CC$7:$CC$1843,CC257,$BD$7:$BD$1843,BD257,$BT$7:$BT$1843,"&lt;="&amp;BT257),"")</f>
        <v/>
      </c>
      <c r="BF257" s="58" t="n">
        <f aca="false">IF(BE257="",0,MAX(0,MIN(1,(IF(CC257="L1",Parameter!$H$5,IF(CC257="L23",Parameter!$H$6+Parameter!$H$7,Parameter!$H$5+Parameter!$H$6+Parameter!$H$7))-(BE257-BA257))/BA257)))</f>
        <v>0</v>
      </c>
      <c r="BG257" s="48" t="str">
        <f aca="false">IF(AI257&lt;=0,"",IF(CC257="Aussen","Aussenlager",IF(CC257="-","Nicht im Lift",IF(AN257&gt;=1,"Lift",IF(AN257&lt;=0,"Aussenlager","teilweise")))))</f>
        <v>Nicht im Lift</v>
      </c>
      <c r="BH257" s="48" t="str">
        <f aca="false">IF(AR257&lt;=0,"",IF(CC257="Aussen","Aussenlager",IF(CC257="-","Nicht im Lift",IF(AW257&gt;=1,"Lift",IF(AW257&lt;=0,"Aussenlager","teilweise")))))</f>
        <v>Nicht im Lift</v>
      </c>
      <c r="BI257" s="48" t="str">
        <f aca="false">IF(BA257&lt;=0,"",IF(CC257="Aussen","Aussenlager",IF(CC257="-","Nicht im Lift",IF(BF257&gt;=1,"Lift",IF(BF257&lt;=0,"Aussenlager","teilweise")))))</f>
        <v>Nicht im Lift</v>
      </c>
      <c r="BJ257" s="48" t="str">
        <f aca="false">IF(A257="","",IF(BS257=1,"Neu; ","")&amp;IF(AND(BS257=0,BN257&lt;0),"negativer Bestand (Export "&amp;BN257&amp;"); ","")&amp;IF(J257&lt;=0,"Kein Verbrauch; ","")&amp;IF(CL257&gt;0,"Lift "&amp;W257&amp;" lt. Liftbericht (Fach "&amp;X257&amp;" Stk); ",IF(BX257=1,"Gebinde geschätzt ("&amp;T257&amp;"); ",IF(BW257=1,"Lose – Tablare geschätzt; ","")))&amp;IF(H257&gt;AT257,"Überbestand "&amp;ROUND(H257-AT257,0)&amp;" Stk / CHF "&amp;ROUND((H257-AT257)*G257,0)&amp;"; ","")&amp;IF(AND(CE257=1,CF257&lt;CG257),"MAX &lt; MB+LG; ","")&amp;IF(AND(CK257&gt;0,CJ257*10&gt;CK257),"zu hoch für Tablar; ","")&amp;IF(AND(BS257=0,OR(CE257=1,AA257&lt;&gt;"",U257&lt;&gt;"",V257&lt;&gt;"",AB257&lt;&gt;"")),"manuell übersteuert; ","")&amp;IF(AND(BW257=0,R257=0),"Gebinde unbekannt / Stellmass fehlt; ","")&amp;IF(AND(BW257=0,N(V257)&lt;=0,N(Q257)&lt;=0),"Menge pro Gebinde fehlt (Ist = 1 Gebinde); ","")&amp;BR257)</f>
        <v>Gebinde geschätzt (Mittel); Menge pro Gebinde fehlt (Ist = 1 Gebinde); </v>
      </c>
      <c r="BK257" s="48"/>
      <c r="BL257" s="48"/>
      <c r="BM257" s="55"/>
      <c r="BN257" s="50" t="n">
        <v>1</v>
      </c>
      <c r="BO257" s="50" t="n">
        <v>0</v>
      </c>
      <c r="BP257" s="49" t="n">
        <v>467.1</v>
      </c>
      <c r="BQ257" s="50" t="n">
        <v>1</v>
      </c>
      <c r="BR257" s="48"/>
      <c r="BS257" s="53" t="n">
        <v>0</v>
      </c>
      <c r="BT257" s="53" t="n">
        <v>257</v>
      </c>
      <c r="BU257" s="48" t="str">
        <f aca="false">IF(U257&lt;&gt;"",UPPER(TRIM(U257)),IF(BX257=1,UPPER(VLOOKUP(T257,Parameter!$I$27:$K$29,2,0)),IF(P257="","LOSE",P257)))</f>
        <v>S61</v>
      </c>
      <c r="BV257" s="50" t="n">
        <f aca="false">IF(BU257="LOSE",1,IF(N(V257)&gt;0,V257,IF(BX257=1,MAX(1,N(VLOOKUP(T257,Parameter!$I$27:$K$29,3,0)),H257,N(N257)),IF(N(Q257)&gt;0,Q257,MAX(1,H257)))))</f>
        <v>4</v>
      </c>
      <c r="BW257" s="53" t="n">
        <f aca="false">IF(BU257="LOSE",1,0)</f>
        <v>0</v>
      </c>
      <c r="BX257" s="53" t="n">
        <f aca="false">IF(AND(U257="",OR(P257="",P257="LOSE"),T257&lt;&gt;"",N(S257)&lt;=0,ISNUMBER(MATCH(T257,Parameter!$I$27:$I$29,0))),1,0)</f>
        <v>1</v>
      </c>
      <c r="BY257" s="53" t="n">
        <f aca="false">IF(CL257&gt;0,INDEX(Parameter!$H$5:$H$7,W257)/INDEX(Parameter!$E$5:$E$7,W257),IF(AND(BW257=0,N(IFERROR(VLOOKUP(BU257,'Gebinde-Kategorie'!$A$5:$N$45,14,0),0))&gt;0),VLOOKUP(BU257,'Gebinde-Kategorie'!$A$5:$N$45,14,0)*10+Parameter!$M$23,Parameter!$M$24))</f>
        <v>145</v>
      </c>
      <c r="BZ257" s="48" t="str">
        <f aca="false">IF(AND(Parameter!$B$19="Ja",E257&lt;&gt;"",ISNUMBER(MATCH(E257,Parameter!$I$35:$I$52,0))),VLOOKUP(E257,Parameter!$I$35:$J$52,2,0),IFERROR(VLOOKUP(D257,Parameter!$A$35:$C$64,2,0),"Nein"))</f>
        <v>Nein</v>
      </c>
      <c r="CA257" s="52" t="n">
        <f aca="false">IF(BW257=0,0,IF(N(S257)&gt;0,S257,IFERROR(VLOOKUP(D257,Parameter!$A$35:$C$64,3,0)+0,0)))</f>
        <v>0</v>
      </c>
      <c r="CB257" s="48" t="str">
        <f aca="false">IF(AA257&lt;&gt;"",AA257,Z257)</f>
        <v>-</v>
      </c>
      <c r="CC257" s="48" t="str">
        <f aca="false">IF(OR(CB257=1,CB257=2,CB257=3),IF(Parameter!$E$27="Ja","LIFT",IF(CB257=1,"L1","L23")),IF(CB257="Aussen","Aussen","-"))</f>
        <v>-</v>
      </c>
      <c r="CD257" s="59" t="n">
        <f aca="false">IF(N(AB257)&gt;0,AB257,0)</f>
        <v>0</v>
      </c>
      <c r="CE257" s="53" t="n">
        <f aca="false">IF(ISNUMBER(AE257),1,0)</f>
        <v>0</v>
      </c>
      <c r="CF257" s="50" t="n">
        <f aca="false">N(AE257)</f>
        <v>0</v>
      </c>
      <c r="CG257" s="50" t="n">
        <f aca="false">N(M257)+N(N257)</f>
        <v>1</v>
      </c>
      <c r="CH257" s="50" t="n">
        <f aca="false">ROUNDUP(H257/BV257,0)</f>
        <v>1</v>
      </c>
      <c r="CI257" s="50" t="n">
        <f aca="false">ROUNDUP(CF257/BV257,0)</f>
        <v>0</v>
      </c>
      <c r="CJ257" s="53" t="n">
        <f aca="false">IF(BW257=1,0,IFERROR(VLOOKUP(BU257,'Gebinde-Kategorie'!$A$5:$N$45,5,0)+0,0))</f>
        <v>11</v>
      </c>
      <c r="CK257" s="53" t="n">
        <f aca="false">IFERROR(IF(OR(CB257=1,CB257=2,CB257=3),N(INDEX(Parameter!$I$5:$I$7,CB257)),0),0)</f>
        <v>0</v>
      </c>
      <c r="CL257" s="52" t="n">
        <f aca="false">IF(AND(Parameter!$B$21="Ja",ISNUMBER(W257),N(X257)&gt;0),IFERROR(N(INDEX(Parameter!$L$5:$L$7,W257))*INDEX(Parameter!$E$5:$E$7,W257)*X257/SUMIFS($X$7:$X$1843,$W$7:$W$1843,W257),0),0)</f>
        <v>0</v>
      </c>
    </row>
    <row r="258" customFormat="false" ht="15" hidden="false" customHeight="false" outlineLevel="0" collapsed="false">
      <c r="A258" s="48" t="s">
        <v>703</v>
      </c>
      <c r="B258" s="48" t="s">
        <v>704</v>
      </c>
      <c r="C258" s="48" t="s">
        <v>168</v>
      </c>
      <c r="D258" s="48" t="s">
        <v>177</v>
      </c>
      <c r="E258" s="48" t="s">
        <v>189</v>
      </c>
      <c r="F258" s="48" t="s">
        <v>222</v>
      </c>
      <c r="G258" s="49" t="n">
        <v>84.68</v>
      </c>
      <c r="H258" s="50" t="n">
        <f aca="false">MAX(0,IF(AND(Parameter!$B$21="Ja",ISNUMBER(Y258)),Y258,IF(Parameter!$B$20="Jahresanfang 2025 + Export",BO258+BN258,BN258)))</f>
        <v>25</v>
      </c>
      <c r="I258" s="50" t="n">
        <f aca="false">H258*G258</f>
        <v>2117</v>
      </c>
      <c r="J258" s="50" t="n">
        <f aca="false">BQ258*Parameter!$B$18</f>
        <v>83</v>
      </c>
      <c r="K258" s="51" t="n">
        <v>17</v>
      </c>
      <c r="L258" s="52" t="n">
        <v>4.88235294117647</v>
      </c>
      <c r="M258" s="50" t="n">
        <v>2</v>
      </c>
      <c r="N258" s="50" t="n">
        <v>20</v>
      </c>
      <c r="O258" s="53" t="n">
        <v>7</v>
      </c>
      <c r="P258" s="48" t="s">
        <v>230</v>
      </c>
      <c r="Q258" s="50" t="n">
        <v>45</v>
      </c>
      <c r="R258" s="53" t="n">
        <f aca="false">IF(BW258=1,0,IFERROR(VLOOKUP(BU258,'Gebinde-Kategorie'!$A$5:$N$45,13,0)+0,0))</f>
        <v>12</v>
      </c>
      <c r="S258" s="54"/>
      <c r="T258" s="55"/>
      <c r="U258" s="55"/>
      <c r="V258" s="55"/>
      <c r="W258" s="48"/>
      <c r="X258" s="50"/>
      <c r="Y258" s="50"/>
      <c r="Z258" s="48" t="n">
        <f aca="false">IF(A258="","",IF(AND(Parameter!$B$21="Ja",ISNUMBER(W258)),W258,IF(BZ258="2+3",IF(ISNUMBER(SEARCH("grosser Artikel",BR258)),2,IFERROR(VLOOKUP(BU258,Parameter!$F$35:$G$64,2,0),2)),IF(OR(BZ258="Nein",BZ258=""),"-",BZ258))))</f>
        <v>2</v>
      </c>
      <c r="AA258" s="55"/>
      <c r="AB258" s="56"/>
      <c r="AC258" s="50" t="n">
        <f aca="false">AT258</f>
        <v>45</v>
      </c>
      <c r="AD258" s="50" t="n">
        <f aca="false">MAX(AT258,H258)</f>
        <v>45</v>
      </c>
      <c r="AE258" s="57"/>
      <c r="AF258" s="50" t="n">
        <f aca="false">IF(LEFT(Cockpit!$C$5,1)="A",H258,IF(CE258=1,CF258,IF(LEFT(Cockpit!$C$5,1)="B",AK258,MAX(AK258,H258))))</f>
        <v>25</v>
      </c>
      <c r="AG258" s="50" t="n">
        <f aca="false">IF(BW258=1,0,ROUNDUP(AF258/BV258,0))</f>
        <v>1</v>
      </c>
      <c r="AH258" s="52" t="n">
        <f aca="false">IF(CL258&gt;0,CL258*MAX(1,AF258/X258),IF(BW258=1,IF(AF258&lt;=0,0,CA258*MAX(1,IF(H258&gt;0,AF258/H258,1))),IF(R258&gt;0,AG258/R258,0))/MAX(0.1,N(Parameter!$M$21)))</f>
        <v>0.0833333333333333</v>
      </c>
      <c r="AI258" s="50" t="n">
        <f aca="false">AH258*BY258</f>
        <v>28.75</v>
      </c>
      <c r="AJ258" s="50" t="n">
        <f aca="false">AF258*G258</f>
        <v>2117</v>
      </c>
      <c r="AK258" s="50" t="n">
        <f aca="false">ROUNDUP(MAX(J258/IF(CD258&gt;0,CD258,MAX(0.1,N(Cockpit!$C$6))),CG258)/BV258,0)*BV258</f>
        <v>45</v>
      </c>
      <c r="AL258" s="51" t="n">
        <f aca="false">IF(AI258&gt;0,J258/AI258,-1)</f>
        <v>2.88695652173913</v>
      </c>
      <c r="AM258" s="51" t="n">
        <f aca="false">IF(AND(OR(CC258="L1",CC258="L23",CC258="LIFT"),AI258&gt;0),SUMIFS($AI$7:$AI$1843,$CC$7:$CC$1843,CC258,$AL$7:$AL$1843,"&gt;"&amp;AL258)+SUMIFS($AI$7:$AI$1843,$CC$7:$CC$1843,CC258,$AL$7:$AL$1843,AL258,$BT$7:$BT$1843,"&lt;="&amp;BT258),"")</f>
        <v>5168.5206043956</v>
      </c>
      <c r="AN258" s="58" t="n">
        <f aca="false">IF(AM258="",0,MAX(0,MIN(1,(IF(CC258="L1",Parameter!$H$5,IF(CC258="L23",Parameter!$H$6+Parameter!$H$7,Parameter!$H$5+Parameter!$H$6+Parameter!$H$7))-(AM258-AI258))/AI258)))</f>
        <v>1</v>
      </c>
      <c r="AO258" s="50" t="n">
        <f aca="false">IF(LEFT(Cockpit!$I$5,1)="A",H258,IF(CE258=1,CF258,IF(LEFT(Cockpit!$I$5,1)="B",AT258,MAX(AT258,H258))))</f>
        <v>45</v>
      </c>
      <c r="AP258" s="50" t="n">
        <f aca="false">IF(BW258=1,0,ROUNDUP(AO258/BV258,0))</f>
        <v>1</v>
      </c>
      <c r="AQ258" s="52" t="n">
        <f aca="false">IF(CL258&gt;0,CL258*MAX(1,AO258/X258),IF(BW258=1,IF(AO258&lt;=0,0,CA258*MAX(1,IF(H258&gt;0,AO258/H258,1))),IF(R258&gt;0,AP258/R258,0))/MAX(0.1,N(Parameter!$M$21)))</f>
        <v>0.0833333333333333</v>
      </c>
      <c r="AR258" s="50" t="n">
        <f aca="false">AQ258*BY258</f>
        <v>28.75</v>
      </c>
      <c r="AS258" s="50" t="n">
        <f aca="false">AO258*G258</f>
        <v>3810.6</v>
      </c>
      <c r="AT258" s="50" t="n">
        <f aca="false">ROUNDUP(MAX(J258/IF(CD258&gt;0,CD258,MAX(0.1,N(Cockpit!$I$6))),CG258)/BV258,0)*BV258</f>
        <v>45</v>
      </c>
      <c r="AU258" s="51" t="n">
        <f aca="false">IF(AR258&gt;0,J258/AR258,-1)</f>
        <v>2.88695652173913</v>
      </c>
      <c r="AV258" s="51" t="n">
        <f aca="false">IF(AND(OR(CC258="L1",CC258="L23",CC258="LIFT"),AR258&gt;0),SUMIFS($AR$7:$AR$1843,$CC$7:$CC$1843,CC258,$AU$7:$AU$1843,"&gt;"&amp;AU258)+SUMIFS($AR$7:$AR$1843,$CC$7:$CC$1843,CC258,$AU$7:$AU$1843,AU258,$BT$7:$BT$1843,"&lt;="&amp;BT258),"")</f>
        <v>6396.1456043956</v>
      </c>
      <c r="AW258" s="58" t="n">
        <f aca="false">IF(AV258="",0,MAX(0,MIN(1,(IF(CC258="L1",Parameter!$H$5,IF(CC258="L23",Parameter!$H$6+Parameter!$H$7,Parameter!$H$5+Parameter!$H$6+Parameter!$H$7))-(AV258-AR258))/AR258)))</f>
        <v>1</v>
      </c>
      <c r="AX258" s="50" t="n">
        <f aca="false">IF(LEFT(Cockpit!$O$5,1)="A",H258,IF(CE258=1,CF258,IF(LEFT(Cockpit!$O$5,1)="B",BC258,MAX(BC258,H258))))</f>
        <v>45</v>
      </c>
      <c r="AY258" s="50" t="n">
        <f aca="false">IF(BW258=1,0,ROUNDUP(AX258/BV258,0))</f>
        <v>1</v>
      </c>
      <c r="AZ258" s="52" t="n">
        <f aca="false">IF(CL258&gt;0,CL258*MAX(1,AX258/X258),IF(BW258=1,IF(AX258&lt;=0,0,CA258*MAX(1,IF(H258&gt;0,AX258/H258,1))),IF(R258&gt;0,AY258/R258,0))/MAX(0.1,N(Parameter!$M$21)))</f>
        <v>0.0833333333333333</v>
      </c>
      <c r="BA258" s="50" t="n">
        <f aca="false">AZ258*BY258</f>
        <v>28.75</v>
      </c>
      <c r="BB258" s="50" t="n">
        <f aca="false">AX258*G258</f>
        <v>3810.6</v>
      </c>
      <c r="BC258" s="50" t="n">
        <f aca="false">ROUNDUP(MAX(J258/IF(CD258&gt;0,CD258,MAX(0.1,N(Cockpit!$O$6))),CG258)/BV258,0)*BV258</f>
        <v>45</v>
      </c>
      <c r="BD258" s="51" t="n">
        <f aca="false">IF(BA258&gt;0,J258/BA258,-1)</f>
        <v>2.88695652173913</v>
      </c>
      <c r="BE258" s="51" t="n">
        <f aca="false">IF(AND(OR(CC258="L1",CC258="L23",CC258="LIFT"),BA258&gt;0),SUMIFS($BA$7:$BA$1843,$CC$7:$CC$1843,CC258,$BD$7:$BD$1843,"&gt;"&amp;BD258)+SUMIFS($BA$7:$BA$1843,$CC$7:$CC$1843,CC258,$BD$7:$BD$1843,BD258,$BT$7:$BT$1843,"&lt;="&amp;BT258),"")</f>
        <v>6393.46932234432</v>
      </c>
      <c r="BF258" s="58" t="n">
        <f aca="false">IF(BE258="",0,MAX(0,MIN(1,(IF(CC258="L1",Parameter!$H$5,IF(CC258="L23",Parameter!$H$6+Parameter!$H$7,Parameter!$H$5+Parameter!$H$6+Parameter!$H$7))-(BE258-BA258))/BA258)))</f>
        <v>1</v>
      </c>
      <c r="BG258" s="48" t="str">
        <f aca="false">IF(AI258&lt;=0,"",IF(CC258="Aussen","Aussenlager",IF(CC258="-","Nicht im Lift",IF(AN258&gt;=1,"Lift",IF(AN258&lt;=0,"Aussenlager","teilweise")))))</f>
        <v>Lift</v>
      </c>
      <c r="BH258" s="48" t="str">
        <f aca="false">IF(AR258&lt;=0,"",IF(CC258="Aussen","Aussenlager",IF(CC258="-","Nicht im Lift",IF(AW258&gt;=1,"Lift",IF(AW258&lt;=0,"Aussenlager","teilweise")))))</f>
        <v>Lift</v>
      </c>
      <c r="BI258" s="48" t="str">
        <f aca="false">IF(BA258&lt;=0,"",IF(CC258="Aussen","Aussenlager",IF(CC258="-","Nicht im Lift",IF(BF258&gt;=1,"Lift",IF(BF258&lt;=0,"Aussenlager","teilweise")))))</f>
        <v>Lift</v>
      </c>
      <c r="BJ258" s="48" t="str">
        <f aca="false">IF(A258="","",IF(BS258=1,"Neu; ","")&amp;IF(AND(BS258=0,BN258&lt;0),"negativer Bestand (Export "&amp;BN258&amp;"); ","")&amp;IF(J258&lt;=0,"Kein Verbrauch; ","")&amp;IF(CL258&gt;0,"Lift "&amp;W258&amp;" lt. Liftbericht (Fach "&amp;X258&amp;" Stk); ",IF(BX258=1,"Gebinde geschätzt ("&amp;T258&amp;"); ",IF(BW258=1,"Lose – Tablare geschätzt; ","")))&amp;IF(H258&gt;AT258,"Überbestand "&amp;ROUND(H258-AT258,0)&amp;" Stk / CHF "&amp;ROUND((H258-AT258)*G258,0)&amp;"; ","")&amp;IF(AND(CE258=1,CF258&lt;CG258),"MAX &lt; MB+LG; ","")&amp;IF(AND(CK258&gt;0,CJ258*10&gt;CK258),"zu hoch für Tablar; ","")&amp;IF(AND(BS258=0,OR(CE258=1,AA258&lt;&gt;"",U258&lt;&gt;"",V258&lt;&gt;"",AB258&lt;&gt;"")),"manuell übersteuert; ","")&amp;IF(AND(BW258=0,R258=0),"Gebinde unbekannt / Stellmass fehlt; ","")&amp;IF(AND(BW258=0,N(V258)&lt;=0,N(Q258)&lt;=0),"Menge pro Gebinde fehlt (Ist = 1 Gebinde); ","")&amp;BR258)</f>
        <v/>
      </c>
      <c r="BK258" s="48"/>
      <c r="BL258" s="48"/>
      <c r="BM258" s="55"/>
      <c r="BN258" s="50" t="n">
        <v>5</v>
      </c>
      <c r="BO258" s="50" t="n">
        <v>20</v>
      </c>
      <c r="BP258" s="49" t="n">
        <v>459.799999999999</v>
      </c>
      <c r="BQ258" s="50" t="n">
        <v>83</v>
      </c>
      <c r="BR258" s="48"/>
      <c r="BS258" s="53" t="n">
        <v>0</v>
      </c>
      <c r="BT258" s="53" t="n">
        <v>258</v>
      </c>
      <c r="BU258" s="48" t="str">
        <f aca="false">IF(U258&lt;&gt;"",UPPER(TRIM(U258)),IF(BX258=1,UPPER(VLOOKUP(T258,Parameter!$I$27:$K$29,2,0)),IF(P258="","LOSE",P258)))</f>
        <v>S63</v>
      </c>
      <c r="BV258" s="50" t="n">
        <f aca="false">IF(BU258="LOSE",1,IF(N(V258)&gt;0,V258,IF(BX258=1,MAX(1,N(VLOOKUP(T258,Parameter!$I$27:$K$29,3,0)),H258,N(N258)),IF(N(Q258)&gt;0,Q258,MAX(1,H258)))))</f>
        <v>45</v>
      </c>
      <c r="BW258" s="53" t="n">
        <f aca="false">IF(BU258="LOSE",1,0)</f>
        <v>0</v>
      </c>
      <c r="BX258" s="53" t="n">
        <f aca="false">IF(AND(U258="",OR(P258="",P258="LOSE"),T258&lt;&gt;"",N(S258)&lt;=0,ISNUMBER(MATCH(T258,Parameter!$I$27:$I$29,0))),1,0)</f>
        <v>0</v>
      </c>
      <c r="BY258" s="53" t="n">
        <f aca="false">IF(CL258&gt;0,INDEX(Parameter!$H$5:$H$7,W258)/INDEX(Parameter!$E$5:$E$7,W258),IF(AND(BW258=0,N(IFERROR(VLOOKUP(BU258,'Gebinde-Kategorie'!$A$5:$N$45,14,0),0))&gt;0),VLOOKUP(BU258,'Gebinde-Kategorie'!$A$5:$N$45,14,0)*10+Parameter!$M$23,Parameter!$M$24))</f>
        <v>345</v>
      </c>
      <c r="BZ258" s="48" t="str">
        <f aca="false">IF(AND(Parameter!$B$19="Ja",E258&lt;&gt;"",ISNUMBER(MATCH(E258,Parameter!$I$35:$I$52,0))),VLOOKUP(E258,Parameter!$I$35:$J$52,2,0),IFERROR(VLOOKUP(D258,Parameter!$A$35:$C$64,2,0),"Nein"))</f>
        <v>2+3</v>
      </c>
      <c r="CA258" s="52" t="n">
        <f aca="false">IF(BW258=0,0,IF(N(S258)&gt;0,S258,IFERROR(VLOOKUP(D258,Parameter!$A$35:$C$64,3,0)+0,0)))</f>
        <v>0</v>
      </c>
      <c r="CB258" s="48" t="n">
        <f aca="false">IF(AA258&lt;&gt;"",AA258,Z258)</f>
        <v>2</v>
      </c>
      <c r="CC258" s="48" t="str">
        <f aca="false">IF(OR(CB258=1,CB258=2,CB258=3),IF(Parameter!$E$27="Ja","LIFT",IF(CB258=1,"L1","L23")),IF(CB258="Aussen","Aussen","-"))</f>
        <v>LIFT</v>
      </c>
      <c r="CD258" s="59" t="n">
        <f aca="false">IF(N(AB258)&gt;0,AB258,0)</f>
        <v>0</v>
      </c>
      <c r="CE258" s="53" t="n">
        <f aca="false">IF(ISNUMBER(AE258),1,0)</f>
        <v>0</v>
      </c>
      <c r="CF258" s="50" t="n">
        <f aca="false">N(AE258)</f>
        <v>0</v>
      </c>
      <c r="CG258" s="50" t="n">
        <f aca="false">N(M258)+N(N258)</f>
        <v>22</v>
      </c>
      <c r="CH258" s="50" t="n">
        <f aca="false">ROUNDUP(H258/BV258,0)</f>
        <v>1</v>
      </c>
      <c r="CI258" s="50" t="n">
        <f aca="false">ROUNDUP(CF258/BV258,0)</f>
        <v>0</v>
      </c>
      <c r="CJ258" s="53" t="n">
        <f aca="false">IF(BW258=1,0,IFERROR(VLOOKUP(BU258,'Gebinde-Kategorie'!$A$5:$N$45,5,0)+0,0))</f>
        <v>31</v>
      </c>
      <c r="CK258" s="53" t="n">
        <f aca="false">IFERROR(IF(OR(CB258=1,CB258=2,CB258=3),N(INDEX(Parameter!$I$5:$I$7,CB258)),0),0)</f>
        <v>0</v>
      </c>
      <c r="CL258" s="52" t="n">
        <f aca="false">IF(AND(Parameter!$B$21="Ja",ISNUMBER(W258),N(X258)&gt;0),IFERROR(N(INDEX(Parameter!$L$5:$L$7,W258))*INDEX(Parameter!$E$5:$E$7,W258)*X258/SUMIFS($X$7:$X$1843,$W$7:$W$1843,W258),0),0)</f>
        <v>0</v>
      </c>
    </row>
    <row r="259" customFormat="false" ht="15" hidden="false" customHeight="false" outlineLevel="0" collapsed="false">
      <c r="A259" s="48" t="s">
        <v>705</v>
      </c>
      <c r="B259" s="48" t="s">
        <v>411</v>
      </c>
      <c r="C259" s="48" t="s">
        <v>168</v>
      </c>
      <c r="D259" s="48" t="s">
        <v>188</v>
      </c>
      <c r="E259" s="48" t="s">
        <v>189</v>
      </c>
      <c r="F259" s="48" t="s">
        <v>222</v>
      </c>
      <c r="G259" s="49" t="n">
        <v>0.35</v>
      </c>
      <c r="H259" s="50" t="n">
        <f aca="false">MAX(0,IF(AND(Parameter!$B$21="Ja",ISNUMBER(Y259)),Y259,IF(Parameter!$B$20="Jahresanfang 2025 + Export",BO259+BN259,BN259)))</f>
        <v>2447</v>
      </c>
      <c r="I259" s="50" t="n">
        <f aca="false">H259*G259</f>
        <v>856.45</v>
      </c>
      <c r="J259" s="50" t="n">
        <f aca="false">BQ259*Parameter!$B$18</f>
        <v>4586</v>
      </c>
      <c r="K259" s="51" t="n">
        <v>1287</v>
      </c>
      <c r="L259" s="52" t="n">
        <v>3.56332556332556</v>
      </c>
      <c r="M259" s="50" t="n">
        <v>267</v>
      </c>
      <c r="N259" s="50" t="n">
        <v>2000</v>
      </c>
      <c r="O259" s="53" t="n">
        <v>21</v>
      </c>
      <c r="P259" s="48" t="s">
        <v>237</v>
      </c>
      <c r="Q259" s="50" t="n">
        <v>1949</v>
      </c>
      <c r="R259" s="53" t="n">
        <f aca="false">IF(BW259=1,0,IFERROR(VLOOKUP(BU259,'Gebinde-Kategorie'!$A$5:$N$45,13,0)+0,0))</f>
        <v>26</v>
      </c>
      <c r="S259" s="54"/>
      <c r="T259" s="55"/>
      <c r="U259" s="55"/>
      <c r="V259" s="55"/>
      <c r="W259" s="48"/>
      <c r="X259" s="50"/>
      <c r="Y259" s="50"/>
      <c r="Z259" s="48" t="n">
        <f aca="false">IF(A259="","",IF(AND(Parameter!$B$21="Ja",ISNUMBER(W259)),W259,IF(BZ259="2+3",IF(ISNUMBER(SEARCH("grosser Artikel",BR259)),2,IFERROR(VLOOKUP(BU259,Parameter!$F$35:$G$64,2,0),2)),IF(OR(BZ259="Nein",BZ259=""),"-",BZ259))))</f>
        <v>3</v>
      </c>
      <c r="AA259" s="55"/>
      <c r="AB259" s="56"/>
      <c r="AC259" s="50" t="n">
        <f aca="false">AT259</f>
        <v>3898</v>
      </c>
      <c r="AD259" s="50" t="n">
        <f aca="false">MAX(AT259,H259)</f>
        <v>3898</v>
      </c>
      <c r="AE259" s="57"/>
      <c r="AF259" s="50" t="n">
        <f aca="false">IF(LEFT(Cockpit!$C$5,1)="A",H259,IF(CE259=1,CF259,IF(LEFT(Cockpit!$C$5,1)="B",AK259,MAX(AK259,H259))))</f>
        <v>2447</v>
      </c>
      <c r="AG259" s="50" t="n">
        <f aca="false">IF(BW259=1,0,ROUNDUP(AF259/BV259,0))</f>
        <v>2</v>
      </c>
      <c r="AH259" s="52" t="n">
        <f aca="false">IF(CL259&gt;0,CL259*MAX(1,AF259/X259),IF(BW259=1,IF(AF259&lt;=0,0,CA259*MAX(1,IF(H259&gt;0,AF259/H259,1))),IF(R259&gt;0,AG259/R259,0))/MAX(0.1,N(Parameter!$M$21)))</f>
        <v>0.0769230769230769</v>
      </c>
      <c r="AI259" s="50" t="n">
        <f aca="false">AH259*BY259</f>
        <v>18.8461538461538</v>
      </c>
      <c r="AJ259" s="50" t="n">
        <f aca="false">AF259*G259</f>
        <v>856.45</v>
      </c>
      <c r="AK259" s="50" t="n">
        <f aca="false">ROUNDUP(MAX(J259/IF(CD259&gt;0,CD259,MAX(0.1,N(Cockpit!$C$6))),CG259)/BV259,0)*BV259</f>
        <v>3898</v>
      </c>
      <c r="AL259" s="51" t="n">
        <f aca="false">IF(AI259&gt;0,J259/AI259,-1)</f>
        <v>243.338775510204</v>
      </c>
      <c r="AM259" s="51" t="n">
        <f aca="false">IF(AND(OR(CC259="L1",CC259="L23",CC259="LIFT"),AI259&gt;0),SUMIFS($AI$7:$AI$1843,$CC$7:$CC$1843,CC259,$AL$7:$AL$1843,"&gt;"&amp;AL259)+SUMIFS($AI$7:$AI$1843,$CC$7:$CC$1843,CC259,$AL$7:$AL$1843,AL259,$BT$7:$BT$1843,"&lt;="&amp;BT259),"")</f>
        <v>304.446886446887</v>
      </c>
      <c r="AN259" s="58" t="n">
        <f aca="false">IF(AM259="",0,MAX(0,MIN(1,(IF(CC259="L1",Parameter!$H$5,IF(CC259="L23",Parameter!$H$6+Parameter!$H$7,Parameter!$H$5+Parameter!$H$6+Parameter!$H$7))-(AM259-AI259))/AI259)))</f>
        <v>1</v>
      </c>
      <c r="AO259" s="50" t="n">
        <f aca="false">IF(LEFT(Cockpit!$I$5,1)="A",H259,IF(CE259=1,CF259,IF(LEFT(Cockpit!$I$5,1)="B",AT259,MAX(AT259,H259))))</f>
        <v>3898</v>
      </c>
      <c r="AP259" s="50" t="n">
        <f aca="false">IF(BW259=1,0,ROUNDUP(AO259/BV259,0))</f>
        <v>2</v>
      </c>
      <c r="AQ259" s="52" t="n">
        <f aca="false">IF(CL259&gt;0,CL259*MAX(1,AO259/X259),IF(BW259=1,IF(AO259&lt;=0,0,CA259*MAX(1,IF(H259&gt;0,AO259/H259,1))),IF(R259&gt;0,AP259/R259,0))/MAX(0.1,N(Parameter!$M$21)))</f>
        <v>0.0769230769230769</v>
      </c>
      <c r="AR259" s="50" t="n">
        <f aca="false">AQ259*BY259</f>
        <v>18.8461538461538</v>
      </c>
      <c r="AS259" s="50" t="n">
        <f aca="false">AO259*G259</f>
        <v>1364.3</v>
      </c>
      <c r="AT259" s="50" t="n">
        <f aca="false">ROUNDUP(MAX(J259/IF(CD259&gt;0,CD259,MAX(0.1,N(Cockpit!$I$6))),CG259)/BV259,0)*BV259</f>
        <v>3898</v>
      </c>
      <c r="AU259" s="51" t="n">
        <f aca="false">IF(AR259&gt;0,J259/AR259,-1)</f>
        <v>243.338775510204</v>
      </c>
      <c r="AV259" s="51" t="n">
        <f aca="false">IF(AND(OR(CC259="L1",CC259="L23",CC259="LIFT"),AR259&gt;0),SUMIFS($AR$7:$AR$1843,$CC$7:$CC$1843,CC259,$AU$7:$AU$1843,"&gt;"&amp;AU259)+SUMIFS($AR$7:$AR$1843,$CC$7:$CC$1843,CC259,$AU$7:$AU$1843,AU259,$BT$7:$BT$1843,"&lt;="&amp;BT259),"")</f>
        <v>221.885531135531</v>
      </c>
      <c r="AW259" s="58" t="n">
        <f aca="false">IF(AV259="",0,MAX(0,MIN(1,(IF(CC259="L1",Parameter!$H$5,IF(CC259="L23",Parameter!$H$6+Parameter!$H$7,Parameter!$H$5+Parameter!$H$6+Parameter!$H$7))-(AV259-AR259))/AR259)))</f>
        <v>1</v>
      </c>
      <c r="AX259" s="50" t="n">
        <f aca="false">IF(LEFT(Cockpit!$O$5,1)="A",H259,IF(CE259=1,CF259,IF(LEFT(Cockpit!$O$5,1)="B",BC259,MAX(BC259,H259))))</f>
        <v>3898</v>
      </c>
      <c r="AY259" s="50" t="n">
        <f aca="false">IF(BW259=1,0,ROUNDUP(AX259/BV259,0))</f>
        <v>2</v>
      </c>
      <c r="AZ259" s="52" t="n">
        <f aca="false">IF(CL259&gt;0,CL259*MAX(1,AX259/X259),IF(BW259=1,IF(AX259&lt;=0,0,CA259*MAX(1,IF(H259&gt;0,AX259/H259,1))),IF(R259&gt;0,AY259/R259,0))/MAX(0.1,N(Parameter!$M$21)))</f>
        <v>0.0769230769230769</v>
      </c>
      <c r="BA259" s="50" t="n">
        <f aca="false">AZ259*BY259</f>
        <v>18.8461538461538</v>
      </c>
      <c r="BB259" s="50" t="n">
        <f aca="false">AX259*G259</f>
        <v>1364.3</v>
      </c>
      <c r="BC259" s="50" t="n">
        <f aca="false">ROUNDUP(MAX(J259/IF(CD259&gt;0,CD259,MAX(0.1,N(Cockpit!$O$6))),CG259)/BV259,0)*BV259</f>
        <v>3898</v>
      </c>
      <c r="BD259" s="51" t="n">
        <f aca="false">IF(BA259&gt;0,J259/BA259,-1)</f>
        <v>243.338775510204</v>
      </c>
      <c r="BE259" s="51" t="n">
        <f aca="false">IF(AND(OR(CC259="L1",CC259="L23",CC259="LIFT"),BA259&gt;0),SUMIFS($BA$7:$BA$1843,$CC$7:$CC$1843,CC259,$BD$7:$BD$1843,"&gt;"&amp;BD259)+SUMIFS($BA$7:$BA$1843,$CC$7:$CC$1843,CC259,$BD$7:$BD$1843,BD259,$BT$7:$BT$1843,"&lt;="&amp;BT259),"")</f>
        <v>234.770146520147</v>
      </c>
      <c r="BF259" s="58" t="n">
        <f aca="false">IF(BE259="",0,MAX(0,MIN(1,(IF(CC259="L1",Parameter!$H$5,IF(CC259="L23",Parameter!$H$6+Parameter!$H$7,Parameter!$H$5+Parameter!$H$6+Parameter!$H$7))-(BE259-BA259))/BA259)))</f>
        <v>1</v>
      </c>
      <c r="BG259" s="48" t="str">
        <f aca="false">IF(AI259&lt;=0,"",IF(CC259="Aussen","Aussenlager",IF(CC259="-","Nicht im Lift",IF(AN259&gt;=1,"Lift",IF(AN259&lt;=0,"Aussenlager","teilweise")))))</f>
        <v>Lift</v>
      </c>
      <c r="BH259" s="48" t="str">
        <f aca="false">IF(AR259&lt;=0,"",IF(CC259="Aussen","Aussenlager",IF(CC259="-","Nicht im Lift",IF(AW259&gt;=1,"Lift",IF(AW259&lt;=0,"Aussenlager","teilweise")))))</f>
        <v>Lift</v>
      </c>
      <c r="BI259" s="48" t="str">
        <f aca="false">IF(BA259&lt;=0,"",IF(CC259="Aussen","Aussenlager",IF(CC259="-","Nicht im Lift",IF(BF259&gt;=1,"Lift",IF(BF259&lt;=0,"Aussenlager","teilweise")))))</f>
        <v>Lift</v>
      </c>
      <c r="BJ259" s="48" t="str">
        <f aca="false">IF(A259="","",IF(BS259=1,"Neu; ","")&amp;IF(AND(BS259=0,BN259&lt;0),"negativer Bestand (Export "&amp;BN259&amp;"); ","")&amp;IF(J259&lt;=0,"Kein Verbrauch; ","")&amp;IF(CL259&gt;0,"Lift "&amp;W259&amp;" lt. Liftbericht (Fach "&amp;X259&amp;" Stk); ",IF(BX259=1,"Gebinde geschätzt ("&amp;T259&amp;"); ",IF(BW259=1,"Lose – Tablare geschätzt; ","")))&amp;IF(H259&gt;AT259,"Überbestand "&amp;ROUND(H259-AT259,0)&amp;" Stk / CHF "&amp;ROUND((H259-AT259)*G259,0)&amp;"; ","")&amp;IF(AND(CE259=1,CF259&lt;CG259),"MAX &lt; MB+LG; ","")&amp;IF(AND(CK259&gt;0,CJ259*10&gt;CK259),"zu hoch für Tablar; ","")&amp;IF(AND(BS259=0,OR(CE259=1,AA259&lt;&gt;"",U259&lt;&gt;"",V259&lt;&gt;"",AB259&lt;&gt;"")),"manuell übersteuert; ","")&amp;IF(AND(BW259=0,R259=0),"Gebinde unbekannt / Stellmass fehlt; ","")&amp;IF(AND(BW259=0,N(V259)&lt;=0,N(Q259)&lt;=0),"Menge pro Gebinde fehlt (Ist = 1 Gebinde); ","")&amp;BR259)</f>
        <v/>
      </c>
      <c r="BK259" s="48"/>
      <c r="BL259" s="48"/>
      <c r="BM259" s="55"/>
      <c r="BN259" s="50" t="n">
        <v>1293</v>
      </c>
      <c r="BO259" s="50" t="n">
        <v>1154</v>
      </c>
      <c r="BP259" s="49" t="n">
        <v>452.55</v>
      </c>
      <c r="BQ259" s="50" t="n">
        <v>4586</v>
      </c>
      <c r="BR259" s="48"/>
      <c r="BS259" s="53" t="n">
        <v>0</v>
      </c>
      <c r="BT259" s="53" t="n">
        <v>259</v>
      </c>
      <c r="BU259" s="48" t="str">
        <f aca="false">IF(U259&lt;&gt;"",UPPER(TRIM(U259)),IF(BX259=1,UPPER(VLOOKUP(T259,Parameter!$I$27:$K$29,2,0)),IF(P259="","LOSE",P259)))</f>
        <v>S52</v>
      </c>
      <c r="BV259" s="50" t="n">
        <f aca="false">IF(BU259="LOSE",1,IF(N(V259)&gt;0,V259,IF(BX259=1,MAX(1,N(VLOOKUP(T259,Parameter!$I$27:$K$29,3,0)),H259,N(N259)),IF(N(Q259)&gt;0,Q259,MAX(1,H259)))))</f>
        <v>1949</v>
      </c>
      <c r="BW259" s="53" t="n">
        <f aca="false">IF(BU259="LOSE",1,0)</f>
        <v>0</v>
      </c>
      <c r="BX259" s="53" t="n">
        <f aca="false">IF(AND(U259="",OR(P259="",P259="LOSE"),T259&lt;&gt;"",N(S259)&lt;=0,ISNUMBER(MATCH(T259,Parameter!$I$27:$I$29,0))),1,0)</f>
        <v>0</v>
      </c>
      <c r="BY259" s="53" t="n">
        <f aca="false">IF(CL259&gt;0,INDEX(Parameter!$H$5:$H$7,W259)/INDEX(Parameter!$E$5:$E$7,W259),IF(AND(BW259=0,N(IFERROR(VLOOKUP(BU259,'Gebinde-Kategorie'!$A$5:$N$45,14,0),0))&gt;0),VLOOKUP(BU259,'Gebinde-Kategorie'!$A$5:$N$45,14,0)*10+Parameter!$M$23,Parameter!$M$24))</f>
        <v>245</v>
      </c>
      <c r="BZ259" s="48" t="str">
        <f aca="false">IF(AND(Parameter!$B$19="Ja",E259&lt;&gt;"",ISNUMBER(MATCH(E259,Parameter!$I$35:$I$52,0))),VLOOKUP(E259,Parameter!$I$35:$J$52,2,0),IFERROR(VLOOKUP(D259,Parameter!$A$35:$C$64,2,0),"Nein"))</f>
        <v>2+3</v>
      </c>
      <c r="CA259" s="52" t="n">
        <f aca="false">IF(BW259=0,0,IF(N(S259)&gt;0,S259,IFERROR(VLOOKUP(D259,Parameter!$A$35:$C$64,3,0)+0,0)))</f>
        <v>0</v>
      </c>
      <c r="CB259" s="48" t="n">
        <f aca="false">IF(AA259&lt;&gt;"",AA259,Z259)</f>
        <v>3</v>
      </c>
      <c r="CC259" s="48" t="str">
        <f aca="false">IF(OR(CB259=1,CB259=2,CB259=3),IF(Parameter!$E$27="Ja","LIFT",IF(CB259=1,"L1","L23")),IF(CB259="Aussen","Aussen","-"))</f>
        <v>LIFT</v>
      </c>
      <c r="CD259" s="59" t="n">
        <f aca="false">IF(N(AB259)&gt;0,AB259,0)</f>
        <v>0</v>
      </c>
      <c r="CE259" s="53" t="n">
        <f aca="false">IF(ISNUMBER(AE259),1,0)</f>
        <v>0</v>
      </c>
      <c r="CF259" s="50" t="n">
        <f aca="false">N(AE259)</f>
        <v>0</v>
      </c>
      <c r="CG259" s="50" t="n">
        <f aca="false">N(M259)+N(N259)</f>
        <v>2267</v>
      </c>
      <c r="CH259" s="50" t="n">
        <f aca="false">ROUNDUP(H259/BV259,0)</f>
        <v>2</v>
      </c>
      <c r="CI259" s="50" t="n">
        <f aca="false">ROUNDUP(CF259/BV259,0)</f>
        <v>0</v>
      </c>
      <c r="CJ259" s="53" t="n">
        <f aca="false">IF(BW259=1,0,IFERROR(VLOOKUP(BU259,'Gebinde-Kategorie'!$A$5:$N$45,5,0)+0,0))</f>
        <v>21</v>
      </c>
      <c r="CK259" s="53" t="n">
        <f aca="false">IFERROR(IF(OR(CB259=1,CB259=2,CB259=3),N(INDEX(Parameter!$I$5:$I$7,CB259)),0),0)</f>
        <v>0</v>
      </c>
      <c r="CL259" s="52" t="n">
        <f aca="false">IF(AND(Parameter!$B$21="Ja",ISNUMBER(W259),N(X259)&gt;0),IFERROR(N(INDEX(Parameter!$L$5:$L$7,W259))*INDEX(Parameter!$E$5:$E$7,W259)*X259/SUMIFS($X$7:$X$1843,$W$7:$W$1843,W259),0),0)</f>
        <v>0</v>
      </c>
    </row>
    <row r="260" customFormat="false" ht="15" hidden="false" customHeight="false" outlineLevel="0" collapsed="false">
      <c r="A260" s="48" t="s">
        <v>706</v>
      </c>
      <c r="B260" s="48" t="s">
        <v>707</v>
      </c>
      <c r="C260" s="48" t="s">
        <v>168</v>
      </c>
      <c r="D260" s="48" t="s">
        <v>177</v>
      </c>
      <c r="E260" s="48" t="s">
        <v>170</v>
      </c>
      <c r="F260" s="48" t="s">
        <v>222</v>
      </c>
      <c r="G260" s="49" t="n">
        <v>428.4</v>
      </c>
      <c r="H260" s="50" t="n">
        <f aca="false">MAX(0,IF(AND(Parameter!$B$21="Ja",ISNUMBER(Y260)),Y260,IF(Parameter!$B$20="Jahresanfang 2025 + Export",BO260+BN260,BN260)))</f>
        <v>14</v>
      </c>
      <c r="I260" s="50" t="n">
        <f aca="false">H260*G260</f>
        <v>5997.6</v>
      </c>
      <c r="J260" s="50" t="n">
        <f aca="false">BQ260*Parameter!$B$18</f>
        <v>58</v>
      </c>
      <c r="K260" s="51" t="n">
        <v>9</v>
      </c>
      <c r="L260" s="52" t="n">
        <v>6.44444444444445</v>
      </c>
      <c r="M260" s="50" t="n">
        <v>5</v>
      </c>
      <c r="N260" s="50" t="n">
        <v>20</v>
      </c>
      <c r="O260" s="53" t="n">
        <v>35</v>
      </c>
      <c r="P260" s="48" t="s">
        <v>263</v>
      </c>
      <c r="Q260" s="50" t="n">
        <v>10</v>
      </c>
      <c r="R260" s="53" t="n">
        <f aca="false">IF(BW260=1,0,IFERROR(VLOOKUP(BU260,'Gebinde-Kategorie'!$A$5:$N$45,13,0)+0,0))</f>
        <v>6</v>
      </c>
      <c r="S260" s="54"/>
      <c r="T260" s="55"/>
      <c r="U260" s="55"/>
      <c r="V260" s="55"/>
      <c r="W260" s="48"/>
      <c r="X260" s="50"/>
      <c r="Y260" s="50"/>
      <c r="Z260" s="48" t="n">
        <f aca="false">IF(A260="","",IF(AND(Parameter!$B$21="Ja",ISNUMBER(W260)),W260,IF(BZ260="2+3",IF(ISNUMBER(SEARCH("grosser Artikel",BR260)),2,IFERROR(VLOOKUP(BU260,Parameter!$F$35:$G$64,2,0),2)),IF(OR(BZ260="Nein",BZ260=""),"-",BZ260))))</f>
        <v>1</v>
      </c>
      <c r="AA260" s="55"/>
      <c r="AB260" s="56"/>
      <c r="AC260" s="50" t="n">
        <f aca="false">AT260</f>
        <v>30</v>
      </c>
      <c r="AD260" s="50" t="n">
        <f aca="false">MAX(AT260,H260)</f>
        <v>30</v>
      </c>
      <c r="AE260" s="57"/>
      <c r="AF260" s="50" t="n">
        <f aca="false">IF(LEFT(Cockpit!$C$5,1)="A",H260,IF(CE260=1,CF260,IF(LEFT(Cockpit!$C$5,1)="B",AK260,MAX(AK260,H260))))</f>
        <v>14</v>
      </c>
      <c r="AG260" s="50" t="n">
        <f aca="false">IF(BW260=1,0,ROUNDUP(AF260/BV260,0))</f>
        <v>2</v>
      </c>
      <c r="AH260" s="52" t="n">
        <f aca="false">IF(CL260&gt;0,CL260*MAX(1,AF260/X260),IF(BW260=1,IF(AF260&lt;=0,0,CA260*MAX(1,IF(H260&gt;0,AF260/H260,1))),IF(R260&gt;0,AG260/R260,0))/MAX(0.1,N(Parameter!$M$21)))</f>
        <v>0.333333333333333</v>
      </c>
      <c r="AI260" s="50" t="n">
        <f aca="false">AH260*BY260</f>
        <v>145</v>
      </c>
      <c r="AJ260" s="50" t="n">
        <f aca="false">AF260*G260</f>
        <v>5997.6</v>
      </c>
      <c r="AK260" s="50" t="n">
        <f aca="false">ROUNDUP(MAX(J260/IF(CD260&gt;0,CD260,MAX(0.1,N(Cockpit!$C$6))),CG260)/BV260,0)*BV260</f>
        <v>30</v>
      </c>
      <c r="AL260" s="51" t="n">
        <f aca="false">IF(AI260&gt;0,J260/AI260,-1)</f>
        <v>0.4</v>
      </c>
      <c r="AM260" s="51" t="n">
        <f aca="false">IF(AND(OR(CC260="L1",CC260="L23",CC260="LIFT"),AI260&gt;0),SUMIFS($AI$7:$AI$1843,$CC$7:$CC$1843,CC260,$AL$7:$AL$1843,"&gt;"&amp;AL260)+SUMIFS($AI$7:$AI$1843,$CC$7:$CC$1843,CC260,$AL$7:$AL$1843,AL260,$BT$7:$BT$1843,"&lt;="&amp;BT260),"")</f>
        <v>10302.6666382111</v>
      </c>
      <c r="AN260" s="58" t="n">
        <f aca="false">IF(AM260="",0,MAX(0,MIN(1,(IF(CC260="L1",Parameter!$H$5,IF(CC260="L23",Parameter!$H$6+Parameter!$H$7,Parameter!$H$5+Parameter!$H$6+Parameter!$H$7))-(AM260-AI260))/AI260)))</f>
        <v>1</v>
      </c>
      <c r="AO260" s="50" t="n">
        <f aca="false">IF(LEFT(Cockpit!$I$5,1)="A",H260,IF(CE260=1,CF260,IF(LEFT(Cockpit!$I$5,1)="B",AT260,MAX(AT260,H260))))</f>
        <v>30</v>
      </c>
      <c r="AP260" s="50" t="n">
        <f aca="false">IF(BW260=1,0,ROUNDUP(AO260/BV260,0))</f>
        <v>3</v>
      </c>
      <c r="AQ260" s="52" t="n">
        <f aca="false">IF(CL260&gt;0,CL260*MAX(1,AO260/X260),IF(BW260=1,IF(AO260&lt;=0,0,CA260*MAX(1,IF(H260&gt;0,AO260/H260,1))),IF(R260&gt;0,AP260/R260,0))/MAX(0.1,N(Parameter!$M$21)))</f>
        <v>0.5</v>
      </c>
      <c r="AR260" s="50" t="n">
        <f aca="false">AQ260*BY260</f>
        <v>217.5</v>
      </c>
      <c r="AS260" s="50" t="n">
        <f aca="false">AO260*G260</f>
        <v>12852</v>
      </c>
      <c r="AT260" s="50" t="n">
        <f aca="false">ROUNDUP(MAX(J260/IF(CD260&gt;0,CD260,MAX(0.1,N(Cockpit!$I$6))),CG260)/BV260,0)*BV260</f>
        <v>30</v>
      </c>
      <c r="AU260" s="51" t="n">
        <f aca="false">IF(AR260&gt;0,J260/AR260,-1)</f>
        <v>0.266666666666667</v>
      </c>
      <c r="AV260" s="51" t="n">
        <f aca="false">IF(AND(OR(CC260="L1",CC260="L23",CC260="LIFT"),AR260&gt;0),SUMIFS($AR$7:$AR$1843,$CC$7:$CC$1843,CC260,$AU$7:$AU$1843,"&gt;"&amp;AU260)+SUMIFS($AR$7:$AR$1843,$CC$7:$CC$1843,CC260,$AU$7:$AU$1843,AU260,$BT$7:$BT$1843,"&lt;="&amp;BT260),"")</f>
        <v>17611.8017399267</v>
      </c>
      <c r="AW260" s="58" t="n">
        <f aca="false">IF(AV260="",0,MAX(0,MIN(1,(IF(CC260="L1",Parameter!$H$5,IF(CC260="L23",Parameter!$H$6+Parameter!$H$7,Parameter!$H$5+Parameter!$H$6+Parameter!$H$7))-(AV260-AR260))/AR260)))</f>
        <v>1</v>
      </c>
      <c r="AX260" s="50" t="n">
        <f aca="false">IF(LEFT(Cockpit!$O$5,1)="A",H260,IF(CE260=1,CF260,IF(LEFT(Cockpit!$O$5,1)="B",BC260,MAX(BC260,H260))))</f>
        <v>30</v>
      </c>
      <c r="AY260" s="50" t="n">
        <f aca="false">IF(BW260=1,0,ROUNDUP(AX260/BV260,0))</f>
        <v>3</v>
      </c>
      <c r="AZ260" s="52" t="n">
        <f aca="false">IF(CL260&gt;0,CL260*MAX(1,AX260/X260),IF(BW260=1,IF(AX260&lt;=0,0,CA260*MAX(1,IF(H260&gt;0,AX260/H260,1))),IF(R260&gt;0,AY260/R260,0))/MAX(0.1,N(Parameter!$M$21)))</f>
        <v>0.5</v>
      </c>
      <c r="BA260" s="50" t="n">
        <f aca="false">AZ260*BY260</f>
        <v>217.5</v>
      </c>
      <c r="BB260" s="50" t="n">
        <f aca="false">AX260*G260</f>
        <v>12852</v>
      </c>
      <c r="BC260" s="50" t="n">
        <f aca="false">ROUNDUP(MAX(J260/IF(CD260&gt;0,CD260,MAX(0.1,N(Cockpit!$O$6))),CG260)/BV260,0)*BV260</f>
        <v>30</v>
      </c>
      <c r="BD260" s="51" t="n">
        <f aca="false">IF(BA260&gt;0,J260/BA260,-1)</f>
        <v>0.266666666666667</v>
      </c>
      <c r="BE260" s="51" t="n">
        <f aca="false">IF(AND(OR(CC260="L1",CC260="L23",CC260="LIFT"),BA260&gt;0),SUMIFS($BA$7:$BA$1843,$CC$7:$CC$1843,CC260,$BD$7:$BD$1843,"&gt;"&amp;BD260)+SUMIFS($BA$7:$BA$1843,$CC$7:$CC$1843,CC260,$BD$7:$BD$1843,BD260,$BT$7:$BT$1843,"&lt;="&amp;BT260),"")</f>
        <v>16558.2921245421</v>
      </c>
      <c r="BF260" s="58" t="n">
        <f aca="false">IF(BE260="",0,MAX(0,MIN(1,(IF(CC260="L1",Parameter!$H$5,IF(CC260="L23",Parameter!$H$6+Parameter!$H$7,Parameter!$H$5+Parameter!$H$6+Parameter!$H$7))-(BE260-BA260))/BA260)))</f>
        <v>1</v>
      </c>
      <c r="BG260" s="48" t="str">
        <f aca="false">IF(AI260&lt;=0,"",IF(CC260="Aussen","Aussenlager",IF(CC260="-","Nicht im Lift",IF(AN260&gt;=1,"Lift",IF(AN260&lt;=0,"Aussenlager","teilweise")))))</f>
        <v>Lift</v>
      </c>
      <c r="BH260" s="48" t="str">
        <f aca="false">IF(AR260&lt;=0,"",IF(CC260="Aussen","Aussenlager",IF(CC260="-","Nicht im Lift",IF(AW260&gt;=1,"Lift",IF(AW260&lt;=0,"Aussenlager","teilweise")))))</f>
        <v>Lift</v>
      </c>
      <c r="BI260" s="48" t="str">
        <f aca="false">IF(BA260&lt;=0,"",IF(CC260="Aussen","Aussenlager",IF(CC260="-","Nicht im Lift",IF(BF260&gt;=1,"Lift",IF(BF260&lt;=0,"Aussenlager","teilweise")))))</f>
        <v>Lift</v>
      </c>
      <c r="BJ260" s="48" t="str">
        <f aca="false">IF(A260="","",IF(BS260=1,"Neu; ","")&amp;IF(AND(BS260=0,BN260&lt;0),"negativer Bestand (Export "&amp;BN260&amp;"); ","")&amp;IF(J260&lt;=0,"Kein Verbrauch; ","")&amp;IF(CL260&gt;0,"Lift "&amp;W260&amp;" lt. Liftbericht (Fach "&amp;X260&amp;" Stk); ",IF(BX260=1,"Gebinde geschätzt ("&amp;T260&amp;"); ",IF(BW260=1,"Lose – Tablare geschätzt; ","")))&amp;IF(H260&gt;AT260,"Überbestand "&amp;ROUND(H260-AT260,0)&amp;" Stk / CHF "&amp;ROUND((H260-AT260)*G260,0)&amp;"; ","")&amp;IF(AND(CE260=1,CF260&lt;CG260),"MAX &lt; MB+LG; ","")&amp;IF(AND(CK260&gt;0,CJ260*10&gt;CK260),"zu hoch für Tablar; ","")&amp;IF(AND(BS260=0,OR(CE260=1,AA260&lt;&gt;"",U260&lt;&gt;"",V260&lt;&gt;"",AB260&lt;&gt;"")),"manuell übersteuert; ","")&amp;IF(AND(BW260=0,R260=0),"Gebinde unbekannt / Stellmass fehlt; ","")&amp;IF(AND(BW260=0,N(V260)&lt;=0,N(Q260)&lt;=0),"Menge pro Gebinde fehlt (Ist = 1 Gebinde); ","")&amp;BR260)</f>
        <v/>
      </c>
      <c r="BK260" s="48"/>
      <c r="BL260" s="48"/>
      <c r="BM260" s="55"/>
      <c r="BN260" s="50" t="n">
        <v>1</v>
      </c>
      <c r="BO260" s="50" t="n">
        <v>13</v>
      </c>
      <c r="BP260" s="49" t="n">
        <v>449.2</v>
      </c>
      <c r="BQ260" s="50" t="n">
        <v>58</v>
      </c>
      <c r="BR260" s="48"/>
      <c r="BS260" s="53" t="n">
        <v>0</v>
      </c>
      <c r="BT260" s="53" t="n">
        <v>260</v>
      </c>
      <c r="BU260" s="48" t="str">
        <f aca="false">IF(U260&lt;&gt;"",UPPER(TRIM(U260)),IF(BX260=1,UPPER(VLOOKUP(T260,Parameter!$I$27:$K$29,2,0)),IF(P260="","LOSE",P260)))</f>
        <v>S72</v>
      </c>
      <c r="BV260" s="50" t="n">
        <f aca="false">IF(BU260="LOSE",1,IF(N(V260)&gt;0,V260,IF(BX260=1,MAX(1,N(VLOOKUP(T260,Parameter!$I$27:$K$29,3,0)),H260,N(N260)),IF(N(Q260)&gt;0,Q260,MAX(1,H260)))))</f>
        <v>10</v>
      </c>
      <c r="BW260" s="53" t="n">
        <f aca="false">IF(BU260="LOSE",1,0)</f>
        <v>0</v>
      </c>
      <c r="BX260" s="53" t="n">
        <f aca="false">IF(AND(U260="",OR(P260="",P260="LOSE"),T260&lt;&gt;"",N(S260)&lt;=0,ISNUMBER(MATCH(T260,Parameter!$I$27:$I$29,0))),1,0)</f>
        <v>0</v>
      </c>
      <c r="BY260" s="53" t="n">
        <f aca="false">IF(CL260&gt;0,INDEX(Parameter!$H$5:$H$7,W260)/INDEX(Parameter!$E$5:$E$7,W260),IF(AND(BW260=0,N(IFERROR(VLOOKUP(BU260,'Gebinde-Kategorie'!$A$5:$N$45,14,0),0))&gt;0),VLOOKUP(BU260,'Gebinde-Kategorie'!$A$5:$N$45,14,0)*10+Parameter!$M$23,Parameter!$M$24))</f>
        <v>435</v>
      </c>
      <c r="BZ260" s="48" t="n">
        <f aca="false">IF(AND(Parameter!$B$19="Ja",E260&lt;&gt;"",ISNUMBER(MATCH(E260,Parameter!$I$35:$I$52,0))),VLOOKUP(E260,Parameter!$I$35:$J$52,2,0),IFERROR(VLOOKUP(D260,Parameter!$A$35:$C$64,2,0),"Nein"))</f>
        <v>1</v>
      </c>
      <c r="CA260" s="52" t="n">
        <f aca="false">IF(BW260=0,0,IF(N(S260)&gt;0,S260,IFERROR(VLOOKUP(D260,Parameter!$A$35:$C$64,3,0)+0,0)))</f>
        <v>0</v>
      </c>
      <c r="CB260" s="48" t="n">
        <f aca="false">IF(AA260&lt;&gt;"",AA260,Z260)</f>
        <v>1</v>
      </c>
      <c r="CC260" s="48" t="str">
        <f aca="false">IF(OR(CB260=1,CB260=2,CB260=3),IF(Parameter!$E$27="Ja","LIFT",IF(CB260=1,"L1","L23")),IF(CB260="Aussen","Aussen","-"))</f>
        <v>LIFT</v>
      </c>
      <c r="CD260" s="59" t="n">
        <f aca="false">IF(N(AB260)&gt;0,AB260,0)</f>
        <v>0</v>
      </c>
      <c r="CE260" s="53" t="n">
        <f aca="false">IF(ISNUMBER(AE260),1,0)</f>
        <v>0</v>
      </c>
      <c r="CF260" s="50" t="n">
        <f aca="false">N(AE260)</f>
        <v>0</v>
      </c>
      <c r="CG260" s="50" t="n">
        <f aca="false">N(M260)+N(N260)</f>
        <v>25</v>
      </c>
      <c r="CH260" s="50" t="n">
        <f aca="false">ROUNDUP(H260/BV260,0)</f>
        <v>2</v>
      </c>
      <c r="CI260" s="50" t="n">
        <f aca="false">ROUNDUP(CF260/BV260,0)</f>
        <v>0</v>
      </c>
      <c r="CJ260" s="53" t="n">
        <f aca="false">IF(BW260=1,0,IFERROR(VLOOKUP(BU260,'Gebinde-Kategorie'!$A$5:$N$45,5,0)+0,0))</f>
        <v>40</v>
      </c>
      <c r="CK260" s="53" t="n">
        <f aca="false">IFERROR(IF(OR(CB260=1,CB260=2,CB260=3),N(INDEX(Parameter!$I$5:$I$7,CB260)),0),0)</f>
        <v>0</v>
      </c>
      <c r="CL260" s="52" t="n">
        <f aca="false">IF(AND(Parameter!$B$21="Ja",ISNUMBER(W260),N(X260)&gt;0),IFERROR(N(INDEX(Parameter!$L$5:$L$7,W260))*INDEX(Parameter!$E$5:$E$7,W260)*X260/SUMIFS($X$7:$X$1843,$W$7:$W$1843,W260),0),0)</f>
        <v>0</v>
      </c>
    </row>
    <row r="261" customFormat="false" ht="15" hidden="false" customHeight="false" outlineLevel="0" collapsed="false">
      <c r="A261" s="48" t="s">
        <v>708</v>
      </c>
      <c r="B261" s="48" t="s">
        <v>709</v>
      </c>
      <c r="C261" s="48" t="s">
        <v>168</v>
      </c>
      <c r="D261" s="48" t="s">
        <v>188</v>
      </c>
      <c r="E261" s="48" t="s">
        <v>189</v>
      </c>
      <c r="F261" s="48" t="s">
        <v>222</v>
      </c>
      <c r="G261" s="49" t="n">
        <v>5.29</v>
      </c>
      <c r="H261" s="50" t="n">
        <f aca="false">MAX(0,IF(AND(Parameter!$B$21="Ja",ISNUMBER(Y261)),Y261,IF(Parameter!$B$20="Jahresanfang 2025 + Export",BO261+BN261,BN261)))</f>
        <v>188</v>
      </c>
      <c r="I261" s="50" t="n">
        <f aca="false">H261*G261</f>
        <v>994.52</v>
      </c>
      <c r="J261" s="50" t="n">
        <f aca="false">BQ261*Parameter!$B$18</f>
        <v>198</v>
      </c>
      <c r="K261" s="51" t="n">
        <v>110</v>
      </c>
      <c r="L261" s="52" t="n">
        <v>1.8</v>
      </c>
      <c r="M261" s="50" t="n">
        <v>7</v>
      </c>
      <c r="N261" s="50" t="n">
        <v>200</v>
      </c>
      <c r="O261" s="53" t="n">
        <v>14</v>
      </c>
      <c r="P261" s="48" t="s">
        <v>306</v>
      </c>
      <c r="Q261" s="50" t="n">
        <v>150</v>
      </c>
      <c r="R261" s="53" t="n">
        <f aca="false">IF(BW261=1,0,IFERROR(VLOOKUP(BU261,'Gebinde-Kategorie'!$A$5:$N$45,13,0)+0,0))</f>
        <v>26</v>
      </c>
      <c r="S261" s="54"/>
      <c r="T261" s="55"/>
      <c r="U261" s="55"/>
      <c r="V261" s="55"/>
      <c r="W261" s="48"/>
      <c r="X261" s="50"/>
      <c r="Y261" s="50"/>
      <c r="Z261" s="48" t="n">
        <f aca="false">IF(A261="","",IF(AND(Parameter!$B$21="Ja",ISNUMBER(W261)),W261,IF(BZ261="2+3",IF(ISNUMBER(SEARCH("grosser Artikel",BR261)),2,IFERROR(VLOOKUP(BU261,Parameter!$F$35:$G$64,2,0),2)),IF(OR(BZ261="Nein",BZ261=""),"-",BZ261))))</f>
        <v>3</v>
      </c>
      <c r="AA261" s="55"/>
      <c r="AB261" s="56"/>
      <c r="AC261" s="50" t="n">
        <f aca="false">AT261</f>
        <v>300</v>
      </c>
      <c r="AD261" s="50" t="n">
        <f aca="false">MAX(AT261,H261)</f>
        <v>300</v>
      </c>
      <c r="AE261" s="57"/>
      <c r="AF261" s="50" t="n">
        <f aca="false">IF(LEFT(Cockpit!$C$5,1)="A",H261,IF(CE261=1,CF261,IF(LEFT(Cockpit!$C$5,1)="B",AK261,MAX(AK261,H261))))</f>
        <v>188</v>
      </c>
      <c r="AG261" s="50" t="n">
        <f aca="false">IF(BW261=1,0,ROUNDUP(AF261/BV261,0))</f>
        <v>2</v>
      </c>
      <c r="AH261" s="52" t="n">
        <f aca="false">IF(CL261&gt;0,CL261*MAX(1,AF261/X261),IF(BW261=1,IF(AF261&lt;=0,0,CA261*MAX(1,IF(H261&gt;0,AF261/H261,1))),IF(R261&gt;0,AG261/R261,0))/MAX(0.1,N(Parameter!$M$21)))</f>
        <v>0.0769230769230769</v>
      </c>
      <c r="AI261" s="50" t="n">
        <f aca="false">AH261*BY261</f>
        <v>11.9230769230769</v>
      </c>
      <c r="AJ261" s="50" t="n">
        <f aca="false">AF261*G261</f>
        <v>994.52</v>
      </c>
      <c r="AK261" s="50" t="n">
        <f aca="false">ROUNDUP(MAX(J261/IF(CD261&gt;0,CD261,MAX(0.1,N(Cockpit!$C$6))),CG261)/BV261,0)*BV261</f>
        <v>300</v>
      </c>
      <c r="AL261" s="51" t="n">
        <f aca="false">IF(AI261&gt;0,J261/AI261,-1)</f>
        <v>16.6064516129032</v>
      </c>
      <c r="AM261" s="51" t="n">
        <f aca="false">IF(AND(OR(CC261="L1",CC261="L23",CC261="LIFT"),AI261&gt;0),SUMIFS($AI$7:$AI$1843,$CC$7:$CC$1843,CC261,$AL$7:$AL$1843,"&gt;"&amp;AL261)+SUMIFS($AI$7:$AI$1843,$CC$7:$CC$1843,CC261,$AL$7:$AL$1843,AL261,$BT$7:$BT$1843,"&lt;="&amp;BT261),"")</f>
        <v>2033.57967032967</v>
      </c>
      <c r="AN261" s="58" t="n">
        <f aca="false">IF(AM261="",0,MAX(0,MIN(1,(IF(CC261="L1",Parameter!$H$5,IF(CC261="L23",Parameter!$H$6+Parameter!$H$7,Parameter!$H$5+Parameter!$H$6+Parameter!$H$7))-(AM261-AI261))/AI261)))</f>
        <v>1</v>
      </c>
      <c r="AO261" s="50" t="n">
        <f aca="false">IF(LEFT(Cockpit!$I$5,1)="A",H261,IF(CE261=1,CF261,IF(LEFT(Cockpit!$I$5,1)="B",AT261,MAX(AT261,H261))))</f>
        <v>300</v>
      </c>
      <c r="AP261" s="50" t="n">
        <f aca="false">IF(BW261=1,0,ROUNDUP(AO261/BV261,0))</f>
        <v>2</v>
      </c>
      <c r="AQ261" s="52" t="n">
        <f aca="false">IF(CL261&gt;0,CL261*MAX(1,AO261/X261),IF(BW261=1,IF(AO261&lt;=0,0,CA261*MAX(1,IF(H261&gt;0,AO261/H261,1))),IF(R261&gt;0,AP261/R261,0))/MAX(0.1,N(Parameter!$M$21)))</f>
        <v>0.0769230769230769</v>
      </c>
      <c r="AR261" s="50" t="n">
        <f aca="false">AQ261*BY261</f>
        <v>11.9230769230769</v>
      </c>
      <c r="AS261" s="50" t="n">
        <f aca="false">AO261*G261</f>
        <v>1587</v>
      </c>
      <c r="AT261" s="50" t="n">
        <f aca="false">ROUNDUP(MAX(J261/IF(CD261&gt;0,CD261,MAX(0.1,N(Cockpit!$I$6))),CG261)/BV261,0)*BV261</f>
        <v>300</v>
      </c>
      <c r="AU261" s="51" t="n">
        <f aca="false">IF(AR261&gt;0,J261/AR261,-1)</f>
        <v>16.6064516129032</v>
      </c>
      <c r="AV261" s="51" t="n">
        <f aca="false">IF(AND(OR(CC261="L1",CC261="L23",CC261="LIFT"),AR261&gt;0),SUMIFS($AR$7:$AR$1843,$CC$7:$CC$1843,CC261,$AU$7:$AU$1843,"&gt;"&amp;AU261)+SUMIFS($AR$7:$AR$1843,$CC$7:$CC$1843,CC261,$AU$7:$AU$1843,AU261,$BT$7:$BT$1843,"&lt;="&amp;BT261),"")</f>
        <v>3097.52380952381</v>
      </c>
      <c r="AW261" s="58" t="n">
        <f aca="false">IF(AV261="",0,MAX(0,MIN(1,(IF(CC261="L1",Parameter!$H$5,IF(CC261="L23",Parameter!$H$6+Parameter!$H$7,Parameter!$H$5+Parameter!$H$6+Parameter!$H$7))-(AV261-AR261))/AR261)))</f>
        <v>1</v>
      </c>
      <c r="AX261" s="50" t="n">
        <f aca="false">IF(LEFT(Cockpit!$O$5,1)="A",H261,IF(CE261=1,CF261,IF(LEFT(Cockpit!$O$5,1)="B",BC261,MAX(BC261,H261))))</f>
        <v>300</v>
      </c>
      <c r="AY261" s="50" t="n">
        <f aca="false">IF(BW261=1,0,ROUNDUP(AX261/BV261,0))</f>
        <v>2</v>
      </c>
      <c r="AZ261" s="52" t="n">
        <f aca="false">IF(CL261&gt;0,CL261*MAX(1,AX261/X261),IF(BW261=1,IF(AX261&lt;=0,0,CA261*MAX(1,IF(H261&gt;0,AX261/H261,1))),IF(R261&gt;0,AY261/R261,0))/MAX(0.1,N(Parameter!$M$21)))</f>
        <v>0.0769230769230769</v>
      </c>
      <c r="BA261" s="50" t="n">
        <f aca="false">AZ261*BY261</f>
        <v>11.9230769230769</v>
      </c>
      <c r="BB261" s="50" t="n">
        <f aca="false">AX261*G261</f>
        <v>1587</v>
      </c>
      <c r="BC261" s="50" t="n">
        <f aca="false">ROUNDUP(MAX(J261/IF(CD261&gt;0,CD261,MAX(0.1,N(Cockpit!$O$6))),CG261)/BV261,0)*BV261</f>
        <v>300</v>
      </c>
      <c r="BD261" s="51" t="n">
        <f aca="false">IF(BA261&gt;0,J261/BA261,-1)</f>
        <v>16.6064516129032</v>
      </c>
      <c r="BE261" s="51" t="n">
        <f aca="false">IF(AND(OR(CC261="L1",CC261="L23",CC261="LIFT"),BA261&gt;0),SUMIFS($BA$7:$BA$1843,$CC$7:$CC$1843,CC261,$BD$7:$BD$1843,"&gt;"&amp;BD261)+SUMIFS($BA$7:$BA$1843,$CC$7:$CC$1843,CC261,$BD$7:$BD$1843,BD261,$BT$7:$BT$1843,"&lt;="&amp;BT261),"")</f>
        <v>2771.96291208791</v>
      </c>
      <c r="BF261" s="58" t="n">
        <f aca="false">IF(BE261="",0,MAX(0,MIN(1,(IF(CC261="L1",Parameter!$H$5,IF(CC261="L23",Parameter!$H$6+Parameter!$H$7,Parameter!$H$5+Parameter!$H$6+Parameter!$H$7))-(BE261-BA261))/BA261)))</f>
        <v>1</v>
      </c>
      <c r="BG261" s="48" t="str">
        <f aca="false">IF(AI261&lt;=0,"",IF(CC261="Aussen","Aussenlager",IF(CC261="-","Nicht im Lift",IF(AN261&gt;=1,"Lift",IF(AN261&lt;=0,"Aussenlager","teilweise")))))</f>
        <v>Lift</v>
      </c>
      <c r="BH261" s="48" t="str">
        <f aca="false">IF(AR261&lt;=0,"",IF(CC261="Aussen","Aussenlager",IF(CC261="-","Nicht im Lift",IF(AW261&gt;=1,"Lift",IF(AW261&lt;=0,"Aussenlager","teilweise")))))</f>
        <v>Lift</v>
      </c>
      <c r="BI261" s="48" t="str">
        <f aca="false">IF(BA261&lt;=0,"",IF(CC261="Aussen","Aussenlager",IF(CC261="-","Nicht im Lift",IF(BF261&gt;=1,"Lift",IF(BF261&lt;=0,"Aussenlager","teilweise")))))</f>
        <v>Lift</v>
      </c>
      <c r="BJ261" s="48" t="str">
        <f aca="false">IF(A261="","",IF(BS261=1,"Neu; ","")&amp;IF(AND(BS261=0,BN261&lt;0),"negativer Bestand (Export "&amp;BN261&amp;"); ","")&amp;IF(J261&lt;=0,"Kein Verbrauch; ","")&amp;IF(CL261&gt;0,"Lift "&amp;W261&amp;" lt. Liftbericht (Fach "&amp;X261&amp;" Stk); ",IF(BX261=1,"Gebinde geschätzt ("&amp;T261&amp;"); ",IF(BW261=1,"Lose – Tablare geschätzt; ","")))&amp;IF(H261&gt;AT261,"Überbestand "&amp;ROUND(H261-AT261,0)&amp;" Stk / CHF "&amp;ROUND((H261-AT261)*G261,0)&amp;"; ","")&amp;IF(AND(CE261=1,CF261&lt;CG261),"MAX &lt; MB+LG; ","")&amp;IF(AND(CK261&gt;0,CJ261*10&gt;CK261),"zu hoch für Tablar; ","")&amp;IF(AND(BS261=0,OR(CE261=1,AA261&lt;&gt;"",U261&lt;&gt;"",V261&lt;&gt;"",AB261&lt;&gt;"")),"manuell übersteuert; ","")&amp;IF(AND(BW261=0,R261=0),"Gebinde unbekannt / Stellmass fehlt; ","")&amp;IF(AND(BW261=0,N(V261)&lt;=0,N(Q261)&lt;=0),"Menge pro Gebinde fehlt (Ist = 1 Gebinde); ","")&amp;BR261)</f>
        <v/>
      </c>
      <c r="BK261" s="48"/>
      <c r="BL261" s="48"/>
      <c r="BM261" s="55"/>
      <c r="BN261" s="50" t="n">
        <v>80</v>
      </c>
      <c r="BO261" s="50" t="n">
        <v>108</v>
      </c>
      <c r="BP261" s="49" t="n">
        <v>448.04</v>
      </c>
      <c r="BQ261" s="50" t="n">
        <v>198</v>
      </c>
      <c r="BR261" s="48"/>
      <c r="BS261" s="53" t="n">
        <v>0</v>
      </c>
      <c r="BT261" s="53" t="n">
        <v>261</v>
      </c>
      <c r="BU261" s="48" t="str">
        <f aca="false">IF(U261&lt;&gt;"",UPPER(TRIM(U261)),IF(BX261=1,UPPER(VLOOKUP(T261,Parameter!$I$27:$K$29,2,0)),IF(P261="","LOSE",P261)))</f>
        <v>S51</v>
      </c>
      <c r="BV261" s="50" t="n">
        <f aca="false">IF(BU261="LOSE",1,IF(N(V261)&gt;0,V261,IF(BX261=1,MAX(1,N(VLOOKUP(T261,Parameter!$I$27:$K$29,3,0)),H261,N(N261)),IF(N(Q261)&gt;0,Q261,MAX(1,H261)))))</f>
        <v>150</v>
      </c>
      <c r="BW261" s="53" t="n">
        <f aca="false">IF(BU261="LOSE",1,0)</f>
        <v>0</v>
      </c>
      <c r="BX261" s="53" t="n">
        <f aca="false">IF(AND(U261="",OR(P261="",P261="LOSE"),T261&lt;&gt;"",N(S261)&lt;=0,ISNUMBER(MATCH(T261,Parameter!$I$27:$I$29,0))),1,0)</f>
        <v>0</v>
      </c>
      <c r="BY261" s="53" t="n">
        <f aca="false">IF(CL261&gt;0,INDEX(Parameter!$H$5:$H$7,W261)/INDEX(Parameter!$E$5:$E$7,W261),IF(AND(BW261=0,N(IFERROR(VLOOKUP(BU261,'Gebinde-Kategorie'!$A$5:$N$45,14,0),0))&gt;0),VLOOKUP(BU261,'Gebinde-Kategorie'!$A$5:$N$45,14,0)*10+Parameter!$M$23,Parameter!$M$24))</f>
        <v>155</v>
      </c>
      <c r="BZ261" s="48" t="str">
        <f aca="false">IF(AND(Parameter!$B$19="Ja",E261&lt;&gt;"",ISNUMBER(MATCH(E261,Parameter!$I$35:$I$52,0))),VLOOKUP(E261,Parameter!$I$35:$J$52,2,0),IFERROR(VLOOKUP(D261,Parameter!$A$35:$C$64,2,0),"Nein"))</f>
        <v>2+3</v>
      </c>
      <c r="CA261" s="52" t="n">
        <f aca="false">IF(BW261=0,0,IF(N(S261)&gt;0,S261,IFERROR(VLOOKUP(D261,Parameter!$A$35:$C$64,3,0)+0,0)))</f>
        <v>0</v>
      </c>
      <c r="CB261" s="48" t="n">
        <f aca="false">IF(AA261&lt;&gt;"",AA261,Z261)</f>
        <v>3</v>
      </c>
      <c r="CC261" s="48" t="str">
        <f aca="false">IF(OR(CB261=1,CB261=2,CB261=3),IF(Parameter!$E$27="Ja","LIFT",IF(CB261=1,"L1","L23")),IF(CB261="Aussen","Aussen","-"))</f>
        <v>LIFT</v>
      </c>
      <c r="CD261" s="59" t="n">
        <f aca="false">IF(N(AB261)&gt;0,AB261,0)</f>
        <v>0</v>
      </c>
      <c r="CE261" s="53" t="n">
        <f aca="false">IF(ISNUMBER(AE261),1,0)</f>
        <v>0</v>
      </c>
      <c r="CF261" s="50" t="n">
        <f aca="false">N(AE261)</f>
        <v>0</v>
      </c>
      <c r="CG261" s="50" t="n">
        <f aca="false">N(M261)+N(N261)</f>
        <v>207</v>
      </c>
      <c r="CH261" s="50" t="n">
        <f aca="false">ROUNDUP(H261/BV261,0)</f>
        <v>2</v>
      </c>
      <c r="CI261" s="50" t="n">
        <f aca="false">ROUNDUP(CF261/BV261,0)</f>
        <v>0</v>
      </c>
      <c r="CJ261" s="53" t="n">
        <f aca="false">IF(BW261=1,0,IFERROR(VLOOKUP(BU261,'Gebinde-Kategorie'!$A$5:$N$45,5,0)+0,0))</f>
        <v>11</v>
      </c>
      <c r="CK261" s="53" t="n">
        <f aca="false">IFERROR(IF(OR(CB261=1,CB261=2,CB261=3),N(INDEX(Parameter!$I$5:$I$7,CB261)),0),0)</f>
        <v>0</v>
      </c>
      <c r="CL261" s="52" t="n">
        <f aca="false">IF(AND(Parameter!$B$21="Ja",ISNUMBER(W261),N(X261)&gt;0),IFERROR(N(INDEX(Parameter!$L$5:$L$7,W261))*INDEX(Parameter!$E$5:$E$7,W261)*X261/SUMIFS($X$7:$X$1843,$W$7:$W$1843,W261),0),0)</f>
        <v>0</v>
      </c>
    </row>
    <row r="262" customFormat="false" ht="15" hidden="false" customHeight="false" outlineLevel="0" collapsed="false">
      <c r="A262" s="48" t="s">
        <v>710</v>
      </c>
      <c r="B262" s="48" t="s">
        <v>233</v>
      </c>
      <c r="C262" s="48" t="s">
        <v>168</v>
      </c>
      <c r="D262" s="48" t="s">
        <v>177</v>
      </c>
      <c r="E262" s="48"/>
      <c r="F262" s="48" t="s">
        <v>222</v>
      </c>
      <c r="G262" s="49" t="n">
        <v>146.96</v>
      </c>
      <c r="H262" s="50" t="n">
        <f aca="false">MAX(0,IF(AND(Parameter!$B$21="Ja",ISNUMBER(Y262)),Y262,IF(Parameter!$B$20="Jahresanfang 2025 + Export",BO262+BN262,BN262)))</f>
        <v>3</v>
      </c>
      <c r="I262" s="50" t="n">
        <f aca="false">H262*G262</f>
        <v>440.88</v>
      </c>
      <c r="J262" s="50" t="n">
        <f aca="false">BQ262*Parameter!$B$18</f>
        <v>11</v>
      </c>
      <c r="K262" s="51" t="n">
        <v>2.5</v>
      </c>
      <c r="L262" s="52" t="n">
        <v>4.4</v>
      </c>
      <c r="M262" s="50" t="n">
        <v>0</v>
      </c>
      <c r="N262" s="50" t="n">
        <v>10</v>
      </c>
      <c r="O262" s="53" t="n">
        <v>14</v>
      </c>
      <c r="P262" s="48" t="s">
        <v>172</v>
      </c>
      <c r="Q262" s="50"/>
      <c r="R262" s="53" t="n">
        <f aca="false">IF(BW262=1,0,IFERROR(VLOOKUP(BU262,'Gebinde-Kategorie'!$A$5:$N$45,13,0)+0,0))</f>
        <v>12</v>
      </c>
      <c r="S262" s="54"/>
      <c r="T262" s="55" t="s">
        <v>183</v>
      </c>
      <c r="U262" s="55"/>
      <c r="V262" s="55"/>
      <c r="W262" s="48"/>
      <c r="X262" s="50"/>
      <c r="Y262" s="50"/>
      <c r="Z262" s="48" t="n">
        <f aca="false">IF(A262="","",IF(AND(Parameter!$B$21="Ja",ISNUMBER(W262)),W262,IF(BZ262="2+3",IF(ISNUMBER(SEARCH("grosser Artikel",BR262)),2,IFERROR(VLOOKUP(BU262,Parameter!$F$35:$G$64,2,0),2)),IF(OR(BZ262="Nein",BZ262=""),"-",BZ262))))</f>
        <v>2</v>
      </c>
      <c r="AA262" s="55"/>
      <c r="AB262" s="56"/>
      <c r="AC262" s="50" t="n">
        <f aca="false">AT262</f>
        <v>10</v>
      </c>
      <c r="AD262" s="50" t="n">
        <f aca="false">MAX(AT262,H262)</f>
        <v>10</v>
      </c>
      <c r="AE262" s="57"/>
      <c r="AF262" s="50" t="n">
        <f aca="false">IF(LEFT(Cockpit!$C$5,1)="A",H262,IF(CE262=1,CF262,IF(LEFT(Cockpit!$C$5,1)="B",AK262,MAX(AK262,H262))))</f>
        <v>3</v>
      </c>
      <c r="AG262" s="50" t="n">
        <f aca="false">IF(BW262=1,0,ROUNDUP(AF262/BV262,0))</f>
        <v>1</v>
      </c>
      <c r="AH262" s="52" t="n">
        <f aca="false">IF(CL262&gt;0,CL262*MAX(1,AF262/X262),IF(BW262=1,IF(AF262&lt;=0,0,CA262*MAX(1,IF(H262&gt;0,AF262/H262,1))),IF(R262&gt;0,AG262/R262,0))/MAX(0.1,N(Parameter!$M$21)))</f>
        <v>0.0833333333333333</v>
      </c>
      <c r="AI262" s="50" t="n">
        <f aca="false">AH262*BY262</f>
        <v>12.0833333333333</v>
      </c>
      <c r="AJ262" s="50" t="n">
        <f aca="false">AF262*G262</f>
        <v>440.88</v>
      </c>
      <c r="AK262" s="50" t="n">
        <f aca="false">ROUNDUP(MAX(J262/IF(CD262&gt;0,CD262,MAX(0.1,N(Cockpit!$C$6))),CG262)/BV262,0)*BV262</f>
        <v>10</v>
      </c>
      <c r="AL262" s="51" t="n">
        <f aca="false">IF(AI262&gt;0,J262/AI262,-1)</f>
        <v>0.910344827586207</v>
      </c>
      <c r="AM262" s="51" t="n">
        <f aca="false">IF(AND(OR(CC262="L1",CC262="L23",CC262="LIFT"),AI262&gt;0),SUMIFS($AI$7:$AI$1843,$CC$7:$CC$1843,CC262,$AL$7:$AL$1843,"&gt;"&amp;AL262)+SUMIFS($AI$7:$AI$1843,$CC$7:$CC$1843,CC262,$AL$7:$AL$1843,AL262,$BT$7:$BT$1843,"&lt;="&amp;BT262),"")</f>
        <v>7430.95558608059</v>
      </c>
      <c r="AN262" s="58" t="n">
        <f aca="false">IF(AM262="",0,MAX(0,MIN(1,(IF(CC262="L1",Parameter!$H$5,IF(CC262="L23",Parameter!$H$6+Parameter!$H$7,Parameter!$H$5+Parameter!$H$6+Parameter!$H$7))-(AM262-AI262))/AI262)))</f>
        <v>1</v>
      </c>
      <c r="AO262" s="50" t="n">
        <f aca="false">IF(LEFT(Cockpit!$I$5,1)="A",H262,IF(CE262=1,CF262,IF(LEFT(Cockpit!$I$5,1)="B",AT262,MAX(AT262,H262))))</f>
        <v>10</v>
      </c>
      <c r="AP262" s="50" t="n">
        <f aca="false">IF(BW262=1,0,ROUNDUP(AO262/BV262,0))</f>
        <v>1</v>
      </c>
      <c r="AQ262" s="52" t="n">
        <f aca="false">IF(CL262&gt;0,CL262*MAX(1,AO262/X262),IF(BW262=1,IF(AO262&lt;=0,0,CA262*MAX(1,IF(H262&gt;0,AO262/H262,1))),IF(R262&gt;0,AP262/R262,0))/MAX(0.1,N(Parameter!$M$21)))</f>
        <v>0.0833333333333333</v>
      </c>
      <c r="AR262" s="50" t="n">
        <f aca="false">AQ262*BY262</f>
        <v>12.0833333333333</v>
      </c>
      <c r="AS262" s="50" t="n">
        <f aca="false">AO262*G262</f>
        <v>1469.6</v>
      </c>
      <c r="AT262" s="50" t="n">
        <f aca="false">ROUNDUP(MAX(J262/IF(CD262&gt;0,CD262,MAX(0.1,N(Cockpit!$I$6))),CG262)/BV262,0)*BV262</f>
        <v>10</v>
      </c>
      <c r="AU262" s="51" t="n">
        <f aca="false">IF(AR262&gt;0,J262/AR262,-1)</f>
        <v>0.910344827586207</v>
      </c>
      <c r="AV262" s="51" t="n">
        <f aca="false">IF(AND(OR(CC262="L1",CC262="L23",CC262="LIFT"),AR262&gt;0),SUMIFS($AR$7:$AR$1843,$CC$7:$CC$1843,CC262,$AU$7:$AU$1843,"&gt;"&amp;AU262)+SUMIFS($AR$7:$AR$1843,$CC$7:$CC$1843,CC262,$AU$7:$AU$1843,AU262,$BT$7:$BT$1843,"&lt;="&amp;BT262),"")</f>
        <v>10566.3791208791</v>
      </c>
      <c r="AW262" s="58" t="n">
        <f aca="false">IF(AV262="",0,MAX(0,MIN(1,(IF(CC262="L1",Parameter!$H$5,IF(CC262="L23",Parameter!$H$6+Parameter!$H$7,Parameter!$H$5+Parameter!$H$6+Parameter!$H$7))-(AV262-AR262))/AR262)))</f>
        <v>1</v>
      </c>
      <c r="AX262" s="50" t="n">
        <f aca="false">IF(LEFT(Cockpit!$O$5,1)="A",H262,IF(CE262=1,CF262,IF(LEFT(Cockpit!$O$5,1)="B",BC262,MAX(BC262,H262))))</f>
        <v>10</v>
      </c>
      <c r="AY262" s="50" t="n">
        <f aca="false">IF(BW262=1,0,ROUNDUP(AX262/BV262,0))</f>
        <v>1</v>
      </c>
      <c r="AZ262" s="52" t="n">
        <f aca="false">IF(CL262&gt;0,CL262*MAX(1,AX262/X262),IF(BW262=1,IF(AX262&lt;=0,0,CA262*MAX(1,IF(H262&gt;0,AX262/H262,1))),IF(R262&gt;0,AY262/R262,0))/MAX(0.1,N(Parameter!$M$21)))</f>
        <v>0.0833333333333333</v>
      </c>
      <c r="BA262" s="50" t="n">
        <f aca="false">AZ262*BY262</f>
        <v>12.0833333333333</v>
      </c>
      <c r="BB262" s="50" t="n">
        <f aca="false">AX262*G262</f>
        <v>1469.6</v>
      </c>
      <c r="BC262" s="50" t="n">
        <f aca="false">ROUNDUP(MAX(J262/IF(CD262&gt;0,CD262,MAX(0.1,N(Cockpit!$O$6))),CG262)/BV262,0)*BV262</f>
        <v>10</v>
      </c>
      <c r="BD262" s="51" t="n">
        <f aca="false">IF(BA262&gt;0,J262/BA262,-1)</f>
        <v>0.910344827586207</v>
      </c>
      <c r="BE262" s="51" t="n">
        <f aca="false">IF(AND(OR(CC262="L1",CC262="L23",CC262="LIFT"),BA262&gt;0),SUMIFS($BA$7:$BA$1843,$CC$7:$CC$1843,CC262,$BD$7:$BD$1843,"&gt;"&amp;BD262)+SUMIFS($BA$7:$BA$1843,$CC$7:$CC$1843,CC262,$BD$7:$BD$1843,BD262,$BT$7:$BT$1843,"&lt;="&amp;BT262),"")</f>
        <v>9824.53617216117</v>
      </c>
      <c r="BF262" s="58" t="n">
        <f aca="false">IF(BE262="",0,MAX(0,MIN(1,(IF(CC262="L1",Parameter!$H$5,IF(CC262="L23",Parameter!$H$6+Parameter!$H$7,Parameter!$H$5+Parameter!$H$6+Parameter!$H$7))-(BE262-BA262))/BA262)))</f>
        <v>1</v>
      </c>
      <c r="BG262" s="48" t="str">
        <f aca="false">IF(AI262&lt;=0,"",IF(CC262="Aussen","Aussenlager",IF(CC262="-","Nicht im Lift",IF(AN262&gt;=1,"Lift",IF(AN262&lt;=0,"Aussenlager","teilweise")))))</f>
        <v>Lift</v>
      </c>
      <c r="BH262" s="48" t="str">
        <f aca="false">IF(AR262&lt;=0,"",IF(CC262="Aussen","Aussenlager",IF(CC262="-","Nicht im Lift",IF(AW262&gt;=1,"Lift",IF(AW262&lt;=0,"Aussenlager","teilweise")))))</f>
        <v>Lift</v>
      </c>
      <c r="BI262" s="48" t="str">
        <f aca="false">IF(BA262&lt;=0,"",IF(CC262="Aussen","Aussenlager",IF(CC262="-","Nicht im Lift",IF(BF262&gt;=1,"Lift",IF(BF262&lt;=0,"Aussenlager","teilweise")))))</f>
        <v>Lift</v>
      </c>
      <c r="BJ262" s="48" t="str">
        <f aca="false">IF(A262="","",IF(BS262=1,"Neu; ","")&amp;IF(AND(BS262=0,BN262&lt;0),"negativer Bestand (Export "&amp;BN262&amp;"); ","")&amp;IF(J262&lt;=0,"Kein Verbrauch; ","")&amp;IF(CL262&gt;0,"Lift "&amp;W262&amp;" lt. Liftbericht (Fach "&amp;X262&amp;" Stk); ",IF(BX262=1,"Gebinde geschätzt ("&amp;T262&amp;"); ",IF(BW262=1,"Lose – Tablare geschätzt; ","")))&amp;IF(H262&gt;AT262,"Überbestand "&amp;ROUND(H262-AT262,0)&amp;" Stk / CHF "&amp;ROUND((H262-AT262)*G262,0)&amp;"; ","")&amp;IF(AND(CE262=1,CF262&lt;CG262),"MAX &lt; MB+LG; ","")&amp;IF(AND(CK262&gt;0,CJ262*10&gt;CK262),"zu hoch für Tablar; ","")&amp;IF(AND(BS262=0,OR(CE262=1,AA262&lt;&gt;"",U262&lt;&gt;"",V262&lt;&gt;"",AB262&lt;&gt;"")),"manuell übersteuert; ","")&amp;IF(AND(BW262=0,R262=0),"Gebinde unbekannt / Stellmass fehlt; ","")&amp;IF(AND(BW262=0,N(V262)&lt;=0,N(Q262)&lt;=0),"Menge pro Gebinde fehlt (Ist = 1 Gebinde); ","")&amp;BR262)</f>
        <v>Gebinde geschätzt (Mittel); Menge pro Gebinde fehlt (Ist = 1 Gebinde); </v>
      </c>
      <c r="BK262" s="48"/>
      <c r="BL262" s="48"/>
      <c r="BM262" s="55"/>
      <c r="BN262" s="50" t="n">
        <v>3</v>
      </c>
      <c r="BO262" s="50" t="n">
        <v>0</v>
      </c>
      <c r="BP262" s="49" t="n">
        <v>440.88</v>
      </c>
      <c r="BQ262" s="50" t="n">
        <v>11</v>
      </c>
      <c r="BR262" s="48"/>
      <c r="BS262" s="53" t="n">
        <v>0</v>
      </c>
      <c r="BT262" s="53" t="n">
        <v>262</v>
      </c>
      <c r="BU262" s="48" t="str">
        <f aca="false">IF(U262&lt;&gt;"",UPPER(TRIM(U262)),IF(BX262=1,UPPER(VLOOKUP(T262,Parameter!$I$27:$K$29,2,0)),IF(P262="","LOSE",P262)))</f>
        <v>S61</v>
      </c>
      <c r="BV262" s="50" t="n">
        <f aca="false">IF(BU262="LOSE",1,IF(N(V262)&gt;0,V262,IF(BX262=1,MAX(1,N(VLOOKUP(T262,Parameter!$I$27:$K$29,3,0)),H262,N(N262)),IF(N(Q262)&gt;0,Q262,MAX(1,H262)))))</f>
        <v>10</v>
      </c>
      <c r="BW262" s="53" t="n">
        <f aca="false">IF(BU262="LOSE",1,0)</f>
        <v>0</v>
      </c>
      <c r="BX262" s="53" t="n">
        <f aca="false">IF(AND(U262="",OR(P262="",P262="LOSE"),T262&lt;&gt;"",N(S262)&lt;=0,ISNUMBER(MATCH(T262,Parameter!$I$27:$I$29,0))),1,0)</f>
        <v>1</v>
      </c>
      <c r="BY262" s="53" t="n">
        <f aca="false">IF(CL262&gt;0,INDEX(Parameter!$H$5:$H$7,W262)/INDEX(Parameter!$E$5:$E$7,W262),IF(AND(BW262=0,N(IFERROR(VLOOKUP(BU262,'Gebinde-Kategorie'!$A$5:$N$45,14,0),0))&gt;0),VLOOKUP(BU262,'Gebinde-Kategorie'!$A$5:$N$45,14,0)*10+Parameter!$M$23,Parameter!$M$24))</f>
        <v>145</v>
      </c>
      <c r="BZ262" s="48" t="str">
        <f aca="false">IF(AND(Parameter!$B$19="Ja",E262&lt;&gt;"",ISNUMBER(MATCH(E262,Parameter!$I$35:$I$52,0))),VLOOKUP(E262,Parameter!$I$35:$J$52,2,0),IFERROR(VLOOKUP(D262,Parameter!$A$35:$C$64,2,0),"Nein"))</f>
        <v>2+3</v>
      </c>
      <c r="CA262" s="52" t="n">
        <f aca="false">IF(BW262=0,0,IF(N(S262)&gt;0,S262,IFERROR(VLOOKUP(D262,Parameter!$A$35:$C$64,3,0)+0,0)))</f>
        <v>0</v>
      </c>
      <c r="CB262" s="48" t="n">
        <f aca="false">IF(AA262&lt;&gt;"",AA262,Z262)</f>
        <v>2</v>
      </c>
      <c r="CC262" s="48" t="str">
        <f aca="false">IF(OR(CB262=1,CB262=2,CB262=3),IF(Parameter!$E$27="Ja","LIFT",IF(CB262=1,"L1","L23")),IF(CB262="Aussen","Aussen","-"))</f>
        <v>LIFT</v>
      </c>
      <c r="CD262" s="59" t="n">
        <f aca="false">IF(N(AB262)&gt;0,AB262,0)</f>
        <v>0</v>
      </c>
      <c r="CE262" s="53" t="n">
        <f aca="false">IF(ISNUMBER(AE262),1,0)</f>
        <v>0</v>
      </c>
      <c r="CF262" s="50" t="n">
        <f aca="false">N(AE262)</f>
        <v>0</v>
      </c>
      <c r="CG262" s="50" t="n">
        <f aca="false">N(M262)+N(N262)</f>
        <v>10</v>
      </c>
      <c r="CH262" s="50" t="n">
        <f aca="false">ROUNDUP(H262/BV262,0)</f>
        <v>1</v>
      </c>
      <c r="CI262" s="50" t="n">
        <f aca="false">ROUNDUP(CF262/BV262,0)</f>
        <v>0</v>
      </c>
      <c r="CJ262" s="53" t="n">
        <f aca="false">IF(BW262=1,0,IFERROR(VLOOKUP(BU262,'Gebinde-Kategorie'!$A$5:$N$45,5,0)+0,0))</f>
        <v>11</v>
      </c>
      <c r="CK262" s="53" t="n">
        <f aca="false">IFERROR(IF(OR(CB262=1,CB262=2,CB262=3),N(INDEX(Parameter!$I$5:$I$7,CB262)),0),0)</f>
        <v>0</v>
      </c>
      <c r="CL262" s="52" t="n">
        <f aca="false">IF(AND(Parameter!$B$21="Ja",ISNUMBER(W262),N(X262)&gt;0),IFERROR(N(INDEX(Parameter!$L$5:$L$7,W262))*INDEX(Parameter!$E$5:$E$7,W262)*X262/SUMIFS($X$7:$X$1843,$W$7:$W$1843,W262),0),0)</f>
        <v>0</v>
      </c>
    </row>
    <row r="263" customFormat="false" ht="15" hidden="false" customHeight="false" outlineLevel="0" collapsed="false">
      <c r="A263" s="48" t="s">
        <v>711</v>
      </c>
      <c r="B263" s="48" t="s">
        <v>712</v>
      </c>
      <c r="C263" s="48" t="s">
        <v>168</v>
      </c>
      <c r="D263" s="48" t="s">
        <v>188</v>
      </c>
      <c r="E263" s="48"/>
      <c r="F263" s="48" t="s">
        <v>222</v>
      </c>
      <c r="G263" s="49" t="n">
        <v>17.59</v>
      </c>
      <c r="H263" s="50" t="n">
        <f aca="false">MAX(0,IF(AND(Parameter!$B$21="Ja",ISNUMBER(Y263)),Y263,IF(Parameter!$B$20="Jahresanfang 2025 + Export",BO263+BN263,BN263)))</f>
        <v>25</v>
      </c>
      <c r="I263" s="50" t="n">
        <f aca="false">H263*G263</f>
        <v>439.75</v>
      </c>
      <c r="J263" s="50" t="n">
        <f aca="false">BQ263*Parameter!$B$18</f>
        <v>0</v>
      </c>
      <c r="K263" s="51" t="n">
        <v>0</v>
      </c>
      <c r="L263" s="52" t="n">
        <v>0</v>
      </c>
      <c r="M263" s="50" t="n">
        <v>0</v>
      </c>
      <c r="N263" s="50" t="n">
        <v>5</v>
      </c>
      <c r="O263" s="53" t="n">
        <v>9999</v>
      </c>
      <c r="P263" s="48" t="s">
        <v>172</v>
      </c>
      <c r="Q263" s="50"/>
      <c r="R263" s="53" t="n">
        <f aca="false">IF(BW263=1,0,IFERROR(VLOOKUP(BU263,'Gebinde-Kategorie'!$A$5:$N$45,13,0)+0,0))</f>
        <v>26</v>
      </c>
      <c r="S263" s="54"/>
      <c r="T263" s="55" t="s">
        <v>279</v>
      </c>
      <c r="U263" s="55"/>
      <c r="V263" s="55"/>
      <c r="W263" s="48"/>
      <c r="X263" s="50"/>
      <c r="Y263" s="50"/>
      <c r="Z263" s="48" t="n">
        <f aca="false">IF(A263="","",IF(AND(Parameter!$B$21="Ja",ISNUMBER(W263)),W263,IF(BZ263="2+3",IF(ISNUMBER(SEARCH("grosser Artikel",BR263)),2,IFERROR(VLOOKUP(BU263,Parameter!$F$35:$G$64,2,0),2)),IF(OR(BZ263="Nein",BZ263=""),"-",BZ263))))</f>
        <v>3</v>
      </c>
      <c r="AA263" s="55"/>
      <c r="AB263" s="56"/>
      <c r="AC263" s="50" t="n">
        <f aca="false">AT263</f>
        <v>25</v>
      </c>
      <c r="AD263" s="50" t="n">
        <f aca="false">MAX(AT263,H263)</f>
        <v>25</v>
      </c>
      <c r="AE263" s="57"/>
      <c r="AF263" s="50" t="n">
        <f aca="false">IF(LEFT(Cockpit!$C$5,1)="A",H263,IF(CE263=1,CF263,IF(LEFT(Cockpit!$C$5,1)="B",AK263,MAX(AK263,H263))))</f>
        <v>25</v>
      </c>
      <c r="AG263" s="50" t="n">
        <f aca="false">IF(BW263=1,0,ROUNDUP(AF263/BV263,0))</f>
        <v>1</v>
      </c>
      <c r="AH263" s="52" t="n">
        <f aca="false">IF(CL263&gt;0,CL263*MAX(1,AF263/X263),IF(BW263=1,IF(AF263&lt;=0,0,CA263*MAX(1,IF(H263&gt;0,AF263/H263,1))),IF(R263&gt;0,AG263/R263,0))/MAX(0.1,N(Parameter!$M$21)))</f>
        <v>0.0384615384615385</v>
      </c>
      <c r="AI263" s="50" t="n">
        <f aca="false">AH263*BY263</f>
        <v>5.96153846153846</v>
      </c>
      <c r="AJ263" s="50" t="n">
        <f aca="false">AF263*G263</f>
        <v>439.75</v>
      </c>
      <c r="AK263" s="50" t="n">
        <f aca="false">ROUNDUP(MAX(J263/IF(CD263&gt;0,CD263,MAX(0.1,N(Cockpit!$C$6))),CG263)/BV263,0)*BV263</f>
        <v>25</v>
      </c>
      <c r="AL263" s="51" t="n">
        <f aca="false">IF(AI263&gt;0,J263/AI263,-1)</f>
        <v>0</v>
      </c>
      <c r="AM263" s="51" t="n">
        <f aca="false">IF(AND(OR(CC263="L1",CC263="L23",CC263="LIFT"),AI263&gt;0),SUMIFS($AI$7:$AI$1843,$CC$7:$CC$1843,CC263,$AL$7:$AL$1843,"&gt;"&amp;AL263)+SUMIFS($AI$7:$AI$1843,$CC$7:$CC$1843,CC263,$AL$7:$AL$1843,AL263,$BT$7:$BT$1843,"&lt;="&amp;BT263),"")</f>
        <v>27766.4850582562</v>
      </c>
      <c r="AN263" s="58" t="n">
        <f aca="false">IF(AM263="",0,MAX(0,MIN(1,(IF(CC263="L1",Parameter!$H$5,IF(CC263="L23",Parameter!$H$6+Parameter!$H$7,Parameter!$H$5+Parameter!$H$6+Parameter!$H$7))-(AM263-AI263))/AI263)))</f>
        <v>1</v>
      </c>
      <c r="AO263" s="50" t="n">
        <f aca="false">IF(LEFT(Cockpit!$I$5,1)="A",H263,IF(CE263=1,CF263,IF(LEFT(Cockpit!$I$5,1)="B",AT263,MAX(AT263,H263))))</f>
        <v>25</v>
      </c>
      <c r="AP263" s="50" t="n">
        <f aca="false">IF(BW263=1,0,ROUNDUP(AO263/BV263,0))</f>
        <v>1</v>
      </c>
      <c r="AQ263" s="52" t="n">
        <f aca="false">IF(CL263&gt;0,CL263*MAX(1,AO263/X263),IF(BW263=1,IF(AO263&lt;=0,0,CA263*MAX(1,IF(H263&gt;0,AO263/H263,1))),IF(R263&gt;0,AP263/R263,0))/MAX(0.1,N(Parameter!$M$21)))</f>
        <v>0.0384615384615385</v>
      </c>
      <c r="AR263" s="50" t="n">
        <f aca="false">AQ263*BY263</f>
        <v>5.96153846153846</v>
      </c>
      <c r="AS263" s="50" t="n">
        <f aca="false">AO263*G263</f>
        <v>439.75</v>
      </c>
      <c r="AT263" s="50" t="n">
        <f aca="false">ROUNDUP(MAX(J263/IF(CD263&gt;0,CD263,MAX(0.1,N(Cockpit!$I$6))),CG263)/BV263,0)*BV263</f>
        <v>25</v>
      </c>
      <c r="AU263" s="51" t="n">
        <f aca="false">IF(AR263&gt;0,J263/AR263,-1)</f>
        <v>0</v>
      </c>
      <c r="AV263" s="51" t="n">
        <f aca="false">IF(AND(OR(CC263="L1",CC263="L23",CC263="LIFT"),AR263&gt;0),SUMIFS($AR$7:$AR$1843,$CC$7:$CC$1843,CC263,$AU$7:$AU$1843,"&gt;"&amp;AU263)+SUMIFS($AR$7:$AR$1843,$CC$7:$CC$1843,CC263,$AU$7:$AU$1843,AU263,$BT$7:$BT$1843,"&lt;="&amp;BT263),"")</f>
        <v>39079.3905755262</v>
      </c>
      <c r="AW263" s="58" t="n">
        <f aca="false">IF(AV263="",0,MAX(0,MIN(1,(IF(CC263="L1",Parameter!$H$5,IF(CC263="L23",Parameter!$H$6+Parameter!$H$7,Parameter!$H$5+Parameter!$H$6+Parameter!$H$7))-(AV263-AR263))/AR263)))</f>
        <v>0</v>
      </c>
      <c r="AX263" s="50" t="n">
        <f aca="false">IF(LEFT(Cockpit!$O$5,1)="A",H263,IF(CE263=1,CF263,IF(LEFT(Cockpit!$O$5,1)="B",BC263,MAX(BC263,H263))))</f>
        <v>25</v>
      </c>
      <c r="AY263" s="50" t="n">
        <f aca="false">IF(BW263=1,0,ROUNDUP(AX263/BV263,0))</f>
        <v>1</v>
      </c>
      <c r="AZ263" s="52" t="n">
        <f aca="false">IF(CL263&gt;0,CL263*MAX(1,AX263/X263),IF(BW263=1,IF(AX263&lt;=0,0,CA263*MAX(1,IF(H263&gt;0,AX263/H263,1))),IF(R263&gt;0,AY263/R263,0))/MAX(0.1,N(Parameter!$M$21)))</f>
        <v>0.0384615384615385</v>
      </c>
      <c r="BA263" s="50" t="n">
        <f aca="false">AZ263*BY263</f>
        <v>5.96153846153846</v>
      </c>
      <c r="BB263" s="50" t="n">
        <f aca="false">AX263*G263</f>
        <v>439.75</v>
      </c>
      <c r="BC263" s="50" t="n">
        <f aca="false">ROUNDUP(MAX(J263/IF(CD263&gt;0,CD263,MAX(0.1,N(Cockpit!$O$6))),CG263)/BV263,0)*BV263</f>
        <v>25</v>
      </c>
      <c r="BD263" s="51" t="n">
        <f aca="false">IF(BA263&gt;0,J263/BA263,-1)</f>
        <v>0</v>
      </c>
      <c r="BE263" s="51" t="n">
        <f aca="false">IF(AND(OR(CC263="L1",CC263="L23",CC263="LIFT"),BA263&gt;0),SUMIFS($BA$7:$BA$1843,$CC$7:$CC$1843,CC263,$BD$7:$BD$1843,"&gt;"&amp;BD263)+SUMIFS($BA$7:$BA$1843,$CC$7:$CC$1843,CC263,$BD$7:$BD$1843,BD263,$BT$7:$BT$1843,"&lt;="&amp;BT263),"")</f>
        <v>35754.402617392</v>
      </c>
      <c r="BF263" s="58" t="n">
        <f aca="false">IF(BE263="",0,MAX(0,MIN(1,(IF(CC263="L1",Parameter!$H$5,IF(CC263="L23",Parameter!$H$6+Parameter!$H$7,Parameter!$H$5+Parameter!$H$6+Parameter!$H$7))-(BE263-BA263))/BA263)))</f>
        <v>0</v>
      </c>
      <c r="BG263" s="48" t="str">
        <f aca="false">IF(AI263&lt;=0,"",IF(CC263="Aussen","Aussenlager",IF(CC263="-","Nicht im Lift",IF(AN263&gt;=1,"Lift",IF(AN263&lt;=0,"Aussenlager","teilweise")))))</f>
        <v>Lift</v>
      </c>
      <c r="BH263" s="48" t="str">
        <f aca="false">IF(AR263&lt;=0,"",IF(CC263="Aussen","Aussenlager",IF(CC263="-","Nicht im Lift",IF(AW263&gt;=1,"Lift",IF(AW263&lt;=0,"Aussenlager","teilweise")))))</f>
        <v>Aussenlager</v>
      </c>
      <c r="BI263" s="48" t="str">
        <f aca="false">IF(BA263&lt;=0,"",IF(CC263="Aussen","Aussenlager",IF(CC263="-","Nicht im Lift",IF(BF263&gt;=1,"Lift",IF(BF263&lt;=0,"Aussenlager","teilweise")))))</f>
        <v>Aussenlager</v>
      </c>
      <c r="BJ263" s="48" t="str">
        <f aca="false">IF(A263="","",IF(BS263=1,"Neu; ","")&amp;IF(AND(BS263=0,BN263&lt;0),"negativer Bestand (Export "&amp;BN263&amp;"); ","")&amp;IF(J263&lt;=0,"Kein Verbrauch; ","")&amp;IF(CL263&gt;0,"Lift "&amp;W263&amp;" lt. Liftbericht (Fach "&amp;X263&amp;" Stk); ",IF(BX263=1,"Gebinde geschätzt ("&amp;T263&amp;"); ",IF(BW263=1,"Lose – Tablare geschätzt; ","")))&amp;IF(H263&gt;AT263,"Überbestand "&amp;ROUND(H263-AT263,0)&amp;" Stk / CHF "&amp;ROUND((H263-AT263)*G263,0)&amp;"; ","")&amp;IF(AND(CE263=1,CF263&lt;CG263),"MAX &lt; MB+LG; ","")&amp;IF(AND(CK263&gt;0,CJ263*10&gt;CK263),"zu hoch für Tablar; ","")&amp;IF(AND(BS263=0,OR(CE263=1,AA263&lt;&gt;"",U263&lt;&gt;"",V263&lt;&gt;"",AB263&lt;&gt;"")),"manuell übersteuert; ","")&amp;IF(AND(BW263=0,R263=0),"Gebinde unbekannt / Stellmass fehlt; ","")&amp;IF(AND(BW263=0,N(V263)&lt;=0,N(Q263)&lt;=0),"Menge pro Gebinde fehlt (Ist = 1 Gebinde); ","")&amp;BR263)</f>
        <v>Kein Verbrauch; Gebinde geschätzt (Klein); Menge pro Gebinde fehlt (Ist = 1 Gebinde); </v>
      </c>
      <c r="BK263" s="48"/>
      <c r="BL263" s="48"/>
      <c r="BM263" s="55"/>
      <c r="BN263" s="50" t="n">
        <v>25</v>
      </c>
      <c r="BO263" s="50" t="n">
        <v>0</v>
      </c>
      <c r="BP263" s="49" t="n">
        <v>439.75</v>
      </c>
      <c r="BQ263" s="50" t="n">
        <v>0</v>
      </c>
      <c r="BR263" s="48"/>
      <c r="BS263" s="53" t="n">
        <v>0</v>
      </c>
      <c r="BT263" s="53" t="n">
        <v>263</v>
      </c>
      <c r="BU263" s="48" t="str">
        <f aca="false">IF(U263&lt;&gt;"",UPPER(TRIM(U263)),IF(BX263=1,UPPER(VLOOKUP(T263,Parameter!$I$27:$K$29,2,0)),IF(P263="","LOSE",P263)))</f>
        <v>S51</v>
      </c>
      <c r="BV263" s="50" t="n">
        <f aca="false">IF(BU263="LOSE",1,IF(N(V263)&gt;0,V263,IF(BX263=1,MAX(1,N(VLOOKUP(T263,Parameter!$I$27:$K$29,3,0)),H263,N(N263)),IF(N(Q263)&gt;0,Q263,MAX(1,H263)))))</f>
        <v>25</v>
      </c>
      <c r="BW263" s="53" t="n">
        <f aca="false">IF(BU263="LOSE",1,0)</f>
        <v>0</v>
      </c>
      <c r="BX263" s="53" t="n">
        <f aca="false">IF(AND(U263="",OR(P263="",P263="LOSE"),T263&lt;&gt;"",N(S263)&lt;=0,ISNUMBER(MATCH(T263,Parameter!$I$27:$I$29,0))),1,0)</f>
        <v>1</v>
      </c>
      <c r="BY263" s="53" t="n">
        <f aca="false">IF(CL263&gt;0,INDEX(Parameter!$H$5:$H$7,W263)/INDEX(Parameter!$E$5:$E$7,W263),IF(AND(BW263=0,N(IFERROR(VLOOKUP(BU263,'Gebinde-Kategorie'!$A$5:$N$45,14,0),0))&gt;0),VLOOKUP(BU263,'Gebinde-Kategorie'!$A$5:$N$45,14,0)*10+Parameter!$M$23,Parameter!$M$24))</f>
        <v>155</v>
      </c>
      <c r="BZ263" s="48" t="str">
        <f aca="false">IF(AND(Parameter!$B$19="Ja",E263&lt;&gt;"",ISNUMBER(MATCH(E263,Parameter!$I$35:$I$52,0))),VLOOKUP(E263,Parameter!$I$35:$J$52,2,0),IFERROR(VLOOKUP(D263,Parameter!$A$35:$C$64,2,0),"Nein"))</f>
        <v>2+3</v>
      </c>
      <c r="CA263" s="52" t="n">
        <f aca="false">IF(BW263=0,0,IF(N(S263)&gt;0,S263,IFERROR(VLOOKUP(D263,Parameter!$A$35:$C$64,3,0)+0,0)))</f>
        <v>0</v>
      </c>
      <c r="CB263" s="48" t="n">
        <f aca="false">IF(AA263&lt;&gt;"",AA263,Z263)</f>
        <v>3</v>
      </c>
      <c r="CC263" s="48" t="str">
        <f aca="false">IF(OR(CB263=1,CB263=2,CB263=3),IF(Parameter!$E$27="Ja","LIFT",IF(CB263=1,"L1","L23")),IF(CB263="Aussen","Aussen","-"))</f>
        <v>LIFT</v>
      </c>
      <c r="CD263" s="59" t="n">
        <f aca="false">IF(N(AB263)&gt;0,AB263,0)</f>
        <v>0</v>
      </c>
      <c r="CE263" s="53" t="n">
        <f aca="false">IF(ISNUMBER(AE263),1,0)</f>
        <v>0</v>
      </c>
      <c r="CF263" s="50" t="n">
        <f aca="false">N(AE263)</f>
        <v>0</v>
      </c>
      <c r="CG263" s="50" t="n">
        <f aca="false">N(M263)+N(N263)</f>
        <v>5</v>
      </c>
      <c r="CH263" s="50" t="n">
        <f aca="false">ROUNDUP(H263/BV263,0)</f>
        <v>1</v>
      </c>
      <c r="CI263" s="50" t="n">
        <f aca="false">ROUNDUP(CF263/BV263,0)</f>
        <v>0</v>
      </c>
      <c r="CJ263" s="53" t="n">
        <f aca="false">IF(BW263=1,0,IFERROR(VLOOKUP(BU263,'Gebinde-Kategorie'!$A$5:$N$45,5,0)+0,0))</f>
        <v>11</v>
      </c>
      <c r="CK263" s="53" t="n">
        <f aca="false">IFERROR(IF(OR(CB263=1,CB263=2,CB263=3),N(INDEX(Parameter!$I$5:$I$7,CB263)),0),0)</f>
        <v>0</v>
      </c>
      <c r="CL263" s="52" t="n">
        <f aca="false">IF(AND(Parameter!$B$21="Ja",ISNUMBER(W263),N(X263)&gt;0),IFERROR(N(INDEX(Parameter!$L$5:$L$7,W263))*INDEX(Parameter!$E$5:$E$7,W263)*X263/SUMIFS($X$7:$X$1843,$W$7:$W$1843,W263),0),0)</f>
        <v>0</v>
      </c>
    </row>
    <row r="264" customFormat="false" ht="15" hidden="false" customHeight="false" outlineLevel="0" collapsed="false">
      <c r="A264" s="48" t="s">
        <v>713</v>
      </c>
      <c r="B264" s="48" t="s">
        <v>472</v>
      </c>
      <c r="C264" s="48" t="s">
        <v>168</v>
      </c>
      <c r="D264" s="48" t="s">
        <v>188</v>
      </c>
      <c r="E264" s="48" t="s">
        <v>189</v>
      </c>
      <c r="F264" s="48" t="s">
        <v>222</v>
      </c>
      <c r="G264" s="49" t="n">
        <v>6.92</v>
      </c>
      <c r="H264" s="50" t="n">
        <f aca="false">MAX(0,IF(AND(Parameter!$B$21="Ja",ISNUMBER(Y264)),Y264,IF(Parameter!$B$20="Jahresanfang 2025 + Export",BO264+BN264,BN264)))</f>
        <v>100</v>
      </c>
      <c r="I264" s="50" t="n">
        <f aca="false">H264*G264</f>
        <v>692</v>
      </c>
      <c r="J264" s="50" t="n">
        <f aca="false">BQ264*Parameter!$B$18</f>
        <v>150</v>
      </c>
      <c r="K264" s="51" t="n">
        <v>49.5</v>
      </c>
      <c r="L264" s="52" t="n">
        <v>3.03030303030303</v>
      </c>
      <c r="M264" s="50" t="n">
        <v>5</v>
      </c>
      <c r="N264" s="50" t="n">
        <v>150</v>
      </c>
      <c r="O264" s="53" t="n">
        <v>14</v>
      </c>
      <c r="P264" s="48" t="s">
        <v>306</v>
      </c>
      <c r="Q264" s="50" t="n">
        <v>72</v>
      </c>
      <c r="R264" s="53" t="n">
        <f aca="false">IF(BW264=1,0,IFERROR(VLOOKUP(BU264,'Gebinde-Kategorie'!$A$5:$N$45,13,0)+0,0))</f>
        <v>26</v>
      </c>
      <c r="S264" s="54"/>
      <c r="T264" s="55"/>
      <c r="U264" s="55"/>
      <c r="V264" s="55"/>
      <c r="W264" s="48"/>
      <c r="X264" s="50"/>
      <c r="Y264" s="50"/>
      <c r="Z264" s="48" t="n">
        <f aca="false">IF(A264="","",IF(AND(Parameter!$B$21="Ja",ISNUMBER(W264)),W264,IF(BZ264="2+3",IF(ISNUMBER(SEARCH("grosser Artikel",BR264)),2,IFERROR(VLOOKUP(BU264,Parameter!$F$35:$G$64,2,0),2)),IF(OR(BZ264="Nein",BZ264=""),"-",BZ264))))</f>
        <v>3</v>
      </c>
      <c r="AA264" s="55"/>
      <c r="AB264" s="56"/>
      <c r="AC264" s="50" t="n">
        <f aca="false">AT264</f>
        <v>216</v>
      </c>
      <c r="AD264" s="50" t="n">
        <f aca="false">MAX(AT264,H264)</f>
        <v>216</v>
      </c>
      <c r="AE264" s="57"/>
      <c r="AF264" s="50" t="n">
        <f aca="false">IF(LEFT(Cockpit!$C$5,1)="A",H264,IF(CE264=1,CF264,IF(LEFT(Cockpit!$C$5,1)="B",AK264,MAX(AK264,H264))))</f>
        <v>100</v>
      </c>
      <c r="AG264" s="50" t="n">
        <f aca="false">IF(BW264=1,0,ROUNDUP(AF264/BV264,0))</f>
        <v>2</v>
      </c>
      <c r="AH264" s="52" t="n">
        <f aca="false">IF(CL264&gt;0,CL264*MAX(1,AF264/X264),IF(BW264=1,IF(AF264&lt;=0,0,CA264*MAX(1,IF(H264&gt;0,AF264/H264,1))),IF(R264&gt;0,AG264/R264,0))/MAX(0.1,N(Parameter!$M$21)))</f>
        <v>0.0769230769230769</v>
      </c>
      <c r="AI264" s="50" t="n">
        <f aca="false">AH264*BY264</f>
        <v>11.9230769230769</v>
      </c>
      <c r="AJ264" s="50" t="n">
        <f aca="false">AF264*G264</f>
        <v>692</v>
      </c>
      <c r="AK264" s="50" t="n">
        <f aca="false">ROUNDUP(MAX(J264/IF(CD264&gt;0,CD264,MAX(0.1,N(Cockpit!$C$6))),CG264)/BV264,0)*BV264</f>
        <v>216</v>
      </c>
      <c r="AL264" s="51" t="n">
        <f aca="false">IF(AI264&gt;0,J264/AI264,-1)</f>
        <v>12.5806451612903</v>
      </c>
      <c r="AM264" s="51" t="n">
        <f aca="false">IF(AND(OR(CC264="L1",CC264="L23",CC264="LIFT"),AI264&gt;0),SUMIFS($AI$7:$AI$1843,$CC$7:$CC$1843,CC264,$AL$7:$AL$1843,"&gt;"&amp;AL264)+SUMIFS($AI$7:$AI$1843,$CC$7:$CC$1843,CC264,$AL$7:$AL$1843,AL264,$BT$7:$BT$1843,"&lt;="&amp;BT264),"")</f>
        <v>2420.33608058608</v>
      </c>
      <c r="AN264" s="58" t="n">
        <f aca="false">IF(AM264="",0,MAX(0,MIN(1,(IF(CC264="L1",Parameter!$H$5,IF(CC264="L23",Parameter!$H$6+Parameter!$H$7,Parameter!$H$5+Parameter!$H$6+Parameter!$H$7))-(AM264-AI264))/AI264)))</f>
        <v>1</v>
      </c>
      <c r="AO264" s="50" t="n">
        <f aca="false">IF(LEFT(Cockpit!$I$5,1)="A",H264,IF(CE264=1,CF264,IF(LEFT(Cockpit!$I$5,1)="B",AT264,MAX(AT264,H264))))</f>
        <v>216</v>
      </c>
      <c r="AP264" s="50" t="n">
        <f aca="false">IF(BW264=1,0,ROUNDUP(AO264/BV264,0))</f>
        <v>3</v>
      </c>
      <c r="AQ264" s="52" t="n">
        <f aca="false">IF(CL264&gt;0,CL264*MAX(1,AO264/X264),IF(BW264=1,IF(AO264&lt;=0,0,CA264*MAX(1,IF(H264&gt;0,AO264/H264,1))),IF(R264&gt;0,AP264/R264,0))/MAX(0.1,N(Parameter!$M$21)))</f>
        <v>0.115384615384615</v>
      </c>
      <c r="AR264" s="50" t="n">
        <f aca="false">AQ264*BY264</f>
        <v>17.8846153846154</v>
      </c>
      <c r="AS264" s="50" t="n">
        <f aca="false">AO264*G264</f>
        <v>1494.72</v>
      </c>
      <c r="AT264" s="50" t="n">
        <f aca="false">ROUNDUP(MAX(J264/IF(CD264&gt;0,CD264,MAX(0.1,N(Cockpit!$I$6))),CG264)/BV264,0)*BV264</f>
        <v>216</v>
      </c>
      <c r="AU264" s="51" t="n">
        <f aca="false">IF(AR264&gt;0,J264/AR264,-1)</f>
        <v>8.38709677419355</v>
      </c>
      <c r="AV264" s="51" t="n">
        <f aca="false">IF(AND(OR(CC264="L1",CC264="L23",CC264="LIFT"),AR264&gt;0),SUMIFS($AR$7:$AR$1843,$CC$7:$CC$1843,CC264,$AU$7:$AU$1843,"&gt;"&amp;AU264)+SUMIFS($AR$7:$AR$1843,$CC$7:$CC$1843,CC264,$AU$7:$AU$1843,AU264,$BT$7:$BT$1843,"&lt;="&amp;BT264),"")</f>
        <v>4227.06227106227</v>
      </c>
      <c r="AW264" s="58" t="n">
        <f aca="false">IF(AV264="",0,MAX(0,MIN(1,(IF(CC264="L1",Parameter!$H$5,IF(CC264="L23",Parameter!$H$6+Parameter!$H$7,Parameter!$H$5+Parameter!$H$6+Parameter!$H$7))-(AV264-AR264))/AR264)))</f>
        <v>1</v>
      </c>
      <c r="AX264" s="50" t="n">
        <f aca="false">IF(LEFT(Cockpit!$O$5,1)="A",H264,IF(CE264=1,CF264,IF(LEFT(Cockpit!$O$5,1)="B",BC264,MAX(BC264,H264))))</f>
        <v>216</v>
      </c>
      <c r="AY264" s="50" t="n">
        <f aca="false">IF(BW264=1,0,ROUNDUP(AX264/BV264,0))</f>
        <v>3</v>
      </c>
      <c r="AZ264" s="52" t="n">
        <f aca="false">IF(CL264&gt;0,CL264*MAX(1,AX264/X264),IF(BW264=1,IF(AX264&lt;=0,0,CA264*MAX(1,IF(H264&gt;0,AX264/H264,1))),IF(R264&gt;0,AY264/R264,0))/MAX(0.1,N(Parameter!$M$21)))</f>
        <v>0.115384615384615</v>
      </c>
      <c r="BA264" s="50" t="n">
        <f aca="false">AZ264*BY264</f>
        <v>17.8846153846154</v>
      </c>
      <c r="BB264" s="50" t="n">
        <f aca="false">AX264*G264</f>
        <v>1494.72</v>
      </c>
      <c r="BC264" s="50" t="n">
        <f aca="false">ROUNDUP(MAX(J264/IF(CD264&gt;0,CD264,MAX(0.1,N(Cockpit!$O$6))),CG264)/BV264,0)*BV264</f>
        <v>216</v>
      </c>
      <c r="BD264" s="51" t="n">
        <f aca="false">IF(BA264&gt;0,J264/BA264,-1)</f>
        <v>8.38709677419355</v>
      </c>
      <c r="BE264" s="51" t="n">
        <f aca="false">IF(AND(OR(CC264="L1",CC264="L23",CC264="LIFT"),BA264&gt;0),SUMIFS($BA$7:$BA$1843,$CC$7:$CC$1843,CC264,$BD$7:$BD$1843,"&gt;"&amp;BD264)+SUMIFS($BA$7:$BA$1843,$CC$7:$CC$1843,CC264,$BD$7:$BD$1843,BD264,$BT$7:$BT$1843,"&lt;="&amp;BT264),"")</f>
        <v>3885.18727106227</v>
      </c>
      <c r="BF264" s="58" t="n">
        <f aca="false">IF(BE264="",0,MAX(0,MIN(1,(IF(CC264="L1",Parameter!$H$5,IF(CC264="L23",Parameter!$H$6+Parameter!$H$7,Parameter!$H$5+Parameter!$H$6+Parameter!$H$7))-(BE264-BA264))/BA264)))</f>
        <v>1</v>
      </c>
      <c r="BG264" s="48" t="str">
        <f aca="false">IF(AI264&lt;=0,"",IF(CC264="Aussen","Aussenlager",IF(CC264="-","Nicht im Lift",IF(AN264&gt;=1,"Lift",IF(AN264&lt;=0,"Aussenlager","teilweise")))))</f>
        <v>Lift</v>
      </c>
      <c r="BH264" s="48" t="str">
        <f aca="false">IF(AR264&lt;=0,"",IF(CC264="Aussen","Aussenlager",IF(CC264="-","Nicht im Lift",IF(AW264&gt;=1,"Lift",IF(AW264&lt;=0,"Aussenlager","teilweise")))))</f>
        <v>Lift</v>
      </c>
      <c r="BI264" s="48" t="str">
        <f aca="false">IF(BA264&lt;=0,"",IF(CC264="Aussen","Aussenlager",IF(CC264="-","Nicht im Lift",IF(BF264&gt;=1,"Lift",IF(BF264&lt;=0,"Aussenlager","teilweise")))))</f>
        <v>Lift</v>
      </c>
      <c r="BJ264" s="48" t="str">
        <f aca="false">IF(A264="","",IF(BS264=1,"Neu; ","")&amp;IF(AND(BS264=0,BN264&lt;0),"negativer Bestand (Export "&amp;BN264&amp;"); ","")&amp;IF(J264&lt;=0,"Kein Verbrauch; ","")&amp;IF(CL264&gt;0,"Lift "&amp;W264&amp;" lt. Liftbericht (Fach "&amp;X264&amp;" Stk); ",IF(BX264=1,"Gebinde geschätzt ("&amp;T264&amp;"); ",IF(BW264=1,"Lose – Tablare geschätzt; ","")))&amp;IF(H264&gt;AT264,"Überbestand "&amp;ROUND(H264-AT264,0)&amp;" Stk / CHF "&amp;ROUND((H264-AT264)*G264,0)&amp;"; ","")&amp;IF(AND(CE264=1,CF264&lt;CG264),"MAX &lt; MB+LG; ","")&amp;IF(AND(CK264&gt;0,CJ264*10&gt;CK264),"zu hoch für Tablar; ","")&amp;IF(AND(BS264=0,OR(CE264=1,AA264&lt;&gt;"",U264&lt;&gt;"",V264&lt;&gt;"",AB264&lt;&gt;"")),"manuell übersteuert; ","")&amp;IF(AND(BW264=0,R264=0),"Gebinde unbekannt / Stellmass fehlt; ","")&amp;IF(AND(BW264=0,N(V264)&lt;=0,N(Q264)&lt;=0),"Menge pro Gebinde fehlt (Ist = 1 Gebinde); ","")&amp;BR264)</f>
        <v/>
      </c>
      <c r="BK264" s="48"/>
      <c r="BL264" s="48"/>
      <c r="BM264" s="55"/>
      <c r="BN264" s="50" t="n">
        <v>64</v>
      </c>
      <c r="BO264" s="50" t="n">
        <v>36</v>
      </c>
      <c r="BP264" s="49" t="n">
        <v>439.69</v>
      </c>
      <c r="BQ264" s="50" t="n">
        <v>150</v>
      </c>
      <c r="BR264" s="48"/>
      <c r="BS264" s="53" t="n">
        <v>0</v>
      </c>
      <c r="BT264" s="53" t="n">
        <v>264</v>
      </c>
      <c r="BU264" s="48" t="str">
        <f aca="false">IF(U264&lt;&gt;"",UPPER(TRIM(U264)),IF(BX264=1,UPPER(VLOOKUP(T264,Parameter!$I$27:$K$29,2,0)),IF(P264="","LOSE",P264)))</f>
        <v>S51</v>
      </c>
      <c r="BV264" s="50" t="n">
        <f aca="false">IF(BU264="LOSE",1,IF(N(V264)&gt;0,V264,IF(BX264=1,MAX(1,N(VLOOKUP(T264,Parameter!$I$27:$K$29,3,0)),H264,N(N264)),IF(N(Q264)&gt;0,Q264,MAX(1,H264)))))</f>
        <v>72</v>
      </c>
      <c r="BW264" s="53" t="n">
        <f aca="false">IF(BU264="LOSE",1,0)</f>
        <v>0</v>
      </c>
      <c r="BX264" s="53" t="n">
        <f aca="false">IF(AND(U264="",OR(P264="",P264="LOSE"),T264&lt;&gt;"",N(S264)&lt;=0,ISNUMBER(MATCH(T264,Parameter!$I$27:$I$29,0))),1,0)</f>
        <v>0</v>
      </c>
      <c r="BY264" s="53" t="n">
        <f aca="false">IF(CL264&gt;0,INDEX(Parameter!$H$5:$H$7,W264)/INDEX(Parameter!$E$5:$E$7,W264),IF(AND(BW264=0,N(IFERROR(VLOOKUP(BU264,'Gebinde-Kategorie'!$A$5:$N$45,14,0),0))&gt;0),VLOOKUP(BU264,'Gebinde-Kategorie'!$A$5:$N$45,14,0)*10+Parameter!$M$23,Parameter!$M$24))</f>
        <v>155</v>
      </c>
      <c r="BZ264" s="48" t="str">
        <f aca="false">IF(AND(Parameter!$B$19="Ja",E264&lt;&gt;"",ISNUMBER(MATCH(E264,Parameter!$I$35:$I$52,0))),VLOOKUP(E264,Parameter!$I$35:$J$52,2,0),IFERROR(VLOOKUP(D264,Parameter!$A$35:$C$64,2,0),"Nein"))</f>
        <v>2+3</v>
      </c>
      <c r="CA264" s="52" t="n">
        <f aca="false">IF(BW264=0,0,IF(N(S264)&gt;0,S264,IFERROR(VLOOKUP(D264,Parameter!$A$35:$C$64,3,0)+0,0)))</f>
        <v>0</v>
      </c>
      <c r="CB264" s="48" t="n">
        <f aca="false">IF(AA264&lt;&gt;"",AA264,Z264)</f>
        <v>3</v>
      </c>
      <c r="CC264" s="48" t="str">
        <f aca="false">IF(OR(CB264=1,CB264=2,CB264=3),IF(Parameter!$E$27="Ja","LIFT",IF(CB264=1,"L1","L23")),IF(CB264="Aussen","Aussen","-"))</f>
        <v>LIFT</v>
      </c>
      <c r="CD264" s="59" t="n">
        <f aca="false">IF(N(AB264)&gt;0,AB264,0)</f>
        <v>0</v>
      </c>
      <c r="CE264" s="53" t="n">
        <f aca="false">IF(ISNUMBER(AE264),1,0)</f>
        <v>0</v>
      </c>
      <c r="CF264" s="50" t="n">
        <f aca="false">N(AE264)</f>
        <v>0</v>
      </c>
      <c r="CG264" s="50" t="n">
        <f aca="false">N(M264)+N(N264)</f>
        <v>155</v>
      </c>
      <c r="CH264" s="50" t="n">
        <f aca="false">ROUNDUP(H264/BV264,0)</f>
        <v>2</v>
      </c>
      <c r="CI264" s="50" t="n">
        <f aca="false">ROUNDUP(CF264/BV264,0)</f>
        <v>0</v>
      </c>
      <c r="CJ264" s="53" t="n">
        <f aca="false">IF(BW264=1,0,IFERROR(VLOOKUP(BU264,'Gebinde-Kategorie'!$A$5:$N$45,5,0)+0,0))</f>
        <v>11</v>
      </c>
      <c r="CK264" s="53" t="n">
        <f aca="false">IFERROR(IF(OR(CB264=1,CB264=2,CB264=3),N(INDEX(Parameter!$I$5:$I$7,CB264)),0),0)</f>
        <v>0</v>
      </c>
      <c r="CL264" s="52" t="n">
        <f aca="false">IF(AND(Parameter!$B$21="Ja",ISNUMBER(W264),N(X264)&gt;0),IFERROR(N(INDEX(Parameter!$L$5:$L$7,W264))*INDEX(Parameter!$E$5:$E$7,W264)*X264/SUMIFS($X$7:$X$1843,$W$7:$W$1843,W264),0),0)</f>
        <v>0</v>
      </c>
    </row>
    <row r="265" customFormat="false" ht="15" hidden="false" customHeight="false" outlineLevel="0" collapsed="false">
      <c r="A265" s="48" t="s">
        <v>714</v>
      </c>
      <c r="B265" s="48" t="s">
        <v>575</v>
      </c>
      <c r="C265" s="48" t="s">
        <v>168</v>
      </c>
      <c r="D265" s="48" t="s">
        <v>188</v>
      </c>
      <c r="E265" s="48" t="s">
        <v>189</v>
      </c>
      <c r="F265" s="48" t="s">
        <v>222</v>
      </c>
      <c r="G265" s="49" t="n">
        <v>11.14</v>
      </c>
      <c r="H265" s="50" t="n">
        <f aca="false">MAX(0,IF(AND(Parameter!$B$21="Ja",ISNUMBER(Y265)),Y265,IF(Parameter!$B$20="Jahresanfang 2025 + Export",BO265+BN265,BN265)))</f>
        <v>85</v>
      </c>
      <c r="I265" s="50" t="n">
        <f aca="false">H265*G265</f>
        <v>946.9</v>
      </c>
      <c r="J265" s="50" t="n">
        <f aca="false">BQ265*Parameter!$B$18</f>
        <v>221</v>
      </c>
      <c r="K265" s="51" t="n">
        <v>57</v>
      </c>
      <c r="L265" s="52" t="n">
        <v>3.87719298245614</v>
      </c>
      <c r="M265" s="50" t="n">
        <v>21</v>
      </c>
      <c r="N265" s="50" t="n">
        <v>100</v>
      </c>
      <c r="O265" s="53" t="n">
        <v>21</v>
      </c>
      <c r="P265" s="48" t="s">
        <v>332</v>
      </c>
      <c r="Q265" s="50" t="n">
        <v>188</v>
      </c>
      <c r="R265" s="53" t="n">
        <f aca="false">IF(BW265=1,0,IFERROR(VLOOKUP(BU265,'Gebinde-Kategorie'!$A$5:$N$45,13,0)+0,0))</f>
        <v>52</v>
      </c>
      <c r="S265" s="54"/>
      <c r="T265" s="55"/>
      <c r="U265" s="55"/>
      <c r="V265" s="55"/>
      <c r="W265" s="48"/>
      <c r="X265" s="50"/>
      <c r="Y265" s="50"/>
      <c r="Z265" s="48" t="n">
        <f aca="false">IF(A265="","",IF(AND(Parameter!$B$21="Ja",ISNUMBER(W265)),W265,IF(BZ265="2+3",IF(ISNUMBER(SEARCH("grosser Artikel",BR265)),2,IFERROR(VLOOKUP(BU265,Parameter!$F$35:$G$64,2,0),2)),IF(OR(BZ265="Nein",BZ265=""),"-",BZ265))))</f>
        <v>3</v>
      </c>
      <c r="AA265" s="55"/>
      <c r="AB265" s="56"/>
      <c r="AC265" s="50" t="n">
        <f aca="false">AT265</f>
        <v>188</v>
      </c>
      <c r="AD265" s="50" t="n">
        <f aca="false">MAX(AT265,H265)</f>
        <v>188</v>
      </c>
      <c r="AE265" s="57"/>
      <c r="AF265" s="50" t="n">
        <f aca="false">IF(LEFT(Cockpit!$C$5,1)="A",H265,IF(CE265=1,CF265,IF(LEFT(Cockpit!$C$5,1)="B",AK265,MAX(AK265,H265))))</f>
        <v>85</v>
      </c>
      <c r="AG265" s="50" t="n">
        <f aca="false">IF(BW265=1,0,ROUNDUP(AF265/BV265,0))</f>
        <v>1</v>
      </c>
      <c r="AH265" s="52" t="n">
        <f aca="false">IF(CL265&gt;0,CL265*MAX(1,AF265/X265),IF(BW265=1,IF(AF265&lt;=0,0,CA265*MAX(1,IF(H265&gt;0,AF265/H265,1))),IF(R265&gt;0,AG265/R265,0))/MAX(0.1,N(Parameter!$M$21)))</f>
        <v>0.0192307692307692</v>
      </c>
      <c r="AI265" s="50" t="n">
        <f aca="false">AH265*BY265</f>
        <v>2.98076923076923</v>
      </c>
      <c r="AJ265" s="50" t="n">
        <f aca="false">AF265*G265</f>
        <v>946.9</v>
      </c>
      <c r="AK265" s="50" t="n">
        <f aca="false">ROUNDUP(MAX(J265/IF(CD265&gt;0,CD265,MAX(0.1,N(Cockpit!$C$6))),CG265)/BV265,0)*BV265</f>
        <v>188</v>
      </c>
      <c r="AL265" s="51" t="n">
        <f aca="false">IF(AI265&gt;0,J265/AI265,-1)</f>
        <v>74.141935483871</v>
      </c>
      <c r="AM265" s="51" t="n">
        <f aca="false">IF(AND(OR(CC265="L1",CC265="L23",CC265="LIFT"),AI265&gt;0),SUMIFS($AI$7:$AI$1843,$CC$7:$CC$1843,CC265,$AL$7:$AL$1843,"&gt;"&amp;AL265)+SUMIFS($AI$7:$AI$1843,$CC$7:$CC$1843,CC265,$AL$7:$AL$1843,AL265,$BT$7:$BT$1843,"&lt;="&amp;BT265),"")</f>
        <v>867.409340659341</v>
      </c>
      <c r="AN265" s="58" t="n">
        <f aca="false">IF(AM265="",0,MAX(0,MIN(1,(IF(CC265="L1",Parameter!$H$5,IF(CC265="L23",Parameter!$H$6+Parameter!$H$7,Parameter!$H$5+Parameter!$H$6+Parameter!$H$7))-(AM265-AI265))/AI265)))</f>
        <v>1</v>
      </c>
      <c r="AO265" s="50" t="n">
        <f aca="false">IF(LEFT(Cockpit!$I$5,1)="A",H265,IF(CE265=1,CF265,IF(LEFT(Cockpit!$I$5,1)="B",AT265,MAX(AT265,H265))))</f>
        <v>188</v>
      </c>
      <c r="AP265" s="50" t="n">
        <f aca="false">IF(BW265=1,0,ROUNDUP(AO265/BV265,0))</f>
        <v>1</v>
      </c>
      <c r="AQ265" s="52" t="n">
        <f aca="false">IF(CL265&gt;0,CL265*MAX(1,AO265/X265),IF(BW265=1,IF(AO265&lt;=0,0,CA265*MAX(1,IF(H265&gt;0,AO265/H265,1))),IF(R265&gt;0,AP265/R265,0))/MAX(0.1,N(Parameter!$M$21)))</f>
        <v>0.0192307692307692</v>
      </c>
      <c r="AR265" s="50" t="n">
        <f aca="false">AQ265*BY265</f>
        <v>2.98076923076923</v>
      </c>
      <c r="AS265" s="50" t="n">
        <f aca="false">AO265*G265</f>
        <v>2094.32</v>
      </c>
      <c r="AT265" s="50" t="n">
        <f aca="false">ROUNDUP(MAX(J265/IF(CD265&gt;0,CD265,MAX(0.1,N(Cockpit!$I$6))),CG265)/BV265,0)*BV265</f>
        <v>188</v>
      </c>
      <c r="AU265" s="51" t="n">
        <f aca="false">IF(AR265&gt;0,J265/AR265,-1)</f>
        <v>74.141935483871</v>
      </c>
      <c r="AV265" s="51" t="n">
        <f aca="false">IF(AND(OR(CC265="L1",CC265="L23",CC265="LIFT"),AR265&gt;0),SUMIFS($AR$7:$AR$1843,$CC$7:$CC$1843,CC265,$AU$7:$AU$1843,"&gt;"&amp;AU265)+SUMIFS($AR$7:$AR$1843,$CC$7:$CC$1843,CC265,$AU$7:$AU$1843,AU265,$BT$7:$BT$1843,"&lt;="&amp;BT265),"")</f>
        <v>988.297161172161</v>
      </c>
      <c r="AW265" s="58" t="n">
        <f aca="false">IF(AV265="",0,MAX(0,MIN(1,(IF(CC265="L1",Parameter!$H$5,IF(CC265="L23",Parameter!$H$6+Parameter!$H$7,Parameter!$H$5+Parameter!$H$6+Parameter!$H$7))-(AV265-AR265))/AR265)))</f>
        <v>1</v>
      </c>
      <c r="AX265" s="50" t="n">
        <f aca="false">IF(LEFT(Cockpit!$O$5,1)="A",H265,IF(CE265=1,CF265,IF(LEFT(Cockpit!$O$5,1)="B",BC265,MAX(BC265,H265))))</f>
        <v>188</v>
      </c>
      <c r="AY265" s="50" t="n">
        <f aca="false">IF(BW265=1,0,ROUNDUP(AX265/BV265,0))</f>
        <v>1</v>
      </c>
      <c r="AZ265" s="52" t="n">
        <f aca="false">IF(CL265&gt;0,CL265*MAX(1,AX265/X265),IF(BW265=1,IF(AX265&lt;=0,0,CA265*MAX(1,IF(H265&gt;0,AX265/H265,1))),IF(R265&gt;0,AY265/R265,0))/MAX(0.1,N(Parameter!$M$21)))</f>
        <v>0.0192307692307692</v>
      </c>
      <c r="BA265" s="50" t="n">
        <f aca="false">AZ265*BY265</f>
        <v>2.98076923076923</v>
      </c>
      <c r="BB265" s="50" t="n">
        <f aca="false">AX265*G265</f>
        <v>2094.32</v>
      </c>
      <c r="BC265" s="50" t="n">
        <f aca="false">ROUNDUP(MAX(J265/IF(CD265&gt;0,CD265,MAX(0.1,N(Cockpit!$O$6))),CG265)/BV265,0)*BV265</f>
        <v>188</v>
      </c>
      <c r="BD265" s="51" t="n">
        <f aca="false">IF(BA265&gt;0,J265/BA265,-1)</f>
        <v>74.141935483871</v>
      </c>
      <c r="BE265" s="51" t="n">
        <f aca="false">IF(AND(OR(CC265="L1",CC265="L23",CC265="LIFT"),BA265&gt;0),SUMIFS($BA$7:$BA$1843,$CC$7:$CC$1843,CC265,$BD$7:$BD$1843,"&gt;"&amp;BD265)+SUMIFS($BA$7:$BA$1843,$CC$7:$CC$1843,CC265,$BD$7:$BD$1843,BD265,$BT$7:$BT$1843,"&lt;="&amp;BT265),"")</f>
        <v>1095.71703296703</v>
      </c>
      <c r="BF265" s="58" t="n">
        <f aca="false">IF(BE265="",0,MAX(0,MIN(1,(IF(CC265="L1",Parameter!$H$5,IF(CC265="L23",Parameter!$H$6+Parameter!$H$7,Parameter!$H$5+Parameter!$H$6+Parameter!$H$7))-(BE265-BA265))/BA265)))</f>
        <v>1</v>
      </c>
      <c r="BG265" s="48" t="str">
        <f aca="false">IF(AI265&lt;=0,"",IF(CC265="Aussen","Aussenlager",IF(CC265="-","Nicht im Lift",IF(AN265&gt;=1,"Lift",IF(AN265&lt;=0,"Aussenlager","teilweise")))))</f>
        <v>Lift</v>
      </c>
      <c r="BH265" s="48" t="str">
        <f aca="false">IF(AR265&lt;=0,"",IF(CC265="Aussen","Aussenlager",IF(CC265="-","Nicht im Lift",IF(AW265&gt;=1,"Lift",IF(AW265&lt;=0,"Aussenlager","teilweise")))))</f>
        <v>Lift</v>
      </c>
      <c r="BI265" s="48" t="str">
        <f aca="false">IF(BA265&lt;=0,"",IF(CC265="Aussen","Aussenlager",IF(CC265="-","Nicht im Lift",IF(BF265&gt;=1,"Lift",IF(BF265&lt;=0,"Aussenlager","teilweise")))))</f>
        <v>Lift</v>
      </c>
      <c r="BJ265" s="48" t="str">
        <f aca="false">IF(A265="","",IF(BS265=1,"Neu; ","")&amp;IF(AND(BS265=0,BN265&lt;0),"negativer Bestand (Export "&amp;BN265&amp;"); ","")&amp;IF(J265&lt;=0,"Kein Verbrauch; ","")&amp;IF(CL265&gt;0,"Lift "&amp;W265&amp;" lt. Liftbericht (Fach "&amp;X265&amp;" Stk); ",IF(BX265=1,"Gebinde geschätzt ("&amp;T265&amp;"); ",IF(BW265=1,"Lose – Tablare geschätzt; ","")))&amp;IF(H265&gt;AT265,"Überbestand "&amp;ROUND(H265-AT265,0)&amp;" Stk / CHF "&amp;ROUND((H265-AT265)*G265,0)&amp;"; ","")&amp;IF(AND(CE265=1,CF265&lt;CG265),"MAX &lt; MB+LG; ","")&amp;IF(AND(CK265&gt;0,CJ265*10&gt;CK265),"zu hoch für Tablar; ","")&amp;IF(AND(BS265=0,OR(CE265=1,AA265&lt;&gt;"",U265&lt;&gt;"",V265&lt;&gt;"",AB265&lt;&gt;"")),"manuell übersteuert; ","")&amp;IF(AND(BW265=0,R265=0),"Gebinde unbekannt / Stellmass fehlt; ","")&amp;IF(AND(BW265=0,N(V265)&lt;=0,N(Q265)&lt;=0),"Menge pro Gebinde fehlt (Ist = 1 Gebinde); ","")&amp;BR265)</f>
        <v/>
      </c>
      <c r="BK265" s="48"/>
      <c r="BL265" s="48"/>
      <c r="BM265" s="55"/>
      <c r="BN265" s="50" t="n">
        <v>18</v>
      </c>
      <c r="BO265" s="50" t="n">
        <v>67</v>
      </c>
      <c r="BP265" s="49" t="n">
        <v>429.840000000001</v>
      </c>
      <c r="BQ265" s="50" t="n">
        <v>221</v>
      </c>
      <c r="BR265" s="48"/>
      <c r="BS265" s="53" t="n">
        <v>0</v>
      </c>
      <c r="BT265" s="53" t="n">
        <v>265</v>
      </c>
      <c r="BU265" s="48" t="str">
        <f aca="false">IF(U265&lt;&gt;"",UPPER(TRIM(U265)),IF(BX265=1,UPPER(VLOOKUP(T265,Parameter!$I$27:$K$29,2,0)),IF(P265="","LOSE",P265)))</f>
        <v>S41</v>
      </c>
      <c r="BV265" s="50" t="n">
        <f aca="false">IF(BU265="LOSE",1,IF(N(V265)&gt;0,V265,IF(BX265=1,MAX(1,N(VLOOKUP(T265,Parameter!$I$27:$K$29,3,0)),H265,N(N265)),IF(N(Q265)&gt;0,Q265,MAX(1,H265)))))</f>
        <v>188</v>
      </c>
      <c r="BW265" s="53" t="n">
        <f aca="false">IF(BU265="LOSE",1,0)</f>
        <v>0</v>
      </c>
      <c r="BX265" s="53" t="n">
        <f aca="false">IF(AND(U265="",OR(P265="",P265="LOSE"),T265&lt;&gt;"",N(S265)&lt;=0,ISNUMBER(MATCH(T265,Parameter!$I$27:$I$29,0))),1,0)</f>
        <v>0</v>
      </c>
      <c r="BY265" s="53" t="n">
        <f aca="false">IF(CL265&gt;0,INDEX(Parameter!$H$5:$H$7,W265)/INDEX(Parameter!$E$5:$E$7,W265),IF(AND(BW265=0,N(IFERROR(VLOOKUP(BU265,'Gebinde-Kategorie'!$A$5:$N$45,14,0),0))&gt;0),VLOOKUP(BU265,'Gebinde-Kategorie'!$A$5:$N$45,14,0)*10+Parameter!$M$23,Parameter!$M$24))</f>
        <v>155</v>
      </c>
      <c r="BZ265" s="48" t="str">
        <f aca="false">IF(AND(Parameter!$B$19="Ja",E265&lt;&gt;"",ISNUMBER(MATCH(E265,Parameter!$I$35:$I$52,0))),VLOOKUP(E265,Parameter!$I$35:$J$52,2,0),IFERROR(VLOOKUP(D265,Parameter!$A$35:$C$64,2,0),"Nein"))</f>
        <v>2+3</v>
      </c>
      <c r="CA265" s="52" t="n">
        <f aca="false">IF(BW265=0,0,IF(N(S265)&gt;0,S265,IFERROR(VLOOKUP(D265,Parameter!$A$35:$C$64,3,0)+0,0)))</f>
        <v>0</v>
      </c>
      <c r="CB265" s="48" t="n">
        <f aca="false">IF(AA265&lt;&gt;"",AA265,Z265)</f>
        <v>3</v>
      </c>
      <c r="CC265" s="48" t="str">
        <f aca="false">IF(OR(CB265=1,CB265=2,CB265=3),IF(Parameter!$E$27="Ja","LIFT",IF(CB265=1,"L1","L23")),IF(CB265="Aussen","Aussen","-"))</f>
        <v>LIFT</v>
      </c>
      <c r="CD265" s="59" t="n">
        <f aca="false">IF(N(AB265)&gt;0,AB265,0)</f>
        <v>0</v>
      </c>
      <c r="CE265" s="53" t="n">
        <f aca="false">IF(ISNUMBER(AE265),1,0)</f>
        <v>0</v>
      </c>
      <c r="CF265" s="50" t="n">
        <f aca="false">N(AE265)</f>
        <v>0</v>
      </c>
      <c r="CG265" s="50" t="n">
        <f aca="false">N(M265)+N(N265)</f>
        <v>121</v>
      </c>
      <c r="CH265" s="50" t="n">
        <f aca="false">ROUNDUP(H265/BV265,0)</f>
        <v>1</v>
      </c>
      <c r="CI265" s="50" t="n">
        <f aca="false">ROUNDUP(CF265/BV265,0)</f>
        <v>0</v>
      </c>
      <c r="CJ265" s="53" t="n">
        <f aca="false">IF(BW265=1,0,IFERROR(VLOOKUP(BU265,'Gebinde-Kategorie'!$A$5:$N$45,5,0)+0,0))</f>
        <v>11</v>
      </c>
      <c r="CK265" s="53" t="n">
        <f aca="false">IFERROR(IF(OR(CB265=1,CB265=2,CB265=3),N(INDEX(Parameter!$I$5:$I$7,CB265)),0),0)</f>
        <v>0</v>
      </c>
      <c r="CL265" s="52" t="n">
        <f aca="false">IF(AND(Parameter!$B$21="Ja",ISNUMBER(W265),N(X265)&gt;0),IFERROR(N(INDEX(Parameter!$L$5:$L$7,W265))*INDEX(Parameter!$E$5:$E$7,W265)*X265/SUMIFS($X$7:$X$1843,$W$7:$W$1843,W265),0),0)</f>
        <v>0</v>
      </c>
    </row>
    <row r="266" customFormat="false" ht="15" hidden="false" customHeight="false" outlineLevel="0" collapsed="false">
      <c r="A266" s="48" t="s">
        <v>715</v>
      </c>
      <c r="B266" s="48" t="s">
        <v>378</v>
      </c>
      <c r="C266" s="48" t="s">
        <v>168</v>
      </c>
      <c r="D266" s="48" t="s">
        <v>188</v>
      </c>
      <c r="E266" s="48"/>
      <c r="F266" s="48" t="s">
        <v>222</v>
      </c>
      <c r="G266" s="49" t="n">
        <v>2.9</v>
      </c>
      <c r="H266" s="50" t="n">
        <f aca="false">MAX(0,IF(AND(Parameter!$B$21="Ja",ISNUMBER(Y266)),Y266,IF(Parameter!$B$20="Jahresanfang 2025 + Export",BO266+BN266,BN266)))</f>
        <v>148</v>
      </c>
      <c r="I266" s="50" t="n">
        <f aca="false">H266*G266</f>
        <v>429.2</v>
      </c>
      <c r="J266" s="50" t="n">
        <f aca="false">BQ266*Parameter!$B$18</f>
        <v>40</v>
      </c>
      <c r="K266" s="51" t="n">
        <v>0</v>
      </c>
      <c r="L266" s="52" t="n">
        <v>0</v>
      </c>
      <c r="M266" s="50" t="n">
        <v>1</v>
      </c>
      <c r="N266" s="50" t="n">
        <v>40</v>
      </c>
      <c r="O266" s="53" t="n">
        <v>14</v>
      </c>
      <c r="P266" s="48" t="s">
        <v>425</v>
      </c>
      <c r="Q266" s="50" t="n">
        <v>40</v>
      </c>
      <c r="R266" s="53" t="n">
        <f aca="false">IF(BW266=1,0,IFERROR(VLOOKUP(BU266,'Gebinde-Kategorie'!$A$5:$N$45,13,0)+0,0))</f>
        <v>104</v>
      </c>
      <c r="S266" s="54"/>
      <c r="T266" s="55"/>
      <c r="U266" s="55"/>
      <c r="V266" s="55"/>
      <c r="W266" s="48"/>
      <c r="X266" s="50"/>
      <c r="Y266" s="50"/>
      <c r="Z266" s="48" t="n">
        <f aca="false">IF(A266="","",IF(AND(Parameter!$B$21="Ja",ISNUMBER(W266)),W266,IF(BZ266="2+3",IF(ISNUMBER(SEARCH("grosser Artikel",BR266)),2,IFERROR(VLOOKUP(BU266,Parameter!$F$35:$G$64,2,0),2)),IF(OR(BZ266="Nein",BZ266=""),"-",BZ266))))</f>
        <v>3</v>
      </c>
      <c r="AA266" s="55"/>
      <c r="AB266" s="56"/>
      <c r="AC266" s="50" t="n">
        <f aca="false">AT266</f>
        <v>80</v>
      </c>
      <c r="AD266" s="50" t="n">
        <f aca="false">MAX(AT266,H266)</f>
        <v>148</v>
      </c>
      <c r="AE266" s="57"/>
      <c r="AF266" s="50" t="n">
        <f aca="false">IF(LEFT(Cockpit!$C$5,1)="A",H266,IF(CE266=1,CF266,IF(LEFT(Cockpit!$C$5,1)="B",AK266,MAX(AK266,H266))))</f>
        <v>148</v>
      </c>
      <c r="AG266" s="50" t="n">
        <f aca="false">IF(BW266=1,0,ROUNDUP(AF266/BV266,0))</f>
        <v>4</v>
      </c>
      <c r="AH266" s="52" t="n">
        <f aca="false">IF(CL266&gt;0,CL266*MAX(1,AF266/X266),IF(BW266=1,IF(AF266&lt;=0,0,CA266*MAX(1,IF(H266&gt;0,AF266/H266,1))),IF(R266&gt;0,AG266/R266,0))/MAX(0.1,N(Parameter!$M$21)))</f>
        <v>0.0384615384615385</v>
      </c>
      <c r="AI266" s="50" t="n">
        <f aca="false">AH266*BY266</f>
        <v>5.96153846153846</v>
      </c>
      <c r="AJ266" s="50" t="n">
        <f aca="false">AF266*G266</f>
        <v>429.2</v>
      </c>
      <c r="AK266" s="50" t="n">
        <f aca="false">ROUNDUP(MAX(J266/IF(CD266&gt;0,CD266,MAX(0.1,N(Cockpit!$C$6))),CG266)/BV266,0)*BV266</f>
        <v>80</v>
      </c>
      <c r="AL266" s="51" t="n">
        <f aca="false">IF(AI266&gt;0,J266/AI266,-1)</f>
        <v>6.70967741935484</v>
      </c>
      <c r="AM266" s="51" t="n">
        <f aca="false">IF(AND(OR(CC266="L1",CC266="L23",CC266="LIFT"),AI266&gt;0),SUMIFS($AI$7:$AI$1843,$CC$7:$CC$1843,CC266,$AL$7:$AL$1843,"&gt;"&amp;AL266)+SUMIFS($AI$7:$AI$1843,$CC$7:$CC$1843,CC266,$AL$7:$AL$1843,AL266,$BT$7:$BT$1843,"&lt;="&amp;BT266),"")</f>
        <v>3388.18177655678</v>
      </c>
      <c r="AN266" s="58" t="n">
        <f aca="false">IF(AM266="",0,MAX(0,MIN(1,(IF(CC266="L1",Parameter!$H$5,IF(CC266="L23",Parameter!$H$6+Parameter!$H$7,Parameter!$H$5+Parameter!$H$6+Parameter!$H$7))-(AM266-AI266))/AI266)))</f>
        <v>1</v>
      </c>
      <c r="AO266" s="50" t="n">
        <f aca="false">IF(LEFT(Cockpit!$I$5,1)="A",H266,IF(CE266=1,CF266,IF(LEFT(Cockpit!$I$5,1)="B",AT266,MAX(AT266,H266))))</f>
        <v>148</v>
      </c>
      <c r="AP266" s="50" t="n">
        <f aca="false">IF(BW266=1,0,ROUNDUP(AO266/BV266,0))</f>
        <v>4</v>
      </c>
      <c r="AQ266" s="52" t="n">
        <f aca="false">IF(CL266&gt;0,CL266*MAX(1,AO266/X266),IF(BW266=1,IF(AO266&lt;=0,0,CA266*MAX(1,IF(H266&gt;0,AO266/H266,1))),IF(R266&gt;0,AP266/R266,0))/MAX(0.1,N(Parameter!$M$21)))</f>
        <v>0.0384615384615385</v>
      </c>
      <c r="AR266" s="50" t="n">
        <f aca="false">AQ266*BY266</f>
        <v>5.96153846153846</v>
      </c>
      <c r="AS266" s="50" t="n">
        <f aca="false">AO266*G266</f>
        <v>429.2</v>
      </c>
      <c r="AT266" s="50" t="n">
        <f aca="false">ROUNDUP(MAX(J266/IF(CD266&gt;0,CD266,MAX(0.1,N(Cockpit!$I$6))),CG266)/BV266,0)*BV266</f>
        <v>80</v>
      </c>
      <c r="AU266" s="51" t="n">
        <f aca="false">IF(AR266&gt;0,J266/AR266,-1)</f>
        <v>6.70967741935484</v>
      </c>
      <c r="AV266" s="51" t="n">
        <f aca="false">IF(AND(OR(CC266="L1",CC266="L23",CC266="LIFT"),AR266&gt;0),SUMIFS($AR$7:$AR$1843,$CC$7:$CC$1843,CC266,$AU$7:$AU$1843,"&gt;"&amp;AU266)+SUMIFS($AR$7:$AR$1843,$CC$7:$CC$1843,CC266,$AU$7:$AU$1843,AU266,$BT$7:$BT$1843,"&lt;="&amp;BT266),"")</f>
        <v>4524.41620879121</v>
      </c>
      <c r="AW266" s="58" t="n">
        <f aca="false">IF(AV266="",0,MAX(0,MIN(1,(IF(CC266="L1",Parameter!$H$5,IF(CC266="L23",Parameter!$H$6+Parameter!$H$7,Parameter!$H$5+Parameter!$H$6+Parameter!$H$7))-(AV266-AR266))/AR266)))</f>
        <v>1</v>
      </c>
      <c r="AX266" s="50" t="n">
        <f aca="false">IF(LEFT(Cockpit!$O$5,1)="A",H266,IF(CE266=1,CF266,IF(LEFT(Cockpit!$O$5,1)="B",BC266,MAX(BC266,H266))))</f>
        <v>148</v>
      </c>
      <c r="AY266" s="50" t="n">
        <f aca="false">IF(BW266=1,0,ROUNDUP(AX266/BV266,0))</f>
        <v>4</v>
      </c>
      <c r="AZ266" s="52" t="n">
        <f aca="false">IF(CL266&gt;0,CL266*MAX(1,AX266/X266),IF(BW266=1,IF(AX266&lt;=0,0,CA266*MAX(1,IF(H266&gt;0,AX266/H266,1))),IF(R266&gt;0,AY266/R266,0))/MAX(0.1,N(Parameter!$M$21)))</f>
        <v>0.0384615384615385</v>
      </c>
      <c r="BA266" s="50" t="n">
        <f aca="false">AZ266*BY266</f>
        <v>5.96153846153846</v>
      </c>
      <c r="BB266" s="50" t="n">
        <f aca="false">AX266*G266</f>
        <v>429.2</v>
      </c>
      <c r="BC266" s="50" t="n">
        <f aca="false">ROUNDUP(MAX(J266/IF(CD266&gt;0,CD266,MAX(0.1,N(Cockpit!$O$6))),CG266)/BV266,0)*BV266</f>
        <v>80</v>
      </c>
      <c r="BD266" s="51" t="n">
        <f aca="false">IF(BA266&gt;0,J266/BA266,-1)</f>
        <v>6.70967741935484</v>
      </c>
      <c r="BE266" s="51" t="n">
        <f aca="false">IF(AND(OR(CC266="L1",CC266="L23",CC266="LIFT"),BA266&gt;0),SUMIFS($BA$7:$BA$1843,$CC$7:$CC$1843,CC266,$BD$7:$BD$1843,"&gt;"&amp;BD266)+SUMIFS($BA$7:$BA$1843,$CC$7:$CC$1843,CC266,$BD$7:$BD$1843,BD266,$BT$7:$BT$1843,"&lt;="&amp;BT266),"")</f>
        <v>4315.71428571429</v>
      </c>
      <c r="BF266" s="58" t="n">
        <f aca="false">IF(BE266="",0,MAX(0,MIN(1,(IF(CC266="L1",Parameter!$H$5,IF(CC266="L23",Parameter!$H$6+Parameter!$H$7,Parameter!$H$5+Parameter!$H$6+Parameter!$H$7))-(BE266-BA266))/BA266)))</f>
        <v>1</v>
      </c>
      <c r="BG266" s="48" t="str">
        <f aca="false">IF(AI266&lt;=0,"",IF(CC266="Aussen","Aussenlager",IF(CC266="-","Nicht im Lift",IF(AN266&gt;=1,"Lift",IF(AN266&lt;=0,"Aussenlager","teilweise")))))</f>
        <v>Lift</v>
      </c>
      <c r="BH266" s="48" t="str">
        <f aca="false">IF(AR266&lt;=0,"",IF(CC266="Aussen","Aussenlager",IF(CC266="-","Nicht im Lift",IF(AW266&gt;=1,"Lift",IF(AW266&lt;=0,"Aussenlager","teilweise")))))</f>
        <v>Lift</v>
      </c>
      <c r="BI266" s="48" t="str">
        <f aca="false">IF(BA266&lt;=0,"",IF(CC266="Aussen","Aussenlager",IF(CC266="-","Nicht im Lift",IF(BF266&gt;=1,"Lift",IF(BF266&lt;=0,"Aussenlager","teilweise")))))</f>
        <v>Lift</v>
      </c>
      <c r="BJ266" s="48" t="str">
        <f aca="false">IF(A266="","",IF(BS266=1,"Neu; ","")&amp;IF(AND(BS266=0,BN266&lt;0),"negativer Bestand (Export "&amp;BN266&amp;"); ","")&amp;IF(J266&lt;=0,"Kein Verbrauch; ","")&amp;IF(CL266&gt;0,"Lift "&amp;W266&amp;" lt. Liftbericht (Fach "&amp;X266&amp;" Stk); ",IF(BX266=1,"Gebinde geschätzt ("&amp;T266&amp;"); ",IF(BW266=1,"Lose – Tablare geschätzt; ","")))&amp;IF(H266&gt;AT266,"Überbestand "&amp;ROUND(H266-AT266,0)&amp;" Stk / CHF "&amp;ROUND((H266-AT266)*G266,0)&amp;"; ","")&amp;IF(AND(CE266=1,CF266&lt;CG266),"MAX &lt; MB+LG; ","")&amp;IF(AND(CK266&gt;0,CJ266*10&gt;CK266),"zu hoch für Tablar; ","")&amp;IF(AND(BS266=0,OR(CE266=1,AA266&lt;&gt;"",U266&lt;&gt;"",V266&lt;&gt;"",AB266&lt;&gt;"")),"manuell übersteuert; ","")&amp;IF(AND(BW266=0,R266=0),"Gebinde unbekannt / Stellmass fehlt; ","")&amp;IF(AND(BW266=0,N(V266)&lt;=0,N(Q266)&lt;=0),"Menge pro Gebinde fehlt (Ist = 1 Gebinde); ","")&amp;BR266)</f>
        <v>Überbestand 68 Stk / CHF 197; </v>
      </c>
      <c r="BK266" s="48"/>
      <c r="BL266" s="48"/>
      <c r="BM266" s="55"/>
      <c r="BN266" s="50" t="n">
        <v>148</v>
      </c>
      <c r="BO266" s="50" t="n">
        <v>0</v>
      </c>
      <c r="BP266" s="49" t="n">
        <v>429.2</v>
      </c>
      <c r="BQ266" s="50" t="n">
        <v>40</v>
      </c>
      <c r="BR266" s="48"/>
      <c r="BS266" s="53" t="n">
        <v>0</v>
      </c>
      <c r="BT266" s="53" t="n">
        <v>266</v>
      </c>
      <c r="BU266" s="48" t="str">
        <f aca="false">IF(U266&lt;&gt;"",UPPER(TRIM(U266)),IF(BX266=1,UPPER(VLOOKUP(T266,Parameter!$I$27:$K$29,2,0)),IF(P266="","LOSE",P266)))</f>
        <v>S32</v>
      </c>
      <c r="BV266" s="50" t="n">
        <f aca="false">IF(BU266="LOSE",1,IF(N(V266)&gt;0,V266,IF(BX266=1,MAX(1,N(VLOOKUP(T266,Parameter!$I$27:$K$29,3,0)),H266,N(N266)),IF(N(Q266)&gt;0,Q266,MAX(1,H266)))))</f>
        <v>40</v>
      </c>
      <c r="BW266" s="53" t="n">
        <f aca="false">IF(BU266="LOSE",1,0)</f>
        <v>0</v>
      </c>
      <c r="BX266" s="53" t="n">
        <f aca="false">IF(AND(U266="",OR(P266="",P266="LOSE"),T266&lt;&gt;"",N(S266)&lt;=0,ISNUMBER(MATCH(T266,Parameter!$I$27:$I$29,0))),1,0)</f>
        <v>0</v>
      </c>
      <c r="BY266" s="53" t="n">
        <f aca="false">IF(CL266&gt;0,INDEX(Parameter!$H$5:$H$7,W266)/INDEX(Parameter!$E$5:$E$7,W266),IF(AND(BW266=0,N(IFERROR(VLOOKUP(BU266,'Gebinde-Kategorie'!$A$5:$N$45,14,0),0))&gt;0),VLOOKUP(BU266,'Gebinde-Kategorie'!$A$5:$N$45,14,0)*10+Parameter!$M$23,Parameter!$M$24))</f>
        <v>155</v>
      </c>
      <c r="BZ266" s="48" t="str">
        <f aca="false">IF(AND(Parameter!$B$19="Ja",E266&lt;&gt;"",ISNUMBER(MATCH(E266,Parameter!$I$35:$I$52,0))),VLOOKUP(E266,Parameter!$I$35:$J$52,2,0),IFERROR(VLOOKUP(D266,Parameter!$A$35:$C$64,2,0),"Nein"))</f>
        <v>2+3</v>
      </c>
      <c r="CA266" s="52" t="n">
        <f aca="false">IF(BW266=0,0,IF(N(S266)&gt;0,S266,IFERROR(VLOOKUP(D266,Parameter!$A$35:$C$64,3,0)+0,0)))</f>
        <v>0</v>
      </c>
      <c r="CB266" s="48" t="n">
        <f aca="false">IF(AA266&lt;&gt;"",AA266,Z266)</f>
        <v>3</v>
      </c>
      <c r="CC266" s="48" t="str">
        <f aca="false">IF(OR(CB266=1,CB266=2,CB266=3),IF(Parameter!$E$27="Ja","LIFT",IF(CB266=1,"L1","L23")),IF(CB266="Aussen","Aussen","-"))</f>
        <v>LIFT</v>
      </c>
      <c r="CD266" s="59" t="n">
        <f aca="false">IF(N(AB266)&gt;0,AB266,0)</f>
        <v>0</v>
      </c>
      <c r="CE266" s="53" t="n">
        <f aca="false">IF(ISNUMBER(AE266),1,0)</f>
        <v>0</v>
      </c>
      <c r="CF266" s="50" t="n">
        <f aca="false">N(AE266)</f>
        <v>0</v>
      </c>
      <c r="CG266" s="50" t="n">
        <f aca="false">N(M266)+N(N266)</f>
        <v>41</v>
      </c>
      <c r="CH266" s="50" t="n">
        <f aca="false">ROUNDUP(H266/BV266,0)</f>
        <v>4</v>
      </c>
      <c r="CI266" s="50" t="n">
        <f aca="false">ROUNDUP(CF266/BV266,0)</f>
        <v>0</v>
      </c>
      <c r="CJ266" s="53" t="n">
        <f aca="false">IF(BW266=1,0,IFERROR(VLOOKUP(BU266,'Gebinde-Kategorie'!$A$5:$N$45,5,0)+0,0))</f>
        <v>8</v>
      </c>
      <c r="CK266" s="53" t="n">
        <f aca="false">IFERROR(IF(OR(CB266=1,CB266=2,CB266=3),N(INDEX(Parameter!$I$5:$I$7,CB266)),0),0)</f>
        <v>0</v>
      </c>
      <c r="CL266" s="52" t="n">
        <f aca="false">IF(AND(Parameter!$B$21="Ja",ISNUMBER(W266),N(X266)&gt;0),IFERROR(N(INDEX(Parameter!$L$5:$L$7,W266))*INDEX(Parameter!$E$5:$E$7,W266)*X266/SUMIFS($X$7:$X$1843,$W$7:$W$1843,W266),0),0)</f>
        <v>0</v>
      </c>
    </row>
    <row r="267" customFormat="false" ht="15" hidden="false" customHeight="false" outlineLevel="0" collapsed="false">
      <c r="A267" s="48" t="s">
        <v>716</v>
      </c>
      <c r="B267" s="48" t="s">
        <v>717</v>
      </c>
      <c r="C267" s="48" t="s">
        <v>168</v>
      </c>
      <c r="D267" s="48" t="s">
        <v>188</v>
      </c>
      <c r="E267" s="48" t="s">
        <v>189</v>
      </c>
      <c r="F267" s="48" t="s">
        <v>222</v>
      </c>
      <c r="G267" s="49" t="n">
        <v>1.77</v>
      </c>
      <c r="H267" s="50" t="n">
        <f aca="false">MAX(0,IF(AND(Parameter!$B$21="Ja",ISNUMBER(Y267)),Y267,IF(Parameter!$B$20="Jahresanfang 2025 + Export",BO267+BN267,BN267)))</f>
        <v>315</v>
      </c>
      <c r="I267" s="50" t="n">
        <f aca="false">H267*G267</f>
        <v>557.55</v>
      </c>
      <c r="J267" s="50" t="n">
        <f aca="false">BQ267*Parameter!$B$18</f>
        <v>258</v>
      </c>
      <c r="K267" s="51" t="n">
        <v>92</v>
      </c>
      <c r="L267" s="52" t="n">
        <v>2.80434782608696</v>
      </c>
      <c r="M267" s="50" t="n">
        <v>15</v>
      </c>
      <c r="N267" s="50" t="n">
        <v>300</v>
      </c>
      <c r="O267" s="53" t="n">
        <v>21</v>
      </c>
      <c r="P267" s="48" t="s">
        <v>425</v>
      </c>
      <c r="Q267" s="50" t="n">
        <v>241</v>
      </c>
      <c r="R267" s="53" t="n">
        <f aca="false">IF(BW267=1,0,IFERROR(VLOOKUP(BU267,'Gebinde-Kategorie'!$A$5:$N$45,13,0)+0,0))</f>
        <v>104</v>
      </c>
      <c r="S267" s="54"/>
      <c r="T267" s="55"/>
      <c r="U267" s="55"/>
      <c r="V267" s="55"/>
      <c r="W267" s="48"/>
      <c r="X267" s="50"/>
      <c r="Y267" s="50"/>
      <c r="Z267" s="48" t="n">
        <f aca="false">IF(A267="","",IF(AND(Parameter!$B$21="Ja",ISNUMBER(W267)),W267,IF(BZ267="2+3",IF(ISNUMBER(SEARCH("grosser Artikel",BR267)),2,IFERROR(VLOOKUP(BU267,Parameter!$F$35:$G$64,2,0),2)),IF(OR(BZ267="Nein",BZ267=""),"-",BZ267))))</f>
        <v>3</v>
      </c>
      <c r="AA267" s="55"/>
      <c r="AB267" s="56"/>
      <c r="AC267" s="50" t="n">
        <f aca="false">AT267</f>
        <v>482</v>
      </c>
      <c r="AD267" s="50" t="n">
        <f aca="false">MAX(AT267,H267)</f>
        <v>482</v>
      </c>
      <c r="AE267" s="57"/>
      <c r="AF267" s="50" t="n">
        <f aca="false">IF(LEFT(Cockpit!$C$5,1)="A",H267,IF(CE267=1,CF267,IF(LEFT(Cockpit!$C$5,1)="B",AK267,MAX(AK267,H267))))</f>
        <v>315</v>
      </c>
      <c r="AG267" s="50" t="n">
        <f aca="false">IF(BW267=1,0,ROUNDUP(AF267/BV267,0))</f>
        <v>2</v>
      </c>
      <c r="AH267" s="52" t="n">
        <f aca="false">IF(CL267&gt;0,CL267*MAX(1,AF267/X267),IF(BW267=1,IF(AF267&lt;=0,0,CA267*MAX(1,IF(H267&gt;0,AF267/H267,1))),IF(R267&gt;0,AG267/R267,0))/MAX(0.1,N(Parameter!$M$21)))</f>
        <v>0.0192307692307692</v>
      </c>
      <c r="AI267" s="50" t="n">
        <f aca="false">AH267*BY267</f>
        <v>2.98076923076923</v>
      </c>
      <c r="AJ267" s="50" t="n">
        <f aca="false">AF267*G267</f>
        <v>557.55</v>
      </c>
      <c r="AK267" s="50" t="n">
        <f aca="false">ROUNDUP(MAX(J267/IF(CD267&gt;0,CD267,MAX(0.1,N(Cockpit!$C$6))),CG267)/BV267,0)*BV267</f>
        <v>482</v>
      </c>
      <c r="AL267" s="51" t="n">
        <f aca="false">IF(AI267&gt;0,J267/AI267,-1)</f>
        <v>86.5548387096774</v>
      </c>
      <c r="AM267" s="51" t="n">
        <f aca="false">IF(AND(OR(CC267="L1",CC267="L23",CC267="LIFT"),AI267&gt;0),SUMIFS($AI$7:$AI$1843,$CC$7:$CC$1843,CC267,$AL$7:$AL$1843,"&gt;"&amp;AL267)+SUMIFS($AI$7:$AI$1843,$CC$7:$CC$1843,CC267,$AL$7:$AL$1843,AL267,$BT$7:$BT$1843,"&lt;="&amp;BT267),"")</f>
        <v>833.896978021978</v>
      </c>
      <c r="AN267" s="58" t="n">
        <f aca="false">IF(AM267="",0,MAX(0,MIN(1,(IF(CC267="L1",Parameter!$H$5,IF(CC267="L23",Parameter!$H$6+Parameter!$H$7,Parameter!$H$5+Parameter!$H$6+Parameter!$H$7))-(AM267-AI267))/AI267)))</f>
        <v>1</v>
      </c>
      <c r="AO267" s="50" t="n">
        <f aca="false">IF(LEFT(Cockpit!$I$5,1)="A",H267,IF(CE267=1,CF267,IF(LEFT(Cockpit!$I$5,1)="B",AT267,MAX(AT267,H267))))</f>
        <v>482</v>
      </c>
      <c r="AP267" s="50" t="n">
        <f aca="false">IF(BW267=1,0,ROUNDUP(AO267/BV267,0))</f>
        <v>2</v>
      </c>
      <c r="AQ267" s="52" t="n">
        <f aca="false">IF(CL267&gt;0,CL267*MAX(1,AO267/X267),IF(BW267=1,IF(AO267&lt;=0,0,CA267*MAX(1,IF(H267&gt;0,AO267/H267,1))),IF(R267&gt;0,AP267/R267,0))/MAX(0.1,N(Parameter!$M$21)))</f>
        <v>0.0192307692307692</v>
      </c>
      <c r="AR267" s="50" t="n">
        <f aca="false">AQ267*BY267</f>
        <v>2.98076923076923</v>
      </c>
      <c r="AS267" s="50" t="n">
        <f aca="false">AO267*G267</f>
        <v>853.14</v>
      </c>
      <c r="AT267" s="50" t="n">
        <f aca="false">ROUNDUP(MAX(J267/IF(CD267&gt;0,CD267,MAX(0.1,N(Cockpit!$I$6))),CG267)/BV267,0)*BV267</f>
        <v>482</v>
      </c>
      <c r="AU267" s="51" t="n">
        <f aca="false">IF(AR267&gt;0,J267/AR267,-1)</f>
        <v>86.5548387096774</v>
      </c>
      <c r="AV267" s="51" t="n">
        <f aca="false">IF(AND(OR(CC267="L1",CC267="L23",CC267="LIFT"),AR267&gt;0),SUMIFS($AR$7:$AR$1843,$CC$7:$CC$1843,CC267,$AU$7:$AU$1843,"&gt;"&amp;AU267)+SUMIFS($AR$7:$AR$1843,$CC$7:$CC$1843,CC267,$AU$7:$AU$1843,AU267,$BT$7:$BT$1843,"&lt;="&amp;BT267),"")</f>
        <v>938.816391941392</v>
      </c>
      <c r="AW267" s="58" t="n">
        <f aca="false">IF(AV267="",0,MAX(0,MIN(1,(IF(CC267="L1",Parameter!$H$5,IF(CC267="L23",Parameter!$H$6+Parameter!$H$7,Parameter!$H$5+Parameter!$H$6+Parameter!$H$7))-(AV267-AR267))/AR267)))</f>
        <v>1</v>
      </c>
      <c r="AX267" s="50" t="n">
        <f aca="false">IF(LEFT(Cockpit!$O$5,1)="A",H267,IF(CE267=1,CF267,IF(LEFT(Cockpit!$O$5,1)="B",BC267,MAX(BC267,H267))))</f>
        <v>482</v>
      </c>
      <c r="AY267" s="50" t="n">
        <f aca="false">IF(BW267=1,0,ROUNDUP(AX267/BV267,0))</f>
        <v>2</v>
      </c>
      <c r="AZ267" s="52" t="n">
        <f aca="false">IF(CL267&gt;0,CL267*MAX(1,AX267/X267),IF(BW267=1,IF(AX267&lt;=0,0,CA267*MAX(1,IF(H267&gt;0,AX267/H267,1))),IF(R267&gt;0,AY267/R267,0))/MAX(0.1,N(Parameter!$M$21)))</f>
        <v>0.0192307692307692</v>
      </c>
      <c r="BA267" s="50" t="n">
        <f aca="false">AZ267*BY267</f>
        <v>2.98076923076923</v>
      </c>
      <c r="BB267" s="50" t="n">
        <f aca="false">AX267*G267</f>
        <v>853.14</v>
      </c>
      <c r="BC267" s="50" t="n">
        <f aca="false">ROUNDUP(MAX(J267/IF(CD267&gt;0,CD267,MAX(0.1,N(Cockpit!$O$6))),CG267)/BV267,0)*BV267</f>
        <v>482</v>
      </c>
      <c r="BD267" s="51" t="n">
        <f aca="false">IF(BA267&gt;0,J267/BA267,-1)</f>
        <v>86.5548387096774</v>
      </c>
      <c r="BE267" s="51" t="n">
        <f aca="false">IF(AND(OR(CC267="L1",CC267="L23",CC267="LIFT"),BA267&gt;0),SUMIFS($BA$7:$BA$1843,$CC$7:$CC$1843,CC267,$BD$7:$BD$1843,"&gt;"&amp;BD267)+SUMIFS($BA$7:$BA$1843,$CC$7:$CC$1843,CC267,$BD$7:$BD$1843,BD267,$BT$7:$BT$1843,"&lt;="&amp;BT267),"")</f>
        <v>1046.23626373626</v>
      </c>
      <c r="BF267" s="58" t="n">
        <f aca="false">IF(BE267="",0,MAX(0,MIN(1,(IF(CC267="L1",Parameter!$H$5,IF(CC267="L23",Parameter!$H$6+Parameter!$H$7,Parameter!$H$5+Parameter!$H$6+Parameter!$H$7))-(BE267-BA267))/BA267)))</f>
        <v>1</v>
      </c>
      <c r="BG267" s="48" t="str">
        <f aca="false">IF(AI267&lt;=0,"",IF(CC267="Aussen","Aussenlager",IF(CC267="-","Nicht im Lift",IF(AN267&gt;=1,"Lift",IF(AN267&lt;=0,"Aussenlager","teilweise")))))</f>
        <v>Lift</v>
      </c>
      <c r="BH267" s="48" t="str">
        <f aca="false">IF(AR267&lt;=0,"",IF(CC267="Aussen","Aussenlager",IF(CC267="-","Nicht im Lift",IF(AW267&gt;=1,"Lift",IF(AW267&lt;=0,"Aussenlager","teilweise")))))</f>
        <v>Lift</v>
      </c>
      <c r="BI267" s="48" t="str">
        <f aca="false">IF(BA267&lt;=0,"",IF(CC267="Aussen","Aussenlager",IF(CC267="-","Nicht im Lift",IF(BF267&gt;=1,"Lift",IF(BF267&lt;=0,"Aussenlager","teilweise")))))</f>
        <v>Lift</v>
      </c>
      <c r="BJ267" s="48" t="str">
        <f aca="false">IF(A267="","",IF(BS267=1,"Neu; ","")&amp;IF(AND(BS267=0,BN267&lt;0),"negativer Bestand (Export "&amp;BN267&amp;"); ","")&amp;IF(J267&lt;=0,"Kein Verbrauch; ","")&amp;IF(CL267&gt;0,"Lift "&amp;W267&amp;" lt. Liftbericht (Fach "&amp;X267&amp;" Stk); ",IF(BX267=1,"Gebinde geschätzt ("&amp;T267&amp;"); ",IF(BW267=1,"Lose – Tablare geschätzt; ","")))&amp;IF(H267&gt;AT267,"Überbestand "&amp;ROUND(H267-AT267,0)&amp;" Stk / CHF "&amp;ROUND((H267-AT267)*G267,0)&amp;"; ","")&amp;IF(AND(CE267=1,CF267&lt;CG267),"MAX &lt; MB+LG; ","")&amp;IF(AND(CK267&gt;0,CJ267*10&gt;CK267),"zu hoch für Tablar; ","")&amp;IF(AND(BS267=0,OR(CE267=1,AA267&lt;&gt;"",U267&lt;&gt;"",V267&lt;&gt;"",AB267&lt;&gt;"")),"manuell übersteuert; ","")&amp;IF(AND(BW267=0,R267=0),"Gebinde unbekannt / Stellmass fehlt; ","")&amp;IF(AND(BW267=0,N(V267)&lt;=0,N(Q267)&lt;=0),"Menge pro Gebinde fehlt (Ist = 1 Gebinde); ","")&amp;BR267)</f>
        <v/>
      </c>
      <c r="BK267" s="48"/>
      <c r="BL267" s="48"/>
      <c r="BM267" s="55"/>
      <c r="BN267" s="50" t="n">
        <v>242</v>
      </c>
      <c r="BO267" s="50" t="n">
        <v>73</v>
      </c>
      <c r="BP267" s="49" t="n">
        <v>426.15</v>
      </c>
      <c r="BQ267" s="50" t="n">
        <v>258</v>
      </c>
      <c r="BR267" s="48"/>
      <c r="BS267" s="53" t="n">
        <v>0</v>
      </c>
      <c r="BT267" s="53" t="n">
        <v>267</v>
      </c>
      <c r="BU267" s="48" t="str">
        <f aca="false">IF(U267&lt;&gt;"",UPPER(TRIM(U267)),IF(BX267=1,UPPER(VLOOKUP(T267,Parameter!$I$27:$K$29,2,0)),IF(P267="","LOSE",P267)))</f>
        <v>S32</v>
      </c>
      <c r="BV267" s="50" t="n">
        <f aca="false">IF(BU267="LOSE",1,IF(N(V267)&gt;0,V267,IF(BX267=1,MAX(1,N(VLOOKUP(T267,Parameter!$I$27:$K$29,3,0)),H267,N(N267)),IF(N(Q267)&gt;0,Q267,MAX(1,H267)))))</f>
        <v>241</v>
      </c>
      <c r="BW267" s="53" t="n">
        <f aca="false">IF(BU267="LOSE",1,0)</f>
        <v>0</v>
      </c>
      <c r="BX267" s="53" t="n">
        <f aca="false">IF(AND(U267="",OR(P267="",P267="LOSE"),T267&lt;&gt;"",N(S267)&lt;=0,ISNUMBER(MATCH(T267,Parameter!$I$27:$I$29,0))),1,0)</f>
        <v>0</v>
      </c>
      <c r="BY267" s="53" t="n">
        <f aca="false">IF(CL267&gt;0,INDEX(Parameter!$H$5:$H$7,W267)/INDEX(Parameter!$E$5:$E$7,W267),IF(AND(BW267=0,N(IFERROR(VLOOKUP(BU267,'Gebinde-Kategorie'!$A$5:$N$45,14,0),0))&gt;0),VLOOKUP(BU267,'Gebinde-Kategorie'!$A$5:$N$45,14,0)*10+Parameter!$M$23,Parameter!$M$24))</f>
        <v>155</v>
      </c>
      <c r="BZ267" s="48" t="str">
        <f aca="false">IF(AND(Parameter!$B$19="Ja",E267&lt;&gt;"",ISNUMBER(MATCH(E267,Parameter!$I$35:$I$52,0))),VLOOKUP(E267,Parameter!$I$35:$J$52,2,0),IFERROR(VLOOKUP(D267,Parameter!$A$35:$C$64,2,0),"Nein"))</f>
        <v>2+3</v>
      </c>
      <c r="CA267" s="52" t="n">
        <f aca="false">IF(BW267=0,0,IF(N(S267)&gt;0,S267,IFERROR(VLOOKUP(D267,Parameter!$A$35:$C$64,3,0)+0,0)))</f>
        <v>0</v>
      </c>
      <c r="CB267" s="48" t="n">
        <f aca="false">IF(AA267&lt;&gt;"",AA267,Z267)</f>
        <v>3</v>
      </c>
      <c r="CC267" s="48" t="str">
        <f aca="false">IF(OR(CB267=1,CB267=2,CB267=3),IF(Parameter!$E$27="Ja","LIFT",IF(CB267=1,"L1","L23")),IF(CB267="Aussen","Aussen","-"))</f>
        <v>LIFT</v>
      </c>
      <c r="CD267" s="59" t="n">
        <f aca="false">IF(N(AB267)&gt;0,AB267,0)</f>
        <v>0</v>
      </c>
      <c r="CE267" s="53" t="n">
        <f aca="false">IF(ISNUMBER(AE267),1,0)</f>
        <v>0</v>
      </c>
      <c r="CF267" s="50" t="n">
        <f aca="false">N(AE267)</f>
        <v>0</v>
      </c>
      <c r="CG267" s="50" t="n">
        <f aca="false">N(M267)+N(N267)</f>
        <v>315</v>
      </c>
      <c r="CH267" s="50" t="n">
        <f aca="false">ROUNDUP(H267/BV267,0)</f>
        <v>2</v>
      </c>
      <c r="CI267" s="50" t="n">
        <f aca="false">ROUNDUP(CF267/BV267,0)</f>
        <v>0</v>
      </c>
      <c r="CJ267" s="53" t="n">
        <f aca="false">IF(BW267=1,0,IFERROR(VLOOKUP(BU267,'Gebinde-Kategorie'!$A$5:$N$45,5,0)+0,0))</f>
        <v>8</v>
      </c>
      <c r="CK267" s="53" t="n">
        <f aca="false">IFERROR(IF(OR(CB267=1,CB267=2,CB267=3),N(INDEX(Parameter!$I$5:$I$7,CB267)),0),0)</f>
        <v>0</v>
      </c>
      <c r="CL267" s="52" t="n">
        <f aca="false">IF(AND(Parameter!$B$21="Ja",ISNUMBER(W267),N(X267)&gt;0),IFERROR(N(INDEX(Parameter!$L$5:$L$7,W267))*INDEX(Parameter!$E$5:$E$7,W267)*X267/SUMIFS($X$7:$X$1843,$W$7:$W$1843,W267),0),0)</f>
        <v>0</v>
      </c>
    </row>
    <row r="268" customFormat="false" ht="15" hidden="false" customHeight="false" outlineLevel="0" collapsed="false">
      <c r="A268" s="48" t="s">
        <v>718</v>
      </c>
      <c r="B268" s="48" t="s">
        <v>719</v>
      </c>
      <c r="C268" s="48" t="s">
        <v>168</v>
      </c>
      <c r="D268" s="48" t="s">
        <v>188</v>
      </c>
      <c r="E268" s="48" t="s">
        <v>189</v>
      </c>
      <c r="F268" s="48" t="s">
        <v>222</v>
      </c>
      <c r="G268" s="49" t="n">
        <v>21.54</v>
      </c>
      <c r="H268" s="50" t="n">
        <f aca="false">MAX(0,IF(AND(Parameter!$B$21="Ja",ISNUMBER(Y268)),Y268,IF(Parameter!$B$20="Jahresanfang 2025 + Export",BO268+BN268,BN268)))</f>
        <v>67</v>
      </c>
      <c r="I268" s="50" t="n">
        <f aca="false">H268*G268</f>
        <v>1443.18</v>
      </c>
      <c r="J268" s="50" t="n">
        <f aca="false">BQ268*Parameter!$B$18</f>
        <v>58</v>
      </c>
      <c r="K268" s="51" t="n">
        <v>42</v>
      </c>
      <c r="L268" s="52" t="n">
        <v>1.38095238095238</v>
      </c>
      <c r="M268" s="50" t="n">
        <v>4</v>
      </c>
      <c r="N268" s="50" t="n">
        <v>60</v>
      </c>
      <c r="O268" s="53" t="n">
        <v>28</v>
      </c>
      <c r="P268" s="48" t="s">
        <v>297</v>
      </c>
      <c r="Q268" s="50" t="n">
        <v>28</v>
      </c>
      <c r="R268" s="53" t="n">
        <f aca="false">IF(BW268=1,0,IFERROR(VLOOKUP(BU268,'Gebinde-Kategorie'!$A$5:$N$45,13,0)+0,0))</f>
        <v>12</v>
      </c>
      <c r="S268" s="54"/>
      <c r="T268" s="55"/>
      <c r="U268" s="55"/>
      <c r="V268" s="55"/>
      <c r="W268" s="48"/>
      <c r="X268" s="50"/>
      <c r="Y268" s="50"/>
      <c r="Z268" s="48" t="n">
        <f aca="false">IF(A268="","",IF(AND(Parameter!$B$21="Ja",ISNUMBER(W268)),W268,IF(BZ268="2+3",IF(ISNUMBER(SEARCH("grosser Artikel",BR268)),2,IFERROR(VLOOKUP(BU268,Parameter!$F$35:$G$64,2,0),2)),IF(OR(BZ268="Nein",BZ268=""),"-",BZ268))))</f>
        <v>2</v>
      </c>
      <c r="AA268" s="55"/>
      <c r="AB268" s="56"/>
      <c r="AC268" s="50" t="n">
        <f aca="false">AT268</f>
        <v>84</v>
      </c>
      <c r="AD268" s="50" t="n">
        <f aca="false">MAX(AT268,H268)</f>
        <v>84</v>
      </c>
      <c r="AE268" s="57"/>
      <c r="AF268" s="50" t="n">
        <f aca="false">IF(LEFT(Cockpit!$C$5,1)="A",H268,IF(CE268=1,CF268,IF(LEFT(Cockpit!$C$5,1)="B",AK268,MAX(AK268,H268))))</f>
        <v>67</v>
      </c>
      <c r="AG268" s="50" t="n">
        <f aca="false">IF(BW268=1,0,ROUNDUP(AF268/BV268,0))</f>
        <v>3</v>
      </c>
      <c r="AH268" s="52" t="n">
        <f aca="false">IF(CL268&gt;0,CL268*MAX(1,AF268/X268),IF(BW268=1,IF(AF268&lt;=0,0,CA268*MAX(1,IF(H268&gt;0,AF268/H268,1))),IF(R268&gt;0,AG268/R268,0))/MAX(0.1,N(Parameter!$M$21)))</f>
        <v>0.25</v>
      </c>
      <c r="AI268" s="50" t="n">
        <f aca="false">AH268*BY268</f>
        <v>61.25</v>
      </c>
      <c r="AJ268" s="50" t="n">
        <f aca="false">AF268*G268</f>
        <v>1443.18</v>
      </c>
      <c r="AK268" s="50" t="n">
        <f aca="false">ROUNDUP(MAX(J268/IF(CD268&gt;0,CD268,MAX(0.1,N(Cockpit!$C$6))),CG268)/BV268,0)*BV268</f>
        <v>84</v>
      </c>
      <c r="AL268" s="51" t="n">
        <f aca="false">IF(AI268&gt;0,J268/AI268,-1)</f>
        <v>0.946938775510204</v>
      </c>
      <c r="AM268" s="51" t="n">
        <f aca="false">IF(AND(OR(CC268="L1",CC268="L23",CC268="LIFT"),AI268&gt;0),SUMIFS($AI$7:$AI$1843,$CC$7:$CC$1843,CC268,$AL$7:$AL$1843,"&gt;"&amp;AL268)+SUMIFS($AI$7:$AI$1843,$CC$7:$CC$1843,CC268,$AL$7:$AL$1843,AL268,$BT$7:$BT$1843,"&lt;="&amp;BT268),"")</f>
        <v>7306.37225274725</v>
      </c>
      <c r="AN268" s="58" t="n">
        <f aca="false">IF(AM268="",0,MAX(0,MIN(1,(IF(CC268="L1",Parameter!$H$5,IF(CC268="L23",Parameter!$H$6+Parameter!$H$7,Parameter!$H$5+Parameter!$H$6+Parameter!$H$7))-(AM268-AI268))/AI268)))</f>
        <v>1</v>
      </c>
      <c r="AO268" s="50" t="n">
        <f aca="false">IF(LEFT(Cockpit!$I$5,1)="A",H268,IF(CE268=1,CF268,IF(LEFT(Cockpit!$I$5,1)="B",AT268,MAX(AT268,H268))))</f>
        <v>84</v>
      </c>
      <c r="AP268" s="50" t="n">
        <f aca="false">IF(BW268=1,0,ROUNDUP(AO268/BV268,0))</f>
        <v>3</v>
      </c>
      <c r="AQ268" s="52" t="n">
        <f aca="false">IF(CL268&gt;0,CL268*MAX(1,AO268/X268),IF(BW268=1,IF(AO268&lt;=0,0,CA268*MAX(1,IF(H268&gt;0,AO268/H268,1))),IF(R268&gt;0,AP268/R268,0))/MAX(0.1,N(Parameter!$M$21)))</f>
        <v>0.25</v>
      </c>
      <c r="AR268" s="50" t="n">
        <f aca="false">AQ268*BY268</f>
        <v>61.25</v>
      </c>
      <c r="AS268" s="50" t="n">
        <f aca="false">AO268*G268</f>
        <v>1809.36</v>
      </c>
      <c r="AT268" s="50" t="n">
        <f aca="false">ROUNDUP(MAX(J268/IF(CD268&gt;0,CD268,MAX(0.1,N(Cockpit!$I$6))),CG268)/BV268,0)*BV268</f>
        <v>84</v>
      </c>
      <c r="AU268" s="51" t="n">
        <f aca="false">IF(AR268&gt;0,J268/AR268,-1)</f>
        <v>0.946938775510204</v>
      </c>
      <c r="AV268" s="51" t="n">
        <f aca="false">IF(AND(OR(CC268="L1",CC268="L23",CC268="LIFT"),AR268&gt;0),SUMIFS($AR$7:$AR$1843,$CC$7:$CC$1843,CC268,$AU$7:$AU$1843,"&gt;"&amp;AU268)+SUMIFS($AR$7:$AR$1843,$CC$7:$CC$1843,CC268,$AU$7:$AU$1843,AU268,$BT$7:$BT$1843,"&lt;="&amp;BT268),"")</f>
        <v>10350.7380952381</v>
      </c>
      <c r="AW268" s="58" t="n">
        <f aca="false">IF(AV268="",0,MAX(0,MIN(1,(IF(CC268="L1",Parameter!$H$5,IF(CC268="L23",Parameter!$H$6+Parameter!$H$7,Parameter!$H$5+Parameter!$H$6+Parameter!$H$7))-(AV268-AR268))/AR268)))</f>
        <v>1</v>
      </c>
      <c r="AX268" s="50" t="n">
        <f aca="false">IF(LEFT(Cockpit!$O$5,1)="A",H268,IF(CE268=1,CF268,IF(LEFT(Cockpit!$O$5,1)="B",BC268,MAX(BC268,H268))))</f>
        <v>84</v>
      </c>
      <c r="AY268" s="50" t="n">
        <f aca="false">IF(BW268=1,0,ROUNDUP(AX268/BV268,0))</f>
        <v>3</v>
      </c>
      <c r="AZ268" s="52" t="n">
        <f aca="false">IF(CL268&gt;0,CL268*MAX(1,AX268/X268),IF(BW268=1,IF(AX268&lt;=0,0,CA268*MAX(1,IF(H268&gt;0,AX268/H268,1))),IF(R268&gt;0,AY268/R268,0))/MAX(0.1,N(Parameter!$M$21)))</f>
        <v>0.25</v>
      </c>
      <c r="BA268" s="50" t="n">
        <f aca="false">AZ268*BY268</f>
        <v>61.25</v>
      </c>
      <c r="BB268" s="50" t="n">
        <f aca="false">AX268*G268</f>
        <v>1809.36</v>
      </c>
      <c r="BC268" s="50" t="n">
        <f aca="false">ROUNDUP(MAX(J268/IF(CD268&gt;0,CD268,MAX(0.1,N(Cockpit!$O$6))),CG268)/BV268,0)*BV268</f>
        <v>84</v>
      </c>
      <c r="BD268" s="51" t="n">
        <f aca="false">IF(BA268&gt;0,J268/BA268,-1)</f>
        <v>0.946938775510204</v>
      </c>
      <c r="BE268" s="51" t="n">
        <f aca="false">IF(AND(OR(CC268="L1",CC268="L23",CC268="LIFT"),BA268&gt;0),SUMIFS($BA$7:$BA$1843,$CC$7:$CC$1843,CC268,$BD$7:$BD$1843,"&gt;"&amp;BD268)+SUMIFS($BA$7:$BA$1843,$CC$7:$CC$1843,CC268,$BD$7:$BD$1843,BD268,$BT$7:$BT$1843,"&lt;="&amp;BT268),"")</f>
        <v>9463.89514652015</v>
      </c>
      <c r="BF268" s="58" t="n">
        <f aca="false">IF(BE268="",0,MAX(0,MIN(1,(IF(CC268="L1",Parameter!$H$5,IF(CC268="L23",Parameter!$H$6+Parameter!$H$7,Parameter!$H$5+Parameter!$H$6+Parameter!$H$7))-(BE268-BA268))/BA268)))</f>
        <v>1</v>
      </c>
      <c r="BG268" s="48" t="str">
        <f aca="false">IF(AI268&lt;=0,"",IF(CC268="Aussen","Aussenlager",IF(CC268="-","Nicht im Lift",IF(AN268&gt;=1,"Lift",IF(AN268&lt;=0,"Aussenlager","teilweise")))))</f>
        <v>Lift</v>
      </c>
      <c r="BH268" s="48" t="str">
        <f aca="false">IF(AR268&lt;=0,"",IF(CC268="Aussen","Aussenlager",IF(CC268="-","Nicht im Lift",IF(AW268&gt;=1,"Lift",IF(AW268&lt;=0,"Aussenlager","teilweise")))))</f>
        <v>Lift</v>
      </c>
      <c r="BI268" s="48" t="str">
        <f aca="false">IF(BA268&lt;=0,"",IF(CC268="Aussen","Aussenlager",IF(CC268="-","Nicht im Lift",IF(BF268&gt;=1,"Lift",IF(BF268&lt;=0,"Aussenlager","teilweise")))))</f>
        <v>Lift</v>
      </c>
      <c r="BJ268" s="48" t="str">
        <f aca="false">IF(A268="","",IF(BS268=1,"Neu; ","")&amp;IF(AND(BS268=0,BN268&lt;0),"negativer Bestand (Export "&amp;BN268&amp;"); ","")&amp;IF(J268&lt;=0,"Kein Verbrauch; ","")&amp;IF(CL268&gt;0,"Lift "&amp;W268&amp;" lt. Liftbericht (Fach "&amp;X268&amp;" Stk); ",IF(BX268=1,"Gebinde geschätzt ("&amp;T268&amp;"); ",IF(BW268=1,"Lose – Tablare geschätzt; ","")))&amp;IF(H268&gt;AT268,"Überbestand "&amp;ROUND(H268-AT268,0)&amp;" Stk / CHF "&amp;ROUND((H268-AT268)*G268,0)&amp;"; ","")&amp;IF(AND(CE268=1,CF268&lt;CG268),"MAX &lt; MB+LG; ","")&amp;IF(AND(CK268&gt;0,CJ268*10&gt;CK268),"zu hoch für Tablar; ","")&amp;IF(AND(BS268=0,OR(CE268=1,AA268&lt;&gt;"",U268&lt;&gt;"",V268&lt;&gt;"",AB268&lt;&gt;"")),"manuell übersteuert; ","")&amp;IF(AND(BW268=0,R268=0),"Gebinde unbekannt / Stellmass fehlt; ","")&amp;IF(AND(BW268=0,N(V268)&lt;=0,N(Q268)&lt;=0),"Menge pro Gebinde fehlt (Ist = 1 Gebinde); ","")&amp;BR268)</f>
        <v/>
      </c>
      <c r="BK268" s="48"/>
      <c r="BL268" s="48"/>
      <c r="BM268" s="55"/>
      <c r="BN268" s="50" t="n">
        <v>18</v>
      </c>
      <c r="BO268" s="50" t="n">
        <v>49</v>
      </c>
      <c r="BP268" s="49" t="n">
        <v>425.15</v>
      </c>
      <c r="BQ268" s="50" t="n">
        <v>58</v>
      </c>
      <c r="BR268" s="48"/>
      <c r="BS268" s="53" t="n">
        <v>0</v>
      </c>
      <c r="BT268" s="53" t="n">
        <v>268</v>
      </c>
      <c r="BU268" s="48" t="str">
        <f aca="false">IF(U268&lt;&gt;"",UPPER(TRIM(U268)),IF(BX268=1,UPPER(VLOOKUP(T268,Parameter!$I$27:$K$29,2,0)),IF(P268="","LOSE",P268)))</f>
        <v>S62</v>
      </c>
      <c r="BV268" s="50" t="n">
        <f aca="false">IF(BU268="LOSE",1,IF(N(V268)&gt;0,V268,IF(BX268=1,MAX(1,N(VLOOKUP(T268,Parameter!$I$27:$K$29,3,0)),H268,N(N268)),IF(N(Q268)&gt;0,Q268,MAX(1,H268)))))</f>
        <v>28</v>
      </c>
      <c r="BW268" s="53" t="n">
        <f aca="false">IF(BU268="LOSE",1,0)</f>
        <v>0</v>
      </c>
      <c r="BX268" s="53" t="n">
        <f aca="false">IF(AND(U268="",OR(P268="",P268="LOSE"),T268&lt;&gt;"",N(S268)&lt;=0,ISNUMBER(MATCH(T268,Parameter!$I$27:$I$29,0))),1,0)</f>
        <v>0</v>
      </c>
      <c r="BY268" s="53" t="n">
        <f aca="false">IF(CL268&gt;0,INDEX(Parameter!$H$5:$H$7,W268)/INDEX(Parameter!$E$5:$E$7,W268),IF(AND(BW268=0,N(IFERROR(VLOOKUP(BU268,'Gebinde-Kategorie'!$A$5:$N$45,14,0),0))&gt;0),VLOOKUP(BU268,'Gebinde-Kategorie'!$A$5:$N$45,14,0)*10+Parameter!$M$23,Parameter!$M$24))</f>
        <v>245</v>
      </c>
      <c r="BZ268" s="48" t="str">
        <f aca="false">IF(AND(Parameter!$B$19="Ja",E268&lt;&gt;"",ISNUMBER(MATCH(E268,Parameter!$I$35:$I$52,0))),VLOOKUP(E268,Parameter!$I$35:$J$52,2,0),IFERROR(VLOOKUP(D268,Parameter!$A$35:$C$64,2,0),"Nein"))</f>
        <v>2+3</v>
      </c>
      <c r="CA268" s="52" t="n">
        <f aca="false">IF(BW268=0,0,IF(N(S268)&gt;0,S268,IFERROR(VLOOKUP(D268,Parameter!$A$35:$C$64,3,0)+0,0)))</f>
        <v>0</v>
      </c>
      <c r="CB268" s="48" t="n">
        <f aca="false">IF(AA268&lt;&gt;"",AA268,Z268)</f>
        <v>2</v>
      </c>
      <c r="CC268" s="48" t="str">
        <f aca="false">IF(OR(CB268=1,CB268=2,CB268=3),IF(Parameter!$E$27="Ja","LIFT",IF(CB268=1,"L1","L23")),IF(CB268="Aussen","Aussen","-"))</f>
        <v>LIFT</v>
      </c>
      <c r="CD268" s="59" t="n">
        <f aca="false">IF(N(AB268)&gt;0,AB268,0)</f>
        <v>0</v>
      </c>
      <c r="CE268" s="53" t="n">
        <f aca="false">IF(ISNUMBER(AE268),1,0)</f>
        <v>0</v>
      </c>
      <c r="CF268" s="50" t="n">
        <f aca="false">N(AE268)</f>
        <v>0</v>
      </c>
      <c r="CG268" s="50" t="n">
        <f aca="false">N(M268)+N(N268)</f>
        <v>64</v>
      </c>
      <c r="CH268" s="50" t="n">
        <f aca="false">ROUNDUP(H268/BV268,0)</f>
        <v>3</v>
      </c>
      <c r="CI268" s="50" t="n">
        <f aca="false">ROUNDUP(CF268/BV268,0)</f>
        <v>0</v>
      </c>
      <c r="CJ268" s="53" t="n">
        <f aca="false">IF(BW268=1,0,IFERROR(VLOOKUP(BU268,'Gebinde-Kategorie'!$A$5:$N$45,5,0)+0,0))</f>
        <v>21</v>
      </c>
      <c r="CK268" s="53" t="n">
        <f aca="false">IFERROR(IF(OR(CB268=1,CB268=2,CB268=3),N(INDEX(Parameter!$I$5:$I$7,CB268)),0),0)</f>
        <v>0</v>
      </c>
      <c r="CL268" s="52" t="n">
        <f aca="false">IF(AND(Parameter!$B$21="Ja",ISNUMBER(W268),N(X268)&gt;0),IFERROR(N(INDEX(Parameter!$L$5:$L$7,W268))*INDEX(Parameter!$E$5:$E$7,W268)*X268/SUMIFS($X$7:$X$1843,$W$7:$W$1843,W268),0),0)</f>
        <v>0</v>
      </c>
    </row>
    <row r="269" customFormat="false" ht="15" hidden="false" customHeight="false" outlineLevel="0" collapsed="false">
      <c r="A269" s="48" t="s">
        <v>720</v>
      </c>
      <c r="B269" s="48" t="s">
        <v>721</v>
      </c>
      <c r="C269" s="48" t="s">
        <v>168</v>
      </c>
      <c r="D269" s="48" t="s">
        <v>177</v>
      </c>
      <c r="E269" s="48" t="s">
        <v>170</v>
      </c>
      <c r="F269" s="48" t="s">
        <v>222</v>
      </c>
      <c r="G269" s="49" t="n">
        <v>97.95</v>
      </c>
      <c r="H269" s="50" t="n">
        <f aca="false">MAX(0,IF(AND(Parameter!$B$21="Ja",ISNUMBER(Y269)),Y269,IF(Parameter!$B$20="Jahresanfang 2025 + Export",BO269+BN269,BN269)))</f>
        <v>11</v>
      </c>
      <c r="I269" s="50" t="n">
        <f aca="false">H269*G269</f>
        <v>1077.45</v>
      </c>
      <c r="J269" s="50" t="n">
        <f aca="false">BQ269*Parameter!$B$18</f>
        <v>25</v>
      </c>
      <c r="K269" s="51" t="n">
        <v>9.5</v>
      </c>
      <c r="L269" s="52" t="n">
        <v>2.63157894736842</v>
      </c>
      <c r="M269" s="50" t="n">
        <v>2</v>
      </c>
      <c r="N269" s="50" t="n">
        <v>25</v>
      </c>
      <c r="O269" s="53" t="n">
        <v>35</v>
      </c>
      <c r="P269" s="48" t="s">
        <v>190</v>
      </c>
      <c r="Q269" s="50" t="n">
        <v>13</v>
      </c>
      <c r="R269" s="53" t="n">
        <f aca="false">IF(BW269=1,0,IFERROR(VLOOKUP(BU269,'Gebinde-Kategorie'!$A$5:$N$45,13,0)+0,0))</f>
        <v>12</v>
      </c>
      <c r="S269" s="54"/>
      <c r="T269" s="55"/>
      <c r="U269" s="55"/>
      <c r="V269" s="55"/>
      <c r="W269" s="48"/>
      <c r="X269" s="50"/>
      <c r="Y269" s="50"/>
      <c r="Z269" s="48" t="n">
        <f aca="false">IF(A269="","",IF(AND(Parameter!$B$21="Ja",ISNUMBER(W269)),W269,IF(BZ269="2+3",IF(ISNUMBER(SEARCH("grosser Artikel",BR269)),2,IFERROR(VLOOKUP(BU269,Parameter!$F$35:$G$64,2,0),2)),IF(OR(BZ269="Nein",BZ269=""),"-",BZ269))))</f>
        <v>1</v>
      </c>
      <c r="AA269" s="55"/>
      <c r="AB269" s="56"/>
      <c r="AC269" s="50" t="n">
        <f aca="false">AT269</f>
        <v>39</v>
      </c>
      <c r="AD269" s="50" t="n">
        <f aca="false">MAX(AT269,H269)</f>
        <v>39</v>
      </c>
      <c r="AE269" s="57"/>
      <c r="AF269" s="50" t="n">
        <f aca="false">IF(LEFT(Cockpit!$C$5,1)="A",H269,IF(CE269=1,CF269,IF(LEFT(Cockpit!$C$5,1)="B",AK269,MAX(AK269,H269))))</f>
        <v>11</v>
      </c>
      <c r="AG269" s="50" t="n">
        <f aca="false">IF(BW269=1,0,ROUNDUP(AF269/BV269,0))</f>
        <v>1</v>
      </c>
      <c r="AH269" s="52" t="n">
        <f aca="false">IF(CL269&gt;0,CL269*MAX(1,AF269/X269),IF(BW269=1,IF(AF269&lt;=0,0,CA269*MAX(1,IF(H269&gt;0,AF269/H269,1))),IF(R269&gt;0,AG269/R269,0))/MAX(0.1,N(Parameter!$M$21)))</f>
        <v>0.0833333333333333</v>
      </c>
      <c r="AI269" s="50" t="n">
        <f aca="false">AH269*BY269</f>
        <v>12.0833333333333</v>
      </c>
      <c r="AJ269" s="50" t="n">
        <f aca="false">AF269*G269</f>
        <v>1077.45</v>
      </c>
      <c r="AK269" s="50" t="n">
        <f aca="false">ROUNDUP(MAX(J269/IF(CD269&gt;0,CD269,MAX(0.1,N(Cockpit!$C$6))),CG269)/BV269,0)*BV269</f>
        <v>39</v>
      </c>
      <c r="AL269" s="51" t="n">
        <f aca="false">IF(AI269&gt;0,J269/AI269,-1)</f>
        <v>2.06896551724138</v>
      </c>
      <c r="AM269" s="51" t="n">
        <f aca="false">IF(AND(OR(CC269="L1",CC269="L23",CC269="LIFT"),AI269&gt;0),SUMIFS($AI$7:$AI$1843,$CC$7:$CC$1843,CC269,$AL$7:$AL$1843,"&gt;"&amp;AL269)+SUMIFS($AI$7:$AI$1843,$CC$7:$CC$1843,CC269,$AL$7:$AL$1843,AL269,$BT$7:$BT$1843,"&lt;="&amp;BT269),"")</f>
        <v>5750.60943223443</v>
      </c>
      <c r="AN269" s="58" t="n">
        <f aca="false">IF(AM269="",0,MAX(0,MIN(1,(IF(CC269="L1",Parameter!$H$5,IF(CC269="L23",Parameter!$H$6+Parameter!$H$7,Parameter!$H$5+Parameter!$H$6+Parameter!$H$7))-(AM269-AI269))/AI269)))</f>
        <v>1</v>
      </c>
      <c r="AO269" s="50" t="n">
        <f aca="false">IF(LEFT(Cockpit!$I$5,1)="A",H269,IF(CE269=1,CF269,IF(LEFT(Cockpit!$I$5,1)="B",AT269,MAX(AT269,H269))))</f>
        <v>39</v>
      </c>
      <c r="AP269" s="50" t="n">
        <f aca="false">IF(BW269=1,0,ROUNDUP(AO269/BV269,0))</f>
        <v>3</v>
      </c>
      <c r="AQ269" s="52" t="n">
        <f aca="false">IF(CL269&gt;0,CL269*MAX(1,AO269/X269),IF(BW269=1,IF(AO269&lt;=0,0,CA269*MAX(1,IF(H269&gt;0,AO269/H269,1))),IF(R269&gt;0,AP269/R269,0))/MAX(0.1,N(Parameter!$M$21)))</f>
        <v>0.25</v>
      </c>
      <c r="AR269" s="50" t="n">
        <f aca="false">AQ269*BY269</f>
        <v>36.25</v>
      </c>
      <c r="AS269" s="50" t="n">
        <f aca="false">AO269*G269</f>
        <v>3820.05</v>
      </c>
      <c r="AT269" s="50" t="n">
        <f aca="false">ROUNDUP(MAX(J269/IF(CD269&gt;0,CD269,MAX(0.1,N(Cockpit!$I$6))),CG269)/BV269,0)*BV269</f>
        <v>39</v>
      </c>
      <c r="AU269" s="51" t="n">
        <f aca="false">IF(AR269&gt;0,J269/AR269,-1)</f>
        <v>0.689655172413793</v>
      </c>
      <c r="AV269" s="51" t="n">
        <f aca="false">IF(AND(OR(CC269="L1",CC269="L23",CC269="LIFT"),AR269&gt;0),SUMIFS($AR$7:$AR$1843,$CC$7:$CC$1843,CC269,$AU$7:$AU$1843,"&gt;"&amp;AU269)+SUMIFS($AR$7:$AR$1843,$CC$7:$CC$1843,CC269,$AU$7:$AU$1843,AU269,$BT$7:$BT$1843,"&lt;="&amp;BT269),"")</f>
        <v>11616.8882783883</v>
      </c>
      <c r="AW269" s="58" t="n">
        <f aca="false">IF(AV269="",0,MAX(0,MIN(1,(IF(CC269="L1",Parameter!$H$5,IF(CC269="L23",Parameter!$H$6+Parameter!$H$7,Parameter!$H$5+Parameter!$H$6+Parameter!$H$7))-(AV269-AR269))/AR269)))</f>
        <v>1</v>
      </c>
      <c r="AX269" s="50" t="n">
        <f aca="false">IF(LEFT(Cockpit!$O$5,1)="A",H269,IF(CE269=1,CF269,IF(LEFT(Cockpit!$O$5,1)="B",BC269,MAX(BC269,H269))))</f>
        <v>39</v>
      </c>
      <c r="AY269" s="50" t="n">
        <f aca="false">IF(BW269=1,0,ROUNDUP(AX269/BV269,0))</f>
        <v>3</v>
      </c>
      <c r="AZ269" s="52" t="n">
        <f aca="false">IF(CL269&gt;0,CL269*MAX(1,AX269/X269),IF(BW269=1,IF(AX269&lt;=0,0,CA269*MAX(1,IF(H269&gt;0,AX269/H269,1))),IF(R269&gt;0,AY269/R269,0))/MAX(0.1,N(Parameter!$M$21)))</f>
        <v>0.25</v>
      </c>
      <c r="BA269" s="50" t="n">
        <f aca="false">AZ269*BY269</f>
        <v>36.25</v>
      </c>
      <c r="BB269" s="50" t="n">
        <f aca="false">AX269*G269</f>
        <v>3820.05</v>
      </c>
      <c r="BC269" s="50" t="n">
        <f aca="false">ROUNDUP(MAX(J269/IF(CD269&gt;0,CD269,MAX(0.1,N(Cockpit!$O$6))),CG269)/BV269,0)*BV269</f>
        <v>39</v>
      </c>
      <c r="BD269" s="51" t="n">
        <f aca="false">IF(BA269&gt;0,J269/BA269,-1)</f>
        <v>0.689655172413793</v>
      </c>
      <c r="BE269" s="51" t="n">
        <f aca="false">IF(AND(OR(CC269="L1",CC269="L23",CC269="LIFT"),BA269&gt;0),SUMIFS($BA$7:$BA$1843,$CC$7:$CC$1843,CC269,$BD$7:$BD$1843,"&gt;"&amp;BD269)+SUMIFS($BA$7:$BA$1843,$CC$7:$CC$1843,CC269,$BD$7:$BD$1843,BD269,$BT$7:$BT$1843,"&lt;="&amp;BT269),"")</f>
        <v>11216.711996337</v>
      </c>
      <c r="BF269" s="58" t="n">
        <f aca="false">IF(BE269="",0,MAX(0,MIN(1,(IF(CC269="L1",Parameter!$H$5,IF(CC269="L23",Parameter!$H$6+Parameter!$H$7,Parameter!$H$5+Parameter!$H$6+Parameter!$H$7))-(BE269-BA269))/BA269)))</f>
        <v>1</v>
      </c>
      <c r="BG269" s="48" t="str">
        <f aca="false">IF(AI269&lt;=0,"",IF(CC269="Aussen","Aussenlager",IF(CC269="-","Nicht im Lift",IF(AN269&gt;=1,"Lift",IF(AN269&lt;=0,"Aussenlager","teilweise")))))</f>
        <v>Lift</v>
      </c>
      <c r="BH269" s="48" t="str">
        <f aca="false">IF(AR269&lt;=0,"",IF(CC269="Aussen","Aussenlager",IF(CC269="-","Nicht im Lift",IF(AW269&gt;=1,"Lift",IF(AW269&lt;=0,"Aussenlager","teilweise")))))</f>
        <v>Lift</v>
      </c>
      <c r="BI269" s="48" t="str">
        <f aca="false">IF(BA269&lt;=0,"",IF(CC269="Aussen","Aussenlager",IF(CC269="-","Nicht im Lift",IF(BF269&gt;=1,"Lift",IF(BF269&lt;=0,"Aussenlager","teilweise")))))</f>
        <v>Lift</v>
      </c>
      <c r="BJ269" s="48" t="str">
        <f aca="false">IF(A269="","",IF(BS269=1,"Neu; ","")&amp;IF(AND(BS269=0,BN269&lt;0),"negativer Bestand (Export "&amp;BN269&amp;"); ","")&amp;IF(J269&lt;=0,"Kein Verbrauch; ","")&amp;IF(CL269&gt;0,"Lift "&amp;W269&amp;" lt. Liftbericht (Fach "&amp;X269&amp;" Stk); ",IF(BX269=1,"Gebinde geschätzt ("&amp;T269&amp;"); ",IF(BW269=1,"Lose – Tablare geschätzt; ","")))&amp;IF(H269&gt;AT269,"Überbestand "&amp;ROUND(H269-AT269,0)&amp;" Stk / CHF "&amp;ROUND((H269-AT269)*G269,0)&amp;"; ","")&amp;IF(AND(CE269=1,CF269&lt;CG269),"MAX &lt; MB+LG; ","")&amp;IF(AND(CK269&gt;0,CJ269*10&gt;CK269),"zu hoch für Tablar; ","")&amp;IF(AND(BS269=0,OR(CE269=1,AA269&lt;&gt;"",U269&lt;&gt;"",V269&lt;&gt;"",AB269&lt;&gt;"")),"manuell übersteuert; ","")&amp;IF(AND(BW269=0,R269=0),"Gebinde unbekannt / Stellmass fehlt; ","")&amp;IF(AND(BW269=0,N(V269)&lt;=0,N(Q269)&lt;=0),"Menge pro Gebinde fehlt (Ist = 1 Gebinde); ","")&amp;BR269)</f>
        <v/>
      </c>
      <c r="BK269" s="48"/>
      <c r="BL269" s="48"/>
      <c r="BM269" s="55"/>
      <c r="BN269" s="50" t="n">
        <v>4</v>
      </c>
      <c r="BO269" s="50" t="n">
        <v>7</v>
      </c>
      <c r="BP269" s="49" t="n">
        <v>417.56</v>
      </c>
      <c r="BQ269" s="50" t="n">
        <v>25</v>
      </c>
      <c r="BR269" s="48"/>
      <c r="BS269" s="53" t="n">
        <v>0</v>
      </c>
      <c r="BT269" s="53" t="n">
        <v>269</v>
      </c>
      <c r="BU269" s="48" t="str">
        <f aca="false">IF(U269&lt;&gt;"",UPPER(TRIM(U269)),IF(BX269=1,UPPER(VLOOKUP(T269,Parameter!$I$27:$K$29,2,0)),IF(P269="","LOSE",P269)))</f>
        <v>S61</v>
      </c>
      <c r="BV269" s="50" t="n">
        <f aca="false">IF(BU269="LOSE",1,IF(N(V269)&gt;0,V269,IF(BX269=1,MAX(1,N(VLOOKUP(T269,Parameter!$I$27:$K$29,3,0)),H269,N(N269)),IF(N(Q269)&gt;0,Q269,MAX(1,H269)))))</f>
        <v>13</v>
      </c>
      <c r="BW269" s="53" t="n">
        <f aca="false">IF(BU269="LOSE",1,0)</f>
        <v>0</v>
      </c>
      <c r="BX269" s="53" t="n">
        <f aca="false">IF(AND(U269="",OR(P269="",P269="LOSE"),T269&lt;&gt;"",N(S269)&lt;=0,ISNUMBER(MATCH(T269,Parameter!$I$27:$I$29,0))),1,0)</f>
        <v>0</v>
      </c>
      <c r="BY269" s="53" t="n">
        <f aca="false">IF(CL269&gt;0,INDEX(Parameter!$H$5:$H$7,W269)/INDEX(Parameter!$E$5:$E$7,W269),IF(AND(BW269=0,N(IFERROR(VLOOKUP(BU269,'Gebinde-Kategorie'!$A$5:$N$45,14,0),0))&gt;0),VLOOKUP(BU269,'Gebinde-Kategorie'!$A$5:$N$45,14,0)*10+Parameter!$M$23,Parameter!$M$24))</f>
        <v>145</v>
      </c>
      <c r="BZ269" s="48" t="n">
        <f aca="false">IF(AND(Parameter!$B$19="Ja",E269&lt;&gt;"",ISNUMBER(MATCH(E269,Parameter!$I$35:$I$52,0))),VLOOKUP(E269,Parameter!$I$35:$J$52,2,0),IFERROR(VLOOKUP(D269,Parameter!$A$35:$C$64,2,0),"Nein"))</f>
        <v>1</v>
      </c>
      <c r="CA269" s="52" t="n">
        <f aca="false">IF(BW269=0,0,IF(N(S269)&gt;0,S269,IFERROR(VLOOKUP(D269,Parameter!$A$35:$C$64,3,0)+0,0)))</f>
        <v>0</v>
      </c>
      <c r="CB269" s="48" t="n">
        <f aca="false">IF(AA269&lt;&gt;"",AA269,Z269)</f>
        <v>1</v>
      </c>
      <c r="CC269" s="48" t="str">
        <f aca="false">IF(OR(CB269=1,CB269=2,CB269=3),IF(Parameter!$E$27="Ja","LIFT",IF(CB269=1,"L1","L23")),IF(CB269="Aussen","Aussen","-"))</f>
        <v>LIFT</v>
      </c>
      <c r="CD269" s="59" t="n">
        <f aca="false">IF(N(AB269)&gt;0,AB269,0)</f>
        <v>0</v>
      </c>
      <c r="CE269" s="53" t="n">
        <f aca="false">IF(ISNUMBER(AE269),1,0)</f>
        <v>0</v>
      </c>
      <c r="CF269" s="50" t="n">
        <f aca="false">N(AE269)</f>
        <v>0</v>
      </c>
      <c r="CG269" s="50" t="n">
        <f aca="false">N(M269)+N(N269)</f>
        <v>27</v>
      </c>
      <c r="CH269" s="50" t="n">
        <f aca="false">ROUNDUP(H269/BV269,0)</f>
        <v>1</v>
      </c>
      <c r="CI269" s="50" t="n">
        <f aca="false">ROUNDUP(CF269/BV269,0)</f>
        <v>0</v>
      </c>
      <c r="CJ269" s="53" t="n">
        <f aca="false">IF(BW269=1,0,IFERROR(VLOOKUP(BU269,'Gebinde-Kategorie'!$A$5:$N$45,5,0)+0,0))</f>
        <v>11</v>
      </c>
      <c r="CK269" s="53" t="n">
        <f aca="false">IFERROR(IF(OR(CB269=1,CB269=2,CB269=3),N(INDEX(Parameter!$I$5:$I$7,CB269)),0),0)</f>
        <v>0</v>
      </c>
      <c r="CL269" s="52" t="n">
        <f aca="false">IF(AND(Parameter!$B$21="Ja",ISNUMBER(W269),N(X269)&gt;0),IFERROR(N(INDEX(Parameter!$L$5:$L$7,W269))*INDEX(Parameter!$E$5:$E$7,W269)*X269/SUMIFS($X$7:$X$1843,$W$7:$W$1843,W269),0),0)</f>
        <v>0</v>
      </c>
    </row>
    <row r="270" customFormat="false" ht="15" hidden="false" customHeight="false" outlineLevel="0" collapsed="false">
      <c r="A270" s="48" t="s">
        <v>722</v>
      </c>
      <c r="B270" s="48" t="s">
        <v>723</v>
      </c>
      <c r="C270" s="48" t="s">
        <v>168</v>
      </c>
      <c r="D270" s="48" t="s">
        <v>188</v>
      </c>
      <c r="E270" s="48"/>
      <c r="F270" s="48" t="s">
        <v>222</v>
      </c>
      <c r="G270" s="49" t="n">
        <v>16.65</v>
      </c>
      <c r="H270" s="50" t="n">
        <f aca="false">MAX(0,IF(AND(Parameter!$B$21="Ja",ISNUMBER(Y270)),Y270,IF(Parameter!$B$20="Jahresanfang 2025 + Export",BO270+BN270,BN270)))</f>
        <v>25</v>
      </c>
      <c r="I270" s="50" t="n">
        <f aca="false">H270*G270</f>
        <v>416.25</v>
      </c>
      <c r="J270" s="50" t="n">
        <f aca="false">BQ270*Parameter!$B$18</f>
        <v>0</v>
      </c>
      <c r="K270" s="51" t="n">
        <v>0</v>
      </c>
      <c r="L270" s="52" t="n">
        <v>0</v>
      </c>
      <c r="M270" s="50" t="n">
        <v>0</v>
      </c>
      <c r="N270" s="50" t="n">
        <v>5</v>
      </c>
      <c r="O270" s="53" t="n">
        <v>9999</v>
      </c>
      <c r="P270" s="48" t="s">
        <v>172</v>
      </c>
      <c r="Q270" s="50"/>
      <c r="R270" s="53" t="n">
        <f aca="false">IF(BW270=1,0,IFERROR(VLOOKUP(BU270,'Gebinde-Kategorie'!$A$5:$N$45,13,0)+0,0))</f>
        <v>26</v>
      </c>
      <c r="S270" s="54"/>
      <c r="T270" s="55" t="s">
        <v>279</v>
      </c>
      <c r="U270" s="55"/>
      <c r="V270" s="55"/>
      <c r="W270" s="48"/>
      <c r="X270" s="50"/>
      <c r="Y270" s="50"/>
      <c r="Z270" s="48" t="n">
        <f aca="false">IF(A270="","",IF(AND(Parameter!$B$21="Ja",ISNUMBER(W270)),W270,IF(BZ270="2+3",IF(ISNUMBER(SEARCH("grosser Artikel",BR270)),2,IFERROR(VLOOKUP(BU270,Parameter!$F$35:$G$64,2,0),2)),IF(OR(BZ270="Nein",BZ270=""),"-",BZ270))))</f>
        <v>3</v>
      </c>
      <c r="AA270" s="55"/>
      <c r="AB270" s="56"/>
      <c r="AC270" s="50" t="n">
        <f aca="false">AT270</f>
        <v>25</v>
      </c>
      <c r="AD270" s="50" t="n">
        <f aca="false">MAX(AT270,H270)</f>
        <v>25</v>
      </c>
      <c r="AE270" s="57"/>
      <c r="AF270" s="50" t="n">
        <f aca="false">IF(LEFT(Cockpit!$C$5,1)="A",H270,IF(CE270=1,CF270,IF(LEFT(Cockpit!$C$5,1)="B",AK270,MAX(AK270,H270))))</f>
        <v>25</v>
      </c>
      <c r="AG270" s="50" t="n">
        <f aca="false">IF(BW270=1,0,ROUNDUP(AF270/BV270,0))</f>
        <v>1</v>
      </c>
      <c r="AH270" s="52" t="n">
        <f aca="false">IF(CL270&gt;0,CL270*MAX(1,AF270/X270),IF(BW270=1,IF(AF270&lt;=0,0,CA270*MAX(1,IF(H270&gt;0,AF270/H270,1))),IF(R270&gt;0,AG270/R270,0))/MAX(0.1,N(Parameter!$M$21)))</f>
        <v>0.0384615384615385</v>
      </c>
      <c r="AI270" s="50" t="n">
        <f aca="false">AH270*BY270</f>
        <v>5.96153846153846</v>
      </c>
      <c r="AJ270" s="50" t="n">
        <f aca="false">AF270*G270</f>
        <v>416.25</v>
      </c>
      <c r="AK270" s="50" t="n">
        <f aca="false">ROUNDUP(MAX(J270/IF(CD270&gt;0,CD270,MAX(0.1,N(Cockpit!$C$6))),CG270)/BV270,0)*BV270</f>
        <v>25</v>
      </c>
      <c r="AL270" s="51" t="n">
        <f aca="false">IF(AI270&gt;0,J270/AI270,-1)</f>
        <v>0</v>
      </c>
      <c r="AM270" s="51" t="n">
        <f aca="false">IF(AND(OR(CC270="L1",CC270="L23",CC270="LIFT"),AI270&gt;0),SUMIFS($AI$7:$AI$1843,$CC$7:$CC$1843,CC270,$AL$7:$AL$1843,"&gt;"&amp;AL270)+SUMIFS($AI$7:$AI$1843,$CC$7:$CC$1843,CC270,$AL$7:$AL$1843,AL270,$BT$7:$BT$1843,"&lt;="&amp;BT270),"")</f>
        <v>27772.4465967178</v>
      </c>
      <c r="AN270" s="58" t="n">
        <f aca="false">IF(AM270="",0,MAX(0,MIN(1,(IF(CC270="L1",Parameter!$H$5,IF(CC270="L23",Parameter!$H$6+Parameter!$H$7,Parameter!$H$5+Parameter!$H$6+Parameter!$H$7))-(AM270-AI270))/AI270)))</f>
        <v>1</v>
      </c>
      <c r="AO270" s="50" t="n">
        <f aca="false">IF(LEFT(Cockpit!$I$5,1)="A",H270,IF(CE270=1,CF270,IF(LEFT(Cockpit!$I$5,1)="B",AT270,MAX(AT270,H270))))</f>
        <v>25</v>
      </c>
      <c r="AP270" s="50" t="n">
        <f aca="false">IF(BW270=1,0,ROUNDUP(AO270/BV270,0))</f>
        <v>1</v>
      </c>
      <c r="AQ270" s="52" t="n">
        <f aca="false">IF(CL270&gt;0,CL270*MAX(1,AO270/X270),IF(BW270=1,IF(AO270&lt;=0,0,CA270*MAX(1,IF(H270&gt;0,AO270/H270,1))),IF(R270&gt;0,AP270/R270,0))/MAX(0.1,N(Parameter!$M$21)))</f>
        <v>0.0384615384615385</v>
      </c>
      <c r="AR270" s="50" t="n">
        <f aca="false">AQ270*BY270</f>
        <v>5.96153846153846</v>
      </c>
      <c r="AS270" s="50" t="n">
        <f aca="false">AO270*G270</f>
        <v>416.25</v>
      </c>
      <c r="AT270" s="50" t="n">
        <f aca="false">ROUNDUP(MAX(J270/IF(CD270&gt;0,CD270,MAX(0.1,N(Cockpit!$I$6))),CG270)/BV270,0)*BV270</f>
        <v>25</v>
      </c>
      <c r="AU270" s="51" t="n">
        <f aca="false">IF(AR270&gt;0,J270/AR270,-1)</f>
        <v>0</v>
      </c>
      <c r="AV270" s="51" t="n">
        <f aca="false">IF(AND(OR(CC270="L1",CC270="L23",CC270="LIFT"),AR270&gt;0),SUMIFS($AR$7:$AR$1843,$CC$7:$CC$1843,CC270,$AU$7:$AU$1843,"&gt;"&amp;AU270)+SUMIFS($AR$7:$AR$1843,$CC$7:$CC$1843,CC270,$AU$7:$AU$1843,AU270,$BT$7:$BT$1843,"&lt;="&amp;BT270),"")</f>
        <v>39085.3521139877</v>
      </c>
      <c r="AW270" s="58" t="n">
        <f aca="false">IF(AV270="",0,MAX(0,MIN(1,(IF(CC270="L1",Parameter!$H$5,IF(CC270="L23",Parameter!$H$6+Parameter!$H$7,Parameter!$H$5+Parameter!$H$6+Parameter!$H$7))-(AV270-AR270))/AR270)))</f>
        <v>0</v>
      </c>
      <c r="AX270" s="50" t="n">
        <f aca="false">IF(LEFT(Cockpit!$O$5,1)="A",H270,IF(CE270=1,CF270,IF(LEFT(Cockpit!$O$5,1)="B",BC270,MAX(BC270,H270))))</f>
        <v>25</v>
      </c>
      <c r="AY270" s="50" t="n">
        <f aca="false">IF(BW270=1,0,ROUNDUP(AX270/BV270,0))</f>
        <v>1</v>
      </c>
      <c r="AZ270" s="52" t="n">
        <f aca="false">IF(CL270&gt;0,CL270*MAX(1,AX270/X270),IF(BW270=1,IF(AX270&lt;=0,0,CA270*MAX(1,IF(H270&gt;0,AX270/H270,1))),IF(R270&gt;0,AY270/R270,0))/MAX(0.1,N(Parameter!$M$21)))</f>
        <v>0.0384615384615385</v>
      </c>
      <c r="BA270" s="50" t="n">
        <f aca="false">AZ270*BY270</f>
        <v>5.96153846153846</v>
      </c>
      <c r="BB270" s="50" t="n">
        <f aca="false">AX270*G270</f>
        <v>416.25</v>
      </c>
      <c r="BC270" s="50" t="n">
        <f aca="false">ROUNDUP(MAX(J270/IF(CD270&gt;0,CD270,MAX(0.1,N(Cockpit!$O$6))),CG270)/BV270,0)*BV270</f>
        <v>25</v>
      </c>
      <c r="BD270" s="51" t="n">
        <f aca="false">IF(BA270&gt;0,J270/BA270,-1)</f>
        <v>0</v>
      </c>
      <c r="BE270" s="51" t="n">
        <f aca="false">IF(AND(OR(CC270="L1",CC270="L23",CC270="LIFT"),BA270&gt;0),SUMIFS($BA$7:$BA$1843,$CC$7:$CC$1843,CC270,$BD$7:$BD$1843,"&gt;"&amp;BD270)+SUMIFS($BA$7:$BA$1843,$CC$7:$CC$1843,CC270,$BD$7:$BD$1843,BD270,$BT$7:$BT$1843,"&lt;="&amp;BT270),"")</f>
        <v>35760.3641558536</v>
      </c>
      <c r="BF270" s="58" t="n">
        <f aca="false">IF(BE270="",0,MAX(0,MIN(1,(IF(CC270="L1",Parameter!$H$5,IF(CC270="L23",Parameter!$H$6+Parameter!$H$7,Parameter!$H$5+Parameter!$H$6+Parameter!$H$7))-(BE270-BA270))/BA270)))</f>
        <v>0</v>
      </c>
      <c r="BG270" s="48" t="str">
        <f aca="false">IF(AI270&lt;=0,"",IF(CC270="Aussen","Aussenlager",IF(CC270="-","Nicht im Lift",IF(AN270&gt;=1,"Lift",IF(AN270&lt;=0,"Aussenlager","teilweise")))))</f>
        <v>Lift</v>
      </c>
      <c r="BH270" s="48" t="str">
        <f aca="false">IF(AR270&lt;=0,"",IF(CC270="Aussen","Aussenlager",IF(CC270="-","Nicht im Lift",IF(AW270&gt;=1,"Lift",IF(AW270&lt;=0,"Aussenlager","teilweise")))))</f>
        <v>Aussenlager</v>
      </c>
      <c r="BI270" s="48" t="str">
        <f aca="false">IF(BA270&lt;=0,"",IF(CC270="Aussen","Aussenlager",IF(CC270="-","Nicht im Lift",IF(BF270&gt;=1,"Lift",IF(BF270&lt;=0,"Aussenlager","teilweise")))))</f>
        <v>Aussenlager</v>
      </c>
      <c r="BJ270" s="48" t="str">
        <f aca="false">IF(A270="","",IF(BS270=1,"Neu; ","")&amp;IF(AND(BS270=0,BN270&lt;0),"negativer Bestand (Export "&amp;BN270&amp;"); ","")&amp;IF(J270&lt;=0,"Kein Verbrauch; ","")&amp;IF(CL270&gt;0,"Lift "&amp;W270&amp;" lt. Liftbericht (Fach "&amp;X270&amp;" Stk); ",IF(BX270=1,"Gebinde geschätzt ("&amp;T270&amp;"); ",IF(BW270=1,"Lose – Tablare geschätzt; ","")))&amp;IF(H270&gt;AT270,"Überbestand "&amp;ROUND(H270-AT270,0)&amp;" Stk / CHF "&amp;ROUND((H270-AT270)*G270,0)&amp;"; ","")&amp;IF(AND(CE270=1,CF270&lt;CG270),"MAX &lt; MB+LG; ","")&amp;IF(AND(CK270&gt;0,CJ270*10&gt;CK270),"zu hoch für Tablar; ","")&amp;IF(AND(BS270=0,OR(CE270=1,AA270&lt;&gt;"",U270&lt;&gt;"",V270&lt;&gt;"",AB270&lt;&gt;"")),"manuell übersteuert; ","")&amp;IF(AND(BW270=0,R270=0),"Gebinde unbekannt / Stellmass fehlt; ","")&amp;IF(AND(BW270=0,N(V270)&lt;=0,N(Q270)&lt;=0),"Menge pro Gebinde fehlt (Ist = 1 Gebinde); ","")&amp;BR270)</f>
        <v>Kein Verbrauch; Gebinde geschätzt (Klein); Menge pro Gebinde fehlt (Ist = 1 Gebinde); </v>
      </c>
      <c r="BK270" s="48"/>
      <c r="BL270" s="48"/>
      <c r="BM270" s="55"/>
      <c r="BN270" s="50" t="n">
        <v>25</v>
      </c>
      <c r="BO270" s="50" t="n">
        <v>0</v>
      </c>
      <c r="BP270" s="49" t="n">
        <v>416.25</v>
      </c>
      <c r="BQ270" s="50" t="n">
        <v>0</v>
      </c>
      <c r="BR270" s="48"/>
      <c r="BS270" s="53" t="n">
        <v>0</v>
      </c>
      <c r="BT270" s="53" t="n">
        <v>270</v>
      </c>
      <c r="BU270" s="48" t="str">
        <f aca="false">IF(U270&lt;&gt;"",UPPER(TRIM(U270)),IF(BX270=1,UPPER(VLOOKUP(T270,Parameter!$I$27:$K$29,2,0)),IF(P270="","LOSE",P270)))</f>
        <v>S51</v>
      </c>
      <c r="BV270" s="50" t="n">
        <f aca="false">IF(BU270="LOSE",1,IF(N(V270)&gt;0,V270,IF(BX270=1,MAX(1,N(VLOOKUP(T270,Parameter!$I$27:$K$29,3,0)),H270,N(N270)),IF(N(Q270)&gt;0,Q270,MAX(1,H270)))))</f>
        <v>25</v>
      </c>
      <c r="BW270" s="53" t="n">
        <f aca="false">IF(BU270="LOSE",1,0)</f>
        <v>0</v>
      </c>
      <c r="BX270" s="53" t="n">
        <f aca="false">IF(AND(U270="",OR(P270="",P270="LOSE"),T270&lt;&gt;"",N(S270)&lt;=0,ISNUMBER(MATCH(T270,Parameter!$I$27:$I$29,0))),1,0)</f>
        <v>1</v>
      </c>
      <c r="BY270" s="53" t="n">
        <f aca="false">IF(CL270&gt;0,INDEX(Parameter!$H$5:$H$7,W270)/INDEX(Parameter!$E$5:$E$7,W270),IF(AND(BW270=0,N(IFERROR(VLOOKUP(BU270,'Gebinde-Kategorie'!$A$5:$N$45,14,0),0))&gt;0),VLOOKUP(BU270,'Gebinde-Kategorie'!$A$5:$N$45,14,0)*10+Parameter!$M$23,Parameter!$M$24))</f>
        <v>155</v>
      </c>
      <c r="BZ270" s="48" t="str">
        <f aca="false">IF(AND(Parameter!$B$19="Ja",E270&lt;&gt;"",ISNUMBER(MATCH(E270,Parameter!$I$35:$I$52,0))),VLOOKUP(E270,Parameter!$I$35:$J$52,2,0),IFERROR(VLOOKUP(D270,Parameter!$A$35:$C$64,2,0),"Nein"))</f>
        <v>2+3</v>
      </c>
      <c r="CA270" s="52" t="n">
        <f aca="false">IF(BW270=0,0,IF(N(S270)&gt;0,S270,IFERROR(VLOOKUP(D270,Parameter!$A$35:$C$64,3,0)+0,0)))</f>
        <v>0</v>
      </c>
      <c r="CB270" s="48" t="n">
        <f aca="false">IF(AA270&lt;&gt;"",AA270,Z270)</f>
        <v>3</v>
      </c>
      <c r="CC270" s="48" t="str">
        <f aca="false">IF(OR(CB270=1,CB270=2,CB270=3),IF(Parameter!$E$27="Ja","LIFT",IF(CB270=1,"L1","L23")),IF(CB270="Aussen","Aussen","-"))</f>
        <v>LIFT</v>
      </c>
      <c r="CD270" s="59" t="n">
        <f aca="false">IF(N(AB270)&gt;0,AB270,0)</f>
        <v>0</v>
      </c>
      <c r="CE270" s="53" t="n">
        <f aca="false">IF(ISNUMBER(AE270),1,0)</f>
        <v>0</v>
      </c>
      <c r="CF270" s="50" t="n">
        <f aca="false">N(AE270)</f>
        <v>0</v>
      </c>
      <c r="CG270" s="50" t="n">
        <f aca="false">N(M270)+N(N270)</f>
        <v>5</v>
      </c>
      <c r="CH270" s="50" t="n">
        <f aca="false">ROUNDUP(H270/BV270,0)</f>
        <v>1</v>
      </c>
      <c r="CI270" s="50" t="n">
        <f aca="false">ROUNDUP(CF270/BV270,0)</f>
        <v>0</v>
      </c>
      <c r="CJ270" s="53" t="n">
        <f aca="false">IF(BW270=1,0,IFERROR(VLOOKUP(BU270,'Gebinde-Kategorie'!$A$5:$N$45,5,0)+0,0))</f>
        <v>11</v>
      </c>
      <c r="CK270" s="53" t="n">
        <f aca="false">IFERROR(IF(OR(CB270=1,CB270=2,CB270=3),N(INDEX(Parameter!$I$5:$I$7,CB270)),0),0)</f>
        <v>0</v>
      </c>
      <c r="CL270" s="52" t="n">
        <f aca="false">IF(AND(Parameter!$B$21="Ja",ISNUMBER(W270),N(X270)&gt;0),IFERROR(N(INDEX(Parameter!$L$5:$L$7,W270))*INDEX(Parameter!$E$5:$E$7,W270)*X270/SUMIFS($X$7:$X$1843,$W$7:$W$1843,W270),0),0)</f>
        <v>0</v>
      </c>
    </row>
    <row r="271" customFormat="false" ht="15" hidden="false" customHeight="false" outlineLevel="0" collapsed="false">
      <c r="A271" s="48" t="s">
        <v>724</v>
      </c>
      <c r="B271" s="48" t="s">
        <v>487</v>
      </c>
      <c r="C271" s="48" t="s">
        <v>168</v>
      </c>
      <c r="D271" s="48" t="s">
        <v>188</v>
      </c>
      <c r="E271" s="48"/>
      <c r="F271" s="48" t="s">
        <v>222</v>
      </c>
      <c r="G271" s="49" t="n">
        <v>100.35</v>
      </c>
      <c r="H271" s="50" t="n">
        <f aca="false">MAX(0,IF(AND(Parameter!$B$21="Ja",ISNUMBER(Y271)),Y271,IF(Parameter!$B$20="Jahresanfang 2025 + Export",BO271+BN271,BN271)))</f>
        <v>4</v>
      </c>
      <c r="I271" s="50" t="n">
        <f aca="false">H271*G271</f>
        <v>401.4</v>
      </c>
      <c r="J271" s="50" t="n">
        <f aca="false">BQ271*Parameter!$B$18</f>
        <v>6</v>
      </c>
      <c r="K271" s="51" t="n">
        <v>0</v>
      </c>
      <c r="L271" s="52" t="n">
        <v>0</v>
      </c>
      <c r="M271" s="50" t="n">
        <v>0</v>
      </c>
      <c r="N271" s="50" t="n">
        <v>5</v>
      </c>
      <c r="O271" s="53" t="n">
        <v>14</v>
      </c>
      <c r="P271" s="48" t="s">
        <v>425</v>
      </c>
      <c r="Q271" s="50" t="n">
        <v>4</v>
      </c>
      <c r="R271" s="53" t="n">
        <f aca="false">IF(BW271=1,0,IFERROR(VLOOKUP(BU271,'Gebinde-Kategorie'!$A$5:$N$45,13,0)+0,0))</f>
        <v>104</v>
      </c>
      <c r="S271" s="54"/>
      <c r="T271" s="55"/>
      <c r="U271" s="55"/>
      <c r="V271" s="55"/>
      <c r="W271" s="48"/>
      <c r="X271" s="50"/>
      <c r="Y271" s="50"/>
      <c r="Z271" s="48" t="n">
        <f aca="false">IF(A271="","",IF(AND(Parameter!$B$21="Ja",ISNUMBER(W271)),W271,IF(BZ271="2+3",IF(ISNUMBER(SEARCH("grosser Artikel",BR271)),2,IFERROR(VLOOKUP(BU271,Parameter!$F$35:$G$64,2,0),2)),IF(OR(BZ271="Nein",BZ271=""),"-",BZ271))))</f>
        <v>3</v>
      </c>
      <c r="AA271" s="55"/>
      <c r="AB271" s="56"/>
      <c r="AC271" s="50" t="n">
        <f aca="false">AT271</f>
        <v>8</v>
      </c>
      <c r="AD271" s="50" t="n">
        <f aca="false">MAX(AT271,H271)</f>
        <v>8</v>
      </c>
      <c r="AE271" s="57"/>
      <c r="AF271" s="50" t="n">
        <f aca="false">IF(LEFT(Cockpit!$C$5,1)="A",H271,IF(CE271=1,CF271,IF(LEFT(Cockpit!$C$5,1)="B",AK271,MAX(AK271,H271))))</f>
        <v>4</v>
      </c>
      <c r="AG271" s="50" t="n">
        <f aca="false">IF(BW271=1,0,ROUNDUP(AF271/BV271,0))</f>
        <v>1</v>
      </c>
      <c r="AH271" s="52" t="n">
        <f aca="false">IF(CL271&gt;0,CL271*MAX(1,AF271/X271),IF(BW271=1,IF(AF271&lt;=0,0,CA271*MAX(1,IF(H271&gt;0,AF271/H271,1))),IF(R271&gt;0,AG271/R271,0))/MAX(0.1,N(Parameter!$M$21)))</f>
        <v>0.00961538461538462</v>
      </c>
      <c r="AI271" s="50" t="n">
        <f aca="false">AH271*BY271</f>
        <v>1.49038461538462</v>
      </c>
      <c r="AJ271" s="50" t="n">
        <f aca="false">AF271*G271</f>
        <v>401.4</v>
      </c>
      <c r="AK271" s="50" t="n">
        <f aca="false">ROUNDUP(MAX(J271/IF(CD271&gt;0,CD271,MAX(0.1,N(Cockpit!$C$6))),CG271)/BV271,0)*BV271</f>
        <v>8</v>
      </c>
      <c r="AL271" s="51" t="n">
        <f aca="false">IF(AI271&gt;0,J271/AI271,-1)</f>
        <v>4.0258064516129</v>
      </c>
      <c r="AM271" s="51" t="n">
        <f aca="false">IF(AND(OR(CC271="L1",CC271="L23",CC271="LIFT"),AI271&gt;0),SUMIFS($AI$7:$AI$1843,$CC$7:$CC$1843,CC271,$AL$7:$AL$1843,"&gt;"&amp;AL271)+SUMIFS($AI$7:$AI$1843,$CC$7:$CC$1843,CC271,$AL$7:$AL$1843,AL271,$BT$7:$BT$1843,"&lt;="&amp;BT271),"")</f>
        <v>4336.33333333333</v>
      </c>
      <c r="AN271" s="58" t="n">
        <f aca="false">IF(AM271="",0,MAX(0,MIN(1,(IF(CC271="L1",Parameter!$H$5,IF(CC271="L23",Parameter!$H$6+Parameter!$H$7,Parameter!$H$5+Parameter!$H$6+Parameter!$H$7))-(AM271-AI271))/AI271)))</f>
        <v>1</v>
      </c>
      <c r="AO271" s="50" t="n">
        <f aca="false">IF(LEFT(Cockpit!$I$5,1)="A",H271,IF(CE271=1,CF271,IF(LEFT(Cockpit!$I$5,1)="B",AT271,MAX(AT271,H271))))</f>
        <v>8</v>
      </c>
      <c r="AP271" s="50" t="n">
        <f aca="false">IF(BW271=1,0,ROUNDUP(AO271/BV271,0))</f>
        <v>2</v>
      </c>
      <c r="AQ271" s="52" t="n">
        <f aca="false">IF(CL271&gt;0,CL271*MAX(1,AO271/X271),IF(BW271=1,IF(AO271&lt;=0,0,CA271*MAX(1,IF(H271&gt;0,AO271/H271,1))),IF(R271&gt;0,AP271/R271,0))/MAX(0.1,N(Parameter!$M$21)))</f>
        <v>0.0192307692307692</v>
      </c>
      <c r="AR271" s="50" t="n">
        <f aca="false">AQ271*BY271</f>
        <v>2.98076923076923</v>
      </c>
      <c r="AS271" s="50" t="n">
        <f aca="false">AO271*G271</f>
        <v>802.8</v>
      </c>
      <c r="AT271" s="50" t="n">
        <f aca="false">ROUNDUP(MAX(J271/IF(CD271&gt;0,CD271,MAX(0.1,N(Cockpit!$I$6))),CG271)/BV271,0)*BV271</f>
        <v>8</v>
      </c>
      <c r="AU271" s="51" t="n">
        <f aca="false">IF(AR271&gt;0,J271/AR271,-1)</f>
        <v>2.01290322580645</v>
      </c>
      <c r="AV271" s="51" t="n">
        <f aca="false">IF(AND(OR(CC271="L1",CC271="L23",CC271="LIFT"),AR271&gt;0),SUMIFS($AR$7:$AR$1843,$CC$7:$CC$1843,CC271,$AU$7:$AU$1843,"&gt;"&amp;AU271)+SUMIFS($AR$7:$AR$1843,$CC$7:$CC$1843,CC271,$AU$7:$AU$1843,AU271,$BT$7:$BT$1843,"&lt;="&amp;BT271),"")</f>
        <v>7682.65750915751</v>
      </c>
      <c r="AW271" s="58" t="n">
        <f aca="false">IF(AV271="",0,MAX(0,MIN(1,(IF(CC271="L1",Parameter!$H$5,IF(CC271="L23",Parameter!$H$6+Parameter!$H$7,Parameter!$H$5+Parameter!$H$6+Parameter!$H$7))-(AV271-AR271))/AR271)))</f>
        <v>1</v>
      </c>
      <c r="AX271" s="50" t="n">
        <f aca="false">IF(LEFT(Cockpit!$O$5,1)="A",H271,IF(CE271=1,CF271,IF(LEFT(Cockpit!$O$5,1)="B",BC271,MAX(BC271,H271))))</f>
        <v>8</v>
      </c>
      <c r="AY271" s="50" t="n">
        <f aca="false">IF(BW271=1,0,ROUNDUP(AX271/BV271,0))</f>
        <v>2</v>
      </c>
      <c r="AZ271" s="52" t="n">
        <f aca="false">IF(CL271&gt;0,CL271*MAX(1,AX271/X271),IF(BW271=1,IF(AX271&lt;=0,0,CA271*MAX(1,IF(H271&gt;0,AX271/H271,1))),IF(R271&gt;0,AY271/R271,0))/MAX(0.1,N(Parameter!$M$21)))</f>
        <v>0.0192307692307692</v>
      </c>
      <c r="BA271" s="50" t="n">
        <f aca="false">AZ271*BY271</f>
        <v>2.98076923076923</v>
      </c>
      <c r="BB271" s="50" t="n">
        <f aca="false">AX271*G271</f>
        <v>802.8</v>
      </c>
      <c r="BC271" s="50" t="n">
        <f aca="false">ROUNDUP(MAX(J271/IF(CD271&gt;0,CD271,MAX(0.1,N(Cockpit!$O$6))),CG271)/BV271,0)*BV271</f>
        <v>8</v>
      </c>
      <c r="BD271" s="51" t="n">
        <f aca="false">IF(BA271&gt;0,J271/BA271,-1)</f>
        <v>2.01290322580645</v>
      </c>
      <c r="BE271" s="51" t="n">
        <f aca="false">IF(AND(OR(CC271="L1",CC271="L23",CC271="LIFT"),BA271&gt;0),SUMIFS($BA$7:$BA$1843,$CC$7:$CC$1843,CC271,$BD$7:$BD$1843,"&gt;"&amp;BD271)+SUMIFS($BA$7:$BA$1843,$CC$7:$CC$1843,CC271,$BD$7:$BD$1843,BD271,$BT$7:$BT$1843,"&lt;="&amp;BT271),"")</f>
        <v>7581.64789377289</v>
      </c>
      <c r="BF271" s="58" t="n">
        <f aca="false">IF(BE271="",0,MAX(0,MIN(1,(IF(CC271="L1",Parameter!$H$5,IF(CC271="L23",Parameter!$H$6+Parameter!$H$7,Parameter!$H$5+Parameter!$H$6+Parameter!$H$7))-(BE271-BA271))/BA271)))</f>
        <v>1</v>
      </c>
      <c r="BG271" s="48" t="str">
        <f aca="false">IF(AI271&lt;=0,"",IF(CC271="Aussen","Aussenlager",IF(CC271="-","Nicht im Lift",IF(AN271&gt;=1,"Lift",IF(AN271&lt;=0,"Aussenlager","teilweise")))))</f>
        <v>Lift</v>
      </c>
      <c r="BH271" s="48" t="str">
        <f aca="false">IF(AR271&lt;=0,"",IF(CC271="Aussen","Aussenlager",IF(CC271="-","Nicht im Lift",IF(AW271&gt;=1,"Lift",IF(AW271&lt;=0,"Aussenlager","teilweise")))))</f>
        <v>Lift</v>
      </c>
      <c r="BI271" s="48" t="str">
        <f aca="false">IF(BA271&lt;=0,"",IF(CC271="Aussen","Aussenlager",IF(CC271="-","Nicht im Lift",IF(BF271&gt;=1,"Lift",IF(BF271&lt;=0,"Aussenlager","teilweise")))))</f>
        <v>Lift</v>
      </c>
      <c r="BJ271" s="48" t="str">
        <f aca="false">IF(A271="","",IF(BS271=1,"Neu; ","")&amp;IF(AND(BS271=0,BN271&lt;0),"negativer Bestand (Export "&amp;BN271&amp;"); ","")&amp;IF(J271&lt;=0,"Kein Verbrauch; ","")&amp;IF(CL271&gt;0,"Lift "&amp;W271&amp;" lt. Liftbericht (Fach "&amp;X271&amp;" Stk); ",IF(BX271=1,"Gebinde geschätzt ("&amp;T271&amp;"); ",IF(BW271=1,"Lose – Tablare geschätzt; ","")))&amp;IF(H271&gt;AT271,"Überbestand "&amp;ROUND(H271-AT271,0)&amp;" Stk / CHF "&amp;ROUND((H271-AT271)*G271,0)&amp;"; ","")&amp;IF(AND(CE271=1,CF271&lt;CG271),"MAX &lt; MB+LG; ","")&amp;IF(AND(CK271&gt;0,CJ271*10&gt;CK271),"zu hoch für Tablar; ","")&amp;IF(AND(BS271=0,OR(CE271=1,AA271&lt;&gt;"",U271&lt;&gt;"",V271&lt;&gt;"",AB271&lt;&gt;"")),"manuell übersteuert; ","")&amp;IF(AND(BW271=0,R271=0),"Gebinde unbekannt / Stellmass fehlt; ","")&amp;IF(AND(BW271=0,N(V271)&lt;=0,N(Q271)&lt;=0),"Menge pro Gebinde fehlt (Ist = 1 Gebinde); ","")&amp;BR271)</f>
        <v/>
      </c>
      <c r="BK271" s="48"/>
      <c r="BL271" s="48"/>
      <c r="BM271" s="55"/>
      <c r="BN271" s="50" t="n">
        <v>4</v>
      </c>
      <c r="BO271" s="50" t="n">
        <v>0</v>
      </c>
      <c r="BP271" s="49" t="n">
        <v>401.4</v>
      </c>
      <c r="BQ271" s="50" t="n">
        <v>6</v>
      </c>
      <c r="BR271" s="48"/>
      <c r="BS271" s="53" t="n">
        <v>0</v>
      </c>
      <c r="BT271" s="53" t="n">
        <v>271</v>
      </c>
      <c r="BU271" s="48" t="str">
        <f aca="false">IF(U271&lt;&gt;"",UPPER(TRIM(U271)),IF(BX271=1,UPPER(VLOOKUP(T271,Parameter!$I$27:$K$29,2,0)),IF(P271="","LOSE",P271)))</f>
        <v>S32</v>
      </c>
      <c r="BV271" s="50" t="n">
        <f aca="false">IF(BU271="LOSE",1,IF(N(V271)&gt;0,V271,IF(BX271=1,MAX(1,N(VLOOKUP(T271,Parameter!$I$27:$K$29,3,0)),H271,N(N271)),IF(N(Q271)&gt;0,Q271,MAX(1,H271)))))</f>
        <v>4</v>
      </c>
      <c r="BW271" s="53" t="n">
        <f aca="false">IF(BU271="LOSE",1,0)</f>
        <v>0</v>
      </c>
      <c r="BX271" s="53" t="n">
        <f aca="false">IF(AND(U271="",OR(P271="",P271="LOSE"),T271&lt;&gt;"",N(S271)&lt;=0,ISNUMBER(MATCH(T271,Parameter!$I$27:$I$29,0))),1,0)</f>
        <v>0</v>
      </c>
      <c r="BY271" s="53" t="n">
        <f aca="false">IF(CL271&gt;0,INDEX(Parameter!$H$5:$H$7,W271)/INDEX(Parameter!$E$5:$E$7,W271),IF(AND(BW271=0,N(IFERROR(VLOOKUP(BU271,'Gebinde-Kategorie'!$A$5:$N$45,14,0),0))&gt;0),VLOOKUP(BU271,'Gebinde-Kategorie'!$A$5:$N$45,14,0)*10+Parameter!$M$23,Parameter!$M$24))</f>
        <v>155</v>
      </c>
      <c r="BZ271" s="48" t="str">
        <f aca="false">IF(AND(Parameter!$B$19="Ja",E271&lt;&gt;"",ISNUMBER(MATCH(E271,Parameter!$I$35:$I$52,0))),VLOOKUP(E271,Parameter!$I$35:$J$52,2,0),IFERROR(VLOOKUP(D271,Parameter!$A$35:$C$64,2,0),"Nein"))</f>
        <v>2+3</v>
      </c>
      <c r="CA271" s="52" t="n">
        <f aca="false">IF(BW271=0,0,IF(N(S271)&gt;0,S271,IFERROR(VLOOKUP(D271,Parameter!$A$35:$C$64,3,0)+0,0)))</f>
        <v>0</v>
      </c>
      <c r="CB271" s="48" t="n">
        <f aca="false">IF(AA271&lt;&gt;"",AA271,Z271)</f>
        <v>3</v>
      </c>
      <c r="CC271" s="48" t="str">
        <f aca="false">IF(OR(CB271=1,CB271=2,CB271=3),IF(Parameter!$E$27="Ja","LIFT",IF(CB271=1,"L1","L23")),IF(CB271="Aussen","Aussen","-"))</f>
        <v>LIFT</v>
      </c>
      <c r="CD271" s="59" t="n">
        <f aca="false">IF(N(AB271)&gt;0,AB271,0)</f>
        <v>0</v>
      </c>
      <c r="CE271" s="53" t="n">
        <f aca="false">IF(ISNUMBER(AE271),1,0)</f>
        <v>0</v>
      </c>
      <c r="CF271" s="50" t="n">
        <f aca="false">N(AE271)</f>
        <v>0</v>
      </c>
      <c r="CG271" s="50" t="n">
        <f aca="false">N(M271)+N(N271)</f>
        <v>5</v>
      </c>
      <c r="CH271" s="50" t="n">
        <f aca="false">ROUNDUP(H271/BV271,0)</f>
        <v>1</v>
      </c>
      <c r="CI271" s="50" t="n">
        <f aca="false">ROUNDUP(CF271/BV271,0)</f>
        <v>0</v>
      </c>
      <c r="CJ271" s="53" t="n">
        <f aca="false">IF(BW271=1,0,IFERROR(VLOOKUP(BU271,'Gebinde-Kategorie'!$A$5:$N$45,5,0)+0,0))</f>
        <v>8</v>
      </c>
      <c r="CK271" s="53" t="n">
        <f aca="false">IFERROR(IF(OR(CB271=1,CB271=2,CB271=3),N(INDEX(Parameter!$I$5:$I$7,CB271)),0),0)</f>
        <v>0</v>
      </c>
      <c r="CL271" s="52" t="n">
        <f aca="false">IF(AND(Parameter!$B$21="Ja",ISNUMBER(W271),N(X271)&gt;0),IFERROR(N(INDEX(Parameter!$L$5:$L$7,W271))*INDEX(Parameter!$E$5:$E$7,W271)*X271/SUMIFS($X$7:$X$1843,$W$7:$W$1843,W271),0),0)</f>
        <v>0</v>
      </c>
    </row>
    <row r="272" customFormat="false" ht="15" hidden="false" customHeight="false" outlineLevel="0" collapsed="false">
      <c r="A272" s="48" t="s">
        <v>725</v>
      </c>
      <c r="B272" s="48" t="s">
        <v>726</v>
      </c>
      <c r="C272" s="48" t="s">
        <v>168</v>
      </c>
      <c r="D272" s="48" t="s">
        <v>188</v>
      </c>
      <c r="E272" s="48" t="s">
        <v>189</v>
      </c>
      <c r="F272" s="48" t="s">
        <v>222</v>
      </c>
      <c r="G272" s="49" t="n">
        <v>38.7</v>
      </c>
      <c r="H272" s="50" t="n">
        <f aca="false">MAX(0,IF(AND(Parameter!$B$21="Ja",ISNUMBER(Y272)),Y272,IF(Parameter!$B$20="Jahresanfang 2025 + Export",BO272+BN272,BN272)))</f>
        <v>21</v>
      </c>
      <c r="I272" s="50" t="n">
        <f aca="false">H272*G272</f>
        <v>812.7</v>
      </c>
      <c r="J272" s="50" t="n">
        <f aca="false">BQ272*Parameter!$B$18</f>
        <v>13</v>
      </c>
      <c r="K272" s="51" t="n">
        <v>17</v>
      </c>
      <c r="L272" s="52" t="n">
        <v>0.764705882352941</v>
      </c>
      <c r="M272" s="50" t="n">
        <v>1</v>
      </c>
      <c r="N272" s="50" t="n">
        <v>15</v>
      </c>
      <c r="O272" s="53" t="n">
        <v>28</v>
      </c>
      <c r="P272" s="48" t="s">
        <v>425</v>
      </c>
      <c r="Q272" s="50" t="n">
        <v>31</v>
      </c>
      <c r="R272" s="53" t="n">
        <f aca="false">IF(BW272=1,0,IFERROR(VLOOKUP(BU272,'Gebinde-Kategorie'!$A$5:$N$45,13,0)+0,0))</f>
        <v>104</v>
      </c>
      <c r="S272" s="54"/>
      <c r="T272" s="55"/>
      <c r="U272" s="55"/>
      <c r="V272" s="55"/>
      <c r="W272" s="48"/>
      <c r="X272" s="50"/>
      <c r="Y272" s="50"/>
      <c r="Z272" s="48" t="n">
        <f aca="false">IF(A272="","",IF(AND(Parameter!$B$21="Ja",ISNUMBER(W272)),W272,IF(BZ272="2+3",IF(ISNUMBER(SEARCH("grosser Artikel",BR272)),2,IFERROR(VLOOKUP(BU272,Parameter!$F$35:$G$64,2,0),2)),IF(OR(BZ272="Nein",BZ272=""),"-",BZ272))))</f>
        <v>3</v>
      </c>
      <c r="AA272" s="55"/>
      <c r="AB272" s="56"/>
      <c r="AC272" s="50" t="n">
        <f aca="false">AT272</f>
        <v>31</v>
      </c>
      <c r="AD272" s="50" t="n">
        <f aca="false">MAX(AT272,H272)</f>
        <v>31</v>
      </c>
      <c r="AE272" s="57"/>
      <c r="AF272" s="50" t="n">
        <f aca="false">IF(LEFT(Cockpit!$C$5,1)="A",H272,IF(CE272=1,CF272,IF(LEFT(Cockpit!$C$5,1)="B",AK272,MAX(AK272,H272))))</f>
        <v>21</v>
      </c>
      <c r="AG272" s="50" t="n">
        <f aca="false">IF(BW272=1,0,ROUNDUP(AF272/BV272,0))</f>
        <v>1</v>
      </c>
      <c r="AH272" s="52" t="n">
        <f aca="false">IF(CL272&gt;0,CL272*MAX(1,AF272/X272),IF(BW272=1,IF(AF272&lt;=0,0,CA272*MAX(1,IF(H272&gt;0,AF272/H272,1))),IF(R272&gt;0,AG272/R272,0))/MAX(0.1,N(Parameter!$M$21)))</f>
        <v>0.00961538461538462</v>
      </c>
      <c r="AI272" s="50" t="n">
        <f aca="false">AH272*BY272</f>
        <v>1.49038461538462</v>
      </c>
      <c r="AJ272" s="50" t="n">
        <f aca="false">AF272*G272</f>
        <v>812.7</v>
      </c>
      <c r="AK272" s="50" t="n">
        <f aca="false">ROUNDUP(MAX(J272/IF(CD272&gt;0,CD272,MAX(0.1,N(Cockpit!$C$6))),CG272)/BV272,0)*BV272</f>
        <v>31</v>
      </c>
      <c r="AL272" s="51" t="n">
        <f aca="false">IF(AI272&gt;0,J272/AI272,-1)</f>
        <v>8.72258064516129</v>
      </c>
      <c r="AM272" s="51" t="n">
        <f aca="false">IF(AND(OR(CC272="L1",CC272="L23",CC272="LIFT"),AI272&gt;0),SUMIFS($AI$7:$AI$1843,$CC$7:$CC$1843,CC272,$AL$7:$AL$1843,"&gt;"&amp;AL272)+SUMIFS($AI$7:$AI$1843,$CC$7:$CC$1843,CC272,$AL$7:$AL$1843,AL272,$BT$7:$BT$1843,"&lt;="&amp;BT272),"")</f>
        <v>2949.43956043956</v>
      </c>
      <c r="AN272" s="58" t="n">
        <f aca="false">IF(AM272="",0,MAX(0,MIN(1,(IF(CC272="L1",Parameter!$H$5,IF(CC272="L23",Parameter!$H$6+Parameter!$H$7,Parameter!$H$5+Parameter!$H$6+Parameter!$H$7))-(AM272-AI272))/AI272)))</f>
        <v>1</v>
      </c>
      <c r="AO272" s="50" t="n">
        <f aca="false">IF(LEFT(Cockpit!$I$5,1)="A",H272,IF(CE272=1,CF272,IF(LEFT(Cockpit!$I$5,1)="B",AT272,MAX(AT272,H272))))</f>
        <v>31</v>
      </c>
      <c r="AP272" s="50" t="n">
        <f aca="false">IF(BW272=1,0,ROUNDUP(AO272/BV272,0))</f>
        <v>1</v>
      </c>
      <c r="AQ272" s="52" t="n">
        <f aca="false">IF(CL272&gt;0,CL272*MAX(1,AO272/X272),IF(BW272=1,IF(AO272&lt;=0,0,CA272*MAX(1,IF(H272&gt;0,AO272/H272,1))),IF(R272&gt;0,AP272/R272,0))/MAX(0.1,N(Parameter!$M$21)))</f>
        <v>0.00961538461538462</v>
      </c>
      <c r="AR272" s="50" t="n">
        <f aca="false">AQ272*BY272</f>
        <v>1.49038461538462</v>
      </c>
      <c r="AS272" s="50" t="n">
        <f aca="false">AO272*G272</f>
        <v>1199.7</v>
      </c>
      <c r="AT272" s="50" t="n">
        <f aca="false">ROUNDUP(MAX(J272/IF(CD272&gt;0,CD272,MAX(0.1,N(Cockpit!$I$6))),CG272)/BV272,0)*BV272</f>
        <v>31</v>
      </c>
      <c r="AU272" s="51" t="n">
        <f aca="false">IF(AR272&gt;0,J272/AR272,-1)</f>
        <v>8.72258064516129</v>
      </c>
      <c r="AV272" s="51" t="n">
        <f aca="false">IF(AND(OR(CC272="L1",CC272="L23",CC272="LIFT"),AR272&gt;0),SUMIFS($AR$7:$AR$1843,$CC$7:$CC$1843,CC272,$AU$7:$AU$1843,"&gt;"&amp;AU272)+SUMIFS($AR$7:$AR$1843,$CC$7:$CC$1843,CC272,$AU$7:$AU$1843,AU272,$BT$7:$BT$1843,"&lt;="&amp;BT272),"")</f>
        <v>4195.04029304029</v>
      </c>
      <c r="AW272" s="58" t="n">
        <f aca="false">IF(AV272="",0,MAX(0,MIN(1,(IF(CC272="L1",Parameter!$H$5,IF(CC272="L23",Parameter!$H$6+Parameter!$H$7,Parameter!$H$5+Parameter!$H$6+Parameter!$H$7))-(AV272-AR272))/AR272)))</f>
        <v>1</v>
      </c>
      <c r="AX272" s="50" t="n">
        <f aca="false">IF(LEFT(Cockpit!$O$5,1)="A",H272,IF(CE272=1,CF272,IF(LEFT(Cockpit!$O$5,1)="B",BC272,MAX(BC272,H272))))</f>
        <v>31</v>
      </c>
      <c r="AY272" s="50" t="n">
        <f aca="false">IF(BW272=1,0,ROUNDUP(AX272/BV272,0))</f>
        <v>1</v>
      </c>
      <c r="AZ272" s="52" t="n">
        <f aca="false">IF(CL272&gt;0,CL272*MAX(1,AX272/X272),IF(BW272=1,IF(AX272&lt;=0,0,CA272*MAX(1,IF(H272&gt;0,AX272/H272,1))),IF(R272&gt;0,AY272/R272,0))/MAX(0.1,N(Parameter!$M$21)))</f>
        <v>0.00961538461538462</v>
      </c>
      <c r="BA272" s="50" t="n">
        <f aca="false">AZ272*BY272</f>
        <v>1.49038461538462</v>
      </c>
      <c r="BB272" s="50" t="n">
        <f aca="false">AX272*G272</f>
        <v>1199.7</v>
      </c>
      <c r="BC272" s="50" t="n">
        <f aca="false">ROUNDUP(MAX(J272/IF(CD272&gt;0,CD272,MAX(0.1,N(Cockpit!$O$6))),CG272)/BV272,0)*BV272</f>
        <v>31</v>
      </c>
      <c r="BD272" s="51" t="n">
        <f aca="false">IF(BA272&gt;0,J272/BA272,-1)</f>
        <v>8.72258064516129</v>
      </c>
      <c r="BE272" s="51" t="n">
        <f aca="false">IF(AND(OR(CC272="L1",CC272="L23",CC272="LIFT"),BA272&gt;0),SUMIFS($BA$7:$BA$1843,$CC$7:$CC$1843,CC272,$BD$7:$BD$1843,"&gt;"&amp;BD272)+SUMIFS($BA$7:$BA$1843,$CC$7:$CC$1843,CC272,$BD$7:$BD$1843,BD272,$BT$7:$BT$1843,"&lt;="&amp;BT272),"")</f>
        <v>3853.16529304029</v>
      </c>
      <c r="BF272" s="58" t="n">
        <f aca="false">IF(BE272="",0,MAX(0,MIN(1,(IF(CC272="L1",Parameter!$H$5,IF(CC272="L23",Parameter!$H$6+Parameter!$H$7,Parameter!$H$5+Parameter!$H$6+Parameter!$H$7))-(BE272-BA272))/BA272)))</f>
        <v>1</v>
      </c>
      <c r="BG272" s="48" t="str">
        <f aca="false">IF(AI272&lt;=0,"",IF(CC272="Aussen","Aussenlager",IF(CC272="-","Nicht im Lift",IF(AN272&gt;=1,"Lift",IF(AN272&lt;=0,"Aussenlager","teilweise")))))</f>
        <v>Lift</v>
      </c>
      <c r="BH272" s="48" t="str">
        <f aca="false">IF(AR272&lt;=0,"",IF(CC272="Aussen","Aussenlager",IF(CC272="-","Nicht im Lift",IF(AW272&gt;=1,"Lift",IF(AW272&lt;=0,"Aussenlager","teilweise")))))</f>
        <v>Lift</v>
      </c>
      <c r="BI272" s="48" t="str">
        <f aca="false">IF(BA272&lt;=0,"",IF(CC272="Aussen","Aussenlager",IF(CC272="-","Nicht im Lift",IF(BF272&gt;=1,"Lift",IF(BF272&lt;=0,"Aussenlager","teilweise")))))</f>
        <v>Lift</v>
      </c>
      <c r="BJ272" s="48" t="str">
        <f aca="false">IF(A272="","",IF(BS272=1,"Neu; ","")&amp;IF(AND(BS272=0,BN272&lt;0),"negativer Bestand (Export "&amp;BN272&amp;"); ","")&amp;IF(J272&lt;=0,"Kein Verbrauch; ","")&amp;IF(CL272&gt;0,"Lift "&amp;W272&amp;" lt. Liftbericht (Fach "&amp;X272&amp;" Stk); ",IF(BX272=1,"Gebinde geschätzt ("&amp;T272&amp;"); ",IF(BW272=1,"Lose – Tablare geschätzt; ","")))&amp;IF(H272&gt;AT272,"Überbestand "&amp;ROUND(H272-AT272,0)&amp;" Stk / CHF "&amp;ROUND((H272-AT272)*G272,0)&amp;"; ","")&amp;IF(AND(CE272=1,CF272&lt;CG272),"MAX &lt; MB+LG; ","")&amp;IF(AND(CK272&gt;0,CJ272*10&gt;CK272),"zu hoch für Tablar; ","")&amp;IF(AND(BS272=0,OR(CE272=1,AA272&lt;&gt;"",U272&lt;&gt;"",V272&lt;&gt;"",AB272&lt;&gt;"")),"manuell übersteuert; ","")&amp;IF(AND(BW272=0,R272=0),"Gebinde unbekannt / Stellmass fehlt; ","")&amp;IF(AND(BW272=0,N(V272)&lt;=0,N(Q272)&lt;=0),"Menge pro Gebinde fehlt (Ist = 1 Gebinde); ","")&amp;BR272)</f>
        <v/>
      </c>
      <c r="BK272" s="48"/>
      <c r="BL272" s="48"/>
      <c r="BM272" s="55"/>
      <c r="BN272" s="50" t="n">
        <v>10</v>
      </c>
      <c r="BO272" s="50" t="n">
        <v>11</v>
      </c>
      <c r="BP272" s="49" t="n">
        <v>387</v>
      </c>
      <c r="BQ272" s="50" t="n">
        <v>13</v>
      </c>
      <c r="BR272" s="48"/>
      <c r="BS272" s="53" t="n">
        <v>0</v>
      </c>
      <c r="BT272" s="53" t="n">
        <v>272</v>
      </c>
      <c r="BU272" s="48" t="str">
        <f aca="false">IF(U272&lt;&gt;"",UPPER(TRIM(U272)),IF(BX272=1,UPPER(VLOOKUP(T272,Parameter!$I$27:$K$29,2,0)),IF(P272="","LOSE",P272)))</f>
        <v>S32</v>
      </c>
      <c r="BV272" s="50" t="n">
        <f aca="false">IF(BU272="LOSE",1,IF(N(V272)&gt;0,V272,IF(BX272=1,MAX(1,N(VLOOKUP(T272,Parameter!$I$27:$K$29,3,0)),H272,N(N272)),IF(N(Q272)&gt;0,Q272,MAX(1,H272)))))</f>
        <v>31</v>
      </c>
      <c r="BW272" s="53" t="n">
        <f aca="false">IF(BU272="LOSE",1,0)</f>
        <v>0</v>
      </c>
      <c r="BX272" s="53" t="n">
        <f aca="false">IF(AND(U272="",OR(P272="",P272="LOSE"),T272&lt;&gt;"",N(S272)&lt;=0,ISNUMBER(MATCH(T272,Parameter!$I$27:$I$29,0))),1,0)</f>
        <v>0</v>
      </c>
      <c r="BY272" s="53" t="n">
        <f aca="false">IF(CL272&gt;0,INDEX(Parameter!$H$5:$H$7,W272)/INDEX(Parameter!$E$5:$E$7,W272),IF(AND(BW272=0,N(IFERROR(VLOOKUP(BU272,'Gebinde-Kategorie'!$A$5:$N$45,14,0),0))&gt;0),VLOOKUP(BU272,'Gebinde-Kategorie'!$A$5:$N$45,14,0)*10+Parameter!$M$23,Parameter!$M$24))</f>
        <v>155</v>
      </c>
      <c r="BZ272" s="48" t="str">
        <f aca="false">IF(AND(Parameter!$B$19="Ja",E272&lt;&gt;"",ISNUMBER(MATCH(E272,Parameter!$I$35:$I$52,0))),VLOOKUP(E272,Parameter!$I$35:$J$52,2,0),IFERROR(VLOOKUP(D272,Parameter!$A$35:$C$64,2,0),"Nein"))</f>
        <v>2+3</v>
      </c>
      <c r="CA272" s="52" t="n">
        <f aca="false">IF(BW272=0,0,IF(N(S272)&gt;0,S272,IFERROR(VLOOKUP(D272,Parameter!$A$35:$C$64,3,0)+0,0)))</f>
        <v>0</v>
      </c>
      <c r="CB272" s="48" t="n">
        <f aca="false">IF(AA272&lt;&gt;"",AA272,Z272)</f>
        <v>3</v>
      </c>
      <c r="CC272" s="48" t="str">
        <f aca="false">IF(OR(CB272=1,CB272=2,CB272=3),IF(Parameter!$E$27="Ja","LIFT",IF(CB272=1,"L1","L23")),IF(CB272="Aussen","Aussen","-"))</f>
        <v>LIFT</v>
      </c>
      <c r="CD272" s="59" t="n">
        <f aca="false">IF(N(AB272)&gt;0,AB272,0)</f>
        <v>0</v>
      </c>
      <c r="CE272" s="53" t="n">
        <f aca="false">IF(ISNUMBER(AE272),1,0)</f>
        <v>0</v>
      </c>
      <c r="CF272" s="50" t="n">
        <f aca="false">N(AE272)</f>
        <v>0</v>
      </c>
      <c r="CG272" s="50" t="n">
        <f aca="false">N(M272)+N(N272)</f>
        <v>16</v>
      </c>
      <c r="CH272" s="50" t="n">
        <f aca="false">ROUNDUP(H272/BV272,0)</f>
        <v>1</v>
      </c>
      <c r="CI272" s="50" t="n">
        <f aca="false">ROUNDUP(CF272/BV272,0)</f>
        <v>0</v>
      </c>
      <c r="CJ272" s="53" t="n">
        <f aca="false">IF(BW272=1,0,IFERROR(VLOOKUP(BU272,'Gebinde-Kategorie'!$A$5:$N$45,5,0)+0,0))</f>
        <v>8</v>
      </c>
      <c r="CK272" s="53" t="n">
        <f aca="false">IFERROR(IF(OR(CB272=1,CB272=2,CB272=3),N(INDEX(Parameter!$I$5:$I$7,CB272)),0),0)</f>
        <v>0</v>
      </c>
      <c r="CL272" s="52" t="n">
        <f aca="false">IF(AND(Parameter!$B$21="Ja",ISNUMBER(W272),N(X272)&gt;0),IFERROR(N(INDEX(Parameter!$L$5:$L$7,W272))*INDEX(Parameter!$E$5:$E$7,W272)*X272/SUMIFS($X$7:$X$1843,$W$7:$W$1843,W272),0),0)</f>
        <v>0</v>
      </c>
    </row>
    <row r="273" customFormat="false" ht="15" hidden="false" customHeight="false" outlineLevel="0" collapsed="false">
      <c r="A273" s="48" t="s">
        <v>727</v>
      </c>
      <c r="B273" s="48" t="s">
        <v>728</v>
      </c>
      <c r="C273" s="48" t="s">
        <v>168</v>
      </c>
      <c r="D273" s="48" t="s">
        <v>188</v>
      </c>
      <c r="E273" s="48" t="s">
        <v>189</v>
      </c>
      <c r="F273" s="48" t="s">
        <v>222</v>
      </c>
      <c r="G273" s="49" t="n">
        <v>9.25</v>
      </c>
      <c r="H273" s="50" t="n">
        <f aca="false">MAX(0,IF(AND(Parameter!$B$21="Ja",ISNUMBER(Y273)),Y273,IF(Parameter!$B$20="Jahresanfang 2025 + Export",BO273+BN273,BN273)))</f>
        <v>53</v>
      </c>
      <c r="I273" s="50" t="n">
        <f aca="false">H273*G273</f>
        <v>490.25</v>
      </c>
      <c r="J273" s="50" t="n">
        <f aca="false">BQ273*Parameter!$B$18</f>
        <v>8</v>
      </c>
      <c r="K273" s="51" t="n">
        <v>5.5</v>
      </c>
      <c r="L273" s="52" t="n">
        <v>1.45454545454546</v>
      </c>
      <c r="M273" s="50" t="n">
        <v>0</v>
      </c>
      <c r="N273" s="50" t="n">
        <v>10</v>
      </c>
      <c r="O273" s="53" t="n">
        <v>18</v>
      </c>
      <c r="P273" s="48" t="s">
        <v>430</v>
      </c>
      <c r="Q273" s="50" t="n">
        <v>21</v>
      </c>
      <c r="R273" s="53" t="n">
        <f aca="false">IF(BW273=1,0,IFERROR(VLOOKUP(BU273,'Gebinde-Kategorie'!$A$5:$N$45,13,0)+0,0))</f>
        <v>140</v>
      </c>
      <c r="S273" s="54"/>
      <c r="T273" s="55"/>
      <c r="U273" s="55"/>
      <c r="V273" s="55"/>
      <c r="W273" s="48"/>
      <c r="X273" s="50"/>
      <c r="Y273" s="50"/>
      <c r="Z273" s="48" t="n">
        <f aca="false">IF(A273="","",IF(AND(Parameter!$B$21="Ja",ISNUMBER(W273)),W273,IF(BZ273="2+3",IF(ISNUMBER(SEARCH("grosser Artikel",BR273)),2,IFERROR(VLOOKUP(BU273,Parameter!$F$35:$G$64,2,0),2)),IF(OR(BZ273="Nein",BZ273=""),"-",BZ273))))</f>
        <v>3</v>
      </c>
      <c r="AA273" s="55"/>
      <c r="AB273" s="56"/>
      <c r="AC273" s="50" t="n">
        <f aca="false">AT273</f>
        <v>21</v>
      </c>
      <c r="AD273" s="50" t="n">
        <f aca="false">MAX(AT273,H273)</f>
        <v>53</v>
      </c>
      <c r="AE273" s="57"/>
      <c r="AF273" s="50" t="n">
        <f aca="false">IF(LEFT(Cockpit!$C$5,1)="A",H273,IF(CE273=1,CF273,IF(LEFT(Cockpit!$C$5,1)="B",AK273,MAX(AK273,H273))))</f>
        <v>53</v>
      </c>
      <c r="AG273" s="50" t="n">
        <f aca="false">IF(BW273=1,0,ROUNDUP(AF273/BV273,0))</f>
        <v>3</v>
      </c>
      <c r="AH273" s="52" t="n">
        <f aca="false">IF(CL273&gt;0,CL273*MAX(1,AF273/X273),IF(BW273=1,IF(AF273&lt;=0,0,CA273*MAX(1,IF(H273&gt;0,AF273/H273,1))),IF(R273&gt;0,AG273/R273,0))/MAX(0.1,N(Parameter!$M$21)))</f>
        <v>0.0214285714285714</v>
      </c>
      <c r="AI273" s="50" t="n">
        <f aca="false">AH273*BY273</f>
        <v>3.32142857142857</v>
      </c>
      <c r="AJ273" s="50" t="n">
        <f aca="false">AF273*G273</f>
        <v>490.25</v>
      </c>
      <c r="AK273" s="50" t="n">
        <f aca="false">ROUNDUP(MAX(J273/IF(CD273&gt;0,CD273,MAX(0.1,N(Cockpit!$C$6))),CG273)/BV273,0)*BV273</f>
        <v>21</v>
      </c>
      <c r="AL273" s="51" t="n">
        <f aca="false">IF(AI273&gt;0,J273/AI273,-1)</f>
        <v>2.40860215053763</v>
      </c>
      <c r="AM273" s="51" t="n">
        <f aca="false">IF(AND(OR(CC273="L1",CC273="L23",CC273="LIFT"),AI273&gt;0),SUMIFS($AI$7:$AI$1843,$CC$7:$CC$1843,CC273,$AL$7:$AL$1843,"&gt;"&amp;AL273)+SUMIFS($AI$7:$AI$1843,$CC$7:$CC$1843,CC273,$AL$7:$AL$1843,AL273,$BT$7:$BT$1843,"&lt;="&amp;BT273),"")</f>
        <v>5572.50045787546</v>
      </c>
      <c r="AN273" s="58" t="n">
        <f aca="false">IF(AM273="",0,MAX(0,MIN(1,(IF(CC273="L1",Parameter!$H$5,IF(CC273="L23",Parameter!$H$6+Parameter!$H$7,Parameter!$H$5+Parameter!$H$6+Parameter!$H$7))-(AM273-AI273))/AI273)))</f>
        <v>1</v>
      </c>
      <c r="AO273" s="50" t="n">
        <f aca="false">IF(LEFT(Cockpit!$I$5,1)="A",H273,IF(CE273=1,CF273,IF(LEFT(Cockpit!$I$5,1)="B",AT273,MAX(AT273,H273))))</f>
        <v>53</v>
      </c>
      <c r="AP273" s="50" t="n">
        <f aca="false">IF(BW273=1,0,ROUNDUP(AO273/BV273,0))</f>
        <v>3</v>
      </c>
      <c r="AQ273" s="52" t="n">
        <f aca="false">IF(CL273&gt;0,CL273*MAX(1,AO273/X273),IF(BW273=1,IF(AO273&lt;=0,0,CA273*MAX(1,IF(H273&gt;0,AO273/H273,1))),IF(R273&gt;0,AP273/R273,0))/MAX(0.1,N(Parameter!$M$21)))</f>
        <v>0.0214285714285714</v>
      </c>
      <c r="AR273" s="50" t="n">
        <f aca="false">AQ273*BY273</f>
        <v>3.32142857142857</v>
      </c>
      <c r="AS273" s="50" t="n">
        <f aca="false">AO273*G273</f>
        <v>490.25</v>
      </c>
      <c r="AT273" s="50" t="n">
        <f aca="false">ROUNDUP(MAX(J273/IF(CD273&gt;0,CD273,MAX(0.1,N(Cockpit!$I$6))),CG273)/BV273,0)*BV273</f>
        <v>21</v>
      </c>
      <c r="AU273" s="51" t="n">
        <f aca="false">IF(AR273&gt;0,J273/AR273,-1)</f>
        <v>2.40860215053763</v>
      </c>
      <c r="AV273" s="51" t="n">
        <f aca="false">IF(AND(OR(CC273="L1",CC273="L23",CC273="LIFT"),AR273&gt;0),SUMIFS($AR$7:$AR$1843,$CC$7:$CC$1843,CC273,$AU$7:$AU$1843,"&gt;"&amp;AU273)+SUMIFS($AR$7:$AR$1843,$CC$7:$CC$1843,CC273,$AU$7:$AU$1843,AU273,$BT$7:$BT$1843,"&lt;="&amp;BT273),"")</f>
        <v>6938.60302197802</v>
      </c>
      <c r="AW273" s="58" t="n">
        <f aca="false">IF(AV273="",0,MAX(0,MIN(1,(IF(CC273="L1",Parameter!$H$5,IF(CC273="L23",Parameter!$H$6+Parameter!$H$7,Parameter!$H$5+Parameter!$H$6+Parameter!$H$7))-(AV273-AR273))/AR273)))</f>
        <v>1</v>
      </c>
      <c r="AX273" s="50" t="n">
        <f aca="false">IF(LEFT(Cockpit!$O$5,1)="A",H273,IF(CE273=1,CF273,IF(LEFT(Cockpit!$O$5,1)="B",BC273,MAX(BC273,H273))))</f>
        <v>53</v>
      </c>
      <c r="AY273" s="50" t="n">
        <f aca="false">IF(BW273=1,0,ROUNDUP(AX273/BV273,0))</f>
        <v>3</v>
      </c>
      <c r="AZ273" s="52" t="n">
        <f aca="false">IF(CL273&gt;0,CL273*MAX(1,AX273/X273),IF(BW273=1,IF(AX273&lt;=0,0,CA273*MAX(1,IF(H273&gt;0,AX273/H273,1))),IF(R273&gt;0,AY273/R273,0))/MAX(0.1,N(Parameter!$M$21)))</f>
        <v>0.0214285714285714</v>
      </c>
      <c r="BA273" s="50" t="n">
        <f aca="false">AZ273*BY273</f>
        <v>3.32142857142857</v>
      </c>
      <c r="BB273" s="50" t="n">
        <f aca="false">AX273*G273</f>
        <v>490.25</v>
      </c>
      <c r="BC273" s="50" t="n">
        <f aca="false">ROUNDUP(MAX(J273/IF(CD273&gt;0,CD273,MAX(0.1,N(Cockpit!$O$6))),CG273)/BV273,0)*BV273</f>
        <v>21</v>
      </c>
      <c r="BD273" s="51" t="n">
        <f aca="false">IF(BA273&gt;0,J273/BA273,-1)</f>
        <v>2.40860215053763</v>
      </c>
      <c r="BE273" s="51" t="n">
        <f aca="false">IF(AND(OR(CC273="L1",CC273="L23",CC273="LIFT"),BA273&gt;0),SUMIFS($BA$7:$BA$1843,$CC$7:$CC$1843,CC273,$BD$7:$BD$1843,"&gt;"&amp;BD273)+SUMIFS($BA$7:$BA$1843,$CC$7:$CC$1843,CC273,$BD$7:$BD$1843,BD273,$BT$7:$BT$1843,"&lt;="&amp;BT273),"")</f>
        <v>6678.42673992674</v>
      </c>
      <c r="BF273" s="58" t="n">
        <f aca="false">IF(BE273="",0,MAX(0,MIN(1,(IF(CC273="L1",Parameter!$H$5,IF(CC273="L23",Parameter!$H$6+Parameter!$H$7,Parameter!$H$5+Parameter!$H$6+Parameter!$H$7))-(BE273-BA273))/BA273)))</f>
        <v>1</v>
      </c>
      <c r="BG273" s="48" t="str">
        <f aca="false">IF(AI273&lt;=0,"",IF(CC273="Aussen","Aussenlager",IF(CC273="-","Nicht im Lift",IF(AN273&gt;=1,"Lift",IF(AN273&lt;=0,"Aussenlager","teilweise")))))</f>
        <v>Lift</v>
      </c>
      <c r="BH273" s="48" t="str">
        <f aca="false">IF(AR273&lt;=0,"",IF(CC273="Aussen","Aussenlager",IF(CC273="-","Nicht im Lift",IF(AW273&gt;=1,"Lift",IF(AW273&lt;=0,"Aussenlager","teilweise")))))</f>
        <v>Lift</v>
      </c>
      <c r="BI273" s="48" t="str">
        <f aca="false">IF(BA273&lt;=0,"",IF(CC273="Aussen","Aussenlager",IF(CC273="-","Nicht im Lift",IF(BF273&gt;=1,"Lift",IF(BF273&lt;=0,"Aussenlager","teilweise")))))</f>
        <v>Lift</v>
      </c>
      <c r="BJ273" s="48" t="str">
        <f aca="false">IF(A273="","",IF(BS273=1,"Neu; ","")&amp;IF(AND(BS273=0,BN273&lt;0),"negativer Bestand (Export "&amp;BN273&amp;"); ","")&amp;IF(J273&lt;=0,"Kein Verbrauch; ","")&amp;IF(CL273&gt;0,"Lift "&amp;W273&amp;" lt. Liftbericht (Fach "&amp;X273&amp;" Stk); ",IF(BX273=1,"Gebinde geschätzt ("&amp;T273&amp;"); ",IF(BW273=1,"Lose – Tablare geschätzt; ","")))&amp;IF(H273&gt;AT273,"Überbestand "&amp;ROUND(H273-AT273,0)&amp;" Stk / CHF "&amp;ROUND((H273-AT273)*G273,0)&amp;"; ","")&amp;IF(AND(CE273=1,CF273&lt;CG273),"MAX &lt; MB+LG; ","")&amp;IF(AND(CK273&gt;0,CJ273*10&gt;CK273),"zu hoch für Tablar; ","")&amp;IF(AND(BS273=0,OR(CE273=1,AA273&lt;&gt;"",U273&lt;&gt;"",V273&lt;&gt;"",AB273&lt;&gt;"")),"manuell übersteuert; ","")&amp;IF(AND(BW273=0,R273=0),"Gebinde unbekannt / Stellmass fehlt; ","")&amp;IF(AND(BW273=0,N(V273)&lt;=0,N(Q273)&lt;=0),"Menge pro Gebinde fehlt (Ist = 1 Gebinde); ","")&amp;BR273)</f>
        <v>Überbestand 32 Stk / CHF 296; </v>
      </c>
      <c r="BK273" s="48"/>
      <c r="BL273" s="48"/>
      <c r="BM273" s="55"/>
      <c r="BN273" s="50" t="n">
        <v>44</v>
      </c>
      <c r="BO273" s="50" t="n">
        <v>9</v>
      </c>
      <c r="BP273" s="49" t="n">
        <v>378.38</v>
      </c>
      <c r="BQ273" s="50" t="n">
        <v>8</v>
      </c>
      <c r="BR273" s="48"/>
      <c r="BS273" s="53" t="n">
        <v>0</v>
      </c>
      <c r="BT273" s="53" t="n">
        <v>273</v>
      </c>
      <c r="BU273" s="48" t="str">
        <f aca="false">IF(U273&lt;&gt;"",UPPER(TRIM(U273)),IF(BX273=1,UPPER(VLOOKUP(T273,Parameter!$I$27:$K$29,2,0)),IF(P273="","LOSE",P273)))</f>
        <v>S22</v>
      </c>
      <c r="BV273" s="50" t="n">
        <f aca="false">IF(BU273="LOSE",1,IF(N(V273)&gt;0,V273,IF(BX273=1,MAX(1,N(VLOOKUP(T273,Parameter!$I$27:$K$29,3,0)),H273,N(N273)),IF(N(Q273)&gt;0,Q273,MAX(1,H273)))))</f>
        <v>21</v>
      </c>
      <c r="BW273" s="53" t="n">
        <f aca="false">IF(BU273="LOSE",1,0)</f>
        <v>0</v>
      </c>
      <c r="BX273" s="53" t="n">
        <f aca="false">IF(AND(U273="",OR(P273="",P273="LOSE"),T273&lt;&gt;"",N(S273)&lt;=0,ISNUMBER(MATCH(T273,Parameter!$I$27:$I$29,0))),1,0)</f>
        <v>0</v>
      </c>
      <c r="BY273" s="53" t="n">
        <f aca="false">IF(CL273&gt;0,INDEX(Parameter!$H$5:$H$7,W273)/INDEX(Parameter!$E$5:$E$7,W273),IF(AND(BW273=0,N(IFERROR(VLOOKUP(BU273,'Gebinde-Kategorie'!$A$5:$N$45,14,0),0))&gt;0),VLOOKUP(BU273,'Gebinde-Kategorie'!$A$5:$N$45,14,0)*10+Parameter!$M$23,Parameter!$M$24))</f>
        <v>155</v>
      </c>
      <c r="BZ273" s="48" t="str">
        <f aca="false">IF(AND(Parameter!$B$19="Ja",E273&lt;&gt;"",ISNUMBER(MATCH(E273,Parameter!$I$35:$I$52,0))),VLOOKUP(E273,Parameter!$I$35:$J$52,2,0),IFERROR(VLOOKUP(D273,Parameter!$A$35:$C$64,2,0),"Nein"))</f>
        <v>2+3</v>
      </c>
      <c r="CA273" s="52" t="n">
        <f aca="false">IF(BW273=0,0,IF(N(S273)&gt;0,S273,IFERROR(VLOOKUP(D273,Parameter!$A$35:$C$64,3,0)+0,0)))</f>
        <v>0</v>
      </c>
      <c r="CB273" s="48" t="n">
        <f aca="false">IF(AA273&lt;&gt;"",AA273,Z273)</f>
        <v>3</v>
      </c>
      <c r="CC273" s="48" t="str">
        <f aca="false">IF(OR(CB273=1,CB273=2,CB273=3),IF(Parameter!$E$27="Ja","LIFT",IF(CB273=1,"L1","L23")),IF(CB273="Aussen","Aussen","-"))</f>
        <v>LIFT</v>
      </c>
      <c r="CD273" s="59" t="n">
        <f aca="false">IF(N(AB273)&gt;0,AB273,0)</f>
        <v>0</v>
      </c>
      <c r="CE273" s="53" t="n">
        <f aca="false">IF(ISNUMBER(AE273),1,0)</f>
        <v>0</v>
      </c>
      <c r="CF273" s="50" t="n">
        <f aca="false">N(AE273)</f>
        <v>0</v>
      </c>
      <c r="CG273" s="50" t="n">
        <f aca="false">N(M273)+N(N273)</f>
        <v>10</v>
      </c>
      <c r="CH273" s="50" t="n">
        <f aca="false">ROUNDUP(H273/BV273,0)</f>
        <v>3</v>
      </c>
      <c r="CI273" s="50" t="n">
        <f aca="false">ROUNDUP(CF273/BV273,0)</f>
        <v>0</v>
      </c>
      <c r="CJ273" s="53" t="n">
        <f aca="false">IF(BW273=1,0,IFERROR(VLOOKUP(BU273,'Gebinde-Kategorie'!$A$5:$N$45,5,0)+0,0))</f>
        <v>8</v>
      </c>
      <c r="CK273" s="53" t="n">
        <f aca="false">IFERROR(IF(OR(CB273=1,CB273=2,CB273=3),N(INDEX(Parameter!$I$5:$I$7,CB273)),0),0)</f>
        <v>0</v>
      </c>
      <c r="CL273" s="52" t="n">
        <f aca="false">IF(AND(Parameter!$B$21="Ja",ISNUMBER(W273),N(X273)&gt;0),IFERROR(N(INDEX(Parameter!$L$5:$L$7,W273))*INDEX(Parameter!$E$5:$E$7,W273)*X273/SUMIFS($X$7:$X$1843,$W$7:$W$1843,W273),0),0)</f>
        <v>0</v>
      </c>
    </row>
    <row r="274" customFormat="false" ht="15" hidden="false" customHeight="false" outlineLevel="0" collapsed="false">
      <c r="A274" s="48" t="s">
        <v>729</v>
      </c>
      <c r="B274" s="48" t="s">
        <v>730</v>
      </c>
      <c r="C274" s="48" t="s">
        <v>168</v>
      </c>
      <c r="D274" s="48" t="s">
        <v>188</v>
      </c>
      <c r="E274" s="48" t="s">
        <v>189</v>
      </c>
      <c r="F274" s="48" t="s">
        <v>222</v>
      </c>
      <c r="G274" s="49" t="n">
        <v>15.2</v>
      </c>
      <c r="H274" s="50" t="n">
        <f aca="false">MAX(0,IF(AND(Parameter!$B$21="Ja",ISNUMBER(Y274)),Y274,IF(Parameter!$B$20="Jahresanfang 2025 + Export",BO274+BN274,BN274)))</f>
        <v>45</v>
      </c>
      <c r="I274" s="50" t="n">
        <f aca="false">H274*G274</f>
        <v>684</v>
      </c>
      <c r="J274" s="50" t="n">
        <f aca="false">BQ274*Parameter!$B$18</f>
        <v>48</v>
      </c>
      <c r="K274" s="51" t="n">
        <v>17.5</v>
      </c>
      <c r="L274" s="52" t="n">
        <v>2.74285714285714</v>
      </c>
      <c r="M274" s="50" t="n">
        <v>1</v>
      </c>
      <c r="N274" s="50" t="n">
        <v>50</v>
      </c>
      <c r="O274" s="53" t="n">
        <v>14</v>
      </c>
      <c r="P274" s="48" t="s">
        <v>332</v>
      </c>
      <c r="Q274" s="50" t="n">
        <v>43</v>
      </c>
      <c r="R274" s="53" t="n">
        <f aca="false">IF(BW274=1,0,IFERROR(VLOOKUP(BU274,'Gebinde-Kategorie'!$A$5:$N$45,13,0)+0,0))</f>
        <v>52</v>
      </c>
      <c r="S274" s="54"/>
      <c r="T274" s="55"/>
      <c r="U274" s="55"/>
      <c r="V274" s="55"/>
      <c r="W274" s="48"/>
      <c r="X274" s="50"/>
      <c r="Y274" s="50"/>
      <c r="Z274" s="48" t="n">
        <f aca="false">IF(A274="","",IF(AND(Parameter!$B$21="Ja",ISNUMBER(W274)),W274,IF(BZ274="2+3",IF(ISNUMBER(SEARCH("grosser Artikel",BR274)),2,IFERROR(VLOOKUP(BU274,Parameter!$F$35:$G$64,2,0),2)),IF(OR(BZ274="Nein",BZ274=""),"-",BZ274))))</f>
        <v>3</v>
      </c>
      <c r="AA274" s="55"/>
      <c r="AB274" s="56"/>
      <c r="AC274" s="50" t="n">
        <f aca="false">AT274</f>
        <v>86</v>
      </c>
      <c r="AD274" s="50" t="n">
        <f aca="false">MAX(AT274,H274)</f>
        <v>86</v>
      </c>
      <c r="AE274" s="57"/>
      <c r="AF274" s="50" t="n">
        <f aca="false">IF(LEFT(Cockpit!$C$5,1)="A",H274,IF(CE274=1,CF274,IF(LEFT(Cockpit!$C$5,1)="B",AK274,MAX(AK274,H274))))</f>
        <v>45</v>
      </c>
      <c r="AG274" s="50" t="n">
        <f aca="false">IF(BW274=1,0,ROUNDUP(AF274/BV274,0))</f>
        <v>2</v>
      </c>
      <c r="AH274" s="52" t="n">
        <f aca="false">IF(CL274&gt;0,CL274*MAX(1,AF274/X274),IF(BW274=1,IF(AF274&lt;=0,0,CA274*MAX(1,IF(H274&gt;0,AF274/H274,1))),IF(R274&gt;0,AG274/R274,0))/MAX(0.1,N(Parameter!$M$21)))</f>
        <v>0.0384615384615385</v>
      </c>
      <c r="AI274" s="50" t="n">
        <f aca="false">AH274*BY274</f>
        <v>5.96153846153846</v>
      </c>
      <c r="AJ274" s="50" t="n">
        <f aca="false">AF274*G274</f>
        <v>684</v>
      </c>
      <c r="AK274" s="50" t="n">
        <f aca="false">ROUNDUP(MAX(J274/IF(CD274&gt;0,CD274,MAX(0.1,N(Cockpit!$C$6))),CG274)/BV274,0)*BV274</f>
        <v>86</v>
      </c>
      <c r="AL274" s="51" t="n">
        <f aca="false">IF(AI274&gt;0,J274/AI274,-1)</f>
        <v>8.05161290322581</v>
      </c>
      <c r="AM274" s="51" t="n">
        <f aca="false">IF(AND(OR(CC274="L1",CC274="L23",CC274="LIFT"),AI274&gt;0),SUMIFS($AI$7:$AI$1843,$CC$7:$CC$1843,CC274,$AL$7:$AL$1843,"&gt;"&amp;AL274)+SUMIFS($AI$7:$AI$1843,$CC$7:$CC$1843,CC274,$AL$7:$AL$1843,AL274,$BT$7:$BT$1843,"&lt;="&amp;BT274),"")</f>
        <v>3037.67948717949</v>
      </c>
      <c r="AN274" s="58" t="n">
        <f aca="false">IF(AM274="",0,MAX(0,MIN(1,(IF(CC274="L1",Parameter!$H$5,IF(CC274="L23",Parameter!$H$6+Parameter!$H$7,Parameter!$H$5+Parameter!$H$6+Parameter!$H$7))-(AM274-AI274))/AI274)))</f>
        <v>1</v>
      </c>
      <c r="AO274" s="50" t="n">
        <f aca="false">IF(LEFT(Cockpit!$I$5,1)="A",H274,IF(CE274=1,CF274,IF(LEFT(Cockpit!$I$5,1)="B",AT274,MAX(AT274,H274))))</f>
        <v>86</v>
      </c>
      <c r="AP274" s="50" t="n">
        <f aca="false">IF(BW274=1,0,ROUNDUP(AO274/BV274,0))</f>
        <v>2</v>
      </c>
      <c r="AQ274" s="52" t="n">
        <f aca="false">IF(CL274&gt;0,CL274*MAX(1,AO274/X274),IF(BW274=1,IF(AO274&lt;=0,0,CA274*MAX(1,IF(H274&gt;0,AO274/H274,1))),IF(R274&gt;0,AP274/R274,0))/MAX(0.1,N(Parameter!$M$21)))</f>
        <v>0.0384615384615385</v>
      </c>
      <c r="AR274" s="50" t="n">
        <f aca="false">AQ274*BY274</f>
        <v>5.96153846153846</v>
      </c>
      <c r="AS274" s="50" t="n">
        <f aca="false">AO274*G274</f>
        <v>1307.2</v>
      </c>
      <c r="AT274" s="50" t="n">
        <f aca="false">ROUNDUP(MAX(J274/IF(CD274&gt;0,CD274,MAX(0.1,N(Cockpit!$I$6))),CG274)/BV274,0)*BV274</f>
        <v>86</v>
      </c>
      <c r="AU274" s="51" t="n">
        <f aca="false">IF(AR274&gt;0,J274/AR274,-1)</f>
        <v>8.05161290322581</v>
      </c>
      <c r="AV274" s="51" t="n">
        <f aca="false">IF(AND(OR(CC274="L1",CC274="L23",CC274="LIFT"),AR274&gt;0),SUMIFS($AR$7:$AR$1843,$CC$7:$CC$1843,CC274,$AU$7:$AU$1843,"&gt;"&amp;AU274)+SUMIFS($AR$7:$AR$1843,$CC$7:$CC$1843,CC274,$AU$7:$AU$1843,AU274,$BT$7:$BT$1843,"&lt;="&amp;BT274),"")</f>
        <v>4252.39880952381</v>
      </c>
      <c r="AW274" s="58" t="n">
        <f aca="false">IF(AV274="",0,MAX(0,MIN(1,(IF(CC274="L1",Parameter!$H$5,IF(CC274="L23",Parameter!$H$6+Parameter!$H$7,Parameter!$H$5+Parameter!$H$6+Parameter!$H$7))-(AV274-AR274))/AR274)))</f>
        <v>1</v>
      </c>
      <c r="AX274" s="50" t="n">
        <f aca="false">IF(LEFT(Cockpit!$O$5,1)="A",H274,IF(CE274=1,CF274,IF(LEFT(Cockpit!$O$5,1)="B",BC274,MAX(BC274,H274))))</f>
        <v>86</v>
      </c>
      <c r="AY274" s="50" t="n">
        <f aca="false">IF(BW274=1,0,ROUNDUP(AX274/BV274,0))</f>
        <v>2</v>
      </c>
      <c r="AZ274" s="52" t="n">
        <f aca="false">IF(CL274&gt;0,CL274*MAX(1,AX274/X274),IF(BW274=1,IF(AX274&lt;=0,0,CA274*MAX(1,IF(H274&gt;0,AX274/H274,1))),IF(R274&gt;0,AY274/R274,0))/MAX(0.1,N(Parameter!$M$21)))</f>
        <v>0.0384615384615385</v>
      </c>
      <c r="BA274" s="50" t="n">
        <f aca="false">AZ274*BY274</f>
        <v>5.96153846153846</v>
      </c>
      <c r="BB274" s="50" t="n">
        <f aca="false">AX274*G274</f>
        <v>1307.2</v>
      </c>
      <c r="BC274" s="50" t="n">
        <f aca="false">ROUNDUP(MAX(J274/IF(CD274&gt;0,CD274,MAX(0.1,N(Cockpit!$O$6))),CG274)/BV274,0)*BV274</f>
        <v>86</v>
      </c>
      <c r="BD274" s="51" t="n">
        <f aca="false">IF(BA274&gt;0,J274/BA274,-1)</f>
        <v>8.05161290322581</v>
      </c>
      <c r="BE274" s="51" t="n">
        <f aca="false">IF(AND(OR(CC274="L1",CC274="L23",CC274="LIFT"),BA274&gt;0),SUMIFS($BA$7:$BA$1843,$CC$7:$CC$1843,CC274,$BD$7:$BD$1843,"&gt;"&amp;BD274)+SUMIFS($BA$7:$BA$1843,$CC$7:$CC$1843,CC274,$BD$7:$BD$1843,BD274,$BT$7:$BT$1843,"&lt;="&amp;BT274),"")</f>
        <v>3919.94688644689</v>
      </c>
      <c r="BF274" s="58" t="n">
        <f aca="false">IF(BE274="",0,MAX(0,MIN(1,(IF(CC274="L1",Parameter!$H$5,IF(CC274="L23",Parameter!$H$6+Parameter!$H$7,Parameter!$H$5+Parameter!$H$6+Parameter!$H$7))-(BE274-BA274))/BA274)))</f>
        <v>1</v>
      </c>
      <c r="BG274" s="48" t="str">
        <f aca="false">IF(AI274&lt;=0,"",IF(CC274="Aussen","Aussenlager",IF(CC274="-","Nicht im Lift",IF(AN274&gt;=1,"Lift",IF(AN274&lt;=0,"Aussenlager","teilweise")))))</f>
        <v>Lift</v>
      </c>
      <c r="BH274" s="48" t="str">
        <f aca="false">IF(AR274&lt;=0,"",IF(CC274="Aussen","Aussenlager",IF(CC274="-","Nicht im Lift",IF(AW274&gt;=1,"Lift",IF(AW274&lt;=0,"Aussenlager","teilweise")))))</f>
        <v>Lift</v>
      </c>
      <c r="BI274" s="48" t="str">
        <f aca="false">IF(BA274&lt;=0,"",IF(CC274="Aussen","Aussenlager",IF(CC274="-","Nicht im Lift",IF(BF274&gt;=1,"Lift",IF(BF274&lt;=0,"Aussenlager","teilweise")))))</f>
        <v>Lift</v>
      </c>
      <c r="BJ274" s="48" t="str">
        <f aca="false">IF(A274="","",IF(BS274=1,"Neu; ","")&amp;IF(AND(BS274=0,BN274&lt;0),"negativer Bestand (Export "&amp;BN274&amp;"); ","")&amp;IF(J274&lt;=0,"Kein Verbrauch; ","")&amp;IF(CL274&gt;0,"Lift "&amp;W274&amp;" lt. Liftbericht (Fach "&amp;X274&amp;" Stk); ",IF(BX274=1,"Gebinde geschätzt ("&amp;T274&amp;"); ",IF(BW274=1,"Lose – Tablare geschätzt; ","")))&amp;IF(H274&gt;AT274,"Überbestand "&amp;ROUND(H274-AT274,0)&amp;" Stk / CHF "&amp;ROUND((H274-AT274)*G274,0)&amp;"; ","")&amp;IF(AND(CE274=1,CF274&lt;CG274),"MAX &lt; MB+LG; ","")&amp;IF(AND(CK274&gt;0,CJ274*10&gt;CK274),"zu hoch für Tablar; ","")&amp;IF(AND(BS274=0,OR(CE274=1,AA274&lt;&gt;"",U274&lt;&gt;"",V274&lt;&gt;"",AB274&lt;&gt;"")),"manuell übersteuert; ","")&amp;IF(AND(BW274=0,R274=0),"Gebinde unbekannt / Stellmass fehlt; ","")&amp;IF(AND(BW274=0,N(V274)&lt;=0,N(Q274)&lt;=0),"Menge pro Gebinde fehlt (Ist = 1 Gebinde); ","")&amp;BR274)</f>
        <v/>
      </c>
      <c r="BK274" s="48"/>
      <c r="BL274" s="48"/>
      <c r="BM274" s="55"/>
      <c r="BN274" s="50" t="n">
        <v>26</v>
      </c>
      <c r="BO274" s="50" t="n">
        <v>19</v>
      </c>
      <c r="BP274" s="49" t="n">
        <v>375.06</v>
      </c>
      <c r="BQ274" s="50" t="n">
        <v>48</v>
      </c>
      <c r="BR274" s="48"/>
      <c r="BS274" s="53" t="n">
        <v>0</v>
      </c>
      <c r="BT274" s="53" t="n">
        <v>274</v>
      </c>
      <c r="BU274" s="48" t="str">
        <f aca="false">IF(U274&lt;&gt;"",UPPER(TRIM(U274)),IF(BX274=1,UPPER(VLOOKUP(T274,Parameter!$I$27:$K$29,2,0)),IF(P274="","LOSE",P274)))</f>
        <v>S41</v>
      </c>
      <c r="BV274" s="50" t="n">
        <f aca="false">IF(BU274="LOSE",1,IF(N(V274)&gt;0,V274,IF(BX274=1,MAX(1,N(VLOOKUP(T274,Parameter!$I$27:$K$29,3,0)),H274,N(N274)),IF(N(Q274)&gt;0,Q274,MAX(1,H274)))))</f>
        <v>43</v>
      </c>
      <c r="BW274" s="53" t="n">
        <f aca="false">IF(BU274="LOSE",1,0)</f>
        <v>0</v>
      </c>
      <c r="BX274" s="53" t="n">
        <f aca="false">IF(AND(U274="",OR(P274="",P274="LOSE"),T274&lt;&gt;"",N(S274)&lt;=0,ISNUMBER(MATCH(T274,Parameter!$I$27:$I$29,0))),1,0)</f>
        <v>0</v>
      </c>
      <c r="BY274" s="53" t="n">
        <f aca="false">IF(CL274&gt;0,INDEX(Parameter!$H$5:$H$7,W274)/INDEX(Parameter!$E$5:$E$7,W274),IF(AND(BW274=0,N(IFERROR(VLOOKUP(BU274,'Gebinde-Kategorie'!$A$5:$N$45,14,0),0))&gt;0),VLOOKUP(BU274,'Gebinde-Kategorie'!$A$5:$N$45,14,0)*10+Parameter!$M$23,Parameter!$M$24))</f>
        <v>155</v>
      </c>
      <c r="BZ274" s="48" t="str">
        <f aca="false">IF(AND(Parameter!$B$19="Ja",E274&lt;&gt;"",ISNUMBER(MATCH(E274,Parameter!$I$35:$I$52,0))),VLOOKUP(E274,Parameter!$I$35:$J$52,2,0),IFERROR(VLOOKUP(D274,Parameter!$A$35:$C$64,2,0),"Nein"))</f>
        <v>2+3</v>
      </c>
      <c r="CA274" s="52" t="n">
        <f aca="false">IF(BW274=0,0,IF(N(S274)&gt;0,S274,IFERROR(VLOOKUP(D274,Parameter!$A$35:$C$64,3,0)+0,0)))</f>
        <v>0</v>
      </c>
      <c r="CB274" s="48" t="n">
        <f aca="false">IF(AA274&lt;&gt;"",AA274,Z274)</f>
        <v>3</v>
      </c>
      <c r="CC274" s="48" t="str">
        <f aca="false">IF(OR(CB274=1,CB274=2,CB274=3),IF(Parameter!$E$27="Ja","LIFT",IF(CB274=1,"L1","L23")),IF(CB274="Aussen","Aussen","-"))</f>
        <v>LIFT</v>
      </c>
      <c r="CD274" s="59" t="n">
        <f aca="false">IF(N(AB274)&gt;0,AB274,0)</f>
        <v>0</v>
      </c>
      <c r="CE274" s="53" t="n">
        <f aca="false">IF(ISNUMBER(AE274),1,0)</f>
        <v>0</v>
      </c>
      <c r="CF274" s="50" t="n">
        <f aca="false">N(AE274)</f>
        <v>0</v>
      </c>
      <c r="CG274" s="50" t="n">
        <f aca="false">N(M274)+N(N274)</f>
        <v>51</v>
      </c>
      <c r="CH274" s="50" t="n">
        <f aca="false">ROUNDUP(H274/BV274,0)</f>
        <v>2</v>
      </c>
      <c r="CI274" s="50" t="n">
        <f aca="false">ROUNDUP(CF274/BV274,0)</f>
        <v>0</v>
      </c>
      <c r="CJ274" s="53" t="n">
        <f aca="false">IF(BW274=1,0,IFERROR(VLOOKUP(BU274,'Gebinde-Kategorie'!$A$5:$N$45,5,0)+0,0))</f>
        <v>11</v>
      </c>
      <c r="CK274" s="53" t="n">
        <f aca="false">IFERROR(IF(OR(CB274=1,CB274=2,CB274=3),N(INDEX(Parameter!$I$5:$I$7,CB274)),0),0)</f>
        <v>0</v>
      </c>
      <c r="CL274" s="52" t="n">
        <f aca="false">IF(AND(Parameter!$B$21="Ja",ISNUMBER(W274),N(X274)&gt;0),IFERROR(N(INDEX(Parameter!$L$5:$L$7,W274))*INDEX(Parameter!$E$5:$E$7,W274)*X274/SUMIFS($X$7:$X$1843,$W$7:$W$1843,W274),0),0)</f>
        <v>0</v>
      </c>
    </row>
    <row r="275" customFormat="false" ht="15" hidden="false" customHeight="false" outlineLevel="0" collapsed="false">
      <c r="A275" s="48" t="s">
        <v>731</v>
      </c>
      <c r="B275" s="48" t="s">
        <v>721</v>
      </c>
      <c r="C275" s="48" t="s">
        <v>168</v>
      </c>
      <c r="D275" s="48" t="s">
        <v>177</v>
      </c>
      <c r="E275" s="48"/>
      <c r="F275" s="48" t="s">
        <v>222</v>
      </c>
      <c r="G275" s="49" t="n">
        <v>74.17</v>
      </c>
      <c r="H275" s="50" t="n">
        <f aca="false">MAX(0,IF(AND(Parameter!$B$21="Ja",ISNUMBER(Y275)),Y275,IF(Parameter!$B$20="Jahresanfang 2025 + Export",BO275+BN275,BN275)))</f>
        <v>11</v>
      </c>
      <c r="I275" s="50" t="n">
        <f aca="false">H275*G275</f>
        <v>815.87</v>
      </c>
      <c r="J275" s="50" t="n">
        <f aca="false">BQ275*Parameter!$B$18</f>
        <v>2</v>
      </c>
      <c r="K275" s="51" t="n">
        <v>8.5</v>
      </c>
      <c r="L275" s="52" t="n">
        <v>0.235294117647059</v>
      </c>
      <c r="M275" s="50" t="n">
        <v>0</v>
      </c>
      <c r="N275" s="50" t="n">
        <v>1</v>
      </c>
      <c r="O275" s="53" t="n">
        <v>28</v>
      </c>
      <c r="P275" s="48" t="s">
        <v>190</v>
      </c>
      <c r="Q275" s="50" t="n">
        <v>12</v>
      </c>
      <c r="R275" s="53" t="n">
        <f aca="false">IF(BW275=1,0,IFERROR(VLOOKUP(BU275,'Gebinde-Kategorie'!$A$5:$N$45,13,0)+0,0))</f>
        <v>12</v>
      </c>
      <c r="S275" s="54"/>
      <c r="T275" s="55"/>
      <c r="U275" s="55"/>
      <c r="V275" s="55"/>
      <c r="W275" s="48"/>
      <c r="X275" s="50"/>
      <c r="Y275" s="50"/>
      <c r="Z275" s="48" t="n">
        <f aca="false">IF(A275="","",IF(AND(Parameter!$B$21="Ja",ISNUMBER(W275)),W275,IF(BZ275="2+3",IF(ISNUMBER(SEARCH("grosser Artikel",BR275)),2,IFERROR(VLOOKUP(BU275,Parameter!$F$35:$G$64,2,0),2)),IF(OR(BZ275="Nein",BZ275=""),"-",BZ275))))</f>
        <v>2</v>
      </c>
      <c r="AA275" s="55"/>
      <c r="AB275" s="56"/>
      <c r="AC275" s="50" t="n">
        <f aca="false">AT275</f>
        <v>12</v>
      </c>
      <c r="AD275" s="50" t="n">
        <f aca="false">MAX(AT275,H275)</f>
        <v>12</v>
      </c>
      <c r="AE275" s="57"/>
      <c r="AF275" s="50" t="n">
        <f aca="false">IF(LEFT(Cockpit!$C$5,1)="A",H275,IF(CE275=1,CF275,IF(LEFT(Cockpit!$C$5,1)="B",AK275,MAX(AK275,H275))))</f>
        <v>11</v>
      </c>
      <c r="AG275" s="50" t="n">
        <f aca="false">IF(BW275=1,0,ROUNDUP(AF275/BV275,0))</f>
        <v>1</v>
      </c>
      <c r="AH275" s="52" t="n">
        <f aca="false">IF(CL275&gt;0,CL275*MAX(1,AF275/X275),IF(BW275=1,IF(AF275&lt;=0,0,CA275*MAX(1,IF(H275&gt;0,AF275/H275,1))),IF(R275&gt;0,AG275/R275,0))/MAX(0.1,N(Parameter!$M$21)))</f>
        <v>0.0833333333333333</v>
      </c>
      <c r="AI275" s="50" t="n">
        <f aca="false">AH275*BY275</f>
        <v>12.0833333333333</v>
      </c>
      <c r="AJ275" s="50" t="n">
        <f aca="false">AF275*G275</f>
        <v>815.87</v>
      </c>
      <c r="AK275" s="50" t="n">
        <f aca="false">ROUNDUP(MAX(J275/IF(CD275&gt;0,CD275,MAX(0.1,N(Cockpit!$C$6))),CG275)/BV275,0)*BV275</f>
        <v>12</v>
      </c>
      <c r="AL275" s="51" t="n">
        <f aca="false">IF(AI275&gt;0,J275/AI275,-1)</f>
        <v>0.16551724137931</v>
      </c>
      <c r="AM275" s="51" t="n">
        <f aca="false">IF(AND(OR(CC275="L1",CC275="L23",CC275="LIFT"),AI275&gt;0),SUMIFS($AI$7:$AI$1843,$CC$7:$CC$1843,CC275,$AL$7:$AL$1843,"&gt;"&amp;AL275)+SUMIFS($AI$7:$AI$1843,$CC$7:$CC$1843,CC275,$AL$7:$AL$1843,AL275,$BT$7:$BT$1843,"&lt;="&amp;BT275),"")</f>
        <v>12805.4067977691</v>
      </c>
      <c r="AN275" s="58" t="n">
        <f aca="false">IF(AM275="",0,MAX(0,MIN(1,(IF(CC275="L1",Parameter!$H$5,IF(CC275="L23",Parameter!$H$6+Parameter!$H$7,Parameter!$H$5+Parameter!$H$6+Parameter!$H$7))-(AM275-AI275))/AI275)))</f>
        <v>1</v>
      </c>
      <c r="AO275" s="50" t="n">
        <f aca="false">IF(LEFT(Cockpit!$I$5,1)="A",H275,IF(CE275=1,CF275,IF(LEFT(Cockpit!$I$5,1)="B",AT275,MAX(AT275,H275))))</f>
        <v>12</v>
      </c>
      <c r="AP275" s="50" t="n">
        <f aca="false">IF(BW275=1,0,ROUNDUP(AO275/BV275,0))</f>
        <v>1</v>
      </c>
      <c r="AQ275" s="52" t="n">
        <f aca="false">IF(CL275&gt;0,CL275*MAX(1,AO275/X275),IF(BW275=1,IF(AO275&lt;=0,0,CA275*MAX(1,IF(H275&gt;0,AO275/H275,1))),IF(R275&gt;0,AP275/R275,0))/MAX(0.1,N(Parameter!$M$21)))</f>
        <v>0.0833333333333333</v>
      </c>
      <c r="AR275" s="50" t="n">
        <f aca="false">AQ275*BY275</f>
        <v>12.0833333333333</v>
      </c>
      <c r="AS275" s="50" t="n">
        <f aca="false">AO275*G275</f>
        <v>890.04</v>
      </c>
      <c r="AT275" s="50" t="n">
        <f aca="false">ROUNDUP(MAX(J275/IF(CD275&gt;0,CD275,MAX(0.1,N(Cockpit!$I$6))),CG275)/BV275,0)*BV275</f>
        <v>12</v>
      </c>
      <c r="AU275" s="51" t="n">
        <f aca="false">IF(AR275&gt;0,J275/AR275,-1)</f>
        <v>0.16551724137931</v>
      </c>
      <c r="AV275" s="51" t="n">
        <f aca="false">IF(AND(OR(CC275="L1",CC275="L23",CC275="LIFT"),AR275&gt;0),SUMIFS($AR$7:$AR$1843,$CC$7:$CC$1843,CC275,$AU$7:$AU$1843,"&gt;"&amp;AU275)+SUMIFS($AR$7:$AR$1843,$CC$7:$CC$1843,CC275,$AU$7:$AU$1843,AU275,$BT$7:$BT$1843,"&lt;="&amp;BT275),"")</f>
        <v>19386.4812271062</v>
      </c>
      <c r="AW275" s="58" t="n">
        <f aca="false">IF(AV275="",0,MAX(0,MIN(1,(IF(CC275="L1",Parameter!$H$5,IF(CC275="L23",Parameter!$H$6+Parameter!$H$7,Parameter!$H$5+Parameter!$H$6+Parameter!$H$7))-(AV275-AR275))/AR275)))</f>
        <v>1</v>
      </c>
      <c r="AX275" s="50" t="n">
        <f aca="false">IF(LEFT(Cockpit!$O$5,1)="A",H275,IF(CE275=1,CF275,IF(LEFT(Cockpit!$O$5,1)="B",BC275,MAX(BC275,H275))))</f>
        <v>12</v>
      </c>
      <c r="AY275" s="50" t="n">
        <f aca="false">IF(BW275=1,0,ROUNDUP(AX275/BV275,0))</f>
        <v>1</v>
      </c>
      <c r="AZ275" s="52" t="n">
        <f aca="false">IF(CL275&gt;0,CL275*MAX(1,AX275/X275),IF(BW275=1,IF(AX275&lt;=0,0,CA275*MAX(1,IF(H275&gt;0,AX275/H275,1))),IF(R275&gt;0,AY275/R275,0))/MAX(0.1,N(Parameter!$M$21)))</f>
        <v>0.0833333333333333</v>
      </c>
      <c r="BA275" s="50" t="n">
        <f aca="false">AZ275*BY275</f>
        <v>12.0833333333333</v>
      </c>
      <c r="BB275" s="50" t="n">
        <f aca="false">AX275*G275</f>
        <v>890.04</v>
      </c>
      <c r="BC275" s="50" t="n">
        <f aca="false">ROUNDUP(MAX(J275/IF(CD275&gt;0,CD275,MAX(0.1,N(Cockpit!$O$6))),CG275)/BV275,0)*BV275</f>
        <v>12</v>
      </c>
      <c r="BD275" s="51" t="n">
        <f aca="false">IF(BA275&gt;0,J275/BA275,-1)</f>
        <v>0.16551724137931</v>
      </c>
      <c r="BE275" s="51" t="n">
        <f aca="false">IF(AND(OR(CC275="L1",CC275="L23",CC275="LIFT"),BA275&gt;0),SUMIFS($BA$7:$BA$1843,$CC$7:$CC$1843,CC275,$BD$7:$BD$1843,"&gt;"&amp;BD275)+SUMIFS($BA$7:$BA$1843,$CC$7:$CC$1843,CC275,$BD$7:$BD$1843,BD275,$BT$7:$BT$1843,"&lt;="&amp;BT275),"")</f>
        <v>17412.5549450549</v>
      </c>
      <c r="BF275" s="58" t="n">
        <f aca="false">IF(BE275="",0,MAX(0,MIN(1,(IF(CC275="L1",Parameter!$H$5,IF(CC275="L23",Parameter!$H$6+Parameter!$H$7,Parameter!$H$5+Parameter!$H$6+Parameter!$H$7))-(BE275-BA275))/BA275)))</f>
        <v>1</v>
      </c>
      <c r="BG275" s="48" t="str">
        <f aca="false">IF(AI275&lt;=0,"",IF(CC275="Aussen","Aussenlager",IF(CC275="-","Nicht im Lift",IF(AN275&gt;=1,"Lift",IF(AN275&lt;=0,"Aussenlager","teilweise")))))</f>
        <v>Lift</v>
      </c>
      <c r="BH275" s="48" t="str">
        <f aca="false">IF(AR275&lt;=0,"",IF(CC275="Aussen","Aussenlager",IF(CC275="-","Nicht im Lift",IF(AW275&gt;=1,"Lift",IF(AW275&lt;=0,"Aussenlager","teilweise")))))</f>
        <v>Lift</v>
      </c>
      <c r="BI275" s="48" t="str">
        <f aca="false">IF(BA275&lt;=0,"",IF(CC275="Aussen","Aussenlager",IF(CC275="-","Nicht im Lift",IF(BF275&gt;=1,"Lift",IF(BF275&lt;=0,"Aussenlager","teilweise")))))</f>
        <v>Lift</v>
      </c>
      <c r="BJ275" s="48" t="str">
        <f aca="false">IF(A275="","",IF(BS275=1,"Neu; ","")&amp;IF(AND(BS275=0,BN275&lt;0),"negativer Bestand (Export "&amp;BN275&amp;"); ","")&amp;IF(J275&lt;=0,"Kein Verbrauch; ","")&amp;IF(CL275&gt;0,"Lift "&amp;W275&amp;" lt. Liftbericht (Fach "&amp;X275&amp;" Stk); ",IF(BX275=1,"Gebinde geschätzt ("&amp;T275&amp;"); ",IF(BW275=1,"Lose – Tablare geschätzt; ","")))&amp;IF(H275&gt;AT275,"Überbestand "&amp;ROUND(H275-AT275,0)&amp;" Stk / CHF "&amp;ROUND((H275-AT275)*G275,0)&amp;"; ","")&amp;IF(AND(CE275=1,CF275&lt;CG275),"MAX &lt; MB+LG; ","")&amp;IF(AND(CK275&gt;0,CJ275*10&gt;CK275),"zu hoch für Tablar; ","")&amp;IF(AND(BS275=0,OR(CE275=1,AA275&lt;&gt;"",U275&lt;&gt;"",V275&lt;&gt;"",AB275&lt;&gt;"")),"manuell übersteuert; ","")&amp;IF(AND(BW275=0,R275=0),"Gebinde unbekannt / Stellmass fehlt; ","")&amp;IF(AND(BW275=0,N(V275)&lt;=0,N(Q275)&lt;=0),"Menge pro Gebinde fehlt (Ist = 1 Gebinde); ","")&amp;BR275)</f>
        <v/>
      </c>
      <c r="BK275" s="48"/>
      <c r="BL275" s="48"/>
      <c r="BM275" s="55"/>
      <c r="BN275" s="50" t="n">
        <v>5</v>
      </c>
      <c r="BO275" s="50" t="n">
        <v>6</v>
      </c>
      <c r="BP275" s="49" t="n">
        <v>370.85</v>
      </c>
      <c r="BQ275" s="50" t="n">
        <v>2</v>
      </c>
      <c r="BR275" s="48"/>
      <c r="BS275" s="53" t="n">
        <v>0</v>
      </c>
      <c r="BT275" s="53" t="n">
        <v>275</v>
      </c>
      <c r="BU275" s="48" t="str">
        <f aca="false">IF(U275&lt;&gt;"",UPPER(TRIM(U275)),IF(BX275=1,UPPER(VLOOKUP(T275,Parameter!$I$27:$K$29,2,0)),IF(P275="","LOSE",P275)))</f>
        <v>S61</v>
      </c>
      <c r="BV275" s="50" t="n">
        <f aca="false">IF(BU275="LOSE",1,IF(N(V275)&gt;0,V275,IF(BX275=1,MAX(1,N(VLOOKUP(T275,Parameter!$I$27:$K$29,3,0)),H275,N(N275)),IF(N(Q275)&gt;0,Q275,MAX(1,H275)))))</f>
        <v>12</v>
      </c>
      <c r="BW275" s="53" t="n">
        <f aca="false">IF(BU275="LOSE",1,0)</f>
        <v>0</v>
      </c>
      <c r="BX275" s="53" t="n">
        <f aca="false">IF(AND(U275="",OR(P275="",P275="LOSE"),T275&lt;&gt;"",N(S275)&lt;=0,ISNUMBER(MATCH(T275,Parameter!$I$27:$I$29,0))),1,0)</f>
        <v>0</v>
      </c>
      <c r="BY275" s="53" t="n">
        <f aca="false">IF(CL275&gt;0,INDEX(Parameter!$H$5:$H$7,W275)/INDEX(Parameter!$E$5:$E$7,W275),IF(AND(BW275=0,N(IFERROR(VLOOKUP(BU275,'Gebinde-Kategorie'!$A$5:$N$45,14,0),0))&gt;0),VLOOKUP(BU275,'Gebinde-Kategorie'!$A$5:$N$45,14,0)*10+Parameter!$M$23,Parameter!$M$24))</f>
        <v>145</v>
      </c>
      <c r="BZ275" s="48" t="str">
        <f aca="false">IF(AND(Parameter!$B$19="Ja",E275&lt;&gt;"",ISNUMBER(MATCH(E275,Parameter!$I$35:$I$52,0))),VLOOKUP(E275,Parameter!$I$35:$J$52,2,0),IFERROR(VLOOKUP(D275,Parameter!$A$35:$C$64,2,0),"Nein"))</f>
        <v>2+3</v>
      </c>
      <c r="CA275" s="52" t="n">
        <f aca="false">IF(BW275=0,0,IF(N(S275)&gt;0,S275,IFERROR(VLOOKUP(D275,Parameter!$A$35:$C$64,3,0)+0,0)))</f>
        <v>0</v>
      </c>
      <c r="CB275" s="48" t="n">
        <f aca="false">IF(AA275&lt;&gt;"",AA275,Z275)</f>
        <v>2</v>
      </c>
      <c r="CC275" s="48" t="str">
        <f aca="false">IF(OR(CB275=1,CB275=2,CB275=3),IF(Parameter!$E$27="Ja","LIFT",IF(CB275=1,"L1","L23")),IF(CB275="Aussen","Aussen","-"))</f>
        <v>LIFT</v>
      </c>
      <c r="CD275" s="59" t="n">
        <f aca="false">IF(N(AB275)&gt;0,AB275,0)</f>
        <v>0</v>
      </c>
      <c r="CE275" s="53" t="n">
        <f aca="false">IF(ISNUMBER(AE275),1,0)</f>
        <v>0</v>
      </c>
      <c r="CF275" s="50" t="n">
        <f aca="false">N(AE275)</f>
        <v>0</v>
      </c>
      <c r="CG275" s="50" t="n">
        <f aca="false">N(M275)+N(N275)</f>
        <v>1</v>
      </c>
      <c r="CH275" s="50" t="n">
        <f aca="false">ROUNDUP(H275/BV275,0)</f>
        <v>1</v>
      </c>
      <c r="CI275" s="50" t="n">
        <f aca="false">ROUNDUP(CF275/BV275,0)</f>
        <v>0</v>
      </c>
      <c r="CJ275" s="53" t="n">
        <f aca="false">IF(BW275=1,0,IFERROR(VLOOKUP(BU275,'Gebinde-Kategorie'!$A$5:$N$45,5,0)+0,0))</f>
        <v>11</v>
      </c>
      <c r="CK275" s="53" t="n">
        <f aca="false">IFERROR(IF(OR(CB275=1,CB275=2,CB275=3),N(INDEX(Parameter!$I$5:$I$7,CB275)),0),0)</f>
        <v>0</v>
      </c>
      <c r="CL275" s="52" t="n">
        <f aca="false">IF(AND(Parameter!$B$21="Ja",ISNUMBER(W275),N(X275)&gt;0),IFERROR(N(INDEX(Parameter!$L$5:$L$7,W275))*INDEX(Parameter!$E$5:$E$7,W275)*X275/SUMIFS($X$7:$X$1843,$W$7:$W$1843,W275),0),0)</f>
        <v>0</v>
      </c>
    </row>
    <row r="276" customFormat="false" ht="15" hidden="false" customHeight="false" outlineLevel="0" collapsed="false">
      <c r="A276" s="48" t="s">
        <v>732</v>
      </c>
      <c r="B276" s="48" t="s">
        <v>548</v>
      </c>
      <c r="C276" s="48" t="s">
        <v>168</v>
      </c>
      <c r="D276" s="48" t="s">
        <v>188</v>
      </c>
      <c r="E276" s="48"/>
      <c r="F276" s="48" t="s">
        <v>222</v>
      </c>
      <c r="G276" s="49" t="n">
        <v>24.5</v>
      </c>
      <c r="H276" s="50" t="n">
        <f aca="false">MAX(0,IF(AND(Parameter!$B$21="Ja",ISNUMBER(Y276)),Y276,IF(Parameter!$B$20="Jahresanfang 2025 + Export",BO276+BN276,BN276)))</f>
        <v>15</v>
      </c>
      <c r="I276" s="50" t="n">
        <f aca="false">H276*G276</f>
        <v>367.5</v>
      </c>
      <c r="J276" s="50" t="n">
        <f aca="false">BQ276*Parameter!$B$18</f>
        <v>0</v>
      </c>
      <c r="K276" s="51" t="n">
        <v>0</v>
      </c>
      <c r="L276" s="52" t="n">
        <v>0</v>
      </c>
      <c r="M276" s="50" t="n">
        <v>0</v>
      </c>
      <c r="N276" s="50" t="n">
        <v>15</v>
      </c>
      <c r="O276" s="53" t="n">
        <v>9999</v>
      </c>
      <c r="P276" s="48" t="s">
        <v>172</v>
      </c>
      <c r="Q276" s="50"/>
      <c r="R276" s="53" t="n">
        <f aca="false">IF(BW276=1,0,IFERROR(VLOOKUP(BU276,'Gebinde-Kategorie'!$A$5:$N$45,13,0)+0,0))</f>
        <v>26</v>
      </c>
      <c r="S276" s="54"/>
      <c r="T276" s="55" t="s">
        <v>279</v>
      </c>
      <c r="U276" s="55"/>
      <c r="V276" s="55"/>
      <c r="W276" s="48"/>
      <c r="X276" s="50"/>
      <c r="Y276" s="50"/>
      <c r="Z276" s="48" t="n">
        <f aca="false">IF(A276="","",IF(AND(Parameter!$B$21="Ja",ISNUMBER(W276)),W276,IF(BZ276="2+3",IF(ISNUMBER(SEARCH("grosser Artikel",BR276)),2,IFERROR(VLOOKUP(BU276,Parameter!$F$35:$G$64,2,0),2)),IF(OR(BZ276="Nein",BZ276=""),"-",BZ276))))</f>
        <v>3</v>
      </c>
      <c r="AA276" s="55"/>
      <c r="AB276" s="56"/>
      <c r="AC276" s="50" t="n">
        <f aca="false">AT276</f>
        <v>20</v>
      </c>
      <c r="AD276" s="50" t="n">
        <f aca="false">MAX(AT276,H276)</f>
        <v>20</v>
      </c>
      <c r="AE276" s="57"/>
      <c r="AF276" s="50" t="n">
        <f aca="false">IF(LEFT(Cockpit!$C$5,1)="A",H276,IF(CE276=1,CF276,IF(LEFT(Cockpit!$C$5,1)="B",AK276,MAX(AK276,H276))))</f>
        <v>15</v>
      </c>
      <c r="AG276" s="50" t="n">
        <f aca="false">IF(BW276=1,0,ROUNDUP(AF276/BV276,0))</f>
        <v>1</v>
      </c>
      <c r="AH276" s="52" t="n">
        <f aca="false">IF(CL276&gt;0,CL276*MAX(1,AF276/X276),IF(BW276=1,IF(AF276&lt;=0,0,CA276*MAX(1,IF(H276&gt;0,AF276/H276,1))),IF(R276&gt;0,AG276/R276,0))/MAX(0.1,N(Parameter!$M$21)))</f>
        <v>0.0384615384615385</v>
      </c>
      <c r="AI276" s="50" t="n">
        <f aca="false">AH276*BY276</f>
        <v>5.96153846153846</v>
      </c>
      <c r="AJ276" s="50" t="n">
        <f aca="false">AF276*G276</f>
        <v>367.5</v>
      </c>
      <c r="AK276" s="50" t="n">
        <f aca="false">ROUNDUP(MAX(J276/IF(CD276&gt;0,CD276,MAX(0.1,N(Cockpit!$C$6))),CG276)/BV276,0)*BV276</f>
        <v>20</v>
      </c>
      <c r="AL276" s="51" t="n">
        <f aca="false">IF(AI276&gt;0,J276/AI276,-1)</f>
        <v>0</v>
      </c>
      <c r="AM276" s="51" t="n">
        <f aca="false">IF(AND(OR(CC276="L1",CC276="L23",CC276="LIFT"),AI276&gt;0),SUMIFS($AI$7:$AI$1843,$CC$7:$CC$1843,CC276,$AL$7:$AL$1843,"&gt;"&amp;AL276)+SUMIFS($AI$7:$AI$1843,$CC$7:$CC$1843,CC276,$AL$7:$AL$1843,AL276,$BT$7:$BT$1843,"&lt;="&amp;BT276),"")</f>
        <v>27778.4081351793</v>
      </c>
      <c r="AN276" s="58" t="n">
        <f aca="false">IF(AM276="",0,MAX(0,MIN(1,(IF(CC276="L1",Parameter!$H$5,IF(CC276="L23",Parameter!$H$6+Parameter!$H$7,Parameter!$H$5+Parameter!$H$6+Parameter!$H$7))-(AM276-AI276))/AI276)))</f>
        <v>1</v>
      </c>
      <c r="AO276" s="50" t="n">
        <f aca="false">IF(LEFT(Cockpit!$I$5,1)="A",H276,IF(CE276=1,CF276,IF(LEFT(Cockpit!$I$5,1)="B",AT276,MAX(AT276,H276))))</f>
        <v>20</v>
      </c>
      <c r="AP276" s="50" t="n">
        <f aca="false">IF(BW276=1,0,ROUNDUP(AO276/BV276,0))</f>
        <v>1</v>
      </c>
      <c r="AQ276" s="52" t="n">
        <f aca="false">IF(CL276&gt;0,CL276*MAX(1,AO276/X276),IF(BW276=1,IF(AO276&lt;=0,0,CA276*MAX(1,IF(H276&gt;0,AO276/H276,1))),IF(R276&gt;0,AP276/R276,0))/MAX(0.1,N(Parameter!$M$21)))</f>
        <v>0.0384615384615385</v>
      </c>
      <c r="AR276" s="50" t="n">
        <f aca="false">AQ276*BY276</f>
        <v>5.96153846153846</v>
      </c>
      <c r="AS276" s="50" t="n">
        <f aca="false">AO276*G276</f>
        <v>490</v>
      </c>
      <c r="AT276" s="50" t="n">
        <f aca="false">ROUNDUP(MAX(J276/IF(CD276&gt;0,CD276,MAX(0.1,N(Cockpit!$I$6))),CG276)/BV276,0)*BV276</f>
        <v>20</v>
      </c>
      <c r="AU276" s="51" t="n">
        <f aca="false">IF(AR276&gt;0,J276/AR276,-1)</f>
        <v>0</v>
      </c>
      <c r="AV276" s="51" t="n">
        <f aca="false">IF(AND(OR(CC276="L1",CC276="L23",CC276="LIFT"),AR276&gt;0),SUMIFS($AR$7:$AR$1843,$CC$7:$CC$1843,CC276,$AU$7:$AU$1843,"&gt;"&amp;AU276)+SUMIFS($AR$7:$AR$1843,$CC$7:$CC$1843,CC276,$AU$7:$AU$1843,AU276,$BT$7:$BT$1843,"&lt;="&amp;BT276),"")</f>
        <v>39091.3136524493</v>
      </c>
      <c r="AW276" s="58" t="n">
        <f aca="false">IF(AV276="",0,MAX(0,MIN(1,(IF(CC276="L1",Parameter!$H$5,IF(CC276="L23",Parameter!$H$6+Parameter!$H$7,Parameter!$H$5+Parameter!$H$6+Parameter!$H$7))-(AV276-AR276))/AR276)))</f>
        <v>0</v>
      </c>
      <c r="AX276" s="50" t="n">
        <f aca="false">IF(LEFT(Cockpit!$O$5,1)="A",H276,IF(CE276=1,CF276,IF(LEFT(Cockpit!$O$5,1)="B",BC276,MAX(BC276,H276))))</f>
        <v>20</v>
      </c>
      <c r="AY276" s="50" t="n">
        <f aca="false">IF(BW276=1,0,ROUNDUP(AX276/BV276,0))</f>
        <v>1</v>
      </c>
      <c r="AZ276" s="52" t="n">
        <f aca="false">IF(CL276&gt;0,CL276*MAX(1,AX276/X276),IF(BW276=1,IF(AX276&lt;=0,0,CA276*MAX(1,IF(H276&gt;0,AX276/H276,1))),IF(R276&gt;0,AY276/R276,0))/MAX(0.1,N(Parameter!$M$21)))</f>
        <v>0.0384615384615385</v>
      </c>
      <c r="BA276" s="50" t="n">
        <f aca="false">AZ276*BY276</f>
        <v>5.96153846153846</v>
      </c>
      <c r="BB276" s="50" t="n">
        <f aca="false">AX276*G276</f>
        <v>490</v>
      </c>
      <c r="BC276" s="50" t="n">
        <f aca="false">ROUNDUP(MAX(J276/IF(CD276&gt;0,CD276,MAX(0.1,N(Cockpit!$O$6))),CG276)/BV276,0)*BV276</f>
        <v>20</v>
      </c>
      <c r="BD276" s="51" t="n">
        <f aca="false">IF(BA276&gt;0,J276/BA276,-1)</f>
        <v>0</v>
      </c>
      <c r="BE276" s="51" t="n">
        <f aca="false">IF(AND(OR(CC276="L1",CC276="L23",CC276="LIFT"),BA276&gt;0),SUMIFS($BA$7:$BA$1843,$CC$7:$CC$1843,CC276,$BD$7:$BD$1843,"&gt;"&amp;BD276)+SUMIFS($BA$7:$BA$1843,$CC$7:$CC$1843,CC276,$BD$7:$BD$1843,BD276,$BT$7:$BT$1843,"&lt;="&amp;BT276),"")</f>
        <v>35766.3256943151</v>
      </c>
      <c r="BF276" s="58" t="n">
        <f aca="false">IF(BE276="",0,MAX(0,MIN(1,(IF(CC276="L1",Parameter!$H$5,IF(CC276="L23",Parameter!$H$6+Parameter!$H$7,Parameter!$H$5+Parameter!$H$6+Parameter!$H$7))-(BE276-BA276))/BA276)))</f>
        <v>0</v>
      </c>
      <c r="BG276" s="48" t="str">
        <f aca="false">IF(AI276&lt;=0,"",IF(CC276="Aussen","Aussenlager",IF(CC276="-","Nicht im Lift",IF(AN276&gt;=1,"Lift",IF(AN276&lt;=0,"Aussenlager","teilweise")))))</f>
        <v>Lift</v>
      </c>
      <c r="BH276" s="48" t="str">
        <f aca="false">IF(AR276&lt;=0,"",IF(CC276="Aussen","Aussenlager",IF(CC276="-","Nicht im Lift",IF(AW276&gt;=1,"Lift",IF(AW276&lt;=0,"Aussenlager","teilweise")))))</f>
        <v>Aussenlager</v>
      </c>
      <c r="BI276" s="48" t="str">
        <f aca="false">IF(BA276&lt;=0,"",IF(CC276="Aussen","Aussenlager",IF(CC276="-","Nicht im Lift",IF(BF276&gt;=1,"Lift",IF(BF276&lt;=0,"Aussenlager","teilweise")))))</f>
        <v>Aussenlager</v>
      </c>
      <c r="BJ276" s="48" t="str">
        <f aca="false">IF(A276="","",IF(BS276=1,"Neu; ","")&amp;IF(AND(BS276=0,BN276&lt;0),"negativer Bestand (Export "&amp;BN276&amp;"); ","")&amp;IF(J276&lt;=0,"Kein Verbrauch; ","")&amp;IF(CL276&gt;0,"Lift "&amp;W276&amp;" lt. Liftbericht (Fach "&amp;X276&amp;" Stk); ",IF(BX276=1,"Gebinde geschätzt ("&amp;T276&amp;"); ",IF(BW276=1,"Lose – Tablare geschätzt; ","")))&amp;IF(H276&gt;AT276,"Überbestand "&amp;ROUND(H276-AT276,0)&amp;" Stk / CHF "&amp;ROUND((H276-AT276)*G276,0)&amp;"; ","")&amp;IF(AND(CE276=1,CF276&lt;CG276),"MAX &lt; MB+LG; ","")&amp;IF(AND(CK276&gt;0,CJ276*10&gt;CK276),"zu hoch für Tablar; ","")&amp;IF(AND(BS276=0,OR(CE276=1,AA276&lt;&gt;"",U276&lt;&gt;"",V276&lt;&gt;"",AB276&lt;&gt;"")),"manuell übersteuert; ","")&amp;IF(AND(BW276=0,R276=0),"Gebinde unbekannt / Stellmass fehlt; ","")&amp;IF(AND(BW276=0,N(V276)&lt;=0,N(Q276)&lt;=0),"Menge pro Gebinde fehlt (Ist = 1 Gebinde); ","")&amp;BR276)</f>
        <v>Kein Verbrauch; Gebinde geschätzt (Klein); Menge pro Gebinde fehlt (Ist = 1 Gebinde); </v>
      </c>
      <c r="BK276" s="48"/>
      <c r="BL276" s="48"/>
      <c r="BM276" s="55"/>
      <c r="BN276" s="50" t="n">
        <v>15</v>
      </c>
      <c r="BO276" s="50" t="n">
        <v>0</v>
      </c>
      <c r="BP276" s="49" t="n">
        <v>367.5</v>
      </c>
      <c r="BQ276" s="50" t="n">
        <v>0</v>
      </c>
      <c r="BR276" s="48"/>
      <c r="BS276" s="53" t="n">
        <v>0</v>
      </c>
      <c r="BT276" s="53" t="n">
        <v>276</v>
      </c>
      <c r="BU276" s="48" t="str">
        <f aca="false">IF(U276&lt;&gt;"",UPPER(TRIM(U276)),IF(BX276=1,UPPER(VLOOKUP(T276,Parameter!$I$27:$K$29,2,0)),IF(P276="","LOSE",P276)))</f>
        <v>S51</v>
      </c>
      <c r="BV276" s="50" t="n">
        <f aca="false">IF(BU276="LOSE",1,IF(N(V276)&gt;0,V276,IF(BX276=1,MAX(1,N(VLOOKUP(T276,Parameter!$I$27:$K$29,3,0)),H276,N(N276)),IF(N(Q276)&gt;0,Q276,MAX(1,H276)))))</f>
        <v>20</v>
      </c>
      <c r="BW276" s="53" t="n">
        <f aca="false">IF(BU276="LOSE",1,0)</f>
        <v>0</v>
      </c>
      <c r="BX276" s="53" t="n">
        <f aca="false">IF(AND(U276="",OR(P276="",P276="LOSE"),T276&lt;&gt;"",N(S276)&lt;=0,ISNUMBER(MATCH(T276,Parameter!$I$27:$I$29,0))),1,0)</f>
        <v>1</v>
      </c>
      <c r="BY276" s="53" t="n">
        <f aca="false">IF(CL276&gt;0,INDEX(Parameter!$H$5:$H$7,W276)/INDEX(Parameter!$E$5:$E$7,W276),IF(AND(BW276=0,N(IFERROR(VLOOKUP(BU276,'Gebinde-Kategorie'!$A$5:$N$45,14,0),0))&gt;0),VLOOKUP(BU276,'Gebinde-Kategorie'!$A$5:$N$45,14,0)*10+Parameter!$M$23,Parameter!$M$24))</f>
        <v>155</v>
      </c>
      <c r="BZ276" s="48" t="str">
        <f aca="false">IF(AND(Parameter!$B$19="Ja",E276&lt;&gt;"",ISNUMBER(MATCH(E276,Parameter!$I$35:$I$52,0))),VLOOKUP(E276,Parameter!$I$35:$J$52,2,0),IFERROR(VLOOKUP(D276,Parameter!$A$35:$C$64,2,0),"Nein"))</f>
        <v>2+3</v>
      </c>
      <c r="CA276" s="52" t="n">
        <f aca="false">IF(BW276=0,0,IF(N(S276)&gt;0,S276,IFERROR(VLOOKUP(D276,Parameter!$A$35:$C$64,3,0)+0,0)))</f>
        <v>0</v>
      </c>
      <c r="CB276" s="48" t="n">
        <f aca="false">IF(AA276&lt;&gt;"",AA276,Z276)</f>
        <v>3</v>
      </c>
      <c r="CC276" s="48" t="str">
        <f aca="false">IF(OR(CB276=1,CB276=2,CB276=3),IF(Parameter!$E$27="Ja","LIFT",IF(CB276=1,"L1","L23")),IF(CB276="Aussen","Aussen","-"))</f>
        <v>LIFT</v>
      </c>
      <c r="CD276" s="59" t="n">
        <f aca="false">IF(N(AB276)&gt;0,AB276,0)</f>
        <v>0</v>
      </c>
      <c r="CE276" s="53" t="n">
        <f aca="false">IF(ISNUMBER(AE276),1,0)</f>
        <v>0</v>
      </c>
      <c r="CF276" s="50" t="n">
        <f aca="false">N(AE276)</f>
        <v>0</v>
      </c>
      <c r="CG276" s="50" t="n">
        <f aca="false">N(M276)+N(N276)</f>
        <v>15</v>
      </c>
      <c r="CH276" s="50" t="n">
        <f aca="false">ROUNDUP(H276/BV276,0)</f>
        <v>1</v>
      </c>
      <c r="CI276" s="50" t="n">
        <f aca="false">ROUNDUP(CF276/BV276,0)</f>
        <v>0</v>
      </c>
      <c r="CJ276" s="53" t="n">
        <f aca="false">IF(BW276=1,0,IFERROR(VLOOKUP(BU276,'Gebinde-Kategorie'!$A$5:$N$45,5,0)+0,0))</f>
        <v>11</v>
      </c>
      <c r="CK276" s="53" t="n">
        <f aca="false">IFERROR(IF(OR(CB276=1,CB276=2,CB276=3),N(INDEX(Parameter!$I$5:$I$7,CB276)),0),0)</f>
        <v>0</v>
      </c>
      <c r="CL276" s="52" t="n">
        <f aca="false">IF(AND(Parameter!$B$21="Ja",ISNUMBER(W276),N(X276)&gt;0),IFERROR(N(INDEX(Parameter!$L$5:$L$7,W276))*INDEX(Parameter!$E$5:$E$7,W276)*X276/SUMIFS($X$7:$X$1843,$W$7:$W$1843,W276),0),0)</f>
        <v>0</v>
      </c>
    </row>
    <row r="277" customFormat="false" ht="15" hidden="false" customHeight="false" outlineLevel="0" collapsed="false">
      <c r="A277" s="48" t="s">
        <v>733</v>
      </c>
      <c r="B277" s="48" t="s">
        <v>734</v>
      </c>
      <c r="C277" s="48" t="s">
        <v>168</v>
      </c>
      <c r="D277" s="48" t="s">
        <v>188</v>
      </c>
      <c r="E277" s="48" t="s">
        <v>189</v>
      </c>
      <c r="F277" s="48" t="s">
        <v>222</v>
      </c>
      <c r="G277" s="49" t="n">
        <v>20.67</v>
      </c>
      <c r="H277" s="50" t="n">
        <f aca="false">MAX(0,IF(AND(Parameter!$B$21="Ja",ISNUMBER(Y277)),Y277,IF(Parameter!$B$20="Jahresanfang 2025 + Export",BO277+BN277,BN277)))</f>
        <v>22</v>
      </c>
      <c r="I277" s="50" t="n">
        <f aca="false">H277*G277</f>
        <v>454.74</v>
      </c>
      <c r="J277" s="50" t="n">
        <f aca="false">BQ277*Parameter!$B$18</f>
        <v>4</v>
      </c>
      <c r="K277" s="51" t="n">
        <v>13</v>
      </c>
      <c r="L277" s="52" t="n">
        <v>0.307692307692308</v>
      </c>
      <c r="M277" s="50" t="n">
        <v>0</v>
      </c>
      <c r="N277" s="50" t="n">
        <v>5</v>
      </c>
      <c r="O277" s="53" t="n">
        <v>21</v>
      </c>
      <c r="P277" s="48" t="s">
        <v>425</v>
      </c>
      <c r="Q277" s="50" t="n">
        <v>13</v>
      </c>
      <c r="R277" s="53" t="n">
        <f aca="false">IF(BW277=1,0,IFERROR(VLOOKUP(BU277,'Gebinde-Kategorie'!$A$5:$N$45,13,0)+0,0))</f>
        <v>104</v>
      </c>
      <c r="S277" s="54"/>
      <c r="T277" s="55"/>
      <c r="U277" s="55"/>
      <c r="V277" s="55"/>
      <c r="W277" s="48"/>
      <c r="X277" s="50"/>
      <c r="Y277" s="50"/>
      <c r="Z277" s="48" t="n">
        <f aca="false">IF(A277="","",IF(AND(Parameter!$B$21="Ja",ISNUMBER(W277)),W277,IF(BZ277="2+3",IF(ISNUMBER(SEARCH("grosser Artikel",BR277)),2,IFERROR(VLOOKUP(BU277,Parameter!$F$35:$G$64,2,0),2)),IF(OR(BZ277="Nein",BZ277=""),"-",BZ277))))</f>
        <v>3</v>
      </c>
      <c r="AA277" s="55"/>
      <c r="AB277" s="56"/>
      <c r="AC277" s="50" t="n">
        <f aca="false">AT277</f>
        <v>13</v>
      </c>
      <c r="AD277" s="50" t="n">
        <f aca="false">MAX(AT277,H277)</f>
        <v>22</v>
      </c>
      <c r="AE277" s="57"/>
      <c r="AF277" s="50" t="n">
        <f aca="false">IF(LEFT(Cockpit!$C$5,1)="A",H277,IF(CE277=1,CF277,IF(LEFT(Cockpit!$C$5,1)="B",AK277,MAX(AK277,H277))))</f>
        <v>22</v>
      </c>
      <c r="AG277" s="50" t="n">
        <f aca="false">IF(BW277=1,0,ROUNDUP(AF277/BV277,0))</f>
        <v>2</v>
      </c>
      <c r="AH277" s="52" t="n">
        <f aca="false">IF(CL277&gt;0,CL277*MAX(1,AF277/X277),IF(BW277=1,IF(AF277&lt;=0,0,CA277*MAX(1,IF(H277&gt;0,AF277/H277,1))),IF(R277&gt;0,AG277/R277,0))/MAX(0.1,N(Parameter!$M$21)))</f>
        <v>0.0192307692307692</v>
      </c>
      <c r="AI277" s="50" t="n">
        <f aca="false">AH277*BY277</f>
        <v>2.98076923076923</v>
      </c>
      <c r="AJ277" s="50" t="n">
        <f aca="false">AF277*G277</f>
        <v>454.74</v>
      </c>
      <c r="AK277" s="50" t="n">
        <f aca="false">ROUNDUP(MAX(J277/IF(CD277&gt;0,CD277,MAX(0.1,N(Cockpit!$C$6))),CG277)/BV277,0)*BV277</f>
        <v>13</v>
      </c>
      <c r="AL277" s="51" t="n">
        <f aca="false">IF(AI277&gt;0,J277/AI277,-1)</f>
        <v>1.34193548387097</v>
      </c>
      <c r="AM277" s="51" t="n">
        <f aca="false">IF(AND(OR(CC277="L1",CC277="L23",CC277="LIFT"),AI277&gt;0),SUMIFS($AI$7:$AI$1843,$CC$7:$CC$1843,CC277,$AL$7:$AL$1843,"&gt;"&amp;AL277)+SUMIFS($AI$7:$AI$1843,$CC$7:$CC$1843,CC277,$AL$7:$AL$1843,AL277,$BT$7:$BT$1843,"&lt;="&amp;BT277),"")</f>
        <v>6328.16712454213</v>
      </c>
      <c r="AN277" s="58" t="n">
        <f aca="false">IF(AM277="",0,MAX(0,MIN(1,(IF(CC277="L1",Parameter!$H$5,IF(CC277="L23",Parameter!$H$6+Parameter!$H$7,Parameter!$H$5+Parameter!$H$6+Parameter!$H$7))-(AM277-AI277))/AI277)))</f>
        <v>1</v>
      </c>
      <c r="AO277" s="50" t="n">
        <f aca="false">IF(LEFT(Cockpit!$I$5,1)="A",H277,IF(CE277=1,CF277,IF(LEFT(Cockpit!$I$5,1)="B",AT277,MAX(AT277,H277))))</f>
        <v>22</v>
      </c>
      <c r="AP277" s="50" t="n">
        <f aca="false">IF(BW277=1,0,ROUNDUP(AO277/BV277,0))</f>
        <v>2</v>
      </c>
      <c r="AQ277" s="52" t="n">
        <f aca="false">IF(CL277&gt;0,CL277*MAX(1,AO277/X277),IF(BW277=1,IF(AO277&lt;=0,0,CA277*MAX(1,IF(H277&gt;0,AO277/H277,1))),IF(R277&gt;0,AP277/R277,0))/MAX(0.1,N(Parameter!$M$21)))</f>
        <v>0.0192307692307692</v>
      </c>
      <c r="AR277" s="50" t="n">
        <f aca="false">AQ277*BY277</f>
        <v>2.98076923076923</v>
      </c>
      <c r="AS277" s="50" t="n">
        <f aca="false">AO277*G277</f>
        <v>454.74</v>
      </c>
      <c r="AT277" s="50" t="n">
        <f aca="false">ROUNDUP(MAX(J277/IF(CD277&gt;0,CD277,MAX(0.1,N(Cockpit!$I$6))),CG277)/BV277,0)*BV277</f>
        <v>13</v>
      </c>
      <c r="AU277" s="51" t="n">
        <f aca="false">IF(AR277&gt;0,J277/AR277,-1)</f>
        <v>1.34193548387097</v>
      </c>
      <c r="AV277" s="51" t="n">
        <f aca="false">IF(AND(OR(CC277="L1",CC277="L23",CC277="LIFT"),AR277&gt;0),SUMIFS($AR$7:$AR$1843,$CC$7:$CC$1843,CC277,$AU$7:$AU$1843,"&gt;"&amp;AU277)+SUMIFS($AR$7:$AR$1843,$CC$7:$CC$1843,CC277,$AU$7:$AU$1843,AU277,$BT$7:$BT$1843,"&lt;="&amp;BT277),"")</f>
        <v>9386.73168498169</v>
      </c>
      <c r="AW277" s="58" t="n">
        <f aca="false">IF(AV277="",0,MAX(0,MIN(1,(IF(CC277="L1",Parameter!$H$5,IF(CC277="L23",Parameter!$H$6+Parameter!$H$7,Parameter!$H$5+Parameter!$H$6+Parameter!$H$7))-(AV277-AR277))/AR277)))</f>
        <v>1</v>
      </c>
      <c r="AX277" s="50" t="n">
        <f aca="false">IF(LEFT(Cockpit!$O$5,1)="A",H277,IF(CE277=1,CF277,IF(LEFT(Cockpit!$O$5,1)="B",BC277,MAX(BC277,H277))))</f>
        <v>22</v>
      </c>
      <c r="AY277" s="50" t="n">
        <f aca="false">IF(BW277=1,0,ROUNDUP(AX277/BV277,0))</f>
        <v>2</v>
      </c>
      <c r="AZ277" s="52" t="n">
        <f aca="false">IF(CL277&gt;0,CL277*MAX(1,AX277/X277),IF(BW277=1,IF(AX277&lt;=0,0,CA277*MAX(1,IF(H277&gt;0,AX277/H277,1))),IF(R277&gt;0,AY277/R277,0))/MAX(0.1,N(Parameter!$M$21)))</f>
        <v>0.0192307692307692</v>
      </c>
      <c r="BA277" s="50" t="n">
        <f aca="false">AZ277*BY277</f>
        <v>2.98076923076923</v>
      </c>
      <c r="BB277" s="50" t="n">
        <f aca="false">AX277*G277</f>
        <v>454.74</v>
      </c>
      <c r="BC277" s="50" t="n">
        <f aca="false">ROUNDUP(MAX(J277/IF(CD277&gt;0,CD277,MAX(0.1,N(Cockpit!$O$6))),CG277)/BV277,0)*BV277</f>
        <v>13</v>
      </c>
      <c r="BD277" s="51" t="n">
        <f aca="false">IF(BA277&gt;0,J277/BA277,-1)</f>
        <v>1.34193548387097</v>
      </c>
      <c r="BE277" s="51" t="n">
        <f aca="false">IF(AND(OR(CC277="L1",CC277="L23",CC277="LIFT"),BA277&gt;0),SUMIFS($BA$7:$BA$1843,$CC$7:$CC$1843,CC277,$BD$7:$BD$1843,"&gt;"&amp;BD277)+SUMIFS($BA$7:$BA$1843,$CC$7:$CC$1843,CC277,$BD$7:$BD$1843,BD277,$BT$7:$BT$1843,"&lt;="&amp;BT277),"")</f>
        <v>8572.38873626374</v>
      </c>
      <c r="BF277" s="58" t="n">
        <f aca="false">IF(BE277="",0,MAX(0,MIN(1,(IF(CC277="L1",Parameter!$H$5,IF(CC277="L23",Parameter!$H$6+Parameter!$H$7,Parameter!$H$5+Parameter!$H$6+Parameter!$H$7))-(BE277-BA277))/BA277)))</f>
        <v>1</v>
      </c>
      <c r="BG277" s="48" t="str">
        <f aca="false">IF(AI277&lt;=0,"",IF(CC277="Aussen","Aussenlager",IF(CC277="-","Nicht im Lift",IF(AN277&gt;=1,"Lift",IF(AN277&lt;=0,"Aussenlager","teilweise")))))</f>
        <v>Lift</v>
      </c>
      <c r="BH277" s="48" t="str">
        <f aca="false">IF(AR277&lt;=0,"",IF(CC277="Aussen","Aussenlager",IF(CC277="-","Nicht im Lift",IF(AW277&gt;=1,"Lift",IF(AW277&lt;=0,"Aussenlager","teilweise")))))</f>
        <v>Lift</v>
      </c>
      <c r="BI277" s="48" t="str">
        <f aca="false">IF(BA277&lt;=0,"",IF(CC277="Aussen","Aussenlager",IF(CC277="-","Nicht im Lift",IF(BF277&gt;=1,"Lift",IF(BF277&lt;=0,"Aussenlager","teilweise")))))</f>
        <v>Lift</v>
      </c>
      <c r="BJ277" s="48" t="str">
        <f aca="false">IF(A277="","",IF(BS277=1,"Neu; ","")&amp;IF(AND(BS277=0,BN277&lt;0),"negativer Bestand (Export "&amp;BN277&amp;"); ","")&amp;IF(J277&lt;=0,"Kein Verbrauch; ","")&amp;IF(CL277&gt;0,"Lift "&amp;W277&amp;" lt. Liftbericht (Fach "&amp;X277&amp;" Stk); ",IF(BX277=1,"Gebinde geschätzt ("&amp;T277&amp;"); ",IF(BW277=1,"Lose – Tablare geschätzt; ","")))&amp;IF(H277&gt;AT277,"Überbestand "&amp;ROUND(H277-AT277,0)&amp;" Stk / CHF "&amp;ROUND((H277-AT277)*G277,0)&amp;"; ","")&amp;IF(AND(CE277=1,CF277&lt;CG277),"MAX &lt; MB+LG; ","")&amp;IF(AND(CK277&gt;0,CJ277*10&gt;CK277),"zu hoch für Tablar; ","")&amp;IF(AND(BS277=0,OR(CE277=1,AA277&lt;&gt;"",U277&lt;&gt;"",V277&lt;&gt;"",AB277&lt;&gt;"")),"manuell übersteuert; ","")&amp;IF(AND(BW277=0,R277=0),"Gebinde unbekannt / Stellmass fehlt; ","")&amp;IF(AND(BW277=0,N(V277)&lt;=0,N(Q277)&lt;=0),"Menge pro Gebinde fehlt (Ist = 1 Gebinde); ","")&amp;BR277)</f>
        <v>Überbestand 9 Stk / CHF 186; </v>
      </c>
      <c r="BK277" s="48"/>
      <c r="BL277" s="48"/>
      <c r="BM277" s="55"/>
      <c r="BN277" s="50" t="n">
        <v>17</v>
      </c>
      <c r="BO277" s="50" t="n">
        <v>5</v>
      </c>
      <c r="BP277" s="49" t="n">
        <v>364.74</v>
      </c>
      <c r="BQ277" s="50" t="n">
        <v>4</v>
      </c>
      <c r="BR277" s="48"/>
      <c r="BS277" s="53" t="n">
        <v>0</v>
      </c>
      <c r="BT277" s="53" t="n">
        <v>277</v>
      </c>
      <c r="BU277" s="48" t="str">
        <f aca="false">IF(U277&lt;&gt;"",UPPER(TRIM(U277)),IF(BX277=1,UPPER(VLOOKUP(T277,Parameter!$I$27:$K$29,2,0)),IF(P277="","LOSE",P277)))</f>
        <v>S32</v>
      </c>
      <c r="BV277" s="50" t="n">
        <f aca="false">IF(BU277="LOSE",1,IF(N(V277)&gt;0,V277,IF(BX277=1,MAX(1,N(VLOOKUP(T277,Parameter!$I$27:$K$29,3,0)),H277,N(N277)),IF(N(Q277)&gt;0,Q277,MAX(1,H277)))))</f>
        <v>13</v>
      </c>
      <c r="BW277" s="53" t="n">
        <f aca="false">IF(BU277="LOSE",1,0)</f>
        <v>0</v>
      </c>
      <c r="BX277" s="53" t="n">
        <f aca="false">IF(AND(U277="",OR(P277="",P277="LOSE"),T277&lt;&gt;"",N(S277)&lt;=0,ISNUMBER(MATCH(T277,Parameter!$I$27:$I$29,0))),1,0)</f>
        <v>0</v>
      </c>
      <c r="BY277" s="53" t="n">
        <f aca="false">IF(CL277&gt;0,INDEX(Parameter!$H$5:$H$7,W277)/INDEX(Parameter!$E$5:$E$7,W277),IF(AND(BW277=0,N(IFERROR(VLOOKUP(BU277,'Gebinde-Kategorie'!$A$5:$N$45,14,0),0))&gt;0),VLOOKUP(BU277,'Gebinde-Kategorie'!$A$5:$N$45,14,0)*10+Parameter!$M$23,Parameter!$M$24))</f>
        <v>155</v>
      </c>
      <c r="BZ277" s="48" t="str">
        <f aca="false">IF(AND(Parameter!$B$19="Ja",E277&lt;&gt;"",ISNUMBER(MATCH(E277,Parameter!$I$35:$I$52,0))),VLOOKUP(E277,Parameter!$I$35:$J$52,2,0),IFERROR(VLOOKUP(D277,Parameter!$A$35:$C$64,2,0),"Nein"))</f>
        <v>2+3</v>
      </c>
      <c r="CA277" s="52" t="n">
        <f aca="false">IF(BW277=0,0,IF(N(S277)&gt;0,S277,IFERROR(VLOOKUP(D277,Parameter!$A$35:$C$64,3,0)+0,0)))</f>
        <v>0</v>
      </c>
      <c r="CB277" s="48" t="n">
        <f aca="false">IF(AA277&lt;&gt;"",AA277,Z277)</f>
        <v>3</v>
      </c>
      <c r="CC277" s="48" t="str">
        <f aca="false">IF(OR(CB277=1,CB277=2,CB277=3),IF(Parameter!$E$27="Ja","LIFT",IF(CB277=1,"L1","L23")),IF(CB277="Aussen","Aussen","-"))</f>
        <v>LIFT</v>
      </c>
      <c r="CD277" s="59" t="n">
        <f aca="false">IF(N(AB277)&gt;0,AB277,0)</f>
        <v>0</v>
      </c>
      <c r="CE277" s="53" t="n">
        <f aca="false">IF(ISNUMBER(AE277),1,0)</f>
        <v>0</v>
      </c>
      <c r="CF277" s="50" t="n">
        <f aca="false">N(AE277)</f>
        <v>0</v>
      </c>
      <c r="CG277" s="50" t="n">
        <f aca="false">N(M277)+N(N277)</f>
        <v>5</v>
      </c>
      <c r="CH277" s="50" t="n">
        <f aca="false">ROUNDUP(H277/BV277,0)</f>
        <v>2</v>
      </c>
      <c r="CI277" s="50" t="n">
        <f aca="false">ROUNDUP(CF277/BV277,0)</f>
        <v>0</v>
      </c>
      <c r="CJ277" s="53" t="n">
        <f aca="false">IF(BW277=1,0,IFERROR(VLOOKUP(BU277,'Gebinde-Kategorie'!$A$5:$N$45,5,0)+0,0))</f>
        <v>8</v>
      </c>
      <c r="CK277" s="53" t="n">
        <f aca="false">IFERROR(IF(OR(CB277=1,CB277=2,CB277=3),N(INDEX(Parameter!$I$5:$I$7,CB277)),0),0)</f>
        <v>0</v>
      </c>
      <c r="CL277" s="52" t="n">
        <f aca="false">IF(AND(Parameter!$B$21="Ja",ISNUMBER(W277),N(X277)&gt;0),IFERROR(N(INDEX(Parameter!$L$5:$L$7,W277))*INDEX(Parameter!$E$5:$E$7,W277)*X277/SUMIFS($X$7:$X$1843,$W$7:$W$1843,W277),0),0)</f>
        <v>0</v>
      </c>
    </row>
    <row r="278" customFormat="false" ht="15" hidden="false" customHeight="false" outlineLevel="0" collapsed="false">
      <c r="A278" s="48" t="s">
        <v>735</v>
      </c>
      <c r="B278" s="48" t="s">
        <v>736</v>
      </c>
      <c r="C278" s="48" t="s">
        <v>168</v>
      </c>
      <c r="D278" s="48" t="s">
        <v>188</v>
      </c>
      <c r="E278" s="48"/>
      <c r="F278" s="48" t="s">
        <v>222</v>
      </c>
      <c r="G278" s="49" t="n">
        <v>364</v>
      </c>
      <c r="H278" s="50" t="n">
        <f aca="false">MAX(0,IF(AND(Parameter!$B$21="Ja",ISNUMBER(Y278)),Y278,IF(Parameter!$B$20="Jahresanfang 2025 + Export",BO278+BN278,BN278)))</f>
        <v>1</v>
      </c>
      <c r="I278" s="50" t="n">
        <f aca="false">H278*G278</f>
        <v>364</v>
      </c>
      <c r="J278" s="50" t="n">
        <f aca="false">BQ278*Parameter!$B$18</f>
        <v>0</v>
      </c>
      <c r="K278" s="51" t="n">
        <v>0.5</v>
      </c>
      <c r="L278" s="52" t="n">
        <v>0</v>
      </c>
      <c r="M278" s="50" t="n">
        <v>0</v>
      </c>
      <c r="N278" s="50" t="n">
        <v>1</v>
      </c>
      <c r="O278" s="53" t="n">
        <v>110</v>
      </c>
      <c r="P278" s="48" t="s">
        <v>430</v>
      </c>
      <c r="Q278" s="50" t="n">
        <v>5</v>
      </c>
      <c r="R278" s="53" t="n">
        <f aca="false">IF(BW278=1,0,IFERROR(VLOOKUP(BU278,'Gebinde-Kategorie'!$A$5:$N$45,13,0)+0,0))</f>
        <v>140</v>
      </c>
      <c r="S278" s="54"/>
      <c r="T278" s="55"/>
      <c r="U278" s="55"/>
      <c r="V278" s="55"/>
      <c r="W278" s="48"/>
      <c r="X278" s="50"/>
      <c r="Y278" s="50"/>
      <c r="Z278" s="48" t="n">
        <f aca="false">IF(A278="","",IF(AND(Parameter!$B$21="Ja",ISNUMBER(W278)),W278,IF(BZ278="2+3",IF(ISNUMBER(SEARCH("grosser Artikel",BR278)),2,IFERROR(VLOOKUP(BU278,Parameter!$F$35:$G$64,2,0),2)),IF(OR(BZ278="Nein",BZ278=""),"-",BZ278))))</f>
        <v>3</v>
      </c>
      <c r="AA278" s="55"/>
      <c r="AB278" s="56"/>
      <c r="AC278" s="50" t="n">
        <f aca="false">AT278</f>
        <v>5</v>
      </c>
      <c r="AD278" s="50" t="n">
        <f aca="false">MAX(AT278,H278)</f>
        <v>5</v>
      </c>
      <c r="AE278" s="57"/>
      <c r="AF278" s="50" t="n">
        <f aca="false">IF(LEFT(Cockpit!$C$5,1)="A",H278,IF(CE278=1,CF278,IF(LEFT(Cockpit!$C$5,1)="B",AK278,MAX(AK278,H278))))</f>
        <v>1</v>
      </c>
      <c r="AG278" s="50" t="n">
        <f aca="false">IF(BW278=1,0,ROUNDUP(AF278/BV278,0))</f>
        <v>1</v>
      </c>
      <c r="AH278" s="52" t="n">
        <f aca="false">IF(CL278&gt;0,CL278*MAX(1,AF278/X278),IF(BW278=1,IF(AF278&lt;=0,0,CA278*MAX(1,IF(H278&gt;0,AF278/H278,1))),IF(R278&gt;0,AG278/R278,0))/MAX(0.1,N(Parameter!$M$21)))</f>
        <v>0.00714285714285714</v>
      </c>
      <c r="AI278" s="50" t="n">
        <f aca="false">AH278*BY278</f>
        <v>1.10714285714286</v>
      </c>
      <c r="AJ278" s="50" t="n">
        <f aca="false">AF278*G278</f>
        <v>364</v>
      </c>
      <c r="AK278" s="50" t="n">
        <f aca="false">ROUNDUP(MAX(J278/IF(CD278&gt;0,CD278,MAX(0.1,N(Cockpit!$C$6))),CG278)/BV278,0)*BV278</f>
        <v>5</v>
      </c>
      <c r="AL278" s="51" t="n">
        <f aca="false">IF(AI278&gt;0,J278/AI278,-1)</f>
        <v>0</v>
      </c>
      <c r="AM278" s="51" t="n">
        <f aca="false">IF(AND(OR(CC278="L1",CC278="L23",CC278="LIFT"),AI278&gt;0),SUMIFS($AI$7:$AI$1843,$CC$7:$CC$1843,CC278,$AL$7:$AL$1843,"&gt;"&amp;AL278)+SUMIFS($AI$7:$AI$1843,$CC$7:$CC$1843,CC278,$AL$7:$AL$1843,AL278,$BT$7:$BT$1843,"&lt;="&amp;BT278),"")</f>
        <v>27779.5152780365</v>
      </c>
      <c r="AN278" s="58" t="n">
        <f aca="false">IF(AM278="",0,MAX(0,MIN(1,(IF(CC278="L1",Parameter!$H$5,IF(CC278="L23",Parameter!$H$6+Parameter!$H$7,Parameter!$H$5+Parameter!$H$6+Parameter!$H$7))-(AM278-AI278))/AI278)))</f>
        <v>1</v>
      </c>
      <c r="AO278" s="50" t="n">
        <f aca="false">IF(LEFT(Cockpit!$I$5,1)="A",H278,IF(CE278=1,CF278,IF(LEFT(Cockpit!$I$5,1)="B",AT278,MAX(AT278,H278))))</f>
        <v>5</v>
      </c>
      <c r="AP278" s="50" t="n">
        <f aca="false">IF(BW278=1,0,ROUNDUP(AO278/BV278,0))</f>
        <v>1</v>
      </c>
      <c r="AQ278" s="52" t="n">
        <f aca="false">IF(CL278&gt;0,CL278*MAX(1,AO278/X278),IF(BW278=1,IF(AO278&lt;=0,0,CA278*MAX(1,IF(H278&gt;0,AO278/H278,1))),IF(R278&gt;0,AP278/R278,0))/MAX(0.1,N(Parameter!$M$21)))</f>
        <v>0.00714285714285714</v>
      </c>
      <c r="AR278" s="50" t="n">
        <f aca="false">AQ278*BY278</f>
        <v>1.10714285714286</v>
      </c>
      <c r="AS278" s="50" t="n">
        <f aca="false">AO278*G278</f>
        <v>1820</v>
      </c>
      <c r="AT278" s="50" t="n">
        <f aca="false">ROUNDUP(MAX(J278/IF(CD278&gt;0,CD278,MAX(0.1,N(Cockpit!$I$6))),CG278)/BV278,0)*BV278</f>
        <v>5</v>
      </c>
      <c r="AU278" s="51" t="n">
        <f aca="false">IF(AR278&gt;0,J278/AR278,-1)</f>
        <v>0</v>
      </c>
      <c r="AV278" s="51" t="n">
        <f aca="false">IF(AND(OR(CC278="L1",CC278="L23",CC278="LIFT"),AR278&gt;0),SUMIFS($AR$7:$AR$1843,$CC$7:$CC$1843,CC278,$AU$7:$AU$1843,"&gt;"&amp;AU278)+SUMIFS($AR$7:$AR$1843,$CC$7:$CC$1843,CC278,$AU$7:$AU$1843,AU278,$BT$7:$BT$1843,"&lt;="&amp;BT278),"")</f>
        <v>39092.4207953064</v>
      </c>
      <c r="AW278" s="58" t="n">
        <f aca="false">IF(AV278="",0,MAX(0,MIN(1,(IF(CC278="L1",Parameter!$H$5,IF(CC278="L23",Parameter!$H$6+Parameter!$H$7,Parameter!$H$5+Parameter!$H$6+Parameter!$H$7))-(AV278-AR278))/AR278)))</f>
        <v>0</v>
      </c>
      <c r="AX278" s="50" t="n">
        <f aca="false">IF(LEFT(Cockpit!$O$5,1)="A",H278,IF(CE278=1,CF278,IF(LEFT(Cockpit!$O$5,1)="B",BC278,MAX(BC278,H278))))</f>
        <v>5</v>
      </c>
      <c r="AY278" s="50" t="n">
        <f aca="false">IF(BW278=1,0,ROUNDUP(AX278/BV278,0))</f>
        <v>1</v>
      </c>
      <c r="AZ278" s="52" t="n">
        <f aca="false">IF(CL278&gt;0,CL278*MAX(1,AX278/X278),IF(BW278=1,IF(AX278&lt;=0,0,CA278*MAX(1,IF(H278&gt;0,AX278/H278,1))),IF(R278&gt;0,AY278/R278,0))/MAX(0.1,N(Parameter!$M$21)))</f>
        <v>0.00714285714285714</v>
      </c>
      <c r="BA278" s="50" t="n">
        <f aca="false">AZ278*BY278</f>
        <v>1.10714285714286</v>
      </c>
      <c r="BB278" s="50" t="n">
        <f aca="false">AX278*G278</f>
        <v>1820</v>
      </c>
      <c r="BC278" s="50" t="n">
        <f aca="false">ROUNDUP(MAX(J278/IF(CD278&gt;0,CD278,MAX(0.1,N(Cockpit!$O$6))),CG278)/BV278,0)*BV278</f>
        <v>5</v>
      </c>
      <c r="BD278" s="51" t="n">
        <f aca="false">IF(BA278&gt;0,J278/BA278,-1)</f>
        <v>0</v>
      </c>
      <c r="BE278" s="51" t="n">
        <f aca="false">IF(AND(OR(CC278="L1",CC278="L23",CC278="LIFT"),BA278&gt;0),SUMIFS($BA$7:$BA$1843,$CC$7:$CC$1843,CC278,$BD$7:$BD$1843,"&gt;"&amp;BD278)+SUMIFS($BA$7:$BA$1843,$CC$7:$CC$1843,CC278,$BD$7:$BD$1843,BD278,$BT$7:$BT$1843,"&lt;="&amp;BT278),"")</f>
        <v>35767.4328371722</v>
      </c>
      <c r="BF278" s="58" t="n">
        <f aca="false">IF(BE278="",0,MAX(0,MIN(1,(IF(CC278="L1",Parameter!$H$5,IF(CC278="L23",Parameter!$H$6+Parameter!$H$7,Parameter!$H$5+Parameter!$H$6+Parameter!$H$7))-(BE278-BA278))/BA278)))</f>
        <v>0</v>
      </c>
      <c r="BG278" s="48" t="str">
        <f aca="false">IF(AI278&lt;=0,"",IF(CC278="Aussen","Aussenlager",IF(CC278="-","Nicht im Lift",IF(AN278&gt;=1,"Lift",IF(AN278&lt;=0,"Aussenlager","teilweise")))))</f>
        <v>Lift</v>
      </c>
      <c r="BH278" s="48" t="str">
        <f aca="false">IF(AR278&lt;=0,"",IF(CC278="Aussen","Aussenlager",IF(CC278="-","Nicht im Lift",IF(AW278&gt;=1,"Lift",IF(AW278&lt;=0,"Aussenlager","teilweise")))))</f>
        <v>Aussenlager</v>
      </c>
      <c r="BI278" s="48" t="str">
        <f aca="false">IF(BA278&lt;=0,"",IF(CC278="Aussen","Aussenlager",IF(CC278="-","Nicht im Lift",IF(BF278&gt;=1,"Lift",IF(BF278&lt;=0,"Aussenlager","teilweise")))))</f>
        <v>Aussenlager</v>
      </c>
      <c r="BJ278" s="48" t="str">
        <f aca="false">IF(A278="","",IF(BS278=1,"Neu; ","")&amp;IF(AND(BS278=0,BN278&lt;0),"negativer Bestand (Export "&amp;BN278&amp;"); ","")&amp;IF(J278&lt;=0,"Kein Verbrauch; ","")&amp;IF(CL278&gt;0,"Lift "&amp;W278&amp;" lt. Liftbericht (Fach "&amp;X278&amp;" Stk); ",IF(BX278=1,"Gebinde geschätzt ("&amp;T278&amp;"); ",IF(BW278=1,"Lose – Tablare geschätzt; ","")))&amp;IF(H278&gt;AT278,"Überbestand "&amp;ROUND(H278-AT278,0)&amp;" Stk / CHF "&amp;ROUND((H278-AT278)*G278,0)&amp;"; ","")&amp;IF(AND(CE278=1,CF278&lt;CG278),"MAX &lt; MB+LG; ","")&amp;IF(AND(CK278&gt;0,CJ278*10&gt;CK278),"zu hoch für Tablar; ","")&amp;IF(AND(BS278=0,OR(CE278=1,AA278&lt;&gt;"",U278&lt;&gt;"",V278&lt;&gt;"",AB278&lt;&gt;"")),"manuell übersteuert; ","")&amp;IF(AND(BW278=0,R278=0),"Gebinde unbekannt / Stellmass fehlt; ","")&amp;IF(AND(BW278=0,N(V278)&lt;=0,N(Q278)&lt;=0),"Menge pro Gebinde fehlt (Ist = 1 Gebinde); ","")&amp;BR278)</f>
        <v>Kein Verbrauch; </v>
      </c>
      <c r="BK278" s="48"/>
      <c r="BL278" s="48"/>
      <c r="BM278" s="55"/>
      <c r="BN278" s="50" t="n">
        <v>1</v>
      </c>
      <c r="BO278" s="50" t="n">
        <v>0</v>
      </c>
      <c r="BP278" s="49" t="n">
        <v>364</v>
      </c>
      <c r="BQ278" s="50" t="n">
        <v>0</v>
      </c>
      <c r="BR278" s="48"/>
      <c r="BS278" s="53" t="n">
        <v>0</v>
      </c>
      <c r="BT278" s="53" t="n">
        <v>278</v>
      </c>
      <c r="BU278" s="48" t="str">
        <f aca="false">IF(U278&lt;&gt;"",UPPER(TRIM(U278)),IF(BX278=1,UPPER(VLOOKUP(T278,Parameter!$I$27:$K$29,2,0)),IF(P278="","LOSE",P278)))</f>
        <v>S22</v>
      </c>
      <c r="BV278" s="50" t="n">
        <f aca="false">IF(BU278="LOSE",1,IF(N(V278)&gt;0,V278,IF(BX278=1,MAX(1,N(VLOOKUP(T278,Parameter!$I$27:$K$29,3,0)),H278,N(N278)),IF(N(Q278)&gt;0,Q278,MAX(1,H278)))))</f>
        <v>5</v>
      </c>
      <c r="BW278" s="53" t="n">
        <f aca="false">IF(BU278="LOSE",1,0)</f>
        <v>0</v>
      </c>
      <c r="BX278" s="53" t="n">
        <f aca="false">IF(AND(U278="",OR(P278="",P278="LOSE"),T278&lt;&gt;"",N(S278)&lt;=0,ISNUMBER(MATCH(T278,Parameter!$I$27:$I$29,0))),1,0)</f>
        <v>0</v>
      </c>
      <c r="BY278" s="53" t="n">
        <f aca="false">IF(CL278&gt;0,INDEX(Parameter!$H$5:$H$7,W278)/INDEX(Parameter!$E$5:$E$7,W278),IF(AND(BW278=0,N(IFERROR(VLOOKUP(BU278,'Gebinde-Kategorie'!$A$5:$N$45,14,0),0))&gt;0),VLOOKUP(BU278,'Gebinde-Kategorie'!$A$5:$N$45,14,0)*10+Parameter!$M$23,Parameter!$M$24))</f>
        <v>155</v>
      </c>
      <c r="BZ278" s="48" t="str">
        <f aca="false">IF(AND(Parameter!$B$19="Ja",E278&lt;&gt;"",ISNUMBER(MATCH(E278,Parameter!$I$35:$I$52,0))),VLOOKUP(E278,Parameter!$I$35:$J$52,2,0),IFERROR(VLOOKUP(D278,Parameter!$A$35:$C$64,2,0),"Nein"))</f>
        <v>2+3</v>
      </c>
      <c r="CA278" s="52" t="n">
        <f aca="false">IF(BW278=0,0,IF(N(S278)&gt;0,S278,IFERROR(VLOOKUP(D278,Parameter!$A$35:$C$64,3,0)+0,0)))</f>
        <v>0</v>
      </c>
      <c r="CB278" s="48" t="n">
        <f aca="false">IF(AA278&lt;&gt;"",AA278,Z278)</f>
        <v>3</v>
      </c>
      <c r="CC278" s="48" t="str">
        <f aca="false">IF(OR(CB278=1,CB278=2,CB278=3),IF(Parameter!$E$27="Ja","LIFT",IF(CB278=1,"L1","L23")),IF(CB278="Aussen","Aussen","-"))</f>
        <v>LIFT</v>
      </c>
      <c r="CD278" s="59" t="n">
        <f aca="false">IF(N(AB278)&gt;0,AB278,0)</f>
        <v>0</v>
      </c>
      <c r="CE278" s="53" t="n">
        <f aca="false">IF(ISNUMBER(AE278),1,0)</f>
        <v>0</v>
      </c>
      <c r="CF278" s="50" t="n">
        <f aca="false">N(AE278)</f>
        <v>0</v>
      </c>
      <c r="CG278" s="50" t="n">
        <f aca="false">N(M278)+N(N278)</f>
        <v>1</v>
      </c>
      <c r="CH278" s="50" t="n">
        <f aca="false">ROUNDUP(H278/BV278,0)</f>
        <v>1</v>
      </c>
      <c r="CI278" s="50" t="n">
        <f aca="false">ROUNDUP(CF278/BV278,0)</f>
        <v>0</v>
      </c>
      <c r="CJ278" s="53" t="n">
        <f aca="false">IF(BW278=1,0,IFERROR(VLOOKUP(BU278,'Gebinde-Kategorie'!$A$5:$N$45,5,0)+0,0))</f>
        <v>8</v>
      </c>
      <c r="CK278" s="53" t="n">
        <f aca="false">IFERROR(IF(OR(CB278=1,CB278=2,CB278=3),N(INDEX(Parameter!$I$5:$I$7,CB278)),0),0)</f>
        <v>0</v>
      </c>
      <c r="CL278" s="52" t="n">
        <f aca="false">IF(AND(Parameter!$B$21="Ja",ISNUMBER(W278),N(X278)&gt;0),IFERROR(N(INDEX(Parameter!$L$5:$L$7,W278))*INDEX(Parameter!$E$5:$E$7,W278)*X278/SUMIFS($X$7:$X$1843,$W$7:$W$1843,W278),0),0)</f>
        <v>0</v>
      </c>
    </row>
    <row r="279" customFormat="false" ht="15" hidden="false" customHeight="false" outlineLevel="0" collapsed="false">
      <c r="A279" s="48" t="s">
        <v>737</v>
      </c>
      <c r="B279" s="48" t="s">
        <v>738</v>
      </c>
      <c r="C279" s="48" t="s">
        <v>168</v>
      </c>
      <c r="D279" s="48" t="s">
        <v>188</v>
      </c>
      <c r="E279" s="48" t="s">
        <v>189</v>
      </c>
      <c r="F279" s="48" t="s">
        <v>222</v>
      </c>
      <c r="G279" s="49" t="n">
        <v>18.62</v>
      </c>
      <c r="H279" s="50" t="n">
        <f aca="false">MAX(0,IF(AND(Parameter!$B$21="Ja",ISNUMBER(Y279)),Y279,IF(Parameter!$B$20="Jahresanfang 2025 + Export",BO279+BN279,BN279)))</f>
        <v>36</v>
      </c>
      <c r="I279" s="50" t="n">
        <f aca="false">H279*G279</f>
        <v>670.32</v>
      </c>
      <c r="J279" s="50" t="n">
        <f aca="false">BQ279*Parameter!$B$18</f>
        <v>23</v>
      </c>
      <c r="K279" s="51" t="n">
        <v>14.5</v>
      </c>
      <c r="L279" s="52" t="n">
        <v>1.58620689655172</v>
      </c>
      <c r="M279" s="50" t="n">
        <v>1</v>
      </c>
      <c r="N279" s="50" t="n">
        <v>25</v>
      </c>
      <c r="O279" s="53" t="n">
        <v>28</v>
      </c>
      <c r="P279" s="48" t="s">
        <v>332</v>
      </c>
      <c r="Q279" s="50" t="n">
        <v>13</v>
      </c>
      <c r="R279" s="53" t="n">
        <f aca="false">IF(BW279=1,0,IFERROR(VLOOKUP(BU279,'Gebinde-Kategorie'!$A$5:$N$45,13,0)+0,0))</f>
        <v>52</v>
      </c>
      <c r="S279" s="54"/>
      <c r="T279" s="55"/>
      <c r="U279" s="55"/>
      <c r="V279" s="55"/>
      <c r="W279" s="48"/>
      <c r="X279" s="50"/>
      <c r="Y279" s="50"/>
      <c r="Z279" s="48" t="n">
        <f aca="false">IF(A279="","",IF(AND(Parameter!$B$21="Ja",ISNUMBER(W279)),W279,IF(BZ279="2+3",IF(ISNUMBER(SEARCH("grosser Artikel",BR279)),2,IFERROR(VLOOKUP(BU279,Parameter!$F$35:$G$64,2,0),2)),IF(OR(BZ279="Nein",BZ279=""),"-",BZ279))))</f>
        <v>3</v>
      </c>
      <c r="AA279" s="55"/>
      <c r="AB279" s="56"/>
      <c r="AC279" s="50" t="n">
        <f aca="false">AT279</f>
        <v>26</v>
      </c>
      <c r="AD279" s="50" t="n">
        <f aca="false">MAX(AT279,H279)</f>
        <v>36</v>
      </c>
      <c r="AE279" s="57"/>
      <c r="AF279" s="50" t="n">
        <f aca="false">IF(LEFT(Cockpit!$C$5,1)="A",H279,IF(CE279=1,CF279,IF(LEFT(Cockpit!$C$5,1)="B",AK279,MAX(AK279,H279))))</f>
        <v>36</v>
      </c>
      <c r="AG279" s="50" t="n">
        <f aca="false">IF(BW279=1,0,ROUNDUP(AF279/BV279,0))</f>
        <v>3</v>
      </c>
      <c r="AH279" s="52" t="n">
        <f aca="false">IF(CL279&gt;0,CL279*MAX(1,AF279/X279),IF(BW279=1,IF(AF279&lt;=0,0,CA279*MAX(1,IF(H279&gt;0,AF279/H279,1))),IF(R279&gt;0,AG279/R279,0))/MAX(0.1,N(Parameter!$M$21)))</f>
        <v>0.0576923076923077</v>
      </c>
      <c r="AI279" s="50" t="n">
        <f aca="false">AH279*BY279</f>
        <v>8.94230769230769</v>
      </c>
      <c r="AJ279" s="50" t="n">
        <f aca="false">AF279*G279</f>
        <v>670.32</v>
      </c>
      <c r="AK279" s="50" t="n">
        <f aca="false">ROUNDUP(MAX(J279/IF(CD279&gt;0,CD279,MAX(0.1,N(Cockpit!$C$6))),CG279)/BV279,0)*BV279</f>
        <v>26</v>
      </c>
      <c r="AL279" s="51" t="n">
        <f aca="false">IF(AI279&gt;0,J279/AI279,-1)</f>
        <v>2.57204301075269</v>
      </c>
      <c r="AM279" s="51" t="n">
        <f aca="false">IF(AND(OR(CC279="L1",CC279="L23",CC279="LIFT"),AI279&gt;0),SUMIFS($AI$7:$AI$1843,$CC$7:$CC$1843,CC279,$AL$7:$AL$1843,"&gt;"&amp;AL279)+SUMIFS($AI$7:$AI$1843,$CC$7:$CC$1843,CC279,$AL$7:$AL$1843,AL279,$BT$7:$BT$1843,"&lt;="&amp;BT279),"")</f>
        <v>5428.4097985348</v>
      </c>
      <c r="AN279" s="58" t="n">
        <f aca="false">IF(AM279="",0,MAX(0,MIN(1,(IF(CC279="L1",Parameter!$H$5,IF(CC279="L23",Parameter!$H$6+Parameter!$H$7,Parameter!$H$5+Parameter!$H$6+Parameter!$H$7))-(AM279-AI279))/AI279)))</f>
        <v>1</v>
      </c>
      <c r="AO279" s="50" t="n">
        <f aca="false">IF(LEFT(Cockpit!$I$5,1)="A",H279,IF(CE279=1,CF279,IF(LEFT(Cockpit!$I$5,1)="B",AT279,MAX(AT279,H279))))</f>
        <v>36</v>
      </c>
      <c r="AP279" s="50" t="n">
        <f aca="false">IF(BW279=1,0,ROUNDUP(AO279/BV279,0))</f>
        <v>3</v>
      </c>
      <c r="AQ279" s="52" t="n">
        <f aca="false">IF(CL279&gt;0,CL279*MAX(1,AO279/X279),IF(BW279=1,IF(AO279&lt;=0,0,CA279*MAX(1,IF(H279&gt;0,AO279/H279,1))),IF(R279&gt;0,AP279/R279,0))/MAX(0.1,N(Parameter!$M$21)))</f>
        <v>0.0576923076923077</v>
      </c>
      <c r="AR279" s="50" t="n">
        <f aca="false">AQ279*BY279</f>
        <v>8.94230769230769</v>
      </c>
      <c r="AS279" s="50" t="n">
        <f aca="false">AO279*G279</f>
        <v>670.32</v>
      </c>
      <c r="AT279" s="50" t="n">
        <f aca="false">ROUNDUP(MAX(J279/IF(CD279&gt;0,CD279,MAX(0.1,N(Cockpit!$I$6))),CG279)/BV279,0)*BV279</f>
        <v>26</v>
      </c>
      <c r="AU279" s="51" t="n">
        <f aca="false">IF(AR279&gt;0,J279/AR279,-1)</f>
        <v>2.57204301075269</v>
      </c>
      <c r="AV279" s="51" t="n">
        <f aca="false">IF(AND(OR(CC279="L1",CC279="L23",CC279="LIFT"),AR279&gt;0),SUMIFS($AR$7:$AR$1843,$CC$7:$CC$1843,CC279,$AU$7:$AU$1843,"&gt;"&amp;AU279)+SUMIFS($AR$7:$AR$1843,$CC$7:$CC$1843,CC279,$AU$7:$AU$1843,AU279,$BT$7:$BT$1843,"&lt;="&amp;BT279),"")</f>
        <v>6745.37774725275</v>
      </c>
      <c r="AW279" s="58" t="n">
        <f aca="false">IF(AV279="",0,MAX(0,MIN(1,(IF(CC279="L1",Parameter!$H$5,IF(CC279="L23",Parameter!$H$6+Parameter!$H$7,Parameter!$H$5+Parameter!$H$6+Parameter!$H$7))-(AV279-AR279))/AR279)))</f>
        <v>1</v>
      </c>
      <c r="AX279" s="50" t="n">
        <f aca="false">IF(LEFT(Cockpit!$O$5,1)="A",H279,IF(CE279=1,CF279,IF(LEFT(Cockpit!$O$5,1)="B",BC279,MAX(BC279,H279))))</f>
        <v>36</v>
      </c>
      <c r="AY279" s="50" t="n">
        <f aca="false">IF(BW279=1,0,ROUNDUP(AX279/BV279,0))</f>
        <v>3</v>
      </c>
      <c r="AZ279" s="52" t="n">
        <f aca="false">IF(CL279&gt;0,CL279*MAX(1,AX279/X279),IF(BW279=1,IF(AX279&lt;=0,0,CA279*MAX(1,IF(H279&gt;0,AX279/H279,1))),IF(R279&gt;0,AY279/R279,0))/MAX(0.1,N(Parameter!$M$21)))</f>
        <v>0.0576923076923077</v>
      </c>
      <c r="BA279" s="50" t="n">
        <f aca="false">AZ279*BY279</f>
        <v>8.94230769230769</v>
      </c>
      <c r="BB279" s="50" t="n">
        <f aca="false">AX279*G279</f>
        <v>670.32</v>
      </c>
      <c r="BC279" s="50" t="n">
        <f aca="false">ROUNDUP(MAX(J279/IF(CD279&gt;0,CD279,MAX(0.1,N(Cockpit!$O$6))),CG279)/BV279,0)*BV279</f>
        <v>26</v>
      </c>
      <c r="BD279" s="51" t="n">
        <f aca="false">IF(BA279&gt;0,J279/BA279,-1)</f>
        <v>2.57204301075269</v>
      </c>
      <c r="BE279" s="51" t="n">
        <f aca="false">IF(AND(OR(CC279="L1",CC279="L23",CC279="LIFT"),BA279&gt;0),SUMIFS($BA$7:$BA$1843,$CC$7:$CC$1843,CC279,$BD$7:$BD$1843,"&gt;"&amp;BD279)+SUMIFS($BA$7:$BA$1843,$CC$7:$CC$1843,CC279,$BD$7:$BD$1843,BD279,$BT$7:$BT$1843,"&lt;="&amp;BT279),"")</f>
        <v>6528.5347985348</v>
      </c>
      <c r="BF279" s="58" t="n">
        <f aca="false">IF(BE279="",0,MAX(0,MIN(1,(IF(CC279="L1",Parameter!$H$5,IF(CC279="L23",Parameter!$H$6+Parameter!$H$7,Parameter!$H$5+Parameter!$H$6+Parameter!$H$7))-(BE279-BA279))/BA279)))</f>
        <v>1</v>
      </c>
      <c r="BG279" s="48" t="str">
        <f aca="false">IF(AI279&lt;=0,"",IF(CC279="Aussen","Aussenlager",IF(CC279="-","Nicht im Lift",IF(AN279&gt;=1,"Lift",IF(AN279&lt;=0,"Aussenlager","teilweise")))))</f>
        <v>Lift</v>
      </c>
      <c r="BH279" s="48" t="str">
        <f aca="false">IF(AR279&lt;=0,"",IF(CC279="Aussen","Aussenlager",IF(CC279="-","Nicht im Lift",IF(AW279&gt;=1,"Lift",IF(AW279&lt;=0,"Aussenlager","teilweise")))))</f>
        <v>Lift</v>
      </c>
      <c r="BI279" s="48" t="str">
        <f aca="false">IF(BA279&lt;=0,"",IF(CC279="Aussen","Aussenlager",IF(CC279="-","Nicht im Lift",IF(BF279&gt;=1,"Lift",IF(BF279&lt;=0,"Aussenlager","teilweise")))))</f>
        <v>Lift</v>
      </c>
      <c r="BJ279" s="48" t="str">
        <f aca="false">IF(A279="","",IF(BS279=1,"Neu; ","")&amp;IF(AND(BS279=0,BN279&lt;0),"negativer Bestand (Export "&amp;BN279&amp;"); ","")&amp;IF(J279&lt;=0,"Kein Verbrauch; ","")&amp;IF(CL279&gt;0,"Lift "&amp;W279&amp;" lt. Liftbericht (Fach "&amp;X279&amp;" Stk); ",IF(BX279=1,"Gebinde geschätzt ("&amp;T279&amp;"); ",IF(BW279=1,"Lose – Tablare geschätzt; ","")))&amp;IF(H279&gt;AT279,"Überbestand "&amp;ROUND(H279-AT279,0)&amp;" Stk / CHF "&amp;ROUND((H279-AT279)*G279,0)&amp;"; ","")&amp;IF(AND(CE279=1,CF279&lt;CG279),"MAX &lt; MB+LG; ","")&amp;IF(AND(CK279&gt;0,CJ279*10&gt;CK279),"zu hoch für Tablar; ","")&amp;IF(AND(BS279=0,OR(CE279=1,AA279&lt;&gt;"",U279&lt;&gt;"",V279&lt;&gt;"",AB279&lt;&gt;"")),"manuell übersteuert; ","")&amp;IF(AND(BW279=0,R279=0),"Gebinde unbekannt / Stellmass fehlt; ","")&amp;IF(AND(BW279=0,N(V279)&lt;=0,N(Q279)&lt;=0),"Menge pro Gebinde fehlt (Ist = 1 Gebinde); ","")&amp;BR279)</f>
        <v>Überbestand 10 Stk / CHF 186; </v>
      </c>
      <c r="BK279" s="48"/>
      <c r="BL279" s="48"/>
      <c r="BM279" s="55"/>
      <c r="BN279" s="50" t="n">
        <v>22</v>
      </c>
      <c r="BO279" s="50" t="n">
        <v>14</v>
      </c>
      <c r="BP279" s="49" t="n">
        <v>361.480000000001</v>
      </c>
      <c r="BQ279" s="50" t="n">
        <v>23</v>
      </c>
      <c r="BR279" s="48"/>
      <c r="BS279" s="53" t="n">
        <v>0</v>
      </c>
      <c r="BT279" s="53" t="n">
        <v>279</v>
      </c>
      <c r="BU279" s="48" t="str">
        <f aca="false">IF(U279&lt;&gt;"",UPPER(TRIM(U279)),IF(BX279=1,UPPER(VLOOKUP(T279,Parameter!$I$27:$K$29,2,0)),IF(P279="","LOSE",P279)))</f>
        <v>S41</v>
      </c>
      <c r="BV279" s="50" t="n">
        <f aca="false">IF(BU279="LOSE",1,IF(N(V279)&gt;0,V279,IF(BX279=1,MAX(1,N(VLOOKUP(T279,Parameter!$I$27:$K$29,3,0)),H279,N(N279)),IF(N(Q279)&gt;0,Q279,MAX(1,H279)))))</f>
        <v>13</v>
      </c>
      <c r="BW279" s="53" t="n">
        <f aca="false">IF(BU279="LOSE",1,0)</f>
        <v>0</v>
      </c>
      <c r="BX279" s="53" t="n">
        <f aca="false">IF(AND(U279="",OR(P279="",P279="LOSE"),T279&lt;&gt;"",N(S279)&lt;=0,ISNUMBER(MATCH(T279,Parameter!$I$27:$I$29,0))),1,0)</f>
        <v>0</v>
      </c>
      <c r="BY279" s="53" t="n">
        <f aca="false">IF(CL279&gt;0,INDEX(Parameter!$H$5:$H$7,W279)/INDEX(Parameter!$E$5:$E$7,W279),IF(AND(BW279=0,N(IFERROR(VLOOKUP(BU279,'Gebinde-Kategorie'!$A$5:$N$45,14,0),0))&gt;0),VLOOKUP(BU279,'Gebinde-Kategorie'!$A$5:$N$45,14,0)*10+Parameter!$M$23,Parameter!$M$24))</f>
        <v>155</v>
      </c>
      <c r="BZ279" s="48" t="str">
        <f aca="false">IF(AND(Parameter!$B$19="Ja",E279&lt;&gt;"",ISNUMBER(MATCH(E279,Parameter!$I$35:$I$52,0))),VLOOKUP(E279,Parameter!$I$35:$J$52,2,0),IFERROR(VLOOKUP(D279,Parameter!$A$35:$C$64,2,0),"Nein"))</f>
        <v>2+3</v>
      </c>
      <c r="CA279" s="52" t="n">
        <f aca="false">IF(BW279=0,0,IF(N(S279)&gt;0,S279,IFERROR(VLOOKUP(D279,Parameter!$A$35:$C$64,3,0)+0,0)))</f>
        <v>0</v>
      </c>
      <c r="CB279" s="48" t="n">
        <f aca="false">IF(AA279&lt;&gt;"",AA279,Z279)</f>
        <v>3</v>
      </c>
      <c r="CC279" s="48" t="str">
        <f aca="false">IF(OR(CB279=1,CB279=2,CB279=3),IF(Parameter!$E$27="Ja","LIFT",IF(CB279=1,"L1","L23")),IF(CB279="Aussen","Aussen","-"))</f>
        <v>LIFT</v>
      </c>
      <c r="CD279" s="59" t="n">
        <f aca="false">IF(N(AB279)&gt;0,AB279,0)</f>
        <v>0</v>
      </c>
      <c r="CE279" s="53" t="n">
        <f aca="false">IF(ISNUMBER(AE279),1,0)</f>
        <v>0</v>
      </c>
      <c r="CF279" s="50" t="n">
        <f aca="false">N(AE279)</f>
        <v>0</v>
      </c>
      <c r="CG279" s="50" t="n">
        <f aca="false">N(M279)+N(N279)</f>
        <v>26</v>
      </c>
      <c r="CH279" s="50" t="n">
        <f aca="false">ROUNDUP(H279/BV279,0)</f>
        <v>3</v>
      </c>
      <c r="CI279" s="50" t="n">
        <f aca="false">ROUNDUP(CF279/BV279,0)</f>
        <v>0</v>
      </c>
      <c r="CJ279" s="53" t="n">
        <f aca="false">IF(BW279=1,0,IFERROR(VLOOKUP(BU279,'Gebinde-Kategorie'!$A$5:$N$45,5,0)+0,0))</f>
        <v>11</v>
      </c>
      <c r="CK279" s="53" t="n">
        <f aca="false">IFERROR(IF(OR(CB279=1,CB279=2,CB279=3),N(INDEX(Parameter!$I$5:$I$7,CB279)),0),0)</f>
        <v>0</v>
      </c>
      <c r="CL279" s="52" t="n">
        <f aca="false">IF(AND(Parameter!$B$21="Ja",ISNUMBER(W279),N(X279)&gt;0),IFERROR(N(INDEX(Parameter!$L$5:$L$7,W279))*INDEX(Parameter!$E$5:$E$7,W279)*X279/SUMIFS($X$7:$X$1843,$W$7:$W$1843,W279),0),0)</f>
        <v>0</v>
      </c>
    </row>
    <row r="280" customFormat="false" ht="15" hidden="false" customHeight="false" outlineLevel="0" collapsed="false">
      <c r="A280" s="48" t="s">
        <v>739</v>
      </c>
      <c r="B280" s="48" t="s">
        <v>740</v>
      </c>
      <c r="C280" s="48" t="s">
        <v>168</v>
      </c>
      <c r="D280" s="48" t="s">
        <v>188</v>
      </c>
      <c r="E280" s="48"/>
      <c r="F280" s="48" t="s">
        <v>222</v>
      </c>
      <c r="G280" s="49" t="n">
        <v>13.98</v>
      </c>
      <c r="H280" s="50" t="n">
        <f aca="false">MAX(0,IF(AND(Parameter!$B$21="Ja",ISNUMBER(Y280)),Y280,IF(Parameter!$B$20="Jahresanfang 2025 + Export",BO280+BN280,BN280)))</f>
        <v>38</v>
      </c>
      <c r="I280" s="50" t="n">
        <f aca="false">H280*G280</f>
        <v>531.24</v>
      </c>
      <c r="J280" s="50" t="n">
        <f aca="false">BQ280*Parameter!$B$18</f>
        <v>56</v>
      </c>
      <c r="K280" s="51" t="n">
        <v>6.5</v>
      </c>
      <c r="L280" s="52" t="n">
        <v>8.61538461538462</v>
      </c>
      <c r="M280" s="50" t="n">
        <v>4</v>
      </c>
      <c r="N280" s="50" t="n">
        <v>55</v>
      </c>
      <c r="O280" s="53" t="n">
        <v>28</v>
      </c>
      <c r="P280" s="48" t="s">
        <v>237</v>
      </c>
      <c r="Q280" s="50" t="n">
        <v>30</v>
      </c>
      <c r="R280" s="53" t="n">
        <f aca="false">IF(BW280=1,0,IFERROR(VLOOKUP(BU280,'Gebinde-Kategorie'!$A$5:$N$45,13,0)+0,0))</f>
        <v>26</v>
      </c>
      <c r="S280" s="54"/>
      <c r="T280" s="55"/>
      <c r="U280" s="55"/>
      <c r="V280" s="55"/>
      <c r="W280" s="48"/>
      <c r="X280" s="50"/>
      <c r="Y280" s="50"/>
      <c r="Z280" s="48" t="n">
        <f aca="false">IF(A280="","",IF(AND(Parameter!$B$21="Ja",ISNUMBER(W280)),W280,IF(BZ280="2+3",IF(ISNUMBER(SEARCH("grosser Artikel",BR280)),2,IFERROR(VLOOKUP(BU280,Parameter!$F$35:$G$64,2,0),2)),IF(OR(BZ280="Nein",BZ280=""),"-",BZ280))))</f>
        <v>3</v>
      </c>
      <c r="AA280" s="55"/>
      <c r="AB280" s="56"/>
      <c r="AC280" s="50" t="n">
        <f aca="false">AT280</f>
        <v>60</v>
      </c>
      <c r="AD280" s="50" t="n">
        <f aca="false">MAX(AT280,H280)</f>
        <v>60</v>
      </c>
      <c r="AE280" s="57"/>
      <c r="AF280" s="50" t="n">
        <f aca="false">IF(LEFT(Cockpit!$C$5,1)="A",H280,IF(CE280=1,CF280,IF(LEFT(Cockpit!$C$5,1)="B",AK280,MAX(AK280,H280))))</f>
        <v>38</v>
      </c>
      <c r="AG280" s="50" t="n">
        <f aca="false">IF(BW280=1,0,ROUNDUP(AF280/BV280,0))</f>
        <v>2</v>
      </c>
      <c r="AH280" s="52" t="n">
        <f aca="false">IF(CL280&gt;0,CL280*MAX(1,AF280/X280),IF(BW280=1,IF(AF280&lt;=0,0,CA280*MAX(1,IF(H280&gt;0,AF280/H280,1))),IF(R280&gt;0,AG280/R280,0))/MAX(0.1,N(Parameter!$M$21)))</f>
        <v>0.0769230769230769</v>
      </c>
      <c r="AI280" s="50" t="n">
        <f aca="false">AH280*BY280</f>
        <v>18.8461538461538</v>
      </c>
      <c r="AJ280" s="50" t="n">
        <f aca="false">AF280*G280</f>
        <v>531.24</v>
      </c>
      <c r="AK280" s="50" t="n">
        <f aca="false">ROUNDUP(MAX(J280/IF(CD280&gt;0,CD280,MAX(0.1,N(Cockpit!$C$6))),CG280)/BV280,0)*BV280</f>
        <v>60</v>
      </c>
      <c r="AL280" s="51" t="n">
        <f aca="false">IF(AI280&gt;0,J280/AI280,-1)</f>
        <v>2.97142857142857</v>
      </c>
      <c r="AM280" s="51" t="n">
        <f aca="false">IF(AND(OR(CC280="L1",CC280="L23",CC280="LIFT"),AI280&gt;0),SUMIFS($AI$7:$AI$1843,$CC$7:$CC$1843,CC280,$AL$7:$AL$1843,"&gt;"&amp;AL280)+SUMIFS($AI$7:$AI$1843,$CC$7:$CC$1843,CC280,$AL$7:$AL$1843,AL280,$BT$7:$BT$1843,"&lt;="&amp;BT280),"")</f>
        <v>5139.77060439561</v>
      </c>
      <c r="AN280" s="58" t="n">
        <f aca="false">IF(AM280="",0,MAX(0,MIN(1,(IF(CC280="L1",Parameter!$H$5,IF(CC280="L23",Parameter!$H$6+Parameter!$H$7,Parameter!$H$5+Parameter!$H$6+Parameter!$H$7))-(AM280-AI280))/AI280)))</f>
        <v>1</v>
      </c>
      <c r="AO280" s="50" t="n">
        <f aca="false">IF(LEFT(Cockpit!$I$5,1)="A",H280,IF(CE280=1,CF280,IF(LEFT(Cockpit!$I$5,1)="B",AT280,MAX(AT280,H280))))</f>
        <v>60</v>
      </c>
      <c r="AP280" s="50" t="n">
        <f aca="false">IF(BW280=1,0,ROUNDUP(AO280/BV280,0))</f>
        <v>2</v>
      </c>
      <c r="AQ280" s="52" t="n">
        <f aca="false">IF(CL280&gt;0,CL280*MAX(1,AO280/X280),IF(BW280=1,IF(AO280&lt;=0,0,CA280*MAX(1,IF(H280&gt;0,AO280/H280,1))),IF(R280&gt;0,AP280/R280,0))/MAX(0.1,N(Parameter!$M$21)))</f>
        <v>0.0769230769230769</v>
      </c>
      <c r="AR280" s="50" t="n">
        <f aca="false">AQ280*BY280</f>
        <v>18.8461538461538</v>
      </c>
      <c r="AS280" s="50" t="n">
        <f aca="false">AO280*G280</f>
        <v>838.8</v>
      </c>
      <c r="AT280" s="50" t="n">
        <f aca="false">ROUNDUP(MAX(J280/IF(CD280&gt;0,CD280,MAX(0.1,N(Cockpit!$I$6))),CG280)/BV280,0)*BV280</f>
        <v>60</v>
      </c>
      <c r="AU280" s="51" t="n">
        <f aca="false">IF(AR280&gt;0,J280/AR280,-1)</f>
        <v>2.97142857142857</v>
      </c>
      <c r="AV280" s="51" t="n">
        <f aca="false">IF(AND(OR(CC280="L1",CC280="L23",CC280="LIFT"),AR280&gt;0),SUMIFS($AR$7:$AR$1843,$CC$7:$CC$1843,CC280,$AU$7:$AU$1843,"&gt;"&amp;AU280)+SUMIFS($AR$7:$AR$1843,$CC$7:$CC$1843,CC280,$AU$7:$AU$1843,AU280,$BT$7:$BT$1843,"&lt;="&amp;BT280),"")</f>
        <v>6331.46611721612</v>
      </c>
      <c r="AW280" s="58" t="n">
        <f aca="false">IF(AV280="",0,MAX(0,MIN(1,(IF(CC280="L1",Parameter!$H$5,IF(CC280="L23",Parameter!$H$6+Parameter!$H$7,Parameter!$H$5+Parameter!$H$6+Parameter!$H$7))-(AV280-AR280))/AR280)))</f>
        <v>1</v>
      </c>
      <c r="AX280" s="50" t="n">
        <f aca="false">IF(LEFT(Cockpit!$O$5,1)="A",H280,IF(CE280=1,CF280,IF(LEFT(Cockpit!$O$5,1)="B",BC280,MAX(BC280,H280))))</f>
        <v>60</v>
      </c>
      <c r="AY280" s="50" t="n">
        <f aca="false">IF(BW280=1,0,ROUNDUP(AX280/BV280,0))</f>
        <v>2</v>
      </c>
      <c r="AZ280" s="52" t="n">
        <f aca="false">IF(CL280&gt;0,CL280*MAX(1,AX280/X280),IF(BW280=1,IF(AX280&lt;=0,0,CA280*MAX(1,IF(H280&gt;0,AX280/H280,1))),IF(R280&gt;0,AY280/R280,0))/MAX(0.1,N(Parameter!$M$21)))</f>
        <v>0.0769230769230769</v>
      </c>
      <c r="BA280" s="50" t="n">
        <f aca="false">AZ280*BY280</f>
        <v>18.8461538461538</v>
      </c>
      <c r="BB280" s="50" t="n">
        <f aca="false">AX280*G280</f>
        <v>838.8</v>
      </c>
      <c r="BC280" s="50" t="n">
        <f aca="false">ROUNDUP(MAX(J280/IF(CD280&gt;0,CD280,MAX(0.1,N(Cockpit!$O$6))),CG280)/BV280,0)*BV280</f>
        <v>60</v>
      </c>
      <c r="BD280" s="51" t="n">
        <f aca="false">IF(BA280&gt;0,J280/BA280,-1)</f>
        <v>2.97142857142857</v>
      </c>
      <c r="BE280" s="51" t="n">
        <f aca="false">IF(AND(OR(CC280="L1",CC280="L23",CC280="LIFT"),BA280&gt;0),SUMIFS($BA$7:$BA$1843,$CC$7:$CC$1843,CC280,$BD$7:$BD$1843,"&gt;"&amp;BD280)+SUMIFS($BA$7:$BA$1843,$CC$7:$CC$1843,CC280,$BD$7:$BD$1843,BD280,$BT$7:$BT$1843,"&lt;="&amp;BT280),"")</f>
        <v>6352.63598901099</v>
      </c>
      <c r="BF280" s="58" t="n">
        <f aca="false">IF(BE280="",0,MAX(0,MIN(1,(IF(CC280="L1",Parameter!$H$5,IF(CC280="L23",Parameter!$H$6+Parameter!$H$7,Parameter!$H$5+Parameter!$H$6+Parameter!$H$7))-(BE280-BA280))/BA280)))</f>
        <v>1</v>
      </c>
      <c r="BG280" s="48" t="str">
        <f aca="false">IF(AI280&lt;=0,"",IF(CC280="Aussen","Aussenlager",IF(CC280="-","Nicht im Lift",IF(AN280&gt;=1,"Lift",IF(AN280&lt;=0,"Aussenlager","teilweise")))))</f>
        <v>Lift</v>
      </c>
      <c r="BH280" s="48" t="str">
        <f aca="false">IF(AR280&lt;=0,"",IF(CC280="Aussen","Aussenlager",IF(CC280="-","Nicht im Lift",IF(AW280&gt;=1,"Lift",IF(AW280&lt;=0,"Aussenlager","teilweise")))))</f>
        <v>Lift</v>
      </c>
      <c r="BI280" s="48" t="str">
        <f aca="false">IF(BA280&lt;=0,"",IF(CC280="Aussen","Aussenlager",IF(CC280="-","Nicht im Lift",IF(BF280&gt;=1,"Lift",IF(BF280&lt;=0,"Aussenlager","teilweise")))))</f>
        <v>Lift</v>
      </c>
      <c r="BJ280" s="48" t="str">
        <f aca="false">IF(A280="","",IF(BS280=1,"Neu; ","")&amp;IF(AND(BS280=0,BN280&lt;0),"negativer Bestand (Export "&amp;BN280&amp;"); ","")&amp;IF(J280&lt;=0,"Kein Verbrauch; ","")&amp;IF(CL280&gt;0,"Lift "&amp;W280&amp;" lt. Liftbericht (Fach "&amp;X280&amp;" Stk); ",IF(BX280=1,"Gebinde geschätzt ("&amp;T280&amp;"); ",IF(BW280=1,"Lose – Tablare geschätzt; ","")))&amp;IF(H280&gt;AT280,"Überbestand "&amp;ROUND(H280-AT280,0)&amp;" Stk / CHF "&amp;ROUND((H280-AT280)*G280,0)&amp;"; ","")&amp;IF(AND(CE280=1,CF280&lt;CG280),"MAX &lt; MB+LG; ","")&amp;IF(AND(CK280&gt;0,CJ280*10&gt;CK280),"zu hoch für Tablar; ","")&amp;IF(AND(BS280=0,OR(CE280=1,AA280&lt;&gt;"",U280&lt;&gt;"",V280&lt;&gt;"",AB280&lt;&gt;"")),"manuell übersteuert; ","")&amp;IF(AND(BW280=0,R280=0),"Gebinde unbekannt / Stellmass fehlt; ","")&amp;IF(AND(BW280=0,N(V280)&lt;=0,N(Q280)&lt;=0),"Menge pro Gebinde fehlt (Ist = 1 Gebinde); ","")&amp;BR280)</f>
        <v/>
      </c>
      <c r="BK280" s="48"/>
      <c r="BL280" s="48"/>
      <c r="BM280" s="55"/>
      <c r="BN280" s="50" t="n">
        <v>25</v>
      </c>
      <c r="BO280" s="50" t="n">
        <v>13</v>
      </c>
      <c r="BP280" s="49" t="n">
        <v>351.06</v>
      </c>
      <c r="BQ280" s="50" t="n">
        <v>56</v>
      </c>
      <c r="BR280" s="48"/>
      <c r="BS280" s="53" t="n">
        <v>0</v>
      </c>
      <c r="BT280" s="53" t="n">
        <v>280</v>
      </c>
      <c r="BU280" s="48" t="str">
        <f aca="false">IF(U280&lt;&gt;"",UPPER(TRIM(U280)),IF(BX280=1,UPPER(VLOOKUP(T280,Parameter!$I$27:$K$29,2,0)),IF(P280="","LOSE",P280)))</f>
        <v>S52</v>
      </c>
      <c r="BV280" s="50" t="n">
        <f aca="false">IF(BU280="LOSE",1,IF(N(V280)&gt;0,V280,IF(BX280=1,MAX(1,N(VLOOKUP(T280,Parameter!$I$27:$K$29,3,0)),H280,N(N280)),IF(N(Q280)&gt;0,Q280,MAX(1,H280)))))</f>
        <v>30</v>
      </c>
      <c r="BW280" s="53" t="n">
        <f aca="false">IF(BU280="LOSE",1,0)</f>
        <v>0</v>
      </c>
      <c r="BX280" s="53" t="n">
        <f aca="false">IF(AND(U280="",OR(P280="",P280="LOSE"),T280&lt;&gt;"",N(S280)&lt;=0,ISNUMBER(MATCH(T280,Parameter!$I$27:$I$29,0))),1,0)</f>
        <v>0</v>
      </c>
      <c r="BY280" s="53" t="n">
        <f aca="false">IF(CL280&gt;0,INDEX(Parameter!$H$5:$H$7,W280)/INDEX(Parameter!$E$5:$E$7,W280),IF(AND(BW280=0,N(IFERROR(VLOOKUP(BU280,'Gebinde-Kategorie'!$A$5:$N$45,14,0),0))&gt;0),VLOOKUP(BU280,'Gebinde-Kategorie'!$A$5:$N$45,14,0)*10+Parameter!$M$23,Parameter!$M$24))</f>
        <v>245</v>
      </c>
      <c r="BZ280" s="48" t="str">
        <f aca="false">IF(AND(Parameter!$B$19="Ja",E280&lt;&gt;"",ISNUMBER(MATCH(E280,Parameter!$I$35:$I$52,0))),VLOOKUP(E280,Parameter!$I$35:$J$52,2,0),IFERROR(VLOOKUP(D280,Parameter!$A$35:$C$64,2,0),"Nein"))</f>
        <v>2+3</v>
      </c>
      <c r="CA280" s="52" t="n">
        <f aca="false">IF(BW280=0,0,IF(N(S280)&gt;0,S280,IFERROR(VLOOKUP(D280,Parameter!$A$35:$C$64,3,0)+0,0)))</f>
        <v>0</v>
      </c>
      <c r="CB280" s="48" t="n">
        <f aca="false">IF(AA280&lt;&gt;"",AA280,Z280)</f>
        <v>3</v>
      </c>
      <c r="CC280" s="48" t="str">
        <f aca="false">IF(OR(CB280=1,CB280=2,CB280=3),IF(Parameter!$E$27="Ja","LIFT",IF(CB280=1,"L1","L23")),IF(CB280="Aussen","Aussen","-"))</f>
        <v>LIFT</v>
      </c>
      <c r="CD280" s="59" t="n">
        <f aca="false">IF(N(AB280)&gt;0,AB280,0)</f>
        <v>0</v>
      </c>
      <c r="CE280" s="53" t="n">
        <f aca="false">IF(ISNUMBER(AE280),1,0)</f>
        <v>0</v>
      </c>
      <c r="CF280" s="50" t="n">
        <f aca="false">N(AE280)</f>
        <v>0</v>
      </c>
      <c r="CG280" s="50" t="n">
        <f aca="false">N(M280)+N(N280)</f>
        <v>59</v>
      </c>
      <c r="CH280" s="50" t="n">
        <f aca="false">ROUNDUP(H280/BV280,0)</f>
        <v>2</v>
      </c>
      <c r="CI280" s="50" t="n">
        <f aca="false">ROUNDUP(CF280/BV280,0)</f>
        <v>0</v>
      </c>
      <c r="CJ280" s="53" t="n">
        <f aca="false">IF(BW280=1,0,IFERROR(VLOOKUP(BU280,'Gebinde-Kategorie'!$A$5:$N$45,5,0)+0,0))</f>
        <v>21</v>
      </c>
      <c r="CK280" s="53" t="n">
        <f aca="false">IFERROR(IF(OR(CB280=1,CB280=2,CB280=3),N(INDEX(Parameter!$I$5:$I$7,CB280)),0),0)</f>
        <v>0</v>
      </c>
      <c r="CL280" s="52" t="n">
        <f aca="false">IF(AND(Parameter!$B$21="Ja",ISNUMBER(W280),N(X280)&gt;0),IFERROR(N(INDEX(Parameter!$L$5:$L$7,W280))*INDEX(Parameter!$E$5:$E$7,W280)*X280/SUMIFS($X$7:$X$1843,$W$7:$W$1843,W280),0),0)</f>
        <v>0</v>
      </c>
    </row>
    <row r="281" customFormat="false" ht="15" hidden="false" customHeight="false" outlineLevel="0" collapsed="false">
      <c r="A281" s="48" t="s">
        <v>741</v>
      </c>
      <c r="B281" s="48" t="s">
        <v>536</v>
      </c>
      <c r="C281" s="48" t="s">
        <v>168</v>
      </c>
      <c r="D281" s="48" t="s">
        <v>188</v>
      </c>
      <c r="E281" s="48" t="s">
        <v>189</v>
      </c>
      <c r="F281" s="48" t="s">
        <v>222</v>
      </c>
      <c r="G281" s="49" t="n">
        <v>10</v>
      </c>
      <c r="H281" s="50" t="n">
        <f aca="false">MAX(0,IF(AND(Parameter!$B$21="Ja",ISNUMBER(Y281)),Y281,IF(Parameter!$B$20="Jahresanfang 2025 + Export",BO281+BN281,BN281)))</f>
        <v>52</v>
      </c>
      <c r="I281" s="50" t="n">
        <f aca="false">H281*G281</f>
        <v>520</v>
      </c>
      <c r="J281" s="50" t="n">
        <f aca="false">BQ281*Parameter!$B$18</f>
        <v>0</v>
      </c>
      <c r="K281" s="51" t="n">
        <v>34.5</v>
      </c>
      <c r="L281" s="52" t="n">
        <v>0</v>
      </c>
      <c r="M281" s="50" t="n">
        <v>0</v>
      </c>
      <c r="N281" s="50" t="n">
        <v>1</v>
      </c>
      <c r="O281" s="53" t="n">
        <v>14</v>
      </c>
      <c r="P281" s="48" t="s">
        <v>306</v>
      </c>
      <c r="Q281" s="50" t="n">
        <v>44</v>
      </c>
      <c r="R281" s="53" t="n">
        <f aca="false">IF(BW281=1,0,IFERROR(VLOOKUP(BU281,'Gebinde-Kategorie'!$A$5:$N$45,13,0)+0,0))</f>
        <v>26</v>
      </c>
      <c r="S281" s="54"/>
      <c r="T281" s="55"/>
      <c r="U281" s="55"/>
      <c r="V281" s="55"/>
      <c r="W281" s="48"/>
      <c r="X281" s="50"/>
      <c r="Y281" s="50"/>
      <c r="Z281" s="48" t="n">
        <f aca="false">IF(A281="","",IF(AND(Parameter!$B$21="Ja",ISNUMBER(W281)),W281,IF(BZ281="2+3",IF(ISNUMBER(SEARCH("grosser Artikel",BR281)),2,IFERROR(VLOOKUP(BU281,Parameter!$F$35:$G$64,2,0),2)),IF(OR(BZ281="Nein",BZ281=""),"-",BZ281))))</f>
        <v>3</v>
      </c>
      <c r="AA281" s="55"/>
      <c r="AB281" s="56"/>
      <c r="AC281" s="50" t="n">
        <f aca="false">AT281</f>
        <v>44</v>
      </c>
      <c r="AD281" s="50" t="n">
        <f aca="false">MAX(AT281,H281)</f>
        <v>52</v>
      </c>
      <c r="AE281" s="57"/>
      <c r="AF281" s="50" t="n">
        <f aca="false">IF(LEFT(Cockpit!$C$5,1)="A",H281,IF(CE281=1,CF281,IF(LEFT(Cockpit!$C$5,1)="B",AK281,MAX(AK281,H281))))</f>
        <v>52</v>
      </c>
      <c r="AG281" s="50" t="n">
        <f aca="false">IF(BW281=1,0,ROUNDUP(AF281/BV281,0))</f>
        <v>2</v>
      </c>
      <c r="AH281" s="52" t="n">
        <f aca="false">IF(CL281&gt;0,CL281*MAX(1,AF281/X281),IF(BW281=1,IF(AF281&lt;=0,0,CA281*MAX(1,IF(H281&gt;0,AF281/H281,1))),IF(R281&gt;0,AG281/R281,0))/MAX(0.1,N(Parameter!$M$21)))</f>
        <v>0.0769230769230769</v>
      </c>
      <c r="AI281" s="50" t="n">
        <f aca="false">AH281*BY281</f>
        <v>11.9230769230769</v>
      </c>
      <c r="AJ281" s="50" t="n">
        <f aca="false">AF281*G281</f>
        <v>520</v>
      </c>
      <c r="AK281" s="50" t="n">
        <f aca="false">ROUNDUP(MAX(J281/IF(CD281&gt;0,CD281,MAX(0.1,N(Cockpit!$C$6))),CG281)/BV281,0)*BV281</f>
        <v>44</v>
      </c>
      <c r="AL281" s="51" t="n">
        <f aca="false">IF(AI281&gt;0,J281/AI281,-1)</f>
        <v>0</v>
      </c>
      <c r="AM281" s="51" t="n">
        <f aca="false">IF(AND(OR(CC281="L1",CC281="L23",CC281="LIFT"),AI281&gt;0),SUMIFS($AI$7:$AI$1843,$CC$7:$CC$1843,CC281,$AL$7:$AL$1843,"&gt;"&amp;AL281)+SUMIFS($AI$7:$AI$1843,$CC$7:$CC$1843,CC281,$AL$7:$AL$1843,AL281,$BT$7:$BT$1843,"&lt;="&amp;BT281),"")</f>
        <v>27791.4383549595</v>
      </c>
      <c r="AN281" s="58" t="n">
        <f aca="false">IF(AM281="",0,MAX(0,MIN(1,(IF(CC281="L1",Parameter!$H$5,IF(CC281="L23",Parameter!$H$6+Parameter!$H$7,Parameter!$H$5+Parameter!$H$6+Parameter!$H$7))-(AM281-AI281))/AI281)))</f>
        <v>1</v>
      </c>
      <c r="AO281" s="50" t="n">
        <f aca="false">IF(LEFT(Cockpit!$I$5,1)="A",H281,IF(CE281=1,CF281,IF(LEFT(Cockpit!$I$5,1)="B",AT281,MAX(AT281,H281))))</f>
        <v>52</v>
      </c>
      <c r="AP281" s="50" t="n">
        <f aca="false">IF(BW281=1,0,ROUNDUP(AO281/BV281,0))</f>
        <v>2</v>
      </c>
      <c r="AQ281" s="52" t="n">
        <f aca="false">IF(CL281&gt;0,CL281*MAX(1,AO281/X281),IF(BW281=1,IF(AO281&lt;=0,0,CA281*MAX(1,IF(H281&gt;0,AO281/H281,1))),IF(R281&gt;0,AP281/R281,0))/MAX(0.1,N(Parameter!$M$21)))</f>
        <v>0.0769230769230769</v>
      </c>
      <c r="AR281" s="50" t="n">
        <f aca="false">AQ281*BY281</f>
        <v>11.9230769230769</v>
      </c>
      <c r="AS281" s="50" t="n">
        <f aca="false">AO281*G281</f>
        <v>520</v>
      </c>
      <c r="AT281" s="50" t="n">
        <f aca="false">ROUNDUP(MAX(J281/IF(CD281&gt;0,CD281,MAX(0.1,N(Cockpit!$I$6))),CG281)/BV281,0)*BV281</f>
        <v>44</v>
      </c>
      <c r="AU281" s="51" t="n">
        <f aca="false">IF(AR281&gt;0,J281/AR281,-1)</f>
        <v>0</v>
      </c>
      <c r="AV281" s="51" t="n">
        <f aca="false">IF(AND(OR(CC281="L1",CC281="L23",CC281="LIFT"),AR281&gt;0),SUMIFS($AR$7:$AR$1843,$CC$7:$CC$1843,CC281,$AU$7:$AU$1843,"&gt;"&amp;AU281)+SUMIFS($AR$7:$AR$1843,$CC$7:$CC$1843,CC281,$AU$7:$AU$1843,AU281,$BT$7:$BT$1843,"&lt;="&amp;BT281),"")</f>
        <v>39104.3438722295</v>
      </c>
      <c r="AW281" s="58" t="n">
        <f aca="false">IF(AV281="",0,MAX(0,MIN(1,(IF(CC281="L1",Parameter!$H$5,IF(CC281="L23",Parameter!$H$6+Parameter!$H$7,Parameter!$H$5+Parameter!$H$6+Parameter!$H$7))-(AV281-AR281))/AR281)))</f>
        <v>0</v>
      </c>
      <c r="AX281" s="50" t="n">
        <f aca="false">IF(LEFT(Cockpit!$O$5,1)="A",H281,IF(CE281=1,CF281,IF(LEFT(Cockpit!$O$5,1)="B",BC281,MAX(BC281,H281))))</f>
        <v>52</v>
      </c>
      <c r="AY281" s="50" t="n">
        <f aca="false">IF(BW281=1,0,ROUNDUP(AX281/BV281,0))</f>
        <v>2</v>
      </c>
      <c r="AZ281" s="52" t="n">
        <f aca="false">IF(CL281&gt;0,CL281*MAX(1,AX281/X281),IF(BW281=1,IF(AX281&lt;=0,0,CA281*MAX(1,IF(H281&gt;0,AX281/H281,1))),IF(R281&gt;0,AY281/R281,0))/MAX(0.1,N(Parameter!$M$21)))</f>
        <v>0.0769230769230769</v>
      </c>
      <c r="BA281" s="50" t="n">
        <f aca="false">AZ281*BY281</f>
        <v>11.9230769230769</v>
      </c>
      <c r="BB281" s="50" t="n">
        <f aca="false">AX281*G281</f>
        <v>520</v>
      </c>
      <c r="BC281" s="50" t="n">
        <f aca="false">ROUNDUP(MAX(J281/IF(CD281&gt;0,CD281,MAX(0.1,N(Cockpit!$O$6))),CG281)/BV281,0)*BV281</f>
        <v>44</v>
      </c>
      <c r="BD281" s="51" t="n">
        <f aca="false">IF(BA281&gt;0,J281/BA281,-1)</f>
        <v>0</v>
      </c>
      <c r="BE281" s="51" t="n">
        <f aca="false">IF(AND(OR(CC281="L1",CC281="L23",CC281="LIFT"),BA281&gt;0),SUMIFS($BA$7:$BA$1843,$CC$7:$CC$1843,CC281,$BD$7:$BD$1843,"&gt;"&amp;BD281)+SUMIFS($BA$7:$BA$1843,$CC$7:$CC$1843,CC281,$BD$7:$BD$1843,BD281,$BT$7:$BT$1843,"&lt;="&amp;BT281),"")</f>
        <v>35779.3559140953</v>
      </c>
      <c r="BF281" s="58" t="n">
        <f aca="false">IF(BE281="",0,MAX(0,MIN(1,(IF(CC281="L1",Parameter!$H$5,IF(CC281="L23",Parameter!$H$6+Parameter!$H$7,Parameter!$H$5+Parameter!$H$6+Parameter!$H$7))-(BE281-BA281))/BA281)))</f>
        <v>0</v>
      </c>
      <c r="BG281" s="48" t="str">
        <f aca="false">IF(AI281&lt;=0,"",IF(CC281="Aussen","Aussenlager",IF(CC281="-","Nicht im Lift",IF(AN281&gt;=1,"Lift",IF(AN281&lt;=0,"Aussenlager","teilweise")))))</f>
        <v>Lift</v>
      </c>
      <c r="BH281" s="48" t="str">
        <f aca="false">IF(AR281&lt;=0,"",IF(CC281="Aussen","Aussenlager",IF(CC281="-","Nicht im Lift",IF(AW281&gt;=1,"Lift",IF(AW281&lt;=0,"Aussenlager","teilweise")))))</f>
        <v>Aussenlager</v>
      </c>
      <c r="BI281" s="48" t="str">
        <f aca="false">IF(BA281&lt;=0,"",IF(CC281="Aussen","Aussenlager",IF(CC281="-","Nicht im Lift",IF(BF281&gt;=1,"Lift",IF(BF281&lt;=0,"Aussenlager","teilweise")))))</f>
        <v>Aussenlager</v>
      </c>
      <c r="BJ281" s="48" t="str">
        <f aca="false">IF(A281="","",IF(BS281=1,"Neu; ","")&amp;IF(AND(BS281=0,BN281&lt;0),"negativer Bestand (Export "&amp;BN281&amp;"); ","")&amp;IF(J281&lt;=0,"Kein Verbrauch; ","")&amp;IF(CL281&gt;0,"Lift "&amp;W281&amp;" lt. Liftbericht (Fach "&amp;X281&amp;" Stk); ",IF(BX281=1,"Gebinde geschätzt ("&amp;T281&amp;"); ",IF(BW281=1,"Lose – Tablare geschätzt; ","")))&amp;IF(H281&gt;AT281,"Überbestand "&amp;ROUND(H281-AT281,0)&amp;" Stk / CHF "&amp;ROUND((H281-AT281)*G281,0)&amp;"; ","")&amp;IF(AND(CE281=1,CF281&lt;CG281),"MAX &lt; MB+LG; ","")&amp;IF(AND(CK281&gt;0,CJ281*10&gt;CK281),"zu hoch für Tablar; ","")&amp;IF(AND(BS281=0,OR(CE281=1,AA281&lt;&gt;"",U281&lt;&gt;"",V281&lt;&gt;"",AB281&lt;&gt;"")),"manuell übersteuert; ","")&amp;IF(AND(BW281=0,R281=0),"Gebinde unbekannt / Stellmass fehlt; ","")&amp;IF(AND(BW281=0,N(V281)&lt;=0,N(Q281)&lt;=0),"Menge pro Gebinde fehlt (Ist = 1 Gebinde); ","")&amp;BR281)</f>
        <v>Kein Verbrauch; Überbestand 8 Stk / CHF 80; </v>
      </c>
      <c r="BK281" s="48"/>
      <c r="BL281" s="48"/>
      <c r="BM281" s="55"/>
      <c r="BN281" s="50" t="n">
        <v>35</v>
      </c>
      <c r="BO281" s="50" t="n">
        <v>17</v>
      </c>
      <c r="BP281" s="49" t="n">
        <v>350</v>
      </c>
      <c r="BQ281" s="50" t="n">
        <v>0</v>
      </c>
      <c r="BR281" s="48"/>
      <c r="BS281" s="53" t="n">
        <v>0</v>
      </c>
      <c r="BT281" s="53" t="n">
        <v>281</v>
      </c>
      <c r="BU281" s="48" t="str">
        <f aca="false">IF(U281&lt;&gt;"",UPPER(TRIM(U281)),IF(BX281=1,UPPER(VLOOKUP(T281,Parameter!$I$27:$K$29,2,0)),IF(P281="","LOSE",P281)))</f>
        <v>S51</v>
      </c>
      <c r="BV281" s="50" t="n">
        <f aca="false">IF(BU281="LOSE",1,IF(N(V281)&gt;0,V281,IF(BX281=1,MAX(1,N(VLOOKUP(T281,Parameter!$I$27:$K$29,3,0)),H281,N(N281)),IF(N(Q281)&gt;0,Q281,MAX(1,H281)))))</f>
        <v>44</v>
      </c>
      <c r="BW281" s="53" t="n">
        <f aca="false">IF(BU281="LOSE",1,0)</f>
        <v>0</v>
      </c>
      <c r="BX281" s="53" t="n">
        <f aca="false">IF(AND(U281="",OR(P281="",P281="LOSE"),T281&lt;&gt;"",N(S281)&lt;=0,ISNUMBER(MATCH(T281,Parameter!$I$27:$I$29,0))),1,0)</f>
        <v>0</v>
      </c>
      <c r="BY281" s="53" t="n">
        <f aca="false">IF(CL281&gt;0,INDEX(Parameter!$H$5:$H$7,W281)/INDEX(Parameter!$E$5:$E$7,W281),IF(AND(BW281=0,N(IFERROR(VLOOKUP(BU281,'Gebinde-Kategorie'!$A$5:$N$45,14,0),0))&gt;0),VLOOKUP(BU281,'Gebinde-Kategorie'!$A$5:$N$45,14,0)*10+Parameter!$M$23,Parameter!$M$24))</f>
        <v>155</v>
      </c>
      <c r="BZ281" s="48" t="str">
        <f aca="false">IF(AND(Parameter!$B$19="Ja",E281&lt;&gt;"",ISNUMBER(MATCH(E281,Parameter!$I$35:$I$52,0))),VLOOKUP(E281,Parameter!$I$35:$J$52,2,0),IFERROR(VLOOKUP(D281,Parameter!$A$35:$C$64,2,0),"Nein"))</f>
        <v>2+3</v>
      </c>
      <c r="CA281" s="52" t="n">
        <f aca="false">IF(BW281=0,0,IF(N(S281)&gt;0,S281,IFERROR(VLOOKUP(D281,Parameter!$A$35:$C$64,3,0)+0,0)))</f>
        <v>0</v>
      </c>
      <c r="CB281" s="48" t="n">
        <f aca="false">IF(AA281&lt;&gt;"",AA281,Z281)</f>
        <v>3</v>
      </c>
      <c r="CC281" s="48" t="str">
        <f aca="false">IF(OR(CB281=1,CB281=2,CB281=3),IF(Parameter!$E$27="Ja","LIFT",IF(CB281=1,"L1","L23")),IF(CB281="Aussen","Aussen","-"))</f>
        <v>LIFT</v>
      </c>
      <c r="CD281" s="59" t="n">
        <f aca="false">IF(N(AB281)&gt;0,AB281,0)</f>
        <v>0</v>
      </c>
      <c r="CE281" s="53" t="n">
        <f aca="false">IF(ISNUMBER(AE281),1,0)</f>
        <v>0</v>
      </c>
      <c r="CF281" s="50" t="n">
        <f aca="false">N(AE281)</f>
        <v>0</v>
      </c>
      <c r="CG281" s="50" t="n">
        <f aca="false">N(M281)+N(N281)</f>
        <v>1</v>
      </c>
      <c r="CH281" s="50" t="n">
        <f aca="false">ROUNDUP(H281/BV281,0)</f>
        <v>2</v>
      </c>
      <c r="CI281" s="50" t="n">
        <f aca="false">ROUNDUP(CF281/BV281,0)</f>
        <v>0</v>
      </c>
      <c r="CJ281" s="53" t="n">
        <f aca="false">IF(BW281=1,0,IFERROR(VLOOKUP(BU281,'Gebinde-Kategorie'!$A$5:$N$45,5,0)+0,0))</f>
        <v>11</v>
      </c>
      <c r="CK281" s="53" t="n">
        <f aca="false">IFERROR(IF(OR(CB281=1,CB281=2,CB281=3),N(INDEX(Parameter!$I$5:$I$7,CB281)),0),0)</f>
        <v>0</v>
      </c>
      <c r="CL281" s="52" t="n">
        <f aca="false">IF(AND(Parameter!$B$21="Ja",ISNUMBER(W281),N(X281)&gt;0),IFERROR(N(INDEX(Parameter!$L$5:$L$7,W281))*INDEX(Parameter!$E$5:$E$7,W281)*X281/SUMIFS($X$7:$X$1843,$W$7:$W$1843,W281),0),0)</f>
        <v>0</v>
      </c>
    </row>
    <row r="282" customFormat="false" ht="15" hidden="false" customHeight="false" outlineLevel="0" collapsed="false">
      <c r="A282" s="48" t="s">
        <v>742</v>
      </c>
      <c r="B282" s="48" t="s">
        <v>593</v>
      </c>
      <c r="C282" s="48" t="s">
        <v>168</v>
      </c>
      <c r="D282" s="48" t="s">
        <v>188</v>
      </c>
      <c r="E282" s="48" t="s">
        <v>189</v>
      </c>
      <c r="F282" s="48" t="s">
        <v>222</v>
      </c>
      <c r="G282" s="49" t="n">
        <v>1.62</v>
      </c>
      <c r="H282" s="50" t="n">
        <f aca="false">MAX(0,IF(AND(Parameter!$B$21="Ja",ISNUMBER(Y282)),Y282,IF(Parameter!$B$20="Jahresanfang 2025 + Export",BO282+BN282,BN282)))</f>
        <v>322</v>
      </c>
      <c r="I282" s="50" t="n">
        <f aca="false">H282*G282</f>
        <v>521.64</v>
      </c>
      <c r="J282" s="50" t="n">
        <f aca="false">BQ282*Parameter!$B$18</f>
        <v>309</v>
      </c>
      <c r="K282" s="51" t="n">
        <v>85</v>
      </c>
      <c r="L282" s="52" t="n">
        <v>3.63529411764706</v>
      </c>
      <c r="M282" s="50" t="n">
        <v>18</v>
      </c>
      <c r="N282" s="50" t="n">
        <v>310</v>
      </c>
      <c r="O282" s="53" t="n">
        <v>21</v>
      </c>
      <c r="P282" s="48" t="s">
        <v>405</v>
      </c>
      <c r="Q282" s="50" t="n">
        <v>175</v>
      </c>
      <c r="R282" s="53" t="n">
        <f aca="false">IF(BW282=1,0,IFERROR(VLOOKUP(BU282,'Gebinde-Kategorie'!$A$5:$N$45,13,0)+0,0))</f>
        <v>280</v>
      </c>
      <c r="S282" s="54"/>
      <c r="T282" s="55"/>
      <c r="U282" s="55"/>
      <c r="V282" s="55"/>
      <c r="W282" s="48"/>
      <c r="X282" s="50"/>
      <c r="Y282" s="50"/>
      <c r="Z282" s="48" t="n">
        <f aca="false">IF(A282="","",IF(AND(Parameter!$B$21="Ja",ISNUMBER(W282)),W282,IF(BZ282="2+3",IF(ISNUMBER(SEARCH("grosser Artikel",BR282)),2,IFERROR(VLOOKUP(BU282,Parameter!$F$35:$G$64,2,0),2)),IF(OR(BZ282="Nein",BZ282=""),"-",BZ282))))</f>
        <v>3</v>
      </c>
      <c r="AA282" s="55"/>
      <c r="AB282" s="56"/>
      <c r="AC282" s="50" t="n">
        <f aca="false">AT282</f>
        <v>350</v>
      </c>
      <c r="AD282" s="50" t="n">
        <f aca="false">MAX(AT282,H282)</f>
        <v>350</v>
      </c>
      <c r="AE282" s="57"/>
      <c r="AF282" s="50" t="n">
        <f aca="false">IF(LEFT(Cockpit!$C$5,1)="A",H282,IF(CE282=1,CF282,IF(LEFT(Cockpit!$C$5,1)="B",AK282,MAX(AK282,H282))))</f>
        <v>322</v>
      </c>
      <c r="AG282" s="50" t="n">
        <f aca="false">IF(BW282=1,0,ROUNDUP(AF282/BV282,0))</f>
        <v>2</v>
      </c>
      <c r="AH282" s="52" t="n">
        <f aca="false">IF(CL282&gt;0,CL282*MAX(1,AF282/X282),IF(BW282=1,IF(AF282&lt;=0,0,CA282*MAX(1,IF(H282&gt;0,AF282/H282,1))),IF(R282&gt;0,AG282/R282,0))/MAX(0.1,N(Parameter!$M$21)))</f>
        <v>0.00714285714285714</v>
      </c>
      <c r="AI282" s="50" t="n">
        <f aca="false">AH282*BY282</f>
        <v>1.10714285714286</v>
      </c>
      <c r="AJ282" s="50" t="n">
        <f aca="false">AF282*G282</f>
        <v>521.64</v>
      </c>
      <c r="AK282" s="50" t="n">
        <f aca="false">ROUNDUP(MAX(J282/IF(CD282&gt;0,CD282,MAX(0.1,N(Cockpit!$C$6))),CG282)/BV282,0)*BV282</f>
        <v>350</v>
      </c>
      <c r="AL282" s="51" t="n">
        <f aca="false">IF(AI282&gt;0,J282/AI282,-1)</f>
        <v>279.096774193548</v>
      </c>
      <c r="AM282" s="51" t="n">
        <f aca="false">IF(AND(OR(CC282="L1",CC282="L23",CC282="LIFT"),AI282&gt;0),SUMIFS($AI$7:$AI$1843,$CC$7:$CC$1843,CC282,$AL$7:$AL$1843,"&gt;"&amp;AL282)+SUMIFS($AI$7:$AI$1843,$CC$7:$CC$1843,CC282,$AL$7:$AL$1843,AL282,$BT$7:$BT$1843,"&lt;="&amp;BT282),"")</f>
        <v>272.570512820513</v>
      </c>
      <c r="AN282" s="58" t="n">
        <f aca="false">IF(AM282="",0,MAX(0,MIN(1,(IF(CC282="L1",Parameter!$H$5,IF(CC282="L23",Parameter!$H$6+Parameter!$H$7,Parameter!$H$5+Parameter!$H$6+Parameter!$H$7))-(AM282-AI282))/AI282)))</f>
        <v>1</v>
      </c>
      <c r="AO282" s="50" t="n">
        <f aca="false">IF(LEFT(Cockpit!$I$5,1)="A",H282,IF(CE282=1,CF282,IF(LEFT(Cockpit!$I$5,1)="B",AT282,MAX(AT282,H282))))</f>
        <v>350</v>
      </c>
      <c r="AP282" s="50" t="n">
        <f aca="false">IF(BW282=1,0,ROUNDUP(AO282/BV282,0))</f>
        <v>2</v>
      </c>
      <c r="AQ282" s="52" t="n">
        <f aca="false">IF(CL282&gt;0,CL282*MAX(1,AO282/X282),IF(BW282=1,IF(AO282&lt;=0,0,CA282*MAX(1,IF(H282&gt;0,AO282/H282,1))),IF(R282&gt;0,AP282/R282,0))/MAX(0.1,N(Parameter!$M$21)))</f>
        <v>0.00714285714285714</v>
      </c>
      <c r="AR282" s="50" t="n">
        <f aca="false">AQ282*BY282</f>
        <v>1.10714285714286</v>
      </c>
      <c r="AS282" s="50" t="n">
        <f aca="false">AO282*G282</f>
        <v>567</v>
      </c>
      <c r="AT282" s="50" t="n">
        <f aca="false">ROUNDUP(MAX(J282/IF(CD282&gt;0,CD282,MAX(0.1,N(Cockpit!$I$6))),CG282)/BV282,0)*BV282</f>
        <v>350</v>
      </c>
      <c r="AU282" s="51" t="n">
        <f aca="false">IF(AR282&gt;0,J282/AR282,-1)</f>
        <v>279.096774193548</v>
      </c>
      <c r="AV282" s="51" t="n">
        <f aca="false">IF(AND(OR(CC282="L1",CC282="L23",CC282="LIFT"),AR282&gt;0),SUMIFS($AR$7:$AR$1843,$CC$7:$CC$1843,CC282,$AU$7:$AU$1843,"&gt;"&amp;AU282)+SUMIFS($AR$7:$AR$1843,$CC$7:$CC$1843,CC282,$AU$7:$AU$1843,AU282,$BT$7:$BT$1843,"&lt;="&amp;BT282),"")</f>
        <v>199.164377289377</v>
      </c>
      <c r="AW282" s="58" t="n">
        <f aca="false">IF(AV282="",0,MAX(0,MIN(1,(IF(CC282="L1",Parameter!$H$5,IF(CC282="L23",Parameter!$H$6+Parameter!$H$7,Parameter!$H$5+Parameter!$H$6+Parameter!$H$7))-(AV282-AR282))/AR282)))</f>
        <v>1</v>
      </c>
      <c r="AX282" s="50" t="n">
        <f aca="false">IF(LEFT(Cockpit!$O$5,1)="A",H282,IF(CE282=1,CF282,IF(LEFT(Cockpit!$O$5,1)="B",BC282,MAX(BC282,H282))))</f>
        <v>350</v>
      </c>
      <c r="AY282" s="50" t="n">
        <f aca="false">IF(BW282=1,0,ROUNDUP(AX282/BV282,0))</f>
        <v>2</v>
      </c>
      <c r="AZ282" s="52" t="n">
        <f aca="false">IF(CL282&gt;0,CL282*MAX(1,AX282/X282),IF(BW282=1,IF(AX282&lt;=0,0,CA282*MAX(1,IF(H282&gt;0,AX282/H282,1))),IF(R282&gt;0,AY282/R282,0))/MAX(0.1,N(Parameter!$M$21)))</f>
        <v>0.00714285714285714</v>
      </c>
      <c r="BA282" s="50" t="n">
        <f aca="false">AZ282*BY282</f>
        <v>1.10714285714286</v>
      </c>
      <c r="BB282" s="50" t="n">
        <f aca="false">AX282*G282</f>
        <v>567</v>
      </c>
      <c r="BC282" s="50" t="n">
        <f aca="false">ROUNDUP(MAX(J282/IF(CD282&gt;0,CD282,MAX(0.1,N(Cockpit!$O$6))),CG282)/BV282,0)*BV282</f>
        <v>350</v>
      </c>
      <c r="BD282" s="51" t="n">
        <f aca="false">IF(BA282&gt;0,J282/BA282,-1)</f>
        <v>279.096774193548</v>
      </c>
      <c r="BE282" s="51" t="n">
        <f aca="false">IF(AND(OR(CC282="L1",CC282="L23",CC282="LIFT"),BA282&gt;0),SUMIFS($BA$7:$BA$1843,$CC$7:$CC$1843,CC282,$BD$7:$BD$1843,"&gt;"&amp;BD282)+SUMIFS($BA$7:$BA$1843,$CC$7:$CC$1843,CC282,$BD$7:$BD$1843,BD282,$BT$7:$BT$1843,"&lt;="&amp;BT282),"")</f>
        <v>212.048992673993</v>
      </c>
      <c r="BF282" s="58" t="n">
        <f aca="false">IF(BE282="",0,MAX(0,MIN(1,(IF(CC282="L1",Parameter!$H$5,IF(CC282="L23",Parameter!$H$6+Parameter!$H$7,Parameter!$H$5+Parameter!$H$6+Parameter!$H$7))-(BE282-BA282))/BA282)))</f>
        <v>1</v>
      </c>
      <c r="BG282" s="48" t="str">
        <f aca="false">IF(AI282&lt;=0,"",IF(CC282="Aussen","Aussenlager",IF(CC282="-","Nicht im Lift",IF(AN282&gt;=1,"Lift",IF(AN282&lt;=0,"Aussenlager","teilweise")))))</f>
        <v>Lift</v>
      </c>
      <c r="BH282" s="48" t="str">
        <f aca="false">IF(AR282&lt;=0,"",IF(CC282="Aussen","Aussenlager",IF(CC282="-","Nicht im Lift",IF(AW282&gt;=1,"Lift",IF(AW282&lt;=0,"Aussenlager","teilweise")))))</f>
        <v>Lift</v>
      </c>
      <c r="BI282" s="48" t="str">
        <f aca="false">IF(BA282&lt;=0,"",IF(CC282="Aussen","Aussenlager",IF(CC282="-","Nicht im Lift",IF(BF282&gt;=1,"Lift",IF(BF282&lt;=0,"Aussenlager","teilweise")))))</f>
        <v>Lift</v>
      </c>
      <c r="BJ282" s="48" t="str">
        <f aca="false">IF(A282="","",IF(BS282=1,"Neu; ","")&amp;IF(AND(BS282=0,BN282&lt;0),"negativer Bestand (Export "&amp;BN282&amp;"); ","")&amp;IF(J282&lt;=0,"Kein Verbrauch; ","")&amp;IF(CL282&gt;0,"Lift "&amp;W282&amp;" lt. Liftbericht (Fach "&amp;X282&amp;" Stk); ",IF(BX282=1,"Gebinde geschätzt ("&amp;T282&amp;"); ",IF(BW282=1,"Lose – Tablare geschätzt; ","")))&amp;IF(H282&gt;AT282,"Überbestand "&amp;ROUND(H282-AT282,0)&amp;" Stk / CHF "&amp;ROUND((H282-AT282)*G282,0)&amp;"; ","")&amp;IF(AND(CE282=1,CF282&lt;CG282),"MAX &lt; MB+LG; ","")&amp;IF(AND(CK282&gt;0,CJ282*10&gt;CK282),"zu hoch für Tablar; ","")&amp;IF(AND(BS282=0,OR(CE282=1,AA282&lt;&gt;"",U282&lt;&gt;"",V282&lt;&gt;"",AB282&lt;&gt;"")),"manuell übersteuert; ","")&amp;IF(AND(BW282=0,R282=0),"Gebinde unbekannt / Stellmass fehlt; ","")&amp;IF(AND(BW282=0,N(V282)&lt;=0,N(Q282)&lt;=0),"Menge pro Gebinde fehlt (Ist = 1 Gebinde); ","")&amp;BR282)</f>
        <v/>
      </c>
      <c r="BK282" s="48"/>
      <c r="BL282" s="48"/>
      <c r="BM282" s="55"/>
      <c r="BN282" s="50" t="n">
        <v>224</v>
      </c>
      <c r="BO282" s="50" t="n">
        <v>98</v>
      </c>
      <c r="BP282" s="49" t="n">
        <v>345.24</v>
      </c>
      <c r="BQ282" s="50" t="n">
        <v>309</v>
      </c>
      <c r="BR282" s="48"/>
      <c r="BS282" s="53" t="n">
        <v>0</v>
      </c>
      <c r="BT282" s="53" t="n">
        <v>282</v>
      </c>
      <c r="BU282" s="48" t="str">
        <f aca="false">IF(U282&lt;&gt;"",UPPER(TRIM(U282)),IF(BX282=1,UPPER(VLOOKUP(T282,Parameter!$I$27:$K$29,2,0)),IF(P282="","LOSE",P282)))</f>
        <v>S21</v>
      </c>
      <c r="BV282" s="50" t="n">
        <f aca="false">IF(BU282="LOSE",1,IF(N(V282)&gt;0,V282,IF(BX282=1,MAX(1,N(VLOOKUP(T282,Parameter!$I$27:$K$29,3,0)),H282,N(N282)),IF(N(Q282)&gt;0,Q282,MAX(1,H282)))))</f>
        <v>175</v>
      </c>
      <c r="BW282" s="53" t="n">
        <f aca="false">IF(BU282="LOSE",1,0)</f>
        <v>0</v>
      </c>
      <c r="BX282" s="53" t="n">
        <f aca="false">IF(AND(U282="",OR(P282="",P282="LOSE"),T282&lt;&gt;"",N(S282)&lt;=0,ISNUMBER(MATCH(T282,Parameter!$I$27:$I$29,0))),1,0)</f>
        <v>0</v>
      </c>
      <c r="BY282" s="53" t="n">
        <f aca="false">IF(CL282&gt;0,INDEX(Parameter!$H$5:$H$7,W282)/INDEX(Parameter!$E$5:$E$7,W282),IF(AND(BW282=0,N(IFERROR(VLOOKUP(BU282,'Gebinde-Kategorie'!$A$5:$N$45,14,0),0))&gt;0),VLOOKUP(BU282,'Gebinde-Kategorie'!$A$5:$N$45,14,0)*10+Parameter!$M$23,Parameter!$M$24))</f>
        <v>155</v>
      </c>
      <c r="BZ282" s="48" t="str">
        <f aca="false">IF(AND(Parameter!$B$19="Ja",E282&lt;&gt;"",ISNUMBER(MATCH(E282,Parameter!$I$35:$I$52,0))),VLOOKUP(E282,Parameter!$I$35:$J$52,2,0),IFERROR(VLOOKUP(D282,Parameter!$A$35:$C$64,2,0),"Nein"))</f>
        <v>2+3</v>
      </c>
      <c r="CA282" s="52" t="n">
        <f aca="false">IF(BW282=0,0,IF(N(S282)&gt;0,S282,IFERROR(VLOOKUP(D282,Parameter!$A$35:$C$64,3,0)+0,0)))</f>
        <v>0</v>
      </c>
      <c r="CB282" s="48" t="n">
        <f aca="false">IF(AA282&lt;&gt;"",AA282,Z282)</f>
        <v>3</v>
      </c>
      <c r="CC282" s="48" t="str">
        <f aca="false">IF(OR(CB282=1,CB282=2,CB282=3),IF(Parameter!$E$27="Ja","LIFT",IF(CB282=1,"L1","L23")),IF(CB282="Aussen","Aussen","-"))</f>
        <v>LIFT</v>
      </c>
      <c r="CD282" s="59" t="n">
        <f aca="false">IF(N(AB282)&gt;0,AB282,0)</f>
        <v>0</v>
      </c>
      <c r="CE282" s="53" t="n">
        <f aca="false">IF(ISNUMBER(AE282),1,0)</f>
        <v>0</v>
      </c>
      <c r="CF282" s="50" t="n">
        <f aca="false">N(AE282)</f>
        <v>0</v>
      </c>
      <c r="CG282" s="50" t="n">
        <f aca="false">N(M282)+N(N282)</f>
        <v>328</v>
      </c>
      <c r="CH282" s="50" t="n">
        <f aca="false">ROUNDUP(H282/BV282,0)</f>
        <v>2</v>
      </c>
      <c r="CI282" s="50" t="n">
        <f aca="false">ROUNDUP(CF282/BV282,0)</f>
        <v>0</v>
      </c>
      <c r="CJ282" s="53" t="n">
        <f aca="false">IF(BW282=1,0,IFERROR(VLOOKUP(BU282,'Gebinde-Kategorie'!$A$5:$N$45,5,0)+0,0))</f>
        <v>8</v>
      </c>
      <c r="CK282" s="53" t="n">
        <f aca="false">IFERROR(IF(OR(CB282=1,CB282=2,CB282=3),N(INDEX(Parameter!$I$5:$I$7,CB282)),0),0)</f>
        <v>0</v>
      </c>
      <c r="CL282" s="52" t="n">
        <f aca="false">IF(AND(Parameter!$B$21="Ja",ISNUMBER(W282),N(X282)&gt;0),IFERROR(N(INDEX(Parameter!$L$5:$L$7,W282))*INDEX(Parameter!$E$5:$E$7,W282)*X282/SUMIFS($X$7:$X$1843,$W$7:$W$1843,W282),0),0)</f>
        <v>0</v>
      </c>
    </row>
    <row r="283" customFormat="false" ht="15" hidden="false" customHeight="false" outlineLevel="0" collapsed="false">
      <c r="A283" s="48" t="s">
        <v>743</v>
      </c>
      <c r="B283" s="48" t="s">
        <v>744</v>
      </c>
      <c r="C283" s="48" t="s">
        <v>168</v>
      </c>
      <c r="D283" s="48" t="s">
        <v>188</v>
      </c>
      <c r="E283" s="48"/>
      <c r="F283" s="48" t="s">
        <v>222</v>
      </c>
      <c r="G283" s="49" t="n">
        <v>22.11</v>
      </c>
      <c r="H283" s="50" t="n">
        <f aca="false">MAX(0,IF(AND(Parameter!$B$21="Ja",ISNUMBER(Y283)),Y283,IF(Parameter!$B$20="Jahresanfang 2025 + Export",BO283+BN283,BN283)))</f>
        <v>57</v>
      </c>
      <c r="I283" s="50" t="n">
        <f aca="false">H283*G283</f>
        <v>1260.27</v>
      </c>
      <c r="J283" s="50" t="n">
        <f aca="false">BQ283*Parameter!$B$18</f>
        <v>152</v>
      </c>
      <c r="K283" s="51" t="n">
        <v>57</v>
      </c>
      <c r="L283" s="52" t="n">
        <v>2.66666666666667</v>
      </c>
      <c r="M283" s="50" t="n">
        <v>15</v>
      </c>
      <c r="N283" s="50" t="n">
        <v>24</v>
      </c>
      <c r="O283" s="53" t="n">
        <v>28</v>
      </c>
      <c r="P283" s="48" t="s">
        <v>190</v>
      </c>
      <c r="Q283" s="50" t="n">
        <v>80</v>
      </c>
      <c r="R283" s="53" t="n">
        <f aca="false">IF(BW283=1,0,IFERROR(VLOOKUP(BU283,'Gebinde-Kategorie'!$A$5:$N$45,13,0)+0,0))</f>
        <v>12</v>
      </c>
      <c r="S283" s="54"/>
      <c r="T283" s="55"/>
      <c r="U283" s="55"/>
      <c r="V283" s="55"/>
      <c r="W283" s="48"/>
      <c r="X283" s="50"/>
      <c r="Y283" s="50"/>
      <c r="Z283" s="48" t="n">
        <f aca="false">IF(A283="","",IF(AND(Parameter!$B$21="Ja",ISNUMBER(W283)),W283,IF(BZ283="2+3",IF(ISNUMBER(SEARCH("grosser Artikel",BR283)),2,IFERROR(VLOOKUP(BU283,Parameter!$F$35:$G$64,2,0),2)),IF(OR(BZ283="Nein",BZ283=""),"-",BZ283))))</f>
        <v>2</v>
      </c>
      <c r="AA283" s="55"/>
      <c r="AB283" s="56"/>
      <c r="AC283" s="50" t="n">
        <f aca="false">AT283</f>
        <v>80</v>
      </c>
      <c r="AD283" s="50" t="n">
        <f aca="false">MAX(AT283,H283)</f>
        <v>80</v>
      </c>
      <c r="AE283" s="57"/>
      <c r="AF283" s="50" t="n">
        <f aca="false">IF(LEFT(Cockpit!$C$5,1)="A",H283,IF(CE283=1,CF283,IF(LEFT(Cockpit!$C$5,1)="B",AK283,MAX(AK283,H283))))</f>
        <v>57</v>
      </c>
      <c r="AG283" s="50" t="n">
        <f aca="false">IF(BW283=1,0,ROUNDUP(AF283/BV283,0))</f>
        <v>1</v>
      </c>
      <c r="AH283" s="52" t="n">
        <f aca="false">IF(CL283&gt;0,CL283*MAX(1,AF283/X283),IF(BW283=1,IF(AF283&lt;=0,0,CA283*MAX(1,IF(H283&gt;0,AF283/H283,1))),IF(R283&gt;0,AG283/R283,0))/MAX(0.1,N(Parameter!$M$21)))</f>
        <v>0.0833333333333333</v>
      </c>
      <c r="AI283" s="50" t="n">
        <f aca="false">AH283*BY283</f>
        <v>12.0833333333333</v>
      </c>
      <c r="AJ283" s="50" t="n">
        <f aca="false">AF283*G283</f>
        <v>1260.27</v>
      </c>
      <c r="AK283" s="50" t="n">
        <f aca="false">ROUNDUP(MAX(J283/IF(CD283&gt;0,CD283,MAX(0.1,N(Cockpit!$C$6))),CG283)/BV283,0)*BV283</f>
        <v>80</v>
      </c>
      <c r="AL283" s="51" t="n">
        <f aca="false">IF(AI283&gt;0,J283/AI283,-1)</f>
        <v>12.5793103448276</v>
      </c>
      <c r="AM283" s="51" t="n">
        <f aca="false">IF(AND(OR(CC283="L1",CC283="L23",CC283="LIFT"),AI283&gt;0),SUMIFS($AI$7:$AI$1843,$CC$7:$CC$1843,CC283,$AL$7:$AL$1843,"&gt;"&amp;AL283)+SUMIFS($AI$7:$AI$1843,$CC$7:$CC$1843,CC283,$AL$7:$AL$1843,AL283,$BT$7:$BT$1843,"&lt;="&amp;BT283),"")</f>
        <v>2438.38095238095</v>
      </c>
      <c r="AN283" s="58" t="n">
        <f aca="false">IF(AM283="",0,MAX(0,MIN(1,(IF(CC283="L1",Parameter!$H$5,IF(CC283="L23",Parameter!$H$6+Parameter!$H$7,Parameter!$H$5+Parameter!$H$6+Parameter!$H$7))-(AM283-AI283))/AI283)))</f>
        <v>1</v>
      </c>
      <c r="AO283" s="50" t="n">
        <f aca="false">IF(LEFT(Cockpit!$I$5,1)="A",H283,IF(CE283=1,CF283,IF(LEFT(Cockpit!$I$5,1)="B",AT283,MAX(AT283,H283))))</f>
        <v>80</v>
      </c>
      <c r="AP283" s="50" t="n">
        <f aca="false">IF(BW283=1,0,ROUNDUP(AO283/BV283,0))</f>
        <v>1</v>
      </c>
      <c r="AQ283" s="52" t="n">
        <f aca="false">IF(CL283&gt;0,CL283*MAX(1,AO283/X283),IF(BW283=1,IF(AO283&lt;=0,0,CA283*MAX(1,IF(H283&gt;0,AO283/H283,1))),IF(R283&gt;0,AP283/R283,0))/MAX(0.1,N(Parameter!$M$21)))</f>
        <v>0.0833333333333333</v>
      </c>
      <c r="AR283" s="50" t="n">
        <f aca="false">AQ283*BY283</f>
        <v>12.0833333333333</v>
      </c>
      <c r="AS283" s="50" t="n">
        <f aca="false">AO283*G283</f>
        <v>1768.8</v>
      </c>
      <c r="AT283" s="50" t="n">
        <f aca="false">ROUNDUP(MAX(J283/IF(CD283&gt;0,CD283,MAX(0.1,N(Cockpit!$I$6))),CG283)/BV283,0)*BV283</f>
        <v>80</v>
      </c>
      <c r="AU283" s="51" t="n">
        <f aca="false">IF(AR283&gt;0,J283/AR283,-1)</f>
        <v>12.5793103448276</v>
      </c>
      <c r="AV283" s="51" t="n">
        <f aca="false">IF(AND(OR(CC283="L1",CC283="L23",CC283="LIFT"),AR283&gt;0),SUMIFS($AR$7:$AR$1843,$CC$7:$CC$1843,CC283,$AU$7:$AU$1843,"&gt;"&amp;AU283)+SUMIFS($AR$7:$AR$1843,$CC$7:$CC$1843,CC283,$AU$7:$AU$1843,AU283,$BT$7:$BT$1843,"&lt;="&amp;BT283),"")</f>
        <v>3605.44734432234</v>
      </c>
      <c r="AW283" s="58" t="n">
        <f aca="false">IF(AV283="",0,MAX(0,MIN(1,(IF(CC283="L1",Parameter!$H$5,IF(CC283="L23",Parameter!$H$6+Parameter!$H$7,Parameter!$H$5+Parameter!$H$6+Parameter!$H$7))-(AV283-AR283))/AR283)))</f>
        <v>1</v>
      </c>
      <c r="AX283" s="50" t="n">
        <f aca="false">IF(LEFT(Cockpit!$O$5,1)="A",H283,IF(CE283=1,CF283,IF(LEFT(Cockpit!$O$5,1)="B",BC283,MAX(BC283,H283))))</f>
        <v>80</v>
      </c>
      <c r="AY283" s="50" t="n">
        <f aca="false">IF(BW283=1,0,ROUNDUP(AX283/BV283,0))</f>
        <v>1</v>
      </c>
      <c r="AZ283" s="52" t="n">
        <f aca="false">IF(CL283&gt;0,CL283*MAX(1,AX283/X283),IF(BW283=1,IF(AX283&lt;=0,0,CA283*MAX(1,IF(H283&gt;0,AX283/H283,1))),IF(R283&gt;0,AY283/R283,0))/MAX(0.1,N(Parameter!$M$21)))</f>
        <v>0.0833333333333333</v>
      </c>
      <c r="BA283" s="50" t="n">
        <f aca="false">AZ283*BY283</f>
        <v>12.0833333333333</v>
      </c>
      <c r="BB283" s="50" t="n">
        <f aca="false">AX283*G283</f>
        <v>1768.8</v>
      </c>
      <c r="BC283" s="50" t="n">
        <f aca="false">ROUNDUP(MAX(J283/IF(CD283&gt;0,CD283,MAX(0.1,N(Cockpit!$O$6))),CG283)/BV283,0)*BV283</f>
        <v>80</v>
      </c>
      <c r="BD283" s="51" t="n">
        <f aca="false">IF(BA283&gt;0,J283/BA283,-1)</f>
        <v>12.5793103448276</v>
      </c>
      <c r="BE283" s="51" t="n">
        <f aca="false">IF(AND(OR(CC283="L1",CC283="L23",CC283="LIFT"),BA283&gt;0),SUMIFS($BA$7:$BA$1843,$CC$7:$CC$1843,CC283,$BD$7:$BD$1843,"&gt;"&amp;BD283)+SUMIFS($BA$7:$BA$1843,$CC$7:$CC$1843,CC283,$BD$7:$BD$1843,BD283,$BT$7:$BT$1843,"&lt;="&amp;BT283),"")</f>
        <v>3262.00183150183</v>
      </c>
      <c r="BF283" s="58" t="n">
        <f aca="false">IF(BE283="",0,MAX(0,MIN(1,(IF(CC283="L1",Parameter!$H$5,IF(CC283="L23",Parameter!$H$6+Parameter!$H$7,Parameter!$H$5+Parameter!$H$6+Parameter!$H$7))-(BE283-BA283))/BA283)))</f>
        <v>1</v>
      </c>
      <c r="BG283" s="48" t="str">
        <f aca="false">IF(AI283&lt;=0,"",IF(CC283="Aussen","Aussenlager",IF(CC283="-","Nicht im Lift",IF(AN283&gt;=1,"Lift",IF(AN283&lt;=0,"Aussenlager","teilweise")))))</f>
        <v>Lift</v>
      </c>
      <c r="BH283" s="48" t="str">
        <f aca="false">IF(AR283&lt;=0,"",IF(CC283="Aussen","Aussenlager",IF(CC283="-","Nicht im Lift",IF(AW283&gt;=1,"Lift",IF(AW283&lt;=0,"Aussenlager","teilweise")))))</f>
        <v>Lift</v>
      </c>
      <c r="BI283" s="48" t="str">
        <f aca="false">IF(BA283&lt;=0,"",IF(CC283="Aussen","Aussenlager",IF(CC283="-","Nicht im Lift",IF(BF283&gt;=1,"Lift",IF(BF283&lt;=0,"Aussenlager","teilweise")))))</f>
        <v>Lift</v>
      </c>
      <c r="BJ283" s="48" t="str">
        <f aca="false">IF(A283="","",IF(BS283=1,"Neu; ","")&amp;IF(AND(BS283=0,BN283&lt;0),"negativer Bestand (Export "&amp;BN283&amp;"); ","")&amp;IF(J283&lt;=0,"Kein Verbrauch; ","")&amp;IF(CL283&gt;0,"Lift "&amp;W283&amp;" lt. Liftbericht (Fach "&amp;X283&amp;" Stk); ",IF(BX283=1,"Gebinde geschätzt ("&amp;T283&amp;"); ",IF(BW283=1,"Lose – Tablare geschätzt; ","")))&amp;IF(H283&gt;AT283,"Überbestand "&amp;ROUND(H283-AT283,0)&amp;" Stk / CHF "&amp;ROUND((H283-AT283)*G283,0)&amp;"; ","")&amp;IF(AND(CE283=1,CF283&lt;CG283),"MAX &lt; MB+LG; ","")&amp;IF(AND(CK283&gt;0,CJ283*10&gt;CK283),"zu hoch für Tablar; ","")&amp;IF(AND(BS283=0,OR(CE283=1,AA283&lt;&gt;"",U283&lt;&gt;"",V283&lt;&gt;"",AB283&lt;&gt;"")),"manuell übersteuert; ","")&amp;IF(AND(BW283=0,R283=0),"Gebinde unbekannt / Stellmass fehlt; ","")&amp;IF(AND(BW283=0,N(V283)&lt;=0,N(Q283)&lt;=0),"Menge pro Gebinde fehlt (Ist = 1 Gebinde); ","")&amp;BR283)</f>
        <v/>
      </c>
      <c r="BK283" s="48"/>
      <c r="BL283" s="48"/>
      <c r="BM283" s="55"/>
      <c r="BN283" s="50" t="n">
        <v>19</v>
      </c>
      <c r="BO283" s="50" t="n">
        <v>38</v>
      </c>
      <c r="BP283" s="49" t="n">
        <v>339.15</v>
      </c>
      <c r="BQ283" s="50" t="n">
        <v>152</v>
      </c>
      <c r="BR283" s="48"/>
      <c r="BS283" s="53" t="n">
        <v>0</v>
      </c>
      <c r="BT283" s="53" t="n">
        <v>283</v>
      </c>
      <c r="BU283" s="48" t="str">
        <f aca="false">IF(U283&lt;&gt;"",UPPER(TRIM(U283)),IF(BX283=1,UPPER(VLOOKUP(T283,Parameter!$I$27:$K$29,2,0)),IF(P283="","LOSE",P283)))</f>
        <v>S61</v>
      </c>
      <c r="BV283" s="50" t="n">
        <f aca="false">IF(BU283="LOSE",1,IF(N(V283)&gt;0,V283,IF(BX283=1,MAX(1,N(VLOOKUP(T283,Parameter!$I$27:$K$29,3,0)),H283,N(N283)),IF(N(Q283)&gt;0,Q283,MAX(1,H283)))))</f>
        <v>80</v>
      </c>
      <c r="BW283" s="53" t="n">
        <f aca="false">IF(BU283="LOSE",1,0)</f>
        <v>0</v>
      </c>
      <c r="BX283" s="53" t="n">
        <f aca="false">IF(AND(U283="",OR(P283="",P283="LOSE"),T283&lt;&gt;"",N(S283)&lt;=0,ISNUMBER(MATCH(T283,Parameter!$I$27:$I$29,0))),1,0)</f>
        <v>0</v>
      </c>
      <c r="BY283" s="53" t="n">
        <f aca="false">IF(CL283&gt;0,INDEX(Parameter!$H$5:$H$7,W283)/INDEX(Parameter!$E$5:$E$7,W283),IF(AND(BW283=0,N(IFERROR(VLOOKUP(BU283,'Gebinde-Kategorie'!$A$5:$N$45,14,0),0))&gt;0),VLOOKUP(BU283,'Gebinde-Kategorie'!$A$5:$N$45,14,0)*10+Parameter!$M$23,Parameter!$M$24))</f>
        <v>145</v>
      </c>
      <c r="BZ283" s="48" t="str">
        <f aca="false">IF(AND(Parameter!$B$19="Ja",E283&lt;&gt;"",ISNUMBER(MATCH(E283,Parameter!$I$35:$I$52,0))),VLOOKUP(E283,Parameter!$I$35:$J$52,2,0),IFERROR(VLOOKUP(D283,Parameter!$A$35:$C$64,2,0),"Nein"))</f>
        <v>2+3</v>
      </c>
      <c r="CA283" s="52" t="n">
        <f aca="false">IF(BW283=0,0,IF(N(S283)&gt;0,S283,IFERROR(VLOOKUP(D283,Parameter!$A$35:$C$64,3,0)+0,0)))</f>
        <v>0</v>
      </c>
      <c r="CB283" s="48" t="n">
        <f aca="false">IF(AA283&lt;&gt;"",AA283,Z283)</f>
        <v>2</v>
      </c>
      <c r="CC283" s="48" t="str">
        <f aca="false">IF(OR(CB283=1,CB283=2,CB283=3),IF(Parameter!$E$27="Ja","LIFT",IF(CB283=1,"L1","L23")),IF(CB283="Aussen","Aussen","-"))</f>
        <v>LIFT</v>
      </c>
      <c r="CD283" s="59" t="n">
        <f aca="false">IF(N(AB283)&gt;0,AB283,0)</f>
        <v>0</v>
      </c>
      <c r="CE283" s="53" t="n">
        <f aca="false">IF(ISNUMBER(AE283),1,0)</f>
        <v>0</v>
      </c>
      <c r="CF283" s="50" t="n">
        <f aca="false">N(AE283)</f>
        <v>0</v>
      </c>
      <c r="CG283" s="50" t="n">
        <f aca="false">N(M283)+N(N283)</f>
        <v>39</v>
      </c>
      <c r="CH283" s="50" t="n">
        <f aca="false">ROUNDUP(H283/BV283,0)</f>
        <v>1</v>
      </c>
      <c r="CI283" s="50" t="n">
        <f aca="false">ROUNDUP(CF283/BV283,0)</f>
        <v>0</v>
      </c>
      <c r="CJ283" s="53" t="n">
        <f aca="false">IF(BW283=1,0,IFERROR(VLOOKUP(BU283,'Gebinde-Kategorie'!$A$5:$N$45,5,0)+0,0))</f>
        <v>11</v>
      </c>
      <c r="CK283" s="53" t="n">
        <f aca="false">IFERROR(IF(OR(CB283=1,CB283=2,CB283=3),N(INDEX(Parameter!$I$5:$I$7,CB283)),0),0)</f>
        <v>0</v>
      </c>
      <c r="CL283" s="52" t="n">
        <f aca="false">IF(AND(Parameter!$B$21="Ja",ISNUMBER(W283),N(X283)&gt;0),IFERROR(N(INDEX(Parameter!$L$5:$L$7,W283))*INDEX(Parameter!$E$5:$E$7,W283)*X283/SUMIFS($X$7:$X$1843,$W$7:$W$1843,W283),0),0)</f>
        <v>0</v>
      </c>
    </row>
    <row r="284" customFormat="false" ht="15" hidden="false" customHeight="false" outlineLevel="0" collapsed="false">
      <c r="A284" s="48" t="s">
        <v>745</v>
      </c>
      <c r="B284" s="48" t="s">
        <v>472</v>
      </c>
      <c r="C284" s="48" t="s">
        <v>168</v>
      </c>
      <c r="D284" s="48" t="s">
        <v>188</v>
      </c>
      <c r="E284" s="48" t="s">
        <v>189</v>
      </c>
      <c r="F284" s="48" t="s">
        <v>222</v>
      </c>
      <c r="G284" s="49" t="n">
        <v>0.53</v>
      </c>
      <c r="H284" s="50" t="n">
        <f aca="false">MAX(0,IF(AND(Parameter!$B$21="Ja",ISNUMBER(Y284)),Y284,IF(Parameter!$B$20="Jahresanfang 2025 + Export",BO284+BN284,BN284)))</f>
        <v>981</v>
      </c>
      <c r="I284" s="50" t="n">
        <f aca="false">H284*G284</f>
        <v>519.93</v>
      </c>
      <c r="J284" s="50" t="n">
        <f aca="false">BQ284*Parameter!$B$18</f>
        <v>1116</v>
      </c>
      <c r="K284" s="51" t="n">
        <v>450</v>
      </c>
      <c r="L284" s="52" t="n">
        <v>2.48</v>
      </c>
      <c r="M284" s="50" t="n">
        <v>43</v>
      </c>
      <c r="N284" s="50" t="n">
        <v>1115</v>
      </c>
      <c r="O284" s="53" t="n">
        <v>14</v>
      </c>
      <c r="P284" s="48" t="s">
        <v>332</v>
      </c>
      <c r="Q284" s="50" t="n">
        <v>470</v>
      </c>
      <c r="R284" s="53" t="n">
        <f aca="false">IF(BW284=1,0,IFERROR(VLOOKUP(BU284,'Gebinde-Kategorie'!$A$5:$N$45,13,0)+0,0))</f>
        <v>52</v>
      </c>
      <c r="S284" s="54"/>
      <c r="T284" s="55"/>
      <c r="U284" s="55"/>
      <c r="V284" s="55"/>
      <c r="W284" s="48"/>
      <c r="X284" s="50"/>
      <c r="Y284" s="50"/>
      <c r="Z284" s="48" t="n">
        <f aca="false">IF(A284="","",IF(AND(Parameter!$B$21="Ja",ISNUMBER(W284)),W284,IF(BZ284="2+3",IF(ISNUMBER(SEARCH("grosser Artikel",BR284)),2,IFERROR(VLOOKUP(BU284,Parameter!$F$35:$G$64,2,0),2)),IF(OR(BZ284="Nein",BZ284=""),"-",BZ284))))</f>
        <v>3</v>
      </c>
      <c r="AA284" s="55"/>
      <c r="AB284" s="56"/>
      <c r="AC284" s="50" t="n">
        <f aca="false">AT284</f>
        <v>1410</v>
      </c>
      <c r="AD284" s="50" t="n">
        <f aca="false">MAX(AT284,H284)</f>
        <v>1410</v>
      </c>
      <c r="AE284" s="57"/>
      <c r="AF284" s="50" t="n">
        <f aca="false">IF(LEFT(Cockpit!$C$5,1)="A",H284,IF(CE284=1,CF284,IF(LEFT(Cockpit!$C$5,1)="B",AK284,MAX(AK284,H284))))</f>
        <v>981</v>
      </c>
      <c r="AG284" s="50" t="n">
        <f aca="false">IF(BW284=1,0,ROUNDUP(AF284/BV284,0))</f>
        <v>3</v>
      </c>
      <c r="AH284" s="52" t="n">
        <f aca="false">IF(CL284&gt;0,CL284*MAX(1,AF284/X284),IF(BW284=1,IF(AF284&lt;=0,0,CA284*MAX(1,IF(H284&gt;0,AF284/H284,1))),IF(R284&gt;0,AG284/R284,0))/MAX(0.1,N(Parameter!$M$21)))</f>
        <v>0.0576923076923077</v>
      </c>
      <c r="AI284" s="50" t="n">
        <f aca="false">AH284*BY284</f>
        <v>8.94230769230769</v>
      </c>
      <c r="AJ284" s="50" t="n">
        <f aca="false">AF284*G284</f>
        <v>519.93</v>
      </c>
      <c r="AK284" s="50" t="n">
        <f aca="false">ROUNDUP(MAX(J284/IF(CD284&gt;0,CD284,MAX(0.1,N(Cockpit!$C$6))),CG284)/BV284,0)*BV284</f>
        <v>1410</v>
      </c>
      <c r="AL284" s="51" t="n">
        <f aca="false">IF(AI284&gt;0,J284/AI284,-1)</f>
        <v>124.8</v>
      </c>
      <c r="AM284" s="51" t="n">
        <f aca="false">IF(AND(OR(CC284="L1",CC284="L23",CC284="LIFT"),AI284&gt;0),SUMIFS($AI$7:$AI$1843,$CC$7:$CC$1843,CC284,$AL$7:$AL$1843,"&gt;"&amp;AL284)+SUMIFS($AI$7:$AI$1843,$CC$7:$CC$1843,CC284,$AL$7:$AL$1843,AL284,$BT$7:$BT$1843,"&lt;="&amp;BT284),"")</f>
        <v>659.375457875458</v>
      </c>
      <c r="AN284" s="58" t="n">
        <f aca="false">IF(AM284="",0,MAX(0,MIN(1,(IF(CC284="L1",Parameter!$H$5,IF(CC284="L23",Parameter!$H$6+Parameter!$H$7,Parameter!$H$5+Parameter!$H$6+Parameter!$H$7))-(AM284-AI284))/AI284)))</f>
        <v>1</v>
      </c>
      <c r="AO284" s="50" t="n">
        <f aca="false">IF(LEFT(Cockpit!$I$5,1)="A",H284,IF(CE284=1,CF284,IF(LEFT(Cockpit!$I$5,1)="B",AT284,MAX(AT284,H284))))</f>
        <v>1410</v>
      </c>
      <c r="AP284" s="50" t="n">
        <f aca="false">IF(BW284=1,0,ROUNDUP(AO284/BV284,0))</f>
        <v>3</v>
      </c>
      <c r="AQ284" s="52" t="n">
        <f aca="false">IF(CL284&gt;0,CL284*MAX(1,AO284/X284),IF(BW284=1,IF(AO284&lt;=0,0,CA284*MAX(1,IF(H284&gt;0,AO284/H284,1))),IF(R284&gt;0,AP284/R284,0))/MAX(0.1,N(Parameter!$M$21)))</f>
        <v>0.0576923076923077</v>
      </c>
      <c r="AR284" s="50" t="n">
        <f aca="false">AQ284*BY284</f>
        <v>8.94230769230769</v>
      </c>
      <c r="AS284" s="50" t="n">
        <f aca="false">AO284*G284</f>
        <v>747.3</v>
      </c>
      <c r="AT284" s="50" t="n">
        <f aca="false">ROUNDUP(MAX(J284/IF(CD284&gt;0,CD284,MAX(0.1,N(Cockpit!$I$6))),CG284)/BV284,0)*BV284</f>
        <v>1410</v>
      </c>
      <c r="AU284" s="51" t="n">
        <f aca="false">IF(AR284&gt;0,J284/AR284,-1)</f>
        <v>124.8</v>
      </c>
      <c r="AV284" s="51" t="n">
        <f aca="false">IF(AND(OR(CC284="L1",CC284="L23",CC284="LIFT"),AR284&gt;0),SUMIFS($AR$7:$AR$1843,$CC$7:$CC$1843,CC284,$AU$7:$AU$1843,"&gt;"&amp;AU284)+SUMIFS($AR$7:$AR$1843,$CC$7:$CC$1843,CC284,$AU$7:$AU$1843,AU284,$BT$7:$BT$1843,"&lt;="&amp;BT284),"")</f>
        <v>785.896062271062</v>
      </c>
      <c r="AW284" s="58" t="n">
        <f aca="false">IF(AV284="",0,MAX(0,MIN(1,(IF(CC284="L1",Parameter!$H$5,IF(CC284="L23",Parameter!$H$6+Parameter!$H$7,Parameter!$H$5+Parameter!$H$6+Parameter!$H$7))-(AV284-AR284))/AR284)))</f>
        <v>1</v>
      </c>
      <c r="AX284" s="50" t="n">
        <f aca="false">IF(LEFT(Cockpit!$O$5,1)="A",H284,IF(CE284=1,CF284,IF(LEFT(Cockpit!$O$5,1)="B",BC284,MAX(BC284,H284))))</f>
        <v>1410</v>
      </c>
      <c r="AY284" s="50" t="n">
        <f aca="false">IF(BW284=1,0,ROUNDUP(AX284/BV284,0))</f>
        <v>3</v>
      </c>
      <c r="AZ284" s="52" t="n">
        <f aca="false">IF(CL284&gt;0,CL284*MAX(1,AX284/X284),IF(BW284=1,IF(AX284&lt;=0,0,CA284*MAX(1,IF(H284&gt;0,AX284/H284,1))),IF(R284&gt;0,AY284/R284,0))/MAX(0.1,N(Parameter!$M$21)))</f>
        <v>0.0576923076923077</v>
      </c>
      <c r="BA284" s="50" t="n">
        <f aca="false">AZ284*BY284</f>
        <v>8.94230769230769</v>
      </c>
      <c r="BB284" s="50" t="n">
        <f aca="false">AX284*G284</f>
        <v>747.3</v>
      </c>
      <c r="BC284" s="50" t="n">
        <f aca="false">ROUNDUP(MAX(J284/IF(CD284&gt;0,CD284,MAX(0.1,N(Cockpit!$O$6))),CG284)/BV284,0)*BV284</f>
        <v>1410</v>
      </c>
      <c r="BD284" s="51" t="n">
        <f aca="false">IF(BA284&gt;0,J284/BA284,-1)</f>
        <v>124.8</v>
      </c>
      <c r="BE284" s="51" t="n">
        <f aca="false">IF(AND(OR(CC284="L1",CC284="L23",CC284="LIFT"),BA284&gt;0),SUMIFS($BA$7:$BA$1843,$CC$7:$CC$1843,CC284,$BD$7:$BD$1843,"&gt;"&amp;BD284)+SUMIFS($BA$7:$BA$1843,$CC$7:$CC$1843,CC284,$BD$7:$BD$1843,BD284,$BT$7:$BT$1843,"&lt;="&amp;BT284),"")</f>
        <v>730.335164835165</v>
      </c>
      <c r="BF284" s="58" t="n">
        <f aca="false">IF(BE284="",0,MAX(0,MIN(1,(IF(CC284="L1",Parameter!$H$5,IF(CC284="L23",Parameter!$H$6+Parameter!$H$7,Parameter!$H$5+Parameter!$H$6+Parameter!$H$7))-(BE284-BA284))/BA284)))</f>
        <v>1</v>
      </c>
      <c r="BG284" s="48" t="str">
        <f aca="false">IF(AI284&lt;=0,"",IF(CC284="Aussen","Aussenlager",IF(CC284="-","Nicht im Lift",IF(AN284&gt;=1,"Lift",IF(AN284&lt;=0,"Aussenlager","teilweise")))))</f>
        <v>Lift</v>
      </c>
      <c r="BH284" s="48" t="str">
        <f aca="false">IF(AR284&lt;=0,"",IF(CC284="Aussen","Aussenlager",IF(CC284="-","Nicht im Lift",IF(AW284&gt;=1,"Lift",IF(AW284&lt;=0,"Aussenlager","teilweise")))))</f>
        <v>Lift</v>
      </c>
      <c r="BI284" s="48" t="str">
        <f aca="false">IF(BA284&lt;=0,"",IF(CC284="Aussen","Aussenlager",IF(CC284="-","Nicht im Lift",IF(BF284&gt;=1,"Lift",IF(BF284&lt;=0,"Aussenlager","teilweise")))))</f>
        <v>Lift</v>
      </c>
      <c r="BJ284" s="48" t="str">
        <f aca="false">IF(A284="","",IF(BS284=1,"Neu; ","")&amp;IF(AND(BS284=0,BN284&lt;0),"negativer Bestand (Export "&amp;BN284&amp;"); ","")&amp;IF(J284&lt;=0,"Kein Verbrauch; ","")&amp;IF(CL284&gt;0,"Lift "&amp;W284&amp;" lt. Liftbericht (Fach "&amp;X284&amp;" Stk); ",IF(BX284=1,"Gebinde geschätzt ("&amp;T284&amp;"); ",IF(BW284=1,"Lose – Tablare geschätzt; ","")))&amp;IF(H284&gt;AT284,"Überbestand "&amp;ROUND(H284-AT284,0)&amp;" Stk / CHF "&amp;ROUND((H284-AT284)*G284,0)&amp;"; ","")&amp;IF(AND(CE284=1,CF284&lt;CG284),"MAX &lt; MB+LG; ","")&amp;IF(AND(CK284&gt;0,CJ284*10&gt;CK284),"zu hoch für Tablar; ","")&amp;IF(AND(BS284=0,OR(CE284=1,AA284&lt;&gt;"",U284&lt;&gt;"",V284&lt;&gt;"",AB284&lt;&gt;"")),"manuell übersteuert; ","")&amp;IF(AND(BW284=0,R284=0),"Gebinde unbekannt / Stellmass fehlt; ","")&amp;IF(AND(BW284=0,N(V284)&lt;=0,N(Q284)&lt;=0),"Menge pro Gebinde fehlt (Ist = 1 Gebinde); ","")&amp;BR284)</f>
        <v/>
      </c>
      <c r="BK284" s="48"/>
      <c r="BL284" s="48"/>
      <c r="BM284" s="55"/>
      <c r="BN284" s="50" t="n">
        <v>700</v>
      </c>
      <c r="BO284" s="50" t="n">
        <v>281</v>
      </c>
      <c r="BP284" s="49" t="n">
        <v>335.51</v>
      </c>
      <c r="BQ284" s="50" t="n">
        <v>1116</v>
      </c>
      <c r="BR284" s="48"/>
      <c r="BS284" s="53" t="n">
        <v>0</v>
      </c>
      <c r="BT284" s="53" t="n">
        <v>284</v>
      </c>
      <c r="BU284" s="48" t="str">
        <f aca="false">IF(U284&lt;&gt;"",UPPER(TRIM(U284)),IF(BX284=1,UPPER(VLOOKUP(T284,Parameter!$I$27:$K$29,2,0)),IF(P284="","LOSE",P284)))</f>
        <v>S41</v>
      </c>
      <c r="BV284" s="50" t="n">
        <f aca="false">IF(BU284="LOSE",1,IF(N(V284)&gt;0,V284,IF(BX284=1,MAX(1,N(VLOOKUP(T284,Parameter!$I$27:$K$29,3,0)),H284,N(N284)),IF(N(Q284)&gt;0,Q284,MAX(1,H284)))))</f>
        <v>470</v>
      </c>
      <c r="BW284" s="53" t="n">
        <f aca="false">IF(BU284="LOSE",1,0)</f>
        <v>0</v>
      </c>
      <c r="BX284" s="53" t="n">
        <f aca="false">IF(AND(U284="",OR(P284="",P284="LOSE"),T284&lt;&gt;"",N(S284)&lt;=0,ISNUMBER(MATCH(T284,Parameter!$I$27:$I$29,0))),1,0)</f>
        <v>0</v>
      </c>
      <c r="BY284" s="53" t="n">
        <f aca="false">IF(CL284&gt;0,INDEX(Parameter!$H$5:$H$7,W284)/INDEX(Parameter!$E$5:$E$7,W284),IF(AND(BW284=0,N(IFERROR(VLOOKUP(BU284,'Gebinde-Kategorie'!$A$5:$N$45,14,0),0))&gt;0),VLOOKUP(BU284,'Gebinde-Kategorie'!$A$5:$N$45,14,0)*10+Parameter!$M$23,Parameter!$M$24))</f>
        <v>155</v>
      </c>
      <c r="BZ284" s="48" t="str">
        <f aca="false">IF(AND(Parameter!$B$19="Ja",E284&lt;&gt;"",ISNUMBER(MATCH(E284,Parameter!$I$35:$I$52,0))),VLOOKUP(E284,Parameter!$I$35:$J$52,2,0),IFERROR(VLOOKUP(D284,Parameter!$A$35:$C$64,2,0),"Nein"))</f>
        <v>2+3</v>
      </c>
      <c r="CA284" s="52" t="n">
        <f aca="false">IF(BW284=0,0,IF(N(S284)&gt;0,S284,IFERROR(VLOOKUP(D284,Parameter!$A$35:$C$64,3,0)+0,0)))</f>
        <v>0</v>
      </c>
      <c r="CB284" s="48" t="n">
        <f aca="false">IF(AA284&lt;&gt;"",AA284,Z284)</f>
        <v>3</v>
      </c>
      <c r="CC284" s="48" t="str">
        <f aca="false">IF(OR(CB284=1,CB284=2,CB284=3),IF(Parameter!$E$27="Ja","LIFT",IF(CB284=1,"L1","L23")),IF(CB284="Aussen","Aussen","-"))</f>
        <v>LIFT</v>
      </c>
      <c r="CD284" s="59" t="n">
        <f aca="false">IF(N(AB284)&gt;0,AB284,0)</f>
        <v>0</v>
      </c>
      <c r="CE284" s="53" t="n">
        <f aca="false">IF(ISNUMBER(AE284),1,0)</f>
        <v>0</v>
      </c>
      <c r="CF284" s="50" t="n">
        <f aca="false">N(AE284)</f>
        <v>0</v>
      </c>
      <c r="CG284" s="50" t="n">
        <f aca="false">N(M284)+N(N284)</f>
        <v>1158</v>
      </c>
      <c r="CH284" s="50" t="n">
        <f aca="false">ROUNDUP(H284/BV284,0)</f>
        <v>3</v>
      </c>
      <c r="CI284" s="50" t="n">
        <f aca="false">ROUNDUP(CF284/BV284,0)</f>
        <v>0</v>
      </c>
      <c r="CJ284" s="53" t="n">
        <f aca="false">IF(BW284=1,0,IFERROR(VLOOKUP(BU284,'Gebinde-Kategorie'!$A$5:$N$45,5,0)+0,0))</f>
        <v>11</v>
      </c>
      <c r="CK284" s="53" t="n">
        <f aca="false">IFERROR(IF(OR(CB284=1,CB284=2,CB284=3),N(INDEX(Parameter!$I$5:$I$7,CB284)),0),0)</f>
        <v>0</v>
      </c>
      <c r="CL284" s="52" t="n">
        <f aca="false">IF(AND(Parameter!$B$21="Ja",ISNUMBER(W284),N(X284)&gt;0),IFERROR(N(INDEX(Parameter!$L$5:$L$7,W284))*INDEX(Parameter!$E$5:$E$7,W284)*X284/SUMIFS($X$7:$X$1843,$W$7:$W$1843,W284),0),0)</f>
        <v>0</v>
      </c>
    </row>
    <row r="285" customFormat="false" ht="15" hidden="false" customHeight="false" outlineLevel="0" collapsed="false">
      <c r="A285" s="48" t="s">
        <v>746</v>
      </c>
      <c r="B285" s="48" t="s">
        <v>747</v>
      </c>
      <c r="C285" s="48" t="s">
        <v>168</v>
      </c>
      <c r="D285" s="48" t="s">
        <v>188</v>
      </c>
      <c r="E285" s="48" t="s">
        <v>189</v>
      </c>
      <c r="F285" s="48" t="s">
        <v>222</v>
      </c>
      <c r="G285" s="49" t="n">
        <v>51.14</v>
      </c>
      <c r="H285" s="50" t="n">
        <f aca="false">MAX(0,IF(AND(Parameter!$B$21="Ja",ISNUMBER(Y285)),Y285,IF(Parameter!$B$20="Jahresanfang 2025 + Export",BO285+BN285,BN285)))</f>
        <v>18</v>
      </c>
      <c r="I285" s="50" t="n">
        <f aca="false">H285*G285</f>
        <v>920.52</v>
      </c>
      <c r="J285" s="50" t="n">
        <f aca="false">BQ285*Parameter!$B$18</f>
        <v>25</v>
      </c>
      <c r="K285" s="51" t="n">
        <v>13.5</v>
      </c>
      <c r="L285" s="52" t="n">
        <v>1.85185185185185</v>
      </c>
      <c r="M285" s="50" t="n">
        <v>2</v>
      </c>
      <c r="N285" s="50" t="n">
        <v>25</v>
      </c>
      <c r="O285" s="53" t="n">
        <v>35</v>
      </c>
      <c r="P285" s="48" t="s">
        <v>237</v>
      </c>
      <c r="Q285" s="50" t="n">
        <v>33</v>
      </c>
      <c r="R285" s="53" t="n">
        <f aca="false">IF(BW285=1,0,IFERROR(VLOOKUP(BU285,'Gebinde-Kategorie'!$A$5:$N$45,13,0)+0,0))</f>
        <v>26</v>
      </c>
      <c r="S285" s="54"/>
      <c r="T285" s="55"/>
      <c r="U285" s="55"/>
      <c r="V285" s="55"/>
      <c r="W285" s="48"/>
      <c r="X285" s="50"/>
      <c r="Y285" s="50"/>
      <c r="Z285" s="48" t="n">
        <f aca="false">IF(A285="","",IF(AND(Parameter!$B$21="Ja",ISNUMBER(W285)),W285,IF(BZ285="2+3",IF(ISNUMBER(SEARCH("grosser Artikel",BR285)),2,IFERROR(VLOOKUP(BU285,Parameter!$F$35:$G$64,2,0),2)),IF(OR(BZ285="Nein",BZ285=""),"-",BZ285))))</f>
        <v>3</v>
      </c>
      <c r="AA285" s="55"/>
      <c r="AB285" s="56"/>
      <c r="AC285" s="50" t="n">
        <f aca="false">AT285</f>
        <v>33</v>
      </c>
      <c r="AD285" s="50" t="n">
        <f aca="false">MAX(AT285,H285)</f>
        <v>33</v>
      </c>
      <c r="AE285" s="57"/>
      <c r="AF285" s="50" t="n">
        <f aca="false">IF(LEFT(Cockpit!$C$5,1)="A",H285,IF(CE285=1,CF285,IF(LEFT(Cockpit!$C$5,1)="B",AK285,MAX(AK285,H285))))</f>
        <v>18</v>
      </c>
      <c r="AG285" s="50" t="n">
        <f aca="false">IF(BW285=1,0,ROUNDUP(AF285/BV285,0))</f>
        <v>1</v>
      </c>
      <c r="AH285" s="52" t="n">
        <f aca="false">IF(CL285&gt;0,CL285*MAX(1,AF285/X285),IF(BW285=1,IF(AF285&lt;=0,0,CA285*MAX(1,IF(H285&gt;0,AF285/H285,1))),IF(R285&gt;0,AG285/R285,0))/MAX(0.1,N(Parameter!$M$21)))</f>
        <v>0.0384615384615385</v>
      </c>
      <c r="AI285" s="50" t="n">
        <f aca="false">AH285*BY285</f>
        <v>9.42307692307692</v>
      </c>
      <c r="AJ285" s="50" t="n">
        <f aca="false">AF285*G285</f>
        <v>920.52</v>
      </c>
      <c r="AK285" s="50" t="n">
        <f aca="false">ROUNDUP(MAX(J285/IF(CD285&gt;0,CD285,MAX(0.1,N(Cockpit!$C$6))),CG285)/BV285,0)*BV285</f>
        <v>33</v>
      </c>
      <c r="AL285" s="51" t="n">
        <f aca="false">IF(AI285&gt;0,J285/AI285,-1)</f>
        <v>2.6530612244898</v>
      </c>
      <c r="AM285" s="51" t="n">
        <f aca="false">IF(AND(OR(CC285="L1",CC285="L23",CC285="LIFT"),AI285&gt;0),SUMIFS($AI$7:$AI$1843,$CC$7:$CC$1843,CC285,$AL$7:$AL$1843,"&gt;"&amp;AL285)+SUMIFS($AI$7:$AI$1843,$CC$7:$CC$1843,CC285,$AL$7:$AL$1843,AL285,$BT$7:$BT$1843,"&lt;="&amp;BT285),"")</f>
        <v>5358.21749084249</v>
      </c>
      <c r="AN285" s="58" t="n">
        <f aca="false">IF(AM285="",0,MAX(0,MIN(1,(IF(CC285="L1",Parameter!$H$5,IF(CC285="L23",Parameter!$H$6+Parameter!$H$7,Parameter!$H$5+Parameter!$H$6+Parameter!$H$7))-(AM285-AI285))/AI285)))</f>
        <v>1</v>
      </c>
      <c r="AO285" s="50" t="n">
        <f aca="false">IF(LEFT(Cockpit!$I$5,1)="A",H285,IF(CE285=1,CF285,IF(LEFT(Cockpit!$I$5,1)="B",AT285,MAX(AT285,H285))))</f>
        <v>33</v>
      </c>
      <c r="AP285" s="50" t="n">
        <f aca="false">IF(BW285=1,0,ROUNDUP(AO285/BV285,0))</f>
        <v>1</v>
      </c>
      <c r="AQ285" s="52" t="n">
        <f aca="false">IF(CL285&gt;0,CL285*MAX(1,AO285/X285),IF(BW285=1,IF(AO285&lt;=0,0,CA285*MAX(1,IF(H285&gt;0,AO285/H285,1))),IF(R285&gt;0,AP285/R285,0))/MAX(0.1,N(Parameter!$M$21)))</f>
        <v>0.0384615384615385</v>
      </c>
      <c r="AR285" s="50" t="n">
        <f aca="false">AQ285*BY285</f>
        <v>9.42307692307692</v>
      </c>
      <c r="AS285" s="50" t="n">
        <f aca="false">AO285*G285</f>
        <v>1687.62</v>
      </c>
      <c r="AT285" s="50" t="n">
        <f aca="false">ROUNDUP(MAX(J285/IF(CD285&gt;0,CD285,MAX(0.1,N(Cockpit!$I$6))),CG285)/BV285,0)*BV285</f>
        <v>33</v>
      </c>
      <c r="AU285" s="51" t="n">
        <f aca="false">IF(AR285&gt;0,J285/AR285,-1)</f>
        <v>2.6530612244898</v>
      </c>
      <c r="AV285" s="51" t="n">
        <f aca="false">IF(AND(OR(CC285="L1",CC285="L23",CC285="LIFT"),AR285&gt;0),SUMIFS($AR$7:$AR$1843,$CC$7:$CC$1843,CC285,$AU$7:$AU$1843,"&gt;"&amp;AU285)+SUMIFS($AR$7:$AR$1843,$CC$7:$CC$1843,CC285,$AU$7:$AU$1843,AU285,$BT$7:$BT$1843,"&lt;="&amp;BT285),"")</f>
        <v>6736.43543956044</v>
      </c>
      <c r="AW285" s="58" t="n">
        <f aca="false">IF(AV285="",0,MAX(0,MIN(1,(IF(CC285="L1",Parameter!$H$5,IF(CC285="L23",Parameter!$H$6+Parameter!$H$7,Parameter!$H$5+Parameter!$H$6+Parameter!$H$7))-(AV285-AR285))/AR285)))</f>
        <v>1</v>
      </c>
      <c r="AX285" s="50" t="n">
        <f aca="false">IF(LEFT(Cockpit!$O$5,1)="A",H285,IF(CE285=1,CF285,IF(LEFT(Cockpit!$O$5,1)="B",BC285,MAX(BC285,H285))))</f>
        <v>33</v>
      </c>
      <c r="AY285" s="50" t="n">
        <f aca="false">IF(BW285=1,0,ROUNDUP(AX285/BV285,0))</f>
        <v>1</v>
      </c>
      <c r="AZ285" s="52" t="n">
        <f aca="false">IF(CL285&gt;0,CL285*MAX(1,AX285/X285),IF(BW285=1,IF(AX285&lt;=0,0,CA285*MAX(1,IF(H285&gt;0,AX285/H285,1))),IF(R285&gt;0,AY285/R285,0))/MAX(0.1,N(Parameter!$M$21)))</f>
        <v>0.0384615384615385</v>
      </c>
      <c r="BA285" s="50" t="n">
        <f aca="false">AZ285*BY285</f>
        <v>9.42307692307692</v>
      </c>
      <c r="BB285" s="50" t="n">
        <f aca="false">AX285*G285</f>
        <v>1687.62</v>
      </c>
      <c r="BC285" s="50" t="n">
        <f aca="false">ROUNDUP(MAX(J285/IF(CD285&gt;0,CD285,MAX(0.1,N(Cockpit!$O$6))),CG285)/BV285,0)*BV285</f>
        <v>33</v>
      </c>
      <c r="BD285" s="51" t="n">
        <f aca="false">IF(BA285&gt;0,J285/BA285,-1)</f>
        <v>2.6530612244898</v>
      </c>
      <c r="BE285" s="51" t="n">
        <f aca="false">IF(AND(OR(CC285="L1",CC285="L23",CC285="LIFT"),BA285&gt;0),SUMIFS($BA$7:$BA$1843,$CC$7:$CC$1843,CC285,$BD$7:$BD$1843,"&gt;"&amp;BD285)+SUMIFS($BA$7:$BA$1843,$CC$7:$CC$1843,CC285,$BD$7:$BD$1843,BD285,$BT$7:$BT$1843,"&lt;="&amp;BT285),"")</f>
        <v>6519.59249084249</v>
      </c>
      <c r="BF285" s="58" t="n">
        <f aca="false">IF(BE285="",0,MAX(0,MIN(1,(IF(CC285="L1",Parameter!$H$5,IF(CC285="L23",Parameter!$H$6+Parameter!$H$7,Parameter!$H$5+Parameter!$H$6+Parameter!$H$7))-(BE285-BA285))/BA285)))</f>
        <v>1</v>
      </c>
      <c r="BG285" s="48" t="str">
        <f aca="false">IF(AI285&lt;=0,"",IF(CC285="Aussen","Aussenlager",IF(CC285="-","Nicht im Lift",IF(AN285&gt;=1,"Lift",IF(AN285&lt;=0,"Aussenlager","teilweise")))))</f>
        <v>Lift</v>
      </c>
      <c r="BH285" s="48" t="str">
        <f aca="false">IF(AR285&lt;=0,"",IF(CC285="Aussen","Aussenlager",IF(CC285="-","Nicht im Lift",IF(AW285&gt;=1,"Lift",IF(AW285&lt;=0,"Aussenlager","teilweise")))))</f>
        <v>Lift</v>
      </c>
      <c r="BI285" s="48" t="str">
        <f aca="false">IF(BA285&lt;=0,"",IF(CC285="Aussen","Aussenlager",IF(CC285="-","Nicht im Lift",IF(BF285&gt;=1,"Lift",IF(BF285&lt;=0,"Aussenlager","teilweise")))))</f>
        <v>Lift</v>
      </c>
      <c r="BJ285" s="48" t="str">
        <f aca="false">IF(A285="","",IF(BS285=1,"Neu; ","")&amp;IF(AND(BS285=0,BN285&lt;0),"negativer Bestand (Export "&amp;BN285&amp;"); ","")&amp;IF(J285&lt;=0,"Kein Verbrauch; ","")&amp;IF(CL285&gt;0,"Lift "&amp;W285&amp;" lt. Liftbericht (Fach "&amp;X285&amp;" Stk); ",IF(BX285=1,"Gebinde geschätzt ("&amp;T285&amp;"); ",IF(BW285=1,"Lose – Tablare geschätzt; ","")))&amp;IF(H285&gt;AT285,"Überbestand "&amp;ROUND(H285-AT285,0)&amp;" Stk / CHF "&amp;ROUND((H285-AT285)*G285,0)&amp;"; ","")&amp;IF(AND(CE285=1,CF285&lt;CG285),"MAX &lt; MB+LG; ","")&amp;IF(AND(CK285&gt;0,CJ285*10&gt;CK285),"zu hoch für Tablar; ","")&amp;IF(AND(BS285=0,OR(CE285=1,AA285&lt;&gt;"",U285&lt;&gt;"",V285&lt;&gt;"",AB285&lt;&gt;"")),"manuell übersteuert; ","")&amp;IF(AND(BW285=0,R285=0),"Gebinde unbekannt / Stellmass fehlt; ","")&amp;IF(AND(BW285=0,N(V285)&lt;=0,N(Q285)&lt;=0),"Menge pro Gebinde fehlt (Ist = 1 Gebinde); ","")&amp;BR285)</f>
        <v/>
      </c>
      <c r="BK285" s="48"/>
      <c r="BL285" s="48"/>
      <c r="BM285" s="55"/>
      <c r="BN285" s="50" t="n">
        <v>7</v>
      </c>
      <c r="BO285" s="50" t="n">
        <v>11</v>
      </c>
      <c r="BP285" s="49" t="n">
        <v>326.52</v>
      </c>
      <c r="BQ285" s="50" t="n">
        <v>25</v>
      </c>
      <c r="BR285" s="48"/>
      <c r="BS285" s="53" t="n">
        <v>0</v>
      </c>
      <c r="BT285" s="53" t="n">
        <v>285</v>
      </c>
      <c r="BU285" s="48" t="str">
        <f aca="false">IF(U285&lt;&gt;"",UPPER(TRIM(U285)),IF(BX285=1,UPPER(VLOOKUP(T285,Parameter!$I$27:$K$29,2,0)),IF(P285="","LOSE",P285)))</f>
        <v>S52</v>
      </c>
      <c r="BV285" s="50" t="n">
        <f aca="false">IF(BU285="LOSE",1,IF(N(V285)&gt;0,V285,IF(BX285=1,MAX(1,N(VLOOKUP(T285,Parameter!$I$27:$K$29,3,0)),H285,N(N285)),IF(N(Q285)&gt;0,Q285,MAX(1,H285)))))</f>
        <v>33</v>
      </c>
      <c r="BW285" s="53" t="n">
        <f aca="false">IF(BU285="LOSE",1,0)</f>
        <v>0</v>
      </c>
      <c r="BX285" s="53" t="n">
        <f aca="false">IF(AND(U285="",OR(P285="",P285="LOSE"),T285&lt;&gt;"",N(S285)&lt;=0,ISNUMBER(MATCH(T285,Parameter!$I$27:$I$29,0))),1,0)</f>
        <v>0</v>
      </c>
      <c r="BY285" s="53" t="n">
        <f aca="false">IF(CL285&gt;0,INDEX(Parameter!$H$5:$H$7,W285)/INDEX(Parameter!$E$5:$E$7,W285),IF(AND(BW285=0,N(IFERROR(VLOOKUP(BU285,'Gebinde-Kategorie'!$A$5:$N$45,14,0),0))&gt;0),VLOOKUP(BU285,'Gebinde-Kategorie'!$A$5:$N$45,14,0)*10+Parameter!$M$23,Parameter!$M$24))</f>
        <v>245</v>
      </c>
      <c r="BZ285" s="48" t="str">
        <f aca="false">IF(AND(Parameter!$B$19="Ja",E285&lt;&gt;"",ISNUMBER(MATCH(E285,Parameter!$I$35:$I$52,0))),VLOOKUP(E285,Parameter!$I$35:$J$52,2,0),IFERROR(VLOOKUP(D285,Parameter!$A$35:$C$64,2,0),"Nein"))</f>
        <v>2+3</v>
      </c>
      <c r="CA285" s="52" t="n">
        <f aca="false">IF(BW285=0,0,IF(N(S285)&gt;0,S285,IFERROR(VLOOKUP(D285,Parameter!$A$35:$C$64,3,0)+0,0)))</f>
        <v>0</v>
      </c>
      <c r="CB285" s="48" t="n">
        <f aca="false">IF(AA285&lt;&gt;"",AA285,Z285)</f>
        <v>3</v>
      </c>
      <c r="CC285" s="48" t="str">
        <f aca="false">IF(OR(CB285=1,CB285=2,CB285=3),IF(Parameter!$E$27="Ja","LIFT",IF(CB285=1,"L1","L23")),IF(CB285="Aussen","Aussen","-"))</f>
        <v>LIFT</v>
      </c>
      <c r="CD285" s="59" t="n">
        <f aca="false">IF(N(AB285)&gt;0,AB285,0)</f>
        <v>0</v>
      </c>
      <c r="CE285" s="53" t="n">
        <f aca="false">IF(ISNUMBER(AE285),1,0)</f>
        <v>0</v>
      </c>
      <c r="CF285" s="50" t="n">
        <f aca="false">N(AE285)</f>
        <v>0</v>
      </c>
      <c r="CG285" s="50" t="n">
        <f aca="false">N(M285)+N(N285)</f>
        <v>27</v>
      </c>
      <c r="CH285" s="50" t="n">
        <f aca="false">ROUNDUP(H285/BV285,0)</f>
        <v>1</v>
      </c>
      <c r="CI285" s="50" t="n">
        <f aca="false">ROUNDUP(CF285/BV285,0)</f>
        <v>0</v>
      </c>
      <c r="CJ285" s="53" t="n">
        <f aca="false">IF(BW285=1,0,IFERROR(VLOOKUP(BU285,'Gebinde-Kategorie'!$A$5:$N$45,5,0)+0,0))</f>
        <v>21</v>
      </c>
      <c r="CK285" s="53" t="n">
        <f aca="false">IFERROR(IF(OR(CB285=1,CB285=2,CB285=3),N(INDEX(Parameter!$I$5:$I$7,CB285)),0),0)</f>
        <v>0</v>
      </c>
      <c r="CL285" s="52" t="n">
        <f aca="false">IF(AND(Parameter!$B$21="Ja",ISNUMBER(W285),N(X285)&gt;0),IFERROR(N(INDEX(Parameter!$L$5:$L$7,W285))*INDEX(Parameter!$E$5:$E$7,W285)*X285/SUMIFS($X$7:$X$1843,$W$7:$W$1843,W285),0),0)</f>
        <v>0</v>
      </c>
    </row>
    <row r="286" customFormat="false" ht="15" hidden="false" customHeight="false" outlineLevel="0" collapsed="false">
      <c r="A286" s="48" t="s">
        <v>748</v>
      </c>
      <c r="B286" s="48" t="s">
        <v>749</v>
      </c>
      <c r="C286" s="48" t="s">
        <v>168</v>
      </c>
      <c r="D286" s="48" t="s">
        <v>188</v>
      </c>
      <c r="E286" s="48"/>
      <c r="F286" s="48" t="s">
        <v>222</v>
      </c>
      <c r="G286" s="49" t="n">
        <v>147.94</v>
      </c>
      <c r="H286" s="50" t="n">
        <f aca="false">MAX(0,IF(AND(Parameter!$B$21="Ja",ISNUMBER(Y286)),Y286,IF(Parameter!$B$20="Jahresanfang 2025 + Export",BO286+BN286,BN286)))</f>
        <v>4</v>
      </c>
      <c r="I286" s="50" t="n">
        <f aca="false">H286*G286</f>
        <v>591.76</v>
      </c>
      <c r="J286" s="50" t="n">
        <f aca="false">BQ286*Parameter!$B$18</f>
        <v>0</v>
      </c>
      <c r="K286" s="51" t="n">
        <v>3</v>
      </c>
      <c r="L286" s="52" t="n">
        <v>0</v>
      </c>
      <c r="M286" s="50" t="n">
        <v>0</v>
      </c>
      <c r="N286" s="50" t="n">
        <v>1</v>
      </c>
      <c r="O286" s="53" t="n">
        <v>42</v>
      </c>
      <c r="P286" s="48" t="s">
        <v>297</v>
      </c>
      <c r="Q286" s="50" t="n">
        <v>4</v>
      </c>
      <c r="R286" s="53" t="n">
        <f aca="false">IF(BW286=1,0,IFERROR(VLOOKUP(BU286,'Gebinde-Kategorie'!$A$5:$N$45,13,0)+0,0))</f>
        <v>12</v>
      </c>
      <c r="S286" s="54"/>
      <c r="T286" s="55"/>
      <c r="U286" s="55"/>
      <c r="V286" s="55"/>
      <c r="W286" s="48"/>
      <c r="X286" s="50"/>
      <c r="Y286" s="50"/>
      <c r="Z286" s="48" t="n">
        <f aca="false">IF(A286="","",IF(AND(Parameter!$B$21="Ja",ISNUMBER(W286)),W286,IF(BZ286="2+3",IF(ISNUMBER(SEARCH("grosser Artikel",BR286)),2,IFERROR(VLOOKUP(BU286,Parameter!$F$35:$G$64,2,0),2)),IF(OR(BZ286="Nein",BZ286=""),"-",BZ286))))</f>
        <v>2</v>
      </c>
      <c r="AA286" s="55"/>
      <c r="AB286" s="56"/>
      <c r="AC286" s="50" t="n">
        <f aca="false">AT286</f>
        <v>4</v>
      </c>
      <c r="AD286" s="50" t="n">
        <f aca="false">MAX(AT286,H286)</f>
        <v>4</v>
      </c>
      <c r="AE286" s="57"/>
      <c r="AF286" s="50" t="n">
        <f aca="false">IF(LEFT(Cockpit!$C$5,1)="A",H286,IF(CE286=1,CF286,IF(LEFT(Cockpit!$C$5,1)="B",AK286,MAX(AK286,H286))))</f>
        <v>4</v>
      </c>
      <c r="AG286" s="50" t="n">
        <f aca="false">IF(BW286=1,0,ROUNDUP(AF286/BV286,0))</f>
        <v>1</v>
      </c>
      <c r="AH286" s="52" t="n">
        <f aca="false">IF(CL286&gt;0,CL286*MAX(1,AF286/X286),IF(BW286=1,IF(AF286&lt;=0,0,CA286*MAX(1,IF(H286&gt;0,AF286/H286,1))),IF(R286&gt;0,AG286/R286,0))/MAX(0.1,N(Parameter!$M$21)))</f>
        <v>0.0833333333333333</v>
      </c>
      <c r="AI286" s="50" t="n">
        <f aca="false">AH286*BY286</f>
        <v>20.4166666666667</v>
      </c>
      <c r="AJ286" s="50" t="n">
        <f aca="false">AF286*G286</f>
        <v>591.76</v>
      </c>
      <c r="AK286" s="50" t="n">
        <f aca="false">ROUNDUP(MAX(J286/IF(CD286&gt;0,CD286,MAX(0.1,N(Cockpit!$C$6))),CG286)/BV286,0)*BV286</f>
        <v>4</v>
      </c>
      <c r="AL286" s="51" t="n">
        <f aca="false">IF(AI286&gt;0,J286/AI286,-1)</f>
        <v>0</v>
      </c>
      <c r="AM286" s="51" t="n">
        <f aca="false">IF(AND(OR(CC286="L1",CC286="L23",CC286="LIFT"),AI286&gt;0),SUMIFS($AI$7:$AI$1843,$CC$7:$CC$1843,CC286,$AL$7:$AL$1843,"&gt;"&amp;AL286)+SUMIFS($AI$7:$AI$1843,$CC$7:$CC$1843,CC286,$AL$7:$AL$1843,AL286,$BT$7:$BT$1843,"&lt;="&amp;BT286),"")</f>
        <v>27811.8550216262</v>
      </c>
      <c r="AN286" s="58" t="n">
        <f aca="false">IF(AM286="",0,MAX(0,MIN(1,(IF(CC286="L1",Parameter!$H$5,IF(CC286="L23",Parameter!$H$6+Parameter!$H$7,Parameter!$H$5+Parameter!$H$6+Parameter!$H$7))-(AM286-AI286))/AI286)))</f>
        <v>1</v>
      </c>
      <c r="AO286" s="50" t="n">
        <f aca="false">IF(LEFT(Cockpit!$I$5,1)="A",H286,IF(CE286=1,CF286,IF(LEFT(Cockpit!$I$5,1)="B",AT286,MAX(AT286,H286))))</f>
        <v>4</v>
      </c>
      <c r="AP286" s="50" t="n">
        <f aca="false">IF(BW286=1,0,ROUNDUP(AO286/BV286,0))</f>
        <v>1</v>
      </c>
      <c r="AQ286" s="52" t="n">
        <f aca="false">IF(CL286&gt;0,CL286*MAX(1,AO286/X286),IF(BW286=1,IF(AO286&lt;=0,0,CA286*MAX(1,IF(H286&gt;0,AO286/H286,1))),IF(R286&gt;0,AP286/R286,0))/MAX(0.1,N(Parameter!$M$21)))</f>
        <v>0.0833333333333333</v>
      </c>
      <c r="AR286" s="50" t="n">
        <f aca="false">AQ286*BY286</f>
        <v>20.4166666666667</v>
      </c>
      <c r="AS286" s="50" t="n">
        <f aca="false">AO286*G286</f>
        <v>591.76</v>
      </c>
      <c r="AT286" s="50" t="n">
        <f aca="false">ROUNDUP(MAX(J286/IF(CD286&gt;0,CD286,MAX(0.1,N(Cockpit!$I$6))),CG286)/BV286,0)*BV286</f>
        <v>4</v>
      </c>
      <c r="AU286" s="51" t="n">
        <f aca="false">IF(AR286&gt;0,J286/AR286,-1)</f>
        <v>0</v>
      </c>
      <c r="AV286" s="51" t="n">
        <f aca="false">IF(AND(OR(CC286="L1",CC286="L23",CC286="LIFT"),AR286&gt;0),SUMIFS($AR$7:$AR$1843,$CC$7:$CC$1843,CC286,$AU$7:$AU$1843,"&gt;"&amp;AU286)+SUMIFS($AR$7:$AR$1843,$CC$7:$CC$1843,CC286,$AU$7:$AU$1843,AU286,$BT$7:$BT$1843,"&lt;="&amp;BT286),"")</f>
        <v>39124.7605388961</v>
      </c>
      <c r="AW286" s="58" t="n">
        <f aca="false">IF(AV286="",0,MAX(0,MIN(1,(IF(CC286="L1",Parameter!$H$5,IF(CC286="L23",Parameter!$H$6+Parameter!$H$7,Parameter!$H$5+Parameter!$H$6+Parameter!$H$7))-(AV286-AR286))/AR286)))</f>
        <v>0</v>
      </c>
      <c r="AX286" s="50" t="n">
        <f aca="false">IF(LEFT(Cockpit!$O$5,1)="A",H286,IF(CE286=1,CF286,IF(LEFT(Cockpit!$O$5,1)="B",BC286,MAX(BC286,H286))))</f>
        <v>4</v>
      </c>
      <c r="AY286" s="50" t="n">
        <f aca="false">IF(BW286=1,0,ROUNDUP(AX286/BV286,0))</f>
        <v>1</v>
      </c>
      <c r="AZ286" s="52" t="n">
        <f aca="false">IF(CL286&gt;0,CL286*MAX(1,AX286/X286),IF(BW286=1,IF(AX286&lt;=0,0,CA286*MAX(1,IF(H286&gt;0,AX286/H286,1))),IF(R286&gt;0,AY286/R286,0))/MAX(0.1,N(Parameter!$M$21)))</f>
        <v>0.0833333333333333</v>
      </c>
      <c r="BA286" s="50" t="n">
        <f aca="false">AZ286*BY286</f>
        <v>20.4166666666667</v>
      </c>
      <c r="BB286" s="50" t="n">
        <f aca="false">AX286*G286</f>
        <v>591.76</v>
      </c>
      <c r="BC286" s="50" t="n">
        <f aca="false">ROUNDUP(MAX(J286/IF(CD286&gt;0,CD286,MAX(0.1,N(Cockpit!$O$6))),CG286)/BV286,0)*BV286</f>
        <v>4</v>
      </c>
      <c r="BD286" s="51" t="n">
        <f aca="false">IF(BA286&gt;0,J286/BA286,-1)</f>
        <v>0</v>
      </c>
      <c r="BE286" s="51" t="n">
        <f aca="false">IF(AND(OR(CC286="L1",CC286="L23",CC286="LIFT"),BA286&gt;0),SUMIFS($BA$7:$BA$1843,$CC$7:$CC$1843,CC286,$BD$7:$BD$1843,"&gt;"&amp;BD286)+SUMIFS($BA$7:$BA$1843,$CC$7:$CC$1843,CC286,$BD$7:$BD$1843,BD286,$BT$7:$BT$1843,"&lt;="&amp;BT286),"")</f>
        <v>35799.772580762</v>
      </c>
      <c r="BF286" s="58" t="n">
        <f aca="false">IF(BE286="",0,MAX(0,MIN(1,(IF(CC286="L1",Parameter!$H$5,IF(CC286="L23",Parameter!$H$6+Parameter!$H$7,Parameter!$H$5+Parameter!$H$6+Parameter!$H$7))-(BE286-BA286))/BA286)))</f>
        <v>0</v>
      </c>
      <c r="BG286" s="48" t="str">
        <f aca="false">IF(AI286&lt;=0,"",IF(CC286="Aussen","Aussenlager",IF(CC286="-","Nicht im Lift",IF(AN286&gt;=1,"Lift",IF(AN286&lt;=0,"Aussenlager","teilweise")))))</f>
        <v>Lift</v>
      </c>
      <c r="BH286" s="48" t="str">
        <f aca="false">IF(AR286&lt;=0,"",IF(CC286="Aussen","Aussenlager",IF(CC286="-","Nicht im Lift",IF(AW286&gt;=1,"Lift",IF(AW286&lt;=0,"Aussenlager","teilweise")))))</f>
        <v>Aussenlager</v>
      </c>
      <c r="BI286" s="48" t="str">
        <f aca="false">IF(BA286&lt;=0,"",IF(CC286="Aussen","Aussenlager",IF(CC286="-","Nicht im Lift",IF(BF286&gt;=1,"Lift",IF(BF286&lt;=0,"Aussenlager","teilweise")))))</f>
        <v>Aussenlager</v>
      </c>
      <c r="BJ286" s="48" t="str">
        <f aca="false">IF(A286="","",IF(BS286=1,"Neu; ","")&amp;IF(AND(BS286=0,BN286&lt;0),"negativer Bestand (Export "&amp;BN286&amp;"); ","")&amp;IF(J286&lt;=0,"Kein Verbrauch; ","")&amp;IF(CL286&gt;0,"Lift "&amp;W286&amp;" lt. Liftbericht (Fach "&amp;X286&amp;" Stk); ",IF(BX286=1,"Gebinde geschätzt ("&amp;T286&amp;"); ",IF(BW286=1,"Lose – Tablare geschätzt; ","")))&amp;IF(H286&gt;AT286,"Überbestand "&amp;ROUND(H286-AT286,0)&amp;" Stk / CHF "&amp;ROUND((H286-AT286)*G286,0)&amp;"; ","")&amp;IF(AND(CE286=1,CF286&lt;CG286),"MAX &lt; MB+LG; ","")&amp;IF(AND(CK286&gt;0,CJ286*10&gt;CK286),"zu hoch für Tablar; ","")&amp;IF(AND(BS286=0,OR(CE286=1,AA286&lt;&gt;"",U286&lt;&gt;"",V286&lt;&gt;"",AB286&lt;&gt;"")),"manuell übersteuert; ","")&amp;IF(AND(BW286=0,R286=0),"Gebinde unbekannt / Stellmass fehlt; ","")&amp;IF(AND(BW286=0,N(V286)&lt;=0,N(Q286)&lt;=0),"Menge pro Gebinde fehlt (Ist = 1 Gebinde); ","")&amp;BR286)</f>
        <v>Kein Verbrauch; </v>
      </c>
      <c r="BK286" s="48"/>
      <c r="BL286" s="48"/>
      <c r="BM286" s="55"/>
      <c r="BN286" s="50" t="n">
        <v>1</v>
      </c>
      <c r="BO286" s="50" t="n">
        <v>3</v>
      </c>
      <c r="BP286" s="49" t="n">
        <v>325.81</v>
      </c>
      <c r="BQ286" s="50" t="n">
        <v>0</v>
      </c>
      <c r="BR286" s="48"/>
      <c r="BS286" s="53" t="n">
        <v>0</v>
      </c>
      <c r="BT286" s="53" t="n">
        <v>286</v>
      </c>
      <c r="BU286" s="48" t="str">
        <f aca="false">IF(U286&lt;&gt;"",UPPER(TRIM(U286)),IF(BX286=1,UPPER(VLOOKUP(T286,Parameter!$I$27:$K$29,2,0)),IF(P286="","LOSE",P286)))</f>
        <v>S62</v>
      </c>
      <c r="BV286" s="50" t="n">
        <f aca="false">IF(BU286="LOSE",1,IF(N(V286)&gt;0,V286,IF(BX286=1,MAX(1,N(VLOOKUP(T286,Parameter!$I$27:$K$29,3,0)),H286,N(N286)),IF(N(Q286)&gt;0,Q286,MAX(1,H286)))))</f>
        <v>4</v>
      </c>
      <c r="BW286" s="53" t="n">
        <f aca="false">IF(BU286="LOSE",1,0)</f>
        <v>0</v>
      </c>
      <c r="BX286" s="53" t="n">
        <f aca="false">IF(AND(U286="",OR(P286="",P286="LOSE"),T286&lt;&gt;"",N(S286)&lt;=0,ISNUMBER(MATCH(T286,Parameter!$I$27:$I$29,0))),1,0)</f>
        <v>0</v>
      </c>
      <c r="BY286" s="53" t="n">
        <f aca="false">IF(CL286&gt;0,INDEX(Parameter!$H$5:$H$7,W286)/INDEX(Parameter!$E$5:$E$7,W286),IF(AND(BW286=0,N(IFERROR(VLOOKUP(BU286,'Gebinde-Kategorie'!$A$5:$N$45,14,0),0))&gt;0),VLOOKUP(BU286,'Gebinde-Kategorie'!$A$5:$N$45,14,0)*10+Parameter!$M$23,Parameter!$M$24))</f>
        <v>245</v>
      </c>
      <c r="BZ286" s="48" t="str">
        <f aca="false">IF(AND(Parameter!$B$19="Ja",E286&lt;&gt;"",ISNUMBER(MATCH(E286,Parameter!$I$35:$I$52,0))),VLOOKUP(E286,Parameter!$I$35:$J$52,2,0),IFERROR(VLOOKUP(D286,Parameter!$A$35:$C$64,2,0),"Nein"))</f>
        <v>2+3</v>
      </c>
      <c r="CA286" s="52" t="n">
        <f aca="false">IF(BW286=0,0,IF(N(S286)&gt;0,S286,IFERROR(VLOOKUP(D286,Parameter!$A$35:$C$64,3,0)+0,0)))</f>
        <v>0</v>
      </c>
      <c r="CB286" s="48" t="n">
        <f aca="false">IF(AA286&lt;&gt;"",AA286,Z286)</f>
        <v>2</v>
      </c>
      <c r="CC286" s="48" t="str">
        <f aca="false">IF(OR(CB286=1,CB286=2,CB286=3),IF(Parameter!$E$27="Ja","LIFT",IF(CB286=1,"L1","L23")),IF(CB286="Aussen","Aussen","-"))</f>
        <v>LIFT</v>
      </c>
      <c r="CD286" s="59" t="n">
        <f aca="false">IF(N(AB286)&gt;0,AB286,0)</f>
        <v>0</v>
      </c>
      <c r="CE286" s="53" t="n">
        <f aca="false">IF(ISNUMBER(AE286),1,0)</f>
        <v>0</v>
      </c>
      <c r="CF286" s="50" t="n">
        <f aca="false">N(AE286)</f>
        <v>0</v>
      </c>
      <c r="CG286" s="50" t="n">
        <f aca="false">N(M286)+N(N286)</f>
        <v>1</v>
      </c>
      <c r="CH286" s="50" t="n">
        <f aca="false">ROUNDUP(H286/BV286,0)</f>
        <v>1</v>
      </c>
      <c r="CI286" s="50" t="n">
        <f aca="false">ROUNDUP(CF286/BV286,0)</f>
        <v>0</v>
      </c>
      <c r="CJ286" s="53" t="n">
        <f aca="false">IF(BW286=1,0,IFERROR(VLOOKUP(BU286,'Gebinde-Kategorie'!$A$5:$N$45,5,0)+0,0))</f>
        <v>21</v>
      </c>
      <c r="CK286" s="53" t="n">
        <f aca="false">IFERROR(IF(OR(CB286=1,CB286=2,CB286=3),N(INDEX(Parameter!$I$5:$I$7,CB286)),0),0)</f>
        <v>0</v>
      </c>
      <c r="CL286" s="52" t="n">
        <f aca="false">IF(AND(Parameter!$B$21="Ja",ISNUMBER(W286),N(X286)&gt;0),IFERROR(N(INDEX(Parameter!$L$5:$L$7,W286))*INDEX(Parameter!$E$5:$E$7,W286)*X286/SUMIFS($X$7:$X$1843,$W$7:$W$1843,W286),0),0)</f>
        <v>0</v>
      </c>
    </row>
    <row r="287" customFormat="false" ht="15" hidden="false" customHeight="false" outlineLevel="0" collapsed="false">
      <c r="A287" s="48" t="s">
        <v>750</v>
      </c>
      <c r="B287" s="48" t="s">
        <v>751</v>
      </c>
      <c r="C287" s="48" t="s">
        <v>171</v>
      </c>
      <c r="D287" s="48" t="s">
        <v>188</v>
      </c>
      <c r="E287" s="48"/>
      <c r="F287" s="48" t="s">
        <v>222</v>
      </c>
      <c r="G287" s="49" t="n">
        <v>81</v>
      </c>
      <c r="H287" s="50" t="n">
        <f aca="false">MAX(0,IF(AND(Parameter!$B$21="Ja",ISNUMBER(Y287)),Y287,IF(Parameter!$B$20="Jahresanfang 2025 + Export",BO287+BN287,BN287)))</f>
        <v>11</v>
      </c>
      <c r="I287" s="50" t="n">
        <f aca="false">H287*G287</f>
        <v>891</v>
      </c>
      <c r="J287" s="50" t="n">
        <f aca="false">BQ287*Parameter!$B$18</f>
        <v>0</v>
      </c>
      <c r="K287" s="51" t="n">
        <v>9</v>
      </c>
      <c r="L287" s="52" t="n">
        <v>0</v>
      </c>
      <c r="M287" s="50" t="n">
        <v>0</v>
      </c>
      <c r="N287" s="50" t="n">
        <v>1</v>
      </c>
      <c r="O287" s="53" t="n">
        <v>28</v>
      </c>
      <c r="P287" s="48" t="s">
        <v>332</v>
      </c>
      <c r="Q287" s="50" t="n">
        <v>6</v>
      </c>
      <c r="R287" s="53" t="n">
        <f aca="false">IF(BW287=1,0,IFERROR(VLOOKUP(BU287,'Gebinde-Kategorie'!$A$5:$N$45,13,0)+0,0))</f>
        <v>52</v>
      </c>
      <c r="S287" s="54"/>
      <c r="T287" s="55"/>
      <c r="U287" s="55"/>
      <c r="V287" s="55"/>
      <c r="W287" s="48"/>
      <c r="X287" s="50"/>
      <c r="Y287" s="50"/>
      <c r="Z287" s="48" t="n">
        <f aca="false">IF(A287="","",IF(AND(Parameter!$B$21="Ja",ISNUMBER(W287)),W287,IF(BZ287="2+3",IF(ISNUMBER(SEARCH("grosser Artikel",BR287)),2,IFERROR(VLOOKUP(BU287,Parameter!$F$35:$G$64,2,0),2)),IF(OR(BZ287="Nein",BZ287=""),"-",BZ287))))</f>
        <v>3</v>
      </c>
      <c r="AA287" s="55"/>
      <c r="AB287" s="56"/>
      <c r="AC287" s="50" t="n">
        <f aca="false">AT287</f>
        <v>6</v>
      </c>
      <c r="AD287" s="50" t="n">
        <f aca="false">MAX(AT287,H287)</f>
        <v>11</v>
      </c>
      <c r="AE287" s="57"/>
      <c r="AF287" s="50" t="n">
        <f aca="false">IF(LEFT(Cockpit!$C$5,1)="A",H287,IF(CE287=1,CF287,IF(LEFT(Cockpit!$C$5,1)="B",AK287,MAX(AK287,H287))))</f>
        <v>11</v>
      </c>
      <c r="AG287" s="50" t="n">
        <f aca="false">IF(BW287=1,0,ROUNDUP(AF287/BV287,0))</f>
        <v>2</v>
      </c>
      <c r="AH287" s="52" t="n">
        <f aca="false">IF(CL287&gt;0,CL287*MAX(1,AF287/X287),IF(BW287=1,IF(AF287&lt;=0,0,CA287*MAX(1,IF(H287&gt;0,AF287/H287,1))),IF(R287&gt;0,AG287/R287,0))/MAX(0.1,N(Parameter!$M$21)))</f>
        <v>0.0384615384615385</v>
      </c>
      <c r="AI287" s="50" t="n">
        <f aca="false">AH287*BY287</f>
        <v>5.96153846153846</v>
      </c>
      <c r="AJ287" s="50" t="n">
        <f aca="false">AF287*G287</f>
        <v>891</v>
      </c>
      <c r="AK287" s="50" t="n">
        <f aca="false">ROUNDUP(MAX(J287/IF(CD287&gt;0,CD287,MAX(0.1,N(Cockpit!$C$6))),CG287)/BV287,0)*BV287</f>
        <v>6</v>
      </c>
      <c r="AL287" s="51" t="n">
        <f aca="false">IF(AI287&gt;0,J287/AI287,-1)</f>
        <v>0</v>
      </c>
      <c r="AM287" s="51" t="n">
        <f aca="false">IF(AND(OR(CC287="L1",CC287="L23",CC287="LIFT"),AI287&gt;0),SUMIFS($AI$7:$AI$1843,$CC$7:$CC$1843,CC287,$AL$7:$AL$1843,"&gt;"&amp;AL287)+SUMIFS($AI$7:$AI$1843,$CC$7:$CC$1843,CC287,$AL$7:$AL$1843,AL287,$BT$7:$BT$1843,"&lt;="&amp;BT287),"")</f>
        <v>27817.8165600877</v>
      </c>
      <c r="AN287" s="58" t="n">
        <f aca="false">IF(AM287="",0,MAX(0,MIN(1,(IF(CC287="L1",Parameter!$H$5,IF(CC287="L23",Parameter!$H$6+Parameter!$H$7,Parameter!$H$5+Parameter!$H$6+Parameter!$H$7))-(AM287-AI287))/AI287)))</f>
        <v>1</v>
      </c>
      <c r="AO287" s="50" t="n">
        <f aca="false">IF(LEFT(Cockpit!$I$5,1)="A",H287,IF(CE287=1,CF287,IF(LEFT(Cockpit!$I$5,1)="B",AT287,MAX(AT287,H287))))</f>
        <v>11</v>
      </c>
      <c r="AP287" s="50" t="n">
        <f aca="false">IF(BW287=1,0,ROUNDUP(AO287/BV287,0))</f>
        <v>2</v>
      </c>
      <c r="AQ287" s="52" t="n">
        <f aca="false">IF(CL287&gt;0,CL287*MAX(1,AO287/X287),IF(BW287=1,IF(AO287&lt;=0,0,CA287*MAX(1,IF(H287&gt;0,AO287/H287,1))),IF(R287&gt;0,AP287/R287,0))/MAX(0.1,N(Parameter!$M$21)))</f>
        <v>0.0384615384615385</v>
      </c>
      <c r="AR287" s="50" t="n">
        <f aca="false">AQ287*BY287</f>
        <v>5.96153846153846</v>
      </c>
      <c r="AS287" s="50" t="n">
        <f aca="false">AO287*G287</f>
        <v>891</v>
      </c>
      <c r="AT287" s="50" t="n">
        <f aca="false">ROUNDUP(MAX(J287/IF(CD287&gt;0,CD287,MAX(0.1,N(Cockpit!$I$6))),CG287)/BV287,0)*BV287</f>
        <v>6</v>
      </c>
      <c r="AU287" s="51" t="n">
        <f aca="false">IF(AR287&gt;0,J287/AR287,-1)</f>
        <v>0</v>
      </c>
      <c r="AV287" s="51" t="n">
        <f aca="false">IF(AND(OR(CC287="L1",CC287="L23",CC287="LIFT"),AR287&gt;0),SUMIFS($AR$7:$AR$1843,$CC$7:$CC$1843,CC287,$AU$7:$AU$1843,"&gt;"&amp;AU287)+SUMIFS($AR$7:$AR$1843,$CC$7:$CC$1843,CC287,$AU$7:$AU$1843,AU287,$BT$7:$BT$1843,"&lt;="&amp;BT287),"")</f>
        <v>39130.7220773577</v>
      </c>
      <c r="AW287" s="58" t="n">
        <f aca="false">IF(AV287="",0,MAX(0,MIN(1,(IF(CC287="L1",Parameter!$H$5,IF(CC287="L23",Parameter!$H$6+Parameter!$H$7,Parameter!$H$5+Parameter!$H$6+Parameter!$H$7))-(AV287-AR287))/AR287)))</f>
        <v>0</v>
      </c>
      <c r="AX287" s="50" t="n">
        <f aca="false">IF(LEFT(Cockpit!$O$5,1)="A",H287,IF(CE287=1,CF287,IF(LEFT(Cockpit!$O$5,1)="B",BC287,MAX(BC287,H287))))</f>
        <v>11</v>
      </c>
      <c r="AY287" s="50" t="n">
        <f aca="false">IF(BW287=1,0,ROUNDUP(AX287/BV287,0))</f>
        <v>2</v>
      </c>
      <c r="AZ287" s="52" t="n">
        <f aca="false">IF(CL287&gt;0,CL287*MAX(1,AX287/X287),IF(BW287=1,IF(AX287&lt;=0,0,CA287*MAX(1,IF(H287&gt;0,AX287/H287,1))),IF(R287&gt;0,AY287/R287,0))/MAX(0.1,N(Parameter!$M$21)))</f>
        <v>0.0384615384615385</v>
      </c>
      <c r="BA287" s="50" t="n">
        <f aca="false">AZ287*BY287</f>
        <v>5.96153846153846</v>
      </c>
      <c r="BB287" s="50" t="n">
        <f aca="false">AX287*G287</f>
        <v>891</v>
      </c>
      <c r="BC287" s="50" t="n">
        <f aca="false">ROUNDUP(MAX(J287/IF(CD287&gt;0,CD287,MAX(0.1,N(Cockpit!$O$6))),CG287)/BV287,0)*BV287</f>
        <v>6</v>
      </c>
      <c r="BD287" s="51" t="n">
        <f aca="false">IF(BA287&gt;0,J287/BA287,-1)</f>
        <v>0</v>
      </c>
      <c r="BE287" s="51" t="n">
        <f aca="false">IF(AND(OR(CC287="L1",CC287="L23",CC287="LIFT"),BA287&gt;0),SUMIFS($BA$7:$BA$1843,$CC$7:$CC$1843,CC287,$BD$7:$BD$1843,"&gt;"&amp;BD287)+SUMIFS($BA$7:$BA$1843,$CC$7:$CC$1843,CC287,$BD$7:$BD$1843,BD287,$BT$7:$BT$1843,"&lt;="&amp;BT287),"")</f>
        <v>35805.7341192235</v>
      </c>
      <c r="BF287" s="58" t="n">
        <f aca="false">IF(BE287="",0,MAX(0,MIN(1,(IF(CC287="L1",Parameter!$H$5,IF(CC287="L23",Parameter!$H$6+Parameter!$H$7,Parameter!$H$5+Parameter!$H$6+Parameter!$H$7))-(BE287-BA287))/BA287)))</f>
        <v>0</v>
      </c>
      <c r="BG287" s="48" t="str">
        <f aca="false">IF(AI287&lt;=0,"",IF(CC287="Aussen","Aussenlager",IF(CC287="-","Nicht im Lift",IF(AN287&gt;=1,"Lift",IF(AN287&lt;=0,"Aussenlager","teilweise")))))</f>
        <v>Lift</v>
      </c>
      <c r="BH287" s="48" t="str">
        <f aca="false">IF(AR287&lt;=0,"",IF(CC287="Aussen","Aussenlager",IF(CC287="-","Nicht im Lift",IF(AW287&gt;=1,"Lift",IF(AW287&lt;=0,"Aussenlager","teilweise")))))</f>
        <v>Aussenlager</v>
      </c>
      <c r="BI287" s="48" t="str">
        <f aca="false">IF(BA287&lt;=0,"",IF(CC287="Aussen","Aussenlager",IF(CC287="-","Nicht im Lift",IF(BF287&gt;=1,"Lift",IF(BF287&lt;=0,"Aussenlager","teilweise")))))</f>
        <v>Aussenlager</v>
      </c>
      <c r="BJ287" s="48" t="str">
        <f aca="false">IF(A287="","",IF(BS287=1,"Neu; ","")&amp;IF(AND(BS287=0,BN287&lt;0),"negativer Bestand (Export "&amp;BN287&amp;"); ","")&amp;IF(J287&lt;=0,"Kein Verbrauch; ","")&amp;IF(CL287&gt;0,"Lift "&amp;W287&amp;" lt. Liftbericht (Fach "&amp;X287&amp;" Stk); ",IF(BX287=1,"Gebinde geschätzt ("&amp;T287&amp;"); ",IF(BW287=1,"Lose – Tablare geschätzt; ","")))&amp;IF(H287&gt;AT287,"Überbestand "&amp;ROUND(H287-AT287,0)&amp;" Stk / CHF "&amp;ROUND((H287-AT287)*G287,0)&amp;"; ","")&amp;IF(AND(CE287=1,CF287&lt;CG287),"MAX &lt; MB+LG; ","")&amp;IF(AND(CK287&gt;0,CJ287*10&gt;CK287),"zu hoch für Tablar; ","")&amp;IF(AND(BS287=0,OR(CE287=1,AA287&lt;&gt;"",U287&lt;&gt;"",V287&lt;&gt;"",AB287&lt;&gt;"")),"manuell übersteuert; ","")&amp;IF(AND(BW287=0,R287=0),"Gebinde unbekannt / Stellmass fehlt; ","")&amp;IF(AND(BW287=0,N(V287)&lt;=0,N(Q287)&lt;=0),"Menge pro Gebinde fehlt (Ist = 1 Gebinde); ","")&amp;BR287)</f>
        <v>Kein Verbrauch; Überbestand 5 Stk / CHF 405; </v>
      </c>
      <c r="BK287" s="48"/>
      <c r="BL287" s="48"/>
      <c r="BM287" s="55"/>
      <c r="BN287" s="50" t="n">
        <v>4</v>
      </c>
      <c r="BO287" s="50" t="n">
        <v>7</v>
      </c>
      <c r="BP287" s="49" t="n">
        <v>324</v>
      </c>
      <c r="BQ287" s="50" t="n">
        <v>0</v>
      </c>
      <c r="BR287" s="48"/>
      <c r="BS287" s="53" t="n">
        <v>0</v>
      </c>
      <c r="BT287" s="53" t="n">
        <v>287</v>
      </c>
      <c r="BU287" s="48" t="str">
        <f aca="false">IF(U287&lt;&gt;"",UPPER(TRIM(U287)),IF(BX287=1,UPPER(VLOOKUP(T287,Parameter!$I$27:$K$29,2,0)),IF(P287="","LOSE",P287)))</f>
        <v>S41</v>
      </c>
      <c r="BV287" s="50" t="n">
        <f aca="false">IF(BU287="LOSE",1,IF(N(V287)&gt;0,V287,IF(BX287=1,MAX(1,N(VLOOKUP(T287,Parameter!$I$27:$K$29,3,0)),H287,N(N287)),IF(N(Q287)&gt;0,Q287,MAX(1,H287)))))</f>
        <v>6</v>
      </c>
      <c r="BW287" s="53" t="n">
        <f aca="false">IF(BU287="LOSE",1,0)</f>
        <v>0</v>
      </c>
      <c r="BX287" s="53" t="n">
        <f aca="false">IF(AND(U287="",OR(P287="",P287="LOSE"),T287&lt;&gt;"",N(S287)&lt;=0,ISNUMBER(MATCH(T287,Parameter!$I$27:$I$29,0))),1,0)</f>
        <v>0</v>
      </c>
      <c r="BY287" s="53" t="n">
        <f aca="false">IF(CL287&gt;0,INDEX(Parameter!$H$5:$H$7,W287)/INDEX(Parameter!$E$5:$E$7,W287),IF(AND(BW287=0,N(IFERROR(VLOOKUP(BU287,'Gebinde-Kategorie'!$A$5:$N$45,14,0),0))&gt;0),VLOOKUP(BU287,'Gebinde-Kategorie'!$A$5:$N$45,14,0)*10+Parameter!$M$23,Parameter!$M$24))</f>
        <v>155</v>
      </c>
      <c r="BZ287" s="48" t="str">
        <f aca="false">IF(AND(Parameter!$B$19="Ja",E287&lt;&gt;"",ISNUMBER(MATCH(E287,Parameter!$I$35:$I$52,0))),VLOOKUP(E287,Parameter!$I$35:$J$52,2,0),IFERROR(VLOOKUP(D287,Parameter!$A$35:$C$64,2,0),"Nein"))</f>
        <v>2+3</v>
      </c>
      <c r="CA287" s="52" t="n">
        <f aca="false">IF(BW287=0,0,IF(N(S287)&gt;0,S287,IFERROR(VLOOKUP(D287,Parameter!$A$35:$C$64,3,0)+0,0)))</f>
        <v>0</v>
      </c>
      <c r="CB287" s="48" t="n">
        <f aca="false">IF(AA287&lt;&gt;"",AA287,Z287)</f>
        <v>3</v>
      </c>
      <c r="CC287" s="48" t="str">
        <f aca="false">IF(OR(CB287=1,CB287=2,CB287=3),IF(Parameter!$E$27="Ja","LIFT",IF(CB287=1,"L1","L23")),IF(CB287="Aussen","Aussen","-"))</f>
        <v>LIFT</v>
      </c>
      <c r="CD287" s="59" t="n">
        <f aca="false">IF(N(AB287)&gt;0,AB287,0)</f>
        <v>0</v>
      </c>
      <c r="CE287" s="53" t="n">
        <f aca="false">IF(ISNUMBER(AE287),1,0)</f>
        <v>0</v>
      </c>
      <c r="CF287" s="50" t="n">
        <f aca="false">N(AE287)</f>
        <v>0</v>
      </c>
      <c r="CG287" s="50" t="n">
        <f aca="false">N(M287)+N(N287)</f>
        <v>1</v>
      </c>
      <c r="CH287" s="50" t="n">
        <f aca="false">ROUNDUP(H287/BV287,0)</f>
        <v>2</v>
      </c>
      <c r="CI287" s="50" t="n">
        <f aca="false">ROUNDUP(CF287/BV287,0)</f>
        <v>0</v>
      </c>
      <c r="CJ287" s="53" t="n">
        <f aca="false">IF(BW287=1,0,IFERROR(VLOOKUP(BU287,'Gebinde-Kategorie'!$A$5:$N$45,5,0)+0,0))</f>
        <v>11</v>
      </c>
      <c r="CK287" s="53" t="n">
        <f aca="false">IFERROR(IF(OR(CB287=1,CB287=2,CB287=3),N(INDEX(Parameter!$I$5:$I$7,CB287)),0),0)</f>
        <v>0</v>
      </c>
      <c r="CL287" s="52" t="n">
        <f aca="false">IF(AND(Parameter!$B$21="Ja",ISNUMBER(W287),N(X287)&gt;0),IFERROR(N(INDEX(Parameter!$L$5:$L$7,W287))*INDEX(Parameter!$E$5:$E$7,W287)*X287/SUMIFS($X$7:$X$1843,$W$7:$W$1843,W287),0),0)</f>
        <v>0</v>
      </c>
    </row>
    <row r="288" customFormat="false" ht="15" hidden="false" customHeight="false" outlineLevel="0" collapsed="false">
      <c r="A288" s="48" t="s">
        <v>752</v>
      </c>
      <c r="B288" s="48" t="s">
        <v>753</v>
      </c>
      <c r="C288" s="48" t="s">
        <v>168</v>
      </c>
      <c r="D288" s="48" t="s">
        <v>188</v>
      </c>
      <c r="E288" s="48"/>
      <c r="F288" s="48" t="s">
        <v>222</v>
      </c>
      <c r="G288" s="49" t="n">
        <v>152.26</v>
      </c>
      <c r="H288" s="50" t="n">
        <f aca="false">MAX(0,IF(AND(Parameter!$B$21="Ja",ISNUMBER(Y288)),Y288,IF(Parameter!$B$20="Jahresanfang 2025 + Export",BO288+BN288,BN288)))</f>
        <v>4</v>
      </c>
      <c r="I288" s="50" t="n">
        <f aca="false">H288*G288</f>
        <v>609.04</v>
      </c>
      <c r="J288" s="50" t="n">
        <f aca="false">BQ288*Parameter!$B$18</f>
        <v>1</v>
      </c>
      <c r="K288" s="51" t="n">
        <v>3.5</v>
      </c>
      <c r="L288" s="52" t="n">
        <v>0.285714285714286</v>
      </c>
      <c r="M288" s="50" t="n">
        <v>0</v>
      </c>
      <c r="N288" s="50" t="n">
        <v>1</v>
      </c>
      <c r="O288" s="53" t="n">
        <v>28</v>
      </c>
      <c r="P288" s="48" t="s">
        <v>425</v>
      </c>
      <c r="Q288" s="50" t="n">
        <v>4</v>
      </c>
      <c r="R288" s="53" t="n">
        <f aca="false">IF(BW288=1,0,IFERROR(VLOOKUP(BU288,'Gebinde-Kategorie'!$A$5:$N$45,13,0)+0,0))</f>
        <v>104</v>
      </c>
      <c r="S288" s="54"/>
      <c r="T288" s="55"/>
      <c r="U288" s="55"/>
      <c r="V288" s="55"/>
      <c r="W288" s="48"/>
      <c r="X288" s="50"/>
      <c r="Y288" s="50"/>
      <c r="Z288" s="48" t="n">
        <f aca="false">IF(A288="","",IF(AND(Parameter!$B$21="Ja",ISNUMBER(W288)),W288,IF(BZ288="2+3",IF(ISNUMBER(SEARCH("grosser Artikel",BR288)),2,IFERROR(VLOOKUP(BU288,Parameter!$F$35:$G$64,2,0),2)),IF(OR(BZ288="Nein",BZ288=""),"-",BZ288))))</f>
        <v>3</v>
      </c>
      <c r="AA288" s="55"/>
      <c r="AB288" s="56"/>
      <c r="AC288" s="50" t="n">
        <f aca="false">AT288</f>
        <v>4</v>
      </c>
      <c r="AD288" s="50" t="n">
        <f aca="false">MAX(AT288,H288)</f>
        <v>4</v>
      </c>
      <c r="AE288" s="57"/>
      <c r="AF288" s="50" t="n">
        <f aca="false">IF(LEFT(Cockpit!$C$5,1)="A",H288,IF(CE288=1,CF288,IF(LEFT(Cockpit!$C$5,1)="B",AK288,MAX(AK288,H288))))</f>
        <v>4</v>
      </c>
      <c r="AG288" s="50" t="n">
        <f aca="false">IF(BW288=1,0,ROUNDUP(AF288/BV288,0))</f>
        <v>1</v>
      </c>
      <c r="AH288" s="52" t="n">
        <f aca="false">IF(CL288&gt;0,CL288*MAX(1,AF288/X288),IF(BW288=1,IF(AF288&lt;=0,0,CA288*MAX(1,IF(H288&gt;0,AF288/H288,1))),IF(R288&gt;0,AG288/R288,0))/MAX(0.1,N(Parameter!$M$21)))</f>
        <v>0.00961538461538462</v>
      </c>
      <c r="AI288" s="50" t="n">
        <f aca="false">AH288*BY288</f>
        <v>1.49038461538462</v>
      </c>
      <c r="AJ288" s="50" t="n">
        <f aca="false">AF288*G288</f>
        <v>609.04</v>
      </c>
      <c r="AK288" s="50" t="n">
        <f aca="false">ROUNDUP(MAX(J288/IF(CD288&gt;0,CD288,MAX(0.1,N(Cockpit!$C$6))),CG288)/BV288,0)*BV288</f>
        <v>4</v>
      </c>
      <c r="AL288" s="51" t="n">
        <f aca="false">IF(AI288&gt;0,J288/AI288,-1)</f>
        <v>0.670967741935484</v>
      </c>
      <c r="AM288" s="51" t="n">
        <f aca="false">IF(AND(OR(CC288="L1",CC288="L23",CC288="LIFT"),AI288&gt;0),SUMIFS($AI$7:$AI$1843,$CC$7:$CC$1843,CC288,$AL$7:$AL$1843,"&gt;"&amp;AL288)+SUMIFS($AI$7:$AI$1843,$CC$7:$CC$1843,CC288,$AL$7:$AL$1843,AL288,$BT$7:$BT$1843,"&lt;="&amp;BT288),"")</f>
        <v>8602.69871794872</v>
      </c>
      <c r="AN288" s="58" t="n">
        <f aca="false">IF(AM288="",0,MAX(0,MIN(1,(IF(CC288="L1",Parameter!$H$5,IF(CC288="L23",Parameter!$H$6+Parameter!$H$7,Parameter!$H$5+Parameter!$H$6+Parameter!$H$7))-(AM288-AI288))/AI288)))</f>
        <v>1</v>
      </c>
      <c r="AO288" s="50" t="n">
        <f aca="false">IF(LEFT(Cockpit!$I$5,1)="A",H288,IF(CE288=1,CF288,IF(LEFT(Cockpit!$I$5,1)="B",AT288,MAX(AT288,H288))))</f>
        <v>4</v>
      </c>
      <c r="AP288" s="50" t="n">
        <f aca="false">IF(BW288=1,0,ROUNDUP(AO288/BV288,0))</f>
        <v>1</v>
      </c>
      <c r="AQ288" s="52" t="n">
        <f aca="false">IF(CL288&gt;0,CL288*MAX(1,AO288/X288),IF(BW288=1,IF(AO288&lt;=0,0,CA288*MAX(1,IF(H288&gt;0,AO288/H288,1))),IF(R288&gt;0,AP288/R288,0))/MAX(0.1,N(Parameter!$M$21)))</f>
        <v>0.00961538461538462</v>
      </c>
      <c r="AR288" s="50" t="n">
        <f aca="false">AQ288*BY288</f>
        <v>1.49038461538462</v>
      </c>
      <c r="AS288" s="50" t="n">
        <f aca="false">AO288*G288</f>
        <v>609.04</v>
      </c>
      <c r="AT288" s="50" t="n">
        <f aca="false">ROUNDUP(MAX(J288/IF(CD288&gt;0,CD288,MAX(0.1,N(Cockpit!$I$6))),CG288)/BV288,0)*BV288</f>
        <v>4</v>
      </c>
      <c r="AU288" s="51" t="n">
        <f aca="false">IF(AR288&gt;0,J288/AR288,-1)</f>
        <v>0.670967741935484</v>
      </c>
      <c r="AV288" s="51" t="n">
        <f aca="false">IF(AND(OR(CC288="L1",CC288="L23",CC288="LIFT"),AR288&gt;0),SUMIFS($AR$7:$AR$1843,$CC$7:$CC$1843,CC288,$AU$7:$AU$1843,"&gt;"&amp;AU288)+SUMIFS($AR$7:$AR$1843,$CC$7:$CC$1843,CC288,$AU$7:$AU$1843,AU288,$BT$7:$BT$1843,"&lt;="&amp;BT288),"")</f>
        <v>11744.820970696</v>
      </c>
      <c r="AW288" s="58" t="n">
        <f aca="false">IF(AV288="",0,MAX(0,MIN(1,(IF(CC288="L1",Parameter!$H$5,IF(CC288="L23",Parameter!$H$6+Parameter!$H$7,Parameter!$H$5+Parameter!$H$6+Parameter!$H$7))-(AV288-AR288))/AR288)))</f>
        <v>1</v>
      </c>
      <c r="AX288" s="50" t="n">
        <f aca="false">IF(LEFT(Cockpit!$O$5,1)="A",H288,IF(CE288=1,CF288,IF(LEFT(Cockpit!$O$5,1)="B",BC288,MAX(BC288,H288))))</f>
        <v>4</v>
      </c>
      <c r="AY288" s="50" t="n">
        <f aca="false">IF(BW288=1,0,ROUNDUP(AX288/BV288,0))</f>
        <v>1</v>
      </c>
      <c r="AZ288" s="52" t="n">
        <f aca="false">IF(CL288&gt;0,CL288*MAX(1,AX288/X288),IF(BW288=1,IF(AX288&lt;=0,0,CA288*MAX(1,IF(H288&gt;0,AX288/H288,1))),IF(R288&gt;0,AY288/R288,0))/MAX(0.1,N(Parameter!$M$21)))</f>
        <v>0.00961538461538462</v>
      </c>
      <c r="BA288" s="50" t="n">
        <f aca="false">AZ288*BY288</f>
        <v>1.49038461538462</v>
      </c>
      <c r="BB288" s="50" t="n">
        <f aca="false">AX288*G288</f>
        <v>609.04</v>
      </c>
      <c r="BC288" s="50" t="n">
        <f aca="false">ROUNDUP(MAX(J288/IF(CD288&gt;0,CD288,MAX(0.1,N(Cockpit!$O$6))),CG288)/BV288,0)*BV288</f>
        <v>4</v>
      </c>
      <c r="BD288" s="51" t="n">
        <f aca="false">IF(BA288&gt;0,J288/BA288,-1)</f>
        <v>0.670967741935484</v>
      </c>
      <c r="BE288" s="51" t="n">
        <f aca="false">IF(AND(OR(CC288="L1",CC288="L23",CC288="LIFT"),BA288&gt;0),SUMIFS($BA$7:$BA$1843,$CC$7:$CC$1843,CC288,$BD$7:$BD$1843,"&gt;"&amp;BD288)+SUMIFS($BA$7:$BA$1843,$CC$7:$CC$1843,CC288,$BD$7:$BD$1843,BD288,$BT$7:$BT$1843,"&lt;="&amp;BT288),"")</f>
        <v>11344.6446886447</v>
      </c>
      <c r="BF288" s="58" t="n">
        <f aca="false">IF(BE288="",0,MAX(0,MIN(1,(IF(CC288="L1",Parameter!$H$5,IF(CC288="L23",Parameter!$H$6+Parameter!$H$7,Parameter!$H$5+Parameter!$H$6+Parameter!$H$7))-(BE288-BA288))/BA288)))</f>
        <v>1</v>
      </c>
      <c r="BG288" s="48" t="str">
        <f aca="false">IF(AI288&lt;=0,"",IF(CC288="Aussen","Aussenlager",IF(CC288="-","Nicht im Lift",IF(AN288&gt;=1,"Lift",IF(AN288&lt;=0,"Aussenlager","teilweise")))))</f>
        <v>Lift</v>
      </c>
      <c r="BH288" s="48" t="str">
        <f aca="false">IF(AR288&lt;=0,"",IF(CC288="Aussen","Aussenlager",IF(CC288="-","Nicht im Lift",IF(AW288&gt;=1,"Lift",IF(AW288&lt;=0,"Aussenlager","teilweise")))))</f>
        <v>Lift</v>
      </c>
      <c r="BI288" s="48" t="str">
        <f aca="false">IF(BA288&lt;=0,"",IF(CC288="Aussen","Aussenlager",IF(CC288="-","Nicht im Lift",IF(BF288&gt;=1,"Lift",IF(BF288&lt;=0,"Aussenlager","teilweise")))))</f>
        <v>Lift</v>
      </c>
      <c r="BJ288" s="48" t="str">
        <f aca="false">IF(A288="","",IF(BS288=1,"Neu; ","")&amp;IF(AND(BS288=0,BN288&lt;0),"negativer Bestand (Export "&amp;BN288&amp;"); ","")&amp;IF(J288&lt;=0,"Kein Verbrauch; ","")&amp;IF(CL288&gt;0,"Lift "&amp;W288&amp;" lt. Liftbericht (Fach "&amp;X288&amp;" Stk); ",IF(BX288=1,"Gebinde geschätzt ("&amp;T288&amp;"); ",IF(BW288=1,"Lose – Tablare geschätzt; ","")))&amp;IF(H288&gt;AT288,"Überbestand "&amp;ROUND(H288-AT288,0)&amp;" Stk / CHF "&amp;ROUND((H288-AT288)*G288,0)&amp;"; ","")&amp;IF(AND(CE288=1,CF288&lt;CG288),"MAX &lt; MB+LG; ","")&amp;IF(AND(CK288&gt;0,CJ288*10&gt;CK288),"zu hoch für Tablar; ","")&amp;IF(AND(BS288=0,OR(CE288=1,AA288&lt;&gt;"",U288&lt;&gt;"",V288&lt;&gt;"",AB288&lt;&gt;"")),"manuell übersteuert; ","")&amp;IF(AND(BW288=0,R288=0),"Gebinde unbekannt / Stellmass fehlt; ","")&amp;IF(AND(BW288=0,N(V288)&lt;=0,N(Q288)&lt;=0),"Menge pro Gebinde fehlt (Ist = 1 Gebinde); ","")&amp;BR288)</f>
        <v/>
      </c>
      <c r="BK288" s="48"/>
      <c r="BL288" s="48"/>
      <c r="BM288" s="55"/>
      <c r="BN288" s="50" t="n">
        <v>2</v>
      </c>
      <c r="BO288" s="50" t="n">
        <v>2</v>
      </c>
      <c r="BP288" s="49" t="n">
        <v>322.92</v>
      </c>
      <c r="BQ288" s="50" t="n">
        <v>1</v>
      </c>
      <c r="BR288" s="48"/>
      <c r="BS288" s="53" t="n">
        <v>0</v>
      </c>
      <c r="BT288" s="53" t="n">
        <v>288</v>
      </c>
      <c r="BU288" s="48" t="str">
        <f aca="false">IF(U288&lt;&gt;"",UPPER(TRIM(U288)),IF(BX288=1,UPPER(VLOOKUP(T288,Parameter!$I$27:$K$29,2,0)),IF(P288="","LOSE",P288)))</f>
        <v>S32</v>
      </c>
      <c r="BV288" s="50" t="n">
        <f aca="false">IF(BU288="LOSE",1,IF(N(V288)&gt;0,V288,IF(BX288=1,MAX(1,N(VLOOKUP(T288,Parameter!$I$27:$K$29,3,0)),H288,N(N288)),IF(N(Q288)&gt;0,Q288,MAX(1,H288)))))</f>
        <v>4</v>
      </c>
      <c r="BW288" s="53" t="n">
        <f aca="false">IF(BU288="LOSE",1,0)</f>
        <v>0</v>
      </c>
      <c r="BX288" s="53" t="n">
        <f aca="false">IF(AND(U288="",OR(P288="",P288="LOSE"),T288&lt;&gt;"",N(S288)&lt;=0,ISNUMBER(MATCH(T288,Parameter!$I$27:$I$29,0))),1,0)</f>
        <v>0</v>
      </c>
      <c r="BY288" s="53" t="n">
        <f aca="false">IF(CL288&gt;0,INDEX(Parameter!$H$5:$H$7,W288)/INDEX(Parameter!$E$5:$E$7,W288),IF(AND(BW288=0,N(IFERROR(VLOOKUP(BU288,'Gebinde-Kategorie'!$A$5:$N$45,14,0),0))&gt;0),VLOOKUP(BU288,'Gebinde-Kategorie'!$A$5:$N$45,14,0)*10+Parameter!$M$23,Parameter!$M$24))</f>
        <v>155</v>
      </c>
      <c r="BZ288" s="48" t="str">
        <f aca="false">IF(AND(Parameter!$B$19="Ja",E288&lt;&gt;"",ISNUMBER(MATCH(E288,Parameter!$I$35:$I$52,0))),VLOOKUP(E288,Parameter!$I$35:$J$52,2,0),IFERROR(VLOOKUP(D288,Parameter!$A$35:$C$64,2,0),"Nein"))</f>
        <v>2+3</v>
      </c>
      <c r="CA288" s="52" t="n">
        <f aca="false">IF(BW288=0,0,IF(N(S288)&gt;0,S288,IFERROR(VLOOKUP(D288,Parameter!$A$35:$C$64,3,0)+0,0)))</f>
        <v>0</v>
      </c>
      <c r="CB288" s="48" t="n">
        <f aca="false">IF(AA288&lt;&gt;"",AA288,Z288)</f>
        <v>3</v>
      </c>
      <c r="CC288" s="48" t="str">
        <f aca="false">IF(OR(CB288=1,CB288=2,CB288=3),IF(Parameter!$E$27="Ja","LIFT",IF(CB288=1,"L1","L23")),IF(CB288="Aussen","Aussen","-"))</f>
        <v>LIFT</v>
      </c>
      <c r="CD288" s="59" t="n">
        <f aca="false">IF(N(AB288)&gt;0,AB288,0)</f>
        <v>0</v>
      </c>
      <c r="CE288" s="53" t="n">
        <f aca="false">IF(ISNUMBER(AE288),1,0)</f>
        <v>0</v>
      </c>
      <c r="CF288" s="50" t="n">
        <f aca="false">N(AE288)</f>
        <v>0</v>
      </c>
      <c r="CG288" s="50" t="n">
        <f aca="false">N(M288)+N(N288)</f>
        <v>1</v>
      </c>
      <c r="CH288" s="50" t="n">
        <f aca="false">ROUNDUP(H288/BV288,0)</f>
        <v>1</v>
      </c>
      <c r="CI288" s="50" t="n">
        <f aca="false">ROUNDUP(CF288/BV288,0)</f>
        <v>0</v>
      </c>
      <c r="CJ288" s="53" t="n">
        <f aca="false">IF(BW288=1,0,IFERROR(VLOOKUP(BU288,'Gebinde-Kategorie'!$A$5:$N$45,5,0)+0,0))</f>
        <v>8</v>
      </c>
      <c r="CK288" s="53" t="n">
        <f aca="false">IFERROR(IF(OR(CB288=1,CB288=2,CB288=3),N(INDEX(Parameter!$I$5:$I$7,CB288)),0),0)</f>
        <v>0</v>
      </c>
      <c r="CL288" s="52" t="n">
        <f aca="false">IF(AND(Parameter!$B$21="Ja",ISNUMBER(W288),N(X288)&gt;0),IFERROR(N(INDEX(Parameter!$L$5:$L$7,W288))*INDEX(Parameter!$E$5:$E$7,W288)*X288/SUMIFS($X$7:$X$1843,$W$7:$W$1843,W288),0),0)</f>
        <v>0</v>
      </c>
    </row>
    <row r="289" customFormat="false" ht="15" hidden="false" customHeight="false" outlineLevel="0" collapsed="false">
      <c r="A289" s="48" t="s">
        <v>754</v>
      </c>
      <c r="B289" s="48" t="s">
        <v>755</v>
      </c>
      <c r="C289" s="48" t="s">
        <v>168</v>
      </c>
      <c r="D289" s="48" t="s">
        <v>188</v>
      </c>
      <c r="E289" s="48" t="s">
        <v>189</v>
      </c>
      <c r="F289" s="48" t="s">
        <v>222</v>
      </c>
      <c r="G289" s="49" t="n">
        <v>11.14</v>
      </c>
      <c r="H289" s="50" t="n">
        <f aca="false">MAX(0,IF(AND(Parameter!$B$21="Ja",ISNUMBER(Y289)),Y289,IF(Parameter!$B$20="Jahresanfang 2025 + Export",BO289+BN289,BN289)))</f>
        <v>34</v>
      </c>
      <c r="I289" s="50" t="n">
        <f aca="false">H289*G289</f>
        <v>378.76</v>
      </c>
      <c r="J289" s="50" t="n">
        <f aca="false">BQ289*Parameter!$B$18</f>
        <v>5</v>
      </c>
      <c r="K289" s="51" t="n">
        <v>5</v>
      </c>
      <c r="L289" s="52" t="n">
        <v>1</v>
      </c>
      <c r="M289" s="50" t="n">
        <v>0</v>
      </c>
      <c r="N289" s="50" t="n">
        <v>5</v>
      </c>
      <c r="O289" s="53" t="n">
        <v>14</v>
      </c>
      <c r="P289" s="48" t="s">
        <v>425</v>
      </c>
      <c r="Q289" s="50" t="n">
        <v>11</v>
      </c>
      <c r="R289" s="53" t="n">
        <f aca="false">IF(BW289=1,0,IFERROR(VLOOKUP(BU289,'Gebinde-Kategorie'!$A$5:$N$45,13,0)+0,0))</f>
        <v>104</v>
      </c>
      <c r="S289" s="54"/>
      <c r="T289" s="55"/>
      <c r="U289" s="55"/>
      <c r="V289" s="55"/>
      <c r="W289" s="48"/>
      <c r="X289" s="50"/>
      <c r="Y289" s="50"/>
      <c r="Z289" s="48" t="n">
        <f aca="false">IF(A289="","",IF(AND(Parameter!$B$21="Ja",ISNUMBER(W289)),W289,IF(BZ289="2+3",IF(ISNUMBER(SEARCH("grosser Artikel",BR289)),2,IFERROR(VLOOKUP(BU289,Parameter!$F$35:$G$64,2,0),2)),IF(OR(BZ289="Nein",BZ289=""),"-",BZ289))))</f>
        <v>3</v>
      </c>
      <c r="AA289" s="55"/>
      <c r="AB289" s="56"/>
      <c r="AC289" s="50" t="n">
        <f aca="false">AT289</f>
        <v>11</v>
      </c>
      <c r="AD289" s="50" t="n">
        <f aca="false">MAX(AT289,H289)</f>
        <v>34</v>
      </c>
      <c r="AE289" s="57"/>
      <c r="AF289" s="50" t="n">
        <f aca="false">IF(LEFT(Cockpit!$C$5,1)="A",H289,IF(CE289=1,CF289,IF(LEFT(Cockpit!$C$5,1)="B",AK289,MAX(AK289,H289))))</f>
        <v>34</v>
      </c>
      <c r="AG289" s="50" t="n">
        <f aca="false">IF(BW289=1,0,ROUNDUP(AF289/BV289,0))</f>
        <v>4</v>
      </c>
      <c r="AH289" s="52" t="n">
        <f aca="false">IF(CL289&gt;0,CL289*MAX(1,AF289/X289),IF(BW289=1,IF(AF289&lt;=0,0,CA289*MAX(1,IF(H289&gt;0,AF289/H289,1))),IF(R289&gt;0,AG289/R289,0))/MAX(0.1,N(Parameter!$M$21)))</f>
        <v>0.0384615384615385</v>
      </c>
      <c r="AI289" s="50" t="n">
        <f aca="false">AH289*BY289</f>
        <v>5.96153846153846</v>
      </c>
      <c r="AJ289" s="50" t="n">
        <f aca="false">AF289*G289</f>
        <v>378.76</v>
      </c>
      <c r="AK289" s="50" t="n">
        <f aca="false">ROUNDUP(MAX(J289/IF(CD289&gt;0,CD289,MAX(0.1,N(Cockpit!$C$6))),CG289)/BV289,0)*BV289</f>
        <v>11</v>
      </c>
      <c r="AL289" s="51" t="n">
        <f aca="false">IF(AI289&gt;0,J289/AI289,-1)</f>
        <v>0.838709677419355</v>
      </c>
      <c r="AM289" s="51" t="n">
        <f aca="false">IF(AND(OR(CC289="L1",CC289="L23",CC289="LIFT"),AI289&gt;0),SUMIFS($AI$7:$AI$1843,$CC$7:$CC$1843,CC289,$AL$7:$AL$1843,"&gt;"&amp;AL289)+SUMIFS($AI$7:$AI$1843,$CC$7:$CC$1843,CC289,$AL$7:$AL$1843,AL289,$BT$7:$BT$1843,"&lt;="&amp;BT289),"")</f>
        <v>7878.74038461538</v>
      </c>
      <c r="AN289" s="58" t="n">
        <f aca="false">IF(AM289="",0,MAX(0,MIN(1,(IF(CC289="L1",Parameter!$H$5,IF(CC289="L23",Parameter!$H$6+Parameter!$H$7,Parameter!$H$5+Parameter!$H$6+Parameter!$H$7))-(AM289-AI289))/AI289)))</f>
        <v>1</v>
      </c>
      <c r="AO289" s="50" t="n">
        <f aca="false">IF(LEFT(Cockpit!$I$5,1)="A",H289,IF(CE289=1,CF289,IF(LEFT(Cockpit!$I$5,1)="B",AT289,MAX(AT289,H289))))</f>
        <v>34</v>
      </c>
      <c r="AP289" s="50" t="n">
        <f aca="false">IF(BW289=1,0,ROUNDUP(AO289/BV289,0))</f>
        <v>4</v>
      </c>
      <c r="AQ289" s="52" t="n">
        <f aca="false">IF(CL289&gt;0,CL289*MAX(1,AO289/X289),IF(BW289=1,IF(AO289&lt;=0,0,CA289*MAX(1,IF(H289&gt;0,AO289/H289,1))),IF(R289&gt;0,AP289/R289,0))/MAX(0.1,N(Parameter!$M$21)))</f>
        <v>0.0384615384615385</v>
      </c>
      <c r="AR289" s="50" t="n">
        <f aca="false">AQ289*BY289</f>
        <v>5.96153846153846</v>
      </c>
      <c r="AS289" s="50" t="n">
        <f aca="false">AO289*G289</f>
        <v>378.76</v>
      </c>
      <c r="AT289" s="50" t="n">
        <f aca="false">ROUNDUP(MAX(J289/IF(CD289&gt;0,CD289,MAX(0.1,N(Cockpit!$I$6))),CG289)/BV289,0)*BV289</f>
        <v>11</v>
      </c>
      <c r="AU289" s="51" t="n">
        <f aca="false">IF(AR289&gt;0,J289/AR289,-1)</f>
        <v>0.838709677419355</v>
      </c>
      <c r="AV289" s="51" t="n">
        <f aca="false">IF(AND(OR(CC289="L1",CC289="L23",CC289="LIFT"),AR289&gt;0),SUMIFS($AR$7:$AR$1843,$CC$7:$CC$1843,CC289,$AU$7:$AU$1843,"&gt;"&amp;AU289)+SUMIFS($AR$7:$AR$1843,$CC$7:$CC$1843,CC289,$AU$7:$AU$1843,AU289,$BT$7:$BT$1843,"&lt;="&amp;BT289),"")</f>
        <v>11249.1639194139</v>
      </c>
      <c r="AW289" s="58" t="n">
        <f aca="false">IF(AV289="",0,MAX(0,MIN(1,(IF(CC289="L1",Parameter!$H$5,IF(CC289="L23",Parameter!$H$6+Parameter!$H$7,Parameter!$H$5+Parameter!$H$6+Parameter!$H$7))-(AV289-AR289))/AR289)))</f>
        <v>1</v>
      </c>
      <c r="AX289" s="50" t="n">
        <f aca="false">IF(LEFT(Cockpit!$O$5,1)="A",H289,IF(CE289=1,CF289,IF(LEFT(Cockpit!$O$5,1)="B",BC289,MAX(BC289,H289))))</f>
        <v>34</v>
      </c>
      <c r="AY289" s="50" t="n">
        <f aca="false">IF(BW289=1,0,ROUNDUP(AX289/BV289,0))</f>
        <v>4</v>
      </c>
      <c r="AZ289" s="52" t="n">
        <f aca="false">IF(CL289&gt;0,CL289*MAX(1,AX289/X289),IF(BW289=1,IF(AX289&lt;=0,0,CA289*MAX(1,IF(H289&gt;0,AX289/H289,1))),IF(R289&gt;0,AY289/R289,0))/MAX(0.1,N(Parameter!$M$21)))</f>
        <v>0.0384615384615385</v>
      </c>
      <c r="BA289" s="50" t="n">
        <f aca="false">AZ289*BY289</f>
        <v>5.96153846153846</v>
      </c>
      <c r="BB289" s="50" t="n">
        <f aca="false">AX289*G289</f>
        <v>378.76</v>
      </c>
      <c r="BC289" s="50" t="n">
        <f aca="false">ROUNDUP(MAX(J289/IF(CD289&gt;0,CD289,MAX(0.1,N(Cockpit!$O$6))),CG289)/BV289,0)*BV289</f>
        <v>11</v>
      </c>
      <c r="BD289" s="51" t="n">
        <f aca="false">IF(BA289&gt;0,J289/BA289,-1)</f>
        <v>0.838709677419355</v>
      </c>
      <c r="BE289" s="51" t="n">
        <f aca="false">IF(AND(OR(CC289="L1",CC289="L23",CC289="LIFT"),BA289&gt;0),SUMIFS($BA$7:$BA$1843,$CC$7:$CC$1843,CC289,$BD$7:$BD$1843,"&gt;"&amp;BD289)+SUMIFS($BA$7:$BA$1843,$CC$7:$CC$1843,CC289,$BD$7:$BD$1843,BD289,$BT$7:$BT$1843,"&lt;="&amp;BT289),"")</f>
        <v>10344.820970696</v>
      </c>
      <c r="BF289" s="58" t="n">
        <f aca="false">IF(BE289="",0,MAX(0,MIN(1,(IF(CC289="L1",Parameter!$H$5,IF(CC289="L23",Parameter!$H$6+Parameter!$H$7,Parameter!$H$5+Parameter!$H$6+Parameter!$H$7))-(BE289-BA289))/BA289)))</f>
        <v>1</v>
      </c>
      <c r="BG289" s="48" t="str">
        <f aca="false">IF(AI289&lt;=0,"",IF(CC289="Aussen","Aussenlager",IF(CC289="-","Nicht im Lift",IF(AN289&gt;=1,"Lift",IF(AN289&lt;=0,"Aussenlager","teilweise")))))</f>
        <v>Lift</v>
      </c>
      <c r="BH289" s="48" t="str">
        <f aca="false">IF(AR289&lt;=0,"",IF(CC289="Aussen","Aussenlager",IF(CC289="-","Nicht im Lift",IF(AW289&gt;=1,"Lift",IF(AW289&lt;=0,"Aussenlager","teilweise")))))</f>
        <v>Lift</v>
      </c>
      <c r="BI289" s="48" t="str">
        <f aca="false">IF(BA289&lt;=0,"",IF(CC289="Aussen","Aussenlager",IF(CC289="-","Nicht im Lift",IF(BF289&gt;=1,"Lift",IF(BF289&lt;=0,"Aussenlager","teilweise")))))</f>
        <v>Lift</v>
      </c>
      <c r="BJ289" s="48" t="str">
        <f aca="false">IF(A289="","",IF(BS289=1,"Neu; ","")&amp;IF(AND(BS289=0,BN289&lt;0),"negativer Bestand (Export "&amp;BN289&amp;"); ","")&amp;IF(J289&lt;=0,"Kein Verbrauch; ","")&amp;IF(CL289&gt;0,"Lift "&amp;W289&amp;" lt. Liftbericht (Fach "&amp;X289&amp;" Stk); ",IF(BX289=1,"Gebinde geschätzt ("&amp;T289&amp;"); ",IF(BW289=1,"Lose – Tablare geschätzt; ","")))&amp;IF(H289&gt;AT289,"Überbestand "&amp;ROUND(H289-AT289,0)&amp;" Stk / CHF "&amp;ROUND((H289-AT289)*G289,0)&amp;"; ","")&amp;IF(AND(CE289=1,CF289&lt;CG289),"MAX &lt; MB+LG; ","")&amp;IF(AND(CK289&gt;0,CJ289*10&gt;CK289),"zu hoch für Tablar; ","")&amp;IF(AND(BS289=0,OR(CE289=1,AA289&lt;&gt;"",U289&lt;&gt;"",V289&lt;&gt;"",AB289&lt;&gt;"")),"manuell übersteuert; ","")&amp;IF(AND(BW289=0,R289=0),"Gebinde unbekannt / Stellmass fehlt; ","")&amp;IF(AND(BW289=0,N(V289)&lt;=0,N(Q289)&lt;=0),"Menge pro Gebinde fehlt (Ist = 1 Gebinde); ","")&amp;BR289)</f>
        <v>Überbestand 23 Stk / CHF 256; </v>
      </c>
      <c r="BK289" s="48"/>
      <c r="BL289" s="48"/>
      <c r="BM289" s="55"/>
      <c r="BN289" s="50" t="n">
        <v>29</v>
      </c>
      <c r="BO289" s="50" t="n">
        <v>5</v>
      </c>
      <c r="BP289" s="49" t="n">
        <v>310.91</v>
      </c>
      <c r="BQ289" s="50" t="n">
        <v>5</v>
      </c>
      <c r="BR289" s="48"/>
      <c r="BS289" s="53" t="n">
        <v>0</v>
      </c>
      <c r="BT289" s="53" t="n">
        <v>289</v>
      </c>
      <c r="BU289" s="48" t="str">
        <f aca="false">IF(U289&lt;&gt;"",UPPER(TRIM(U289)),IF(BX289=1,UPPER(VLOOKUP(T289,Parameter!$I$27:$K$29,2,0)),IF(P289="","LOSE",P289)))</f>
        <v>S32</v>
      </c>
      <c r="BV289" s="50" t="n">
        <f aca="false">IF(BU289="LOSE",1,IF(N(V289)&gt;0,V289,IF(BX289=1,MAX(1,N(VLOOKUP(T289,Parameter!$I$27:$K$29,3,0)),H289,N(N289)),IF(N(Q289)&gt;0,Q289,MAX(1,H289)))))</f>
        <v>11</v>
      </c>
      <c r="BW289" s="53" t="n">
        <f aca="false">IF(BU289="LOSE",1,0)</f>
        <v>0</v>
      </c>
      <c r="BX289" s="53" t="n">
        <f aca="false">IF(AND(U289="",OR(P289="",P289="LOSE"),T289&lt;&gt;"",N(S289)&lt;=0,ISNUMBER(MATCH(T289,Parameter!$I$27:$I$29,0))),1,0)</f>
        <v>0</v>
      </c>
      <c r="BY289" s="53" t="n">
        <f aca="false">IF(CL289&gt;0,INDEX(Parameter!$H$5:$H$7,W289)/INDEX(Parameter!$E$5:$E$7,W289),IF(AND(BW289=0,N(IFERROR(VLOOKUP(BU289,'Gebinde-Kategorie'!$A$5:$N$45,14,0),0))&gt;0),VLOOKUP(BU289,'Gebinde-Kategorie'!$A$5:$N$45,14,0)*10+Parameter!$M$23,Parameter!$M$24))</f>
        <v>155</v>
      </c>
      <c r="BZ289" s="48" t="str">
        <f aca="false">IF(AND(Parameter!$B$19="Ja",E289&lt;&gt;"",ISNUMBER(MATCH(E289,Parameter!$I$35:$I$52,0))),VLOOKUP(E289,Parameter!$I$35:$J$52,2,0),IFERROR(VLOOKUP(D289,Parameter!$A$35:$C$64,2,0),"Nein"))</f>
        <v>2+3</v>
      </c>
      <c r="CA289" s="52" t="n">
        <f aca="false">IF(BW289=0,0,IF(N(S289)&gt;0,S289,IFERROR(VLOOKUP(D289,Parameter!$A$35:$C$64,3,0)+0,0)))</f>
        <v>0</v>
      </c>
      <c r="CB289" s="48" t="n">
        <f aca="false">IF(AA289&lt;&gt;"",AA289,Z289)</f>
        <v>3</v>
      </c>
      <c r="CC289" s="48" t="str">
        <f aca="false">IF(OR(CB289=1,CB289=2,CB289=3),IF(Parameter!$E$27="Ja","LIFT",IF(CB289=1,"L1","L23")),IF(CB289="Aussen","Aussen","-"))</f>
        <v>LIFT</v>
      </c>
      <c r="CD289" s="59" t="n">
        <f aca="false">IF(N(AB289)&gt;0,AB289,0)</f>
        <v>0</v>
      </c>
      <c r="CE289" s="53" t="n">
        <f aca="false">IF(ISNUMBER(AE289),1,0)</f>
        <v>0</v>
      </c>
      <c r="CF289" s="50" t="n">
        <f aca="false">N(AE289)</f>
        <v>0</v>
      </c>
      <c r="CG289" s="50" t="n">
        <f aca="false">N(M289)+N(N289)</f>
        <v>5</v>
      </c>
      <c r="CH289" s="50" t="n">
        <f aca="false">ROUNDUP(H289/BV289,0)</f>
        <v>4</v>
      </c>
      <c r="CI289" s="50" t="n">
        <f aca="false">ROUNDUP(CF289/BV289,0)</f>
        <v>0</v>
      </c>
      <c r="CJ289" s="53" t="n">
        <f aca="false">IF(BW289=1,0,IFERROR(VLOOKUP(BU289,'Gebinde-Kategorie'!$A$5:$N$45,5,0)+0,0))</f>
        <v>8</v>
      </c>
      <c r="CK289" s="53" t="n">
        <f aca="false">IFERROR(IF(OR(CB289=1,CB289=2,CB289=3),N(INDEX(Parameter!$I$5:$I$7,CB289)),0),0)</f>
        <v>0</v>
      </c>
      <c r="CL289" s="52" t="n">
        <f aca="false">IF(AND(Parameter!$B$21="Ja",ISNUMBER(W289),N(X289)&gt;0),IFERROR(N(INDEX(Parameter!$L$5:$L$7,W289))*INDEX(Parameter!$E$5:$E$7,W289)*X289/SUMIFS($X$7:$X$1843,$W$7:$W$1843,W289),0),0)</f>
        <v>0</v>
      </c>
    </row>
    <row r="290" customFormat="false" ht="15" hidden="false" customHeight="false" outlineLevel="0" collapsed="false">
      <c r="A290" s="48" t="s">
        <v>756</v>
      </c>
      <c r="B290" s="48" t="s">
        <v>757</v>
      </c>
      <c r="C290" s="48" t="s">
        <v>168</v>
      </c>
      <c r="D290" s="48" t="s">
        <v>188</v>
      </c>
      <c r="E290" s="48" t="s">
        <v>189</v>
      </c>
      <c r="F290" s="48" t="s">
        <v>222</v>
      </c>
      <c r="G290" s="49" t="n">
        <v>4.03</v>
      </c>
      <c r="H290" s="50" t="n">
        <f aca="false">MAX(0,IF(AND(Parameter!$B$21="Ja",ISNUMBER(Y290)),Y290,IF(Parameter!$B$20="Jahresanfang 2025 + Export",BO290+BN290,BN290)))</f>
        <v>133</v>
      </c>
      <c r="I290" s="50" t="n">
        <f aca="false">H290*G290</f>
        <v>535.99</v>
      </c>
      <c r="J290" s="50" t="n">
        <f aca="false">BQ290*Parameter!$B$18</f>
        <v>228</v>
      </c>
      <c r="K290" s="51" t="n">
        <v>92.5</v>
      </c>
      <c r="L290" s="52" t="n">
        <v>2.46486486486487</v>
      </c>
      <c r="M290" s="50" t="n">
        <v>17</v>
      </c>
      <c r="N290" s="50" t="n">
        <v>230</v>
      </c>
      <c r="O290" s="53" t="n">
        <v>28</v>
      </c>
      <c r="P290" s="48" t="s">
        <v>306</v>
      </c>
      <c r="Q290" s="50" t="n">
        <v>76</v>
      </c>
      <c r="R290" s="53" t="n">
        <f aca="false">IF(BW290=1,0,IFERROR(VLOOKUP(BU290,'Gebinde-Kategorie'!$A$5:$N$45,13,0)+0,0))</f>
        <v>26</v>
      </c>
      <c r="S290" s="54"/>
      <c r="T290" s="55"/>
      <c r="U290" s="55"/>
      <c r="V290" s="55"/>
      <c r="W290" s="48"/>
      <c r="X290" s="50"/>
      <c r="Y290" s="50"/>
      <c r="Z290" s="48" t="n">
        <f aca="false">IF(A290="","",IF(AND(Parameter!$B$21="Ja",ISNUMBER(W290)),W290,IF(BZ290="2+3",IF(ISNUMBER(SEARCH("grosser Artikel",BR290)),2,IFERROR(VLOOKUP(BU290,Parameter!$F$35:$G$64,2,0),2)),IF(OR(BZ290="Nein",BZ290=""),"-",BZ290))))</f>
        <v>3</v>
      </c>
      <c r="AA290" s="55"/>
      <c r="AB290" s="56"/>
      <c r="AC290" s="50" t="n">
        <f aca="false">AT290</f>
        <v>304</v>
      </c>
      <c r="AD290" s="50" t="n">
        <f aca="false">MAX(AT290,H290)</f>
        <v>304</v>
      </c>
      <c r="AE290" s="57"/>
      <c r="AF290" s="50" t="n">
        <f aca="false">IF(LEFT(Cockpit!$C$5,1)="A",H290,IF(CE290=1,CF290,IF(LEFT(Cockpit!$C$5,1)="B",AK290,MAX(AK290,H290))))</f>
        <v>133</v>
      </c>
      <c r="AG290" s="50" t="n">
        <f aca="false">IF(BW290=1,0,ROUNDUP(AF290/BV290,0))</f>
        <v>2</v>
      </c>
      <c r="AH290" s="52" t="n">
        <f aca="false">IF(CL290&gt;0,CL290*MAX(1,AF290/X290),IF(BW290=1,IF(AF290&lt;=0,0,CA290*MAX(1,IF(H290&gt;0,AF290/H290,1))),IF(R290&gt;0,AG290/R290,0))/MAX(0.1,N(Parameter!$M$21)))</f>
        <v>0.0769230769230769</v>
      </c>
      <c r="AI290" s="50" t="n">
        <f aca="false">AH290*BY290</f>
        <v>11.9230769230769</v>
      </c>
      <c r="AJ290" s="50" t="n">
        <f aca="false">AF290*G290</f>
        <v>535.99</v>
      </c>
      <c r="AK290" s="50" t="n">
        <f aca="false">ROUNDUP(MAX(J290/IF(CD290&gt;0,CD290,MAX(0.1,N(Cockpit!$C$6))),CG290)/BV290,0)*BV290</f>
        <v>304</v>
      </c>
      <c r="AL290" s="51" t="n">
        <f aca="false">IF(AI290&gt;0,J290/AI290,-1)</f>
        <v>19.1225806451613</v>
      </c>
      <c r="AM290" s="51" t="n">
        <f aca="false">IF(AND(OR(CC290="L1",CC290="L23",CC290="LIFT"),AI290&gt;0),SUMIFS($AI$7:$AI$1843,$CC$7:$CC$1843,CC290,$AL$7:$AL$1843,"&gt;"&amp;AL290)+SUMIFS($AI$7:$AI$1843,$CC$7:$CC$1843,CC290,$AL$7:$AL$1843,AL290,$BT$7:$BT$1843,"&lt;="&amp;BT290),"")</f>
        <v>1736.97435897436</v>
      </c>
      <c r="AN290" s="58" t="n">
        <f aca="false">IF(AM290="",0,MAX(0,MIN(1,(IF(CC290="L1",Parameter!$H$5,IF(CC290="L23",Parameter!$H$6+Parameter!$H$7,Parameter!$H$5+Parameter!$H$6+Parameter!$H$7))-(AM290-AI290))/AI290)))</f>
        <v>1</v>
      </c>
      <c r="AO290" s="50" t="n">
        <f aca="false">IF(LEFT(Cockpit!$I$5,1)="A",H290,IF(CE290=1,CF290,IF(LEFT(Cockpit!$I$5,1)="B",AT290,MAX(AT290,H290))))</f>
        <v>304</v>
      </c>
      <c r="AP290" s="50" t="n">
        <f aca="false">IF(BW290=1,0,ROUNDUP(AO290/BV290,0))</f>
        <v>4</v>
      </c>
      <c r="AQ290" s="52" t="n">
        <f aca="false">IF(CL290&gt;0,CL290*MAX(1,AO290/X290),IF(BW290=1,IF(AO290&lt;=0,0,CA290*MAX(1,IF(H290&gt;0,AO290/H290,1))),IF(R290&gt;0,AP290/R290,0))/MAX(0.1,N(Parameter!$M$21)))</f>
        <v>0.153846153846154</v>
      </c>
      <c r="AR290" s="50" t="n">
        <f aca="false">AQ290*BY290</f>
        <v>23.8461538461538</v>
      </c>
      <c r="AS290" s="50" t="n">
        <f aca="false">AO290*G290</f>
        <v>1225.12</v>
      </c>
      <c r="AT290" s="50" t="n">
        <f aca="false">ROUNDUP(MAX(J290/IF(CD290&gt;0,CD290,MAX(0.1,N(Cockpit!$I$6))),CG290)/BV290,0)*BV290</f>
        <v>304</v>
      </c>
      <c r="AU290" s="51" t="n">
        <f aca="false">IF(AR290&gt;0,J290/AR290,-1)</f>
        <v>9.56129032258064</v>
      </c>
      <c r="AV290" s="51" t="n">
        <f aca="false">IF(AND(OR(CC290="L1",CC290="L23",CC290="LIFT"),AR290&gt;0),SUMIFS($AR$7:$AR$1843,$CC$7:$CC$1843,CC290,$AU$7:$AU$1843,"&gt;"&amp;AU290)+SUMIFS($AR$7:$AR$1843,$CC$7:$CC$1843,CC290,$AU$7:$AU$1843,AU290,$BT$7:$BT$1843,"&lt;="&amp;BT290),"")</f>
        <v>4098.60714285714</v>
      </c>
      <c r="AW290" s="58" t="n">
        <f aca="false">IF(AV290="",0,MAX(0,MIN(1,(IF(CC290="L1",Parameter!$H$5,IF(CC290="L23",Parameter!$H$6+Parameter!$H$7,Parameter!$H$5+Parameter!$H$6+Parameter!$H$7))-(AV290-AR290))/AR290)))</f>
        <v>1</v>
      </c>
      <c r="AX290" s="50" t="n">
        <f aca="false">IF(LEFT(Cockpit!$O$5,1)="A",H290,IF(CE290=1,CF290,IF(LEFT(Cockpit!$O$5,1)="B",BC290,MAX(BC290,H290))))</f>
        <v>304</v>
      </c>
      <c r="AY290" s="50" t="n">
        <f aca="false">IF(BW290=1,0,ROUNDUP(AX290/BV290,0))</f>
        <v>4</v>
      </c>
      <c r="AZ290" s="52" t="n">
        <f aca="false">IF(CL290&gt;0,CL290*MAX(1,AX290/X290),IF(BW290=1,IF(AX290&lt;=0,0,CA290*MAX(1,IF(H290&gt;0,AX290/H290,1))),IF(R290&gt;0,AY290/R290,0))/MAX(0.1,N(Parameter!$M$21)))</f>
        <v>0.153846153846154</v>
      </c>
      <c r="BA290" s="50" t="n">
        <f aca="false">AZ290*BY290</f>
        <v>23.8461538461538</v>
      </c>
      <c r="BB290" s="50" t="n">
        <f aca="false">AX290*G290</f>
        <v>1225.12</v>
      </c>
      <c r="BC290" s="50" t="n">
        <f aca="false">ROUNDUP(MAX(J290/IF(CD290&gt;0,CD290,MAX(0.1,N(Cockpit!$O$6))),CG290)/BV290,0)*BV290</f>
        <v>304</v>
      </c>
      <c r="BD290" s="51" t="n">
        <f aca="false">IF(BA290&gt;0,J290/BA290,-1)</f>
        <v>9.56129032258064</v>
      </c>
      <c r="BE290" s="51" t="n">
        <f aca="false">IF(AND(OR(CC290="L1",CC290="L23",CC290="LIFT"),BA290&gt;0),SUMIFS($BA$7:$BA$1843,$CC$7:$CC$1843,CC290,$BD$7:$BD$1843,"&gt;"&amp;BD290)+SUMIFS($BA$7:$BA$1843,$CC$7:$CC$1843,CC290,$BD$7:$BD$1843,BD290,$BT$7:$BT$1843,"&lt;="&amp;BT290),"")</f>
        <v>3756.73214285714</v>
      </c>
      <c r="BF290" s="58" t="n">
        <f aca="false">IF(BE290="",0,MAX(0,MIN(1,(IF(CC290="L1",Parameter!$H$5,IF(CC290="L23",Parameter!$H$6+Parameter!$H$7,Parameter!$H$5+Parameter!$H$6+Parameter!$H$7))-(BE290-BA290))/BA290)))</f>
        <v>1</v>
      </c>
      <c r="BG290" s="48" t="str">
        <f aca="false">IF(AI290&lt;=0,"",IF(CC290="Aussen","Aussenlager",IF(CC290="-","Nicht im Lift",IF(AN290&gt;=1,"Lift",IF(AN290&lt;=0,"Aussenlager","teilweise")))))</f>
        <v>Lift</v>
      </c>
      <c r="BH290" s="48" t="str">
        <f aca="false">IF(AR290&lt;=0,"",IF(CC290="Aussen","Aussenlager",IF(CC290="-","Nicht im Lift",IF(AW290&gt;=1,"Lift",IF(AW290&lt;=0,"Aussenlager","teilweise")))))</f>
        <v>Lift</v>
      </c>
      <c r="BI290" s="48" t="str">
        <f aca="false">IF(BA290&lt;=0,"",IF(CC290="Aussen","Aussenlager",IF(CC290="-","Nicht im Lift",IF(BF290&gt;=1,"Lift",IF(BF290&lt;=0,"Aussenlager","teilweise")))))</f>
        <v>Lift</v>
      </c>
      <c r="BJ290" s="48" t="str">
        <f aca="false">IF(A290="","",IF(BS290=1,"Neu; ","")&amp;IF(AND(BS290=0,BN290&lt;0),"negativer Bestand (Export "&amp;BN290&amp;"); ","")&amp;IF(J290&lt;=0,"Kein Verbrauch; ","")&amp;IF(CL290&gt;0,"Lift "&amp;W290&amp;" lt. Liftbericht (Fach "&amp;X290&amp;" Stk); ",IF(BX290=1,"Gebinde geschätzt ("&amp;T290&amp;"); ",IF(BW290=1,"Lose – Tablare geschätzt; ","")))&amp;IF(H290&gt;AT290,"Überbestand "&amp;ROUND(H290-AT290,0)&amp;" Stk / CHF "&amp;ROUND((H290-AT290)*G290,0)&amp;"; ","")&amp;IF(AND(CE290=1,CF290&lt;CG290),"MAX &lt; MB+LG; ","")&amp;IF(AND(CK290&gt;0,CJ290*10&gt;CK290),"zu hoch für Tablar; ","")&amp;IF(AND(BS290=0,OR(CE290=1,AA290&lt;&gt;"",U290&lt;&gt;"",V290&lt;&gt;"",AB290&lt;&gt;"")),"manuell übersteuert; ","")&amp;IF(AND(BW290=0,R290=0),"Gebinde unbekannt / Stellmass fehlt; ","")&amp;IF(AND(BW290=0,N(V290)&lt;=0,N(Q290)&lt;=0),"Menge pro Gebinde fehlt (Ist = 1 Gebinde); ","")&amp;BR290)</f>
        <v/>
      </c>
      <c r="BK290" s="48"/>
      <c r="BL290" s="48"/>
      <c r="BM290" s="55"/>
      <c r="BN290" s="50" t="n">
        <v>76</v>
      </c>
      <c r="BO290" s="50" t="n">
        <v>57</v>
      </c>
      <c r="BP290" s="49" t="n">
        <v>307.99</v>
      </c>
      <c r="BQ290" s="50" t="n">
        <v>228</v>
      </c>
      <c r="BR290" s="48"/>
      <c r="BS290" s="53" t="n">
        <v>0</v>
      </c>
      <c r="BT290" s="53" t="n">
        <v>290</v>
      </c>
      <c r="BU290" s="48" t="str">
        <f aca="false">IF(U290&lt;&gt;"",UPPER(TRIM(U290)),IF(BX290=1,UPPER(VLOOKUP(T290,Parameter!$I$27:$K$29,2,0)),IF(P290="","LOSE",P290)))</f>
        <v>S51</v>
      </c>
      <c r="BV290" s="50" t="n">
        <f aca="false">IF(BU290="LOSE",1,IF(N(V290)&gt;0,V290,IF(BX290=1,MAX(1,N(VLOOKUP(T290,Parameter!$I$27:$K$29,3,0)),H290,N(N290)),IF(N(Q290)&gt;0,Q290,MAX(1,H290)))))</f>
        <v>76</v>
      </c>
      <c r="BW290" s="53" t="n">
        <f aca="false">IF(BU290="LOSE",1,0)</f>
        <v>0</v>
      </c>
      <c r="BX290" s="53" t="n">
        <f aca="false">IF(AND(U290="",OR(P290="",P290="LOSE"),T290&lt;&gt;"",N(S290)&lt;=0,ISNUMBER(MATCH(T290,Parameter!$I$27:$I$29,0))),1,0)</f>
        <v>0</v>
      </c>
      <c r="BY290" s="53" t="n">
        <f aca="false">IF(CL290&gt;0,INDEX(Parameter!$H$5:$H$7,W290)/INDEX(Parameter!$E$5:$E$7,W290),IF(AND(BW290=0,N(IFERROR(VLOOKUP(BU290,'Gebinde-Kategorie'!$A$5:$N$45,14,0),0))&gt;0),VLOOKUP(BU290,'Gebinde-Kategorie'!$A$5:$N$45,14,0)*10+Parameter!$M$23,Parameter!$M$24))</f>
        <v>155</v>
      </c>
      <c r="BZ290" s="48" t="str">
        <f aca="false">IF(AND(Parameter!$B$19="Ja",E290&lt;&gt;"",ISNUMBER(MATCH(E290,Parameter!$I$35:$I$52,0))),VLOOKUP(E290,Parameter!$I$35:$J$52,2,0),IFERROR(VLOOKUP(D290,Parameter!$A$35:$C$64,2,0),"Nein"))</f>
        <v>2+3</v>
      </c>
      <c r="CA290" s="52" t="n">
        <f aca="false">IF(BW290=0,0,IF(N(S290)&gt;0,S290,IFERROR(VLOOKUP(D290,Parameter!$A$35:$C$64,3,0)+0,0)))</f>
        <v>0</v>
      </c>
      <c r="CB290" s="48" t="n">
        <f aca="false">IF(AA290&lt;&gt;"",AA290,Z290)</f>
        <v>3</v>
      </c>
      <c r="CC290" s="48" t="str">
        <f aca="false">IF(OR(CB290=1,CB290=2,CB290=3),IF(Parameter!$E$27="Ja","LIFT",IF(CB290=1,"L1","L23")),IF(CB290="Aussen","Aussen","-"))</f>
        <v>LIFT</v>
      </c>
      <c r="CD290" s="59" t="n">
        <f aca="false">IF(N(AB290)&gt;0,AB290,0)</f>
        <v>0</v>
      </c>
      <c r="CE290" s="53" t="n">
        <f aca="false">IF(ISNUMBER(AE290),1,0)</f>
        <v>0</v>
      </c>
      <c r="CF290" s="50" t="n">
        <f aca="false">N(AE290)</f>
        <v>0</v>
      </c>
      <c r="CG290" s="50" t="n">
        <f aca="false">N(M290)+N(N290)</f>
        <v>247</v>
      </c>
      <c r="CH290" s="50" t="n">
        <f aca="false">ROUNDUP(H290/BV290,0)</f>
        <v>2</v>
      </c>
      <c r="CI290" s="50" t="n">
        <f aca="false">ROUNDUP(CF290/BV290,0)</f>
        <v>0</v>
      </c>
      <c r="CJ290" s="53" t="n">
        <f aca="false">IF(BW290=1,0,IFERROR(VLOOKUP(BU290,'Gebinde-Kategorie'!$A$5:$N$45,5,0)+0,0))</f>
        <v>11</v>
      </c>
      <c r="CK290" s="53" t="n">
        <f aca="false">IFERROR(IF(OR(CB290=1,CB290=2,CB290=3),N(INDEX(Parameter!$I$5:$I$7,CB290)),0),0)</f>
        <v>0</v>
      </c>
      <c r="CL290" s="52" t="n">
        <f aca="false">IF(AND(Parameter!$B$21="Ja",ISNUMBER(W290),N(X290)&gt;0),IFERROR(N(INDEX(Parameter!$L$5:$L$7,W290))*INDEX(Parameter!$E$5:$E$7,W290)*X290/SUMIFS($X$7:$X$1843,$W$7:$W$1843,W290),0),0)</f>
        <v>0</v>
      </c>
    </row>
    <row r="291" customFormat="false" ht="15" hidden="false" customHeight="false" outlineLevel="0" collapsed="false">
      <c r="A291" s="48" t="s">
        <v>758</v>
      </c>
      <c r="B291" s="48" t="s">
        <v>759</v>
      </c>
      <c r="C291" s="48" t="s">
        <v>168</v>
      </c>
      <c r="D291" s="48" t="s">
        <v>188</v>
      </c>
      <c r="E291" s="48"/>
      <c r="F291" s="48" t="s">
        <v>222</v>
      </c>
      <c r="G291" s="49" t="n">
        <v>138.11</v>
      </c>
      <c r="H291" s="50" t="n">
        <f aca="false">MAX(0,IF(AND(Parameter!$B$21="Ja",ISNUMBER(Y291)),Y291,IF(Parameter!$B$20="Jahresanfang 2025 + Export",BO291+BN291,BN291)))</f>
        <v>7</v>
      </c>
      <c r="I291" s="50" t="n">
        <f aca="false">H291*G291</f>
        <v>966.77</v>
      </c>
      <c r="J291" s="50" t="n">
        <f aca="false">BQ291*Parameter!$B$18</f>
        <v>3</v>
      </c>
      <c r="K291" s="51" t="n">
        <v>6.5</v>
      </c>
      <c r="L291" s="52" t="n">
        <v>0.461538461538462</v>
      </c>
      <c r="M291" s="50" t="n">
        <v>0</v>
      </c>
      <c r="N291" s="50" t="n">
        <v>5</v>
      </c>
      <c r="O291" s="53" t="n">
        <v>35</v>
      </c>
      <c r="P291" s="48" t="s">
        <v>425</v>
      </c>
      <c r="Q291" s="50" t="n">
        <v>8</v>
      </c>
      <c r="R291" s="53" t="n">
        <f aca="false">IF(BW291=1,0,IFERROR(VLOOKUP(BU291,'Gebinde-Kategorie'!$A$5:$N$45,13,0)+0,0))</f>
        <v>104</v>
      </c>
      <c r="S291" s="54"/>
      <c r="T291" s="55"/>
      <c r="U291" s="55"/>
      <c r="V291" s="55"/>
      <c r="W291" s="48"/>
      <c r="X291" s="50"/>
      <c r="Y291" s="50"/>
      <c r="Z291" s="48" t="n">
        <f aca="false">IF(A291="","",IF(AND(Parameter!$B$21="Ja",ISNUMBER(W291)),W291,IF(BZ291="2+3",IF(ISNUMBER(SEARCH("grosser Artikel",BR291)),2,IFERROR(VLOOKUP(BU291,Parameter!$F$35:$G$64,2,0),2)),IF(OR(BZ291="Nein",BZ291=""),"-",BZ291))))</f>
        <v>3</v>
      </c>
      <c r="AA291" s="55"/>
      <c r="AB291" s="56"/>
      <c r="AC291" s="50" t="n">
        <f aca="false">AT291</f>
        <v>8</v>
      </c>
      <c r="AD291" s="50" t="n">
        <f aca="false">MAX(AT291,H291)</f>
        <v>8</v>
      </c>
      <c r="AE291" s="57"/>
      <c r="AF291" s="50" t="n">
        <f aca="false">IF(LEFT(Cockpit!$C$5,1)="A",H291,IF(CE291=1,CF291,IF(LEFT(Cockpit!$C$5,1)="B",AK291,MAX(AK291,H291))))</f>
        <v>7</v>
      </c>
      <c r="AG291" s="50" t="n">
        <f aca="false">IF(BW291=1,0,ROUNDUP(AF291/BV291,0))</f>
        <v>1</v>
      </c>
      <c r="AH291" s="52" t="n">
        <f aca="false">IF(CL291&gt;0,CL291*MAX(1,AF291/X291),IF(BW291=1,IF(AF291&lt;=0,0,CA291*MAX(1,IF(H291&gt;0,AF291/H291,1))),IF(R291&gt;0,AG291/R291,0))/MAX(0.1,N(Parameter!$M$21)))</f>
        <v>0.00961538461538462</v>
      </c>
      <c r="AI291" s="50" t="n">
        <f aca="false">AH291*BY291</f>
        <v>1.49038461538462</v>
      </c>
      <c r="AJ291" s="50" t="n">
        <f aca="false">AF291*G291</f>
        <v>966.77</v>
      </c>
      <c r="AK291" s="50" t="n">
        <f aca="false">ROUNDUP(MAX(J291/IF(CD291&gt;0,CD291,MAX(0.1,N(Cockpit!$C$6))),CG291)/BV291,0)*BV291</f>
        <v>8</v>
      </c>
      <c r="AL291" s="51" t="n">
        <f aca="false">IF(AI291&gt;0,J291/AI291,-1)</f>
        <v>2.01290322580645</v>
      </c>
      <c r="AM291" s="51" t="n">
        <f aca="false">IF(AND(OR(CC291="L1",CC291="L23",CC291="LIFT"),AI291&gt;0),SUMIFS($AI$7:$AI$1843,$CC$7:$CC$1843,CC291,$AL$7:$AL$1843,"&gt;"&amp;AL291)+SUMIFS($AI$7:$AI$1843,$CC$7:$CC$1843,CC291,$AL$7:$AL$1843,AL291,$BT$7:$BT$1843,"&lt;="&amp;BT291),"")</f>
        <v>5774.45558608059</v>
      </c>
      <c r="AN291" s="58" t="n">
        <f aca="false">IF(AM291="",0,MAX(0,MIN(1,(IF(CC291="L1",Parameter!$H$5,IF(CC291="L23",Parameter!$H$6+Parameter!$H$7,Parameter!$H$5+Parameter!$H$6+Parameter!$H$7))-(AM291-AI291))/AI291)))</f>
        <v>1</v>
      </c>
      <c r="AO291" s="50" t="n">
        <f aca="false">IF(LEFT(Cockpit!$I$5,1)="A",H291,IF(CE291=1,CF291,IF(LEFT(Cockpit!$I$5,1)="B",AT291,MAX(AT291,H291))))</f>
        <v>8</v>
      </c>
      <c r="AP291" s="50" t="n">
        <f aca="false">IF(BW291=1,0,ROUNDUP(AO291/BV291,0))</f>
        <v>1</v>
      </c>
      <c r="AQ291" s="52" t="n">
        <f aca="false">IF(CL291&gt;0,CL291*MAX(1,AO291/X291),IF(BW291=1,IF(AO291&lt;=0,0,CA291*MAX(1,IF(H291&gt;0,AO291/H291,1))),IF(R291&gt;0,AP291/R291,0))/MAX(0.1,N(Parameter!$M$21)))</f>
        <v>0.00961538461538462</v>
      </c>
      <c r="AR291" s="50" t="n">
        <f aca="false">AQ291*BY291</f>
        <v>1.49038461538462</v>
      </c>
      <c r="AS291" s="50" t="n">
        <f aca="false">AO291*G291</f>
        <v>1104.88</v>
      </c>
      <c r="AT291" s="50" t="n">
        <f aca="false">ROUNDUP(MAX(J291/IF(CD291&gt;0,CD291,MAX(0.1,N(Cockpit!$I$6))),CG291)/BV291,0)*BV291</f>
        <v>8</v>
      </c>
      <c r="AU291" s="51" t="n">
        <f aca="false">IF(AR291&gt;0,J291/AR291,-1)</f>
        <v>2.01290322580645</v>
      </c>
      <c r="AV291" s="51" t="n">
        <f aca="false">IF(AND(OR(CC291="L1",CC291="L23",CC291="LIFT"),AR291&gt;0),SUMIFS($AR$7:$AR$1843,$CC$7:$CC$1843,CC291,$AU$7:$AU$1843,"&gt;"&amp;AU291)+SUMIFS($AR$7:$AR$1843,$CC$7:$CC$1843,CC291,$AU$7:$AU$1843,AU291,$BT$7:$BT$1843,"&lt;="&amp;BT291),"")</f>
        <v>7684.14789377289</v>
      </c>
      <c r="AW291" s="58" t="n">
        <f aca="false">IF(AV291="",0,MAX(0,MIN(1,(IF(CC291="L1",Parameter!$H$5,IF(CC291="L23",Parameter!$H$6+Parameter!$H$7,Parameter!$H$5+Parameter!$H$6+Parameter!$H$7))-(AV291-AR291))/AR291)))</f>
        <v>1</v>
      </c>
      <c r="AX291" s="50" t="n">
        <f aca="false">IF(LEFT(Cockpit!$O$5,1)="A",H291,IF(CE291=1,CF291,IF(LEFT(Cockpit!$O$5,1)="B",BC291,MAX(BC291,H291))))</f>
        <v>8</v>
      </c>
      <c r="AY291" s="50" t="n">
        <f aca="false">IF(BW291=1,0,ROUNDUP(AX291/BV291,0))</f>
        <v>1</v>
      </c>
      <c r="AZ291" s="52" t="n">
        <f aca="false">IF(CL291&gt;0,CL291*MAX(1,AX291/X291),IF(BW291=1,IF(AX291&lt;=0,0,CA291*MAX(1,IF(H291&gt;0,AX291/H291,1))),IF(R291&gt;0,AY291/R291,0))/MAX(0.1,N(Parameter!$M$21)))</f>
        <v>0.00961538461538462</v>
      </c>
      <c r="BA291" s="50" t="n">
        <f aca="false">AZ291*BY291</f>
        <v>1.49038461538462</v>
      </c>
      <c r="BB291" s="50" t="n">
        <f aca="false">AX291*G291</f>
        <v>1104.88</v>
      </c>
      <c r="BC291" s="50" t="n">
        <f aca="false">ROUNDUP(MAX(J291/IF(CD291&gt;0,CD291,MAX(0.1,N(Cockpit!$O$6))),CG291)/BV291,0)*BV291</f>
        <v>8</v>
      </c>
      <c r="BD291" s="51" t="n">
        <f aca="false">IF(BA291&gt;0,J291/BA291,-1)</f>
        <v>2.01290322580645</v>
      </c>
      <c r="BE291" s="51" t="n">
        <f aca="false">IF(AND(OR(CC291="L1",CC291="L23",CC291="LIFT"),BA291&gt;0),SUMIFS($BA$7:$BA$1843,$CC$7:$CC$1843,CC291,$BD$7:$BD$1843,"&gt;"&amp;BD291)+SUMIFS($BA$7:$BA$1843,$CC$7:$CC$1843,CC291,$BD$7:$BD$1843,BD291,$BT$7:$BT$1843,"&lt;="&amp;BT291),"")</f>
        <v>7583.13827838828</v>
      </c>
      <c r="BF291" s="58" t="n">
        <f aca="false">IF(BE291="",0,MAX(0,MIN(1,(IF(CC291="L1",Parameter!$H$5,IF(CC291="L23",Parameter!$H$6+Parameter!$H$7,Parameter!$H$5+Parameter!$H$6+Parameter!$H$7))-(BE291-BA291))/BA291)))</f>
        <v>1</v>
      </c>
      <c r="BG291" s="48" t="str">
        <f aca="false">IF(AI291&lt;=0,"",IF(CC291="Aussen","Aussenlager",IF(CC291="-","Nicht im Lift",IF(AN291&gt;=1,"Lift",IF(AN291&lt;=0,"Aussenlager","teilweise")))))</f>
        <v>Lift</v>
      </c>
      <c r="BH291" s="48" t="str">
        <f aca="false">IF(AR291&lt;=0,"",IF(CC291="Aussen","Aussenlager",IF(CC291="-","Nicht im Lift",IF(AW291&gt;=1,"Lift",IF(AW291&lt;=0,"Aussenlager","teilweise")))))</f>
        <v>Lift</v>
      </c>
      <c r="BI291" s="48" t="str">
        <f aca="false">IF(BA291&lt;=0,"",IF(CC291="Aussen","Aussenlager",IF(CC291="-","Nicht im Lift",IF(BF291&gt;=1,"Lift",IF(BF291&lt;=0,"Aussenlager","teilweise")))))</f>
        <v>Lift</v>
      </c>
      <c r="BJ291" s="48" t="str">
        <f aca="false">IF(A291="","",IF(BS291=1,"Neu; ","")&amp;IF(AND(BS291=0,BN291&lt;0),"negativer Bestand (Export "&amp;BN291&amp;"); ","")&amp;IF(J291&lt;=0,"Kein Verbrauch; ","")&amp;IF(CL291&gt;0,"Lift "&amp;W291&amp;" lt. Liftbericht (Fach "&amp;X291&amp;" Stk); ",IF(BX291=1,"Gebinde geschätzt ("&amp;T291&amp;"); ",IF(BW291=1,"Lose – Tablare geschätzt; ","")))&amp;IF(H291&gt;AT291,"Überbestand "&amp;ROUND(H291-AT291,0)&amp;" Stk / CHF "&amp;ROUND((H291-AT291)*G291,0)&amp;"; ","")&amp;IF(AND(CE291=1,CF291&lt;CG291),"MAX &lt; MB+LG; ","")&amp;IF(AND(CK291&gt;0,CJ291*10&gt;CK291),"zu hoch für Tablar; ","")&amp;IF(AND(BS291=0,OR(CE291=1,AA291&lt;&gt;"",U291&lt;&gt;"",V291&lt;&gt;"",AB291&lt;&gt;"")),"manuell übersteuert; ","")&amp;IF(AND(BW291=0,R291=0),"Gebinde unbekannt / Stellmass fehlt; ","")&amp;IF(AND(BW291=0,N(V291)&lt;=0,N(Q291)&lt;=0),"Menge pro Gebinde fehlt (Ist = 1 Gebinde); ","")&amp;BR291)</f>
        <v/>
      </c>
      <c r="BK291" s="48"/>
      <c r="BL291" s="48"/>
      <c r="BM291" s="55"/>
      <c r="BN291" s="50" t="n">
        <v>2</v>
      </c>
      <c r="BO291" s="50" t="n">
        <v>5</v>
      </c>
      <c r="BP291" s="49" t="n">
        <v>303.87</v>
      </c>
      <c r="BQ291" s="50" t="n">
        <v>3</v>
      </c>
      <c r="BR291" s="48"/>
      <c r="BS291" s="53" t="n">
        <v>0</v>
      </c>
      <c r="BT291" s="53" t="n">
        <v>291</v>
      </c>
      <c r="BU291" s="48" t="str">
        <f aca="false">IF(U291&lt;&gt;"",UPPER(TRIM(U291)),IF(BX291=1,UPPER(VLOOKUP(T291,Parameter!$I$27:$K$29,2,0)),IF(P291="","LOSE",P291)))</f>
        <v>S32</v>
      </c>
      <c r="BV291" s="50" t="n">
        <f aca="false">IF(BU291="LOSE",1,IF(N(V291)&gt;0,V291,IF(BX291=1,MAX(1,N(VLOOKUP(T291,Parameter!$I$27:$K$29,3,0)),H291,N(N291)),IF(N(Q291)&gt;0,Q291,MAX(1,H291)))))</f>
        <v>8</v>
      </c>
      <c r="BW291" s="53" t="n">
        <f aca="false">IF(BU291="LOSE",1,0)</f>
        <v>0</v>
      </c>
      <c r="BX291" s="53" t="n">
        <f aca="false">IF(AND(U291="",OR(P291="",P291="LOSE"),T291&lt;&gt;"",N(S291)&lt;=0,ISNUMBER(MATCH(T291,Parameter!$I$27:$I$29,0))),1,0)</f>
        <v>0</v>
      </c>
      <c r="BY291" s="53" t="n">
        <f aca="false">IF(CL291&gt;0,INDEX(Parameter!$H$5:$H$7,W291)/INDEX(Parameter!$E$5:$E$7,W291),IF(AND(BW291=0,N(IFERROR(VLOOKUP(BU291,'Gebinde-Kategorie'!$A$5:$N$45,14,0),0))&gt;0),VLOOKUP(BU291,'Gebinde-Kategorie'!$A$5:$N$45,14,0)*10+Parameter!$M$23,Parameter!$M$24))</f>
        <v>155</v>
      </c>
      <c r="BZ291" s="48" t="str">
        <f aca="false">IF(AND(Parameter!$B$19="Ja",E291&lt;&gt;"",ISNUMBER(MATCH(E291,Parameter!$I$35:$I$52,0))),VLOOKUP(E291,Parameter!$I$35:$J$52,2,0),IFERROR(VLOOKUP(D291,Parameter!$A$35:$C$64,2,0),"Nein"))</f>
        <v>2+3</v>
      </c>
      <c r="CA291" s="52" t="n">
        <f aca="false">IF(BW291=0,0,IF(N(S291)&gt;0,S291,IFERROR(VLOOKUP(D291,Parameter!$A$35:$C$64,3,0)+0,0)))</f>
        <v>0</v>
      </c>
      <c r="CB291" s="48" t="n">
        <f aca="false">IF(AA291&lt;&gt;"",AA291,Z291)</f>
        <v>3</v>
      </c>
      <c r="CC291" s="48" t="str">
        <f aca="false">IF(OR(CB291=1,CB291=2,CB291=3),IF(Parameter!$E$27="Ja","LIFT",IF(CB291=1,"L1","L23")),IF(CB291="Aussen","Aussen","-"))</f>
        <v>LIFT</v>
      </c>
      <c r="CD291" s="59" t="n">
        <f aca="false">IF(N(AB291)&gt;0,AB291,0)</f>
        <v>0</v>
      </c>
      <c r="CE291" s="53" t="n">
        <f aca="false">IF(ISNUMBER(AE291),1,0)</f>
        <v>0</v>
      </c>
      <c r="CF291" s="50" t="n">
        <f aca="false">N(AE291)</f>
        <v>0</v>
      </c>
      <c r="CG291" s="50" t="n">
        <f aca="false">N(M291)+N(N291)</f>
        <v>5</v>
      </c>
      <c r="CH291" s="50" t="n">
        <f aca="false">ROUNDUP(H291/BV291,0)</f>
        <v>1</v>
      </c>
      <c r="CI291" s="50" t="n">
        <f aca="false">ROUNDUP(CF291/BV291,0)</f>
        <v>0</v>
      </c>
      <c r="CJ291" s="53" t="n">
        <f aca="false">IF(BW291=1,0,IFERROR(VLOOKUP(BU291,'Gebinde-Kategorie'!$A$5:$N$45,5,0)+0,0))</f>
        <v>8</v>
      </c>
      <c r="CK291" s="53" t="n">
        <f aca="false">IFERROR(IF(OR(CB291=1,CB291=2,CB291=3),N(INDEX(Parameter!$I$5:$I$7,CB291)),0),0)</f>
        <v>0</v>
      </c>
      <c r="CL291" s="52" t="n">
        <f aca="false">IF(AND(Parameter!$B$21="Ja",ISNUMBER(W291),N(X291)&gt;0),IFERROR(N(INDEX(Parameter!$L$5:$L$7,W291))*INDEX(Parameter!$E$5:$E$7,W291)*X291/SUMIFS($X$7:$X$1843,$W$7:$W$1843,W291),0),0)</f>
        <v>0</v>
      </c>
    </row>
    <row r="292" customFormat="false" ht="15" hidden="false" customHeight="false" outlineLevel="0" collapsed="false">
      <c r="A292" s="48" t="s">
        <v>760</v>
      </c>
      <c r="B292" s="48" t="s">
        <v>761</v>
      </c>
      <c r="C292" s="48" t="s">
        <v>168</v>
      </c>
      <c r="D292" s="48" t="s">
        <v>188</v>
      </c>
      <c r="E292" s="48" t="s">
        <v>189</v>
      </c>
      <c r="F292" s="48" t="s">
        <v>222</v>
      </c>
      <c r="G292" s="49" t="n">
        <v>21.92</v>
      </c>
      <c r="H292" s="50" t="n">
        <f aca="false">MAX(0,IF(AND(Parameter!$B$21="Ja",ISNUMBER(Y292)),Y292,IF(Parameter!$B$20="Jahresanfang 2025 + Export",BO292+BN292,BN292)))</f>
        <v>74</v>
      </c>
      <c r="I292" s="50" t="n">
        <f aca="false">H292*G292</f>
        <v>1622.08</v>
      </c>
      <c r="J292" s="50" t="n">
        <f aca="false">BQ292*Parameter!$B$18</f>
        <v>92</v>
      </c>
      <c r="K292" s="51" t="n">
        <v>62</v>
      </c>
      <c r="L292" s="52" t="n">
        <v>1.48387096774194</v>
      </c>
      <c r="M292" s="50" t="n">
        <v>21</v>
      </c>
      <c r="N292" s="50" t="n">
        <v>90</v>
      </c>
      <c r="O292" s="53" t="n">
        <v>84</v>
      </c>
      <c r="P292" s="48" t="s">
        <v>306</v>
      </c>
      <c r="Q292" s="50" t="n">
        <v>48</v>
      </c>
      <c r="R292" s="53" t="n">
        <f aca="false">IF(BW292=1,0,IFERROR(VLOOKUP(BU292,'Gebinde-Kategorie'!$A$5:$N$45,13,0)+0,0))</f>
        <v>26</v>
      </c>
      <c r="S292" s="54"/>
      <c r="T292" s="55"/>
      <c r="U292" s="55"/>
      <c r="V292" s="55"/>
      <c r="W292" s="48"/>
      <c r="X292" s="50"/>
      <c r="Y292" s="50"/>
      <c r="Z292" s="48" t="n">
        <f aca="false">IF(A292="","",IF(AND(Parameter!$B$21="Ja",ISNUMBER(W292)),W292,IF(BZ292="2+3",IF(ISNUMBER(SEARCH("grosser Artikel",BR292)),2,IFERROR(VLOOKUP(BU292,Parameter!$F$35:$G$64,2,0),2)),IF(OR(BZ292="Nein",BZ292=""),"-",BZ292))))</f>
        <v>3</v>
      </c>
      <c r="AA292" s="55"/>
      <c r="AB292" s="56"/>
      <c r="AC292" s="50" t="n">
        <f aca="false">AT292</f>
        <v>144</v>
      </c>
      <c r="AD292" s="50" t="n">
        <f aca="false">MAX(AT292,H292)</f>
        <v>144</v>
      </c>
      <c r="AE292" s="57"/>
      <c r="AF292" s="50" t="n">
        <f aca="false">IF(LEFT(Cockpit!$C$5,1)="A",H292,IF(CE292=1,CF292,IF(LEFT(Cockpit!$C$5,1)="B",AK292,MAX(AK292,H292))))</f>
        <v>74</v>
      </c>
      <c r="AG292" s="50" t="n">
        <f aca="false">IF(BW292=1,0,ROUNDUP(AF292/BV292,0))</f>
        <v>2</v>
      </c>
      <c r="AH292" s="52" t="n">
        <f aca="false">IF(CL292&gt;0,CL292*MAX(1,AF292/X292),IF(BW292=1,IF(AF292&lt;=0,0,CA292*MAX(1,IF(H292&gt;0,AF292/H292,1))),IF(R292&gt;0,AG292/R292,0))/MAX(0.1,N(Parameter!$M$21)))</f>
        <v>0.0769230769230769</v>
      </c>
      <c r="AI292" s="50" t="n">
        <f aca="false">AH292*BY292</f>
        <v>11.9230769230769</v>
      </c>
      <c r="AJ292" s="50" t="n">
        <f aca="false">AF292*G292</f>
        <v>1622.08</v>
      </c>
      <c r="AK292" s="50" t="n">
        <f aca="false">ROUNDUP(MAX(J292/IF(CD292&gt;0,CD292,MAX(0.1,N(Cockpit!$C$6))),CG292)/BV292,0)*BV292</f>
        <v>144</v>
      </c>
      <c r="AL292" s="51" t="n">
        <f aca="false">IF(AI292&gt;0,J292/AI292,-1)</f>
        <v>7.71612903225806</v>
      </c>
      <c r="AM292" s="51" t="n">
        <f aca="false">IF(AND(OR(CC292="L1",CC292="L23",CC292="LIFT"),AI292&gt;0),SUMIFS($AI$7:$AI$1843,$CC$7:$CC$1843,CC292,$AL$7:$AL$1843,"&gt;"&amp;AL292)+SUMIFS($AI$7:$AI$1843,$CC$7:$CC$1843,CC292,$AL$7:$AL$1843,AL292,$BT$7:$BT$1843,"&lt;="&amp;BT292),"")</f>
        <v>3110.11538461538</v>
      </c>
      <c r="AN292" s="58" t="n">
        <f aca="false">IF(AM292="",0,MAX(0,MIN(1,(IF(CC292="L1",Parameter!$H$5,IF(CC292="L23",Parameter!$H$6+Parameter!$H$7,Parameter!$H$5+Parameter!$H$6+Parameter!$H$7))-(AM292-AI292))/AI292)))</f>
        <v>1</v>
      </c>
      <c r="AO292" s="50" t="n">
        <f aca="false">IF(LEFT(Cockpit!$I$5,1)="A",H292,IF(CE292=1,CF292,IF(LEFT(Cockpit!$I$5,1)="B",AT292,MAX(AT292,H292))))</f>
        <v>144</v>
      </c>
      <c r="AP292" s="50" t="n">
        <f aca="false">IF(BW292=1,0,ROUNDUP(AO292/BV292,0))</f>
        <v>3</v>
      </c>
      <c r="AQ292" s="52" t="n">
        <f aca="false">IF(CL292&gt;0,CL292*MAX(1,AO292/X292),IF(BW292=1,IF(AO292&lt;=0,0,CA292*MAX(1,IF(H292&gt;0,AO292/H292,1))),IF(R292&gt;0,AP292/R292,0))/MAX(0.1,N(Parameter!$M$21)))</f>
        <v>0.115384615384615</v>
      </c>
      <c r="AR292" s="50" t="n">
        <f aca="false">AQ292*BY292</f>
        <v>17.8846153846154</v>
      </c>
      <c r="AS292" s="50" t="n">
        <f aca="false">AO292*G292</f>
        <v>3156.48</v>
      </c>
      <c r="AT292" s="50" t="n">
        <f aca="false">ROUNDUP(MAX(J292/IF(CD292&gt;0,CD292,MAX(0.1,N(Cockpit!$I$6))),CG292)/BV292,0)*BV292</f>
        <v>144</v>
      </c>
      <c r="AU292" s="51" t="n">
        <f aca="false">IF(AR292&gt;0,J292/AR292,-1)</f>
        <v>5.14408602150538</v>
      </c>
      <c r="AV292" s="51" t="n">
        <f aca="false">IF(AND(OR(CC292="L1",CC292="L23",CC292="LIFT"),AR292&gt;0),SUMIFS($AR$7:$AR$1843,$CC$7:$CC$1843,CC292,$AU$7:$AU$1843,"&gt;"&amp;AU292)+SUMIFS($AR$7:$AR$1843,$CC$7:$CC$1843,CC292,$AU$7:$AU$1843,AU292,$BT$7:$BT$1843,"&lt;="&amp;BT292),"")</f>
        <v>4943.57738095238</v>
      </c>
      <c r="AW292" s="58" t="n">
        <f aca="false">IF(AV292="",0,MAX(0,MIN(1,(IF(CC292="L1",Parameter!$H$5,IF(CC292="L23",Parameter!$H$6+Parameter!$H$7,Parameter!$H$5+Parameter!$H$6+Parameter!$H$7))-(AV292-AR292))/AR292)))</f>
        <v>1</v>
      </c>
      <c r="AX292" s="50" t="n">
        <f aca="false">IF(LEFT(Cockpit!$O$5,1)="A",H292,IF(CE292=1,CF292,IF(LEFT(Cockpit!$O$5,1)="B",BC292,MAX(BC292,H292))))</f>
        <v>144</v>
      </c>
      <c r="AY292" s="50" t="n">
        <f aca="false">IF(BW292=1,0,ROUNDUP(AX292/BV292,0))</f>
        <v>3</v>
      </c>
      <c r="AZ292" s="52" t="n">
        <f aca="false">IF(CL292&gt;0,CL292*MAX(1,AX292/X292),IF(BW292=1,IF(AX292&lt;=0,0,CA292*MAX(1,IF(H292&gt;0,AX292/H292,1))),IF(R292&gt;0,AY292/R292,0))/MAX(0.1,N(Parameter!$M$21)))</f>
        <v>0.115384615384615</v>
      </c>
      <c r="BA292" s="50" t="n">
        <f aca="false">AZ292*BY292</f>
        <v>17.8846153846154</v>
      </c>
      <c r="BB292" s="50" t="n">
        <f aca="false">AX292*G292</f>
        <v>3156.48</v>
      </c>
      <c r="BC292" s="50" t="n">
        <f aca="false">ROUNDUP(MAX(J292/IF(CD292&gt;0,CD292,MAX(0.1,N(Cockpit!$O$6))),CG292)/BV292,0)*BV292</f>
        <v>144</v>
      </c>
      <c r="BD292" s="51" t="n">
        <f aca="false">IF(BA292&gt;0,J292/BA292,-1)</f>
        <v>5.14408602150538</v>
      </c>
      <c r="BE292" s="51" t="n">
        <f aca="false">IF(AND(OR(CC292="L1",CC292="L23",CC292="LIFT"),BA292&gt;0),SUMIFS($BA$7:$BA$1843,$CC$7:$CC$1843,CC292,$BD$7:$BD$1843,"&gt;"&amp;BD292)+SUMIFS($BA$7:$BA$1843,$CC$7:$CC$1843,CC292,$BD$7:$BD$1843,BD292,$BT$7:$BT$1843,"&lt;="&amp;BT292),"")</f>
        <v>4614.04212454213</v>
      </c>
      <c r="BF292" s="58" t="n">
        <f aca="false">IF(BE292="",0,MAX(0,MIN(1,(IF(CC292="L1",Parameter!$H$5,IF(CC292="L23",Parameter!$H$6+Parameter!$H$7,Parameter!$H$5+Parameter!$H$6+Parameter!$H$7))-(BE292-BA292))/BA292)))</f>
        <v>1</v>
      </c>
      <c r="BG292" s="48" t="str">
        <f aca="false">IF(AI292&lt;=0,"",IF(CC292="Aussen","Aussenlager",IF(CC292="-","Nicht im Lift",IF(AN292&gt;=1,"Lift",IF(AN292&lt;=0,"Aussenlager","teilweise")))))</f>
        <v>Lift</v>
      </c>
      <c r="BH292" s="48" t="str">
        <f aca="false">IF(AR292&lt;=0,"",IF(CC292="Aussen","Aussenlager",IF(CC292="-","Nicht im Lift",IF(AW292&gt;=1,"Lift",IF(AW292&lt;=0,"Aussenlager","teilweise")))))</f>
        <v>Lift</v>
      </c>
      <c r="BI292" s="48" t="str">
        <f aca="false">IF(BA292&lt;=0,"",IF(CC292="Aussen","Aussenlager",IF(CC292="-","Nicht im Lift",IF(BF292&gt;=1,"Lift",IF(BF292&lt;=0,"Aussenlager","teilweise")))))</f>
        <v>Lift</v>
      </c>
      <c r="BJ292" s="48" t="str">
        <f aca="false">IF(A292="","",IF(BS292=1,"Neu; ","")&amp;IF(AND(BS292=0,BN292&lt;0),"negativer Bestand (Export "&amp;BN292&amp;"); ","")&amp;IF(J292&lt;=0,"Kein Verbrauch; ","")&amp;IF(CL292&gt;0,"Lift "&amp;W292&amp;" lt. Liftbericht (Fach "&amp;X292&amp;" Stk); ",IF(BX292=1,"Gebinde geschätzt ("&amp;T292&amp;"); ",IF(BW292=1,"Lose – Tablare geschätzt; ","")))&amp;IF(H292&gt;AT292,"Überbestand "&amp;ROUND(H292-AT292,0)&amp;" Stk / CHF "&amp;ROUND((H292-AT292)*G292,0)&amp;"; ","")&amp;IF(AND(CE292=1,CF292&lt;CG292),"MAX &lt; MB+LG; ","")&amp;IF(AND(CK292&gt;0,CJ292*10&gt;CK292),"zu hoch für Tablar; ","")&amp;IF(AND(BS292=0,OR(CE292=1,AA292&lt;&gt;"",U292&lt;&gt;"",V292&lt;&gt;"",AB292&lt;&gt;"")),"manuell übersteuert; ","")&amp;IF(AND(BW292=0,R292=0),"Gebinde unbekannt / Stellmass fehlt; ","")&amp;IF(AND(BW292=0,N(V292)&lt;=0,N(Q292)&lt;=0),"Menge pro Gebinde fehlt (Ist = 1 Gebinde); ","")&amp;BR292)</f>
        <v/>
      </c>
      <c r="BK292" s="48"/>
      <c r="BL292" s="48"/>
      <c r="BM292" s="55"/>
      <c r="BN292" s="50" t="n">
        <v>17</v>
      </c>
      <c r="BO292" s="50" t="n">
        <v>57</v>
      </c>
      <c r="BP292" s="49" t="n">
        <v>296.830000000001</v>
      </c>
      <c r="BQ292" s="50" t="n">
        <v>92</v>
      </c>
      <c r="BR292" s="48"/>
      <c r="BS292" s="53" t="n">
        <v>0</v>
      </c>
      <c r="BT292" s="53" t="n">
        <v>292</v>
      </c>
      <c r="BU292" s="48" t="str">
        <f aca="false">IF(U292&lt;&gt;"",UPPER(TRIM(U292)),IF(BX292=1,UPPER(VLOOKUP(T292,Parameter!$I$27:$K$29,2,0)),IF(P292="","LOSE",P292)))</f>
        <v>S51</v>
      </c>
      <c r="BV292" s="50" t="n">
        <f aca="false">IF(BU292="LOSE",1,IF(N(V292)&gt;0,V292,IF(BX292=1,MAX(1,N(VLOOKUP(T292,Parameter!$I$27:$K$29,3,0)),H292,N(N292)),IF(N(Q292)&gt;0,Q292,MAX(1,H292)))))</f>
        <v>48</v>
      </c>
      <c r="BW292" s="53" t="n">
        <f aca="false">IF(BU292="LOSE",1,0)</f>
        <v>0</v>
      </c>
      <c r="BX292" s="53" t="n">
        <f aca="false">IF(AND(U292="",OR(P292="",P292="LOSE"),T292&lt;&gt;"",N(S292)&lt;=0,ISNUMBER(MATCH(T292,Parameter!$I$27:$I$29,0))),1,0)</f>
        <v>0</v>
      </c>
      <c r="BY292" s="53" t="n">
        <f aca="false">IF(CL292&gt;0,INDEX(Parameter!$H$5:$H$7,W292)/INDEX(Parameter!$E$5:$E$7,W292),IF(AND(BW292=0,N(IFERROR(VLOOKUP(BU292,'Gebinde-Kategorie'!$A$5:$N$45,14,0),0))&gt;0),VLOOKUP(BU292,'Gebinde-Kategorie'!$A$5:$N$45,14,0)*10+Parameter!$M$23,Parameter!$M$24))</f>
        <v>155</v>
      </c>
      <c r="BZ292" s="48" t="str">
        <f aca="false">IF(AND(Parameter!$B$19="Ja",E292&lt;&gt;"",ISNUMBER(MATCH(E292,Parameter!$I$35:$I$52,0))),VLOOKUP(E292,Parameter!$I$35:$J$52,2,0),IFERROR(VLOOKUP(D292,Parameter!$A$35:$C$64,2,0),"Nein"))</f>
        <v>2+3</v>
      </c>
      <c r="CA292" s="52" t="n">
        <f aca="false">IF(BW292=0,0,IF(N(S292)&gt;0,S292,IFERROR(VLOOKUP(D292,Parameter!$A$35:$C$64,3,0)+0,0)))</f>
        <v>0</v>
      </c>
      <c r="CB292" s="48" t="n">
        <f aca="false">IF(AA292&lt;&gt;"",AA292,Z292)</f>
        <v>3</v>
      </c>
      <c r="CC292" s="48" t="str">
        <f aca="false">IF(OR(CB292=1,CB292=2,CB292=3),IF(Parameter!$E$27="Ja","LIFT",IF(CB292=1,"L1","L23")),IF(CB292="Aussen","Aussen","-"))</f>
        <v>LIFT</v>
      </c>
      <c r="CD292" s="59" t="n">
        <f aca="false">IF(N(AB292)&gt;0,AB292,0)</f>
        <v>0</v>
      </c>
      <c r="CE292" s="53" t="n">
        <f aca="false">IF(ISNUMBER(AE292),1,0)</f>
        <v>0</v>
      </c>
      <c r="CF292" s="50" t="n">
        <f aca="false">N(AE292)</f>
        <v>0</v>
      </c>
      <c r="CG292" s="50" t="n">
        <f aca="false">N(M292)+N(N292)</f>
        <v>111</v>
      </c>
      <c r="CH292" s="50" t="n">
        <f aca="false">ROUNDUP(H292/BV292,0)</f>
        <v>2</v>
      </c>
      <c r="CI292" s="50" t="n">
        <f aca="false">ROUNDUP(CF292/BV292,0)</f>
        <v>0</v>
      </c>
      <c r="CJ292" s="53" t="n">
        <f aca="false">IF(BW292=1,0,IFERROR(VLOOKUP(BU292,'Gebinde-Kategorie'!$A$5:$N$45,5,0)+0,0))</f>
        <v>11</v>
      </c>
      <c r="CK292" s="53" t="n">
        <f aca="false">IFERROR(IF(OR(CB292=1,CB292=2,CB292=3),N(INDEX(Parameter!$I$5:$I$7,CB292)),0),0)</f>
        <v>0</v>
      </c>
      <c r="CL292" s="52" t="n">
        <f aca="false">IF(AND(Parameter!$B$21="Ja",ISNUMBER(W292),N(X292)&gt;0),IFERROR(N(INDEX(Parameter!$L$5:$L$7,W292))*INDEX(Parameter!$E$5:$E$7,W292)*X292/SUMIFS($X$7:$X$1843,$W$7:$W$1843,W292),0),0)</f>
        <v>0</v>
      </c>
    </row>
    <row r="293" customFormat="false" ht="15" hidden="false" customHeight="false" outlineLevel="0" collapsed="false">
      <c r="A293" s="48" t="s">
        <v>762</v>
      </c>
      <c r="B293" s="48" t="s">
        <v>763</v>
      </c>
      <c r="C293" s="48" t="s">
        <v>168</v>
      </c>
      <c r="D293" s="48" t="s">
        <v>188</v>
      </c>
      <c r="E293" s="48" t="s">
        <v>189</v>
      </c>
      <c r="F293" s="48" t="s">
        <v>222</v>
      </c>
      <c r="G293" s="49" t="n">
        <v>2.8</v>
      </c>
      <c r="H293" s="50" t="n">
        <f aca="false">MAX(0,IF(AND(Parameter!$B$21="Ja",ISNUMBER(Y293)),Y293,IF(Parameter!$B$20="Jahresanfang 2025 + Export",BO293+BN293,BN293)))</f>
        <v>123</v>
      </c>
      <c r="I293" s="50" t="n">
        <f aca="false">H293*G293</f>
        <v>344.4</v>
      </c>
      <c r="J293" s="50" t="n">
        <f aca="false">BQ293*Parameter!$B$18</f>
        <v>129</v>
      </c>
      <c r="K293" s="51" t="n">
        <v>54.5</v>
      </c>
      <c r="L293" s="52" t="n">
        <v>2.36697247706422</v>
      </c>
      <c r="M293" s="50" t="n">
        <v>10</v>
      </c>
      <c r="N293" s="50" t="n">
        <v>130</v>
      </c>
      <c r="O293" s="53" t="n">
        <v>28</v>
      </c>
      <c r="P293" s="48" t="s">
        <v>425</v>
      </c>
      <c r="Q293" s="50" t="n">
        <v>115</v>
      </c>
      <c r="R293" s="53" t="n">
        <f aca="false">IF(BW293=1,0,IFERROR(VLOOKUP(BU293,'Gebinde-Kategorie'!$A$5:$N$45,13,0)+0,0))</f>
        <v>104</v>
      </c>
      <c r="S293" s="54"/>
      <c r="T293" s="55"/>
      <c r="U293" s="55"/>
      <c r="V293" s="55"/>
      <c r="W293" s="48"/>
      <c r="X293" s="50"/>
      <c r="Y293" s="50"/>
      <c r="Z293" s="48" t="n">
        <f aca="false">IF(A293="","",IF(AND(Parameter!$B$21="Ja",ISNUMBER(W293)),W293,IF(BZ293="2+3",IF(ISNUMBER(SEARCH("grosser Artikel",BR293)),2,IFERROR(VLOOKUP(BU293,Parameter!$F$35:$G$64,2,0),2)),IF(OR(BZ293="Nein",BZ293=""),"-",BZ293))))</f>
        <v>3</v>
      </c>
      <c r="AA293" s="55"/>
      <c r="AB293" s="56"/>
      <c r="AC293" s="50" t="n">
        <f aca="false">AT293</f>
        <v>230</v>
      </c>
      <c r="AD293" s="50" t="n">
        <f aca="false">MAX(AT293,H293)</f>
        <v>230</v>
      </c>
      <c r="AE293" s="57"/>
      <c r="AF293" s="50" t="n">
        <f aca="false">IF(LEFT(Cockpit!$C$5,1)="A",H293,IF(CE293=1,CF293,IF(LEFT(Cockpit!$C$5,1)="B",AK293,MAX(AK293,H293))))</f>
        <v>123</v>
      </c>
      <c r="AG293" s="50" t="n">
        <f aca="false">IF(BW293=1,0,ROUNDUP(AF293/BV293,0))</f>
        <v>2</v>
      </c>
      <c r="AH293" s="52" t="n">
        <f aca="false">IF(CL293&gt;0,CL293*MAX(1,AF293/X293),IF(BW293=1,IF(AF293&lt;=0,0,CA293*MAX(1,IF(H293&gt;0,AF293/H293,1))),IF(R293&gt;0,AG293/R293,0))/MAX(0.1,N(Parameter!$M$21)))</f>
        <v>0.0192307692307692</v>
      </c>
      <c r="AI293" s="50" t="n">
        <f aca="false">AH293*BY293</f>
        <v>2.98076923076923</v>
      </c>
      <c r="AJ293" s="50" t="n">
        <f aca="false">AF293*G293</f>
        <v>344.4</v>
      </c>
      <c r="AK293" s="50" t="n">
        <f aca="false">ROUNDUP(MAX(J293/IF(CD293&gt;0,CD293,MAX(0.1,N(Cockpit!$C$6))),CG293)/BV293,0)*BV293</f>
        <v>230</v>
      </c>
      <c r="AL293" s="51" t="n">
        <f aca="false">IF(AI293&gt;0,J293/AI293,-1)</f>
        <v>43.2774193548387</v>
      </c>
      <c r="AM293" s="51" t="n">
        <f aca="false">IF(AND(OR(CC293="L1",CC293="L23",CC293="LIFT"),AI293&gt;0),SUMIFS($AI$7:$AI$1843,$CC$7:$CC$1843,CC293,$AL$7:$AL$1843,"&gt;"&amp;AL293)+SUMIFS($AI$7:$AI$1843,$CC$7:$CC$1843,CC293,$AL$7:$AL$1843,AL293,$BT$7:$BT$1843,"&lt;="&amp;BT293),"")</f>
        <v>1175.55769230769</v>
      </c>
      <c r="AN293" s="58" t="n">
        <f aca="false">IF(AM293="",0,MAX(0,MIN(1,(IF(CC293="L1",Parameter!$H$5,IF(CC293="L23",Parameter!$H$6+Parameter!$H$7,Parameter!$H$5+Parameter!$H$6+Parameter!$H$7))-(AM293-AI293))/AI293)))</f>
        <v>1</v>
      </c>
      <c r="AO293" s="50" t="n">
        <f aca="false">IF(LEFT(Cockpit!$I$5,1)="A",H293,IF(CE293=1,CF293,IF(LEFT(Cockpit!$I$5,1)="B",AT293,MAX(AT293,H293))))</f>
        <v>230</v>
      </c>
      <c r="AP293" s="50" t="n">
        <f aca="false">IF(BW293=1,0,ROUNDUP(AO293/BV293,0))</f>
        <v>2</v>
      </c>
      <c r="AQ293" s="52" t="n">
        <f aca="false">IF(CL293&gt;0,CL293*MAX(1,AO293/X293),IF(BW293=1,IF(AO293&lt;=0,0,CA293*MAX(1,IF(H293&gt;0,AO293/H293,1))),IF(R293&gt;0,AP293/R293,0))/MAX(0.1,N(Parameter!$M$21)))</f>
        <v>0.0192307692307692</v>
      </c>
      <c r="AR293" s="50" t="n">
        <f aca="false">AQ293*BY293</f>
        <v>2.98076923076923</v>
      </c>
      <c r="AS293" s="50" t="n">
        <f aca="false">AO293*G293</f>
        <v>644</v>
      </c>
      <c r="AT293" s="50" t="n">
        <f aca="false">ROUNDUP(MAX(J293/IF(CD293&gt;0,CD293,MAX(0.1,N(Cockpit!$I$6))),CG293)/BV293,0)*BV293</f>
        <v>230</v>
      </c>
      <c r="AU293" s="51" t="n">
        <f aca="false">IF(AR293&gt;0,J293/AR293,-1)</f>
        <v>43.2774193548387</v>
      </c>
      <c r="AV293" s="51" t="n">
        <f aca="false">IF(AND(OR(CC293="L1",CC293="L23",CC293="LIFT"),AR293&gt;0),SUMIFS($AR$7:$AR$1843,$CC$7:$CC$1843,CC293,$AU$7:$AU$1843,"&gt;"&amp;AU293)+SUMIFS($AR$7:$AR$1843,$CC$7:$CC$1843,CC293,$AU$7:$AU$1843,AU293,$BT$7:$BT$1843,"&lt;="&amp;BT293),"")</f>
        <v>1652.72481684982</v>
      </c>
      <c r="AW293" s="58" t="n">
        <f aca="false">IF(AV293="",0,MAX(0,MIN(1,(IF(CC293="L1",Parameter!$H$5,IF(CC293="L23",Parameter!$H$6+Parameter!$H$7,Parameter!$H$5+Parameter!$H$6+Parameter!$H$7))-(AV293-AR293))/AR293)))</f>
        <v>1</v>
      </c>
      <c r="AX293" s="50" t="n">
        <f aca="false">IF(LEFT(Cockpit!$O$5,1)="A",H293,IF(CE293=1,CF293,IF(LEFT(Cockpit!$O$5,1)="B",BC293,MAX(BC293,H293))))</f>
        <v>230</v>
      </c>
      <c r="AY293" s="50" t="n">
        <f aca="false">IF(BW293=1,0,ROUNDUP(AX293/BV293,0))</f>
        <v>2</v>
      </c>
      <c r="AZ293" s="52" t="n">
        <f aca="false">IF(CL293&gt;0,CL293*MAX(1,AX293/X293),IF(BW293=1,IF(AX293&lt;=0,0,CA293*MAX(1,IF(H293&gt;0,AX293/H293,1))),IF(R293&gt;0,AY293/R293,0))/MAX(0.1,N(Parameter!$M$21)))</f>
        <v>0.0192307692307692</v>
      </c>
      <c r="BA293" s="50" t="n">
        <f aca="false">AZ293*BY293</f>
        <v>2.98076923076923</v>
      </c>
      <c r="BB293" s="50" t="n">
        <f aca="false">AX293*G293</f>
        <v>644</v>
      </c>
      <c r="BC293" s="50" t="n">
        <f aca="false">ROUNDUP(MAX(J293/IF(CD293&gt;0,CD293,MAX(0.1,N(Cockpit!$O$6))),CG293)/BV293,0)*BV293</f>
        <v>230</v>
      </c>
      <c r="BD293" s="51" t="n">
        <f aca="false">IF(BA293&gt;0,J293/BA293,-1)</f>
        <v>43.2774193548387</v>
      </c>
      <c r="BE293" s="51" t="n">
        <f aca="false">IF(AND(OR(CC293="L1",CC293="L23",CC293="LIFT"),BA293&gt;0),SUMIFS($BA$7:$BA$1843,$CC$7:$CC$1843,CC293,$BD$7:$BD$1843,"&gt;"&amp;BD293)+SUMIFS($BA$7:$BA$1843,$CC$7:$CC$1843,CC293,$BD$7:$BD$1843,BD293,$BT$7:$BT$1843,"&lt;="&amp;BT293),"")</f>
        <v>1517.64468864469</v>
      </c>
      <c r="BF293" s="58" t="n">
        <f aca="false">IF(BE293="",0,MAX(0,MIN(1,(IF(CC293="L1",Parameter!$H$5,IF(CC293="L23",Parameter!$H$6+Parameter!$H$7,Parameter!$H$5+Parameter!$H$6+Parameter!$H$7))-(BE293-BA293))/BA293)))</f>
        <v>1</v>
      </c>
      <c r="BG293" s="48" t="str">
        <f aca="false">IF(AI293&lt;=0,"",IF(CC293="Aussen","Aussenlager",IF(CC293="-","Nicht im Lift",IF(AN293&gt;=1,"Lift",IF(AN293&lt;=0,"Aussenlager","teilweise")))))</f>
        <v>Lift</v>
      </c>
      <c r="BH293" s="48" t="str">
        <f aca="false">IF(AR293&lt;=0,"",IF(CC293="Aussen","Aussenlager",IF(CC293="-","Nicht im Lift",IF(AW293&gt;=1,"Lift",IF(AW293&lt;=0,"Aussenlager","teilweise")))))</f>
        <v>Lift</v>
      </c>
      <c r="BI293" s="48" t="str">
        <f aca="false">IF(BA293&lt;=0,"",IF(CC293="Aussen","Aussenlager",IF(CC293="-","Nicht im Lift",IF(BF293&gt;=1,"Lift",IF(BF293&lt;=0,"Aussenlager","teilweise")))))</f>
        <v>Lift</v>
      </c>
      <c r="BJ293" s="48" t="str">
        <f aca="false">IF(A293="","",IF(BS293=1,"Neu; ","")&amp;IF(AND(BS293=0,BN293&lt;0),"negativer Bestand (Export "&amp;BN293&amp;"); ","")&amp;IF(J293&lt;=0,"Kein Verbrauch; ","")&amp;IF(CL293&gt;0,"Lift "&amp;W293&amp;" lt. Liftbericht (Fach "&amp;X293&amp;" Stk); ",IF(BX293=1,"Gebinde geschätzt ("&amp;T293&amp;"); ",IF(BW293=1,"Lose – Tablare geschätzt; ","")))&amp;IF(H293&gt;AT293,"Überbestand "&amp;ROUND(H293-AT293,0)&amp;" Stk / CHF "&amp;ROUND((H293-AT293)*G293,0)&amp;"; ","")&amp;IF(AND(CE293=1,CF293&lt;CG293),"MAX &lt; MB+LG; ","")&amp;IF(AND(CK293&gt;0,CJ293*10&gt;CK293),"zu hoch für Tablar; ","")&amp;IF(AND(BS293=0,OR(CE293=1,AA293&lt;&gt;"",U293&lt;&gt;"",V293&lt;&gt;"",AB293&lt;&gt;"")),"manuell übersteuert; ","")&amp;IF(AND(BW293=0,R293=0),"Gebinde unbekannt / Stellmass fehlt; ","")&amp;IF(AND(BW293=0,N(V293)&lt;=0,N(Q293)&lt;=0),"Menge pro Gebinde fehlt (Ist = 1 Gebinde); ","")&amp;BR293)</f>
        <v/>
      </c>
      <c r="BK293" s="48"/>
      <c r="BL293" s="48"/>
      <c r="BM293" s="55"/>
      <c r="BN293" s="50" t="n">
        <v>105</v>
      </c>
      <c r="BO293" s="50" t="n">
        <v>18</v>
      </c>
      <c r="BP293" s="49" t="n">
        <v>294.18</v>
      </c>
      <c r="BQ293" s="50" t="n">
        <v>129</v>
      </c>
      <c r="BR293" s="48"/>
      <c r="BS293" s="53" t="n">
        <v>0</v>
      </c>
      <c r="BT293" s="53" t="n">
        <v>293</v>
      </c>
      <c r="BU293" s="48" t="str">
        <f aca="false">IF(U293&lt;&gt;"",UPPER(TRIM(U293)),IF(BX293=1,UPPER(VLOOKUP(T293,Parameter!$I$27:$K$29,2,0)),IF(P293="","LOSE",P293)))</f>
        <v>S32</v>
      </c>
      <c r="BV293" s="50" t="n">
        <f aca="false">IF(BU293="LOSE",1,IF(N(V293)&gt;0,V293,IF(BX293=1,MAX(1,N(VLOOKUP(T293,Parameter!$I$27:$K$29,3,0)),H293,N(N293)),IF(N(Q293)&gt;0,Q293,MAX(1,H293)))))</f>
        <v>115</v>
      </c>
      <c r="BW293" s="53" t="n">
        <f aca="false">IF(BU293="LOSE",1,0)</f>
        <v>0</v>
      </c>
      <c r="BX293" s="53" t="n">
        <f aca="false">IF(AND(U293="",OR(P293="",P293="LOSE"),T293&lt;&gt;"",N(S293)&lt;=0,ISNUMBER(MATCH(T293,Parameter!$I$27:$I$29,0))),1,0)</f>
        <v>0</v>
      </c>
      <c r="BY293" s="53" t="n">
        <f aca="false">IF(CL293&gt;0,INDEX(Parameter!$H$5:$H$7,W293)/INDEX(Parameter!$E$5:$E$7,W293),IF(AND(BW293=0,N(IFERROR(VLOOKUP(BU293,'Gebinde-Kategorie'!$A$5:$N$45,14,0),0))&gt;0),VLOOKUP(BU293,'Gebinde-Kategorie'!$A$5:$N$45,14,0)*10+Parameter!$M$23,Parameter!$M$24))</f>
        <v>155</v>
      </c>
      <c r="BZ293" s="48" t="str">
        <f aca="false">IF(AND(Parameter!$B$19="Ja",E293&lt;&gt;"",ISNUMBER(MATCH(E293,Parameter!$I$35:$I$52,0))),VLOOKUP(E293,Parameter!$I$35:$J$52,2,0),IFERROR(VLOOKUP(D293,Parameter!$A$35:$C$64,2,0),"Nein"))</f>
        <v>2+3</v>
      </c>
      <c r="CA293" s="52" t="n">
        <f aca="false">IF(BW293=0,0,IF(N(S293)&gt;0,S293,IFERROR(VLOOKUP(D293,Parameter!$A$35:$C$64,3,0)+0,0)))</f>
        <v>0</v>
      </c>
      <c r="CB293" s="48" t="n">
        <f aca="false">IF(AA293&lt;&gt;"",AA293,Z293)</f>
        <v>3</v>
      </c>
      <c r="CC293" s="48" t="str">
        <f aca="false">IF(OR(CB293=1,CB293=2,CB293=3),IF(Parameter!$E$27="Ja","LIFT",IF(CB293=1,"L1","L23")),IF(CB293="Aussen","Aussen","-"))</f>
        <v>LIFT</v>
      </c>
      <c r="CD293" s="59" t="n">
        <f aca="false">IF(N(AB293)&gt;0,AB293,0)</f>
        <v>0</v>
      </c>
      <c r="CE293" s="53" t="n">
        <f aca="false">IF(ISNUMBER(AE293),1,0)</f>
        <v>0</v>
      </c>
      <c r="CF293" s="50" t="n">
        <f aca="false">N(AE293)</f>
        <v>0</v>
      </c>
      <c r="CG293" s="50" t="n">
        <f aca="false">N(M293)+N(N293)</f>
        <v>140</v>
      </c>
      <c r="CH293" s="50" t="n">
        <f aca="false">ROUNDUP(H293/BV293,0)</f>
        <v>2</v>
      </c>
      <c r="CI293" s="50" t="n">
        <f aca="false">ROUNDUP(CF293/BV293,0)</f>
        <v>0</v>
      </c>
      <c r="CJ293" s="53" t="n">
        <f aca="false">IF(BW293=1,0,IFERROR(VLOOKUP(BU293,'Gebinde-Kategorie'!$A$5:$N$45,5,0)+0,0))</f>
        <v>8</v>
      </c>
      <c r="CK293" s="53" t="n">
        <f aca="false">IFERROR(IF(OR(CB293=1,CB293=2,CB293=3),N(INDEX(Parameter!$I$5:$I$7,CB293)),0),0)</f>
        <v>0</v>
      </c>
      <c r="CL293" s="52" t="n">
        <f aca="false">IF(AND(Parameter!$B$21="Ja",ISNUMBER(W293),N(X293)&gt;0),IFERROR(N(INDEX(Parameter!$L$5:$L$7,W293))*INDEX(Parameter!$E$5:$E$7,W293)*X293/SUMIFS($X$7:$X$1843,$W$7:$W$1843,W293),0),0)</f>
        <v>0</v>
      </c>
    </row>
    <row r="294" customFormat="false" ht="15" hidden="false" customHeight="false" outlineLevel="0" collapsed="false">
      <c r="A294" s="48" t="s">
        <v>764</v>
      </c>
      <c r="B294" s="48" t="s">
        <v>765</v>
      </c>
      <c r="C294" s="48" t="s">
        <v>168</v>
      </c>
      <c r="D294" s="48" t="s">
        <v>188</v>
      </c>
      <c r="E294" s="48" t="s">
        <v>189</v>
      </c>
      <c r="F294" s="48" t="s">
        <v>222</v>
      </c>
      <c r="G294" s="49" t="n">
        <v>30.7</v>
      </c>
      <c r="H294" s="50" t="n">
        <f aca="false">MAX(0,IF(AND(Parameter!$B$21="Ja",ISNUMBER(Y294)),Y294,IF(Parameter!$B$20="Jahresanfang 2025 + Export",BO294+BN294,BN294)))</f>
        <v>18</v>
      </c>
      <c r="I294" s="50" t="n">
        <f aca="false">H294*G294</f>
        <v>552.6</v>
      </c>
      <c r="J294" s="50" t="n">
        <f aca="false">BQ294*Parameter!$B$18</f>
        <v>2</v>
      </c>
      <c r="K294" s="51" t="n">
        <v>14</v>
      </c>
      <c r="L294" s="52" t="n">
        <v>0.142857142857143</v>
      </c>
      <c r="M294" s="50" t="n">
        <v>0</v>
      </c>
      <c r="N294" s="50" t="n">
        <v>1</v>
      </c>
      <c r="O294" s="53" t="n">
        <v>21</v>
      </c>
      <c r="P294" s="48" t="s">
        <v>405</v>
      </c>
      <c r="Q294" s="50" t="n">
        <v>10</v>
      </c>
      <c r="R294" s="53" t="n">
        <f aca="false">IF(BW294=1,0,IFERROR(VLOOKUP(BU294,'Gebinde-Kategorie'!$A$5:$N$45,13,0)+0,0))</f>
        <v>280</v>
      </c>
      <c r="S294" s="54"/>
      <c r="T294" s="55"/>
      <c r="U294" s="55"/>
      <c r="V294" s="55"/>
      <c r="W294" s="48"/>
      <c r="X294" s="50"/>
      <c r="Y294" s="50"/>
      <c r="Z294" s="48" t="n">
        <f aca="false">IF(A294="","",IF(AND(Parameter!$B$21="Ja",ISNUMBER(W294)),W294,IF(BZ294="2+3",IF(ISNUMBER(SEARCH("grosser Artikel",BR294)),2,IFERROR(VLOOKUP(BU294,Parameter!$F$35:$G$64,2,0),2)),IF(OR(BZ294="Nein",BZ294=""),"-",BZ294))))</f>
        <v>3</v>
      </c>
      <c r="AA294" s="55"/>
      <c r="AB294" s="56"/>
      <c r="AC294" s="50" t="n">
        <f aca="false">AT294</f>
        <v>10</v>
      </c>
      <c r="AD294" s="50" t="n">
        <f aca="false">MAX(AT294,H294)</f>
        <v>18</v>
      </c>
      <c r="AE294" s="57"/>
      <c r="AF294" s="50" t="n">
        <f aca="false">IF(LEFT(Cockpit!$C$5,1)="A",H294,IF(CE294=1,CF294,IF(LEFT(Cockpit!$C$5,1)="B",AK294,MAX(AK294,H294))))</f>
        <v>18</v>
      </c>
      <c r="AG294" s="50" t="n">
        <f aca="false">IF(BW294=1,0,ROUNDUP(AF294/BV294,0))</f>
        <v>2</v>
      </c>
      <c r="AH294" s="52" t="n">
        <f aca="false">IF(CL294&gt;0,CL294*MAX(1,AF294/X294),IF(BW294=1,IF(AF294&lt;=0,0,CA294*MAX(1,IF(H294&gt;0,AF294/H294,1))),IF(R294&gt;0,AG294/R294,0))/MAX(0.1,N(Parameter!$M$21)))</f>
        <v>0.00714285714285714</v>
      </c>
      <c r="AI294" s="50" t="n">
        <f aca="false">AH294*BY294</f>
        <v>1.10714285714286</v>
      </c>
      <c r="AJ294" s="50" t="n">
        <f aca="false">AF294*G294</f>
        <v>552.6</v>
      </c>
      <c r="AK294" s="50" t="n">
        <f aca="false">ROUNDUP(MAX(J294/IF(CD294&gt;0,CD294,MAX(0.1,N(Cockpit!$C$6))),CG294)/BV294,0)*BV294</f>
        <v>10</v>
      </c>
      <c r="AL294" s="51" t="n">
        <f aca="false">IF(AI294&gt;0,J294/AI294,-1)</f>
        <v>1.80645161290323</v>
      </c>
      <c r="AM294" s="51" t="n">
        <f aca="false">IF(AND(OR(CC294="L1",CC294="L23",CC294="LIFT"),AI294&gt;0),SUMIFS($AI$7:$AI$1843,$CC$7:$CC$1843,CC294,$AL$7:$AL$1843,"&gt;"&amp;AL294)+SUMIFS($AI$7:$AI$1843,$CC$7:$CC$1843,CC294,$AL$7:$AL$1843,AL294,$BT$7:$BT$1843,"&lt;="&amp;BT294),"")</f>
        <v>5960.91529304029</v>
      </c>
      <c r="AN294" s="58" t="n">
        <f aca="false">IF(AM294="",0,MAX(0,MIN(1,(IF(CC294="L1",Parameter!$H$5,IF(CC294="L23",Parameter!$H$6+Parameter!$H$7,Parameter!$H$5+Parameter!$H$6+Parameter!$H$7))-(AM294-AI294))/AI294)))</f>
        <v>1</v>
      </c>
      <c r="AO294" s="50" t="n">
        <f aca="false">IF(LEFT(Cockpit!$I$5,1)="A",H294,IF(CE294=1,CF294,IF(LEFT(Cockpit!$I$5,1)="B",AT294,MAX(AT294,H294))))</f>
        <v>18</v>
      </c>
      <c r="AP294" s="50" t="n">
        <f aca="false">IF(BW294=1,0,ROUNDUP(AO294/BV294,0))</f>
        <v>2</v>
      </c>
      <c r="AQ294" s="52" t="n">
        <f aca="false">IF(CL294&gt;0,CL294*MAX(1,AO294/X294),IF(BW294=1,IF(AO294&lt;=0,0,CA294*MAX(1,IF(H294&gt;0,AO294/H294,1))),IF(R294&gt;0,AP294/R294,0))/MAX(0.1,N(Parameter!$M$21)))</f>
        <v>0.00714285714285714</v>
      </c>
      <c r="AR294" s="50" t="n">
        <f aca="false">AQ294*BY294</f>
        <v>1.10714285714286</v>
      </c>
      <c r="AS294" s="50" t="n">
        <f aca="false">AO294*G294</f>
        <v>552.6</v>
      </c>
      <c r="AT294" s="50" t="n">
        <f aca="false">ROUNDUP(MAX(J294/IF(CD294&gt;0,CD294,MAX(0.1,N(Cockpit!$I$6))),CG294)/BV294,0)*BV294</f>
        <v>10</v>
      </c>
      <c r="AU294" s="51" t="n">
        <f aca="false">IF(AR294&gt;0,J294/AR294,-1)</f>
        <v>1.80645161290323</v>
      </c>
      <c r="AV294" s="51" t="n">
        <f aca="false">IF(AND(OR(CC294="L1",CC294="L23",CC294="LIFT"),AR294&gt;0),SUMIFS($AR$7:$AR$1843,$CC$7:$CC$1843,CC294,$AU$7:$AU$1843,"&gt;"&amp;AU294)+SUMIFS($AR$7:$AR$1843,$CC$7:$CC$1843,CC294,$AU$7:$AU$1843,AU294,$BT$7:$BT$1843,"&lt;="&amp;BT294),"")</f>
        <v>8071.28067765568</v>
      </c>
      <c r="AW294" s="58" t="n">
        <f aca="false">IF(AV294="",0,MAX(0,MIN(1,(IF(CC294="L1",Parameter!$H$5,IF(CC294="L23",Parameter!$H$6+Parameter!$H$7,Parameter!$H$5+Parameter!$H$6+Parameter!$H$7))-(AV294-AR294))/AR294)))</f>
        <v>1</v>
      </c>
      <c r="AX294" s="50" t="n">
        <f aca="false">IF(LEFT(Cockpit!$O$5,1)="A",H294,IF(CE294=1,CF294,IF(LEFT(Cockpit!$O$5,1)="B",BC294,MAX(BC294,H294))))</f>
        <v>18</v>
      </c>
      <c r="AY294" s="50" t="n">
        <f aca="false">IF(BW294=1,0,ROUNDUP(AX294/BV294,0))</f>
        <v>2</v>
      </c>
      <c r="AZ294" s="52" t="n">
        <f aca="false">IF(CL294&gt;0,CL294*MAX(1,AX294/X294),IF(BW294=1,IF(AX294&lt;=0,0,CA294*MAX(1,IF(H294&gt;0,AX294/H294,1))),IF(R294&gt;0,AY294/R294,0))/MAX(0.1,N(Parameter!$M$21)))</f>
        <v>0.00714285714285714</v>
      </c>
      <c r="BA294" s="50" t="n">
        <f aca="false">AZ294*BY294</f>
        <v>1.10714285714286</v>
      </c>
      <c r="BB294" s="50" t="n">
        <f aca="false">AX294*G294</f>
        <v>552.6</v>
      </c>
      <c r="BC294" s="50" t="n">
        <f aca="false">ROUNDUP(MAX(J294/IF(CD294&gt;0,CD294,MAX(0.1,N(Cockpit!$O$6))),CG294)/BV294,0)*BV294</f>
        <v>10</v>
      </c>
      <c r="BD294" s="51" t="n">
        <f aca="false">IF(BA294&gt;0,J294/BA294,-1)</f>
        <v>1.80645161290323</v>
      </c>
      <c r="BE294" s="51" t="n">
        <f aca="false">IF(AND(OR(CC294="L1",CC294="L23",CC294="LIFT"),BA294&gt;0),SUMIFS($BA$7:$BA$1843,$CC$7:$CC$1843,CC294,$BD$7:$BD$1843,"&gt;"&amp;BD294)+SUMIFS($BA$7:$BA$1843,$CC$7:$CC$1843,CC294,$BD$7:$BD$1843,BD294,$BT$7:$BT$1843,"&lt;="&amp;BT294),"")</f>
        <v>7973.6043956044</v>
      </c>
      <c r="BF294" s="58" t="n">
        <f aca="false">IF(BE294="",0,MAX(0,MIN(1,(IF(CC294="L1",Parameter!$H$5,IF(CC294="L23",Parameter!$H$6+Parameter!$H$7,Parameter!$H$5+Parameter!$H$6+Parameter!$H$7))-(BE294-BA294))/BA294)))</f>
        <v>1</v>
      </c>
      <c r="BG294" s="48" t="str">
        <f aca="false">IF(AI294&lt;=0,"",IF(CC294="Aussen","Aussenlager",IF(CC294="-","Nicht im Lift",IF(AN294&gt;=1,"Lift",IF(AN294&lt;=0,"Aussenlager","teilweise")))))</f>
        <v>Lift</v>
      </c>
      <c r="BH294" s="48" t="str">
        <f aca="false">IF(AR294&lt;=0,"",IF(CC294="Aussen","Aussenlager",IF(CC294="-","Nicht im Lift",IF(AW294&gt;=1,"Lift",IF(AW294&lt;=0,"Aussenlager","teilweise")))))</f>
        <v>Lift</v>
      </c>
      <c r="BI294" s="48" t="str">
        <f aca="false">IF(BA294&lt;=0,"",IF(CC294="Aussen","Aussenlager",IF(CC294="-","Nicht im Lift",IF(BF294&gt;=1,"Lift",IF(BF294&lt;=0,"Aussenlager","teilweise")))))</f>
        <v>Lift</v>
      </c>
      <c r="BJ294" s="48" t="str">
        <f aca="false">IF(A294="","",IF(BS294=1,"Neu; ","")&amp;IF(AND(BS294=0,BN294&lt;0),"negativer Bestand (Export "&amp;BN294&amp;"); ","")&amp;IF(J294&lt;=0,"Kein Verbrauch; ","")&amp;IF(CL294&gt;0,"Lift "&amp;W294&amp;" lt. Liftbericht (Fach "&amp;X294&amp;" Stk); ",IF(BX294=1,"Gebinde geschätzt ("&amp;T294&amp;"); ",IF(BW294=1,"Lose – Tablare geschätzt; ","")))&amp;IF(H294&gt;AT294,"Überbestand "&amp;ROUND(H294-AT294,0)&amp;" Stk / CHF "&amp;ROUND((H294-AT294)*G294,0)&amp;"; ","")&amp;IF(AND(CE294=1,CF294&lt;CG294),"MAX &lt; MB+LG; ","")&amp;IF(AND(CK294&gt;0,CJ294*10&gt;CK294),"zu hoch für Tablar; ","")&amp;IF(AND(BS294=0,OR(CE294=1,AA294&lt;&gt;"",U294&lt;&gt;"",V294&lt;&gt;"",AB294&lt;&gt;"")),"manuell übersteuert; ","")&amp;IF(AND(BW294=0,R294=0),"Gebinde unbekannt / Stellmass fehlt; ","")&amp;IF(AND(BW294=0,N(V294)&lt;=0,N(Q294)&lt;=0),"Menge pro Gebinde fehlt (Ist = 1 Gebinde); ","")&amp;BR294)</f>
        <v>Überbestand 8 Stk / CHF 246; </v>
      </c>
      <c r="BK294" s="48"/>
      <c r="BL294" s="48"/>
      <c r="BM294" s="55"/>
      <c r="BN294" s="50" t="n">
        <v>8</v>
      </c>
      <c r="BO294" s="50" t="n">
        <v>10</v>
      </c>
      <c r="BP294" s="49" t="n">
        <v>286.9</v>
      </c>
      <c r="BQ294" s="50" t="n">
        <v>2</v>
      </c>
      <c r="BR294" s="48"/>
      <c r="BS294" s="53" t="n">
        <v>0</v>
      </c>
      <c r="BT294" s="53" t="n">
        <v>294</v>
      </c>
      <c r="BU294" s="48" t="str">
        <f aca="false">IF(U294&lt;&gt;"",UPPER(TRIM(U294)),IF(BX294=1,UPPER(VLOOKUP(T294,Parameter!$I$27:$K$29,2,0)),IF(P294="","LOSE",P294)))</f>
        <v>S21</v>
      </c>
      <c r="BV294" s="50" t="n">
        <f aca="false">IF(BU294="LOSE",1,IF(N(V294)&gt;0,V294,IF(BX294=1,MAX(1,N(VLOOKUP(T294,Parameter!$I$27:$K$29,3,0)),H294,N(N294)),IF(N(Q294)&gt;0,Q294,MAX(1,H294)))))</f>
        <v>10</v>
      </c>
      <c r="BW294" s="53" t="n">
        <f aca="false">IF(BU294="LOSE",1,0)</f>
        <v>0</v>
      </c>
      <c r="BX294" s="53" t="n">
        <f aca="false">IF(AND(U294="",OR(P294="",P294="LOSE"),T294&lt;&gt;"",N(S294)&lt;=0,ISNUMBER(MATCH(T294,Parameter!$I$27:$I$29,0))),1,0)</f>
        <v>0</v>
      </c>
      <c r="BY294" s="53" t="n">
        <f aca="false">IF(CL294&gt;0,INDEX(Parameter!$H$5:$H$7,W294)/INDEX(Parameter!$E$5:$E$7,W294),IF(AND(BW294=0,N(IFERROR(VLOOKUP(BU294,'Gebinde-Kategorie'!$A$5:$N$45,14,0),0))&gt;0),VLOOKUP(BU294,'Gebinde-Kategorie'!$A$5:$N$45,14,0)*10+Parameter!$M$23,Parameter!$M$24))</f>
        <v>155</v>
      </c>
      <c r="BZ294" s="48" t="str">
        <f aca="false">IF(AND(Parameter!$B$19="Ja",E294&lt;&gt;"",ISNUMBER(MATCH(E294,Parameter!$I$35:$I$52,0))),VLOOKUP(E294,Parameter!$I$35:$J$52,2,0),IFERROR(VLOOKUP(D294,Parameter!$A$35:$C$64,2,0),"Nein"))</f>
        <v>2+3</v>
      </c>
      <c r="CA294" s="52" t="n">
        <f aca="false">IF(BW294=0,0,IF(N(S294)&gt;0,S294,IFERROR(VLOOKUP(D294,Parameter!$A$35:$C$64,3,0)+0,0)))</f>
        <v>0</v>
      </c>
      <c r="CB294" s="48" t="n">
        <f aca="false">IF(AA294&lt;&gt;"",AA294,Z294)</f>
        <v>3</v>
      </c>
      <c r="CC294" s="48" t="str">
        <f aca="false">IF(OR(CB294=1,CB294=2,CB294=3),IF(Parameter!$E$27="Ja","LIFT",IF(CB294=1,"L1","L23")),IF(CB294="Aussen","Aussen","-"))</f>
        <v>LIFT</v>
      </c>
      <c r="CD294" s="59" t="n">
        <f aca="false">IF(N(AB294)&gt;0,AB294,0)</f>
        <v>0</v>
      </c>
      <c r="CE294" s="53" t="n">
        <f aca="false">IF(ISNUMBER(AE294),1,0)</f>
        <v>0</v>
      </c>
      <c r="CF294" s="50" t="n">
        <f aca="false">N(AE294)</f>
        <v>0</v>
      </c>
      <c r="CG294" s="50" t="n">
        <f aca="false">N(M294)+N(N294)</f>
        <v>1</v>
      </c>
      <c r="CH294" s="50" t="n">
        <f aca="false">ROUNDUP(H294/BV294,0)</f>
        <v>2</v>
      </c>
      <c r="CI294" s="50" t="n">
        <f aca="false">ROUNDUP(CF294/BV294,0)</f>
        <v>0</v>
      </c>
      <c r="CJ294" s="53" t="n">
        <f aca="false">IF(BW294=1,0,IFERROR(VLOOKUP(BU294,'Gebinde-Kategorie'!$A$5:$N$45,5,0)+0,0))</f>
        <v>8</v>
      </c>
      <c r="CK294" s="53" t="n">
        <f aca="false">IFERROR(IF(OR(CB294=1,CB294=2,CB294=3),N(INDEX(Parameter!$I$5:$I$7,CB294)),0),0)</f>
        <v>0</v>
      </c>
      <c r="CL294" s="52" t="n">
        <f aca="false">IF(AND(Parameter!$B$21="Ja",ISNUMBER(W294),N(X294)&gt;0),IFERROR(N(INDEX(Parameter!$L$5:$L$7,W294))*INDEX(Parameter!$E$5:$E$7,W294)*X294/SUMIFS($X$7:$X$1843,$W$7:$W$1843,W294),0),0)</f>
        <v>0</v>
      </c>
    </row>
    <row r="295" customFormat="false" ht="15" hidden="false" customHeight="false" outlineLevel="0" collapsed="false">
      <c r="A295" s="48" t="s">
        <v>766</v>
      </c>
      <c r="B295" s="48" t="s">
        <v>767</v>
      </c>
      <c r="C295" s="48" t="s">
        <v>168</v>
      </c>
      <c r="D295" s="48" t="s">
        <v>188</v>
      </c>
      <c r="E295" s="48"/>
      <c r="F295" s="48" t="s">
        <v>222</v>
      </c>
      <c r="G295" s="49" t="n">
        <v>5.72</v>
      </c>
      <c r="H295" s="50" t="n">
        <f aca="false">MAX(0,IF(AND(Parameter!$B$21="Ja",ISNUMBER(Y295)),Y295,IF(Parameter!$B$20="Jahresanfang 2025 + Export",BO295+BN295,BN295)))</f>
        <v>50</v>
      </c>
      <c r="I295" s="50" t="n">
        <f aca="false">H295*G295</f>
        <v>286</v>
      </c>
      <c r="J295" s="50" t="n">
        <f aca="false">BQ295*Parameter!$B$18</f>
        <v>0</v>
      </c>
      <c r="K295" s="51" t="n">
        <v>0</v>
      </c>
      <c r="L295" s="52" t="n">
        <v>0</v>
      </c>
      <c r="M295" s="50" t="n">
        <v>0</v>
      </c>
      <c r="N295" s="50" t="n">
        <v>1</v>
      </c>
      <c r="O295" s="53" t="n">
        <v>9999</v>
      </c>
      <c r="P295" s="48" t="s">
        <v>172</v>
      </c>
      <c r="Q295" s="50"/>
      <c r="R295" s="53" t="n">
        <f aca="false">IF(BW295=1,0,IFERROR(VLOOKUP(BU295,'Gebinde-Kategorie'!$A$5:$N$45,13,0)+0,0))</f>
        <v>26</v>
      </c>
      <c r="S295" s="54"/>
      <c r="T295" s="55" t="s">
        <v>279</v>
      </c>
      <c r="U295" s="55"/>
      <c r="V295" s="55"/>
      <c r="W295" s="48"/>
      <c r="X295" s="50"/>
      <c r="Y295" s="50"/>
      <c r="Z295" s="48" t="n">
        <f aca="false">IF(A295="","",IF(AND(Parameter!$B$21="Ja",ISNUMBER(W295)),W295,IF(BZ295="2+3",IF(ISNUMBER(SEARCH("grosser Artikel",BR295)),2,IFERROR(VLOOKUP(BU295,Parameter!$F$35:$G$64,2,0),2)),IF(OR(BZ295="Nein",BZ295=""),"-",BZ295))))</f>
        <v>3</v>
      </c>
      <c r="AA295" s="55"/>
      <c r="AB295" s="56"/>
      <c r="AC295" s="50" t="n">
        <f aca="false">AT295</f>
        <v>50</v>
      </c>
      <c r="AD295" s="50" t="n">
        <f aca="false">MAX(AT295,H295)</f>
        <v>50</v>
      </c>
      <c r="AE295" s="57"/>
      <c r="AF295" s="50" t="n">
        <f aca="false">IF(LEFT(Cockpit!$C$5,1)="A",H295,IF(CE295=1,CF295,IF(LEFT(Cockpit!$C$5,1)="B",AK295,MAX(AK295,H295))))</f>
        <v>50</v>
      </c>
      <c r="AG295" s="50" t="n">
        <f aca="false">IF(BW295=1,0,ROUNDUP(AF295/BV295,0))</f>
        <v>1</v>
      </c>
      <c r="AH295" s="52" t="n">
        <f aca="false">IF(CL295&gt;0,CL295*MAX(1,AF295/X295),IF(BW295=1,IF(AF295&lt;=0,0,CA295*MAX(1,IF(H295&gt;0,AF295/H295,1))),IF(R295&gt;0,AG295/R295,0))/MAX(0.1,N(Parameter!$M$21)))</f>
        <v>0.0384615384615385</v>
      </c>
      <c r="AI295" s="50" t="n">
        <f aca="false">AH295*BY295</f>
        <v>5.96153846153846</v>
      </c>
      <c r="AJ295" s="50" t="n">
        <f aca="false">AF295*G295</f>
        <v>286</v>
      </c>
      <c r="AK295" s="50" t="n">
        <f aca="false">ROUNDUP(MAX(J295/IF(CD295&gt;0,CD295,MAX(0.1,N(Cockpit!$C$6))),CG295)/BV295,0)*BV295</f>
        <v>50</v>
      </c>
      <c r="AL295" s="51" t="n">
        <f aca="false">IF(AI295&gt;0,J295/AI295,-1)</f>
        <v>0</v>
      </c>
      <c r="AM295" s="51" t="n">
        <f aca="false">IF(AND(OR(CC295="L1",CC295="L23",CC295="LIFT"),AI295&gt;0),SUMIFS($AI$7:$AI$1843,$CC$7:$CC$1843,CC295,$AL$7:$AL$1843,"&gt;"&amp;AL295)+SUMIFS($AI$7:$AI$1843,$CC$7:$CC$1843,CC295,$AL$7:$AL$1843,AL295,$BT$7:$BT$1843,"&lt;="&amp;BT295),"")</f>
        <v>27823.7780985493</v>
      </c>
      <c r="AN295" s="58" t="n">
        <f aca="false">IF(AM295="",0,MAX(0,MIN(1,(IF(CC295="L1",Parameter!$H$5,IF(CC295="L23",Parameter!$H$6+Parameter!$H$7,Parameter!$H$5+Parameter!$H$6+Parameter!$H$7))-(AM295-AI295))/AI295)))</f>
        <v>1</v>
      </c>
      <c r="AO295" s="50" t="n">
        <f aca="false">IF(LEFT(Cockpit!$I$5,1)="A",H295,IF(CE295=1,CF295,IF(LEFT(Cockpit!$I$5,1)="B",AT295,MAX(AT295,H295))))</f>
        <v>50</v>
      </c>
      <c r="AP295" s="50" t="n">
        <f aca="false">IF(BW295=1,0,ROUNDUP(AO295/BV295,0))</f>
        <v>1</v>
      </c>
      <c r="AQ295" s="52" t="n">
        <f aca="false">IF(CL295&gt;0,CL295*MAX(1,AO295/X295),IF(BW295=1,IF(AO295&lt;=0,0,CA295*MAX(1,IF(H295&gt;0,AO295/H295,1))),IF(R295&gt;0,AP295/R295,0))/MAX(0.1,N(Parameter!$M$21)))</f>
        <v>0.0384615384615385</v>
      </c>
      <c r="AR295" s="50" t="n">
        <f aca="false">AQ295*BY295</f>
        <v>5.96153846153846</v>
      </c>
      <c r="AS295" s="50" t="n">
        <f aca="false">AO295*G295</f>
        <v>286</v>
      </c>
      <c r="AT295" s="50" t="n">
        <f aca="false">ROUNDUP(MAX(J295/IF(CD295&gt;0,CD295,MAX(0.1,N(Cockpit!$I$6))),CG295)/BV295,0)*BV295</f>
        <v>50</v>
      </c>
      <c r="AU295" s="51" t="n">
        <f aca="false">IF(AR295&gt;0,J295/AR295,-1)</f>
        <v>0</v>
      </c>
      <c r="AV295" s="51" t="n">
        <f aca="false">IF(AND(OR(CC295="L1",CC295="L23",CC295="LIFT"),AR295&gt;0),SUMIFS($AR$7:$AR$1843,$CC$7:$CC$1843,CC295,$AU$7:$AU$1843,"&gt;"&amp;AU295)+SUMIFS($AR$7:$AR$1843,$CC$7:$CC$1843,CC295,$AU$7:$AU$1843,AU295,$BT$7:$BT$1843,"&lt;="&amp;BT295),"")</f>
        <v>39136.6836158192</v>
      </c>
      <c r="AW295" s="58" t="n">
        <f aca="false">IF(AV295="",0,MAX(0,MIN(1,(IF(CC295="L1",Parameter!$H$5,IF(CC295="L23",Parameter!$H$6+Parameter!$H$7,Parameter!$H$5+Parameter!$H$6+Parameter!$H$7))-(AV295-AR295))/AR295)))</f>
        <v>0</v>
      </c>
      <c r="AX295" s="50" t="n">
        <f aca="false">IF(LEFT(Cockpit!$O$5,1)="A",H295,IF(CE295=1,CF295,IF(LEFT(Cockpit!$O$5,1)="B",BC295,MAX(BC295,H295))))</f>
        <v>50</v>
      </c>
      <c r="AY295" s="50" t="n">
        <f aca="false">IF(BW295=1,0,ROUNDUP(AX295/BV295,0))</f>
        <v>1</v>
      </c>
      <c r="AZ295" s="52" t="n">
        <f aca="false">IF(CL295&gt;0,CL295*MAX(1,AX295/X295),IF(BW295=1,IF(AX295&lt;=0,0,CA295*MAX(1,IF(H295&gt;0,AX295/H295,1))),IF(R295&gt;0,AY295/R295,0))/MAX(0.1,N(Parameter!$M$21)))</f>
        <v>0.0384615384615385</v>
      </c>
      <c r="BA295" s="50" t="n">
        <f aca="false">AZ295*BY295</f>
        <v>5.96153846153846</v>
      </c>
      <c r="BB295" s="50" t="n">
        <f aca="false">AX295*G295</f>
        <v>286</v>
      </c>
      <c r="BC295" s="50" t="n">
        <f aca="false">ROUNDUP(MAX(J295/IF(CD295&gt;0,CD295,MAX(0.1,N(Cockpit!$O$6))),CG295)/BV295,0)*BV295</f>
        <v>50</v>
      </c>
      <c r="BD295" s="51" t="n">
        <f aca="false">IF(BA295&gt;0,J295/BA295,-1)</f>
        <v>0</v>
      </c>
      <c r="BE295" s="51" t="n">
        <f aca="false">IF(AND(OR(CC295="L1",CC295="L23",CC295="LIFT"),BA295&gt;0),SUMIFS($BA$7:$BA$1843,$CC$7:$CC$1843,CC295,$BD$7:$BD$1843,"&gt;"&amp;BD295)+SUMIFS($BA$7:$BA$1843,$CC$7:$CC$1843,CC295,$BD$7:$BD$1843,BD295,$BT$7:$BT$1843,"&lt;="&amp;BT295),"")</f>
        <v>35811.6956576851</v>
      </c>
      <c r="BF295" s="58" t="n">
        <f aca="false">IF(BE295="",0,MAX(0,MIN(1,(IF(CC295="L1",Parameter!$H$5,IF(CC295="L23",Parameter!$H$6+Parameter!$H$7,Parameter!$H$5+Parameter!$H$6+Parameter!$H$7))-(BE295-BA295))/BA295)))</f>
        <v>0</v>
      </c>
      <c r="BG295" s="48" t="str">
        <f aca="false">IF(AI295&lt;=0,"",IF(CC295="Aussen","Aussenlager",IF(CC295="-","Nicht im Lift",IF(AN295&gt;=1,"Lift",IF(AN295&lt;=0,"Aussenlager","teilweise")))))</f>
        <v>Lift</v>
      </c>
      <c r="BH295" s="48" t="str">
        <f aca="false">IF(AR295&lt;=0,"",IF(CC295="Aussen","Aussenlager",IF(CC295="-","Nicht im Lift",IF(AW295&gt;=1,"Lift",IF(AW295&lt;=0,"Aussenlager","teilweise")))))</f>
        <v>Aussenlager</v>
      </c>
      <c r="BI295" s="48" t="str">
        <f aca="false">IF(BA295&lt;=0,"",IF(CC295="Aussen","Aussenlager",IF(CC295="-","Nicht im Lift",IF(BF295&gt;=1,"Lift",IF(BF295&lt;=0,"Aussenlager","teilweise")))))</f>
        <v>Aussenlager</v>
      </c>
      <c r="BJ295" s="48" t="str">
        <f aca="false">IF(A295="","",IF(BS295=1,"Neu; ","")&amp;IF(AND(BS295=0,BN295&lt;0),"negativer Bestand (Export "&amp;BN295&amp;"); ","")&amp;IF(J295&lt;=0,"Kein Verbrauch; ","")&amp;IF(CL295&gt;0,"Lift "&amp;W295&amp;" lt. Liftbericht (Fach "&amp;X295&amp;" Stk); ",IF(BX295=1,"Gebinde geschätzt ("&amp;T295&amp;"); ",IF(BW295=1,"Lose – Tablare geschätzt; ","")))&amp;IF(H295&gt;AT295,"Überbestand "&amp;ROUND(H295-AT295,0)&amp;" Stk / CHF "&amp;ROUND((H295-AT295)*G295,0)&amp;"; ","")&amp;IF(AND(CE295=1,CF295&lt;CG295),"MAX &lt; MB+LG; ","")&amp;IF(AND(CK295&gt;0,CJ295*10&gt;CK295),"zu hoch für Tablar; ","")&amp;IF(AND(BS295=0,OR(CE295=1,AA295&lt;&gt;"",U295&lt;&gt;"",V295&lt;&gt;"",AB295&lt;&gt;"")),"manuell übersteuert; ","")&amp;IF(AND(BW295=0,R295=0),"Gebinde unbekannt / Stellmass fehlt; ","")&amp;IF(AND(BW295=0,N(V295)&lt;=0,N(Q295)&lt;=0),"Menge pro Gebinde fehlt (Ist = 1 Gebinde); ","")&amp;BR295)</f>
        <v>Kein Verbrauch; Gebinde geschätzt (Klein); Menge pro Gebinde fehlt (Ist = 1 Gebinde); </v>
      </c>
      <c r="BK295" s="48"/>
      <c r="BL295" s="48"/>
      <c r="BM295" s="55"/>
      <c r="BN295" s="50" t="n">
        <v>50</v>
      </c>
      <c r="BO295" s="50" t="n">
        <v>0</v>
      </c>
      <c r="BP295" s="49" t="n">
        <v>286</v>
      </c>
      <c r="BQ295" s="50" t="n">
        <v>0</v>
      </c>
      <c r="BR295" s="48"/>
      <c r="BS295" s="53" t="n">
        <v>0</v>
      </c>
      <c r="BT295" s="53" t="n">
        <v>295</v>
      </c>
      <c r="BU295" s="48" t="str">
        <f aca="false">IF(U295&lt;&gt;"",UPPER(TRIM(U295)),IF(BX295=1,UPPER(VLOOKUP(T295,Parameter!$I$27:$K$29,2,0)),IF(P295="","LOSE",P295)))</f>
        <v>S51</v>
      </c>
      <c r="BV295" s="50" t="n">
        <f aca="false">IF(BU295="LOSE",1,IF(N(V295)&gt;0,V295,IF(BX295=1,MAX(1,N(VLOOKUP(T295,Parameter!$I$27:$K$29,3,0)),H295,N(N295)),IF(N(Q295)&gt;0,Q295,MAX(1,H295)))))</f>
        <v>50</v>
      </c>
      <c r="BW295" s="53" t="n">
        <f aca="false">IF(BU295="LOSE",1,0)</f>
        <v>0</v>
      </c>
      <c r="BX295" s="53" t="n">
        <f aca="false">IF(AND(U295="",OR(P295="",P295="LOSE"),T295&lt;&gt;"",N(S295)&lt;=0,ISNUMBER(MATCH(T295,Parameter!$I$27:$I$29,0))),1,0)</f>
        <v>1</v>
      </c>
      <c r="BY295" s="53" t="n">
        <f aca="false">IF(CL295&gt;0,INDEX(Parameter!$H$5:$H$7,W295)/INDEX(Parameter!$E$5:$E$7,W295),IF(AND(BW295=0,N(IFERROR(VLOOKUP(BU295,'Gebinde-Kategorie'!$A$5:$N$45,14,0),0))&gt;0),VLOOKUP(BU295,'Gebinde-Kategorie'!$A$5:$N$45,14,0)*10+Parameter!$M$23,Parameter!$M$24))</f>
        <v>155</v>
      </c>
      <c r="BZ295" s="48" t="str">
        <f aca="false">IF(AND(Parameter!$B$19="Ja",E295&lt;&gt;"",ISNUMBER(MATCH(E295,Parameter!$I$35:$I$52,0))),VLOOKUP(E295,Parameter!$I$35:$J$52,2,0),IFERROR(VLOOKUP(D295,Parameter!$A$35:$C$64,2,0),"Nein"))</f>
        <v>2+3</v>
      </c>
      <c r="CA295" s="52" t="n">
        <f aca="false">IF(BW295=0,0,IF(N(S295)&gt;0,S295,IFERROR(VLOOKUP(D295,Parameter!$A$35:$C$64,3,0)+0,0)))</f>
        <v>0</v>
      </c>
      <c r="CB295" s="48" t="n">
        <f aca="false">IF(AA295&lt;&gt;"",AA295,Z295)</f>
        <v>3</v>
      </c>
      <c r="CC295" s="48" t="str">
        <f aca="false">IF(OR(CB295=1,CB295=2,CB295=3),IF(Parameter!$E$27="Ja","LIFT",IF(CB295=1,"L1","L23")),IF(CB295="Aussen","Aussen","-"))</f>
        <v>LIFT</v>
      </c>
      <c r="CD295" s="59" t="n">
        <f aca="false">IF(N(AB295)&gt;0,AB295,0)</f>
        <v>0</v>
      </c>
      <c r="CE295" s="53" t="n">
        <f aca="false">IF(ISNUMBER(AE295),1,0)</f>
        <v>0</v>
      </c>
      <c r="CF295" s="50" t="n">
        <f aca="false">N(AE295)</f>
        <v>0</v>
      </c>
      <c r="CG295" s="50" t="n">
        <f aca="false">N(M295)+N(N295)</f>
        <v>1</v>
      </c>
      <c r="CH295" s="50" t="n">
        <f aca="false">ROUNDUP(H295/BV295,0)</f>
        <v>1</v>
      </c>
      <c r="CI295" s="50" t="n">
        <f aca="false">ROUNDUP(CF295/BV295,0)</f>
        <v>0</v>
      </c>
      <c r="CJ295" s="53" t="n">
        <f aca="false">IF(BW295=1,0,IFERROR(VLOOKUP(BU295,'Gebinde-Kategorie'!$A$5:$N$45,5,0)+0,0))</f>
        <v>11</v>
      </c>
      <c r="CK295" s="53" t="n">
        <f aca="false">IFERROR(IF(OR(CB295=1,CB295=2,CB295=3),N(INDEX(Parameter!$I$5:$I$7,CB295)),0),0)</f>
        <v>0</v>
      </c>
      <c r="CL295" s="52" t="n">
        <f aca="false">IF(AND(Parameter!$B$21="Ja",ISNUMBER(W295),N(X295)&gt;0),IFERROR(N(INDEX(Parameter!$L$5:$L$7,W295))*INDEX(Parameter!$E$5:$E$7,W295)*X295/SUMIFS($X$7:$X$1843,$W$7:$W$1843,W295),0),0)</f>
        <v>0</v>
      </c>
    </row>
    <row r="296" customFormat="false" ht="15" hidden="false" customHeight="false" outlineLevel="0" collapsed="false">
      <c r="A296" s="48" t="s">
        <v>768</v>
      </c>
      <c r="B296" s="48" t="s">
        <v>580</v>
      </c>
      <c r="C296" s="48" t="s">
        <v>168</v>
      </c>
      <c r="D296" s="48" t="s">
        <v>188</v>
      </c>
      <c r="E296" s="48"/>
      <c r="F296" s="48" t="s">
        <v>222</v>
      </c>
      <c r="G296" s="49" t="n">
        <v>738.65</v>
      </c>
      <c r="H296" s="50" t="n">
        <f aca="false">MAX(0,IF(AND(Parameter!$B$21="Ja",ISNUMBER(Y296)),Y296,IF(Parameter!$B$20="Jahresanfang 2025 + Export",BO296+BN296,BN296)))</f>
        <v>4</v>
      </c>
      <c r="I296" s="50" t="n">
        <f aca="false">H296*G296</f>
        <v>2954.6</v>
      </c>
      <c r="J296" s="50" t="n">
        <f aca="false">BQ296*Parameter!$B$18</f>
        <v>14</v>
      </c>
      <c r="K296" s="51" t="n">
        <v>4.5</v>
      </c>
      <c r="L296" s="52" t="n">
        <v>3.11111111111111</v>
      </c>
      <c r="M296" s="50" t="n">
        <v>10</v>
      </c>
      <c r="N296" s="50" t="n">
        <v>5</v>
      </c>
      <c r="O296" s="53" t="n">
        <v>28</v>
      </c>
      <c r="P296" s="48" t="s">
        <v>172</v>
      </c>
      <c r="Q296" s="50"/>
      <c r="R296" s="53" t="n">
        <f aca="false">IF(BW296=1,0,IFERROR(VLOOKUP(BU296,'Gebinde-Kategorie'!$A$5:$N$45,13,0)+0,0))</f>
        <v>26</v>
      </c>
      <c r="S296" s="54"/>
      <c r="T296" s="55" t="s">
        <v>279</v>
      </c>
      <c r="U296" s="55"/>
      <c r="V296" s="55"/>
      <c r="W296" s="48"/>
      <c r="X296" s="50"/>
      <c r="Y296" s="50"/>
      <c r="Z296" s="48" t="n">
        <f aca="false">IF(A296="","",IF(AND(Parameter!$B$21="Ja",ISNUMBER(W296)),W296,IF(BZ296="2+3",IF(ISNUMBER(SEARCH("grosser Artikel",BR296)),2,IFERROR(VLOOKUP(BU296,Parameter!$F$35:$G$64,2,0),2)),IF(OR(BZ296="Nein",BZ296=""),"-",BZ296))))</f>
        <v>3</v>
      </c>
      <c r="AA296" s="55"/>
      <c r="AB296" s="56"/>
      <c r="AC296" s="50" t="n">
        <f aca="false">AT296</f>
        <v>20</v>
      </c>
      <c r="AD296" s="50" t="n">
        <f aca="false">MAX(AT296,H296)</f>
        <v>20</v>
      </c>
      <c r="AE296" s="57"/>
      <c r="AF296" s="50" t="n">
        <f aca="false">IF(LEFT(Cockpit!$C$5,1)="A",H296,IF(CE296=1,CF296,IF(LEFT(Cockpit!$C$5,1)="B",AK296,MAX(AK296,H296))))</f>
        <v>4</v>
      </c>
      <c r="AG296" s="50" t="n">
        <f aca="false">IF(BW296=1,0,ROUNDUP(AF296/BV296,0))</f>
        <v>1</v>
      </c>
      <c r="AH296" s="52" t="n">
        <f aca="false">IF(CL296&gt;0,CL296*MAX(1,AF296/X296),IF(BW296=1,IF(AF296&lt;=0,0,CA296*MAX(1,IF(H296&gt;0,AF296/H296,1))),IF(R296&gt;0,AG296/R296,0))/MAX(0.1,N(Parameter!$M$21)))</f>
        <v>0.0384615384615385</v>
      </c>
      <c r="AI296" s="50" t="n">
        <f aca="false">AH296*BY296</f>
        <v>5.96153846153846</v>
      </c>
      <c r="AJ296" s="50" t="n">
        <f aca="false">AF296*G296</f>
        <v>2954.6</v>
      </c>
      <c r="AK296" s="50" t="n">
        <f aca="false">ROUNDUP(MAX(J296/IF(CD296&gt;0,CD296,MAX(0.1,N(Cockpit!$C$6))),CG296)/BV296,0)*BV296</f>
        <v>20</v>
      </c>
      <c r="AL296" s="51" t="n">
        <f aca="false">IF(AI296&gt;0,J296/AI296,-1)</f>
        <v>2.34838709677419</v>
      </c>
      <c r="AM296" s="51" t="n">
        <f aca="false">IF(AND(OR(CC296="L1",CC296="L23",CC296="LIFT"),AI296&gt;0),SUMIFS($AI$7:$AI$1843,$CC$7:$CC$1843,CC296,$AL$7:$AL$1843,"&gt;"&amp;AL296)+SUMIFS($AI$7:$AI$1843,$CC$7:$CC$1843,CC296,$AL$7:$AL$1843,AL296,$BT$7:$BT$1843,"&lt;="&amp;BT296),"")</f>
        <v>5619.29532967033</v>
      </c>
      <c r="AN296" s="58" t="n">
        <f aca="false">IF(AM296="",0,MAX(0,MIN(1,(IF(CC296="L1",Parameter!$H$5,IF(CC296="L23",Parameter!$H$6+Parameter!$H$7,Parameter!$H$5+Parameter!$H$6+Parameter!$H$7))-(AM296-AI296))/AI296)))</f>
        <v>1</v>
      </c>
      <c r="AO296" s="50" t="n">
        <f aca="false">IF(LEFT(Cockpit!$I$5,1)="A",H296,IF(CE296=1,CF296,IF(LEFT(Cockpit!$I$5,1)="B",AT296,MAX(AT296,H296))))</f>
        <v>20</v>
      </c>
      <c r="AP296" s="50" t="n">
        <f aca="false">IF(BW296=1,0,ROUNDUP(AO296/BV296,0))</f>
        <v>1</v>
      </c>
      <c r="AQ296" s="52" t="n">
        <f aca="false">IF(CL296&gt;0,CL296*MAX(1,AO296/X296),IF(BW296=1,IF(AO296&lt;=0,0,CA296*MAX(1,IF(H296&gt;0,AO296/H296,1))),IF(R296&gt;0,AP296/R296,0))/MAX(0.1,N(Parameter!$M$21)))</f>
        <v>0.0384615384615385</v>
      </c>
      <c r="AR296" s="50" t="n">
        <f aca="false">AQ296*BY296</f>
        <v>5.96153846153846</v>
      </c>
      <c r="AS296" s="50" t="n">
        <f aca="false">AO296*G296</f>
        <v>14773</v>
      </c>
      <c r="AT296" s="50" t="n">
        <f aca="false">ROUNDUP(MAX(J296/IF(CD296&gt;0,CD296,MAX(0.1,N(Cockpit!$I$6))),CG296)/BV296,0)*BV296</f>
        <v>20</v>
      </c>
      <c r="AU296" s="51" t="n">
        <f aca="false">IF(AR296&gt;0,J296/AR296,-1)</f>
        <v>2.34838709677419</v>
      </c>
      <c r="AV296" s="51" t="n">
        <f aca="false">IF(AND(OR(CC296="L1",CC296="L23",CC296="LIFT"),AR296&gt;0),SUMIFS($AR$7:$AR$1843,$CC$7:$CC$1843,CC296,$AU$7:$AU$1843,"&gt;"&amp;AU296)+SUMIFS($AR$7:$AR$1843,$CC$7:$CC$1843,CC296,$AU$7:$AU$1843,AU296,$BT$7:$BT$1843,"&lt;="&amp;BT296),"")</f>
        <v>6944.56456043956</v>
      </c>
      <c r="AW296" s="58" t="n">
        <f aca="false">IF(AV296="",0,MAX(0,MIN(1,(IF(CC296="L1",Parameter!$H$5,IF(CC296="L23",Parameter!$H$6+Parameter!$H$7,Parameter!$H$5+Parameter!$H$6+Parameter!$H$7))-(AV296-AR296))/AR296)))</f>
        <v>1</v>
      </c>
      <c r="AX296" s="50" t="n">
        <f aca="false">IF(LEFT(Cockpit!$O$5,1)="A",H296,IF(CE296=1,CF296,IF(LEFT(Cockpit!$O$5,1)="B",BC296,MAX(BC296,H296))))</f>
        <v>20</v>
      </c>
      <c r="AY296" s="50" t="n">
        <f aca="false">IF(BW296=1,0,ROUNDUP(AX296/BV296,0))</f>
        <v>1</v>
      </c>
      <c r="AZ296" s="52" t="n">
        <f aca="false">IF(CL296&gt;0,CL296*MAX(1,AX296/X296),IF(BW296=1,IF(AX296&lt;=0,0,CA296*MAX(1,IF(H296&gt;0,AX296/H296,1))),IF(R296&gt;0,AY296/R296,0))/MAX(0.1,N(Parameter!$M$21)))</f>
        <v>0.0384615384615385</v>
      </c>
      <c r="BA296" s="50" t="n">
        <f aca="false">AZ296*BY296</f>
        <v>5.96153846153846</v>
      </c>
      <c r="BB296" s="50" t="n">
        <f aca="false">AX296*G296</f>
        <v>14773</v>
      </c>
      <c r="BC296" s="50" t="n">
        <f aca="false">ROUNDUP(MAX(J296/IF(CD296&gt;0,CD296,MAX(0.1,N(Cockpit!$O$6))),CG296)/BV296,0)*BV296</f>
        <v>20</v>
      </c>
      <c r="BD296" s="51" t="n">
        <f aca="false">IF(BA296&gt;0,J296/BA296,-1)</f>
        <v>2.34838709677419</v>
      </c>
      <c r="BE296" s="51" t="n">
        <f aca="false">IF(AND(OR(CC296="L1",CC296="L23",CC296="LIFT"),BA296&gt;0),SUMIFS($BA$7:$BA$1843,$CC$7:$CC$1843,CC296,$BD$7:$BD$1843,"&gt;"&amp;BD296)+SUMIFS($BA$7:$BA$1843,$CC$7:$CC$1843,CC296,$BD$7:$BD$1843,BD296,$BT$7:$BT$1843,"&lt;="&amp;BT296),"")</f>
        <v>6713.13827838828</v>
      </c>
      <c r="BF296" s="58" t="n">
        <f aca="false">IF(BE296="",0,MAX(0,MIN(1,(IF(CC296="L1",Parameter!$H$5,IF(CC296="L23",Parameter!$H$6+Parameter!$H$7,Parameter!$H$5+Parameter!$H$6+Parameter!$H$7))-(BE296-BA296))/BA296)))</f>
        <v>1</v>
      </c>
      <c r="BG296" s="48" t="str">
        <f aca="false">IF(AI296&lt;=0,"",IF(CC296="Aussen","Aussenlager",IF(CC296="-","Nicht im Lift",IF(AN296&gt;=1,"Lift",IF(AN296&lt;=0,"Aussenlager","teilweise")))))</f>
        <v>Lift</v>
      </c>
      <c r="BH296" s="48" t="str">
        <f aca="false">IF(AR296&lt;=0,"",IF(CC296="Aussen","Aussenlager",IF(CC296="-","Nicht im Lift",IF(AW296&gt;=1,"Lift",IF(AW296&lt;=0,"Aussenlager","teilweise")))))</f>
        <v>Lift</v>
      </c>
      <c r="BI296" s="48" t="str">
        <f aca="false">IF(BA296&lt;=0,"",IF(CC296="Aussen","Aussenlager",IF(CC296="-","Nicht im Lift",IF(BF296&gt;=1,"Lift",IF(BF296&lt;=0,"Aussenlager","teilweise")))))</f>
        <v>Lift</v>
      </c>
      <c r="BJ296" s="48" t="str">
        <f aca="false">IF(A296="","",IF(BS296=1,"Neu; ","")&amp;IF(AND(BS296=0,BN296&lt;0),"negativer Bestand (Export "&amp;BN296&amp;"); ","")&amp;IF(J296&lt;=0,"Kein Verbrauch; ","")&amp;IF(CL296&gt;0,"Lift "&amp;W296&amp;" lt. Liftbericht (Fach "&amp;X296&amp;" Stk); ",IF(BX296=1,"Gebinde geschätzt ("&amp;T296&amp;"); ",IF(BW296=1,"Lose – Tablare geschätzt; ","")))&amp;IF(H296&gt;AT296,"Überbestand "&amp;ROUND(H296-AT296,0)&amp;" Stk / CHF "&amp;ROUND((H296-AT296)*G296,0)&amp;"; ","")&amp;IF(AND(CE296=1,CF296&lt;CG296),"MAX &lt; MB+LG; ","")&amp;IF(AND(CK296&gt;0,CJ296*10&gt;CK296),"zu hoch für Tablar; ","")&amp;IF(AND(BS296=0,OR(CE296=1,AA296&lt;&gt;"",U296&lt;&gt;"",V296&lt;&gt;"",AB296&lt;&gt;"")),"manuell übersteuert; ","")&amp;IF(AND(BW296=0,R296=0),"Gebinde unbekannt / Stellmass fehlt; ","")&amp;IF(AND(BW296=0,N(V296)&lt;=0,N(Q296)&lt;=0),"Menge pro Gebinde fehlt (Ist = 1 Gebinde); ","")&amp;BR296)</f>
        <v>Gebinde geschätzt (Klein); Menge pro Gebinde fehlt (Ist = 1 Gebinde); </v>
      </c>
      <c r="BK296" s="48"/>
      <c r="BL296" s="48"/>
      <c r="BM296" s="55"/>
      <c r="BN296" s="50" t="n">
        <v>0</v>
      </c>
      <c r="BO296" s="50" t="n">
        <v>4</v>
      </c>
      <c r="BP296" s="49" t="n">
        <v>279.720000000003</v>
      </c>
      <c r="BQ296" s="50" t="n">
        <v>14</v>
      </c>
      <c r="BR296" s="48"/>
      <c r="BS296" s="53" t="n">
        <v>0</v>
      </c>
      <c r="BT296" s="53" t="n">
        <v>296</v>
      </c>
      <c r="BU296" s="48" t="str">
        <f aca="false">IF(U296&lt;&gt;"",UPPER(TRIM(U296)),IF(BX296=1,UPPER(VLOOKUP(T296,Parameter!$I$27:$K$29,2,0)),IF(P296="","LOSE",P296)))</f>
        <v>S51</v>
      </c>
      <c r="BV296" s="50" t="n">
        <f aca="false">IF(BU296="LOSE",1,IF(N(V296)&gt;0,V296,IF(BX296=1,MAX(1,N(VLOOKUP(T296,Parameter!$I$27:$K$29,3,0)),H296,N(N296)),IF(N(Q296)&gt;0,Q296,MAX(1,H296)))))</f>
        <v>20</v>
      </c>
      <c r="BW296" s="53" t="n">
        <f aca="false">IF(BU296="LOSE",1,0)</f>
        <v>0</v>
      </c>
      <c r="BX296" s="53" t="n">
        <f aca="false">IF(AND(U296="",OR(P296="",P296="LOSE"),T296&lt;&gt;"",N(S296)&lt;=0,ISNUMBER(MATCH(T296,Parameter!$I$27:$I$29,0))),1,0)</f>
        <v>1</v>
      </c>
      <c r="BY296" s="53" t="n">
        <f aca="false">IF(CL296&gt;0,INDEX(Parameter!$H$5:$H$7,W296)/INDEX(Parameter!$E$5:$E$7,W296),IF(AND(BW296=0,N(IFERROR(VLOOKUP(BU296,'Gebinde-Kategorie'!$A$5:$N$45,14,0),0))&gt;0),VLOOKUP(BU296,'Gebinde-Kategorie'!$A$5:$N$45,14,0)*10+Parameter!$M$23,Parameter!$M$24))</f>
        <v>155</v>
      </c>
      <c r="BZ296" s="48" t="str">
        <f aca="false">IF(AND(Parameter!$B$19="Ja",E296&lt;&gt;"",ISNUMBER(MATCH(E296,Parameter!$I$35:$I$52,0))),VLOOKUP(E296,Parameter!$I$35:$J$52,2,0),IFERROR(VLOOKUP(D296,Parameter!$A$35:$C$64,2,0),"Nein"))</f>
        <v>2+3</v>
      </c>
      <c r="CA296" s="52" t="n">
        <f aca="false">IF(BW296=0,0,IF(N(S296)&gt;0,S296,IFERROR(VLOOKUP(D296,Parameter!$A$35:$C$64,3,0)+0,0)))</f>
        <v>0</v>
      </c>
      <c r="CB296" s="48" t="n">
        <f aca="false">IF(AA296&lt;&gt;"",AA296,Z296)</f>
        <v>3</v>
      </c>
      <c r="CC296" s="48" t="str">
        <f aca="false">IF(OR(CB296=1,CB296=2,CB296=3),IF(Parameter!$E$27="Ja","LIFT",IF(CB296=1,"L1","L23")),IF(CB296="Aussen","Aussen","-"))</f>
        <v>LIFT</v>
      </c>
      <c r="CD296" s="59" t="n">
        <f aca="false">IF(N(AB296)&gt;0,AB296,0)</f>
        <v>0</v>
      </c>
      <c r="CE296" s="53" t="n">
        <f aca="false">IF(ISNUMBER(AE296),1,0)</f>
        <v>0</v>
      </c>
      <c r="CF296" s="50" t="n">
        <f aca="false">N(AE296)</f>
        <v>0</v>
      </c>
      <c r="CG296" s="50" t="n">
        <f aca="false">N(M296)+N(N296)</f>
        <v>15</v>
      </c>
      <c r="CH296" s="50" t="n">
        <f aca="false">ROUNDUP(H296/BV296,0)</f>
        <v>1</v>
      </c>
      <c r="CI296" s="50" t="n">
        <f aca="false">ROUNDUP(CF296/BV296,0)</f>
        <v>0</v>
      </c>
      <c r="CJ296" s="53" t="n">
        <f aca="false">IF(BW296=1,0,IFERROR(VLOOKUP(BU296,'Gebinde-Kategorie'!$A$5:$N$45,5,0)+0,0))</f>
        <v>11</v>
      </c>
      <c r="CK296" s="53" t="n">
        <f aca="false">IFERROR(IF(OR(CB296=1,CB296=2,CB296=3),N(INDEX(Parameter!$I$5:$I$7,CB296)),0),0)</f>
        <v>0</v>
      </c>
      <c r="CL296" s="52" t="n">
        <f aca="false">IF(AND(Parameter!$B$21="Ja",ISNUMBER(W296),N(X296)&gt;0),IFERROR(N(INDEX(Parameter!$L$5:$L$7,W296))*INDEX(Parameter!$E$5:$E$7,W296)*X296/SUMIFS($X$7:$X$1843,$W$7:$W$1843,W296),0),0)</f>
        <v>0</v>
      </c>
    </row>
    <row r="297" customFormat="false" ht="15" hidden="false" customHeight="false" outlineLevel="0" collapsed="false">
      <c r="A297" s="48" t="s">
        <v>769</v>
      </c>
      <c r="B297" s="48" t="s">
        <v>770</v>
      </c>
      <c r="C297" s="48" t="s">
        <v>168</v>
      </c>
      <c r="D297" s="48" t="s">
        <v>188</v>
      </c>
      <c r="E297" s="48" t="s">
        <v>189</v>
      </c>
      <c r="F297" s="48" t="s">
        <v>222</v>
      </c>
      <c r="G297" s="49" t="n">
        <v>29.89</v>
      </c>
      <c r="H297" s="50" t="n">
        <f aca="false">MAX(0,IF(AND(Parameter!$B$21="Ja",ISNUMBER(Y297)),Y297,IF(Parameter!$B$20="Jahresanfang 2025 + Export",BO297+BN297,BN297)))</f>
        <v>14</v>
      </c>
      <c r="I297" s="50" t="n">
        <f aca="false">H297*G297</f>
        <v>418.46</v>
      </c>
      <c r="J297" s="50" t="n">
        <f aca="false">BQ297*Parameter!$B$18</f>
        <v>2</v>
      </c>
      <c r="K297" s="51" t="n">
        <v>9</v>
      </c>
      <c r="L297" s="52" t="n">
        <v>0.222222222222222</v>
      </c>
      <c r="M297" s="50" t="n">
        <v>0</v>
      </c>
      <c r="N297" s="50" t="n">
        <v>1</v>
      </c>
      <c r="O297" s="53" t="n">
        <v>28</v>
      </c>
      <c r="P297" s="48" t="s">
        <v>480</v>
      </c>
      <c r="Q297" s="50" t="n">
        <v>12</v>
      </c>
      <c r="R297" s="53" t="n">
        <f aca="false">IF(BW297=1,0,IFERROR(VLOOKUP(BU297,'Gebinde-Kategorie'!$A$5:$N$45,13,0)+0,0))</f>
        <v>52</v>
      </c>
      <c r="S297" s="54"/>
      <c r="T297" s="55"/>
      <c r="U297" s="55"/>
      <c r="V297" s="55"/>
      <c r="W297" s="48"/>
      <c r="X297" s="50"/>
      <c r="Y297" s="50"/>
      <c r="Z297" s="48" t="n">
        <f aca="false">IF(A297="","",IF(AND(Parameter!$B$21="Ja",ISNUMBER(W297)),W297,IF(BZ297="2+3",IF(ISNUMBER(SEARCH("grosser Artikel",BR297)),2,IFERROR(VLOOKUP(BU297,Parameter!$F$35:$G$64,2,0),2)),IF(OR(BZ297="Nein",BZ297=""),"-",BZ297))))</f>
        <v>3</v>
      </c>
      <c r="AA297" s="55"/>
      <c r="AB297" s="56"/>
      <c r="AC297" s="50" t="n">
        <f aca="false">AT297</f>
        <v>12</v>
      </c>
      <c r="AD297" s="50" t="n">
        <f aca="false">MAX(AT297,H297)</f>
        <v>14</v>
      </c>
      <c r="AE297" s="57"/>
      <c r="AF297" s="50" t="n">
        <f aca="false">IF(LEFT(Cockpit!$C$5,1)="A",H297,IF(CE297=1,CF297,IF(LEFT(Cockpit!$C$5,1)="B",AK297,MAX(AK297,H297))))</f>
        <v>14</v>
      </c>
      <c r="AG297" s="50" t="n">
        <f aca="false">IF(BW297=1,0,ROUNDUP(AF297/BV297,0))</f>
        <v>2</v>
      </c>
      <c r="AH297" s="52" t="n">
        <f aca="false">IF(CL297&gt;0,CL297*MAX(1,AF297/X297),IF(BW297=1,IF(AF297&lt;=0,0,CA297*MAX(1,IF(H297&gt;0,AF297/H297,1))),IF(R297&gt;0,AG297/R297,0))/MAX(0.1,N(Parameter!$M$21)))</f>
        <v>0.0384615384615385</v>
      </c>
      <c r="AI297" s="50" t="n">
        <f aca="false">AH297*BY297</f>
        <v>5.96153846153846</v>
      </c>
      <c r="AJ297" s="50" t="n">
        <f aca="false">AF297*G297</f>
        <v>418.46</v>
      </c>
      <c r="AK297" s="50" t="n">
        <f aca="false">ROUNDUP(MAX(J297/IF(CD297&gt;0,CD297,MAX(0.1,N(Cockpit!$C$6))),CG297)/BV297,0)*BV297</f>
        <v>12</v>
      </c>
      <c r="AL297" s="51" t="n">
        <f aca="false">IF(AI297&gt;0,J297/AI297,-1)</f>
        <v>0.335483870967742</v>
      </c>
      <c r="AM297" s="51" t="n">
        <f aca="false">IF(AND(OR(CC297="L1",CC297="L23",CC297="LIFT"),AI297&gt;0),SUMIFS($AI$7:$AI$1843,$CC$7:$CC$1843,CC297,$AL$7:$AL$1843,"&gt;"&amp;AL297)+SUMIFS($AI$7:$AI$1843,$CC$7:$CC$1843,CC297,$AL$7:$AL$1843,AL297,$BT$7:$BT$1843,"&lt;="&amp;BT297),"")</f>
        <v>11174.0962702552</v>
      </c>
      <c r="AN297" s="58" t="n">
        <f aca="false">IF(AM297="",0,MAX(0,MIN(1,(IF(CC297="L1",Parameter!$H$5,IF(CC297="L23",Parameter!$H$6+Parameter!$H$7,Parameter!$H$5+Parameter!$H$6+Parameter!$H$7))-(AM297-AI297))/AI297)))</f>
        <v>1</v>
      </c>
      <c r="AO297" s="50" t="n">
        <f aca="false">IF(LEFT(Cockpit!$I$5,1)="A",H297,IF(CE297=1,CF297,IF(LEFT(Cockpit!$I$5,1)="B",AT297,MAX(AT297,H297))))</f>
        <v>14</v>
      </c>
      <c r="AP297" s="50" t="n">
        <f aca="false">IF(BW297=1,0,ROUNDUP(AO297/BV297,0))</f>
        <v>2</v>
      </c>
      <c r="AQ297" s="52" t="n">
        <f aca="false">IF(CL297&gt;0,CL297*MAX(1,AO297/X297),IF(BW297=1,IF(AO297&lt;=0,0,CA297*MAX(1,IF(H297&gt;0,AO297/H297,1))),IF(R297&gt;0,AP297/R297,0))/MAX(0.1,N(Parameter!$M$21)))</f>
        <v>0.0384615384615385</v>
      </c>
      <c r="AR297" s="50" t="n">
        <f aca="false">AQ297*BY297</f>
        <v>5.96153846153846</v>
      </c>
      <c r="AS297" s="50" t="n">
        <f aca="false">AO297*G297</f>
        <v>418.46</v>
      </c>
      <c r="AT297" s="50" t="n">
        <f aca="false">ROUNDUP(MAX(J297/IF(CD297&gt;0,CD297,MAX(0.1,N(Cockpit!$I$6))),CG297)/BV297,0)*BV297</f>
        <v>12</v>
      </c>
      <c r="AU297" s="51" t="n">
        <f aca="false">IF(AR297&gt;0,J297/AR297,-1)</f>
        <v>0.335483870967742</v>
      </c>
      <c r="AV297" s="51" t="n">
        <f aca="false">IF(AND(OR(CC297="L1",CC297="L23",CC297="LIFT"),AR297&gt;0),SUMIFS($AR$7:$AR$1843,$CC$7:$CC$1843,CC297,$AU$7:$AU$1843,"&gt;"&amp;AU297)+SUMIFS($AR$7:$AR$1843,$CC$7:$CC$1843,CC297,$AU$7:$AU$1843,AU297,$BT$7:$BT$1843,"&lt;="&amp;BT297),"")</f>
        <v>16275.9482600733</v>
      </c>
      <c r="AW297" s="58" t="n">
        <f aca="false">IF(AV297="",0,MAX(0,MIN(1,(IF(CC297="L1",Parameter!$H$5,IF(CC297="L23",Parameter!$H$6+Parameter!$H$7,Parameter!$H$5+Parameter!$H$6+Parameter!$H$7))-(AV297-AR297))/AR297)))</f>
        <v>1</v>
      </c>
      <c r="AX297" s="50" t="n">
        <f aca="false">IF(LEFT(Cockpit!$O$5,1)="A",H297,IF(CE297=1,CF297,IF(LEFT(Cockpit!$O$5,1)="B",BC297,MAX(BC297,H297))))</f>
        <v>14</v>
      </c>
      <c r="AY297" s="50" t="n">
        <f aca="false">IF(BW297=1,0,ROUNDUP(AX297/BV297,0))</f>
        <v>2</v>
      </c>
      <c r="AZ297" s="52" t="n">
        <f aca="false">IF(CL297&gt;0,CL297*MAX(1,AX297/X297),IF(BW297=1,IF(AX297&lt;=0,0,CA297*MAX(1,IF(H297&gt;0,AX297/H297,1))),IF(R297&gt;0,AY297/R297,0))/MAX(0.1,N(Parameter!$M$21)))</f>
        <v>0.0384615384615385</v>
      </c>
      <c r="BA297" s="50" t="n">
        <f aca="false">AZ297*BY297</f>
        <v>5.96153846153846</v>
      </c>
      <c r="BB297" s="50" t="n">
        <f aca="false">AX297*G297</f>
        <v>418.46</v>
      </c>
      <c r="BC297" s="50" t="n">
        <f aca="false">ROUNDUP(MAX(J297/IF(CD297&gt;0,CD297,MAX(0.1,N(Cockpit!$O$6))),CG297)/BV297,0)*BV297</f>
        <v>12</v>
      </c>
      <c r="BD297" s="51" t="n">
        <f aca="false">IF(BA297&gt;0,J297/BA297,-1)</f>
        <v>0.335483870967742</v>
      </c>
      <c r="BE297" s="51" t="n">
        <f aca="false">IF(AND(OR(CC297="L1",CC297="L23",CC297="LIFT"),BA297&gt;0),SUMIFS($BA$7:$BA$1843,$CC$7:$CC$1843,CC297,$BD$7:$BD$1843,"&gt;"&amp;BD297)+SUMIFS($BA$7:$BA$1843,$CC$7:$CC$1843,CC297,$BD$7:$BD$1843,BD297,$BT$7:$BT$1843,"&lt;="&amp;BT297),"")</f>
        <v>15026.6053113553</v>
      </c>
      <c r="BF297" s="58" t="n">
        <f aca="false">IF(BE297="",0,MAX(0,MIN(1,(IF(CC297="L1",Parameter!$H$5,IF(CC297="L23",Parameter!$H$6+Parameter!$H$7,Parameter!$H$5+Parameter!$H$6+Parameter!$H$7))-(BE297-BA297))/BA297)))</f>
        <v>1</v>
      </c>
      <c r="BG297" s="48" t="str">
        <f aca="false">IF(AI297&lt;=0,"",IF(CC297="Aussen","Aussenlager",IF(CC297="-","Nicht im Lift",IF(AN297&gt;=1,"Lift",IF(AN297&lt;=0,"Aussenlager","teilweise")))))</f>
        <v>Lift</v>
      </c>
      <c r="BH297" s="48" t="str">
        <f aca="false">IF(AR297&lt;=0,"",IF(CC297="Aussen","Aussenlager",IF(CC297="-","Nicht im Lift",IF(AW297&gt;=1,"Lift",IF(AW297&lt;=0,"Aussenlager","teilweise")))))</f>
        <v>Lift</v>
      </c>
      <c r="BI297" s="48" t="str">
        <f aca="false">IF(BA297&lt;=0,"",IF(CC297="Aussen","Aussenlager",IF(CC297="-","Nicht im Lift",IF(BF297&gt;=1,"Lift",IF(BF297&lt;=0,"Aussenlager","teilweise")))))</f>
        <v>Lift</v>
      </c>
      <c r="BJ297" s="48" t="str">
        <f aca="false">IF(A297="","",IF(BS297=1,"Neu; ","")&amp;IF(AND(BS297=0,BN297&lt;0),"negativer Bestand (Export "&amp;BN297&amp;"); ","")&amp;IF(J297&lt;=0,"Kein Verbrauch; ","")&amp;IF(CL297&gt;0,"Lift "&amp;W297&amp;" lt. Liftbericht (Fach "&amp;X297&amp;" Stk); ",IF(BX297=1,"Gebinde geschätzt ("&amp;T297&amp;"); ",IF(BW297=1,"Lose – Tablare geschätzt; ","")))&amp;IF(H297&gt;AT297,"Überbestand "&amp;ROUND(H297-AT297,0)&amp;" Stk / CHF "&amp;ROUND((H297-AT297)*G297,0)&amp;"; ","")&amp;IF(AND(CE297=1,CF297&lt;CG297),"MAX &lt; MB+LG; ","")&amp;IF(AND(CK297&gt;0,CJ297*10&gt;CK297),"zu hoch für Tablar; ","")&amp;IF(AND(BS297=0,OR(CE297=1,AA297&lt;&gt;"",U297&lt;&gt;"",V297&lt;&gt;"",AB297&lt;&gt;"")),"manuell übersteuert; ","")&amp;IF(AND(BW297=0,R297=0),"Gebinde unbekannt / Stellmass fehlt; ","")&amp;IF(AND(BW297=0,N(V297)&lt;=0,N(Q297)&lt;=0),"Menge pro Gebinde fehlt (Ist = 1 Gebinde); ","")&amp;BR297)</f>
        <v>Überbestand 2 Stk / CHF 60; </v>
      </c>
      <c r="BK297" s="48"/>
      <c r="BL297" s="48"/>
      <c r="BM297" s="55"/>
      <c r="BN297" s="50" t="n">
        <v>9</v>
      </c>
      <c r="BO297" s="50" t="n">
        <v>5</v>
      </c>
      <c r="BP297" s="49" t="n">
        <v>276.66</v>
      </c>
      <c r="BQ297" s="50" t="n">
        <v>2</v>
      </c>
      <c r="BR297" s="48"/>
      <c r="BS297" s="53" t="n">
        <v>0</v>
      </c>
      <c r="BT297" s="53" t="n">
        <v>297</v>
      </c>
      <c r="BU297" s="48" t="str">
        <f aca="false">IF(U297&lt;&gt;"",UPPER(TRIM(U297)),IF(BX297=1,UPPER(VLOOKUP(T297,Parameter!$I$27:$K$29,2,0)),IF(P297="","LOSE",P297)))</f>
        <v>S33</v>
      </c>
      <c r="BV297" s="50" t="n">
        <f aca="false">IF(BU297="LOSE",1,IF(N(V297)&gt;0,V297,IF(BX297=1,MAX(1,N(VLOOKUP(T297,Parameter!$I$27:$K$29,3,0)),H297,N(N297)),IF(N(Q297)&gt;0,Q297,MAX(1,H297)))))</f>
        <v>12</v>
      </c>
      <c r="BW297" s="53" t="n">
        <f aca="false">IF(BU297="LOSE",1,0)</f>
        <v>0</v>
      </c>
      <c r="BX297" s="53" t="n">
        <f aca="false">IF(AND(U297="",OR(P297="",P297="LOSE"),T297&lt;&gt;"",N(S297)&lt;=0,ISNUMBER(MATCH(T297,Parameter!$I$27:$I$29,0))),1,0)</f>
        <v>0</v>
      </c>
      <c r="BY297" s="53" t="n">
        <f aca="false">IF(CL297&gt;0,INDEX(Parameter!$H$5:$H$7,W297)/INDEX(Parameter!$E$5:$E$7,W297),IF(AND(BW297=0,N(IFERROR(VLOOKUP(BU297,'Gebinde-Kategorie'!$A$5:$N$45,14,0),0))&gt;0),VLOOKUP(BU297,'Gebinde-Kategorie'!$A$5:$N$45,14,0)*10+Parameter!$M$23,Parameter!$M$24))</f>
        <v>155</v>
      </c>
      <c r="BZ297" s="48" t="str">
        <f aca="false">IF(AND(Parameter!$B$19="Ja",E297&lt;&gt;"",ISNUMBER(MATCH(E297,Parameter!$I$35:$I$52,0))),VLOOKUP(E297,Parameter!$I$35:$J$52,2,0),IFERROR(VLOOKUP(D297,Parameter!$A$35:$C$64,2,0),"Nein"))</f>
        <v>2+3</v>
      </c>
      <c r="CA297" s="52" t="n">
        <f aca="false">IF(BW297=0,0,IF(N(S297)&gt;0,S297,IFERROR(VLOOKUP(D297,Parameter!$A$35:$C$64,3,0)+0,0)))</f>
        <v>0</v>
      </c>
      <c r="CB297" s="48" t="n">
        <f aca="false">IF(AA297&lt;&gt;"",AA297,Z297)</f>
        <v>3</v>
      </c>
      <c r="CC297" s="48" t="str">
        <f aca="false">IF(OR(CB297=1,CB297=2,CB297=3),IF(Parameter!$E$27="Ja","LIFT",IF(CB297=1,"L1","L23")),IF(CB297="Aussen","Aussen","-"))</f>
        <v>LIFT</v>
      </c>
      <c r="CD297" s="59" t="n">
        <f aca="false">IF(N(AB297)&gt;0,AB297,0)</f>
        <v>0</v>
      </c>
      <c r="CE297" s="53" t="n">
        <f aca="false">IF(ISNUMBER(AE297),1,0)</f>
        <v>0</v>
      </c>
      <c r="CF297" s="50" t="n">
        <f aca="false">N(AE297)</f>
        <v>0</v>
      </c>
      <c r="CG297" s="50" t="n">
        <f aca="false">N(M297)+N(N297)</f>
        <v>1</v>
      </c>
      <c r="CH297" s="50" t="n">
        <f aca="false">ROUNDUP(H297/BV297,0)</f>
        <v>2</v>
      </c>
      <c r="CI297" s="50" t="n">
        <f aca="false">ROUNDUP(CF297/BV297,0)</f>
        <v>0</v>
      </c>
      <c r="CJ297" s="53" t="n">
        <f aca="false">IF(BW297=1,0,IFERROR(VLOOKUP(BU297,'Gebinde-Kategorie'!$A$5:$N$45,5,0)+0,0))</f>
        <v>8</v>
      </c>
      <c r="CK297" s="53" t="n">
        <f aca="false">IFERROR(IF(OR(CB297=1,CB297=2,CB297=3),N(INDEX(Parameter!$I$5:$I$7,CB297)),0),0)</f>
        <v>0</v>
      </c>
      <c r="CL297" s="52" t="n">
        <f aca="false">IF(AND(Parameter!$B$21="Ja",ISNUMBER(W297),N(X297)&gt;0),IFERROR(N(INDEX(Parameter!$L$5:$L$7,W297))*INDEX(Parameter!$E$5:$E$7,W297)*X297/SUMIFS($X$7:$X$1843,$W$7:$W$1843,W297),0),0)</f>
        <v>0</v>
      </c>
    </row>
    <row r="298" customFormat="false" ht="15" hidden="false" customHeight="false" outlineLevel="0" collapsed="false">
      <c r="A298" s="48" t="s">
        <v>771</v>
      </c>
      <c r="B298" s="48" t="s">
        <v>772</v>
      </c>
      <c r="C298" s="48" t="s">
        <v>168</v>
      </c>
      <c r="D298" s="48" t="s">
        <v>188</v>
      </c>
      <c r="E298" s="48" t="s">
        <v>189</v>
      </c>
      <c r="F298" s="48" t="s">
        <v>222</v>
      </c>
      <c r="G298" s="49" t="n">
        <v>21.27</v>
      </c>
      <c r="H298" s="50" t="n">
        <f aca="false">MAX(0,IF(AND(Parameter!$B$21="Ja",ISNUMBER(Y298)),Y298,IF(Parameter!$B$20="Jahresanfang 2025 + Export",BO298+BN298,BN298)))</f>
        <v>43</v>
      </c>
      <c r="I298" s="50" t="n">
        <f aca="false">H298*G298</f>
        <v>914.61</v>
      </c>
      <c r="J298" s="50" t="n">
        <f aca="false">BQ298*Parameter!$B$18</f>
        <v>0</v>
      </c>
      <c r="K298" s="51" t="n">
        <v>36.5</v>
      </c>
      <c r="L298" s="52" t="n">
        <v>0</v>
      </c>
      <c r="M298" s="50" t="n">
        <v>0</v>
      </c>
      <c r="N298" s="50" t="n">
        <v>1</v>
      </c>
      <c r="O298" s="53" t="n">
        <v>28</v>
      </c>
      <c r="P298" s="48" t="s">
        <v>297</v>
      </c>
      <c r="Q298" s="50" t="n">
        <v>32</v>
      </c>
      <c r="R298" s="53" t="n">
        <f aca="false">IF(BW298=1,0,IFERROR(VLOOKUP(BU298,'Gebinde-Kategorie'!$A$5:$N$45,13,0)+0,0))</f>
        <v>12</v>
      </c>
      <c r="S298" s="54"/>
      <c r="T298" s="55"/>
      <c r="U298" s="55"/>
      <c r="V298" s="55"/>
      <c r="W298" s="48"/>
      <c r="X298" s="50"/>
      <c r="Y298" s="50"/>
      <c r="Z298" s="48" t="n">
        <f aca="false">IF(A298="","",IF(AND(Parameter!$B$21="Ja",ISNUMBER(W298)),W298,IF(BZ298="2+3",IF(ISNUMBER(SEARCH("grosser Artikel",BR298)),2,IFERROR(VLOOKUP(BU298,Parameter!$F$35:$G$64,2,0),2)),IF(OR(BZ298="Nein",BZ298=""),"-",BZ298))))</f>
        <v>2</v>
      </c>
      <c r="AA298" s="55"/>
      <c r="AB298" s="56"/>
      <c r="AC298" s="50" t="n">
        <f aca="false">AT298</f>
        <v>32</v>
      </c>
      <c r="AD298" s="50" t="n">
        <f aca="false">MAX(AT298,H298)</f>
        <v>43</v>
      </c>
      <c r="AE298" s="57"/>
      <c r="AF298" s="50" t="n">
        <f aca="false">IF(LEFT(Cockpit!$C$5,1)="A",H298,IF(CE298=1,CF298,IF(LEFT(Cockpit!$C$5,1)="B",AK298,MAX(AK298,H298))))</f>
        <v>43</v>
      </c>
      <c r="AG298" s="50" t="n">
        <f aca="false">IF(BW298=1,0,ROUNDUP(AF298/BV298,0))</f>
        <v>2</v>
      </c>
      <c r="AH298" s="52" t="n">
        <f aca="false">IF(CL298&gt;0,CL298*MAX(1,AF298/X298),IF(BW298=1,IF(AF298&lt;=0,0,CA298*MAX(1,IF(H298&gt;0,AF298/H298,1))),IF(R298&gt;0,AG298/R298,0))/MAX(0.1,N(Parameter!$M$21)))</f>
        <v>0.166666666666667</v>
      </c>
      <c r="AI298" s="50" t="n">
        <f aca="false">AH298*BY298</f>
        <v>40.8333333333333</v>
      </c>
      <c r="AJ298" s="50" t="n">
        <f aca="false">AF298*G298</f>
        <v>914.61</v>
      </c>
      <c r="AK298" s="50" t="n">
        <f aca="false">ROUNDUP(MAX(J298/IF(CD298&gt;0,CD298,MAX(0.1,N(Cockpit!$C$6))),CG298)/BV298,0)*BV298</f>
        <v>32</v>
      </c>
      <c r="AL298" s="51" t="n">
        <f aca="false">IF(AI298&gt;0,J298/AI298,-1)</f>
        <v>0</v>
      </c>
      <c r="AM298" s="51" t="n">
        <f aca="false">IF(AND(OR(CC298="L1",CC298="L23",CC298="LIFT"),AI298&gt;0),SUMIFS($AI$7:$AI$1843,$CC$7:$CC$1843,CC298,$AL$7:$AL$1843,"&gt;"&amp;AL298)+SUMIFS($AI$7:$AI$1843,$CC$7:$CC$1843,CC298,$AL$7:$AL$1843,AL298,$BT$7:$BT$1843,"&lt;="&amp;BT298),"")</f>
        <v>27864.6114318826</v>
      </c>
      <c r="AN298" s="58" t="n">
        <f aca="false">IF(AM298="",0,MAX(0,MIN(1,(IF(CC298="L1",Parameter!$H$5,IF(CC298="L23",Parameter!$H$6+Parameter!$H$7,Parameter!$H$5+Parameter!$H$6+Parameter!$H$7))-(AM298-AI298))/AI298)))</f>
        <v>1</v>
      </c>
      <c r="AO298" s="50" t="n">
        <f aca="false">IF(LEFT(Cockpit!$I$5,1)="A",H298,IF(CE298=1,CF298,IF(LEFT(Cockpit!$I$5,1)="B",AT298,MAX(AT298,H298))))</f>
        <v>43</v>
      </c>
      <c r="AP298" s="50" t="n">
        <f aca="false">IF(BW298=1,0,ROUNDUP(AO298/BV298,0))</f>
        <v>2</v>
      </c>
      <c r="AQ298" s="52" t="n">
        <f aca="false">IF(CL298&gt;0,CL298*MAX(1,AO298/X298),IF(BW298=1,IF(AO298&lt;=0,0,CA298*MAX(1,IF(H298&gt;0,AO298/H298,1))),IF(R298&gt;0,AP298/R298,0))/MAX(0.1,N(Parameter!$M$21)))</f>
        <v>0.166666666666667</v>
      </c>
      <c r="AR298" s="50" t="n">
        <f aca="false">AQ298*BY298</f>
        <v>40.8333333333333</v>
      </c>
      <c r="AS298" s="50" t="n">
        <f aca="false">AO298*G298</f>
        <v>914.61</v>
      </c>
      <c r="AT298" s="50" t="n">
        <f aca="false">ROUNDUP(MAX(J298/IF(CD298&gt;0,CD298,MAX(0.1,N(Cockpit!$I$6))),CG298)/BV298,0)*BV298</f>
        <v>32</v>
      </c>
      <c r="AU298" s="51" t="n">
        <f aca="false">IF(AR298&gt;0,J298/AR298,-1)</f>
        <v>0</v>
      </c>
      <c r="AV298" s="51" t="n">
        <f aca="false">IF(AND(OR(CC298="L1",CC298="L23",CC298="LIFT"),AR298&gt;0),SUMIFS($AR$7:$AR$1843,$CC$7:$CC$1843,CC298,$AU$7:$AU$1843,"&gt;"&amp;AU298)+SUMIFS($AR$7:$AR$1843,$CC$7:$CC$1843,CC298,$AU$7:$AU$1843,AU298,$BT$7:$BT$1843,"&lt;="&amp;BT298),"")</f>
        <v>39177.5169491525</v>
      </c>
      <c r="AW298" s="58" t="n">
        <f aca="false">IF(AV298="",0,MAX(0,MIN(1,(IF(CC298="L1",Parameter!$H$5,IF(CC298="L23",Parameter!$H$6+Parameter!$H$7,Parameter!$H$5+Parameter!$H$6+Parameter!$H$7))-(AV298-AR298))/AR298)))</f>
        <v>0</v>
      </c>
      <c r="AX298" s="50" t="n">
        <f aca="false">IF(LEFT(Cockpit!$O$5,1)="A",H298,IF(CE298=1,CF298,IF(LEFT(Cockpit!$O$5,1)="B",BC298,MAX(BC298,H298))))</f>
        <v>43</v>
      </c>
      <c r="AY298" s="50" t="n">
        <f aca="false">IF(BW298=1,0,ROUNDUP(AX298/BV298,0))</f>
        <v>2</v>
      </c>
      <c r="AZ298" s="52" t="n">
        <f aca="false">IF(CL298&gt;0,CL298*MAX(1,AX298/X298),IF(BW298=1,IF(AX298&lt;=0,0,CA298*MAX(1,IF(H298&gt;0,AX298/H298,1))),IF(R298&gt;0,AY298/R298,0))/MAX(0.1,N(Parameter!$M$21)))</f>
        <v>0.166666666666667</v>
      </c>
      <c r="BA298" s="50" t="n">
        <f aca="false">AZ298*BY298</f>
        <v>40.8333333333333</v>
      </c>
      <c r="BB298" s="50" t="n">
        <f aca="false">AX298*G298</f>
        <v>914.61</v>
      </c>
      <c r="BC298" s="50" t="n">
        <f aca="false">ROUNDUP(MAX(J298/IF(CD298&gt;0,CD298,MAX(0.1,N(Cockpit!$O$6))),CG298)/BV298,0)*BV298</f>
        <v>32</v>
      </c>
      <c r="BD298" s="51" t="n">
        <f aca="false">IF(BA298&gt;0,J298/BA298,-1)</f>
        <v>0</v>
      </c>
      <c r="BE298" s="51" t="n">
        <f aca="false">IF(AND(OR(CC298="L1",CC298="L23",CC298="LIFT"),BA298&gt;0),SUMIFS($BA$7:$BA$1843,$CC$7:$CC$1843,CC298,$BD$7:$BD$1843,"&gt;"&amp;BD298)+SUMIFS($BA$7:$BA$1843,$CC$7:$CC$1843,CC298,$BD$7:$BD$1843,BD298,$BT$7:$BT$1843,"&lt;="&amp;BT298),"")</f>
        <v>35852.5289910184</v>
      </c>
      <c r="BF298" s="58" t="n">
        <f aca="false">IF(BE298="",0,MAX(0,MIN(1,(IF(CC298="L1",Parameter!$H$5,IF(CC298="L23",Parameter!$H$6+Parameter!$H$7,Parameter!$H$5+Parameter!$H$6+Parameter!$H$7))-(BE298-BA298))/BA298)))</f>
        <v>0</v>
      </c>
      <c r="BG298" s="48" t="str">
        <f aca="false">IF(AI298&lt;=0,"",IF(CC298="Aussen","Aussenlager",IF(CC298="-","Nicht im Lift",IF(AN298&gt;=1,"Lift",IF(AN298&lt;=0,"Aussenlager","teilweise")))))</f>
        <v>Lift</v>
      </c>
      <c r="BH298" s="48" t="str">
        <f aca="false">IF(AR298&lt;=0,"",IF(CC298="Aussen","Aussenlager",IF(CC298="-","Nicht im Lift",IF(AW298&gt;=1,"Lift",IF(AW298&lt;=0,"Aussenlager","teilweise")))))</f>
        <v>Aussenlager</v>
      </c>
      <c r="BI298" s="48" t="str">
        <f aca="false">IF(BA298&lt;=0,"",IF(CC298="Aussen","Aussenlager",IF(CC298="-","Nicht im Lift",IF(BF298&gt;=1,"Lift",IF(BF298&lt;=0,"Aussenlager","teilweise")))))</f>
        <v>Aussenlager</v>
      </c>
      <c r="BJ298" s="48" t="str">
        <f aca="false">IF(A298="","",IF(BS298=1,"Neu; ","")&amp;IF(AND(BS298=0,BN298&lt;0),"negativer Bestand (Export "&amp;BN298&amp;"); ","")&amp;IF(J298&lt;=0,"Kein Verbrauch; ","")&amp;IF(CL298&gt;0,"Lift "&amp;W298&amp;" lt. Liftbericht (Fach "&amp;X298&amp;" Stk); ",IF(BX298=1,"Gebinde geschätzt ("&amp;T298&amp;"); ",IF(BW298=1,"Lose – Tablare geschätzt; ","")))&amp;IF(H298&gt;AT298,"Überbestand "&amp;ROUND(H298-AT298,0)&amp;" Stk / CHF "&amp;ROUND((H298-AT298)*G298,0)&amp;"; ","")&amp;IF(AND(CE298=1,CF298&lt;CG298),"MAX &lt; MB+LG; ","")&amp;IF(AND(CK298&gt;0,CJ298*10&gt;CK298),"zu hoch für Tablar; ","")&amp;IF(AND(BS298=0,OR(CE298=1,AA298&lt;&gt;"",U298&lt;&gt;"",V298&lt;&gt;"",AB298&lt;&gt;"")),"manuell übersteuert; ","")&amp;IF(AND(BW298=0,R298=0),"Gebinde unbekannt / Stellmass fehlt; ","")&amp;IF(AND(BW298=0,N(V298)&lt;=0,N(Q298)&lt;=0),"Menge pro Gebinde fehlt (Ist = 1 Gebinde); ","")&amp;BR298)</f>
        <v>Kein Verbrauch; Überbestand 11 Stk / CHF 234; </v>
      </c>
      <c r="BK298" s="48"/>
      <c r="BL298" s="48"/>
      <c r="BM298" s="55"/>
      <c r="BN298" s="50" t="n">
        <v>13</v>
      </c>
      <c r="BO298" s="50" t="n">
        <v>30</v>
      </c>
      <c r="BP298" s="49" t="n">
        <v>276.51</v>
      </c>
      <c r="BQ298" s="50" t="n">
        <v>0</v>
      </c>
      <c r="BR298" s="48"/>
      <c r="BS298" s="53" t="n">
        <v>0</v>
      </c>
      <c r="BT298" s="53" t="n">
        <v>298</v>
      </c>
      <c r="BU298" s="48" t="str">
        <f aca="false">IF(U298&lt;&gt;"",UPPER(TRIM(U298)),IF(BX298=1,UPPER(VLOOKUP(T298,Parameter!$I$27:$K$29,2,0)),IF(P298="","LOSE",P298)))</f>
        <v>S62</v>
      </c>
      <c r="BV298" s="50" t="n">
        <f aca="false">IF(BU298="LOSE",1,IF(N(V298)&gt;0,V298,IF(BX298=1,MAX(1,N(VLOOKUP(T298,Parameter!$I$27:$K$29,3,0)),H298,N(N298)),IF(N(Q298)&gt;0,Q298,MAX(1,H298)))))</f>
        <v>32</v>
      </c>
      <c r="BW298" s="53" t="n">
        <f aca="false">IF(BU298="LOSE",1,0)</f>
        <v>0</v>
      </c>
      <c r="BX298" s="53" t="n">
        <f aca="false">IF(AND(U298="",OR(P298="",P298="LOSE"),T298&lt;&gt;"",N(S298)&lt;=0,ISNUMBER(MATCH(T298,Parameter!$I$27:$I$29,0))),1,0)</f>
        <v>0</v>
      </c>
      <c r="BY298" s="53" t="n">
        <f aca="false">IF(CL298&gt;0,INDEX(Parameter!$H$5:$H$7,W298)/INDEX(Parameter!$E$5:$E$7,W298),IF(AND(BW298=0,N(IFERROR(VLOOKUP(BU298,'Gebinde-Kategorie'!$A$5:$N$45,14,0),0))&gt;0),VLOOKUP(BU298,'Gebinde-Kategorie'!$A$5:$N$45,14,0)*10+Parameter!$M$23,Parameter!$M$24))</f>
        <v>245</v>
      </c>
      <c r="BZ298" s="48" t="str">
        <f aca="false">IF(AND(Parameter!$B$19="Ja",E298&lt;&gt;"",ISNUMBER(MATCH(E298,Parameter!$I$35:$I$52,0))),VLOOKUP(E298,Parameter!$I$35:$J$52,2,0),IFERROR(VLOOKUP(D298,Parameter!$A$35:$C$64,2,0),"Nein"))</f>
        <v>2+3</v>
      </c>
      <c r="CA298" s="52" t="n">
        <f aca="false">IF(BW298=0,0,IF(N(S298)&gt;0,S298,IFERROR(VLOOKUP(D298,Parameter!$A$35:$C$64,3,0)+0,0)))</f>
        <v>0</v>
      </c>
      <c r="CB298" s="48" t="n">
        <f aca="false">IF(AA298&lt;&gt;"",AA298,Z298)</f>
        <v>2</v>
      </c>
      <c r="CC298" s="48" t="str">
        <f aca="false">IF(OR(CB298=1,CB298=2,CB298=3),IF(Parameter!$E$27="Ja","LIFT",IF(CB298=1,"L1","L23")),IF(CB298="Aussen","Aussen","-"))</f>
        <v>LIFT</v>
      </c>
      <c r="CD298" s="59" t="n">
        <f aca="false">IF(N(AB298)&gt;0,AB298,0)</f>
        <v>0</v>
      </c>
      <c r="CE298" s="53" t="n">
        <f aca="false">IF(ISNUMBER(AE298),1,0)</f>
        <v>0</v>
      </c>
      <c r="CF298" s="50" t="n">
        <f aca="false">N(AE298)</f>
        <v>0</v>
      </c>
      <c r="CG298" s="50" t="n">
        <f aca="false">N(M298)+N(N298)</f>
        <v>1</v>
      </c>
      <c r="CH298" s="50" t="n">
        <f aca="false">ROUNDUP(H298/BV298,0)</f>
        <v>2</v>
      </c>
      <c r="CI298" s="50" t="n">
        <f aca="false">ROUNDUP(CF298/BV298,0)</f>
        <v>0</v>
      </c>
      <c r="CJ298" s="53" t="n">
        <f aca="false">IF(BW298=1,0,IFERROR(VLOOKUP(BU298,'Gebinde-Kategorie'!$A$5:$N$45,5,0)+0,0))</f>
        <v>21</v>
      </c>
      <c r="CK298" s="53" t="n">
        <f aca="false">IFERROR(IF(OR(CB298=1,CB298=2,CB298=3),N(INDEX(Parameter!$I$5:$I$7,CB298)),0),0)</f>
        <v>0</v>
      </c>
      <c r="CL298" s="52" t="n">
        <f aca="false">IF(AND(Parameter!$B$21="Ja",ISNUMBER(W298),N(X298)&gt;0),IFERROR(N(INDEX(Parameter!$L$5:$L$7,W298))*INDEX(Parameter!$E$5:$E$7,W298)*X298/SUMIFS($X$7:$X$1843,$W$7:$W$1843,W298),0),0)</f>
        <v>0</v>
      </c>
    </row>
    <row r="299" customFormat="false" ht="15" hidden="false" customHeight="false" outlineLevel="0" collapsed="false">
      <c r="A299" s="48" t="s">
        <v>773</v>
      </c>
      <c r="B299" s="48" t="s">
        <v>577</v>
      </c>
      <c r="C299" s="48" t="s">
        <v>168</v>
      </c>
      <c r="D299" s="48" t="s">
        <v>177</v>
      </c>
      <c r="E299" s="48" t="s">
        <v>189</v>
      </c>
      <c r="F299" s="48" t="s">
        <v>222</v>
      </c>
      <c r="G299" s="49" t="n">
        <v>86.22</v>
      </c>
      <c r="H299" s="50" t="n">
        <f aca="false">MAX(0,IF(AND(Parameter!$B$21="Ja",ISNUMBER(Y299)),Y299,IF(Parameter!$B$20="Jahresanfang 2025 + Export",BO299+BN299,BN299)))</f>
        <v>22</v>
      </c>
      <c r="I299" s="50" t="n">
        <f aca="false">H299*G299</f>
        <v>1896.84</v>
      </c>
      <c r="J299" s="50" t="n">
        <f aca="false">BQ299*Parameter!$B$18</f>
        <v>69</v>
      </c>
      <c r="K299" s="51" t="n">
        <v>13</v>
      </c>
      <c r="L299" s="52" t="n">
        <v>5.30769230769231</v>
      </c>
      <c r="M299" s="50" t="n">
        <v>4</v>
      </c>
      <c r="N299" s="50" t="n">
        <v>20</v>
      </c>
      <c r="O299" s="53" t="n">
        <v>21</v>
      </c>
      <c r="P299" s="48" t="s">
        <v>230</v>
      </c>
      <c r="Q299" s="50" t="n">
        <v>33</v>
      </c>
      <c r="R299" s="53" t="n">
        <f aca="false">IF(BW299=1,0,IFERROR(VLOOKUP(BU299,'Gebinde-Kategorie'!$A$5:$N$45,13,0)+0,0))</f>
        <v>12</v>
      </c>
      <c r="S299" s="54"/>
      <c r="T299" s="55"/>
      <c r="U299" s="55"/>
      <c r="V299" s="55"/>
      <c r="W299" s="48"/>
      <c r="X299" s="50"/>
      <c r="Y299" s="50"/>
      <c r="Z299" s="48" t="n">
        <f aca="false">IF(A299="","",IF(AND(Parameter!$B$21="Ja",ISNUMBER(W299)),W299,IF(BZ299="2+3",IF(ISNUMBER(SEARCH("grosser Artikel",BR299)),2,IFERROR(VLOOKUP(BU299,Parameter!$F$35:$G$64,2,0),2)),IF(OR(BZ299="Nein",BZ299=""),"-",BZ299))))</f>
        <v>2</v>
      </c>
      <c r="AA299" s="55"/>
      <c r="AB299" s="56"/>
      <c r="AC299" s="50" t="n">
        <f aca="false">AT299</f>
        <v>66</v>
      </c>
      <c r="AD299" s="50" t="n">
        <f aca="false">MAX(AT299,H299)</f>
        <v>66</v>
      </c>
      <c r="AE299" s="57"/>
      <c r="AF299" s="50" t="n">
        <f aca="false">IF(LEFT(Cockpit!$C$5,1)="A",H299,IF(CE299=1,CF299,IF(LEFT(Cockpit!$C$5,1)="B",AK299,MAX(AK299,H299))))</f>
        <v>22</v>
      </c>
      <c r="AG299" s="50" t="n">
        <f aca="false">IF(BW299=1,0,ROUNDUP(AF299/BV299,0))</f>
        <v>1</v>
      </c>
      <c r="AH299" s="52" t="n">
        <f aca="false">IF(CL299&gt;0,CL299*MAX(1,AF299/X299),IF(BW299=1,IF(AF299&lt;=0,0,CA299*MAX(1,IF(H299&gt;0,AF299/H299,1))),IF(R299&gt;0,AG299/R299,0))/MAX(0.1,N(Parameter!$M$21)))</f>
        <v>0.0833333333333333</v>
      </c>
      <c r="AI299" s="50" t="n">
        <f aca="false">AH299*BY299</f>
        <v>28.75</v>
      </c>
      <c r="AJ299" s="50" t="n">
        <f aca="false">AF299*G299</f>
        <v>1896.84</v>
      </c>
      <c r="AK299" s="50" t="n">
        <f aca="false">ROUNDUP(MAX(J299/IF(CD299&gt;0,CD299,MAX(0.1,N(Cockpit!$C$6))),CG299)/BV299,0)*BV299</f>
        <v>66</v>
      </c>
      <c r="AL299" s="51" t="n">
        <f aca="false">IF(AI299&gt;0,J299/AI299,-1)</f>
        <v>2.4</v>
      </c>
      <c r="AM299" s="51" t="n">
        <f aca="false">IF(AND(OR(CC299="L1",CC299="L23",CC299="LIFT"),AI299&gt;0),SUMIFS($AI$7:$AI$1843,$CC$7:$CC$1843,CC299,$AL$7:$AL$1843,"&gt;"&amp;AL299)+SUMIFS($AI$7:$AI$1843,$CC$7:$CC$1843,CC299,$AL$7:$AL$1843,AL299,$BT$7:$BT$1843,"&lt;="&amp;BT299),"")</f>
        <v>5601.25045787546</v>
      </c>
      <c r="AN299" s="58" t="n">
        <f aca="false">IF(AM299="",0,MAX(0,MIN(1,(IF(CC299="L1",Parameter!$H$5,IF(CC299="L23",Parameter!$H$6+Parameter!$H$7,Parameter!$H$5+Parameter!$H$6+Parameter!$H$7))-(AM299-AI299))/AI299)))</f>
        <v>1</v>
      </c>
      <c r="AO299" s="50" t="n">
        <f aca="false">IF(LEFT(Cockpit!$I$5,1)="A",H299,IF(CE299=1,CF299,IF(LEFT(Cockpit!$I$5,1)="B",AT299,MAX(AT299,H299))))</f>
        <v>66</v>
      </c>
      <c r="AP299" s="50" t="n">
        <f aca="false">IF(BW299=1,0,ROUNDUP(AO299/BV299,0))</f>
        <v>2</v>
      </c>
      <c r="AQ299" s="52" t="n">
        <f aca="false">IF(CL299&gt;0,CL299*MAX(1,AO299/X299),IF(BW299=1,IF(AO299&lt;=0,0,CA299*MAX(1,IF(H299&gt;0,AO299/H299,1))),IF(R299&gt;0,AP299/R299,0))/MAX(0.1,N(Parameter!$M$21)))</f>
        <v>0.166666666666667</v>
      </c>
      <c r="AR299" s="50" t="n">
        <f aca="false">AQ299*BY299</f>
        <v>57.5</v>
      </c>
      <c r="AS299" s="50" t="n">
        <f aca="false">AO299*G299</f>
        <v>5690.52</v>
      </c>
      <c r="AT299" s="50" t="n">
        <f aca="false">ROUNDUP(MAX(J299/IF(CD299&gt;0,CD299,MAX(0.1,N(Cockpit!$I$6))),CG299)/BV299,0)*BV299</f>
        <v>66</v>
      </c>
      <c r="AU299" s="51" t="n">
        <f aca="false">IF(AR299&gt;0,J299/AR299,-1)</f>
        <v>1.2</v>
      </c>
      <c r="AV299" s="51" t="n">
        <f aca="false">IF(AND(OR(CC299="L1",CC299="L23",CC299="LIFT"),AR299&gt;0),SUMIFS($AR$7:$AR$1843,$CC$7:$CC$1843,CC299,$AU$7:$AU$1843,"&gt;"&amp;AU299)+SUMIFS($AR$7:$AR$1843,$CC$7:$CC$1843,CC299,$AU$7:$AU$1843,AU299,$BT$7:$BT$1843,"&lt;="&amp;BT299),"")</f>
        <v>9803.20604395605</v>
      </c>
      <c r="AW299" s="58" t="n">
        <f aca="false">IF(AV299="",0,MAX(0,MIN(1,(IF(CC299="L1",Parameter!$H$5,IF(CC299="L23",Parameter!$H$6+Parameter!$H$7,Parameter!$H$5+Parameter!$H$6+Parameter!$H$7))-(AV299-AR299))/AR299)))</f>
        <v>1</v>
      </c>
      <c r="AX299" s="50" t="n">
        <f aca="false">IF(LEFT(Cockpit!$O$5,1)="A",H299,IF(CE299=1,CF299,IF(LEFT(Cockpit!$O$5,1)="B",BC299,MAX(BC299,H299))))</f>
        <v>33</v>
      </c>
      <c r="AY299" s="50" t="n">
        <f aca="false">IF(BW299=1,0,ROUNDUP(AX299/BV299,0))</f>
        <v>1</v>
      </c>
      <c r="AZ299" s="52" t="n">
        <f aca="false">IF(CL299&gt;0,CL299*MAX(1,AX299/X299),IF(BW299=1,IF(AX299&lt;=0,0,CA299*MAX(1,IF(H299&gt;0,AX299/H299,1))),IF(R299&gt;0,AY299/R299,0))/MAX(0.1,N(Parameter!$M$21)))</f>
        <v>0.0833333333333333</v>
      </c>
      <c r="BA299" s="50" t="n">
        <f aca="false">AZ299*BY299</f>
        <v>28.75</v>
      </c>
      <c r="BB299" s="50" t="n">
        <f aca="false">AX299*G299</f>
        <v>2845.26</v>
      </c>
      <c r="BC299" s="50" t="n">
        <f aca="false">ROUNDUP(MAX(J299/IF(CD299&gt;0,CD299,MAX(0.1,N(Cockpit!$O$6))),CG299)/BV299,0)*BV299</f>
        <v>33</v>
      </c>
      <c r="BD299" s="51" t="n">
        <f aca="false">IF(BA299&gt;0,J299/BA299,-1)</f>
        <v>2.4</v>
      </c>
      <c r="BE299" s="51" t="n">
        <f aca="false">IF(AND(OR(CC299="L1",CC299="L23",CC299="LIFT"),BA299&gt;0),SUMIFS($BA$7:$BA$1843,$CC$7:$CC$1843,CC299,$BD$7:$BD$1843,"&gt;"&amp;BD299)+SUMIFS($BA$7:$BA$1843,$CC$7:$CC$1843,CC299,$BD$7:$BD$1843,BD299,$BT$7:$BT$1843,"&lt;="&amp;BT299),"")</f>
        <v>6707.17673992674</v>
      </c>
      <c r="BF299" s="58" t="n">
        <f aca="false">IF(BE299="",0,MAX(0,MIN(1,(IF(CC299="L1",Parameter!$H$5,IF(CC299="L23",Parameter!$H$6+Parameter!$H$7,Parameter!$H$5+Parameter!$H$6+Parameter!$H$7))-(BE299-BA299))/BA299)))</f>
        <v>1</v>
      </c>
      <c r="BG299" s="48" t="str">
        <f aca="false">IF(AI299&lt;=0,"",IF(CC299="Aussen","Aussenlager",IF(CC299="-","Nicht im Lift",IF(AN299&gt;=1,"Lift",IF(AN299&lt;=0,"Aussenlager","teilweise")))))</f>
        <v>Lift</v>
      </c>
      <c r="BH299" s="48" t="str">
        <f aca="false">IF(AR299&lt;=0,"",IF(CC299="Aussen","Aussenlager",IF(CC299="-","Nicht im Lift",IF(AW299&gt;=1,"Lift",IF(AW299&lt;=0,"Aussenlager","teilweise")))))</f>
        <v>Lift</v>
      </c>
      <c r="BI299" s="48" t="str">
        <f aca="false">IF(BA299&lt;=0,"",IF(CC299="Aussen","Aussenlager",IF(CC299="-","Nicht im Lift",IF(BF299&gt;=1,"Lift",IF(BF299&lt;=0,"Aussenlager","teilweise")))))</f>
        <v>Lift</v>
      </c>
      <c r="BJ299" s="48" t="str">
        <f aca="false">IF(A299="","",IF(BS299=1,"Neu; ","")&amp;IF(AND(BS299=0,BN299&lt;0),"negativer Bestand (Export "&amp;BN299&amp;"); ","")&amp;IF(J299&lt;=0,"Kein Verbrauch; ","")&amp;IF(CL299&gt;0,"Lift "&amp;W299&amp;" lt. Liftbericht (Fach "&amp;X299&amp;" Stk); ",IF(BX299=1,"Gebinde geschätzt ("&amp;T299&amp;"); ",IF(BW299=1,"Lose – Tablare geschätzt; ","")))&amp;IF(H299&gt;AT299,"Überbestand "&amp;ROUND(H299-AT299,0)&amp;" Stk / CHF "&amp;ROUND((H299-AT299)*G299,0)&amp;"; ","")&amp;IF(AND(CE299=1,CF299&lt;CG299),"MAX &lt; MB+LG; ","")&amp;IF(AND(CK299&gt;0,CJ299*10&gt;CK299),"zu hoch für Tablar; ","")&amp;IF(AND(BS299=0,OR(CE299=1,AA299&lt;&gt;"",U299&lt;&gt;"",V299&lt;&gt;"",AB299&lt;&gt;"")),"manuell übersteuert; ","")&amp;IF(AND(BW299=0,R299=0),"Gebinde unbekannt / Stellmass fehlt; ","")&amp;IF(AND(BW299=0,N(V299)&lt;=0,N(Q299)&lt;=0),"Menge pro Gebinde fehlt (Ist = 1 Gebinde); ","")&amp;BR299)</f>
        <v/>
      </c>
      <c r="BK299" s="48"/>
      <c r="BL299" s="48"/>
      <c r="BM299" s="55"/>
      <c r="BN299" s="50" t="n">
        <v>8</v>
      </c>
      <c r="BO299" s="50" t="n">
        <v>14</v>
      </c>
      <c r="BP299" s="49" t="n">
        <v>275.919999999997</v>
      </c>
      <c r="BQ299" s="50" t="n">
        <v>69</v>
      </c>
      <c r="BR299" s="48"/>
      <c r="BS299" s="53" t="n">
        <v>0</v>
      </c>
      <c r="BT299" s="53" t="n">
        <v>299</v>
      </c>
      <c r="BU299" s="48" t="str">
        <f aca="false">IF(U299&lt;&gt;"",UPPER(TRIM(U299)),IF(BX299=1,UPPER(VLOOKUP(T299,Parameter!$I$27:$K$29,2,0)),IF(P299="","LOSE",P299)))</f>
        <v>S63</v>
      </c>
      <c r="BV299" s="50" t="n">
        <f aca="false">IF(BU299="LOSE",1,IF(N(V299)&gt;0,V299,IF(BX299=1,MAX(1,N(VLOOKUP(T299,Parameter!$I$27:$K$29,3,0)),H299,N(N299)),IF(N(Q299)&gt;0,Q299,MAX(1,H299)))))</f>
        <v>33</v>
      </c>
      <c r="BW299" s="53" t="n">
        <f aca="false">IF(BU299="LOSE",1,0)</f>
        <v>0</v>
      </c>
      <c r="BX299" s="53" t="n">
        <f aca="false">IF(AND(U299="",OR(P299="",P299="LOSE"),T299&lt;&gt;"",N(S299)&lt;=0,ISNUMBER(MATCH(T299,Parameter!$I$27:$I$29,0))),1,0)</f>
        <v>0</v>
      </c>
      <c r="BY299" s="53" t="n">
        <f aca="false">IF(CL299&gt;0,INDEX(Parameter!$H$5:$H$7,W299)/INDEX(Parameter!$E$5:$E$7,W299),IF(AND(BW299=0,N(IFERROR(VLOOKUP(BU299,'Gebinde-Kategorie'!$A$5:$N$45,14,0),0))&gt;0),VLOOKUP(BU299,'Gebinde-Kategorie'!$A$5:$N$45,14,0)*10+Parameter!$M$23,Parameter!$M$24))</f>
        <v>345</v>
      </c>
      <c r="BZ299" s="48" t="str">
        <f aca="false">IF(AND(Parameter!$B$19="Ja",E299&lt;&gt;"",ISNUMBER(MATCH(E299,Parameter!$I$35:$I$52,0))),VLOOKUP(E299,Parameter!$I$35:$J$52,2,0),IFERROR(VLOOKUP(D299,Parameter!$A$35:$C$64,2,0),"Nein"))</f>
        <v>2+3</v>
      </c>
      <c r="CA299" s="52" t="n">
        <f aca="false">IF(BW299=0,0,IF(N(S299)&gt;0,S299,IFERROR(VLOOKUP(D299,Parameter!$A$35:$C$64,3,0)+0,0)))</f>
        <v>0</v>
      </c>
      <c r="CB299" s="48" t="n">
        <f aca="false">IF(AA299&lt;&gt;"",AA299,Z299)</f>
        <v>2</v>
      </c>
      <c r="CC299" s="48" t="str">
        <f aca="false">IF(OR(CB299=1,CB299=2,CB299=3),IF(Parameter!$E$27="Ja","LIFT",IF(CB299=1,"L1","L23")),IF(CB299="Aussen","Aussen","-"))</f>
        <v>LIFT</v>
      </c>
      <c r="CD299" s="59" t="n">
        <f aca="false">IF(N(AB299)&gt;0,AB299,0)</f>
        <v>0</v>
      </c>
      <c r="CE299" s="53" t="n">
        <f aca="false">IF(ISNUMBER(AE299),1,0)</f>
        <v>0</v>
      </c>
      <c r="CF299" s="50" t="n">
        <f aca="false">N(AE299)</f>
        <v>0</v>
      </c>
      <c r="CG299" s="50" t="n">
        <f aca="false">N(M299)+N(N299)</f>
        <v>24</v>
      </c>
      <c r="CH299" s="50" t="n">
        <f aca="false">ROUNDUP(H299/BV299,0)</f>
        <v>1</v>
      </c>
      <c r="CI299" s="50" t="n">
        <f aca="false">ROUNDUP(CF299/BV299,0)</f>
        <v>0</v>
      </c>
      <c r="CJ299" s="53" t="n">
        <f aca="false">IF(BW299=1,0,IFERROR(VLOOKUP(BU299,'Gebinde-Kategorie'!$A$5:$N$45,5,0)+0,0))</f>
        <v>31</v>
      </c>
      <c r="CK299" s="53" t="n">
        <f aca="false">IFERROR(IF(OR(CB299=1,CB299=2,CB299=3),N(INDEX(Parameter!$I$5:$I$7,CB299)),0),0)</f>
        <v>0</v>
      </c>
      <c r="CL299" s="52" t="n">
        <f aca="false">IF(AND(Parameter!$B$21="Ja",ISNUMBER(W299),N(X299)&gt;0),IFERROR(N(INDEX(Parameter!$L$5:$L$7,W299))*INDEX(Parameter!$E$5:$E$7,W299)*X299/SUMIFS($X$7:$X$1843,$W$7:$W$1843,W299),0),0)</f>
        <v>0</v>
      </c>
    </row>
    <row r="300" customFormat="false" ht="15" hidden="false" customHeight="false" outlineLevel="0" collapsed="false">
      <c r="A300" s="48" t="s">
        <v>774</v>
      </c>
      <c r="B300" s="48" t="s">
        <v>775</v>
      </c>
      <c r="C300" s="48" t="s">
        <v>168</v>
      </c>
      <c r="D300" s="48" t="s">
        <v>188</v>
      </c>
      <c r="E300" s="48"/>
      <c r="F300" s="48" t="s">
        <v>222</v>
      </c>
      <c r="G300" s="49" t="n">
        <v>22.95</v>
      </c>
      <c r="H300" s="50" t="n">
        <f aca="false">MAX(0,IF(AND(Parameter!$B$21="Ja",ISNUMBER(Y300)),Y300,IF(Parameter!$B$20="Jahresanfang 2025 + Export",BO300+BN300,BN300)))</f>
        <v>12</v>
      </c>
      <c r="I300" s="50" t="n">
        <f aca="false">H300*G300</f>
        <v>275.4</v>
      </c>
      <c r="J300" s="50" t="n">
        <f aca="false">BQ300*Parameter!$B$18</f>
        <v>5</v>
      </c>
      <c r="K300" s="51" t="n">
        <v>6</v>
      </c>
      <c r="L300" s="52" t="n">
        <v>0.833333333333333</v>
      </c>
      <c r="M300" s="50" t="n">
        <v>0</v>
      </c>
      <c r="N300" s="50" t="n">
        <v>15</v>
      </c>
      <c r="O300" s="53" t="n">
        <v>14</v>
      </c>
      <c r="P300" s="48" t="s">
        <v>405</v>
      </c>
      <c r="Q300" s="50" t="n">
        <v>15</v>
      </c>
      <c r="R300" s="53" t="n">
        <f aca="false">IF(BW300=1,0,IFERROR(VLOOKUP(BU300,'Gebinde-Kategorie'!$A$5:$N$45,13,0)+0,0))</f>
        <v>280</v>
      </c>
      <c r="S300" s="54"/>
      <c r="T300" s="55"/>
      <c r="U300" s="55"/>
      <c r="V300" s="55"/>
      <c r="W300" s="48"/>
      <c r="X300" s="50"/>
      <c r="Y300" s="50"/>
      <c r="Z300" s="48" t="n">
        <f aca="false">IF(A300="","",IF(AND(Parameter!$B$21="Ja",ISNUMBER(W300)),W300,IF(BZ300="2+3",IF(ISNUMBER(SEARCH("grosser Artikel",BR300)),2,IFERROR(VLOOKUP(BU300,Parameter!$F$35:$G$64,2,0),2)),IF(OR(BZ300="Nein",BZ300=""),"-",BZ300))))</f>
        <v>3</v>
      </c>
      <c r="AA300" s="55"/>
      <c r="AB300" s="56"/>
      <c r="AC300" s="50" t="n">
        <f aca="false">AT300</f>
        <v>15</v>
      </c>
      <c r="AD300" s="50" t="n">
        <f aca="false">MAX(AT300,H300)</f>
        <v>15</v>
      </c>
      <c r="AE300" s="57"/>
      <c r="AF300" s="50" t="n">
        <f aca="false">IF(LEFT(Cockpit!$C$5,1)="A",H300,IF(CE300=1,CF300,IF(LEFT(Cockpit!$C$5,1)="B",AK300,MAX(AK300,H300))))</f>
        <v>12</v>
      </c>
      <c r="AG300" s="50" t="n">
        <f aca="false">IF(BW300=1,0,ROUNDUP(AF300/BV300,0))</f>
        <v>1</v>
      </c>
      <c r="AH300" s="52" t="n">
        <f aca="false">IF(CL300&gt;0,CL300*MAX(1,AF300/X300),IF(BW300=1,IF(AF300&lt;=0,0,CA300*MAX(1,IF(H300&gt;0,AF300/H300,1))),IF(R300&gt;0,AG300/R300,0))/MAX(0.1,N(Parameter!$M$21)))</f>
        <v>0.00357142857142857</v>
      </c>
      <c r="AI300" s="50" t="n">
        <f aca="false">AH300*BY300</f>
        <v>0.553571428571429</v>
      </c>
      <c r="AJ300" s="50" t="n">
        <f aca="false">AF300*G300</f>
        <v>275.4</v>
      </c>
      <c r="AK300" s="50" t="n">
        <f aca="false">ROUNDUP(MAX(J300/IF(CD300&gt;0,CD300,MAX(0.1,N(Cockpit!$C$6))),CG300)/BV300,0)*BV300</f>
        <v>15</v>
      </c>
      <c r="AL300" s="51" t="n">
        <f aca="false">IF(AI300&gt;0,J300/AI300,-1)</f>
        <v>9.03225806451613</v>
      </c>
      <c r="AM300" s="51" t="n">
        <f aca="false">IF(AND(OR(CC300="L1",CC300="L23",CC300="LIFT"),AI300&gt;0),SUMIFS($AI$7:$AI$1843,$CC$7:$CC$1843,CC300,$AL$7:$AL$1843,"&gt;"&amp;AL300)+SUMIFS($AI$7:$AI$1843,$CC$7:$CC$1843,CC300,$AL$7:$AL$1843,AL300,$BT$7:$BT$1843,"&lt;="&amp;BT300),"")</f>
        <v>2919.67445054945</v>
      </c>
      <c r="AN300" s="58" t="n">
        <f aca="false">IF(AM300="",0,MAX(0,MIN(1,(IF(CC300="L1",Parameter!$H$5,IF(CC300="L23",Parameter!$H$6+Parameter!$H$7,Parameter!$H$5+Parameter!$H$6+Parameter!$H$7))-(AM300-AI300))/AI300)))</f>
        <v>1</v>
      </c>
      <c r="AO300" s="50" t="n">
        <f aca="false">IF(LEFT(Cockpit!$I$5,1)="A",H300,IF(CE300=1,CF300,IF(LEFT(Cockpit!$I$5,1)="B",AT300,MAX(AT300,H300))))</f>
        <v>15</v>
      </c>
      <c r="AP300" s="50" t="n">
        <f aca="false">IF(BW300=1,0,ROUNDUP(AO300/BV300,0))</f>
        <v>1</v>
      </c>
      <c r="AQ300" s="52" t="n">
        <f aca="false">IF(CL300&gt;0,CL300*MAX(1,AO300/X300),IF(BW300=1,IF(AO300&lt;=0,0,CA300*MAX(1,IF(H300&gt;0,AO300/H300,1))),IF(R300&gt;0,AP300/R300,0))/MAX(0.1,N(Parameter!$M$21)))</f>
        <v>0.00357142857142857</v>
      </c>
      <c r="AR300" s="50" t="n">
        <f aca="false">AQ300*BY300</f>
        <v>0.553571428571429</v>
      </c>
      <c r="AS300" s="50" t="n">
        <f aca="false">AO300*G300</f>
        <v>344.25</v>
      </c>
      <c r="AT300" s="50" t="n">
        <f aca="false">ROUNDUP(MAX(J300/IF(CD300&gt;0,CD300,MAX(0.1,N(Cockpit!$I$6))),CG300)/BV300,0)*BV300</f>
        <v>15</v>
      </c>
      <c r="AU300" s="51" t="n">
        <f aca="false">IF(AR300&gt;0,J300/AR300,-1)</f>
        <v>9.03225806451613</v>
      </c>
      <c r="AV300" s="51" t="n">
        <f aca="false">IF(AND(OR(CC300="L1",CC300="L23",CC300="LIFT"),AR300&gt;0),SUMIFS($AR$7:$AR$1843,$CC$7:$CC$1843,CC300,$AU$7:$AU$1843,"&gt;"&amp;AU300)+SUMIFS($AR$7:$AR$1843,$CC$7:$CC$1843,CC300,$AU$7:$AU$1843,AU300,$BT$7:$BT$1843,"&lt;="&amp;BT300),"")</f>
        <v>4139.91391941392</v>
      </c>
      <c r="AW300" s="58" t="n">
        <f aca="false">IF(AV300="",0,MAX(0,MIN(1,(IF(CC300="L1",Parameter!$H$5,IF(CC300="L23",Parameter!$H$6+Parameter!$H$7,Parameter!$H$5+Parameter!$H$6+Parameter!$H$7))-(AV300-AR300))/AR300)))</f>
        <v>1</v>
      </c>
      <c r="AX300" s="50" t="n">
        <f aca="false">IF(LEFT(Cockpit!$O$5,1)="A",H300,IF(CE300=1,CF300,IF(LEFT(Cockpit!$O$5,1)="B",BC300,MAX(BC300,H300))))</f>
        <v>15</v>
      </c>
      <c r="AY300" s="50" t="n">
        <f aca="false">IF(BW300=1,0,ROUNDUP(AX300/BV300,0))</f>
        <v>1</v>
      </c>
      <c r="AZ300" s="52" t="n">
        <f aca="false">IF(CL300&gt;0,CL300*MAX(1,AX300/X300),IF(BW300=1,IF(AX300&lt;=0,0,CA300*MAX(1,IF(H300&gt;0,AX300/H300,1))),IF(R300&gt;0,AY300/R300,0))/MAX(0.1,N(Parameter!$M$21)))</f>
        <v>0.00357142857142857</v>
      </c>
      <c r="BA300" s="50" t="n">
        <f aca="false">AZ300*BY300</f>
        <v>0.553571428571429</v>
      </c>
      <c r="BB300" s="50" t="n">
        <f aca="false">AX300*G300</f>
        <v>344.25</v>
      </c>
      <c r="BC300" s="50" t="n">
        <f aca="false">ROUNDUP(MAX(J300/IF(CD300&gt;0,CD300,MAX(0.1,N(Cockpit!$O$6))),CG300)/BV300,0)*BV300</f>
        <v>15</v>
      </c>
      <c r="BD300" s="51" t="n">
        <f aca="false">IF(BA300&gt;0,J300/BA300,-1)</f>
        <v>9.03225806451613</v>
      </c>
      <c r="BE300" s="51" t="n">
        <f aca="false">IF(AND(OR(CC300="L1",CC300="L23",CC300="LIFT"),BA300&gt;0),SUMIFS($BA$7:$BA$1843,$CC$7:$CC$1843,CC300,$BD$7:$BD$1843,"&gt;"&amp;BD300)+SUMIFS($BA$7:$BA$1843,$CC$7:$CC$1843,CC300,$BD$7:$BD$1843,BD300,$BT$7:$BT$1843,"&lt;="&amp;BT300),"")</f>
        <v>3798.03891941392</v>
      </c>
      <c r="BF300" s="58" t="n">
        <f aca="false">IF(BE300="",0,MAX(0,MIN(1,(IF(CC300="L1",Parameter!$H$5,IF(CC300="L23",Parameter!$H$6+Parameter!$H$7,Parameter!$H$5+Parameter!$H$6+Parameter!$H$7))-(BE300-BA300))/BA300)))</f>
        <v>1</v>
      </c>
      <c r="BG300" s="48" t="str">
        <f aca="false">IF(AI300&lt;=0,"",IF(CC300="Aussen","Aussenlager",IF(CC300="-","Nicht im Lift",IF(AN300&gt;=1,"Lift",IF(AN300&lt;=0,"Aussenlager","teilweise")))))</f>
        <v>Lift</v>
      </c>
      <c r="BH300" s="48" t="str">
        <f aca="false">IF(AR300&lt;=0,"",IF(CC300="Aussen","Aussenlager",IF(CC300="-","Nicht im Lift",IF(AW300&gt;=1,"Lift",IF(AW300&lt;=0,"Aussenlager","teilweise")))))</f>
        <v>Lift</v>
      </c>
      <c r="BI300" s="48" t="str">
        <f aca="false">IF(BA300&lt;=0,"",IF(CC300="Aussen","Aussenlager",IF(CC300="-","Nicht im Lift",IF(BF300&gt;=1,"Lift",IF(BF300&lt;=0,"Aussenlager","teilweise")))))</f>
        <v>Lift</v>
      </c>
      <c r="BJ300" s="48" t="str">
        <f aca="false">IF(A300="","",IF(BS300=1,"Neu; ","")&amp;IF(AND(BS300=0,BN300&lt;0),"negativer Bestand (Export "&amp;BN300&amp;"); ","")&amp;IF(J300&lt;=0,"Kein Verbrauch; ","")&amp;IF(CL300&gt;0,"Lift "&amp;W300&amp;" lt. Liftbericht (Fach "&amp;X300&amp;" Stk); ",IF(BX300=1,"Gebinde geschätzt ("&amp;T300&amp;"); ",IF(BW300=1,"Lose – Tablare geschätzt; ","")))&amp;IF(H300&gt;AT300,"Überbestand "&amp;ROUND(H300-AT300,0)&amp;" Stk / CHF "&amp;ROUND((H300-AT300)*G300,0)&amp;"; ","")&amp;IF(AND(CE300=1,CF300&lt;CG300),"MAX &lt; MB+LG; ","")&amp;IF(AND(CK300&gt;0,CJ300*10&gt;CK300),"zu hoch für Tablar; ","")&amp;IF(AND(BS300=0,OR(CE300=1,AA300&lt;&gt;"",U300&lt;&gt;"",V300&lt;&gt;"",AB300&lt;&gt;"")),"manuell übersteuert; ","")&amp;IF(AND(BW300=0,R300=0),"Gebinde unbekannt / Stellmass fehlt; ","")&amp;IF(AND(BW300=0,N(V300)&lt;=0,N(Q300)&lt;=0),"Menge pro Gebinde fehlt (Ist = 1 Gebinde); ","")&amp;BR300)</f>
        <v/>
      </c>
      <c r="BK300" s="48"/>
      <c r="BL300" s="48"/>
      <c r="BM300" s="55"/>
      <c r="BN300" s="50" t="n">
        <v>12</v>
      </c>
      <c r="BO300" s="50" t="n">
        <v>0</v>
      </c>
      <c r="BP300" s="49" t="n">
        <v>275.4</v>
      </c>
      <c r="BQ300" s="50" t="n">
        <v>5</v>
      </c>
      <c r="BR300" s="48"/>
      <c r="BS300" s="53" t="n">
        <v>0</v>
      </c>
      <c r="BT300" s="53" t="n">
        <v>300</v>
      </c>
      <c r="BU300" s="48" t="str">
        <f aca="false">IF(U300&lt;&gt;"",UPPER(TRIM(U300)),IF(BX300=1,UPPER(VLOOKUP(T300,Parameter!$I$27:$K$29,2,0)),IF(P300="","LOSE",P300)))</f>
        <v>S21</v>
      </c>
      <c r="BV300" s="50" t="n">
        <f aca="false">IF(BU300="LOSE",1,IF(N(V300)&gt;0,V300,IF(BX300=1,MAX(1,N(VLOOKUP(T300,Parameter!$I$27:$K$29,3,0)),H300,N(N300)),IF(N(Q300)&gt;0,Q300,MAX(1,H300)))))</f>
        <v>15</v>
      </c>
      <c r="BW300" s="53" t="n">
        <f aca="false">IF(BU300="LOSE",1,0)</f>
        <v>0</v>
      </c>
      <c r="BX300" s="53" t="n">
        <f aca="false">IF(AND(U300="",OR(P300="",P300="LOSE"),T300&lt;&gt;"",N(S300)&lt;=0,ISNUMBER(MATCH(T300,Parameter!$I$27:$I$29,0))),1,0)</f>
        <v>0</v>
      </c>
      <c r="BY300" s="53" t="n">
        <f aca="false">IF(CL300&gt;0,INDEX(Parameter!$H$5:$H$7,W300)/INDEX(Parameter!$E$5:$E$7,W300),IF(AND(BW300=0,N(IFERROR(VLOOKUP(BU300,'Gebinde-Kategorie'!$A$5:$N$45,14,0),0))&gt;0),VLOOKUP(BU300,'Gebinde-Kategorie'!$A$5:$N$45,14,0)*10+Parameter!$M$23,Parameter!$M$24))</f>
        <v>155</v>
      </c>
      <c r="BZ300" s="48" t="str">
        <f aca="false">IF(AND(Parameter!$B$19="Ja",E300&lt;&gt;"",ISNUMBER(MATCH(E300,Parameter!$I$35:$I$52,0))),VLOOKUP(E300,Parameter!$I$35:$J$52,2,0),IFERROR(VLOOKUP(D300,Parameter!$A$35:$C$64,2,0),"Nein"))</f>
        <v>2+3</v>
      </c>
      <c r="CA300" s="52" t="n">
        <f aca="false">IF(BW300=0,0,IF(N(S300)&gt;0,S300,IFERROR(VLOOKUP(D300,Parameter!$A$35:$C$64,3,0)+0,0)))</f>
        <v>0</v>
      </c>
      <c r="CB300" s="48" t="n">
        <f aca="false">IF(AA300&lt;&gt;"",AA300,Z300)</f>
        <v>3</v>
      </c>
      <c r="CC300" s="48" t="str">
        <f aca="false">IF(OR(CB300=1,CB300=2,CB300=3),IF(Parameter!$E$27="Ja","LIFT",IF(CB300=1,"L1","L23")),IF(CB300="Aussen","Aussen","-"))</f>
        <v>LIFT</v>
      </c>
      <c r="CD300" s="59" t="n">
        <f aca="false">IF(N(AB300)&gt;0,AB300,0)</f>
        <v>0</v>
      </c>
      <c r="CE300" s="53" t="n">
        <f aca="false">IF(ISNUMBER(AE300),1,0)</f>
        <v>0</v>
      </c>
      <c r="CF300" s="50" t="n">
        <f aca="false">N(AE300)</f>
        <v>0</v>
      </c>
      <c r="CG300" s="50" t="n">
        <f aca="false">N(M300)+N(N300)</f>
        <v>15</v>
      </c>
      <c r="CH300" s="50" t="n">
        <f aca="false">ROUNDUP(H300/BV300,0)</f>
        <v>1</v>
      </c>
      <c r="CI300" s="50" t="n">
        <f aca="false">ROUNDUP(CF300/BV300,0)</f>
        <v>0</v>
      </c>
      <c r="CJ300" s="53" t="n">
        <f aca="false">IF(BW300=1,0,IFERROR(VLOOKUP(BU300,'Gebinde-Kategorie'!$A$5:$N$45,5,0)+0,0))</f>
        <v>8</v>
      </c>
      <c r="CK300" s="53" t="n">
        <f aca="false">IFERROR(IF(OR(CB300=1,CB300=2,CB300=3),N(INDEX(Parameter!$I$5:$I$7,CB300)),0),0)</f>
        <v>0</v>
      </c>
      <c r="CL300" s="52" t="n">
        <f aca="false">IF(AND(Parameter!$B$21="Ja",ISNUMBER(W300),N(X300)&gt;0),IFERROR(N(INDEX(Parameter!$L$5:$L$7,W300))*INDEX(Parameter!$E$5:$E$7,W300)*X300/SUMIFS($X$7:$X$1843,$W$7:$W$1843,W300),0),0)</f>
        <v>0</v>
      </c>
    </row>
    <row r="301" customFormat="false" ht="15" hidden="false" customHeight="false" outlineLevel="0" collapsed="false">
      <c r="A301" s="48" t="s">
        <v>776</v>
      </c>
      <c r="B301" s="48" t="s">
        <v>777</v>
      </c>
      <c r="C301" s="48" t="s">
        <v>168</v>
      </c>
      <c r="D301" s="48" t="s">
        <v>188</v>
      </c>
      <c r="E301" s="48" t="s">
        <v>189</v>
      </c>
      <c r="F301" s="48" t="s">
        <v>222</v>
      </c>
      <c r="G301" s="49" t="n">
        <v>40.32</v>
      </c>
      <c r="H301" s="50" t="n">
        <f aca="false">MAX(0,IF(AND(Parameter!$B$21="Ja",ISNUMBER(Y301)),Y301,IF(Parameter!$B$20="Jahresanfang 2025 + Export",BO301+BN301,BN301)))</f>
        <v>16</v>
      </c>
      <c r="I301" s="50" t="n">
        <f aca="false">H301*G301</f>
        <v>645.12</v>
      </c>
      <c r="J301" s="50" t="n">
        <f aca="false">BQ301*Parameter!$B$18</f>
        <v>40</v>
      </c>
      <c r="K301" s="51" t="n">
        <v>9</v>
      </c>
      <c r="L301" s="52" t="n">
        <v>4.44444444444445</v>
      </c>
      <c r="M301" s="50" t="n">
        <v>3</v>
      </c>
      <c r="N301" s="50" t="n">
        <v>10</v>
      </c>
      <c r="O301" s="53" t="n">
        <v>35</v>
      </c>
      <c r="P301" s="48" t="s">
        <v>297</v>
      </c>
      <c r="Q301" s="50" t="n">
        <v>48</v>
      </c>
      <c r="R301" s="53" t="n">
        <f aca="false">IF(BW301=1,0,IFERROR(VLOOKUP(BU301,'Gebinde-Kategorie'!$A$5:$N$45,13,0)+0,0))</f>
        <v>12</v>
      </c>
      <c r="S301" s="54"/>
      <c r="T301" s="55"/>
      <c r="U301" s="55"/>
      <c r="V301" s="55"/>
      <c r="W301" s="48"/>
      <c r="X301" s="50"/>
      <c r="Y301" s="50"/>
      <c r="Z301" s="48" t="n">
        <f aca="false">IF(A301="","",IF(AND(Parameter!$B$21="Ja",ISNUMBER(W301)),W301,IF(BZ301="2+3",IF(ISNUMBER(SEARCH("grosser Artikel",BR301)),2,IFERROR(VLOOKUP(BU301,Parameter!$F$35:$G$64,2,0),2)),IF(OR(BZ301="Nein",BZ301=""),"-",BZ301))))</f>
        <v>2</v>
      </c>
      <c r="AA301" s="55"/>
      <c r="AB301" s="56"/>
      <c r="AC301" s="50" t="n">
        <f aca="false">AT301</f>
        <v>48</v>
      </c>
      <c r="AD301" s="50" t="n">
        <f aca="false">MAX(AT301,H301)</f>
        <v>48</v>
      </c>
      <c r="AE301" s="57"/>
      <c r="AF301" s="50" t="n">
        <f aca="false">IF(LEFT(Cockpit!$C$5,1)="A",H301,IF(CE301=1,CF301,IF(LEFT(Cockpit!$C$5,1)="B",AK301,MAX(AK301,H301))))</f>
        <v>16</v>
      </c>
      <c r="AG301" s="50" t="n">
        <f aca="false">IF(BW301=1,0,ROUNDUP(AF301/BV301,0))</f>
        <v>1</v>
      </c>
      <c r="AH301" s="52" t="n">
        <f aca="false">IF(CL301&gt;0,CL301*MAX(1,AF301/X301),IF(BW301=1,IF(AF301&lt;=0,0,CA301*MAX(1,IF(H301&gt;0,AF301/H301,1))),IF(R301&gt;0,AG301/R301,0))/MAX(0.1,N(Parameter!$M$21)))</f>
        <v>0.0833333333333333</v>
      </c>
      <c r="AI301" s="50" t="n">
        <f aca="false">AH301*BY301</f>
        <v>20.4166666666667</v>
      </c>
      <c r="AJ301" s="50" t="n">
        <f aca="false">AF301*G301</f>
        <v>645.12</v>
      </c>
      <c r="AK301" s="50" t="n">
        <f aca="false">ROUNDUP(MAX(J301/IF(CD301&gt;0,CD301,MAX(0.1,N(Cockpit!$C$6))),CG301)/BV301,0)*BV301</f>
        <v>48</v>
      </c>
      <c r="AL301" s="51" t="n">
        <f aca="false">IF(AI301&gt;0,J301/AI301,-1)</f>
        <v>1.95918367346939</v>
      </c>
      <c r="AM301" s="51" t="n">
        <f aca="false">IF(AND(OR(CC301="L1",CC301="L23",CC301="LIFT"),AI301&gt;0),SUMIFS($AI$7:$AI$1843,$CC$7:$CC$1843,CC301,$AL$7:$AL$1843,"&gt;"&amp;AL301)+SUMIFS($AI$7:$AI$1843,$CC$7:$CC$1843,CC301,$AL$7:$AL$1843,AL301,$BT$7:$BT$1843,"&lt;="&amp;BT301),"")</f>
        <v>5851.50686813187</v>
      </c>
      <c r="AN301" s="58" t="n">
        <f aca="false">IF(AM301="",0,MAX(0,MIN(1,(IF(CC301="L1",Parameter!$H$5,IF(CC301="L23",Parameter!$H$6+Parameter!$H$7,Parameter!$H$5+Parameter!$H$6+Parameter!$H$7))-(AM301-AI301))/AI301)))</f>
        <v>1</v>
      </c>
      <c r="AO301" s="50" t="n">
        <f aca="false">IF(LEFT(Cockpit!$I$5,1)="A",H301,IF(CE301=1,CF301,IF(LEFT(Cockpit!$I$5,1)="B",AT301,MAX(AT301,H301))))</f>
        <v>48</v>
      </c>
      <c r="AP301" s="50" t="n">
        <f aca="false">IF(BW301=1,0,ROUNDUP(AO301/BV301,0))</f>
        <v>1</v>
      </c>
      <c r="AQ301" s="52" t="n">
        <f aca="false">IF(CL301&gt;0,CL301*MAX(1,AO301/X301),IF(BW301=1,IF(AO301&lt;=0,0,CA301*MAX(1,IF(H301&gt;0,AO301/H301,1))),IF(R301&gt;0,AP301/R301,0))/MAX(0.1,N(Parameter!$M$21)))</f>
        <v>0.0833333333333333</v>
      </c>
      <c r="AR301" s="50" t="n">
        <f aca="false">AQ301*BY301</f>
        <v>20.4166666666667</v>
      </c>
      <c r="AS301" s="50" t="n">
        <f aca="false">AO301*G301</f>
        <v>1935.36</v>
      </c>
      <c r="AT301" s="50" t="n">
        <f aca="false">ROUNDUP(MAX(J301/IF(CD301&gt;0,CD301,MAX(0.1,N(Cockpit!$I$6))),CG301)/BV301,0)*BV301</f>
        <v>48</v>
      </c>
      <c r="AU301" s="51" t="n">
        <f aca="false">IF(AR301&gt;0,J301/AR301,-1)</f>
        <v>1.95918367346939</v>
      </c>
      <c r="AV301" s="51" t="n">
        <f aca="false">IF(AND(OR(CC301="L1",CC301="L23",CC301="LIFT"),AR301&gt;0),SUMIFS($AR$7:$AR$1843,$CC$7:$CC$1843,CC301,$AU$7:$AU$1843,"&gt;"&amp;AU301)+SUMIFS($AR$7:$AR$1843,$CC$7:$CC$1843,CC301,$AU$7:$AU$1843,AU301,$BT$7:$BT$1843,"&lt;="&amp;BT301),"")</f>
        <v>7839.53250915751</v>
      </c>
      <c r="AW301" s="58" t="n">
        <f aca="false">IF(AV301="",0,MAX(0,MIN(1,(IF(CC301="L1",Parameter!$H$5,IF(CC301="L23",Parameter!$H$6+Parameter!$H$7,Parameter!$H$5+Parameter!$H$6+Parameter!$H$7))-(AV301-AR301))/AR301)))</f>
        <v>1</v>
      </c>
      <c r="AX301" s="50" t="n">
        <f aca="false">IF(LEFT(Cockpit!$O$5,1)="A",H301,IF(CE301=1,CF301,IF(LEFT(Cockpit!$O$5,1)="B",BC301,MAX(BC301,H301))))</f>
        <v>48</v>
      </c>
      <c r="AY301" s="50" t="n">
        <f aca="false">IF(BW301=1,0,ROUNDUP(AX301/BV301,0))</f>
        <v>1</v>
      </c>
      <c r="AZ301" s="52" t="n">
        <f aca="false">IF(CL301&gt;0,CL301*MAX(1,AX301/X301),IF(BW301=1,IF(AX301&lt;=0,0,CA301*MAX(1,IF(H301&gt;0,AX301/H301,1))),IF(R301&gt;0,AY301/R301,0))/MAX(0.1,N(Parameter!$M$21)))</f>
        <v>0.0833333333333333</v>
      </c>
      <c r="BA301" s="50" t="n">
        <f aca="false">AZ301*BY301</f>
        <v>20.4166666666667</v>
      </c>
      <c r="BB301" s="50" t="n">
        <f aca="false">AX301*G301</f>
        <v>1935.36</v>
      </c>
      <c r="BC301" s="50" t="n">
        <f aca="false">ROUNDUP(MAX(J301/IF(CD301&gt;0,CD301,MAX(0.1,N(Cockpit!$O$6))),CG301)/BV301,0)*BV301</f>
        <v>48</v>
      </c>
      <c r="BD301" s="51" t="n">
        <f aca="false">IF(BA301&gt;0,J301/BA301,-1)</f>
        <v>1.95918367346939</v>
      </c>
      <c r="BE301" s="51" t="n">
        <f aca="false">IF(AND(OR(CC301="L1",CC301="L23",CC301="LIFT"),BA301&gt;0),SUMIFS($BA$7:$BA$1843,$CC$7:$CC$1843,CC301,$BD$7:$BD$1843,"&gt;"&amp;BD301)+SUMIFS($BA$7:$BA$1843,$CC$7:$CC$1843,CC301,$BD$7:$BD$1843,BD301,$BT$7:$BT$1843,"&lt;="&amp;BT301),"")</f>
        <v>7660.18956043956</v>
      </c>
      <c r="BF301" s="58" t="n">
        <f aca="false">IF(BE301="",0,MAX(0,MIN(1,(IF(CC301="L1",Parameter!$H$5,IF(CC301="L23",Parameter!$H$6+Parameter!$H$7,Parameter!$H$5+Parameter!$H$6+Parameter!$H$7))-(BE301-BA301))/BA301)))</f>
        <v>1</v>
      </c>
      <c r="BG301" s="48" t="str">
        <f aca="false">IF(AI301&lt;=0,"",IF(CC301="Aussen","Aussenlager",IF(CC301="-","Nicht im Lift",IF(AN301&gt;=1,"Lift",IF(AN301&lt;=0,"Aussenlager","teilweise")))))</f>
        <v>Lift</v>
      </c>
      <c r="BH301" s="48" t="str">
        <f aca="false">IF(AR301&lt;=0,"",IF(CC301="Aussen","Aussenlager",IF(CC301="-","Nicht im Lift",IF(AW301&gt;=1,"Lift",IF(AW301&lt;=0,"Aussenlager","teilweise")))))</f>
        <v>Lift</v>
      </c>
      <c r="BI301" s="48" t="str">
        <f aca="false">IF(BA301&lt;=0,"",IF(CC301="Aussen","Aussenlager",IF(CC301="-","Nicht im Lift",IF(BF301&gt;=1,"Lift",IF(BF301&lt;=0,"Aussenlager","teilweise")))))</f>
        <v>Lift</v>
      </c>
      <c r="BJ301" s="48" t="str">
        <f aca="false">IF(A301="","",IF(BS301=1,"Neu; ","")&amp;IF(AND(BS301=0,BN301&lt;0),"negativer Bestand (Export "&amp;BN301&amp;"); ","")&amp;IF(J301&lt;=0,"Kein Verbrauch; ","")&amp;IF(CL301&gt;0,"Lift "&amp;W301&amp;" lt. Liftbericht (Fach "&amp;X301&amp;" Stk); ",IF(BX301=1,"Gebinde geschätzt ("&amp;T301&amp;"); ",IF(BW301=1,"Lose – Tablare geschätzt; ","")))&amp;IF(H301&gt;AT301,"Überbestand "&amp;ROUND(H301-AT301,0)&amp;" Stk / CHF "&amp;ROUND((H301-AT301)*G301,0)&amp;"; ","")&amp;IF(AND(CE301=1,CF301&lt;CG301),"MAX &lt; MB+LG; ","")&amp;IF(AND(CK301&gt;0,CJ301*10&gt;CK301),"zu hoch für Tablar; ","")&amp;IF(AND(BS301=0,OR(CE301=1,AA301&lt;&gt;"",U301&lt;&gt;"",V301&lt;&gt;"",AB301&lt;&gt;"")),"manuell übersteuert; ","")&amp;IF(AND(BW301=0,R301=0),"Gebinde unbekannt / Stellmass fehlt; ","")&amp;IF(AND(BW301=0,N(V301)&lt;=0,N(Q301)&lt;=0),"Menge pro Gebinde fehlt (Ist = 1 Gebinde); ","")&amp;BR301)</f>
        <v/>
      </c>
      <c r="BK301" s="48"/>
      <c r="BL301" s="48"/>
      <c r="BM301" s="55"/>
      <c r="BN301" s="50" t="n">
        <v>6</v>
      </c>
      <c r="BO301" s="50" t="n">
        <v>10</v>
      </c>
      <c r="BP301" s="49" t="n">
        <v>270.560000000001</v>
      </c>
      <c r="BQ301" s="50" t="n">
        <v>40</v>
      </c>
      <c r="BR301" s="48"/>
      <c r="BS301" s="53" t="n">
        <v>0</v>
      </c>
      <c r="BT301" s="53" t="n">
        <v>301</v>
      </c>
      <c r="BU301" s="48" t="str">
        <f aca="false">IF(U301&lt;&gt;"",UPPER(TRIM(U301)),IF(BX301=1,UPPER(VLOOKUP(T301,Parameter!$I$27:$K$29,2,0)),IF(P301="","LOSE",P301)))</f>
        <v>S62</v>
      </c>
      <c r="BV301" s="50" t="n">
        <f aca="false">IF(BU301="LOSE",1,IF(N(V301)&gt;0,V301,IF(BX301=1,MAX(1,N(VLOOKUP(T301,Parameter!$I$27:$K$29,3,0)),H301,N(N301)),IF(N(Q301)&gt;0,Q301,MAX(1,H301)))))</f>
        <v>48</v>
      </c>
      <c r="BW301" s="53" t="n">
        <f aca="false">IF(BU301="LOSE",1,0)</f>
        <v>0</v>
      </c>
      <c r="BX301" s="53" t="n">
        <f aca="false">IF(AND(U301="",OR(P301="",P301="LOSE"),T301&lt;&gt;"",N(S301)&lt;=0,ISNUMBER(MATCH(T301,Parameter!$I$27:$I$29,0))),1,0)</f>
        <v>0</v>
      </c>
      <c r="BY301" s="53" t="n">
        <f aca="false">IF(CL301&gt;0,INDEX(Parameter!$H$5:$H$7,W301)/INDEX(Parameter!$E$5:$E$7,W301),IF(AND(BW301=0,N(IFERROR(VLOOKUP(BU301,'Gebinde-Kategorie'!$A$5:$N$45,14,0),0))&gt;0),VLOOKUP(BU301,'Gebinde-Kategorie'!$A$5:$N$45,14,0)*10+Parameter!$M$23,Parameter!$M$24))</f>
        <v>245</v>
      </c>
      <c r="BZ301" s="48" t="str">
        <f aca="false">IF(AND(Parameter!$B$19="Ja",E301&lt;&gt;"",ISNUMBER(MATCH(E301,Parameter!$I$35:$I$52,0))),VLOOKUP(E301,Parameter!$I$35:$J$52,2,0),IFERROR(VLOOKUP(D301,Parameter!$A$35:$C$64,2,0),"Nein"))</f>
        <v>2+3</v>
      </c>
      <c r="CA301" s="52" t="n">
        <f aca="false">IF(BW301=0,0,IF(N(S301)&gt;0,S301,IFERROR(VLOOKUP(D301,Parameter!$A$35:$C$64,3,0)+0,0)))</f>
        <v>0</v>
      </c>
      <c r="CB301" s="48" t="n">
        <f aca="false">IF(AA301&lt;&gt;"",AA301,Z301)</f>
        <v>2</v>
      </c>
      <c r="CC301" s="48" t="str">
        <f aca="false">IF(OR(CB301=1,CB301=2,CB301=3),IF(Parameter!$E$27="Ja","LIFT",IF(CB301=1,"L1","L23")),IF(CB301="Aussen","Aussen","-"))</f>
        <v>LIFT</v>
      </c>
      <c r="CD301" s="59" t="n">
        <f aca="false">IF(N(AB301)&gt;0,AB301,0)</f>
        <v>0</v>
      </c>
      <c r="CE301" s="53" t="n">
        <f aca="false">IF(ISNUMBER(AE301),1,0)</f>
        <v>0</v>
      </c>
      <c r="CF301" s="50" t="n">
        <f aca="false">N(AE301)</f>
        <v>0</v>
      </c>
      <c r="CG301" s="50" t="n">
        <f aca="false">N(M301)+N(N301)</f>
        <v>13</v>
      </c>
      <c r="CH301" s="50" t="n">
        <f aca="false">ROUNDUP(H301/BV301,0)</f>
        <v>1</v>
      </c>
      <c r="CI301" s="50" t="n">
        <f aca="false">ROUNDUP(CF301/BV301,0)</f>
        <v>0</v>
      </c>
      <c r="CJ301" s="53" t="n">
        <f aca="false">IF(BW301=1,0,IFERROR(VLOOKUP(BU301,'Gebinde-Kategorie'!$A$5:$N$45,5,0)+0,0))</f>
        <v>21</v>
      </c>
      <c r="CK301" s="53" t="n">
        <f aca="false">IFERROR(IF(OR(CB301=1,CB301=2,CB301=3),N(INDEX(Parameter!$I$5:$I$7,CB301)),0),0)</f>
        <v>0</v>
      </c>
      <c r="CL301" s="52" t="n">
        <f aca="false">IF(AND(Parameter!$B$21="Ja",ISNUMBER(W301),N(X301)&gt;0),IFERROR(N(INDEX(Parameter!$L$5:$L$7,W301))*INDEX(Parameter!$E$5:$E$7,W301)*X301/SUMIFS($X$7:$X$1843,$W$7:$W$1843,W301),0),0)</f>
        <v>0</v>
      </c>
    </row>
    <row r="302" customFormat="false" ht="15" hidden="false" customHeight="false" outlineLevel="0" collapsed="false">
      <c r="A302" s="48" t="s">
        <v>778</v>
      </c>
      <c r="B302" s="48" t="s">
        <v>658</v>
      </c>
      <c r="C302" s="48" t="s">
        <v>168</v>
      </c>
      <c r="D302" s="48" t="s">
        <v>188</v>
      </c>
      <c r="E302" s="48" t="s">
        <v>189</v>
      </c>
      <c r="F302" s="48" t="s">
        <v>222</v>
      </c>
      <c r="G302" s="49" t="n">
        <v>2.7</v>
      </c>
      <c r="H302" s="50" t="n">
        <f aca="false">MAX(0,IF(AND(Parameter!$B$21="Ja",ISNUMBER(Y302)),Y302,IF(Parameter!$B$20="Jahresanfang 2025 + Export",BO302+BN302,BN302)))</f>
        <v>317</v>
      </c>
      <c r="I302" s="50" t="n">
        <f aca="false">H302*G302</f>
        <v>855.9</v>
      </c>
      <c r="J302" s="50" t="n">
        <f aca="false">BQ302*Parameter!$B$18</f>
        <v>20</v>
      </c>
      <c r="K302" s="51" t="n">
        <v>268.5</v>
      </c>
      <c r="L302" s="52" t="n">
        <v>0.074487895716946</v>
      </c>
      <c r="M302" s="50" t="n">
        <v>0</v>
      </c>
      <c r="N302" s="50" t="n">
        <v>20</v>
      </c>
      <c r="O302" s="53" t="n">
        <v>14</v>
      </c>
      <c r="P302" s="48" t="s">
        <v>430</v>
      </c>
      <c r="Q302" s="50" t="n">
        <v>235</v>
      </c>
      <c r="R302" s="53" t="n">
        <f aca="false">IF(BW302=1,0,IFERROR(VLOOKUP(BU302,'Gebinde-Kategorie'!$A$5:$N$45,13,0)+0,0))</f>
        <v>140</v>
      </c>
      <c r="S302" s="54"/>
      <c r="T302" s="55"/>
      <c r="U302" s="55"/>
      <c r="V302" s="55"/>
      <c r="W302" s="48"/>
      <c r="X302" s="50"/>
      <c r="Y302" s="50"/>
      <c r="Z302" s="48" t="n">
        <f aca="false">IF(A302="","",IF(AND(Parameter!$B$21="Ja",ISNUMBER(W302)),W302,IF(BZ302="2+3",IF(ISNUMBER(SEARCH("grosser Artikel",BR302)),2,IFERROR(VLOOKUP(BU302,Parameter!$F$35:$G$64,2,0),2)),IF(OR(BZ302="Nein",BZ302=""),"-",BZ302))))</f>
        <v>3</v>
      </c>
      <c r="AA302" s="55"/>
      <c r="AB302" s="56"/>
      <c r="AC302" s="50" t="n">
        <f aca="false">AT302</f>
        <v>235</v>
      </c>
      <c r="AD302" s="50" t="n">
        <f aca="false">MAX(AT302,H302)</f>
        <v>317</v>
      </c>
      <c r="AE302" s="57"/>
      <c r="AF302" s="50" t="n">
        <f aca="false">IF(LEFT(Cockpit!$C$5,1)="A",H302,IF(CE302=1,CF302,IF(LEFT(Cockpit!$C$5,1)="B",AK302,MAX(AK302,H302))))</f>
        <v>317</v>
      </c>
      <c r="AG302" s="50" t="n">
        <f aca="false">IF(BW302=1,0,ROUNDUP(AF302/BV302,0))</f>
        <v>2</v>
      </c>
      <c r="AH302" s="52" t="n">
        <f aca="false">IF(CL302&gt;0,CL302*MAX(1,AF302/X302),IF(BW302=1,IF(AF302&lt;=0,0,CA302*MAX(1,IF(H302&gt;0,AF302/H302,1))),IF(R302&gt;0,AG302/R302,0))/MAX(0.1,N(Parameter!$M$21)))</f>
        <v>0.0142857142857143</v>
      </c>
      <c r="AI302" s="50" t="n">
        <f aca="false">AH302*BY302</f>
        <v>2.21428571428571</v>
      </c>
      <c r="AJ302" s="50" t="n">
        <f aca="false">AF302*G302</f>
        <v>855.9</v>
      </c>
      <c r="AK302" s="50" t="n">
        <f aca="false">ROUNDUP(MAX(J302/IF(CD302&gt;0,CD302,MAX(0.1,N(Cockpit!$C$6))),CG302)/BV302,0)*BV302</f>
        <v>235</v>
      </c>
      <c r="AL302" s="51" t="n">
        <f aca="false">IF(AI302&gt;0,J302/AI302,-1)</f>
        <v>9.03225806451613</v>
      </c>
      <c r="AM302" s="51" t="n">
        <f aca="false">IF(AND(OR(CC302="L1",CC302="L23",CC302="LIFT"),AI302&gt;0),SUMIFS($AI$7:$AI$1843,$CC$7:$CC$1843,CC302,$AL$7:$AL$1843,"&gt;"&amp;AL302)+SUMIFS($AI$7:$AI$1843,$CC$7:$CC$1843,CC302,$AL$7:$AL$1843,AL302,$BT$7:$BT$1843,"&lt;="&amp;BT302),"")</f>
        <v>2921.88873626374</v>
      </c>
      <c r="AN302" s="58" t="n">
        <f aca="false">IF(AM302="",0,MAX(0,MIN(1,(IF(CC302="L1",Parameter!$H$5,IF(CC302="L23",Parameter!$H$6+Parameter!$H$7,Parameter!$H$5+Parameter!$H$6+Parameter!$H$7))-(AM302-AI302))/AI302)))</f>
        <v>1</v>
      </c>
      <c r="AO302" s="50" t="n">
        <f aca="false">IF(LEFT(Cockpit!$I$5,1)="A",H302,IF(CE302=1,CF302,IF(LEFT(Cockpit!$I$5,1)="B",AT302,MAX(AT302,H302))))</f>
        <v>317</v>
      </c>
      <c r="AP302" s="50" t="n">
        <f aca="false">IF(BW302=1,0,ROUNDUP(AO302/BV302,0))</f>
        <v>2</v>
      </c>
      <c r="AQ302" s="52" t="n">
        <f aca="false">IF(CL302&gt;0,CL302*MAX(1,AO302/X302),IF(BW302=1,IF(AO302&lt;=0,0,CA302*MAX(1,IF(H302&gt;0,AO302/H302,1))),IF(R302&gt;0,AP302/R302,0))/MAX(0.1,N(Parameter!$M$21)))</f>
        <v>0.0142857142857143</v>
      </c>
      <c r="AR302" s="50" t="n">
        <f aca="false">AQ302*BY302</f>
        <v>2.21428571428571</v>
      </c>
      <c r="AS302" s="50" t="n">
        <f aca="false">AO302*G302</f>
        <v>855.9</v>
      </c>
      <c r="AT302" s="50" t="n">
        <f aca="false">ROUNDUP(MAX(J302/IF(CD302&gt;0,CD302,MAX(0.1,N(Cockpit!$I$6))),CG302)/BV302,0)*BV302</f>
        <v>235</v>
      </c>
      <c r="AU302" s="51" t="n">
        <f aca="false">IF(AR302&gt;0,J302/AR302,-1)</f>
        <v>9.03225806451613</v>
      </c>
      <c r="AV302" s="51" t="n">
        <f aca="false">IF(AND(OR(CC302="L1",CC302="L23",CC302="LIFT"),AR302&gt;0),SUMIFS($AR$7:$AR$1843,$CC$7:$CC$1843,CC302,$AU$7:$AU$1843,"&gt;"&amp;AU302)+SUMIFS($AR$7:$AR$1843,$CC$7:$CC$1843,CC302,$AU$7:$AU$1843,AU302,$BT$7:$BT$1843,"&lt;="&amp;BT302),"")</f>
        <v>4142.12820512821</v>
      </c>
      <c r="AW302" s="58" t="n">
        <f aca="false">IF(AV302="",0,MAX(0,MIN(1,(IF(CC302="L1",Parameter!$H$5,IF(CC302="L23",Parameter!$H$6+Parameter!$H$7,Parameter!$H$5+Parameter!$H$6+Parameter!$H$7))-(AV302-AR302))/AR302)))</f>
        <v>1</v>
      </c>
      <c r="AX302" s="50" t="n">
        <f aca="false">IF(LEFT(Cockpit!$O$5,1)="A",H302,IF(CE302=1,CF302,IF(LEFT(Cockpit!$O$5,1)="B",BC302,MAX(BC302,H302))))</f>
        <v>317</v>
      </c>
      <c r="AY302" s="50" t="n">
        <f aca="false">IF(BW302=1,0,ROUNDUP(AX302/BV302,0))</f>
        <v>2</v>
      </c>
      <c r="AZ302" s="52" t="n">
        <f aca="false">IF(CL302&gt;0,CL302*MAX(1,AX302/X302),IF(BW302=1,IF(AX302&lt;=0,0,CA302*MAX(1,IF(H302&gt;0,AX302/H302,1))),IF(R302&gt;0,AY302/R302,0))/MAX(0.1,N(Parameter!$M$21)))</f>
        <v>0.0142857142857143</v>
      </c>
      <c r="BA302" s="50" t="n">
        <f aca="false">AZ302*BY302</f>
        <v>2.21428571428571</v>
      </c>
      <c r="BB302" s="50" t="n">
        <f aca="false">AX302*G302</f>
        <v>855.9</v>
      </c>
      <c r="BC302" s="50" t="n">
        <f aca="false">ROUNDUP(MAX(J302/IF(CD302&gt;0,CD302,MAX(0.1,N(Cockpit!$O$6))),CG302)/BV302,0)*BV302</f>
        <v>235</v>
      </c>
      <c r="BD302" s="51" t="n">
        <f aca="false">IF(BA302&gt;0,J302/BA302,-1)</f>
        <v>9.03225806451613</v>
      </c>
      <c r="BE302" s="51" t="n">
        <f aca="false">IF(AND(OR(CC302="L1",CC302="L23",CC302="LIFT"),BA302&gt;0),SUMIFS($BA$7:$BA$1843,$CC$7:$CC$1843,CC302,$BD$7:$BD$1843,"&gt;"&amp;BD302)+SUMIFS($BA$7:$BA$1843,$CC$7:$CC$1843,CC302,$BD$7:$BD$1843,BD302,$BT$7:$BT$1843,"&lt;="&amp;BT302),"")</f>
        <v>3800.25320512821</v>
      </c>
      <c r="BF302" s="58" t="n">
        <f aca="false">IF(BE302="",0,MAX(0,MIN(1,(IF(CC302="L1",Parameter!$H$5,IF(CC302="L23",Parameter!$H$6+Parameter!$H$7,Parameter!$H$5+Parameter!$H$6+Parameter!$H$7))-(BE302-BA302))/BA302)))</f>
        <v>1</v>
      </c>
      <c r="BG302" s="48" t="str">
        <f aca="false">IF(AI302&lt;=0,"",IF(CC302="Aussen","Aussenlager",IF(CC302="-","Nicht im Lift",IF(AN302&gt;=1,"Lift",IF(AN302&lt;=0,"Aussenlager","teilweise")))))</f>
        <v>Lift</v>
      </c>
      <c r="BH302" s="48" t="str">
        <f aca="false">IF(AR302&lt;=0,"",IF(CC302="Aussen","Aussenlager",IF(CC302="-","Nicht im Lift",IF(AW302&gt;=1,"Lift",IF(AW302&lt;=0,"Aussenlager","teilweise")))))</f>
        <v>Lift</v>
      </c>
      <c r="BI302" s="48" t="str">
        <f aca="false">IF(BA302&lt;=0,"",IF(CC302="Aussen","Aussenlager",IF(CC302="-","Nicht im Lift",IF(BF302&gt;=1,"Lift",IF(BF302&lt;=0,"Aussenlager","teilweise")))))</f>
        <v>Lift</v>
      </c>
      <c r="BJ302" s="48" t="str">
        <f aca="false">IF(A302="","",IF(BS302=1,"Neu; ","")&amp;IF(AND(BS302=0,BN302&lt;0),"negativer Bestand (Export "&amp;BN302&amp;"); ","")&amp;IF(J302&lt;=0,"Kein Verbrauch; ","")&amp;IF(CL302&gt;0,"Lift "&amp;W302&amp;" lt. Liftbericht (Fach "&amp;X302&amp;" Stk); ",IF(BX302=1,"Gebinde geschätzt ("&amp;T302&amp;"); ",IF(BW302=1,"Lose – Tablare geschätzt; ","")))&amp;IF(H302&gt;AT302,"Überbestand "&amp;ROUND(H302-AT302,0)&amp;" Stk / CHF "&amp;ROUND((H302-AT302)*G302,0)&amp;"; ","")&amp;IF(AND(CE302=1,CF302&lt;CG302),"MAX &lt; MB+LG; ","")&amp;IF(AND(CK302&gt;0,CJ302*10&gt;CK302),"zu hoch für Tablar; ","")&amp;IF(AND(BS302=0,OR(CE302=1,AA302&lt;&gt;"",U302&lt;&gt;"",V302&lt;&gt;"",AB302&lt;&gt;"")),"manuell übersteuert; ","")&amp;IF(AND(BW302=0,R302=0),"Gebinde unbekannt / Stellmass fehlt; ","")&amp;IF(AND(BW302=0,N(V302)&lt;=0,N(Q302)&lt;=0),"Menge pro Gebinde fehlt (Ist = 1 Gebinde); ","")&amp;BR302)</f>
        <v>Überbestand 82 Stk / CHF 221; </v>
      </c>
      <c r="BK302" s="48"/>
      <c r="BL302" s="48"/>
      <c r="BM302" s="55"/>
      <c r="BN302" s="50" t="n">
        <v>100</v>
      </c>
      <c r="BO302" s="50" t="n">
        <v>217</v>
      </c>
      <c r="BP302" s="49" t="n">
        <v>270</v>
      </c>
      <c r="BQ302" s="50" t="n">
        <v>20</v>
      </c>
      <c r="BR302" s="48"/>
      <c r="BS302" s="53" t="n">
        <v>0</v>
      </c>
      <c r="BT302" s="53" t="n">
        <v>302</v>
      </c>
      <c r="BU302" s="48" t="str">
        <f aca="false">IF(U302&lt;&gt;"",UPPER(TRIM(U302)),IF(BX302=1,UPPER(VLOOKUP(T302,Parameter!$I$27:$K$29,2,0)),IF(P302="","LOSE",P302)))</f>
        <v>S22</v>
      </c>
      <c r="BV302" s="50" t="n">
        <f aca="false">IF(BU302="LOSE",1,IF(N(V302)&gt;0,V302,IF(BX302=1,MAX(1,N(VLOOKUP(T302,Parameter!$I$27:$K$29,3,0)),H302,N(N302)),IF(N(Q302)&gt;0,Q302,MAX(1,H302)))))</f>
        <v>235</v>
      </c>
      <c r="BW302" s="53" t="n">
        <f aca="false">IF(BU302="LOSE",1,0)</f>
        <v>0</v>
      </c>
      <c r="BX302" s="53" t="n">
        <f aca="false">IF(AND(U302="",OR(P302="",P302="LOSE"),T302&lt;&gt;"",N(S302)&lt;=0,ISNUMBER(MATCH(T302,Parameter!$I$27:$I$29,0))),1,0)</f>
        <v>0</v>
      </c>
      <c r="BY302" s="53" t="n">
        <f aca="false">IF(CL302&gt;0,INDEX(Parameter!$H$5:$H$7,W302)/INDEX(Parameter!$E$5:$E$7,W302),IF(AND(BW302=0,N(IFERROR(VLOOKUP(BU302,'Gebinde-Kategorie'!$A$5:$N$45,14,0),0))&gt;0),VLOOKUP(BU302,'Gebinde-Kategorie'!$A$5:$N$45,14,0)*10+Parameter!$M$23,Parameter!$M$24))</f>
        <v>155</v>
      </c>
      <c r="BZ302" s="48" t="str">
        <f aca="false">IF(AND(Parameter!$B$19="Ja",E302&lt;&gt;"",ISNUMBER(MATCH(E302,Parameter!$I$35:$I$52,0))),VLOOKUP(E302,Parameter!$I$35:$J$52,2,0),IFERROR(VLOOKUP(D302,Parameter!$A$35:$C$64,2,0),"Nein"))</f>
        <v>2+3</v>
      </c>
      <c r="CA302" s="52" t="n">
        <f aca="false">IF(BW302=0,0,IF(N(S302)&gt;0,S302,IFERROR(VLOOKUP(D302,Parameter!$A$35:$C$64,3,0)+0,0)))</f>
        <v>0</v>
      </c>
      <c r="CB302" s="48" t="n">
        <f aca="false">IF(AA302&lt;&gt;"",AA302,Z302)</f>
        <v>3</v>
      </c>
      <c r="CC302" s="48" t="str">
        <f aca="false">IF(OR(CB302=1,CB302=2,CB302=3),IF(Parameter!$E$27="Ja","LIFT",IF(CB302=1,"L1","L23")),IF(CB302="Aussen","Aussen","-"))</f>
        <v>LIFT</v>
      </c>
      <c r="CD302" s="59" t="n">
        <f aca="false">IF(N(AB302)&gt;0,AB302,0)</f>
        <v>0</v>
      </c>
      <c r="CE302" s="53" t="n">
        <f aca="false">IF(ISNUMBER(AE302),1,0)</f>
        <v>0</v>
      </c>
      <c r="CF302" s="50" t="n">
        <f aca="false">N(AE302)</f>
        <v>0</v>
      </c>
      <c r="CG302" s="50" t="n">
        <f aca="false">N(M302)+N(N302)</f>
        <v>20</v>
      </c>
      <c r="CH302" s="50" t="n">
        <f aca="false">ROUNDUP(H302/BV302,0)</f>
        <v>2</v>
      </c>
      <c r="CI302" s="50" t="n">
        <f aca="false">ROUNDUP(CF302/BV302,0)</f>
        <v>0</v>
      </c>
      <c r="CJ302" s="53" t="n">
        <f aca="false">IF(BW302=1,0,IFERROR(VLOOKUP(BU302,'Gebinde-Kategorie'!$A$5:$N$45,5,0)+0,0))</f>
        <v>8</v>
      </c>
      <c r="CK302" s="53" t="n">
        <f aca="false">IFERROR(IF(OR(CB302=1,CB302=2,CB302=3),N(INDEX(Parameter!$I$5:$I$7,CB302)),0),0)</f>
        <v>0</v>
      </c>
      <c r="CL302" s="52" t="n">
        <f aca="false">IF(AND(Parameter!$B$21="Ja",ISNUMBER(W302),N(X302)&gt;0),IFERROR(N(INDEX(Parameter!$L$5:$L$7,W302))*INDEX(Parameter!$E$5:$E$7,W302)*X302/SUMIFS($X$7:$X$1843,$W$7:$W$1843,W302),0),0)</f>
        <v>0</v>
      </c>
    </row>
    <row r="303" customFormat="false" ht="15" hidden="false" customHeight="false" outlineLevel="0" collapsed="false">
      <c r="A303" s="48" t="s">
        <v>779</v>
      </c>
      <c r="B303" s="48" t="s">
        <v>780</v>
      </c>
      <c r="C303" s="48" t="s">
        <v>168</v>
      </c>
      <c r="D303" s="48" t="s">
        <v>188</v>
      </c>
      <c r="E303" s="48" t="s">
        <v>189</v>
      </c>
      <c r="F303" s="48" t="s">
        <v>222</v>
      </c>
      <c r="G303" s="49" t="n">
        <v>0.79</v>
      </c>
      <c r="H303" s="50" t="n">
        <f aca="false">MAX(0,IF(AND(Parameter!$B$21="Ja",ISNUMBER(Y303)),Y303,IF(Parameter!$B$20="Jahresanfang 2025 + Export",BO303+BN303,BN303)))</f>
        <v>371</v>
      </c>
      <c r="I303" s="50" t="n">
        <f aca="false">H303*G303</f>
        <v>293.09</v>
      </c>
      <c r="J303" s="50" t="n">
        <f aca="false">BQ303*Parameter!$B$18</f>
        <v>59</v>
      </c>
      <c r="K303" s="51" t="n">
        <v>115</v>
      </c>
      <c r="L303" s="52" t="n">
        <v>0.51304347826087</v>
      </c>
      <c r="M303" s="50" t="n">
        <v>2</v>
      </c>
      <c r="N303" s="50" t="n">
        <v>60</v>
      </c>
      <c r="O303" s="53" t="n">
        <v>14</v>
      </c>
      <c r="P303" s="48" t="s">
        <v>425</v>
      </c>
      <c r="Q303" s="50" t="n">
        <v>39</v>
      </c>
      <c r="R303" s="53" t="n">
        <f aca="false">IF(BW303=1,0,IFERROR(VLOOKUP(BU303,'Gebinde-Kategorie'!$A$5:$N$45,13,0)+0,0))</f>
        <v>104</v>
      </c>
      <c r="S303" s="54"/>
      <c r="T303" s="55"/>
      <c r="U303" s="55"/>
      <c r="V303" s="55"/>
      <c r="W303" s="48"/>
      <c r="X303" s="50"/>
      <c r="Y303" s="50"/>
      <c r="Z303" s="48" t="n">
        <f aca="false">IF(A303="","",IF(AND(Parameter!$B$21="Ja",ISNUMBER(W303)),W303,IF(BZ303="2+3",IF(ISNUMBER(SEARCH("grosser Artikel",BR303)),2,IFERROR(VLOOKUP(BU303,Parameter!$F$35:$G$64,2,0),2)),IF(OR(BZ303="Nein",BZ303=""),"-",BZ303))))</f>
        <v>3</v>
      </c>
      <c r="AA303" s="55"/>
      <c r="AB303" s="56"/>
      <c r="AC303" s="50" t="n">
        <f aca="false">AT303</f>
        <v>78</v>
      </c>
      <c r="AD303" s="50" t="n">
        <f aca="false">MAX(AT303,H303)</f>
        <v>371</v>
      </c>
      <c r="AE303" s="57"/>
      <c r="AF303" s="50" t="n">
        <f aca="false">IF(LEFT(Cockpit!$C$5,1)="A",H303,IF(CE303=1,CF303,IF(LEFT(Cockpit!$C$5,1)="B",AK303,MAX(AK303,H303))))</f>
        <v>371</v>
      </c>
      <c r="AG303" s="50" t="n">
        <f aca="false">IF(BW303=1,0,ROUNDUP(AF303/BV303,0))</f>
        <v>10</v>
      </c>
      <c r="AH303" s="52" t="n">
        <f aca="false">IF(CL303&gt;0,CL303*MAX(1,AF303/X303),IF(BW303=1,IF(AF303&lt;=0,0,CA303*MAX(1,IF(H303&gt;0,AF303/H303,1))),IF(R303&gt;0,AG303/R303,0))/MAX(0.1,N(Parameter!$M$21)))</f>
        <v>0.0961538461538462</v>
      </c>
      <c r="AI303" s="50" t="n">
        <f aca="false">AH303*BY303</f>
        <v>14.9038461538462</v>
      </c>
      <c r="AJ303" s="50" t="n">
        <f aca="false">AF303*G303</f>
        <v>293.09</v>
      </c>
      <c r="AK303" s="50" t="n">
        <f aca="false">ROUNDUP(MAX(J303/IF(CD303&gt;0,CD303,MAX(0.1,N(Cockpit!$C$6))),CG303)/BV303,0)*BV303</f>
        <v>78</v>
      </c>
      <c r="AL303" s="51" t="n">
        <f aca="false">IF(AI303&gt;0,J303/AI303,-1)</f>
        <v>3.95870967741935</v>
      </c>
      <c r="AM303" s="51" t="n">
        <f aca="false">IF(AND(OR(CC303="L1",CC303="L23",CC303="LIFT"),AI303&gt;0),SUMIFS($AI$7:$AI$1843,$CC$7:$CC$1843,CC303,$AL$7:$AL$1843,"&gt;"&amp;AL303)+SUMIFS($AI$7:$AI$1843,$CC$7:$CC$1843,CC303,$AL$7:$AL$1843,AL303,$BT$7:$BT$1843,"&lt;="&amp;BT303),"")</f>
        <v>4444.05769230769</v>
      </c>
      <c r="AN303" s="58" t="n">
        <f aca="false">IF(AM303="",0,MAX(0,MIN(1,(IF(CC303="L1",Parameter!$H$5,IF(CC303="L23",Parameter!$H$6+Parameter!$H$7,Parameter!$H$5+Parameter!$H$6+Parameter!$H$7))-(AM303-AI303))/AI303)))</f>
        <v>1</v>
      </c>
      <c r="AO303" s="50" t="n">
        <f aca="false">IF(LEFT(Cockpit!$I$5,1)="A",H303,IF(CE303=1,CF303,IF(LEFT(Cockpit!$I$5,1)="B",AT303,MAX(AT303,H303))))</f>
        <v>371</v>
      </c>
      <c r="AP303" s="50" t="n">
        <f aca="false">IF(BW303=1,0,ROUNDUP(AO303/BV303,0))</f>
        <v>10</v>
      </c>
      <c r="AQ303" s="52" t="n">
        <f aca="false">IF(CL303&gt;0,CL303*MAX(1,AO303/X303),IF(BW303=1,IF(AO303&lt;=0,0,CA303*MAX(1,IF(H303&gt;0,AO303/H303,1))),IF(R303&gt;0,AP303/R303,0))/MAX(0.1,N(Parameter!$M$21)))</f>
        <v>0.0961538461538462</v>
      </c>
      <c r="AR303" s="50" t="n">
        <f aca="false">AQ303*BY303</f>
        <v>14.9038461538462</v>
      </c>
      <c r="AS303" s="50" t="n">
        <f aca="false">AO303*G303</f>
        <v>293.09</v>
      </c>
      <c r="AT303" s="50" t="n">
        <f aca="false">ROUNDUP(MAX(J303/IF(CD303&gt;0,CD303,MAX(0.1,N(Cockpit!$I$6))),CG303)/BV303,0)*BV303</f>
        <v>78</v>
      </c>
      <c r="AU303" s="51" t="n">
        <f aca="false">IF(AR303&gt;0,J303/AR303,-1)</f>
        <v>3.95870967741935</v>
      </c>
      <c r="AV303" s="51" t="n">
        <f aca="false">IF(AND(OR(CC303="L1",CC303="L23",CC303="LIFT"),AR303&gt;0),SUMIFS($AR$7:$AR$1843,$CC$7:$CC$1843,CC303,$AU$7:$AU$1843,"&gt;"&amp;AU303)+SUMIFS($AR$7:$AR$1843,$CC$7:$CC$1843,CC303,$AU$7:$AU$1843,AU303,$BT$7:$BT$1843,"&lt;="&amp;BT303),"")</f>
        <v>5629.54716117216</v>
      </c>
      <c r="AW303" s="58" t="n">
        <f aca="false">IF(AV303="",0,MAX(0,MIN(1,(IF(CC303="L1",Parameter!$H$5,IF(CC303="L23",Parameter!$H$6+Parameter!$H$7,Parameter!$H$5+Parameter!$H$6+Parameter!$H$7))-(AV303-AR303))/AR303)))</f>
        <v>1</v>
      </c>
      <c r="AX303" s="50" t="n">
        <f aca="false">IF(LEFT(Cockpit!$O$5,1)="A",H303,IF(CE303=1,CF303,IF(LEFT(Cockpit!$O$5,1)="B",BC303,MAX(BC303,H303))))</f>
        <v>371</v>
      </c>
      <c r="AY303" s="50" t="n">
        <f aca="false">IF(BW303=1,0,ROUNDUP(AX303/BV303,0))</f>
        <v>10</v>
      </c>
      <c r="AZ303" s="52" t="n">
        <f aca="false">IF(CL303&gt;0,CL303*MAX(1,AX303/X303),IF(BW303=1,IF(AX303&lt;=0,0,CA303*MAX(1,IF(H303&gt;0,AX303/H303,1))),IF(R303&gt;0,AY303/R303,0))/MAX(0.1,N(Parameter!$M$21)))</f>
        <v>0.0961538461538462</v>
      </c>
      <c r="BA303" s="50" t="n">
        <f aca="false">AZ303*BY303</f>
        <v>14.9038461538462</v>
      </c>
      <c r="BB303" s="50" t="n">
        <f aca="false">AX303*G303</f>
        <v>293.09</v>
      </c>
      <c r="BC303" s="50" t="n">
        <f aca="false">ROUNDUP(MAX(J303/IF(CD303&gt;0,CD303,MAX(0.1,N(Cockpit!$O$6))),CG303)/BV303,0)*BV303</f>
        <v>78</v>
      </c>
      <c r="BD303" s="51" t="n">
        <f aca="false">IF(BA303&gt;0,J303/BA303,-1)</f>
        <v>3.95870967741935</v>
      </c>
      <c r="BE303" s="51" t="n">
        <f aca="false">IF(AND(OR(CC303="L1",CC303="L23",CC303="LIFT"),BA303&gt;0),SUMIFS($BA$7:$BA$1843,$CC$7:$CC$1843,CC303,$BD$7:$BD$1843,"&gt;"&amp;BD303)+SUMIFS($BA$7:$BA$1843,$CC$7:$CC$1843,CC303,$BD$7:$BD$1843,BD303,$BT$7:$BT$1843,"&lt;="&amp;BT303),"")</f>
        <v>5356.58241758242</v>
      </c>
      <c r="BF303" s="58" t="n">
        <f aca="false">IF(BE303="",0,MAX(0,MIN(1,(IF(CC303="L1",Parameter!$H$5,IF(CC303="L23",Parameter!$H$6+Parameter!$H$7,Parameter!$H$5+Parameter!$H$6+Parameter!$H$7))-(BE303-BA303))/BA303)))</f>
        <v>1</v>
      </c>
      <c r="BG303" s="48" t="str">
        <f aca="false">IF(AI303&lt;=0,"",IF(CC303="Aussen","Aussenlager",IF(CC303="-","Nicht im Lift",IF(AN303&gt;=1,"Lift",IF(AN303&lt;=0,"Aussenlager","teilweise")))))</f>
        <v>Lift</v>
      </c>
      <c r="BH303" s="48" t="str">
        <f aca="false">IF(AR303&lt;=0,"",IF(CC303="Aussen","Aussenlager",IF(CC303="-","Nicht im Lift",IF(AW303&gt;=1,"Lift",IF(AW303&lt;=0,"Aussenlager","teilweise")))))</f>
        <v>Lift</v>
      </c>
      <c r="BI303" s="48" t="str">
        <f aca="false">IF(BA303&lt;=0,"",IF(CC303="Aussen","Aussenlager",IF(CC303="-","Nicht im Lift",IF(BF303&gt;=1,"Lift",IF(BF303&lt;=0,"Aussenlager","teilweise")))))</f>
        <v>Lift</v>
      </c>
      <c r="BJ303" s="48" t="str">
        <f aca="false">IF(A303="","",IF(BS303=1,"Neu; ","")&amp;IF(AND(BS303=0,BN303&lt;0),"negativer Bestand (Export "&amp;BN303&amp;"); ","")&amp;IF(J303&lt;=0,"Kein Verbrauch; ","")&amp;IF(CL303&gt;0,"Lift "&amp;W303&amp;" lt. Liftbericht (Fach "&amp;X303&amp;" Stk); ",IF(BX303=1,"Gebinde geschätzt ("&amp;T303&amp;"); ",IF(BW303=1,"Lose – Tablare geschätzt; ","")))&amp;IF(H303&gt;AT303,"Überbestand "&amp;ROUND(H303-AT303,0)&amp;" Stk / CHF "&amp;ROUND((H303-AT303)*G303,0)&amp;"; ","")&amp;IF(AND(CE303=1,CF303&lt;CG303),"MAX &lt; MB+LG; ","")&amp;IF(AND(CK303&gt;0,CJ303*10&gt;CK303),"zu hoch für Tablar; ","")&amp;IF(AND(BS303=0,OR(CE303=1,AA303&lt;&gt;"",U303&lt;&gt;"",V303&lt;&gt;"",AB303&lt;&gt;"")),"manuell übersteuert; ","")&amp;IF(AND(BW303=0,R303=0),"Gebinde unbekannt / Stellmass fehlt; ","")&amp;IF(AND(BW303=0,N(V303)&lt;=0,N(Q303)&lt;=0),"Menge pro Gebinde fehlt (Ist = 1 Gebinde); ","")&amp;BR303)</f>
        <v>Überbestand 293 Stk / CHF 231; </v>
      </c>
      <c r="BK303" s="48"/>
      <c r="BL303" s="48"/>
      <c r="BM303" s="55"/>
      <c r="BN303" s="50" t="n">
        <v>339</v>
      </c>
      <c r="BO303" s="50" t="n">
        <v>32</v>
      </c>
      <c r="BP303" s="49" t="n">
        <v>267.81</v>
      </c>
      <c r="BQ303" s="50" t="n">
        <v>59</v>
      </c>
      <c r="BR303" s="48"/>
      <c r="BS303" s="53" t="n">
        <v>0</v>
      </c>
      <c r="BT303" s="53" t="n">
        <v>303</v>
      </c>
      <c r="BU303" s="48" t="str">
        <f aca="false">IF(U303&lt;&gt;"",UPPER(TRIM(U303)),IF(BX303=1,UPPER(VLOOKUP(T303,Parameter!$I$27:$K$29,2,0)),IF(P303="","LOSE",P303)))</f>
        <v>S32</v>
      </c>
      <c r="BV303" s="50" t="n">
        <f aca="false">IF(BU303="LOSE",1,IF(N(V303)&gt;0,V303,IF(BX303=1,MAX(1,N(VLOOKUP(T303,Parameter!$I$27:$K$29,3,0)),H303,N(N303)),IF(N(Q303)&gt;0,Q303,MAX(1,H303)))))</f>
        <v>39</v>
      </c>
      <c r="BW303" s="53" t="n">
        <f aca="false">IF(BU303="LOSE",1,0)</f>
        <v>0</v>
      </c>
      <c r="BX303" s="53" t="n">
        <f aca="false">IF(AND(U303="",OR(P303="",P303="LOSE"),T303&lt;&gt;"",N(S303)&lt;=0,ISNUMBER(MATCH(T303,Parameter!$I$27:$I$29,0))),1,0)</f>
        <v>0</v>
      </c>
      <c r="BY303" s="53" t="n">
        <f aca="false">IF(CL303&gt;0,INDEX(Parameter!$H$5:$H$7,W303)/INDEX(Parameter!$E$5:$E$7,W303),IF(AND(BW303=0,N(IFERROR(VLOOKUP(BU303,'Gebinde-Kategorie'!$A$5:$N$45,14,0),0))&gt;0),VLOOKUP(BU303,'Gebinde-Kategorie'!$A$5:$N$45,14,0)*10+Parameter!$M$23,Parameter!$M$24))</f>
        <v>155</v>
      </c>
      <c r="BZ303" s="48" t="str">
        <f aca="false">IF(AND(Parameter!$B$19="Ja",E303&lt;&gt;"",ISNUMBER(MATCH(E303,Parameter!$I$35:$I$52,0))),VLOOKUP(E303,Parameter!$I$35:$J$52,2,0),IFERROR(VLOOKUP(D303,Parameter!$A$35:$C$64,2,0),"Nein"))</f>
        <v>2+3</v>
      </c>
      <c r="CA303" s="52" t="n">
        <f aca="false">IF(BW303=0,0,IF(N(S303)&gt;0,S303,IFERROR(VLOOKUP(D303,Parameter!$A$35:$C$64,3,0)+0,0)))</f>
        <v>0</v>
      </c>
      <c r="CB303" s="48" t="n">
        <f aca="false">IF(AA303&lt;&gt;"",AA303,Z303)</f>
        <v>3</v>
      </c>
      <c r="CC303" s="48" t="str">
        <f aca="false">IF(OR(CB303=1,CB303=2,CB303=3),IF(Parameter!$E$27="Ja","LIFT",IF(CB303=1,"L1","L23")),IF(CB303="Aussen","Aussen","-"))</f>
        <v>LIFT</v>
      </c>
      <c r="CD303" s="59" t="n">
        <f aca="false">IF(N(AB303)&gt;0,AB303,0)</f>
        <v>0</v>
      </c>
      <c r="CE303" s="53" t="n">
        <f aca="false">IF(ISNUMBER(AE303),1,0)</f>
        <v>0</v>
      </c>
      <c r="CF303" s="50" t="n">
        <f aca="false">N(AE303)</f>
        <v>0</v>
      </c>
      <c r="CG303" s="50" t="n">
        <f aca="false">N(M303)+N(N303)</f>
        <v>62</v>
      </c>
      <c r="CH303" s="50" t="n">
        <f aca="false">ROUNDUP(H303/BV303,0)</f>
        <v>10</v>
      </c>
      <c r="CI303" s="50" t="n">
        <f aca="false">ROUNDUP(CF303/BV303,0)</f>
        <v>0</v>
      </c>
      <c r="CJ303" s="53" t="n">
        <f aca="false">IF(BW303=1,0,IFERROR(VLOOKUP(BU303,'Gebinde-Kategorie'!$A$5:$N$45,5,0)+0,0))</f>
        <v>8</v>
      </c>
      <c r="CK303" s="53" t="n">
        <f aca="false">IFERROR(IF(OR(CB303=1,CB303=2,CB303=3),N(INDEX(Parameter!$I$5:$I$7,CB303)),0),0)</f>
        <v>0</v>
      </c>
      <c r="CL303" s="52" t="n">
        <f aca="false">IF(AND(Parameter!$B$21="Ja",ISNUMBER(W303),N(X303)&gt;0),IFERROR(N(INDEX(Parameter!$L$5:$L$7,W303))*INDEX(Parameter!$E$5:$E$7,W303)*X303/SUMIFS($X$7:$X$1843,$W$7:$W$1843,W303),0),0)</f>
        <v>0</v>
      </c>
    </row>
    <row r="304" customFormat="false" ht="15" hidden="false" customHeight="false" outlineLevel="0" collapsed="false">
      <c r="A304" s="48" t="s">
        <v>781</v>
      </c>
      <c r="B304" s="48" t="s">
        <v>493</v>
      </c>
      <c r="C304" s="48" t="s">
        <v>168</v>
      </c>
      <c r="D304" s="48" t="s">
        <v>188</v>
      </c>
      <c r="E304" s="48" t="s">
        <v>189</v>
      </c>
      <c r="F304" s="48" t="s">
        <v>222</v>
      </c>
      <c r="G304" s="49" t="n">
        <v>2.01</v>
      </c>
      <c r="H304" s="50" t="n">
        <f aca="false">MAX(0,IF(AND(Parameter!$B$21="Ja",ISNUMBER(Y304)),Y304,IF(Parameter!$B$20="Jahresanfang 2025 + Export",BO304+BN304,BN304)))</f>
        <v>193</v>
      </c>
      <c r="I304" s="50" t="n">
        <f aca="false">H304*G304</f>
        <v>387.93</v>
      </c>
      <c r="J304" s="50" t="n">
        <f aca="false">BQ304*Parameter!$B$18</f>
        <v>172</v>
      </c>
      <c r="K304" s="51" t="n">
        <v>69</v>
      </c>
      <c r="L304" s="52" t="n">
        <v>2.49275362318841</v>
      </c>
      <c r="M304" s="50" t="n">
        <v>6</v>
      </c>
      <c r="N304" s="50" t="n">
        <v>200</v>
      </c>
      <c r="O304" s="53" t="n">
        <v>14</v>
      </c>
      <c r="P304" s="48" t="s">
        <v>480</v>
      </c>
      <c r="Q304" s="50" t="n">
        <v>342</v>
      </c>
      <c r="R304" s="53" t="n">
        <f aca="false">IF(BW304=1,0,IFERROR(VLOOKUP(BU304,'Gebinde-Kategorie'!$A$5:$N$45,13,0)+0,0))</f>
        <v>52</v>
      </c>
      <c r="S304" s="54"/>
      <c r="T304" s="55"/>
      <c r="U304" s="55"/>
      <c r="V304" s="55"/>
      <c r="W304" s="48"/>
      <c r="X304" s="50"/>
      <c r="Y304" s="50"/>
      <c r="Z304" s="48" t="n">
        <f aca="false">IF(A304="","",IF(AND(Parameter!$B$21="Ja",ISNUMBER(W304)),W304,IF(BZ304="2+3",IF(ISNUMBER(SEARCH("grosser Artikel",BR304)),2,IFERROR(VLOOKUP(BU304,Parameter!$F$35:$G$64,2,0),2)),IF(OR(BZ304="Nein",BZ304=""),"-",BZ304))))</f>
        <v>3</v>
      </c>
      <c r="AA304" s="55"/>
      <c r="AB304" s="56"/>
      <c r="AC304" s="50" t="n">
        <f aca="false">AT304</f>
        <v>342</v>
      </c>
      <c r="AD304" s="50" t="n">
        <f aca="false">MAX(AT304,H304)</f>
        <v>342</v>
      </c>
      <c r="AE304" s="57"/>
      <c r="AF304" s="50" t="n">
        <f aca="false">IF(LEFT(Cockpit!$C$5,1)="A",H304,IF(CE304=1,CF304,IF(LEFT(Cockpit!$C$5,1)="B",AK304,MAX(AK304,H304))))</f>
        <v>193</v>
      </c>
      <c r="AG304" s="50" t="n">
        <f aca="false">IF(BW304=1,0,ROUNDUP(AF304/BV304,0))</f>
        <v>1</v>
      </c>
      <c r="AH304" s="52" t="n">
        <f aca="false">IF(CL304&gt;0,CL304*MAX(1,AF304/X304),IF(BW304=1,IF(AF304&lt;=0,0,CA304*MAX(1,IF(H304&gt;0,AF304/H304,1))),IF(R304&gt;0,AG304/R304,0))/MAX(0.1,N(Parameter!$M$21)))</f>
        <v>0.0192307692307692</v>
      </c>
      <c r="AI304" s="50" t="n">
        <f aca="false">AH304*BY304</f>
        <v>2.98076923076923</v>
      </c>
      <c r="AJ304" s="50" t="n">
        <f aca="false">AF304*G304</f>
        <v>387.93</v>
      </c>
      <c r="AK304" s="50" t="n">
        <f aca="false">ROUNDUP(MAX(J304/IF(CD304&gt;0,CD304,MAX(0.1,N(Cockpit!$C$6))),CG304)/BV304,0)*BV304</f>
        <v>342</v>
      </c>
      <c r="AL304" s="51" t="n">
        <f aca="false">IF(AI304&gt;0,J304/AI304,-1)</f>
        <v>57.7032258064516</v>
      </c>
      <c r="AM304" s="51" t="n">
        <f aca="false">IF(AND(OR(CC304="L1",CC304="L23",CC304="LIFT"),AI304&gt;0),SUMIFS($AI$7:$AI$1843,$CC$7:$CC$1843,CC304,$AL$7:$AL$1843,"&gt;"&amp;AL304)+SUMIFS($AI$7:$AI$1843,$CC$7:$CC$1843,CC304,$AL$7:$AL$1843,AL304,$BT$7:$BT$1843,"&lt;="&amp;BT304),"")</f>
        <v>995.479395604396</v>
      </c>
      <c r="AN304" s="58" t="n">
        <f aca="false">IF(AM304="",0,MAX(0,MIN(1,(IF(CC304="L1",Parameter!$H$5,IF(CC304="L23",Parameter!$H$6+Parameter!$H$7,Parameter!$H$5+Parameter!$H$6+Parameter!$H$7))-(AM304-AI304))/AI304)))</f>
        <v>1</v>
      </c>
      <c r="AO304" s="50" t="n">
        <f aca="false">IF(LEFT(Cockpit!$I$5,1)="A",H304,IF(CE304=1,CF304,IF(LEFT(Cockpit!$I$5,1)="B",AT304,MAX(AT304,H304))))</f>
        <v>342</v>
      </c>
      <c r="AP304" s="50" t="n">
        <f aca="false">IF(BW304=1,0,ROUNDUP(AO304/BV304,0))</f>
        <v>1</v>
      </c>
      <c r="AQ304" s="52" t="n">
        <f aca="false">IF(CL304&gt;0,CL304*MAX(1,AO304/X304),IF(BW304=1,IF(AO304&lt;=0,0,CA304*MAX(1,IF(H304&gt;0,AO304/H304,1))),IF(R304&gt;0,AP304/R304,0))/MAX(0.1,N(Parameter!$M$21)))</f>
        <v>0.0192307692307692</v>
      </c>
      <c r="AR304" s="50" t="n">
        <f aca="false">AQ304*BY304</f>
        <v>2.98076923076923</v>
      </c>
      <c r="AS304" s="50" t="n">
        <f aca="false">AO304*G304</f>
        <v>687.42</v>
      </c>
      <c r="AT304" s="50" t="n">
        <f aca="false">ROUNDUP(MAX(J304/IF(CD304&gt;0,CD304,MAX(0.1,N(Cockpit!$I$6))),CG304)/BV304,0)*BV304</f>
        <v>342</v>
      </c>
      <c r="AU304" s="51" t="n">
        <f aca="false">IF(AR304&gt;0,J304/AR304,-1)</f>
        <v>57.7032258064516</v>
      </c>
      <c r="AV304" s="51" t="n">
        <f aca="false">IF(AND(OR(CC304="L1",CC304="L23",CC304="LIFT"),AR304&gt;0),SUMIFS($AR$7:$AR$1843,$CC$7:$CC$1843,CC304,$AU$7:$AU$1843,"&gt;"&amp;AU304)+SUMIFS($AR$7:$AR$1843,$CC$7:$CC$1843,CC304,$AU$7:$AU$1843,AU304,$BT$7:$BT$1843,"&lt;="&amp;BT304),"")</f>
        <v>1406.65293040293</v>
      </c>
      <c r="AW304" s="58" t="n">
        <f aca="false">IF(AV304="",0,MAX(0,MIN(1,(IF(CC304="L1",Parameter!$H$5,IF(CC304="L23",Parameter!$H$6+Parameter!$H$7,Parameter!$H$5+Parameter!$H$6+Parameter!$H$7))-(AV304-AR304))/AR304)))</f>
        <v>1</v>
      </c>
      <c r="AX304" s="50" t="n">
        <f aca="false">IF(LEFT(Cockpit!$O$5,1)="A",H304,IF(CE304=1,CF304,IF(LEFT(Cockpit!$O$5,1)="B",BC304,MAX(BC304,H304))))</f>
        <v>342</v>
      </c>
      <c r="AY304" s="50" t="n">
        <f aca="false">IF(BW304=1,0,ROUNDUP(AX304/BV304,0))</f>
        <v>1</v>
      </c>
      <c r="AZ304" s="52" t="n">
        <f aca="false">IF(CL304&gt;0,CL304*MAX(1,AX304/X304),IF(BW304=1,IF(AX304&lt;=0,0,CA304*MAX(1,IF(H304&gt;0,AX304/H304,1))),IF(R304&gt;0,AY304/R304,0))/MAX(0.1,N(Parameter!$M$21)))</f>
        <v>0.0192307692307692</v>
      </c>
      <c r="BA304" s="50" t="n">
        <f aca="false">AZ304*BY304</f>
        <v>2.98076923076923</v>
      </c>
      <c r="BB304" s="50" t="n">
        <f aca="false">AX304*G304</f>
        <v>687.42</v>
      </c>
      <c r="BC304" s="50" t="n">
        <f aca="false">ROUNDUP(MAX(J304/IF(CD304&gt;0,CD304,MAX(0.1,N(Cockpit!$O$6))),CG304)/BV304,0)*BV304</f>
        <v>342</v>
      </c>
      <c r="BD304" s="51" t="n">
        <f aca="false">IF(BA304&gt;0,J304/BA304,-1)</f>
        <v>57.7032258064516</v>
      </c>
      <c r="BE304" s="51" t="n">
        <f aca="false">IF(AND(OR(CC304="L1",CC304="L23",CC304="LIFT"),BA304&gt;0),SUMIFS($BA$7:$BA$1843,$CC$7:$CC$1843,CC304,$BD$7:$BD$1843,"&gt;"&amp;BD304)+SUMIFS($BA$7:$BA$1843,$CC$7:$CC$1843,CC304,$BD$7:$BD$1843,BD304,$BT$7:$BT$1843,"&lt;="&amp;BT304),"")</f>
        <v>1245.80357142857</v>
      </c>
      <c r="BF304" s="58" t="n">
        <f aca="false">IF(BE304="",0,MAX(0,MIN(1,(IF(CC304="L1",Parameter!$H$5,IF(CC304="L23",Parameter!$H$6+Parameter!$H$7,Parameter!$H$5+Parameter!$H$6+Parameter!$H$7))-(BE304-BA304))/BA304)))</f>
        <v>1</v>
      </c>
      <c r="BG304" s="48" t="str">
        <f aca="false">IF(AI304&lt;=0,"",IF(CC304="Aussen","Aussenlager",IF(CC304="-","Nicht im Lift",IF(AN304&gt;=1,"Lift",IF(AN304&lt;=0,"Aussenlager","teilweise")))))</f>
        <v>Lift</v>
      </c>
      <c r="BH304" s="48" t="str">
        <f aca="false">IF(AR304&lt;=0,"",IF(CC304="Aussen","Aussenlager",IF(CC304="-","Nicht im Lift",IF(AW304&gt;=1,"Lift",IF(AW304&lt;=0,"Aussenlager","teilweise")))))</f>
        <v>Lift</v>
      </c>
      <c r="BI304" s="48" t="str">
        <f aca="false">IF(BA304&lt;=0,"",IF(CC304="Aussen","Aussenlager",IF(CC304="-","Nicht im Lift",IF(BF304&gt;=1,"Lift",IF(BF304&lt;=0,"Aussenlager","teilweise")))))</f>
        <v>Lift</v>
      </c>
      <c r="BJ304" s="48" t="str">
        <f aca="false">IF(A304="","",IF(BS304=1,"Neu; ","")&amp;IF(AND(BS304=0,BN304&lt;0),"negativer Bestand (Export "&amp;BN304&amp;"); ","")&amp;IF(J304&lt;=0,"Kein Verbrauch; ","")&amp;IF(CL304&gt;0,"Lift "&amp;W304&amp;" lt. Liftbericht (Fach "&amp;X304&amp;" Stk); ",IF(BX304=1,"Gebinde geschätzt ("&amp;T304&amp;"); ",IF(BW304=1,"Lose – Tablare geschätzt; ","")))&amp;IF(H304&gt;AT304,"Überbestand "&amp;ROUND(H304-AT304,0)&amp;" Stk / CHF "&amp;ROUND((H304-AT304)*G304,0)&amp;"; ","")&amp;IF(AND(CE304=1,CF304&lt;CG304),"MAX &lt; MB+LG; ","")&amp;IF(AND(CK304&gt;0,CJ304*10&gt;CK304),"zu hoch für Tablar; ","")&amp;IF(AND(BS304=0,OR(CE304=1,AA304&lt;&gt;"",U304&lt;&gt;"",V304&lt;&gt;"",AB304&lt;&gt;"")),"manuell übersteuert; ","")&amp;IF(AND(BW304=0,R304=0),"Gebinde unbekannt / Stellmass fehlt; ","")&amp;IF(AND(BW304=0,N(V304)&lt;=0,N(Q304)&lt;=0),"Menge pro Gebinde fehlt (Ist = 1 Gebinde); ","")&amp;BR304)</f>
        <v/>
      </c>
      <c r="BK304" s="48"/>
      <c r="BL304" s="48"/>
      <c r="BM304" s="55"/>
      <c r="BN304" s="50" t="n">
        <v>136</v>
      </c>
      <c r="BO304" s="50" t="n">
        <v>57</v>
      </c>
      <c r="BP304" s="49" t="n">
        <v>267.48</v>
      </c>
      <c r="BQ304" s="50" t="n">
        <v>172</v>
      </c>
      <c r="BR304" s="48"/>
      <c r="BS304" s="53" t="n">
        <v>0</v>
      </c>
      <c r="BT304" s="53" t="n">
        <v>304</v>
      </c>
      <c r="BU304" s="48" t="str">
        <f aca="false">IF(U304&lt;&gt;"",UPPER(TRIM(U304)),IF(BX304=1,UPPER(VLOOKUP(T304,Parameter!$I$27:$K$29,2,0)),IF(P304="","LOSE",P304)))</f>
        <v>S33</v>
      </c>
      <c r="BV304" s="50" t="n">
        <f aca="false">IF(BU304="LOSE",1,IF(N(V304)&gt;0,V304,IF(BX304=1,MAX(1,N(VLOOKUP(T304,Parameter!$I$27:$K$29,3,0)),H304,N(N304)),IF(N(Q304)&gt;0,Q304,MAX(1,H304)))))</f>
        <v>342</v>
      </c>
      <c r="BW304" s="53" t="n">
        <f aca="false">IF(BU304="LOSE",1,0)</f>
        <v>0</v>
      </c>
      <c r="BX304" s="53" t="n">
        <f aca="false">IF(AND(U304="",OR(P304="",P304="LOSE"),T304&lt;&gt;"",N(S304)&lt;=0,ISNUMBER(MATCH(T304,Parameter!$I$27:$I$29,0))),1,0)</f>
        <v>0</v>
      </c>
      <c r="BY304" s="53" t="n">
        <f aca="false">IF(CL304&gt;0,INDEX(Parameter!$H$5:$H$7,W304)/INDEX(Parameter!$E$5:$E$7,W304),IF(AND(BW304=0,N(IFERROR(VLOOKUP(BU304,'Gebinde-Kategorie'!$A$5:$N$45,14,0),0))&gt;0),VLOOKUP(BU304,'Gebinde-Kategorie'!$A$5:$N$45,14,0)*10+Parameter!$M$23,Parameter!$M$24))</f>
        <v>155</v>
      </c>
      <c r="BZ304" s="48" t="str">
        <f aca="false">IF(AND(Parameter!$B$19="Ja",E304&lt;&gt;"",ISNUMBER(MATCH(E304,Parameter!$I$35:$I$52,0))),VLOOKUP(E304,Parameter!$I$35:$J$52,2,0),IFERROR(VLOOKUP(D304,Parameter!$A$35:$C$64,2,0),"Nein"))</f>
        <v>2+3</v>
      </c>
      <c r="CA304" s="52" t="n">
        <f aca="false">IF(BW304=0,0,IF(N(S304)&gt;0,S304,IFERROR(VLOOKUP(D304,Parameter!$A$35:$C$64,3,0)+0,0)))</f>
        <v>0</v>
      </c>
      <c r="CB304" s="48" t="n">
        <f aca="false">IF(AA304&lt;&gt;"",AA304,Z304)</f>
        <v>3</v>
      </c>
      <c r="CC304" s="48" t="str">
        <f aca="false">IF(OR(CB304=1,CB304=2,CB304=3),IF(Parameter!$E$27="Ja","LIFT",IF(CB304=1,"L1","L23")),IF(CB304="Aussen","Aussen","-"))</f>
        <v>LIFT</v>
      </c>
      <c r="CD304" s="59" t="n">
        <f aca="false">IF(N(AB304)&gt;0,AB304,0)</f>
        <v>0</v>
      </c>
      <c r="CE304" s="53" t="n">
        <f aca="false">IF(ISNUMBER(AE304),1,0)</f>
        <v>0</v>
      </c>
      <c r="CF304" s="50" t="n">
        <f aca="false">N(AE304)</f>
        <v>0</v>
      </c>
      <c r="CG304" s="50" t="n">
        <f aca="false">N(M304)+N(N304)</f>
        <v>206</v>
      </c>
      <c r="CH304" s="50" t="n">
        <f aca="false">ROUNDUP(H304/BV304,0)</f>
        <v>1</v>
      </c>
      <c r="CI304" s="50" t="n">
        <f aca="false">ROUNDUP(CF304/BV304,0)</f>
        <v>0</v>
      </c>
      <c r="CJ304" s="53" t="n">
        <f aca="false">IF(BW304=1,0,IFERROR(VLOOKUP(BU304,'Gebinde-Kategorie'!$A$5:$N$45,5,0)+0,0))</f>
        <v>8</v>
      </c>
      <c r="CK304" s="53" t="n">
        <f aca="false">IFERROR(IF(OR(CB304=1,CB304=2,CB304=3),N(INDEX(Parameter!$I$5:$I$7,CB304)),0),0)</f>
        <v>0</v>
      </c>
      <c r="CL304" s="52" t="n">
        <f aca="false">IF(AND(Parameter!$B$21="Ja",ISNUMBER(W304),N(X304)&gt;0),IFERROR(N(INDEX(Parameter!$L$5:$L$7,W304))*INDEX(Parameter!$E$5:$E$7,W304)*X304/SUMIFS($X$7:$X$1843,$W$7:$W$1843,W304),0),0)</f>
        <v>0</v>
      </c>
    </row>
    <row r="305" customFormat="false" ht="15" hidden="false" customHeight="false" outlineLevel="0" collapsed="false">
      <c r="A305" s="48" t="s">
        <v>782</v>
      </c>
      <c r="B305" s="48" t="s">
        <v>783</v>
      </c>
      <c r="C305" s="48" t="s">
        <v>168</v>
      </c>
      <c r="D305" s="48" t="s">
        <v>188</v>
      </c>
      <c r="E305" s="48"/>
      <c r="F305" s="48" t="s">
        <v>222</v>
      </c>
      <c r="G305" s="49" t="n">
        <v>17.67</v>
      </c>
      <c r="H305" s="50" t="n">
        <f aca="false">MAX(0,IF(AND(Parameter!$B$21="Ja",ISNUMBER(Y305)),Y305,IF(Parameter!$B$20="Jahresanfang 2025 + Export",BO305+BN305,BN305)))</f>
        <v>15</v>
      </c>
      <c r="I305" s="50" t="n">
        <f aca="false">H305*G305</f>
        <v>265.05</v>
      </c>
      <c r="J305" s="50" t="n">
        <f aca="false">BQ305*Parameter!$B$18</f>
        <v>0</v>
      </c>
      <c r="K305" s="51" t="n">
        <v>0</v>
      </c>
      <c r="L305" s="52" t="n">
        <v>0</v>
      </c>
      <c r="M305" s="50" t="n">
        <v>0</v>
      </c>
      <c r="N305" s="50" t="n">
        <v>1</v>
      </c>
      <c r="O305" s="53" t="n">
        <v>9999</v>
      </c>
      <c r="P305" s="48" t="s">
        <v>172</v>
      </c>
      <c r="Q305" s="50"/>
      <c r="R305" s="53" t="n">
        <f aca="false">IF(BW305=1,0,IFERROR(VLOOKUP(BU305,'Gebinde-Kategorie'!$A$5:$N$45,13,0)+0,0))</f>
        <v>12</v>
      </c>
      <c r="S305" s="54"/>
      <c r="T305" s="55" t="s">
        <v>183</v>
      </c>
      <c r="U305" s="55"/>
      <c r="V305" s="55"/>
      <c r="W305" s="48"/>
      <c r="X305" s="50"/>
      <c r="Y305" s="50"/>
      <c r="Z305" s="48" t="n">
        <f aca="false">IF(A305="","",IF(AND(Parameter!$B$21="Ja",ISNUMBER(W305)),W305,IF(BZ305="2+3",IF(ISNUMBER(SEARCH("grosser Artikel",BR305)),2,IFERROR(VLOOKUP(BU305,Parameter!$F$35:$G$64,2,0),2)),IF(OR(BZ305="Nein",BZ305=""),"-",BZ305))))</f>
        <v>2</v>
      </c>
      <c r="AA305" s="55"/>
      <c r="AB305" s="56"/>
      <c r="AC305" s="50" t="n">
        <f aca="false">AT305</f>
        <v>15</v>
      </c>
      <c r="AD305" s="50" t="n">
        <f aca="false">MAX(AT305,H305)</f>
        <v>15</v>
      </c>
      <c r="AE305" s="57"/>
      <c r="AF305" s="50" t="n">
        <f aca="false">IF(LEFT(Cockpit!$C$5,1)="A",H305,IF(CE305=1,CF305,IF(LEFT(Cockpit!$C$5,1)="B",AK305,MAX(AK305,H305))))</f>
        <v>15</v>
      </c>
      <c r="AG305" s="50" t="n">
        <f aca="false">IF(BW305=1,0,ROUNDUP(AF305/BV305,0))</f>
        <v>1</v>
      </c>
      <c r="AH305" s="52" t="n">
        <f aca="false">IF(CL305&gt;0,CL305*MAX(1,AF305/X305),IF(BW305=1,IF(AF305&lt;=0,0,CA305*MAX(1,IF(H305&gt;0,AF305/H305,1))),IF(R305&gt;0,AG305/R305,0))/MAX(0.1,N(Parameter!$M$21)))</f>
        <v>0.0833333333333333</v>
      </c>
      <c r="AI305" s="50" t="n">
        <f aca="false">AH305*BY305</f>
        <v>12.0833333333333</v>
      </c>
      <c r="AJ305" s="50" t="n">
        <f aca="false">AF305*G305</f>
        <v>265.05</v>
      </c>
      <c r="AK305" s="50" t="n">
        <f aca="false">ROUNDUP(MAX(J305/IF(CD305&gt;0,CD305,MAX(0.1,N(Cockpit!$C$6))),CG305)/BV305,0)*BV305</f>
        <v>15</v>
      </c>
      <c r="AL305" s="51" t="n">
        <f aca="false">IF(AI305&gt;0,J305/AI305,-1)</f>
        <v>0</v>
      </c>
      <c r="AM305" s="51" t="n">
        <f aca="false">IF(AND(OR(CC305="L1",CC305="L23",CC305="LIFT"),AI305&gt;0),SUMIFS($AI$7:$AI$1843,$CC$7:$CC$1843,CC305,$AL$7:$AL$1843,"&gt;"&amp;AL305)+SUMIFS($AI$7:$AI$1843,$CC$7:$CC$1843,CC305,$AL$7:$AL$1843,AL305,$BT$7:$BT$1843,"&lt;="&amp;BT305),"")</f>
        <v>27876.694765216</v>
      </c>
      <c r="AN305" s="58" t="n">
        <f aca="false">IF(AM305="",0,MAX(0,MIN(1,(IF(CC305="L1",Parameter!$H$5,IF(CC305="L23",Parameter!$H$6+Parameter!$H$7,Parameter!$H$5+Parameter!$H$6+Parameter!$H$7))-(AM305-AI305))/AI305)))</f>
        <v>1</v>
      </c>
      <c r="AO305" s="50" t="n">
        <f aca="false">IF(LEFT(Cockpit!$I$5,1)="A",H305,IF(CE305=1,CF305,IF(LEFT(Cockpit!$I$5,1)="B",AT305,MAX(AT305,H305))))</f>
        <v>15</v>
      </c>
      <c r="AP305" s="50" t="n">
        <f aca="false">IF(BW305=1,0,ROUNDUP(AO305/BV305,0))</f>
        <v>1</v>
      </c>
      <c r="AQ305" s="52" t="n">
        <f aca="false">IF(CL305&gt;0,CL305*MAX(1,AO305/X305),IF(BW305=1,IF(AO305&lt;=0,0,CA305*MAX(1,IF(H305&gt;0,AO305/H305,1))),IF(R305&gt;0,AP305/R305,0))/MAX(0.1,N(Parameter!$M$21)))</f>
        <v>0.0833333333333333</v>
      </c>
      <c r="AR305" s="50" t="n">
        <f aca="false">AQ305*BY305</f>
        <v>12.0833333333333</v>
      </c>
      <c r="AS305" s="50" t="n">
        <f aca="false">AO305*G305</f>
        <v>265.05</v>
      </c>
      <c r="AT305" s="50" t="n">
        <f aca="false">ROUNDUP(MAX(J305/IF(CD305&gt;0,CD305,MAX(0.1,N(Cockpit!$I$6))),CG305)/BV305,0)*BV305</f>
        <v>15</v>
      </c>
      <c r="AU305" s="51" t="n">
        <f aca="false">IF(AR305&gt;0,J305/AR305,-1)</f>
        <v>0</v>
      </c>
      <c r="AV305" s="51" t="n">
        <f aca="false">IF(AND(OR(CC305="L1",CC305="L23",CC305="LIFT"),AR305&gt;0),SUMIFS($AR$7:$AR$1843,$CC$7:$CC$1843,CC305,$AU$7:$AU$1843,"&gt;"&amp;AU305)+SUMIFS($AR$7:$AR$1843,$CC$7:$CC$1843,CC305,$AU$7:$AU$1843,AU305,$BT$7:$BT$1843,"&lt;="&amp;BT305),"")</f>
        <v>39189.6002824859</v>
      </c>
      <c r="AW305" s="58" t="n">
        <f aca="false">IF(AV305="",0,MAX(0,MIN(1,(IF(CC305="L1",Parameter!$H$5,IF(CC305="L23",Parameter!$H$6+Parameter!$H$7,Parameter!$H$5+Parameter!$H$6+Parameter!$H$7))-(AV305-AR305))/AR305)))</f>
        <v>0</v>
      </c>
      <c r="AX305" s="50" t="n">
        <f aca="false">IF(LEFT(Cockpit!$O$5,1)="A",H305,IF(CE305=1,CF305,IF(LEFT(Cockpit!$O$5,1)="B",BC305,MAX(BC305,H305))))</f>
        <v>15</v>
      </c>
      <c r="AY305" s="50" t="n">
        <f aca="false">IF(BW305=1,0,ROUNDUP(AX305/BV305,0))</f>
        <v>1</v>
      </c>
      <c r="AZ305" s="52" t="n">
        <f aca="false">IF(CL305&gt;0,CL305*MAX(1,AX305/X305),IF(BW305=1,IF(AX305&lt;=0,0,CA305*MAX(1,IF(H305&gt;0,AX305/H305,1))),IF(R305&gt;0,AY305/R305,0))/MAX(0.1,N(Parameter!$M$21)))</f>
        <v>0.0833333333333333</v>
      </c>
      <c r="BA305" s="50" t="n">
        <f aca="false">AZ305*BY305</f>
        <v>12.0833333333333</v>
      </c>
      <c r="BB305" s="50" t="n">
        <f aca="false">AX305*G305</f>
        <v>265.05</v>
      </c>
      <c r="BC305" s="50" t="n">
        <f aca="false">ROUNDUP(MAX(J305/IF(CD305&gt;0,CD305,MAX(0.1,N(Cockpit!$O$6))),CG305)/BV305,0)*BV305</f>
        <v>15</v>
      </c>
      <c r="BD305" s="51" t="n">
        <f aca="false">IF(BA305&gt;0,J305/BA305,-1)</f>
        <v>0</v>
      </c>
      <c r="BE305" s="51" t="n">
        <f aca="false">IF(AND(OR(CC305="L1",CC305="L23",CC305="LIFT"),BA305&gt;0),SUMIFS($BA$7:$BA$1843,$CC$7:$CC$1843,CC305,$BD$7:$BD$1843,"&gt;"&amp;BD305)+SUMIFS($BA$7:$BA$1843,$CC$7:$CC$1843,CC305,$BD$7:$BD$1843,BD305,$BT$7:$BT$1843,"&lt;="&amp;BT305),"")</f>
        <v>35864.6123243517</v>
      </c>
      <c r="BF305" s="58" t="n">
        <f aca="false">IF(BE305="",0,MAX(0,MIN(1,(IF(CC305="L1",Parameter!$H$5,IF(CC305="L23",Parameter!$H$6+Parameter!$H$7,Parameter!$H$5+Parameter!$H$6+Parameter!$H$7))-(BE305-BA305))/BA305)))</f>
        <v>0</v>
      </c>
      <c r="BG305" s="48" t="str">
        <f aca="false">IF(AI305&lt;=0,"",IF(CC305="Aussen","Aussenlager",IF(CC305="-","Nicht im Lift",IF(AN305&gt;=1,"Lift",IF(AN305&lt;=0,"Aussenlager","teilweise")))))</f>
        <v>Lift</v>
      </c>
      <c r="BH305" s="48" t="str">
        <f aca="false">IF(AR305&lt;=0,"",IF(CC305="Aussen","Aussenlager",IF(CC305="-","Nicht im Lift",IF(AW305&gt;=1,"Lift",IF(AW305&lt;=0,"Aussenlager","teilweise")))))</f>
        <v>Aussenlager</v>
      </c>
      <c r="BI305" s="48" t="str">
        <f aca="false">IF(BA305&lt;=0,"",IF(CC305="Aussen","Aussenlager",IF(CC305="-","Nicht im Lift",IF(BF305&gt;=1,"Lift",IF(BF305&lt;=0,"Aussenlager","teilweise")))))</f>
        <v>Aussenlager</v>
      </c>
      <c r="BJ305" s="48" t="str">
        <f aca="false">IF(A305="","",IF(BS305=1,"Neu; ","")&amp;IF(AND(BS305=0,BN305&lt;0),"negativer Bestand (Export "&amp;BN305&amp;"); ","")&amp;IF(J305&lt;=0,"Kein Verbrauch; ","")&amp;IF(CL305&gt;0,"Lift "&amp;W305&amp;" lt. Liftbericht (Fach "&amp;X305&amp;" Stk); ",IF(BX305=1,"Gebinde geschätzt ("&amp;T305&amp;"); ",IF(BW305=1,"Lose – Tablare geschätzt; ","")))&amp;IF(H305&gt;AT305,"Überbestand "&amp;ROUND(H305-AT305,0)&amp;" Stk / CHF "&amp;ROUND((H305-AT305)*G305,0)&amp;"; ","")&amp;IF(AND(CE305=1,CF305&lt;CG305),"MAX &lt; MB+LG; ","")&amp;IF(AND(CK305&gt;0,CJ305*10&gt;CK305),"zu hoch für Tablar; ","")&amp;IF(AND(BS305=0,OR(CE305=1,AA305&lt;&gt;"",U305&lt;&gt;"",V305&lt;&gt;"",AB305&lt;&gt;"")),"manuell übersteuert; ","")&amp;IF(AND(BW305=0,R305=0),"Gebinde unbekannt / Stellmass fehlt; ","")&amp;IF(AND(BW305=0,N(V305)&lt;=0,N(Q305)&lt;=0),"Menge pro Gebinde fehlt (Ist = 1 Gebinde); ","")&amp;BR305)</f>
        <v>Kein Verbrauch; Gebinde geschätzt (Mittel); Menge pro Gebinde fehlt (Ist = 1 Gebinde); </v>
      </c>
      <c r="BK305" s="48"/>
      <c r="BL305" s="48"/>
      <c r="BM305" s="55"/>
      <c r="BN305" s="50" t="n">
        <v>15</v>
      </c>
      <c r="BO305" s="50" t="n">
        <v>0</v>
      </c>
      <c r="BP305" s="49" t="n">
        <v>265.05</v>
      </c>
      <c r="BQ305" s="50" t="n">
        <v>0</v>
      </c>
      <c r="BR305" s="48"/>
      <c r="BS305" s="53" t="n">
        <v>0</v>
      </c>
      <c r="BT305" s="53" t="n">
        <v>305</v>
      </c>
      <c r="BU305" s="48" t="str">
        <f aca="false">IF(U305&lt;&gt;"",UPPER(TRIM(U305)),IF(BX305=1,UPPER(VLOOKUP(T305,Parameter!$I$27:$K$29,2,0)),IF(P305="","LOSE",P305)))</f>
        <v>S61</v>
      </c>
      <c r="BV305" s="50" t="n">
        <f aca="false">IF(BU305="LOSE",1,IF(N(V305)&gt;0,V305,IF(BX305=1,MAX(1,N(VLOOKUP(T305,Parameter!$I$27:$K$29,3,0)),H305,N(N305)),IF(N(Q305)&gt;0,Q305,MAX(1,H305)))))</f>
        <v>15</v>
      </c>
      <c r="BW305" s="53" t="n">
        <f aca="false">IF(BU305="LOSE",1,0)</f>
        <v>0</v>
      </c>
      <c r="BX305" s="53" t="n">
        <f aca="false">IF(AND(U305="",OR(P305="",P305="LOSE"),T305&lt;&gt;"",N(S305)&lt;=0,ISNUMBER(MATCH(T305,Parameter!$I$27:$I$29,0))),1,0)</f>
        <v>1</v>
      </c>
      <c r="BY305" s="53" t="n">
        <f aca="false">IF(CL305&gt;0,INDEX(Parameter!$H$5:$H$7,W305)/INDEX(Parameter!$E$5:$E$7,W305),IF(AND(BW305=0,N(IFERROR(VLOOKUP(BU305,'Gebinde-Kategorie'!$A$5:$N$45,14,0),0))&gt;0),VLOOKUP(BU305,'Gebinde-Kategorie'!$A$5:$N$45,14,0)*10+Parameter!$M$23,Parameter!$M$24))</f>
        <v>145</v>
      </c>
      <c r="BZ305" s="48" t="str">
        <f aca="false">IF(AND(Parameter!$B$19="Ja",E305&lt;&gt;"",ISNUMBER(MATCH(E305,Parameter!$I$35:$I$52,0))),VLOOKUP(E305,Parameter!$I$35:$J$52,2,0),IFERROR(VLOOKUP(D305,Parameter!$A$35:$C$64,2,0),"Nein"))</f>
        <v>2+3</v>
      </c>
      <c r="CA305" s="52" t="n">
        <f aca="false">IF(BW305=0,0,IF(N(S305)&gt;0,S305,IFERROR(VLOOKUP(D305,Parameter!$A$35:$C$64,3,0)+0,0)))</f>
        <v>0</v>
      </c>
      <c r="CB305" s="48" t="n">
        <f aca="false">IF(AA305&lt;&gt;"",AA305,Z305)</f>
        <v>2</v>
      </c>
      <c r="CC305" s="48" t="str">
        <f aca="false">IF(OR(CB305=1,CB305=2,CB305=3),IF(Parameter!$E$27="Ja","LIFT",IF(CB305=1,"L1","L23")),IF(CB305="Aussen","Aussen","-"))</f>
        <v>LIFT</v>
      </c>
      <c r="CD305" s="59" t="n">
        <f aca="false">IF(N(AB305)&gt;0,AB305,0)</f>
        <v>0</v>
      </c>
      <c r="CE305" s="53" t="n">
        <f aca="false">IF(ISNUMBER(AE305),1,0)</f>
        <v>0</v>
      </c>
      <c r="CF305" s="50" t="n">
        <f aca="false">N(AE305)</f>
        <v>0</v>
      </c>
      <c r="CG305" s="50" t="n">
        <f aca="false">N(M305)+N(N305)</f>
        <v>1</v>
      </c>
      <c r="CH305" s="50" t="n">
        <f aca="false">ROUNDUP(H305/BV305,0)</f>
        <v>1</v>
      </c>
      <c r="CI305" s="50" t="n">
        <f aca="false">ROUNDUP(CF305/BV305,0)</f>
        <v>0</v>
      </c>
      <c r="CJ305" s="53" t="n">
        <f aca="false">IF(BW305=1,0,IFERROR(VLOOKUP(BU305,'Gebinde-Kategorie'!$A$5:$N$45,5,0)+0,0))</f>
        <v>11</v>
      </c>
      <c r="CK305" s="53" t="n">
        <f aca="false">IFERROR(IF(OR(CB305=1,CB305=2,CB305=3),N(INDEX(Parameter!$I$5:$I$7,CB305)),0),0)</f>
        <v>0</v>
      </c>
      <c r="CL305" s="52" t="n">
        <f aca="false">IF(AND(Parameter!$B$21="Ja",ISNUMBER(W305),N(X305)&gt;0),IFERROR(N(INDEX(Parameter!$L$5:$L$7,W305))*INDEX(Parameter!$E$5:$E$7,W305)*X305/SUMIFS($X$7:$X$1843,$W$7:$W$1843,W305),0),0)</f>
        <v>0</v>
      </c>
    </row>
    <row r="306" customFormat="false" ht="15" hidden="false" customHeight="false" outlineLevel="0" collapsed="false">
      <c r="A306" s="48" t="s">
        <v>784</v>
      </c>
      <c r="B306" s="48" t="s">
        <v>472</v>
      </c>
      <c r="C306" s="48" t="s">
        <v>168</v>
      </c>
      <c r="D306" s="48" t="s">
        <v>188</v>
      </c>
      <c r="E306" s="48" t="s">
        <v>189</v>
      </c>
      <c r="F306" s="48" t="s">
        <v>222</v>
      </c>
      <c r="G306" s="49" t="n">
        <v>0.64</v>
      </c>
      <c r="H306" s="50" t="n">
        <f aca="false">MAX(0,IF(AND(Parameter!$B$21="Ja",ISNUMBER(Y306)),Y306,IF(Parameter!$B$20="Jahresanfang 2025 + Export",BO306+BN306,BN306)))</f>
        <v>2817</v>
      </c>
      <c r="I306" s="50" t="n">
        <f aca="false">H306*G306</f>
        <v>1802.88</v>
      </c>
      <c r="J306" s="50" t="n">
        <f aca="false">BQ306*Parameter!$B$18</f>
        <v>2222</v>
      </c>
      <c r="K306" s="51" t="n">
        <v>2692</v>
      </c>
      <c r="L306" s="52" t="n">
        <v>0.825408618127786</v>
      </c>
      <c r="M306" s="50" t="n">
        <v>518</v>
      </c>
      <c r="N306" s="50" t="n">
        <v>2500</v>
      </c>
      <c r="O306" s="53" t="n">
        <v>84</v>
      </c>
      <c r="P306" s="48" t="s">
        <v>230</v>
      </c>
      <c r="Q306" s="50" t="n">
        <v>1500</v>
      </c>
      <c r="R306" s="53" t="n">
        <f aca="false">IF(BW306=1,0,IFERROR(VLOOKUP(BU306,'Gebinde-Kategorie'!$A$5:$N$45,13,0)+0,0))</f>
        <v>12</v>
      </c>
      <c r="S306" s="54"/>
      <c r="T306" s="55"/>
      <c r="U306" s="55"/>
      <c r="V306" s="55"/>
      <c r="W306" s="48"/>
      <c r="X306" s="50"/>
      <c r="Y306" s="50"/>
      <c r="Z306" s="48" t="n">
        <f aca="false">IF(A306="","",IF(AND(Parameter!$B$21="Ja",ISNUMBER(W306)),W306,IF(BZ306="2+3",IF(ISNUMBER(SEARCH("grosser Artikel",BR306)),2,IFERROR(VLOOKUP(BU306,Parameter!$F$35:$G$64,2,0),2)),IF(OR(BZ306="Nein",BZ306=""),"-",BZ306))))</f>
        <v>2</v>
      </c>
      <c r="AA306" s="55"/>
      <c r="AB306" s="56"/>
      <c r="AC306" s="50" t="n">
        <f aca="false">AT306</f>
        <v>4500</v>
      </c>
      <c r="AD306" s="50" t="n">
        <f aca="false">MAX(AT306,H306)</f>
        <v>4500</v>
      </c>
      <c r="AE306" s="57"/>
      <c r="AF306" s="50" t="n">
        <f aca="false">IF(LEFT(Cockpit!$C$5,1)="A",H306,IF(CE306=1,CF306,IF(LEFT(Cockpit!$C$5,1)="B",AK306,MAX(AK306,H306))))</f>
        <v>2817</v>
      </c>
      <c r="AG306" s="50" t="n">
        <f aca="false">IF(BW306=1,0,ROUNDUP(AF306/BV306,0))</f>
        <v>2</v>
      </c>
      <c r="AH306" s="52" t="n">
        <f aca="false">IF(CL306&gt;0,CL306*MAX(1,AF306/X306),IF(BW306=1,IF(AF306&lt;=0,0,CA306*MAX(1,IF(H306&gt;0,AF306/H306,1))),IF(R306&gt;0,AG306/R306,0))/MAX(0.1,N(Parameter!$M$21)))</f>
        <v>0.166666666666667</v>
      </c>
      <c r="AI306" s="50" t="n">
        <f aca="false">AH306*BY306</f>
        <v>57.5</v>
      </c>
      <c r="AJ306" s="50" t="n">
        <f aca="false">AF306*G306</f>
        <v>1802.88</v>
      </c>
      <c r="AK306" s="50" t="n">
        <f aca="false">ROUNDUP(MAX(J306/IF(CD306&gt;0,CD306,MAX(0.1,N(Cockpit!$C$6))),CG306)/BV306,0)*BV306</f>
        <v>4500</v>
      </c>
      <c r="AL306" s="51" t="n">
        <f aca="false">IF(AI306&gt;0,J306/AI306,-1)</f>
        <v>38.6434782608696</v>
      </c>
      <c r="AM306" s="51" t="n">
        <f aca="false">IF(AND(OR(CC306="L1",CC306="L23",CC306="LIFT"),AI306&gt;0),SUMIFS($AI$7:$AI$1843,$CC$7:$CC$1843,CC306,$AL$7:$AL$1843,"&gt;"&amp;AL306)+SUMIFS($AI$7:$AI$1843,$CC$7:$CC$1843,CC306,$AL$7:$AL$1843,AL306,$BT$7:$BT$1843,"&lt;="&amp;BT306),"")</f>
        <v>1257.38461538462</v>
      </c>
      <c r="AN306" s="58" t="n">
        <f aca="false">IF(AM306="",0,MAX(0,MIN(1,(IF(CC306="L1",Parameter!$H$5,IF(CC306="L23",Parameter!$H$6+Parameter!$H$7,Parameter!$H$5+Parameter!$H$6+Parameter!$H$7))-(AM306-AI306))/AI306)))</f>
        <v>1</v>
      </c>
      <c r="AO306" s="50" t="n">
        <f aca="false">IF(LEFT(Cockpit!$I$5,1)="A",H306,IF(CE306=1,CF306,IF(LEFT(Cockpit!$I$5,1)="B",AT306,MAX(AT306,H306))))</f>
        <v>4500</v>
      </c>
      <c r="AP306" s="50" t="n">
        <f aca="false">IF(BW306=1,0,ROUNDUP(AO306/BV306,0))</f>
        <v>3</v>
      </c>
      <c r="AQ306" s="52" t="n">
        <f aca="false">IF(CL306&gt;0,CL306*MAX(1,AO306/X306),IF(BW306=1,IF(AO306&lt;=0,0,CA306*MAX(1,IF(H306&gt;0,AO306/H306,1))),IF(R306&gt;0,AP306/R306,0))/MAX(0.1,N(Parameter!$M$21)))</f>
        <v>0.25</v>
      </c>
      <c r="AR306" s="50" t="n">
        <f aca="false">AQ306*BY306</f>
        <v>86.25</v>
      </c>
      <c r="AS306" s="50" t="n">
        <f aca="false">AO306*G306</f>
        <v>2880</v>
      </c>
      <c r="AT306" s="50" t="n">
        <f aca="false">ROUNDUP(MAX(J306/IF(CD306&gt;0,CD306,MAX(0.1,N(Cockpit!$I$6))),CG306)/BV306,0)*BV306</f>
        <v>4500</v>
      </c>
      <c r="AU306" s="51" t="n">
        <f aca="false">IF(AR306&gt;0,J306/AR306,-1)</f>
        <v>25.7623188405797</v>
      </c>
      <c r="AV306" s="51" t="n">
        <f aca="false">IF(AND(OR(CC306="L1",CC306="L23",CC306="LIFT"),AR306&gt;0),SUMIFS($AR$7:$AR$1843,$CC$7:$CC$1843,CC306,$AU$7:$AU$1843,"&gt;"&amp;AU306)+SUMIFS($AR$7:$AR$1843,$CC$7:$CC$1843,CC306,$AU$7:$AU$1843,AU306,$BT$7:$BT$1843,"&lt;="&amp;BT306),"")</f>
        <v>2125.97893772894</v>
      </c>
      <c r="AW306" s="58" t="n">
        <f aca="false">IF(AV306="",0,MAX(0,MIN(1,(IF(CC306="L1",Parameter!$H$5,IF(CC306="L23",Parameter!$H$6+Parameter!$H$7,Parameter!$H$5+Parameter!$H$6+Parameter!$H$7))-(AV306-AR306))/AR306)))</f>
        <v>1</v>
      </c>
      <c r="AX306" s="50" t="n">
        <f aca="false">IF(LEFT(Cockpit!$O$5,1)="A",H306,IF(CE306=1,CF306,IF(LEFT(Cockpit!$O$5,1)="B",BC306,MAX(BC306,H306))))</f>
        <v>4500</v>
      </c>
      <c r="AY306" s="50" t="n">
        <f aca="false">IF(BW306=1,0,ROUNDUP(AX306/BV306,0))</f>
        <v>3</v>
      </c>
      <c r="AZ306" s="52" t="n">
        <f aca="false">IF(CL306&gt;0,CL306*MAX(1,AX306/X306),IF(BW306=1,IF(AX306&lt;=0,0,CA306*MAX(1,IF(H306&gt;0,AX306/H306,1))),IF(R306&gt;0,AY306/R306,0))/MAX(0.1,N(Parameter!$M$21)))</f>
        <v>0.25</v>
      </c>
      <c r="BA306" s="50" t="n">
        <f aca="false">AZ306*BY306</f>
        <v>86.25</v>
      </c>
      <c r="BB306" s="50" t="n">
        <f aca="false">AX306*G306</f>
        <v>2880</v>
      </c>
      <c r="BC306" s="50" t="n">
        <f aca="false">ROUNDUP(MAX(J306/IF(CD306&gt;0,CD306,MAX(0.1,N(Cockpit!$O$6))),CG306)/BV306,0)*BV306</f>
        <v>4500</v>
      </c>
      <c r="BD306" s="51" t="n">
        <f aca="false">IF(BA306&gt;0,J306/BA306,-1)</f>
        <v>25.7623188405797</v>
      </c>
      <c r="BE306" s="51" t="n">
        <f aca="false">IF(AND(OR(CC306="L1",CC306="L23",CC306="LIFT"),BA306&gt;0),SUMIFS($BA$7:$BA$1843,$CC$7:$CC$1843,CC306,$BD$7:$BD$1843,"&gt;"&amp;BD306)+SUMIFS($BA$7:$BA$1843,$CC$7:$CC$1843,CC306,$BD$7:$BD$1843,BD306,$BT$7:$BT$1843,"&lt;="&amp;BT306),"")</f>
        <v>2211.57188644689</v>
      </c>
      <c r="BF306" s="58" t="n">
        <f aca="false">IF(BE306="",0,MAX(0,MIN(1,(IF(CC306="L1",Parameter!$H$5,IF(CC306="L23",Parameter!$H$6+Parameter!$H$7,Parameter!$H$5+Parameter!$H$6+Parameter!$H$7))-(BE306-BA306))/BA306)))</f>
        <v>1</v>
      </c>
      <c r="BG306" s="48" t="str">
        <f aca="false">IF(AI306&lt;=0,"",IF(CC306="Aussen","Aussenlager",IF(CC306="-","Nicht im Lift",IF(AN306&gt;=1,"Lift",IF(AN306&lt;=0,"Aussenlager","teilweise")))))</f>
        <v>Lift</v>
      </c>
      <c r="BH306" s="48" t="str">
        <f aca="false">IF(AR306&lt;=0,"",IF(CC306="Aussen","Aussenlager",IF(CC306="-","Nicht im Lift",IF(AW306&gt;=1,"Lift",IF(AW306&lt;=0,"Aussenlager","teilweise")))))</f>
        <v>Lift</v>
      </c>
      <c r="BI306" s="48" t="str">
        <f aca="false">IF(BA306&lt;=0,"",IF(CC306="Aussen","Aussenlager",IF(CC306="-","Nicht im Lift",IF(BF306&gt;=1,"Lift",IF(BF306&lt;=0,"Aussenlager","teilweise")))))</f>
        <v>Lift</v>
      </c>
      <c r="BJ306" s="48" t="str">
        <f aca="false">IF(A306="","",IF(BS306=1,"Neu; ","")&amp;IF(AND(BS306=0,BN306&lt;0),"negativer Bestand (Export "&amp;BN306&amp;"); ","")&amp;IF(J306&lt;=0,"Kein Verbrauch; ","")&amp;IF(CL306&gt;0,"Lift "&amp;W306&amp;" lt. Liftbericht (Fach "&amp;X306&amp;" Stk); ",IF(BX306=1,"Gebinde geschätzt ("&amp;T306&amp;"); ",IF(BW306=1,"Lose – Tablare geschätzt; ","")))&amp;IF(H306&gt;AT306,"Überbestand "&amp;ROUND(H306-AT306,0)&amp;" Stk / CHF "&amp;ROUND((H306-AT306)*G306,0)&amp;"; ","")&amp;IF(AND(CE306=1,CF306&lt;CG306),"MAX &lt; MB+LG; ","")&amp;IF(AND(CK306&gt;0,CJ306*10&gt;CK306),"zu hoch für Tablar; ","")&amp;IF(AND(BS306=0,OR(CE306=1,AA306&lt;&gt;"",U306&lt;&gt;"",V306&lt;&gt;"",AB306&lt;&gt;"")),"manuell übersteuert; ","")&amp;IF(AND(BW306=0,R306=0),"Gebinde unbekannt / Stellmass fehlt; ","")&amp;IF(AND(BW306=0,N(V306)&lt;=0,N(Q306)&lt;=0),"Menge pro Gebinde fehlt (Ist = 1 Gebinde); ","")&amp;BR306)</f>
        <v>negativer Bestand (Export -928); </v>
      </c>
      <c r="BK306" s="48"/>
      <c r="BL306" s="48"/>
      <c r="BM306" s="55"/>
      <c r="BN306" s="50" t="n">
        <v>-928</v>
      </c>
      <c r="BO306" s="50" t="n">
        <v>3745</v>
      </c>
      <c r="BP306" s="49" t="n">
        <v>264.439999999999</v>
      </c>
      <c r="BQ306" s="50" t="n">
        <v>2222</v>
      </c>
      <c r="BR306" s="48"/>
      <c r="BS306" s="53" t="n">
        <v>0</v>
      </c>
      <c r="BT306" s="53" t="n">
        <v>306</v>
      </c>
      <c r="BU306" s="48" t="str">
        <f aca="false">IF(U306&lt;&gt;"",UPPER(TRIM(U306)),IF(BX306=1,UPPER(VLOOKUP(T306,Parameter!$I$27:$K$29,2,0)),IF(P306="","LOSE",P306)))</f>
        <v>S63</v>
      </c>
      <c r="BV306" s="50" t="n">
        <f aca="false">IF(BU306="LOSE",1,IF(N(V306)&gt;0,V306,IF(BX306=1,MAX(1,N(VLOOKUP(T306,Parameter!$I$27:$K$29,3,0)),H306,N(N306)),IF(N(Q306)&gt;0,Q306,MAX(1,H306)))))</f>
        <v>1500</v>
      </c>
      <c r="BW306" s="53" t="n">
        <f aca="false">IF(BU306="LOSE",1,0)</f>
        <v>0</v>
      </c>
      <c r="BX306" s="53" t="n">
        <f aca="false">IF(AND(U306="",OR(P306="",P306="LOSE"),T306&lt;&gt;"",N(S306)&lt;=0,ISNUMBER(MATCH(T306,Parameter!$I$27:$I$29,0))),1,0)</f>
        <v>0</v>
      </c>
      <c r="BY306" s="53" t="n">
        <f aca="false">IF(CL306&gt;0,INDEX(Parameter!$H$5:$H$7,W306)/INDEX(Parameter!$E$5:$E$7,W306),IF(AND(BW306=0,N(IFERROR(VLOOKUP(BU306,'Gebinde-Kategorie'!$A$5:$N$45,14,0),0))&gt;0),VLOOKUP(BU306,'Gebinde-Kategorie'!$A$5:$N$45,14,0)*10+Parameter!$M$23,Parameter!$M$24))</f>
        <v>345</v>
      </c>
      <c r="BZ306" s="48" t="str">
        <f aca="false">IF(AND(Parameter!$B$19="Ja",E306&lt;&gt;"",ISNUMBER(MATCH(E306,Parameter!$I$35:$I$52,0))),VLOOKUP(E306,Parameter!$I$35:$J$52,2,0),IFERROR(VLOOKUP(D306,Parameter!$A$35:$C$64,2,0),"Nein"))</f>
        <v>2+3</v>
      </c>
      <c r="CA306" s="52" t="n">
        <f aca="false">IF(BW306=0,0,IF(N(S306)&gt;0,S306,IFERROR(VLOOKUP(D306,Parameter!$A$35:$C$64,3,0)+0,0)))</f>
        <v>0</v>
      </c>
      <c r="CB306" s="48" t="n">
        <f aca="false">IF(AA306&lt;&gt;"",AA306,Z306)</f>
        <v>2</v>
      </c>
      <c r="CC306" s="48" t="str">
        <f aca="false">IF(OR(CB306=1,CB306=2,CB306=3),IF(Parameter!$E$27="Ja","LIFT",IF(CB306=1,"L1","L23")),IF(CB306="Aussen","Aussen","-"))</f>
        <v>LIFT</v>
      </c>
      <c r="CD306" s="59" t="n">
        <f aca="false">IF(N(AB306)&gt;0,AB306,0)</f>
        <v>0</v>
      </c>
      <c r="CE306" s="53" t="n">
        <f aca="false">IF(ISNUMBER(AE306),1,0)</f>
        <v>0</v>
      </c>
      <c r="CF306" s="50" t="n">
        <f aca="false">N(AE306)</f>
        <v>0</v>
      </c>
      <c r="CG306" s="50" t="n">
        <f aca="false">N(M306)+N(N306)</f>
        <v>3018</v>
      </c>
      <c r="CH306" s="50" t="n">
        <f aca="false">ROUNDUP(H306/BV306,0)</f>
        <v>2</v>
      </c>
      <c r="CI306" s="50" t="n">
        <f aca="false">ROUNDUP(CF306/BV306,0)</f>
        <v>0</v>
      </c>
      <c r="CJ306" s="53" t="n">
        <f aca="false">IF(BW306=1,0,IFERROR(VLOOKUP(BU306,'Gebinde-Kategorie'!$A$5:$N$45,5,0)+0,0))</f>
        <v>31</v>
      </c>
      <c r="CK306" s="53" t="n">
        <f aca="false">IFERROR(IF(OR(CB306=1,CB306=2,CB306=3),N(INDEX(Parameter!$I$5:$I$7,CB306)),0),0)</f>
        <v>0</v>
      </c>
      <c r="CL306" s="52" t="n">
        <f aca="false">IF(AND(Parameter!$B$21="Ja",ISNUMBER(W306),N(X306)&gt;0),IFERROR(N(INDEX(Parameter!$L$5:$L$7,W306))*INDEX(Parameter!$E$5:$E$7,W306)*X306/SUMIFS($X$7:$X$1843,$W$7:$W$1843,W306),0),0)</f>
        <v>0</v>
      </c>
    </row>
    <row r="307" customFormat="false" ht="15" hidden="false" customHeight="false" outlineLevel="0" collapsed="false">
      <c r="A307" s="48" t="s">
        <v>785</v>
      </c>
      <c r="B307" s="48" t="s">
        <v>786</v>
      </c>
      <c r="C307" s="48" t="s">
        <v>168</v>
      </c>
      <c r="D307" s="48" t="s">
        <v>177</v>
      </c>
      <c r="E307" s="48" t="s">
        <v>189</v>
      </c>
      <c r="F307" s="48" t="s">
        <v>222</v>
      </c>
      <c r="G307" s="49" t="n">
        <v>21.55</v>
      </c>
      <c r="H307" s="50" t="n">
        <f aca="false">MAX(0,IF(AND(Parameter!$B$21="Ja",ISNUMBER(Y307)),Y307,IF(Parameter!$B$20="Jahresanfang 2025 + Export",BO307+BN307,BN307)))</f>
        <v>20</v>
      </c>
      <c r="I307" s="50" t="n">
        <f aca="false">H307*G307</f>
        <v>431</v>
      </c>
      <c r="J307" s="50" t="n">
        <f aca="false">BQ307*Parameter!$B$18</f>
        <v>12</v>
      </c>
      <c r="K307" s="51" t="n">
        <v>12</v>
      </c>
      <c r="L307" s="52" t="n">
        <v>1</v>
      </c>
      <c r="M307" s="50" t="n">
        <v>0</v>
      </c>
      <c r="N307" s="50" t="n">
        <v>10</v>
      </c>
      <c r="O307" s="53" t="n">
        <v>21</v>
      </c>
      <c r="P307" s="48" t="s">
        <v>297</v>
      </c>
      <c r="Q307" s="50" t="n">
        <v>8</v>
      </c>
      <c r="R307" s="53" t="n">
        <f aca="false">IF(BW307=1,0,IFERROR(VLOOKUP(BU307,'Gebinde-Kategorie'!$A$5:$N$45,13,0)+0,0))</f>
        <v>12</v>
      </c>
      <c r="S307" s="54"/>
      <c r="T307" s="55"/>
      <c r="U307" s="55"/>
      <c r="V307" s="55"/>
      <c r="W307" s="48"/>
      <c r="X307" s="50"/>
      <c r="Y307" s="50"/>
      <c r="Z307" s="48" t="n">
        <f aca="false">IF(A307="","",IF(AND(Parameter!$B$21="Ja",ISNUMBER(W307)),W307,IF(BZ307="2+3",IF(ISNUMBER(SEARCH("grosser Artikel",BR307)),2,IFERROR(VLOOKUP(BU307,Parameter!$F$35:$G$64,2,0),2)),IF(OR(BZ307="Nein",BZ307=""),"-",BZ307))))</f>
        <v>2</v>
      </c>
      <c r="AA307" s="55"/>
      <c r="AB307" s="56"/>
      <c r="AC307" s="50" t="n">
        <f aca="false">AT307</f>
        <v>16</v>
      </c>
      <c r="AD307" s="50" t="n">
        <f aca="false">MAX(AT307,H307)</f>
        <v>20</v>
      </c>
      <c r="AE307" s="57"/>
      <c r="AF307" s="50" t="n">
        <f aca="false">IF(LEFT(Cockpit!$C$5,1)="A",H307,IF(CE307=1,CF307,IF(LEFT(Cockpit!$C$5,1)="B",AK307,MAX(AK307,H307))))</f>
        <v>20</v>
      </c>
      <c r="AG307" s="50" t="n">
        <f aca="false">IF(BW307=1,0,ROUNDUP(AF307/BV307,0))</f>
        <v>3</v>
      </c>
      <c r="AH307" s="52" t="n">
        <f aca="false">IF(CL307&gt;0,CL307*MAX(1,AF307/X307),IF(BW307=1,IF(AF307&lt;=0,0,CA307*MAX(1,IF(H307&gt;0,AF307/H307,1))),IF(R307&gt;0,AG307/R307,0))/MAX(0.1,N(Parameter!$M$21)))</f>
        <v>0.25</v>
      </c>
      <c r="AI307" s="50" t="n">
        <f aca="false">AH307*BY307</f>
        <v>61.25</v>
      </c>
      <c r="AJ307" s="50" t="n">
        <f aca="false">AF307*G307</f>
        <v>431</v>
      </c>
      <c r="AK307" s="50" t="n">
        <f aca="false">ROUNDUP(MAX(J307/IF(CD307&gt;0,CD307,MAX(0.1,N(Cockpit!$C$6))),CG307)/BV307,0)*BV307</f>
        <v>16</v>
      </c>
      <c r="AL307" s="51" t="n">
        <f aca="false">IF(AI307&gt;0,J307/AI307,-1)</f>
        <v>0.195918367346939</v>
      </c>
      <c r="AM307" s="51" t="n">
        <f aca="false">IF(AND(OR(CC307="L1",CC307="L23",CC307="LIFT"),AI307&gt;0),SUMIFS($AI$7:$AI$1843,$CC$7:$CC$1843,CC307,$AL$7:$AL$1843,"&gt;"&amp;AL307)+SUMIFS($AI$7:$AI$1843,$CC$7:$CC$1843,CC307,$AL$7:$AL$1843,AL307,$BT$7:$BT$1843,"&lt;="&amp;BT307),"")</f>
        <v>12560.983720846</v>
      </c>
      <c r="AN307" s="58" t="n">
        <f aca="false">IF(AM307="",0,MAX(0,MIN(1,(IF(CC307="L1",Parameter!$H$5,IF(CC307="L23",Parameter!$H$6+Parameter!$H$7,Parameter!$H$5+Parameter!$H$6+Parameter!$H$7))-(AM307-AI307))/AI307)))</f>
        <v>1</v>
      </c>
      <c r="AO307" s="50" t="n">
        <f aca="false">IF(LEFT(Cockpit!$I$5,1)="A",H307,IF(CE307=1,CF307,IF(LEFT(Cockpit!$I$5,1)="B",AT307,MAX(AT307,H307))))</f>
        <v>20</v>
      </c>
      <c r="AP307" s="50" t="n">
        <f aca="false">IF(BW307=1,0,ROUNDUP(AO307/BV307,0))</f>
        <v>3</v>
      </c>
      <c r="AQ307" s="52" t="n">
        <f aca="false">IF(CL307&gt;0,CL307*MAX(1,AO307/X307),IF(BW307=1,IF(AO307&lt;=0,0,CA307*MAX(1,IF(H307&gt;0,AO307/H307,1))),IF(R307&gt;0,AP307/R307,0))/MAX(0.1,N(Parameter!$M$21)))</f>
        <v>0.25</v>
      </c>
      <c r="AR307" s="50" t="n">
        <f aca="false">AQ307*BY307</f>
        <v>61.25</v>
      </c>
      <c r="AS307" s="50" t="n">
        <f aca="false">AO307*G307</f>
        <v>431</v>
      </c>
      <c r="AT307" s="50" t="n">
        <f aca="false">ROUNDUP(MAX(J307/IF(CD307&gt;0,CD307,MAX(0.1,N(Cockpit!$I$6))),CG307)/BV307,0)*BV307</f>
        <v>16</v>
      </c>
      <c r="AU307" s="51" t="n">
        <f aca="false">IF(AR307&gt;0,J307/AR307,-1)</f>
        <v>0.195918367346939</v>
      </c>
      <c r="AV307" s="51" t="n">
        <f aca="false">IF(AND(OR(CC307="L1",CC307="L23",CC307="LIFT"),AR307&gt;0),SUMIFS($AR$7:$AR$1843,$CC$7:$CC$1843,CC307,$AU$7:$AU$1843,"&gt;"&amp;AU307)+SUMIFS($AR$7:$AR$1843,$CC$7:$CC$1843,CC307,$AU$7:$AU$1843,AU307,$BT$7:$BT$1843,"&lt;="&amp;BT307),"")</f>
        <v>19042.6350732601</v>
      </c>
      <c r="AW307" s="58" t="n">
        <f aca="false">IF(AV307="",0,MAX(0,MIN(1,(IF(CC307="L1",Parameter!$H$5,IF(CC307="L23",Parameter!$H$6+Parameter!$H$7,Parameter!$H$5+Parameter!$H$6+Parameter!$H$7))-(AV307-AR307))/AR307)))</f>
        <v>1</v>
      </c>
      <c r="AX307" s="50" t="n">
        <f aca="false">IF(LEFT(Cockpit!$O$5,1)="A",H307,IF(CE307=1,CF307,IF(LEFT(Cockpit!$O$5,1)="B",BC307,MAX(BC307,H307))))</f>
        <v>20</v>
      </c>
      <c r="AY307" s="50" t="n">
        <f aca="false">IF(BW307=1,0,ROUNDUP(AX307/BV307,0))</f>
        <v>3</v>
      </c>
      <c r="AZ307" s="52" t="n">
        <f aca="false">IF(CL307&gt;0,CL307*MAX(1,AX307/X307),IF(BW307=1,IF(AX307&lt;=0,0,CA307*MAX(1,IF(H307&gt;0,AX307/H307,1))),IF(R307&gt;0,AY307/R307,0))/MAX(0.1,N(Parameter!$M$21)))</f>
        <v>0.25</v>
      </c>
      <c r="BA307" s="50" t="n">
        <f aca="false">AZ307*BY307</f>
        <v>61.25</v>
      </c>
      <c r="BB307" s="50" t="n">
        <f aca="false">AX307*G307</f>
        <v>431</v>
      </c>
      <c r="BC307" s="50" t="n">
        <f aca="false">ROUNDUP(MAX(J307/IF(CD307&gt;0,CD307,MAX(0.1,N(Cockpit!$O$6))),CG307)/BV307,0)*BV307</f>
        <v>16</v>
      </c>
      <c r="BD307" s="51" t="n">
        <f aca="false">IF(BA307&gt;0,J307/BA307,-1)</f>
        <v>0.195918367346939</v>
      </c>
      <c r="BE307" s="51" t="n">
        <f aca="false">IF(AND(OR(CC307="L1",CC307="L23",CC307="LIFT"),BA307&gt;0),SUMIFS($BA$7:$BA$1843,$CC$7:$CC$1843,CC307,$BD$7:$BD$1843,"&gt;"&amp;BD307)+SUMIFS($BA$7:$BA$1843,$CC$7:$CC$1843,CC307,$BD$7:$BD$1843,BD307,$BT$7:$BT$1843,"&lt;="&amp;BT307),"")</f>
        <v>17068.7087912088</v>
      </c>
      <c r="BF307" s="58" t="n">
        <f aca="false">IF(BE307="",0,MAX(0,MIN(1,(IF(CC307="L1",Parameter!$H$5,IF(CC307="L23",Parameter!$H$6+Parameter!$H$7,Parameter!$H$5+Parameter!$H$6+Parameter!$H$7))-(BE307-BA307))/BA307)))</f>
        <v>1</v>
      </c>
      <c r="BG307" s="48" t="str">
        <f aca="false">IF(AI307&lt;=0,"",IF(CC307="Aussen","Aussenlager",IF(CC307="-","Nicht im Lift",IF(AN307&gt;=1,"Lift",IF(AN307&lt;=0,"Aussenlager","teilweise")))))</f>
        <v>Lift</v>
      </c>
      <c r="BH307" s="48" t="str">
        <f aca="false">IF(AR307&lt;=0,"",IF(CC307="Aussen","Aussenlager",IF(CC307="-","Nicht im Lift",IF(AW307&gt;=1,"Lift",IF(AW307&lt;=0,"Aussenlager","teilweise")))))</f>
        <v>Lift</v>
      </c>
      <c r="BI307" s="48" t="str">
        <f aca="false">IF(BA307&lt;=0,"",IF(CC307="Aussen","Aussenlager",IF(CC307="-","Nicht im Lift",IF(BF307&gt;=1,"Lift",IF(BF307&lt;=0,"Aussenlager","teilweise")))))</f>
        <v>Lift</v>
      </c>
      <c r="BJ307" s="48" t="str">
        <f aca="false">IF(A307="","",IF(BS307=1,"Neu; ","")&amp;IF(AND(BS307=0,BN307&lt;0),"negativer Bestand (Export "&amp;BN307&amp;"); ","")&amp;IF(J307&lt;=0,"Kein Verbrauch; ","")&amp;IF(CL307&gt;0,"Lift "&amp;W307&amp;" lt. Liftbericht (Fach "&amp;X307&amp;" Stk); ",IF(BX307=1,"Gebinde geschätzt ("&amp;T307&amp;"); ",IF(BW307=1,"Lose – Tablare geschätzt; ","")))&amp;IF(H307&gt;AT307,"Überbestand "&amp;ROUND(H307-AT307,0)&amp;" Stk / CHF "&amp;ROUND((H307-AT307)*G307,0)&amp;"; ","")&amp;IF(AND(CE307=1,CF307&lt;CG307),"MAX &lt; MB+LG; ","")&amp;IF(AND(CK307&gt;0,CJ307*10&gt;CK307),"zu hoch für Tablar; ","")&amp;IF(AND(BS307=0,OR(CE307=1,AA307&lt;&gt;"",U307&lt;&gt;"",V307&lt;&gt;"",AB307&lt;&gt;"")),"manuell übersteuert; ","")&amp;IF(AND(BW307=0,R307=0),"Gebinde unbekannt / Stellmass fehlt; ","")&amp;IF(AND(BW307=0,N(V307)&lt;=0,N(Q307)&lt;=0),"Menge pro Gebinde fehlt (Ist = 1 Gebinde); ","")&amp;BR307)</f>
        <v>Überbestand 4 Stk / CHF 86; grosser Artikel &amp; nicht im KTL</v>
      </c>
      <c r="BK307" s="48"/>
      <c r="BL307" s="48"/>
      <c r="BM307" s="55"/>
      <c r="BN307" s="50" t="n">
        <v>12</v>
      </c>
      <c r="BO307" s="50" t="n">
        <v>8</v>
      </c>
      <c r="BP307" s="49" t="n">
        <v>262.04</v>
      </c>
      <c r="BQ307" s="50" t="n">
        <v>12</v>
      </c>
      <c r="BR307" s="48" t="s">
        <v>265</v>
      </c>
      <c r="BS307" s="53" t="n">
        <v>0</v>
      </c>
      <c r="BT307" s="53" t="n">
        <v>307</v>
      </c>
      <c r="BU307" s="48" t="str">
        <f aca="false">IF(U307&lt;&gt;"",UPPER(TRIM(U307)),IF(BX307=1,UPPER(VLOOKUP(T307,Parameter!$I$27:$K$29,2,0)),IF(P307="","LOSE",P307)))</f>
        <v>S62</v>
      </c>
      <c r="BV307" s="50" t="n">
        <f aca="false">IF(BU307="LOSE",1,IF(N(V307)&gt;0,V307,IF(BX307=1,MAX(1,N(VLOOKUP(T307,Parameter!$I$27:$K$29,3,0)),H307,N(N307)),IF(N(Q307)&gt;0,Q307,MAX(1,H307)))))</f>
        <v>8</v>
      </c>
      <c r="BW307" s="53" t="n">
        <f aca="false">IF(BU307="LOSE",1,0)</f>
        <v>0</v>
      </c>
      <c r="BX307" s="53" t="n">
        <f aca="false">IF(AND(U307="",OR(P307="",P307="LOSE"),T307&lt;&gt;"",N(S307)&lt;=0,ISNUMBER(MATCH(T307,Parameter!$I$27:$I$29,0))),1,0)</f>
        <v>0</v>
      </c>
      <c r="BY307" s="53" t="n">
        <f aca="false">IF(CL307&gt;0,INDEX(Parameter!$H$5:$H$7,W307)/INDEX(Parameter!$E$5:$E$7,W307),IF(AND(BW307=0,N(IFERROR(VLOOKUP(BU307,'Gebinde-Kategorie'!$A$5:$N$45,14,0),0))&gt;0),VLOOKUP(BU307,'Gebinde-Kategorie'!$A$5:$N$45,14,0)*10+Parameter!$M$23,Parameter!$M$24))</f>
        <v>245</v>
      </c>
      <c r="BZ307" s="48" t="str">
        <f aca="false">IF(AND(Parameter!$B$19="Ja",E307&lt;&gt;"",ISNUMBER(MATCH(E307,Parameter!$I$35:$I$52,0))),VLOOKUP(E307,Parameter!$I$35:$J$52,2,0),IFERROR(VLOOKUP(D307,Parameter!$A$35:$C$64,2,0),"Nein"))</f>
        <v>2+3</v>
      </c>
      <c r="CA307" s="52" t="n">
        <f aca="false">IF(BW307=0,0,IF(N(S307)&gt;0,S307,IFERROR(VLOOKUP(D307,Parameter!$A$35:$C$64,3,0)+0,0)))</f>
        <v>0</v>
      </c>
      <c r="CB307" s="48" t="n">
        <f aca="false">IF(AA307&lt;&gt;"",AA307,Z307)</f>
        <v>2</v>
      </c>
      <c r="CC307" s="48" t="str">
        <f aca="false">IF(OR(CB307=1,CB307=2,CB307=3),IF(Parameter!$E$27="Ja","LIFT",IF(CB307=1,"L1","L23")),IF(CB307="Aussen","Aussen","-"))</f>
        <v>LIFT</v>
      </c>
      <c r="CD307" s="59" t="n">
        <f aca="false">IF(N(AB307)&gt;0,AB307,0)</f>
        <v>0</v>
      </c>
      <c r="CE307" s="53" t="n">
        <f aca="false">IF(ISNUMBER(AE307),1,0)</f>
        <v>0</v>
      </c>
      <c r="CF307" s="50" t="n">
        <f aca="false">N(AE307)</f>
        <v>0</v>
      </c>
      <c r="CG307" s="50" t="n">
        <f aca="false">N(M307)+N(N307)</f>
        <v>10</v>
      </c>
      <c r="CH307" s="50" t="n">
        <f aca="false">ROUNDUP(H307/BV307,0)</f>
        <v>3</v>
      </c>
      <c r="CI307" s="50" t="n">
        <f aca="false">ROUNDUP(CF307/BV307,0)</f>
        <v>0</v>
      </c>
      <c r="CJ307" s="53" t="n">
        <f aca="false">IF(BW307=1,0,IFERROR(VLOOKUP(BU307,'Gebinde-Kategorie'!$A$5:$N$45,5,0)+0,0))</f>
        <v>21</v>
      </c>
      <c r="CK307" s="53" t="n">
        <f aca="false">IFERROR(IF(OR(CB307=1,CB307=2,CB307=3),N(INDEX(Parameter!$I$5:$I$7,CB307)),0),0)</f>
        <v>0</v>
      </c>
      <c r="CL307" s="52" t="n">
        <f aca="false">IF(AND(Parameter!$B$21="Ja",ISNUMBER(W307),N(X307)&gt;0),IFERROR(N(INDEX(Parameter!$L$5:$L$7,W307))*INDEX(Parameter!$E$5:$E$7,W307)*X307/SUMIFS($X$7:$X$1843,$W$7:$W$1843,W307),0),0)</f>
        <v>0</v>
      </c>
    </row>
    <row r="308" customFormat="false" ht="15" hidden="false" customHeight="false" outlineLevel="0" collapsed="false">
      <c r="A308" s="48" t="s">
        <v>787</v>
      </c>
      <c r="B308" s="48" t="s">
        <v>788</v>
      </c>
      <c r="C308" s="48" t="s">
        <v>168</v>
      </c>
      <c r="D308" s="48" t="s">
        <v>177</v>
      </c>
      <c r="E308" s="48" t="s">
        <v>170</v>
      </c>
      <c r="F308" s="48" t="s">
        <v>222</v>
      </c>
      <c r="G308" s="49" t="n">
        <v>452.4</v>
      </c>
      <c r="H308" s="50" t="n">
        <f aca="false">MAX(0,IF(AND(Parameter!$B$21="Ja",ISNUMBER(Y308)),Y308,IF(Parameter!$B$20="Jahresanfang 2025 + Export",BO308+BN308,BN308)))</f>
        <v>18</v>
      </c>
      <c r="I308" s="50" t="n">
        <f aca="false">H308*G308</f>
        <v>8143.2</v>
      </c>
      <c r="J308" s="50" t="n">
        <f aca="false">BQ308*Parameter!$B$18</f>
        <v>118</v>
      </c>
      <c r="K308" s="51" t="n">
        <v>17</v>
      </c>
      <c r="L308" s="52" t="n">
        <v>6.94117647058824</v>
      </c>
      <c r="M308" s="50" t="n">
        <v>10</v>
      </c>
      <c r="N308" s="50" t="n">
        <v>25</v>
      </c>
      <c r="O308" s="53" t="n">
        <v>84</v>
      </c>
      <c r="P308" s="48" t="s">
        <v>178</v>
      </c>
      <c r="Q308" s="50" t="n">
        <v>20</v>
      </c>
      <c r="R308" s="53" t="n">
        <f aca="false">IF(BW308=1,0,IFERROR(VLOOKUP(BU308,'Gebinde-Kategorie'!$A$5:$N$45,13,0)+0,0))</f>
        <v>6</v>
      </c>
      <c r="S308" s="54"/>
      <c r="T308" s="55"/>
      <c r="U308" s="55"/>
      <c r="V308" s="55"/>
      <c r="W308" s="48"/>
      <c r="X308" s="50"/>
      <c r="Y308" s="50"/>
      <c r="Z308" s="48" t="n">
        <f aca="false">IF(A308="","",IF(AND(Parameter!$B$21="Ja",ISNUMBER(W308)),W308,IF(BZ308="2+3",IF(ISNUMBER(SEARCH("grosser Artikel",BR308)),2,IFERROR(VLOOKUP(BU308,Parameter!$F$35:$G$64,2,0),2)),IF(OR(BZ308="Nein",BZ308=""),"-",BZ308))))</f>
        <v>1</v>
      </c>
      <c r="AA308" s="55"/>
      <c r="AB308" s="56"/>
      <c r="AC308" s="50" t="n">
        <f aca="false">AT308</f>
        <v>60</v>
      </c>
      <c r="AD308" s="50" t="n">
        <f aca="false">MAX(AT308,H308)</f>
        <v>60</v>
      </c>
      <c r="AE308" s="57"/>
      <c r="AF308" s="50" t="n">
        <f aca="false">IF(LEFT(Cockpit!$C$5,1)="A",H308,IF(CE308=1,CF308,IF(LEFT(Cockpit!$C$5,1)="B",AK308,MAX(AK308,H308))))</f>
        <v>18</v>
      </c>
      <c r="AG308" s="50" t="n">
        <f aca="false">IF(BW308=1,0,ROUNDUP(AF308/BV308,0))</f>
        <v>1</v>
      </c>
      <c r="AH308" s="52" t="n">
        <f aca="false">IF(CL308&gt;0,CL308*MAX(1,AF308/X308),IF(BW308=1,IF(AF308&lt;=0,0,CA308*MAX(1,IF(H308&gt;0,AF308/H308,1))),IF(R308&gt;0,AG308/R308,0))/MAX(0.1,N(Parameter!$M$21)))</f>
        <v>0.166666666666667</v>
      </c>
      <c r="AI308" s="50" t="n">
        <f aca="false">AH308*BY308</f>
        <v>39.1666666666667</v>
      </c>
      <c r="AJ308" s="50" t="n">
        <f aca="false">AF308*G308</f>
        <v>8143.2</v>
      </c>
      <c r="AK308" s="50" t="n">
        <f aca="false">ROUNDUP(MAX(J308/IF(CD308&gt;0,CD308,MAX(0.1,N(Cockpit!$C$6))),CG308)/BV308,0)*BV308</f>
        <v>60</v>
      </c>
      <c r="AL308" s="51" t="n">
        <f aca="false">IF(AI308&gt;0,J308/AI308,-1)</f>
        <v>3.01276595744681</v>
      </c>
      <c r="AM308" s="51" t="n">
        <f aca="false">IF(AND(OR(CC308="L1",CC308="L23",CC308="LIFT"),AI308&gt;0),SUMIFS($AI$7:$AI$1843,$CC$7:$CC$1843,CC308,$AL$7:$AL$1843,"&gt;"&amp;AL308)+SUMIFS($AI$7:$AI$1843,$CC$7:$CC$1843,CC308,$AL$7:$AL$1843,AL308,$BT$7:$BT$1843,"&lt;="&amp;BT308),"")</f>
        <v>5120.92445054945</v>
      </c>
      <c r="AN308" s="58" t="n">
        <f aca="false">IF(AM308="",0,MAX(0,MIN(1,(IF(CC308="L1",Parameter!$H$5,IF(CC308="L23",Parameter!$H$6+Parameter!$H$7,Parameter!$H$5+Parameter!$H$6+Parameter!$H$7))-(AM308-AI308))/AI308)))</f>
        <v>1</v>
      </c>
      <c r="AO308" s="50" t="n">
        <f aca="false">IF(LEFT(Cockpit!$I$5,1)="A",H308,IF(CE308=1,CF308,IF(LEFT(Cockpit!$I$5,1)="B",AT308,MAX(AT308,H308))))</f>
        <v>60</v>
      </c>
      <c r="AP308" s="50" t="n">
        <f aca="false">IF(BW308=1,0,ROUNDUP(AO308/BV308,0))</f>
        <v>3</v>
      </c>
      <c r="AQ308" s="52" t="n">
        <f aca="false">IF(CL308&gt;0,CL308*MAX(1,AO308/X308),IF(BW308=1,IF(AO308&lt;=0,0,CA308*MAX(1,IF(H308&gt;0,AO308/H308,1))),IF(R308&gt;0,AP308/R308,0))/MAX(0.1,N(Parameter!$M$21)))</f>
        <v>0.5</v>
      </c>
      <c r="AR308" s="50" t="n">
        <f aca="false">AQ308*BY308</f>
        <v>117.5</v>
      </c>
      <c r="AS308" s="50" t="n">
        <f aca="false">AO308*G308</f>
        <v>27144</v>
      </c>
      <c r="AT308" s="50" t="n">
        <f aca="false">ROUNDUP(MAX(J308/IF(CD308&gt;0,CD308,MAX(0.1,N(Cockpit!$I$6))),CG308)/BV308,0)*BV308</f>
        <v>60</v>
      </c>
      <c r="AU308" s="51" t="n">
        <f aca="false">IF(AR308&gt;0,J308/AR308,-1)</f>
        <v>1.00425531914894</v>
      </c>
      <c r="AV308" s="51" t="n">
        <f aca="false">IF(AND(OR(CC308="L1",CC308="L23",CC308="LIFT"),AR308&gt;0),SUMIFS($AR$7:$AR$1843,$CC$7:$CC$1843,CC308,$AU$7:$AU$1843,"&gt;"&amp;AU308)+SUMIFS($AR$7:$AR$1843,$CC$7:$CC$1843,CC308,$AU$7:$AU$1843,AU308,$BT$7:$BT$1843,"&lt;="&amp;BT308),"")</f>
        <v>10224.9688644689</v>
      </c>
      <c r="AW308" s="58" t="n">
        <f aca="false">IF(AV308="",0,MAX(0,MIN(1,(IF(CC308="L1",Parameter!$H$5,IF(CC308="L23",Parameter!$H$6+Parameter!$H$7,Parameter!$H$5+Parameter!$H$6+Parameter!$H$7))-(AV308-AR308))/AR308)))</f>
        <v>1</v>
      </c>
      <c r="AX308" s="50" t="n">
        <f aca="false">IF(LEFT(Cockpit!$O$5,1)="A",H308,IF(CE308=1,CF308,IF(LEFT(Cockpit!$O$5,1)="B",BC308,MAX(BC308,H308))))</f>
        <v>40</v>
      </c>
      <c r="AY308" s="50" t="n">
        <f aca="false">IF(BW308=1,0,ROUNDUP(AX308/BV308,0))</f>
        <v>2</v>
      </c>
      <c r="AZ308" s="52" t="n">
        <f aca="false">IF(CL308&gt;0,CL308*MAX(1,AX308/X308),IF(BW308=1,IF(AX308&lt;=0,0,CA308*MAX(1,IF(H308&gt;0,AX308/H308,1))),IF(R308&gt;0,AY308/R308,0))/MAX(0.1,N(Parameter!$M$21)))</f>
        <v>0.333333333333333</v>
      </c>
      <c r="BA308" s="50" t="n">
        <f aca="false">AZ308*BY308</f>
        <v>78.3333333333333</v>
      </c>
      <c r="BB308" s="50" t="n">
        <f aca="false">AX308*G308</f>
        <v>18096</v>
      </c>
      <c r="BC308" s="50" t="n">
        <f aca="false">ROUNDUP(MAX(J308/IF(CD308&gt;0,CD308,MAX(0.1,N(Cockpit!$O$6))),CG308)/BV308,0)*BV308</f>
        <v>40</v>
      </c>
      <c r="BD308" s="51" t="n">
        <f aca="false">IF(BA308&gt;0,J308/BA308,-1)</f>
        <v>1.5063829787234</v>
      </c>
      <c r="BE308" s="51" t="n">
        <f aca="false">IF(AND(OR(CC308="L1",CC308="L23",CC308="LIFT"),BA308&gt;0),SUMIFS($BA$7:$BA$1843,$CC$7:$CC$1843,CC308,$BD$7:$BD$1843,"&gt;"&amp;BD308)+SUMIFS($BA$7:$BA$1843,$CC$7:$CC$1843,CC308,$BD$7:$BD$1843,BD308,$BT$7:$BT$1843,"&lt;="&amp;BT308),"")</f>
        <v>8389.40796703297</v>
      </c>
      <c r="BF308" s="58" t="n">
        <f aca="false">IF(BE308="",0,MAX(0,MIN(1,(IF(CC308="L1",Parameter!$H$5,IF(CC308="L23",Parameter!$H$6+Parameter!$H$7,Parameter!$H$5+Parameter!$H$6+Parameter!$H$7))-(BE308-BA308))/BA308)))</f>
        <v>1</v>
      </c>
      <c r="BG308" s="48" t="str">
        <f aca="false">IF(AI308&lt;=0,"",IF(CC308="Aussen","Aussenlager",IF(CC308="-","Nicht im Lift",IF(AN308&gt;=1,"Lift",IF(AN308&lt;=0,"Aussenlager","teilweise")))))</f>
        <v>Lift</v>
      </c>
      <c r="BH308" s="48" t="str">
        <f aca="false">IF(AR308&lt;=0,"",IF(CC308="Aussen","Aussenlager",IF(CC308="-","Nicht im Lift",IF(AW308&gt;=1,"Lift",IF(AW308&lt;=0,"Aussenlager","teilweise")))))</f>
        <v>Lift</v>
      </c>
      <c r="BI308" s="48" t="str">
        <f aca="false">IF(BA308&lt;=0,"",IF(CC308="Aussen","Aussenlager",IF(CC308="-","Nicht im Lift",IF(BF308&gt;=1,"Lift",IF(BF308&lt;=0,"Aussenlager","teilweise")))))</f>
        <v>Lift</v>
      </c>
      <c r="BJ308" s="48" t="str">
        <f aca="false">IF(A308="","",IF(BS308=1,"Neu; ","")&amp;IF(AND(BS308=0,BN308&lt;0),"negativer Bestand (Export "&amp;BN308&amp;"); ","")&amp;IF(J308&lt;=0,"Kein Verbrauch; ","")&amp;IF(CL308&gt;0,"Lift "&amp;W308&amp;" lt. Liftbericht (Fach "&amp;X308&amp;" Stk); ",IF(BX308=1,"Gebinde geschätzt ("&amp;T308&amp;"); ",IF(BW308=1,"Lose – Tablare geschätzt; ","")))&amp;IF(H308&gt;AT308,"Überbestand "&amp;ROUND(H308-AT308,0)&amp;" Stk / CHF "&amp;ROUND((H308-AT308)*G308,0)&amp;"; ","")&amp;IF(AND(CE308=1,CF308&lt;CG308),"MAX &lt; MB+LG; ","")&amp;IF(AND(CK308&gt;0,CJ308*10&gt;CK308),"zu hoch für Tablar; ","")&amp;IF(AND(BS308=0,OR(CE308=1,AA308&lt;&gt;"",U308&lt;&gt;"",V308&lt;&gt;"",AB308&lt;&gt;"")),"manuell übersteuert; ","")&amp;IF(AND(BW308=0,R308=0),"Gebinde unbekannt / Stellmass fehlt; ","")&amp;IF(AND(BW308=0,N(V308)&lt;=0,N(Q308)&lt;=0),"Menge pro Gebinde fehlt (Ist = 1 Gebinde); ","")&amp;BR308)</f>
        <v/>
      </c>
      <c r="BK308" s="48"/>
      <c r="BL308" s="48"/>
      <c r="BM308" s="55"/>
      <c r="BN308" s="50" t="n">
        <v>1</v>
      </c>
      <c r="BO308" s="50" t="n">
        <v>17</v>
      </c>
      <c r="BP308" s="49" t="n">
        <v>258.500000000026</v>
      </c>
      <c r="BQ308" s="50" t="n">
        <v>118</v>
      </c>
      <c r="BR308" s="48"/>
      <c r="BS308" s="53" t="n">
        <v>0</v>
      </c>
      <c r="BT308" s="53" t="n">
        <v>308</v>
      </c>
      <c r="BU308" s="48" t="str">
        <f aca="false">IF(U308&lt;&gt;"",UPPER(TRIM(U308)),IF(BX308=1,UPPER(VLOOKUP(T308,Parameter!$I$27:$K$29,2,0)),IF(P308="","LOSE",P308)))</f>
        <v>S71</v>
      </c>
      <c r="BV308" s="50" t="n">
        <f aca="false">IF(BU308="LOSE",1,IF(N(V308)&gt;0,V308,IF(BX308=1,MAX(1,N(VLOOKUP(T308,Parameter!$I$27:$K$29,3,0)),H308,N(N308)),IF(N(Q308)&gt;0,Q308,MAX(1,H308)))))</f>
        <v>20</v>
      </c>
      <c r="BW308" s="53" t="n">
        <f aca="false">IF(BU308="LOSE",1,0)</f>
        <v>0</v>
      </c>
      <c r="BX308" s="53" t="n">
        <f aca="false">IF(AND(U308="",OR(P308="",P308="LOSE"),T308&lt;&gt;"",N(S308)&lt;=0,ISNUMBER(MATCH(T308,Parameter!$I$27:$I$29,0))),1,0)</f>
        <v>0</v>
      </c>
      <c r="BY308" s="53" t="n">
        <f aca="false">IF(CL308&gt;0,INDEX(Parameter!$H$5:$H$7,W308)/INDEX(Parameter!$E$5:$E$7,W308),IF(AND(BW308=0,N(IFERROR(VLOOKUP(BU308,'Gebinde-Kategorie'!$A$5:$N$45,14,0),0))&gt;0),VLOOKUP(BU308,'Gebinde-Kategorie'!$A$5:$N$45,14,0)*10+Parameter!$M$23,Parameter!$M$24))</f>
        <v>235</v>
      </c>
      <c r="BZ308" s="48" t="n">
        <f aca="false">IF(AND(Parameter!$B$19="Ja",E308&lt;&gt;"",ISNUMBER(MATCH(E308,Parameter!$I$35:$I$52,0))),VLOOKUP(E308,Parameter!$I$35:$J$52,2,0),IFERROR(VLOOKUP(D308,Parameter!$A$35:$C$64,2,0),"Nein"))</f>
        <v>1</v>
      </c>
      <c r="CA308" s="52" t="n">
        <f aca="false">IF(BW308=0,0,IF(N(S308)&gt;0,S308,IFERROR(VLOOKUP(D308,Parameter!$A$35:$C$64,3,0)+0,0)))</f>
        <v>0</v>
      </c>
      <c r="CB308" s="48" t="n">
        <f aca="false">IF(AA308&lt;&gt;"",AA308,Z308)</f>
        <v>1</v>
      </c>
      <c r="CC308" s="48" t="str">
        <f aca="false">IF(OR(CB308=1,CB308=2,CB308=3),IF(Parameter!$E$27="Ja","LIFT",IF(CB308=1,"L1","L23")),IF(CB308="Aussen","Aussen","-"))</f>
        <v>LIFT</v>
      </c>
      <c r="CD308" s="59" t="n">
        <f aca="false">IF(N(AB308)&gt;0,AB308,0)</f>
        <v>0</v>
      </c>
      <c r="CE308" s="53" t="n">
        <f aca="false">IF(ISNUMBER(AE308),1,0)</f>
        <v>0</v>
      </c>
      <c r="CF308" s="50" t="n">
        <f aca="false">N(AE308)</f>
        <v>0</v>
      </c>
      <c r="CG308" s="50" t="n">
        <f aca="false">N(M308)+N(N308)</f>
        <v>35</v>
      </c>
      <c r="CH308" s="50" t="n">
        <f aca="false">ROUNDUP(H308/BV308,0)</f>
        <v>1</v>
      </c>
      <c r="CI308" s="50" t="n">
        <f aca="false">ROUNDUP(CF308/BV308,0)</f>
        <v>0</v>
      </c>
      <c r="CJ308" s="53" t="n">
        <f aca="false">IF(BW308=1,0,IFERROR(VLOOKUP(BU308,'Gebinde-Kategorie'!$A$5:$N$45,5,0)+0,0))</f>
        <v>20</v>
      </c>
      <c r="CK308" s="53" t="n">
        <f aca="false">IFERROR(IF(OR(CB308=1,CB308=2,CB308=3),N(INDEX(Parameter!$I$5:$I$7,CB308)),0),0)</f>
        <v>0</v>
      </c>
      <c r="CL308" s="52" t="n">
        <f aca="false">IF(AND(Parameter!$B$21="Ja",ISNUMBER(W308),N(X308)&gt;0),IFERROR(N(INDEX(Parameter!$L$5:$L$7,W308))*INDEX(Parameter!$E$5:$E$7,W308)*X308/SUMIFS($X$7:$X$1843,$W$7:$W$1843,W308),0),0)</f>
        <v>0</v>
      </c>
    </row>
    <row r="309" customFormat="false" ht="15" hidden="false" customHeight="false" outlineLevel="0" collapsed="false">
      <c r="A309" s="48" t="s">
        <v>789</v>
      </c>
      <c r="B309" s="48" t="s">
        <v>790</v>
      </c>
      <c r="C309" s="48" t="s">
        <v>168</v>
      </c>
      <c r="D309" s="48" t="s">
        <v>177</v>
      </c>
      <c r="E309" s="48"/>
      <c r="F309" s="48" t="s">
        <v>222</v>
      </c>
      <c r="G309" s="49" t="n">
        <v>258.1</v>
      </c>
      <c r="H309" s="50" t="n">
        <f aca="false">MAX(0,IF(AND(Parameter!$B$21="Ja",ISNUMBER(Y309)),Y309,IF(Parameter!$B$20="Jahresanfang 2025 + Export",BO309+BN309,BN309)))</f>
        <v>8</v>
      </c>
      <c r="I309" s="50" t="n">
        <f aca="false">H309*G309</f>
        <v>2064.8</v>
      </c>
      <c r="J309" s="50" t="n">
        <f aca="false">BQ309*Parameter!$B$18</f>
        <v>0</v>
      </c>
      <c r="K309" s="51" t="n">
        <v>7.5</v>
      </c>
      <c r="L309" s="52" t="n">
        <v>0</v>
      </c>
      <c r="M309" s="50" t="n">
        <v>0</v>
      </c>
      <c r="N309" s="50" t="n">
        <v>1</v>
      </c>
      <c r="O309" s="53" t="n">
        <v>28</v>
      </c>
      <c r="P309" s="48" t="s">
        <v>172</v>
      </c>
      <c r="Q309" s="50"/>
      <c r="R309" s="53" t="n">
        <f aca="false">IF(BW309=1,0,IFERROR(VLOOKUP(BU309,'Gebinde-Kategorie'!$A$5:$N$45,13,0)+0,0))</f>
        <v>12</v>
      </c>
      <c r="S309" s="54"/>
      <c r="T309" s="55" t="s">
        <v>183</v>
      </c>
      <c r="U309" s="55"/>
      <c r="V309" s="55"/>
      <c r="W309" s="48"/>
      <c r="X309" s="50"/>
      <c r="Y309" s="50"/>
      <c r="Z309" s="48" t="n">
        <f aca="false">IF(A309="","",IF(AND(Parameter!$B$21="Ja",ISNUMBER(W309)),W309,IF(BZ309="2+3",IF(ISNUMBER(SEARCH("grosser Artikel",BR309)),2,IFERROR(VLOOKUP(BU309,Parameter!$F$35:$G$64,2,0),2)),IF(OR(BZ309="Nein",BZ309=""),"-",BZ309))))</f>
        <v>2</v>
      </c>
      <c r="AA309" s="55"/>
      <c r="AB309" s="56"/>
      <c r="AC309" s="50" t="n">
        <f aca="false">AT309</f>
        <v>8</v>
      </c>
      <c r="AD309" s="50" t="n">
        <f aca="false">MAX(AT309,H309)</f>
        <v>8</v>
      </c>
      <c r="AE309" s="57"/>
      <c r="AF309" s="50" t="n">
        <f aca="false">IF(LEFT(Cockpit!$C$5,1)="A",H309,IF(CE309=1,CF309,IF(LEFT(Cockpit!$C$5,1)="B",AK309,MAX(AK309,H309))))</f>
        <v>8</v>
      </c>
      <c r="AG309" s="50" t="n">
        <f aca="false">IF(BW309=1,0,ROUNDUP(AF309/BV309,0))</f>
        <v>1</v>
      </c>
      <c r="AH309" s="52" t="n">
        <f aca="false">IF(CL309&gt;0,CL309*MAX(1,AF309/X309),IF(BW309=1,IF(AF309&lt;=0,0,CA309*MAX(1,IF(H309&gt;0,AF309/H309,1))),IF(R309&gt;0,AG309/R309,0))/MAX(0.1,N(Parameter!$M$21)))</f>
        <v>0.0833333333333333</v>
      </c>
      <c r="AI309" s="50" t="n">
        <f aca="false">AH309*BY309</f>
        <v>12.0833333333333</v>
      </c>
      <c r="AJ309" s="50" t="n">
        <f aca="false">AF309*G309</f>
        <v>2064.8</v>
      </c>
      <c r="AK309" s="50" t="n">
        <f aca="false">ROUNDUP(MAX(J309/IF(CD309&gt;0,CD309,MAX(0.1,N(Cockpit!$C$6))),CG309)/BV309,0)*BV309</f>
        <v>8</v>
      </c>
      <c r="AL309" s="51" t="n">
        <f aca="false">IF(AI309&gt;0,J309/AI309,-1)</f>
        <v>0</v>
      </c>
      <c r="AM309" s="51" t="n">
        <f aca="false">IF(AND(OR(CC309="L1",CC309="L23",CC309="LIFT"),AI309&gt;0),SUMIFS($AI$7:$AI$1843,$CC$7:$CC$1843,CC309,$AL$7:$AL$1843,"&gt;"&amp;AL309)+SUMIFS($AI$7:$AI$1843,$CC$7:$CC$1843,CC309,$AL$7:$AL$1843,AL309,$BT$7:$BT$1843,"&lt;="&amp;BT309),"")</f>
        <v>27888.7780985493</v>
      </c>
      <c r="AN309" s="58" t="n">
        <f aca="false">IF(AM309="",0,MAX(0,MIN(1,(IF(CC309="L1",Parameter!$H$5,IF(CC309="L23",Parameter!$H$6+Parameter!$H$7,Parameter!$H$5+Parameter!$H$6+Parameter!$H$7))-(AM309-AI309))/AI309)))</f>
        <v>1</v>
      </c>
      <c r="AO309" s="50" t="n">
        <f aca="false">IF(LEFT(Cockpit!$I$5,1)="A",H309,IF(CE309=1,CF309,IF(LEFT(Cockpit!$I$5,1)="B",AT309,MAX(AT309,H309))))</f>
        <v>8</v>
      </c>
      <c r="AP309" s="50" t="n">
        <f aca="false">IF(BW309=1,0,ROUNDUP(AO309/BV309,0))</f>
        <v>1</v>
      </c>
      <c r="AQ309" s="52" t="n">
        <f aca="false">IF(CL309&gt;0,CL309*MAX(1,AO309/X309),IF(BW309=1,IF(AO309&lt;=0,0,CA309*MAX(1,IF(H309&gt;0,AO309/H309,1))),IF(R309&gt;0,AP309/R309,0))/MAX(0.1,N(Parameter!$M$21)))</f>
        <v>0.0833333333333333</v>
      </c>
      <c r="AR309" s="50" t="n">
        <f aca="false">AQ309*BY309</f>
        <v>12.0833333333333</v>
      </c>
      <c r="AS309" s="50" t="n">
        <f aca="false">AO309*G309</f>
        <v>2064.8</v>
      </c>
      <c r="AT309" s="50" t="n">
        <f aca="false">ROUNDUP(MAX(J309/IF(CD309&gt;0,CD309,MAX(0.1,N(Cockpit!$I$6))),CG309)/BV309,0)*BV309</f>
        <v>8</v>
      </c>
      <c r="AU309" s="51" t="n">
        <f aca="false">IF(AR309&gt;0,J309/AR309,-1)</f>
        <v>0</v>
      </c>
      <c r="AV309" s="51" t="n">
        <f aca="false">IF(AND(OR(CC309="L1",CC309="L23",CC309="LIFT"),AR309&gt;0),SUMIFS($AR$7:$AR$1843,$CC$7:$CC$1843,CC309,$AU$7:$AU$1843,"&gt;"&amp;AU309)+SUMIFS($AR$7:$AR$1843,$CC$7:$CC$1843,CC309,$AU$7:$AU$1843,AU309,$BT$7:$BT$1843,"&lt;="&amp;BT309),"")</f>
        <v>39201.6836158192</v>
      </c>
      <c r="AW309" s="58" t="n">
        <f aca="false">IF(AV309="",0,MAX(0,MIN(1,(IF(CC309="L1",Parameter!$H$5,IF(CC309="L23",Parameter!$H$6+Parameter!$H$7,Parameter!$H$5+Parameter!$H$6+Parameter!$H$7))-(AV309-AR309))/AR309)))</f>
        <v>0</v>
      </c>
      <c r="AX309" s="50" t="n">
        <f aca="false">IF(LEFT(Cockpit!$O$5,1)="A",H309,IF(CE309=1,CF309,IF(LEFT(Cockpit!$O$5,1)="B",BC309,MAX(BC309,H309))))</f>
        <v>8</v>
      </c>
      <c r="AY309" s="50" t="n">
        <f aca="false">IF(BW309=1,0,ROUNDUP(AX309/BV309,0))</f>
        <v>1</v>
      </c>
      <c r="AZ309" s="52" t="n">
        <f aca="false">IF(CL309&gt;0,CL309*MAX(1,AX309/X309),IF(BW309=1,IF(AX309&lt;=0,0,CA309*MAX(1,IF(H309&gt;0,AX309/H309,1))),IF(R309&gt;0,AY309/R309,0))/MAX(0.1,N(Parameter!$M$21)))</f>
        <v>0.0833333333333333</v>
      </c>
      <c r="BA309" s="50" t="n">
        <f aca="false">AZ309*BY309</f>
        <v>12.0833333333333</v>
      </c>
      <c r="BB309" s="50" t="n">
        <f aca="false">AX309*G309</f>
        <v>2064.8</v>
      </c>
      <c r="BC309" s="50" t="n">
        <f aca="false">ROUNDUP(MAX(J309/IF(CD309&gt;0,CD309,MAX(0.1,N(Cockpit!$O$6))),CG309)/BV309,0)*BV309</f>
        <v>8</v>
      </c>
      <c r="BD309" s="51" t="n">
        <f aca="false">IF(BA309&gt;0,J309/BA309,-1)</f>
        <v>0</v>
      </c>
      <c r="BE309" s="51" t="n">
        <f aca="false">IF(AND(OR(CC309="L1",CC309="L23",CC309="LIFT"),BA309&gt;0),SUMIFS($BA$7:$BA$1843,$CC$7:$CC$1843,CC309,$BD$7:$BD$1843,"&gt;"&amp;BD309)+SUMIFS($BA$7:$BA$1843,$CC$7:$CC$1843,CC309,$BD$7:$BD$1843,BD309,$BT$7:$BT$1843,"&lt;="&amp;BT309),"")</f>
        <v>35876.6956576851</v>
      </c>
      <c r="BF309" s="58" t="n">
        <f aca="false">IF(BE309="",0,MAX(0,MIN(1,(IF(CC309="L1",Parameter!$H$5,IF(CC309="L23",Parameter!$H$6+Parameter!$H$7,Parameter!$H$5+Parameter!$H$6+Parameter!$H$7))-(BE309-BA309))/BA309)))</f>
        <v>0</v>
      </c>
      <c r="BG309" s="48" t="str">
        <f aca="false">IF(AI309&lt;=0,"",IF(CC309="Aussen","Aussenlager",IF(CC309="-","Nicht im Lift",IF(AN309&gt;=1,"Lift",IF(AN309&lt;=0,"Aussenlager","teilweise")))))</f>
        <v>Lift</v>
      </c>
      <c r="BH309" s="48" t="str">
        <f aca="false">IF(AR309&lt;=0,"",IF(CC309="Aussen","Aussenlager",IF(CC309="-","Nicht im Lift",IF(AW309&gt;=1,"Lift",IF(AW309&lt;=0,"Aussenlager","teilweise")))))</f>
        <v>Aussenlager</v>
      </c>
      <c r="BI309" s="48" t="str">
        <f aca="false">IF(BA309&lt;=0,"",IF(CC309="Aussen","Aussenlager",IF(CC309="-","Nicht im Lift",IF(BF309&gt;=1,"Lift",IF(BF309&lt;=0,"Aussenlager","teilweise")))))</f>
        <v>Aussenlager</v>
      </c>
      <c r="BJ309" s="48" t="str">
        <f aca="false">IF(A309="","",IF(BS309=1,"Neu; ","")&amp;IF(AND(BS309=0,BN309&lt;0),"negativer Bestand (Export "&amp;BN309&amp;"); ","")&amp;IF(J309&lt;=0,"Kein Verbrauch; ","")&amp;IF(CL309&gt;0,"Lift "&amp;W309&amp;" lt. Liftbericht (Fach "&amp;X309&amp;" Stk); ",IF(BX309=1,"Gebinde geschätzt ("&amp;T309&amp;"); ",IF(BW309=1,"Lose – Tablare geschätzt; ","")))&amp;IF(H309&gt;AT309,"Überbestand "&amp;ROUND(H309-AT309,0)&amp;" Stk / CHF "&amp;ROUND((H309-AT309)*G309,0)&amp;"; ","")&amp;IF(AND(CE309=1,CF309&lt;CG309),"MAX &lt; MB+LG; ","")&amp;IF(AND(CK309&gt;0,CJ309*10&gt;CK309),"zu hoch für Tablar; ","")&amp;IF(AND(BS309=0,OR(CE309=1,AA309&lt;&gt;"",U309&lt;&gt;"",V309&lt;&gt;"",AB309&lt;&gt;"")),"manuell übersteuert; ","")&amp;IF(AND(BW309=0,R309=0),"Gebinde unbekannt / Stellmass fehlt; ","")&amp;IF(AND(BW309=0,N(V309)&lt;=0,N(Q309)&lt;=0),"Menge pro Gebinde fehlt (Ist = 1 Gebinde); ","")&amp;BR309)</f>
        <v>Kein Verbrauch; Gebinde geschätzt (Mittel); Menge pro Gebinde fehlt (Ist = 1 Gebinde); </v>
      </c>
      <c r="BK309" s="48"/>
      <c r="BL309" s="48"/>
      <c r="BM309" s="55"/>
      <c r="BN309" s="50" t="n">
        <v>1</v>
      </c>
      <c r="BO309" s="50" t="n">
        <v>7</v>
      </c>
      <c r="BP309" s="49" t="n">
        <v>258.1</v>
      </c>
      <c r="BQ309" s="50" t="n">
        <v>0</v>
      </c>
      <c r="BR309" s="48"/>
      <c r="BS309" s="53" t="n">
        <v>0</v>
      </c>
      <c r="BT309" s="53" t="n">
        <v>309</v>
      </c>
      <c r="BU309" s="48" t="str">
        <f aca="false">IF(U309&lt;&gt;"",UPPER(TRIM(U309)),IF(BX309=1,UPPER(VLOOKUP(T309,Parameter!$I$27:$K$29,2,0)),IF(P309="","LOSE",P309)))</f>
        <v>S61</v>
      </c>
      <c r="BV309" s="50" t="n">
        <f aca="false">IF(BU309="LOSE",1,IF(N(V309)&gt;0,V309,IF(BX309=1,MAX(1,N(VLOOKUP(T309,Parameter!$I$27:$K$29,3,0)),H309,N(N309)),IF(N(Q309)&gt;0,Q309,MAX(1,H309)))))</f>
        <v>8</v>
      </c>
      <c r="BW309" s="53" t="n">
        <f aca="false">IF(BU309="LOSE",1,0)</f>
        <v>0</v>
      </c>
      <c r="BX309" s="53" t="n">
        <f aca="false">IF(AND(U309="",OR(P309="",P309="LOSE"),T309&lt;&gt;"",N(S309)&lt;=0,ISNUMBER(MATCH(T309,Parameter!$I$27:$I$29,0))),1,0)</f>
        <v>1</v>
      </c>
      <c r="BY309" s="53" t="n">
        <f aca="false">IF(CL309&gt;0,INDEX(Parameter!$H$5:$H$7,W309)/INDEX(Parameter!$E$5:$E$7,W309),IF(AND(BW309=0,N(IFERROR(VLOOKUP(BU309,'Gebinde-Kategorie'!$A$5:$N$45,14,0),0))&gt;0),VLOOKUP(BU309,'Gebinde-Kategorie'!$A$5:$N$45,14,0)*10+Parameter!$M$23,Parameter!$M$24))</f>
        <v>145</v>
      </c>
      <c r="BZ309" s="48" t="str">
        <f aca="false">IF(AND(Parameter!$B$19="Ja",E309&lt;&gt;"",ISNUMBER(MATCH(E309,Parameter!$I$35:$I$52,0))),VLOOKUP(E309,Parameter!$I$35:$J$52,2,0),IFERROR(VLOOKUP(D309,Parameter!$A$35:$C$64,2,0),"Nein"))</f>
        <v>2+3</v>
      </c>
      <c r="CA309" s="52" t="n">
        <f aca="false">IF(BW309=0,0,IF(N(S309)&gt;0,S309,IFERROR(VLOOKUP(D309,Parameter!$A$35:$C$64,3,0)+0,0)))</f>
        <v>0</v>
      </c>
      <c r="CB309" s="48" t="n">
        <f aca="false">IF(AA309&lt;&gt;"",AA309,Z309)</f>
        <v>2</v>
      </c>
      <c r="CC309" s="48" t="str">
        <f aca="false">IF(OR(CB309=1,CB309=2,CB309=3),IF(Parameter!$E$27="Ja","LIFT",IF(CB309=1,"L1","L23")),IF(CB309="Aussen","Aussen","-"))</f>
        <v>LIFT</v>
      </c>
      <c r="CD309" s="59" t="n">
        <f aca="false">IF(N(AB309)&gt;0,AB309,0)</f>
        <v>0</v>
      </c>
      <c r="CE309" s="53" t="n">
        <f aca="false">IF(ISNUMBER(AE309),1,0)</f>
        <v>0</v>
      </c>
      <c r="CF309" s="50" t="n">
        <f aca="false">N(AE309)</f>
        <v>0</v>
      </c>
      <c r="CG309" s="50" t="n">
        <f aca="false">N(M309)+N(N309)</f>
        <v>1</v>
      </c>
      <c r="CH309" s="50" t="n">
        <f aca="false">ROUNDUP(H309/BV309,0)</f>
        <v>1</v>
      </c>
      <c r="CI309" s="50" t="n">
        <f aca="false">ROUNDUP(CF309/BV309,0)</f>
        <v>0</v>
      </c>
      <c r="CJ309" s="53" t="n">
        <f aca="false">IF(BW309=1,0,IFERROR(VLOOKUP(BU309,'Gebinde-Kategorie'!$A$5:$N$45,5,0)+0,0))</f>
        <v>11</v>
      </c>
      <c r="CK309" s="53" t="n">
        <f aca="false">IFERROR(IF(OR(CB309=1,CB309=2,CB309=3),N(INDEX(Parameter!$I$5:$I$7,CB309)),0),0)</f>
        <v>0</v>
      </c>
      <c r="CL309" s="52" t="n">
        <f aca="false">IF(AND(Parameter!$B$21="Ja",ISNUMBER(W309),N(X309)&gt;0),IFERROR(N(INDEX(Parameter!$L$5:$L$7,W309))*INDEX(Parameter!$E$5:$E$7,W309)*X309/SUMIFS($X$7:$X$1843,$W$7:$W$1843,W309),0),0)</f>
        <v>0</v>
      </c>
    </row>
    <row r="310" customFormat="false" ht="15" hidden="false" customHeight="false" outlineLevel="0" collapsed="false">
      <c r="A310" s="48" t="s">
        <v>791</v>
      </c>
      <c r="B310" s="48" t="s">
        <v>792</v>
      </c>
      <c r="C310" s="48" t="s">
        <v>168</v>
      </c>
      <c r="D310" s="48" t="s">
        <v>177</v>
      </c>
      <c r="E310" s="48"/>
      <c r="F310" s="48" t="s">
        <v>222</v>
      </c>
      <c r="G310" s="49" t="n">
        <v>32.17</v>
      </c>
      <c r="H310" s="50" t="n">
        <f aca="false">MAX(0,IF(AND(Parameter!$B$21="Ja",ISNUMBER(Y310)),Y310,IF(Parameter!$B$20="Jahresanfang 2025 + Export",BO310+BN310,BN310)))</f>
        <v>19</v>
      </c>
      <c r="I310" s="50" t="n">
        <f aca="false">H310*G310</f>
        <v>611.23</v>
      </c>
      <c r="J310" s="50" t="n">
        <f aca="false">BQ310*Parameter!$B$18</f>
        <v>22</v>
      </c>
      <c r="K310" s="51" t="n">
        <v>4.5</v>
      </c>
      <c r="L310" s="52" t="n">
        <v>4.88888888888889</v>
      </c>
      <c r="M310" s="50" t="n">
        <v>5</v>
      </c>
      <c r="N310" s="50" t="n">
        <v>30</v>
      </c>
      <c r="O310" s="53" t="n">
        <v>90</v>
      </c>
      <c r="P310" s="48" t="s">
        <v>190</v>
      </c>
      <c r="Q310" s="50" t="n">
        <v>15</v>
      </c>
      <c r="R310" s="53" t="n">
        <f aca="false">IF(BW310=1,0,IFERROR(VLOOKUP(BU310,'Gebinde-Kategorie'!$A$5:$N$45,13,0)+0,0))</f>
        <v>12</v>
      </c>
      <c r="S310" s="54"/>
      <c r="T310" s="55"/>
      <c r="U310" s="55"/>
      <c r="V310" s="55"/>
      <c r="W310" s="48"/>
      <c r="X310" s="50"/>
      <c r="Y310" s="50"/>
      <c r="Z310" s="48" t="n">
        <f aca="false">IF(A310="","",IF(AND(Parameter!$B$21="Ja",ISNUMBER(W310)),W310,IF(BZ310="2+3",IF(ISNUMBER(SEARCH("grosser Artikel",BR310)),2,IFERROR(VLOOKUP(BU310,Parameter!$F$35:$G$64,2,0),2)),IF(OR(BZ310="Nein",BZ310=""),"-",BZ310))))</f>
        <v>2</v>
      </c>
      <c r="AA310" s="55"/>
      <c r="AB310" s="56"/>
      <c r="AC310" s="50" t="n">
        <f aca="false">AT310</f>
        <v>45</v>
      </c>
      <c r="AD310" s="50" t="n">
        <f aca="false">MAX(AT310,H310)</f>
        <v>45</v>
      </c>
      <c r="AE310" s="57"/>
      <c r="AF310" s="50" t="n">
        <f aca="false">IF(LEFT(Cockpit!$C$5,1)="A",H310,IF(CE310=1,CF310,IF(LEFT(Cockpit!$C$5,1)="B",AK310,MAX(AK310,H310))))</f>
        <v>19</v>
      </c>
      <c r="AG310" s="50" t="n">
        <f aca="false">IF(BW310=1,0,ROUNDUP(AF310/BV310,0))</f>
        <v>2</v>
      </c>
      <c r="AH310" s="52" t="n">
        <f aca="false">IF(CL310&gt;0,CL310*MAX(1,AF310/X310),IF(BW310=1,IF(AF310&lt;=0,0,CA310*MAX(1,IF(H310&gt;0,AF310/H310,1))),IF(R310&gt;0,AG310/R310,0))/MAX(0.1,N(Parameter!$M$21)))</f>
        <v>0.166666666666667</v>
      </c>
      <c r="AI310" s="50" t="n">
        <f aca="false">AH310*BY310</f>
        <v>24.1666666666667</v>
      </c>
      <c r="AJ310" s="50" t="n">
        <f aca="false">AF310*G310</f>
        <v>611.23</v>
      </c>
      <c r="AK310" s="50" t="n">
        <f aca="false">ROUNDUP(MAX(J310/IF(CD310&gt;0,CD310,MAX(0.1,N(Cockpit!$C$6))),CG310)/BV310,0)*BV310</f>
        <v>45</v>
      </c>
      <c r="AL310" s="51" t="n">
        <f aca="false">IF(AI310&gt;0,J310/AI310,-1)</f>
        <v>0.910344827586207</v>
      </c>
      <c r="AM310" s="51" t="n">
        <f aca="false">IF(AND(OR(CC310="L1",CC310="L23",CC310="LIFT"),AI310&gt;0),SUMIFS($AI$7:$AI$1843,$CC$7:$CC$1843,CC310,$AL$7:$AL$1843,"&gt;"&amp;AL310)+SUMIFS($AI$7:$AI$1843,$CC$7:$CC$1843,CC310,$AL$7:$AL$1843,AL310,$BT$7:$BT$1843,"&lt;="&amp;BT310),"")</f>
        <v>7455.12225274725</v>
      </c>
      <c r="AN310" s="58" t="n">
        <f aca="false">IF(AM310="",0,MAX(0,MIN(1,(IF(CC310="L1",Parameter!$H$5,IF(CC310="L23",Parameter!$H$6+Parameter!$H$7,Parameter!$H$5+Parameter!$H$6+Parameter!$H$7))-(AM310-AI310))/AI310)))</f>
        <v>1</v>
      </c>
      <c r="AO310" s="50" t="n">
        <f aca="false">IF(LEFT(Cockpit!$I$5,1)="A",H310,IF(CE310=1,CF310,IF(LEFT(Cockpit!$I$5,1)="B",AT310,MAX(AT310,H310))))</f>
        <v>45</v>
      </c>
      <c r="AP310" s="50" t="n">
        <f aca="false">IF(BW310=1,0,ROUNDUP(AO310/BV310,0))</f>
        <v>3</v>
      </c>
      <c r="AQ310" s="52" t="n">
        <f aca="false">IF(CL310&gt;0,CL310*MAX(1,AO310/X310),IF(BW310=1,IF(AO310&lt;=0,0,CA310*MAX(1,IF(H310&gt;0,AO310/H310,1))),IF(R310&gt;0,AP310/R310,0))/MAX(0.1,N(Parameter!$M$21)))</f>
        <v>0.25</v>
      </c>
      <c r="AR310" s="50" t="n">
        <f aca="false">AQ310*BY310</f>
        <v>36.25</v>
      </c>
      <c r="AS310" s="50" t="n">
        <f aca="false">AO310*G310</f>
        <v>1447.65</v>
      </c>
      <c r="AT310" s="50" t="n">
        <f aca="false">ROUNDUP(MAX(J310/IF(CD310&gt;0,CD310,MAX(0.1,N(Cockpit!$I$6))),CG310)/BV310,0)*BV310</f>
        <v>45</v>
      </c>
      <c r="AU310" s="51" t="n">
        <f aca="false">IF(AR310&gt;0,J310/AR310,-1)</f>
        <v>0.606896551724138</v>
      </c>
      <c r="AV310" s="51" t="n">
        <f aca="false">IF(AND(OR(CC310="L1",CC310="L23",CC310="LIFT"),AR310&gt;0),SUMIFS($AR$7:$AR$1843,$CC$7:$CC$1843,CC310,$AU$7:$AU$1843,"&gt;"&amp;AU310)+SUMIFS($AR$7:$AR$1843,$CC$7:$CC$1843,CC310,$AU$7:$AU$1843,AU310,$BT$7:$BT$1843,"&lt;="&amp;BT310),"")</f>
        <v>12580.6543040293</v>
      </c>
      <c r="AW310" s="58" t="n">
        <f aca="false">IF(AV310="",0,MAX(0,MIN(1,(IF(CC310="L1",Parameter!$H$5,IF(CC310="L23",Parameter!$H$6+Parameter!$H$7,Parameter!$H$5+Parameter!$H$6+Parameter!$H$7))-(AV310-AR310))/AR310)))</f>
        <v>1</v>
      </c>
      <c r="AX310" s="50" t="n">
        <f aca="false">IF(LEFT(Cockpit!$O$5,1)="A",H310,IF(CE310=1,CF310,IF(LEFT(Cockpit!$O$5,1)="B",BC310,MAX(BC310,H310))))</f>
        <v>45</v>
      </c>
      <c r="AY310" s="50" t="n">
        <f aca="false">IF(BW310=1,0,ROUNDUP(AX310/BV310,0))</f>
        <v>3</v>
      </c>
      <c r="AZ310" s="52" t="n">
        <f aca="false">IF(CL310&gt;0,CL310*MAX(1,AX310/X310),IF(BW310=1,IF(AX310&lt;=0,0,CA310*MAX(1,IF(H310&gt;0,AX310/H310,1))),IF(R310&gt;0,AY310/R310,0))/MAX(0.1,N(Parameter!$M$21)))</f>
        <v>0.25</v>
      </c>
      <c r="BA310" s="50" t="n">
        <f aca="false">AZ310*BY310</f>
        <v>36.25</v>
      </c>
      <c r="BB310" s="50" t="n">
        <f aca="false">AX310*G310</f>
        <v>1447.65</v>
      </c>
      <c r="BC310" s="50" t="n">
        <f aca="false">ROUNDUP(MAX(J310/IF(CD310&gt;0,CD310,MAX(0.1,N(Cockpit!$O$6))),CG310)/BV310,0)*BV310</f>
        <v>45</v>
      </c>
      <c r="BD310" s="51" t="n">
        <f aca="false">IF(BA310&gt;0,J310/BA310,-1)</f>
        <v>0.606896551724138</v>
      </c>
      <c r="BE310" s="51" t="n">
        <f aca="false">IF(AND(OR(CC310="L1",CC310="L23",CC310="LIFT"),BA310&gt;0),SUMIFS($BA$7:$BA$1843,$CC$7:$CC$1843,CC310,$BD$7:$BD$1843,"&gt;"&amp;BD310)+SUMIFS($BA$7:$BA$1843,$CC$7:$CC$1843,CC310,$BD$7:$BD$1843,BD310,$BT$7:$BT$1843,"&lt;="&amp;BT310),"")</f>
        <v>11745.478021978</v>
      </c>
      <c r="BF310" s="58" t="n">
        <f aca="false">IF(BE310="",0,MAX(0,MIN(1,(IF(CC310="L1",Parameter!$H$5,IF(CC310="L23",Parameter!$H$6+Parameter!$H$7,Parameter!$H$5+Parameter!$H$6+Parameter!$H$7))-(BE310-BA310))/BA310)))</f>
        <v>1</v>
      </c>
      <c r="BG310" s="48" t="str">
        <f aca="false">IF(AI310&lt;=0,"",IF(CC310="Aussen","Aussenlager",IF(CC310="-","Nicht im Lift",IF(AN310&gt;=1,"Lift",IF(AN310&lt;=0,"Aussenlager","teilweise")))))</f>
        <v>Lift</v>
      </c>
      <c r="BH310" s="48" t="str">
        <f aca="false">IF(AR310&lt;=0,"",IF(CC310="Aussen","Aussenlager",IF(CC310="-","Nicht im Lift",IF(AW310&gt;=1,"Lift",IF(AW310&lt;=0,"Aussenlager","teilweise")))))</f>
        <v>Lift</v>
      </c>
      <c r="BI310" s="48" t="str">
        <f aca="false">IF(BA310&lt;=0,"",IF(CC310="Aussen","Aussenlager",IF(CC310="-","Nicht im Lift",IF(BF310&gt;=1,"Lift",IF(BF310&lt;=0,"Aussenlager","teilweise")))))</f>
        <v>Lift</v>
      </c>
      <c r="BJ310" s="48" t="str">
        <f aca="false">IF(A310="","",IF(BS310=1,"Neu; ","")&amp;IF(AND(BS310=0,BN310&lt;0),"negativer Bestand (Export "&amp;BN310&amp;"); ","")&amp;IF(J310&lt;=0,"Kein Verbrauch; ","")&amp;IF(CL310&gt;0,"Lift "&amp;W310&amp;" lt. Liftbericht (Fach "&amp;X310&amp;" Stk); ",IF(BX310=1,"Gebinde geschätzt ("&amp;T310&amp;"); ",IF(BW310=1,"Lose – Tablare geschätzt; ","")))&amp;IF(H310&gt;AT310,"Überbestand "&amp;ROUND(H310-AT310,0)&amp;" Stk / CHF "&amp;ROUND((H310-AT310)*G310,0)&amp;"; ","")&amp;IF(AND(CE310=1,CF310&lt;CG310),"MAX &lt; MB+LG; ","")&amp;IF(AND(CK310&gt;0,CJ310*10&gt;CK310),"zu hoch für Tablar; ","")&amp;IF(AND(BS310=0,OR(CE310=1,AA310&lt;&gt;"",U310&lt;&gt;"",V310&lt;&gt;"",AB310&lt;&gt;"")),"manuell übersteuert; ","")&amp;IF(AND(BW310=0,R310=0),"Gebinde unbekannt / Stellmass fehlt; ","")&amp;IF(AND(BW310=0,N(V310)&lt;=0,N(Q310)&lt;=0),"Menge pro Gebinde fehlt (Ist = 1 Gebinde); ","")&amp;BR310)</f>
        <v/>
      </c>
      <c r="BK310" s="48"/>
      <c r="BL310" s="48"/>
      <c r="BM310" s="55"/>
      <c r="BN310" s="50" t="n">
        <v>13</v>
      </c>
      <c r="BO310" s="50" t="n">
        <v>6</v>
      </c>
      <c r="BP310" s="49" t="n">
        <v>255.25</v>
      </c>
      <c r="BQ310" s="50" t="n">
        <v>22</v>
      </c>
      <c r="BR310" s="48"/>
      <c r="BS310" s="53" t="n">
        <v>0</v>
      </c>
      <c r="BT310" s="53" t="n">
        <v>310</v>
      </c>
      <c r="BU310" s="48" t="str">
        <f aca="false">IF(U310&lt;&gt;"",UPPER(TRIM(U310)),IF(BX310=1,UPPER(VLOOKUP(T310,Parameter!$I$27:$K$29,2,0)),IF(P310="","LOSE",P310)))</f>
        <v>S61</v>
      </c>
      <c r="BV310" s="50" t="n">
        <f aca="false">IF(BU310="LOSE",1,IF(N(V310)&gt;0,V310,IF(BX310=1,MAX(1,N(VLOOKUP(T310,Parameter!$I$27:$K$29,3,0)),H310,N(N310)),IF(N(Q310)&gt;0,Q310,MAX(1,H310)))))</f>
        <v>15</v>
      </c>
      <c r="BW310" s="53" t="n">
        <f aca="false">IF(BU310="LOSE",1,0)</f>
        <v>0</v>
      </c>
      <c r="BX310" s="53" t="n">
        <f aca="false">IF(AND(U310="",OR(P310="",P310="LOSE"),T310&lt;&gt;"",N(S310)&lt;=0,ISNUMBER(MATCH(T310,Parameter!$I$27:$I$29,0))),1,0)</f>
        <v>0</v>
      </c>
      <c r="BY310" s="53" t="n">
        <f aca="false">IF(CL310&gt;0,INDEX(Parameter!$H$5:$H$7,W310)/INDEX(Parameter!$E$5:$E$7,W310),IF(AND(BW310=0,N(IFERROR(VLOOKUP(BU310,'Gebinde-Kategorie'!$A$5:$N$45,14,0),0))&gt;0),VLOOKUP(BU310,'Gebinde-Kategorie'!$A$5:$N$45,14,0)*10+Parameter!$M$23,Parameter!$M$24))</f>
        <v>145</v>
      </c>
      <c r="BZ310" s="48" t="str">
        <f aca="false">IF(AND(Parameter!$B$19="Ja",E310&lt;&gt;"",ISNUMBER(MATCH(E310,Parameter!$I$35:$I$52,0))),VLOOKUP(E310,Parameter!$I$35:$J$52,2,0),IFERROR(VLOOKUP(D310,Parameter!$A$35:$C$64,2,0),"Nein"))</f>
        <v>2+3</v>
      </c>
      <c r="CA310" s="52" t="n">
        <f aca="false">IF(BW310=0,0,IF(N(S310)&gt;0,S310,IFERROR(VLOOKUP(D310,Parameter!$A$35:$C$64,3,0)+0,0)))</f>
        <v>0</v>
      </c>
      <c r="CB310" s="48" t="n">
        <f aca="false">IF(AA310&lt;&gt;"",AA310,Z310)</f>
        <v>2</v>
      </c>
      <c r="CC310" s="48" t="str">
        <f aca="false">IF(OR(CB310=1,CB310=2,CB310=3),IF(Parameter!$E$27="Ja","LIFT",IF(CB310=1,"L1","L23")),IF(CB310="Aussen","Aussen","-"))</f>
        <v>LIFT</v>
      </c>
      <c r="CD310" s="59" t="n">
        <f aca="false">IF(N(AB310)&gt;0,AB310,0)</f>
        <v>0</v>
      </c>
      <c r="CE310" s="53" t="n">
        <f aca="false">IF(ISNUMBER(AE310),1,0)</f>
        <v>0</v>
      </c>
      <c r="CF310" s="50" t="n">
        <f aca="false">N(AE310)</f>
        <v>0</v>
      </c>
      <c r="CG310" s="50" t="n">
        <f aca="false">N(M310)+N(N310)</f>
        <v>35</v>
      </c>
      <c r="CH310" s="50" t="n">
        <f aca="false">ROUNDUP(H310/BV310,0)</f>
        <v>2</v>
      </c>
      <c r="CI310" s="50" t="n">
        <f aca="false">ROUNDUP(CF310/BV310,0)</f>
        <v>0</v>
      </c>
      <c r="CJ310" s="53" t="n">
        <f aca="false">IF(BW310=1,0,IFERROR(VLOOKUP(BU310,'Gebinde-Kategorie'!$A$5:$N$45,5,0)+0,0))</f>
        <v>11</v>
      </c>
      <c r="CK310" s="53" t="n">
        <f aca="false">IFERROR(IF(OR(CB310=1,CB310=2,CB310=3),N(INDEX(Parameter!$I$5:$I$7,CB310)),0),0)</f>
        <v>0</v>
      </c>
      <c r="CL310" s="52" t="n">
        <f aca="false">IF(AND(Parameter!$B$21="Ja",ISNUMBER(W310),N(X310)&gt;0),IFERROR(N(INDEX(Parameter!$L$5:$L$7,W310))*INDEX(Parameter!$E$5:$E$7,W310)*X310/SUMIFS($X$7:$X$1843,$W$7:$W$1843,W310),0),0)</f>
        <v>0</v>
      </c>
    </row>
    <row r="311" customFormat="false" ht="15" hidden="false" customHeight="false" outlineLevel="0" collapsed="false">
      <c r="A311" s="48" t="s">
        <v>793</v>
      </c>
      <c r="B311" s="48" t="s">
        <v>794</v>
      </c>
      <c r="C311" s="48" t="s">
        <v>168</v>
      </c>
      <c r="D311" s="48" t="s">
        <v>188</v>
      </c>
      <c r="E311" s="48"/>
      <c r="F311" s="48" t="s">
        <v>222</v>
      </c>
      <c r="G311" s="49" t="n">
        <v>24.55</v>
      </c>
      <c r="H311" s="50" t="n">
        <f aca="false">MAX(0,IF(AND(Parameter!$B$21="Ja",ISNUMBER(Y311)),Y311,IF(Parameter!$B$20="Jahresanfang 2025 + Export",BO311+BN311,BN311)))</f>
        <v>12</v>
      </c>
      <c r="I311" s="50" t="n">
        <f aca="false">H311*G311</f>
        <v>294.6</v>
      </c>
      <c r="J311" s="50" t="n">
        <f aca="false">BQ311*Parameter!$B$18</f>
        <v>0</v>
      </c>
      <c r="K311" s="51" t="n">
        <v>2</v>
      </c>
      <c r="L311" s="52" t="n">
        <v>0</v>
      </c>
      <c r="M311" s="50" t="n">
        <v>0</v>
      </c>
      <c r="N311" s="50" t="n">
        <v>1</v>
      </c>
      <c r="O311" s="53" t="n">
        <v>14</v>
      </c>
      <c r="P311" s="48" t="s">
        <v>332</v>
      </c>
      <c r="Q311" s="50" t="n">
        <v>30</v>
      </c>
      <c r="R311" s="53" t="n">
        <f aca="false">IF(BW311=1,0,IFERROR(VLOOKUP(BU311,'Gebinde-Kategorie'!$A$5:$N$45,13,0)+0,0))</f>
        <v>52</v>
      </c>
      <c r="S311" s="54"/>
      <c r="T311" s="55"/>
      <c r="U311" s="55"/>
      <c r="V311" s="55"/>
      <c r="W311" s="48"/>
      <c r="X311" s="50"/>
      <c r="Y311" s="50"/>
      <c r="Z311" s="48" t="n">
        <f aca="false">IF(A311="","",IF(AND(Parameter!$B$21="Ja",ISNUMBER(W311)),W311,IF(BZ311="2+3",IF(ISNUMBER(SEARCH("grosser Artikel",BR311)),2,IFERROR(VLOOKUP(BU311,Parameter!$F$35:$G$64,2,0),2)),IF(OR(BZ311="Nein",BZ311=""),"-",BZ311))))</f>
        <v>3</v>
      </c>
      <c r="AA311" s="55"/>
      <c r="AB311" s="56"/>
      <c r="AC311" s="50" t="n">
        <f aca="false">AT311</f>
        <v>30</v>
      </c>
      <c r="AD311" s="50" t="n">
        <f aca="false">MAX(AT311,H311)</f>
        <v>30</v>
      </c>
      <c r="AE311" s="57"/>
      <c r="AF311" s="50" t="n">
        <f aca="false">IF(LEFT(Cockpit!$C$5,1)="A",H311,IF(CE311=1,CF311,IF(LEFT(Cockpit!$C$5,1)="B",AK311,MAX(AK311,H311))))</f>
        <v>12</v>
      </c>
      <c r="AG311" s="50" t="n">
        <f aca="false">IF(BW311=1,0,ROUNDUP(AF311/BV311,0))</f>
        <v>1</v>
      </c>
      <c r="AH311" s="52" t="n">
        <f aca="false">IF(CL311&gt;0,CL311*MAX(1,AF311/X311),IF(BW311=1,IF(AF311&lt;=0,0,CA311*MAX(1,IF(H311&gt;0,AF311/H311,1))),IF(R311&gt;0,AG311/R311,0))/MAX(0.1,N(Parameter!$M$21)))</f>
        <v>0.0192307692307692</v>
      </c>
      <c r="AI311" s="50" t="n">
        <f aca="false">AH311*BY311</f>
        <v>2.98076923076923</v>
      </c>
      <c r="AJ311" s="50" t="n">
        <f aca="false">AF311*G311</f>
        <v>294.6</v>
      </c>
      <c r="AK311" s="50" t="n">
        <f aca="false">ROUNDUP(MAX(J311/IF(CD311&gt;0,CD311,MAX(0.1,N(Cockpit!$C$6))),CG311)/BV311,0)*BV311</f>
        <v>30</v>
      </c>
      <c r="AL311" s="51" t="n">
        <f aca="false">IF(AI311&gt;0,J311/AI311,-1)</f>
        <v>0</v>
      </c>
      <c r="AM311" s="51" t="n">
        <f aca="false">IF(AND(OR(CC311="L1",CC311="L23",CC311="LIFT"),AI311&gt;0),SUMIFS($AI$7:$AI$1843,$CC$7:$CC$1843,CC311,$AL$7:$AL$1843,"&gt;"&amp;AL311)+SUMIFS($AI$7:$AI$1843,$CC$7:$CC$1843,CC311,$AL$7:$AL$1843,AL311,$BT$7:$BT$1843,"&lt;="&amp;BT311),"")</f>
        <v>27891.7588677801</v>
      </c>
      <c r="AN311" s="58" t="n">
        <f aca="false">IF(AM311="",0,MAX(0,MIN(1,(IF(CC311="L1",Parameter!$H$5,IF(CC311="L23",Parameter!$H$6+Parameter!$H$7,Parameter!$H$5+Parameter!$H$6+Parameter!$H$7))-(AM311-AI311))/AI311)))</f>
        <v>1</v>
      </c>
      <c r="AO311" s="50" t="n">
        <f aca="false">IF(LEFT(Cockpit!$I$5,1)="A",H311,IF(CE311=1,CF311,IF(LEFT(Cockpit!$I$5,1)="B",AT311,MAX(AT311,H311))))</f>
        <v>30</v>
      </c>
      <c r="AP311" s="50" t="n">
        <f aca="false">IF(BW311=1,0,ROUNDUP(AO311/BV311,0))</f>
        <v>1</v>
      </c>
      <c r="AQ311" s="52" t="n">
        <f aca="false">IF(CL311&gt;0,CL311*MAX(1,AO311/X311),IF(BW311=1,IF(AO311&lt;=0,0,CA311*MAX(1,IF(H311&gt;0,AO311/H311,1))),IF(R311&gt;0,AP311/R311,0))/MAX(0.1,N(Parameter!$M$21)))</f>
        <v>0.0192307692307692</v>
      </c>
      <c r="AR311" s="50" t="n">
        <f aca="false">AQ311*BY311</f>
        <v>2.98076923076923</v>
      </c>
      <c r="AS311" s="50" t="n">
        <f aca="false">AO311*G311</f>
        <v>736.5</v>
      </c>
      <c r="AT311" s="50" t="n">
        <f aca="false">ROUNDUP(MAX(J311/IF(CD311&gt;0,CD311,MAX(0.1,N(Cockpit!$I$6))),CG311)/BV311,0)*BV311</f>
        <v>30</v>
      </c>
      <c r="AU311" s="51" t="n">
        <f aca="false">IF(AR311&gt;0,J311/AR311,-1)</f>
        <v>0</v>
      </c>
      <c r="AV311" s="51" t="n">
        <f aca="false">IF(AND(OR(CC311="L1",CC311="L23",CC311="LIFT"),AR311&gt;0),SUMIFS($AR$7:$AR$1843,$CC$7:$CC$1843,CC311,$AU$7:$AU$1843,"&gt;"&amp;AU311)+SUMIFS($AR$7:$AR$1843,$CC$7:$CC$1843,CC311,$AU$7:$AU$1843,AU311,$BT$7:$BT$1843,"&lt;="&amp;BT311),"")</f>
        <v>39204.66438505</v>
      </c>
      <c r="AW311" s="58" t="n">
        <f aca="false">IF(AV311="",0,MAX(0,MIN(1,(IF(CC311="L1",Parameter!$H$5,IF(CC311="L23",Parameter!$H$6+Parameter!$H$7,Parameter!$H$5+Parameter!$H$6+Parameter!$H$7))-(AV311-AR311))/AR311)))</f>
        <v>0</v>
      </c>
      <c r="AX311" s="50" t="n">
        <f aca="false">IF(LEFT(Cockpit!$O$5,1)="A",H311,IF(CE311=1,CF311,IF(LEFT(Cockpit!$O$5,1)="B",BC311,MAX(BC311,H311))))</f>
        <v>30</v>
      </c>
      <c r="AY311" s="50" t="n">
        <f aca="false">IF(BW311=1,0,ROUNDUP(AX311/BV311,0))</f>
        <v>1</v>
      </c>
      <c r="AZ311" s="52" t="n">
        <f aca="false">IF(CL311&gt;0,CL311*MAX(1,AX311/X311),IF(BW311=1,IF(AX311&lt;=0,0,CA311*MAX(1,IF(H311&gt;0,AX311/H311,1))),IF(R311&gt;0,AY311/R311,0))/MAX(0.1,N(Parameter!$M$21)))</f>
        <v>0.0192307692307692</v>
      </c>
      <c r="BA311" s="50" t="n">
        <f aca="false">AZ311*BY311</f>
        <v>2.98076923076923</v>
      </c>
      <c r="BB311" s="50" t="n">
        <f aca="false">AX311*G311</f>
        <v>736.5</v>
      </c>
      <c r="BC311" s="50" t="n">
        <f aca="false">ROUNDUP(MAX(J311/IF(CD311&gt;0,CD311,MAX(0.1,N(Cockpit!$O$6))),CG311)/BV311,0)*BV311</f>
        <v>30</v>
      </c>
      <c r="BD311" s="51" t="n">
        <f aca="false">IF(BA311&gt;0,J311/BA311,-1)</f>
        <v>0</v>
      </c>
      <c r="BE311" s="51" t="n">
        <f aca="false">IF(AND(OR(CC311="L1",CC311="L23",CC311="LIFT"),BA311&gt;0),SUMIFS($BA$7:$BA$1843,$CC$7:$CC$1843,CC311,$BD$7:$BD$1843,"&gt;"&amp;BD311)+SUMIFS($BA$7:$BA$1843,$CC$7:$CC$1843,CC311,$BD$7:$BD$1843,BD311,$BT$7:$BT$1843,"&lt;="&amp;BT311),"")</f>
        <v>35879.6764269158</v>
      </c>
      <c r="BF311" s="58" t="n">
        <f aca="false">IF(BE311="",0,MAX(0,MIN(1,(IF(CC311="L1",Parameter!$H$5,IF(CC311="L23",Parameter!$H$6+Parameter!$H$7,Parameter!$H$5+Parameter!$H$6+Parameter!$H$7))-(BE311-BA311))/BA311)))</f>
        <v>0</v>
      </c>
      <c r="BG311" s="48" t="str">
        <f aca="false">IF(AI311&lt;=0,"",IF(CC311="Aussen","Aussenlager",IF(CC311="-","Nicht im Lift",IF(AN311&gt;=1,"Lift",IF(AN311&lt;=0,"Aussenlager","teilweise")))))</f>
        <v>Lift</v>
      </c>
      <c r="BH311" s="48" t="str">
        <f aca="false">IF(AR311&lt;=0,"",IF(CC311="Aussen","Aussenlager",IF(CC311="-","Nicht im Lift",IF(AW311&gt;=1,"Lift",IF(AW311&lt;=0,"Aussenlager","teilweise")))))</f>
        <v>Aussenlager</v>
      </c>
      <c r="BI311" s="48" t="str">
        <f aca="false">IF(BA311&lt;=0,"",IF(CC311="Aussen","Aussenlager",IF(CC311="-","Nicht im Lift",IF(BF311&gt;=1,"Lift",IF(BF311&lt;=0,"Aussenlager","teilweise")))))</f>
        <v>Aussenlager</v>
      </c>
      <c r="BJ311" s="48" t="str">
        <f aca="false">IF(A311="","",IF(BS311=1,"Neu; ","")&amp;IF(AND(BS311=0,BN311&lt;0),"negativer Bestand (Export "&amp;BN311&amp;"); ","")&amp;IF(J311&lt;=0,"Kein Verbrauch; ","")&amp;IF(CL311&gt;0,"Lift "&amp;W311&amp;" lt. Liftbericht (Fach "&amp;X311&amp;" Stk); ",IF(BX311=1,"Gebinde geschätzt ("&amp;T311&amp;"); ",IF(BW311=1,"Lose – Tablare geschätzt; ","")))&amp;IF(H311&gt;AT311,"Überbestand "&amp;ROUND(H311-AT311,0)&amp;" Stk / CHF "&amp;ROUND((H311-AT311)*G311,0)&amp;"; ","")&amp;IF(AND(CE311=1,CF311&lt;CG311),"MAX &lt; MB+LG; ","")&amp;IF(AND(CK311&gt;0,CJ311*10&gt;CK311),"zu hoch für Tablar; ","")&amp;IF(AND(BS311=0,OR(CE311=1,AA311&lt;&gt;"",U311&lt;&gt;"",V311&lt;&gt;"",AB311&lt;&gt;"")),"manuell übersteuert; ","")&amp;IF(AND(BW311=0,R311=0),"Gebinde unbekannt / Stellmass fehlt; ","")&amp;IF(AND(BW311=0,N(V311)&lt;=0,N(Q311)&lt;=0),"Menge pro Gebinde fehlt (Ist = 1 Gebinde); ","")&amp;BR311)</f>
        <v>Kein Verbrauch; </v>
      </c>
      <c r="BK311" s="48"/>
      <c r="BL311" s="48"/>
      <c r="BM311" s="55"/>
      <c r="BN311" s="50" t="n">
        <v>10</v>
      </c>
      <c r="BO311" s="50" t="n">
        <v>2</v>
      </c>
      <c r="BP311" s="49" t="n">
        <v>254.58</v>
      </c>
      <c r="BQ311" s="50" t="n">
        <v>0</v>
      </c>
      <c r="BR311" s="48"/>
      <c r="BS311" s="53" t="n">
        <v>0</v>
      </c>
      <c r="BT311" s="53" t="n">
        <v>311</v>
      </c>
      <c r="BU311" s="48" t="str">
        <f aca="false">IF(U311&lt;&gt;"",UPPER(TRIM(U311)),IF(BX311=1,UPPER(VLOOKUP(T311,Parameter!$I$27:$K$29,2,0)),IF(P311="","LOSE",P311)))</f>
        <v>S41</v>
      </c>
      <c r="BV311" s="50" t="n">
        <f aca="false">IF(BU311="LOSE",1,IF(N(V311)&gt;0,V311,IF(BX311=1,MAX(1,N(VLOOKUP(T311,Parameter!$I$27:$K$29,3,0)),H311,N(N311)),IF(N(Q311)&gt;0,Q311,MAX(1,H311)))))</f>
        <v>30</v>
      </c>
      <c r="BW311" s="53" t="n">
        <f aca="false">IF(BU311="LOSE",1,0)</f>
        <v>0</v>
      </c>
      <c r="BX311" s="53" t="n">
        <f aca="false">IF(AND(U311="",OR(P311="",P311="LOSE"),T311&lt;&gt;"",N(S311)&lt;=0,ISNUMBER(MATCH(T311,Parameter!$I$27:$I$29,0))),1,0)</f>
        <v>0</v>
      </c>
      <c r="BY311" s="53" t="n">
        <f aca="false">IF(CL311&gt;0,INDEX(Parameter!$H$5:$H$7,W311)/INDEX(Parameter!$E$5:$E$7,W311),IF(AND(BW311=0,N(IFERROR(VLOOKUP(BU311,'Gebinde-Kategorie'!$A$5:$N$45,14,0),0))&gt;0),VLOOKUP(BU311,'Gebinde-Kategorie'!$A$5:$N$45,14,0)*10+Parameter!$M$23,Parameter!$M$24))</f>
        <v>155</v>
      </c>
      <c r="BZ311" s="48" t="str">
        <f aca="false">IF(AND(Parameter!$B$19="Ja",E311&lt;&gt;"",ISNUMBER(MATCH(E311,Parameter!$I$35:$I$52,0))),VLOOKUP(E311,Parameter!$I$35:$J$52,2,0),IFERROR(VLOOKUP(D311,Parameter!$A$35:$C$64,2,0),"Nein"))</f>
        <v>2+3</v>
      </c>
      <c r="CA311" s="52" t="n">
        <f aca="false">IF(BW311=0,0,IF(N(S311)&gt;0,S311,IFERROR(VLOOKUP(D311,Parameter!$A$35:$C$64,3,0)+0,0)))</f>
        <v>0</v>
      </c>
      <c r="CB311" s="48" t="n">
        <f aca="false">IF(AA311&lt;&gt;"",AA311,Z311)</f>
        <v>3</v>
      </c>
      <c r="CC311" s="48" t="str">
        <f aca="false">IF(OR(CB311=1,CB311=2,CB311=3),IF(Parameter!$E$27="Ja","LIFT",IF(CB311=1,"L1","L23")),IF(CB311="Aussen","Aussen","-"))</f>
        <v>LIFT</v>
      </c>
      <c r="CD311" s="59" t="n">
        <f aca="false">IF(N(AB311)&gt;0,AB311,0)</f>
        <v>0</v>
      </c>
      <c r="CE311" s="53" t="n">
        <f aca="false">IF(ISNUMBER(AE311),1,0)</f>
        <v>0</v>
      </c>
      <c r="CF311" s="50" t="n">
        <f aca="false">N(AE311)</f>
        <v>0</v>
      </c>
      <c r="CG311" s="50" t="n">
        <f aca="false">N(M311)+N(N311)</f>
        <v>1</v>
      </c>
      <c r="CH311" s="50" t="n">
        <f aca="false">ROUNDUP(H311/BV311,0)</f>
        <v>1</v>
      </c>
      <c r="CI311" s="50" t="n">
        <f aca="false">ROUNDUP(CF311/BV311,0)</f>
        <v>0</v>
      </c>
      <c r="CJ311" s="53" t="n">
        <f aca="false">IF(BW311=1,0,IFERROR(VLOOKUP(BU311,'Gebinde-Kategorie'!$A$5:$N$45,5,0)+0,0))</f>
        <v>11</v>
      </c>
      <c r="CK311" s="53" t="n">
        <f aca="false">IFERROR(IF(OR(CB311=1,CB311=2,CB311=3),N(INDEX(Parameter!$I$5:$I$7,CB311)),0),0)</f>
        <v>0</v>
      </c>
      <c r="CL311" s="52" t="n">
        <f aca="false">IF(AND(Parameter!$B$21="Ja",ISNUMBER(W311),N(X311)&gt;0),IFERROR(N(INDEX(Parameter!$L$5:$L$7,W311))*INDEX(Parameter!$E$5:$E$7,W311)*X311/SUMIFS($X$7:$X$1843,$W$7:$W$1843,W311),0),0)</f>
        <v>0</v>
      </c>
    </row>
    <row r="312" customFormat="false" ht="15" hidden="false" customHeight="false" outlineLevel="0" collapsed="false">
      <c r="A312" s="48" t="s">
        <v>795</v>
      </c>
      <c r="B312" s="48" t="s">
        <v>796</v>
      </c>
      <c r="C312" s="48" t="s">
        <v>168</v>
      </c>
      <c r="D312" s="48" t="s">
        <v>188</v>
      </c>
      <c r="E312" s="48"/>
      <c r="F312" s="48" t="s">
        <v>222</v>
      </c>
      <c r="G312" s="49" t="n">
        <v>10.09</v>
      </c>
      <c r="H312" s="50" t="n">
        <f aca="false">MAX(0,IF(AND(Parameter!$B$21="Ja",ISNUMBER(Y312)),Y312,IF(Parameter!$B$20="Jahresanfang 2025 + Export",BO312+BN312,BN312)))</f>
        <v>25</v>
      </c>
      <c r="I312" s="50" t="n">
        <f aca="false">H312*G312</f>
        <v>252.25</v>
      </c>
      <c r="J312" s="50" t="n">
        <f aca="false">BQ312*Parameter!$B$18</f>
        <v>0</v>
      </c>
      <c r="K312" s="51" t="n">
        <v>0</v>
      </c>
      <c r="L312" s="52" t="n">
        <v>0</v>
      </c>
      <c r="M312" s="50" t="n">
        <v>0</v>
      </c>
      <c r="N312" s="50" t="n">
        <v>1</v>
      </c>
      <c r="O312" s="53" t="n">
        <v>9999</v>
      </c>
      <c r="P312" s="48" t="s">
        <v>172</v>
      </c>
      <c r="Q312" s="50"/>
      <c r="R312" s="53" t="n">
        <f aca="false">IF(BW312=1,0,IFERROR(VLOOKUP(BU312,'Gebinde-Kategorie'!$A$5:$N$45,13,0)+0,0))</f>
        <v>26</v>
      </c>
      <c r="S312" s="54"/>
      <c r="T312" s="55" t="s">
        <v>279</v>
      </c>
      <c r="U312" s="55"/>
      <c r="V312" s="55"/>
      <c r="W312" s="48"/>
      <c r="X312" s="50"/>
      <c r="Y312" s="50"/>
      <c r="Z312" s="48" t="n">
        <f aca="false">IF(A312="","",IF(AND(Parameter!$B$21="Ja",ISNUMBER(W312)),W312,IF(BZ312="2+3",IF(ISNUMBER(SEARCH("grosser Artikel",BR312)),2,IFERROR(VLOOKUP(BU312,Parameter!$F$35:$G$64,2,0),2)),IF(OR(BZ312="Nein",BZ312=""),"-",BZ312))))</f>
        <v>3</v>
      </c>
      <c r="AA312" s="55"/>
      <c r="AB312" s="56"/>
      <c r="AC312" s="50" t="n">
        <f aca="false">AT312</f>
        <v>25</v>
      </c>
      <c r="AD312" s="50" t="n">
        <f aca="false">MAX(AT312,H312)</f>
        <v>25</v>
      </c>
      <c r="AE312" s="57"/>
      <c r="AF312" s="50" t="n">
        <f aca="false">IF(LEFT(Cockpit!$C$5,1)="A",H312,IF(CE312=1,CF312,IF(LEFT(Cockpit!$C$5,1)="B",AK312,MAX(AK312,H312))))</f>
        <v>25</v>
      </c>
      <c r="AG312" s="50" t="n">
        <f aca="false">IF(BW312=1,0,ROUNDUP(AF312/BV312,0))</f>
        <v>1</v>
      </c>
      <c r="AH312" s="52" t="n">
        <f aca="false">IF(CL312&gt;0,CL312*MAX(1,AF312/X312),IF(BW312=1,IF(AF312&lt;=0,0,CA312*MAX(1,IF(H312&gt;0,AF312/H312,1))),IF(R312&gt;0,AG312/R312,0))/MAX(0.1,N(Parameter!$M$21)))</f>
        <v>0.0384615384615385</v>
      </c>
      <c r="AI312" s="50" t="n">
        <f aca="false">AH312*BY312</f>
        <v>5.96153846153846</v>
      </c>
      <c r="AJ312" s="50" t="n">
        <f aca="false">AF312*G312</f>
        <v>252.25</v>
      </c>
      <c r="AK312" s="50" t="n">
        <f aca="false">ROUNDUP(MAX(J312/IF(CD312&gt;0,CD312,MAX(0.1,N(Cockpit!$C$6))),CG312)/BV312,0)*BV312</f>
        <v>25</v>
      </c>
      <c r="AL312" s="51" t="n">
        <f aca="false">IF(AI312&gt;0,J312/AI312,-1)</f>
        <v>0</v>
      </c>
      <c r="AM312" s="51" t="n">
        <f aca="false">IF(AND(OR(CC312="L1",CC312="L23",CC312="LIFT"),AI312&gt;0),SUMIFS($AI$7:$AI$1843,$CC$7:$CC$1843,CC312,$AL$7:$AL$1843,"&gt;"&amp;AL312)+SUMIFS($AI$7:$AI$1843,$CC$7:$CC$1843,CC312,$AL$7:$AL$1843,AL312,$BT$7:$BT$1843,"&lt;="&amp;BT312),"")</f>
        <v>27897.7204062416</v>
      </c>
      <c r="AN312" s="58" t="n">
        <f aca="false">IF(AM312="",0,MAX(0,MIN(1,(IF(CC312="L1",Parameter!$H$5,IF(CC312="L23",Parameter!$H$6+Parameter!$H$7,Parameter!$H$5+Parameter!$H$6+Parameter!$H$7))-(AM312-AI312))/AI312)))</f>
        <v>1</v>
      </c>
      <c r="AO312" s="50" t="n">
        <f aca="false">IF(LEFT(Cockpit!$I$5,1)="A",H312,IF(CE312=1,CF312,IF(LEFT(Cockpit!$I$5,1)="B",AT312,MAX(AT312,H312))))</f>
        <v>25</v>
      </c>
      <c r="AP312" s="50" t="n">
        <f aca="false">IF(BW312=1,0,ROUNDUP(AO312/BV312,0))</f>
        <v>1</v>
      </c>
      <c r="AQ312" s="52" t="n">
        <f aca="false">IF(CL312&gt;0,CL312*MAX(1,AO312/X312),IF(BW312=1,IF(AO312&lt;=0,0,CA312*MAX(1,IF(H312&gt;0,AO312/H312,1))),IF(R312&gt;0,AP312/R312,0))/MAX(0.1,N(Parameter!$M$21)))</f>
        <v>0.0384615384615385</v>
      </c>
      <c r="AR312" s="50" t="n">
        <f aca="false">AQ312*BY312</f>
        <v>5.96153846153846</v>
      </c>
      <c r="AS312" s="50" t="n">
        <f aca="false">AO312*G312</f>
        <v>252.25</v>
      </c>
      <c r="AT312" s="50" t="n">
        <f aca="false">ROUNDUP(MAX(J312/IF(CD312&gt;0,CD312,MAX(0.1,N(Cockpit!$I$6))),CG312)/BV312,0)*BV312</f>
        <v>25</v>
      </c>
      <c r="AU312" s="51" t="n">
        <f aca="false">IF(AR312&gt;0,J312/AR312,-1)</f>
        <v>0</v>
      </c>
      <c r="AV312" s="51" t="n">
        <f aca="false">IF(AND(OR(CC312="L1",CC312="L23",CC312="LIFT"),AR312&gt;0),SUMIFS($AR$7:$AR$1843,$CC$7:$CC$1843,CC312,$AU$7:$AU$1843,"&gt;"&amp;AU312)+SUMIFS($AR$7:$AR$1843,$CC$7:$CC$1843,CC312,$AU$7:$AU$1843,AU312,$BT$7:$BT$1843,"&lt;="&amp;BT312),"")</f>
        <v>39210.6259235115</v>
      </c>
      <c r="AW312" s="58" t="n">
        <f aca="false">IF(AV312="",0,MAX(0,MIN(1,(IF(CC312="L1",Parameter!$H$5,IF(CC312="L23",Parameter!$H$6+Parameter!$H$7,Parameter!$H$5+Parameter!$H$6+Parameter!$H$7))-(AV312-AR312))/AR312)))</f>
        <v>0</v>
      </c>
      <c r="AX312" s="50" t="n">
        <f aca="false">IF(LEFT(Cockpit!$O$5,1)="A",H312,IF(CE312=1,CF312,IF(LEFT(Cockpit!$O$5,1)="B",BC312,MAX(BC312,H312))))</f>
        <v>25</v>
      </c>
      <c r="AY312" s="50" t="n">
        <f aca="false">IF(BW312=1,0,ROUNDUP(AX312/BV312,0))</f>
        <v>1</v>
      </c>
      <c r="AZ312" s="52" t="n">
        <f aca="false">IF(CL312&gt;0,CL312*MAX(1,AX312/X312),IF(BW312=1,IF(AX312&lt;=0,0,CA312*MAX(1,IF(H312&gt;0,AX312/H312,1))),IF(R312&gt;0,AY312/R312,0))/MAX(0.1,N(Parameter!$M$21)))</f>
        <v>0.0384615384615385</v>
      </c>
      <c r="BA312" s="50" t="n">
        <f aca="false">AZ312*BY312</f>
        <v>5.96153846153846</v>
      </c>
      <c r="BB312" s="50" t="n">
        <f aca="false">AX312*G312</f>
        <v>252.25</v>
      </c>
      <c r="BC312" s="50" t="n">
        <f aca="false">ROUNDUP(MAX(J312/IF(CD312&gt;0,CD312,MAX(0.1,N(Cockpit!$O$6))),CG312)/BV312,0)*BV312</f>
        <v>25</v>
      </c>
      <c r="BD312" s="51" t="n">
        <f aca="false">IF(BA312&gt;0,J312/BA312,-1)</f>
        <v>0</v>
      </c>
      <c r="BE312" s="51" t="n">
        <f aca="false">IF(AND(OR(CC312="L1",CC312="L23",CC312="LIFT"),BA312&gt;0),SUMIFS($BA$7:$BA$1843,$CC$7:$CC$1843,CC312,$BD$7:$BD$1843,"&gt;"&amp;BD312)+SUMIFS($BA$7:$BA$1843,$CC$7:$CC$1843,CC312,$BD$7:$BD$1843,BD312,$BT$7:$BT$1843,"&lt;="&amp;BT312),"")</f>
        <v>35885.6379653774</v>
      </c>
      <c r="BF312" s="58" t="n">
        <f aca="false">IF(BE312="",0,MAX(0,MIN(1,(IF(CC312="L1",Parameter!$H$5,IF(CC312="L23",Parameter!$H$6+Parameter!$H$7,Parameter!$H$5+Parameter!$H$6+Parameter!$H$7))-(BE312-BA312))/BA312)))</f>
        <v>0</v>
      </c>
      <c r="BG312" s="48" t="str">
        <f aca="false">IF(AI312&lt;=0,"",IF(CC312="Aussen","Aussenlager",IF(CC312="-","Nicht im Lift",IF(AN312&gt;=1,"Lift",IF(AN312&lt;=0,"Aussenlager","teilweise")))))</f>
        <v>Lift</v>
      </c>
      <c r="BH312" s="48" t="str">
        <f aca="false">IF(AR312&lt;=0,"",IF(CC312="Aussen","Aussenlager",IF(CC312="-","Nicht im Lift",IF(AW312&gt;=1,"Lift",IF(AW312&lt;=0,"Aussenlager","teilweise")))))</f>
        <v>Aussenlager</v>
      </c>
      <c r="BI312" s="48" t="str">
        <f aca="false">IF(BA312&lt;=0,"",IF(CC312="Aussen","Aussenlager",IF(CC312="-","Nicht im Lift",IF(BF312&gt;=1,"Lift",IF(BF312&lt;=0,"Aussenlager","teilweise")))))</f>
        <v>Aussenlager</v>
      </c>
      <c r="BJ312" s="48" t="str">
        <f aca="false">IF(A312="","",IF(BS312=1,"Neu; ","")&amp;IF(AND(BS312=0,BN312&lt;0),"negativer Bestand (Export "&amp;BN312&amp;"); ","")&amp;IF(J312&lt;=0,"Kein Verbrauch; ","")&amp;IF(CL312&gt;0,"Lift "&amp;W312&amp;" lt. Liftbericht (Fach "&amp;X312&amp;" Stk); ",IF(BX312=1,"Gebinde geschätzt ("&amp;T312&amp;"); ",IF(BW312=1,"Lose – Tablare geschätzt; ","")))&amp;IF(H312&gt;AT312,"Überbestand "&amp;ROUND(H312-AT312,0)&amp;" Stk / CHF "&amp;ROUND((H312-AT312)*G312,0)&amp;"; ","")&amp;IF(AND(CE312=1,CF312&lt;CG312),"MAX &lt; MB+LG; ","")&amp;IF(AND(CK312&gt;0,CJ312*10&gt;CK312),"zu hoch für Tablar; ","")&amp;IF(AND(BS312=0,OR(CE312=1,AA312&lt;&gt;"",U312&lt;&gt;"",V312&lt;&gt;"",AB312&lt;&gt;"")),"manuell übersteuert; ","")&amp;IF(AND(BW312=0,R312=0),"Gebinde unbekannt / Stellmass fehlt; ","")&amp;IF(AND(BW312=0,N(V312)&lt;=0,N(Q312)&lt;=0),"Menge pro Gebinde fehlt (Ist = 1 Gebinde); ","")&amp;BR312)</f>
        <v>Kein Verbrauch; Gebinde geschätzt (Klein); Menge pro Gebinde fehlt (Ist = 1 Gebinde); </v>
      </c>
      <c r="BK312" s="48"/>
      <c r="BL312" s="48"/>
      <c r="BM312" s="55"/>
      <c r="BN312" s="50" t="n">
        <v>25</v>
      </c>
      <c r="BO312" s="50" t="n">
        <v>0</v>
      </c>
      <c r="BP312" s="49" t="n">
        <v>252.25</v>
      </c>
      <c r="BQ312" s="50" t="n">
        <v>0</v>
      </c>
      <c r="BR312" s="48"/>
      <c r="BS312" s="53" t="n">
        <v>0</v>
      </c>
      <c r="BT312" s="53" t="n">
        <v>312</v>
      </c>
      <c r="BU312" s="48" t="str">
        <f aca="false">IF(U312&lt;&gt;"",UPPER(TRIM(U312)),IF(BX312=1,UPPER(VLOOKUP(T312,Parameter!$I$27:$K$29,2,0)),IF(P312="","LOSE",P312)))</f>
        <v>S51</v>
      </c>
      <c r="BV312" s="50" t="n">
        <f aca="false">IF(BU312="LOSE",1,IF(N(V312)&gt;0,V312,IF(BX312=1,MAX(1,N(VLOOKUP(T312,Parameter!$I$27:$K$29,3,0)),H312,N(N312)),IF(N(Q312)&gt;0,Q312,MAX(1,H312)))))</f>
        <v>25</v>
      </c>
      <c r="BW312" s="53" t="n">
        <f aca="false">IF(BU312="LOSE",1,0)</f>
        <v>0</v>
      </c>
      <c r="BX312" s="53" t="n">
        <f aca="false">IF(AND(U312="",OR(P312="",P312="LOSE"),T312&lt;&gt;"",N(S312)&lt;=0,ISNUMBER(MATCH(T312,Parameter!$I$27:$I$29,0))),1,0)</f>
        <v>1</v>
      </c>
      <c r="BY312" s="53" t="n">
        <f aca="false">IF(CL312&gt;0,INDEX(Parameter!$H$5:$H$7,W312)/INDEX(Parameter!$E$5:$E$7,W312),IF(AND(BW312=0,N(IFERROR(VLOOKUP(BU312,'Gebinde-Kategorie'!$A$5:$N$45,14,0),0))&gt;0),VLOOKUP(BU312,'Gebinde-Kategorie'!$A$5:$N$45,14,0)*10+Parameter!$M$23,Parameter!$M$24))</f>
        <v>155</v>
      </c>
      <c r="BZ312" s="48" t="str">
        <f aca="false">IF(AND(Parameter!$B$19="Ja",E312&lt;&gt;"",ISNUMBER(MATCH(E312,Parameter!$I$35:$I$52,0))),VLOOKUP(E312,Parameter!$I$35:$J$52,2,0),IFERROR(VLOOKUP(D312,Parameter!$A$35:$C$64,2,0),"Nein"))</f>
        <v>2+3</v>
      </c>
      <c r="CA312" s="52" t="n">
        <f aca="false">IF(BW312=0,0,IF(N(S312)&gt;0,S312,IFERROR(VLOOKUP(D312,Parameter!$A$35:$C$64,3,0)+0,0)))</f>
        <v>0</v>
      </c>
      <c r="CB312" s="48" t="n">
        <f aca="false">IF(AA312&lt;&gt;"",AA312,Z312)</f>
        <v>3</v>
      </c>
      <c r="CC312" s="48" t="str">
        <f aca="false">IF(OR(CB312=1,CB312=2,CB312=3),IF(Parameter!$E$27="Ja","LIFT",IF(CB312=1,"L1","L23")),IF(CB312="Aussen","Aussen","-"))</f>
        <v>LIFT</v>
      </c>
      <c r="CD312" s="59" t="n">
        <f aca="false">IF(N(AB312)&gt;0,AB312,0)</f>
        <v>0</v>
      </c>
      <c r="CE312" s="53" t="n">
        <f aca="false">IF(ISNUMBER(AE312),1,0)</f>
        <v>0</v>
      </c>
      <c r="CF312" s="50" t="n">
        <f aca="false">N(AE312)</f>
        <v>0</v>
      </c>
      <c r="CG312" s="50" t="n">
        <f aca="false">N(M312)+N(N312)</f>
        <v>1</v>
      </c>
      <c r="CH312" s="50" t="n">
        <f aca="false">ROUNDUP(H312/BV312,0)</f>
        <v>1</v>
      </c>
      <c r="CI312" s="50" t="n">
        <f aca="false">ROUNDUP(CF312/BV312,0)</f>
        <v>0</v>
      </c>
      <c r="CJ312" s="53" t="n">
        <f aca="false">IF(BW312=1,0,IFERROR(VLOOKUP(BU312,'Gebinde-Kategorie'!$A$5:$N$45,5,0)+0,0))</f>
        <v>11</v>
      </c>
      <c r="CK312" s="53" t="n">
        <f aca="false">IFERROR(IF(OR(CB312=1,CB312=2,CB312=3),N(INDEX(Parameter!$I$5:$I$7,CB312)),0),0)</f>
        <v>0</v>
      </c>
      <c r="CL312" s="52" t="n">
        <f aca="false">IF(AND(Parameter!$B$21="Ja",ISNUMBER(W312),N(X312)&gt;0),IFERROR(N(INDEX(Parameter!$L$5:$L$7,W312))*INDEX(Parameter!$E$5:$E$7,W312)*X312/SUMIFS($X$7:$X$1843,$W$7:$W$1843,W312),0),0)</f>
        <v>0</v>
      </c>
    </row>
    <row r="313" customFormat="false" ht="15" hidden="false" customHeight="false" outlineLevel="0" collapsed="false">
      <c r="A313" s="48" t="s">
        <v>797</v>
      </c>
      <c r="B313" s="48" t="s">
        <v>798</v>
      </c>
      <c r="C313" s="48" t="s">
        <v>168</v>
      </c>
      <c r="D313" s="48" t="s">
        <v>188</v>
      </c>
      <c r="E313" s="48" t="s">
        <v>189</v>
      </c>
      <c r="F313" s="48" t="s">
        <v>222</v>
      </c>
      <c r="G313" s="49" t="n">
        <v>27.18</v>
      </c>
      <c r="H313" s="50" t="n">
        <f aca="false">MAX(0,IF(AND(Parameter!$B$21="Ja",ISNUMBER(Y313)),Y313,IF(Parameter!$B$20="Jahresanfang 2025 + Export",BO313+BN313,BN313)))</f>
        <v>28</v>
      </c>
      <c r="I313" s="50" t="n">
        <f aca="false">H313*G313</f>
        <v>761.04</v>
      </c>
      <c r="J313" s="50" t="n">
        <f aca="false">BQ313*Parameter!$B$18</f>
        <v>24</v>
      </c>
      <c r="K313" s="51" t="n">
        <v>19.5</v>
      </c>
      <c r="L313" s="52" t="n">
        <v>1.23076923076923</v>
      </c>
      <c r="M313" s="50" t="n">
        <v>1</v>
      </c>
      <c r="N313" s="50" t="n">
        <v>25</v>
      </c>
      <c r="O313" s="53" t="n">
        <v>21</v>
      </c>
      <c r="P313" s="48" t="s">
        <v>237</v>
      </c>
      <c r="Q313" s="50" t="n">
        <v>8</v>
      </c>
      <c r="R313" s="53" t="n">
        <f aca="false">IF(BW313=1,0,IFERROR(VLOOKUP(BU313,'Gebinde-Kategorie'!$A$5:$N$45,13,0)+0,0))</f>
        <v>26</v>
      </c>
      <c r="S313" s="54"/>
      <c r="T313" s="55"/>
      <c r="U313" s="55"/>
      <c r="V313" s="55"/>
      <c r="W313" s="48"/>
      <c r="X313" s="50"/>
      <c r="Y313" s="50"/>
      <c r="Z313" s="48" t="n">
        <f aca="false">IF(A313="","",IF(AND(Parameter!$B$21="Ja",ISNUMBER(W313)),W313,IF(BZ313="2+3",IF(ISNUMBER(SEARCH("grosser Artikel",BR313)),2,IFERROR(VLOOKUP(BU313,Parameter!$F$35:$G$64,2,0),2)),IF(OR(BZ313="Nein",BZ313=""),"-",BZ313))))</f>
        <v>3</v>
      </c>
      <c r="AA313" s="55"/>
      <c r="AB313" s="56"/>
      <c r="AC313" s="50" t="n">
        <f aca="false">AT313</f>
        <v>32</v>
      </c>
      <c r="AD313" s="50" t="n">
        <f aca="false">MAX(AT313,H313)</f>
        <v>32</v>
      </c>
      <c r="AE313" s="57"/>
      <c r="AF313" s="50" t="n">
        <f aca="false">IF(LEFT(Cockpit!$C$5,1)="A",H313,IF(CE313=1,CF313,IF(LEFT(Cockpit!$C$5,1)="B",AK313,MAX(AK313,H313))))</f>
        <v>28</v>
      </c>
      <c r="AG313" s="50" t="n">
        <f aca="false">IF(BW313=1,0,ROUNDUP(AF313/BV313,0))</f>
        <v>4</v>
      </c>
      <c r="AH313" s="52" t="n">
        <f aca="false">IF(CL313&gt;0,CL313*MAX(1,AF313/X313),IF(BW313=1,IF(AF313&lt;=0,0,CA313*MAX(1,IF(H313&gt;0,AF313/H313,1))),IF(R313&gt;0,AG313/R313,0))/MAX(0.1,N(Parameter!$M$21)))</f>
        <v>0.153846153846154</v>
      </c>
      <c r="AI313" s="50" t="n">
        <f aca="false">AH313*BY313</f>
        <v>37.6923076923077</v>
      </c>
      <c r="AJ313" s="50" t="n">
        <f aca="false">AF313*G313</f>
        <v>761.04</v>
      </c>
      <c r="AK313" s="50" t="n">
        <f aca="false">ROUNDUP(MAX(J313/IF(CD313&gt;0,CD313,MAX(0.1,N(Cockpit!$C$6))),CG313)/BV313,0)*BV313</f>
        <v>32</v>
      </c>
      <c r="AL313" s="51" t="n">
        <f aca="false">IF(AI313&gt;0,J313/AI313,-1)</f>
        <v>0.636734693877551</v>
      </c>
      <c r="AM313" s="51" t="n">
        <f aca="false">IF(AND(OR(CC313="L1",CC313="L23",CC313="LIFT"),AI313&gt;0),SUMIFS($AI$7:$AI$1843,$CC$7:$CC$1843,CC313,$AL$7:$AL$1843,"&gt;"&amp;AL313)+SUMIFS($AI$7:$AI$1843,$CC$7:$CC$1843,CC313,$AL$7:$AL$1843,AL313,$BT$7:$BT$1843,"&lt;="&amp;BT313),"")</f>
        <v>8849.39743589744</v>
      </c>
      <c r="AN313" s="58" t="n">
        <f aca="false">IF(AM313="",0,MAX(0,MIN(1,(IF(CC313="L1",Parameter!$H$5,IF(CC313="L23",Parameter!$H$6+Parameter!$H$7,Parameter!$H$5+Parameter!$H$6+Parameter!$H$7))-(AM313-AI313))/AI313)))</f>
        <v>1</v>
      </c>
      <c r="AO313" s="50" t="n">
        <f aca="false">IF(LEFT(Cockpit!$I$5,1)="A",H313,IF(CE313=1,CF313,IF(LEFT(Cockpit!$I$5,1)="B",AT313,MAX(AT313,H313))))</f>
        <v>32</v>
      </c>
      <c r="AP313" s="50" t="n">
        <f aca="false">IF(BW313=1,0,ROUNDUP(AO313/BV313,0))</f>
        <v>4</v>
      </c>
      <c r="AQ313" s="52" t="n">
        <f aca="false">IF(CL313&gt;0,CL313*MAX(1,AO313/X313),IF(BW313=1,IF(AO313&lt;=0,0,CA313*MAX(1,IF(H313&gt;0,AO313/H313,1))),IF(R313&gt;0,AP313/R313,0))/MAX(0.1,N(Parameter!$M$21)))</f>
        <v>0.153846153846154</v>
      </c>
      <c r="AR313" s="50" t="n">
        <f aca="false">AQ313*BY313</f>
        <v>37.6923076923077</v>
      </c>
      <c r="AS313" s="50" t="n">
        <f aca="false">AO313*G313</f>
        <v>869.76</v>
      </c>
      <c r="AT313" s="50" t="n">
        <f aca="false">ROUNDUP(MAX(J313/IF(CD313&gt;0,CD313,MAX(0.1,N(Cockpit!$I$6))),CG313)/BV313,0)*BV313</f>
        <v>32</v>
      </c>
      <c r="AU313" s="51" t="n">
        <f aca="false">IF(AR313&gt;0,J313/AR313,-1)</f>
        <v>0.636734693877551</v>
      </c>
      <c r="AV313" s="51" t="n">
        <f aca="false">IF(AND(OR(CC313="L1",CC313="L23",CC313="LIFT"),AR313&gt;0),SUMIFS($AR$7:$AR$1843,$CC$7:$CC$1843,CC313,$AU$7:$AU$1843,"&gt;"&amp;AU313)+SUMIFS($AR$7:$AR$1843,$CC$7:$CC$1843,CC313,$AU$7:$AU$1843,AU313,$BT$7:$BT$1843,"&lt;="&amp;BT313),"")</f>
        <v>12311.6478937729</v>
      </c>
      <c r="AW313" s="58" t="n">
        <f aca="false">IF(AV313="",0,MAX(0,MIN(1,(IF(CC313="L1",Parameter!$H$5,IF(CC313="L23",Parameter!$H$6+Parameter!$H$7,Parameter!$H$5+Parameter!$H$6+Parameter!$H$7))-(AV313-AR313))/AR313)))</f>
        <v>1</v>
      </c>
      <c r="AX313" s="50" t="n">
        <f aca="false">IF(LEFT(Cockpit!$O$5,1)="A",H313,IF(CE313=1,CF313,IF(LEFT(Cockpit!$O$5,1)="B",BC313,MAX(BC313,H313))))</f>
        <v>32</v>
      </c>
      <c r="AY313" s="50" t="n">
        <f aca="false">IF(BW313=1,0,ROUNDUP(AX313/BV313,0))</f>
        <v>4</v>
      </c>
      <c r="AZ313" s="52" t="n">
        <f aca="false">IF(CL313&gt;0,CL313*MAX(1,AX313/X313),IF(BW313=1,IF(AX313&lt;=0,0,CA313*MAX(1,IF(H313&gt;0,AX313/H313,1))),IF(R313&gt;0,AY313/R313,0))/MAX(0.1,N(Parameter!$M$21)))</f>
        <v>0.153846153846154</v>
      </c>
      <c r="BA313" s="50" t="n">
        <f aca="false">AZ313*BY313</f>
        <v>37.6923076923077</v>
      </c>
      <c r="BB313" s="50" t="n">
        <f aca="false">AX313*G313</f>
        <v>869.76</v>
      </c>
      <c r="BC313" s="50" t="n">
        <f aca="false">ROUNDUP(MAX(J313/IF(CD313&gt;0,CD313,MAX(0.1,N(Cockpit!$O$6))),CG313)/BV313,0)*BV313</f>
        <v>32</v>
      </c>
      <c r="BD313" s="51" t="n">
        <f aca="false">IF(BA313&gt;0,J313/BA313,-1)</f>
        <v>0.636734693877551</v>
      </c>
      <c r="BE313" s="51" t="n">
        <f aca="false">IF(AND(OR(CC313="L1",CC313="L23",CC313="LIFT"),BA313&gt;0),SUMIFS($BA$7:$BA$1843,$CC$7:$CC$1843,CC313,$BD$7:$BD$1843,"&gt;"&amp;BD313)+SUMIFS($BA$7:$BA$1843,$CC$7:$CC$1843,CC313,$BD$7:$BD$1843,BD313,$BT$7:$BT$1843,"&lt;="&amp;BT313),"")</f>
        <v>11597.3049450549</v>
      </c>
      <c r="BF313" s="58" t="n">
        <f aca="false">IF(BE313="",0,MAX(0,MIN(1,(IF(CC313="L1",Parameter!$H$5,IF(CC313="L23",Parameter!$H$6+Parameter!$H$7,Parameter!$H$5+Parameter!$H$6+Parameter!$H$7))-(BE313-BA313))/BA313)))</f>
        <v>1</v>
      </c>
      <c r="BG313" s="48" t="str">
        <f aca="false">IF(AI313&lt;=0,"",IF(CC313="Aussen","Aussenlager",IF(CC313="-","Nicht im Lift",IF(AN313&gt;=1,"Lift",IF(AN313&lt;=0,"Aussenlager","teilweise")))))</f>
        <v>Lift</v>
      </c>
      <c r="BH313" s="48" t="str">
        <f aca="false">IF(AR313&lt;=0,"",IF(CC313="Aussen","Aussenlager",IF(CC313="-","Nicht im Lift",IF(AW313&gt;=1,"Lift",IF(AW313&lt;=0,"Aussenlager","teilweise")))))</f>
        <v>Lift</v>
      </c>
      <c r="BI313" s="48" t="str">
        <f aca="false">IF(BA313&lt;=0,"",IF(CC313="Aussen","Aussenlager",IF(CC313="-","Nicht im Lift",IF(BF313&gt;=1,"Lift",IF(BF313&lt;=0,"Aussenlager","teilweise")))))</f>
        <v>Lift</v>
      </c>
      <c r="BJ313" s="48" t="str">
        <f aca="false">IF(A313="","",IF(BS313=1,"Neu; ","")&amp;IF(AND(BS313=0,BN313&lt;0),"negativer Bestand (Export "&amp;BN313&amp;"); ","")&amp;IF(J313&lt;=0,"Kein Verbrauch; ","")&amp;IF(CL313&gt;0,"Lift "&amp;W313&amp;" lt. Liftbericht (Fach "&amp;X313&amp;" Stk); ",IF(BX313=1,"Gebinde geschätzt ("&amp;T313&amp;"); ",IF(BW313=1,"Lose – Tablare geschätzt; ","")))&amp;IF(H313&gt;AT313,"Überbestand "&amp;ROUND(H313-AT313,0)&amp;" Stk / CHF "&amp;ROUND((H313-AT313)*G313,0)&amp;"; ","")&amp;IF(AND(CE313=1,CF313&lt;CG313),"MAX &lt; MB+LG; ","")&amp;IF(AND(CK313&gt;0,CJ313*10&gt;CK313),"zu hoch für Tablar; ","")&amp;IF(AND(BS313=0,OR(CE313=1,AA313&lt;&gt;"",U313&lt;&gt;"",V313&lt;&gt;"",AB313&lt;&gt;"")),"manuell übersteuert; ","")&amp;IF(AND(BW313=0,R313=0),"Gebinde unbekannt / Stellmass fehlt; ","")&amp;IF(AND(BW313=0,N(V313)&lt;=0,N(Q313)&lt;=0),"Menge pro Gebinde fehlt (Ist = 1 Gebinde); ","")&amp;BR313)</f>
        <v/>
      </c>
      <c r="BK313" s="48"/>
      <c r="BL313" s="48"/>
      <c r="BM313" s="55"/>
      <c r="BN313" s="50" t="n">
        <v>9</v>
      </c>
      <c r="BO313" s="50" t="n">
        <v>19</v>
      </c>
      <c r="BP313" s="49" t="n">
        <v>249.88</v>
      </c>
      <c r="BQ313" s="50" t="n">
        <v>24</v>
      </c>
      <c r="BR313" s="48"/>
      <c r="BS313" s="53" t="n">
        <v>0</v>
      </c>
      <c r="BT313" s="53" t="n">
        <v>313</v>
      </c>
      <c r="BU313" s="48" t="str">
        <f aca="false">IF(U313&lt;&gt;"",UPPER(TRIM(U313)),IF(BX313=1,UPPER(VLOOKUP(T313,Parameter!$I$27:$K$29,2,0)),IF(P313="","LOSE",P313)))</f>
        <v>S52</v>
      </c>
      <c r="BV313" s="50" t="n">
        <f aca="false">IF(BU313="LOSE",1,IF(N(V313)&gt;0,V313,IF(BX313=1,MAX(1,N(VLOOKUP(T313,Parameter!$I$27:$K$29,3,0)),H313,N(N313)),IF(N(Q313)&gt;0,Q313,MAX(1,H313)))))</f>
        <v>8</v>
      </c>
      <c r="BW313" s="53" t="n">
        <f aca="false">IF(BU313="LOSE",1,0)</f>
        <v>0</v>
      </c>
      <c r="BX313" s="53" t="n">
        <f aca="false">IF(AND(U313="",OR(P313="",P313="LOSE"),T313&lt;&gt;"",N(S313)&lt;=0,ISNUMBER(MATCH(T313,Parameter!$I$27:$I$29,0))),1,0)</f>
        <v>0</v>
      </c>
      <c r="BY313" s="53" t="n">
        <f aca="false">IF(CL313&gt;0,INDEX(Parameter!$H$5:$H$7,W313)/INDEX(Parameter!$E$5:$E$7,W313),IF(AND(BW313=0,N(IFERROR(VLOOKUP(BU313,'Gebinde-Kategorie'!$A$5:$N$45,14,0),0))&gt;0),VLOOKUP(BU313,'Gebinde-Kategorie'!$A$5:$N$45,14,0)*10+Parameter!$M$23,Parameter!$M$24))</f>
        <v>245</v>
      </c>
      <c r="BZ313" s="48" t="str">
        <f aca="false">IF(AND(Parameter!$B$19="Ja",E313&lt;&gt;"",ISNUMBER(MATCH(E313,Parameter!$I$35:$I$52,0))),VLOOKUP(E313,Parameter!$I$35:$J$52,2,0),IFERROR(VLOOKUP(D313,Parameter!$A$35:$C$64,2,0),"Nein"))</f>
        <v>2+3</v>
      </c>
      <c r="CA313" s="52" t="n">
        <f aca="false">IF(BW313=0,0,IF(N(S313)&gt;0,S313,IFERROR(VLOOKUP(D313,Parameter!$A$35:$C$64,3,0)+0,0)))</f>
        <v>0</v>
      </c>
      <c r="CB313" s="48" t="n">
        <f aca="false">IF(AA313&lt;&gt;"",AA313,Z313)</f>
        <v>3</v>
      </c>
      <c r="CC313" s="48" t="str">
        <f aca="false">IF(OR(CB313=1,CB313=2,CB313=3),IF(Parameter!$E$27="Ja","LIFT",IF(CB313=1,"L1","L23")),IF(CB313="Aussen","Aussen","-"))</f>
        <v>LIFT</v>
      </c>
      <c r="CD313" s="59" t="n">
        <f aca="false">IF(N(AB313)&gt;0,AB313,0)</f>
        <v>0</v>
      </c>
      <c r="CE313" s="53" t="n">
        <f aca="false">IF(ISNUMBER(AE313),1,0)</f>
        <v>0</v>
      </c>
      <c r="CF313" s="50" t="n">
        <f aca="false">N(AE313)</f>
        <v>0</v>
      </c>
      <c r="CG313" s="50" t="n">
        <f aca="false">N(M313)+N(N313)</f>
        <v>26</v>
      </c>
      <c r="CH313" s="50" t="n">
        <f aca="false">ROUNDUP(H313/BV313,0)</f>
        <v>4</v>
      </c>
      <c r="CI313" s="50" t="n">
        <f aca="false">ROUNDUP(CF313/BV313,0)</f>
        <v>0</v>
      </c>
      <c r="CJ313" s="53" t="n">
        <f aca="false">IF(BW313=1,0,IFERROR(VLOOKUP(BU313,'Gebinde-Kategorie'!$A$5:$N$45,5,0)+0,0))</f>
        <v>21</v>
      </c>
      <c r="CK313" s="53" t="n">
        <f aca="false">IFERROR(IF(OR(CB313=1,CB313=2,CB313=3),N(INDEX(Parameter!$I$5:$I$7,CB313)),0),0)</f>
        <v>0</v>
      </c>
      <c r="CL313" s="52" t="n">
        <f aca="false">IF(AND(Parameter!$B$21="Ja",ISNUMBER(W313),N(X313)&gt;0),IFERROR(N(INDEX(Parameter!$L$5:$L$7,W313))*INDEX(Parameter!$E$5:$E$7,W313)*X313/SUMIFS($X$7:$X$1843,$W$7:$W$1843,W313),0),0)</f>
        <v>0</v>
      </c>
    </row>
    <row r="314" customFormat="false" ht="15" hidden="false" customHeight="false" outlineLevel="0" collapsed="false">
      <c r="A314" s="48" t="s">
        <v>799</v>
      </c>
      <c r="B314" s="48" t="s">
        <v>800</v>
      </c>
      <c r="C314" s="48" t="s">
        <v>168</v>
      </c>
      <c r="D314" s="48" t="s">
        <v>188</v>
      </c>
      <c r="E314" s="48" t="s">
        <v>189</v>
      </c>
      <c r="F314" s="48" t="s">
        <v>222</v>
      </c>
      <c r="G314" s="49" t="n">
        <v>21.25</v>
      </c>
      <c r="H314" s="50" t="n">
        <f aca="false">MAX(0,IF(AND(Parameter!$B$21="Ja",ISNUMBER(Y314)),Y314,IF(Parameter!$B$20="Jahresanfang 2025 + Export",BO314+BN314,BN314)))</f>
        <v>17</v>
      </c>
      <c r="I314" s="50" t="n">
        <f aca="false">H314*G314</f>
        <v>361.25</v>
      </c>
      <c r="J314" s="50" t="n">
        <f aca="false">BQ314*Parameter!$B$18</f>
        <v>16</v>
      </c>
      <c r="K314" s="51" t="n">
        <v>5.5</v>
      </c>
      <c r="L314" s="52" t="n">
        <v>2.90909090909091</v>
      </c>
      <c r="M314" s="50" t="n">
        <v>0</v>
      </c>
      <c r="N314" s="50" t="n">
        <v>15</v>
      </c>
      <c r="O314" s="53" t="n">
        <v>21</v>
      </c>
      <c r="P314" s="48" t="s">
        <v>425</v>
      </c>
      <c r="Q314" s="50" t="n">
        <v>9</v>
      </c>
      <c r="R314" s="53" t="n">
        <f aca="false">IF(BW314=1,0,IFERROR(VLOOKUP(BU314,'Gebinde-Kategorie'!$A$5:$N$45,13,0)+0,0))</f>
        <v>104</v>
      </c>
      <c r="S314" s="54"/>
      <c r="T314" s="55"/>
      <c r="U314" s="55"/>
      <c r="V314" s="55"/>
      <c r="W314" s="48"/>
      <c r="X314" s="50"/>
      <c r="Y314" s="50"/>
      <c r="Z314" s="48" t="n">
        <f aca="false">IF(A314="","",IF(AND(Parameter!$B$21="Ja",ISNUMBER(W314)),W314,IF(BZ314="2+3",IF(ISNUMBER(SEARCH("grosser Artikel",BR314)),2,IFERROR(VLOOKUP(BU314,Parameter!$F$35:$G$64,2,0),2)),IF(OR(BZ314="Nein",BZ314=""),"-",BZ314))))</f>
        <v>3</v>
      </c>
      <c r="AA314" s="55"/>
      <c r="AB314" s="56"/>
      <c r="AC314" s="50" t="n">
        <f aca="false">AT314</f>
        <v>18</v>
      </c>
      <c r="AD314" s="50" t="n">
        <f aca="false">MAX(AT314,H314)</f>
        <v>18</v>
      </c>
      <c r="AE314" s="57"/>
      <c r="AF314" s="50" t="n">
        <f aca="false">IF(LEFT(Cockpit!$C$5,1)="A",H314,IF(CE314=1,CF314,IF(LEFT(Cockpit!$C$5,1)="B",AK314,MAX(AK314,H314))))</f>
        <v>17</v>
      </c>
      <c r="AG314" s="50" t="n">
        <f aca="false">IF(BW314=1,0,ROUNDUP(AF314/BV314,0))</f>
        <v>2</v>
      </c>
      <c r="AH314" s="52" t="n">
        <f aca="false">IF(CL314&gt;0,CL314*MAX(1,AF314/X314),IF(BW314=1,IF(AF314&lt;=0,0,CA314*MAX(1,IF(H314&gt;0,AF314/H314,1))),IF(R314&gt;0,AG314/R314,0))/MAX(0.1,N(Parameter!$M$21)))</f>
        <v>0.0192307692307692</v>
      </c>
      <c r="AI314" s="50" t="n">
        <f aca="false">AH314*BY314</f>
        <v>2.98076923076923</v>
      </c>
      <c r="AJ314" s="50" t="n">
        <f aca="false">AF314*G314</f>
        <v>361.25</v>
      </c>
      <c r="AK314" s="50" t="n">
        <f aca="false">ROUNDUP(MAX(J314/IF(CD314&gt;0,CD314,MAX(0.1,N(Cockpit!$C$6))),CG314)/BV314,0)*BV314</f>
        <v>18</v>
      </c>
      <c r="AL314" s="51" t="n">
        <f aca="false">IF(AI314&gt;0,J314/AI314,-1)</f>
        <v>5.36774193548387</v>
      </c>
      <c r="AM314" s="51" t="n">
        <f aca="false">IF(AND(OR(CC314="L1",CC314="L23",CC314="LIFT"),AI314&gt;0),SUMIFS($AI$7:$AI$1843,$CC$7:$CC$1843,CC314,$AL$7:$AL$1843,"&gt;"&amp;AL314)+SUMIFS($AI$7:$AI$1843,$CC$7:$CC$1843,CC314,$AL$7:$AL$1843,AL314,$BT$7:$BT$1843,"&lt;="&amp;BT314),"")</f>
        <v>3720.22985347985</v>
      </c>
      <c r="AN314" s="58" t="n">
        <f aca="false">IF(AM314="",0,MAX(0,MIN(1,(IF(CC314="L1",Parameter!$H$5,IF(CC314="L23",Parameter!$H$6+Parameter!$H$7,Parameter!$H$5+Parameter!$H$6+Parameter!$H$7))-(AM314-AI314))/AI314)))</f>
        <v>1</v>
      </c>
      <c r="AO314" s="50" t="n">
        <f aca="false">IF(LEFT(Cockpit!$I$5,1)="A",H314,IF(CE314=1,CF314,IF(LEFT(Cockpit!$I$5,1)="B",AT314,MAX(AT314,H314))))</f>
        <v>18</v>
      </c>
      <c r="AP314" s="50" t="n">
        <f aca="false">IF(BW314=1,0,ROUNDUP(AO314/BV314,0))</f>
        <v>2</v>
      </c>
      <c r="AQ314" s="52" t="n">
        <f aca="false">IF(CL314&gt;0,CL314*MAX(1,AO314/X314),IF(BW314=1,IF(AO314&lt;=0,0,CA314*MAX(1,IF(H314&gt;0,AO314/H314,1))),IF(R314&gt;0,AP314/R314,0))/MAX(0.1,N(Parameter!$M$21)))</f>
        <v>0.0192307692307692</v>
      </c>
      <c r="AR314" s="50" t="n">
        <f aca="false">AQ314*BY314</f>
        <v>2.98076923076923</v>
      </c>
      <c r="AS314" s="50" t="n">
        <f aca="false">AO314*G314</f>
        <v>382.5</v>
      </c>
      <c r="AT314" s="50" t="n">
        <f aca="false">ROUNDUP(MAX(J314/IF(CD314&gt;0,CD314,MAX(0.1,N(Cockpit!$I$6))),CG314)/BV314,0)*BV314</f>
        <v>18</v>
      </c>
      <c r="AU314" s="51" t="n">
        <f aca="false">IF(AR314&gt;0,J314/AR314,-1)</f>
        <v>5.36774193548387</v>
      </c>
      <c r="AV314" s="51" t="n">
        <f aca="false">IF(AND(OR(CC314="L1",CC314="L23",CC314="LIFT"),AR314&gt;0),SUMIFS($AR$7:$AR$1843,$CC$7:$CC$1843,CC314,$AU$7:$AU$1843,"&gt;"&amp;AU314)+SUMIFS($AR$7:$AR$1843,$CC$7:$CC$1843,CC314,$AU$7:$AU$1843,AU314,$BT$7:$BT$1843,"&lt;="&amp;BT314),"")</f>
        <v>4904.5293040293</v>
      </c>
      <c r="AW314" s="58" t="n">
        <f aca="false">IF(AV314="",0,MAX(0,MIN(1,(IF(CC314="L1",Parameter!$H$5,IF(CC314="L23",Parameter!$H$6+Parameter!$H$7,Parameter!$H$5+Parameter!$H$6+Parameter!$H$7))-(AV314-AR314))/AR314)))</f>
        <v>1</v>
      </c>
      <c r="AX314" s="50" t="n">
        <f aca="false">IF(LEFT(Cockpit!$O$5,1)="A",H314,IF(CE314=1,CF314,IF(LEFT(Cockpit!$O$5,1)="B",BC314,MAX(BC314,H314))))</f>
        <v>18</v>
      </c>
      <c r="AY314" s="50" t="n">
        <f aca="false">IF(BW314=1,0,ROUNDUP(AX314/BV314,0))</f>
        <v>2</v>
      </c>
      <c r="AZ314" s="52" t="n">
        <f aca="false">IF(CL314&gt;0,CL314*MAX(1,AX314/X314),IF(BW314=1,IF(AX314&lt;=0,0,CA314*MAX(1,IF(H314&gt;0,AX314/H314,1))),IF(R314&gt;0,AY314/R314,0))/MAX(0.1,N(Parameter!$M$21)))</f>
        <v>0.0192307692307692</v>
      </c>
      <c r="BA314" s="50" t="n">
        <f aca="false">AZ314*BY314</f>
        <v>2.98076923076923</v>
      </c>
      <c r="BB314" s="50" t="n">
        <f aca="false">AX314*G314</f>
        <v>382.5</v>
      </c>
      <c r="BC314" s="50" t="n">
        <f aca="false">ROUNDUP(MAX(J314/IF(CD314&gt;0,CD314,MAX(0.1,N(Cockpit!$O$6))),CG314)/BV314,0)*BV314</f>
        <v>18</v>
      </c>
      <c r="BD314" s="51" t="n">
        <f aca="false">IF(BA314&gt;0,J314/BA314,-1)</f>
        <v>5.36774193548387</v>
      </c>
      <c r="BE314" s="51" t="n">
        <f aca="false">IF(AND(OR(CC314="L1",CC314="L23",CC314="LIFT"),BA314&gt;0),SUMIFS($BA$7:$BA$1843,$CC$7:$CC$1843,CC314,$BD$7:$BD$1843,"&gt;"&amp;BD314)+SUMIFS($BA$7:$BA$1843,$CC$7:$CC$1843,CC314,$BD$7:$BD$1843,BD314,$BT$7:$BT$1843,"&lt;="&amp;BT314),"")</f>
        <v>4574.99404761905</v>
      </c>
      <c r="BF314" s="58" t="n">
        <f aca="false">IF(BE314="",0,MAX(0,MIN(1,(IF(CC314="L1",Parameter!$H$5,IF(CC314="L23",Parameter!$H$6+Parameter!$H$7,Parameter!$H$5+Parameter!$H$6+Parameter!$H$7))-(BE314-BA314))/BA314)))</f>
        <v>1</v>
      </c>
      <c r="BG314" s="48" t="str">
        <f aca="false">IF(AI314&lt;=0,"",IF(CC314="Aussen","Aussenlager",IF(CC314="-","Nicht im Lift",IF(AN314&gt;=1,"Lift",IF(AN314&lt;=0,"Aussenlager","teilweise")))))</f>
        <v>Lift</v>
      </c>
      <c r="BH314" s="48" t="str">
        <f aca="false">IF(AR314&lt;=0,"",IF(CC314="Aussen","Aussenlager",IF(CC314="-","Nicht im Lift",IF(AW314&gt;=1,"Lift",IF(AW314&lt;=0,"Aussenlager","teilweise")))))</f>
        <v>Lift</v>
      </c>
      <c r="BI314" s="48" t="str">
        <f aca="false">IF(BA314&lt;=0,"",IF(CC314="Aussen","Aussenlager",IF(CC314="-","Nicht im Lift",IF(BF314&gt;=1,"Lift",IF(BF314&lt;=0,"Aussenlager","teilweise")))))</f>
        <v>Lift</v>
      </c>
      <c r="BJ314" s="48" t="str">
        <f aca="false">IF(A314="","",IF(BS314=1,"Neu; ","")&amp;IF(AND(BS314=0,BN314&lt;0),"negativer Bestand (Export "&amp;BN314&amp;"); ","")&amp;IF(J314&lt;=0,"Kein Verbrauch; ","")&amp;IF(CL314&gt;0,"Lift "&amp;W314&amp;" lt. Liftbericht (Fach "&amp;X314&amp;" Stk); ",IF(BX314=1,"Gebinde geschätzt ("&amp;T314&amp;"); ",IF(BW314=1,"Lose – Tablare geschätzt; ","")))&amp;IF(H314&gt;AT314,"Überbestand "&amp;ROUND(H314-AT314,0)&amp;" Stk / CHF "&amp;ROUND((H314-AT314)*G314,0)&amp;"; ","")&amp;IF(AND(CE314=1,CF314&lt;CG314),"MAX &lt; MB+LG; ","")&amp;IF(AND(CK314&gt;0,CJ314*10&gt;CK314),"zu hoch für Tablar; ","")&amp;IF(AND(BS314=0,OR(CE314=1,AA314&lt;&gt;"",U314&lt;&gt;"",V314&lt;&gt;"",AB314&lt;&gt;"")),"manuell übersteuert; ","")&amp;IF(AND(BW314=0,R314=0),"Gebinde unbekannt / Stellmass fehlt; ","")&amp;IF(AND(BW314=0,N(V314)&lt;=0,N(Q314)&lt;=0),"Menge pro Gebinde fehlt (Ist = 1 Gebinde); ","")&amp;BR314)</f>
        <v/>
      </c>
      <c r="BK314" s="48"/>
      <c r="BL314" s="48"/>
      <c r="BM314" s="55"/>
      <c r="BN314" s="50" t="n">
        <v>11</v>
      </c>
      <c r="BO314" s="50" t="n">
        <v>6</v>
      </c>
      <c r="BP314" s="49" t="n">
        <v>249.53</v>
      </c>
      <c r="BQ314" s="50" t="n">
        <v>16</v>
      </c>
      <c r="BR314" s="48"/>
      <c r="BS314" s="53" t="n">
        <v>0</v>
      </c>
      <c r="BT314" s="53" t="n">
        <v>314</v>
      </c>
      <c r="BU314" s="48" t="str">
        <f aca="false">IF(U314&lt;&gt;"",UPPER(TRIM(U314)),IF(BX314=1,UPPER(VLOOKUP(T314,Parameter!$I$27:$K$29,2,0)),IF(P314="","LOSE",P314)))</f>
        <v>S32</v>
      </c>
      <c r="BV314" s="50" t="n">
        <f aca="false">IF(BU314="LOSE",1,IF(N(V314)&gt;0,V314,IF(BX314=1,MAX(1,N(VLOOKUP(T314,Parameter!$I$27:$K$29,3,0)),H314,N(N314)),IF(N(Q314)&gt;0,Q314,MAX(1,H314)))))</f>
        <v>9</v>
      </c>
      <c r="BW314" s="53" t="n">
        <f aca="false">IF(BU314="LOSE",1,0)</f>
        <v>0</v>
      </c>
      <c r="BX314" s="53" t="n">
        <f aca="false">IF(AND(U314="",OR(P314="",P314="LOSE"),T314&lt;&gt;"",N(S314)&lt;=0,ISNUMBER(MATCH(T314,Parameter!$I$27:$I$29,0))),1,0)</f>
        <v>0</v>
      </c>
      <c r="BY314" s="53" t="n">
        <f aca="false">IF(CL314&gt;0,INDEX(Parameter!$H$5:$H$7,W314)/INDEX(Parameter!$E$5:$E$7,W314),IF(AND(BW314=0,N(IFERROR(VLOOKUP(BU314,'Gebinde-Kategorie'!$A$5:$N$45,14,0),0))&gt;0),VLOOKUP(BU314,'Gebinde-Kategorie'!$A$5:$N$45,14,0)*10+Parameter!$M$23,Parameter!$M$24))</f>
        <v>155</v>
      </c>
      <c r="BZ314" s="48" t="str">
        <f aca="false">IF(AND(Parameter!$B$19="Ja",E314&lt;&gt;"",ISNUMBER(MATCH(E314,Parameter!$I$35:$I$52,0))),VLOOKUP(E314,Parameter!$I$35:$J$52,2,0),IFERROR(VLOOKUP(D314,Parameter!$A$35:$C$64,2,0),"Nein"))</f>
        <v>2+3</v>
      </c>
      <c r="CA314" s="52" t="n">
        <f aca="false">IF(BW314=0,0,IF(N(S314)&gt;0,S314,IFERROR(VLOOKUP(D314,Parameter!$A$35:$C$64,3,0)+0,0)))</f>
        <v>0</v>
      </c>
      <c r="CB314" s="48" t="n">
        <f aca="false">IF(AA314&lt;&gt;"",AA314,Z314)</f>
        <v>3</v>
      </c>
      <c r="CC314" s="48" t="str">
        <f aca="false">IF(OR(CB314=1,CB314=2,CB314=3),IF(Parameter!$E$27="Ja","LIFT",IF(CB314=1,"L1","L23")),IF(CB314="Aussen","Aussen","-"))</f>
        <v>LIFT</v>
      </c>
      <c r="CD314" s="59" t="n">
        <f aca="false">IF(N(AB314)&gt;0,AB314,0)</f>
        <v>0</v>
      </c>
      <c r="CE314" s="53" t="n">
        <f aca="false">IF(ISNUMBER(AE314),1,0)</f>
        <v>0</v>
      </c>
      <c r="CF314" s="50" t="n">
        <f aca="false">N(AE314)</f>
        <v>0</v>
      </c>
      <c r="CG314" s="50" t="n">
        <f aca="false">N(M314)+N(N314)</f>
        <v>15</v>
      </c>
      <c r="CH314" s="50" t="n">
        <f aca="false">ROUNDUP(H314/BV314,0)</f>
        <v>2</v>
      </c>
      <c r="CI314" s="50" t="n">
        <f aca="false">ROUNDUP(CF314/BV314,0)</f>
        <v>0</v>
      </c>
      <c r="CJ314" s="53" t="n">
        <f aca="false">IF(BW314=1,0,IFERROR(VLOOKUP(BU314,'Gebinde-Kategorie'!$A$5:$N$45,5,0)+0,0))</f>
        <v>8</v>
      </c>
      <c r="CK314" s="53" t="n">
        <f aca="false">IFERROR(IF(OR(CB314=1,CB314=2,CB314=3),N(INDEX(Parameter!$I$5:$I$7,CB314)),0),0)</f>
        <v>0</v>
      </c>
      <c r="CL314" s="52" t="n">
        <f aca="false">IF(AND(Parameter!$B$21="Ja",ISNUMBER(W314),N(X314)&gt;0),IFERROR(N(INDEX(Parameter!$L$5:$L$7,W314))*INDEX(Parameter!$E$5:$E$7,W314)*X314/SUMIFS($X$7:$X$1843,$W$7:$W$1843,W314),0),0)</f>
        <v>0</v>
      </c>
    </row>
    <row r="315" customFormat="false" ht="15" hidden="false" customHeight="false" outlineLevel="0" collapsed="false">
      <c r="A315" s="48" t="s">
        <v>801</v>
      </c>
      <c r="B315" s="48" t="s">
        <v>595</v>
      </c>
      <c r="C315" s="48" t="s">
        <v>168</v>
      </c>
      <c r="D315" s="48" t="s">
        <v>188</v>
      </c>
      <c r="E315" s="48" t="s">
        <v>189</v>
      </c>
      <c r="F315" s="48" t="s">
        <v>222</v>
      </c>
      <c r="G315" s="49" t="n">
        <v>7.02</v>
      </c>
      <c r="H315" s="50" t="n">
        <f aca="false">MAX(0,IF(AND(Parameter!$B$21="Ja",ISNUMBER(Y315)),Y315,IF(Parameter!$B$20="Jahresanfang 2025 + Export",BO315+BN315,BN315)))</f>
        <v>61</v>
      </c>
      <c r="I315" s="50" t="n">
        <f aca="false">H315*G315</f>
        <v>428.22</v>
      </c>
      <c r="J315" s="50" t="n">
        <f aca="false">BQ315*Parameter!$B$18</f>
        <v>63</v>
      </c>
      <c r="K315" s="51" t="n">
        <v>42</v>
      </c>
      <c r="L315" s="52" t="n">
        <v>1.5</v>
      </c>
      <c r="M315" s="50" t="n">
        <v>2</v>
      </c>
      <c r="N315" s="50" t="n">
        <v>60</v>
      </c>
      <c r="O315" s="53" t="n">
        <v>21</v>
      </c>
      <c r="P315" s="48" t="s">
        <v>480</v>
      </c>
      <c r="Q315" s="50" t="n">
        <v>58</v>
      </c>
      <c r="R315" s="53" t="n">
        <f aca="false">IF(BW315=1,0,IFERROR(VLOOKUP(BU315,'Gebinde-Kategorie'!$A$5:$N$45,13,0)+0,0))</f>
        <v>52</v>
      </c>
      <c r="S315" s="54"/>
      <c r="T315" s="55"/>
      <c r="U315" s="55"/>
      <c r="V315" s="55"/>
      <c r="W315" s="48"/>
      <c r="X315" s="50"/>
      <c r="Y315" s="50"/>
      <c r="Z315" s="48" t="n">
        <f aca="false">IF(A315="","",IF(AND(Parameter!$B$21="Ja",ISNUMBER(W315)),W315,IF(BZ315="2+3",IF(ISNUMBER(SEARCH("grosser Artikel",BR315)),2,IFERROR(VLOOKUP(BU315,Parameter!$F$35:$G$64,2,0),2)),IF(OR(BZ315="Nein",BZ315=""),"-",BZ315))))</f>
        <v>3</v>
      </c>
      <c r="AA315" s="55"/>
      <c r="AB315" s="56"/>
      <c r="AC315" s="50" t="n">
        <f aca="false">AT315</f>
        <v>116</v>
      </c>
      <c r="AD315" s="50" t="n">
        <f aca="false">MAX(AT315,H315)</f>
        <v>116</v>
      </c>
      <c r="AE315" s="57"/>
      <c r="AF315" s="50" t="n">
        <f aca="false">IF(LEFT(Cockpit!$C$5,1)="A",H315,IF(CE315=1,CF315,IF(LEFT(Cockpit!$C$5,1)="B",AK315,MAX(AK315,H315))))</f>
        <v>61</v>
      </c>
      <c r="AG315" s="50" t="n">
        <f aca="false">IF(BW315=1,0,ROUNDUP(AF315/BV315,0))</f>
        <v>2</v>
      </c>
      <c r="AH315" s="52" t="n">
        <f aca="false">IF(CL315&gt;0,CL315*MAX(1,AF315/X315),IF(BW315=1,IF(AF315&lt;=0,0,CA315*MAX(1,IF(H315&gt;0,AF315/H315,1))),IF(R315&gt;0,AG315/R315,0))/MAX(0.1,N(Parameter!$M$21)))</f>
        <v>0.0384615384615385</v>
      </c>
      <c r="AI315" s="50" t="n">
        <f aca="false">AH315*BY315</f>
        <v>5.96153846153846</v>
      </c>
      <c r="AJ315" s="50" t="n">
        <f aca="false">AF315*G315</f>
        <v>428.22</v>
      </c>
      <c r="AK315" s="50" t="n">
        <f aca="false">ROUNDUP(MAX(J315/IF(CD315&gt;0,CD315,MAX(0.1,N(Cockpit!$C$6))),CG315)/BV315,0)*BV315</f>
        <v>116</v>
      </c>
      <c r="AL315" s="51" t="n">
        <f aca="false">IF(AI315&gt;0,J315/AI315,-1)</f>
        <v>10.5677419354839</v>
      </c>
      <c r="AM315" s="51" t="n">
        <f aca="false">IF(AND(OR(CC315="L1",CC315="L23",CC315="LIFT"),AI315&gt;0),SUMIFS($AI$7:$AI$1843,$CC$7:$CC$1843,CC315,$AL$7:$AL$1843,"&gt;"&amp;AL315)+SUMIFS($AI$7:$AI$1843,$CC$7:$CC$1843,CC315,$AL$7:$AL$1843,AL315,$BT$7:$BT$1843,"&lt;="&amp;BT315),"")</f>
        <v>2582.75732600733</v>
      </c>
      <c r="AN315" s="58" t="n">
        <f aca="false">IF(AM315="",0,MAX(0,MIN(1,(IF(CC315="L1",Parameter!$H$5,IF(CC315="L23",Parameter!$H$6+Parameter!$H$7,Parameter!$H$5+Parameter!$H$6+Parameter!$H$7))-(AM315-AI315))/AI315)))</f>
        <v>1</v>
      </c>
      <c r="AO315" s="50" t="n">
        <f aca="false">IF(LEFT(Cockpit!$I$5,1)="A",H315,IF(CE315=1,CF315,IF(LEFT(Cockpit!$I$5,1)="B",AT315,MAX(AT315,H315))))</f>
        <v>116</v>
      </c>
      <c r="AP315" s="50" t="n">
        <f aca="false">IF(BW315=1,0,ROUNDUP(AO315/BV315,0))</f>
        <v>2</v>
      </c>
      <c r="AQ315" s="52" t="n">
        <f aca="false">IF(CL315&gt;0,CL315*MAX(1,AO315/X315),IF(BW315=1,IF(AO315&lt;=0,0,CA315*MAX(1,IF(H315&gt;0,AO315/H315,1))),IF(R315&gt;0,AP315/R315,0))/MAX(0.1,N(Parameter!$M$21)))</f>
        <v>0.0384615384615385</v>
      </c>
      <c r="AR315" s="50" t="n">
        <f aca="false">AQ315*BY315</f>
        <v>5.96153846153846</v>
      </c>
      <c r="AS315" s="50" t="n">
        <f aca="false">AO315*G315</f>
        <v>814.32</v>
      </c>
      <c r="AT315" s="50" t="n">
        <f aca="false">ROUNDUP(MAX(J315/IF(CD315&gt;0,CD315,MAX(0.1,N(Cockpit!$I$6))),CG315)/BV315,0)*BV315</f>
        <v>116</v>
      </c>
      <c r="AU315" s="51" t="n">
        <f aca="false">IF(AR315&gt;0,J315/AR315,-1)</f>
        <v>10.5677419354839</v>
      </c>
      <c r="AV315" s="51" t="n">
        <f aca="false">IF(AND(OR(CC315="L1",CC315="L23",CC315="LIFT"),AR315&gt;0),SUMIFS($AR$7:$AR$1843,$CC$7:$CC$1843,CC315,$AU$7:$AU$1843,"&gt;"&amp;AU315)+SUMIFS($AR$7:$AR$1843,$CC$7:$CC$1843,CC315,$AU$7:$AU$1843,AU315,$BT$7:$BT$1843,"&lt;="&amp;BT315),"")</f>
        <v>3742.93269230769</v>
      </c>
      <c r="AW315" s="58" t="n">
        <f aca="false">IF(AV315="",0,MAX(0,MIN(1,(IF(CC315="L1",Parameter!$H$5,IF(CC315="L23",Parameter!$H$6+Parameter!$H$7,Parameter!$H$5+Parameter!$H$6+Parameter!$H$7))-(AV315-AR315))/AR315)))</f>
        <v>1</v>
      </c>
      <c r="AX315" s="50" t="n">
        <f aca="false">IF(LEFT(Cockpit!$O$5,1)="A",H315,IF(CE315=1,CF315,IF(LEFT(Cockpit!$O$5,1)="B",BC315,MAX(BC315,H315))))</f>
        <v>116</v>
      </c>
      <c r="AY315" s="50" t="n">
        <f aca="false">IF(BW315=1,0,ROUNDUP(AX315/BV315,0))</f>
        <v>2</v>
      </c>
      <c r="AZ315" s="52" t="n">
        <f aca="false">IF(CL315&gt;0,CL315*MAX(1,AX315/X315),IF(BW315=1,IF(AX315&lt;=0,0,CA315*MAX(1,IF(H315&gt;0,AX315/H315,1))),IF(R315&gt;0,AY315/R315,0))/MAX(0.1,N(Parameter!$M$21)))</f>
        <v>0.0384615384615385</v>
      </c>
      <c r="BA315" s="50" t="n">
        <f aca="false">AZ315*BY315</f>
        <v>5.96153846153846</v>
      </c>
      <c r="BB315" s="50" t="n">
        <f aca="false">AX315*G315</f>
        <v>814.32</v>
      </c>
      <c r="BC315" s="50" t="n">
        <f aca="false">ROUNDUP(MAX(J315/IF(CD315&gt;0,CD315,MAX(0.1,N(Cockpit!$O$6))),CG315)/BV315,0)*BV315</f>
        <v>116</v>
      </c>
      <c r="BD315" s="51" t="n">
        <f aca="false">IF(BA315&gt;0,J315/BA315,-1)</f>
        <v>10.5677419354839</v>
      </c>
      <c r="BE315" s="51" t="n">
        <f aca="false">IF(AND(OR(CC315="L1",CC315="L23",CC315="LIFT"),BA315&gt;0),SUMIFS($BA$7:$BA$1843,$CC$7:$CC$1843,CC315,$BD$7:$BD$1843,"&gt;"&amp;BD315)+SUMIFS($BA$7:$BA$1843,$CC$7:$CC$1843,CC315,$BD$7:$BD$1843,BD315,$BT$7:$BT$1843,"&lt;="&amp;BT315),"")</f>
        <v>3401.05769230769</v>
      </c>
      <c r="BF315" s="58" t="n">
        <f aca="false">IF(BE315="",0,MAX(0,MIN(1,(IF(CC315="L1",Parameter!$H$5,IF(CC315="L23",Parameter!$H$6+Parameter!$H$7,Parameter!$H$5+Parameter!$H$6+Parameter!$H$7))-(BE315-BA315))/BA315)))</f>
        <v>1</v>
      </c>
      <c r="BG315" s="48" t="str">
        <f aca="false">IF(AI315&lt;=0,"",IF(CC315="Aussen","Aussenlager",IF(CC315="-","Nicht im Lift",IF(AN315&gt;=1,"Lift",IF(AN315&lt;=0,"Aussenlager","teilweise")))))</f>
        <v>Lift</v>
      </c>
      <c r="BH315" s="48" t="str">
        <f aca="false">IF(AR315&lt;=0,"",IF(CC315="Aussen","Aussenlager",IF(CC315="-","Nicht im Lift",IF(AW315&gt;=1,"Lift",IF(AW315&lt;=0,"Aussenlager","teilweise")))))</f>
        <v>Lift</v>
      </c>
      <c r="BI315" s="48" t="str">
        <f aca="false">IF(BA315&lt;=0,"",IF(CC315="Aussen","Aussenlager",IF(CC315="-","Nicht im Lift",IF(BF315&gt;=1,"Lift",IF(BF315&lt;=0,"Aussenlager","teilweise")))))</f>
        <v>Lift</v>
      </c>
      <c r="BJ315" s="48" t="str">
        <f aca="false">IF(A315="","",IF(BS315=1,"Neu; ","")&amp;IF(AND(BS315=0,BN315&lt;0),"negativer Bestand (Export "&amp;BN315&amp;"); ","")&amp;IF(J315&lt;=0,"Kein Verbrauch; ","")&amp;IF(CL315&gt;0,"Lift "&amp;W315&amp;" lt. Liftbericht (Fach "&amp;X315&amp;" Stk); ",IF(BX315=1,"Gebinde geschätzt ("&amp;T315&amp;"); ",IF(BW315=1,"Lose – Tablare geschätzt; ","")))&amp;IF(H315&gt;AT315,"Überbestand "&amp;ROUND(H315-AT315,0)&amp;" Stk / CHF "&amp;ROUND((H315-AT315)*G315,0)&amp;"; ","")&amp;IF(AND(CE315=1,CF315&lt;CG315),"MAX &lt; MB+LG; ","")&amp;IF(AND(CK315&gt;0,CJ315*10&gt;CK315),"zu hoch für Tablar; ","")&amp;IF(AND(BS315=0,OR(CE315=1,AA315&lt;&gt;"",U315&lt;&gt;"",V315&lt;&gt;"",AB315&lt;&gt;"")),"manuell übersteuert; ","")&amp;IF(AND(BW315=0,R315=0),"Gebinde unbekannt / Stellmass fehlt; ","")&amp;IF(AND(BW315=0,N(V315)&lt;=0,N(Q315)&lt;=0),"Menge pro Gebinde fehlt (Ist = 1 Gebinde); ","")&amp;BR315)</f>
        <v/>
      </c>
      <c r="BK315" s="48"/>
      <c r="BL315" s="48"/>
      <c r="BM315" s="55"/>
      <c r="BN315" s="50" t="n">
        <v>38</v>
      </c>
      <c r="BO315" s="50" t="n">
        <v>23</v>
      </c>
      <c r="BP315" s="49" t="n">
        <v>248.82</v>
      </c>
      <c r="BQ315" s="50" t="n">
        <v>63</v>
      </c>
      <c r="BR315" s="48"/>
      <c r="BS315" s="53" t="n">
        <v>0</v>
      </c>
      <c r="BT315" s="53" t="n">
        <v>315</v>
      </c>
      <c r="BU315" s="48" t="str">
        <f aca="false">IF(U315&lt;&gt;"",UPPER(TRIM(U315)),IF(BX315=1,UPPER(VLOOKUP(T315,Parameter!$I$27:$K$29,2,0)),IF(P315="","LOSE",P315)))</f>
        <v>S33</v>
      </c>
      <c r="BV315" s="50" t="n">
        <f aca="false">IF(BU315="LOSE",1,IF(N(V315)&gt;0,V315,IF(BX315=1,MAX(1,N(VLOOKUP(T315,Parameter!$I$27:$K$29,3,0)),H315,N(N315)),IF(N(Q315)&gt;0,Q315,MAX(1,H315)))))</f>
        <v>58</v>
      </c>
      <c r="BW315" s="53" t="n">
        <f aca="false">IF(BU315="LOSE",1,0)</f>
        <v>0</v>
      </c>
      <c r="BX315" s="53" t="n">
        <f aca="false">IF(AND(U315="",OR(P315="",P315="LOSE"),T315&lt;&gt;"",N(S315)&lt;=0,ISNUMBER(MATCH(T315,Parameter!$I$27:$I$29,0))),1,0)</f>
        <v>0</v>
      </c>
      <c r="BY315" s="53" t="n">
        <f aca="false">IF(CL315&gt;0,INDEX(Parameter!$H$5:$H$7,W315)/INDEX(Parameter!$E$5:$E$7,W315),IF(AND(BW315=0,N(IFERROR(VLOOKUP(BU315,'Gebinde-Kategorie'!$A$5:$N$45,14,0),0))&gt;0),VLOOKUP(BU315,'Gebinde-Kategorie'!$A$5:$N$45,14,0)*10+Parameter!$M$23,Parameter!$M$24))</f>
        <v>155</v>
      </c>
      <c r="BZ315" s="48" t="str">
        <f aca="false">IF(AND(Parameter!$B$19="Ja",E315&lt;&gt;"",ISNUMBER(MATCH(E315,Parameter!$I$35:$I$52,0))),VLOOKUP(E315,Parameter!$I$35:$J$52,2,0),IFERROR(VLOOKUP(D315,Parameter!$A$35:$C$64,2,0),"Nein"))</f>
        <v>2+3</v>
      </c>
      <c r="CA315" s="52" t="n">
        <f aca="false">IF(BW315=0,0,IF(N(S315)&gt;0,S315,IFERROR(VLOOKUP(D315,Parameter!$A$35:$C$64,3,0)+0,0)))</f>
        <v>0</v>
      </c>
      <c r="CB315" s="48" t="n">
        <f aca="false">IF(AA315&lt;&gt;"",AA315,Z315)</f>
        <v>3</v>
      </c>
      <c r="CC315" s="48" t="str">
        <f aca="false">IF(OR(CB315=1,CB315=2,CB315=3),IF(Parameter!$E$27="Ja","LIFT",IF(CB315=1,"L1","L23")),IF(CB315="Aussen","Aussen","-"))</f>
        <v>LIFT</v>
      </c>
      <c r="CD315" s="59" t="n">
        <f aca="false">IF(N(AB315)&gt;0,AB315,0)</f>
        <v>0</v>
      </c>
      <c r="CE315" s="53" t="n">
        <f aca="false">IF(ISNUMBER(AE315),1,0)</f>
        <v>0</v>
      </c>
      <c r="CF315" s="50" t="n">
        <f aca="false">N(AE315)</f>
        <v>0</v>
      </c>
      <c r="CG315" s="50" t="n">
        <f aca="false">N(M315)+N(N315)</f>
        <v>62</v>
      </c>
      <c r="CH315" s="50" t="n">
        <f aca="false">ROUNDUP(H315/BV315,0)</f>
        <v>2</v>
      </c>
      <c r="CI315" s="50" t="n">
        <f aca="false">ROUNDUP(CF315/BV315,0)</f>
        <v>0</v>
      </c>
      <c r="CJ315" s="53" t="n">
        <f aca="false">IF(BW315=1,0,IFERROR(VLOOKUP(BU315,'Gebinde-Kategorie'!$A$5:$N$45,5,0)+0,0))</f>
        <v>8</v>
      </c>
      <c r="CK315" s="53" t="n">
        <f aca="false">IFERROR(IF(OR(CB315=1,CB315=2,CB315=3),N(INDEX(Parameter!$I$5:$I$7,CB315)),0),0)</f>
        <v>0</v>
      </c>
      <c r="CL315" s="52" t="n">
        <f aca="false">IF(AND(Parameter!$B$21="Ja",ISNUMBER(W315),N(X315)&gt;0),IFERROR(N(INDEX(Parameter!$L$5:$L$7,W315))*INDEX(Parameter!$E$5:$E$7,W315)*X315/SUMIFS($X$7:$X$1843,$W$7:$W$1843,W315),0),0)</f>
        <v>0</v>
      </c>
    </row>
    <row r="316" customFormat="false" ht="15" hidden="false" customHeight="false" outlineLevel="0" collapsed="false">
      <c r="A316" s="48" t="s">
        <v>802</v>
      </c>
      <c r="B316" s="48" t="s">
        <v>796</v>
      </c>
      <c r="C316" s="48" t="s">
        <v>168</v>
      </c>
      <c r="D316" s="48" t="s">
        <v>188</v>
      </c>
      <c r="E316" s="48"/>
      <c r="F316" s="48" t="s">
        <v>222</v>
      </c>
      <c r="G316" s="49" t="n">
        <v>9.86</v>
      </c>
      <c r="H316" s="50" t="n">
        <f aca="false">MAX(0,IF(AND(Parameter!$B$21="Ja",ISNUMBER(Y316)),Y316,IF(Parameter!$B$20="Jahresanfang 2025 + Export",BO316+BN316,BN316)))</f>
        <v>25</v>
      </c>
      <c r="I316" s="50" t="n">
        <f aca="false">H316*G316</f>
        <v>246.5</v>
      </c>
      <c r="J316" s="50" t="n">
        <f aca="false">BQ316*Parameter!$B$18</f>
        <v>0</v>
      </c>
      <c r="K316" s="51" t="n">
        <v>0</v>
      </c>
      <c r="L316" s="52" t="n">
        <v>0</v>
      </c>
      <c r="M316" s="50" t="n">
        <v>0</v>
      </c>
      <c r="N316" s="50" t="n">
        <v>1</v>
      </c>
      <c r="O316" s="53" t="n">
        <v>9999</v>
      </c>
      <c r="P316" s="48" t="s">
        <v>172</v>
      </c>
      <c r="Q316" s="50"/>
      <c r="R316" s="53" t="n">
        <f aca="false">IF(BW316=1,0,IFERROR(VLOOKUP(BU316,'Gebinde-Kategorie'!$A$5:$N$45,13,0)+0,0))</f>
        <v>26</v>
      </c>
      <c r="S316" s="54"/>
      <c r="T316" s="55" t="s">
        <v>279</v>
      </c>
      <c r="U316" s="55"/>
      <c r="V316" s="55"/>
      <c r="W316" s="48"/>
      <c r="X316" s="50"/>
      <c r="Y316" s="50"/>
      <c r="Z316" s="48" t="n">
        <f aca="false">IF(A316="","",IF(AND(Parameter!$B$21="Ja",ISNUMBER(W316)),W316,IF(BZ316="2+3",IF(ISNUMBER(SEARCH("grosser Artikel",BR316)),2,IFERROR(VLOOKUP(BU316,Parameter!$F$35:$G$64,2,0),2)),IF(OR(BZ316="Nein",BZ316=""),"-",BZ316))))</f>
        <v>3</v>
      </c>
      <c r="AA316" s="55"/>
      <c r="AB316" s="56"/>
      <c r="AC316" s="50" t="n">
        <f aca="false">AT316</f>
        <v>25</v>
      </c>
      <c r="AD316" s="50" t="n">
        <f aca="false">MAX(AT316,H316)</f>
        <v>25</v>
      </c>
      <c r="AE316" s="57"/>
      <c r="AF316" s="50" t="n">
        <f aca="false">IF(LEFT(Cockpit!$C$5,1)="A",H316,IF(CE316=1,CF316,IF(LEFT(Cockpit!$C$5,1)="B",AK316,MAX(AK316,H316))))</f>
        <v>25</v>
      </c>
      <c r="AG316" s="50" t="n">
        <f aca="false">IF(BW316=1,0,ROUNDUP(AF316/BV316,0))</f>
        <v>1</v>
      </c>
      <c r="AH316" s="52" t="n">
        <f aca="false">IF(CL316&gt;0,CL316*MAX(1,AF316/X316),IF(BW316=1,IF(AF316&lt;=0,0,CA316*MAX(1,IF(H316&gt;0,AF316/H316,1))),IF(R316&gt;0,AG316/R316,0))/MAX(0.1,N(Parameter!$M$21)))</f>
        <v>0.0384615384615385</v>
      </c>
      <c r="AI316" s="50" t="n">
        <f aca="false">AH316*BY316</f>
        <v>5.96153846153846</v>
      </c>
      <c r="AJ316" s="50" t="n">
        <f aca="false">AF316*G316</f>
        <v>246.5</v>
      </c>
      <c r="AK316" s="50" t="n">
        <f aca="false">ROUNDUP(MAX(J316/IF(CD316&gt;0,CD316,MAX(0.1,N(Cockpit!$C$6))),CG316)/BV316,0)*BV316</f>
        <v>25</v>
      </c>
      <c r="AL316" s="51" t="n">
        <f aca="false">IF(AI316&gt;0,J316/AI316,-1)</f>
        <v>0</v>
      </c>
      <c r="AM316" s="51" t="n">
        <f aca="false">IF(AND(OR(CC316="L1",CC316="L23",CC316="LIFT"),AI316&gt;0),SUMIFS($AI$7:$AI$1843,$CC$7:$CC$1843,CC316,$AL$7:$AL$1843,"&gt;"&amp;AL316)+SUMIFS($AI$7:$AI$1843,$CC$7:$CC$1843,CC316,$AL$7:$AL$1843,AL316,$BT$7:$BT$1843,"&lt;="&amp;BT316),"")</f>
        <v>27903.6819447031</v>
      </c>
      <c r="AN316" s="58" t="n">
        <f aca="false">IF(AM316="",0,MAX(0,MIN(1,(IF(CC316="L1",Parameter!$H$5,IF(CC316="L23",Parameter!$H$6+Parameter!$H$7,Parameter!$H$5+Parameter!$H$6+Parameter!$H$7))-(AM316-AI316))/AI316)))</f>
        <v>1</v>
      </c>
      <c r="AO316" s="50" t="n">
        <f aca="false">IF(LEFT(Cockpit!$I$5,1)="A",H316,IF(CE316=1,CF316,IF(LEFT(Cockpit!$I$5,1)="B",AT316,MAX(AT316,H316))))</f>
        <v>25</v>
      </c>
      <c r="AP316" s="50" t="n">
        <f aca="false">IF(BW316=1,0,ROUNDUP(AO316/BV316,0))</f>
        <v>1</v>
      </c>
      <c r="AQ316" s="52" t="n">
        <f aca="false">IF(CL316&gt;0,CL316*MAX(1,AO316/X316),IF(BW316=1,IF(AO316&lt;=0,0,CA316*MAX(1,IF(H316&gt;0,AO316/H316,1))),IF(R316&gt;0,AP316/R316,0))/MAX(0.1,N(Parameter!$M$21)))</f>
        <v>0.0384615384615385</v>
      </c>
      <c r="AR316" s="50" t="n">
        <f aca="false">AQ316*BY316</f>
        <v>5.96153846153846</v>
      </c>
      <c r="AS316" s="50" t="n">
        <f aca="false">AO316*G316</f>
        <v>246.5</v>
      </c>
      <c r="AT316" s="50" t="n">
        <f aca="false">ROUNDUP(MAX(J316/IF(CD316&gt;0,CD316,MAX(0.1,N(Cockpit!$I$6))),CG316)/BV316,0)*BV316</f>
        <v>25</v>
      </c>
      <c r="AU316" s="51" t="n">
        <f aca="false">IF(AR316&gt;0,J316/AR316,-1)</f>
        <v>0</v>
      </c>
      <c r="AV316" s="51" t="n">
        <f aca="false">IF(AND(OR(CC316="L1",CC316="L23",CC316="LIFT"),AR316&gt;0),SUMIFS($AR$7:$AR$1843,$CC$7:$CC$1843,CC316,$AU$7:$AU$1843,"&gt;"&amp;AU316)+SUMIFS($AR$7:$AR$1843,$CC$7:$CC$1843,CC316,$AU$7:$AU$1843,AU316,$BT$7:$BT$1843,"&lt;="&amp;BT316),"")</f>
        <v>39216.5874619731</v>
      </c>
      <c r="AW316" s="58" t="n">
        <f aca="false">IF(AV316="",0,MAX(0,MIN(1,(IF(CC316="L1",Parameter!$H$5,IF(CC316="L23",Parameter!$H$6+Parameter!$H$7,Parameter!$H$5+Parameter!$H$6+Parameter!$H$7))-(AV316-AR316))/AR316)))</f>
        <v>0</v>
      </c>
      <c r="AX316" s="50" t="n">
        <f aca="false">IF(LEFT(Cockpit!$O$5,1)="A",H316,IF(CE316=1,CF316,IF(LEFT(Cockpit!$O$5,1)="B",BC316,MAX(BC316,H316))))</f>
        <v>25</v>
      </c>
      <c r="AY316" s="50" t="n">
        <f aca="false">IF(BW316=1,0,ROUNDUP(AX316/BV316,0))</f>
        <v>1</v>
      </c>
      <c r="AZ316" s="52" t="n">
        <f aca="false">IF(CL316&gt;0,CL316*MAX(1,AX316/X316),IF(BW316=1,IF(AX316&lt;=0,0,CA316*MAX(1,IF(H316&gt;0,AX316/H316,1))),IF(R316&gt;0,AY316/R316,0))/MAX(0.1,N(Parameter!$M$21)))</f>
        <v>0.0384615384615385</v>
      </c>
      <c r="BA316" s="50" t="n">
        <f aca="false">AZ316*BY316</f>
        <v>5.96153846153846</v>
      </c>
      <c r="BB316" s="50" t="n">
        <f aca="false">AX316*G316</f>
        <v>246.5</v>
      </c>
      <c r="BC316" s="50" t="n">
        <f aca="false">ROUNDUP(MAX(J316/IF(CD316&gt;0,CD316,MAX(0.1,N(Cockpit!$O$6))),CG316)/BV316,0)*BV316</f>
        <v>25</v>
      </c>
      <c r="BD316" s="51" t="n">
        <f aca="false">IF(BA316&gt;0,J316/BA316,-1)</f>
        <v>0</v>
      </c>
      <c r="BE316" s="51" t="n">
        <f aca="false">IF(AND(OR(CC316="L1",CC316="L23",CC316="LIFT"),BA316&gt;0),SUMIFS($BA$7:$BA$1843,$CC$7:$CC$1843,CC316,$BD$7:$BD$1843,"&gt;"&amp;BD316)+SUMIFS($BA$7:$BA$1843,$CC$7:$CC$1843,CC316,$BD$7:$BD$1843,BD316,$BT$7:$BT$1843,"&lt;="&amp;BT316),"")</f>
        <v>35891.5995038389</v>
      </c>
      <c r="BF316" s="58" t="n">
        <f aca="false">IF(BE316="",0,MAX(0,MIN(1,(IF(CC316="L1",Parameter!$H$5,IF(CC316="L23",Parameter!$H$6+Parameter!$H$7,Parameter!$H$5+Parameter!$H$6+Parameter!$H$7))-(BE316-BA316))/BA316)))</f>
        <v>0</v>
      </c>
      <c r="BG316" s="48" t="str">
        <f aca="false">IF(AI316&lt;=0,"",IF(CC316="Aussen","Aussenlager",IF(CC316="-","Nicht im Lift",IF(AN316&gt;=1,"Lift",IF(AN316&lt;=0,"Aussenlager","teilweise")))))</f>
        <v>Lift</v>
      </c>
      <c r="BH316" s="48" t="str">
        <f aca="false">IF(AR316&lt;=0,"",IF(CC316="Aussen","Aussenlager",IF(CC316="-","Nicht im Lift",IF(AW316&gt;=1,"Lift",IF(AW316&lt;=0,"Aussenlager","teilweise")))))</f>
        <v>Aussenlager</v>
      </c>
      <c r="BI316" s="48" t="str">
        <f aca="false">IF(BA316&lt;=0,"",IF(CC316="Aussen","Aussenlager",IF(CC316="-","Nicht im Lift",IF(BF316&gt;=1,"Lift",IF(BF316&lt;=0,"Aussenlager","teilweise")))))</f>
        <v>Aussenlager</v>
      </c>
      <c r="BJ316" s="48" t="str">
        <f aca="false">IF(A316="","",IF(BS316=1,"Neu; ","")&amp;IF(AND(BS316=0,BN316&lt;0),"negativer Bestand (Export "&amp;BN316&amp;"); ","")&amp;IF(J316&lt;=0,"Kein Verbrauch; ","")&amp;IF(CL316&gt;0,"Lift "&amp;W316&amp;" lt. Liftbericht (Fach "&amp;X316&amp;" Stk); ",IF(BX316=1,"Gebinde geschätzt ("&amp;T316&amp;"); ",IF(BW316=1,"Lose – Tablare geschätzt; ","")))&amp;IF(H316&gt;AT316,"Überbestand "&amp;ROUND(H316-AT316,0)&amp;" Stk / CHF "&amp;ROUND((H316-AT316)*G316,0)&amp;"; ","")&amp;IF(AND(CE316=1,CF316&lt;CG316),"MAX &lt; MB+LG; ","")&amp;IF(AND(CK316&gt;0,CJ316*10&gt;CK316),"zu hoch für Tablar; ","")&amp;IF(AND(BS316=0,OR(CE316=1,AA316&lt;&gt;"",U316&lt;&gt;"",V316&lt;&gt;"",AB316&lt;&gt;"")),"manuell übersteuert; ","")&amp;IF(AND(BW316=0,R316=0),"Gebinde unbekannt / Stellmass fehlt; ","")&amp;IF(AND(BW316=0,N(V316)&lt;=0,N(Q316)&lt;=0),"Menge pro Gebinde fehlt (Ist = 1 Gebinde); ","")&amp;BR316)</f>
        <v>Kein Verbrauch; Gebinde geschätzt (Klein); Menge pro Gebinde fehlt (Ist = 1 Gebinde); </v>
      </c>
      <c r="BK316" s="48"/>
      <c r="BL316" s="48"/>
      <c r="BM316" s="55"/>
      <c r="BN316" s="50" t="n">
        <v>25</v>
      </c>
      <c r="BO316" s="50" t="n">
        <v>0</v>
      </c>
      <c r="BP316" s="49" t="n">
        <v>246.5</v>
      </c>
      <c r="BQ316" s="50" t="n">
        <v>0</v>
      </c>
      <c r="BR316" s="48"/>
      <c r="BS316" s="53" t="n">
        <v>0</v>
      </c>
      <c r="BT316" s="53" t="n">
        <v>316</v>
      </c>
      <c r="BU316" s="48" t="str">
        <f aca="false">IF(U316&lt;&gt;"",UPPER(TRIM(U316)),IF(BX316=1,UPPER(VLOOKUP(T316,Parameter!$I$27:$K$29,2,0)),IF(P316="","LOSE",P316)))</f>
        <v>S51</v>
      </c>
      <c r="BV316" s="50" t="n">
        <f aca="false">IF(BU316="LOSE",1,IF(N(V316)&gt;0,V316,IF(BX316=1,MAX(1,N(VLOOKUP(T316,Parameter!$I$27:$K$29,3,0)),H316,N(N316)),IF(N(Q316)&gt;0,Q316,MAX(1,H316)))))</f>
        <v>25</v>
      </c>
      <c r="BW316" s="53" t="n">
        <f aca="false">IF(BU316="LOSE",1,0)</f>
        <v>0</v>
      </c>
      <c r="BX316" s="53" t="n">
        <f aca="false">IF(AND(U316="",OR(P316="",P316="LOSE"),T316&lt;&gt;"",N(S316)&lt;=0,ISNUMBER(MATCH(T316,Parameter!$I$27:$I$29,0))),1,0)</f>
        <v>1</v>
      </c>
      <c r="BY316" s="53" t="n">
        <f aca="false">IF(CL316&gt;0,INDEX(Parameter!$H$5:$H$7,W316)/INDEX(Parameter!$E$5:$E$7,W316),IF(AND(BW316=0,N(IFERROR(VLOOKUP(BU316,'Gebinde-Kategorie'!$A$5:$N$45,14,0),0))&gt;0),VLOOKUP(BU316,'Gebinde-Kategorie'!$A$5:$N$45,14,0)*10+Parameter!$M$23,Parameter!$M$24))</f>
        <v>155</v>
      </c>
      <c r="BZ316" s="48" t="str">
        <f aca="false">IF(AND(Parameter!$B$19="Ja",E316&lt;&gt;"",ISNUMBER(MATCH(E316,Parameter!$I$35:$I$52,0))),VLOOKUP(E316,Parameter!$I$35:$J$52,2,0),IFERROR(VLOOKUP(D316,Parameter!$A$35:$C$64,2,0),"Nein"))</f>
        <v>2+3</v>
      </c>
      <c r="CA316" s="52" t="n">
        <f aca="false">IF(BW316=0,0,IF(N(S316)&gt;0,S316,IFERROR(VLOOKUP(D316,Parameter!$A$35:$C$64,3,0)+0,0)))</f>
        <v>0</v>
      </c>
      <c r="CB316" s="48" t="n">
        <f aca="false">IF(AA316&lt;&gt;"",AA316,Z316)</f>
        <v>3</v>
      </c>
      <c r="CC316" s="48" t="str">
        <f aca="false">IF(OR(CB316=1,CB316=2,CB316=3),IF(Parameter!$E$27="Ja","LIFT",IF(CB316=1,"L1","L23")),IF(CB316="Aussen","Aussen","-"))</f>
        <v>LIFT</v>
      </c>
      <c r="CD316" s="59" t="n">
        <f aca="false">IF(N(AB316)&gt;0,AB316,0)</f>
        <v>0</v>
      </c>
      <c r="CE316" s="53" t="n">
        <f aca="false">IF(ISNUMBER(AE316),1,0)</f>
        <v>0</v>
      </c>
      <c r="CF316" s="50" t="n">
        <f aca="false">N(AE316)</f>
        <v>0</v>
      </c>
      <c r="CG316" s="50" t="n">
        <f aca="false">N(M316)+N(N316)</f>
        <v>1</v>
      </c>
      <c r="CH316" s="50" t="n">
        <f aca="false">ROUNDUP(H316/BV316,0)</f>
        <v>1</v>
      </c>
      <c r="CI316" s="50" t="n">
        <f aca="false">ROUNDUP(CF316/BV316,0)</f>
        <v>0</v>
      </c>
      <c r="CJ316" s="53" t="n">
        <f aca="false">IF(BW316=1,0,IFERROR(VLOOKUP(BU316,'Gebinde-Kategorie'!$A$5:$N$45,5,0)+0,0))</f>
        <v>11</v>
      </c>
      <c r="CK316" s="53" t="n">
        <f aca="false">IFERROR(IF(OR(CB316=1,CB316=2,CB316=3),N(INDEX(Parameter!$I$5:$I$7,CB316)),0),0)</f>
        <v>0</v>
      </c>
      <c r="CL316" s="52" t="n">
        <f aca="false">IF(AND(Parameter!$B$21="Ja",ISNUMBER(W316),N(X316)&gt;0),IFERROR(N(INDEX(Parameter!$L$5:$L$7,W316))*INDEX(Parameter!$E$5:$E$7,W316)*X316/SUMIFS($X$7:$X$1843,$W$7:$W$1843,W316),0),0)</f>
        <v>0</v>
      </c>
    </row>
    <row r="317" customFormat="false" ht="15" hidden="false" customHeight="false" outlineLevel="0" collapsed="false">
      <c r="A317" s="48" t="s">
        <v>803</v>
      </c>
      <c r="B317" s="48" t="s">
        <v>804</v>
      </c>
      <c r="C317" s="48" t="s">
        <v>168</v>
      </c>
      <c r="D317" s="48" t="s">
        <v>188</v>
      </c>
      <c r="E317" s="48"/>
      <c r="F317" s="48" t="s">
        <v>222</v>
      </c>
      <c r="G317" s="49" t="n">
        <v>81.98</v>
      </c>
      <c r="H317" s="50" t="n">
        <f aca="false">MAX(0,IF(AND(Parameter!$B$21="Ja",ISNUMBER(Y317)),Y317,IF(Parameter!$B$20="Jahresanfang 2025 + Export",BO317+BN317,BN317)))</f>
        <v>3</v>
      </c>
      <c r="I317" s="50" t="n">
        <f aca="false">H317*G317</f>
        <v>245.94</v>
      </c>
      <c r="J317" s="50" t="n">
        <f aca="false">BQ317*Parameter!$B$18</f>
        <v>4</v>
      </c>
      <c r="K317" s="51" t="n">
        <v>3</v>
      </c>
      <c r="L317" s="52" t="n">
        <v>1.33333333333333</v>
      </c>
      <c r="M317" s="50" t="n">
        <v>0</v>
      </c>
      <c r="N317" s="50" t="n">
        <v>5</v>
      </c>
      <c r="O317" s="53" t="n">
        <v>14</v>
      </c>
      <c r="P317" s="48" t="s">
        <v>306</v>
      </c>
      <c r="Q317" s="50" t="n">
        <v>3</v>
      </c>
      <c r="R317" s="53" t="n">
        <f aca="false">IF(BW317=1,0,IFERROR(VLOOKUP(BU317,'Gebinde-Kategorie'!$A$5:$N$45,13,0)+0,0))</f>
        <v>26</v>
      </c>
      <c r="S317" s="54"/>
      <c r="T317" s="55"/>
      <c r="U317" s="55"/>
      <c r="V317" s="55"/>
      <c r="W317" s="48"/>
      <c r="X317" s="50"/>
      <c r="Y317" s="50"/>
      <c r="Z317" s="48" t="n">
        <f aca="false">IF(A317="","",IF(AND(Parameter!$B$21="Ja",ISNUMBER(W317)),W317,IF(BZ317="2+3",IF(ISNUMBER(SEARCH("grosser Artikel",BR317)),2,IFERROR(VLOOKUP(BU317,Parameter!$F$35:$G$64,2,0),2)),IF(OR(BZ317="Nein",BZ317=""),"-",BZ317))))</f>
        <v>3</v>
      </c>
      <c r="AA317" s="55"/>
      <c r="AB317" s="56"/>
      <c r="AC317" s="50" t="n">
        <f aca="false">AT317</f>
        <v>6</v>
      </c>
      <c r="AD317" s="50" t="n">
        <f aca="false">MAX(AT317,H317)</f>
        <v>6</v>
      </c>
      <c r="AE317" s="57"/>
      <c r="AF317" s="50" t="n">
        <f aca="false">IF(LEFT(Cockpit!$C$5,1)="A",H317,IF(CE317=1,CF317,IF(LEFT(Cockpit!$C$5,1)="B",AK317,MAX(AK317,H317))))</f>
        <v>3</v>
      </c>
      <c r="AG317" s="50" t="n">
        <f aca="false">IF(BW317=1,0,ROUNDUP(AF317/BV317,0))</f>
        <v>1</v>
      </c>
      <c r="AH317" s="52" t="n">
        <f aca="false">IF(CL317&gt;0,CL317*MAX(1,AF317/X317),IF(BW317=1,IF(AF317&lt;=0,0,CA317*MAX(1,IF(H317&gt;0,AF317/H317,1))),IF(R317&gt;0,AG317/R317,0))/MAX(0.1,N(Parameter!$M$21)))</f>
        <v>0.0384615384615385</v>
      </c>
      <c r="AI317" s="50" t="n">
        <f aca="false">AH317*BY317</f>
        <v>5.96153846153846</v>
      </c>
      <c r="AJ317" s="50" t="n">
        <f aca="false">AF317*G317</f>
        <v>245.94</v>
      </c>
      <c r="AK317" s="50" t="n">
        <f aca="false">ROUNDUP(MAX(J317/IF(CD317&gt;0,CD317,MAX(0.1,N(Cockpit!$C$6))),CG317)/BV317,0)*BV317</f>
        <v>6</v>
      </c>
      <c r="AL317" s="51" t="n">
        <f aca="false">IF(AI317&gt;0,J317/AI317,-1)</f>
        <v>0.670967741935484</v>
      </c>
      <c r="AM317" s="51" t="n">
        <f aca="false">IF(AND(OR(CC317="L1",CC317="L23",CC317="LIFT"),AI317&gt;0),SUMIFS($AI$7:$AI$1843,$CC$7:$CC$1843,CC317,$AL$7:$AL$1843,"&gt;"&amp;AL317)+SUMIFS($AI$7:$AI$1843,$CC$7:$CC$1843,CC317,$AL$7:$AL$1843,AL317,$BT$7:$BT$1843,"&lt;="&amp;BT317),"")</f>
        <v>8608.66025641026</v>
      </c>
      <c r="AN317" s="58" t="n">
        <f aca="false">IF(AM317="",0,MAX(0,MIN(1,(IF(CC317="L1",Parameter!$H$5,IF(CC317="L23",Parameter!$H$6+Parameter!$H$7,Parameter!$H$5+Parameter!$H$6+Parameter!$H$7))-(AM317-AI317))/AI317)))</f>
        <v>1</v>
      </c>
      <c r="AO317" s="50" t="n">
        <f aca="false">IF(LEFT(Cockpit!$I$5,1)="A",H317,IF(CE317=1,CF317,IF(LEFT(Cockpit!$I$5,1)="B",AT317,MAX(AT317,H317))))</f>
        <v>6</v>
      </c>
      <c r="AP317" s="50" t="n">
        <f aca="false">IF(BW317=1,0,ROUNDUP(AO317/BV317,0))</f>
        <v>2</v>
      </c>
      <c r="AQ317" s="52" t="n">
        <f aca="false">IF(CL317&gt;0,CL317*MAX(1,AO317/X317),IF(BW317=1,IF(AO317&lt;=0,0,CA317*MAX(1,IF(H317&gt;0,AO317/H317,1))),IF(R317&gt;0,AP317/R317,0))/MAX(0.1,N(Parameter!$M$21)))</f>
        <v>0.0769230769230769</v>
      </c>
      <c r="AR317" s="50" t="n">
        <f aca="false">AQ317*BY317</f>
        <v>11.9230769230769</v>
      </c>
      <c r="AS317" s="50" t="n">
        <f aca="false">AO317*G317</f>
        <v>491.88</v>
      </c>
      <c r="AT317" s="50" t="n">
        <f aca="false">ROUNDUP(MAX(J317/IF(CD317&gt;0,CD317,MAX(0.1,N(Cockpit!$I$6))),CG317)/BV317,0)*BV317</f>
        <v>6</v>
      </c>
      <c r="AU317" s="51" t="n">
        <f aca="false">IF(AR317&gt;0,J317/AR317,-1)</f>
        <v>0.335483870967742</v>
      </c>
      <c r="AV317" s="51" t="n">
        <f aca="false">IF(AND(OR(CC317="L1",CC317="L23",CC317="LIFT"),AR317&gt;0),SUMIFS($AR$7:$AR$1843,$CC$7:$CC$1843,CC317,$AU$7:$AU$1843,"&gt;"&amp;AU317)+SUMIFS($AR$7:$AR$1843,$CC$7:$CC$1843,CC317,$AU$7:$AU$1843,AU317,$BT$7:$BT$1843,"&lt;="&amp;BT317),"")</f>
        <v>16287.8713369963</v>
      </c>
      <c r="AW317" s="58" t="n">
        <f aca="false">IF(AV317="",0,MAX(0,MIN(1,(IF(CC317="L1",Parameter!$H$5,IF(CC317="L23",Parameter!$H$6+Parameter!$H$7,Parameter!$H$5+Parameter!$H$6+Parameter!$H$7))-(AV317-AR317))/AR317)))</f>
        <v>1</v>
      </c>
      <c r="AX317" s="50" t="n">
        <f aca="false">IF(LEFT(Cockpit!$O$5,1)="A",H317,IF(CE317=1,CF317,IF(LEFT(Cockpit!$O$5,1)="B",BC317,MAX(BC317,H317))))</f>
        <v>6</v>
      </c>
      <c r="AY317" s="50" t="n">
        <f aca="false">IF(BW317=1,0,ROUNDUP(AX317/BV317,0))</f>
        <v>2</v>
      </c>
      <c r="AZ317" s="52" t="n">
        <f aca="false">IF(CL317&gt;0,CL317*MAX(1,AX317/X317),IF(BW317=1,IF(AX317&lt;=0,0,CA317*MAX(1,IF(H317&gt;0,AX317/H317,1))),IF(R317&gt;0,AY317/R317,0))/MAX(0.1,N(Parameter!$M$21)))</f>
        <v>0.0769230769230769</v>
      </c>
      <c r="BA317" s="50" t="n">
        <f aca="false">AZ317*BY317</f>
        <v>11.9230769230769</v>
      </c>
      <c r="BB317" s="50" t="n">
        <f aca="false">AX317*G317</f>
        <v>491.88</v>
      </c>
      <c r="BC317" s="50" t="n">
        <f aca="false">ROUNDUP(MAX(J317/IF(CD317&gt;0,CD317,MAX(0.1,N(Cockpit!$O$6))),CG317)/BV317,0)*BV317</f>
        <v>6</v>
      </c>
      <c r="BD317" s="51" t="n">
        <f aca="false">IF(BA317&gt;0,J317/BA317,-1)</f>
        <v>0.335483870967742</v>
      </c>
      <c r="BE317" s="51" t="n">
        <f aca="false">IF(AND(OR(CC317="L1",CC317="L23",CC317="LIFT"),BA317&gt;0),SUMIFS($BA$7:$BA$1843,$CC$7:$CC$1843,CC317,$BD$7:$BD$1843,"&gt;"&amp;BD317)+SUMIFS($BA$7:$BA$1843,$CC$7:$CC$1843,CC317,$BD$7:$BD$1843,BD317,$BT$7:$BT$1843,"&lt;="&amp;BT317),"")</f>
        <v>15038.5283882784</v>
      </c>
      <c r="BF317" s="58" t="n">
        <f aca="false">IF(BE317="",0,MAX(0,MIN(1,(IF(CC317="L1",Parameter!$H$5,IF(CC317="L23",Parameter!$H$6+Parameter!$H$7,Parameter!$H$5+Parameter!$H$6+Parameter!$H$7))-(BE317-BA317))/BA317)))</f>
        <v>1</v>
      </c>
      <c r="BG317" s="48" t="str">
        <f aca="false">IF(AI317&lt;=0,"",IF(CC317="Aussen","Aussenlager",IF(CC317="-","Nicht im Lift",IF(AN317&gt;=1,"Lift",IF(AN317&lt;=0,"Aussenlager","teilweise")))))</f>
        <v>Lift</v>
      </c>
      <c r="BH317" s="48" t="str">
        <f aca="false">IF(AR317&lt;=0,"",IF(CC317="Aussen","Aussenlager",IF(CC317="-","Nicht im Lift",IF(AW317&gt;=1,"Lift",IF(AW317&lt;=0,"Aussenlager","teilweise")))))</f>
        <v>Lift</v>
      </c>
      <c r="BI317" s="48" t="str">
        <f aca="false">IF(BA317&lt;=0,"",IF(CC317="Aussen","Aussenlager",IF(CC317="-","Nicht im Lift",IF(BF317&gt;=1,"Lift",IF(BF317&lt;=0,"Aussenlager","teilweise")))))</f>
        <v>Lift</v>
      </c>
      <c r="BJ317" s="48" t="str">
        <f aca="false">IF(A317="","",IF(BS317=1,"Neu; ","")&amp;IF(AND(BS317=0,BN317&lt;0),"negativer Bestand (Export "&amp;BN317&amp;"); ","")&amp;IF(J317&lt;=0,"Kein Verbrauch; ","")&amp;IF(CL317&gt;0,"Lift "&amp;W317&amp;" lt. Liftbericht (Fach "&amp;X317&amp;" Stk); ",IF(BX317=1,"Gebinde geschätzt ("&amp;T317&amp;"); ",IF(BW317=1,"Lose – Tablare geschätzt; ","")))&amp;IF(H317&gt;AT317,"Überbestand "&amp;ROUND(H317-AT317,0)&amp;" Stk / CHF "&amp;ROUND((H317-AT317)*G317,0)&amp;"; ","")&amp;IF(AND(CE317=1,CF317&lt;CG317),"MAX &lt; MB+LG; ","")&amp;IF(AND(CK317&gt;0,CJ317*10&gt;CK317),"zu hoch für Tablar; ","")&amp;IF(AND(BS317=0,OR(CE317=1,AA317&lt;&gt;"",U317&lt;&gt;"",V317&lt;&gt;"",AB317&lt;&gt;"")),"manuell übersteuert; ","")&amp;IF(AND(BW317=0,R317=0),"Gebinde unbekannt / Stellmass fehlt; ","")&amp;IF(AND(BW317=0,N(V317)&lt;=0,N(Q317)&lt;=0),"Menge pro Gebinde fehlt (Ist = 1 Gebinde); ","")&amp;BR317)</f>
        <v/>
      </c>
      <c r="BK317" s="48"/>
      <c r="BL317" s="48"/>
      <c r="BM317" s="55"/>
      <c r="BN317" s="50" t="n">
        <v>3</v>
      </c>
      <c r="BO317" s="50" t="n">
        <v>0</v>
      </c>
      <c r="BP317" s="49" t="n">
        <v>245.94</v>
      </c>
      <c r="BQ317" s="50" t="n">
        <v>4</v>
      </c>
      <c r="BR317" s="48"/>
      <c r="BS317" s="53" t="n">
        <v>0</v>
      </c>
      <c r="BT317" s="53" t="n">
        <v>317</v>
      </c>
      <c r="BU317" s="48" t="str">
        <f aca="false">IF(U317&lt;&gt;"",UPPER(TRIM(U317)),IF(BX317=1,UPPER(VLOOKUP(T317,Parameter!$I$27:$K$29,2,0)),IF(P317="","LOSE",P317)))</f>
        <v>S51</v>
      </c>
      <c r="BV317" s="50" t="n">
        <f aca="false">IF(BU317="LOSE",1,IF(N(V317)&gt;0,V317,IF(BX317=1,MAX(1,N(VLOOKUP(T317,Parameter!$I$27:$K$29,3,0)),H317,N(N317)),IF(N(Q317)&gt;0,Q317,MAX(1,H317)))))</f>
        <v>3</v>
      </c>
      <c r="BW317" s="53" t="n">
        <f aca="false">IF(BU317="LOSE",1,0)</f>
        <v>0</v>
      </c>
      <c r="BX317" s="53" t="n">
        <f aca="false">IF(AND(U317="",OR(P317="",P317="LOSE"),T317&lt;&gt;"",N(S317)&lt;=0,ISNUMBER(MATCH(T317,Parameter!$I$27:$I$29,0))),1,0)</f>
        <v>0</v>
      </c>
      <c r="BY317" s="53" t="n">
        <f aca="false">IF(CL317&gt;0,INDEX(Parameter!$H$5:$H$7,W317)/INDEX(Parameter!$E$5:$E$7,W317),IF(AND(BW317=0,N(IFERROR(VLOOKUP(BU317,'Gebinde-Kategorie'!$A$5:$N$45,14,0),0))&gt;0),VLOOKUP(BU317,'Gebinde-Kategorie'!$A$5:$N$45,14,0)*10+Parameter!$M$23,Parameter!$M$24))</f>
        <v>155</v>
      </c>
      <c r="BZ317" s="48" t="str">
        <f aca="false">IF(AND(Parameter!$B$19="Ja",E317&lt;&gt;"",ISNUMBER(MATCH(E317,Parameter!$I$35:$I$52,0))),VLOOKUP(E317,Parameter!$I$35:$J$52,2,0),IFERROR(VLOOKUP(D317,Parameter!$A$35:$C$64,2,0),"Nein"))</f>
        <v>2+3</v>
      </c>
      <c r="CA317" s="52" t="n">
        <f aca="false">IF(BW317=0,0,IF(N(S317)&gt;0,S317,IFERROR(VLOOKUP(D317,Parameter!$A$35:$C$64,3,0)+0,0)))</f>
        <v>0</v>
      </c>
      <c r="CB317" s="48" t="n">
        <f aca="false">IF(AA317&lt;&gt;"",AA317,Z317)</f>
        <v>3</v>
      </c>
      <c r="CC317" s="48" t="str">
        <f aca="false">IF(OR(CB317=1,CB317=2,CB317=3),IF(Parameter!$E$27="Ja","LIFT",IF(CB317=1,"L1","L23")),IF(CB317="Aussen","Aussen","-"))</f>
        <v>LIFT</v>
      </c>
      <c r="CD317" s="59" t="n">
        <f aca="false">IF(N(AB317)&gt;0,AB317,0)</f>
        <v>0</v>
      </c>
      <c r="CE317" s="53" t="n">
        <f aca="false">IF(ISNUMBER(AE317),1,0)</f>
        <v>0</v>
      </c>
      <c r="CF317" s="50" t="n">
        <f aca="false">N(AE317)</f>
        <v>0</v>
      </c>
      <c r="CG317" s="50" t="n">
        <f aca="false">N(M317)+N(N317)</f>
        <v>5</v>
      </c>
      <c r="CH317" s="50" t="n">
        <f aca="false">ROUNDUP(H317/BV317,0)</f>
        <v>1</v>
      </c>
      <c r="CI317" s="50" t="n">
        <f aca="false">ROUNDUP(CF317/BV317,0)</f>
        <v>0</v>
      </c>
      <c r="CJ317" s="53" t="n">
        <f aca="false">IF(BW317=1,0,IFERROR(VLOOKUP(BU317,'Gebinde-Kategorie'!$A$5:$N$45,5,0)+0,0))</f>
        <v>11</v>
      </c>
      <c r="CK317" s="53" t="n">
        <f aca="false">IFERROR(IF(OR(CB317=1,CB317=2,CB317=3),N(INDEX(Parameter!$I$5:$I$7,CB317)),0),0)</f>
        <v>0</v>
      </c>
      <c r="CL317" s="52" t="n">
        <f aca="false">IF(AND(Parameter!$B$21="Ja",ISNUMBER(W317),N(X317)&gt;0),IFERROR(N(INDEX(Parameter!$L$5:$L$7,W317))*INDEX(Parameter!$E$5:$E$7,W317)*X317/SUMIFS($X$7:$X$1843,$W$7:$W$1843,W317),0),0)</f>
        <v>0</v>
      </c>
    </row>
    <row r="318" customFormat="false" ht="15" hidden="false" customHeight="false" outlineLevel="0" collapsed="false">
      <c r="A318" s="48" t="s">
        <v>805</v>
      </c>
      <c r="B318" s="48" t="s">
        <v>806</v>
      </c>
      <c r="C318" s="48" t="s">
        <v>168</v>
      </c>
      <c r="D318" s="48" t="s">
        <v>188</v>
      </c>
      <c r="E318" s="48"/>
      <c r="F318" s="48" t="s">
        <v>222</v>
      </c>
      <c r="G318" s="49" t="n">
        <v>40.39</v>
      </c>
      <c r="H318" s="50" t="n">
        <f aca="false">MAX(0,IF(AND(Parameter!$B$21="Ja",ISNUMBER(Y318)),Y318,IF(Parameter!$B$20="Jahresanfang 2025 + Export",BO318+BN318,BN318)))</f>
        <v>6</v>
      </c>
      <c r="I318" s="50" t="n">
        <f aca="false">H318*G318</f>
        <v>242.34</v>
      </c>
      <c r="J318" s="50" t="n">
        <f aca="false">BQ318*Parameter!$B$18</f>
        <v>0</v>
      </c>
      <c r="K318" s="51" t="n">
        <v>0</v>
      </c>
      <c r="L318" s="52" t="n">
        <v>0</v>
      </c>
      <c r="M318" s="50" t="n">
        <v>0</v>
      </c>
      <c r="N318" s="50" t="n">
        <v>5</v>
      </c>
      <c r="O318" s="53" t="n">
        <v>21</v>
      </c>
      <c r="P318" s="48" t="s">
        <v>425</v>
      </c>
      <c r="Q318" s="50" t="n">
        <v>8</v>
      </c>
      <c r="R318" s="53" t="n">
        <f aca="false">IF(BW318=1,0,IFERROR(VLOOKUP(BU318,'Gebinde-Kategorie'!$A$5:$N$45,13,0)+0,0))</f>
        <v>104</v>
      </c>
      <c r="S318" s="54"/>
      <c r="T318" s="55"/>
      <c r="U318" s="55"/>
      <c r="V318" s="55"/>
      <c r="W318" s="48"/>
      <c r="X318" s="50"/>
      <c r="Y318" s="50"/>
      <c r="Z318" s="48" t="n">
        <f aca="false">IF(A318="","",IF(AND(Parameter!$B$21="Ja",ISNUMBER(W318)),W318,IF(BZ318="2+3",IF(ISNUMBER(SEARCH("grosser Artikel",BR318)),2,IFERROR(VLOOKUP(BU318,Parameter!$F$35:$G$64,2,0),2)),IF(OR(BZ318="Nein",BZ318=""),"-",BZ318))))</f>
        <v>3</v>
      </c>
      <c r="AA318" s="55"/>
      <c r="AB318" s="56"/>
      <c r="AC318" s="50" t="n">
        <f aca="false">AT318</f>
        <v>8</v>
      </c>
      <c r="AD318" s="50" t="n">
        <f aca="false">MAX(AT318,H318)</f>
        <v>8</v>
      </c>
      <c r="AE318" s="57"/>
      <c r="AF318" s="50" t="n">
        <f aca="false">IF(LEFT(Cockpit!$C$5,1)="A",H318,IF(CE318=1,CF318,IF(LEFT(Cockpit!$C$5,1)="B",AK318,MAX(AK318,H318))))</f>
        <v>6</v>
      </c>
      <c r="AG318" s="50" t="n">
        <f aca="false">IF(BW318=1,0,ROUNDUP(AF318/BV318,0))</f>
        <v>1</v>
      </c>
      <c r="AH318" s="52" t="n">
        <f aca="false">IF(CL318&gt;0,CL318*MAX(1,AF318/X318),IF(BW318=1,IF(AF318&lt;=0,0,CA318*MAX(1,IF(H318&gt;0,AF318/H318,1))),IF(R318&gt;0,AG318/R318,0))/MAX(0.1,N(Parameter!$M$21)))</f>
        <v>0.00961538461538462</v>
      </c>
      <c r="AI318" s="50" t="n">
        <f aca="false">AH318*BY318</f>
        <v>1.49038461538462</v>
      </c>
      <c r="AJ318" s="50" t="n">
        <f aca="false">AF318*G318</f>
        <v>242.34</v>
      </c>
      <c r="AK318" s="50" t="n">
        <f aca="false">ROUNDUP(MAX(J318/IF(CD318&gt;0,CD318,MAX(0.1,N(Cockpit!$C$6))),CG318)/BV318,0)*BV318</f>
        <v>8</v>
      </c>
      <c r="AL318" s="51" t="n">
        <f aca="false">IF(AI318&gt;0,J318/AI318,-1)</f>
        <v>0</v>
      </c>
      <c r="AM318" s="51" t="n">
        <f aca="false">IF(AND(OR(CC318="L1",CC318="L23",CC318="LIFT"),AI318&gt;0),SUMIFS($AI$7:$AI$1843,$CC$7:$CC$1843,CC318,$AL$7:$AL$1843,"&gt;"&amp;AL318)+SUMIFS($AI$7:$AI$1843,$CC$7:$CC$1843,CC318,$AL$7:$AL$1843,AL318,$BT$7:$BT$1843,"&lt;="&amp;BT318),"")</f>
        <v>27905.1723293185</v>
      </c>
      <c r="AN318" s="58" t="n">
        <f aca="false">IF(AM318="",0,MAX(0,MIN(1,(IF(CC318="L1",Parameter!$H$5,IF(CC318="L23",Parameter!$H$6+Parameter!$H$7,Parameter!$H$5+Parameter!$H$6+Parameter!$H$7))-(AM318-AI318))/AI318)))</f>
        <v>1</v>
      </c>
      <c r="AO318" s="50" t="n">
        <f aca="false">IF(LEFT(Cockpit!$I$5,1)="A",H318,IF(CE318=1,CF318,IF(LEFT(Cockpit!$I$5,1)="B",AT318,MAX(AT318,H318))))</f>
        <v>8</v>
      </c>
      <c r="AP318" s="50" t="n">
        <f aca="false">IF(BW318=1,0,ROUNDUP(AO318/BV318,0))</f>
        <v>1</v>
      </c>
      <c r="AQ318" s="52" t="n">
        <f aca="false">IF(CL318&gt;0,CL318*MAX(1,AO318/X318),IF(BW318=1,IF(AO318&lt;=0,0,CA318*MAX(1,IF(H318&gt;0,AO318/H318,1))),IF(R318&gt;0,AP318/R318,0))/MAX(0.1,N(Parameter!$M$21)))</f>
        <v>0.00961538461538462</v>
      </c>
      <c r="AR318" s="50" t="n">
        <f aca="false">AQ318*BY318</f>
        <v>1.49038461538462</v>
      </c>
      <c r="AS318" s="50" t="n">
        <f aca="false">AO318*G318</f>
        <v>323.12</v>
      </c>
      <c r="AT318" s="50" t="n">
        <f aca="false">ROUNDUP(MAX(J318/IF(CD318&gt;0,CD318,MAX(0.1,N(Cockpit!$I$6))),CG318)/BV318,0)*BV318</f>
        <v>8</v>
      </c>
      <c r="AU318" s="51" t="n">
        <f aca="false">IF(AR318&gt;0,J318/AR318,-1)</f>
        <v>0</v>
      </c>
      <c r="AV318" s="51" t="n">
        <f aca="false">IF(AND(OR(CC318="L1",CC318="L23",CC318="LIFT"),AR318&gt;0),SUMIFS($AR$7:$AR$1843,$CC$7:$CC$1843,CC318,$AU$7:$AU$1843,"&gt;"&amp;AU318)+SUMIFS($AR$7:$AR$1843,$CC$7:$CC$1843,CC318,$AU$7:$AU$1843,AU318,$BT$7:$BT$1843,"&lt;="&amp;BT318),"")</f>
        <v>39218.0778465884</v>
      </c>
      <c r="AW318" s="58" t="n">
        <f aca="false">IF(AV318="",0,MAX(0,MIN(1,(IF(CC318="L1",Parameter!$H$5,IF(CC318="L23",Parameter!$H$6+Parameter!$H$7,Parameter!$H$5+Parameter!$H$6+Parameter!$H$7))-(AV318-AR318))/AR318)))</f>
        <v>0</v>
      </c>
      <c r="AX318" s="50" t="n">
        <f aca="false">IF(LEFT(Cockpit!$O$5,1)="A",H318,IF(CE318=1,CF318,IF(LEFT(Cockpit!$O$5,1)="B",BC318,MAX(BC318,H318))))</f>
        <v>8</v>
      </c>
      <c r="AY318" s="50" t="n">
        <f aca="false">IF(BW318=1,0,ROUNDUP(AX318/BV318,0))</f>
        <v>1</v>
      </c>
      <c r="AZ318" s="52" t="n">
        <f aca="false">IF(CL318&gt;0,CL318*MAX(1,AX318/X318),IF(BW318=1,IF(AX318&lt;=0,0,CA318*MAX(1,IF(H318&gt;0,AX318/H318,1))),IF(R318&gt;0,AY318/R318,0))/MAX(0.1,N(Parameter!$M$21)))</f>
        <v>0.00961538461538462</v>
      </c>
      <c r="BA318" s="50" t="n">
        <f aca="false">AZ318*BY318</f>
        <v>1.49038461538462</v>
      </c>
      <c r="BB318" s="50" t="n">
        <f aca="false">AX318*G318</f>
        <v>323.12</v>
      </c>
      <c r="BC318" s="50" t="n">
        <f aca="false">ROUNDUP(MAX(J318/IF(CD318&gt;0,CD318,MAX(0.1,N(Cockpit!$O$6))),CG318)/BV318,0)*BV318</f>
        <v>8</v>
      </c>
      <c r="BD318" s="51" t="n">
        <f aca="false">IF(BA318&gt;0,J318/BA318,-1)</f>
        <v>0</v>
      </c>
      <c r="BE318" s="51" t="n">
        <f aca="false">IF(AND(OR(CC318="L1",CC318="L23",CC318="LIFT"),BA318&gt;0),SUMIFS($BA$7:$BA$1843,$CC$7:$CC$1843,CC318,$BD$7:$BD$1843,"&gt;"&amp;BD318)+SUMIFS($BA$7:$BA$1843,$CC$7:$CC$1843,CC318,$BD$7:$BD$1843,BD318,$BT$7:$BT$1843,"&lt;="&amp;BT318),"")</f>
        <v>35893.0898884543</v>
      </c>
      <c r="BF318" s="58" t="n">
        <f aca="false">IF(BE318="",0,MAX(0,MIN(1,(IF(CC318="L1",Parameter!$H$5,IF(CC318="L23",Parameter!$H$6+Parameter!$H$7,Parameter!$H$5+Parameter!$H$6+Parameter!$H$7))-(BE318-BA318))/BA318)))</f>
        <v>0</v>
      </c>
      <c r="BG318" s="48" t="str">
        <f aca="false">IF(AI318&lt;=0,"",IF(CC318="Aussen","Aussenlager",IF(CC318="-","Nicht im Lift",IF(AN318&gt;=1,"Lift",IF(AN318&lt;=0,"Aussenlager","teilweise")))))</f>
        <v>Lift</v>
      </c>
      <c r="BH318" s="48" t="str">
        <f aca="false">IF(AR318&lt;=0,"",IF(CC318="Aussen","Aussenlager",IF(CC318="-","Nicht im Lift",IF(AW318&gt;=1,"Lift",IF(AW318&lt;=0,"Aussenlager","teilweise")))))</f>
        <v>Aussenlager</v>
      </c>
      <c r="BI318" s="48" t="str">
        <f aca="false">IF(BA318&lt;=0,"",IF(CC318="Aussen","Aussenlager",IF(CC318="-","Nicht im Lift",IF(BF318&gt;=1,"Lift",IF(BF318&lt;=0,"Aussenlager","teilweise")))))</f>
        <v>Aussenlager</v>
      </c>
      <c r="BJ318" s="48" t="str">
        <f aca="false">IF(A318="","",IF(BS318=1,"Neu; ","")&amp;IF(AND(BS318=0,BN318&lt;0),"negativer Bestand (Export "&amp;BN318&amp;"); ","")&amp;IF(J318&lt;=0,"Kein Verbrauch; ","")&amp;IF(CL318&gt;0,"Lift "&amp;W318&amp;" lt. Liftbericht (Fach "&amp;X318&amp;" Stk); ",IF(BX318=1,"Gebinde geschätzt ("&amp;T318&amp;"); ",IF(BW318=1,"Lose – Tablare geschätzt; ","")))&amp;IF(H318&gt;AT318,"Überbestand "&amp;ROUND(H318-AT318,0)&amp;" Stk / CHF "&amp;ROUND((H318-AT318)*G318,0)&amp;"; ","")&amp;IF(AND(CE318=1,CF318&lt;CG318),"MAX &lt; MB+LG; ","")&amp;IF(AND(CK318&gt;0,CJ318*10&gt;CK318),"zu hoch für Tablar; ","")&amp;IF(AND(BS318=0,OR(CE318=1,AA318&lt;&gt;"",U318&lt;&gt;"",V318&lt;&gt;"",AB318&lt;&gt;"")),"manuell übersteuert; ","")&amp;IF(AND(BW318=0,R318=0),"Gebinde unbekannt / Stellmass fehlt; ","")&amp;IF(AND(BW318=0,N(V318)&lt;=0,N(Q318)&lt;=0),"Menge pro Gebinde fehlt (Ist = 1 Gebinde); ","")&amp;BR318)</f>
        <v>Kein Verbrauch; </v>
      </c>
      <c r="BK318" s="48"/>
      <c r="BL318" s="48"/>
      <c r="BM318" s="55"/>
      <c r="BN318" s="50" t="n">
        <v>6</v>
      </c>
      <c r="BO318" s="50" t="n">
        <v>0</v>
      </c>
      <c r="BP318" s="49" t="n">
        <v>242.34</v>
      </c>
      <c r="BQ318" s="50" t="n">
        <v>0</v>
      </c>
      <c r="BR318" s="48"/>
      <c r="BS318" s="53" t="n">
        <v>0</v>
      </c>
      <c r="BT318" s="53" t="n">
        <v>318</v>
      </c>
      <c r="BU318" s="48" t="str">
        <f aca="false">IF(U318&lt;&gt;"",UPPER(TRIM(U318)),IF(BX318=1,UPPER(VLOOKUP(T318,Parameter!$I$27:$K$29,2,0)),IF(P318="","LOSE",P318)))</f>
        <v>S32</v>
      </c>
      <c r="BV318" s="50" t="n">
        <f aca="false">IF(BU318="LOSE",1,IF(N(V318)&gt;0,V318,IF(BX318=1,MAX(1,N(VLOOKUP(T318,Parameter!$I$27:$K$29,3,0)),H318,N(N318)),IF(N(Q318)&gt;0,Q318,MAX(1,H318)))))</f>
        <v>8</v>
      </c>
      <c r="BW318" s="53" t="n">
        <f aca="false">IF(BU318="LOSE",1,0)</f>
        <v>0</v>
      </c>
      <c r="BX318" s="53" t="n">
        <f aca="false">IF(AND(U318="",OR(P318="",P318="LOSE"),T318&lt;&gt;"",N(S318)&lt;=0,ISNUMBER(MATCH(T318,Parameter!$I$27:$I$29,0))),1,0)</f>
        <v>0</v>
      </c>
      <c r="BY318" s="53" t="n">
        <f aca="false">IF(CL318&gt;0,INDEX(Parameter!$H$5:$H$7,W318)/INDEX(Parameter!$E$5:$E$7,W318),IF(AND(BW318=0,N(IFERROR(VLOOKUP(BU318,'Gebinde-Kategorie'!$A$5:$N$45,14,0),0))&gt;0),VLOOKUP(BU318,'Gebinde-Kategorie'!$A$5:$N$45,14,0)*10+Parameter!$M$23,Parameter!$M$24))</f>
        <v>155</v>
      </c>
      <c r="BZ318" s="48" t="str">
        <f aca="false">IF(AND(Parameter!$B$19="Ja",E318&lt;&gt;"",ISNUMBER(MATCH(E318,Parameter!$I$35:$I$52,0))),VLOOKUP(E318,Parameter!$I$35:$J$52,2,0),IFERROR(VLOOKUP(D318,Parameter!$A$35:$C$64,2,0),"Nein"))</f>
        <v>2+3</v>
      </c>
      <c r="CA318" s="52" t="n">
        <f aca="false">IF(BW318=0,0,IF(N(S318)&gt;0,S318,IFERROR(VLOOKUP(D318,Parameter!$A$35:$C$64,3,0)+0,0)))</f>
        <v>0</v>
      </c>
      <c r="CB318" s="48" t="n">
        <f aca="false">IF(AA318&lt;&gt;"",AA318,Z318)</f>
        <v>3</v>
      </c>
      <c r="CC318" s="48" t="str">
        <f aca="false">IF(OR(CB318=1,CB318=2,CB318=3),IF(Parameter!$E$27="Ja","LIFT",IF(CB318=1,"L1","L23")),IF(CB318="Aussen","Aussen","-"))</f>
        <v>LIFT</v>
      </c>
      <c r="CD318" s="59" t="n">
        <f aca="false">IF(N(AB318)&gt;0,AB318,0)</f>
        <v>0</v>
      </c>
      <c r="CE318" s="53" t="n">
        <f aca="false">IF(ISNUMBER(AE318),1,0)</f>
        <v>0</v>
      </c>
      <c r="CF318" s="50" t="n">
        <f aca="false">N(AE318)</f>
        <v>0</v>
      </c>
      <c r="CG318" s="50" t="n">
        <f aca="false">N(M318)+N(N318)</f>
        <v>5</v>
      </c>
      <c r="CH318" s="50" t="n">
        <f aca="false">ROUNDUP(H318/BV318,0)</f>
        <v>1</v>
      </c>
      <c r="CI318" s="50" t="n">
        <f aca="false">ROUNDUP(CF318/BV318,0)</f>
        <v>0</v>
      </c>
      <c r="CJ318" s="53" t="n">
        <f aca="false">IF(BW318=1,0,IFERROR(VLOOKUP(BU318,'Gebinde-Kategorie'!$A$5:$N$45,5,0)+0,0))</f>
        <v>8</v>
      </c>
      <c r="CK318" s="53" t="n">
        <f aca="false">IFERROR(IF(OR(CB318=1,CB318=2,CB318=3),N(INDEX(Parameter!$I$5:$I$7,CB318)),0),0)</f>
        <v>0</v>
      </c>
      <c r="CL318" s="52" t="n">
        <f aca="false">IF(AND(Parameter!$B$21="Ja",ISNUMBER(W318),N(X318)&gt;0),IFERROR(N(INDEX(Parameter!$L$5:$L$7,W318))*INDEX(Parameter!$E$5:$E$7,W318)*X318/SUMIFS($X$7:$X$1843,$W$7:$W$1843,W318),0),0)</f>
        <v>0</v>
      </c>
    </row>
    <row r="319" customFormat="false" ht="15" hidden="false" customHeight="false" outlineLevel="0" collapsed="false">
      <c r="A319" s="48" t="s">
        <v>807</v>
      </c>
      <c r="B319" s="48" t="s">
        <v>808</v>
      </c>
      <c r="C319" s="48" t="s">
        <v>168</v>
      </c>
      <c r="D319" s="48" t="s">
        <v>188</v>
      </c>
      <c r="E319" s="48"/>
      <c r="F319" s="48" t="s">
        <v>222</v>
      </c>
      <c r="G319" s="49" t="n">
        <v>34.48</v>
      </c>
      <c r="H319" s="50" t="n">
        <f aca="false">MAX(0,IF(AND(Parameter!$B$21="Ja",ISNUMBER(Y319)),Y319,IF(Parameter!$B$20="Jahresanfang 2025 + Export",BO319+BN319,BN319)))</f>
        <v>52</v>
      </c>
      <c r="I319" s="50" t="n">
        <f aca="false">H319*G319</f>
        <v>1792.96</v>
      </c>
      <c r="J319" s="50" t="n">
        <f aca="false">BQ319*Parameter!$B$18</f>
        <v>4</v>
      </c>
      <c r="K319" s="51" t="n">
        <v>48.5</v>
      </c>
      <c r="L319" s="52" t="n">
        <v>0.0824742268041237</v>
      </c>
      <c r="M319" s="50" t="n">
        <v>0</v>
      </c>
      <c r="N319" s="50" t="n">
        <v>5</v>
      </c>
      <c r="O319" s="53" t="n">
        <v>49</v>
      </c>
      <c r="P319" s="48" t="s">
        <v>306</v>
      </c>
      <c r="Q319" s="50" t="n">
        <v>55</v>
      </c>
      <c r="R319" s="53" t="n">
        <f aca="false">IF(BW319=1,0,IFERROR(VLOOKUP(BU319,'Gebinde-Kategorie'!$A$5:$N$45,13,0)+0,0))</f>
        <v>26</v>
      </c>
      <c r="S319" s="54"/>
      <c r="T319" s="55"/>
      <c r="U319" s="55"/>
      <c r="V319" s="55"/>
      <c r="W319" s="48"/>
      <c r="X319" s="50"/>
      <c r="Y319" s="50"/>
      <c r="Z319" s="48" t="n">
        <f aca="false">IF(A319="","",IF(AND(Parameter!$B$21="Ja",ISNUMBER(W319)),W319,IF(BZ319="2+3",IF(ISNUMBER(SEARCH("grosser Artikel",BR319)),2,IFERROR(VLOOKUP(BU319,Parameter!$F$35:$G$64,2,0),2)),IF(OR(BZ319="Nein",BZ319=""),"-",BZ319))))</f>
        <v>3</v>
      </c>
      <c r="AA319" s="55"/>
      <c r="AB319" s="56"/>
      <c r="AC319" s="50" t="n">
        <f aca="false">AT319</f>
        <v>55</v>
      </c>
      <c r="AD319" s="50" t="n">
        <f aca="false">MAX(AT319,H319)</f>
        <v>55</v>
      </c>
      <c r="AE319" s="57"/>
      <c r="AF319" s="50" t="n">
        <f aca="false">IF(LEFT(Cockpit!$C$5,1)="A",H319,IF(CE319=1,CF319,IF(LEFT(Cockpit!$C$5,1)="B",AK319,MAX(AK319,H319))))</f>
        <v>52</v>
      </c>
      <c r="AG319" s="50" t="n">
        <f aca="false">IF(BW319=1,0,ROUNDUP(AF319/BV319,0))</f>
        <v>1</v>
      </c>
      <c r="AH319" s="52" t="n">
        <f aca="false">IF(CL319&gt;0,CL319*MAX(1,AF319/X319),IF(BW319=1,IF(AF319&lt;=0,0,CA319*MAX(1,IF(H319&gt;0,AF319/H319,1))),IF(R319&gt;0,AG319/R319,0))/MAX(0.1,N(Parameter!$M$21)))</f>
        <v>0.0384615384615385</v>
      </c>
      <c r="AI319" s="50" t="n">
        <f aca="false">AH319*BY319</f>
        <v>5.96153846153846</v>
      </c>
      <c r="AJ319" s="50" t="n">
        <f aca="false">AF319*G319</f>
        <v>1792.96</v>
      </c>
      <c r="AK319" s="50" t="n">
        <f aca="false">ROUNDUP(MAX(J319/IF(CD319&gt;0,CD319,MAX(0.1,N(Cockpit!$C$6))),CG319)/BV319,0)*BV319</f>
        <v>55</v>
      </c>
      <c r="AL319" s="51" t="n">
        <f aca="false">IF(AI319&gt;0,J319/AI319,-1)</f>
        <v>0.670967741935484</v>
      </c>
      <c r="AM319" s="51" t="n">
        <f aca="false">IF(AND(OR(CC319="L1",CC319="L23",CC319="LIFT"),AI319&gt;0),SUMIFS($AI$7:$AI$1843,$CC$7:$CC$1843,CC319,$AL$7:$AL$1843,"&gt;"&amp;AL319)+SUMIFS($AI$7:$AI$1843,$CC$7:$CC$1843,CC319,$AL$7:$AL$1843,AL319,$BT$7:$BT$1843,"&lt;="&amp;BT319),"")</f>
        <v>8614.6217948718</v>
      </c>
      <c r="AN319" s="58" t="n">
        <f aca="false">IF(AM319="",0,MAX(0,MIN(1,(IF(CC319="L1",Parameter!$H$5,IF(CC319="L23",Parameter!$H$6+Parameter!$H$7,Parameter!$H$5+Parameter!$H$6+Parameter!$H$7))-(AM319-AI319))/AI319)))</f>
        <v>1</v>
      </c>
      <c r="AO319" s="50" t="n">
        <f aca="false">IF(LEFT(Cockpit!$I$5,1)="A",H319,IF(CE319=1,CF319,IF(LEFT(Cockpit!$I$5,1)="B",AT319,MAX(AT319,H319))))</f>
        <v>55</v>
      </c>
      <c r="AP319" s="50" t="n">
        <f aca="false">IF(BW319=1,0,ROUNDUP(AO319/BV319,0))</f>
        <v>1</v>
      </c>
      <c r="AQ319" s="52" t="n">
        <f aca="false">IF(CL319&gt;0,CL319*MAX(1,AO319/X319),IF(BW319=1,IF(AO319&lt;=0,0,CA319*MAX(1,IF(H319&gt;0,AO319/H319,1))),IF(R319&gt;0,AP319/R319,0))/MAX(0.1,N(Parameter!$M$21)))</f>
        <v>0.0384615384615385</v>
      </c>
      <c r="AR319" s="50" t="n">
        <f aca="false">AQ319*BY319</f>
        <v>5.96153846153846</v>
      </c>
      <c r="AS319" s="50" t="n">
        <f aca="false">AO319*G319</f>
        <v>1896.4</v>
      </c>
      <c r="AT319" s="50" t="n">
        <f aca="false">ROUNDUP(MAX(J319/IF(CD319&gt;0,CD319,MAX(0.1,N(Cockpit!$I$6))),CG319)/BV319,0)*BV319</f>
        <v>55</v>
      </c>
      <c r="AU319" s="51" t="n">
        <f aca="false">IF(AR319&gt;0,J319/AR319,-1)</f>
        <v>0.670967741935484</v>
      </c>
      <c r="AV319" s="51" t="n">
        <f aca="false">IF(AND(OR(CC319="L1",CC319="L23",CC319="LIFT"),AR319&gt;0),SUMIFS($AR$7:$AR$1843,$CC$7:$CC$1843,CC319,$AU$7:$AU$1843,"&gt;"&amp;AU319)+SUMIFS($AR$7:$AR$1843,$CC$7:$CC$1843,CC319,$AU$7:$AU$1843,AU319,$BT$7:$BT$1843,"&lt;="&amp;BT319),"")</f>
        <v>11750.7825091575</v>
      </c>
      <c r="AW319" s="58" t="n">
        <f aca="false">IF(AV319="",0,MAX(0,MIN(1,(IF(CC319="L1",Parameter!$H$5,IF(CC319="L23",Parameter!$H$6+Parameter!$H$7,Parameter!$H$5+Parameter!$H$6+Parameter!$H$7))-(AV319-AR319))/AR319)))</f>
        <v>1</v>
      </c>
      <c r="AX319" s="50" t="n">
        <f aca="false">IF(LEFT(Cockpit!$O$5,1)="A",H319,IF(CE319=1,CF319,IF(LEFT(Cockpit!$O$5,1)="B",BC319,MAX(BC319,H319))))</f>
        <v>55</v>
      </c>
      <c r="AY319" s="50" t="n">
        <f aca="false">IF(BW319=1,0,ROUNDUP(AX319/BV319,0))</f>
        <v>1</v>
      </c>
      <c r="AZ319" s="52" t="n">
        <f aca="false">IF(CL319&gt;0,CL319*MAX(1,AX319/X319),IF(BW319=1,IF(AX319&lt;=0,0,CA319*MAX(1,IF(H319&gt;0,AX319/H319,1))),IF(R319&gt;0,AY319/R319,0))/MAX(0.1,N(Parameter!$M$21)))</f>
        <v>0.0384615384615385</v>
      </c>
      <c r="BA319" s="50" t="n">
        <f aca="false">AZ319*BY319</f>
        <v>5.96153846153846</v>
      </c>
      <c r="BB319" s="50" t="n">
        <f aca="false">AX319*G319</f>
        <v>1896.4</v>
      </c>
      <c r="BC319" s="50" t="n">
        <f aca="false">ROUNDUP(MAX(J319/IF(CD319&gt;0,CD319,MAX(0.1,N(Cockpit!$O$6))),CG319)/BV319,0)*BV319</f>
        <v>55</v>
      </c>
      <c r="BD319" s="51" t="n">
        <f aca="false">IF(BA319&gt;0,J319/BA319,-1)</f>
        <v>0.670967741935484</v>
      </c>
      <c r="BE319" s="51" t="n">
        <f aca="false">IF(AND(OR(CC319="L1",CC319="L23",CC319="LIFT"),BA319&gt;0),SUMIFS($BA$7:$BA$1843,$CC$7:$CC$1843,CC319,$BD$7:$BD$1843,"&gt;"&amp;BD319)+SUMIFS($BA$7:$BA$1843,$CC$7:$CC$1843,CC319,$BD$7:$BD$1843,BD319,$BT$7:$BT$1843,"&lt;="&amp;BT319),"")</f>
        <v>11350.6062271062</v>
      </c>
      <c r="BF319" s="58" t="n">
        <f aca="false">IF(BE319="",0,MAX(0,MIN(1,(IF(CC319="L1",Parameter!$H$5,IF(CC319="L23",Parameter!$H$6+Parameter!$H$7,Parameter!$H$5+Parameter!$H$6+Parameter!$H$7))-(BE319-BA319))/BA319)))</f>
        <v>1</v>
      </c>
      <c r="BG319" s="48" t="str">
        <f aca="false">IF(AI319&lt;=0,"",IF(CC319="Aussen","Aussenlager",IF(CC319="-","Nicht im Lift",IF(AN319&gt;=1,"Lift",IF(AN319&lt;=0,"Aussenlager","teilweise")))))</f>
        <v>Lift</v>
      </c>
      <c r="BH319" s="48" t="str">
        <f aca="false">IF(AR319&lt;=0,"",IF(CC319="Aussen","Aussenlager",IF(CC319="-","Nicht im Lift",IF(AW319&gt;=1,"Lift",IF(AW319&lt;=0,"Aussenlager","teilweise")))))</f>
        <v>Lift</v>
      </c>
      <c r="BI319" s="48" t="str">
        <f aca="false">IF(BA319&lt;=0,"",IF(CC319="Aussen","Aussenlager",IF(CC319="-","Nicht im Lift",IF(BF319&gt;=1,"Lift",IF(BF319&lt;=0,"Aussenlager","teilweise")))))</f>
        <v>Lift</v>
      </c>
      <c r="BJ319" s="48" t="str">
        <f aca="false">IF(A319="","",IF(BS319=1,"Neu; ","")&amp;IF(AND(BS319=0,BN319&lt;0),"negativer Bestand (Export "&amp;BN319&amp;"); ","")&amp;IF(J319&lt;=0,"Kein Verbrauch; ","")&amp;IF(CL319&gt;0,"Lift "&amp;W319&amp;" lt. Liftbericht (Fach "&amp;X319&amp;" Stk); ",IF(BX319=1,"Gebinde geschätzt ("&amp;T319&amp;"); ",IF(BW319=1,"Lose – Tablare geschätzt; ","")))&amp;IF(H319&gt;AT319,"Überbestand "&amp;ROUND(H319-AT319,0)&amp;" Stk / CHF "&amp;ROUND((H319-AT319)*G319,0)&amp;"; ","")&amp;IF(AND(CE319=1,CF319&lt;CG319),"MAX &lt; MB+LG; ","")&amp;IF(AND(CK319&gt;0,CJ319*10&gt;CK319),"zu hoch für Tablar; ","")&amp;IF(AND(BS319=0,OR(CE319=1,AA319&lt;&gt;"",U319&lt;&gt;"",V319&lt;&gt;"",AB319&lt;&gt;"")),"manuell übersteuert; ","")&amp;IF(AND(BW319=0,R319=0),"Gebinde unbekannt / Stellmass fehlt; ","")&amp;IF(AND(BW319=0,N(V319)&lt;=0,N(Q319)&lt;=0),"Menge pro Gebinde fehlt (Ist = 1 Gebinde); ","")&amp;BR319)</f>
        <v>i.o</v>
      </c>
      <c r="BK319" s="48"/>
      <c r="BL319" s="48"/>
      <c r="BM319" s="55"/>
      <c r="BN319" s="50" t="n">
        <v>7</v>
      </c>
      <c r="BO319" s="50" t="n">
        <v>45</v>
      </c>
      <c r="BP319" s="49" t="n">
        <v>241.36</v>
      </c>
      <c r="BQ319" s="50" t="n">
        <v>4</v>
      </c>
      <c r="BR319" s="48" t="s">
        <v>540</v>
      </c>
      <c r="BS319" s="53" t="n">
        <v>0</v>
      </c>
      <c r="BT319" s="53" t="n">
        <v>319</v>
      </c>
      <c r="BU319" s="48" t="str">
        <f aca="false">IF(U319&lt;&gt;"",UPPER(TRIM(U319)),IF(BX319=1,UPPER(VLOOKUP(T319,Parameter!$I$27:$K$29,2,0)),IF(P319="","LOSE",P319)))</f>
        <v>S51</v>
      </c>
      <c r="BV319" s="50" t="n">
        <f aca="false">IF(BU319="LOSE",1,IF(N(V319)&gt;0,V319,IF(BX319=1,MAX(1,N(VLOOKUP(T319,Parameter!$I$27:$K$29,3,0)),H319,N(N319)),IF(N(Q319)&gt;0,Q319,MAX(1,H319)))))</f>
        <v>55</v>
      </c>
      <c r="BW319" s="53" t="n">
        <f aca="false">IF(BU319="LOSE",1,0)</f>
        <v>0</v>
      </c>
      <c r="BX319" s="53" t="n">
        <f aca="false">IF(AND(U319="",OR(P319="",P319="LOSE"),T319&lt;&gt;"",N(S319)&lt;=0,ISNUMBER(MATCH(T319,Parameter!$I$27:$I$29,0))),1,0)</f>
        <v>0</v>
      </c>
      <c r="BY319" s="53" t="n">
        <f aca="false">IF(CL319&gt;0,INDEX(Parameter!$H$5:$H$7,W319)/INDEX(Parameter!$E$5:$E$7,W319),IF(AND(BW319=0,N(IFERROR(VLOOKUP(BU319,'Gebinde-Kategorie'!$A$5:$N$45,14,0),0))&gt;0),VLOOKUP(BU319,'Gebinde-Kategorie'!$A$5:$N$45,14,0)*10+Parameter!$M$23,Parameter!$M$24))</f>
        <v>155</v>
      </c>
      <c r="BZ319" s="48" t="str">
        <f aca="false">IF(AND(Parameter!$B$19="Ja",E319&lt;&gt;"",ISNUMBER(MATCH(E319,Parameter!$I$35:$I$52,0))),VLOOKUP(E319,Parameter!$I$35:$J$52,2,0),IFERROR(VLOOKUP(D319,Parameter!$A$35:$C$64,2,0),"Nein"))</f>
        <v>2+3</v>
      </c>
      <c r="CA319" s="52" t="n">
        <f aca="false">IF(BW319=0,0,IF(N(S319)&gt;0,S319,IFERROR(VLOOKUP(D319,Parameter!$A$35:$C$64,3,0)+0,0)))</f>
        <v>0</v>
      </c>
      <c r="CB319" s="48" t="n">
        <f aca="false">IF(AA319&lt;&gt;"",AA319,Z319)</f>
        <v>3</v>
      </c>
      <c r="CC319" s="48" t="str">
        <f aca="false">IF(OR(CB319=1,CB319=2,CB319=3),IF(Parameter!$E$27="Ja","LIFT",IF(CB319=1,"L1","L23")),IF(CB319="Aussen","Aussen","-"))</f>
        <v>LIFT</v>
      </c>
      <c r="CD319" s="59" t="n">
        <f aca="false">IF(N(AB319)&gt;0,AB319,0)</f>
        <v>0</v>
      </c>
      <c r="CE319" s="53" t="n">
        <f aca="false">IF(ISNUMBER(AE319),1,0)</f>
        <v>0</v>
      </c>
      <c r="CF319" s="50" t="n">
        <f aca="false">N(AE319)</f>
        <v>0</v>
      </c>
      <c r="CG319" s="50" t="n">
        <f aca="false">N(M319)+N(N319)</f>
        <v>5</v>
      </c>
      <c r="CH319" s="50" t="n">
        <f aca="false">ROUNDUP(H319/BV319,0)</f>
        <v>1</v>
      </c>
      <c r="CI319" s="50" t="n">
        <f aca="false">ROUNDUP(CF319/BV319,0)</f>
        <v>0</v>
      </c>
      <c r="CJ319" s="53" t="n">
        <f aca="false">IF(BW319=1,0,IFERROR(VLOOKUP(BU319,'Gebinde-Kategorie'!$A$5:$N$45,5,0)+0,0))</f>
        <v>11</v>
      </c>
      <c r="CK319" s="53" t="n">
        <f aca="false">IFERROR(IF(OR(CB319=1,CB319=2,CB319=3),N(INDEX(Parameter!$I$5:$I$7,CB319)),0),0)</f>
        <v>0</v>
      </c>
      <c r="CL319" s="52" t="n">
        <f aca="false">IF(AND(Parameter!$B$21="Ja",ISNUMBER(W319),N(X319)&gt;0),IFERROR(N(INDEX(Parameter!$L$5:$L$7,W319))*INDEX(Parameter!$E$5:$E$7,W319)*X319/SUMIFS($X$7:$X$1843,$W$7:$W$1843,W319),0),0)</f>
        <v>0</v>
      </c>
    </row>
    <row r="320" customFormat="false" ht="15" hidden="false" customHeight="false" outlineLevel="0" collapsed="false">
      <c r="A320" s="48" t="s">
        <v>809</v>
      </c>
      <c r="B320" s="48" t="s">
        <v>810</v>
      </c>
      <c r="C320" s="48" t="s">
        <v>168</v>
      </c>
      <c r="D320" s="48" t="s">
        <v>188</v>
      </c>
      <c r="E320" s="48" t="s">
        <v>189</v>
      </c>
      <c r="F320" s="48" t="s">
        <v>222</v>
      </c>
      <c r="G320" s="49" t="n">
        <v>32.38</v>
      </c>
      <c r="H320" s="50" t="n">
        <f aca="false">MAX(0,IF(AND(Parameter!$B$21="Ja",ISNUMBER(Y320)),Y320,IF(Parameter!$B$20="Jahresanfang 2025 + Export",BO320+BN320,BN320)))</f>
        <v>12</v>
      </c>
      <c r="I320" s="50" t="n">
        <f aca="false">H320*G320</f>
        <v>388.56</v>
      </c>
      <c r="J320" s="50" t="n">
        <f aca="false">BQ320*Parameter!$B$18</f>
        <v>10</v>
      </c>
      <c r="K320" s="51" t="n">
        <v>10</v>
      </c>
      <c r="L320" s="52" t="n">
        <v>1</v>
      </c>
      <c r="M320" s="50" t="n">
        <v>0</v>
      </c>
      <c r="N320" s="50" t="n">
        <v>10</v>
      </c>
      <c r="O320" s="53" t="n">
        <v>28</v>
      </c>
      <c r="P320" s="48" t="s">
        <v>425</v>
      </c>
      <c r="Q320" s="50" t="n">
        <v>9</v>
      </c>
      <c r="R320" s="53" t="n">
        <f aca="false">IF(BW320=1,0,IFERROR(VLOOKUP(BU320,'Gebinde-Kategorie'!$A$5:$N$45,13,0)+0,0))</f>
        <v>104</v>
      </c>
      <c r="S320" s="54"/>
      <c r="T320" s="55"/>
      <c r="U320" s="55"/>
      <c r="V320" s="55"/>
      <c r="W320" s="48"/>
      <c r="X320" s="50"/>
      <c r="Y320" s="50"/>
      <c r="Z320" s="48" t="n">
        <f aca="false">IF(A320="","",IF(AND(Parameter!$B$21="Ja",ISNUMBER(W320)),W320,IF(BZ320="2+3",IF(ISNUMBER(SEARCH("grosser Artikel",BR320)),2,IFERROR(VLOOKUP(BU320,Parameter!$F$35:$G$64,2,0),2)),IF(OR(BZ320="Nein",BZ320=""),"-",BZ320))))</f>
        <v>3</v>
      </c>
      <c r="AA320" s="55"/>
      <c r="AB320" s="56"/>
      <c r="AC320" s="50" t="n">
        <f aca="false">AT320</f>
        <v>18</v>
      </c>
      <c r="AD320" s="50" t="n">
        <f aca="false">MAX(AT320,H320)</f>
        <v>18</v>
      </c>
      <c r="AE320" s="57"/>
      <c r="AF320" s="50" t="n">
        <f aca="false">IF(LEFT(Cockpit!$C$5,1)="A",H320,IF(CE320=1,CF320,IF(LEFT(Cockpit!$C$5,1)="B",AK320,MAX(AK320,H320))))</f>
        <v>12</v>
      </c>
      <c r="AG320" s="50" t="n">
        <f aca="false">IF(BW320=1,0,ROUNDUP(AF320/BV320,0))</f>
        <v>2</v>
      </c>
      <c r="AH320" s="52" t="n">
        <f aca="false">IF(CL320&gt;0,CL320*MAX(1,AF320/X320),IF(BW320=1,IF(AF320&lt;=0,0,CA320*MAX(1,IF(H320&gt;0,AF320/H320,1))),IF(R320&gt;0,AG320/R320,0))/MAX(0.1,N(Parameter!$M$21)))</f>
        <v>0.0192307692307692</v>
      </c>
      <c r="AI320" s="50" t="n">
        <f aca="false">AH320*BY320</f>
        <v>2.98076923076923</v>
      </c>
      <c r="AJ320" s="50" t="n">
        <f aca="false">AF320*G320</f>
        <v>388.56</v>
      </c>
      <c r="AK320" s="50" t="n">
        <f aca="false">ROUNDUP(MAX(J320/IF(CD320&gt;0,CD320,MAX(0.1,N(Cockpit!$C$6))),CG320)/BV320,0)*BV320</f>
        <v>18</v>
      </c>
      <c r="AL320" s="51" t="n">
        <f aca="false">IF(AI320&gt;0,J320/AI320,-1)</f>
        <v>3.35483870967742</v>
      </c>
      <c r="AM320" s="51" t="n">
        <f aca="false">IF(AND(OR(CC320="L1",CC320="L23",CC320="LIFT"),AI320&gt;0),SUMIFS($AI$7:$AI$1843,$CC$7:$CC$1843,CC320,$AL$7:$AL$1843,"&gt;"&amp;AL320)+SUMIFS($AI$7:$AI$1843,$CC$7:$CC$1843,CC320,$AL$7:$AL$1843,AL320,$BT$7:$BT$1843,"&lt;="&amp;BT320),"")</f>
        <v>4906.40521978022</v>
      </c>
      <c r="AN320" s="58" t="n">
        <f aca="false">IF(AM320="",0,MAX(0,MIN(1,(IF(CC320="L1",Parameter!$H$5,IF(CC320="L23",Parameter!$H$6+Parameter!$H$7,Parameter!$H$5+Parameter!$H$6+Parameter!$H$7))-(AM320-AI320))/AI320)))</f>
        <v>1</v>
      </c>
      <c r="AO320" s="50" t="n">
        <f aca="false">IF(LEFT(Cockpit!$I$5,1)="A",H320,IF(CE320=1,CF320,IF(LEFT(Cockpit!$I$5,1)="B",AT320,MAX(AT320,H320))))</f>
        <v>18</v>
      </c>
      <c r="AP320" s="50" t="n">
        <f aca="false">IF(BW320=1,0,ROUNDUP(AO320/BV320,0))</f>
        <v>2</v>
      </c>
      <c r="AQ320" s="52" t="n">
        <f aca="false">IF(CL320&gt;0,CL320*MAX(1,AO320/X320),IF(BW320=1,IF(AO320&lt;=0,0,CA320*MAX(1,IF(H320&gt;0,AO320/H320,1))),IF(R320&gt;0,AP320/R320,0))/MAX(0.1,N(Parameter!$M$21)))</f>
        <v>0.0192307692307692</v>
      </c>
      <c r="AR320" s="50" t="n">
        <f aca="false">AQ320*BY320</f>
        <v>2.98076923076923</v>
      </c>
      <c r="AS320" s="50" t="n">
        <f aca="false">AO320*G320</f>
        <v>582.84</v>
      </c>
      <c r="AT320" s="50" t="n">
        <f aca="false">ROUNDUP(MAX(J320/IF(CD320&gt;0,CD320,MAX(0.1,N(Cockpit!$I$6))),CG320)/BV320,0)*BV320</f>
        <v>18</v>
      </c>
      <c r="AU320" s="51" t="n">
        <f aca="false">IF(AR320&gt;0,J320/AR320,-1)</f>
        <v>3.35483870967742</v>
      </c>
      <c r="AV320" s="51" t="n">
        <f aca="false">IF(AND(OR(CC320="L1",CC320="L23",CC320="LIFT"),AR320&gt;0),SUMIFS($AR$7:$AR$1843,$CC$7:$CC$1843,CC320,$AU$7:$AU$1843,"&gt;"&amp;AU320)+SUMIFS($AR$7:$AR$1843,$CC$7:$CC$1843,CC320,$AU$7:$AU$1843,AU320,$BT$7:$BT$1843,"&lt;="&amp;BT320),"")</f>
        <v>6005.18406593407</v>
      </c>
      <c r="AW320" s="58" t="n">
        <f aca="false">IF(AV320="",0,MAX(0,MIN(1,(IF(CC320="L1",Parameter!$H$5,IF(CC320="L23",Parameter!$H$6+Parameter!$H$7,Parameter!$H$5+Parameter!$H$6+Parameter!$H$7))-(AV320-AR320))/AR320)))</f>
        <v>1</v>
      </c>
      <c r="AX320" s="50" t="n">
        <f aca="false">IF(LEFT(Cockpit!$O$5,1)="A",H320,IF(CE320=1,CF320,IF(LEFT(Cockpit!$O$5,1)="B",BC320,MAX(BC320,H320))))</f>
        <v>18</v>
      </c>
      <c r="AY320" s="50" t="n">
        <f aca="false">IF(BW320=1,0,ROUNDUP(AX320/BV320,0))</f>
        <v>2</v>
      </c>
      <c r="AZ320" s="52" t="n">
        <f aca="false">IF(CL320&gt;0,CL320*MAX(1,AX320/X320),IF(BW320=1,IF(AX320&lt;=0,0,CA320*MAX(1,IF(H320&gt;0,AX320/H320,1))),IF(R320&gt;0,AY320/R320,0))/MAX(0.1,N(Parameter!$M$21)))</f>
        <v>0.0192307692307692</v>
      </c>
      <c r="BA320" s="50" t="n">
        <f aca="false">AZ320*BY320</f>
        <v>2.98076923076923</v>
      </c>
      <c r="BB320" s="50" t="n">
        <f aca="false">AX320*G320</f>
        <v>582.84</v>
      </c>
      <c r="BC320" s="50" t="n">
        <f aca="false">ROUNDUP(MAX(J320/IF(CD320&gt;0,CD320,MAX(0.1,N(Cockpit!$O$6))),CG320)/BV320,0)*BV320</f>
        <v>18</v>
      </c>
      <c r="BD320" s="51" t="n">
        <f aca="false">IF(BA320&gt;0,J320/BA320,-1)</f>
        <v>3.35483870967742</v>
      </c>
      <c r="BE320" s="51" t="n">
        <f aca="false">IF(AND(OR(CC320="L1",CC320="L23",CC320="LIFT"),BA320&gt;0),SUMIFS($BA$7:$BA$1843,$CC$7:$CC$1843,CC320,$BD$7:$BD$1843,"&gt;"&amp;BD320)+SUMIFS($BA$7:$BA$1843,$CC$7:$CC$1843,CC320,$BD$7:$BD$1843,BD320,$BT$7:$BT$1843,"&lt;="&amp;BT320),"")</f>
        <v>5993.0206043956</v>
      </c>
      <c r="BF320" s="58" t="n">
        <f aca="false">IF(BE320="",0,MAX(0,MIN(1,(IF(CC320="L1",Parameter!$H$5,IF(CC320="L23",Parameter!$H$6+Parameter!$H$7,Parameter!$H$5+Parameter!$H$6+Parameter!$H$7))-(BE320-BA320))/BA320)))</f>
        <v>1</v>
      </c>
      <c r="BG320" s="48" t="str">
        <f aca="false">IF(AI320&lt;=0,"",IF(CC320="Aussen","Aussenlager",IF(CC320="-","Nicht im Lift",IF(AN320&gt;=1,"Lift",IF(AN320&lt;=0,"Aussenlager","teilweise")))))</f>
        <v>Lift</v>
      </c>
      <c r="BH320" s="48" t="str">
        <f aca="false">IF(AR320&lt;=0,"",IF(CC320="Aussen","Aussenlager",IF(CC320="-","Nicht im Lift",IF(AW320&gt;=1,"Lift",IF(AW320&lt;=0,"Aussenlager","teilweise")))))</f>
        <v>Lift</v>
      </c>
      <c r="BI320" s="48" t="str">
        <f aca="false">IF(BA320&lt;=0,"",IF(CC320="Aussen","Aussenlager",IF(CC320="-","Nicht im Lift",IF(BF320&gt;=1,"Lift",IF(BF320&lt;=0,"Aussenlager","teilweise")))))</f>
        <v>Lift</v>
      </c>
      <c r="BJ320" s="48" t="str">
        <f aca="false">IF(A320="","",IF(BS320=1,"Neu; ","")&amp;IF(AND(BS320=0,BN320&lt;0),"negativer Bestand (Export "&amp;BN320&amp;"); ","")&amp;IF(J320&lt;=0,"Kein Verbrauch; ","")&amp;IF(CL320&gt;0,"Lift "&amp;W320&amp;" lt. Liftbericht (Fach "&amp;X320&amp;" Stk); ",IF(BX320=1,"Gebinde geschätzt ("&amp;T320&amp;"); ",IF(BW320=1,"Lose – Tablare geschätzt; ","")))&amp;IF(H320&gt;AT320,"Überbestand "&amp;ROUND(H320-AT320,0)&amp;" Stk / CHF "&amp;ROUND((H320-AT320)*G320,0)&amp;"; ","")&amp;IF(AND(CE320=1,CF320&lt;CG320),"MAX &lt; MB+LG; ","")&amp;IF(AND(CK320&gt;0,CJ320*10&gt;CK320),"zu hoch für Tablar; ","")&amp;IF(AND(BS320=0,OR(CE320=1,AA320&lt;&gt;"",U320&lt;&gt;"",V320&lt;&gt;"",AB320&lt;&gt;"")),"manuell übersteuert; ","")&amp;IF(AND(BW320=0,R320=0),"Gebinde unbekannt / Stellmass fehlt; ","")&amp;IF(AND(BW320=0,N(V320)&lt;=0,N(Q320)&lt;=0),"Menge pro Gebinde fehlt (Ist = 1 Gebinde); ","")&amp;BR320)</f>
        <v/>
      </c>
      <c r="BK320" s="48"/>
      <c r="BL320" s="48"/>
      <c r="BM320" s="55"/>
      <c r="BN320" s="50" t="n">
        <v>7</v>
      </c>
      <c r="BO320" s="50" t="n">
        <v>5</v>
      </c>
      <c r="BP320" s="49" t="n">
        <v>238.56</v>
      </c>
      <c r="BQ320" s="50" t="n">
        <v>10</v>
      </c>
      <c r="BR320" s="48"/>
      <c r="BS320" s="53" t="n">
        <v>0</v>
      </c>
      <c r="BT320" s="53" t="n">
        <v>320</v>
      </c>
      <c r="BU320" s="48" t="str">
        <f aca="false">IF(U320&lt;&gt;"",UPPER(TRIM(U320)),IF(BX320=1,UPPER(VLOOKUP(T320,Parameter!$I$27:$K$29,2,0)),IF(P320="","LOSE",P320)))</f>
        <v>S32</v>
      </c>
      <c r="BV320" s="50" t="n">
        <f aca="false">IF(BU320="LOSE",1,IF(N(V320)&gt;0,V320,IF(BX320=1,MAX(1,N(VLOOKUP(T320,Parameter!$I$27:$K$29,3,0)),H320,N(N320)),IF(N(Q320)&gt;0,Q320,MAX(1,H320)))))</f>
        <v>9</v>
      </c>
      <c r="BW320" s="53" t="n">
        <f aca="false">IF(BU320="LOSE",1,0)</f>
        <v>0</v>
      </c>
      <c r="BX320" s="53" t="n">
        <f aca="false">IF(AND(U320="",OR(P320="",P320="LOSE"),T320&lt;&gt;"",N(S320)&lt;=0,ISNUMBER(MATCH(T320,Parameter!$I$27:$I$29,0))),1,0)</f>
        <v>0</v>
      </c>
      <c r="BY320" s="53" t="n">
        <f aca="false">IF(CL320&gt;0,INDEX(Parameter!$H$5:$H$7,W320)/INDEX(Parameter!$E$5:$E$7,W320),IF(AND(BW320=0,N(IFERROR(VLOOKUP(BU320,'Gebinde-Kategorie'!$A$5:$N$45,14,0),0))&gt;0),VLOOKUP(BU320,'Gebinde-Kategorie'!$A$5:$N$45,14,0)*10+Parameter!$M$23,Parameter!$M$24))</f>
        <v>155</v>
      </c>
      <c r="BZ320" s="48" t="str">
        <f aca="false">IF(AND(Parameter!$B$19="Ja",E320&lt;&gt;"",ISNUMBER(MATCH(E320,Parameter!$I$35:$I$52,0))),VLOOKUP(E320,Parameter!$I$35:$J$52,2,0),IFERROR(VLOOKUP(D320,Parameter!$A$35:$C$64,2,0),"Nein"))</f>
        <v>2+3</v>
      </c>
      <c r="CA320" s="52" t="n">
        <f aca="false">IF(BW320=0,0,IF(N(S320)&gt;0,S320,IFERROR(VLOOKUP(D320,Parameter!$A$35:$C$64,3,0)+0,0)))</f>
        <v>0</v>
      </c>
      <c r="CB320" s="48" t="n">
        <f aca="false">IF(AA320&lt;&gt;"",AA320,Z320)</f>
        <v>3</v>
      </c>
      <c r="CC320" s="48" t="str">
        <f aca="false">IF(OR(CB320=1,CB320=2,CB320=3),IF(Parameter!$E$27="Ja","LIFT",IF(CB320=1,"L1","L23")),IF(CB320="Aussen","Aussen","-"))</f>
        <v>LIFT</v>
      </c>
      <c r="CD320" s="59" t="n">
        <f aca="false">IF(N(AB320)&gt;0,AB320,0)</f>
        <v>0</v>
      </c>
      <c r="CE320" s="53" t="n">
        <f aca="false">IF(ISNUMBER(AE320),1,0)</f>
        <v>0</v>
      </c>
      <c r="CF320" s="50" t="n">
        <f aca="false">N(AE320)</f>
        <v>0</v>
      </c>
      <c r="CG320" s="50" t="n">
        <f aca="false">N(M320)+N(N320)</f>
        <v>10</v>
      </c>
      <c r="CH320" s="50" t="n">
        <f aca="false">ROUNDUP(H320/BV320,0)</f>
        <v>2</v>
      </c>
      <c r="CI320" s="50" t="n">
        <f aca="false">ROUNDUP(CF320/BV320,0)</f>
        <v>0</v>
      </c>
      <c r="CJ320" s="53" t="n">
        <f aca="false">IF(BW320=1,0,IFERROR(VLOOKUP(BU320,'Gebinde-Kategorie'!$A$5:$N$45,5,0)+0,0))</f>
        <v>8</v>
      </c>
      <c r="CK320" s="53" t="n">
        <f aca="false">IFERROR(IF(OR(CB320=1,CB320=2,CB320=3),N(INDEX(Parameter!$I$5:$I$7,CB320)),0),0)</f>
        <v>0</v>
      </c>
      <c r="CL320" s="52" t="n">
        <f aca="false">IF(AND(Parameter!$B$21="Ja",ISNUMBER(W320),N(X320)&gt;0),IFERROR(N(INDEX(Parameter!$L$5:$L$7,W320))*INDEX(Parameter!$E$5:$E$7,W320)*X320/SUMIFS($X$7:$X$1843,$W$7:$W$1843,W320),0),0)</f>
        <v>0</v>
      </c>
    </row>
    <row r="321" customFormat="false" ht="15" hidden="false" customHeight="false" outlineLevel="0" collapsed="false">
      <c r="A321" s="48" t="s">
        <v>811</v>
      </c>
      <c r="B321" s="48" t="s">
        <v>812</v>
      </c>
      <c r="C321" s="48" t="s">
        <v>168</v>
      </c>
      <c r="D321" s="48" t="s">
        <v>188</v>
      </c>
      <c r="E321" s="48" t="s">
        <v>189</v>
      </c>
      <c r="F321" s="48" t="s">
        <v>222</v>
      </c>
      <c r="G321" s="49" t="n">
        <v>3.64</v>
      </c>
      <c r="H321" s="50" t="n">
        <f aca="false">MAX(0,IF(AND(Parameter!$B$21="Ja",ISNUMBER(Y321)),Y321,IF(Parameter!$B$20="Jahresanfang 2025 + Export",BO321+BN321,BN321)))</f>
        <v>182</v>
      </c>
      <c r="I321" s="50" t="n">
        <f aca="false">H321*G321</f>
        <v>662.48</v>
      </c>
      <c r="J321" s="50" t="n">
        <f aca="false">BQ321*Parameter!$B$18</f>
        <v>198</v>
      </c>
      <c r="K321" s="51" t="n">
        <v>76</v>
      </c>
      <c r="L321" s="52" t="n">
        <v>2.60526315789474</v>
      </c>
      <c r="M321" s="50" t="n">
        <v>49</v>
      </c>
      <c r="N321" s="50" t="n">
        <v>200</v>
      </c>
      <c r="O321" s="53" t="n">
        <v>60</v>
      </c>
      <c r="P321" s="48" t="s">
        <v>332</v>
      </c>
      <c r="Q321" s="50" t="n">
        <v>280</v>
      </c>
      <c r="R321" s="53" t="n">
        <f aca="false">IF(BW321=1,0,IFERROR(VLOOKUP(BU321,'Gebinde-Kategorie'!$A$5:$N$45,13,0)+0,0))</f>
        <v>52</v>
      </c>
      <c r="S321" s="54"/>
      <c r="T321" s="55"/>
      <c r="U321" s="55"/>
      <c r="V321" s="55"/>
      <c r="W321" s="48"/>
      <c r="X321" s="50"/>
      <c r="Y321" s="50"/>
      <c r="Z321" s="48" t="n">
        <f aca="false">IF(A321="","",IF(AND(Parameter!$B$21="Ja",ISNUMBER(W321)),W321,IF(BZ321="2+3",IF(ISNUMBER(SEARCH("grosser Artikel",BR321)),2,IFERROR(VLOOKUP(BU321,Parameter!$F$35:$G$64,2,0),2)),IF(OR(BZ321="Nein",BZ321=""),"-",BZ321))))</f>
        <v>3</v>
      </c>
      <c r="AA321" s="55"/>
      <c r="AB321" s="56"/>
      <c r="AC321" s="50" t="n">
        <f aca="false">AT321</f>
        <v>280</v>
      </c>
      <c r="AD321" s="50" t="n">
        <f aca="false">MAX(AT321,H321)</f>
        <v>280</v>
      </c>
      <c r="AE321" s="57"/>
      <c r="AF321" s="50" t="n">
        <f aca="false">IF(LEFT(Cockpit!$C$5,1)="A",H321,IF(CE321=1,CF321,IF(LEFT(Cockpit!$C$5,1)="B",AK321,MAX(AK321,H321))))</f>
        <v>182</v>
      </c>
      <c r="AG321" s="50" t="n">
        <f aca="false">IF(BW321=1,0,ROUNDUP(AF321/BV321,0))</f>
        <v>1</v>
      </c>
      <c r="AH321" s="52" t="n">
        <f aca="false">IF(CL321&gt;0,CL321*MAX(1,AF321/X321),IF(BW321=1,IF(AF321&lt;=0,0,CA321*MAX(1,IF(H321&gt;0,AF321/H321,1))),IF(R321&gt;0,AG321/R321,0))/MAX(0.1,N(Parameter!$M$21)))</f>
        <v>0.0192307692307692</v>
      </c>
      <c r="AI321" s="50" t="n">
        <f aca="false">AH321*BY321</f>
        <v>2.98076923076923</v>
      </c>
      <c r="AJ321" s="50" t="n">
        <f aca="false">AF321*G321</f>
        <v>662.48</v>
      </c>
      <c r="AK321" s="50" t="n">
        <f aca="false">ROUNDUP(MAX(J321/IF(CD321&gt;0,CD321,MAX(0.1,N(Cockpit!$C$6))),CG321)/BV321,0)*BV321</f>
        <v>280</v>
      </c>
      <c r="AL321" s="51" t="n">
        <f aca="false">IF(AI321&gt;0,J321/AI321,-1)</f>
        <v>66.4258064516129</v>
      </c>
      <c r="AM321" s="51" t="n">
        <f aca="false">IF(AND(OR(CC321="L1",CC321="L23",CC321="LIFT"),AI321&gt;0),SUMIFS($AI$7:$AI$1843,$CC$7:$CC$1843,CC321,$AL$7:$AL$1843,"&gt;"&amp;AL321)+SUMIFS($AI$7:$AI$1843,$CC$7:$CC$1843,CC321,$AL$7:$AL$1843,AL321,$BT$7:$BT$1843,"&lt;="&amp;BT321),"")</f>
        <v>918.307692307692</v>
      </c>
      <c r="AN321" s="58" t="n">
        <f aca="false">IF(AM321="",0,MAX(0,MIN(1,(IF(CC321="L1",Parameter!$H$5,IF(CC321="L23",Parameter!$H$6+Parameter!$H$7,Parameter!$H$5+Parameter!$H$6+Parameter!$H$7))-(AM321-AI321))/AI321)))</f>
        <v>1</v>
      </c>
      <c r="AO321" s="50" t="n">
        <f aca="false">IF(LEFT(Cockpit!$I$5,1)="A",H321,IF(CE321=1,CF321,IF(LEFT(Cockpit!$I$5,1)="B",AT321,MAX(AT321,H321))))</f>
        <v>280</v>
      </c>
      <c r="AP321" s="50" t="n">
        <f aca="false">IF(BW321=1,0,ROUNDUP(AO321/BV321,0))</f>
        <v>1</v>
      </c>
      <c r="AQ321" s="52" t="n">
        <f aca="false">IF(CL321&gt;0,CL321*MAX(1,AO321/X321),IF(BW321=1,IF(AO321&lt;=0,0,CA321*MAX(1,IF(H321&gt;0,AO321/H321,1))),IF(R321&gt;0,AP321/R321,0))/MAX(0.1,N(Parameter!$M$21)))</f>
        <v>0.0192307692307692</v>
      </c>
      <c r="AR321" s="50" t="n">
        <f aca="false">AQ321*BY321</f>
        <v>2.98076923076923</v>
      </c>
      <c r="AS321" s="50" t="n">
        <f aca="false">AO321*G321</f>
        <v>1019.2</v>
      </c>
      <c r="AT321" s="50" t="n">
        <f aca="false">ROUNDUP(MAX(J321/IF(CD321&gt;0,CD321,MAX(0.1,N(Cockpit!$I$6))),CG321)/BV321,0)*BV321</f>
        <v>280</v>
      </c>
      <c r="AU321" s="51" t="n">
        <f aca="false">IF(AR321&gt;0,J321/AR321,-1)</f>
        <v>66.4258064516129</v>
      </c>
      <c r="AV321" s="51" t="n">
        <f aca="false">IF(AND(OR(CC321="L1",CC321="L23",CC321="LIFT"),AR321&gt;0),SUMIFS($AR$7:$AR$1843,$CC$7:$CC$1843,CC321,$AU$7:$AU$1843,"&gt;"&amp;AU321)+SUMIFS($AR$7:$AR$1843,$CC$7:$CC$1843,CC321,$AU$7:$AU$1843,AU321,$BT$7:$BT$1843,"&lt;="&amp;BT321),"")</f>
        <v>1300.39606227106</v>
      </c>
      <c r="AW321" s="58" t="n">
        <f aca="false">IF(AV321="",0,MAX(0,MIN(1,(IF(CC321="L1",Parameter!$H$5,IF(CC321="L23",Parameter!$H$6+Parameter!$H$7,Parameter!$H$5+Parameter!$H$6+Parameter!$H$7))-(AV321-AR321))/AR321)))</f>
        <v>1</v>
      </c>
      <c r="AX321" s="50" t="n">
        <f aca="false">IF(LEFT(Cockpit!$O$5,1)="A",H321,IF(CE321=1,CF321,IF(LEFT(Cockpit!$O$5,1)="B",BC321,MAX(BC321,H321))))</f>
        <v>280</v>
      </c>
      <c r="AY321" s="50" t="n">
        <f aca="false">IF(BW321=1,0,ROUNDUP(AX321/BV321,0))</f>
        <v>1</v>
      </c>
      <c r="AZ321" s="52" t="n">
        <f aca="false">IF(CL321&gt;0,CL321*MAX(1,AX321/X321),IF(BW321=1,IF(AX321&lt;=0,0,CA321*MAX(1,IF(H321&gt;0,AX321/H321,1))),IF(R321&gt;0,AY321/R321,0))/MAX(0.1,N(Parameter!$M$21)))</f>
        <v>0.0192307692307692</v>
      </c>
      <c r="BA321" s="50" t="n">
        <f aca="false">AZ321*BY321</f>
        <v>2.98076923076923</v>
      </c>
      <c r="BB321" s="50" t="n">
        <f aca="false">AX321*G321</f>
        <v>1019.2</v>
      </c>
      <c r="BC321" s="50" t="n">
        <f aca="false">ROUNDUP(MAX(J321/IF(CD321&gt;0,CD321,MAX(0.1,N(Cockpit!$O$6))),CG321)/BV321,0)*BV321</f>
        <v>280</v>
      </c>
      <c r="BD321" s="51" t="n">
        <f aca="false">IF(BA321&gt;0,J321/BA321,-1)</f>
        <v>66.4258064516129</v>
      </c>
      <c r="BE321" s="51" t="n">
        <f aca="false">IF(AND(OR(CC321="L1",CC321="L23",CC321="LIFT"),BA321&gt;0),SUMIFS($BA$7:$BA$1843,$CC$7:$CC$1843,CC321,$BD$7:$BD$1843,"&gt;"&amp;BD321)+SUMIFS($BA$7:$BA$1843,$CC$7:$CC$1843,CC321,$BD$7:$BD$1843,BD321,$BT$7:$BT$1843,"&lt;="&amp;BT321),"")</f>
        <v>1139.5467032967</v>
      </c>
      <c r="BF321" s="58" t="n">
        <f aca="false">IF(BE321="",0,MAX(0,MIN(1,(IF(CC321="L1",Parameter!$H$5,IF(CC321="L23",Parameter!$H$6+Parameter!$H$7,Parameter!$H$5+Parameter!$H$6+Parameter!$H$7))-(BE321-BA321))/BA321)))</f>
        <v>1</v>
      </c>
      <c r="BG321" s="48" t="str">
        <f aca="false">IF(AI321&lt;=0,"",IF(CC321="Aussen","Aussenlager",IF(CC321="-","Nicht im Lift",IF(AN321&gt;=1,"Lift",IF(AN321&lt;=0,"Aussenlager","teilweise")))))</f>
        <v>Lift</v>
      </c>
      <c r="BH321" s="48" t="str">
        <f aca="false">IF(AR321&lt;=0,"",IF(CC321="Aussen","Aussenlager",IF(CC321="-","Nicht im Lift",IF(AW321&gt;=1,"Lift",IF(AW321&lt;=0,"Aussenlager","teilweise")))))</f>
        <v>Lift</v>
      </c>
      <c r="BI321" s="48" t="str">
        <f aca="false">IF(BA321&lt;=0,"",IF(CC321="Aussen","Aussenlager",IF(CC321="-","Nicht im Lift",IF(BF321&gt;=1,"Lift",IF(BF321&lt;=0,"Aussenlager","teilweise")))))</f>
        <v>Lift</v>
      </c>
      <c r="BJ321" s="48" t="str">
        <f aca="false">IF(A321="","",IF(BS321=1,"Neu; ","")&amp;IF(AND(BS321=0,BN321&lt;0),"negativer Bestand (Export "&amp;BN321&amp;"); ","")&amp;IF(J321&lt;=0,"Kein Verbrauch; ","")&amp;IF(CL321&gt;0,"Lift "&amp;W321&amp;" lt. Liftbericht (Fach "&amp;X321&amp;" Stk); ",IF(BX321=1,"Gebinde geschätzt ("&amp;T321&amp;"); ",IF(BW321=1,"Lose – Tablare geschätzt; ","")))&amp;IF(H321&gt;AT321,"Überbestand "&amp;ROUND(H321-AT321,0)&amp;" Stk / CHF "&amp;ROUND((H321-AT321)*G321,0)&amp;"; ","")&amp;IF(AND(CE321=1,CF321&lt;CG321),"MAX &lt; MB+LG; ","")&amp;IF(AND(CK321&gt;0,CJ321*10&gt;CK321),"zu hoch für Tablar; ","")&amp;IF(AND(BS321=0,OR(CE321=1,AA321&lt;&gt;"",U321&lt;&gt;"",V321&lt;&gt;"",AB321&lt;&gt;"")),"manuell übersteuert; ","")&amp;IF(AND(BW321=0,R321=0),"Gebinde unbekannt / Stellmass fehlt; ","")&amp;IF(AND(BW321=0,N(V321)&lt;=0,N(Q321)&lt;=0),"Menge pro Gebinde fehlt (Ist = 1 Gebinde); ","")&amp;BR321)</f>
        <v/>
      </c>
      <c r="BK321" s="48"/>
      <c r="BL321" s="48"/>
      <c r="BM321" s="55"/>
      <c r="BN321" s="50" t="n">
        <v>137</v>
      </c>
      <c r="BO321" s="50" t="n">
        <v>45</v>
      </c>
      <c r="BP321" s="49" t="n">
        <v>237.88</v>
      </c>
      <c r="BQ321" s="50" t="n">
        <v>198</v>
      </c>
      <c r="BR321" s="48"/>
      <c r="BS321" s="53" t="n">
        <v>0</v>
      </c>
      <c r="BT321" s="53" t="n">
        <v>321</v>
      </c>
      <c r="BU321" s="48" t="str">
        <f aca="false">IF(U321&lt;&gt;"",UPPER(TRIM(U321)),IF(BX321=1,UPPER(VLOOKUP(T321,Parameter!$I$27:$K$29,2,0)),IF(P321="","LOSE",P321)))</f>
        <v>S41</v>
      </c>
      <c r="BV321" s="50" t="n">
        <f aca="false">IF(BU321="LOSE",1,IF(N(V321)&gt;0,V321,IF(BX321=1,MAX(1,N(VLOOKUP(T321,Parameter!$I$27:$K$29,3,0)),H321,N(N321)),IF(N(Q321)&gt;0,Q321,MAX(1,H321)))))</f>
        <v>280</v>
      </c>
      <c r="BW321" s="53" t="n">
        <f aca="false">IF(BU321="LOSE",1,0)</f>
        <v>0</v>
      </c>
      <c r="BX321" s="53" t="n">
        <f aca="false">IF(AND(U321="",OR(P321="",P321="LOSE"),T321&lt;&gt;"",N(S321)&lt;=0,ISNUMBER(MATCH(T321,Parameter!$I$27:$I$29,0))),1,0)</f>
        <v>0</v>
      </c>
      <c r="BY321" s="53" t="n">
        <f aca="false">IF(CL321&gt;0,INDEX(Parameter!$H$5:$H$7,W321)/INDEX(Parameter!$E$5:$E$7,W321),IF(AND(BW321=0,N(IFERROR(VLOOKUP(BU321,'Gebinde-Kategorie'!$A$5:$N$45,14,0),0))&gt;0),VLOOKUP(BU321,'Gebinde-Kategorie'!$A$5:$N$45,14,0)*10+Parameter!$M$23,Parameter!$M$24))</f>
        <v>155</v>
      </c>
      <c r="BZ321" s="48" t="str">
        <f aca="false">IF(AND(Parameter!$B$19="Ja",E321&lt;&gt;"",ISNUMBER(MATCH(E321,Parameter!$I$35:$I$52,0))),VLOOKUP(E321,Parameter!$I$35:$J$52,2,0),IFERROR(VLOOKUP(D321,Parameter!$A$35:$C$64,2,0),"Nein"))</f>
        <v>2+3</v>
      </c>
      <c r="CA321" s="52" t="n">
        <f aca="false">IF(BW321=0,0,IF(N(S321)&gt;0,S321,IFERROR(VLOOKUP(D321,Parameter!$A$35:$C$64,3,0)+0,0)))</f>
        <v>0</v>
      </c>
      <c r="CB321" s="48" t="n">
        <f aca="false">IF(AA321&lt;&gt;"",AA321,Z321)</f>
        <v>3</v>
      </c>
      <c r="CC321" s="48" t="str">
        <f aca="false">IF(OR(CB321=1,CB321=2,CB321=3),IF(Parameter!$E$27="Ja","LIFT",IF(CB321=1,"L1","L23")),IF(CB321="Aussen","Aussen","-"))</f>
        <v>LIFT</v>
      </c>
      <c r="CD321" s="59" t="n">
        <f aca="false">IF(N(AB321)&gt;0,AB321,0)</f>
        <v>0</v>
      </c>
      <c r="CE321" s="53" t="n">
        <f aca="false">IF(ISNUMBER(AE321),1,0)</f>
        <v>0</v>
      </c>
      <c r="CF321" s="50" t="n">
        <f aca="false">N(AE321)</f>
        <v>0</v>
      </c>
      <c r="CG321" s="50" t="n">
        <f aca="false">N(M321)+N(N321)</f>
        <v>249</v>
      </c>
      <c r="CH321" s="50" t="n">
        <f aca="false">ROUNDUP(H321/BV321,0)</f>
        <v>1</v>
      </c>
      <c r="CI321" s="50" t="n">
        <f aca="false">ROUNDUP(CF321/BV321,0)</f>
        <v>0</v>
      </c>
      <c r="CJ321" s="53" t="n">
        <f aca="false">IF(BW321=1,0,IFERROR(VLOOKUP(BU321,'Gebinde-Kategorie'!$A$5:$N$45,5,0)+0,0))</f>
        <v>11</v>
      </c>
      <c r="CK321" s="53" t="n">
        <f aca="false">IFERROR(IF(OR(CB321=1,CB321=2,CB321=3),N(INDEX(Parameter!$I$5:$I$7,CB321)),0),0)</f>
        <v>0</v>
      </c>
      <c r="CL321" s="52" t="n">
        <f aca="false">IF(AND(Parameter!$B$21="Ja",ISNUMBER(W321),N(X321)&gt;0),IFERROR(N(INDEX(Parameter!$L$5:$L$7,W321))*INDEX(Parameter!$E$5:$E$7,W321)*X321/SUMIFS($X$7:$X$1843,$W$7:$W$1843,W321),0),0)</f>
        <v>0</v>
      </c>
    </row>
    <row r="322" customFormat="false" ht="15" hidden="false" customHeight="false" outlineLevel="0" collapsed="false">
      <c r="A322" s="48" t="s">
        <v>813</v>
      </c>
      <c r="B322" s="48" t="s">
        <v>767</v>
      </c>
      <c r="C322" s="48" t="s">
        <v>168</v>
      </c>
      <c r="D322" s="48" t="s">
        <v>188</v>
      </c>
      <c r="E322" s="48"/>
      <c r="F322" s="48" t="s">
        <v>222</v>
      </c>
      <c r="G322" s="49" t="n">
        <v>9.47</v>
      </c>
      <c r="H322" s="50" t="n">
        <f aca="false">MAX(0,IF(AND(Parameter!$B$21="Ja",ISNUMBER(Y322)),Y322,IF(Parameter!$B$20="Jahresanfang 2025 + Export",BO322+BN322,BN322)))</f>
        <v>25</v>
      </c>
      <c r="I322" s="50" t="n">
        <f aca="false">H322*G322</f>
        <v>236.75</v>
      </c>
      <c r="J322" s="50" t="n">
        <f aca="false">BQ322*Parameter!$B$18</f>
        <v>0</v>
      </c>
      <c r="K322" s="51" t="n">
        <v>0</v>
      </c>
      <c r="L322" s="52" t="n">
        <v>0</v>
      </c>
      <c r="M322" s="50" t="n">
        <v>0</v>
      </c>
      <c r="N322" s="50" t="n">
        <v>1</v>
      </c>
      <c r="O322" s="53" t="n">
        <v>9999</v>
      </c>
      <c r="P322" s="48" t="s">
        <v>172</v>
      </c>
      <c r="Q322" s="50"/>
      <c r="R322" s="53" t="n">
        <f aca="false">IF(BW322=1,0,IFERROR(VLOOKUP(BU322,'Gebinde-Kategorie'!$A$5:$N$45,13,0)+0,0))</f>
        <v>26</v>
      </c>
      <c r="S322" s="54"/>
      <c r="T322" s="55" t="s">
        <v>279</v>
      </c>
      <c r="U322" s="55"/>
      <c r="V322" s="55"/>
      <c r="W322" s="48"/>
      <c r="X322" s="50"/>
      <c r="Y322" s="50"/>
      <c r="Z322" s="48" t="n">
        <f aca="false">IF(A322="","",IF(AND(Parameter!$B$21="Ja",ISNUMBER(W322)),W322,IF(BZ322="2+3",IF(ISNUMBER(SEARCH("grosser Artikel",BR322)),2,IFERROR(VLOOKUP(BU322,Parameter!$F$35:$G$64,2,0),2)),IF(OR(BZ322="Nein",BZ322=""),"-",BZ322))))</f>
        <v>3</v>
      </c>
      <c r="AA322" s="55"/>
      <c r="AB322" s="56"/>
      <c r="AC322" s="50" t="n">
        <f aca="false">AT322</f>
        <v>25</v>
      </c>
      <c r="AD322" s="50" t="n">
        <f aca="false">MAX(AT322,H322)</f>
        <v>25</v>
      </c>
      <c r="AE322" s="57"/>
      <c r="AF322" s="50" t="n">
        <f aca="false">IF(LEFT(Cockpit!$C$5,1)="A",H322,IF(CE322=1,CF322,IF(LEFT(Cockpit!$C$5,1)="B",AK322,MAX(AK322,H322))))</f>
        <v>25</v>
      </c>
      <c r="AG322" s="50" t="n">
        <f aca="false">IF(BW322=1,0,ROUNDUP(AF322/BV322,0))</f>
        <v>1</v>
      </c>
      <c r="AH322" s="52" t="n">
        <f aca="false">IF(CL322&gt;0,CL322*MAX(1,AF322/X322),IF(BW322=1,IF(AF322&lt;=0,0,CA322*MAX(1,IF(H322&gt;0,AF322/H322,1))),IF(R322&gt;0,AG322/R322,0))/MAX(0.1,N(Parameter!$M$21)))</f>
        <v>0.0384615384615385</v>
      </c>
      <c r="AI322" s="50" t="n">
        <f aca="false">AH322*BY322</f>
        <v>5.96153846153846</v>
      </c>
      <c r="AJ322" s="50" t="n">
        <f aca="false">AF322*G322</f>
        <v>236.75</v>
      </c>
      <c r="AK322" s="50" t="n">
        <f aca="false">ROUNDUP(MAX(J322/IF(CD322&gt;0,CD322,MAX(0.1,N(Cockpit!$C$6))),CG322)/BV322,0)*BV322</f>
        <v>25</v>
      </c>
      <c r="AL322" s="51" t="n">
        <f aca="false">IF(AI322&gt;0,J322/AI322,-1)</f>
        <v>0</v>
      </c>
      <c r="AM322" s="51" t="n">
        <f aca="false">IF(AND(OR(CC322="L1",CC322="L23",CC322="LIFT"),AI322&gt;0),SUMIFS($AI$7:$AI$1843,$CC$7:$CC$1843,CC322,$AL$7:$AL$1843,"&gt;"&amp;AL322)+SUMIFS($AI$7:$AI$1843,$CC$7:$CC$1843,CC322,$AL$7:$AL$1843,AL322,$BT$7:$BT$1843,"&lt;="&amp;BT322),"")</f>
        <v>27911.1338677801</v>
      </c>
      <c r="AN322" s="58" t="n">
        <f aca="false">IF(AM322="",0,MAX(0,MIN(1,(IF(CC322="L1",Parameter!$H$5,IF(CC322="L23",Parameter!$H$6+Parameter!$H$7,Parameter!$H$5+Parameter!$H$6+Parameter!$H$7))-(AM322-AI322))/AI322)))</f>
        <v>1</v>
      </c>
      <c r="AO322" s="50" t="n">
        <f aca="false">IF(LEFT(Cockpit!$I$5,1)="A",H322,IF(CE322=1,CF322,IF(LEFT(Cockpit!$I$5,1)="B",AT322,MAX(AT322,H322))))</f>
        <v>25</v>
      </c>
      <c r="AP322" s="50" t="n">
        <f aca="false">IF(BW322=1,0,ROUNDUP(AO322/BV322,0))</f>
        <v>1</v>
      </c>
      <c r="AQ322" s="52" t="n">
        <f aca="false">IF(CL322&gt;0,CL322*MAX(1,AO322/X322),IF(BW322=1,IF(AO322&lt;=0,0,CA322*MAX(1,IF(H322&gt;0,AO322/H322,1))),IF(R322&gt;0,AP322/R322,0))/MAX(0.1,N(Parameter!$M$21)))</f>
        <v>0.0384615384615385</v>
      </c>
      <c r="AR322" s="50" t="n">
        <f aca="false">AQ322*BY322</f>
        <v>5.96153846153846</v>
      </c>
      <c r="AS322" s="50" t="n">
        <f aca="false">AO322*G322</f>
        <v>236.75</v>
      </c>
      <c r="AT322" s="50" t="n">
        <f aca="false">ROUNDUP(MAX(J322/IF(CD322&gt;0,CD322,MAX(0.1,N(Cockpit!$I$6))),CG322)/BV322,0)*BV322</f>
        <v>25</v>
      </c>
      <c r="AU322" s="51" t="n">
        <f aca="false">IF(AR322&gt;0,J322/AR322,-1)</f>
        <v>0</v>
      </c>
      <c r="AV322" s="51" t="n">
        <f aca="false">IF(AND(OR(CC322="L1",CC322="L23",CC322="LIFT"),AR322&gt;0),SUMIFS($AR$7:$AR$1843,$CC$7:$CC$1843,CC322,$AU$7:$AU$1843,"&gt;"&amp;AU322)+SUMIFS($AR$7:$AR$1843,$CC$7:$CC$1843,CC322,$AU$7:$AU$1843,AU322,$BT$7:$BT$1843,"&lt;="&amp;BT322),"")</f>
        <v>39224.03938505</v>
      </c>
      <c r="AW322" s="58" t="n">
        <f aca="false">IF(AV322="",0,MAX(0,MIN(1,(IF(CC322="L1",Parameter!$H$5,IF(CC322="L23",Parameter!$H$6+Parameter!$H$7,Parameter!$H$5+Parameter!$H$6+Parameter!$H$7))-(AV322-AR322))/AR322)))</f>
        <v>0</v>
      </c>
      <c r="AX322" s="50" t="n">
        <f aca="false">IF(LEFT(Cockpit!$O$5,1)="A",H322,IF(CE322=1,CF322,IF(LEFT(Cockpit!$O$5,1)="B",BC322,MAX(BC322,H322))))</f>
        <v>25</v>
      </c>
      <c r="AY322" s="50" t="n">
        <f aca="false">IF(BW322=1,0,ROUNDUP(AX322/BV322,0))</f>
        <v>1</v>
      </c>
      <c r="AZ322" s="52" t="n">
        <f aca="false">IF(CL322&gt;0,CL322*MAX(1,AX322/X322),IF(BW322=1,IF(AX322&lt;=0,0,CA322*MAX(1,IF(H322&gt;0,AX322/H322,1))),IF(R322&gt;0,AY322/R322,0))/MAX(0.1,N(Parameter!$M$21)))</f>
        <v>0.0384615384615385</v>
      </c>
      <c r="BA322" s="50" t="n">
        <f aca="false">AZ322*BY322</f>
        <v>5.96153846153846</v>
      </c>
      <c r="BB322" s="50" t="n">
        <f aca="false">AX322*G322</f>
        <v>236.75</v>
      </c>
      <c r="BC322" s="50" t="n">
        <f aca="false">ROUNDUP(MAX(J322/IF(CD322&gt;0,CD322,MAX(0.1,N(Cockpit!$O$6))),CG322)/BV322,0)*BV322</f>
        <v>25</v>
      </c>
      <c r="BD322" s="51" t="n">
        <f aca="false">IF(BA322&gt;0,J322/BA322,-1)</f>
        <v>0</v>
      </c>
      <c r="BE322" s="51" t="n">
        <f aca="false">IF(AND(OR(CC322="L1",CC322="L23",CC322="LIFT"),BA322&gt;0),SUMIFS($BA$7:$BA$1843,$CC$7:$CC$1843,CC322,$BD$7:$BD$1843,"&gt;"&amp;BD322)+SUMIFS($BA$7:$BA$1843,$CC$7:$CC$1843,CC322,$BD$7:$BD$1843,BD322,$BT$7:$BT$1843,"&lt;="&amp;BT322),"")</f>
        <v>35899.0514269158</v>
      </c>
      <c r="BF322" s="58" t="n">
        <f aca="false">IF(BE322="",0,MAX(0,MIN(1,(IF(CC322="L1",Parameter!$H$5,IF(CC322="L23",Parameter!$H$6+Parameter!$H$7,Parameter!$H$5+Parameter!$H$6+Parameter!$H$7))-(BE322-BA322))/BA322)))</f>
        <v>0</v>
      </c>
      <c r="BG322" s="48" t="str">
        <f aca="false">IF(AI322&lt;=0,"",IF(CC322="Aussen","Aussenlager",IF(CC322="-","Nicht im Lift",IF(AN322&gt;=1,"Lift",IF(AN322&lt;=0,"Aussenlager","teilweise")))))</f>
        <v>Lift</v>
      </c>
      <c r="BH322" s="48" t="str">
        <f aca="false">IF(AR322&lt;=0,"",IF(CC322="Aussen","Aussenlager",IF(CC322="-","Nicht im Lift",IF(AW322&gt;=1,"Lift",IF(AW322&lt;=0,"Aussenlager","teilweise")))))</f>
        <v>Aussenlager</v>
      </c>
      <c r="BI322" s="48" t="str">
        <f aca="false">IF(BA322&lt;=0,"",IF(CC322="Aussen","Aussenlager",IF(CC322="-","Nicht im Lift",IF(BF322&gt;=1,"Lift",IF(BF322&lt;=0,"Aussenlager","teilweise")))))</f>
        <v>Aussenlager</v>
      </c>
      <c r="BJ322" s="48" t="str">
        <f aca="false">IF(A322="","",IF(BS322=1,"Neu; ","")&amp;IF(AND(BS322=0,BN322&lt;0),"negativer Bestand (Export "&amp;BN322&amp;"); ","")&amp;IF(J322&lt;=0,"Kein Verbrauch; ","")&amp;IF(CL322&gt;0,"Lift "&amp;W322&amp;" lt. Liftbericht (Fach "&amp;X322&amp;" Stk); ",IF(BX322=1,"Gebinde geschätzt ("&amp;T322&amp;"); ",IF(BW322=1,"Lose – Tablare geschätzt; ","")))&amp;IF(H322&gt;AT322,"Überbestand "&amp;ROUND(H322-AT322,0)&amp;" Stk / CHF "&amp;ROUND((H322-AT322)*G322,0)&amp;"; ","")&amp;IF(AND(CE322=1,CF322&lt;CG322),"MAX &lt; MB+LG; ","")&amp;IF(AND(CK322&gt;0,CJ322*10&gt;CK322),"zu hoch für Tablar; ","")&amp;IF(AND(BS322=0,OR(CE322=1,AA322&lt;&gt;"",U322&lt;&gt;"",V322&lt;&gt;"",AB322&lt;&gt;"")),"manuell übersteuert; ","")&amp;IF(AND(BW322=0,R322=0),"Gebinde unbekannt / Stellmass fehlt; ","")&amp;IF(AND(BW322=0,N(V322)&lt;=0,N(Q322)&lt;=0),"Menge pro Gebinde fehlt (Ist = 1 Gebinde); ","")&amp;BR322)</f>
        <v>Kein Verbrauch; Gebinde geschätzt (Klein); Menge pro Gebinde fehlt (Ist = 1 Gebinde); </v>
      </c>
      <c r="BK322" s="48"/>
      <c r="BL322" s="48"/>
      <c r="BM322" s="55"/>
      <c r="BN322" s="50" t="n">
        <v>25</v>
      </c>
      <c r="BO322" s="50" t="n">
        <v>0</v>
      </c>
      <c r="BP322" s="49" t="n">
        <v>236.75</v>
      </c>
      <c r="BQ322" s="50" t="n">
        <v>0</v>
      </c>
      <c r="BR322" s="48"/>
      <c r="BS322" s="53" t="n">
        <v>0</v>
      </c>
      <c r="BT322" s="53" t="n">
        <v>322</v>
      </c>
      <c r="BU322" s="48" t="str">
        <f aca="false">IF(U322&lt;&gt;"",UPPER(TRIM(U322)),IF(BX322=1,UPPER(VLOOKUP(T322,Parameter!$I$27:$K$29,2,0)),IF(P322="","LOSE",P322)))</f>
        <v>S51</v>
      </c>
      <c r="BV322" s="50" t="n">
        <f aca="false">IF(BU322="LOSE",1,IF(N(V322)&gt;0,V322,IF(BX322=1,MAX(1,N(VLOOKUP(T322,Parameter!$I$27:$K$29,3,0)),H322,N(N322)),IF(N(Q322)&gt;0,Q322,MAX(1,H322)))))</f>
        <v>25</v>
      </c>
      <c r="BW322" s="53" t="n">
        <f aca="false">IF(BU322="LOSE",1,0)</f>
        <v>0</v>
      </c>
      <c r="BX322" s="53" t="n">
        <f aca="false">IF(AND(U322="",OR(P322="",P322="LOSE"),T322&lt;&gt;"",N(S322)&lt;=0,ISNUMBER(MATCH(T322,Parameter!$I$27:$I$29,0))),1,0)</f>
        <v>1</v>
      </c>
      <c r="BY322" s="53" t="n">
        <f aca="false">IF(CL322&gt;0,INDEX(Parameter!$H$5:$H$7,W322)/INDEX(Parameter!$E$5:$E$7,W322),IF(AND(BW322=0,N(IFERROR(VLOOKUP(BU322,'Gebinde-Kategorie'!$A$5:$N$45,14,0),0))&gt;0),VLOOKUP(BU322,'Gebinde-Kategorie'!$A$5:$N$45,14,0)*10+Parameter!$M$23,Parameter!$M$24))</f>
        <v>155</v>
      </c>
      <c r="BZ322" s="48" t="str">
        <f aca="false">IF(AND(Parameter!$B$19="Ja",E322&lt;&gt;"",ISNUMBER(MATCH(E322,Parameter!$I$35:$I$52,0))),VLOOKUP(E322,Parameter!$I$35:$J$52,2,0),IFERROR(VLOOKUP(D322,Parameter!$A$35:$C$64,2,0),"Nein"))</f>
        <v>2+3</v>
      </c>
      <c r="CA322" s="52" t="n">
        <f aca="false">IF(BW322=0,0,IF(N(S322)&gt;0,S322,IFERROR(VLOOKUP(D322,Parameter!$A$35:$C$64,3,0)+0,0)))</f>
        <v>0</v>
      </c>
      <c r="CB322" s="48" t="n">
        <f aca="false">IF(AA322&lt;&gt;"",AA322,Z322)</f>
        <v>3</v>
      </c>
      <c r="CC322" s="48" t="str">
        <f aca="false">IF(OR(CB322=1,CB322=2,CB322=3),IF(Parameter!$E$27="Ja","LIFT",IF(CB322=1,"L1","L23")),IF(CB322="Aussen","Aussen","-"))</f>
        <v>LIFT</v>
      </c>
      <c r="CD322" s="59" t="n">
        <f aca="false">IF(N(AB322)&gt;0,AB322,0)</f>
        <v>0</v>
      </c>
      <c r="CE322" s="53" t="n">
        <f aca="false">IF(ISNUMBER(AE322),1,0)</f>
        <v>0</v>
      </c>
      <c r="CF322" s="50" t="n">
        <f aca="false">N(AE322)</f>
        <v>0</v>
      </c>
      <c r="CG322" s="50" t="n">
        <f aca="false">N(M322)+N(N322)</f>
        <v>1</v>
      </c>
      <c r="CH322" s="50" t="n">
        <f aca="false">ROUNDUP(H322/BV322,0)</f>
        <v>1</v>
      </c>
      <c r="CI322" s="50" t="n">
        <f aca="false">ROUNDUP(CF322/BV322,0)</f>
        <v>0</v>
      </c>
      <c r="CJ322" s="53" t="n">
        <f aca="false">IF(BW322=1,0,IFERROR(VLOOKUP(BU322,'Gebinde-Kategorie'!$A$5:$N$45,5,0)+0,0))</f>
        <v>11</v>
      </c>
      <c r="CK322" s="53" t="n">
        <f aca="false">IFERROR(IF(OR(CB322=1,CB322=2,CB322=3),N(INDEX(Parameter!$I$5:$I$7,CB322)),0),0)</f>
        <v>0</v>
      </c>
      <c r="CL322" s="52" t="n">
        <f aca="false">IF(AND(Parameter!$B$21="Ja",ISNUMBER(W322),N(X322)&gt;0),IFERROR(N(INDEX(Parameter!$L$5:$L$7,W322))*INDEX(Parameter!$E$5:$E$7,W322)*X322/SUMIFS($X$7:$X$1843,$W$7:$W$1843,W322),0),0)</f>
        <v>0</v>
      </c>
    </row>
    <row r="323" customFormat="false" ht="15" hidden="false" customHeight="false" outlineLevel="0" collapsed="false">
      <c r="A323" s="48" t="s">
        <v>814</v>
      </c>
      <c r="B323" s="48" t="s">
        <v>707</v>
      </c>
      <c r="C323" s="48" t="s">
        <v>168</v>
      </c>
      <c r="D323" s="48" t="s">
        <v>177</v>
      </c>
      <c r="E323" s="48" t="s">
        <v>170</v>
      </c>
      <c r="F323" s="48" t="s">
        <v>222</v>
      </c>
      <c r="G323" s="49" t="n">
        <v>445</v>
      </c>
      <c r="H323" s="50" t="n">
        <f aca="false">MAX(0,IF(AND(Parameter!$B$21="Ja",ISNUMBER(Y323)),Y323,IF(Parameter!$B$20="Jahresanfang 2025 + Export",BO323+BN323,BN323)))</f>
        <v>2</v>
      </c>
      <c r="I323" s="50" t="n">
        <f aca="false">H323*G323</f>
        <v>890</v>
      </c>
      <c r="J323" s="50" t="n">
        <f aca="false">BQ323*Parameter!$B$18</f>
        <v>8</v>
      </c>
      <c r="K323" s="51" t="n">
        <v>2</v>
      </c>
      <c r="L323" s="52" t="n">
        <v>4</v>
      </c>
      <c r="M323" s="50" t="n">
        <v>0</v>
      </c>
      <c r="N323" s="50" t="n">
        <v>5</v>
      </c>
      <c r="O323" s="53" t="n">
        <v>35</v>
      </c>
      <c r="P323" s="48" t="s">
        <v>263</v>
      </c>
      <c r="Q323" s="50" t="n">
        <v>4</v>
      </c>
      <c r="R323" s="53" t="n">
        <f aca="false">IF(BW323=1,0,IFERROR(VLOOKUP(BU323,'Gebinde-Kategorie'!$A$5:$N$45,13,0)+0,0))</f>
        <v>6</v>
      </c>
      <c r="S323" s="54"/>
      <c r="T323" s="55"/>
      <c r="U323" s="55"/>
      <c r="V323" s="55"/>
      <c r="W323" s="48"/>
      <c r="X323" s="50"/>
      <c r="Y323" s="50"/>
      <c r="Z323" s="48" t="n">
        <f aca="false">IF(A323="","",IF(AND(Parameter!$B$21="Ja",ISNUMBER(W323)),W323,IF(BZ323="2+3",IF(ISNUMBER(SEARCH("grosser Artikel",BR323)),2,IFERROR(VLOOKUP(BU323,Parameter!$F$35:$G$64,2,0),2)),IF(OR(BZ323="Nein",BZ323=""),"-",BZ323))))</f>
        <v>1</v>
      </c>
      <c r="AA323" s="55"/>
      <c r="AB323" s="56"/>
      <c r="AC323" s="50" t="n">
        <f aca="false">AT323</f>
        <v>8</v>
      </c>
      <c r="AD323" s="50" t="n">
        <f aca="false">MAX(AT323,H323)</f>
        <v>8</v>
      </c>
      <c r="AE323" s="57"/>
      <c r="AF323" s="50" t="n">
        <f aca="false">IF(LEFT(Cockpit!$C$5,1)="A",H323,IF(CE323=1,CF323,IF(LEFT(Cockpit!$C$5,1)="B",AK323,MAX(AK323,H323))))</f>
        <v>2</v>
      </c>
      <c r="AG323" s="50" t="n">
        <f aca="false">IF(BW323=1,0,ROUNDUP(AF323/BV323,0))</f>
        <v>1</v>
      </c>
      <c r="AH323" s="52" t="n">
        <f aca="false">IF(CL323&gt;0,CL323*MAX(1,AF323/X323),IF(BW323=1,IF(AF323&lt;=0,0,CA323*MAX(1,IF(H323&gt;0,AF323/H323,1))),IF(R323&gt;0,AG323/R323,0))/MAX(0.1,N(Parameter!$M$21)))</f>
        <v>0.166666666666667</v>
      </c>
      <c r="AI323" s="50" t="n">
        <f aca="false">AH323*BY323</f>
        <v>72.5</v>
      </c>
      <c r="AJ323" s="50" t="n">
        <f aca="false">AF323*G323</f>
        <v>890</v>
      </c>
      <c r="AK323" s="50" t="n">
        <f aca="false">ROUNDUP(MAX(J323/IF(CD323&gt;0,CD323,MAX(0.1,N(Cockpit!$C$6))),CG323)/BV323,0)*BV323</f>
        <v>8</v>
      </c>
      <c r="AL323" s="51" t="n">
        <f aca="false">IF(AI323&gt;0,J323/AI323,-1)</f>
        <v>0.110344827586207</v>
      </c>
      <c r="AM323" s="51" t="n">
        <f aca="false">IF(AND(OR(CC323="L1",CC323="L23",CC323="LIFT"),AI323&gt;0),SUMIFS($AI$7:$AI$1843,$CC$7:$CC$1843,CC323,$AL$7:$AL$1843,"&gt;"&amp;AL323)+SUMIFS($AI$7:$AI$1843,$CC$7:$CC$1843,CC323,$AL$7:$AL$1843,AL323,$BT$7:$BT$1843,"&lt;="&amp;BT323),"")</f>
        <v>14838.0545596118</v>
      </c>
      <c r="AN323" s="58" t="n">
        <f aca="false">IF(AM323="",0,MAX(0,MIN(1,(IF(CC323="L1",Parameter!$H$5,IF(CC323="L23",Parameter!$H$6+Parameter!$H$7,Parameter!$H$5+Parameter!$H$6+Parameter!$H$7))-(AM323-AI323))/AI323)))</f>
        <v>1</v>
      </c>
      <c r="AO323" s="50" t="n">
        <f aca="false">IF(LEFT(Cockpit!$I$5,1)="A",H323,IF(CE323=1,CF323,IF(LEFT(Cockpit!$I$5,1)="B",AT323,MAX(AT323,H323))))</f>
        <v>8</v>
      </c>
      <c r="AP323" s="50" t="n">
        <f aca="false">IF(BW323=1,0,ROUNDUP(AO323/BV323,0))</f>
        <v>2</v>
      </c>
      <c r="AQ323" s="52" t="n">
        <f aca="false">IF(CL323&gt;0,CL323*MAX(1,AO323/X323),IF(BW323=1,IF(AO323&lt;=0,0,CA323*MAX(1,IF(H323&gt;0,AO323/H323,1))),IF(R323&gt;0,AP323/R323,0))/MAX(0.1,N(Parameter!$M$21)))</f>
        <v>0.333333333333333</v>
      </c>
      <c r="AR323" s="50" t="n">
        <f aca="false">AQ323*BY323</f>
        <v>145</v>
      </c>
      <c r="AS323" s="50" t="n">
        <f aca="false">AO323*G323</f>
        <v>3560</v>
      </c>
      <c r="AT323" s="50" t="n">
        <f aca="false">ROUNDUP(MAX(J323/IF(CD323&gt;0,CD323,MAX(0.1,N(Cockpit!$I$6))),CG323)/BV323,0)*BV323</f>
        <v>8</v>
      </c>
      <c r="AU323" s="51" t="n">
        <f aca="false">IF(AR323&gt;0,J323/AR323,-1)</f>
        <v>0.0551724137931035</v>
      </c>
      <c r="AV323" s="51" t="n">
        <f aca="false">IF(AND(OR(CC323="L1",CC323="L23",CC323="LIFT"),AR323&gt;0),SUMIFS($AR$7:$AR$1843,$CC$7:$CC$1843,CC323,$AU$7:$AU$1843,"&gt;"&amp;AU323)+SUMIFS($AR$7:$AR$1843,$CC$7:$CC$1843,CC323,$AU$7:$AU$1843,AU323,$BT$7:$BT$1843,"&lt;="&amp;BT323),"")</f>
        <v>29647.7808432152</v>
      </c>
      <c r="AW323" s="58" t="n">
        <f aca="false">IF(AV323="",0,MAX(0,MIN(1,(IF(CC323="L1",Parameter!$H$5,IF(CC323="L23",Parameter!$H$6+Parameter!$H$7,Parameter!$H$5+Parameter!$H$6+Parameter!$H$7))-(AV323-AR323))/AR323)))</f>
        <v>1</v>
      </c>
      <c r="AX323" s="50" t="n">
        <f aca="false">IF(LEFT(Cockpit!$O$5,1)="A",H323,IF(CE323=1,CF323,IF(LEFT(Cockpit!$O$5,1)="B",BC323,MAX(BC323,H323))))</f>
        <v>8</v>
      </c>
      <c r="AY323" s="50" t="n">
        <f aca="false">IF(BW323=1,0,ROUNDUP(AX323/BV323,0))</f>
        <v>2</v>
      </c>
      <c r="AZ323" s="52" t="n">
        <f aca="false">IF(CL323&gt;0,CL323*MAX(1,AX323/X323),IF(BW323=1,IF(AX323&lt;=0,0,CA323*MAX(1,IF(H323&gt;0,AX323/H323,1))),IF(R323&gt;0,AY323/R323,0))/MAX(0.1,N(Parameter!$M$21)))</f>
        <v>0.333333333333333</v>
      </c>
      <c r="BA323" s="50" t="n">
        <f aca="false">AZ323*BY323</f>
        <v>145</v>
      </c>
      <c r="BB323" s="50" t="n">
        <f aca="false">AX323*G323</f>
        <v>3560</v>
      </c>
      <c r="BC323" s="50" t="n">
        <f aca="false">ROUNDUP(MAX(J323/IF(CD323&gt;0,CD323,MAX(0.1,N(Cockpit!$O$6))),CG323)/BV323,0)*BV323</f>
        <v>8</v>
      </c>
      <c r="BD323" s="51" t="n">
        <f aca="false">IF(BA323&gt;0,J323/BA323,-1)</f>
        <v>0.0551724137931035</v>
      </c>
      <c r="BE323" s="51" t="n">
        <f aca="false">IF(AND(OR(CC323="L1",CC323="L23",CC323="LIFT"),BA323&gt;0),SUMIFS($BA$7:$BA$1843,$CC$7:$CC$1843,CC323,$BD$7:$BD$1843,"&gt;"&amp;BD323)+SUMIFS($BA$7:$BA$1843,$CC$7:$CC$1843,CC323,$BD$7:$BD$1843,BD323,$BT$7:$BT$1843,"&lt;="&amp;BT323),"")</f>
        <v>26322.792885081</v>
      </c>
      <c r="BF323" s="58" t="n">
        <f aca="false">IF(BE323="",0,MAX(0,MIN(1,(IF(CC323="L1",Parameter!$H$5,IF(CC323="L23",Parameter!$H$6+Parameter!$H$7,Parameter!$H$5+Parameter!$H$6+Parameter!$H$7))-(BE323-BA323))/BA323)))</f>
        <v>1</v>
      </c>
      <c r="BG323" s="48" t="str">
        <f aca="false">IF(AI323&lt;=0,"",IF(CC323="Aussen","Aussenlager",IF(CC323="-","Nicht im Lift",IF(AN323&gt;=1,"Lift",IF(AN323&lt;=0,"Aussenlager","teilweise")))))</f>
        <v>Lift</v>
      </c>
      <c r="BH323" s="48" t="str">
        <f aca="false">IF(AR323&lt;=0,"",IF(CC323="Aussen","Aussenlager",IF(CC323="-","Nicht im Lift",IF(AW323&gt;=1,"Lift",IF(AW323&lt;=0,"Aussenlager","teilweise")))))</f>
        <v>Lift</v>
      </c>
      <c r="BI323" s="48" t="str">
        <f aca="false">IF(BA323&lt;=0,"",IF(CC323="Aussen","Aussenlager",IF(CC323="-","Nicht im Lift",IF(BF323&gt;=1,"Lift",IF(BF323&lt;=0,"Aussenlager","teilweise")))))</f>
        <v>Lift</v>
      </c>
      <c r="BJ323" s="48" t="str">
        <f aca="false">IF(A323="","",IF(BS323=1,"Neu; ","")&amp;IF(AND(BS323=0,BN323&lt;0),"negativer Bestand (Export "&amp;BN323&amp;"); ","")&amp;IF(J323&lt;=0,"Kein Verbrauch; ","")&amp;IF(CL323&gt;0,"Lift "&amp;W323&amp;" lt. Liftbericht (Fach "&amp;X323&amp;" Stk); ",IF(BX323=1,"Gebinde geschätzt ("&amp;T323&amp;"); ",IF(BW323=1,"Lose – Tablare geschätzt; ","")))&amp;IF(H323&gt;AT323,"Überbestand "&amp;ROUND(H323-AT323,0)&amp;" Stk / CHF "&amp;ROUND((H323-AT323)*G323,0)&amp;"; ","")&amp;IF(AND(CE323=1,CF323&lt;CG323),"MAX &lt; MB+LG; ","")&amp;IF(AND(CK323&gt;0,CJ323*10&gt;CK323),"zu hoch für Tablar; ","")&amp;IF(AND(BS323=0,OR(CE323=1,AA323&lt;&gt;"",U323&lt;&gt;"",V323&lt;&gt;"",AB323&lt;&gt;"")),"manuell übersteuert; ","")&amp;IF(AND(BW323=0,R323=0),"Gebinde unbekannt / Stellmass fehlt; ","")&amp;IF(AND(BW323=0,N(V323)&lt;=0,N(Q323)&lt;=0),"Menge pro Gebinde fehlt (Ist = 1 Gebinde); ","")&amp;BR323)</f>
        <v/>
      </c>
      <c r="BK323" s="48"/>
      <c r="BL323" s="48"/>
      <c r="BM323" s="55"/>
      <c r="BN323" s="50" t="n">
        <v>0</v>
      </c>
      <c r="BO323" s="50" t="n">
        <v>2</v>
      </c>
      <c r="BP323" s="49" t="n">
        <v>236</v>
      </c>
      <c r="BQ323" s="50" t="n">
        <v>8</v>
      </c>
      <c r="BR323" s="48"/>
      <c r="BS323" s="53" t="n">
        <v>0</v>
      </c>
      <c r="BT323" s="53" t="n">
        <v>323</v>
      </c>
      <c r="BU323" s="48" t="str">
        <f aca="false">IF(U323&lt;&gt;"",UPPER(TRIM(U323)),IF(BX323=1,UPPER(VLOOKUP(T323,Parameter!$I$27:$K$29,2,0)),IF(P323="","LOSE",P323)))</f>
        <v>S72</v>
      </c>
      <c r="BV323" s="50" t="n">
        <f aca="false">IF(BU323="LOSE",1,IF(N(V323)&gt;0,V323,IF(BX323=1,MAX(1,N(VLOOKUP(T323,Parameter!$I$27:$K$29,3,0)),H323,N(N323)),IF(N(Q323)&gt;0,Q323,MAX(1,H323)))))</f>
        <v>4</v>
      </c>
      <c r="BW323" s="53" t="n">
        <f aca="false">IF(BU323="LOSE",1,0)</f>
        <v>0</v>
      </c>
      <c r="BX323" s="53" t="n">
        <f aca="false">IF(AND(U323="",OR(P323="",P323="LOSE"),T323&lt;&gt;"",N(S323)&lt;=0,ISNUMBER(MATCH(T323,Parameter!$I$27:$I$29,0))),1,0)</f>
        <v>0</v>
      </c>
      <c r="BY323" s="53" t="n">
        <f aca="false">IF(CL323&gt;0,INDEX(Parameter!$H$5:$H$7,W323)/INDEX(Parameter!$E$5:$E$7,W323),IF(AND(BW323=0,N(IFERROR(VLOOKUP(BU323,'Gebinde-Kategorie'!$A$5:$N$45,14,0),0))&gt;0),VLOOKUP(BU323,'Gebinde-Kategorie'!$A$5:$N$45,14,0)*10+Parameter!$M$23,Parameter!$M$24))</f>
        <v>435</v>
      </c>
      <c r="BZ323" s="48" t="n">
        <f aca="false">IF(AND(Parameter!$B$19="Ja",E323&lt;&gt;"",ISNUMBER(MATCH(E323,Parameter!$I$35:$I$52,0))),VLOOKUP(E323,Parameter!$I$35:$J$52,2,0),IFERROR(VLOOKUP(D323,Parameter!$A$35:$C$64,2,0),"Nein"))</f>
        <v>1</v>
      </c>
      <c r="CA323" s="52" t="n">
        <f aca="false">IF(BW323=0,0,IF(N(S323)&gt;0,S323,IFERROR(VLOOKUP(D323,Parameter!$A$35:$C$64,3,0)+0,0)))</f>
        <v>0</v>
      </c>
      <c r="CB323" s="48" t="n">
        <f aca="false">IF(AA323&lt;&gt;"",AA323,Z323)</f>
        <v>1</v>
      </c>
      <c r="CC323" s="48" t="str">
        <f aca="false">IF(OR(CB323=1,CB323=2,CB323=3),IF(Parameter!$E$27="Ja","LIFT",IF(CB323=1,"L1","L23")),IF(CB323="Aussen","Aussen","-"))</f>
        <v>LIFT</v>
      </c>
      <c r="CD323" s="59" t="n">
        <f aca="false">IF(N(AB323)&gt;0,AB323,0)</f>
        <v>0</v>
      </c>
      <c r="CE323" s="53" t="n">
        <f aca="false">IF(ISNUMBER(AE323),1,0)</f>
        <v>0</v>
      </c>
      <c r="CF323" s="50" t="n">
        <f aca="false">N(AE323)</f>
        <v>0</v>
      </c>
      <c r="CG323" s="50" t="n">
        <f aca="false">N(M323)+N(N323)</f>
        <v>5</v>
      </c>
      <c r="CH323" s="50" t="n">
        <f aca="false">ROUNDUP(H323/BV323,0)</f>
        <v>1</v>
      </c>
      <c r="CI323" s="50" t="n">
        <f aca="false">ROUNDUP(CF323/BV323,0)</f>
        <v>0</v>
      </c>
      <c r="CJ323" s="53" t="n">
        <f aca="false">IF(BW323=1,0,IFERROR(VLOOKUP(BU323,'Gebinde-Kategorie'!$A$5:$N$45,5,0)+0,0))</f>
        <v>40</v>
      </c>
      <c r="CK323" s="53" t="n">
        <f aca="false">IFERROR(IF(OR(CB323=1,CB323=2,CB323=3),N(INDEX(Parameter!$I$5:$I$7,CB323)),0),0)</f>
        <v>0</v>
      </c>
      <c r="CL323" s="52" t="n">
        <f aca="false">IF(AND(Parameter!$B$21="Ja",ISNUMBER(W323),N(X323)&gt;0),IFERROR(N(INDEX(Parameter!$L$5:$L$7,W323))*INDEX(Parameter!$E$5:$E$7,W323)*X323/SUMIFS($X$7:$X$1843,$W$7:$W$1843,W323),0),0)</f>
        <v>0</v>
      </c>
    </row>
    <row r="324" customFormat="false" ht="15" hidden="false" customHeight="false" outlineLevel="0" collapsed="false">
      <c r="A324" s="48" t="s">
        <v>815</v>
      </c>
      <c r="B324" s="48" t="s">
        <v>816</v>
      </c>
      <c r="C324" s="48" t="s">
        <v>168</v>
      </c>
      <c r="D324" s="48" t="s">
        <v>188</v>
      </c>
      <c r="E324" s="48"/>
      <c r="F324" s="48" t="s">
        <v>222</v>
      </c>
      <c r="G324" s="49" t="n">
        <v>13</v>
      </c>
      <c r="H324" s="50" t="n">
        <f aca="false">MAX(0,IF(AND(Parameter!$B$21="Ja",ISNUMBER(Y324)),Y324,IF(Parameter!$B$20="Jahresanfang 2025 + Export",BO324+BN324,BN324)))</f>
        <v>23</v>
      </c>
      <c r="I324" s="50" t="n">
        <f aca="false">H324*G324</f>
        <v>299</v>
      </c>
      <c r="J324" s="50" t="n">
        <f aca="false">BQ324*Parameter!$B$18</f>
        <v>0</v>
      </c>
      <c r="K324" s="51" t="n">
        <v>11.5</v>
      </c>
      <c r="L324" s="52" t="n">
        <v>0</v>
      </c>
      <c r="M324" s="50" t="n">
        <v>0</v>
      </c>
      <c r="N324" s="50" t="n">
        <v>1</v>
      </c>
      <c r="O324" s="53" t="n">
        <v>21</v>
      </c>
      <c r="P324" s="48" t="s">
        <v>172</v>
      </c>
      <c r="Q324" s="50"/>
      <c r="R324" s="53" t="n">
        <f aca="false">IF(BW324=1,0,IFERROR(VLOOKUP(BU324,'Gebinde-Kategorie'!$A$5:$N$45,13,0)+0,0))</f>
        <v>26</v>
      </c>
      <c r="S324" s="54"/>
      <c r="T324" s="55" t="s">
        <v>279</v>
      </c>
      <c r="U324" s="55"/>
      <c r="V324" s="55"/>
      <c r="W324" s="48"/>
      <c r="X324" s="50"/>
      <c r="Y324" s="50"/>
      <c r="Z324" s="48" t="n">
        <f aca="false">IF(A324="","",IF(AND(Parameter!$B$21="Ja",ISNUMBER(W324)),W324,IF(BZ324="2+3",IF(ISNUMBER(SEARCH("grosser Artikel",BR324)),2,IFERROR(VLOOKUP(BU324,Parameter!$F$35:$G$64,2,0),2)),IF(OR(BZ324="Nein",BZ324=""),"-",BZ324))))</f>
        <v>3</v>
      </c>
      <c r="AA324" s="55"/>
      <c r="AB324" s="56"/>
      <c r="AC324" s="50" t="n">
        <f aca="false">AT324</f>
        <v>23</v>
      </c>
      <c r="AD324" s="50" t="n">
        <f aca="false">MAX(AT324,H324)</f>
        <v>23</v>
      </c>
      <c r="AE324" s="57"/>
      <c r="AF324" s="50" t="n">
        <f aca="false">IF(LEFT(Cockpit!$C$5,1)="A",H324,IF(CE324=1,CF324,IF(LEFT(Cockpit!$C$5,1)="B",AK324,MAX(AK324,H324))))</f>
        <v>23</v>
      </c>
      <c r="AG324" s="50" t="n">
        <f aca="false">IF(BW324=1,0,ROUNDUP(AF324/BV324,0))</f>
        <v>1</v>
      </c>
      <c r="AH324" s="52" t="n">
        <f aca="false">IF(CL324&gt;0,CL324*MAX(1,AF324/X324),IF(BW324=1,IF(AF324&lt;=0,0,CA324*MAX(1,IF(H324&gt;0,AF324/H324,1))),IF(R324&gt;0,AG324/R324,0))/MAX(0.1,N(Parameter!$M$21)))</f>
        <v>0.0384615384615385</v>
      </c>
      <c r="AI324" s="50" t="n">
        <f aca="false">AH324*BY324</f>
        <v>5.96153846153846</v>
      </c>
      <c r="AJ324" s="50" t="n">
        <f aca="false">AF324*G324</f>
        <v>299</v>
      </c>
      <c r="AK324" s="50" t="n">
        <f aca="false">ROUNDUP(MAX(J324/IF(CD324&gt;0,CD324,MAX(0.1,N(Cockpit!$C$6))),CG324)/BV324,0)*BV324</f>
        <v>23</v>
      </c>
      <c r="AL324" s="51" t="n">
        <f aca="false">IF(AI324&gt;0,J324/AI324,-1)</f>
        <v>0</v>
      </c>
      <c r="AM324" s="51" t="n">
        <f aca="false">IF(AND(OR(CC324="L1",CC324="L23",CC324="LIFT"),AI324&gt;0),SUMIFS($AI$7:$AI$1843,$CC$7:$CC$1843,CC324,$AL$7:$AL$1843,"&gt;"&amp;AL324)+SUMIFS($AI$7:$AI$1843,$CC$7:$CC$1843,CC324,$AL$7:$AL$1843,AL324,$BT$7:$BT$1843,"&lt;="&amp;BT324),"")</f>
        <v>27917.0954062416</v>
      </c>
      <c r="AN324" s="58" t="n">
        <f aca="false">IF(AM324="",0,MAX(0,MIN(1,(IF(CC324="L1",Parameter!$H$5,IF(CC324="L23",Parameter!$H$6+Parameter!$H$7,Parameter!$H$5+Parameter!$H$6+Parameter!$H$7))-(AM324-AI324))/AI324)))</f>
        <v>1</v>
      </c>
      <c r="AO324" s="50" t="n">
        <f aca="false">IF(LEFT(Cockpit!$I$5,1)="A",H324,IF(CE324=1,CF324,IF(LEFT(Cockpit!$I$5,1)="B",AT324,MAX(AT324,H324))))</f>
        <v>23</v>
      </c>
      <c r="AP324" s="50" t="n">
        <f aca="false">IF(BW324=1,0,ROUNDUP(AO324/BV324,0))</f>
        <v>1</v>
      </c>
      <c r="AQ324" s="52" t="n">
        <f aca="false">IF(CL324&gt;0,CL324*MAX(1,AO324/X324),IF(BW324=1,IF(AO324&lt;=0,0,CA324*MAX(1,IF(H324&gt;0,AO324/H324,1))),IF(R324&gt;0,AP324/R324,0))/MAX(0.1,N(Parameter!$M$21)))</f>
        <v>0.0384615384615385</v>
      </c>
      <c r="AR324" s="50" t="n">
        <f aca="false">AQ324*BY324</f>
        <v>5.96153846153846</v>
      </c>
      <c r="AS324" s="50" t="n">
        <f aca="false">AO324*G324</f>
        <v>299</v>
      </c>
      <c r="AT324" s="50" t="n">
        <f aca="false">ROUNDUP(MAX(J324/IF(CD324&gt;0,CD324,MAX(0.1,N(Cockpit!$I$6))),CG324)/BV324,0)*BV324</f>
        <v>23</v>
      </c>
      <c r="AU324" s="51" t="n">
        <f aca="false">IF(AR324&gt;0,J324/AR324,-1)</f>
        <v>0</v>
      </c>
      <c r="AV324" s="51" t="n">
        <f aca="false">IF(AND(OR(CC324="L1",CC324="L23",CC324="LIFT"),AR324&gt;0),SUMIFS($AR$7:$AR$1843,$CC$7:$CC$1843,CC324,$AU$7:$AU$1843,"&gt;"&amp;AU324)+SUMIFS($AR$7:$AR$1843,$CC$7:$CC$1843,CC324,$AU$7:$AU$1843,AU324,$BT$7:$BT$1843,"&lt;="&amp;BT324),"")</f>
        <v>39230.0009235115</v>
      </c>
      <c r="AW324" s="58" t="n">
        <f aca="false">IF(AV324="",0,MAX(0,MIN(1,(IF(CC324="L1",Parameter!$H$5,IF(CC324="L23",Parameter!$H$6+Parameter!$H$7,Parameter!$H$5+Parameter!$H$6+Parameter!$H$7))-(AV324-AR324))/AR324)))</f>
        <v>0</v>
      </c>
      <c r="AX324" s="50" t="n">
        <f aca="false">IF(LEFT(Cockpit!$O$5,1)="A",H324,IF(CE324=1,CF324,IF(LEFT(Cockpit!$O$5,1)="B",BC324,MAX(BC324,H324))))</f>
        <v>23</v>
      </c>
      <c r="AY324" s="50" t="n">
        <f aca="false">IF(BW324=1,0,ROUNDUP(AX324/BV324,0))</f>
        <v>1</v>
      </c>
      <c r="AZ324" s="52" t="n">
        <f aca="false">IF(CL324&gt;0,CL324*MAX(1,AX324/X324),IF(BW324=1,IF(AX324&lt;=0,0,CA324*MAX(1,IF(H324&gt;0,AX324/H324,1))),IF(R324&gt;0,AY324/R324,0))/MAX(0.1,N(Parameter!$M$21)))</f>
        <v>0.0384615384615385</v>
      </c>
      <c r="BA324" s="50" t="n">
        <f aca="false">AZ324*BY324</f>
        <v>5.96153846153846</v>
      </c>
      <c r="BB324" s="50" t="n">
        <f aca="false">AX324*G324</f>
        <v>299</v>
      </c>
      <c r="BC324" s="50" t="n">
        <f aca="false">ROUNDUP(MAX(J324/IF(CD324&gt;0,CD324,MAX(0.1,N(Cockpit!$O$6))),CG324)/BV324,0)*BV324</f>
        <v>23</v>
      </c>
      <c r="BD324" s="51" t="n">
        <f aca="false">IF(BA324&gt;0,J324/BA324,-1)</f>
        <v>0</v>
      </c>
      <c r="BE324" s="51" t="n">
        <f aca="false">IF(AND(OR(CC324="L1",CC324="L23",CC324="LIFT"),BA324&gt;0),SUMIFS($BA$7:$BA$1843,$CC$7:$CC$1843,CC324,$BD$7:$BD$1843,"&gt;"&amp;BD324)+SUMIFS($BA$7:$BA$1843,$CC$7:$CC$1843,CC324,$BD$7:$BD$1843,BD324,$BT$7:$BT$1843,"&lt;="&amp;BT324),"")</f>
        <v>35905.0129653774</v>
      </c>
      <c r="BF324" s="58" t="n">
        <f aca="false">IF(BE324="",0,MAX(0,MIN(1,(IF(CC324="L1",Parameter!$H$5,IF(CC324="L23",Parameter!$H$6+Parameter!$H$7,Parameter!$H$5+Parameter!$H$6+Parameter!$H$7))-(BE324-BA324))/BA324)))</f>
        <v>0</v>
      </c>
      <c r="BG324" s="48" t="str">
        <f aca="false">IF(AI324&lt;=0,"",IF(CC324="Aussen","Aussenlager",IF(CC324="-","Nicht im Lift",IF(AN324&gt;=1,"Lift",IF(AN324&lt;=0,"Aussenlager","teilweise")))))</f>
        <v>Lift</v>
      </c>
      <c r="BH324" s="48" t="str">
        <f aca="false">IF(AR324&lt;=0,"",IF(CC324="Aussen","Aussenlager",IF(CC324="-","Nicht im Lift",IF(AW324&gt;=1,"Lift",IF(AW324&lt;=0,"Aussenlager","teilweise")))))</f>
        <v>Aussenlager</v>
      </c>
      <c r="BI324" s="48" t="str">
        <f aca="false">IF(BA324&lt;=0,"",IF(CC324="Aussen","Aussenlager",IF(CC324="-","Nicht im Lift",IF(BF324&gt;=1,"Lift",IF(BF324&lt;=0,"Aussenlager","teilweise")))))</f>
        <v>Aussenlager</v>
      </c>
      <c r="BJ324" s="48" t="str">
        <f aca="false">IF(A324="","",IF(BS324=1,"Neu; ","")&amp;IF(AND(BS324=0,BN324&lt;0),"negativer Bestand (Export "&amp;BN324&amp;"); ","")&amp;IF(J324&lt;=0,"Kein Verbrauch; ","")&amp;IF(CL324&gt;0,"Lift "&amp;W324&amp;" lt. Liftbericht (Fach "&amp;X324&amp;" Stk); ",IF(BX324=1,"Gebinde geschätzt ("&amp;T324&amp;"); ",IF(BW324=1,"Lose – Tablare geschätzt; ","")))&amp;IF(H324&gt;AT324,"Überbestand "&amp;ROUND(H324-AT324,0)&amp;" Stk / CHF "&amp;ROUND((H324-AT324)*G324,0)&amp;"; ","")&amp;IF(AND(CE324=1,CF324&lt;CG324),"MAX &lt; MB+LG; ","")&amp;IF(AND(CK324&gt;0,CJ324*10&gt;CK324),"zu hoch für Tablar; ","")&amp;IF(AND(BS324=0,OR(CE324=1,AA324&lt;&gt;"",U324&lt;&gt;"",V324&lt;&gt;"",AB324&lt;&gt;"")),"manuell übersteuert; ","")&amp;IF(AND(BW324=0,R324=0),"Gebinde unbekannt / Stellmass fehlt; ","")&amp;IF(AND(BW324=0,N(V324)&lt;=0,N(Q324)&lt;=0),"Menge pro Gebinde fehlt (Ist = 1 Gebinde); ","")&amp;BR324)</f>
        <v>Kein Verbrauch; Gebinde geschätzt (Klein); Menge pro Gebinde fehlt (Ist = 1 Gebinde); </v>
      </c>
      <c r="BK324" s="48"/>
      <c r="BL324" s="48"/>
      <c r="BM324" s="55"/>
      <c r="BN324" s="50" t="n">
        <v>18</v>
      </c>
      <c r="BO324" s="50" t="n">
        <v>5</v>
      </c>
      <c r="BP324" s="49" t="n">
        <v>234</v>
      </c>
      <c r="BQ324" s="50" t="n">
        <v>0</v>
      </c>
      <c r="BR324" s="48"/>
      <c r="BS324" s="53" t="n">
        <v>0</v>
      </c>
      <c r="BT324" s="53" t="n">
        <v>324</v>
      </c>
      <c r="BU324" s="48" t="str">
        <f aca="false">IF(U324&lt;&gt;"",UPPER(TRIM(U324)),IF(BX324=1,UPPER(VLOOKUP(T324,Parameter!$I$27:$K$29,2,0)),IF(P324="","LOSE",P324)))</f>
        <v>S51</v>
      </c>
      <c r="BV324" s="50" t="n">
        <f aca="false">IF(BU324="LOSE",1,IF(N(V324)&gt;0,V324,IF(BX324=1,MAX(1,N(VLOOKUP(T324,Parameter!$I$27:$K$29,3,0)),H324,N(N324)),IF(N(Q324)&gt;0,Q324,MAX(1,H324)))))</f>
        <v>23</v>
      </c>
      <c r="BW324" s="53" t="n">
        <f aca="false">IF(BU324="LOSE",1,0)</f>
        <v>0</v>
      </c>
      <c r="BX324" s="53" t="n">
        <f aca="false">IF(AND(U324="",OR(P324="",P324="LOSE"),T324&lt;&gt;"",N(S324)&lt;=0,ISNUMBER(MATCH(T324,Parameter!$I$27:$I$29,0))),1,0)</f>
        <v>1</v>
      </c>
      <c r="BY324" s="53" t="n">
        <f aca="false">IF(CL324&gt;0,INDEX(Parameter!$H$5:$H$7,W324)/INDEX(Parameter!$E$5:$E$7,W324),IF(AND(BW324=0,N(IFERROR(VLOOKUP(BU324,'Gebinde-Kategorie'!$A$5:$N$45,14,0),0))&gt;0),VLOOKUP(BU324,'Gebinde-Kategorie'!$A$5:$N$45,14,0)*10+Parameter!$M$23,Parameter!$M$24))</f>
        <v>155</v>
      </c>
      <c r="BZ324" s="48" t="str">
        <f aca="false">IF(AND(Parameter!$B$19="Ja",E324&lt;&gt;"",ISNUMBER(MATCH(E324,Parameter!$I$35:$I$52,0))),VLOOKUP(E324,Parameter!$I$35:$J$52,2,0),IFERROR(VLOOKUP(D324,Parameter!$A$35:$C$64,2,0),"Nein"))</f>
        <v>2+3</v>
      </c>
      <c r="CA324" s="52" t="n">
        <f aca="false">IF(BW324=0,0,IF(N(S324)&gt;0,S324,IFERROR(VLOOKUP(D324,Parameter!$A$35:$C$64,3,0)+0,0)))</f>
        <v>0</v>
      </c>
      <c r="CB324" s="48" t="n">
        <f aca="false">IF(AA324&lt;&gt;"",AA324,Z324)</f>
        <v>3</v>
      </c>
      <c r="CC324" s="48" t="str">
        <f aca="false">IF(OR(CB324=1,CB324=2,CB324=3),IF(Parameter!$E$27="Ja","LIFT",IF(CB324=1,"L1","L23")),IF(CB324="Aussen","Aussen","-"))</f>
        <v>LIFT</v>
      </c>
      <c r="CD324" s="59" t="n">
        <f aca="false">IF(N(AB324)&gt;0,AB324,0)</f>
        <v>0</v>
      </c>
      <c r="CE324" s="53" t="n">
        <f aca="false">IF(ISNUMBER(AE324),1,0)</f>
        <v>0</v>
      </c>
      <c r="CF324" s="50" t="n">
        <f aca="false">N(AE324)</f>
        <v>0</v>
      </c>
      <c r="CG324" s="50" t="n">
        <f aca="false">N(M324)+N(N324)</f>
        <v>1</v>
      </c>
      <c r="CH324" s="50" t="n">
        <f aca="false">ROUNDUP(H324/BV324,0)</f>
        <v>1</v>
      </c>
      <c r="CI324" s="50" t="n">
        <f aca="false">ROUNDUP(CF324/BV324,0)</f>
        <v>0</v>
      </c>
      <c r="CJ324" s="53" t="n">
        <f aca="false">IF(BW324=1,0,IFERROR(VLOOKUP(BU324,'Gebinde-Kategorie'!$A$5:$N$45,5,0)+0,0))</f>
        <v>11</v>
      </c>
      <c r="CK324" s="53" t="n">
        <f aca="false">IFERROR(IF(OR(CB324=1,CB324=2,CB324=3),N(INDEX(Parameter!$I$5:$I$7,CB324)),0),0)</f>
        <v>0</v>
      </c>
      <c r="CL324" s="52" t="n">
        <f aca="false">IF(AND(Parameter!$B$21="Ja",ISNUMBER(W324),N(X324)&gt;0),IFERROR(N(INDEX(Parameter!$L$5:$L$7,W324))*INDEX(Parameter!$E$5:$E$7,W324)*X324/SUMIFS($X$7:$X$1843,$W$7:$W$1843,W324),0),0)</f>
        <v>0</v>
      </c>
    </row>
    <row r="325" customFormat="false" ht="15" hidden="false" customHeight="false" outlineLevel="0" collapsed="false">
      <c r="A325" s="48" t="s">
        <v>817</v>
      </c>
      <c r="B325" s="48" t="s">
        <v>818</v>
      </c>
      <c r="C325" s="48" t="s">
        <v>168</v>
      </c>
      <c r="D325" s="48" t="s">
        <v>188</v>
      </c>
      <c r="E325" s="48" t="s">
        <v>189</v>
      </c>
      <c r="F325" s="48" t="s">
        <v>222</v>
      </c>
      <c r="G325" s="49" t="n">
        <v>74</v>
      </c>
      <c r="H325" s="50" t="n">
        <f aca="false">MAX(0,IF(AND(Parameter!$B$21="Ja",ISNUMBER(Y325)),Y325,IF(Parameter!$B$20="Jahresanfang 2025 + Export",BO325+BN325,BN325)))</f>
        <v>29</v>
      </c>
      <c r="I325" s="50" t="n">
        <f aca="false">H325*G325</f>
        <v>2146</v>
      </c>
      <c r="J325" s="50" t="n">
        <f aca="false">BQ325*Parameter!$B$18</f>
        <v>13</v>
      </c>
      <c r="K325" s="51" t="n">
        <v>25</v>
      </c>
      <c r="L325" s="52" t="n">
        <v>0.52</v>
      </c>
      <c r="M325" s="50" t="n">
        <v>4</v>
      </c>
      <c r="N325" s="50" t="n">
        <v>50</v>
      </c>
      <c r="O325" s="53" t="n">
        <v>126</v>
      </c>
      <c r="P325" s="48" t="s">
        <v>425</v>
      </c>
      <c r="Q325" s="50" t="n">
        <v>37</v>
      </c>
      <c r="R325" s="53" t="n">
        <f aca="false">IF(BW325=1,0,IFERROR(VLOOKUP(BU325,'Gebinde-Kategorie'!$A$5:$N$45,13,0)+0,0))</f>
        <v>104</v>
      </c>
      <c r="S325" s="54"/>
      <c r="T325" s="55"/>
      <c r="U325" s="55"/>
      <c r="V325" s="55"/>
      <c r="W325" s="48"/>
      <c r="X325" s="50"/>
      <c r="Y325" s="50"/>
      <c r="Z325" s="48" t="n">
        <f aca="false">IF(A325="","",IF(AND(Parameter!$B$21="Ja",ISNUMBER(W325)),W325,IF(BZ325="2+3",IF(ISNUMBER(SEARCH("grosser Artikel",BR325)),2,IFERROR(VLOOKUP(BU325,Parameter!$F$35:$G$64,2,0),2)),IF(OR(BZ325="Nein",BZ325=""),"-",BZ325))))</f>
        <v>3</v>
      </c>
      <c r="AA325" s="55"/>
      <c r="AB325" s="56"/>
      <c r="AC325" s="50" t="n">
        <f aca="false">AT325</f>
        <v>74</v>
      </c>
      <c r="AD325" s="50" t="n">
        <f aca="false">MAX(AT325,H325)</f>
        <v>74</v>
      </c>
      <c r="AE325" s="57"/>
      <c r="AF325" s="50" t="n">
        <f aca="false">IF(LEFT(Cockpit!$C$5,1)="A",H325,IF(CE325=1,CF325,IF(LEFT(Cockpit!$C$5,1)="B",AK325,MAX(AK325,H325))))</f>
        <v>29</v>
      </c>
      <c r="AG325" s="50" t="n">
        <f aca="false">IF(BW325=1,0,ROUNDUP(AF325/BV325,0))</f>
        <v>1</v>
      </c>
      <c r="AH325" s="52" t="n">
        <f aca="false">IF(CL325&gt;0,CL325*MAX(1,AF325/X325),IF(BW325=1,IF(AF325&lt;=0,0,CA325*MAX(1,IF(H325&gt;0,AF325/H325,1))),IF(R325&gt;0,AG325/R325,0))/MAX(0.1,N(Parameter!$M$21)))</f>
        <v>0.00961538461538462</v>
      </c>
      <c r="AI325" s="50" t="n">
        <f aca="false">AH325*BY325</f>
        <v>1.49038461538462</v>
      </c>
      <c r="AJ325" s="50" t="n">
        <f aca="false">AF325*G325</f>
        <v>2146</v>
      </c>
      <c r="AK325" s="50" t="n">
        <f aca="false">ROUNDUP(MAX(J325/IF(CD325&gt;0,CD325,MAX(0.1,N(Cockpit!$C$6))),CG325)/BV325,0)*BV325</f>
        <v>74</v>
      </c>
      <c r="AL325" s="51" t="n">
        <f aca="false">IF(AI325&gt;0,J325/AI325,-1)</f>
        <v>8.72258064516129</v>
      </c>
      <c r="AM325" s="51" t="n">
        <f aca="false">IF(AND(OR(CC325="L1",CC325="L23",CC325="LIFT"),AI325&gt;0),SUMIFS($AI$7:$AI$1843,$CC$7:$CC$1843,CC325,$AL$7:$AL$1843,"&gt;"&amp;AL325)+SUMIFS($AI$7:$AI$1843,$CC$7:$CC$1843,CC325,$AL$7:$AL$1843,AL325,$BT$7:$BT$1843,"&lt;="&amp;BT325),"")</f>
        <v>2950.92994505495</v>
      </c>
      <c r="AN325" s="58" t="n">
        <f aca="false">IF(AM325="",0,MAX(0,MIN(1,(IF(CC325="L1",Parameter!$H$5,IF(CC325="L23",Parameter!$H$6+Parameter!$H$7,Parameter!$H$5+Parameter!$H$6+Parameter!$H$7))-(AM325-AI325))/AI325)))</f>
        <v>1</v>
      </c>
      <c r="AO325" s="50" t="n">
        <f aca="false">IF(LEFT(Cockpit!$I$5,1)="A",H325,IF(CE325=1,CF325,IF(LEFT(Cockpit!$I$5,1)="B",AT325,MAX(AT325,H325))))</f>
        <v>74</v>
      </c>
      <c r="AP325" s="50" t="n">
        <f aca="false">IF(BW325=1,0,ROUNDUP(AO325/BV325,0))</f>
        <v>2</v>
      </c>
      <c r="AQ325" s="52" t="n">
        <f aca="false">IF(CL325&gt;0,CL325*MAX(1,AO325/X325),IF(BW325=1,IF(AO325&lt;=0,0,CA325*MAX(1,IF(H325&gt;0,AO325/H325,1))),IF(R325&gt;0,AP325/R325,0))/MAX(0.1,N(Parameter!$M$21)))</f>
        <v>0.0192307692307692</v>
      </c>
      <c r="AR325" s="50" t="n">
        <f aca="false">AQ325*BY325</f>
        <v>2.98076923076923</v>
      </c>
      <c r="AS325" s="50" t="n">
        <f aca="false">AO325*G325</f>
        <v>5476</v>
      </c>
      <c r="AT325" s="50" t="n">
        <f aca="false">ROUNDUP(MAX(J325/IF(CD325&gt;0,CD325,MAX(0.1,N(Cockpit!$I$6))),CG325)/BV325,0)*BV325</f>
        <v>74</v>
      </c>
      <c r="AU325" s="51" t="n">
        <f aca="false">IF(AR325&gt;0,J325/AR325,-1)</f>
        <v>4.36129032258065</v>
      </c>
      <c r="AV325" s="51" t="n">
        <f aca="false">IF(AND(OR(CC325="L1",CC325="L23",CC325="LIFT"),AR325&gt;0),SUMIFS($AR$7:$AR$1843,$CC$7:$CC$1843,CC325,$AU$7:$AU$1843,"&gt;"&amp;AU325)+SUMIFS($AR$7:$AR$1843,$CC$7:$CC$1843,CC325,$AU$7:$AU$1843,AU325,$BT$7:$BT$1843,"&lt;="&amp;BT325),"")</f>
        <v>5329.16254578755</v>
      </c>
      <c r="AW325" s="58" t="n">
        <f aca="false">IF(AV325="",0,MAX(0,MIN(1,(IF(CC325="L1",Parameter!$H$5,IF(CC325="L23",Parameter!$H$6+Parameter!$H$7,Parameter!$H$5+Parameter!$H$6+Parameter!$H$7))-(AV325-AR325))/AR325)))</f>
        <v>1</v>
      </c>
      <c r="AX325" s="50" t="n">
        <f aca="false">IF(LEFT(Cockpit!$O$5,1)="A",H325,IF(CE325=1,CF325,IF(LEFT(Cockpit!$O$5,1)="B",BC325,MAX(BC325,H325))))</f>
        <v>74</v>
      </c>
      <c r="AY325" s="50" t="n">
        <f aca="false">IF(BW325=1,0,ROUNDUP(AX325/BV325,0))</f>
        <v>2</v>
      </c>
      <c r="AZ325" s="52" t="n">
        <f aca="false">IF(CL325&gt;0,CL325*MAX(1,AX325/X325),IF(BW325=1,IF(AX325&lt;=0,0,CA325*MAX(1,IF(H325&gt;0,AX325/H325,1))),IF(R325&gt;0,AY325/R325,0))/MAX(0.1,N(Parameter!$M$21)))</f>
        <v>0.0192307692307692</v>
      </c>
      <c r="BA325" s="50" t="n">
        <f aca="false">AZ325*BY325</f>
        <v>2.98076923076923</v>
      </c>
      <c r="BB325" s="50" t="n">
        <f aca="false">AX325*G325</f>
        <v>5476</v>
      </c>
      <c r="BC325" s="50" t="n">
        <f aca="false">ROUNDUP(MAX(J325/IF(CD325&gt;0,CD325,MAX(0.1,N(Cockpit!$O$6))),CG325)/BV325,0)*BV325</f>
        <v>74</v>
      </c>
      <c r="BD325" s="51" t="n">
        <f aca="false">IF(BA325&gt;0,J325/BA325,-1)</f>
        <v>4.36129032258065</v>
      </c>
      <c r="BE325" s="51" t="n">
        <f aca="false">IF(AND(OR(CC325="L1",CC325="L23",CC325="LIFT"),BA325&gt;0),SUMIFS($BA$7:$BA$1843,$CC$7:$CC$1843,CC325,$BD$7:$BD$1843,"&gt;"&amp;BD325)+SUMIFS($BA$7:$BA$1843,$CC$7:$CC$1843,CC325,$BD$7:$BD$1843,BD325,$BT$7:$BT$1843,"&lt;="&amp;BT325),"")</f>
        <v>4999.62728937729</v>
      </c>
      <c r="BF325" s="58" t="n">
        <f aca="false">IF(BE325="",0,MAX(0,MIN(1,(IF(CC325="L1",Parameter!$H$5,IF(CC325="L23",Parameter!$H$6+Parameter!$H$7,Parameter!$H$5+Parameter!$H$6+Parameter!$H$7))-(BE325-BA325))/BA325)))</f>
        <v>1</v>
      </c>
      <c r="BG325" s="48" t="str">
        <f aca="false">IF(AI325&lt;=0,"",IF(CC325="Aussen","Aussenlager",IF(CC325="-","Nicht im Lift",IF(AN325&gt;=1,"Lift",IF(AN325&lt;=0,"Aussenlager","teilweise")))))</f>
        <v>Lift</v>
      </c>
      <c r="BH325" s="48" t="str">
        <f aca="false">IF(AR325&lt;=0,"",IF(CC325="Aussen","Aussenlager",IF(CC325="-","Nicht im Lift",IF(AW325&gt;=1,"Lift",IF(AW325&lt;=0,"Aussenlager","teilweise")))))</f>
        <v>Lift</v>
      </c>
      <c r="BI325" s="48" t="str">
        <f aca="false">IF(BA325&lt;=0,"",IF(CC325="Aussen","Aussenlager",IF(CC325="-","Nicht im Lift",IF(BF325&gt;=1,"Lift",IF(BF325&lt;=0,"Aussenlager","teilweise")))))</f>
        <v>Lift</v>
      </c>
      <c r="BJ325" s="48" t="str">
        <f aca="false">IF(A325="","",IF(BS325=1,"Neu; ","")&amp;IF(AND(BS325=0,BN325&lt;0),"negativer Bestand (Export "&amp;BN325&amp;"); ","")&amp;IF(J325&lt;=0,"Kein Verbrauch; ","")&amp;IF(CL325&gt;0,"Lift "&amp;W325&amp;" lt. Liftbericht (Fach "&amp;X325&amp;" Stk); ",IF(BX325=1,"Gebinde geschätzt ("&amp;T325&amp;"); ",IF(BW325=1,"Lose – Tablare geschätzt; ","")))&amp;IF(H325&gt;AT325,"Überbestand "&amp;ROUND(H325-AT325,0)&amp;" Stk / CHF "&amp;ROUND((H325-AT325)*G325,0)&amp;"; ","")&amp;IF(AND(CE325=1,CF325&lt;CG325),"MAX &lt; MB+LG; ","")&amp;IF(AND(CK325&gt;0,CJ325*10&gt;CK325),"zu hoch für Tablar; ","")&amp;IF(AND(BS325=0,OR(CE325=1,AA325&lt;&gt;"",U325&lt;&gt;"",V325&lt;&gt;"",AB325&lt;&gt;"")),"manuell übersteuert; ","")&amp;IF(AND(BW325=0,R325=0),"Gebinde unbekannt / Stellmass fehlt; ","")&amp;IF(AND(BW325=0,N(V325)&lt;=0,N(Q325)&lt;=0),"Menge pro Gebinde fehlt (Ist = 1 Gebinde); ","")&amp;BR325)</f>
        <v/>
      </c>
      <c r="BK325" s="48"/>
      <c r="BL325" s="48"/>
      <c r="BM325" s="55"/>
      <c r="BN325" s="50" t="n">
        <v>8</v>
      </c>
      <c r="BO325" s="50" t="n">
        <v>21</v>
      </c>
      <c r="BP325" s="49" t="n">
        <v>228.28</v>
      </c>
      <c r="BQ325" s="50" t="n">
        <v>13</v>
      </c>
      <c r="BR325" s="48"/>
      <c r="BS325" s="53" t="n">
        <v>0</v>
      </c>
      <c r="BT325" s="53" t="n">
        <v>325</v>
      </c>
      <c r="BU325" s="48" t="str">
        <f aca="false">IF(U325&lt;&gt;"",UPPER(TRIM(U325)),IF(BX325=1,UPPER(VLOOKUP(T325,Parameter!$I$27:$K$29,2,0)),IF(P325="","LOSE",P325)))</f>
        <v>S32</v>
      </c>
      <c r="BV325" s="50" t="n">
        <f aca="false">IF(BU325="LOSE",1,IF(N(V325)&gt;0,V325,IF(BX325=1,MAX(1,N(VLOOKUP(T325,Parameter!$I$27:$K$29,3,0)),H325,N(N325)),IF(N(Q325)&gt;0,Q325,MAX(1,H325)))))</f>
        <v>37</v>
      </c>
      <c r="BW325" s="53" t="n">
        <f aca="false">IF(BU325="LOSE",1,0)</f>
        <v>0</v>
      </c>
      <c r="BX325" s="53" t="n">
        <f aca="false">IF(AND(U325="",OR(P325="",P325="LOSE"),T325&lt;&gt;"",N(S325)&lt;=0,ISNUMBER(MATCH(T325,Parameter!$I$27:$I$29,0))),1,0)</f>
        <v>0</v>
      </c>
      <c r="BY325" s="53" t="n">
        <f aca="false">IF(CL325&gt;0,INDEX(Parameter!$H$5:$H$7,W325)/INDEX(Parameter!$E$5:$E$7,W325),IF(AND(BW325=0,N(IFERROR(VLOOKUP(BU325,'Gebinde-Kategorie'!$A$5:$N$45,14,0),0))&gt;0),VLOOKUP(BU325,'Gebinde-Kategorie'!$A$5:$N$45,14,0)*10+Parameter!$M$23,Parameter!$M$24))</f>
        <v>155</v>
      </c>
      <c r="BZ325" s="48" t="str">
        <f aca="false">IF(AND(Parameter!$B$19="Ja",E325&lt;&gt;"",ISNUMBER(MATCH(E325,Parameter!$I$35:$I$52,0))),VLOOKUP(E325,Parameter!$I$35:$J$52,2,0),IFERROR(VLOOKUP(D325,Parameter!$A$35:$C$64,2,0),"Nein"))</f>
        <v>2+3</v>
      </c>
      <c r="CA325" s="52" t="n">
        <f aca="false">IF(BW325=0,0,IF(N(S325)&gt;0,S325,IFERROR(VLOOKUP(D325,Parameter!$A$35:$C$64,3,0)+0,0)))</f>
        <v>0</v>
      </c>
      <c r="CB325" s="48" t="n">
        <f aca="false">IF(AA325&lt;&gt;"",AA325,Z325)</f>
        <v>3</v>
      </c>
      <c r="CC325" s="48" t="str">
        <f aca="false">IF(OR(CB325=1,CB325=2,CB325=3),IF(Parameter!$E$27="Ja","LIFT",IF(CB325=1,"L1","L23")),IF(CB325="Aussen","Aussen","-"))</f>
        <v>LIFT</v>
      </c>
      <c r="CD325" s="59" t="n">
        <f aca="false">IF(N(AB325)&gt;0,AB325,0)</f>
        <v>0</v>
      </c>
      <c r="CE325" s="53" t="n">
        <f aca="false">IF(ISNUMBER(AE325),1,0)</f>
        <v>0</v>
      </c>
      <c r="CF325" s="50" t="n">
        <f aca="false">N(AE325)</f>
        <v>0</v>
      </c>
      <c r="CG325" s="50" t="n">
        <f aca="false">N(M325)+N(N325)</f>
        <v>54</v>
      </c>
      <c r="CH325" s="50" t="n">
        <f aca="false">ROUNDUP(H325/BV325,0)</f>
        <v>1</v>
      </c>
      <c r="CI325" s="50" t="n">
        <f aca="false">ROUNDUP(CF325/BV325,0)</f>
        <v>0</v>
      </c>
      <c r="CJ325" s="53" t="n">
        <f aca="false">IF(BW325=1,0,IFERROR(VLOOKUP(BU325,'Gebinde-Kategorie'!$A$5:$N$45,5,0)+0,0))</f>
        <v>8</v>
      </c>
      <c r="CK325" s="53" t="n">
        <f aca="false">IFERROR(IF(OR(CB325=1,CB325=2,CB325=3),N(INDEX(Parameter!$I$5:$I$7,CB325)),0),0)</f>
        <v>0</v>
      </c>
      <c r="CL325" s="52" t="n">
        <f aca="false">IF(AND(Parameter!$B$21="Ja",ISNUMBER(W325),N(X325)&gt;0),IFERROR(N(INDEX(Parameter!$L$5:$L$7,W325))*INDEX(Parameter!$E$5:$E$7,W325)*X325/SUMIFS($X$7:$X$1843,$W$7:$W$1843,W325),0),0)</f>
        <v>0</v>
      </c>
    </row>
    <row r="326" customFormat="false" ht="15" hidden="false" customHeight="false" outlineLevel="0" collapsed="false">
      <c r="A326" s="48" t="s">
        <v>819</v>
      </c>
      <c r="B326" s="48" t="s">
        <v>820</v>
      </c>
      <c r="C326" s="48" t="s">
        <v>168</v>
      </c>
      <c r="D326" s="48" t="s">
        <v>188</v>
      </c>
      <c r="E326" s="48" t="s">
        <v>189</v>
      </c>
      <c r="F326" s="48" t="s">
        <v>222</v>
      </c>
      <c r="G326" s="49" t="n">
        <v>34.66</v>
      </c>
      <c r="H326" s="50" t="n">
        <f aca="false">MAX(0,IF(AND(Parameter!$B$21="Ja",ISNUMBER(Y326)),Y326,IF(Parameter!$B$20="Jahresanfang 2025 + Export",BO326+BN326,BN326)))</f>
        <v>33</v>
      </c>
      <c r="I326" s="50" t="n">
        <f aca="false">H326*G326</f>
        <v>1143.78</v>
      </c>
      <c r="J326" s="50" t="n">
        <f aca="false">BQ326*Parameter!$B$18</f>
        <v>37</v>
      </c>
      <c r="K326" s="51" t="n">
        <v>23.5</v>
      </c>
      <c r="L326" s="52" t="n">
        <v>1.57446808510638</v>
      </c>
      <c r="M326" s="50" t="n">
        <v>4</v>
      </c>
      <c r="N326" s="50" t="n">
        <v>35</v>
      </c>
      <c r="O326" s="53" t="n">
        <v>42</v>
      </c>
      <c r="P326" s="48" t="s">
        <v>425</v>
      </c>
      <c r="Q326" s="50" t="n">
        <v>46</v>
      </c>
      <c r="R326" s="53" t="n">
        <f aca="false">IF(BW326=1,0,IFERROR(VLOOKUP(BU326,'Gebinde-Kategorie'!$A$5:$N$45,13,0)+0,0))</f>
        <v>104</v>
      </c>
      <c r="S326" s="54"/>
      <c r="T326" s="55"/>
      <c r="U326" s="55"/>
      <c r="V326" s="55"/>
      <c r="W326" s="48"/>
      <c r="X326" s="50"/>
      <c r="Y326" s="50"/>
      <c r="Z326" s="48" t="n">
        <f aca="false">IF(A326="","",IF(AND(Parameter!$B$21="Ja",ISNUMBER(W326)),W326,IF(BZ326="2+3",IF(ISNUMBER(SEARCH("grosser Artikel",BR326)),2,IFERROR(VLOOKUP(BU326,Parameter!$F$35:$G$64,2,0),2)),IF(OR(BZ326="Nein",BZ326=""),"-",BZ326))))</f>
        <v>3</v>
      </c>
      <c r="AA326" s="55"/>
      <c r="AB326" s="56"/>
      <c r="AC326" s="50" t="n">
        <f aca="false">AT326</f>
        <v>46</v>
      </c>
      <c r="AD326" s="50" t="n">
        <f aca="false">MAX(AT326,H326)</f>
        <v>46</v>
      </c>
      <c r="AE326" s="57"/>
      <c r="AF326" s="50" t="n">
        <f aca="false">IF(LEFT(Cockpit!$C$5,1)="A",H326,IF(CE326=1,CF326,IF(LEFT(Cockpit!$C$5,1)="B",AK326,MAX(AK326,H326))))</f>
        <v>33</v>
      </c>
      <c r="AG326" s="50" t="n">
        <f aca="false">IF(BW326=1,0,ROUNDUP(AF326/BV326,0))</f>
        <v>1</v>
      </c>
      <c r="AH326" s="52" t="n">
        <f aca="false">IF(CL326&gt;0,CL326*MAX(1,AF326/X326),IF(BW326=1,IF(AF326&lt;=0,0,CA326*MAX(1,IF(H326&gt;0,AF326/H326,1))),IF(R326&gt;0,AG326/R326,0))/MAX(0.1,N(Parameter!$M$21)))</f>
        <v>0.00961538461538462</v>
      </c>
      <c r="AI326" s="50" t="n">
        <f aca="false">AH326*BY326</f>
        <v>1.49038461538462</v>
      </c>
      <c r="AJ326" s="50" t="n">
        <f aca="false">AF326*G326</f>
        <v>1143.78</v>
      </c>
      <c r="AK326" s="50" t="n">
        <f aca="false">ROUNDUP(MAX(J326/IF(CD326&gt;0,CD326,MAX(0.1,N(Cockpit!$C$6))),CG326)/BV326,0)*BV326</f>
        <v>46</v>
      </c>
      <c r="AL326" s="51" t="n">
        <f aca="false">IF(AI326&gt;0,J326/AI326,-1)</f>
        <v>24.8258064516129</v>
      </c>
      <c r="AM326" s="51" t="n">
        <f aca="false">IF(AND(OR(CC326="L1",CC326="L23",CC326="LIFT"),AI326&gt;0),SUMIFS($AI$7:$AI$1843,$CC$7:$CC$1843,CC326,$AL$7:$AL$1843,"&gt;"&amp;AL326)+SUMIFS($AI$7:$AI$1843,$CC$7:$CC$1843,CC326,$AL$7:$AL$1843,AL326,$BT$7:$BT$1843,"&lt;="&amp;BT326),"")</f>
        <v>1544.11767399267</v>
      </c>
      <c r="AN326" s="58" t="n">
        <f aca="false">IF(AM326="",0,MAX(0,MIN(1,(IF(CC326="L1",Parameter!$H$5,IF(CC326="L23",Parameter!$H$6+Parameter!$H$7,Parameter!$H$5+Parameter!$H$6+Parameter!$H$7))-(AM326-AI326))/AI326)))</f>
        <v>1</v>
      </c>
      <c r="AO326" s="50" t="n">
        <f aca="false">IF(LEFT(Cockpit!$I$5,1)="A",H326,IF(CE326=1,CF326,IF(LEFT(Cockpit!$I$5,1)="B",AT326,MAX(AT326,H326))))</f>
        <v>46</v>
      </c>
      <c r="AP326" s="50" t="n">
        <f aca="false">IF(BW326=1,0,ROUNDUP(AO326/BV326,0))</f>
        <v>1</v>
      </c>
      <c r="AQ326" s="52" t="n">
        <f aca="false">IF(CL326&gt;0,CL326*MAX(1,AO326/X326),IF(BW326=1,IF(AO326&lt;=0,0,CA326*MAX(1,IF(H326&gt;0,AO326/H326,1))),IF(R326&gt;0,AP326/R326,0))/MAX(0.1,N(Parameter!$M$21)))</f>
        <v>0.00961538461538462</v>
      </c>
      <c r="AR326" s="50" t="n">
        <f aca="false">AQ326*BY326</f>
        <v>1.49038461538462</v>
      </c>
      <c r="AS326" s="50" t="n">
        <f aca="false">AO326*G326</f>
        <v>1594.36</v>
      </c>
      <c r="AT326" s="50" t="n">
        <f aca="false">ROUNDUP(MAX(J326/IF(CD326&gt;0,CD326,MAX(0.1,N(Cockpit!$I$6))),CG326)/BV326,0)*BV326</f>
        <v>46</v>
      </c>
      <c r="AU326" s="51" t="n">
        <f aca="false">IF(AR326&gt;0,J326/AR326,-1)</f>
        <v>24.8258064516129</v>
      </c>
      <c r="AV326" s="51" t="n">
        <f aca="false">IF(AND(OR(CC326="L1",CC326="L23",CC326="LIFT"),AR326&gt;0),SUMIFS($AR$7:$AR$1843,$CC$7:$CC$1843,CC326,$AU$7:$AU$1843,"&gt;"&amp;AU326)+SUMIFS($AR$7:$AR$1843,$CC$7:$CC$1843,CC326,$AU$7:$AU$1843,AU326,$BT$7:$BT$1843,"&lt;="&amp;BT326),"")</f>
        <v>2159.61355311355</v>
      </c>
      <c r="AW326" s="58" t="n">
        <f aca="false">IF(AV326="",0,MAX(0,MIN(1,(IF(CC326="L1",Parameter!$H$5,IF(CC326="L23",Parameter!$H$6+Parameter!$H$7,Parameter!$H$5+Parameter!$H$6+Parameter!$H$7))-(AV326-AR326))/AR326)))</f>
        <v>1</v>
      </c>
      <c r="AX326" s="50" t="n">
        <f aca="false">IF(LEFT(Cockpit!$O$5,1)="A",H326,IF(CE326=1,CF326,IF(LEFT(Cockpit!$O$5,1)="B",BC326,MAX(BC326,H326))))</f>
        <v>46</v>
      </c>
      <c r="AY326" s="50" t="n">
        <f aca="false">IF(BW326=1,0,ROUNDUP(AX326/BV326,0))</f>
        <v>1</v>
      </c>
      <c r="AZ326" s="52" t="n">
        <f aca="false">IF(CL326&gt;0,CL326*MAX(1,AX326/X326),IF(BW326=1,IF(AX326&lt;=0,0,CA326*MAX(1,IF(H326&gt;0,AX326/H326,1))),IF(R326&gt;0,AY326/R326,0))/MAX(0.1,N(Parameter!$M$21)))</f>
        <v>0.00961538461538462</v>
      </c>
      <c r="BA326" s="50" t="n">
        <f aca="false">AZ326*BY326</f>
        <v>1.49038461538462</v>
      </c>
      <c r="BB326" s="50" t="n">
        <f aca="false">AX326*G326</f>
        <v>1594.36</v>
      </c>
      <c r="BC326" s="50" t="n">
        <f aca="false">ROUNDUP(MAX(J326/IF(CD326&gt;0,CD326,MAX(0.1,N(Cockpit!$O$6))),CG326)/BV326,0)*BV326</f>
        <v>46</v>
      </c>
      <c r="BD326" s="51" t="n">
        <f aca="false">IF(BA326&gt;0,J326/BA326,-1)</f>
        <v>24.8258064516129</v>
      </c>
      <c r="BE326" s="51" t="n">
        <f aca="false">IF(AND(OR(CC326="L1",CC326="L23",CC326="LIFT"),BA326&gt;0),SUMIFS($BA$7:$BA$1843,$CC$7:$CC$1843,CC326,$BD$7:$BD$1843,"&gt;"&amp;BD326)+SUMIFS($BA$7:$BA$1843,$CC$7:$CC$1843,CC326,$BD$7:$BD$1843,BD326,$BT$7:$BT$1843,"&lt;="&amp;BT326),"")</f>
        <v>2245.2065018315</v>
      </c>
      <c r="BF326" s="58" t="n">
        <f aca="false">IF(BE326="",0,MAX(0,MIN(1,(IF(CC326="L1",Parameter!$H$5,IF(CC326="L23",Parameter!$H$6+Parameter!$H$7,Parameter!$H$5+Parameter!$H$6+Parameter!$H$7))-(BE326-BA326))/BA326)))</f>
        <v>1</v>
      </c>
      <c r="BG326" s="48" t="str">
        <f aca="false">IF(AI326&lt;=0,"",IF(CC326="Aussen","Aussenlager",IF(CC326="-","Nicht im Lift",IF(AN326&gt;=1,"Lift",IF(AN326&lt;=0,"Aussenlager","teilweise")))))</f>
        <v>Lift</v>
      </c>
      <c r="BH326" s="48" t="str">
        <f aca="false">IF(AR326&lt;=0,"",IF(CC326="Aussen","Aussenlager",IF(CC326="-","Nicht im Lift",IF(AW326&gt;=1,"Lift",IF(AW326&lt;=0,"Aussenlager","teilweise")))))</f>
        <v>Lift</v>
      </c>
      <c r="BI326" s="48" t="str">
        <f aca="false">IF(BA326&lt;=0,"",IF(CC326="Aussen","Aussenlager",IF(CC326="-","Nicht im Lift",IF(BF326&gt;=1,"Lift",IF(BF326&lt;=0,"Aussenlager","teilweise")))))</f>
        <v>Lift</v>
      </c>
      <c r="BJ326" s="48" t="str">
        <f aca="false">IF(A326="","",IF(BS326=1,"Neu; ","")&amp;IF(AND(BS326=0,BN326&lt;0),"negativer Bestand (Export "&amp;BN326&amp;"); ","")&amp;IF(J326&lt;=0,"Kein Verbrauch; ","")&amp;IF(CL326&gt;0,"Lift "&amp;W326&amp;" lt. Liftbericht (Fach "&amp;X326&amp;" Stk); ",IF(BX326=1,"Gebinde geschätzt ("&amp;T326&amp;"); ",IF(BW326=1,"Lose – Tablare geschätzt; ","")))&amp;IF(H326&gt;AT326,"Überbestand "&amp;ROUND(H326-AT326,0)&amp;" Stk / CHF "&amp;ROUND((H326-AT326)*G326,0)&amp;"; ","")&amp;IF(AND(CE326=1,CF326&lt;CG326),"MAX &lt; MB+LG; ","")&amp;IF(AND(CK326&gt;0,CJ326*10&gt;CK326),"zu hoch für Tablar; ","")&amp;IF(AND(BS326=0,OR(CE326=1,AA326&lt;&gt;"",U326&lt;&gt;"",V326&lt;&gt;"",AB326&lt;&gt;"")),"manuell übersteuert; ","")&amp;IF(AND(BW326=0,R326=0),"Gebinde unbekannt / Stellmass fehlt; ","")&amp;IF(AND(BW326=0,N(V326)&lt;=0,N(Q326)&lt;=0),"Menge pro Gebinde fehlt (Ist = 1 Gebinde); ","")&amp;BR326)</f>
        <v/>
      </c>
      <c r="BK326" s="48"/>
      <c r="BL326" s="48"/>
      <c r="BM326" s="55"/>
      <c r="BN326" s="50" t="n">
        <v>11</v>
      </c>
      <c r="BO326" s="50" t="n">
        <v>22</v>
      </c>
      <c r="BP326" s="49" t="n">
        <v>227.04</v>
      </c>
      <c r="BQ326" s="50" t="n">
        <v>37</v>
      </c>
      <c r="BR326" s="48"/>
      <c r="BS326" s="53" t="n">
        <v>0</v>
      </c>
      <c r="BT326" s="53" t="n">
        <v>326</v>
      </c>
      <c r="BU326" s="48" t="str">
        <f aca="false">IF(U326&lt;&gt;"",UPPER(TRIM(U326)),IF(BX326=1,UPPER(VLOOKUP(T326,Parameter!$I$27:$K$29,2,0)),IF(P326="","LOSE",P326)))</f>
        <v>S32</v>
      </c>
      <c r="BV326" s="50" t="n">
        <f aca="false">IF(BU326="LOSE",1,IF(N(V326)&gt;0,V326,IF(BX326=1,MAX(1,N(VLOOKUP(T326,Parameter!$I$27:$K$29,3,0)),H326,N(N326)),IF(N(Q326)&gt;0,Q326,MAX(1,H326)))))</f>
        <v>46</v>
      </c>
      <c r="BW326" s="53" t="n">
        <f aca="false">IF(BU326="LOSE",1,0)</f>
        <v>0</v>
      </c>
      <c r="BX326" s="53" t="n">
        <f aca="false">IF(AND(U326="",OR(P326="",P326="LOSE"),T326&lt;&gt;"",N(S326)&lt;=0,ISNUMBER(MATCH(T326,Parameter!$I$27:$I$29,0))),1,0)</f>
        <v>0</v>
      </c>
      <c r="BY326" s="53" t="n">
        <f aca="false">IF(CL326&gt;0,INDEX(Parameter!$H$5:$H$7,W326)/INDEX(Parameter!$E$5:$E$7,W326),IF(AND(BW326=0,N(IFERROR(VLOOKUP(BU326,'Gebinde-Kategorie'!$A$5:$N$45,14,0),0))&gt;0),VLOOKUP(BU326,'Gebinde-Kategorie'!$A$5:$N$45,14,0)*10+Parameter!$M$23,Parameter!$M$24))</f>
        <v>155</v>
      </c>
      <c r="BZ326" s="48" t="str">
        <f aca="false">IF(AND(Parameter!$B$19="Ja",E326&lt;&gt;"",ISNUMBER(MATCH(E326,Parameter!$I$35:$I$52,0))),VLOOKUP(E326,Parameter!$I$35:$J$52,2,0),IFERROR(VLOOKUP(D326,Parameter!$A$35:$C$64,2,0),"Nein"))</f>
        <v>2+3</v>
      </c>
      <c r="CA326" s="52" t="n">
        <f aca="false">IF(BW326=0,0,IF(N(S326)&gt;0,S326,IFERROR(VLOOKUP(D326,Parameter!$A$35:$C$64,3,0)+0,0)))</f>
        <v>0</v>
      </c>
      <c r="CB326" s="48" t="n">
        <f aca="false">IF(AA326&lt;&gt;"",AA326,Z326)</f>
        <v>3</v>
      </c>
      <c r="CC326" s="48" t="str">
        <f aca="false">IF(OR(CB326=1,CB326=2,CB326=3),IF(Parameter!$E$27="Ja","LIFT",IF(CB326=1,"L1","L23")),IF(CB326="Aussen","Aussen","-"))</f>
        <v>LIFT</v>
      </c>
      <c r="CD326" s="59" t="n">
        <f aca="false">IF(N(AB326)&gt;0,AB326,0)</f>
        <v>0</v>
      </c>
      <c r="CE326" s="53" t="n">
        <f aca="false">IF(ISNUMBER(AE326),1,0)</f>
        <v>0</v>
      </c>
      <c r="CF326" s="50" t="n">
        <f aca="false">N(AE326)</f>
        <v>0</v>
      </c>
      <c r="CG326" s="50" t="n">
        <f aca="false">N(M326)+N(N326)</f>
        <v>39</v>
      </c>
      <c r="CH326" s="50" t="n">
        <f aca="false">ROUNDUP(H326/BV326,0)</f>
        <v>1</v>
      </c>
      <c r="CI326" s="50" t="n">
        <f aca="false">ROUNDUP(CF326/BV326,0)</f>
        <v>0</v>
      </c>
      <c r="CJ326" s="53" t="n">
        <f aca="false">IF(BW326=1,0,IFERROR(VLOOKUP(BU326,'Gebinde-Kategorie'!$A$5:$N$45,5,0)+0,0))</f>
        <v>8</v>
      </c>
      <c r="CK326" s="53" t="n">
        <f aca="false">IFERROR(IF(OR(CB326=1,CB326=2,CB326=3),N(INDEX(Parameter!$I$5:$I$7,CB326)),0),0)</f>
        <v>0</v>
      </c>
      <c r="CL326" s="52" t="n">
        <f aca="false">IF(AND(Parameter!$B$21="Ja",ISNUMBER(W326),N(X326)&gt;0),IFERROR(N(INDEX(Parameter!$L$5:$L$7,W326))*INDEX(Parameter!$E$5:$E$7,W326)*X326/SUMIFS($X$7:$X$1843,$W$7:$W$1843,W326),0),0)</f>
        <v>0</v>
      </c>
    </row>
    <row r="327" customFormat="false" ht="15" hidden="false" customHeight="false" outlineLevel="0" collapsed="false">
      <c r="A327" s="48" t="s">
        <v>821</v>
      </c>
      <c r="B327" s="48" t="s">
        <v>822</v>
      </c>
      <c r="C327" s="48" t="s">
        <v>168</v>
      </c>
      <c r="D327" s="48" t="s">
        <v>188</v>
      </c>
      <c r="E327" s="48" t="s">
        <v>189</v>
      </c>
      <c r="F327" s="48" t="s">
        <v>222</v>
      </c>
      <c r="G327" s="49" t="n">
        <v>1.04</v>
      </c>
      <c r="H327" s="50" t="n">
        <f aca="false">MAX(0,IF(AND(Parameter!$B$21="Ja",ISNUMBER(Y327)),Y327,IF(Parameter!$B$20="Jahresanfang 2025 + Export",BO327+BN327,BN327)))</f>
        <v>219</v>
      </c>
      <c r="I327" s="50" t="n">
        <f aca="false">H327*G327</f>
        <v>227.76</v>
      </c>
      <c r="J327" s="50" t="n">
        <f aca="false">BQ327*Parameter!$B$18</f>
        <v>100</v>
      </c>
      <c r="K327" s="51" t="n">
        <v>41.5</v>
      </c>
      <c r="L327" s="52" t="n">
        <v>2.40963855421687</v>
      </c>
      <c r="M327" s="50" t="n">
        <v>25</v>
      </c>
      <c r="N327" s="50" t="n">
        <v>200</v>
      </c>
      <c r="O327" s="53" t="n">
        <v>35</v>
      </c>
      <c r="P327" s="48" t="s">
        <v>430</v>
      </c>
      <c r="Q327" s="50" t="n">
        <v>200</v>
      </c>
      <c r="R327" s="53" t="n">
        <f aca="false">IF(BW327=1,0,IFERROR(VLOOKUP(BU327,'Gebinde-Kategorie'!$A$5:$N$45,13,0)+0,0))</f>
        <v>140</v>
      </c>
      <c r="S327" s="54"/>
      <c r="T327" s="55"/>
      <c r="U327" s="55"/>
      <c r="V327" s="55"/>
      <c r="W327" s="48"/>
      <c r="X327" s="50"/>
      <c r="Y327" s="50"/>
      <c r="Z327" s="48" t="n">
        <f aca="false">IF(A327="","",IF(AND(Parameter!$B$21="Ja",ISNUMBER(W327)),W327,IF(BZ327="2+3",IF(ISNUMBER(SEARCH("grosser Artikel",BR327)),2,IFERROR(VLOOKUP(BU327,Parameter!$F$35:$G$64,2,0),2)),IF(OR(BZ327="Nein",BZ327=""),"-",BZ327))))</f>
        <v>3</v>
      </c>
      <c r="AA327" s="55"/>
      <c r="AB327" s="56"/>
      <c r="AC327" s="50" t="n">
        <f aca="false">AT327</f>
        <v>400</v>
      </c>
      <c r="AD327" s="50" t="n">
        <f aca="false">MAX(AT327,H327)</f>
        <v>400</v>
      </c>
      <c r="AE327" s="57"/>
      <c r="AF327" s="50" t="n">
        <f aca="false">IF(LEFT(Cockpit!$C$5,1)="A",H327,IF(CE327=1,CF327,IF(LEFT(Cockpit!$C$5,1)="B",AK327,MAX(AK327,H327))))</f>
        <v>219</v>
      </c>
      <c r="AG327" s="50" t="n">
        <f aca="false">IF(BW327=1,0,ROUNDUP(AF327/BV327,0))</f>
        <v>2</v>
      </c>
      <c r="AH327" s="52" t="n">
        <f aca="false">IF(CL327&gt;0,CL327*MAX(1,AF327/X327),IF(BW327=1,IF(AF327&lt;=0,0,CA327*MAX(1,IF(H327&gt;0,AF327/H327,1))),IF(R327&gt;0,AG327/R327,0))/MAX(0.1,N(Parameter!$M$21)))</f>
        <v>0.0142857142857143</v>
      </c>
      <c r="AI327" s="50" t="n">
        <f aca="false">AH327*BY327</f>
        <v>2.21428571428571</v>
      </c>
      <c r="AJ327" s="50" t="n">
        <f aca="false">AF327*G327</f>
        <v>227.76</v>
      </c>
      <c r="AK327" s="50" t="n">
        <f aca="false">ROUNDUP(MAX(J327/IF(CD327&gt;0,CD327,MAX(0.1,N(Cockpit!$C$6))),CG327)/BV327,0)*BV327</f>
        <v>400</v>
      </c>
      <c r="AL327" s="51" t="n">
        <f aca="false">IF(AI327&gt;0,J327/AI327,-1)</f>
        <v>45.1612903225806</v>
      </c>
      <c r="AM327" s="51" t="n">
        <f aca="false">IF(AND(OR(CC327="L1",CC327="L23",CC327="LIFT"),AI327&gt;0),SUMIFS($AI$7:$AI$1843,$CC$7:$CC$1843,CC327,$AL$7:$AL$1843,"&gt;"&amp;AL327)+SUMIFS($AI$7:$AI$1843,$CC$7:$CC$1843,CC327,$AL$7:$AL$1843,AL327,$BT$7:$BT$1843,"&lt;="&amp;BT327),"")</f>
        <v>1166.06181318681</v>
      </c>
      <c r="AN327" s="58" t="n">
        <f aca="false">IF(AM327="",0,MAX(0,MIN(1,(IF(CC327="L1",Parameter!$H$5,IF(CC327="L23",Parameter!$H$6+Parameter!$H$7,Parameter!$H$5+Parameter!$H$6+Parameter!$H$7))-(AM327-AI327))/AI327)))</f>
        <v>1</v>
      </c>
      <c r="AO327" s="50" t="n">
        <f aca="false">IF(LEFT(Cockpit!$I$5,1)="A",H327,IF(CE327=1,CF327,IF(LEFT(Cockpit!$I$5,1)="B",AT327,MAX(AT327,H327))))</f>
        <v>400</v>
      </c>
      <c r="AP327" s="50" t="n">
        <f aca="false">IF(BW327=1,0,ROUNDUP(AO327/BV327,0))</f>
        <v>2</v>
      </c>
      <c r="AQ327" s="52" t="n">
        <f aca="false">IF(CL327&gt;0,CL327*MAX(1,AO327/X327),IF(BW327=1,IF(AO327&lt;=0,0,CA327*MAX(1,IF(H327&gt;0,AO327/H327,1))),IF(R327&gt;0,AP327/R327,0))/MAX(0.1,N(Parameter!$M$21)))</f>
        <v>0.0142857142857143</v>
      </c>
      <c r="AR327" s="50" t="n">
        <f aca="false">AQ327*BY327</f>
        <v>2.21428571428571</v>
      </c>
      <c r="AS327" s="50" t="n">
        <f aca="false">AO327*G327</f>
        <v>416</v>
      </c>
      <c r="AT327" s="50" t="n">
        <f aca="false">ROUNDUP(MAX(J327/IF(CD327&gt;0,CD327,MAX(0.1,N(Cockpit!$I$6))),CG327)/BV327,0)*BV327</f>
        <v>400</v>
      </c>
      <c r="AU327" s="51" t="n">
        <f aca="false">IF(AR327&gt;0,J327/AR327,-1)</f>
        <v>45.1612903225806</v>
      </c>
      <c r="AV327" s="51" t="n">
        <f aca="false">IF(AND(OR(CC327="L1",CC327="L23",CC327="LIFT"),AR327&gt;0),SUMIFS($AR$7:$AR$1843,$CC$7:$CC$1843,CC327,$AU$7:$AU$1843,"&gt;"&amp;AU327)+SUMIFS($AR$7:$AR$1843,$CC$7:$CC$1843,CC327,$AU$7:$AU$1843,AU327,$BT$7:$BT$1843,"&lt;="&amp;BT327),"")</f>
        <v>1634.28663003663</v>
      </c>
      <c r="AW327" s="58" t="n">
        <f aca="false">IF(AV327="",0,MAX(0,MIN(1,(IF(CC327="L1",Parameter!$H$5,IF(CC327="L23",Parameter!$H$6+Parameter!$H$7,Parameter!$H$5+Parameter!$H$6+Parameter!$H$7))-(AV327-AR327))/AR327)))</f>
        <v>1</v>
      </c>
      <c r="AX327" s="50" t="n">
        <f aca="false">IF(LEFT(Cockpit!$O$5,1)="A",H327,IF(CE327=1,CF327,IF(LEFT(Cockpit!$O$5,1)="B",BC327,MAX(BC327,H327))))</f>
        <v>400</v>
      </c>
      <c r="AY327" s="50" t="n">
        <f aca="false">IF(BW327=1,0,ROUNDUP(AX327/BV327,0))</f>
        <v>2</v>
      </c>
      <c r="AZ327" s="52" t="n">
        <f aca="false">IF(CL327&gt;0,CL327*MAX(1,AX327/X327),IF(BW327=1,IF(AX327&lt;=0,0,CA327*MAX(1,IF(H327&gt;0,AX327/H327,1))),IF(R327&gt;0,AY327/R327,0))/MAX(0.1,N(Parameter!$M$21)))</f>
        <v>0.0142857142857143</v>
      </c>
      <c r="BA327" s="50" t="n">
        <f aca="false">AZ327*BY327</f>
        <v>2.21428571428571</v>
      </c>
      <c r="BB327" s="50" t="n">
        <f aca="false">AX327*G327</f>
        <v>416</v>
      </c>
      <c r="BC327" s="50" t="n">
        <f aca="false">ROUNDUP(MAX(J327/IF(CD327&gt;0,CD327,MAX(0.1,N(Cockpit!$O$6))),CG327)/BV327,0)*BV327</f>
        <v>400</v>
      </c>
      <c r="BD327" s="51" t="n">
        <f aca="false">IF(BA327&gt;0,J327/BA327,-1)</f>
        <v>45.1612903225806</v>
      </c>
      <c r="BE327" s="51" t="n">
        <f aca="false">IF(AND(OR(CC327="L1",CC327="L23",CC327="LIFT"),BA327&gt;0),SUMIFS($BA$7:$BA$1843,$CC$7:$CC$1843,CC327,$BD$7:$BD$1843,"&gt;"&amp;BD327)+SUMIFS($BA$7:$BA$1843,$CC$7:$CC$1843,CC327,$BD$7:$BD$1843,BD327,$BT$7:$BT$1843,"&lt;="&amp;BT327),"")</f>
        <v>1499.2065018315</v>
      </c>
      <c r="BF327" s="58" t="n">
        <f aca="false">IF(BE327="",0,MAX(0,MIN(1,(IF(CC327="L1",Parameter!$H$5,IF(CC327="L23",Parameter!$H$6+Parameter!$H$7,Parameter!$H$5+Parameter!$H$6+Parameter!$H$7))-(BE327-BA327))/BA327)))</f>
        <v>1</v>
      </c>
      <c r="BG327" s="48" t="str">
        <f aca="false">IF(AI327&lt;=0,"",IF(CC327="Aussen","Aussenlager",IF(CC327="-","Nicht im Lift",IF(AN327&gt;=1,"Lift",IF(AN327&lt;=0,"Aussenlager","teilweise")))))</f>
        <v>Lift</v>
      </c>
      <c r="BH327" s="48" t="str">
        <f aca="false">IF(AR327&lt;=0,"",IF(CC327="Aussen","Aussenlager",IF(CC327="-","Nicht im Lift",IF(AW327&gt;=1,"Lift",IF(AW327&lt;=0,"Aussenlager","teilweise")))))</f>
        <v>Lift</v>
      </c>
      <c r="BI327" s="48" t="str">
        <f aca="false">IF(BA327&lt;=0,"",IF(CC327="Aussen","Aussenlager",IF(CC327="-","Nicht im Lift",IF(BF327&gt;=1,"Lift",IF(BF327&lt;=0,"Aussenlager","teilweise")))))</f>
        <v>Lift</v>
      </c>
      <c r="BJ327" s="48" t="str">
        <f aca="false">IF(A327="","",IF(BS327=1,"Neu; ","")&amp;IF(AND(BS327=0,BN327&lt;0),"negativer Bestand (Export "&amp;BN327&amp;"); ","")&amp;IF(J327&lt;=0,"Kein Verbrauch; ","")&amp;IF(CL327&gt;0,"Lift "&amp;W327&amp;" lt. Liftbericht (Fach "&amp;X327&amp;" Stk); ",IF(BX327=1,"Gebinde geschätzt ("&amp;T327&amp;"); ",IF(BW327=1,"Lose – Tablare geschätzt; ","")))&amp;IF(H327&gt;AT327,"Überbestand "&amp;ROUND(H327-AT327,0)&amp;" Stk / CHF "&amp;ROUND((H327-AT327)*G327,0)&amp;"; ","")&amp;IF(AND(CE327=1,CF327&lt;CG327),"MAX &lt; MB+LG; ","")&amp;IF(AND(CK327&gt;0,CJ327*10&gt;CK327),"zu hoch für Tablar; ","")&amp;IF(AND(BS327=0,OR(CE327=1,AA327&lt;&gt;"",U327&lt;&gt;"",V327&lt;&gt;"",AB327&lt;&gt;"")),"manuell übersteuert; ","")&amp;IF(AND(BW327=0,R327=0),"Gebinde unbekannt / Stellmass fehlt; ","")&amp;IF(AND(BW327=0,N(V327)&lt;=0,N(Q327)&lt;=0),"Menge pro Gebinde fehlt (Ist = 1 Gebinde); ","")&amp;BR327)</f>
        <v/>
      </c>
      <c r="BK327" s="48"/>
      <c r="BL327" s="48"/>
      <c r="BM327" s="55"/>
      <c r="BN327" s="50" t="n">
        <v>215</v>
      </c>
      <c r="BO327" s="50" t="n">
        <v>4</v>
      </c>
      <c r="BP327" s="49" t="n">
        <v>223.6</v>
      </c>
      <c r="BQ327" s="50" t="n">
        <v>100</v>
      </c>
      <c r="BR327" s="48"/>
      <c r="BS327" s="53" t="n">
        <v>0</v>
      </c>
      <c r="BT327" s="53" t="n">
        <v>327</v>
      </c>
      <c r="BU327" s="48" t="str">
        <f aca="false">IF(U327&lt;&gt;"",UPPER(TRIM(U327)),IF(BX327=1,UPPER(VLOOKUP(T327,Parameter!$I$27:$K$29,2,0)),IF(P327="","LOSE",P327)))</f>
        <v>S22</v>
      </c>
      <c r="BV327" s="50" t="n">
        <f aca="false">IF(BU327="LOSE",1,IF(N(V327)&gt;0,V327,IF(BX327=1,MAX(1,N(VLOOKUP(T327,Parameter!$I$27:$K$29,3,0)),H327,N(N327)),IF(N(Q327)&gt;0,Q327,MAX(1,H327)))))</f>
        <v>200</v>
      </c>
      <c r="BW327" s="53" t="n">
        <f aca="false">IF(BU327="LOSE",1,0)</f>
        <v>0</v>
      </c>
      <c r="BX327" s="53" t="n">
        <f aca="false">IF(AND(U327="",OR(P327="",P327="LOSE"),T327&lt;&gt;"",N(S327)&lt;=0,ISNUMBER(MATCH(T327,Parameter!$I$27:$I$29,0))),1,0)</f>
        <v>0</v>
      </c>
      <c r="BY327" s="53" t="n">
        <f aca="false">IF(CL327&gt;0,INDEX(Parameter!$H$5:$H$7,W327)/INDEX(Parameter!$E$5:$E$7,W327),IF(AND(BW327=0,N(IFERROR(VLOOKUP(BU327,'Gebinde-Kategorie'!$A$5:$N$45,14,0),0))&gt;0),VLOOKUP(BU327,'Gebinde-Kategorie'!$A$5:$N$45,14,0)*10+Parameter!$M$23,Parameter!$M$24))</f>
        <v>155</v>
      </c>
      <c r="BZ327" s="48" t="str">
        <f aca="false">IF(AND(Parameter!$B$19="Ja",E327&lt;&gt;"",ISNUMBER(MATCH(E327,Parameter!$I$35:$I$52,0))),VLOOKUP(E327,Parameter!$I$35:$J$52,2,0),IFERROR(VLOOKUP(D327,Parameter!$A$35:$C$64,2,0),"Nein"))</f>
        <v>2+3</v>
      </c>
      <c r="CA327" s="52" t="n">
        <f aca="false">IF(BW327=0,0,IF(N(S327)&gt;0,S327,IFERROR(VLOOKUP(D327,Parameter!$A$35:$C$64,3,0)+0,0)))</f>
        <v>0</v>
      </c>
      <c r="CB327" s="48" t="n">
        <f aca="false">IF(AA327&lt;&gt;"",AA327,Z327)</f>
        <v>3</v>
      </c>
      <c r="CC327" s="48" t="str">
        <f aca="false">IF(OR(CB327=1,CB327=2,CB327=3),IF(Parameter!$E$27="Ja","LIFT",IF(CB327=1,"L1","L23")),IF(CB327="Aussen","Aussen","-"))</f>
        <v>LIFT</v>
      </c>
      <c r="CD327" s="59" t="n">
        <f aca="false">IF(N(AB327)&gt;0,AB327,0)</f>
        <v>0</v>
      </c>
      <c r="CE327" s="53" t="n">
        <f aca="false">IF(ISNUMBER(AE327),1,0)</f>
        <v>0</v>
      </c>
      <c r="CF327" s="50" t="n">
        <f aca="false">N(AE327)</f>
        <v>0</v>
      </c>
      <c r="CG327" s="50" t="n">
        <f aca="false">N(M327)+N(N327)</f>
        <v>225</v>
      </c>
      <c r="CH327" s="50" t="n">
        <f aca="false">ROUNDUP(H327/BV327,0)</f>
        <v>2</v>
      </c>
      <c r="CI327" s="50" t="n">
        <f aca="false">ROUNDUP(CF327/BV327,0)</f>
        <v>0</v>
      </c>
      <c r="CJ327" s="53" t="n">
        <f aca="false">IF(BW327=1,0,IFERROR(VLOOKUP(BU327,'Gebinde-Kategorie'!$A$5:$N$45,5,0)+0,0))</f>
        <v>8</v>
      </c>
      <c r="CK327" s="53" t="n">
        <f aca="false">IFERROR(IF(OR(CB327=1,CB327=2,CB327=3),N(INDEX(Parameter!$I$5:$I$7,CB327)),0),0)</f>
        <v>0</v>
      </c>
      <c r="CL327" s="52" t="n">
        <f aca="false">IF(AND(Parameter!$B$21="Ja",ISNUMBER(W327),N(X327)&gt;0),IFERROR(N(INDEX(Parameter!$L$5:$L$7,W327))*INDEX(Parameter!$E$5:$E$7,W327)*X327/SUMIFS($X$7:$X$1843,$W$7:$W$1843,W327),0),0)</f>
        <v>0</v>
      </c>
    </row>
    <row r="328" customFormat="false" ht="15" hidden="false" customHeight="false" outlineLevel="0" collapsed="false">
      <c r="A328" s="48" t="s">
        <v>823</v>
      </c>
      <c r="B328" s="48" t="s">
        <v>593</v>
      </c>
      <c r="C328" s="48" t="s">
        <v>168</v>
      </c>
      <c r="D328" s="48" t="s">
        <v>188</v>
      </c>
      <c r="E328" s="48" t="s">
        <v>189</v>
      </c>
      <c r="F328" s="48" t="s">
        <v>222</v>
      </c>
      <c r="G328" s="49" t="n">
        <v>1.5</v>
      </c>
      <c r="H328" s="50" t="n">
        <f aca="false">MAX(0,IF(AND(Parameter!$B$21="Ja",ISNUMBER(Y328)),Y328,IF(Parameter!$B$20="Jahresanfang 2025 + Export",BO328+BN328,BN328)))</f>
        <v>283</v>
      </c>
      <c r="I328" s="50" t="n">
        <f aca="false">H328*G328</f>
        <v>424.5</v>
      </c>
      <c r="J328" s="50" t="n">
        <f aca="false">BQ328*Parameter!$B$18</f>
        <v>362</v>
      </c>
      <c r="K328" s="51" t="n">
        <v>154.5</v>
      </c>
      <c r="L328" s="52" t="n">
        <v>2.34304207119741</v>
      </c>
      <c r="M328" s="50" t="n">
        <v>21</v>
      </c>
      <c r="N328" s="50" t="n">
        <v>360</v>
      </c>
      <c r="O328" s="53" t="n">
        <v>21</v>
      </c>
      <c r="P328" s="48" t="s">
        <v>430</v>
      </c>
      <c r="Q328" s="50" t="n">
        <v>121</v>
      </c>
      <c r="R328" s="53" t="n">
        <f aca="false">IF(BW328=1,0,IFERROR(VLOOKUP(BU328,'Gebinde-Kategorie'!$A$5:$N$45,13,0)+0,0))</f>
        <v>140</v>
      </c>
      <c r="S328" s="54"/>
      <c r="T328" s="55"/>
      <c r="U328" s="55"/>
      <c r="V328" s="55"/>
      <c r="W328" s="48"/>
      <c r="X328" s="50"/>
      <c r="Y328" s="50"/>
      <c r="Z328" s="48" t="n">
        <f aca="false">IF(A328="","",IF(AND(Parameter!$B$21="Ja",ISNUMBER(W328)),W328,IF(BZ328="2+3",IF(ISNUMBER(SEARCH("grosser Artikel",BR328)),2,IFERROR(VLOOKUP(BU328,Parameter!$F$35:$G$64,2,0),2)),IF(OR(BZ328="Nein",BZ328=""),"-",BZ328))))</f>
        <v>3</v>
      </c>
      <c r="AA328" s="55"/>
      <c r="AB328" s="56"/>
      <c r="AC328" s="50" t="n">
        <f aca="false">AT328</f>
        <v>484</v>
      </c>
      <c r="AD328" s="50" t="n">
        <f aca="false">MAX(AT328,H328)</f>
        <v>484</v>
      </c>
      <c r="AE328" s="57"/>
      <c r="AF328" s="50" t="n">
        <f aca="false">IF(LEFT(Cockpit!$C$5,1)="A",H328,IF(CE328=1,CF328,IF(LEFT(Cockpit!$C$5,1)="B",AK328,MAX(AK328,H328))))</f>
        <v>283</v>
      </c>
      <c r="AG328" s="50" t="n">
        <f aca="false">IF(BW328=1,0,ROUNDUP(AF328/BV328,0))</f>
        <v>3</v>
      </c>
      <c r="AH328" s="52" t="n">
        <f aca="false">IF(CL328&gt;0,CL328*MAX(1,AF328/X328),IF(BW328=1,IF(AF328&lt;=0,0,CA328*MAX(1,IF(H328&gt;0,AF328/H328,1))),IF(R328&gt;0,AG328/R328,0))/MAX(0.1,N(Parameter!$M$21)))</f>
        <v>0.0214285714285714</v>
      </c>
      <c r="AI328" s="50" t="n">
        <f aca="false">AH328*BY328</f>
        <v>3.32142857142857</v>
      </c>
      <c r="AJ328" s="50" t="n">
        <f aca="false">AF328*G328</f>
        <v>424.5</v>
      </c>
      <c r="AK328" s="50" t="n">
        <f aca="false">ROUNDUP(MAX(J328/IF(CD328&gt;0,CD328,MAX(0.1,N(Cockpit!$C$6))),CG328)/BV328,0)*BV328</f>
        <v>484</v>
      </c>
      <c r="AL328" s="51" t="n">
        <f aca="false">IF(AI328&gt;0,J328/AI328,-1)</f>
        <v>108.989247311828</v>
      </c>
      <c r="AM328" s="51" t="n">
        <f aca="false">IF(AND(OR(CC328="L1",CC328="L23",CC328="LIFT"),AI328&gt;0),SUMIFS($AI$7:$AI$1843,$CC$7:$CC$1843,CC328,$AL$7:$AL$1843,"&gt;"&amp;AL328)+SUMIFS($AI$7:$AI$1843,$CC$7:$CC$1843,CC328,$AL$7:$AL$1843,AL328,$BT$7:$BT$1843,"&lt;="&amp;BT328),"")</f>
        <v>752.902014652015</v>
      </c>
      <c r="AN328" s="58" t="n">
        <f aca="false">IF(AM328="",0,MAX(0,MIN(1,(IF(CC328="L1",Parameter!$H$5,IF(CC328="L23",Parameter!$H$6+Parameter!$H$7,Parameter!$H$5+Parameter!$H$6+Parameter!$H$7))-(AM328-AI328))/AI328)))</f>
        <v>1</v>
      </c>
      <c r="AO328" s="50" t="n">
        <f aca="false">IF(LEFT(Cockpit!$I$5,1)="A",H328,IF(CE328=1,CF328,IF(LEFT(Cockpit!$I$5,1)="B",AT328,MAX(AT328,H328))))</f>
        <v>484</v>
      </c>
      <c r="AP328" s="50" t="n">
        <f aca="false">IF(BW328=1,0,ROUNDUP(AO328/BV328,0))</f>
        <v>4</v>
      </c>
      <c r="AQ328" s="52" t="n">
        <f aca="false">IF(CL328&gt;0,CL328*MAX(1,AO328/X328),IF(BW328=1,IF(AO328&lt;=0,0,CA328*MAX(1,IF(H328&gt;0,AO328/H328,1))),IF(R328&gt;0,AP328/R328,0))/MAX(0.1,N(Parameter!$M$21)))</f>
        <v>0.0285714285714286</v>
      </c>
      <c r="AR328" s="50" t="n">
        <f aca="false">AQ328*BY328</f>
        <v>4.42857142857143</v>
      </c>
      <c r="AS328" s="50" t="n">
        <f aca="false">AO328*G328</f>
        <v>726</v>
      </c>
      <c r="AT328" s="50" t="n">
        <f aca="false">ROUNDUP(MAX(J328/IF(CD328&gt;0,CD328,MAX(0.1,N(Cockpit!$I$6))),CG328)/BV328,0)*BV328</f>
        <v>484</v>
      </c>
      <c r="AU328" s="51" t="n">
        <f aca="false">IF(AR328&gt;0,J328/AR328,-1)</f>
        <v>81.741935483871</v>
      </c>
      <c r="AV328" s="51" t="n">
        <f aca="false">IF(AND(OR(CC328="L1",CC328="L23",CC328="LIFT"),AR328&gt;0),SUMIFS($AR$7:$AR$1843,$CC$7:$CC$1843,CC328,$AU$7:$AU$1843,"&gt;"&amp;AU328)+SUMIFS($AR$7:$AR$1843,$CC$7:$CC$1843,CC328,$AU$7:$AU$1843,AU328,$BT$7:$BT$1843,"&lt;="&amp;BT328),"")</f>
        <v>954.401556776557</v>
      </c>
      <c r="AW328" s="58" t="n">
        <f aca="false">IF(AV328="",0,MAX(0,MIN(1,(IF(CC328="L1",Parameter!$H$5,IF(CC328="L23",Parameter!$H$6+Parameter!$H$7,Parameter!$H$5+Parameter!$H$6+Parameter!$H$7))-(AV328-AR328))/AR328)))</f>
        <v>1</v>
      </c>
      <c r="AX328" s="50" t="n">
        <f aca="false">IF(LEFT(Cockpit!$O$5,1)="A",H328,IF(CE328=1,CF328,IF(LEFT(Cockpit!$O$5,1)="B",BC328,MAX(BC328,H328))))</f>
        <v>484</v>
      </c>
      <c r="AY328" s="50" t="n">
        <f aca="false">IF(BW328=1,0,ROUNDUP(AX328/BV328,0))</f>
        <v>4</v>
      </c>
      <c r="AZ328" s="52" t="n">
        <f aca="false">IF(CL328&gt;0,CL328*MAX(1,AX328/X328),IF(BW328=1,IF(AX328&lt;=0,0,CA328*MAX(1,IF(H328&gt;0,AX328/H328,1))),IF(R328&gt;0,AY328/R328,0))/MAX(0.1,N(Parameter!$M$21)))</f>
        <v>0.0285714285714286</v>
      </c>
      <c r="BA328" s="50" t="n">
        <f aca="false">AZ328*BY328</f>
        <v>4.42857142857143</v>
      </c>
      <c r="BB328" s="50" t="n">
        <f aca="false">AX328*G328</f>
        <v>726</v>
      </c>
      <c r="BC328" s="50" t="n">
        <f aca="false">ROUNDUP(MAX(J328/IF(CD328&gt;0,CD328,MAX(0.1,N(Cockpit!$O$6))),CG328)/BV328,0)*BV328</f>
        <v>484</v>
      </c>
      <c r="BD328" s="51" t="n">
        <f aca="false">IF(BA328&gt;0,J328/BA328,-1)</f>
        <v>81.741935483871</v>
      </c>
      <c r="BE328" s="51" t="n">
        <f aca="false">IF(AND(OR(CC328="L1",CC328="L23",CC328="LIFT"),BA328&gt;0),SUMIFS($BA$7:$BA$1843,$CC$7:$CC$1843,CC328,$BD$7:$BD$1843,"&gt;"&amp;BD328)+SUMIFS($BA$7:$BA$1843,$CC$7:$CC$1843,CC328,$BD$7:$BD$1843,BD328,$BT$7:$BT$1843,"&lt;="&amp;BT328),"")</f>
        <v>1061.82142857143</v>
      </c>
      <c r="BF328" s="58" t="n">
        <f aca="false">IF(BE328="",0,MAX(0,MIN(1,(IF(CC328="L1",Parameter!$H$5,IF(CC328="L23",Parameter!$H$6+Parameter!$H$7,Parameter!$H$5+Parameter!$H$6+Parameter!$H$7))-(BE328-BA328))/BA328)))</f>
        <v>1</v>
      </c>
      <c r="BG328" s="48" t="str">
        <f aca="false">IF(AI328&lt;=0,"",IF(CC328="Aussen","Aussenlager",IF(CC328="-","Nicht im Lift",IF(AN328&gt;=1,"Lift",IF(AN328&lt;=0,"Aussenlager","teilweise")))))</f>
        <v>Lift</v>
      </c>
      <c r="BH328" s="48" t="str">
        <f aca="false">IF(AR328&lt;=0,"",IF(CC328="Aussen","Aussenlager",IF(CC328="-","Nicht im Lift",IF(AW328&gt;=1,"Lift",IF(AW328&lt;=0,"Aussenlager","teilweise")))))</f>
        <v>Lift</v>
      </c>
      <c r="BI328" s="48" t="str">
        <f aca="false">IF(BA328&lt;=0,"",IF(CC328="Aussen","Aussenlager",IF(CC328="-","Nicht im Lift",IF(BF328&gt;=1,"Lift",IF(BF328&lt;=0,"Aussenlager","teilweise")))))</f>
        <v>Lift</v>
      </c>
      <c r="BJ328" s="48" t="str">
        <f aca="false">IF(A328="","",IF(BS328=1,"Neu; ","")&amp;IF(AND(BS328=0,BN328&lt;0),"negativer Bestand (Export "&amp;BN328&amp;"); ","")&amp;IF(J328&lt;=0,"Kein Verbrauch; ","")&amp;IF(CL328&gt;0,"Lift "&amp;W328&amp;" lt. Liftbericht (Fach "&amp;X328&amp;" Stk); ",IF(BX328=1,"Gebinde geschätzt ("&amp;T328&amp;"); ",IF(BW328=1,"Lose – Tablare geschätzt; ","")))&amp;IF(H328&gt;AT328,"Überbestand "&amp;ROUND(H328-AT328,0)&amp;" Stk / CHF "&amp;ROUND((H328-AT328)*G328,0)&amp;"; ","")&amp;IF(AND(CE328=1,CF328&lt;CG328),"MAX &lt; MB+LG; ","")&amp;IF(AND(CK328&gt;0,CJ328*10&gt;CK328),"zu hoch für Tablar; ","")&amp;IF(AND(BS328=0,OR(CE328=1,AA328&lt;&gt;"",U328&lt;&gt;"",V328&lt;&gt;"",AB328&lt;&gt;"")),"manuell übersteuert; ","")&amp;IF(AND(BW328=0,R328=0),"Gebinde unbekannt / Stellmass fehlt; ","")&amp;IF(AND(BW328=0,N(V328)&lt;=0,N(Q328)&lt;=0),"Menge pro Gebinde fehlt (Ist = 1 Gebinde); ","")&amp;BR328)</f>
        <v/>
      </c>
      <c r="BK328" s="48"/>
      <c r="BL328" s="48"/>
      <c r="BM328" s="55"/>
      <c r="BN328" s="50" t="n">
        <v>148</v>
      </c>
      <c r="BO328" s="50" t="n">
        <v>135</v>
      </c>
      <c r="BP328" s="49" t="n">
        <v>222</v>
      </c>
      <c r="BQ328" s="50" t="n">
        <v>362</v>
      </c>
      <c r="BR328" s="48"/>
      <c r="BS328" s="53" t="n">
        <v>0</v>
      </c>
      <c r="BT328" s="53" t="n">
        <v>328</v>
      </c>
      <c r="BU328" s="48" t="str">
        <f aca="false">IF(U328&lt;&gt;"",UPPER(TRIM(U328)),IF(BX328=1,UPPER(VLOOKUP(T328,Parameter!$I$27:$K$29,2,0)),IF(P328="","LOSE",P328)))</f>
        <v>S22</v>
      </c>
      <c r="BV328" s="50" t="n">
        <f aca="false">IF(BU328="LOSE",1,IF(N(V328)&gt;0,V328,IF(BX328=1,MAX(1,N(VLOOKUP(T328,Parameter!$I$27:$K$29,3,0)),H328,N(N328)),IF(N(Q328)&gt;0,Q328,MAX(1,H328)))))</f>
        <v>121</v>
      </c>
      <c r="BW328" s="53" t="n">
        <f aca="false">IF(BU328="LOSE",1,0)</f>
        <v>0</v>
      </c>
      <c r="BX328" s="53" t="n">
        <f aca="false">IF(AND(U328="",OR(P328="",P328="LOSE"),T328&lt;&gt;"",N(S328)&lt;=0,ISNUMBER(MATCH(T328,Parameter!$I$27:$I$29,0))),1,0)</f>
        <v>0</v>
      </c>
      <c r="BY328" s="53" t="n">
        <f aca="false">IF(CL328&gt;0,INDEX(Parameter!$H$5:$H$7,W328)/INDEX(Parameter!$E$5:$E$7,W328),IF(AND(BW328=0,N(IFERROR(VLOOKUP(BU328,'Gebinde-Kategorie'!$A$5:$N$45,14,0),0))&gt;0),VLOOKUP(BU328,'Gebinde-Kategorie'!$A$5:$N$45,14,0)*10+Parameter!$M$23,Parameter!$M$24))</f>
        <v>155</v>
      </c>
      <c r="BZ328" s="48" t="str">
        <f aca="false">IF(AND(Parameter!$B$19="Ja",E328&lt;&gt;"",ISNUMBER(MATCH(E328,Parameter!$I$35:$I$52,0))),VLOOKUP(E328,Parameter!$I$35:$J$52,2,0),IFERROR(VLOOKUP(D328,Parameter!$A$35:$C$64,2,0),"Nein"))</f>
        <v>2+3</v>
      </c>
      <c r="CA328" s="52" t="n">
        <f aca="false">IF(BW328=0,0,IF(N(S328)&gt;0,S328,IFERROR(VLOOKUP(D328,Parameter!$A$35:$C$64,3,0)+0,0)))</f>
        <v>0</v>
      </c>
      <c r="CB328" s="48" t="n">
        <f aca="false">IF(AA328&lt;&gt;"",AA328,Z328)</f>
        <v>3</v>
      </c>
      <c r="CC328" s="48" t="str">
        <f aca="false">IF(OR(CB328=1,CB328=2,CB328=3),IF(Parameter!$E$27="Ja","LIFT",IF(CB328=1,"L1","L23")),IF(CB328="Aussen","Aussen","-"))</f>
        <v>LIFT</v>
      </c>
      <c r="CD328" s="59" t="n">
        <f aca="false">IF(N(AB328)&gt;0,AB328,0)</f>
        <v>0</v>
      </c>
      <c r="CE328" s="53" t="n">
        <f aca="false">IF(ISNUMBER(AE328),1,0)</f>
        <v>0</v>
      </c>
      <c r="CF328" s="50" t="n">
        <f aca="false">N(AE328)</f>
        <v>0</v>
      </c>
      <c r="CG328" s="50" t="n">
        <f aca="false">N(M328)+N(N328)</f>
        <v>381</v>
      </c>
      <c r="CH328" s="50" t="n">
        <f aca="false">ROUNDUP(H328/BV328,0)</f>
        <v>3</v>
      </c>
      <c r="CI328" s="50" t="n">
        <f aca="false">ROUNDUP(CF328/BV328,0)</f>
        <v>0</v>
      </c>
      <c r="CJ328" s="53" t="n">
        <f aca="false">IF(BW328=1,0,IFERROR(VLOOKUP(BU328,'Gebinde-Kategorie'!$A$5:$N$45,5,0)+0,0))</f>
        <v>8</v>
      </c>
      <c r="CK328" s="53" t="n">
        <f aca="false">IFERROR(IF(OR(CB328=1,CB328=2,CB328=3),N(INDEX(Parameter!$I$5:$I$7,CB328)),0),0)</f>
        <v>0</v>
      </c>
      <c r="CL328" s="52" t="n">
        <f aca="false">IF(AND(Parameter!$B$21="Ja",ISNUMBER(W328),N(X328)&gt;0),IFERROR(N(INDEX(Parameter!$L$5:$L$7,W328))*INDEX(Parameter!$E$5:$E$7,W328)*X328/SUMIFS($X$7:$X$1843,$W$7:$W$1843,W328),0),0)</f>
        <v>0</v>
      </c>
    </row>
    <row r="329" customFormat="false" ht="15" hidden="false" customHeight="false" outlineLevel="0" collapsed="false">
      <c r="A329" s="48" t="s">
        <v>824</v>
      </c>
      <c r="B329" s="48" t="s">
        <v>371</v>
      </c>
      <c r="C329" s="48" t="s">
        <v>168</v>
      </c>
      <c r="D329" s="48" t="s">
        <v>188</v>
      </c>
      <c r="E329" s="48"/>
      <c r="F329" s="48" t="s">
        <v>222</v>
      </c>
      <c r="G329" s="49" t="n">
        <v>14.67</v>
      </c>
      <c r="H329" s="50" t="n">
        <f aca="false">MAX(0,IF(AND(Parameter!$B$21="Ja",ISNUMBER(Y329)),Y329,IF(Parameter!$B$20="Jahresanfang 2025 + Export",BO329+BN329,BN329)))</f>
        <v>15</v>
      </c>
      <c r="I329" s="50" t="n">
        <f aca="false">H329*G329</f>
        <v>220.05</v>
      </c>
      <c r="J329" s="50" t="n">
        <f aca="false">BQ329*Parameter!$B$18</f>
        <v>0</v>
      </c>
      <c r="K329" s="51" t="n">
        <v>0</v>
      </c>
      <c r="L329" s="52" t="n">
        <v>0</v>
      </c>
      <c r="M329" s="50" t="n">
        <v>0</v>
      </c>
      <c r="N329" s="50" t="n">
        <v>1</v>
      </c>
      <c r="O329" s="53" t="n">
        <v>9999</v>
      </c>
      <c r="P329" s="48" t="s">
        <v>172</v>
      </c>
      <c r="Q329" s="50"/>
      <c r="R329" s="53" t="n">
        <f aca="false">IF(BW329=1,0,IFERROR(VLOOKUP(BU329,'Gebinde-Kategorie'!$A$5:$N$45,13,0)+0,0))</f>
        <v>4</v>
      </c>
      <c r="S329" s="54"/>
      <c r="T329" s="55" t="s">
        <v>193</v>
      </c>
      <c r="U329" s="55"/>
      <c r="V329" s="55"/>
      <c r="W329" s="48"/>
      <c r="X329" s="50"/>
      <c r="Y329" s="50"/>
      <c r="Z329" s="48" t="n">
        <f aca="false">IF(A329="","",IF(AND(Parameter!$B$21="Ja",ISNUMBER(W329)),W329,IF(BZ329="2+3",IF(ISNUMBER(SEARCH("grosser Artikel",BR329)),2,IFERROR(VLOOKUP(BU329,Parameter!$F$35:$G$64,2,0),2)),IF(OR(BZ329="Nein",BZ329=""),"-",BZ329))))</f>
        <v>2</v>
      </c>
      <c r="AA329" s="55"/>
      <c r="AB329" s="56"/>
      <c r="AC329" s="50" t="n">
        <f aca="false">AT329</f>
        <v>15</v>
      </c>
      <c r="AD329" s="50" t="n">
        <f aca="false">MAX(AT329,H329)</f>
        <v>15</v>
      </c>
      <c r="AE329" s="57"/>
      <c r="AF329" s="50" t="n">
        <f aca="false">IF(LEFT(Cockpit!$C$5,1)="A",H329,IF(CE329=1,CF329,IF(LEFT(Cockpit!$C$5,1)="B",AK329,MAX(AK329,H329))))</f>
        <v>15</v>
      </c>
      <c r="AG329" s="50" t="n">
        <f aca="false">IF(BW329=1,0,ROUNDUP(AF329/BV329,0))</f>
        <v>1</v>
      </c>
      <c r="AH329" s="52" t="n">
        <f aca="false">IF(CL329&gt;0,CL329*MAX(1,AF329/X329),IF(BW329=1,IF(AF329&lt;=0,0,CA329*MAX(1,IF(H329&gt;0,AF329/H329,1))),IF(R329&gt;0,AG329/R329,0))/MAX(0.1,N(Parameter!$M$21)))</f>
        <v>0.25</v>
      </c>
      <c r="AI329" s="50" t="n">
        <f aca="false">AH329*BY329</f>
        <v>58.75</v>
      </c>
      <c r="AJ329" s="50" t="n">
        <f aca="false">AF329*G329</f>
        <v>220.05</v>
      </c>
      <c r="AK329" s="50" t="n">
        <f aca="false">ROUNDUP(MAX(J329/IF(CD329&gt;0,CD329,MAX(0.1,N(Cockpit!$C$6))),CG329)/BV329,0)*BV329</f>
        <v>15</v>
      </c>
      <c r="AL329" s="51" t="n">
        <f aca="false">IF(AI329&gt;0,J329/AI329,-1)</f>
        <v>0</v>
      </c>
      <c r="AM329" s="51" t="n">
        <f aca="false">IF(AND(OR(CC329="L1",CC329="L23",CC329="LIFT"),AI329&gt;0),SUMIFS($AI$7:$AI$1843,$CC$7:$CC$1843,CC329,$AL$7:$AL$1843,"&gt;"&amp;AL329)+SUMIFS($AI$7:$AI$1843,$CC$7:$CC$1843,CC329,$AL$7:$AL$1843,AL329,$BT$7:$BT$1843,"&lt;="&amp;BT329),"")</f>
        <v>27975.8454062416</v>
      </c>
      <c r="AN329" s="58" t="n">
        <f aca="false">IF(AM329="",0,MAX(0,MIN(1,(IF(CC329="L1",Parameter!$H$5,IF(CC329="L23",Parameter!$H$6+Parameter!$H$7,Parameter!$H$5+Parameter!$H$6+Parameter!$H$7))-(AM329-AI329))/AI329)))</f>
        <v>1</v>
      </c>
      <c r="AO329" s="50" t="n">
        <f aca="false">IF(LEFT(Cockpit!$I$5,1)="A",H329,IF(CE329=1,CF329,IF(LEFT(Cockpit!$I$5,1)="B",AT329,MAX(AT329,H329))))</f>
        <v>15</v>
      </c>
      <c r="AP329" s="50" t="n">
        <f aca="false">IF(BW329=1,0,ROUNDUP(AO329/BV329,0))</f>
        <v>1</v>
      </c>
      <c r="AQ329" s="52" t="n">
        <f aca="false">IF(CL329&gt;0,CL329*MAX(1,AO329/X329),IF(BW329=1,IF(AO329&lt;=0,0,CA329*MAX(1,IF(H329&gt;0,AO329/H329,1))),IF(R329&gt;0,AP329/R329,0))/MAX(0.1,N(Parameter!$M$21)))</f>
        <v>0.25</v>
      </c>
      <c r="AR329" s="50" t="n">
        <f aca="false">AQ329*BY329</f>
        <v>58.75</v>
      </c>
      <c r="AS329" s="50" t="n">
        <f aca="false">AO329*G329</f>
        <v>220.05</v>
      </c>
      <c r="AT329" s="50" t="n">
        <f aca="false">ROUNDUP(MAX(J329/IF(CD329&gt;0,CD329,MAX(0.1,N(Cockpit!$I$6))),CG329)/BV329,0)*BV329</f>
        <v>15</v>
      </c>
      <c r="AU329" s="51" t="n">
        <f aca="false">IF(AR329&gt;0,J329/AR329,-1)</f>
        <v>0</v>
      </c>
      <c r="AV329" s="51" t="n">
        <f aca="false">IF(AND(OR(CC329="L1",CC329="L23",CC329="LIFT"),AR329&gt;0),SUMIFS($AR$7:$AR$1843,$CC$7:$CC$1843,CC329,$AU$7:$AU$1843,"&gt;"&amp;AU329)+SUMIFS($AR$7:$AR$1843,$CC$7:$CC$1843,CC329,$AU$7:$AU$1843,AU329,$BT$7:$BT$1843,"&lt;="&amp;BT329),"")</f>
        <v>39288.7509235115</v>
      </c>
      <c r="AW329" s="58" t="n">
        <f aca="false">IF(AV329="",0,MAX(0,MIN(1,(IF(CC329="L1",Parameter!$H$5,IF(CC329="L23",Parameter!$H$6+Parameter!$H$7,Parameter!$H$5+Parameter!$H$6+Parameter!$H$7))-(AV329-AR329))/AR329)))</f>
        <v>0</v>
      </c>
      <c r="AX329" s="50" t="n">
        <f aca="false">IF(LEFT(Cockpit!$O$5,1)="A",H329,IF(CE329=1,CF329,IF(LEFT(Cockpit!$O$5,1)="B",BC329,MAX(BC329,H329))))</f>
        <v>15</v>
      </c>
      <c r="AY329" s="50" t="n">
        <f aca="false">IF(BW329=1,0,ROUNDUP(AX329/BV329,0))</f>
        <v>1</v>
      </c>
      <c r="AZ329" s="52" t="n">
        <f aca="false">IF(CL329&gt;0,CL329*MAX(1,AX329/X329),IF(BW329=1,IF(AX329&lt;=0,0,CA329*MAX(1,IF(H329&gt;0,AX329/H329,1))),IF(R329&gt;0,AY329/R329,0))/MAX(0.1,N(Parameter!$M$21)))</f>
        <v>0.25</v>
      </c>
      <c r="BA329" s="50" t="n">
        <f aca="false">AZ329*BY329</f>
        <v>58.75</v>
      </c>
      <c r="BB329" s="50" t="n">
        <f aca="false">AX329*G329</f>
        <v>220.05</v>
      </c>
      <c r="BC329" s="50" t="n">
        <f aca="false">ROUNDUP(MAX(J329/IF(CD329&gt;0,CD329,MAX(0.1,N(Cockpit!$O$6))),CG329)/BV329,0)*BV329</f>
        <v>15</v>
      </c>
      <c r="BD329" s="51" t="n">
        <f aca="false">IF(BA329&gt;0,J329/BA329,-1)</f>
        <v>0</v>
      </c>
      <c r="BE329" s="51" t="n">
        <f aca="false">IF(AND(OR(CC329="L1",CC329="L23",CC329="LIFT"),BA329&gt;0),SUMIFS($BA$7:$BA$1843,$CC$7:$CC$1843,CC329,$BD$7:$BD$1843,"&gt;"&amp;BD329)+SUMIFS($BA$7:$BA$1843,$CC$7:$CC$1843,CC329,$BD$7:$BD$1843,BD329,$BT$7:$BT$1843,"&lt;="&amp;BT329),"")</f>
        <v>35963.7629653774</v>
      </c>
      <c r="BF329" s="58" t="n">
        <f aca="false">IF(BE329="",0,MAX(0,MIN(1,(IF(CC329="L1",Parameter!$H$5,IF(CC329="L23",Parameter!$H$6+Parameter!$H$7,Parameter!$H$5+Parameter!$H$6+Parameter!$H$7))-(BE329-BA329))/BA329)))</f>
        <v>0</v>
      </c>
      <c r="BG329" s="48" t="str">
        <f aca="false">IF(AI329&lt;=0,"",IF(CC329="Aussen","Aussenlager",IF(CC329="-","Nicht im Lift",IF(AN329&gt;=1,"Lift",IF(AN329&lt;=0,"Aussenlager","teilweise")))))</f>
        <v>Lift</v>
      </c>
      <c r="BH329" s="48" t="str">
        <f aca="false">IF(AR329&lt;=0,"",IF(CC329="Aussen","Aussenlager",IF(CC329="-","Nicht im Lift",IF(AW329&gt;=1,"Lift",IF(AW329&lt;=0,"Aussenlager","teilweise")))))</f>
        <v>Aussenlager</v>
      </c>
      <c r="BI329" s="48" t="str">
        <f aca="false">IF(BA329&lt;=0,"",IF(CC329="Aussen","Aussenlager",IF(CC329="-","Nicht im Lift",IF(BF329&gt;=1,"Lift",IF(BF329&lt;=0,"Aussenlager","teilweise")))))</f>
        <v>Aussenlager</v>
      </c>
      <c r="BJ329" s="48" t="str">
        <f aca="false">IF(A329="","",IF(BS329=1,"Neu; ","")&amp;IF(AND(BS329=0,BN329&lt;0),"negativer Bestand (Export "&amp;BN329&amp;"); ","")&amp;IF(J329&lt;=0,"Kein Verbrauch; ","")&amp;IF(CL329&gt;0,"Lift "&amp;W329&amp;" lt. Liftbericht (Fach "&amp;X329&amp;" Stk); ",IF(BX329=1,"Gebinde geschätzt ("&amp;T329&amp;"); ",IF(BW329=1,"Lose – Tablare geschätzt; ","")))&amp;IF(H329&gt;AT329,"Überbestand "&amp;ROUND(H329-AT329,0)&amp;" Stk / CHF "&amp;ROUND((H329-AT329)*G329,0)&amp;"; ","")&amp;IF(AND(CE329=1,CF329&lt;CG329),"MAX &lt; MB+LG; ","")&amp;IF(AND(CK329&gt;0,CJ329*10&gt;CK329),"zu hoch für Tablar; ","")&amp;IF(AND(BS329=0,OR(CE329=1,AA329&lt;&gt;"",U329&lt;&gt;"",V329&lt;&gt;"",AB329&lt;&gt;"")),"manuell übersteuert; ","")&amp;IF(AND(BW329=0,R329=0),"Gebinde unbekannt / Stellmass fehlt; ","")&amp;IF(AND(BW329=0,N(V329)&lt;=0,N(Q329)&lt;=0),"Menge pro Gebinde fehlt (Ist = 1 Gebinde); ","")&amp;BR329)</f>
        <v>Kein Verbrauch; Gebinde geschätzt (Gross); Menge pro Gebinde fehlt (Ist = 1 Gebinde); </v>
      </c>
      <c r="BK329" s="48"/>
      <c r="BL329" s="48"/>
      <c r="BM329" s="55"/>
      <c r="BN329" s="50" t="n">
        <v>15</v>
      </c>
      <c r="BO329" s="50" t="n">
        <v>0</v>
      </c>
      <c r="BP329" s="49" t="n">
        <v>220.05</v>
      </c>
      <c r="BQ329" s="50" t="n">
        <v>0</v>
      </c>
      <c r="BR329" s="48"/>
      <c r="BS329" s="53" t="n">
        <v>0</v>
      </c>
      <c r="BT329" s="53" t="n">
        <v>329</v>
      </c>
      <c r="BU329" s="48" t="str">
        <f aca="false">IF(U329&lt;&gt;"",UPPER(TRIM(U329)),IF(BX329=1,UPPER(VLOOKUP(T329,Parameter!$I$27:$K$29,2,0)),IF(P329="","LOSE",P329)))</f>
        <v>S81</v>
      </c>
      <c r="BV329" s="50" t="n">
        <f aca="false">IF(BU329="LOSE",1,IF(N(V329)&gt;0,V329,IF(BX329=1,MAX(1,N(VLOOKUP(T329,Parameter!$I$27:$K$29,3,0)),H329,N(N329)),IF(N(Q329)&gt;0,Q329,MAX(1,H329)))))</f>
        <v>15</v>
      </c>
      <c r="BW329" s="53" t="n">
        <f aca="false">IF(BU329="LOSE",1,0)</f>
        <v>0</v>
      </c>
      <c r="BX329" s="53" t="n">
        <f aca="false">IF(AND(U329="",OR(P329="",P329="LOSE"),T329&lt;&gt;"",N(S329)&lt;=0,ISNUMBER(MATCH(T329,Parameter!$I$27:$I$29,0))),1,0)</f>
        <v>1</v>
      </c>
      <c r="BY329" s="53" t="n">
        <f aca="false">IF(CL329&gt;0,INDEX(Parameter!$H$5:$H$7,W329)/INDEX(Parameter!$E$5:$E$7,W329),IF(AND(BW329=0,N(IFERROR(VLOOKUP(BU329,'Gebinde-Kategorie'!$A$5:$N$45,14,0),0))&gt;0),VLOOKUP(BU329,'Gebinde-Kategorie'!$A$5:$N$45,14,0)*10+Parameter!$M$23,Parameter!$M$24))</f>
        <v>235</v>
      </c>
      <c r="BZ329" s="48" t="str">
        <f aca="false">IF(AND(Parameter!$B$19="Ja",E329&lt;&gt;"",ISNUMBER(MATCH(E329,Parameter!$I$35:$I$52,0))),VLOOKUP(E329,Parameter!$I$35:$J$52,2,0),IFERROR(VLOOKUP(D329,Parameter!$A$35:$C$64,2,0),"Nein"))</f>
        <v>2+3</v>
      </c>
      <c r="CA329" s="52" t="n">
        <f aca="false">IF(BW329=0,0,IF(N(S329)&gt;0,S329,IFERROR(VLOOKUP(D329,Parameter!$A$35:$C$64,3,0)+0,0)))</f>
        <v>0</v>
      </c>
      <c r="CB329" s="48" t="n">
        <f aca="false">IF(AA329&lt;&gt;"",AA329,Z329)</f>
        <v>2</v>
      </c>
      <c r="CC329" s="48" t="str">
        <f aca="false">IF(OR(CB329=1,CB329=2,CB329=3),IF(Parameter!$E$27="Ja","LIFT",IF(CB329=1,"L1","L23")),IF(CB329="Aussen","Aussen","-"))</f>
        <v>LIFT</v>
      </c>
      <c r="CD329" s="59" t="n">
        <f aca="false">IF(N(AB329)&gt;0,AB329,0)</f>
        <v>0</v>
      </c>
      <c r="CE329" s="53" t="n">
        <f aca="false">IF(ISNUMBER(AE329),1,0)</f>
        <v>0</v>
      </c>
      <c r="CF329" s="50" t="n">
        <f aca="false">N(AE329)</f>
        <v>0</v>
      </c>
      <c r="CG329" s="50" t="n">
        <f aca="false">N(M329)+N(N329)</f>
        <v>1</v>
      </c>
      <c r="CH329" s="50" t="n">
        <f aca="false">ROUNDUP(H329/BV329,0)</f>
        <v>1</v>
      </c>
      <c r="CI329" s="50" t="n">
        <f aca="false">ROUNDUP(CF329/BV329,0)</f>
        <v>0</v>
      </c>
      <c r="CJ329" s="53" t="n">
        <f aca="false">IF(BW329=1,0,IFERROR(VLOOKUP(BU329,'Gebinde-Kategorie'!$A$5:$N$45,5,0)+0,0))</f>
        <v>20</v>
      </c>
      <c r="CK329" s="53" t="n">
        <f aca="false">IFERROR(IF(OR(CB329=1,CB329=2,CB329=3),N(INDEX(Parameter!$I$5:$I$7,CB329)),0),0)</f>
        <v>0</v>
      </c>
      <c r="CL329" s="52" t="n">
        <f aca="false">IF(AND(Parameter!$B$21="Ja",ISNUMBER(W329),N(X329)&gt;0),IFERROR(N(INDEX(Parameter!$L$5:$L$7,W329))*INDEX(Parameter!$E$5:$E$7,W329)*X329/SUMIFS($X$7:$X$1843,$W$7:$W$1843,W329),0),0)</f>
        <v>0</v>
      </c>
    </row>
    <row r="330" customFormat="false" ht="15" hidden="false" customHeight="false" outlineLevel="0" collapsed="false">
      <c r="A330" s="48" t="s">
        <v>825</v>
      </c>
      <c r="B330" s="48" t="s">
        <v>826</v>
      </c>
      <c r="C330" s="48" t="s">
        <v>168</v>
      </c>
      <c r="D330" s="48" t="s">
        <v>177</v>
      </c>
      <c r="E330" s="48" t="s">
        <v>189</v>
      </c>
      <c r="F330" s="48" t="s">
        <v>222</v>
      </c>
      <c r="G330" s="49" t="n">
        <v>9.51</v>
      </c>
      <c r="H330" s="50" t="n">
        <f aca="false">MAX(0,IF(AND(Parameter!$B$21="Ja",ISNUMBER(Y330)),Y330,IF(Parameter!$B$20="Jahresanfang 2025 + Export",BO330+BN330,BN330)))</f>
        <v>52</v>
      </c>
      <c r="I330" s="50" t="n">
        <f aca="false">H330*G330</f>
        <v>494.52</v>
      </c>
      <c r="J330" s="50" t="n">
        <f aca="false">BQ330*Parameter!$B$18</f>
        <v>142</v>
      </c>
      <c r="K330" s="51" t="n">
        <v>36</v>
      </c>
      <c r="L330" s="52" t="n">
        <v>3.94444444444445</v>
      </c>
      <c r="M330" s="50" t="n">
        <v>5</v>
      </c>
      <c r="N330" s="50" t="n">
        <v>30</v>
      </c>
      <c r="O330" s="53" t="n">
        <v>14</v>
      </c>
      <c r="P330" s="48" t="s">
        <v>230</v>
      </c>
      <c r="Q330" s="50" t="n">
        <v>171</v>
      </c>
      <c r="R330" s="53" t="n">
        <f aca="false">IF(BW330=1,0,IFERROR(VLOOKUP(BU330,'Gebinde-Kategorie'!$A$5:$N$45,13,0)+0,0))</f>
        <v>12</v>
      </c>
      <c r="S330" s="54"/>
      <c r="T330" s="55"/>
      <c r="U330" s="55"/>
      <c r="V330" s="55"/>
      <c r="W330" s="48"/>
      <c r="X330" s="50"/>
      <c r="Y330" s="50"/>
      <c r="Z330" s="48" t="n">
        <f aca="false">IF(A330="","",IF(AND(Parameter!$B$21="Ja",ISNUMBER(W330)),W330,IF(BZ330="2+3",IF(ISNUMBER(SEARCH("grosser Artikel",BR330)),2,IFERROR(VLOOKUP(BU330,Parameter!$F$35:$G$64,2,0),2)),IF(OR(BZ330="Nein",BZ330=""),"-",BZ330))))</f>
        <v>2</v>
      </c>
      <c r="AA330" s="55"/>
      <c r="AB330" s="56"/>
      <c r="AC330" s="50" t="n">
        <f aca="false">AT330</f>
        <v>171</v>
      </c>
      <c r="AD330" s="50" t="n">
        <f aca="false">MAX(AT330,H330)</f>
        <v>171</v>
      </c>
      <c r="AE330" s="57"/>
      <c r="AF330" s="50" t="n">
        <f aca="false">IF(LEFT(Cockpit!$C$5,1)="A",H330,IF(CE330=1,CF330,IF(LEFT(Cockpit!$C$5,1)="B",AK330,MAX(AK330,H330))))</f>
        <v>52</v>
      </c>
      <c r="AG330" s="50" t="n">
        <f aca="false">IF(BW330=1,0,ROUNDUP(AF330/BV330,0))</f>
        <v>1</v>
      </c>
      <c r="AH330" s="52" t="n">
        <f aca="false">IF(CL330&gt;0,CL330*MAX(1,AF330/X330),IF(BW330=1,IF(AF330&lt;=0,0,CA330*MAX(1,IF(H330&gt;0,AF330/H330,1))),IF(R330&gt;0,AG330/R330,0))/MAX(0.1,N(Parameter!$M$21)))</f>
        <v>0.0833333333333333</v>
      </c>
      <c r="AI330" s="50" t="n">
        <f aca="false">AH330*BY330</f>
        <v>28.75</v>
      </c>
      <c r="AJ330" s="50" t="n">
        <f aca="false">AF330*G330</f>
        <v>494.52</v>
      </c>
      <c r="AK330" s="50" t="n">
        <f aca="false">ROUNDUP(MAX(J330/IF(CD330&gt;0,CD330,MAX(0.1,N(Cockpit!$C$6))),CG330)/BV330,0)*BV330</f>
        <v>171</v>
      </c>
      <c r="AL330" s="51" t="n">
        <f aca="false">IF(AI330&gt;0,J330/AI330,-1)</f>
        <v>4.93913043478261</v>
      </c>
      <c r="AM330" s="51" t="n">
        <f aca="false">IF(AND(OR(CC330="L1",CC330="L23",CC330="LIFT"),AI330&gt;0),SUMIFS($AI$7:$AI$1843,$CC$7:$CC$1843,CC330,$AL$7:$AL$1843,"&gt;"&amp;AL330)+SUMIFS($AI$7:$AI$1843,$CC$7:$CC$1843,CC330,$AL$7:$AL$1843,AL330,$BT$7:$BT$1843,"&lt;="&amp;BT330),"")</f>
        <v>3992.96657509158</v>
      </c>
      <c r="AN330" s="58" t="n">
        <f aca="false">IF(AM330="",0,MAX(0,MIN(1,(IF(CC330="L1",Parameter!$H$5,IF(CC330="L23",Parameter!$H$6+Parameter!$H$7,Parameter!$H$5+Parameter!$H$6+Parameter!$H$7))-(AM330-AI330))/AI330)))</f>
        <v>1</v>
      </c>
      <c r="AO330" s="50" t="n">
        <f aca="false">IF(LEFT(Cockpit!$I$5,1)="A",H330,IF(CE330=1,CF330,IF(LEFT(Cockpit!$I$5,1)="B",AT330,MAX(AT330,H330))))</f>
        <v>171</v>
      </c>
      <c r="AP330" s="50" t="n">
        <f aca="false">IF(BW330=1,0,ROUNDUP(AO330/BV330,0))</f>
        <v>1</v>
      </c>
      <c r="AQ330" s="52" t="n">
        <f aca="false">IF(CL330&gt;0,CL330*MAX(1,AO330/X330),IF(BW330=1,IF(AO330&lt;=0,0,CA330*MAX(1,IF(H330&gt;0,AO330/H330,1))),IF(R330&gt;0,AP330/R330,0))/MAX(0.1,N(Parameter!$M$21)))</f>
        <v>0.0833333333333333</v>
      </c>
      <c r="AR330" s="50" t="n">
        <f aca="false">AQ330*BY330</f>
        <v>28.75</v>
      </c>
      <c r="AS330" s="50" t="n">
        <f aca="false">AO330*G330</f>
        <v>1626.21</v>
      </c>
      <c r="AT330" s="50" t="n">
        <f aca="false">ROUNDUP(MAX(J330/IF(CD330&gt;0,CD330,MAX(0.1,N(Cockpit!$I$6))),CG330)/BV330,0)*BV330</f>
        <v>171</v>
      </c>
      <c r="AU330" s="51" t="n">
        <f aca="false">IF(AR330&gt;0,J330/AR330,-1)</f>
        <v>4.93913043478261</v>
      </c>
      <c r="AV330" s="51" t="n">
        <f aca="false">IF(AND(OR(CC330="L1",CC330="L23",CC330="LIFT"),AR330&gt;0),SUMIFS($AR$7:$AR$1843,$CC$7:$CC$1843,CC330,$AU$7:$AU$1843,"&gt;"&amp;AU330)+SUMIFS($AR$7:$AR$1843,$CC$7:$CC$1843,CC330,$AU$7:$AU$1843,AU330,$BT$7:$BT$1843,"&lt;="&amp;BT330),"")</f>
        <v>5126.75320512821</v>
      </c>
      <c r="AW330" s="58" t="n">
        <f aca="false">IF(AV330="",0,MAX(0,MIN(1,(IF(CC330="L1",Parameter!$H$5,IF(CC330="L23",Parameter!$H$6+Parameter!$H$7,Parameter!$H$5+Parameter!$H$6+Parameter!$H$7))-(AV330-AR330))/AR330)))</f>
        <v>1</v>
      </c>
      <c r="AX330" s="50" t="n">
        <f aca="false">IF(LEFT(Cockpit!$O$5,1)="A",H330,IF(CE330=1,CF330,IF(LEFT(Cockpit!$O$5,1)="B",BC330,MAX(BC330,H330))))</f>
        <v>171</v>
      </c>
      <c r="AY330" s="50" t="n">
        <f aca="false">IF(BW330=1,0,ROUNDUP(AX330/BV330,0))</f>
        <v>1</v>
      </c>
      <c r="AZ330" s="52" t="n">
        <f aca="false">IF(CL330&gt;0,CL330*MAX(1,AX330/X330),IF(BW330=1,IF(AX330&lt;=0,0,CA330*MAX(1,IF(H330&gt;0,AX330/H330,1))),IF(R330&gt;0,AY330/R330,0))/MAX(0.1,N(Parameter!$M$21)))</f>
        <v>0.0833333333333333</v>
      </c>
      <c r="BA330" s="50" t="n">
        <f aca="false">AZ330*BY330</f>
        <v>28.75</v>
      </c>
      <c r="BB330" s="50" t="n">
        <f aca="false">AX330*G330</f>
        <v>1626.21</v>
      </c>
      <c r="BC330" s="50" t="n">
        <f aca="false">ROUNDUP(MAX(J330/IF(CD330&gt;0,CD330,MAX(0.1,N(Cockpit!$O$6))),CG330)/BV330,0)*BV330</f>
        <v>171</v>
      </c>
      <c r="BD330" s="51" t="n">
        <f aca="false">IF(BA330&gt;0,J330/BA330,-1)</f>
        <v>4.93913043478261</v>
      </c>
      <c r="BE330" s="51" t="n">
        <f aca="false">IF(AND(OR(CC330="L1",CC330="L23",CC330="LIFT"),BA330&gt;0),SUMIFS($BA$7:$BA$1843,$CC$7:$CC$1843,CC330,$BD$7:$BD$1843,"&gt;"&amp;BD330)+SUMIFS($BA$7:$BA$1843,$CC$7:$CC$1843,CC330,$BD$7:$BD$1843,BD330,$BT$7:$BT$1843,"&lt;="&amp;BT330),"")</f>
        <v>4797.21794871795</v>
      </c>
      <c r="BF330" s="58" t="n">
        <f aca="false">IF(BE330="",0,MAX(0,MIN(1,(IF(CC330="L1",Parameter!$H$5,IF(CC330="L23",Parameter!$H$6+Parameter!$H$7,Parameter!$H$5+Parameter!$H$6+Parameter!$H$7))-(BE330-BA330))/BA330)))</f>
        <v>1</v>
      </c>
      <c r="BG330" s="48" t="str">
        <f aca="false">IF(AI330&lt;=0,"",IF(CC330="Aussen","Aussenlager",IF(CC330="-","Nicht im Lift",IF(AN330&gt;=1,"Lift",IF(AN330&lt;=0,"Aussenlager","teilweise")))))</f>
        <v>Lift</v>
      </c>
      <c r="BH330" s="48" t="str">
        <f aca="false">IF(AR330&lt;=0,"",IF(CC330="Aussen","Aussenlager",IF(CC330="-","Nicht im Lift",IF(AW330&gt;=1,"Lift",IF(AW330&lt;=0,"Aussenlager","teilweise")))))</f>
        <v>Lift</v>
      </c>
      <c r="BI330" s="48" t="str">
        <f aca="false">IF(BA330&lt;=0,"",IF(CC330="Aussen","Aussenlager",IF(CC330="-","Nicht im Lift",IF(BF330&gt;=1,"Lift",IF(BF330&lt;=0,"Aussenlager","teilweise")))))</f>
        <v>Lift</v>
      </c>
      <c r="BJ330" s="48" t="str">
        <f aca="false">IF(A330="","",IF(BS330=1,"Neu; ","")&amp;IF(AND(BS330=0,BN330&lt;0),"negativer Bestand (Export "&amp;BN330&amp;"); ","")&amp;IF(J330&lt;=0,"Kein Verbrauch; ","")&amp;IF(CL330&gt;0,"Lift "&amp;W330&amp;" lt. Liftbericht (Fach "&amp;X330&amp;" Stk); ",IF(BX330=1,"Gebinde geschätzt ("&amp;T330&amp;"); ",IF(BW330=1,"Lose – Tablare geschätzt; ","")))&amp;IF(H330&gt;AT330,"Überbestand "&amp;ROUND(H330-AT330,0)&amp;" Stk / CHF "&amp;ROUND((H330-AT330)*G330,0)&amp;"; ","")&amp;IF(AND(CE330=1,CF330&lt;CG330),"MAX &lt; MB+LG; ","")&amp;IF(AND(CK330&gt;0,CJ330*10&gt;CK330),"zu hoch für Tablar; ","")&amp;IF(AND(BS330=0,OR(CE330=1,AA330&lt;&gt;"",U330&lt;&gt;"",V330&lt;&gt;"",AB330&lt;&gt;"")),"manuell übersteuert; ","")&amp;IF(AND(BW330=0,R330=0),"Gebinde unbekannt / Stellmass fehlt; ","")&amp;IF(AND(BW330=0,N(V330)&lt;=0,N(Q330)&lt;=0),"Menge pro Gebinde fehlt (Ist = 1 Gebinde); ","")&amp;BR330)</f>
        <v/>
      </c>
      <c r="BK330" s="48"/>
      <c r="BL330" s="48"/>
      <c r="BM330" s="55"/>
      <c r="BN330" s="50" t="n">
        <v>22</v>
      </c>
      <c r="BO330" s="50" t="n">
        <v>30</v>
      </c>
      <c r="BP330" s="49" t="n">
        <v>217.62</v>
      </c>
      <c r="BQ330" s="50" t="n">
        <v>142</v>
      </c>
      <c r="BR330" s="48"/>
      <c r="BS330" s="53" t="n">
        <v>0</v>
      </c>
      <c r="BT330" s="53" t="n">
        <v>330</v>
      </c>
      <c r="BU330" s="48" t="str">
        <f aca="false">IF(U330&lt;&gt;"",UPPER(TRIM(U330)),IF(BX330=1,UPPER(VLOOKUP(T330,Parameter!$I$27:$K$29,2,0)),IF(P330="","LOSE",P330)))</f>
        <v>S63</v>
      </c>
      <c r="BV330" s="50" t="n">
        <f aca="false">IF(BU330="LOSE",1,IF(N(V330)&gt;0,V330,IF(BX330=1,MAX(1,N(VLOOKUP(T330,Parameter!$I$27:$K$29,3,0)),H330,N(N330)),IF(N(Q330)&gt;0,Q330,MAX(1,H330)))))</f>
        <v>171</v>
      </c>
      <c r="BW330" s="53" t="n">
        <f aca="false">IF(BU330="LOSE",1,0)</f>
        <v>0</v>
      </c>
      <c r="BX330" s="53" t="n">
        <f aca="false">IF(AND(U330="",OR(P330="",P330="LOSE"),T330&lt;&gt;"",N(S330)&lt;=0,ISNUMBER(MATCH(T330,Parameter!$I$27:$I$29,0))),1,0)</f>
        <v>0</v>
      </c>
      <c r="BY330" s="53" t="n">
        <f aca="false">IF(CL330&gt;0,INDEX(Parameter!$H$5:$H$7,W330)/INDEX(Parameter!$E$5:$E$7,W330),IF(AND(BW330=0,N(IFERROR(VLOOKUP(BU330,'Gebinde-Kategorie'!$A$5:$N$45,14,0),0))&gt;0),VLOOKUP(BU330,'Gebinde-Kategorie'!$A$5:$N$45,14,0)*10+Parameter!$M$23,Parameter!$M$24))</f>
        <v>345</v>
      </c>
      <c r="BZ330" s="48" t="str">
        <f aca="false">IF(AND(Parameter!$B$19="Ja",E330&lt;&gt;"",ISNUMBER(MATCH(E330,Parameter!$I$35:$I$52,0))),VLOOKUP(E330,Parameter!$I$35:$J$52,2,0),IFERROR(VLOOKUP(D330,Parameter!$A$35:$C$64,2,0),"Nein"))</f>
        <v>2+3</v>
      </c>
      <c r="CA330" s="52" t="n">
        <f aca="false">IF(BW330=0,0,IF(N(S330)&gt;0,S330,IFERROR(VLOOKUP(D330,Parameter!$A$35:$C$64,3,0)+0,0)))</f>
        <v>0</v>
      </c>
      <c r="CB330" s="48" t="n">
        <f aca="false">IF(AA330&lt;&gt;"",AA330,Z330)</f>
        <v>2</v>
      </c>
      <c r="CC330" s="48" t="str">
        <f aca="false">IF(OR(CB330=1,CB330=2,CB330=3),IF(Parameter!$E$27="Ja","LIFT",IF(CB330=1,"L1","L23")),IF(CB330="Aussen","Aussen","-"))</f>
        <v>LIFT</v>
      </c>
      <c r="CD330" s="59" t="n">
        <f aca="false">IF(N(AB330)&gt;0,AB330,0)</f>
        <v>0</v>
      </c>
      <c r="CE330" s="53" t="n">
        <f aca="false">IF(ISNUMBER(AE330),1,0)</f>
        <v>0</v>
      </c>
      <c r="CF330" s="50" t="n">
        <f aca="false">N(AE330)</f>
        <v>0</v>
      </c>
      <c r="CG330" s="50" t="n">
        <f aca="false">N(M330)+N(N330)</f>
        <v>35</v>
      </c>
      <c r="CH330" s="50" t="n">
        <f aca="false">ROUNDUP(H330/BV330,0)</f>
        <v>1</v>
      </c>
      <c r="CI330" s="50" t="n">
        <f aca="false">ROUNDUP(CF330/BV330,0)</f>
        <v>0</v>
      </c>
      <c r="CJ330" s="53" t="n">
        <f aca="false">IF(BW330=1,0,IFERROR(VLOOKUP(BU330,'Gebinde-Kategorie'!$A$5:$N$45,5,0)+0,0))</f>
        <v>31</v>
      </c>
      <c r="CK330" s="53" t="n">
        <f aca="false">IFERROR(IF(OR(CB330=1,CB330=2,CB330=3),N(INDEX(Parameter!$I$5:$I$7,CB330)),0),0)</f>
        <v>0</v>
      </c>
      <c r="CL330" s="52" t="n">
        <f aca="false">IF(AND(Parameter!$B$21="Ja",ISNUMBER(W330),N(X330)&gt;0),IFERROR(N(INDEX(Parameter!$L$5:$L$7,W330))*INDEX(Parameter!$E$5:$E$7,W330)*X330/SUMIFS($X$7:$X$1843,$W$7:$W$1843,W330),0),0)</f>
        <v>0</v>
      </c>
    </row>
    <row r="331" customFormat="false" ht="15" hidden="false" customHeight="false" outlineLevel="0" collapsed="false">
      <c r="A331" s="48" t="s">
        <v>827</v>
      </c>
      <c r="B331" s="48" t="s">
        <v>828</v>
      </c>
      <c r="C331" s="48" t="s">
        <v>168</v>
      </c>
      <c r="D331" s="48" t="s">
        <v>188</v>
      </c>
      <c r="E331" s="48"/>
      <c r="F331" s="48" t="s">
        <v>222</v>
      </c>
      <c r="G331" s="49" t="n">
        <v>0.5</v>
      </c>
      <c r="H331" s="50" t="n">
        <f aca="false">MAX(0,IF(AND(Parameter!$B$21="Ja",ISNUMBER(Y331)),Y331,IF(Parameter!$B$20="Jahresanfang 2025 + Export",BO331+BN331,BN331)))</f>
        <v>497</v>
      </c>
      <c r="I331" s="50" t="n">
        <f aca="false">H331*G331</f>
        <v>248.5</v>
      </c>
      <c r="J331" s="50" t="n">
        <f aca="false">BQ331*Parameter!$B$18</f>
        <v>0</v>
      </c>
      <c r="K331" s="51" t="n">
        <v>345.5</v>
      </c>
      <c r="L331" s="52" t="n">
        <v>0</v>
      </c>
      <c r="M331" s="50" t="n">
        <v>9</v>
      </c>
      <c r="N331" s="50" t="n">
        <v>250</v>
      </c>
      <c r="O331" s="53" t="n">
        <v>14</v>
      </c>
      <c r="P331" s="48" t="s">
        <v>425</v>
      </c>
      <c r="Q331" s="50" t="n">
        <v>600</v>
      </c>
      <c r="R331" s="53" t="n">
        <f aca="false">IF(BW331=1,0,IFERROR(VLOOKUP(BU331,'Gebinde-Kategorie'!$A$5:$N$45,13,0)+0,0))</f>
        <v>104</v>
      </c>
      <c r="S331" s="54"/>
      <c r="T331" s="55"/>
      <c r="U331" s="55"/>
      <c r="V331" s="55"/>
      <c r="W331" s="48"/>
      <c r="X331" s="50"/>
      <c r="Y331" s="50"/>
      <c r="Z331" s="48" t="n">
        <f aca="false">IF(A331="","",IF(AND(Parameter!$B$21="Ja",ISNUMBER(W331)),W331,IF(BZ331="2+3",IF(ISNUMBER(SEARCH("grosser Artikel",BR331)),2,IFERROR(VLOOKUP(BU331,Parameter!$F$35:$G$64,2,0),2)),IF(OR(BZ331="Nein",BZ331=""),"-",BZ331))))</f>
        <v>3</v>
      </c>
      <c r="AA331" s="55"/>
      <c r="AB331" s="56"/>
      <c r="AC331" s="50" t="n">
        <f aca="false">AT331</f>
        <v>600</v>
      </c>
      <c r="AD331" s="50" t="n">
        <f aca="false">MAX(AT331,H331)</f>
        <v>600</v>
      </c>
      <c r="AE331" s="57"/>
      <c r="AF331" s="50" t="n">
        <f aca="false">IF(LEFT(Cockpit!$C$5,1)="A",H331,IF(CE331=1,CF331,IF(LEFT(Cockpit!$C$5,1)="B",AK331,MAX(AK331,H331))))</f>
        <v>497</v>
      </c>
      <c r="AG331" s="50" t="n">
        <f aca="false">IF(BW331=1,0,ROUNDUP(AF331/BV331,0))</f>
        <v>1</v>
      </c>
      <c r="AH331" s="52" t="n">
        <f aca="false">IF(CL331&gt;0,CL331*MAX(1,AF331/X331),IF(BW331=1,IF(AF331&lt;=0,0,CA331*MAX(1,IF(H331&gt;0,AF331/H331,1))),IF(R331&gt;0,AG331/R331,0))/MAX(0.1,N(Parameter!$M$21)))</f>
        <v>0.00961538461538462</v>
      </c>
      <c r="AI331" s="50" t="n">
        <f aca="false">AH331*BY331</f>
        <v>1.49038461538462</v>
      </c>
      <c r="AJ331" s="50" t="n">
        <f aca="false">AF331*G331</f>
        <v>248.5</v>
      </c>
      <c r="AK331" s="50" t="n">
        <f aca="false">ROUNDUP(MAX(J331/IF(CD331&gt;0,CD331,MAX(0.1,N(Cockpit!$C$6))),CG331)/BV331,0)*BV331</f>
        <v>600</v>
      </c>
      <c r="AL331" s="51" t="n">
        <f aca="false">IF(AI331&gt;0,J331/AI331,-1)</f>
        <v>0</v>
      </c>
      <c r="AM331" s="51" t="n">
        <f aca="false">IF(AND(OR(CC331="L1",CC331="L23",CC331="LIFT"),AI331&gt;0),SUMIFS($AI$7:$AI$1843,$CC$7:$CC$1843,CC331,$AL$7:$AL$1843,"&gt;"&amp;AL331)+SUMIFS($AI$7:$AI$1843,$CC$7:$CC$1843,CC331,$AL$7:$AL$1843,AL331,$BT$7:$BT$1843,"&lt;="&amp;BT331),"")</f>
        <v>27977.335790857</v>
      </c>
      <c r="AN331" s="58" t="n">
        <f aca="false">IF(AM331="",0,MAX(0,MIN(1,(IF(CC331="L1",Parameter!$H$5,IF(CC331="L23",Parameter!$H$6+Parameter!$H$7,Parameter!$H$5+Parameter!$H$6+Parameter!$H$7))-(AM331-AI331))/AI331)))</f>
        <v>1</v>
      </c>
      <c r="AO331" s="50" t="n">
        <f aca="false">IF(LEFT(Cockpit!$I$5,1)="A",H331,IF(CE331=1,CF331,IF(LEFT(Cockpit!$I$5,1)="B",AT331,MAX(AT331,H331))))</f>
        <v>600</v>
      </c>
      <c r="AP331" s="50" t="n">
        <f aca="false">IF(BW331=1,0,ROUNDUP(AO331/BV331,0))</f>
        <v>1</v>
      </c>
      <c r="AQ331" s="52" t="n">
        <f aca="false">IF(CL331&gt;0,CL331*MAX(1,AO331/X331),IF(BW331=1,IF(AO331&lt;=0,0,CA331*MAX(1,IF(H331&gt;0,AO331/H331,1))),IF(R331&gt;0,AP331/R331,0))/MAX(0.1,N(Parameter!$M$21)))</f>
        <v>0.00961538461538462</v>
      </c>
      <c r="AR331" s="50" t="n">
        <f aca="false">AQ331*BY331</f>
        <v>1.49038461538462</v>
      </c>
      <c r="AS331" s="50" t="n">
        <f aca="false">AO331*G331</f>
        <v>300</v>
      </c>
      <c r="AT331" s="50" t="n">
        <f aca="false">ROUNDUP(MAX(J331/IF(CD331&gt;0,CD331,MAX(0.1,N(Cockpit!$I$6))),CG331)/BV331,0)*BV331</f>
        <v>600</v>
      </c>
      <c r="AU331" s="51" t="n">
        <f aca="false">IF(AR331&gt;0,J331/AR331,-1)</f>
        <v>0</v>
      </c>
      <c r="AV331" s="51" t="n">
        <f aca="false">IF(AND(OR(CC331="L1",CC331="L23",CC331="LIFT"),AR331&gt;0),SUMIFS($AR$7:$AR$1843,$CC$7:$CC$1843,CC331,$AU$7:$AU$1843,"&gt;"&amp;AU331)+SUMIFS($AR$7:$AR$1843,$CC$7:$CC$1843,CC331,$AU$7:$AU$1843,AU331,$BT$7:$BT$1843,"&lt;="&amp;BT331),"")</f>
        <v>39290.2413081269</v>
      </c>
      <c r="AW331" s="58" t="n">
        <f aca="false">IF(AV331="",0,MAX(0,MIN(1,(IF(CC331="L1",Parameter!$H$5,IF(CC331="L23",Parameter!$H$6+Parameter!$H$7,Parameter!$H$5+Parameter!$H$6+Parameter!$H$7))-(AV331-AR331))/AR331)))</f>
        <v>0</v>
      </c>
      <c r="AX331" s="50" t="n">
        <f aca="false">IF(LEFT(Cockpit!$O$5,1)="A",H331,IF(CE331=1,CF331,IF(LEFT(Cockpit!$O$5,1)="B",BC331,MAX(BC331,H331))))</f>
        <v>600</v>
      </c>
      <c r="AY331" s="50" t="n">
        <f aca="false">IF(BW331=1,0,ROUNDUP(AX331/BV331,0))</f>
        <v>1</v>
      </c>
      <c r="AZ331" s="52" t="n">
        <f aca="false">IF(CL331&gt;0,CL331*MAX(1,AX331/X331),IF(BW331=1,IF(AX331&lt;=0,0,CA331*MAX(1,IF(H331&gt;0,AX331/H331,1))),IF(R331&gt;0,AY331/R331,0))/MAX(0.1,N(Parameter!$M$21)))</f>
        <v>0.00961538461538462</v>
      </c>
      <c r="BA331" s="50" t="n">
        <f aca="false">AZ331*BY331</f>
        <v>1.49038461538462</v>
      </c>
      <c r="BB331" s="50" t="n">
        <f aca="false">AX331*G331</f>
        <v>300</v>
      </c>
      <c r="BC331" s="50" t="n">
        <f aca="false">ROUNDUP(MAX(J331/IF(CD331&gt;0,CD331,MAX(0.1,N(Cockpit!$O$6))),CG331)/BV331,0)*BV331</f>
        <v>600</v>
      </c>
      <c r="BD331" s="51" t="n">
        <f aca="false">IF(BA331&gt;0,J331/BA331,-1)</f>
        <v>0</v>
      </c>
      <c r="BE331" s="51" t="n">
        <f aca="false">IF(AND(OR(CC331="L1",CC331="L23",CC331="LIFT"),BA331&gt;0),SUMIFS($BA$7:$BA$1843,$CC$7:$CC$1843,CC331,$BD$7:$BD$1843,"&gt;"&amp;BD331)+SUMIFS($BA$7:$BA$1843,$CC$7:$CC$1843,CC331,$BD$7:$BD$1843,BD331,$BT$7:$BT$1843,"&lt;="&amp;BT331),"")</f>
        <v>35965.2533499928</v>
      </c>
      <c r="BF331" s="58" t="n">
        <f aca="false">IF(BE331="",0,MAX(0,MIN(1,(IF(CC331="L1",Parameter!$H$5,IF(CC331="L23",Parameter!$H$6+Parameter!$H$7,Parameter!$H$5+Parameter!$H$6+Parameter!$H$7))-(BE331-BA331))/BA331)))</f>
        <v>0</v>
      </c>
      <c r="BG331" s="48" t="str">
        <f aca="false">IF(AI331&lt;=0,"",IF(CC331="Aussen","Aussenlager",IF(CC331="-","Nicht im Lift",IF(AN331&gt;=1,"Lift",IF(AN331&lt;=0,"Aussenlager","teilweise")))))</f>
        <v>Lift</v>
      </c>
      <c r="BH331" s="48" t="str">
        <f aca="false">IF(AR331&lt;=0,"",IF(CC331="Aussen","Aussenlager",IF(CC331="-","Nicht im Lift",IF(AW331&gt;=1,"Lift",IF(AW331&lt;=0,"Aussenlager","teilweise")))))</f>
        <v>Aussenlager</v>
      </c>
      <c r="BI331" s="48" t="str">
        <f aca="false">IF(BA331&lt;=0,"",IF(CC331="Aussen","Aussenlager",IF(CC331="-","Nicht im Lift",IF(BF331&gt;=1,"Lift",IF(BF331&lt;=0,"Aussenlager","teilweise")))))</f>
        <v>Aussenlager</v>
      </c>
      <c r="BJ331" s="48" t="str">
        <f aca="false">IF(A331="","",IF(BS331=1,"Neu; ","")&amp;IF(AND(BS331=0,BN331&lt;0),"negativer Bestand (Export "&amp;BN331&amp;"); ","")&amp;IF(J331&lt;=0,"Kein Verbrauch; ","")&amp;IF(CL331&gt;0,"Lift "&amp;W331&amp;" lt. Liftbericht (Fach "&amp;X331&amp;" Stk); ",IF(BX331=1,"Gebinde geschätzt ("&amp;T331&amp;"); ",IF(BW331=1,"Lose – Tablare geschätzt; ","")))&amp;IF(H331&gt;AT331,"Überbestand "&amp;ROUND(H331-AT331,0)&amp;" Stk / CHF "&amp;ROUND((H331-AT331)*G331,0)&amp;"; ","")&amp;IF(AND(CE331=1,CF331&lt;CG331),"MAX &lt; MB+LG; ","")&amp;IF(AND(CK331&gt;0,CJ331*10&gt;CK331),"zu hoch für Tablar; ","")&amp;IF(AND(BS331=0,OR(CE331=1,AA331&lt;&gt;"",U331&lt;&gt;"",V331&lt;&gt;"",AB331&lt;&gt;"")),"manuell übersteuert; ","")&amp;IF(AND(BW331=0,R331=0),"Gebinde unbekannt / Stellmass fehlt; ","")&amp;IF(AND(BW331=0,N(V331)&lt;=0,N(Q331)&lt;=0),"Menge pro Gebinde fehlt (Ist = 1 Gebinde); ","")&amp;BR331)</f>
        <v>Kein Verbrauch; </v>
      </c>
      <c r="BK331" s="48"/>
      <c r="BL331" s="48"/>
      <c r="BM331" s="55"/>
      <c r="BN331" s="50" t="n">
        <v>434</v>
      </c>
      <c r="BO331" s="50" t="n">
        <v>63</v>
      </c>
      <c r="BP331" s="49" t="n">
        <v>217</v>
      </c>
      <c r="BQ331" s="50" t="n">
        <v>0</v>
      </c>
      <c r="BR331" s="48"/>
      <c r="BS331" s="53" t="n">
        <v>0</v>
      </c>
      <c r="BT331" s="53" t="n">
        <v>331</v>
      </c>
      <c r="BU331" s="48" t="str">
        <f aca="false">IF(U331&lt;&gt;"",UPPER(TRIM(U331)),IF(BX331=1,UPPER(VLOOKUP(T331,Parameter!$I$27:$K$29,2,0)),IF(P331="","LOSE",P331)))</f>
        <v>S32</v>
      </c>
      <c r="BV331" s="50" t="n">
        <f aca="false">IF(BU331="LOSE",1,IF(N(V331)&gt;0,V331,IF(BX331=1,MAX(1,N(VLOOKUP(T331,Parameter!$I$27:$K$29,3,0)),H331,N(N331)),IF(N(Q331)&gt;0,Q331,MAX(1,H331)))))</f>
        <v>600</v>
      </c>
      <c r="BW331" s="53" t="n">
        <f aca="false">IF(BU331="LOSE",1,0)</f>
        <v>0</v>
      </c>
      <c r="BX331" s="53" t="n">
        <f aca="false">IF(AND(U331="",OR(P331="",P331="LOSE"),T331&lt;&gt;"",N(S331)&lt;=0,ISNUMBER(MATCH(T331,Parameter!$I$27:$I$29,0))),1,0)</f>
        <v>0</v>
      </c>
      <c r="BY331" s="53" t="n">
        <f aca="false">IF(CL331&gt;0,INDEX(Parameter!$H$5:$H$7,W331)/INDEX(Parameter!$E$5:$E$7,W331),IF(AND(BW331=0,N(IFERROR(VLOOKUP(BU331,'Gebinde-Kategorie'!$A$5:$N$45,14,0),0))&gt;0),VLOOKUP(BU331,'Gebinde-Kategorie'!$A$5:$N$45,14,0)*10+Parameter!$M$23,Parameter!$M$24))</f>
        <v>155</v>
      </c>
      <c r="BZ331" s="48" t="str">
        <f aca="false">IF(AND(Parameter!$B$19="Ja",E331&lt;&gt;"",ISNUMBER(MATCH(E331,Parameter!$I$35:$I$52,0))),VLOOKUP(E331,Parameter!$I$35:$J$52,2,0),IFERROR(VLOOKUP(D331,Parameter!$A$35:$C$64,2,0),"Nein"))</f>
        <v>2+3</v>
      </c>
      <c r="CA331" s="52" t="n">
        <f aca="false">IF(BW331=0,0,IF(N(S331)&gt;0,S331,IFERROR(VLOOKUP(D331,Parameter!$A$35:$C$64,3,0)+0,0)))</f>
        <v>0</v>
      </c>
      <c r="CB331" s="48" t="n">
        <f aca="false">IF(AA331&lt;&gt;"",AA331,Z331)</f>
        <v>3</v>
      </c>
      <c r="CC331" s="48" t="str">
        <f aca="false">IF(OR(CB331=1,CB331=2,CB331=3),IF(Parameter!$E$27="Ja","LIFT",IF(CB331=1,"L1","L23")),IF(CB331="Aussen","Aussen","-"))</f>
        <v>LIFT</v>
      </c>
      <c r="CD331" s="59" t="n">
        <f aca="false">IF(N(AB331)&gt;0,AB331,0)</f>
        <v>0</v>
      </c>
      <c r="CE331" s="53" t="n">
        <f aca="false">IF(ISNUMBER(AE331),1,0)</f>
        <v>0</v>
      </c>
      <c r="CF331" s="50" t="n">
        <f aca="false">N(AE331)</f>
        <v>0</v>
      </c>
      <c r="CG331" s="50" t="n">
        <f aca="false">N(M331)+N(N331)</f>
        <v>259</v>
      </c>
      <c r="CH331" s="50" t="n">
        <f aca="false">ROUNDUP(H331/BV331,0)</f>
        <v>1</v>
      </c>
      <c r="CI331" s="50" t="n">
        <f aca="false">ROUNDUP(CF331/BV331,0)</f>
        <v>0</v>
      </c>
      <c r="CJ331" s="53" t="n">
        <f aca="false">IF(BW331=1,0,IFERROR(VLOOKUP(BU331,'Gebinde-Kategorie'!$A$5:$N$45,5,0)+0,0))</f>
        <v>8</v>
      </c>
      <c r="CK331" s="53" t="n">
        <f aca="false">IFERROR(IF(OR(CB331=1,CB331=2,CB331=3),N(INDEX(Parameter!$I$5:$I$7,CB331)),0),0)</f>
        <v>0</v>
      </c>
      <c r="CL331" s="52" t="n">
        <f aca="false">IF(AND(Parameter!$B$21="Ja",ISNUMBER(W331),N(X331)&gt;0),IFERROR(N(INDEX(Parameter!$L$5:$L$7,W331))*INDEX(Parameter!$E$5:$E$7,W331)*X331/SUMIFS($X$7:$X$1843,$W$7:$W$1843,W331),0),0)</f>
        <v>0</v>
      </c>
    </row>
    <row r="332" customFormat="false" ht="15" hidden="false" customHeight="false" outlineLevel="0" collapsed="false">
      <c r="A332" s="48" t="s">
        <v>829</v>
      </c>
      <c r="B332" s="48" t="s">
        <v>830</v>
      </c>
      <c r="C332" s="48" t="s">
        <v>168</v>
      </c>
      <c r="D332" s="48" t="s">
        <v>188</v>
      </c>
      <c r="E332" s="48" t="s">
        <v>189</v>
      </c>
      <c r="F332" s="48" t="s">
        <v>222</v>
      </c>
      <c r="G332" s="49" t="n">
        <v>16.63</v>
      </c>
      <c r="H332" s="50" t="n">
        <f aca="false">MAX(0,IF(AND(Parameter!$B$21="Ja",ISNUMBER(Y332)),Y332,IF(Parameter!$B$20="Jahresanfang 2025 + Export",BO332+BN332,BN332)))</f>
        <v>16</v>
      </c>
      <c r="I332" s="50" t="n">
        <f aca="false">H332*G332</f>
        <v>266.08</v>
      </c>
      <c r="J332" s="50" t="n">
        <f aca="false">BQ332*Parameter!$B$18</f>
        <v>8</v>
      </c>
      <c r="K332" s="51" t="n">
        <v>15</v>
      </c>
      <c r="L332" s="52" t="n">
        <v>0.533333333333333</v>
      </c>
      <c r="M332" s="50" t="n">
        <v>0</v>
      </c>
      <c r="N332" s="50" t="n">
        <v>10</v>
      </c>
      <c r="O332" s="53" t="n">
        <v>14</v>
      </c>
      <c r="P332" s="48" t="s">
        <v>405</v>
      </c>
      <c r="Q332" s="50" t="n">
        <v>9</v>
      </c>
      <c r="R332" s="53" t="n">
        <f aca="false">IF(BW332=1,0,IFERROR(VLOOKUP(BU332,'Gebinde-Kategorie'!$A$5:$N$45,13,0)+0,0))</f>
        <v>280</v>
      </c>
      <c r="S332" s="54"/>
      <c r="T332" s="55"/>
      <c r="U332" s="55"/>
      <c r="V332" s="55"/>
      <c r="W332" s="48"/>
      <c r="X332" s="50"/>
      <c r="Y332" s="50"/>
      <c r="Z332" s="48" t="n">
        <f aca="false">IF(A332="","",IF(AND(Parameter!$B$21="Ja",ISNUMBER(W332)),W332,IF(BZ332="2+3",IF(ISNUMBER(SEARCH("grosser Artikel",BR332)),2,IFERROR(VLOOKUP(BU332,Parameter!$F$35:$G$64,2,0),2)),IF(OR(BZ332="Nein",BZ332=""),"-",BZ332))))</f>
        <v>3</v>
      </c>
      <c r="AA332" s="55"/>
      <c r="AB332" s="56"/>
      <c r="AC332" s="50" t="n">
        <f aca="false">AT332</f>
        <v>18</v>
      </c>
      <c r="AD332" s="50" t="n">
        <f aca="false">MAX(AT332,H332)</f>
        <v>18</v>
      </c>
      <c r="AE332" s="57"/>
      <c r="AF332" s="50" t="n">
        <f aca="false">IF(LEFT(Cockpit!$C$5,1)="A",H332,IF(CE332=1,CF332,IF(LEFT(Cockpit!$C$5,1)="B",AK332,MAX(AK332,H332))))</f>
        <v>16</v>
      </c>
      <c r="AG332" s="50" t="n">
        <f aca="false">IF(BW332=1,0,ROUNDUP(AF332/BV332,0))</f>
        <v>2</v>
      </c>
      <c r="AH332" s="52" t="n">
        <f aca="false">IF(CL332&gt;0,CL332*MAX(1,AF332/X332),IF(BW332=1,IF(AF332&lt;=0,0,CA332*MAX(1,IF(H332&gt;0,AF332/H332,1))),IF(R332&gt;0,AG332/R332,0))/MAX(0.1,N(Parameter!$M$21)))</f>
        <v>0.00714285714285714</v>
      </c>
      <c r="AI332" s="50" t="n">
        <f aca="false">AH332*BY332</f>
        <v>1.10714285714286</v>
      </c>
      <c r="AJ332" s="50" t="n">
        <f aca="false">AF332*G332</f>
        <v>266.08</v>
      </c>
      <c r="AK332" s="50" t="n">
        <f aca="false">ROUNDUP(MAX(J332/IF(CD332&gt;0,CD332,MAX(0.1,N(Cockpit!$C$6))),CG332)/BV332,0)*BV332</f>
        <v>18</v>
      </c>
      <c r="AL332" s="51" t="n">
        <f aca="false">IF(AI332&gt;0,J332/AI332,-1)</f>
        <v>7.2258064516129</v>
      </c>
      <c r="AM332" s="51" t="n">
        <f aca="false">IF(AND(OR(CC332="L1",CC332="L23",CC332="LIFT"),AI332&gt;0),SUMIFS($AI$7:$AI$1843,$CC$7:$CC$1843,CC332,$AL$7:$AL$1843,"&gt;"&amp;AL332)+SUMIFS($AI$7:$AI$1843,$CC$7:$CC$1843,CC332,$AL$7:$AL$1843,AL332,$BT$7:$BT$1843,"&lt;="&amp;BT332),"")</f>
        <v>3154.47573260073</v>
      </c>
      <c r="AN332" s="58" t="n">
        <f aca="false">IF(AM332="",0,MAX(0,MIN(1,(IF(CC332="L1",Parameter!$H$5,IF(CC332="L23",Parameter!$H$6+Parameter!$H$7,Parameter!$H$5+Parameter!$H$6+Parameter!$H$7))-(AM332-AI332))/AI332)))</f>
        <v>1</v>
      </c>
      <c r="AO332" s="50" t="n">
        <f aca="false">IF(LEFT(Cockpit!$I$5,1)="A",H332,IF(CE332=1,CF332,IF(LEFT(Cockpit!$I$5,1)="B",AT332,MAX(AT332,H332))))</f>
        <v>18</v>
      </c>
      <c r="AP332" s="50" t="n">
        <f aca="false">IF(BW332=1,0,ROUNDUP(AO332/BV332,0))</f>
        <v>2</v>
      </c>
      <c r="AQ332" s="52" t="n">
        <f aca="false">IF(CL332&gt;0,CL332*MAX(1,AO332/X332),IF(BW332=1,IF(AO332&lt;=0,0,CA332*MAX(1,IF(H332&gt;0,AO332/H332,1))),IF(R332&gt;0,AP332/R332,0))/MAX(0.1,N(Parameter!$M$21)))</f>
        <v>0.00714285714285714</v>
      </c>
      <c r="AR332" s="50" t="n">
        <f aca="false">AQ332*BY332</f>
        <v>1.10714285714286</v>
      </c>
      <c r="AS332" s="50" t="n">
        <f aca="false">AO332*G332</f>
        <v>299.34</v>
      </c>
      <c r="AT332" s="50" t="n">
        <f aca="false">ROUNDUP(MAX(J332/IF(CD332&gt;0,CD332,MAX(0.1,N(Cockpit!$I$6))),CG332)/BV332,0)*BV332</f>
        <v>18</v>
      </c>
      <c r="AU332" s="51" t="n">
        <f aca="false">IF(AR332&gt;0,J332/AR332,-1)</f>
        <v>7.2258064516129</v>
      </c>
      <c r="AV332" s="51" t="n">
        <f aca="false">IF(AND(OR(CC332="L1",CC332="L23",CC332="LIFT"),AR332&gt;0),SUMIFS($AR$7:$AR$1843,$CC$7:$CC$1843,CC332,$AU$7:$AU$1843,"&gt;"&amp;AU332)+SUMIFS($AR$7:$AR$1843,$CC$7:$CC$1843,CC332,$AU$7:$AU$1843,AU332,$BT$7:$BT$1843,"&lt;="&amp;BT332),"")</f>
        <v>4338.48992673993</v>
      </c>
      <c r="AW332" s="58" t="n">
        <f aca="false">IF(AV332="",0,MAX(0,MIN(1,(IF(CC332="L1",Parameter!$H$5,IF(CC332="L23",Parameter!$H$6+Parameter!$H$7,Parameter!$H$5+Parameter!$H$6+Parameter!$H$7))-(AV332-AR332))/AR332)))</f>
        <v>1</v>
      </c>
      <c r="AX332" s="50" t="n">
        <f aca="false">IF(LEFT(Cockpit!$O$5,1)="A",H332,IF(CE332=1,CF332,IF(LEFT(Cockpit!$O$5,1)="B",BC332,MAX(BC332,H332))))</f>
        <v>18</v>
      </c>
      <c r="AY332" s="50" t="n">
        <f aca="false">IF(BW332=1,0,ROUNDUP(AX332/BV332,0))</f>
        <v>2</v>
      </c>
      <c r="AZ332" s="52" t="n">
        <f aca="false">IF(CL332&gt;0,CL332*MAX(1,AX332/X332),IF(BW332=1,IF(AX332&lt;=0,0,CA332*MAX(1,IF(H332&gt;0,AX332/H332,1))),IF(R332&gt;0,AY332/R332,0))/MAX(0.1,N(Parameter!$M$21)))</f>
        <v>0.00714285714285714</v>
      </c>
      <c r="BA332" s="50" t="n">
        <f aca="false">AZ332*BY332</f>
        <v>1.10714285714286</v>
      </c>
      <c r="BB332" s="50" t="n">
        <f aca="false">AX332*G332</f>
        <v>299.34</v>
      </c>
      <c r="BC332" s="50" t="n">
        <f aca="false">ROUNDUP(MAX(J332/IF(CD332&gt;0,CD332,MAX(0.1,N(Cockpit!$O$6))),CG332)/BV332,0)*BV332</f>
        <v>18</v>
      </c>
      <c r="BD332" s="51" t="n">
        <f aca="false">IF(BA332&gt;0,J332/BA332,-1)</f>
        <v>7.2258064516129</v>
      </c>
      <c r="BE332" s="51" t="n">
        <f aca="false">IF(AND(OR(CC332="L1",CC332="L23",CC332="LIFT"),BA332&gt;0),SUMIFS($BA$7:$BA$1843,$CC$7:$CC$1843,CC332,$BD$7:$BD$1843,"&gt;"&amp;BD332)+SUMIFS($BA$7:$BA$1843,$CC$7:$CC$1843,CC332,$BD$7:$BD$1843,BD332,$BT$7:$BT$1843,"&lt;="&amp;BT332),"")</f>
        <v>4081.45467032967</v>
      </c>
      <c r="BF332" s="58" t="n">
        <f aca="false">IF(BE332="",0,MAX(0,MIN(1,(IF(CC332="L1",Parameter!$H$5,IF(CC332="L23",Parameter!$H$6+Parameter!$H$7,Parameter!$H$5+Parameter!$H$6+Parameter!$H$7))-(BE332-BA332))/BA332)))</f>
        <v>1</v>
      </c>
      <c r="BG332" s="48" t="str">
        <f aca="false">IF(AI332&lt;=0,"",IF(CC332="Aussen","Aussenlager",IF(CC332="-","Nicht im Lift",IF(AN332&gt;=1,"Lift",IF(AN332&lt;=0,"Aussenlager","teilweise")))))</f>
        <v>Lift</v>
      </c>
      <c r="BH332" s="48" t="str">
        <f aca="false">IF(AR332&lt;=0,"",IF(CC332="Aussen","Aussenlager",IF(CC332="-","Nicht im Lift",IF(AW332&gt;=1,"Lift",IF(AW332&lt;=0,"Aussenlager","teilweise")))))</f>
        <v>Lift</v>
      </c>
      <c r="BI332" s="48" t="str">
        <f aca="false">IF(BA332&lt;=0,"",IF(CC332="Aussen","Aussenlager",IF(CC332="-","Nicht im Lift",IF(BF332&gt;=1,"Lift",IF(BF332&lt;=0,"Aussenlager","teilweise")))))</f>
        <v>Lift</v>
      </c>
      <c r="BJ332" s="48" t="str">
        <f aca="false">IF(A332="","",IF(BS332=1,"Neu; ","")&amp;IF(AND(BS332=0,BN332&lt;0),"negativer Bestand (Export "&amp;BN332&amp;"); ","")&amp;IF(J332&lt;=0,"Kein Verbrauch; ","")&amp;IF(CL332&gt;0,"Lift "&amp;W332&amp;" lt. Liftbericht (Fach "&amp;X332&amp;" Stk); ",IF(BX332=1,"Gebinde geschätzt ("&amp;T332&amp;"); ",IF(BW332=1,"Lose – Tablare geschätzt; ","")))&amp;IF(H332&gt;AT332,"Überbestand "&amp;ROUND(H332-AT332,0)&amp;" Stk / CHF "&amp;ROUND((H332-AT332)*G332,0)&amp;"; ","")&amp;IF(AND(CE332=1,CF332&lt;CG332),"MAX &lt; MB+LG; ","")&amp;IF(AND(CK332&gt;0,CJ332*10&gt;CK332),"zu hoch für Tablar; ","")&amp;IF(AND(BS332=0,OR(CE332=1,AA332&lt;&gt;"",U332&lt;&gt;"",V332&lt;&gt;"",AB332&lt;&gt;"")),"manuell übersteuert; ","")&amp;IF(AND(BW332=0,R332=0),"Gebinde unbekannt / Stellmass fehlt; ","")&amp;IF(AND(BW332=0,N(V332)&lt;=0,N(Q332)&lt;=0),"Menge pro Gebinde fehlt (Ist = 1 Gebinde); ","")&amp;BR332)</f>
        <v/>
      </c>
      <c r="BK332" s="48"/>
      <c r="BL332" s="48"/>
      <c r="BM332" s="55"/>
      <c r="BN332" s="50" t="n">
        <v>13</v>
      </c>
      <c r="BO332" s="50" t="n">
        <v>3</v>
      </c>
      <c r="BP332" s="49" t="n">
        <v>216.19</v>
      </c>
      <c r="BQ332" s="50" t="n">
        <v>8</v>
      </c>
      <c r="BR332" s="48"/>
      <c r="BS332" s="53" t="n">
        <v>0</v>
      </c>
      <c r="BT332" s="53" t="n">
        <v>332</v>
      </c>
      <c r="BU332" s="48" t="str">
        <f aca="false">IF(U332&lt;&gt;"",UPPER(TRIM(U332)),IF(BX332=1,UPPER(VLOOKUP(T332,Parameter!$I$27:$K$29,2,0)),IF(P332="","LOSE",P332)))</f>
        <v>S21</v>
      </c>
      <c r="BV332" s="50" t="n">
        <f aca="false">IF(BU332="LOSE",1,IF(N(V332)&gt;0,V332,IF(BX332=1,MAX(1,N(VLOOKUP(T332,Parameter!$I$27:$K$29,3,0)),H332,N(N332)),IF(N(Q332)&gt;0,Q332,MAX(1,H332)))))</f>
        <v>9</v>
      </c>
      <c r="BW332" s="53" t="n">
        <f aca="false">IF(BU332="LOSE",1,0)</f>
        <v>0</v>
      </c>
      <c r="BX332" s="53" t="n">
        <f aca="false">IF(AND(U332="",OR(P332="",P332="LOSE"),T332&lt;&gt;"",N(S332)&lt;=0,ISNUMBER(MATCH(T332,Parameter!$I$27:$I$29,0))),1,0)</f>
        <v>0</v>
      </c>
      <c r="BY332" s="53" t="n">
        <f aca="false">IF(CL332&gt;0,INDEX(Parameter!$H$5:$H$7,W332)/INDEX(Parameter!$E$5:$E$7,W332),IF(AND(BW332=0,N(IFERROR(VLOOKUP(BU332,'Gebinde-Kategorie'!$A$5:$N$45,14,0),0))&gt;0),VLOOKUP(BU332,'Gebinde-Kategorie'!$A$5:$N$45,14,0)*10+Parameter!$M$23,Parameter!$M$24))</f>
        <v>155</v>
      </c>
      <c r="BZ332" s="48" t="str">
        <f aca="false">IF(AND(Parameter!$B$19="Ja",E332&lt;&gt;"",ISNUMBER(MATCH(E332,Parameter!$I$35:$I$52,0))),VLOOKUP(E332,Parameter!$I$35:$J$52,2,0),IFERROR(VLOOKUP(D332,Parameter!$A$35:$C$64,2,0),"Nein"))</f>
        <v>2+3</v>
      </c>
      <c r="CA332" s="52" t="n">
        <f aca="false">IF(BW332=0,0,IF(N(S332)&gt;0,S332,IFERROR(VLOOKUP(D332,Parameter!$A$35:$C$64,3,0)+0,0)))</f>
        <v>0</v>
      </c>
      <c r="CB332" s="48" t="n">
        <f aca="false">IF(AA332&lt;&gt;"",AA332,Z332)</f>
        <v>3</v>
      </c>
      <c r="CC332" s="48" t="str">
        <f aca="false">IF(OR(CB332=1,CB332=2,CB332=3),IF(Parameter!$E$27="Ja","LIFT",IF(CB332=1,"L1","L23")),IF(CB332="Aussen","Aussen","-"))</f>
        <v>LIFT</v>
      </c>
      <c r="CD332" s="59" t="n">
        <f aca="false">IF(N(AB332)&gt;0,AB332,0)</f>
        <v>0</v>
      </c>
      <c r="CE332" s="53" t="n">
        <f aca="false">IF(ISNUMBER(AE332),1,0)</f>
        <v>0</v>
      </c>
      <c r="CF332" s="50" t="n">
        <f aca="false">N(AE332)</f>
        <v>0</v>
      </c>
      <c r="CG332" s="50" t="n">
        <f aca="false">N(M332)+N(N332)</f>
        <v>10</v>
      </c>
      <c r="CH332" s="50" t="n">
        <f aca="false">ROUNDUP(H332/BV332,0)</f>
        <v>2</v>
      </c>
      <c r="CI332" s="50" t="n">
        <f aca="false">ROUNDUP(CF332/BV332,0)</f>
        <v>0</v>
      </c>
      <c r="CJ332" s="53" t="n">
        <f aca="false">IF(BW332=1,0,IFERROR(VLOOKUP(BU332,'Gebinde-Kategorie'!$A$5:$N$45,5,0)+0,0))</f>
        <v>8</v>
      </c>
      <c r="CK332" s="53" t="n">
        <f aca="false">IFERROR(IF(OR(CB332=1,CB332=2,CB332=3),N(INDEX(Parameter!$I$5:$I$7,CB332)),0),0)</f>
        <v>0</v>
      </c>
      <c r="CL332" s="52" t="n">
        <f aca="false">IF(AND(Parameter!$B$21="Ja",ISNUMBER(W332),N(X332)&gt;0),IFERROR(N(INDEX(Parameter!$L$5:$L$7,W332))*INDEX(Parameter!$E$5:$E$7,W332)*X332/SUMIFS($X$7:$X$1843,$W$7:$W$1843,W332),0),0)</f>
        <v>0</v>
      </c>
    </row>
    <row r="333" customFormat="false" ht="15" hidden="false" customHeight="false" outlineLevel="0" collapsed="false">
      <c r="A333" s="48" t="s">
        <v>831</v>
      </c>
      <c r="B333" s="48" t="s">
        <v>832</v>
      </c>
      <c r="C333" s="48" t="s">
        <v>168</v>
      </c>
      <c r="D333" s="48" t="s">
        <v>177</v>
      </c>
      <c r="E333" s="48" t="s">
        <v>189</v>
      </c>
      <c r="F333" s="48" t="s">
        <v>222</v>
      </c>
      <c r="G333" s="49" t="n">
        <v>12.37</v>
      </c>
      <c r="H333" s="50" t="n">
        <f aca="false">MAX(0,IF(AND(Parameter!$B$21="Ja",ISNUMBER(Y333)),Y333,IF(Parameter!$B$20="Jahresanfang 2025 + Export",BO333+BN333,BN333)))</f>
        <v>154</v>
      </c>
      <c r="I333" s="50" t="n">
        <f aca="false">H333*G333</f>
        <v>1904.98</v>
      </c>
      <c r="J333" s="50" t="n">
        <f aca="false">BQ333*Parameter!$B$18</f>
        <v>234</v>
      </c>
      <c r="K333" s="51" t="n">
        <v>120</v>
      </c>
      <c r="L333" s="52" t="n">
        <v>1.95</v>
      </c>
      <c r="M333" s="50" t="n">
        <v>30</v>
      </c>
      <c r="N333" s="50" t="n">
        <v>215</v>
      </c>
      <c r="O333" s="53" t="n">
        <v>42</v>
      </c>
      <c r="P333" s="48" t="s">
        <v>297</v>
      </c>
      <c r="Q333" s="50" t="n">
        <v>45</v>
      </c>
      <c r="R333" s="53" t="n">
        <f aca="false">IF(BW333=1,0,IFERROR(VLOOKUP(BU333,'Gebinde-Kategorie'!$A$5:$N$45,13,0)+0,0))</f>
        <v>12</v>
      </c>
      <c r="S333" s="54"/>
      <c r="T333" s="55"/>
      <c r="U333" s="55"/>
      <c r="V333" s="55"/>
      <c r="W333" s="48"/>
      <c r="X333" s="50"/>
      <c r="Y333" s="50"/>
      <c r="Z333" s="48" t="n">
        <f aca="false">IF(A333="","",IF(AND(Parameter!$B$21="Ja",ISNUMBER(W333)),W333,IF(BZ333="2+3",IF(ISNUMBER(SEARCH("grosser Artikel",BR333)),2,IFERROR(VLOOKUP(BU333,Parameter!$F$35:$G$64,2,0),2)),IF(OR(BZ333="Nein",BZ333=""),"-",BZ333))))</f>
        <v>2</v>
      </c>
      <c r="AA333" s="55"/>
      <c r="AB333" s="56"/>
      <c r="AC333" s="50" t="n">
        <f aca="false">AT333</f>
        <v>270</v>
      </c>
      <c r="AD333" s="50" t="n">
        <f aca="false">MAX(AT333,H333)</f>
        <v>270</v>
      </c>
      <c r="AE333" s="57"/>
      <c r="AF333" s="50" t="n">
        <f aca="false">IF(LEFT(Cockpit!$C$5,1)="A",H333,IF(CE333=1,CF333,IF(LEFT(Cockpit!$C$5,1)="B",AK333,MAX(AK333,H333))))</f>
        <v>154</v>
      </c>
      <c r="AG333" s="50" t="n">
        <f aca="false">IF(BW333=1,0,ROUNDUP(AF333/BV333,0))</f>
        <v>4</v>
      </c>
      <c r="AH333" s="52" t="n">
        <f aca="false">IF(CL333&gt;0,CL333*MAX(1,AF333/X333),IF(BW333=1,IF(AF333&lt;=0,0,CA333*MAX(1,IF(H333&gt;0,AF333/H333,1))),IF(R333&gt;0,AG333/R333,0))/MAX(0.1,N(Parameter!$M$21)))</f>
        <v>0.333333333333333</v>
      </c>
      <c r="AI333" s="50" t="n">
        <f aca="false">AH333*BY333</f>
        <v>81.6666666666667</v>
      </c>
      <c r="AJ333" s="50" t="n">
        <f aca="false">AF333*G333</f>
        <v>1904.98</v>
      </c>
      <c r="AK333" s="50" t="n">
        <f aca="false">ROUNDUP(MAX(J333/IF(CD333&gt;0,CD333,MAX(0.1,N(Cockpit!$C$6))),CG333)/BV333,0)*BV333</f>
        <v>270</v>
      </c>
      <c r="AL333" s="51" t="n">
        <f aca="false">IF(AI333&gt;0,J333/AI333,-1)</f>
        <v>2.86530612244898</v>
      </c>
      <c r="AM333" s="51" t="n">
        <f aca="false">IF(AND(OR(CC333="L1",CC333="L23",CC333="LIFT"),AI333&gt;0),SUMIFS($AI$7:$AI$1843,$CC$7:$CC$1843,CC333,$AL$7:$AL$1843,"&gt;"&amp;AL333)+SUMIFS($AI$7:$AI$1843,$CC$7:$CC$1843,CC333,$AL$7:$AL$1843,AL333,$BT$7:$BT$1843,"&lt;="&amp;BT333),"")</f>
        <v>5250.18727106227</v>
      </c>
      <c r="AN333" s="58" t="n">
        <f aca="false">IF(AM333="",0,MAX(0,MIN(1,(IF(CC333="L1",Parameter!$H$5,IF(CC333="L23",Parameter!$H$6+Parameter!$H$7,Parameter!$H$5+Parameter!$H$6+Parameter!$H$7))-(AM333-AI333))/AI333)))</f>
        <v>1</v>
      </c>
      <c r="AO333" s="50" t="n">
        <f aca="false">IF(LEFT(Cockpit!$I$5,1)="A",H333,IF(CE333=1,CF333,IF(LEFT(Cockpit!$I$5,1)="B",AT333,MAX(AT333,H333))))</f>
        <v>270</v>
      </c>
      <c r="AP333" s="50" t="n">
        <f aca="false">IF(BW333=1,0,ROUNDUP(AO333/BV333,0))</f>
        <v>6</v>
      </c>
      <c r="AQ333" s="52" t="n">
        <f aca="false">IF(CL333&gt;0,CL333*MAX(1,AO333/X333),IF(BW333=1,IF(AO333&lt;=0,0,CA333*MAX(1,IF(H333&gt;0,AO333/H333,1))),IF(R333&gt;0,AP333/R333,0))/MAX(0.1,N(Parameter!$M$21)))</f>
        <v>0.5</v>
      </c>
      <c r="AR333" s="50" t="n">
        <f aca="false">AQ333*BY333</f>
        <v>122.5</v>
      </c>
      <c r="AS333" s="50" t="n">
        <f aca="false">AO333*G333</f>
        <v>3339.9</v>
      </c>
      <c r="AT333" s="50" t="n">
        <f aca="false">ROUNDUP(MAX(J333/IF(CD333&gt;0,CD333,MAX(0.1,N(Cockpit!$I$6))),CG333)/BV333,0)*BV333</f>
        <v>270</v>
      </c>
      <c r="AU333" s="51" t="n">
        <f aca="false">IF(AR333&gt;0,J333/AR333,-1)</f>
        <v>1.91020408163265</v>
      </c>
      <c r="AV333" s="51" t="n">
        <f aca="false">IF(AND(OR(CC333="L1",CC333="L23",CC333="LIFT"),AR333&gt;0),SUMIFS($AR$7:$AR$1843,$CC$7:$CC$1843,CC333,$AU$7:$AU$1843,"&gt;"&amp;AU333)+SUMIFS($AR$7:$AR$1843,$CC$7:$CC$1843,CC333,$AU$7:$AU$1843,AU333,$BT$7:$BT$1843,"&lt;="&amp;BT333),"")</f>
        <v>8052.28891941392</v>
      </c>
      <c r="AW333" s="58" t="n">
        <f aca="false">IF(AV333="",0,MAX(0,MIN(1,(IF(CC333="L1",Parameter!$H$5,IF(CC333="L23",Parameter!$H$6+Parameter!$H$7,Parameter!$H$5+Parameter!$H$6+Parameter!$H$7))-(AV333-AR333))/AR333)))</f>
        <v>1</v>
      </c>
      <c r="AX333" s="50" t="n">
        <f aca="false">IF(LEFT(Cockpit!$O$5,1)="A",H333,IF(CE333=1,CF333,IF(LEFT(Cockpit!$O$5,1)="B",BC333,MAX(BC333,H333))))</f>
        <v>270</v>
      </c>
      <c r="AY333" s="50" t="n">
        <f aca="false">IF(BW333=1,0,ROUNDUP(AX333/BV333,0))</f>
        <v>6</v>
      </c>
      <c r="AZ333" s="52" t="n">
        <f aca="false">IF(CL333&gt;0,CL333*MAX(1,AX333/X333),IF(BW333=1,IF(AX333&lt;=0,0,CA333*MAX(1,IF(H333&gt;0,AX333/H333,1))),IF(R333&gt;0,AY333/R333,0))/MAX(0.1,N(Parameter!$M$21)))</f>
        <v>0.5</v>
      </c>
      <c r="BA333" s="50" t="n">
        <f aca="false">AZ333*BY333</f>
        <v>122.5</v>
      </c>
      <c r="BB333" s="50" t="n">
        <f aca="false">AX333*G333</f>
        <v>3339.9</v>
      </c>
      <c r="BC333" s="50" t="n">
        <f aca="false">ROUNDUP(MAX(J333/IF(CD333&gt;0,CD333,MAX(0.1,N(Cockpit!$O$6))),CG333)/BV333,0)*BV333</f>
        <v>270</v>
      </c>
      <c r="BD333" s="51" t="n">
        <f aca="false">IF(BA333&gt;0,J333/BA333,-1)</f>
        <v>1.91020408163265</v>
      </c>
      <c r="BE333" s="51" t="n">
        <f aca="false">IF(AND(OR(CC333="L1",CC333="L23",CC333="LIFT"),BA333&gt;0),SUMIFS($BA$7:$BA$1843,$CC$7:$CC$1843,CC333,$BD$7:$BD$1843,"&gt;"&amp;BD333)+SUMIFS($BA$7:$BA$1843,$CC$7:$CC$1843,CC333,$BD$7:$BD$1843,BD333,$BT$7:$BT$1843,"&lt;="&amp;BT333),"")</f>
        <v>7872.94597069597</v>
      </c>
      <c r="BF333" s="58" t="n">
        <f aca="false">IF(BE333="",0,MAX(0,MIN(1,(IF(CC333="L1",Parameter!$H$5,IF(CC333="L23",Parameter!$H$6+Parameter!$H$7,Parameter!$H$5+Parameter!$H$6+Parameter!$H$7))-(BE333-BA333))/BA333)))</f>
        <v>1</v>
      </c>
      <c r="BG333" s="48" t="str">
        <f aca="false">IF(AI333&lt;=0,"",IF(CC333="Aussen","Aussenlager",IF(CC333="-","Nicht im Lift",IF(AN333&gt;=1,"Lift",IF(AN333&lt;=0,"Aussenlager","teilweise")))))</f>
        <v>Lift</v>
      </c>
      <c r="BH333" s="48" t="str">
        <f aca="false">IF(AR333&lt;=0,"",IF(CC333="Aussen","Aussenlager",IF(CC333="-","Nicht im Lift",IF(AW333&gt;=1,"Lift",IF(AW333&lt;=0,"Aussenlager","teilweise")))))</f>
        <v>Lift</v>
      </c>
      <c r="BI333" s="48" t="str">
        <f aca="false">IF(BA333&lt;=0,"",IF(CC333="Aussen","Aussenlager",IF(CC333="-","Nicht im Lift",IF(BF333&gt;=1,"Lift",IF(BF333&lt;=0,"Aussenlager","teilweise")))))</f>
        <v>Lift</v>
      </c>
      <c r="BJ333" s="48" t="str">
        <f aca="false">IF(A333="","",IF(BS333=1,"Neu; ","")&amp;IF(AND(BS333=0,BN333&lt;0),"negativer Bestand (Export "&amp;BN333&amp;"); ","")&amp;IF(J333&lt;=0,"Kein Verbrauch; ","")&amp;IF(CL333&gt;0,"Lift "&amp;W333&amp;" lt. Liftbericht (Fach "&amp;X333&amp;" Stk); ",IF(BX333=1,"Gebinde geschätzt ("&amp;T333&amp;"); ",IF(BW333=1,"Lose – Tablare geschätzt; ","")))&amp;IF(H333&gt;AT333,"Überbestand "&amp;ROUND(H333-AT333,0)&amp;" Stk / CHF "&amp;ROUND((H333-AT333)*G333,0)&amp;"; ","")&amp;IF(AND(CE333=1,CF333&lt;CG333),"MAX &lt; MB+LG; ","")&amp;IF(AND(CK333&gt;0,CJ333*10&gt;CK333),"zu hoch für Tablar; ","")&amp;IF(AND(BS333=0,OR(CE333=1,AA333&lt;&gt;"",U333&lt;&gt;"",V333&lt;&gt;"",AB333&lt;&gt;"")),"manuell übersteuert; ","")&amp;IF(AND(BW333=0,R333=0),"Gebinde unbekannt / Stellmass fehlt; ","")&amp;IF(AND(BW333=0,N(V333)&lt;=0,N(Q333)&lt;=0),"Menge pro Gebinde fehlt (Ist = 1 Gebinde); ","")&amp;BR333)</f>
        <v>grosser Artikel &amp; nicht im KTL</v>
      </c>
      <c r="BK333" s="48"/>
      <c r="BL333" s="48"/>
      <c r="BM333" s="55"/>
      <c r="BN333" s="50" t="n">
        <v>22</v>
      </c>
      <c r="BO333" s="50" t="n">
        <v>132</v>
      </c>
      <c r="BP333" s="49" t="n">
        <v>214.059999999999</v>
      </c>
      <c r="BQ333" s="50" t="n">
        <v>234</v>
      </c>
      <c r="BR333" s="48" t="s">
        <v>265</v>
      </c>
      <c r="BS333" s="53" t="n">
        <v>0</v>
      </c>
      <c r="BT333" s="53" t="n">
        <v>333</v>
      </c>
      <c r="BU333" s="48" t="str">
        <f aca="false">IF(U333&lt;&gt;"",UPPER(TRIM(U333)),IF(BX333=1,UPPER(VLOOKUP(T333,Parameter!$I$27:$K$29,2,0)),IF(P333="","LOSE",P333)))</f>
        <v>S62</v>
      </c>
      <c r="BV333" s="50" t="n">
        <f aca="false">IF(BU333="LOSE",1,IF(N(V333)&gt;0,V333,IF(BX333=1,MAX(1,N(VLOOKUP(T333,Parameter!$I$27:$K$29,3,0)),H333,N(N333)),IF(N(Q333)&gt;0,Q333,MAX(1,H333)))))</f>
        <v>45</v>
      </c>
      <c r="BW333" s="53" t="n">
        <f aca="false">IF(BU333="LOSE",1,0)</f>
        <v>0</v>
      </c>
      <c r="BX333" s="53" t="n">
        <f aca="false">IF(AND(U333="",OR(P333="",P333="LOSE"),T333&lt;&gt;"",N(S333)&lt;=0,ISNUMBER(MATCH(T333,Parameter!$I$27:$I$29,0))),1,0)</f>
        <v>0</v>
      </c>
      <c r="BY333" s="53" t="n">
        <f aca="false">IF(CL333&gt;0,INDEX(Parameter!$H$5:$H$7,W333)/INDEX(Parameter!$E$5:$E$7,W333),IF(AND(BW333=0,N(IFERROR(VLOOKUP(BU333,'Gebinde-Kategorie'!$A$5:$N$45,14,0),0))&gt;0),VLOOKUP(BU333,'Gebinde-Kategorie'!$A$5:$N$45,14,0)*10+Parameter!$M$23,Parameter!$M$24))</f>
        <v>245</v>
      </c>
      <c r="BZ333" s="48" t="str">
        <f aca="false">IF(AND(Parameter!$B$19="Ja",E333&lt;&gt;"",ISNUMBER(MATCH(E333,Parameter!$I$35:$I$52,0))),VLOOKUP(E333,Parameter!$I$35:$J$52,2,0),IFERROR(VLOOKUP(D333,Parameter!$A$35:$C$64,2,0),"Nein"))</f>
        <v>2+3</v>
      </c>
      <c r="CA333" s="52" t="n">
        <f aca="false">IF(BW333=0,0,IF(N(S333)&gt;0,S333,IFERROR(VLOOKUP(D333,Parameter!$A$35:$C$64,3,0)+0,0)))</f>
        <v>0</v>
      </c>
      <c r="CB333" s="48" t="n">
        <f aca="false">IF(AA333&lt;&gt;"",AA333,Z333)</f>
        <v>2</v>
      </c>
      <c r="CC333" s="48" t="str">
        <f aca="false">IF(OR(CB333=1,CB333=2,CB333=3),IF(Parameter!$E$27="Ja","LIFT",IF(CB333=1,"L1","L23")),IF(CB333="Aussen","Aussen","-"))</f>
        <v>LIFT</v>
      </c>
      <c r="CD333" s="59" t="n">
        <f aca="false">IF(N(AB333)&gt;0,AB333,0)</f>
        <v>0</v>
      </c>
      <c r="CE333" s="53" t="n">
        <f aca="false">IF(ISNUMBER(AE333),1,0)</f>
        <v>0</v>
      </c>
      <c r="CF333" s="50" t="n">
        <f aca="false">N(AE333)</f>
        <v>0</v>
      </c>
      <c r="CG333" s="50" t="n">
        <f aca="false">N(M333)+N(N333)</f>
        <v>245</v>
      </c>
      <c r="CH333" s="50" t="n">
        <f aca="false">ROUNDUP(H333/BV333,0)</f>
        <v>4</v>
      </c>
      <c r="CI333" s="50" t="n">
        <f aca="false">ROUNDUP(CF333/BV333,0)</f>
        <v>0</v>
      </c>
      <c r="CJ333" s="53" t="n">
        <f aca="false">IF(BW333=1,0,IFERROR(VLOOKUP(BU333,'Gebinde-Kategorie'!$A$5:$N$45,5,0)+0,0))</f>
        <v>21</v>
      </c>
      <c r="CK333" s="53" t="n">
        <f aca="false">IFERROR(IF(OR(CB333=1,CB333=2,CB333=3),N(INDEX(Parameter!$I$5:$I$7,CB333)),0),0)</f>
        <v>0</v>
      </c>
      <c r="CL333" s="52" t="n">
        <f aca="false">IF(AND(Parameter!$B$21="Ja",ISNUMBER(W333),N(X333)&gt;0),IFERROR(N(INDEX(Parameter!$L$5:$L$7,W333))*INDEX(Parameter!$E$5:$E$7,W333)*X333/SUMIFS($X$7:$X$1843,$W$7:$W$1843,W333),0),0)</f>
        <v>0</v>
      </c>
    </row>
    <row r="334" customFormat="false" ht="15" hidden="false" customHeight="false" outlineLevel="0" collapsed="false">
      <c r="A334" s="48" t="s">
        <v>833</v>
      </c>
      <c r="B334" s="48" t="s">
        <v>444</v>
      </c>
      <c r="C334" s="48" t="s">
        <v>168</v>
      </c>
      <c r="D334" s="48" t="s">
        <v>188</v>
      </c>
      <c r="E334" s="48" t="s">
        <v>189</v>
      </c>
      <c r="F334" s="48" t="s">
        <v>222</v>
      </c>
      <c r="G334" s="49" t="n">
        <v>107</v>
      </c>
      <c r="H334" s="50" t="n">
        <f aca="false">MAX(0,IF(AND(Parameter!$B$21="Ja",ISNUMBER(Y334)),Y334,IF(Parameter!$B$20="Jahresanfang 2025 + Export",BO334+BN334,BN334)))</f>
        <v>21</v>
      </c>
      <c r="I334" s="50" t="n">
        <f aca="false">H334*G334</f>
        <v>2247</v>
      </c>
      <c r="J334" s="50" t="n">
        <f aca="false">BQ334*Parameter!$B$18</f>
        <v>6</v>
      </c>
      <c r="K334" s="51" t="n">
        <v>16</v>
      </c>
      <c r="L334" s="52" t="n">
        <v>0.375</v>
      </c>
      <c r="M334" s="50" t="n">
        <v>1</v>
      </c>
      <c r="N334" s="50" t="n">
        <v>5</v>
      </c>
      <c r="O334" s="53" t="n">
        <v>84</v>
      </c>
      <c r="P334" s="48" t="s">
        <v>237</v>
      </c>
      <c r="Q334" s="50" t="n">
        <v>23</v>
      </c>
      <c r="R334" s="53" t="n">
        <f aca="false">IF(BW334=1,0,IFERROR(VLOOKUP(BU334,'Gebinde-Kategorie'!$A$5:$N$45,13,0)+0,0))</f>
        <v>26</v>
      </c>
      <c r="S334" s="54"/>
      <c r="T334" s="55"/>
      <c r="U334" s="55"/>
      <c r="V334" s="55"/>
      <c r="W334" s="48"/>
      <c r="X334" s="50"/>
      <c r="Y334" s="50"/>
      <c r="Z334" s="48" t="n">
        <f aca="false">IF(A334="","",IF(AND(Parameter!$B$21="Ja",ISNUMBER(W334)),W334,IF(BZ334="2+3",IF(ISNUMBER(SEARCH("grosser Artikel",BR334)),2,IFERROR(VLOOKUP(BU334,Parameter!$F$35:$G$64,2,0),2)),IF(OR(BZ334="Nein",BZ334=""),"-",BZ334))))</f>
        <v>3</v>
      </c>
      <c r="AA334" s="55"/>
      <c r="AB334" s="56"/>
      <c r="AC334" s="50" t="n">
        <f aca="false">AT334</f>
        <v>23</v>
      </c>
      <c r="AD334" s="50" t="n">
        <f aca="false">MAX(AT334,H334)</f>
        <v>23</v>
      </c>
      <c r="AE334" s="57"/>
      <c r="AF334" s="50" t="n">
        <f aca="false">IF(LEFT(Cockpit!$C$5,1)="A",H334,IF(CE334=1,CF334,IF(LEFT(Cockpit!$C$5,1)="B",AK334,MAX(AK334,H334))))</f>
        <v>21</v>
      </c>
      <c r="AG334" s="50" t="n">
        <f aca="false">IF(BW334=1,0,ROUNDUP(AF334/BV334,0))</f>
        <v>1</v>
      </c>
      <c r="AH334" s="52" t="n">
        <f aca="false">IF(CL334&gt;0,CL334*MAX(1,AF334/X334),IF(BW334=1,IF(AF334&lt;=0,0,CA334*MAX(1,IF(H334&gt;0,AF334/H334,1))),IF(R334&gt;0,AG334/R334,0))/MAX(0.1,N(Parameter!$M$21)))</f>
        <v>0.0384615384615385</v>
      </c>
      <c r="AI334" s="50" t="n">
        <f aca="false">AH334*BY334</f>
        <v>9.42307692307692</v>
      </c>
      <c r="AJ334" s="50" t="n">
        <f aca="false">AF334*G334</f>
        <v>2247</v>
      </c>
      <c r="AK334" s="50" t="n">
        <f aca="false">ROUNDUP(MAX(J334/IF(CD334&gt;0,CD334,MAX(0.1,N(Cockpit!$C$6))),CG334)/BV334,0)*BV334</f>
        <v>23</v>
      </c>
      <c r="AL334" s="51" t="n">
        <f aca="false">IF(AI334&gt;0,J334/AI334,-1)</f>
        <v>0.636734693877551</v>
      </c>
      <c r="AM334" s="51" t="n">
        <f aca="false">IF(AND(OR(CC334="L1",CC334="L23",CC334="LIFT"),AI334&gt;0),SUMIFS($AI$7:$AI$1843,$CC$7:$CC$1843,CC334,$AL$7:$AL$1843,"&gt;"&amp;AL334)+SUMIFS($AI$7:$AI$1843,$CC$7:$CC$1843,CC334,$AL$7:$AL$1843,AL334,$BT$7:$BT$1843,"&lt;="&amp;BT334),"")</f>
        <v>8858.82051282051</v>
      </c>
      <c r="AN334" s="58" t="n">
        <f aca="false">IF(AM334="",0,MAX(0,MIN(1,(IF(CC334="L1",Parameter!$H$5,IF(CC334="L23",Parameter!$H$6+Parameter!$H$7,Parameter!$H$5+Parameter!$H$6+Parameter!$H$7))-(AM334-AI334))/AI334)))</f>
        <v>1</v>
      </c>
      <c r="AO334" s="50" t="n">
        <f aca="false">IF(LEFT(Cockpit!$I$5,1)="A",H334,IF(CE334=1,CF334,IF(LEFT(Cockpit!$I$5,1)="B",AT334,MAX(AT334,H334))))</f>
        <v>23</v>
      </c>
      <c r="AP334" s="50" t="n">
        <f aca="false">IF(BW334=1,0,ROUNDUP(AO334/BV334,0))</f>
        <v>1</v>
      </c>
      <c r="AQ334" s="52" t="n">
        <f aca="false">IF(CL334&gt;0,CL334*MAX(1,AO334/X334),IF(BW334=1,IF(AO334&lt;=0,0,CA334*MAX(1,IF(H334&gt;0,AO334/H334,1))),IF(R334&gt;0,AP334/R334,0))/MAX(0.1,N(Parameter!$M$21)))</f>
        <v>0.0384615384615385</v>
      </c>
      <c r="AR334" s="50" t="n">
        <f aca="false">AQ334*BY334</f>
        <v>9.42307692307692</v>
      </c>
      <c r="AS334" s="50" t="n">
        <f aca="false">AO334*G334</f>
        <v>2461</v>
      </c>
      <c r="AT334" s="50" t="n">
        <f aca="false">ROUNDUP(MAX(J334/IF(CD334&gt;0,CD334,MAX(0.1,N(Cockpit!$I$6))),CG334)/BV334,0)*BV334</f>
        <v>23</v>
      </c>
      <c r="AU334" s="51" t="n">
        <f aca="false">IF(AR334&gt;0,J334/AR334,-1)</f>
        <v>0.636734693877551</v>
      </c>
      <c r="AV334" s="51" t="n">
        <f aca="false">IF(AND(OR(CC334="L1",CC334="L23",CC334="LIFT"),AR334&gt;0),SUMIFS($AR$7:$AR$1843,$CC$7:$CC$1843,CC334,$AU$7:$AU$1843,"&gt;"&amp;AU334)+SUMIFS($AR$7:$AR$1843,$CC$7:$CC$1843,CC334,$AU$7:$AU$1843,AU334,$BT$7:$BT$1843,"&lt;="&amp;BT334),"")</f>
        <v>12321.070970696</v>
      </c>
      <c r="AW334" s="58" t="n">
        <f aca="false">IF(AV334="",0,MAX(0,MIN(1,(IF(CC334="L1",Parameter!$H$5,IF(CC334="L23",Parameter!$H$6+Parameter!$H$7,Parameter!$H$5+Parameter!$H$6+Parameter!$H$7))-(AV334-AR334))/AR334)))</f>
        <v>1</v>
      </c>
      <c r="AX334" s="50" t="n">
        <f aca="false">IF(LEFT(Cockpit!$O$5,1)="A",H334,IF(CE334=1,CF334,IF(LEFT(Cockpit!$O$5,1)="B",BC334,MAX(BC334,H334))))</f>
        <v>23</v>
      </c>
      <c r="AY334" s="50" t="n">
        <f aca="false">IF(BW334=1,0,ROUNDUP(AX334/BV334,0))</f>
        <v>1</v>
      </c>
      <c r="AZ334" s="52" t="n">
        <f aca="false">IF(CL334&gt;0,CL334*MAX(1,AX334/X334),IF(BW334=1,IF(AX334&lt;=0,0,CA334*MAX(1,IF(H334&gt;0,AX334/H334,1))),IF(R334&gt;0,AY334/R334,0))/MAX(0.1,N(Parameter!$M$21)))</f>
        <v>0.0384615384615385</v>
      </c>
      <c r="BA334" s="50" t="n">
        <f aca="false">AZ334*BY334</f>
        <v>9.42307692307692</v>
      </c>
      <c r="BB334" s="50" t="n">
        <f aca="false">AX334*G334</f>
        <v>2461</v>
      </c>
      <c r="BC334" s="50" t="n">
        <f aca="false">ROUNDUP(MAX(J334/IF(CD334&gt;0,CD334,MAX(0.1,N(Cockpit!$O$6))),CG334)/BV334,0)*BV334</f>
        <v>23</v>
      </c>
      <c r="BD334" s="51" t="n">
        <f aca="false">IF(BA334&gt;0,J334/BA334,-1)</f>
        <v>0.636734693877551</v>
      </c>
      <c r="BE334" s="51" t="n">
        <f aca="false">IF(AND(OR(CC334="L1",CC334="L23",CC334="LIFT"),BA334&gt;0),SUMIFS($BA$7:$BA$1843,$CC$7:$CC$1843,CC334,$BD$7:$BD$1843,"&gt;"&amp;BD334)+SUMIFS($BA$7:$BA$1843,$CC$7:$CC$1843,CC334,$BD$7:$BD$1843,BD334,$BT$7:$BT$1843,"&lt;="&amp;BT334),"")</f>
        <v>11606.728021978</v>
      </c>
      <c r="BF334" s="58" t="n">
        <f aca="false">IF(BE334="",0,MAX(0,MIN(1,(IF(CC334="L1",Parameter!$H$5,IF(CC334="L23",Parameter!$H$6+Parameter!$H$7,Parameter!$H$5+Parameter!$H$6+Parameter!$H$7))-(BE334-BA334))/BA334)))</f>
        <v>1</v>
      </c>
      <c r="BG334" s="48" t="str">
        <f aca="false">IF(AI334&lt;=0,"",IF(CC334="Aussen","Aussenlager",IF(CC334="-","Nicht im Lift",IF(AN334&gt;=1,"Lift",IF(AN334&lt;=0,"Aussenlager","teilweise")))))</f>
        <v>Lift</v>
      </c>
      <c r="BH334" s="48" t="str">
        <f aca="false">IF(AR334&lt;=0,"",IF(CC334="Aussen","Aussenlager",IF(CC334="-","Nicht im Lift",IF(AW334&gt;=1,"Lift",IF(AW334&lt;=0,"Aussenlager","teilweise")))))</f>
        <v>Lift</v>
      </c>
      <c r="BI334" s="48" t="str">
        <f aca="false">IF(BA334&lt;=0,"",IF(CC334="Aussen","Aussenlager",IF(CC334="-","Nicht im Lift",IF(BF334&gt;=1,"Lift",IF(BF334&lt;=0,"Aussenlager","teilweise")))))</f>
        <v>Lift</v>
      </c>
      <c r="BJ334" s="48" t="str">
        <f aca="false">IF(A334="","",IF(BS334=1,"Neu; ","")&amp;IF(AND(BS334=0,BN334&lt;0),"negativer Bestand (Export "&amp;BN334&amp;"); ","")&amp;IF(J334&lt;=0,"Kein Verbrauch; ","")&amp;IF(CL334&gt;0,"Lift "&amp;W334&amp;" lt. Liftbericht (Fach "&amp;X334&amp;" Stk); ",IF(BX334=1,"Gebinde geschätzt ("&amp;T334&amp;"); ",IF(BW334=1,"Lose – Tablare geschätzt; ","")))&amp;IF(H334&gt;AT334,"Überbestand "&amp;ROUND(H334-AT334,0)&amp;" Stk / CHF "&amp;ROUND((H334-AT334)*G334,0)&amp;"; ","")&amp;IF(AND(CE334=1,CF334&lt;CG334),"MAX &lt; MB+LG; ","")&amp;IF(AND(CK334&gt;0,CJ334*10&gt;CK334),"zu hoch für Tablar; ","")&amp;IF(AND(BS334=0,OR(CE334=1,AA334&lt;&gt;"",U334&lt;&gt;"",V334&lt;&gt;"",AB334&lt;&gt;"")),"manuell übersteuert; ","")&amp;IF(AND(BW334=0,R334=0),"Gebinde unbekannt / Stellmass fehlt; ","")&amp;IF(AND(BW334=0,N(V334)&lt;=0,N(Q334)&lt;=0),"Menge pro Gebinde fehlt (Ist = 1 Gebinde); ","")&amp;BR334)</f>
        <v/>
      </c>
      <c r="BK334" s="48"/>
      <c r="BL334" s="48"/>
      <c r="BM334" s="55"/>
      <c r="BN334" s="50" t="n">
        <v>2</v>
      </c>
      <c r="BO334" s="50" t="n">
        <v>19</v>
      </c>
      <c r="BP334" s="49" t="n">
        <v>214</v>
      </c>
      <c r="BQ334" s="50" t="n">
        <v>6</v>
      </c>
      <c r="BR334" s="48"/>
      <c r="BS334" s="53" t="n">
        <v>0</v>
      </c>
      <c r="BT334" s="53" t="n">
        <v>334</v>
      </c>
      <c r="BU334" s="48" t="str">
        <f aca="false">IF(U334&lt;&gt;"",UPPER(TRIM(U334)),IF(BX334=1,UPPER(VLOOKUP(T334,Parameter!$I$27:$K$29,2,0)),IF(P334="","LOSE",P334)))</f>
        <v>S52</v>
      </c>
      <c r="BV334" s="50" t="n">
        <f aca="false">IF(BU334="LOSE",1,IF(N(V334)&gt;0,V334,IF(BX334=1,MAX(1,N(VLOOKUP(T334,Parameter!$I$27:$K$29,3,0)),H334,N(N334)),IF(N(Q334)&gt;0,Q334,MAX(1,H334)))))</f>
        <v>23</v>
      </c>
      <c r="BW334" s="53" t="n">
        <f aca="false">IF(BU334="LOSE",1,0)</f>
        <v>0</v>
      </c>
      <c r="BX334" s="53" t="n">
        <f aca="false">IF(AND(U334="",OR(P334="",P334="LOSE"),T334&lt;&gt;"",N(S334)&lt;=0,ISNUMBER(MATCH(T334,Parameter!$I$27:$I$29,0))),1,0)</f>
        <v>0</v>
      </c>
      <c r="BY334" s="53" t="n">
        <f aca="false">IF(CL334&gt;0,INDEX(Parameter!$H$5:$H$7,W334)/INDEX(Parameter!$E$5:$E$7,W334),IF(AND(BW334=0,N(IFERROR(VLOOKUP(BU334,'Gebinde-Kategorie'!$A$5:$N$45,14,0),0))&gt;0),VLOOKUP(BU334,'Gebinde-Kategorie'!$A$5:$N$45,14,0)*10+Parameter!$M$23,Parameter!$M$24))</f>
        <v>245</v>
      </c>
      <c r="BZ334" s="48" t="str">
        <f aca="false">IF(AND(Parameter!$B$19="Ja",E334&lt;&gt;"",ISNUMBER(MATCH(E334,Parameter!$I$35:$I$52,0))),VLOOKUP(E334,Parameter!$I$35:$J$52,2,0),IFERROR(VLOOKUP(D334,Parameter!$A$35:$C$64,2,0),"Nein"))</f>
        <v>2+3</v>
      </c>
      <c r="CA334" s="52" t="n">
        <f aca="false">IF(BW334=0,0,IF(N(S334)&gt;0,S334,IFERROR(VLOOKUP(D334,Parameter!$A$35:$C$64,3,0)+0,0)))</f>
        <v>0</v>
      </c>
      <c r="CB334" s="48" t="n">
        <f aca="false">IF(AA334&lt;&gt;"",AA334,Z334)</f>
        <v>3</v>
      </c>
      <c r="CC334" s="48" t="str">
        <f aca="false">IF(OR(CB334=1,CB334=2,CB334=3),IF(Parameter!$E$27="Ja","LIFT",IF(CB334=1,"L1","L23")),IF(CB334="Aussen","Aussen","-"))</f>
        <v>LIFT</v>
      </c>
      <c r="CD334" s="59" t="n">
        <f aca="false">IF(N(AB334)&gt;0,AB334,0)</f>
        <v>0</v>
      </c>
      <c r="CE334" s="53" t="n">
        <f aca="false">IF(ISNUMBER(AE334),1,0)</f>
        <v>0</v>
      </c>
      <c r="CF334" s="50" t="n">
        <f aca="false">N(AE334)</f>
        <v>0</v>
      </c>
      <c r="CG334" s="50" t="n">
        <f aca="false">N(M334)+N(N334)</f>
        <v>6</v>
      </c>
      <c r="CH334" s="50" t="n">
        <f aca="false">ROUNDUP(H334/BV334,0)</f>
        <v>1</v>
      </c>
      <c r="CI334" s="50" t="n">
        <f aca="false">ROUNDUP(CF334/BV334,0)</f>
        <v>0</v>
      </c>
      <c r="CJ334" s="53" t="n">
        <f aca="false">IF(BW334=1,0,IFERROR(VLOOKUP(BU334,'Gebinde-Kategorie'!$A$5:$N$45,5,0)+0,0))</f>
        <v>21</v>
      </c>
      <c r="CK334" s="53" t="n">
        <f aca="false">IFERROR(IF(OR(CB334=1,CB334=2,CB334=3),N(INDEX(Parameter!$I$5:$I$7,CB334)),0),0)</f>
        <v>0</v>
      </c>
      <c r="CL334" s="52" t="n">
        <f aca="false">IF(AND(Parameter!$B$21="Ja",ISNUMBER(W334),N(X334)&gt;0),IFERROR(N(INDEX(Parameter!$L$5:$L$7,W334))*INDEX(Parameter!$E$5:$E$7,W334)*X334/SUMIFS($X$7:$X$1843,$W$7:$W$1843,W334),0),0)</f>
        <v>0</v>
      </c>
    </row>
    <row r="335" customFormat="false" ht="15" hidden="false" customHeight="false" outlineLevel="0" collapsed="false">
      <c r="A335" s="48" t="s">
        <v>834</v>
      </c>
      <c r="B335" s="48" t="s">
        <v>835</v>
      </c>
      <c r="C335" s="48" t="s">
        <v>168</v>
      </c>
      <c r="D335" s="48" t="s">
        <v>188</v>
      </c>
      <c r="E335" s="48" t="s">
        <v>189</v>
      </c>
      <c r="F335" s="48" t="s">
        <v>222</v>
      </c>
      <c r="G335" s="49" t="n">
        <v>43.47</v>
      </c>
      <c r="H335" s="50" t="n">
        <f aca="false">MAX(0,IF(AND(Parameter!$B$21="Ja",ISNUMBER(Y335)),Y335,IF(Parameter!$B$20="Jahresanfang 2025 + Export",BO335+BN335,BN335)))</f>
        <v>15</v>
      </c>
      <c r="I335" s="50" t="n">
        <f aca="false">H335*G335</f>
        <v>652.05</v>
      </c>
      <c r="J335" s="50" t="n">
        <f aca="false">BQ335*Parameter!$B$18</f>
        <v>6</v>
      </c>
      <c r="K335" s="51" t="n">
        <v>10</v>
      </c>
      <c r="L335" s="52" t="n">
        <v>0.6</v>
      </c>
      <c r="M335" s="50" t="n">
        <v>0</v>
      </c>
      <c r="N335" s="50" t="n">
        <v>5</v>
      </c>
      <c r="O335" s="53" t="n">
        <v>35</v>
      </c>
      <c r="P335" s="48" t="s">
        <v>480</v>
      </c>
      <c r="Q335" s="50" t="n">
        <v>18</v>
      </c>
      <c r="R335" s="53" t="n">
        <f aca="false">IF(BW335=1,0,IFERROR(VLOOKUP(BU335,'Gebinde-Kategorie'!$A$5:$N$45,13,0)+0,0))</f>
        <v>52</v>
      </c>
      <c r="S335" s="54"/>
      <c r="T335" s="55"/>
      <c r="U335" s="55"/>
      <c r="V335" s="55"/>
      <c r="W335" s="48"/>
      <c r="X335" s="50"/>
      <c r="Y335" s="50"/>
      <c r="Z335" s="48" t="n">
        <f aca="false">IF(A335="","",IF(AND(Parameter!$B$21="Ja",ISNUMBER(W335)),W335,IF(BZ335="2+3",IF(ISNUMBER(SEARCH("grosser Artikel",BR335)),2,IFERROR(VLOOKUP(BU335,Parameter!$F$35:$G$64,2,0),2)),IF(OR(BZ335="Nein",BZ335=""),"-",BZ335))))</f>
        <v>3</v>
      </c>
      <c r="AA335" s="55"/>
      <c r="AB335" s="56"/>
      <c r="AC335" s="50" t="n">
        <f aca="false">AT335</f>
        <v>18</v>
      </c>
      <c r="AD335" s="50" t="n">
        <f aca="false">MAX(AT335,H335)</f>
        <v>18</v>
      </c>
      <c r="AE335" s="57"/>
      <c r="AF335" s="50" t="n">
        <f aca="false">IF(LEFT(Cockpit!$C$5,1)="A",H335,IF(CE335=1,CF335,IF(LEFT(Cockpit!$C$5,1)="B",AK335,MAX(AK335,H335))))</f>
        <v>15</v>
      </c>
      <c r="AG335" s="50" t="n">
        <f aca="false">IF(BW335=1,0,ROUNDUP(AF335/BV335,0))</f>
        <v>1</v>
      </c>
      <c r="AH335" s="52" t="n">
        <f aca="false">IF(CL335&gt;0,CL335*MAX(1,AF335/X335),IF(BW335=1,IF(AF335&lt;=0,0,CA335*MAX(1,IF(H335&gt;0,AF335/H335,1))),IF(R335&gt;0,AG335/R335,0))/MAX(0.1,N(Parameter!$M$21)))</f>
        <v>0.0192307692307692</v>
      </c>
      <c r="AI335" s="50" t="n">
        <f aca="false">AH335*BY335</f>
        <v>2.98076923076923</v>
      </c>
      <c r="AJ335" s="50" t="n">
        <f aca="false">AF335*G335</f>
        <v>652.05</v>
      </c>
      <c r="AK335" s="50" t="n">
        <f aca="false">ROUNDUP(MAX(J335/IF(CD335&gt;0,CD335,MAX(0.1,N(Cockpit!$C$6))),CG335)/BV335,0)*BV335</f>
        <v>18</v>
      </c>
      <c r="AL335" s="51" t="n">
        <f aca="false">IF(AI335&gt;0,J335/AI335,-1)</f>
        <v>2.01290322580645</v>
      </c>
      <c r="AM335" s="51" t="n">
        <f aca="false">IF(AND(OR(CC335="L1",CC335="L23",CC335="LIFT"),AI335&gt;0),SUMIFS($AI$7:$AI$1843,$CC$7:$CC$1843,CC335,$AL$7:$AL$1843,"&gt;"&amp;AL335)+SUMIFS($AI$7:$AI$1843,$CC$7:$CC$1843,CC335,$AL$7:$AL$1843,AL335,$BT$7:$BT$1843,"&lt;="&amp;BT335),"")</f>
        <v>5777.43635531136</v>
      </c>
      <c r="AN335" s="58" t="n">
        <f aca="false">IF(AM335="",0,MAX(0,MIN(1,(IF(CC335="L1",Parameter!$H$5,IF(CC335="L23",Parameter!$H$6+Parameter!$H$7,Parameter!$H$5+Parameter!$H$6+Parameter!$H$7))-(AM335-AI335))/AI335)))</f>
        <v>1</v>
      </c>
      <c r="AO335" s="50" t="n">
        <f aca="false">IF(LEFT(Cockpit!$I$5,1)="A",H335,IF(CE335=1,CF335,IF(LEFT(Cockpit!$I$5,1)="B",AT335,MAX(AT335,H335))))</f>
        <v>18</v>
      </c>
      <c r="AP335" s="50" t="n">
        <f aca="false">IF(BW335=1,0,ROUNDUP(AO335/BV335,0))</f>
        <v>1</v>
      </c>
      <c r="AQ335" s="52" t="n">
        <f aca="false">IF(CL335&gt;0,CL335*MAX(1,AO335/X335),IF(BW335=1,IF(AO335&lt;=0,0,CA335*MAX(1,IF(H335&gt;0,AO335/H335,1))),IF(R335&gt;0,AP335/R335,0))/MAX(0.1,N(Parameter!$M$21)))</f>
        <v>0.0192307692307692</v>
      </c>
      <c r="AR335" s="50" t="n">
        <f aca="false">AQ335*BY335</f>
        <v>2.98076923076923</v>
      </c>
      <c r="AS335" s="50" t="n">
        <f aca="false">AO335*G335</f>
        <v>782.46</v>
      </c>
      <c r="AT335" s="50" t="n">
        <f aca="false">ROUNDUP(MAX(J335/IF(CD335&gt;0,CD335,MAX(0.1,N(Cockpit!$I$6))),CG335)/BV335,0)*BV335</f>
        <v>18</v>
      </c>
      <c r="AU335" s="51" t="n">
        <f aca="false">IF(AR335&gt;0,J335/AR335,-1)</f>
        <v>2.01290322580645</v>
      </c>
      <c r="AV335" s="51" t="n">
        <f aca="false">IF(AND(OR(CC335="L1",CC335="L23",CC335="LIFT"),AR335&gt;0),SUMIFS($AR$7:$AR$1843,$CC$7:$CC$1843,CC335,$AU$7:$AU$1843,"&gt;"&amp;AU335)+SUMIFS($AR$7:$AR$1843,$CC$7:$CC$1843,CC335,$AU$7:$AU$1843,AU335,$BT$7:$BT$1843,"&lt;="&amp;BT335),"")</f>
        <v>7687.12866300366</v>
      </c>
      <c r="AW335" s="58" t="n">
        <f aca="false">IF(AV335="",0,MAX(0,MIN(1,(IF(CC335="L1",Parameter!$H$5,IF(CC335="L23",Parameter!$H$6+Parameter!$H$7,Parameter!$H$5+Parameter!$H$6+Parameter!$H$7))-(AV335-AR335))/AR335)))</f>
        <v>1</v>
      </c>
      <c r="AX335" s="50" t="n">
        <f aca="false">IF(LEFT(Cockpit!$O$5,1)="A",H335,IF(CE335=1,CF335,IF(LEFT(Cockpit!$O$5,1)="B",BC335,MAX(BC335,H335))))</f>
        <v>18</v>
      </c>
      <c r="AY335" s="50" t="n">
        <f aca="false">IF(BW335=1,0,ROUNDUP(AX335/BV335,0))</f>
        <v>1</v>
      </c>
      <c r="AZ335" s="52" t="n">
        <f aca="false">IF(CL335&gt;0,CL335*MAX(1,AX335/X335),IF(BW335=1,IF(AX335&lt;=0,0,CA335*MAX(1,IF(H335&gt;0,AX335/H335,1))),IF(R335&gt;0,AY335/R335,0))/MAX(0.1,N(Parameter!$M$21)))</f>
        <v>0.0192307692307692</v>
      </c>
      <c r="BA335" s="50" t="n">
        <f aca="false">AZ335*BY335</f>
        <v>2.98076923076923</v>
      </c>
      <c r="BB335" s="50" t="n">
        <f aca="false">AX335*G335</f>
        <v>782.46</v>
      </c>
      <c r="BC335" s="50" t="n">
        <f aca="false">ROUNDUP(MAX(J335/IF(CD335&gt;0,CD335,MAX(0.1,N(Cockpit!$O$6))),CG335)/BV335,0)*BV335</f>
        <v>18</v>
      </c>
      <c r="BD335" s="51" t="n">
        <f aca="false">IF(BA335&gt;0,J335/BA335,-1)</f>
        <v>2.01290322580645</v>
      </c>
      <c r="BE335" s="51" t="n">
        <f aca="false">IF(AND(OR(CC335="L1",CC335="L23",CC335="LIFT"),BA335&gt;0),SUMIFS($BA$7:$BA$1843,$CC$7:$CC$1843,CC335,$BD$7:$BD$1843,"&gt;"&amp;BD335)+SUMIFS($BA$7:$BA$1843,$CC$7:$CC$1843,CC335,$BD$7:$BD$1843,BD335,$BT$7:$BT$1843,"&lt;="&amp;BT335),"")</f>
        <v>7586.11904761905</v>
      </c>
      <c r="BF335" s="58" t="n">
        <f aca="false">IF(BE335="",0,MAX(0,MIN(1,(IF(CC335="L1",Parameter!$H$5,IF(CC335="L23",Parameter!$H$6+Parameter!$H$7,Parameter!$H$5+Parameter!$H$6+Parameter!$H$7))-(BE335-BA335))/BA335)))</f>
        <v>1</v>
      </c>
      <c r="BG335" s="48" t="str">
        <f aca="false">IF(AI335&lt;=0,"",IF(CC335="Aussen","Aussenlager",IF(CC335="-","Nicht im Lift",IF(AN335&gt;=1,"Lift",IF(AN335&lt;=0,"Aussenlager","teilweise")))))</f>
        <v>Lift</v>
      </c>
      <c r="BH335" s="48" t="str">
        <f aca="false">IF(AR335&lt;=0,"",IF(CC335="Aussen","Aussenlager",IF(CC335="-","Nicht im Lift",IF(AW335&gt;=1,"Lift",IF(AW335&lt;=0,"Aussenlager","teilweise")))))</f>
        <v>Lift</v>
      </c>
      <c r="BI335" s="48" t="str">
        <f aca="false">IF(BA335&lt;=0,"",IF(CC335="Aussen","Aussenlager",IF(CC335="-","Nicht im Lift",IF(BF335&gt;=1,"Lift",IF(BF335&lt;=0,"Aussenlager","teilweise")))))</f>
        <v>Lift</v>
      </c>
      <c r="BJ335" s="48" t="str">
        <f aca="false">IF(A335="","",IF(BS335=1,"Neu; ","")&amp;IF(AND(BS335=0,BN335&lt;0),"negativer Bestand (Export "&amp;BN335&amp;"); ","")&amp;IF(J335&lt;=0,"Kein Verbrauch; ","")&amp;IF(CL335&gt;0,"Lift "&amp;W335&amp;" lt. Liftbericht (Fach "&amp;X335&amp;" Stk); ",IF(BX335=1,"Gebinde geschätzt ("&amp;T335&amp;"); ",IF(BW335=1,"Lose – Tablare geschätzt; ","")))&amp;IF(H335&gt;AT335,"Überbestand "&amp;ROUND(H335-AT335,0)&amp;" Stk / CHF "&amp;ROUND((H335-AT335)*G335,0)&amp;"; ","")&amp;IF(AND(CE335=1,CF335&lt;CG335),"MAX &lt; MB+LG; ","")&amp;IF(AND(CK335&gt;0,CJ335*10&gt;CK335),"zu hoch für Tablar; ","")&amp;IF(AND(BS335=0,OR(CE335=1,AA335&lt;&gt;"",U335&lt;&gt;"",V335&lt;&gt;"",AB335&lt;&gt;"")),"manuell übersteuert; ","")&amp;IF(AND(BW335=0,R335=0),"Gebinde unbekannt / Stellmass fehlt; ","")&amp;IF(AND(BW335=0,N(V335)&lt;=0,N(Q335)&lt;=0),"Menge pro Gebinde fehlt (Ist = 1 Gebinde); ","")&amp;BR335)</f>
        <v/>
      </c>
      <c r="BK335" s="48"/>
      <c r="BL335" s="48"/>
      <c r="BM335" s="55"/>
      <c r="BN335" s="50" t="n">
        <v>4</v>
      </c>
      <c r="BO335" s="50" t="n">
        <v>11</v>
      </c>
      <c r="BP335" s="49" t="n">
        <v>213.81</v>
      </c>
      <c r="BQ335" s="50" t="n">
        <v>6</v>
      </c>
      <c r="BR335" s="48"/>
      <c r="BS335" s="53" t="n">
        <v>0</v>
      </c>
      <c r="BT335" s="53" t="n">
        <v>335</v>
      </c>
      <c r="BU335" s="48" t="str">
        <f aca="false">IF(U335&lt;&gt;"",UPPER(TRIM(U335)),IF(BX335=1,UPPER(VLOOKUP(T335,Parameter!$I$27:$K$29,2,0)),IF(P335="","LOSE",P335)))</f>
        <v>S33</v>
      </c>
      <c r="BV335" s="50" t="n">
        <f aca="false">IF(BU335="LOSE",1,IF(N(V335)&gt;0,V335,IF(BX335=1,MAX(1,N(VLOOKUP(T335,Parameter!$I$27:$K$29,3,0)),H335,N(N335)),IF(N(Q335)&gt;0,Q335,MAX(1,H335)))))</f>
        <v>18</v>
      </c>
      <c r="BW335" s="53" t="n">
        <f aca="false">IF(BU335="LOSE",1,0)</f>
        <v>0</v>
      </c>
      <c r="BX335" s="53" t="n">
        <f aca="false">IF(AND(U335="",OR(P335="",P335="LOSE"),T335&lt;&gt;"",N(S335)&lt;=0,ISNUMBER(MATCH(T335,Parameter!$I$27:$I$29,0))),1,0)</f>
        <v>0</v>
      </c>
      <c r="BY335" s="53" t="n">
        <f aca="false">IF(CL335&gt;0,INDEX(Parameter!$H$5:$H$7,W335)/INDEX(Parameter!$E$5:$E$7,W335),IF(AND(BW335=0,N(IFERROR(VLOOKUP(BU335,'Gebinde-Kategorie'!$A$5:$N$45,14,0),0))&gt;0),VLOOKUP(BU335,'Gebinde-Kategorie'!$A$5:$N$45,14,0)*10+Parameter!$M$23,Parameter!$M$24))</f>
        <v>155</v>
      </c>
      <c r="BZ335" s="48" t="str">
        <f aca="false">IF(AND(Parameter!$B$19="Ja",E335&lt;&gt;"",ISNUMBER(MATCH(E335,Parameter!$I$35:$I$52,0))),VLOOKUP(E335,Parameter!$I$35:$J$52,2,0),IFERROR(VLOOKUP(D335,Parameter!$A$35:$C$64,2,0),"Nein"))</f>
        <v>2+3</v>
      </c>
      <c r="CA335" s="52" t="n">
        <f aca="false">IF(BW335=0,0,IF(N(S335)&gt;0,S335,IFERROR(VLOOKUP(D335,Parameter!$A$35:$C$64,3,0)+0,0)))</f>
        <v>0</v>
      </c>
      <c r="CB335" s="48" t="n">
        <f aca="false">IF(AA335&lt;&gt;"",AA335,Z335)</f>
        <v>3</v>
      </c>
      <c r="CC335" s="48" t="str">
        <f aca="false">IF(OR(CB335=1,CB335=2,CB335=3),IF(Parameter!$E$27="Ja","LIFT",IF(CB335=1,"L1","L23")),IF(CB335="Aussen","Aussen","-"))</f>
        <v>LIFT</v>
      </c>
      <c r="CD335" s="59" t="n">
        <f aca="false">IF(N(AB335)&gt;0,AB335,0)</f>
        <v>0</v>
      </c>
      <c r="CE335" s="53" t="n">
        <f aca="false">IF(ISNUMBER(AE335),1,0)</f>
        <v>0</v>
      </c>
      <c r="CF335" s="50" t="n">
        <f aca="false">N(AE335)</f>
        <v>0</v>
      </c>
      <c r="CG335" s="50" t="n">
        <f aca="false">N(M335)+N(N335)</f>
        <v>5</v>
      </c>
      <c r="CH335" s="50" t="n">
        <f aca="false">ROUNDUP(H335/BV335,0)</f>
        <v>1</v>
      </c>
      <c r="CI335" s="50" t="n">
        <f aca="false">ROUNDUP(CF335/BV335,0)</f>
        <v>0</v>
      </c>
      <c r="CJ335" s="53" t="n">
        <f aca="false">IF(BW335=1,0,IFERROR(VLOOKUP(BU335,'Gebinde-Kategorie'!$A$5:$N$45,5,0)+0,0))</f>
        <v>8</v>
      </c>
      <c r="CK335" s="53" t="n">
        <f aca="false">IFERROR(IF(OR(CB335=1,CB335=2,CB335=3),N(INDEX(Parameter!$I$5:$I$7,CB335)),0),0)</f>
        <v>0</v>
      </c>
      <c r="CL335" s="52" t="n">
        <f aca="false">IF(AND(Parameter!$B$21="Ja",ISNUMBER(W335),N(X335)&gt;0),IFERROR(N(INDEX(Parameter!$L$5:$L$7,W335))*INDEX(Parameter!$E$5:$E$7,W335)*X335/SUMIFS($X$7:$X$1843,$W$7:$W$1843,W335),0),0)</f>
        <v>0</v>
      </c>
    </row>
    <row r="336" customFormat="false" ht="15" hidden="false" customHeight="false" outlineLevel="0" collapsed="false">
      <c r="A336" s="48" t="s">
        <v>836</v>
      </c>
      <c r="B336" s="48" t="s">
        <v>511</v>
      </c>
      <c r="C336" s="48" t="s">
        <v>168</v>
      </c>
      <c r="D336" s="48" t="s">
        <v>188</v>
      </c>
      <c r="E336" s="48" t="s">
        <v>189</v>
      </c>
      <c r="F336" s="48" t="s">
        <v>222</v>
      </c>
      <c r="G336" s="49" t="n">
        <v>4.65</v>
      </c>
      <c r="H336" s="50" t="n">
        <f aca="false">MAX(0,IF(AND(Parameter!$B$21="Ja",ISNUMBER(Y336)),Y336,IF(Parameter!$B$20="Jahresanfang 2025 + Export",BO336+BN336,BN336)))</f>
        <v>109</v>
      </c>
      <c r="I336" s="50" t="n">
        <f aca="false">H336*G336</f>
        <v>506.85</v>
      </c>
      <c r="J336" s="50" t="n">
        <f aca="false">BQ336*Parameter!$B$18</f>
        <v>127</v>
      </c>
      <c r="K336" s="51" t="n">
        <v>60</v>
      </c>
      <c r="L336" s="52" t="n">
        <v>2.11666666666667</v>
      </c>
      <c r="M336" s="50" t="n">
        <v>7</v>
      </c>
      <c r="N336" s="50" t="n">
        <v>125</v>
      </c>
      <c r="O336" s="53" t="n">
        <v>21</v>
      </c>
      <c r="P336" s="48" t="s">
        <v>480</v>
      </c>
      <c r="Q336" s="50" t="n">
        <v>61</v>
      </c>
      <c r="R336" s="53" t="n">
        <f aca="false">IF(BW336=1,0,IFERROR(VLOOKUP(BU336,'Gebinde-Kategorie'!$A$5:$N$45,13,0)+0,0))</f>
        <v>52</v>
      </c>
      <c r="S336" s="54"/>
      <c r="T336" s="55"/>
      <c r="U336" s="55"/>
      <c r="V336" s="55"/>
      <c r="W336" s="48"/>
      <c r="X336" s="50"/>
      <c r="Y336" s="50"/>
      <c r="Z336" s="48" t="n">
        <f aca="false">IF(A336="","",IF(AND(Parameter!$B$21="Ja",ISNUMBER(W336)),W336,IF(BZ336="2+3",IF(ISNUMBER(SEARCH("grosser Artikel",BR336)),2,IFERROR(VLOOKUP(BU336,Parameter!$F$35:$G$64,2,0),2)),IF(OR(BZ336="Nein",BZ336=""),"-",BZ336))))</f>
        <v>3</v>
      </c>
      <c r="AA336" s="55"/>
      <c r="AB336" s="56"/>
      <c r="AC336" s="50" t="n">
        <f aca="false">AT336</f>
        <v>183</v>
      </c>
      <c r="AD336" s="50" t="n">
        <f aca="false">MAX(AT336,H336)</f>
        <v>183</v>
      </c>
      <c r="AE336" s="57"/>
      <c r="AF336" s="50" t="n">
        <f aca="false">IF(LEFT(Cockpit!$C$5,1)="A",H336,IF(CE336=1,CF336,IF(LEFT(Cockpit!$C$5,1)="B",AK336,MAX(AK336,H336))))</f>
        <v>109</v>
      </c>
      <c r="AG336" s="50" t="n">
        <f aca="false">IF(BW336=1,0,ROUNDUP(AF336/BV336,0))</f>
        <v>2</v>
      </c>
      <c r="AH336" s="52" t="n">
        <f aca="false">IF(CL336&gt;0,CL336*MAX(1,AF336/X336),IF(BW336=1,IF(AF336&lt;=0,0,CA336*MAX(1,IF(H336&gt;0,AF336/H336,1))),IF(R336&gt;0,AG336/R336,0))/MAX(0.1,N(Parameter!$M$21)))</f>
        <v>0.0384615384615385</v>
      </c>
      <c r="AI336" s="50" t="n">
        <f aca="false">AH336*BY336</f>
        <v>5.96153846153846</v>
      </c>
      <c r="AJ336" s="50" t="n">
        <f aca="false">AF336*G336</f>
        <v>506.85</v>
      </c>
      <c r="AK336" s="50" t="n">
        <f aca="false">ROUNDUP(MAX(J336/IF(CD336&gt;0,CD336,MAX(0.1,N(Cockpit!$C$6))),CG336)/BV336,0)*BV336</f>
        <v>183</v>
      </c>
      <c r="AL336" s="51" t="n">
        <f aca="false">IF(AI336&gt;0,J336/AI336,-1)</f>
        <v>21.3032258064516</v>
      </c>
      <c r="AM336" s="51" t="n">
        <f aca="false">IF(AND(OR(CC336="L1",CC336="L23",CC336="LIFT"),AI336&gt;0),SUMIFS($AI$7:$AI$1843,$CC$7:$CC$1843,CC336,$AL$7:$AL$1843,"&gt;"&amp;AL336)+SUMIFS($AI$7:$AI$1843,$CC$7:$CC$1843,CC336,$AL$7:$AL$1843,AL336,$BT$7:$BT$1843,"&lt;="&amp;BT336),"")</f>
        <v>1625.336996337</v>
      </c>
      <c r="AN336" s="58" t="n">
        <f aca="false">IF(AM336="",0,MAX(0,MIN(1,(IF(CC336="L1",Parameter!$H$5,IF(CC336="L23",Parameter!$H$6+Parameter!$H$7,Parameter!$H$5+Parameter!$H$6+Parameter!$H$7))-(AM336-AI336))/AI336)))</f>
        <v>1</v>
      </c>
      <c r="AO336" s="50" t="n">
        <f aca="false">IF(LEFT(Cockpit!$I$5,1)="A",H336,IF(CE336=1,CF336,IF(LEFT(Cockpit!$I$5,1)="B",AT336,MAX(AT336,H336))))</f>
        <v>183</v>
      </c>
      <c r="AP336" s="50" t="n">
        <f aca="false">IF(BW336=1,0,ROUNDUP(AO336/BV336,0))</f>
        <v>3</v>
      </c>
      <c r="AQ336" s="52" t="n">
        <f aca="false">IF(CL336&gt;0,CL336*MAX(1,AO336/X336),IF(BW336=1,IF(AO336&lt;=0,0,CA336*MAX(1,IF(H336&gt;0,AO336/H336,1))),IF(R336&gt;0,AP336/R336,0))/MAX(0.1,N(Parameter!$M$21)))</f>
        <v>0.0576923076923077</v>
      </c>
      <c r="AR336" s="50" t="n">
        <f aca="false">AQ336*BY336</f>
        <v>8.94230769230769</v>
      </c>
      <c r="AS336" s="50" t="n">
        <f aca="false">AO336*G336</f>
        <v>850.95</v>
      </c>
      <c r="AT336" s="50" t="n">
        <f aca="false">ROUNDUP(MAX(J336/IF(CD336&gt;0,CD336,MAX(0.1,N(Cockpit!$I$6))),CG336)/BV336,0)*BV336</f>
        <v>183</v>
      </c>
      <c r="AU336" s="51" t="n">
        <f aca="false">IF(AR336&gt;0,J336/AR336,-1)</f>
        <v>14.2021505376344</v>
      </c>
      <c r="AV336" s="51" t="n">
        <f aca="false">IF(AND(OR(CC336="L1",CC336="L23",CC336="LIFT"),AR336&gt;0),SUMIFS($AR$7:$AR$1843,$CC$7:$CC$1843,CC336,$AU$7:$AU$1843,"&gt;"&amp;AU336)+SUMIFS($AR$7:$AR$1843,$CC$7:$CC$1843,CC336,$AU$7:$AU$1843,AU336,$BT$7:$BT$1843,"&lt;="&amp;BT336),"")</f>
        <v>3301.03617216117</v>
      </c>
      <c r="AW336" s="58" t="n">
        <f aca="false">IF(AV336="",0,MAX(0,MIN(1,(IF(CC336="L1",Parameter!$H$5,IF(CC336="L23",Parameter!$H$6+Parameter!$H$7,Parameter!$H$5+Parameter!$H$6+Parameter!$H$7))-(AV336-AR336))/AR336)))</f>
        <v>1</v>
      </c>
      <c r="AX336" s="50" t="n">
        <f aca="false">IF(LEFT(Cockpit!$O$5,1)="A",H336,IF(CE336=1,CF336,IF(LEFT(Cockpit!$O$5,1)="B",BC336,MAX(BC336,H336))))</f>
        <v>183</v>
      </c>
      <c r="AY336" s="50" t="n">
        <f aca="false">IF(BW336=1,0,ROUNDUP(AX336/BV336,0))</f>
        <v>3</v>
      </c>
      <c r="AZ336" s="52" t="n">
        <f aca="false">IF(CL336&gt;0,CL336*MAX(1,AX336/X336),IF(BW336=1,IF(AX336&lt;=0,0,CA336*MAX(1,IF(H336&gt;0,AX336/H336,1))),IF(R336&gt;0,AY336/R336,0))/MAX(0.1,N(Parameter!$M$21)))</f>
        <v>0.0576923076923077</v>
      </c>
      <c r="BA336" s="50" t="n">
        <f aca="false">AZ336*BY336</f>
        <v>8.94230769230769</v>
      </c>
      <c r="BB336" s="50" t="n">
        <f aca="false">AX336*G336</f>
        <v>850.95</v>
      </c>
      <c r="BC336" s="50" t="n">
        <f aca="false">ROUNDUP(MAX(J336/IF(CD336&gt;0,CD336,MAX(0.1,N(Cockpit!$O$6))),CG336)/BV336,0)*BV336</f>
        <v>183</v>
      </c>
      <c r="BD336" s="51" t="n">
        <f aca="false">IF(BA336&gt;0,J336/BA336,-1)</f>
        <v>14.2021505376344</v>
      </c>
      <c r="BE336" s="51" t="n">
        <f aca="false">IF(AND(OR(CC336="L1",CC336="L23",CC336="LIFT"),BA336&gt;0),SUMIFS($BA$7:$BA$1843,$CC$7:$CC$1843,CC336,$BD$7:$BD$1843,"&gt;"&amp;BD336)+SUMIFS($BA$7:$BA$1843,$CC$7:$CC$1843,CC336,$BD$7:$BD$1843,BD336,$BT$7:$BT$1843,"&lt;="&amp;BT336),"")</f>
        <v>2975.47527472527</v>
      </c>
      <c r="BF336" s="58" t="n">
        <f aca="false">IF(BE336="",0,MAX(0,MIN(1,(IF(CC336="L1",Parameter!$H$5,IF(CC336="L23",Parameter!$H$6+Parameter!$H$7,Parameter!$H$5+Parameter!$H$6+Parameter!$H$7))-(BE336-BA336))/BA336)))</f>
        <v>1</v>
      </c>
      <c r="BG336" s="48" t="str">
        <f aca="false">IF(AI336&lt;=0,"",IF(CC336="Aussen","Aussenlager",IF(CC336="-","Nicht im Lift",IF(AN336&gt;=1,"Lift",IF(AN336&lt;=0,"Aussenlager","teilweise")))))</f>
        <v>Lift</v>
      </c>
      <c r="BH336" s="48" t="str">
        <f aca="false">IF(AR336&lt;=0,"",IF(CC336="Aussen","Aussenlager",IF(CC336="-","Nicht im Lift",IF(AW336&gt;=1,"Lift",IF(AW336&lt;=0,"Aussenlager","teilweise")))))</f>
        <v>Lift</v>
      </c>
      <c r="BI336" s="48" t="str">
        <f aca="false">IF(BA336&lt;=0,"",IF(CC336="Aussen","Aussenlager",IF(CC336="-","Nicht im Lift",IF(BF336&gt;=1,"Lift",IF(BF336&lt;=0,"Aussenlager","teilweise")))))</f>
        <v>Lift</v>
      </c>
      <c r="BJ336" s="48" t="str">
        <f aca="false">IF(A336="","",IF(BS336=1,"Neu; ","")&amp;IF(AND(BS336=0,BN336&lt;0),"negativer Bestand (Export "&amp;BN336&amp;"); ","")&amp;IF(J336&lt;=0,"Kein Verbrauch; ","")&amp;IF(CL336&gt;0,"Lift "&amp;W336&amp;" lt. Liftbericht (Fach "&amp;X336&amp;" Stk); ",IF(BX336=1,"Gebinde geschätzt ("&amp;T336&amp;"); ",IF(BW336=1,"Lose – Tablare geschätzt; ","")))&amp;IF(H336&gt;AT336,"Überbestand "&amp;ROUND(H336-AT336,0)&amp;" Stk / CHF "&amp;ROUND((H336-AT336)*G336,0)&amp;"; ","")&amp;IF(AND(CE336=1,CF336&lt;CG336),"MAX &lt; MB+LG; ","")&amp;IF(AND(CK336&gt;0,CJ336*10&gt;CK336),"zu hoch für Tablar; ","")&amp;IF(AND(BS336=0,OR(CE336=1,AA336&lt;&gt;"",U336&lt;&gt;"",V336&lt;&gt;"",AB336&lt;&gt;"")),"manuell übersteuert; ","")&amp;IF(AND(BW336=0,R336=0),"Gebinde unbekannt / Stellmass fehlt; ","")&amp;IF(AND(BW336=0,N(V336)&lt;=0,N(Q336)&lt;=0),"Menge pro Gebinde fehlt (Ist = 1 Gebinde); ","")&amp;BR336)</f>
        <v/>
      </c>
      <c r="BK336" s="48"/>
      <c r="BL336" s="48"/>
      <c r="BM336" s="55"/>
      <c r="BN336" s="50" t="n">
        <v>46</v>
      </c>
      <c r="BO336" s="50" t="n">
        <v>63</v>
      </c>
      <c r="BP336" s="49" t="n">
        <v>212.640000000001</v>
      </c>
      <c r="BQ336" s="50" t="n">
        <v>127</v>
      </c>
      <c r="BR336" s="48"/>
      <c r="BS336" s="53" t="n">
        <v>0</v>
      </c>
      <c r="BT336" s="53" t="n">
        <v>336</v>
      </c>
      <c r="BU336" s="48" t="str">
        <f aca="false">IF(U336&lt;&gt;"",UPPER(TRIM(U336)),IF(BX336=1,UPPER(VLOOKUP(T336,Parameter!$I$27:$K$29,2,0)),IF(P336="","LOSE",P336)))</f>
        <v>S33</v>
      </c>
      <c r="BV336" s="50" t="n">
        <f aca="false">IF(BU336="LOSE",1,IF(N(V336)&gt;0,V336,IF(BX336=1,MAX(1,N(VLOOKUP(T336,Parameter!$I$27:$K$29,3,0)),H336,N(N336)),IF(N(Q336)&gt;0,Q336,MAX(1,H336)))))</f>
        <v>61</v>
      </c>
      <c r="BW336" s="53" t="n">
        <f aca="false">IF(BU336="LOSE",1,0)</f>
        <v>0</v>
      </c>
      <c r="BX336" s="53" t="n">
        <f aca="false">IF(AND(U336="",OR(P336="",P336="LOSE"),T336&lt;&gt;"",N(S336)&lt;=0,ISNUMBER(MATCH(T336,Parameter!$I$27:$I$29,0))),1,0)</f>
        <v>0</v>
      </c>
      <c r="BY336" s="53" t="n">
        <f aca="false">IF(CL336&gt;0,INDEX(Parameter!$H$5:$H$7,W336)/INDEX(Parameter!$E$5:$E$7,W336),IF(AND(BW336=0,N(IFERROR(VLOOKUP(BU336,'Gebinde-Kategorie'!$A$5:$N$45,14,0),0))&gt;0),VLOOKUP(BU336,'Gebinde-Kategorie'!$A$5:$N$45,14,0)*10+Parameter!$M$23,Parameter!$M$24))</f>
        <v>155</v>
      </c>
      <c r="BZ336" s="48" t="str">
        <f aca="false">IF(AND(Parameter!$B$19="Ja",E336&lt;&gt;"",ISNUMBER(MATCH(E336,Parameter!$I$35:$I$52,0))),VLOOKUP(E336,Parameter!$I$35:$J$52,2,0),IFERROR(VLOOKUP(D336,Parameter!$A$35:$C$64,2,0),"Nein"))</f>
        <v>2+3</v>
      </c>
      <c r="CA336" s="52" t="n">
        <f aca="false">IF(BW336=0,0,IF(N(S336)&gt;0,S336,IFERROR(VLOOKUP(D336,Parameter!$A$35:$C$64,3,0)+0,0)))</f>
        <v>0</v>
      </c>
      <c r="CB336" s="48" t="n">
        <f aca="false">IF(AA336&lt;&gt;"",AA336,Z336)</f>
        <v>3</v>
      </c>
      <c r="CC336" s="48" t="str">
        <f aca="false">IF(OR(CB336=1,CB336=2,CB336=3),IF(Parameter!$E$27="Ja","LIFT",IF(CB336=1,"L1","L23")),IF(CB336="Aussen","Aussen","-"))</f>
        <v>LIFT</v>
      </c>
      <c r="CD336" s="59" t="n">
        <f aca="false">IF(N(AB336)&gt;0,AB336,0)</f>
        <v>0</v>
      </c>
      <c r="CE336" s="53" t="n">
        <f aca="false">IF(ISNUMBER(AE336),1,0)</f>
        <v>0</v>
      </c>
      <c r="CF336" s="50" t="n">
        <f aca="false">N(AE336)</f>
        <v>0</v>
      </c>
      <c r="CG336" s="50" t="n">
        <f aca="false">N(M336)+N(N336)</f>
        <v>132</v>
      </c>
      <c r="CH336" s="50" t="n">
        <f aca="false">ROUNDUP(H336/BV336,0)</f>
        <v>2</v>
      </c>
      <c r="CI336" s="50" t="n">
        <f aca="false">ROUNDUP(CF336/BV336,0)</f>
        <v>0</v>
      </c>
      <c r="CJ336" s="53" t="n">
        <f aca="false">IF(BW336=1,0,IFERROR(VLOOKUP(BU336,'Gebinde-Kategorie'!$A$5:$N$45,5,0)+0,0))</f>
        <v>8</v>
      </c>
      <c r="CK336" s="53" t="n">
        <f aca="false">IFERROR(IF(OR(CB336=1,CB336=2,CB336=3),N(INDEX(Parameter!$I$5:$I$7,CB336)),0),0)</f>
        <v>0</v>
      </c>
      <c r="CL336" s="52" t="n">
        <f aca="false">IF(AND(Parameter!$B$21="Ja",ISNUMBER(W336),N(X336)&gt;0),IFERROR(N(INDEX(Parameter!$L$5:$L$7,W336))*INDEX(Parameter!$E$5:$E$7,W336)*X336/SUMIFS($X$7:$X$1843,$W$7:$W$1843,W336),0),0)</f>
        <v>0</v>
      </c>
    </row>
    <row r="337" customFormat="false" ht="15" hidden="false" customHeight="false" outlineLevel="0" collapsed="false">
      <c r="A337" s="48" t="s">
        <v>837</v>
      </c>
      <c r="B337" s="48" t="s">
        <v>767</v>
      </c>
      <c r="C337" s="48" t="s">
        <v>168</v>
      </c>
      <c r="D337" s="48" t="s">
        <v>188</v>
      </c>
      <c r="E337" s="48"/>
      <c r="F337" s="48" t="s">
        <v>222</v>
      </c>
      <c r="G337" s="49" t="n">
        <v>8.48</v>
      </c>
      <c r="H337" s="50" t="n">
        <f aca="false">MAX(0,IF(AND(Parameter!$B$21="Ja",ISNUMBER(Y337)),Y337,IF(Parameter!$B$20="Jahresanfang 2025 + Export",BO337+BN337,BN337)))</f>
        <v>25</v>
      </c>
      <c r="I337" s="50" t="n">
        <f aca="false">H337*G337</f>
        <v>212</v>
      </c>
      <c r="J337" s="50" t="n">
        <f aca="false">BQ337*Parameter!$B$18</f>
        <v>0</v>
      </c>
      <c r="K337" s="51" t="n">
        <v>0</v>
      </c>
      <c r="L337" s="52" t="n">
        <v>0</v>
      </c>
      <c r="M337" s="50" t="n">
        <v>0</v>
      </c>
      <c r="N337" s="50" t="n">
        <v>1</v>
      </c>
      <c r="O337" s="53" t="n">
        <v>9999</v>
      </c>
      <c r="P337" s="48" t="s">
        <v>172</v>
      </c>
      <c r="Q337" s="50"/>
      <c r="R337" s="53" t="n">
        <f aca="false">IF(BW337=1,0,IFERROR(VLOOKUP(BU337,'Gebinde-Kategorie'!$A$5:$N$45,13,0)+0,0))</f>
        <v>26</v>
      </c>
      <c r="S337" s="54"/>
      <c r="T337" s="55" t="s">
        <v>279</v>
      </c>
      <c r="U337" s="55"/>
      <c r="V337" s="55"/>
      <c r="W337" s="48"/>
      <c r="X337" s="50"/>
      <c r="Y337" s="50"/>
      <c r="Z337" s="48" t="n">
        <f aca="false">IF(A337="","",IF(AND(Parameter!$B$21="Ja",ISNUMBER(W337)),W337,IF(BZ337="2+3",IF(ISNUMBER(SEARCH("grosser Artikel",BR337)),2,IFERROR(VLOOKUP(BU337,Parameter!$F$35:$G$64,2,0),2)),IF(OR(BZ337="Nein",BZ337=""),"-",BZ337))))</f>
        <v>3</v>
      </c>
      <c r="AA337" s="55"/>
      <c r="AB337" s="56"/>
      <c r="AC337" s="50" t="n">
        <f aca="false">AT337</f>
        <v>25</v>
      </c>
      <c r="AD337" s="50" t="n">
        <f aca="false">MAX(AT337,H337)</f>
        <v>25</v>
      </c>
      <c r="AE337" s="57"/>
      <c r="AF337" s="50" t="n">
        <f aca="false">IF(LEFT(Cockpit!$C$5,1)="A",H337,IF(CE337=1,CF337,IF(LEFT(Cockpit!$C$5,1)="B",AK337,MAX(AK337,H337))))</f>
        <v>25</v>
      </c>
      <c r="AG337" s="50" t="n">
        <f aca="false">IF(BW337=1,0,ROUNDUP(AF337/BV337,0))</f>
        <v>1</v>
      </c>
      <c r="AH337" s="52" t="n">
        <f aca="false">IF(CL337&gt;0,CL337*MAX(1,AF337/X337),IF(BW337=1,IF(AF337&lt;=0,0,CA337*MAX(1,IF(H337&gt;0,AF337/H337,1))),IF(R337&gt;0,AG337/R337,0))/MAX(0.1,N(Parameter!$M$21)))</f>
        <v>0.0384615384615385</v>
      </c>
      <c r="AI337" s="50" t="n">
        <f aca="false">AH337*BY337</f>
        <v>5.96153846153846</v>
      </c>
      <c r="AJ337" s="50" t="n">
        <f aca="false">AF337*G337</f>
        <v>212</v>
      </c>
      <c r="AK337" s="50" t="n">
        <f aca="false">ROUNDUP(MAX(J337/IF(CD337&gt;0,CD337,MAX(0.1,N(Cockpit!$C$6))),CG337)/BV337,0)*BV337</f>
        <v>25</v>
      </c>
      <c r="AL337" s="51" t="n">
        <f aca="false">IF(AI337&gt;0,J337/AI337,-1)</f>
        <v>0</v>
      </c>
      <c r="AM337" s="51" t="n">
        <f aca="false">IF(AND(OR(CC337="L1",CC337="L23",CC337="LIFT"),AI337&gt;0),SUMIFS($AI$7:$AI$1843,$CC$7:$CC$1843,CC337,$AL$7:$AL$1843,"&gt;"&amp;AL337)+SUMIFS($AI$7:$AI$1843,$CC$7:$CC$1843,CC337,$AL$7:$AL$1843,AL337,$BT$7:$BT$1843,"&lt;="&amp;BT337),"")</f>
        <v>27983.2973293185</v>
      </c>
      <c r="AN337" s="58" t="n">
        <f aca="false">IF(AM337="",0,MAX(0,MIN(1,(IF(CC337="L1",Parameter!$H$5,IF(CC337="L23",Parameter!$H$6+Parameter!$H$7,Parameter!$H$5+Parameter!$H$6+Parameter!$H$7))-(AM337-AI337))/AI337)))</f>
        <v>1</v>
      </c>
      <c r="AO337" s="50" t="n">
        <f aca="false">IF(LEFT(Cockpit!$I$5,1)="A",H337,IF(CE337=1,CF337,IF(LEFT(Cockpit!$I$5,1)="B",AT337,MAX(AT337,H337))))</f>
        <v>25</v>
      </c>
      <c r="AP337" s="50" t="n">
        <f aca="false">IF(BW337=1,0,ROUNDUP(AO337/BV337,0))</f>
        <v>1</v>
      </c>
      <c r="AQ337" s="52" t="n">
        <f aca="false">IF(CL337&gt;0,CL337*MAX(1,AO337/X337),IF(BW337=1,IF(AO337&lt;=0,0,CA337*MAX(1,IF(H337&gt;0,AO337/H337,1))),IF(R337&gt;0,AP337/R337,0))/MAX(0.1,N(Parameter!$M$21)))</f>
        <v>0.0384615384615385</v>
      </c>
      <c r="AR337" s="50" t="n">
        <f aca="false">AQ337*BY337</f>
        <v>5.96153846153846</v>
      </c>
      <c r="AS337" s="50" t="n">
        <f aca="false">AO337*G337</f>
        <v>212</v>
      </c>
      <c r="AT337" s="50" t="n">
        <f aca="false">ROUNDUP(MAX(J337/IF(CD337&gt;0,CD337,MAX(0.1,N(Cockpit!$I$6))),CG337)/BV337,0)*BV337</f>
        <v>25</v>
      </c>
      <c r="AU337" s="51" t="n">
        <f aca="false">IF(AR337&gt;0,J337/AR337,-1)</f>
        <v>0</v>
      </c>
      <c r="AV337" s="51" t="n">
        <f aca="false">IF(AND(OR(CC337="L1",CC337="L23",CC337="LIFT"),AR337&gt;0),SUMIFS($AR$7:$AR$1843,$CC$7:$CC$1843,CC337,$AU$7:$AU$1843,"&gt;"&amp;AU337)+SUMIFS($AR$7:$AR$1843,$CC$7:$CC$1843,CC337,$AU$7:$AU$1843,AU337,$BT$7:$BT$1843,"&lt;="&amp;BT337),"")</f>
        <v>39296.2028465884</v>
      </c>
      <c r="AW337" s="58" t="n">
        <f aca="false">IF(AV337="",0,MAX(0,MIN(1,(IF(CC337="L1",Parameter!$H$5,IF(CC337="L23",Parameter!$H$6+Parameter!$H$7,Parameter!$H$5+Parameter!$H$6+Parameter!$H$7))-(AV337-AR337))/AR337)))</f>
        <v>0</v>
      </c>
      <c r="AX337" s="50" t="n">
        <f aca="false">IF(LEFT(Cockpit!$O$5,1)="A",H337,IF(CE337=1,CF337,IF(LEFT(Cockpit!$O$5,1)="B",BC337,MAX(BC337,H337))))</f>
        <v>25</v>
      </c>
      <c r="AY337" s="50" t="n">
        <f aca="false">IF(BW337=1,0,ROUNDUP(AX337/BV337,0))</f>
        <v>1</v>
      </c>
      <c r="AZ337" s="52" t="n">
        <f aca="false">IF(CL337&gt;0,CL337*MAX(1,AX337/X337),IF(BW337=1,IF(AX337&lt;=0,0,CA337*MAX(1,IF(H337&gt;0,AX337/H337,1))),IF(R337&gt;0,AY337/R337,0))/MAX(0.1,N(Parameter!$M$21)))</f>
        <v>0.0384615384615385</v>
      </c>
      <c r="BA337" s="50" t="n">
        <f aca="false">AZ337*BY337</f>
        <v>5.96153846153846</v>
      </c>
      <c r="BB337" s="50" t="n">
        <f aca="false">AX337*G337</f>
        <v>212</v>
      </c>
      <c r="BC337" s="50" t="n">
        <f aca="false">ROUNDUP(MAX(J337/IF(CD337&gt;0,CD337,MAX(0.1,N(Cockpit!$O$6))),CG337)/BV337,0)*BV337</f>
        <v>25</v>
      </c>
      <c r="BD337" s="51" t="n">
        <f aca="false">IF(BA337&gt;0,J337/BA337,-1)</f>
        <v>0</v>
      </c>
      <c r="BE337" s="51" t="n">
        <f aca="false">IF(AND(OR(CC337="L1",CC337="L23",CC337="LIFT"),BA337&gt;0),SUMIFS($BA$7:$BA$1843,$CC$7:$CC$1843,CC337,$BD$7:$BD$1843,"&gt;"&amp;BD337)+SUMIFS($BA$7:$BA$1843,$CC$7:$CC$1843,CC337,$BD$7:$BD$1843,BD337,$BT$7:$BT$1843,"&lt;="&amp;BT337),"")</f>
        <v>35971.2148884543</v>
      </c>
      <c r="BF337" s="58" t="n">
        <f aca="false">IF(BE337="",0,MAX(0,MIN(1,(IF(CC337="L1",Parameter!$H$5,IF(CC337="L23",Parameter!$H$6+Parameter!$H$7,Parameter!$H$5+Parameter!$H$6+Parameter!$H$7))-(BE337-BA337))/BA337)))</f>
        <v>0</v>
      </c>
      <c r="BG337" s="48" t="str">
        <f aca="false">IF(AI337&lt;=0,"",IF(CC337="Aussen","Aussenlager",IF(CC337="-","Nicht im Lift",IF(AN337&gt;=1,"Lift",IF(AN337&lt;=0,"Aussenlager","teilweise")))))</f>
        <v>Lift</v>
      </c>
      <c r="BH337" s="48" t="str">
        <f aca="false">IF(AR337&lt;=0,"",IF(CC337="Aussen","Aussenlager",IF(CC337="-","Nicht im Lift",IF(AW337&gt;=1,"Lift",IF(AW337&lt;=0,"Aussenlager","teilweise")))))</f>
        <v>Aussenlager</v>
      </c>
      <c r="BI337" s="48" t="str">
        <f aca="false">IF(BA337&lt;=0,"",IF(CC337="Aussen","Aussenlager",IF(CC337="-","Nicht im Lift",IF(BF337&gt;=1,"Lift",IF(BF337&lt;=0,"Aussenlager","teilweise")))))</f>
        <v>Aussenlager</v>
      </c>
      <c r="BJ337" s="48" t="str">
        <f aca="false">IF(A337="","",IF(BS337=1,"Neu; ","")&amp;IF(AND(BS337=0,BN337&lt;0),"negativer Bestand (Export "&amp;BN337&amp;"); ","")&amp;IF(J337&lt;=0,"Kein Verbrauch; ","")&amp;IF(CL337&gt;0,"Lift "&amp;W337&amp;" lt. Liftbericht (Fach "&amp;X337&amp;" Stk); ",IF(BX337=1,"Gebinde geschätzt ("&amp;T337&amp;"); ",IF(BW337=1,"Lose – Tablare geschätzt; ","")))&amp;IF(H337&gt;AT337,"Überbestand "&amp;ROUND(H337-AT337,0)&amp;" Stk / CHF "&amp;ROUND((H337-AT337)*G337,0)&amp;"; ","")&amp;IF(AND(CE337=1,CF337&lt;CG337),"MAX &lt; MB+LG; ","")&amp;IF(AND(CK337&gt;0,CJ337*10&gt;CK337),"zu hoch für Tablar; ","")&amp;IF(AND(BS337=0,OR(CE337=1,AA337&lt;&gt;"",U337&lt;&gt;"",V337&lt;&gt;"",AB337&lt;&gt;"")),"manuell übersteuert; ","")&amp;IF(AND(BW337=0,R337=0),"Gebinde unbekannt / Stellmass fehlt; ","")&amp;IF(AND(BW337=0,N(V337)&lt;=0,N(Q337)&lt;=0),"Menge pro Gebinde fehlt (Ist = 1 Gebinde); ","")&amp;BR337)</f>
        <v>Kein Verbrauch; Gebinde geschätzt (Klein); Menge pro Gebinde fehlt (Ist = 1 Gebinde); </v>
      </c>
      <c r="BK337" s="48"/>
      <c r="BL337" s="48"/>
      <c r="BM337" s="55"/>
      <c r="BN337" s="50" t="n">
        <v>25</v>
      </c>
      <c r="BO337" s="50" t="n">
        <v>0</v>
      </c>
      <c r="BP337" s="49" t="n">
        <v>212</v>
      </c>
      <c r="BQ337" s="50" t="n">
        <v>0</v>
      </c>
      <c r="BR337" s="48"/>
      <c r="BS337" s="53" t="n">
        <v>0</v>
      </c>
      <c r="BT337" s="53" t="n">
        <v>337</v>
      </c>
      <c r="BU337" s="48" t="str">
        <f aca="false">IF(U337&lt;&gt;"",UPPER(TRIM(U337)),IF(BX337=1,UPPER(VLOOKUP(T337,Parameter!$I$27:$K$29,2,0)),IF(P337="","LOSE",P337)))</f>
        <v>S51</v>
      </c>
      <c r="BV337" s="50" t="n">
        <f aca="false">IF(BU337="LOSE",1,IF(N(V337)&gt;0,V337,IF(BX337=1,MAX(1,N(VLOOKUP(T337,Parameter!$I$27:$K$29,3,0)),H337,N(N337)),IF(N(Q337)&gt;0,Q337,MAX(1,H337)))))</f>
        <v>25</v>
      </c>
      <c r="BW337" s="53" t="n">
        <f aca="false">IF(BU337="LOSE",1,0)</f>
        <v>0</v>
      </c>
      <c r="BX337" s="53" t="n">
        <f aca="false">IF(AND(U337="",OR(P337="",P337="LOSE"),T337&lt;&gt;"",N(S337)&lt;=0,ISNUMBER(MATCH(T337,Parameter!$I$27:$I$29,0))),1,0)</f>
        <v>1</v>
      </c>
      <c r="BY337" s="53" t="n">
        <f aca="false">IF(CL337&gt;0,INDEX(Parameter!$H$5:$H$7,W337)/INDEX(Parameter!$E$5:$E$7,W337),IF(AND(BW337=0,N(IFERROR(VLOOKUP(BU337,'Gebinde-Kategorie'!$A$5:$N$45,14,0),0))&gt;0),VLOOKUP(BU337,'Gebinde-Kategorie'!$A$5:$N$45,14,0)*10+Parameter!$M$23,Parameter!$M$24))</f>
        <v>155</v>
      </c>
      <c r="BZ337" s="48" t="str">
        <f aca="false">IF(AND(Parameter!$B$19="Ja",E337&lt;&gt;"",ISNUMBER(MATCH(E337,Parameter!$I$35:$I$52,0))),VLOOKUP(E337,Parameter!$I$35:$J$52,2,0),IFERROR(VLOOKUP(D337,Parameter!$A$35:$C$64,2,0),"Nein"))</f>
        <v>2+3</v>
      </c>
      <c r="CA337" s="52" t="n">
        <f aca="false">IF(BW337=0,0,IF(N(S337)&gt;0,S337,IFERROR(VLOOKUP(D337,Parameter!$A$35:$C$64,3,0)+0,0)))</f>
        <v>0</v>
      </c>
      <c r="CB337" s="48" t="n">
        <f aca="false">IF(AA337&lt;&gt;"",AA337,Z337)</f>
        <v>3</v>
      </c>
      <c r="CC337" s="48" t="str">
        <f aca="false">IF(OR(CB337=1,CB337=2,CB337=3),IF(Parameter!$E$27="Ja","LIFT",IF(CB337=1,"L1","L23")),IF(CB337="Aussen","Aussen","-"))</f>
        <v>LIFT</v>
      </c>
      <c r="CD337" s="59" t="n">
        <f aca="false">IF(N(AB337)&gt;0,AB337,0)</f>
        <v>0</v>
      </c>
      <c r="CE337" s="53" t="n">
        <f aca="false">IF(ISNUMBER(AE337),1,0)</f>
        <v>0</v>
      </c>
      <c r="CF337" s="50" t="n">
        <f aca="false">N(AE337)</f>
        <v>0</v>
      </c>
      <c r="CG337" s="50" t="n">
        <f aca="false">N(M337)+N(N337)</f>
        <v>1</v>
      </c>
      <c r="CH337" s="50" t="n">
        <f aca="false">ROUNDUP(H337/BV337,0)</f>
        <v>1</v>
      </c>
      <c r="CI337" s="50" t="n">
        <f aca="false">ROUNDUP(CF337/BV337,0)</f>
        <v>0</v>
      </c>
      <c r="CJ337" s="53" t="n">
        <f aca="false">IF(BW337=1,0,IFERROR(VLOOKUP(BU337,'Gebinde-Kategorie'!$A$5:$N$45,5,0)+0,0))</f>
        <v>11</v>
      </c>
      <c r="CK337" s="53" t="n">
        <f aca="false">IFERROR(IF(OR(CB337=1,CB337=2,CB337=3),N(INDEX(Parameter!$I$5:$I$7,CB337)),0),0)</f>
        <v>0</v>
      </c>
      <c r="CL337" s="52" t="n">
        <f aca="false">IF(AND(Parameter!$B$21="Ja",ISNUMBER(W337),N(X337)&gt;0),IFERROR(N(INDEX(Parameter!$L$5:$L$7,W337))*INDEX(Parameter!$E$5:$E$7,W337)*X337/SUMIFS($X$7:$X$1843,$W$7:$W$1843,W337),0),0)</f>
        <v>0</v>
      </c>
    </row>
    <row r="338" customFormat="false" ht="15" hidden="false" customHeight="false" outlineLevel="0" collapsed="false">
      <c r="A338" s="48" t="s">
        <v>838</v>
      </c>
      <c r="B338" s="48" t="s">
        <v>839</v>
      </c>
      <c r="C338" s="48" t="s">
        <v>168</v>
      </c>
      <c r="D338" s="48" t="s">
        <v>188</v>
      </c>
      <c r="E338" s="48" t="s">
        <v>189</v>
      </c>
      <c r="F338" s="48" t="s">
        <v>222</v>
      </c>
      <c r="G338" s="49" t="n">
        <v>6.13</v>
      </c>
      <c r="H338" s="50" t="n">
        <f aca="false">MAX(0,IF(AND(Parameter!$B$21="Ja",ISNUMBER(Y338)),Y338,IF(Parameter!$B$20="Jahresanfang 2025 + Export",BO338+BN338,BN338)))</f>
        <v>44</v>
      </c>
      <c r="I338" s="50" t="n">
        <f aca="false">H338*G338</f>
        <v>269.72</v>
      </c>
      <c r="J338" s="50" t="n">
        <f aca="false">BQ338*Parameter!$B$18</f>
        <v>0</v>
      </c>
      <c r="K338" s="51" t="n">
        <v>5.5</v>
      </c>
      <c r="L338" s="52" t="n">
        <v>0</v>
      </c>
      <c r="M338" s="50" t="n">
        <v>0</v>
      </c>
      <c r="N338" s="50" t="n">
        <v>1</v>
      </c>
      <c r="O338" s="53" t="n">
        <v>14</v>
      </c>
      <c r="P338" s="48" t="s">
        <v>306</v>
      </c>
      <c r="Q338" s="50" t="n">
        <v>15</v>
      </c>
      <c r="R338" s="53" t="n">
        <f aca="false">IF(BW338=1,0,IFERROR(VLOOKUP(BU338,'Gebinde-Kategorie'!$A$5:$N$45,13,0)+0,0))</f>
        <v>26</v>
      </c>
      <c r="S338" s="54"/>
      <c r="T338" s="55"/>
      <c r="U338" s="55"/>
      <c r="V338" s="55"/>
      <c r="W338" s="48"/>
      <c r="X338" s="50"/>
      <c r="Y338" s="50"/>
      <c r="Z338" s="48" t="n">
        <f aca="false">IF(A338="","",IF(AND(Parameter!$B$21="Ja",ISNUMBER(W338)),W338,IF(BZ338="2+3",IF(ISNUMBER(SEARCH("grosser Artikel",BR338)),2,IFERROR(VLOOKUP(BU338,Parameter!$F$35:$G$64,2,0),2)),IF(OR(BZ338="Nein",BZ338=""),"-",BZ338))))</f>
        <v>3</v>
      </c>
      <c r="AA338" s="55"/>
      <c r="AB338" s="56"/>
      <c r="AC338" s="50" t="n">
        <f aca="false">AT338</f>
        <v>15</v>
      </c>
      <c r="AD338" s="50" t="n">
        <f aca="false">MAX(AT338,H338)</f>
        <v>44</v>
      </c>
      <c r="AE338" s="57"/>
      <c r="AF338" s="50" t="n">
        <f aca="false">IF(LEFT(Cockpit!$C$5,1)="A",H338,IF(CE338=1,CF338,IF(LEFT(Cockpit!$C$5,1)="B",AK338,MAX(AK338,H338))))</f>
        <v>44</v>
      </c>
      <c r="AG338" s="50" t="n">
        <f aca="false">IF(BW338=1,0,ROUNDUP(AF338/BV338,0))</f>
        <v>3</v>
      </c>
      <c r="AH338" s="52" t="n">
        <f aca="false">IF(CL338&gt;0,CL338*MAX(1,AF338/X338),IF(BW338=1,IF(AF338&lt;=0,0,CA338*MAX(1,IF(H338&gt;0,AF338/H338,1))),IF(R338&gt;0,AG338/R338,0))/MAX(0.1,N(Parameter!$M$21)))</f>
        <v>0.115384615384615</v>
      </c>
      <c r="AI338" s="50" t="n">
        <f aca="false">AH338*BY338</f>
        <v>17.8846153846154</v>
      </c>
      <c r="AJ338" s="50" t="n">
        <f aca="false">AF338*G338</f>
        <v>269.72</v>
      </c>
      <c r="AK338" s="50" t="n">
        <f aca="false">ROUNDUP(MAX(J338/IF(CD338&gt;0,CD338,MAX(0.1,N(Cockpit!$C$6))),CG338)/BV338,0)*BV338</f>
        <v>15</v>
      </c>
      <c r="AL338" s="51" t="n">
        <f aca="false">IF(AI338&gt;0,J338/AI338,-1)</f>
        <v>0</v>
      </c>
      <c r="AM338" s="51" t="n">
        <f aca="false">IF(AND(OR(CC338="L1",CC338="L23",CC338="LIFT"),AI338&gt;0),SUMIFS($AI$7:$AI$1843,$CC$7:$CC$1843,CC338,$AL$7:$AL$1843,"&gt;"&amp;AL338)+SUMIFS($AI$7:$AI$1843,$CC$7:$CC$1843,CC338,$AL$7:$AL$1843,AL338,$BT$7:$BT$1843,"&lt;="&amp;BT338),"")</f>
        <v>28001.1819447031</v>
      </c>
      <c r="AN338" s="58" t="n">
        <f aca="false">IF(AM338="",0,MAX(0,MIN(1,(IF(CC338="L1",Parameter!$H$5,IF(CC338="L23",Parameter!$H$6+Parameter!$H$7,Parameter!$H$5+Parameter!$H$6+Parameter!$H$7))-(AM338-AI338))/AI338)))</f>
        <v>1</v>
      </c>
      <c r="AO338" s="50" t="n">
        <f aca="false">IF(LEFT(Cockpit!$I$5,1)="A",H338,IF(CE338=1,CF338,IF(LEFT(Cockpit!$I$5,1)="B",AT338,MAX(AT338,H338))))</f>
        <v>44</v>
      </c>
      <c r="AP338" s="50" t="n">
        <f aca="false">IF(BW338=1,0,ROUNDUP(AO338/BV338,0))</f>
        <v>3</v>
      </c>
      <c r="AQ338" s="52" t="n">
        <f aca="false">IF(CL338&gt;0,CL338*MAX(1,AO338/X338),IF(BW338=1,IF(AO338&lt;=0,0,CA338*MAX(1,IF(H338&gt;0,AO338/H338,1))),IF(R338&gt;0,AP338/R338,0))/MAX(0.1,N(Parameter!$M$21)))</f>
        <v>0.115384615384615</v>
      </c>
      <c r="AR338" s="50" t="n">
        <f aca="false">AQ338*BY338</f>
        <v>17.8846153846154</v>
      </c>
      <c r="AS338" s="50" t="n">
        <f aca="false">AO338*G338</f>
        <v>269.72</v>
      </c>
      <c r="AT338" s="50" t="n">
        <f aca="false">ROUNDUP(MAX(J338/IF(CD338&gt;0,CD338,MAX(0.1,N(Cockpit!$I$6))),CG338)/BV338,0)*BV338</f>
        <v>15</v>
      </c>
      <c r="AU338" s="51" t="n">
        <f aca="false">IF(AR338&gt;0,J338/AR338,-1)</f>
        <v>0</v>
      </c>
      <c r="AV338" s="51" t="n">
        <f aca="false">IF(AND(OR(CC338="L1",CC338="L23",CC338="LIFT"),AR338&gt;0),SUMIFS($AR$7:$AR$1843,$CC$7:$CC$1843,CC338,$AU$7:$AU$1843,"&gt;"&amp;AU338)+SUMIFS($AR$7:$AR$1843,$CC$7:$CC$1843,CC338,$AU$7:$AU$1843,AU338,$BT$7:$BT$1843,"&lt;="&amp;BT338),"")</f>
        <v>39314.0874619731</v>
      </c>
      <c r="AW338" s="58" t="n">
        <f aca="false">IF(AV338="",0,MAX(0,MIN(1,(IF(CC338="L1",Parameter!$H$5,IF(CC338="L23",Parameter!$H$6+Parameter!$H$7,Parameter!$H$5+Parameter!$H$6+Parameter!$H$7))-(AV338-AR338))/AR338)))</f>
        <v>0</v>
      </c>
      <c r="AX338" s="50" t="n">
        <f aca="false">IF(LEFT(Cockpit!$O$5,1)="A",H338,IF(CE338=1,CF338,IF(LEFT(Cockpit!$O$5,1)="B",BC338,MAX(BC338,H338))))</f>
        <v>44</v>
      </c>
      <c r="AY338" s="50" t="n">
        <f aca="false">IF(BW338=1,0,ROUNDUP(AX338/BV338,0))</f>
        <v>3</v>
      </c>
      <c r="AZ338" s="52" t="n">
        <f aca="false">IF(CL338&gt;0,CL338*MAX(1,AX338/X338),IF(BW338=1,IF(AX338&lt;=0,0,CA338*MAX(1,IF(H338&gt;0,AX338/H338,1))),IF(R338&gt;0,AY338/R338,0))/MAX(0.1,N(Parameter!$M$21)))</f>
        <v>0.115384615384615</v>
      </c>
      <c r="BA338" s="50" t="n">
        <f aca="false">AZ338*BY338</f>
        <v>17.8846153846154</v>
      </c>
      <c r="BB338" s="50" t="n">
        <f aca="false">AX338*G338</f>
        <v>269.72</v>
      </c>
      <c r="BC338" s="50" t="n">
        <f aca="false">ROUNDUP(MAX(J338/IF(CD338&gt;0,CD338,MAX(0.1,N(Cockpit!$O$6))),CG338)/BV338,0)*BV338</f>
        <v>15</v>
      </c>
      <c r="BD338" s="51" t="n">
        <f aca="false">IF(BA338&gt;0,J338/BA338,-1)</f>
        <v>0</v>
      </c>
      <c r="BE338" s="51" t="n">
        <f aca="false">IF(AND(OR(CC338="L1",CC338="L23",CC338="LIFT"),BA338&gt;0),SUMIFS($BA$7:$BA$1843,$CC$7:$CC$1843,CC338,$BD$7:$BD$1843,"&gt;"&amp;BD338)+SUMIFS($BA$7:$BA$1843,$CC$7:$CC$1843,CC338,$BD$7:$BD$1843,BD338,$BT$7:$BT$1843,"&lt;="&amp;BT338),"")</f>
        <v>35989.0995038389</v>
      </c>
      <c r="BF338" s="58" t="n">
        <f aca="false">IF(BE338="",0,MAX(0,MIN(1,(IF(CC338="L1",Parameter!$H$5,IF(CC338="L23",Parameter!$H$6+Parameter!$H$7,Parameter!$H$5+Parameter!$H$6+Parameter!$H$7))-(BE338-BA338))/BA338)))</f>
        <v>0</v>
      </c>
      <c r="BG338" s="48" t="str">
        <f aca="false">IF(AI338&lt;=0,"",IF(CC338="Aussen","Aussenlager",IF(CC338="-","Nicht im Lift",IF(AN338&gt;=1,"Lift",IF(AN338&lt;=0,"Aussenlager","teilweise")))))</f>
        <v>Lift</v>
      </c>
      <c r="BH338" s="48" t="str">
        <f aca="false">IF(AR338&lt;=0,"",IF(CC338="Aussen","Aussenlager",IF(CC338="-","Nicht im Lift",IF(AW338&gt;=1,"Lift",IF(AW338&lt;=0,"Aussenlager","teilweise")))))</f>
        <v>Aussenlager</v>
      </c>
      <c r="BI338" s="48" t="str">
        <f aca="false">IF(BA338&lt;=0,"",IF(CC338="Aussen","Aussenlager",IF(CC338="-","Nicht im Lift",IF(BF338&gt;=1,"Lift",IF(BF338&lt;=0,"Aussenlager","teilweise")))))</f>
        <v>Aussenlager</v>
      </c>
      <c r="BJ338" s="48" t="str">
        <f aca="false">IF(A338="","",IF(BS338=1,"Neu; ","")&amp;IF(AND(BS338=0,BN338&lt;0),"negativer Bestand (Export "&amp;BN338&amp;"); ","")&amp;IF(J338&lt;=0,"Kein Verbrauch; ","")&amp;IF(CL338&gt;0,"Lift "&amp;W338&amp;" lt. Liftbericht (Fach "&amp;X338&amp;" Stk); ",IF(BX338=1,"Gebinde geschätzt ("&amp;T338&amp;"); ",IF(BW338=1,"Lose – Tablare geschätzt; ","")))&amp;IF(H338&gt;AT338,"Überbestand "&amp;ROUND(H338-AT338,0)&amp;" Stk / CHF "&amp;ROUND((H338-AT338)*G338,0)&amp;"; ","")&amp;IF(AND(CE338=1,CF338&lt;CG338),"MAX &lt; MB+LG; ","")&amp;IF(AND(CK338&gt;0,CJ338*10&gt;CK338),"zu hoch für Tablar; ","")&amp;IF(AND(BS338=0,OR(CE338=1,AA338&lt;&gt;"",U338&lt;&gt;"",V338&lt;&gt;"",AB338&lt;&gt;"")),"manuell übersteuert; ","")&amp;IF(AND(BW338=0,R338=0),"Gebinde unbekannt / Stellmass fehlt; ","")&amp;IF(AND(BW338=0,N(V338)&lt;=0,N(Q338)&lt;=0),"Menge pro Gebinde fehlt (Ist = 1 Gebinde); ","")&amp;BR338)</f>
        <v>Kein Verbrauch; Überbestand 29 Stk / CHF 178; </v>
      </c>
      <c r="BK338" s="48"/>
      <c r="BL338" s="48"/>
      <c r="BM338" s="55"/>
      <c r="BN338" s="50" t="n">
        <v>35</v>
      </c>
      <c r="BO338" s="50" t="n">
        <v>9</v>
      </c>
      <c r="BP338" s="49" t="n">
        <v>204.92</v>
      </c>
      <c r="BQ338" s="50" t="n">
        <v>0</v>
      </c>
      <c r="BR338" s="48"/>
      <c r="BS338" s="53" t="n">
        <v>0</v>
      </c>
      <c r="BT338" s="53" t="n">
        <v>338</v>
      </c>
      <c r="BU338" s="48" t="str">
        <f aca="false">IF(U338&lt;&gt;"",UPPER(TRIM(U338)),IF(BX338=1,UPPER(VLOOKUP(T338,Parameter!$I$27:$K$29,2,0)),IF(P338="","LOSE",P338)))</f>
        <v>S51</v>
      </c>
      <c r="BV338" s="50" t="n">
        <f aca="false">IF(BU338="LOSE",1,IF(N(V338)&gt;0,V338,IF(BX338=1,MAX(1,N(VLOOKUP(T338,Parameter!$I$27:$K$29,3,0)),H338,N(N338)),IF(N(Q338)&gt;0,Q338,MAX(1,H338)))))</f>
        <v>15</v>
      </c>
      <c r="BW338" s="53" t="n">
        <f aca="false">IF(BU338="LOSE",1,0)</f>
        <v>0</v>
      </c>
      <c r="BX338" s="53" t="n">
        <f aca="false">IF(AND(U338="",OR(P338="",P338="LOSE"),T338&lt;&gt;"",N(S338)&lt;=0,ISNUMBER(MATCH(T338,Parameter!$I$27:$I$29,0))),1,0)</f>
        <v>0</v>
      </c>
      <c r="BY338" s="53" t="n">
        <f aca="false">IF(CL338&gt;0,INDEX(Parameter!$H$5:$H$7,W338)/INDEX(Parameter!$E$5:$E$7,W338),IF(AND(BW338=0,N(IFERROR(VLOOKUP(BU338,'Gebinde-Kategorie'!$A$5:$N$45,14,0),0))&gt;0),VLOOKUP(BU338,'Gebinde-Kategorie'!$A$5:$N$45,14,0)*10+Parameter!$M$23,Parameter!$M$24))</f>
        <v>155</v>
      </c>
      <c r="BZ338" s="48" t="str">
        <f aca="false">IF(AND(Parameter!$B$19="Ja",E338&lt;&gt;"",ISNUMBER(MATCH(E338,Parameter!$I$35:$I$52,0))),VLOOKUP(E338,Parameter!$I$35:$J$52,2,0),IFERROR(VLOOKUP(D338,Parameter!$A$35:$C$64,2,0),"Nein"))</f>
        <v>2+3</v>
      </c>
      <c r="CA338" s="52" t="n">
        <f aca="false">IF(BW338=0,0,IF(N(S338)&gt;0,S338,IFERROR(VLOOKUP(D338,Parameter!$A$35:$C$64,3,0)+0,0)))</f>
        <v>0</v>
      </c>
      <c r="CB338" s="48" t="n">
        <f aca="false">IF(AA338&lt;&gt;"",AA338,Z338)</f>
        <v>3</v>
      </c>
      <c r="CC338" s="48" t="str">
        <f aca="false">IF(OR(CB338=1,CB338=2,CB338=3),IF(Parameter!$E$27="Ja","LIFT",IF(CB338=1,"L1","L23")),IF(CB338="Aussen","Aussen","-"))</f>
        <v>LIFT</v>
      </c>
      <c r="CD338" s="59" t="n">
        <f aca="false">IF(N(AB338)&gt;0,AB338,0)</f>
        <v>0</v>
      </c>
      <c r="CE338" s="53" t="n">
        <f aca="false">IF(ISNUMBER(AE338),1,0)</f>
        <v>0</v>
      </c>
      <c r="CF338" s="50" t="n">
        <f aca="false">N(AE338)</f>
        <v>0</v>
      </c>
      <c r="CG338" s="50" t="n">
        <f aca="false">N(M338)+N(N338)</f>
        <v>1</v>
      </c>
      <c r="CH338" s="50" t="n">
        <f aca="false">ROUNDUP(H338/BV338,0)</f>
        <v>3</v>
      </c>
      <c r="CI338" s="50" t="n">
        <f aca="false">ROUNDUP(CF338/BV338,0)</f>
        <v>0</v>
      </c>
      <c r="CJ338" s="53" t="n">
        <f aca="false">IF(BW338=1,0,IFERROR(VLOOKUP(BU338,'Gebinde-Kategorie'!$A$5:$N$45,5,0)+0,0))</f>
        <v>11</v>
      </c>
      <c r="CK338" s="53" t="n">
        <f aca="false">IFERROR(IF(OR(CB338=1,CB338=2,CB338=3),N(INDEX(Parameter!$I$5:$I$7,CB338)),0),0)</f>
        <v>0</v>
      </c>
      <c r="CL338" s="52" t="n">
        <f aca="false">IF(AND(Parameter!$B$21="Ja",ISNUMBER(W338),N(X338)&gt;0),IFERROR(N(INDEX(Parameter!$L$5:$L$7,W338))*INDEX(Parameter!$E$5:$E$7,W338)*X338/SUMIFS($X$7:$X$1843,$W$7:$W$1843,W338),0),0)</f>
        <v>0</v>
      </c>
    </row>
    <row r="339" customFormat="false" ht="15" hidden="false" customHeight="false" outlineLevel="0" collapsed="false">
      <c r="A339" s="48" t="s">
        <v>840</v>
      </c>
      <c r="B339" s="48" t="s">
        <v>692</v>
      </c>
      <c r="C339" s="48" t="s">
        <v>168</v>
      </c>
      <c r="D339" s="48" t="s">
        <v>188</v>
      </c>
      <c r="E339" s="48" t="s">
        <v>189</v>
      </c>
      <c r="F339" s="48" t="s">
        <v>222</v>
      </c>
      <c r="G339" s="49" t="n">
        <v>21.28</v>
      </c>
      <c r="H339" s="50" t="n">
        <f aca="false">MAX(0,IF(AND(Parameter!$B$21="Ja",ISNUMBER(Y339)),Y339,IF(Parameter!$B$20="Jahresanfang 2025 + Export",BO339+BN339,BN339)))</f>
        <v>22</v>
      </c>
      <c r="I339" s="50" t="n">
        <f aca="false">H339*G339</f>
        <v>468.16</v>
      </c>
      <c r="J339" s="50" t="n">
        <f aca="false">BQ339*Parameter!$B$18</f>
        <v>26</v>
      </c>
      <c r="K339" s="51" t="n">
        <v>13</v>
      </c>
      <c r="L339" s="52" t="n">
        <v>2</v>
      </c>
      <c r="M339" s="50" t="n">
        <v>2</v>
      </c>
      <c r="N339" s="50" t="n">
        <v>25</v>
      </c>
      <c r="O339" s="53" t="n">
        <v>35</v>
      </c>
      <c r="P339" s="48" t="s">
        <v>237</v>
      </c>
      <c r="Q339" s="50" t="n">
        <v>17</v>
      </c>
      <c r="R339" s="53" t="n">
        <f aca="false">IF(BW339=1,0,IFERROR(VLOOKUP(BU339,'Gebinde-Kategorie'!$A$5:$N$45,13,0)+0,0))</f>
        <v>26</v>
      </c>
      <c r="S339" s="54"/>
      <c r="T339" s="55"/>
      <c r="U339" s="55"/>
      <c r="V339" s="55"/>
      <c r="W339" s="48"/>
      <c r="X339" s="50"/>
      <c r="Y339" s="50"/>
      <c r="Z339" s="48" t="n">
        <f aca="false">IF(A339="","",IF(AND(Parameter!$B$21="Ja",ISNUMBER(W339)),W339,IF(BZ339="2+3",IF(ISNUMBER(SEARCH("grosser Artikel",BR339)),2,IFERROR(VLOOKUP(BU339,Parameter!$F$35:$G$64,2,0),2)),IF(OR(BZ339="Nein",BZ339=""),"-",BZ339))))</f>
        <v>3</v>
      </c>
      <c r="AA339" s="55"/>
      <c r="AB339" s="56"/>
      <c r="AC339" s="50" t="n">
        <f aca="false">AT339</f>
        <v>34</v>
      </c>
      <c r="AD339" s="50" t="n">
        <f aca="false">MAX(AT339,H339)</f>
        <v>34</v>
      </c>
      <c r="AE339" s="57"/>
      <c r="AF339" s="50" t="n">
        <f aca="false">IF(LEFT(Cockpit!$C$5,1)="A",H339,IF(CE339=1,CF339,IF(LEFT(Cockpit!$C$5,1)="B",AK339,MAX(AK339,H339))))</f>
        <v>22</v>
      </c>
      <c r="AG339" s="50" t="n">
        <f aca="false">IF(BW339=1,0,ROUNDUP(AF339/BV339,0))</f>
        <v>2</v>
      </c>
      <c r="AH339" s="52" t="n">
        <f aca="false">IF(CL339&gt;0,CL339*MAX(1,AF339/X339),IF(BW339=1,IF(AF339&lt;=0,0,CA339*MAX(1,IF(H339&gt;0,AF339/H339,1))),IF(R339&gt;0,AG339/R339,0))/MAX(0.1,N(Parameter!$M$21)))</f>
        <v>0.0769230769230769</v>
      </c>
      <c r="AI339" s="50" t="n">
        <f aca="false">AH339*BY339</f>
        <v>18.8461538461538</v>
      </c>
      <c r="AJ339" s="50" t="n">
        <f aca="false">AF339*G339</f>
        <v>468.16</v>
      </c>
      <c r="AK339" s="50" t="n">
        <f aca="false">ROUNDUP(MAX(J339/IF(CD339&gt;0,CD339,MAX(0.1,N(Cockpit!$C$6))),CG339)/BV339,0)*BV339</f>
        <v>34</v>
      </c>
      <c r="AL339" s="51" t="n">
        <f aca="false">IF(AI339&gt;0,J339/AI339,-1)</f>
        <v>1.37959183673469</v>
      </c>
      <c r="AM339" s="51" t="n">
        <f aca="false">IF(AND(OR(CC339="L1",CC339="L23",CC339="LIFT"),AI339&gt;0),SUMIFS($AI$7:$AI$1843,$CC$7:$CC$1843,CC339,$AL$7:$AL$1843,"&gt;"&amp;AL339)+SUMIFS($AI$7:$AI$1843,$CC$7:$CC$1843,CC339,$AL$7:$AL$1843,AL339,$BT$7:$BT$1843,"&lt;="&amp;BT339),"")</f>
        <v>6309.80173992674</v>
      </c>
      <c r="AN339" s="58" t="n">
        <f aca="false">IF(AM339="",0,MAX(0,MIN(1,(IF(CC339="L1",Parameter!$H$5,IF(CC339="L23",Parameter!$H$6+Parameter!$H$7,Parameter!$H$5+Parameter!$H$6+Parameter!$H$7))-(AM339-AI339))/AI339)))</f>
        <v>1</v>
      </c>
      <c r="AO339" s="50" t="n">
        <f aca="false">IF(LEFT(Cockpit!$I$5,1)="A",H339,IF(CE339=1,CF339,IF(LEFT(Cockpit!$I$5,1)="B",AT339,MAX(AT339,H339))))</f>
        <v>34</v>
      </c>
      <c r="AP339" s="50" t="n">
        <f aca="false">IF(BW339=1,0,ROUNDUP(AO339/BV339,0))</f>
        <v>2</v>
      </c>
      <c r="AQ339" s="52" t="n">
        <f aca="false">IF(CL339&gt;0,CL339*MAX(1,AO339/X339),IF(BW339=1,IF(AO339&lt;=0,0,CA339*MAX(1,IF(H339&gt;0,AO339/H339,1))),IF(R339&gt;0,AP339/R339,0))/MAX(0.1,N(Parameter!$M$21)))</f>
        <v>0.0769230769230769</v>
      </c>
      <c r="AR339" s="50" t="n">
        <f aca="false">AQ339*BY339</f>
        <v>18.8461538461538</v>
      </c>
      <c r="AS339" s="50" t="n">
        <f aca="false">AO339*G339</f>
        <v>723.52</v>
      </c>
      <c r="AT339" s="50" t="n">
        <f aca="false">ROUNDUP(MAX(J339/IF(CD339&gt;0,CD339,MAX(0.1,N(Cockpit!$I$6))),CG339)/BV339,0)*BV339</f>
        <v>34</v>
      </c>
      <c r="AU339" s="51" t="n">
        <f aca="false">IF(AR339&gt;0,J339/AR339,-1)</f>
        <v>1.37959183673469</v>
      </c>
      <c r="AV339" s="51" t="n">
        <f aca="false">IF(AND(OR(CC339="L1",CC339="L23",CC339="LIFT"),AR339&gt;0),SUMIFS($AR$7:$AR$1843,$CC$7:$CC$1843,CC339,$AU$7:$AU$1843,"&gt;"&amp;AU339)+SUMIFS($AR$7:$AR$1843,$CC$7:$CC$1843,CC339,$AU$7:$AU$1843,AU339,$BT$7:$BT$1843,"&lt;="&amp;BT339),"")</f>
        <v>9133.3663003663</v>
      </c>
      <c r="AW339" s="58" t="n">
        <f aca="false">IF(AV339="",0,MAX(0,MIN(1,(IF(CC339="L1",Parameter!$H$5,IF(CC339="L23",Parameter!$H$6+Parameter!$H$7,Parameter!$H$5+Parameter!$H$6+Parameter!$H$7))-(AV339-AR339))/AR339)))</f>
        <v>1</v>
      </c>
      <c r="AX339" s="50" t="n">
        <f aca="false">IF(LEFT(Cockpit!$O$5,1)="A",H339,IF(CE339=1,CF339,IF(LEFT(Cockpit!$O$5,1)="B",BC339,MAX(BC339,H339))))</f>
        <v>34</v>
      </c>
      <c r="AY339" s="50" t="n">
        <f aca="false">IF(BW339=1,0,ROUNDUP(AX339/BV339,0))</f>
        <v>2</v>
      </c>
      <c r="AZ339" s="52" t="n">
        <f aca="false">IF(CL339&gt;0,CL339*MAX(1,AX339/X339),IF(BW339=1,IF(AX339&lt;=0,0,CA339*MAX(1,IF(H339&gt;0,AX339/H339,1))),IF(R339&gt;0,AY339/R339,0))/MAX(0.1,N(Parameter!$M$21)))</f>
        <v>0.0769230769230769</v>
      </c>
      <c r="BA339" s="50" t="n">
        <f aca="false">AZ339*BY339</f>
        <v>18.8461538461538</v>
      </c>
      <c r="BB339" s="50" t="n">
        <f aca="false">AX339*G339</f>
        <v>723.52</v>
      </c>
      <c r="BC339" s="50" t="n">
        <f aca="false">ROUNDUP(MAX(J339/IF(CD339&gt;0,CD339,MAX(0.1,N(Cockpit!$O$6))),CG339)/BV339,0)*BV339</f>
        <v>34</v>
      </c>
      <c r="BD339" s="51" t="n">
        <f aca="false">IF(BA339&gt;0,J339/BA339,-1)</f>
        <v>1.37959183673469</v>
      </c>
      <c r="BE339" s="51" t="n">
        <f aca="false">IF(AND(OR(CC339="L1",CC339="L23",CC339="LIFT"),BA339&gt;0),SUMIFS($BA$7:$BA$1843,$CC$7:$CC$1843,CC339,$BD$7:$BD$1843,"&gt;"&amp;BD339)+SUMIFS($BA$7:$BA$1843,$CC$7:$CC$1843,CC339,$BD$7:$BD$1843,BD339,$BT$7:$BT$1843,"&lt;="&amp;BT339),"")</f>
        <v>8436.52335164835</v>
      </c>
      <c r="BF339" s="58" t="n">
        <f aca="false">IF(BE339="",0,MAX(0,MIN(1,(IF(CC339="L1",Parameter!$H$5,IF(CC339="L23",Parameter!$H$6+Parameter!$H$7,Parameter!$H$5+Parameter!$H$6+Parameter!$H$7))-(BE339-BA339))/BA339)))</f>
        <v>1</v>
      </c>
      <c r="BG339" s="48" t="str">
        <f aca="false">IF(AI339&lt;=0,"",IF(CC339="Aussen","Aussenlager",IF(CC339="-","Nicht im Lift",IF(AN339&gt;=1,"Lift",IF(AN339&lt;=0,"Aussenlager","teilweise")))))</f>
        <v>Lift</v>
      </c>
      <c r="BH339" s="48" t="str">
        <f aca="false">IF(AR339&lt;=0,"",IF(CC339="Aussen","Aussenlager",IF(CC339="-","Nicht im Lift",IF(AW339&gt;=1,"Lift",IF(AW339&lt;=0,"Aussenlager","teilweise")))))</f>
        <v>Lift</v>
      </c>
      <c r="BI339" s="48" t="str">
        <f aca="false">IF(BA339&lt;=0,"",IF(CC339="Aussen","Aussenlager",IF(CC339="-","Nicht im Lift",IF(BF339&gt;=1,"Lift",IF(BF339&lt;=0,"Aussenlager","teilweise")))))</f>
        <v>Lift</v>
      </c>
      <c r="BJ339" s="48" t="str">
        <f aca="false">IF(A339="","",IF(BS339=1,"Neu; ","")&amp;IF(AND(BS339=0,BN339&lt;0),"negativer Bestand (Export "&amp;BN339&amp;"); ","")&amp;IF(J339&lt;=0,"Kein Verbrauch; ","")&amp;IF(CL339&gt;0,"Lift "&amp;W339&amp;" lt. Liftbericht (Fach "&amp;X339&amp;" Stk); ",IF(BX339=1,"Gebinde geschätzt ("&amp;T339&amp;"); ",IF(BW339=1,"Lose – Tablare geschätzt; ","")))&amp;IF(H339&gt;AT339,"Überbestand "&amp;ROUND(H339-AT339,0)&amp;" Stk / CHF "&amp;ROUND((H339-AT339)*G339,0)&amp;"; ","")&amp;IF(AND(CE339=1,CF339&lt;CG339),"MAX &lt; MB+LG; ","")&amp;IF(AND(CK339&gt;0,CJ339*10&gt;CK339),"zu hoch für Tablar; ","")&amp;IF(AND(BS339=0,OR(CE339=1,AA339&lt;&gt;"",U339&lt;&gt;"",V339&lt;&gt;"",AB339&lt;&gt;"")),"manuell übersteuert; ","")&amp;IF(AND(BW339=0,R339=0),"Gebinde unbekannt / Stellmass fehlt; ","")&amp;IF(AND(BW339=0,N(V339)&lt;=0,N(Q339)&lt;=0),"Menge pro Gebinde fehlt (Ist = 1 Gebinde); ","")&amp;BR339)</f>
        <v/>
      </c>
      <c r="BK339" s="48"/>
      <c r="BL339" s="48"/>
      <c r="BM339" s="55"/>
      <c r="BN339" s="50" t="n">
        <v>11</v>
      </c>
      <c r="BO339" s="50" t="n">
        <v>11</v>
      </c>
      <c r="BP339" s="49" t="n">
        <v>202.73</v>
      </c>
      <c r="BQ339" s="50" t="n">
        <v>26</v>
      </c>
      <c r="BR339" s="48"/>
      <c r="BS339" s="53" t="n">
        <v>0</v>
      </c>
      <c r="BT339" s="53" t="n">
        <v>339</v>
      </c>
      <c r="BU339" s="48" t="str">
        <f aca="false">IF(U339&lt;&gt;"",UPPER(TRIM(U339)),IF(BX339=1,UPPER(VLOOKUP(T339,Parameter!$I$27:$K$29,2,0)),IF(P339="","LOSE",P339)))</f>
        <v>S52</v>
      </c>
      <c r="BV339" s="50" t="n">
        <f aca="false">IF(BU339="LOSE",1,IF(N(V339)&gt;0,V339,IF(BX339=1,MAX(1,N(VLOOKUP(T339,Parameter!$I$27:$K$29,3,0)),H339,N(N339)),IF(N(Q339)&gt;0,Q339,MAX(1,H339)))))</f>
        <v>17</v>
      </c>
      <c r="BW339" s="53" t="n">
        <f aca="false">IF(BU339="LOSE",1,0)</f>
        <v>0</v>
      </c>
      <c r="BX339" s="53" t="n">
        <f aca="false">IF(AND(U339="",OR(P339="",P339="LOSE"),T339&lt;&gt;"",N(S339)&lt;=0,ISNUMBER(MATCH(T339,Parameter!$I$27:$I$29,0))),1,0)</f>
        <v>0</v>
      </c>
      <c r="BY339" s="53" t="n">
        <f aca="false">IF(CL339&gt;0,INDEX(Parameter!$H$5:$H$7,W339)/INDEX(Parameter!$E$5:$E$7,W339),IF(AND(BW339=0,N(IFERROR(VLOOKUP(BU339,'Gebinde-Kategorie'!$A$5:$N$45,14,0),0))&gt;0),VLOOKUP(BU339,'Gebinde-Kategorie'!$A$5:$N$45,14,0)*10+Parameter!$M$23,Parameter!$M$24))</f>
        <v>245</v>
      </c>
      <c r="BZ339" s="48" t="str">
        <f aca="false">IF(AND(Parameter!$B$19="Ja",E339&lt;&gt;"",ISNUMBER(MATCH(E339,Parameter!$I$35:$I$52,0))),VLOOKUP(E339,Parameter!$I$35:$J$52,2,0),IFERROR(VLOOKUP(D339,Parameter!$A$35:$C$64,2,0),"Nein"))</f>
        <v>2+3</v>
      </c>
      <c r="CA339" s="52" t="n">
        <f aca="false">IF(BW339=0,0,IF(N(S339)&gt;0,S339,IFERROR(VLOOKUP(D339,Parameter!$A$35:$C$64,3,0)+0,0)))</f>
        <v>0</v>
      </c>
      <c r="CB339" s="48" t="n">
        <f aca="false">IF(AA339&lt;&gt;"",AA339,Z339)</f>
        <v>3</v>
      </c>
      <c r="CC339" s="48" t="str">
        <f aca="false">IF(OR(CB339=1,CB339=2,CB339=3),IF(Parameter!$E$27="Ja","LIFT",IF(CB339=1,"L1","L23")),IF(CB339="Aussen","Aussen","-"))</f>
        <v>LIFT</v>
      </c>
      <c r="CD339" s="59" t="n">
        <f aca="false">IF(N(AB339)&gt;0,AB339,0)</f>
        <v>0</v>
      </c>
      <c r="CE339" s="53" t="n">
        <f aca="false">IF(ISNUMBER(AE339),1,0)</f>
        <v>0</v>
      </c>
      <c r="CF339" s="50" t="n">
        <f aca="false">N(AE339)</f>
        <v>0</v>
      </c>
      <c r="CG339" s="50" t="n">
        <f aca="false">N(M339)+N(N339)</f>
        <v>27</v>
      </c>
      <c r="CH339" s="50" t="n">
        <f aca="false">ROUNDUP(H339/BV339,0)</f>
        <v>2</v>
      </c>
      <c r="CI339" s="50" t="n">
        <f aca="false">ROUNDUP(CF339/BV339,0)</f>
        <v>0</v>
      </c>
      <c r="CJ339" s="53" t="n">
        <f aca="false">IF(BW339=1,0,IFERROR(VLOOKUP(BU339,'Gebinde-Kategorie'!$A$5:$N$45,5,0)+0,0))</f>
        <v>21</v>
      </c>
      <c r="CK339" s="53" t="n">
        <f aca="false">IFERROR(IF(OR(CB339=1,CB339=2,CB339=3),N(INDEX(Parameter!$I$5:$I$7,CB339)),0),0)</f>
        <v>0</v>
      </c>
      <c r="CL339" s="52" t="n">
        <f aca="false">IF(AND(Parameter!$B$21="Ja",ISNUMBER(W339),N(X339)&gt;0),IFERROR(N(INDEX(Parameter!$L$5:$L$7,W339))*INDEX(Parameter!$E$5:$E$7,W339)*X339/SUMIFS($X$7:$X$1843,$W$7:$W$1843,W339),0),0)</f>
        <v>0</v>
      </c>
    </row>
    <row r="340" customFormat="false" ht="15" hidden="false" customHeight="false" outlineLevel="0" collapsed="false">
      <c r="A340" s="48" t="s">
        <v>841</v>
      </c>
      <c r="B340" s="48" t="s">
        <v>472</v>
      </c>
      <c r="C340" s="48" t="s">
        <v>168</v>
      </c>
      <c r="D340" s="48" t="s">
        <v>188</v>
      </c>
      <c r="E340" s="48" t="s">
        <v>189</v>
      </c>
      <c r="F340" s="48" t="s">
        <v>222</v>
      </c>
      <c r="G340" s="49" t="n">
        <v>1.22</v>
      </c>
      <c r="H340" s="50" t="n">
        <f aca="false">MAX(0,IF(AND(Parameter!$B$21="Ja",ISNUMBER(Y340)),Y340,IF(Parameter!$B$20="Jahresanfang 2025 + Export",BO340+BN340,BN340)))</f>
        <v>282</v>
      </c>
      <c r="I340" s="50" t="n">
        <f aca="false">H340*G340</f>
        <v>344.04</v>
      </c>
      <c r="J340" s="50" t="n">
        <f aca="false">BQ340*Parameter!$B$18</f>
        <v>142</v>
      </c>
      <c r="K340" s="51" t="n">
        <v>92</v>
      </c>
      <c r="L340" s="52" t="n">
        <v>1.54347826086957</v>
      </c>
      <c r="M340" s="50" t="n">
        <v>5</v>
      </c>
      <c r="N340" s="50" t="n">
        <v>140</v>
      </c>
      <c r="O340" s="53" t="n">
        <v>14</v>
      </c>
      <c r="P340" s="48" t="s">
        <v>306</v>
      </c>
      <c r="Q340" s="50" t="n">
        <v>264</v>
      </c>
      <c r="R340" s="53" t="n">
        <f aca="false">IF(BW340=1,0,IFERROR(VLOOKUP(BU340,'Gebinde-Kategorie'!$A$5:$N$45,13,0)+0,0))</f>
        <v>26</v>
      </c>
      <c r="S340" s="54"/>
      <c r="T340" s="55"/>
      <c r="U340" s="55"/>
      <c r="V340" s="55"/>
      <c r="W340" s="48"/>
      <c r="X340" s="50"/>
      <c r="Y340" s="50"/>
      <c r="Z340" s="48" t="n">
        <f aca="false">IF(A340="","",IF(AND(Parameter!$B$21="Ja",ISNUMBER(W340)),W340,IF(BZ340="2+3",IF(ISNUMBER(SEARCH("grosser Artikel",BR340)),2,IFERROR(VLOOKUP(BU340,Parameter!$F$35:$G$64,2,0),2)),IF(OR(BZ340="Nein",BZ340=""),"-",BZ340))))</f>
        <v>3</v>
      </c>
      <c r="AA340" s="55"/>
      <c r="AB340" s="56"/>
      <c r="AC340" s="50" t="n">
        <f aca="false">AT340</f>
        <v>264</v>
      </c>
      <c r="AD340" s="50" t="n">
        <f aca="false">MAX(AT340,H340)</f>
        <v>282</v>
      </c>
      <c r="AE340" s="57"/>
      <c r="AF340" s="50" t="n">
        <f aca="false">IF(LEFT(Cockpit!$C$5,1)="A",H340,IF(CE340=1,CF340,IF(LEFT(Cockpit!$C$5,1)="B",AK340,MAX(AK340,H340))))</f>
        <v>282</v>
      </c>
      <c r="AG340" s="50" t="n">
        <f aca="false">IF(BW340=1,0,ROUNDUP(AF340/BV340,0))</f>
        <v>2</v>
      </c>
      <c r="AH340" s="52" t="n">
        <f aca="false">IF(CL340&gt;0,CL340*MAX(1,AF340/X340),IF(BW340=1,IF(AF340&lt;=0,0,CA340*MAX(1,IF(H340&gt;0,AF340/H340,1))),IF(R340&gt;0,AG340/R340,0))/MAX(0.1,N(Parameter!$M$21)))</f>
        <v>0.0769230769230769</v>
      </c>
      <c r="AI340" s="50" t="n">
        <f aca="false">AH340*BY340</f>
        <v>11.9230769230769</v>
      </c>
      <c r="AJ340" s="50" t="n">
        <f aca="false">AF340*G340</f>
        <v>344.04</v>
      </c>
      <c r="AK340" s="50" t="n">
        <f aca="false">ROUNDUP(MAX(J340/IF(CD340&gt;0,CD340,MAX(0.1,N(Cockpit!$C$6))),CG340)/BV340,0)*BV340</f>
        <v>264</v>
      </c>
      <c r="AL340" s="51" t="n">
        <f aca="false">IF(AI340&gt;0,J340/AI340,-1)</f>
        <v>11.9096774193548</v>
      </c>
      <c r="AM340" s="51" t="n">
        <f aca="false">IF(AND(OR(CC340="L1",CC340="L23",CC340="LIFT"),AI340&gt;0),SUMIFS($AI$7:$AI$1843,$CC$7:$CC$1843,CC340,$AL$7:$AL$1843,"&gt;"&amp;AL340)+SUMIFS($AI$7:$AI$1843,$CC$7:$CC$1843,CC340,$AL$7:$AL$1843,AL340,$BT$7:$BT$1843,"&lt;="&amp;BT340),"")</f>
        <v>2525.46428571429</v>
      </c>
      <c r="AN340" s="58" t="n">
        <f aca="false">IF(AM340="",0,MAX(0,MIN(1,(IF(CC340="L1",Parameter!$H$5,IF(CC340="L23",Parameter!$H$6+Parameter!$H$7,Parameter!$H$5+Parameter!$H$6+Parameter!$H$7))-(AM340-AI340))/AI340)))</f>
        <v>1</v>
      </c>
      <c r="AO340" s="50" t="n">
        <f aca="false">IF(LEFT(Cockpit!$I$5,1)="A",H340,IF(CE340=1,CF340,IF(LEFT(Cockpit!$I$5,1)="B",AT340,MAX(AT340,H340))))</f>
        <v>282</v>
      </c>
      <c r="AP340" s="50" t="n">
        <f aca="false">IF(BW340=1,0,ROUNDUP(AO340/BV340,0))</f>
        <v>2</v>
      </c>
      <c r="AQ340" s="52" t="n">
        <f aca="false">IF(CL340&gt;0,CL340*MAX(1,AO340/X340),IF(BW340=1,IF(AO340&lt;=0,0,CA340*MAX(1,IF(H340&gt;0,AO340/H340,1))),IF(R340&gt;0,AP340/R340,0))/MAX(0.1,N(Parameter!$M$21)))</f>
        <v>0.0769230769230769</v>
      </c>
      <c r="AR340" s="50" t="n">
        <f aca="false">AQ340*BY340</f>
        <v>11.9230769230769</v>
      </c>
      <c r="AS340" s="50" t="n">
        <f aca="false">AO340*G340</f>
        <v>344.04</v>
      </c>
      <c r="AT340" s="50" t="n">
        <f aca="false">ROUNDUP(MAX(J340/IF(CD340&gt;0,CD340,MAX(0.1,N(Cockpit!$I$6))),CG340)/BV340,0)*BV340</f>
        <v>264</v>
      </c>
      <c r="AU340" s="51" t="n">
        <f aca="false">IF(AR340&gt;0,J340/AR340,-1)</f>
        <v>11.9096774193548</v>
      </c>
      <c r="AV340" s="51" t="n">
        <f aca="false">IF(AND(OR(CC340="L1",CC340="L23",CC340="LIFT"),AR340&gt;0),SUMIFS($AR$7:$AR$1843,$CC$7:$CC$1843,CC340,$AU$7:$AU$1843,"&gt;"&amp;AU340)+SUMIFS($AR$7:$AR$1843,$CC$7:$CC$1843,CC340,$AU$7:$AU$1843,AU340,$BT$7:$BT$1843,"&lt;="&amp;BT340),"")</f>
        <v>3681.24862637363</v>
      </c>
      <c r="AW340" s="58" t="n">
        <f aca="false">IF(AV340="",0,MAX(0,MIN(1,(IF(CC340="L1",Parameter!$H$5,IF(CC340="L23",Parameter!$H$6+Parameter!$H$7,Parameter!$H$5+Parameter!$H$6+Parameter!$H$7))-(AV340-AR340))/AR340)))</f>
        <v>1</v>
      </c>
      <c r="AX340" s="50" t="n">
        <f aca="false">IF(LEFT(Cockpit!$O$5,1)="A",H340,IF(CE340=1,CF340,IF(LEFT(Cockpit!$O$5,1)="B",BC340,MAX(BC340,H340))))</f>
        <v>282</v>
      </c>
      <c r="AY340" s="50" t="n">
        <f aca="false">IF(BW340=1,0,ROUNDUP(AX340/BV340,0))</f>
        <v>2</v>
      </c>
      <c r="AZ340" s="52" t="n">
        <f aca="false">IF(CL340&gt;0,CL340*MAX(1,AX340/X340),IF(BW340=1,IF(AX340&lt;=0,0,CA340*MAX(1,IF(H340&gt;0,AX340/H340,1))),IF(R340&gt;0,AY340/R340,0))/MAX(0.1,N(Parameter!$M$21)))</f>
        <v>0.0769230769230769</v>
      </c>
      <c r="BA340" s="50" t="n">
        <f aca="false">AZ340*BY340</f>
        <v>11.9230769230769</v>
      </c>
      <c r="BB340" s="50" t="n">
        <f aca="false">AX340*G340</f>
        <v>344.04</v>
      </c>
      <c r="BC340" s="50" t="n">
        <f aca="false">ROUNDUP(MAX(J340/IF(CD340&gt;0,CD340,MAX(0.1,N(Cockpit!$O$6))),CG340)/BV340,0)*BV340</f>
        <v>264</v>
      </c>
      <c r="BD340" s="51" t="n">
        <f aca="false">IF(BA340&gt;0,J340/BA340,-1)</f>
        <v>11.9096774193548</v>
      </c>
      <c r="BE340" s="51" t="n">
        <f aca="false">IF(AND(OR(CC340="L1",CC340="L23",CC340="LIFT"),BA340&gt;0),SUMIFS($BA$7:$BA$1843,$CC$7:$CC$1843,CC340,$BD$7:$BD$1843,"&gt;"&amp;BD340)+SUMIFS($BA$7:$BA$1843,$CC$7:$CC$1843,CC340,$BD$7:$BD$1843,BD340,$BT$7:$BT$1843,"&lt;="&amp;BT340),"")</f>
        <v>3318.95695970696</v>
      </c>
      <c r="BF340" s="58" t="n">
        <f aca="false">IF(BE340="",0,MAX(0,MIN(1,(IF(CC340="L1",Parameter!$H$5,IF(CC340="L23",Parameter!$H$6+Parameter!$H$7,Parameter!$H$5+Parameter!$H$6+Parameter!$H$7))-(BE340-BA340))/BA340)))</f>
        <v>1</v>
      </c>
      <c r="BG340" s="48" t="str">
        <f aca="false">IF(AI340&lt;=0,"",IF(CC340="Aussen","Aussenlager",IF(CC340="-","Nicht im Lift",IF(AN340&gt;=1,"Lift",IF(AN340&lt;=0,"Aussenlager","teilweise")))))</f>
        <v>Lift</v>
      </c>
      <c r="BH340" s="48" t="str">
        <f aca="false">IF(AR340&lt;=0,"",IF(CC340="Aussen","Aussenlager",IF(CC340="-","Nicht im Lift",IF(AW340&gt;=1,"Lift",IF(AW340&lt;=0,"Aussenlager","teilweise")))))</f>
        <v>Lift</v>
      </c>
      <c r="BI340" s="48" t="str">
        <f aca="false">IF(BA340&lt;=0,"",IF(CC340="Aussen","Aussenlager",IF(CC340="-","Nicht im Lift",IF(BF340&gt;=1,"Lift",IF(BF340&lt;=0,"Aussenlager","teilweise")))))</f>
        <v>Lift</v>
      </c>
      <c r="BJ340" s="48" t="str">
        <f aca="false">IF(A340="","",IF(BS340=1,"Neu; ","")&amp;IF(AND(BS340=0,BN340&lt;0),"negativer Bestand (Export "&amp;BN340&amp;"); ","")&amp;IF(J340&lt;=0,"Kein Verbrauch; ","")&amp;IF(CL340&gt;0,"Lift "&amp;W340&amp;" lt. Liftbericht (Fach "&amp;X340&amp;" Stk); ",IF(BX340=1,"Gebinde geschätzt ("&amp;T340&amp;"); ",IF(BW340=1,"Lose – Tablare geschätzt; ","")))&amp;IF(H340&gt;AT340,"Überbestand "&amp;ROUND(H340-AT340,0)&amp;" Stk / CHF "&amp;ROUND((H340-AT340)*G340,0)&amp;"; ","")&amp;IF(AND(CE340=1,CF340&lt;CG340),"MAX &lt; MB+LG; ","")&amp;IF(AND(CK340&gt;0,CJ340*10&gt;CK340),"zu hoch für Tablar; ","")&amp;IF(AND(BS340=0,OR(CE340=1,AA340&lt;&gt;"",U340&lt;&gt;"",V340&lt;&gt;"",AB340&lt;&gt;"")),"manuell übersteuert; ","")&amp;IF(AND(BW340=0,R340=0),"Gebinde unbekannt / Stellmass fehlt; ","")&amp;IF(AND(BW340=0,N(V340)&lt;=0,N(Q340)&lt;=0),"Menge pro Gebinde fehlt (Ist = 1 Gebinde); ","")&amp;BR340)</f>
        <v>Überbestand 18 Stk / CHF 22; Überbestand</v>
      </c>
      <c r="BK340" s="48"/>
      <c r="BL340" s="48"/>
      <c r="BM340" s="55"/>
      <c r="BN340" s="50" t="n">
        <v>174</v>
      </c>
      <c r="BO340" s="50" t="n">
        <v>108</v>
      </c>
      <c r="BP340" s="49" t="n">
        <v>201.17</v>
      </c>
      <c r="BQ340" s="50" t="n">
        <v>142</v>
      </c>
      <c r="BR340" s="48" t="s">
        <v>396</v>
      </c>
      <c r="BS340" s="53" t="n">
        <v>0</v>
      </c>
      <c r="BT340" s="53" t="n">
        <v>340</v>
      </c>
      <c r="BU340" s="48" t="str">
        <f aca="false">IF(U340&lt;&gt;"",UPPER(TRIM(U340)),IF(BX340=1,UPPER(VLOOKUP(T340,Parameter!$I$27:$K$29,2,0)),IF(P340="","LOSE",P340)))</f>
        <v>S51</v>
      </c>
      <c r="BV340" s="50" t="n">
        <f aca="false">IF(BU340="LOSE",1,IF(N(V340)&gt;0,V340,IF(BX340=1,MAX(1,N(VLOOKUP(T340,Parameter!$I$27:$K$29,3,0)),H340,N(N340)),IF(N(Q340)&gt;0,Q340,MAX(1,H340)))))</f>
        <v>264</v>
      </c>
      <c r="BW340" s="53" t="n">
        <f aca="false">IF(BU340="LOSE",1,0)</f>
        <v>0</v>
      </c>
      <c r="BX340" s="53" t="n">
        <f aca="false">IF(AND(U340="",OR(P340="",P340="LOSE"),T340&lt;&gt;"",N(S340)&lt;=0,ISNUMBER(MATCH(T340,Parameter!$I$27:$I$29,0))),1,0)</f>
        <v>0</v>
      </c>
      <c r="BY340" s="53" t="n">
        <f aca="false">IF(CL340&gt;0,INDEX(Parameter!$H$5:$H$7,W340)/INDEX(Parameter!$E$5:$E$7,W340),IF(AND(BW340=0,N(IFERROR(VLOOKUP(BU340,'Gebinde-Kategorie'!$A$5:$N$45,14,0),0))&gt;0),VLOOKUP(BU340,'Gebinde-Kategorie'!$A$5:$N$45,14,0)*10+Parameter!$M$23,Parameter!$M$24))</f>
        <v>155</v>
      </c>
      <c r="BZ340" s="48" t="str">
        <f aca="false">IF(AND(Parameter!$B$19="Ja",E340&lt;&gt;"",ISNUMBER(MATCH(E340,Parameter!$I$35:$I$52,0))),VLOOKUP(E340,Parameter!$I$35:$J$52,2,0),IFERROR(VLOOKUP(D340,Parameter!$A$35:$C$64,2,0),"Nein"))</f>
        <v>2+3</v>
      </c>
      <c r="CA340" s="52" t="n">
        <f aca="false">IF(BW340=0,0,IF(N(S340)&gt;0,S340,IFERROR(VLOOKUP(D340,Parameter!$A$35:$C$64,3,0)+0,0)))</f>
        <v>0</v>
      </c>
      <c r="CB340" s="48" t="n">
        <f aca="false">IF(AA340&lt;&gt;"",AA340,Z340)</f>
        <v>3</v>
      </c>
      <c r="CC340" s="48" t="str">
        <f aca="false">IF(OR(CB340=1,CB340=2,CB340=3),IF(Parameter!$E$27="Ja","LIFT",IF(CB340=1,"L1","L23")),IF(CB340="Aussen","Aussen","-"))</f>
        <v>LIFT</v>
      </c>
      <c r="CD340" s="59" t="n">
        <f aca="false">IF(N(AB340)&gt;0,AB340,0)</f>
        <v>0</v>
      </c>
      <c r="CE340" s="53" t="n">
        <f aca="false">IF(ISNUMBER(AE340),1,0)</f>
        <v>0</v>
      </c>
      <c r="CF340" s="50" t="n">
        <f aca="false">N(AE340)</f>
        <v>0</v>
      </c>
      <c r="CG340" s="50" t="n">
        <f aca="false">N(M340)+N(N340)</f>
        <v>145</v>
      </c>
      <c r="CH340" s="50" t="n">
        <f aca="false">ROUNDUP(H340/BV340,0)</f>
        <v>2</v>
      </c>
      <c r="CI340" s="50" t="n">
        <f aca="false">ROUNDUP(CF340/BV340,0)</f>
        <v>0</v>
      </c>
      <c r="CJ340" s="53" t="n">
        <f aca="false">IF(BW340=1,0,IFERROR(VLOOKUP(BU340,'Gebinde-Kategorie'!$A$5:$N$45,5,0)+0,0))</f>
        <v>11</v>
      </c>
      <c r="CK340" s="53" t="n">
        <f aca="false">IFERROR(IF(OR(CB340=1,CB340=2,CB340=3),N(INDEX(Parameter!$I$5:$I$7,CB340)),0),0)</f>
        <v>0</v>
      </c>
      <c r="CL340" s="52" t="n">
        <f aca="false">IF(AND(Parameter!$B$21="Ja",ISNUMBER(W340),N(X340)&gt;0),IFERROR(N(INDEX(Parameter!$L$5:$L$7,W340))*INDEX(Parameter!$E$5:$E$7,W340)*X340/SUMIFS($X$7:$X$1843,$W$7:$W$1843,W340),0),0)</f>
        <v>0</v>
      </c>
    </row>
    <row r="341" customFormat="false" ht="15" hidden="false" customHeight="false" outlineLevel="0" collapsed="false">
      <c r="A341" s="48" t="s">
        <v>842</v>
      </c>
      <c r="B341" s="48" t="s">
        <v>843</v>
      </c>
      <c r="C341" s="48" t="s">
        <v>168</v>
      </c>
      <c r="D341" s="48" t="s">
        <v>188</v>
      </c>
      <c r="E341" s="48" t="s">
        <v>189</v>
      </c>
      <c r="F341" s="48" t="s">
        <v>222</v>
      </c>
      <c r="G341" s="49" t="n">
        <v>33.5</v>
      </c>
      <c r="H341" s="50" t="n">
        <f aca="false">MAX(0,IF(AND(Parameter!$B$21="Ja",ISNUMBER(Y341)),Y341,IF(Parameter!$B$20="Jahresanfang 2025 + Export",BO341+BN341,BN341)))</f>
        <v>9</v>
      </c>
      <c r="I341" s="50" t="n">
        <f aca="false">H341*G341</f>
        <v>301.5</v>
      </c>
      <c r="J341" s="50" t="n">
        <f aca="false">BQ341*Parameter!$B$18</f>
        <v>7</v>
      </c>
      <c r="K341" s="51" t="n">
        <v>2.5</v>
      </c>
      <c r="L341" s="52" t="n">
        <v>2.8</v>
      </c>
      <c r="M341" s="50" t="n">
        <v>0</v>
      </c>
      <c r="N341" s="50" t="n">
        <v>5</v>
      </c>
      <c r="O341" s="53" t="n">
        <v>14</v>
      </c>
      <c r="P341" s="48" t="s">
        <v>480</v>
      </c>
      <c r="Q341" s="50" t="n">
        <v>5</v>
      </c>
      <c r="R341" s="53" t="n">
        <f aca="false">IF(BW341=1,0,IFERROR(VLOOKUP(BU341,'Gebinde-Kategorie'!$A$5:$N$45,13,0)+0,0))</f>
        <v>52</v>
      </c>
      <c r="S341" s="54"/>
      <c r="T341" s="55"/>
      <c r="U341" s="55"/>
      <c r="V341" s="55"/>
      <c r="W341" s="48"/>
      <c r="X341" s="50"/>
      <c r="Y341" s="50"/>
      <c r="Z341" s="48" t="n">
        <f aca="false">IF(A341="","",IF(AND(Parameter!$B$21="Ja",ISNUMBER(W341)),W341,IF(BZ341="2+3",IF(ISNUMBER(SEARCH("grosser Artikel",BR341)),2,IFERROR(VLOOKUP(BU341,Parameter!$F$35:$G$64,2,0),2)),IF(OR(BZ341="Nein",BZ341=""),"-",BZ341))))</f>
        <v>3</v>
      </c>
      <c r="AA341" s="55"/>
      <c r="AB341" s="56"/>
      <c r="AC341" s="50" t="n">
        <f aca="false">AT341</f>
        <v>5</v>
      </c>
      <c r="AD341" s="50" t="n">
        <f aca="false">MAX(AT341,H341)</f>
        <v>9</v>
      </c>
      <c r="AE341" s="57"/>
      <c r="AF341" s="50" t="n">
        <f aca="false">IF(LEFT(Cockpit!$C$5,1)="A",H341,IF(CE341=1,CF341,IF(LEFT(Cockpit!$C$5,1)="B",AK341,MAX(AK341,H341))))</f>
        <v>9</v>
      </c>
      <c r="AG341" s="50" t="n">
        <f aca="false">IF(BW341=1,0,ROUNDUP(AF341/BV341,0))</f>
        <v>2</v>
      </c>
      <c r="AH341" s="52" t="n">
        <f aca="false">IF(CL341&gt;0,CL341*MAX(1,AF341/X341),IF(BW341=1,IF(AF341&lt;=0,0,CA341*MAX(1,IF(H341&gt;0,AF341/H341,1))),IF(R341&gt;0,AG341/R341,0))/MAX(0.1,N(Parameter!$M$21)))</f>
        <v>0.0384615384615385</v>
      </c>
      <c r="AI341" s="50" t="n">
        <f aca="false">AH341*BY341</f>
        <v>5.96153846153846</v>
      </c>
      <c r="AJ341" s="50" t="n">
        <f aca="false">AF341*G341</f>
        <v>301.5</v>
      </c>
      <c r="AK341" s="50" t="n">
        <f aca="false">ROUNDUP(MAX(J341/IF(CD341&gt;0,CD341,MAX(0.1,N(Cockpit!$C$6))),CG341)/BV341,0)*BV341</f>
        <v>5</v>
      </c>
      <c r="AL341" s="51" t="n">
        <f aca="false">IF(AI341&gt;0,J341/AI341,-1)</f>
        <v>1.1741935483871</v>
      </c>
      <c r="AM341" s="51" t="n">
        <f aca="false">IF(AND(OR(CC341="L1",CC341="L23",CC341="LIFT"),AI341&gt;0),SUMIFS($AI$7:$AI$1843,$CC$7:$CC$1843,CC341,$AL$7:$AL$1843,"&gt;"&amp;AL341)+SUMIFS($AI$7:$AI$1843,$CC$7:$CC$1843,CC341,$AL$7:$AL$1843,AL341,$BT$7:$BT$1843,"&lt;="&amp;BT341),"")</f>
        <v>6691.59661172161</v>
      </c>
      <c r="AN341" s="58" t="n">
        <f aca="false">IF(AM341="",0,MAX(0,MIN(1,(IF(CC341="L1",Parameter!$H$5,IF(CC341="L23",Parameter!$H$6+Parameter!$H$7,Parameter!$H$5+Parameter!$H$6+Parameter!$H$7))-(AM341-AI341))/AI341)))</f>
        <v>1</v>
      </c>
      <c r="AO341" s="50" t="n">
        <f aca="false">IF(LEFT(Cockpit!$I$5,1)="A",H341,IF(CE341=1,CF341,IF(LEFT(Cockpit!$I$5,1)="B",AT341,MAX(AT341,H341))))</f>
        <v>9</v>
      </c>
      <c r="AP341" s="50" t="n">
        <f aca="false">IF(BW341=1,0,ROUNDUP(AO341/BV341,0))</f>
        <v>2</v>
      </c>
      <c r="AQ341" s="52" t="n">
        <f aca="false">IF(CL341&gt;0,CL341*MAX(1,AO341/X341),IF(BW341=1,IF(AO341&lt;=0,0,CA341*MAX(1,IF(H341&gt;0,AO341/H341,1))),IF(R341&gt;0,AP341/R341,0))/MAX(0.1,N(Parameter!$M$21)))</f>
        <v>0.0384615384615385</v>
      </c>
      <c r="AR341" s="50" t="n">
        <f aca="false">AQ341*BY341</f>
        <v>5.96153846153846</v>
      </c>
      <c r="AS341" s="50" t="n">
        <f aca="false">AO341*G341</f>
        <v>301.5</v>
      </c>
      <c r="AT341" s="50" t="n">
        <f aca="false">ROUNDUP(MAX(J341/IF(CD341&gt;0,CD341,MAX(0.1,N(Cockpit!$I$6))),CG341)/BV341,0)*BV341</f>
        <v>5</v>
      </c>
      <c r="AU341" s="51" t="n">
        <f aca="false">IF(AR341&gt;0,J341/AR341,-1)</f>
        <v>1.1741935483871</v>
      </c>
      <c r="AV341" s="51" t="n">
        <f aca="false">IF(AND(OR(CC341="L1",CC341="L23",CC341="LIFT"),AR341&gt;0),SUMIFS($AR$7:$AR$1843,$CC$7:$CC$1843,CC341,$AU$7:$AU$1843,"&gt;"&amp;AU341)+SUMIFS($AR$7:$AR$1843,$CC$7:$CC$1843,CC341,$AU$7:$AU$1843,AU341,$BT$7:$BT$1843,"&lt;="&amp;BT341),"")</f>
        <v>9833.33424908425</v>
      </c>
      <c r="AW341" s="58" t="n">
        <f aca="false">IF(AV341="",0,MAX(0,MIN(1,(IF(CC341="L1",Parameter!$H$5,IF(CC341="L23",Parameter!$H$6+Parameter!$H$7,Parameter!$H$5+Parameter!$H$6+Parameter!$H$7))-(AV341-AR341))/AR341)))</f>
        <v>1</v>
      </c>
      <c r="AX341" s="50" t="n">
        <f aca="false">IF(LEFT(Cockpit!$O$5,1)="A",H341,IF(CE341=1,CF341,IF(LEFT(Cockpit!$O$5,1)="B",BC341,MAX(BC341,H341))))</f>
        <v>9</v>
      </c>
      <c r="AY341" s="50" t="n">
        <f aca="false">IF(BW341=1,0,ROUNDUP(AX341/BV341,0))</f>
        <v>2</v>
      </c>
      <c r="AZ341" s="52" t="n">
        <f aca="false">IF(CL341&gt;0,CL341*MAX(1,AX341/X341),IF(BW341=1,IF(AX341&lt;=0,0,CA341*MAX(1,IF(H341&gt;0,AX341/H341,1))),IF(R341&gt;0,AY341/R341,0))/MAX(0.1,N(Parameter!$M$21)))</f>
        <v>0.0384615384615385</v>
      </c>
      <c r="BA341" s="50" t="n">
        <f aca="false">AZ341*BY341</f>
        <v>5.96153846153846</v>
      </c>
      <c r="BB341" s="50" t="n">
        <f aca="false">AX341*G341</f>
        <v>301.5</v>
      </c>
      <c r="BC341" s="50" t="n">
        <f aca="false">ROUNDUP(MAX(J341/IF(CD341&gt;0,CD341,MAX(0.1,N(Cockpit!$O$6))),CG341)/BV341,0)*BV341</f>
        <v>5</v>
      </c>
      <c r="BD341" s="51" t="n">
        <f aca="false">IF(BA341&gt;0,J341/BA341,-1)</f>
        <v>1.1741935483871</v>
      </c>
      <c r="BE341" s="51" t="n">
        <f aca="false">IF(AND(OR(CC341="L1",CC341="L23",CC341="LIFT"),BA341&gt;0),SUMIFS($BA$7:$BA$1843,$CC$7:$CC$1843,CC341,$BD$7:$BD$1843,"&gt;"&amp;BD341)+SUMIFS($BA$7:$BA$1843,$CC$7:$CC$1843,CC341,$BD$7:$BD$1843,BD341,$BT$7:$BT$1843,"&lt;="&amp;BT341),"")</f>
        <v>8843.9913003663</v>
      </c>
      <c r="BF341" s="58" t="n">
        <f aca="false">IF(BE341="",0,MAX(0,MIN(1,(IF(CC341="L1",Parameter!$H$5,IF(CC341="L23",Parameter!$H$6+Parameter!$H$7,Parameter!$H$5+Parameter!$H$6+Parameter!$H$7))-(BE341-BA341))/BA341)))</f>
        <v>1</v>
      </c>
      <c r="BG341" s="48" t="str">
        <f aca="false">IF(AI341&lt;=0,"",IF(CC341="Aussen","Aussenlager",IF(CC341="-","Nicht im Lift",IF(AN341&gt;=1,"Lift",IF(AN341&lt;=0,"Aussenlager","teilweise")))))</f>
        <v>Lift</v>
      </c>
      <c r="BH341" s="48" t="str">
        <f aca="false">IF(AR341&lt;=0,"",IF(CC341="Aussen","Aussenlager",IF(CC341="-","Nicht im Lift",IF(AW341&gt;=1,"Lift",IF(AW341&lt;=0,"Aussenlager","teilweise")))))</f>
        <v>Lift</v>
      </c>
      <c r="BI341" s="48" t="str">
        <f aca="false">IF(BA341&lt;=0,"",IF(CC341="Aussen","Aussenlager",IF(CC341="-","Nicht im Lift",IF(BF341&gt;=1,"Lift",IF(BF341&lt;=0,"Aussenlager","teilweise")))))</f>
        <v>Lift</v>
      </c>
      <c r="BJ341" s="48" t="str">
        <f aca="false">IF(A341="","",IF(BS341=1,"Neu; ","")&amp;IF(AND(BS341=0,BN341&lt;0),"negativer Bestand (Export "&amp;BN341&amp;"); ","")&amp;IF(J341&lt;=0,"Kein Verbrauch; ","")&amp;IF(CL341&gt;0,"Lift "&amp;W341&amp;" lt. Liftbericht (Fach "&amp;X341&amp;" Stk); ",IF(BX341=1,"Gebinde geschätzt ("&amp;T341&amp;"); ",IF(BW341=1,"Lose – Tablare geschätzt; ","")))&amp;IF(H341&gt;AT341,"Überbestand "&amp;ROUND(H341-AT341,0)&amp;" Stk / CHF "&amp;ROUND((H341-AT341)*G341,0)&amp;"; ","")&amp;IF(AND(CE341=1,CF341&lt;CG341),"MAX &lt; MB+LG; ","")&amp;IF(AND(CK341&gt;0,CJ341*10&gt;CK341),"zu hoch für Tablar; ","")&amp;IF(AND(BS341=0,OR(CE341=1,AA341&lt;&gt;"",U341&lt;&gt;"",V341&lt;&gt;"",AB341&lt;&gt;"")),"manuell übersteuert; ","")&amp;IF(AND(BW341=0,R341=0),"Gebinde unbekannt / Stellmass fehlt; ","")&amp;IF(AND(BW341=0,N(V341)&lt;=0,N(Q341)&lt;=0),"Menge pro Gebinde fehlt (Ist = 1 Gebinde); ","")&amp;BR341)</f>
        <v>Überbestand 4 Stk / CHF 134; </v>
      </c>
      <c r="BK341" s="48"/>
      <c r="BL341" s="48"/>
      <c r="BM341" s="55"/>
      <c r="BN341" s="50" t="n">
        <v>6</v>
      </c>
      <c r="BO341" s="50" t="n">
        <v>3</v>
      </c>
      <c r="BP341" s="49" t="n">
        <v>201</v>
      </c>
      <c r="BQ341" s="50" t="n">
        <v>7</v>
      </c>
      <c r="BR341" s="48"/>
      <c r="BS341" s="53" t="n">
        <v>0</v>
      </c>
      <c r="BT341" s="53" t="n">
        <v>341</v>
      </c>
      <c r="BU341" s="48" t="str">
        <f aca="false">IF(U341&lt;&gt;"",UPPER(TRIM(U341)),IF(BX341=1,UPPER(VLOOKUP(T341,Parameter!$I$27:$K$29,2,0)),IF(P341="","LOSE",P341)))</f>
        <v>S33</v>
      </c>
      <c r="BV341" s="50" t="n">
        <f aca="false">IF(BU341="LOSE",1,IF(N(V341)&gt;0,V341,IF(BX341=1,MAX(1,N(VLOOKUP(T341,Parameter!$I$27:$K$29,3,0)),H341,N(N341)),IF(N(Q341)&gt;0,Q341,MAX(1,H341)))))</f>
        <v>5</v>
      </c>
      <c r="BW341" s="53" t="n">
        <f aca="false">IF(BU341="LOSE",1,0)</f>
        <v>0</v>
      </c>
      <c r="BX341" s="53" t="n">
        <f aca="false">IF(AND(U341="",OR(P341="",P341="LOSE"),T341&lt;&gt;"",N(S341)&lt;=0,ISNUMBER(MATCH(T341,Parameter!$I$27:$I$29,0))),1,0)</f>
        <v>0</v>
      </c>
      <c r="BY341" s="53" t="n">
        <f aca="false">IF(CL341&gt;0,INDEX(Parameter!$H$5:$H$7,W341)/INDEX(Parameter!$E$5:$E$7,W341),IF(AND(BW341=0,N(IFERROR(VLOOKUP(BU341,'Gebinde-Kategorie'!$A$5:$N$45,14,0),0))&gt;0),VLOOKUP(BU341,'Gebinde-Kategorie'!$A$5:$N$45,14,0)*10+Parameter!$M$23,Parameter!$M$24))</f>
        <v>155</v>
      </c>
      <c r="BZ341" s="48" t="str">
        <f aca="false">IF(AND(Parameter!$B$19="Ja",E341&lt;&gt;"",ISNUMBER(MATCH(E341,Parameter!$I$35:$I$52,0))),VLOOKUP(E341,Parameter!$I$35:$J$52,2,0),IFERROR(VLOOKUP(D341,Parameter!$A$35:$C$64,2,0),"Nein"))</f>
        <v>2+3</v>
      </c>
      <c r="CA341" s="52" t="n">
        <f aca="false">IF(BW341=0,0,IF(N(S341)&gt;0,S341,IFERROR(VLOOKUP(D341,Parameter!$A$35:$C$64,3,0)+0,0)))</f>
        <v>0</v>
      </c>
      <c r="CB341" s="48" t="n">
        <f aca="false">IF(AA341&lt;&gt;"",AA341,Z341)</f>
        <v>3</v>
      </c>
      <c r="CC341" s="48" t="str">
        <f aca="false">IF(OR(CB341=1,CB341=2,CB341=3),IF(Parameter!$E$27="Ja","LIFT",IF(CB341=1,"L1","L23")),IF(CB341="Aussen","Aussen","-"))</f>
        <v>LIFT</v>
      </c>
      <c r="CD341" s="59" t="n">
        <f aca="false">IF(N(AB341)&gt;0,AB341,0)</f>
        <v>0</v>
      </c>
      <c r="CE341" s="53" t="n">
        <f aca="false">IF(ISNUMBER(AE341),1,0)</f>
        <v>0</v>
      </c>
      <c r="CF341" s="50" t="n">
        <f aca="false">N(AE341)</f>
        <v>0</v>
      </c>
      <c r="CG341" s="50" t="n">
        <f aca="false">N(M341)+N(N341)</f>
        <v>5</v>
      </c>
      <c r="CH341" s="50" t="n">
        <f aca="false">ROUNDUP(H341/BV341,0)</f>
        <v>2</v>
      </c>
      <c r="CI341" s="50" t="n">
        <f aca="false">ROUNDUP(CF341/BV341,0)</f>
        <v>0</v>
      </c>
      <c r="CJ341" s="53" t="n">
        <f aca="false">IF(BW341=1,0,IFERROR(VLOOKUP(BU341,'Gebinde-Kategorie'!$A$5:$N$45,5,0)+0,0))</f>
        <v>8</v>
      </c>
      <c r="CK341" s="53" t="n">
        <f aca="false">IFERROR(IF(OR(CB341=1,CB341=2,CB341=3),N(INDEX(Parameter!$I$5:$I$7,CB341)),0),0)</f>
        <v>0</v>
      </c>
      <c r="CL341" s="52" t="n">
        <f aca="false">IF(AND(Parameter!$B$21="Ja",ISNUMBER(W341),N(X341)&gt;0),IFERROR(N(INDEX(Parameter!$L$5:$L$7,W341))*INDEX(Parameter!$E$5:$E$7,W341)*X341/SUMIFS($X$7:$X$1843,$W$7:$W$1843,W341),0),0)</f>
        <v>0</v>
      </c>
    </row>
    <row r="342" customFormat="false" ht="15" hidden="false" customHeight="false" outlineLevel="0" collapsed="false">
      <c r="A342" s="48" t="s">
        <v>844</v>
      </c>
      <c r="B342" s="48" t="s">
        <v>845</v>
      </c>
      <c r="C342" s="48" t="s">
        <v>168</v>
      </c>
      <c r="D342" s="48" t="s">
        <v>188</v>
      </c>
      <c r="E342" s="48"/>
      <c r="F342" s="48" t="s">
        <v>222</v>
      </c>
      <c r="G342" s="49" t="n">
        <v>0.23</v>
      </c>
      <c r="H342" s="50" t="n">
        <f aca="false">MAX(0,IF(AND(Parameter!$B$21="Ja",ISNUMBER(Y342)),Y342,IF(Parameter!$B$20="Jahresanfang 2025 + Export",BO342+BN342,BN342)))</f>
        <v>1280</v>
      </c>
      <c r="I342" s="50" t="n">
        <f aca="false">H342*G342</f>
        <v>294.4</v>
      </c>
      <c r="J342" s="50" t="n">
        <f aca="false">BQ342*Parameter!$B$18</f>
        <v>515</v>
      </c>
      <c r="K342" s="51" t="n">
        <v>467.5</v>
      </c>
      <c r="L342" s="52" t="n">
        <v>1.10160427807487</v>
      </c>
      <c r="M342" s="50" t="n">
        <v>30</v>
      </c>
      <c r="N342" s="50" t="n">
        <v>515</v>
      </c>
      <c r="O342" s="53" t="n">
        <v>21</v>
      </c>
      <c r="P342" s="48" t="s">
        <v>237</v>
      </c>
      <c r="Q342" s="50" t="n">
        <v>400</v>
      </c>
      <c r="R342" s="53" t="n">
        <f aca="false">IF(BW342=1,0,IFERROR(VLOOKUP(BU342,'Gebinde-Kategorie'!$A$5:$N$45,13,0)+0,0))</f>
        <v>26</v>
      </c>
      <c r="S342" s="54"/>
      <c r="T342" s="55"/>
      <c r="U342" s="55"/>
      <c r="V342" s="55"/>
      <c r="W342" s="48"/>
      <c r="X342" s="50"/>
      <c r="Y342" s="50"/>
      <c r="Z342" s="48" t="n">
        <f aca="false">IF(A342="","",IF(AND(Parameter!$B$21="Ja",ISNUMBER(W342)),W342,IF(BZ342="2+3",IF(ISNUMBER(SEARCH("grosser Artikel",BR342)),2,IFERROR(VLOOKUP(BU342,Parameter!$F$35:$G$64,2,0),2)),IF(OR(BZ342="Nein",BZ342=""),"-",BZ342))))</f>
        <v>3</v>
      </c>
      <c r="AA342" s="55"/>
      <c r="AB342" s="56"/>
      <c r="AC342" s="50" t="n">
        <f aca="false">AT342</f>
        <v>800</v>
      </c>
      <c r="AD342" s="50" t="n">
        <f aca="false">MAX(AT342,H342)</f>
        <v>1280</v>
      </c>
      <c r="AE342" s="57"/>
      <c r="AF342" s="50" t="n">
        <f aca="false">IF(LEFT(Cockpit!$C$5,1)="A",H342,IF(CE342=1,CF342,IF(LEFT(Cockpit!$C$5,1)="B",AK342,MAX(AK342,H342))))</f>
        <v>1280</v>
      </c>
      <c r="AG342" s="50" t="n">
        <f aca="false">IF(BW342=1,0,ROUNDUP(AF342/BV342,0))</f>
        <v>4</v>
      </c>
      <c r="AH342" s="52" t="n">
        <f aca="false">IF(CL342&gt;0,CL342*MAX(1,AF342/X342),IF(BW342=1,IF(AF342&lt;=0,0,CA342*MAX(1,IF(H342&gt;0,AF342/H342,1))),IF(R342&gt;0,AG342/R342,0))/MAX(0.1,N(Parameter!$M$21)))</f>
        <v>0.153846153846154</v>
      </c>
      <c r="AI342" s="50" t="n">
        <f aca="false">AH342*BY342</f>
        <v>37.6923076923077</v>
      </c>
      <c r="AJ342" s="50" t="n">
        <f aca="false">AF342*G342</f>
        <v>294.4</v>
      </c>
      <c r="AK342" s="50" t="n">
        <f aca="false">ROUNDUP(MAX(J342/IF(CD342&gt;0,CD342,MAX(0.1,N(Cockpit!$C$6))),CG342)/BV342,0)*BV342</f>
        <v>800</v>
      </c>
      <c r="AL342" s="51" t="n">
        <f aca="false">IF(AI342&gt;0,J342/AI342,-1)</f>
        <v>13.6632653061225</v>
      </c>
      <c r="AM342" s="51" t="n">
        <f aca="false">IF(AND(OR(CC342="L1",CC342="L23",CC342="LIFT"),AI342&gt;0),SUMIFS($AI$7:$AI$1843,$CC$7:$CC$1843,CC342,$AL$7:$AL$1843,"&gt;"&amp;AL342)+SUMIFS($AI$7:$AI$1843,$CC$7:$CC$1843,CC342,$AL$7:$AL$1843,AL342,$BT$7:$BT$1843,"&lt;="&amp;BT342),"")</f>
        <v>2310.13827838828</v>
      </c>
      <c r="AN342" s="58" t="n">
        <f aca="false">IF(AM342="",0,MAX(0,MIN(1,(IF(CC342="L1",Parameter!$H$5,IF(CC342="L23",Parameter!$H$6+Parameter!$H$7,Parameter!$H$5+Parameter!$H$6+Parameter!$H$7))-(AM342-AI342))/AI342)))</f>
        <v>1</v>
      </c>
      <c r="AO342" s="50" t="n">
        <f aca="false">IF(LEFT(Cockpit!$I$5,1)="A",H342,IF(CE342=1,CF342,IF(LEFT(Cockpit!$I$5,1)="B",AT342,MAX(AT342,H342))))</f>
        <v>1280</v>
      </c>
      <c r="AP342" s="50" t="n">
        <f aca="false">IF(BW342=1,0,ROUNDUP(AO342/BV342,0))</f>
        <v>4</v>
      </c>
      <c r="AQ342" s="52" t="n">
        <f aca="false">IF(CL342&gt;0,CL342*MAX(1,AO342/X342),IF(BW342=1,IF(AO342&lt;=0,0,CA342*MAX(1,IF(H342&gt;0,AO342/H342,1))),IF(R342&gt;0,AP342/R342,0))/MAX(0.1,N(Parameter!$M$21)))</f>
        <v>0.153846153846154</v>
      </c>
      <c r="AR342" s="50" t="n">
        <f aca="false">AQ342*BY342</f>
        <v>37.6923076923077</v>
      </c>
      <c r="AS342" s="50" t="n">
        <f aca="false">AO342*G342</f>
        <v>294.4</v>
      </c>
      <c r="AT342" s="50" t="n">
        <f aca="false">ROUNDUP(MAX(J342/IF(CD342&gt;0,CD342,MAX(0.1,N(Cockpit!$I$6))),CG342)/BV342,0)*BV342</f>
        <v>800</v>
      </c>
      <c r="AU342" s="51" t="n">
        <f aca="false">IF(AR342&gt;0,J342/AR342,-1)</f>
        <v>13.6632653061225</v>
      </c>
      <c r="AV342" s="51" t="n">
        <f aca="false">IF(AND(OR(CC342="L1",CC342="L23",CC342="LIFT"),AR342&gt;0),SUMIFS($AR$7:$AR$1843,$CC$7:$CC$1843,CC342,$AU$7:$AU$1843,"&gt;"&amp;AU342)+SUMIFS($AR$7:$AR$1843,$CC$7:$CC$1843,CC342,$AU$7:$AU$1843,AU342,$BT$7:$BT$1843,"&lt;="&amp;BT342),"")</f>
        <v>3518.50412087912</v>
      </c>
      <c r="AW342" s="58" t="n">
        <f aca="false">IF(AV342="",0,MAX(0,MIN(1,(IF(CC342="L1",Parameter!$H$5,IF(CC342="L23",Parameter!$H$6+Parameter!$H$7,Parameter!$H$5+Parameter!$H$6+Parameter!$H$7))-(AV342-AR342))/AR342)))</f>
        <v>1</v>
      </c>
      <c r="AX342" s="50" t="n">
        <f aca="false">IF(LEFT(Cockpit!$O$5,1)="A",H342,IF(CE342=1,CF342,IF(LEFT(Cockpit!$O$5,1)="B",BC342,MAX(BC342,H342))))</f>
        <v>1280</v>
      </c>
      <c r="AY342" s="50" t="n">
        <f aca="false">IF(BW342=1,0,ROUNDUP(AX342/BV342,0))</f>
        <v>4</v>
      </c>
      <c r="AZ342" s="52" t="n">
        <f aca="false">IF(CL342&gt;0,CL342*MAX(1,AX342/X342),IF(BW342=1,IF(AX342&lt;=0,0,CA342*MAX(1,IF(H342&gt;0,AX342/H342,1))),IF(R342&gt;0,AY342/R342,0))/MAX(0.1,N(Parameter!$M$21)))</f>
        <v>0.153846153846154</v>
      </c>
      <c r="BA342" s="50" t="n">
        <f aca="false">AZ342*BY342</f>
        <v>37.6923076923077</v>
      </c>
      <c r="BB342" s="50" t="n">
        <f aca="false">AX342*G342</f>
        <v>294.4</v>
      </c>
      <c r="BC342" s="50" t="n">
        <f aca="false">ROUNDUP(MAX(J342/IF(CD342&gt;0,CD342,MAX(0.1,N(Cockpit!$O$6))),CG342)/BV342,0)*BV342</f>
        <v>800</v>
      </c>
      <c r="BD342" s="51" t="n">
        <f aca="false">IF(BA342&gt;0,J342/BA342,-1)</f>
        <v>13.6632653061225</v>
      </c>
      <c r="BE342" s="51" t="n">
        <f aca="false">IF(AND(OR(CC342="L1",CC342="L23",CC342="LIFT"),BA342&gt;0),SUMIFS($BA$7:$BA$1843,$CC$7:$CC$1843,CC342,$BD$7:$BD$1843,"&gt;"&amp;BD342)+SUMIFS($BA$7:$BA$1843,$CC$7:$CC$1843,CC342,$BD$7:$BD$1843,BD342,$BT$7:$BT$1843,"&lt;="&amp;BT342),"")</f>
        <v>3175.05860805861</v>
      </c>
      <c r="BF342" s="58" t="n">
        <f aca="false">IF(BE342="",0,MAX(0,MIN(1,(IF(CC342="L1",Parameter!$H$5,IF(CC342="L23",Parameter!$H$6+Parameter!$H$7,Parameter!$H$5+Parameter!$H$6+Parameter!$H$7))-(BE342-BA342))/BA342)))</f>
        <v>1</v>
      </c>
      <c r="BG342" s="48" t="str">
        <f aca="false">IF(AI342&lt;=0,"",IF(CC342="Aussen","Aussenlager",IF(CC342="-","Nicht im Lift",IF(AN342&gt;=1,"Lift",IF(AN342&lt;=0,"Aussenlager","teilweise")))))</f>
        <v>Lift</v>
      </c>
      <c r="BH342" s="48" t="str">
        <f aca="false">IF(AR342&lt;=0,"",IF(CC342="Aussen","Aussenlager",IF(CC342="-","Nicht im Lift",IF(AW342&gt;=1,"Lift",IF(AW342&lt;=0,"Aussenlager","teilweise")))))</f>
        <v>Lift</v>
      </c>
      <c r="BI342" s="48" t="str">
        <f aca="false">IF(BA342&lt;=0,"",IF(CC342="Aussen","Aussenlager",IF(CC342="-","Nicht im Lift",IF(BF342&gt;=1,"Lift",IF(BF342&lt;=0,"Aussenlager","teilweise")))))</f>
        <v>Lift</v>
      </c>
      <c r="BJ342" s="48" t="str">
        <f aca="false">IF(A342="","",IF(BS342=1,"Neu; ","")&amp;IF(AND(BS342=0,BN342&lt;0),"negativer Bestand (Export "&amp;BN342&amp;"); ","")&amp;IF(J342&lt;=0,"Kein Verbrauch; ","")&amp;IF(CL342&gt;0,"Lift "&amp;W342&amp;" lt. Liftbericht (Fach "&amp;X342&amp;" Stk); ",IF(BX342=1,"Gebinde geschätzt ("&amp;T342&amp;"); ",IF(BW342=1,"Lose – Tablare geschätzt; ","")))&amp;IF(H342&gt;AT342,"Überbestand "&amp;ROUND(H342-AT342,0)&amp;" Stk / CHF "&amp;ROUND((H342-AT342)*G342,0)&amp;"; ","")&amp;IF(AND(CE342=1,CF342&lt;CG342),"MAX &lt; MB+LG; ","")&amp;IF(AND(CK342&gt;0,CJ342*10&gt;CK342),"zu hoch für Tablar; ","")&amp;IF(AND(BS342=0,OR(CE342=1,AA342&lt;&gt;"",U342&lt;&gt;"",V342&lt;&gt;"",AB342&lt;&gt;"")),"manuell übersteuert; ","")&amp;IF(AND(BW342=0,R342=0),"Gebinde unbekannt / Stellmass fehlt; ","")&amp;IF(AND(BW342=0,N(V342)&lt;=0,N(Q342)&lt;=0),"Menge pro Gebinde fehlt (Ist = 1 Gebinde); ","")&amp;BR342)</f>
        <v>Überbestand 480 Stk / CHF 110; </v>
      </c>
      <c r="BK342" s="48"/>
      <c r="BL342" s="48"/>
      <c r="BM342" s="55"/>
      <c r="BN342" s="50" t="n">
        <v>818</v>
      </c>
      <c r="BO342" s="50" t="n">
        <v>462</v>
      </c>
      <c r="BP342" s="49" t="n">
        <v>197.38</v>
      </c>
      <c r="BQ342" s="50" t="n">
        <v>515</v>
      </c>
      <c r="BR342" s="48"/>
      <c r="BS342" s="53" t="n">
        <v>0</v>
      </c>
      <c r="BT342" s="53" t="n">
        <v>342</v>
      </c>
      <c r="BU342" s="48" t="str">
        <f aca="false">IF(U342&lt;&gt;"",UPPER(TRIM(U342)),IF(BX342=1,UPPER(VLOOKUP(T342,Parameter!$I$27:$K$29,2,0)),IF(P342="","LOSE",P342)))</f>
        <v>S52</v>
      </c>
      <c r="BV342" s="50" t="n">
        <f aca="false">IF(BU342="LOSE",1,IF(N(V342)&gt;0,V342,IF(BX342=1,MAX(1,N(VLOOKUP(T342,Parameter!$I$27:$K$29,3,0)),H342,N(N342)),IF(N(Q342)&gt;0,Q342,MAX(1,H342)))))</f>
        <v>400</v>
      </c>
      <c r="BW342" s="53" t="n">
        <f aca="false">IF(BU342="LOSE",1,0)</f>
        <v>0</v>
      </c>
      <c r="BX342" s="53" t="n">
        <f aca="false">IF(AND(U342="",OR(P342="",P342="LOSE"),T342&lt;&gt;"",N(S342)&lt;=0,ISNUMBER(MATCH(T342,Parameter!$I$27:$I$29,0))),1,0)</f>
        <v>0</v>
      </c>
      <c r="BY342" s="53" t="n">
        <f aca="false">IF(CL342&gt;0,INDEX(Parameter!$H$5:$H$7,W342)/INDEX(Parameter!$E$5:$E$7,W342),IF(AND(BW342=0,N(IFERROR(VLOOKUP(BU342,'Gebinde-Kategorie'!$A$5:$N$45,14,0),0))&gt;0),VLOOKUP(BU342,'Gebinde-Kategorie'!$A$5:$N$45,14,0)*10+Parameter!$M$23,Parameter!$M$24))</f>
        <v>245</v>
      </c>
      <c r="BZ342" s="48" t="str">
        <f aca="false">IF(AND(Parameter!$B$19="Ja",E342&lt;&gt;"",ISNUMBER(MATCH(E342,Parameter!$I$35:$I$52,0))),VLOOKUP(E342,Parameter!$I$35:$J$52,2,0),IFERROR(VLOOKUP(D342,Parameter!$A$35:$C$64,2,0),"Nein"))</f>
        <v>2+3</v>
      </c>
      <c r="CA342" s="52" t="n">
        <f aca="false">IF(BW342=0,0,IF(N(S342)&gt;0,S342,IFERROR(VLOOKUP(D342,Parameter!$A$35:$C$64,3,0)+0,0)))</f>
        <v>0</v>
      </c>
      <c r="CB342" s="48" t="n">
        <f aca="false">IF(AA342&lt;&gt;"",AA342,Z342)</f>
        <v>3</v>
      </c>
      <c r="CC342" s="48" t="str">
        <f aca="false">IF(OR(CB342=1,CB342=2,CB342=3),IF(Parameter!$E$27="Ja","LIFT",IF(CB342=1,"L1","L23")),IF(CB342="Aussen","Aussen","-"))</f>
        <v>LIFT</v>
      </c>
      <c r="CD342" s="59" t="n">
        <f aca="false">IF(N(AB342)&gt;0,AB342,0)</f>
        <v>0</v>
      </c>
      <c r="CE342" s="53" t="n">
        <f aca="false">IF(ISNUMBER(AE342),1,0)</f>
        <v>0</v>
      </c>
      <c r="CF342" s="50" t="n">
        <f aca="false">N(AE342)</f>
        <v>0</v>
      </c>
      <c r="CG342" s="50" t="n">
        <f aca="false">N(M342)+N(N342)</f>
        <v>545</v>
      </c>
      <c r="CH342" s="50" t="n">
        <f aca="false">ROUNDUP(H342/BV342,0)</f>
        <v>4</v>
      </c>
      <c r="CI342" s="50" t="n">
        <f aca="false">ROUNDUP(CF342/BV342,0)</f>
        <v>0</v>
      </c>
      <c r="CJ342" s="53" t="n">
        <f aca="false">IF(BW342=1,0,IFERROR(VLOOKUP(BU342,'Gebinde-Kategorie'!$A$5:$N$45,5,0)+0,0))</f>
        <v>21</v>
      </c>
      <c r="CK342" s="53" t="n">
        <f aca="false">IFERROR(IF(OR(CB342=1,CB342=2,CB342=3),N(INDEX(Parameter!$I$5:$I$7,CB342)),0),0)</f>
        <v>0</v>
      </c>
      <c r="CL342" s="52" t="n">
        <f aca="false">IF(AND(Parameter!$B$21="Ja",ISNUMBER(W342),N(X342)&gt;0),IFERROR(N(INDEX(Parameter!$L$5:$L$7,W342))*INDEX(Parameter!$E$5:$E$7,W342)*X342/SUMIFS($X$7:$X$1843,$W$7:$W$1843,W342),0),0)</f>
        <v>0</v>
      </c>
    </row>
    <row r="343" customFormat="false" ht="15" hidden="false" customHeight="false" outlineLevel="0" collapsed="false">
      <c r="A343" s="48" t="s">
        <v>846</v>
      </c>
      <c r="B343" s="48" t="s">
        <v>847</v>
      </c>
      <c r="C343" s="48" t="s">
        <v>168</v>
      </c>
      <c r="D343" s="48" t="s">
        <v>188</v>
      </c>
      <c r="E343" s="48"/>
      <c r="F343" s="48" t="s">
        <v>222</v>
      </c>
      <c r="G343" s="49" t="n">
        <v>47.25</v>
      </c>
      <c r="H343" s="50" t="n">
        <f aca="false">MAX(0,IF(AND(Parameter!$B$21="Ja",ISNUMBER(Y343)),Y343,IF(Parameter!$B$20="Jahresanfang 2025 + Export",BO343+BN343,BN343)))</f>
        <v>6</v>
      </c>
      <c r="I343" s="50" t="n">
        <f aca="false">H343*G343</f>
        <v>283.5</v>
      </c>
      <c r="J343" s="50" t="n">
        <f aca="false">BQ343*Parameter!$B$18</f>
        <v>7</v>
      </c>
      <c r="K343" s="51" t="n">
        <v>1.5</v>
      </c>
      <c r="L343" s="52" t="n">
        <v>4.66666666666667</v>
      </c>
      <c r="M343" s="50" t="n">
        <v>0</v>
      </c>
      <c r="N343" s="50" t="n">
        <v>5</v>
      </c>
      <c r="O343" s="53" t="n">
        <v>35</v>
      </c>
      <c r="P343" s="48" t="s">
        <v>332</v>
      </c>
      <c r="Q343" s="50" t="n">
        <v>6</v>
      </c>
      <c r="R343" s="53" t="n">
        <f aca="false">IF(BW343=1,0,IFERROR(VLOOKUP(BU343,'Gebinde-Kategorie'!$A$5:$N$45,13,0)+0,0))</f>
        <v>52</v>
      </c>
      <c r="S343" s="54"/>
      <c r="T343" s="55"/>
      <c r="U343" s="55"/>
      <c r="V343" s="55"/>
      <c r="W343" s="48"/>
      <c r="X343" s="50"/>
      <c r="Y343" s="50"/>
      <c r="Z343" s="48" t="n">
        <f aca="false">IF(A343="","",IF(AND(Parameter!$B$21="Ja",ISNUMBER(W343)),W343,IF(BZ343="2+3",IF(ISNUMBER(SEARCH("grosser Artikel",BR343)),2,IFERROR(VLOOKUP(BU343,Parameter!$F$35:$G$64,2,0),2)),IF(OR(BZ343="Nein",BZ343=""),"-",BZ343))))</f>
        <v>3</v>
      </c>
      <c r="AA343" s="55"/>
      <c r="AB343" s="56"/>
      <c r="AC343" s="50" t="n">
        <f aca="false">AT343</f>
        <v>6</v>
      </c>
      <c r="AD343" s="50" t="n">
        <f aca="false">MAX(AT343,H343)</f>
        <v>6</v>
      </c>
      <c r="AE343" s="57"/>
      <c r="AF343" s="50" t="n">
        <f aca="false">IF(LEFT(Cockpit!$C$5,1)="A",H343,IF(CE343=1,CF343,IF(LEFT(Cockpit!$C$5,1)="B",AK343,MAX(AK343,H343))))</f>
        <v>6</v>
      </c>
      <c r="AG343" s="50" t="n">
        <f aca="false">IF(BW343=1,0,ROUNDUP(AF343/BV343,0))</f>
        <v>1</v>
      </c>
      <c r="AH343" s="52" t="n">
        <f aca="false">IF(CL343&gt;0,CL343*MAX(1,AF343/X343),IF(BW343=1,IF(AF343&lt;=0,0,CA343*MAX(1,IF(H343&gt;0,AF343/H343,1))),IF(R343&gt;0,AG343/R343,0))/MAX(0.1,N(Parameter!$M$21)))</f>
        <v>0.0192307692307692</v>
      </c>
      <c r="AI343" s="50" t="n">
        <f aca="false">AH343*BY343</f>
        <v>2.98076923076923</v>
      </c>
      <c r="AJ343" s="50" t="n">
        <f aca="false">AF343*G343</f>
        <v>283.5</v>
      </c>
      <c r="AK343" s="50" t="n">
        <f aca="false">ROUNDUP(MAX(J343/IF(CD343&gt;0,CD343,MAX(0.1,N(Cockpit!$C$6))),CG343)/BV343,0)*BV343</f>
        <v>6</v>
      </c>
      <c r="AL343" s="51" t="n">
        <f aca="false">IF(AI343&gt;0,J343/AI343,-1)</f>
        <v>2.34838709677419</v>
      </c>
      <c r="AM343" s="51" t="n">
        <f aca="false">IF(AND(OR(CC343="L1",CC343="L23",CC343="LIFT"),AI343&gt;0),SUMIFS($AI$7:$AI$1843,$CC$7:$CC$1843,CC343,$AL$7:$AL$1843,"&gt;"&amp;AL343)+SUMIFS($AI$7:$AI$1843,$CC$7:$CC$1843,CC343,$AL$7:$AL$1843,AL343,$BT$7:$BT$1843,"&lt;="&amp;BT343),"")</f>
        <v>5622.2760989011</v>
      </c>
      <c r="AN343" s="58" t="n">
        <f aca="false">IF(AM343="",0,MAX(0,MIN(1,(IF(CC343="L1",Parameter!$H$5,IF(CC343="L23",Parameter!$H$6+Parameter!$H$7,Parameter!$H$5+Parameter!$H$6+Parameter!$H$7))-(AM343-AI343))/AI343)))</f>
        <v>1</v>
      </c>
      <c r="AO343" s="50" t="n">
        <f aca="false">IF(LEFT(Cockpit!$I$5,1)="A",H343,IF(CE343=1,CF343,IF(LEFT(Cockpit!$I$5,1)="B",AT343,MAX(AT343,H343))))</f>
        <v>6</v>
      </c>
      <c r="AP343" s="50" t="n">
        <f aca="false">IF(BW343=1,0,ROUNDUP(AO343/BV343,0))</f>
        <v>1</v>
      </c>
      <c r="AQ343" s="52" t="n">
        <f aca="false">IF(CL343&gt;0,CL343*MAX(1,AO343/X343),IF(BW343=1,IF(AO343&lt;=0,0,CA343*MAX(1,IF(H343&gt;0,AO343/H343,1))),IF(R343&gt;0,AP343/R343,0))/MAX(0.1,N(Parameter!$M$21)))</f>
        <v>0.0192307692307692</v>
      </c>
      <c r="AR343" s="50" t="n">
        <f aca="false">AQ343*BY343</f>
        <v>2.98076923076923</v>
      </c>
      <c r="AS343" s="50" t="n">
        <f aca="false">AO343*G343</f>
        <v>283.5</v>
      </c>
      <c r="AT343" s="50" t="n">
        <f aca="false">ROUNDUP(MAX(J343/IF(CD343&gt;0,CD343,MAX(0.1,N(Cockpit!$I$6))),CG343)/BV343,0)*BV343</f>
        <v>6</v>
      </c>
      <c r="AU343" s="51" t="n">
        <f aca="false">IF(AR343&gt;0,J343/AR343,-1)</f>
        <v>2.34838709677419</v>
      </c>
      <c r="AV343" s="51" t="n">
        <f aca="false">IF(AND(OR(CC343="L1",CC343="L23",CC343="LIFT"),AR343&gt;0),SUMIFS($AR$7:$AR$1843,$CC$7:$CC$1843,CC343,$AU$7:$AU$1843,"&gt;"&amp;AU343)+SUMIFS($AR$7:$AR$1843,$CC$7:$CC$1843,CC343,$AU$7:$AU$1843,AU343,$BT$7:$BT$1843,"&lt;="&amp;BT343),"")</f>
        <v>6947.54532967033</v>
      </c>
      <c r="AW343" s="58" t="n">
        <f aca="false">IF(AV343="",0,MAX(0,MIN(1,(IF(CC343="L1",Parameter!$H$5,IF(CC343="L23",Parameter!$H$6+Parameter!$H$7,Parameter!$H$5+Parameter!$H$6+Parameter!$H$7))-(AV343-AR343))/AR343)))</f>
        <v>1</v>
      </c>
      <c r="AX343" s="50" t="n">
        <f aca="false">IF(LEFT(Cockpit!$O$5,1)="A",H343,IF(CE343=1,CF343,IF(LEFT(Cockpit!$O$5,1)="B",BC343,MAX(BC343,H343))))</f>
        <v>6</v>
      </c>
      <c r="AY343" s="50" t="n">
        <f aca="false">IF(BW343=1,0,ROUNDUP(AX343/BV343,0))</f>
        <v>1</v>
      </c>
      <c r="AZ343" s="52" t="n">
        <f aca="false">IF(CL343&gt;0,CL343*MAX(1,AX343/X343),IF(BW343=1,IF(AX343&lt;=0,0,CA343*MAX(1,IF(H343&gt;0,AX343/H343,1))),IF(R343&gt;0,AY343/R343,0))/MAX(0.1,N(Parameter!$M$21)))</f>
        <v>0.0192307692307692</v>
      </c>
      <c r="BA343" s="50" t="n">
        <f aca="false">AZ343*BY343</f>
        <v>2.98076923076923</v>
      </c>
      <c r="BB343" s="50" t="n">
        <f aca="false">AX343*G343</f>
        <v>283.5</v>
      </c>
      <c r="BC343" s="50" t="n">
        <f aca="false">ROUNDUP(MAX(J343/IF(CD343&gt;0,CD343,MAX(0.1,N(Cockpit!$O$6))),CG343)/BV343,0)*BV343</f>
        <v>6</v>
      </c>
      <c r="BD343" s="51" t="n">
        <f aca="false">IF(BA343&gt;0,J343/BA343,-1)</f>
        <v>2.34838709677419</v>
      </c>
      <c r="BE343" s="51" t="n">
        <f aca="false">IF(AND(OR(CC343="L1",CC343="L23",CC343="LIFT"),BA343&gt;0),SUMIFS($BA$7:$BA$1843,$CC$7:$CC$1843,CC343,$BD$7:$BD$1843,"&gt;"&amp;BD343)+SUMIFS($BA$7:$BA$1843,$CC$7:$CC$1843,CC343,$BD$7:$BD$1843,BD343,$BT$7:$BT$1843,"&lt;="&amp;BT343),"")</f>
        <v>6716.11904761905</v>
      </c>
      <c r="BF343" s="58" t="n">
        <f aca="false">IF(BE343="",0,MAX(0,MIN(1,(IF(CC343="L1",Parameter!$H$5,IF(CC343="L23",Parameter!$H$6+Parameter!$H$7,Parameter!$H$5+Parameter!$H$6+Parameter!$H$7))-(BE343-BA343))/BA343)))</f>
        <v>1</v>
      </c>
      <c r="BG343" s="48" t="str">
        <f aca="false">IF(AI343&lt;=0,"",IF(CC343="Aussen","Aussenlager",IF(CC343="-","Nicht im Lift",IF(AN343&gt;=1,"Lift",IF(AN343&lt;=0,"Aussenlager","teilweise")))))</f>
        <v>Lift</v>
      </c>
      <c r="BH343" s="48" t="str">
        <f aca="false">IF(AR343&lt;=0,"",IF(CC343="Aussen","Aussenlager",IF(CC343="-","Nicht im Lift",IF(AW343&gt;=1,"Lift",IF(AW343&lt;=0,"Aussenlager","teilweise")))))</f>
        <v>Lift</v>
      </c>
      <c r="BI343" s="48" t="str">
        <f aca="false">IF(BA343&lt;=0,"",IF(CC343="Aussen","Aussenlager",IF(CC343="-","Nicht im Lift",IF(BF343&gt;=1,"Lift",IF(BF343&lt;=0,"Aussenlager","teilweise")))))</f>
        <v>Lift</v>
      </c>
      <c r="BJ343" s="48" t="str">
        <f aca="false">IF(A343="","",IF(BS343=1,"Neu; ","")&amp;IF(AND(BS343=0,BN343&lt;0),"negativer Bestand (Export "&amp;BN343&amp;"); ","")&amp;IF(J343&lt;=0,"Kein Verbrauch; ","")&amp;IF(CL343&gt;0,"Lift "&amp;W343&amp;" lt. Liftbericht (Fach "&amp;X343&amp;" Stk); ",IF(BX343=1,"Gebinde geschätzt ("&amp;T343&amp;"); ",IF(BW343=1,"Lose – Tablare geschätzt; ","")))&amp;IF(H343&gt;AT343,"Überbestand "&amp;ROUND(H343-AT343,0)&amp;" Stk / CHF "&amp;ROUND((H343-AT343)*G343,0)&amp;"; ","")&amp;IF(AND(CE343=1,CF343&lt;CG343),"MAX &lt; MB+LG; ","")&amp;IF(AND(CK343&gt;0,CJ343*10&gt;CK343),"zu hoch für Tablar; ","")&amp;IF(AND(BS343=0,OR(CE343=1,AA343&lt;&gt;"",U343&lt;&gt;"",V343&lt;&gt;"",AB343&lt;&gt;"")),"manuell übersteuert; ","")&amp;IF(AND(BW343=0,R343=0),"Gebinde unbekannt / Stellmass fehlt; ","")&amp;IF(AND(BW343=0,N(V343)&lt;=0,N(Q343)&lt;=0),"Menge pro Gebinde fehlt (Ist = 1 Gebinde); ","")&amp;BR343)</f>
        <v/>
      </c>
      <c r="BK343" s="48"/>
      <c r="BL343" s="48"/>
      <c r="BM343" s="55"/>
      <c r="BN343" s="50" t="n">
        <v>4</v>
      </c>
      <c r="BO343" s="50" t="n">
        <v>2</v>
      </c>
      <c r="BP343" s="49" t="n">
        <v>197.18</v>
      </c>
      <c r="BQ343" s="50" t="n">
        <v>7</v>
      </c>
      <c r="BR343" s="48"/>
      <c r="BS343" s="53" t="n">
        <v>0</v>
      </c>
      <c r="BT343" s="53" t="n">
        <v>343</v>
      </c>
      <c r="BU343" s="48" t="str">
        <f aca="false">IF(U343&lt;&gt;"",UPPER(TRIM(U343)),IF(BX343=1,UPPER(VLOOKUP(T343,Parameter!$I$27:$K$29,2,0)),IF(P343="","LOSE",P343)))</f>
        <v>S41</v>
      </c>
      <c r="BV343" s="50" t="n">
        <f aca="false">IF(BU343="LOSE",1,IF(N(V343)&gt;0,V343,IF(BX343=1,MAX(1,N(VLOOKUP(T343,Parameter!$I$27:$K$29,3,0)),H343,N(N343)),IF(N(Q343)&gt;0,Q343,MAX(1,H343)))))</f>
        <v>6</v>
      </c>
      <c r="BW343" s="53" t="n">
        <f aca="false">IF(BU343="LOSE",1,0)</f>
        <v>0</v>
      </c>
      <c r="BX343" s="53" t="n">
        <f aca="false">IF(AND(U343="",OR(P343="",P343="LOSE"),T343&lt;&gt;"",N(S343)&lt;=0,ISNUMBER(MATCH(T343,Parameter!$I$27:$I$29,0))),1,0)</f>
        <v>0</v>
      </c>
      <c r="BY343" s="53" t="n">
        <f aca="false">IF(CL343&gt;0,INDEX(Parameter!$H$5:$H$7,W343)/INDEX(Parameter!$E$5:$E$7,W343),IF(AND(BW343=0,N(IFERROR(VLOOKUP(BU343,'Gebinde-Kategorie'!$A$5:$N$45,14,0),0))&gt;0),VLOOKUP(BU343,'Gebinde-Kategorie'!$A$5:$N$45,14,0)*10+Parameter!$M$23,Parameter!$M$24))</f>
        <v>155</v>
      </c>
      <c r="BZ343" s="48" t="str">
        <f aca="false">IF(AND(Parameter!$B$19="Ja",E343&lt;&gt;"",ISNUMBER(MATCH(E343,Parameter!$I$35:$I$52,0))),VLOOKUP(E343,Parameter!$I$35:$J$52,2,0),IFERROR(VLOOKUP(D343,Parameter!$A$35:$C$64,2,0),"Nein"))</f>
        <v>2+3</v>
      </c>
      <c r="CA343" s="52" t="n">
        <f aca="false">IF(BW343=0,0,IF(N(S343)&gt;0,S343,IFERROR(VLOOKUP(D343,Parameter!$A$35:$C$64,3,0)+0,0)))</f>
        <v>0</v>
      </c>
      <c r="CB343" s="48" t="n">
        <f aca="false">IF(AA343&lt;&gt;"",AA343,Z343)</f>
        <v>3</v>
      </c>
      <c r="CC343" s="48" t="str">
        <f aca="false">IF(OR(CB343=1,CB343=2,CB343=3),IF(Parameter!$E$27="Ja","LIFT",IF(CB343=1,"L1","L23")),IF(CB343="Aussen","Aussen","-"))</f>
        <v>LIFT</v>
      </c>
      <c r="CD343" s="59" t="n">
        <f aca="false">IF(N(AB343)&gt;0,AB343,0)</f>
        <v>0</v>
      </c>
      <c r="CE343" s="53" t="n">
        <f aca="false">IF(ISNUMBER(AE343),1,0)</f>
        <v>0</v>
      </c>
      <c r="CF343" s="50" t="n">
        <f aca="false">N(AE343)</f>
        <v>0</v>
      </c>
      <c r="CG343" s="50" t="n">
        <f aca="false">N(M343)+N(N343)</f>
        <v>5</v>
      </c>
      <c r="CH343" s="50" t="n">
        <f aca="false">ROUNDUP(H343/BV343,0)</f>
        <v>1</v>
      </c>
      <c r="CI343" s="50" t="n">
        <f aca="false">ROUNDUP(CF343/BV343,0)</f>
        <v>0</v>
      </c>
      <c r="CJ343" s="53" t="n">
        <f aca="false">IF(BW343=1,0,IFERROR(VLOOKUP(BU343,'Gebinde-Kategorie'!$A$5:$N$45,5,0)+0,0))</f>
        <v>11</v>
      </c>
      <c r="CK343" s="53" t="n">
        <f aca="false">IFERROR(IF(OR(CB343=1,CB343=2,CB343=3),N(INDEX(Parameter!$I$5:$I$7,CB343)),0),0)</f>
        <v>0</v>
      </c>
      <c r="CL343" s="52" t="n">
        <f aca="false">IF(AND(Parameter!$B$21="Ja",ISNUMBER(W343),N(X343)&gt;0),IFERROR(N(INDEX(Parameter!$L$5:$L$7,W343))*INDEX(Parameter!$E$5:$E$7,W343)*X343/SUMIFS($X$7:$X$1843,$W$7:$W$1843,W343),0),0)</f>
        <v>0</v>
      </c>
    </row>
    <row r="344" customFormat="false" ht="15" hidden="false" customHeight="false" outlineLevel="0" collapsed="false">
      <c r="A344" s="48" t="s">
        <v>848</v>
      </c>
      <c r="B344" s="48" t="s">
        <v>849</v>
      </c>
      <c r="C344" s="48" t="s">
        <v>168</v>
      </c>
      <c r="D344" s="48" t="s">
        <v>188</v>
      </c>
      <c r="E344" s="48"/>
      <c r="F344" s="48" t="s">
        <v>222</v>
      </c>
      <c r="G344" s="49" t="n">
        <v>7.87</v>
      </c>
      <c r="H344" s="50" t="n">
        <f aca="false">MAX(0,IF(AND(Parameter!$B$21="Ja",ISNUMBER(Y344)),Y344,IF(Parameter!$B$20="Jahresanfang 2025 + Export",BO344+BN344,BN344)))</f>
        <v>25</v>
      </c>
      <c r="I344" s="50" t="n">
        <f aca="false">H344*G344</f>
        <v>196.75</v>
      </c>
      <c r="J344" s="50" t="n">
        <f aca="false">BQ344*Parameter!$B$18</f>
        <v>0</v>
      </c>
      <c r="K344" s="51" t="n">
        <v>0</v>
      </c>
      <c r="L344" s="52" t="n">
        <v>0</v>
      </c>
      <c r="M344" s="50" t="n">
        <v>0</v>
      </c>
      <c r="N344" s="50" t="n">
        <v>5</v>
      </c>
      <c r="O344" s="53" t="n">
        <v>9999</v>
      </c>
      <c r="P344" s="48" t="s">
        <v>172</v>
      </c>
      <c r="Q344" s="50"/>
      <c r="R344" s="53" t="n">
        <f aca="false">IF(BW344=1,0,IFERROR(VLOOKUP(BU344,'Gebinde-Kategorie'!$A$5:$N$45,13,0)+0,0))</f>
        <v>26</v>
      </c>
      <c r="S344" s="54"/>
      <c r="T344" s="55" t="s">
        <v>279</v>
      </c>
      <c r="U344" s="55"/>
      <c r="V344" s="55"/>
      <c r="W344" s="48"/>
      <c r="X344" s="50"/>
      <c r="Y344" s="50"/>
      <c r="Z344" s="48" t="n">
        <f aca="false">IF(A344="","",IF(AND(Parameter!$B$21="Ja",ISNUMBER(W344)),W344,IF(BZ344="2+3",IF(ISNUMBER(SEARCH("grosser Artikel",BR344)),2,IFERROR(VLOOKUP(BU344,Parameter!$F$35:$G$64,2,0),2)),IF(OR(BZ344="Nein",BZ344=""),"-",BZ344))))</f>
        <v>3</v>
      </c>
      <c r="AA344" s="55"/>
      <c r="AB344" s="56"/>
      <c r="AC344" s="50" t="n">
        <f aca="false">AT344</f>
        <v>25</v>
      </c>
      <c r="AD344" s="50" t="n">
        <f aca="false">MAX(AT344,H344)</f>
        <v>25</v>
      </c>
      <c r="AE344" s="57"/>
      <c r="AF344" s="50" t="n">
        <f aca="false">IF(LEFT(Cockpit!$C$5,1)="A",H344,IF(CE344=1,CF344,IF(LEFT(Cockpit!$C$5,1)="B",AK344,MAX(AK344,H344))))</f>
        <v>25</v>
      </c>
      <c r="AG344" s="50" t="n">
        <f aca="false">IF(BW344=1,0,ROUNDUP(AF344/BV344,0))</f>
        <v>1</v>
      </c>
      <c r="AH344" s="52" t="n">
        <f aca="false">IF(CL344&gt;0,CL344*MAX(1,AF344/X344),IF(BW344=1,IF(AF344&lt;=0,0,CA344*MAX(1,IF(H344&gt;0,AF344/H344,1))),IF(R344&gt;0,AG344/R344,0))/MAX(0.1,N(Parameter!$M$21)))</f>
        <v>0.0384615384615385</v>
      </c>
      <c r="AI344" s="50" t="n">
        <f aca="false">AH344*BY344</f>
        <v>5.96153846153846</v>
      </c>
      <c r="AJ344" s="50" t="n">
        <f aca="false">AF344*G344</f>
        <v>196.75</v>
      </c>
      <c r="AK344" s="50" t="n">
        <f aca="false">ROUNDUP(MAX(J344/IF(CD344&gt;0,CD344,MAX(0.1,N(Cockpit!$C$6))),CG344)/BV344,0)*BV344</f>
        <v>25</v>
      </c>
      <c r="AL344" s="51" t="n">
        <f aca="false">IF(AI344&gt;0,J344/AI344,-1)</f>
        <v>0</v>
      </c>
      <c r="AM344" s="51" t="n">
        <f aca="false">IF(AND(OR(CC344="L1",CC344="L23",CC344="LIFT"),AI344&gt;0),SUMIFS($AI$7:$AI$1843,$CC$7:$CC$1843,CC344,$AL$7:$AL$1843,"&gt;"&amp;AL344)+SUMIFS($AI$7:$AI$1843,$CC$7:$CC$1843,CC344,$AL$7:$AL$1843,AL344,$BT$7:$BT$1843,"&lt;="&amp;BT344),"")</f>
        <v>28007.1434831647</v>
      </c>
      <c r="AN344" s="58" t="n">
        <f aca="false">IF(AM344="",0,MAX(0,MIN(1,(IF(CC344="L1",Parameter!$H$5,IF(CC344="L23",Parameter!$H$6+Parameter!$H$7,Parameter!$H$5+Parameter!$H$6+Parameter!$H$7))-(AM344-AI344))/AI344)))</f>
        <v>1</v>
      </c>
      <c r="AO344" s="50" t="n">
        <f aca="false">IF(LEFT(Cockpit!$I$5,1)="A",H344,IF(CE344=1,CF344,IF(LEFT(Cockpit!$I$5,1)="B",AT344,MAX(AT344,H344))))</f>
        <v>25</v>
      </c>
      <c r="AP344" s="50" t="n">
        <f aca="false">IF(BW344=1,0,ROUNDUP(AO344/BV344,0))</f>
        <v>1</v>
      </c>
      <c r="AQ344" s="52" t="n">
        <f aca="false">IF(CL344&gt;0,CL344*MAX(1,AO344/X344),IF(BW344=1,IF(AO344&lt;=0,0,CA344*MAX(1,IF(H344&gt;0,AO344/H344,1))),IF(R344&gt;0,AP344/R344,0))/MAX(0.1,N(Parameter!$M$21)))</f>
        <v>0.0384615384615385</v>
      </c>
      <c r="AR344" s="50" t="n">
        <f aca="false">AQ344*BY344</f>
        <v>5.96153846153846</v>
      </c>
      <c r="AS344" s="50" t="n">
        <f aca="false">AO344*G344</f>
        <v>196.75</v>
      </c>
      <c r="AT344" s="50" t="n">
        <f aca="false">ROUNDUP(MAX(J344/IF(CD344&gt;0,CD344,MAX(0.1,N(Cockpit!$I$6))),CG344)/BV344,0)*BV344</f>
        <v>25</v>
      </c>
      <c r="AU344" s="51" t="n">
        <f aca="false">IF(AR344&gt;0,J344/AR344,-1)</f>
        <v>0</v>
      </c>
      <c r="AV344" s="51" t="n">
        <f aca="false">IF(AND(OR(CC344="L1",CC344="L23",CC344="LIFT"),AR344&gt;0),SUMIFS($AR$7:$AR$1843,$CC$7:$CC$1843,CC344,$AU$7:$AU$1843,"&gt;"&amp;AU344)+SUMIFS($AR$7:$AR$1843,$CC$7:$CC$1843,CC344,$AU$7:$AU$1843,AU344,$BT$7:$BT$1843,"&lt;="&amp;BT344),"")</f>
        <v>39320.0490004346</v>
      </c>
      <c r="AW344" s="58" t="n">
        <f aca="false">IF(AV344="",0,MAX(0,MIN(1,(IF(CC344="L1",Parameter!$H$5,IF(CC344="L23",Parameter!$H$6+Parameter!$H$7,Parameter!$H$5+Parameter!$H$6+Parameter!$H$7))-(AV344-AR344))/AR344)))</f>
        <v>0</v>
      </c>
      <c r="AX344" s="50" t="n">
        <f aca="false">IF(LEFT(Cockpit!$O$5,1)="A",H344,IF(CE344=1,CF344,IF(LEFT(Cockpit!$O$5,1)="B",BC344,MAX(BC344,H344))))</f>
        <v>25</v>
      </c>
      <c r="AY344" s="50" t="n">
        <f aca="false">IF(BW344=1,0,ROUNDUP(AX344/BV344,0))</f>
        <v>1</v>
      </c>
      <c r="AZ344" s="52" t="n">
        <f aca="false">IF(CL344&gt;0,CL344*MAX(1,AX344/X344),IF(BW344=1,IF(AX344&lt;=0,0,CA344*MAX(1,IF(H344&gt;0,AX344/H344,1))),IF(R344&gt;0,AY344/R344,0))/MAX(0.1,N(Parameter!$M$21)))</f>
        <v>0.0384615384615385</v>
      </c>
      <c r="BA344" s="50" t="n">
        <f aca="false">AZ344*BY344</f>
        <v>5.96153846153846</v>
      </c>
      <c r="BB344" s="50" t="n">
        <f aca="false">AX344*G344</f>
        <v>196.75</v>
      </c>
      <c r="BC344" s="50" t="n">
        <f aca="false">ROUNDUP(MAX(J344/IF(CD344&gt;0,CD344,MAX(0.1,N(Cockpit!$O$6))),CG344)/BV344,0)*BV344</f>
        <v>25</v>
      </c>
      <c r="BD344" s="51" t="n">
        <f aca="false">IF(BA344&gt;0,J344/BA344,-1)</f>
        <v>0</v>
      </c>
      <c r="BE344" s="51" t="n">
        <f aca="false">IF(AND(OR(CC344="L1",CC344="L23",CC344="LIFT"),BA344&gt;0),SUMIFS($BA$7:$BA$1843,$CC$7:$CC$1843,CC344,$BD$7:$BD$1843,"&gt;"&amp;BD344)+SUMIFS($BA$7:$BA$1843,$CC$7:$CC$1843,CC344,$BD$7:$BD$1843,BD344,$BT$7:$BT$1843,"&lt;="&amp;BT344),"")</f>
        <v>35995.0610423005</v>
      </c>
      <c r="BF344" s="58" t="n">
        <f aca="false">IF(BE344="",0,MAX(0,MIN(1,(IF(CC344="L1",Parameter!$H$5,IF(CC344="L23",Parameter!$H$6+Parameter!$H$7,Parameter!$H$5+Parameter!$H$6+Parameter!$H$7))-(BE344-BA344))/BA344)))</f>
        <v>0</v>
      </c>
      <c r="BG344" s="48" t="str">
        <f aca="false">IF(AI344&lt;=0,"",IF(CC344="Aussen","Aussenlager",IF(CC344="-","Nicht im Lift",IF(AN344&gt;=1,"Lift",IF(AN344&lt;=0,"Aussenlager","teilweise")))))</f>
        <v>Lift</v>
      </c>
      <c r="BH344" s="48" t="str">
        <f aca="false">IF(AR344&lt;=0,"",IF(CC344="Aussen","Aussenlager",IF(CC344="-","Nicht im Lift",IF(AW344&gt;=1,"Lift",IF(AW344&lt;=0,"Aussenlager","teilweise")))))</f>
        <v>Aussenlager</v>
      </c>
      <c r="BI344" s="48" t="str">
        <f aca="false">IF(BA344&lt;=0,"",IF(CC344="Aussen","Aussenlager",IF(CC344="-","Nicht im Lift",IF(BF344&gt;=1,"Lift",IF(BF344&lt;=0,"Aussenlager","teilweise")))))</f>
        <v>Aussenlager</v>
      </c>
      <c r="BJ344" s="48" t="str">
        <f aca="false">IF(A344="","",IF(BS344=1,"Neu; ","")&amp;IF(AND(BS344=0,BN344&lt;0),"negativer Bestand (Export "&amp;BN344&amp;"); ","")&amp;IF(J344&lt;=0,"Kein Verbrauch; ","")&amp;IF(CL344&gt;0,"Lift "&amp;W344&amp;" lt. Liftbericht (Fach "&amp;X344&amp;" Stk); ",IF(BX344=1,"Gebinde geschätzt ("&amp;T344&amp;"); ",IF(BW344=1,"Lose – Tablare geschätzt; ","")))&amp;IF(H344&gt;AT344,"Überbestand "&amp;ROUND(H344-AT344,0)&amp;" Stk / CHF "&amp;ROUND((H344-AT344)*G344,0)&amp;"; ","")&amp;IF(AND(CE344=1,CF344&lt;CG344),"MAX &lt; MB+LG; ","")&amp;IF(AND(CK344&gt;0,CJ344*10&gt;CK344),"zu hoch für Tablar; ","")&amp;IF(AND(BS344=0,OR(CE344=1,AA344&lt;&gt;"",U344&lt;&gt;"",V344&lt;&gt;"",AB344&lt;&gt;"")),"manuell übersteuert; ","")&amp;IF(AND(BW344=0,R344=0),"Gebinde unbekannt / Stellmass fehlt; ","")&amp;IF(AND(BW344=0,N(V344)&lt;=0,N(Q344)&lt;=0),"Menge pro Gebinde fehlt (Ist = 1 Gebinde); ","")&amp;BR344)</f>
        <v>Kein Verbrauch; Gebinde geschätzt (Klein); Menge pro Gebinde fehlt (Ist = 1 Gebinde); </v>
      </c>
      <c r="BK344" s="48"/>
      <c r="BL344" s="48"/>
      <c r="BM344" s="55"/>
      <c r="BN344" s="50" t="n">
        <v>25</v>
      </c>
      <c r="BO344" s="50" t="n">
        <v>0</v>
      </c>
      <c r="BP344" s="49" t="n">
        <v>196.75</v>
      </c>
      <c r="BQ344" s="50" t="n">
        <v>0</v>
      </c>
      <c r="BR344" s="48"/>
      <c r="BS344" s="53" t="n">
        <v>0</v>
      </c>
      <c r="BT344" s="53" t="n">
        <v>344</v>
      </c>
      <c r="BU344" s="48" t="str">
        <f aca="false">IF(U344&lt;&gt;"",UPPER(TRIM(U344)),IF(BX344=1,UPPER(VLOOKUP(T344,Parameter!$I$27:$K$29,2,0)),IF(P344="","LOSE",P344)))</f>
        <v>S51</v>
      </c>
      <c r="BV344" s="50" t="n">
        <f aca="false">IF(BU344="LOSE",1,IF(N(V344)&gt;0,V344,IF(BX344=1,MAX(1,N(VLOOKUP(T344,Parameter!$I$27:$K$29,3,0)),H344,N(N344)),IF(N(Q344)&gt;0,Q344,MAX(1,H344)))))</f>
        <v>25</v>
      </c>
      <c r="BW344" s="53" t="n">
        <f aca="false">IF(BU344="LOSE",1,0)</f>
        <v>0</v>
      </c>
      <c r="BX344" s="53" t="n">
        <f aca="false">IF(AND(U344="",OR(P344="",P344="LOSE"),T344&lt;&gt;"",N(S344)&lt;=0,ISNUMBER(MATCH(T344,Parameter!$I$27:$I$29,0))),1,0)</f>
        <v>1</v>
      </c>
      <c r="BY344" s="53" t="n">
        <f aca="false">IF(CL344&gt;0,INDEX(Parameter!$H$5:$H$7,W344)/INDEX(Parameter!$E$5:$E$7,W344),IF(AND(BW344=0,N(IFERROR(VLOOKUP(BU344,'Gebinde-Kategorie'!$A$5:$N$45,14,0),0))&gt;0),VLOOKUP(BU344,'Gebinde-Kategorie'!$A$5:$N$45,14,0)*10+Parameter!$M$23,Parameter!$M$24))</f>
        <v>155</v>
      </c>
      <c r="BZ344" s="48" t="str">
        <f aca="false">IF(AND(Parameter!$B$19="Ja",E344&lt;&gt;"",ISNUMBER(MATCH(E344,Parameter!$I$35:$I$52,0))),VLOOKUP(E344,Parameter!$I$35:$J$52,2,0),IFERROR(VLOOKUP(D344,Parameter!$A$35:$C$64,2,0),"Nein"))</f>
        <v>2+3</v>
      </c>
      <c r="CA344" s="52" t="n">
        <f aca="false">IF(BW344=0,0,IF(N(S344)&gt;0,S344,IFERROR(VLOOKUP(D344,Parameter!$A$35:$C$64,3,0)+0,0)))</f>
        <v>0</v>
      </c>
      <c r="CB344" s="48" t="n">
        <f aca="false">IF(AA344&lt;&gt;"",AA344,Z344)</f>
        <v>3</v>
      </c>
      <c r="CC344" s="48" t="str">
        <f aca="false">IF(OR(CB344=1,CB344=2,CB344=3),IF(Parameter!$E$27="Ja","LIFT",IF(CB344=1,"L1","L23")),IF(CB344="Aussen","Aussen","-"))</f>
        <v>LIFT</v>
      </c>
      <c r="CD344" s="59" t="n">
        <f aca="false">IF(N(AB344)&gt;0,AB344,0)</f>
        <v>0</v>
      </c>
      <c r="CE344" s="53" t="n">
        <f aca="false">IF(ISNUMBER(AE344),1,0)</f>
        <v>0</v>
      </c>
      <c r="CF344" s="50" t="n">
        <f aca="false">N(AE344)</f>
        <v>0</v>
      </c>
      <c r="CG344" s="50" t="n">
        <f aca="false">N(M344)+N(N344)</f>
        <v>5</v>
      </c>
      <c r="CH344" s="50" t="n">
        <f aca="false">ROUNDUP(H344/BV344,0)</f>
        <v>1</v>
      </c>
      <c r="CI344" s="50" t="n">
        <f aca="false">ROUNDUP(CF344/BV344,0)</f>
        <v>0</v>
      </c>
      <c r="CJ344" s="53" t="n">
        <f aca="false">IF(BW344=1,0,IFERROR(VLOOKUP(BU344,'Gebinde-Kategorie'!$A$5:$N$45,5,0)+0,0))</f>
        <v>11</v>
      </c>
      <c r="CK344" s="53" t="n">
        <f aca="false">IFERROR(IF(OR(CB344=1,CB344=2,CB344=3),N(INDEX(Parameter!$I$5:$I$7,CB344)),0),0)</f>
        <v>0</v>
      </c>
      <c r="CL344" s="52" t="n">
        <f aca="false">IF(AND(Parameter!$B$21="Ja",ISNUMBER(W344),N(X344)&gt;0),IFERROR(N(INDEX(Parameter!$L$5:$L$7,W344))*INDEX(Parameter!$E$5:$E$7,W344)*X344/SUMIFS($X$7:$X$1843,$W$7:$W$1843,W344),0),0)</f>
        <v>0</v>
      </c>
    </row>
    <row r="345" customFormat="false" ht="15" hidden="false" customHeight="false" outlineLevel="0" collapsed="false">
      <c r="A345" s="48" t="s">
        <v>850</v>
      </c>
      <c r="B345" s="48" t="s">
        <v>851</v>
      </c>
      <c r="C345" s="48" t="s">
        <v>168</v>
      </c>
      <c r="D345" s="48" t="s">
        <v>188</v>
      </c>
      <c r="E345" s="48" t="s">
        <v>189</v>
      </c>
      <c r="F345" s="48" t="s">
        <v>222</v>
      </c>
      <c r="G345" s="49" t="n">
        <v>32.53</v>
      </c>
      <c r="H345" s="50" t="n">
        <f aca="false">MAX(0,IF(AND(Parameter!$B$21="Ja",ISNUMBER(Y345)),Y345,IF(Parameter!$B$20="Jahresanfang 2025 + Export",BO345+BN345,BN345)))</f>
        <v>16</v>
      </c>
      <c r="I345" s="50" t="n">
        <f aca="false">H345*G345</f>
        <v>520.48</v>
      </c>
      <c r="J345" s="50" t="n">
        <f aca="false">BQ345*Parameter!$B$18</f>
        <v>20</v>
      </c>
      <c r="K345" s="51" t="n">
        <v>10</v>
      </c>
      <c r="L345" s="52" t="n">
        <v>2</v>
      </c>
      <c r="M345" s="50" t="n">
        <v>0</v>
      </c>
      <c r="N345" s="50" t="n">
        <v>20</v>
      </c>
      <c r="O345" s="53" t="n">
        <v>14</v>
      </c>
      <c r="P345" s="48" t="s">
        <v>306</v>
      </c>
      <c r="Q345" s="50" t="n">
        <v>37</v>
      </c>
      <c r="R345" s="53" t="n">
        <f aca="false">IF(BW345=1,0,IFERROR(VLOOKUP(BU345,'Gebinde-Kategorie'!$A$5:$N$45,13,0)+0,0))</f>
        <v>26</v>
      </c>
      <c r="S345" s="54"/>
      <c r="T345" s="55"/>
      <c r="U345" s="55"/>
      <c r="V345" s="55"/>
      <c r="W345" s="48"/>
      <c r="X345" s="50"/>
      <c r="Y345" s="50"/>
      <c r="Z345" s="48" t="n">
        <f aca="false">IF(A345="","",IF(AND(Parameter!$B$21="Ja",ISNUMBER(W345)),W345,IF(BZ345="2+3",IF(ISNUMBER(SEARCH("grosser Artikel",BR345)),2,IFERROR(VLOOKUP(BU345,Parameter!$F$35:$G$64,2,0),2)),IF(OR(BZ345="Nein",BZ345=""),"-",BZ345))))</f>
        <v>3</v>
      </c>
      <c r="AA345" s="55"/>
      <c r="AB345" s="56"/>
      <c r="AC345" s="50" t="n">
        <f aca="false">AT345</f>
        <v>37</v>
      </c>
      <c r="AD345" s="50" t="n">
        <f aca="false">MAX(AT345,H345)</f>
        <v>37</v>
      </c>
      <c r="AE345" s="57"/>
      <c r="AF345" s="50" t="n">
        <f aca="false">IF(LEFT(Cockpit!$C$5,1)="A",H345,IF(CE345=1,CF345,IF(LEFT(Cockpit!$C$5,1)="B",AK345,MAX(AK345,H345))))</f>
        <v>16</v>
      </c>
      <c r="AG345" s="50" t="n">
        <f aca="false">IF(BW345=1,0,ROUNDUP(AF345/BV345,0))</f>
        <v>1</v>
      </c>
      <c r="AH345" s="52" t="n">
        <f aca="false">IF(CL345&gt;0,CL345*MAX(1,AF345/X345),IF(BW345=1,IF(AF345&lt;=0,0,CA345*MAX(1,IF(H345&gt;0,AF345/H345,1))),IF(R345&gt;0,AG345/R345,0))/MAX(0.1,N(Parameter!$M$21)))</f>
        <v>0.0384615384615385</v>
      </c>
      <c r="AI345" s="50" t="n">
        <f aca="false">AH345*BY345</f>
        <v>5.96153846153846</v>
      </c>
      <c r="AJ345" s="50" t="n">
        <f aca="false">AF345*G345</f>
        <v>520.48</v>
      </c>
      <c r="AK345" s="50" t="n">
        <f aca="false">ROUNDUP(MAX(J345/IF(CD345&gt;0,CD345,MAX(0.1,N(Cockpit!$C$6))),CG345)/BV345,0)*BV345</f>
        <v>37</v>
      </c>
      <c r="AL345" s="51" t="n">
        <f aca="false">IF(AI345&gt;0,J345/AI345,-1)</f>
        <v>3.35483870967742</v>
      </c>
      <c r="AM345" s="51" t="n">
        <f aca="false">IF(AND(OR(CC345="L1",CC345="L23",CC345="LIFT"),AI345&gt;0),SUMIFS($AI$7:$AI$1843,$CC$7:$CC$1843,CC345,$AL$7:$AL$1843,"&gt;"&amp;AL345)+SUMIFS($AI$7:$AI$1843,$CC$7:$CC$1843,CC345,$AL$7:$AL$1843,AL345,$BT$7:$BT$1843,"&lt;="&amp;BT345),"")</f>
        <v>4912.36675824176</v>
      </c>
      <c r="AN345" s="58" t="n">
        <f aca="false">IF(AM345="",0,MAX(0,MIN(1,(IF(CC345="L1",Parameter!$H$5,IF(CC345="L23",Parameter!$H$6+Parameter!$H$7,Parameter!$H$5+Parameter!$H$6+Parameter!$H$7))-(AM345-AI345))/AI345)))</f>
        <v>1</v>
      </c>
      <c r="AO345" s="50" t="n">
        <f aca="false">IF(LEFT(Cockpit!$I$5,1)="A",H345,IF(CE345=1,CF345,IF(LEFT(Cockpit!$I$5,1)="B",AT345,MAX(AT345,H345))))</f>
        <v>37</v>
      </c>
      <c r="AP345" s="50" t="n">
        <f aca="false">IF(BW345=1,0,ROUNDUP(AO345/BV345,0))</f>
        <v>1</v>
      </c>
      <c r="AQ345" s="52" t="n">
        <f aca="false">IF(CL345&gt;0,CL345*MAX(1,AO345/X345),IF(BW345=1,IF(AO345&lt;=0,0,CA345*MAX(1,IF(H345&gt;0,AO345/H345,1))),IF(R345&gt;0,AP345/R345,0))/MAX(0.1,N(Parameter!$M$21)))</f>
        <v>0.0384615384615385</v>
      </c>
      <c r="AR345" s="50" t="n">
        <f aca="false">AQ345*BY345</f>
        <v>5.96153846153846</v>
      </c>
      <c r="AS345" s="50" t="n">
        <f aca="false">AO345*G345</f>
        <v>1203.61</v>
      </c>
      <c r="AT345" s="50" t="n">
        <f aca="false">ROUNDUP(MAX(J345/IF(CD345&gt;0,CD345,MAX(0.1,N(Cockpit!$I$6))),CG345)/BV345,0)*BV345</f>
        <v>37</v>
      </c>
      <c r="AU345" s="51" t="n">
        <f aca="false">IF(AR345&gt;0,J345/AR345,-1)</f>
        <v>3.35483870967742</v>
      </c>
      <c r="AV345" s="51" t="n">
        <f aca="false">IF(AND(OR(CC345="L1",CC345="L23",CC345="LIFT"),AR345&gt;0),SUMIFS($AR$7:$AR$1843,$CC$7:$CC$1843,CC345,$AU$7:$AU$1843,"&gt;"&amp;AU345)+SUMIFS($AR$7:$AR$1843,$CC$7:$CC$1843,CC345,$AU$7:$AU$1843,AU345,$BT$7:$BT$1843,"&lt;="&amp;BT345),"")</f>
        <v>6011.14560439561</v>
      </c>
      <c r="AW345" s="58" t="n">
        <f aca="false">IF(AV345="",0,MAX(0,MIN(1,(IF(CC345="L1",Parameter!$H$5,IF(CC345="L23",Parameter!$H$6+Parameter!$H$7,Parameter!$H$5+Parameter!$H$6+Parameter!$H$7))-(AV345-AR345))/AR345)))</f>
        <v>1</v>
      </c>
      <c r="AX345" s="50" t="n">
        <f aca="false">IF(LEFT(Cockpit!$O$5,1)="A",H345,IF(CE345=1,CF345,IF(LEFT(Cockpit!$O$5,1)="B",BC345,MAX(BC345,H345))))</f>
        <v>37</v>
      </c>
      <c r="AY345" s="50" t="n">
        <f aca="false">IF(BW345=1,0,ROUNDUP(AX345/BV345,0))</f>
        <v>1</v>
      </c>
      <c r="AZ345" s="52" t="n">
        <f aca="false">IF(CL345&gt;0,CL345*MAX(1,AX345/X345),IF(BW345=1,IF(AX345&lt;=0,0,CA345*MAX(1,IF(H345&gt;0,AX345/H345,1))),IF(R345&gt;0,AY345/R345,0))/MAX(0.1,N(Parameter!$M$21)))</f>
        <v>0.0384615384615385</v>
      </c>
      <c r="BA345" s="50" t="n">
        <f aca="false">AZ345*BY345</f>
        <v>5.96153846153846</v>
      </c>
      <c r="BB345" s="50" t="n">
        <f aca="false">AX345*G345</f>
        <v>1203.61</v>
      </c>
      <c r="BC345" s="50" t="n">
        <f aca="false">ROUNDUP(MAX(J345/IF(CD345&gt;0,CD345,MAX(0.1,N(Cockpit!$O$6))),CG345)/BV345,0)*BV345</f>
        <v>37</v>
      </c>
      <c r="BD345" s="51" t="n">
        <f aca="false">IF(BA345&gt;0,J345/BA345,-1)</f>
        <v>3.35483870967742</v>
      </c>
      <c r="BE345" s="51" t="n">
        <f aca="false">IF(AND(OR(CC345="L1",CC345="L23",CC345="LIFT"),BA345&gt;0),SUMIFS($BA$7:$BA$1843,$CC$7:$CC$1843,CC345,$BD$7:$BD$1843,"&gt;"&amp;BD345)+SUMIFS($BA$7:$BA$1843,$CC$7:$CC$1843,CC345,$BD$7:$BD$1843,BD345,$BT$7:$BT$1843,"&lt;="&amp;BT345),"")</f>
        <v>5998.98214285714</v>
      </c>
      <c r="BF345" s="58" t="n">
        <f aca="false">IF(BE345="",0,MAX(0,MIN(1,(IF(CC345="L1",Parameter!$H$5,IF(CC345="L23",Parameter!$H$6+Parameter!$H$7,Parameter!$H$5+Parameter!$H$6+Parameter!$H$7))-(BE345-BA345))/BA345)))</f>
        <v>1</v>
      </c>
      <c r="BG345" s="48" t="str">
        <f aca="false">IF(AI345&lt;=0,"",IF(CC345="Aussen","Aussenlager",IF(CC345="-","Nicht im Lift",IF(AN345&gt;=1,"Lift",IF(AN345&lt;=0,"Aussenlager","teilweise")))))</f>
        <v>Lift</v>
      </c>
      <c r="BH345" s="48" t="str">
        <f aca="false">IF(AR345&lt;=0,"",IF(CC345="Aussen","Aussenlager",IF(CC345="-","Nicht im Lift",IF(AW345&gt;=1,"Lift",IF(AW345&lt;=0,"Aussenlager","teilweise")))))</f>
        <v>Lift</v>
      </c>
      <c r="BI345" s="48" t="str">
        <f aca="false">IF(BA345&lt;=0,"",IF(CC345="Aussen","Aussenlager",IF(CC345="-","Nicht im Lift",IF(BF345&gt;=1,"Lift",IF(BF345&lt;=0,"Aussenlager","teilweise")))))</f>
        <v>Lift</v>
      </c>
      <c r="BJ345" s="48" t="str">
        <f aca="false">IF(A345="","",IF(BS345=1,"Neu; ","")&amp;IF(AND(BS345=0,BN345&lt;0),"negativer Bestand (Export "&amp;BN345&amp;"); ","")&amp;IF(J345&lt;=0,"Kein Verbrauch; ","")&amp;IF(CL345&gt;0,"Lift "&amp;W345&amp;" lt. Liftbericht (Fach "&amp;X345&amp;" Stk); ",IF(BX345=1,"Gebinde geschätzt ("&amp;T345&amp;"); ",IF(BW345=1,"Lose – Tablare geschätzt; ","")))&amp;IF(H345&gt;AT345,"Überbestand "&amp;ROUND(H345-AT345,0)&amp;" Stk / CHF "&amp;ROUND((H345-AT345)*G345,0)&amp;"; ","")&amp;IF(AND(CE345=1,CF345&lt;CG345),"MAX &lt; MB+LG; ","")&amp;IF(AND(CK345&gt;0,CJ345*10&gt;CK345),"zu hoch für Tablar; ","")&amp;IF(AND(BS345=0,OR(CE345=1,AA345&lt;&gt;"",U345&lt;&gt;"",V345&lt;&gt;"",AB345&lt;&gt;"")),"manuell übersteuert; ","")&amp;IF(AND(BW345=0,R345=0),"Gebinde unbekannt / Stellmass fehlt; ","")&amp;IF(AND(BW345=0,N(V345)&lt;=0,N(Q345)&lt;=0),"Menge pro Gebinde fehlt (Ist = 1 Gebinde); ","")&amp;BR345)</f>
        <v/>
      </c>
      <c r="BK345" s="48"/>
      <c r="BL345" s="48"/>
      <c r="BM345" s="55"/>
      <c r="BN345" s="50" t="n">
        <v>6</v>
      </c>
      <c r="BO345" s="50" t="n">
        <v>10</v>
      </c>
      <c r="BP345" s="49" t="n">
        <v>195.58</v>
      </c>
      <c r="BQ345" s="50" t="n">
        <v>20</v>
      </c>
      <c r="BR345" s="48"/>
      <c r="BS345" s="53" t="n">
        <v>0</v>
      </c>
      <c r="BT345" s="53" t="n">
        <v>345</v>
      </c>
      <c r="BU345" s="48" t="str">
        <f aca="false">IF(U345&lt;&gt;"",UPPER(TRIM(U345)),IF(BX345=1,UPPER(VLOOKUP(T345,Parameter!$I$27:$K$29,2,0)),IF(P345="","LOSE",P345)))</f>
        <v>S51</v>
      </c>
      <c r="BV345" s="50" t="n">
        <f aca="false">IF(BU345="LOSE",1,IF(N(V345)&gt;0,V345,IF(BX345=1,MAX(1,N(VLOOKUP(T345,Parameter!$I$27:$K$29,3,0)),H345,N(N345)),IF(N(Q345)&gt;0,Q345,MAX(1,H345)))))</f>
        <v>37</v>
      </c>
      <c r="BW345" s="53" t="n">
        <f aca="false">IF(BU345="LOSE",1,0)</f>
        <v>0</v>
      </c>
      <c r="BX345" s="53" t="n">
        <f aca="false">IF(AND(U345="",OR(P345="",P345="LOSE"),T345&lt;&gt;"",N(S345)&lt;=0,ISNUMBER(MATCH(T345,Parameter!$I$27:$I$29,0))),1,0)</f>
        <v>0</v>
      </c>
      <c r="BY345" s="53" t="n">
        <f aca="false">IF(CL345&gt;0,INDEX(Parameter!$H$5:$H$7,W345)/INDEX(Parameter!$E$5:$E$7,W345),IF(AND(BW345=0,N(IFERROR(VLOOKUP(BU345,'Gebinde-Kategorie'!$A$5:$N$45,14,0),0))&gt;0),VLOOKUP(BU345,'Gebinde-Kategorie'!$A$5:$N$45,14,0)*10+Parameter!$M$23,Parameter!$M$24))</f>
        <v>155</v>
      </c>
      <c r="BZ345" s="48" t="str">
        <f aca="false">IF(AND(Parameter!$B$19="Ja",E345&lt;&gt;"",ISNUMBER(MATCH(E345,Parameter!$I$35:$I$52,0))),VLOOKUP(E345,Parameter!$I$35:$J$52,2,0),IFERROR(VLOOKUP(D345,Parameter!$A$35:$C$64,2,0),"Nein"))</f>
        <v>2+3</v>
      </c>
      <c r="CA345" s="52" t="n">
        <f aca="false">IF(BW345=0,0,IF(N(S345)&gt;0,S345,IFERROR(VLOOKUP(D345,Parameter!$A$35:$C$64,3,0)+0,0)))</f>
        <v>0</v>
      </c>
      <c r="CB345" s="48" t="n">
        <f aca="false">IF(AA345&lt;&gt;"",AA345,Z345)</f>
        <v>3</v>
      </c>
      <c r="CC345" s="48" t="str">
        <f aca="false">IF(OR(CB345=1,CB345=2,CB345=3),IF(Parameter!$E$27="Ja","LIFT",IF(CB345=1,"L1","L23")),IF(CB345="Aussen","Aussen","-"))</f>
        <v>LIFT</v>
      </c>
      <c r="CD345" s="59" t="n">
        <f aca="false">IF(N(AB345)&gt;0,AB345,0)</f>
        <v>0</v>
      </c>
      <c r="CE345" s="53" t="n">
        <f aca="false">IF(ISNUMBER(AE345),1,0)</f>
        <v>0</v>
      </c>
      <c r="CF345" s="50" t="n">
        <f aca="false">N(AE345)</f>
        <v>0</v>
      </c>
      <c r="CG345" s="50" t="n">
        <f aca="false">N(M345)+N(N345)</f>
        <v>20</v>
      </c>
      <c r="CH345" s="50" t="n">
        <f aca="false">ROUNDUP(H345/BV345,0)</f>
        <v>1</v>
      </c>
      <c r="CI345" s="50" t="n">
        <f aca="false">ROUNDUP(CF345/BV345,0)</f>
        <v>0</v>
      </c>
      <c r="CJ345" s="53" t="n">
        <f aca="false">IF(BW345=1,0,IFERROR(VLOOKUP(BU345,'Gebinde-Kategorie'!$A$5:$N$45,5,0)+0,0))</f>
        <v>11</v>
      </c>
      <c r="CK345" s="53" t="n">
        <f aca="false">IFERROR(IF(OR(CB345=1,CB345=2,CB345=3),N(INDEX(Parameter!$I$5:$I$7,CB345)),0),0)</f>
        <v>0</v>
      </c>
      <c r="CL345" s="52" t="n">
        <f aca="false">IF(AND(Parameter!$B$21="Ja",ISNUMBER(W345),N(X345)&gt;0),IFERROR(N(INDEX(Parameter!$L$5:$L$7,W345))*INDEX(Parameter!$E$5:$E$7,W345)*X345/SUMIFS($X$7:$X$1843,$W$7:$W$1843,W345),0),0)</f>
        <v>0</v>
      </c>
    </row>
    <row r="346" customFormat="false" ht="15" hidden="false" customHeight="false" outlineLevel="0" collapsed="false">
      <c r="A346" s="48" t="s">
        <v>852</v>
      </c>
      <c r="B346" s="48" t="s">
        <v>853</v>
      </c>
      <c r="C346" s="48" t="s">
        <v>168</v>
      </c>
      <c r="D346" s="48" t="s">
        <v>854</v>
      </c>
      <c r="E346" s="48"/>
      <c r="F346" s="48" t="s">
        <v>222</v>
      </c>
      <c r="G346" s="49" t="n">
        <v>32.1</v>
      </c>
      <c r="H346" s="50" t="n">
        <f aca="false">MAX(0,IF(AND(Parameter!$B$21="Ja",ISNUMBER(Y346)),Y346,IF(Parameter!$B$20="Jahresanfang 2025 + Export",BO346+BN346,BN346)))</f>
        <v>6</v>
      </c>
      <c r="I346" s="50" t="n">
        <f aca="false">H346*G346</f>
        <v>192.6</v>
      </c>
      <c r="J346" s="50" t="n">
        <f aca="false">BQ346*Parameter!$B$18</f>
        <v>6</v>
      </c>
      <c r="K346" s="51" t="n">
        <v>0</v>
      </c>
      <c r="L346" s="52" t="n">
        <v>0</v>
      </c>
      <c r="M346" s="50" t="n">
        <v>0</v>
      </c>
      <c r="N346" s="50" t="n">
        <v>6</v>
      </c>
      <c r="O346" s="53" t="n">
        <v>14</v>
      </c>
      <c r="P346" s="48" t="s">
        <v>172</v>
      </c>
      <c r="Q346" s="50"/>
      <c r="R346" s="53" t="n">
        <f aca="false">IF(BW346=1,0,IFERROR(VLOOKUP(BU346,'Gebinde-Kategorie'!$A$5:$N$45,13,0)+0,0))</f>
        <v>0</v>
      </c>
      <c r="S346" s="54"/>
      <c r="T346" s="55"/>
      <c r="U346" s="55"/>
      <c r="V346" s="55"/>
      <c r="W346" s="48"/>
      <c r="X346" s="50"/>
      <c r="Y346" s="50"/>
      <c r="Z346" s="48" t="str">
        <f aca="false">IF(A346="","",IF(AND(Parameter!$B$21="Ja",ISNUMBER(W346)),W346,IF(BZ346="2+3",IF(ISNUMBER(SEARCH("grosser Artikel",BR346)),2,IFERROR(VLOOKUP(BU346,Parameter!$F$35:$G$64,2,0),2)),IF(OR(BZ346="Nein",BZ346=""),"-",BZ346))))</f>
        <v>-</v>
      </c>
      <c r="AA346" s="55"/>
      <c r="AB346" s="56"/>
      <c r="AC346" s="50" t="n">
        <f aca="false">AT346</f>
        <v>6</v>
      </c>
      <c r="AD346" s="50" t="n">
        <f aca="false">MAX(AT346,H346)</f>
        <v>6</v>
      </c>
      <c r="AE346" s="57"/>
      <c r="AF346" s="50" t="n">
        <f aca="false">IF(LEFT(Cockpit!$C$5,1)="A",H346,IF(CE346=1,CF346,IF(LEFT(Cockpit!$C$5,1)="B",AK346,MAX(AK346,H346))))</f>
        <v>6</v>
      </c>
      <c r="AG346" s="50" t="n">
        <f aca="false">IF(BW346=1,0,ROUNDUP(AF346/BV346,0))</f>
        <v>0</v>
      </c>
      <c r="AH346" s="52" t="n">
        <f aca="false">IF(CL346&gt;0,CL346*MAX(1,AF346/X346),IF(BW346=1,IF(AF346&lt;=0,0,CA346*MAX(1,IF(H346&gt;0,AF346/H346,1))),IF(R346&gt;0,AG346/R346,0))/MAX(0.1,N(Parameter!$M$21)))</f>
        <v>0.15</v>
      </c>
      <c r="AI346" s="50" t="n">
        <f aca="false">AH346*BY346</f>
        <v>35.25</v>
      </c>
      <c r="AJ346" s="50" t="n">
        <f aca="false">AF346*G346</f>
        <v>192.6</v>
      </c>
      <c r="AK346" s="50" t="n">
        <f aca="false">ROUNDUP(MAX(J346/IF(CD346&gt;0,CD346,MAX(0.1,N(Cockpit!$C$6))),CG346)/BV346,0)*BV346</f>
        <v>6</v>
      </c>
      <c r="AL346" s="51" t="n">
        <f aca="false">IF(AI346&gt;0,J346/AI346,-1)</f>
        <v>0.170212765957447</v>
      </c>
      <c r="AM346" s="51" t="str">
        <f aca="false">IF(AND(OR(CC346="L1",CC346="L23",CC346="LIFT"),AI346&gt;0),SUMIFS($AI$7:$AI$1843,$CC$7:$CC$1843,CC346,$AL$7:$AL$1843,"&gt;"&amp;AL346)+SUMIFS($AI$7:$AI$1843,$CC$7:$CC$1843,CC346,$AL$7:$AL$1843,AL346,$BT$7:$BT$1843,"&lt;="&amp;BT346),"")</f>
        <v/>
      </c>
      <c r="AN346" s="58" t="n">
        <f aca="false">IF(AM346="",0,MAX(0,MIN(1,(IF(CC346="L1",Parameter!$H$5,IF(CC346="L23",Parameter!$H$6+Parameter!$H$7,Parameter!$H$5+Parameter!$H$6+Parameter!$H$7))-(AM346-AI346))/AI346)))</f>
        <v>0</v>
      </c>
      <c r="AO346" s="50" t="n">
        <f aca="false">IF(LEFT(Cockpit!$I$5,1)="A",H346,IF(CE346=1,CF346,IF(LEFT(Cockpit!$I$5,1)="B",AT346,MAX(AT346,H346))))</f>
        <v>6</v>
      </c>
      <c r="AP346" s="50" t="n">
        <f aca="false">IF(BW346=1,0,ROUNDUP(AO346/BV346,0))</f>
        <v>0</v>
      </c>
      <c r="AQ346" s="52" t="n">
        <f aca="false">IF(CL346&gt;0,CL346*MAX(1,AO346/X346),IF(BW346=1,IF(AO346&lt;=0,0,CA346*MAX(1,IF(H346&gt;0,AO346/H346,1))),IF(R346&gt;0,AP346/R346,0))/MAX(0.1,N(Parameter!$M$21)))</f>
        <v>0.15</v>
      </c>
      <c r="AR346" s="50" t="n">
        <f aca="false">AQ346*BY346</f>
        <v>35.25</v>
      </c>
      <c r="AS346" s="50" t="n">
        <f aca="false">AO346*G346</f>
        <v>192.6</v>
      </c>
      <c r="AT346" s="50" t="n">
        <f aca="false">ROUNDUP(MAX(J346/IF(CD346&gt;0,CD346,MAX(0.1,N(Cockpit!$I$6))),CG346)/BV346,0)*BV346</f>
        <v>6</v>
      </c>
      <c r="AU346" s="51" t="n">
        <f aca="false">IF(AR346&gt;0,J346/AR346,-1)</f>
        <v>0.170212765957447</v>
      </c>
      <c r="AV346" s="51" t="str">
        <f aca="false">IF(AND(OR(CC346="L1",CC346="L23",CC346="LIFT"),AR346&gt;0),SUMIFS($AR$7:$AR$1843,$CC$7:$CC$1843,CC346,$AU$7:$AU$1843,"&gt;"&amp;AU346)+SUMIFS($AR$7:$AR$1843,$CC$7:$CC$1843,CC346,$AU$7:$AU$1843,AU346,$BT$7:$BT$1843,"&lt;="&amp;BT346),"")</f>
        <v/>
      </c>
      <c r="AW346" s="58" t="n">
        <f aca="false">IF(AV346="",0,MAX(0,MIN(1,(IF(CC346="L1",Parameter!$H$5,IF(CC346="L23",Parameter!$H$6+Parameter!$H$7,Parameter!$H$5+Parameter!$H$6+Parameter!$H$7))-(AV346-AR346))/AR346)))</f>
        <v>0</v>
      </c>
      <c r="AX346" s="50" t="n">
        <f aca="false">IF(LEFT(Cockpit!$O$5,1)="A",H346,IF(CE346=1,CF346,IF(LEFT(Cockpit!$O$5,1)="B",BC346,MAX(BC346,H346))))</f>
        <v>6</v>
      </c>
      <c r="AY346" s="50" t="n">
        <f aca="false">IF(BW346=1,0,ROUNDUP(AX346/BV346,0))</f>
        <v>0</v>
      </c>
      <c r="AZ346" s="52" t="n">
        <f aca="false">IF(CL346&gt;0,CL346*MAX(1,AX346/X346),IF(BW346=1,IF(AX346&lt;=0,0,CA346*MAX(1,IF(H346&gt;0,AX346/H346,1))),IF(R346&gt;0,AY346/R346,0))/MAX(0.1,N(Parameter!$M$21)))</f>
        <v>0.15</v>
      </c>
      <c r="BA346" s="50" t="n">
        <f aca="false">AZ346*BY346</f>
        <v>35.25</v>
      </c>
      <c r="BB346" s="50" t="n">
        <f aca="false">AX346*G346</f>
        <v>192.6</v>
      </c>
      <c r="BC346" s="50" t="n">
        <f aca="false">ROUNDUP(MAX(J346/IF(CD346&gt;0,CD346,MAX(0.1,N(Cockpit!$O$6))),CG346)/BV346,0)*BV346</f>
        <v>6</v>
      </c>
      <c r="BD346" s="51" t="n">
        <f aca="false">IF(BA346&gt;0,J346/BA346,-1)</f>
        <v>0.170212765957447</v>
      </c>
      <c r="BE346" s="51" t="str">
        <f aca="false">IF(AND(OR(CC346="L1",CC346="L23",CC346="LIFT"),BA346&gt;0),SUMIFS($BA$7:$BA$1843,$CC$7:$CC$1843,CC346,$BD$7:$BD$1843,"&gt;"&amp;BD346)+SUMIFS($BA$7:$BA$1843,$CC$7:$CC$1843,CC346,$BD$7:$BD$1843,BD346,$BT$7:$BT$1843,"&lt;="&amp;BT346),"")</f>
        <v/>
      </c>
      <c r="BF346" s="58" t="n">
        <f aca="false">IF(BE346="",0,MAX(0,MIN(1,(IF(CC346="L1",Parameter!$H$5,IF(CC346="L23",Parameter!$H$6+Parameter!$H$7,Parameter!$H$5+Parameter!$H$6+Parameter!$H$7))-(BE346-BA346))/BA346)))</f>
        <v>0</v>
      </c>
      <c r="BG346" s="48" t="str">
        <f aca="false">IF(AI346&lt;=0,"",IF(CC346="Aussen","Aussenlager",IF(CC346="-","Nicht im Lift",IF(AN346&gt;=1,"Lift",IF(AN346&lt;=0,"Aussenlager","teilweise")))))</f>
        <v>Nicht im Lift</v>
      </c>
      <c r="BH346" s="48" t="str">
        <f aca="false">IF(AR346&lt;=0,"",IF(CC346="Aussen","Aussenlager",IF(CC346="-","Nicht im Lift",IF(AW346&gt;=1,"Lift",IF(AW346&lt;=0,"Aussenlager","teilweise")))))</f>
        <v>Nicht im Lift</v>
      </c>
      <c r="BI346" s="48" t="str">
        <f aca="false">IF(BA346&lt;=0,"",IF(CC346="Aussen","Aussenlager",IF(CC346="-","Nicht im Lift",IF(BF346&gt;=1,"Lift",IF(BF346&lt;=0,"Aussenlager","teilweise")))))</f>
        <v>Nicht im Lift</v>
      </c>
      <c r="BJ346" s="48" t="str">
        <f aca="false">IF(A346="","",IF(BS346=1,"Neu; ","")&amp;IF(AND(BS346=0,BN346&lt;0),"negativer Bestand (Export "&amp;BN346&amp;"); ","")&amp;IF(J346&lt;=0,"Kein Verbrauch; ","")&amp;IF(CL346&gt;0,"Lift "&amp;W346&amp;" lt. Liftbericht (Fach "&amp;X346&amp;" Stk); ",IF(BX346=1,"Gebinde geschätzt ("&amp;T346&amp;"); ",IF(BW346=1,"Lose – Tablare geschätzt; ","")))&amp;IF(H346&gt;AT346,"Überbestand "&amp;ROUND(H346-AT346,0)&amp;" Stk / CHF "&amp;ROUND((H346-AT346)*G346,0)&amp;"; ","")&amp;IF(AND(CE346=1,CF346&lt;CG346),"MAX &lt; MB+LG; ","")&amp;IF(AND(CK346&gt;0,CJ346*10&gt;CK346),"zu hoch für Tablar; ","")&amp;IF(AND(BS346=0,OR(CE346=1,AA346&lt;&gt;"",U346&lt;&gt;"",V346&lt;&gt;"",AB346&lt;&gt;"")),"manuell übersteuert; ","")&amp;IF(AND(BW346=0,R346=0),"Gebinde unbekannt / Stellmass fehlt; ","")&amp;IF(AND(BW346=0,N(V346)&lt;=0,N(Q346)&lt;=0),"Menge pro Gebinde fehlt (Ist = 1 Gebinde); ","")&amp;BR346)</f>
        <v>Lose – Tablare geschätzt; </v>
      </c>
      <c r="BK346" s="48"/>
      <c r="BL346" s="48"/>
      <c r="BM346" s="55"/>
      <c r="BN346" s="50" t="n">
        <v>6</v>
      </c>
      <c r="BO346" s="50" t="n">
        <v>0</v>
      </c>
      <c r="BP346" s="49" t="n">
        <v>192.6</v>
      </c>
      <c r="BQ346" s="50" t="n">
        <v>6</v>
      </c>
      <c r="BR346" s="48"/>
      <c r="BS346" s="53" t="n">
        <v>0</v>
      </c>
      <c r="BT346" s="53" t="n">
        <v>346</v>
      </c>
      <c r="BU346" s="48" t="str">
        <f aca="false">IF(U346&lt;&gt;"",UPPER(TRIM(U346)),IF(BX346=1,UPPER(VLOOKUP(T346,Parameter!$I$27:$K$29,2,0)),IF(P346="","LOSE",P346)))</f>
        <v>LOSE</v>
      </c>
      <c r="BV346" s="50" t="n">
        <f aca="false">IF(BU346="LOSE",1,IF(N(V346)&gt;0,V346,IF(BX346=1,MAX(1,N(VLOOKUP(T346,Parameter!$I$27:$K$29,3,0)),H346,N(N346)),IF(N(Q346)&gt;0,Q346,MAX(1,H346)))))</f>
        <v>1</v>
      </c>
      <c r="BW346" s="53" t="n">
        <f aca="false">IF(BU346="LOSE",1,0)</f>
        <v>1</v>
      </c>
      <c r="BX346" s="53" t="n">
        <f aca="false">IF(AND(U346="",OR(P346="",P346="LOSE"),T346&lt;&gt;"",N(S346)&lt;=0,ISNUMBER(MATCH(T346,Parameter!$I$27:$I$29,0))),1,0)</f>
        <v>0</v>
      </c>
      <c r="BY346" s="53" t="n">
        <f aca="false">IF(CL346&gt;0,INDEX(Parameter!$H$5:$H$7,W346)/INDEX(Parameter!$E$5:$E$7,W346),IF(AND(BW346=0,N(IFERROR(VLOOKUP(BU346,'Gebinde-Kategorie'!$A$5:$N$45,14,0),0))&gt;0),VLOOKUP(BU346,'Gebinde-Kategorie'!$A$5:$N$45,14,0)*10+Parameter!$M$23,Parameter!$M$24))</f>
        <v>235</v>
      </c>
      <c r="BZ346" s="48" t="str">
        <f aca="false">IF(AND(Parameter!$B$19="Ja",E346&lt;&gt;"",ISNUMBER(MATCH(E346,Parameter!$I$35:$I$52,0))),VLOOKUP(E346,Parameter!$I$35:$J$52,2,0),IFERROR(VLOOKUP(D346,Parameter!$A$35:$C$64,2,0),"Nein"))</f>
        <v>Nein</v>
      </c>
      <c r="CA346" s="52" t="n">
        <f aca="false">IF(BW346=0,0,IF(N(S346)&gt;0,S346,IFERROR(VLOOKUP(D346,Parameter!$A$35:$C$64,3,0)+0,0)))</f>
        <v>0.15</v>
      </c>
      <c r="CB346" s="48" t="str">
        <f aca="false">IF(AA346&lt;&gt;"",AA346,Z346)</f>
        <v>-</v>
      </c>
      <c r="CC346" s="48" t="str">
        <f aca="false">IF(OR(CB346=1,CB346=2,CB346=3),IF(Parameter!$E$27="Ja","LIFT",IF(CB346=1,"L1","L23")),IF(CB346="Aussen","Aussen","-"))</f>
        <v>-</v>
      </c>
      <c r="CD346" s="59" t="n">
        <f aca="false">IF(N(AB346)&gt;0,AB346,0)</f>
        <v>0</v>
      </c>
      <c r="CE346" s="53" t="n">
        <f aca="false">IF(ISNUMBER(AE346),1,0)</f>
        <v>0</v>
      </c>
      <c r="CF346" s="50" t="n">
        <f aca="false">N(AE346)</f>
        <v>0</v>
      </c>
      <c r="CG346" s="50" t="n">
        <f aca="false">N(M346)+N(N346)</f>
        <v>6</v>
      </c>
      <c r="CH346" s="50" t="n">
        <f aca="false">ROUNDUP(H346/BV346,0)</f>
        <v>6</v>
      </c>
      <c r="CI346" s="50" t="n">
        <f aca="false">ROUNDUP(CF346/BV346,0)</f>
        <v>0</v>
      </c>
      <c r="CJ346" s="53" t="n">
        <f aca="false">IF(BW346=1,0,IFERROR(VLOOKUP(BU346,'Gebinde-Kategorie'!$A$5:$N$45,5,0)+0,0))</f>
        <v>0</v>
      </c>
      <c r="CK346" s="53" t="n">
        <f aca="false">IFERROR(IF(OR(CB346=1,CB346=2,CB346=3),N(INDEX(Parameter!$I$5:$I$7,CB346)),0),0)</f>
        <v>0</v>
      </c>
      <c r="CL346" s="52" t="n">
        <f aca="false">IF(AND(Parameter!$B$21="Ja",ISNUMBER(W346),N(X346)&gt;0),IFERROR(N(INDEX(Parameter!$L$5:$L$7,W346))*INDEX(Parameter!$E$5:$E$7,W346)*X346/SUMIFS($X$7:$X$1843,$W$7:$W$1843,W346),0),0)</f>
        <v>0</v>
      </c>
    </row>
    <row r="347" customFormat="false" ht="15" hidden="false" customHeight="false" outlineLevel="0" collapsed="false">
      <c r="A347" s="48" t="s">
        <v>855</v>
      </c>
      <c r="B347" s="48" t="s">
        <v>856</v>
      </c>
      <c r="C347" s="48" t="s">
        <v>168</v>
      </c>
      <c r="D347" s="48" t="s">
        <v>188</v>
      </c>
      <c r="E347" s="48" t="s">
        <v>189</v>
      </c>
      <c r="F347" s="48" t="s">
        <v>222</v>
      </c>
      <c r="G347" s="49" t="n">
        <v>5.4</v>
      </c>
      <c r="H347" s="50" t="n">
        <f aca="false">MAX(0,IF(AND(Parameter!$B$21="Ja",ISNUMBER(Y347)),Y347,IF(Parameter!$B$20="Jahresanfang 2025 + Export",BO347+BN347,BN347)))</f>
        <v>47</v>
      </c>
      <c r="I347" s="50" t="n">
        <f aca="false">H347*G347</f>
        <v>253.8</v>
      </c>
      <c r="J347" s="50" t="n">
        <f aca="false">BQ347*Parameter!$B$18</f>
        <v>50</v>
      </c>
      <c r="K347" s="51" t="n">
        <v>11</v>
      </c>
      <c r="L347" s="52" t="n">
        <v>4.54545454545455</v>
      </c>
      <c r="M347" s="50" t="n">
        <v>1</v>
      </c>
      <c r="N347" s="50" t="n">
        <v>50</v>
      </c>
      <c r="O347" s="53" t="n">
        <v>14</v>
      </c>
      <c r="P347" s="48" t="s">
        <v>306</v>
      </c>
      <c r="Q347" s="50" t="n">
        <v>30</v>
      </c>
      <c r="R347" s="53" t="n">
        <f aca="false">IF(BW347=1,0,IFERROR(VLOOKUP(BU347,'Gebinde-Kategorie'!$A$5:$N$45,13,0)+0,0))</f>
        <v>26</v>
      </c>
      <c r="S347" s="54"/>
      <c r="T347" s="55"/>
      <c r="U347" s="55"/>
      <c r="V347" s="55"/>
      <c r="W347" s="48"/>
      <c r="X347" s="50"/>
      <c r="Y347" s="50"/>
      <c r="Z347" s="48" t="n">
        <f aca="false">IF(A347="","",IF(AND(Parameter!$B$21="Ja",ISNUMBER(W347)),W347,IF(BZ347="2+3",IF(ISNUMBER(SEARCH("grosser Artikel",BR347)),2,IFERROR(VLOOKUP(BU347,Parameter!$F$35:$G$64,2,0),2)),IF(OR(BZ347="Nein",BZ347=""),"-",BZ347))))</f>
        <v>3</v>
      </c>
      <c r="AA347" s="55"/>
      <c r="AB347" s="56"/>
      <c r="AC347" s="50" t="n">
        <f aca="false">AT347</f>
        <v>60</v>
      </c>
      <c r="AD347" s="50" t="n">
        <f aca="false">MAX(AT347,H347)</f>
        <v>60</v>
      </c>
      <c r="AE347" s="57"/>
      <c r="AF347" s="50" t="n">
        <f aca="false">IF(LEFT(Cockpit!$C$5,1)="A",H347,IF(CE347=1,CF347,IF(LEFT(Cockpit!$C$5,1)="B",AK347,MAX(AK347,H347))))</f>
        <v>47</v>
      </c>
      <c r="AG347" s="50" t="n">
        <f aca="false">IF(BW347=1,0,ROUNDUP(AF347/BV347,0))</f>
        <v>2</v>
      </c>
      <c r="AH347" s="52" t="n">
        <f aca="false">IF(CL347&gt;0,CL347*MAX(1,AF347/X347),IF(BW347=1,IF(AF347&lt;=0,0,CA347*MAX(1,IF(H347&gt;0,AF347/H347,1))),IF(R347&gt;0,AG347/R347,0))/MAX(0.1,N(Parameter!$M$21)))</f>
        <v>0.0769230769230769</v>
      </c>
      <c r="AI347" s="50" t="n">
        <f aca="false">AH347*BY347</f>
        <v>11.9230769230769</v>
      </c>
      <c r="AJ347" s="50" t="n">
        <f aca="false">AF347*G347</f>
        <v>253.8</v>
      </c>
      <c r="AK347" s="50" t="n">
        <f aca="false">ROUNDUP(MAX(J347/IF(CD347&gt;0,CD347,MAX(0.1,N(Cockpit!$C$6))),CG347)/BV347,0)*BV347</f>
        <v>60</v>
      </c>
      <c r="AL347" s="51" t="n">
        <f aca="false">IF(AI347&gt;0,J347/AI347,-1)</f>
        <v>4.19354838709677</v>
      </c>
      <c r="AM347" s="51" t="n">
        <f aca="false">IF(AND(OR(CC347="L1",CC347="L23",CC347="LIFT"),AI347&gt;0),SUMIFS($AI$7:$AI$1843,$CC$7:$CC$1843,CC347,$AL$7:$AL$1843,"&gt;"&amp;AL347)+SUMIFS($AI$7:$AI$1843,$CC$7:$CC$1843,CC347,$AL$7:$AL$1843,AL347,$BT$7:$BT$1843,"&lt;="&amp;BT347),"")</f>
        <v>4198.4967948718</v>
      </c>
      <c r="AN347" s="58" t="n">
        <f aca="false">IF(AM347="",0,MAX(0,MIN(1,(IF(CC347="L1",Parameter!$H$5,IF(CC347="L23",Parameter!$H$6+Parameter!$H$7,Parameter!$H$5+Parameter!$H$6+Parameter!$H$7))-(AM347-AI347))/AI347)))</f>
        <v>1</v>
      </c>
      <c r="AO347" s="50" t="n">
        <f aca="false">IF(LEFT(Cockpit!$I$5,1)="A",H347,IF(CE347=1,CF347,IF(LEFT(Cockpit!$I$5,1)="B",AT347,MAX(AT347,H347))))</f>
        <v>60</v>
      </c>
      <c r="AP347" s="50" t="n">
        <f aca="false">IF(BW347=1,0,ROUNDUP(AO347/BV347,0))</f>
        <v>2</v>
      </c>
      <c r="AQ347" s="52" t="n">
        <f aca="false">IF(CL347&gt;0,CL347*MAX(1,AO347/X347),IF(BW347=1,IF(AO347&lt;=0,0,CA347*MAX(1,IF(H347&gt;0,AO347/H347,1))),IF(R347&gt;0,AP347/R347,0))/MAX(0.1,N(Parameter!$M$21)))</f>
        <v>0.0769230769230769</v>
      </c>
      <c r="AR347" s="50" t="n">
        <f aca="false">AQ347*BY347</f>
        <v>11.9230769230769</v>
      </c>
      <c r="AS347" s="50" t="n">
        <f aca="false">AO347*G347</f>
        <v>324</v>
      </c>
      <c r="AT347" s="50" t="n">
        <f aca="false">ROUNDUP(MAX(J347/IF(CD347&gt;0,CD347,MAX(0.1,N(Cockpit!$I$6))),CG347)/BV347,0)*BV347</f>
        <v>60</v>
      </c>
      <c r="AU347" s="51" t="n">
        <f aca="false">IF(AR347&gt;0,J347/AR347,-1)</f>
        <v>4.19354838709677</v>
      </c>
      <c r="AV347" s="51" t="n">
        <f aca="false">IF(AND(OR(CC347="L1",CC347="L23",CC347="LIFT"),AR347&gt;0),SUMIFS($AR$7:$AR$1843,$CC$7:$CC$1843,CC347,$AU$7:$AU$1843,"&gt;"&amp;AU347)+SUMIFS($AR$7:$AR$1843,$CC$7:$CC$1843,CC347,$AU$7:$AU$1843,AU347,$BT$7:$BT$1843,"&lt;="&amp;BT347),"")</f>
        <v>5493.97023809524</v>
      </c>
      <c r="AW347" s="58" t="n">
        <f aca="false">IF(AV347="",0,MAX(0,MIN(1,(IF(CC347="L1",Parameter!$H$5,IF(CC347="L23",Parameter!$H$6+Parameter!$H$7,Parameter!$H$5+Parameter!$H$6+Parameter!$H$7))-(AV347-AR347))/AR347)))</f>
        <v>1</v>
      </c>
      <c r="AX347" s="50" t="n">
        <f aca="false">IF(LEFT(Cockpit!$O$5,1)="A",H347,IF(CE347=1,CF347,IF(LEFT(Cockpit!$O$5,1)="B",BC347,MAX(BC347,H347))))</f>
        <v>60</v>
      </c>
      <c r="AY347" s="50" t="n">
        <f aca="false">IF(BW347=1,0,ROUNDUP(AX347/BV347,0))</f>
        <v>2</v>
      </c>
      <c r="AZ347" s="52" t="n">
        <f aca="false">IF(CL347&gt;0,CL347*MAX(1,AX347/X347),IF(BW347=1,IF(AX347&lt;=0,0,CA347*MAX(1,IF(H347&gt;0,AX347/H347,1))),IF(R347&gt;0,AY347/R347,0))/MAX(0.1,N(Parameter!$M$21)))</f>
        <v>0.0769230769230769</v>
      </c>
      <c r="BA347" s="50" t="n">
        <f aca="false">AZ347*BY347</f>
        <v>11.9230769230769</v>
      </c>
      <c r="BB347" s="50" t="n">
        <f aca="false">AX347*G347</f>
        <v>324</v>
      </c>
      <c r="BC347" s="50" t="n">
        <f aca="false">ROUNDUP(MAX(J347/IF(CD347&gt;0,CD347,MAX(0.1,N(Cockpit!$O$6))),CG347)/BV347,0)*BV347</f>
        <v>60</v>
      </c>
      <c r="BD347" s="51" t="n">
        <f aca="false">IF(BA347&gt;0,J347/BA347,-1)</f>
        <v>4.19354838709677</v>
      </c>
      <c r="BE347" s="51" t="n">
        <f aca="false">IF(AND(OR(CC347="L1",CC347="L23",CC347="LIFT"),BA347&gt;0),SUMIFS($BA$7:$BA$1843,$CC$7:$CC$1843,CC347,$BD$7:$BD$1843,"&gt;"&amp;BD347)+SUMIFS($BA$7:$BA$1843,$CC$7:$CC$1843,CC347,$BD$7:$BD$1843,BD347,$BT$7:$BT$1843,"&lt;="&amp;BT347),"")</f>
        <v>5164.43498168498</v>
      </c>
      <c r="BF347" s="58" t="n">
        <f aca="false">IF(BE347="",0,MAX(0,MIN(1,(IF(CC347="L1",Parameter!$H$5,IF(CC347="L23",Parameter!$H$6+Parameter!$H$7,Parameter!$H$5+Parameter!$H$6+Parameter!$H$7))-(BE347-BA347))/BA347)))</f>
        <v>1</v>
      </c>
      <c r="BG347" s="48" t="str">
        <f aca="false">IF(AI347&lt;=0,"",IF(CC347="Aussen","Aussenlager",IF(CC347="-","Nicht im Lift",IF(AN347&gt;=1,"Lift",IF(AN347&lt;=0,"Aussenlager","teilweise")))))</f>
        <v>Lift</v>
      </c>
      <c r="BH347" s="48" t="str">
        <f aca="false">IF(AR347&lt;=0,"",IF(CC347="Aussen","Aussenlager",IF(CC347="-","Nicht im Lift",IF(AW347&gt;=1,"Lift",IF(AW347&lt;=0,"Aussenlager","teilweise")))))</f>
        <v>Lift</v>
      </c>
      <c r="BI347" s="48" t="str">
        <f aca="false">IF(BA347&lt;=0,"",IF(CC347="Aussen","Aussenlager",IF(CC347="-","Nicht im Lift",IF(BF347&gt;=1,"Lift",IF(BF347&lt;=0,"Aussenlager","teilweise")))))</f>
        <v>Lift</v>
      </c>
      <c r="BJ347" s="48" t="str">
        <f aca="false">IF(A347="","",IF(BS347=1,"Neu; ","")&amp;IF(AND(BS347=0,BN347&lt;0),"negativer Bestand (Export "&amp;BN347&amp;"); ","")&amp;IF(J347&lt;=0,"Kein Verbrauch; ","")&amp;IF(CL347&gt;0,"Lift "&amp;W347&amp;" lt. Liftbericht (Fach "&amp;X347&amp;" Stk); ",IF(BX347=1,"Gebinde geschätzt ("&amp;T347&amp;"); ",IF(BW347=1,"Lose – Tablare geschätzt; ","")))&amp;IF(H347&gt;AT347,"Überbestand "&amp;ROUND(H347-AT347,0)&amp;" Stk / CHF "&amp;ROUND((H347-AT347)*G347,0)&amp;"; ","")&amp;IF(AND(CE347=1,CF347&lt;CG347),"MAX &lt; MB+LG; ","")&amp;IF(AND(CK347&gt;0,CJ347*10&gt;CK347),"zu hoch für Tablar; ","")&amp;IF(AND(BS347=0,OR(CE347=1,AA347&lt;&gt;"",U347&lt;&gt;"",V347&lt;&gt;"",AB347&lt;&gt;"")),"manuell übersteuert; ","")&amp;IF(AND(BW347=0,R347=0),"Gebinde unbekannt / Stellmass fehlt; ","")&amp;IF(AND(BW347=0,N(V347)&lt;=0,N(Q347)&lt;=0),"Menge pro Gebinde fehlt (Ist = 1 Gebinde); ","")&amp;BR347)</f>
        <v/>
      </c>
      <c r="BK347" s="48"/>
      <c r="BL347" s="48"/>
      <c r="BM347" s="55"/>
      <c r="BN347" s="50" t="n">
        <v>35</v>
      </c>
      <c r="BO347" s="50" t="n">
        <v>12</v>
      </c>
      <c r="BP347" s="49" t="n">
        <v>185.4</v>
      </c>
      <c r="BQ347" s="50" t="n">
        <v>50</v>
      </c>
      <c r="BR347" s="48"/>
      <c r="BS347" s="53" t="n">
        <v>0</v>
      </c>
      <c r="BT347" s="53" t="n">
        <v>347</v>
      </c>
      <c r="BU347" s="48" t="str">
        <f aca="false">IF(U347&lt;&gt;"",UPPER(TRIM(U347)),IF(BX347=1,UPPER(VLOOKUP(T347,Parameter!$I$27:$K$29,2,0)),IF(P347="","LOSE",P347)))</f>
        <v>S51</v>
      </c>
      <c r="BV347" s="50" t="n">
        <f aca="false">IF(BU347="LOSE",1,IF(N(V347)&gt;0,V347,IF(BX347=1,MAX(1,N(VLOOKUP(T347,Parameter!$I$27:$K$29,3,0)),H347,N(N347)),IF(N(Q347)&gt;0,Q347,MAX(1,H347)))))</f>
        <v>30</v>
      </c>
      <c r="BW347" s="53" t="n">
        <f aca="false">IF(BU347="LOSE",1,0)</f>
        <v>0</v>
      </c>
      <c r="BX347" s="53" t="n">
        <f aca="false">IF(AND(U347="",OR(P347="",P347="LOSE"),T347&lt;&gt;"",N(S347)&lt;=0,ISNUMBER(MATCH(T347,Parameter!$I$27:$I$29,0))),1,0)</f>
        <v>0</v>
      </c>
      <c r="BY347" s="53" t="n">
        <f aca="false">IF(CL347&gt;0,INDEX(Parameter!$H$5:$H$7,W347)/INDEX(Parameter!$E$5:$E$7,W347),IF(AND(BW347=0,N(IFERROR(VLOOKUP(BU347,'Gebinde-Kategorie'!$A$5:$N$45,14,0),0))&gt;0),VLOOKUP(BU347,'Gebinde-Kategorie'!$A$5:$N$45,14,0)*10+Parameter!$M$23,Parameter!$M$24))</f>
        <v>155</v>
      </c>
      <c r="BZ347" s="48" t="str">
        <f aca="false">IF(AND(Parameter!$B$19="Ja",E347&lt;&gt;"",ISNUMBER(MATCH(E347,Parameter!$I$35:$I$52,0))),VLOOKUP(E347,Parameter!$I$35:$J$52,2,0),IFERROR(VLOOKUP(D347,Parameter!$A$35:$C$64,2,0),"Nein"))</f>
        <v>2+3</v>
      </c>
      <c r="CA347" s="52" t="n">
        <f aca="false">IF(BW347=0,0,IF(N(S347)&gt;0,S347,IFERROR(VLOOKUP(D347,Parameter!$A$35:$C$64,3,0)+0,0)))</f>
        <v>0</v>
      </c>
      <c r="CB347" s="48" t="n">
        <f aca="false">IF(AA347&lt;&gt;"",AA347,Z347)</f>
        <v>3</v>
      </c>
      <c r="CC347" s="48" t="str">
        <f aca="false">IF(OR(CB347=1,CB347=2,CB347=3),IF(Parameter!$E$27="Ja","LIFT",IF(CB347=1,"L1","L23")),IF(CB347="Aussen","Aussen","-"))</f>
        <v>LIFT</v>
      </c>
      <c r="CD347" s="59" t="n">
        <f aca="false">IF(N(AB347)&gt;0,AB347,0)</f>
        <v>0</v>
      </c>
      <c r="CE347" s="53" t="n">
        <f aca="false">IF(ISNUMBER(AE347),1,0)</f>
        <v>0</v>
      </c>
      <c r="CF347" s="50" t="n">
        <f aca="false">N(AE347)</f>
        <v>0</v>
      </c>
      <c r="CG347" s="50" t="n">
        <f aca="false">N(M347)+N(N347)</f>
        <v>51</v>
      </c>
      <c r="CH347" s="50" t="n">
        <f aca="false">ROUNDUP(H347/BV347,0)</f>
        <v>2</v>
      </c>
      <c r="CI347" s="50" t="n">
        <f aca="false">ROUNDUP(CF347/BV347,0)</f>
        <v>0</v>
      </c>
      <c r="CJ347" s="53" t="n">
        <f aca="false">IF(BW347=1,0,IFERROR(VLOOKUP(BU347,'Gebinde-Kategorie'!$A$5:$N$45,5,0)+0,0))</f>
        <v>11</v>
      </c>
      <c r="CK347" s="53" t="n">
        <f aca="false">IFERROR(IF(OR(CB347=1,CB347=2,CB347=3),N(INDEX(Parameter!$I$5:$I$7,CB347)),0),0)</f>
        <v>0</v>
      </c>
      <c r="CL347" s="52" t="n">
        <f aca="false">IF(AND(Parameter!$B$21="Ja",ISNUMBER(W347),N(X347)&gt;0),IFERROR(N(INDEX(Parameter!$L$5:$L$7,W347))*INDEX(Parameter!$E$5:$E$7,W347)*X347/SUMIFS($X$7:$X$1843,$W$7:$W$1843,W347),0),0)</f>
        <v>0</v>
      </c>
    </row>
    <row r="348" customFormat="false" ht="15" hidden="false" customHeight="false" outlineLevel="0" collapsed="false">
      <c r="A348" s="48" t="s">
        <v>857</v>
      </c>
      <c r="B348" s="48" t="s">
        <v>767</v>
      </c>
      <c r="C348" s="48" t="s">
        <v>168</v>
      </c>
      <c r="D348" s="48" t="s">
        <v>188</v>
      </c>
      <c r="E348" s="48"/>
      <c r="F348" s="48" t="s">
        <v>222</v>
      </c>
      <c r="G348" s="49" t="n">
        <v>7.4</v>
      </c>
      <c r="H348" s="50" t="n">
        <f aca="false">MAX(0,IF(AND(Parameter!$B$21="Ja",ISNUMBER(Y348)),Y348,IF(Parameter!$B$20="Jahresanfang 2025 + Export",BO348+BN348,BN348)))</f>
        <v>25</v>
      </c>
      <c r="I348" s="50" t="n">
        <f aca="false">H348*G348</f>
        <v>185</v>
      </c>
      <c r="J348" s="50" t="n">
        <f aca="false">BQ348*Parameter!$B$18</f>
        <v>0</v>
      </c>
      <c r="K348" s="51" t="n">
        <v>0</v>
      </c>
      <c r="L348" s="52" t="n">
        <v>0</v>
      </c>
      <c r="M348" s="50" t="n">
        <v>0</v>
      </c>
      <c r="N348" s="50" t="n">
        <v>1</v>
      </c>
      <c r="O348" s="53" t="n">
        <v>9999</v>
      </c>
      <c r="P348" s="48" t="s">
        <v>172</v>
      </c>
      <c r="Q348" s="50"/>
      <c r="R348" s="53" t="n">
        <f aca="false">IF(BW348=1,0,IFERROR(VLOOKUP(BU348,'Gebinde-Kategorie'!$A$5:$N$45,13,0)+0,0))</f>
        <v>26</v>
      </c>
      <c r="S348" s="54"/>
      <c r="T348" s="55" t="s">
        <v>279</v>
      </c>
      <c r="U348" s="55"/>
      <c r="V348" s="55"/>
      <c r="W348" s="48"/>
      <c r="X348" s="50"/>
      <c r="Y348" s="50"/>
      <c r="Z348" s="48" t="n">
        <f aca="false">IF(A348="","",IF(AND(Parameter!$B$21="Ja",ISNUMBER(W348)),W348,IF(BZ348="2+3",IF(ISNUMBER(SEARCH("grosser Artikel",BR348)),2,IFERROR(VLOOKUP(BU348,Parameter!$F$35:$G$64,2,0),2)),IF(OR(BZ348="Nein",BZ348=""),"-",BZ348))))</f>
        <v>3</v>
      </c>
      <c r="AA348" s="55"/>
      <c r="AB348" s="56"/>
      <c r="AC348" s="50" t="n">
        <f aca="false">AT348</f>
        <v>25</v>
      </c>
      <c r="AD348" s="50" t="n">
        <f aca="false">MAX(AT348,H348)</f>
        <v>25</v>
      </c>
      <c r="AE348" s="57"/>
      <c r="AF348" s="50" t="n">
        <f aca="false">IF(LEFT(Cockpit!$C$5,1)="A",H348,IF(CE348=1,CF348,IF(LEFT(Cockpit!$C$5,1)="B",AK348,MAX(AK348,H348))))</f>
        <v>25</v>
      </c>
      <c r="AG348" s="50" t="n">
        <f aca="false">IF(BW348=1,0,ROUNDUP(AF348/BV348,0))</f>
        <v>1</v>
      </c>
      <c r="AH348" s="52" t="n">
        <f aca="false">IF(CL348&gt;0,CL348*MAX(1,AF348/X348),IF(BW348=1,IF(AF348&lt;=0,0,CA348*MAX(1,IF(H348&gt;0,AF348/H348,1))),IF(R348&gt;0,AG348/R348,0))/MAX(0.1,N(Parameter!$M$21)))</f>
        <v>0.0384615384615385</v>
      </c>
      <c r="AI348" s="50" t="n">
        <f aca="false">AH348*BY348</f>
        <v>5.96153846153846</v>
      </c>
      <c r="AJ348" s="50" t="n">
        <f aca="false">AF348*G348</f>
        <v>185</v>
      </c>
      <c r="AK348" s="50" t="n">
        <f aca="false">ROUNDUP(MAX(J348/IF(CD348&gt;0,CD348,MAX(0.1,N(Cockpit!$C$6))),CG348)/BV348,0)*BV348</f>
        <v>25</v>
      </c>
      <c r="AL348" s="51" t="n">
        <f aca="false">IF(AI348&gt;0,J348/AI348,-1)</f>
        <v>0</v>
      </c>
      <c r="AM348" s="51" t="n">
        <f aca="false">IF(AND(OR(CC348="L1",CC348="L23",CC348="LIFT"),AI348&gt;0),SUMIFS($AI$7:$AI$1843,$CC$7:$CC$1843,CC348,$AL$7:$AL$1843,"&gt;"&amp;AL348)+SUMIFS($AI$7:$AI$1843,$CC$7:$CC$1843,CC348,$AL$7:$AL$1843,AL348,$BT$7:$BT$1843,"&lt;="&amp;BT348),"")</f>
        <v>28013.1050216262</v>
      </c>
      <c r="AN348" s="58" t="n">
        <f aca="false">IF(AM348="",0,MAX(0,MIN(1,(IF(CC348="L1",Parameter!$H$5,IF(CC348="L23",Parameter!$H$6+Parameter!$H$7,Parameter!$H$5+Parameter!$H$6+Parameter!$H$7))-(AM348-AI348))/AI348)))</f>
        <v>1</v>
      </c>
      <c r="AO348" s="50" t="n">
        <f aca="false">IF(LEFT(Cockpit!$I$5,1)="A",H348,IF(CE348=1,CF348,IF(LEFT(Cockpit!$I$5,1)="B",AT348,MAX(AT348,H348))))</f>
        <v>25</v>
      </c>
      <c r="AP348" s="50" t="n">
        <f aca="false">IF(BW348=1,0,ROUNDUP(AO348/BV348,0))</f>
        <v>1</v>
      </c>
      <c r="AQ348" s="52" t="n">
        <f aca="false">IF(CL348&gt;0,CL348*MAX(1,AO348/X348),IF(BW348=1,IF(AO348&lt;=0,0,CA348*MAX(1,IF(H348&gt;0,AO348/H348,1))),IF(R348&gt;0,AP348/R348,0))/MAX(0.1,N(Parameter!$M$21)))</f>
        <v>0.0384615384615385</v>
      </c>
      <c r="AR348" s="50" t="n">
        <f aca="false">AQ348*BY348</f>
        <v>5.96153846153846</v>
      </c>
      <c r="AS348" s="50" t="n">
        <f aca="false">AO348*G348</f>
        <v>185</v>
      </c>
      <c r="AT348" s="50" t="n">
        <f aca="false">ROUNDUP(MAX(J348/IF(CD348&gt;0,CD348,MAX(0.1,N(Cockpit!$I$6))),CG348)/BV348,0)*BV348</f>
        <v>25</v>
      </c>
      <c r="AU348" s="51" t="n">
        <f aca="false">IF(AR348&gt;0,J348/AR348,-1)</f>
        <v>0</v>
      </c>
      <c r="AV348" s="51" t="n">
        <f aca="false">IF(AND(OR(CC348="L1",CC348="L23",CC348="LIFT"),AR348&gt;0),SUMIFS($AR$7:$AR$1843,$CC$7:$CC$1843,CC348,$AU$7:$AU$1843,"&gt;"&amp;AU348)+SUMIFS($AR$7:$AR$1843,$CC$7:$CC$1843,CC348,$AU$7:$AU$1843,AU348,$BT$7:$BT$1843,"&lt;="&amp;BT348),"")</f>
        <v>39326.0105388961</v>
      </c>
      <c r="AW348" s="58" t="n">
        <f aca="false">IF(AV348="",0,MAX(0,MIN(1,(IF(CC348="L1",Parameter!$H$5,IF(CC348="L23",Parameter!$H$6+Parameter!$H$7,Parameter!$H$5+Parameter!$H$6+Parameter!$H$7))-(AV348-AR348))/AR348)))</f>
        <v>0</v>
      </c>
      <c r="AX348" s="50" t="n">
        <f aca="false">IF(LEFT(Cockpit!$O$5,1)="A",H348,IF(CE348=1,CF348,IF(LEFT(Cockpit!$O$5,1)="B",BC348,MAX(BC348,H348))))</f>
        <v>25</v>
      </c>
      <c r="AY348" s="50" t="n">
        <f aca="false">IF(BW348=1,0,ROUNDUP(AX348/BV348,0))</f>
        <v>1</v>
      </c>
      <c r="AZ348" s="52" t="n">
        <f aca="false">IF(CL348&gt;0,CL348*MAX(1,AX348/X348),IF(BW348=1,IF(AX348&lt;=0,0,CA348*MAX(1,IF(H348&gt;0,AX348/H348,1))),IF(R348&gt;0,AY348/R348,0))/MAX(0.1,N(Parameter!$M$21)))</f>
        <v>0.0384615384615385</v>
      </c>
      <c r="BA348" s="50" t="n">
        <f aca="false">AZ348*BY348</f>
        <v>5.96153846153846</v>
      </c>
      <c r="BB348" s="50" t="n">
        <f aca="false">AX348*G348</f>
        <v>185</v>
      </c>
      <c r="BC348" s="50" t="n">
        <f aca="false">ROUNDUP(MAX(J348/IF(CD348&gt;0,CD348,MAX(0.1,N(Cockpit!$O$6))),CG348)/BV348,0)*BV348</f>
        <v>25</v>
      </c>
      <c r="BD348" s="51" t="n">
        <f aca="false">IF(BA348&gt;0,J348/BA348,-1)</f>
        <v>0</v>
      </c>
      <c r="BE348" s="51" t="n">
        <f aca="false">IF(AND(OR(CC348="L1",CC348="L23",CC348="LIFT"),BA348&gt;0),SUMIFS($BA$7:$BA$1843,$CC$7:$CC$1843,CC348,$BD$7:$BD$1843,"&gt;"&amp;BD348)+SUMIFS($BA$7:$BA$1843,$CC$7:$CC$1843,CC348,$BD$7:$BD$1843,BD348,$BT$7:$BT$1843,"&lt;="&amp;BT348),"")</f>
        <v>36001.022580762</v>
      </c>
      <c r="BF348" s="58" t="n">
        <f aca="false">IF(BE348="",0,MAX(0,MIN(1,(IF(CC348="L1",Parameter!$H$5,IF(CC348="L23",Parameter!$H$6+Parameter!$H$7,Parameter!$H$5+Parameter!$H$6+Parameter!$H$7))-(BE348-BA348))/BA348)))</f>
        <v>0</v>
      </c>
      <c r="BG348" s="48" t="str">
        <f aca="false">IF(AI348&lt;=0,"",IF(CC348="Aussen","Aussenlager",IF(CC348="-","Nicht im Lift",IF(AN348&gt;=1,"Lift",IF(AN348&lt;=0,"Aussenlager","teilweise")))))</f>
        <v>Lift</v>
      </c>
      <c r="BH348" s="48" t="str">
        <f aca="false">IF(AR348&lt;=0,"",IF(CC348="Aussen","Aussenlager",IF(CC348="-","Nicht im Lift",IF(AW348&gt;=1,"Lift",IF(AW348&lt;=0,"Aussenlager","teilweise")))))</f>
        <v>Aussenlager</v>
      </c>
      <c r="BI348" s="48" t="str">
        <f aca="false">IF(BA348&lt;=0,"",IF(CC348="Aussen","Aussenlager",IF(CC348="-","Nicht im Lift",IF(BF348&gt;=1,"Lift",IF(BF348&lt;=0,"Aussenlager","teilweise")))))</f>
        <v>Aussenlager</v>
      </c>
      <c r="BJ348" s="48" t="str">
        <f aca="false">IF(A348="","",IF(BS348=1,"Neu; ","")&amp;IF(AND(BS348=0,BN348&lt;0),"negativer Bestand (Export "&amp;BN348&amp;"); ","")&amp;IF(J348&lt;=0,"Kein Verbrauch; ","")&amp;IF(CL348&gt;0,"Lift "&amp;W348&amp;" lt. Liftbericht (Fach "&amp;X348&amp;" Stk); ",IF(BX348=1,"Gebinde geschätzt ("&amp;T348&amp;"); ",IF(BW348=1,"Lose – Tablare geschätzt; ","")))&amp;IF(H348&gt;AT348,"Überbestand "&amp;ROUND(H348-AT348,0)&amp;" Stk / CHF "&amp;ROUND((H348-AT348)*G348,0)&amp;"; ","")&amp;IF(AND(CE348=1,CF348&lt;CG348),"MAX &lt; MB+LG; ","")&amp;IF(AND(CK348&gt;0,CJ348*10&gt;CK348),"zu hoch für Tablar; ","")&amp;IF(AND(BS348=0,OR(CE348=1,AA348&lt;&gt;"",U348&lt;&gt;"",V348&lt;&gt;"",AB348&lt;&gt;"")),"manuell übersteuert; ","")&amp;IF(AND(BW348=0,R348=0),"Gebinde unbekannt / Stellmass fehlt; ","")&amp;IF(AND(BW348=0,N(V348)&lt;=0,N(Q348)&lt;=0),"Menge pro Gebinde fehlt (Ist = 1 Gebinde); ","")&amp;BR348)</f>
        <v>Kein Verbrauch; Gebinde geschätzt (Klein); Menge pro Gebinde fehlt (Ist = 1 Gebinde); </v>
      </c>
      <c r="BK348" s="48"/>
      <c r="BL348" s="48"/>
      <c r="BM348" s="55"/>
      <c r="BN348" s="50" t="n">
        <v>25</v>
      </c>
      <c r="BO348" s="50" t="n">
        <v>0</v>
      </c>
      <c r="BP348" s="49" t="n">
        <v>185</v>
      </c>
      <c r="BQ348" s="50" t="n">
        <v>0</v>
      </c>
      <c r="BR348" s="48"/>
      <c r="BS348" s="53" t="n">
        <v>0</v>
      </c>
      <c r="BT348" s="53" t="n">
        <v>348</v>
      </c>
      <c r="BU348" s="48" t="str">
        <f aca="false">IF(U348&lt;&gt;"",UPPER(TRIM(U348)),IF(BX348=1,UPPER(VLOOKUP(T348,Parameter!$I$27:$K$29,2,0)),IF(P348="","LOSE",P348)))</f>
        <v>S51</v>
      </c>
      <c r="BV348" s="50" t="n">
        <f aca="false">IF(BU348="LOSE",1,IF(N(V348)&gt;0,V348,IF(BX348=1,MAX(1,N(VLOOKUP(T348,Parameter!$I$27:$K$29,3,0)),H348,N(N348)),IF(N(Q348)&gt;0,Q348,MAX(1,H348)))))</f>
        <v>25</v>
      </c>
      <c r="BW348" s="53" t="n">
        <f aca="false">IF(BU348="LOSE",1,0)</f>
        <v>0</v>
      </c>
      <c r="BX348" s="53" t="n">
        <f aca="false">IF(AND(U348="",OR(P348="",P348="LOSE"),T348&lt;&gt;"",N(S348)&lt;=0,ISNUMBER(MATCH(T348,Parameter!$I$27:$I$29,0))),1,0)</f>
        <v>1</v>
      </c>
      <c r="BY348" s="53" t="n">
        <f aca="false">IF(CL348&gt;0,INDEX(Parameter!$H$5:$H$7,W348)/INDEX(Parameter!$E$5:$E$7,W348),IF(AND(BW348=0,N(IFERROR(VLOOKUP(BU348,'Gebinde-Kategorie'!$A$5:$N$45,14,0),0))&gt;0),VLOOKUP(BU348,'Gebinde-Kategorie'!$A$5:$N$45,14,0)*10+Parameter!$M$23,Parameter!$M$24))</f>
        <v>155</v>
      </c>
      <c r="BZ348" s="48" t="str">
        <f aca="false">IF(AND(Parameter!$B$19="Ja",E348&lt;&gt;"",ISNUMBER(MATCH(E348,Parameter!$I$35:$I$52,0))),VLOOKUP(E348,Parameter!$I$35:$J$52,2,0),IFERROR(VLOOKUP(D348,Parameter!$A$35:$C$64,2,0),"Nein"))</f>
        <v>2+3</v>
      </c>
      <c r="CA348" s="52" t="n">
        <f aca="false">IF(BW348=0,0,IF(N(S348)&gt;0,S348,IFERROR(VLOOKUP(D348,Parameter!$A$35:$C$64,3,0)+0,0)))</f>
        <v>0</v>
      </c>
      <c r="CB348" s="48" t="n">
        <f aca="false">IF(AA348&lt;&gt;"",AA348,Z348)</f>
        <v>3</v>
      </c>
      <c r="CC348" s="48" t="str">
        <f aca="false">IF(OR(CB348=1,CB348=2,CB348=3),IF(Parameter!$E$27="Ja","LIFT",IF(CB348=1,"L1","L23")),IF(CB348="Aussen","Aussen","-"))</f>
        <v>LIFT</v>
      </c>
      <c r="CD348" s="59" t="n">
        <f aca="false">IF(N(AB348)&gt;0,AB348,0)</f>
        <v>0</v>
      </c>
      <c r="CE348" s="53" t="n">
        <f aca="false">IF(ISNUMBER(AE348),1,0)</f>
        <v>0</v>
      </c>
      <c r="CF348" s="50" t="n">
        <f aca="false">N(AE348)</f>
        <v>0</v>
      </c>
      <c r="CG348" s="50" t="n">
        <f aca="false">N(M348)+N(N348)</f>
        <v>1</v>
      </c>
      <c r="CH348" s="50" t="n">
        <f aca="false">ROUNDUP(H348/BV348,0)</f>
        <v>1</v>
      </c>
      <c r="CI348" s="50" t="n">
        <f aca="false">ROUNDUP(CF348/BV348,0)</f>
        <v>0</v>
      </c>
      <c r="CJ348" s="53" t="n">
        <f aca="false">IF(BW348=1,0,IFERROR(VLOOKUP(BU348,'Gebinde-Kategorie'!$A$5:$N$45,5,0)+0,0))</f>
        <v>11</v>
      </c>
      <c r="CK348" s="53" t="n">
        <f aca="false">IFERROR(IF(OR(CB348=1,CB348=2,CB348=3),N(INDEX(Parameter!$I$5:$I$7,CB348)),0),0)</f>
        <v>0</v>
      </c>
      <c r="CL348" s="52" t="n">
        <f aca="false">IF(AND(Parameter!$B$21="Ja",ISNUMBER(W348),N(X348)&gt;0),IFERROR(N(INDEX(Parameter!$L$5:$L$7,W348))*INDEX(Parameter!$E$5:$E$7,W348)*X348/SUMIFS($X$7:$X$1843,$W$7:$W$1843,W348),0),0)</f>
        <v>0</v>
      </c>
    </row>
    <row r="349" customFormat="false" ht="15" hidden="false" customHeight="false" outlineLevel="0" collapsed="false">
      <c r="A349" s="48" t="s">
        <v>858</v>
      </c>
      <c r="B349" s="48" t="s">
        <v>859</v>
      </c>
      <c r="C349" s="48" t="s">
        <v>168</v>
      </c>
      <c r="D349" s="48" t="s">
        <v>188</v>
      </c>
      <c r="E349" s="48" t="s">
        <v>189</v>
      </c>
      <c r="F349" s="48" t="s">
        <v>222</v>
      </c>
      <c r="G349" s="49" t="n">
        <v>0.05</v>
      </c>
      <c r="H349" s="50" t="n">
        <f aca="false">MAX(0,IF(AND(Parameter!$B$21="Ja",ISNUMBER(Y349)),Y349,IF(Parameter!$B$20="Jahresanfang 2025 + Export",BO349+BN349,BN349)))</f>
        <v>4500</v>
      </c>
      <c r="I349" s="50" t="n">
        <f aca="false">H349*G349</f>
        <v>225</v>
      </c>
      <c r="J349" s="50" t="n">
        <f aca="false">BQ349*Parameter!$B$18</f>
        <v>7399</v>
      </c>
      <c r="K349" s="51" t="n">
        <v>1074.5</v>
      </c>
      <c r="L349" s="52" t="n">
        <v>6.88599348534202</v>
      </c>
      <c r="M349" s="50" t="n">
        <v>750</v>
      </c>
      <c r="N349" s="50" t="n">
        <v>2500</v>
      </c>
      <c r="O349" s="53" t="n">
        <v>14</v>
      </c>
      <c r="P349" s="48" t="s">
        <v>190</v>
      </c>
      <c r="Q349" s="50" t="n">
        <v>3500</v>
      </c>
      <c r="R349" s="53" t="n">
        <f aca="false">IF(BW349=1,0,IFERROR(VLOOKUP(BU349,'Gebinde-Kategorie'!$A$5:$N$45,13,0)+0,0))</f>
        <v>12</v>
      </c>
      <c r="S349" s="54"/>
      <c r="T349" s="55"/>
      <c r="U349" s="55"/>
      <c r="V349" s="55"/>
      <c r="W349" s="48"/>
      <c r="X349" s="50"/>
      <c r="Y349" s="50"/>
      <c r="Z349" s="48" t="n">
        <f aca="false">IF(A349="","",IF(AND(Parameter!$B$21="Ja",ISNUMBER(W349)),W349,IF(BZ349="2+3",IF(ISNUMBER(SEARCH("grosser Artikel",BR349)),2,IFERROR(VLOOKUP(BU349,Parameter!$F$35:$G$64,2,0),2)),IF(OR(BZ349="Nein",BZ349=""),"-",BZ349))))</f>
        <v>2</v>
      </c>
      <c r="AA349" s="55"/>
      <c r="AB349" s="56"/>
      <c r="AC349" s="50" t="n">
        <f aca="false">AT349</f>
        <v>7000</v>
      </c>
      <c r="AD349" s="50" t="n">
        <f aca="false">MAX(AT349,H349)</f>
        <v>7000</v>
      </c>
      <c r="AE349" s="57"/>
      <c r="AF349" s="50" t="n">
        <f aca="false">IF(LEFT(Cockpit!$C$5,1)="A",H349,IF(CE349=1,CF349,IF(LEFT(Cockpit!$C$5,1)="B",AK349,MAX(AK349,H349))))</f>
        <v>4500</v>
      </c>
      <c r="AG349" s="50" t="n">
        <f aca="false">IF(BW349=1,0,ROUNDUP(AF349/BV349,0))</f>
        <v>2</v>
      </c>
      <c r="AH349" s="52" t="n">
        <f aca="false">IF(CL349&gt;0,CL349*MAX(1,AF349/X349),IF(BW349=1,IF(AF349&lt;=0,0,CA349*MAX(1,IF(H349&gt;0,AF349/H349,1))),IF(R349&gt;0,AG349/R349,0))/MAX(0.1,N(Parameter!$M$21)))</f>
        <v>0.166666666666667</v>
      </c>
      <c r="AI349" s="50" t="n">
        <f aca="false">AH349*BY349</f>
        <v>24.1666666666667</v>
      </c>
      <c r="AJ349" s="50" t="n">
        <f aca="false">AF349*G349</f>
        <v>225</v>
      </c>
      <c r="AK349" s="50" t="n">
        <f aca="false">ROUNDUP(MAX(J349/IF(CD349&gt;0,CD349,MAX(0.1,N(Cockpit!$C$6))),CG349)/BV349,0)*BV349</f>
        <v>7000</v>
      </c>
      <c r="AL349" s="51" t="n">
        <f aca="false">IF(AI349&gt;0,J349/AI349,-1)</f>
        <v>306.165517241379</v>
      </c>
      <c r="AM349" s="51" t="n">
        <f aca="false">IF(AND(OR(CC349="L1",CC349="L23",CC349="LIFT"),AI349&gt;0),SUMIFS($AI$7:$AI$1843,$CC$7:$CC$1843,CC349,$AL$7:$AL$1843,"&gt;"&amp;AL349)+SUMIFS($AI$7:$AI$1843,$CC$7:$CC$1843,CC349,$AL$7:$AL$1843,AL349,$BT$7:$BT$1843,"&lt;="&amp;BT349),"")</f>
        <v>264.394688644689</v>
      </c>
      <c r="AN349" s="58" t="n">
        <f aca="false">IF(AM349="",0,MAX(0,MIN(1,(IF(CC349="L1",Parameter!$H$5,IF(CC349="L23",Parameter!$H$6+Parameter!$H$7,Parameter!$H$5+Parameter!$H$6+Parameter!$H$7))-(AM349-AI349))/AI349)))</f>
        <v>1</v>
      </c>
      <c r="AO349" s="50" t="n">
        <f aca="false">IF(LEFT(Cockpit!$I$5,1)="A",H349,IF(CE349=1,CF349,IF(LEFT(Cockpit!$I$5,1)="B",AT349,MAX(AT349,H349))))</f>
        <v>7000</v>
      </c>
      <c r="AP349" s="50" t="n">
        <f aca="false">IF(BW349=1,0,ROUNDUP(AO349/BV349,0))</f>
        <v>2</v>
      </c>
      <c r="AQ349" s="52" t="n">
        <f aca="false">IF(CL349&gt;0,CL349*MAX(1,AO349/X349),IF(BW349=1,IF(AO349&lt;=0,0,CA349*MAX(1,IF(H349&gt;0,AO349/H349,1))),IF(R349&gt;0,AP349/R349,0))/MAX(0.1,N(Parameter!$M$21)))</f>
        <v>0.166666666666667</v>
      </c>
      <c r="AR349" s="50" t="n">
        <f aca="false">AQ349*BY349</f>
        <v>24.1666666666667</v>
      </c>
      <c r="AS349" s="50" t="n">
        <f aca="false">AO349*G349</f>
        <v>350</v>
      </c>
      <c r="AT349" s="50" t="n">
        <f aca="false">ROUNDUP(MAX(J349/IF(CD349&gt;0,CD349,MAX(0.1,N(Cockpit!$I$6))),CG349)/BV349,0)*BV349</f>
        <v>7000</v>
      </c>
      <c r="AU349" s="51" t="n">
        <f aca="false">IF(AR349&gt;0,J349/AR349,-1)</f>
        <v>306.165517241379</v>
      </c>
      <c r="AV349" s="51" t="n">
        <f aca="false">IF(AND(OR(CC349="L1",CC349="L23",CC349="LIFT"),AR349&gt;0),SUMIFS($AR$7:$AR$1843,$CC$7:$CC$1843,CC349,$AU$7:$AU$1843,"&gt;"&amp;AU349)+SUMIFS($AR$7:$AR$1843,$CC$7:$CC$1843,CC349,$AU$7:$AU$1843,AU349,$BT$7:$BT$1843,"&lt;="&amp;BT349),"")</f>
        <v>190.988553113553</v>
      </c>
      <c r="AW349" s="58" t="n">
        <f aca="false">IF(AV349="",0,MAX(0,MIN(1,(IF(CC349="L1",Parameter!$H$5,IF(CC349="L23",Parameter!$H$6+Parameter!$H$7,Parameter!$H$5+Parameter!$H$6+Parameter!$H$7))-(AV349-AR349))/AR349)))</f>
        <v>1</v>
      </c>
      <c r="AX349" s="50" t="n">
        <f aca="false">IF(LEFT(Cockpit!$O$5,1)="A",H349,IF(CE349=1,CF349,IF(LEFT(Cockpit!$O$5,1)="B",BC349,MAX(BC349,H349))))</f>
        <v>4500</v>
      </c>
      <c r="AY349" s="50" t="n">
        <f aca="false">IF(BW349=1,0,ROUNDUP(AX349/BV349,0))</f>
        <v>2</v>
      </c>
      <c r="AZ349" s="52" t="n">
        <f aca="false">IF(CL349&gt;0,CL349*MAX(1,AX349/X349),IF(BW349=1,IF(AX349&lt;=0,0,CA349*MAX(1,IF(H349&gt;0,AX349/H349,1))),IF(R349&gt;0,AY349/R349,0))/MAX(0.1,N(Parameter!$M$21)))</f>
        <v>0.166666666666667</v>
      </c>
      <c r="BA349" s="50" t="n">
        <f aca="false">AZ349*BY349</f>
        <v>24.1666666666667</v>
      </c>
      <c r="BB349" s="50" t="n">
        <f aca="false">AX349*G349</f>
        <v>225</v>
      </c>
      <c r="BC349" s="50" t="n">
        <f aca="false">ROUNDUP(MAX(J349/IF(CD349&gt;0,CD349,MAX(0.1,N(Cockpit!$O$6))),CG349)/BV349,0)*BV349</f>
        <v>3500</v>
      </c>
      <c r="BD349" s="51" t="n">
        <f aca="false">IF(BA349&gt;0,J349/BA349,-1)</f>
        <v>306.165517241379</v>
      </c>
      <c r="BE349" s="51" t="n">
        <f aca="false">IF(AND(OR(CC349="L1",CC349="L23",CC349="LIFT"),BA349&gt;0),SUMIFS($BA$7:$BA$1843,$CC$7:$CC$1843,CC349,$BD$7:$BD$1843,"&gt;"&amp;BD349)+SUMIFS($BA$7:$BA$1843,$CC$7:$CC$1843,CC349,$BD$7:$BD$1843,BD349,$BT$7:$BT$1843,"&lt;="&amp;BT349),"")</f>
        <v>203.873168498169</v>
      </c>
      <c r="BF349" s="58" t="n">
        <f aca="false">IF(BE349="",0,MAX(0,MIN(1,(IF(CC349="L1",Parameter!$H$5,IF(CC349="L23",Parameter!$H$6+Parameter!$H$7,Parameter!$H$5+Parameter!$H$6+Parameter!$H$7))-(BE349-BA349))/BA349)))</f>
        <v>1</v>
      </c>
      <c r="BG349" s="48" t="str">
        <f aca="false">IF(AI349&lt;=0,"",IF(CC349="Aussen","Aussenlager",IF(CC349="-","Nicht im Lift",IF(AN349&gt;=1,"Lift",IF(AN349&lt;=0,"Aussenlager","teilweise")))))</f>
        <v>Lift</v>
      </c>
      <c r="BH349" s="48" t="str">
        <f aca="false">IF(AR349&lt;=0,"",IF(CC349="Aussen","Aussenlager",IF(CC349="-","Nicht im Lift",IF(AW349&gt;=1,"Lift",IF(AW349&lt;=0,"Aussenlager","teilweise")))))</f>
        <v>Lift</v>
      </c>
      <c r="BI349" s="48" t="str">
        <f aca="false">IF(BA349&lt;=0,"",IF(CC349="Aussen","Aussenlager",IF(CC349="-","Nicht im Lift",IF(BF349&gt;=1,"Lift",IF(BF349&lt;=0,"Aussenlager","teilweise")))))</f>
        <v>Lift</v>
      </c>
      <c r="BJ349" s="48" t="str">
        <f aca="false">IF(A349="","",IF(BS349=1,"Neu; ","")&amp;IF(AND(BS349=0,BN349&lt;0),"negativer Bestand (Export "&amp;BN349&amp;"); ","")&amp;IF(J349&lt;=0,"Kein Verbrauch; ","")&amp;IF(CL349&gt;0,"Lift "&amp;W349&amp;" lt. Liftbericht (Fach "&amp;X349&amp;" Stk); ",IF(BX349=1,"Gebinde geschätzt ("&amp;T349&amp;"); ",IF(BW349=1,"Lose – Tablare geschätzt; ","")))&amp;IF(H349&gt;AT349,"Überbestand "&amp;ROUND(H349-AT349,0)&amp;" Stk / CHF "&amp;ROUND((H349-AT349)*G349,0)&amp;"; ","")&amp;IF(AND(CE349=1,CF349&lt;CG349),"MAX &lt; MB+LG; ","")&amp;IF(AND(CK349&gt;0,CJ349*10&gt;CK349),"zu hoch für Tablar; ","")&amp;IF(AND(BS349=0,OR(CE349=1,AA349&lt;&gt;"",U349&lt;&gt;"",V349&lt;&gt;"",AB349&lt;&gt;"")),"manuell übersteuert; ","")&amp;IF(AND(BW349=0,R349=0),"Gebinde unbekannt / Stellmass fehlt; ","")&amp;IF(AND(BW349=0,N(V349)&lt;=0,N(Q349)&lt;=0),"Menge pro Gebinde fehlt (Ist = 1 Gebinde); ","")&amp;BR349)</f>
        <v/>
      </c>
      <c r="BK349" s="48"/>
      <c r="BL349" s="48"/>
      <c r="BM349" s="55"/>
      <c r="BN349" s="50" t="n">
        <v>3601</v>
      </c>
      <c r="BO349" s="50" t="n">
        <v>899</v>
      </c>
      <c r="BP349" s="49" t="n">
        <v>184.04</v>
      </c>
      <c r="BQ349" s="50" t="n">
        <v>7399</v>
      </c>
      <c r="BR349" s="48"/>
      <c r="BS349" s="53" t="n">
        <v>0</v>
      </c>
      <c r="BT349" s="53" t="n">
        <v>349</v>
      </c>
      <c r="BU349" s="48" t="str">
        <f aca="false">IF(U349&lt;&gt;"",UPPER(TRIM(U349)),IF(BX349=1,UPPER(VLOOKUP(T349,Parameter!$I$27:$K$29,2,0)),IF(P349="","LOSE",P349)))</f>
        <v>S61</v>
      </c>
      <c r="BV349" s="50" t="n">
        <f aca="false">IF(BU349="LOSE",1,IF(N(V349)&gt;0,V349,IF(BX349=1,MAX(1,N(VLOOKUP(T349,Parameter!$I$27:$K$29,3,0)),H349,N(N349)),IF(N(Q349)&gt;0,Q349,MAX(1,H349)))))</f>
        <v>3500</v>
      </c>
      <c r="BW349" s="53" t="n">
        <f aca="false">IF(BU349="LOSE",1,0)</f>
        <v>0</v>
      </c>
      <c r="BX349" s="53" t="n">
        <f aca="false">IF(AND(U349="",OR(P349="",P349="LOSE"),T349&lt;&gt;"",N(S349)&lt;=0,ISNUMBER(MATCH(T349,Parameter!$I$27:$I$29,0))),1,0)</f>
        <v>0</v>
      </c>
      <c r="BY349" s="53" t="n">
        <f aca="false">IF(CL349&gt;0,INDEX(Parameter!$H$5:$H$7,W349)/INDEX(Parameter!$E$5:$E$7,W349),IF(AND(BW349=0,N(IFERROR(VLOOKUP(BU349,'Gebinde-Kategorie'!$A$5:$N$45,14,0),0))&gt;0),VLOOKUP(BU349,'Gebinde-Kategorie'!$A$5:$N$45,14,0)*10+Parameter!$M$23,Parameter!$M$24))</f>
        <v>145</v>
      </c>
      <c r="BZ349" s="48" t="str">
        <f aca="false">IF(AND(Parameter!$B$19="Ja",E349&lt;&gt;"",ISNUMBER(MATCH(E349,Parameter!$I$35:$I$52,0))),VLOOKUP(E349,Parameter!$I$35:$J$52,2,0),IFERROR(VLOOKUP(D349,Parameter!$A$35:$C$64,2,0),"Nein"))</f>
        <v>2+3</v>
      </c>
      <c r="CA349" s="52" t="n">
        <f aca="false">IF(BW349=0,0,IF(N(S349)&gt;0,S349,IFERROR(VLOOKUP(D349,Parameter!$A$35:$C$64,3,0)+0,0)))</f>
        <v>0</v>
      </c>
      <c r="CB349" s="48" t="n">
        <f aca="false">IF(AA349&lt;&gt;"",AA349,Z349)</f>
        <v>2</v>
      </c>
      <c r="CC349" s="48" t="str">
        <f aca="false">IF(OR(CB349=1,CB349=2,CB349=3),IF(Parameter!$E$27="Ja","LIFT",IF(CB349=1,"L1","L23")),IF(CB349="Aussen","Aussen","-"))</f>
        <v>LIFT</v>
      </c>
      <c r="CD349" s="59" t="n">
        <f aca="false">IF(N(AB349)&gt;0,AB349,0)</f>
        <v>0</v>
      </c>
      <c r="CE349" s="53" t="n">
        <f aca="false">IF(ISNUMBER(AE349),1,0)</f>
        <v>0</v>
      </c>
      <c r="CF349" s="50" t="n">
        <f aca="false">N(AE349)</f>
        <v>0</v>
      </c>
      <c r="CG349" s="50" t="n">
        <f aca="false">N(M349)+N(N349)</f>
        <v>3250</v>
      </c>
      <c r="CH349" s="50" t="n">
        <f aca="false">ROUNDUP(H349/BV349,0)</f>
        <v>2</v>
      </c>
      <c r="CI349" s="50" t="n">
        <f aca="false">ROUNDUP(CF349/BV349,0)</f>
        <v>0</v>
      </c>
      <c r="CJ349" s="53" t="n">
        <f aca="false">IF(BW349=1,0,IFERROR(VLOOKUP(BU349,'Gebinde-Kategorie'!$A$5:$N$45,5,0)+0,0))</f>
        <v>11</v>
      </c>
      <c r="CK349" s="53" t="n">
        <f aca="false">IFERROR(IF(OR(CB349=1,CB349=2,CB349=3),N(INDEX(Parameter!$I$5:$I$7,CB349)),0),0)</f>
        <v>0</v>
      </c>
      <c r="CL349" s="52" t="n">
        <f aca="false">IF(AND(Parameter!$B$21="Ja",ISNUMBER(W349),N(X349)&gt;0),IFERROR(N(INDEX(Parameter!$L$5:$L$7,W349))*INDEX(Parameter!$E$5:$E$7,W349)*X349/SUMIFS($X$7:$X$1843,$W$7:$W$1843,W349),0),0)</f>
        <v>0</v>
      </c>
    </row>
    <row r="350" customFormat="false" ht="15" hidden="false" customHeight="false" outlineLevel="0" collapsed="false">
      <c r="A350" s="48" t="s">
        <v>860</v>
      </c>
      <c r="B350" s="48" t="s">
        <v>861</v>
      </c>
      <c r="C350" s="48" t="s">
        <v>168</v>
      </c>
      <c r="D350" s="48" t="s">
        <v>188</v>
      </c>
      <c r="E350" s="48"/>
      <c r="F350" s="48" t="s">
        <v>222</v>
      </c>
      <c r="G350" s="49" t="n">
        <v>42.95</v>
      </c>
      <c r="H350" s="50" t="n">
        <f aca="false">MAX(0,IF(AND(Parameter!$B$21="Ja",ISNUMBER(Y350)),Y350,IF(Parameter!$B$20="Jahresanfang 2025 + Export",BO350+BN350,BN350)))</f>
        <v>15</v>
      </c>
      <c r="I350" s="50" t="n">
        <f aca="false">H350*G350</f>
        <v>644.25</v>
      </c>
      <c r="J350" s="50" t="n">
        <f aca="false">BQ350*Parameter!$B$18</f>
        <v>10</v>
      </c>
      <c r="K350" s="51" t="n">
        <v>15.5</v>
      </c>
      <c r="L350" s="52" t="n">
        <v>0.645161290322581</v>
      </c>
      <c r="M350" s="50" t="n">
        <v>0</v>
      </c>
      <c r="N350" s="50" t="n">
        <v>10</v>
      </c>
      <c r="O350" s="53" t="n">
        <v>35</v>
      </c>
      <c r="P350" s="48" t="s">
        <v>425</v>
      </c>
      <c r="Q350" s="50" t="n">
        <v>18</v>
      </c>
      <c r="R350" s="53" t="n">
        <f aca="false">IF(BW350=1,0,IFERROR(VLOOKUP(BU350,'Gebinde-Kategorie'!$A$5:$N$45,13,0)+0,0))</f>
        <v>104</v>
      </c>
      <c r="S350" s="54"/>
      <c r="T350" s="55"/>
      <c r="U350" s="55"/>
      <c r="V350" s="55"/>
      <c r="W350" s="48"/>
      <c r="X350" s="50"/>
      <c r="Y350" s="50"/>
      <c r="Z350" s="48" t="n">
        <f aca="false">IF(A350="","",IF(AND(Parameter!$B$21="Ja",ISNUMBER(W350)),W350,IF(BZ350="2+3",IF(ISNUMBER(SEARCH("grosser Artikel",BR350)),2,IFERROR(VLOOKUP(BU350,Parameter!$F$35:$G$64,2,0),2)),IF(OR(BZ350="Nein",BZ350=""),"-",BZ350))))</f>
        <v>3</v>
      </c>
      <c r="AA350" s="55"/>
      <c r="AB350" s="56"/>
      <c r="AC350" s="50" t="n">
        <f aca="false">AT350</f>
        <v>18</v>
      </c>
      <c r="AD350" s="50" t="n">
        <f aca="false">MAX(AT350,H350)</f>
        <v>18</v>
      </c>
      <c r="AE350" s="57"/>
      <c r="AF350" s="50" t="n">
        <f aca="false">IF(LEFT(Cockpit!$C$5,1)="A",H350,IF(CE350=1,CF350,IF(LEFT(Cockpit!$C$5,1)="B",AK350,MAX(AK350,H350))))</f>
        <v>15</v>
      </c>
      <c r="AG350" s="50" t="n">
        <f aca="false">IF(BW350=1,0,ROUNDUP(AF350/BV350,0))</f>
        <v>1</v>
      </c>
      <c r="AH350" s="52" t="n">
        <f aca="false">IF(CL350&gt;0,CL350*MAX(1,AF350/X350),IF(BW350=1,IF(AF350&lt;=0,0,CA350*MAX(1,IF(H350&gt;0,AF350/H350,1))),IF(R350&gt;0,AG350/R350,0))/MAX(0.1,N(Parameter!$M$21)))</f>
        <v>0.00961538461538462</v>
      </c>
      <c r="AI350" s="50" t="n">
        <f aca="false">AH350*BY350</f>
        <v>1.49038461538462</v>
      </c>
      <c r="AJ350" s="50" t="n">
        <f aca="false">AF350*G350</f>
        <v>644.25</v>
      </c>
      <c r="AK350" s="50" t="n">
        <f aca="false">ROUNDUP(MAX(J350/IF(CD350&gt;0,CD350,MAX(0.1,N(Cockpit!$C$6))),CG350)/BV350,0)*BV350</f>
        <v>18</v>
      </c>
      <c r="AL350" s="51" t="n">
        <f aca="false">IF(AI350&gt;0,J350/AI350,-1)</f>
        <v>6.70967741935484</v>
      </c>
      <c r="AM350" s="51" t="n">
        <f aca="false">IF(AND(OR(CC350="L1",CC350="L23",CC350="LIFT"),AI350&gt;0),SUMIFS($AI$7:$AI$1843,$CC$7:$CC$1843,CC350,$AL$7:$AL$1843,"&gt;"&amp;AL350)+SUMIFS($AI$7:$AI$1843,$CC$7:$CC$1843,CC350,$AL$7:$AL$1843,AL350,$BT$7:$BT$1843,"&lt;="&amp;BT350),"")</f>
        <v>3389.67216117216</v>
      </c>
      <c r="AN350" s="58" t="n">
        <f aca="false">IF(AM350="",0,MAX(0,MIN(1,(IF(CC350="L1",Parameter!$H$5,IF(CC350="L23",Parameter!$H$6+Parameter!$H$7,Parameter!$H$5+Parameter!$H$6+Parameter!$H$7))-(AM350-AI350))/AI350)))</f>
        <v>1</v>
      </c>
      <c r="AO350" s="50" t="n">
        <f aca="false">IF(LEFT(Cockpit!$I$5,1)="A",H350,IF(CE350=1,CF350,IF(LEFT(Cockpit!$I$5,1)="B",AT350,MAX(AT350,H350))))</f>
        <v>18</v>
      </c>
      <c r="AP350" s="50" t="n">
        <f aca="false">IF(BW350=1,0,ROUNDUP(AO350/BV350,0))</f>
        <v>1</v>
      </c>
      <c r="AQ350" s="52" t="n">
        <f aca="false">IF(CL350&gt;0,CL350*MAX(1,AO350/X350),IF(BW350=1,IF(AO350&lt;=0,0,CA350*MAX(1,IF(H350&gt;0,AO350/H350,1))),IF(R350&gt;0,AP350/R350,0))/MAX(0.1,N(Parameter!$M$21)))</f>
        <v>0.00961538461538462</v>
      </c>
      <c r="AR350" s="50" t="n">
        <f aca="false">AQ350*BY350</f>
        <v>1.49038461538462</v>
      </c>
      <c r="AS350" s="50" t="n">
        <f aca="false">AO350*G350</f>
        <v>773.1</v>
      </c>
      <c r="AT350" s="50" t="n">
        <f aca="false">ROUNDUP(MAX(J350/IF(CD350&gt;0,CD350,MAX(0.1,N(Cockpit!$I$6))),CG350)/BV350,0)*BV350</f>
        <v>18</v>
      </c>
      <c r="AU350" s="51" t="n">
        <f aca="false">IF(AR350&gt;0,J350/AR350,-1)</f>
        <v>6.70967741935484</v>
      </c>
      <c r="AV350" s="51" t="n">
        <f aca="false">IF(AND(OR(CC350="L1",CC350="L23",CC350="LIFT"),AR350&gt;0),SUMIFS($AR$7:$AR$1843,$CC$7:$CC$1843,CC350,$AU$7:$AU$1843,"&gt;"&amp;AU350)+SUMIFS($AR$7:$AR$1843,$CC$7:$CC$1843,CC350,$AU$7:$AU$1843,AU350,$BT$7:$BT$1843,"&lt;="&amp;BT350),"")</f>
        <v>4525.90659340659</v>
      </c>
      <c r="AW350" s="58" t="n">
        <f aca="false">IF(AV350="",0,MAX(0,MIN(1,(IF(CC350="L1",Parameter!$H$5,IF(CC350="L23",Parameter!$H$6+Parameter!$H$7,Parameter!$H$5+Parameter!$H$6+Parameter!$H$7))-(AV350-AR350))/AR350)))</f>
        <v>1</v>
      </c>
      <c r="AX350" s="50" t="n">
        <f aca="false">IF(LEFT(Cockpit!$O$5,1)="A",H350,IF(CE350=1,CF350,IF(LEFT(Cockpit!$O$5,1)="B",BC350,MAX(BC350,H350))))</f>
        <v>18</v>
      </c>
      <c r="AY350" s="50" t="n">
        <f aca="false">IF(BW350=1,0,ROUNDUP(AX350/BV350,0))</f>
        <v>1</v>
      </c>
      <c r="AZ350" s="52" t="n">
        <f aca="false">IF(CL350&gt;0,CL350*MAX(1,AX350/X350),IF(BW350=1,IF(AX350&lt;=0,0,CA350*MAX(1,IF(H350&gt;0,AX350/H350,1))),IF(R350&gt;0,AY350/R350,0))/MAX(0.1,N(Parameter!$M$21)))</f>
        <v>0.00961538461538462</v>
      </c>
      <c r="BA350" s="50" t="n">
        <f aca="false">AZ350*BY350</f>
        <v>1.49038461538462</v>
      </c>
      <c r="BB350" s="50" t="n">
        <f aca="false">AX350*G350</f>
        <v>773.1</v>
      </c>
      <c r="BC350" s="50" t="n">
        <f aca="false">ROUNDUP(MAX(J350/IF(CD350&gt;0,CD350,MAX(0.1,N(Cockpit!$O$6))),CG350)/BV350,0)*BV350</f>
        <v>18</v>
      </c>
      <c r="BD350" s="51" t="n">
        <f aca="false">IF(BA350&gt;0,J350/BA350,-1)</f>
        <v>6.70967741935484</v>
      </c>
      <c r="BE350" s="51" t="n">
        <f aca="false">IF(AND(OR(CC350="L1",CC350="L23",CC350="LIFT"),BA350&gt;0),SUMIFS($BA$7:$BA$1843,$CC$7:$CC$1843,CC350,$BD$7:$BD$1843,"&gt;"&amp;BD350)+SUMIFS($BA$7:$BA$1843,$CC$7:$CC$1843,CC350,$BD$7:$BD$1843,BD350,$BT$7:$BT$1843,"&lt;="&amp;BT350),"")</f>
        <v>4317.20467032967</v>
      </c>
      <c r="BF350" s="58" t="n">
        <f aca="false">IF(BE350="",0,MAX(0,MIN(1,(IF(CC350="L1",Parameter!$H$5,IF(CC350="L23",Parameter!$H$6+Parameter!$H$7,Parameter!$H$5+Parameter!$H$6+Parameter!$H$7))-(BE350-BA350))/BA350)))</f>
        <v>1</v>
      </c>
      <c r="BG350" s="48" t="str">
        <f aca="false">IF(AI350&lt;=0,"",IF(CC350="Aussen","Aussenlager",IF(CC350="-","Nicht im Lift",IF(AN350&gt;=1,"Lift",IF(AN350&lt;=0,"Aussenlager","teilweise")))))</f>
        <v>Lift</v>
      </c>
      <c r="BH350" s="48" t="str">
        <f aca="false">IF(AR350&lt;=0,"",IF(CC350="Aussen","Aussenlager",IF(CC350="-","Nicht im Lift",IF(AW350&gt;=1,"Lift",IF(AW350&lt;=0,"Aussenlager","teilweise")))))</f>
        <v>Lift</v>
      </c>
      <c r="BI350" s="48" t="str">
        <f aca="false">IF(BA350&lt;=0,"",IF(CC350="Aussen","Aussenlager",IF(CC350="-","Nicht im Lift",IF(BF350&gt;=1,"Lift",IF(BF350&lt;=0,"Aussenlager","teilweise")))))</f>
        <v>Lift</v>
      </c>
      <c r="BJ350" s="48" t="str">
        <f aca="false">IF(A350="","",IF(BS350=1,"Neu; ","")&amp;IF(AND(BS350=0,BN350&lt;0),"negativer Bestand (Export "&amp;BN350&amp;"); ","")&amp;IF(J350&lt;=0,"Kein Verbrauch; ","")&amp;IF(CL350&gt;0,"Lift "&amp;W350&amp;" lt. Liftbericht (Fach "&amp;X350&amp;" Stk); ",IF(BX350=1,"Gebinde geschätzt ("&amp;T350&amp;"); ",IF(BW350=1,"Lose – Tablare geschätzt; ","")))&amp;IF(H350&gt;AT350,"Überbestand "&amp;ROUND(H350-AT350,0)&amp;" Stk / CHF "&amp;ROUND((H350-AT350)*G350,0)&amp;"; ","")&amp;IF(AND(CE350=1,CF350&lt;CG350),"MAX &lt; MB+LG; ","")&amp;IF(AND(CK350&gt;0,CJ350*10&gt;CK350),"zu hoch für Tablar; ","")&amp;IF(AND(BS350=0,OR(CE350=1,AA350&lt;&gt;"",U350&lt;&gt;"",V350&lt;&gt;"",AB350&lt;&gt;"")),"manuell übersteuert; ","")&amp;IF(AND(BW350=0,R350=0),"Gebinde unbekannt / Stellmass fehlt; ","")&amp;IF(AND(BW350=0,N(V350)&lt;=0,N(Q350)&lt;=0),"Menge pro Gebinde fehlt (Ist = 1 Gebinde); ","")&amp;BR350)</f>
        <v/>
      </c>
      <c r="BK350" s="48"/>
      <c r="BL350" s="48"/>
      <c r="BM350" s="55"/>
      <c r="BN350" s="50" t="n">
        <v>4</v>
      </c>
      <c r="BO350" s="50" t="n">
        <v>11</v>
      </c>
      <c r="BP350" s="49" t="n">
        <v>178.84</v>
      </c>
      <c r="BQ350" s="50" t="n">
        <v>10</v>
      </c>
      <c r="BR350" s="48"/>
      <c r="BS350" s="53" t="n">
        <v>0</v>
      </c>
      <c r="BT350" s="53" t="n">
        <v>350</v>
      </c>
      <c r="BU350" s="48" t="str">
        <f aca="false">IF(U350&lt;&gt;"",UPPER(TRIM(U350)),IF(BX350=1,UPPER(VLOOKUP(T350,Parameter!$I$27:$K$29,2,0)),IF(P350="","LOSE",P350)))</f>
        <v>S32</v>
      </c>
      <c r="BV350" s="50" t="n">
        <f aca="false">IF(BU350="LOSE",1,IF(N(V350)&gt;0,V350,IF(BX350=1,MAX(1,N(VLOOKUP(T350,Parameter!$I$27:$K$29,3,0)),H350,N(N350)),IF(N(Q350)&gt;0,Q350,MAX(1,H350)))))</f>
        <v>18</v>
      </c>
      <c r="BW350" s="53" t="n">
        <f aca="false">IF(BU350="LOSE",1,0)</f>
        <v>0</v>
      </c>
      <c r="BX350" s="53" t="n">
        <f aca="false">IF(AND(U350="",OR(P350="",P350="LOSE"),T350&lt;&gt;"",N(S350)&lt;=0,ISNUMBER(MATCH(T350,Parameter!$I$27:$I$29,0))),1,0)</f>
        <v>0</v>
      </c>
      <c r="BY350" s="53" t="n">
        <f aca="false">IF(CL350&gt;0,INDEX(Parameter!$H$5:$H$7,W350)/INDEX(Parameter!$E$5:$E$7,W350),IF(AND(BW350=0,N(IFERROR(VLOOKUP(BU350,'Gebinde-Kategorie'!$A$5:$N$45,14,0),0))&gt;0),VLOOKUP(BU350,'Gebinde-Kategorie'!$A$5:$N$45,14,0)*10+Parameter!$M$23,Parameter!$M$24))</f>
        <v>155</v>
      </c>
      <c r="BZ350" s="48" t="str">
        <f aca="false">IF(AND(Parameter!$B$19="Ja",E350&lt;&gt;"",ISNUMBER(MATCH(E350,Parameter!$I$35:$I$52,0))),VLOOKUP(E350,Parameter!$I$35:$J$52,2,0),IFERROR(VLOOKUP(D350,Parameter!$A$35:$C$64,2,0),"Nein"))</f>
        <v>2+3</v>
      </c>
      <c r="CA350" s="52" t="n">
        <f aca="false">IF(BW350=0,0,IF(N(S350)&gt;0,S350,IFERROR(VLOOKUP(D350,Parameter!$A$35:$C$64,3,0)+0,0)))</f>
        <v>0</v>
      </c>
      <c r="CB350" s="48" t="n">
        <f aca="false">IF(AA350&lt;&gt;"",AA350,Z350)</f>
        <v>3</v>
      </c>
      <c r="CC350" s="48" t="str">
        <f aca="false">IF(OR(CB350=1,CB350=2,CB350=3),IF(Parameter!$E$27="Ja","LIFT",IF(CB350=1,"L1","L23")),IF(CB350="Aussen","Aussen","-"))</f>
        <v>LIFT</v>
      </c>
      <c r="CD350" s="59" t="n">
        <f aca="false">IF(N(AB350)&gt;0,AB350,0)</f>
        <v>0</v>
      </c>
      <c r="CE350" s="53" t="n">
        <f aca="false">IF(ISNUMBER(AE350),1,0)</f>
        <v>0</v>
      </c>
      <c r="CF350" s="50" t="n">
        <f aca="false">N(AE350)</f>
        <v>0</v>
      </c>
      <c r="CG350" s="50" t="n">
        <f aca="false">N(M350)+N(N350)</f>
        <v>10</v>
      </c>
      <c r="CH350" s="50" t="n">
        <f aca="false">ROUNDUP(H350/BV350,0)</f>
        <v>1</v>
      </c>
      <c r="CI350" s="50" t="n">
        <f aca="false">ROUNDUP(CF350/BV350,0)</f>
        <v>0</v>
      </c>
      <c r="CJ350" s="53" t="n">
        <f aca="false">IF(BW350=1,0,IFERROR(VLOOKUP(BU350,'Gebinde-Kategorie'!$A$5:$N$45,5,0)+0,0))</f>
        <v>8</v>
      </c>
      <c r="CK350" s="53" t="n">
        <f aca="false">IFERROR(IF(OR(CB350=1,CB350=2,CB350=3),N(INDEX(Parameter!$I$5:$I$7,CB350)),0),0)</f>
        <v>0</v>
      </c>
      <c r="CL350" s="52" t="n">
        <f aca="false">IF(AND(Parameter!$B$21="Ja",ISNUMBER(W350),N(X350)&gt;0),IFERROR(N(INDEX(Parameter!$L$5:$L$7,W350))*INDEX(Parameter!$E$5:$E$7,W350)*X350/SUMIFS($X$7:$X$1843,$W$7:$W$1843,W350),0),0)</f>
        <v>0</v>
      </c>
    </row>
    <row r="351" customFormat="false" ht="15" hidden="false" customHeight="false" outlineLevel="0" collapsed="false">
      <c r="A351" s="48" t="s">
        <v>862</v>
      </c>
      <c r="B351" s="48" t="s">
        <v>863</v>
      </c>
      <c r="C351" s="48" t="s">
        <v>168</v>
      </c>
      <c r="D351" s="48" t="s">
        <v>188</v>
      </c>
      <c r="E351" s="48"/>
      <c r="F351" s="48" t="s">
        <v>222</v>
      </c>
      <c r="G351" s="49" t="n">
        <v>6.12</v>
      </c>
      <c r="H351" s="50" t="n">
        <f aca="false">MAX(0,IF(AND(Parameter!$B$21="Ja",ISNUMBER(Y351)),Y351,IF(Parameter!$B$20="Jahresanfang 2025 + Export",BO351+BN351,BN351)))</f>
        <v>155</v>
      </c>
      <c r="I351" s="50" t="n">
        <f aca="false">H351*G351</f>
        <v>948.6</v>
      </c>
      <c r="J351" s="50" t="n">
        <f aca="false">BQ351*Parameter!$B$18</f>
        <v>11</v>
      </c>
      <c r="K351" s="51" t="n">
        <v>142</v>
      </c>
      <c r="L351" s="52" t="n">
        <v>0.0774647887323944</v>
      </c>
      <c r="M351" s="50" t="n">
        <v>1</v>
      </c>
      <c r="N351" s="50" t="n">
        <v>10</v>
      </c>
      <c r="O351" s="53" t="n">
        <v>56</v>
      </c>
      <c r="P351" s="48" t="s">
        <v>190</v>
      </c>
      <c r="Q351" s="50" t="n">
        <v>155</v>
      </c>
      <c r="R351" s="53" t="n">
        <f aca="false">IF(BW351=1,0,IFERROR(VLOOKUP(BU351,'Gebinde-Kategorie'!$A$5:$N$45,13,0)+0,0))</f>
        <v>12</v>
      </c>
      <c r="S351" s="54"/>
      <c r="T351" s="55"/>
      <c r="U351" s="55"/>
      <c r="V351" s="55"/>
      <c r="W351" s="48"/>
      <c r="X351" s="50"/>
      <c r="Y351" s="50"/>
      <c r="Z351" s="48" t="n">
        <f aca="false">IF(A351="","",IF(AND(Parameter!$B$21="Ja",ISNUMBER(W351)),W351,IF(BZ351="2+3",IF(ISNUMBER(SEARCH("grosser Artikel",BR351)),2,IFERROR(VLOOKUP(BU351,Parameter!$F$35:$G$64,2,0),2)),IF(OR(BZ351="Nein",BZ351=""),"-",BZ351))))</f>
        <v>2</v>
      </c>
      <c r="AA351" s="55"/>
      <c r="AB351" s="56"/>
      <c r="AC351" s="50" t="n">
        <f aca="false">AT351</f>
        <v>155</v>
      </c>
      <c r="AD351" s="50" t="n">
        <f aca="false">MAX(AT351,H351)</f>
        <v>155</v>
      </c>
      <c r="AE351" s="57"/>
      <c r="AF351" s="50" t="n">
        <f aca="false">IF(LEFT(Cockpit!$C$5,1)="A",H351,IF(CE351=1,CF351,IF(LEFT(Cockpit!$C$5,1)="B",AK351,MAX(AK351,H351))))</f>
        <v>155</v>
      </c>
      <c r="AG351" s="50" t="n">
        <f aca="false">IF(BW351=1,0,ROUNDUP(AF351/BV351,0))</f>
        <v>1</v>
      </c>
      <c r="AH351" s="52" t="n">
        <f aca="false">IF(CL351&gt;0,CL351*MAX(1,AF351/X351),IF(BW351=1,IF(AF351&lt;=0,0,CA351*MAX(1,IF(H351&gt;0,AF351/H351,1))),IF(R351&gt;0,AG351/R351,0))/MAX(0.1,N(Parameter!$M$21)))</f>
        <v>0.0833333333333333</v>
      </c>
      <c r="AI351" s="50" t="n">
        <f aca="false">AH351*BY351</f>
        <v>12.0833333333333</v>
      </c>
      <c r="AJ351" s="50" t="n">
        <f aca="false">AF351*G351</f>
        <v>948.6</v>
      </c>
      <c r="AK351" s="50" t="n">
        <f aca="false">ROUNDUP(MAX(J351/IF(CD351&gt;0,CD351,MAX(0.1,N(Cockpit!$C$6))),CG351)/BV351,0)*BV351</f>
        <v>155</v>
      </c>
      <c r="AL351" s="51" t="n">
        <f aca="false">IF(AI351&gt;0,J351/AI351,-1)</f>
        <v>0.910344827586207</v>
      </c>
      <c r="AM351" s="51" t="n">
        <f aca="false">IF(AND(OR(CC351="L1",CC351="L23",CC351="LIFT"),AI351&gt;0),SUMIFS($AI$7:$AI$1843,$CC$7:$CC$1843,CC351,$AL$7:$AL$1843,"&gt;"&amp;AL351)+SUMIFS($AI$7:$AI$1843,$CC$7:$CC$1843,CC351,$AL$7:$AL$1843,AL351,$BT$7:$BT$1843,"&lt;="&amp;BT351),"")</f>
        <v>7467.20558608059</v>
      </c>
      <c r="AN351" s="58" t="n">
        <f aca="false">IF(AM351="",0,MAX(0,MIN(1,(IF(CC351="L1",Parameter!$H$5,IF(CC351="L23",Parameter!$H$6+Parameter!$H$7,Parameter!$H$5+Parameter!$H$6+Parameter!$H$7))-(AM351-AI351))/AI351)))</f>
        <v>1</v>
      </c>
      <c r="AO351" s="50" t="n">
        <f aca="false">IF(LEFT(Cockpit!$I$5,1)="A",H351,IF(CE351=1,CF351,IF(LEFT(Cockpit!$I$5,1)="B",AT351,MAX(AT351,H351))))</f>
        <v>155</v>
      </c>
      <c r="AP351" s="50" t="n">
        <f aca="false">IF(BW351=1,0,ROUNDUP(AO351/BV351,0))</f>
        <v>1</v>
      </c>
      <c r="AQ351" s="52" t="n">
        <f aca="false">IF(CL351&gt;0,CL351*MAX(1,AO351/X351),IF(BW351=1,IF(AO351&lt;=0,0,CA351*MAX(1,IF(H351&gt;0,AO351/H351,1))),IF(R351&gt;0,AP351/R351,0))/MAX(0.1,N(Parameter!$M$21)))</f>
        <v>0.0833333333333333</v>
      </c>
      <c r="AR351" s="50" t="n">
        <f aca="false">AQ351*BY351</f>
        <v>12.0833333333333</v>
      </c>
      <c r="AS351" s="50" t="n">
        <f aca="false">AO351*G351</f>
        <v>948.6</v>
      </c>
      <c r="AT351" s="50" t="n">
        <f aca="false">ROUNDUP(MAX(J351/IF(CD351&gt;0,CD351,MAX(0.1,N(Cockpit!$I$6))),CG351)/BV351,0)*BV351</f>
        <v>155</v>
      </c>
      <c r="AU351" s="51" t="n">
        <f aca="false">IF(AR351&gt;0,J351/AR351,-1)</f>
        <v>0.910344827586207</v>
      </c>
      <c r="AV351" s="51" t="n">
        <f aca="false">IF(AND(OR(CC351="L1",CC351="L23",CC351="LIFT"),AR351&gt;0),SUMIFS($AR$7:$AR$1843,$CC$7:$CC$1843,CC351,$AU$7:$AU$1843,"&gt;"&amp;AU351)+SUMIFS($AR$7:$AR$1843,$CC$7:$CC$1843,CC351,$AU$7:$AU$1843,AU351,$BT$7:$BT$1843,"&lt;="&amp;BT351),"")</f>
        <v>10578.4624542125</v>
      </c>
      <c r="AW351" s="58" t="n">
        <f aca="false">IF(AV351="",0,MAX(0,MIN(1,(IF(CC351="L1",Parameter!$H$5,IF(CC351="L23",Parameter!$H$6+Parameter!$H$7,Parameter!$H$5+Parameter!$H$6+Parameter!$H$7))-(AV351-AR351))/AR351)))</f>
        <v>1</v>
      </c>
      <c r="AX351" s="50" t="n">
        <f aca="false">IF(LEFT(Cockpit!$O$5,1)="A",H351,IF(CE351=1,CF351,IF(LEFT(Cockpit!$O$5,1)="B",BC351,MAX(BC351,H351))))</f>
        <v>155</v>
      </c>
      <c r="AY351" s="50" t="n">
        <f aca="false">IF(BW351=1,0,ROUNDUP(AX351/BV351,0))</f>
        <v>1</v>
      </c>
      <c r="AZ351" s="52" t="n">
        <f aca="false">IF(CL351&gt;0,CL351*MAX(1,AX351/X351),IF(BW351=1,IF(AX351&lt;=0,0,CA351*MAX(1,IF(H351&gt;0,AX351/H351,1))),IF(R351&gt;0,AY351/R351,0))/MAX(0.1,N(Parameter!$M$21)))</f>
        <v>0.0833333333333333</v>
      </c>
      <c r="BA351" s="50" t="n">
        <f aca="false">AZ351*BY351</f>
        <v>12.0833333333333</v>
      </c>
      <c r="BB351" s="50" t="n">
        <f aca="false">AX351*G351</f>
        <v>948.6</v>
      </c>
      <c r="BC351" s="50" t="n">
        <f aca="false">ROUNDUP(MAX(J351/IF(CD351&gt;0,CD351,MAX(0.1,N(Cockpit!$O$6))),CG351)/BV351,0)*BV351</f>
        <v>155</v>
      </c>
      <c r="BD351" s="51" t="n">
        <f aca="false">IF(BA351&gt;0,J351/BA351,-1)</f>
        <v>0.910344827586207</v>
      </c>
      <c r="BE351" s="51" t="n">
        <f aca="false">IF(AND(OR(CC351="L1",CC351="L23",CC351="LIFT"),BA351&gt;0),SUMIFS($BA$7:$BA$1843,$CC$7:$CC$1843,CC351,$BD$7:$BD$1843,"&gt;"&amp;BD351)+SUMIFS($BA$7:$BA$1843,$CC$7:$CC$1843,CC351,$BD$7:$BD$1843,BD351,$BT$7:$BT$1843,"&lt;="&amp;BT351),"")</f>
        <v>9836.61950549451</v>
      </c>
      <c r="BF351" s="58" t="n">
        <f aca="false">IF(BE351="",0,MAX(0,MIN(1,(IF(CC351="L1",Parameter!$H$5,IF(CC351="L23",Parameter!$H$6+Parameter!$H$7,Parameter!$H$5+Parameter!$H$6+Parameter!$H$7))-(BE351-BA351))/BA351)))</f>
        <v>1</v>
      </c>
      <c r="BG351" s="48" t="str">
        <f aca="false">IF(AI351&lt;=0,"",IF(CC351="Aussen","Aussenlager",IF(CC351="-","Nicht im Lift",IF(AN351&gt;=1,"Lift",IF(AN351&lt;=0,"Aussenlager","teilweise")))))</f>
        <v>Lift</v>
      </c>
      <c r="BH351" s="48" t="str">
        <f aca="false">IF(AR351&lt;=0,"",IF(CC351="Aussen","Aussenlager",IF(CC351="-","Nicht im Lift",IF(AW351&gt;=1,"Lift",IF(AW351&lt;=0,"Aussenlager","teilweise")))))</f>
        <v>Lift</v>
      </c>
      <c r="BI351" s="48" t="str">
        <f aca="false">IF(BA351&lt;=0,"",IF(CC351="Aussen","Aussenlager",IF(CC351="-","Nicht im Lift",IF(BF351&gt;=1,"Lift",IF(BF351&lt;=0,"Aussenlager","teilweise")))))</f>
        <v>Lift</v>
      </c>
      <c r="BJ351" s="48" t="str">
        <f aca="false">IF(A351="","",IF(BS351=1,"Neu; ","")&amp;IF(AND(BS351=0,BN351&lt;0),"negativer Bestand (Export "&amp;BN351&amp;"); ","")&amp;IF(J351&lt;=0,"Kein Verbrauch; ","")&amp;IF(CL351&gt;0,"Lift "&amp;W351&amp;" lt. Liftbericht (Fach "&amp;X351&amp;" Stk); ",IF(BX351=1,"Gebinde geschätzt ("&amp;T351&amp;"); ",IF(BW351=1,"Lose – Tablare geschätzt; ","")))&amp;IF(H351&gt;AT351,"Überbestand "&amp;ROUND(H351-AT351,0)&amp;" Stk / CHF "&amp;ROUND((H351-AT351)*G351,0)&amp;"; ","")&amp;IF(AND(CE351=1,CF351&lt;CG351),"MAX &lt; MB+LG; ","")&amp;IF(AND(CK351&gt;0,CJ351*10&gt;CK351),"zu hoch für Tablar; ","")&amp;IF(AND(BS351=0,OR(CE351=1,AA351&lt;&gt;"",U351&lt;&gt;"",V351&lt;&gt;"",AB351&lt;&gt;"")),"manuell übersteuert; ","")&amp;IF(AND(BW351=0,R351=0),"Gebinde unbekannt / Stellmass fehlt; ","")&amp;IF(AND(BW351=0,N(V351)&lt;=0,N(Q351)&lt;=0),"Menge pro Gebinde fehlt (Ist = 1 Gebinde); ","")&amp;BR351)</f>
        <v>Neuer Art.</v>
      </c>
      <c r="BK351" s="48"/>
      <c r="BL351" s="48"/>
      <c r="BM351" s="55"/>
      <c r="BN351" s="50" t="n">
        <v>29</v>
      </c>
      <c r="BO351" s="50" t="n">
        <v>126</v>
      </c>
      <c r="BP351" s="49" t="n">
        <v>177.48</v>
      </c>
      <c r="BQ351" s="50" t="n">
        <v>11</v>
      </c>
      <c r="BR351" s="48" t="s">
        <v>516</v>
      </c>
      <c r="BS351" s="53" t="n">
        <v>0</v>
      </c>
      <c r="BT351" s="53" t="n">
        <v>351</v>
      </c>
      <c r="BU351" s="48" t="str">
        <f aca="false">IF(U351&lt;&gt;"",UPPER(TRIM(U351)),IF(BX351=1,UPPER(VLOOKUP(T351,Parameter!$I$27:$K$29,2,0)),IF(P351="","LOSE",P351)))</f>
        <v>S61</v>
      </c>
      <c r="BV351" s="50" t="n">
        <f aca="false">IF(BU351="LOSE",1,IF(N(V351)&gt;0,V351,IF(BX351=1,MAX(1,N(VLOOKUP(T351,Parameter!$I$27:$K$29,3,0)),H351,N(N351)),IF(N(Q351)&gt;0,Q351,MAX(1,H351)))))</f>
        <v>155</v>
      </c>
      <c r="BW351" s="53" t="n">
        <f aca="false">IF(BU351="LOSE",1,0)</f>
        <v>0</v>
      </c>
      <c r="BX351" s="53" t="n">
        <f aca="false">IF(AND(U351="",OR(P351="",P351="LOSE"),T351&lt;&gt;"",N(S351)&lt;=0,ISNUMBER(MATCH(T351,Parameter!$I$27:$I$29,0))),1,0)</f>
        <v>0</v>
      </c>
      <c r="BY351" s="53" t="n">
        <f aca="false">IF(CL351&gt;0,INDEX(Parameter!$H$5:$H$7,W351)/INDEX(Parameter!$E$5:$E$7,W351),IF(AND(BW351=0,N(IFERROR(VLOOKUP(BU351,'Gebinde-Kategorie'!$A$5:$N$45,14,0),0))&gt;0),VLOOKUP(BU351,'Gebinde-Kategorie'!$A$5:$N$45,14,0)*10+Parameter!$M$23,Parameter!$M$24))</f>
        <v>145</v>
      </c>
      <c r="BZ351" s="48" t="str">
        <f aca="false">IF(AND(Parameter!$B$19="Ja",E351&lt;&gt;"",ISNUMBER(MATCH(E351,Parameter!$I$35:$I$52,0))),VLOOKUP(E351,Parameter!$I$35:$J$52,2,0),IFERROR(VLOOKUP(D351,Parameter!$A$35:$C$64,2,0),"Nein"))</f>
        <v>2+3</v>
      </c>
      <c r="CA351" s="52" t="n">
        <f aca="false">IF(BW351=0,0,IF(N(S351)&gt;0,S351,IFERROR(VLOOKUP(D351,Parameter!$A$35:$C$64,3,0)+0,0)))</f>
        <v>0</v>
      </c>
      <c r="CB351" s="48" t="n">
        <f aca="false">IF(AA351&lt;&gt;"",AA351,Z351)</f>
        <v>2</v>
      </c>
      <c r="CC351" s="48" t="str">
        <f aca="false">IF(OR(CB351=1,CB351=2,CB351=3),IF(Parameter!$E$27="Ja","LIFT",IF(CB351=1,"L1","L23")),IF(CB351="Aussen","Aussen","-"))</f>
        <v>LIFT</v>
      </c>
      <c r="CD351" s="59" t="n">
        <f aca="false">IF(N(AB351)&gt;0,AB351,0)</f>
        <v>0</v>
      </c>
      <c r="CE351" s="53" t="n">
        <f aca="false">IF(ISNUMBER(AE351),1,0)</f>
        <v>0</v>
      </c>
      <c r="CF351" s="50" t="n">
        <f aca="false">N(AE351)</f>
        <v>0</v>
      </c>
      <c r="CG351" s="50" t="n">
        <f aca="false">N(M351)+N(N351)</f>
        <v>11</v>
      </c>
      <c r="CH351" s="50" t="n">
        <f aca="false">ROUNDUP(H351/BV351,0)</f>
        <v>1</v>
      </c>
      <c r="CI351" s="50" t="n">
        <f aca="false">ROUNDUP(CF351/BV351,0)</f>
        <v>0</v>
      </c>
      <c r="CJ351" s="53" t="n">
        <f aca="false">IF(BW351=1,0,IFERROR(VLOOKUP(BU351,'Gebinde-Kategorie'!$A$5:$N$45,5,0)+0,0))</f>
        <v>11</v>
      </c>
      <c r="CK351" s="53" t="n">
        <f aca="false">IFERROR(IF(OR(CB351=1,CB351=2,CB351=3),N(INDEX(Parameter!$I$5:$I$7,CB351)),0),0)</f>
        <v>0</v>
      </c>
      <c r="CL351" s="52" t="n">
        <f aca="false">IF(AND(Parameter!$B$21="Ja",ISNUMBER(W351),N(X351)&gt;0),IFERROR(N(INDEX(Parameter!$L$5:$L$7,W351))*INDEX(Parameter!$E$5:$E$7,W351)*X351/SUMIFS($X$7:$X$1843,$W$7:$W$1843,W351),0),0)</f>
        <v>0</v>
      </c>
    </row>
    <row r="352" customFormat="false" ht="15" hidden="false" customHeight="false" outlineLevel="0" collapsed="false">
      <c r="A352" s="48" t="s">
        <v>864</v>
      </c>
      <c r="B352" s="48" t="s">
        <v>865</v>
      </c>
      <c r="C352" s="48" t="s">
        <v>168</v>
      </c>
      <c r="D352" s="48" t="s">
        <v>188</v>
      </c>
      <c r="E352" s="48"/>
      <c r="F352" s="48" t="s">
        <v>222</v>
      </c>
      <c r="G352" s="49" t="n">
        <v>6.79</v>
      </c>
      <c r="H352" s="50" t="n">
        <f aca="false">MAX(0,IF(AND(Parameter!$B$21="Ja",ISNUMBER(Y352)),Y352,IF(Parameter!$B$20="Jahresanfang 2025 + Export",BO352+BN352,BN352)))</f>
        <v>43</v>
      </c>
      <c r="I352" s="50" t="n">
        <f aca="false">H352*G352</f>
        <v>291.97</v>
      </c>
      <c r="J352" s="50" t="n">
        <f aca="false">BQ352*Parameter!$B$18</f>
        <v>9</v>
      </c>
      <c r="K352" s="51" t="n">
        <v>22</v>
      </c>
      <c r="L352" s="52" t="n">
        <v>0.409090909090909</v>
      </c>
      <c r="M352" s="50" t="n">
        <v>0</v>
      </c>
      <c r="N352" s="50" t="n">
        <v>10</v>
      </c>
      <c r="O352" s="53" t="n">
        <v>21</v>
      </c>
      <c r="P352" s="48" t="s">
        <v>425</v>
      </c>
      <c r="Q352" s="50" t="n">
        <v>60</v>
      </c>
      <c r="R352" s="53" t="n">
        <f aca="false">IF(BW352=1,0,IFERROR(VLOOKUP(BU352,'Gebinde-Kategorie'!$A$5:$N$45,13,0)+0,0))</f>
        <v>104</v>
      </c>
      <c r="S352" s="54"/>
      <c r="T352" s="55"/>
      <c r="U352" s="55"/>
      <c r="V352" s="55"/>
      <c r="W352" s="48"/>
      <c r="X352" s="50"/>
      <c r="Y352" s="50"/>
      <c r="Z352" s="48" t="n">
        <f aca="false">IF(A352="","",IF(AND(Parameter!$B$21="Ja",ISNUMBER(W352)),W352,IF(BZ352="2+3",IF(ISNUMBER(SEARCH("grosser Artikel",BR352)),2,IFERROR(VLOOKUP(BU352,Parameter!$F$35:$G$64,2,0),2)),IF(OR(BZ352="Nein",BZ352=""),"-",BZ352))))</f>
        <v>3</v>
      </c>
      <c r="AA352" s="55"/>
      <c r="AB352" s="56"/>
      <c r="AC352" s="50" t="n">
        <f aca="false">AT352</f>
        <v>60</v>
      </c>
      <c r="AD352" s="50" t="n">
        <f aca="false">MAX(AT352,H352)</f>
        <v>60</v>
      </c>
      <c r="AE352" s="57"/>
      <c r="AF352" s="50" t="n">
        <f aca="false">IF(LEFT(Cockpit!$C$5,1)="A",H352,IF(CE352=1,CF352,IF(LEFT(Cockpit!$C$5,1)="B",AK352,MAX(AK352,H352))))</f>
        <v>43</v>
      </c>
      <c r="AG352" s="50" t="n">
        <f aca="false">IF(BW352=1,0,ROUNDUP(AF352/BV352,0))</f>
        <v>1</v>
      </c>
      <c r="AH352" s="52" t="n">
        <f aca="false">IF(CL352&gt;0,CL352*MAX(1,AF352/X352),IF(BW352=1,IF(AF352&lt;=0,0,CA352*MAX(1,IF(H352&gt;0,AF352/H352,1))),IF(R352&gt;0,AG352/R352,0))/MAX(0.1,N(Parameter!$M$21)))</f>
        <v>0.00961538461538462</v>
      </c>
      <c r="AI352" s="50" t="n">
        <f aca="false">AH352*BY352</f>
        <v>1.49038461538462</v>
      </c>
      <c r="AJ352" s="50" t="n">
        <f aca="false">AF352*G352</f>
        <v>291.97</v>
      </c>
      <c r="AK352" s="50" t="n">
        <f aca="false">ROUNDUP(MAX(J352/IF(CD352&gt;0,CD352,MAX(0.1,N(Cockpit!$C$6))),CG352)/BV352,0)*BV352</f>
        <v>60</v>
      </c>
      <c r="AL352" s="51" t="n">
        <f aca="false">IF(AI352&gt;0,J352/AI352,-1)</f>
        <v>6.03870967741935</v>
      </c>
      <c r="AM352" s="51" t="n">
        <f aca="false">IF(AND(OR(CC352="L1",CC352="L23",CC352="LIFT"),AI352&gt;0),SUMIFS($AI$7:$AI$1843,$CC$7:$CC$1843,CC352,$AL$7:$AL$1843,"&gt;"&amp;AL352)+SUMIFS($AI$7:$AI$1843,$CC$7:$CC$1843,CC352,$AL$7:$AL$1843,AL352,$BT$7:$BT$1843,"&lt;="&amp;BT352),"")</f>
        <v>3511.99725274725</v>
      </c>
      <c r="AN352" s="58" t="n">
        <f aca="false">IF(AM352="",0,MAX(0,MIN(1,(IF(CC352="L1",Parameter!$H$5,IF(CC352="L23",Parameter!$H$6+Parameter!$H$7,Parameter!$H$5+Parameter!$H$6+Parameter!$H$7))-(AM352-AI352))/AI352)))</f>
        <v>1</v>
      </c>
      <c r="AO352" s="50" t="n">
        <f aca="false">IF(LEFT(Cockpit!$I$5,1)="A",H352,IF(CE352=1,CF352,IF(LEFT(Cockpit!$I$5,1)="B",AT352,MAX(AT352,H352))))</f>
        <v>60</v>
      </c>
      <c r="AP352" s="50" t="n">
        <f aca="false">IF(BW352=1,0,ROUNDUP(AO352/BV352,0))</f>
        <v>1</v>
      </c>
      <c r="AQ352" s="52" t="n">
        <f aca="false">IF(CL352&gt;0,CL352*MAX(1,AO352/X352),IF(BW352=1,IF(AO352&lt;=0,0,CA352*MAX(1,IF(H352&gt;0,AO352/H352,1))),IF(R352&gt;0,AP352/R352,0))/MAX(0.1,N(Parameter!$M$21)))</f>
        <v>0.00961538461538462</v>
      </c>
      <c r="AR352" s="50" t="n">
        <f aca="false">AQ352*BY352</f>
        <v>1.49038461538462</v>
      </c>
      <c r="AS352" s="50" t="n">
        <f aca="false">AO352*G352</f>
        <v>407.4</v>
      </c>
      <c r="AT352" s="50" t="n">
        <f aca="false">ROUNDUP(MAX(J352/IF(CD352&gt;0,CD352,MAX(0.1,N(Cockpit!$I$6))),CG352)/BV352,0)*BV352</f>
        <v>60</v>
      </c>
      <c r="AU352" s="51" t="n">
        <f aca="false">IF(AR352&gt;0,J352/AR352,-1)</f>
        <v>6.03870967741935</v>
      </c>
      <c r="AV352" s="51" t="n">
        <f aca="false">IF(AND(OR(CC352="L1",CC352="L23",CC352="LIFT"),AR352&gt;0),SUMIFS($AR$7:$AR$1843,$CC$7:$CC$1843,CC352,$AU$7:$AU$1843,"&gt;"&amp;AU352)+SUMIFS($AR$7:$AR$1843,$CC$7:$CC$1843,CC352,$AU$7:$AU$1843,AU352,$BT$7:$BT$1843,"&lt;="&amp;BT352),"")</f>
        <v>4611.30860805861</v>
      </c>
      <c r="AW352" s="58" t="n">
        <f aca="false">IF(AV352="",0,MAX(0,MIN(1,(IF(CC352="L1",Parameter!$H$5,IF(CC352="L23",Parameter!$H$6+Parameter!$H$7,Parameter!$H$5+Parameter!$H$6+Parameter!$H$7))-(AV352-AR352))/AR352)))</f>
        <v>1</v>
      </c>
      <c r="AX352" s="50" t="n">
        <f aca="false">IF(LEFT(Cockpit!$O$5,1)="A",H352,IF(CE352=1,CF352,IF(LEFT(Cockpit!$O$5,1)="B",BC352,MAX(BC352,H352))))</f>
        <v>60</v>
      </c>
      <c r="AY352" s="50" t="n">
        <f aca="false">IF(BW352=1,0,ROUNDUP(AX352/BV352,0))</f>
        <v>1</v>
      </c>
      <c r="AZ352" s="52" t="n">
        <f aca="false">IF(CL352&gt;0,CL352*MAX(1,AX352/X352),IF(BW352=1,IF(AX352&lt;=0,0,CA352*MAX(1,IF(H352&gt;0,AX352/H352,1))),IF(R352&gt;0,AY352/R352,0))/MAX(0.1,N(Parameter!$M$21)))</f>
        <v>0.00961538461538462</v>
      </c>
      <c r="BA352" s="50" t="n">
        <f aca="false">AZ352*BY352</f>
        <v>1.49038461538462</v>
      </c>
      <c r="BB352" s="50" t="n">
        <f aca="false">AX352*G352</f>
        <v>407.4</v>
      </c>
      <c r="BC352" s="50" t="n">
        <f aca="false">ROUNDUP(MAX(J352/IF(CD352&gt;0,CD352,MAX(0.1,N(Cockpit!$O$6))),CG352)/BV352,0)*BV352</f>
        <v>60</v>
      </c>
      <c r="BD352" s="51" t="n">
        <f aca="false">IF(BA352&gt;0,J352/BA352,-1)</f>
        <v>6.03870967741935</v>
      </c>
      <c r="BE352" s="51" t="n">
        <f aca="false">IF(AND(OR(CC352="L1",CC352="L23",CC352="LIFT"),BA352&gt;0),SUMIFS($BA$7:$BA$1843,$CC$7:$CC$1843,CC352,$BD$7:$BD$1843,"&gt;"&amp;BD352)+SUMIFS($BA$7:$BA$1843,$CC$7:$CC$1843,CC352,$BD$7:$BD$1843,BD352,$BT$7:$BT$1843,"&lt;="&amp;BT352),"")</f>
        <v>4402.60668498169</v>
      </c>
      <c r="BF352" s="58" t="n">
        <f aca="false">IF(BE352="",0,MAX(0,MIN(1,(IF(CC352="L1",Parameter!$H$5,IF(CC352="L23",Parameter!$H$6+Parameter!$H$7,Parameter!$H$5+Parameter!$H$6+Parameter!$H$7))-(BE352-BA352))/BA352)))</f>
        <v>1</v>
      </c>
      <c r="BG352" s="48" t="str">
        <f aca="false">IF(AI352&lt;=0,"",IF(CC352="Aussen","Aussenlager",IF(CC352="-","Nicht im Lift",IF(AN352&gt;=1,"Lift",IF(AN352&lt;=0,"Aussenlager","teilweise")))))</f>
        <v>Lift</v>
      </c>
      <c r="BH352" s="48" t="str">
        <f aca="false">IF(AR352&lt;=0,"",IF(CC352="Aussen","Aussenlager",IF(CC352="-","Nicht im Lift",IF(AW352&gt;=1,"Lift",IF(AW352&lt;=0,"Aussenlager","teilweise")))))</f>
        <v>Lift</v>
      </c>
      <c r="BI352" s="48" t="str">
        <f aca="false">IF(BA352&lt;=0,"",IF(CC352="Aussen","Aussenlager",IF(CC352="-","Nicht im Lift",IF(BF352&gt;=1,"Lift",IF(BF352&lt;=0,"Aussenlager","teilweise")))))</f>
        <v>Lift</v>
      </c>
      <c r="BJ352" s="48" t="str">
        <f aca="false">IF(A352="","",IF(BS352=1,"Neu; ","")&amp;IF(AND(BS352=0,BN352&lt;0),"negativer Bestand (Export "&amp;BN352&amp;"); ","")&amp;IF(J352&lt;=0,"Kein Verbrauch; ","")&amp;IF(CL352&gt;0,"Lift "&amp;W352&amp;" lt. Liftbericht (Fach "&amp;X352&amp;" Stk); ",IF(BX352=1,"Gebinde geschätzt ("&amp;T352&amp;"); ",IF(BW352=1,"Lose – Tablare geschätzt; ","")))&amp;IF(H352&gt;AT352,"Überbestand "&amp;ROUND(H352-AT352,0)&amp;" Stk / CHF "&amp;ROUND((H352-AT352)*G352,0)&amp;"; ","")&amp;IF(AND(CE352=1,CF352&lt;CG352),"MAX &lt; MB+LG; ","")&amp;IF(AND(CK352&gt;0,CJ352*10&gt;CK352),"zu hoch für Tablar; ","")&amp;IF(AND(BS352=0,OR(CE352=1,AA352&lt;&gt;"",U352&lt;&gt;"",V352&lt;&gt;"",AB352&lt;&gt;"")),"manuell übersteuert; ","")&amp;IF(AND(BW352=0,R352=0),"Gebinde unbekannt / Stellmass fehlt; ","")&amp;IF(AND(BW352=0,N(V352)&lt;=0,N(Q352)&lt;=0),"Menge pro Gebinde fehlt (Ist = 1 Gebinde); ","")&amp;BR352)</f>
        <v/>
      </c>
      <c r="BK352" s="48"/>
      <c r="BL352" s="48"/>
      <c r="BM352" s="55"/>
      <c r="BN352" s="50" t="n">
        <v>26</v>
      </c>
      <c r="BO352" s="50" t="n">
        <v>17</v>
      </c>
      <c r="BP352" s="49" t="n">
        <v>176.54</v>
      </c>
      <c r="BQ352" s="50" t="n">
        <v>9</v>
      </c>
      <c r="BR352" s="48"/>
      <c r="BS352" s="53" t="n">
        <v>0</v>
      </c>
      <c r="BT352" s="53" t="n">
        <v>352</v>
      </c>
      <c r="BU352" s="48" t="str">
        <f aca="false">IF(U352&lt;&gt;"",UPPER(TRIM(U352)),IF(BX352=1,UPPER(VLOOKUP(T352,Parameter!$I$27:$K$29,2,0)),IF(P352="","LOSE",P352)))</f>
        <v>S32</v>
      </c>
      <c r="BV352" s="50" t="n">
        <f aca="false">IF(BU352="LOSE",1,IF(N(V352)&gt;0,V352,IF(BX352=1,MAX(1,N(VLOOKUP(T352,Parameter!$I$27:$K$29,3,0)),H352,N(N352)),IF(N(Q352)&gt;0,Q352,MAX(1,H352)))))</f>
        <v>60</v>
      </c>
      <c r="BW352" s="53" t="n">
        <f aca="false">IF(BU352="LOSE",1,0)</f>
        <v>0</v>
      </c>
      <c r="BX352" s="53" t="n">
        <f aca="false">IF(AND(U352="",OR(P352="",P352="LOSE"),T352&lt;&gt;"",N(S352)&lt;=0,ISNUMBER(MATCH(T352,Parameter!$I$27:$I$29,0))),1,0)</f>
        <v>0</v>
      </c>
      <c r="BY352" s="53" t="n">
        <f aca="false">IF(CL352&gt;0,INDEX(Parameter!$H$5:$H$7,W352)/INDEX(Parameter!$E$5:$E$7,W352),IF(AND(BW352=0,N(IFERROR(VLOOKUP(BU352,'Gebinde-Kategorie'!$A$5:$N$45,14,0),0))&gt;0),VLOOKUP(BU352,'Gebinde-Kategorie'!$A$5:$N$45,14,0)*10+Parameter!$M$23,Parameter!$M$24))</f>
        <v>155</v>
      </c>
      <c r="BZ352" s="48" t="str">
        <f aca="false">IF(AND(Parameter!$B$19="Ja",E352&lt;&gt;"",ISNUMBER(MATCH(E352,Parameter!$I$35:$I$52,0))),VLOOKUP(E352,Parameter!$I$35:$J$52,2,0),IFERROR(VLOOKUP(D352,Parameter!$A$35:$C$64,2,0),"Nein"))</f>
        <v>2+3</v>
      </c>
      <c r="CA352" s="52" t="n">
        <f aca="false">IF(BW352=0,0,IF(N(S352)&gt;0,S352,IFERROR(VLOOKUP(D352,Parameter!$A$35:$C$64,3,0)+0,0)))</f>
        <v>0</v>
      </c>
      <c r="CB352" s="48" t="n">
        <f aca="false">IF(AA352&lt;&gt;"",AA352,Z352)</f>
        <v>3</v>
      </c>
      <c r="CC352" s="48" t="str">
        <f aca="false">IF(OR(CB352=1,CB352=2,CB352=3),IF(Parameter!$E$27="Ja","LIFT",IF(CB352=1,"L1","L23")),IF(CB352="Aussen","Aussen","-"))</f>
        <v>LIFT</v>
      </c>
      <c r="CD352" s="59" t="n">
        <f aca="false">IF(N(AB352)&gt;0,AB352,0)</f>
        <v>0</v>
      </c>
      <c r="CE352" s="53" t="n">
        <f aca="false">IF(ISNUMBER(AE352),1,0)</f>
        <v>0</v>
      </c>
      <c r="CF352" s="50" t="n">
        <f aca="false">N(AE352)</f>
        <v>0</v>
      </c>
      <c r="CG352" s="50" t="n">
        <f aca="false">N(M352)+N(N352)</f>
        <v>10</v>
      </c>
      <c r="CH352" s="50" t="n">
        <f aca="false">ROUNDUP(H352/BV352,0)</f>
        <v>1</v>
      </c>
      <c r="CI352" s="50" t="n">
        <f aca="false">ROUNDUP(CF352/BV352,0)</f>
        <v>0</v>
      </c>
      <c r="CJ352" s="53" t="n">
        <f aca="false">IF(BW352=1,0,IFERROR(VLOOKUP(BU352,'Gebinde-Kategorie'!$A$5:$N$45,5,0)+0,0))</f>
        <v>8</v>
      </c>
      <c r="CK352" s="53" t="n">
        <f aca="false">IFERROR(IF(OR(CB352=1,CB352=2,CB352=3),N(INDEX(Parameter!$I$5:$I$7,CB352)),0),0)</f>
        <v>0</v>
      </c>
      <c r="CL352" s="52" t="n">
        <f aca="false">IF(AND(Parameter!$B$21="Ja",ISNUMBER(W352),N(X352)&gt;0),IFERROR(N(INDEX(Parameter!$L$5:$L$7,W352))*INDEX(Parameter!$E$5:$E$7,W352)*X352/SUMIFS($X$7:$X$1843,$W$7:$W$1843,W352),0),0)</f>
        <v>0</v>
      </c>
    </row>
    <row r="353" customFormat="false" ht="15" hidden="false" customHeight="false" outlineLevel="0" collapsed="false">
      <c r="A353" s="48" t="s">
        <v>866</v>
      </c>
      <c r="B353" s="48" t="s">
        <v>371</v>
      </c>
      <c r="C353" s="48" t="s">
        <v>168</v>
      </c>
      <c r="D353" s="48" t="s">
        <v>188</v>
      </c>
      <c r="E353" s="48"/>
      <c r="F353" s="48" t="s">
        <v>222</v>
      </c>
      <c r="G353" s="49" t="n">
        <v>10.47</v>
      </c>
      <c r="H353" s="50" t="n">
        <f aca="false">MAX(0,IF(AND(Parameter!$B$21="Ja",ISNUMBER(Y353)),Y353,IF(Parameter!$B$20="Jahresanfang 2025 + Export",BO353+BN353,BN353)))</f>
        <v>26</v>
      </c>
      <c r="I353" s="50" t="n">
        <f aca="false">H353*G353</f>
        <v>272.22</v>
      </c>
      <c r="J353" s="50" t="n">
        <f aca="false">BQ353*Parameter!$B$18</f>
        <v>0</v>
      </c>
      <c r="K353" s="51" t="n">
        <v>18.5</v>
      </c>
      <c r="L353" s="52" t="n">
        <v>0</v>
      </c>
      <c r="M353" s="50" t="n">
        <v>0</v>
      </c>
      <c r="N353" s="50" t="n">
        <v>10</v>
      </c>
      <c r="O353" s="53" t="n">
        <v>21</v>
      </c>
      <c r="P353" s="48" t="s">
        <v>332</v>
      </c>
      <c r="Q353" s="50" t="n">
        <v>50</v>
      </c>
      <c r="R353" s="53" t="n">
        <f aca="false">IF(BW353=1,0,IFERROR(VLOOKUP(BU353,'Gebinde-Kategorie'!$A$5:$N$45,13,0)+0,0))</f>
        <v>52</v>
      </c>
      <c r="S353" s="54"/>
      <c r="T353" s="55"/>
      <c r="U353" s="55"/>
      <c r="V353" s="55"/>
      <c r="W353" s="48"/>
      <c r="X353" s="50"/>
      <c r="Y353" s="50"/>
      <c r="Z353" s="48" t="n">
        <f aca="false">IF(A353="","",IF(AND(Parameter!$B$21="Ja",ISNUMBER(W353)),W353,IF(BZ353="2+3",IF(ISNUMBER(SEARCH("grosser Artikel",BR353)),2,IFERROR(VLOOKUP(BU353,Parameter!$F$35:$G$64,2,0),2)),IF(OR(BZ353="Nein",BZ353=""),"-",BZ353))))</f>
        <v>3</v>
      </c>
      <c r="AA353" s="55"/>
      <c r="AB353" s="56"/>
      <c r="AC353" s="50" t="n">
        <f aca="false">AT353</f>
        <v>50</v>
      </c>
      <c r="AD353" s="50" t="n">
        <f aca="false">MAX(AT353,H353)</f>
        <v>50</v>
      </c>
      <c r="AE353" s="57"/>
      <c r="AF353" s="50" t="n">
        <f aca="false">IF(LEFT(Cockpit!$C$5,1)="A",H353,IF(CE353=1,CF353,IF(LEFT(Cockpit!$C$5,1)="B",AK353,MAX(AK353,H353))))</f>
        <v>26</v>
      </c>
      <c r="AG353" s="50" t="n">
        <f aca="false">IF(BW353=1,0,ROUNDUP(AF353/BV353,0))</f>
        <v>1</v>
      </c>
      <c r="AH353" s="52" t="n">
        <f aca="false">IF(CL353&gt;0,CL353*MAX(1,AF353/X353),IF(BW353=1,IF(AF353&lt;=0,0,CA353*MAX(1,IF(H353&gt;0,AF353/H353,1))),IF(R353&gt;0,AG353/R353,0))/MAX(0.1,N(Parameter!$M$21)))</f>
        <v>0.0192307692307692</v>
      </c>
      <c r="AI353" s="50" t="n">
        <f aca="false">AH353*BY353</f>
        <v>2.98076923076923</v>
      </c>
      <c r="AJ353" s="50" t="n">
        <f aca="false">AF353*G353</f>
        <v>272.22</v>
      </c>
      <c r="AK353" s="50" t="n">
        <f aca="false">ROUNDUP(MAX(J353/IF(CD353&gt;0,CD353,MAX(0.1,N(Cockpit!$C$6))),CG353)/BV353,0)*BV353</f>
        <v>50</v>
      </c>
      <c r="AL353" s="51" t="n">
        <f aca="false">IF(AI353&gt;0,J353/AI353,-1)</f>
        <v>0</v>
      </c>
      <c r="AM353" s="51" t="n">
        <f aca="false">IF(AND(OR(CC353="L1",CC353="L23",CC353="LIFT"),AI353&gt;0),SUMIFS($AI$7:$AI$1843,$CC$7:$CC$1843,CC353,$AL$7:$AL$1843,"&gt;"&amp;AL353)+SUMIFS($AI$7:$AI$1843,$CC$7:$CC$1843,CC353,$AL$7:$AL$1843,AL353,$BT$7:$BT$1843,"&lt;="&amp;BT353),"")</f>
        <v>28016.085790857</v>
      </c>
      <c r="AN353" s="58" t="n">
        <f aca="false">IF(AM353="",0,MAX(0,MIN(1,(IF(CC353="L1",Parameter!$H$5,IF(CC353="L23",Parameter!$H$6+Parameter!$H$7,Parameter!$H$5+Parameter!$H$6+Parameter!$H$7))-(AM353-AI353))/AI353)))</f>
        <v>1</v>
      </c>
      <c r="AO353" s="50" t="n">
        <f aca="false">IF(LEFT(Cockpit!$I$5,1)="A",H353,IF(CE353=1,CF353,IF(LEFT(Cockpit!$I$5,1)="B",AT353,MAX(AT353,H353))))</f>
        <v>50</v>
      </c>
      <c r="AP353" s="50" t="n">
        <f aca="false">IF(BW353=1,0,ROUNDUP(AO353/BV353,0))</f>
        <v>1</v>
      </c>
      <c r="AQ353" s="52" t="n">
        <f aca="false">IF(CL353&gt;0,CL353*MAX(1,AO353/X353),IF(BW353=1,IF(AO353&lt;=0,0,CA353*MAX(1,IF(H353&gt;0,AO353/H353,1))),IF(R353&gt;0,AP353/R353,0))/MAX(0.1,N(Parameter!$M$21)))</f>
        <v>0.0192307692307692</v>
      </c>
      <c r="AR353" s="50" t="n">
        <f aca="false">AQ353*BY353</f>
        <v>2.98076923076923</v>
      </c>
      <c r="AS353" s="50" t="n">
        <f aca="false">AO353*G353</f>
        <v>523.5</v>
      </c>
      <c r="AT353" s="50" t="n">
        <f aca="false">ROUNDUP(MAX(J353/IF(CD353&gt;0,CD353,MAX(0.1,N(Cockpit!$I$6))),CG353)/BV353,0)*BV353</f>
        <v>50</v>
      </c>
      <c r="AU353" s="51" t="n">
        <f aca="false">IF(AR353&gt;0,J353/AR353,-1)</f>
        <v>0</v>
      </c>
      <c r="AV353" s="51" t="n">
        <f aca="false">IF(AND(OR(CC353="L1",CC353="L23",CC353="LIFT"),AR353&gt;0),SUMIFS($AR$7:$AR$1843,$CC$7:$CC$1843,CC353,$AU$7:$AU$1843,"&gt;"&amp;AU353)+SUMIFS($AR$7:$AR$1843,$CC$7:$CC$1843,CC353,$AU$7:$AU$1843,AU353,$BT$7:$BT$1843,"&lt;="&amp;BT353),"")</f>
        <v>39328.9913081269</v>
      </c>
      <c r="AW353" s="58" t="n">
        <f aca="false">IF(AV353="",0,MAX(0,MIN(1,(IF(CC353="L1",Parameter!$H$5,IF(CC353="L23",Parameter!$H$6+Parameter!$H$7,Parameter!$H$5+Parameter!$H$6+Parameter!$H$7))-(AV353-AR353))/AR353)))</f>
        <v>0</v>
      </c>
      <c r="AX353" s="50" t="n">
        <f aca="false">IF(LEFT(Cockpit!$O$5,1)="A",H353,IF(CE353=1,CF353,IF(LEFT(Cockpit!$O$5,1)="B",BC353,MAX(BC353,H353))))</f>
        <v>50</v>
      </c>
      <c r="AY353" s="50" t="n">
        <f aca="false">IF(BW353=1,0,ROUNDUP(AX353/BV353,0))</f>
        <v>1</v>
      </c>
      <c r="AZ353" s="52" t="n">
        <f aca="false">IF(CL353&gt;0,CL353*MAX(1,AX353/X353),IF(BW353=1,IF(AX353&lt;=0,0,CA353*MAX(1,IF(H353&gt;0,AX353/H353,1))),IF(R353&gt;0,AY353/R353,0))/MAX(0.1,N(Parameter!$M$21)))</f>
        <v>0.0192307692307692</v>
      </c>
      <c r="BA353" s="50" t="n">
        <f aca="false">AZ353*BY353</f>
        <v>2.98076923076923</v>
      </c>
      <c r="BB353" s="50" t="n">
        <f aca="false">AX353*G353</f>
        <v>523.5</v>
      </c>
      <c r="BC353" s="50" t="n">
        <f aca="false">ROUNDUP(MAX(J353/IF(CD353&gt;0,CD353,MAX(0.1,N(Cockpit!$O$6))),CG353)/BV353,0)*BV353</f>
        <v>50</v>
      </c>
      <c r="BD353" s="51" t="n">
        <f aca="false">IF(BA353&gt;0,J353/BA353,-1)</f>
        <v>0</v>
      </c>
      <c r="BE353" s="51" t="n">
        <f aca="false">IF(AND(OR(CC353="L1",CC353="L23",CC353="LIFT"),BA353&gt;0),SUMIFS($BA$7:$BA$1843,$CC$7:$CC$1843,CC353,$BD$7:$BD$1843,"&gt;"&amp;BD353)+SUMIFS($BA$7:$BA$1843,$CC$7:$CC$1843,CC353,$BD$7:$BD$1843,BD353,$BT$7:$BT$1843,"&lt;="&amp;BT353),"")</f>
        <v>36004.0033499928</v>
      </c>
      <c r="BF353" s="58" t="n">
        <f aca="false">IF(BE353="",0,MAX(0,MIN(1,(IF(CC353="L1",Parameter!$H$5,IF(CC353="L23",Parameter!$H$6+Parameter!$H$7,Parameter!$H$5+Parameter!$H$6+Parameter!$H$7))-(BE353-BA353))/BA353)))</f>
        <v>0</v>
      </c>
      <c r="BG353" s="48" t="str">
        <f aca="false">IF(AI353&lt;=0,"",IF(CC353="Aussen","Aussenlager",IF(CC353="-","Nicht im Lift",IF(AN353&gt;=1,"Lift",IF(AN353&lt;=0,"Aussenlager","teilweise")))))</f>
        <v>Lift</v>
      </c>
      <c r="BH353" s="48" t="str">
        <f aca="false">IF(AR353&lt;=0,"",IF(CC353="Aussen","Aussenlager",IF(CC353="-","Nicht im Lift",IF(AW353&gt;=1,"Lift",IF(AW353&lt;=0,"Aussenlager","teilweise")))))</f>
        <v>Aussenlager</v>
      </c>
      <c r="BI353" s="48" t="str">
        <f aca="false">IF(BA353&lt;=0,"",IF(CC353="Aussen","Aussenlager",IF(CC353="-","Nicht im Lift",IF(BF353&gt;=1,"Lift",IF(BF353&lt;=0,"Aussenlager","teilweise")))))</f>
        <v>Aussenlager</v>
      </c>
      <c r="BJ353" s="48" t="str">
        <f aca="false">IF(A353="","",IF(BS353=1,"Neu; ","")&amp;IF(AND(BS353=0,BN353&lt;0),"negativer Bestand (Export "&amp;BN353&amp;"); ","")&amp;IF(J353&lt;=0,"Kein Verbrauch; ","")&amp;IF(CL353&gt;0,"Lift "&amp;W353&amp;" lt. Liftbericht (Fach "&amp;X353&amp;" Stk); ",IF(BX353=1,"Gebinde geschätzt ("&amp;T353&amp;"); ",IF(BW353=1,"Lose – Tablare geschätzt; ","")))&amp;IF(H353&gt;AT353,"Überbestand "&amp;ROUND(H353-AT353,0)&amp;" Stk / CHF "&amp;ROUND((H353-AT353)*G353,0)&amp;"; ","")&amp;IF(AND(CE353=1,CF353&lt;CG353),"MAX &lt; MB+LG; ","")&amp;IF(AND(CK353&gt;0,CJ353*10&gt;CK353),"zu hoch für Tablar; ","")&amp;IF(AND(BS353=0,OR(CE353=1,AA353&lt;&gt;"",U353&lt;&gt;"",V353&lt;&gt;"",AB353&lt;&gt;"")),"manuell übersteuert; ","")&amp;IF(AND(BW353=0,R353=0),"Gebinde unbekannt / Stellmass fehlt; ","")&amp;IF(AND(BW353=0,N(V353)&lt;=0,N(Q353)&lt;=0),"Menge pro Gebinde fehlt (Ist = 1 Gebinde); ","")&amp;BR353)</f>
        <v>Kein Verbrauch; </v>
      </c>
      <c r="BK353" s="48"/>
      <c r="BL353" s="48"/>
      <c r="BM353" s="55"/>
      <c r="BN353" s="50" t="n">
        <v>15</v>
      </c>
      <c r="BO353" s="50" t="n">
        <v>11</v>
      </c>
      <c r="BP353" s="49" t="n">
        <v>175.2</v>
      </c>
      <c r="BQ353" s="50" t="n">
        <v>0</v>
      </c>
      <c r="BR353" s="48"/>
      <c r="BS353" s="53" t="n">
        <v>0</v>
      </c>
      <c r="BT353" s="53" t="n">
        <v>353</v>
      </c>
      <c r="BU353" s="48" t="str">
        <f aca="false">IF(U353&lt;&gt;"",UPPER(TRIM(U353)),IF(BX353=1,UPPER(VLOOKUP(T353,Parameter!$I$27:$K$29,2,0)),IF(P353="","LOSE",P353)))</f>
        <v>S41</v>
      </c>
      <c r="BV353" s="50" t="n">
        <f aca="false">IF(BU353="LOSE",1,IF(N(V353)&gt;0,V353,IF(BX353=1,MAX(1,N(VLOOKUP(T353,Parameter!$I$27:$K$29,3,0)),H353,N(N353)),IF(N(Q353)&gt;0,Q353,MAX(1,H353)))))</f>
        <v>50</v>
      </c>
      <c r="BW353" s="53" t="n">
        <f aca="false">IF(BU353="LOSE",1,0)</f>
        <v>0</v>
      </c>
      <c r="BX353" s="53" t="n">
        <f aca="false">IF(AND(U353="",OR(P353="",P353="LOSE"),T353&lt;&gt;"",N(S353)&lt;=0,ISNUMBER(MATCH(T353,Parameter!$I$27:$I$29,0))),1,0)</f>
        <v>0</v>
      </c>
      <c r="BY353" s="53" t="n">
        <f aca="false">IF(CL353&gt;0,INDEX(Parameter!$H$5:$H$7,W353)/INDEX(Parameter!$E$5:$E$7,W353),IF(AND(BW353=0,N(IFERROR(VLOOKUP(BU353,'Gebinde-Kategorie'!$A$5:$N$45,14,0),0))&gt;0),VLOOKUP(BU353,'Gebinde-Kategorie'!$A$5:$N$45,14,0)*10+Parameter!$M$23,Parameter!$M$24))</f>
        <v>155</v>
      </c>
      <c r="BZ353" s="48" t="str">
        <f aca="false">IF(AND(Parameter!$B$19="Ja",E353&lt;&gt;"",ISNUMBER(MATCH(E353,Parameter!$I$35:$I$52,0))),VLOOKUP(E353,Parameter!$I$35:$J$52,2,0),IFERROR(VLOOKUP(D353,Parameter!$A$35:$C$64,2,0),"Nein"))</f>
        <v>2+3</v>
      </c>
      <c r="CA353" s="52" t="n">
        <f aca="false">IF(BW353=0,0,IF(N(S353)&gt;0,S353,IFERROR(VLOOKUP(D353,Parameter!$A$35:$C$64,3,0)+0,0)))</f>
        <v>0</v>
      </c>
      <c r="CB353" s="48" t="n">
        <f aca="false">IF(AA353&lt;&gt;"",AA353,Z353)</f>
        <v>3</v>
      </c>
      <c r="CC353" s="48" t="str">
        <f aca="false">IF(OR(CB353=1,CB353=2,CB353=3),IF(Parameter!$E$27="Ja","LIFT",IF(CB353=1,"L1","L23")),IF(CB353="Aussen","Aussen","-"))</f>
        <v>LIFT</v>
      </c>
      <c r="CD353" s="59" t="n">
        <f aca="false">IF(N(AB353)&gt;0,AB353,0)</f>
        <v>0</v>
      </c>
      <c r="CE353" s="53" t="n">
        <f aca="false">IF(ISNUMBER(AE353),1,0)</f>
        <v>0</v>
      </c>
      <c r="CF353" s="50" t="n">
        <f aca="false">N(AE353)</f>
        <v>0</v>
      </c>
      <c r="CG353" s="50" t="n">
        <f aca="false">N(M353)+N(N353)</f>
        <v>10</v>
      </c>
      <c r="CH353" s="50" t="n">
        <f aca="false">ROUNDUP(H353/BV353,0)</f>
        <v>1</v>
      </c>
      <c r="CI353" s="50" t="n">
        <f aca="false">ROUNDUP(CF353/BV353,0)</f>
        <v>0</v>
      </c>
      <c r="CJ353" s="53" t="n">
        <f aca="false">IF(BW353=1,0,IFERROR(VLOOKUP(BU353,'Gebinde-Kategorie'!$A$5:$N$45,5,0)+0,0))</f>
        <v>11</v>
      </c>
      <c r="CK353" s="53" t="n">
        <f aca="false">IFERROR(IF(OR(CB353=1,CB353=2,CB353=3),N(INDEX(Parameter!$I$5:$I$7,CB353)),0),0)</f>
        <v>0</v>
      </c>
      <c r="CL353" s="52" t="n">
        <f aca="false">IF(AND(Parameter!$B$21="Ja",ISNUMBER(W353),N(X353)&gt;0),IFERROR(N(INDEX(Parameter!$L$5:$L$7,W353))*INDEX(Parameter!$E$5:$E$7,W353)*X353/SUMIFS($X$7:$X$1843,$W$7:$W$1843,W353),0),0)</f>
        <v>0</v>
      </c>
    </row>
    <row r="354" customFormat="false" ht="15" hidden="false" customHeight="false" outlineLevel="0" collapsed="false">
      <c r="A354" s="48" t="s">
        <v>867</v>
      </c>
      <c r="B354" s="48" t="s">
        <v>868</v>
      </c>
      <c r="C354" s="48" t="s">
        <v>168</v>
      </c>
      <c r="D354" s="48" t="s">
        <v>188</v>
      </c>
      <c r="E354" s="48"/>
      <c r="F354" s="48" t="s">
        <v>222</v>
      </c>
      <c r="G354" s="49" t="n">
        <v>35</v>
      </c>
      <c r="H354" s="50" t="n">
        <f aca="false">MAX(0,IF(AND(Parameter!$B$21="Ja",ISNUMBER(Y354)),Y354,IF(Parameter!$B$20="Jahresanfang 2025 + Export",BO354+BN354,BN354)))</f>
        <v>5</v>
      </c>
      <c r="I354" s="50" t="n">
        <f aca="false">H354*G354</f>
        <v>175</v>
      </c>
      <c r="J354" s="50" t="n">
        <f aca="false">BQ354*Parameter!$B$18</f>
        <v>0</v>
      </c>
      <c r="K354" s="51" t="n">
        <v>2.5</v>
      </c>
      <c r="L354" s="52" t="n">
        <v>0</v>
      </c>
      <c r="M354" s="50" t="n">
        <v>0</v>
      </c>
      <c r="N354" s="50" t="n">
        <v>1</v>
      </c>
      <c r="O354" s="53" t="n">
        <v>28</v>
      </c>
      <c r="P354" s="48" t="s">
        <v>332</v>
      </c>
      <c r="Q354" s="50" t="n">
        <v>10</v>
      </c>
      <c r="R354" s="53" t="n">
        <f aca="false">IF(BW354=1,0,IFERROR(VLOOKUP(BU354,'Gebinde-Kategorie'!$A$5:$N$45,13,0)+0,0))</f>
        <v>52</v>
      </c>
      <c r="S354" s="54"/>
      <c r="T354" s="55"/>
      <c r="U354" s="55"/>
      <c r="V354" s="55"/>
      <c r="W354" s="48"/>
      <c r="X354" s="50"/>
      <c r="Y354" s="50"/>
      <c r="Z354" s="48" t="n">
        <f aca="false">IF(A354="","",IF(AND(Parameter!$B$21="Ja",ISNUMBER(W354)),W354,IF(BZ354="2+3",IF(ISNUMBER(SEARCH("grosser Artikel",BR354)),2,IFERROR(VLOOKUP(BU354,Parameter!$F$35:$G$64,2,0),2)),IF(OR(BZ354="Nein",BZ354=""),"-",BZ354))))</f>
        <v>3</v>
      </c>
      <c r="AA354" s="55"/>
      <c r="AB354" s="56"/>
      <c r="AC354" s="50" t="n">
        <f aca="false">AT354</f>
        <v>10</v>
      </c>
      <c r="AD354" s="50" t="n">
        <f aca="false">MAX(AT354,H354)</f>
        <v>10</v>
      </c>
      <c r="AE354" s="57"/>
      <c r="AF354" s="50" t="n">
        <f aca="false">IF(LEFT(Cockpit!$C$5,1)="A",H354,IF(CE354=1,CF354,IF(LEFT(Cockpit!$C$5,1)="B",AK354,MAX(AK354,H354))))</f>
        <v>5</v>
      </c>
      <c r="AG354" s="50" t="n">
        <f aca="false">IF(BW354=1,0,ROUNDUP(AF354/BV354,0))</f>
        <v>1</v>
      </c>
      <c r="AH354" s="52" t="n">
        <f aca="false">IF(CL354&gt;0,CL354*MAX(1,AF354/X354),IF(BW354=1,IF(AF354&lt;=0,0,CA354*MAX(1,IF(H354&gt;0,AF354/H354,1))),IF(R354&gt;0,AG354/R354,0))/MAX(0.1,N(Parameter!$M$21)))</f>
        <v>0.0192307692307692</v>
      </c>
      <c r="AI354" s="50" t="n">
        <f aca="false">AH354*BY354</f>
        <v>2.98076923076923</v>
      </c>
      <c r="AJ354" s="50" t="n">
        <f aca="false">AF354*G354</f>
        <v>175</v>
      </c>
      <c r="AK354" s="50" t="n">
        <f aca="false">ROUNDUP(MAX(J354/IF(CD354&gt;0,CD354,MAX(0.1,N(Cockpit!$C$6))),CG354)/BV354,0)*BV354</f>
        <v>10</v>
      </c>
      <c r="AL354" s="51" t="n">
        <f aca="false">IF(AI354&gt;0,J354/AI354,-1)</f>
        <v>0</v>
      </c>
      <c r="AM354" s="51" t="n">
        <f aca="false">IF(AND(OR(CC354="L1",CC354="L23",CC354="LIFT"),AI354&gt;0),SUMIFS($AI$7:$AI$1843,$CC$7:$CC$1843,CC354,$AL$7:$AL$1843,"&gt;"&amp;AL354)+SUMIFS($AI$7:$AI$1843,$CC$7:$CC$1843,CC354,$AL$7:$AL$1843,AL354,$BT$7:$BT$1843,"&lt;="&amp;BT354),"")</f>
        <v>28019.0665600877</v>
      </c>
      <c r="AN354" s="58" t="n">
        <f aca="false">IF(AM354="",0,MAX(0,MIN(1,(IF(CC354="L1",Parameter!$H$5,IF(CC354="L23",Parameter!$H$6+Parameter!$H$7,Parameter!$H$5+Parameter!$H$6+Parameter!$H$7))-(AM354-AI354))/AI354)))</f>
        <v>1</v>
      </c>
      <c r="AO354" s="50" t="n">
        <f aca="false">IF(LEFT(Cockpit!$I$5,1)="A",H354,IF(CE354=1,CF354,IF(LEFT(Cockpit!$I$5,1)="B",AT354,MAX(AT354,H354))))</f>
        <v>10</v>
      </c>
      <c r="AP354" s="50" t="n">
        <f aca="false">IF(BW354=1,0,ROUNDUP(AO354/BV354,0))</f>
        <v>1</v>
      </c>
      <c r="AQ354" s="52" t="n">
        <f aca="false">IF(CL354&gt;0,CL354*MAX(1,AO354/X354),IF(BW354=1,IF(AO354&lt;=0,0,CA354*MAX(1,IF(H354&gt;0,AO354/H354,1))),IF(R354&gt;0,AP354/R354,0))/MAX(0.1,N(Parameter!$M$21)))</f>
        <v>0.0192307692307692</v>
      </c>
      <c r="AR354" s="50" t="n">
        <f aca="false">AQ354*BY354</f>
        <v>2.98076923076923</v>
      </c>
      <c r="AS354" s="50" t="n">
        <f aca="false">AO354*G354</f>
        <v>350</v>
      </c>
      <c r="AT354" s="50" t="n">
        <f aca="false">ROUNDUP(MAX(J354/IF(CD354&gt;0,CD354,MAX(0.1,N(Cockpit!$I$6))),CG354)/BV354,0)*BV354</f>
        <v>10</v>
      </c>
      <c r="AU354" s="51" t="n">
        <f aca="false">IF(AR354&gt;0,J354/AR354,-1)</f>
        <v>0</v>
      </c>
      <c r="AV354" s="51" t="n">
        <f aca="false">IF(AND(OR(CC354="L1",CC354="L23",CC354="LIFT"),AR354&gt;0),SUMIFS($AR$7:$AR$1843,$CC$7:$CC$1843,CC354,$AU$7:$AU$1843,"&gt;"&amp;AU354)+SUMIFS($AR$7:$AR$1843,$CC$7:$CC$1843,CC354,$AU$7:$AU$1843,AU354,$BT$7:$BT$1843,"&lt;="&amp;BT354),"")</f>
        <v>39331.9720773577</v>
      </c>
      <c r="AW354" s="58" t="n">
        <f aca="false">IF(AV354="",0,MAX(0,MIN(1,(IF(CC354="L1",Parameter!$H$5,IF(CC354="L23",Parameter!$H$6+Parameter!$H$7,Parameter!$H$5+Parameter!$H$6+Parameter!$H$7))-(AV354-AR354))/AR354)))</f>
        <v>0</v>
      </c>
      <c r="AX354" s="50" t="n">
        <f aca="false">IF(LEFT(Cockpit!$O$5,1)="A",H354,IF(CE354=1,CF354,IF(LEFT(Cockpit!$O$5,1)="B",BC354,MAX(BC354,H354))))</f>
        <v>10</v>
      </c>
      <c r="AY354" s="50" t="n">
        <f aca="false">IF(BW354=1,0,ROUNDUP(AX354/BV354,0))</f>
        <v>1</v>
      </c>
      <c r="AZ354" s="52" t="n">
        <f aca="false">IF(CL354&gt;0,CL354*MAX(1,AX354/X354),IF(BW354=1,IF(AX354&lt;=0,0,CA354*MAX(1,IF(H354&gt;0,AX354/H354,1))),IF(R354&gt;0,AY354/R354,0))/MAX(0.1,N(Parameter!$M$21)))</f>
        <v>0.0192307692307692</v>
      </c>
      <c r="BA354" s="50" t="n">
        <f aca="false">AZ354*BY354</f>
        <v>2.98076923076923</v>
      </c>
      <c r="BB354" s="50" t="n">
        <f aca="false">AX354*G354</f>
        <v>350</v>
      </c>
      <c r="BC354" s="50" t="n">
        <f aca="false">ROUNDUP(MAX(J354/IF(CD354&gt;0,CD354,MAX(0.1,N(Cockpit!$O$6))),CG354)/BV354,0)*BV354</f>
        <v>10</v>
      </c>
      <c r="BD354" s="51" t="n">
        <f aca="false">IF(BA354&gt;0,J354/BA354,-1)</f>
        <v>0</v>
      </c>
      <c r="BE354" s="51" t="n">
        <f aca="false">IF(AND(OR(CC354="L1",CC354="L23",CC354="LIFT"),BA354&gt;0),SUMIFS($BA$7:$BA$1843,$CC$7:$CC$1843,CC354,$BD$7:$BD$1843,"&gt;"&amp;BD354)+SUMIFS($BA$7:$BA$1843,$CC$7:$CC$1843,CC354,$BD$7:$BD$1843,BD354,$BT$7:$BT$1843,"&lt;="&amp;BT354),"")</f>
        <v>36006.9841192235</v>
      </c>
      <c r="BF354" s="58" t="n">
        <f aca="false">IF(BE354="",0,MAX(0,MIN(1,(IF(CC354="L1",Parameter!$H$5,IF(CC354="L23",Parameter!$H$6+Parameter!$H$7,Parameter!$H$5+Parameter!$H$6+Parameter!$H$7))-(BE354-BA354))/BA354)))</f>
        <v>0</v>
      </c>
      <c r="BG354" s="48" t="str">
        <f aca="false">IF(AI354&lt;=0,"",IF(CC354="Aussen","Aussenlager",IF(CC354="-","Nicht im Lift",IF(AN354&gt;=1,"Lift",IF(AN354&lt;=0,"Aussenlager","teilweise")))))</f>
        <v>Lift</v>
      </c>
      <c r="BH354" s="48" t="str">
        <f aca="false">IF(AR354&lt;=0,"",IF(CC354="Aussen","Aussenlager",IF(CC354="-","Nicht im Lift",IF(AW354&gt;=1,"Lift",IF(AW354&lt;=0,"Aussenlager","teilweise")))))</f>
        <v>Aussenlager</v>
      </c>
      <c r="BI354" s="48" t="str">
        <f aca="false">IF(BA354&lt;=0,"",IF(CC354="Aussen","Aussenlager",IF(CC354="-","Nicht im Lift",IF(BF354&gt;=1,"Lift",IF(BF354&lt;=0,"Aussenlager","teilweise")))))</f>
        <v>Aussenlager</v>
      </c>
      <c r="BJ354" s="48" t="str">
        <f aca="false">IF(A354="","",IF(BS354=1,"Neu; ","")&amp;IF(AND(BS354=0,BN354&lt;0),"negativer Bestand (Export "&amp;BN354&amp;"); ","")&amp;IF(J354&lt;=0,"Kein Verbrauch; ","")&amp;IF(CL354&gt;0,"Lift "&amp;W354&amp;" lt. Liftbericht (Fach "&amp;X354&amp;" Stk); ",IF(BX354=1,"Gebinde geschätzt ("&amp;T354&amp;"); ",IF(BW354=1,"Lose – Tablare geschätzt; ","")))&amp;IF(H354&gt;AT354,"Überbestand "&amp;ROUND(H354-AT354,0)&amp;" Stk / CHF "&amp;ROUND((H354-AT354)*G354,0)&amp;"; ","")&amp;IF(AND(CE354=1,CF354&lt;CG354),"MAX &lt; MB+LG; ","")&amp;IF(AND(CK354&gt;0,CJ354*10&gt;CK354),"zu hoch für Tablar; ","")&amp;IF(AND(BS354=0,OR(CE354=1,AA354&lt;&gt;"",U354&lt;&gt;"",V354&lt;&gt;"",AB354&lt;&gt;"")),"manuell übersteuert; ","")&amp;IF(AND(BW354=0,R354=0),"Gebinde unbekannt / Stellmass fehlt; ","")&amp;IF(AND(BW354=0,N(V354)&lt;=0,N(Q354)&lt;=0),"Menge pro Gebinde fehlt (Ist = 1 Gebinde); ","")&amp;BR354)</f>
        <v>Kein Verbrauch; </v>
      </c>
      <c r="BK354" s="48"/>
      <c r="BL354" s="48"/>
      <c r="BM354" s="55"/>
      <c r="BN354" s="50" t="n">
        <v>5</v>
      </c>
      <c r="BO354" s="50" t="n">
        <v>0</v>
      </c>
      <c r="BP354" s="49" t="n">
        <v>175</v>
      </c>
      <c r="BQ354" s="50" t="n">
        <v>0</v>
      </c>
      <c r="BR354" s="48"/>
      <c r="BS354" s="53" t="n">
        <v>0</v>
      </c>
      <c r="BT354" s="53" t="n">
        <v>354</v>
      </c>
      <c r="BU354" s="48" t="str">
        <f aca="false">IF(U354&lt;&gt;"",UPPER(TRIM(U354)),IF(BX354=1,UPPER(VLOOKUP(T354,Parameter!$I$27:$K$29,2,0)),IF(P354="","LOSE",P354)))</f>
        <v>S41</v>
      </c>
      <c r="BV354" s="50" t="n">
        <f aca="false">IF(BU354="LOSE",1,IF(N(V354)&gt;0,V354,IF(BX354=1,MAX(1,N(VLOOKUP(T354,Parameter!$I$27:$K$29,3,0)),H354,N(N354)),IF(N(Q354)&gt;0,Q354,MAX(1,H354)))))</f>
        <v>10</v>
      </c>
      <c r="BW354" s="53" t="n">
        <f aca="false">IF(BU354="LOSE",1,0)</f>
        <v>0</v>
      </c>
      <c r="BX354" s="53" t="n">
        <f aca="false">IF(AND(U354="",OR(P354="",P354="LOSE"),T354&lt;&gt;"",N(S354)&lt;=0,ISNUMBER(MATCH(T354,Parameter!$I$27:$I$29,0))),1,0)</f>
        <v>0</v>
      </c>
      <c r="BY354" s="53" t="n">
        <f aca="false">IF(CL354&gt;0,INDEX(Parameter!$H$5:$H$7,W354)/INDEX(Parameter!$E$5:$E$7,W354),IF(AND(BW354=0,N(IFERROR(VLOOKUP(BU354,'Gebinde-Kategorie'!$A$5:$N$45,14,0),0))&gt;0),VLOOKUP(BU354,'Gebinde-Kategorie'!$A$5:$N$45,14,0)*10+Parameter!$M$23,Parameter!$M$24))</f>
        <v>155</v>
      </c>
      <c r="BZ354" s="48" t="str">
        <f aca="false">IF(AND(Parameter!$B$19="Ja",E354&lt;&gt;"",ISNUMBER(MATCH(E354,Parameter!$I$35:$I$52,0))),VLOOKUP(E354,Parameter!$I$35:$J$52,2,0),IFERROR(VLOOKUP(D354,Parameter!$A$35:$C$64,2,0),"Nein"))</f>
        <v>2+3</v>
      </c>
      <c r="CA354" s="52" t="n">
        <f aca="false">IF(BW354=0,0,IF(N(S354)&gt;0,S354,IFERROR(VLOOKUP(D354,Parameter!$A$35:$C$64,3,0)+0,0)))</f>
        <v>0</v>
      </c>
      <c r="CB354" s="48" t="n">
        <f aca="false">IF(AA354&lt;&gt;"",AA354,Z354)</f>
        <v>3</v>
      </c>
      <c r="CC354" s="48" t="str">
        <f aca="false">IF(OR(CB354=1,CB354=2,CB354=3),IF(Parameter!$E$27="Ja","LIFT",IF(CB354=1,"L1","L23")),IF(CB354="Aussen","Aussen","-"))</f>
        <v>LIFT</v>
      </c>
      <c r="CD354" s="59" t="n">
        <f aca="false">IF(N(AB354)&gt;0,AB354,0)</f>
        <v>0</v>
      </c>
      <c r="CE354" s="53" t="n">
        <f aca="false">IF(ISNUMBER(AE354),1,0)</f>
        <v>0</v>
      </c>
      <c r="CF354" s="50" t="n">
        <f aca="false">N(AE354)</f>
        <v>0</v>
      </c>
      <c r="CG354" s="50" t="n">
        <f aca="false">N(M354)+N(N354)</f>
        <v>1</v>
      </c>
      <c r="CH354" s="50" t="n">
        <f aca="false">ROUNDUP(H354/BV354,0)</f>
        <v>1</v>
      </c>
      <c r="CI354" s="50" t="n">
        <f aca="false">ROUNDUP(CF354/BV354,0)</f>
        <v>0</v>
      </c>
      <c r="CJ354" s="53" t="n">
        <f aca="false">IF(BW354=1,0,IFERROR(VLOOKUP(BU354,'Gebinde-Kategorie'!$A$5:$N$45,5,0)+0,0))</f>
        <v>11</v>
      </c>
      <c r="CK354" s="53" t="n">
        <f aca="false">IFERROR(IF(OR(CB354=1,CB354=2,CB354=3),N(INDEX(Parameter!$I$5:$I$7,CB354)),0),0)</f>
        <v>0</v>
      </c>
      <c r="CL354" s="52" t="n">
        <f aca="false">IF(AND(Parameter!$B$21="Ja",ISNUMBER(W354),N(X354)&gt;0),IFERROR(N(INDEX(Parameter!$L$5:$L$7,W354))*INDEX(Parameter!$E$5:$E$7,W354)*X354/SUMIFS($X$7:$X$1843,$W$7:$W$1843,W354),0),0)</f>
        <v>0</v>
      </c>
    </row>
    <row r="355" customFormat="false" ht="15" hidden="false" customHeight="false" outlineLevel="0" collapsed="false">
      <c r="A355" s="48" t="s">
        <v>869</v>
      </c>
      <c r="B355" s="48" t="s">
        <v>593</v>
      </c>
      <c r="C355" s="48" t="s">
        <v>168</v>
      </c>
      <c r="D355" s="48" t="s">
        <v>188</v>
      </c>
      <c r="E355" s="48" t="s">
        <v>189</v>
      </c>
      <c r="F355" s="48" t="s">
        <v>222</v>
      </c>
      <c r="G355" s="49" t="n">
        <v>17.2</v>
      </c>
      <c r="H355" s="50" t="n">
        <f aca="false">MAX(0,IF(AND(Parameter!$B$21="Ja",ISNUMBER(Y355)),Y355,IF(Parameter!$B$20="Jahresanfang 2025 + Export",BO355+BN355,BN355)))</f>
        <v>78</v>
      </c>
      <c r="I355" s="50" t="n">
        <f aca="false">H355*G355</f>
        <v>1341.6</v>
      </c>
      <c r="J355" s="50" t="n">
        <f aca="false">BQ355*Parameter!$B$18</f>
        <v>0</v>
      </c>
      <c r="K355" s="51" t="n">
        <v>73</v>
      </c>
      <c r="L355" s="52" t="n">
        <v>0</v>
      </c>
      <c r="M355" s="50" t="n">
        <v>0</v>
      </c>
      <c r="N355" s="50" t="n">
        <v>1</v>
      </c>
      <c r="O355" s="53" t="n">
        <v>35</v>
      </c>
      <c r="P355" s="48" t="s">
        <v>430</v>
      </c>
      <c r="Q355" s="50" t="n">
        <v>114</v>
      </c>
      <c r="R355" s="53" t="n">
        <f aca="false">IF(BW355=1,0,IFERROR(VLOOKUP(BU355,'Gebinde-Kategorie'!$A$5:$N$45,13,0)+0,0))</f>
        <v>140</v>
      </c>
      <c r="S355" s="54"/>
      <c r="T355" s="55"/>
      <c r="U355" s="55"/>
      <c r="V355" s="55"/>
      <c r="W355" s="48"/>
      <c r="X355" s="50"/>
      <c r="Y355" s="50"/>
      <c r="Z355" s="48" t="n">
        <f aca="false">IF(A355="","",IF(AND(Parameter!$B$21="Ja",ISNUMBER(W355)),W355,IF(BZ355="2+3",IF(ISNUMBER(SEARCH("grosser Artikel",BR355)),2,IFERROR(VLOOKUP(BU355,Parameter!$F$35:$G$64,2,0),2)),IF(OR(BZ355="Nein",BZ355=""),"-",BZ355))))</f>
        <v>3</v>
      </c>
      <c r="AA355" s="55"/>
      <c r="AB355" s="56"/>
      <c r="AC355" s="50" t="n">
        <f aca="false">AT355</f>
        <v>114</v>
      </c>
      <c r="AD355" s="50" t="n">
        <f aca="false">MAX(AT355,H355)</f>
        <v>114</v>
      </c>
      <c r="AE355" s="57"/>
      <c r="AF355" s="50" t="n">
        <f aca="false">IF(LEFT(Cockpit!$C$5,1)="A",H355,IF(CE355=1,CF355,IF(LEFT(Cockpit!$C$5,1)="B",AK355,MAX(AK355,H355))))</f>
        <v>78</v>
      </c>
      <c r="AG355" s="50" t="n">
        <f aca="false">IF(BW355=1,0,ROUNDUP(AF355/BV355,0))</f>
        <v>1</v>
      </c>
      <c r="AH355" s="52" t="n">
        <f aca="false">IF(CL355&gt;0,CL355*MAX(1,AF355/X355),IF(BW355=1,IF(AF355&lt;=0,0,CA355*MAX(1,IF(H355&gt;0,AF355/H355,1))),IF(R355&gt;0,AG355/R355,0))/MAX(0.1,N(Parameter!$M$21)))</f>
        <v>0.00714285714285714</v>
      </c>
      <c r="AI355" s="50" t="n">
        <f aca="false">AH355*BY355</f>
        <v>1.10714285714286</v>
      </c>
      <c r="AJ355" s="50" t="n">
        <f aca="false">AF355*G355</f>
        <v>1341.6</v>
      </c>
      <c r="AK355" s="50" t="n">
        <f aca="false">ROUNDUP(MAX(J355/IF(CD355&gt;0,CD355,MAX(0.1,N(Cockpit!$C$6))),CG355)/BV355,0)*BV355</f>
        <v>114</v>
      </c>
      <c r="AL355" s="51" t="n">
        <f aca="false">IF(AI355&gt;0,J355/AI355,-1)</f>
        <v>0</v>
      </c>
      <c r="AM355" s="51" t="n">
        <f aca="false">IF(AND(OR(CC355="L1",CC355="L23",CC355="LIFT"),AI355&gt;0),SUMIFS($AI$7:$AI$1843,$CC$7:$CC$1843,CC355,$AL$7:$AL$1843,"&gt;"&amp;AL355)+SUMIFS($AI$7:$AI$1843,$CC$7:$CC$1843,CC355,$AL$7:$AL$1843,AL355,$BT$7:$BT$1843,"&lt;="&amp;BT355),"")</f>
        <v>28020.1737029449</v>
      </c>
      <c r="AN355" s="58" t="n">
        <f aca="false">IF(AM355="",0,MAX(0,MIN(1,(IF(CC355="L1",Parameter!$H$5,IF(CC355="L23",Parameter!$H$6+Parameter!$H$7,Parameter!$H$5+Parameter!$H$6+Parameter!$H$7))-(AM355-AI355))/AI355)))</f>
        <v>1</v>
      </c>
      <c r="AO355" s="50" t="n">
        <f aca="false">IF(LEFT(Cockpit!$I$5,1)="A",H355,IF(CE355=1,CF355,IF(LEFT(Cockpit!$I$5,1)="B",AT355,MAX(AT355,H355))))</f>
        <v>114</v>
      </c>
      <c r="AP355" s="50" t="n">
        <f aca="false">IF(BW355=1,0,ROUNDUP(AO355/BV355,0))</f>
        <v>1</v>
      </c>
      <c r="AQ355" s="52" t="n">
        <f aca="false">IF(CL355&gt;0,CL355*MAX(1,AO355/X355),IF(BW355=1,IF(AO355&lt;=0,0,CA355*MAX(1,IF(H355&gt;0,AO355/H355,1))),IF(R355&gt;0,AP355/R355,0))/MAX(0.1,N(Parameter!$M$21)))</f>
        <v>0.00714285714285714</v>
      </c>
      <c r="AR355" s="50" t="n">
        <f aca="false">AQ355*BY355</f>
        <v>1.10714285714286</v>
      </c>
      <c r="AS355" s="50" t="n">
        <f aca="false">AO355*G355</f>
        <v>1960.8</v>
      </c>
      <c r="AT355" s="50" t="n">
        <f aca="false">ROUNDUP(MAX(J355/IF(CD355&gt;0,CD355,MAX(0.1,N(Cockpit!$I$6))),CG355)/BV355,0)*BV355</f>
        <v>114</v>
      </c>
      <c r="AU355" s="51" t="n">
        <f aca="false">IF(AR355&gt;0,J355/AR355,-1)</f>
        <v>0</v>
      </c>
      <c r="AV355" s="51" t="n">
        <f aca="false">IF(AND(OR(CC355="L1",CC355="L23",CC355="LIFT"),AR355&gt;0),SUMIFS($AR$7:$AR$1843,$CC$7:$CC$1843,CC355,$AU$7:$AU$1843,"&gt;"&amp;AU355)+SUMIFS($AR$7:$AR$1843,$CC$7:$CC$1843,CC355,$AU$7:$AU$1843,AU355,$BT$7:$BT$1843,"&lt;="&amp;BT355),"")</f>
        <v>39333.0792202148</v>
      </c>
      <c r="AW355" s="58" t="n">
        <f aca="false">IF(AV355="",0,MAX(0,MIN(1,(IF(CC355="L1",Parameter!$H$5,IF(CC355="L23",Parameter!$H$6+Parameter!$H$7,Parameter!$H$5+Parameter!$H$6+Parameter!$H$7))-(AV355-AR355))/AR355)))</f>
        <v>0</v>
      </c>
      <c r="AX355" s="50" t="n">
        <f aca="false">IF(LEFT(Cockpit!$O$5,1)="A",H355,IF(CE355=1,CF355,IF(LEFT(Cockpit!$O$5,1)="B",BC355,MAX(BC355,H355))))</f>
        <v>114</v>
      </c>
      <c r="AY355" s="50" t="n">
        <f aca="false">IF(BW355=1,0,ROUNDUP(AX355/BV355,0))</f>
        <v>1</v>
      </c>
      <c r="AZ355" s="52" t="n">
        <f aca="false">IF(CL355&gt;0,CL355*MAX(1,AX355/X355),IF(BW355=1,IF(AX355&lt;=0,0,CA355*MAX(1,IF(H355&gt;0,AX355/H355,1))),IF(R355&gt;0,AY355/R355,0))/MAX(0.1,N(Parameter!$M$21)))</f>
        <v>0.00714285714285714</v>
      </c>
      <c r="BA355" s="50" t="n">
        <f aca="false">AZ355*BY355</f>
        <v>1.10714285714286</v>
      </c>
      <c r="BB355" s="50" t="n">
        <f aca="false">AX355*G355</f>
        <v>1960.8</v>
      </c>
      <c r="BC355" s="50" t="n">
        <f aca="false">ROUNDUP(MAX(J355/IF(CD355&gt;0,CD355,MAX(0.1,N(Cockpit!$O$6))),CG355)/BV355,0)*BV355</f>
        <v>114</v>
      </c>
      <c r="BD355" s="51" t="n">
        <f aca="false">IF(BA355&gt;0,J355/BA355,-1)</f>
        <v>0</v>
      </c>
      <c r="BE355" s="51" t="n">
        <f aca="false">IF(AND(OR(CC355="L1",CC355="L23",CC355="LIFT"),BA355&gt;0),SUMIFS($BA$7:$BA$1843,$CC$7:$CC$1843,CC355,$BD$7:$BD$1843,"&gt;"&amp;BD355)+SUMIFS($BA$7:$BA$1843,$CC$7:$CC$1843,CC355,$BD$7:$BD$1843,BD355,$BT$7:$BT$1843,"&lt;="&amp;BT355),"")</f>
        <v>36008.0912620807</v>
      </c>
      <c r="BF355" s="58" t="n">
        <f aca="false">IF(BE355="",0,MAX(0,MIN(1,(IF(CC355="L1",Parameter!$H$5,IF(CC355="L23",Parameter!$H$6+Parameter!$H$7,Parameter!$H$5+Parameter!$H$6+Parameter!$H$7))-(BE355-BA355))/BA355)))</f>
        <v>0</v>
      </c>
      <c r="BG355" s="48" t="str">
        <f aca="false">IF(AI355&lt;=0,"",IF(CC355="Aussen","Aussenlager",IF(CC355="-","Nicht im Lift",IF(AN355&gt;=1,"Lift",IF(AN355&lt;=0,"Aussenlager","teilweise")))))</f>
        <v>Lift</v>
      </c>
      <c r="BH355" s="48" t="str">
        <f aca="false">IF(AR355&lt;=0,"",IF(CC355="Aussen","Aussenlager",IF(CC355="-","Nicht im Lift",IF(AW355&gt;=1,"Lift",IF(AW355&lt;=0,"Aussenlager","teilweise")))))</f>
        <v>Aussenlager</v>
      </c>
      <c r="BI355" s="48" t="str">
        <f aca="false">IF(BA355&lt;=0,"",IF(CC355="Aussen","Aussenlager",IF(CC355="-","Nicht im Lift",IF(BF355&gt;=1,"Lift",IF(BF355&lt;=0,"Aussenlager","teilweise")))))</f>
        <v>Aussenlager</v>
      </c>
      <c r="BJ355" s="48" t="str">
        <f aca="false">IF(A355="","",IF(BS355=1,"Neu; ","")&amp;IF(AND(BS355=0,BN355&lt;0),"negativer Bestand (Export "&amp;BN355&amp;"); ","")&amp;IF(J355&lt;=0,"Kein Verbrauch; ","")&amp;IF(CL355&gt;0,"Lift "&amp;W355&amp;" lt. Liftbericht (Fach "&amp;X355&amp;" Stk); ",IF(BX355=1,"Gebinde geschätzt ("&amp;T355&amp;"); ",IF(BW355=1,"Lose – Tablare geschätzt; ","")))&amp;IF(H355&gt;AT355,"Überbestand "&amp;ROUND(H355-AT355,0)&amp;" Stk / CHF "&amp;ROUND((H355-AT355)*G355,0)&amp;"; ","")&amp;IF(AND(CE355=1,CF355&lt;CG355),"MAX &lt; MB+LG; ","")&amp;IF(AND(CK355&gt;0,CJ355*10&gt;CK355),"zu hoch für Tablar; ","")&amp;IF(AND(BS355=0,OR(CE355=1,AA355&lt;&gt;"",U355&lt;&gt;"",V355&lt;&gt;"",AB355&lt;&gt;"")),"manuell übersteuert; ","")&amp;IF(AND(BW355=0,R355=0),"Gebinde unbekannt / Stellmass fehlt; ","")&amp;IF(AND(BW355=0,N(V355)&lt;=0,N(Q355)&lt;=0),"Menge pro Gebinde fehlt (Ist = 1 Gebinde); ","")&amp;BR355)</f>
        <v>Kein Verbrauch; Überbestand</v>
      </c>
      <c r="BK355" s="48"/>
      <c r="BL355" s="48"/>
      <c r="BM355" s="55"/>
      <c r="BN355" s="50" t="n">
        <v>10</v>
      </c>
      <c r="BO355" s="50" t="n">
        <v>68</v>
      </c>
      <c r="BP355" s="49" t="n">
        <v>172</v>
      </c>
      <c r="BQ355" s="50" t="n">
        <v>0</v>
      </c>
      <c r="BR355" s="48" t="s">
        <v>396</v>
      </c>
      <c r="BS355" s="53" t="n">
        <v>0</v>
      </c>
      <c r="BT355" s="53" t="n">
        <v>355</v>
      </c>
      <c r="BU355" s="48" t="str">
        <f aca="false">IF(U355&lt;&gt;"",UPPER(TRIM(U355)),IF(BX355=1,UPPER(VLOOKUP(T355,Parameter!$I$27:$K$29,2,0)),IF(P355="","LOSE",P355)))</f>
        <v>S22</v>
      </c>
      <c r="BV355" s="50" t="n">
        <f aca="false">IF(BU355="LOSE",1,IF(N(V355)&gt;0,V355,IF(BX355=1,MAX(1,N(VLOOKUP(T355,Parameter!$I$27:$K$29,3,0)),H355,N(N355)),IF(N(Q355)&gt;0,Q355,MAX(1,H355)))))</f>
        <v>114</v>
      </c>
      <c r="BW355" s="53" t="n">
        <f aca="false">IF(BU355="LOSE",1,0)</f>
        <v>0</v>
      </c>
      <c r="BX355" s="53" t="n">
        <f aca="false">IF(AND(U355="",OR(P355="",P355="LOSE"),T355&lt;&gt;"",N(S355)&lt;=0,ISNUMBER(MATCH(T355,Parameter!$I$27:$I$29,0))),1,0)</f>
        <v>0</v>
      </c>
      <c r="BY355" s="53" t="n">
        <f aca="false">IF(CL355&gt;0,INDEX(Parameter!$H$5:$H$7,W355)/INDEX(Parameter!$E$5:$E$7,W355),IF(AND(BW355=0,N(IFERROR(VLOOKUP(BU355,'Gebinde-Kategorie'!$A$5:$N$45,14,0),0))&gt;0),VLOOKUP(BU355,'Gebinde-Kategorie'!$A$5:$N$45,14,0)*10+Parameter!$M$23,Parameter!$M$24))</f>
        <v>155</v>
      </c>
      <c r="BZ355" s="48" t="str">
        <f aca="false">IF(AND(Parameter!$B$19="Ja",E355&lt;&gt;"",ISNUMBER(MATCH(E355,Parameter!$I$35:$I$52,0))),VLOOKUP(E355,Parameter!$I$35:$J$52,2,0),IFERROR(VLOOKUP(D355,Parameter!$A$35:$C$64,2,0),"Nein"))</f>
        <v>2+3</v>
      </c>
      <c r="CA355" s="52" t="n">
        <f aca="false">IF(BW355=0,0,IF(N(S355)&gt;0,S355,IFERROR(VLOOKUP(D355,Parameter!$A$35:$C$64,3,0)+0,0)))</f>
        <v>0</v>
      </c>
      <c r="CB355" s="48" t="n">
        <f aca="false">IF(AA355&lt;&gt;"",AA355,Z355)</f>
        <v>3</v>
      </c>
      <c r="CC355" s="48" t="str">
        <f aca="false">IF(OR(CB355=1,CB355=2,CB355=3),IF(Parameter!$E$27="Ja","LIFT",IF(CB355=1,"L1","L23")),IF(CB355="Aussen","Aussen","-"))</f>
        <v>LIFT</v>
      </c>
      <c r="CD355" s="59" t="n">
        <f aca="false">IF(N(AB355)&gt;0,AB355,0)</f>
        <v>0</v>
      </c>
      <c r="CE355" s="53" t="n">
        <f aca="false">IF(ISNUMBER(AE355),1,0)</f>
        <v>0</v>
      </c>
      <c r="CF355" s="50" t="n">
        <f aca="false">N(AE355)</f>
        <v>0</v>
      </c>
      <c r="CG355" s="50" t="n">
        <f aca="false">N(M355)+N(N355)</f>
        <v>1</v>
      </c>
      <c r="CH355" s="50" t="n">
        <f aca="false">ROUNDUP(H355/BV355,0)</f>
        <v>1</v>
      </c>
      <c r="CI355" s="50" t="n">
        <f aca="false">ROUNDUP(CF355/BV355,0)</f>
        <v>0</v>
      </c>
      <c r="CJ355" s="53" t="n">
        <f aca="false">IF(BW355=1,0,IFERROR(VLOOKUP(BU355,'Gebinde-Kategorie'!$A$5:$N$45,5,0)+0,0))</f>
        <v>8</v>
      </c>
      <c r="CK355" s="53" t="n">
        <f aca="false">IFERROR(IF(OR(CB355=1,CB355=2,CB355=3),N(INDEX(Parameter!$I$5:$I$7,CB355)),0),0)</f>
        <v>0</v>
      </c>
      <c r="CL355" s="52" t="n">
        <f aca="false">IF(AND(Parameter!$B$21="Ja",ISNUMBER(W355),N(X355)&gt;0),IFERROR(N(INDEX(Parameter!$L$5:$L$7,W355))*INDEX(Parameter!$E$5:$E$7,W355)*X355/SUMIFS($X$7:$X$1843,$W$7:$W$1843,W355),0),0)</f>
        <v>0</v>
      </c>
    </row>
    <row r="356" customFormat="false" ht="15" hidden="false" customHeight="false" outlineLevel="0" collapsed="false">
      <c r="A356" s="48" t="s">
        <v>870</v>
      </c>
      <c r="B356" s="48" t="s">
        <v>871</v>
      </c>
      <c r="C356" s="48" t="s">
        <v>168</v>
      </c>
      <c r="D356" s="48" t="s">
        <v>188</v>
      </c>
      <c r="E356" s="48" t="s">
        <v>189</v>
      </c>
      <c r="F356" s="48" t="s">
        <v>222</v>
      </c>
      <c r="G356" s="49" t="n">
        <v>19.05</v>
      </c>
      <c r="H356" s="50" t="n">
        <f aca="false">MAX(0,IF(AND(Parameter!$B$21="Ja",ISNUMBER(Y356)),Y356,IF(Parameter!$B$20="Jahresanfang 2025 + Export",BO356+BN356,BN356)))</f>
        <v>9</v>
      </c>
      <c r="I356" s="50" t="n">
        <f aca="false">H356*G356</f>
        <v>171.45</v>
      </c>
      <c r="J356" s="50" t="n">
        <f aca="false">BQ356*Parameter!$B$18</f>
        <v>6</v>
      </c>
      <c r="K356" s="51" t="n">
        <v>4.5</v>
      </c>
      <c r="L356" s="52" t="n">
        <v>1.33333333333333</v>
      </c>
      <c r="M356" s="50" t="n">
        <v>0</v>
      </c>
      <c r="N356" s="50" t="n">
        <v>5</v>
      </c>
      <c r="O356" s="53" t="n">
        <v>14</v>
      </c>
      <c r="P356" s="48" t="s">
        <v>172</v>
      </c>
      <c r="Q356" s="50"/>
      <c r="R356" s="53" t="n">
        <f aca="false">IF(BW356=1,0,IFERROR(VLOOKUP(BU356,'Gebinde-Kategorie'!$A$5:$N$45,13,0)+0,0))</f>
        <v>26</v>
      </c>
      <c r="S356" s="54"/>
      <c r="T356" s="55" t="s">
        <v>279</v>
      </c>
      <c r="U356" s="55"/>
      <c r="V356" s="55"/>
      <c r="W356" s="48"/>
      <c r="X356" s="50"/>
      <c r="Y356" s="50"/>
      <c r="Z356" s="48" t="n">
        <f aca="false">IF(A356="","",IF(AND(Parameter!$B$21="Ja",ISNUMBER(W356)),W356,IF(BZ356="2+3",IF(ISNUMBER(SEARCH("grosser Artikel",BR356)),2,IFERROR(VLOOKUP(BU356,Parameter!$F$35:$G$64,2,0),2)),IF(OR(BZ356="Nein",BZ356=""),"-",BZ356))))</f>
        <v>3</v>
      </c>
      <c r="AA356" s="55"/>
      <c r="AB356" s="56"/>
      <c r="AC356" s="50" t="n">
        <f aca="false">AT356</f>
        <v>20</v>
      </c>
      <c r="AD356" s="50" t="n">
        <f aca="false">MAX(AT356,H356)</f>
        <v>20</v>
      </c>
      <c r="AE356" s="57"/>
      <c r="AF356" s="50" t="n">
        <f aca="false">IF(LEFT(Cockpit!$C$5,1)="A",H356,IF(CE356=1,CF356,IF(LEFT(Cockpit!$C$5,1)="B",AK356,MAX(AK356,H356))))</f>
        <v>9</v>
      </c>
      <c r="AG356" s="50" t="n">
        <f aca="false">IF(BW356=1,0,ROUNDUP(AF356/BV356,0))</f>
        <v>1</v>
      </c>
      <c r="AH356" s="52" t="n">
        <f aca="false">IF(CL356&gt;0,CL356*MAX(1,AF356/X356),IF(BW356=1,IF(AF356&lt;=0,0,CA356*MAX(1,IF(H356&gt;0,AF356/H356,1))),IF(R356&gt;0,AG356/R356,0))/MAX(0.1,N(Parameter!$M$21)))</f>
        <v>0.0384615384615385</v>
      </c>
      <c r="AI356" s="50" t="n">
        <f aca="false">AH356*BY356</f>
        <v>5.96153846153846</v>
      </c>
      <c r="AJ356" s="50" t="n">
        <f aca="false">AF356*G356</f>
        <v>171.45</v>
      </c>
      <c r="AK356" s="50" t="n">
        <f aca="false">ROUNDUP(MAX(J356/IF(CD356&gt;0,CD356,MAX(0.1,N(Cockpit!$C$6))),CG356)/BV356,0)*BV356</f>
        <v>20</v>
      </c>
      <c r="AL356" s="51" t="n">
        <f aca="false">IF(AI356&gt;0,J356/AI356,-1)</f>
        <v>1.00645161290323</v>
      </c>
      <c r="AM356" s="51" t="n">
        <f aca="false">IF(AND(OR(CC356="L1",CC356="L23",CC356="LIFT"),AI356&gt;0),SUMIFS($AI$7:$AI$1843,$CC$7:$CC$1843,CC356,$AL$7:$AL$1843,"&gt;"&amp;AL356)+SUMIFS($AI$7:$AI$1843,$CC$7:$CC$1843,CC356,$AL$7:$AL$1843,AL356,$BT$7:$BT$1843,"&lt;="&amp;BT356),"")</f>
        <v>7023.61584249084</v>
      </c>
      <c r="AN356" s="58" t="n">
        <f aca="false">IF(AM356="",0,MAX(0,MIN(1,(IF(CC356="L1",Parameter!$H$5,IF(CC356="L23",Parameter!$H$6+Parameter!$H$7,Parameter!$H$5+Parameter!$H$6+Parameter!$H$7))-(AM356-AI356))/AI356)))</f>
        <v>1</v>
      </c>
      <c r="AO356" s="50" t="n">
        <f aca="false">IF(LEFT(Cockpit!$I$5,1)="A",H356,IF(CE356=1,CF356,IF(LEFT(Cockpit!$I$5,1)="B",AT356,MAX(AT356,H356))))</f>
        <v>20</v>
      </c>
      <c r="AP356" s="50" t="n">
        <f aca="false">IF(BW356=1,0,ROUNDUP(AO356/BV356,0))</f>
        <v>1</v>
      </c>
      <c r="AQ356" s="52" t="n">
        <f aca="false">IF(CL356&gt;0,CL356*MAX(1,AO356/X356),IF(BW356=1,IF(AO356&lt;=0,0,CA356*MAX(1,IF(H356&gt;0,AO356/H356,1))),IF(R356&gt;0,AP356/R356,0))/MAX(0.1,N(Parameter!$M$21)))</f>
        <v>0.0384615384615385</v>
      </c>
      <c r="AR356" s="50" t="n">
        <f aca="false">AQ356*BY356</f>
        <v>5.96153846153846</v>
      </c>
      <c r="AS356" s="50" t="n">
        <f aca="false">AO356*G356</f>
        <v>381</v>
      </c>
      <c r="AT356" s="50" t="n">
        <f aca="false">ROUNDUP(MAX(J356/IF(CD356&gt;0,CD356,MAX(0.1,N(Cockpit!$I$6))),CG356)/BV356,0)*BV356</f>
        <v>20</v>
      </c>
      <c r="AU356" s="51" t="n">
        <f aca="false">IF(AR356&gt;0,J356/AR356,-1)</f>
        <v>1.00645161290323</v>
      </c>
      <c r="AV356" s="51" t="n">
        <f aca="false">IF(AND(OR(CC356="L1",CC356="L23",CC356="LIFT"),AR356&gt;0),SUMIFS($AR$7:$AR$1843,$CC$7:$CC$1843,CC356,$AU$7:$AU$1843,"&gt;"&amp;AU356)+SUMIFS($AR$7:$AR$1843,$CC$7:$CC$1843,CC356,$AU$7:$AU$1843,AU356,$BT$7:$BT$1843,"&lt;="&amp;BT356),"")</f>
        <v>10083.6227106227</v>
      </c>
      <c r="AW356" s="58" t="n">
        <f aca="false">IF(AV356="",0,MAX(0,MIN(1,(IF(CC356="L1",Parameter!$H$5,IF(CC356="L23",Parameter!$H$6+Parameter!$H$7,Parameter!$H$5+Parameter!$H$6+Parameter!$H$7))-(AV356-AR356))/AR356)))</f>
        <v>1</v>
      </c>
      <c r="AX356" s="50" t="n">
        <f aca="false">IF(LEFT(Cockpit!$O$5,1)="A",H356,IF(CE356=1,CF356,IF(LEFT(Cockpit!$O$5,1)="B",BC356,MAX(BC356,H356))))</f>
        <v>20</v>
      </c>
      <c r="AY356" s="50" t="n">
        <f aca="false">IF(BW356=1,0,ROUNDUP(AX356/BV356,0))</f>
        <v>1</v>
      </c>
      <c r="AZ356" s="52" t="n">
        <f aca="false">IF(CL356&gt;0,CL356*MAX(1,AX356/X356),IF(BW356=1,IF(AX356&lt;=0,0,CA356*MAX(1,IF(H356&gt;0,AX356/H356,1))),IF(R356&gt;0,AY356/R356,0))/MAX(0.1,N(Parameter!$M$21)))</f>
        <v>0.0384615384615385</v>
      </c>
      <c r="BA356" s="50" t="n">
        <f aca="false">AZ356*BY356</f>
        <v>5.96153846153846</v>
      </c>
      <c r="BB356" s="50" t="n">
        <f aca="false">AX356*G356</f>
        <v>381</v>
      </c>
      <c r="BC356" s="50" t="n">
        <f aca="false">ROUNDUP(MAX(J356/IF(CD356&gt;0,CD356,MAX(0.1,N(Cockpit!$O$6))),CG356)/BV356,0)*BV356</f>
        <v>20</v>
      </c>
      <c r="BD356" s="51" t="n">
        <f aca="false">IF(BA356&gt;0,J356/BA356,-1)</f>
        <v>1.00645161290323</v>
      </c>
      <c r="BE356" s="51" t="n">
        <f aca="false">IF(AND(OR(CC356="L1",CC356="L23",CC356="LIFT"),BA356&gt;0),SUMIFS($BA$7:$BA$1843,$CC$7:$CC$1843,CC356,$BD$7:$BD$1843,"&gt;"&amp;BD356)+SUMIFS($BA$7:$BA$1843,$CC$7:$CC$1843,CC356,$BD$7:$BD$1843,BD356,$BT$7:$BT$1843,"&lt;="&amp;BT356),"")</f>
        <v>9290.1130952381</v>
      </c>
      <c r="BF356" s="58" t="n">
        <f aca="false">IF(BE356="",0,MAX(0,MIN(1,(IF(CC356="L1",Parameter!$H$5,IF(CC356="L23",Parameter!$H$6+Parameter!$H$7,Parameter!$H$5+Parameter!$H$6+Parameter!$H$7))-(BE356-BA356))/BA356)))</f>
        <v>1</v>
      </c>
      <c r="BG356" s="48" t="str">
        <f aca="false">IF(AI356&lt;=0,"",IF(CC356="Aussen","Aussenlager",IF(CC356="-","Nicht im Lift",IF(AN356&gt;=1,"Lift",IF(AN356&lt;=0,"Aussenlager","teilweise")))))</f>
        <v>Lift</v>
      </c>
      <c r="BH356" s="48" t="str">
        <f aca="false">IF(AR356&lt;=0,"",IF(CC356="Aussen","Aussenlager",IF(CC356="-","Nicht im Lift",IF(AW356&gt;=1,"Lift",IF(AW356&lt;=0,"Aussenlager","teilweise")))))</f>
        <v>Lift</v>
      </c>
      <c r="BI356" s="48" t="str">
        <f aca="false">IF(BA356&lt;=0,"",IF(CC356="Aussen","Aussenlager",IF(CC356="-","Nicht im Lift",IF(BF356&gt;=1,"Lift",IF(BF356&lt;=0,"Aussenlager","teilweise")))))</f>
        <v>Lift</v>
      </c>
      <c r="BJ356" s="48" t="str">
        <f aca="false">IF(A356="","",IF(BS356=1,"Neu; ","")&amp;IF(AND(BS356=0,BN356&lt;0),"negativer Bestand (Export "&amp;BN356&amp;"); ","")&amp;IF(J356&lt;=0,"Kein Verbrauch; ","")&amp;IF(CL356&gt;0,"Lift "&amp;W356&amp;" lt. Liftbericht (Fach "&amp;X356&amp;" Stk); ",IF(BX356=1,"Gebinde geschätzt ("&amp;T356&amp;"); ",IF(BW356=1,"Lose – Tablare geschätzt; ","")))&amp;IF(H356&gt;AT356,"Überbestand "&amp;ROUND(H356-AT356,0)&amp;" Stk / CHF "&amp;ROUND((H356-AT356)*G356,0)&amp;"; ","")&amp;IF(AND(CE356=1,CF356&lt;CG356),"MAX &lt; MB+LG; ","")&amp;IF(AND(CK356&gt;0,CJ356*10&gt;CK356),"zu hoch für Tablar; ","")&amp;IF(AND(BS356=0,OR(CE356=1,AA356&lt;&gt;"",U356&lt;&gt;"",V356&lt;&gt;"",AB356&lt;&gt;"")),"manuell übersteuert; ","")&amp;IF(AND(BW356=0,R356=0),"Gebinde unbekannt / Stellmass fehlt; ","")&amp;IF(AND(BW356=0,N(V356)&lt;=0,N(Q356)&lt;=0),"Menge pro Gebinde fehlt (Ist = 1 Gebinde); ","")&amp;BR356)</f>
        <v>Gebinde geschätzt (Klein); Menge pro Gebinde fehlt (Ist = 1 Gebinde); nicht im KTL vorhanden</v>
      </c>
      <c r="BK356" s="48"/>
      <c r="BL356" s="48"/>
      <c r="BM356" s="55"/>
      <c r="BN356" s="50" t="n">
        <v>9</v>
      </c>
      <c r="BO356" s="50" t="n">
        <v>0</v>
      </c>
      <c r="BP356" s="49" t="n">
        <v>171.45</v>
      </c>
      <c r="BQ356" s="50" t="n">
        <v>6</v>
      </c>
      <c r="BR356" s="48" t="s">
        <v>234</v>
      </c>
      <c r="BS356" s="53" t="n">
        <v>0</v>
      </c>
      <c r="BT356" s="53" t="n">
        <v>356</v>
      </c>
      <c r="BU356" s="48" t="str">
        <f aca="false">IF(U356&lt;&gt;"",UPPER(TRIM(U356)),IF(BX356=1,UPPER(VLOOKUP(T356,Parameter!$I$27:$K$29,2,0)),IF(P356="","LOSE",P356)))</f>
        <v>S51</v>
      </c>
      <c r="BV356" s="50" t="n">
        <f aca="false">IF(BU356="LOSE",1,IF(N(V356)&gt;0,V356,IF(BX356=1,MAX(1,N(VLOOKUP(T356,Parameter!$I$27:$K$29,3,0)),H356,N(N356)),IF(N(Q356)&gt;0,Q356,MAX(1,H356)))))</f>
        <v>20</v>
      </c>
      <c r="BW356" s="53" t="n">
        <f aca="false">IF(BU356="LOSE",1,0)</f>
        <v>0</v>
      </c>
      <c r="BX356" s="53" t="n">
        <f aca="false">IF(AND(U356="",OR(P356="",P356="LOSE"),T356&lt;&gt;"",N(S356)&lt;=0,ISNUMBER(MATCH(T356,Parameter!$I$27:$I$29,0))),1,0)</f>
        <v>1</v>
      </c>
      <c r="BY356" s="53" t="n">
        <f aca="false">IF(CL356&gt;0,INDEX(Parameter!$H$5:$H$7,W356)/INDEX(Parameter!$E$5:$E$7,W356),IF(AND(BW356=0,N(IFERROR(VLOOKUP(BU356,'Gebinde-Kategorie'!$A$5:$N$45,14,0),0))&gt;0),VLOOKUP(BU356,'Gebinde-Kategorie'!$A$5:$N$45,14,0)*10+Parameter!$M$23,Parameter!$M$24))</f>
        <v>155</v>
      </c>
      <c r="BZ356" s="48" t="str">
        <f aca="false">IF(AND(Parameter!$B$19="Ja",E356&lt;&gt;"",ISNUMBER(MATCH(E356,Parameter!$I$35:$I$52,0))),VLOOKUP(E356,Parameter!$I$35:$J$52,2,0),IFERROR(VLOOKUP(D356,Parameter!$A$35:$C$64,2,0),"Nein"))</f>
        <v>2+3</v>
      </c>
      <c r="CA356" s="52" t="n">
        <f aca="false">IF(BW356=0,0,IF(N(S356)&gt;0,S356,IFERROR(VLOOKUP(D356,Parameter!$A$35:$C$64,3,0)+0,0)))</f>
        <v>0</v>
      </c>
      <c r="CB356" s="48" t="n">
        <f aca="false">IF(AA356&lt;&gt;"",AA356,Z356)</f>
        <v>3</v>
      </c>
      <c r="CC356" s="48" t="str">
        <f aca="false">IF(OR(CB356=1,CB356=2,CB356=3),IF(Parameter!$E$27="Ja","LIFT",IF(CB356=1,"L1","L23")),IF(CB356="Aussen","Aussen","-"))</f>
        <v>LIFT</v>
      </c>
      <c r="CD356" s="59" t="n">
        <f aca="false">IF(N(AB356)&gt;0,AB356,0)</f>
        <v>0</v>
      </c>
      <c r="CE356" s="53" t="n">
        <f aca="false">IF(ISNUMBER(AE356),1,0)</f>
        <v>0</v>
      </c>
      <c r="CF356" s="50" t="n">
        <f aca="false">N(AE356)</f>
        <v>0</v>
      </c>
      <c r="CG356" s="50" t="n">
        <f aca="false">N(M356)+N(N356)</f>
        <v>5</v>
      </c>
      <c r="CH356" s="50" t="n">
        <f aca="false">ROUNDUP(H356/BV356,0)</f>
        <v>1</v>
      </c>
      <c r="CI356" s="50" t="n">
        <f aca="false">ROUNDUP(CF356/BV356,0)</f>
        <v>0</v>
      </c>
      <c r="CJ356" s="53" t="n">
        <f aca="false">IF(BW356=1,0,IFERROR(VLOOKUP(BU356,'Gebinde-Kategorie'!$A$5:$N$45,5,0)+0,0))</f>
        <v>11</v>
      </c>
      <c r="CK356" s="53" t="n">
        <f aca="false">IFERROR(IF(OR(CB356=1,CB356=2,CB356=3),N(INDEX(Parameter!$I$5:$I$7,CB356)),0),0)</f>
        <v>0</v>
      </c>
      <c r="CL356" s="52" t="n">
        <f aca="false">IF(AND(Parameter!$B$21="Ja",ISNUMBER(W356),N(X356)&gt;0),IFERROR(N(INDEX(Parameter!$L$5:$L$7,W356))*INDEX(Parameter!$E$5:$E$7,W356)*X356/SUMIFS($X$7:$X$1843,$W$7:$W$1843,W356),0),0)</f>
        <v>0</v>
      </c>
    </row>
    <row r="357" customFormat="false" ht="15" hidden="false" customHeight="false" outlineLevel="0" collapsed="false">
      <c r="A357" s="48" t="s">
        <v>872</v>
      </c>
      <c r="B357" s="48" t="s">
        <v>575</v>
      </c>
      <c r="C357" s="48" t="s">
        <v>168</v>
      </c>
      <c r="D357" s="48" t="s">
        <v>188</v>
      </c>
      <c r="E357" s="48" t="s">
        <v>189</v>
      </c>
      <c r="F357" s="48" t="s">
        <v>222</v>
      </c>
      <c r="G357" s="49" t="n">
        <v>8.04</v>
      </c>
      <c r="H357" s="50" t="n">
        <f aca="false">MAX(0,IF(AND(Parameter!$B$21="Ja",ISNUMBER(Y357)),Y357,IF(Parameter!$B$20="Jahresanfang 2025 + Export",BO357+BN357,BN357)))</f>
        <v>117</v>
      </c>
      <c r="I357" s="50" t="n">
        <f aca="false">H357*G357</f>
        <v>940.68</v>
      </c>
      <c r="J357" s="50" t="n">
        <f aca="false">BQ357*Parameter!$B$18</f>
        <v>672</v>
      </c>
      <c r="K357" s="51" t="n">
        <v>128</v>
      </c>
      <c r="L357" s="52" t="n">
        <v>5.25</v>
      </c>
      <c r="M357" s="50" t="n">
        <v>39</v>
      </c>
      <c r="N357" s="50" t="n">
        <v>150</v>
      </c>
      <c r="O357" s="53" t="n">
        <v>21</v>
      </c>
      <c r="P357" s="48" t="s">
        <v>306</v>
      </c>
      <c r="Q357" s="50" t="n">
        <v>266</v>
      </c>
      <c r="R357" s="53" t="n">
        <f aca="false">IF(BW357=1,0,IFERROR(VLOOKUP(BU357,'Gebinde-Kategorie'!$A$5:$N$45,13,0)+0,0))</f>
        <v>26</v>
      </c>
      <c r="S357" s="54"/>
      <c r="T357" s="55"/>
      <c r="U357" s="55"/>
      <c r="V357" s="55"/>
      <c r="W357" s="48"/>
      <c r="X357" s="50"/>
      <c r="Y357" s="50"/>
      <c r="Z357" s="48" t="n">
        <f aca="false">IF(A357="","",IF(AND(Parameter!$B$21="Ja",ISNUMBER(W357)),W357,IF(BZ357="2+3",IF(ISNUMBER(SEARCH("grosser Artikel",BR357)),2,IFERROR(VLOOKUP(BU357,Parameter!$F$35:$G$64,2,0),2)),IF(OR(BZ357="Nein",BZ357=""),"-",BZ357))))</f>
        <v>3</v>
      </c>
      <c r="AA357" s="55"/>
      <c r="AB357" s="56"/>
      <c r="AC357" s="50" t="n">
        <f aca="false">AT357</f>
        <v>532</v>
      </c>
      <c r="AD357" s="50" t="n">
        <f aca="false">MAX(AT357,H357)</f>
        <v>532</v>
      </c>
      <c r="AE357" s="57"/>
      <c r="AF357" s="50" t="n">
        <f aca="false">IF(LEFT(Cockpit!$C$5,1)="A",H357,IF(CE357=1,CF357,IF(LEFT(Cockpit!$C$5,1)="B",AK357,MAX(AK357,H357))))</f>
        <v>117</v>
      </c>
      <c r="AG357" s="50" t="n">
        <f aca="false">IF(BW357=1,0,ROUNDUP(AF357/BV357,0))</f>
        <v>1</v>
      </c>
      <c r="AH357" s="52" t="n">
        <f aca="false">IF(CL357&gt;0,CL357*MAX(1,AF357/X357),IF(BW357=1,IF(AF357&lt;=0,0,CA357*MAX(1,IF(H357&gt;0,AF357/H357,1))),IF(R357&gt;0,AG357/R357,0))/MAX(0.1,N(Parameter!$M$21)))</f>
        <v>0.0384615384615385</v>
      </c>
      <c r="AI357" s="50" t="n">
        <f aca="false">AH357*BY357</f>
        <v>5.96153846153846</v>
      </c>
      <c r="AJ357" s="50" t="n">
        <f aca="false">AF357*G357</f>
        <v>940.68</v>
      </c>
      <c r="AK357" s="50" t="n">
        <f aca="false">ROUNDUP(MAX(J357/IF(CD357&gt;0,CD357,MAX(0.1,N(Cockpit!$C$6))),CG357)/BV357,0)*BV357</f>
        <v>532</v>
      </c>
      <c r="AL357" s="51" t="n">
        <f aca="false">IF(AI357&gt;0,J357/AI357,-1)</f>
        <v>112.722580645161</v>
      </c>
      <c r="AM357" s="51" t="n">
        <f aca="false">IF(AND(OR(CC357="L1",CC357="L23",CC357="LIFT"),AI357&gt;0),SUMIFS($AI$7:$AI$1843,$CC$7:$CC$1843,CC357,$AL$7:$AL$1843,"&gt;"&amp;AL357)+SUMIFS($AI$7:$AI$1843,$CC$7:$CC$1843,CC357,$AL$7:$AL$1843,AL357,$BT$7:$BT$1843,"&lt;="&amp;BT357),"")</f>
        <v>745.705586080586</v>
      </c>
      <c r="AN357" s="58" t="n">
        <f aca="false">IF(AM357="",0,MAX(0,MIN(1,(IF(CC357="L1",Parameter!$H$5,IF(CC357="L23",Parameter!$H$6+Parameter!$H$7,Parameter!$H$5+Parameter!$H$6+Parameter!$H$7))-(AM357-AI357))/AI357)))</f>
        <v>1</v>
      </c>
      <c r="AO357" s="50" t="n">
        <f aca="false">IF(LEFT(Cockpit!$I$5,1)="A",H357,IF(CE357=1,CF357,IF(LEFT(Cockpit!$I$5,1)="B",AT357,MAX(AT357,H357))))</f>
        <v>532</v>
      </c>
      <c r="AP357" s="50" t="n">
        <f aca="false">IF(BW357=1,0,ROUNDUP(AO357/BV357,0))</f>
        <v>2</v>
      </c>
      <c r="AQ357" s="52" t="n">
        <f aca="false">IF(CL357&gt;0,CL357*MAX(1,AO357/X357),IF(BW357=1,IF(AO357&lt;=0,0,CA357*MAX(1,IF(H357&gt;0,AO357/H357,1))),IF(R357&gt;0,AP357/R357,0))/MAX(0.1,N(Parameter!$M$21)))</f>
        <v>0.0769230769230769</v>
      </c>
      <c r="AR357" s="50" t="n">
        <f aca="false">AQ357*BY357</f>
        <v>11.9230769230769</v>
      </c>
      <c r="AS357" s="50" t="n">
        <f aca="false">AO357*G357</f>
        <v>4277.28</v>
      </c>
      <c r="AT357" s="50" t="n">
        <f aca="false">ROUNDUP(MAX(J357/IF(CD357&gt;0,CD357,MAX(0.1,N(Cockpit!$I$6))),CG357)/BV357,0)*BV357</f>
        <v>532</v>
      </c>
      <c r="AU357" s="51" t="n">
        <f aca="false">IF(AR357&gt;0,J357/AR357,-1)</f>
        <v>56.3612903225806</v>
      </c>
      <c r="AV357" s="51" t="n">
        <f aca="false">IF(AND(OR(CC357="L1",CC357="L23",CC357="LIFT"),AR357&gt;0),SUMIFS($AR$7:$AR$1843,$CC$7:$CC$1843,CC357,$AU$7:$AU$1843,"&gt;"&amp;AU357)+SUMIFS($AR$7:$AR$1843,$CC$7:$CC$1843,CC357,$AU$7:$AU$1843,AU357,$BT$7:$BT$1843,"&lt;="&amp;BT357),"")</f>
        <v>1499.89010989011</v>
      </c>
      <c r="AW357" s="58" t="n">
        <f aca="false">IF(AV357="",0,MAX(0,MIN(1,(IF(CC357="L1",Parameter!$H$5,IF(CC357="L23",Parameter!$H$6+Parameter!$H$7,Parameter!$H$5+Parameter!$H$6+Parameter!$H$7))-(AV357-AR357))/AR357)))</f>
        <v>1</v>
      </c>
      <c r="AX357" s="50" t="n">
        <f aca="false">IF(LEFT(Cockpit!$O$5,1)="A",H357,IF(CE357=1,CF357,IF(LEFT(Cockpit!$O$5,1)="B",BC357,MAX(BC357,H357))))</f>
        <v>266</v>
      </c>
      <c r="AY357" s="50" t="n">
        <f aca="false">IF(BW357=1,0,ROUNDUP(AX357/BV357,0))</f>
        <v>1</v>
      </c>
      <c r="AZ357" s="52" t="n">
        <f aca="false">IF(CL357&gt;0,CL357*MAX(1,AX357/X357),IF(BW357=1,IF(AX357&lt;=0,0,CA357*MAX(1,IF(H357&gt;0,AX357/H357,1))),IF(R357&gt;0,AY357/R357,0))/MAX(0.1,N(Parameter!$M$21)))</f>
        <v>0.0384615384615385</v>
      </c>
      <c r="BA357" s="50" t="n">
        <f aca="false">AZ357*BY357</f>
        <v>5.96153846153846</v>
      </c>
      <c r="BB357" s="50" t="n">
        <f aca="false">AX357*G357</f>
        <v>2138.64</v>
      </c>
      <c r="BC357" s="50" t="n">
        <f aca="false">ROUNDUP(MAX(J357/IF(CD357&gt;0,CD357,MAX(0.1,N(Cockpit!$O$6))),CG357)/BV357,0)*BV357</f>
        <v>266</v>
      </c>
      <c r="BD357" s="51" t="n">
        <f aca="false">IF(BA357&gt;0,J357/BA357,-1)</f>
        <v>112.722580645161</v>
      </c>
      <c r="BE357" s="51" t="n">
        <f aca="false">IF(AND(OR(CC357="L1",CC357="L23",CC357="LIFT"),BA357&gt;0),SUMIFS($BA$7:$BA$1843,$CC$7:$CC$1843,CC357,$BD$7:$BD$1843,"&gt;"&amp;BD357)+SUMIFS($BA$7:$BA$1843,$CC$7:$CC$1843,CC357,$BD$7:$BD$1843,BD357,$BT$7:$BT$1843,"&lt;="&amp;BT357),"")</f>
        <v>800.961538461539</v>
      </c>
      <c r="BF357" s="58" t="n">
        <f aca="false">IF(BE357="",0,MAX(0,MIN(1,(IF(CC357="L1",Parameter!$H$5,IF(CC357="L23",Parameter!$H$6+Parameter!$H$7,Parameter!$H$5+Parameter!$H$6+Parameter!$H$7))-(BE357-BA357))/BA357)))</f>
        <v>1</v>
      </c>
      <c r="BG357" s="48" t="str">
        <f aca="false">IF(AI357&lt;=0,"",IF(CC357="Aussen","Aussenlager",IF(CC357="-","Nicht im Lift",IF(AN357&gt;=1,"Lift",IF(AN357&lt;=0,"Aussenlager","teilweise")))))</f>
        <v>Lift</v>
      </c>
      <c r="BH357" s="48" t="str">
        <f aca="false">IF(AR357&lt;=0,"",IF(CC357="Aussen","Aussenlager",IF(CC357="-","Nicht im Lift",IF(AW357&gt;=1,"Lift",IF(AW357&lt;=0,"Aussenlager","teilweise")))))</f>
        <v>Lift</v>
      </c>
      <c r="BI357" s="48" t="str">
        <f aca="false">IF(BA357&lt;=0,"",IF(CC357="Aussen","Aussenlager",IF(CC357="-","Nicht im Lift",IF(BF357&gt;=1,"Lift",IF(BF357&lt;=0,"Aussenlager","teilweise")))))</f>
        <v>Lift</v>
      </c>
      <c r="BJ357" s="48" t="str">
        <f aca="false">IF(A357="","",IF(BS357=1,"Neu; ","")&amp;IF(AND(BS357=0,BN357&lt;0),"negativer Bestand (Export "&amp;BN357&amp;"); ","")&amp;IF(J357&lt;=0,"Kein Verbrauch; ","")&amp;IF(CL357&gt;0,"Lift "&amp;W357&amp;" lt. Liftbericht (Fach "&amp;X357&amp;" Stk); ",IF(BX357=1,"Gebinde geschätzt ("&amp;T357&amp;"); ",IF(BW357=1,"Lose – Tablare geschätzt; ","")))&amp;IF(H357&gt;AT357,"Überbestand "&amp;ROUND(H357-AT357,0)&amp;" Stk / CHF "&amp;ROUND((H357-AT357)*G357,0)&amp;"; ","")&amp;IF(AND(CE357=1,CF357&lt;CG357),"MAX &lt; MB+LG; ","")&amp;IF(AND(CK357&gt;0,CJ357*10&gt;CK357),"zu hoch für Tablar; ","")&amp;IF(AND(BS357=0,OR(CE357=1,AA357&lt;&gt;"",U357&lt;&gt;"",V357&lt;&gt;"",AB357&lt;&gt;"")),"manuell übersteuert; ","")&amp;IF(AND(BW357=0,R357=0),"Gebinde unbekannt / Stellmass fehlt; ","")&amp;IF(AND(BW357=0,N(V357)&lt;=0,N(Q357)&lt;=0),"Menge pro Gebinde fehlt (Ist = 1 Gebinde); ","")&amp;BR357)</f>
        <v/>
      </c>
      <c r="BK357" s="48"/>
      <c r="BL357" s="48"/>
      <c r="BM357" s="55"/>
      <c r="BN357" s="50" t="n">
        <v>25</v>
      </c>
      <c r="BO357" s="50" t="n">
        <v>92</v>
      </c>
      <c r="BP357" s="49" t="n">
        <v>170.599999999999</v>
      </c>
      <c r="BQ357" s="50" t="n">
        <v>672</v>
      </c>
      <c r="BR357" s="48"/>
      <c r="BS357" s="53" t="n">
        <v>0</v>
      </c>
      <c r="BT357" s="53" t="n">
        <v>357</v>
      </c>
      <c r="BU357" s="48" t="str">
        <f aca="false">IF(U357&lt;&gt;"",UPPER(TRIM(U357)),IF(BX357=1,UPPER(VLOOKUP(T357,Parameter!$I$27:$K$29,2,0)),IF(P357="","LOSE",P357)))</f>
        <v>S51</v>
      </c>
      <c r="BV357" s="50" t="n">
        <f aca="false">IF(BU357="LOSE",1,IF(N(V357)&gt;0,V357,IF(BX357=1,MAX(1,N(VLOOKUP(T357,Parameter!$I$27:$K$29,3,0)),H357,N(N357)),IF(N(Q357)&gt;0,Q357,MAX(1,H357)))))</f>
        <v>266</v>
      </c>
      <c r="BW357" s="53" t="n">
        <f aca="false">IF(BU357="LOSE",1,0)</f>
        <v>0</v>
      </c>
      <c r="BX357" s="53" t="n">
        <f aca="false">IF(AND(U357="",OR(P357="",P357="LOSE"),T357&lt;&gt;"",N(S357)&lt;=0,ISNUMBER(MATCH(T357,Parameter!$I$27:$I$29,0))),1,0)</f>
        <v>0</v>
      </c>
      <c r="BY357" s="53" t="n">
        <f aca="false">IF(CL357&gt;0,INDEX(Parameter!$H$5:$H$7,W357)/INDEX(Parameter!$E$5:$E$7,W357),IF(AND(BW357=0,N(IFERROR(VLOOKUP(BU357,'Gebinde-Kategorie'!$A$5:$N$45,14,0),0))&gt;0),VLOOKUP(BU357,'Gebinde-Kategorie'!$A$5:$N$45,14,0)*10+Parameter!$M$23,Parameter!$M$24))</f>
        <v>155</v>
      </c>
      <c r="BZ357" s="48" t="str">
        <f aca="false">IF(AND(Parameter!$B$19="Ja",E357&lt;&gt;"",ISNUMBER(MATCH(E357,Parameter!$I$35:$I$52,0))),VLOOKUP(E357,Parameter!$I$35:$J$52,2,0),IFERROR(VLOOKUP(D357,Parameter!$A$35:$C$64,2,0),"Nein"))</f>
        <v>2+3</v>
      </c>
      <c r="CA357" s="52" t="n">
        <f aca="false">IF(BW357=0,0,IF(N(S357)&gt;0,S357,IFERROR(VLOOKUP(D357,Parameter!$A$35:$C$64,3,0)+0,0)))</f>
        <v>0</v>
      </c>
      <c r="CB357" s="48" t="n">
        <f aca="false">IF(AA357&lt;&gt;"",AA357,Z357)</f>
        <v>3</v>
      </c>
      <c r="CC357" s="48" t="str">
        <f aca="false">IF(OR(CB357=1,CB357=2,CB357=3),IF(Parameter!$E$27="Ja","LIFT",IF(CB357=1,"L1","L23")),IF(CB357="Aussen","Aussen","-"))</f>
        <v>LIFT</v>
      </c>
      <c r="CD357" s="59" t="n">
        <f aca="false">IF(N(AB357)&gt;0,AB357,0)</f>
        <v>0</v>
      </c>
      <c r="CE357" s="53" t="n">
        <f aca="false">IF(ISNUMBER(AE357),1,0)</f>
        <v>0</v>
      </c>
      <c r="CF357" s="50" t="n">
        <f aca="false">N(AE357)</f>
        <v>0</v>
      </c>
      <c r="CG357" s="50" t="n">
        <f aca="false">N(M357)+N(N357)</f>
        <v>189</v>
      </c>
      <c r="CH357" s="50" t="n">
        <f aca="false">ROUNDUP(H357/BV357,0)</f>
        <v>1</v>
      </c>
      <c r="CI357" s="50" t="n">
        <f aca="false">ROUNDUP(CF357/BV357,0)</f>
        <v>0</v>
      </c>
      <c r="CJ357" s="53" t="n">
        <f aca="false">IF(BW357=1,0,IFERROR(VLOOKUP(BU357,'Gebinde-Kategorie'!$A$5:$N$45,5,0)+0,0))</f>
        <v>11</v>
      </c>
      <c r="CK357" s="53" t="n">
        <f aca="false">IFERROR(IF(OR(CB357=1,CB357=2,CB357=3),N(INDEX(Parameter!$I$5:$I$7,CB357)),0),0)</f>
        <v>0</v>
      </c>
      <c r="CL357" s="52" t="n">
        <f aca="false">IF(AND(Parameter!$B$21="Ja",ISNUMBER(W357),N(X357)&gt;0),IFERROR(N(INDEX(Parameter!$L$5:$L$7,W357))*INDEX(Parameter!$E$5:$E$7,W357)*X357/SUMIFS($X$7:$X$1843,$W$7:$W$1843,W357),0),0)</f>
        <v>0</v>
      </c>
    </row>
    <row r="358" customFormat="false" ht="15" hidden="false" customHeight="false" outlineLevel="0" collapsed="false">
      <c r="A358" s="48" t="s">
        <v>873</v>
      </c>
      <c r="B358" s="48" t="s">
        <v>641</v>
      </c>
      <c r="C358" s="48" t="s">
        <v>168</v>
      </c>
      <c r="D358" s="48" t="s">
        <v>188</v>
      </c>
      <c r="E358" s="48" t="s">
        <v>189</v>
      </c>
      <c r="F358" s="48" t="s">
        <v>222</v>
      </c>
      <c r="G358" s="49" t="n">
        <v>5.65</v>
      </c>
      <c r="H358" s="50" t="n">
        <f aca="false">MAX(0,IF(AND(Parameter!$B$21="Ja",ISNUMBER(Y358)),Y358,IF(Parameter!$B$20="Jahresanfang 2025 + Export",BO358+BN358,BN358)))</f>
        <v>133</v>
      </c>
      <c r="I358" s="50" t="n">
        <f aca="false">H358*G358</f>
        <v>751.45</v>
      </c>
      <c r="J358" s="50" t="n">
        <f aca="false">BQ358*Parameter!$B$18</f>
        <v>18</v>
      </c>
      <c r="K358" s="51" t="n">
        <v>122.5</v>
      </c>
      <c r="L358" s="52" t="n">
        <v>0.146938775510204</v>
      </c>
      <c r="M358" s="50" t="n">
        <v>3</v>
      </c>
      <c r="N358" s="50" t="n">
        <v>20</v>
      </c>
      <c r="O358" s="53" t="n">
        <v>63</v>
      </c>
      <c r="P358" s="48" t="s">
        <v>237</v>
      </c>
      <c r="Q358" s="50" t="n">
        <v>110</v>
      </c>
      <c r="R358" s="53" t="n">
        <f aca="false">IF(BW358=1,0,IFERROR(VLOOKUP(BU358,'Gebinde-Kategorie'!$A$5:$N$45,13,0)+0,0))</f>
        <v>26</v>
      </c>
      <c r="S358" s="54"/>
      <c r="T358" s="55"/>
      <c r="U358" s="55"/>
      <c r="V358" s="55"/>
      <c r="W358" s="48"/>
      <c r="X358" s="50"/>
      <c r="Y358" s="50"/>
      <c r="Z358" s="48" t="n">
        <f aca="false">IF(A358="","",IF(AND(Parameter!$B$21="Ja",ISNUMBER(W358)),W358,IF(BZ358="2+3",IF(ISNUMBER(SEARCH("grosser Artikel",BR358)),2,IFERROR(VLOOKUP(BU358,Parameter!$F$35:$G$64,2,0),2)),IF(OR(BZ358="Nein",BZ358=""),"-",BZ358))))</f>
        <v>3</v>
      </c>
      <c r="AA358" s="55"/>
      <c r="AB358" s="56"/>
      <c r="AC358" s="50" t="n">
        <f aca="false">AT358</f>
        <v>110</v>
      </c>
      <c r="AD358" s="50" t="n">
        <f aca="false">MAX(AT358,H358)</f>
        <v>133</v>
      </c>
      <c r="AE358" s="57"/>
      <c r="AF358" s="50" t="n">
        <f aca="false">IF(LEFT(Cockpit!$C$5,1)="A",H358,IF(CE358=1,CF358,IF(LEFT(Cockpit!$C$5,1)="B",AK358,MAX(AK358,H358))))</f>
        <v>133</v>
      </c>
      <c r="AG358" s="50" t="n">
        <f aca="false">IF(BW358=1,0,ROUNDUP(AF358/BV358,0))</f>
        <v>2</v>
      </c>
      <c r="AH358" s="52" t="n">
        <f aca="false">IF(CL358&gt;0,CL358*MAX(1,AF358/X358),IF(BW358=1,IF(AF358&lt;=0,0,CA358*MAX(1,IF(H358&gt;0,AF358/H358,1))),IF(R358&gt;0,AG358/R358,0))/MAX(0.1,N(Parameter!$M$21)))</f>
        <v>0.0769230769230769</v>
      </c>
      <c r="AI358" s="50" t="n">
        <f aca="false">AH358*BY358</f>
        <v>18.8461538461538</v>
      </c>
      <c r="AJ358" s="50" t="n">
        <f aca="false">AF358*G358</f>
        <v>751.45</v>
      </c>
      <c r="AK358" s="50" t="n">
        <f aca="false">ROUNDUP(MAX(J358/IF(CD358&gt;0,CD358,MAX(0.1,N(Cockpit!$C$6))),CG358)/BV358,0)*BV358</f>
        <v>110</v>
      </c>
      <c r="AL358" s="51" t="n">
        <f aca="false">IF(AI358&gt;0,J358/AI358,-1)</f>
        <v>0.955102040816327</v>
      </c>
      <c r="AM358" s="51" t="n">
        <f aca="false">IF(AND(OR(CC358="L1",CC358="L23",CC358="LIFT"),AI358&gt;0),SUMIFS($AI$7:$AI$1843,$CC$7:$CC$1843,CC358,$AL$7:$AL$1843,"&gt;"&amp;AL358)+SUMIFS($AI$7:$AI$1843,$CC$7:$CC$1843,CC358,$AL$7:$AL$1843,AL358,$BT$7:$BT$1843,"&lt;="&amp;BT358),"")</f>
        <v>7245.12225274725</v>
      </c>
      <c r="AN358" s="58" t="n">
        <f aca="false">IF(AM358="",0,MAX(0,MIN(1,(IF(CC358="L1",Parameter!$H$5,IF(CC358="L23",Parameter!$H$6+Parameter!$H$7,Parameter!$H$5+Parameter!$H$6+Parameter!$H$7))-(AM358-AI358))/AI358)))</f>
        <v>1</v>
      </c>
      <c r="AO358" s="50" t="n">
        <f aca="false">IF(LEFT(Cockpit!$I$5,1)="A",H358,IF(CE358=1,CF358,IF(LEFT(Cockpit!$I$5,1)="B",AT358,MAX(AT358,H358))))</f>
        <v>133</v>
      </c>
      <c r="AP358" s="50" t="n">
        <f aca="false">IF(BW358=1,0,ROUNDUP(AO358/BV358,0))</f>
        <v>2</v>
      </c>
      <c r="AQ358" s="52" t="n">
        <f aca="false">IF(CL358&gt;0,CL358*MAX(1,AO358/X358),IF(BW358=1,IF(AO358&lt;=0,0,CA358*MAX(1,IF(H358&gt;0,AO358/H358,1))),IF(R358&gt;0,AP358/R358,0))/MAX(0.1,N(Parameter!$M$21)))</f>
        <v>0.0769230769230769</v>
      </c>
      <c r="AR358" s="50" t="n">
        <f aca="false">AQ358*BY358</f>
        <v>18.8461538461538</v>
      </c>
      <c r="AS358" s="50" t="n">
        <f aca="false">AO358*G358</f>
        <v>751.45</v>
      </c>
      <c r="AT358" s="50" t="n">
        <f aca="false">ROUNDUP(MAX(J358/IF(CD358&gt;0,CD358,MAX(0.1,N(Cockpit!$I$6))),CG358)/BV358,0)*BV358</f>
        <v>110</v>
      </c>
      <c r="AU358" s="51" t="n">
        <f aca="false">IF(AR358&gt;0,J358/AR358,-1)</f>
        <v>0.955102040816327</v>
      </c>
      <c r="AV358" s="51" t="n">
        <f aca="false">IF(AND(OR(CC358="L1",CC358="L23",CC358="LIFT"),AR358&gt;0),SUMIFS($AR$7:$AR$1843,$CC$7:$CC$1843,CC358,$AU$7:$AU$1843,"&gt;"&amp;AU358)+SUMIFS($AR$7:$AR$1843,$CC$7:$CC$1843,CC358,$AU$7:$AU$1843,AU358,$BT$7:$BT$1843,"&lt;="&amp;BT358),"")</f>
        <v>10255.8983516484</v>
      </c>
      <c r="AW358" s="58" t="n">
        <f aca="false">IF(AV358="",0,MAX(0,MIN(1,(IF(CC358="L1",Parameter!$H$5,IF(CC358="L23",Parameter!$H$6+Parameter!$H$7,Parameter!$H$5+Parameter!$H$6+Parameter!$H$7))-(AV358-AR358))/AR358)))</f>
        <v>1</v>
      </c>
      <c r="AX358" s="50" t="n">
        <f aca="false">IF(LEFT(Cockpit!$O$5,1)="A",H358,IF(CE358=1,CF358,IF(LEFT(Cockpit!$O$5,1)="B",BC358,MAX(BC358,H358))))</f>
        <v>133</v>
      </c>
      <c r="AY358" s="50" t="n">
        <f aca="false">IF(BW358=1,0,ROUNDUP(AX358/BV358,0))</f>
        <v>2</v>
      </c>
      <c r="AZ358" s="52" t="n">
        <f aca="false">IF(CL358&gt;0,CL358*MAX(1,AX358/X358),IF(BW358=1,IF(AX358&lt;=0,0,CA358*MAX(1,IF(H358&gt;0,AX358/H358,1))),IF(R358&gt;0,AY358/R358,0))/MAX(0.1,N(Parameter!$M$21)))</f>
        <v>0.0769230769230769</v>
      </c>
      <c r="BA358" s="50" t="n">
        <f aca="false">AZ358*BY358</f>
        <v>18.8461538461538</v>
      </c>
      <c r="BB358" s="50" t="n">
        <f aca="false">AX358*G358</f>
        <v>751.45</v>
      </c>
      <c r="BC358" s="50" t="n">
        <f aca="false">ROUNDUP(MAX(J358/IF(CD358&gt;0,CD358,MAX(0.1,N(Cockpit!$O$6))),CG358)/BV358,0)*BV358</f>
        <v>110</v>
      </c>
      <c r="BD358" s="51" t="n">
        <f aca="false">IF(BA358&gt;0,J358/BA358,-1)</f>
        <v>0.955102040816327</v>
      </c>
      <c r="BE358" s="51" t="n">
        <f aca="false">IF(AND(OR(CC358="L1",CC358="L23",CC358="LIFT"),BA358&gt;0),SUMIFS($BA$7:$BA$1843,$CC$7:$CC$1843,CC358,$BD$7:$BD$1843,"&gt;"&amp;BD358)+SUMIFS($BA$7:$BA$1843,$CC$7:$CC$1843,CC358,$BD$7:$BD$1843,BD358,$BT$7:$BT$1843,"&lt;="&amp;BT358),"")</f>
        <v>9344.88873626374</v>
      </c>
      <c r="BF358" s="58" t="n">
        <f aca="false">IF(BE358="",0,MAX(0,MIN(1,(IF(CC358="L1",Parameter!$H$5,IF(CC358="L23",Parameter!$H$6+Parameter!$H$7,Parameter!$H$5+Parameter!$H$6+Parameter!$H$7))-(BE358-BA358))/BA358)))</f>
        <v>1</v>
      </c>
      <c r="BG358" s="48" t="str">
        <f aca="false">IF(AI358&lt;=0,"",IF(CC358="Aussen","Aussenlager",IF(CC358="-","Nicht im Lift",IF(AN358&gt;=1,"Lift",IF(AN358&lt;=0,"Aussenlager","teilweise")))))</f>
        <v>Lift</v>
      </c>
      <c r="BH358" s="48" t="str">
        <f aca="false">IF(AR358&lt;=0,"",IF(CC358="Aussen","Aussenlager",IF(CC358="-","Nicht im Lift",IF(AW358&gt;=1,"Lift",IF(AW358&lt;=0,"Aussenlager","teilweise")))))</f>
        <v>Lift</v>
      </c>
      <c r="BI358" s="48" t="str">
        <f aca="false">IF(BA358&lt;=0,"",IF(CC358="Aussen","Aussenlager",IF(CC358="-","Nicht im Lift",IF(BF358&gt;=1,"Lift",IF(BF358&lt;=0,"Aussenlager","teilweise")))))</f>
        <v>Lift</v>
      </c>
      <c r="BJ358" s="48" t="str">
        <f aca="false">IF(A358="","",IF(BS358=1,"Neu; ","")&amp;IF(AND(BS358=0,BN358&lt;0),"negativer Bestand (Export "&amp;BN358&amp;"); ","")&amp;IF(J358&lt;=0,"Kein Verbrauch; ","")&amp;IF(CL358&gt;0,"Lift "&amp;W358&amp;" lt. Liftbericht (Fach "&amp;X358&amp;" Stk); ",IF(BX358=1,"Gebinde geschätzt ("&amp;T358&amp;"); ",IF(BW358=1,"Lose – Tablare geschätzt; ","")))&amp;IF(H358&gt;AT358,"Überbestand "&amp;ROUND(H358-AT358,0)&amp;" Stk / CHF "&amp;ROUND((H358-AT358)*G358,0)&amp;"; ","")&amp;IF(AND(CE358=1,CF358&lt;CG358),"MAX &lt; MB+LG; ","")&amp;IF(AND(CK358&gt;0,CJ358*10&gt;CK358),"zu hoch für Tablar; ","")&amp;IF(AND(BS358=0,OR(CE358=1,AA358&lt;&gt;"",U358&lt;&gt;"",V358&lt;&gt;"",AB358&lt;&gt;"")),"manuell übersteuert; ","")&amp;IF(AND(BW358=0,R358=0),"Gebinde unbekannt / Stellmass fehlt; ","")&amp;IF(AND(BW358=0,N(V358)&lt;=0,N(Q358)&lt;=0),"Menge pro Gebinde fehlt (Ist = 1 Gebinde); ","")&amp;BR358)</f>
        <v>Überbestand 23 Stk / CHF 130; </v>
      </c>
      <c r="BK358" s="48"/>
      <c r="BL358" s="48"/>
      <c r="BM358" s="55"/>
      <c r="BN358" s="50" t="n">
        <v>30</v>
      </c>
      <c r="BO358" s="50" t="n">
        <v>103</v>
      </c>
      <c r="BP358" s="49" t="n">
        <v>169.5</v>
      </c>
      <c r="BQ358" s="50" t="n">
        <v>18</v>
      </c>
      <c r="BR358" s="48"/>
      <c r="BS358" s="53" t="n">
        <v>0</v>
      </c>
      <c r="BT358" s="53" t="n">
        <v>358</v>
      </c>
      <c r="BU358" s="48" t="str">
        <f aca="false">IF(U358&lt;&gt;"",UPPER(TRIM(U358)),IF(BX358=1,UPPER(VLOOKUP(T358,Parameter!$I$27:$K$29,2,0)),IF(P358="","LOSE",P358)))</f>
        <v>S52</v>
      </c>
      <c r="BV358" s="50" t="n">
        <f aca="false">IF(BU358="LOSE",1,IF(N(V358)&gt;0,V358,IF(BX358=1,MAX(1,N(VLOOKUP(T358,Parameter!$I$27:$K$29,3,0)),H358,N(N358)),IF(N(Q358)&gt;0,Q358,MAX(1,H358)))))</f>
        <v>110</v>
      </c>
      <c r="BW358" s="53" t="n">
        <f aca="false">IF(BU358="LOSE",1,0)</f>
        <v>0</v>
      </c>
      <c r="BX358" s="53" t="n">
        <f aca="false">IF(AND(U358="",OR(P358="",P358="LOSE"),T358&lt;&gt;"",N(S358)&lt;=0,ISNUMBER(MATCH(T358,Parameter!$I$27:$I$29,0))),1,0)</f>
        <v>0</v>
      </c>
      <c r="BY358" s="53" t="n">
        <f aca="false">IF(CL358&gt;0,INDEX(Parameter!$H$5:$H$7,W358)/INDEX(Parameter!$E$5:$E$7,W358),IF(AND(BW358=0,N(IFERROR(VLOOKUP(BU358,'Gebinde-Kategorie'!$A$5:$N$45,14,0),0))&gt;0),VLOOKUP(BU358,'Gebinde-Kategorie'!$A$5:$N$45,14,0)*10+Parameter!$M$23,Parameter!$M$24))</f>
        <v>245</v>
      </c>
      <c r="BZ358" s="48" t="str">
        <f aca="false">IF(AND(Parameter!$B$19="Ja",E358&lt;&gt;"",ISNUMBER(MATCH(E358,Parameter!$I$35:$I$52,0))),VLOOKUP(E358,Parameter!$I$35:$J$52,2,0),IFERROR(VLOOKUP(D358,Parameter!$A$35:$C$64,2,0),"Nein"))</f>
        <v>2+3</v>
      </c>
      <c r="CA358" s="52" t="n">
        <f aca="false">IF(BW358=0,0,IF(N(S358)&gt;0,S358,IFERROR(VLOOKUP(D358,Parameter!$A$35:$C$64,3,0)+0,0)))</f>
        <v>0</v>
      </c>
      <c r="CB358" s="48" t="n">
        <f aca="false">IF(AA358&lt;&gt;"",AA358,Z358)</f>
        <v>3</v>
      </c>
      <c r="CC358" s="48" t="str">
        <f aca="false">IF(OR(CB358=1,CB358=2,CB358=3),IF(Parameter!$E$27="Ja","LIFT",IF(CB358=1,"L1","L23")),IF(CB358="Aussen","Aussen","-"))</f>
        <v>LIFT</v>
      </c>
      <c r="CD358" s="59" t="n">
        <f aca="false">IF(N(AB358)&gt;0,AB358,0)</f>
        <v>0</v>
      </c>
      <c r="CE358" s="53" t="n">
        <f aca="false">IF(ISNUMBER(AE358),1,0)</f>
        <v>0</v>
      </c>
      <c r="CF358" s="50" t="n">
        <f aca="false">N(AE358)</f>
        <v>0</v>
      </c>
      <c r="CG358" s="50" t="n">
        <f aca="false">N(M358)+N(N358)</f>
        <v>23</v>
      </c>
      <c r="CH358" s="50" t="n">
        <f aca="false">ROUNDUP(H358/BV358,0)</f>
        <v>2</v>
      </c>
      <c r="CI358" s="50" t="n">
        <f aca="false">ROUNDUP(CF358/BV358,0)</f>
        <v>0</v>
      </c>
      <c r="CJ358" s="53" t="n">
        <f aca="false">IF(BW358=1,0,IFERROR(VLOOKUP(BU358,'Gebinde-Kategorie'!$A$5:$N$45,5,0)+0,0))</f>
        <v>21</v>
      </c>
      <c r="CK358" s="53" t="n">
        <f aca="false">IFERROR(IF(OR(CB358=1,CB358=2,CB358=3),N(INDEX(Parameter!$I$5:$I$7,CB358)),0),0)</f>
        <v>0</v>
      </c>
      <c r="CL358" s="52" t="n">
        <f aca="false">IF(AND(Parameter!$B$21="Ja",ISNUMBER(W358),N(X358)&gt;0),IFERROR(N(INDEX(Parameter!$L$5:$L$7,W358))*INDEX(Parameter!$E$5:$E$7,W358)*X358/SUMIFS($X$7:$X$1843,$W$7:$W$1843,W358),0),0)</f>
        <v>0</v>
      </c>
    </row>
    <row r="359" customFormat="false" ht="15" hidden="false" customHeight="false" outlineLevel="0" collapsed="false">
      <c r="A359" s="48" t="s">
        <v>874</v>
      </c>
      <c r="B359" s="48" t="s">
        <v>875</v>
      </c>
      <c r="C359" s="48" t="s">
        <v>168</v>
      </c>
      <c r="D359" s="48" t="s">
        <v>188</v>
      </c>
      <c r="E359" s="48" t="s">
        <v>189</v>
      </c>
      <c r="F359" s="48" t="s">
        <v>222</v>
      </c>
      <c r="G359" s="49" t="n">
        <v>11.4</v>
      </c>
      <c r="H359" s="50" t="n">
        <f aca="false">MAX(0,IF(AND(Parameter!$B$21="Ja",ISNUMBER(Y359)),Y359,IF(Parameter!$B$20="Jahresanfang 2025 + Export",BO359+BN359,BN359)))</f>
        <v>49</v>
      </c>
      <c r="I359" s="50" t="n">
        <f aca="false">H359*G359</f>
        <v>558.6</v>
      </c>
      <c r="J359" s="50" t="n">
        <f aca="false">BQ359*Parameter!$B$18</f>
        <v>57</v>
      </c>
      <c r="K359" s="51" t="n">
        <v>48</v>
      </c>
      <c r="L359" s="52" t="n">
        <v>1.1875</v>
      </c>
      <c r="M359" s="50" t="n">
        <v>4</v>
      </c>
      <c r="N359" s="50" t="n">
        <v>55</v>
      </c>
      <c r="O359" s="53" t="n">
        <v>28</v>
      </c>
      <c r="P359" s="48" t="s">
        <v>297</v>
      </c>
      <c r="Q359" s="50" t="n">
        <v>26</v>
      </c>
      <c r="R359" s="53" t="n">
        <f aca="false">IF(BW359=1,0,IFERROR(VLOOKUP(BU359,'Gebinde-Kategorie'!$A$5:$N$45,13,0)+0,0))</f>
        <v>12</v>
      </c>
      <c r="S359" s="54"/>
      <c r="T359" s="55"/>
      <c r="U359" s="55"/>
      <c r="V359" s="55"/>
      <c r="W359" s="48"/>
      <c r="X359" s="50"/>
      <c r="Y359" s="50"/>
      <c r="Z359" s="48" t="n">
        <f aca="false">IF(A359="","",IF(AND(Parameter!$B$21="Ja",ISNUMBER(W359)),W359,IF(BZ359="2+3",IF(ISNUMBER(SEARCH("grosser Artikel",BR359)),2,IFERROR(VLOOKUP(BU359,Parameter!$F$35:$G$64,2,0),2)),IF(OR(BZ359="Nein",BZ359=""),"-",BZ359))))</f>
        <v>2</v>
      </c>
      <c r="AA359" s="55"/>
      <c r="AB359" s="56"/>
      <c r="AC359" s="50" t="n">
        <f aca="false">AT359</f>
        <v>78</v>
      </c>
      <c r="AD359" s="50" t="n">
        <f aca="false">MAX(AT359,H359)</f>
        <v>78</v>
      </c>
      <c r="AE359" s="57"/>
      <c r="AF359" s="50" t="n">
        <f aca="false">IF(LEFT(Cockpit!$C$5,1)="A",H359,IF(CE359=1,CF359,IF(LEFT(Cockpit!$C$5,1)="B",AK359,MAX(AK359,H359))))</f>
        <v>49</v>
      </c>
      <c r="AG359" s="50" t="n">
        <f aca="false">IF(BW359=1,0,ROUNDUP(AF359/BV359,0))</f>
        <v>2</v>
      </c>
      <c r="AH359" s="52" t="n">
        <f aca="false">IF(CL359&gt;0,CL359*MAX(1,AF359/X359),IF(BW359=1,IF(AF359&lt;=0,0,CA359*MAX(1,IF(H359&gt;0,AF359/H359,1))),IF(R359&gt;0,AG359/R359,0))/MAX(0.1,N(Parameter!$M$21)))</f>
        <v>0.166666666666667</v>
      </c>
      <c r="AI359" s="50" t="n">
        <f aca="false">AH359*BY359</f>
        <v>40.8333333333333</v>
      </c>
      <c r="AJ359" s="50" t="n">
        <f aca="false">AF359*G359</f>
        <v>558.6</v>
      </c>
      <c r="AK359" s="50" t="n">
        <f aca="false">ROUNDUP(MAX(J359/IF(CD359&gt;0,CD359,MAX(0.1,N(Cockpit!$C$6))),CG359)/BV359,0)*BV359</f>
        <v>78</v>
      </c>
      <c r="AL359" s="51" t="n">
        <f aca="false">IF(AI359&gt;0,J359/AI359,-1)</f>
        <v>1.39591836734694</v>
      </c>
      <c r="AM359" s="51" t="n">
        <f aca="false">IF(AND(OR(CC359="L1",CC359="L23",CC359="LIFT"),AI359&gt;0),SUMIFS($AI$7:$AI$1843,$CC$7:$CC$1843,CC359,$AL$7:$AL$1843,"&gt;"&amp;AL359)+SUMIFS($AI$7:$AI$1843,$CC$7:$CC$1843,CC359,$AL$7:$AL$1843,AL359,$BT$7:$BT$1843,"&lt;="&amp;BT359),"")</f>
        <v>6290.95558608059</v>
      </c>
      <c r="AN359" s="58" t="n">
        <f aca="false">IF(AM359="",0,MAX(0,MIN(1,(IF(CC359="L1",Parameter!$H$5,IF(CC359="L23",Parameter!$H$6+Parameter!$H$7,Parameter!$H$5+Parameter!$H$6+Parameter!$H$7))-(AM359-AI359))/AI359)))</f>
        <v>1</v>
      </c>
      <c r="AO359" s="50" t="n">
        <f aca="false">IF(LEFT(Cockpit!$I$5,1)="A",H359,IF(CE359=1,CF359,IF(LEFT(Cockpit!$I$5,1)="B",AT359,MAX(AT359,H359))))</f>
        <v>78</v>
      </c>
      <c r="AP359" s="50" t="n">
        <f aca="false">IF(BW359=1,0,ROUNDUP(AO359/BV359,0))</f>
        <v>3</v>
      </c>
      <c r="AQ359" s="52" t="n">
        <f aca="false">IF(CL359&gt;0,CL359*MAX(1,AO359/X359),IF(BW359=1,IF(AO359&lt;=0,0,CA359*MAX(1,IF(H359&gt;0,AO359/H359,1))),IF(R359&gt;0,AP359/R359,0))/MAX(0.1,N(Parameter!$M$21)))</f>
        <v>0.25</v>
      </c>
      <c r="AR359" s="50" t="n">
        <f aca="false">AQ359*BY359</f>
        <v>61.25</v>
      </c>
      <c r="AS359" s="50" t="n">
        <f aca="false">AO359*G359</f>
        <v>889.2</v>
      </c>
      <c r="AT359" s="50" t="n">
        <f aca="false">ROUNDUP(MAX(J359/IF(CD359&gt;0,CD359,MAX(0.1,N(Cockpit!$I$6))),CG359)/BV359,0)*BV359</f>
        <v>78</v>
      </c>
      <c r="AU359" s="51" t="n">
        <f aca="false">IF(AR359&gt;0,J359/AR359,-1)</f>
        <v>0.930612244897959</v>
      </c>
      <c r="AV359" s="51" t="n">
        <f aca="false">IF(AND(OR(CC359="L1",CC359="L23",CC359="LIFT"),AR359&gt;0),SUMIFS($AR$7:$AR$1843,$CC$7:$CC$1843,CC359,$AU$7:$AU$1843,"&gt;"&amp;AU359)+SUMIFS($AR$7:$AR$1843,$CC$7:$CC$1843,CC359,$AU$7:$AU$1843,AU359,$BT$7:$BT$1843,"&lt;="&amp;BT359),"")</f>
        <v>10470.5457875458</v>
      </c>
      <c r="AW359" s="58" t="n">
        <f aca="false">IF(AV359="",0,MAX(0,MIN(1,(IF(CC359="L1",Parameter!$H$5,IF(CC359="L23",Parameter!$H$6+Parameter!$H$7,Parameter!$H$5+Parameter!$H$6+Parameter!$H$7))-(AV359-AR359))/AR359)))</f>
        <v>1</v>
      </c>
      <c r="AX359" s="50" t="n">
        <f aca="false">IF(LEFT(Cockpit!$O$5,1)="A",H359,IF(CE359=1,CF359,IF(LEFT(Cockpit!$O$5,1)="B",BC359,MAX(BC359,H359))))</f>
        <v>78</v>
      </c>
      <c r="AY359" s="50" t="n">
        <f aca="false">IF(BW359=1,0,ROUNDUP(AX359/BV359,0))</f>
        <v>3</v>
      </c>
      <c r="AZ359" s="52" t="n">
        <f aca="false">IF(CL359&gt;0,CL359*MAX(1,AX359/X359),IF(BW359=1,IF(AX359&lt;=0,0,CA359*MAX(1,IF(H359&gt;0,AX359/H359,1))),IF(R359&gt;0,AY359/R359,0))/MAX(0.1,N(Parameter!$M$21)))</f>
        <v>0.25</v>
      </c>
      <c r="BA359" s="50" t="n">
        <f aca="false">AZ359*BY359</f>
        <v>61.25</v>
      </c>
      <c r="BB359" s="50" t="n">
        <f aca="false">AX359*G359</f>
        <v>889.2</v>
      </c>
      <c r="BC359" s="50" t="n">
        <f aca="false">ROUNDUP(MAX(J359/IF(CD359&gt;0,CD359,MAX(0.1,N(Cockpit!$O$6))),CG359)/BV359,0)*BV359</f>
        <v>78</v>
      </c>
      <c r="BD359" s="51" t="n">
        <f aca="false">IF(BA359&gt;0,J359/BA359,-1)</f>
        <v>0.930612244897959</v>
      </c>
      <c r="BE359" s="51" t="n">
        <f aca="false">IF(AND(OR(CC359="L1",CC359="L23",CC359="LIFT"),BA359&gt;0),SUMIFS($BA$7:$BA$1843,$CC$7:$CC$1843,CC359,$BD$7:$BD$1843,"&gt;"&amp;BD359)+SUMIFS($BA$7:$BA$1843,$CC$7:$CC$1843,CC359,$BD$7:$BD$1843,BD359,$BT$7:$BT$1843,"&lt;="&amp;BT359),"")</f>
        <v>9728.70283882784</v>
      </c>
      <c r="BF359" s="58" t="n">
        <f aca="false">IF(BE359="",0,MAX(0,MIN(1,(IF(CC359="L1",Parameter!$H$5,IF(CC359="L23",Parameter!$H$6+Parameter!$H$7,Parameter!$H$5+Parameter!$H$6+Parameter!$H$7))-(BE359-BA359))/BA359)))</f>
        <v>1</v>
      </c>
      <c r="BG359" s="48" t="str">
        <f aca="false">IF(AI359&lt;=0,"",IF(CC359="Aussen","Aussenlager",IF(CC359="-","Nicht im Lift",IF(AN359&gt;=1,"Lift",IF(AN359&lt;=0,"Aussenlager","teilweise")))))</f>
        <v>Lift</v>
      </c>
      <c r="BH359" s="48" t="str">
        <f aca="false">IF(AR359&lt;=0,"",IF(CC359="Aussen","Aussenlager",IF(CC359="-","Nicht im Lift",IF(AW359&gt;=1,"Lift",IF(AW359&lt;=0,"Aussenlager","teilweise")))))</f>
        <v>Lift</v>
      </c>
      <c r="BI359" s="48" t="str">
        <f aca="false">IF(BA359&lt;=0,"",IF(CC359="Aussen","Aussenlager",IF(CC359="-","Nicht im Lift",IF(BF359&gt;=1,"Lift",IF(BF359&lt;=0,"Aussenlager","teilweise")))))</f>
        <v>Lift</v>
      </c>
      <c r="BJ359" s="48" t="str">
        <f aca="false">IF(A359="","",IF(BS359=1,"Neu; ","")&amp;IF(AND(BS359=0,BN359&lt;0),"negativer Bestand (Export "&amp;BN359&amp;"); ","")&amp;IF(J359&lt;=0,"Kein Verbrauch; ","")&amp;IF(CL359&gt;0,"Lift "&amp;W359&amp;" lt. Liftbericht (Fach "&amp;X359&amp;" Stk); ",IF(BX359=1,"Gebinde geschätzt ("&amp;T359&amp;"); ",IF(BW359=1,"Lose – Tablare geschätzt; ","")))&amp;IF(H359&gt;AT359,"Überbestand "&amp;ROUND(H359-AT359,0)&amp;" Stk / CHF "&amp;ROUND((H359-AT359)*G359,0)&amp;"; ","")&amp;IF(AND(CE359=1,CF359&lt;CG359),"MAX &lt; MB+LG; ","")&amp;IF(AND(CK359&gt;0,CJ359*10&gt;CK359),"zu hoch für Tablar; ","")&amp;IF(AND(BS359=0,OR(CE359=1,AA359&lt;&gt;"",U359&lt;&gt;"",V359&lt;&gt;"",AB359&lt;&gt;"")),"manuell übersteuert; ","")&amp;IF(AND(BW359=0,R359=0),"Gebinde unbekannt / Stellmass fehlt; ","")&amp;IF(AND(BW359=0,N(V359)&lt;=0,N(Q359)&lt;=0),"Menge pro Gebinde fehlt (Ist = 1 Gebinde); ","")&amp;BR359)</f>
        <v/>
      </c>
      <c r="BK359" s="48"/>
      <c r="BL359" s="48"/>
      <c r="BM359" s="55"/>
      <c r="BN359" s="50" t="n">
        <v>14</v>
      </c>
      <c r="BO359" s="50" t="n">
        <v>35</v>
      </c>
      <c r="BP359" s="49" t="n">
        <v>168.35</v>
      </c>
      <c r="BQ359" s="50" t="n">
        <v>57</v>
      </c>
      <c r="BR359" s="48"/>
      <c r="BS359" s="53" t="n">
        <v>0</v>
      </c>
      <c r="BT359" s="53" t="n">
        <v>359</v>
      </c>
      <c r="BU359" s="48" t="str">
        <f aca="false">IF(U359&lt;&gt;"",UPPER(TRIM(U359)),IF(BX359=1,UPPER(VLOOKUP(T359,Parameter!$I$27:$K$29,2,0)),IF(P359="","LOSE",P359)))</f>
        <v>S62</v>
      </c>
      <c r="BV359" s="50" t="n">
        <f aca="false">IF(BU359="LOSE",1,IF(N(V359)&gt;0,V359,IF(BX359=1,MAX(1,N(VLOOKUP(T359,Parameter!$I$27:$K$29,3,0)),H359,N(N359)),IF(N(Q359)&gt;0,Q359,MAX(1,H359)))))</f>
        <v>26</v>
      </c>
      <c r="BW359" s="53" t="n">
        <f aca="false">IF(BU359="LOSE",1,0)</f>
        <v>0</v>
      </c>
      <c r="BX359" s="53" t="n">
        <f aca="false">IF(AND(U359="",OR(P359="",P359="LOSE"),T359&lt;&gt;"",N(S359)&lt;=0,ISNUMBER(MATCH(T359,Parameter!$I$27:$I$29,0))),1,0)</f>
        <v>0</v>
      </c>
      <c r="BY359" s="53" t="n">
        <f aca="false">IF(CL359&gt;0,INDEX(Parameter!$H$5:$H$7,W359)/INDEX(Parameter!$E$5:$E$7,W359),IF(AND(BW359=0,N(IFERROR(VLOOKUP(BU359,'Gebinde-Kategorie'!$A$5:$N$45,14,0),0))&gt;0),VLOOKUP(BU359,'Gebinde-Kategorie'!$A$5:$N$45,14,0)*10+Parameter!$M$23,Parameter!$M$24))</f>
        <v>245</v>
      </c>
      <c r="BZ359" s="48" t="str">
        <f aca="false">IF(AND(Parameter!$B$19="Ja",E359&lt;&gt;"",ISNUMBER(MATCH(E359,Parameter!$I$35:$I$52,0))),VLOOKUP(E359,Parameter!$I$35:$J$52,2,0),IFERROR(VLOOKUP(D359,Parameter!$A$35:$C$64,2,0),"Nein"))</f>
        <v>2+3</v>
      </c>
      <c r="CA359" s="52" t="n">
        <f aca="false">IF(BW359=0,0,IF(N(S359)&gt;0,S359,IFERROR(VLOOKUP(D359,Parameter!$A$35:$C$64,3,0)+0,0)))</f>
        <v>0</v>
      </c>
      <c r="CB359" s="48" t="n">
        <f aca="false">IF(AA359&lt;&gt;"",AA359,Z359)</f>
        <v>2</v>
      </c>
      <c r="CC359" s="48" t="str">
        <f aca="false">IF(OR(CB359=1,CB359=2,CB359=3),IF(Parameter!$E$27="Ja","LIFT",IF(CB359=1,"L1","L23")),IF(CB359="Aussen","Aussen","-"))</f>
        <v>LIFT</v>
      </c>
      <c r="CD359" s="59" t="n">
        <f aca="false">IF(N(AB359)&gt;0,AB359,0)</f>
        <v>0</v>
      </c>
      <c r="CE359" s="53" t="n">
        <f aca="false">IF(ISNUMBER(AE359),1,0)</f>
        <v>0</v>
      </c>
      <c r="CF359" s="50" t="n">
        <f aca="false">N(AE359)</f>
        <v>0</v>
      </c>
      <c r="CG359" s="50" t="n">
        <f aca="false">N(M359)+N(N359)</f>
        <v>59</v>
      </c>
      <c r="CH359" s="50" t="n">
        <f aca="false">ROUNDUP(H359/BV359,0)</f>
        <v>2</v>
      </c>
      <c r="CI359" s="50" t="n">
        <f aca="false">ROUNDUP(CF359/BV359,0)</f>
        <v>0</v>
      </c>
      <c r="CJ359" s="53" t="n">
        <f aca="false">IF(BW359=1,0,IFERROR(VLOOKUP(BU359,'Gebinde-Kategorie'!$A$5:$N$45,5,0)+0,0))</f>
        <v>21</v>
      </c>
      <c r="CK359" s="53" t="n">
        <f aca="false">IFERROR(IF(OR(CB359=1,CB359=2,CB359=3),N(INDEX(Parameter!$I$5:$I$7,CB359)),0),0)</f>
        <v>0</v>
      </c>
      <c r="CL359" s="52" t="n">
        <f aca="false">IF(AND(Parameter!$B$21="Ja",ISNUMBER(W359),N(X359)&gt;0),IFERROR(N(INDEX(Parameter!$L$5:$L$7,W359))*INDEX(Parameter!$E$5:$E$7,W359)*X359/SUMIFS($X$7:$X$1843,$W$7:$W$1843,W359),0),0)</f>
        <v>0</v>
      </c>
    </row>
    <row r="360" customFormat="false" ht="15" hidden="false" customHeight="false" outlineLevel="0" collapsed="false">
      <c r="A360" s="48" t="s">
        <v>876</v>
      </c>
      <c r="B360" s="48" t="s">
        <v>472</v>
      </c>
      <c r="C360" s="48" t="s">
        <v>168</v>
      </c>
      <c r="D360" s="48" t="s">
        <v>188</v>
      </c>
      <c r="E360" s="48" t="s">
        <v>189</v>
      </c>
      <c r="F360" s="48" t="s">
        <v>222</v>
      </c>
      <c r="G360" s="49" t="n">
        <v>0.28</v>
      </c>
      <c r="H360" s="50" t="n">
        <f aca="false">MAX(0,IF(AND(Parameter!$B$21="Ja",ISNUMBER(Y360)),Y360,IF(Parameter!$B$20="Jahresanfang 2025 + Export",BO360+BN360,BN360)))</f>
        <v>1117</v>
      </c>
      <c r="I360" s="50" t="n">
        <f aca="false">H360*G360</f>
        <v>312.76</v>
      </c>
      <c r="J360" s="50" t="n">
        <f aca="false">BQ360*Parameter!$B$18</f>
        <v>1232</v>
      </c>
      <c r="K360" s="51" t="n">
        <v>530</v>
      </c>
      <c r="L360" s="52" t="n">
        <v>2.32452830188679</v>
      </c>
      <c r="M360" s="50" t="n">
        <v>47</v>
      </c>
      <c r="N360" s="50" t="n">
        <v>1235</v>
      </c>
      <c r="O360" s="53" t="n">
        <v>14</v>
      </c>
      <c r="P360" s="48" t="s">
        <v>332</v>
      </c>
      <c r="Q360" s="50" t="n">
        <v>534</v>
      </c>
      <c r="R360" s="53" t="n">
        <f aca="false">IF(BW360=1,0,IFERROR(VLOOKUP(BU360,'Gebinde-Kategorie'!$A$5:$N$45,13,0)+0,0))</f>
        <v>52</v>
      </c>
      <c r="S360" s="54"/>
      <c r="T360" s="55"/>
      <c r="U360" s="55"/>
      <c r="V360" s="55"/>
      <c r="W360" s="48"/>
      <c r="X360" s="50"/>
      <c r="Y360" s="50"/>
      <c r="Z360" s="48" t="n">
        <f aca="false">IF(A360="","",IF(AND(Parameter!$B$21="Ja",ISNUMBER(W360)),W360,IF(BZ360="2+3",IF(ISNUMBER(SEARCH("grosser Artikel",BR360)),2,IFERROR(VLOOKUP(BU360,Parameter!$F$35:$G$64,2,0),2)),IF(OR(BZ360="Nein",BZ360=""),"-",BZ360))))</f>
        <v>3</v>
      </c>
      <c r="AA360" s="55"/>
      <c r="AB360" s="56"/>
      <c r="AC360" s="50" t="n">
        <f aca="false">AT360</f>
        <v>1602</v>
      </c>
      <c r="AD360" s="50" t="n">
        <f aca="false">MAX(AT360,H360)</f>
        <v>1602</v>
      </c>
      <c r="AE360" s="57"/>
      <c r="AF360" s="50" t="n">
        <f aca="false">IF(LEFT(Cockpit!$C$5,1)="A",H360,IF(CE360=1,CF360,IF(LEFT(Cockpit!$C$5,1)="B",AK360,MAX(AK360,H360))))</f>
        <v>1117</v>
      </c>
      <c r="AG360" s="50" t="n">
        <f aca="false">IF(BW360=1,0,ROUNDUP(AF360/BV360,0))</f>
        <v>3</v>
      </c>
      <c r="AH360" s="52" t="n">
        <f aca="false">IF(CL360&gt;0,CL360*MAX(1,AF360/X360),IF(BW360=1,IF(AF360&lt;=0,0,CA360*MAX(1,IF(H360&gt;0,AF360/H360,1))),IF(R360&gt;0,AG360/R360,0))/MAX(0.1,N(Parameter!$M$21)))</f>
        <v>0.0576923076923077</v>
      </c>
      <c r="AI360" s="50" t="n">
        <f aca="false">AH360*BY360</f>
        <v>8.94230769230769</v>
      </c>
      <c r="AJ360" s="50" t="n">
        <f aca="false">AF360*G360</f>
        <v>312.76</v>
      </c>
      <c r="AK360" s="50" t="n">
        <f aca="false">ROUNDUP(MAX(J360/IF(CD360&gt;0,CD360,MAX(0.1,N(Cockpit!$C$6))),CG360)/BV360,0)*BV360</f>
        <v>1602</v>
      </c>
      <c r="AL360" s="51" t="n">
        <f aca="false">IF(AI360&gt;0,J360/AI360,-1)</f>
        <v>137.772043010753</v>
      </c>
      <c r="AM360" s="51" t="n">
        <f aca="false">IF(AND(OR(CC360="L1",CC360="L23",CC360="LIFT"),AI360&gt;0),SUMIFS($AI$7:$AI$1843,$CC$7:$CC$1843,CC360,$AL$7:$AL$1843,"&gt;"&amp;AL360)+SUMIFS($AI$7:$AI$1843,$CC$7:$CC$1843,CC360,$AL$7:$AL$1843,AL360,$BT$7:$BT$1843,"&lt;="&amp;BT360),"")</f>
        <v>521.247710622711</v>
      </c>
      <c r="AN360" s="58" t="n">
        <f aca="false">IF(AM360="",0,MAX(0,MIN(1,(IF(CC360="L1",Parameter!$H$5,IF(CC360="L23",Parameter!$H$6+Parameter!$H$7,Parameter!$H$5+Parameter!$H$6+Parameter!$H$7))-(AM360-AI360))/AI360)))</f>
        <v>1</v>
      </c>
      <c r="AO360" s="50" t="n">
        <f aca="false">IF(LEFT(Cockpit!$I$5,1)="A",H360,IF(CE360=1,CF360,IF(LEFT(Cockpit!$I$5,1)="B",AT360,MAX(AT360,H360))))</f>
        <v>1602</v>
      </c>
      <c r="AP360" s="50" t="n">
        <f aca="false">IF(BW360=1,0,ROUNDUP(AO360/BV360,0))</f>
        <v>3</v>
      </c>
      <c r="AQ360" s="52" t="n">
        <f aca="false">IF(CL360&gt;0,CL360*MAX(1,AO360/X360),IF(BW360=1,IF(AO360&lt;=0,0,CA360*MAX(1,IF(H360&gt;0,AO360/H360,1))),IF(R360&gt;0,AP360/R360,0))/MAX(0.1,N(Parameter!$M$21)))</f>
        <v>0.0576923076923077</v>
      </c>
      <c r="AR360" s="50" t="n">
        <f aca="false">AQ360*BY360</f>
        <v>8.94230769230769</v>
      </c>
      <c r="AS360" s="50" t="n">
        <f aca="false">AO360*G360</f>
        <v>448.56</v>
      </c>
      <c r="AT360" s="50" t="n">
        <f aca="false">ROUNDUP(MAX(J360/IF(CD360&gt;0,CD360,MAX(0.1,N(Cockpit!$I$6))),CG360)/BV360,0)*BV360</f>
        <v>1602</v>
      </c>
      <c r="AU360" s="51" t="n">
        <f aca="false">IF(AR360&gt;0,J360/AR360,-1)</f>
        <v>137.772043010753</v>
      </c>
      <c r="AV360" s="51" t="n">
        <f aca="false">IF(AND(OR(CC360="L1",CC360="L23",CC360="LIFT"),AR360&gt;0),SUMIFS($AR$7:$AR$1843,$CC$7:$CC$1843,CC360,$AU$7:$AU$1843,"&gt;"&amp;AU360)+SUMIFS($AR$7:$AR$1843,$CC$7:$CC$1843,CC360,$AU$7:$AU$1843,AU360,$BT$7:$BT$1843,"&lt;="&amp;BT360),"")</f>
        <v>681.372710622711</v>
      </c>
      <c r="AW360" s="58" t="n">
        <f aca="false">IF(AV360="",0,MAX(0,MIN(1,(IF(CC360="L1",Parameter!$H$5,IF(CC360="L23",Parameter!$H$6+Parameter!$H$7,Parameter!$H$5+Parameter!$H$6+Parameter!$H$7))-(AV360-AR360))/AR360)))</f>
        <v>1</v>
      </c>
      <c r="AX360" s="50" t="n">
        <f aca="false">IF(LEFT(Cockpit!$O$5,1)="A",H360,IF(CE360=1,CF360,IF(LEFT(Cockpit!$O$5,1)="B",BC360,MAX(BC360,H360))))</f>
        <v>1602</v>
      </c>
      <c r="AY360" s="50" t="n">
        <f aca="false">IF(BW360=1,0,ROUNDUP(AX360/BV360,0))</f>
        <v>3</v>
      </c>
      <c r="AZ360" s="52" t="n">
        <f aca="false">IF(CL360&gt;0,CL360*MAX(1,AX360/X360),IF(BW360=1,IF(AX360&lt;=0,0,CA360*MAX(1,IF(H360&gt;0,AX360/H360,1))),IF(R360&gt;0,AY360/R360,0))/MAX(0.1,N(Parameter!$M$21)))</f>
        <v>0.0576923076923077</v>
      </c>
      <c r="BA360" s="50" t="n">
        <f aca="false">AZ360*BY360</f>
        <v>8.94230769230769</v>
      </c>
      <c r="BB360" s="50" t="n">
        <f aca="false">AX360*G360</f>
        <v>448.56</v>
      </c>
      <c r="BC360" s="50" t="n">
        <f aca="false">ROUNDUP(MAX(J360/IF(CD360&gt;0,CD360,MAX(0.1,N(Cockpit!$O$6))),CG360)/BV360,0)*BV360</f>
        <v>1602</v>
      </c>
      <c r="BD360" s="51" t="n">
        <f aca="false">IF(BA360&gt;0,J360/BA360,-1)</f>
        <v>137.772043010753</v>
      </c>
      <c r="BE360" s="51" t="n">
        <f aca="false">IF(AND(OR(CC360="L1",CC360="L23",CC360="LIFT"),BA360&gt;0),SUMIFS($BA$7:$BA$1843,$CC$7:$CC$1843,CC360,$BD$7:$BD$1843,"&gt;"&amp;BD360)+SUMIFS($BA$7:$BA$1843,$CC$7:$CC$1843,CC360,$BD$7:$BD$1843,BD360,$BT$7:$BT$1843,"&lt;="&amp;BT360),"")</f>
        <v>625.811813186813</v>
      </c>
      <c r="BF360" s="58" t="n">
        <f aca="false">IF(BE360="",0,MAX(0,MIN(1,(IF(CC360="L1",Parameter!$H$5,IF(CC360="L23",Parameter!$H$6+Parameter!$H$7,Parameter!$H$5+Parameter!$H$6+Parameter!$H$7))-(BE360-BA360))/BA360)))</f>
        <v>1</v>
      </c>
      <c r="BG360" s="48" t="str">
        <f aca="false">IF(AI360&lt;=0,"",IF(CC360="Aussen","Aussenlager",IF(CC360="-","Nicht im Lift",IF(AN360&gt;=1,"Lift",IF(AN360&lt;=0,"Aussenlager","teilweise")))))</f>
        <v>Lift</v>
      </c>
      <c r="BH360" s="48" t="str">
        <f aca="false">IF(AR360&lt;=0,"",IF(CC360="Aussen","Aussenlager",IF(CC360="-","Nicht im Lift",IF(AW360&gt;=1,"Lift",IF(AW360&lt;=0,"Aussenlager","teilweise")))))</f>
        <v>Lift</v>
      </c>
      <c r="BI360" s="48" t="str">
        <f aca="false">IF(BA360&lt;=0,"",IF(CC360="Aussen","Aussenlager",IF(CC360="-","Nicht im Lift",IF(BF360&gt;=1,"Lift",IF(BF360&lt;=0,"Aussenlager","teilweise")))))</f>
        <v>Lift</v>
      </c>
      <c r="BJ360" s="48" t="str">
        <f aca="false">IF(A360="","",IF(BS360=1,"Neu; ","")&amp;IF(AND(BS360=0,BN360&lt;0),"negativer Bestand (Export "&amp;BN360&amp;"); ","")&amp;IF(J360&lt;=0,"Kein Verbrauch; ","")&amp;IF(CL360&gt;0,"Lift "&amp;W360&amp;" lt. Liftbericht (Fach "&amp;X360&amp;" Stk); ",IF(BX360=1,"Gebinde geschätzt ("&amp;T360&amp;"); ",IF(BW360=1,"Lose – Tablare geschätzt; ","")))&amp;IF(H360&gt;AT360,"Überbestand "&amp;ROUND(H360-AT360,0)&amp;" Stk / CHF "&amp;ROUND((H360-AT360)*G360,0)&amp;"; ","")&amp;IF(AND(CE360=1,CF360&lt;CG360),"MAX &lt; MB+LG; ","")&amp;IF(AND(CK360&gt;0,CJ360*10&gt;CK360),"zu hoch für Tablar; ","")&amp;IF(AND(BS360=0,OR(CE360=1,AA360&lt;&gt;"",U360&lt;&gt;"",V360&lt;&gt;"",AB360&lt;&gt;"")),"manuell übersteuert; ","")&amp;IF(AND(BW360=0,R360=0),"Gebinde unbekannt / Stellmass fehlt; ","")&amp;IF(AND(BW360=0,N(V360)&lt;=0,N(Q360)&lt;=0),"Menge pro Gebinde fehlt (Ist = 1 Gebinde); ","")&amp;BR360)</f>
        <v/>
      </c>
      <c r="BK360" s="48"/>
      <c r="BL360" s="48"/>
      <c r="BM360" s="55"/>
      <c r="BN360" s="50" t="n">
        <v>688</v>
      </c>
      <c r="BO360" s="50" t="n">
        <v>429</v>
      </c>
      <c r="BP360" s="49" t="n">
        <v>167.5</v>
      </c>
      <c r="BQ360" s="50" t="n">
        <v>1232</v>
      </c>
      <c r="BR360" s="48"/>
      <c r="BS360" s="53" t="n">
        <v>0</v>
      </c>
      <c r="BT360" s="53" t="n">
        <v>360</v>
      </c>
      <c r="BU360" s="48" t="str">
        <f aca="false">IF(U360&lt;&gt;"",UPPER(TRIM(U360)),IF(BX360=1,UPPER(VLOOKUP(T360,Parameter!$I$27:$K$29,2,0)),IF(P360="","LOSE",P360)))</f>
        <v>S41</v>
      </c>
      <c r="BV360" s="50" t="n">
        <f aca="false">IF(BU360="LOSE",1,IF(N(V360)&gt;0,V360,IF(BX360=1,MAX(1,N(VLOOKUP(T360,Parameter!$I$27:$K$29,3,0)),H360,N(N360)),IF(N(Q360)&gt;0,Q360,MAX(1,H360)))))</f>
        <v>534</v>
      </c>
      <c r="BW360" s="53" t="n">
        <f aca="false">IF(BU360="LOSE",1,0)</f>
        <v>0</v>
      </c>
      <c r="BX360" s="53" t="n">
        <f aca="false">IF(AND(U360="",OR(P360="",P360="LOSE"),T360&lt;&gt;"",N(S360)&lt;=0,ISNUMBER(MATCH(T360,Parameter!$I$27:$I$29,0))),1,0)</f>
        <v>0</v>
      </c>
      <c r="BY360" s="53" t="n">
        <f aca="false">IF(CL360&gt;0,INDEX(Parameter!$H$5:$H$7,W360)/INDEX(Parameter!$E$5:$E$7,W360),IF(AND(BW360=0,N(IFERROR(VLOOKUP(BU360,'Gebinde-Kategorie'!$A$5:$N$45,14,0),0))&gt;0),VLOOKUP(BU360,'Gebinde-Kategorie'!$A$5:$N$45,14,0)*10+Parameter!$M$23,Parameter!$M$24))</f>
        <v>155</v>
      </c>
      <c r="BZ360" s="48" t="str">
        <f aca="false">IF(AND(Parameter!$B$19="Ja",E360&lt;&gt;"",ISNUMBER(MATCH(E360,Parameter!$I$35:$I$52,0))),VLOOKUP(E360,Parameter!$I$35:$J$52,2,0),IFERROR(VLOOKUP(D360,Parameter!$A$35:$C$64,2,0),"Nein"))</f>
        <v>2+3</v>
      </c>
      <c r="CA360" s="52" t="n">
        <f aca="false">IF(BW360=0,0,IF(N(S360)&gt;0,S360,IFERROR(VLOOKUP(D360,Parameter!$A$35:$C$64,3,0)+0,0)))</f>
        <v>0</v>
      </c>
      <c r="CB360" s="48" t="n">
        <f aca="false">IF(AA360&lt;&gt;"",AA360,Z360)</f>
        <v>3</v>
      </c>
      <c r="CC360" s="48" t="str">
        <f aca="false">IF(OR(CB360=1,CB360=2,CB360=3),IF(Parameter!$E$27="Ja","LIFT",IF(CB360=1,"L1","L23")),IF(CB360="Aussen","Aussen","-"))</f>
        <v>LIFT</v>
      </c>
      <c r="CD360" s="59" t="n">
        <f aca="false">IF(N(AB360)&gt;0,AB360,0)</f>
        <v>0</v>
      </c>
      <c r="CE360" s="53" t="n">
        <f aca="false">IF(ISNUMBER(AE360),1,0)</f>
        <v>0</v>
      </c>
      <c r="CF360" s="50" t="n">
        <f aca="false">N(AE360)</f>
        <v>0</v>
      </c>
      <c r="CG360" s="50" t="n">
        <f aca="false">N(M360)+N(N360)</f>
        <v>1282</v>
      </c>
      <c r="CH360" s="50" t="n">
        <f aca="false">ROUNDUP(H360/BV360,0)</f>
        <v>3</v>
      </c>
      <c r="CI360" s="50" t="n">
        <f aca="false">ROUNDUP(CF360/BV360,0)</f>
        <v>0</v>
      </c>
      <c r="CJ360" s="53" t="n">
        <f aca="false">IF(BW360=1,0,IFERROR(VLOOKUP(BU360,'Gebinde-Kategorie'!$A$5:$N$45,5,0)+0,0))</f>
        <v>11</v>
      </c>
      <c r="CK360" s="53" t="n">
        <f aca="false">IFERROR(IF(OR(CB360=1,CB360=2,CB360=3),N(INDEX(Parameter!$I$5:$I$7,CB360)),0),0)</f>
        <v>0</v>
      </c>
      <c r="CL360" s="52" t="n">
        <f aca="false">IF(AND(Parameter!$B$21="Ja",ISNUMBER(W360),N(X360)&gt;0),IFERROR(N(INDEX(Parameter!$L$5:$L$7,W360))*INDEX(Parameter!$E$5:$E$7,W360)*X360/SUMIFS($X$7:$X$1843,$W$7:$W$1843,W360),0),0)</f>
        <v>0</v>
      </c>
    </row>
    <row r="361" customFormat="false" ht="15" hidden="false" customHeight="false" outlineLevel="0" collapsed="false">
      <c r="A361" s="48" t="s">
        <v>877</v>
      </c>
      <c r="B361" s="48" t="s">
        <v>849</v>
      </c>
      <c r="C361" s="48" t="s">
        <v>168</v>
      </c>
      <c r="D361" s="48" t="s">
        <v>188</v>
      </c>
      <c r="E361" s="48"/>
      <c r="F361" s="48" t="s">
        <v>222</v>
      </c>
      <c r="G361" s="49" t="n">
        <v>6.7</v>
      </c>
      <c r="H361" s="50" t="n">
        <f aca="false">MAX(0,IF(AND(Parameter!$B$21="Ja",ISNUMBER(Y361)),Y361,IF(Parameter!$B$20="Jahresanfang 2025 + Export",BO361+BN361,BN361)))</f>
        <v>25</v>
      </c>
      <c r="I361" s="50" t="n">
        <f aca="false">H361*G361</f>
        <v>167.5</v>
      </c>
      <c r="J361" s="50" t="n">
        <f aca="false">BQ361*Parameter!$B$18</f>
        <v>0</v>
      </c>
      <c r="K361" s="51" t="n">
        <v>0</v>
      </c>
      <c r="L361" s="52" t="n">
        <v>0</v>
      </c>
      <c r="M361" s="50" t="n">
        <v>0</v>
      </c>
      <c r="N361" s="50" t="n">
        <v>5</v>
      </c>
      <c r="O361" s="53" t="n">
        <v>9999</v>
      </c>
      <c r="P361" s="48" t="s">
        <v>172</v>
      </c>
      <c r="Q361" s="50"/>
      <c r="R361" s="53" t="n">
        <f aca="false">IF(BW361=1,0,IFERROR(VLOOKUP(BU361,'Gebinde-Kategorie'!$A$5:$N$45,13,0)+0,0))</f>
        <v>26</v>
      </c>
      <c r="S361" s="54"/>
      <c r="T361" s="55" t="s">
        <v>279</v>
      </c>
      <c r="U361" s="55"/>
      <c r="V361" s="55"/>
      <c r="W361" s="48"/>
      <c r="X361" s="50"/>
      <c r="Y361" s="50"/>
      <c r="Z361" s="48" t="n">
        <f aca="false">IF(A361="","",IF(AND(Parameter!$B$21="Ja",ISNUMBER(W361)),W361,IF(BZ361="2+3",IF(ISNUMBER(SEARCH("grosser Artikel",BR361)),2,IFERROR(VLOOKUP(BU361,Parameter!$F$35:$G$64,2,0),2)),IF(OR(BZ361="Nein",BZ361=""),"-",BZ361))))</f>
        <v>3</v>
      </c>
      <c r="AA361" s="55"/>
      <c r="AB361" s="56"/>
      <c r="AC361" s="50" t="n">
        <f aca="false">AT361</f>
        <v>25</v>
      </c>
      <c r="AD361" s="50" t="n">
        <f aca="false">MAX(AT361,H361)</f>
        <v>25</v>
      </c>
      <c r="AE361" s="57"/>
      <c r="AF361" s="50" t="n">
        <f aca="false">IF(LEFT(Cockpit!$C$5,1)="A",H361,IF(CE361=1,CF361,IF(LEFT(Cockpit!$C$5,1)="B",AK361,MAX(AK361,H361))))</f>
        <v>25</v>
      </c>
      <c r="AG361" s="50" t="n">
        <f aca="false">IF(BW361=1,0,ROUNDUP(AF361/BV361,0))</f>
        <v>1</v>
      </c>
      <c r="AH361" s="52" t="n">
        <f aca="false">IF(CL361&gt;0,CL361*MAX(1,AF361/X361),IF(BW361=1,IF(AF361&lt;=0,0,CA361*MAX(1,IF(H361&gt;0,AF361/H361,1))),IF(R361&gt;0,AG361/R361,0))/MAX(0.1,N(Parameter!$M$21)))</f>
        <v>0.0384615384615385</v>
      </c>
      <c r="AI361" s="50" t="n">
        <f aca="false">AH361*BY361</f>
        <v>5.96153846153846</v>
      </c>
      <c r="AJ361" s="50" t="n">
        <f aca="false">AF361*G361</f>
        <v>167.5</v>
      </c>
      <c r="AK361" s="50" t="n">
        <f aca="false">ROUNDUP(MAX(J361/IF(CD361&gt;0,CD361,MAX(0.1,N(Cockpit!$C$6))),CG361)/BV361,0)*BV361</f>
        <v>25</v>
      </c>
      <c r="AL361" s="51" t="n">
        <f aca="false">IF(AI361&gt;0,J361/AI361,-1)</f>
        <v>0</v>
      </c>
      <c r="AM361" s="51" t="n">
        <f aca="false">IF(AND(OR(CC361="L1",CC361="L23",CC361="LIFT"),AI361&gt;0),SUMIFS($AI$7:$AI$1843,$CC$7:$CC$1843,CC361,$AL$7:$AL$1843,"&gt;"&amp;AL361)+SUMIFS($AI$7:$AI$1843,$CC$7:$CC$1843,CC361,$AL$7:$AL$1843,AL361,$BT$7:$BT$1843,"&lt;="&amp;BT361),"")</f>
        <v>28026.1352414064</v>
      </c>
      <c r="AN361" s="58" t="n">
        <f aca="false">IF(AM361="",0,MAX(0,MIN(1,(IF(CC361="L1",Parameter!$H$5,IF(CC361="L23",Parameter!$H$6+Parameter!$H$7,Parameter!$H$5+Parameter!$H$6+Parameter!$H$7))-(AM361-AI361))/AI361)))</f>
        <v>1</v>
      </c>
      <c r="AO361" s="50" t="n">
        <f aca="false">IF(LEFT(Cockpit!$I$5,1)="A",H361,IF(CE361=1,CF361,IF(LEFT(Cockpit!$I$5,1)="B",AT361,MAX(AT361,H361))))</f>
        <v>25</v>
      </c>
      <c r="AP361" s="50" t="n">
        <f aca="false">IF(BW361=1,0,ROUNDUP(AO361/BV361,0))</f>
        <v>1</v>
      </c>
      <c r="AQ361" s="52" t="n">
        <f aca="false">IF(CL361&gt;0,CL361*MAX(1,AO361/X361),IF(BW361=1,IF(AO361&lt;=0,0,CA361*MAX(1,IF(H361&gt;0,AO361/H361,1))),IF(R361&gt;0,AP361/R361,0))/MAX(0.1,N(Parameter!$M$21)))</f>
        <v>0.0384615384615385</v>
      </c>
      <c r="AR361" s="50" t="n">
        <f aca="false">AQ361*BY361</f>
        <v>5.96153846153846</v>
      </c>
      <c r="AS361" s="50" t="n">
        <f aca="false">AO361*G361</f>
        <v>167.5</v>
      </c>
      <c r="AT361" s="50" t="n">
        <f aca="false">ROUNDUP(MAX(J361/IF(CD361&gt;0,CD361,MAX(0.1,N(Cockpit!$I$6))),CG361)/BV361,0)*BV361</f>
        <v>25</v>
      </c>
      <c r="AU361" s="51" t="n">
        <f aca="false">IF(AR361&gt;0,J361/AR361,-1)</f>
        <v>0</v>
      </c>
      <c r="AV361" s="51" t="n">
        <f aca="false">IF(AND(OR(CC361="L1",CC361="L23",CC361="LIFT"),AR361&gt;0),SUMIFS($AR$7:$AR$1843,$CC$7:$CC$1843,CC361,$AU$7:$AU$1843,"&gt;"&amp;AU361)+SUMIFS($AR$7:$AR$1843,$CC$7:$CC$1843,CC361,$AU$7:$AU$1843,AU361,$BT$7:$BT$1843,"&lt;="&amp;BT361),"")</f>
        <v>39339.0407586764</v>
      </c>
      <c r="AW361" s="58" t="n">
        <f aca="false">IF(AV361="",0,MAX(0,MIN(1,(IF(CC361="L1",Parameter!$H$5,IF(CC361="L23",Parameter!$H$6+Parameter!$H$7,Parameter!$H$5+Parameter!$H$6+Parameter!$H$7))-(AV361-AR361))/AR361)))</f>
        <v>0</v>
      </c>
      <c r="AX361" s="50" t="n">
        <f aca="false">IF(LEFT(Cockpit!$O$5,1)="A",H361,IF(CE361=1,CF361,IF(LEFT(Cockpit!$O$5,1)="B",BC361,MAX(BC361,H361))))</f>
        <v>25</v>
      </c>
      <c r="AY361" s="50" t="n">
        <f aca="false">IF(BW361=1,0,ROUNDUP(AX361/BV361,0))</f>
        <v>1</v>
      </c>
      <c r="AZ361" s="52" t="n">
        <f aca="false">IF(CL361&gt;0,CL361*MAX(1,AX361/X361),IF(BW361=1,IF(AX361&lt;=0,0,CA361*MAX(1,IF(H361&gt;0,AX361/H361,1))),IF(R361&gt;0,AY361/R361,0))/MAX(0.1,N(Parameter!$M$21)))</f>
        <v>0.0384615384615385</v>
      </c>
      <c r="BA361" s="50" t="n">
        <f aca="false">AZ361*BY361</f>
        <v>5.96153846153846</v>
      </c>
      <c r="BB361" s="50" t="n">
        <f aca="false">AX361*G361</f>
        <v>167.5</v>
      </c>
      <c r="BC361" s="50" t="n">
        <f aca="false">ROUNDUP(MAX(J361/IF(CD361&gt;0,CD361,MAX(0.1,N(Cockpit!$O$6))),CG361)/BV361,0)*BV361</f>
        <v>25</v>
      </c>
      <c r="BD361" s="51" t="n">
        <f aca="false">IF(BA361&gt;0,J361/BA361,-1)</f>
        <v>0</v>
      </c>
      <c r="BE361" s="51" t="n">
        <f aca="false">IF(AND(OR(CC361="L1",CC361="L23",CC361="LIFT"),BA361&gt;0),SUMIFS($BA$7:$BA$1843,$CC$7:$CC$1843,CC361,$BD$7:$BD$1843,"&gt;"&amp;BD361)+SUMIFS($BA$7:$BA$1843,$CC$7:$CC$1843,CC361,$BD$7:$BD$1843,BD361,$BT$7:$BT$1843,"&lt;="&amp;BT361),"")</f>
        <v>36014.0528005422</v>
      </c>
      <c r="BF361" s="58" t="n">
        <f aca="false">IF(BE361="",0,MAX(0,MIN(1,(IF(CC361="L1",Parameter!$H$5,IF(CC361="L23",Parameter!$H$6+Parameter!$H$7,Parameter!$H$5+Parameter!$H$6+Parameter!$H$7))-(BE361-BA361))/BA361)))</f>
        <v>0</v>
      </c>
      <c r="BG361" s="48" t="str">
        <f aca="false">IF(AI361&lt;=0,"",IF(CC361="Aussen","Aussenlager",IF(CC361="-","Nicht im Lift",IF(AN361&gt;=1,"Lift",IF(AN361&lt;=0,"Aussenlager","teilweise")))))</f>
        <v>Lift</v>
      </c>
      <c r="BH361" s="48" t="str">
        <f aca="false">IF(AR361&lt;=0,"",IF(CC361="Aussen","Aussenlager",IF(CC361="-","Nicht im Lift",IF(AW361&gt;=1,"Lift",IF(AW361&lt;=0,"Aussenlager","teilweise")))))</f>
        <v>Aussenlager</v>
      </c>
      <c r="BI361" s="48" t="str">
        <f aca="false">IF(BA361&lt;=0,"",IF(CC361="Aussen","Aussenlager",IF(CC361="-","Nicht im Lift",IF(BF361&gt;=1,"Lift",IF(BF361&lt;=0,"Aussenlager","teilweise")))))</f>
        <v>Aussenlager</v>
      </c>
      <c r="BJ361" s="48" t="str">
        <f aca="false">IF(A361="","",IF(BS361=1,"Neu; ","")&amp;IF(AND(BS361=0,BN361&lt;0),"negativer Bestand (Export "&amp;BN361&amp;"); ","")&amp;IF(J361&lt;=0,"Kein Verbrauch; ","")&amp;IF(CL361&gt;0,"Lift "&amp;W361&amp;" lt. Liftbericht (Fach "&amp;X361&amp;" Stk); ",IF(BX361=1,"Gebinde geschätzt ("&amp;T361&amp;"); ",IF(BW361=1,"Lose – Tablare geschätzt; ","")))&amp;IF(H361&gt;AT361,"Überbestand "&amp;ROUND(H361-AT361,0)&amp;" Stk / CHF "&amp;ROUND((H361-AT361)*G361,0)&amp;"; ","")&amp;IF(AND(CE361=1,CF361&lt;CG361),"MAX &lt; MB+LG; ","")&amp;IF(AND(CK361&gt;0,CJ361*10&gt;CK361),"zu hoch für Tablar; ","")&amp;IF(AND(BS361=0,OR(CE361=1,AA361&lt;&gt;"",U361&lt;&gt;"",V361&lt;&gt;"",AB361&lt;&gt;"")),"manuell übersteuert; ","")&amp;IF(AND(BW361=0,R361=0),"Gebinde unbekannt / Stellmass fehlt; ","")&amp;IF(AND(BW361=0,N(V361)&lt;=0,N(Q361)&lt;=0),"Menge pro Gebinde fehlt (Ist = 1 Gebinde); ","")&amp;BR361)</f>
        <v>Kein Verbrauch; Gebinde geschätzt (Klein); Menge pro Gebinde fehlt (Ist = 1 Gebinde); </v>
      </c>
      <c r="BK361" s="48"/>
      <c r="BL361" s="48"/>
      <c r="BM361" s="55"/>
      <c r="BN361" s="50" t="n">
        <v>25</v>
      </c>
      <c r="BO361" s="50" t="n">
        <v>0</v>
      </c>
      <c r="BP361" s="49" t="n">
        <v>167.5</v>
      </c>
      <c r="BQ361" s="50" t="n">
        <v>0</v>
      </c>
      <c r="BR361" s="48"/>
      <c r="BS361" s="53" t="n">
        <v>0</v>
      </c>
      <c r="BT361" s="53" t="n">
        <v>361</v>
      </c>
      <c r="BU361" s="48" t="str">
        <f aca="false">IF(U361&lt;&gt;"",UPPER(TRIM(U361)),IF(BX361=1,UPPER(VLOOKUP(T361,Parameter!$I$27:$K$29,2,0)),IF(P361="","LOSE",P361)))</f>
        <v>S51</v>
      </c>
      <c r="BV361" s="50" t="n">
        <f aca="false">IF(BU361="LOSE",1,IF(N(V361)&gt;0,V361,IF(BX361=1,MAX(1,N(VLOOKUP(T361,Parameter!$I$27:$K$29,3,0)),H361,N(N361)),IF(N(Q361)&gt;0,Q361,MAX(1,H361)))))</f>
        <v>25</v>
      </c>
      <c r="BW361" s="53" t="n">
        <f aca="false">IF(BU361="LOSE",1,0)</f>
        <v>0</v>
      </c>
      <c r="BX361" s="53" t="n">
        <f aca="false">IF(AND(U361="",OR(P361="",P361="LOSE"),T361&lt;&gt;"",N(S361)&lt;=0,ISNUMBER(MATCH(T361,Parameter!$I$27:$I$29,0))),1,0)</f>
        <v>1</v>
      </c>
      <c r="BY361" s="53" t="n">
        <f aca="false">IF(CL361&gt;0,INDEX(Parameter!$H$5:$H$7,W361)/INDEX(Parameter!$E$5:$E$7,W361),IF(AND(BW361=0,N(IFERROR(VLOOKUP(BU361,'Gebinde-Kategorie'!$A$5:$N$45,14,0),0))&gt;0),VLOOKUP(BU361,'Gebinde-Kategorie'!$A$5:$N$45,14,0)*10+Parameter!$M$23,Parameter!$M$24))</f>
        <v>155</v>
      </c>
      <c r="BZ361" s="48" t="str">
        <f aca="false">IF(AND(Parameter!$B$19="Ja",E361&lt;&gt;"",ISNUMBER(MATCH(E361,Parameter!$I$35:$I$52,0))),VLOOKUP(E361,Parameter!$I$35:$J$52,2,0),IFERROR(VLOOKUP(D361,Parameter!$A$35:$C$64,2,0),"Nein"))</f>
        <v>2+3</v>
      </c>
      <c r="CA361" s="52" t="n">
        <f aca="false">IF(BW361=0,0,IF(N(S361)&gt;0,S361,IFERROR(VLOOKUP(D361,Parameter!$A$35:$C$64,3,0)+0,0)))</f>
        <v>0</v>
      </c>
      <c r="CB361" s="48" t="n">
        <f aca="false">IF(AA361&lt;&gt;"",AA361,Z361)</f>
        <v>3</v>
      </c>
      <c r="CC361" s="48" t="str">
        <f aca="false">IF(OR(CB361=1,CB361=2,CB361=3),IF(Parameter!$E$27="Ja","LIFT",IF(CB361=1,"L1","L23")),IF(CB361="Aussen","Aussen","-"))</f>
        <v>LIFT</v>
      </c>
      <c r="CD361" s="59" t="n">
        <f aca="false">IF(N(AB361)&gt;0,AB361,0)</f>
        <v>0</v>
      </c>
      <c r="CE361" s="53" t="n">
        <f aca="false">IF(ISNUMBER(AE361),1,0)</f>
        <v>0</v>
      </c>
      <c r="CF361" s="50" t="n">
        <f aca="false">N(AE361)</f>
        <v>0</v>
      </c>
      <c r="CG361" s="50" t="n">
        <f aca="false">N(M361)+N(N361)</f>
        <v>5</v>
      </c>
      <c r="CH361" s="50" t="n">
        <f aca="false">ROUNDUP(H361/BV361,0)</f>
        <v>1</v>
      </c>
      <c r="CI361" s="50" t="n">
        <f aca="false">ROUNDUP(CF361/BV361,0)</f>
        <v>0</v>
      </c>
      <c r="CJ361" s="53" t="n">
        <f aca="false">IF(BW361=1,0,IFERROR(VLOOKUP(BU361,'Gebinde-Kategorie'!$A$5:$N$45,5,0)+0,0))</f>
        <v>11</v>
      </c>
      <c r="CK361" s="53" t="n">
        <f aca="false">IFERROR(IF(OR(CB361=1,CB361=2,CB361=3),N(INDEX(Parameter!$I$5:$I$7,CB361)),0),0)</f>
        <v>0</v>
      </c>
      <c r="CL361" s="52" t="n">
        <f aca="false">IF(AND(Parameter!$B$21="Ja",ISNUMBER(W361),N(X361)&gt;0),IFERROR(N(INDEX(Parameter!$L$5:$L$7,W361))*INDEX(Parameter!$E$5:$E$7,W361)*X361/SUMIFS($X$7:$X$1843,$W$7:$W$1843,W361),0),0)</f>
        <v>0</v>
      </c>
    </row>
    <row r="362" customFormat="false" ht="15" hidden="false" customHeight="false" outlineLevel="0" collapsed="false">
      <c r="A362" s="48" t="s">
        <v>878</v>
      </c>
      <c r="B362" s="48" t="s">
        <v>879</v>
      </c>
      <c r="C362" s="48" t="s">
        <v>168</v>
      </c>
      <c r="D362" s="48" t="s">
        <v>177</v>
      </c>
      <c r="E362" s="48"/>
      <c r="F362" s="48" t="s">
        <v>222</v>
      </c>
      <c r="G362" s="49" t="n">
        <v>33.5</v>
      </c>
      <c r="H362" s="50" t="n">
        <f aca="false">MAX(0,IF(AND(Parameter!$B$21="Ja",ISNUMBER(Y362)),Y362,IF(Parameter!$B$20="Jahresanfang 2025 + Export",BO362+BN362,BN362)))</f>
        <v>14</v>
      </c>
      <c r="I362" s="50" t="n">
        <f aca="false">H362*G362</f>
        <v>469</v>
      </c>
      <c r="J362" s="50" t="n">
        <f aca="false">BQ362*Parameter!$B$18</f>
        <v>21</v>
      </c>
      <c r="K362" s="51" t="n">
        <v>9.5</v>
      </c>
      <c r="L362" s="52" t="n">
        <v>2.21052631578947</v>
      </c>
      <c r="M362" s="50" t="n">
        <v>3</v>
      </c>
      <c r="N362" s="50" t="n">
        <v>20</v>
      </c>
      <c r="O362" s="53" t="n">
        <v>56</v>
      </c>
      <c r="P362" s="48" t="s">
        <v>227</v>
      </c>
      <c r="Q362" s="50" t="n">
        <v>24</v>
      </c>
      <c r="R362" s="53" t="n">
        <f aca="false">IF(BW362=1,0,IFERROR(VLOOKUP(BU362,'Gebinde-Kategorie'!$A$5:$N$45,13,0)+0,0))</f>
        <v>4</v>
      </c>
      <c r="S362" s="54"/>
      <c r="T362" s="55"/>
      <c r="U362" s="55"/>
      <c r="V362" s="55"/>
      <c r="W362" s="48"/>
      <c r="X362" s="50"/>
      <c r="Y362" s="50"/>
      <c r="Z362" s="48" t="n">
        <f aca="false">IF(A362="","",IF(AND(Parameter!$B$21="Ja",ISNUMBER(W362)),W362,IF(BZ362="2+3",IF(ISNUMBER(SEARCH("grosser Artikel",BR362)),2,IFERROR(VLOOKUP(BU362,Parameter!$F$35:$G$64,2,0),2)),IF(OR(BZ362="Nein",BZ362=""),"-",BZ362))))</f>
        <v>2</v>
      </c>
      <c r="AA362" s="55"/>
      <c r="AB362" s="56"/>
      <c r="AC362" s="50" t="n">
        <f aca="false">AT362</f>
        <v>24</v>
      </c>
      <c r="AD362" s="50" t="n">
        <f aca="false">MAX(AT362,H362)</f>
        <v>24</v>
      </c>
      <c r="AE362" s="57"/>
      <c r="AF362" s="50" t="n">
        <f aca="false">IF(LEFT(Cockpit!$C$5,1)="A",H362,IF(CE362=1,CF362,IF(LEFT(Cockpit!$C$5,1)="B",AK362,MAX(AK362,H362))))</f>
        <v>14</v>
      </c>
      <c r="AG362" s="50" t="n">
        <f aca="false">IF(BW362=1,0,ROUNDUP(AF362/BV362,0))</f>
        <v>1</v>
      </c>
      <c r="AH362" s="52" t="n">
        <f aca="false">IF(CL362&gt;0,CL362*MAX(1,AF362/X362),IF(BW362=1,IF(AF362&lt;=0,0,CA362*MAX(1,IF(H362&gt;0,AF362/H362,1))),IF(R362&gt;0,AG362/R362,0))/MAX(0.1,N(Parameter!$M$21)))</f>
        <v>0.25</v>
      </c>
      <c r="AI362" s="50" t="n">
        <f aca="false">AH362*BY362</f>
        <v>58.75</v>
      </c>
      <c r="AJ362" s="50" t="n">
        <f aca="false">AF362*G362</f>
        <v>469</v>
      </c>
      <c r="AK362" s="50" t="n">
        <f aca="false">ROUNDUP(MAX(J362/IF(CD362&gt;0,CD362,MAX(0.1,N(Cockpit!$C$6))),CG362)/BV362,0)*BV362</f>
        <v>24</v>
      </c>
      <c r="AL362" s="51" t="n">
        <f aca="false">IF(AI362&gt;0,J362/AI362,-1)</f>
        <v>0.357446808510638</v>
      </c>
      <c r="AM362" s="51" t="n">
        <f aca="false">IF(AND(OR(CC362="L1",CC362="L23",CC362="LIFT"),AI362&gt;0),SUMIFS($AI$7:$AI$1843,$CC$7:$CC$1843,CC362,$AL$7:$AL$1843,"&gt;"&amp;AL362)+SUMIFS($AI$7:$AI$1843,$CC$7:$CC$1843,CC362,$AL$7:$AL$1843,AL362,$BT$7:$BT$1843,"&lt;="&amp;BT362),"")</f>
        <v>10678.0833048778</v>
      </c>
      <c r="AN362" s="58" t="n">
        <f aca="false">IF(AM362="",0,MAX(0,MIN(1,(IF(CC362="L1",Parameter!$H$5,IF(CC362="L23",Parameter!$H$6+Parameter!$H$7,Parameter!$H$5+Parameter!$H$6+Parameter!$H$7))-(AM362-AI362))/AI362)))</f>
        <v>1</v>
      </c>
      <c r="AO362" s="50" t="n">
        <f aca="false">IF(LEFT(Cockpit!$I$5,1)="A",H362,IF(CE362=1,CF362,IF(LEFT(Cockpit!$I$5,1)="B",AT362,MAX(AT362,H362))))</f>
        <v>24</v>
      </c>
      <c r="AP362" s="50" t="n">
        <f aca="false">IF(BW362=1,0,ROUNDUP(AO362/BV362,0))</f>
        <v>1</v>
      </c>
      <c r="AQ362" s="52" t="n">
        <f aca="false">IF(CL362&gt;0,CL362*MAX(1,AO362/X362),IF(BW362=1,IF(AO362&lt;=0,0,CA362*MAX(1,IF(H362&gt;0,AO362/H362,1))),IF(R362&gt;0,AP362/R362,0))/MAX(0.1,N(Parameter!$M$21)))</f>
        <v>0.25</v>
      </c>
      <c r="AR362" s="50" t="n">
        <f aca="false">AQ362*BY362</f>
        <v>58.75</v>
      </c>
      <c r="AS362" s="50" t="n">
        <f aca="false">AO362*G362</f>
        <v>804</v>
      </c>
      <c r="AT362" s="50" t="n">
        <f aca="false">ROUNDUP(MAX(J362/IF(CD362&gt;0,CD362,MAX(0.1,N(Cockpit!$I$6))),CG362)/BV362,0)*BV362</f>
        <v>24</v>
      </c>
      <c r="AU362" s="51" t="n">
        <f aca="false">IF(AR362&gt;0,J362/AR362,-1)</f>
        <v>0.357446808510638</v>
      </c>
      <c r="AV362" s="51" t="n">
        <f aca="false">IF(AND(OR(CC362="L1",CC362="L23",CC362="LIFT"),AR362&gt;0),SUMIFS($AR$7:$AR$1843,$CC$7:$CC$1843,CC362,$AU$7:$AU$1843,"&gt;"&amp;AU362)+SUMIFS($AR$7:$AR$1843,$CC$7:$CC$1843,CC362,$AU$7:$AU$1843,AU362,$BT$7:$BT$1843,"&lt;="&amp;BT362),"")</f>
        <v>15951.7815934066</v>
      </c>
      <c r="AW362" s="58" t="n">
        <f aca="false">IF(AV362="",0,MAX(0,MIN(1,(IF(CC362="L1",Parameter!$H$5,IF(CC362="L23",Parameter!$H$6+Parameter!$H$7,Parameter!$H$5+Parameter!$H$6+Parameter!$H$7))-(AV362-AR362))/AR362)))</f>
        <v>1</v>
      </c>
      <c r="AX362" s="50" t="n">
        <f aca="false">IF(LEFT(Cockpit!$O$5,1)="A",H362,IF(CE362=1,CF362,IF(LEFT(Cockpit!$O$5,1)="B",BC362,MAX(BC362,H362))))</f>
        <v>24</v>
      </c>
      <c r="AY362" s="50" t="n">
        <f aca="false">IF(BW362=1,0,ROUNDUP(AX362/BV362,0))</f>
        <v>1</v>
      </c>
      <c r="AZ362" s="52" t="n">
        <f aca="false">IF(CL362&gt;0,CL362*MAX(1,AX362/X362),IF(BW362=1,IF(AX362&lt;=0,0,CA362*MAX(1,IF(H362&gt;0,AX362/H362,1))),IF(R362&gt;0,AY362/R362,0))/MAX(0.1,N(Parameter!$M$21)))</f>
        <v>0.25</v>
      </c>
      <c r="BA362" s="50" t="n">
        <f aca="false">AZ362*BY362</f>
        <v>58.75</v>
      </c>
      <c r="BB362" s="50" t="n">
        <f aca="false">AX362*G362</f>
        <v>804</v>
      </c>
      <c r="BC362" s="50" t="n">
        <f aca="false">ROUNDUP(MAX(J362/IF(CD362&gt;0,CD362,MAX(0.1,N(Cockpit!$O$6))),CG362)/BV362,0)*BV362</f>
        <v>24</v>
      </c>
      <c r="BD362" s="51" t="n">
        <f aca="false">IF(BA362&gt;0,J362/BA362,-1)</f>
        <v>0.357446808510638</v>
      </c>
      <c r="BE362" s="51" t="n">
        <f aca="false">IF(AND(OR(CC362="L1",CC362="L23",CC362="LIFT"),BA362&gt;0),SUMIFS($BA$7:$BA$1843,$CC$7:$CC$1843,CC362,$BD$7:$BD$1843,"&gt;"&amp;BD362)+SUMIFS($BA$7:$BA$1843,$CC$7:$CC$1843,CC362,$BD$7:$BD$1843,BD362,$BT$7:$BT$1843,"&lt;="&amp;BT362),"")</f>
        <v>14702.4386446886</v>
      </c>
      <c r="BF362" s="58" t="n">
        <f aca="false">IF(BE362="",0,MAX(0,MIN(1,(IF(CC362="L1",Parameter!$H$5,IF(CC362="L23",Parameter!$H$6+Parameter!$H$7,Parameter!$H$5+Parameter!$H$6+Parameter!$H$7))-(BE362-BA362))/BA362)))</f>
        <v>1</v>
      </c>
      <c r="BG362" s="48" t="str">
        <f aca="false">IF(AI362&lt;=0,"",IF(CC362="Aussen","Aussenlager",IF(CC362="-","Nicht im Lift",IF(AN362&gt;=1,"Lift",IF(AN362&lt;=0,"Aussenlager","teilweise")))))</f>
        <v>Lift</v>
      </c>
      <c r="BH362" s="48" t="str">
        <f aca="false">IF(AR362&lt;=0,"",IF(CC362="Aussen","Aussenlager",IF(CC362="-","Nicht im Lift",IF(AW362&gt;=1,"Lift",IF(AW362&lt;=0,"Aussenlager","teilweise")))))</f>
        <v>Lift</v>
      </c>
      <c r="BI362" s="48" t="str">
        <f aca="false">IF(BA362&lt;=0,"",IF(CC362="Aussen","Aussenlager",IF(CC362="-","Nicht im Lift",IF(BF362&gt;=1,"Lift",IF(BF362&lt;=0,"Aussenlager","teilweise")))))</f>
        <v>Lift</v>
      </c>
      <c r="BJ362" s="48" t="str">
        <f aca="false">IF(A362="","",IF(BS362=1,"Neu; ","")&amp;IF(AND(BS362=0,BN362&lt;0),"negativer Bestand (Export "&amp;BN362&amp;"); ","")&amp;IF(J362&lt;=0,"Kein Verbrauch; ","")&amp;IF(CL362&gt;0,"Lift "&amp;W362&amp;" lt. Liftbericht (Fach "&amp;X362&amp;" Stk); ",IF(BX362=1,"Gebinde geschätzt ("&amp;T362&amp;"); ",IF(BW362=1,"Lose – Tablare geschätzt; ","")))&amp;IF(H362&gt;AT362,"Überbestand "&amp;ROUND(H362-AT362,0)&amp;" Stk / CHF "&amp;ROUND((H362-AT362)*G362,0)&amp;"; ","")&amp;IF(AND(CE362=1,CF362&lt;CG362),"MAX &lt; MB+LG; ","")&amp;IF(AND(CK362&gt;0,CJ362*10&gt;CK362),"zu hoch für Tablar; ","")&amp;IF(AND(BS362=0,OR(CE362=1,AA362&lt;&gt;"",U362&lt;&gt;"",V362&lt;&gt;"",AB362&lt;&gt;"")),"manuell übersteuert; ","")&amp;IF(AND(BW362=0,R362=0),"Gebinde unbekannt / Stellmass fehlt; ","")&amp;IF(AND(BW362=0,N(V362)&lt;=0,N(Q362)&lt;=0),"Menge pro Gebinde fehlt (Ist = 1 Gebinde); ","")&amp;BR362)</f>
        <v/>
      </c>
      <c r="BK362" s="48"/>
      <c r="BL362" s="48"/>
      <c r="BM362" s="55"/>
      <c r="BN362" s="50" t="n">
        <v>5</v>
      </c>
      <c r="BO362" s="50" t="n">
        <v>9</v>
      </c>
      <c r="BP362" s="49" t="n">
        <v>167.5</v>
      </c>
      <c r="BQ362" s="50" t="n">
        <v>21</v>
      </c>
      <c r="BR362" s="48"/>
      <c r="BS362" s="53" t="n">
        <v>0</v>
      </c>
      <c r="BT362" s="53" t="n">
        <v>362</v>
      </c>
      <c r="BU362" s="48" t="str">
        <f aca="false">IF(U362&lt;&gt;"",UPPER(TRIM(U362)),IF(BX362=1,UPPER(VLOOKUP(T362,Parameter!$I$27:$K$29,2,0)),IF(P362="","LOSE",P362)))</f>
        <v>S81</v>
      </c>
      <c r="BV362" s="50" t="n">
        <f aca="false">IF(BU362="LOSE",1,IF(N(V362)&gt;0,V362,IF(BX362=1,MAX(1,N(VLOOKUP(T362,Parameter!$I$27:$K$29,3,0)),H362,N(N362)),IF(N(Q362)&gt;0,Q362,MAX(1,H362)))))</f>
        <v>24</v>
      </c>
      <c r="BW362" s="53" t="n">
        <f aca="false">IF(BU362="LOSE",1,0)</f>
        <v>0</v>
      </c>
      <c r="BX362" s="53" t="n">
        <f aca="false">IF(AND(U362="",OR(P362="",P362="LOSE"),T362&lt;&gt;"",N(S362)&lt;=0,ISNUMBER(MATCH(T362,Parameter!$I$27:$I$29,0))),1,0)</f>
        <v>0</v>
      </c>
      <c r="BY362" s="53" t="n">
        <f aca="false">IF(CL362&gt;0,INDEX(Parameter!$H$5:$H$7,W362)/INDEX(Parameter!$E$5:$E$7,W362),IF(AND(BW362=0,N(IFERROR(VLOOKUP(BU362,'Gebinde-Kategorie'!$A$5:$N$45,14,0),0))&gt;0),VLOOKUP(BU362,'Gebinde-Kategorie'!$A$5:$N$45,14,0)*10+Parameter!$M$23,Parameter!$M$24))</f>
        <v>235</v>
      </c>
      <c r="BZ362" s="48" t="str">
        <f aca="false">IF(AND(Parameter!$B$19="Ja",E362&lt;&gt;"",ISNUMBER(MATCH(E362,Parameter!$I$35:$I$52,0))),VLOOKUP(E362,Parameter!$I$35:$J$52,2,0),IFERROR(VLOOKUP(D362,Parameter!$A$35:$C$64,2,0),"Nein"))</f>
        <v>2+3</v>
      </c>
      <c r="CA362" s="52" t="n">
        <f aca="false">IF(BW362=0,0,IF(N(S362)&gt;0,S362,IFERROR(VLOOKUP(D362,Parameter!$A$35:$C$64,3,0)+0,0)))</f>
        <v>0</v>
      </c>
      <c r="CB362" s="48" t="n">
        <f aca="false">IF(AA362&lt;&gt;"",AA362,Z362)</f>
        <v>2</v>
      </c>
      <c r="CC362" s="48" t="str">
        <f aca="false">IF(OR(CB362=1,CB362=2,CB362=3),IF(Parameter!$E$27="Ja","LIFT",IF(CB362=1,"L1","L23")),IF(CB362="Aussen","Aussen","-"))</f>
        <v>LIFT</v>
      </c>
      <c r="CD362" s="59" t="n">
        <f aca="false">IF(N(AB362)&gt;0,AB362,0)</f>
        <v>0</v>
      </c>
      <c r="CE362" s="53" t="n">
        <f aca="false">IF(ISNUMBER(AE362),1,0)</f>
        <v>0</v>
      </c>
      <c r="CF362" s="50" t="n">
        <f aca="false">N(AE362)</f>
        <v>0</v>
      </c>
      <c r="CG362" s="50" t="n">
        <f aca="false">N(M362)+N(N362)</f>
        <v>23</v>
      </c>
      <c r="CH362" s="50" t="n">
        <f aca="false">ROUNDUP(H362/BV362,0)</f>
        <v>1</v>
      </c>
      <c r="CI362" s="50" t="n">
        <f aca="false">ROUNDUP(CF362/BV362,0)</f>
        <v>0</v>
      </c>
      <c r="CJ362" s="53" t="n">
        <f aca="false">IF(BW362=1,0,IFERROR(VLOOKUP(BU362,'Gebinde-Kategorie'!$A$5:$N$45,5,0)+0,0))</f>
        <v>20</v>
      </c>
      <c r="CK362" s="53" t="n">
        <f aca="false">IFERROR(IF(OR(CB362=1,CB362=2,CB362=3),N(INDEX(Parameter!$I$5:$I$7,CB362)),0),0)</f>
        <v>0</v>
      </c>
      <c r="CL362" s="52" t="n">
        <f aca="false">IF(AND(Parameter!$B$21="Ja",ISNUMBER(W362),N(X362)&gt;0),IFERROR(N(INDEX(Parameter!$L$5:$L$7,W362))*INDEX(Parameter!$E$5:$E$7,W362)*X362/SUMIFS($X$7:$X$1843,$W$7:$W$1843,W362),0),0)</f>
        <v>0</v>
      </c>
    </row>
    <row r="363" customFormat="false" ht="15" hidden="false" customHeight="false" outlineLevel="0" collapsed="false">
      <c r="A363" s="48" t="s">
        <v>880</v>
      </c>
      <c r="B363" s="48" t="s">
        <v>861</v>
      </c>
      <c r="C363" s="48" t="s">
        <v>168</v>
      </c>
      <c r="D363" s="48" t="s">
        <v>188</v>
      </c>
      <c r="E363" s="48"/>
      <c r="F363" s="48" t="s">
        <v>222</v>
      </c>
      <c r="G363" s="49" t="n">
        <v>138.25</v>
      </c>
      <c r="H363" s="50" t="n">
        <f aca="false">MAX(0,IF(AND(Parameter!$B$21="Ja",ISNUMBER(Y363)),Y363,IF(Parameter!$B$20="Jahresanfang 2025 + Export",BO363+BN363,BN363)))</f>
        <v>5</v>
      </c>
      <c r="I363" s="50" t="n">
        <f aca="false">H363*G363</f>
        <v>691.25</v>
      </c>
      <c r="J363" s="50" t="n">
        <f aca="false">BQ363*Parameter!$B$18</f>
        <v>2</v>
      </c>
      <c r="K363" s="51" t="n">
        <v>5</v>
      </c>
      <c r="L363" s="52" t="n">
        <v>0.4</v>
      </c>
      <c r="M363" s="50" t="n">
        <v>0</v>
      </c>
      <c r="N363" s="50" t="n">
        <v>1</v>
      </c>
      <c r="O363" s="53" t="n">
        <v>35</v>
      </c>
      <c r="P363" s="48" t="s">
        <v>430</v>
      </c>
      <c r="Q363" s="50" t="n">
        <v>5</v>
      </c>
      <c r="R363" s="53" t="n">
        <f aca="false">IF(BW363=1,0,IFERROR(VLOOKUP(BU363,'Gebinde-Kategorie'!$A$5:$N$45,13,0)+0,0))</f>
        <v>140</v>
      </c>
      <c r="S363" s="54"/>
      <c r="T363" s="55"/>
      <c r="U363" s="55"/>
      <c r="V363" s="55"/>
      <c r="W363" s="48"/>
      <c r="X363" s="50"/>
      <c r="Y363" s="50"/>
      <c r="Z363" s="48" t="n">
        <f aca="false">IF(A363="","",IF(AND(Parameter!$B$21="Ja",ISNUMBER(W363)),W363,IF(BZ363="2+3",IF(ISNUMBER(SEARCH("grosser Artikel",BR363)),2,IFERROR(VLOOKUP(BU363,Parameter!$F$35:$G$64,2,0),2)),IF(OR(BZ363="Nein",BZ363=""),"-",BZ363))))</f>
        <v>3</v>
      </c>
      <c r="AA363" s="55"/>
      <c r="AB363" s="56"/>
      <c r="AC363" s="50" t="n">
        <f aca="false">AT363</f>
        <v>5</v>
      </c>
      <c r="AD363" s="50" t="n">
        <f aca="false">MAX(AT363,H363)</f>
        <v>5</v>
      </c>
      <c r="AE363" s="57"/>
      <c r="AF363" s="50" t="n">
        <f aca="false">IF(LEFT(Cockpit!$C$5,1)="A",H363,IF(CE363=1,CF363,IF(LEFT(Cockpit!$C$5,1)="B",AK363,MAX(AK363,H363))))</f>
        <v>5</v>
      </c>
      <c r="AG363" s="50" t="n">
        <f aca="false">IF(BW363=1,0,ROUNDUP(AF363/BV363,0))</f>
        <v>1</v>
      </c>
      <c r="AH363" s="52" t="n">
        <f aca="false">IF(CL363&gt;0,CL363*MAX(1,AF363/X363),IF(BW363=1,IF(AF363&lt;=0,0,CA363*MAX(1,IF(H363&gt;0,AF363/H363,1))),IF(R363&gt;0,AG363/R363,0))/MAX(0.1,N(Parameter!$M$21)))</f>
        <v>0.00714285714285714</v>
      </c>
      <c r="AI363" s="50" t="n">
        <f aca="false">AH363*BY363</f>
        <v>1.10714285714286</v>
      </c>
      <c r="AJ363" s="50" t="n">
        <f aca="false">AF363*G363</f>
        <v>691.25</v>
      </c>
      <c r="AK363" s="50" t="n">
        <f aca="false">ROUNDUP(MAX(J363/IF(CD363&gt;0,CD363,MAX(0.1,N(Cockpit!$C$6))),CG363)/BV363,0)*BV363</f>
        <v>5</v>
      </c>
      <c r="AL363" s="51" t="n">
        <f aca="false">IF(AI363&gt;0,J363/AI363,-1)</f>
        <v>1.80645161290323</v>
      </c>
      <c r="AM363" s="51" t="n">
        <f aca="false">IF(AND(OR(CC363="L1",CC363="L23",CC363="LIFT"),AI363&gt;0),SUMIFS($AI$7:$AI$1843,$CC$7:$CC$1843,CC363,$AL$7:$AL$1843,"&gt;"&amp;AL363)+SUMIFS($AI$7:$AI$1843,$CC$7:$CC$1843,CC363,$AL$7:$AL$1843,AL363,$BT$7:$BT$1843,"&lt;="&amp;BT363),"")</f>
        <v>5962.02243589744</v>
      </c>
      <c r="AN363" s="58" t="n">
        <f aca="false">IF(AM363="",0,MAX(0,MIN(1,(IF(CC363="L1",Parameter!$H$5,IF(CC363="L23",Parameter!$H$6+Parameter!$H$7,Parameter!$H$5+Parameter!$H$6+Parameter!$H$7))-(AM363-AI363))/AI363)))</f>
        <v>1</v>
      </c>
      <c r="AO363" s="50" t="n">
        <f aca="false">IF(LEFT(Cockpit!$I$5,1)="A",H363,IF(CE363=1,CF363,IF(LEFT(Cockpit!$I$5,1)="B",AT363,MAX(AT363,H363))))</f>
        <v>5</v>
      </c>
      <c r="AP363" s="50" t="n">
        <f aca="false">IF(BW363=1,0,ROUNDUP(AO363/BV363,0))</f>
        <v>1</v>
      </c>
      <c r="AQ363" s="52" t="n">
        <f aca="false">IF(CL363&gt;0,CL363*MAX(1,AO363/X363),IF(BW363=1,IF(AO363&lt;=0,0,CA363*MAX(1,IF(H363&gt;0,AO363/H363,1))),IF(R363&gt;0,AP363/R363,0))/MAX(0.1,N(Parameter!$M$21)))</f>
        <v>0.00714285714285714</v>
      </c>
      <c r="AR363" s="50" t="n">
        <f aca="false">AQ363*BY363</f>
        <v>1.10714285714286</v>
      </c>
      <c r="AS363" s="50" t="n">
        <f aca="false">AO363*G363</f>
        <v>691.25</v>
      </c>
      <c r="AT363" s="50" t="n">
        <f aca="false">ROUNDUP(MAX(J363/IF(CD363&gt;0,CD363,MAX(0.1,N(Cockpit!$I$6))),CG363)/BV363,0)*BV363</f>
        <v>5</v>
      </c>
      <c r="AU363" s="51" t="n">
        <f aca="false">IF(AR363&gt;0,J363/AR363,-1)</f>
        <v>1.80645161290323</v>
      </c>
      <c r="AV363" s="51" t="n">
        <f aca="false">IF(AND(OR(CC363="L1",CC363="L23",CC363="LIFT"),AR363&gt;0),SUMIFS($AR$7:$AR$1843,$CC$7:$CC$1843,CC363,$AU$7:$AU$1843,"&gt;"&amp;AU363)+SUMIFS($AR$7:$AR$1843,$CC$7:$CC$1843,CC363,$AU$7:$AU$1843,AU363,$BT$7:$BT$1843,"&lt;="&amp;BT363),"")</f>
        <v>8072.38782051282</v>
      </c>
      <c r="AW363" s="58" t="n">
        <f aca="false">IF(AV363="",0,MAX(0,MIN(1,(IF(CC363="L1",Parameter!$H$5,IF(CC363="L23",Parameter!$H$6+Parameter!$H$7,Parameter!$H$5+Parameter!$H$6+Parameter!$H$7))-(AV363-AR363))/AR363)))</f>
        <v>1</v>
      </c>
      <c r="AX363" s="50" t="n">
        <f aca="false">IF(LEFT(Cockpit!$O$5,1)="A",H363,IF(CE363=1,CF363,IF(LEFT(Cockpit!$O$5,1)="B",BC363,MAX(BC363,H363))))</f>
        <v>5</v>
      </c>
      <c r="AY363" s="50" t="n">
        <f aca="false">IF(BW363=1,0,ROUNDUP(AX363/BV363,0))</f>
        <v>1</v>
      </c>
      <c r="AZ363" s="52" t="n">
        <f aca="false">IF(CL363&gt;0,CL363*MAX(1,AX363/X363),IF(BW363=1,IF(AX363&lt;=0,0,CA363*MAX(1,IF(H363&gt;0,AX363/H363,1))),IF(R363&gt;0,AY363/R363,0))/MAX(0.1,N(Parameter!$M$21)))</f>
        <v>0.00714285714285714</v>
      </c>
      <c r="BA363" s="50" t="n">
        <f aca="false">AZ363*BY363</f>
        <v>1.10714285714286</v>
      </c>
      <c r="BB363" s="50" t="n">
        <f aca="false">AX363*G363</f>
        <v>691.25</v>
      </c>
      <c r="BC363" s="50" t="n">
        <f aca="false">ROUNDUP(MAX(J363/IF(CD363&gt;0,CD363,MAX(0.1,N(Cockpit!$O$6))),CG363)/BV363,0)*BV363</f>
        <v>5</v>
      </c>
      <c r="BD363" s="51" t="n">
        <f aca="false">IF(BA363&gt;0,J363/BA363,-1)</f>
        <v>1.80645161290323</v>
      </c>
      <c r="BE363" s="51" t="n">
        <f aca="false">IF(AND(OR(CC363="L1",CC363="L23",CC363="LIFT"),BA363&gt;0),SUMIFS($BA$7:$BA$1843,$CC$7:$CC$1843,CC363,$BD$7:$BD$1843,"&gt;"&amp;BD363)+SUMIFS($BA$7:$BA$1843,$CC$7:$CC$1843,CC363,$BD$7:$BD$1843,BD363,$BT$7:$BT$1843,"&lt;="&amp;BT363),"")</f>
        <v>7974.71153846154</v>
      </c>
      <c r="BF363" s="58" t="n">
        <f aca="false">IF(BE363="",0,MAX(0,MIN(1,(IF(CC363="L1",Parameter!$H$5,IF(CC363="L23",Parameter!$H$6+Parameter!$H$7,Parameter!$H$5+Parameter!$H$6+Parameter!$H$7))-(BE363-BA363))/BA363)))</f>
        <v>1</v>
      </c>
      <c r="BG363" s="48" t="str">
        <f aca="false">IF(AI363&lt;=0,"",IF(CC363="Aussen","Aussenlager",IF(CC363="-","Nicht im Lift",IF(AN363&gt;=1,"Lift",IF(AN363&lt;=0,"Aussenlager","teilweise")))))</f>
        <v>Lift</v>
      </c>
      <c r="BH363" s="48" t="str">
        <f aca="false">IF(AR363&lt;=0,"",IF(CC363="Aussen","Aussenlager",IF(CC363="-","Nicht im Lift",IF(AW363&gt;=1,"Lift",IF(AW363&lt;=0,"Aussenlager","teilweise")))))</f>
        <v>Lift</v>
      </c>
      <c r="BI363" s="48" t="str">
        <f aca="false">IF(BA363&lt;=0,"",IF(CC363="Aussen","Aussenlager",IF(CC363="-","Nicht im Lift",IF(BF363&gt;=1,"Lift",IF(BF363&lt;=0,"Aussenlager","teilweise")))))</f>
        <v>Lift</v>
      </c>
      <c r="BJ363" s="48" t="str">
        <f aca="false">IF(A363="","",IF(BS363=1,"Neu; ","")&amp;IF(AND(BS363=0,BN363&lt;0),"negativer Bestand (Export "&amp;BN363&amp;"); ","")&amp;IF(J363&lt;=0,"Kein Verbrauch; ","")&amp;IF(CL363&gt;0,"Lift "&amp;W363&amp;" lt. Liftbericht (Fach "&amp;X363&amp;" Stk); ",IF(BX363=1,"Gebinde geschätzt ("&amp;T363&amp;"); ",IF(BW363=1,"Lose – Tablare geschätzt; ","")))&amp;IF(H363&gt;AT363,"Überbestand "&amp;ROUND(H363-AT363,0)&amp;" Stk / CHF "&amp;ROUND((H363-AT363)*G363,0)&amp;"; ","")&amp;IF(AND(CE363=1,CF363&lt;CG363),"MAX &lt; MB+LG; ","")&amp;IF(AND(CK363&gt;0,CJ363*10&gt;CK363),"zu hoch für Tablar; ","")&amp;IF(AND(BS363=0,OR(CE363=1,AA363&lt;&gt;"",U363&lt;&gt;"",V363&lt;&gt;"",AB363&lt;&gt;"")),"manuell übersteuert; ","")&amp;IF(AND(BW363=0,R363=0),"Gebinde unbekannt / Stellmass fehlt; ","")&amp;IF(AND(BW363=0,N(V363)&lt;=0,N(Q363)&lt;=0),"Menge pro Gebinde fehlt (Ist = 1 Gebinde); ","")&amp;BR363)</f>
        <v/>
      </c>
      <c r="BK363" s="48"/>
      <c r="BL363" s="48"/>
      <c r="BM363" s="55"/>
      <c r="BN363" s="50" t="n">
        <v>1</v>
      </c>
      <c r="BO363" s="50" t="n">
        <v>4</v>
      </c>
      <c r="BP363" s="49" t="n">
        <v>160.93</v>
      </c>
      <c r="BQ363" s="50" t="n">
        <v>2</v>
      </c>
      <c r="BR363" s="48"/>
      <c r="BS363" s="53" t="n">
        <v>0</v>
      </c>
      <c r="BT363" s="53" t="n">
        <v>363</v>
      </c>
      <c r="BU363" s="48" t="str">
        <f aca="false">IF(U363&lt;&gt;"",UPPER(TRIM(U363)),IF(BX363=1,UPPER(VLOOKUP(T363,Parameter!$I$27:$K$29,2,0)),IF(P363="","LOSE",P363)))</f>
        <v>S22</v>
      </c>
      <c r="BV363" s="50" t="n">
        <f aca="false">IF(BU363="LOSE",1,IF(N(V363)&gt;0,V363,IF(BX363=1,MAX(1,N(VLOOKUP(T363,Parameter!$I$27:$K$29,3,0)),H363,N(N363)),IF(N(Q363)&gt;0,Q363,MAX(1,H363)))))</f>
        <v>5</v>
      </c>
      <c r="BW363" s="53" t="n">
        <f aca="false">IF(BU363="LOSE",1,0)</f>
        <v>0</v>
      </c>
      <c r="BX363" s="53" t="n">
        <f aca="false">IF(AND(U363="",OR(P363="",P363="LOSE"),T363&lt;&gt;"",N(S363)&lt;=0,ISNUMBER(MATCH(T363,Parameter!$I$27:$I$29,0))),1,0)</f>
        <v>0</v>
      </c>
      <c r="BY363" s="53" t="n">
        <f aca="false">IF(CL363&gt;0,INDEX(Parameter!$H$5:$H$7,W363)/INDEX(Parameter!$E$5:$E$7,W363),IF(AND(BW363=0,N(IFERROR(VLOOKUP(BU363,'Gebinde-Kategorie'!$A$5:$N$45,14,0),0))&gt;0),VLOOKUP(BU363,'Gebinde-Kategorie'!$A$5:$N$45,14,0)*10+Parameter!$M$23,Parameter!$M$24))</f>
        <v>155</v>
      </c>
      <c r="BZ363" s="48" t="str">
        <f aca="false">IF(AND(Parameter!$B$19="Ja",E363&lt;&gt;"",ISNUMBER(MATCH(E363,Parameter!$I$35:$I$52,0))),VLOOKUP(E363,Parameter!$I$35:$J$52,2,0),IFERROR(VLOOKUP(D363,Parameter!$A$35:$C$64,2,0),"Nein"))</f>
        <v>2+3</v>
      </c>
      <c r="CA363" s="52" t="n">
        <f aca="false">IF(BW363=0,0,IF(N(S363)&gt;0,S363,IFERROR(VLOOKUP(D363,Parameter!$A$35:$C$64,3,0)+0,0)))</f>
        <v>0</v>
      </c>
      <c r="CB363" s="48" t="n">
        <f aca="false">IF(AA363&lt;&gt;"",AA363,Z363)</f>
        <v>3</v>
      </c>
      <c r="CC363" s="48" t="str">
        <f aca="false">IF(OR(CB363=1,CB363=2,CB363=3),IF(Parameter!$E$27="Ja","LIFT",IF(CB363=1,"L1","L23")),IF(CB363="Aussen","Aussen","-"))</f>
        <v>LIFT</v>
      </c>
      <c r="CD363" s="59" t="n">
        <f aca="false">IF(N(AB363)&gt;0,AB363,0)</f>
        <v>0</v>
      </c>
      <c r="CE363" s="53" t="n">
        <f aca="false">IF(ISNUMBER(AE363),1,0)</f>
        <v>0</v>
      </c>
      <c r="CF363" s="50" t="n">
        <f aca="false">N(AE363)</f>
        <v>0</v>
      </c>
      <c r="CG363" s="50" t="n">
        <f aca="false">N(M363)+N(N363)</f>
        <v>1</v>
      </c>
      <c r="CH363" s="50" t="n">
        <f aca="false">ROUNDUP(H363/BV363,0)</f>
        <v>1</v>
      </c>
      <c r="CI363" s="50" t="n">
        <f aca="false">ROUNDUP(CF363/BV363,0)</f>
        <v>0</v>
      </c>
      <c r="CJ363" s="53" t="n">
        <f aca="false">IF(BW363=1,0,IFERROR(VLOOKUP(BU363,'Gebinde-Kategorie'!$A$5:$N$45,5,0)+0,0))</f>
        <v>8</v>
      </c>
      <c r="CK363" s="53" t="n">
        <f aca="false">IFERROR(IF(OR(CB363=1,CB363=2,CB363=3),N(INDEX(Parameter!$I$5:$I$7,CB363)),0),0)</f>
        <v>0</v>
      </c>
      <c r="CL363" s="52" t="n">
        <f aca="false">IF(AND(Parameter!$B$21="Ja",ISNUMBER(W363),N(X363)&gt;0),IFERROR(N(INDEX(Parameter!$L$5:$L$7,W363))*INDEX(Parameter!$E$5:$E$7,W363)*X363/SUMIFS($X$7:$X$1843,$W$7:$W$1843,W363),0),0)</f>
        <v>0</v>
      </c>
    </row>
    <row r="364" customFormat="false" ht="15" hidden="false" customHeight="false" outlineLevel="0" collapsed="false">
      <c r="A364" s="48" t="s">
        <v>881</v>
      </c>
      <c r="B364" s="48" t="s">
        <v>767</v>
      </c>
      <c r="C364" s="48" t="s">
        <v>168</v>
      </c>
      <c r="D364" s="48" t="s">
        <v>188</v>
      </c>
      <c r="E364" s="48"/>
      <c r="F364" s="48" t="s">
        <v>222</v>
      </c>
      <c r="G364" s="49" t="n">
        <v>6.23</v>
      </c>
      <c r="H364" s="50" t="n">
        <f aca="false">MAX(0,IF(AND(Parameter!$B$21="Ja",ISNUMBER(Y364)),Y364,IF(Parameter!$B$20="Jahresanfang 2025 + Export",BO364+BN364,BN364)))</f>
        <v>25</v>
      </c>
      <c r="I364" s="50" t="n">
        <f aca="false">H364*G364</f>
        <v>155.75</v>
      </c>
      <c r="J364" s="50" t="n">
        <f aca="false">BQ364*Parameter!$B$18</f>
        <v>0</v>
      </c>
      <c r="K364" s="51" t="n">
        <v>0</v>
      </c>
      <c r="L364" s="52" t="n">
        <v>0</v>
      </c>
      <c r="M364" s="50" t="n">
        <v>0</v>
      </c>
      <c r="N364" s="50" t="n">
        <v>1</v>
      </c>
      <c r="O364" s="53" t="n">
        <v>9999</v>
      </c>
      <c r="P364" s="48" t="s">
        <v>172</v>
      </c>
      <c r="Q364" s="50"/>
      <c r="R364" s="53" t="n">
        <f aca="false">IF(BW364=1,0,IFERROR(VLOOKUP(BU364,'Gebinde-Kategorie'!$A$5:$N$45,13,0)+0,0))</f>
        <v>26</v>
      </c>
      <c r="S364" s="54"/>
      <c r="T364" s="55" t="s">
        <v>279</v>
      </c>
      <c r="U364" s="55"/>
      <c r="V364" s="55"/>
      <c r="W364" s="48"/>
      <c r="X364" s="50"/>
      <c r="Y364" s="50"/>
      <c r="Z364" s="48" t="n">
        <f aca="false">IF(A364="","",IF(AND(Parameter!$B$21="Ja",ISNUMBER(W364)),W364,IF(BZ364="2+3",IF(ISNUMBER(SEARCH("grosser Artikel",BR364)),2,IFERROR(VLOOKUP(BU364,Parameter!$F$35:$G$64,2,0),2)),IF(OR(BZ364="Nein",BZ364=""),"-",BZ364))))</f>
        <v>3</v>
      </c>
      <c r="AA364" s="55"/>
      <c r="AB364" s="56"/>
      <c r="AC364" s="50" t="n">
        <f aca="false">AT364</f>
        <v>25</v>
      </c>
      <c r="AD364" s="50" t="n">
        <f aca="false">MAX(AT364,H364)</f>
        <v>25</v>
      </c>
      <c r="AE364" s="57"/>
      <c r="AF364" s="50" t="n">
        <f aca="false">IF(LEFT(Cockpit!$C$5,1)="A",H364,IF(CE364=1,CF364,IF(LEFT(Cockpit!$C$5,1)="B",AK364,MAX(AK364,H364))))</f>
        <v>25</v>
      </c>
      <c r="AG364" s="50" t="n">
        <f aca="false">IF(BW364=1,0,ROUNDUP(AF364/BV364,0))</f>
        <v>1</v>
      </c>
      <c r="AH364" s="52" t="n">
        <f aca="false">IF(CL364&gt;0,CL364*MAX(1,AF364/X364),IF(BW364=1,IF(AF364&lt;=0,0,CA364*MAX(1,IF(H364&gt;0,AF364/H364,1))),IF(R364&gt;0,AG364/R364,0))/MAX(0.1,N(Parameter!$M$21)))</f>
        <v>0.0384615384615385</v>
      </c>
      <c r="AI364" s="50" t="n">
        <f aca="false">AH364*BY364</f>
        <v>5.96153846153846</v>
      </c>
      <c r="AJ364" s="50" t="n">
        <f aca="false">AF364*G364</f>
        <v>155.75</v>
      </c>
      <c r="AK364" s="50" t="n">
        <f aca="false">ROUNDUP(MAX(J364/IF(CD364&gt;0,CD364,MAX(0.1,N(Cockpit!$C$6))),CG364)/BV364,0)*BV364</f>
        <v>25</v>
      </c>
      <c r="AL364" s="51" t="n">
        <f aca="false">IF(AI364&gt;0,J364/AI364,-1)</f>
        <v>0</v>
      </c>
      <c r="AM364" s="51" t="n">
        <f aca="false">IF(AND(OR(CC364="L1",CC364="L23",CC364="LIFT"),AI364&gt;0),SUMIFS($AI$7:$AI$1843,$CC$7:$CC$1843,CC364,$AL$7:$AL$1843,"&gt;"&amp;AL364)+SUMIFS($AI$7:$AI$1843,$CC$7:$CC$1843,CC364,$AL$7:$AL$1843,AL364,$BT$7:$BT$1843,"&lt;="&amp;BT364),"")</f>
        <v>28032.096779868</v>
      </c>
      <c r="AN364" s="58" t="n">
        <f aca="false">IF(AM364="",0,MAX(0,MIN(1,(IF(CC364="L1",Parameter!$H$5,IF(CC364="L23",Parameter!$H$6+Parameter!$H$7,Parameter!$H$5+Parameter!$H$6+Parameter!$H$7))-(AM364-AI364))/AI364)))</f>
        <v>1</v>
      </c>
      <c r="AO364" s="50" t="n">
        <f aca="false">IF(LEFT(Cockpit!$I$5,1)="A",H364,IF(CE364=1,CF364,IF(LEFT(Cockpit!$I$5,1)="B",AT364,MAX(AT364,H364))))</f>
        <v>25</v>
      </c>
      <c r="AP364" s="50" t="n">
        <f aca="false">IF(BW364=1,0,ROUNDUP(AO364/BV364,0))</f>
        <v>1</v>
      </c>
      <c r="AQ364" s="52" t="n">
        <f aca="false">IF(CL364&gt;0,CL364*MAX(1,AO364/X364),IF(BW364=1,IF(AO364&lt;=0,0,CA364*MAX(1,IF(H364&gt;0,AO364/H364,1))),IF(R364&gt;0,AP364/R364,0))/MAX(0.1,N(Parameter!$M$21)))</f>
        <v>0.0384615384615385</v>
      </c>
      <c r="AR364" s="50" t="n">
        <f aca="false">AQ364*BY364</f>
        <v>5.96153846153846</v>
      </c>
      <c r="AS364" s="50" t="n">
        <f aca="false">AO364*G364</f>
        <v>155.75</v>
      </c>
      <c r="AT364" s="50" t="n">
        <f aca="false">ROUNDUP(MAX(J364/IF(CD364&gt;0,CD364,MAX(0.1,N(Cockpit!$I$6))),CG364)/BV364,0)*BV364</f>
        <v>25</v>
      </c>
      <c r="AU364" s="51" t="n">
        <f aca="false">IF(AR364&gt;0,J364/AR364,-1)</f>
        <v>0</v>
      </c>
      <c r="AV364" s="51" t="n">
        <f aca="false">IF(AND(OR(CC364="L1",CC364="L23",CC364="LIFT"),AR364&gt;0),SUMIFS($AR$7:$AR$1843,$CC$7:$CC$1843,CC364,$AU$7:$AU$1843,"&gt;"&amp;AU364)+SUMIFS($AR$7:$AR$1843,$CC$7:$CC$1843,CC364,$AU$7:$AU$1843,AU364,$BT$7:$BT$1843,"&lt;="&amp;BT364),"")</f>
        <v>39345.0022971379</v>
      </c>
      <c r="AW364" s="58" t="n">
        <f aca="false">IF(AV364="",0,MAX(0,MIN(1,(IF(CC364="L1",Parameter!$H$5,IF(CC364="L23",Parameter!$H$6+Parameter!$H$7,Parameter!$H$5+Parameter!$H$6+Parameter!$H$7))-(AV364-AR364))/AR364)))</f>
        <v>0</v>
      </c>
      <c r="AX364" s="50" t="n">
        <f aca="false">IF(LEFT(Cockpit!$O$5,1)="A",H364,IF(CE364=1,CF364,IF(LEFT(Cockpit!$O$5,1)="B",BC364,MAX(BC364,H364))))</f>
        <v>25</v>
      </c>
      <c r="AY364" s="50" t="n">
        <f aca="false">IF(BW364=1,0,ROUNDUP(AX364/BV364,0))</f>
        <v>1</v>
      </c>
      <c r="AZ364" s="52" t="n">
        <f aca="false">IF(CL364&gt;0,CL364*MAX(1,AX364/X364),IF(BW364=1,IF(AX364&lt;=0,0,CA364*MAX(1,IF(H364&gt;0,AX364/H364,1))),IF(R364&gt;0,AY364/R364,0))/MAX(0.1,N(Parameter!$M$21)))</f>
        <v>0.0384615384615385</v>
      </c>
      <c r="BA364" s="50" t="n">
        <f aca="false">AZ364*BY364</f>
        <v>5.96153846153846</v>
      </c>
      <c r="BB364" s="50" t="n">
        <f aca="false">AX364*G364</f>
        <v>155.75</v>
      </c>
      <c r="BC364" s="50" t="n">
        <f aca="false">ROUNDUP(MAX(J364/IF(CD364&gt;0,CD364,MAX(0.1,N(Cockpit!$O$6))),CG364)/BV364,0)*BV364</f>
        <v>25</v>
      </c>
      <c r="BD364" s="51" t="n">
        <f aca="false">IF(BA364&gt;0,J364/BA364,-1)</f>
        <v>0</v>
      </c>
      <c r="BE364" s="51" t="n">
        <f aca="false">IF(AND(OR(CC364="L1",CC364="L23",CC364="LIFT"),BA364&gt;0),SUMIFS($BA$7:$BA$1843,$CC$7:$CC$1843,CC364,$BD$7:$BD$1843,"&gt;"&amp;BD364)+SUMIFS($BA$7:$BA$1843,$CC$7:$CC$1843,CC364,$BD$7:$BD$1843,BD364,$BT$7:$BT$1843,"&lt;="&amp;BT364),"")</f>
        <v>36020.0143390038</v>
      </c>
      <c r="BF364" s="58" t="n">
        <f aca="false">IF(BE364="",0,MAX(0,MIN(1,(IF(CC364="L1",Parameter!$H$5,IF(CC364="L23",Parameter!$H$6+Parameter!$H$7,Parameter!$H$5+Parameter!$H$6+Parameter!$H$7))-(BE364-BA364))/BA364)))</f>
        <v>0</v>
      </c>
      <c r="BG364" s="48" t="str">
        <f aca="false">IF(AI364&lt;=0,"",IF(CC364="Aussen","Aussenlager",IF(CC364="-","Nicht im Lift",IF(AN364&gt;=1,"Lift",IF(AN364&lt;=0,"Aussenlager","teilweise")))))</f>
        <v>Lift</v>
      </c>
      <c r="BH364" s="48" t="str">
        <f aca="false">IF(AR364&lt;=0,"",IF(CC364="Aussen","Aussenlager",IF(CC364="-","Nicht im Lift",IF(AW364&gt;=1,"Lift",IF(AW364&lt;=0,"Aussenlager","teilweise")))))</f>
        <v>Aussenlager</v>
      </c>
      <c r="BI364" s="48" t="str">
        <f aca="false">IF(BA364&lt;=0,"",IF(CC364="Aussen","Aussenlager",IF(CC364="-","Nicht im Lift",IF(BF364&gt;=1,"Lift",IF(BF364&lt;=0,"Aussenlager","teilweise")))))</f>
        <v>Aussenlager</v>
      </c>
      <c r="BJ364" s="48" t="str">
        <f aca="false">IF(A364="","",IF(BS364=1,"Neu; ","")&amp;IF(AND(BS364=0,BN364&lt;0),"negativer Bestand (Export "&amp;BN364&amp;"); ","")&amp;IF(J364&lt;=0,"Kein Verbrauch; ","")&amp;IF(CL364&gt;0,"Lift "&amp;W364&amp;" lt. Liftbericht (Fach "&amp;X364&amp;" Stk); ",IF(BX364=1,"Gebinde geschätzt ("&amp;T364&amp;"); ",IF(BW364=1,"Lose – Tablare geschätzt; ","")))&amp;IF(H364&gt;AT364,"Überbestand "&amp;ROUND(H364-AT364,0)&amp;" Stk / CHF "&amp;ROUND((H364-AT364)*G364,0)&amp;"; ","")&amp;IF(AND(CE364=1,CF364&lt;CG364),"MAX &lt; MB+LG; ","")&amp;IF(AND(CK364&gt;0,CJ364*10&gt;CK364),"zu hoch für Tablar; ","")&amp;IF(AND(BS364=0,OR(CE364=1,AA364&lt;&gt;"",U364&lt;&gt;"",V364&lt;&gt;"",AB364&lt;&gt;"")),"manuell übersteuert; ","")&amp;IF(AND(BW364=0,R364=0),"Gebinde unbekannt / Stellmass fehlt; ","")&amp;IF(AND(BW364=0,N(V364)&lt;=0,N(Q364)&lt;=0),"Menge pro Gebinde fehlt (Ist = 1 Gebinde); ","")&amp;BR364)</f>
        <v>Kein Verbrauch; Gebinde geschätzt (Klein); Menge pro Gebinde fehlt (Ist = 1 Gebinde); </v>
      </c>
      <c r="BK364" s="48"/>
      <c r="BL364" s="48"/>
      <c r="BM364" s="55"/>
      <c r="BN364" s="50" t="n">
        <v>25</v>
      </c>
      <c r="BO364" s="50" t="n">
        <v>0</v>
      </c>
      <c r="BP364" s="49" t="n">
        <v>155.75</v>
      </c>
      <c r="BQ364" s="50" t="n">
        <v>0</v>
      </c>
      <c r="BR364" s="48"/>
      <c r="BS364" s="53" t="n">
        <v>0</v>
      </c>
      <c r="BT364" s="53" t="n">
        <v>364</v>
      </c>
      <c r="BU364" s="48" t="str">
        <f aca="false">IF(U364&lt;&gt;"",UPPER(TRIM(U364)),IF(BX364=1,UPPER(VLOOKUP(T364,Parameter!$I$27:$K$29,2,0)),IF(P364="","LOSE",P364)))</f>
        <v>S51</v>
      </c>
      <c r="BV364" s="50" t="n">
        <f aca="false">IF(BU364="LOSE",1,IF(N(V364)&gt;0,V364,IF(BX364=1,MAX(1,N(VLOOKUP(T364,Parameter!$I$27:$K$29,3,0)),H364,N(N364)),IF(N(Q364)&gt;0,Q364,MAX(1,H364)))))</f>
        <v>25</v>
      </c>
      <c r="BW364" s="53" t="n">
        <f aca="false">IF(BU364="LOSE",1,0)</f>
        <v>0</v>
      </c>
      <c r="BX364" s="53" t="n">
        <f aca="false">IF(AND(U364="",OR(P364="",P364="LOSE"),T364&lt;&gt;"",N(S364)&lt;=0,ISNUMBER(MATCH(T364,Parameter!$I$27:$I$29,0))),1,0)</f>
        <v>1</v>
      </c>
      <c r="BY364" s="53" t="n">
        <f aca="false">IF(CL364&gt;0,INDEX(Parameter!$H$5:$H$7,W364)/INDEX(Parameter!$E$5:$E$7,W364),IF(AND(BW364=0,N(IFERROR(VLOOKUP(BU364,'Gebinde-Kategorie'!$A$5:$N$45,14,0),0))&gt;0),VLOOKUP(BU364,'Gebinde-Kategorie'!$A$5:$N$45,14,0)*10+Parameter!$M$23,Parameter!$M$24))</f>
        <v>155</v>
      </c>
      <c r="BZ364" s="48" t="str">
        <f aca="false">IF(AND(Parameter!$B$19="Ja",E364&lt;&gt;"",ISNUMBER(MATCH(E364,Parameter!$I$35:$I$52,0))),VLOOKUP(E364,Parameter!$I$35:$J$52,2,0),IFERROR(VLOOKUP(D364,Parameter!$A$35:$C$64,2,0),"Nein"))</f>
        <v>2+3</v>
      </c>
      <c r="CA364" s="52" t="n">
        <f aca="false">IF(BW364=0,0,IF(N(S364)&gt;0,S364,IFERROR(VLOOKUP(D364,Parameter!$A$35:$C$64,3,0)+0,0)))</f>
        <v>0</v>
      </c>
      <c r="CB364" s="48" t="n">
        <f aca="false">IF(AA364&lt;&gt;"",AA364,Z364)</f>
        <v>3</v>
      </c>
      <c r="CC364" s="48" t="str">
        <f aca="false">IF(OR(CB364=1,CB364=2,CB364=3),IF(Parameter!$E$27="Ja","LIFT",IF(CB364=1,"L1","L23")),IF(CB364="Aussen","Aussen","-"))</f>
        <v>LIFT</v>
      </c>
      <c r="CD364" s="59" t="n">
        <f aca="false">IF(N(AB364)&gt;0,AB364,0)</f>
        <v>0</v>
      </c>
      <c r="CE364" s="53" t="n">
        <f aca="false">IF(ISNUMBER(AE364),1,0)</f>
        <v>0</v>
      </c>
      <c r="CF364" s="50" t="n">
        <f aca="false">N(AE364)</f>
        <v>0</v>
      </c>
      <c r="CG364" s="50" t="n">
        <f aca="false">N(M364)+N(N364)</f>
        <v>1</v>
      </c>
      <c r="CH364" s="50" t="n">
        <f aca="false">ROUNDUP(H364/BV364,0)</f>
        <v>1</v>
      </c>
      <c r="CI364" s="50" t="n">
        <f aca="false">ROUNDUP(CF364/BV364,0)</f>
        <v>0</v>
      </c>
      <c r="CJ364" s="53" t="n">
        <f aca="false">IF(BW364=1,0,IFERROR(VLOOKUP(BU364,'Gebinde-Kategorie'!$A$5:$N$45,5,0)+0,0))</f>
        <v>11</v>
      </c>
      <c r="CK364" s="53" t="n">
        <f aca="false">IFERROR(IF(OR(CB364=1,CB364=2,CB364=3),N(INDEX(Parameter!$I$5:$I$7,CB364)),0),0)</f>
        <v>0</v>
      </c>
      <c r="CL364" s="52" t="n">
        <f aca="false">IF(AND(Parameter!$B$21="Ja",ISNUMBER(W364),N(X364)&gt;0),IFERROR(N(INDEX(Parameter!$L$5:$L$7,W364))*INDEX(Parameter!$E$5:$E$7,W364)*X364/SUMIFS($X$7:$X$1843,$W$7:$W$1843,W364),0),0)</f>
        <v>0</v>
      </c>
    </row>
    <row r="365" customFormat="false" ht="15" hidden="false" customHeight="false" outlineLevel="0" collapsed="false">
      <c r="A365" s="48" t="s">
        <v>882</v>
      </c>
      <c r="B365" s="48" t="s">
        <v>883</v>
      </c>
      <c r="C365" s="48" t="s">
        <v>168</v>
      </c>
      <c r="D365" s="48" t="s">
        <v>188</v>
      </c>
      <c r="E365" s="48" t="s">
        <v>189</v>
      </c>
      <c r="F365" s="48" t="s">
        <v>222</v>
      </c>
      <c r="G365" s="49" t="n">
        <v>15.5</v>
      </c>
      <c r="H365" s="50" t="n">
        <f aca="false">MAX(0,IF(AND(Parameter!$B$21="Ja",ISNUMBER(Y365)),Y365,IF(Parameter!$B$20="Jahresanfang 2025 + Export",BO365+BN365,BN365)))</f>
        <v>20</v>
      </c>
      <c r="I365" s="50" t="n">
        <f aca="false">H365*G365</f>
        <v>310</v>
      </c>
      <c r="J365" s="50" t="n">
        <f aca="false">BQ365*Parameter!$B$18</f>
        <v>9</v>
      </c>
      <c r="K365" s="51" t="n">
        <v>15.5</v>
      </c>
      <c r="L365" s="52" t="n">
        <v>0.580645161290323</v>
      </c>
      <c r="M365" s="50" t="n">
        <v>0</v>
      </c>
      <c r="N365" s="50" t="n">
        <v>10</v>
      </c>
      <c r="O365" s="53" t="n">
        <v>28</v>
      </c>
      <c r="P365" s="48" t="s">
        <v>332</v>
      </c>
      <c r="Q365" s="50" t="n">
        <v>24</v>
      </c>
      <c r="R365" s="53" t="n">
        <f aca="false">IF(BW365=1,0,IFERROR(VLOOKUP(BU365,'Gebinde-Kategorie'!$A$5:$N$45,13,0)+0,0))</f>
        <v>52</v>
      </c>
      <c r="S365" s="54"/>
      <c r="T365" s="55"/>
      <c r="U365" s="55"/>
      <c r="V365" s="55"/>
      <c r="W365" s="48"/>
      <c r="X365" s="50"/>
      <c r="Y365" s="50"/>
      <c r="Z365" s="48" t="n">
        <f aca="false">IF(A365="","",IF(AND(Parameter!$B$21="Ja",ISNUMBER(W365)),W365,IF(BZ365="2+3",IF(ISNUMBER(SEARCH("grosser Artikel",BR365)),2,IFERROR(VLOOKUP(BU365,Parameter!$F$35:$G$64,2,0),2)),IF(OR(BZ365="Nein",BZ365=""),"-",BZ365))))</f>
        <v>3</v>
      </c>
      <c r="AA365" s="55"/>
      <c r="AB365" s="56"/>
      <c r="AC365" s="50" t="n">
        <f aca="false">AT365</f>
        <v>24</v>
      </c>
      <c r="AD365" s="50" t="n">
        <f aca="false">MAX(AT365,H365)</f>
        <v>24</v>
      </c>
      <c r="AE365" s="57"/>
      <c r="AF365" s="50" t="n">
        <f aca="false">IF(LEFT(Cockpit!$C$5,1)="A",H365,IF(CE365=1,CF365,IF(LEFT(Cockpit!$C$5,1)="B",AK365,MAX(AK365,H365))))</f>
        <v>20</v>
      </c>
      <c r="AG365" s="50" t="n">
        <f aca="false">IF(BW365=1,0,ROUNDUP(AF365/BV365,0))</f>
        <v>1</v>
      </c>
      <c r="AH365" s="52" t="n">
        <f aca="false">IF(CL365&gt;0,CL365*MAX(1,AF365/X365),IF(BW365=1,IF(AF365&lt;=0,0,CA365*MAX(1,IF(H365&gt;0,AF365/H365,1))),IF(R365&gt;0,AG365/R365,0))/MAX(0.1,N(Parameter!$M$21)))</f>
        <v>0.0192307692307692</v>
      </c>
      <c r="AI365" s="50" t="n">
        <f aca="false">AH365*BY365</f>
        <v>2.98076923076923</v>
      </c>
      <c r="AJ365" s="50" t="n">
        <f aca="false">AF365*G365</f>
        <v>310</v>
      </c>
      <c r="AK365" s="50" t="n">
        <f aca="false">ROUNDUP(MAX(J365/IF(CD365&gt;0,CD365,MAX(0.1,N(Cockpit!$C$6))),CG365)/BV365,0)*BV365</f>
        <v>24</v>
      </c>
      <c r="AL365" s="51" t="n">
        <f aca="false">IF(AI365&gt;0,J365/AI365,-1)</f>
        <v>3.01935483870968</v>
      </c>
      <c r="AM365" s="51" t="n">
        <f aca="false">IF(AND(OR(CC365="L1",CC365="L23",CC365="LIFT"),AI365&gt;0),SUMIFS($AI$7:$AI$1843,$CC$7:$CC$1843,CC365,$AL$7:$AL$1843,"&gt;"&amp;AL365)+SUMIFS($AI$7:$AI$1843,$CC$7:$CC$1843,CC365,$AL$7:$AL$1843,AL365,$BT$7:$BT$1843,"&lt;="&amp;BT365),"")</f>
        <v>5072.81547619048</v>
      </c>
      <c r="AN365" s="58" t="n">
        <f aca="false">IF(AM365="",0,MAX(0,MIN(1,(IF(CC365="L1",Parameter!$H$5,IF(CC365="L23",Parameter!$H$6+Parameter!$H$7,Parameter!$H$5+Parameter!$H$6+Parameter!$H$7))-(AM365-AI365))/AI365)))</f>
        <v>1</v>
      </c>
      <c r="AO365" s="50" t="n">
        <f aca="false">IF(LEFT(Cockpit!$I$5,1)="A",H365,IF(CE365=1,CF365,IF(LEFT(Cockpit!$I$5,1)="B",AT365,MAX(AT365,H365))))</f>
        <v>24</v>
      </c>
      <c r="AP365" s="50" t="n">
        <f aca="false">IF(BW365=1,0,ROUNDUP(AO365/BV365,0))</f>
        <v>1</v>
      </c>
      <c r="AQ365" s="52" t="n">
        <f aca="false">IF(CL365&gt;0,CL365*MAX(1,AO365/X365),IF(BW365=1,IF(AO365&lt;=0,0,CA365*MAX(1,IF(H365&gt;0,AO365/H365,1))),IF(R365&gt;0,AP365/R365,0))/MAX(0.1,N(Parameter!$M$21)))</f>
        <v>0.0192307692307692</v>
      </c>
      <c r="AR365" s="50" t="n">
        <f aca="false">AQ365*BY365</f>
        <v>2.98076923076923</v>
      </c>
      <c r="AS365" s="50" t="n">
        <f aca="false">AO365*G365</f>
        <v>372</v>
      </c>
      <c r="AT365" s="50" t="n">
        <f aca="false">ROUNDUP(MAX(J365/IF(CD365&gt;0,CD365,MAX(0.1,N(Cockpit!$I$6))),CG365)/BV365,0)*BV365</f>
        <v>24</v>
      </c>
      <c r="AU365" s="51" t="n">
        <f aca="false">IF(AR365&gt;0,J365/AR365,-1)</f>
        <v>3.01935483870968</v>
      </c>
      <c r="AV365" s="51" t="n">
        <f aca="false">IF(AND(OR(CC365="L1",CC365="L23",CC365="LIFT"),AR365&gt;0),SUMIFS($AR$7:$AR$1843,$CC$7:$CC$1843,CC365,$AU$7:$AU$1843,"&gt;"&amp;AU365)+SUMIFS($AR$7:$AR$1843,$CC$7:$CC$1843,CC365,$AU$7:$AU$1843,AU365,$BT$7:$BT$1843,"&lt;="&amp;BT365),"")</f>
        <v>6309.6391941392</v>
      </c>
      <c r="AW365" s="58" t="n">
        <f aca="false">IF(AV365="",0,MAX(0,MIN(1,(IF(CC365="L1",Parameter!$H$5,IF(CC365="L23",Parameter!$H$6+Parameter!$H$7,Parameter!$H$5+Parameter!$H$6+Parameter!$H$7))-(AV365-AR365))/AR365)))</f>
        <v>1</v>
      </c>
      <c r="AX365" s="50" t="n">
        <f aca="false">IF(LEFT(Cockpit!$O$5,1)="A",H365,IF(CE365=1,CF365,IF(LEFT(Cockpit!$O$5,1)="B",BC365,MAX(BC365,H365))))</f>
        <v>24</v>
      </c>
      <c r="AY365" s="50" t="n">
        <f aca="false">IF(BW365=1,0,ROUNDUP(AX365/BV365,0))</f>
        <v>1</v>
      </c>
      <c r="AZ365" s="52" t="n">
        <f aca="false">IF(CL365&gt;0,CL365*MAX(1,AX365/X365),IF(BW365=1,IF(AX365&lt;=0,0,CA365*MAX(1,IF(H365&gt;0,AX365/H365,1))),IF(R365&gt;0,AY365/R365,0))/MAX(0.1,N(Parameter!$M$21)))</f>
        <v>0.0192307692307692</v>
      </c>
      <c r="BA365" s="50" t="n">
        <f aca="false">AZ365*BY365</f>
        <v>2.98076923076923</v>
      </c>
      <c r="BB365" s="50" t="n">
        <f aca="false">AX365*G365</f>
        <v>372</v>
      </c>
      <c r="BC365" s="50" t="n">
        <f aca="false">ROUNDUP(MAX(J365/IF(CD365&gt;0,CD365,MAX(0.1,N(Cockpit!$O$6))),CG365)/BV365,0)*BV365</f>
        <v>24</v>
      </c>
      <c r="BD365" s="51" t="n">
        <f aca="false">IF(BA365&gt;0,J365/BA365,-1)</f>
        <v>3.01935483870968</v>
      </c>
      <c r="BE365" s="51" t="n">
        <f aca="false">IF(AND(OR(CC365="L1",CC365="L23",CC365="LIFT"),BA365&gt;0),SUMIFS($BA$7:$BA$1843,$CC$7:$CC$1843,CC365,$BD$7:$BD$1843,"&gt;"&amp;BD365)+SUMIFS($BA$7:$BA$1843,$CC$7:$CC$1843,CC365,$BD$7:$BD$1843,BD365,$BT$7:$BT$1843,"&lt;="&amp;BT365),"")</f>
        <v>6330.80906593407</v>
      </c>
      <c r="BF365" s="58" t="n">
        <f aca="false">IF(BE365="",0,MAX(0,MIN(1,(IF(CC365="L1",Parameter!$H$5,IF(CC365="L23",Parameter!$H$6+Parameter!$H$7,Parameter!$H$5+Parameter!$H$6+Parameter!$H$7))-(BE365-BA365))/BA365)))</f>
        <v>1</v>
      </c>
      <c r="BG365" s="48" t="str">
        <f aca="false">IF(AI365&lt;=0,"",IF(CC365="Aussen","Aussenlager",IF(CC365="-","Nicht im Lift",IF(AN365&gt;=1,"Lift",IF(AN365&lt;=0,"Aussenlager","teilweise")))))</f>
        <v>Lift</v>
      </c>
      <c r="BH365" s="48" t="str">
        <f aca="false">IF(AR365&lt;=0,"",IF(CC365="Aussen","Aussenlager",IF(CC365="-","Nicht im Lift",IF(AW365&gt;=1,"Lift",IF(AW365&lt;=0,"Aussenlager","teilweise")))))</f>
        <v>Lift</v>
      </c>
      <c r="BI365" s="48" t="str">
        <f aca="false">IF(BA365&lt;=0,"",IF(CC365="Aussen","Aussenlager",IF(CC365="-","Nicht im Lift",IF(BF365&gt;=1,"Lift",IF(BF365&lt;=0,"Aussenlager","teilweise")))))</f>
        <v>Lift</v>
      </c>
      <c r="BJ365" s="48" t="str">
        <f aca="false">IF(A365="","",IF(BS365=1,"Neu; ","")&amp;IF(AND(BS365=0,BN365&lt;0),"negativer Bestand (Export "&amp;BN365&amp;"); ","")&amp;IF(J365&lt;=0,"Kein Verbrauch; ","")&amp;IF(CL365&gt;0,"Lift "&amp;W365&amp;" lt. Liftbericht (Fach "&amp;X365&amp;" Stk); ",IF(BX365=1,"Gebinde geschätzt ("&amp;T365&amp;"); ",IF(BW365=1,"Lose – Tablare geschätzt; ","")))&amp;IF(H365&gt;AT365,"Überbestand "&amp;ROUND(H365-AT365,0)&amp;" Stk / CHF "&amp;ROUND((H365-AT365)*G365,0)&amp;"; ","")&amp;IF(AND(CE365=1,CF365&lt;CG365),"MAX &lt; MB+LG; ","")&amp;IF(AND(CK365&gt;0,CJ365*10&gt;CK365),"zu hoch für Tablar; ","")&amp;IF(AND(BS365=0,OR(CE365=1,AA365&lt;&gt;"",U365&lt;&gt;"",V365&lt;&gt;"",AB365&lt;&gt;"")),"manuell übersteuert; ","")&amp;IF(AND(BW365=0,R365=0),"Gebinde unbekannt / Stellmass fehlt; ","")&amp;IF(AND(BW365=0,N(V365)&lt;=0,N(Q365)&lt;=0),"Menge pro Gebinde fehlt (Ist = 1 Gebinde); ","")&amp;BR365)</f>
        <v/>
      </c>
      <c r="BK365" s="48"/>
      <c r="BL365" s="48"/>
      <c r="BM365" s="55"/>
      <c r="BN365" s="50" t="n">
        <v>10</v>
      </c>
      <c r="BO365" s="50" t="n">
        <v>10</v>
      </c>
      <c r="BP365" s="49" t="n">
        <v>155</v>
      </c>
      <c r="BQ365" s="50" t="n">
        <v>9</v>
      </c>
      <c r="BR365" s="48"/>
      <c r="BS365" s="53" t="n">
        <v>0</v>
      </c>
      <c r="BT365" s="53" t="n">
        <v>365</v>
      </c>
      <c r="BU365" s="48" t="str">
        <f aca="false">IF(U365&lt;&gt;"",UPPER(TRIM(U365)),IF(BX365=1,UPPER(VLOOKUP(T365,Parameter!$I$27:$K$29,2,0)),IF(P365="","LOSE",P365)))</f>
        <v>S41</v>
      </c>
      <c r="BV365" s="50" t="n">
        <f aca="false">IF(BU365="LOSE",1,IF(N(V365)&gt;0,V365,IF(BX365=1,MAX(1,N(VLOOKUP(T365,Parameter!$I$27:$K$29,3,0)),H365,N(N365)),IF(N(Q365)&gt;0,Q365,MAX(1,H365)))))</f>
        <v>24</v>
      </c>
      <c r="BW365" s="53" t="n">
        <f aca="false">IF(BU365="LOSE",1,0)</f>
        <v>0</v>
      </c>
      <c r="BX365" s="53" t="n">
        <f aca="false">IF(AND(U365="",OR(P365="",P365="LOSE"),T365&lt;&gt;"",N(S365)&lt;=0,ISNUMBER(MATCH(T365,Parameter!$I$27:$I$29,0))),1,0)</f>
        <v>0</v>
      </c>
      <c r="BY365" s="53" t="n">
        <f aca="false">IF(CL365&gt;0,INDEX(Parameter!$H$5:$H$7,W365)/INDEX(Parameter!$E$5:$E$7,W365),IF(AND(BW365=0,N(IFERROR(VLOOKUP(BU365,'Gebinde-Kategorie'!$A$5:$N$45,14,0),0))&gt;0),VLOOKUP(BU365,'Gebinde-Kategorie'!$A$5:$N$45,14,0)*10+Parameter!$M$23,Parameter!$M$24))</f>
        <v>155</v>
      </c>
      <c r="BZ365" s="48" t="str">
        <f aca="false">IF(AND(Parameter!$B$19="Ja",E365&lt;&gt;"",ISNUMBER(MATCH(E365,Parameter!$I$35:$I$52,0))),VLOOKUP(E365,Parameter!$I$35:$J$52,2,0),IFERROR(VLOOKUP(D365,Parameter!$A$35:$C$64,2,0),"Nein"))</f>
        <v>2+3</v>
      </c>
      <c r="CA365" s="52" t="n">
        <f aca="false">IF(BW365=0,0,IF(N(S365)&gt;0,S365,IFERROR(VLOOKUP(D365,Parameter!$A$35:$C$64,3,0)+0,0)))</f>
        <v>0</v>
      </c>
      <c r="CB365" s="48" t="n">
        <f aca="false">IF(AA365&lt;&gt;"",AA365,Z365)</f>
        <v>3</v>
      </c>
      <c r="CC365" s="48" t="str">
        <f aca="false">IF(OR(CB365=1,CB365=2,CB365=3),IF(Parameter!$E$27="Ja","LIFT",IF(CB365=1,"L1","L23")),IF(CB365="Aussen","Aussen","-"))</f>
        <v>LIFT</v>
      </c>
      <c r="CD365" s="59" t="n">
        <f aca="false">IF(N(AB365)&gt;0,AB365,0)</f>
        <v>0</v>
      </c>
      <c r="CE365" s="53" t="n">
        <f aca="false">IF(ISNUMBER(AE365),1,0)</f>
        <v>0</v>
      </c>
      <c r="CF365" s="50" t="n">
        <f aca="false">N(AE365)</f>
        <v>0</v>
      </c>
      <c r="CG365" s="50" t="n">
        <f aca="false">N(M365)+N(N365)</f>
        <v>10</v>
      </c>
      <c r="CH365" s="50" t="n">
        <f aca="false">ROUNDUP(H365/BV365,0)</f>
        <v>1</v>
      </c>
      <c r="CI365" s="50" t="n">
        <f aca="false">ROUNDUP(CF365/BV365,0)</f>
        <v>0</v>
      </c>
      <c r="CJ365" s="53" t="n">
        <f aca="false">IF(BW365=1,0,IFERROR(VLOOKUP(BU365,'Gebinde-Kategorie'!$A$5:$N$45,5,0)+0,0))</f>
        <v>11</v>
      </c>
      <c r="CK365" s="53" t="n">
        <f aca="false">IFERROR(IF(OR(CB365=1,CB365=2,CB365=3),N(INDEX(Parameter!$I$5:$I$7,CB365)),0),0)</f>
        <v>0</v>
      </c>
      <c r="CL365" s="52" t="n">
        <f aca="false">IF(AND(Parameter!$B$21="Ja",ISNUMBER(W365),N(X365)&gt;0),IFERROR(N(INDEX(Parameter!$L$5:$L$7,W365))*INDEX(Parameter!$E$5:$E$7,W365)*X365/SUMIFS($X$7:$X$1843,$W$7:$W$1843,W365),0),0)</f>
        <v>0</v>
      </c>
    </row>
    <row r="366" customFormat="false" ht="15" hidden="false" customHeight="false" outlineLevel="0" collapsed="false">
      <c r="A366" s="48" t="s">
        <v>884</v>
      </c>
      <c r="B366" s="48" t="s">
        <v>885</v>
      </c>
      <c r="C366" s="48" t="s">
        <v>168</v>
      </c>
      <c r="D366" s="48" t="s">
        <v>188</v>
      </c>
      <c r="E366" s="48"/>
      <c r="F366" s="48" t="s">
        <v>222</v>
      </c>
      <c r="G366" s="49" t="n">
        <v>38</v>
      </c>
      <c r="H366" s="50" t="n">
        <f aca="false">MAX(0,IF(AND(Parameter!$B$21="Ja",ISNUMBER(Y366)),Y366,IF(Parameter!$B$20="Jahresanfang 2025 + Export",BO366+BN366,BN366)))</f>
        <v>4</v>
      </c>
      <c r="I366" s="50" t="n">
        <f aca="false">H366*G366</f>
        <v>152</v>
      </c>
      <c r="J366" s="50" t="n">
        <f aca="false">BQ366*Parameter!$B$18</f>
        <v>2</v>
      </c>
      <c r="K366" s="51" t="n">
        <v>3</v>
      </c>
      <c r="L366" s="52" t="n">
        <v>0.666666666666667</v>
      </c>
      <c r="M366" s="50" t="n">
        <v>0</v>
      </c>
      <c r="N366" s="50" t="n">
        <v>1</v>
      </c>
      <c r="O366" s="53" t="n">
        <v>31</v>
      </c>
      <c r="P366" s="48" t="s">
        <v>405</v>
      </c>
      <c r="Q366" s="50" t="n">
        <v>4</v>
      </c>
      <c r="R366" s="53" t="n">
        <f aca="false">IF(BW366=1,0,IFERROR(VLOOKUP(BU366,'Gebinde-Kategorie'!$A$5:$N$45,13,0)+0,0))</f>
        <v>280</v>
      </c>
      <c r="S366" s="54"/>
      <c r="T366" s="55"/>
      <c r="U366" s="55"/>
      <c r="V366" s="55"/>
      <c r="W366" s="48"/>
      <c r="X366" s="50"/>
      <c r="Y366" s="50"/>
      <c r="Z366" s="48" t="n">
        <f aca="false">IF(A366="","",IF(AND(Parameter!$B$21="Ja",ISNUMBER(W366)),W366,IF(BZ366="2+3",IF(ISNUMBER(SEARCH("grosser Artikel",BR366)),2,IFERROR(VLOOKUP(BU366,Parameter!$F$35:$G$64,2,0),2)),IF(OR(BZ366="Nein",BZ366=""),"-",BZ366))))</f>
        <v>3</v>
      </c>
      <c r="AA366" s="55"/>
      <c r="AB366" s="56"/>
      <c r="AC366" s="50" t="n">
        <f aca="false">AT366</f>
        <v>4</v>
      </c>
      <c r="AD366" s="50" t="n">
        <f aca="false">MAX(AT366,H366)</f>
        <v>4</v>
      </c>
      <c r="AE366" s="57"/>
      <c r="AF366" s="50" t="n">
        <f aca="false">IF(LEFT(Cockpit!$C$5,1)="A",H366,IF(CE366=1,CF366,IF(LEFT(Cockpit!$C$5,1)="B",AK366,MAX(AK366,H366))))</f>
        <v>4</v>
      </c>
      <c r="AG366" s="50" t="n">
        <f aca="false">IF(BW366=1,0,ROUNDUP(AF366/BV366,0))</f>
        <v>1</v>
      </c>
      <c r="AH366" s="52" t="n">
        <f aca="false">IF(CL366&gt;0,CL366*MAX(1,AF366/X366),IF(BW366=1,IF(AF366&lt;=0,0,CA366*MAX(1,IF(H366&gt;0,AF366/H366,1))),IF(R366&gt;0,AG366/R366,0))/MAX(0.1,N(Parameter!$M$21)))</f>
        <v>0.00357142857142857</v>
      </c>
      <c r="AI366" s="50" t="n">
        <f aca="false">AH366*BY366</f>
        <v>0.553571428571429</v>
      </c>
      <c r="AJ366" s="50" t="n">
        <f aca="false">AF366*G366</f>
        <v>152</v>
      </c>
      <c r="AK366" s="50" t="n">
        <f aca="false">ROUNDUP(MAX(J366/IF(CD366&gt;0,CD366,MAX(0.1,N(Cockpit!$C$6))),CG366)/BV366,0)*BV366</f>
        <v>4</v>
      </c>
      <c r="AL366" s="51" t="n">
        <f aca="false">IF(AI366&gt;0,J366/AI366,-1)</f>
        <v>3.61290322580645</v>
      </c>
      <c r="AM366" s="51" t="n">
        <f aca="false">IF(AND(OR(CC366="L1",CC366="L23",CC366="LIFT"),AI366&gt;0),SUMIFS($AI$7:$AI$1843,$CC$7:$CC$1843,CC366,$AL$7:$AL$1843,"&gt;"&amp;AL366)+SUMIFS($AI$7:$AI$1843,$CC$7:$CC$1843,CC366,$AL$7:$AL$1843,AL366,$BT$7:$BT$1843,"&lt;="&amp;BT366),"")</f>
        <v>4820.12408424908</v>
      </c>
      <c r="AN366" s="58" t="n">
        <f aca="false">IF(AM366="",0,MAX(0,MIN(1,(IF(CC366="L1",Parameter!$H$5,IF(CC366="L23",Parameter!$H$6+Parameter!$H$7,Parameter!$H$5+Parameter!$H$6+Parameter!$H$7))-(AM366-AI366))/AI366)))</f>
        <v>1</v>
      </c>
      <c r="AO366" s="50" t="n">
        <f aca="false">IF(LEFT(Cockpit!$I$5,1)="A",H366,IF(CE366=1,CF366,IF(LEFT(Cockpit!$I$5,1)="B",AT366,MAX(AT366,H366))))</f>
        <v>4</v>
      </c>
      <c r="AP366" s="50" t="n">
        <f aca="false">IF(BW366=1,0,ROUNDUP(AO366/BV366,0))</f>
        <v>1</v>
      </c>
      <c r="AQ366" s="52" t="n">
        <f aca="false">IF(CL366&gt;0,CL366*MAX(1,AO366/X366),IF(BW366=1,IF(AO366&lt;=0,0,CA366*MAX(1,IF(H366&gt;0,AO366/H366,1))),IF(R366&gt;0,AP366/R366,0))/MAX(0.1,N(Parameter!$M$21)))</f>
        <v>0.00357142857142857</v>
      </c>
      <c r="AR366" s="50" t="n">
        <f aca="false">AQ366*BY366</f>
        <v>0.553571428571429</v>
      </c>
      <c r="AS366" s="50" t="n">
        <f aca="false">AO366*G366</f>
        <v>152</v>
      </c>
      <c r="AT366" s="50" t="n">
        <f aca="false">ROUNDUP(MAX(J366/IF(CD366&gt;0,CD366,MAX(0.1,N(Cockpit!$I$6))),CG366)/BV366,0)*BV366</f>
        <v>4</v>
      </c>
      <c r="AU366" s="51" t="n">
        <f aca="false">IF(AR366&gt;0,J366/AR366,-1)</f>
        <v>3.61290322580645</v>
      </c>
      <c r="AV366" s="51" t="n">
        <f aca="false">IF(AND(OR(CC366="L1",CC366="L23",CC366="LIFT"),AR366&gt;0),SUMIFS($AR$7:$AR$1843,$CC$7:$CC$1843,CC366,$AU$7:$AU$1843,"&gt;"&amp;AU366)+SUMIFS($AR$7:$AR$1843,$CC$7:$CC$1843,CC366,$AU$7:$AU$1843,AU366,$BT$7:$BT$1843,"&lt;="&amp;BT366),"")</f>
        <v>5945.42124542125</v>
      </c>
      <c r="AW366" s="58" t="n">
        <f aca="false">IF(AV366="",0,MAX(0,MIN(1,(IF(CC366="L1",Parameter!$H$5,IF(CC366="L23",Parameter!$H$6+Parameter!$H$7,Parameter!$H$5+Parameter!$H$6+Parameter!$H$7))-(AV366-AR366))/AR366)))</f>
        <v>1</v>
      </c>
      <c r="AX366" s="50" t="n">
        <f aca="false">IF(LEFT(Cockpit!$O$5,1)="A",H366,IF(CE366=1,CF366,IF(LEFT(Cockpit!$O$5,1)="B",BC366,MAX(BC366,H366))))</f>
        <v>4</v>
      </c>
      <c r="AY366" s="50" t="n">
        <f aca="false">IF(BW366=1,0,ROUNDUP(AX366/BV366,0))</f>
        <v>1</v>
      </c>
      <c r="AZ366" s="52" t="n">
        <f aca="false">IF(CL366&gt;0,CL366*MAX(1,AX366/X366),IF(BW366=1,IF(AX366&lt;=0,0,CA366*MAX(1,IF(H366&gt;0,AX366/H366,1))),IF(R366&gt;0,AY366/R366,0))/MAX(0.1,N(Parameter!$M$21)))</f>
        <v>0.00357142857142857</v>
      </c>
      <c r="BA366" s="50" t="n">
        <f aca="false">AZ366*BY366</f>
        <v>0.553571428571429</v>
      </c>
      <c r="BB366" s="50" t="n">
        <f aca="false">AX366*G366</f>
        <v>152</v>
      </c>
      <c r="BC366" s="50" t="n">
        <f aca="false">ROUNDUP(MAX(J366/IF(CD366&gt;0,CD366,MAX(0.1,N(Cockpit!$O$6))),CG366)/BV366,0)*BV366</f>
        <v>4</v>
      </c>
      <c r="BD366" s="51" t="n">
        <f aca="false">IF(BA366&gt;0,J366/BA366,-1)</f>
        <v>3.61290322580645</v>
      </c>
      <c r="BE366" s="51" t="n">
        <f aca="false">IF(AND(OR(CC366="L1",CC366="L23",CC366="LIFT"),BA366&gt;0),SUMIFS($BA$7:$BA$1843,$CC$7:$CC$1843,CC366,$BD$7:$BD$1843,"&gt;"&amp;BD366)+SUMIFS($BA$7:$BA$1843,$CC$7:$CC$1843,CC366,$BD$7:$BD$1843,BD366,$BT$7:$BT$1843,"&lt;="&amp;BT366),"")</f>
        <v>5847.00778388278</v>
      </c>
      <c r="BF366" s="58" t="n">
        <f aca="false">IF(BE366="",0,MAX(0,MIN(1,(IF(CC366="L1",Parameter!$H$5,IF(CC366="L23",Parameter!$H$6+Parameter!$H$7,Parameter!$H$5+Parameter!$H$6+Parameter!$H$7))-(BE366-BA366))/BA366)))</f>
        <v>1</v>
      </c>
      <c r="BG366" s="48" t="str">
        <f aca="false">IF(AI366&lt;=0,"",IF(CC366="Aussen","Aussenlager",IF(CC366="-","Nicht im Lift",IF(AN366&gt;=1,"Lift",IF(AN366&lt;=0,"Aussenlager","teilweise")))))</f>
        <v>Lift</v>
      </c>
      <c r="BH366" s="48" t="str">
        <f aca="false">IF(AR366&lt;=0,"",IF(CC366="Aussen","Aussenlager",IF(CC366="-","Nicht im Lift",IF(AW366&gt;=1,"Lift",IF(AW366&lt;=0,"Aussenlager","teilweise")))))</f>
        <v>Lift</v>
      </c>
      <c r="BI366" s="48" t="str">
        <f aca="false">IF(BA366&lt;=0,"",IF(CC366="Aussen","Aussenlager",IF(CC366="-","Nicht im Lift",IF(BF366&gt;=1,"Lift",IF(BF366&lt;=0,"Aussenlager","teilweise")))))</f>
        <v>Lift</v>
      </c>
      <c r="BJ366" s="48" t="str">
        <f aca="false">IF(A366="","",IF(BS366=1,"Neu; ","")&amp;IF(AND(BS366=0,BN366&lt;0),"negativer Bestand (Export "&amp;BN366&amp;"); ","")&amp;IF(J366&lt;=0,"Kein Verbrauch; ","")&amp;IF(CL366&gt;0,"Lift "&amp;W366&amp;" lt. Liftbericht (Fach "&amp;X366&amp;" Stk); ",IF(BX366=1,"Gebinde geschätzt ("&amp;T366&amp;"); ",IF(BW366=1,"Lose – Tablare geschätzt; ","")))&amp;IF(H366&gt;AT366,"Überbestand "&amp;ROUND(H366-AT366,0)&amp;" Stk / CHF "&amp;ROUND((H366-AT366)*G366,0)&amp;"; ","")&amp;IF(AND(CE366=1,CF366&lt;CG366),"MAX &lt; MB+LG; ","")&amp;IF(AND(CK366&gt;0,CJ366*10&gt;CK366),"zu hoch für Tablar; ","")&amp;IF(AND(BS366=0,OR(CE366=1,AA366&lt;&gt;"",U366&lt;&gt;"",V366&lt;&gt;"",AB366&lt;&gt;"")),"manuell übersteuert; ","")&amp;IF(AND(BW366=0,R366=0),"Gebinde unbekannt / Stellmass fehlt; ","")&amp;IF(AND(BW366=0,N(V366)&lt;=0,N(Q366)&lt;=0),"Menge pro Gebinde fehlt (Ist = 1 Gebinde); ","")&amp;BR366)</f>
        <v/>
      </c>
      <c r="BK366" s="48"/>
      <c r="BL366" s="48"/>
      <c r="BM366" s="55"/>
      <c r="BN366" s="50" t="n">
        <v>4</v>
      </c>
      <c r="BO366" s="50" t="n">
        <v>0</v>
      </c>
      <c r="BP366" s="49" t="n">
        <v>152</v>
      </c>
      <c r="BQ366" s="50" t="n">
        <v>2</v>
      </c>
      <c r="BR366" s="48"/>
      <c r="BS366" s="53" t="n">
        <v>0</v>
      </c>
      <c r="BT366" s="53" t="n">
        <v>366</v>
      </c>
      <c r="BU366" s="48" t="str">
        <f aca="false">IF(U366&lt;&gt;"",UPPER(TRIM(U366)),IF(BX366=1,UPPER(VLOOKUP(T366,Parameter!$I$27:$K$29,2,0)),IF(P366="","LOSE",P366)))</f>
        <v>S21</v>
      </c>
      <c r="BV366" s="50" t="n">
        <f aca="false">IF(BU366="LOSE",1,IF(N(V366)&gt;0,V366,IF(BX366=1,MAX(1,N(VLOOKUP(T366,Parameter!$I$27:$K$29,3,0)),H366,N(N366)),IF(N(Q366)&gt;0,Q366,MAX(1,H366)))))</f>
        <v>4</v>
      </c>
      <c r="BW366" s="53" t="n">
        <f aca="false">IF(BU366="LOSE",1,0)</f>
        <v>0</v>
      </c>
      <c r="BX366" s="53" t="n">
        <f aca="false">IF(AND(U366="",OR(P366="",P366="LOSE"),T366&lt;&gt;"",N(S366)&lt;=0,ISNUMBER(MATCH(T366,Parameter!$I$27:$I$29,0))),1,0)</f>
        <v>0</v>
      </c>
      <c r="BY366" s="53" t="n">
        <f aca="false">IF(CL366&gt;0,INDEX(Parameter!$H$5:$H$7,W366)/INDEX(Parameter!$E$5:$E$7,W366),IF(AND(BW366=0,N(IFERROR(VLOOKUP(BU366,'Gebinde-Kategorie'!$A$5:$N$45,14,0),0))&gt;0),VLOOKUP(BU366,'Gebinde-Kategorie'!$A$5:$N$45,14,0)*10+Parameter!$M$23,Parameter!$M$24))</f>
        <v>155</v>
      </c>
      <c r="BZ366" s="48" t="str">
        <f aca="false">IF(AND(Parameter!$B$19="Ja",E366&lt;&gt;"",ISNUMBER(MATCH(E366,Parameter!$I$35:$I$52,0))),VLOOKUP(E366,Parameter!$I$35:$J$52,2,0),IFERROR(VLOOKUP(D366,Parameter!$A$35:$C$64,2,0),"Nein"))</f>
        <v>2+3</v>
      </c>
      <c r="CA366" s="52" t="n">
        <f aca="false">IF(BW366=0,0,IF(N(S366)&gt;0,S366,IFERROR(VLOOKUP(D366,Parameter!$A$35:$C$64,3,0)+0,0)))</f>
        <v>0</v>
      </c>
      <c r="CB366" s="48" t="n">
        <f aca="false">IF(AA366&lt;&gt;"",AA366,Z366)</f>
        <v>3</v>
      </c>
      <c r="CC366" s="48" t="str">
        <f aca="false">IF(OR(CB366=1,CB366=2,CB366=3),IF(Parameter!$E$27="Ja","LIFT",IF(CB366=1,"L1","L23")),IF(CB366="Aussen","Aussen","-"))</f>
        <v>LIFT</v>
      </c>
      <c r="CD366" s="59" t="n">
        <f aca="false">IF(N(AB366)&gt;0,AB366,0)</f>
        <v>0</v>
      </c>
      <c r="CE366" s="53" t="n">
        <f aca="false">IF(ISNUMBER(AE366),1,0)</f>
        <v>0</v>
      </c>
      <c r="CF366" s="50" t="n">
        <f aca="false">N(AE366)</f>
        <v>0</v>
      </c>
      <c r="CG366" s="50" t="n">
        <f aca="false">N(M366)+N(N366)</f>
        <v>1</v>
      </c>
      <c r="CH366" s="50" t="n">
        <f aca="false">ROUNDUP(H366/BV366,0)</f>
        <v>1</v>
      </c>
      <c r="CI366" s="50" t="n">
        <f aca="false">ROUNDUP(CF366/BV366,0)</f>
        <v>0</v>
      </c>
      <c r="CJ366" s="53" t="n">
        <f aca="false">IF(BW366=1,0,IFERROR(VLOOKUP(BU366,'Gebinde-Kategorie'!$A$5:$N$45,5,0)+0,0))</f>
        <v>8</v>
      </c>
      <c r="CK366" s="53" t="n">
        <f aca="false">IFERROR(IF(OR(CB366=1,CB366=2,CB366=3),N(INDEX(Parameter!$I$5:$I$7,CB366)),0),0)</f>
        <v>0</v>
      </c>
      <c r="CL366" s="52" t="n">
        <f aca="false">IF(AND(Parameter!$B$21="Ja",ISNUMBER(W366),N(X366)&gt;0),IFERROR(N(INDEX(Parameter!$L$5:$L$7,W366))*INDEX(Parameter!$E$5:$E$7,W366)*X366/SUMIFS($X$7:$X$1843,$W$7:$W$1843,W366),0),0)</f>
        <v>0</v>
      </c>
    </row>
    <row r="367" customFormat="false" ht="15" hidden="false" customHeight="false" outlineLevel="0" collapsed="false">
      <c r="A367" s="48" t="s">
        <v>886</v>
      </c>
      <c r="B367" s="48" t="s">
        <v>887</v>
      </c>
      <c r="C367" s="48" t="s">
        <v>168</v>
      </c>
      <c r="D367" s="48" t="s">
        <v>188</v>
      </c>
      <c r="E367" s="48" t="s">
        <v>189</v>
      </c>
      <c r="F367" s="48" t="s">
        <v>222</v>
      </c>
      <c r="G367" s="49" t="n">
        <v>49.23</v>
      </c>
      <c r="H367" s="50" t="n">
        <f aca="false">MAX(0,IF(AND(Parameter!$B$21="Ja",ISNUMBER(Y367)),Y367,IF(Parameter!$B$20="Jahresanfang 2025 + Export",BO367+BN367,BN367)))</f>
        <v>7</v>
      </c>
      <c r="I367" s="50" t="n">
        <f aca="false">H367*G367</f>
        <v>344.61</v>
      </c>
      <c r="J367" s="50" t="n">
        <f aca="false">BQ367*Parameter!$B$18</f>
        <v>1</v>
      </c>
      <c r="K367" s="51" t="n">
        <v>5</v>
      </c>
      <c r="L367" s="52" t="n">
        <v>0.2</v>
      </c>
      <c r="M367" s="50" t="n">
        <v>0</v>
      </c>
      <c r="N367" s="50" t="n">
        <v>1</v>
      </c>
      <c r="O367" s="53" t="n">
        <v>14</v>
      </c>
      <c r="P367" s="48" t="s">
        <v>237</v>
      </c>
      <c r="Q367" s="50" t="n">
        <v>10</v>
      </c>
      <c r="R367" s="53" t="n">
        <f aca="false">IF(BW367=1,0,IFERROR(VLOOKUP(BU367,'Gebinde-Kategorie'!$A$5:$N$45,13,0)+0,0))</f>
        <v>26</v>
      </c>
      <c r="S367" s="54"/>
      <c r="T367" s="55"/>
      <c r="U367" s="55"/>
      <c r="V367" s="55"/>
      <c r="W367" s="48"/>
      <c r="X367" s="50"/>
      <c r="Y367" s="50"/>
      <c r="Z367" s="48" t="n">
        <f aca="false">IF(A367="","",IF(AND(Parameter!$B$21="Ja",ISNUMBER(W367)),W367,IF(BZ367="2+3",IF(ISNUMBER(SEARCH("grosser Artikel",BR367)),2,IFERROR(VLOOKUP(BU367,Parameter!$F$35:$G$64,2,0),2)),IF(OR(BZ367="Nein",BZ367=""),"-",BZ367))))</f>
        <v>3</v>
      </c>
      <c r="AA367" s="55"/>
      <c r="AB367" s="56"/>
      <c r="AC367" s="50" t="n">
        <f aca="false">AT367</f>
        <v>10</v>
      </c>
      <c r="AD367" s="50" t="n">
        <f aca="false">MAX(AT367,H367)</f>
        <v>10</v>
      </c>
      <c r="AE367" s="57"/>
      <c r="AF367" s="50" t="n">
        <f aca="false">IF(LEFT(Cockpit!$C$5,1)="A",H367,IF(CE367=1,CF367,IF(LEFT(Cockpit!$C$5,1)="B",AK367,MAX(AK367,H367))))</f>
        <v>7</v>
      </c>
      <c r="AG367" s="50" t="n">
        <f aca="false">IF(BW367=1,0,ROUNDUP(AF367/BV367,0))</f>
        <v>1</v>
      </c>
      <c r="AH367" s="52" t="n">
        <f aca="false">IF(CL367&gt;0,CL367*MAX(1,AF367/X367),IF(BW367=1,IF(AF367&lt;=0,0,CA367*MAX(1,IF(H367&gt;0,AF367/H367,1))),IF(R367&gt;0,AG367/R367,0))/MAX(0.1,N(Parameter!$M$21)))</f>
        <v>0.0384615384615385</v>
      </c>
      <c r="AI367" s="50" t="n">
        <f aca="false">AH367*BY367</f>
        <v>9.42307692307692</v>
      </c>
      <c r="AJ367" s="50" t="n">
        <f aca="false">AF367*G367</f>
        <v>344.61</v>
      </c>
      <c r="AK367" s="50" t="n">
        <f aca="false">ROUNDUP(MAX(J367/IF(CD367&gt;0,CD367,MAX(0.1,N(Cockpit!$C$6))),CG367)/BV367,0)*BV367</f>
        <v>10</v>
      </c>
      <c r="AL367" s="51" t="n">
        <f aca="false">IF(AI367&gt;0,J367/AI367,-1)</f>
        <v>0.106122448979592</v>
      </c>
      <c r="AM367" s="51" t="n">
        <f aca="false">IF(AND(OR(CC367="L1",CC367="L23",CC367="LIFT"),AI367&gt;0),SUMIFS($AI$7:$AI$1843,$CC$7:$CC$1843,CC367,$AL$7:$AL$1843,"&gt;"&amp;AL367)+SUMIFS($AI$7:$AI$1843,$CC$7:$CC$1843,CC367,$AL$7:$AL$1843,AL367,$BT$7:$BT$1843,"&lt;="&amp;BT367),"")</f>
        <v>15304.6527777778</v>
      </c>
      <c r="AN367" s="58" t="n">
        <f aca="false">IF(AM367="",0,MAX(0,MIN(1,(IF(CC367="L1",Parameter!$H$5,IF(CC367="L23",Parameter!$H$6+Parameter!$H$7,Parameter!$H$5+Parameter!$H$6+Parameter!$H$7))-(AM367-AI367))/AI367)))</f>
        <v>1</v>
      </c>
      <c r="AO367" s="50" t="n">
        <f aca="false">IF(LEFT(Cockpit!$I$5,1)="A",H367,IF(CE367=1,CF367,IF(LEFT(Cockpit!$I$5,1)="B",AT367,MAX(AT367,H367))))</f>
        <v>10</v>
      </c>
      <c r="AP367" s="50" t="n">
        <f aca="false">IF(BW367=1,0,ROUNDUP(AO367/BV367,0))</f>
        <v>1</v>
      </c>
      <c r="AQ367" s="52" t="n">
        <f aca="false">IF(CL367&gt;0,CL367*MAX(1,AO367/X367),IF(BW367=1,IF(AO367&lt;=0,0,CA367*MAX(1,IF(H367&gt;0,AO367/H367,1))),IF(R367&gt;0,AP367/R367,0))/MAX(0.1,N(Parameter!$M$21)))</f>
        <v>0.0384615384615385</v>
      </c>
      <c r="AR367" s="50" t="n">
        <f aca="false">AQ367*BY367</f>
        <v>9.42307692307692</v>
      </c>
      <c r="AS367" s="50" t="n">
        <f aca="false">AO367*G367</f>
        <v>492.3</v>
      </c>
      <c r="AT367" s="50" t="n">
        <f aca="false">ROUNDUP(MAX(J367/IF(CD367&gt;0,CD367,MAX(0.1,N(Cockpit!$I$6))),CG367)/BV367,0)*BV367</f>
        <v>10</v>
      </c>
      <c r="AU367" s="51" t="n">
        <f aca="false">IF(AR367&gt;0,J367/AR367,-1)</f>
        <v>0.106122448979592</v>
      </c>
      <c r="AV367" s="51" t="n">
        <f aca="false">IF(AND(OR(CC367="L1",CC367="L23",CC367="LIFT"),AR367&gt;0),SUMIFS($AR$7:$AR$1843,$CC$7:$CC$1843,CC367,$AU$7:$AU$1843,"&gt;"&amp;AU367)+SUMIFS($AR$7:$AR$1843,$CC$7:$CC$1843,CC367,$AU$7:$AU$1843,AU367,$BT$7:$BT$1843,"&lt;="&amp;BT367),"")</f>
        <v>20358.853021978</v>
      </c>
      <c r="AW367" s="58" t="n">
        <f aca="false">IF(AV367="",0,MAX(0,MIN(1,(IF(CC367="L1",Parameter!$H$5,IF(CC367="L23",Parameter!$H$6+Parameter!$H$7,Parameter!$H$5+Parameter!$H$6+Parameter!$H$7))-(AV367-AR367))/AR367)))</f>
        <v>1</v>
      </c>
      <c r="AX367" s="50" t="n">
        <f aca="false">IF(LEFT(Cockpit!$O$5,1)="A",H367,IF(CE367=1,CF367,IF(LEFT(Cockpit!$O$5,1)="B",BC367,MAX(BC367,H367))))</f>
        <v>10</v>
      </c>
      <c r="AY367" s="50" t="n">
        <f aca="false">IF(BW367=1,0,ROUNDUP(AX367/BV367,0))</f>
        <v>1</v>
      </c>
      <c r="AZ367" s="52" t="n">
        <f aca="false">IF(CL367&gt;0,CL367*MAX(1,AX367/X367),IF(BW367=1,IF(AX367&lt;=0,0,CA367*MAX(1,IF(H367&gt;0,AX367/H367,1))),IF(R367&gt;0,AY367/R367,0))/MAX(0.1,N(Parameter!$M$21)))</f>
        <v>0.0384615384615385</v>
      </c>
      <c r="BA367" s="50" t="n">
        <f aca="false">AZ367*BY367</f>
        <v>9.42307692307692</v>
      </c>
      <c r="BB367" s="50" t="n">
        <f aca="false">AX367*G367</f>
        <v>492.3</v>
      </c>
      <c r="BC367" s="50" t="n">
        <f aca="false">ROUNDUP(MAX(J367/IF(CD367&gt;0,CD367,MAX(0.1,N(Cockpit!$O$6))),CG367)/BV367,0)*BV367</f>
        <v>10</v>
      </c>
      <c r="BD367" s="51" t="n">
        <f aca="false">IF(BA367&gt;0,J367/BA367,-1)</f>
        <v>0.106122448979592</v>
      </c>
      <c r="BE367" s="51" t="n">
        <f aca="false">IF(AND(OR(CC367="L1",CC367="L23",CC367="LIFT"),BA367&gt;0),SUMIFS($BA$7:$BA$1843,$CC$7:$CC$1843,CC367,$BD$7:$BD$1843,"&gt;"&amp;BD367)+SUMIFS($BA$7:$BA$1843,$CC$7:$CC$1843,CC367,$BD$7:$BD$1843,BD367,$BT$7:$BT$1843,"&lt;="&amp;BT367),"")</f>
        <v>20980.3951956706</v>
      </c>
      <c r="BF367" s="58" t="n">
        <f aca="false">IF(BE367="",0,MAX(0,MIN(1,(IF(CC367="L1",Parameter!$H$5,IF(CC367="L23",Parameter!$H$6+Parameter!$H$7,Parameter!$H$5+Parameter!$H$6+Parameter!$H$7))-(BE367-BA367))/BA367)))</f>
        <v>1</v>
      </c>
      <c r="BG367" s="48" t="str">
        <f aca="false">IF(AI367&lt;=0,"",IF(CC367="Aussen","Aussenlager",IF(CC367="-","Nicht im Lift",IF(AN367&gt;=1,"Lift",IF(AN367&lt;=0,"Aussenlager","teilweise")))))</f>
        <v>Lift</v>
      </c>
      <c r="BH367" s="48" t="str">
        <f aca="false">IF(AR367&lt;=0,"",IF(CC367="Aussen","Aussenlager",IF(CC367="-","Nicht im Lift",IF(AW367&gt;=1,"Lift",IF(AW367&lt;=0,"Aussenlager","teilweise")))))</f>
        <v>Lift</v>
      </c>
      <c r="BI367" s="48" t="str">
        <f aca="false">IF(BA367&lt;=0,"",IF(CC367="Aussen","Aussenlager",IF(CC367="-","Nicht im Lift",IF(BF367&gt;=1,"Lift",IF(BF367&lt;=0,"Aussenlager","teilweise")))))</f>
        <v>Lift</v>
      </c>
      <c r="BJ367" s="48" t="str">
        <f aca="false">IF(A367="","",IF(BS367=1,"Neu; ","")&amp;IF(AND(BS367=0,BN367&lt;0),"negativer Bestand (Export "&amp;BN367&amp;"); ","")&amp;IF(J367&lt;=0,"Kein Verbrauch; ","")&amp;IF(CL367&gt;0,"Lift "&amp;W367&amp;" lt. Liftbericht (Fach "&amp;X367&amp;" Stk); ",IF(BX367=1,"Gebinde geschätzt ("&amp;T367&amp;"); ",IF(BW367=1,"Lose – Tablare geschätzt; ","")))&amp;IF(H367&gt;AT367,"Überbestand "&amp;ROUND(H367-AT367,0)&amp;" Stk / CHF "&amp;ROUND((H367-AT367)*G367,0)&amp;"; ","")&amp;IF(AND(CE367=1,CF367&lt;CG367),"MAX &lt; MB+LG; ","")&amp;IF(AND(CK367&gt;0,CJ367*10&gt;CK367),"zu hoch für Tablar; ","")&amp;IF(AND(BS367=0,OR(CE367=1,AA367&lt;&gt;"",U367&lt;&gt;"",V367&lt;&gt;"",AB367&lt;&gt;"")),"manuell übersteuert; ","")&amp;IF(AND(BW367=0,R367=0),"Gebinde unbekannt / Stellmass fehlt; ","")&amp;IF(AND(BW367=0,N(V367)&lt;=0,N(Q367)&lt;=0),"Menge pro Gebinde fehlt (Ist = 1 Gebinde); ","")&amp;BR367)</f>
        <v/>
      </c>
      <c r="BK367" s="48"/>
      <c r="BL367" s="48"/>
      <c r="BM367" s="55"/>
      <c r="BN367" s="50" t="n">
        <v>3</v>
      </c>
      <c r="BO367" s="50" t="n">
        <v>4</v>
      </c>
      <c r="BP367" s="49" t="n">
        <v>151.81</v>
      </c>
      <c r="BQ367" s="50" t="n">
        <v>1</v>
      </c>
      <c r="BR367" s="48"/>
      <c r="BS367" s="53" t="n">
        <v>0</v>
      </c>
      <c r="BT367" s="53" t="n">
        <v>367</v>
      </c>
      <c r="BU367" s="48" t="str">
        <f aca="false">IF(U367&lt;&gt;"",UPPER(TRIM(U367)),IF(BX367=1,UPPER(VLOOKUP(T367,Parameter!$I$27:$K$29,2,0)),IF(P367="","LOSE",P367)))</f>
        <v>S52</v>
      </c>
      <c r="BV367" s="50" t="n">
        <f aca="false">IF(BU367="LOSE",1,IF(N(V367)&gt;0,V367,IF(BX367=1,MAX(1,N(VLOOKUP(T367,Parameter!$I$27:$K$29,3,0)),H367,N(N367)),IF(N(Q367)&gt;0,Q367,MAX(1,H367)))))</f>
        <v>10</v>
      </c>
      <c r="BW367" s="53" t="n">
        <f aca="false">IF(BU367="LOSE",1,0)</f>
        <v>0</v>
      </c>
      <c r="BX367" s="53" t="n">
        <f aca="false">IF(AND(U367="",OR(P367="",P367="LOSE"),T367&lt;&gt;"",N(S367)&lt;=0,ISNUMBER(MATCH(T367,Parameter!$I$27:$I$29,0))),1,0)</f>
        <v>0</v>
      </c>
      <c r="BY367" s="53" t="n">
        <f aca="false">IF(CL367&gt;0,INDEX(Parameter!$H$5:$H$7,W367)/INDEX(Parameter!$E$5:$E$7,W367),IF(AND(BW367=0,N(IFERROR(VLOOKUP(BU367,'Gebinde-Kategorie'!$A$5:$N$45,14,0),0))&gt;0),VLOOKUP(BU367,'Gebinde-Kategorie'!$A$5:$N$45,14,0)*10+Parameter!$M$23,Parameter!$M$24))</f>
        <v>245</v>
      </c>
      <c r="BZ367" s="48" t="str">
        <f aca="false">IF(AND(Parameter!$B$19="Ja",E367&lt;&gt;"",ISNUMBER(MATCH(E367,Parameter!$I$35:$I$52,0))),VLOOKUP(E367,Parameter!$I$35:$J$52,2,0),IFERROR(VLOOKUP(D367,Parameter!$A$35:$C$64,2,0),"Nein"))</f>
        <v>2+3</v>
      </c>
      <c r="CA367" s="52" t="n">
        <f aca="false">IF(BW367=0,0,IF(N(S367)&gt;0,S367,IFERROR(VLOOKUP(D367,Parameter!$A$35:$C$64,3,0)+0,0)))</f>
        <v>0</v>
      </c>
      <c r="CB367" s="48" t="n">
        <f aca="false">IF(AA367&lt;&gt;"",AA367,Z367)</f>
        <v>3</v>
      </c>
      <c r="CC367" s="48" t="str">
        <f aca="false">IF(OR(CB367=1,CB367=2,CB367=3),IF(Parameter!$E$27="Ja","LIFT",IF(CB367=1,"L1","L23")),IF(CB367="Aussen","Aussen","-"))</f>
        <v>LIFT</v>
      </c>
      <c r="CD367" s="59" t="n">
        <f aca="false">IF(N(AB367)&gt;0,AB367,0)</f>
        <v>0</v>
      </c>
      <c r="CE367" s="53" t="n">
        <f aca="false">IF(ISNUMBER(AE367),1,0)</f>
        <v>0</v>
      </c>
      <c r="CF367" s="50" t="n">
        <f aca="false">N(AE367)</f>
        <v>0</v>
      </c>
      <c r="CG367" s="50" t="n">
        <f aca="false">N(M367)+N(N367)</f>
        <v>1</v>
      </c>
      <c r="CH367" s="50" t="n">
        <f aca="false">ROUNDUP(H367/BV367,0)</f>
        <v>1</v>
      </c>
      <c r="CI367" s="50" t="n">
        <f aca="false">ROUNDUP(CF367/BV367,0)</f>
        <v>0</v>
      </c>
      <c r="CJ367" s="53" t="n">
        <f aca="false">IF(BW367=1,0,IFERROR(VLOOKUP(BU367,'Gebinde-Kategorie'!$A$5:$N$45,5,0)+0,0))</f>
        <v>21</v>
      </c>
      <c r="CK367" s="53" t="n">
        <f aca="false">IFERROR(IF(OR(CB367=1,CB367=2,CB367=3),N(INDEX(Parameter!$I$5:$I$7,CB367)),0),0)</f>
        <v>0</v>
      </c>
      <c r="CL367" s="52" t="n">
        <f aca="false">IF(AND(Parameter!$B$21="Ja",ISNUMBER(W367),N(X367)&gt;0),IFERROR(N(INDEX(Parameter!$L$5:$L$7,W367))*INDEX(Parameter!$E$5:$E$7,W367)*X367/SUMIFS($X$7:$X$1843,$W$7:$W$1843,W367),0),0)</f>
        <v>0</v>
      </c>
    </row>
    <row r="368" customFormat="false" ht="15" hidden="false" customHeight="false" outlineLevel="0" collapsed="false">
      <c r="A368" s="48" t="s">
        <v>888</v>
      </c>
      <c r="B368" s="48" t="s">
        <v>618</v>
      </c>
      <c r="C368" s="48" t="s">
        <v>168</v>
      </c>
      <c r="D368" s="48" t="s">
        <v>188</v>
      </c>
      <c r="E368" s="48" t="s">
        <v>189</v>
      </c>
      <c r="F368" s="48" t="s">
        <v>222</v>
      </c>
      <c r="G368" s="49" t="n">
        <v>3.89</v>
      </c>
      <c r="H368" s="50" t="n">
        <f aca="false">MAX(0,IF(AND(Parameter!$B$21="Ja",ISNUMBER(Y368)),Y368,IF(Parameter!$B$20="Jahresanfang 2025 + Export",BO368+BN368,BN368)))</f>
        <v>75</v>
      </c>
      <c r="I368" s="50" t="n">
        <f aca="false">H368*G368</f>
        <v>291.75</v>
      </c>
      <c r="J368" s="50" t="n">
        <f aca="false">BQ368*Parameter!$B$18</f>
        <v>21</v>
      </c>
      <c r="K368" s="51" t="n">
        <v>70.5</v>
      </c>
      <c r="L368" s="52" t="n">
        <v>0.297872340425532</v>
      </c>
      <c r="M368" s="50" t="n">
        <v>3</v>
      </c>
      <c r="N368" s="50" t="n">
        <v>20</v>
      </c>
      <c r="O368" s="53" t="n">
        <v>56</v>
      </c>
      <c r="P368" s="48" t="s">
        <v>405</v>
      </c>
      <c r="Q368" s="50" t="n">
        <v>69</v>
      </c>
      <c r="R368" s="53" t="n">
        <f aca="false">IF(BW368=1,0,IFERROR(VLOOKUP(BU368,'Gebinde-Kategorie'!$A$5:$N$45,13,0)+0,0))</f>
        <v>280</v>
      </c>
      <c r="S368" s="54"/>
      <c r="T368" s="55"/>
      <c r="U368" s="55"/>
      <c r="V368" s="55"/>
      <c r="W368" s="48"/>
      <c r="X368" s="50"/>
      <c r="Y368" s="50"/>
      <c r="Z368" s="48" t="n">
        <f aca="false">IF(A368="","",IF(AND(Parameter!$B$21="Ja",ISNUMBER(W368)),W368,IF(BZ368="2+3",IF(ISNUMBER(SEARCH("grosser Artikel",BR368)),2,IFERROR(VLOOKUP(BU368,Parameter!$F$35:$G$64,2,0),2)),IF(OR(BZ368="Nein",BZ368=""),"-",BZ368))))</f>
        <v>3</v>
      </c>
      <c r="AA368" s="55"/>
      <c r="AB368" s="56"/>
      <c r="AC368" s="50" t="n">
        <f aca="false">AT368</f>
        <v>69</v>
      </c>
      <c r="AD368" s="50" t="n">
        <f aca="false">MAX(AT368,H368)</f>
        <v>75</v>
      </c>
      <c r="AE368" s="57"/>
      <c r="AF368" s="50" t="n">
        <f aca="false">IF(LEFT(Cockpit!$C$5,1)="A",H368,IF(CE368=1,CF368,IF(LEFT(Cockpit!$C$5,1)="B",AK368,MAX(AK368,H368))))</f>
        <v>75</v>
      </c>
      <c r="AG368" s="50" t="n">
        <f aca="false">IF(BW368=1,0,ROUNDUP(AF368/BV368,0))</f>
        <v>2</v>
      </c>
      <c r="AH368" s="52" t="n">
        <f aca="false">IF(CL368&gt;0,CL368*MAX(1,AF368/X368),IF(BW368=1,IF(AF368&lt;=0,0,CA368*MAX(1,IF(H368&gt;0,AF368/H368,1))),IF(R368&gt;0,AG368/R368,0))/MAX(0.1,N(Parameter!$M$21)))</f>
        <v>0.00714285714285714</v>
      </c>
      <c r="AI368" s="50" t="n">
        <f aca="false">AH368*BY368</f>
        <v>1.10714285714286</v>
      </c>
      <c r="AJ368" s="50" t="n">
        <f aca="false">AF368*G368</f>
        <v>291.75</v>
      </c>
      <c r="AK368" s="50" t="n">
        <f aca="false">ROUNDUP(MAX(J368/IF(CD368&gt;0,CD368,MAX(0.1,N(Cockpit!$C$6))),CG368)/BV368,0)*BV368</f>
        <v>69</v>
      </c>
      <c r="AL368" s="51" t="n">
        <f aca="false">IF(AI368&gt;0,J368/AI368,-1)</f>
        <v>18.9677419354839</v>
      </c>
      <c r="AM368" s="51" t="n">
        <f aca="false">IF(AND(OR(CC368="L1",CC368="L23",CC368="LIFT"),AI368&gt;0),SUMIFS($AI$7:$AI$1843,$CC$7:$CC$1843,CC368,$AL$7:$AL$1843,"&gt;"&amp;AL368)+SUMIFS($AI$7:$AI$1843,$CC$7:$CC$1843,CC368,$AL$7:$AL$1843,AL368,$BT$7:$BT$1843,"&lt;="&amp;BT368),"")</f>
        <v>1747.50457875458</v>
      </c>
      <c r="AN368" s="58" t="n">
        <f aca="false">IF(AM368="",0,MAX(0,MIN(1,(IF(CC368="L1",Parameter!$H$5,IF(CC368="L23",Parameter!$H$6+Parameter!$H$7,Parameter!$H$5+Parameter!$H$6+Parameter!$H$7))-(AM368-AI368))/AI368)))</f>
        <v>1</v>
      </c>
      <c r="AO368" s="50" t="n">
        <f aca="false">IF(LEFT(Cockpit!$I$5,1)="A",H368,IF(CE368=1,CF368,IF(LEFT(Cockpit!$I$5,1)="B",AT368,MAX(AT368,H368))))</f>
        <v>75</v>
      </c>
      <c r="AP368" s="50" t="n">
        <f aca="false">IF(BW368=1,0,ROUNDUP(AO368/BV368,0))</f>
        <v>2</v>
      </c>
      <c r="AQ368" s="52" t="n">
        <f aca="false">IF(CL368&gt;0,CL368*MAX(1,AO368/X368),IF(BW368=1,IF(AO368&lt;=0,0,CA368*MAX(1,IF(H368&gt;0,AO368/H368,1))),IF(R368&gt;0,AP368/R368,0))/MAX(0.1,N(Parameter!$M$21)))</f>
        <v>0.00714285714285714</v>
      </c>
      <c r="AR368" s="50" t="n">
        <f aca="false">AQ368*BY368</f>
        <v>1.10714285714286</v>
      </c>
      <c r="AS368" s="50" t="n">
        <f aca="false">AO368*G368</f>
        <v>291.75</v>
      </c>
      <c r="AT368" s="50" t="n">
        <f aca="false">ROUNDUP(MAX(J368/IF(CD368&gt;0,CD368,MAX(0.1,N(Cockpit!$I$6))),CG368)/BV368,0)*BV368</f>
        <v>69</v>
      </c>
      <c r="AU368" s="51" t="n">
        <f aca="false">IF(AR368&gt;0,J368/AR368,-1)</f>
        <v>18.9677419354839</v>
      </c>
      <c r="AV368" s="51" t="n">
        <f aca="false">IF(AND(OR(CC368="L1",CC368="L23",CC368="LIFT"),AR368&gt;0),SUMIFS($AR$7:$AR$1843,$CC$7:$CC$1843,CC368,$AU$7:$AU$1843,"&gt;"&amp;AU368)+SUMIFS($AR$7:$AR$1843,$CC$7:$CC$1843,CC368,$AU$7:$AU$1843,AU368,$BT$7:$BT$1843,"&lt;="&amp;BT368),"")</f>
        <v>2639.71932234432</v>
      </c>
      <c r="AW368" s="58" t="n">
        <f aca="false">IF(AV368="",0,MAX(0,MIN(1,(IF(CC368="L1",Parameter!$H$5,IF(CC368="L23",Parameter!$H$6+Parameter!$H$7,Parameter!$H$5+Parameter!$H$6+Parameter!$H$7))-(AV368-AR368))/AR368)))</f>
        <v>1</v>
      </c>
      <c r="AX368" s="50" t="n">
        <f aca="false">IF(LEFT(Cockpit!$O$5,1)="A",H368,IF(CE368=1,CF368,IF(LEFT(Cockpit!$O$5,1)="B",BC368,MAX(BC368,H368))))</f>
        <v>75</v>
      </c>
      <c r="AY368" s="50" t="n">
        <f aca="false">IF(BW368=1,0,ROUNDUP(AX368/BV368,0))</f>
        <v>2</v>
      </c>
      <c r="AZ368" s="52" t="n">
        <f aca="false">IF(CL368&gt;0,CL368*MAX(1,AX368/X368),IF(BW368=1,IF(AX368&lt;=0,0,CA368*MAX(1,IF(H368&gt;0,AX368/H368,1))),IF(R368&gt;0,AY368/R368,0))/MAX(0.1,N(Parameter!$M$21)))</f>
        <v>0.00714285714285714</v>
      </c>
      <c r="BA368" s="50" t="n">
        <f aca="false">AZ368*BY368</f>
        <v>1.10714285714286</v>
      </c>
      <c r="BB368" s="50" t="n">
        <f aca="false">AX368*G368</f>
        <v>291.75</v>
      </c>
      <c r="BC368" s="50" t="n">
        <f aca="false">ROUNDUP(MAX(J368/IF(CD368&gt;0,CD368,MAX(0.1,N(Cockpit!$O$6))),CG368)/BV368,0)*BV368</f>
        <v>69</v>
      </c>
      <c r="BD368" s="51" t="n">
        <f aca="false">IF(BA368&gt;0,J368/BA368,-1)</f>
        <v>18.9677419354839</v>
      </c>
      <c r="BE368" s="51" t="n">
        <f aca="false">IF(AND(OR(CC368="L1",CC368="L23",CC368="LIFT"),BA368&gt;0),SUMIFS($BA$7:$BA$1843,$CC$7:$CC$1843,CC368,$BD$7:$BD$1843,"&gt;"&amp;BD368)+SUMIFS($BA$7:$BA$1843,$CC$7:$CC$1843,CC368,$BD$7:$BD$1843,BD368,$BT$7:$BT$1843,"&lt;="&amp;BT368),"")</f>
        <v>2459.15842490843</v>
      </c>
      <c r="BF368" s="58" t="n">
        <f aca="false">IF(BE368="",0,MAX(0,MIN(1,(IF(CC368="L1",Parameter!$H$5,IF(CC368="L23",Parameter!$H$6+Parameter!$H$7,Parameter!$H$5+Parameter!$H$6+Parameter!$H$7))-(BE368-BA368))/BA368)))</f>
        <v>1</v>
      </c>
      <c r="BG368" s="48" t="str">
        <f aca="false">IF(AI368&lt;=0,"",IF(CC368="Aussen","Aussenlager",IF(CC368="-","Nicht im Lift",IF(AN368&gt;=1,"Lift",IF(AN368&lt;=0,"Aussenlager","teilweise")))))</f>
        <v>Lift</v>
      </c>
      <c r="BH368" s="48" t="str">
        <f aca="false">IF(AR368&lt;=0,"",IF(CC368="Aussen","Aussenlager",IF(CC368="-","Nicht im Lift",IF(AW368&gt;=1,"Lift",IF(AW368&lt;=0,"Aussenlager","teilweise")))))</f>
        <v>Lift</v>
      </c>
      <c r="BI368" s="48" t="str">
        <f aca="false">IF(BA368&lt;=0,"",IF(CC368="Aussen","Aussenlager",IF(CC368="-","Nicht im Lift",IF(BF368&gt;=1,"Lift",IF(BF368&lt;=0,"Aussenlager","teilweise")))))</f>
        <v>Lift</v>
      </c>
      <c r="BJ368" s="48" t="str">
        <f aca="false">IF(A368="","",IF(BS368=1,"Neu; ","")&amp;IF(AND(BS368=0,BN368&lt;0),"negativer Bestand (Export "&amp;BN368&amp;"); ","")&amp;IF(J368&lt;=0,"Kein Verbrauch; ","")&amp;IF(CL368&gt;0,"Lift "&amp;W368&amp;" lt. Liftbericht (Fach "&amp;X368&amp;" Stk); ",IF(BX368=1,"Gebinde geschätzt ("&amp;T368&amp;"); ",IF(BW368=1,"Lose – Tablare geschätzt; ","")))&amp;IF(H368&gt;AT368,"Überbestand "&amp;ROUND(H368-AT368,0)&amp;" Stk / CHF "&amp;ROUND((H368-AT368)*G368,0)&amp;"; ","")&amp;IF(AND(CE368=1,CF368&lt;CG368),"MAX &lt; MB+LG; ","")&amp;IF(AND(CK368&gt;0,CJ368*10&gt;CK368),"zu hoch für Tablar; ","")&amp;IF(AND(BS368=0,OR(CE368=1,AA368&lt;&gt;"",U368&lt;&gt;"",V368&lt;&gt;"",AB368&lt;&gt;"")),"manuell übersteuert; ","")&amp;IF(AND(BW368=0,R368=0),"Gebinde unbekannt / Stellmass fehlt; ","")&amp;IF(AND(BW368=0,N(V368)&lt;=0,N(Q368)&lt;=0),"Menge pro Gebinde fehlt (Ist = 1 Gebinde); ","")&amp;BR368)</f>
        <v>Überbestand 6 Stk / CHF 23; </v>
      </c>
      <c r="BK368" s="48"/>
      <c r="BL368" s="48"/>
      <c r="BM368" s="55"/>
      <c r="BN368" s="50" t="n">
        <v>37</v>
      </c>
      <c r="BO368" s="50" t="n">
        <v>38</v>
      </c>
      <c r="BP368" s="49" t="n">
        <v>151.28</v>
      </c>
      <c r="BQ368" s="50" t="n">
        <v>21</v>
      </c>
      <c r="BR368" s="48"/>
      <c r="BS368" s="53" t="n">
        <v>0</v>
      </c>
      <c r="BT368" s="53" t="n">
        <v>368</v>
      </c>
      <c r="BU368" s="48" t="str">
        <f aca="false">IF(U368&lt;&gt;"",UPPER(TRIM(U368)),IF(BX368=1,UPPER(VLOOKUP(T368,Parameter!$I$27:$K$29,2,0)),IF(P368="","LOSE",P368)))</f>
        <v>S21</v>
      </c>
      <c r="BV368" s="50" t="n">
        <f aca="false">IF(BU368="LOSE",1,IF(N(V368)&gt;0,V368,IF(BX368=1,MAX(1,N(VLOOKUP(T368,Parameter!$I$27:$K$29,3,0)),H368,N(N368)),IF(N(Q368)&gt;0,Q368,MAX(1,H368)))))</f>
        <v>69</v>
      </c>
      <c r="BW368" s="53" t="n">
        <f aca="false">IF(BU368="LOSE",1,0)</f>
        <v>0</v>
      </c>
      <c r="BX368" s="53" t="n">
        <f aca="false">IF(AND(U368="",OR(P368="",P368="LOSE"),T368&lt;&gt;"",N(S368)&lt;=0,ISNUMBER(MATCH(T368,Parameter!$I$27:$I$29,0))),1,0)</f>
        <v>0</v>
      </c>
      <c r="BY368" s="53" t="n">
        <f aca="false">IF(CL368&gt;0,INDEX(Parameter!$H$5:$H$7,W368)/INDEX(Parameter!$E$5:$E$7,W368),IF(AND(BW368=0,N(IFERROR(VLOOKUP(BU368,'Gebinde-Kategorie'!$A$5:$N$45,14,0),0))&gt;0),VLOOKUP(BU368,'Gebinde-Kategorie'!$A$5:$N$45,14,0)*10+Parameter!$M$23,Parameter!$M$24))</f>
        <v>155</v>
      </c>
      <c r="BZ368" s="48" t="str">
        <f aca="false">IF(AND(Parameter!$B$19="Ja",E368&lt;&gt;"",ISNUMBER(MATCH(E368,Parameter!$I$35:$I$52,0))),VLOOKUP(E368,Parameter!$I$35:$J$52,2,0),IFERROR(VLOOKUP(D368,Parameter!$A$35:$C$64,2,0),"Nein"))</f>
        <v>2+3</v>
      </c>
      <c r="CA368" s="52" t="n">
        <f aca="false">IF(BW368=0,0,IF(N(S368)&gt;0,S368,IFERROR(VLOOKUP(D368,Parameter!$A$35:$C$64,3,0)+0,0)))</f>
        <v>0</v>
      </c>
      <c r="CB368" s="48" t="n">
        <f aca="false">IF(AA368&lt;&gt;"",AA368,Z368)</f>
        <v>3</v>
      </c>
      <c r="CC368" s="48" t="str">
        <f aca="false">IF(OR(CB368=1,CB368=2,CB368=3),IF(Parameter!$E$27="Ja","LIFT",IF(CB368=1,"L1","L23")),IF(CB368="Aussen","Aussen","-"))</f>
        <v>LIFT</v>
      </c>
      <c r="CD368" s="59" t="n">
        <f aca="false">IF(N(AB368)&gt;0,AB368,0)</f>
        <v>0</v>
      </c>
      <c r="CE368" s="53" t="n">
        <f aca="false">IF(ISNUMBER(AE368),1,0)</f>
        <v>0</v>
      </c>
      <c r="CF368" s="50" t="n">
        <f aca="false">N(AE368)</f>
        <v>0</v>
      </c>
      <c r="CG368" s="50" t="n">
        <f aca="false">N(M368)+N(N368)</f>
        <v>23</v>
      </c>
      <c r="CH368" s="50" t="n">
        <f aca="false">ROUNDUP(H368/BV368,0)</f>
        <v>2</v>
      </c>
      <c r="CI368" s="50" t="n">
        <f aca="false">ROUNDUP(CF368/BV368,0)</f>
        <v>0</v>
      </c>
      <c r="CJ368" s="53" t="n">
        <f aca="false">IF(BW368=1,0,IFERROR(VLOOKUP(BU368,'Gebinde-Kategorie'!$A$5:$N$45,5,0)+0,0))</f>
        <v>8</v>
      </c>
      <c r="CK368" s="53" t="n">
        <f aca="false">IFERROR(IF(OR(CB368=1,CB368=2,CB368=3),N(INDEX(Parameter!$I$5:$I$7,CB368)),0),0)</f>
        <v>0</v>
      </c>
      <c r="CL368" s="52" t="n">
        <f aca="false">IF(AND(Parameter!$B$21="Ja",ISNUMBER(W368),N(X368)&gt;0),IFERROR(N(INDEX(Parameter!$L$5:$L$7,W368))*INDEX(Parameter!$E$5:$E$7,W368)*X368/SUMIFS($X$7:$X$1843,$W$7:$W$1843,W368),0),0)</f>
        <v>0</v>
      </c>
    </row>
    <row r="369" customFormat="false" ht="15" hidden="false" customHeight="false" outlineLevel="0" collapsed="false">
      <c r="A369" s="48" t="s">
        <v>889</v>
      </c>
      <c r="B369" s="48" t="s">
        <v>890</v>
      </c>
      <c r="C369" s="48" t="s">
        <v>168</v>
      </c>
      <c r="D369" s="48" t="s">
        <v>188</v>
      </c>
      <c r="E369" s="48" t="s">
        <v>189</v>
      </c>
      <c r="F369" s="48" t="s">
        <v>222</v>
      </c>
      <c r="G369" s="49" t="n">
        <v>12.66</v>
      </c>
      <c r="H369" s="50" t="n">
        <f aca="false">MAX(0,IF(AND(Parameter!$B$21="Ja",ISNUMBER(Y369)),Y369,IF(Parameter!$B$20="Jahresanfang 2025 + Export",BO369+BN369,BN369)))</f>
        <v>14</v>
      </c>
      <c r="I369" s="50" t="n">
        <f aca="false">H369*G369</f>
        <v>177.24</v>
      </c>
      <c r="J369" s="50" t="n">
        <f aca="false">BQ369*Parameter!$B$18</f>
        <v>7</v>
      </c>
      <c r="K369" s="51" t="n">
        <v>3.5</v>
      </c>
      <c r="L369" s="52" t="n">
        <v>2</v>
      </c>
      <c r="M369" s="50" t="n">
        <v>0</v>
      </c>
      <c r="N369" s="50" t="n">
        <v>5</v>
      </c>
      <c r="O369" s="53" t="n">
        <v>18</v>
      </c>
      <c r="P369" s="48" t="s">
        <v>425</v>
      </c>
      <c r="Q369" s="50" t="n">
        <v>10</v>
      </c>
      <c r="R369" s="53" t="n">
        <f aca="false">IF(BW369=1,0,IFERROR(VLOOKUP(BU369,'Gebinde-Kategorie'!$A$5:$N$45,13,0)+0,0))</f>
        <v>104</v>
      </c>
      <c r="S369" s="54"/>
      <c r="T369" s="55"/>
      <c r="U369" s="55"/>
      <c r="V369" s="55"/>
      <c r="W369" s="48"/>
      <c r="X369" s="50"/>
      <c r="Y369" s="50"/>
      <c r="Z369" s="48" t="n">
        <f aca="false">IF(A369="","",IF(AND(Parameter!$B$21="Ja",ISNUMBER(W369)),W369,IF(BZ369="2+3",IF(ISNUMBER(SEARCH("grosser Artikel",BR369)),2,IFERROR(VLOOKUP(BU369,Parameter!$F$35:$G$64,2,0),2)),IF(OR(BZ369="Nein",BZ369=""),"-",BZ369))))</f>
        <v>3</v>
      </c>
      <c r="AA369" s="55"/>
      <c r="AB369" s="56"/>
      <c r="AC369" s="50" t="n">
        <f aca="false">AT369</f>
        <v>10</v>
      </c>
      <c r="AD369" s="50" t="n">
        <f aca="false">MAX(AT369,H369)</f>
        <v>14</v>
      </c>
      <c r="AE369" s="57"/>
      <c r="AF369" s="50" t="n">
        <f aca="false">IF(LEFT(Cockpit!$C$5,1)="A",H369,IF(CE369=1,CF369,IF(LEFT(Cockpit!$C$5,1)="B",AK369,MAX(AK369,H369))))</f>
        <v>14</v>
      </c>
      <c r="AG369" s="50" t="n">
        <f aca="false">IF(BW369=1,0,ROUNDUP(AF369/BV369,0))</f>
        <v>2</v>
      </c>
      <c r="AH369" s="52" t="n">
        <f aca="false">IF(CL369&gt;0,CL369*MAX(1,AF369/X369),IF(BW369=1,IF(AF369&lt;=0,0,CA369*MAX(1,IF(H369&gt;0,AF369/H369,1))),IF(R369&gt;0,AG369/R369,0))/MAX(0.1,N(Parameter!$M$21)))</f>
        <v>0.0192307692307692</v>
      </c>
      <c r="AI369" s="50" t="n">
        <f aca="false">AH369*BY369</f>
        <v>2.98076923076923</v>
      </c>
      <c r="AJ369" s="50" t="n">
        <f aca="false">AF369*G369</f>
        <v>177.24</v>
      </c>
      <c r="AK369" s="50" t="n">
        <f aca="false">ROUNDUP(MAX(J369/IF(CD369&gt;0,CD369,MAX(0.1,N(Cockpit!$C$6))),CG369)/BV369,0)*BV369</f>
        <v>10</v>
      </c>
      <c r="AL369" s="51" t="n">
        <f aca="false">IF(AI369&gt;0,J369/AI369,-1)</f>
        <v>2.34838709677419</v>
      </c>
      <c r="AM369" s="51" t="n">
        <f aca="false">IF(AND(OR(CC369="L1",CC369="L23",CC369="LIFT"),AI369&gt;0),SUMIFS($AI$7:$AI$1843,$CC$7:$CC$1843,CC369,$AL$7:$AL$1843,"&gt;"&amp;AL369)+SUMIFS($AI$7:$AI$1843,$CC$7:$CC$1843,CC369,$AL$7:$AL$1843,AL369,$BT$7:$BT$1843,"&lt;="&amp;BT369),"")</f>
        <v>5625.25686813187</v>
      </c>
      <c r="AN369" s="58" t="n">
        <f aca="false">IF(AM369="",0,MAX(0,MIN(1,(IF(CC369="L1",Parameter!$H$5,IF(CC369="L23",Parameter!$H$6+Parameter!$H$7,Parameter!$H$5+Parameter!$H$6+Parameter!$H$7))-(AM369-AI369))/AI369)))</f>
        <v>1</v>
      </c>
      <c r="AO369" s="50" t="n">
        <f aca="false">IF(LEFT(Cockpit!$I$5,1)="A",H369,IF(CE369=1,CF369,IF(LEFT(Cockpit!$I$5,1)="B",AT369,MAX(AT369,H369))))</f>
        <v>14</v>
      </c>
      <c r="AP369" s="50" t="n">
        <f aca="false">IF(BW369=1,0,ROUNDUP(AO369/BV369,0))</f>
        <v>2</v>
      </c>
      <c r="AQ369" s="52" t="n">
        <f aca="false">IF(CL369&gt;0,CL369*MAX(1,AO369/X369),IF(BW369=1,IF(AO369&lt;=0,0,CA369*MAX(1,IF(H369&gt;0,AO369/H369,1))),IF(R369&gt;0,AP369/R369,0))/MAX(0.1,N(Parameter!$M$21)))</f>
        <v>0.0192307692307692</v>
      </c>
      <c r="AR369" s="50" t="n">
        <f aca="false">AQ369*BY369</f>
        <v>2.98076923076923</v>
      </c>
      <c r="AS369" s="50" t="n">
        <f aca="false">AO369*G369</f>
        <v>177.24</v>
      </c>
      <c r="AT369" s="50" t="n">
        <f aca="false">ROUNDUP(MAX(J369/IF(CD369&gt;0,CD369,MAX(0.1,N(Cockpit!$I$6))),CG369)/BV369,0)*BV369</f>
        <v>10</v>
      </c>
      <c r="AU369" s="51" t="n">
        <f aca="false">IF(AR369&gt;0,J369/AR369,-1)</f>
        <v>2.34838709677419</v>
      </c>
      <c r="AV369" s="51" t="n">
        <f aca="false">IF(AND(OR(CC369="L1",CC369="L23",CC369="LIFT"),AR369&gt;0),SUMIFS($AR$7:$AR$1843,$CC$7:$CC$1843,CC369,$AU$7:$AU$1843,"&gt;"&amp;AU369)+SUMIFS($AR$7:$AR$1843,$CC$7:$CC$1843,CC369,$AU$7:$AU$1843,AU369,$BT$7:$BT$1843,"&lt;="&amp;BT369),"")</f>
        <v>6950.5260989011</v>
      </c>
      <c r="AW369" s="58" t="n">
        <f aca="false">IF(AV369="",0,MAX(0,MIN(1,(IF(CC369="L1",Parameter!$H$5,IF(CC369="L23",Parameter!$H$6+Parameter!$H$7,Parameter!$H$5+Parameter!$H$6+Parameter!$H$7))-(AV369-AR369))/AR369)))</f>
        <v>1</v>
      </c>
      <c r="AX369" s="50" t="n">
        <f aca="false">IF(LEFT(Cockpit!$O$5,1)="A",H369,IF(CE369=1,CF369,IF(LEFT(Cockpit!$O$5,1)="B",BC369,MAX(BC369,H369))))</f>
        <v>14</v>
      </c>
      <c r="AY369" s="50" t="n">
        <f aca="false">IF(BW369=1,0,ROUNDUP(AX369/BV369,0))</f>
        <v>2</v>
      </c>
      <c r="AZ369" s="52" t="n">
        <f aca="false">IF(CL369&gt;0,CL369*MAX(1,AX369/X369),IF(BW369=1,IF(AX369&lt;=0,0,CA369*MAX(1,IF(H369&gt;0,AX369/H369,1))),IF(R369&gt;0,AY369/R369,0))/MAX(0.1,N(Parameter!$M$21)))</f>
        <v>0.0192307692307692</v>
      </c>
      <c r="BA369" s="50" t="n">
        <f aca="false">AZ369*BY369</f>
        <v>2.98076923076923</v>
      </c>
      <c r="BB369" s="50" t="n">
        <f aca="false">AX369*G369</f>
        <v>177.24</v>
      </c>
      <c r="BC369" s="50" t="n">
        <f aca="false">ROUNDUP(MAX(J369/IF(CD369&gt;0,CD369,MAX(0.1,N(Cockpit!$O$6))),CG369)/BV369,0)*BV369</f>
        <v>10</v>
      </c>
      <c r="BD369" s="51" t="n">
        <f aca="false">IF(BA369&gt;0,J369/BA369,-1)</f>
        <v>2.34838709677419</v>
      </c>
      <c r="BE369" s="51" t="n">
        <f aca="false">IF(AND(OR(CC369="L1",CC369="L23",CC369="LIFT"),BA369&gt;0),SUMIFS($BA$7:$BA$1843,$CC$7:$CC$1843,CC369,$BD$7:$BD$1843,"&gt;"&amp;BD369)+SUMIFS($BA$7:$BA$1843,$CC$7:$CC$1843,CC369,$BD$7:$BD$1843,BD369,$BT$7:$BT$1843,"&lt;="&amp;BT369),"")</f>
        <v>6719.09981684982</v>
      </c>
      <c r="BF369" s="58" t="n">
        <f aca="false">IF(BE369="",0,MAX(0,MIN(1,(IF(CC369="L1",Parameter!$H$5,IF(CC369="L23",Parameter!$H$6+Parameter!$H$7,Parameter!$H$5+Parameter!$H$6+Parameter!$H$7))-(BE369-BA369))/BA369)))</f>
        <v>1</v>
      </c>
      <c r="BG369" s="48" t="str">
        <f aca="false">IF(AI369&lt;=0,"",IF(CC369="Aussen","Aussenlager",IF(CC369="-","Nicht im Lift",IF(AN369&gt;=1,"Lift",IF(AN369&lt;=0,"Aussenlager","teilweise")))))</f>
        <v>Lift</v>
      </c>
      <c r="BH369" s="48" t="str">
        <f aca="false">IF(AR369&lt;=0,"",IF(CC369="Aussen","Aussenlager",IF(CC369="-","Nicht im Lift",IF(AW369&gt;=1,"Lift",IF(AW369&lt;=0,"Aussenlager","teilweise")))))</f>
        <v>Lift</v>
      </c>
      <c r="BI369" s="48" t="str">
        <f aca="false">IF(BA369&lt;=0,"",IF(CC369="Aussen","Aussenlager",IF(CC369="-","Nicht im Lift",IF(BF369&gt;=1,"Lift",IF(BF369&lt;=0,"Aussenlager","teilweise")))))</f>
        <v>Lift</v>
      </c>
      <c r="BJ369" s="48" t="str">
        <f aca="false">IF(A369="","",IF(BS369=1,"Neu; ","")&amp;IF(AND(BS369=0,BN369&lt;0),"negativer Bestand (Export "&amp;BN369&amp;"); ","")&amp;IF(J369&lt;=0,"Kein Verbrauch; ","")&amp;IF(CL369&gt;0,"Lift "&amp;W369&amp;" lt. Liftbericht (Fach "&amp;X369&amp;" Stk); ",IF(BX369=1,"Gebinde geschätzt ("&amp;T369&amp;"); ",IF(BW369=1,"Lose – Tablare geschätzt; ","")))&amp;IF(H369&gt;AT369,"Überbestand "&amp;ROUND(H369-AT369,0)&amp;" Stk / CHF "&amp;ROUND((H369-AT369)*G369,0)&amp;"; ","")&amp;IF(AND(CE369=1,CF369&lt;CG369),"MAX &lt; MB+LG; ","")&amp;IF(AND(CK369&gt;0,CJ369*10&gt;CK369),"zu hoch für Tablar; ","")&amp;IF(AND(BS369=0,OR(CE369=1,AA369&lt;&gt;"",U369&lt;&gt;"",V369&lt;&gt;"",AB369&lt;&gt;"")),"manuell übersteuert; ","")&amp;IF(AND(BW369=0,R369=0),"Gebinde unbekannt / Stellmass fehlt; ","")&amp;IF(AND(BW369=0,N(V369)&lt;=0,N(Q369)&lt;=0),"Menge pro Gebinde fehlt (Ist = 1 Gebinde); ","")&amp;BR369)</f>
        <v>Überbestand 4 Stk / CHF 51; </v>
      </c>
      <c r="BK369" s="48"/>
      <c r="BL369" s="48"/>
      <c r="BM369" s="55"/>
      <c r="BN369" s="50" t="n">
        <v>12</v>
      </c>
      <c r="BO369" s="50" t="n">
        <v>2</v>
      </c>
      <c r="BP369" s="49" t="n">
        <v>151.28</v>
      </c>
      <c r="BQ369" s="50" t="n">
        <v>7</v>
      </c>
      <c r="BR369" s="48"/>
      <c r="BS369" s="53" t="n">
        <v>0</v>
      </c>
      <c r="BT369" s="53" t="n">
        <v>369</v>
      </c>
      <c r="BU369" s="48" t="str">
        <f aca="false">IF(U369&lt;&gt;"",UPPER(TRIM(U369)),IF(BX369=1,UPPER(VLOOKUP(T369,Parameter!$I$27:$K$29,2,0)),IF(P369="","LOSE",P369)))</f>
        <v>S32</v>
      </c>
      <c r="BV369" s="50" t="n">
        <f aca="false">IF(BU369="LOSE",1,IF(N(V369)&gt;0,V369,IF(BX369=1,MAX(1,N(VLOOKUP(T369,Parameter!$I$27:$K$29,3,0)),H369,N(N369)),IF(N(Q369)&gt;0,Q369,MAX(1,H369)))))</f>
        <v>10</v>
      </c>
      <c r="BW369" s="53" t="n">
        <f aca="false">IF(BU369="LOSE",1,0)</f>
        <v>0</v>
      </c>
      <c r="BX369" s="53" t="n">
        <f aca="false">IF(AND(U369="",OR(P369="",P369="LOSE"),T369&lt;&gt;"",N(S369)&lt;=0,ISNUMBER(MATCH(T369,Parameter!$I$27:$I$29,0))),1,0)</f>
        <v>0</v>
      </c>
      <c r="BY369" s="53" t="n">
        <f aca="false">IF(CL369&gt;0,INDEX(Parameter!$H$5:$H$7,W369)/INDEX(Parameter!$E$5:$E$7,W369),IF(AND(BW369=0,N(IFERROR(VLOOKUP(BU369,'Gebinde-Kategorie'!$A$5:$N$45,14,0),0))&gt;0),VLOOKUP(BU369,'Gebinde-Kategorie'!$A$5:$N$45,14,0)*10+Parameter!$M$23,Parameter!$M$24))</f>
        <v>155</v>
      </c>
      <c r="BZ369" s="48" t="str">
        <f aca="false">IF(AND(Parameter!$B$19="Ja",E369&lt;&gt;"",ISNUMBER(MATCH(E369,Parameter!$I$35:$I$52,0))),VLOOKUP(E369,Parameter!$I$35:$J$52,2,0),IFERROR(VLOOKUP(D369,Parameter!$A$35:$C$64,2,0),"Nein"))</f>
        <v>2+3</v>
      </c>
      <c r="CA369" s="52" t="n">
        <f aca="false">IF(BW369=0,0,IF(N(S369)&gt;0,S369,IFERROR(VLOOKUP(D369,Parameter!$A$35:$C$64,3,0)+0,0)))</f>
        <v>0</v>
      </c>
      <c r="CB369" s="48" t="n">
        <f aca="false">IF(AA369&lt;&gt;"",AA369,Z369)</f>
        <v>3</v>
      </c>
      <c r="CC369" s="48" t="str">
        <f aca="false">IF(OR(CB369=1,CB369=2,CB369=3),IF(Parameter!$E$27="Ja","LIFT",IF(CB369=1,"L1","L23")),IF(CB369="Aussen","Aussen","-"))</f>
        <v>LIFT</v>
      </c>
      <c r="CD369" s="59" t="n">
        <f aca="false">IF(N(AB369)&gt;0,AB369,0)</f>
        <v>0</v>
      </c>
      <c r="CE369" s="53" t="n">
        <f aca="false">IF(ISNUMBER(AE369),1,0)</f>
        <v>0</v>
      </c>
      <c r="CF369" s="50" t="n">
        <f aca="false">N(AE369)</f>
        <v>0</v>
      </c>
      <c r="CG369" s="50" t="n">
        <f aca="false">N(M369)+N(N369)</f>
        <v>5</v>
      </c>
      <c r="CH369" s="50" t="n">
        <f aca="false">ROUNDUP(H369/BV369,0)</f>
        <v>2</v>
      </c>
      <c r="CI369" s="50" t="n">
        <f aca="false">ROUNDUP(CF369/BV369,0)</f>
        <v>0</v>
      </c>
      <c r="CJ369" s="53" t="n">
        <f aca="false">IF(BW369=1,0,IFERROR(VLOOKUP(BU369,'Gebinde-Kategorie'!$A$5:$N$45,5,0)+0,0))</f>
        <v>8</v>
      </c>
      <c r="CK369" s="53" t="n">
        <f aca="false">IFERROR(IF(OR(CB369=1,CB369=2,CB369=3),N(INDEX(Parameter!$I$5:$I$7,CB369)),0),0)</f>
        <v>0</v>
      </c>
      <c r="CL369" s="52" t="n">
        <f aca="false">IF(AND(Parameter!$B$21="Ja",ISNUMBER(W369),N(X369)&gt;0),IFERROR(N(INDEX(Parameter!$L$5:$L$7,W369))*INDEX(Parameter!$E$5:$E$7,W369)*X369/SUMIFS($X$7:$X$1843,$W$7:$W$1843,W369),0),0)</f>
        <v>0</v>
      </c>
    </row>
    <row r="370" customFormat="false" ht="15" hidden="false" customHeight="false" outlineLevel="0" collapsed="false">
      <c r="A370" s="48" t="s">
        <v>891</v>
      </c>
      <c r="B370" s="48" t="s">
        <v>892</v>
      </c>
      <c r="C370" s="48" t="s">
        <v>168</v>
      </c>
      <c r="D370" s="48" t="s">
        <v>188</v>
      </c>
      <c r="E370" s="48"/>
      <c r="F370" s="48" t="s">
        <v>222</v>
      </c>
      <c r="G370" s="49" t="n">
        <v>7.44</v>
      </c>
      <c r="H370" s="50" t="n">
        <f aca="false">MAX(0,IF(AND(Parameter!$B$21="Ja",ISNUMBER(Y370)),Y370,IF(Parameter!$B$20="Jahresanfang 2025 + Export",BO370+BN370,BN370)))</f>
        <v>32</v>
      </c>
      <c r="I370" s="50" t="n">
        <f aca="false">H370*G370</f>
        <v>238.08</v>
      </c>
      <c r="J370" s="50" t="n">
        <f aca="false">BQ370*Parameter!$B$18</f>
        <v>0</v>
      </c>
      <c r="K370" s="51" t="n">
        <v>12</v>
      </c>
      <c r="L370" s="52" t="n">
        <v>0</v>
      </c>
      <c r="M370" s="50" t="n">
        <v>0</v>
      </c>
      <c r="N370" s="50" t="n">
        <v>1</v>
      </c>
      <c r="O370" s="53" t="n">
        <v>28</v>
      </c>
      <c r="P370" s="48" t="s">
        <v>172</v>
      </c>
      <c r="Q370" s="50"/>
      <c r="R370" s="53" t="n">
        <f aca="false">IF(BW370=1,0,IFERROR(VLOOKUP(BU370,'Gebinde-Kategorie'!$A$5:$N$45,13,0)+0,0))</f>
        <v>26</v>
      </c>
      <c r="S370" s="54"/>
      <c r="T370" s="55" t="s">
        <v>279</v>
      </c>
      <c r="U370" s="55"/>
      <c r="V370" s="55"/>
      <c r="W370" s="48"/>
      <c r="X370" s="50"/>
      <c r="Y370" s="50"/>
      <c r="Z370" s="48" t="n">
        <f aca="false">IF(A370="","",IF(AND(Parameter!$B$21="Ja",ISNUMBER(W370)),W370,IF(BZ370="2+3",IF(ISNUMBER(SEARCH("grosser Artikel",BR370)),2,IFERROR(VLOOKUP(BU370,Parameter!$F$35:$G$64,2,0),2)),IF(OR(BZ370="Nein",BZ370=""),"-",BZ370))))</f>
        <v>3</v>
      </c>
      <c r="AA370" s="55"/>
      <c r="AB370" s="56"/>
      <c r="AC370" s="50" t="n">
        <f aca="false">AT370</f>
        <v>32</v>
      </c>
      <c r="AD370" s="50" t="n">
        <f aca="false">MAX(AT370,H370)</f>
        <v>32</v>
      </c>
      <c r="AE370" s="57"/>
      <c r="AF370" s="50" t="n">
        <f aca="false">IF(LEFT(Cockpit!$C$5,1)="A",H370,IF(CE370=1,CF370,IF(LEFT(Cockpit!$C$5,1)="B",AK370,MAX(AK370,H370))))</f>
        <v>32</v>
      </c>
      <c r="AG370" s="50" t="n">
        <f aca="false">IF(BW370=1,0,ROUNDUP(AF370/BV370,0))</f>
        <v>1</v>
      </c>
      <c r="AH370" s="52" t="n">
        <f aca="false">IF(CL370&gt;0,CL370*MAX(1,AF370/X370),IF(BW370=1,IF(AF370&lt;=0,0,CA370*MAX(1,IF(H370&gt;0,AF370/H370,1))),IF(R370&gt;0,AG370/R370,0))/MAX(0.1,N(Parameter!$M$21)))</f>
        <v>0.0384615384615385</v>
      </c>
      <c r="AI370" s="50" t="n">
        <f aca="false">AH370*BY370</f>
        <v>5.96153846153846</v>
      </c>
      <c r="AJ370" s="50" t="n">
        <f aca="false">AF370*G370</f>
        <v>238.08</v>
      </c>
      <c r="AK370" s="50" t="n">
        <f aca="false">ROUNDUP(MAX(J370/IF(CD370&gt;0,CD370,MAX(0.1,N(Cockpit!$C$6))),CG370)/BV370,0)*BV370</f>
        <v>32</v>
      </c>
      <c r="AL370" s="51" t="n">
        <f aca="false">IF(AI370&gt;0,J370/AI370,-1)</f>
        <v>0</v>
      </c>
      <c r="AM370" s="51" t="n">
        <f aca="false">IF(AND(OR(CC370="L1",CC370="L23",CC370="LIFT"),AI370&gt;0),SUMIFS($AI$7:$AI$1843,$CC$7:$CC$1843,CC370,$AL$7:$AL$1843,"&gt;"&amp;AL370)+SUMIFS($AI$7:$AI$1843,$CC$7:$CC$1843,CC370,$AL$7:$AL$1843,AL370,$BT$7:$BT$1843,"&lt;="&amp;BT370),"")</f>
        <v>28038.0583183295</v>
      </c>
      <c r="AN370" s="58" t="n">
        <f aca="false">IF(AM370="",0,MAX(0,MIN(1,(IF(CC370="L1",Parameter!$H$5,IF(CC370="L23",Parameter!$H$6+Parameter!$H$7,Parameter!$H$5+Parameter!$H$6+Parameter!$H$7))-(AM370-AI370))/AI370)))</f>
        <v>1</v>
      </c>
      <c r="AO370" s="50" t="n">
        <f aca="false">IF(LEFT(Cockpit!$I$5,1)="A",H370,IF(CE370=1,CF370,IF(LEFT(Cockpit!$I$5,1)="B",AT370,MAX(AT370,H370))))</f>
        <v>32</v>
      </c>
      <c r="AP370" s="50" t="n">
        <f aca="false">IF(BW370=1,0,ROUNDUP(AO370/BV370,0))</f>
        <v>1</v>
      </c>
      <c r="AQ370" s="52" t="n">
        <f aca="false">IF(CL370&gt;0,CL370*MAX(1,AO370/X370),IF(BW370=1,IF(AO370&lt;=0,0,CA370*MAX(1,IF(H370&gt;0,AO370/H370,1))),IF(R370&gt;0,AP370/R370,0))/MAX(0.1,N(Parameter!$M$21)))</f>
        <v>0.0384615384615385</v>
      </c>
      <c r="AR370" s="50" t="n">
        <f aca="false">AQ370*BY370</f>
        <v>5.96153846153846</v>
      </c>
      <c r="AS370" s="50" t="n">
        <f aca="false">AO370*G370</f>
        <v>238.08</v>
      </c>
      <c r="AT370" s="50" t="n">
        <f aca="false">ROUNDUP(MAX(J370/IF(CD370&gt;0,CD370,MAX(0.1,N(Cockpit!$I$6))),CG370)/BV370,0)*BV370</f>
        <v>32</v>
      </c>
      <c r="AU370" s="51" t="n">
        <f aca="false">IF(AR370&gt;0,J370/AR370,-1)</f>
        <v>0</v>
      </c>
      <c r="AV370" s="51" t="n">
        <f aca="false">IF(AND(OR(CC370="L1",CC370="L23",CC370="LIFT"),AR370&gt;0),SUMIFS($AR$7:$AR$1843,$CC$7:$CC$1843,CC370,$AU$7:$AU$1843,"&gt;"&amp;AU370)+SUMIFS($AR$7:$AR$1843,$CC$7:$CC$1843,CC370,$AU$7:$AU$1843,AU370,$BT$7:$BT$1843,"&lt;="&amp;BT370),"")</f>
        <v>39350.9638355994</v>
      </c>
      <c r="AW370" s="58" t="n">
        <f aca="false">IF(AV370="",0,MAX(0,MIN(1,(IF(CC370="L1",Parameter!$H$5,IF(CC370="L23",Parameter!$H$6+Parameter!$H$7,Parameter!$H$5+Parameter!$H$6+Parameter!$H$7))-(AV370-AR370))/AR370)))</f>
        <v>0</v>
      </c>
      <c r="AX370" s="50" t="n">
        <f aca="false">IF(LEFT(Cockpit!$O$5,1)="A",H370,IF(CE370=1,CF370,IF(LEFT(Cockpit!$O$5,1)="B",BC370,MAX(BC370,H370))))</f>
        <v>32</v>
      </c>
      <c r="AY370" s="50" t="n">
        <f aca="false">IF(BW370=1,0,ROUNDUP(AX370/BV370,0))</f>
        <v>1</v>
      </c>
      <c r="AZ370" s="52" t="n">
        <f aca="false">IF(CL370&gt;0,CL370*MAX(1,AX370/X370),IF(BW370=1,IF(AX370&lt;=0,0,CA370*MAX(1,IF(H370&gt;0,AX370/H370,1))),IF(R370&gt;0,AY370/R370,0))/MAX(0.1,N(Parameter!$M$21)))</f>
        <v>0.0384615384615385</v>
      </c>
      <c r="BA370" s="50" t="n">
        <f aca="false">AZ370*BY370</f>
        <v>5.96153846153846</v>
      </c>
      <c r="BB370" s="50" t="n">
        <f aca="false">AX370*G370</f>
        <v>238.08</v>
      </c>
      <c r="BC370" s="50" t="n">
        <f aca="false">ROUNDUP(MAX(J370/IF(CD370&gt;0,CD370,MAX(0.1,N(Cockpit!$O$6))),CG370)/BV370,0)*BV370</f>
        <v>32</v>
      </c>
      <c r="BD370" s="51" t="n">
        <f aca="false">IF(BA370&gt;0,J370/BA370,-1)</f>
        <v>0</v>
      </c>
      <c r="BE370" s="51" t="n">
        <f aca="false">IF(AND(OR(CC370="L1",CC370="L23",CC370="LIFT"),BA370&gt;0),SUMIFS($BA$7:$BA$1843,$CC$7:$CC$1843,CC370,$BD$7:$BD$1843,"&gt;"&amp;BD370)+SUMIFS($BA$7:$BA$1843,$CC$7:$CC$1843,CC370,$BD$7:$BD$1843,BD370,$BT$7:$BT$1843,"&lt;="&amp;BT370),"")</f>
        <v>36025.9758774653</v>
      </c>
      <c r="BF370" s="58" t="n">
        <f aca="false">IF(BE370="",0,MAX(0,MIN(1,(IF(CC370="L1",Parameter!$H$5,IF(CC370="L23",Parameter!$H$6+Parameter!$H$7,Parameter!$H$5+Parameter!$H$6+Parameter!$H$7))-(BE370-BA370))/BA370)))</f>
        <v>0</v>
      </c>
      <c r="BG370" s="48" t="str">
        <f aca="false">IF(AI370&lt;=0,"",IF(CC370="Aussen","Aussenlager",IF(CC370="-","Nicht im Lift",IF(AN370&gt;=1,"Lift",IF(AN370&lt;=0,"Aussenlager","teilweise")))))</f>
        <v>Lift</v>
      </c>
      <c r="BH370" s="48" t="str">
        <f aca="false">IF(AR370&lt;=0,"",IF(CC370="Aussen","Aussenlager",IF(CC370="-","Nicht im Lift",IF(AW370&gt;=1,"Lift",IF(AW370&lt;=0,"Aussenlager","teilweise")))))</f>
        <v>Aussenlager</v>
      </c>
      <c r="BI370" s="48" t="str">
        <f aca="false">IF(BA370&lt;=0,"",IF(CC370="Aussen","Aussenlager",IF(CC370="-","Nicht im Lift",IF(BF370&gt;=1,"Lift",IF(BF370&lt;=0,"Aussenlager","teilweise")))))</f>
        <v>Aussenlager</v>
      </c>
      <c r="BJ370" s="48" t="str">
        <f aca="false">IF(A370="","",IF(BS370=1,"Neu; ","")&amp;IF(AND(BS370=0,BN370&lt;0),"negativer Bestand (Export "&amp;BN370&amp;"); ","")&amp;IF(J370&lt;=0,"Kein Verbrauch; ","")&amp;IF(CL370&gt;0,"Lift "&amp;W370&amp;" lt. Liftbericht (Fach "&amp;X370&amp;" Stk); ",IF(BX370=1,"Gebinde geschätzt ("&amp;T370&amp;"); ",IF(BW370=1,"Lose – Tablare geschätzt; ","")))&amp;IF(H370&gt;AT370,"Überbestand "&amp;ROUND(H370-AT370,0)&amp;" Stk / CHF "&amp;ROUND((H370-AT370)*G370,0)&amp;"; ","")&amp;IF(AND(CE370=1,CF370&lt;CG370),"MAX &lt; MB+LG; ","")&amp;IF(AND(CK370&gt;0,CJ370*10&gt;CK370),"zu hoch für Tablar; ","")&amp;IF(AND(BS370=0,OR(CE370=1,AA370&lt;&gt;"",U370&lt;&gt;"",V370&lt;&gt;"",AB370&lt;&gt;"")),"manuell übersteuert; ","")&amp;IF(AND(BW370=0,R370=0),"Gebinde unbekannt / Stellmass fehlt; ","")&amp;IF(AND(BW370=0,N(V370)&lt;=0,N(Q370)&lt;=0),"Menge pro Gebinde fehlt (Ist = 1 Gebinde); ","")&amp;BR370)</f>
        <v>Kein Verbrauch; Gebinde geschätzt (Klein); Menge pro Gebinde fehlt (Ist = 1 Gebinde); </v>
      </c>
      <c r="BK370" s="48"/>
      <c r="BL370" s="48"/>
      <c r="BM370" s="55"/>
      <c r="BN370" s="50" t="n">
        <v>20</v>
      </c>
      <c r="BO370" s="50" t="n">
        <v>12</v>
      </c>
      <c r="BP370" s="49" t="n">
        <v>148.8</v>
      </c>
      <c r="BQ370" s="50" t="n">
        <v>0</v>
      </c>
      <c r="BR370" s="48"/>
      <c r="BS370" s="53" t="n">
        <v>0</v>
      </c>
      <c r="BT370" s="53" t="n">
        <v>370</v>
      </c>
      <c r="BU370" s="48" t="str">
        <f aca="false">IF(U370&lt;&gt;"",UPPER(TRIM(U370)),IF(BX370=1,UPPER(VLOOKUP(T370,Parameter!$I$27:$K$29,2,0)),IF(P370="","LOSE",P370)))</f>
        <v>S51</v>
      </c>
      <c r="BV370" s="50" t="n">
        <f aca="false">IF(BU370="LOSE",1,IF(N(V370)&gt;0,V370,IF(BX370=1,MAX(1,N(VLOOKUP(T370,Parameter!$I$27:$K$29,3,0)),H370,N(N370)),IF(N(Q370)&gt;0,Q370,MAX(1,H370)))))</f>
        <v>32</v>
      </c>
      <c r="BW370" s="53" t="n">
        <f aca="false">IF(BU370="LOSE",1,0)</f>
        <v>0</v>
      </c>
      <c r="BX370" s="53" t="n">
        <f aca="false">IF(AND(U370="",OR(P370="",P370="LOSE"),T370&lt;&gt;"",N(S370)&lt;=0,ISNUMBER(MATCH(T370,Parameter!$I$27:$I$29,0))),1,0)</f>
        <v>1</v>
      </c>
      <c r="BY370" s="53" t="n">
        <f aca="false">IF(CL370&gt;0,INDEX(Parameter!$H$5:$H$7,W370)/INDEX(Parameter!$E$5:$E$7,W370),IF(AND(BW370=0,N(IFERROR(VLOOKUP(BU370,'Gebinde-Kategorie'!$A$5:$N$45,14,0),0))&gt;0),VLOOKUP(BU370,'Gebinde-Kategorie'!$A$5:$N$45,14,0)*10+Parameter!$M$23,Parameter!$M$24))</f>
        <v>155</v>
      </c>
      <c r="BZ370" s="48" t="str">
        <f aca="false">IF(AND(Parameter!$B$19="Ja",E370&lt;&gt;"",ISNUMBER(MATCH(E370,Parameter!$I$35:$I$52,0))),VLOOKUP(E370,Parameter!$I$35:$J$52,2,0),IFERROR(VLOOKUP(D370,Parameter!$A$35:$C$64,2,0),"Nein"))</f>
        <v>2+3</v>
      </c>
      <c r="CA370" s="52" t="n">
        <f aca="false">IF(BW370=0,0,IF(N(S370)&gt;0,S370,IFERROR(VLOOKUP(D370,Parameter!$A$35:$C$64,3,0)+0,0)))</f>
        <v>0</v>
      </c>
      <c r="CB370" s="48" t="n">
        <f aca="false">IF(AA370&lt;&gt;"",AA370,Z370)</f>
        <v>3</v>
      </c>
      <c r="CC370" s="48" t="str">
        <f aca="false">IF(OR(CB370=1,CB370=2,CB370=3),IF(Parameter!$E$27="Ja","LIFT",IF(CB370=1,"L1","L23")),IF(CB370="Aussen","Aussen","-"))</f>
        <v>LIFT</v>
      </c>
      <c r="CD370" s="59" t="n">
        <f aca="false">IF(N(AB370)&gt;0,AB370,0)</f>
        <v>0</v>
      </c>
      <c r="CE370" s="53" t="n">
        <f aca="false">IF(ISNUMBER(AE370),1,0)</f>
        <v>0</v>
      </c>
      <c r="CF370" s="50" t="n">
        <f aca="false">N(AE370)</f>
        <v>0</v>
      </c>
      <c r="CG370" s="50" t="n">
        <f aca="false">N(M370)+N(N370)</f>
        <v>1</v>
      </c>
      <c r="CH370" s="50" t="n">
        <f aca="false">ROUNDUP(H370/BV370,0)</f>
        <v>1</v>
      </c>
      <c r="CI370" s="50" t="n">
        <f aca="false">ROUNDUP(CF370/BV370,0)</f>
        <v>0</v>
      </c>
      <c r="CJ370" s="53" t="n">
        <f aca="false">IF(BW370=1,0,IFERROR(VLOOKUP(BU370,'Gebinde-Kategorie'!$A$5:$N$45,5,0)+0,0))</f>
        <v>11</v>
      </c>
      <c r="CK370" s="53" t="n">
        <f aca="false">IFERROR(IF(OR(CB370=1,CB370=2,CB370=3),N(INDEX(Parameter!$I$5:$I$7,CB370)),0),0)</f>
        <v>0</v>
      </c>
      <c r="CL370" s="52" t="n">
        <f aca="false">IF(AND(Parameter!$B$21="Ja",ISNUMBER(W370),N(X370)&gt;0),IFERROR(N(INDEX(Parameter!$L$5:$L$7,W370))*INDEX(Parameter!$E$5:$E$7,W370)*X370/SUMIFS($X$7:$X$1843,$W$7:$W$1843,W370),0),0)</f>
        <v>0</v>
      </c>
    </row>
    <row r="371" customFormat="false" ht="15" hidden="false" customHeight="false" outlineLevel="0" collapsed="false">
      <c r="A371" s="48" t="s">
        <v>893</v>
      </c>
      <c r="B371" s="48" t="s">
        <v>586</v>
      </c>
      <c r="C371" s="48" t="s">
        <v>168</v>
      </c>
      <c r="D371" s="48" t="s">
        <v>188</v>
      </c>
      <c r="E371" s="48" t="s">
        <v>189</v>
      </c>
      <c r="F371" s="48" t="s">
        <v>222</v>
      </c>
      <c r="G371" s="49" t="n">
        <v>28.04</v>
      </c>
      <c r="H371" s="50" t="n">
        <f aca="false">MAX(0,IF(AND(Parameter!$B$21="Ja",ISNUMBER(Y371)),Y371,IF(Parameter!$B$20="Jahresanfang 2025 + Export",BO371+BN371,BN371)))</f>
        <v>159</v>
      </c>
      <c r="I371" s="50" t="n">
        <f aca="false">H371*G371</f>
        <v>4458.36</v>
      </c>
      <c r="J371" s="50" t="n">
        <f aca="false">BQ371*Parameter!$B$18</f>
        <v>218</v>
      </c>
      <c r="K371" s="51" t="n">
        <v>130.5</v>
      </c>
      <c r="L371" s="52" t="n">
        <v>1.67049808429119</v>
      </c>
      <c r="M371" s="50" t="n">
        <v>55</v>
      </c>
      <c r="N371" s="50" t="n">
        <v>130</v>
      </c>
      <c r="O371" s="53" t="n">
        <v>84</v>
      </c>
      <c r="P371" s="48" t="s">
        <v>425</v>
      </c>
      <c r="Q371" s="50" t="n">
        <v>189</v>
      </c>
      <c r="R371" s="53" t="n">
        <f aca="false">IF(BW371=1,0,IFERROR(VLOOKUP(BU371,'Gebinde-Kategorie'!$A$5:$N$45,13,0)+0,0))</f>
        <v>104</v>
      </c>
      <c r="S371" s="54"/>
      <c r="T371" s="55"/>
      <c r="U371" s="55"/>
      <c r="V371" s="55"/>
      <c r="W371" s="48"/>
      <c r="X371" s="50"/>
      <c r="Y371" s="50"/>
      <c r="Z371" s="48" t="n">
        <f aca="false">IF(A371="","",IF(AND(Parameter!$B$21="Ja",ISNUMBER(W371)),W371,IF(BZ371="2+3",IF(ISNUMBER(SEARCH("grosser Artikel",BR371)),2,IFERROR(VLOOKUP(BU371,Parameter!$F$35:$G$64,2,0),2)),IF(OR(BZ371="Nein",BZ371=""),"-",BZ371))))</f>
        <v>3</v>
      </c>
      <c r="AA371" s="55"/>
      <c r="AB371" s="56"/>
      <c r="AC371" s="50" t="n">
        <f aca="false">AT371</f>
        <v>189</v>
      </c>
      <c r="AD371" s="50" t="n">
        <f aca="false">MAX(AT371,H371)</f>
        <v>189</v>
      </c>
      <c r="AE371" s="57"/>
      <c r="AF371" s="50" t="n">
        <f aca="false">IF(LEFT(Cockpit!$C$5,1)="A",H371,IF(CE371=1,CF371,IF(LEFT(Cockpit!$C$5,1)="B",AK371,MAX(AK371,H371))))</f>
        <v>159</v>
      </c>
      <c r="AG371" s="50" t="n">
        <f aca="false">IF(BW371=1,0,ROUNDUP(AF371/BV371,0))</f>
        <v>1</v>
      </c>
      <c r="AH371" s="52" t="n">
        <f aca="false">IF(CL371&gt;0,CL371*MAX(1,AF371/X371),IF(BW371=1,IF(AF371&lt;=0,0,CA371*MAX(1,IF(H371&gt;0,AF371/H371,1))),IF(R371&gt;0,AG371/R371,0))/MAX(0.1,N(Parameter!$M$21)))</f>
        <v>0.00961538461538462</v>
      </c>
      <c r="AI371" s="50" t="n">
        <f aca="false">AH371*BY371</f>
        <v>1.49038461538462</v>
      </c>
      <c r="AJ371" s="50" t="n">
        <f aca="false">AF371*G371</f>
        <v>4458.36</v>
      </c>
      <c r="AK371" s="50" t="n">
        <f aca="false">ROUNDUP(MAX(J371/IF(CD371&gt;0,CD371,MAX(0.1,N(Cockpit!$C$6))),CG371)/BV371,0)*BV371</f>
        <v>189</v>
      </c>
      <c r="AL371" s="51" t="n">
        <f aca="false">IF(AI371&gt;0,J371/AI371,-1)</f>
        <v>146.270967741936</v>
      </c>
      <c r="AM371" s="51" t="n">
        <f aca="false">IF(AND(OR(CC371="L1",CC371="L23",CC371="LIFT"),AI371&gt;0),SUMIFS($AI$7:$AI$1843,$CC$7:$CC$1843,CC371,$AL$7:$AL$1843,"&gt;"&amp;AL371)+SUMIFS($AI$7:$AI$1843,$CC$7:$CC$1843,CC371,$AL$7:$AL$1843,AL371,$BT$7:$BT$1843,"&lt;="&amp;BT371),"")</f>
        <v>496.367216117216</v>
      </c>
      <c r="AN371" s="58" t="n">
        <f aca="false">IF(AM371="",0,MAX(0,MIN(1,(IF(CC371="L1",Parameter!$H$5,IF(CC371="L23",Parameter!$H$6+Parameter!$H$7,Parameter!$H$5+Parameter!$H$6+Parameter!$H$7))-(AM371-AI371))/AI371)))</f>
        <v>1</v>
      </c>
      <c r="AO371" s="50" t="n">
        <f aca="false">IF(LEFT(Cockpit!$I$5,1)="A",H371,IF(CE371=1,CF371,IF(LEFT(Cockpit!$I$5,1)="B",AT371,MAX(AT371,H371))))</f>
        <v>189</v>
      </c>
      <c r="AP371" s="50" t="n">
        <f aca="false">IF(BW371=1,0,ROUNDUP(AO371/BV371,0))</f>
        <v>1</v>
      </c>
      <c r="AQ371" s="52" t="n">
        <f aca="false">IF(CL371&gt;0,CL371*MAX(1,AO371/X371),IF(BW371=1,IF(AO371&lt;=0,0,CA371*MAX(1,IF(H371&gt;0,AO371/H371,1))),IF(R371&gt;0,AP371/R371,0))/MAX(0.1,N(Parameter!$M$21)))</f>
        <v>0.00961538461538462</v>
      </c>
      <c r="AR371" s="50" t="n">
        <f aca="false">AQ371*BY371</f>
        <v>1.49038461538462</v>
      </c>
      <c r="AS371" s="50" t="n">
        <f aca="false">AO371*G371</f>
        <v>5299.56</v>
      </c>
      <c r="AT371" s="50" t="n">
        <f aca="false">ROUNDUP(MAX(J371/IF(CD371&gt;0,CD371,MAX(0.1,N(Cockpit!$I$6))),CG371)/BV371,0)*BV371</f>
        <v>189</v>
      </c>
      <c r="AU371" s="51" t="n">
        <f aca="false">IF(AR371&gt;0,J371/AR371,-1)</f>
        <v>146.270967741936</v>
      </c>
      <c r="AV371" s="51" t="n">
        <f aca="false">IF(AND(OR(CC371="L1",CC371="L23",CC371="LIFT"),AR371&gt;0),SUMIFS($AR$7:$AR$1843,$CC$7:$CC$1843,CC371,$AU$7:$AU$1843,"&gt;"&amp;AU371)+SUMIFS($AR$7:$AR$1843,$CC$7:$CC$1843,CC371,$AU$7:$AU$1843,AU371,$BT$7:$BT$1843,"&lt;="&amp;BT371),"")</f>
        <v>649.849358974359</v>
      </c>
      <c r="AW371" s="58" t="n">
        <f aca="false">IF(AV371="",0,MAX(0,MIN(1,(IF(CC371="L1",Parameter!$H$5,IF(CC371="L23",Parameter!$H$6+Parameter!$H$7,Parameter!$H$5+Parameter!$H$6+Parameter!$H$7))-(AV371-AR371))/AR371)))</f>
        <v>1</v>
      </c>
      <c r="AX371" s="50" t="n">
        <f aca="false">IF(LEFT(Cockpit!$O$5,1)="A",H371,IF(CE371=1,CF371,IF(LEFT(Cockpit!$O$5,1)="B",BC371,MAX(BC371,H371))))</f>
        <v>189</v>
      </c>
      <c r="AY371" s="50" t="n">
        <f aca="false">IF(BW371=1,0,ROUNDUP(AX371/BV371,0))</f>
        <v>1</v>
      </c>
      <c r="AZ371" s="52" t="n">
        <f aca="false">IF(CL371&gt;0,CL371*MAX(1,AX371/X371),IF(BW371=1,IF(AX371&lt;=0,0,CA371*MAX(1,IF(H371&gt;0,AX371/H371,1))),IF(R371&gt;0,AY371/R371,0))/MAX(0.1,N(Parameter!$M$21)))</f>
        <v>0.00961538461538462</v>
      </c>
      <c r="BA371" s="50" t="n">
        <f aca="false">AZ371*BY371</f>
        <v>1.49038461538462</v>
      </c>
      <c r="BB371" s="50" t="n">
        <f aca="false">AX371*G371</f>
        <v>5299.56</v>
      </c>
      <c r="BC371" s="50" t="n">
        <f aca="false">ROUNDUP(MAX(J371/IF(CD371&gt;0,CD371,MAX(0.1,N(Cockpit!$O$6))),CG371)/BV371,0)*BV371</f>
        <v>189</v>
      </c>
      <c r="BD371" s="51" t="n">
        <f aca="false">IF(BA371&gt;0,J371/BA371,-1)</f>
        <v>146.270967741936</v>
      </c>
      <c r="BE371" s="51" t="n">
        <f aca="false">IF(AND(OR(CC371="L1",CC371="L23",CC371="LIFT"),BA371&gt;0),SUMIFS($BA$7:$BA$1843,$CC$7:$CC$1843,CC371,$BD$7:$BD$1843,"&gt;"&amp;BD371)+SUMIFS($BA$7:$BA$1843,$CC$7:$CC$1843,CC371,$BD$7:$BD$1843,BD371,$BT$7:$BT$1843,"&lt;="&amp;BT371),"")</f>
        <v>594.288461538462</v>
      </c>
      <c r="BF371" s="58" t="n">
        <f aca="false">IF(BE371="",0,MAX(0,MIN(1,(IF(CC371="L1",Parameter!$H$5,IF(CC371="L23",Parameter!$H$6+Parameter!$H$7,Parameter!$H$5+Parameter!$H$6+Parameter!$H$7))-(BE371-BA371))/BA371)))</f>
        <v>1</v>
      </c>
      <c r="BG371" s="48" t="str">
        <f aca="false">IF(AI371&lt;=0,"",IF(CC371="Aussen","Aussenlager",IF(CC371="-","Nicht im Lift",IF(AN371&gt;=1,"Lift",IF(AN371&lt;=0,"Aussenlager","teilweise")))))</f>
        <v>Lift</v>
      </c>
      <c r="BH371" s="48" t="str">
        <f aca="false">IF(AR371&lt;=0,"",IF(CC371="Aussen","Aussenlager",IF(CC371="-","Nicht im Lift",IF(AW371&gt;=1,"Lift",IF(AW371&lt;=0,"Aussenlager","teilweise")))))</f>
        <v>Lift</v>
      </c>
      <c r="BI371" s="48" t="str">
        <f aca="false">IF(BA371&lt;=0,"",IF(CC371="Aussen","Aussenlager",IF(CC371="-","Nicht im Lift",IF(BF371&gt;=1,"Lift",IF(BF371&lt;=0,"Aussenlager","teilweise")))))</f>
        <v>Lift</v>
      </c>
      <c r="BJ371" s="48" t="str">
        <f aca="false">IF(A371="","",IF(BS371=1,"Neu; ","")&amp;IF(AND(BS371=0,BN371&lt;0),"negativer Bestand (Export "&amp;BN371&amp;"); ","")&amp;IF(J371&lt;=0,"Kein Verbrauch; ","")&amp;IF(CL371&gt;0,"Lift "&amp;W371&amp;" lt. Liftbericht (Fach "&amp;X371&amp;" Stk); ",IF(BX371=1,"Gebinde geschätzt ("&amp;T371&amp;"); ",IF(BW371=1,"Lose – Tablare geschätzt; ","")))&amp;IF(H371&gt;AT371,"Überbestand "&amp;ROUND(H371-AT371,0)&amp;" Stk / CHF "&amp;ROUND((H371-AT371)*G371,0)&amp;"; ","")&amp;IF(AND(CE371=1,CF371&lt;CG371),"MAX &lt; MB+LG; ","")&amp;IF(AND(CK371&gt;0,CJ371*10&gt;CK371),"zu hoch für Tablar; ","")&amp;IF(AND(BS371=0,OR(CE371=1,AA371&lt;&gt;"",U371&lt;&gt;"",V371&lt;&gt;"",AB371&lt;&gt;"")),"manuell übersteuert; ","")&amp;IF(AND(BW371=0,R371=0),"Gebinde unbekannt / Stellmass fehlt; ","")&amp;IF(AND(BW371=0,N(V371)&lt;=0,N(Q371)&lt;=0),"Menge pro Gebinde fehlt (Ist = 1 Gebinde); ","")&amp;BR371)</f>
        <v>negativer Bestand (Export -20); </v>
      </c>
      <c r="BK371" s="48"/>
      <c r="BL371" s="48"/>
      <c r="BM371" s="55"/>
      <c r="BN371" s="50" t="n">
        <v>-20</v>
      </c>
      <c r="BO371" s="50" t="n">
        <v>179</v>
      </c>
      <c r="BP371" s="49" t="n">
        <v>148.479999999999</v>
      </c>
      <c r="BQ371" s="50" t="n">
        <v>218</v>
      </c>
      <c r="BR371" s="48"/>
      <c r="BS371" s="53" t="n">
        <v>0</v>
      </c>
      <c r="BT371" s="53" t="n">
        <v>371</v>
      </c>
      <c r="BU371" s="48" t="str">
        <f aca="false">IF(U371&lt;&gt;"",UPPER(TRIM(U371)),IF(BX371=1,UPPER(VLOOKUP(T371,Parameter!$I$27:$K$29,2,0)),IF(P371="","LOSE",P371)))</f>
        <v>S32</v>
      </c>
      <c r="BV371" s="50" t="n">
        <f aca="false">IF(BU371="LOSE",1,IF(N(V371)&gt;0,V371,IF(BX371=1,MAX(1,N(VLOOKUP(T371,Parameter!$I$27:$K$29,3,0)),H371,N(N371)),IF(N(Q371)&gt;0,Q371,MAX(1,H371)))))</f>
        <v>189</v>
      </c>
      <c r="BW371" s="53" t="n">
        <f aca="false">IF(BU371="LOSE",1,0)</f>
        <v>0</v>
      </c>
      <c r="BX371" s="53" t="n">
        <f aca="false">IF(AND(U371="",OR(P371="",P371="LOSE"),T371&lt;&gt;"",N(S371)&lt;=0,ISNUMBER(MATCH(T371,Parameter!$I$27:$I$29,0))),1,0)</f>
        <v>0</v>
      </c>
      <c r="BY371" s="53" t="n">
        <f aca="false">IF(CL371&gt;0,INDEX(Parameter!$H$5:$H$7,W371)/INDEX(Parameter!$E$5:$E$7,W371),IF(AND(BW371=0,N(IFERROR(VLOOKUP(BU371,'Gebinde-Kategorie'!$A$5:$N$45,14,0),0))&gt;0),VLOOKUP(BU371,'Gebinde-Kategorie'!$A$5:$N$45,14,0)*10+Parameter!$M$23,Parameter!$M$24))</f>
        <v>155</v>
      </c>
      <c r="BZ371" s="48" t="str">
        <f aca="false">IF(AND(Parameter!$B$19="Ja",E371&lt;&gt;"",ISNUMBER(MATCH(E371,Parameter!$I$35:$I$52,0))),VLOOKUP(E371,Parameter!$I$35:$J$52,2,0),IFERROR(VLOOKUP(D371,Parameter!$A$35:$C$64,2,0),"Nein"))</f>
        <v>2+3</v>
      </c>
      <c r="CA371" s="52" t="n">
        <f aca="false">IF(BW371=0,0,IF(N(S371)&gt;0,S371,IFERROR(VLOOKUP(D371,Parameter!$A$35:$C$64,3,0)+0,0)))</f>
        <v>0</v>
      </c>
      <c r="CB371" s="48" t="n">
        <f aca="false">IF(AA371&lt;&gt;"",AA371,Z371)</f>
        <v>3</v>
      </c>
      <c r="CC371" s="48" t="str">
        <f aca="false">IF(OR(CB371=1,CB371=2,CB371=3),IF(Parameter!$E$27="Ja","LIFT",IF(CB371=1,"L1","L23")),IF(CB371="Aussen","Aussen","-"))</f>
        <v>LIFT</v>
      </c>
      <c r="CD371" s="59" t="n">
        <f aca="false">IF(N(AB371)&gt;0,AB371,0)</f>
        <v>0</v>
      </c>
      <c r="CE371" s="53" t="n">
        <f aca="false">IF(ISNUMBER(AE371),1,0)</f>
        <v>0</v>
      </c>
      <c r="CF371" s="50" t="n">
        <f aca="false">N(AE371)</f>
        <v>0</v>
      </c>
      <c r="CG371" s="50" t="n">
        <f aca="false">N(M371)+N(N371)</f>
        <v>185</v>
      </c>
      <c r="CH371" s="50" t="n">
        <f aca="false">ROUNDUP(H371/BV371,0)</f>
        <v>1</v>
      </c>
      <c r="CI371" s="50" t="n">
        <f aca="false">ROUNDUP(CF371/BV371,0)</f>
        <v>0</v>
      </c>
      <c r="CJ371" s="53" t="n">
        <f aca="false">IF(BW371=1,0,IFERROR(VLOOKUP(BU371,'Gebinde-Kategorie'!$A$5:$N$45,5,0)+0,0))</f>
        <v>8</v>
      </c>
      <c r="CK371" s="53" t="n">
        <f aca="false">IFERROR(IF(OR(CB371=1,CB371=2,CB371=3),N(INDEX(Parameter!$I$5:$I$7,CB371)),0),0)</f>
        <v>0</v>
      </c>
      <c r="CL371" s="52" t="n">
        <f aca="false">IF(AND(Parameter!$B$21="Ja",ISNUMBER(W371),N(X371)&gt;0),IFERROR(N(INDEX(Parameter!$L$5:$L$7,W371))*INDEX(Parameter!$E$5:$E$7,W371)*X371/SUMIFS($X$7:$X$1843,$W$7:$W$1843,W371),0),0)</f>
        <v>0</v>
      </c>
    </row>
    <row r="372" customFormat="false" ht="15" hidden="false" customHeight="false" outlineLevel="0" collapsed="false">
      <c r="A372" s="48" t="s">
        <v>894</v>
      </c>
      <c r="B372" s="48" t="s">
        <v>409</v>
      </c>
      <c r="C372" s="48" t="s">
        <v>168</v>
      </c>
      <c r="D372" s="48" t="s">
        <v>188</v>
      </c>
      <c r="E372" s="48" t="s">
        <v>189</v>
      </c>
      <c r="F372" s="48" t="s">
        <v>222</v>
      </c>
      <c r="G372" s="49" t="n">
        <v>0.22</v>
      </c>
      <c r="H372" s="50" t="n">
        <f aca="false">MAX(0,IF(AND(Parameter!$B$21="Ja",ISNUMBER(Y372)),Y372,IF(Parameter!$B$20="Jahresanfang 2025 + Export",BO372+BN372,BN372)))</f>
        <v>1149</v>
      </c>
      <c r="I372" s="50" t="n">
        <f aca="false">H372*G372</f>
        <v>252.78</v>
      </c>
      <c r="J372" s="50" t="n">
        <f aca="false">BQ372*Parameter!$B$18</f>
        <v>1248</v>
      </c>
      <c r="K372" s="51" t="n">
        <v>405</v>
      </c>
      <c r="L372" s="52" t="n">
        <v>3.08148148148148</v>
      </c>
      <c r="M372" s="50" t="n">
        <v>72</v>
      </c>
      <c r="N372" s="50" t="n">
        <v>1300</v>
      </c>
      <c r="O372" s="53" t="n">
        <v>21</v>
      </c>
      <c r="P372" s="48" t="s">
        <v>306</v>
      </c>
      <c r="Q372" s="50" t="n">
        <v>496</v>
      </c>
      <c r="R372" s="53" t="n">
        <f aca="false">IF(BW372=1,0,IFERROR(VLOOKUP(BU372,'Gebinde-Kategorie'!$A$5:$N$45,13,0)+0,0))</f>
        <v>26</v>
      </c>
      <c r="S372" s="54"/>
      <c r="T372" s="55"/>
      <c r="U372" s="55"/>
      <c r="V372" s="55"/>
      <c r="W372" s="48"/>
      <c r="X372" s="50"/>
      <c r="Y372" s="50"/>
      <c r="Z372" s="48" t="n">
        <f aca="false">IF(A372="","",IF(AND(Parameter!$B$21="Ja",ISNUMBER(W372)),W372,IF(BZ372="2+3",IF(ISNUMBER(SEARCH("grosser Artikel",BR372)),2,IFERROR(VLOOKUP(BU372,Parameter!$F$35:$G$64,2,0),2)),IF(OR(BZ372="Nein",BZ372=""),"-",BZ372))))</f>
        <v>3</v>
      </c>
      <c r="AA372" s="55"/>
      <c r="AB372" s="56"/>
      <c r="AC372" s="50" t="n">
        <f aca="false">AT372</f>
        <v>1488</v>
      </c>
      <c r="AD372" s="50" t="n">
        <f aca="false">MAX(AT372,H372)</f>
        <v>1488</v>
      </c>
      <c r="AE372" s="57"/>
      <c r="AF372" s="50" t="n">
        <f aca="false">IF(LEFT(Cockpit!$C$5,1)="A",H372,IF(CE372=1,CF372,IF(LEFT(Cockpit!$C$5,1)="B",AK372,MAX(AK372,H372))))</f>
        <v>1149</v>
      </c>
      <c r="AG372" s="50" t="n">
        <f aca="false">IF(BW372=1,0,ROUNDUP(AF372/BV372,0))</f>
        <v>3</v>
      </c>
      <c r="AH372" s="52" t="n">
        <f aca="false">IF(CL372&gt;0,CL372*MAX(1,AF372/X372),IF(BW372=1,IF(AF372&lt;=0,0,CA372*MAX(1,IF(H372&gt;0,AF372/H372,1))),IF(R372&gt;0,AG372/R372,0))/MAX(0.1,N(Parameter!$M$21)))</f>
        <v>0.115384615384615</v>
      </c>
      <c r="AI372" s="50" t="n">
        <f aca="false">AH372*BY372</f>
        <v>17.8846153846154</v>
      </c>
      <c r="AJ372" s="50" t="n">
        <f aca="false">AF372*G372</f>
        <v>252.78</v>
      </c>
      <c r="AK372" s="50" t="n">
        <f aca="false">ROUNDUP(MAX(J372/IF(CD372&gt;0,CD372,MAX(0.1,N(Cockpit!$C$6))),CG372)/BV372,0)*BV372</f>
        <v>1488</v>
      </c>
      <c r="AL372" s="51" t="n">
        <f aca="false">IF(AI372&gt;0,J372/AI372,-1)</f>
        <v>69.7806451612903</v>
      </c>
      <c r="AM372" s="51" t="n">
        <f aca="false">IF(AND(OR(CC372="L1",CC372="L23",CC372="LIFT"),AI372&gt;0),SUMIFS($AI$7:$AI$1843,$CC$7:$CC$1843,CC372,$AL$7:$AL$1843,"&gt;"&amp;AL372)+SUMIFS($AI$7:$AI$1843,$CC$7:$CC$1843,CC372,$AL$7:$AL$1843,AL372,$BT$7:$BT$1843,"&lt;="&amp;BT372),"")</f>
        <v>910.34478021978</v>
      </c>
      <c r="AN372" s="58" t="n">
        <f aca="false">IF(AM372="",0,MAX(0,MIN(1,(IF(CC372="L1",Parameter!$H$5,IF(CC372="L23",Parameter!$H$6+Parameter!$H$7,Parameter!$H$5+Parameter!$H$6+Parameter!$H$7))-(AM372-AI372))/AI372)))</f>
        <v>1</v>
      </c>
      <c r="AO372" s="50" t="n">
        <f aca="false">IF(LEFT(Cockpit!$I$5,1)="A",H372,IF(CE372=1,CF372,IF(LEFT(Cockpit!$I$5,1)="B",AT372,MAX(AT372,H372))))</f>
        <v>1488</v>
      </c>
      <c r="AP372" s="50" t="n">
        <f aca="false">IF(BW372=1,0,ROUNDUP(AO372/BV372,0))</f>
        <v>3</v>
      </c>
      <c r="AQ372" s="52" t="n">
        <f aca="false">IF(CL372&gt;0,CL372*MAX(1,AO372/X372),IF(BW372=1,IF(AO372&lt;=0,0,CA372*MAX(1,IF(H372&gt;0,AO372/H372,1))),IF(R372&gt;0,AP372/R372,0))/MAX(0.1,N(Parameter!$M$21)))</f>
        <v>0.115384615384615</v>
      </c>
      <c r="AR372" s="50" t="n">
        <f aca="false">AQ372*BY372</f>
        <v>17.8846153846154</v>
      </c>
      <c r="AS372" s="50" t="n">
        <f aca="false">AO372*G372</f>
        <v>327.36</v>
      </c>
      <c r="AT372" s="50" t="n">
        <f aca="false">ROUNDUP(MAX(J372/IF(CD372&gt;0,CD372,MAX(0.1,N(Cockpit!$I$6))),CG372)/BV372,0)*BV372</f>
        <v>1488</v>
      </c>
      <c r="AU372" s="51" t="n">
        <f aca="false">IF(AR372&gt;0,J372/AR372,-1)</f>
        <v>69.7806451612903</v>
      </c>
      <c r="AV372" s="51" t="n">
        <f aca="false">IF(AND(OR(CC372="L1",CC372="L23",CC372="LIFT"),AR372&gt;0),SUMIFS($AR$7:$AR$1843,$CC$7:$CC$1843,CC372,$AU$7:$AU$1843,"&gt;"&amp;AU372)+SUMIFS($AR$7:$AR$1843,$CC$7:$CC$1843,CC372,$AU$7:$AU$1843,AU372,$BT$7:$BT$1843,"&lt;="&amp;BT372),"")</f>
        <v>1024.16391941392</v>
      </c>
      <c r="AW372" s="58" t="n">
        <f aca="false">IF(AV372="",0,MAX(0,MIN(1,(IF(CC372="L1",Parameter!$H$5,IF(CC372="L23",Parameter!$H$6+Parameter!$H$7,Parameter!$H$5+Parameter!$H$6+Parameter!$H$7))-(AV372-AR372))/AR372)))</f>
        <v>1</v>
      </c>
      <c r="AX372" s="50" t="n">
        <f aca="false">IF(LEFT(Cockpit!$O$5,1)="A",H372,IF(CE372=1,CF372,IF(LEFT(Cockpit!$O$5,1)="B",BC372,MAX(BC372,H372))))</f>
        <v>1488</v>
      </c>
      <c r="AY372" s="50" t="n">
        <f aca="false">IF(BW372=1,0,ROUNDUP(AX372/BV372,0))</f>
        <v>3</v>
      </c>
      <c r="AZ372" s="52" t="n">
        <f aca="false">IF(CL372&gt;0,CL372*MAX(1,AX372/X372),IF(BW372=1,IF(AX372&lt;=0,0,CA372*MAX(1,IF(H372&gt;0,AX372/H372,1))),IF(R372&gt;0,AY372/R372,0))/MAX(0.1,N(Parameter!$M$21)))</f>
        <v>0.115384615384615</v>
      </c>
      <c r="BA372" s="50" t="n">
        <f aca="false">AZ372*BY372</f>
        <v>17.8846153846154</v>
      </c>
      <c r="BB372" s="50" t="n">
        <f aca="false">AX372*G372</f>
        <v>327.36</v>
      </c>
      <c r="BC372" s="50" t="n">
        <f aca="false">ROUNDUP(MAX(J372/IF(CD372&gt;0,CD372,MAX(0.1,N(Cockpit!$O$6))),CG372)/BV372,0)*BV372</f>
        <v>1488</v>
      </c>
      <c r="BD372" s="51" t="n">
        <f aca="false">IF(BA372&gt;0,J372/BA372,-1)</f>
        <v>69.7806451612903</v>
      </c>
      <c r="BE372" s="51" t="n">
        <f aca="false">IF(AND(OR(CC372="L1",CC372="L23",CC372="LIFT"),BA372&gt;0),SUMIFS($BA$7:$BA$1843,$CC$7:$CC$1843,CC372,$BD$7:$BD$1843,"&gt;"&amp;BD372)+SUMIFS($BA$7:$BA$1843,$CC$7:$CC$1843,CC372,$BD$7:$BD$1843,BD372,$BT$7:$BT$1843,"&lt;="&amp;BT372),"")</f>
        <v>1131.58379120879</v>
      </c>
      <c r="BF372" s="58" t="n">
        <f aca="false">IF(BE372="",0,MAX(0,MIN(1,(IF(CC372="L1",Parameter!$H$5,IF(CC372="L23",Parameter!$H$6+Parameter!$H$7,Parameter!$H$5+Parameter!$H$6+Parameter!$H$7))-(BE372-BA372))/BA372)))</f>
        <v>1</v>
      </c>
      <c r="BG372" s="48" t="str">
        <f aca="false">IF(AI372&lt;=0,"",IF(CC372="Aussen","Aussenlager",IF(CC372="-","Nicht im Lift",IF(AN372&gt;=1,"Lift",IF(AN372&lt;=0,"Aussenlager","teilweise")))))</f>
        <v>Lift</v>
      </c>
      <c r="BH372" s="48" t="str">
        <f aca="false">IF(AR372&lt;=0,"",IF(CC372="Aussen","Aussenlager",IF(CC372="-","Nicht im Lift",IF(AW372&gt;=1,"Lift",IF(AW372&lt;=0,"Aussenlager","teilweise")))))</f>
        <v>Lift</v>
      </c>
      <c r="BI372" s="48" t="str">
        <f aca="false">IF(BA372&lt;=0,"",IF(CC372="Aussen","Aussenlager",IF(CC372="-","Nicht im Lift",IF(BF372&gt;=1,"Lift",IF(BF372&lt;=0,"Aussenlager","teilweise")))))</f>
        <v>Lift</v>
      </c>
      <c r="BJ372" s="48" t="str">
        <f aca="false">IF(A372="","",IF(BS372=1,"Neu; ","")&amp;IF(AND(BS372=0,BN372&lt;0),"negativer Bestand (Export "&amp;BN372&amp;"); ","")&amp;IF(J372&lt;=0,"Kein Verbrauch; ","")&amp;IF(CL372&gt;0,"Lift "&amp;W372&amp;" lt. Liftbericht (Fach "&amp;X372&amp;" Stk); ",IF(BX372=1,"Gebinde geschätzt ("&amp;T372&amp;"); ",IF(BW372=1,"Lose – Tablare geschätzt; ","")))&amp;IF(H372&gt;AT372,"Überbestand "&amp;ROUND(H372-AT372,0)&amp;" Stk / CHF "&amp;ROUND((H372-AT372)*G372,0)&amp;"; ","")&amp;IF(AND(CE372=1,CF372&lt;CG372),"MAX &lt; MB+LG; ","")&amp;IF(AND(CK372&gt;0,CJ372*10&gt;CK372),"zu hoch für Tablar; ","")&amp;IF(AND(BS372=0,OR(CE372=1,AA372&lt;&gt;"",U372&lt;&gt;"",V372&lt;&gt;"",AB372&lt;&gt;"")),"manuell übersteuert; ","")&amp;IF(AND(BW372=0,R372=0),"Gebinde unbekannt / Stellmass fehlt; ","")&amp;IF(AND(BW372=0,N(V372)&lt;=0,N(Q372)&lt;=0),"Menge pro Gebinde fehlt (Ist = 1 Gebinde); ","")&amp;BR372)</f>
        <v/>
      </c>
      <c r="BK372" s="48"/>
      <c r="BL372" s="48"/>
      <c r="BM372" s="55"/>
      <c r="BN372" s="50" t="n">
        <v>671</v>
      </c>
      <c r="BO372" s="50" t="n">
        <v>478</v>
      </c>
      <c r="BP372" s="49" t="n">
        <v>147.62</v>
      </c>
      <c r="BQ372" s="50" t="n">
        <v>1248</v>
      </c>
      <c r="BR372" s="48"/>
      <c r="BS372" s="53" t="n">
        <v>0</v>
      </c>
      <c r="BT372" s="53" t="n">
        <v>372</v>
      </c>
      <c r="BU372" s="48" t="str">
        <f aca="false">IF(U372&lt;&gt;"",UPPER(TRIM(U372)),IF(BX372=1,UPPER(VLOOKUP(T372,Parameter!$I$27:$K$29,2,0)),IF(P372="","LOSE",P372)))</f>
        <v>S51</v>
      </c>
      <c r="BV372" s="50" t="n">
        <f aca="false">IF(BU372="LOSE",1,IF(N(V372)&gt;0,V372,IF(BX372=1,MAX(1,N(VLOOKUP(T372,Parameter!$I$27:$K$29,3,0)),H372,N(N372)),IF(N(Q372)&gt;0,Q372,MAX(1,H372)))))</f>
        <v>496</v>
      </c>
      <c r="BW372" s="53" t="n">
        <f aca="false">IF(BU372="LOSE",1,0)</f>
        <v>0</v>
      </c>
      <c r="BX372" s="53" t="n">
        <f aca="false">IF(AND(U372="",OR(P372="",P372="LOSE"),T372&lt;&gt;"",N(S372)&lt;=0,ISNUMBER(MATCH(T372,Parameter!$I$27:$I$29,0))),1,0)</f>
        <v>0</v>
      </c>
      <c r="BY372" s="53" t="n">
        <f aca="false">IF(CL372&gt;0,INDEX(Parameter!$H$5:$H$7,W372)/INDEX(Parameter!$E$5:$E$7,W372),IF(AND(BW372=0,N(IFERROR(VLOOKUP(BU372,'Gebinde-Kategorie'!$A$5:$N$45,14,0),0))&gt;0),VLOOKUP(BU372,'Gebinde-Kategorie'!$A$5:$N$45,14,0)*10+Parameter!$M$23,Parameter!$M$24))</f>
        <v>155</v>
      </c>
      <c r="BZ372" s="48" t="str">
        <f aca="false">IF(AND(Parameter!$B$19="Ja",E372&lt;&gt;"",ISNUMBER(MATCH(E372,Parameter!$I$35:$I$52,0))),VLOOKUP(E372,Parameter!$I$35:$J$52,2,0),IFERROR(VLOOKUP(D372,Parameter!$A$35:$C$64,2,0),"Nein"))</f>
        <v>2+3</v>
      </c>
      <c r="CA372" s="52" t="n">
        <f aca="false">IF(BW372=0,0,IF(N(S372)&gt;0,S372,IFERROR(VLOOKUP(D372,Parameter!$A$35:$C$64,3,0)+0,0)))</f>
        <v>0</v>
      </c>
      <c r="CB372" s="48" t="n">
        <f aca="false">IF(AA372&lt;&gt;"",AA372,Z372)</f>
        <v>3</v>
      </c>
      <c r="CC372" s="48" t="str">
        <f aca="false">IF(OR(CB372=1,CB372=2,CB372=3),IF(Parameter!$E$27="Ja","LIFT",IF(CB372=1,"L1","L23")),IF(CB372="Aussen","Aussen","-"))</f>
        <v>LIFT</v>
      </c>
      <c r="CD372" s="59" t="n">
        <f aca="false">IF(N(AB372)&gt;0,AB372,0)</f>
        <v>0</v>
      </c>
      <c r="CE372" s="53" t="n">
        <f aca="false">IF(ISNUMBER(AE372),1,0)</f>
        <v>0</v>
      </c>
      <c r="CF372" s="50" t="n">
        <f aca="false">N(AE372)</f>
        <v>0</v>
      </c>
      <c r="CG372" s="50" t="n">
        <f aca="false">N(M372)+N(N372)</f>
        <v>1372</v>
      </c>
      <c r="CH372" s="50" t="n">
        <f aca="false">ROUNDUP(H372/BV372,0)</f>
        <v>3</v>
      </c>
      <c r="CI372" s="50" t="n">
        <f aca="false">ROUNDUP(CF372/BV372,0)</f>
        <v>0</v>
      </c>
      <c r="CJ372" s="53" t="n">
        <f aca="false">IF(BW372=1,0,IFERROR(VLOOKUP(BU372,'Gebinde-Kategorie'!$A$5:$N$45,5,0)+0,0))</f>
        <v>11</v>
      </c>
      <c r="CK372" s="53" t="n">
        <f aca="false">IFERROR(IF(OR(CB372=1,CB372=2,CB372=3),N(INDEX(Parameter!$I$5:$I$7,CB372)),0),0)</f>
        <v>0</v>
      </c>
      <c r="CL372" s="52" t="n">
        <f aca="false">IF(AND(Parameter!$B$21="Ja",ISNUMBER(W372),N(X372)&gt;0),IFERROR(N(INDEX(Parameter!$L$5:$L$7,W372))*INDEX(Parameter!$E$5:$E$7,W372)*X372/SUMIFS($X$7:$X$1843,$W$7:$W$1843,W372),0),0)</f>
        <v>0</v>
      </c>
    </row>
    <row r="373" customFormat="false" ht="15" hidden="false" customHeight="false" outlineLevel="0" collapsed="false">
      <c r="A373" s="48" t="s">
        <v>895</v>
      </c>
      <c r="B373" s="48" t="s">
        <v>896</v>
      </c>
      <c r="C373" s="48" t="s">
        <v>168</v>
      </c>
      <c r="D373" s="48" t="s">
        <v>188</v>
      </c>
      <c r="E373" s="48" t="s">
        <v>189</v>
      </c>
      <c r="F373" s="48" t="s">
        <v>222</v>
      </c>
      <c r="G373" s="49" t="n">
        <v>16.45</v>
      </c>
      <c r="H373" s="50" t="n">
        <f aca="false">MAX(0,IF(AND(Parameter!$B$21="Ja",ISNUMBER(Y373)),Y373,IF(Parameter!$B$20="Jahresanfang 2025 + Export",BO373+BN373,BN373)))</f>
        <v>15</v>
      </c>
      <c r="I373" s="50" t="n">
        <f aca="false">H373*G373</f>
        <v>246.75</v>
      </c>
      <c r="J373" s="50" t="n">
        <f aca="false">BQ373*Parameter!$B$18</f>
        <v>20</v>
      </c>
      <c r="K373" s="51" t="n">
        <v>8.5</v>
      </c>
      <c r="L373" s="52" t="n">
        <v>2.35294117647059</v>
      </c>
      <c r="M373" s="50" t="n">
        <v>0</v>
      </c>
      <c r="N373" s="50" t="n">
        <v>20</v>
      </c>
      <c r="O373" s="53" t="n">
        <v>14</v>
      </c>
      <c r="P373" s="48" t="s">
        <v>332</v>
      </c>
      <c r="Q373" s="50" t="n">
        <v>16</v>
      </c>
      <c r="R373" s="53" t="n">
        <f aca="false">IF(BW373=1,0,IFERROR(VLOOKUP(BU373,'Gebinde-Kategorie'!$A$5:$N$45,13,0)+0,0))</f>
        <v>52</v>
      </c>
      <c r="S373" s="54"/>
      <c r="T373" s="55"/>
      <c r="U373" s="55"/>
      <c r="V373" s="55"/>
      <c r="W373" s="48"/>
      <c r="X373" s="50"/>
      <c r="Y373" s="50"/>
      <c r="Z373" s="48" t="n">
        <f aca="false">IF(A373="","",IF(AND(Parameter!$B$21="Ja",ISNUMBER(W373)),W373,IF(BZ373="2+3",IF(ISNUMBER(SEARCH("grosser Artikel",BR373)),2,IFERROR(VLOOKUP(BU373,Parameter!$F$35:$G$64,2,0),2)),IF(OR(BZ373="Nein",BZ373=""),"-",BZ373))))</f>
        <v>3</v>
      </c>
      <c r="AA373" s="55"/>
      <c r="AB373" s="56"/>
      <c r="AC373" s="50" t="n">
        <f aca="false">AT373</f>
        <v>32</v>
      </c>
      <c r="AD373" s="50" t="n">
        <f aca="false">MAX(AT373,H373)</f>
        <v>32</v>
      </c>
      <c r="AE373" s="57"/>
      <c r="AF373" s="50" t="n">
        <f aca="false">IF(LEFT(Cockpit!$C$5,1)="A",H373,IF(CE373=1,CF373,IF(LEFT(Cockpit!$C$5,1)="B",AK373,MAX(AK373,H373))))</f>
        <v>15</v>
      </c>
      <c r="AG373" s="50" t="n">
        <f aca="false">IF(BW373=1,0,ROUNDUP(AF373/BV373,0))</f>
        <v>1</v>
      </c>
      <c r="AH373" s="52" t="n">
        <f aca="false">IF(CL373&gt;0,CL373*MAX(1,AF373/X373),IF(BW373=1,IF(AF373&lt;=0,0,CA373*MAX(1,IF(H373&gt;0,AF373/H373,1))),IF(R373&gt;0,AG373/R373,0))/MAX(0.1,N(Parameter!$M$21)))</f>
        <v>0.0192307692307692</v>
      </c>
      <c r="AI373" s="50" t="n">
        <f aca="false">AH373*BY373</f>
        <v>2.98076923076923</v>
      </c>
      <c r="AJ373" s="50" t="n">
        <f aca="false">AF373*G373</f>
        <v>246.75</v>
      </c>
      <c r="AK373" s="50" t="n">
        <f aca="false">ROUNDUP(MAX(J373/IF(CD373&gt;0,CD373,MAX(0.1,N(Cockpit!$C$6))),CG373)/BV373,0)*BV373</f>
        <v>32</v>
      </c>
      <c r="AL373" s="51" t="n">
        <f aca="false">IF(AI373&gt;0,J373/AI373,-1)</f>
        <v>6.70967741935484</v>
      </c>
      <c r="AM373" s="51" t="n">
        <f aca="false">IF(AND(OR(CC373="L1",CC373="L23",CC373="LIFT"),AI373&gt;0),SUMIFS($AI$7:$AI$1843,$CC$7:$CC$1843,CC373,$AL$7:$AL$1843,"&gt;"&amp;AL373)+SUMIFS($AI$7:$AI$1843,$CC$7:$CC$1843,CC373,$AL$7:$AL$1843,AL373,$BT$7:$BT$1843,"&lt;="&amp;BT373),"")</f>
        <v>3392.65293040293</v>
      </c>
      <c r="AN373" s="58" t="n">
        <f aca="false">IF(AM373="",0,MAX(0,MIN(1,(IF(CC373="L1",Parameter!$H$5,IF(CC373="L23",Parameter!$H$6+Parameter!$H$7,Parameter!$H$5+Parameter!$H$6+Parameter!$H$7))-(AM373-AI373))/AI373)))</f>
        <v>1</v>
      </c>
      <c r="AO373" s="50" t="n">
        <f aca="false">IF(LEFT(Cockpit!$I$5,1)="A",H373,IF(CE373=1,CF373,IF(LEFT(Cockpit!$I$5,1)="B",AT373,MAX(AT373,H373))))</f>
        <v>32</v>
      </c>
      <c r="AP373" s="50" t="n">
        <f aca="false">IF(BW373=1,0,ROUNDUP(AO373/BV373,0))</f>
        <v>2</v>
      </c>
      <c r="AQ373" s="52" t="n">
        <f aca="false">IF(CL373&gt;0,CL373*MAX(1,AO373/X373),IF(BW373=1,IF(AO373&lt;=0,0,CA373*MAX(1,IF(H373&gt;0,AO373/H373,1))),IF(R373&gt;0,AP373/R373,0))/MAX(0.1,N(Parameter!$M$21)))</f>
        <v>0.0384615384615385</v>
      </c>
      <c r="AR373" s="50" t="n">
        <f aca="false">AQ373*BY373</f>
        <v>5.96153846153846</v>
      </c>
      <c r="AS373" s="50" t="n">
        <f aca="false">AO373*G373</f>
        <v>526.4</v>
      </c>
      <c r="AT373" s="50" t="n">
        <f aca="false">ROUNDUP(MAX(J373/IF(CD373&gt;0,CD373,MAX(0.1,N(Cockpit!$I$6))),CG373)/BV373,0)*BV373</f>
        <v>32</v>
      </c>
      <c r="AU373" s="51" t="n">
        <f aca="false">IF(AR373&gt;0,J373/AR373,-1)</f>
        <v>3.35483870967742</v>
      </c>
      <c r="AV373" s="51" t="n">
        <f aca="false">IF(AND(OR(CC373="L1",CC373="L23",CC373="LIFT"),AR373&gt;0),SUMIFS($AR$7:$AR$1843,$CC$7:$CC$1843,CC373,$AU$7:$AU$1843,"&gt;"&amp;AU373)+SUMIFS($AR$7:$AR$1843,$CC$7:$CC$1843,CC373,$AU$7:$AU$1843,AU373,$BT$7:$BT$1843,"&lt;="&amp;BT373),"")</f>
        <v>6017.10714285714</v>
      </c>
      <c r="AW373" s="58" t="n">
        <f aca="false">IF(AV373="",0,MAX(0,MIN(1,(IF(CC373="L1",Parameter!$H$5,IF(CC373="L23",Parameter!$H$6+Parameter!$H$7,Parameter!$H$5+Parameter!$H$6+Parameter!$H$7))-(AV373-AR373))/AR373)))</f>
        <v>1</v>
      </c>
      <c r="AX373" s="50" t="n">
        <f aca="false">IF(LEFT(Cockpit!$O$5,1)="A",H373,IF(CE373=1,CF373,IF(LEFT(Cockpit!$O$5,1)="B",BC373,MAX(BC373,H373))))</f>
        <v>32</v>
      </c>
      <c r="AY373" s="50" t="n">
        <f aca="false">IF(BW373=1,0,ROUNDUP(AX373/BV373,0))</f>
        <v>2</v>
      </c>
      <c r="AZ373" s="52" t="n">
        <f aca="false">IF(CL373&gt;0,CL373*MAX(1,AX373/X373),IF(BW373=1,IF(AX373&lt;=0,0,CA373*MAX(1,IF(H373&gt;0,AX373/H373,1))),IF(R373&gt;0,AY373/R373,0))/MAX(0.1,N(Parameter!$M$21)))</f>
        <v>0.0384615384615385</v>
      </c>
      <c r="BA373" s="50" t="n">
        <f aca="false">AZ373*BY373</f>
        <v>5.96153846153846</v>
      </c>
      <c r="BB373" s="50" t="n">
        <f aca="false">AX373*G373</f>
        <v>526.4</v>
      </c>
      <c r="BC373" s="50" t="n">
        <f aca="false">ROUNDUP(MAX(J373/IF(CD373&gt;0,CD373,MAX(0.1,N(Cockpit!$O$6))),CG373)/BV373,0)*BV373</f>
        <v>32</v>
      </c>
      <c r="BD373" s="51" t="n">
        <f aca="false">IF(BA373&gt;0,J373/BA373,-1)</f>
        <v>3.35483870967742</v>
      </c>
      <c r="BE373" s="51" t="n">
        <f aca="false">IF(AND(OR(CC373="L1",CC373="L23",CC373="LIFT"),BA373&gt;0),SUMIFS($BA$7:$BA$1843,$CC$7:$CC$1843,CC373,$BD$7:$BD$1843,"&gt;"&amp;BD373)+SUMIFS($BA$7:$BA$1843,$CC$7:$CC$1843,CC373,$BD$7:$BD$1843,BD373,$BT$7:$BT$1843,"&lt;="&amp;BT373),"")</f>
        <v>6004.94368131868</v>
      </c>
      <c r="BF373" s="58" t="n">
        <f aca="false">IF(BE373="",0,MAX(0,MIN(1,(IF(CC373="L1",Parameter!$H$5,IF(CC373="L23",Parameter!$H$6+Parameter!$H$7,Parameter!$H$5+Parameter!$H$6+Parameter!$H$7))-(BE373-BA373))/BA373)))</f>
        <v>1</v>
      </c>
      <c r="BG373" s="48" t="str">
        <f aca="false">IF(AI373&lt;=0,"",IF(CC373="Aussen","Aussenlager",IF(CC373="-","Nicht im Lift",IF(AN373&gt;=1,"Lift",IF(AN373&lt;=0,"Aussenlager","teilweise")))))</f>
        <v>Lift</v>
      </c>
      <c r="BH373" s="48" t="str">
        <f aca="false">IF(AR373&lt;=0,"",IF(CC373="Aussen","Aussenlager",IF(CC373="-","Nicht im Lift",IF(AW373&gt;=1,"Lift",IF(AW373&lt;=0,"Aussenlager","teilweise")))))</f>
        <v>Lift</v>
      </c>
      <c r="BI373" s="48" t="str">
        <f aca="false">IF(BA373&lt;=0,"",IF(CC373="Aussen","Aussenlager",IF(CC373="-","Nicht im Lift",IF(BF373&gt;=1,"Lift",IF(BF373&lt;=0,"Aussenlager","teilweise")))))</f>
        <v>Lift</v>
      </c>
      <c r="BJ373" s="48" t="str">
        <f aca="false">IF(A373="","",IF(BS373=1,"Neu; ","")&amp;IF(AND(BS373=0,BN373&lt;0),"negativer Bestand (Export "&amp;BN373&amp;"); ","")&amp;IF(J373&lt;=0,"Kein Verbrauch; ","")&amp;IF(CL373&gt;0,"Lift "&amp;W373&amp;" lt. Liftbericht (Fach "&amp;X373&amp;" Stk); ",IF(BX373=1,"Gebinde geschätzt ("&amp;T373&amp;"); ",IF(BW373=1,"Lose – Tablare geschätzt; ","")))&amp;IF(H373&gt;AT373,"Überbestand "&amp;ROUND(H373-AT373,0)&amp;" Stk / CHF "&amp;ROUND((H373-AT373)*G373,0)&amp;"; ","")&amp;IF(AND(CE373=1,CF373&lt;CG373),"MAX &lt; MB+LG; ","")&amp;IF(AND(CK373&gt;0,CJ373*10&gt;CK373),"zu hoch für Tablar; ","")&amp;IF(AND(BS373=0,OR(CE373=1,AA373&lt;&gt;"",U373&lt;&gt;"",V373&lt;&gt;"",AB373&lt;&gt;"")),"manuell übersteuert; ","")&amp;IF(AND(BW373=0,R373=0),"Gebinde unbekannt / Stellmass fehlt; ","")&amp;IF(AND(BW373=0,N(V373)&lt;=0,N(Q373)&lt;=0),"Menge pro Gebinde fehlt (Ist = 1 Gebinde); ","")&amp;BR373)</f>
        <v/>
      </c>
      <c r="BK373" s="48"/>
      <c r="BL373" s="48"/>
      <c r="BM373" s="55"/>
      <c r="BN373" s="50" t="n">
        <v>9</v>
      </c>
      <c r="BO373" s="50" t="n">
        <v>6</v>
      </c>
      <c r="BP373" s="49" t="n">
        <v>146.07</v>
      </c>
      <c r="BQ373" s="50" t="n">
        <v>20</v>
      </c>
      <c r="BR373" s="48"/>
      <c r="BS373" s="53" t="n">
        <v>0</v>
      </c>
      <c r="BT373" s="53" t="n">
        <v>373</v>
      </c>
      <c r="BU373" s="48" t="str">
        <f aca="false">IF(U373&lt;&gt;"",UPPER(TRIM(U373)),IF(BX373=1,UPPER(VLOOKUP(T373,Parameter!$I$27:$K$29,2,0)),IF(P373="","LOSE",P373)))</f>
        <v>S41</v>
      </c>
      <c r="BV373" s="50" t="n">
        <f aca="false">IF(BU373="LOSE",1,IF(N(V373)&gt;0,V373,IF(BX373=1,MAX(1,N(VLOOKUP(T373,Parameter!$I$27:$K$29,3,0)),H373,N(N373)),IF(N(Q373)&gt;0,Q373,MAX(1,H373)))))</f>
        <v>16</v>
      </c>
      <c r="BW373" s="53" t="n">
        <f aca="false">IF(BU373="LOSE",1,0)</f>
        <v>0</v>
      </c>
      <c r="BX373" s="53" t="n">
        <f aca="false">IF(AND(U373="",OR(P373="",P373="LOSE"),T373&lt;&gt;"",N(S373)&lt;=0,ISNUMBER(MATCH(T373,Parameter!$I$27:$I$29,0))),1,0)</f>
        <v>0</v>
      </c>
      <c r="BY373" s="53" t="n">
        <f aca="false">IF(CL373&gt;0,INDEX(Parameter!$H$5:$H$7,W373)/INDEX(Parameter!$E$5:$E$7,W373),IF(AND(BW373=0,N(IFERROR(VLOOKUP(BU373,'Gebinde-Kategorie'!$A$5:$N$45,14,0),0))&gt;0),VLOOKUP(BU373,'Gebinde-Kategorie'!$A$5:$N$45,14,0)*10+Parameter!$M$23,Parameter!$M$24))</f>
        <v>155</v>
      </c>
      <c r="BZ373" s="48" t="str">
        <f aca="false">IF(AND(Parameter!$B$19="Ja",E373&lt;&gt;"",ISNUMBER(MATCH(E373,Parameter!$I$35:$I$52,0))),VLOOKUP(E373,Parameter!$I$35:$J$52,2,0),IFERROR(VLOOKUP(D373,Parameter!$A$35:$C$64,2,0),"Nein"))</f>
        <v>2+3</v>
      </c>
      <c r="CA373" s="52" t="n">
        <f aca="false">IF(BW373=0,0,IF(N(S373)&gt;0,S373,IFERROR(VLOOKUP(D373,Parameter!$A$35:$C$64,3,0)+0,0)))</f>
        <v>0</v>
      </c>
      <c r="CB373" s="48" t="n">
        <f aca="false">IF(AA373&lt;&gt;"",AA373,Z373)</f>
        <v>3</v>
      </c>
      <c r="CC373" s="48" t="str">
        <f aca="false">IF(OR(CB373=1,CB373=2,CB373=3),IF(Parameter!$E$27="Ja","LIFT",IF(CB373=1,"L1","L23")),IF(CB373="Aussen","Aussen","-"))</f>
        <v>LIFT</v>
      </c>
      <c r="CD373" s="59" t="n">
        <f aca="false">IF(N(AB373)&gt;0,AB373,0)</f>
        <v>0</v>
      </c>
      <c r="CE373" s="53" t="n">
        <f aca="false">IF(ISNUMBER(AE373),1,0)</f>
        <v>0</v>
      </c>
      <c r="CF373" s="50" t="n">
        <f aca="false">N(AE373)</f>
        <v>0</v>
      </c>
      <c r="CG373" s="50" t="n">
        <f aca="false">N(M373)+N(N373)</f>
        <v>20</v>
      </c>
      <c r="CH373" s="50" t="n">
        <f aca="false">ROUNDUP(H373/BV373,0)</f>
        <v>1</v>
      </c>
      <c r="CI373" s="50" t="n">
        <f aca="false">ROUNDUP(CF373/BV373,0)</f>
        <v>0</v>
      </c>
      <c r="CJ373" s="53" t="n">
        <f aca="false">IF(BW373=1,0,IFERROR(VLOOKUP(BU373,'Gebinde-Kategorie'!$A$5:$N$45,5,0)+0,0))</f>
        <v>11</v>
      </c>
      <c r="CK373" s="53" t="n">
        <f aca="false">IFERROR(IF(OR(CB373=1,CB373=2,CB373=3),N(INDEX(Parameter!$I$5:$I$7,CB373)),0),0)</f>
        <v>0</v>
      </c>
      <c r="CL373" s="52" t="n">
        <f aca="false">IF(AND(Parameter!$B$21="Ja",ISNUMBER(W373),N(X373)&gt;0),IFERROR(N(INDEX(Parameter!$L$5:$L$7,W373))*INDEX(Parameter!$E$5:$E$7,W373)*X373/SUMIFS($X$7:$X$1843,$W$7:$W$1843,W373),0),0)</f>
        <v>0</v>
      </c>
    </row>
    <row r="374" customFormat="false" ht="15" hidden="false" customHeight="false" outlineLevel="0" collapsed="false">
      <c r="A374" s="48" t="s">
        <v>897</v>
      </c>
      <c r="B374" s="48" t="s">
        <v>898</v>
      </c>
      <c r="C374" s="48" t="s">
        <v>168</v>
      </c>
      <c r="D374" s="48" t="s">
        <v>188</v>
      </c>
      <c r="E374" s="48" t="s">
        <v>189</v>
      </c>
      <c r="F374" s="48" t="s">
        <v>222</v>
      </c>
      <c r="G374" s="49" t="n">
        <v>1.38</v>
      </c>
      <c r="H374" s="50" t="n">
        <f aca="false">MAX(0,IF(AND(Parameter!$B$21="Ja",ISNUMBER(Y374)),Y374,IF(Parameter!$B$20="Jahresanfang 2025 + Export",BO374+BN374,BN374)))</f>
        <v>366</v>
      </c>
      <c r="I374" s="50" t="n">
        <f aca="false">H374*G374</f>
        <v>505.08</v>
      </c>
      <c r="J374" s="50" t="n">
        <f aca="false">BQ374*Parameter!$B$18</f>
        <v>2</v>
      </c>
      <c r="K374" s="51" t="n">
        <v>296.5</v>
      </c>
      <c r="L374" s="52" t="n">
        <v>0.00674536256323777</v>
      </c>
      <c r="M374" s="50" t="n">
        <v>0</v>
      </c>
      <c r="N374" s="50" t="n">
        <v>1</v>
      </c>
      <c r="O374" s="53" t="n">
        <v>21</v>
      </c>
      <c r="P374" s="48" t="s">
        <v>425</v>
      </c>
      <c r="Q374" s="50" t="n">
        <v>169</v>
      </c>
      <c r="R374" s="53" t="n">
        <f aca="false">IF(BW374=1,0,IFERROR(VLOOKUP(BU374,'Gebinde-Kategorie'!$A$5:$N$45,13,0)+0,0))</f>
        <v>104</v>
      </c>
      <c r="S374" s="54"/>
      <c r="T374" s="55"/>
      <c r="U374" s="55"/>
      <c r="V374" s="55"/>
      <c r="W374" s="48"/>
      <c r="X374" s="50"/>
      <c r="Y374" s="50"/>
      <c r="Z374" s="48" t="n">
        <f aca="false">IF(A374="","",IF(AND(Parameter!$B$21="Ja",ISNUMBER(W374)),W374,IF(BZ374="2+3",IF(ISNUMBER(SEARCH("grosser Artikel",BR374)),2,IFERROR(VLOOKUP(BU374,Parameter!$F$35:$G$64,2,0),2)),IF(OR(BZ374="Nein",BZ374=""),"-",BZ374))))</f>
        <v>3</v>
      </c>
      <c r="AA374" s="55"/>
      <c r="AB374" s="56"/>
      <c r="AC374" s="50" t="n">
        <f aca="false">AT374</f>
        <v>169</v>
      </c>
      <c r="AD374" s="50" t="n">
        <f aca="false">MAX(AT374,H374)</f>
        <v>366</v>
      </c>
      <c r="AE374" s="57"/>
      <c r="AF374" s="50" t="n">
        <f aca="false">IF(LEFT(Cockpit!$C$5,1)="A",H374,IF(CE374=1,CF374,IF(LEFT(Cockpit!$C$5,1)="B",AK374,MAX(AK374,H374))))</f>
        <v>366</v>
      </c>
      <c r="AG374" s="50" t="n">
        <f aca="false">IF(BW374=1,0,ROUNDUP(AF374/BV374,0))</f>
        <v>3</v>
      </c>
      <c r="AH374" s="52" t="n">
        <f aca="false">IF(CL374&gt;0,CL374*MAX(1,AF374/X374),IF(BW374=1,IF(AF374&lt;=0,0,CA374*MAX(1,IF(H374&gt;0,AF374/H374,1))),IF(R374&gt;0,AG374/R374,0))/MAX(0.1,N(Parameter!$M$21)))</f>
        <v>0.0288461538461538</v>
      </c>
      <c r="AI374" s="50" t="n">
        <f aca="false">AH374*BY374</f>
        <v>4.47115384615385</v>
      </c>
      <c r="AJ374" s="50" t="n">
        <f aca="false">AF374*G374</f>
        <v>505.08</v>
      </c>
      <c r="AK374" s="50" t="n">
        <f aca="false">ROUNDUP(MAX(J374/IF(CD374&gt;0,CD374,MAX(0.1,N(Cockpit!$C$6))),CG374)/BV374,0)*BV374</f>
        <v>169</v>
      </c>
      <c r="AL374" s="51" t="n">
        <f aca="false">IF(AI374&gt;0,J374/AI374,-1)</f>
        <v>0.447311827956989</v>
      </c>
      <c r="AM374" s="51" t="n">
        <f aca="false">IF(AND(OR(CC374="L1",CC374="L23",CC374="LIFT"),AI374&gt;0),SUMIFS($AI$7:$AI$1843,$CC$7:$CC$1843,CC374,$AL$7:$AL$1843,"&gt;"&amp;AL374)+SUMIFS($AI$7:$AI$1843,$CC$7:$CC$1843,CC374,$AL$7:$AL$1843,AL374,$BT$7:$BT$1843,"&lt;="&amp;BT374),"")</f>
        <v>9865.74356128805</v>
      </c>
      <c r="AN374" s="58" t="n">
        <f aca="false">IF(AM374="",0,MAX(0,MIN(1,(IF(CC374="L1",Parameter!$H$5,IF(CC374="L23",Parameter!$H$6+Parameter!$H$7,Parameter!$H$5+Parameter!$H$6+Parameter!$H$7))-(AM374-AI374))/AI374)))</f>
        <v>1</v>
      </c>
      <c r="AO374" s="50" t="n">
        <f aca="false">IF(LEFT(Cockpit!$I$5,1)="A",H374,IF(CE374=1,CF374,IF(LEFT(Cockpit!$I$5,1)="B",AT374,MAX(AT374,H374))))</f>
        <v>366</v>
      </c>
      <c r="AP374" s="50" t="n">
        <f aca="false">IF(BW374=1,0,ROUNDUP(AO374/BV374,0))</f>
        <v>3</v>
      </c>
      <c r="AQ374" s="52" t="n">
        <f aca="false">IF(CL374&gt;0,CL374*MAX(1,AO374/X374),IF(BW374=1,IF(AO374&lt;=0,0,CA374*MAX(1,IF(H374&gt;0,AO374/H374,1))),IF(R374&gt;0,AP374/R374,0))/MAX(0.1,N(Parameter!$M$21)))</f>
        <v>0.0288461538461538</v>
      </c>
      <c r="AR374" s="50" t="n">
        <f aca="false">AQ374*BY374</f>
        <v>4.47115384615385</v>
      </c>
      <c r="AS374" s="50" t="n">
        <f aca="false">AO374*G374</f>
        <v>505.08</v>
      </c>
      <c r="AT374" s="50" t="n">
        <f aca="false">ROUNDUP(MAX(J374/IF(CD374&gt;0,CD374,MAX(0.1,N(Cockpit!$I$6))),CG374)/BV374,0)*BV374</f>
        <v>169</v>
      </c>
      <c r="AU374" s="51" t="n">
        <f aca="false">IF(AR374&gt;0,J374/AR374,-1)</f>
        <v>0.447311827956989</v>
      </c>
      <c r="AV374" s="51" t="n">
        <f aca="false">IF(AND(OR(CC374="L1",CC374="L23",CC374="LIFT"),AR374&gt;0),SUMIFS($AR$7:$AR$1843,$CC$7:$CC$1843,CC374,$AU$7:$AU$1843,"&gt;"&amp;AU374)+SUMIFS($AR$7:$AR$1843,$CC$7:$CC$1843,CC374,$AU$7:$AU$1843,AU374,$BT$7:$BT$1843,"&lt;="&amp;BT374),"")</f>
        <v>14799.0732600733</v>
      </c>
      <c r="AW374" s="58" t="n">
        <f aca="false">IF(AV374="",0,MAX(0,MIN(1,(IF(CC374="L1",Parameter!$H$5,IF(CC374="L23",Parameter!$H$6+Parameter!$H$7,Parameter!$H$5+Parameter!$H$6+Parameter!$H$7))-(AV374-AR374))/AR374)))</f>
        <v>1</v>
      </c>
      <c r="AX374" s="50" t="n">
        <f aca="false">IF(LEFT(Cockpit!$O$5,1)="A",H374,IF(CE374=1,CF374,IF(LEFT(Cockpit!$O$5,1)="B",BC374,MAX(BC374,H374))))</f>
        <v>366</v>
      </c>
      <c r="AY374" s="50" t="n">
        <f aca="false">IF(BW374=1,0,ROUNDUP(AX374/BV374,0))</f>
        <v>3</v>
      </c>
      <c r="AZ374" s="52" t="n">
        <f aca="false">IF(CL374&gt;0,CL374*MAX(1,AX374/X374),IF(BW374=1,IF(AX374&lt;=0,0,CA374*MAX(1,IF(H374&gt;0,AX374/H374,1))),IF(R374&gt;0,AY374/R374,0))/MAX(0.1,N(Parameter!$M$21)))</f>
        <v>0.0288461538461538</v>
      </c>
      <c r="BA374" s="50" t="n">
        <f aca="false">AZ374*BY374</f>
        <v>4.47115384615385</v>
      </c>
      <c r="BB374" s="50" t="n">
        <f aca="false">AX374*G374</f>
        <v>505.08</v>
      </c>
      <c r="BC374" s="50" t="n">
        <f aca="false">ROUNDUP(MAX(J374/IF(CD374&gt;0,CD374,MAX(0.1,N(Cockpit!$O$6))),CG374)/BV374,0)*BV374</f>
        <v>169</v>
      </c>
      <c r="BD374" s="51" t="n">
        <f aca="false">IF(BA374&gt;0,J374/BA374,-1)</f>
        <v>0.447311827956989</v>
      </c>
      <c r="BE374" s="51" t="n">
        <f aca="false">IF(AND(OR(CC374="L1",CC374="L23",CC374="LIFT"),BA374&gt;0),SUMIFS($BA$7:$BA$1843,$CC$7:$CC$1843,CC374,$BD$7:$BD$1843,"&gt;"&amp;BD374)+SUMIFS($BA$7:$BA$1843,$CC$7:$CC$1843,CC374,$BD$7:$BD$1843,BD374,$BT$7:$BT$1843,"&lt;="&amp;BT374),"")</f>
        <v>13432.2303113553</v>
      </c>
      <c r="BF374" s="58" t="n">
        <f aca="false">IF(BE374="",0,MAX(0,MIN(1,(IF(CC374="L1",Parameter!$H$5,IF(CC374="L23",Parameter!$H$6+Parameter!$H$7,Parameter!$H$5+Parameter!$H$6+Parameter!$H$7))-(BE374-BA374))/BA374)))</f>
        <v>1</v>
      </c>
      <c r="BG374" s="48" t="str">
        <f aca="false">IF(AI374&lt;=0,"",IF(CC374="Aussen","Aussenlager",IF(CC374="-","Nicht im Lift",IF(AN374&gt;=1,"Lift",IF(AN374&lt;=0,"Aussenlager","teilweise")))))</f>
        <v>Lift</v>
      </c>
      <c r="BH374" s="48" t="str">
        <f aca="false">IF(AR374&lt;=0,"",IF(CC374="Aussen","Aussenlager",IF(CC374="-","Nicht im Lift",IF(AW374&gt;=1,"Lift",IF(AW374&lt;=0,"Aussenlager","teilweise")))))</f>
        <v>Lift</v>
      </c>
      <c r="BI374" s="48" t="str">
        <f aca="false">IF(BA374&lt;=0,"",IF(CC374="Aussen","Aussenlager",IF(CC374="-","Nicht im Lift",IF(BF374&gt;=1,"Lift",IF(BF374&lt;=0,"Aussenlager","teilweise")))))</f>
        <v>Lift</v>
      </c>
      <c r="BJ374" s="48" t="str">
        <f aca="false">IF(A374="","",IF(BS374=1,"Neu; ","")&amp;IF(AND(BS374=0,BN374&lt;0),"negativer Bestand (Export "&amp;BN374&amp;"); ","")&amp;IF(J374&lt;=0,"Kein Verbrauch; ","")&amp;IF(CL374&gt;0,"Lift "&amp;W374&amp;" lt. Liftbericht (Fach "&amp;X374&amp;" Stk); ",IF(BX374=1,"Gebinde geschätzt ("&amp;T374&amp;"); ",IF(BW374=1,"Lose – Tablare geschätzt; ","")))&amp;IF(H374&gt;AT374,"Überbestand "&amp;ROUND(H374-AT374,0)&amp;" Stk / CHF "&amp;ROUND((H374-AT374)*G374,0)&amp;"; ","")&amp;IF(AND(CE374=1,CF374&lt;CG374),"MAX &lt; MB+LG; ","")&amp;IF(AND(CK374&gt;0,CJ374*10&gt;CK374),"zu hoch für Tablar; ","")&amp;IF(AND(BS374=0,OR(CE374=1,AA374&lt;&gt;"",U374&lt;&gt;"",V374&lt;&gt;"",AB374&lt;&gt;"")),"manuell übersteuert; ","")&amp;IF(AND(BW374=0,R374=0),"Gebinde unbekannt / Stellmass fehlt; ","")&amp;IF(AND(BW374=0,N(V374)&lt;=0,N(Q374)&lt;=0),"Menge pro Gebinde fehlt (Ist = 1 Gebinde); ","")&amp;BR374)</f>
        <v>Überbestand 197 Stk / CHF 272; Handlager</v>
      </c>
      <c r="BK374" s="48"/>
      <c r="BL374" s="48"/>
      <c r="BM374" s="55"/>
      <c r="BN374" s="50" t="n">
        <v>102</v>
      </c>
      <c r="BO374" s="50" t="n">
        <v>264</v>
      </c>
      <c r="BP374" s="49" t="n">
        <v>140.76</v>
      </c>
      <c r="BQ374" s="50" t="n">
        <v>2</v>
      </c>
      <c r="BR374" s="48" t="s">
        <v>899</v>
      </c>
      <c r="BS374" s="53" t="n">
        <v>0</v>
      </c>
      <c r="BT374" s="53" t="n">
        <v>374</v>
      </c>
      <c r="BU374" s="48" t="str">
        <f aca="false">IF(U374&lt;&gt;"",UPPER(TRIM(U374)),IF(BX374=1,UPPER(VLOOKUP(T374,Parameter!$I$27:$K$29,2,0)),IF(P374="","LOSE",P374)))</f>
        <v>S32</v>
      </c>
      <c r="BV374" s="50" t="n">
        <f aca="false">IF(BU374="LOSE",1,IF(N(V374)&gt;0,V374,IF(BX374=1,MAX(1,N(VLOOKUP(T374,Parameter!$I$27:$K$29,3,0)),H374,N(N374)),IF(N(Q374)&gt;0,Q374,MAX(1,H374)))))</f>
        <v>169</v>
      </c>
      <c r="BW374" s="53" t="n">
        <f aca="false">IF(BU374="LOSE",1,0)</f>
        <v>0</v>
      </c>
      <c r="BX374" s="53" t="n">
        <f aca="false">IF(AND(U374="",OR(P374="",P374="LOSE"),T374&lt;&gt;"",N(S374)&lt;=0,ISNUMBER(MATCH(T374,Parameter!$I$27:$I$29,0))),1,0)</f>
        <v>0</v>
      </c>
      <c r="BY374" s="53" t="n">
        <f aca="false">IF(CL374&gt;0,INDEX(Parameter!$H$5:$H$7,W374)/INDEX(Parameter!$E$5:$E$7,W374),IF(AND(BW374=0,N(IFERROR(VLOOKUP(BU374,'Gebinde-Kategorie'!$A$5:$N$45,14,0),0))&gt;0),VLOOKUP(BU374,'Gebinde-Kategorie'!$A$5:$N$45,14,0)*10+Parameter!$M$23,Parameter!$M$24))</f>
        <v>155</v>
      </c>
      <c r="BZ374" s="48" t="str">
        <f aca="false">IF(AND(Parameter!$B$19="Ja",E374&lt;&gt;"",ISNUMBER(MATCH(E374,Parameter!$I$35:$I$52,0))),VLOOKUP(E374,Parameter!$I$35:$J$52,2,0),IFERROR(VLOOKUP(D374,Parameter!$A$35:$C$64,2,0),"Nein"))</f>
        <v>2+3</v>
      </c>
      <c r="CA374" s="52" t="n">
        <f aca="false">IF(BW374=0,0,IF(N(S374)&gt;0,S374,IFERROR(VLOOKUP(D374,Parameter!$A$35:$C$64,3,0)+0,0)))</f>
        <v>0</v>
      </c>
      <c r="CB374" s="48" t="n">
        <f aca="false">IF(AA374&lt;&gt;"",AA374,Z374)</f>
        <v>3</v>
      </c>
      <c r="CC374" s="48" t="str">
        <f aca="false">IF(OR(CB374=1,CB374=2,CB374=3),IF(Parameter!$E$27="Ja","LIFT",IF(CB374=1,"L1","L23")),IF(CB374="Aussen","Aussen","-"))</f>
        <v>LIFT</v>
      </c>
      <c r="CD374" s="59" t="n">
        <f aca="false">IF(N(AB374)&gt;0,AB374,0)</f>
        <v>0</v>
      </c>
      <c r="CE374" s="53" t="n">
        <f aca="false">IF(ISNUMBER(AE374),1,0)</f>
        <v>0</v>
      </c>
      <c r="CF374" s="50" t="n">
        <f aca="false">N(AE374)</f>
        <v>0</v>
      </c>
      <c r="CG374" s="50" t="n">
        <f aca="false">N(M374)+N(N374)</f>
        <v>1</v>
      </c>
      <c r="CH374" s="50" t="n">
        <f aca="false">ROUNDUP(H374/BV374,0)</f>
        <v>3</v>
      </c>
      <c r="CI374" s="50" t="n">
        <f aca="false">ROUNDUP(CF374/BV374,0)</f>
        <v>0</v>
      </c>
      <c r="CJ374" s="53" t="n">
        <f aca="false">IF(BW374=1,0,IFERROR(VLOOKUP(BU374,'Gebinde-Kategorie'!$A$5:$N$45,5,0)+0,0))</f>
        <v>8</v>
      </c>
      <c r="CK374" s="53" t="n">
        <f aca="false">IFERROR(IF(OR(CB374=1,CB374=2,CB374=3),N(INDEX(Parameter!$I$5:$I$7,CB374)),0),0)</f>
        <v>0</v>
      </c>
      <c r="CL374" s="52" t="n">
        <f aca="false">IF(AND(Parameter!$B$21="Ja",ISNUMBER(W374),N(X374)&gt;0),IFERROR(N(INDEX(Parameter!$L$5:$L$7,W374))*INDEX(Parameter!$E$5:$E$7,W374)*X374/SUMIFS($X$7:$X$1843,$W$7:$W$1843,W374),0),0)</f>
        <v>0</v>
      </c>
    </row>
    <row r="375" customFormat="false" ht="15" hidden="false" customHeight="false" outlineLevel="0" collapsed="false">
      <c r="A375" s="48" t="s">
        <v>900</v>
      </c>
      <c r="B375" s="48" t="s">
        <v>407</v>
      </c>
      <c r="C375" s="48" t="s">
        <v>168</v>
      </c>
      <c r="D375" s="48" t="s">
        <v>188</v>
      </c>
      <c r="E375" s="48" t="s">
        <v>189</v>
      </c>
      <c r="F375" s="48" t="s">
        <v>222</v>
      </c>
      <c r="G375" s="49" t="n">
        <v>0.6</v>
      </c>
      <c r="H375" s="50" t="n">
        <f aca="false">MAX(0,IF(AND(Parameter!$B$21="Ja",ISNUMBER(Y375)),Y375,IF(Parameter!$B$20="Jahresanfang 2025 + Export",BO375+BN375,BN375)))</f>
        <v>450</v>
      </c>
      <c r="I375" s="50" t="n">
        <f aca="false">H375*G375</f>
        <v>270</v>
      </c>
      <c r="J375" s="50" t="n">
        <f aca="false">BQ375*Parameter!$B$18</f>
        <v>561</v>
      </c>
      <c r="K375" s="51" t="n">
        <v>360</v>
      </c>
      <c r="L375" s="52" t="n">
        <v>1.55833333333333</v>
      </c>
      <c r="M375" s="50" t="n">
        <v>33</v>
      </c>
      <c r="N375" s="50" t="n">
        <v>600</v>
      </c>
      <c r="O375" s="53" t="n">
        <v>21</v>
      </c>
      <c r="P375" s="48" t="s">
        <v>297</v>
      </c>
      <c r="Q375" s="50" t="n">
        <v>449</v>
      </c>
      <c r="R375" s="53" t="n">
        <f aca="false">IF(BW375=1,0,IFERROR(VLOOKUP(BU375,'Gebinde-Kategorie'!$A$5:$N$45,13,0)+0,0))</f>
        <v>12</v>
      </c>
      <c r="S375" s="54"/>
      <c r="T375" s="55"/>
      <c r="U375" s="55"/>
      <c r="V375" s="55"/>
      <c r="W375" s="48"/>
      <c r="X375" s="50"/>
      <c r="Y375" s="50"/>
      <c r="Z375" s="48" t="n">
        <f aca="false">IF(A375="","",IF(AND(Parameter!$B$21="Ja",ISNUMBER(W375)),W375,IF(BZ375="2+3",IF(ISNUMBER(SEARCH("grosser Artikel",BR375)),2,IFERROR(VLOOKUP(BU375,Parameter!$F$35:$G$64,2,0),2)),IF(OR(BZ375="Nein",BZ375=""),"-",BZ375))))</f>
        <v>2</v>
      </c>
      <c r="AA375" s="55"/>
      <c r="AB375" s="56"/>
      <c r="AC375" s="50" t="n">
        <f aca="false">AT375</f>
        <v>898</v>
      </c>
      <c r="AD375" s="50" t="n">
        <f aca="false">MAX(AT375,H375)</f>
        <v>898</v>
      </c>
      <c r="AE375" s="57"/>
      <c r="AF375" s="50" t="n">
        <f aca="false">IF(LEFT(Cockpit!$C$5,1)="A",H375,IF(CE375=1,CF375,IF(LEFT(Cockpit!$C$5,1)="B",AK375,MAX(AK375,H375))))</f>
        <v>450</v>
      </c>
      <c r="AG375" s="50" t="n">
        <f aca="false">IF(BW375=1,0,ROUNDUP(AF375/BV375,0))</f>
        <v>2</v>
      </c>
      <c r="AH375" s="52" t="n">
        <f aca="false">IF(CL375&gt;0,CL375*MAX(1,AF375/X375),IF(BW375=1,IF(AF375&lt;=0,0,CA375*MAX(1,IF(H375&gt;0,AF375/H375,1))),IF(R375&gt;0,AG375/R375,0))/MAX(0.1,N(Parameter!$M$21)))</f>
        <v>0.166666666666667</v>
      </c>
      <c r="AI375" s="50" t="n">
        <f aca="false">AH375*BY375</f>
        <v>40.8333333333333</v>
      </c>
      <c r="AJ375" s="50" t="n">
        <f aca="false">AF375*G375</f>
        <v>270</v>
      </c>
      <c r="AK375" s="50" t="n">
        <f aca="false">ROUNDUP(MAX(J375/IF(CD375&gt;0,CD375,MAX(0.1,N(Cockpit!$C$6))),CG375)/BV375,0)*BV375</f>
        <v>898</v>
      </c>
      <c r="AL375" s="51" t="n">
        <f aca="false">IF(AI375&gt;0,J375/AI375,-1)</f>
        <v>13.7387755102041</v>
      </c>
      <c r="AM375" s="51" t="n">
        <f aca="false">IF(AND(OR(CC375="L1",CC375="L23",CC375="LIFT"),AI375&gt;0),SUMIFS($AI$7:$AI$1843,$CC$7:$CC$1843,CC375,$AL$7:$AL$1843,"&gt;"&amp;AL375)+SUMIFS($AI$7:$AI$1843,$CC$7:$CC$1843,CC375,$AL$7:$AL$1843,AL375,$BT$7:$BT$1843,"&lt;="&amp;BT375),"")</f>
        <v>2272.44597069597</v>
      </c>
      <c r="AN375" s="58" t="n">
        <f aca="false">IF(AM375="",0,MAX(0,MIN(1,(IF(CC375="L1",Parameter!$H$5,IF(CC375="L23",Parameter!$H$6+Parameter!$H$7,Parameter!$H$5+Parameter!$H$6+Parameter!$H$7))-(AM375-AI375))/AI375)))</f>
        <v>1</v>
      </c>
      <c r="AO375" s="50" t="n">
        <f aca="false">IF(LEFT(Cockpit!$I$5,1)="A",H375,IF(CE375=1,CF375,IF(LEFT(Cockpit!$I$5,1)="B",AT375,MAX(AT375,H375))))</f>
        <v>898</v>
      </c>
      <c r="AP375" s="50" t="n">
        <f aca="false">IF(BW375=1,0,ROUNDUP(AO375/BV375,0))</f>
        <v>2</v>
      </c>
      <c r="AQ375" s="52" t="n">
        <f aca="false">IF(CL375&gt;0,CL375*MAX(1,AO375/X375),IF(BW375=1,IF(AO375&lt;=0,0,CA375*MAX(1,IF(H375&gt;0,AO375/H375,1))),IF(R375&gt;0,AP375/R375,0))/MAX(0.1,N(Parameter!$M$21)))</f>
        <v>0.166666666666667</v>
      </c>
      <c r="AR375" s="50" t="n">
        <f aca="false">AQ375*BY375</f>
        <v>40.8333333333333</v>
      </c>
      <c r="AS375" s="50" t="n">
        <f aca="false">AO375*G375</f>
        <v>538.8</v>
      </c>
      <c r="AT375" s="50" t="n">
        <f aca="false">ROUNDUP(MAX(J375/IF(CD375&gt;0,CD375,MAX(0.1,N(Cockpit!$I$6))),CG375)/BV375,0)*BV375</f>
        <v>898</v>
      </c>
      <c r="AU375" s="51" t="n">
        <f aca="false">IF(AR375&gt;0,J375/AR375,-1)</f>
        <v>13.7387755102041</v>
      </c>
      <c r="AV375" s="51" t="n">
        <f aca="false">IF(AND(OR(CC375="L1",CC375="L23",CC375="LIFT"),AR375&gt;0),SUMIFS($AR$7:$AR$1843,$CC$7:$CC$1843,CC375,$AU$7:$AU$1843,"&gt;"&amp;AU375)+SUMIFS($AR$7:$AR$1843,$CC$7:$CC$1843,CC375,$AU$7:$AU$1843,AU375,$BT$7:$BT$1843,"&lt;="&amp;BT375),"")</f>
        <v>3480.81181318681</v>
      </c>
      <c r="AW375" s="58" t="n">
        <f aca="false">IF(AV375="",0,MAX(0,MIN(1,(IF(CC375="L1",Parameter!$H$5,IF(CC375="L23",Parameter!$H$6+Parameter!$H$7,Parameter!$H$5+Parameter!$H$6+Parameter!$H$7))-(AV375-AR375))/AR375)))</f>
        <v>1</v>
      </c>
      <c r="AX375" s="50" t="n">
        <f aca="false">IF(LEFT(Cockpit!$O$5,1)="A",H375,IF(CE375=1,CF375,IF(LEFT(Cockpit!$O$5,1)="B",BC375,MAX(BC375,H375))))</f>
        <v>898</v>
      </c>
      <c r="AY375" s="50" t="n">
        <f aca="false">IF(BW375=1,0,ROUNDUP(AX375/BV375,0))</f>
        <v>2</v>
      </c>
      <c r="AZ375" s="52" t="n">
        <f aca="false">IF(CL375&gt;0,CL375*MAX(1,AX375/X375),IF(BW375=1,IF(AX375&lt;=0,0,CA375*MAX(1,IF(H375&gt;0,AX375/H375,1))),IF(R375&gt;0,AY375/R375,0))/MAX(0.1,N(Parameter!$M$21)))</f>
        <v>0.166666666666667</v>
      </c>
      <c r="BA375" s="50" t="n">
        <f aca="false">AZ375*BY375</f>
        <v>40.8333333333333</v>
      </c>
      <c r="BB375" s="50" t="n">
        <f aca="false">AX375*G375</f>
        <v>538.8</v>
      </c>
      <c r="BC375" s="50" t="n">
        <f aca="false">ROUNDUP(MAX(J375/IF(CD375&gt;0,CD375,MAX(0.1,N(Cockpit!$O$6))),CG375)/BV375,0)*BV375</f>
        <v>898</v>
      </c>
      <c r="BD375" s="51" t="n">
        <f aca="false">IF(BA375&gt;0,J375/BA375,-1)</f>
        <v>13.7387755102041</v>
      </c>
      <c r="BE375" s="51" t="n">
        <f aca="false">IF(AND(OR(CC375="L1",CC375="L23",CC375="LIFT"),BA375&gt;0),SUMIFS($BA$7:$BA$1843,$CC$7:$CC$1843,CC375,$BD$7:$BD$1843,"&gt;"&amp;BD375)+SUMIFS($BA$7:$BA$1843,$CC$7:$CC$1843,CC375,$BD$7:$BD$1843,BD375,$BT$7:$BT$1843,"&lt;="&amp;BT375),"")</f>
        <v>3137.3663003663</v>
      </c>
      <c r="BF375" s="58" t="n">
        <f aca="false">IF(BE375="",0,MAX(0,MIN(1,(IF(CC375="L1",Parameter!$H$5,IF(CC375="L23",Parameter!$H$6+Parameter!$H$7,Parameter!$H$5+Parameter!$H$6+Parameter!$H$7))-(BE375-BA375))/BA375)))</f>
        <v>1</v>
      </c>
      <c r="BG375" s="48" t="str">
        <f aca="false">IF(AI375&lt;=0,"",IF(CC375="Aussen","Aussenlager",IF(CC375="-","Nicht im Lift",IF(AN375&gt;=1,"Lift",IF(AN375&lt;=0,"Aussenlager","teilweise")))))</f>
        <v>Lift</v>
      </c>
      <c r="BH375" s="48" t="str">
        <f aca="false">IF(AR375&lt;=0,"",IF(CC375="Aussen","Aussenlager",IF(CC375="-","Nicht im Lift",IF(AW375&gt;=1,"Lift",IF(AW375&lt;=0,"Aussenlager","teilweise")))))</f>
        <v>Lift</v>
      </c>
      <c r="BI375" s="48" t="str">
        <f aca="false">IF(BA375&lt;=0,"",IF(CC375="Aussen","Aussenlager",IF(CC375="-","Nicht im Lift",IF(BF375&gt;=1,"Lift",IF(BF375&lt;=0,"Aussenlager","teilweise")))))</f>
        <v>Lift</v>
      </c>
      <c r="BJ375" s="48" t="str">
        <f aca="false">IF(A375="","",IF(BS375=1,"Neu; ","")&amp;IF(AND(BS375=0,BN375&lt;0),"negativer Bestand (Export "&amp;BN375&amp;"); ","")&amp;IF(J375&lt;=0,"Kein Verbrauch; ","")&amp;IF(CL375&gt;0,"Lift "&amp;W375&amp;" lt. Liftbericht (Fach "&amp;X375&amp;" Stk); ",IF(BX375=1,"Gebinde geschätzt ("&amp;T375&amp;"); ",IF(BW375=1,"Lose – Tablare geschätzt; ","")))&amp;IF(H375&gt;AT375,"Überbestand "&amp;ROUND(H375-AT375,0)&amp;" Stk / CHF "&amp;ROUND((H375-AT375)*G375,0)&amp;"; ","")&amp;IF(AND(CE375=1,CF375&lt;CG375),"MAX &lt; MB+LG; ","")&amp;IF(AND(CK375&gt;0,CJ375*10&gt;CK375),"zu hoch für Tablar; ","")&amp;IF(AND(BS375=0,OR(CE375=1,AA375&lt;&gt;"",U375&lt;&gt;"",V375&lt;&gt;"",AB375&lt;&gt;"")),"manuell übersteuert; ","")&amp;IF(AND(BW375=0,R375=0),"Gebinde unbekannt / Stellmass fehlt; ","")&amp;IF(AND(BW375=0,N(V375)&lt;=0,N(Q375)&lt;=0),"Menge pro Gebinde fehlt (Ist = 1 Gebinde); ","")&amp;BR375)</f>
        <v/>
      </c>
      <c r="BK375" s="48"/>
      <c r="BL375" s="48"/>
      <c r="BM375" s="55"/>
      <c r="BN375" s="50" t="n">
        <v>229</v>
      </c>
      <c r="BO375" s="50" t="n">
        <v>221</v>
      </c>
      <c r="BP375" s="49" t="n">
        <v>139.61</v>
      </c>
      <c r="BQ375" s="50" t="n">
        <v>561</v>
      </c>
      <c r="BR375" s="48"/>
      <c r="BS375" s="53" t="n">
        <v>0</v>
      </c>
      <c r="BT375" s="53" t="n">
        <v>375</v>
      </c>
      <c r="BU375" s="48" t="str">
        <f aca="false">IF(U375&lt;&gt;"",UPPER(TRIM(U375)),IF(BX375=1,UPPER(VLOOKUP(T375,Parameter!$I$27:$K$29,2,0)),IF(P375="","LOSE",P375)))</f>
        <v>S62</v>
      </c>
      <c r="BV375" s="50" t="n">
        <f aca="false">IF(BU375="LOSE",1,IF(N(V375)&gt;0,V375,IF(BX375=1,MAX(1,N(VLOOKUP(T375,Parameter!$I$27:$K$29,3,0)),H375,N(N375)),IF(N(Q375)&gt;0,Q375,MAX(1,H375)))))</f>
        <v>449</v>
      </c>
      <c r="BW375" s="53" t="n">
        <f aca="false">IF(BU375="LOSE",1,0)</f>
        <v>0</v>
      </c>
      <c r="BX375" s="53" t="n">
        <f aca="false">IF(AND(U375="",OR(P375="",P375="LOSE"),T375&lt;&gt;"",N(S375)&lt;=0,ISNUMBER(MATCH(T375,Parameter!$I$27:$I$29,0))),1,0)</f>
        <v>0</v>
      </c>
      <c r="BY375" s="53" t="n">
        <f aca="false">IF(CL375&gt;0,INDEX(Parameter!$H$5:$H$7,W375)/INDEX(Parameter!$E$5:$E$7,W375),IF(AND(BW375=0,N(IFERROR(VLOOKUP(BU375,'Gebinde-Kategorie'!$A$5:$N$45,14,0),0))&gt;0),VLOOKUP(BU375,'Gebinde-Kategorie'!$A$5:$N$45,14,0)*10+Parameter!$M$23,Parameter!$M$24))</f>
        <v>245</v>
      </c>
      <c r="BZ375" s="48" t="str">
        <f aca="false">IF(AND(Parameter!$B$19="Ja",E375&lt;&gt;"",ISNUMBER(MATCH(E375,Parameter!$I$35:$I$52,0))),VLOOKUP(E375,Parameter!$I$35:$J$52,2,0),IFERROR(VLOOKUP(D375,Parameter!$A$35:$C$64,2,0),"Nein"))</f>
        <v>2+3</v>
      </c>
      <c r="CA375" s="52" t="n">
        <f aca="false">IF(BW375=0,0,IF(N(S375)&gt;0,S375,IFERROR(VLOOKUP(D375,Parameter!$A$35:$C$64,3,0)+0,0)))</f>
        <v>0</v>
      </c>
      <c r="CB375" s="48" t="n">
        <f aca="false">IF(AA375&lt;&gt;"",AA375,Z375)</f>
        <v>2</v>
      </c>
      <c r="CC375" s="48" t="str">
        <f aca="false">IF(OR(CB375=1,CB375=2,CB375=3),IF(Parameter!$E$27="Ja","LIFT",IF(CB375=1,"L1","L23")),IF(CB375="Aussen","Aussen","-"))</f>
        <v>LIFT</v>
      </c>
      <c r="CD375" s="59" t="n">
        <f aca="false">IF(N(AB375)&gt;0,AB375,0)</f>
        <v>0</v>
      </c>
      <c r="CE375" s="53" t="n">
        <f aca="false">IF(ISNUMBER(AE375),1,0)</f>
        <v>0</v>
      </c>
      <c r="CF375" s="50" t="n">
        <f aca="false">N(AE375)</f>
        <v>0</v>
      </c>
      <c r="CG375" s="50" t="n">
        <f aca="false">N(M375)+N(N375)</f>
        <v>633</v>
      </c>
      <c r="CH375" s="50" t="n">
        <f aca="false">ROUNDUP(H375/BV375,0)</f>
        <v>2</v>
      </c>
      <c r="CI375" s="50" t="n">
        <f aca="false">ROUNDUP(CF375/BV375,0)</f>
        <v>0</v>
      </c>
      <c r="CJ375" s="53" t="n">
        <f aca="false">IF(BW375=1,0,IFERROR(VLOOKUP(BU375,'Gebinde-Kategorie'!$A$5:$N$45,5,0)+0,0))</f>
        <v>21</v>
      </c>
      <c r="CK375" s="53" t="n">
        <f aca="false">IFERROR(IF(OR(CB375=1,CB375=2,CB375=3),N(INDEX(Parameter!$I$5:$I$7,CB375)),0),0)</f>
        <v>0</v>
      </c>
      <c r="CL375" s="52" t="n">
        <f aca="false">IF(AND(Parameter!$B$21="Ja",ISNUMBER(W375),N(X375)&gt;0),IFERROR(N(INDEX(Parameter!$L$5:$L$7,W375))*INDEX(Parameter!$E$5:$E$7,W375)*X375/SUMIFS($X$7:$X$1843,$W$7:$W$1843,W375),0),0)</f>
        <v>0</v>
      </c>
    </row>
    <row r="376" customFormat="false" ht="15" hidden="false" customHeight="false" outlineLevel="0" collapsed="false">
      <c r="A376" s="48" t="s">
        <v>901</v>
      </c>
      <c r="B376" s="48" t="s">
        <v>902</v>
      </c>
      <c r="C376" s="48" t="s">
        <v>168</v>
      </c>
      <c r="D376" s="48" t="s">
        <v>188</v>
      </c>
      <c r="E376" s="48" t="s">
        <v>189</v>
      </c>
      <c r="F376" s="48" t="s">
        <v>222</v>
      </c>
      <c r="G376" s="49" t="n">
        <v>2.5</v>
      </c>
      <c r="H376" s="50" t="n">
        <f aca="false">MAX(0,IF(AND(Parameter!$B$21="Ja",ISNUMBER(Y376)),Y376,IF(Parameter!$B$20="Jahresanfang 2025 + Export",BO376+BN376,BN376)))</f>
        <v>98</v>
      </c>
      <c r="I376" s="50" t="n">
        <f aca="false">H376*G376</f>
        <v>245</v>
      </c>
      <c r="J376" s="50" t="n">
        <f aca="false">BQ376*Parameter!$B$18</f>
        <v>69</v>
      </c>
      <c r="K376" s="51" t="n">
        <v>61.5</v>
      </c>
      <c r="L376" s="52" t="n">
        <v>1.1219512195122</v>
      </c>
      <c r="M376" s="50" t="n">
        <v>4</v>
      </c>
      <c r="N376" s="50" t="n">
        <v>100</v>
      </c>
      <c r="O376" s="53" t="n">
        <v>21</v>
      </c>
      <c r="P376" s="48" t="s">
        <v>425</v>
      </c>
      <c r="Q376" s="50" t="n">
        <v>102</v>
      </c>
      <c r="R376" s="53" t="n">
        <f aca="false">IF(BW376=1,0,IFERROR(VLOOKUP(BU376,'Gebinde-Kategorie'!$A$5:$N$45,13,0)+0,0))</f>
        <v>104</v>
      </c>
      <c r="S376" s="54"/>
      <c r="T376" s="55"/>
      <c r="U376" s="55"/>
      <c r="V376" s="55"/>
      <c r="W376" s="48"/>
      <c r="X376" s="50"/>
      <c r="Y376" s="50"/>
      <c r="Z376" s="48" t="n">
        <f aca="false">IF(A376="","",IF(AND(Parameter!$B$21="Ja",ISNUMBER(W376)),W376,IF(BZ376="2+3",IF(ISNUMBER(SEARCH("grosser Artikel",BR376)),2,IFERROR(VLOOKUP(BU376,Parameter!$F$35:$G$64,2,0),2)),IF(OR(BZ376="Nein",BZ376=""),"-",BZ376))))</f>
        <v>3</v>
      </c>
      <c r="AA376" s="55"/>
      <c r="AB376" s="56"/>
      <c r="AC376" s="50" t="n">
        <f aca="false">AT376</f>
        <v>204</v>
      </c>
      <c r="AD376" s="50" t="n">
        <f aca="false">MAX(AT376,H376)</f>
        <v>204</v>
      </c>
      <c r="AE376" s="57"/>
      <c r="AF376" s="50" t="n">
        <f aca="false">IF(LEFT(Cockpit!$C$5,1)="A",H376,IF(CE376=1,CF376,IF(LEFT(Cockpit!$C$5,1)="B",AK376,MAX(AK376,H376))))</f>
        <v>98</v>
      </c>
      <c r="AG376" s="50" t="n">
        <f aca="false">IF(BW376=1,0,ROUNDUP(AF376/BV376,0))</f>
        <v>1</v>
      </c>
      <c r="AH376" s="52" t="n">
        <f aca="false">IF(CL376&gt;0,CL376*MAX(1,AF376/X376),IF(BW376=1,IF(AF376&lt;=0,0,CA376*MAX(1,IF(H376&gt;0,AF376/H376,1))),IF(R376&gt;0,AG376/R376,0))/MAX(0.1,N(Parameter!$M$21)))</f>
        <v>0.00961538461538462</v>
      </c>
      <c r="AI376" s="50" t="n">
        <f aca="false">AH376*BY376</f>
        <v>1.49038461538462</v>
      </c>
      <c r="AJ376" s="50" t="n">
        <f aca="false">AF376*G376</f>
        <v>245</v>
      </c>
      <c r="AK376" s="50" t="n">
        <f aca="false">ROUNDUP(MAX(J376/IF(CD376&gt;0,CD376,MAX(0.1,N(Cockpit!$C$6))),CG376)/BV376,0)*BV376</f>
        <v>204</v>
      </c>
      <c r="AL376" s="51" t="n">
        <f aca="false">IF(AI376&gt;0,J376/AI376,-1)</f>
        <v>46.2967741935484</v>
      </c>
      <c r="AM376" s="51" t="n">
        <f aca="false">IF(AND(OR(CC376="L1",CC376="L23",CC376="LIFT"),AI376&gt;0),SUMIFS($AI$7:$AI$1843,$CC$7:$CC$1843,CC376,$AL$7:$AL$1843,"&gt;"&amp;AL376)+SUMIFS($AI$7:$AI$1843,$CC$7:$CC$1843,CC376,$AL$7:$AL$1843,AL376,$BT$7:$BT$1843,"&lt;="&amp;BT376),"")</f>
        <v>1159.37637362637</v>
      </c>
      <c r="AN376" s="58" t="n">
        <f aca="false">IF(AM376="",0,MAX(0,MIN(1,(IF(CC376="L1",Parameter!$H$5,IF(CC376="L23",Parameter!$H$6+Parameter!$H$7,Parameter!$H$5+Parameter!$H$6+Parameter!$H$7))-(AM376-AI376))/AI376)))</f>
        <v>1</v>
      </c>
      <c r="AO376" s="50" t="n">
        <f aca="false">IF(LEFT(Cockpit!$I$5,1)="A",H376,IF(CE376=1,CF376,IF(LEFT(Cockpit!$I$5,1)="B",AT376,MAX(AT376,H376))))</f>
        <v>204</v>
      </c>
      <c r="AP376" s="50" t="n">
        <f aca="false">IF(BW376=1,0,ROUNDUP(AO376/BV376,0))</f>
        <v>2</v>
      </c>
      <c r="AQ376" s="52" t="n">
        <f aca="false">IF(CL376&gt;0,CL376*MAX(1,AO376/X376),IF(BW376=1,IF(AO376&lt;=0,0,CA376*MAX(1,IF(H376&gt;0,AO376/H376,1))),IF(R376&gt;0,AP376/R376,0))/MAX(0.1,N(Parameter!$M$21)))</f>
        <v>0.0192307692307692</v>
      </c>
      <c r="AR376" s="50" t="n">
        <f aca="false">AQ376*BY376</f>
        <v>2.98076923076923</v>
      </c>
      <c r="AS376" s="50" t="n">
        <f aca="false">AO376*G376</f>
        <v>510</v>
      </c>
      <c r="AT376" s="50" t="n">
        <f aca="false">ROUNDUP(MAX(J376/IF(CD376&gt;0,CD376,MAX(0.1,N(Cockpit!$I$6))),CG376)/BV376,0)*BV376</f>
        <v>204</v>
      </c>
      <c r="AU376" s="51" t="n">
        <f aca="false">IF(AR376&gt;0,J376/AR376,-1)</f>
        <v>23.1483870967742</v>
      </c>
      <c r="AV376" s="51" t="n">
        <f aca="false">IF(AND(OR(CC376="L1",CC376="L23",CC376="LIFT"),AR376&gt;0),SUMIFS($AR$7:$AR$1843,$CC$7:$CC$1843,CC376,$AU$7:$AU$1843,"&gt;"&amp;AU376)+SUMIFS($AR$7:$AR$1843,$CC$7:$CC$1843,CC376,$AU$7:$AU$1843,AU376,$BT$7:$BT$1843,"&lt;="&amp;BT376),"")</f>
        <v>2217.64789377289</v>
      </c>
      <c r="AW376" s="58" t="n">
        <f aca="false">IF(AV376="",0,MAX(0,MIN(1,(IF(CC376="L1",Parameter!$H$5,IF(CC376="L23",Parameter!$H$6+Parameter!$H$7,Parameter!$H$5+Parameter!$H$6+Parameter!$H$7))-(AV376-AR376))/AR376)))</f>
        <v>1</v>
      </c>
      <c r="AX376" s="50" t="n">
        <f aca="false">IF(LEFT(Cockpit!$O$5,1)="A",H376,IF(CE376=1,CF376,IF(LEFT(Cockpit!$O$5,1)="B",BC376,MAX(BC376,H376))))</f>
        <v>204</v>
      </c>
      <c r="AY376" s="50" t="n">
        <f aca="false">IF(BW376=1,0,ROUNDUP(AX376/BV376,0))</f>
        <v>2</v>
      </c>
      <c r="AZ376" s="52" t="n">
        <f aca="false">IF(CL376&gt;0,CL376*MAX(1,AX376/X376),IF(BW376=1,IF(AX376&lt;=0,0,CA376*MAX(1,IF(H376&gt;0,AX376/H376,1))),IF(R376&gt;0,AY376/R376,0))/MAX(0.1,N(Parameter!$M$21)))</f>
        <v>0.0192307692307692</v>
      </c>
      <c r="BA376" s="50" t="n">
        <f aca="false">AZ376*BY376</f>
        <v>2.98076923076923</v>
      </c>
      <c r="BB376" s="50" t="n">
        <f aca="false">AX376*G376</f>
        <v>510</v>
      </c>
      <c r="BC376" s="50" t="n">
        <f aca="false">ROUNDUP(MAX(J376/IF(CD376&gt;0,CD376,MAX(0.1,N(Cockpit!$O$6))),CG376)/BV376,0)*BV376</f>
        <v>204</v>
      </c>
      <c r="BD376" s="51" t="n">
        <f aca="false">IF(BA376&gt;0,J376/BA376,-1)</f>
        <v>23.1483870967742</v>
      </c>
      <c r="BE376" s="51" t="n">
        <f aca="false">IF(AND(OR(CC376="L1",CC376="L23",CC376="LIFT"),BA376&gt;0),SUMIFS($BA$7:$BA$1843,$CC$7:$CC$1843,CC376,$BD$7:$BD$1843,"&gt;"&amp;BD376)+SUMIFS($BA$7:$BA$1843,$CC$7:$CC$1843,CC376,$BD$7:$BD$1843,BD376,$BT$7:$BT$1843,"&lt;="&amp;BT376),"")</f>
        <v>2312.66391941392</v>
      </c>
      <c r="BF376" s="58" t="n">
        <f aca="false">IF(BE376="",0,MAX(0,MIN(1,(IF(CC376="L1",Parameter!$H$5,IF(CC376="L23",Parameter!$H$6+Parameter!$H$7,Parameter!$H$5+Parameter!$H$6+Parameter!$H$7))-(BE376-BA376))/BA376)))</f>
        <v>1</v>
      </c>
      <c r="BG376" s="48" t="str">
        <f aca="false">IF(AI376&lt;=0,"",IF(CC376="Aussen","Aussenlager",IF(CC376="-","Nicht im Lift",IF(AN376&gt;=1,"Lift",IF(AN376&lt;=0,"Aussenlager","teilweise")))))</f>
        <v>Lift</v>
      </c>
      <c r="BH376" s="48" t="str">
        <f aca="false">IF(AR376&lt;=0,"",IF(CC376="Aussen","Aussenlager",IF(CC376="-","Nicht im Lift",IF(AW376&gt;=1,"Lift",IF(AW376&lt;=0,"Aussenlager","teilweise")))))</f>
        <v>Lift</v>
      </c>
      <c r="BI376" s="48" t="str">
        <f aca="false">IF(BA376&lt;=0,"",IF(CC376="Aussen","Aussenlager",IF(CC376="-","Nicht im Lift",IF(BF376&gt;=1,"Lift",IF(BF376&lt;=0,"Aussenlager","teilweise")))))</f>
        <v>Lift</v>
      </c>
      <c r="BJ376" s="48" t="str">
        <f aca="false">IF(A376="","",IF(BS376=1,"Neu; ","")&amp;IF(AND(BS376=0,BN376&lt;0),"negativer Bestand (Export "&amp;BN376&amp;"); ","")&amp;IF(J376&lt;=0,"Kein Verbrauch; ","")&amp;IF(CL376&gt;0,"Lift "&amp;W376&amp;" lt. Liftbericht (Fach "&amp;X376&amp;" Stk); ",IF(BX376=1,"Gebinde geschätzt ("&amp;T376&amp;"); ",IF(BW376=1,"Lose – Tablare geschätzt; ","")))&amp;IF(H376&gt;AT376,"Überbestand "&amp;ROUND(H376-AT376,0)&amp;" Stk / CHF "&amp;ROUND((H376-AT376)*G376,0)&amp;"; ","")&amp;IF(AND(CE376=1,CF376&lt;CG376),"MAX &lt; MB+LG; ","")&amp;IF(AND(CK376&gt;0,CJ376*10&gt;CK376),"zu hoch für Tablar; ","")&amp;IF(AND(BS376=0,OR(CE376=1,AA376&lt;&gt;"",U376&lt;&gt;"",V376&lt;&gt;"",AB376&lt;&gt;"")),"manuell übersteuert; ","")&amp;IF(AND(BW376=0,R376=0),"Gebinde unbekannt / Stellmass fehlt; ","")&amp;IF(AND(BW376=0,N(V376)&lt;=0,N(Q376)&lt;=0),"Menge pro Gebinde fehlt (Ist = 1 Gebinde); ","")&amp;BR376)</f>
        <v>Neu</v>
      </c>
      <c r="BK376" s="48"/>
      <c r="BL376" s="48"/>
      <c r="BM376" s="55"/>
      <c r="BN376" s="50" t="n">
        <v>56</v>
      </c>
      <c r="BO376" s="50" t="n">
        <v>42</v>
      </c>
      <c r="BP376" s="49" t="n">
        <v>137.9</v>
      </c>
      <c r="BQ376" s="50" t="n">
        <v>69</v>
      </c>
      <c r="BR376" s="48" t="s">
        <v>630</v>
      </c>
      <c r="BS376" s="53" t="n">
        <v>0</v>
      </c>
      <c r="BT376" s="53" t="n">
        <v>376</v>
      </c>
      <c r="BU376" s="48" t="str">
        <f aca="false">IF(U376&lt;&gt;"",UPPER(TRIM(U376)),IF(BX376=1,UPPER(VLOOKUP(T376,Parameter!$I$27:$K$29,2,0)),IF(P376="","LOSE",P376)))</f>
        <v>S32</v>
      </c>
      <c r="BV376" s="50" t="n">
        <f aca="false">IF(BU376="LOSE",1,IF(N(V376)&gt;0,V376,IF(BX376=1,MAX(1,N(VLOOKUP(T376,Parameter!$I$27:$K$29,3,0)),H376,N(N376)),IF(N(Q376)&gt;0,Q376,MAX(1,H376)))))</f>
        <v>102</v>
      </c>
      <c r="BW376" s="53" t="n">
        <f aca="false">IF(BU376="LOSE",1,0)</f>
        <v>0</v>
      </c>
      <c r="BX376" s="53" t="n">
        <f aca="false">IF(AND(U376="",OR(P376="",P376="LOSE"),T376&lt;&gt;"",N(S376)&lt;=0,ISNUMBER(MATCH(T376,Parameter!$I$27:$I$29,0))),1,0)</f>
        <v>0</v>
      </c>
      <c r="BY376" s="53" t="n">
        <f aca="false">IF(CL376&gt;0,INDEX(Parameter!$H$5:$H$7,W376)/INDEX(Parameter!$E$5:$E$7,W376),IF(AND(BW376=0,N(IFERROR(VLOOKUP(BU376,'Gebinde-Kategorie'!$A$5:$N$45,14,0),0))&gt;0),VLOOKUP(BU376,'Gebinde-Kategorie'!$A$5:$N$45,14,0)*10+Parameter!$M$23,Parameter!$M$24))</f>
        <v>155</v>
      </c>
      <c r="BZ376" s="48" t="str">
        <f aca="false">IF(AND(Parameter!$B$19="Ja",E376&lt;&gt;"",ISNUMBER(MATCH(E376,Parameter!$I$35:$I$52,0))),VLOOKUP(E376,Parameter!$I$35:$J$52,2,0),IFERROR(VLOOKUP(D376,Parameter!$A$35:$C$64,2,0),"Nein"))</f>
        <v>2+3</v>
      </c>
      <c r="CA376" s="52" t="n">
        <f aca="false">IF(BW376=0,0,IF(N(S376)&gt;0,S376,IFERROR(VLOOKUP(D376,Parameter!$A$35:$C$64,3,0)+0,0)))</f>
        <v>0</v>
      </c>
      <c r="CB376" s="48" t="n">
        <f aca="false">IF(AA376&lt;&gt;"",AA376,Z376)</f>
        <v>3</v>
      </c>
      <c r="CC376" s="48" t="str">
        <f aca="false">IF(OR(CB376=1,CB376=2,CB376=3),IF(Parameter!$E$27="Ja","LIFT",IF(CB376=1,"L1","L23")),IF(CB376="Aussen","Aussen","-"))</f>
        <v>LIFT</v>
      </c>
      <c r="CD376" s="59" t="n">
        <f aca="false">IF(N(AB376)&gt;0,AB376,0)</f>
        <v>0</v>
      </c>
      <c r="CE376" s="53" t="n">
        <f aca="false">IF(ISNUMBER(AE376),1,0)</f>
        <v>0</v>
      </c>
      <c r="CF376" s="50" t="n">
        <f aca="false">N(AE376)</f>
        <v>0</v>
      </c>
      <c r="CG376" s="50" t="n">
        <f aca="false">N(M376)+N(N376)</f>
        <v>104</v>
      </c>
      <c r="CH376" s="50" t="n">
        <f aca="false">ROUNDUP(H376/BV376,0)</f>
        <v>1</v>
      </c>
      <c r="CI376" s="50" t="n">
        <f aca="false">ROUNDUP(CF376/BV376,0)</f>
        <v>0</v>
      </c>
      <c r="CJ376" s="53" t="n">
        <f aca="false">IF(BW376=1,0,IFERROR(VLOOKUP(BU376,'Gebinde-Kategorie'!$A$5:$N$45,5,0)+0,0))</f>
        <v>8</v>
      </c>
      <c r="CK376" s="53" t="n">
        <f aca="false">IFERROR(IF(OR(CB376=1,CB376=2,CB376=3),N(INDEX(Parameter!$I$5:$I$7,CB376)),0),0)</f>
        <v>0</v>
      </c>
      <c r="CL376" s="52" t="n">
        <f aca="false">IF(AND(Parameter!$B$21="Ja",ISNUMBER(W376),N(X376)&gt;0),IFERROR(N(INDEX(Parameter!$L$5:$L$7,W376))*INDEX(Parameter!$E$5:$E$7,W376)*X376/SUMIFS($X$7:$X$1843,$W$7:$W$1843,W376),0),0)</f>
        <v>0</v>
      </c>
    </row>
    <row r="377" customFormat="false" ht="15" hidden="false" customHeight="false" outlineLevel="0" collapsed="false">
      <c r="A377" s="48" t="s">
        <v>903</v>
      </c>
      <c r="B377" s="48" t="s">
        <v>904</v>
      </c>
      <c r="C377" s="48" t="s">
        <v>168</v>
      </c>
      <c r="D377" s="48" t="s">
        <v>188</v>
      </c>
      <c r="E377" s="48" t="s">
        <v>189</v>
      </c>
      <c r="F377" s="48" t="s">
        <v>222</v>
      </c>
      <c r="G377" s="49" t="n">
        <v>56.62</v>
      </c>
      <c r="H377" s="50" t="n">
        <f aca="false">MAX(0,IF(AND(Parameter!$B$21="Ja",ISNUMBER(Y377)),Y377,IF(Parameter!$B$20="Jahresanfang 2025 + Export",BO377+BN377,BN377)))</f>
        <v>5</v>
      </c>
      <c r="I377" s="50" t="n">
        <f aca="false">H377*G377</f>
        <v>283.1</v>
      </c>
      <c r="J377" s="50" t="n">
        <f aca="false">BQ377*Parameter!$B$18</f>
        <v>5</v>
      </c>
      <c r="K377" s="51" t="n">
        <v>4.5</v>
      </c>
      <c r="L377" s="52" t="n">
        <v>1.11111111111111</v>
      </c>
      <c r="M377" s="50" t="n">
        <v>0</v>
      </c>
      <c r="N377" s="50" t="n">
        <v>5</v>
      </c>
      <c r="O377" s="53" t="n">
        <v>21</v>
      </c>
      <c r="P377" s="48" t="s">
        <v>425</v>
      </c>
      <c r="Q377" s="50" t="n">
        <v>9</v>
      </c>
      <c r="R377" s="53" t="n">
        <f aca="false">IF(BW377=1,0,IFERROR(VLOOKUP(BU377,'Gebinde-Kategorie'!$A$5:$N$45,13,0)+0,0))</f>
        <v>104</v>
      </c>
      <c r="S377" s="54"/>
      <c r="T377" s="55"/>
      <c r="U377" s="55"/>
      <c r="V377" s="55"/>
      <c r="W377" s="48"/>
      <c r="X377" s="50"/>
      <c r="Y377" s="50"/>
      <c r="Z377" s="48" t="n">
        <f aca="false">IF(A377="","",IF(AND(Parameter!$B$21="Ja",ISNUMBER(W377)),W377,IF(BZ377="2+3",IF(ISNUMBER(SEARCH("grosser Artikel",BR377)),2,IFERROR(VLOOKUP(BU377,Parameter!$F$35:$G$64,2,0),2)),IF(OR(BZ377="Nein",BZ377=""),"-",BZ377))))</f>
        <v>3</v>
      </c>
      <c r="AA377" s="55"/>
      <c r="AB377" s="56"/>
      <c r="AC377" s="50" t="n">
        <f aca="false">AT377</f>
        <v>9</v>
      </c>
      <c r="AD377" s="50" t="n">
        <f aca="false">MAX(AT377,H377)</f>
        <v>9</v>
      </c>
      <c r="AE377" s="57"/>
      <c r="AF377" s="50" t="n">
        <f aca="false">IF(LEFT(Cockpit!$C$5,1)="A",H377,IF(CE377=1,CF377,IF(LEFT(Cockpit!$C$5,1)="B",AK377,MAX(AK377,H377))))</f>
        <v>5</v>
      </c>
      <c r="AG377" s="50" t="n">
        <f aca="false">IF(BW377=1,0,ROUNDUP(AF377/BV377,0))</f>
        <v>1</v>
      </c>
      <c r="AH377" s="52" t="n">
        <f aca="false">IF(CL377&gt;0,CL377*MAX(1,AF377/X377),IF(BW377=1,IF(AF377&lt;=0,0,CA377*MAX(1,IF(H377&gt;0,AF377/H377,1))),IF(R377&gt;0,AG377/R377,0))/MAX(0.1,N(Parameter!$M$21)))</f>
        <v>0.00961538461538462</v>
      </c>
      <c r="AI377" s="50" t="n">
        <f aca="false">AH377*BY377</f>
        <v>1.49038461538462</v>
      </c>
      <c r="AJ377" s="50" t="n">
        <f aca="false">AF377*G377</f>
        <v>283.1</v>
      </c>
      <c r="AK377" s="50" t="n">
        <f aca="false">ROUNDUP(MAX(J377/IF(CD377&gt;0,CD377,MAX(0.1,N(Cockpit!$C$6))),CG377)/BV377,0)*BV377</f>
        <v>9</v>
      </c>
      <c r="AL377" s="51" t="n">
        <f aca="false">IF(AI377&gt;0,J377/AI377,-1)</f>
        <v>3.35483870967742</v>
      </c>
      <c r="AM377" s="51" t="n">
        <f aca="false">IF(AND(OR(CC377="L1",CC377="L23",CC377="LIFT"),AI377&gt;0),SUMIFS($AI$7:$AI$1843,$CC$7:$CC$1843,CC377,$AL$7:$AL$1843,"&gt;"&amp;AL377)+SUMIFS($AI$7:$AI$1843,$CC$7:$CC$1843,CC377,$AL$7:$AL$1843,AL377,$BT$7:$BT$1843,"&lt;="&amp;BT377),"")</f>
        <v>4913.85714285714</v>
      </c>
      <c r="AN377" s="58" t="n">
        <f aca="false">IF(AM377="",0,MAX(0,MIN(1,(IF(CC377="L1",Parameter!$H$5,IF(CC377="L23",Parameter!$H$6+Parameter!$H$7,Parameter!$H$5+Parameter!$H$6+Parameter!$H$7))-(AM377-AI377))/AI377)))</f>
        <v>1</v>
      </c>
      <c r="AO377" s="50" t="n">
        <f aca="false">IF(LEFT(Cockpit!$I$5,1)="A",H377,IF(CE377=1,CF377,IF(LEFT(Cockpit!$I$5,1)="B",AT377,MAX(AT377,H377))))</f>
        <v>9</v>
      </c>
      <c r="AP377" s="50" t="n">
        <f aca="false">IF(BW377=1,0,ROUNDUP(AO377/BV377,0))</f>
        <v>1</v>
      </c>
      <c r="AQ377" s="52" t="n">
        <f aca="false">IF(CL377&gt;0,CL377*MAX(1,AO377/X377),IF(BW377=1,IF(AO377&lt;=0,0,CA377*MAX(1,IF(H377&gt;0,AO377/H377,1))),IF(R377&gt;0,AP377/R377,0))/MAX(0.1,N(Parameter!$M$21)))</f>
        <v>0.00961538461538462</v>
      </c>
      <c r="AR377" s="50" t="n">
        <f aca="false">AQ377*BY377</f>
        <v>1.49038461538462</v>
      </c>
      <c r="AS377" s="50" t="n">
        <f aca="false">AO377*G377</f>
        <v>509.58</v>
      </c>
      <c r="AT377" s="50" t="n">
        <f aca="false">ROUNDUP(MAX(J377/IF(CD377&gt;0,CD377,MAX(0.1,N(Cockpit!$I$6))),CG377)/BV377,0)*BV377</f>
        <v>9</v>
      </c>
      <c r="AU377" s="51" t="n">
        <f aca="false">IF(AR377&gt;0,J377/AR377,-1)</f>
        <v>3.35483870967742</v>
      </c>
      <c r="AV377" s="51" t="n">
        <f aca="false">IF(AND(OR(CC377="L1",CC377="L23",CC377="LIFT"),AR377&gt;0),SUMIFS($AR$7:$AR$1843,$CC$7:$CC$1843,CC377,$AU$7:$AU$1843,"&gt;"&amp;AU377)+SUMIFS($AR$7:$AR$1843,$CC$7:$CC$1843,CC377,$AU$7:$AU$1843,AU377,$BT$7:$BT$1843,"&lt;="&amp;BT377),"")</f>
        <v>6018.59752747253</v>
      </c>
      <c r="AW377" s="58" t="n">
        <f aca="false">IF(AV377="",0,MAX(0,MIN(1,(IF(CC377="L1",Parameter!$H$5,IF(CC377="L23",Parameter!$H$6+Parameter!$H$7,Parameter!$H$5+Parameter!$H$6+Parameter!$H$7))-(AV377-AR377))/AR377)))</f>
        <v>1</v>
      </c>
      <c r="AX377" s="50" t="n">
        <f aca="false">IF(LEFT(Cockpit!$O$5,1)="A",H377,IF(CE377=1,CF377,IF(LEFT(Cockpit!$O$5,1)="B",BC377,MAX(BC377,H377))))</f>
        <v>9</v>
      </c>
      <c r="AY377" s="50" t="n">
        <f aca="false">IF(BW377=1,0,ROUNDUP(AX377/BV377,0))</f>
        <v>1</v>
      </c>
      <c r="AZ377" s="52" t="n">
        <f aca="false">IF(CL377&gt;0,CL377*MAX(1,AX377/X377),IF(BW377=1,IF(AX377&lt;=0,0,CA377*MAX(1,IF(H377&gt;0,AX377/H377,1))),IF(R377&gt;0,AY377/R377,0))/MAX(0.1,N(Parameter!$M$21)))</f>
        <v>0.00961538461538462</v>
      </c>
      <c r="BA377" s="50" t="n">
        <f aca="false">AZ377*BY377</f>
        <v>1.49038461538462</v>
      </c>
      <c r="BB377" s="50" t="n">
        <f aca="false">AX377*G377</f>
        <v>509.58</v>
      </c>
      <c r="BC377" s="50" t="n">
        <f aca="false">ROUNDUP(MAX(J377/IF(CD377&gt;0,CD377,MAX(0.1,N(Cockpit!$O$6))),CG377)/BV377,0)*BV377</f>
        <v>9</v>
      </c>
      <c r="BD377" s="51" t="n">
        <f aca="false">IF(BA377&gt;0,J377/BA377,-1)</f>
        <v>3.35483870967742</v>
      </c>
      <c r="BE377" s="51" t="n">
        <f aca="false">IF(AND(OR(CC377="L1",CC377="L23",CC377="LIFT"),BA377&gt;0),SUMIFS($BA$7:$BA$1843,$CC$7:$CC$1843,CC377,$BD$7:$BD$1843,"&gt;"&amp;BD377)+SUMIFS($BA$7:$BA$1843,$CC$7:$CC$1843,CC377,$BD$7:$BD$1843,BD377,$BT$7:$BT$1843,"&lt;="&amp;BT377),"")</f>
        <v>6006.43406593407</v>
      </c>
      <c r="BF377" s="58" t="n">
        <f aca="false">IF(BE377="",0,MAX(0,MIN(1,(IF(CC377="L1",Parameter!$H$5,IF(CC377="L23",Parameter!$H$6+Parameter!$H$7,Parameter!$H$5+Parameter!$H$6+Parameter!$H$7))-(BE377-BA377))/BA377)))</f>
        <v>1</v>
      </c>
      <c r="BG377" s="48" t="str">
        <f aca="false">IF(AI377&lt;=0,"",IF(CC377="Aussen","Aussenlager",IF(CC377="-","Nicht im Lift",IF(AN377&gt;=1,"Lift",IF(AN377&lt;=0,"Aussenlager","teilweise")))))</f>
        <v>Lift</v>
      </c>
      <c r="BH377" s="48" t="str">
        <f aca="false">IF(AR377&lt;=0,"",IF(CC377="Aussen","Aussenlager",IF(CC377="-","Nicht im Lift",IF(AW377&gt;=1,"Lift",IF(AW377&lt;=0,"Aussenlager","teilweise")))))</f>
        <v>Lift</v>
      </c>
      <c r="BI377" s="48" t="str">
        <f aca="false">IF(BA377&lt;=0,"",IF(CC377="Aussen","Aussenlager",IF(CC377="-","Nicht im Lift",IF(BF377&gt;=1,"Lift",IF(BF377&lt;=0,"Aussenlager","teilweise")))))</f>
        <v>Lift</v>
      </c>
      <c r="BJ377" s="48" t="str">
        <f aca="false">IF(A377="","",IF(BS377=1,"Neu; ","")&amp;IF(AND(BS377=0,BN377&lt;0),"negativer Bestand (Export "&amp;BN377&amp;"); ","")&amp;IF(J377&lt;=0,"Kein Verbrauch; ","")&amp;IF(CL377&gt;0,"Lift "&amp;W377&amp;" lt. Liftbericht (Fach "&amp;X377&amp;" Stk); ",IF(BX377=1,"Gebinde geschätzt ("&amp;T377&amp;"); ",IF(BW377=1,"Lose – Tablare geschätzt; ","")))&amp;IF(H377&gt;AT377,"Überbestand "&amp;ROUND(H377-AT377,0)&amp;" Stk / CHF "&amp;ROUND((H377-AT377)*G377,0)&amp;"; ","")&amp;IF(AND(CE377=1,CF377&lt;CG377),"MAX &lt; MB+LG; ","")&amp;IF(AND(CK377&gt;0,CJ377*10&gt;CK377),"zu hoch für Tablar; ","")&amp;IF(AND(BS377=0,OR(CE377=1,AA377&lt;&gt;"",U377&lt;&gt;"",V377&lt;&gt;"",AB377&lt;&gt;"")),"manuell übersteuert; ","")&amp;IF(AND(BW377=0,R377=0),"Gebinde unbekannt / Stellmass fehlt; ","")&amp;IF(AND(BW377=0,N(V377)&lt;=0,N(Q377)&lt;=0),"Menge pro Gebinde fehlt (Ist = 1 Gebinde); ","")&amp;BR377)</f>
        <v/>
      </c>
      <c r="BK377" s="48"/>
      <c r="BL377" s="48"/>
      <c r="BM377" s="55"/>
      <c r="BN377" s="50" t="n">
        <v>2</v>
      </c>
      <c r="BO377" s="50" t="n">
        <v>3</v>
      </c>
      <c r="BP377" s="49" t="n">
        <v>136.34</v>
      </c>
      <c r="BQ377" s="50" t="n">
        <v>5</v>
      </c>
      <c r="BR377" s="48"/>
      <c r="BS377" s="53" t="n">
        <v>0</v>
      </c>
      <c r="BT377" s="53" t="n">
        <v>377</v>
      </c>
      <c r="BU377" s="48" t="str">
        <f aca="false">IF(U377&lt;&gt;"",UPPER(TRIM(U377)),IF(BX377=1,UPPER(VLOOKUP(T377,Parameter!$I$27:$K$29,2,0)),IF(P377="","LOSE",P377)))</f>
        <v>S32</v>
      </c>
      <c r="BV377" s="50" t="n">
        <f aca="false">IF(BU377="LOSE",1,IF(N(V377)&gt;0,V377,IF(BX377=1,MAX(1,N(VLOOKUP(T377,Parameter!$I$27:$K$29,3,0)),H377,N(N377)),IF(N(Q377)&gt;0,Q377,MAX(1,H377)))))</f>
        <v>9</v>
      </c>
      <c r="BW377" s="53" t="n">
        <f aca="false">IF(BU377="LOSE",1,0)</f>
        <v>0</v>
      </c>
      <c r="BX377" s="53" t="n">
        <f aca="false">IF(AND(U377="",OR(P377="",P377="LOSE"),T377&lt;&gt;"",N(S377)&lt;=0,ISNUMBER(MATCH(T377,Parameter!$I$27:$I$29,0))),1,0)</f>
        <v>0</v>
      </c>
      <c r="BY377" s="53" t="n">
        <f aca="false">IF(CL377&gt;0,INDEX(Parameter!$H$5:$H$7,W377)/INDEX(Parameter!$E$5:$E$7,W377),IF(AND(BW377=0,N(IFERROR(VLOOKUP(BU377,'Gebinde-Kategorie'!$A$5:$N$45,14,0),0))&gt;0),VLOOKUP(BU377,'Gebinde-Kategorie'!$A$5:$N$45,14,0)*10+Parameter!$M$23,Parameter!$M$24))</f>
        <v>155</v>
      </c>
      <c r="BZ377" s="48" t="str">
        <f aca="false">IF(AND(Parameter!$B$19="Ja",E377&lt;&gt;"",ISNUMBER(MATCH(E377,Parameter!$I$35:$I$52,0))),VLOOKUP(E377,Parameter!$I$35:$J$52,2,0),IFERROR(VLOOKUP(D377,Parameter!$A$35:$C$64,2,0),"Nein"))</f>
        <v>2+3</v>
      </c>
      <c r="CA377" s="52" t="n">
        <f aca="false">IF(BW377=0,0,IF(N(S377)&gt;0,S377,IFERROR(VLOOKUP(D377,Parameter!$A$35:$C$64,3,0)+0,0)))</f>
        <v>0</v>
      </c>
      <c r="CB377" s="48" t="n">
        <f aca="false">IF(AA377&lt;&gt;"",AA377,Z377)</f>
        <v>3</v>
      </c>
      <c r="CC377" s="48" t="str">
        <f aca="false">IF(OR(CB377=1,CB377=2,CB377=3),IF(Parameter!$E$27="Ja","LIFT",IF(CB377=1,"L1","L23")),IF(CB377="Aussen","Aussen","-"))</f>
        <v>LIFT</v>
      </c>
      <c r="CD377" s="59" t="n">
        <f aca="false">IF(N(AB377)&gt;0,AB377,0)</f>
        <v>0</v>
      </c>
      <c r="CE377" s="53" t="n">
        <f aca="false">IF(ISNUMBER(AE377),1,0)</f>
        <v>0</v>
      </c>
      <c r="CF377" s="50" t="n">
        <f aca="false">N(AE377)</f>
        <v>0</v>
      </c>
      <c r="CG377" s="50" t="n">
        <f aca="false">N(M377)+N(N377)</f>
        <v>5</v>
      </c>
      <c r="CH377" s="50" t="n">
        <f aca="false">ROUNDUP(H377/BV377,0)</f>
        <v>1</v>
      </c>
      <c r="CI377" s="50" t="n">
        <f aca="false">ROUNDUP(CF377/BV377,0)</f>
        <v>0</v>
      </c>
      <c r="CJ377" s="53" t="n">
        <f aca="false">IF(BW377=1,0,IFERROR(VLOOKUP(BU377,'Gebinde-Kategorie'!$A$5:$N$45,5,0)+0,0))</f>
        <v>8</v>
      </c>
      <c r="CK377" s="53" t="n">
        <f aca="false">IFERROR(IF(OR(CB377=1,CB377=2,CB377=3),N(INDEX(Parameter!$I$5:$I$7,CB377)),0),0)</f>
        <v>0</v>
      </c>
      <c r="CL377" s="52" t="n">
        <f aca="false">IF(AND(Parameter!$B$21="Ja",ISNUMBER(W377),N(X377)&gt;0),IFERROR(N(INDEX(Parameter!$L$5:$L$7,W377))*INDEX(Parameter!$E$5:$E$7,W377)*X377/SUMIFS($X$7:$X$1843,$W$7:$W$1843,W377),0),0)</f>
        <v>0</v>
      </c>
    </row>
    <row r="378" customFormat="false" ht="15" hidden="false" customHeight="false" outlineLevel="0" collapsed="false">
      <c r="A378" s="48" t="s">
        <v>905</v>
      </c>
      <c r="B378" s="48" t="s">
        <v>906</v>
      </c>
      <c r="C378" s="48" t="s">
        <v>168</v>
      </c>
      <c r="D378" s="48" t="s">
        <v>177</v>
      </c>
      <c r="E378" s="48"/>
      <c r="F378" s="48" t="s">
        <v>222</v>
      </c>
      <c r="G378" s="49" t="n">
        <v>136</v>
      </c>
      <c r="H378" s="50" t="n">
        <f aca="false">MAX(0,IF(AND(Parameter!$B$21="Ja",ISNUMBER(Y378)),Y378,IF(Parameter!$B$20="Jahresanfang 2025 + Export",BO378+BN378,BN378)))</f>
        <v>1</v>
      </c>
      <c r="I378" s="50" t="n">
        <f aca="false">H378*G378</f>
        <v>136</v>
      </c>
      <c r="J378" s="50" t="n">
        <f aca="false">BQ378*Parameter!$B$18</f>
        <v>0</v>
      </c>
      <c r="K378" s="51" t="n">
        <v>0</v>
      </c>
      <c r="L378" s="52" t="n">
        <v>0</v>
      </c>
      <c r="M378" s="50" t="n">
        <v>0</v>
      </c>
      <c r="N378" s="50" t="n">
        <v>1</v>
      </c>
      <c r="O378" s="53" t="n">
        <v>28</v>
      </c>
      <c r="P378" s="48" t="s">
        <v>172</v>
      </c>
      <c r="Q378" s="50"/>
      <c r="R378" s="53" t="n">
        <f aca="false">IF(BW378=1,0,IFERROR(VLOOKUP(BU378,'Gebinde-Kategorie'!$A$5:$N$45,13,0)+0,0))</f>
        <v>12</v>
      </c>
      <c r="S378" s="54"/>
      <c r="T378" s="55" t="s">
        <v>183</v>
      </c>
      <c r="U378" s="55"/>
      <c r="V378" s="55"/>
      <c r="W378" s="48"/>
      <c r="X378" s="50"/>
      <c r="Y378" s="50"/>
      <c r="Z378" s="48" t="n">
        <f aca="false">IF(A378="","",IF(AND(Parameter!$B$21="Ja",ISNUMBER(W378)),W378,IF(BZ378="2+3",IF(ISNUMBER(SEARCH("grosser Artikel",BR378)),2,IFERROR(VLOOKUP(BU378,Parameter!$F$35:$G$64,2,0),2)),IF(OR(BZ378="Nein",BZ378=""),"-",BZ378))))</f>
        <v>2</v>
      </c>
      <c r="AA378" s="55"/>
      <c r="AB378" s="56"/>
      <c r="AC378" s="50" t="n">
        <f aca="false">AT378</f>
        <v>4</v>
      </c>
      <c r="AD378" s="50" t="n">
        <f aca="false">MAX(AT378,H378)</f>
        <v>4</v>
      </c>
      <c r="AE378" s="57"/>
      <c r="AF378" s="50" t="n">
        <f aca="false">IF(LEFT(Cockpit!$C$5,1)="A",H378,IF(CE378=1,CF378,IF(LEFT(Cockpit!$C$5,1)="B",AK378,MAX(AK378,H378))))</f>
        <v>1</v>
      </c>
      <c r="AG378" s="50" t="n">
        <f aca="false">IF(BW378=1,0,ROUNDUP(AF378/BV378,0))</f>
        <v>1</v>
      </c>
      <c r="AH378" s="52" t="n">
        <f aca="false">IF(CL378&gt;0,CL378*MAX(1,AF378/X378),IF(BW378=1,IF(AF378&lt;=0,0,CA378*MAX(1,IF(H378&gt;0,AF378/H378,1))),IF(R378&gt;0,AG378/R378,0))/MAX(0.1,N(Parameter!$M$21)))</f>
        <v>0.0833333333333333</v>
      </c>
      <c r="AI378" s="50" t="n">
        <f aca="false">AH378*BY378</f>
        <v>12.0833333333333</v>
      </c>
      <c r="AJ378" s="50" t="n">
        <f aca="false">AF378*G378</f>
        <v>136</v>
      </c>
      <c r="AK378" s="50" t="n">
        <f aca="false">ROUNDUP(MAX(J378/IF(CD378&gt;0,CD378,MAX(0.1,N(Cockpit!$C$6))),CG378)/BV378,0)*BV378</f>
        <v>4</v>
      </c>
      <c r="AL378" s="51" t="n">
        <f aca="false">IF(AI378&gt;0,J378/AI378,-1)</f>
        <v>0</v>
      </c>
      <c r="AM378" s="51" t="n">
        <f aca="false">IF(AND(OR(CC378="L1",CC378="L23",CC378="LIFT"),AI378&gt;0),SUMIFS($AI$7:$AI$1843,$CC$7:$CC$1843,CC378,$AL$7:$AL$1843,"&gt;"&amp;AL378)+SUMIFS($AI$7:$AI$1843,$CC$7:$CC$1843,CC378,$AL$7:$AL$1843,AL378,$BT$7:$BT$1843,"&lt;="&amp;BT378),"")</f>
        <v>28050.1416516628</v>
      </c>
      <c r="AN378" s="58" t="n">
        <f aca="false">IF(AM378="",0,MAX(0,MIN(1,(IF(CC378="L1",Parameter!$H$5,IF(CC378="L23",Parameter!$H$6+Parameter!$H$7,Parameter!$H$5+Parameter!$H$6+Parameter!$H$7))-(AM378-AI378))/AI378)))</f>
        <v>1</v>
      </c>
      <c r="AO378" s="50" t="n">
        <f aca="false">IF(LEFT(Cockpit!$I$5,1)="A",H378,IF(CE378=1,CF378,IF(LEFT(Cockpit!$I$5,1)="B",AT378,MAX(AT378,H378))))</f>
        <v>4</v>
      </c>
      <c r="AP378" s="50" t="n">
        <f aca="false">IF(BW378=1,0,ROUNDUP(AO378/BV378,0))</f>
        <v>1</v>
      </c>
      <c r="AQ378" s="52" t="n">
        <f aca="false">IF(CL378&gt;0,CL378*MAX(1,AO378/X378),IF(BW378=1,IF(AO378&lt;=0,0,CA378*MAX(1,IF(H378&gt;0,AO378/H378,1))),IF(R378&gt;0,AP378/R378,0))/MAX(0.1,N(Parameter!$M$21)))</f>
        <v>0.0833333333333333</v>
      </c>
      <c r="AR378" s="50" t="n">
        <f aca="false">AQ378*BY378</f>
        <v>12.0833333333333</v>
      </c>
      <c r="AS378" s="50" t="n">
        <f aca="false">AO378*G378</f>
        <v>544</v>
      </c>
      <c r="AT378" s="50" t="n">
        <f aca="false">ROUNDUP(MAX(J378/IF(CD378&gt;0,CD378,MAX(0.1,N(Cockpit!$I$6))),CG378)/BV378,0)*BV378</f>
        <v>4</v>
      </c>
      <c r="AU378" s="51" t="n">
        <f aca="false">IF(AR378&gt;0,J378/AR378,-1)</f>
        <v>0</v>
      </c>
      <c r="AV378" s="51" t="n">
        <f aca="false">IF(AND(OR(CC378="L1",CC378="L23",CC378="LIFT"),AR378&gt;0),SUMIFS($AR$7:$AR$1843,$CC$7:$CC$1843,CC378,$AU$7:$AU$1843,"&gt;"&amp;AU378)+SUMIFS($AR$7:$AR$1843,$CC$7:$CC$1843,CC378,$AU$7:$AU$1843,AU378,$BT$7:$BT$1843,"&lt;="&amp;BT378),"")</f>
        <v>39363.0471689328</v>
      </c>
      <c r="AW378" s="58" t="n">
        <f aca="false">IF(AV378="",0,MAX(0,MIN(1,(IF(CC378="L1",Parameter!$H$5,IF(CC378="L23",Parameter!$H$6+Parameter!$H$7,Parameter!$H$5+Parameter!$H$6+Parameter!$H$7))-(AV378-AR378))/AR378)))</f>
        <v>0</v>
      </c>
      <c r="AX378" s="50" t="n">
        <f aca="false">IF(LEFT(Cockpit!$O$5,1)="A",H378,IF(CE378=1,CF378,IF(LEFT(Cockpit!$O$5,1)="B",BC378,MAX(BC378,H378))))</f>
        <v>4</v>
      </c>
      <c r="AY378" s="50" t="n">
        <f aca="false">IF(BW378=1,0,ROUNDUP(AX378/BV378,0))</f>
        <v>1</v>
      </c>
      <c r="AZ378" s="52" t="n">
        <f aca="false">IF(CL378&gt;0,CL378*MAX(1,AX378/X378),IF(BW378=1,IF(AX378&lt;=0,0,CA378*MAX(1,IF(H378&gt;0,AX378/H378,1))),IF(R378&gt;0,AY378/R378,0))/MAX(0.1,N(Parameter!$M$21)))</f>
        <v>0.0833333333333333</v>
      </c>
      <c r="BA378" s="50" t="n">
        <f aca="false">AZ378*BY378</f>
        <v>12.0833333333333</v>
      </c>
      <c r="BB378" s="50" t="n">
        <f aca="false">AX378*G378</f>
        <v>544</v>
      </c>
      <c r="BC378" s="50" t="n">
        <f aca="false">ROUNDUP(MAX(J378/IF(CD378&gt;0,CD378,MAX(0.1,N(Cockpit!$O$6))),CG378)/BV378,0)*BV378</f>
        <v>4</v>
      </c>
      <c r="BD378" s="51" t="n">
        <f aca="false">IF(BA378&gt;0,J378/BA378,-1)</f>
        <v>0</v>
      </c>
      <c r="BE378" s="51" t="n">
        <f aca="false">IF(AND(OR(CC378="L1",CC378="L23",CC378="LIFT"),BA378&gt;0),SUMIFS($BA$7:$BA$1843,$CC$7:$CC$1843,CC378,$BD$7:$BD$1843,"&gt;"&amp;BD378)+SUMIFS($BA$7:$BA$1843,$CC$7:$CC$1843,CC378,$BD$7:$BD$1843,BD378,$BT$7:$BT$1843,"&lt;="&amp;BT378),"")</f>
        <v>36038.0592107986</v>
      </c>
      <c r="BF378" s="58" t="n">
        <f aca="false">IF(BE378="",0,MAX(0,MIN(1,(IF(CC378="L1",Parameter!$H$5,IF(CC378="L23",Parameter!$H$6+Parameter!$H$7,Parameter!$H$5+Parameter!$H$6+Parameter!$H$7))-(BE378-BA378))/BA378)))</f>
        <v>0</v>
      </c>
      <c r="BG378" s="48" t="str">
        <f aca="false">IF(AI378&lt;=0,"",IF(CC378="Aussen","Aussenlager",IF(CC378="-","Nicht im Lift",IF(AN378&gt;=1,"Lift",IF(AN378&lt;=0,"Aussenlager","teilweise")))))</f>
        <v>Lift</v>
      </c>
      <c r="BH378" s="48" t="str">
        <f aca="false">IF(AR378&lt;=0,"",IF(CC378="Aussen","Aussenlager",IF(CC378="-","Nicht im Lift",IF(AW378&gt;=1,"Lift",IF(AW378&lt;=0,"Aussenlager","teilweise")))))</f>
        <v>Aussenlager</v>
      </c>
      <c r="BI378" s="48" t="str">
        <f aca="false">IF(BA378&lt;=0,"",IF(CC378="Aussen","Aussenlager",IF(CC378="-","Nicht im Lift",IF(BF378&gt;=1,"Lift",IF(BF378&lt;=0,"Aussenlager","teilweise")))))</f>
        <v>Aussenlager</v>
      </c>
      <c r="BJ378" s="48" t="str">
        <f aca="false">IF(A378="","",IF(BS378=1,"Neu; ","")&amp;IF(AND(BS378=0,BN378&lt;0),"negativer Bestand (Export "&amp;BN378&amp;"); ","")&amp;IF(J378&lt;=0,"Kein Verbrauch; ","")&amp;IF(CL378&gt;0,"Lift "&amp;W378&amp;" lt. Liftbericht (Fach "&amp;X378&amp;" Stk); ",IF(BX378=1,"Gebinde geschätzt ("&amp;T378&amp;"); ",IF(BW378=1,"Lose – Tablare geschätzt; ","")))&amp;IF(H378&gt;AT378,"Überbestand "&amp;ROUND(H378-AT378,0)&amp;" Stk / CHF "&amp;ROUND((H378-AT378)*G378,0)&amp;"; ","")&amp;IF(AND(CE378=1,CF378&lt;CG378),"MAX &lt; MB+LG; ","")&amp;IF(AND(CK378&gt;0,CJ378*10&gt;CK378),"zu hoch für Tablar; ","")&amp;IF(AND(BS378=0,OR(CE378=1,AA378&lt;&gt;"",U378&lt;&gt;"",V378&lt;&gt;"",AB378&lt;&gt;"")),"manuell übersteuert; ","")&amp;IF(AND(BW378=0,R378=0),"Gebinde unbekannt / Stellmass fehlt; ","")&amp;IF(AND(BW378=0,N(V378)&lt;=0,N(Q378)&lt;=0),"Menge pro Gebinde fehlt (Ist = 1 Gebinde); ","")&amp;BR378)</f>
        <v>Kein Verbrauch; Gebinde geschätzt (Mittel); Menge pro Gebinde fehlt (Ist = 1 Gebinde); </v>
      </c>
      <c r="BK378" s="48"/>
      <c r="BL378" s="48"/>
      <c r="BM378" s="55"/>
      <c r="BN378" s="50" t="n">
        <v>1</v>
      </c>
      <c r="BO378" s="50" t="n">
        <v>0</v>
      </c>
      <c r="BP378" s="49" t="n">
        <v>136</v>
      </c>
      <c r="BQ378" s="50" t="n">
        <v>0</v>
      </c>
      <c r="BR378" s="48"/>
      <c r="BS378" s="53" t="n">
        <v>0</v>
      </c>
      <c r="BT378" s="53" t="n">
        <v>378</v>
      </c>
      <c r="BU378" s="48" t="str">
        <f aca="false">IF(U378&lt;&gt;"",UPPER(TRIM(U378)),IF(BX378=1,UPPER(VLOOKUP(T378,Parameter!$I$27:$K$29,2,0)),IF(P378="","LOSE",P378)))</f>
        <v>S61</v>
      </c>
      <c r="BV378" s="50" t="n">
        <f aca="false">IF(BU378="LOSE",1,IF(N(V378)&gt;0,V378,IF(BX378=1,MAX(1,N(VLOOKUP(T378,Parameter!$I$27:$K$29,3,0)),H378,N(N378)),IF(N(Q378)&gt;0,Q378,MAX(1,H378)))))</f>
        <v>4</v>
      </c>
      <c r="BW378" s="53" t="n">
        <f aca="false">IF(BU378="LOSE",1,0)</f>
        <v>0</v>
      </c>
      <c r="BX378" s="53" t="n">
        <f aca="false">IF(AND(U378="",OR(P378="",P378="LOSE"),T378&lt;&gt;"",N(S378)&lt;=0,ISNUMBER(MATCH(T378,Parameter!$I$27:$I$29,0))),1,0)</f>
        <v>1</v>
      </c>
      <c r="BY378" s="53" t="n">
        <f aca="false">IF(CL378&gt;0,INDEX(Parameter!$H$5:$H$7,W378)/INDEX(Parameter!$E$5:$E$7,W378),IF(AND(BW378=0,N(IFERROR(VLOOKUP(BU378,'Gebinde-Kategorie'!$A$5:$N$45,14,0),0))&gt;0),VLOOKUP(BU378,'Gebinde-Kategorie'!$A$5:$N$45,14,0)*10+Parameter!$M$23,Parameter!$M$24))</f>
        <v>145</v>
      </c>
      <c r="BZ378" s="48" t="str">
        <f aca="false">IF(AND(Parameter!$B$19="Ja",E378&lt;&gt;"",ISNUMBER(MATCH(E378,Parameter!$I$35:$I$52,0))),VLOOKUP(E378,Parameter!$I$35:$J$52,2,0),IFERROR(VLOOKUP(D378,Parameter!$A$35:$C$64,2,0),"Nein"))</f>
        <v>2+3</v>
      </c>
      <c r="CA378" s="52" t="n">
        <f aca="false">IF(BW378=0,0,IF(N(S378)&gt;0,S378,IFERROR(VLOOKUP(D378,Parameter!$A$35:$C$64,3,0)+0,0)))</f>
        <v>0</v>
      </c>
      <c r="CB378" s="48" t="n">
        <f aca="false">IF(AA378&lt;&gt;"",AA378,Z378)</f>
        <v>2</v>
      </c>
      <c r="CC378" s="48" t="str">
        <f aca="false">IF(OR(CB378=1,CB378=2,CB378=3),IF(Parameter!$E$27="Ja","LIFT",IF(CB378=1,"L1","L23")),IF(CB378="Aussen","Aussen","-"))</f>
        <v>LIFT</v>
      </c>
      <c r="CD378" s="59" t="n">
        <f aca="false">IF(N(AB378)&gt;0,AB378,0)</f>
        <v>0</v>
      </c>
      <c r="CE378" s="53" t="n">
        <f aca="false">IF(ISNUMBER(AE378),1,0)</f>
        <v>0</v>
      </c>
      <c r="CF378" s="50" t="n">
        <f aca="false">N(AE378)</f>
        <v>0</v>
      </c>
      <c r="CG378" s="50" t="n">
        <f aca="false">N(M378)+N(N378)</f>
        <v>1</v>
      </c>
      <c r="CH378" s="50" t="n">
        <f aca="false">ROUNDUP(H378/BV378,0)</f>
        <v>1</v>
      </c>
      <c r="CI378" s="50" t="n">
        <f aca="false">ROUNDUP(CF378/BV378,0)</f>
        <v>0</v>
      </c>
      <c r="CJ378" s="53" t="n">
        <f aca="false">IF(BW378=1,0,IFERROR(VLOOKUP(BU378,'Gebinde-Kategorie'!$A$5:$N$45,5,0)+0,0))</f>
        <v>11</v>
      </c>
      <c r="CK378" s="53" t="n">
        <f aca="false">IFERROR(IF(OR(CB378=1,CB378=2,CB378=3),N(INDEX(Parameter!$I$5:$I$7,CB378)),0),0)</f>
        <v>0</v>
      </c>
      <c r="CL378" s="52" t="n">
        <f aca="false">IF(AND(Parameter!$B$21="Ja",ISNUMBER(W378),N(X378)&gt;0),IFERROR(N(INDEX(Parameter!$L$5:$L$7,W378))*INDEX(Parameter!$E$5:$E$7,W378)*X378/SUMIFS($X$7:$X$1843,$W$7:$W$1843,W378),0),0)</f>
        <v>0</v>
      </c>
    </row>
    <row r="379" customFormat="false" ht="15" hidden="false" customHeight="false" outlineLevel="0" collapsed="false">
      <c r="A379" s="48" t="s">
        <v>907</v>
      </c>
      <c r="B379" s="48" t="s">
        <v>593</v>
      </c>
      <c r="C379" s="48" t="s">
        <v>168</v>
      </c>
      <c r="D379" s="48" t="s">
        <v>188</v>
      </c>
      <c r="E379" s="48" t="s">
        <v>189</v>
      </c>
      <c r="F379" s="48" t="s">
        <v>222</v>
      </c>
      <c r="G379" s="49" t="n">
        <v>21.9</v>
      </c>
      <c r="H379" s="50" t="n">
        <f aca="false">MAX(0,IF(AND(Parameter!$B$21="Ja",ISNUMBER(Y379)),Y379,IF(Parameter!$B$20="Jahresanfang 2025 + Export",BO379+BN379,BN379)))</f>
        <v>34</v>
      </c>
      <c r="I379" s="50" t="n">
        <f aca="false">H379*G379</f>
        <v>744.6</v>
      </c>
      <c r="J379" s="50" t="n">
        <f aca="false">BQ379*Parameter!$B$18</f>
        <v>25</v>
      </c>
      <c r="K379" s="51" t="n">
        <v>48</v>
      </c>
      <c r="L379" s="52" t="n">
        <v>0.520833333333333</v>
      </c>
      <c r="M379" s="50" t="n">
        <v>3</v>
      </c>
      <c r="N379" s="50" t="n">
        <v>25</v>
      </c>
      <c r="O379" s="53" t="n">
        <v>56</v>
      </c>
      <c r="P379" s="48" t="s">
        <v>405</v>
      </c>
      <c r="Q379" s="50" t="n">
        <v>65</v>
      </c>
      <c r="R379" s="53" t="n">
        <f aca="false">IF(BW379=1,0,IFERROR(VLOOKUP(BU379,'Gebinde-Kategorie'!$A$5:$N$45,13,0)+0,0))</f>
        <v>280</v>
      </c>
      <c r="S379" s="54"/>
      <c r="T379" s="55"/>
      <c r="U379" s="55"/>
      <c r="V379" s="55"/>
      <c r="W379" s="48"/>
      <c r="X379" s="50"/>
      <c r="Y379" s="50"/>
      <c r="Z379" s="48" t="n">
        <f aca="false">IF(A379="","",IF(AND(Parameter!$B$21="Ja",ISNUMBER(W379)),W379,IF(BZ379="2+3",IF(ISNUMBER(SEARCH("grosser Artikel",BR379)),2,IFERROR(VLOOKUP(BU379,Parameter!$F$35:$G$64,2,0),2)),IF(OR(BZ379="Nein",BZ379=""),"-",BZ379))))</f>
        <v>3</v>
      </c>
      <c r="AA379" s="55"/>
      <c r="AB379" s="56"/>
      <c r="AC379" s="50" t="n">
        <f aca="false">AT379</f>
        <v>65</v>
      </c>
      <c r="AD379" s="50" t="n">
        <f aca="false">MAX(AT379,H379)</f>
        <v>65</v>
      </c>
      <c r="AE379" s="57"/>
      <c r="AF379" s="50" t="n">
        <f aca="false">IF(LEFT(Cockpit!$C$5,1)="A",H379,IF(CE379=1,CF379,IF(LEFT(Cockpit!$C$5,1)="B",AK379,MAX(AK379,H379))))</f>
        <v>34</v>
      </c>
      <c r="AG379" s="50" t="n">
        <f aca="false">IF(BW379=1,0,ROUNDUP(AF379/BV379,0))</f>
        <v>1</v>
      </c>
      <c r="AH379" s="52" t="n">
        <f aca="false">IF(CL379&gt;0,CL379*MAX(1,AF379/X379),IF(BW379=1,IF(AF379&lt;=0,0,CA379*MAX(1,IF(H379&gt;0,AF379/H379,1))),IF(R379&gt;0,AG379/R379,0))/MAX(0.1,N(Parameter!$M$21)))</f>
        <v>0.00357142857142857</v>
      </c>
      <c r="AI379" s="50" t="n">
        <f aca="false">AH379*BY379</f>
        <v>0.553571428571429</v>
      </c>
      <c r="AJ379" s="50" t="n">
        <f aca="false">AF379*G379</f>
        <v>744.6</v>
      </c>
      <c r="AK379" s="50" t="n">
        <f aca="false">ROUNDUP(MAX(J379/IF(CD379&gt;0,CD379,MAX(0.1,N(Cockpit!$C$6))),CG379)/BV379,0)*BV379</f>
        <v>65</v>
      </c>
      <c r="AL379" s="51" t="n">
        <f aca="false">IF(AI379&gt;0,J379/AI379,-1)</f>
        <v>45.1612903225806</v>
      </c>
      <c r="AM379" s="51" t="n">
        <f aca="false">IF(AND(OR(CC379="L1",CC379="L23",CC379="LIFT"),AI379&gt;0),SUMIFS($AI$7:$AI$1843,$CC$7:$CC$1843,CC379,$AL$7:$AL$1843,"&gt;"&amp;AL379)+SUMIFS($AI$7:$AI$1843,$CC$7:$CC$1843,CC379,$AL$7:$AL$1843,AL379,$BT$7:$BT$1843,"&lt;="&amp;BT379),"")</f>
        <v>1166.61538461538</v>
      </c>
      <c r="AN379" s="58" t="n">
        <f aca="false">IF(AM379="",0,MAX(0,MIN(1,(IF(CC379="L1",Parameter!$H$5,IF(CC379="L23",Parameter!$H$6+Parameter!$H$7,Parameter!$H$5+Parameter!$H$6+Parameter!$H$7))-(AM379-AI379))/AI379)))</f>
        <v>1</v>
      </c>
      <c r="AO379" s="50" t="n">
        <f aca="false">IF(LEFT(Cockpit!$I$5,1)="A",H379,IF(CE379=1,CF379,IF(LEFT(Cockpit!$I$5,1)="B",AT379,MAX(AT379,H379))))</f>
        <v>65</v>
      </c>
      <c r="AP379" s="50" t="n">
        <f aca="false">IF(BW379=1,0,ROUNDUP(AO379/BV379,0))</f>
        <v>1</v>
      </c>
      <c r="AQ379" s="52" t="n">
        <f aca="false">IF(CL379&gt;0,CL379*MAX(1,AO379/X379),IF(BW379=1,IF(AO379&lt;=0,0,CA379*MAX(1,IF(H379&gt;0,AO379/H379,1))),IF(R379&gt;0,AP379/R379,0))/MAX(0.1,N(Parameter!$M$21)))</f>
        <v>0.00357142857142857</v>
      </c>
      <c r="AR379" s="50" t="n">
        <f aca="false">AQ379*BY379</f>
        <v>0.553571428571429</v>
      </c>
      <c r="AS379" s="50" t="n">
        <f aca="false">AO379*G379</f>
        <v>1423.5</v>
      </c>
      <c r="AT379" s="50" t="n">
        <f aca="false">ROUNDUP(MAX(J379/IF(CD379&gt;0,CD379,MAX(0.1,N(Cockpit!$I$6))),CG379)/BV379,0)*BV379</f>
        <v>65</v>
      </c>
      <c r="AU379" s="51" t="n">
        <f aca="false">IF(AR379&gt;0,J379/AR379,-1)</f>
        <v>45.1612903225806</v>
      </c>
      <c r="AV379" s="51" t="n">
        <f aca="false">IF(AND(OR(CC379="L1",CC379="L23",CC379="LIFT"),AR379&gt;0),SUMIFS($AR$7:$AR$1843,$CC$7:$CC$1843,CC379,$AU$7:$AU$1843,"&gt;"&amp;AU379)+SUMIFS($AR$7:$AR$1843,$CC$7:$CC$1843,CC379,$AU$7:$AU$1843,AU379,$BT$7:$BT$1843,"&lt;="&amp;BT379),"")</f>
        <v>1634.8402014652</v>
      </c>
      <c r="AW379" s="58" t="n">
        <f aca="false">IF(AV379="",0,MAX(0,MIN(1,(IF(CC379="L1",Parameter!$H$5,IF(CC379="L23",Parameter!$H$6+Parameter!$H$7,Parameter!$H$5+Parameter!$H$6+Parameter!$H$7))-(AV379-AR379))/AR379)))</f>
        <v>1</v>
      </c>
      <c r="AX379" s="50" t="n">
        <f aca="false">IF(LEFT(Cockpit!$O$5,1)="A",H379,IF(CE379=1,CF379,IF(LEFT(Cockpit!$O$5,1)="B",BC379,MAX(BC379,H379))))</f>
        <v>65</v>
      </c>
      <c r="AY379" s="50" t="n">
        <f aca="false">IF(BW379=1,0,ROUNDUP(AX379/BV379,0))</f>
        <v>1</v>
      </c>
      <c r="AZ379" s="52" t="n">
        <f aca="false">IF(CL379&gt;0,CL379*MAX(1,AX379/X379),IF(BW379=1,IF(AX379&lt;=0,0,CA379*MAX(1,IF(H379&gt;0,AX379/H379,1))),IF(R379&gt;0,AY379/R379,0))/MAX(0.1,N(Parameter!$M$21)))</f>
        <v>0.00357142857142857</v>
      </c>
      <c r="BA379" s="50" t="n">
        <f aca="false">AZ379*BY379</f>
        <v>0.553571428571429</v>
      </c>
      <c r="BB379" s="50" t="n">
        <f aca="false">AX379*G379</f>
        <v>1423.5</v>
      </c>
      <c r="BC379" s="50" t="n">
        <f aca="false">ROUNDUP(MAX(J379/IF(CD379&gt;0,CD379,MAX(0.1,N(Cockpit!$O$6))),CG379)/BV379,0)*BV379</f>
        <v>65</v>
      </c>
      <c r="BD379" s="51" t="n">
        <f aca="false">IF(BA379&gt;0,J379/BA379,-1)</f>
        <v>45.1612903225806</v>
      </c>
      <c r="BE379" s="51" t="n">
        <f aca="false">IF(AND(OR(CC379="L1",CC379="L23",CC379="LIFT"),BA379&gt;0),SUMIFS($BA$7:$BA$1843,$CC$7:$CC$1843,CC379,$BD$7:$BD$1843,"&gt;"&amp;BD379)+SUMIFS($BA$7:$BA$1843,$CC$7:$CC$1843,CC379,$BD$7:$BD$1843,BD379,$BT$7:$BT$1843,"&lt;="&amp;BT379),"")</f>
        <v>1499.76007326007</v>
      </c>
      <c r="BF379" s="58" t="n">
        <f aca="false">IF(BE379="",0,MAX(0,MIN(1,(IF(CC379="L1",Parameter!$H$5,IF(CC379="L23",Parameter!$H$6+Parameter!$H$7,Parameter!$H$5+Parameter!$H$6+Parameter!$H$7))-(BE379-BA379))/BA379)))</f>
        <v>1</v>
      </c>
      <c r="BG379" s="48" t="str">
        <f aca="false">IF(AI379&lt;=0,"",IF(CC379="Aussen","Aussenlager",IF(CC379="-","Nicht im Lift",IF(AN379&gt;=1,"Lift",IF(AN379&lt;=0,"Aussenlager","teilweise")))))</f>
        <v>Lift</v>
      </c>
      <c r="BH379" s="48" t="str">
        <f aca="false">IF(AR379&lt;=0,"",IF(CC379="Aussen","Aussenlager",IF(CC379="-","Nicht im Lift",IF(AW379&gt;=1,"Lift",IF(AW379&lt;=0,"Aussenlager","teilweise")))))</f>
        <v>Lift</v>
      </c>
      <c r="BI379" s="48" t="str">
        <f aca="false">IF(BA379&lt;=0,"",IF(CC379="Aussen","Aussenlager",IF(CC379="-","Nicht im Lift",IF(BF379&gt;=1,"Lift",IF(BF379&lt;=0,"Aussenlager","teilweise")))))</f>
        <v>Lift</v>
      </c>
      <c r="BJ379" s="48" t="str">
        <f aca="false">IF(A379="","",IF(BS379=1,"Neu; ","")&amp;IF(AND(BS379=0,BN379&lt;0),"negativer Bestand (Export "&amp;BN379&amp;"); ","")&amp;IF(J379&lt;=0,"Kein Verbrauch; ","")&amp;IF(CL379&gt;0,"Lift "&amp;W379&amp;" lt. Liftbericht (Fach "&amp;X379&amp;" Stk); ",IF(BX379=1,"Gebinde geschätzt ("&amp;T379&amp;"); ",IF(BW379=1,"Lose – Tablare geschätzt; ","")))&amp;IF(H379&gt;AT379,"Überbestand "&amp;ROUND(H379-AT379,0)&amp;" Stk / CHF "&amp;ROUND((H379-AT379)*G379,0)&amp;"; ","")&amp;IF(AND(CE379=1,CF379&lt;CG379),"MAX &lt; MB+LG; ","")&amp;IF(AND(CK379&gt;0,CJ379*10&gt;CK379),"zu hoch für Tablar; ","")&amp;IF(AND(BS379=0,OR(CE379=1,AA379&lt;&gt;"",U379&lt;&gt;"",V379&lt;&gt;"",AB379&lt;&gt;"")),"manuell übersteuert; ","")&amp;IF(AND(BW379=0,R379=0),"Gebinde unbekannt / Stellmass fehlt; ","")&amp;IF(AND(BW379=0,N(V379)&lt;=0,N(Q379)&lt;=0),"Menge pro Gebinde fehlt (Ist = 1 Gebinde); ","")&amp;BR379)</f>
        <v/>
      </c>
      <c r="BK379" s="48"/>
      <c r="BL379" s="48"/>
      <c r="BM379" s="55"/>
      <c r="BN379" s="50" t="n">
        <v>1</v>
      </c>
      <c r="BO379" s="50" t="n">
        <v>33</v>
      </c>
      <c r="BP379" s="49" t="n">
        <v>135.75</v>
      </c>
      <c r="BQ379" s="50" t="n">
        <v>25</v>
      </c>
      <c r="BR379" s="48"/>
      <c r="BS379" s="53" t="n">
        <v>0</v>
      </c>
      <c r="BT379" s="53" t="n">
        <v>379</v>
      </c>
      <c r="BU379" s="48" t="str">
        <f aca="false">IF(U379&lt;&gt;"",UPPER(TRIM(U379)),IF(BX379=1,UPPER(VLOOKUP(T379,Parameter!$I$27:$K$29,2,0)),IF(P379="","LOSE",P379)))</f>
        <v>S21</v>
      </c>
      <c r="BV379" s="50" t="n">
        <f aca="false">IF(BU379="LOSE",1,IF(N(V379)&gt;0,V379,IF(BX379=1,MAX(1,N(VLOOKUP(T379,Parameter!$I$27:$K$29,3,0)),H379,N(N379)),IF(N(Q379)&gt;0,Q379,MAX(1,H379)))))</f>
        <v>65</v>
      </c>
      <c r="BW379" s="53" t="n">
        <f aca="false">IF(BU379="LOSE",1,0)</f>
        <v>0</v>
      </c>
      <c r="BX379" s="53" t="n">
        <f aca="false">IF(AND(U379="",OR(P379="",P379="LOSE"),T379&lt;&gt;"",N(S379)&lt;=0,ISNUMBER(MATCH(T379,Parameter!$I$27:$I$29,0))),1,0)</f>
        <v>0</v>
      </c>
      <c r="BY379" s="53" t="n">
        <f aca="false">IF(CL379&gt;0,INDEX(Parameter!$H$5:$H$7,W379)/INDEX(Parameter!$E$5:$E$7,W379),IF(AND(BW379=0,N(IFERROR(VLOOKUP(BU379,'Gebinde-Kategorie'!$A$5:$N$45,14,0),0))&gt;0),VLOOKUP(BU379,'Gebinde-Kategorie'!$A$5:$N$45,14,0)*10+Parameter!$M$23,Parameter!$M$24))</f>
        <v>155</v>
      </c>
      <c r="BZ379" s="48" t="str">
        <f aca="false">IF(AND(Parameter!$B$19="Ja",E379&lt;&gt;"",ISNUMBER(MATCH(E379,Parameter!$I$35:$I$52,0))),VLOOKUP(E379,Parameter!$I$35:$J$52,2,0),IFERROR(VLOOKUP(D379,Parameter!$A$35:$C$64,2,0),"Nein"))</f>
        <v>2+3</v>
      </c>
      <c r="CA379" s="52" t="n">
        <f aca="false">IF(BW379=0,0,IF(N(S379)&gt;0,S379,IFERROR(VLOOKUP(D379,Parameter!$A$35:$C$64,3,0)+0,0)))</f>
        <v>0</v>
      </c>
      <c r="CB379" s="48" t="n">
        <f aca="false">IF(AA379&lt;&gt;"",AA379,Z379)</f>
        <v>3</v>
      </c>
      <c r="CC379" s="48" t="str">
        <f aca="false">IF(OR(CB379=1,CB379=2,CB379=3),IF(Parameter!$E$27="Ja","LIFT",IF(CB379=1,"L1","L23")),IF(CB379="Aussen","Aussen","-"))</f>
        <v>LIFT</v>
      </c>
      <c r="CD379" s="59" t="n">
        <f aca="false">IF(N(AB379)&gt;0,AB379,0)</f>
        <v>0</v>
      </c>
      <c r="CE379" s="53" t="n">
        <f aca="false">IF(ISNUMBER(AE379),1,0)</f>
        <v>0</v>
      </c>
      <c r="CF379" s="50" t="n">
        <f aca="false">N(AE379)</f>
        <v>0</v>
      </c>
      <c r="CG379" s="50" t="n">
        <f aca="false">N(M379)+N(N379)</f>
        <v>28</v>
      </c>
      <c r="CH379" s="50" t="n">
        <f aca="false">ROUNDUP(H379/BV379,0)</f>
        <v>1</v>
      </c>
      <c r="CI379" s="50" t="n">
        <f aca="false">ROUNDUP(CF379/BV379,0)</f>
        <v>0</v>
      </c>
      <c r="CJ379" s="53" t="n">
        <f aca="false">IF(BW379=1,0,IFERROR(VLOOKUP(BU379,'Gebinde-Kategorie'!$A$5:$N$45,5,0)+0,0))</f>
        <v>8</v>
      </c>
      <c r="CK379" s="53" t="n">
        <f aca="false">IFERROR(IF(OR(CB379=1,CB379=2,CB379=3),N(INDEX(Parameter!$I$5:$I$7,CB379)),0),0)</f>
        <v>0</v>
      </c>
      <c r="CL379" s="52" t="n">
        <f aca="false">IF(AND(Parameter!$B$21="Ja",ISNUMBER(W379),N(X379)&gt;0),IFERROR(N(INDEX(Parameter!$L$5:$L$7,W379))*INDEX(Parameter!$E$5:$E$7,W379)*X379/SUMIFS($X$7:$X$1843,$W$7:$W$1843,W379),0),0)</f>
        <v>0</v>
      </c>
    </row>
    <row r="380" customFormat="false" ht="15" hidden="false" customHeight="false" outlineLevel="0" collapsed="false">
      <c r="A380" s="48" t="s">
        <v>908</v>
      </c>
      <c r="B380" s="48" t="s">
        <v>909</v>
      </c>
      <c r="C380" s="48" t="s">
        <v>168</v>
      </c>
      <c r="D380" s="48" t="s">
        <v>188</v>
      </c>
      <c r="E380" s="48"/>
      <c r="F380" s="48" t="s">
        <v>222</v>
      </c>
      <c r="G380" s="49" t="n">
        <v>5.43</v>
      </c>
      <c r="H380" s="50" t="n">
        <f aca="false">MAX(0,IF(AND(Parameter!$B$21="Ja",ISNUMBER(Y380)),Y380,IF(Parameter!$B$20="Jahresanfang 2025 + Export",BO380+BN380,BN380)))</f>
        <v>25</v>
      </c>
      <c r="I380" s="50" t="n">
        <f aca="false">H380*G380</f>
        <v>135.75</v>
      </c>
      <c r="J380" s="50" t="n">
        <f aca="false">BQ380*Parameter!$B$18</f>
        <v>0</v>
      </c>
      <c r="K380" s="51" t="n">
        <v>0</v>
      </c>
      <c r="L380" s="52" t="n">
        <v>0</v>
      </c>
      <c r="M380" s="50" t="n">
        <v>0</v>
      </c>
      <c r="N380" s="50" t="n">
        <v>1</v>
      </c>
      <c r="O380" s="53" t="n">
        <v>9999</v>
      </c>
      <c r="P380" s="48" t="s">
        <v>172</v>
      </c>
      <c r="Q380" s="50"/>
      <c r="R380" s="53" t="n">
        <f aca="false">IF(BW380=1,0,IFERROR(VLOOKUP(BU380,'Gebinde-Kategorie'!$A$5:$N$45,13,0)+0,0))</f>
        <v>12</v>
      </c>
      <c r="S380" s="54"/>
      <c r="T380" s="55" t="s">
        <v>183</v>
      </c>
      <c r="U380" s="55"/>
      <c r="V380" s="55"/>
      <c r="W380" s="48"/>
      <c r="X380" s="50"/>
      <c r="Y380" s="50"/>
      <c r="Z380" s="48" t="n">
        <f aca="false">IF(A380="","",IF(AND(Parameter!$B$21="Ja",ISNUMBER(W380)),W380,IF(BZ380="2+3",IF(ISNUMBER(SEARCH("grosser Artikel",BR380)),2,IFERROR(VLOOKUP(BU380,Parameter!$F$35:$G$64,2,0),2)),IF(OR(BZ380="Nein",BZ380=""),"-",BZ380))))</f>
        <v>2</v>
      </c>
      <c r="AA380" s="55"/>
      <c r="AB380" s="56"/>
      <c r="AC380" s="50" t="n">
        <f aca="false">AT380</f>
        <v>25</v>
      </c>
      <c r="AD380" s="50" t="n">
        <f aca="false">MAX(AT380,H380)</f>
        <v>25</v>
      </c>
      <c r="AE380" s="57"/>
      <c r="AF380" s="50" t="n">
        <f aca="false">IF(LEFT(Cockpit!$C$5,1)="A",H380,IF(CE380=1,CF380,IF(LEFT(Cockpit!$C$5,1)="B",AK380,MAX(AK380,H380))))</f>
        <v>25</v>
      </c>
      <c r="AG380" s="50" t="n">
        <f aca="false">IF(BW380=1,0,ROUNDUP(AF380/BV380,0))</f>
        <v>1</v>
      </c>
      <c r="AH380" s="52" t="n">
        <f aca="false">IF(CL380&gt;0,CL380*MAX(1,AF380/X380),IF(BW380=1,IF(AF380&lt;=0,0,CA380*MAX(1,IF(H380&gt;0,AF380/H380,1))),IF(R380&gt;0,AG380/R380,0))/MAX(0.1,N(Parameter!$M$21)))</f>
        <v>0.0833333333333333</v>
      </c>
      <c r="AI380" s="50" t="n">
        <f aca="false">AH380*BY380</f>
        <v>12.0833333333333</v>
      </c>
      <c r="AJ380" s="50" t="n">
        <f aca="false">AF380*G380</f>
        <v>135.75</v>
      </c>
      <c r="AK380" s="50" t="n">
        <f aca="false">ROUNDUP(MAX(J380/IF(CD380&gt;0,CD380,MAX(0.1,N(Cockpit!$C$6))),CG380)/BV380,0)*BV380</f>
        <v>25</v>
      </c>
      <c r="AL380" s="51" t="n">
        <f aca="false">IF(AI380&gt;0,J380/AI380,-1)</f>
        <v>0</v>
      </c>
      <c r="AM380" s="51" t="n">
        <f aca="false">IF(AND(OR(CC380="L1",CC380="L23",CC380="LIFT"),AI380&gt;0),SUMIFS($AI$7:$AI$1843,$CC$7:$CC$1843,CC380,$AL$7:$AL$1843,"&gt;"&amp;AL380)+SUMIFS($AI$7:$AI$1843,$CC$7:$CC$1843,CC380,$AL$7:$AL$1843,AL380,$BT$7:$BT$1843,"&lt;="&amp;BT380),"")</f>
        <v>28062.2249849962</v>
      </c>
      <c r="AN380" s="58" t="n">
        <f aca="false">IF(AM380="",0,MAX(0,MIN(1,(IF(CC380="L1",Parameter!$H$5,IF(CC380="L23",Parameter!$H$6+Parameter!$H$7,Parameter!$H$5+Parameter!$H$6+Parameter!$H$7))-(AM380-AI380))/AI380)))</f>
        <v>1</v>
      </c>
      <c r="AO380" s="50" t="n">
        <f aca="false">IF(LEFT(Cockpit!$I$5,1)="A",H380,IF(CE380=1,CF380,IF(LEFT(Cockpit!$I$5,1)="B",AT380,MAX(AT380,H380))))</f>
        <v>25</v>
      </c>
      <c r="AP380" s="50" t="n">
        <f aca="false">IF(BW380=1,0,ROUNDUP(AO380/BV380,0))</f>
        <v>1</v>
      </c>
      <c r="AQ380" s="52" t="n">
        <f aca="false">IF(CL380&gt;0,CL380*MAX(1,AO380/X380),IF(BW380=1,IF(AO380&lt;=0,0,CA380*MAX(1,IF(H380&gt;0,AO380/H380,1))),IF(R380&gt;0,AP380/R380,0))/MAX(0.1,N(Parameter!$M$21)))</f>
        <v>0.0833333333333333</v>
      </c>
      <c r="AR380" s="50" t="n">
        <f aca="false">AQ380*BY380</f>
        <v>12.0833333333333</v>
      </c>
      <c r="AS380" s="50" t="n">
        <f aca="false">AO380*G380</f>
        <v>135.75</v>
      </c>
      <c r="AT380" s="50" t="n">
        <f aca="false">ROUNDUP(MAX(J380/IF(CD380&gt;0,CD380,MAX(0.1,N(Cockpit!$I$6))),CG380)/BV380,0)*BV380</f>
        <v>25</v>
      </c>
      <c r="AU380" s="51" t="n">
        <f aca="false">IF(AR380&gt;0,J380/AR380,-1)</f>
        <v>0</v>
      </c>
      <c r="AV380" s="51" t="n">
        <f aca="false">IF(AND(OR(CC380="L1",CC380="L23",CC380="LIFT"),AR380&gt;0),SUMIFS($AR$7:$AR$1843,$CC$7:$CC$1843,CC380,$AU$7:$AU$1843,"&gt;"&amp;AU380)+SUMIFS($AR$7:$AR$1843,$CC$7:$CC$1843,CC380,$AU$7:$AU$1843,AU380,$BT$7:$BT$1843,"&lt;="&amp;BT380),"")</f>
        <v>39375.1305022661</v>
      </c>
      <c r="AW380" s="58" t="n">
        <f aca="false">IF(AV380="",0,MAX(0,MIN(1,(IF(CC380="L1",Parameter!$H$5,IF(CC380="L23",Parameter!$H$6+Parameter!$H$7,Parameter!$H$5+Parameter!$H$6+Parameter!$H$7))-(AV380-AR380))/AR380)))</f>
        <v>0</v>
      </c>
      <c r="AX380" s="50" t="n">
        <f aca="false">IF(LEFT(Cockpit!$O$5,1)="A",H380,IF(CE380=1,CF380,IF(LEFT(Cockpit!$O$5,1)="B",BC380,MAX(BC380,H380))))</f>
        <v>25</v>
      </c>
      <c r="AY380" s="50" t="n">
        <f aca="false">IF(BW380=1,0,ROUNDUP(AX380/BV380,0))</f>
        <v>1</v>
      </c>
      <c r="AZ380" s="52" t="n">
        <f aca="false">IF(CL380&gt;0,CL380*MAX(1,AX380/X380),IF(BW380=1,IF(AX380&lt;=0,0,CA380*MAX(1,IF(H380&gt;0,AX380/H380,1))),IF(R380&gt;0,AY380/R380,0))/MAX(0.1,N(Parameter!$M$21)))</f>
        <v>0.0833333333333333</v>
      </c>
      <c r="BA380" s="50" t="n">
        <f aca="false">AZ380*BY380</f>
        <v>12.0833333333333</v>
      </c>
      <c r="BB380" s="50" t="n">
        <f aca="false">AX380*G380</f>
        <v>135.75</v>
      </c>
      <c r="BC380" s="50" t="n">
        <f aca="false">ROUNDUP(MAX(J380/IF(CD380&gt;0,CD380,MAX(0.1,N(Cockpit!$O$6))),CG380)/BV380,0)*BV380</f>
        <v>25</v>
      </c>
      <c r="BD380" s="51" t="n">
        <f aca="false">IF(BA380&gt;0,J380/BA380,-1)</f>
        <v>0</v>
      </c>
      <c r="BE380" s="51" t="n">
        <f aca="false">IF(AND(OR(CC380="L1",CC380="L23",CC380="LIFT"),BA380&gt;0),SUMIFS($BA$7:$BA$1843,$CC$7:$CC$1843,CC380,$BD$7:$BD$1843,"&gt;"&amp;BD380)+SUMIFS($BA$7:$BA$1843,$CC$7:$CC$1843,CC380,$BD$7:$BD$1843,BD380,$BT$7:$BT$1843,"&lt;="&amp;BT380),"")</f>
        <v>36050.142544132</v>
      </c>
      <c r="BF380" s="58" t="n">
        <f aca="false">IF(BE380="",0,MAX(0,MIN(1,(IF(CC380="L1",Parameter!$H$5,IF(CC380="L23",Parameter!$H$6+Parameter!$H$7,Parameter!$H$5+Parameter!$H$6+Parameter!$H$7))-(BE380-BA380))/BA380)))</f>
        <v>0</v>
      </c>
      <c r="BG380" s="48" t="str">
        <f aca="false">IF(AI380&lt;=0,"",IF(CC380="Aussen","Aussenlager",IF(CC380="-","Nicht im Lift",IF(AN380&gt;=1,"Lift",IF(AN380&lt;=0,"Aussenlager","teilweise")))))</f>
        <v>Lift</v>
      </c>
      <c r="BH380" s="48" t="str">
        <f aca="false">IF(AR380&lt;=0,"",IF(CC380="Aussen","Aussenlager",IF(CC380="-","Nicht im Lift",IF(AW380&gt;=1,"Lift",IF(AW380&lt;=0,"Aussenlager","teilweise")))))</f>
        <v>Aussenlager</v>
      </c>
      <c r="BI380" s="48" t="str">
        <f aca="false">IF(BA380&lt;=0,"",IF(CC380="Aussen","Aussenlager",IF(CC380="-","Nicht im Lift",IF(BF380&gt;=1,"Lift",IF(BF380&lt;=0,"Aussenlager","teilweise")))))</f>
        <v>Aussenlager</v>
      </c>
      <c r="BJ380" s="48" t="str">
        <f aca="false">IF(A380="","",IF(BS380=1,"Neu; ","")&amp;IF(AND(BS380=0,BN380&lt;0),"negativer Bestand (Export "&amp;BN380&amp;"); ","")&amp;IF(J380&lt;=0,"Kein Verbrauch; ","")&amp;IF(CL380&gt;0,"Lift "&amp;W380&amp;" lt. Liftbericht (Fach "&amp;X380&amp;" Stk); ",IF(BX380=1,"Gebinde geschätzt ("&amp;T380&amp;"); ",IF(BW380=1,"Lose – Tablare geschätzt; ","")))&amp;IF(H380&gt;AT380,"Überbestand "&amp;ROUND(H380-AT380,0)&amp;" Stk / CHF "&amp;ROUND((H380-AT380)*G380,0)&amp;"; ","")&amp;IF(AND(CE380=1,CF380&lt;CG380),"MAX &lt; MB+LG; ","")&amp;IF(AND(CK380&gt;0,CJ380*10&gt;CK380),"zu hoch für Tablar; ","")&amp;IF(AND(BS380=0,OR(CE380=1,AA380&lt;&gt;"",U380&lt;&gt;"",V380&lt;&gt;"",AB380&lt;&gt;"")),"manuell übersteuert; ","")&amp;IF(AND(BW380=0,R380=0),"Gebinde unbekannt / Stellmass fehlt; ","")&amp;IF(AND(BW380=0,N(V380)&lt;=0,N(Q380)&lt;=0),"Menge pro Gebinde fehlt (Ist = 1 Gebinde); ","")&amp;BR380)</f>
        <v>Kein Verbrauch; Gebinde geschätzt (Mittel); Menge pro Gebinde fehlt (Ist = 1 Gebinde); </v>
      </c>
      <c r="BK380" s="48"/>
      <c r="BL380" s="48"/>
      <c r="BM380" s="55"/>
      <c r="BN380" s="50" t="n">
        <v>25</v>
      </c>
      <c r="BO380" s="50" t="n">
        <v>0</v>
      </c>
      <c r="BP380" s="49" t="n">
        <v>135.75</v>
      </c>
      <c r="BQ380" s="50" t="n">
        <v>0</v>
      </c>
      <c r="BR380" s="48"/>
      <c r="BS380" s="53" t="n">
        <v>0</v>
      </c>
      <c r="BT380" s="53" t="n">
        <v>380</v>
      </c>
      <c r="BU380" s="48" t="str">
        <f aca="false">IF(U380&lt;&gt;"",UPPER(TRIM(U380)),IF(BX380=1,UPPER(VLOOKUP(T380,Parameter!$I$27:$K$29,2,0)),IF(P380="","LOSE",P380)))</f>
        <v>S61</v>
      </c>
      <c r="BV380" s="50" t="n">
        <f aca="false">IF(BU380="LOSE",1,IF(N(V380)&gt;0,V380,IF(BX380=1,MAX(1,N(VLOOKUP(T380,Parameter!$I$27:$K$29,3,0)),H380,N(N380)),IF(N(Q380)&gt;0,Q380,MAX(1,H380)))))</f>
        <v>25</v>
      </c>
      <c r="BW380" s="53" t="n">
        <f aca="false">IF(BU380="LOSE",1,0)</f>
        <v>0</v>
      </c>
      <c r="BX380" s="53" t="n">
        <f aca="false">IF(AND(U380="",OR(P380="",P380="LOSE"),T380&lt;&gt;"",N(S380)&lt;=0,ISNUMBER(MATCH(T380,Parameter!$I$27:$I$29,0))),1,0)</f>
        <v>1</v>
      </c>
      <c r="BY380" s="53" t="n">
        <f aca="false">IF(CL380&gt;0,INDEX(Parameter!$H$5:$H$7,W380)/INDEX(Parameter!$E$5:$E$7,W380),IF(AND(BW380=0,N(IFERROR(VLOOKUP(BU380,'Gebinde-Kategorie'!$A$5:$N$45,14,0),0))&gt;0),VLOOKUP(BU380,'Gebinde-Kategorie'!$A$5:$N$45,14,0)*10+Parameter!$M$23,Parameter!$M$24))</f>
        <v>145</v>
      </c>
      <c r="BZ380" s="48" t="str">
        <f aca="false">IF(AND(Parameter!$B$19="Ja",E380&lt;&gt;"",ISNUMBER(MATCH(E380,Parameter!$I$35:$I$52,0))),VLOOKUP(E380,Parameter!$I$35:$J$52,2,0),IFERROR(VLOOKUP(D380,Parameter!$A$35:$C$64,2,0),"Nein"))</f>
        <v>2+3</v>
      </c>
      <c r="CA380" s="52" t="n">
        <f aca="false">IF(BW380=0,0,IF(N(S380)&gt;0,S380,IFERROR(VLOOKUP(D380,Parameter!$A$35:$C$64,3,0)+0,0)))</f>
        <v>0</v>
      </c>
      <c r="CB380" s="48" t="n">
        <f aca="false">IF(AA380&lt;&gt;"",AA380,Z380)</f>
        <v>2</v>
      </c>
      <c r="CC380" s="48" t="str">
        <f aca="false">IF(OR(CB380=1,CB380=2,CB380=3),IF(Parameter!$E$27="Ja","LIFT",IF(CB380=1,"L1","L23")),IF(CB380="Aussen","Aussen","-"))</f>
        <v>LIFT</v>
      </c>
      <c r="CD380" s="59" t="n">
        <f aca="false">IF(N(AB380)&gt;0,AB380,0)</f>
        <v>0</v>
      </c>
      <c r="CE380" s="53" t="n">
        <f aca="false">IF(ISNUMBER(AE380),1,0)</f>
        <v>0</v>
      </c>
      <c r="CF380" s="50" t="n">
        <f aca="false">N(AE380)</f>
        <v>0</v>
      </c>
      <c r="CG380" s="50" t="n">
        <f aca="false">N(M380)+N(N380)</f>
        <v>1</v>
      </c>
      <c r="CH380" s="50" t="n">
        <f aca="false">ROUNDUP(H380/BV380,0)</f>
        <v>1</v>
      </c>
      <c r="CI380" s="50" t="n">
        <f aca="false">ROUNDUP(CF380/BV380,0)</f>
        <v>0</v>
      </c>
      <c r="CJ380" s="53" t="n">
        <f aca="false">IF(BW380=1,0,IFERROR(VLOOKUP(BU380,'Gebinde-Kategorie'!$A$5:$N$45,5,0)+0,0))</f>
        <v>11</v>
      </c>
      <c r="CK380" s="53" t="n">
        <f aca="false">IFERROR(IF(OR(CB380=1,CB380=2,CB380=3),N(INDEX(Parameter!$I$5:$I$7,CB380)),0),0)</f>
        <v>0</v>
      </c>
      <c r="CL380" s="52" t="n">
        <f aca="false">IF(AND(Parameter!$B$21="Ja",ISNUMBER(W380),N(X380)&gt;0),IFERROR(N(INDEX(Parameter!$L$5:$L$7,W380))*INDEX(Parameter!$E$5:$E$7,W380)*X380/SUMIFS($X$7:$X$1843,$W$7:$W$1843,W380),0),0)</f>
        <v>0</v>
      </c>
    </row>
    <row r="381" customFormat="false" ht="15" hidden="false" customHeight="false" outlineLevel="0" collapsed="false">
      <c r="A381" s="48" t="s">
        <v>910</v>
      </c>
      <c r="B381" s="48" t="s">
        <v>911</v>
      </c>
      <c r="C381" s="48" t="s">
        <v>168</v>
      </c>
      <c r="D381" s="48" t="s">
        <v>188</v>
      </c>
      <c r="E381" s="48"/>
      <c r="F381" s="48" t="s">
        <v>222</v>
      </c>
      <c r="G381" s="49" t="n">
        <v>0.8</v>
      </c>
      <c r="H381" s="50" t="n">
        <f aca="false">MAX(0,IF(AND(Parameter!$B$21="Ja",ISNUMBER(Y381)),Y381,IF(Parameter!$B$20="Jahresanfang 2025 + Export",BO381+BN381,BN381)))</f>
        <v>449</v>
      </c>
      <c r="I381" s="50" t="n">
        <f aca="false">H381*G381</f>
        <v>359.2</v>
      </c>
      <c r="J381" s="50" t="n">
        <f aca="false">BQ381*Parameter!$B$18</f>
        <v>206</v>
      </c>
      <c r="K381" s="51" t="n">
        <v>264.5</v>
      </c>
      <c r="L381" s="52" t="n">
        <v>0.77882797731569</v>
      </c>
      <c r="M381" s="50" t="n">
        <v>12</v>
      </c>
      <c r="N381" s="50" t="n">
        <v>250</v>
      </c>
      <c r="O381" s="53" t="n">
        <v>21</v>
      </c>
      <c r="P381" s="48" t="s">
        <v>172</v>
      </c>
      <c r="Q381" s="50"/>
      <c r="R381" s="53" t="n">
        <f aca="false">IF(BW381=1,0,IFERROR(VLOOKUP(BU381,'Gebinde-Kategorie'!$A$5:$N$45,13,0)+0,0))</f>
        <v>26</v>
      </c>
      <c r="S381" s="54"/>
      <c r="T381" s="55" t="s">
        <v>279</v>
      </c>
      <c r="U381" s="55"/>
      <c r="V381" s="55"/>
      <c r="W381" s="48"/>
      <c r="X381" s="50"/>
      <c r="Y381" s="50"/>
      <c r="Z381" s="48" t="n">
        <f aca="false">IF(A381="","",IF(AND(Parameter!$B$21="Ja",ISNUMBER(W381)),W381,IF(BZ381="2+3",IF(ISNUMBER(SEARCH("grosser Artikel",BR381)),2,IFERROR(VLOOKUP(BU381,Parameter!$F$35:$G$64,2,0),2)),IF(OR(BZ381="Nein",BZ381=""),"-",BZ381))))</f>
        <v>3</v>
      </c>
      <c r="AA381" s="55"/>
      <c r="AB381" s="56"/>
      <c r="AC381" s="50" t="n">
        <f aca="false">AT381</f>
        <v>449</v>
      </c>
      <c r="AD381" s="50" t="n">
        <f aca="false">MAX(AT381,H381)</f>
        <v>449</v>
      </c>
      <c r="AE381" s="57"/>
      <c r="AF381" s="50" t="n">
        <f aca="false">IF(LEFT(Cockpit!$C$5,1)="A",H381,IF(CE381=1,CF381,IF(LEFT(Cockpit!$C$5,1)="B",AK381,MAX(AK381,H381))))</f>
        <v>449</v>
      </c>
      <c r="AG381" s="50" t="n">
        <f aca="false">IF(BW381=1,0,ROUNDUP(AF381/BV381,0))</f>
        <v>1</v>
      </c>
      <c r="AH381" s="52" t="n">
        <f aca="false">IF(CL381&gt;0,CL381*MAX(1,AF381/X381),IF(BW381=1,IF(AF381&lt;=0,0,CA381*MAX(1,IF(H381&gt;0,AF381/H381,1))),IF(R381&gt;0,AG381/R381,0))/MAX(0.1,N(Parameter!$M$21)))</f>
        <v>0.0384615384615385</v>
      </c>
      <c r="AI381" s="50" t="n">
        <f aca="false">AH381*BY381</f>
        <v>5.96153846153846</v>
      </c>
      <c r="AJ381" s="50" t="n">
        <f aca="false">AF381*G381</f>
        <v>359.2</v>
      </c>
      <c r="AK381" s="50" t="n">
        <f aca="false">ROUNDUP(MAX(J381/IF(CD381&gt;0,CD381,MAX(0.1,N(Cockpit!$C$6))),CG381)/BV381,0)*BV381</f>
        <v>449</v>
      </c>
      <c r="AL381" s="51" t="n">
        <f aca="false">IF(AI381&gt;0,J381/AI381,-1)</f>
        <v>34.5548387096774</v>
      </c>
      <c r="AM381" s="51" t="n">
        <f aca="false">IF(AND(OR(CC381="L1",CC381="L23",CC381="LIFT"),AI381&gt;0),SUMIFS($AI$7:$AI$1843,$CC$7:$CC$1843,CC381,$AL$7:$AL$1843,"&gt;"&amp;AL381)+SUMIFS($AI$7:$AI$1843,$CC$7:$CC$1843,CC381,$AL$7:$AL$1843,AL381,$BT$7:$BT$1843,"&lt;="&amp;BT381),"")</f>
        <v>1298.75686813187</v>
      </c>
      <c r="AN381" s="58" t="n">
        <f aca="false">IF(AM381="",0,MAX(0,MIN(1,(IF(CC381="L1",Parameter!$H$5,IF(CC381="L23",Parameter!$H$6+Parameter!$H$7,Parameter!$H$5+Parameter!$H$6+Parameter!$H$7))-(AM381-AI381))/AI381)))</f>
        <v>1</v>
      </c>
      <c r="AO381" s="50" t="n">
        <f aca="false">IF(LEFT(Cockpit!$I$5,1)="A",H381,IF(CE381=1,CF381,IF(LEFT(Cockpit!$I$5,1)="B",AT381,MAX(AT381,H381))))</f>
        <v>449</v>
      </c>
      <c r="AP381" s="50" t="n">
        <f aca="false">IF(BW381=1,0,ROUNDUP(AO381/BV381,0))</f>
        <v>1</v>
      </c>
      <c r="AQ381" s="52" t="n">
        <f aca="false">IF(CL381&gt;0,CL381*MAX(1,AO381/X381),IF(BW381=1,IF(AO381&lt;=0,0,CA381*MAX(1,IF(H381&gt;0,AO381/H381,1))),IF(R381&gt;0,AP381/R381,0))/MAX(0.1,N(Parameter!$M$21)))</f>
        <v>0.0384615384615385</v>
      </c>
      <c r="AR381" s="50" t="n">
        <f aca="false">AQ381*BY381</f>
        <v>5.96153846153846</v>
      </c>
      <c r="AS381" s="50" t="n">
        <f aca="false">AO381*G381</f>
        <v>359.2</v>
      </c>
      <c r="AT381" s="50" t="n">
        <f aca="false">ROUNDUP(MAX(J381/IF(CD381&gt;0,CD381,MAX(0.1,N(Cockpit!$I$6))),CG381)/BV381,0)*BV381</f>
        <v>449</v>
      </c>
      <c r="AU381" s="51" t="n">
        <f aca="false">IF(AR381&gt;0,J381/AR381,-1)</f>
        <v>34.5548387096774</v>
      </c>
      <c r="AV381" s="51" t="n">
        <f aca="false">IF(AND(OR(CC381="L1",CC381="L23",CC381="LIFT"),AR381&gt;0),SUMIFS($AR$7:$AR$1843,$CC$7:$CC$1843,CC381,$AU$7:$AU$1843,"&gt;"&amp;AU381)+SUMIFS($AR$7:$AR$1843,$CC$7:$CC$1843,CC381,$AU$7:$AU$1843,AU381,$BT$7:$BT$1843,"&lt;="&amp;BT381),"")</f>
        <v>1815.81181318681</v>
      </c>
      <c r="AW381" s="58" t="n">
        <f aca="false">IF(AV381="",0,MAX(0,MIN(1,(IF(CC381="L1",Parameter!$H$5,IF(CC381="L23",Parameter!$H$6+Parameter!$H$7,Parameter!$H$5+Parameter!$H$6+Parameter!$H$7))-(AV381-AR381))/AR381)))</f>
        <v>1</v>
      </c>
      <c r="AX381" s="50" t="n">
        <f aca="false">IF(LEFT(Cockpit!$O$5,1)="A",H381,IF(CE381=1,CF381,IF(LEFT(Cockpit!$O$5,1)="B",BC381,MAX(BC381,H381))))</f>
        <v>449</v>
      </c>
      <c r="AY381" s="50" t="n">
        <f aca="false">IF(BW381=1,0,ROUNDUP(AX381/BV381,0))</f>
        <v>1</v>
      </c>
      <c r="AZ381" s="52" t="n">
        <f aca="false">IF(CL381&gt;0,CL381*MAX(1,AX381/X381),IF(BW381=1,IF(AX381&lt;=0,0,CA381*MAX(1,IF(H381&gt;0,AX381/H381,1))),IF(R381&gt;0,AY381/R381,0))/MAX(0.1,N(Parameter!$M$21)))</f>
        <v>0.0384615384615385</v>
      </c>
      <c r="BA381" s="50" t="n">
        <f aca="false">AZ381*BY381</f>
        <v>5.96153846153846</v>
      </c>
      <c r="BB381" s="50" t="n">
        <f aca="false">AX381*G381</f>
        <v>359.2</v>
      </c>
      <c r="BC381" s="50" t="n">
        <f aca="false">ROUNDUP(MAX(J381/IF(CD381&gt;0,CD381,MAX(0.1,N(Cockpit!$O$6))),CG381)/BV381,0)*BV381</f>
        <v>449</v>
      </c>
      <c r="BD381" s="51" t="n">
        <f aca="false">IF(BA381&gt;0,J381/BA381,-1)</f>
        <v>34.5548387096774</v>
      </c>
      <c r="BE381" s="51" t="n">
        <f aca="false">IF(AND(OR(CC381="L1",CC381="L23",CC381="LIFT"),BA381&gt;0),SUMIFS($BA$7:$BA$1843,$CC$7:$CC$1843,CC381,$BD$7:$BD$1843,"&gt;"&amp;BD381)+SUMIFS($BA$7:$BA$1843,$CC$7:$CC$1843,CC381,$BD$7:$BD$1843,BD381,$BT$7:$BT$1843,"&lt;="&amp;BT381),"")</f>
        <v>1651.50091575092</v>
      </c>
      <c r="BF381" s="58" t="n">
        <f aca="false">IF(BE381="",0,MAX(0,MIN(1,(IF(CC381="L1",Parameter!$H$5,IF(CC381="L23",Parameter!$H$6+Parameter!$H$7,Parameter!$H$5+Parameter!$H$6+Parameter!$H$7))-(BE381-BA381))/BA381)))</f>
        <v>1</v>
      </c>
      <c r="BG381" s="48" t="str">
        <f aca="false">IF(AI381&lt;=0,"",IF(CC381="Aussen","Aussenlager",IF(CC381="-","Nicht im Lift",IF(AN381&gt;=1,"Lift",IF(AN381&lt;=0,"Aussenlager","teilweise")))))</f>
        <v>Lift</v>
      </c>
      <c r="BH381" s="48" t="str">
        <f aca="false">IF(AR381&lt;=0,"",IF(CC381="Aussen","Aussenlager",IF(CC381="-","Nicht im Lift",IF(AW381&gt;=1,"Lift",IF(AW381&lt;=0,"Aussenlager","teilweise")))))</f>
        <v>Lift</v>
      </c>
      <c r="BI381" s="48" t="str">
        <f aca="false">IF(BA381&lt;=0,"",IF(CC381="Aussen","Aussenlager",IF(CC381="-","Nicht im Lift",IF(BF381&gt;=1,"Lift",IF(BF381&lt;=0,"Aussenlager","teilweise")))))</f>
        <v>Lift</v>
      </c>
      <c r="BJ381" s="48" t="str">
        <f aca="false">IF(A381="","",IF(BS381=1,"Neu; ","")&amp;IF(AND(BS381=0,BN381&lt;0),"negativer Bestand (Export "&amp;BN381&amp;"); ","")&amp;IF(J381&lt;=0,"Kein Verbrauch; ","")&amp;IF(CL381&gt;0,"Lift "&amp;W381&amp;" lt. Liftbericht (Fach "&amp;X381&amp;" Stk); ",IF(BX381=1,"Gebinde geschätzt ("&amp;T381&amp;"); ",IF(BW381=1,"Lose – Tablare geschätzt; ","")))&amp;IF(H381&gt;AT381,"Überbestand "&amp;ROUND(H381-AT381,0)&amp;" Stk / CHF "&amp;ROUND((H381-AT381)*G381,0)&amp;"; ","")&amp;IF(AND(CE381=1,CF381&lt;CG381),"MAX &lt; MB+LG; ","")&amp;IF(AND(CK381&gt;0,CJ381*10&gt;CK381),"zu hoch für Tablar; ","")&amp;IF(AND(BS381=0,OR(CE381=1,AA381&lt;&gt;"",U381&lt;&gt;"",V381&lt;&gt;"",AB381&lt;&gt;"")),"manuell übersteuert; ","")&amp;IF(AND(BW381=0,R381=0),"Gebinde unbekannt / Stellmass fehlt; ","")&amp;IF(AND(BW381=0,N(V381)&lt;=0,N(Q381)&lt;=0),"Menge pro Gebinde fehlt (Ist = 1 Gebinde); ","")&amp;BR381)</f>
        <v>Gebinde geschätzt (Klein); Menge pro Gebinde fehlt (Ist = 1 Gebinde); </v>
      </c>
      <c r="BK381" s="48"/>
      <c r="BL381" s="48"/>
      <c r="BM381" s="55"/>
      <c r="BN381" s="50" t="n">
        <v>216</v>
      </c>
      <c r="BO381" s="50" t="n">
        <v>233</v>
      </c>
      <c r="BP381" s="49" t="n">
        <v>133.19</v>
      </c>
      <c r="BQ381" s="50" t="n">
        <v>206</v>
      </c>
      <c r="BR381" s="48"/>
      <c r="BS381" s="53" t="n">
        <v>0</v>
      </c>
      <c r="BT381" s="53" t="n">
        <v>381</v>
      </c>
      <c r="BU381" s="48" t="str">
        <f aca="false">IF(U381&lt;&gt;"",UPPER(TRIM(U381)),IF(BX381=1,UPPER(VLOOKUP(T381,Parameter!$I$27:$K$29,2,0)),IF(P381="","LOSE",P381)))</f>
        <v>S51</v>
      </c>
      <c r="BV381" s="50" t="n">
        <f aca="false">IF(BU381="LOSE",1,IF(N(V381)&gt;0,V381,IF(BX381=1,MAX(1,N(VLOOKUP(T381,Parameter!$I$27:$K$29,3,0)),H381,N(N381)),IF(N(Q381)&gt;0,Q381,MAX(1,H381)))))</f>
        <v>449</v>
      </c>
      <c r="BW381" s="53" t="n">
        <f aca="false">IF(BU381="LOSE",1,0)</f>
        <v>0</v>
      </c>
      <c r="BX381" s="53" t="n">
        <f aca="false">IF(AND(U381="",OR(P381="",P381="LOSE"),T381&lt;&gt;"",N(S381)&lt;=0,ISNUMBER(MATCH(T381,Parameter!$I$27:$I$29,0))),1,0)</f>
        <v>1</v>
      </c>
      <c r="BY381" s="53" t="n">
        <f aca="false">IF(CL381&gt;0,INDEX(Parameter!$H$5:$H$7,W381)/INDEX(Parameter!$E$5:$E$7,W381),IF(AND(BW381=0,N(IFERROR(VLOOKUP(BU381,'Gebinde-Kategorie'!$A$5:$N$45,14,0),0))&gt;0),VLOOKUP(BU381,'Gebinde-Kategorie'!$A$5:$N$45,14,0)*10+Parameter!$M$23,Parameter!$M$24))</f>
        <v>155</v>
      </c>
      <c r="BZ381" s="48" t="str">
        <f aca="false">IF(AND(Parameter!$B$19="Ja",E381&lt;&gt;"",ISNUMBER(MATCH(E381,Parameter!$I$35:$I$52,0))),VLOOKUP(E381,Parameter!$I$35:$J$52,2,0),IFERROR(VLOOKUP(D381,Parameter!$A$35:$C$64,2,0),"Nein"))</f>
        <v>2+3</v>
      </c>
      <c r="CA381" s="52" t="n">
        <f aca="false">IF(BW381=0,0,IF(N(S381)&gt;0,S381,IFERROR(VLOOKUP(D381,Parameter!$A$35:$C$64,3,0)+0,0)))</f>
        <v>0</v>
      </c>
      <c r="CB381" s="48" t="n">
        <f aca="false">IF(AA381&lt;&gt;"",AA381,Z381)</f>
        <v>3</v>
      </c>
      <c r="CC381" s="48" t="str">
        <f aca="false">IF(OR(CB381=1,CB381=2,CB381=3),IF(Parameter!$E$27="Ja","LIFT",IF(CB381=1,"L1","L23")),IF(CB381="Aussen","Aussen","-"))</f>
        <v>LIFT</v>
      </c>
      <c r="CD381" s="59" t="n">
        <f aca="false">IF(N(AB381)&gt;0,AB381,0)</f>
        <v>0</v>
      </c>
      <c r="CE381" s="53" t="n">
        <f aca="false">IF(ISNUMBER(AE381),1,0)</f>
        <v>0</v>
      </c>
      <c r="CF381" s="50" t="n">
        <f aca="false">N(AE381)</f>
        <v>0</v>
      </c>
      <c r="CG381" s="50" t="n">
        <f aca="false">N(M381)+N(N381)</f>
        <v>262</v>
      </c>
      <c r="CH381" s="50" t="n">
        <f aca="false">ROUNDUP(H381/BV381,0)</f>
        <v>1</v>
      </c>
      <c r="CI381" s="50" t="n">
        <f aca="false">ROUNDUP(CF381/BV381,0)</f>
        <v>0</v>
      </c>
      <c r="CJ381" s="53" t="n">
        <f aca="false">IF(BW381=1,0,IFERROR(VLOOKUP(BU381,'Gebinde-Kategorie'!$A$5:$N$45,5,0)+0,0))</f>
        <v>11</v>
      </c>
      <c r="CK381" s="53" t="n">
        <f aca="false">IFERROR(IF(OR(CB381=1,CB381=2,CB381=3),N(INDEX(Parameter!$I$5:$I$7,CB381)),0),0)</f>
        <v>0</v>
      </c>
      <c r="CL381" s="52" t="n">
        <f aca="false">IF(AND(Parameter!$B$21="Ja",ISNUMBER(W381),N(X381)&gt;0),IFERROR(N(INDEX(Parameter!$L$5:$L$7,W381))*INDEX(Parameter!$E$5:$E$7,W381)*X381/SUMIFS($X$7:$X$1843,$W$7:$W$1843,W381),0),0)</f>
        <v>0</v>
      </c>
    </row>
    <row r="382" customFormat="false" ht="15" hidden="false" customHeight="false" outlineLevel="0" collapsed="false">
      <c r="A382" s="48" t="s">
        <v>912</v>
      </c>
      <c r="B382" s="48" t="s">
        <v>913</v>
      </c>
      <c r="C382" s="48" t="s">
        <v>168</v>
      </c>
      <c r="D382" s="48" t="s">
        <v>188</v>
      </c>
      <c r="E382" s="48" t="s">
        <v>189</v>
      </c>
      <c r="F382" s="48" t="s">
        <v>222</v>
      </c>
      <c r="G382" s="49" t="n">
        <v>0.99</v>
      </c>
      <c r="H382" s="50" t="n">
        <f aca="false">MAX(0,IF(AND(Parameter!$B$21="Ja",ISNUMBER(Y382)),Y382,IF(Parameter!$B$20="Jahresanfang 2025 + Export",BO382+BN382,BN382)))</f>
        <v>223</v>
      </c>
      <c r="I382" s="50" t="n">
        <f aca="false">H382*G382</f>
        <v>220.77</v>
      </c>
      <c r="J382" s="50" t="n">
        <f aca="false">BQ382*Parameter!$B$18</f>
        <v>302</v>
      </c>
      <c r="K382" s="51" t="n">
        <v>86</v>
      </c>
      <c r="L382" s="52" t="n">
        <v>3.51162790697674</v>
      </c>
      <c r="M382" s="50" t="n">
        <v>23</v>
      </c>
      <c r="N382" s="50" t="n">
        <v>300</v>
      </c>
      <c r="O382" s="53" t="n">
        <v>28</v>
      </c>
      <c r="P382" s="48" t="s">
        <v>480</v>
      </c>
      <c r="Q382" s="50" t="n">
        <v>176</v>
      </c>
      <c r="R382" s="53" t="n">
        <f aca="false">IF(BW382=1,0,IFERROR(VLOOKUP(BU382,'Gebinde-Kategorie'!$A$5:$N$45,13,0)+0,0))</f>
        <v>52</v>
      </c>
      <c r="S382" s="54"/>
      <c r="T382" s="55"/>
      <c r="U382" s="55"/>
      <c r="V382" s="55"/>
      <c r="W382" s="48"/>
      <c r="X382" s="50"/>
      <c r="Y382" s="50"/>
      <c r="Z382" s="48" t="n">
        <f aca="false">IF(A382="","",IF(AND(Parameter!$B$21="Ja",ISNUMBER(W382)),W382,IF(BZ382="2+3",IF(ISNUMBER(SEARCH("grosser Artikel",BR382)),2,IFERROR(VLOOKUP(BU382,Parameter!$F$35:$G$64,2,0),2)),IF(OR(BZ382="Nein",BZ382=""),"-",BZ382))))</f>
        <v>3</v>
      </c>
      <c r="AA382" s="55"/>
      <c r="AB382" s="56"/>
      <c r="AC382" s="50" t="n">
        <f aca="false">AT382</f>
        <v>352</v>
      </c>
      <c r="AD382" s="50" t="n">
        <f aca="false">MAX(AT382,H382)</f>
        <v>352</v>
      </c>
      <c r="AE382" s="57"/>
      <c r="AF382" s="50" t="n">
        <f aca="false">IF(LEFT(Cockpit!$C$5,1)="A",H382,IF(CE382=1,CF382,IF(LEFT(Cockpit!$C$5,1)="B",AK382,MAX(AK382,H382))))</f>
        <v>223</v>
      </c>
      <c r="AG382" s="50" t="n">
        <f aca="false">IF(BW382=1,0,ROUNDUP(AF382/BV382,0))</f>
        <v>2</v>
      </c>
      <c r="AH382" s="52" t="n">
        <f aca="false">IF(CL382&gt;0,CL382*MAX(1,AF382/X382),IF(BW382=1,IF(AF382&lt;=0,0,CA382*MAX(1,IF(H382&gt;0,AF382/H382,1))),IF(R382&gt;0,AG382/R382,0))/MAX(0.1,N(Parameter!$M$21)))</f>
        <v>0.0384615384615385</v>
      </c>
      <c r="AI382" s="50" t="n">
        <f aca="false">AH382*BY382</f>
        <v>5.96153846153846</v>
      </c>
      <c r="AJ382" s="50" t="n">
        <f aca="false">AF382*G382</f>
        <v>220.77</v>
      </c>
      <c r="AK382" s="50" t="n">
        <f aca="false">ROUNDUP(MAX(J382/IF(CD382&gt;0,CD382,MAX(0.1,N(Cockpit!$C$6))),CG382)/BV382,0)*BV382</f>
        <v>352</v>
      </c>
      <c r="AL382" s="51" t="n">
        <f aca="false">IF(AI382&gt;0,J382/AI382,-1)</f>
        <v>50.658064516129</v>
      </c>
      <c r="AM382" s="51" t="n">
        <f aca="false">IF(AND(OR(CC382="L1",CC382="L23",CC382="LIFT"),AI382&gt;0),SUMIFS($AI$7:$AI$1843,$CC$7:$CC$1843,CC382,$AL$7:$AL$1843,"&gt;"&amp;AL382)+SUMIFS($AI$7:$AI$1843,$CC$7:$CC$1843,CC382,$AL$7:$AL$1843,AL382,$BT$7:$BT$1843,"&lt;="&amp;BT382),"")</f>
        <v>1026.875</v>
      </c>
      <c r="AN382" s="58" t="n">
        <f aca="false">IF(AM382="",0,MAX(0,MIN(1,(IF(CC382="L1",Parameter!$H$5,IF(CC382="L23",Parameter!$H$6+Parameter!$H$7,Parameter!$H$5+Parameter!$H$6+Parameter!$H$7))-(AM382-AI382))/AI382)))</f>
        <v>1</v>
      </c>
      <c r="AO382" s="50" t="n">
        <f aca="false">IF(LEFT(Cockpit!$I$5,1)="A",H382,IF(CE382=1,CF382,IF(LEFT(Cockpit!$I$5,1)="B",AT382,MAX(AT382,H382))))</f>
        <v>352</v>
      </c>
      <c r="AP382" s="50" t="n">
        <f aca="false">IF(BW382=1,0,ROUNDUP(AO382/BV382,0))</f>
        <v>2</v>
      </c>
      <c r="AQ382" s="52" t="n">
        <f aca="false">IF(CL382&gt;0,CL382*MAX(1,AO382/X382),IF(BW382=1,IF(AO382&lt;=0,0,CA382*MAX(1,IF(H382&gt;0,AO382/H382,1))),IF(R382&gt;0,AP382/R382,0))/MAX(0.1,N(Parameter!$M$21)))</f>
        <v>0.0384615384615385</v>
      </c>
      <c r="AR382" s="50" t="n">
        <f aca="false">AQ382*BY382</f>
        <v>5.96153846153846</v>
      </c>
      <c r="AS382" s="50" t="n">
        <f aca="false">AO382*G382</f>
        <v>348.48</v>
      </c>
      <c r="AT382" s="50" t="n">
        <f aca="false">ROUNDUP(MAX(J382/IF(CD382&gt;0,CD382,MAX(0.1,N(Cockpit!$I$6))),CG382)/BV382,0)*BV382</f>
        <v>352</v>
      </c>
      <c r="AU382" s="51" t="n">
        <f aca="false">IF(AR382&gt;0,J382/AR382,-1)</f>
        <v>50.658064516129</v>
      </c>
      <c r="AV382" s="51" t="n">
        <f aca="false">IF(AND(OR(CC382="L1",CC382="L23",CC382="LIFT"),AR382&gt;0),SUMIFS($AR$7:$AR$1843,$CC$7:$CC$1843,CC382,$AU$7:$AU$1843,"&gt;"&amp;AU382)+SUMIFS($AR$7:$AR$1843,$CC$7:$CC$1843,CC382,$AU$7:$AU$1843,AU382,$BT$7:$BT$1843,"&lt;="&amp;BT382),"")</f>
        <v>1521.86263736264</v>
      </c>
      <c r="AW382" s="58" t="n">
        <f aca="false">IF(AV382="",0,MAX(0,MIN(1,(IF(CC382="L1",Parameter!$H$5,IF(CC382="L23",Parameter!$H$6+Parameter!$H$7,Parameter!$H$5+Parameter!$H$6+Parameter!$H$7))-(AV382-AR382))/AR382)))</f>
        <v>1</v>
      </c>
      <c r="AX382" s="50" t="n">
        <f aca="false">IF(LEFT(Cockpit!$O$5,1)="A",H382,IF(CE382=1,CF382,IF(LEFT(Cockpit!$O$5,1)="B",BC382,MAX(BC382,H382))))</f>
        <v>352</v>
      </c>
      <c r="AY382" s="50" t="n">
        <f aca="false">IF(BW382=1,0,ROUNDUP(AX382/BV382,0))</f>
        <v>2</v>
      </c>
      <c r="AZ382" s="52" t="n">
        <f aca="false">IF(CL382&gt;0,CL382*MAX(1,AX382/X382),IF(BW382=1,IF(AX382&lt;=0,0,CA382*MAX(1,IF(H382&gt;0,AX382/H382,1))),IF(R382&gt;0,AY382/R382,0))/MAX(0.1,N(Parameter!$M$21)))</f>
        <v>0.0384615384615385</v>
      </c>
      <c r="BA382" s="50" t="n">
        <f aca="false">AZ382*BY382</f>
        <v>5.96153846153846</v>
      </c>
      <c r="BB382" s="50" t="n">
        <f aca="false">AX382*G382</f>
        <v>348.48</v>
      </c>
      <c r="BC382" s="50" t="n">
        <f aca="false">ROUNDUP(MAX(J382/IF(CD382&gt;0,CD382,MAX(0.1,N(Cockpit!$O$6))),CG382)/BV382,0)*BV382</f>
        <v>352</v>
      </c>
      <c r="BD382" s="51" t="n">
        <f aca="false">IF(BA382&gt;0,J382/BA382,-1)</f>
        <v>50.658064516129</v>
      </c>
      <c r="BE382" s="51" t="n">
        <f aca="false">IF(AND(OR(CC382="L1",CC382="L23",CC382="LIFT"),BA382&gt;0),SUMIFS($BA$7:$BA$1843,$CC$7:$CC$1843,CC382,$BD$7:$BD$1843,"&gt;"&amp;BD382)+SUMIFS($BA$7:$BA$1843,$CC$7:$CC$1843,CC382,$BD$7:$BD$1843,BD382,$BT$7:$BT$1843,"&lt;="&amp;BT382),"")</f>
        <v>1349.0902014652</v>
      </c>
      <c r="BF382" s="58" t="n">
        <f aca="false">IF(BE382="",0,MAX(0,MIN(1,(IF(CC382="L1",Parameter!$H$5,IF(CC382="L23",Parameter!$H$6+Parameter!$H$7,Parameter!$H$5+Parameter!$H$6+Parameter!$H$7))-(BE382-BA382))/BA382)))</f>
        <v>1</v>
      </c>
      <c r="BG382" s="48" t="str">
        <f aca="false">IF(AI382&lt;=0,"",IF(CC382="Aussen","Aussenlager",IF(CC382="-","Nicht im Lift",IF(AN382&gt;=1,"Lift",IF(AN382&lt;=0,"Aussenlager","teilweise")))))</f>
        <v>Lift</v>
      </c>
      <c r="BH382" s="48" t="str">
        <f aca="false">IF(AR382&lt;=0,"",IF(CC382="Aussen","Aussenlager",IF(CC382="-","Nicht im Lift",IF(AW382&gt;=1,"Lift",IF(AW382&lt;=0,"Aussenlager","teilweise")))))</f>
        <v>Lift</v>
      </c>
      <c r="BI382" s="48" t="str">
        <f aca="false">IF(BA382&lt;=0,"",IF(CC382="Aussen","Aussenlager",IF(CC382="-","Nicht im Lift",IF(BF382&gt;=1,"Lift",IF(BF382&lt;=0,"Aussenlager","teilweise")))))</f>
        <v>Lift</v>
      </c>
      <c r="BJ382" s="48" t="str">
        <f aca="false">IF(A382="","",IF(BS382=1,"Neu; ","")&amp;IF(AND(BS382=0,BN382&lt;0),"negativer Bestand (Export "&amp;BN382&amp;"); ","")&amp;IF(J382&lt;=0,"Kein Verbrauch; ","")&amp;IF(CL382&gt;0,"Lift "&amp;W382&amp;" lt. Liftbericht (Fach "&amp;X382&amp;" Stk); ",IF(BX382=1,"Gebinde geschätzt ("&amp;T382&amp;"); ",IF(BW382=1,"Lose – Tablare geschätzt; ","")))&amp;IF(H382&gt;AT382,"Überbestand "&amp;ROUND(H382-AT382,0)&amp;" Stk / CHF "&amp;ROUND((H382-AT382)*G382,0)&amp;"; ","")&amp;IF(AND(CE382=1,CF382&lt;CG382),"MAX &lt; MB+LG; ","")&amp;IF(AND(CK382&gt;0,CJ382*10&gt;CK382),"zu hoch für Tablar; ","")&amp;IF(AND(BS382=0,OR(CE382=1,AA382&lt;&gt;"",U382&lt;&gt;"",V382&lt;&gt;"",AB382&lt;&gt;"")),"manuell übersteuert; ","")&amp;IF(AND(BW382=0,R382=0),"Gebinde unbekannt / Stellmass fehlt; ","")&amp;IF(AND(BW382=0,N(V382)&lt;=0,N(Q382)&lt;=0),"Menge pro Gebinde fehlt (Ist = 1 Gebinde); ","")&amp;BR382)</f>
        <v/>
      </c>
      <c r="BK382" s="48"/>
      <c r="BL382" s="48"/>
      <c r="BM382" s="55"/>
      <c r="BN382" s="50" t="n">
        <v>134</v>
      </c>
      <c r="BO382" s="50" t="n">
        <v>89</v>
      </c>
      <c r="BP382" s="49" t="n">
        <v>132.66</v>
      </c>
      <c r="BQ382" s="50" t="n">
        <v>302</v>
      </c>
      <c r="BR382" s="48"/>
      <c r="BS382" s="53" t="n">
        <v>0</v>
      </c>
      <c r="BT382" s="53" t="n">
        <v>382</v>
      </c>
      <c r="BU382" s="48" t="str">
        <f aca="false">IF(U382&lt;&gt;"",UPPER(TRIM(U382)),IF(BX382=1,UPPER(VLOOKUP(T382,Parameter!$I$27:$K$29,2,0)),IF(P382="","LOSE",P382)))</f>
        <v>S33</v>
      </c>
      <c r="BV382" s="50" t="n">
        <f aca="false">IF(BU382="LOSE",1,IF(N(V382)&gt;0,V382,IF(BX382=1,MAX(1,N(VLOOKUP(T382,Parameter!$I$27:$K$29,3,0)),H382,N(N382)),IF(N(Q382)&gt;0,Q382,MAX(1,H382)))))</f>
        <v>176</v>
      </c>
      <c r="BW382" s="53" t="n">
        <f aca="false">IF(BU382="LOSE",1,0)</f>
        <v>0</v>
      </c>
      <c r="BX382" s="53" t="n">
        <f aca="false">IF(AND(U382="",OR(P382="",P382="LOSE"),T382&lt;&gt;"",N(S382)&lt;=0,ISNUMBER(MATCH(T382,Parameter!$I$27:$I$29,0))),1,0)</f>
        <v>0</v>
      </c>
      <c r="BY382" s="53" t="n">
        <f aca="false">IF(CL382&gt;0,INDEX(Parameter!$H$5:$H$7,W382)/INDEX(Parameter!$E$5:$E$7,W382),IF(AND(BW382=0,N(IFERROR(VLOOKUP(BU382,'Gebinde-Kategorie'!$A$5:$N$45,14,0),0))&gt;0),VLOOKUP(BU382,'Gebinde-Kategorie'!$A$5:$N$45,14,0)*10+Parameter!$M$23,Parameter!$M$24))</f>
        <v>155</v>
      </c>
      <c r="BZ382" s="48" t="str">
        <f aca="false">IF(AND(Parameter!$B$19="Ja",E382&lt;&gt;"",ISNUMBER(MATCH(E382,Parameter!$I$35:$I$52,0))),VLOOKUP(E382,Parameter!$I$35:$J$52,2,0),IFERROR(VLOOKUP(D382,Parameter!$A$35:$C$64,2,0),"Nein"))</f>
        <v>2+3</v>
      </c>
      <c r="CA382" s="52" t="n">
        <f aca="false">IF(BW382=0,0,IF(N(S382)&gt;0,S382,IFERROR(VLOOKUP(D382,Parameter!$A$35:$C$64,3,0)+0,0)))</f>
        <v>0</v>
      </c>
      <c r="CB382" s="48" t="n">
        <f aca="false">IF(AA382&lt;&gt;"",AA382,Z382)</f>
        <v>3</v>
      </c>
      <c r="CC382" s="48" t="str">
        <f aca="false">IF(OR(CB382=1,CB382=2,CB382=3),IF(Parameter!$E$27="Ja","LIFT",IF(CB382=1,"L1","L23")),IF(CB382="Aussen","Aussen","-"))</f>
        <v>LIFT</v>
      </c>
      <c r="CD382" s="59" t="n">
        <f aca="false">IF(N(AB382)&gt;0,AB382,0)</f>
        <v>0</v>
      </c>
      <c r="CE382" s="53" t="n">
        <f aca="false">IF(ISNUMBER(AE382),1,0)</f>
        <v>0</v>
      </c>
      <c r="CF382" s="50" t="n">
        <f aca="false">N(AE382)</f>
        <v>0</v>
      </c>
      <c r="CG382" s="50" t="n">
        <f aca="false">N(M382)+N(N382)</f>
        <v>323</v>
      </c>
      <c r="CH382" s="50" t="n">
        <f aca="false">ROUNDUP(H382/BV382,0)</f>
        <v>2</v>
      </c>
      <c r="CI382" s="50" t="n">
        <f aca="false">ROUNDUP(CF382/BV382,0)</f>
        <v>0</v>
      </c>
      <c r="CJ382" s="53" t="n">
        <f aca="false">IF(BW382=1,0,IFERROR(VLOOKUP(BU382,'Gebinde-Kategorie'!$A$5:$N$45,5,0)+0,0))</f>
        <v>8</v>
      </c>
      <c r="CK382" s="53" t="n">
        <f aca="false">IFERROR(IF(OR(CB382=1,CB382=2,CB382=3),N(INDEX(Parameter!$I$5:$I$7,CB382)),0),0)</f>
        <v>0</v>
      </c>
      <c r="CL382" s="52" t="n">
        <f aca="false">IF(AND(Parameter!$B$21="Ja",ISNUMBER(W382),N(X382)&gt;0),IFERROR(N(INDEX(Parameter!$L$5:$L$7,W382))*INDEX(Parameter!$E$5:$E$7,W382)*X382/SUMIFS($X$7:$X$1843,$W$7:$W$1843,W382),0),0)</f>
        <v>0</v>
      </c>
    </row>
    <row r="383" customFormat="false" ht="15" hidden="false" customHeight="false" outlineLevel="0" collapsed="false">
      <c r="A383" s="48" t="s">
        <v>914</v>
      </c>
      <c r="B383" s="48" t="s">
        <v>915</v>
      </c>
      <c r="C383" s="48" t="s">
        <v>168</v>
      </c>
      <c r="D383" s="48" t="s">
        <v>188</v>
      </c>
      <c r="E383" s="48" t="s">
        <v>189</v>
      </c>
      <c r="F383" s="48" t="s">
        <v>222</v>
      </c>
      <c r="G383" s="49" t="n">
        <v>64.76</v>
      </c>
      <c r="H383" s="50" t="n">
        <f aca="false">MAX(0,IF(AND(Parameter!$B$21="Ja",ISNUMBER(Y383)),Y383,IF(Parameter!$B$20="Jahresanfang 2025 + Export",BO383+BN383,BN383)))</f>
        <v>9</v>
      </c>
      <c r="I383" s="50" t="n">
        <f aca="false">H383*G383</f>
        <v>582.84</v>
      </c>
      <c r="J383" s="50" t="n">
        <f aca="false">BQ383*Parameter!$B$18</f>
        <v>22</v>
      </c>
      <c r="K383" s="51" t="n">
        <v>11.5</v>
      </c>
      <c r="L383" s="52" t="n">
        <v>1.91304347826087</v>
      </c>
      <c r="M383" s="50" t="n">
        <v>1</v>
      </c>
      <c r="N383" s="50" t="n">
        <v>20</v>
      </c>
      <c r="O383" s="53" t="n">
        <v>28</v>
      </c>
      <c r="P383" s="48" t="s">
        <v>332</v>
      </c>
      <c r="Q383" s="50" t="n">
        <v>27</v>
      </c>
      <c r="R383" s="53" t="n">
        <f aca="false">IF(BW383=1,0,IFERROR(VLOOKUP(BU383,'Gebinde-Kategorie'!$A$5:$N$45,13,0)+0,0))</f>
        <v>52</v>
      </c>
      <c r="S383" s="54"/>
      <c r="T383" s="55"/>
      <c r="U383" s="55"/>
      <c r="V383" s="55"/>
      <c r="W383" s="48"/>
      <c r="X383" s="50"/>
      <c r="Y383" s="50"/>
      <c r="Z383" s="48" t="n">
        <f aca="false">IF(A383="","",IF(AND(Parameter!$B$21="Ja",ISNUMBER(W383)),W383,IF(BZ383="2+3",IF(ISNUMBER(SEARCH("grosser Artikel",BR383)),2,IFERROR(VLOOKUP(BU383,Parameter!$F$35:$G$64,2,0),2)),IF(OR(BZ383="Nein",BZ383=""),"-",BZ383))))</f>
        <v>3</v>
      </c>
      <c r="AA383" s="55"/>
      <c r="AB383" s="56"/>
      <c r="AC383" s="50" t="n">
        <f aca="false">AT383</f>
        <v>27</v>
      </c>
      <c r="AD383" s="50" t="n">
        <f aca="false">MAX(AT383,H383)</f>
        <v>27</v>
      </c>
      <c r="AE383" s="57"/>
      <c r="AF383" s="50" t="n">
        <f aca="false">IF(LEFT(Cockpit!$C$5,1)="A",H383,IF(CE383=1,CF383,IF(LEFT(Cockpit!$C$5,1)="B",AK383,MAX(AK383,H383))))</f>
        <v>9</v>
      </c>
      <c r="AG383" s="50" t="n">
        <f aca="false">IF(BW383=1,0,ROUNDUP(AF383/BV383,0))</f>
        <v>1</v>
      </c>
      <c r="AH383" s="52" t="n">
        <f aca="false">IF(CL383&gt;0,CL383*MAX(1,AF383/X383),IF(BW383=1,IF(AF383&lt;=0,0,CA383*MAX(1,IF(H383&gt;0,AF383/H383,1))),IF(R383&gt;0,AG383/R383,0))/MAX(0.1,N(Parameter!$M$21)))</f>
        <v>0.0192307692307692</v>
      </c>
      <c r="AI383" s="50" t="n">
        <f aca="false">AH383*BY383</f>
        <v>2.98076923076923</v>
      </c>
      <c r="AJ383" s="50" t="n">
        <f aca="false">AF383*G383</f>
        <v>582.84</v>
      </c>
      <c r="AK383" s="50" t="n">
        <f aca="false">ROUNDUP(MAX(J383/IF(CD383&gt;0,CD383,MAX(0.1,N(Cockpit!$C$6))),CG383)/BV383,0)*BV383</f>
        <v>27</v>
      </c>
      <c r="AL383" s="51" t="n">
        <f aca="false">IF(AI383&gt;0,J383/AI383,-1)</f>
        <v>7.38064516129032</v>
      </c>
      <c r="AM383" s="51" t="n">
        <f aca="false">IF(AND(OR(CC383="L1",CC383="L23",CC383="LIFT"),AI383&gt;0),SUMIFS($AI$7:$AI$1843,$CC$7:$CC$1843,CC383,$AL$7:$AL$1843,"&gt;"&amp;AL383)+SUMIFS($AI$7:$AI$1843,$CC$7:$CC$1843,CC383,$AL$7:$AL$1843,AL383,$BT$7:$BT$1843,"&lt;="&amp;BT383),"")</f>
        <v>3151.87820512821</v>
      </c>
      <c r="AN383" s="58" t="n">
        <f aca="false">IF(AM383="",0,MAX(0,MIN(1,(IF(CC383="L1",Parameter!$H$5,IF(CC383="L23",Parameter!$H$6+Parameter!$H$7,Parameter!$H$5+Parameter!$H$6+Parameter!$H$7))-(AM383-AI383))/AI383)))</f>
        <v>1</v>
      </c>
      <c r="AO383" s="50" t="n">
        <f aca="false">IF(LEFT(Cockpit!$I$5,1)="A",H383,IF(CE383=1,CF383,IF(LEFT(Cockpit!$I$5,1)="B",AT383,MAX(AT383,H383))))</f>
        <v>27</v>
      </c>
      <c r="AP383" s="50" t="n">
        <f aca="false">IF(BW383=1,0,ROUNDUP(AO383/BV383,0))</f>
        <v>1</v>
      </c>
      <c r="AQ383" s="52" t="n">
        <f aca="false">IF(CL383&gt;0,CL383*MAX(1,AO383/X383),IF(BW383=1,IF(AO383&lt;=0,0,CA383*MAX(1,IF(H383&gt;0,AO383/H383,1))),IF(R383&gt;0,AP383/R383,0))/MAX(0.1,N(Parameter!$M$21)))</f>
        <v>0.0192307692307692</v>
      </c>
      <c r="AR383" s="50" t="n">
        <f aca="false">AQ383*BY383</f>
        <v>2.98076923076923</v>
      </c>
      <c r="AS383" s="50" t="n">
        <f aca="false">AO383*G383</f>
        <v>1748.52</v>
      </c>
      <c r="AT383" s="50" t="n">
        <f aca="false">ROUNDUP(MAX(J383/IF(CD383&gt;0,CD383,MAX(0.1,N(Cockpit!$I$6))),CG383)/BV383,0)*BV383</f>
        <v>27</v>
      </c>
      <c r="AU383" s="51" t="n">
        <f aca="false">IF(AR383&gt;0,J383/AR383,-1)</f>
        <v>7.38064516129032</v>
      </c>
      <c r="AV383" s="51" t="n">
        <f aca="false">IF(AND(OR(CC383="L1",CC383="L23",CC383="LIFT"),AR383&gt;0),SUMIFS($AR$7:$AR$1843,$CC$7:$CC$1843,CC383,$AU$7:$AU$1843,"&gt;"&amp;AU383)+SUMIFS($AR$7:$AR$1843,$CC$7:$CC$1843,CC383,$AU$7:$AU$1843,AU383,$BT$7:$BT$1843,"&lt;="&amp;BT383),"")</f>
        <v>4329.93086080586</v>
      </c>
      <c r="AW383" s="58" t="n">
        <f aca="false">IF(AV383="",0,MAX(0,MIN(1,(IF(CC383="L1",Parameter!$H$5,IF(CC383="L23",Parameter!$H$6+Parameter!$H$7,Parameter!$H$5+Parameter!$H$6+Parameter!$H$7))-(AV383-AR383))/AR383)))</f>
        <v>1</v>
      </c>
      <c r="AX383" s="50" t="n">
        <f aca="false">IF(LEFT(Cockpit!$O$5,1)="A",H383,IF(CE383=1,CF383,IF(LEFT(Cockpit!$O$5,1)="B",BC383,MAX(BC383,H383))))</f>
        <v>27</v>
      </c>
      <c r="AY383" s="50" t="n">
        <f aca="false">IF(BW383=1,0,ROUNDUP(AX383/BV383,0))</f>
        <v>1</v>
      </c>
      <c r="AZ383" s="52" t="n">
        <f aca="false">IF(CL383&gt;0,CL383*MAX(1,AX383/X383),IF(BW383=1,IF(AX383&lt;=0,0,CA383*MAX(1,IF(H383&gt;0,AX383/H383,1))),IF(R383&gt;0,AY383/R383,0))/MAX(0.1,N(Parameter!$M$21)))</f>
        <v>0.0192307692307692</v>
      </c>
      <c r="BA383" s="50" t="n">
        <f aca="false">AZ383*BY383</f>
        <v>2.98076923076923</v>
      </c>
      <c r="BB383" s="50" t="n">
        <f aca="false">AX383*G383</f>
        <v>1748.52</v>
      </c>
      <c r="BC383" s="50" t="n">
        <f aca="false">ROUNDUP(MAX(J383/IF(CD383&gt;0,CD383,MAX(0.1,N(Cockpit!$O$6))),CG383)/BV383,0)*BV383</f>
        <v>27</v>
      </c>
      <c r="BD383" s="51" t="n">
        <f aca="false">IF(BA383&gt;0,J383/BA383,-1)</f>
        <v>7.38064516129032</v>
      </c>
      <c r="BE383" s="51" t="n">
        <f aca="false">IF(AND(OR(CC383="L1",CC383="L23",CC383="LIFT"),BA383&gt;0),SUMIFS($BA$7:$BA$1843,$CC$7:$CC$1843,CC383,$BD$7:$BD$1843,"&gt;"&amp;BD383)+SUMIFS($BA$7:$BA$1843,$CC$7:$CC$1843,CC383,$BD$7:$BD$1843,BD383,$BT$7:$BT$1843,"&lt;="&amp;BT383),"")</f>
        <v>4072.8956043956</v>
      </c>
      <c r="BF383" s="58" t="n">
        <f aca="false">IF(BE383="",0,MAX(0,MIN(1,(IF(CC383="L1",Parameter!$H$5,IF(CC383="L23",Parameter!$H$6+Parameter!$H$7,Parameter!$H$5+Parameter!$H$6+Parameter!$H$7))-(BE383-BA383))/BA383)))</f>
        <v>1</v>
      </c>
      <c r="BG383" s="48" t="str">
        <f aca="false">IF(AI383&lt;=0,"",IF(CC383="Aussen","Aussenlager",IF(CC383="-","Nicht im Lift",IF(AN383&gt;=1,"Lift",IF(AN383&lt;=0,"Aussenlager","teilweise")))))</f>
        <v>Lift</v>
      </c>
      <c r="BH383" s="48" t="str">
        <f aca="false">IF(AR383&lt;=0,"",IF(CC383="Aussen","Aussenlager",IF(CC383="-","Nicht im Lift",IF(AW383&gt;=1,"Lift",IF(AW383&lt;=0,"Aussenlager","teilweise")))))</f>
        <v>Lift</v>
      </c>
      <c r="BI383" s="48" t="str">
        <f aca="false">IF(BA383&lt;=0,"",IF(CC383="Aussen","Aussenlager",IF(CC383="-","Nicht im Lift",IF(BF383&gt;=1,"Lift",IF(BF383&lt;=0,"Aussenlager","teilweise")))))</f>
        <v>Lift</v>
      </c>
      <c r="BJ383" s="48" t="str">
        <f aca="false">IF(A383="","",IF(BS383=1,"Neu; ","")&amp;IF(AND(BS383=0,BN383&lt;0),"negativer Bestand (Export "&amp;BN383&amp;"); ","")&amp;IF(J383&lt;=0,"Kein Verbrauch; ","")&amp;IF(CL383&gt;0,"Lift "&amp;W383&amp;" lt. Liftbericht (Fach "&amp;X383&amp;" Stk); ",IF(BX383=1,"Gebinde geschätzt ("&amp;T383&amp;"); ",IF(BW383=1,"Lose – Tablare geschätzt; ","")))&amp;IF(H383&gt;AT383,"Überbestand "&amp;ROUND(H383-AT383,0)&amp;" Stk / CHF "&amp;ROUND((H383-AT383)*G383,0)&amp;"; ","")&amp;IF(AND(CE383=1,CF383&lt;CG383),"MAX &lt; MB+LG; ","")&amp;IF(AND(CK383&gt;0,CJ383*10&gt;CK383),"zu hoch für Tablar; ","")&amp;IF(AND(BS383=0,OR(CE383=1,AA383&lt;&gt;"",U383&lt;&gt;"",V383&lt;&gt;"",AB383&lt;&gt;"")),"manuell übersteuert; ","")&amp;IF(AND(BW383=0,R383=0),"Gebinde unbekannt / Stellmass fehlt; ","")&amp;IF(AND(BW383=0,N(V383)&lt;=0,N(Q383)&lt;=0),"Menge pro Gebinde fehlt (Ist = 1 Gebinde); ","")&amp;BR383)</f>
        <v/>
      </c>
      <c r="BK383" s="48"/>
      <c r="BL383" s="48"/>
      <c r="BM383" s="55"/>
      <c r="BN383" s="50" t="n">
        <v>1</v>
      </c>
      <c r="BO383" s="50" t="n">
        <v>8</v>
      </c>
      <c r="BP383" s="49" t="n">
        <v>132.6</v>
      </c>
      <c r="BQ383" s="50" t="n">
        <v>22</v>
      </c>
      <c r="BR383" s="48"/>
      <c r="BS383" s="53" t="n">
        <v>0</v>
      </c>
      <c r="BT383" s="53" t="n">
        <v>383</v>
      </c>
      <c r="BU383" s="48" t="str">
        <f aca="false">IF(U383&lt;&gt;"",UPPER(TRIM(U383)),IF(BX383=1,UPPER(VLOOKUP(T383,Parameter!$I$27:$K$29,2,0)),IF(P383="","LOSE",P383)))</f>
        <v>S41</v>
      </c>
      <c r="BV383" s="50" t="n">
        <f aca="false">IF(BU383="LOSE",1,IF(N(V383)&gt;0,V383,IF(BX383=1,MAX(1,N(VLOOKUP(T383,Parameter!$I$27:$K$29,3,0)),H383,N(N383)),IF(N(Q383)&gt;0,Q383,MAX(1,H383)))))</f>
        <v>27</v>
      </c>
      <c r="BW383" s="53" t="n">
        <f aca="false">IF(BU383="LOSE",1,0)</f>
        <v>0</v>
      </c>
      <c r="BX383" s="53" t="n">
        <f aca="false">IF(AND(U383="",OR(P383="",P383="LOSE"),T383&lt;&gt;"",N(S383)&lt;=0,ISNUMBER(MATCH(T383,Parameter!$I$27:$I$29,0))),1,0)</f>
        <v>0</v>
      </c>
      <c r="BY383" s="53" t="n">
        <f aca="false">IF(CL383&gt;0,INDEX(Parameter!$H$5:$H$7,W383)/INDEX(Parameter!$E$5:$E$7,W383),IF(AND(BW383=0,N(IFERROR(VLOOKUP(BU383,'Gebinde-Kategorie'!$A$5:$N$45,14,0),0))&gt;0),VLOOKUP(BU383,'Gebinde-Kategorie'!$A$5:$N$45,14,0)*10+Parameter!$M$23,Parameter!$M$24))</f>
        <v>155</v>
      </c>
      <c r="BZ383" s="48" t="str">
        <f aca="false">IF(AND(Parameter!$B$19="Ja",E383&lt;&gt;"",ISNUMBER(MATCH(E383,Parameter!$I$35:$I$52,0))),VLOOKUP(E383,Parameter!$I$35:$J$52,2,0),IFERROR(VLOOKUP(D383,Parameter!$A$35:$C$64,2,0),"Nein"))</f>
        <v>2+3</v>
      </c>
      <c r="CA383" s="52" t="n">
        <f aca="false">IF(BW383=0,0,IF(N(S383)&gt;0,S383,IFERROR(VLOOKUP(D383,Parameter!$A$35:$C$64,3,0)+0,0)))</f>
        <v>0</v>
      </c>
      <c r="CB383" s="48" t="n">
        <f aca="false">IF(AA383&lt;&gt;"",AA383,Z383)</f>
        <v>3</v>
      </c>
      <c r="CC383" s="48" t="str">
        <f aca="false">IF(OR(CB383=1,CB383=2,CB383=3),IF(Parameter!$E$27="Ja","LIFT",IF(CB383=1,"L1","L23")),IF(CB383="Aussen","Aussen","-"))</f>
        <v>LIFT</v>
      </c>
      <c r="CD383" s="59" t="n">
        <f aca="false">IF(N(AB383)&gt;0,AB383,0)</f>
        <v>0</v>
      </c>
      <c r="CE383" s="53" t="n">
        <f aca="false">IF(ISNUMBER(AE383),1,0)</f>
        <v>0</v>
      </c>
      <c r="CF383" s="50" t="n">
        <f aca="false">N(AE383)</f>
        <v>0</v>
      </c>
      <c r="CG383" s="50" t="n">
        <f aca="false">N(M383)+N(N383)</f>
        <v>21</v>
      </c>
      <c r="CH383" s="50" t="n">
        <f aca="false">ROUNDUP(H383/BV383,0)</f>
        <v>1</v>
      </c>
      <c r="CI383" s="50" t="n">
        <f aca="false">ROUNDUP(CF383/BV383,0)</f>
        <v>0</v>
      </c>
      <c r="CJ383" s="53" t="n">
        <f aca="false">IF(BW383=1,0,IFERROR(VLOOKUP(BU383,'Gebinde-Kategorie'!$A$5:$N$45,5,0)+0,0))</f>
        <v>11</v>
      </c>
      <c r="CK383" s="53" t="n">
        <f aca="false">IFERROR(IF(OR(CB383=1,CB383=2,CB383=3),N(INDEX(Parameter!$I$5:$I$7,CB383)),0),0)</f>
        <v>0</v>
      </c>
      <c r="CL383" s="52" t="n">
        <f aca="false">IF(AND(Parameter!$B$21="Ja",ISNUMBER(W383),N(X383)&gt;0),IFERROR(N(INDEX(Parameter!$L$5:$L$7,W383))*INDEX(Parameter!$E$5:$E$7,W383)*X383/SUMIFS($X$7:$X$1843,$W$7:$W$1843,W383),0),0)</f>
        <v>0</v>
      </c>
    </row>
    <row r="384" customFormat="false" ht="15" hidden="false" customHeight="false" outlineLevel="0" collapsed="false">
      <c r="A384" s="48" t="s">
        <v>916</v>
      </c>
      <c r="B384" s="48" t="s">
        <v>917</v>
      </c>
      <c r="C384" s="48" t="s">
        <v>168</v>
      </c>
      <c r="D384" s="48" t="s">
        <v>188</v>
      </c>
      <c r="E384" s="48" t="s">
        <v>189</v>
      </c>
      <c r="F384" s="48" t="s">
        <v>222</v>
      </c>
      <c r="G384" s="49" t="n">
        <v>22.61</v>
      </c>
      <c r="H384" s="50" t="n">
        <f aca="false">MAX(0,IF(AND(Parameter!$B$21="Ja",ISNUMBER(Y384)),Y384,IF(Parameter!$B$20="Jahresanfang 2025 + Export",BO384+BN384,BN384)))</f>
        <v>9</v>
      </c>
      <c r="I384" s="50" t="n">
        <f aca="false">H384*G384</f>
        <v>203.49</v>
      </c>
      <c r="J384" s="50" t="n">
        <f aca="false">BQ384*Parameter!$B$18</f>
        <v>6</v>
      </c>
      <c r="K384" s="51" t="n">
        <v>3.5</v>
      </c>
      <c r="L384" s="52" t="n">
        <v>1.71428571428571</v>
      </c>
      <c r="M384" s="50" t="n">
        <v>0</v>
      </c>
      <c r="N384" s="50" t="n">
        <v>5</v>
      </c>
      <c r="O384" s="53" t="n">
        <v>21</v>
      </c>
      <c r="P384" s="48" t="s">
        <v>480</v>
      </c>
      <c r="Q384" s="50" t="n">
        <v>10</v>
      </c>
      <c r="R384" s="53" t="n">
        <f aca="false">IF(BW384=1,0,IFERROR(VLOOKUP(BU384,'Gebinde-Kategorie'!$A$5:$N$45,13,0)+0,0))</f>
        <v>52</v>
      </c>
      <c r="S384" s="54"/>
      <c r="T384" s="55"/>
      <c r="U384" s="55"/>
      <c r="V384" s="55"/>
      <c r="W384" s="48"/>
      <c r="X384" s="50"/>
      <c r="Y384" s="50"/>
      <c r="Z384" s="48" t="n">
        <f aca="false">IF(A384="","",IF(AND(Parameter!$B$21="Ja",ISNUMBER(W384)),W384,IF(BZ384="2+3",IF(ISNUMBER(SEARCH("grosser Artikel",BR384)),2,IFERROR(VLOOKUP(BU384,Parameter!$F$35:$G$64,2,0),2)),IF(OR(BZ384="Nein",BZ384=""),"-",BZ384))))</f>
        <v>3</v>
      </c>
      <c r="AA384" s="55"/>
      <c r="AB384" s="56"/>
      <c r="AC384" s="50" t="n">
        <f aca="false">AT384</f>
        <v>10</v>
      </c>
      <c r="AD384" s="50" t="n">
        <f aca="false">MAX(AT384,H384)</f>
        <v>10</v>
      </c>
      <c r="AE384" s="57"/>
      <c r="AF384" s="50" t="n">
        <f aca="false">IF(LEFT(Cockpit!$C$5,1)="A",H384,IF(CE384=1,CF384,IF(LEFT(Cockpit!$C$5,1)="B",AK384,MAX(AK384,H384))))</f>
        <v>9</v>
      </c>
      <c r="AG384" s="50" t="n">
        <f aca="false">IF(BW384=1,0,ROUNDUP(AF384/BV384,0))</f>
        <v>1</v>
      </c>
      <c r="AH384" s="52" t="n">
        <f aca="false">IF(CL384&gt;0,CL384*MAX(1,AF384/X384),IF(BW384=1,IF(AF384&lt;=0,0,CA384*MAX(1,IF(H384&gt;0,AF384/H384,1))),IF(R384&gt;0,AG384/R384,0))/MAX(0.1,N(Parameter!$M$21)))</f>
        <v>0.0192307692307692</v>
      </c>
      <c r="AI384" s="50" t="n">
        <f aca="false">AH384*BY384</f>
        <v>2.98076923076923</v>
      </c>
      <c r="AJ384" s="50" t="n">
        <f aca="false">AF384*G384</f>
        <v>203.49</v>
      </c>
      <c r="AK384" s="50" t="n">
        <f aca="false">ROUNDUP(MAX(J384/IF(CD384&gt;0,CD384,MAX(0.1,N(Cockpit!$C$6))),CG384)/BV384,0)*BV384</f>
        <v>10</v>
      </c>
      <c r="AL384" s="51" t="n">
        <f aca="false">IF(AI384&gt;0,J384/AI384,-1)</f>
        <v>2.01290322580645</v>
      </c>
      <c r="AM384" s="51" t="n">
        <f aca="false">IF(AND(OR(CC384="L1",CC384="L23",CC384="LIFT"),AI384&gt;0),SUMIFS($AI$7:$AI$1843,$CC$7:$CC$1843,CC384,$AL$7:$AL$1843,"&gt;"&amp;AL384)+SUMIFS($AI$7:$AI$1843,$CC$7:$CC$1843,CC384,$AL$7:$AL$1843,AL384,$BT$7:$BT$1843,"&lt;="&amp;BT384),"")</f>
        <v>5780.41712454213</v>
      </c>
      <c r="AN384" s="58" t="n">
        <f aca="false">IF(AM384="",0,MAX(0,MIN(1,(IF(CC384="L1",Parameter!$H$5,IF(CC384="L23",Parameter!$H$6+Parameter!$H$7,Parameter!$H$5+Parameter!$H$6+Parameter!$H$7))-(AM384-AI384))/AI384)))</f>
        <v>1</v>
      </c>
      <c r="AO384" s="50" t="n">
        <f aca="false">IF(LEFT(Cockpit!$I$5,1)="A",H384,IF(CE384=1,CF384,IF(LEFT(Cockpit!$I$5,1)="B",AT384,MAX(AT384,H384))))</f>
        <v>10</v>
      </c>
      <c r="AP384" s="50" t="n">
        <f aca="false">IF(BW384=1,0,ROUNDUP(AO384/BV384,0))</f>
        <v>1</v>
      </c>
      <c r="AQ384" s="52" t="n">
        <f aca="false">IF(CL384&gt;0,CL384*MAX(1,AO384/X384),IF(BW384=1,IF(AO384&lt;=0,0,CA384*MAX(1,IF(H384&gt;0,AO384/H384,1))),IF(R384&gt;0,AP384/R384,0))/MAX(0.1,N(Parameter!$M$21)))</f>
        <v>0.0192307692307692</v>
      </c>
      <c r="AR384" s="50" t="n">
        <f aca="false">AQ384*BY384</f>
        <v>2.98076923076923</v>
      </c>
      <c r="AS384" s="50" t="n">
        <f aca="false">AO384*G384</f>
        <v>226.1</v>
      </c>
      <c r="AT384" s="50" t="n">
        <f aca="false">ROUNDUP(MAX(J384/IF(CD384&gt;0,CD384,MAX(0.1,N(Cockpit!$I$6))),CG384)/BV384,0)*BV384</f>
        <v>10</v>
      </c>
      <c r="AU384" s="51" t="n">
        <f aca="false">IF(AR384&gt;0,J384/AR384,-1)</f>
        <v>2.01290322580645</v>
      </c>
      <c r="AV384" s="51" t="n">
        <f aca="false">IF(AND(OR(CC384="L1",CC384="L23",CC384="LIFT"),AR384&gt;0),SUMIFS($AR$7:$AR$1843,$CC$7:$CC$1843,CC384,$AU$7:$AU$1843,"&gt;"&amp;AU384)+SUMIFS($AR$7:$AR$1843,$CC$7:$CC$1843,CC384,$AU$7:$AU$1843,AU384,$BT$7:$BT$1843,"&lt;="&amp;BT384),"")</f>
        <v>7690.10943223443</v>
      </c>
      <c r="AW384" s="58" t="n">
        <f aca="false">IF(AV384="",0,MAX(0,MIN(1,(IF(CC384="L1",Parameter!$H$5,IF(CC384="L23",Parameter!$H$6+Parameter!$H$7,Parameter!$H$5+Parameter!$H$6+Parameter!$H$7))-(AV384-AR384))/AR384)))</f>
        <v>1</v>
      </c>
      <c r="AX384" s="50" t="n">
        <f aca="false">IF(LEFT(Cockpit!$O$5,1)="A",H384,IF(CE384=1,CF384,IF(LEFT(Cockpit!$O$5,1)="B",BC384,MAX(BC384,H384))))</f>
        <v>10</v>
      </c>
      <c r="AY384" s="50" t="n">
        <f aca="false">IF(BW384=1,0,ROUNDUP(AX384/BV384,0))</f>
        <v>1</v>
      </c>
      <c r="AZ384" s="52" t="n">
        <f aca="false">IF(CL384&gt;0,CL384*MAX(1,AX384/X384),IF(BW384=1,IF(AX384&lt;=0,0,CA384*MAX(1,IF(H384&gt;0,AX384/H384,1))),IF(R384&gt;0,AY384/R384,0))/MAX(0.1,N(Parameter!$M$21)))</f>
        <v>0.0192307692307692</v>
      </c>
      <c r="BA384" s="50" t="n">
        <f aca="false">AZ384*BY384</f>
        <v>2.98076923076923</v>
      </c>
      <c r="BB384" s="50" t="n">
        <f aca="false">AX384*G384</f>
        <v>226.1</v>
      </c>
      <c r="BC384" s="50" t="n">
        <f aca="false">ROUNDUP(MAX(J384/IF(CD384&gt;0,CD384,MAX(0.1,N(Cockpit!$O$6))),CG384)/BV384,0)*BV384</f>
        <v>10</v>
      </c>
      <c r="BD384" s="51" t="n">
        <f aca="false">IF(BA384&gt;0,J384/BA384,-1)</f>
        <v>2.01290322580645</v>
      </c>
      <c r="BE384" s="51" t="n">
        <f aca="false">IF(AND(OR(CC384="L1",CC384="L23",CC384="LIFT"),BA384&gt;0),SUMIFS($BA$7:$BA$1843,$CC$7:$CC$1843,CC384,$BD$7:$BD$1843,"&gt;"&amp;BD384)+SUMIFS($BA$7:$BA$1843,$CC$7:$CC$1843,CC384,$BD$7:$BD$1843,BD384,$BT$7:$BT$1843,"&lt;="&amp;BT384),"")</f>
        <v>7589.09981684982</v>
      </c>
      <c r="BF384" s="58" t="n">
        <f aca="false">IF(BE384="",0,MAX(0,MIN(1,(IF(CC384="L1",Parameter!$H$5,IF(CC384="L23",Parameter!$H$6+Parameter!$H$7,Parameter!$H$5+Parameter!$H$6+Parameter!$H$7))-(BE384-BA384))/BA384)))</f>
        <v>1</v>
      </c>
      <c r="BG384" s="48" t="str">
        <f aca="false">IF(AI384&lt;=0,"",IF(CC384="Aussen","Aussenlager",IF(CC384="-","Nicht im Lift",IF(AN384&gt;=1,"Lift",IF(AN384&lt;=0,"Aussenlager","teilweise")))))</f>
        <v>Lift</v>
      </c>
      <c r="BH384" s="48" t="str">
        <f aca="false">IF(AR384&lt;=0,"",IF(CC384="Aussen","Aussenlager",IF(CC384="-","Nicht im Lift",IF(AW384&gt;=1,"Lift",IF(AW384&lt;=0,"Aussenlager","teilweise")))))</f>
        <v>Lift</v>
      </c>
      <c r="BI384" s="48" t="str">
        <f aca="false">IF(BA384&lt;=0,"",IF(CC384="Aussen","Aussenlager",IF(CC384="-","Nicht im Lift",IF(BF384&gt;=1,"Lift",IF(BF384&lt;=0,"Aussenlager","teilweise")))))</f>
        <v>Lift</v>
      </c>
      <c r="BJ384" s="48" t="str">
        <f aca="false">IF(A384="","",IF(BS384=1,"Neu; ","")&amp;IF(AND(BS384=0,BN384&lt;0),"negativer Bestand (Export "&amp;BN384&amp;"); ","")&amp;IF(J384&lt;=0,"Kein Verbrauch; ","")&amp;IF(CL384&gt;0,"Lift "&amp;W384&amp;" lt. Liftbericht (Fach "&amp;X384&amp;" Stk); ",IF(BX384=1,"Gebinde geschätzt ("&amp;T384&amp;"); ",IF(BW384=1,"Lose – Tablare geschätzt; ","")))&amp;IF(H384&gt;AT384,"Überbestand "&amp;ROUND(H384-AT384,0)&amp;" Stk / CHF "&amp;ROUND((H384-AT384)*G384,0)&amp;"; ","")&amp;IF(AND(CE384=1,CF384&lt;CG384),"MAX &lt; MB+LG; ","")&amp;IF(AND(CK384&gt;0,CJ384*10&gt;CK384),"zu hoch für Tablar; ","")&amp;IF(AND(BS384=0,OR(CE384=1,AA384&lt;&gt;"",U384&lt;&gt;"",V384&lt;&gt;"",AB384&lt;&gt;"")),"manuell übersteuert; ","")&amp;IF(AND(BW384=0,R384=0),"Gebinde unbekannt / Stellmass fehlt; ","")&amp;IF(AND(BW384=0,N(V384)&lt;=0,N(Q384)&lt;=0),"Menge pro Gebinde fehlt (Ist = 1 Gebinde); ","")&amp;BR384)</f>
        <v/>
      </c>
      <c r="BK384" s="48"/>
      <c r="BL384" s="48"/>
      <c r="BM384" s="55"/>
      <c r="BN384" s="50" t="n">
        <v>5</v>
      </c>
      <c r="BO384" s="50" t="n">
        <v>4</v>
      </c>
      <c r="BP384" s="49" t="n">
        <v>130.89</v>
      </c>
      <c r="BQ384" s="50" t="n">
        <v>6</v>
      </c>
      <c r="BR384" s="48"/>
      <c r="BS384" s="53" t="n">
        <v>0</v>
      </c>
      <c r="BT384" s="53" t="n">
        <v>384</v>
      </c>
      <c r="BU384" s="48" t="str">
        <f aca="false">IF(U384&lt;&gt;"",UPPER(TRIM(U384)),IF(BX384=1,UPPER(VLOOKUP(T384,Parameter!$I$27:$K$29,2,0)),IF(P384="","LOSE",P384)))</f>
        <v>S33</v>
      </c>
      <c r="BV384" s="50" t="n">
        <f aca="false">IF(BU384="LOSE",1,IF(N(V384)&gt;0,V384,IF(BX384=1,MAX(1,N(VLOOKUP(T384,Parameter!$I$27:$K$29,3,0)),H384,N(N384)),IF(N(Q384)&gt;0,Q384,MAX(1,H384)))))</f>
        <v>10</v>
      </c>
      <c r="BW384" s="53" t="n">
        <f aca="false">IF(BU384="LOSE",1,0)</f>
        <v>0</v>
      </c>
      <c r="BX384" s="53" t="n">
        <f aca="false">IF(AND(U384="",OR(P384="",P384="LOSE"),T384&lt;&gt;"",N(S384)&lt;=0,ISNUMBER(MATCH(T384,Parameter!$I$27:$I$29,0))),1,0)</f>
        <v>0</v>
      </c>
      <c r="BY384" s="53" t="n">
        <f aca="false">IF(CL384&gt;0,INDEX(Parameter!$H$5:$H$7,W384)/INDEX(Parameter!$E$5:$E$7,W384),IF(AND(BW384=0,N(IFERROR(VLOOKUP(BU384,'Gebinde-Kategorie'!$A$5:$N$45,14,0),0))&gt;0),VLOOKUP(BU384,'Gebinde-Kategorie'!$A$5:$N$45,14,0)*10+Parameter!$M$23,Parameter!$M$24))</f>
        <v>155</v>
      </c>
      <c r="BZ384" s="48" t="str">
        <f aca="false">IF(AND(Parameter!$B$19="Ja",E384&lt;&gt;"",ISNUMBER(MATCH(E384,Parameter!$I$35:$I$52,0))),VLOOKUP(E384,Parameter!$I$35:$J$52,2,0),IFERROR(VLOOKUP(D384,Parameter!$A$35:$C$64,2,0),"Nein"))</f>
        <v>2+3</v>
      </c>
      <c r="CA384" s="52" t="n">
        <f aca="false">IF(BW384=0,0,IF(N(S384)&gt;0,S384,IFERROR(VLOOKUP(D384,Parameter!$A$35:$C$64,3,0)+0,0)))</f>
        <v>0</v>
      </c>
      <c r="CB384" s="48" t="n">
        <f aca="false">IF(AA384&lt;&gt;"",AA384,Z384)</f>
        <v>3</v>
      </c>
      <c r="CC384" s="48" t="str">
        <f aca="false">IF(OR(CB384=1,CB384=2,CB384=3),IF(Parameter!$E$27="Ja","LIFT",IF(CB384=1,"L1","L23")),IF(CB384="Aussen","Aussen","-"))</f>
        <v>LIFT</v>
      </c>
      <c r="CD384" s="59" t="n">
        <f aca="false">IF(N(AB384)&gt;0,AB384,0)</f>
        <v>0</v>
      </c>
      <c r="CE384" s="53" t="n">
        <f aca="false">IF(ISNUMBER(AE384),1,0)</f>
        <v>0</v>
      </c>
      <c r="CF384" s="50" t="n">
        <f aca="false">N(AE384)</f>
        <v>0</v>
      </c>
      <c r="CG384" s="50" t="n">
        <f aca="false">N(M384)+N(N384)</f>
        <v>5</v>
      </c>
      <c r="CH384" s="50" t="n">
        <f aca="false">ROUNDUP(H384/BV384,0)</f>
        <v>1</v>
      </c>
      <c r="CI384" s="50" t="n">
        <f aca="false">ROUNDUP(CF384/BV384,0)</f>
        <v>0</v>
      </c>
      <c r="CJ384" s="53" t="n">
        <f aca="false">IF(BW384=1,0,IFERROR(VLOOKUP(BU384,'Gebinde-Kategorie'!$A$5:$N$45,5,0)+0,0))</f>
        <v>8</v>
      </c>
      <c r="CK384" s="53" t="n">
        <f aca="false">IFERROR(IF(OR(CB384=1,CB384=2,CB384=3),N(INDEX(Parameter!$I$5:$I$7,CB384)),0),0)</f>
        <v>0</v>
      </c>
      <c r="CL384" s="52" t="n">
        <f aca="false">IF(AND(Parameter!$B$21="Ja",ISNUMBER(W384),N(X384)&gt;0),IFERROR(N(INDEX(Parameter!$L$5:$L$7,W384))*INDEX(Parameter!$E$5:$E$7,W384)*X384/SUMIFS($X$7:$X$1843,$W$7:$W$1843,W384),0),0)</f>
        <v>0</v>
      </c>
    </row>
    <row r="385" customFormat="false" ht="15" hidden="false" customHeight="false" outlineLevel="0" collapsed="false">
      <c r="A385" s="48" t="s">
        <v>918</v>
      </c>
      <c r="B385" s="48" t="s">
        <v>411</v>
      </c>
      <c r="C385" s="48" t="s">
        <v>168</v>
      </c>
      <c r="D385" s="48" t="s">
        <v>188</v>
      </c>
      <c r="E385" s="48" t="s">
        <v>189</v>
      </c>
      <c r="F385" s="48" t="s">
        <v>222</v>
      </c>
      <c r="G385" s="49" t="n">
        <v>0.51</v>
      </c>
      <c r="H385" s="50" t="n">
        <f aca="false">MAX(0,IF(AND(Parameter!$B$21="Ja",ISNUMBER(Y385)),Y385,IF(Parameter!$B$20="Jahresanfang 2025 + Export",BO385+BN385,BN385)))</f>
        <v>407</v>
      </c>
      <c r="I385" s="50" t="n">
        <f aca="false">H385*G385</f>
        <v>207.57</v>
      </c>
      <c r="J385" s="50" t="n">
        <f aca="false">BQ385*Parameter!$B$18</f>
        <v>309</v>
      </c>
      <c r="K385" s="51" t="n">
        <v>146</v>
      </c>
      <c r="L385" s="52" t="n">
        <v>2.11643835616438</v>
      </c>
      <c r="M385" s="50" t="n">
        <v>18</v>
      </c>
      <c r="N385" s="50" t="n">
        <v>400</v>
      </c>
      <c r="O385" s="53" t="n">
        <v>21</v>
      </c>
      <c r="P385" s="48" t="s">
        <v>430</v>
      </c>
      <c r="Q385" s="50" t="n">
        <v>118</v>
      </c>
      <c r="R385" s="53" t="n">
        <f aca="false">IF(BW385=1,0,IFERROR(VLOOKUP(BU385,'Gebinde-Kategorie'!$A$5:$N$45,13,0)+0,0))</f>
        <v>140</v>
      </c>
      <c r="S385" s="54"/>
      <c r="T385" s="55"/>
      <c r="U385" s="55"/>
      <c r="V385" s="55"/>
      <c r="W385" s="48"/>
      <c r="X385" s="50"/>
      <c r="Y385" s="50"/>
      <c r="Z385" s="48" t="n">
        <f aca="false">IF(A385="","",IF(AND(Parameter!$B$21="Ja",ISNUMBER(W385)),W385,IF(BZ385="2+3",IF(ISNUMBER(SEARCH("grosser Artikel",BR385)),2,IFERROR(VLOOKUP(BU385,Parameter!$F$35:$G$64,2,0),2)),IF(OR(BZ385="Nein",BZ385=""),"-",BZ385))))</f>
        <v>3</v>
      </c>
      <c r="AA385" s="55"/>
      <c r="AB385" s="56"/>
      <c r="AC385" s="50" t="n">
        <f aca="false">AT385</f>
        <v>472</v>
      </c>
      <c r="AD385" s="50" t="n">
        <f aca="false">MAX(AT385,H385)</f>
        <v>472</v>
      </c>
      <c r="AE385" s="57"/>
      <c r="AF385" s="50" t="n">
        <f aca="false">IF(LEFT(Cockpit!$C$5,1)="A",H385,IF(CE385=1,CF385,IF(LEFT(Cockpit!$C$5,1)="B",AK385,MAX(AK385,H385))))</f>
        <v>407</v>
      </c>
      <c r="AG385" s="50" t="n">
        <f aca="false">IF(BW385=1,0,ROUNDUP(AF385/BV385,0))</f>
        <v>4</v>
      </c>
      <c r="AH385" s="52" t="n">
        <f aca="false">IF(CL385&gt;0,CL385*MAX(1,AF385/X385),IF(BW385=1,IF(AF385&lt;=0,0,CA385*MAX(1,IF(H385&gt;0,AF385/H385,1))),IF(R385&gt;0,AG385/R385,0))/MAX(0.1,N(Parameter!$M$21)))</f>
        <v>0.0285714285714286</v>
      </c>
      <c r="AI385" s="50" t="n">
        <f aca="false">AH385*BY385</f>
        <v>4.42857142857143</v>
      </c>
      <c r="AJ385" s="50" t="n">
        <f aca="false">AF385*G385</f>
        <v>207.57</v>
      </c>
      <c r="AK385" s="50" t="n">
        <f aca="false">ROUNDUP(MAX(J385/IF(CD385&gt;0,CD385,MAX(0.1,N(Cockpit!$C$6))),CG385)/BV385,0)*BV385</f>
        <v>472</v>
      </c>
      <c r="AL385" s="51" t="n">
        <f aca="false">IF(AI385&gt;0,J385/AI385,-1)</f>
        <v>69.7741935483871</v>
      </c>
      <c r="AM385" s="51" t="n">
        <f aca="false">IF(AND(OR(CC385="L1",CC385="L23",CC385="LIFT"),AI385&gt;0),SUMIFS($AI$7:$AI$1843,$CC$7:$CC$1843,CC385,$AL$7:$AL$1843,"&gt;"&amp;AL385)+SUMIFS($AI$7:$AI$1843,$CC$7:$CC$1843,CC385,$AL$7:$AL$1843,AL385,$BT$7:$BT$1843,"&lt;="&amp;BT385),"")</f>
        <v>914.773351648352</v>
      </c>
      <c r="AN385" s="58" t="n">
        <f aca="false">IF(AM385="",0,MAX(0,MIN(1,(IF(CC385="L1",Parameter!$H$5,IF(CC385="L23",Parameter!$H$6+Parameter!$H$7,Parameter!$H$5+Parameter!$H$6+Parameter!$H$7))-(AM385-AI385))/AI385)))</f>
        <v>1</v>
      </c>
      <c r="AO385" s="50" t="n">
        <f aca="false">IF(LEFT(Cockpit!$I$5,1)="A",H385,IF(CE385=1,CF385,IF(LEFT(Cockpit!$I$5,1)="B",AT385,MAX(AT385,H385))))</f>
        <v>472</v>
      </c>
      <c r="AP385" s="50" t="n">
        <f aca="false">IF(BW385=1,0,ROUNDUP(AO385/BV385,0))</f>
        <v>4</v>
      </c>
      <c r="AQ385" s="52" t="n">
        <f aca="false">IF(CL385&gt;0,CL385*MAX(1,AO385/X385),IF(BW385=1,IF(AO385&lt;=0,0,CA385*MAX(1,IF(H385&gt;0,AO385/H385,1))),IF(R385&gt;0,AP385/R385,0))/MAX(0.1,N(Parameter!$M$21)))</f>
        <v>0.0285714285714286</v>
      </c>
      <c r="AR385" s="50" t="n">
        <f aca="false">AQ385*BY385</f>
        <v>4.42857142857143</v>
      </c>
      <c r="AS385" s="50" t="n">
        <f aca="false">AO385*G385</f>
        <v>240.72</v>
      </c>
      <c r="AT385" s="50" t="n">
        <f aca="false">ROUNDUP(MAX(J385/IF(CD385&gt;0,CD385,MAX(0.1,N(Cockpit!$I$6))),CG385)/BV385,0)*BV385</f>
        <v>472</v>
      </c>
      <c r="AU385" s="51" t="n">
        <f aca="false">IF(AR385&gt;0,J385/AR385,-1)</f>
        <v>69.7741935483871</v>
      </c>
      <c r="AV385" s="51" t="n">
        <f aca="false">IF(AND(OR(CC385="L1",CC385="L23",CC385="LIFT"),AR385&gt;0),SUMIFS($AR$7:$AR$1843,$CC$7:$CC$1843,CC385,$AU$7:$AU$1843,"&gt;"&amp;AU385)+SUMIFS($AR$7:$AR$1843,$CC$7:$CC$1843,CC385,$AU$7:$AU$1843,AU385,$BT$7:$BT$1843,"&lt;="&amp;BT385),"")</f>
        <v>1028.59249084249</v>
      </c>
      <c r="AW385" s="58" t="n">
        <f aca="false">IF(AV385="",0,MAX(0,MIN(1,(IF(CC385="L1",Parameter!$H$5,IF(CC385="L23",Parameter!$H$6+Parameter!$H$7,Parameter!$H$5+Parameter!$H$6+Parameter!$H$7))-(AV385-AR385))/AR385)))</f>
        <v>1</v>
      </c>
      <c r="AX385" s="50" t="n">
        <f aca="false">IF(LEFT(Cockpit!$O$5,1)="A",H385,IF(CE385=1,CF385,IF(LEFT(Cockpit!$O$5,1)="B",BC385,MAX(BC385,H385))))</f>
        <v>472</v>
      </c>
      <c r="AY385" s="50" t="n">
        <f aca="false">IF(BW385=1,0,ROUNDUP(AX385/BV385,0))</f>
        <v>4</v>
      </c>
      <c r="AZ385" s="52" t="n">
        <f aca="false">IF(CL385&gt;0,CL385*MAX(1,AX385/X385),IF(BW385=1,IF(AX385&lt;=0,0,CA385*MAX(1,IF(H385&gt;0,AX385/H385,1))),IF(R385&gt;0,AY385/R385,0))/MAX(0.1,N(Parameter!$M$21)))</f>
        <v>0.0285714285714286</v>
      </c>
      <c r="BA385" s="50" t="n">
        <f aca="false">AZ385*BY385</f>
        <v>4.42857142857143</v>
      </c>
      <c r="BB385" s="50" t="n">
        <f aca="false">AX385*G385</f>
        <v>240.72</v>
      </c>
      <c r="BC385" s="50" t="n">
        <f aca="false">ROUNDUP(MAX(J385/IF(CD385&gt;0,CD385,MAX(0.1,N(Cockpit!$O$6))),CG385)/BV385,0)*BV385</f>
        <v>472</v>
      </c>
      <c r="BD385" s="51" t="n">
        <f aca="false">IF(BA385&gt;0,J385/BA385,-1)</f>
        <v>69.7741935483871</v>
      </c>
      <c r="BE385" s="51" t="n">
        <f aca="false">IF(AND(OR(CC385="L1",CC385="L23",CC385="LIFT"),BA385&gt;0),SUMIFS($BA$7:$BA$1843,$CC$7:$CC$1843,CC385,$BD$7:$BD$1843,"&gt;"&amp;BD385)+SUMIFS($BA$7:$BA$1843,$CC$7:$CC$1843,CC385,$BD$7:$BD$1843,BD385,$BT$7:$BT$1843,"&lt;="&amp;BT385),"")</f>
        <v>1136.01236263736</v>
      </c>
      <c r="BF385" s="58" t="n">
        <f aca="false">IF(BE385="",0,MAX(0,MIN(1,(IF(CC385="L1",Parameter!$H$5,IF(CC385="L23",Parameter!$H$6+Parameter!$H$7,Parameter!$H$5+Parameter!$H$6+Parameter!$H$7))-(BE385-BA385))/BA385)))</f>
        <v>1</v>
      </c>
      <c r="BG385" s="48" t="str">
        <f aca="false">IF(AI385&lt;=0,"",IF(CC385="Aussen","Aussenlager",IF(CC385="-","Nicht im Lift",IF(AN385&gt;=1,"Lift",IF(AN385&lt;=0,"Aussenlager","teilweise")))))</f>
        <v>Lift</v>
      </c>
      <c r="BH385" s="48" t="str">
        <f aca="false">IF(AR385&lt;=0,"",IF(CC385="Aussen","Aussenlager",IF(CC385="-","Nicht im Lift",IF(AW385&gt;=1,"Lift",IF(AW385&lt;=0,"Aussenlager","teilweise")))))</f>
        <v>Lift</v>
      </c>
      <c r="BI385" s="48" t="str">
        <f aca="false">IF(BA385&lt;=0,"",IF(CC385="Aussen","Aussenlager",IF(CC385="-","Nicht im Lift",IF(BF385&gt;=1,"Lift",IF(BF385&lt;=0,"Aussenlager","teilweise")))))</f>
        <v>Lift</v>
      </c>
      <c r="BJ385" s="48" t="str">
        <f aca="false">IF(A385="","",IF(BS385=1,"Neu; ","")&amp;IF(AND(BS385=0,BN385&lt;0),"negativer Bestand (Export "&amp;BN385&amp;"); ","")&amp;IF(J385&lt;=0,"Kein Verbrauch; ","")&amp;IF(CL385&gt;0,"Lift "&amp;W385&amp;" lt. Liftbericht (Fach "&amp;X385&amp;" Stk); ",IF(BX385=1,"Gebinde geschätzt ("&amp;T385&amp;"); ",IF(BW385=1,"Lose – Tablare geschätzt; ","")))&amp;IF(H385&gt;AT385,"Überbestand "&amp;ROUND(H385-AT385,0)&amp;" Stk / CHF "&amp;ROUND((H385-AT385)*G385,0)&amp;"; ","")&amp;IF(AND(CE385=1,CF385&lt;CG385),"MAX &lt; MB+LG; ","")&amp;IF(AND(CK385&gt;0,CJ385*10&gt;CK385),"zu hoch für Tablar; ","")&amp;IF(AND(BS385=0,OR(CE385=1,AA385&lt;&gt;"",U385&lt;&gt;"",V385&lt;&gt;"",AB385&lt;&gt;"")),"manuell übersteuert; ","")&amp;IF(AND(BW385=0,R385=0),"Gebinde unbekannt / Stellmass fehlt; ","")&amp;IF(AND(BW385=0,N(V385)&lt;=0,N(Q385)&lt;=0),"Menge pro Gebinde fehlt (Ist = 1 Gebinde); ","")&amp;BR385)</f>
        <v/>
      </c>
      <c r="BK385" s="48"/>
      <c r="BL385" s="48"/>
      <c r="BM385" s="55"/>
      <c r="BN385" s="50" t="n">
        <v>257</v>
      </c>
      <c r="BO385" s="50" t="n">
        <v>150</v>
      </c>
      <c r="BP385" s="49" t="n">
        <v>129.57</v>
      </c>
      <c r="BQ385" s="50" t="n">
        <v>309</v>
      </c>
      <c r="BR385" s="48"/>
      <c r="BS385" s="53" t="n">
        <v>0</v>
      </c>
      <c r="BT385" s="53" t="n">
        <v>385</v>
      </c>
      <c r="BU385" s="48" t="str">
        <f aca="false">IF(U385&lt;&gt;"",UPPER(TRIM(U385)),IF(BX385=1,UPPER(VLOOKUP(T385,Parameter!$I$27:$K$29,2,0)),IF(P385="","LOSE",P385)))</f>
        <v>S22</v>
      </c>
      <c r="BV385" s="50" t="n">
        <f aca="false">IF(BU385="LOSE",1,IF(N(V385)&gt;0,V385,IF(BX385=1,MAX(1,N(VLOOKUP(T385,Parameter!$I$27:$K$29,3,0)),H385,N(N385)),IF(N(Q385)&gt;0,Q385,MAX(1,H385)))))</f>
        <v>118</v>
      </c>
      <c r="BW385" s="53" t="n">
        <f aca="false">IF(BU385="LOSE",1,0)</f>
        <v>0</v>
      </c>
      <c r="BX385" s="53" t="n">
        <f aca="false">IF(AND(U385="",OR(P385="",P385="LOSE"),T385&lt;&gt;"",N(S385)&lt;=0,ISNUMBER(MATCH(T385,Parameter!$I$27:$I$29,0))),1,0)</f>
        <v>0</v>
      </c>
      <c r="BY385" s="53" t="n">
        <f aca="false">IF(CL385&gt;0,INDEX(Parameter!$H$5:$H$7,W385)/INDEX(Parameter!$E$5:$E$7,W385),IF(AND(BW385=0,N(IFERROR(VLOOKUP(BU385,'Gebinde-Kategorie'!$A$5:$N$45,14,0),0))&gt;0),VLOOKUP(BU385,'Gebinde-Kategorie'!$A$5:$N$45,14,0)*10+Parameter!$M$23,Parameter!$M$24))</f>
        <v>155</v>
      </c>
      <c r="BZ385" s="48" t="str">
        <f aca="false">IF(AND(Parameter!$B$19="Ja",E385&lt;&gt;"",ISNUMBER(MATCH(E385,Parameter!$I$35:$I$52,0))),VLOOKUP(E385,Parameter!$I$35:$J$52,2,0),IFERROR(VLOOKUP(D385,Parameter!$A$35:$C$64,2,0),"Nein"))</f>
        <v>2+3</v>
      </c>
      <c r="CA385" s="52" t="n">
        <f aca="false">IF(BW385=0,0,IF(N(S385)&gt;0,S385,IFERROR(VLOOKUP(D385,Parameter!$A$35:$C$64,3,0)+0,0)))</f>
        <v>0</v>
      </c>
      <c r="CB385" s="48" t="n">
        <f aca="false">IF(AA385&lt;&gt;"",AA385,Z385)</f>
        <v>3</v>
      </c>
      <c r="CC385" s="48" t="str">
        <f aca="false">IF(OR(CB385=1,CB385=2,CB385=3),IF(Parameter!$E$27="Ja","LIFT",IF(CB385=1,"L1","L23")),IF(CB385="Aussen","Aussen","-"))</f>
        <v>LIFT</v>
      </c>
      <c r="CD385" s="59" t="n">
        <f aca="false">IF(N(AB385)&gt;0,AB385,0)</f>
        <v>0</v>
      </c>
      <c r="CE385" s="53" t="n">
        <f aca="false">IF(ISNUMBER(AE385),1,0)</f>
        <v>0</v>
      </c>
      <c r="CF385" s="50" t="n">
        <f aca="false">N(AE385)</f>
        <v>0</v>
      </c>
      <c r="CG385" s="50" t="n">
        <f aca="false">N(M385)+N(N385)</f>
        <v>418</v>
      </c>
      <c r="CH385" s="50" t="n">
        <f aca="false">ROUNDUP(H385/BV385,0)</f>
        <v>4</v>
      </c>
      <c r="CI385" s="50" t="n">
        <f aca="false">ROUNDUP(CF385/BV385,0)</f>
        <v>0</v>
      </c>
      <c r="CJ385" s="53" t="n">
        <f aca="false">IF(BW385=1,0,IFERROR(VLOOKUP(BU385,'Gebinde-Kategorie'!$A$5:$N$45,5,0)+0,0))</f>
        <v>8</v>
      </c>
      <c r="CK385" s="53" t="n">
        <f aca="false">IFERROR(IF(OR(CB385=1,CB385=2,CB385=3),N(INDEX(Parameter!$I$5:$I$7,CB385)),0),0)</f>
        <v>0</v>
      </c>
      <c r="CL385" s="52" t="n">
        <f aca="false">IF(AND(Parameter!$B$21="Ja",ISNUMBER(W385),N(X385)&gt;0),IFERROR(N(INDEX(Parameter!$L$5:$L$7,W385))*INDEX(Parameter!$E$5:$E$7,W385)*X385/SUMIFS($X$7:$X$1843,$W$7:$W$1843,W385),0),0)</f>
        <v>0</v>
      </c>
    </row>
    <row r="386" customFormat="false" ht="15" hidden="false" customHeight="false" outlineLevel="0" collapsed="false">
      <c r="A386" s="48" t="s">
        <v>919</v>
      </c>
      <c r="B386" s="48" t="s">
        <v>305</v>
      </c>
      <c r="C386" s="48" t="s">
        <v>168</v>
      </c>
      <c r="D386" s="48" t="s">
        <v>188</v>
      </c>
      <c r="E386" s="48"/>
      <c r="F386" s="48" t="s">
        <v>222</v>
      </c>
      <c r="G386" s="49" t="n">
        <v>512.66</v>
      </c>
      <c r="H386" s="50" t="n">
        <f aca="false">MAX(0,IF(AND(Parameter!$B$21="Ja",ISNUMBER(Y386)),Y386,IF(Parameter!$B$20="Jahresanfang 2025 + Export",BO386+BN386,BN386)))</f>
        <v>4</v>
      </c>
      <c r="I386" s="50" t="n">
        <f aca="false">H386*G386</f>
        <v>2050.64</v>
      </c>
      <c r="J386" s="50" t="n">
        <f aca="false">BQ386*Parameter!$B$18</f>
        <v>9</v>
      </c>
      <c r="K386" s="51" t="n">
        <v>4.5</v>
      </c>
      <c r="L386" s="52" t="n">
        <v>2</v>
      </c>
      <c r="M386" s="50" t="n">
        <v>0</v>
      </c>
      <c r="N386" s="50" t="n">
        <v>5</v>
      </c>
      <c r="O386" s="53" t="n">
        <v>35</v>
      </c>
      <c r="P386" s="48" t="s">
        <v>172</v>
      </c>
      <c r="Q386" s="50"/>
      <c r="R386" s="53" t="n">
        <f aca="false">IF(BW386=1,0,IFERROR(VLOOKUP(BU386,'Gebinde-Kategorie'!$A$5:$N$45,13,0)+0,0))</f>
        <v>26</v>
      </c>
      <c r="S386" s="54"/>
      <c r="T386" s="55" t="s">
        <v>279</v>
      </c>
      <c r="U386" s="55"/>
      <c r="V386" s="55"/>
      <c r="W386" s="48"/>
      <c r="X386" s="50"/>
      <c r="Y386" s="50"/>
      <c r="Z386" s="48" t="n">
        <f aca="false">IF(A386="","",IF(AND(Parameter!$B$21="Ja",ISNUMBER(W386)),W386,IF(BZ386="2+3",IF(ISNUMBER(SEARCH("grosser Artikel",BR386)),2,IFERROR(VLOOKUP(BU386,Parameter!$F$35:$G$64,2,0),2)),IF(OR(BZ386="Nein",BZ386=""),"-",BZ386))))</f>
        <v>3</v>
      </c>
      <c r="AA386" s="55"/>
      <c r="AB386" s="56"/>
      <c r="AC386" s="50" t="n">
        <f aca="false">AT386</f>
        <v>20</v>
      </c>
      <c r="AD386" s="50" t="n">
        <f aca="false">MAX(AT386,H386)</f>
        <v>20</v>
      </c>
      <c r="AE386" s="57"/>
      <c r="AF386" s="50" t="n">
        <f aca="false">IF(LEFT(Cockpit!$C$5,1)="A",H386,IF(CE386=1,CF386,IF(LEFT(Cockpit!$C$5,1)="B",AK386,MAX(AK386,H386))))</f>
        <v>4</v>
      </c>
      <c r="AG386" s="50" t="n">
        <f aca="false">IF(BW386=1,0,ROUNDUP(AF386/BV386,0))</f>
        <v>1</v>
      </c>
      <c r="AH386" s="52" t="n">
        <f aca="false">IF(CL386&gt;0,CL386*MAX(1,AF386/X386),IF(BW386=1,IF(AF386&lt;=0,0,CA386*MAX(1,IF(H386&gt;0,AF386/H386,1))),IF(R386&gt;0,AG386/R386,0))/MAX(0.1,N(Parameter!$M$21)))</f>
        <v>0.0384615384615385</v>
      </c>
      <c r="AI386" s="50" t="n">
        <f aca="false">AH386*BY386</f>
        <v>5.96153846153846</v>
      </c>
      <c r="AJ386" s="50" t="n">
        <f aca="false">AF386*G386</f>
        <v>2050.64</v>
      </c>
      <c r="AK386" s="50" t="n">
        <f aca="false">ROUNDUP(MAX(J386/IF(CD386&gt;0,CD386,MAX(0.1,N(Cockpit!$C$6))),CG386)/BV386,0)*BV386</f>
        <v>20</v>
      </c>
      <c r="AL386" s="51" t="n">
        <f aca="false">IF(AI386&gt;0,J386/AI386,-1)</f>
        <v>1.50967741935484</v>
      </c>
      <c r="AM386" s="51" t="n">
        <f aca="false">IF(AND(OR(CC386="L1",CC386="L23",CC386="LIFT"),AI386&gt;0),SUMIFS($AI$7:$AI$1843,$CC$7:$CC$1843,CC386,$AL$7:$AL$1843,"&gt;"&amp;AL386)+SUMIFS($AI$7:$AI$1843,$CC$7:$CC$1843,CC386,$AL$7:$AL$1843,AL386,$BT$7:$BT$1843,"&lt;="&amp;BT386),"")</f>
        <v>6203.96840659341</v>
      </c>
      <c r="AN386" s="58" t="n">
        <f aca="false">IF(AM386="",0,MAX(0,MIN(1,(IF(CC386="L1",Parameter!$H$5,IF(CC386="L23",Parameter!$H$6+Parameter!$H$7,Parameter!$H$5+Parameter!$H$6+Parameter!$H$7))-(AM386-AI386))/AI386)))</f>
        <v>1</v>
      </c>
      <c r="AO386" s="50" t="n">
        <f aca="false">IF(LEFT(Cockpit!$I$5,1)="A",H386,IF(CE386=1,CF386,IF(LEFT(Cockpit!$I$5,1)="B",AT386,MAX(AT386,H386))))</f>
        <v>20</v>
      </c>
      <c r="AP386" s="50" t="n">
        <f aca="false">IF(BW386=1,0,ROUNDUP(AO386/BV386,0))</f>
        <v>1</v>
      </c>
      <c r="AQ386" s="52" t="n">
        <f aca="false">IF(CL386&gt;0,CL386*MAX(1,AO386/X386),IF(BW386=1,IF(AO386&lt;=0,0,CA386*MAX(1,IF(H386&gt;0,AO386/H386,1))),IF(R386&gt;0,AP386/R386,0))/MAX(0.1,N(Parameter!$M$21)))</f>
        <v>0.0384615384615385</v>
      </c>
      <c r="AR386" s="50" t="n">
        <f aca="false">AQ386*BY386</f>
        <v>5.96153846153846</v>
      </c>
      <c r="AS386" s="50" t="n">
        <f aca="false">AO386*G386</f>
        <v>10253.2</v>
      </c>
      <c r="AT386" s="50" t="n">
        <f aca="false">ROUNDUP(MAX(J386/IF(CD386&gt;0,CD386,MAX(0.1,N(Cockpit!$I$6))),CG386)/BV386,0)*BV386</f>
        <v>20</v>
      </c>
      <c r="AU386" s="51" t="n">
        <f aca="false">IF(AR386&gt;0,J386/AR386,-1)</f>
        <v>1.50967741935484</v>
      </c>
      <c r="AV386" s="51" t="n">
        <f aca="false">IF(AND(OR(CC386="L1",CC386="L23",CC386="LIFT"),AR386&gt;0),SUMIFS($AR$7:$AR$1843,$CC$7:$CC$1843,CC386,$AU$7:$AU$1843,"&gt;"&amp;AU386)+SUMIFS($AR$7:$AR$1843,$CC$7:$CC$1843,CC386,$AU$7:$AU$1843,AU386,$BT$7:$BT$1843,"&lt;="&amp;BT386),"")</f>
        <v>8366.85989010989</v>
      </c>
      <c r="AW386" s="58" t="n">
        <f aca="false">IF(AV386="",0,MAX(0,MIN(1,(IF(CC386="L1",Parameter!$H$5,IF(CC386="L23",Parameter!$H$6+Parameter!$H$7,Parameter!$H$5+Parameter!$H$6+Parameter!$H$7))-(AV386-AR386))/AR386)))</f>
        <v>1</v>
      </c>
      <c r="AX386" s="50" t="n">
        <f aca="false">IF(LEFT(Cockpit!$O$5,1)="A",H386,IF(CE386=1,CF386,IF(LEFT(Cockpit!$O$5,1)="B",BC386,MAX(BC386,H386))))</f>
        <v>20</v>
      </c>
      <c r="AY386" s="50" t="n">
        <f aca="false">IF(BW386=1,0,ROUNDUP(AX386/BV386,0))</f>
        <v>1</v>
      </c>
      <c r="AZ386" s="52" t="n">
        <f aca="false">IF(CL386&gt;0,CL386*MAX(1,AX386/X386),IF(BW386=1,IF(AX386&lt;=0,0,CA386*MAX(1,IF(H386&gt;0,AX386/H386,1))),IF(R386&gt;0,AY386/R386,0))/MAX(0.1,N(Parameter!$M$21)))</f>
        <v>0.0384615384615385</v>
      </c>
      <c r="BA386" s="50" t="n">
        <f aca="false">AZ386*BY386</f>
        <v>5.96153846153846</v>
      </c>
      <c r="BB386" s="50" t="n">
        <f aca="false">AX386*G386</f>
        <v>10253.2</v>
      </c>
      <c r="BC386" s="50" t="n">
        <f aca="false">ROUNDUP(MAX(J386/IF(CD386&gt;0,CD386,MAX(0.1,N(Cockpit!$O$6))),CG386)/BV386,0)*BV386</f>
        <v>20</v>
      </c>
      <c r="BD386" s="51" t="n">
        <f aca="false">IF(BA386&gt;0,J386/BA386,-1)</f>
        <v>1.50967741935484</v>
      </c>
      <c r="BE386" s="51" t="n">
        <f aca="false">IF(AND(OR(CC386="L1",CC386="L23",CC386="LIFT"),BA386&gt;0),SUMIFS($BA$7:$BA$1843,$CC$7:$CC$1843,CC386,$BD$7:$BD$1843,"&gt;"&amp;BD386)+SUMIFS($BA$7:$BA$1843,$CC$7:$CC$1843,CC386,$BD$7:$BD$1843,BD386,$BT$7:$BT$1843,"&lt;="&amp;BT386),"")</f>
        <v>8281.26694139194</v>
      </c>
      <c r="BF386" s="58" t="n">
        <f aca="false">IF(BE386="",0,MAX(0,MIN(1,(IF(CC386="L1",Parameter!$H$5,IF(CC386="L23",Parameter!$H$6+Parameter!$H$7,Parameter!$H$5+Parameter!$H$6+Parameter!$H$7))-(BE386-BA386))/BA386)))</f>
        <v>1</v>
      </c>
      <c r="BG386" s="48" t="str">
        <f aca="false">IF(AI386&lt;=0,"",IF(CC386="Aussen","Aussenlager",IF(CC386="-","Nicht im Lift",IF(AN386&gt;=1,"Lift",IF(AN386&lt;=0,"Aussenlager","teilweise")))))</f>
        <v>Lift</v>
      </c>
      <c r="BH386" s="48" t="str">
        <f aca="false">IF(AR386&lt;=0,"",IF(CC386="Aussen","Aussenlager",IF(CC386="-","Nicht im Lift",IF(AW386&gt;=1,"Lift",IF(AW386&lt;=0,"Aussenlager","teilweise")))))</f>
        <v>Lift</v>
      </c>
      <c r="BI386" s="48" t="str">
        <f aca="false">IF(BA386&lt;=0,"",IF(CC386="Aussen","Aussenlager",IF(CC386="-","Nicht im Lift",IF(BF386&gt;=1,"Lift",IF(BF386&lt;=0,"Aussenlager","teilweise")))))</f>
        <v>Lift</v>
      </c>
      <c r="BJ386" s="48" t="str">
        <f aca="false">IF(A386="","",IF(BS386=1,"Neu; ","")&amp;IF(AND(BS386=0,BN386&lt;0),"negativer Bestand (Export "&amp;BN386&amp;"); ","")&amp;IF(J386&lt;=0,"Kein Verbrauch; ","")&amp;IF(CL386&gt;0,"Lift "&amp;W386&amp;" lt. Liftbericht (Fach "&amp;X386&amp;" Stk); ",IF(BX386=1,"Gebinde geschätzt ("&amp;T386&amp;"); ",IF(BW386=1,"Lose – Tablare geschätzt; ","")))&amp;IF(H386&gt;AT386,"Überbestand "&amp;ROUND(H386-AT386,0)&amp;" Stk / CHF "&amp;ROUND((H386-AT386)*G386,0)&amp;"; ","")&amp;IF(AND(CE386=1,CF386&lt;CG386),"MAX &lt; MB+LG; ","")&amp;IF(AND(CK386&gt;0,CJ386*10&gt;CK386),"zu hoch für Tablar; ","")&amp;IF(AND(BS386=0,OR(CE386=1,AA386&lt;&gt;"",U386&lt;&gt;"",V386&lt;&gt;"",AB386&lt;&gt;"")),"manuell übersteuert; ","")&amp;IF(AND(BW386=0,R386=0),"Gebinde unbekannt / Stellmass fehlt; ","")&amp;IF(AND(BW386=0,N(V386)&lt;=0,N(Q386)&lt;=0),"Menge pro Gebinde fehlt (Ist = 1 Gebinde); ","")&amp;BR386)</f>
        <v>Gebinde geschätzt (Klein); Menge pro Gebinde fehlt (Ist = 1 Gebinde); </v>
      </c>
      <c r="BK386" s="48"/>
      <c r="BL386" s="48"/>
      <c r="BM386" s="55"/>
      <c r="BN386" s="50" t="n">
        <v>0</v>
      </c>
      <c r="BO386" s="50" t="n">
        <v>4</v>
      </c>
      <c r="BP386" s="49" t="n">
        <v>129.360000000001</v>
      </c>
      <c r="BQ386" s="50" t="n">
        <v>9</v>
      </c>
      <c r="BR386" s="48"/>
      <c r="BS386" s="53" t="n">
        <v>0</v>
      </c>
      <c r="BT386" s="53" t="n">
        <v>386</v>
      </c>
      <c r="BU386" s="48" t="str">
        <f aca="false">IF(U386&lt;&gt;"",UPPER(TRIM(U386)),IF(BX386=1,UPPER(VLOOKUP(T386,Parameter!$I$27:$K$29,2,0)),IF(P386="","LOSE",P386)))</f>
        <v>S51</v>
      </c>
      <c r="BV386" s="50" t="n">
        <f aca="false">IF(BU386="LOSE",1,IF(N(V386)&gt;0,V386,IF(BX386=1,MAX(1,N(VLOOKUP(T386,Parameter!$I$27:$K$29,3,0)),H386,N(N386)),IF(N(Q386)&gt;0,Q386,MAX(1,H386)))))</f>
        <v>20</v>
      </c>
      <c r="BW386" s="53" t="n">
        <f aca="false">IF(BU386="LOSE",1,0)</f>
        <v>0</v>
      </c>
      <c r="BX386" s="53" t="n">
        <f aca="false">IF(AND(U386="",OR(P386="",P386="LOSE"),T386&lt;&gt;"",N(S386)&lt;=0,ISNUMBER(MATCH(T386,Parameter!$I$27:$I$29,0))),1,0)</f>
        <v>1</v>
      </c>
      <c r="BY386" s="53" t="n">
        <f aca="false">IF(CL386&gt;0,INDEX(Parameter!$H$5:$H$7,W386)/INDEX(Parameter!$E$5:$E$7,W386),IF(AND(BW386=0,N(IFERROR(VLOOKUP(BU386,'Gebinde-Kategorie'!$A$5:$N$45,14,0),0))&gt;0),VLOOKUP(BU386,'Gebinde-Kategorie'!$A$5:$N$45,14,0)*10+Parameter!$M$23,Parameter!$M$24))</f>
        <v>155</v>
      </c>
      <c r="BZ386" s="48" t="str">
        <f aca="false">IF(AND(Parameter!$B$19="Ja",E386&lt;&gt;"",ISNUMBER(MATCH(E386,Parameter!$I$35:$I$52,0))),VLOOKUP(E386,Parameter!$I$35:$J$52,2,0),IFERROR(VLOOKUP(D386,Parameter!$A$35:$C$64,2,0),"Nein"))</f>
        <v>2+3</v>
      </c>
      <c r="CA386" s="52" t="n">
        <f aca="false">IF(BW386=0,0,IF(N(S386)&gt;0,S386,IFERROR(VLOOKUP(D386,Parameter!$A$35:$C$64,3,0)+0,0)))</f>
        <v>0</v>
      </c>
      <c r="CB386" s="48" t="n">
        <f aca="false">IF(AA386&lt;&gt;"",AA386,Z386)</f>
        <v>3</v>
      </c>
      <c r="CC386" s="48" t="str">
        <f aca="false">IF(OR(CB386=1,CB386=2,CB386=3),IF(Parameter!$E$27="Ja","LIFT",IF(CB386=1,"L1","L23")),IF(CB386="Aussen","Aussen","-"))</f>
        <v>LIFT</v>
      </c>
      <c r="CD386" s="59" t="n">
        <f aca="false">IF(N(AB386)&gt;0,AB386,0)</f>
        <v>0</v>
      </c>
      <c r="CE386" s="53" t="n">
        <f aca="false">IF(ISNUMBER(AE386),1,0)</f>
        <v>0</v>
      </c>
      <c r="CF386" s="50" t="n">
        <f aca="false">N(AE386)</f>
        <v>0</v>
      </c>
      <c r="CG386" s="50" t="n">
        <f aca="false">N(M386)+N(N386)</f>
        <v>5</v>
      </c>
      <c r="CH386" s="50" t="n">
        <f aca="false">ROUNDUP(H386/BV386,0)</f>
        <v>1</v>
      </c>
      <c r="CI386" s="50" t="n">
        <f aca="false">ROUNDUP(CF386/BV386,0)</f>
        <v>0</v>
      </c>
      <c r="CJ386" s="53" t="n">
        <f aca="false">IF(BW386=1,0,IFERROR(VLOOKUP(BU386,'Gebinde-Kategorie'!$A$5:$N$45,5,0)+0,0))</f>
        <v>11</v>
      </c>
      <c r="CK386" s="53" t="n">
        <f aca="false">IFERROR(IF(OR(CB386=1,CB386=2,CB386=3),N(INDEX(Parameter!$I$5:$I$7,CB386)),0),0)</f>
        <v>0</v>
      </c>
      <c r="CL386" s="52" t="n">
        <f aca="false">IF(AND(Parameter!$B$21="Ja",ISNUMBER(W386),N(X386)&gt;0),IFERROR(N(INDEX(Parameter!$L$5:$L$7,W386))*INDEX(Parameter!$E$5:$E$7,W386)*X386/SUMIFS($X$7:$X$1843,$W$7:$W$1843,W386),0),0)</f>
        <v>0</v>
      </c>
    </row>
    <row r="387" customFormat="false" ht="15" hidden="false" customHeight="false" outlineLevel="0" collapsed="false">
      <c r="A387" s="48" t="s">
        <v>920</v>
      </c>
      <c r="B387" s="48" t="s">
        <v>921</v>
      </c>
      <c r="C387" s="48" t="s">
        <v>168</v>
      </c>
      <c r="D387" s="48" t="s">
        <v>188</v>
      </c>
      <c r="E387" s="48" t="s">
        <v>189</v>
      </c>
      <c r="F387" s="48" t="s">
        <v>222</v>
      </c>
      <c r="G387" s="49" t="n">
        <v>1.54</v>
      </c>
      <c r="H387" s="50" t="n">
        <f aca="false">MAX(0,IF(AND(Parameter!$B$21="Ja",ISNUMBER(Y387)),Y387,IF(Parameter!$B$20="Jahresanfang 2025 + Export",BO387+BN387,BN387)))</f>
        <v>130</v>
      </c>
      <c r="I387" s="50" t="n">
        <f aca="false">H387*G387</f>
        <v>200.2</v>
      </c>
      <c r="J387" s="50" t="n">
        <f aca="false">BQ387*Parameter!$B$18</f>
        <v>129</v>
      </c>
      <c r="K387" s="51" t="n">
        <v>42</v>
      </c>
      <c r="L387" s="52" t="n">
        <v>3.07142857142857</v>
      </c>
      <c r="M387" s="50" t="n">
        <v>7</v>
      </c>
      <c r="N387" s="50" t="n">
        <v>130</v>
      </c>
      <c r="O387" s="53" t="n">
        <v>21</v>
      </c>
      <c r="P387" s="48" t="s">
        <v>425</v>
      </c>
      <c r="Q387" s="50" t="n">
        <v>131</v>
      </c>
      <c r="R387" s="53" t="n">
        <f aca="false">IF(BW387=1,0,IFERROR(VLOOKUP(BU387,'Gebinde-Kategorie'!$A$5:$N$45,13,0)+0,0))</f>
        <v>104</v>
      </c>
      <c r="S387" s="54"/>
      <c r="T387" s="55"/>
      <c r="U387" s="55"/>
      <c r="V387" s="55"/>
      <c r="W387" s="48"/>
      <c r="X387" s="50"/>
      <c r="Y387" s="50"/>
      <c r="Z387" s="48" t="n">
        <f aca="false">IF(A387="","",IF(AND(Parameter!$B$21="Ja",ISNUMBER(W387)),W387,IF(BZ387="2+3",IF(ISNUMBER(SEARCH("grosser Artikel",BR387)),2,IFERROR(VLOOKUP(BU387,Parameter!$F$35:$G$64,2,0),2)),IF(OR(BZ387="Nein",BZ387=""),"-",BZ387))))</f>
        <v>3</v>
      </c>
      <c r="AA387" s="55"/>
      <c r="AB387" s="56"/>
      <c r="AC387" s="50" t="n">
        <f aca="false">AT387</f>
        <v>262</v>
      </c>
      <c r="AD387" s="50" t="n">
        <f aca="false">MAX(AT387,H387)</f>
        <v>262</v>
      </c>
      <c r="AE387" s="57"/>
      <c r="AF387" s="50" t="n">
        <f aca="false">IF(LEFT(Cockpit!$C$5,1)="A",H387,IF(CE387=1,CF387,IF(LEFT(Cockpit!$C$5,1)="B",AK387,MAX(AK387,H387))))</f>
        <v>130</v>
      </c>
      <c r="AG387" s="50" t="n">
        <f aca="false">IF(BW387=1,0,ROUNDUP(AF387/BV387,0))</f>
        <v>1</v>
      </c>
      <c r="AH387" s="52" t="n">
        <f aca="false">IF(CL387&gt;0,CL387*MAX(1,AF387/X387),IF(BW387=1,IF(AF387&lt;=0,0,CA387*MAX(1,IF(H387&gt;0,AF387/H387,1))),IF(R387&gt;0,AG387/R387,0))/MAX(0.1,N(Parameter!$M$21)))</f>
        <v>0.00961538461538462</v>
      </c>
      <c r="AI387" s="50" t="n">
        <f aca="false">AH387*BY387</f>
        <v>1.49038461538462</v>
      </c>
      <c r="AJ387" s="50" t="n">
        <f aca="false">AF387*G387</f>
        <v>200.2</v>
      </c>
      <c r="AK387" s="50" t="n">
        <f aca="false">ROUNDUP(MAX(J387/IF(CD387&gt;0,CD387,MAX(0.1,N(Cockpit!$C$6))),CG387)/BV387,0)*BV387</f>
        <v>262</v>
      </c>
      <c r="AL387" s="51" t="n">
        <f aca="false">IF(AI387&gt;0,J387/AI387,-1)</f>
        <v>86.5548387096774</v>
      </c>
      <c r="AM387" s="51" t="n">
        <f aca="false">IF(AND(OR(CC387="L1",CC387="L23",CC387="LIFT"),AI387&gt;0),SUMIFS($AI$7:$AI$1843,$CC$7:$CC$1843,CC387,$AL$7:$AL$1843,"&gt;"&amp;AL387)+SUMIFS($AI$7:$AI$1843,$CC$7:$CC$1843,CC387,$AL$7:$AL$1843,AL387,$BT$7:$BT$1843,"&lt;="&amp;BT387),"")</f>
        <v>835.387362637363</v>
      </c>
      <c r="AN387" s="58" t="n">
        <f aca="false">IF(AM387="",0,MAX(0,MIN(1,(IF(CC387="L1",Parameter!$H$5,IF(CC387="L23",Parameter!$H$6+Parameter!$H$7,Parameter!$H$5+Parameter!$H$6+Parameter!$H$7))-(AM387-AI387))/AI387)))</f>
        <v>1</v>
      </c>
      <c r="AO387" s="50" t="n">
        <f aca="false">IF(LEFT(Cockpit!$I$5,1)="A",H387,IF(CE387=1,CF387,IF(LEFT(Cockpit!$I$5,1)="B",AT387,MAX(AT387,H387))))</f>
        <v>262</v>
      </c>
      <c r="AP387" s="50" t="n">
        <f aca="false">IF(BW387=1,0,ROUNDUP(AO387/BV387,0))</f>
        <v>2</v>
      </c>
      <c r="AQ387" s="52" t="n">
        <f aca="false">IF(CL387&gt;0,CL387*MAX(1,AO387/X387),IF(BW387=1,IF(AO387&lt;=0,0,CA387*MAX(1,IF(H387&gt;0,AO387/H387,1))),IF(R387&gt;0,AP387/R387,0))/MAX(0.1,N(Parameter!$M$21)))</f>
        <v>0.0192307692307692</v>
      </c>
      <c r="AR387" s="50" t="n">
        <f aca="false">AQ387*BY387</f>
        <v>2.98076923076923</v>
      </c>
      <c r="AS387" s="50" t="n">
        <f aca="false">AO387*G387</f>
        <v>403.48</v>
      </c>
      <c r="AT387" s="50" t="n">
        <f aca="false">ROUNDUP(MAX(J387/IF(CD387&gt;0,CD387,MAX(0.1,N(Cockpit!$I$6))),CG387)/BV387,0)*BV387</f>
        <v>262</v>
      </c>
      <c r="AU387" s="51" t="n">
        <f aca="false">IF(AR387&gt;0,J387/AR387,-1)</f>
        <v>43.2774193548387</v>
      </c>
      <c r="AV387" s="51" t="n">
        <f aca="false">IF(AND(OR(CC387="L1",CC387="L23",CC387="LIFT"),AR387&gt;0),SUMIFS($AR$7:$AR$1843,$CC$7:$CC$1843,CC387,$AU$7:$AU$1843,"&gt;"&amp;AU387)+SUMIFS($AR$7:$AR$1843,$CC$7:$CC$1843,CC387,$AU$7:$AU$1843,AU387,$BT$7:$BT$1843,"&lt;="&amp;BT387),"")</f>
        <v>1655.70558608059</v>
      </c>
      <c r="AW387" s="58" t="n">
        <f aca="false">IF(AV387="",0,MAX(0,MIN(1,(IF(CC387="L1",Parameter!$H$5,IF(CC387="L23",Parameter!$H$6+Parameter!$H$7,Parameter!$H$5+Parameter!$H$6+Parameter!$H$7))-(AV387-AR387))/AR387)))</f>
        <v>1</v>
      </c>
      <c r="AX387" s="50" t="n">
        <f aca="false">IF(LEFT(Cockpit!$O$5,1)="A",H387,IF(CE387=1,CF387,IF(LEFT(Cockpit!$O$5,1)="B",BC387,MAX(BC387,H387))))</f>
        <v>262</v>
      </c>
      <c r="AY387" s="50" t="n">
        <f aca="false">IF(BW387=1,0,ROUNDUP(AX387/BV387,0))</f>
        <v>2</v>
      </c>
      <c r="AZ387" s="52" t="n">
        <f aca="false">IF(CL387&gt;0,CL387*MAX(1,AX387/X387),IF(BW387=1,IF(AX387&lt;=0,0,CA387*MAX(1,IF(H387&gt;0,AX387/H387,1))),IF(R387&gt;0,AY387/R387,0))/MAX(0.1,N(Parameter!$M$21)))</f>
        <v>0.0192307692307692</v>
      </c>
      <c r="BA387" s="50" t="n">
        <f aca="false">AZ387*BY387</f>
        <v>2.98076923076923</v>
      </c>
      <c r="BB387" s="50" t="n">
        <f aca="false">AX387*G387</f>
        <v>403.48</v>
      </c>
      <c r="BC387" s="50" t="n">
        <f aca="false">ROUNDUP(MAX(J387/IF(CD387&gt;0,CD387,MAX(0.1,N(Cockpit!$O$6))),CG387)/BV387,0)*BV387</f>
        <v>262</v>
      </c>
      <c r="BD387" s="51" t="n">
        <f aca="false">IF(BA387&gt;0,J387/BA387,-1)</f>
        <v>43.2774193548387</v>
      </c>
      <c r="BE387" s="51" t="n">
        <f aca="false">IF(AND(OR(CC387="L1",CC387="L23",CC387="LIFT"),BA387&gt;0),SUMIFS($BA$7:$BA$1843,$CC$7:$CC$1843,CC387,$BD$7:$BD$1843,"&gt;"&amp;BD387)+SUMIFS($BA$7:$BA$1843,$CC$7:$CC$1843,CC387,$BD$7:$BD$1843,BD387,$BT$7:$BT$1843,"&lt;="&amp;BT387),"")</f>
        <v>1520.62545787546</v>
      </c>
      <c r="BF387" s="58" t="n">
        <f aca="false">IF(BE387="",0,MAX(0,MIN(1,(IF(CC387="L1",Parameter!$H$5,IF(CC387="L23",Parameter!$H$6+Parameter!$H$7,Parameter!$H$5+Parameter!$H$6+Parameter!$H$7))-(BE387-BA387))/BA387)))</f>
        <v>1</v>
      </c>
      <c r="BG387" s="48" t="str">
        <f aca="false">IF(AI387&lt;=0,"",IF(CC387="Aussen","Aussenlager",IF(CC387="-","Nicht im Lift",IF(AN387&gt;=1,"Lift",IF(AN387&lt;=0,"Aussenlager","teilweise")))))</f>
        <v>Lift</v>
      </c>
      <c r="BH387" s="48" t="str">
        <f aca="false">IF(AR387&lt;=0,"",IF(CC387="Aussen","Aussenlager",IF(CC387="-","Nicht im Lift",IF(AW387&gt;=1,"Lift",IF(AW387&lt;=0,"Aussenlager","teilweise")))))</f>
        <v>Lift</v>
      </c>
      <c r="BI387" s="48" t="str">
        <f aca="false">IF(BA387&lt;=0,"",IF(CC387="Aussen","Aussenlager",IF(CC387="-","Nicht im Lift",IF(BF387&gt;=1,"Lift",IF(BF387&lt;=0,"Aussenlager","teilweise")))))</f>
        <v>Lift</v>
      </c>
      <c r="BJ387" s="48" t="str">
        <f aca="false">IF(A387="","",IF(BS387=1,"Neu; ","")&amp;IF(AND(BS387=0,BN387&lt;0),"negativer Bestand (Export "&amp;BN387&amp;"); ","")&amp;IF(J387&lt;=0,"Kein Verbrauch; ","")&amp;IF(CL387&gt;0,"Lift "&amp;W387&amp;" lt. Liftbericht (Fach "&amp;X387&amp;" Stk); ",IF(BX387=1,"Gebinde geschätzt ("&amp;T387&amp;"); ",IF(BW387=1,"Lose – Tablare geschätzt; ","")))&amp;IF(H387&gt;AT387,"Überbestand "&amp;ROUND(H387-AT387,0)&amp;" Stk / CHF "&amp;ROUND((H387-AT387)*G387,0)&amp;"; ","")&amp;IF(AND(CE387=1,CF387&lt;CG387),"MAX &lt; MB+LG; ","")&amp;IF(AND(CK387&gt;0,CJ387*10&gt;CK387),"zu hoch für Tablar; ","")&amp;IF(AND(BS387=0,OR(CE387=1,AA387&lt;&gt;"",U387&lt;&gt;"",V387&lt;&gt;"",AB387&lt;&gt;"")),"manuell übersteuert; ","")&amp;IF(AND(BW387=0,R387=0),"Gebinde unbekannt / Stellmass fehlt; ","")&amp;IF(AND(BW387=0,N(V387)&lt;=0,N(Q387)&lt;=0),"Menge pro Gebinde fehlt (Ist = 1 Gebinde); ","")&amp;BR387)</f>
        <v/>
      </c>
      <c r="BK387" s="48"/>
      <c r="BL387" s="48"/>
      <c r="BM387" s="55"/>
      <c r="BN387" s="50" t="n">
        <v>84</v>
      </c>
      <c r="BO387" s="50" t="n">
        <v>46</v>
      </c>
      <c r="BP387" s="49" t="n">
        <v>129.36</v>
      </c>
      <c r="BQ387" s="50" t="n">
        <v>129</v>
      </c>
      <c r="BR387" s="48"/>
      <c r="BS387" s="53" t="n">
        <v>0</v>
      </c>
      <c r="BT387" s="53" t="n">
        <v>387</v>
      </c>
      <c r="BU387" s="48" t="str">
        <f aca="false">IF(U387&lt;&gt;"",UPPER(TRIM(U387)),IF(BX387=1,UPPER(VLOOKUP(T387,Parameter!$I$27:$K$29,2,0)),IF(P387="","LOSE",P387)))</f>
        <v>S32</v>
      </c>
      <c r="BV387" s="50" t="n">
        <f aca="false">IF(BU387="LOSE",1,IF(N(V387)&gt;0,V387,IF(BX387=1,MAX(1,N(VLOOKUP(T387,Parameter!$I$27:$K$29,3,0)),H387,N(N387)),IF(N(Q387)&gt;0,Q387,MAX(1,H387)))))</f>
        <v>131</v>
      </c>
      <c r="BW387" s="53" t="n">
        <f aca="false">IF(BU387="LOSE",1,0)</f>
        <v>0</v>
      </c>
      <c r="BX387" s="53" t="n">
        <f aca="false">IF(AND(U387="",OR(P387="",P387="LOSE"),T387&lt;&gt;"",N(S387)&lt;=0,ISNUMBER(MATCH(T387,Parameter!$I$27:$I$29,0))),1,0)</f>
        <v>0</v>
      </c>
      <c r="BY387" s="53" t="n">
        <f aca="false">IF(CL387&gt;0,INDEX(Parameter!$H$5:$H$7,W387)/INDEX(Parameter!$E$5:$E$7,W387),IF(AND(BW387=0,N(IFERROR(VLOOKUP(BU387,'Gebinde-Kategorie'!$A$5:$N$45,14,0),0))&gt;0),VLOOKUP(BU387,'Gebinde-Kategorie'!$A$5:$N$45,14,0)*10+Parameter!$M$23,Parameter!$M$24))</f>
        <v>155</v>
      </c>
      <c r="BZ387" s="48" t="str">
        <f aca="false">IF(AND(Parameter!$B$19="Ja",E387&lt;&gt;"",ISNUMBER(MATCH(E387,Parameter!$I$35:$I$52,0))),VLOOKUP(E387,Parameter!$I$35:$J$52,2,0),IFERROR(VLOOKUP(D387,Parameter!$A$35:$C$64,2,0),"Nein"))</f>
        <v>2+3</v>
      </c>
      <c r="CA387" s="52" t="n">
        <f aca="false">IF(BW387=0,0,IF(N(S387)&gt;0,S387,IFERROR(VLOOKUP(D387,Parameter!$A$35:$C$64,3,0)+0,0)))</f>
        <v>0</v>
      </c>
      <c r="CB387" s="48" t="n">
        <f aca="false">IF(AA387&lt;&gt;"",AA387,Z387)</f>
        <v>3</v>
      </c>
      <c r="CC387" s="48" t="str">
        <f aca="false">IF(OR(CB387=1,CB387=2,CB387=3),IF(Parameter!$E$27="Ja","LIFT",IF(CB387=1,"L1","L23")),IF(CB387="Aussen","Aussen","-"))</f>
        <v>LIFT</v>
      </c>
      <c r="CD387" s="59" t="n">
        <f aca="false">IF(N(AB387)&gt;0,AB387,0)</f>
        <v>0</v>
      </c>
      <c r="CE387" s="53" t="n">
        <f aca="false">IF(ISNUMBER(AE387),1,0)</f>
        <v>0</v>
      </c>
      <c r="CF387" s="50" t="n">
        <f aca="false">N(AE387)</f>
        <v>0</v>
      </c>
      <c r="CG387" s="50" t="n">
        <f aca="false">N(M387)+N(N387)</f>
        <v>137</v>
      </c>
      <c r="CH387" s="50" t="n">
        <f aca="false">ROUNDUP(H387/BV387,0)</f>
        <v>1</v>
      </c>
      <c r="CI387" s="50" t="n">
        <f aca="false">ROUNDUP(CF387/BV387,0)</f>
        <v>0</v>
      </c>
      <c r="CJ387" s="53" t="n">
        <f aca="false">IF(BW387=1,0,IFERROR(VLOOKUP(BU387,'Gebinde-Kategorie'!$A$5:$N$45,5,0)+0,0))</f>
        <v>8</v>
      </c>
      <c r="CK387" s="53" t="n">
        <f aca="false">IFERROR(IF(OR(CB387=1,CB387=2,CB387=3),N(INDEX(Parameter!$I$5:$I$7,CB387)),0),0)</f>
        <v>0</v>
      </c>
      <c r="CL387" s="52" t="n">
        <f aca="false">IF(AND(Parameter!$B$21="Ja",ISNUMBER(W387),N(X387)&gt;0),IFERROR(N(INDEX(Parameter!$L$5:$L$7,W387))*INDEX(Parameter!$E$5:$E$7,W387)*X387/SUMIFS($X$7:$X$1843,$W$7:$W$1843,W387),0),0)</f>
        <v>0</v>
      </c>
    </row>
    <row r="388" customFormat="false" ht="15" hidden="false" customHeight="false" outlineLevel="0" collapsed="false">
      <c r="A388" s="48" t="s">
        <v>922</v>
      </c>
      <c r="B388" s="48" t="s">
        <v>409</v>
      </c>
      <c r="C388" s="48" t="s">
        <v>168</v>
      </c>
      <c r="D388" s="48" t="s">
        <v>188</v>
      </c>
      <c r="E388" s="48"/>
      <c r="F388" s="48" t="s">
        <v>222</v>
      </c>
      <c r="G388" s="49" t="n">
        <v>0.6</v>
      </c>
      <c r="H388" s="50" t="n">
        <f aca="false">MAX(0,IF(AND(Parameter!$B$21="Ja",ISNUMBER(Y388)),Y388,IF(Parameter!$B$20="Jahresanfang 2025 + Export",BO388+BN388,BN388)))</f>
        <v>414</v>
      </c>
      <c r="I388" s="50" t="n">
        <f aca="false">H388*G388</f>
        <v>248.4</v>
      </c>
      <c r="J388" s="50" t="n">
        <f aca="false">BQ388*Parameter!$B$18</f>
        <v>605</v>
      </c>
      <c r="K388" s="51" t="n">
        <v>279</v>
      </c>
      <c r="L388" s="52" t="n">
        <v>2.16845878136201</v>
      </c>
      <c r="M388" s="50" t="n">
        <v>35</v>
      </c>
      <c r="N388" s="50" t="n">
        <v>500</v>
      </c>
      <c r="O388" s="53" t="n">
        <v>21</v>
      </c>
      <c r="P388" s="48" t="s">
        <v>332</v>
      </c>
      <c r="Q388" s="50" t="n">
        <v>620</v>
      </c>
      <c r="R388" s="53" t="n">
        <f aca="false">IF(BW388=1,0,IFERROR(VLOOKUP(BU388,'Gebinde-Kategorie'!$A$5:$N$45,13,0)+0,0))</f>
        <v>52</v>
      </c>
      <c r="S388" s="54"/>
      <c r="T388" s="55"/>
      <c r="U388" s="55"/>
      <c r="V388" s="55"/>
      <c r="W388" s="48"/>
      <c r="X388" s="50"/>
      <c r="Y388" s="50"/>
      <c r="Z388" s="48" t="n">
        <f aca="false">IF(A388="","",IF(AND(Parameter!$B$21="Ja",ISNUMBER(W388)),W388,IF(BZ388="2+3",IF(ISNUMBER(SEARCH("grosser Artikel",BR388)),2,IFERROR(VLOOKUP(BU388,Parameter!$F$35:$G$64,2,0),2)),IF(OR(BZ388="Nein",BZ388=""),"-",BZ388))))</f>
        <v>3</v>
      </c>
      <c r="AA388" s="55"/>
      <c r="AB388" s="56"/>
      <c r="AC388" s="50" t="n">
        <f aca="false">AT388</f>
        <v>620</v>
      </c>
      <c r="AD388" s="50" t="n">
        <f aca="false">MAX(AT388,H388)</f>
        <v>620</v>
      </c>
      <c r="AE388" s="57"/>
      <c r="AF388" s="50" t="n">
        <f aca="false">IF(LEFT(Cockpit!$C$5,1)="A",H388,IF(CE388=1,CF388,IF(LEFT(Cockpit!$C$5,1)="B",AK388,MAX(AK388,H388))))</f>
        <v>414</v>
      </c>
      <c r="AG388" s="50" t="n">
        <f aca="false">IF(BW388=1,0,ROUNDUP(AF388/BV388,0))</f>
        <v>1</v>
      </c>
      <c r="AH388" s="52" t="n">
        <f aca="false">IF(CL388&gt;0,CL388*MAX(1,AF388/X388),IF(BW388=1,IF(AF388&lt;=0,0,CA388*MAX(1,IF(H388&gt;0,AF388/H388,1))),IF(R388&gt;0,AG388/R388,0))/MAX(0.1,N(Parameter!$M$21)))</f>
        <v>0.0192307692307692</v>
      </c>
      <c r="AI388" s="50" t="n">
        <f aca="false">AH388*BY388</f>
        <v>2.98076923076923</v>
      </c>
      <c r="AJ388" s="50" t="n">
        <f aca="false">AF388*G388</f>
        <v>248.4</v>
      </c>
      <c r="AK388" s="50" t="n">
        <f aca="false">ROUNDUP(MAX(J388/IF(CD388&gt;0,CD388,MAX(0.1,N(Cockpit!$C$6))),CG388)/BV388,0)*BV388</f>
        <v>620</v>
      </c>
      <c r="AL388" s="51" t="n">
        <f aca="false">IF(AI388&gt;0,J388/AI388,-1)</f>
        <v>202.967741935484</v>
      </c>
      <c r="AM388" s="51" t="n">
        <f aca="false">IF(AND(OR(CC388="L1",CC388="L23",CC388="LIFT"),AI388&gt;0),SUMIFS($AI$7:$AI$1843,$CC$7:$CC$1843,CC388,$AL$7:$AL$1843,"&gt;"&amp;AL388)+SUMIFS($AI$7:$AI$1843,$CC$7:$CC$1843,CC388,$AL$7:$AL$1843,AL388,$BT$7:$BT$1843,"&lt;="&amp;BT388),"")</f>
        <v>341.378205128205</v>
      </c>
      <c r="AN388" s="58" t="n">
        <f aca="false">IF(AM388="",0,MAX(0,MIN(1,(IF(CC388="L1",Parameter!$H$5,IF(CC388="L23",Parameter!$H$6+Parameter!$H$7,Parameter!$H$5+Parameter!$H$6+Parameter!$H$7))-(AM388-AI388))/AI388)))</f>
        <v>1</v>
      </c>
      <c r="AO388" s="50" t="n">
        <f aca="false">IF(LEFT(Cockpit!$I$5,1)="A",H388,IF(CE388=1,CF388,IF(LEFT(Cockpit!$I$5,1)="B",AT388,MAX(AT388,H388))))</f>
        <v>620</v>
      </c>
      <c r="AP388" s="50" t="n">
        <f aca="false">IF(BW388=1,0,ROUNDUP(AO388/BV388,0))</f>
        <v>1</v>
      </c>
      <c r="AQ388" s="52" t="n">
        <f aca="false">IF(CL388&gt;0,CL388*MAX(1,AO388/X388),IF(BW388=1,IF(AO388&lt;=0,0,CA388*MAX(1,IF(H388&gt;0,AO388/H388,1))),IF(R388&gt;0,AP388/R388,0))/MAX(0.1,N(Parameter!$M$21)))</f>
        <v>0.0192307692307692</v>
      </c>
      <c r="AR388" s="50" t="n">
        <f aca="false">AQ388*BY388</f>
        <v>2.98076923076923</v>
      </c>
      <c r="AS388" s="50" t="n">
        <f aca="false">AO388*G388</f>
        <v>372</v>
      </c>
      <c r="AT388" s="50" t="n">
        <f aca="false">ROUNDUP(MAX(J388/IF(CD388&gt;0,CD388,MAX(0.1,N(Cockpit!$I$6))),CG388)/BV388,0)*BV388</f>
        <v>620</v>
      </c>
      <c r="AU388" s="51" t="n">
        <f aca="false">IF(AR388&gt;0,J388/AR388,-1)</f>
        <v>202.967741935484</v>
      </c>
      <c r="AV388" s="51" t="n">
        <f aca="false">IF(AND(OR(CC388="L1",CC388="L23",CC388="LIFT"),AR388&gt;0),SUMIFS($AR$7:$AR$1843,$CC$7:$CC$1843,CC388,$AU$7:$AU$1843,"&gt;"&amp;AU388)+SUMIFS($AR$7:$AR$1843,$CC$7:$CC$1843,CC388,$AU$7:$AU$1843,AU388,$BT$7:$BT$1843,"&lt;="&amp;BT388),"")</f>
        <v>362.554029304029</v>
      </c>
      <c r="AW388" s="58" t="n">
        <f aca="false">IF(AV388="",0,MAX(0,MIN(1,(IF(CC388="L1",Parameter!$H$5,IF(CC388="L23",Parameter!$H$6+Parameter!$H$7,Parameter!$H$5+Parameter!$H$6+Parameter!$H$7))-(AV388-AR388))/AR388)))</f>
        <v>1</v>
      </c>
      <c r="AX388" s="50" t="n">
        <f aca="false">IF(LEFT(Cockpit!$O$5,1)="A",H388,IF(CE388=1,CF388,IF(LEFT(Cockpit!$O$5,1)="B",BC388,MAX(BC388,H388))))</f>
        <v>620</v>
      </c>
      <c r="AY388" s="50" t="n">
        <f aca="false">IF(BW388=1,0,ROUNDUP(AX388/BV388,0))</f>
        <v>1</v>
      </c>
      <c r="AZ388" s="52" t="n">
        <f aca="false">IF(CL388&gt;0,CL388*MAX(1,AX388/X388),IF(BW388=1,IF(AX388&lt;=0,0,CA388*MAX(1,IF(H388&gt;0,AX388/H388,1))),IF(R388&gt;0,AY388/R388,0))/MAX(0.1,N(Parameter!$M$21)))</f>
        <v>0.0192307692307692</v>
      </c>
      <c r="BA388" s="50" t="n">
        <f aca="false">AZ388*BY388</f>
        <v>2.98076923076923</v>
      </c>
      <c r="BB388" s="50" t="n">
        <f aca="false">AX388*G388</f>
        <v>372</v>
      </c>
      <c r="BC388" s="50" t="n">
        <f aca="false">ROUNDUP(MAX(J388/IF(CD388&gt;0,CD388,MAX(0.1,N(Cockpit!$O$6))),CG388)/BV388,0)*BV388</f>
        <v>620</v>
      </c>
      <c r="BD388" s="51" t="n">
        <f aca="false">IF(BA388&gt;0,J388/BA388,-1)</f>
        <v>202.967741935484</v>
      </c>
      <c r="BE388" s="51" t="n">
        <f aca="false">IF(AND(OR(CC388="L1",CC388="L23",CC388="LIFT"),BA388&gt;0),SUMIFS($BA$7:$BA$1843,$CC$7:$CC$1843,CC388,$BD$7:$BD$1843,"&gt;"&amp;BD388)+SUMIFS($BA$7:$BA$1843,$CC$7:$CC$1843,CC388,$BD$7:$BD$1843,BD388,$BT$7:$BT$1843,"&lt;="&amp;BT388),"")</f>
        <v>433.43543956044</v>
      </c>
      <c r="BF388" s="58" t="n">
        <f aca="false">IF(BE388="",0,MAX(0,MIN(1,(IF(CC388="L1",Parameter!$H$5,IF(CC388="L23",Parameter!$H$6+Parameter!$H$7,Parameter!$H$5+Parameter!$H$6+Parameter!$H$7))-(BE388-BA388))/BA388)))</f>
        <v>1</v>
      </c>
      <c r="BG388" s="48" t="str">
        <f aca="false">IF(AI388&lt;=0,"",IF(CC388="Aussen","Aussenlager",IF(CC388="-","Nicht im Lift",IF(AN388&gt;=1,"Lift",IF(AN388&lt;=0,"Aussenlager","teilweise")))))</f>
        <v>Lift</v>
      </c>
      <c r="BH388" s="48" t="str">
        <f aca="false">IF(AR388&lt;=0,"",IF(CC388="Aussen","Aussenlager",IF(CC388="-","Nicht im Lift",IF(AW388&gt;=1,"Lift",IF(AW388&lt;=0,"Aussenlager","teilweise")))))</f>
        <v>Lift</v>
      </c>
      <c r="BI388" s="48" t="str">
        <f aca="false">IF(BA388&lt;=0,"",IF(CC388="Aussen","Aussenlager",IF(CC388="-","Nicht im Lift",IF(BF388&gt;=1,"Lift",IF(BF388&lt;=0,"Aussenlager","teilweise")))))</f>
        <v>Lift</v>
      </c>
      <c r="BJ388" s="48" t="str">
        <f aca="false">IF(A388="","",IF(BS388=1,"Neu; ","")&amp;IF(AND(BS388=0,BN388&lt;0),"negativer Bestand (Export "&amp;BN388&amp;"); ","")&amp;IF(J388&lt;=0,"Kein Verbrauch; ","")&amp;IF(CL388&gt;0,"Lift "&amp;W388&amp;" lt. Liftbericht (Fach "&amp;X388&amp;" Stk); ",IF(BX388=1,"Gebinde geschätzt ("&amp;T388&amp;"); ",IF(BW388=1,"Lose – Tablare geschätzt; ","")))&amp;IF(H388&gt;AT388,"Überbestand "&amp;ROUND(H388-AT388,0)&amp;" Stk / CHF "&amp;ROUND((H388-AT388)*G388,0)&amp;"; ","")&amp;IF(AND(CE388=1,CF388&lt;CG388),"MAX &lt; MB+LG; ","")&amp;IF(AND(CK388&gt;0,CJ388*10&gt;CK388),"zu hoch für Tablar; ","")&amp;IF(AND(BS388=0,OR(CE388=1,AA388&lt;&gt;"",U388&lt;&gt;"",V388&lt;&gt;"",AB388&lt;&gt;"")),"manuell übersteuert; ","")&amp;IF(AND(BW388=0,R388=0),"Gebinde unbekannt / Stellmass fehlt; ","")&amp;IF(AND(BW388=0,N(V388)&lt;=0,N(Q388)&lt;=0),"Menge pro Gebinde fehlt (Ist = 1 Gebinde); ","")&amp;BR388)</f>
        <v/>
      </c>
      <c r="BK388" s="48"/>
      <c r="BL388" s="48"/>
      <c r="BM388" s="55"/>
      <c r="BN388" s="50" t="n">
        <v>210</v>
      </c>
      <c r="BO388" s="50" t="n">
        <v>204</v>
      </c>
      <c r="BP388" s="49" t="n">
        <v>128.04</v>
      </c>
      <c r="BQ388" s="50" t="n">
        <v>605</v>
      </c>
      <c r="BR388" s="48"/>
      <c r="BS388" s="53" t="n">
        <v>0</v>
      </c>
      <c r="BT388" s="53" t="n">
        <v>388</v>
      </c>
      <c r="BU388" s="48" t="str">
        <f aca="false">IF(U388&lt;&gt;"",UPPER(TRIM(U388)),IF(BX388=1,UPPER(VLOOKUP(T388,Parameter!$I$27:$K$29,2,0)),IF(P388="","LOSE",P388)))</f>
        <v>S41</v>
      </c>
      <c r="BV388" s="50" t="n">
        <f aca="false">IF(BU388="LOSE",1,IF(N(V388)&gt;0,V388,IF(BX388=1,MAX(1,N(VLOOKUP(T388,Parameter!$I$27:$K$29,3,0)),H388,N(N388)),IF(N(Q388)&gt;0,Q388,MAX(1,H388)))))</f>
        <v>620</v>
      </c>
      <c r="BW388" s="53" t="n">
        <f aca="false">IF(BU388="LOSE",1,0)</f>
        <v>0</v>
      </c>
      <c r="BX388" s="53" t="n">
        <f aca="false">IF(AND(U388="",OR(P388="",P388="LOSE"),T388&lt;&gt;"",N(S388)&lt;=0,ISNUMBER(MATCH(T388,Parameter!$I$27:$I$29,0))),1,0)</f>
        <v>0</v>
      </c>
      <c r="BY388" s="53" t="n">
        <f aca="false">IF(CL388&gt;0,INDEX(Parameter!$H$5:$H$7,W388)/INDEX(Parameter!$E$5:$E$7,W388),IF(AND(BW388=0,N(IFERROR(VLOOKUP(BU388,'Gebinde-Kategorie'!$A$5:$N$45,14,0),0))&gt;0),VLOOKUP(BU388,'Gebinde-Kategorie'!$A$5:$N$45,14,0)*10+Parameter!$M$23,Parameter!$M$24))</f>
        <v>155</v>
      </c>
      <c r="BZ388" s="48" t="str">
        <f aca="false">IF(AND(Parameter!$B$19="Ja",E388&lt;&gt;"",ISNUMBER(MATCH(E388,Parameter!$I$35:$I$52,0))),VLOOKUP(E388,Parameter!$I$35:$J$52,2,0),IFERROR(VLOOKUP(D388,Parameter!$A$35:$C$64,2,0),"Nein"))</f>
        <v>2+3</v>
      </c>
      <c r="CA388" s="52" t="n">
        <f aca="false">IF(BW388=0,0,IF(N(S388)&gt;0,S388,IFERROR(VLOOKUP(D388,Parameter!$A$35:$C$64,3,0)+0,0)))</f>
        <v>0</v>
      </c>
      <c r="CB388" s="48" t="n">
        <f aca="false">IF(AA388&lt;&gt;"",AA388,Z388)</f>
        <v>3</v>
      </c>
      <c r="CC388" s="48" t="str">
        <f aca="false">IF(OR(CB388=1,CB388=2,CB388=3),IF(Parameter!$E$27="Ja","LIFT",IF(CB388=1,"L1","L23")),IF(CB388="Aussen","Aussen","-"))</f>
        <v>LIFT</v>
      </c>
      <c r="CD388" s="59" t="n">
        <f aca="false">IF(N(AB388)&gt;0,AB388,0)</f>
        <v>0</v>
      </c>
      <c r="CE388" s="53" t="n">
        <f aca="false">IF(ISNUMBER(AE388),1,0)</f>
        <v>0</v>
      </c>
      <c r="CF388" s="50" t="n">
        <f aca="false">N(AE388)</f>
        <v>0</v>
      </c>
      <c r="CG388" s="50" t="n">
        <f aca="false">N(M388)+N(N388)</f>
        <v>535</v>
      </c>
      <c r="CH388" s="50" t="n">
        <f aca="false">ROUNDUP(H388/BV388,0)</f>
        <v>1</v>
      </c>
      <c r="CI388" s="50" t="n">
        <f aca="false">ROUNDUP(CF388/BV388,0)</f>
        <v>0</v>
      </c>
      <c r="CJ388" s="53" t="n">
        <f aca="false">IF(BW388=1,0,IFERROR(VLOOKUP(BU388,'Gebinde-Kategorie'!$A$5:$N$45,5,0)+0,0))</f>
        <v>11</v>
      </c>
      <c r="CK388" s="53" t="n">
        <f aca="false">IFERROR(IF(OR(CB388=1,CB388=2,CB388=3),N(INDEX(Parameter!$I$5:$I$7,CB388)),0),0)</f>
        <v>0</v>
      </c>
      <c r="CL388" s="52" t="n">
        <f aca="false">IF(AND(Parameter!$B$21="Ja",ISNUMBER(W388),N(X388)&gt;0),IFERROR(N(INDEX(Parameter!$L$5:$L$7,W388))*INDEX(Parameter!$E$5:$E$7,W388)*X388/SUMIFS($X$7:$X$1843,$W$7:$W$1843,W388),0),0)</f>
        <v>0</v>
      </c>
    </row>
    <row r="389" customFormat="false" ht="15" hidden="false" customHeight="false" outlineLevel="0" collapsed="false">
      <c r="A389" s="48" t="s">
        <v>923</v>
      </c>
      <c r="B389" s="48" t="s">
        <v>505</v>
      </c>
      <c r="C389" s="48" t="s">
        <v>168</v>
      </c>
      <c r="D389" s="48" t="s">
        <v>188</v>
      </c>
      <c r="E389" s="48" t="s">
        <v>189</v>
      </c>
      <c r="F389" s="48" t="s">
        <v>222</v>
      </c>
      <c r="G389" s="49" t="n">
        <v>8.3</v>
      </c>
      <c r="H389" s="50" t="n">
        <f aca="false">MAX(0,IF(AND(Parameter!$B$21="Ja",ISNUMBER(Y389)),Y389,IF(Parameter!$B$20="Jahresanfang 2025 + Export",BO389+BN389,BN389)))</f>
        <v>34</v>
      </c>
      <c r="I389" s="50" t="n">
        <f aca="false">H389*G389</f>
        <v>282.2</v>
      </c>
      <c r="J389" s="50" t="n">
        <f aca="false">BQ389*Parameter!$B$18</f>
        <v>46</v>
      </c>
      <c r="K389" s="51" t="n">
        <v>14</v>
      </c>
      <c r="L389" s="52" t="n">
        <v>3.28571428571429</v>
      </c>
      <c r="M389" s="50" t="n">
        <v>3</v>
      </c>
      <c r="N389" s="50" t="n">
        <v>50</v>
      </c>
      <c r="O389" s="53" t="n">
        <v>28</v>
      </c>
      <c r="P389" s="48" t="s">
        <v>332</v>
      </c>
      <c r="Q389" s="50" t="n">
        <v>27</v>
      </c>
      <c r="R389" s="53" t="n">
        <f aca="false">IF(BW389=1,0,IFERROR(VLOOKUP(BU389,'Gebinde-Kategorie'!$A$5:$N$45,13,0)+0,0))</f>
        <v>52</v>
      </c>
      <c r="S389" s="54"/>
      <c r="T389" s="55"/>
      <c r="U389" s="55"/>
      <c r="V389" s="55"/>
      <c r="W389" s="48"/>
      <c r="X389" s="50"/>
      <c r="Y389" s="50"/>
      <c r="Z389" s="48" t="n">
        <f aca="false">IF(A389="","",IF(AND(Parameter!$B$21="Ja",ISNUMBER(W389)),W389,IF(BZ389="2+3",IF(ISNUMBER(SEARCH("grosser Artikel",BR389)),2,IFERROR(VLOOKUP(BU389,Parameter!$F$35:$G$64,2,0),2)),IF(OR(BZ389="Nein",BZ389=""),"-",BZ389))))</f>
        <v>3</v>
      </c>
      <c r="AA389" s="55"/>
      <c r="AB389" s="56"/>
      <c r="AC389" s="50" t="n">
        <f aca="false">AT389</f>
        <v>54</v>
      </c>
      <c r="AD389" s="50" t="n">
        <f aca="false">MAX(AT389,H389)</f>
        <v>54</v>
      </c>
      <c r="AE389" s="57"/>
      <c r="AF389" s="50" t="n">
        <f aca="false">IF(LEFT(Cockpit!$C$5,1)="A",H389,IF(CE389=1,CF389,IF(LEFT(Cockpit!$C$5,1)="B",AK389,MAX(AK389,H389))))</f>
        <v>34</v>
      </c>
      <c r="AG389" s="50" t="n">
        <f aca="false">IF(BW389=1,0,ROUNDUP(AF389/BV389,0))</f>
        <v>2</v>
      </c>
      <c r="AH389" s="52" t="n">
        <f aca="false">IF(CL389&gt;0,CL389*MAX(1,AF389/X389),IF(BW389=1,IF(AF389&lt;=0,0,CA389*MAX(1,IF(H389&gt;0,AF389/H389,1))),IF(R389&gt;0,AG389/R389,0))/MAX(0.1,N(Parameter!$M$21)))</f>
        <v>0.0384615384615385</v>
      </c>
      <c r="AI389" s="50" t="n">
        <f aca="false">AH389*BY389</f>
        <v>5.96153846153846</v>
      </c>
      <c r="AJ389" s="50" t="n">
        <f aca="false">AF389*G389</f>
        <v>282.2</v>
      </c>
      <c r="AK389" s="50" t="n">
        <f aca="false">ROUNDUP(MAX(J389/IF(CD389&gt;0,CD389,MAX(0.1,N(Cockpit!$C$6))),CG389)/BV389,0)*BV389</f>
        <v>54</v>
      </c>
      <c r="AL389" s="51" t="n">
        <f aca="false">IF(AI389&gt;0,J389/AI389,-1)</f>
        <v>7.71612903225806</v>
      </c>
      <c r="AM389" s="51" t="n">
        <f aca="false">IF(AND(OR(CC389="L1",CC389="L23",CC389="LIFT"),AI389&gt;0),SUMIFS($AI$7:$AI$1843,$CC$7:$CC$1843,CC389,$AL$7:$AL$1843,"&gt;"&amp;AL389)+SUMIFS($AI$7:$AI$1843,$CC$7:$CC$1843,CC389,$AL$7:$AL$1843,AL389,$BT$7:$BT$1843,"&lt;="&amp;BT389),"")</f>
        <v>3116.07692307692</v>
      </c>
      <c r="AN389" s="58" t="n">
        <f aca="false">IF(AM389="",0,MAX(0,MIN(1,(IF(CC389="L1",Parameter!$H$5,IF(CC389="L23",Parameter!$H$6+Parameter!$H$7,Parameter!$H$5+Parameter!$H$6+Parameter!$H$7))-(AM389-AI389))/AI389)))</f>
        <v>1</v>
      </c>
      <c r="AO389" s="50" t="n">
        <f aca="false">IF(LEFT(Cockpit!$I$5,1)="A",H389,IF(CE389=1,CF389,IF(LEFT(Cockpit!$I$5,1)="B",AT389,MAX(AT389,H389))))</f>
        <v>54</v>
      </c>
      <c r="AP389" s="50" t="n">
        <f aca="false">IF(BW389=1,0,ROUNDUP(AO389/BV389,0))</f>
        <v>2</v>
      </c>
      <c r="AQ389" s="52" t="n">
        <f aca="false">IF(CL389&gt;0,CL389*MAX(1,AO389/X389),IF(BW389=1,IF(AO389&lt;=0,0,CA389*MAX(1,IF(H389&gt;0,AO389/H389,1))),IF(R389&gt;0,AP389/R389,0))/MAX(0.1,N(Parameter!$M$21)))</f>
        <v>0.0384615384615385</v>
      </c>
      <c r="AR389" s="50" t="n">
        <f aca="false">AQ389*BY389</f>
        <v>5.96153846153846</v>
      </c>
      <c r="AS389" s="50" t="n">
        <f aca="false">AO389*G389</f>
        <v>448.2</v>
      </c>
      <c r="AT389" s="50" t="n">
        <f aca="false">ROUNDUP(MAX(J389/IF(CD389&gt;0,CD389,MAX(0.1,N(Cockpit!$I$6))),CG389)/BV389,0)*BV389</f>
        <v>54</v>
      </c>
      <c r="AU389" s="51" t="n">
        <f aca="false">IF(AR389&gt;0,J389/AR389,-1)</f>
        <v>7.71612903225806</v>
      </c>
      <c r="AV389" s="51" t="n">
        <f aca="false">IF(AND(OR(CC389="L1",CC389="L23",CC389="LIFT"),AR389&gt;0),SUMIFS($AR$7:$AR$1843,$CC$7:$CC$1843,CC389,$AU$7:$AU$1843,"&gt;"&amp;AU389)+SUMIFS($AR$7:$AR$1843,$CC$7:$CC$1843,CC389,$AU$7:$AU$1843,AU389,$BT$7:$BT$1843,"&lt;="&amp;BT389),"")</f>
        <v>4282.2065018315</v>
      </c>
      <c r="AW389" s="58" t="n">
        <f aca="false">IF(AV389="",0,MAX(0,MIN(1,(IF(CC389="L1",Parameter!$H$5,IF(CC389="L23",Parameter!$H$6+Parameter!$H$7,Parameter!$H$5+Parameter!$H$6+Parameter!$H$7))-(AV389-AR389))/AR389)))</f>
        <v>1</v>
      </c>
      <c r="AX389" s="50" t="n">
        <f aca="false">IF(LEFT(Cockpit!$O$5,1)="A",H389,IF(CE389=1,CF389,IF(LEFT(Cockpit!$O$5,1)="B",BC389,MAX(BC389,H389))))</f>
        <v>54</v>
      </c>
      <c r="AY389" s="50" t="n">
        <f aca="false">IF(BW389=1,0,ROUNDUP(AX389/BV389,0))</f>
        <v>2</v>
      </c>
      <c r="AZ389" s="52" t="n">
        <f aca="false">IF(CL389&gt;0,CL389*MAX(1,AX389/X389),IF(BW389=1,IF(AX389&lt;=0,0,CA389*MAX(1,IF(H389&gt;0,AX389/H389,1))),IF(R389&gt;0,AY389/R389,0))/MAX(0.1,N(Parameter!$M$21)))</f>
        <v>0.0384615384615385</v>
      </c>
      <c r="BA389" s="50" t="n">
        <f aca="false">AZ389*BY389</f>
        <v>5.96153846153846</v>
      </c>
      <c r="BB389" s="50" t="n">
        <f aca="false">AX389*G389</f>
        <v>448.2</v>
      </c>
      <c r="BC389" s="50" t="n">
        <f aca="false">ROUNDUP(MAX(J389/IF(CD389&gt;0,CD389,MAX(0.1,N(Cockpit!$O$6))),CG389)/BV389,0)*BV389</f>
        <v>54</v>
      </c>
      <c r="BD389" s="51" t="n">
        <f aca="false">IF(BA389&gt;0,J389/BA389,-1)</f>
        <v>7.71612903225806</v>
      </c>
      <c r="BE389" s="51" t="n">
        <f aca="false">IF(AND(OR(CC389="L1",CC389="L23",CC389="LIFT"),BA389&gt;0),SUMIFS($BA$7:$BA$1843,$CC$7:$CC$1843,CC389,$BD$7:$BD$1843,"&gt;"&amp;BD389)+SUMIFS($BA$7:$BA$1843,$CC$7:$CC$1843,CC389,$BD$7:$BD$1843,BD389,$BT$7:$BT$1843,"&lt;="&amp;BT389),"")</f>
        <v>3988.92124542125</v>
      </c>
      <c r="BF389" s="58" t="n">
        <f aca="false">IF(BE389="",0,MAX(0,MIN(1,(IF(CC389="L1",Parameter!$H$5,IF(CC389="L23",Parameter!$H$6+Parameter!$H$7,Parameter!$H$5+Parameter!$H$6+Parameter!$H$7))-(BE389-BA389))/BA389)))</f>
        <v>1</v>
      </c>
      <c r="BG389" s="48" t="str">
        <f aca="false">IF(AI389&lt;=0,"",IF(CC389="Aussen","Aussenlager",IF(CC389="-","Nicht im Lift",IF(AN389&gt;=1,"Lift",IF(AN389&lt;=0,"Aussenlager","teilweise")))))</f>
        <v>Lift</v>
      </c>
      <c r="BH389" s="48" t="str">
        <f aca="false">IF(AR389&lt;=0,"",IF(CC389="Aussen","Aussenlager",IF(CC389="-","Nicht im Lift",IF(AW389&gt;=1,"Lift",IF(AW389&lt;=0,"Aussenlager","teilweise")))))</f>
        <v>Lift</v>
      </c>
      <c r="BI389" s="48" t="str">
        <f aca="false">IF(BA389&lt;=0,"",IF(CC389="Aussen","Aussenlager",IF(CC389="-","Nicht im Lift",IF(BF389&gt;=1,"Lift",IF(BF389&lt;=0,"Aussenlager","teilweise")))))</f>
        <v>Lift</v>
      </c>
      <c r="BJ389" s="48" t="str">
        <f aca="false">IF(A389="","",IF(BS389=1,"Neu; ","")&amp;IF(AND(BS389=0,BN389&lt;0),"negativer Bestand (Export "&amp;BN389&amp;"); ","")&amp;IF(J389&lt;=0,"Kein Verbrauch; ","")&amp;IF(CL389&gt;0,"Lift "&amp;W389&amp;" lt. Liftbericht (Fach "&amp;X389&amp;" Stk); ",IF(BX389=1,"Gebinde geschätzt ("&amp;T389&amp;"); ",IF(BW389=1,"Lose – Tablare geschätzt; ","")))&amp;IF(H389&gt;AT389,"Überbestand "&amp;ROUND(H389-AT389,0)&amp;" Stk / CHF "&amp;ROUND((H389-AT389)*G389,0)&amp;"; ","")&amp;IF(AND(CE389=1,CF389&lt;CG389),"MAX &lt; MB+LG; ","")&amp;IF(AND(CK389&gt;0,CJ389*10&gt;CK389),"zu hoch für Tablar; ","")&amp;IF(AND(BS389=0,OR(CE389=1,AA389&lt;&gt;"",U389&lt;&gt;"",V389&lt;&gt;"",AB389&lt;&gt;"")),"manuell übersteuert; ","")&amp;IF(AND(BW389=0,R389=0),"Gebinde unbekannt / Stellmass fehlt; ","")&amp;IF(AND(BW389=0,N(V389)&lt;=0,N(Q389)&lt;=0),"Menge pro Gebinde fehlt (Ist = 1 Gebinde); ","")&amp;BR389)</f>
        <v/>
      </c>
      <c r="BK389" s="48"/>
      <c r="BL389" s="48"/>
      <c r="BM389" s="55"/>
      <c r="BN389" s="50" t="n">
        <v>22</v>
      </c>
      <c r="BO389" s="50" t="n">
        <v>12</v>
      </c>
      <c r="BP389" s="49" t="n">
        <v>127.28</v>
      </c>
      <c r="BQ389" s="50" t="n">
        <v>46</v>
      </c>
      <c r="BR389" s="48"/>
      <c r="BS389" s="53" t="n">
        <v>0</v>
      </c>
      <c r="BT389" s="53" t="n">
        <v>389</v>
      </c>
      <c r="BU389" s="48" t="str">
        <f aca="false">IF(U389&lt;&gt;"",UPPER(TRIM(U389)),IF(BX389=1,UPPER(VLOOKUP(T389,Parameter!$I$27:$K$29,2,0)),IF(P389="","LOSE",P389)))</f>
        <v>S41</v>
      </c>
      <c r="BV389" s="50" t="n">
        <f aca="false">IF(BU389="LOSE",1,IF(N(V389)&gt;0,V389,IF(BX389=1,MAX(1,N(VLOOKUP(T389,Parameter!$I$27:$K$29,3,0)),H389,N(N389)),IF(N(Q389)&gt;0,Q389,MAX(1,H389)))))</f>
        <v>27</v>
      </c>
      <c r="BW389" s="53" t="n">
        <f aca="false">IF(BU389="LOSE",1,0)</f>
        <v>0</v>
      </c>
      <c r="BX389" s="53" t="n">
        <f aca="false">IF(AND(U389="",OR(P389="",P389="LOSE"),T389&lt;&gt;"",N(S389)&lt;=0,ISNUMBER(MATCH(T389,Parameter!$I$27:$I$29,0))),1,0)</f>
        <v>0</v>
      </c>
      <c r="BY389" s="53" t="n">
        <f aca="false">IF(CL389&gt;0,INDEX(Parameter!$H$5:$H$7,W389)/INDEX(Parameter!$E$5:$E$7,W389),IF(AND(BW389=0,N(IFERROR(VLOOKUP(BU389,'Gebinde-Kategorie'!$A$5:$N$45,14,0),0))&gt;0),VLOOKUP(BU389,'Gebinde-Kategorie'!$A$5:$N$45,14,0)*10+Parameter!$M$23,Parameter!$M$24))</f>
        <v>155</v>
      </c>
      <c r="BZ389" s="48" t="str">
        <f aca="false">IF(AND(Parameter!$B$19="Ja",E389&lt;&gt;"",ISNUMBER(MATCH(E389,Parameter!$I$35:$I$52,0))),VLOOKUP(E389,Parameter!$I$35:$J$52,2,0),IFERROR(VLOOKUP(D389,Parameter!$A$35:$C$64,2,0),"Nein"))</f>
        <v>2+3</v>
      </c>
      <c r="CA389" s="52" t="n">
        <f aca="false">IF(BW389=0,0,IF(N(S389)&gt;0,S389,IFERROR(VLOOKUP(D389,Parameter!$A$35:$C$64,3,0)+0,0)))</f>
        <v>0</v>
      </c>
      <c r="CB389" s="48" t="n">
        <f aca="false">IF(AA389&lt;&gt;"",AA389,Z389)</f>
        <v>3</v>
      </c>
      <c r="CC389" s="48" t="str">
        <f aca="false">IF(OR(CB389=1,CB389=2,CB389=3),IF(Parameter!$E$27="Ja","LIFT",IF(CB389=1,"L1","L23")),IF(CB389="Aussen","Aussen","-"))</f>
        <v>LIFT</v>
      </c>
      <c r="CD389" s="59" t="n">
        <f aca="false">IF(N(AB389)&gt;0,AB389,0)</f>
        <v>0</v>
      </c>
      <c r="CE389" s="53" t="n">
        <f aca="false">IF(ISNUMBER(AE389),1,0)</f>
        <v>0</v>
      </c>
      <c r="CF389" s="50" t="n">
        <f aca="false">N(AE389)</f>
        <v>0</v>
      </c>
      <c r="CG389" s="50" t="n">
        <f aca="false">N(M389)+N(N389)</f>
        <v>53</v>
      </c>
      <c r="CH389" s="50" t="n">
        <f aca="false">ROUNDUP(H389/BV389,0)</f>
        <v>2</v>
      </c>
      <c r="CI389" s="50" t="n">
        <f aca="false">ROUNDUP(CF389/BV389,0)</f>
        <v>0</v>
      </c>
      <c r="CJ389" s="53" t="n">
        <f aca="false">IF(BW389=1,0,IFERROR(VLOOKUP(BU389,'Gebinde-Kategorie'!$A$5:$N$45,5,0)+0,0))</f>
        <v>11</v>
      </c>
      <c r="CK389" s="53" t="n">
        <f aca="false">IFERROR(IF(OR(CB389=1,CB389=2,CB389=3),N(INDEX(Parameter!$I$5:$I$7,CB389)),0),0)</f>
        <v>0</v>
      </c>
      <c r="CL389" s="52" t="n">
        <f aca="false">IF(AND(Parameter!$B$21="Ja",ISNUMBER(W389),N(X389)&gt;0),IFERROR(N(INDEX(Parameter!$L$5:$L$7,W389))*INDEX(Parameter!$E$5:$E$7,W389)*X389/SUMIFS($X$7:$X$1843,$W$7:$W$1843,W389),0),0)</f>
        <v>0</v>
      </c>
    </row>
    <row r="390" customFormat="false" ht="15" hidden="false" customHeight="false" outlineLevel="0" collapsed="false">
      <c r="A390" s="48" t="s">
        <v>924</v>
      </c>
      <c r="B390" s="48" t="s">
        <v>925</v>
      </c>
      <c r="C390" s="48" t="s">
        <v>168</v>
      </c>
      <c r="D390" s="48" t="s">
        <v>188</v>
      </c>
      <c r="E390" s="48" t="s">
        <v>189</v>
      </c>
      <c r="F390" s="48" t="s">
        <v>222</v>
      </c>
      <c r="G390" s="49" t="n">
        <v>3.81</v>
      </c>
      <c r="H390" s="50" t="n">
        <f aca="false">MAX(0,IF(AND(Parameter!$B$21="Ja",ISNUMBER(Y390)),Y390,IF(Parameter!$B$20="Jahresanfang 2025 + Export",BO390+BN390,BN390)))</f>
        <v>66</v>
      </c>
      <c r="I390" s="50" t="n">
        <f aca="false">H390*G390</f>
        <v>251.46</v>
      </c>
      <c r="J390" s="50" t="n">
        <f aca="false">BQ390*Parameter!$B$18</f>
        <v>29</v>
      </c>
      <c r="K390" s="51" t="n">
        <v>74.5</v>
      </c>
      <c r="L390" s="52" t="n">
        <v>0.389261744966443</v>
      </c>
      <c r="M390" s="50" t="n">
        <v>2</v>
      </c>
      <c r="N390" s="50" t="n">
        <v>100</v>
      </c>
      <c r="O390" s="53" t="n">
        <v>28</v>
      </c>
      <c r="P390" s="48" t="s">
        <v>332</v>
      </c>
      <c r="Q390" s="50" t="n">
        <v>128</v>
      </c>
      <c r="R390" s="53" t="n">
        <f aca="false">IF(BW390=1,0,IFERROR(VLOOKUP(BU390,'Gebinde-Kategorie'!$A$5:$N$45,13,0)+0,0))</f>
        <v>52</v>
      </c>
      <c r="S390" s="54"/>
      <c r="T390" s="55"/>
      <c r="U390" s="55"/>
      <c r="V390" s="55"/>
      <c r="W390" s="48"/>
      <c r="X390" s="50"/>
      <c r="Y390" s="50"/>
      <c r="Z390" s="48" t="n">
        <f aca="false">IF(A390="","",IF(AND(Parameter!$B$21="Ja",ISNUMBER(W390)),W390,IF(BZ390="2+3",IF(ISNUMBER(SEARCH("grosser Artikel",BR390)),2,IFERROR(VLOOKUP(BU390,Parameter!$F$35:$G$64,2,0),2)),IF(OR(BZ390="Nein",BZ390=""),"-",BZ390))))</f>
        <v>3</v>
      </c>
      <c r="AA390" s="55"/>
      <c r="AB390" s="56"/>
      <c r="AC390" s="50" t="n">
        <f aca="false">AT390</f>
        <v>128</v>
      </c>
      <c r="AD390" s="50" t="n">
        <f aca="false">MAX(AT390,H390)</f>
        <v>128</v>
      </c>
      <c r="AE390" s="57"/>
      <c r="AF390" s="50" t="n">
        <f aca="false">IF(LEFT(Cockpit!$C$5,1)="A",H390,IF(CE390=1,CF390,IF(LEFT(Cockpit!$C$5,1)="B",AK390,MAX(AK390,H390))))</f>
        <v>66</v>
      </c>
      <c r="AG390" s="50" t="n">
        <f aca="false">IF(BW390=1,0,ROUNDUP(AF390/BV390,0))</f>
        <v>1</v>
      </c>
      <c r="AH390" s="52" t="n">
        <f aca="false">IF(CL390&gt;0,CL390*MAX(1,AF390/X390),IF(BW390=1,IF(AF390&lt;=0,0,CA390*MAX(1,IF(H390&gt;0,AF390/H390,1))),IF(R390&gt;0,AG390/R390,0))/MAX(0.1,N(Parameter!$M$21)))</f>
        <v>0.0192307692307692</v>
      </c>
      <c r="AI390" s="50" t="n">
        <f aca="false">AH390*BY390</f>
        <v>2.98076923076923</v>
      </c>
      <c r="AJ390" s="50" t="n">
        <f aca="false">AF390*G390</f>
        <v>251.46</v>
      </c>
      <c r="AK390" s="50" t="n">
        <f aca="false">ROUNDUP(MAX(J390/IF(CD390&gt;0,CD390,MAX(0.1,N(Cockpit!$C$6))),CG390)/BV390,0)*BV390</f>
        <v>128</v>
      </c>
      <c r="AL390" s="51" t="n">
        <f aca="false">IF(AI390&gt;0,J390/AI390,-1)</f>
        <v>9.72903225806452</v>
      </c>
      <c r="AM390" s="51" t="n">
        <f aca="false">IF(AND(OR(CC390="L1",CC390="L23",CC390="LIFT"),AI390&gt;0),SUMIFS($AI$7:$AI$1843,$CC$7:$CC$1843,CC390,$AL$7:$AL$1843,"&gt;"&amp;AL390)+SUMIFS($AI$7:$AI$1843,$CC$7:$CC$1843,CC390,$AL$7:$AL$1843,AL390,$BT$7:$BT$1843,"&lt;="&amp;BT390),"")</f>
        <v>2894.23305860806</v>
      </c>
      <c r="AN390" s="58" t="n">
        <f aca="false">IF(AM390="",0,MAX(0,MIN(1,(IF(CC390="L1",Parameter!$H$5,IF(CC390="L23",Parameter!$H$6+Parameter!$H$7,Parameter!$H$5+Parameter!$H$6+Parameter!$H$7))-(AM390-AI390))/AI390)))</f>
        <v>1</v>
      </c>
      <c r="AO390" s="50" t="n">
        <f aca="false">IF(LEFT(Cockpit!$I$5,1)="A",H390,IF(CE390=1,CF390,IF(LEFT(Cockpit!$I$5,1)="B",AT390,MAX(AT390,H390))))</f>
        <v>128</v>
      </c>
      <c r="AP390" s="50" t="n">
        <f aca="false">IF(BW390=1,0,ROUNDUP(AO390/BV390,0))</f>
        <v>1</v>
      </c>
      <c r="AQ390" s="52" t="n">
        <f aca="false">IF(CL390&gt;0,CL390*MAX(1,AO390/X390),IF(BW390=1,IF(AO390&lt;=0,0,CA390*MAX(1,IF(H390&gt;0,AO390/H390,1))),IF(R390&gt;0,AP390/R390,0))/MAX(0.1,N(Parameter!$M$21)))</f>
        <v>0.0192307692307692</v>
      </c>
      <c r="AR390" s="50" t="n">
        <f aca="false">AQ390*BY390</f>
        <v>2.98076923076923</v>
      </c>
      <c r="AS390" s="50" t="n">
        <f aca="false">AO390*G390</f>
        <v>487.68</v>
      </c>
      <c r="AT390" s="50" t="n">
        <f aca="false">ROUNDUP(MAX(J390/IF(CD390&gt;0,CD390,MAX(0.1,N(Cockpit!$I$6))),CG390)/BV390,0)*BV390</f>
        <v>128</v>
      </c>
      <c r="AU390" s="51" t="n">
        <f aca="false">IF(AR390&gt;0,J390/AR390,-1)</f>
        <v>9.72903225806452</v>
      </c>
      <c r="AV390" s="51" t="n">
        <f aca="false">IF(AND(OR(CC390="L1",CC390="L23",CC390="LIFT"),AR390&gt;0),SUMIFS($AR$7:$AR$1843,$CC$7:$CC$1843,CC390,$AU$7:$AU$1843,"&gt;"&amp;AU390)+SUMIFS($AR$7:$AR$1843,$CC$7:$CC$1843,CC390,$AU$7:$AU$1843,AU390,$BT$7:$BT$1843,"&lt;="&amp;BT390),"")</f>
        <v>4071.78021978022</v>
      </c>
      <c r="AW390" s="58" t="n">
        <f aca="false">IF(AV390="",0,MAX(0,MIN(1,(IF(CC390="L1",Parameter!$H$5,IF(CC390="L23",Parameter!$H$6+Parameter!$H$7,Parameter!$H$5+Parameter!$H$6+Parameter!$H$7))-(AV390-AR390))/AR390)))</f>
        <v>1</v>
      </c>
      <c r="AX390" s="50" t="n">
        <f aca="false">IF(LEFT(Cockpit!$O$5,1)="A",H390,IF(CE390=1,CF390,IF(LEFT(Cockpit!$O$5,1)="B",BC390,MAX(BC390,H390))))</f>
        <v>128</v>
      </c>
      <c r="AY390" s="50" t="n">
        <f aca="false">IF(BW390=1,0,ROUNDUP(AX390/BV390,0))</f>
        <v>1</v>
      </c>
      <c r="AZ390" s="52" t="n">
        <f aca="false">IF(CL390&gt;0,CL390*MAX(1,AX390/X390),IF(BW390=1,IF(AX390&lt;=0,0,CA390*MAX(1,IF(H390&gt;0,AX390/H390,1))),IF(R390&gt;0,AY390/R390,0))/MAX(0.1,N(Parameter!$M$21)))</f>
        <v>0.0192307692307692</v>
      </c>
      <c r="BA390" s="50" t="n">
        <f aca="false">AZ390*BY390</f>
        <v>2.98076923076923</v>
      </c>
      <c r="BB390" s="50" t="n">
        <f aca="false">AX390*G390</f>
        <v>487.68</v>
      </c>
      <c r="BC390" s="50" t="n">
        <f aca="false">ROUNDUP(MAX(J390/IF(CD390&gt;0,CD390,MAX(0.1,N(Cockpit!$O$6))),CG390)/BV390,0)*BV390</f>
        <v>128</v>
      </c>
      <c r="BD390" s="51" t="n">
        <f aca="false">IF(BA390&gt;0,J390/BA390,-1)</f>
        <v>9.72903225806452</v>
      </c>
      <c r="BE390" s="51" t="n">
        <f aca="false">IF(AND(OR(CC390="L1",CC390="L23",CC390="LIFT"),BA390&gt;0),SUMIFS($BA$7:$BA$1843,$CC$7:$CC$1843,CC390,$BD$7:$BD$1843,"&gt;"&amp;BD390)+SUMIFS($BA$7:$BA$1843,$CC$7:$CC$1843,CC390,$BD$7:$BD$1843,BD390,$BT$7:$BT$1843,"&lt;="&amp;BT390),"")</f>
        <v>3729.90521978022</v>
      </c>
      <c r="BF390" s="58" t="n">
        <f aca="false">IF(BE390="",0,MAX(0,MIN(1,(IF(CC390="L1",Parameter!$H$5,IF(CC390="L23",Parameter!$H$6+Parameter!$H$7,Parameter!$H$5+Parameter!$H$6+Parameter!$H$7))-(BE390-BA390))/BA390)))</f>
        <v>1</v>
      </c>
      <c r="BG390" s="48" t="str">
        <f aca="false">IF(AI390&lt;=0,"",IF(CC390="Aussen","Aussenlager",IF(CC390="-","Nicht im Lift",IF(AN390&gt;=1,"Lift",IF(AN390&lt;=0,"Aussenlager","teilweise")))))</f>
        <v>Lift</v>
      </c>
      <c r="BH390" s="48" t="str">
        <f aca="false">IF(AR390&lt;=0,"",IF(CC390="Aussen","Aussenlager",IF(CC390="-","Nicht im Lift",IF(AW390&gt;=1,"Lift",IF(AW390&lt;=0,"Aussenlager","teilweise")))))</f>
        <v>Lift</v>
      </c>
      <c r="BI390" s="48" t="str">
        <f aca="false">IF(BA390&lt;=0,"",IF(CC390="Aussen","Aussenlager",IF(CC390="-","Nicht im Lift",IF(BF390&gt;=1,"Lift",IF(BF390&lt;=0,"Aussenlager","teilweise")))))</f>
        <v>Lift</v>
      </c>
      <c r="BJ390" s="48" t="str">
        <f aca="false">IF(A390="","",IF(BS390=1,"Neu; ","")&amp;IF(AND(BS390=0,BN390&lt;0),"negativer Bestand (Export "&amp;BN390&amp;"); ","")&amp;IF(J390&lt;=0,"Kein Verbrauch; ","")&amp;IF(CL390&gt;0,"Lift "&amp;W390&amp;" lt. Liftbericht (Fach "&amp;X390&amp;" Stk); ",IF(BX390=1,"Gebinde geschätzt ("&amp;T390&amp;"); ",IF(BW390=1,"Lose – Tablare geschätzt; ","")))&amp;IF(H390&gt;AT390,"Überbestand "&amp;ROUND(H390-AT390,0)&amp;" Stk / CHF "&amp;ROUND((H390-AT390)*G390,0)&amp;"; ","")&amp;IF(AND(CE390=1,CF390&lt;CG390),"MAX &lt; MB+LG; ","")&amp;IF(AND(CK390&gt;0,CJ390*10&gt;CK390),"zu hoch für Tablar; ","")&amp;IF(AND(BS390=0,OR(CE390=1,AA390&lt;&gt;"",U390&lt;&gt;"",V390&lt;&gt;"",AB390&lt;&gt;"")),"manuell übersteuert; ","")&amp;IF(AND(BW390=0,R390=0),"Gebinde unbekannt / Stellmass fehlt; ","")&amp;IF(AND(BW390=0,N(V390)&lt;=0,N(Q390)&lt;=0),"Menge pro Gebinde fehlt (Ist = 1 Gebinde); ","")&amp;BR390)</f>
        <v/>
      </c>
      <c r="BK390" s="48"/>
      <c r="BL390" s="48"/>
      <c r="BM390" s="55"/>
      <c r="BN390" s="50" t="n">
        <v>32</v>
      </c>
      <c r="BO390" s="50" t="n">
        <v>34</v>
      </c>
      <c r="BP390" s="49" t="n">
        <v>122.94</v>
      </c>
      <c r="BQ390" s="50" t="n">
        <v>29</v>
      </c>
      <c r="BR390" s="48"/>
      <c r="BS390" s="53" t="n">
        <v>0</v>
      </c>
      <c r="BT390" s="53" t="n">
        <v>390</v>
      </c>
      <c r="BU390" s="48" t="str">
        <f aca="false">IF(U390&lt;&gt;"",UPPER(TRIM(U390)),IF(BX390=1,UPPER(VLOOKUP(T390,Parameter!$I$27:$K$29,2,0)),IF(P390="","LOSE",P390)))</f>
        <v>S41</v>
      </c>
      <c r="BV390" s="50" t="n">
        <f aca="false">IF(BU390="LOSE",1,IF(N(V390)&gt;0,V390,IF(BX390=1,MAX(1,N(VLOOKUP(T390,Parameter!$I$27:$K$29,3,0)),H390,N(N390)),IF(N(Q390)&gt;0,Q390,MAX(1,H390)))))</f>
        <v>128</v>
      </c>
      <c r="BW390" s="53" t="n">
        <f aca="false">IF(BU390="LOSE",1,0)</f>
        <v>0</v>
      </c>
      <c r="BX390" s="53" t="n">
        <f aca="false">IF(AND(U390="",OR(P390="",P390="LOSE"),T390&lt;&gt;"",N(S390)&lt;=0,ISNUMBER(MATCH(T390,Parameter!$I$27:$I$29,0))),1,0)</f>
        <v>0</v>
      </c>
      <c r="BY390" s="53" t="n">
        <f aca="false">IF(CL390&gt;0,INDEX(Parameter!$H$5:$H$7,W390)/INDEX(Parameter!$E$5:$E$7,W390),IF(AND(BW390=0,N(IFERROR(VLOOKUP(BU390,'Gebinde-Kategorie'!$A$5:$N$45,14,0),0))&gt;0),VLOOKUP(BU390,'Gebinde-Kategorie'!$A$5:$N$45,14,0)*10+Parameter!$M$23,Parameter!$M$24))</f>
        <v>155</v>
      </c>
      <c r="BZ390" s="48" t="str">
        <f aca="false">IF(AND(Parameter!$B$19="Ja",E390&lt;&gt;"",ISNUMBER(MATCH(E390,Parameter!$I$35:$I$52,0))),VLOOKUP(E390,Parameter!$I$35:$J$52,2,0),IFERROR(VLOOKUP(D390,Parameter!$A$35:$C$64,2,0),"Nein"))</f>
        <v>2+3</v>
      </c>
      <c r="CA390" s="52" t="n">
        <f aca="false">IF(BW390=0,0,IF(N(S390)&gt;0,S390,IFERROR(VLOOKUP(D390,Parameter!$A$35:$C$64,3,0)+0,0)))</f>
        <v>0</v>
      </c>
      <c r="CB390" s="48" t="n">
        <f aca="false">IF(AA390&lt;&gt;"",AA390,Z390)</f>
        <v>3</v>
      </c>
      <c r="CC390" s="48" t="str">
        <f aca="false">IF(OR(CB390=1,CB390=2,CB390=3),IF(Parameter!$E$27="Ja","LIFT",IF(CB390=1,"L1","L23")),IF(CB390="Aussen","Aussen","-"))</f>
        <v>LIFT</v>
      </c>
      <c r="CD390" s="59" t="n">
        <f aca="false">IF(N(AB390)&gt;0,AB390,0)</f>
        <v>0</v>
      </c>
      <c r="CE390" s="53" t="n">
        <f aca="false">IF(ISNUMBER(AE390),1,0)</f>
        <v>0</v>
      </c>
      <c r="CF390" s="50" t="n">
        <f aca="false">N(AE390)</f>
        <v>0</v>
      </c>
      <c r="CG390" s="50" t="n">
        <f aca="false">N(M390)+N(N390)</f>
        <v>102</v>
      </c>
      <c r="CH390" s="50" t="n">
        <f aca="false">ROUNDUP(H390/BV390,0)</f>
        <v>1</v>
      </c>
      <c r="CI390" s="50" t="n">
        <f aca="false">ROUNDUP(CF390/BV390,0)</f>
        <v>0</v>
      </c>
      <c r="CJ390" s="53" t="n">
        <f aca="false">IF(BW390=1,0,IFERROR(VLOOKUP(BU390,'Gebinde-Kategorie'!$A$5:$N$45,5,0)+0,0))</f>
        <v>11</v>
      </c>
      <c r="CK390" s="53" t="n">
        <f aca="false">IFERROR(IF(OR(CB390=1,CB390=2,CB390=3),N(INDEX(Parameter!$I$5:$I$7,CB390)),0),0)</f>
        <v>0</v>
      </c>
      <c r="CL390" s="52" t="n">
        <f aca="false">IF(AND(Parameter!$B$21="Ja",ISNUMBER(W390),N(X390)&gt;0),IFERROR(N(INDEX(Parameter!$L$5:$L$7,W390))*INDEX(Parameter!$E$5:$E$7,W390)*X390/SUMIFS($X$7:$X$1843,$W$7:$W$1843,W390),0),0)</f>
        <v>0</v>
      </c>
    </row>
    <row r="391" customFormat="false" ht="15" hidden="false" customHeight="false" outlineLevel="0" collapsed="false">
      <c r="A391" s="48" t="s">
        <v>926</v>
      </c>
      <c r="B391" s="48" t="s">
        <v>927</v>
      </c>
      <c r="C391" s="48" t="s">
        <v>168</v>
      </c>
      <c r="D391" s="48" t="s">
        <v>188</v>
      </c>
      <c r="E391" s="48" t="s">
        <v>189</v>
      </c>
      <c r="F391" s="48" t="s">
        <v>222</v>
      </c>
      <c r="G391" s="49" t="n">
        <v>203.54</v>
      </c>
      <c r="H391" s="50" t="n">
        <f aca="false">MAX(0,IF(AND(Parameter!$B$21="Ja",ISNUMBER(Y391)),Y391,IF(Parameter!$B$20="Jahresanfang 2025 + Export",BO391+BN391,BN391)))</f>
        <v>8</v>
      </c>
      <c r="I391" s="50" t="n">
        <f aca="false">H391*G391</f>
        <v>1628.32</v>
      </c>
      <c r="J391" s="50" t="n">
        <f aca="false">BQ391*Parameter!$B$18</f>
        <v>2</v>
      </c>
      <c r="K391" s="51" t="n">
        <v>8</v>
      </c>
      <c r="L391" s="52" t="n">
        <v>0.25</v>
      </c>
      <c r="M391" s="50" t="n">
        <v>0</v>
      </c>
      <c r="N391" s="50" t="n">
        <v>1</v>
      </c>
      <c r="O391" s="53" t="n">
        <v>14</v>
      </c>
      <c r="P391" s="48" t="s">
        <v>237</v>
      </c>
      <c r="Q391" s="50" t="n">
        <v>14</v>
      </c>
      <c r="R391" s="53" t="n">
        <f aca="false">IF(BW391=1,0,IFERROR(VLOOKUP(BU391,'Gebinde-Kategorie'!$A$5:$N$45,13,0)+0,0))</f>
        <v>26</v>
      </c>
      <c r="S391" s="54"/>
      <c r="T391" s="55"/>
      <c r="U391" s="55"/>
      <c r="V391" s="55"/>
      <c r="W391" s="48"/>
      <c r="X391" s="50"/>
      <c r="Y391" s="50"/>
      <c r="Z391" s="48" t="n">
        <f aca="false">IF(A391="","",IF(AND(Parameter!$B$21="Ja",ISNUMBER(W391)),W391,IF(BZ391="2+3",IF(ISNUMBER(SEARCH("grosser Artikel",BR391)),2,IFERROR(VLOOKUP(BU391,Parameter!$F$35:$G$64,2,0),2)),IF(OR(BZ391="Nein",BZ391=""),"-",BZ391))))</f>
        <v>3</v>
      </c>
      <c r="AA391" s="55"/>
      <c r="AB391" s="56"/>
      <c r="AC391" s="50" t="n">
        <f aca="false">AT391</f>
        <v>14</v>
      </c>
      <c r="AD391" s="50" t="n">
        <f aca="false">MAX(AT391,H391)</f>
        <v>14</v>
      </c>
      <c r="AE391" s="57"/>
      <c r="AF391" s="50" t="n">
        <f aca="false">IF(LEFT(Cockpit!$C$5,1)="A",H391,IF(CE391=1,CF391,IF(LEFT(Cockpit!$C$5,1)="B",AK391,MAX(AK391,H391))))</f>
        <v>8</v>
      </c>
      <c r="AG391" s="50" t="n">
        <f aca="false">IF(BW391=1,0,ROUNDUP(AF391/BV391,0))</f>
        <v>1</v>
      </c>
      <c r="AH391" s="52" t="n">
        <f aca="false">IF(CL391&gt;0,CL391*MAX(1,AF391/X391),IF(BW391=1,IF(AF391&lt;=0,0,CA391*MAX(1,IF(H391&gt;0,AF391/H391,1))),IF(R391&gt;0,AG391/R391,0))/MAX(0.1,N(Parameter!$M$21)))</f>
        <v>0.0384615384615385</v>
      </c>
      <c r="AI391" s="50" t="n">
        <f aca="false">AH391*BY391</f>
        <v>9.42307692307692</v>
      </c>
      <c r="AJ391" s="50" t="n">
        <f aca="false">AF391*G391</f>
        <v>1628.32</v>
      </c>
      <c r="AK391" s="50" t="n">
        <f aca="false">ROUNDUP(MAX(J391/IF(CD391&gt;0,CD391,MAX(0.1,N(Cockpit!$C$6))),CG391)/BV391,0)*BV391</f>
        <v>14</v>
      </c>
      <c r="AL391" s="51" t="n">
        <f aca="false">IF(AI391&gt;0,J391/AI391,-1)</f>
        <v>0.212244897959184</v>
      </c>
      <c r="AM391" s="51" t="n">
        <f aca="false">IF(AND(OR(CC391="L1",CC391="L23",CC391="LIFT"),AI391&gt;0),SUMIFS($AI$7:$AI$1843,$CC$7:$CC$1843,CC391,$AL$7:$AL$1843,"&gt;"&amp;AL391)+SUMIFS($AI$7:$AI$1843,$CC$7:$CC$1843,CC391,$AL$7:$AL$1843,AL391,$BT$7:$BT$1843,"&lt;="&amp;BT391),"")</f>
        <v>12364.124746487</v>
      </c>
      <c r="AN391" s="58" t="n">
        <f aca="false">IF(AM391="",0,MAX(0,MIN(1,(IF(CC391="L1",Parameter!$H$5,IF(CC391="L23",Parameter!$H$6+Parameter!$H$7,Parameter!$H$5+Parameter!$H$6+Parameter!$H$7))-(AM391-AI391))/AI391)))</f>
        <v>1</v>
      </c>
      <c r="AO391" s="50" t="n">
        <f aca="false">IF(LEFT(Cockpit!$I$5,1)="A",H391,IF(CE391=1,CF391,IF(LEFT(Cockpit!$I$5,1)="B",AT391,MAX(AT391,H391))))</f>
        <v>14</v>
      </c>
      <c r="AP391" s="50" t="n">
        <f aca="false">IF(BW391=1,0,ROUNDUP(AO391/BV391,0))</f>
        <v>1</v>
      </c>
      <c r="AQ391" s="52" t="n">
        <f aca="false">IF(CL391&gt;0,CL391*MAX(1,AO391/X391),IF(BW391=1,IF(AO391&lt;=0,0,CA391*MAX(1,IF(H391&gt;0,AO391/H391,1))),IF(R391&gt;0,AP391/R391,0))/MAX(0.1,N(Parameter!$M$21)))</f>
        <v>0.0384615384615385</v>
      </c>
      <c r="AR391" s="50" t="n">
        <f aca="false">AQ391*BY391</f>
        <v>9.42307692307692</v>
      </c>
      <c r="AS391" s="50" t="n">
        <f aca="false">AO391*G391</f>
        <v>2849.56</v>
      </c>
      <c r="AT391" s="50" t="n">
        <f aca="false">ROUNDUP(MAX(J391/IF(CD391&gt;0,CD391,MAX(0.1,N(Cockpit!$I$6))),CG391)/BV391,0)*BV391</f>
        <v>14</v>
      </c>
      <c r="AU391" s="51" t="n">
        <f aca="false">IF(AR391&gt;0,J391/AR391,-1)</f>
        <v>0.212244897959184</v>
      </c>
      <c r="AV391" s="51" t="n">
        <f aca="false">IF(AND(OR(CC391="L1",CC391="L23",CC391="LIFT"),AR391&gt;0),SUMIFS($AR$7:$AR$1843,$CC$7:$CC$1843,CC391,$AU$7:$AU$1843,"&gt;"&amp;AU391)+SUMIFS($AR$7:$AR$1843,$CC$7:$CC$1843,CC391,$AU$7:$AU$1843,AU391,$BT$7:$BT$1843,"&lt;="&amp;BT391),"")</f>
        <v>18277.8594322344</v>
      </c>
      <c r="AW391" s="58" t="n">
        <f aca="false">IF(AV391="",0,MAX(0,MIN(1,(IF(CC391="L1",Parameter!$H$5,IF(CC391="L23",Parameter!$H$6+Parameter!$H$7,Parameter!$H$5+Parameter!$H$6+Parameter!$H$7))-(AV391-AR391))/AR391)))</f>
        <v>1</v>
      </c>
      <c r="AX391" s="50" t="n">
        <f aca="false">IF(LEFT(Cockpit!$O$5,1)="A",H391,IF(CE391=1,CF391,IF(LEFT(Cockpit!$O$5,1)="B",BC391,MAX(BC391,H391))))</f>
        <v>14</v>
      </c>
      <c r="AY391" s="50" t="n">
        <f aca="false">IF(BW391=1,0,ROUNDUP(AX391/BV391,0))</f>
        <v>1</v>
      </c>
      <c r="AZ391" s="52" t="n">
        <f aca="false">IF(CL391&gt;0,CL391*MAX(1,AX391/X391),IF(BW391=1,IF(AX391&lt;=0,0,CA391*MAX(1,IF(H391&gt;0,AX391/H391,1))),IF(R391&gt;0,AY391/R391,0))/MAX(0.1,N(Parameter!$M$21)))</f>
        <v>0.0384615384615385</v>
      </c>
      <c r="BA391" s="50" t="n">
        <f aca="false">AZ391*BY391</f>
        <v>9.42307692307692</v>
      </c>
      <c r="BB391" s="50" t="n">
        <f aca="false">AX391*G391</f>
        <v>2849.56</v>
      </c>
      <c r="BC391" s="50" t="n">
        <f aca="false">ROUNDUP(MAX(J391/IF(CD391&gt;0,CD391,MAX(0.1,N(Cockpit!$O$6))),CG391)/BV391,0)*BV391</f>
        <v>14</v>
      </c>
      <c r="BD391" s="51" t="n">
        <f aca="false">IF(BA391&gt;0,J391/BA391,-1)</f>
        <v>0.212244897959184</v>
      </c>
      <c r="BE391" s="51" t="n">
        <f aca="false">IF(AND(OR(CC391="L1",CC391="L23",CC391="LIFT"),BA391&gt;0),SUMIFS($BA$7:$BA$1843,$CC$7:$CC$1843,CC391,$BD$7:$BD$1843,"&gt;"&amp;BD391)+SUMIFS($BA$7:$BA$1843,$CC$7:$CC$1843,CC391,$BD$7:$BD$1843,BD391,$BT$7:$BT$1843,"&lt;="&amp;BT391),"")</f>
        <v>16930.5998168498</v>
      </c>
      <c r="BF391" s="58" t="n">
        <f aca="false">IF(BE391="",0,MAX(0,MIN(1,(IF(CC391="L1",Parameter!$H$5,IF(CC391="L23",Parameter!$H$6+Parameter!$H$7,Parameter!$H$5+Parameter!$H$6+Parameter!$H$7))-(BE391-BA391))/BA391)))</f>
        <v>1</v>
      </c>
      <c r="BG391" s="48" t="str">
        <f aca="false">IF(AI391&lt;=0,"",IF(CC391="Aussen","Aussenlager",IF(CC391="-","Nicht im Lift",IF(AN391&gt;=1,"Lift",IF(AN391&lt;=0,"Aussenlager","teilweise")))))</f>
        <v>Lift</v>
      </c>
      <c r="BH391" s="48" t="str">
        <f aca="false">IF(AR391&lt;=0,"",IF(CC391="Aussen","Aussenlager",IF(CC391="-","Nicht im Lift",IF(AW391&gt;=1,"Lift",IF(AW391&lt;=0,"Aussenlager","teilweise")))))</f>
        <v>Lift</v>
      </c>
      <c r="BI391" s="48" t="str">
        <f aca="false">IF(BA391&lt;=0,"",IF(CC391="Aussen","Aussenlager",IF(CC391="-","Nicht im Lift",IF(BF391&gt;=1,"Lift",IF(BF391&lt;=0,"Aussenlager","teilweise")))))</f>
        <v>Lift</v>
      </c>
      <c r="BJ391" s="48" t="str">
        <f aca="false">IF(A391="","",IF(BS391=1,"Neu; ","")&amp;IF(AND(BS391=0,BN391&lt;0),"negativer Bestand (Export "&amp;BN391&amp;"); ","")&amp;IF(J391&lt;=0,"Kein Verbrauch; ","")&amp;IF(CL391&gt;0,"Lift "&amp;W391&amp;" lt. Liftbericht (Fach "&amp;X391&amp;" Stk); ",IF(BX391=1,"Gebinde geschätzt ("&amp;T391&amp;"); ",IF(BW391=1,"Lose – Tablare geschätzt; ","")))&amp;IF(H391&gt;AT391,"Überbestand "&amp;ROUND(H391-AT391,0)&amp;" Stk / CHF "&amp;ROUND((H391-AT391)*G391,0)&amp;"; ","")&amp;IF(AND(CE391=1,CF391&lt;CG391),"MAX &lt; MB+LG; ","")&amp;IF(AND(CK391&gt;0,CJ391*10&gt;CK391),"zu hoch für Tablar; ","")&amp;IF(AND(BS391=0,OR(CE391=1,AA391&lt;&gt;"",U391&lt;&gt;"",V391&lt;&gt;"",AB391&lt;&gt;"")),"manuell übersteuert; ","")&amp;IF(AND(BW391=0,R391=0),"Gebinde unbekannt / Stellmass fehlt; ","")&amp;IF(AND(BW391=0,N(V391)&lt;=0,N(Q391)&lt;=0),"Menge pro Gebinde fehlt (Ist = 1 Gebinde); ","")&amp;BR391)</f>
        <v/>
      </c>
      <c r="BK391" s="48"/>
      <c r="BL391" s="48"/>
      <c r="BM391" s="55"/>
      <c r="BN391" s="50" t="n">
        <v>0</v>
      </c>
      <c r="BO391" s="50" t="n">
        <v>8</v>
      </c>
      <c r="BP391" s="49" t="n">
        <v>122.72</v>
      </c>
      <c r="BQ391" s="50" t="n">
        <v>2</v>
      </c>
      <c r="BR391" s="48"/>
      <c r="BS391" s="53" t="n">
        <v>0</v>
      </c>
      <c r="BT391" s="53" t="n">
        <v>391</v>
      </c>
      <c r="BU391" s="48" t="str">
        <f aca="false">IF(U391&lt;&gt;"",UPPER(TRIM(U391)),IF(BX391=1,UPPER(VLOOKUP(T391,Parameter!$I$27:$K$29,2,0)),IF(P391="","LOSE",P391)))</f>
        <v>S52</v>
      </c>
      <c r="BV391" s="50" t="n">
        <f aca="false">IF(BU391="LOSE",1,IF(N(V391)&gt;0,V391,IF(BX391=1,MAX(1,N(VLOOKUP(T391,Parameter!$I$27:$K$29,3,0)),H391,N(N391)),IF(N(Q391)&gt;0,Q391,MAX(1,H391)))))</f>
        <v>14</v>
      </c>
      <c r="BW391" s="53" t="n">
        <f aca="false">IF(BU391="LOSE",1,0)</f>
        <v>0</v>
      </c>
      <c r="BX391" s="53" t="n">
        <f aca="false">IF(AND(U391="",OR(P391="",P391="LOSE"),T391&lt;&gt;"",N(S391)&lt;=0,ISNUMBER(MATCH(T391,Parameter!$I$27:$I$29,0))),1,0)</f>
        <v>0</v>
      </c>
      <c r="BY391" s="53" t="n">
        <f aca="false">IF(CL391&gt;0,INDEX(Parameter!$H$5:$H$7,W391)/INDEX(Parameter!$E$5:$E$7,W391),IF(AND(BW391=0,N(IFERROR(VLOOKUP(BU391,'Gebinde-Kategorie'!$A$5:$N$45,14,0),0))&gt;0),VLOOKUP(BU391,'Gebinde-Kategorie'!$A$5:$N$45,14,0)*10+Parameter!$M$23,Parameter!$M$24))</f>
        <v>245</v>
      </c>
      <c r="BZ391" s="48" t="str">
        <f aca="false">IF(AND(Parameter!$B$19="Ja",E391&lt;&gt;"",ISNUMBER(MATCH(E391,Parameter!$I$35:$I$52,0))),VLOOKUP(E391,Parameter!$I$35:$J$52,2,0),IFERROR(VLOOKUP(D391,Parameter!$A$35:$C$64,2,0),"Nein"))</f>
        <v>2+3</v>
      </c>
      <c r="CA391" s="52" t="n">
        <f aca="false">IF(BW391=0,0,IF(N(S391)&gt;0,S391,IFERROR(VLOOKUP(D391,Parameter!$A$35:$C$64,3,0)+0,0)))</f>
        <v>0</v>
      </c>
      <c r="CB391" s="48" t="n">
        <f aca="false">IF(AA391&lt;&gt;"",AA391,Z391)</f>
        <v>3</v>
      </c>
      <c r="CC391" s="48" t="str">
        <f aca="false">IF(OR(CB391=1,CB391=2,CB391=3),IF(Parameter!$E$27="Ja","LIFT",IF(CB391=1,"L1","L23")),IF(CB391="Aussen","Aussen","-"))</f>
        <v>LIFT</v>
      </c>
      <c r="CD391" s="59" t="n">
        <f aca="false">IF(N(AB391)&gt;0,AB391,0)</f>
        <v>0</v>
      </c>
      <c r="CE391" s="53" t="n">
        <f aca="false">IF(ISNUMBER(AE391),1,0)</f>
        <v>0</v>
      </c>
      <c r="CF391" s="50" t="n">
        <f aca="false">N(AE391)</f>
        <v>0</v>
      </c>
      <c r="CG391" s="50" t="n">
        <f aca="false">N(M391)+N(N391)</f>
        <v>1</v>
      </c>
      <c r="CH391" s="50" t="n">
        <f aca="false">ROUNDUP(H391/BV391,0)</f>
        <v>1</v>
      </c>
      <c r="CI391" s="50" t="n">
        <f aca="false">ROUNDUP(CF391/BV391,0)</f>
        <v>0</v>
      </c>
      <c r="CJ391" s="53" t="n">
        <f aca="false">IF(BW391=1,0,IFERROR(VLOOKUP(BU391,'Gebinde-Kategorie'!$A$5:$N$45,5,0)+0,0))</f>
        <v>21</v>
      </c>
      <c r="CK391" s="53" t="n">
        <f aca="false">IFERROR(IF(OR(CB391=1,CB391=2,CB391=3),N(INDEX(Parameter!$I$5:$I$7,CB391)),0),0)</f>
        <v>0</v>
      </c>
      <c r="CL391" s="52" t="n">
        <f aca="false">IF(AND(Parameter!$B$21="Ja",ISNUMBER(W391),N(X391)&gt;0),IFERROR(N(INDEX(Parameter!$L$5:$L$7,W391))*INDEX(Parameter!$E$5:$E$7,W391)*X391/SUMIFS($X$7:$X$1843,$W$7:$W$1843,W391),0),0)</f>
        <v>0</v>
      </c>
    </row>
    <row r="392" customFormat="false" ht="15" hidden="false" customHeight="false" outlineLevel="0" collapsed="false">
      <c r="A392" s="48" t="s">
        <v>928</v>
      </c>
      <c r="B392" s="48" t="s">
        <v>665</v>
      </c>
      <c r="C392" s="48" t="s">
        <v>168</v>
      </c>
      <c r="D392" s="48" t="s">
        <v>188</v>
      </c>
      <c r="E392" s="48" t="s">
        <v>189</v>
      </c>
      <c r="F392" s="48" t="s">
        <v>222</v>
      </c>
      <c r="G392" s="49" t="n">
        <v>5.28</v>
      </c>
      <c r="H392" s="50" t="n">
        <f aca="false">MAX(0,IF(AND(Parameter!$B$21="Ja",ISNUMBER(Y392)),Y392,IF(Parameter!$B$20="Jahresanfang 2025 + Export",BO392+BN392,BN392)))</f>
        <v>150</v>
      </c>
      <c r="I392" s="50" t="n">
        <f aca="false">H392*G392</f>
        <v>792</v>
      </c>
      <c r="J392" s="50" t="n">
        <f aca="false">BQ392*Parameter!$B$18</f>
        <v>585</v>
      </c>
      <c r="K392" s="51" t="n">
        <v>130.5</v>
      </c>
      <c r="L392" s="52" t="n">
        <v>4.48275862068966</v>
      </c>
      <c r="M392" s="50" t="n">
        <v>15</v>
      </c>
      <c r="N392" s="50" t="n">
        <v>200</v>
      </c>
      <c r="O392" s="53" t="n">
        <v>7</v>
      </c>
      <c r="P392" s="48" t="s">
        <v>425</v>
      </c>
      <c r="Q392" s="50" t="n">
        <v>231</v>
      </c>
      <c r="R392" s="53" t="n">
        <f aca="false">IF(BW392=1,0,IFERROR(VLOOKUP(BU392,'Gebinde-Kategorie'!$A$5:$N$45,13,0)+0,0))</f>
        <v>104</v>
      </c>
      <c r="S392" s="54"/>
      <c r="T392" s="55"/>
      <c r="U392" s="55"/>
      <c r="V392" s="55"/>
      <c r="W392" s="48"/>
      <c r="X392" s="50"/>
      <c r="Y392" s="50"/>
      <c r="Z392" s="48" t="n">
        <f aca="false">IF(A392="","",IF(AND(Parameter!$B$21="Ja",ISNUMBER(W392)),W392,IF(BZ392="2+3",IF(ISNUMBER(SEARCH("grosser Artikel",BR392)),2,IFERROR(VLOOKUP(BU392,Parameter!$F$35:$G$64,2,0),2)),IF(OR(BZ392="Nein",BZ392=""),"-",BZ392))))</f>
        <v>3</v>
      </c>
      <c r="AA392" s="55"/>
      <c r="AB392" s="56"/>
      <c r="AC392" s="50" t="n">
        <f aca="false">AT392</f>
        <v>462</v>
      </c>
      <c r="AD392" s="50" t="n">
        <f aca="false">MAX(AT392,H392)</f>
        <v>462</v>
      </c>
      <c r="AE392" s="57"/>
      <c r="AF392" s="50" t="n">
        <f aca="false">IF(LEFT(Cockpit!$C$5,1)="A",H392,IF(CE392=1,CF392,IF(LEFT(Cockpit!$C$5,1)="B",AK392,MAX(AK392,H392))))</f>
        <v>150</v>
      </c>
      <c r="AG392" s="50" t="n">
        <f aca="false">IF(BW392=1,0,ROUNDUP(AF392/BV392,0))</f>
        <v>1</v>
      </c>
      <c r="AH392" s="52" t="n">
        <f aca="false">IF(CL392&gt;0,CL392*MAX(1,AF392/X392),IF(BW392=1,IF(AF392&lt;=0,0,CA392*MAX(1,IF(H392&gt;0,AF392/H392,1))),IF(R392&gt;0,AG392/R392,0))/MAX(0.1,N(Parameter!$M$21)))</f>
        <v>0.00961538461538462</v>
      </c>
      <c r="AI392" s="50" t="n">
        <f aca="false">AH392*BY392</f>
        <v>1.49038461538462</v>
      </c>
      <c r="AJ392" s="50" t="n">
        <f aca="false">AF392*G392</f>
        <v>792</v>
      </c>
      <c r="AK392" s="50" t="n">
        <f aca="false">ROUNDUP(MAX(J392/IF(CD392&gt;0,CD392,MAX(0.1,N(Cockpit!$C$6))),CG392)/BV392,0)*BV392</f>
        <v>462</v>
      </c>
      <c r="AL392" s="51" t="n">
        <f aca="false">IF(AI392&gt;0,J392/AI392,-1)</f>
        <v>392.516129032258</v>
      </c>
      <c r="AM392" s="51" t="n">
        <f aca="false">IF(AND(OR(CC392="L1",CC392="L23",CC392="LIFT"),AI392&gt;0),SUMIFS($AI$7:$AI$1843,$CC$7:$CC$1843,CC392,$AL$7:$AL$1843,"&gt;"&amp;AL392)+SUMIFS($AI$7:$AI$1843,$CC$7:$CC$1843,CC392,$AL$7:$AL$1843,AL392,$BT$7:$BT$1843,"&lt;="&amp;BT392),"")</f>
        <v>179.570970695971</v>
      </c>
      <c r="AN392" s="58" t="n">
        <f aca="false">IF(AM392="",0,MAX(0,MIN(1,(IF(CC392="L1",Parameter!$H$5,IF(CC392="L23",Parameter!$H$6+Parameter!$H$7,Parameter!$H$5+Parameter!$H$6+Parameter!$H$7))-(AM392-AI392))/AI392)))</f>
        <v>1</v>
      </c>
      <c r="AO392" s="50" t="n">
        <f aca="false">IF(LEFT(Cockpit!$I$5,1)="A",H392,IF(CE392=1,CF392,IF(LEFT(Cockpit!$I$5,1)="B",AT392,MAX(AT392,H392))))</f>
        <v>462</v>
      </c>
      <c r="AP392" s="50" t="n">
        <f aca="false">IF(BW392=1,0,ROUNDUP(AO392/BV392,0))</f>
        <v>2</v>
      </c>
      <c r="AQ392" s="52" t="n">
        <f aca="false">IF(CL392&gt;0,CL392*MAX(1,AO392/X392),IF(BW392=1,IF(AO392&lt;=0,0,CA392*MAX(1,IF(H392&gt;0,AO392/H392,1))),IF(R392&gt;0,AP392/R392,0))/MAX(0.1,N(Parameter!$M$21)))</f>
        <v>0.0192307692307692</v>
      </c>
      <c r="AR392" s="50" t="n">
        <f aca="false">AQ392*BY392</f>
        <v>2.98076923076923</v>
      </c>
      <c r="AS392" s="50" t="n">
        <f aca="false">AO392*G392</f>
        <v>2439.36</v>
      </c>
      <c r="AT392" s="50" t="n">
        <f aca="false">ROUNDUP(MAX(J392/IF(CD392&gt;0,CD392,MAX(0.1,N(Cockpit!$I$6))),CG392)/BV392,0)*BV392</f>
        <v>462</v>
      </c>
      <c r="AU392" s="51" t="n">
        <f aca="false">IF(AR392&gt;0,J392/AR392,-1)</f>
        <v>196.258064516129</v>
      </c>
      <c r="AV392" s="51" t="n">
        <f aca="false">IF(AND(OR(CC392="L1",CC392="L23",CC392="LIFT"),AR392&gt;0),SUMIFS($AR$7:$AR$1843,$CC$7:$CC$1843,CC392,$AU$7:$AU$1843,"&gt;"&amp;AU392)+SUMIFS($AR$7:$AR$1843,$CC$7:$CC$1843,CC392,$AU$7:$AU$1843,AU392,$BT$7:$BT$1843,"&lt;="&amp;BT392),"")</f>
        <v>369.622710622711</v>
      </c>
      <c r="AW392" s="58" t="n">
        <f aca="false">IF(AV392="",0,MAX(0,MIN(1,(IF(CC392="L1",Parameter!$H$5,IF(CC392="L23",Parameter!$H$6+Parameter!$H$7,Parameter!$H$5+Parameter!$H$6+Parameter!$H$7))-(AV392-AR392))/AR392)))</f>
        <v>1</v>
      </c>
      <c r="AX392" s="50" t="n">
        <f aca="false">IF(LEFT(Cockpit!$O$5,1)="A",H392,IF(CE392=1,CF392,IF(LEFT(Cockpit!$O$5,1)="B",BC392,MAX(BC392,H392))))</f>
        <v>231</v>
      </c>
      <c r="AY392" s="50" t="n">
        <f aca="false">IF(BW392=1,0,ROUNDUP(AX392/BV392,0))</f>
        <v>1</v>
      </c>
      <c r="AZ392" s="52" t="n">
        <f aca="false">IF(CL392&gt;0,CL392*MAX(1,AX392/X392),IF(BW392=1,IF(AX392&lt;=0,0,CA392*MAX(1,IF(H392&gt;0,AX392/H392,1))),IF(R392&gt;0,AY392/R392,0))/MAX(0.1,N(Parameter!$M$21)))</f>
        <v>0.00961538461538462</v>
      </c>
      <c r="BA392" s="50" t="n">
        <f aca="false">AZ392*BY392</f>
        <v>1.49038461538462</v>
      </c>
      <c r="BB392" s="50" t="n">
        <f aca="false">AX392*G392</f>
        <v>1219.68</v>
      </c>
      <c r="BC392" s="50" t="n">
        <f aca="false">ROUNDUP(MAX(J392/IF(CD392&gt;0,CD392,MAX(0.1,N(Cockpit!$O$6))),CG392)/BV392,0)*BV392</f>
        <v>231</v>
      </c>
      <c r="BD392" s="51" t="n">
        <f aca="false">IF(BA392&gt;0,J392/BA392,-1)</f>
        <v>392.516129032258</v>
      </c>
      <c r="BE392" s="51" t="n">
        <f aca="false">IF(AND(OR(CC392="L1",CC392="L23",CC392="LIFT"),BA392&gt;0),SUMIFS($BA$7:$BA$1843,$CC$7:$CC$1843,CC392,$BD$7:$BD$1843,"&gt;"&amp;BD392)+SUMIFS($BA$7:$BA$1843,$CC$7:$CC$1843,CC392,$BD$7:$BD$1843,BD392,$BT$7:$BT$1843,"&lt;="&amp;BT392),"")</f>
        <v>103.950549450549</v>
      </c>
      <c r="BF392" s="58" t="n">
        <f aca="false">IF(BE392="",0,MAX(0,MIN(1,(IF(CC392="L1",Parameter!$H$5,IF(CC392="L23",Parameter!$H$6+Parameter!$H$7,Parameter!$H$5+Parameter!$H$6+Parameter!$H$7))-(BE392-BA392))/BA392)))</f>
        <v>1</v>
      </c>
      <c r="BG392" s="48" t="str">
        <f aca="false">IF(AI392&lt;=0,"",IF(CC392="Aussen","Aussenlager",IF(CC392="-","Nicht im Lift",IF(AN392&gt;=1,"Lift",IF(AN392&lt;=0,"Aussenlager","teilweise")))))</f>
        <v>Lift</v>
      </c>
      <c r="BH392" s="48" t="str">
        <f aca="false">IF(AR392&lt;=0,"",IF(CC392="Aussen","Aussenlager",IF(CC392="-","Nicht im Lift",IF(AW392&gt;=1,"Lift",IF(AW392&lt;=0,"Aussenlager","teilweise")))))</f>
        <v>Lift</v>
      </c>
      <c r="BI392" s="48" t="str">
        <f aca="false">IF(BA392&lt;=0,"",IF(CC392="Aussen","Aussenlager",IF(CC392="-","Nicht im Lift",IF(BF392&gt;=1,"Lift",IF(BF392&lt;=0,"Aussenlager","teilweise")))))</f>
        <v>Lift</v>
      </c>
      <c r="BJ392" s="48" t="str">
        <f aca="false">IF(A392="","",IF(BS392=1,"Neu; ","")&amp;IF(AND(BS392=0,BN392&lt;0),"negativer Bestand (Export "&amp;BN392&amp;"); ","")&amp;IF(J392&lt;=0,"Kein Verbrauch; ","")&amp;IF(CL392&gt;0,"Lift "&amp;W392&amp;" lt. Liftbericht (Fach "&amp;X392&amp;" Stk); ",IF(BX392=1,"Gebinde geschätzt ("&amp;T392&amp;"); ",IF(BW392=1,"Lose – Tablare geschätzt; ","")))&amp;IF(H392&gt;AT392,"Überbestand "&amp;ROUND(H392-AT392,0)&amp;" Stk / CHF "&amp;ROUND((H392-AT392)*G392,0)&amp;"; ","")&amp;IF(AND(CE392=1,CF392&lt;CG392),"MAX &lt; MB+LG; ","")&amp;IF(AND(CK392&gt;0,CJ392*10&gt;CK392),"zu hoch für Tablar; ","")&amp;IF(AND(BS392=0,OR(CE392=1,AA392&lt;&gt;"",U392&lt;&gt;"",V392&lt;&gt;"",AB392&lt;&gt;"")),"manuell übersteuert; ","")&amp;IF(AND(BW392=0,R392=0),"Gebinde unbekannt / Stellmass fehlt; ","")&amp;IF(AND(BW392=0,N(V392)&lt;=0,N(Q392)&lt;=0),"Menge pro Gebinde fehlt (Ist = 1 Gebinde); ","")&amp;BR392)</f>
        <v/>
      </c>
      <c r="BK392" s="48"/>
      <c r="BL392" s="48"/>
      <c r="BM392" s="55"/>
      <c r="BN392" s="50" t="n">
        <v>23</v>
      </c>
      <c r="BO392" s="50" t="n">
        <v>127</v>
      </c>
      <c r="BP392" s="49" t="n">
        <v>120.28</v>
      </c>
      <c r="BQ392" s="50" t="n">
        <v>585</v>
      </c>
      <c r="BR392" s="48"/>
      <c r="BS392" s="53" t="n">
        <v>0</v>
      </c>
      <c r="BT392" s="53" t="n">
        <v>392</v>
      </c>
      <c r="BU392" s="48" t="str">
        <f aca="false">IF(U392&lt;&gt;"",UPPER(TRIM(U392)),IF(BX392=1,UPPER(VLOOKUP(T392,Parameter!$I$27:$K$29,2,0)),IF(P392="","LOSE",P392)))</f>
        <v>S32</v>
      </c>
      <c r="BV392" s="50" t="n">
        <f aca="false">IF(BU392="LOSE",1,IF(N(V392)&gt;0,V392,IF(BX392=1,MAX(1,N(VLOOKUP(T392,Parameter!$I$27:$K$29,3,0)),H392,N(N392)),IF(N(Q392)&gt;0,Q392,MAX(1,H392)))))</f>
        <v>231</v>
      </c>
      <c r="BW392" s="53" t="n">
        <f aca="false">IF(BU392="LOSE",1,0)</f>
        <v>0</v>
      </c>
      <c r="BX392" s="53" t="n">
        <f aca="false">IF(AND(U392="",OR(P392="",P392="LOSE"),T392&lt;&gt;"",N(S392)&lt;=0,ISNUMBER(MATCH(T392,Parameter!$I$27:$I$29,0))),1,0)</f>
        <v>0</v>
      </c>
      <c r="BY392" s="53" t="n">
        <f aca="false">IF(CL392&gt;0,INDEX(Parameter!$H$5:$H$7,W392)/INDEX(Parameter!$E$5:$E$7,W392),IF(AND(BW392=0,N(IFERROR(VLOOKUP(BU392,'Gebinde-Kategorie'!$A$5:$N$45,14,0),0))&gt;0),VLOOKUP(BU392,'Gebinde-Kategorie'!$A$5:$N$45,14,0)*10+Parameter!$M$23,Parameter!$M$24))</f>
        <v>155</v>
      </c>
      <c r="BZ392" s="48" t="str">
        <f aca="false">IF(AND(Parameter!$B$19="Ja",E392&lt;&gt;"",ISNUMBER(MATCH(E392,Parameter!$I$35:$I$52,0))),VLOOKUP(E392,Parameter!$I$35:$J$52,2,0),IFERROR(VLOOKUP(D392,Parameter!$A$35:$C$64,2,0),"Nein"))</f>
        <v>2+3</v>
      </c>
      <c r="CA392" s="52" t="n">
        <f aca="false">IF(BW392=0,0,IF(N(S392)&gt;0,S392,IFERROR(VLOOKUP(D392,Parameter!$A$35:$C$64,3,0)+0,0)))</f>
        <v>0</v>
      </c>
      <c r="CB392" s="48" t="n">
        <f aca="false">IF(AA392&lt;&gt;"",AA392,Z392)</f>
        <v>3</v>
      </c>
      <c r="CC392" s="48" t="str">
        <f aca="false">IF(OR(CB392=1,CB392=2,CB392=3),IF(Parameter!$E$27="Ja","LIFT",IF(CB392=1,"L1","L23")),IF(CB392="Aussen","Aussen","-"))</f>
        <v>LIFT</v>
      </c>
      <c r="CD392" s="59" t="n">
        <f aca="false">IF(N(AB392)&gt;0,AB392,0)</f>
        <v>0</v>
      </c>
      <c r="CE392" s="53" t="n">
        <f aca="false">IF(ISNUMBER(AE392),1,0)</f>
        <v>0</v>
      </c>
      <c r="CF392" s="50" t="n">
        <f aca="false">N(AE392)</f>
        <v>0</v>
      </c>
      <c r="CG392" s="50" t="n">
        <f aca="false">N(M392)+N(N392)</f>
        <v>215</v>
      </c>
      <c r="CH392" s="50" t="n">
        <f aca="false">ROUNDUP(H392/BV392,0)</f>
        <v>1</v>
      </c>
      <c r="CI392" s="50" t="n">
        <f aca="false">ROUNDUP(CF392/BV392,0)</f>
        <v>0</v>
      </c>
      <c r="CJ392" s="53" t="n">
        <f aca="false">IF(BW392=1,0,IFERROR(VLOOKUP(BU392,'Gebinde-Kategorie'!$A$5:$N$45,5,0)+0,0))</f>
        <v>8</v>
      </c>
      <c r="CK392" s="53" t="n">
        <f aca="false">IFERROR(IF(OR(CB392=1,CB392=2,CB392=3),N(INDEX(Parameter!$I$5:$I$7,CB392)),0),0)</f>
        <v>0</v>
      </c>
      <c r="CL392" s="52" t="n">
        <f aca="false">IF(AND(Parameter!$B$21="Ja",ISNUMBER(W392),N(X392)&gt;0),IFERROR(N(INDEX(Parameter!$L$5:$L$7,W392))*INDEX(Parameter!$E$5:$E$7,W392)*X392/SUMIFS($X$7:$X$1843,$W$7:$W$1843,W392),0),0)</f>
        <v>0</v>
      </c>
    </row>
    <row r="393" customFormat="false" ht="15" hidden="false" customHeight="false" outlineLevel="0" collapsed="false">
      <c r="A393" s="48" t="s">
        <v>929</v>
      </c>
      <c r="B393" s="48" t="s">
        <v>930</v>
      </c>
      <c r="C393" s="48" t="s">
        <v>168</v>
      </c>
      <c r="D393" s="48" t="s">
        <v>188</v>
      </c>
      <c r="E393" s="48" t="s">
        <v>189</v>
      </c>
      <c r="F393" s="48" t="s">
        <v>222</v>
      </c>
      <c r="G393" s="49" t="n">
        <v>3.4</v>
      </c>
      <c r="H393" s="50" t="n">
        <f aca="false">MAX(0,IF(AND(Parameter!$B$21="Ja",ISNUMBER(Y393)),Y393,IF(Parameter!$B$20="Jahresanfang 2025 + Export",BO393+BN393,BN393)))</f>
        <v>40</v>
      </c>
      <c r="I393" s="50" t="n">
        <f aca="false">H393*G393</f>
        <v>136</v>
      </c>
      <c r="J393" s="50" t="n">
        <f aca="false">BQ393*Parameter!$B$18</f>
        <v>44</v>
      </c>
      <c r="K393" s="51" t="n">
        <v>11</v>
      </c>
      <c r="L393" s="52" t="n">
        <v>4</v>
      </c>
      <c r="M393" s="50" t="n">
        <v>2</v>
      </c>
      <c r="N393" s="50" t="n">
        <v>45</v>
      </c>
      <c r="O393" s="53" t="n">
        <v>20</v>
      </c>
      <c r="P393" s="48" t="s">
        <v>332</v>
      </c>
      <c r="Q393" s="50" t="n">
        <v>42</v>
      </c>
      <c r="R393" s="53" t="n">
        <f aca="false">IF(BW393=1,0,IFERROR(VLOOKUP(BU393,'Gebinde-Kategorie'!$A$5:$N$45,13,0)+0,0))</f>
        <v>52</v>
      </c>
      <c r="S393" s="54"/>
      <c r="T393" s="55"/>
      <c r="U393" s="55"/>
      <c r="V393" s="55"/>
      <c r="W393" s="48"/>
      <c r="X393" s="50"/>
      <c r="Y393" s="50"/>
      <c r="Z393" s="48" t="n">
        <f aca="false">IF(A393="","",IF(AND(Parameter!$B$21="Ja",ISNUMBER(W393)),W393,IF(BZ393="2+3",IF(ISNUMBER(SEARCH("grosser Artikel",BR393)),2,IFERROR(VLOOKUP(BU393,Parameter!$F$35:$G$64,2,0),2)),IF(OR(BZ393="Nein",BZ393=""),"-",BZ393))))</f>
        <v>3</v>
      </c>
      <c r="AA393" s="55"/>
      <c r="AB393" s="56"/>
      <c r="AC393" s="50" t="n">
        <f aca="false">AT393</f>
        <v>84</v>
      </c>
      <c r="AD393" s="50" t="n">
        <f aca="false">MAX(AT393,H393)</f>
        <v>84</v>
      </c>
      <c r="AE393" s="57"/>
      <c r="AF393" s="50" t="n">
        <f aca="false">IF(LEFT(Cockpit!$C$5,1)="A",H393,IF(CE393=1,CF393,IF(LEFT(Cockpit!$C$5,1)="B",AK393,MAX(AK393,H393))))</f>
        <v>40</v>
      </c>
      <c r="AG393" s="50" t="n">
        <f aca="false">IF(BW393=1,0,ROUNDUP(AF393/BV393,0))</f>
        <v>1</v>
      </c>
      <c r="AH393" s="52" t="n">
        <f aca="false">IF(CL393&gt;0,CL393*MAX(1,AF393/X393),IF(BW393=1,IF(AF393&lt;=0,0,CA393*MAX(1,IF(H393&gt;0,AF393/H393,1))),IF(R393&gt;0,AG393/R393,0))/MAX(0.1,N(Parameter!$M$21)))</f>
        <v>0.0192307692307692</v>
      </c>
      <c r="AI393" s="50" t="n">
        <f aca="false">AH393*BY393</f>
        <v>2.98076923076923</v>
      </c>
      <c r="AJ393" s="50" t="n">
        <f aca="false">AF393*G393</f>
        <v>136</v>
      </c>
      <c r="AK393" s="50" t="n">
        <f aca="false">ROUNDUP(MAX(J393/IF(CD393&gt;0,CD393,MAX(0.1,N(Cockpit!$C$6))),CG393)/BV393,0)*BV393</f>
        <v>84</v>
      </c>
      <c r="AL393" s="51" t="n">
        <f aca="false">IF(AI393&gt;0,J393/AI393,-1)</f>
        <v>14.7612903225806</v>
      </c>
      <c r="AM393" s="51" t="n">
        <f aca="false">IF(AND(OR(CC393="L1",CC393="L23",CC393="LIFT"),AI393&gt;0),SUMIFS($AI$7:$AI$1843,$CC$7:$CC$1843,CC393,$AL$7:$AL$1843,"&gt;"&amp;AL393)+SUMIFS($AI$7:$AI$1843,$CC$7:$CC$1843,CC393,$AL$7:$AL$1843,AL393,$BT$7:$BT$1843,"&lt;="&amp;BT393),"")</f>
        <v>2096.53846153846</v>
      </c>
      <c r="AN393" s="58" t="n">
        <f aca="false">IF(AM393="",0,MAX(0,MIN(1,(IF(CC393="L1",Parameter!$H$5,IF(CC393="L23",Parameter!$H$6+Parameter!$H$7,Parameter!$H$5+Parameter!$H$6+Parameter!$H$7))-(AM393-AI393))/AI393)))</f>
        <v>1</v>
      </c>
      <c r="AO393" s="50" t="n">
        <f aca="false">IF(LEFT(Cockpit!$I$5,1)="A",H393,IF(CE393=1,CF393,IF(LEFT(Cockpit!$I$5,1)="B",AT393,MAX(AT393,H393))))</f>
        <v>84</v>
      </c>
      <c r="AP393" s="50" t="n">
        <f aca="false">IF(BW393=1,0,ROUNDUP(AO393/BV393,0))</f>
        <v>2</v>
      </c>
      <c r="AQ393" s="52" t="n">
        <f aca="false">IF(CL393&gt;0,CL393*MAX(1,AO393/X393),IF(BW393=1,IF(AO393&lt;=0,0,CA393*MAX(1,IF(H393&gt;0,AO393/H393,1))),IF(R393&gt;0,AP393/R393,0))/MAX(0.1,N(Parameter!$M$21)))</f>
        <v>0.0384615384615385</v>
      </c>
      <c r="AR393" s="50" t="n">
        <f aca="false">AQ393*BY393</f>
        <v>5.96153846153846</v>
      </c>
      <c r="AS393" s="50" t="n">
        <f aca="false">AO393*G393</f>
        <v>285.6</v>
      </c>
      <c r="AT393" s="50" t="n">
        <f aca="false">ROUNDUP(MAX(J393/IF(CD393&gt;0,CD393,MAX(0.1,N(Cockpit!$I$6))),CG393)/BV393,0)*BV393</f>
        <v>84</v>
      </c>
      <c r="AU393" s="51" t="n">
        <f aca="false">IF(AR393&gt;0,J393/AR393,-1)</f>
        <v>7.38064516129032</v>
      </c>
      <c r="AV393" s="51" t="n">
        <f aca="false">IF(AND(OR(CC393="L1",CC393="L23",CC393="LIFT"),AR393&gt;0),SUMIFS($AR$7:$AR$1843,$CC$7:$CC$1843,CC393,$AU$7:$AU$1843,"&gt;"&amp;AU393)+SUMIFS($AR$7:$AR$1843,$CC$7:$CC$1843,CC393,$AU$7:$AU$1843,AU393,$BT$7:$BT$1843,"&lt;="&amp;BT393),"")</f>
        <v>4335.8923992674</v>
      </c>
      <c r="AW393" s="58" t="n">
        <f aca="false">IF(AV393="",0,MAX(0,MIN(1,(IF(CC393="L1",Parameter!$H$5,IF(CC393="L23",Parameter!$H$6+Parameter!$H$7,Parameter!$H$5+Parameter!$H$6+Parameter!$H$7))-(AV393-AR393))/AR393)))</f>
        <v>1</v>
      </c>
      <c r="AX393" s="50" t="n">
        <f aca="false">IF(LEFT(Cockpit!$O$5,1)="A",H393,IF(CE393=1,CF393,IF(LEFT(Cockpit!$O$5,1)="B",BC393,MAX(BC393,H393))))</f>
        <v>84</v>
      </c>
      <c r="AY393" s="50" t="n">
        <f aca="false">IF(BW393=1,0,ROUNDUP(AX393/BV393,0))</f>
        <v>2</v>
      </c>
      <c r="AZ393" s="52" t="n">
        <f aca="false">IF(CL393&gt;0,CL393*MAX(1,AX393/X393),IF(BW393=1,IF(AX393&lt;=0,0,CA393*MAX(1,IF(H393&gt;0,AX393/H393,1))),IF(R393&gt;0,AY393/R393,0))/MAX(0.1,N(Parameter!$M$21)))</f>
        <v>0.0384615384615385</v>
      </c>
      <c r="BA393" s="50" t="n">
        <f aca="false">AZ393*BY393</f>
        <v>5.96153846153846</v>
      </c>
      <c r="BB393" s="50" t="n">
        <f aca="false">AX393*G393</f>
        <v>285.6</v>
      </c>
      <c r="BC393" s="50" t="n">
        <f aca="false">ROUNDUP(MAX(J393/IF(CD393&gt;0,CD393,MAX(0.1,N(Cockpit!$O$6))),CG393)/BV393,0)*BV393</f>
        <v>84</v>
      </c>
      <c r="BD393" s="51" t="n">
        <f aca="false">IF(BA393&gt;0,J393/BA393,-1)</f>
        <v>7.38064516129032</v>
      </c>
      <c r="BE393" s="51" t="n">
        <f aca="false">IF(AND(OR(CC393="L1",CC393="L23",CC393="LIFT"),BA393&gt;0),SUMIFS($BA$7:$BA$1843,$CC$7:$CC$1843,CC393,$BD$7:$BD$1843,"&gt;"&amp;BD393)+SUMIFS($BA$7:$BA$1843,$CC$7:$CC$1843,CC393,$BD$7:$BD$1843,BD393,$BT$7:$BT$1843,"&lt;="&amp;BT393),"")</f>
        <v>4078.85714285714</v>
      </c>
      <c r="BF393" s="58" t="n">
        <f aca="false">IF(BE393="",0,MAX(0,MIN(1,(IF(CC393="L1",Parameter!$H$5,IF(CC393="L23",Parameter!$H$6+Parameter!$H$7,Parameter!$H$5+Parameter!$H$6+Parameter!$H$7))-(BE393-BA393))/BA393)))</f>
        <v>1</v>
      </c>
      <c r="BG393" s="48" t="str">
        <f aca="false">IF(AI393&lt;=0,"",IF(CC393="Aussen","Aussenlager",IF(CC393="-","Nicht im Lift",IF(AN393&gt;=1,"Lift",IF(AN393&lt;=0,"Aussenlager","teilweise")))))</f>
        <v>Lift</v>
      </c>
      <c r="BH393" s="48" t="str">
        <f aca="false">IF(AR393&lt;=0,"",IF(CC393="Aussen","Aussenlager",IF(CC393="-","Nicht im Lift",IF(AW393&gt;=1,"Lift",IF(AW393&lt;=0,"Aussenlager","teilweise")))))</f>
        <v>Lift</v>
      </c>
      <c r="BI393" s="48" t="str">
        <f aca="false">IF(BA393&lt;=0,"",IF(CC393="Aussen","Aussenlager",IF(CC393="-","Nicht im Lift",IF(BF393&gt;=1,"Lift",IF(BF393&lt;=0,"Aussenlager","teilweise")))))</f>
        <v>Lift</v>
      </c>
      <c r="BJ393" s="48" t="str">
        <f aca="false">IF(A393="","",IF(BS393=1,"Neu; ","")&amp;IF(AND(BS393=0,BN393&lt;0),"negativer Bestand (Export "&amp;BN393&amp;"); ","")&amp;IF(J393&lt;=0,"Kein Verbrauch; ","")&amp;IF(CL393&gt;0,"Lift "&amp;W393&amp;" lt. Liftbericht (Fach "&amp;X393&amp;" Stk); ",IF(BX393=1,"Gebinde geschätzt ("&amp;T393&amp;"); ",IF(BW393=1,"Lose – Tablare geschätzt; ","")))&amp;IF(H393&gt;AT393,"Überbestand "&amp;ROUND(H393-AT393,0)&amp;" Stk / CHF "&amp;ROUND((H393-AT393)*G393,0)&amp;"; ","")&amp;IF(AND(CE393=1,CF393&lt;CG393),"MAX &lt; MB+LG; ","")&amp;IF(AND(CK393&gt;0,CJ393*10&gt;CK393),"zu hoch für Tablar; ","")&amp;IF(AND(BS393=0,OR(CE393=1,AA393&lt;&gt;"",U393&lt;&gt;"",V393&lt;&gt;"",AB393&lt;&gt;"")),"manuell übersteuert; ","")&amp;IF(AND(BW393=0,R393=0),"Gebinde unbekannt / Stellmass fehlt; ","")&amp;IF(AND(BW393=0,N(V393)&lt;=0,N(Q393)&lt;=0),"Menge pro Gebinde fehlt (Ist = 1 Gebinde); ","")&amp;BR393)</f>
        <v/>
      </c>
      <c r="BK393" s="48"/>
      <c r="BL393" s="48"/>
      <c r="BM393" s="55"/>
      <c r="BN393" s="50" t="n">
        <v>34</v>
      </c>
      <c r="BO393" s="50" t="n">
        <v>6</v>
      </c>
      <c r="BP393" s="49" t="n">
        <v>116.32</v>
      </c>
      <c r="BQ393" s="50" t="n">
        <v>44</v>
      </c>
      <c r="BR393" s="48"/>
      <c r="BS393" s="53" t="n">
        <v>0</v>
      </c>
      <c r="BT393" s="53" t="n">
        <v>393</v>
      </c>
      <c r="BU393" s="48" t="str">
        <f aca="false">IF(U393&lt;&gt;"",UPPER(TRIM(U393)),IF(BX393=1,UPPER(VLOOKUP(T393,Parameter!$I$27:$K$29,2,0)),IF(P393="","LOSE",P393)))</f>
        <v>S41</v>
      </c>
      <c r="BV393" s="50" t="n">
        <f aca="false">IF(BU393="LOSE",1,IF(N(V393)&gt;0,V393,IF(BX393=1,MAX(1,N(VLOOKUP(T393,Parameter!$I$27:$K$29,3,0)),H393,N(N393)),IF(N(Q393)&gt;0,Q393,MAX(1,H393)))))</f>
        <v>42</v>
      </c>
      <c r="BW393" s="53" t="n">
        <f aca="false">IF(BU393="LOSE",1,0)</f>
        <v>0</v>
      </c>
      <c r="BX393" s="53" t="n">
        <f aca="false">IF(AND(U393="",OR(P393="",P393="LOSE"),T393&lt;&gt;"",N(S393)&lt;=0,ISNUMBER(MATCH(T393,Parameter!$I$27:$I$29,0))),1,0)</f>
        <v>0</v>
      </c>
      <c r="BY393" s="53" t="n">
        <f aca="false">IF(CL393&gt;0,INDEX(Parameter!$H$5:$H$7,W393)/INDEX(Parameter!$E$5:$E$7,W393),IF(AND(BW393=0,N(IFERROR(VLOOKUP(BU393,'Gebinde-Kategorie'!$A$5:$N$45,14,0),0))&gt;0),VLOOKUP(BU393,'Gebinde-Kategorie'!$A$5:$N$45,14,0)*10+Parameter!$M$23,Parameter!$M$24))</f>
        <v>155</v>
      </c>
      <c r="BZ393" s="48" t="str">
        <f aca="false">IF(AND(Parameter!$B$19="Ja",E393&lt;&gt;"",ISNUMBER(MATCH(E393,Parameter!$I$35:$I$52,0))),VLOOKUP(E393,Parameter!$I$35:$J$52,2,0),IFERROR(VLOOKUP(D393,Parameter!$A$35:$C$64,2,0),"Nein"))</f>
        <v>2+3</v>
      </c>
      <c r="CA393" s="52" t="n">
        <f aca="false">IF(BW393=0,0,IF(N(S393)&gt;0,S393,IFERROR(VLOOKUP(D393,Parameter!$A$35:$C$64,3,0)+0,0)))</f>
        <v>0</v>
      </c>
      <c r="CB393" s="48" t="n">
        <f aca="false">IF(AA393&lt;&gt;"",AA393,Z393)</f>
        <v>3</v>
      </c>
      <c r="CC393" s="48" t="str">
        <f aca="false">IF(OR(CB393=1,CB393=2,CB393=3),IF(Parameter!$E$27="Ja","LIFT",IF(CB393=1,"L1","L23")),IF(CB393="Aussen","Aussen","-"))</f>
        <v>LIFT</v>
      </c>
      <c r="CD393" s="59" t="n">
        <f aca="false">IF(N(AB393)&gt;0,AB393,0)</f>
        <v>0</v>
      </c>
      <c r="CE393" s="53" t="n">
        <f aca="false">IF(ISNUMBER(AE393),1,0)</f>
        <v>0</v>
      </c>
      <c r="CF393" s="50" t="n">
        <f aca="false">N(AE393)</f>
        <v>0</v>
      </c>
      <c r="CG393" s="50" t="n">
        <f aca="false">N(M393)+N(N393)</f>
        <v>47</v>
      </c>
      <c r="CH393" s="50" t="n">
        <f aca="false">ROUNDUP(H393/BV393,0)</f>
        <v>1</v>
      </c>
      <c r="CI393" s="50" t="n">
        <f aca="false">ROUNDUP(CF393/BV393,0)</f>
        <v>0</v>
      </c>
      <c r="CJ393" s="53" t="n">
        <f aca="false">IF(BW393=1,0,IFERROR(VLOOKUP(BU393,'Gebinde-Kategorie'!$A$5:$N$45,5,0)+0,0))</f>
        <v>11</v>
      </c>
      <c r="CK393" s="53" t="n">
        <f aca="false">IFERROR(IF(OR(CB393=1,CB393=2,CB393=3),N(INDEX(Parameter!$I$5:$I$7,CB393)),0),0)</f>
        <v>0</v>
      </c>
      <c r="CL393" s="52" t="n">
        <f aca="false">IF(AND(Parameter!$B$21="Ja",ISNUMBER(W393),N(X393)&gt;0),IFERROR(N(INDEX(Parameter!$L$5:$L$7,W393))*INDEX(Parameter!$E$5:$E$7,W393)*X393/SUMIFS($X$7:$X$1843,$W$7:$W$1843,W393),0),0)</f>
        <v>0</v>
      </c>
    </row>
    <row r="394" customFormat="false" ht="15" hidden="false" customHeight="false" outlineLevel="0" collapsed="false">
      <c r="A394" s="48" t="s">
        <v>931</v>
      </c>
      <c r="B394" s="48" t="s">
        <v>932</v>
      </c>
      <c r="C394" s="48" t="s">
        <v>168</v>
      </c>
      <c r="D394" s="48" t="s">
        <v>188</v>
      </c>
      <c r="E394" s="48" t="s">
        <v>189</v>
      </c>
      <c r="F394" s="48" t="s">
        <v>222</v>
      </c>
      <c r="G394" s="49" t="n">
        <v>2.18</v>
      </c>
      <c r="H394" s="50" t="n">
        <f aca="false">MAX(0,IF(AND(Parameter!$B$21="Ja",ISNUMBER(Y394)),Y394,IF(Parameter!$B$20="Jahresanfang 2025 + Export",BO394+BN394,BN394)))</f>
        <v>111</v>
      </c>
      <c r="I394" s="50" t="n">
        <f aca="false">H394*G394</f>
        <v>241.98</v>
      </c>
      <c r="J394" s="50" t="n">
        <f aca="false">BQ394*Parameter!$B$18</f>
        <v>126</v>
      </c>
      <c r="K394" s="51" t="n">
        <v>41.5</v>
      </c>
      <c r="L394" s="52" t="n">
        <v>3.03614457831325</v>
      </c>
      <c r="M394" s="50" t="n">
        <v>4</v>
      </c>
      <c r="N394" s="50" t="n">
        <v>125</v>
      </c>
      <c r="O394" s="53" t="n">
        <v>14</v>
      </c>
      <c r="P394" s="48" t="s">
        <v>480</v>
      </c>
      <c r="Q394" s="50" t="n">
        <v>79</v>
      </c>
      <c r="R394" s="53" t="n">
        <f aca="false">IF(BW394=1,0,IFERROR(VLOOKUP(BU394,'Gebinde-Kategorie'!$A$5:$N$45,13,0)+0,0))</f>
        <v>52</v>
      </c>
      <c r="S394" s="54"/>
      <c r="T394" s="55"/>
      <c r="U394" s="55"/>
      <c r="V394" s="55"/>
      <c r="W394" s="48"/>
      <c r="X394" s="50"/>
      <c r="Y394" s="50"/>
      <c r="Z394" s="48" t="n">
        <f aca="false">IF(A394="","",IF(AND(Parameter!$B$21="Ja",ISNUMBER(W394)),W394,IF(BZ394="2+3",IF(ISNUMBER(SEARCH("grosser Artikel",BR394)),2,IFERROR(VLOOKUP(BU394,Parameter!$F$35:$G$64,2,0),2)),IF(OR(BZ394="Nein",BZ394=""),"-",BZ394))))</f>
        <v>3</v>
      </c>
      <c r="AA394" s="55"/>
      <c r="AB394" s="56"/>
      <c r="AC394" s="50" t="n">
        <f aca="false">AT394</f>
        <v>158</v>
      </c>
      <c r="AD394" s="50" t="n">
        <f aca="false">MAX(AT394,H394)</f>
        <v>158</v>
      </c>
      <c r="AE394" s="57"/>
      <c r="AF394" s="50" t="n">
        <f aca="false">IF(LEFT(Cockpit!$C$5,1)="A",H394,IF(CE394=1,CF394,IF(LEFT(Cockpit!$C$5,1)="B",AK394,MAX(AK394,H394))))</f>
        <v>111</v>
      </c>
      <c r="AG394" s="50" t="n">
        <f aca="false">IF(BW394=1,0,ROUNDUP(AF394/BV394,0))</f>
        <v>2</v>
      </c>
      <c r="AH394" s="52" t="n">
        <f aca="false">IF(CL394&gt;0,CL394*MAX(1,AF394/X394),IF(BW394=1,IF(AF394&lt;=0,0,CA394*MAX(1,IF(H394&gt;0,AF394/H394,1))),IF(R394&gt;0,AG394/R394,0))/MAX(0.1,N(Parameter!$M$21)))</f>
        <v>0.0384615384615385</v>
      </c>
      <c r="AI394" s="50" t="n">
        <f aca="false">AH394*BY394</f>
        <v>5.96153846153846</v>
      </c>
      <c r="AJ394" s="50" t="n">
        <f aca="false">AF394*G394</f>
        <v>241.98</v>
      </c>
      <c r="AK394" s="50" t="n">
        <f aca="false">ROUNDUP(MAX(J394/IF(CD394&gt;0,CD394,MAX(0.1,N(Cockpit!$C$6))),CG394)/BV394,0)*BV394</f>
        <v>158</v>
      </c>
      <c r="AL394" s="51" t="n">
        <f aca="false">IF(AI394&gt;0,J394/AI394,-1)</f>
        <v>21.1354838709677</v>
      </c>
      <c r="AM394" s="51" t="n">
        <f aca="false">IF(AND(OR(CC394="L1",CC394="L23",CC394="LIFT"),AI394&gt;0),SUMIFS($AI$7:$AI$1843,$CC$7:$CC$1843,CC394,$AL$7:$AL$1843,"&gt;"&amp;AL394)+SUMIFS($AI$7:$AI$1843,$CC$7:$CC$1843,CC394,$AL$7:$AL$1843,AL394,$BT$7:$BT$1843,"&lt;="&amp;BT394),"")</f>
        <v>1643.22161172161</v>
      </c>
      <c r="AN394" s="58" t="n">
        <f aca="false">IF(AM394="",0,MAX(0,MIN(1,(IF(CC394="L1",Parameter!$H$5,IF(CC394="L23",Parameter!$H$6+Parameter!$H$7,Parameter!$H$5+Parameter!$H$6+Parameter!$H$7))-(AM394-AI394))/AI394)))</f>
        <v>1</v>
      </c>
      <c r="AO394" s="50" t="n">
        <f aca="false">IF(LEFT(Cockpit!$I$5,1)="A",H394,IF(CE394=1,CF394,IF(LEFT(Cockpit!$I$5,1)="B",AT394,MAX(AT394,H394))))</f>
        <v>158</v>
      </c>
      <c r="AP394" s="50" t="n">
        <f aca="false">IF(BW394=1,0,ROUNDUP(AO394/BV394,0))</f>
        <v>2</v>
      </c>
      <c r="AQ394" s="52" t="n">
        <f aca="false">IF(CL394&gt;0,CL394*MAX(1,AO394/X394),IF(BW394=1,IF(AO394&lt;=0,0,CA394*MAX(1,IF(H394&gt;0,AO394/H394,1))),IF(R394&gt;0,AP394/R394,0))/MAX(0.1,N(Parameter!$M$21)))</f>
        <v>0.0384615384615385</v>
      </c>
      <c r="AR394" s="50" t="n">
        <f aca="false">AQ394*BY394</f>
        <v>5.96153846153846</v>
      </c>
      <c r="AS394" s="50" t="n">
        <f aca="false">AO394*G394</f>
        <v>344.44</v>
      </c>
      <c r="AT394" s="50" t="n">
        <f aca="false">ROUNDUP(MAX(J394/IF(CD394&gt;0,CD394,MAX(0.1,N(Cockpit!$I$6))),CG394)/BV394,0)*BV394</f>
        <v>158</v>
      </c>
      <c r="AU394" s="51" t="n">
        <f aca="false">IF(AR394&gt;0,J394/AR394,-1)</f>
        <v>21.1354838709677</v>
      </c>
      <c r="AV394" s="51" t="n">
        <f aca="false">IF(AND(OR(CC394="L1",CC394="L23",CC394="LIFT"),AR394&gt;0),SUMIFS($AR$7:$AR$1843,$CC$7:$CC$1843,CC394,$AU$7:$AU$1843,"&gt;"&amp;AU394)+SUMIFS($AR$7:$AR$1843,$CC$7:$CC$1843,CC394,$AU$7:$AU$1843,AU394,$BT$7:$BT$1843,"&lt;="&amp;BT394),"")</f>
        <v>2226.5902014652</v>
      </c>
      <c r="AW394" s="58" t="n">
        <f aca="false">IF(AV394="",0,MAX(0,MIN(1,(IF(CC394="L1",Parameter!$H$5,IF(CC394="L23",Parameter!$H$6+Parameter!$H$7,Parameter!$H$5+Parameter!$H$6+Parameter!$H$7))-(AV394-AR394))/AR394)))</f>
        <v>1</v>
      </c>
      <c r="AX394" s="50" t="n">
        <f aca="false">IF(LEFT(Cockpit!$O$5,1)="A",H394,IF(CE394=1,CF394,IF(LEFT(Cockpit!$O$5,1)="B",BC394,MAX(BC394,H394))))</f>
        <v>158</v>
      </c>
      <c r="AY394" s="50" t="n">
        <f aca="false">IF(BW394=1,0,ROUNDUP(AX394/BV394,0))</f>
        <v>2</v>
      </c>
      <c r="AZ394" s="52" t="n">
        <f aca="false">IF(CL394&gt;0,CL394*MAX(1,AX394/X394),IF(BW394=1,IF(AX394&lt;=0,0,CA394*MAX(1,IF(H394&gt;0,AX394/H394,1))),IF(R394&gt;0,AY394/R394,0))/MAX(0.1,N(Parameter!$M$21)))</f>
        <v>0.0384615384615385</v>
      </c>
      <c r="BA394" s="50" t="n">
        <f aca="false">AZ394*BY394</f>
        <v>5.96153846153846</v>
      </c>
      <c r="BB394" s="50" t="n">
        <f aca="false">AX394*G394</f>
        <v>344.44</v>
      </c>
      <c r="BC394" s="50" t="n">
        <f aca="false">ROUNDUP(MAX(J394/IF(CD394&gt;0,CD394,MAX(0.1,N(Cockpit!$O$6))),CG394)/BV394,0)*BV394</f>
        <v>158</v>
      </c>
      <c r="BD394" s="51" t="n">
        <f aca="false">IF(BA394&gt;0,J394/BA394,-1)</f>
        <v>21.1354838709677</v>
      </c>
      <c r="BE394" s="51" t="n">
        <f aca="false">IF(AND(OR(CC394="L1",CC394="L23",CC394="LIFT"),BA394&gt;0),SUMIFS($BA$7:$BA$1843,$CC$7:$CC$1843,CC394,$BD$7:$BD$1843,"&gt;"&amp;BD394)+SUMIFS($BA$7:$BA$1843,$CC$7:$CC$1843,CC394,$BD$7:$BD$1843,BD394,$BT$7:$BT$1843,"&lt;="&amp;BT394),"")</f>
        <v>2333.5293040293</v>
      </c>
      <c r="BF394" s="58" t="n">
        <f aca="false">IF(BE394="",0,MAX(0,MIN(1,(IF(CC394="L1",Parameter!$H$5,IF(CC394="L23",Parameter!$H$6+Parameter!$H$7,Parameter!$H$5+Parameter!$H$6+Parameter!$H$7))-(BE394-BA394))/BA394)))</f>
        <v>1</v>
      </c>
      <c r="BG394" s="48" t="str">
        <f aca="false">IF(AI394&lt;=0,"",IF(CC394="Aussen","Aussenlager",IF(CC394="-","Nicht im Lift",IF(AN394&gt;=1,"Lift",IF(AN394&lt;=0,"Aussenlager","teilweise")))))</f>
        <v>Lift</v>
      </c>
      <c r="BH394" s="48" t="str">
        <f aca="false">IF(AR394&lt;=0,"",IF(CC394="Aussen","Aussenlager",IF(CC394="-","Nicht im Lift",IF(AW394&gt;=1,"Lift",IF(AW394&lt;=0,"Aussenlager","teilweise")))))</f>
        <v>Lift</v>
      </c>
      <c r="BI394" s="48" t="str">
        <f aca="false">IF(BA394&lt;=0,"",IF(CC394="Aussen","Aussenlager",IF(CC394="-","Nicht im Lift",IF(BF394&gt;=1,"Lift",IF(BF394&lt;=0,"Aussenlager","teilweise")))))</f>
        <v>Lift</v>
      </c>
      <c r="BJ394" s="48" t="str">
        <f aca="false">IF(A394="","",IF(BS394=1,"Neu; ","")&amp;IF(AND(BS394=0,BN394&lt;0),"negativer Bestand (Export "&amp;BN394&amp;"); ","")&amp;IF(J394&lt;=0,"Kein Verbrauch; ","")&amp;IF(CL394&gt;0,"Lift "&amp;W394&amp;" lt. Liftbericht (Fach "&amp;X394&amp;" Stk); ",IF(BX394=1,"Gebinde geschätzt ("&amp;T394&amp;"); ",IF(BW394=1,"Lose – Tablare geschätzt; ","")))&amp;IF(H394&gt;AT394,"Überbestand "&amp;ROUND(H394-AT394,0)&amp;" Stk / CHF "&amp;ROUND((H394-AT394)*G394,0)&amp;"; ","")&amp;IF(AND(CE394=1,CF394&lt;CG394),"MAX &lt; MB+LG; ","")&amp;IF(AND(CK394&gt;0,CJ394*10&gt;CK394),"zu hoch für Tablar; ","")&amp;IF(AND(BS394=0,OR(CE394=1,AA394&lt;&gt;"",U394&lt;&gt;"",V394&lt;&gt;"",AB394&lt;&gt;"")),"manuell übersteuert; ","")&amp;IF(AND(BW394=0,R394=0),"Gebinde unbekannt / Stellmass fehlt; ","")&amp;IF(AND(BW394=0,N(V394)&lt;=0,N(Q394)&lt;=0),"Menge pro Gebinde fehlt (Ist = 1 Gebinde); ","")&amp;BR394)</f>
        <v/>
      </c>
      <c r="BK394" s="48"/>
      <c r="BL394" s="48"/>
      <c r="BM394" s="55"/>
      <c r="BN394" s="50" t="n">
        <v>54</v>
      </c>
      <c r="BO394" s="50" t="n">
        <v>57</v>
      </c>
      <c r="BP394" s="49" t="n">
        <v>115.44</v>
      </c>
      <c r="BQ394" s="50" t="n">
        <v>126</v>
      </c>
      <c r="BR394" s="48"/>
      <c r="BS394" s="53" t="n">
        <v>0</v>
      </c>
      <c r="BT394" s="53" t="n">
        <v>394</v>
      </c>
      <c r="BU394" s="48" t="str">
        <f aca="false">IF(U394&lt;&gt;"",UPPER(TRIM(U394)),IF(BX394=1,UPPER(VLOOKUP(T394,Parameter!$I$27:$K$29,2,0)),IF(P394="","LOSE",P394)))</f>
        <v>S33</v>
      </c>
      <c r="BV394" s="50" t="n">
        <f aca="false">IF(BU394="LOSE",1,IF(N(V394)&gt;0,V394,IF(BX394=1,MAX(1,N(VLOOKUP(T394,Parameter!$I$27:$K$29,3,0)),H394,N(N394)),IF(N(Q394)&gt;0,Q394,MAX(1,H394)))))</f>
        <v>79</v>
      </c>
      <c r="BW394" s="53" t="n">
        <f aca="false">IF(BU394="LOSE",1,0)</f>
        <v>0</v>
      </c>
      <c r="BX394" s="53" t="n">
        <f aca="false">IF(AND(U394="",OR(P394="",P394="LOSE"),T394&lt;&gt;"",N(S394)&lt;=0,ISNUMBER(MATCH(T394,Parameter!$I$27:$I$29,0))),1,0)</f>
        <v>0</v>
      </c>
      <c r="BY394" s="53" t="n">
        <f aca="false">IF(CL394&gt;0,INDEX(Parameter!$H$5:$H$7,W394)/INDEX(Parameter!$E$5:$E$7,W394),IF(AND(BW394=0,N(IFERROR(VLOOKUP(BU394,'Gebinde-Kategorie'!$A$5:$N$45,14,0),0))&gt;0),VLOOKUP(BU394,'Gebinde-Kategorie'!$A$5:$N$45,14,0)*10+Parameter!$M$23,Parameter!$M$24))</f>
        <v>155</v>
      </c>
      <c r="BZ394" s="48" t="str">
        <f aca="false">IF(AND(Parameter!$B$19="Ja",E394&lt;&gt;"",ISNUMBER(MATCH(E394,Parameter!$I$35:$I$52,0))),VLOOKUP(E394,Parameter!$I$35:$J$52,2,0),IFERROR(VLOOKUP(D394,Parameter!$A$35:$C$64,2,0),"Nein"))</f>
        <v>2+3</v>
      </c>
      <c r="CA394" s="52" t="n">
        <f aca="false">IF(BW394=0,0,IF(N(S394)&gt;0,S394,IFERROR(VLOOKUP(D394,Parameter!$A$35:$C$64,3,0)+0,0)))</f>
        <v>0</v>
      </c>
      <c r="CB394" s="48" t="n">
        <f aca="false">IF(AA394&lt;&gt;"",AA394,Z394)</f>
        <v>3</v>
      </c>
      <c r="CC394" s="48" t="str">
        <f aca="false">IF(OR(CB394=1,CB394=2,CB394=3),IF(Parameter!$E$27="Ja","LIFT",IF(CB394=1,"L1","L23")),IF(CB394="Aussen","Aussen","-"))</f>
        <v>LIFT</v>
      </c>
      <c r="CD394" s="59" t="n">
        <f aca="false">IF(N(AB394)&gt;0,AB394,0)</f>
        <v>0</v>
      </c>
      <c r="CE394" s="53" t="n">
        <f aca="false">IF(ISNUMBER(AE394),1,0)</f>
        <v>0</v>
      </c>
      <c r="CF394" s="50" t="n">
        <f aca="false">N(AE394)</f>
        <v>0</v>
      </c>
      <c r="CG394" s="50" t="n">
        <f aca="false">N(M394)+N(N394)</f>
        <v>129</v>
      </c>
      <c r="CH394" s="50" t="n">
        <f aca="false">ROUNDUP(H394/BV394,0)</f>
        <v>2</v>
      </c>
      <c r="CI394" s="50" t="n">
        <f aca="false">ROUNDUP(CF394/BV394,0)</f>
        <v>0</v>
      </c>
      <c r="CJ394" s="53" t="n">
        <f aca="false">IF(BW394=1,0,IFERROR(VLOOKUP(BU394,'Gebinde-Kategorie'!$A$5:$N$45,5,0)+0,0))</f>
        <v>8</v>
      </c>
      <c r="CK394" s="53" t="n">
        <f aca="false">IFERROR(IF(OR(CB394=1,CB394=2,CB394=3),N(INDEX(Parameter!$I$5:$I$7,CB394)),0),0)</f>
        <v>0</v>
      </c>
      <c r="CL394" s="52" t="n">
        <f aca="false">IF(AND(Parameter!$B$21="Ja",ISNUMBER(W394),N(X394)&gt;0),IFERROR(N(INDEX(Parameter!$L$5:$L$7,W394))*INDEX(Parameter!$E$5:$E$7,W394)*X394/SUMIFS($X$7:$X$1843,$W$7:$W$1843,W394),0),0)</f>
        <v>0</v>
      </c>
    </row>
    <row r="395" customFormat="false" ht="15" hidden="false" customHeight="false" outlineLevel="0" collapsed="false">
      <c r="A395" s="48" t="s">
        <v>933</v>
      </c>
      <c r="B395" s="48" t="s">
        <v>865</v>
      </c>
      <c r="C395" s="48" t="s">
        <v>168</v>
      </c>
      <c r="D395" s="48" t="s">
        <v>177</v>
      </c>
      <c r="E395" s="48"/>
      <c r="F395" s="48" t="s">
        <v>222</v>
      </c>
      <c r="G395" s="49" t="n">
        <v>12.74</v>
      </c>
      <c r="H395" s="50" t="n">
        <f aca="false">MAX(0,IF(AND(Parameter!$B$21="Ja",ISNUMBER(Y395)),Y395,IF(Parameter!$B$20="Jahresanfang 2025 + Export",BO395+BN395,BN395)))</f>
        <v>9</v>
      </c>
      <c r="I395" s="50" t="n">
        <f aca="false">H395*G395</f>
        <v>114.66</v>
      </c>
      <c r="J395" s="50" t="n">
        <f aca="false">BQ395*Parameter!$B$18</f>
        <v>10</v>
      </c>
      <c r="K395" s="51" t="n">
        <v>0</v>
      </c>
      <c r="L395" s="52" t="n">
        <v>0</v>
      </c>
      <c r="M395" s="50" t="n">
        <v>0</v>
      </c>
      <c r="N395" s="50" t="n">
        <v>10</v>
      </c>
      <c r="O395" s="53" t="n">
        <v>14</v>
      </c>
      <c r="P395" s="48" t="s">
        <v>172</v>
      </c>
      <c r="Q395" s="50"/>
      <c r="R395" s="53" t="n">
        <f aca="false">IF(BW395=1,0,IFERROR(VLOOKUP(BU395,'Gebinde-Kategorie'!$A$5:$N$45,13,0)+0,0))</f>
        <v>12</v>
      </c>
      <c r="S395" s="54"/>
      <c r="T395" s="55" t="s">
        <v>183</v>
      </c>
      <c r="U395" s="55"/>
      <c r="V395" s="55"/>
      <c r="W395" s="48"/>
      <c r="X395" s="50"/>
      <c r="Y395" s="50"/>
      <c r="Z395" s="48" t="n">
        <f aca="false">IF(A395="","",IF(AND(Parameter!$B$21="Ja",ISNUMBER(W395)),W395,IF(BZ395="2+3",IF(ISNUMBER(SEARCH("grosser Artikel",BR395)),2,IFERROR(VLOOKUP(BU395,Parameter!$F$35:$G$64,2,0),2)),IF(OR(BZ395="Nein",BZ395=""),"-",BZ395))))</f>
        <v>2</v>
      </c>
      <c r="AA395" s="55"/>
      <c r="AB395" s="56"/>
      <c r="AC395" s="50" t="n">
        <f aca="false">AT395</f>
        <v>10</v>
      </c>
      <c r="AD395" s="50" t="n">
        <f aca="false">MAX(AT395,H395)</f>
        <v>10</v>
      </c>
      <c r="AE395" s="57"/>
      <c r="AF395" s="50" t="n">
        <f aca="false">IF(LEFT(Cockpit!$C$5,1)="A",H395,IF(CE395=1,CF395,IF(LEFT(Cockpit!$C$5,1)="B",AK395,MAX(AK395,H395))))</f>
        <v>9</v>
      </c>
      <c r="AG395" s="50" t="n">
        <f aca="false">IF(BW395=1,0,ROUNDUP(AF395/BV395,0))</f>
        <v>1</v>
      </c>
      <c r="AH395" s="52" t="n">
        <f aca="false">IF(CL395&gt;0,CL395*MAX(1,AF395/X395),IF(BW395=1,IF(AF395&lt;=0,0,CA395*MAX(1,IF(H395&gt;0,AF395/H395,1))),IF(R395&gt;0,AG395/R395,0))/MAX(0.1,N(Parameter!$M$21)))</f>
        <v>0.0833333333333333</v>
      </c>
      <c r="AI395" s="50" t="n">
        <f aca="false">AH395*BY395</f>
        <v>12.0833333333333</v>
      </c>
      <c r="AJ395" s="50" t="n">
        <f aca="false">AF395*G395</f>
        <v>114.66</v>
      </c>
      <c r="AK395" s="50" t="n">
        <f aca="false">ROUNDUP(MAX(J395/IF(CD395&gt;0,CD395,MAX(0.1,N(Cockpit!$C$6))),CG395)/BV395,0)*BV395</f>
        <v>10</v>
      </c>
      <c r="AL395" s="51" t="n">
        <f aca="false">IF(AI395&gt;0,J395/AI395,-1)</f>
        <v>0.827586206896552</v>
      </c>
      <c r="AM395" s="51" t="n">
        <f aca="false">IF(AND(OR(CC395="L1",CC395="L23",CC395="LIFT"),AI395&gt;0),SUMIFS($AI$7:$AI$1843,$CC$7:$CC$1843,CC395,$AL$7:$AL$1843,"&gt;"&amp;AL395)+SUMIFS($AI$7:$AI$1843,$CC$7:$CC$1843,CC395,$AL$7:$AL$1843,AL395,$BT$7:$BT$1843,"&lt;="&amp;BT395),"")</f>
        <v>7966.20833333333</v>
      </c>
      <c r="AN395" s="58" t="n">
        <f aca="false">IF(AM395="",0,MAX(0,MIN(1,(IF(CC395="L1",Parameter!$H$5,IF(CC395="L23",Parameter!$H$6+Parameter!$H$7,Parameter!$H$5+Parameter!$H$6+Parameter!$H$7))-(AM395-AI395))/AI395)))</f>
        <v>1</v>
      </c>
      <c r="AO395" s="50" t="n">
        <f aca="false">IF(LEFT(Cockpit!$I$5,1)="A",H395,IF(CE395=1,CF395,IF(LEFT(Cockpit!$I$5,1)="B",AT395,MAX(AT395,H395))))</f>
        <v>10</v>
      </c>
      <c r="AP395" s="50" t="n">
        <f aca="false">IF(BW395=1,0,ROUNDUP(AO395/BV395,0))</f>
        <v>1</v>
      </c>
      <c r="AQ395" s="52" t="n">
        <f aca="false">IF(CL395&gt;0,CL395*MAX(1,AO395/X395),IF(BW395=1,IF(AO395&lt;=0,0,CA395*MAX(1,IF(H395&gt;0,AO395/H395,1))),IF(R395&gt;0,AP395/R395,0))/MAX(0.1,N(Parameter!$M$21)))</f>
        <v>0.0833333333333333</v>
      </c>
      <c r="AR395" s="50" t="n">
        <f aca="false">AQ395*BY395</f>
        <v>12.0833333333333</v>
      </c>
      <c r="AS395" s="50" t="n">
        <f aca="false">AO395*G395</f>
        <v>127.4</v>
      </c>
      <c r="AT395" s="50" t="n">
        <f aca="false">ROUNDUP(MAX(J395/IF(CD395&gt;0,CD395,MAX(0.1,N(Cockpit!$I$6))),CG395)/BV395,0)*BV395</f>
        <v>10</v>
      </c>
      <c r="AU395" s="51" t="n">
        <f aca="false">IF(AR395&gt;0,J395/AR395,-1)</f>
        <v>0.827586206896552</v>
      </c>
      <c r="AV395" s="51" t="n">
        <f aca="false">IF(AND(OR(CC395="L1",CC395="L23",CC395="LIFT"),AR395&gt;0),SUMIFS($AR$7:$AR$1843,$CC$7:$CC$1843,CC395,$AU$7:$AU$1843,"&gt;"&amp;AU395)+SUMIFS($AR$7:$AR$1843,$CC$7:$CC$1843,CC395,$AU$7:$AU$1843,AU395,$BT$7:$BT$1843,"&lt;="&amp;BT395),"")</f>
        <v>11342.5934065934</v>
      </c>
      <c r="AW395" s="58" t="n">
        <f aca="false">IF(AV395="",0,MAX(0,MIN(1,(IF(CC395="L1",Parameter!$H$5,IF(CC395="L23",Parameter!$H$6+Parameter!$H$7,Parameter!$H$5+Parameter!$H$6+Parameter!$H$7))-(AV395-AR395))/AR395)))</f>
        <v>1</v>
      </c>
      <c r="AX395" s="50" t="n">
        <f aca="false">IF(LEFT(Cockpit!$O$5,1)="A",H395,IF(CE395=1,CF395,IF(LEFT(Cockpit!$O$5,1)="B",BC395,MAX(BC395,H395))))</f>
        <v>10</v>
      </c>
      <c r="AY395" s="50" t="n">
        <f aca="false">IF(BW395=1,0,ROUNDUP(AX395/BV395,0))</f>
        <v>1</v>
      </c>
      <c r="AZ395" s="52" t="n">
        <f aca="false">IF(CL395&gt;0,CL395*MAX(1,AX395/X395),IF(BW395=1,IF(AX395&lt;=0,0,CA395*MAX(1,IF(H395&gt;0,AX395/H395,1))),IF(R395&gt;0,AY395/R395,0))/MAX(0.1,N(Parameter!$M$21)))</f>
        <v>0.0833333333333333</v>
      </c>
      <c r="BA395" s="50" t="n">
        <f aca="false">AZ395*BY395</f>
        <v>12.0833333333333</v>
      </c>
      <c r="BB395" s="50" t="n">
        <f aca="false">AX395*G395</f>
        <v>127.4</v>
      </c>
      <c r="BC395" s="50" t="n">
        <f aca="false">ROUNDUP(MAX(J395/IF(CD395&gt;0,CD395,MAX(0.1,N(Cockpit!$O$6))),CG395)/BV395,0)*BV395</f>
        <v>10</v>
      </c>
      <c r="BD395" s="51" t="n">
        <f aca="false">IF(BA395&gt;0,J395/BA395,-1)</f>
        <v>0.827586206896552</v>
      </c>
      <c r="BE395" s="51" t="n">
        <f aca="false">IF(AND(OR(CC395="L1",CC395="L23",CC395="LIFT"),BA395&gt;0),SUMIFS($BA$7:$BA$1843,$CC$7:$CC$1843,CC395,$BD$7:$BD$1843,"&gt;"&amp;BD395)+SUMIFS($BA$7:$BA$1843,$CC$7:$CC$1843,CC395,$BD$7:$BD$1843,BD395,$BT$7:$BT$1843,"&lt;="&amp;BT395),"")</f>
        <v>10486.5837912088</v>
      </c>
      <c r="BF395" s="58" t="n">
        <f aca="false">IF(BE395="",0,MAX(0,MIN(1,(IF(CC395="L1",Parameter!$H$5,IF(CC395="L23",Parameter!$H$6+Parameter!$H$7,Parameter!$H$5+Parameter!$H$6+Parameter!$H$7))-(BE395-BA395))/BA395)))</f>
        <v>1</v>
      </c>
      <c r="BG395" s="48" t="str">
        <f aca="false">IF(AI395&lt;=0,"",IF(CC395="Aussen","Aussenlager",IF(CC395="-","Nicht im Lift",IF(AN395&gt;=1,"Lift",IF(AN395&lt;=0,"Aussenlager","teilweise")))))</f>
        <v>Lift</v>
      </c>
      <c r="BH395" s="48" t="str">
        <f aca="false">IF(AR395&lt;=0,"",IF(CC395="Aussen","Aussenlager",IF(CC395="-","Nicht im Lift",IF(AW395&gt;=1,"Lift",IF(AW395&lt;=0,"Aussenlager","teilweise")))))</f>
        <v>Lift</v>
      </c>
      <c r="BI395" s="48" t="str">
        <f aca="false">IF(BA395&lt;=0,"",IF(CC395="Aussen","Aussenlager",IF(CC395="-","Nicht im Lift",IF(BF395&gt;=1,"Lift",IF(BF395&lt;=0,"Aussenlager","teilweise")))))</f>
        <v>Lift</v>
      </c>
      <c r="BJ395" s="48" t="str">
        <f aca="false">IF(A395="","",IF(BS395=1,"Neu; ","")&amp;IF(AND(BS395=0,BN395&lt;0),"negativer Bestand (Export "&amp;BN395&amp;"); ","")&amp;IF(J395&lt;=0,"Kein Verbrauch; ","")&amp;IF(CL395&gt;0,"Lift "&amp;W395&amp;" lt. Liftbericht (Fach "&amp;X395&amp;" Stk); ",IF(BX395=1,"Gebinde geschätzt ("&amp;T395&amp;"); ",IF(BW395=1,"Lose – Tablare geschätzt; ","")))&amp;IF(H395&gt;AT395,"Überbestand "&amp;ROUND(H395-AT395,0)&amp;" Stk / CHF "&amp;ROUND((H395-AT395)*G395,0)&amp;"; ","")&amp;IF(AND(CE395=1,CF395&lt;CG395),"MAX &lt; MB+LG; ","")&amp;IF(AND(CK395&gt;0,CJ395*10&gt;CK395),"zu hoch für Tablar; ","")&amp;IF(AND(BS395=0,OR(CE395=1,AA395&lt;&gt;"",U395&lt;&gt;"",V395&lt;&gt;"",AB395&lt;&gt;"")),"manuell übersteuert; ","")&amp;IF(AND(BW395=0,R395=0),"Gebinde unbekannt / Stellmass fehlt; ","")&amp;IF(AND(BW395=0,N(V395)&lt;=0,N(Q395)&lt;=0),"Menge pro Gebinde fehlt (Ist = 1 Gebinde); ","")&amp;BR395)</f>
        <v>Gebinde geschätzt (Mittel); Menge pro Gebinde fehlt (Ist = 1 Gebinde); </v>
      </c>
      <c r="BK395" s="48"/>
      <c r="BL395" s="48"/>
      <c r="BM395" s="55"/>
      <c r="BN395" s="50" t="n">
        <v>9</v>
      </c>
      <c r="BO395" s="50" t="n">
        <v>0</v>
      </c>
      <c r="BP395" s="49" t="n">
        <v>114.66</v>
      </c>
      <c r="BQ395" s="50" t="n">
        <v>10</v>
      </c>
      <c r="BR395" s="48"/>
      <c r="BS395" s="53" t="n">
        <v>0</v>
      </c>
      <c r="BT395" s="53" t="n">
        <v>395</v>
      </c>
      <c r="BU395" s="48" t="str">
        <f aca="false">IF(U395&lt;&gt;"",UPPER(TRIM(U395)),IF(BX395=1,UPPER(VLOOKUP(T395,Parameter!$I$27:$K$29,2,0)),IF(P395="","LOSE",P395)))</f>
        <v>S61</v>
      </c>
      <c r="BV395" s="50" t="n">
        <f aca="false">IF(BU395="LOSE",1,IF(N(V395)&gt;0,V395,IF(BX395=1,MAX(1,N(VLOOKUP(T395,Parameter!$I$27:$K$29,3,0)),H395,N(N395)),IF(N(Q395)&gt;0,Q395,MAX(1,H395)))))</f>
        <v>10</v>
      </c>
      <c r="BW395" s="53" t="n">
        <f aca="false">IF(BU395="LOSE",1,0)</f>
        <v>0</v>
      </c>
      <c r="BX395" s="53" t="n">
        <f aca="false">IF(AND(U395="",OR(P395="",P395="LOSE"),T395&lt;&gt;"",N(S395)&lt;=0,ISNUMBER(MATCH(T395,Parameter!$I$27:$I$29,0))),1,0)</f>
        <v>1</v>
      </c>
      <c r="BY395" s="53" t="n">
        <f aca="false">IF(CL395&gt;0,INDEX(Parameter!$H$5:$H$7,W395)/INDEX(Parameter!$E$5:$E$7,W395),IF(AND(BW395=0,N(IFERROR(VLOOKUP(BU395,'Gebinde-Kategorie'!$A$5:$N$45,14,0),0))&gt;0),VLOOKUP(BU395,'Gebinde-Kategorie'!$A$5:$N$45,14,0)*10+Parameter!$M$23,Parameter!$M$24))</f>
        <v>145</v>
      </c>
      <c r="BZ395" s="48" t="str">
        <f aca="false">IF(AND(Parameter!$B$19="Ja",E395&lt;&gt;"",ISNUMBER(MATCH(E395,Parameter!$I$35:$I$52,0))),VLOOKUP(E395,Parameter!$I$35:$J$52,2,0),IFERROR(VLOOKUP(D395,Parameter!$A$35:$C$64,2,0),"Nein"))</f>
        <v>2+3</v>
      </c>
      <c r="CA395" s="52" t="n">
        <f aca="false">IF(BW395=0,0,IF(N(S395)&gt;0,S395,IFERROR(VLOOKUP(D395,Parameter!$A$35:$C$64,3,0)+0,0)))</f>
        <v>0</v>
      </c>
      <c r="CB395" s="48" t="n">
        <f aca="false">IF(AA395&lt;&gt;"",AA395,Z395)</f>
        <v>2</v>
      </c>
      <c r="CC395" s="48" t="str">
        <f aca="false">IF(OR(CB395=1,CB395=2,CB395=3),IF(Parameter!$E$27="Ja","LIFT",IF(CB395=1,"L1","L23")),IF(CB395="Aussen","Aussen","-"))</f>
        <v>LIFT</v>
      </c>
      <c r="CD395" s="59" t="n">
        <f aca="false">IF(N(AB395)&gt;0,AB395,0)</f>
        <v>0</v>
      </c>
      <c r="CE395" s="53" t="n">
        <f aca="false">IF(ISNUMBER(AE395),1,0)</f>
        <v>0</v>
      </c>
      <c r="CF395" s="50" t="n">
        <f aca="false">N(AE395)</f>
        <v>0</v>
      </c>
      <c r="CG395" s="50" t="n">
        <f aca="false">N(M395)+N(N395)</f>
        <v>10</v>
      </c>
      <c r="CH395" s="50" t="n">
        <f aca="false">ROUNDUP(H395/BV395,0)</f>
        <v>1</v>
      </c>
      <c r="CI395" s="50" t="n">
        <f aca="false">ROUNDUP(CF395/BV395,0)</f>
        <v>0</v>
      </c>
      <c r="CJ395" s="53" t="n">
        <f aca="false">IF(BW395=1,0,IFERROR(VLOOKUP(BU395,'Gebinde-Kategorie'!$A$5:$N$45,5,0)+0,0))</f>
        <v>11</v>
      </c>
      <c r="CK395" s="53" t="n">
        <f aca="false">IFERROR(IF(OR(CB395=1,CB395=2,CB395=3),N(INDEX(Parameter!$I$5:$I$7,CB395)),0),0)</f>
        <v>0</v>
      </c>
      <c r="CL395" s="52" t="n">
        <f aca="false">IF(AND(Parameter!$B$21="Ja",ISNUMBER(W395),N(X395)&gt;0),IFERROR(N(INDEX(Parameter!$L$5:$L$7,W395))*INDEX(Parameter!$E$5:$E$7,W395)*X395/SUMIFS($X$7:$X$1843,$W$7:$W$1843,W395),0),0)</f>
        <v>0</v>
      </c>
    </row>
    <row r="396" customFormat="false" ht="15" hidden="false" customHeight="false" outlineLevel="0" collapsed="false">
      <c r="A396" s="48" t="s">
        <v>934</v>
      </c>
      <c r="B396" s="48" t="s">
        <v>593</v>
      </c>
      <c r="C396" s="48" t="s">
        <v>168</v>
      </c>
      <c r="D396" s="48" t="s">
        <v>188</v>
      </c>
      <c r="E396" s="48" t="s">
        <v>189</v>
      </c>
      <c r="F396" s="48" t="s">
        <v>222</v>
      </c>
      <c r="G396" s="49" t="n">
        <v>18.24</v>
      </c>
      <c r="H396" s="50" t="n">
        <f aca="false">MAX(0,IF(AND(Parameter!$B$21="Ja",ISNUMBER(Y396)),Y396,IF(Parameter!$B$20="Jahresanfang 2025 + Export",BO396+BN396,BN396)))</f>
        <v>56</v>
      </c>
      <c r="I396" s="50" t="n">
        <f aca="false">H396*G396</f>
        <v>1021.44</v>
      </c>
      <c r="J396" s="50" t="n">
        <f aca="false">BQ396*Parameter!$B$18</f>
        <v>40</v>
      </c>
      <c r="K396" s="51" t="n">
        <v>39</v>
      </c>
      <c r="L396" s="52" t="n">
        <v>1.02564102564103</v>
      </c>
      <c r="M396" s="50" t="n">
        <v>3</v>
      </c>
      <c r="N396" s="50" t="n">
        <v>40</v>
      </c>
      <c r="O396" s="53" t="n">
        <v>35</v>
      </c>
      <c r="P396" s="48" t="s">
        <v>405</v>
      </c>
      <c r="Q396" s="50" t="n">
        <v>52</v>
      </c>
      <c r="R396" s="53" t="n">
        <f aca="false">IF(BW396=1,0,IFERROR(VLOOKUP(BU396,'Gebinde-Kategorie'!$A$5:$N$45,13,0)+0,0))</f>
        <v>280</v>
      </c>
      <c r="S396" s="54"/>
      <c r="T396" s="55"/>
      <c r="U396" s="55"/>
      <c r="V396" s="55"/>
      <c r="W396" s="48"/>
      <c r="X396" s="50"/>
      <c r="Y396" s="50"/>
      <c r="Z396" s="48" t="n">
        <f aca="false">IF(A396="","",IF(AND(Parameter!$B$21="Ja",ISNUMBER(W396)),W396,IF(BZ396="2+3",IF(ISNUMBER(SEARCH("grosser Artikel",BR396)),2,IFERROR(VLOOKUP(BU396,Parameter!$F$35:$G$64,2,0),2)),IF(OR(BZ396="Nein",BZ396=""),"-",BZ396))))</f>
        <v>3</v>
      </c>
      <c r="AA396" s="55"/>
      <c r="AB396" s="56"/>
      <c r="AC396" s="50" t="n">
        <f aca="false">AT396</f>
        <v>52</v>
      </c>
      <c r="AD396" s="50" t="n">
        <f aca="false">MAX(AT396,H396)</f>
        <v>56</v>
      </c>
      <c r="AE396" s="57"/>
      <c r="AF396" s="50" t="n">
        <f aca="false">IF(LEFT(Cockpit!$C$5,1)="A",H396,IF(CE396=1,CF396,IF(LEFT(Cockpit!$C$5,1)="B",AK396,MAX(AK396,H396))))</f>
        <v>56</v>
      </c>
      <c r="AG396" s="50" t="n">
        <f aca="false">IF(BW396=1,0,ROUNDUP(AF396/BV396,0))</f>
        <v>2</v>
      </c>
      <c r="AH396" s="52" t="n">
        <f aca="false">IF(CL396&gt;0,CL396*MAX(1,AF396/X396),IF(BW396=1,IF(AF396&lt;=0,0,CA396*MAX(1,IF(H396&gt;0,AF396/H396,1))),IF(R396&gt;0,AG396/R396,0))/MAX(0.1,N(Parameter!$M$21)))</f>
        <v>0.00714285714285714</v>
      </c>
      <c r="AI396" s="50" t="n">
        <f aca="false">AH396*BY396</f>
        <v>1.10714285714286</v>
      </c>
      <c r="AJ396" s="50" t="n">
        <f aca="false">AF396*G396</f>
        <v>1021.44</v>
      </c>
      <c r="AK396" s="50" t="n">
        <f aca="false">ROUNDUP(MAX(J396/IF(CD396&gt;0,CD396,MAX(0.1,N(Cockpit!$C$6))),CG396)/BV396,0)*BV396</f>
        <v>52</v>
      </c>
      <c r="AL396" s="51" t="n">
        <f aca="false">IF(AI396&gt;0,J396/AI396,-1)</f>
        <v>36.1290322580645</v>
      </c>
      <c r="AM396" s="51" t="n">
        <f aca="false">IF(AND(OR(CC396="L1",CC396="L23",CC396="LIFT"),AI396&gt;0),SUMIFS($AI$7:$AI$1843,$CC$7:$CC$1843,CC396,$AL$7:$AL$1843,"&gt;"&amp;AL396)+SUMIFS($AI$7:$AI$1843,$CC$7:$CC$1843,CC396,$AL$7:$AL$1843,AL396,$BT$7:$BT$1843,"&lt;="&amp;BT396),"")</f>
        <v>1283.29945054945</v>
      </c>
      <c r="AN396" s="58" t="n">
        <f aca="false">IF(AM396="",0,MAX(0,MIN(1,(IF(CC396="L1",Parameter!$H$5,IF(CC396="L23",Parameter!$H$6+Parameter!$H$7,Parameter!$H$5+Parameter!$H$6+Parameter!$H$7))-(AM396-AI396))/AI396)))</f>
        <v>1</v>
      </c>
      <c r="AO396" s="50" t="n">
        <f aca="false">IF(LEFT(Cockpit!$I$5,1)="A",H396,IF(CE396=1,CF396,IF(LEFT(Cockpit!$I$5,1)="B",AT396,MAX(AT396,H396))))</f>
        <v>56</v>
      </c>
      <c r="AP396" s="50" t="n">
        <f aca="false">IF(BW396=1,0,ROUNDUP(AO396/BV396,0))</f>
        <v>2</v>
      </c>
      <c r="AQ396" s="52" t="n">
        <f aca="false">IF(CL396&gt;0,CL396*MAX(1,AO396/X396),IF(BW396=1,IF(AO396&lt;=0,0,CA396*MAX(1,IF(H396&gt;0,AO396/H396,1))),IF(R396&gt;0,AP396/R396,0))/MAX(0.1,N(Parameter!$M$21)))</f>
        <v>0.00714285714285714</v>
      </c>
      <c r="AR396" s="50" t="n">
        <f aca="false">AQ396*BY396</f>
        <v>1.10714285714286</v>
      </c>
      <c r="AS396" s="50" t="n">
        <f aca="false">AO396*G396</f>
        <v>1021.44</v>
      </c>
      <c r="AT396" s="50" t="n">
        <f aca="false">ROUNDUP(MAX(J396/IF(CD396&gt;0,CD396,MAX(0.1,N(Cockpit!$I$6))),CG396)/BV396,0)*BV396</f>
        <v>52</v>
      </c>
      <c r="AU396" s="51" t="n">
        <f aca="false">IF(AR396&gt;0,J396/AR396,-1)</f>
        <v>36.1290322580645</v>
      </c>
      <c r="AV396" s="51" t="n">
        <f aca="false">IF(AND(OR(CC396="L1",CC396="L23",CC396="LIFT"),AR396&gt;0),SUMIFS($AR$7:$AR$1843,$CC$7:$CC$1843,CC396,$AU$7:$AU$1843,"&gt;"&amp;AU396)+SUMIFS($AR$7:$AR$1843,$CC$7:$CC$1843,CC396,$AU$7:$AU$1843,AU396,$BT$7:$BT$1843,"&lt;="&amp;BT396),"")</f>
        <v>1776.50824175824</v>
      </c>
      <c r="AW396" s="58" t="n">
        <f aca="false">IF(AV396="",0,MAX(0,MIN(1,(IF(CC396="L1",Parameter!$H$5,IF(CC396="L23",Parameter!$H$6+Parameter!$H$7,Parameter!$H$5+Parameter!$H$6+Parameter!$H$7))-(AV396-AR396))/AR396)))</f>
        <v>1</v>
      </c>
      <c r="AX396" s="50" t="n">
        <f aca="false">IF(LEFT(Cockpit!$O$5,1)="A",H396,IF(CE396=1,CF396,IF(LEFT(Cockpit!$O$5,1)="B",BC396,MAX(BC396,H396))))</f>
        <v>56</v>
      </c>
      <c r="AY396" s="50" t="n">
        <f aca="false">IF(BW396=1,0,ROUNDUP(AX396/BV396,0))</f>
        <v>2</v>
      </c>
      <c r="AZ396" s="52" t="n">
        <f aca="false">IF(CL396&gt;0,CL396*MAX(1,AX396/X396),IF(BW396=1,IF(AX396&lt;=0,0,CA396*MAX(1,IF(H396&gt;0,AX396/H396,1))),IF(R396&gt;0,AY396/R396,0))/MAX(0.1,N(Parameter!$M$21)))</f>
        <v>0.00714285714285714</v>
      </c>
      <c r="BA396" s="50" t="n">
        <f aca="false">AZ396*BY396</f>
        <v>1.10714285714286</v>
      </c>
      <c r="BB396" s="50" t="n">
        <f aca="false">AX396*G396</f>
        <v>1021.44</v>
      </c>
      <c r="BC396" s="50" t="n">
        <f aca="false">ROUNDUP(MAX(J396/IF(CD396&gt;0,CD396,MAX(0.1,N(Cockpit!$O$6))),CG396)/BV396,0)*BV396</f>
        <v>52</v>
      </c>
      <c r="BD396" s="51" t="n">
        <f aca="false">IF(BA396&gt;0,J396/BA396,-1)</f>
        <v>36.1290322580645</v>
      </c>
      <c r="BE396" s="51" t="n">
        <f aca="false">IF(AND(OR(CC396="L1",CC396="L23",CC396="LIFT"),BA396&gt;0),SUMIFS($BA$7:$BA$1843,$CC$7:$CC$1843,CC396,$BD$7:$BD$1843,"&gt;"&amp;BD396)+SUMIFS($BA$7:$BA$1843,$CC$7:$CC$1843,CC396,$BD$7:$BD$1843,BD396,$BT$7:$BT$1843,"&lt;="&amp;BT396),"")</f>
        <v>1612.19734432234</v>
      </c>
      <c r="BF396" s="58" t="n">
        <f aca="false">IF(BE396="",0,MAX(0,MIN(1,(IF(CC396="L1",Parameter!$H$5,IF(CC396="L23",Parameter!$H$6+Parameter!$H$7,Parameter!$H$5+Parameter!$H$6+Parameter!$H$7))-(BE396-BA396))/BA396)))</f>
        <v>1</v>
      </c>
      <c r="BG396" s="48" t="str">
        <f aca="false">IF(AI396&lt;=0,"",IF(CC396="Aussen","Aussenlager",IF(CC396="-","Nicht im Lift",IF(AN396&gt;=1,"Lift",IF(AN396&lt;=0,"Aussenlager","teilweise")))))</f>
        <v>Lift</v>
      </c>
      <c r="BH396" s="48" t="str">
        <f aca="false">IF(AR396&lt;=0,"",IF(CC396="Aussen","Aussenlager",IF(CC396="-","Nicht im Lift",IF(AW396&gt;=1,"Lift",IF(AW396&lt;=0,"Aussenlager","teilweise")))))</f>
        <v>Lift</v>
      </c>
      <c r="BI396" s="48" t="str">
        <f aca="false">IF(BA396&lt;=0,"",IF(CC396="Aussen","Aussenlager",IF(CC396="-","Nicht im Lift",IF(BF396&gt;=1,"Lift",IF(BF396&lt;=0,"Aussenlager","teilweise")))))</f>
        <v>Lift</v>
      </c>
      <c r="BJ396" s="48" t="str">
        <f aca="false">IF(A396="","",IF(BS396=1,"Neu; ","")&amp;IF(AND(BS396=0,BN396&lt;0),"negativer Bestand (Export "&amp;BN396&amp;"); ","")&amp;IF(J396&lt;=0,"Kein Verbrauch; ","")&amp;IF(CL396&gt;0,"Lift "&amp;W396&amp;" lt. Liftbericht (Fach "&amp;X396&amp;" Stk); ",IF(BX396=1,"Gebinde geschätzt ("&amp;T396&amp;"); ",IF(BW396=1,"Lose – Tablare geschätzt; ","")))&amp;IF(H396&gt;AT396,"Überbestand "&amp;ROUND(H396-AT396,0)&amp;" Stk / CHF "&amp;ROUND((H396-AT396)*G396,0)&amp;"; ","")&amp;IF(AND(CE396=1,CF396&lt;CG396),"MAX &lt; MB+LG; ","")&amp;IF(AND(CK396&gt;0,CJ396*10&gt;CK396),"zu hoch für Tablar; ","")&amp;IF(AND(BS396=0,OR(CE396=1,AA396&lt;&gt;"",U396&lt;&gt;"",V396&lt;&gt;"",AB396&lt;&gt;"")),"manuell übersteuert; ","")&amp;IF(AND(BW396=0,R396=0),"Gebinde unbekannt / Stellmass fehlt; ","")&amp;IF(AND(BW396=0,N(V396)&lt;=0,N(Q396)&lt;=0),"Menge pro Gebinde fehlt (Ist = 1 Gebinde); ","")&amp;BR396)</f>
        <v>Überbestand 4 Stk / CHF 73; </v>
      </c>
      <c r="BK396" s="48"/>
      <c r="BL396" s="48"/>
      <c r="BM396" s="55"/>
      <c r="BN396" s="50" t="n">
        <v>4</v>
      </c>
      <c r="BO396" s="50" t="n">
        <v>52</v>
      </c>
      <c r="BP396" s="49" t="n">
        <v>114.04</v>
      </c>
      <c r="BQ396" s="50" t="n">
        <v>40</v>
      </c>
      <c r="BR396" s="48"/>
      <c r="BS396" s="53" t="n">
        <v>0</v>
      </c>
      <c r="BT396" s="53" t="n">
        <v>396</v>
      </c>
      <c r="BU396" s="48" t="str">
        <f aca="false">IF(U396&lt;&gt;"",UPPER(TRIM(U396)),IF(BX396=1,UPPER(VLOOKUP(T396,Parameter!$I$27:$K$29,2,0)),IF(P396="","LOSE",P396)))</f>
        <v>S21</v>
      </c>
      <c r="BV396" s="50" t="n">
        <f aca="false">IF(BU396="LOSE",1,IF(N(V396)&gt;0,V396,IF(BX396=1,MAX(1,N(VLOOKUP(T396,Parameter!$I$27:$K$29,3,0)),H396,N(N396)),IF(N(Q396)&gt;0,Q396,MAX(1,H396)))))</f>
        <v>52</v>
      </c>
      <c r="BW396" s="53" t="n">
        <f aca="false">IF(BU396="LOSE",1,0)</f>
        <v>0</v>
      </c>
      <c r="BX396" s="53" t="n">
        <f aca="false">IF(AND(U396="",OR(P396="",P396="LOSE"),T396&lt;&gt;"",N(S396)&lt;=0,ISNUMBER(MATCH(T396,Parameter!$I$27:$I$29,0))),1,0)</f>
        <v>0</v>
      </c>
      <c r="BY396" s="53" t="n">
        <f aca="false">IF(CL396&gt;0,INDEX(Parameter!$H$5:$H$7,W396)/INDEX(Parameter!$E$5:$E$7,W396),IF(AND(BW396=0,N(IFERROR(VLOOKUP(BU396,'Gebinde-Kategorie'!$A$5:$N$45,14,0),0))&gt;0),VLOOKUP(BU396,'Gebinde-Kategorie'!$A$5:$N$45,14,0)*10+Parameter!$M$23,Parameter!$M$24))</f>
        <v>155</v>
      </c>
      <c r="BZ396" s="48" t="str">
        <f aca="false">IF(AND(Parameter!$B$19="Ja",E396&lt;&gt;"",ISNUMBER(MATCH(E396,Parameter!$I$35:$I$52,0))),VLOOKUP(E396,Parameter!$I$35:$J$52,2,0),IFERROR(VLOOKUP(D396,Parameter!$A$35:$C$64,2,0),"Nein"))</f>
        <v>2+3</v>
      </c>
      <c r="CA396" s="52" t="n">
        <f aca="false">IF(BW396=0,0,IF(N(S396)&gt;0,S396,IFERROR(VLOOKUP(D396,Parameter!$A$35:$C$64,3,0)+0,0)))</f>
        <v>0</v>
      </c>
      <c r="CB396" s="48" t="n">
        <f aca="false">IF(AA396&lt;&gt;"",AA396,Z396)</f>
        <v>3</v>
      </c>
      <c r="CC396" s="48" t="str">
        <f aca="false">IF(OR(CB396=1,CB396=2,CB396=3),IF(Parameter!$E$27="Ja","LIFT",IF(CB396=1,"L1","L23")),IF(CB396="Aussen","Aussen","-"))</f>
        <v>LIFT</v>
      </c>
      <c r="CD396" s="59" t="n">
        <f aca="false">IF(N(AB396)&gt;0,AB396,0)</f>
        <v>0</v>
      </c>
      <c r="CE396" s="53" t="n">
        <f aca="false">IF(ISNUMBER(AE396),1,0)</f>
        <v>0</v>
      </c>
      <c r="CF396" s="50" t="n">
        <f aca="false">N(AE396)</f>
        <v>0</v>
      </c>
      <c r="CG396" s="50" t="n">
        <f aca="false">N(M396)+N(N396)</f>
        <v>43</v>
      </c>
      <c r="CH396" s="50" t="n">
        <f aca="false">ROUNDUP(H396/BV396,0)</f>
        <v>2</v>
      </c>
      <c r="CI396" s="50" t="n">
        <f aca="false">ROUNDUP(CF396/BV396,0)</f>
        <v>0</v>
      </c>
      <c r="CJ396" s="53" t="n">
        <f aca="false">IF(BW396=1,0,IFERROR(VLOOKUP(BU396,'Gebinde-Kategorie'!$A$5:$N$45,5,0)+0,0))</f>
        <v>8</v>
      </c>
      <c r="CK396" s="53" t="n">
        <f aca="false">IFERROR(IF(OR(CB396=1,CB396=2,CB396=3),N(INDEX(Parameter!$I$5:$I$7,CB396)),0),0)</f>
        <v>0</v>
      </c>
      <c r="CL396" s="52" t="n">
        <f aca="false">IF(AND(Parameter!$B$21="Ja",ISNUMBER(W396),N(X396)&gt;0),IFERROR(N(INDEX(Parameter!$L$5:$L$7,W396))*INDEX(Parameter!$E$5:$E$7,W396)*X396/SUMIFS($X$7:$X$1843,$W$7:$W$1843,W396),0),0)</f>
        <v>0</v>
      </c>
    </row>
    <row r="397" customFormat="false" ht="15" hidden="false" customHeight="false" outlineLevel="0" collapsed="false">
      <c r="A397" s="48" t="s">
        <v>935</v>
      </c>
      <c r="B397" s="48" t="s">
        <v>411</v>
      </c>
      <c r="C397" s="48" t="s">
        <v>168</v>
      </c>
      <c r="D397" s="48" t="s">
        <v>188</v>
      </c>
      <c r="E397" s="48" t="s">
        <v>189</v>
      </c>
      <c r="F397" s="48" t="s">
        <v>222</v>
      </c>
      <c r="G397" s="49" t="n">
        <v>0.15</v>
      </c>
      <c r="H397" s="50" t="n">
        <f aca="false">MAX(0,IF(AND(Parameter!$B$21="Ja",ISNUMBER(Y397)),Y397,IF(Parameter!$B$20="Jahresanfang 2025 + Export",BO397+BN397,BN397)))</f>
        <v>1403</v>
      </c>
      <c r="I397" s="50" t="n">
        <f aca="false">H397*G397</f>
        <v>210.45</v>
      </c>
      <c r="J397" s="50" t="n">
        <f aca="false">BQ397*Parameter!$B$18</f>
        <v>2706</v>
      </c>
      <c r="K397" s="51" t="n">
        <v>656</v>
      </c>
      <c r="L397" s="52" t="n">
        <v>4.125</v>
      </c>
      <c r="M397" s="50" t="n">
        <v>157</v>
      </c>
      <c r="N397" s="50" t="n">
        <v>1000</v>
      </c>
      <c r="O397" s="53" t="n">
        <v>21</v>
      </c>
      <c r="P397" s="48" t="s">
        <v>425</v>
      </c>
      <c r="Q397" s="50" t="n">
        <v>783</v>
      </c>
      <c r="R397" s="53" t="n">
        <f aca="false">IF(BW397=1,0,IFERROR(VLOOKUP(BU397,'Gebinde-Kategorie'!$A$5:$N$45,13,0)+0,0))</f>
        <v>104</v>
      </c>
      <c r="S397" s="54"/>
      <c r="T397" s="55"/>
      <c r="U397" s="55"/>
      <c r="V397" s="55"/>
      <c r="W397" s="48"/>
      <c r="X397" s="50"/>
      <c r="Y397" s="50"/>
      <c r="Z397" s="48" t="n">
        <f aca="false">IF(A397="","",IF(AND(Parameter!$B$21="Ja",ISNUMBER(W397)),W397,IF(BZ397="2+3",IF(ISNUMBER(SEARCH("grosser Artikel",BR397)),2,IFERROR(VLOOKUP(BU397,Parameter!$F$35:$G$64,2,0),2)),IF(OR(BZ397="Nein",BZ397=""),"-",BZ397))))</f>
        <v>3</v>
      </c>
      <c r="AA397" s="55"/>
      <c r="AB397" s="56"/>
      <c r="AC397" s="50" t="n">
        <f aca="false">AT397</f>
        <v>1566</v>
      </c>
      <c r="AD397" s="50" t="n">
        <f aca="false">MAX(AT397,H397)</f>
        <v>1566</v>
      </c>
      <c r="AE397" s="57"/>
      <c r="AF397" s="50" t="n">
        <f aca="false">IF(LEFT(Cockpit!$C$5,1)="A",H397,IF(CE397=1,CF397,IF(LEFT(Cockpit!$C$5,1)="B",AK397,MAX(AK397,H397))))</f>
        <v>1403</v>
      </c>
      <c r="AG397" s="50" t="n">
        <f aca="false">IF(BW397=1,0,ROUNDUP(AF397/BV397,0))</f>
        <v>2</v>
      </c>
      <c r="AH397" s="52" t="n">
        <f aca="false">IF(CL397&gt;0,CL397*MAX(1,AF397/X397),IF(BW397=1,IF(AF397&lt;=0,0,CA397*MAX(1,IF(H397&gt;0,AF397/H397,1))),IF(R397&gt;0,AG397/R397,0))/MAX(0.1,N(Parameter!$M$21)))</f>
        <v>0.0192307692307692</v>
      </c>
      <c r="AI397" s="50" t="n">
        <f aca="false">AH397*BY397</f>
        <v>2.98076923076923</v>
      </c>
      <c r="AJ397" s="50" t="n">
        <f aca="false">AF397*G397</f>
        <v>210.45</v>
      </c>
      <c r="AK397" s="50" t="n">
        <f aca="false">ROUNDUP(MAX(J397/IF(CD397&gt;0,CD397,MAX(0.1,N(Cockpit!$C$6))),CG397)/BV397,0)*BV397</f>
        <v>1566</v>
      </c>
      <c r="AL397" s="51" t="n">
        <f aca="false">IF(AI397&gt;0,J397/AI397,-1)</f>
        <v>907.81935483871</v>
      </c>
      <c r="AM397" s="51" t="n">
        <f aca="false">IF(AND(OR(CC397="L1",CC397="L23",CC397="LIFT"),AI397&gt;0),SUMIFS($AI$7:$AI$1843,$CC$7:$CC$1843,CC397,$AL$7:$AL$1843,"&gt;"&amp;AL397)+SUMIFS($AI$7:$AI$1843,$CC$7:$CC$1843,CC397,$AL$7:$AL$1843,AL397,$BT$7:$BT$1843,"&lt;="&amp;BT397),"")</f>
        <v>18.9917582417582</v>
      </c>
      <c r="AN397" s="58" t="n">
        <f aca="false">IF(AM397="",0,MAX(0,MIN(1,(IF(CC397="L1",Parameter!$H$5,IF(CC397="L23",Parameter!$H$6+Parameter!$H$7,Parameter!$H$5+Parameter!$H$6+Parameter!$H$7))-(AM397-AI397))/AI397)))</f>
        <v>1</v>
      </c>
      <c r="AO397" s="50" t="n">
        <f aca="false">IF(LEFT(Cockpit!$I$5,1)="A",H397,IF(CE397=1,CF397,IF(LEFT(Cockpit!$I$5,1)="B",AT397,MAX(AT397,H397))))</f>
        <v>1566</v>
      </c>
      <c r="AP397" s="50" t="n">
        <f aca="false">IF(BW397=1,0,ROUNDUP(AO397/BV397,0))</f>
        <v>2</v>
      </c>
      <c r="AQ397" s="52" t="n">
        <f aca="false">IF(CL397&gt;0,CL397*MAX(1,AO397/X397),IF(BW397=1,IF(AO397&lt;=0,0,CA397*MAX(1,IF(H397&gt;0,AO397/H397,1))),IF(R397&gt;0,AP397/R397,0))/MAX(0.1,N(Parameter!$M$21)))</f>
        <v>0.0192307692307692</v>
      </c>
      <c r="AR397" s="50" t="n">
        <f aca="false">AQ397*BY397</f>
        <v>2.98076923076923</v>
      </c>
      <c r="AS397" s="50" t="n">
        <f aca="false">AO397*G397</f>
        <v>234.9</v>
      </c>
      <c r="AT397" s="50" t="n">
        <f aca="false">ROUNDUP(MAX(J397/IF(CD397&gt;0,CD397,MAX(0.1,N(Cockpit!$I$6))),CG397)/BV397,0)*BV397</f>
        <v>1566</v>
      </c>
      <c r="AU397" s="51" t="n">
        <f aca="false">IF(AR397&gt;0,J397/AR397,-1)</f>
        <v>907.81935483871</v>
      </c>
      <c r="AV397" s="51" t="n">
        <f aca="false">IF(AND(OR(CC397="L1",CC397="L23",CC397="LIFT"),AR397&gt;0),SUMIFS($AR$7:$AR$1843,$CC$7:$CC$1843,CC397,$AU$7:$AU$1843,"&gt;"&amp;AU397)+SUMIFS($AR$7:$AR$1843,$CC$7:$CC$1843,CC397,$AU$7:$AU$1843,AU397,$BT$7:$BT$1843,"&lt;="&amp;BT397),"")</f>
        <v>9.49587912087912</v>
      </c>
      <c r="AW397" s="58" t="n">
        <f aca="false">IF(AV397="",0,MAX(0,MIN(1,(IF(CC397="L1",Parameter!$H$5,IF(CC397="L23",Parameter!$H$6+Parameter!$H$7,Parameter!$H$5+Parameter!$H$6+Parameter!$H$7))-(AV397-AR397))/AR397)))</f>
        <v>1</v>
      </c>
      <c r="AX397" s="50" t="n">
        <f aca="false">IF(LEFT(Cockpit!$O$5,1)="A",H397,IF(CE397=1,CF397,IF(LEFT(Cockpit!$O$5,1)="B",BC397,MAX(BC397,H397))))</f>
        <v>1566</v>
      </c>
      <c r="AY397" s="50" t="n">
        <f aca="false">IF(BW397=1,0,ROUNDUP(AX397/BV397,0))</f>
        <v>2</v>
      </c>
      <c r="AZ397" s="52" t="n">
        <f aca="false">IF(CL397&gt;0,CL397*MAX(1,AX397/X397),IF(BW397=1,IF(AX397&lt;=0,0,CA397*MAX(1,IF(H397&gt;0,AX397/H397,1))),IF(R397&gt;0,AY397/R397,0))/MAX(0.1,N(Parameter!$M$21)))</f>
        <v>0.0192307692307692</v>
      </c>
      <c r="BA397" s="50" t="n">
        <f aca="false">AZ397*BY397</f>
        <v>2.98076923076923</v>
      </c>
      <c r="BB397" s="50" t="n">
        <f aca="false">AX397*G397</f>
        <v>234.9</v>
      </c>
      <c r="BC397" s="50" t="n">
        <f aca="false">ROUNDUP(MAX(J397/IF(CD397&gt;0,CD397,MAX(0.1,N(Cockpit!$O$6))),CG397)/BV397,0)*BV397</f>
        <v>1566</v>
      </c>
      <c r="BD397" s="51" t="n">
        <f aca="false">IF(BA397&gt;0,J397/BA397,-1)</f>
        <v>907.81935483871</v>
      </c>
      <c r="BE397" s="51" t="n">
        <f aca="false">IF(AND(OR(CC397="L1",CC397="L23",CC397="LIFT"),BA397&gt;0),SUMIFS($BA$7:$BA$1843,$CC$7:$CC$1843,CC397,$BD$7:$BD$1843,"&gt;"&amp;BD397)+SUMIFS($BA$7:$BA$1843,$CC$7:$CC$1843,CC397,$BD$7:$BD$1843,BD397,$BT$7:$BT$1843,"&lt;="&amp;BT397),"")</f>
        <v>9.49587912087912</v>
      </c>
      <c r="BF397" s="58" t="n">
        <f aca="false">IF(BE397="",0,MAX(0,MIN(1,(IF(CC397="L1",Parameter!$H$5,IF(CC397="L23",Parameter!$H$6+Parameter!$H$7,Parameter!$H$5+Parameter!$H$6+Parameter!$H$7))-(BE397-BA397))/BA397)))</f>
        <v>1</v>
      </c>
      <c r="BG397" s="48" t="str">
        <f aca="false">IF(AI397&lt;=0,"",IF(CC397="Aussen","Aussenlager",IF(CC397="-","Nicht im Lift",IF(AN397&gt;=1,"Lift",IF(AN397&lt;=0,"Aussenlager","teilweise")))))</f>
        <v>Lift</v>
      </c>
      <c r="BH397" s="48" t="str">
        <f aca="false">IF(AR397&lt;=0,"",IF(CC397="Aussen","Aussenlager",IF(CC397="-","Nicht im Lift",IF(AW397&gt;=1,"Lift",IF(AW397&lt;=0,"Aussenlager","teilweise")))))</f>
        <v>Lift</v>
      </c>
      <c r="BI397" s="48" t="str">
        <f aca="false">IF(BA397&lt;=0,"",IF(CC397="Aussen","Aussenlager",IF(CC397="-","Nicht im Lift",IF(BF397&gt;=1,"Lift",IF(BF397&lt;=0,"Aussenlager","teilweise")))))</f>
        <v>Lift</v>
      </c>
      <c r="BJ397" s="48" t="str">
        <f aca="false">IF(A397="","",IF(BS397=1,"Neu; ","")&amp;IF(AND(BS397=0,BN397&lt;0),"negativer Bestand (Export "&amp;BN397&amp;"); ","")&amp;IF(J397&lt;=0,"Kein Verbrauch; ","")&amp;IF(CL397&gt;0,"Lift "&amp;W397&amp;" lt. Liftbericht (Fach "&amp;X397&amp;" Stk); ",IF(BX397=1,"Gebinde geschätzt ("&amp;T397&amp;"); ",IF(BW397=1,"Lose – Tablare geschätzt; ","")))&amp;IF(H397&gt;AT397,"Überbestand "&amp;ROUND(H397-AT397,0)&amp;" Stk / CHF "&amp;ROUND((H397-AT397)*G397,0)&amp;"; ","")&amp;IF(AND(CE397=1,CF397&lt;CG397),"MAX &lt; MB+LG; ","")&amp;IF(AND(CK397&gt;0,CJ397*10&gt;CK397),"zu hoch für Tablar; ","")&amp;IF(AND(BS397=0,OR(CE397=1,AA397&lt;&gt;"",U397&lt;&gt;"",V397&lt;&gt;"",AB397&lt;&gt;"")),"manuell übersteuert; ","")&amp;IF(AND(BW397=0,R397=0),"Gebinde unbekannt / Stellmass fehlt; ","")&amp;IF(AND(BW397=0,N(V397)&lt;=0,N(Q397)&lt;=0),"Menge pro Gebinde fehlt (Ist = 1 Gebinde); ","")&amp;BR397)</f>
        <v/>
      </c>
      <c r="BK397" s="48"/>
      <c r="BL397" s="48"/>
      <c r="BM397" s="55"/>
      <c r="BN397" s="50" t="n">
        <v>708</v>
      </c>
      <c r="BO397" s="50" t="n">
        <v>695</v>
      </c>
      <c r="BP397" s="49" t="n">
        <v>113.07</v>
      </c>
      <c r="BQ397" s="50" t="n">
        <v>2706</v>
      </c>
      <c r="BR397" s="48"/>
      <c r="BS397" s="53" t="n">
        <v>0</v>
      </c>
      <c r="BT397" s="53" t="n">
        <v>397</v>
      </c>
      <c r="BU397" s="48" t="str">
        <f aca="false">IF(U397&lt;&gt;"",UPPER(TRIM(U397)),IF(BX397=1,UPPER(VLOOKUP(T397,Parameter!$I$27:$K$29,2,0)),IF(P397="","LOSE",P397)))</f>
        <v>S32</v>
      </c>
      <c r="BV397" s="50" t="n">
        <f aca="false">IF(BU397="LOSE",1,IF(N(V397)&gt;0,V397,IF(BX397=1,MAX(1,N(VLOOKUP(T397,Parameter!$I$27:$K$29,3,0)),H397,N(N397)),IF(N(Q397)&gt;0,Q397,MAX(1,H397)))))</f>
        <v>783</v>
      </c>
      <c r="BW397" s="53" t="n">
        <f aca="false">IF(BU397="LOSE",1,0)</f>
        <v>0</v>
      </c>
      <c r="BX397" s="53" t="n">
        <f aca="false">IF(AND(U397="",OR(P397="",P397="LOSE"),T397&lt;&gt;"",N(S397)&lt;=0,ISNUMBER(MATCH(T397,Parameter!$I$27:$I$29,0))),1,0)</f>
        <v>0</v>
      </c>
      <c r="BY397" s="53" t="n">
        <f aca="false">IF(CL397&gt;0,INDEX(Parameter!$H$5:$H$7,W397)/INDEX(Parameter!$E$5:$E$7,W397),IF(AND(BW397=0,N(IFERROR(VLOOKUP(BU397,'Gebinde-Kategorie'!$A$5:$N$45,14,0),0))&gt;0),VLOOKUP(BU397,'Gebinde-Kategorie'!$A$5:$N$45,14,0)*10+Parameter!$M$23,Parameter!$M$24))</f>
        <v>155</v>
      </c>
      <c r="BZ397" s="48" t="str">
        <f aca="false">IF(AND(Parameter!$B$19="Ja",E397&lt;&gt;"",ISNUMBER(MATCH(E397,Parameter!$I$35:$I$52,0))),VLOOKUP(E397,Parameter!$I$35:$J$52,2,0),IFERROR(VLOOKUP(D397,Parameter!$A$35:$C$64,2,0),"Nein"))</f>
        <v>2+3</v>
      </c>
      <c r="CA397" s="52" t="n">
        <f aca="false">IF(BW397=0,0,IF(N(S397)&gt;0,S397,IFERROR(VLOOKUP(D397,Parameter!$A$35:$C$64,3,0)+0,0)))</f>
        <v>0</v>
      </c>
      <c r="CB397" s="48" t="n">
        <f aca="false">IF(AA397&lt;&gt;"",AA397,Z397)</f>
        <v>3</v>
      </c>
      <c r="CC397" s="48" t="str">
        <f aca="false">IF(OR(CB397=1,CB397=2,CB397=3),IF(Parameter!$E$27="Ja","LIFT",IF(CB397=1,"L1","L23")),IF(CB397="Aussen","Aussen","-"))</f>
        <v>LIFT</v>
      </c>
      <c r="CD397" s="59" t="n">
        <f aca="false">IF(N(AB397)&gt;0,AB397,0)</f>
        <v>0</v>
      </c>
      <c r="CE397" s="53" t="n">
        <f aca="false">IF(ISNUMBER(AE397),1,0)</f>
        <v>0</v>
      </c>
      <c r="CF397" s="50" t="n">
        <f aca="false">N(AE397)</f>
        <v>0</v>
      </c>
      <c r="CG397" s="50" t="n">
        <f aca="false">N(M397)+N(N397)</f>
        <v>1157</v>
      </c>
      <c r="CH397" s="50" t="n">
        <f aca="false">ROUNDUP(H397/BV397,0)</f>
        <v>2</v>
      </c>
      <c r="CI397" s="50" t="n">
        <f aca="false">ROUNDUP(CF397/BV397,0)</f>
        <v>0</v>
      </c>
      <c r="CJ397" s="53" t="n">
        <f aca="false">IF(BW397=1,0,IFERROR(VLOOKUP(BU397,'Gebinde-Kategorie'!$A$5:$N$45,5,0)+0,0))</f>
        <v>8</v>
      </c>
      <c r="CK397" s="53" t="n">
        <f aca="false">IFERROR(IF(OR(CB397=1,CB397=2,CB397=3),N(INDEX(Parameter!$I$5:$I$7,CB397)),0),0)</f>
        <v>0</v>
      </c>
      <c r="CL397" s="52" t="n">
        <f aca="false">IF(AND(Parameter!$B$21="Ja",ISNUMBER(W397),N(X397)&gt;0),IFERROR(N(INDEX(Parameter!$L$5:$L$7,W397))*INDEX(Parameter!$E$5:$E$7,W397)*X397/SUMIFS($X$7:$X$1843,$W$7:$W$1843,W397),0),0)</f>
        <v>0</v>
      </c>
    </row>
    <row r="398" customFormat="false" ht="15" hidden="false" customHeight="false" outlineLevel="0" collapsed="false">
      <c r="A398" s="48" t="s">
        <v>936</v>
      </c>
      <c r="B398" s="48" t="s">
        <v>937</v>
      </c>
      <c r="C398" s="48" t="s">
        <v>168</v>
      </c>
      <c r="D398" s="48" t="s">
        <v>188</v>
      </c>
      <c r="E398" s="48"/>
      <c r="F398" s="48" t="s">
        <v>222</v>
      </c>
      <c r="G398" s="49" t="n">
        <v>28.08</v>
      </c>
      <c r="H398" s="50" t="n">
        <f aca="false">MAX(0,IF(AND(Parameter!$B$21="Ja",ISNUMBER(Y398)),Y398,IF(Parameter!$B$20="Jahresanfang 2025 + Export",BO398+BN398,BN398)))</f>
        <v>4</v>
      </c>
      <c r="I398" s="50" t="n">
        <f aca="false">H398*G398</f>
        <v>112.32</v>
      </c>
      <c r="J398" s="50" t="n">
        <f aca="false">BQ398*Parameter!$B$18</f>
        <v>0</v>
      </c>
      <c r="K398" s="51" t="n">
        <v>2</v>
      </c>
      <c r="L398" s="52" t="n">
        <v>0</v>
      </c>
      <c r="M398" s="50" t="n">
        <v>1</v>
      </c>
      <c r="N398" s="50" t="n">
        <v>4</v>
      </c>
      <c r="O398" s="53" t="n">
        <v>14</v>
      </c>
      <c r="P398" s="48" t="s">
        <v>172</v>
      </c>
      <c r="Q398" s="50"/>
      <c r="R398" s="53" t="n">
        <f aca="false">IF(BW398=1,0,IFERROR(VLOOKUP(BU398,'Gebinde-Kategorie'!$A$5:$N$45,13,0)+0,0))</f>
        <v>26</v>
      </c>
      <c r="S398" s="54"/>
      <c r="T398" s="55" t="s">
        <v>279</v>
      </c>
      <c r="U398" s="55"/>
      <c r="V398" s="55"/>
      <c r="W398" s="48"/>
      <c r="X398" s="50"/>
      <c r="Y398" s="50"/>
      <c r="Z398" s="48" t="n">
        <f aca="false">IF(A398="","",IF(AND(Parameter!$B$21="Ja",ISNUMBER(W398)),W398,IF(BZ398="2+3",IF(ISNUMBER(SEARCH("grosser Artikel",BR398)),2,IFERROR(VLOOKUP(BU398,Parameter!$F$35:$G$64,2,0),2)),IF(OR(BZ398="Nein",BZ398=""),"-",BZ398))))</f>
        <v>3</v>
      </c>
      <c r="AA398" s="55"/>
      <c r="AB398" s="56"/>
      <c r="AC398" s="50" t="n">
        <f aca="false">AT398</f>
        <v>20</v>
      </c>
      <c r="AD398" s="50" t="n">
        <f aca="false">MAX(AT398,H398)</f>
        <v>20</v>
      </c>
      <c r="AE398" s="57"/>
      <c r="AF398" s="50" t="n">
        <f aca="false">IF(LEFT(Cockpit!$C$5,1)="A",H398,IF(CE398=1,CF398,IF(LEFT(Cockpit!$C$5,1)="B",AK398,MAX(AK398,H398))))</f>
        <v>4</v>
      </c>
      <c r="AG398" s="50" t="n">
        <f aca="false">IF(BW398=1,0,ROUNDUP(AF398/BV398,0))</f>
        <v>1</v>
      </c>
      <c r="AH398" s="52" t="n">
        <f aca="false">IF(CL398&gt;0,CL398*MAX(1,AF398/X398),IF(BW398=1,IF(AF398&lt;=0,0,CA398*MAX(1,IF(H398&gt;0,AF398/H398,1))),IF(R398&gt;0,AG398/R398,0))/MAX(0.1,N(Parameter!$M$21)))</f>
        <v>0.0384615384615385</v>
      </c>
      <c r="AI398" s="50" t="n">
        <f aca="false">AH398*BY398</f>
        <v>5.96153846153846</v>
      </c>
      <c r="AJ398" s="50" t="n">
        <f aca="false">AF398*G398</f>
        <v>112.32</v>
      </c>
      <c r="AK398" s="50" t="n">
        <f aca="false">ROUNDUP(MAX(J398/IF(CD398&gt;0,CD398,MAX(0.1,N(Cockpit!$C$6))),CG398)/BV398,0)*BV398</f>
        <v>20</v>
      </c>
      <c r="AL398" s="51" t="n">
        <f aca="false">IF(AI398&gt;0,J398/AI398,-1)</f>
        <v>0</v>
      </c>
      <c r="AM398" s="51" t="n">
        <f aca="false">IF(AND(OR(CC398="L1",CC398="L23",CC398="LIFT"),AI398&gt;0),SUMIFS($AI$7:$AI$1843,$CC$7:$CC$1843,CC398,$AL$7:$AL$1843,"&gt;"&amp;AL398)+SUMIFS($AI$7:$AI$1843,$CC$7:$CC$1843,CC398,$AL$7:$AL$1843,AL398,$BT$7:$BT$1843,"&lt;="&amp;BT398),"")</f>
        <v>28068.1865234577</v>
      </c>
      <c r="AN398" s="58" t="n">
        <f aca="false">IF(AM398="",0,MAX(0,MIN(1,(IF(CC398="L1",Parameter!$H$5,IF(CC398="L23",Parameter!$H$6+Parameter!$H$7,Parameter!$H$5+Parameter!$H$6+Parameter!$H$7))-(AM398-AI398))/AI398)))</f>
        <v>1</v>
      </c>
      <c r="AO398" s="50" t="n">
        <f aca="false">IF(LEFT(Cockpit!$I$5,1)="A",H398,IF(CE398=1,CF398,IF(LEFT(Cockpit!$I$5,1)="B",AT398,MAX(AT398,H398))))</f>
        <v>20</v>
      </c>
      <c r="AP398" s="50" t="n">
        <f aca="false">IF(BW398=1,0,ROUNDUP(AO398/BV398,0))</f>
        <v>1</v>
      </c>
      <c r="AQ398" s="52" t="n">
        <f aca="false">IF(CL398&gt;0,CL398*MAX(1,AO398/X398),IF(BW398=1,IF(AO398&lt;=0,0,CA398*MAX(1,IF(H398&gt;0,AO398/H398,1))),IF(R398&gt;0,AP398/R398,0))/MAX(0.1,N(Parameter!$M$21)))</f>
        <v>0.0384615384615385</v>
      </c>
      <c r="AR398" s="50" t="n">
        <f aca="false">AQ398*BY398</f>
        <v>5.96153846153846</v>
      </c>
      <c r="AS398" s="50" t="n">
        <f aca="false">AO398*G398</f>
        <v>561.6</v>
      </c>
      <c r="AT398" s="50" t="n">
        <f aca="false">ROUNDUP(MAX(J398/IF(CD398&gt;0,CD398,MAX(0.1,N(Cockpit!$I$6))),CG398)/BV398,0)*BV398</f>
        <v>20</v>
      </c>
      <c r="AU398" s="51" t="n">
        <f aca="false">IF(AR398&gt;0,J398/AR398,-1)</f>
        <v>0</v>
      </c>
      <c r="AV398" s="51" t="n">
        <f aca="false">IF(AND(OR(CC398="L1",CC398="L23",CC398="LIFT"),AR398&gt;0),SUMIFS($AR$7:$AR$1843,$CC$7:$CC$1843,CC398,$AU$7:$AU$1843,"&gt;"&amp;AU398)+SUMIFS($AR$7:$AR$1843,$CC$7:$CC$1843,CC398,$AU$7:$AU$1843,AU398,$BT$7:$BT$1843,"&lt;="&amp;BT398),"")</f>
        <v>39381.0920407276</v>
      </c>
      <c r="AW398" s="58" t="n">
        <f aca="false">IF(AV398="",0,MAX(0,MIN(1,(IF(CC398="L1",Parameter!$H$5,IF(CC398="L23",Parameter!$H$6+Parameter!$H$7,Parameter!$H$5+Parameter!$H$6+Parameter!$H$7))-(AV398-AR398))/AR398)))</f>
        <v>0</v>
      </c>
      <c r="AX398" s="50" t="n">
        <f aca="false">IF(LEFT(Cockpit!$O$5,1)="A",H398,IF(CE398=1,CF398,IF(LEFT(Cockpit!$O$5,1)="B",BC398,MAX(BC398,H398))))</f>
        <v>20</v>
      </c>
      <c r="AY398" s="50" t="n">
        <f aca="false">IF(BW398=1,0,ROUNDUP(AX398/BV398,0))</f>
        <v>1</v>
      </c>
      <c r="AZ398" s="52" t="n">
        <f aca="false">IF(CL398&gt;0,CL398*MAX(1,AX398/X398),IF(BW398=1,IF(AX398&lt;=0,0,CA398*MAX(1,IF(H398&gt;0,AX398/H398,1))),IF(R398&gt;0,AY398/R398,0))/MAX(0.1,N(Parameter!$M$21)))</f>
        <v>0.0384615384615385</v>
      </c>
      <c r="BA398" s="50" t="n">
        <f aca="false">AZ398*BY398</f>
        <v>5.96153846153846</v>
      </c>
      <c r="BB398" s="50" t="n">
        <f aca="false">AX398*G398</f>
        <v>561.6</v>
      </c>
      <c r="BC398" s="50" t="n">
        <f aca="false">ROUNDUP(MAX(J398/IF(CD398&gt;0,CD398,MAX(0.1,N(Cockpit!$O$6))),CG398)/BV398,0)*BV398</f>
        <v>20</v>
      </c>
      <c r="BD398" s="51" t="n">
        <f aca="false">IF(BA398&gt;0,J398/BA398,-1)</f>
        <v>0</v>
      </c>
      <c r="BE398" s="51" t="n">
        <f aca="false">IF(AND(OR(CC398="L1",CC398="L23",CC398="LIFT"),BA398&gt;0),SUMIFS($BA$7:$BA$1843,$CC$7:$CC$1843,CC398,$BD$7:$BD$1843,"&gt;"&amp;BD398)+SUMIFS($BA$7:$BA$1843,$CC$7:$CC$1843,CC398,$BD$7:$BD$1843,BD398,$BT$7:$BT$1843,"&lt;="&amp;BT398),"")</f>
        <v>36056.1040825935</v>
      </c>
      <c r="BF398" s="58" t="n">
        <f aca="false">IF(BE398="",0,MAX(0,MIN(1,(IF(CC398="L1",Parameter!$H$5,IF(CC398="L23",Parameter!$H$6+Parameter!$H$7,Parameter!$H$5+Parameter!$H$6+Parameter!$H$7))-(BE398-BA398))/BA398)))</f>
        <v>0</v>
      </c>
      <c r="BG398" s="48" t="str">
        <f aca="false">IF(AI398&lt;=0,"",IF(CC398="Aussen","Aussenlager",IF(CC398="-","Nicht im Lift",IF(AN398&gt;=1,"Lift",IF(AN398&lt;=0,"Aussenlager","teilweise")))))</f>
        <v>Lift</v>
      </c>
      <c r="BH398" s="48" t="str">
        <f aca="false">IF(AR398&lt;=0,"",IF(CC398="Aussen","Aussenlager",IF(CC398="-","Nicht im Lift",IF(AW398&gt;=1,"Lift",IF(AW398&lt;=0,"Aussenlager","teilweise")))))</f>
        <v>Aussenlager</v>
      </c>
      <c r="BI398" s="48" t="str">
        <f aca="false">IF(BA398&lt;=0,"",IF(CC398="Aussen","Aussenlager",IF(CC398="-","Nicht im Lift",IF(BF398&gt;=1,"Lift",IF(BF398&lt;=0,"Aussenlager","teilweise")))))</f>
        <v>Aussenlager</v>
      </c>
      <c r="BJ398" s="48" t="str">
        <f aca="false">IF(A398="","",IF(BS398=1,"Neu; ","")&amp;IF(AND(BS398=0,BN398&lt;0),"negativer Bestand (Export "&amp;BN398&amp;"); ","")&amp;IF(J398&lt;=0,"Kein Verbrauch; ","")&amp;IF(CL398&gt;0,"Lift "&amp;W398&amp;" lt. Liftbericht (Fach "&amp;X398&amp;" Stk); ",IF(BX398=1,"Gebinde geschätzt ("&amp;T398&amp;"); ",IF(BW398=1,"Lose – Tablare geschätzt; ","")))&amp;IF(H398&gt;AT398,"Überbestand "&amp;ROUND(H398-AT398,0)&amp;" Stk / CHF "&amp;ROUND((H398-AT398)*G398,0)&amp;"; ","")&amp;IF(AND(CE398=1,CF398&lt;CG398),"MAX &lt; MB+LG; ","")&amp;IF(AND(CK398&gt;0,CJ398*10&gt;CK398),"zu hoch für Tablar; ","")&amp;IF(AND(BS398=0,OR(CE398=1,AA398&lt;&gt;"",U398&lt;&gt;"",V398&lt;&gt;"",AB398&lt;&gt;"")),"manuell übersteuert; ","")&amp;IF(AND(BW398=0,R398=0),"Gebinde unbekannt / Stellmass fehlt; ","")&amp;IF(AND(BW398=0,N(V398)&lt;=0,N(Q398)&lt;=0),"Menge pro Gebinde fehlt (Ist = 1 Gebinde); ","")&amp;BR398)</f>
        <v>Kein Verbrauch; Gebinde geschätzt (Klein); Menge pro Gebinde fehlt (Ist = 1 Gebinde); </v>
      </c>
      <c r="BK398" s="48"/>
      <c r="BL398" s="48"/>
      <c r="BM398" s="55"/>
      <c r="BN398" s="50" t="n">
        <v>4</v>
      </c>
      <c r="BO398" s="50" t="n">
        <v>0</v>
      </c>
      <c r="BP398" s="49" t="n">
        <v>112.32</v>
      </c>
      <c r="BQ398" s="50" t="n">
        <v>0</v>
      </c>
      <c r="BR398" s="48"/>
      <c r="BS398" s="53" t="n">
        <v>0</v>
      </c>
      <c r="BT398" s="53" t="n">
        <v>398</v>
      </c>
      <c r="BU398" s="48" t="str">
        <f aca="false">IF(U398&lt;&gt;"",UPPER(TRIM(U398)),IF(BX398=1,UPPER(VLOOKUP(T398,Parameter!$I$27:$K$29,2,0)),IF(P398="","LOSE",P398)))</f>
        <v>S51</v>
      </c>
      <c r="BV398" s="50" t="n">
        <f aca="false">IF(BU398="LOSE",1,IF(N(V398)&gt;0,V398,IF(BX398=1,MAX(1,N(VLOOKUP(T398,Parameter!$I$27:$K$29,3,0)),H398,N(N398)),IF(N(Q398)&gt;0,Q398,MAX(1,H398)))))</f>
        <v>20</v>
      </c>
      <c r="BW398" s="53" t="n">
        <f aca="false">IF(BU398="LOSE",1,0)</f>
        <v>0</v>
      </c>
      <c r="BX398" s="53" t="n">
        <f aca="false">IF(AND(U398="",OR(P398="",P398="LOSE"),T398&lt;&gt;"",N(S398)&lt;=0,ISNUMBER(MATCH(T398,Parameter!$I$27:$I$29,0))),1,0)</f>
        <v>1</v>
      </c>
      <c r="BY398" s="53" t="n">
        <f aca="false">IF(CL398&gt;0,INDEX(Parameter!$H$5:$H$7,W398)/INDEX(Parameter!$E$5:$E$7,W398),IF(AND(BW398=0,N(IFERROR(VLOOKUP(BU398,'Gebinde-Kategorie'!$A$5:$N$45,14,0),0))&gt;0),VLOOKUP(BU398,'Gebinde-Kategorie'!$A$5:$N$45,14,0)*10+Parameter!$M$23,Parameter!$M$24))</f>
        <v>155</v>
      </c>
      <c r="BZ398" s="48" t="str">
        <f aca="false">IF(AND(Parameter!$B$19="Ja",E398&lt;&gt;"",ISNUMBER(MATCH(E398,Parameter!$I$35:$I$52,0))),VLOOKUP(E398,Parameter!$I$35:$J$52,2,0),IFERROR(VLOOKUP(D398,Parameter!$A$35:$C$64,2,0),"Nein"))</f>
        <v>2+3</v>
      </c>
      <c r="CA398" s="52" t="n">
        <f aca="false">IF(BW398=0,0,IF(N(S398)&gt;0,S398,IFERROR(VLOOKUP(D398,Parameter!$A$35:$C$64,3,0)+0,0)))</f>
        <v>0</v>
      </c>
      <c r="CB398" s="48" t="n">
        <f aca="false">IF(AA398&lt;&gt;"",AA398,Z398)</f>
        <v>3</v>
      </c>
      <c r="CC398" s="48" t="str">
        <f aca="false">IF(OR(CB398=1,CB398=2,CB398=3),IF(Parameter!$E$27="Ja","LIFT",IF(CB398=1,"L1","L23")),IF(CB398="Aussen","Aussen","-"))</f>
        <v>LIFT</v>
      </c>
      <c r="CD398" s="59" t="n">
        <f aca="false">IF(N(AB398)&gt;0,AB398,0)</f>
        <v>0</v>
      </c>
      <c r="CE398" s="53" t="n">
        <f aca="false">IF(ISNUMBER(AE398),1,0)</f>
        <v>0</v>
      </c>
      <c r="CF398" s="50" t="n">
        <f aca="false">N(AE398)</f>
        <v>0</v>
      </c>
      <c r="CG398" s="50" t="n">
        <f aca="false">N(M398)+N(N398)</f>
        <v>5</v>
      </c>
      <c r="CH398" s="50" t="n">
        <f aca="false">ROUNDUP(H398/BV398,0)</f>
        <v>1</v>
      </c>
      <c r="CI398" s="50" t="n">
        <f aca="false">ROUNDUP(CF398/BV398,0)</f>
        <v>0</v>
      </c>
      <c r="CJ398" s="53" t="n">
        <f aca="false">IF(BW398=1,0,IFERROR(VLOOKUP(BU398,'Gebinde-Kategorie'!$A$5:$N$45,5,0)+0,0))</f>
        <v>11</v>
      </c>
      <c r="CK398" s="53" t="n">
        <f aca="false">IFERROR(IF(OR(CB398=1,CB398=2,CB398=3),N(INDEX(Parameter!$I$5:$I$7,CB398)),0),0)</f>
        <v>0</v>
      </c>
      <c r="CL398" s="52" t="n">
        <f aca="false">IF(AND(Parameter!$B$21="Ja",ISNUMBER(W398),N(X398)&gt;0),IFERROR(N(INDEX(Parameter!$L$5:$L$7,W398))*INDEX(Parameter!$E$5:$E$7,W398)*X398/SUMIFS($X$7:$X$1843,$W$7:$W$1843,W398),0),0)</f>
        <v>0</v>
      </c>
    </row>
    <row r="399" customFormat="false" ht="15" hidden="false" customHeight="false" outlineLevel="0" collapsed="false">
      <c r="A399" s="48" t="s">
        <v>938</v>
      </c>
      <c r="B399" s="48" t="s">
        <v>740</v>
      </c>
      <c r="C399" s="48" t="s">
        <v>168</v>
      </c>
      <c r="D399" s="48" t="s">
        <v>177</v>
      </c>
      <c r="E399" s="48"/>
      <c r="F399" s="48" t="s">
        <v>222</v>
      </c>
      <c r="G399" s="49" t="n">
        <v>37.2</v>
      </c>
      <c r="H399" s="50" t="n">
        <f aca="false">MAX(0,IF(AND(Parameter!$B$21="Ja",ISNUMBER(Y399)),Y399,IF(Parameter!$B$20="Jahresanfang 2025 + Export",BO399+BN399,BN399)))</f>
        <v>7</v>
      </c>
      <c r="I399" s="50" t="n">
        <f aca="false">H399*G399</f>
        <v>260.4</v>
      </c>
      <c r="J399" s="50" t="n">
        <f aca="false">BQ399*Parameter!$B$18</f>
        <v>0</v>
      </c>
      <c r="K399" s="51" t="n">
        <v>5.5</v>
      </c>
      <c r="L399" s="52" t="n">
        <v>0</v>
      </c>
      <c r="M399" s="50" t="n">
        <v>4</v>
      </c>
      <c r="N399" s="50" t="n">
        <v>1</v>
      </c>
      <c r="O399" s="53" t="n">
        <v>35</v>
      </c>
      <c r="P399" s="48" t="s">
        <v>172</v>
      </c>
      <c r="Q399" s="50"/>
      <c r="R399" s="53" t="n">
        <f aca="false">IF(BW399=1,0,IFERROR(VLOOKUP(BU399,'Gebinde-Kategorie'!$A$5:$N$45,13,0)+0,0))</f>
        <v>12</v>
      </c>
      <c r="S399" s="54"/>
      <c r="T399" s="55" t="s">
        <v>183</v>
      </c>
      <c r="U399" s="55"/>
      <c r="V399" s="55"/>
      <c r="W399" s="48"/>
      <c r="X399" s="50"/>
      <c r="Y399" s="50"/>
      <c r="Z399" s="48" t="n">
        <f aca="false">IF(A399="","",IF(AND(Parameter!$B$21="Ja",ISNUMBER(W399)),W399,IF(BZ399="2+3",IF(ISNUMBER(SEARCH("grosser Artikel",BR399)),2,IFERROR(VLOOKUP(BU399,Parameter!$F$35:$G$64,2,0),2)),IF(OR(BZ399="Nein",BZ399=""),"-",BZ399))))</f>
        <v>2</v>
      </c>
      <c r="AA399" s="55"/>
      <c r="AB399" s="56"/>
      <c r="AC399" s="50" t="n">
        <f aca="false">AT399</f>
        <v>7</v>
      </c>
      <c r="AD399" s="50" t="n">
        <f aca="false">MAX(AT399,H399)</f>
        <v>7</v>
      </c>
      <c r="AE399" s="57"/>
      <c r="AF399" s="50" t="n">
        <f aca="false">IF(LEFT(Cockpit!$C$5,1)="A",H399,IF(CE399=1,CF399,IF(LEFT(Cockpit!$C$5,1)="B",AK399,MAX(AK399,H399))))</f>
        <v>7</v>
      </c>
      <c r="AG399" s="50" t="n">
        <f aca="false">IF(BW399=1,0,ROUNDUP(AF399/BV399,0))</f>
        <v>1</v>
      </c>
      <c r="AH399" s="52" t="n">
        <f aca="false">IF(CL399&gt;0,CL399*MAX(1,AF399/X399),IF(BW399=1,IF(AF399&lt;=0,0,CA399*MAX(1,IF(H399&gt;0,AF399/H399,1))),IF(R399&gt;0,AG399/R399,0))/MAX(0.1,N(Parameter!$M$21)))</f>
        <v>0.0833333333333333</v>
      </c>
      <c r="AI399" s="50" t="n">
        <f aca="false">AH399*BY399</f>
        <v>12.0833333333333</v>
      </c>
      <c r="AJ399" s="50" t="n">
        <f aca="false">AF399*G399</f>
        <v>260.4</v>
      </c>
      <c r="AK399" s="50" t="n">
        <f aca="false">ROUNDUP(MAX(J399/IF(CD399&gt;0,CD399,MAX(0.1,N(Cockpit!$C$6))),CG399)/BV399,0)*BV399</f>
        <v>7</v>
      </c>
      <c r="AL399" s="51" t="n">
        <f aca="false">IF(AI399&gt;0,J399/AI399,-1)</f>
        <v>0</v>
      </c>
      <c r="AM399" s="51" t="n">
        <f aca="false">IF(AND(OR(CC399="L1",CC399="L23",CC399="LIFT"),AI399&gt;0),SUMIFS($AI$7:$AI$1843,$CC$7:$CC$1843,CC399,$AL$7:$AL$1843,"&gt;"&amp;AL399)+SUMIFS($AI$7:$AI$1843,$CC$7:$CC$1843,CC399,$AL$7:$AL$1843,AL399,$BT$7:$BT$1843,"&lt;="&amp;BT399),"")</f>
        <v>28080.269856791</v>
      </c>
      <c r="AN399" s="58" t="n">
        <f aca="false">IF(AM399="",0,MAX(0,MIN(1,(IF(CC399="L1",Parameter!$H$5,IF(CC399="L23",Parameter!$H$6+Parameter!$H$7,Parameter!$H$5+Parameter!$H$6+Parameter!$H$7))-(AM399-AI399))/AI399)))</f>
        <v>1</v>
      </c>
      <c r="AO399" s="50" t="n">
        <f aca="false">IF(LEFT(Cockpit!$I$5,1)="A",H399,IF(CE399=1,CF399,IF(LEFT(Cockpit!$I$5,1)="B",AT399,MAX(AT399,H399))))</f>
        <v>7</v>
      </c>
      <c r="AP399" s="50" t="n">
        <f aca="false">IF(BW399=1,0,ROUNDUP(AO399/BV399,0))</f>
        <v>1</v>
      </c>
      <c r="AQ399" s="52" t="n">
        <f aca="false">IF(CL399&gt;0,CL399*MAX(1,AO399/X399),IF(BW399=1,IF(AO399&lt;=0,0,CA399*MAX(1,IF(H399&gt;0,AO399/H399,1))),IF(R399&gt;0,AP399/R399,0))/MAX(0.1,N(Parameter!$M$21)))</f>
        <v>0.0833333333333333</v>
      </c>
      <c r="AR399" s="50" t="n">
        <f aca="false">AQ399*BY399</f>
        <v>12.0833333333333</v>
      </c>
      <c r="AS399" s="50" t="n">
        <f aca="false">AO399*G399</f>
        <v>260.4</v>
      </c>
      <c r="AT399" s="50" t="n">
        <f aca="false">ROUNDUP(MAX(J399/IF(CD399&gt;0,CD399,MAX(0.1,N(Cockpit!$I$6))),CG399)/BV399,0)*BV399</f>
        <v>7</v>
      </c>
      <c r="AU399" s="51" t="n">
        <f aca="false">IF(AR399&gt;0,J399/AR399,-1)</f>
        <v>0</v>
      </c>
      <c r="AV399" s="51" t="n">
        <f aca="false">IF(AND(OR(CC399="L1",CC399="L23",CC399="LIFT"),AR399&gt;0),SUMIFS($AR$7:$AR$1843,$CC$7:$CC$1843,CC399,$AU$7:$AU$1843,"&gt;"&amp;AU399)+SUMIFS($AR$7:$AR$1843,$CC$7:$CC$1843,CC399,$AU$7:$AU$1843,AU399,$BT$7:$BT$1843,"&lt;="&amp;BT399),"")</f>
        <v>39393.175374061</v>
      </c>
      <c r="AW399" s="58" t="n">
        <f aca="false">IF(AV399="",0,MAX(0,MIN(1,(IF(CC399="L1",Parameter!$H$5,IF(CC399="L23",Parameter!$H$6+Parameter!$H$7,Parameter!$H$5+Parameter!$H$6+Parameter!$H$7))-(AV399-AR399))/AR399)))</f>
        <v>0</v>
      </c>
      <c r="AX399" s="50" t="n">
        <f aca="false">IF(LEFT(Cockpit!$O$5,1)="A",H399,IF(CE399=1,CF399,IF(LEFT(Cockpit!$O$5,1)="B",BC399,MAX(BC399,H399))))</f>
        <v>7</v>
      </c>
      <c r="AY399" s="50" t="n">
        <f aca="false">IF(BW399=1,0,ROUNDUP(AX399/BV399,0))</f>
        <v>1</v>
      </c>
      <c r="AZ399" s="52" t="n">
        <f aca="false">IF(CL399&gt;0,CL399*MAX(1,AX399/X399),IF(BW399=1,IF(AX399&lt;=0,0,CA399*MAX(1,IF(H399&gt;0,AX399/H399,1))),IF(R399&gt;0,AY399/R399,0))/MAX(0.1,N(Parameter!$M$21)))</f>
        <v>0.0833333333333333</v>
      </c>
      <c r="BA399" s="50" t="n">
        <f aca="false">AZ399*BY399</f>
        <v>12.0833333333333</v>
      </c>
      <c r="BB399" s="50" t="n">
        <f aca="false">AX399*G399</f>
        <v>260.4</v>
      </c>
      <c r="BC399" s="50" t="n">
        <f aca="false">ROUNDUP(MAX(J399/IF(CD399&gt;0,CD399,MAX(0.1,N(Cockpit!$O$6))),CG399)/BV399,0)*BV399</f>
        <v>7</v>
      </c>
      <c r="BD399" s="51" t="n">
        <f aca="false">IF(BA399&gt;0,J399/BA399,-1)</f>
        <v>0</v>
      </c>
      <c r="BE399" s="51" t="n">
        <f aca="false">IF(AND(OR(CC399="L1",CC399="L23",CC399="LIFT"),BA399&gt;0),SUMIFS($BA$7:$BA$1843,$CC$7:$CC$1843,CC399,$BD$7:$BD$1843,"&gt;"&amp;BD399)+SUMIFS($BA$7:$BA$1843,$CC$7:$CC$1843,CC399,$BD$7:$BD$1843,BD399,$BT$7:$BT$1843,"&lt;="&amp;BT399),"")</f>
        <v>36068.1874159268</v>
      </c>
      <c r="BF399" s="58" t="n">
        <f aca="false">IF(BE399="",0,MAX(0,MIN(1,(IF(CC399="L1",Parameter!$H$5,IF(CC399="L23",Parameter!$H$6+Parameter!$H$7,Parameter!$H$5+Parameter!$H$6+Parameter!$H$7))-(BE399-BA399))/BA399)))</f>
        <v>0</v>
      </c>
      <c r="BG399" s="48" t="str">
        <f aca="false">IF(AI399&lt;=0,"",IF(CC399="Aussen","Aussenlager",IF(CC399="-","Nicht im Lift",IF(AN399&gt;=1,"Lift",IF(AN399&lt;=0,"Aussenlager","teilweise")))))</f>
        <v>Lift</v>
      </c>
      <c r="BH399" s="48" t="str">
        <f aca="false">IF(AR399&lt;=0,"",IF(CC399="Aussen","Aussenlager",IF(CC399="-","Nicht im Lift",IF(AW399&gt;=1,"Lift",IF(AW399&lt;=0,"Aussenlager","teilweise")))))</f>
        <v>Aussenlager</v>
      </c>
      <c r="BI399" s="48" t="str">
        <f aca="false">IF(BA399&lt;=0,"",IF(CC399="Aussen","Aussenlager",IF(CC399="-","Nicht im Lift",IF(BF399&gt;=1,"Lift",IF(BF399&lt;=0,"Aussenlager","teilweise")))))</f>
        <v>Aussenlager</v>
      </c>
      <c r="BJ399" s="48" t="str">
        <f aca="false">IF(A399="","",IF(BS399=1,"Neu; ","")&amp;IF(AND(BS399=0,BN399&lt;0),"negativer Bestand (Export "&amp;BN399&amp;"); ","")&amp;IF(J399&lt;=0,"Kein Verbrauch; ","")&amp;IF(CL399&gt;0,"Lift "&amp;W399&amp;" lt. Liftbericht (Fach "&amp;X399&amp;" Stk); ",IF(BX399=1,"Gebinde geschätzt ("&amp;T399&amp;"); ",IF(BW399=1,"Lose – Tablare geschätzt; ","")))&amp;IF(H399&gt;AT399,"Überbestand "&amp;ROUND(H399-AT399,0)&amp;" Stk / CHF "&amp;ROUND((H399-AT399)*G399,0)&amp;"; ","")&amp;IF(AND(CE399=1,CF399&lt;CG399),"MAX &lt; MB+LG; ","")&amp;IF(AND(CK399&gt;0,CJ399*10&gt;CK399),"zu hoch für Tablar; ","")&amp;IF(AND(BS399=0,OR(CE399=1,AA399&lt;&gt;"",U399&lt;&gt;"",V399&lt;&gt;"",AB399&lt;&gt;"")),"manuell übersteuert; ","")&amp;IF(AND(BW399=0,R399=0),"Gebinde unbekannt / Stellmass fehlt; ","")&amp;IF(AND(BW399=0,N(V399)&lt;=0,N(Q399)&lt;=0),"Menge pro Gebinde fehlt (Ist = 1 Gebinde); ","")&amp;BR399)</f>
        <v>Kein Verbrauch; Gebinde geschätzt (Mittel); Menge pro Gebinde fehlt (Ist = 1 Gebinde); </v>
      </c>
      <c r="BK399" s="48"/>
      <c r="BL399" s="48"/>
      <c r="BM399" s="55"/>
      <c r="BN399" s="50" t="n">
        <v>3</v>
      </c>
      <c r="BO399" s="50" t="n">
        <v>4</v>
      </c>
      <c r="BP399" s="49" t="n">
        <v>111.6</v>
      </c>
      <c r="BQ399" s="50" t="n">
        <v>0</v>
      </c>
      <c r="BR399" s="48"/>
      <c r="BS399" s="53" t="n">
        <v>0</v>
      </c>
      <c r="BT399" s="53" t="n">
        <v>399</v>
      </c>
      <c r="BU399" s="48" t="str">
        <f aca="false">IF(U399&lt;&gt;"",UPPER(TRIM(U399)),IF(BX399=1,UPPER(VLOOKUP(T399,Parameter!$I$27:$K$29,2,0)),IF(P399="","LOSE",P399)))</f>
        <v>S61</v>
      </c>
      <c r="BV399" s="50" t="n">
        <f aca="false">IF(BU399="LOSE",1,IF(N(V399)&gt;0,V399,IF(BX399=1,MAX(1,N(VLOOKUP(T399,Parameter!$I$27:$K$29,3,0)),H399,N(N399)),IF(N(Q399)&gt;0,Q399,MAX(1,H399)))))</f>
        <v>7</v>
      </c>
      <c r="BW399" s="53" t="n">
        <f aca="false">IF(BU399="LOSE",1,0)</f>
        <v>0</v>
      </c>
      <c r="BX399" s="53" t="n">
        <f aca="false">IF(AND(U399="",OR(P399="",P399="LOSE"),T399&lt;&gt;"",N(S399)&lt;=0,ISNUMBER(MATCH(T399,Parameter!$I$27:$I$29,0))),1,0)</f>
        <v>1</v>
      </c>
      <c r="BY399" s="53" t="n">
        <f aca="false">IF(CL399&gt;0,INDEX(Parameter!$H$5:$H$7,W399)/INDEX(Parameter!$E$5:$E$7,W399),IF(AND(BW399=0,N(IFERROR(VLOOKUP(BU399,'Gebinde-Kategorie'!$A$5:$N$45,14,0),0))&gt;0),VLOOKUP(BU399,'Gebinde-Kategorie'!$A$5:$N$45,14,0)*10+Parameter!$M$23,Parameter!$M$24))</f>
        <v>145</v>
      </c>
      <c r="BZ399" s="48" t="str">
        <f aca="false">IF(AND(Parameter!$B$19="Ja",E399&lt;&gt;"",ISNUMBER(MATCH(E399,Parameter!$I$35:$I$52,0))),VLOOKUP(E399,Parameter!$I$35:$J$52,2,0),IFERROR(VLOOKUP(D399,Parameter!$A$35:$C$64,2,0),"Nein"))</f>
        <v>2+3</v>
      </c>
      <c r="CA399" s="52" t="n">
        <f aca="false">IF(BW399=0,0,IF(N(S399)&gt;0,S399,IFERROR(VLOOKUP(D399,Parameter!$A$35:$C$64,3,0)+0,0)))</f>
        <v>0</v>
      </c>
      <c r="CB399" s="48" t="n">
        <f aca="false">IF(AA399&lt;&gt;"",AA399,Z399)</f>
        <v>2</v>
      </c>
      <c r="CC399" s="48" t="str">
        <f aca="false">IF(OR(CB399=1,CB399=2,CB399=3),IF(Parameter!$E$27="Ja","LIFT",IF(CB399=1,"L1","L23")),IF(CB399="Aussen","Aussen","-"))</f>
        <v>LIFT</v>
      </c>
      <c r="CD399" s="59" t="n">
        <f aca="false">IF(N(AB399)&gt;0,AB399,0)</f>
        <v>0</v>
      </c>
      <c r="CE399" s="53" t="n">
        <f aca="false">IF(ISNUMBER(AE399),1,0)</f>
        <v>0</v>
      </c>
      <c r="CF399" s="50" t="n">
        <f aca="false">N(AE399)</f>
        <v>0</v>
      </c>
      <c r="CG399" s="50" t="n">
        <f aca="false">N(M399)+N(N399)</f>
        <v>5</v>
      </c>
      <c r="CH399" s="50" t="n">
        <f aca="false">ROUNDUP(H399/BV399,0)</f>
        <v>1</v>
      </c>
      <c r="CI399" s="50" t="n">
        <f aca="false">ROUNDUP(CF399/BV399,0)</f>
        <v>0</v>
      </c>
      <c r="CJ399" s="53" t="n">
        <f aca="false">IF(BW399=1,0,IFERROR(VLOOKUP(BU399,'Gebinde-Kategorie'!$A$5:$N$45,5,0)+0,0))</f>
        <v>11</v>
      </c>
      <c r="CK399" s="53" t="n">
        <f aca="false">IFERROR(IF(OR(CB399=1,CB399=2,CB399=3),N(INDEX(Parameter!$I$5:$I$7,CB399)),0),0)</f>
        <v>0</v>
      </c>
      <c r="CL399" s="52" t="n">
        <f aca="false">IF(AND(Parameter!$B$21="Ja",ISNUMBER(W399),N(X399)&gt;0),IFERROR(N(INDEX(Parameter!$L$5:$L$7,W399))*INDEX(Parameter!$E$5:$E$7,W399)*X399/SUMIFS($X$7:$X$1843,$W$7:$W$1843,W399),0),0)</f>
        <v>0</v>
      </c>
    </row>
    <row r="400" customFormat="false" ht="15" hidden="false" customHeight="false" outlineLevel="0" collapsed="false">
      <c r="A400" s="48" t="s">
        <v>939</v>
      </c>
      <c r="B400" s="48" t="s">
        <v>728</v>
      </c>
      <c r="C400" s="48" t="s">
        <v>168</v>
      </c>
      <c r="D400" s="48" t="s">
        <v>188</v>
      </c>
      <c r="E400" s="48" t="s">
        <v>189</v>
      </c>
      <c r="F400" s="48" t="s">
        <v>222</v>
      </c>
      <c r="G400" s="49" t="n">
        <v>10.97</v>
      </c>
      <c r="H400" s="50" t="n">
        <f aca="false">MAX(0,IF(AND(Parameter!$B$21="Ja",ISNUMBER(Y400)),Y400,IF(Parameter!$B$20="Jahresanfang 2025 + Export",BO400+BN400,BN400)))</f>
        <v>13</v>
      </c>
      <c r="I400" s="50" t="n">
        <f aca="false">H400*G400</f>
        <v>142.61</v>
      </c>
      <c r="J400" s="50" t="n">
        <f aca="false">BQ400*Parameter!$B$18</f>
        <v>8</v>
      </c>
      <c r="K400" s="51" t="n">
        <v>2.5</v>
      </c>
      <c r="L400" s="52" t="n">
        <v>3.2</v>
      </c>
      <c r="M400" s="50" t="n">
        <v>0</v>
      </c>
      <c r="N400" s="50" t="n">
        <v>10</v>
      </c>
      <c r="O400" s="53" t="n">
        <v>14</v>
      </c>
      <c r="P400" s="48" t="s">
        <v>430</v>
      </c>
      <c r="Q400" s="50" t="n">
        <v>12</v>
      </c>
      <c r="R400" s="53" t="n">
        <f aca="false">IF(BW400=1,0,IFERROR(VLOOKUP(BU400,'Gebinde-Kategorie'!$A$5:$N$45,13,0)+0,0))</f>
        <v>140</v>
      </c>
      <c r="S400" s="54"/>
      <c r="T400" s="55"/>
      <c r="U400" s="55"/>
      <c r="V400" s="55"/>
      <c r="W400" s="48"/>
      <c r="X400" s="50"/>
      <c r="Y400" s="50"/>
      <c r="Z400" s="48" t="n">
        <f aca="false">IF(A400="","",IF(AND(Parameter!$B$21="Ja",ISNUMBER(W400)),W400,IF(BZ400="2+3",IF(ISNUMBER(SEARCH("grosser Artikel",BR400)),2,IFERROR(VLOOKUP(BU400,Parameter!$F$35:$G$64,2,0),2)),IF(OR(BZ400="Nein",BZ400=""),"-",BZ400))))</f>
        <v>3</v>
      </c>
      <c r="AA400" s="55"/>
      <c r="AB400" s="56"/>
      <c r="AC400" s="50" t="n">
        <f aca="false">AT400</f>
        <v>12</v>
      </c>
      <c r="AD400" s="50" t="n">
        <f aca="false">MAX(AT400,H400)</f>
        <v>13</v>
      </c>
      <c r="AE400" s="57"/>
      <c r="AF400" s="50" t="n">
        <f aca="false">IF(LEFT(Cockpit!$C$5,1)="A",H400,IF(CE400=1,CF400,IF(LEFT(Cockpit!$C$5,1)="B",AK400,MAX(AK400,H400))))</f>
        <v>13</v>
      </c>
      <c r="AG400" s="50" t="n">
        <f aca="false">IF(BW400=1,0,ROUNDUP(AF400/BV400,0))</f>
        <v>2</v>
      </c>
      <c r="AH400" s="52" t="n">
        <f aca="false">IF(CL400&gt;0,CL400*MAX(1,AF400/X400),IF(BW400=1,IF(AF400&lt;=0,0,CA400*MAX(1,IF(H400&gt;0,AF400/H400,1))),IF(R400&gt;0,AG400/R400,0))/MAX(0.1,N(Parameter!$M$21)))</f>
        <v>0.0142857142857143</v>
      </c>
      <c r="AI400" s="50" t="n">
        <f aca="false">AH400*BY400</f>
        <v>2.21428571428571</v>
      </c>
      <c r="AJ400" s="50" t="n">
        <f aca="false">AF400*G400</f>
        <v>142.61</v>
      </c>
      <c r="AK400" s="50" t="n">
        <f aca="false">ROUNDUP(MAX(J400/IF(CD400&gt;0,CD400,MAX(0.1,N(Cockpit!$C$6))),CG400)/BV400,0)*BV400</f>
        <v>12</v>
      </c>
      <c r="AL400" s="51" t="n">
        <f aca="false">IF(AI400&gt;0,J400/AI400,-1)</f>
        <v>3.61290322580645</v>
      </c>
      <c r="AM400" s="51" t="n">
        <f aca="false">IF(AND(OR(CC400="L1",CC400="L23",CC400="LIFT"),AI400&gt;0),SUMIFS($AI$7:$AI$1843,$CC$7:$CC$1843,CC400,$AL$7:$AL$1843,"&gt;"&amp;AL400)+SUMIFS($AI$7:$AI$1843,$CC$7:$CC$1843,CC400,$AL$7:$AL$1843,AL400,$BT$7:$BT$1843,"&lt;="&amp;BT400),"")</f>
        <v>4822.33836996337</v>
      </c>
      <c r="AN400" s="58" t="n">
        <f aca="false">IF(AM400="",0,MAX(0,MIN(1,(IF(CC400="L1",Parameter!$H$5,IF(CC400="L23",Parameter!$H$6+Parameter!$H$7,Parameter!$H$5+Parameter!$H$6+Parameter!$H$7))-(AM400-AI400))/AI400)))</f>
        <v>1</v>
      </c>
      <c r="AO400" s="50" t="n">
        <f aca="false">IF(LEFT(Cockpit!$I$5,1)="A",H400,IF(CE400=1,CF400,IF(LEFT(Cockpit!$I$5,1)="B",AT400,MAX(AT400,H400))))</f>
        <v>13</v>
      </c>
      <c r="AP400" s="50" t="n">
        <f aca="false">IF(BW400=1,0,ROUNDUP(AO400/BV400,0))</f>
        <v>2</v>
      </c>
      <c r="AQ400" s="52" t="n">
        <f aca="false">IF(CL400&gt;0,CL400*MAX(1,AO400/X400),IF(BW400=1,IF(AO400&lt;=0,0,CA400*MAX(1,IF(H400&gt;0,AO400/H400,1))),IF(R400&gt;0,AP400/R400,0))/MAX(0.1,N(Parameter!$M$21)))</f>
        <v>0.0142857142857143</v>
      </c>
      <c r="AR400" s="50" t="n">
        <f aca="false">AQ400*BY400</f>
        <v>2.21428571428571</v>
      </c>
      <c r="AS400" s="50" t="n">
        <f aca="false">AO400*G400</f>
        <v>142.61</v>
      </c>
      <c r="AT400" s="50" t="n">
        <f aca="false">ROUNDUP(MAX(J400/IF(CD400&gt;0,CD400,MAX(0.1,N(Cockpit!$I$6))),CG400)/BV400,0)*BV400</f>
        <v>12</v>
      </c>
      <c r="AU400" s="51" t="n">
        <f aca="false">IF(AR400&gt;0,J400/AR400,-1)</f>
        <v>3.61290322580645</v>
      </c>
      <c r="AV400" s="51" t="n">
        <f aca="false">IF(AND(OR(CC400="L1",CC400="L23",CC400="LIFT"),AR400&gt;0),SUMIFS($AR$7:$AR$1843,$CC$7:$CC$1843,CC400,$AU$7:$AU$1843,"&gt;"&amp;AU400)+SUMIFS($AR$7:$AR$1843,$CC$7:$CC$1843,CC400,$AU$7:$AU$1843,AU400,$BT$7:$BT$1843,"&lt;="&amp;BT400),"")</f>
        <v>5947.63553113553</v>
      </c>
      <c r="AW400" s="58" t="n">
        <f aca="false">IF(AV400="",0,MAX(0,MIN(1,(IF(CC400="L1",Parameter!$H$5,IF(CC400="L23",Parameter!$H$6+Parameter!$H$7,Parameter!$H$5+Parameter!$H$6+Parameter!$H$7))-(AV400-AR400))/AR400)))</f>
        <v>1</v>
      </c>
      <c r="AX400" s="50" t="n">
        <f aca="false">IF(LEFT(Cockpit!$O$5,1)="A",H400,IF(CE400=1,CF400,IF(LEFT(Cockpit!$O$5,1)="B",BC400,MAX(BC400,H400))))</f>
        <v>13</v>
      </c>
      <c r="AY400" s="50" t="n">
        <f aca="false">IF(BW400=1,0,ROUNDUP(AX400/BV400,0))</f>
        <v>2</v>
      </c>
      <c r="AZ400" s="52" t="n">
        <f aca="false">IF(CL400&gt;0,CL400*MAX(1,AX400/X400),IF(BW400=1,IF(AX400&lt;=0,0,CA400*MAX(1,IF(H400&gt;0,AX400/H400,1))),IF(R400&gt;0,AY400/R400,0))/MAX(0.1,N(Parameter!$M$21)))</f>
        <v>0.0142857142857143</v>
      </c>
      <c r="BA400" s="50" t="n">
        <f aca="false">AZ400*BY400</f>
        <v>2.21428571428571</v>
      </c>
      <c r="BB400" s="50" t="n">
        <f aca="false">AX400*G400</f>
        <v>142.61</v>
      </c>
      <c r="BC400" s="50" t="n">
        <f aca="false">ROUNDUP(MAX(J400/IF(CD400&gt;0,CD400,MAX(0.1,N(Cockpit!$O$6))),CG400)/BV400,0)*BV400</f>
        <v>12</v>
      </c>
      <c r="BD400" s="51" t="n">
        <f aca="false">IF(BA400&gt;0,J400/BA400,-1)</f>
        <v>3.61290322580645</v>
      </c>
      <c r="BE400" s="51" t="n">
        <f aca="false">IF(AND(OR(CC400="L1",CC400="L23",CC400="LIFT"),BA400&gt;0),SUMIFS($BA$7:$BA$1843,$CC$7:$CC$1843,CC400,$BD$7:$BD$1843,"&gt;"&amp;BD400)+SUMIFS($BA$7:$BA$1843,$CC$7:$CC$1843,CC400,$BD$7:$BD$1843,BD400,$BT$7:$BT$1843,"&lt;="&amp;BT400),"")</f>
        <v>5849.22206959707</v>
      </c>
      <c r="BF400" s="58" t="n">
        <f aca="false">IF(BE400="",0,MAX(0,MIN(1,(IF(CC400="L1",Parameter!$H$5,IF(CC400="L23",Parameter!$H$6+Parameter!$H$7,Parameter!$H$5+Parameter!$H$6+Parameter!$H$7))-(BE400-BA400))/BA400)))</f>
        <v>1</v>
      </c>
      <c r="BG400" s="48" t="str">
        <f aca="false">IF(AI400&lt;=0,"",IF(CC400="Aussen","Aussenlager",IF(CC400="-","Nicht im Lift",IF(AN400&gt;=1,"Lift",IF(AN400&lt;=0,"Aussenlager","teilweise")))))</f>
        <v>Lift</v>
      </c>
      <c r="BH400" s="48" t="str">
        <f aca="false">IF(AR400&lt;=0,"",IF(CC400="Aussen","Aussenlager",IF(CC400="-","Nicht im Lift",IF(AW400&gt;=1,"Lift",IF(AW400&lt;=0,"Aussenlager","teilweise")))))</f>
        <v>Lift</v>
      </c>
      <c r="BI400" s="48" t="str">
        <f aca="false">IF(BA400&lt;=0,"",IF(CC400="Aussen","Aussenlager",IF(CC400="-","Nicht im Lift",IF(BF400&gt;=1,"Lift",IF(BF400&lt;=0,"Aussenlager","teilweise")))))</f>
        <v>Lift</v>
      </c>
      <c r="BJ400" s="48" t="str">
        <f aca="false">IF(A400="","",IF(BS400=1,"Neu; ","")&amp;IF(AND(BS400=0,BN400&lt;0),"negativer Bestand (Export "&amp;BN400&amp;"); ","")&amp;IF(J400&lt;=0,"Kein Verbrauch; ","")&amp;IF(CL400&gt;0,"Lift "&amp;W400&amp;" lt. Liftbericht (Fach "&amp;X400&amp;" Stk); ",IF(BX400=1,"Gebinde geschätzt ("&amp;T400&amp;"); ",IF(BW400=1,"Lose – Tablare geschätzt; ","")))&amp;IF(H400&gt;AT400,"Überbestand "&amp;ROUND(H400-AT400,0)&amp;" Stk / CHF "&amp;ROUND((H400-AT400)*G400,0)&amp;"; ","")&amp;IF(AND(CE400=1,CF400&lt;CG400),"MAX &lt; MB+LG; ","")&amp;IF(AND(CK400&gt;0,CJ400*10&gt;CK400),"zu hoch für Tablar; ","")&amp;IF(AND(BS400=0,OR(CE400=1,AA400&lt;&gt;"",U400&lt;&gt;"",V400&lt;&gt;"",AB400&lt;&gt;"")),"manuell übersteuert; ","")&amp;IF(AND(BW400=0,R400=0),"Gebinde unbekannt / Stellmass fehlt; ","")&amp;IF(AND(BW400=0,N(V400)&lt;=0,N(Q400)&lt;=0),"Menge pro Gebinde fehlt (Ist = 1 Gebinde); ","")&amp;BR400)</f>
        <v>Überbestand 1 Stk / CHF 11; </v>
      </c>
      <c r="BK400" s="48"/>
      <c r="BL400" s="48"/>
      <c r="BM400" s="55"/>
      <c r="BN400" s="50" t="n">
        <v>10</v>
      </c>
      <c r="BO400" s="50" t="n">
        <v>3</v>
      </c>
      <c r="BP400" s="49" t="n">
        <v>110.9</v>
      </c>
      <c r="BQ400" s="50" t="n">
        <v>8</v>
      </c>
      <c r="BR400" s="48"/>
      <c r="BS400" s="53" t="n">
        <v>0</v>
      </c>
      <c r="BT400" s="53" t="n">
        <v>400</v>
      </c>
      <c r="BU400" s="48" t="str">
        <f aca="false">IF(U400&lt;&gt;"",UPPER(TRIM(U400)),IF(BX400=1,UPPER(VLOOKUP(T400,Parameter!$I$27:$K$29,2,0)),IF(P400="","LOSE",P400)))</f>
        <v>S22</v>
      </c>
      <c r="BV400" s="50" t="n">
        <f aca="false">IF(BU400="LOSE",1,IF(N(V400)&gt;0,V400,IF(BX400=1,MAX(1,N(VLOOKUP(T400,Parameter!$I$27:$K$29,3,0)),H400,N(N400)),IF(N(Q400)&gt;0,Q400,MAX(1,H400)))))</f>
        <v>12</v>
      </c>
      <c r="BW400" s="53" t="n">
        <f aca="false">IF(BU400="LOSE",1,0)</f>
        <v>0</v>
      </c>
      <c r="BX400" s="53" t="n">
        <f aca="false">IF(AND(U400="",OR(P400="",P400="LOSE"),T400&lt;&gt;"",N(S400)&lt;=0,ISNUMBER(MATCH(T400,Parameter!$I$27:$I$29,0))),1,0)</f>
        <v>0</v>
      </c>
      <c r="BY400" s="53" t="n">
        <f aca="false">IF(CL400&gt;0,INDEX(Parameter!$H$5:$H$7,W400)/INDEX(Parameter!$E$5:$E$7,W400),IF(AND(BW400=0,N(IFERROR(VLOOKUP(BU400,'Gebinde-Kategorie'!$A$5:$N$45,14,0),0))&gt;0),VLOOKUP(BU400,'Gebinde-Kategorie'!$A$5:$N$45,14,0)*10+Parameter!$M$23,Parameter!$M$24))</f>
        <v>155</v>
      </c>
      <c r="BZ400" s="48" t="str">
        <f aca="false">IF(AND(Parameter!$B$19="Ja",E400&lt;&gt;"",ISNUMBER(MATCH(E400,Parameter!$I$35:$I$52,0))),VLOOKUP(E400,Parameter!$I$35:$J$52,2,0),IFERROR(VLOOKUP(D400,Parameter!$A$35:$C$64,2,0),"Nein"))</f>
        <v>2+3</v>
      </c>
      <c r="CA400" s="52" t="n">
        <f aca="false">IF(BW400=0,0,IF(N(S400)&gt;0,S400,IFERROR(VLOOKUP(D400,Parameter!$A$35:$C$64,3,0)+0,0)))</f>
        <v>0</v>
      </c>
      <c r="CB400" s="48" t="n">
        <f aca="false">IF(AA400&lt;&gt;"",AA400,Z400)</f>
        <v>3</v>
      </c>
      <c r="CC400" s="48" t="str">
        <f aca="false">IF(OR(CB400=1,CB400=2,CB400=3),IF(Parameter!$E$27="Ja","LIFT",IF(CB400=1,"L1","L23")),IF(CB400="Aussen","Aussen","-"))</f>
        <v>LIFT</v>
      </c>
      <c r="CD400" s="59" t="n">
        <f aca="false">IF(N(AB400)&gt;0,AB400,0)</f>
        <v>0</v>
      </c>
      <c r="CE400" s="53" t="n">
        <f aca="false">IF(ISNUMBER(AE400),1,0)</f>
        <v>0</v>
      </c>
      <c r="CF400" s="50" t="n">
        <f aca="false">N(AE400)</f>
        <v>0</v>
      </c>
      <c r="CG400" s="50" t="n">
        <f aca="false">N(M400)+N(N400)</f>
        <v>10</v>
      </c>
      <c r="CH400" s="50" t="n">
        <f aca="false">ROUNDUP(H400/BV400,0)</f>
        <v>2</v>
      </c>
      <c r="CI400" s="50" t="n">
        <f aca="false">ROUNDUP(CF400/BV400,0)</f>
        <v>0</v>
      </c>
      <c r="CJ400" s="53" t="n">
        <f aca="false">IF(BW400=1,0,IFERROR(VLOOKUP(BU400,'Gebinde-Kategorie'!$A$5:$N$45,5,0)+0,0))</f>
        <v>8</v>
      </c>
      <c r="CK400" s="53" t="n">
        <f aca="false">IFERROR(IF(OR(CB400=1,CB400=2,CB400=3),N(INDEX(Parameter!$I$5:$I$7,CB400)),0),0)</f>
        <v>0</v>
      </c>
      <c r="CL400" s="52" t="n">
        <f aca="false">IF(AND(Parameter!$B$21="Ja",ISNUMBER(W400),N(X400)&gt;0),IFERROR(N(INDEX(Parameter!$L$5:$L$7,W400))*INDEX(Parameter!$E$5:$E$7,W400)*X400/SUMIFS($X$7:$X$1843,$W$7:$W$1843,W400),0),0)</f>
        <v>0</v>
      </c>
    </row>
    <row r="401" customFormat="false" ht="15" hidden="false" customHeight="false" outlineLevel="0" collapsed="false">
      <c r="A401" s="48" t="s">
        <v>940</v>
      </c>
      <c r="B401" s="48" t="s">
        <v>941</v>
      </c>
      <c r="C401" s="48" t="s">
        <v>168</v>
      </c>
      <c r="D401" s="48" t="s">
        <v>188</v>
      </c>
      <c r="E401" s="48" t="s">
        <v>189</v>
      </c>
      <c r="F401" s="48" t="s">
        <v>222</v>
      </c>
      <c r="G401" s="49" t="n">
        <v>0.08</v>
      </c>
      <c r="H401" s="50" t="n">
        <f aca="false">MAX(0,IF(AND(Parameter!$B$21="Ja",ISNUMBER(Y401)),Y401,IF(Parameter!$B$20="Jahresanfang 2025 + Export",BO401+BN401,BN401)))</f>
        <v>1784</v>
      </c>
      <c r="I401" s="50" t="n">
        <f aca="false">H401*G401</f>
        <v>142.72</v>
      </c>
      <c r="J401" s="50" t="n">
        <f aca="false">BQ401*Parameter!$B$18</f>
        <v>2732</v>
      </c>
      <c r="K401" s="51" t="n">
        <v>1000</v>
      </c>
      <c r="L401" s="52" t="n">
        <v>2.732</v>
      </c>
      <c r="M401" s="50" t="n">
        <v>159</v>
      </c>
      <c r="N401" s="50" t="n">
        <v>3000</v>
      </c>
      <c r="O401" s="53" t="n">
        <v>21</v>
      </c>
      <c r="P401" s="48" t="s">
        <v>306</v>
      </c>
      <c r="Q401" s="50" t="n">
        <v>2000</v>
      </c>
      <c r="R401" s="53" t="n">
        <f aca="false">IF(BW401=1,0,IFERROR(VLOOKUP(BU401,'Gebinde-Kategorie'!$A$5:$N$45,13,0)+0,0))</f>
        <v>26</v>
      </c>
      <c r="S401" s="54"/>
      <c r="T401" s="55"/>
      <c r="U401" s="55"/>
      <c r="V401" s="55"/>
      <c r="W401" s="48"/>
      <c r="X401" s="50"/>
      <c r="Y401" s="50"/>
      <c r="Z401" s="48" t="n">
        <f aca="false">IF(A401="","",IF(AND(Parameter!$B$21="Ja",ISNUMBER(W401)),W401,IF(BZ401="2+3",IF(ISNUMBER(SEARCH("grosser Artikel",BR401)),2,IFERROR(VLOOKUP(BU401,Parameter!$F$35:$G$64,2,0),2)),IF(OR(BZ401="Nein",BZ401=""),"-",BZ401))))</f>
        <v>3</v>
      </c>
      <c r="AA401" s="55"/>
      <c r="AB401" s="56"/>
      <c r="AC401" s="50" t="n">
        <f aca="false">AT401</f>
        <v>4000</v>
      </c>
      <c r="AD401" s="50" t="n">
        <f aca="false">MAX(AT401,H401)</f>
        <v>4000</v>
      </c>
      <c r="AE401" s="57"/>
      <c r="AF401" s="50" t="n">
        <f aca="false">IF(LEFT(Cockpit!$C$5,1)="A",H401,IF(CE401=1,CF401,IF(LEFT(Cockpit!$C$5,1)="B",AK401,MAX(AK401,H401))))</f>
        <v>1784</v>
      </c>
      <c r="AG401" s="50" t="n">
        <f aca="false">IF(BW401=1,0,ROUNDUP(AF401/BV401,0))</f>
        <v>1</v>
      </c>
      <c r="AH401" s="52" t="n">
        <f aca="false">IF(CL401&gt;0,CL401*MAX(1,AF401/X401),IF(BW401=1,IF(AF401&lt;=0,0,CA401*MAX(1,IF(H401&gt;0,AF401/H401,1))),IF(R401&gt;0,AG401/R401,0))/MAX(0.1,N(Parameter!$M$21)))</f>
        <v>0.0384615384615385</v>
      </c>
      <c r="AI401" s="50" t="n">
        <f aca="false">AH401*BY401</f>
        <v>5.96153846153846</v>
      </c>
      <c r="AJ401" s="50" t="n">
        <f aca="false">AF401*G401</f>
        <v>142.72</v>
      </c>
      <c r="AK401" s="50" t="n">
        <f aca="false">ROUNDUP(MAX(J401/IF(CD401&gt;0,CD401,MAX(0.1,N(Cockpit!$C$6))),CG401)/BV401,0)*BV401</f>
        <v>4000</v>
      </c>
      <c r="AL401" s="51" t="n">
        <f aca="false">IF(AI401&gt;0,J401/AI401,-1)</f>
        <v>458.270967741935</v>
      </c>
      <c r="AM401" s="51" t="n">
        <f aca="false">IF(AND(OR(CC401="L1",CC401="L23",CC401="LIFT"),AI401&gt;0),SUMIFS($AI$7:$AI$1843,$CC$7:$CC$1843,CC401,$AL$7:$AL$1843,"&gt;"&amp;AL401)+SUMIFS($AI$7:$AI$1843,$CC$7:$CC$1843,CC401,$AL$7:$AL$1843,AL401,$BT$7:$BT$1843,"&lt;="&amp;BT401),"")</f>
        <v>90.6346153846154</v>
      </c>
      <c r="AN401" s="58" t="n">
        <f aca="false">IF(AM401="",0,MAX(0,MIN(1,(IF(CC401="L1",Parameter!$H$5,IF(CC401="L23",Parameter!$H$6+Parameter!$H$7,Parameter!$H$5+Parameter!$H$6+Parameter!$H$7))-(AM401-AI401))/AI401)))</f>
        <v>1</v>
      </c>
      <c r="AO401" s="50" t="n">
        <f aca="false">IF(LEFT(Cockpit!$I$5,1)="A",H401,IF(CE401=1,CF401,IF(LEFT(Cockpit!$I$5,1)="B",AT401,MAX(AT401,H401))))</f>
        <v>4000</v>
      </c>
      <c r="AP401" s="50" t="n">
        <f aca="false">IF(BW401=1,0,ROUNDUP(AO401/BV401,0))</f>
        <v>2</v>
      </c>
      <c r="AQ401" s="52" t="n">
        <f aca="false">IF(CL401&gt;0,CL401*MAX(1,AO401/X401),IF(BW401=1,IF(AO401&lt;=0,0,CA401*MAX(1,IF(H401&gt;0,AO401/H401,1))),IF(R401&gt;0,AP401/R401,0))/MAX(0.1,N(Parameter!$M$21)))</f>
        <v>0.0769230769230769</v>
      </c>
      <c r="AR401" s="50" t="n">
        <f aca="false">AQ401*BY401</f>
        <v>11.9230769230769</v>
      </c>
      <c r="AS401" s="50" t="n">
        <f aca="false">AO401*G401</f>
        <v>320</v>
      </c>
      <c r="AT401" s="50" t="n">
        <f aca="false">ROUNDUP(MAX(J401/IF(CD401&gt;0,CD401,MAX(0.1,N(Cockpit!$I$6))),CG401)/BV401,0)*BV401</f>
        <v>4000</v>
      </c>
      <c r="AU401" s="51" t="n">
        <f aca="false">IF(AR401&gt;0,J401/AR401,-1)</f>
        <v>229.135483870968</v>
      </c>
      <c r="AV401" s="51" t="n">
        <f aca="false">IF(AND(OR(CC401="L1",CC401="L23",CC401="LIFT"),AR401&gt;0),SUMIFS($AR$7:$AR$1843,$CC$7:$CC$1843,CC401,$AU$7:$AU$1843,"&gt;"&amp;AU401)+SUMIFS($AR$7:$AR$1843,$CC$7:$CC$1843,CC401,$AU$7:$AU$1843,AU401,$BT$7:$BT$1843,"&lt;="&amp;BT401),"")</f>
        <v>235.298992673993</v>
      </c>
      <c r="AW401" s="58" t="n">
        <f aca="false">IF(AV401="",0,MAX(0,MIN(1,(IF(CC401="L1",Parameter!$H$5,IF(CC401="L23",Parameter!$H$6+Parameter!$H$7,Parameter!$H$5+Parameter!$H$6+Parameter!$H$7))-(AV401-AR401))/AR401)))</f>
        <v>1</v>
      </c>
      <c r="AX401" s="50" t="n">
        <f aca="false">IF(LEFT(Cockpit!$O$5,1)="A",H401,IF(CE401=1,CF401,IF(LEFT(Cockpit!$O$5,1)="B",BC401,MAX(BC401,H401))))</f>
        <v>4000</v>
      </c>
      <c r="AY401" s="50" t="n">
        <f aca="false">IF(BW401=1,0,ROUNDUP(AX401/BV401,0))</f>
        <v>2</v>
      </c>
      <c r="AZ401" s="52" t="n">
        <f aca="false">IF(CL401&gt;0,CL401*MAX(1,AX401/X401),IF(BW401=1,IF(AX401&lt;=0,0,CA401*MAX(1,IF(H401&gt;0,AX401/H401,1))),IF(R401&gt;0,AY401/R401,0))/MAX(0.1,N(Parameter!$M$21)))</f>
        <v>0.0769230769230769</v>
      </c>
      <c r="BA401" s="50" t="n">
        <f aca="false">AZ401*BY401</f>
        <v>11.9230769230769</v>
      </c>
      <c r="BB401" s="50" t="n">
        <f aca="false">AX401*G401</f>
        <v>320</v>
      </c>
      <c r="BC401" s="50" t="n">
        <f aca="false">ROUNDUP(MAX(J401/IF(CD401&gt;0,CD401,MAX(0.1,N(Cockpit!$O$6))),CG401)/BV401,0)*BV401</f>
        <v>4000</v>
      </c>
      <c r="BD401" s="51" t="n">
        <f aca="false">IF(BA401&gt;0,J401/BA401,-1)</f>
        <v>229.135483870968</v>
      </c>
      <c r="BE401" s="51" t="n">
        <f aca="false">IF(AND(OR(CC401="L1",CC401="L23",CC401="LIFT"),BA401&gt;0),SUMIFS($BA$7:$BA$1843,$CC$7:$CC$1843,CC401,$BD$7:$BD$1843,"&gt;"&amp;BD401)+SUMIFS($BA$7:$BA$1843,$CC$7:$CC$1843,CC401,$BD$7:$BD$1843,BD401,$BT$7:$BT$1843,"&lt;="&amp;BT401),"")</f>
        <v>248.183608058608</v>
      </c>
      <c r="BF401" s="58" t="n">
        <f aca="false">IF(BE401="",0,MAX(0,MIN(1,(IF(CC401="L1",Parameter!$H$5,IF(CC401="L23",Parameter!$H$6+Parameter!$H$7,Parameter!$H$5+Parameter!$H$6+Parameter!$H$7))-(BE401-BA401))/BA401)))</f>
        <v>1</v>
      </c>
      <c r="BG401" s="48" t="str">
        <f aca="false">IF(AI401&lt;=0,"",IF(CC401="Aussen","Aussenlager",IF(CC401="-","Nicht im Lift",IF(AN401&gt;=1,"Lift",IF(AN401&lt;=0,"Aussenlager","teilweise")))))</f>
        <v>Lift</v>
      </c>
      <c r="BH401" s="48" t="str">
        <f aca="false">IF(AR401&lt;=0,"",IF(CC401="Aussen","Aussenlager",IF(CC401="-","Nicht im Lift",IF(AW401&gt;=1,"Lift",IF(AW401&lt;=0,"Aussenlager","teilweise")))))</f>
        <v>Lift</v>
      </c>
      <c r="BI401" s="48" t="str">
        <f aca="false">IF(BA401&lt;=0,"",IF(CC401="Aussen","Aussenlager",IF(CC401="-","Nicht im Lift",IF(BF401&gt;=1,"Lift",IF(BF401&lt;=0,"Aussenlager","teilweise")))))</f>
        <v>Lift</v>
      </c>
      <c r="BJ401" s="48" t="str">
        <f aca="false">IF(A401="","",IF(BS401=1,"Neu; ","")&amp;IF(AND(BS401=0,BN401&lt;0),"negativer Bestand (Export "&amp;BN401&amp;"); ","")&amp;IF(J401&lt;=0,"Kein Verbrauch; ","")&amp;IF(CL401&gt;0,"Lift "&amp;W401&amp;" lt. Liftbericht (Fach "&amp;X401&amp;" Stk); ",IF(BX401=1,"Gebinde geschätzt ("&amp;T401&amp;"); ",IF(BW401=1,"Lose – Tablare geschätzt; ","")))&amp;IF(H401&gt;AT401,"Überbestand "&amp;ROUND(H401-AT401,0)&amp;" Stk / CHF "&amp;ROUND((H401-AT401)*G401,0)&amp;"; ","")&amp;IF(AND(CE401=1,CF401&lt;CG401),"MAX &lt; MB+LG; ","")&amp;IF(AND(CK401&gt;0,CJ401*10&gt;CK401),"zu hoch für Tablar; ","")&amp;IF(AND(BS401=0,OR(CE401=1,AA401&lt;&gt;"",U401&lt;&gt;"",V401&lt;&gt;"",AB401&lt;&gt;"")),"manuell übersteuert; ","")&amp;IF(AND(BW401=0,R401=0),"Gebinde unbekannt / Stellmass fehlt; ","")&amp;IF(AND(BW401=0,N(V401)&lt;=0,N(Q401)&lt;=0),"Menge pro Gebinde fehlt (Ist = 1 Gebinde); ","")&amp;BR401)</f>
        <v/>
      </c>
      <c r="BK401" s="48"/>
      <c r="BL401" s="48"/>
      <c r="BM401" s="55"/>
      <c r="BN401" s="50" t="n">
        <v>1384</v>
      </c>
      <c r="BO401" s="50" t="n">
        <v>400</v>
      </c>
      <c r="BP401" s="49" t="n">
        <v>110.72</v>
      </c>
      <c r="BQ401" s="50" t="n">
        <v>2732</v>
      </c>
      <c r="BR401" s="48"/>
      <c r="BS401" s="53" t="n">
        <v>0</v>
      </c>
      <c r="BT401" s="53" t="n">
        <v>401</v>
      </c>
      <c r="BU401" s="48" t="str">
        <f aca="false">IF(U401&lt;&gt;"",UPPER(TRIM(U401)),IF(BX401=1,UPPER(VLOOKUP(T401,Parameter!$I$27:$K$29,2,0)),IF(P401="","LOSE",P401)))</f>
        <v>S51</v>
      </c>
      <c r="BV401" s="50" t="n">
        <f aca="false">IF(BU401="LOSE",1,IF(N(V401)&gt;0,V401,IF(BX401=1,MAX(1,N(VLOOKUP(T401,Parameter!$I$27:$K$29,3,0)),H401,N(N401)),IF(N(Q401)&gt;0,Q401,MAX(1,H401)))))</f>
        <v>2000</v>
      </c>
      <c r="BW401" s="53" t="n">
        <f aca="false">IF(BU401="LOSE",1,0)</f>
        <v>0</v>
      </c>
      <c r="BX401" s="53" t="n">
        <f aca="false">IF(AND(U401="",OR(P401="",P401="LOSE"),T401&lt;&gt;"",N(S401)&lt;=0,ISNUMBER(MATCH(T401,Parameter!$I$27:$I$29,0))),1,0)</f>
        <v>0</v>
      </c>
      <c r="BY401" s="53" t="n">
        <f aca="false">IF(CL401&gt;0,INDEX(Parameter!$H$5:$H$7,W401)/INDEX(Parameter!$E$5:$E$7,W401),IF(AND(BW401=0,N(IFERROR(VLOOKUP(BU401,'Gebinde-Kategorie'!$A$5:$N$45,14,0),0))&gt;0),VLOOKUP(BU401,'Gebinde-Kategorie'!$A$5:$N$45,14,0)*10+Parameter!$M$23,Parameter!$M$24))</f>
        <v>155</v>
      </c>
      <c r="BZ401" s="48" t="str">
        <f aca="false">IF(AND(Parameter!$B$19="Ja",E401&lt;&gt;"",ISNUMBER(MATCH(E401,Parameter!$I$35:$I$52,0))),VLOOKUP(E401,Parameter!$I$35:$J$52,2,0),IFERROR(VLOOKUP(D401,Parameter!$A$35:$C$64,2,0),"Nein"))</f>
        <v>2+3</v>
      </c>
      <c r="CA401" s="52" t="n">
        <f aca="false">IF(BW401=0,0,IF(N(S401)&gt;0,S401,IFERROR(VLOOKUP(D401,Parameter!$A$35:$C$64,3,0)+0,0)))</f>
        <v>0</v>
      </c>
      <c r="CB401" s="48" t="n">
        <f aca="false">IF(AA401&lt;&gt;"",AA401,Z401)</f>
        <v>3</v>
      </c>
      <c r="CC401" s="48" t="str">
        <f aca="false">IF(OR(CB401=1,CB401=2,CB401=3),IF(Parameter!$E$27="Ja","LIFT",IF(CB401=1,"L1","L23")),IF(CB401="Aussen","Aussen","-"))</f>
        <v>LIFT</v>
      </c>
      <c r="CD401" s="59" t="n">
        <f aca="false">IF(N(AB401)&gt;0,AB401,0)</f>
        <v>0</v>
      </c>
      <c r="CE401" s="53" t="n">
        <f aca="false">IF(ISNUMBER(AE401),1,0)</f>
        <v>0</v>
      </c>
      <c r="CF401" s="50" t="n">
        <f aca="false">N(AE401)</f>
        <v>0</v>
      </c>
      <c r="CG401" s="50" t="n">
        <f aca="false">N(M401)+N(N401)</f>
        <v>3159</v>
      </c>
      <c r="CH401" s="50" t="n">
        <f aca="false">ROUNDUP(H401/BV401,0)</f>
        <v>1</v>
      </c>
      <c r="CI401" s="50" t="n">
        <f aca="false">ROUNDUP(CF401/BV401,0)</f>
        <v>0</v>
      </c>
      <c r="CJ401" s="53" t="n">
        <f aca="false">IF(BW401=1,0,IFERROR(VLOOKUP(BU401,'Gebinde-Kategorie'!$A$5:$N$45,5,0)+0,0))</f>
        <v>11</v>
      </c>
      <c r="CK401" s="53" t="n">
        <f aca="false">IFERROR(IF(OR(CB401=1,CB401=2,CB401=3),N(INDEX(Parameter!$I$5:$I$7,CB401)),0),0)</f>
        <v>0</v>
      </c>
      <c r="CL401" s="52" t="n">
        <f aca="false">IF(AND(Parameter!$B$21="Ja",ISNUMBER(W401),N(X401)&gt;0),IFERROR(N(INDEX(Parameter!$L$5:$L$7,W401))*INDEX(Parameter!$E$5:$E$7,W401)*X401/SUMIFS($X$7:$X$1843,$W$7:$W$1843,W401),0),0)</f>
        <v>0</v>
      </c>
    </row>
    <row r="402" customFormat="false" ht="15" hidden="false" customHeight="false" outlineLevel="0" collapsed="false">
      <c r="A402" s="48" t="s">
        <v>942</v>
      </c>
      <c r="B402" s="48" t="s">
        <v>943</v>
      </c>
      <c r="C402" s="48" t="s">
        <v>168</v>
      </c>
      <c r="D402" s="48" t="s">
        <v>177</v>
      </c>
      <c r="E402" s="48"/>
      <c r="F402" s="48" t="s">
        <v>222</v>
      </c>
      <c r="G402" s="49" t="n">
        <v>43</v>
      </c>
      <c r="H402" s="50" t="n">
        <f aca="false">MAX(0,IF(AND(Parameter!$B$21="Ja",ISNUMBER(Y402)),Y402,IF(Parameter!$B$20="Jahresanfang 2025 + Export",BO402+BN402,BN402)))</f>
        <v>10</v>
      </c>
      <c r="I402" s="50" t="n">
        <f aca="false">H402*G402</f>
        <v>430</v>
      </c>
      <c r="J402" s="50" t="n">
        <f aca="false">BQ402*Parameter!$B$18</f>
        <v>12</v>
      </c>
      <c r="K402" s="51" t="n">
        <v>2</v>
      </c>
      <c r="L402" s="52" t="n">
        <v>6</v>
      </c>
      <c r="M402" s="50" t="n">
        <v>1</v>
      </c>
      <c r="N402" s="50" t="n">
        <v>10</v>
      </c>
      <c r="O402" s="53" t="n">
        <v>42</v>
      </c>
      <c r="P402" s="48" t="s">
        <v>172</v>
      </c>
      <c r="Q402" s="50"/>
      <c r="R402" s="53" t="n">
        <f aca="false">IF(BW402=1,0,IFERROR(VLOOKUP(BU402,'Gebinde-Kategorie'!$A$5:$N$45,13,0)+0,0))</f>
        <v>12</v>
      </c>
      <c r="S402" s="54"/>
      <c r="T402" s="55" t="s">
        <v>183</v>
      </c>
      <c r="U402" s="55"/>
      <c r="V402" s="55"/>
      <c r="W402" s="48"/>
      <c r="X402" s="50"/>
      <c r="Y402" s="50"/>
      <c r="Z402" s="48" t="n">
        <f aca="false">IF(A402="","",IF(AND(Parameter!$B$21="Ja",ISNUMBER(W402)),W402,IF(BZ402="2+3",IF(ISNUMBER(SEARCH("grosser Artikel",BR402)),2,IFERROR(VLOOKUP(BU402,Parameter!$F$35:$G$64,2,0),2)),IF(OR(BZ402="Nein",BZ402=""),"-",BZ402))))</f>
        <v>2</v>
      </c>
      <c r="AA402" s="55"/>
      <c r="AB402" s="56"/>
      <c r="AC402" s="50" t="n">
        <f aca="false">AT402</f>
        <v>20</v>
      </c>
      <c r="AD402" s="50" t="n">
        <f aca="false">MAX(AT402,H402)</f>
        <v>20</v>
      </c>
      <c r="AE402" s="57"/>
      <c r="AF402" s="50" t="n">
        <f aca="false">IF(LEFT(Cockpit!$C$5,1)="A",H402,IF(CE402=1,CF402,IF(LEFT(Cockpit!$C$5,1)="B",AK402,MAX(AK402,H402))))</f>
        <v>10</v>
      </c>
      <c r="AG402" s="50" t="n">
        <f aca="false">IF(BW402=1,0,ROUNDUP(AF402/BV402,0))</f>
        <v>1</v>
      </c>
      <c r="AH402" s="52" t="n">
        <f aca="false">IF(CL402&gt;0,CL402*MAX(1,AF402/X402),IF(BW402=1,IF(AF402&lt;=0,0,CA402*MAX(1,IF(H402&gt;0,AF402/H402,1))),IF(R402&gt;0,AG402/R402,0))/MAX(0.1,N(Parameter!$M$21)))</f>
        <v>0.0833333333333333</v>
      </c>
      <c r="AI402" s="50" t="n">
        <f aca="false">AH402*BY402</f>
        <v>12.0833333333333</v>
      </c>
      <c r="AJ402" s="50" t="n">
        <f aca="false">AF402*G402</f>
        <v>430</v>
      </c>
      <c r="AK402" s="50" t="n">
        <f aca="false">ROUNDUP(MAX(J402/IF(CD402&gt;0,CD402,MAX(0.1,N(Cockpit!$C$6))),CG402)/BV402,0)*BV402</f>
        <v>20</v>
      </c>
      <c r="AL402" s="51" t="n">
        <f aca="false">IF(AI402&gt;0,J402/AI402,-1)</f>
        <v>0.993103448275862</v>
      </c>
      <c r="AM402" s="51" t="n">
        <f aca="false">IF(AND(OR(CC402="L1",CC402="L23",CC402="LIFT"),AI402&gt;0),SUMIFS($AI$7:$AI$1843,$CC$7:$CC$1843,CC402,$AL$7:$AL$1843,"&gt;"&amp;AL402)+SUMIFS($AI$7:$AI$1843,$CC$7:$CC$1843,CC402,$AL$7:$AL$1843,AL402,$BT$7:$BT$1843,"&lt;="&amp;BT402),"")</f>
        <v>7062.5260989011</v>
      </c>
      <c r="AN402" s="58" t="n">
        <f aca="false">IF(AM402="",0,MAX(0,MIN(1,(IF(CC402="L1",Parameter!$H$5,IF(CC402="L23",Parameter!$H$6+Parameter!$H$7,Parameter!$H$5+Parameter!$H$6+Parameter!$H$7))-(AM402-AI402))/AI402)))</f>
        <v>1</v>
      </c>
      <c r="AO402" s="50" t="n">
        <f aca="false">IF(LEFT(Cockpit!$I$5,1)="A",H402,IF(CE402=1,CF402,IF(LEFT(Cockpit!$I$5,1)="B",AT402,MAX(AT402,H402))))</f>
        <v>20</v>
      </c>
      <c r="AP402" s="50" t="n">
        <f aca="false">IF(BW402=1,0,ROUNDUP(AO402/BV402,0))</f>
        <v>2</v>
      </c>
      <c r="AQ402" s="52" t="n">
        <f aca="false">IF(CL402&gt;0,CL402*MAX(1,AO402/X402),IF(BW402=1,IF(AO402&lt;=0,0,CA402*MAX(1,IF(H402&gt;0,AO402/H402,1))),IF(R402&gt;0,AP402/R402,0))/MAX(0.1,N(Parameter!$M$21)))</f>
        <v>0.166666666666667</v>
      </c>
      <c r="AR402" s="50" t="n">
        <f aca="false">AQ402*BY402</f>
        <v>24.1666666666667</v>
      </c>
      <c r="AS402" s="50" t="n">
        <f aca="false">AO402*G402</f>
        <v>860</v>
      </c>
      <c r="AT402" s="50" t="n">
        <f aca="false">ROUNDUP(MAX(J402/IF(CD402&gt;0,CD402,MAX(0.1,N(Cockpit!$I$6))),CG402)/BV402,0)*BV402</f>
        <v>20</v>
      </c>
      <c r="AU402" s="51" t="n">
        <f aca="false">IF(AR402&gt;0,J402/AR402,-1)</f>
        <v>0.496551724137931</v>
      </c>
      <c r="AV402" s="51" t="n">
        <f aca="false">IF(AND(OR(CC402="L1",CC402="L23",CC402="LIFT"),AR402&gt;0),SUMIFS($AR$7:$AR$1843,$CC$7:$CC$1843,CC402,$AU$7:$AU$1843,"&gt;"&amp;AU402)+SUMIFS($AR$7:$AR$1843,$CC$7:$CC$1843,CC402,$AU$7:$AU$1843,AU402,$BT$7:$BT$1843,"&lt;="&amp;BT402),"")</f>
        <v>14066.4235347985</v>
      </c>
      <c r="AW402" s="58" t="n">
        <f aca="false">IF(AV402="",0,MAX(0,MIN(1,(IF(CC402="L1",Parameter!$H$5,IF(CC402="L23",Parameter!$H$6+Parameter!$H$7,Parameter!$H$5+Parameter!$H$6+Parameter!$H$7))-(AV402-AR402))/AR402)))</f>
        <v>1</v>
      </c>
      <c r="AX402" s="50" t="n">
        <f aca="false">IF(LEFT(Cockpit!$O$5,1)="A",H402,IF(CE402=1,CF402,IF(LEFT(Cockpit!$O$5,1)="B",BC402,MAX(BC402,H402))))</f>
        <v>20</v>
      </c>
      <c r="AY402" s="50" t="n">
        <f aca="false">IF(BW402=1,0,ROUNDUP(AX402/BV402,0))</f>
        <v>2</v>
      </c>
      <c r="AZ402" s="52" t="n">
        <f aca="false">IF(CL402&gt;0,CL402*MAX(1,AX402/X402),IF(BW402=1,IF(AX402&lt;=0,0,CA402*MAX(1,IF(H402&gt;0,AX402/H402,1))),IF(R402&gt;0,AY402/R402,0))/MAX(0.1,N(Parameter!$M$21)))</f>
        <v>0.166666666666667</v>
      </c>
      <c r="BA402" s="50" t="n">
        <f aca="false">AZ402*BY402</f>
        <v>24.1666666666667</v>
      </c>
      <c r="BB402" s="50" t="n">
        <f aca="false">AX402*G402</f>
        <v>860</v>
      </c>
      <c r="BC402" s="50" t="n">
        <f aca="false">ROUNDUP(MAX(J402/IF(CD402&gt;0,CD402,MAX(0.1,N(Cockpit!$O$6))),CG402)/BV402,0)*BV402</f>
        <v>20</v>
      </c>
      <c r="BD402" s="51" t="n">
        <f aca="false">IF(BA402&gt;0,J402/BA402,-1)</f>
        <v>0.496551724137931</v>
      </c>
      <c r="BE402" s="51" t="n">
        <f aca="false">IF(AND(OR(CC402="L1",CC402="L23",CC402="LIFT"),BA402&gt;0),SUMIFS($BA$7:$BA$1843,$CC$7:$CC$1843,CC402,$BD$7:$BD$1843,"&gt;"&amp;BD402)+SUMIFS($BA$7:$BA$1843,$CC$7:$CC$1843,CC402,$BD$7:$BD$1843,BD402,$BT$7:$BT$1843,"&lt;="&amp;BT402),"")</f>
        <v>13062.0805860806</v>
      </c>
      <c r="BF402" s="58" t="n">
        <f aca="false">IF(BE402="",0,MAX(0,MIN(1,(IF(CC402="L1",Parameter!$H$5,IF(CC402="L23",Parameter!$H$6+Parameter!$H$7,Parameter!$H$5+Parameter!$H$6+Parameter!$H$7))-(BE402-BA402))/BA402)))</f>
        <v>1</v>
      </c>
      <c r="BG402" s="48" t="str">
        <f aca="false">IF(AI402&lt;=0,"",IF(CC402="Aussen","Aussenlager",IF(CC402="-","Nicht im Lift",IF(AN402&gt;=1,"Lift",IF(AN402&lt;=0,"Aussenlager","teilweise")))))</f>
        <v>Lift</v>
      </c>
      <c r="BH402" s="48" t="str">
        <f aca="false">IF(AR402&lt;=0,"",IF(CC402="Aussen","Aussenlager",IF(CC402="-","Nicht im Lift",IF(AW402&gt;=1,"Lift",IF(AW402&lt;=0,"Aussenlager","teilweise")))))</f>
        <v>Lift</v>
      </c>
      <c r="BI402" s="48" t="str">
        <f aca="false">IF(BA402&lt;=0,"",IF(CC402="Aussen","Aussenlager",IF(CC402="-","Nicht im Lift",IF(BF402&gt;=1,"Lift",IF(BF402&lt;=0,"Aussenlager","teilweise")))))</f>
        <v>Lift</v>
      </c>
      <c r="BJ402" s="48" t="str">
        <f aca="false">IF(A402="","",IF(BS402=1,"Neu; ","")&amp;IF(AND(BS402=0,BN402&lt;0),"negativer Bestand (Export "&amp;BN402&amp;"); ","")&amp;IF(J402&lt;=0,"Kein Verbrauch; ","")&amp;IF(CL402&gt;0,"Lift "&amp;W402&amp;" lt. Liftbericht (Fach "&amp;X402&amp;" Stk); ",IF(BX402=1,"Gebinde geschätzt ("&amp;T402&amp;"); ",IF(BW402=1,"Lose – Tablare geschätzt; ","")))&amp;IF(H402&gt;AT402,"Überbestand "&amp;ROUND(H402-AT402,0)&amp;" Stk / CHF "&amp;ROUND((H402-AT402)*G402,0)&amp;"; ","")&amp;IF(AND(CE402=1,CF402&lt;CG402),"MAX &lt; MB+LG; ","")&amp;IF(AND(CK402&gt;0,CJ402*10&gt;CK402),"zu hoch für Tablar; ","")&amp;IF(AND(BS402=0,OR(CE402=1,AA402&lt;&gt;"",U402&lt;&gt;"",V402&lt;&gt;"",AB402&lt;&gt;"")),"manuell übersteuert; ","")&amp;IF(AND(BW402=0,R402=0),"Gebinde unbekannt / Stellmass fehlt; ","")&amp;IF(AND(BW402=0,N(V402)&lt;=0,N(Q402)&lt;=0),"Menge pro Gebinde fehlt (Ist = 1 Gebinde); ","")&amp;BR402)</f>
        <v>Gebinde geschätzt (Mittel); Menge pro Gebinde fehlt (Ist = 1 Gebinde); </v>
      </c>
      <c r="BK402" s="48"/>
      <c r="BL402" s="48"/>
      <c r="BM402" s="55"/>
      <c r="BN402" s="50" t="n">
        <v>6</v>
      </c>
      <c r="BO402" s="50" t="n">
        <v>4</v>
      </c>
      <c r="BP402" s="49" t="n">
        <v>110</v>
      </c>
      <c r="BQ402" s="50" t="n">
        <v>12</v>
      </c>
      <c r="BR402" s="48"/>
      <c r="BS402" s="53" t="n">
        <v>0</v>
      </c>
      <c r="BT402" s="53" t="n">
        <v>402</v>
      </c>
      <c r="BU402" s="48" t="str">
        <f aca="false">IF(U402&lt;&gt;"",UPPER(TRIM(U402)),IF(BX402=1,UPPER(VLOOKUP(T402,Parameter!$I$27:$K$29,2,0)),IF(P402="","LOSE",P402)))</f>
        <v>S61</v>
      </c>
      <c r="BV402" s="50" t="n">
        <f aca="false">IF(BU402="LOSE",1,IF(N(V402)&gt;0,V402,IF(BX402=1,MAX(1,N(VLOOKUP(T402,Parameter!$I$27:$K$29,3,0)),H402,N(N402)),IF(N(Q402)&gt;0,Q402,MAX(1,H402)))))</f>
        <v>10</v>
      </c>
      <c r="BW402" s="53" t="n">
        <f aca="false">IF(BU402="LOSE",1,0)</f>
        <v>0</v>
      </c>
      <c r="BX402" s="53" t="n">
        <f aca="false">IF(AND(U402="",OR(P402="",P402="LOSE"),T402&lt;&gt;"",N(S402)&lt;=0,ISNUMBER(MATCH(T402,Parameter!$I$27:$I$29,0))),1,0)</f>
        <v>1</v>
      </c>
      <c r="BY402" s="53" t="n">
        <f aca="false">IF(CL402&gt;0,INDEX(Parameter!$H$5:$H$7,W402)/INDEX(Parameter!$E$5:$E$7,W402),IF(AND(BW402=0,N(IFERROR(VLOOKUP(BU402,'Gebinde-Kategorie'!$A$5:$N$45,14,0),0))&gt;0),VLOOKUP(BU402,'Gebinde-Kategorie'!$A$5:$N$45,14,0)*10+Parameter!$M$23,Parameter!$M$24))</f>
        <v>145</v>
      </c>
      <c r="BZ402" s="48" t="str">
        <f aca="false">IF(AND(Parameter!$B$19="Ja",E402&lt;&gt;"",ISNUMBER(MATCH(E402,Parameter!$I$35:$I$52,0))),VLOOKUP(E402,Parameter!$I$35:$J$52,2,0),IFERROR(VLOOKUP(D402,Parameter!$A$35:$C$64,2,0),"Nein"))</f>
        <v>2+3</v>
      </c>
      <c r="CA402" s="52" t="n">
        <f aca="false">IF(BW402=0,0,IF(N(S402)&gt;0,S402,IFERROR(VLOOKUP(D402,Parameter!$A$35:$C$64,3,0)+0,0)))</f>
        <v>0</v>
      </c>
      <c r="CB402" s="48" t="n">
        <f aca="false">IF(AA402&lt;&gt;"",AA402,Z402)</f>
        <v>2</v>
      </c>
      <c r="CC402" s="48" t="str">
        <f aca="false">IF(OR(CB402=1,CB402=2,CB402=3),IF(Parameter!$E$27="Ja","LIFT",IF(CB402=1,"L1","L23")),IF(CB402="Aussen","Aussen","-"))</f>
        <v>LIFT</v>
      </c>
      <c r="CD402" s="59" t="n">
        <f aca="false">IF(N(AB402)&gt;0,AB402,0)</f>
        <v>0</v>
      </c>
      <c r="CE402" s="53" t="n">
        <f aca="false">IF(ISNUMBER(AE402),1,0)</f>
        <v>0</v>
      </c>
      <c r="CF402" s="50" t="n">
        <f aca="false">N(AE402)</f>
        <v>0</v>
      </c>
      <c r="CG402" s="50" t="n">
        <f aca="false">N(M402)+N(N402)</f>
        <v>11</v>
      </c>
      <c r="CH402" s="50" t="n">
        <f aca="false">ROUNDUP(H402/BV402,0)</f>
        <v>1</v>
      </c>
      <c r="CI402" s="50" t="n">
        <f aca="false">ROUNDUP(CF402/BV402,0)</f>
        <v>0</v>
      </c>
      <c r="CJ402" s="53" t="n">
        <f aca="false">IF(BW402=1,0,IFERROR(VLOOKUP(BU402,'Gebinde-Kategorie'!$A$5:$N$45,5,0)+0,0))</f>
        <v>11</v>
      </c>
      <c r="CK402" s="53" t="n">
        <f aca="false">IFERROR(IF(OR(CB402=1,CB402=2,CB402=3),N(INDEX(Parameter!$I$5:$I$7,CB402)),0),0)</f>
        <v>0</v>
      </c>
      <c r="CL402" s="52" t="n">
        <f aca="false">IF(AND(Parameter!$B$21="Ja",ISNUMBER(W402),N(X402)&gt;0),IFERROR(N(INDEX(Parameter!$L$5:$L$7,W402))*INDEX(Parameter!$E$5:$E$7,W402)*X402/SUMIFS($X$7:$X$1843,$W$7:$W$1843,W402),0),0)</f>
        <v>0</v>
      </c>
    </row>
    <row r="403" customFormat="false" ht="15" hidden="false" customHeight="false" outlineLevel="0" collapsed="false">
      <c r="A403" s="48" t="s">
        <v>944</v>
      </c>
      <c r="B403" s="48" t="s">
        <v>945</v>
      </c>
      <c r="C403" s="48" t="s">
        <v>168</v>
      </c>
      <c r="D403" s="48" t="s">
        <v>177</v>
      </c>
      <c r="E403" s="48" t="s">
        <v>374</v>
      </c>
      <c r="F403" s="48" t="s">
        <v>222</v>
      </c>
      <c r="G403" s="49" t="n">
        <v>406.5</v>
      </c>
      <c r="H403" s="50" t="n">
        <f aca="false">MAX(0,IF(AND(Parameter!$B$21="Ja",ISNUMBER(Y403)),Y403,IF(Parameter!$B$20="Jahresanfang 2025 + Export",BO403+BN403,BN403)))</f>
        <v>1</v>
      </c>
      <c r="I403" s="50" t="n">
        <f aca="false">H403*G403</f>
        <v>406.5</v>
      </c>
      <c r="J403" s="50" t="n">
        <f aca="false">BQ403*Parameter!$B$18</f>
        <v>12</v>
      </c>
      <c r="K403" s="51" t="n">
        <v>0.5</v>
      </c>
      <c r="L403" s="52" t="n">
        <v>24</v>
      </c>
      <c r="M403" s="50" t="n">
        <v>0</v>
      </c>
      <c r="N403" s="50" t="n">
        <v>1</v>
      </c>
      <c r="O403" s="53" t="n">
        <v>14</v>
      </c>
      <c r="P403" s="48" t="s">
        <v>172</v>
      </c>
      <c r="Q403" s="50"/>
      <c r="R403" s="53" t="n">
        <f aca="false">IF(BW403=1,0,IFERROR(VLOOKUP(BU403,'Gebinde-Kategorie'!$A$5:$N$45,13,0)+0,0))</f>
        <v>4</v>
      </c>
      <c r="S403" s="54"/>
      <c r="T403" s="55" t="s">
        <v>193</v>
      </c>
      <c r="U403" s="55"/>
      <c r="V403" s="55"/>
      <c r="W403" s="48"/>
      <c r="X403" s="50"/>
      <c r="Y403" s="50"/>
      <c r="Z403" s="48" t="str">
        <f aca="false">IF(A403="","",IF(AND(Parameter!$B$21="Ja",ISNUMBER(W403)),W403,IF(BZ403="2+3",IF(ISNUMBER(SEARCH("grosser Artikel",BR403)),2,IFERROR(VLOOKUP(BU403,Parameter!$F$35:$G$64,2,0),2)),IF(OR(BZ403="Nein",BZ403=""),"-",BZ403))))</f>
        <v>-</v>
      </c>
      <c r="AA403" s="55"/>
      <c r="AB403" s="56"/>
      <c r="AC403" s="50" t="n">
        <f aca="false">AT403</f>
        <v>6</v>
      </c>
      <c r="AD403" s="50" t="n">
        <f aca="false">MAX(AT403,H403)</f>
        <v>6</v>
      </c>
      <c r="AE403" s="57"/>
      <c r="AF403" s="50" t="n">
        <f aca="false">IF(LEFT(Cockpit!$C$5,1)="A",H403,IF(CE403=1,CF403,IF(LEFT(Cockpit!$C$5,1)="B",AK403,MAX(AK403,H403))))</f>
        <v>1</v>
      </c>
      <c r="AG403" s="50" t="n">
        <f aca="false">IF(BW403=1,0,ROUNDUP(AF403/BV403,0))</f>
        <v>1</v>
      </c>
      <c r="AH403" s="52" t="n">
        <f aca="false">IF(CL403&gt;0,CL403*MAX(1,AF403/X403),IF(BW403=1,IF(AF403&lt;=0,0,CA403*MAX(1,IF(H403&gt;0,AF403/H403,1))),IF(R403&gt;0,AG403/R403,0))/MAX(0.1,N(Parameter!$M$21)))</f>
        <v>0.25</v>
      </c>
      <c r="AI403" s="50" t="n">
        <f aca="false">AH403*BY403</f>
        <v>58.75</v>
      </c>
      <c r="AJ403" s="50" t="n">
        <f aca="false">AF403*G403</f>
        <v>406.5</v>
      </c>
      <c r="AK403" s="50" t="n">
        <f aca="false">ROUNDUP(MAX(J403/IF(CD403&gt;0,CD403,MAX(0.1,N(Cockpit!$C$6))),CG403)/BV403,0)*BV403</f>
        <v>6</v>
      </c>
      <c r="AL403" s="51" t="n">
        <f aca="false">IF(AI403&gt;0,J403/AI403,-1)</f>
        <v>0.204255319148936</v>
      </c>
      <c r="AM403" s="51" t="str">
        <f aca="false">IF(AND(OR(CC403="L1",CC403="L23",CC403="LIFT"),AI403&gt;0),SUMIFS($AI$7:$AI$1843,$CC$7:$CC$1843,CC403,$AL$7:$AL$1843,"&gt;"&amp;AL403)+SUMIFS($AI$7:$AI$1843,$CC$7:$CC$1843,CC403,$AL$7:$AL$1843,AL403,$BT$7:$BT$1843,"&lt;="&amp;BT403),"")</f>
        <v/>
      </c>
      <c r="AN403" s="58" t="n">
        <f aca="false">IF(AM403="",0,MAX(0,MIN(1,(IF(CC403="L1",Parameter!$H$5,IF(CC403="L23",Parameter!$H$6+Parameter!$H$7,Parameter!$H$5+Parameter!$H$6+Parameter!$H$7))-(AM403-AI403))/AI403)))</f>
        <v>0</v>
      </c>
      <c r="AO403" s="50" t="n">
        <f aca="false">IF(LEFT(Cockpit!$I$5,1)="A",H403,IF(CE403=1,CF403,IF(LEFT(Cockpit!$I$5,1)="B",AT403,MAX(AT403,H403))))</f>
        <v>6</v>
      </c>
      <c r="AP403" s="50" t="n">
        <f aca="false">IF(BW403=1,0,ROUNDUP(AO403/BV403,0))</f>
        <v>3</v>
      </c>
      <c r="AQ403" s="52" t="n">
        <f aca="false">IF(CL403&gt;0,CL403*MAX(1,AO403/X403),IF(BW403=1,IF(AO403&lt;=0,0,CA403*MAX(1,IF(H403&gt;0,AO403/H403,1))),IF(R403&gt;0,AP403/R403,0))/MAX(0.1,N(Parameter!$M$21)))</f>
        <v>0.75</v>
      </c>
      <c r="AR403" s="50" t="n">
        <f aca="false">AQ403*BY403</f>
        <v>176.25</v>
      </c>
      <c r="AS403" s="50" t="n">
        <f aca="false">AO403*G403</f>
        <v>2439</v>
      </c>
      <c r="AT403" s="50" t="n">
        <f aca="false">ROUNDUP(MAX(J403/IF(CD403&gt;0,CD403,MAX(0.1,N(Cockpit!$I$6))),CG403)/BV403,0)*BV403</f>
        <v>6</v>
      </c>
      <c r="AU403" s="51" t="n">
        <f aca="false">IF(AR403&gt;0,J403/AR403,-1)</f>
        <v>0.0680851063829787</v>
      </c>
      <c r="AV403" s="51" t="str">
        <f aca="false">IF(AND(OR(CC403="L1",CC403="L23",CC403="LIFT"),AR403&gt;0),SUMIFS($AR$7:$AR$1843,$CC$7:$CC$1843,CC403,$AU$7:$AU$1843,"&gt;"&amp;AU403)+SUMIFS($AR$7:$AR$1843,$CC$7:$CC$1843,CC403,$AU$7:$AU$1843,AU403,$BT$7:$BT$1843,"&lt;="&amp;BT403),"")</f>
        <v/>
      </c>
      <c r="AW403" s="58" t="n">
        <f aca="false">IF(AV403="",0,MAX(0,MIN(1,(IF(CC403="L1",Parameter!$H$5,IF(CC403="L23",Parameter!$H$6+Parameter!$H$7,Parameter!$H$5+Parameter!$H$6+Parameter!$H$7))-(AV403-AR403))/AR403)))</f>
        <v>0</v>
      </c>
      <c r="AX403" s="50" t="n">
        <f aca="false">IF(LEFT(Cockpit!$O$5,1)="A",H403,IF(CE403=1,CF403,IF(LEFT(Cockpit!$O$5,1)="B",BC403,MAX(BC403,H403))))</f>
        <v>4</v>
      </c>
      <c r="AY403" s="50" t="n">
        <f aca="false">IF(BW403=1,0,ROUNDUP(AX403/BV403,0))</f>
        <v>2</v>
      </c>
      <c r="AZ403" s="52" t="n">
        <f aca="false">IF(CL403&gt;0,CL403*MAX(1,AX403/X403),IF(BW403=1,IF(AX403&lt;=0,0,CA403*MAX(1,IF(H403&gt;0,AX403/H403,1))),IF(R403&gt;0,AY403/R403,0))/MAX(0.1,N(Parameter!$M$21)))</f>
        <v>0.5</v>
      </c>
      <c r="BA403" s="50" t="n">
        <f aca="false">AZ403*BY403</f>
        <v>117.5</v>
      </c>
      <c r="BB403" s="50" t="n">
        <f aca="false">AX403*G403</f>
        <v>1626</v>
      </c>
      <c r="BC403" s="50" t="n">
        <f aca="false">ROUNDUP(MAX(J403/IF(CD403&gt;0,CD403,MAX(0.1,N(Cockpit!$O$6))),CG403)/BV403,0)*BV403</f>
        <v>4</v>
      </c>
      <c r="BD403" s="51" t="n">
        <f aca="false">IF(BA403&gt;0,J403/BA403,-1)</f>
        <v>0.102127659574468</v>
      </c>
      <c r="BE403" s="51" t="str">
        <f aca="false">IF(AND(OR(CC403="L1",CC403="L23",CC403="LIFT"),BA403&gt;0),SUMIFS($BA$7:$BA$1843,$CC$7:$CC$1843,CC403,$BD$7:$BD$1843,"&gt;"&amp;BD403)+SUMIFS($BA$7:$BA$1843,$CC$7:$CC$1843,CC403,$BD$7:$BD$1843,BD403,$BT$7:$BT$1843,"&lt;="&amp;BT403),"")</f>
        <v/>
      </c>
      <c r="BF403" s="58" t="n">
        <f aca="false">IF(BE403="",0,MAX(0,MIN(1,(IF(CC403="L1",Parameter!$H$5,IF(CC403="L23",Parameter!$H$6+Parameter!$H$7,Parameter!$H$5+Parameter!$H$6+Parameter!$H$7))-(BE403-BA403))/BA403)))</f>
        <v>0</v>
      </c>
      <c r="BG403" s="48" t="str">
        <f aca="false">IF(AI403&lt;=0,"",IF(CC403="Aussen","Aussenlager",IF(CC403="-","Nicht im Lift",IF(AN403&gt;=1,"Lift",IF(AN403&lt;=0,"Aussenlager","teilweise")))))</f>
        <v>Nicht im Lift</v>
      </c>
      <c r="BH403" s="48" t="str">
        <f aca="false">IF(AR403&lt;=0,"",IF(CC403="Aussen","Aussenlager",IF(CC403="-","Nicht im Lift",IF(AW403&gt;=1,"Lift",IF(AW403&lt;=0,"Aussenlager","teilweise")))))</f>
        <v>Nicht im Lift</v>
      </c>
      <c r="BI403" s="48" t="str">
        <f aca="false">IF(BA403&lt;=0,"",IF(CC403="Aussen","Aussenlager",IF(CC403="-","Nicht im Lift",IF(BF403&gt;=1,"Lift",IF(BF403&lt;=0,"Aussenlager","teilweise")))))</f>
        <v>Nicht im Lift</v>
      </c>
      <c r="BJ403" s="48" t="str">
        <f aca="false">IF(A403="","",IF(BS403=1,"Neu; ","")&amp;IF(AND(BS403=0,BN403&lt;0),"negativer Bestand (Export "&amp;BN403&amp;"); ","")&amp;IF(J403&lt;=0,"Kein Verbrauch; ","")&amp;IF(CL403&gt;0,"Lift "&amp;W403&amp;" lt. Liftbericht (Fach "&amp;X403&amp;" Stk); ",IF(BX403=1,"Gebinde geschätzt ("&amp;T403&amp;"); ",IF(BW403=1,"Lose – Tablare geschätzt; ","")))&amp;IF(H403&gt;AT403,"Überbestand "&amp;ROUND(H403-AT403,0)&amp;" Stk / CHF "&amp;ROUND((H403-AT403)*G403,0)&amp;"; ","")&amp;IF(AND(CE403=1,CF403&lt;CG403),"MAX &lt; MB+LG; ","")&amp;IF(AND(CK403&gt;0,CJ403*10&gt;CK403),"zu hoch für Tablar; ","")&amp;IF(AND(BS403=0,OR(CE403=1,AA403&lt;&gt;"",U403&lt;&gt;"",V403&lt;&gt;"",AB403&lt;&gt;"")),"manuell übersteuert; ","")&amp;IF(AND(BW403=0,R403=0),"Gebinde unbekannt / Stellmass fehlt; ","")&amp;IF(AND(BW403=0,N(V403)&lt;=0,N(Q403)&lt;=0),"Menge pro Gebinde fehlt (Ist = 1 Gebinde); ","")&amp;BR403)</f>
        <v>Gebinde geschätzt (Gross); Menge pro Gebinde fehlt (Ist = 1 Gebinde); </v>
      </c>
      <c r="BK403" s="48"/>
      <c r="BL403" s="48"/>
      <c r="BM403" s="55"/>
      <c r="BN403" s="50" t="n">
        <v>0</v>
      </c>
      <c r="BO403" s="50" t="n">
        <v>1</v>
      </c>
      <c r="BP403" s="49" t="n">
        <v>108.3</v>
      </c>
      <c r="BQ403" s="50" t="n">
        <v>12</v>
      </c>
      <c r="BR403" s="48"/>
      <c r="BS403" s="53" t="n">
        <v>0</v>
      </c>
      <c r="BT403" s="53" t="n">
        <v>403</v>
      </c>
      <c r="BU403" s="48" t="str">
        <f aca="false">IF(U403&lt;&gt;"",UPPER(TRIM(U403)),IF(BX403=1,UPPER(VLOOKUP(T403,Parameter!$I$27:$K$29,2,0)),IF(P403="","LOSE",P403)))</f>
        <v>S81</v>
      </c>
      <c r="BV403" s="50" t="n">
        <f aca="false">IF(BU403="LOSE",1,IF(N(V403)&gt;0,V403,IF(BX403=1,MAX(1,N(VLOOKUP(T403,Parameter!$I$27:$K$29,3,0)),H403,N(N403)),IF(N(Q403)&gt;0,Q403,MAX(1,H403)))))</f>
        <v>2</v>
      </c>
      <c r="BW403" s="53" t="n">
        <f aca="false">IF(BU403="LOSE",1,0)</f>
        <v>0</v>
      </c>
      <c r="BX403" s="53" t="n">
        <f aca="false">IF(AND(U403="",OR(P403="",P403="LOSE"),T403&lt;&gt;"",N(S403)&lt;=0,ISNUMBER(MATCH(T403,Parameter!$I$27:$I$29,0))),1,0)</f>
        <v>1</v>
      </c>
      <c r="BY403" s="53" t="n">
        <f aca="false">IF(CL403&gt;0,INDEX(Parameter!$H$5:$H$7,W403)/INDEX(Parameter!$E$5:$E$7,W403),IF(AND(BW403=0,N(IFERROR(VLOOKUP(BU403,'Gebinde-Kategorie'!$A$5:$N$45,14,0),0))&gt;0),VLOOKUP(BU403,'Gebinde-Kategorie'!$A$5:$N$45,14,0)*10+Parameter!$M$23,Parameter!$M$24))</f>
        <v>235</v>
      </c>
      <c r="BZ403" s="48" t="str">
        <f aca="false">IF(AND(Parameter!$B$19="Ja",E403&lt;&gt;"",ISNUMBER(MATCH(E403,Parameter!$I$35:$I$52,0))),VLOOKUP(E403,Parameter!$I$35:$J$52,2,0),IFERROR(VLOOKUP(D403,Parameter!$A$35:$C$64,2,0),"Nein"))</f>
        <v>Nein</v>
      </c>
      <c r="CA403" s="52" t="n">
        <f aca="false">IF(BW403=0,0,IF(N(S403)&gt;0,S403,IFERROR(VLOOKUP(D403,Parameter!$A$35:$C$64,3,0)+0,0)))</f>
        <v>0</v>
      </c>
      <c r="CB403" s="48" t="str">
        <f aca="false">IF(AA403&lt;&gt;"",AA403,Z403)</f>
        <v>-</v>
      </c>
      <c r="CC403" s="48" t="str">
        <f aca="false">IF(OR(CB403=1,CB403=2,CB403=3),IF(Parameter!$E$27="Ja","LIFT",IF(CB403=1,"L1","L23")),IF(CB403="Aussen","Aussen","-"))</f>
        <v>-</v>
      </c>
      <c r="CD403" s="59" t="n">
        <f aca="false">IF(N(AB403)&gt;0,AB403,0)</f>
        <v>0</v>
      </c>
      <c r="CE403" s="53" t="n">
        <f aca="false">IF(ISNUMBER(AE403),1,0)</f>
        <v>0</v>
      </c>
      <c r="CF403" s="50" t="n">
        <f aca="false">N(AE403)</f>
        <v>0</v>
      </c>
      <c r="CG403" s="50" t="n">
        <f aca="false">N(M403)+N(N403)</f>
        <v>1</v>
      </c>
      <c r="CH403" s="50" t="n">
        <f aca="false">ROUNDUP(H403/BV403,0)</f>
        <v>1</v>
      </c>
      <c r="CI403" s="50" t="n">
        <f aca="false">ROUNDUP(CF403/BV403,0)</f>
        <v>0</v>
      </c>
      <c r="CJ403" s="53" t="n">
        <f aca="false">IF(BW403=1,0,IFERROR(VLOOKUP(BU403,'Gebinde-Kategorie'!$A$5:$N$45,5,0)+0,0))</f>
        <v>20</v>
      </c>
      <c r="CK403" s="53" t="n">
        <f aca="false">IFERROR(IF(OR(CB403=1,CB403=2,CB403=3),N(INDEX(Parameter!$I$5:$I$7,CB403)),0),0)</f>
        <v>0</v>
      </c>
      <c r="CL403" s="52" t="n">
        <f aca="false">IF(AND(Parameter!$B$21="Ja",ISNUMBER(W403),N(X403)&gt;0),IFERROR(N(INDEX(Parameter!$L$5:$L$7,W403))*INDEX(Parameter!$E$5:$E$7,W403)*X403/SUMIFS($X$7:$X$1843,$W$7:$W$1843,W403),0),0)</f>
        <v>0</v>
      </c>
    </row>
    <row r="404" customFormat="false" ht="15" hidden="false" customHeight="false" outlineLevel="0" collapsed="false">
      <c r="A404" s="48" t="s">
        <v>946</v>
      </c>
      <c r="B404" s="48" t="s">
        <v>947</v>
      </c>
      <c r="C404" s="48" t="s">
        <v>168</v>
      </c>
      <c r="D404" s="48" t="s">
        <v>188</v>
      </c>
      <c r="E404" s="48" t="s">
        <v>189</v>
      </c>
      <c r="F404" s="48" t="s">
        <v>222</v>
      </c>
      <c r="G404" s="49" t="n">
        <v>10.8</v>
      </c>
      <c r="H404" s="50" t="n">
        <f aca="false">MAX(0,IF(AND(Parameter!$B$21="Ja",ISNUMBER(Y404)),Y404,IF(Parameter!$B$20="Jahresanfang 2025 + Export",BO404+BN404,BN404)))</f>
        <v>12</v>
      </c>
      <c r="I404" s="50" t="n">
        <f aca="false">H404*G404</f>
        <v>129.6</v>
      </c>
      <c r="J404" s="50" t="n">
        <f aca="false">BQ404*Parameter!$B$18</f>
        <v>7</v>
      </c>
      <c r="K404" s="51" t="n">
        <v>2</v>
      </c>
      <c r="L404" s="52" t="n">
        <v>3.5</v>
      </c>
      <c r="M404" s="50" t="n">
        <v>0</v>
      </c>
      <c r="N404" s="50" t="n">
        <v>5</v>
      </c>
      <c r="O404" s="53" t="n">
        <v>28</v>
      </c>
      <c r="P404" s="48" t="s">
        <v>480</v>
      </c>
      <c r="Q404" s="50" t="n">
        <v>5</v>
      </c>
      <c r="R404" s="53" t="n">
        <f aca="false">IF(BW404=1,0,IFERROR(VLOOKUP(BU404,'Gebinde-Kategorie'!$A$5:$N$45,13,0)+0,0))</f>
        <v>52</v>
      </c>
      <c r="S404" s="54"/>
      <c r="T404" s="55"/>
      <c r="U404" s="55"/>
      <c r="V404" s="55"/>
      <c r="W404" s="48"/>
      <c r="X404" s="50"/>
      <c r="Y404" s="50"/>
      <c r="Z404" s="48" t="n">
        <f aca="false">IF(A404="","",IF(AND(Parameter!$B$21="Ja",ISNUMBER(W404)),W404,IF(BZ404="2+3",IF(ISNUMBER(SEARCH("grosser Artikel",BR404)),2,IFERROR(VLOOKUP(BU404,Parameter!$F$35:$G$64,2,0),2)),IF(OR(BZ404="Nein",BZ404=""),"-",BZ404))))</f>
        <v>3</v>
      </c>
      <c r="AA404" s="55"/>
      <c r="AB404" s="56"/>
      <c r="AC404" s="50" t="n">
        <f aca="false">AT404</f>
        <v>5</v>
      </c>
      <c r="AD404" s="50" t="n">
        <f aca="false">MAX(AT404,H404)</f>
        <v>12</v>
      </c>
      <c r="AE404" s="57"/>
      <c r="AF404" s="50" t="n">
        <f aca="false">IF(LEFT(Cockpit!$C$5,1)="A",H404,IF(CE404=1,CF404,IF(LEFT(Cockpit!$C$5,1)="B",AK404,MAX(AK404,H404))))</f>
        <v>12</v>
      </c>
      <c r="AG404" s="50" t="n">
        <f aca="false">IF(BW404=1,0,ROUNDUP(AF404/BV404,0))</f>
        <v>3</v>
      </c>
      <c r="AH404" s="52" t="n">
        <f aca="false">IF(CL404&gt;0,CL404*MAX(1,AF404/X404),IF(BW404=1,IF(AF404&lt;=0,0,CA404*MAX(1,IF(H404&gt;0,AF404/H404,1))),IF(R404&gt;0,AG404/R404,0))/MAX(0.1,N(Parameter!$M$21)))</f>
        <v>0.0576923076923077</v>
      </c>
      <c r="AI404" s="50" t="n">
        <f aca="false">AH404*BY404</f>
        <v>8.94230769230769</v>
      </c>
      <c r="AJ404" s="50" t="n">
        <f aca="false">AF404*G404</f>
        <v>129.6</v>
      </c>
      <c r="AK404" s="50" t="n">
        <f aca="false">ROUNDUP(MAX(J404/IF(CD404&gt;0,CD404,MAX(0.1,N(Cockpit!$C$6))),CG404)/BV404,0)*BV404</f>
        <v>5</v>
      </c>
      <c r="AL404" s="51" t="n">
        <f aca="false">IF(AI404&gt;0,J404/AI404,-1)</f>
        <v>0.782795698924731</v>
      </c>
      <c r="AM404" s="51" t="n">
        <f aca="false">IF(AND(OR(CC404="L1",CC404="L23",CC404="LIFT"),AI404&gt;0),SUMIFS($AI$7:$AI$1843,$CC$7:$CC$1843,CC404,$AL$7:$AL$1843,"&gt;"&amp;AL404)+SUMIFS($AI$7:$AI$1843,$CC$7:$CC$1843,CC404,$AL$7:$AL$1843,AL404,$BT$7:$BT$1843,"&lt;="&amp;BT404),"")</f>
        <v>8055.15064102564</v>
      </c>
      <c r="AN404" s="58" t="n">
        <f aca="false">IF(AM404="",0,MAX(0,MIN(1,(IF(CC404="L1",Parameter!$H$5,IF(CC404="L23",Parameter!$H$6+Parameter!$H$7,Parameter!$H$5+Parameter!$H$6+Parameter!$H$7))-(AM404-AI404))/AI404)))</f>
        <v>1</v>
      </c>
      <c r="AO404" s="50" t="n">
        <f aca="false">IF(LEFT(Cockpit!$I$5,1)="A",H404,IF(CE404=1,CF404,IF(LEFT(Cockpit!$I$5,1)="B",AT404,MAX(AT404,H404))))</f>
        <v>12</v>
      </c>
      <c r="AP404" s="50" t="n">
        <f aca="false">IF(BW404=1,0,ROUNDUP(AO404/BV404,0))</f>
        <v>3</v>
      </c>
      <c r="AQ404" s="52" t="n">
        <f aca="false">IF(CL404&gt;0,CL404*MAX(1,AO404/X404),IF(BW404=1,IF(AO404&lt;=0,0,CA404*MAX(1,IF(H404&gt;0,AO404/H404,1))),IF(R404&gt;0,AP404/R404,0))/MAX(0.1,N(Parameter!$M$21)))</f>
        <v>0.0576923076923077</v>
      </c>
      <c r="AR404" s="50" t="n">
        <f aca="false">AQ404*BY404</f>
        <v>8.94230769230769</v>
      </c>
      <c r="AS404" s="50" t="n">
        <f aca="false">AO404*G404</f>
        <v>129.6</v>
      </c>
      <c r="AT404" s="50" t="n">
        <f aca="false">ROUNDUP(MAX(J404/IF(CD404&gt;0,CD404,MAX(0.1,N(Cockpit!$I$6))),CG404)/BV404,0)*BV404</f>
        <v>5</v>
      </c>
      <c r="AU404" s="51" t="n">
        <f aca="false">IF(AR404&gt;0,J404/AR404,-1)</f>
        <v>0.782795698924731</v>
      </c>
      <c r="AV404" s="51" t="n">
        <f aca="false">IF(AND(OR(CC404="L1",CC404="L23",CC404="LIFT"),AR404&gt;0),SUMIFS($AR$7:$AR$1843,$CC$7:$CC$1843,CC404,$AU$7:$AU$1843,"&gt;"&amp;AU404)+SUMIFS($AR$7:$AR$1843,$CC$7:$CC$1843,CC404,$AU$7:$AU$1843,AU404,$BT$7:$BT$1843,"&lt;="&amp;BT404),"")</f>
        <v>11419.4523809524</v>
      </c>
      <c r="AW404" s="58" t="n">
        <f aca="false">IF(AV404="",0,MAX(0,MIN(1,(IF(CC404="L1",Parameter!$H$5,IF(CC404="L23",Parameter!$H$6+Parameter!$H$7,Parameter!$H$5+Parameter!$H$6+Parameter!$H$7))-(AV404-AR404))/AR404)))</f>
        <v>1</v>
      </c>
      <c r="AX404" s="50" t="n">
        <f aca="false">IF(LEFT(Cockpit!$O$5,1)="A",H404,IF(CE404=1,CF404,IF(LEFT(Cockpit!$O$5,1)="B",BC404,MAX(BC404,H404))))</f>
        <v>12</v>
      </c>
      <c r="AY404" s="50" t="n">
        <f aca="false">IF(BW404=1,0,ROUNDUP(AX404/BV404,0))</f>
        <v>3</v>
      </c>
      <c r="AZ404" s="52" t="n">
        <f aca="false">IF(CL404&gt;0,CL404*MAX(1,AX404/X404),IF(BW404=1,IF(AX404&lt;=0,0,CA404*MAX(1,IF(H404&gt;0,AX404/H404,1))),IF(R404&gt;0,AY404/R404,0))/MAX(0.1,N(Parameter!$M$21)))</f>
        <v>0.0576923076923077</v>
      </c>
      <c r="BA404" s="50" t="n">
        <f aca="false">AZ404*BY404</f>
        <v>8.94230769230769</v>
      </c>
      <c r="BB404" s="50" t="n">
        <f aca="false">AX404*G404</f>
        <v>129.6</v>
      </c>
      <c r="BC404" s="50" t="n">
        <f aca="false">ROUNDUP(MAX(J404/IF(CD404&gt;0,CD404,MAX(0.1,N(Cockpit!$O$6))),CG404)/BV404,0)*BV404</f>
        <v>5</v>
      </c>
      <c r="BD404" s="51" t="n">
        <f aca="false">IF(BA404&gt;0,J404/BA404,-1)</f>
        <v>0.782795698924731</v>
      </c>
      <c r="BE404" s="51" t="n">
        <f aca="false">IF(AND(OR(CC404="L1",CC404="L23",CC404="LIFT"),BA404&gt;0),SUMIFS($BA$7:$BA$1843,$CC$7:$CC$1843,CC404,$BD$7:$BD$1843,"&gt;"&amp;BD404)+SUMIFS($BA$7:$BA$1843,$CC$7:$CC$1843,CC404,$BD$7:$BD$1843,BD404,$BT$7:$BT$1843,"&lt;="&amp;BT404),"")</f>
        <v>11019.2760989011</v>
      </c>
      <c r="BF404" s="58" t="n">
        <f aca="false">IF(BE404="",0,MAX(0,MIN(1,(IF(CC404="L1",Parameter!$H$5,IF(CC404="L23",Parameter!$H$6+Parameter!$H$7,Parameter!$H$5+Parameter!$H$6+Parameter!$H$7))-(BE404-BA404))/BA404)))</f>
        <v>1</v>
      </c>
      <c r="BG404" s="48" t="str">
        <f aca="false">IF(AI404&lt;=0,"",IF(CC404="Aussen","Aussenlager",IF(CC404="-","Nicht im Lift",IF(AN404&gt;=1,"Lift",IF(AN404&lt;=0,"Aussenlager","teilweise")))))</f>
        <v>Lift</v>
      </c>
      <c r="BH404" s="48" t="str">
        <f aca="false">IF(AR404&lt;=0,"",IF(CC404="Aussen","Aussenlager",IF(CC404="-","Nicht im Lift",IF(AW404&gt;=1,"Lift",IF(AW404&lt;=0,"Aussenlager","teilweise")))))</f>
        <v>Lift</v>
      </c>
      <c r="BI404" s="48" t="str">
        <f aca="false">IF(BA404&lt;=0,"",IF(CC404="Aussen","Aussenlager",IF(CC404="-","Nicht im Lift",IF(BF404&gt;=1,"Lift",IF(BF404&lt;=0,"Aussenlager","teilweise")))))</f>
        <v>Lift</v>
      </c>
      <c r="BJ404" s="48" t="str">
        <f aca="false">IF(A404="","",IF(BS404=1,"Neu; ","")&amp;IF(AND(BS404=0,BN404&lt;0),"negativer Bestand (Export "&amp;BN404&amp;"); ","")&amp;IF(J404&lt;=0,"Kein Verbrauch; ","")&amp;IF(CL404&gt;0,"Lift "&amp;W404&amp;" lt. Liftbericht (Fach "&amp;X404&amp;" Stk); ",IF(BX404=1,"Gebinde geschätzt ("&amp;T404&amp;"); ",IF(BW404=1,"Lose – Tablare geschätzt; ","")))&amp;IF(H404&gt;AT404,"Überbestand "&amp;ROUND(H404-AT404,0)&amp;" Stk / CHF "&amp;ROUND((H404-AT404)*G404,0)&amp;"; ","")&amp;IF(AND(CE404=1,CF404&lt;CG404),"MAX &lt; MB+LG; ","")&amp;IF(AND(CK404&gt;0,CJ404*10&gt;CK404),"zu hoch für Tablar; ","")&amp;IF(AND(BS404=0,OR(CE404=1,AA404&lt;&gt;"",U404&lt;&gt;"",V404&lt;&gt;"",AB404&lt;&gt;"")),"manuell übersteuert; ","")&amp;IF(AND(BW404=0,R404=0),"Gebinde unbekannt / Stellmass fehlt; ","")&amp;IF(AND(BW404=0,N(V404)&lt;=0,N(Q404)&lt;=0),"Menge pro Gebinde fehlt (Ist = 1 Gebinde); ","")&amp;BR404)</f>
        <v>Überbestand 7 Stk / CHF 76; </v>
      </c>
      <c r="BK404" s="48"/>
      <c r="BL404" s="48"/>
      <c r="BM404" s="55"/>
      <c r="BN404" s="50" t="n">
        <v>10</v>
      </c>
      <c r="BO404" s="50" t="n">
        <v>2</v>
      </c>
      <c r="BP404" s="49" t="n">
        <v>108</v>
      </c>
      <c r="BQ404" s="50" t="n">
        <v>7</v>
      </c>
      <c r="BR404" s="48"/>
      <c r="BS404" s="53" t="n">
        <v>0</v>
      </c>
      <c r="BT404" s="53" t="n">
        <v>404</v>
      </c>
      <c r="BU404" s="48" t="str">
        <f aca="false">IF(U404&lt;&gt;"",UPPER(TRIM(U404)),IF(BX404=1,UPPER(VLOOKUP(T404,Parameter!$I$27:$K$29,2,0)),IF(P404="","LOSE",P404)))</f>
        <v>S33</v>
      </c>
      <c r="BV404" s="50" t="n">
        <f aca="false">IF(BU404="LOSE",1,IF(N(V404)&gt;0,V404,IF(BX404=1,MAX(1,N(VLOOKUP(T404,Parameter!$I$27:$K$29,3,0)),H404,N(N404)),IF(N(Q404)&gt;0,Q404,MAX(1,H404)))))</f>
        <v>5</v>
      </c>
      <c r="BW404" s="53" t="n">
        <f aca="false">IF(BU404="LOSE",1,0)</f>
        <v>0</v>
      </c>
      <c r="BX404" s="53" t="n">
        <f aca="false">IF(AND(U404="",OR(P404="",P404="LOSE"),T404&lt;&gt;"",N(S404)&lt;=0,ISNUMBER(MATCH(T404,Parameter!$I$27:$I$29,0))),1,0)</f>
        <v>0</v>
      </c>
      <c r="BY404" s="53" t="n">
        <f aca="false">IF(CL404&gt;0,INDEX(Parameter!$H$5:$H$7,W404)/INDEX(Parameter!$E$5:$E$7,W404),IF(AND(BW404=0,N(IFERROR(VLOOKUP(BU404,'Gebinde-Kategorie'!$A$5:$N$45,14,0),0))&gt;0),VLOOKUP(BU404,'Gebinde-Kategorie'!$A$5:$N$45,14,0)*10+Parameter!$M$23,Parameter!$M$24))</f>
        <v>155</v>
      </c>
      <c r="BZ404" s="48" t="str">
        <f aca="false">IF(AND(Parameter!$B$19="Ja",E404&lt;&gt;"",ISNUMBER(MATCH(E404,Parameter!$I$35:$I$52,0))),VLOOKUP(E404,Parameter!$I$35:$J$52,2,0),IFERROR(VLOOKUP(D404,Parameter!$A$35:$C$64,2,0),"Nein"))</f>
        <v>2+3</v>
      </c>
      <c r="CA404" s="52" t="n">
        <f aca="false">IF(BW404=0,0,IF(N(S404)&gt;0,S404,IFERROR(VLOOKUP(D404,Parameter!$A$35:$C$64,3,0)+0,0)))</f>
        <v>0</v>
      </c>
      <c r="CB404" s="48" t="n">
        <f aca="false">IF(AA404&lt;&gt;"",AA404,Z404)</f>
        <v>3</v>
      </c>
      <c r="CC404" s="48" t="str">
        <f aca="false">IF(OR(CB404=1,CB404=2,CB404=3),IF(Parameter!$E$27="Ja","LIFT",IF(CB404=1,"L1","L23")),IF(CB404="Aussen","Aussen","-"))</f>
        <v>LIFT</v>
      </c>
      <c r="CD404" s="59" t="n">
        <f aca="false">IF(N(AB404)&gt;0,AB404,0)</f>
        <v>0</v>
      </c>
      <c r="CE404" s="53" t="n">
        <f aca="false">IF(ISNUMBER(AE404),1,0)</f>
        <v>0</v>
      </c>
      <c r="CF404" s="50" t="n">
        <f aca="false">N(AE404)</f>
        <v>0</v>
      </c>
      <c r="CG404" s="50" t="n">
        <f aca="false">N(M404)+N(N404)</f>
        <v>5</v>
      </c>
      <c r="CH404" s="50" t="n">
        <f aca="false">ROUNDUP(H404/BV404,0)</f>
        <v>3</v>
      </c>
      <c r="CI404" s="50" t="n">
        <f aca="false">ROUNDUP(CF404/BV404,0)</f>
        <v>0</v>
      </c>
      <c r="CJ404" s="53" t="n">
        <f aca="false">IF(BW404=1,0,IFERROR(VLOOKUP(BU404,'Gebinde-Kategorie'!$A$5:$N$45,5,0)+0,0))</f>
        <v>8</v>
      </c>
      <c r="CK404" s="53" t="n">
        <f aca="false">IFERROR(IF(OR(CB404=1,CB404=2,CB404=3),N(INDEX(Parameter!$I$5:$I$7,CB404)),0),0)</f>
        <v>0</v>
      </c>
      <c r="CL404" s="52" t="n">
        <f aca="false">IF(AND(Parameter!$B$21="Ja",ISNUMBER(W404),N(X404)&gt;0),IFERROR(N(INDEX(Parameter!$L$5:$L$7,W404))*INDEX(Parameter!$E$5:$E$7,W404)*X404/SUMIFS($X$7:$X$1843,$W$7:$W$1843,W404),0),0)</f>
        <v>0</v>
      </c>
    </row>
    <row r="405" customFormat="false" ht="15" hidden="false" customHeight="false" outlineLevel="0" collapsed="false">
      <c r="A405" s="48" t="s">
        <v>948</v>
      </c>
      <c r="B405" s="48" t="s">
        <v>949</v>
      </c>
      <c r="C405" s="48" t="s">
        <v>168</v>
      </c>
      <c r="D405" s="48" t="s">
        <v>188</v>
      </c>
      <c r="E405" s="48"/>
      <c r="F405" s="48" t="s">
        <v>222</v>
      </c>
      <c r="G405" s="49" t="n">
        <v>22.9</v>
      </c>
      <c r="H405" s="50" t="n">
        <f aca="false">MAX(0,IF(AND(Parameter!$B$21="Ja",ISNUMBER(Y405)),Y405,IF(Parameter!$B$20="Jahresanfang 2025 + Export",BO405+BN405,BN405)))</f>
        <v>4.685</v>
      </c>
      <c r="I405" s="50" t="n">
        <f aca="false">H405*G405</f>
        <v>107.2865</v>
      </c>
      <c r="J405" s="50" t="n">
        <f aca="false">BQ405*Parameter!$B$18</f>
        <v>0</v>
      </c>
      <c r="K405" s="51" t="n">
        <v>0</v>
      </c>
      <c r="L405" s="52" t="n">
        <v>0</v>
      </c>
      <c r="M405" s="50" t="n">
        <v>1</v>
      </c>
      <c r="N405" s="50" t="n">
        <v>5</v>
      </c>
      <c r="O405" s="53" t="n">
        <v>0</v>
      </c>
      <c r="P405" s="48" t="s">
        <v>172</v>
      </c>
      <c r="Q405" s="50"/>
      <c r="R405" s="53" t="n">
        <f aca="false">IF(BW405=1,0,IFERROR(VLOOKUP(BU405,'Gebinde-Kategorie'!$A$5:$N$45,13,0)+0,0))</f>
        <v>26</v>
      </c>
      <c r="S405" s="54"/>
      <c r="T405" s="55" t="s">
        <v>279</v>
      </c>
      <c r="U405" s="55"/>
      <c r="V405" s="55"/>
      <c r="W405" s="48"/>
      <c r="X405" s="50"/>
      <c r="Y405" s="50"/>
      <c r="Z405" s="48" t="n">
        <f aca="false">IF(A405="","",IF(AND(Parameter!$B$21="Ja",ISNUMBER(W405)),W405,IF(BZ405="2+3",IF(ISNUMBER(SEARCH("grosser Artikel",BR405)),2,IFERROR(VLOOKUP(BU405,Parameter!$F$35:$G$64,2,0),2)),IF(OR(BZ405="Nein",BZ405=""),"-",BZ405))))</f>
        <v>3</v>
      </c>
      <c r="AA405" s="55"/>
      <c r="AB405" s="56"/>
      <c r="AC405" s="50" t="n">
        <f aca="false">AT405</f>
        <v>20</v>
      </c>
      <c r="AD405" s="50" t="n">
        <f aca="false">MAX(AT405,H405)</f>
        <v>20</v>
      </c>
      <c r="AE405" s="57"/>
      <c r="AF405" s="50" t="n">
        <f aca="false">IF(LEFT(Cockpit!$C$5,1)="A",H405,IF(CE405=1,CF405,IF(LEFT(Cockpit!$C$5,1)="B",AK405,MAX(AK405,H405))))</f>
        <v>4.685</v>
      </c>
      <c r="AG405" s="50" t="n">
        <f aca="false">IF(BW405=1,0,ROUNDUP(AF405/BV405,0))</f>
        <v>1</v>
      </c>
      <c r="AH405" s="52" t="n">
        <f aca="false">IF(CL405&gt;0,CL405*MAX(1,AF405/X405),IF(BW405=1,IF(AF405&lt;=0,0,CA405*MAX(1,IF(H405&gt;0,AF405/H405,1))),IF(R405&gt;0,AG405/R405,0))/MAX(0.1,N(Parameter!$M$21)))</f>
        <v>0.0384615384615385</v>
      </c>
      <c r="AI405" s="50" t="n">
        <f aca="false">AH405*BY405</f>
        <v>5.96153846153846</v>
      </c>
      <c r="AJ405" s="50" t="n">
        <f aca="false">AF405*G405</f>
        <v>107.2865</v>
      </c>
      <c r="AK405" s="50" t="n">
        <f aca="false">ROUNDUP(MAX(J405/IF(CD405&gt;0,CD405,MAX(0.1,N(Cockpit!$C$6))),CG405)/BV405,0)*BV405</f>
        <v>20</v>
      </c>
      <c r="AL405" s="51" t="n">
        <f aca="false">IF(AI405&gt;0,J405/AI405,-1)</f>
        <v>0</v>
      </c>
      <c r="AM405" s="51" t="n">
        <f aca="false">IF(AND(OR(CC405="L1",CC405="L23",CC405="LIFT"),AI405&gt;0),SUMIFS($AI$7:$AI$1843,$CC$7:$CC$1843,CC405,$AL$7:$AL$1843,"&gt;"&amp;AL405)+SUMIFS($AI$7:$AI$1843,$CC$7:$CC$1843,CC405,$AL$7:$AL$1843,AL405,$BT$7:$BT$1843,"&lt;="&amp;BT405),"")</f>
        <v>28086.2313952526</v>
      </c>
      <c r="AN405" s="58" t="n">
        <f aca="false">IF(AM405="",0,MAX(0,MIN(1,(IF(CC405="L1",Parameter!$H$5,IF(CC405="L23",Parameter!$H$6+Parameter!$H$7,Parameter!$H$5+Parameter!$H$6+Parameter!$H$7))-(AM405-AI405))/AI405)))</f>
        <v>1</v>
      </c>
      <c r="AO405" s="50" t="n">
        <f aca="false">IF(LEFT(Cockpit!$I$5,1)="A",H405,IF(CE405=1,CF405,IF(LEFT(Cockpit!$I$5,1)="B",AT405,MAX(AT405,H405))))</f>
        <v>20</v>
      </c>
      <c r="AP405" s="50" t="n">
        <f aca="false">IF(BW405=1,0,ROUNDUP(AO405/BV405,0))</f>
        <v>1</v>
      </c>
      <c r="AQ405" s="52" t="n">
        <f aca="false">IF(CL405&gt;0,CL405*MAX(1,AO405/X405),IF(BW405=1,IF(AO405&lt;=0,0,CA405*MAX(1,IF(H405&gt;0,AO405/H405,1))),IF(R405&gt;0,AP405/R405,0))/MAX(0.1,N(Parameter!$M$21)))</f>
        <v>0.0384615384615385</v>
      </c>
      <c r="AR405" s="50" t="n">
        <f aca="false">AQ405*BY405</f>
        <v>5.96153846153846</v>
      </c>
      <c r="AS405" s="50" t="n">
        <f aca="false">AO405*G405</f>
        <v>458</v>
      </c>
      <c r="AT405" s="50" t="n">
        <f aca="false">ROUNDUP(MAX(J405/IF(CD405&gt;0,CD405,MAX(0.1,N(Cockpit!$I$6))),CG405)/BV405,0)*BV405</f>
        <v>20</v>
      </c>
      <c r="AU405" s="51" t="n">
        <f aca="false">IF(AR405&gt;0,J405/AR405,-1)</f>
        <v>0</v>
      </c>
      <c r="AV405" s="51" t="n">
        <f aca="false">IF(AND(OR(CC405="L1",CC405="L23",CC405="LIFT"),AR405&gt;0),SUMIFS($AR$7:$AR$1843,$CC$7:$CC$1843,CC405,$AU$7:$AU$1843,"&gt;"&amp;AU405)+SUMIFS($AR$7:$AR$1843,$CC$7:$CC$1843,CC405,$AU$7:$AU$1843,AU405,$BT$7:$BT$1843,"&lt;="&amp;BT405),"")</f>
        <v>39399.1369125225</v>
      </c>
      <c r="AW405" s="58" t="n">
        <f aca="false">IF(AV405="",0,MAX(0,MIN(1,(IF(CC405="L1",Parameter!$H$5,IF(CC405="L23",Parameter!$H$6+Parameter!$H$7,Parameter!$H$5+Parameter!$H$6+Parameter!$H$7))-(AV405-AR405))/AR405)))</f>
        <v>0</v>
      </c>
      <c r="AX405" s="50" t="n">
        <f aca="false">IF(LEFT(Cockpit!$O$5,1)="A",H405,IF(CE405=1,CF405,IF(LEFT(Cockpit!$O$5,1)="B",BC405,MAX(BC405,H405))))</f>
        <v>20</v>
      </c>
      <c r="AY405" s="50" t="n">
        <f aca="false">IF(BW405=1,0,ROUNDUP(AX405/BV405,0))</f>
        <v>1</v>
      </c>
      <c r="AZ405" s="52" t="n">
        <f aca="false">IF(CL405&gt;0,CL405*MAX(1,AX405/X405),IF(BW405=1,IF(AX405&lt;=0,0,CA405*MAX(1,IF(H405&gt;0,AX405/H405,1))),IF(R405&gt;0,AY405/R405,0))/MAX(0.1,N(Parameter!$M$21)))</f>
        <v>0.0384615384615385</v>
      </c>
      <c r="BA405" s="50" t="n">
        <f aca="false">AZ405*BY405</f>
        <v>5.96153846153846</v>
      </c>
      <c r="BB405" s="50" t="n">
        <f aca="false">AX405*G405</f>
        <v>458</v>
      </c>
      <c r="BC405" s="50" t="n">
        <f aca="false">ROUNDUP(MAX(J405/IF(CD405&gt;0,CD405,MAX(0.1,N(Cockpit!$O$6))),CG405)/BV405,0)*BV405</f>
        <v>20</v>
      </c>
      <c r="BD405" s="51" t="n">
        <f aca="false">IF(BA405&gt;0,J405/BA405,-1)</f>
        <v>0</v>
      </c>
      <c r="BE405" s="51" t="n">
        <f aca="false">IF(AND(OR(CC405="L1",CC405="L23",CC405="LIFT"),BA405&gt;0),SUMIFS($BA$7:$BA$1843,$CC$7:$CC$1843,CC405,$BD$7:$BD$1843,"&gt;"&amp;BD405)+SUMIFS($BA$7:$BA$1843,$CC$7:$CC$1843,CC405,$BD$7:$BD$1843,BD405,$BT$7:$BT$1843,"&lt;="&amp;BT405),"")</f>
        <v>36074.1489543884</v>
      </c>
      <c r="BF405" s="58" t="n">
        <f aca="false">IF(BE405="",0,MAX(0,MIN(1,(IF(CC405="L1",Parameter!$H$5,IF(CC405="L23",Parameter!$H$6+Parameter!$H$7,Parameter!$H$5+Parameter!$H$6+Parameter!$H$7))-(BE405-BA405))/BA405)))</f>
        <v>0</v>
      </c>
      <c r="BG405" s="48" t="str">
        <f aca="false">IF(AI405&lt;=0,"",IF(CC405="Aussen","Aussenlager",IF(CC405="-","Nicht im Lift",IF(AN405&gt;=1,"Lift",IF(AN405&lt;=0,"Aussenlager","teilweise")))))</f>
        <v>Lift</v>
      </c>
      <c r="BH405" s="48" t="str">
        <f aca="false">IF(AR405&lt;=0,"",IF(CC405="Aussen","Aussenlager",IF(CC405="-","Nicht im Lift",IF(AW405&gt;=1,"Lift",IF(AW405&lt;=0,"Aussenlager","teilweise")))))</f>
        <v>Aussenlager</v>
      </c>
      <c r="BI405" s="48" t="str">
        <f aca="false">IF(BA405&lt;=0,"",IF(CC405="Aussen","Aussenlager",IF(CC405="-","Nicht im Lift",IF(BF405&gt;=1,"Lift",IF(BF405&lt;=0,"Aussenlager","teilweise")))))</f>
        <v>Aussenlager</v>
      </c>
      <c r="BJ405" s="48" t="str">
        <f aca="false">IF(A405="","",IF(BS405=1,"Neu; ","")&amp;IF(AND(BS405=0,BN405&lt;0),"negativer Bestand (Export "&amp;BN405&amp;"); ","")&amp;IF(J405&lt;=0,"Kein Verbrauch; ","")&amp;IF(CL405&gt;0,"Lift "&amp;W405&amp;" lt. Liftbericht (Fach "&amp;X405&amp;" Stk); ",IF(BX405=1,"Gebinde geschätzt ("&amp;T405&amp;"); ",IF(BW405=1,"Lose – Tablare geschätzt; ","")))&amp;IF(H405&gt;AT405,"Überbestand "&amp;ROUND(H405-AT405,0)&amp;" Stk / CHF "&amp;ROUND((H405-AT405)*G405,0)&amp;"; ","")&amp;IF(AND(CE405=1,CF405&lt;CG405),"MAX &lt; MB+LG; ","")&amp;IF(AND(CK405&gt;0,CJ405*10&gt;CK405),"zu hoch für Tablar; ","")&amp;IF(AND(BS405=0,OR(CE405=1,AA405&lt;&gt;"",U405&lt;&gt;"",V405&lt;&gt;"",AB405&lt;&gt;"")),"manuell übersteuert; ","")&amp;IF(AND(BW405=0,R405=0),"Gebinde unbekannt / Stellmass fehlt; ","")&amp;IF(AND(BW405=0,N(V405)&lt;=0,N(Q405)&lt;=0),"Menge pro Gebinde fehlt (Ist = 1 Gebinde); ","")&amp;BR405)</f>
        <v>Kein Verbrauch; Gebinde geschätzt (Klein); Menge pro Gebinde fehlt (Ist = 1 Gebinde); </v>
      </c>
      <c r="BK405" s="48"/>
      <c r="BL405" s="48"/>
      <c r="BM405" s="55"/>
      <c r="BN405" s="50" t="n">
        <v>4.685</v>
      </c>
      <c r="BO405" s="50" t="n">
        <v>0</v>
      </c>
      <c r="BP405" s="49" t="n">
        <v>107.29</v>
      </c>
      <c r="BQ405" s="50" t="n">
        <v>0</v>
      </c>
      <c r="BR405" s="48"/>
      <c r="BS405" s="53" t="n">
        <v>0</v>
      </c>
      <c r="BT405" s="53" t="n">
        <v>405</v>
      </c>
      <c r="BU405" s="48" t="str">
        <f aca="false">IF(U405&lt;&gt;"",UPPER(TRIM(U405)),IF(BX405=1,UPPER(VLOOKUP(T405,Parameter!$I$27:$K$29,2,0)),IF(P405="","LOSE",P405)))</f>
        <v>S51</v>
      </c>
      <c r="BV405" s="50" t="n">
        <f aca="false">IF(BU405="LOSE",1,IF(N(V405)&gt;0,V405,IF(BX405=1,MAX(1,N(VLOOKUP(T405,Parameter!$I$27:$K$29,3,0)),H405,N(N405)),IF(N(Q405)&gt;0,Q405,MAX(1,H405)))))</f>
        <v>20</v>
      </c>
      <c r="BW405" s="53" t="n">
        <f aca="false">IF(BU405="LOSE",1,0)</f>
        <v>0</v>
      </c>
      <c r="BX405" s="53" t="n">
        <f aca="false">IF(AND(U405="",OR(P405="",P405="LOSE"),T405&lt;&gt;"",N(S405)&lt;=0,ISNUMBER(MATCH(T405,Parameter!$I$27:$I$29,0))),1,0)</f>
        <v>1</v>
      </c>
      <c r="BY405" s="53" t="n">
        <f aca="false">IF(CL405&gt;0,INDEX(Parameter!$H$5:$H$7,W405)/INDEX(Parameter!$E$5:$E$7,W405),IF(AND(BW405=0,N(IFERROR(VLOOKUP(BU405,'Gebinde-Kategorie'!$A$5:$N$45,14,0),0))&gt;0),VLOOKUP(BU405,'Gebinde-Kategorie'!$A$5:$N$45,14,0)*10+Parameter!$M$23,Parameter!$M$24))</f>
        <v>155</v>
      </c>
      <c r="BZ405" s="48" t="str">
        <f aca="false">IF(AND(Parameter!$B$19="Ja",E405&lt;&gt;"",ISNUMBER(MATCH(E405,Parameter!$I$35:$I$52,0))),VLOOKUP(E405,Parameter!$I$35:$J$52,2,0),IFERROR(VLOOKUP(D405,Parameter!$A$35:$C$64,2,0),"Nein"))</f>
        <v>2+3</v>
      </c>
      <c r="CA405" s="52" t="n">
        <f aca="false">IF(BW405=0,0,IF(N(S405)&gt;0,S405,IFERROR(VLOOKUP(D405,Parameter!$A$35:$C$64,3,0)+0,0)))</f>
        <v>0</v>
      </c>
      <c r="CB405" s="48" t="n">
        <f aca="false">IF(AA405&lt;&gt;"",AA405,Z405)</f>
        <v>3</v>
      </c>
      <c r="CC405" s="48" t="str">
        <f aca="false">IF(OR(CB405=1,CB405=2,CB405=3),IF(Parameter!$E$27="Ja","LIFT",IF(CB405=1,"L1","L23")),IF(CB405="Aussen","Aussen","-"))</f>
        <v>LIFT</v>
      </c>
      <c r="CD405" s="59" t="n">
        <f aca="false">IF(N(AB405)&gt;0,AB405,0)</f>
        <v>0</v>
      </c>
      <c r="CE405" s="53" t="n">
        <f aca="false">IF(ISNUMBER(AE405),1,0)</f>
        <v>0</v>
      </c>
      <c r="CF405" s="50" t="n">
        <f aca="false">N(AE405)</f>
        <v>0</v>
      </c>
      <c r="CG405" s="50" t="n">
        <f aca="false">N(M405)+N(N405)</f>
        <v>6</v>
      </c>
      <c r="CH405" s="50" t="n">
        <f aca="false">ROUNDUP(H405/BV405,0)</f>
        <v>1</v>
      </c>
      <c r="CI405" s="50" t="n">
        <f aca="false">ROUNDUP(CF405/BV405,0)</f>
        <v>0</v>
      </c>
      <c r="CJ405" s="53" t="n">
        <f aca="false">IF(BW405=1,0,IFERROR(VLOOKUP(BU405,'Gebinde-Kategorie'!$A$5:$N$45,5,0)+0,0))</f>
        <v>11</v>
      </c>
      <c r="CK405" s="53" t="n">
        <f aca="false">IFERROR(IF(OR(CB405=1,CB405=2,CB405=3),N(INDEX(Parameter!$I$5:$I$7,CB405)),0),0)</f>
        <v>0</v>
      </c>
      <c r="CL405" s="52" t="n">
        <f aca="false">IF(AND(Parameter!$B$21="Ja",ISNUMBER(W405),N(X405)&gt;0),IFERROR(N(INDEX(Parameter!$L$5:$L$7,W405))*INDEX(Parameter!$E$5:$E$7,W405)*X405/SUMIFS($X$7:$X$1843,$W$7:$W$1843,W405),0),0)</f>
        <v>0</v>
      </c>
    </row>
    <row r="406" customFormat="false" ht="15" hidden="false" customHeight="false" outlineLevel="0" collapsed="false">
      <c r="A406" s="48" t="s">
        <v>950</v>
      </c>
      <c r="B406" s="48" t="s">
        <v>951</v>
      </c>
      <c r="C406" s="48" t="s">
        <v>168</v>
      </c>
      <c r="D406" s="48" t="s">
        <v>188</v>
      </c>
      <c r="E406" s="48"/>
      <c r="F406" s="48" t="s">
        <v>222</v>
      </c>
      <c r="G406" s="49" t="n">
        <v>4.65</v>
      </c>
      <c r="H406" s="50" t="n">
        <f aca="false">MAX(0,IF(AND(Parameter!$B$21="Ja",ISNUMBER(Y406)),Y406,IF(Parameter!$B$20="Jahresanfang 2025 + Export",BO406+BN406,BN406)))</f>
        <v>23</v>
      </c>
      <c r="I406" s="50" t="n">
        <f aca="false">H406*G406</f>
        <v>106.95</v>
      </c>
      <c r="J406" s="50" t="n">
        <f aca="false">BQ406*Parameter!$B$18</f>
        <v>0</v>
      </c>
      <c r="K406" s="51" t="n">
        <v>0</v>
      </c>
      <c r="L406" s="52" t="n">
        <v>0</v>
      </c>
      <c r="M406" s="50" t="n">
        <v>0</v>
      </c>
      <c r="N406" s="50" t="n">
        <v>5</v>
      </c>
      <c r="O406" s="53" t="n">
        <v>9999</v>
      </c>
      <c r="P406" s="48" t="s">
        <v>172</v>
      </c>
      <c r="Q406" s="50"/>
      <c r="R406" s="53" t="n">
        <f aca="false">IF(BW406=1,0,IFERROR(VLOOKUP(BU406,'Gebinde-Kategorie'!$A$5:$N$45,13,0)+0,0))</f>
        <v>26</v>
      </c>
      <c r="S406" s="54"/>
      <c r="T406" s="55" t="s">
        <v>279</v>
      </c>
      <c r="U406" s="55"/>
      <c r="V406" s="55"/>
      <c r="W406" s="48"/>
      <c r="X406" s="50"/>
      <c r="Y406" s="50"/>
      <c r="Z406" s="48" t="n">
        <f aca="false">IF(A406="","",IF(AND(Parameter!$B$21="Ja",ISNUMBER(W406)),W406,IF(BZ406="2+3",IF(ISNUMBER(SEARCH("grosser Artikel",BR406)),2,IFERROR(VLOOKUP(BU406,Parameter!$F$35:$G$64,2,0),2)),IF(OR(BZ406="Nein",BZ406=""),"-",BZ406))))</f>
        <v>3</v>
      </c>
      <c r="AA406" s="55"/>
      <c r="AB406" s="56"/>
      <c r="AC406" s="50" t="n">
        <f aca="false">AT406</f>
        <v>23</v>
      </c>
      <c r="AD406" s="50" t="n">
        <f aca="false">MAX(AT406,H406)</f>
        <v>23</v>
      </c>
      <c r="AE406" s="57"/>
      <c r="AF406" s="50" t="n">
        <f aca="false">IF(LEFT(Cockpit!$C$5,1)="A",H406,IF(CE406=1,CF406,IF(LEFT(Cockpit!$C$5,1)="B",AK406,MAX(AK406,H406))))</f>
        <v>23</v>
      </c>
      <c r="AG406" s="50" t="n">
        <f aca="false">IF(BW406=1,0,ROUNDUP(AF406/BV406,0))</f>
        <v>1</v>
      </c>
      <c r="AH406" s="52" t="n">
        <f aca="false">IF(CL406&gt;0,CL406*MAX(1,AF406/X406),IF(BW406=1,IF(AF406&lt;=0,0,CA406*MAX(1,IF(H406&gt;0,AF406/H406,1))),IF(R406&gt;0,AG406/R406,0))/MAX(0.1,N(Parameter!$M$21)))</f>
        <v>0.0384615384615385</v>
      </c>
      <c r="AI406" s="50" t="n">
        <f aca="false">AH406*BY406</f>
        <v>5.96153846153846</v>
      </c>
      <c r="AJ406" s="50" t="n">
        <f aca="false">AF406*G406</f>
        <v>106.95</v>
      </c>
      <c r="AK406" s="50" t="n">
        <f aca="false">ROUNDUP(MAX(J406/IF(CD406&gt;0,CD406,MAX(0.1,N(Cockpit!$C$6))),CG406)/BV406,0)*BV406</f>
        <v>23</v>
      </c>
      <c r="AL406" s="51" t="n">
        <f aca="false">IF(AI406&gt;0,J406/AI406,-1)</f>
        <v>0</v>
      </c>
      <c r="AM406" s="51" t="n">
        <f aca="false">IF(AND(OR(CC406="L1",CC406="L23",CC406="LIFT"),AI406&gt;0),SUMIFS($AI$7:$AI$1843,$CC$7:$CC$1843,CC406,$AL$7:$AL$1843,"&gt;"&amp;AL406)+SUMIFS($AI$7:$AI$1843,$CC$7:$CC$1843,CC406,$AL$7:$AL$1843,AL406,$BT$7:$BT$1843,"&lt;="&amp;BT406),"")</f>
        <v>28092.1929337141</v>
      </c>
      <c r="AN406" s="58" t="n">
        <f aca="false">IF(AM406="",0,MAX(0,MIN(1,(IF(CC406="L1",Parameter!$H$5,IF(CC406="L23",Parameter!$H$6+Parameter!$H$7,Parameter!$H$5+Parameter!$H$6+Parameter!$H$7))-(AM406-AI406))/AI406)))</f>
        <v>1</v>
      </c>
      <c r="AO406" s="50" t="n">
        <f aca="false">IF(LEFT(Cockpit!$I$5,1)="A",H406,IF(CE406=1,CF406,IF(LEFT(Cockpit!$I$5,1)="B",AT406,MAX(AT406,H406))))</f>
        <v>23</v>
      </c>
      <c r="AP406" s="50" t="n">
        <f aca="false">IF(BW406=1,0,ROUNDUP(AO406/BV406,0))</f>
        <v>1</v>
      </c>
      <c r="AQ406" s="52" t="n">
        <f aca="false">IF(CL406&gt;0,CL406*MAX(1,AO406/X406),IF(BW406=1,IF(AO406&lt;=0,0,CA406*MAX(1,IF(H406&gt;0,AO406/H406,1))),IF(R406&gt;0,AP406/R406,0))/MAX(0.1,N(Parameter!$M$21)))</f>
        <v>0.0384615384615385</v>
      </c>
      <c r="AR406" s="50" t="n">
        <f aca="false">AQ406*BY406</f>
        <v>5.96153846153846</v>
      </c>
      <c r="AS406" s="50" t="n">
        <f aca="false">AO406*G406</f>
        <v>106.95</v>
      </c>
      <c r="AT406" s="50" t="n">
        <f aca="false">ROUNDUP(MAX(J406/IF(CD406&gt;0,CD406,MAX(0.1,N(Cockpit!$I$6))),CG406)/BV406,0)*BV406</f>
        <v>23</v>
      </c>
      <c r="AU406" s="51" t="n">
        <f aca="false">IF(AR406&gt;0,J406/AR406,-1)</f>
        <v>0</v>
      </c>
      <c r="AV406" s="51" t="n">
        <f aca="false">IF(AND(OR(CC406="L1",CC406="L23",CC406="LIFT"),AR406&gt;0),SUMIFS($AR$7:$AR$1843,$CC$7:$CC$1843,CC406,$AU$7:$AU$1843,"&gt;"&amp;AU406)+SUMIFS($AR$7:$AR$1843,$CC$7:$CC$1843,CC406,$AU$7:$AU$1843,AU406,$BT$7:$BT$1843,"&lt;="&amp;BT406),"")</f>
        <v>39405.0984509841</v>
      </c>
      <c r="AW406" s="58" t="n">
        <f aca="false">IF(AV406="",0,MAX(0,MIN(1,(IF(CC406="L1",Parameter!$H$5,IF(CC406="L23",Parameter!$H$6+Parameter!$H$7,Parameter!$H$5+Parameter!$H$6+Parameter!$H$7))-(AV406-AR406))/AR406)))</f>
        <v>0</v>
      </c>
      <c r="AX406" s="50" t="n">
        <f aca="false">IF(LEFT(Cockpit!$O$5,1)="A",H406,IF(CE406=1,CF406,IF(LEFT(Cockpit!$O$5,1)="B",BC406,MAX(BC406,H406))))</f>
        <v>23</v>
      </c>
      <c r="AY406" s="50" t="n">
        <f aca="false">IF(BW406=1,0,ROUNDUP(AX406/BV406,0))</f>
        <v>1</v>
      </c>
      <c r="AZ406" s="52" t="n">
        <f aca="false">IF(CL406&gt;0,CL406*MAX(1,AX406/X406),IF(BW406=1,IF(AX406&lt;=0,0,CA406*MAX(1,IF(H406&gt;0,AX406/H406,1))),IF(R406&gt;0,AY406/R406,0))/MAX(0.1,N(Parameter!$M$21)))</f>
        <v>0.0384615384615385</v>
      </c>
      <c r="BA406" s="50" t="n">
        <f aca="false">AZ406*BY406</f>
        <v>5.96153846153846</v>
      </c>
      <c r="BB406" s="50" t="n">
        <f aca="false">AX406*G406</f>
        <v>106.95</v>
      </c>
      <c r="BC406" s="50" t="n">
        <f aca="false">ROUNDUP(MAX(J406/IF(CD406&gt;0,CD406,MAX(0.1,N(Cockpit!$O$6))),CG406)/BV406,0)*BV406</f>
        <v>23</v>
      </c>
      <c r="BD406" s="51" t="n">
        <f aca="false">IF(BA406&gt;0,J406/BA406,-1)</f>
        <v>0</v>
      </c>
      <c r="BE406" s="51" t="n">
        <f aca="false">IF(AND(OR(CC406="L1",CC406="L23",CC406="LIFT"),BA406&gt;0),SUMIFS($BA$7:$BA$1843,$CC$7:$CC$1843,CC406,$BD$7:$BD$1843,"&gt;"&amp;BD406)+SUMIFS($BA$7:$BA$1843,$CC$7:$CC$1843,CC406,$BD$7:$BD$1843,BD406,$BT$7:$BT$1843,"&lt;="&amp;BT406),"")</f>
        <v>36080.1104928499</v>
      </c>
      <c r="BF406" s="58" t="n">
        <f aca="false">IF(BE406="",0,MAX(0,MIN(1,(IF(CC406="L1",Parameter!$H$5,IF(CC406="L23",Parameter!$H$6+Parameter!$H$7,Parameter!$H$5+Parameter!$H$6+Parameter!$H$7))-(BE406-BA406))/BA406)))</f>
        <v>0</v>
      </c>
      <c r="BG406" s="48" t="str">
        <f aca="false">IF(AI406&lt;=0,"",IF(CC406="Aussen","Aussenlager",IF(CC406="-","Nicht im Lift",IF(AN406&gt;=1,"Lift",IF(AN406&lt;=0,"Aussenlager","teilweise")))))</f>
        <v>Lift</v>
      </c>
      <c r="BH406" s="48" t="str">
        <f aca="false">IF(AR406&lt;=0,"",IF(CC406="Aussen","Aussenlager",IF(CC406="-","Nicht im Lift",IF(AW406&gt;=1,"Lift",IF(AW406&lt;=0,"Aussenlager","teilweise")))))</f>
        <v>Aussenlager</v>
      </c>
      <c r="BI406" s="48" t="str">
        <f aca="false">IF(BA406&lt;=0,"",IF(CC406="Aussen","Aussenlager",IF(CC406="-","Nicht im Lift",IF(BF406&gt;=1,"Lift",IF(BF406&lt;=0,"Aussenlager","teilweise")))))</f>
        <v>Aussenlager</v>
      </c>
      <c r="BJ406" s="48" t="str">
        <f aca="false">IF(A406="","",IF(BS406=1,"Neu; ","")&amp;IF(AND(BS406=0,BN406&lt;0),"negativer Bestand (Export "&amp;BN406&amp;"); ","")&amp;IF(J406&lt;=0,"Kein Verbrauch; ","")&amp;IF(CL406&gt;0,"Lift "&amp;W406&amp;" lt. Liftbericht (Fach "&amp;X406&amp;" Stk); ",IF(BX406=1,"Gebinde geschätzt ("&amp;T406&amp;"); ",IF(BW406=1,"Lose – Tablare geschätzt; ","")))&amp;IF(H406&gt;AT406,"Überbestand "&amp;ROUND(H406-AT406,0)&amp;" Stk / CHF "&amp;ROUND((H406-AT406)*G406,0)&amp;"; ","")&amp;IF(AND(CE406=1,CF406&lt;CG406),"MAX &lt; MB+LG; ","")&amp;IF(AND(CK406&gt;0,CJ406*10&gt;CK406),"zu hoch für Tablar; ","")&amp;IF(AND(BS406=0,OR(CE406=1,AA406&lt;&gt;"",U406&lt;&gt;"",V406&lt;&gt;"",AB406&lt;&gt;"")),"manuell übersteuert; ","")&amp;IF(AND(BW406=0,R406=0),"Gebinde unbekannt / Stellmass fehlt; ","")&amp;IF(AND(BW406=0,N(V406)&lt;=0,N(Q406)&lt;=0),"Menge pro Gebinde fehlt (Ist = 1 Gebinde); ","")&amp;BR406)</f>
        <v>Kein Verbrauch; Gebinde geschätzt (Klein); Menge pro Gebinde fehlt (Ist = 1 Gebinde); </v>
      </c>
      <c r="BK406" s="48"/>
      <c r="BL406" s="48"/>
      <c r="BM406" s="55"/>
      <c r="BN406" s="50" t="n">
        <v>23</v>
      </c>
      <c r="BO406" s="50" t="n">
        <v>0</v>
      </c>
      <c r="BP406" s="49" t="n">
        <v>106.95</v>
      </c>
      <c r="BQ406" s="50" t="n">
        <v>0</v>
      </c>
      <c r="BR406" s="48"/>
      <c r="BS406" s="53" t="n">
        <v>0</v>
      </c>
      <c r="BT406" s="53" t="n">
        <v>406</v>
      </c>
      <c r="BU406" s="48" t="str">
        <f aca="false">IF(U406&lt;&gt;"",UPPER(TRIM(U406)),IF(BX406=1,UPPER(VLOOKUP(T406,Parameter!$I$27:$K$29,2,0)),IF(P406="","LOSE",P406)))</f>
        <v>S51</v>
      </c>
      <c r="BV406" s="50" t="n">
        <f aca="false">IF(BU406="LOSE",1,IF(N(V406)&gt;0,V406,IF(BX406=1,MAX(1,N(VLOOKUP(T406,Parameter!$I$27:$K$29,3,0)),H406,N(N406)),IF(N(Q406)&gt;0,Q406,MAX(1,H406)))))</f>
        <v>23</v>
      </c>
      <c r="BW406" s="53" t="n">
        <f aca="false">IF(BU406="LOSE",1,0)</f>
        <v>0</v>
      </c>
      <c r="BX406" s="53" t="n">
        <f aca="false">IF(AND(U406="",OR(P406="",P406="LOSE"),T406&lt;&gt;"",N(S406)&lt;=0,ISNUMBER(MATCH(T406,Parameter!$I$27:$I$29,0))),1,0)</f>
        <v>1</v>
      </c>
      <c r="BY406" s="53" t="n">
        <f aca="false">IF(CL406&gt;0,INDEX(Parameter!$H$5:$H$7,W406)/INDEX(Parameter!$E$5:$E$7,W406),IF(AND(BW406=0,N(IFERROR(VLOOKUP(BU406,'Gebinde-Kategorie'!$A$5:$N$45,14,0),0))&gt;0),VLOOKUP(BU406,'Gebinde-Kategorie'!$A$5:$N$45,14,0)*10+Parameter!$M$23,Parameter!$M$24))</f>
        <v>155</v>
      </c>
      <c r="BZ406" s="48" t="str">
        <f aca="false">IF(AND(Parameter!$B$19="Ja",E406&lt;&gt;"",ISNUMBER(MATCH(E406,Parameter!$I$35:$I$52,0))),VLOOKUP(E406,Parameter!$I$35:$J$52,2,0),IFERROR(VLOOKUP(D406,Parameter!$A$35:$C$64,2,0),"Nein"))</f>
        <v>2+3</v>
      </c>
      <c r="CA406" s="52" t="n">
        <f aca="false">IF(BW406=0,0,IF(N(S406)&gt;0,S406,IFERROR(VLOOKUP(D406,Parameter!$A$35:$C$64,3,0)+0,0)))</f>
        <v>0</v>
      </c>
      <c r="CB406" s="48" t="n">
        <f aca="false">IF(AA406&lt;&gt;"",AA406,Z406)</f>
        <v>3</v>
      </c>
      <c r="CC406" s="48" t="str">
        <f aca="false">IF(OR(CB406=1,CB406=2,CB406=3),IF(Parameter!$E$27="Ja","LIFT",IF(CB406=1,"L1","L23")),IF(CB406="Aussen","Aussen","-"))</f>
        <v>LIFT</v>
      </c>
      <c r="CD406" s="59" t="n">
        <f aca="false">IF(N(AB406)&gt;0,AB406,0)</f>
        <v>0</v>
      </c>
      <c r="CE406" s="53" t="n">
        <f aca="false">IF(ISNUMBER(AE406),1,0)</f>
        <v>0</v>
      </c>
      <c r="CF406" s="50" t="n">
        <f aca="false">N(AE406)</f>
        <v>0</v>
      </c>
      <c r="CG406" s="50" t="n">
        <f aca="false">N(M406)+N(N406)</f>
        <v>5</v>
      </c>
      <c r="CH406" s="50" t="n">
        <f aca="false">ROUNDUP(H406/BV406,0)</f>
        <v>1</v>
      </c>
      <c r="CI406" s="50" t="n">
        <f aca="false">ROUNDUP(CF406/BV406,0)</f>
        <v>0</v>
      </c>
      <c r="CJ406" s="53" t="n">
        <f aca="false">IF(BW406=1,0,IFERROR(VLOOKUP(BU406,'Gebinde-Kategorie'!$A$5:$N$45,5,0)+0,0))</f>
        <v>11</v>
      </c>
      <c r="CK406" s="53" t="n">
        <f aca="false">IFERROR(IF(OR(CB406=1,CB406=2,CB406=3),N(INDEX(Parameter!$I$5:$I$7,CB406)),0),0)</f>
        <v>0</v>
      </c>
      <c r="CL406" s="52" t="n">
        <f aca="false">IF(AND(Parameter!$B$21="Ja",ISNUMBER(W406),N(X406)&gt;0),IFERROR(N(INDEX(Parameter!$L$5:$L$7,W406))*INDEX(Parameter!$E$5:$E$7,W406)*X406/SUMIFS($X$7:$X$1843,$W$7:$W$1843,W406),0),0)</f>
        <v>0</v>
      </c>
    </row>
    <row r="407" customFormat="false" ht="15" hidden="false" customHeight="false" outlineLevel="0" collapsed="false">
      <c r="A407" s="48" t="s">
        <v>952</v>
      </c>
      <c r="B407" s="48" t="s">
        <v>953</v>
      </c>
      <c r="C407" s="48" t="s">
        <v>168</v>
      </c>
      <c r="D407" s="48" t="s">
        <v>188</v>
      </c>
      <c r="E407" s="48" t="s">
        <v>189</v>
      </c>
      <c r="F407" s="48" t="s">
        <v>222</v>
      </c>
      <c r="G407" s="49" t="n">
        <v>0.13</v>
      </c>
      <c r="H407" s="50" t="n">
        <f aca="false">MAX(0,IF(AND(Parameter!$B$21="Ja",ISNUMBER(Y407)),Y407,IF(Parameter!$B$20="Jahresanfang 2025 + Export",BO407+BN407,BN407)))</f>
        <v>929</v>
      </c>
      <c r="I407" s="50" t="n">
        <f aca="false">H407*G407</f>
        <v>120.77</v>
      </c>
      <c r="J407" s="50" t="n">
        <f aca="false">BQ407*Parameter!$B$18</f>
        <v>678</v>
      </c>
      <c r="K407" s="51" t="n">
        <v>181</v>
      </c>
      <c r="L407" s="52" t="n">
        <v>3.74585635359116</v>
      </c>
      <c r="M407" s="50" t="n">
        <v>39</v>
      </c>
      <c r="N407" s="50" t="n">
        <v>680</v>
      </c>
      <c r="O407" s="53" t="n">
        <v>21</v>
      </c>
      <c r="P407" s="48" t="s">
        <v>480</v>
      </c>
      <c r="Q407" s="50" t="n">
        <v>598</v>
      </c>
      <c r="R407" s="53" t="n">
        <f aca="false">IF(BW407=1,0,IFERROR(VLOOKUP(BU407,'Gebinde-Kategorie'!$A$5:$N$45,13,0)+0,0))</f>
        <v>52</v>
      </c>
      <c r="S407" s="54"/>
      <c r="T407" s="55"/>
      <c r="U407" s="55"/>
      <c r="V407" s="55"/>
      <c r="W407" s="48"/>
      <c r="X407" s="50"/>
      <c r="Y407" s="50"/>
      <c r="Z407" s="48" t="n">
        <f aca="false">IF(A407="","",IF(AND(Parameter!$B$21="Ja",ISNUMBER(W407)),W407,IF(BZ407="2+3",IF(ISNUMBER(SEARCH("grosser Artikel",BR407)),2,IFERROR(VLOOKUP(BU407,Parameter!$F$35:$G$64,2,0),2)),IF(OR(BZ407="Nein",BZ407=""),"-",BZ407))))</f>
        <v>3</v>
      </c>
      <c r="AA407" s="55"/>
      <c r="AB407" s="56"/>
      <c r="AC407" s="50" t="n">
        <f aca="false">AT407</f>
        <v>1196</v>
      </c>
      <c r="AD407" s="50" t="n">
        <f aca="false">MAX(AT407,H407)</f>
        <v>1196</v>
      </c>
      <c r="AE407" s="57"/>
      <c r="AF407" s="50" t="n">
        <f aca="false">IF(LEFT(Cockpit!$C$5,1)="A",H407,IF(CE407=1,CF407,IF(LEFT(Cockpit!$C$5,1)="B",AK407,MAX(AK407,H407))))</f>
        <v>929</v>
      </c>
      <c r="AG407" s="50" t="n">
        <f aca="false">IF(BW407=1,0,ROUNDUP(AF407/BV407,0))</f>
        <v>2</v>
      </c>
      <c r="AH407" s="52" t="n">
        <f aca="false">IF(CL407&gt;0,CL407*MAX(1,AF407/X407),IF(BW407=1,IF(AF407&lt;=0,0,CA407*MAX(1,IF(H407&gt;0,AF407/H407,1))),IF(R407&gt;0,AG407/R407,0))/MAX(0.1,N(Parameter!$M$21)))</f>
        <v>0.0384615384615385</v>
      </c>
      <c r="AI407" s="50" t="n">
        <f aca="false">AH407*BY407</f>
        <v>5.96153846153846</v>
      </c>
      <c r="AJ407" s="50" t="n">
        <f aca="false">AF407*G407</f>
        <v>120.77</v>
      </c>
      <c r="AK407" s="50" t="n">
        <f aca="false">ROUNDUP(MAX(J407/IF(CD407&gt;0,CD407,MAX(0.1,N(Cockpit!$C$6))),CG407)/BV407,0)*BV407</f>
        <v>1196</v>
      </c>
      <c r="AL407" s="51" t="n">
        <f aca="false">IF(AI407&gt;0,J407/AI407,-1)</f>
        <v>113.729032258065</v>
      </c>
      <c r="AM407" s="51" t="n">
        <f aca="false">IF(AND(OR(CC407="L1",CC407="L23",CC407="LIFT"),AI407&gt;0),SUMIFS($AI$7:$AI$1843,$CC$7:$CC$1843,CC407,$AL$7:$AL$1843,"&gt;"&amp;AL407)+SUMIFS($AI$7:$AI$1843,$CC$7:$CC$1843,CC407,$AL$7:$AL$1843,AL407,$BT$7:$BT$1843,"&lt;="&amp;BT407),"")</f>
        <v>694.615842490843</v>
      </c>
      <c r="AN407" s="58" t="n">
        <f aca="false">IF(AM407="",0,MAX(0,MIN(1,(IF(CC407="L1",Parameter!$H$5,IF(CC407="L23",Parameter!$H$6+Parameter!$H$7,Parameter!$H$5+Parameter!$H$6+Parameter!$H$7))-(AM407-AI407))/AI407)))</f>
        <v>1</v>
      </c>
      <c r="AO407" s="50" t="n">
        <f aca="false">IF(LEFT(Cockpit!$I$5,1)="A",H407,IF(CE407=1,CF407,IF(LEFT(Cockpit!$I$5,1)="B",AT407,MAX(AT407,H407))))</f>
        <v>1196</v>
      </c>
      <c r="AP407" s="50" t="n">
        <f aca="false">IF(BW407=1,0,ROUNDUP(AO407/BV407,0))</f>
        <v>2</v>
      </c>
      <c r="AQ407" s="52" t="n">
        <f aca="false">IF(CL407&gt;0,CL407*MAX(1,AO407/X407),IF(BW407=1,IF(AO407&lt;=0,0,CA407*MAX(1,IF(H407&gt;0,AO407/H407,1))),IF(R407&gt;0,AP407/R407,0))/MAX(0.1,N(Parameter!$M$21)))</f>
        <v>0.0384615384615385</v>
      </c>
      <c r="AR407" s="50" t="n">
        <f aca="false">AQ407*BY407</f>
        <v>5.96153846153846</v>
      </c>
      <c r="AS407" s="50" t="n">
        <f aca="false">AO407*G407</f>
        <v>155.48</v>
      </c>
      <c r="AT407" s="50" t="n">
        <f aca="false">ROUNDUP(MAX(J407/IF(CD407&gt;0,CD407,MAX(0.1,N(Cockpit!$I$6))),CG407)/BV407,0)*BV407</f>
        <v>1196</v>
      </c>
      <c r="AU407" s="51" t="n">
        <f aca="false">IF(AR407&gt;0,J407/AR407,-1)</f>
        <v>113.729032258065</v>
      </c>
      <c r="AV407" s="51" t="n">
        <f aca="false">IF(AND(OR(CC407="L1",CC407="L23",CC407="LIFT"),AR407&gt;0),SUMIFS($AR$7:$AR$1843,$CC$7:$CC$1843,CC407,$AU$7:$AU$1843,"&gt;"&amp;AU407)+SUMIFS($AR$7:$AR$1843,$CC$7:$CC$1843,CC407,$AU$7:$AU$1843,AU407,$BT$7:$BT$1843,"&lt;="&amp;BT407),"")</f>
        <v>844.599358974359</v>
      </c>
      <c r="AW407" s="58" t="n">
        <f aca="false">IF(AV407="",0,MAX(0,MIN(1,(IF(CC407="L1",Parameter!$H$5,IF(CC407="L23",Parameter!$H$6+Parameter!$H$7,Parameter!$H$5+Parameter!$H$6+Parameter!$H$7))-(AV407-AR407))/AR407)))</f>
        <v>1</v>
      </c>
      <c r="AX407" s="50" t="n">
        <f aca="false">IF(LEFT(Cockpit!$O$5,1)="A",H407,IF(CE407=1,CF407,IF(LEFT(Cockpit!$O$5,1)="B",BC407,MAX(BC407,H407))))</f>
        <v>1196</v>
      </c>
      <c r="AY407" s="50" t="n">
        <f aca="false">IF(BW407=1,0,ROUNDUP(AX407/BV407,0))</f>
        <v>2</v>
      </c>
      <c r="AZ407" s="52" t="n">
        <f aca="false">IF(CL407&gt;0,CL407*MAX(1,AX407/X407),IF(BW407=1,IF(AX407&lt;=0,0,CA407*MAX(1,IF(H407&gt;0,AX407/H407,1))),IF(R407&gt;0,AY407/R407,0))/MAX(0.1,N(Parameter!$M$21)))</f>
        <v>0.0384615384615385</v>
      </c>
      <c r="BA407" s="50" t="n">
        <f aca="false">AZ407*BY407</f>
        <v>5.96153846153846</v>
      </c>
      <c r="BB407" s="50" t="n">
        <f aca="false">AX407*G407</f>
        <v>155.48</v>
      </c>
      <c r="BC407" s="50" t="n">
        <f aca="false">ROUNDUP(MAX(J407/IF(CD407&gt;0,CD407,MAX(0.1,N(Cockpit!$O$6))),CG407)/BV407,0)*BV407</f>
        <v>1196</v>
      </c>
      <c r="BD407" s="51" t="n">
        <f aca="false">IF(BA407&gt;0,J407/BA407,-1)</f>
        <v>113.729032258065</v>
      </c>
      <c r="BE407" s="51" t="n">
        <f aca="false">IF(AND(OR(CC407="L1",CC407="L23",CC407="LIFT"),BA407&gt;0),SUMIFS($BA$7:$BA$1843,$CC$7:$CC$1843,CC407,$BD$7:$BD$1843,"&gt;"&amp;BD407)+SUMIFS($BA$7:$BA$1843,$CC$7:$CC$1843,CC407,$BD$7:$BD$1843,BD407,$BT$7:$BT$1843,"&lt;="&amp;BT407),"")</f>
        <v>789.038461538462</v>
      </c>
      <c r="BF407" s="58" t="n">
        <f aca="false">IF(BE407="",0,MAX(0,MIN(1,(IF(CC407="L1",Parameter!$H$5,IF(CC407="L23",Parameter!$H$6+Parameter!$H$7,Parameter!$H$5+Parameter!$H$6+Parameter!$H$7))-(BE407-BA407))/BA407)))</f>
        <v>1</v>
      </c>
      <c r="BG407" s="48" t="str">
        <f aca="false">IF(AI407&lt;=0,"",IF(CC407="Aussen","Aussenlager",IF(CC407="-","Nicht im Lift",IF(AN407&gt;=1,"Lift",IF(AN407&lt;=0,"Aussenlager","teilweise")))))</f>
        <v>Lift</v>
      </c>
      <c r="BH407" s="48" t="str">
        <f aca="false">IF(AR407&lt;=0,"",IF(CC407="Aussen","Aussenlager",IF(CC407="-","Nicht im Lift",IF(AW407&gt;=1,"Lift",IF(AW407&lt;=0,"Aussenlager","teilweise")))))</f>
        <v>Lift</v>
      </c>
      <c r="BI407" s="48" t="str">
        <f aca="false">IF(BA407&lt;=0,"",IF(CC407="Aussen","Aussenlager",IF(CC407="-","Nicht im Lift",IF(BF407&gt;=1,"Lift",IF(BF407&lt;=0,"Aussenlager","teilweise")))))</f>
        <v>Lift</v>
      </c>
      <c r="BJ407" s="48" t="str">
        <f aca="false">IF(A407="","",IF(BS407=1,"Neu; ","")&amp;IF(AND(BS407=0,BN407&lt;0),"negativer Bestand (Export "&amp;BN407&amp;"); ","")&amp;IF(J407&lt;=0,"Kein Verbrauch; ","")&amp;IF(CL407&gt;0,"Lift "&amp;W407&amp;" lt. Liftbericht (Fach "&amp;X407&amp;" Stk); ",IF(BX407=1,"Gebinde geschätzt ("&amp;T407&amp;"); ",IF(BW407=1,"Lose – Tablare geschätzt; ","")))&amp;IF(H407&gt;AT407,"Überbestand "&amp;ROUND(H407-AT407,0)&amp;" Stk / CHF "&amp;ROUND((H407-AT407)*G407,0)&amp;"; ","")&amp;IF(AND(CE407=1,CF407&lt;CG407),"MAX &lt; MB+LG; ","")&amp;IF(AND(CK407&gt;0,CJ407*10&gt;CK407),"zu hoch für Tablar; ","")&amp;IF(AND(BS407=0,OR(CE407=1,AA407&lt;&gt;"",U407&lt;&gt;"",V407&lt;&gt;"",AB407&lt;&gt;"")),"manuell übersteuert; ","")&amp;IF(AND(BW407=0,R407=0),"Gebinde unbekannt / Stellmass fehlt; ","")&amp;IF(AND(BW407=0,N(V407)&lt;=0,N(Q407)&lt;=0),"Menge pro Gebinde fehlt (Ist = 1 Gebinde); ","")&amp;BR407)</f>
        <v/>
      </c>
      <c r="BK407" s="48"/>
      <c r="BL407" s="48"/>
      <c r="BM407" s="55"/>
      <c r="BN407" s="50" t="n">
        <v>786</v>
      </c>
      <c r="BO407" s="50" t="n">
        <v>143</v>
      </c>
      <c r="BP407" s="49" t="n">
        <v>106.47</v>
      </c>
      <c r="BQ407" s="50" t="n">
        <v>678</v>
      </c>
      <c r="BR407" s="48"/>
      <c r="BS407" s="53" t="n">
        <v>0</v>
      </c>
      <c r="BT407" s="53" t="n">
        <v>407</v>
      </c>
      <c r="BU407" s="48" t="str">
        <f aca="false">IF(U407&lt;&gt;"",UPPER(TRIM(U407)),IF(BX407=1,UPPER(VLOOKUP(T407,Parameter!$I$27:$K$29,2,0)),IF(P407="","LOSE",P407)))</f>
        <v>S33</v>
      </c>
      <c r="BV407" s="50" t="n">
        <f aca="false">IF(BU407="LOSE",1,IF(N(V407)&gt;0,V407,IF(BX407=1,MAX(1,N(VLOOKUP(T407,Parameter!$I$27:$K$29,3,0)),H407,N(N407)),IF(N(Q407)&gt;0,Q407,MAX(1,H407)))))</f>
        <v>598</v>
      </c>
      <c r="BW407" s="53" t="n">
        <f aca="false">IF(BU407="LOSE",1,0)</f>
        <v>0</v>
      </c>
      <c r="BX407" s="53" t="n">
        <f aca="false">IF(AND(U407="",OR(P407="",P407="LOSE"),T407&lt;&gt;"",N(S407)&lt;=0,ISNUMBER(MATCH(T407,Parameter!$I$27:$I$29,0))),1,0)</f>
        <v>0</v>
      </c>
      <c r="BY407" s="53" t="n">
        <f aca="false">IF(CL407&gt;0,INDEX(Parameter!$H$5:$H$7,W407)/INDEX(Parameter!$E$5:$E$7,W407),IF(AND(BW407=0,N(IFERROR(VLOOKUP(BU407,'Gebinde-Kategorie'!$A$5:$N$45,14,0),0))&gt;0),VLOOKUP(BU407,'Gebinde-Kategorie'!$A$5:$N$45,14,0)*10+Parameter!$M$23,Parameter!$M$24))</f>
        <v>155</v>
      </c>
      <c r="BZ407" s="48" t="str">
        <f aca="false">IF(AND(Parameter!$B$19="Ja",E407&lt;&gt;"",ISNUMBER(MATCH(E407,Parameter!$I$35:$I$52,0))),VLOOKUP(E407,Parameter!$I$35:$J$52,2,0),IFERROR(VLOOKUP(D407,Parameter!$A$35:$C$64,2,0),"Nein"))</f>
        <v>2+3</v>
      </c>
      <c r="CA407" s="52" t="n">
        <f aca="false">IF(BW407=0,0,IF(N(S407)&gt;0,S407,IFERROR(VLOOKUP(D407,Parameter!$A$35:$C$64,3,0)+0,0)))</f>
        <v>0</v>
      </c>
      <c r="CB407" s="48" t="n">
        <f aca="false">IF(AA407&lt;&gt;"",AA407,Z407)</f>
        <v>3</v>
      </c>
      <c r="CC407" s="48" t="str">
        <f aca="false">IF(OR(CB407=1,CB407=2,CB407=3),IF(Parameter!$E$27="Ja","LIFT",IF(CB407=1,"L1","L23")),IF(CB407="Aussen","Aussen","-"))</f>
        <v>LIFT</v>
      </c>
      <c r="CD407" s="59" t="n">
        <f aca="false">IF(N(AB407)&gt;0,AB407,0)</f>
        <v>0</v>
      </c>
      <c r="CE407" s="53" t="n">
        <f aca="false">IF(ISNUMBER(AE407),1,0)</f>
        <v>0</v>
      </c>
      <c r="CF407" s="50" t="n">
        <f aca="false">N(AE407)</f>
        <v>0</v>
      </c>
      <c r="CG407" s="50" t="n">
        <f aca="false">N(M407)+N(N407)</f>
        <v>719</v>
      </c>
      <c r="CH407" s="50" t="n">
        <f aca="false">ROUNDUP(H407/BV407,0)</f>
        <v>2</v>
      </c>
      <c r="CI407" s="50" t="n">
        <f aca="false">ROUNDUP(CF407/BV407,0)</f>
        <v>0</v>
      </c>
      <c r="CJ407" s="53" t="n">
        <f aca="false">IF(BW407=1,0,IFERROR(VLOOKUP(BU407,'Gebinde-Kategorie'!$A$5:$N$45,5,0)+0,0))</f>
        <v>8</v>
      </c>
      <c r="CK407" s="53" t="n">
        <f aca="false">IFERROR(IF(OR(CB407=1,CB407=2,CB407=3),N(INDEX(Parameter!$I$5:$I$7,CB407)),0),0)</f>
        <v>0</v>
      </c>
      <c r="CL407" s="52" t="n">
        <f aca="false">IF(AND(Parameter!$B$21="Ja",ISNUMBER(W407),N(X407)&gt;0),IFERROR(N(INDEX(Parameter!$L$5:$L$7,W407))*INDEX(Parameter!$E$5:$E$7,W407)*X407/SUMIFS($X$7:$X$1843,$W$7:$W$1843,W407),0),0)</f>
        <v>0</v>
      </c>
    </row>
    <row r="408" customFormat="false" ht="15" hidden="false" customHeight="false" outlineLevel="0" collapsed="false">
      <c r="A408" s="48" t="s">
        <v>954</v>
      </c>
      <c r="B408" s="48" t="s">
        <v>955</v>
      </c>
      <c r="C408" s="48" t="s">
        <v>168</v>
      </c>
      <c r="D408" s="48" t="s">
        <v>188</v>
      </c>
      <c r="E408" s="48" t="s">
        <v>189</v>
      </c>
      <c r="F408" s="48" t="s">
        <v>222</v>
      </c>
      <c r="G408" s="49" t="n">
        <v>2.38</v>
      </c>
      <c r="H408" s="50" t="n">
        <f aca="false">MAX(0,IF(AND(Parameter!$B$21="Ja",ISNUMBER(Y408)),Y408,IF(Parameter!$B$20="Jahresanfang 2025 + Export",BO408+BN408,BN408)))</f>
        <v>97</v>
      </c>
      <c r="I408" s="50" t="n">
        <f aca="false">H408*G408</f>
        <v>230.86</v>
      </c>
      <c r="J408" s="50" t="n">
        <f aca="false">BQ408*Parameter!$B$18</f>
        <v>35</v>
      </c>
      <c r="K408" s="51" t="n">
        <v>35.5</v>
      </c>
      <c r="L408" s="52" t="n">
        <v>0.985915492957747</v>
      </c>
      <c r="M408" s="50" t="n">
        <v>2</v>
      </c>
      <c r="N408" s="50" t="n">
        <v>50</v>
      </c>
      <c r="O408" s="53" t="n">
        <v>28</v>
      </c>
      <c r="P408" s="48" t="s">
        <v>332</v>
      </c>
      <c r="Q408" s="50" t="n">
        <v>101</v>
      </c>
      <c r="R408" s="53" t="n">
        <f aca="false">IF(BW408=1,0,IFERROR(VLOOKUP(BU408,'Gebinde-Kategorie'!$A$5:$N$45,13,0)+0,0))</f>
        <v>52</v>
      </c>
      <c r="S408" s="54"/>
      <c r="T408" s="55"/>
      <c r="U408" s="55"/>
      <c r="V408" s="55"/>
      <c r="W408" s="48"/>
      <c r="X408" s="50"/>
      <c r="Y408" s="50"/>
      <c r="Z408" s="48" t="n">
        <f aca="false">IF(A408="","",IF(AND(Parameter!$B$21="Ja",ISNUMBER(W408)),W408,IF(BZ408="2+3",IF(ISNUMBER(SEARCH("grosser Artikel",BR408)),2,IFERROR(VLOOKUP(BU408,Parameter!$F$35:$G$64,2,0),2)),IF(OR(BZ408="Nein",BZ408=""),"-",BZ408))))</f>
        <v>3</v>
      </c>
      <c r="AA408" s="55"/>
      <c r="AB408" s="56"/>
      <c r="AC408" s="50" t="n">
        <f aca="false">AT408</f>
        <v>101</v>
      </c>
      <c r="AD408" s="50" t="n">
        <f aca="false">MAX(AT408,H408)</f>
        <v>101</v>
      </c>
      <c r="AE408" s="57"/>
      <c r="AF408" s="50" t="n">
        <f aca="false">IF(LEFT(Cockpit!$C$5,1)="A",H408,IF(CE408=1,CF408,IF(LEFT(Cockpit!$C$5,1)="B",AK408,MAX(AK408,H408))))</f>
        <v>97</v>
      </c>
      <c r="AG408" s="50" t="n">
        <f aca="false">IF(BW408=1,0,ROUNDUP(AF408/BV408,0))</f>
        <v>1</v>
      </c>
      <c r="AH408" s="52" t="n">
        <f aca="false">IF(CL408&gt;0,CL408*MAX(1,AF408/X408),IF(BW408=1,IF(AF408&lt;=0,0,CA408*MAX(1,IF(H408&gt;0,AF408/H408,1))),IF(R408&gt;0,AG408/R408,0))/MAX(0.1,N(Parameter!$M$21)))</f>
        <v>0.0192307692307692</v>
      </c>
      <c r="AI408" s="50" t="n">
        <f aca="false">AH408*BY408</f>
        <v>2.98076923076923</v>
      </c>
      <c r="AJ408" s="50" t="n">
        <f aca="false">AF408*G408</f>
        <v>230.86</v>
      </c>
      <c r="AK408" s="50" t="n">
        <f aca="false">ROUNDUP(MAX(J408/IF(CD408&gt;0,CD408,MAX(0.1,N(Cockpit!$C$6))),CG408)/BV408,0)*BV408</f>
        <v>101</v>
      </c>
      <c r="AL408" s="51" t="n">
        <f aca="false">IF(AI408&gt;0,J408/AI408,-1)</f>
        <v>11.741935483871</v>
      </c>
      <c r="AM408" s="51" t="n">
        <f aca="false">IF(AND(OR(CC408="L1",CC408="L23",CC408="LIFT"),AI408&gt;0),SUMIFS($AI$7:$AI$1843,$CC$7:$CC$1843,CC408,$AL$7:$AL$1843,"&gt;"&amp;AL408)+SUMIFS($AI$7:$AI$1843,$CC$7:$CC$1843,CC408,$AL$7:$AL$1843,AL408,$BT$7:$BT$1843,"&lt;="&amp;BT408),"")</f>
        <v>2534.40659340659</v>
      </c>
      <c r="AN408" s="58" t="n">
        <f aca="false">IF(AM408="",0,MAX(0,MIN(1,(IF(CC408="L1",Parameter!$H$5,IF(CC408="L23",Parameter!$H$6+Parameter!$H$7,Parameter!$H$5+Parameter!$H$6+Parameter!$H$7))-(AM408-AI408))/AI408)))</f>
        <v>1</v>
      </c>
      <c r="AO408" s="50" t="n">
        <f aca="false">IF(LEFT(Cockpit!$I$5,1)="A",H408,IF(CE408=1,CF408,IF(LEFT(Cockpit!$I$5,1)="B",AT408,MAX(AT408,H408))))</f>
        <v>101</v>
      </c>
      <c r="AP408" s="50" t="n">
        <f aca="false">IF(BW408=1,0,ROUNDUP(AO408/BV408,0))</f>
        <v>1</v>
      </c>
      <c r="AQ408" s="52" t="n">
        <f aca="false">IF(CL408&gt;0,CL408*MAX(1,AO408/X408),IF(BW408=1,IF(AO408&lt;=0,0,CA408*MAX(1,IF(H408&gt;0,AO408/H408,1))),IF(R408&gt;0,AP408/R408,0))/MAX(0.1,N(Parameter!$M$21)))</f>
        <v>0.0192307692307692</v>
      </c>
      <c r="AR408" s="50" t="n">
        <f aca="false">AQ408*BY408</f>
        <v>2.98076923076923</v>
      </c>
      <c r="AS408" s="50" t="n">
        <f aca="false">AO408*G408</f>
        <v>240.38</v>
      </c>
      <c r="AT408" s="50" t="n">
        <f aca="false">ROUNDUP(MAX(J408/IF(CD408&gt;0,CD408,MAX(0.1,N(Cockpit!$I$6))),CG408)/BV408,0)*BV408</f>
        <v>101</v>
      </c>
      <c r="AU408" s="51" t="n">
        <f aca="false">IF(AR408&gt;0,J408/AR408,-1)</f>
        <v>11.741935483871</v>
      </c>
      <c r="AV408" s="51" t="n">
        <f aca="false">IF(AND(OR(CC408="L1",CC408="L23",CC408="LIFT"),AR408&gt;0),SUMIFS($AR$7:$AR$1843,$CC$7:$CC$1843,CC408,$AU$7:$AU$1843,"&gt;"&amp;AU408)+SUMIFS($AR$7:$AR$1843,$CC$7:$CC$1843,CC408,$AU$7:$AU$1843,AU408,$BT$7:$BT$1843,"&lt;="&amp;BT408),"")</f>
        <v>3690.19093406593</v>
      </c>
      <c r="AW408" s="58" t="n">
        <f aca="false">IF(AV408="",0,MAX(0,MIN(1,(IF(CC408="L1",Parameter!$H$5,IF(CC408="L23",Parameter!$H$6+Parameter!$H$7,Parameter!$H$5+Parameter!$H$6+Parameter!$H$7))-(AV408-AR408))/AR408)))</f>
        <v>1</v>
      </c>
      <c r="AX408" s="50" t="n">
        <f aca="false">IF(LEFT(Cockpit!$O$5,1)="A",H408,IF(CE408=1,CF408,IF(LEFT(Cockpit!$O$5,1)="B",BC408,MAX(BC408,H408))))</f>
        <v>101</v>
      </c>
      <c r="AY408" s="50" t="n">
        <f aca="false">IF(BW408=1,0,ROUNDUP(AX408/BV408,0))</f>
        <v>1</v>
      </c>
      <c r="AZ408" s="52" t="n">
        <f aca="false">IF(CL408&gt;0,CL408*MAX(1,AX408/X408),IF(BW408=1,IF(AX408&lt;=0,0,CA408*MAX(1,IF(H408&gt;0,AX408/H408,1))),IF(R408&gt;0,AY408/R408,0))/MAX(0.1,N(Parameter!$M$21)))</f>
        <v>0.0192307692307692</v>
      </c>
      <c r="BA408" s="50" t="n">
        <f aca="false">AZ408*BY408</f>
        <v>2.98076923076923</v>
      </c>
      <c r="BB408" s="50" t="n">
        <f aca="false">AX408*G408</f>
        <v>240.38</v>
      </c>
      <c r="BC408" s="50" t="n">
        <f aca="false">ROUNDUP(MAX(J408/IF(CD408&gt;0,CD408,MAX(0.1,N(Cockpit!$O$6))),CG408)/BV408,0)*BV408</f>
        <v>101</v>
      </c>
      <c r="BD408" s="51" t="n">
        <f aca="false">IF(BA408&gt;0,J408/BA408,-1)</f>
        <v>11.741935483871</v>
      </c>
      <c r="BE408" s="51" t="n">
        <f aca="false">IF(AND(OR(CC408="L1",CC408="L23",CC408="LIFT"),BA408&gt;0),SUMIFS($BA$7:$BA$1843,$CC$7:$CC$1843,CC408,$BD$7:$BD$1843,"&gt;"&amp;BD408)+SUMIFS($BA$7:$BA$1843,$CC$7:$CC$1843,CC408,$BD$7:$BD$1843,BD408,$BT$7:$BT$1843,"&lt;="&amp;BT408),"")</f>
        <v>3327.89926739927</v>
      </c>
      <c r="BF408" s="58" t="n">
        <f aca="false">IF(BE408="",0,MAX(0,MIN(1,(IF(CC408="L1",Parameter!$H$5,IF(CC408="L23",Parameter!$H$6+Parameter!$H$7,Parameter!$H$5+Parameter!$H$6+Parameter!$H$7))-(BE408-BA408))/BA408)))</f>
        <v>1</v>
      </c>
      <c r="BG408" s="48" t="str">
        <f aca="false">IF(AI408&lt;=0,"",IF(CC408="Aussen","Aussenlager",IF(CC408="-","Nicht im Lift",IF(AN408&gt;=1,"Lift",IF(AN408&lt;=0,"Aussenlager","teilweise")))))</f>
        <v>Lift</v>
      </c>
      <c r="BH408" s="48" t="str">
        <f aca="false">IF(AR408&lt;=0,"",IF(CC408="Aussen","Aussenlager",IF(CC408="-","Nicht im Lift",IF(AW408&gt;=1,"Lift",IF(AW408&lt;=0,"Aussenlager","teilweise")))))</f>
        <v>Lift</v>
      </c>
      <c r="BI408" s="48" t="str">
        <f aca="false">IF(BA408&lt;=0,"",IF(CC408="Aussen","Aussenlager",IF(CC408="-","Nicht im Lift",IF(BF408&gt;=1,"Lift",IF(BF408&lt;=0,"Aussenlager","teilweise")))))</f>
        <v>Lift</v>
      </c>
      <c r="BJ408" s="48" t="str">
        <f aca="false">IF(A408="","",IF(BS408=1,"Neu; ","")&amp;IF(AND(BS408=0,BN408&lt;0),"negativer Bestand (Export "&amp;BN408&amp;"); ","")&amp;IF(J408&lt;=0,"Kein Verbrauch; ","")&amp;IF(CL408&gt;0,"Lift "&amp;W408&amp;" lt. Liftbericht (Fach "&amp;X408&amp;" Stk); ",IF(BX408=1,"Gebinde geschätzt ("&amp;T408&amp;"); ",IF(BW408=1,"Lose – Tablare geschätzt; ","")))&amp;IF(H408&gt;AT408,"Überbestand "&amp;ROUND(H408-AT408,0)&amp;" Stk / CHF "&amp;ROUND((H408-AT408)*G408,0)&amp;"; ","")&amp;IF(AND(CE408=1,CF408&lt;CG408),"MAX &lt; MB+LG; ","")&amp;IF(AND(CK408&gt;0,CJ408*10&gt;CK408),"zu hoch für Tablar; ","")&amp;IF(AND(BS408=0,OR(CE408=1,AA408&lt;&gt;"",U408&lt;&gt;"",V408&lt;&gt;"",AB408&lt;&gt;"")),"manuell übersteuert; ","")&amp;IF(AND(BW408=0,R408=0),"Gebinde unbekannt / Stellmass fehlt; ","")&amp;IF(AND(BW408=0,N(V408)&lt;=0,N(Q408)&lt;=0),"Menge pro Gebinde fehlt (Ist = 1 Gebinde); ","")&amp;BR408)</f>
        <v>Neu</v>
      </c>
      <c r="BK408" s="48"/>
      <c r="BL408" s="48"/>
      <c r="BM408" s="55"/>
      <c r="BN408" s="50" t="n">
        <v>44</v>
      </c>
      <c r="BO408" s="50" t="n">
        <v>53</v>
      </c>
      <c r="BP408" s="49" t="n">
        <v>104.72</v>
      </c>
      <c r="BQ408" s="50" t="n">
        <v>35</v>
      </c>
      <c r="BR408" s="48" t="s">
        <v>630</v>
      </c>
      <c r="BS408" s="53" t="n">
        <v>0</v>
      </c>
      <c r="BT408" s="53" t="n">
        <v>408</v>
      </c>
      <c r="BU408" s="48" t="str">
        <f aca="false">IF(U408&lt;&gt;"",UPPER(TRIM(U408)),IF(BX408=1,UPPER(VLOOKUP(T408,Parameter!$I$27:$K$29,2,0)),IF(P408="","LOSE",P408)))</f>
        <v>S41</v>
      </c>
      <c r="BV408" s="50" t="n">
        <f aca="false">IF(BU408="LOSE",1,IF(N(V408)&gt;0,V408,IF(BX408=1,MAX(1,N(VLOOKUP(T408,Parameter!$I$27:$K$29,3,0)),H408,N(N408)),IF(N(Q408)&gt;0,Q408,MAX(1,H408)))))</f>
        <v>101</v>
      </c>
      <c r="BW408" s="53" t="n">
        <f aca="false">IF(BU408="LOSE",1,0)</f>
        <v>0</v>
      </c>
      <c r="BX408" s="53" t="n">
        <f aca="false">IF(AND(U408="",OR(P408="",P408="LOSE"),T408&lt;&gt;"",N(S408)&lt;=0,ISNUMBER(MATCH(T408,Parameter!$I$27:$I$29,0))),1,0)</f>
        <v>0</v>
      </c>
      <c r="BY408" s="53" t="n">
        <f aca="false">IF(CL408&gt;0,INDEX(Parameter!$H$5:$H$7,W408)/INDEX(Parameter!$E$5:$E$7,W408),IF(AND(BW408=0,N(IFERROR(VLOOKUP(BU408,'Gebinde-Kategorie'!$A$5:$N$45,14,0),0))&gt;0),VLOOKUP(BU408,'Gebinde-Kategorie'!$A$5:$N$45,14,0)*10+Parameter!$M$23,Parameter!$M$24))</f>
        <v>155</v>
      </c>
      <c r="BZ408" s="48" t="str">
        <f aca="false">IF(AND(Parameter!$B$19="Ja",E408&lt;&gt;"",ISNUMBER(MATCH(E408,Parameter!$I$35:$I$52,0))),VLOOKUP(E408,Parameter!$I$35:$J$52,2,0),IFERROR(VLOOKUP(D408,Parameter!$A$35:$C$64,2,0),"Nein"))</f>
        <v>2+3</v>
      </c>
      <c r="CA408" s="52" t="n">
        <f aca="false">IF(BW408=0,0,IF(N(S408)&gt;0,S408,IFERROR(VLOOKUP(D408,Parameter!$A$35:$C$64,3,0)+0,0)))</f>
        <v>0</v>
      </c>
      <c r="CB408" s="48" t="n">
        <f aca="false">IF(AA408&lt;&gt;"",AA408,Z408)</f>
        <v>3</v>
      </c>
      <c r="CC408" s="48" t="str">
        <f aca="false">IF(OR(CB408=1,CB408=2,CB408=3),IF(Parameter!$E$27="Ja","LIFT",IF(CB408=1,"L1","L23")),IF(CB408="Aussen","Aussen","-"))</f>
        <v>LIFT</v>
      </c>
      <c r="CD408" s="59" t="n">
        <f aca="false">IF(N(AB408)&gt;0,AB408,0)</f>
        <v>0</v>
      </c>
      <c r="CE408" s="53" t="n">
        <f aca="false">IF(ISNUMBER(AE408),1,0)</f>
        <v>0</v>
      </c>
      <c r="CF408" s="50" t="n">
        <f aca="false">N(AE408)</f>
        <v>0</v>
      </c>
      <c r="CG408" s="50" t="n">
        <f aca="false">N(M408)+N(N408)</f>
        <v>52</v>
      </c>
      <c r="CH408" s="50" t="n">
        <f aca="false">ROUNDUP(H408/BV408,0)</f>
        <v>1</v>
      </c>
      <c r="CI408" s="50" t="n">
        <f aca="false">ROUNDUP(CF408/BV408,0)</f>
        <v>0</v>
      </c>
      <c r="CJ408" s="53" t="n">
        <f aca="false">IF(BW408=1,0,IFERROR(VLOOKUP(BU408,'Gebinde-Kategorie'!$A$5:$N$45,5,0)+0,0))</f>
        <v>11</v>
      </c>
      <c r="CK408" s="53" t="n">
        <f aca="false">IFERROR(IF(OR(CB408=1,CB408=2,CB408=3),N(INDEX(Parameter!$I$5:$I$7,CB408)),0),0)</f>
        <v>0</v>
      </c>
      <c r="CL408" s="52" t="n">
        <f aca="false">IF(AND(Parameter!$B$21="Ja",ISNUMBER(W408),N(X408)&gt;0),IFERROR(N(INDEX(Parameter!$L$5:$L$7,W408))*INDEX(Parameter!$E$5:$E$7,W408)*X408/SUMIFS($X$7:$X$1843,$W$7:$W$1843,W408),0),0)</f>
        <v>0</v>
      </c>
    </row>
    <row r="409" customFormat="false" ht="15" hidden="false" customHeight="false" outlineLevel="0" collapsed="false">
      <c r="A409" s="48" t="s">
        <v>956</v>
      </c>
      <c r="B409" s="48" t="s">
        <v>957</v>
      </c>
      <c r="C409" s="48" t="s">
        <v>168</v>
      </c>
      <c r="D409" s="48" t="s">
        <v>188</v>
      </c>
      <c r="E409" s="48" t="s">
        <v>189</v>
      </c>
      <c r="F409" s="48" t="s">
        <v>222</v>
      </c>
      <c r="G409" s="49" t="n">
        <v>0.35</v>
      </c>
      <c r="H409" s="50" t="n">
        <f aca="false">MAX(0,IF(AND(Parameter!$B$21="Ja",ISNUMBER(Y409)),Y409,IF(Parameter!$B$20="Jahresanfang 2025 + Export",BO409+BN409,BN409)))</f>
        <v>387</v>
      </c>
      <c r="I409" s="50" t="n">
        <f aca="false">H409*G409</f>
        <v>135.45</v>
      </c>
      <c r="J409" s="50" t="n">
        <f aca="false">BQ409*Parameter!$B$18</f>
        <v>356</v>
      </c>
      <c r="K409" s="51" t="n">
        <v>94</v>
      </c>
      <c r="L409" s="52" t="n">
        <v>3.78723404255319</v>
      </c>
      <c r="M409" s="50" t="n">
        <v>13</v>
      </c>
      <c r="N409" s="50" t="n">
        <v>400</v>
      </c>
      <c r="O409" s="53" t="n">
        <v>14</v>
      </c>
      <c r="P409" s="48" t="s">
        <v>425</v>
      </c>
      <c r="Q409" s="50" t="n">
        <v>122</v>
      </c>
      <c r="R409" s="53" t="n">
        <f aca="false">IF(BW409=1,0,IFERROR(VLOOKUP(BU409,'Gebinde-Kategorie'!$A$5:$N$45,13,0)+0,0))</f>
        <v>104</v>
      </c>
      <c r="S409" s="54"/>
      <c r="T409" s="55"/>
      <c r="U409" s="55"/>
      <c r="V409" s="55"/>
      <c r="W409" s="48"/>
      <c r="X409" s="50"/>
      <c r="Y409" s="50"/>
      <c r="Z409" s="48" t="n">
        <f aca="false">IF(A409="","",IF(AND(Parameter!$B$21="Ja",ISNUMBER(W409)),W409,IF(BZ409="2+3",IF(ISNUMBER(SEARCH("grosser Artikel",BR409)),2,IFERROR(VLOOKUP(BU409,Parameter!$F$35:$G$64,2,0),2)),IF(OR(BZ409="Nein",BZ409=""),"-",BZ409))))</f>
        <v>3</v>
      </c>
      <c r="AA409" s="55"/>
      <c r="AB409" s="56"/>
      <c r="AC409" s="50" t="n">
        <f aca="false">AT409</f>
        <v>488</v>
      </c>
      <c r="AD409" s="50" t="n">
        <f aca="false">MAX(AT409,H409)</f>
        <v>488</v>
      </c>
      <c r="AE409" s="57"/>
      <c r="AF409" s="50" t="n">
        <f aca="false">IF(LEFT(Cockpit!$C$5,1)="A",H409,IF(CE409=1,CF409,IF(LEFT(Cockpit!$C$5,1)="B",AK409,MAX(AK409,H409))))</f>
        <v>387</v>
      </c>
      <c r="AG409" s="50" t="n">
        <f aca="false">IF(BW409=1,0,ROUNDUP(AF409/BV409,0))</f>
        <v>4</v>
      </c>
      <c r="AH409" s="52" t="n">
        <f aca="false">IF(CL409&gt;0,CL409*MAX(1,AF409/X409),IF(BW409=1,IF(AF409&lt;=0,0,CA409*MAX(1,IF(H409&gt;0,AF409/H409,1))),IF(R409&gt;0,AG409/R409,0))/MAX(0.1,N(Parameter!$M$21)))</f>
        <v>0.0384615384615385</v>
      </c>
      <c r="AI409" s="50" t="n">
        <f aca="false">AH409*BY409</f>
        <v>5.96153846153846</v>
      </c>
      <c r="AJ409" s="50" t="n">
        <f aca="false">AF409*G409</f>
        <v>135.45</v>
      </c>
      <c r="AK409" s="50" t="n">
        <f aca="false">ROUNDUP(MAX(J409/IF(CD409&gt;0,CD409,MAX(0.1,N(Cockpit!$C$6))),CG409)/BV409,0)*BV409</f>
        <v>488</v>
      </c>
      <c r="AL409" s="51" t="n">
        <f aca="false">IF(AI409&gt;0,J409/AI409,-1)</f>
        <v>59.7161290322581</v>
      </c>
      <c r="AM409" s="51" t="n">
        <f aca="false">IF(AND(OR(CC409="L1",CC409="L23",CC409="LIFT"),AI409&gt;0),SUMIFS($AI$7:$AI$1843,$CC$7:$CC$1843,CC409,$AL$7:$AL$1843,"&gt;"&amp;AL409)+SUMIFS($AI$7:$AI$1843,$CC$7:$CC$1843,CC409,$AL$7:$AL$1843,AL409,$BT$7:$BT$1843,"&lt;="&amp;BT409),"")</f>
        <v>991.391483516484</v>
      </c>
      <c r="AN409" s="58" t="n">
        <f aca="false">IF(AM409="",0,MAX(0,MIN(1,(IF(CC409="L1",Parameter!$H$5,IF(CC409="L23",Parameter!$H$6+Parameter!$H$7,Parameter!$H$5+Parameter!$H$6+Parameter!$H$7))-(AM409-AI409))/AI409)))</f>
        <v>1</v>
      </c>
      <c r="AO409" s="50" t="n">
        <f aca="false">IF(LEFT(Cockpit!$I$5,1)="A",H409,IF(CE409=1,CF409,IF(LEFT(Cockpit!$I$5,1)="B",AT409,MAX(AT409,H409))))</f>
        <v>488</v>
      </c>
      <c r="AP409" s="50" t="n">
        <f aca="false">IF(BW409=1,0,ROUNDUP(AO409/BV409,0))</f>
        <v>4</v>
      </c>
      <c r="AQ409" s="52" t="n">
        <f aca="false">IF(CL409&gt;0,CL409*MAX(1,AO409/X409),IF(BW409=1,IF(AO409&lt;=0,0,CA409*MAX(1,IF(H409&gt;0,AO409/H409,1))),IF(R409&gt;0,AP409/R409,0))/MAX(0.1,N(Parameter!$M$21)))</f>
        <v>0.0384615384615385</v>
      </c>
      <c r="AR409" s="50" t="n">
        <f aca="false">AQ409*BY409</f>
        <v>5.96153846153846</v>
      </c>
      <c r="AS409" s="50" t="n">
        <f aca="false">AO409*G409</f>
        <v>170.8</v>
      </c>
      <c r="AT409" s="50" t="n">
        <f aca="false">ROUNDUP(MAX(J409/IF(CD409&gt;0,CD409,MAX(0.1,N(Cockpit!$I$6))),CG409)/BV409,0)*BV409</f>
        <v>488</v>
      </c>
      <c r="AU409" s="51" t="n">
        <f aca="false">IF(AR409&gt;0,J409/AR409,-1)</f>
        <v>59.7161290322581</v>
      </c>
      <c r="AV409" s="51" t="n">
        <f aca="false">IF(AND(OR(CC409="L1",CC409="L23",CC409="LIFT"),AR409&gt;0),SUMIFS($AR$7:$AR$1843,$CC$7:$CC$1843,CC409,$AU$7:$AU$1843,"&gt;"&amp;AU409)+SUMIFS($AR$7:$AR$1843,$CC$7:$CC$1843,CC409,$AU$7:$AU$1843,AU409,$BT$7:$BT$1843,"&lt;="&amp;BT409),"")</f>
        <v>1391.74908424908</v>
      </c>
      <c r="AW409" s="58" t="n">
        <f aca="false">IF(AV409="",0,MAX(0,MIN(1,(IF(CC409="L1",Parameter!$H$5,IF(CC409="L23",Parameter!$H$6+Parameter!$H$7,Parameter!$H$5+Parameter!$H$6+Parameter!$H$7))-(AV409-AR409))/AR409)))</f>
        <v>1</v>
      </c>
      <c r="AX409" s="50" t="n">
        <f aca="false">IF(LEFT(Cockpit!$O$5,1)="A",H409,IF(CE409=1,CF409,IF(LEFT(Cockpit!$O$5,1)="B",BC409,MAX(BC409,H409))))</f>
        <v>488</v>
      </c>
      <c r="AY409" s="50" t="n">
        <f aca="false">IF(BW409=1,0,ROUNDUP(AX409/BV409,0))</f>
        <v>4</v>
      </c>
      <c r="AZ409" s="52" t="n">
        <f aca="false">IF(CL409&gt;0,CL409*MAX(1,AX409/X409),IF(BW409=1,IF(AX409&lt;=0,0,CA409*MAX(1,IF(H409&gt;0,AX409/H409,1))),IF(R409&gt;0,AY409/R409,0))/MAX(0.1,N(Parameter!$M$21)))</f>
        <v>0.0384615384615385</v>
      </c>
      <c r="BA409" s="50" t="n">
        <f aca="false">AZ409*BY409</f>
        <v>5.96153846153846</v>
      </c>
      <c r="BB409" s="50" t="n">
        <f aca="false">AX409*G409</f>
        <v>170.8</v>
      </c>
      <c r="BC409" s="50" t="n">
        <f aca="false">ROUNDUP(MAX(J409/IF(CD409&gt;0,CD409,MAX(0.1,N(Cockpit!$O$6))),CG409)/BV409,0)*BV409</f>
        <v>488</v>
      </c>
      <c r="BD409" s="51" t="n">
        <f aca="false">IF(BA409&gt;0,J409/BA409,-1)</f>
        <v>59.7161290322581</v>
      </c>
      <c r="BE409" s="51" t="n">
        <f aca="false">IF(AND(OR(CC409="L1",CC409="L23",CC409="LIFT"),BA409&gt;0),SUMIFS($BA$7:$BA$1843,$CC$7:$CC$1843,CC409,$BD$7:$BD$1843,"&gt;"&amp;BD409)+SUMIFS($BA$7:$BA$1843,$CC$7:$CC$1843,CC409,$BD$7:$BD$1843,BD409,$BT$7:$BT$1843,"&lt;="&amp;BT409),"")</f>
        <v>1230.89972527473</v>
      </c>
      <c r="BF409" s="58" t="n">
        <f aca="false">IF(BE409="",0,MAX(0,MIN(1,(IF(CC409="L1",Parameter!$H$5,IF(CC409="L23",Parameter!$H$6+Parameter!$H$7,Parameter!$H$5+Parameter!$H$6+Parameter!$H$7))-(BE409-BA409))/BA409)))</f>
        <v>1</v>
      </c>
      <c r="BG409" s="48" t="str">
        <f aca="false">IF(AI409&lt;=0,"",IF(CC409="Aussen","Aussenlager",IF(CC409="-","Nicht im Lift",IF(AN409&gt;=1,"Lift",IF(AN409&lt;=0,"Aussenlager","teilweise")))))</f>
        <v>Lift</v>
      </c>
      <c r="BH409" s="48" t="str">
        <f aca="false">IF(AR409&lt;=0,"",IF(CC409="Aussen","Aussenlager",IF(CC409="-","Nicht im Lift",IF(AW409&gt;=1,"Lift",IF(AW409&lt;=0,"Aussenlager","teilweise")))))</f>
        <v>Lift</v>
      </c>
      <c r="BI409" s="48" t="str">
        <f aca="false">IF(BA409&lt;=0,"",IF(CC409="Aussen","Aussenlager",IF(CC409="-","Nicht im Lift",IF(BF409&gt;=1,"Lift",IF(BF409&lt;=0,"Aussenlager","teilweise")))))</f>
        <v>Lift</v>
      </c>
      <c r="BJ409" s="48" t="str">
        <f aca="false">IF(A409="","",IF(BS409=1,"Neu; ","")&amp;IF(AND(BS409=0,BN409&lt;0),"negativer Bestand (Export "&amp;BN409&amp;"); ","")&amp;IF(J409&lt;=0,"Kein Verbrauch; ","")&amp;IF(CL409&gt;0,"Lift "&amp;W409&amp;" lt. Liftbericht (Fach "&amp;X409&amp;" Stk); ",IF(BX409=1,"Gebinde geschätzt ("&amp;T409&amp;"); ",IF(BW409=1,"Lose – Tablare geschätzt; ","")))&amp;IF(H409&gt;AT409,"Überbestand "&amp;ROUND(H409-AT409,0)&amp;" Stk / CHF "&amp;ROUND((H409-AT409)*G409,0)&amp;"; ","")&amp;IF(AND(CE409=1,CF409&lt;CG409),"MAX &lt; MB+LG; ","")&amp;IF(AND(CK409&gt;0,CJ409*10&gt;CK409),"zu hoch für Tablar; ","")&amp;IF(AND(BS409=0,OR(CE409=1,AA409&lt;&gt;"",U409&lt;&gt;"",V409&lt;&gt;"",AB409&lt;&gt;"")),"manuell übersteuert; ","")&amp;IF(AND(BW409=0,R409=0),"Gebinde unbekannt / Stellmass fehlt; ","")&amp;IF(AND(BW409=0,N(V409)&lt;=0,N(Q409)&lt;=0),"Menge pro Gebinde fehlt (Ist = 1 Gebinde); ","")&amp;BR409)</f>
        <v/>
      </c>
      <c r="BK409" s="48"/>
      <c r="BL409" s="48"/>
      <c r="BM409" s="55"/>
      <c r="BN409" s="50" t="n">
        <v>294</v>
      </c>
      <c r="BO409" s="50" t="n">
        <v>93</v>
      </c>
      <c r="BP409" s="49" t="n">
        <v>103.83</v>
      </c>
      <c r="BQ409" s="50" t="n">
        <v>356</v>
      </c>
      <c r="BR409" s="48"/>
      <c r="BS409" s="53" t="n">
        <v>0</v>
      </c>
      <c r="BT409" s="53" t="n">
        <v>409</v>
      </c>
      <c r="BU409" s="48" t="str">
        <f aca="false">IF(U409&lt;&gt;"",UPPER(TRIM(U409)),IF(BX409=1,UPPER(VLOOKUP(T409,Parameter!$I$27:$K$29,2,0)),IF(P409="","LOSE",P409)))</f>
        <v>S32</v>
      </c>
      <c r="BV409" s="50" t="n">
        <f aca="false">IF(BU409="LOSE",1,IF(N(V409)&gt;0,V409,IF(BX409=1,MAX(1,N(VLOOKUP(T409,Parameter!$I$27:$K$29,3,0)),H409,N(N409)),IF(N(Q409)&gt;0,Q409,MAX(1,H409)))))</f>
        <v>122</v>
      </c>
      <c r="BW409" s="53" t="n">
        <f aca="false">IF(BU409="LOSE",1,0)</f>
        <v>0</v>
      </c>
      <c r="BX409" s="53" t="n">
        <f aca="false">IF(AND(U409="",OR(P409="",P409="LOSE"),T409&lt;&gt;"",N(S409)&lt;=0,ISNUMBER(MATCH(T409,Parameter!$I$27:$I$29,0))),1,0)</f>
        <v>0</v>
      </c>
      <c r="BY409" s="53" t="n">
        <f aca="false">IF(CL409&gt;0,INDEX(Parameter!$H$5:$H$7,W409)/INDEX(Parameter!$E$5:$E$7,W409),IF(AND(BW409=0,N(IFERROR(VLOOKUP(BU409,'Gebinde-Kategorie'!$A$5:$N$45,14,0),0))&gt;0),VLOOKUP(BU409,'Gebinde-Kategorie'!$A$5:$N$45,14,0)*10+Parameter!$M$23,Parameter!$M$24))</f>
        <v>155</v>
      </c>
      <c r="BZ409" s="48" t="str">
        <f aca="false">IF(AND(Parameter!$B$19="Ja",E409&lt;&gt;"",ISNUMBER(MATCH(E409,Parameter!$I$35:$I$52,0))),VLOOKUP(E409,Parameter!$I$35:$J$52,2,0),IFERROR(VLOOKUP(D409,Parameter!$A$35:$C$64,2,0),"Nein"))</f>
        <v>2+3</v>
      </c>
      <c r="CA409" s="52" t="n">
        <f aca="false">IF(BW409=0,0,IF(N(S409)&gt;0,S409,IFERROR(VLOOKUP(D409,Parameter!$A$35:$C$64,3,0)+0,0)))</f>
        <v>0</v>
      </c>
      <c r="CB409" s="48" t="n">
        <f aca="false">IF(AA409&lt;&gt;"",AA409,Z409)</f>
        <v>3</v>
      </c>
      <c r="CC409" s="48" t="str">
        <f aca="false">IF(OR(CB409=1,CB409=2,CB409=3),IF(Parameter!$E$27="Ja","LIFT",IF(CB409=1,"L1","L23")),IF(CB409="Aussen","Aussen","-"))</f>
        <v>LIFT</v>
      </c>
      <c r="CD409" s="59" t="n">
        <f aca="false">IF(N(AB409)&gt;0,AB409,0)</f>
        <v>0</v>
      </c>
      <c r="CE409" s="53" t="n">
        <f aca="false">IF(ISNUMBER(AE409),1,0)</f>
        <v>0</v>
      </c>
      <c r="CF409" s="50" t="n">
        <f aca="false">N(AE409)</f>
        <v>0</v>
      </c>
      <c r="CG409" s="50" t="n">
        <f aca="false">N(M409)+N(N409)</f>
        <v>413</v>
      </c>
      <c r="CH409" s="50" t="n">
        <f aca="false">ROUNDUP(H409/BV409,0)</f>
        <v>4</v>
      </c>
      <c r="CI409" s="50" t="n">
        <f aca="false">ROUNDUP(CF409/BV409,0)</f>
        <v>0</v>
      </c>
      <c r="CJ409" s="53" t="n">
        <f aca="false">IF(BW409=1,0,IFERROR(VLOOKUP(BU409,'Gebinde-Kategorie'!$A$5:$N$45,5,0)+0,0))</f>
        <v>8</v>
      </c>
      <c r="CK409" s="53" t="n">
        <f aca="false">IFERROR(IF(OR(CB409=1,CB409=2,CB409=3),N(INDEX(Parameter!$I$5:$I$7,CB409)),0),0)</f>
        <v>0</v>
      </c>
      <c r="CL409" s="52" t="n">
        <f aca="false">IF(AND(Parameter!$B$21="Ja",ISNUMBER(W409),N(X409)&gt;0),IFERROR(N(INDEX(Parameter!$L$5:$L$7,W409))*INDEX(Parameter!$E$5:$E$7,W409)*X409/SUMIFS($X$7:$X$1843,$W$7:$W$1843,W409),0),0)</f>
        <v>0</v>
      </c>
    </row>
    <row r="410" customFormat="false" ht="15" hidden="false" customHeight="false" outlineLevel="0" collapsed="false">
      <c r="A410" s="48" t="s">
        <v>958</v>
      </c>
      <c r="B410" s="48" t="s">
        <v>959</v>
      </c>
      <c r="C410" s="48" t="s">
        <v>168</v>
      </c>
      <c r="D410" s="48" t="s">
        <v>188</v>
      </c>
      <c r="E410" s="48"/>
      <c r="F410" s="48" t="s">
        <v>222</v>
      </c>
      <c r="G410" s="49" t="n">
        <v>49.6</v>
      </c>
      <c r="H410" s="50" t="n">
        <f aca="false">MAX(0,IF(AND(Parameter!$B$21="Ja",ISNUMBER(Y410)),Y410,IF(Parameter!$B$20="Jahresanfang 2025 + Export",BO410+BN410,BN410)))</f>
        <v>3</v>
      </c>
      <c r="I410" s="50" t="n">
        <f aca="false">H410*G410</f>
        <v>148.8</v>
      </c>
      <c r="J410" s="50" t="n">
        <f aca="false">BQ410*Parameter!$B$18</f>
        <v>0</v>
      </c>
      <c r="K410" s="51" t="n">
        <v>1</v>
      </c>
      <c r="L410" s="52" t="n">
        <v>0</v>
      </c>
      <c r="M410" s="50" t="n">
        <v>0</v>
      </c>
      <c r="N410" s="50" t="n">
        <v>1</v>
      </c>
      <c r="O410" s="53" t="n">
        <v>42</v>
      </c>
      <c r="P410" s="48" t="s">
        <v>237</v>
      </c>
      <c r="Q410" s="50" t="n">
        <v>3</v>
      </c>
      <c r="R410" s="53" t="n">
        <f aca="false">IF(BW410=1,0,IFERROR(VLOOKUP(BU410,'Gebinde-Kategorie'!$A$5:$N$45,13,0)+0,0))</f>
        <v>26</v>
      </c>
      <c r="S410" s="54"/>
      <c r="T410" s="55"/>
      <c r="U410" s="55"/>
      <c r="V410" s="55"/>
      <c r="W410" s="48"/>
      <c r="X410" s="50"/>
      <c r="Y410" s="50"/>
      <c r="Z410" s="48" t="n">
        <f aca="false">IF(A410="","",IF(AND(Parameter!$B$21="Ja",ISNUMBER(W410)),W410,IF(BZ410="2+3",IF(ISNUMBER(SEARCH("grosser Artikel",BR410)),2,IFERROR(VLOOKUP(BU410,Parameter!$F$35:$G$64,2,0),2)),IF(OR(BZ410="Nein",BZ410=""),"-",BZ410))))</f>
        <v>3</v>
      </c>
      <c r="AA410" s="55"/>
      <c r="AB410" s="56"/>
      <c r="AC410" s="50" t="n">
        <f aca="false">AT410</f>
        <v>3</v>
      </c>
      <c r="AD410" s="50" t="n">
        <f aca="false">MAX(AT410,H410)</f>
        <v>3</v>
      </c>
      <c r="AE410" s="57"/>
      <c r="AF410" s="50" t="n">
        <f aca="false">IF(LEFT(Cockpit!$C$5,1)="A",H410,IF(CE410=1,CF410,IF(LEFT(Cockpit!$C$5,1)="B",AK410,MAX(AK410,H410))))</f>
        <v>3</v>
      </c>
      <c r="AG410" s="50" t="n">
        <f aca="false">IF(BW410=1,0,ROUNDUP(AF410/BV410,0))</f>
        <v>1</v>
      </c>
      <c r="AH410" s="52" t="n">
        <f aca="false">IF(CL410&gt;0,CL410*MAX(1,AF410/X410),IF(BW410=1,IF(AF410&lt;=0,0,CA410*MAX(1,IF(H410&gt;0,AF410/H410,1))),IF(R410&gt;0,AG410/R410,0))/MAX(0.1,N(Parameter!$M$21)))</f>
        <v>0.0384615384615385</v>
      </c>
      <c r="AI410" s="50" t="n">
        <f aca="false">AH410*BY410</f>
        <v>9.42307692307692</v>
      </c>
      <c r="AJ410" s="50" t="n">
        <f aca="false">AF410*G410</f>
        <v>148.8</v>
      </c>
      <c r="AK410" s="50" t="n">
        <f aca="false">ROUNDUP(MAX(J410/IF(CD410&gt;0,CD410,MAX(0.1,N(Cockpit!$C$6))),CG410)/BV410,0)*BV410</f>
        <v>3</v>
      </c>
      <c r="AL410" s="51" t="n">
        <f aca="false">IF(AI410&gt;0,J410/AI410,-1)</f>
        <v>0</v>
      </c>
      <c r="AM410" s="51" t="n">
        <f aca="false">IF(AND(OR(CC410="L1",CC410="L23",CC410="LIFT"),AI410&gt;0),SUMIFS($AI$7:$AI$1843,$CC$7:$CC$1843,CC410,$AL$7:$AL$1843,"&gt;"&amp;AL410)+SUMIFS($AI$7:$AI$1843,$CC$7:$CC$1843,CC410,$AL$7:$AL$1843,AL410,$BT$7:$BT$1843,"&lt;="&amp;BT410),"")</f>
        <v>28101.6160106372</v>
      </c>
      <c r="AN410" s="58" t="n">
        <f aca="false">IF(AM410="",0,MAX(0,MIN(1,(IF(CC410="L1",Parameter!$H$5,IF(CC410="L23",Parameter!$H$6+Parameter!$H$7,Parameter!$H$5+Parameter!$H$6+Parameter!$H$7))-(AM410-AI410))/AI410)))</f>
        <v>1</v>
      </c>
      <c r="AO410" s="50" t="n">
        <f aca="false">IF(LEFT(Cockpit!$I$5,1)="A",H410,IF(CE410=1,CF410,IF(LEFT(Cockpit!$I$5,1)="B",AT410,MAX(AT410,H410))))</f>
        <v>3</v>
      </c>
      <c r="AP410" s="50" t="n">
        <f aca="false">IF(BW410=1,0,ROUNDUP(AO410/BV410,0))</f>
        <v>1</v>
      </c>
      <c r="AQ410" s="52" t="n">
        <f aca="false">IF(CL410&gt;0,CL410*MAX(1,AO410/X410),IF(BW410=1,IF(AO410&lt;=0,0,CA410*MAX(1,IF(H410&gt;0,AO410/H410,1))),IF(R410&gt;0,AP410/R410,0))/MAX(0.1,N(Parameter!$M$21)))</f>
        <v>0.0384615384615385</v>
      </c>
      <c r="AR410" s="50" t="n">
        <f aca="false">AQ410*BY410</f>
        <v>9.42307692307692</v>
      </c>
      <c r="AS410" s="50" t="n">
        <f aca="false">AO410*G410</f>
        <v>148.8</v>
      </c>
      <c r="AT410" s="50" t="n">
        <f aca="false">ROUNDUP(MAX(J410/IF(CD410&gt;0,CD410,MAX(0.1,N(Cockpit!$I$6))),CG410)/BV410,0)*BV410</f>
        <v>3</v>
      </c>
      <c r="AU410" s="51" t="n">
        <f aca="false">IF(AR410&gt;0,J410/AR410,-1)</f>
        <v>0</v>
      </c>
      <c r="AV410" s="51" t="n">
        <f aca="false">IF(AND(OR(CC410="L1",CC410="L23",CC410="LIFT"),AR410&gt;0),SUMIFS($AR$7:$AR$1843,$CC$7:$CC$1843,CC410,$AU$7:$AU$1843,"&gt;"&amp;AU410)+SUMIFS($AR$7:$AR$1843,$CC$7:$CC$1843,CC410,$AU$7:$AU$1843,AU410,$BT$7:$BT$1843,"&lt;="&amp;BT410),"")</f>
        <v>39414.5215279071</v>
      </c>
      <c r="AW410" s="58" t="n">
        <f aca="false">IF(AV410="",0,MAX(0,MIN(1,(IF(CC410="L1",Parameter!$H$5,IF(CC410="L23",Parameter!$H$6+Parameter!$H$7,Parameter!$H$5+Parameter!$H$6+Parameter!$H$7))-(AV410-AR410))/AR410)))</f>
        <v>0</v>
      </c>
      <c r="AX410" s="50" t="n">
        <f aca="false">IF(LEFT(Cockpit!$O$5,1)="A",H410,IF(CE410=1,CF410,IF(LEFT(Cockpit!$O$5,1)="B",BC410,MAX(BC410,H410))))</f>
        <v>3</v>
      </c>
      <c r="AY410" s="50" t="n">
        <f aca="false">IF(BW410=1,0,ROUNDUP(AX410/BV410,0))</f>
        <v>1</v>
      </c>
      <c r="AZ410" s="52" t="n">
        <f aca="false">IF(CL410&gt;0,CL410*MAX(1,AX410/X410),IF(BW410=1,IF(AX410&lt;=0,0,CA410*MAX(1,IF(H410&gt;0,AX410/H410,1))),IF(R410&gt;0,AY410/R410,0))/MAX(0.1,N(Parameter!$M$21)))</f>
        <v>0.0384615384615385</v>
      </c>
      <c r="BA410" s="50" t="n">
        <f aca="false">AZ410*BY410</f>
        <v>9.42307692307692</v>
      </c>
      <c r="BB410" s="50" t="n">
        <f aca="false">AX410*G410</f>
        <v>148.8</v>
      </c>
      <c r="BC410" s="50" t="n">
        <f aca="false">ROUNDUP(MAX(J410/IF(CD410&gt;0,CD410,MAX(0.1,N(Cockpit!$O$6))),CG410)/BV410,0)*BV410</f>
        <v>3</v>
      </c>
      <c r="BD410" s="51" t="n">
        <f aca="false">IF(BA410&gt;0,J410/BA410,-1)</f>
        <v>0</v>
      </c>
      <c r="BE410" s="51" t="n">
        <f aca="false">IF(AND(OR(CC410="L1",CC410="L23",CC410="LIFT"),BA410&gt;0),SUMIFS($BA$7:$BA$1843,$CC$7:$CC$1843,CC410,$BD$7:$BD$1843,"&gt;"&amp;BD410)+SUMIFS($BA$7:$BA$1843,$CC$7:$CC$1843,CC410,$BD$7:$BD$1843,BD410,$BT$7:$BT$1843,"&lt;="&amp;BT410),"")</f>
        <v>36089.533569773</v>
      </c>
      <c r="BF410" s="58" t="n">
        <f aca="false">IF(BE410="",0,MAX(0,MIN(1,(IF(CC410="L1",Parameter!$H$5,IF(CC410="L23",Parameter!$H$6+Parameter!$H$7,Parameter!$H$5+Parameter!$H$6+Parameter!$H$7))-(BE410-BA410))/BA410)))</f>
        <v>0</v>
      </c>
      <c r="BG410" s="48" t="str">
        <f aca="false">IF(AI410&lt;=0,"",IF(CC410="Aussen","Aussenlager",IF(CC410="-","Nicht im Lift",IF(AN410&gt;=1,"Lift",IF(AN410&lt;=0,"Aussenlager","teilweise")))))</f>
        <v>Lift</v>
      </c>
      <c r="BH410" s="48" t="str">
        <f aca="false">IF(AR410&lt;=0,"",IF(CC410="Aussen","Aussenlager",IF(CC410="-","Nicht im Lift",IF(AW410&gt;=1,"Lift",IF(AW410&lt;=0,"Aussenlager","teilweise")))))</f>
        <v>Aussenlager</v>
      </c>
      <c r="BI410" s="48" t="str">
        <f aca="false">IF(BA410&lt;=0,"",IF(CC410="Aussen","Aussenlager",IF(CC410="-","Nicht im Lift",IF(BF410&gt;=1,"Lift",IF(BF410&lt;=0,"Aussenlager","teilweise")))))</f>
        <v>Aussenlager</v>
      </c>
      <c r="BJ410" s="48" t="str">
        <f aca="false">IF(A410="","",IF(BS410=1,"Neu; ","")&amp;IF(AND(BS410=0,BN410&lt;0),"negativer Bestand (Export "&amp;BN410&amp;"); ","")&amp;IF(J410&lt;=0,"Kein Verbrauch; ","")&amp;IF(CL410&gt;0,"Lift "&amp;W410&amp;" lt. Liftbericht (Fach "&amp;X410&amp;" Stk); ",IF(BX410=1,"Gebinde geschätzt ("&amp;T410&amp;"); ",IF(BW410=1,"Lose – Tablare geschätzt; ","")))&amp;IF(H410&gt;AT410,"Überbestand "&amp;ROUND(H410-AT410,0)&amp;" Stk / CHF "&amp;ROUND((H410-AT410)*G410,0)&amp;"; ","")&amp;IF(AND(CE410=1,CF410&lt;CG410),"MAX &lt; MB+LG; ","")&amp;IF(AND(CK410&gt;0,CJ410*10&gt;CK410),"zu hoch für Tablar; ","")&amp;IF(AND(BS410=0,OR(CE410=1,AA410&lt;&gt;"",U410&lt;&gt;"",V410&lt;&gt;"",AB410&lt;&gt;"")),"manuell übersteuert; ","")&amp;IF(AND(BW410=0,R410=0),"Gebinde unbekannt / Stellmass fehlt; ","")&amp;IF(AND(BW410=0,N(V410)&lt;=0,N(Q410)&lt;=0),"Menge pro Gebinde fehlt (Ist = 1 Gebinde); ","")&amp;BR410)</f>
        <v>Kein Verbrauch; </v>
      </c>
      <c r="BK410" s="48"/>
      <c r="BL410" s="48"/>
      <c r="BM410" s="55"/>
      <c r="BN410" s="50" t="n">
        <v>2</v>
      </c>
      <c r="BO410" s="50" t="n">
        <v>1</v>
      </c>
      <c r="BP410" s="49" t="n">
        <v>103.4</v>
      </c>
      <c r="BQ410" s="50" t="n">
        <v>0</v>
      </c>
      <c r="BR410" s="48"/>
      <c r="BS410" s="53" t="n">
        <v>0</v>
      </c>
      <c r="BT410" s="53" t="n">
        <v>410</v>
      </c>
      <c r="BU410" s="48" t="str">
        <f aca="false">IF(U410&lt;&gt;"",UPPER(TRIM(U410)),IF(BX410=1,UPPER(VLOOKUP(T410,Parameter!$I$27:$K$29,2,0)),IF(P410="","LOSE",P410)))</f>
        <v>S52</v>
      </c>
      <c r="BV410" s="50" t="n">
        <f aca="false">IF(BU410="LOSE",1,IF(N(V410)&gt;0,V410,IF(BX410=1,MAX(1,N(VLOOKUP(T410,Parameter!$I$27:$K$29,3,0)),H410,N(N410)),IF(N(Q410)&gt;0,Q410,MAX(1,H410)))))</f>
        <v>3</v>
      </c>
      <c r="BW410" s="53" t="n">
        <f aca="false">IF(BU410="LOSE",1,0)</f>
        <v>0</v>
      </c>
      <c r="BX410" s="53" t="n">
        <f aca="false">IF(AND(U410="",OR(P410="",P410="LOSE"),T410&lt;&gt;"",N(S410)&lt;=0,ISNUMBER(MATCH(T410,Parameter!$I$27:$I$29,0))),1,0)</f>
        <v>0</v>
      </c>
      <c r="BY410" s="53" t="n">
        <f aca="false">IF(CL410&gt;0,INDEX(Parameter!$H$5:$H$7,W410)/INDEX(Parameter!$E$5:$E$7,W410),IF(AND(BW410=0,N(IFERROR(VLOOKUP(BU410,'Gebinde-Kategorie'!$A$5:$N$45,14,0),0))&gt;0),VLOOKUP(BU410,'Gebinde-Kategorie'!$A$5:$N$45,14,0)*10+Parameter!$M$23,Parameter!$M$24))</f>
        <v>245</v>
      </c>
      <c r="BZ410" s="48" t="str">
        <f aca="false">IF(AND(Parameter!$B$19="Ja",E410&lt;&gt;"",ISNUMBER(MATCH(E410,Parameter!$I$35:$I$52,0))),VLOOKUP(E410,Parameter!$I$35:$J$52,2,0),IFERROR(VLOOKUP(D410,Parameter!$A$35:$C$64,2,0),"Nein"))</f>
        <v>2+3</v>
      </c>
      <c r="CA410" s="52" t="n">
        <f aca="false">IF(BW410=0,0,IF(N(S410)&gt;0,S410,IFERROR(VLOOKUP(D410,Parameter!$A$35:$C$64,3,0)+0,0)))</f>
        <v>0</v>
      </c>
      <c r="CB410" s="48" t="n">
        <f aca="false">IF(AA410&lt;&gt;"",AA410,Z410)</f>
        <v>3</v>
      </c>
      <c r="CC410" s="48" t="str">
        <f aca="false">IF(OR(CB410=1,CB410=2,CB410=3),IF(Parameter!$E$27="Ja","LIFT",IF(CB410=1,"L1","L23")),IF(CB410="Aussen","Aussen","-"))</f>
        <v>LIFT</v>
      </c>
      <c r="CD410" s="59" t="n">
        <f aca="false">IF(N(AB410)&gt;0,AB410,0)</f>
        <v>0</v>
      </c>
      <c r="CE410" s="53" t="n">
        <f aca="false">IF(ISNUMBER(AE410),1,0)</f>
        <v>0</v>
      </c>
      <c r="CF410" s="50" t="n">
        <f aca="false">N(AE410)</f>
        <v>0</v>
      </c>
      <c r="CG410" s="50" t="n">
        <f aca="false">N(M410)+N(N410)</f>
        <v>1</v>
      </c>
      <c r="CH410" s="50" t="n">
        <f aca="false">ROUNDUP(H410/BV410,0)</f>
        <v>1</v>
      </c>
      <c r="CI410" s="50" t="n">
        <f aca="false">ROUNDUP(CF410/BV410,0)</f>
        <v>0</v>
      </c>
      <c r="CJ410" s="53" t="n">
        <f aca="false">IF(BW410=1,0,IFERROR(VLOOKUP(BU410,'Gebinde-Kategorie'!$A$5:$N$45,5,0)+0,0))</f>
        <v>21</v>
      </c>
      <c r="CK410" s="53" t="n">
        <f aca="false">IFERROR(IF(OR(CB410=1,CB410=2,CB410=3),N(INDEX(Parameter!$I$5:$I$7,CB410)),0),0)</f>
        <v>0</v>
      </c>
      <c r="CL410" s="52" t="n">
        <f aca="false">IF(AND(Parameter!$B$21="Ja",ISNUMBER(W410),N(X410)&gt;0),IFERROR(N(INDEX(Parameter!$L$5:$L$7,W410))*INDEX(Parameter!$E$5:$E$7,W410)*X410/SUMIFS($X$7:$X$1843,$W$7:$W$1843,W410),0),0)</f>
        <v>0</v>
      </c>
    </row>
    <row r="411" customFormat="false" ht="15" hidden="false" customHeight="false" outlineLevel="0" collapsed="false">
      <c r="A411" s="48" t="s">
        <v>960</v>
      </c>
      <c r="B411" s="48" t="s">
        <v>961</v>
      </c>
      <c r="C411" s="48" t="s">
        <v>168</v>
      </c>
      <c r="D411" s="48" t="s">
        <v>188</v>
      </c>
      <c r="E411" s="48"/>
      <c r="F411" s="48" t="s">
        <v>222</v>
      </c>
      <c r="G411" s="49" t="n">
        <v>32.65</v>
      </c>
      <c r="H411" s="50" t="n">
        <f aca="false">MAX(0,IF(AND(Parameter!$B$21="Ja",ISNUMBER(Y411)),Y411,IF(Parameter!$B$20="Jahresanfang 2025 + Export",BO411+BN411,BN411)))</f>
        <v>6</v>
      </c>
      <c r="I411" s="50" t="n">
        <f aca="false">H411*G411</f>
        <v>195.9</v>
      </c>
      <c r="J411" s="50" t="n">
        <f aca="false">BQ411*Parameter!$B$18</f>
        <v>9</v>
      </c>
      <c r="K411" s="51" t="n">
        <v>2.5</v>
      </c>
      <c r="L411" s="52" t="n">
        <v>3.6</v>
      </c>
      <c r="M411" s="50" t="n">
        <v>0</v>
      </c>
      <c r="N411" s="50" t="n">
        <v>3</v>
      </c>
      <c r="O411" s="53" t="n">
        <v>14</v>
      </c>
      <c r="P411" s="48" t="s">
        <v>172</v>
      </c>
      <c r="Q411" s="50"/>
      <c r="R411" s="53" t="n">
        <f aca="false">IF(BW411=1,0,IFERROR(VLOOKUP(BU411,'Gebinde-Kategorie'!$A$5:$N$45,13,0)+0,0))</f>
        <v>26</v>
      </c>
      <c r="S411" s="54"/>
      <c r="T411" s="55" t="s">
        <v>279</v>
      </c>
      <c r="U411" s="55"/>
      <c r="V411" s="55"/>
      <c r="W411" s="48"/>
      <c r="X411" s="50"/>
      <c r="Y411" s="50"/>
      <c r="Z411" s="48" t="n">
        <f aca="false">IF(A411="","",IF(AND(Parameter!$B$21="Ja",ISNUMBER(W411)),W411,IF(BZ411="2+3",IF(ISNUMBER(SEARCH("grosser Artikel",BR411)),2,IFERROR(VLOOKUP(BU411,Parameter!$F$35:$G$64,2,0),2)),IF(OR(BZ411="Nein",BZ411=""),"-",BZ411))))</f>
        <v>3</v>
      </c>
      <c r="AA411" s="55"/>
      <c r="AB411" s="56"/>
      <c r="AC411" s="50" t="n">
        <f aca="false">AT411</f>
        <v>20</v>
      </c>
      <c r="AD411" s="50" t="n">
        <f aca="false">MAX(AT411,H411)</f>
        <v>20</v>
      </c>
      <c r="AE411" s="57"/>
      <c r="AF411" s="50" t="n">
        <f aca="false">IF(LEFT(Cockpit!$C$5,1)="A",H411,IF(CE411=1,CF411,IF(LEFT(Cockpit!$C$5,1)="B",AK411,MAX(AK411,H411))))</f>
        <v>6</v>
      </c>
      <c r="AG411" s="50" t="n">
        <f aca="false">IF(BW411=1,0,ROUNDUP(AF411/BV411,0))</f>
        <v>1</v>
      </c>
      <c r="AH411" s="52" t="n">
        <f aca="false">IF(CL411&gt;0,CL411*MAX(1,AF411/X411),IF(BW411=1,IF(AF411&lt;=0,0,CA411*MAX(1,IF(H411&gt;0,AF411/H411,1))),IF(R411&gt;0,AG411/R411,0))/MAX(0.1,N(Parameter!$M$21)))</f>
        <v>0.0384615384615385</v>
      </c>
      <c r="AI411" s="50" t="n">
        <f aca="false">AH411*BY411</f>
        <v>5.96153846153846</v>
      </c>
      <c r="AJ411" s="50" t="n">
        <f aca="false">AF411*G411</f>
        <v>195.9</v>
      </c>
      <c r="AK411" s="50" t="n">
        <f aca="false">ROUNDUP(MAX(J411/IF(CD411&gt;0,CD411,MAX(0.1,N(Cockpit!$C$6))),CG411)/BV411,0)*BV411</f>
        <v>20</v>
      </c>
      <c r="AL411" s="51" t="n">
        <f aca="false">IF(AI411&gt;0,J411/AI411,-1)</f>
        <v>1.50967741935484</v>
      </c>
      <c r="AM411" s="51" t="n">
        <f aca="false">IF(AND(OR(CC411="L1",CC411="L23",CC411="LIFT"),AI411&gt;0),SUMIFS($AI$7:$AI$1843,$CC$7:$CC$1843,CC411,$AL$7:$AL$1843,"&gt;"&amp;AL411)+SUMIFS($AI$7:$AI$1843,$CC$7:$CC$1843,CC411,$AL$7:$AL$1843,AL411,$BT$7:$BT$1843,"&lt;="&amp;BT411),"")</f>
        <v>6209.92994505495</v>
      </c>
      <c r="AN411" s="58" t="n">
        <f aca="false">IF(AM411="",0,MAX(0,MIN(1,(IF(CC411="L1",Parameter!$H$5,IF(CC411="L23",Parameter!$H$6+Parameter!$H$7,Parameter!$H$5+Parameter!$H$6+Parameter!$H$7))-(AM411-AI411))/AI411)))</f>
        <v>1</v>
      </c>
      <c r="AO411" s="50" t="n">
        <f aca="false">IF(LEFT(Cockpit!$I$5,1)="A",H411,IF(CE411=1,CF411,IF(LEFT(Cockpit!$I$5,1)="B",AT411,MAX(AT411,H411))))</f>
        <v>20</v>
      </c>
      <c r="AP411" s="50" t="n">
        <f aca="false">IF(BW411=1,0,ROUNDUP(AO411/BV411,0))</f>
        <v>1</v>
      </c>
      <c r="AQ411" s="52" t="n">
        <f aca="false">IF(CL411&gt;0,CL411*MAX(1,AO411/X411),IF(BW411=1,IF(AO411&lt;=0,0,CA411*MAX(1,IF(H411&gt;0,AO411/H411,1))),IF(R411&gt;0,AP411/R411,0))/MAX(0.1,N(Parameter!$M$21)))</f>
        <v>0.0384615384615385</v>
      </c>
      <c r="AR411" s="50" t="n">
        <f aca="false">AQ411*BY411</f>
        <v>5.96153846153846</v>
      </c>
      <c r="AS411" s="50" t="n">
        <f aca="false">AO411*G411</f>
        <v>653</v>
      </c>
      <c r="AT411" s="50" t="n">
        <f aca="false">ROUNDUP(MAX(J411/IF(CD411&gt;0,CD411,MAX(0.1,N(Cockpit!$I$6))),CG411)/BV411,0)*BV411</f>
        <v>20</v>
      </c>
      <c r="AU411" s="51" t="n">
        <f aca="false">IF(AR411&gt;0,J411/AR411,-1)</f>
        <v>1.50967741935484</v>
      </c>
      <c r="AV411" s="51" t="n">
        <f aca="false">IF(AND(OR(CC411="L1",CC411="L23",CC411="LIFT"),AR411&gt;0),SUMIFS($AR$7:$AR$1843,$CC$7:$CC$1843,CC411,$AU$7:$AU$1843,"&gt;"&amp;AU411)+SUMIFS($AR$7:$AR$1843,$CC$7:$CC$1843,CC411,$AU$7:$AU$1843,AU411,$BT$7:$BT$1843,"&lt;="&amp;BT411),"")</f>
        <v>8372.82142857143</v>
      </c>
      <c r="AW411" s="58" t="n">
        <f aca="false">IF(AV411="",0,MAX(0,MIN(1,(IF(CC411="L1",Parameter!$H$5,IF(CC411="L23",Parameter!$H$6+Parameter!$H$7,Parameter!$H$5+Parameter!$H$6+Parameter!$H$7))-(AV411-AR411))/AR411)))</f>
        <v>1</v>
      </c>
      <c r="AX411" s="50" t="n">
        <f aca="false">IF(LEFT(Cockpit!$O$5,1)="A",H411,IF(CE411=1,CF411,IF(LEFT(Cockpit!$O$5,1)="B",BC411,MAX(BC411,H411))))</f>
        <v>20</v>
      </c>
      <c r="AY411" s="50" t="n">
        <f aca="false">IF(BW411=1,0,ROUNDUP(AX411/BV411,0))</f>
        <v>1</v>
      </c>
      <c r="AZ411" s="52" t="n">
        <f aca="false">IF(CL411&gt;0,CL411*MAX(1,AX411/X411),IF(BW411=1,IF(AX411&lt;=0,0,CA411*MAX(1,IF(H411&gt;0,AX411/H411,1))),IF(R411&gt;0,AY411/R411,0))/MAX(0.1,N(Parameter!$M$21)))</f>
        <v>0.0384615384615385</v>
      </c>
      <c r="BA411" s="50" t="n">
        <f aca="false">AZ411*BY411</f>
        <v>5.96153846153846</v>
      </c>
      <c r="BB411" s="50" t="n">
        <f aca="false">AX411*G411</f>
        <v>653</v>
      </c>
      <c r="BC411" s="50" t="n">
        <f aca="false">ROUNDUP(MAX(J411/IF(CD411&gt;0,CD411,MAX(0.1,N(Cockpit!$O$6))),CG411)/BV411,0)*BV411</f>
        <v>20</v>
      </c>
      <c r="BD411" s="51" t="n">
        <f aca="false">IF(BA411&gt;0,J411/BA411,-1)</f>
        <v>1.50967741935484</v>
      </c>
      <c r="BE411" s="51" t="n">
        <f aca="false">IF(AND(OR(CC411="L1",CC411="L23",CC411="LIFT"),BA411&gt;0),SUMIFS($BA$7:$BA$1843,$CC$7:$CC$1843,CC411,$BD$7:$BD$1843,"&gt;"&amp;BD411)+SUMIFS($BA$7:$BA$1843,$CC$7:$CC$1843,CC411,$BD$7:$BD$1843,BD411,$BT$7:$BT$1843,"&lt;="&amp;BT411),"")</f>
        <v>8287.22847985348</v>
      </c>
      <c r="BF411" s="58" t="n">
        <f aca="false">IF(BE411="",0,MAX(0,MIN(1,(IF(CC411="L1",Parameter!$H$5,IF(CC411="L23",Parameter!$H$6+Parameter!$H$7,Parameter!$H$5+Parameter!$H$6+Parameter!$H$7))-(BE411-BA411))/BA411)))</f>
        <v>1</v>
      </c>
      <c r="BG411" s="48" t="str">
        <f aca="false">IF(AI411&lt;=0,"",IF(CC411="Aussen","Aussenlager",IF(CC411="-","Nicht im Lift",IF(AN411&gt;=1,"Lift",IF(AN411&lt;=0,"Aussenlager","teilweise")))))</f>
        <v>Lift</v>
      </c>
      <c r="BH411" s="48" t="str">
        <f aca="false">IF(AR411&lt;=0,"",IF(CC411="Aussen","Aussenlager",IF(CC411="-","Nicht im Lift",IF(AW411&gt;=1,"Lift",IF(AW411&lt;=0,"Aussenlager","teilweise")))))</f>
        <v>Lift</v>
      </c>
      <c r="BI411" s="48" t="str">
        <f aca="false">IF(BA411&lt;=0,"",IF(CC411="Aussen","Aussenlager",IF(CC411="-","Nicht im Lift",IF(BF411&gt;=1,"Lift",IF(BF411&lt;=0,"Aussenlager","teilweise")))))</f>
        <v>Lift</v>
      </c>
      <c r="BJ411" s="48" t="str">
        <f aca="false">IF(A411="","",IF(BS411=1,"Neu; ","")&amp;IF(AND(BS411=0,BN411&lt;0),"negativer Bestand (Export "&amp;BN411&amp;"); ","")&amp;IF(J411&lt;=0,"Kein Verbrauch; ","")&amp;IF(CL411&gt;0,"Lift "&amp;W411&amp;" lt. Liftbericht (Fach "&amp;X411&amp;" Stk); ",IF(BX411=1,"Gebinde geschätzt ("&amp;T411&amp;"); ",IF(BW411=1,"Lose – Tablare geschätzt; ","")))&amp;IF(H411&gt;AT411,"Überbestand "&amp;ROUND(H411-AT411,0)&amp;" Stk / CHF "&amp;ROUND((H411-AT411)*G411,0)&amp;"; ","")&amp;IF(AND(CE411=1,CF411&lt;CG411),"MAX &lt; MB+LG; ","")&amp;IF(AND(CK411&gt;0,CJ411*10&gt;CK411),"zu hoch für Tablar; ","")&amp;IF(AND(BS411=0,OR(CE411=1,AA411&lt;&gt;"",U411&lt;&gt;"",V411&lt;&gt;"",AB411&lt;&gt;"")),"manuell übersteuert; ","")&amp;IF(AND(BW411=0,R411=0),"Gebinde unbekannt / Stellmass fehlt; ","")&amp;IF(AND(BW411=0,N(V411)&lt;=0,N(Q411)&lt;=0),"Menge pro Gebinde fehlt (Ist = 1 Gebinde); ","")&amp;BR411)</f>
        <v>Gebinde geschätzt (Klein); Menge pro Gebinde fehlt (Ist = 1 Gebinde); </v>
      </c>
      <c r="BK411" s="48"/>
      <c r="BL411" s="48"/>
      <c r="BM411" s="55"/>
      <c r="BN411" s="50" t="n">
        <v>3</v>
      </c>
      <c r="BO411" s="50" t="n">
        <v>3</v>
      </c>
      <c r="BP411" s="49" t="n">
        <v>101.19</v>
      </c>
      <c r="BQ411" s="50" t="n">
        <v>9</v>
      </c>
      <c r="BR411" s="48"/>
      <c r="BS411" s="53" t="n">
        <v>0</v>
      </c>
      <c r="BT411" s="53" t="n">
        <v>411</v>
      </c>
      <c r="BU411" s="48" t="str">
        <f aca="false">IF(U411&lt;&gt;"",UPPER(TRIM(U411)),IF(BX411=1,UPPER(VLOOKUP(T411,Parameter!$I$27:$K$29,2,0)),IF(P411="","LOSE",P411)))</f>
        <v>S51</v>
      </c>
      <c r="BV411" s="50" t="n">
        <f aca="false">IF(BU411="LOSE",1,IF(N(V411)&gt;0,V411,IF(BX411=1,MAX(1,N(VLOOKUP(T411,Parameter!$I$27:$K$29,3,0)),H411,N(N411)),IF(N(Q411)&gt;0,Q411,MAX(1,H411)))))</f>
        <v>20</v>
      </c>
      <c r="BW411" s="53" t="n">
        <f aca="false">IF(BU411="LOSE",1,0)</f>
        <v>0</v>
      </c>
      <c r="BX411" s="53" t="n">
        <f aca="false">IF(AND(U411="",OR(P411="",P411="LOSE"),T411&lt;&gt;"",N(S411)&lt;=0,ISNUMBER(MATCH(T411,Parameter!$I$27:$I$29,0))),1,0)</f>
        <v>1</v>
      </c>
      <c r="BY411" s="53" t="n">
        <f aca="false">IF(CL411&gt;0,INDEX(Parameter!$H$5:$H$7,W411)/INDEX(Parameter!$E$5:$E$7,W411),IF(AND(BW411=0,N(IFERROR(VLOOKUP(BU411,'Gebinde-Kategorie'!$A$5:$N$45,14,0),0))&gt;0),VLOOKUP(BU411,'Gebinde-Kategorie'!$A$5:$N$45,14,0)*10+Parameter!$M$23,Parameter!$M$24))</f>
        <v>155</v>
      </c>
      <c r="BZ411" s="48" t="str">
        <f aca="false">IF(AND(Parameter!$B$19="Ja",E411&lt;&gt;"",ISNUMBER(MATCH(E411,Parameter!$I$35:$I$52,0))),VLOOKUP(E411,Parameter!$I$35:$J$52,2,0),IFERROR(VLOOKUP(D411,Parameter!$A$35:$C$64,2,0),"Nein"))</f>
        <v>2+3</v>
      </c>
      <c r="CA411" s="52" t="n">
        <f aca="false">IF(BW411=0,0,IF(N(S411)&gt;0,S411,IFERROR(VLOOKUP(D411,Parameter!$A$35:$C$64,3,0)+0,0)))</f>
        <v>0</v>
      </c>
      <c r="CB411" s="48" t="n">
        <f aca="false">IF(AA411&lt;&gt;"",AA411,Z411)</f>
        <v>3</v>
      </c>
      <c r="CC411" s="48" t="str">
        <f aca="false">IF(OR(CB411=1,CB411=2,CB411=3),IF(Parameter!$E$27="Ja","LIFT",IF(CB411=1,"L1","L23")),IF(CB411="Aussen","Aussen","-"))</f>
        <v>LIFT</v>
      </c>
      <c r="CD411" s="59" t="n">
        <f aca="false">IF(N(AB411)&gt;0,AB411,0)</f>
        <v>0</v>
      </c>
      <c r="CE411" s="53" t="n">
        <f aca="false">IF(ISNUMBER(AE411),1,0)</f>
        <v>0</v>
      </c>
      <c r="CF411" s="50" t="n">
        <f aca="false">N(AE411)</f>
        <v>0</v>
      </c>
      <c r="CG411" s="50" t="n">
        <f aca="false">N(M411)+N(N411)</f>
        <v>3</v>
      </c>
      <c r="CH411" s="50" t="n">
        <f aca="false">ROUNDUP(H411/BV411,0)</f>
        <v>1</v>
      </c>
      <c r="CI411" s="50" t="n">
        <f aca="false">ROUNDUP(CF411/BV411,0)</f>
        <v>0</v>
      </c>
      <c r="CJ411" s="53" t="n">
        <f aca="false">IF(BW411=1,0,IFERROR(VLOOKUP(BU411,'Gebinde-Kategorie'!$A$5:$N$45,5,0)+0,0))</f>
        <v>11</v>
      </c>
      <c r="CK411" s="53" t="n">
        <f aca="false">IFERROR(IF(OR(CB411=1,CB411=2,CB411=3),N(INDEX(Parameter!$I$5:$I$7,CB411)),0),0)</f>
        <v>0</v>
      </c>
      <c r="CL411" s="52" t="n">
        <f aca="false">IF(AND(Parameter!$B$21="Ja",ISNUMBER(W411),N(X411)&gt;0),IFERROR(N(INDEX(Parameter!$L$5:$L$7,W411))*INDEX(Parameter!$E$5:$E$7,W411)*X411/SUMIFS($X$7:$X$1843,$W$7:$W$1843,W411),0),0)</f>
        <v>0</v>
      </c>
    </row>
    <row r="412" customFormat="false" ht="15" hidden="false" customHeight="false" outlineLevel="0" collapsed="false">
      <c r="A412" s="48" t="s">
        <v>962</v>
      </c>
      <c r="B412" s="48" t="s">
        <v>953</v>
      </c>
      <c r="C412" s="48" t="s">
        <v>168</v>
      </c>
      <c r="D412" s="48" t="s">
        <v>188</v>
      </c>
      <c r="E412" s="48"/>
      <c r="F412" s="48" t="s">
        <v>222</v>
      </c>
      <c r="G412" s="49" t="n">
        <v>0.19</v>
      </c>
      <c r="H412" s="50" t="n">
        <f aca="false">MAX(0,IF(AND(Parameter!$B$21="Ja",ISNUMBER(Y412)),Y412,IF(Parameter!$B$20="Jahresanfang 2025 + Export",BO412+BN412,BN412)))</f>
        <v>747</v>
      </c>
      <c r="I412" s="50" t="n">
        <f aca="false">H412*G412</f>
        <v>141.93</v>
      </c>
      <c r="J412" s="50" t="n">
        <f aca="false">BQ412*Parameter!$B$18</f>
        <v>740</v>
      </c>
      <c r="K412" s="51" t="n">
        <v>252.5</v>
      </c>
      <c r="L412" s="52" t="n">
        <v>2.93069306930693</v>
      </c>
      <c r="M412" s="50" t="n">
        <v>43</v>
      </c>
      <c r="N412" s="50" t="n">
        <v>800</v>
      </c>
      <c r="O412" s="53" t="n">
        <v>21</v>
      </c>
      <c r="P412" s="48" t="s">
        <v>425</v>
      </c>
      <c r="Q412" s="50" t="n">
        <v>400</v>
      </c>
      <c r="R412" s="53" t="n">
        <f aca="false">IF(BW412=1,0,IFERROR(VLOOKUP(BU412,'Gebinde-Kategorie'!$A$5:$N$45,13,0)+0,0))</f>
        <v>104</v>
      </c>
      <c r="S412" s="54"/>
      <c r="T412" s="55"/>
      <c r="U412" s="55"/>
      <c r="V412" s="55"/>
      <c r="W412" s="48"/>
      <c r="X412" s="50"/>
      <c r="Y412" s="50"/>
      <c r="Z412" s="48" t="n">
        <f aca="false">IF(A412="","",IF(AND(Parameter!$B$21="Ja",ISNUMBER(W412)),W412,IF(BZ412="2+3",IF(ISNUMBER(SEARCH("grosser Artikel",BR412)),2,IFERROR(VLOOKUP(BU412,Parameter!$F$35:$G$64,2,0),2)),IF(OR(BZ412="Nein",BZ412=""),"-",BZ412))))</f>
        <v>3</v>
      </c>
      <c r="AA412" s="55"/>
      <c r="AB412" s="56"/>
      <c r="AC412" s="50" t="n">
        <f aca="false">AT412</f>
        <v>1200</v>
      </c>
      <c r="AD412" s="50" t="n">
        <f aca="false">MAX(AT412,H412)</f>
        <v>1200</v>
      </c>
      <c r="AE412" s="57"/>
      <c r="AF412" s="50" t="n">
        <f aca="false">IF(LEFT(Cockpit!$C$5,1)="A",H412,IF(CE412=1,CF412,IF(LEFT(Cockpit!$C$5,1)="B",AK412,MAX(AK412,H412))))</f>
        <v>747</v>
      </c>
      <c r="AG412" s="50" t="n">
        <f aca="false">IF(BW412=1,0,ROUNDUP(AF412/BV412,0))</f>
        <v>2</v>
      </c>
      <c r="AH412" s="52" t="n">
        <f aca="false">IF(CL412&gt;0,CL412*MAX(1,AF412/X412),IF(BW412=1,IF(AF412&lt;=0,0,CA412*MAX(1,IF(H412&gt;0,AF412/H412,1))),IF(R412&gt;0,AG412/R412,0))/MAX(0.1,N(Parameter!$M$21)))</f>
        <v>0.0192307692307692</v>
      </c>
      <c r="AI412" s="50" t="n">
        <f aca="false">AH412*BY412</f>
        <v>2.98076923076923</v>
      </c>
      <c r="AJ412" s="50" t="n">
        <f aca="false">AF412*G412</f>
        <v>141.93</v>
      </c>
      <c r="AK412" s="50" t="n">
        <f aca="false">ROUNDUP(MAX(J412/IF(CD412&gt;0,CD412,MAX(0.1,N(Cockpit!$C$6))),CG412)/BV412,0)*BV412</f>
        <v>1200</v>
      </c>
      <c r="AL412" s="51" t="n">
        <f aca="false">IF(AI412&gt;0,J412/AI412,-1)</f>
        <v>248.258064516129</v>
      </c>
      <c r="AM412" s="51" t="n">
        <f aca="false">IF(AND(OR(CC412="L1",CC412="L23",CC412="LIFT"),AI412&gt;0),SUMIFS($AI$7:$AI$1843,$CC$7:$CC$1843,CC412,$AL$7:$AL$1843,"&gt;"&amp;AL412)+SUMIFS($AI$7:$AI$1843,$CC$7:$CC$1843,CC412,$AL$7:$AL$1843,AL412,$BT$7:$BT$1843,"&lt;="&amp;BT412),"")</f>
        <v>285.600732600733</v>
      </c>
      <c r="AN412" s="58" t="n">
        <f aca="false">IF(AM412="",0,MAX(0,MIN(1,(IF(CC412="L1",Parameter!$H$5,IF(CC412="L23",Parameter!$H$6+Parameter!$H$7,Parameter!$H$5+Parameter!$H$6+Parameter!$H$7))-(AM412-AI412))/AI412)))</f>
        <v>1</v>
      </c>
      <c r="AO412" s="50" t="n">
        <f aca="false">IF(LEFT(Cockpit!$I$5,1)="A",H412,IF(CE412=1,CF412,IF(LEFT(Cockpit!$I$5,1)="B",AT412,MAX(AT412,H412))))</f>
        <v>1200</v>
      </c>
      <c r="AP412" s="50" t="n">
        <f aca="false">IF(BW412=1,0,ROUNDUP(AO412/BV412,0))</f>
        <v>3</v>
      </c>
      <c r="AQ412" s="52" t="n">
        <f aca="false">IF(CL412&gt;0,CL412*MAX(1,AO412/X412),IF(BW412=1,IF(AO412&lt;=0,0,CA412*MAX(1,IF(H412&gt;0,AO412/H412,1))),IF(R412&gt;0,AP412/R412,0))/MAX(0.1,N(Parameter!$M$21)))</f>
        <v>0.0288461538461538</v>
      </c>
      <c r="AR412" s="50" t="n">
        <f aca="false">AQ412*BY412</f>
        <v>4.47115384615385</v>
      </c>
      <c r="AS412" s="50" t="n">
        <f aca="false">AO412*G412</f>
        <v>228</v>
      </c>
      <c r="AT412" s="50" t="n">
        <f aca="false">ROUNDUP(MAX(J412/IF(CD412&gt;0,CD412,MAX(0.1,N(Cockpit!$I$6))),CG412)/BV412,0)*BV412</f>
        <v>1200</v>
      </c>
      <c r="AU412" s="51" t="n">
        <f aca="false">IF(AR412&gt;0,J412/AR412,-1)</f>
        <v>165.505376344086</v>
      </c>
      <c r="AV412" s="51" t="n">
        <f aca="false">IF(AND(OR(CC412="L1",CC412="L23",CC412="LIFT"),AR412&gt;0),SUMIFS($AR$7:$AR$1843,$CC$7:$CC$1843,CC412,$AU$7:$AU$1843,"&gt;"&amp;AU412)+SUMIFS($AR$7:$AR$1843,$CC$7:$CC$1843,CC412,$AU$7:$AU$1843,AU412,$BT$7:$BT$1843,"&lt;="&amp;BT412),"")</f>
        <v>472.727106227106</v>
      </c>
      <c r="AW412" s="58" t="n">
        <f aca="false">IF(AV412="",0,MAX(0,MIN(1,(IF(CC412="L1",Parameter!$H$5,IF(CC412="L23",Parameter!$H$6+Parameter!$H$7,Parameter!$H$5+Parameter!$H$6+Parameter!$H$7))-(AV412-AR412))/AR412)))</f>
        <v>1</v>
      </c>
      <c r="AX412" s="50" t="n">
        <f aca="false">IF(LEFT(Cockpit!$O$5,1)="A",H412,IF(CE412=1,CF412,IF(LEFT(Cockpit!$O$5,1)="B",BC412,MAX(BC412,H412))))</f>
        <v>1200</v>
      </c>
      <c r="AY412" s="50" t="n">
        <f aca="false">IF(BW412=1,0,ROUNDUP(AX412/BV412,0))</f>
        <v>3</v>
      </c>
      <c r="AZ412" s="52" t="n">
        <f aca="false">IF(CL412&gt;0,CL412*MAX(1,AX412/X412),IF(BW412=1,IF(AX412&lt;=0,0,CA412*MAX(1,IF(H412&gt;0,AX412/H412,1))),IF(R412&gt;0,AY412/R412,0))/MAX(0.1,N(Parameter!$M$21)))</f>
        <v>0.0288461538461538</v>
      </c>
      <c r="BA412" s="50" t="n">
        <f aca="false">AZ412*BY412</f>
        <v>4.47115384615385</v>
      </c>
      <c r="BB412" s="50" t="n">
        <f aca="false">AX412*G412</f>
        <v>228</v>
      </c>
      <c r="BC412" s="50" t="n">
        <f aca="false">ROUNDUP(MAX(J412/IF(CD412&gt;0,CD412,MAX(0.1,N(Cockpit!$O$6))),CG412)/BV412,0)*BV412</f>
        <v>1200</v>
      </c>
      <c r="BD412" s="51" t="n">
        <f aca="false">IF(BA412&gt;0,J412/BA412,-1)</f>
        <v>165.505376344086</v>
      </c>
      <c r="BE412" s="51" t="n">
        <f aca="false">IF(AND(OR(CC412="L1",CC412="L23",CC412="LIFT"),BA412&gt;0),SUMIFS($BA$7:$BA$1843,$CC$7:$CC$1843,CC412,$BD$7:$BD$1843,"&gt;"&amp;BD412)+SUMIFS($BA$7:$BA$1843,$CC$7:$CC$1843,CC412,$BD$7:$BD$1843,BD412,$BT$7:$BT$1843,"&lt;="&amp;BT412),"")</f>
        <v>534.666208791209</v>
      </c>
      <c r="BF412" s="58" t="n">
        <f aca="false">IF(BE412="",0,MAX(0,MIN(1,(IF(CC412="L1",Parameter!$H$5,IF(CC412="L23",Parameter!$H$6+Parameter!$H$7,Parameter!$H$5+Parameter!$H$6+Parameter!$H$7))-(BE412-BA412))/BA412)))</f>
        <v>1</v>
      </c>
      <c r="BG412" s="48" t="str">
        <f aca="false">IF(AI412&lt;=0,"",IF(CC412="Aussen","Aussenlager",IF(CC412="-","Nicht im Lift",IF(AN412&gt;=1,"Lift",IF(AN412&lt;=0,"Aussenlager","teilweise")))))</f>
        <v>Lift</v>
      </c>
      <c r="BH412" s="48" t="str">
        <f aca="false">IF(AR412&lt;=0,"",IF(CC412="Aussen","Aussenlager",IF(CC412="-","Nicht im Lift",IF(AW412&gt;=1,"Lift",IF(AW412&lt;=0,"Aussenlager","teilweise")))))</f>
        <v>Lift</v>
      </c>
      <c r="BI412" s="48" t="str">
        <f aca="false">IF(BA412&lt;=0,"",IF(CC412="Aussen","Aussenlager",IF(CC412="-","Nicht im Lift",IF(BF412&gt;=1,"Lift",IF(BF412&lt;=0,"Aussenlager","teilweise")))))</f>
        <v>Lift</v>
      </c>
      <c r="BJ412" s="48" t="str">
        <f aca="false">IF(A412="","",IF(BS412=1,"Neu; ","")&amp;IF(AND(BS412=0,BN412&lt;0),"negativer Bestand (Export "&amp;BN412&amp;"); ","")&amp;IF(J412&lt;=0,"Kein Verbrauch; ","")&amp;IF(CL412&gt;0,"Lift "&amp;W412&amp;" lt. Liftbericht (Fach "&amp;X412&amp;" Stk); ",IF(BX412=1,"Gebinde geschätzt ("&amp;T412&amp;"); ",IF(BW412=1,"Lose – Tablare geschätzt; ","")))&amp;IF(H412&gt;AT412,"Überbestand "&amp;ROUND(H412-AT412,0)&amp;" Stk / CHF "&amp;ROUND((H412-AT412)*G412,0)&amp;"; ","")&amp;IF(AND(CE412=1,CF412&lt;CG412),"MAX &lt; MB+LG; ","")&amp;IF(AND(CK412&gt;0,CJ412*10&gt;CK412),"zu hoch für Tablar; ","")&amp;IF(AND(BS412=0,OR(CE412=1,AA412&lt;&gt;"",U412&lt;&gt;"",V412&lt;&gt;"",AB412&lt;&gt;"")),"manuell übersteuert; ","")&amp;IF(AND(BW412=0,R412=0),"Gebinde unbekannt / Stellmass fehlt; ","")&amp;IF(AND(BW412=0,N(V412)&lt;=0,N(Q412)&lt;=0),"Menge pro Gebinde fehlt (Ist = 1 Gebinde); ","")&amp;BR412)</f>
        <v/>
      </c>
      <c r="BK412" s="48"/>
      <c r="BL412" s="48"/>
      <c r="BM412" s="55"/>
      <c r="BN412" s="50" t="n">
        <v>517</v>
      </c>
      <c r="BO412" s="50" t="n">
        <v>230</v>
      </c>
      <c r="BP412" s="49" t="n">
        <v>100.53</v>
      </c>
      <c r="BQ412" s="50" t="n">
        <v>740</v>
      </c>
      <c r="BR412" s="48"/>
      <c r="BS412" s="53" t="n">
        <v>0</v>
      </c>
      <c r="BT412" s="53" t="n">
        <v>412</v>
      </c>
      <c r="BU412" s="48" t="str">
        <f aca="false">IF(U412&lt;&gt;"",UPPER(TRIM(U412)),IF(BX412=1,UPPER(VLOOKUP(T412,Parameter!$I$27:$K$29,2,0)),IF(P412="","LOSE",P412)))</f>
        <v>S32</v>
      </c>
      <c r="BV412" s="50" t="n">
        <f aca="false">IF(BU412="LOSE",1,IF(N(V412)&gt;0,V412,IF(BX412=1,MAX(1,N(VLOOKUP(T412,Parameter!$I$27:$K$29,3,0)),H412,N(N412)),IF(N(Q412)&gt;0,Q412,MAX(1,H412)))))</f>
        <v>400</v>
      </c>
      <c r="BW412" s="53" t="n">
        <f aca="false">IF(BU412="LOSE",1,0)</f>
        <v>0</v>
      </c>
      <c r="BX412" s="53" t="n">
        <f aca="false">IF(AND(U412="",OR(P412="",P412="LOSE"),T412&lt;&gt;"",N(S412)&lt;=0,ISNUMBER(MATCH(T412,Parameter!$I$27:$I$29,0))),1,0)</f>
        <v>0</v>
      </c>
      <c r="BY412" s="53" t="n">
        <f aca="false">IF(CL412&gt;0,INDEX(Parameter!$H$5:$H$7,W412)/INDEX(Parameter!$E$5:$E$7,W412),IF(AND(BW412=0,N(IFERROR(VLOOKUP(BU412,'Gebinde-Kategorie'!$A$5:$N$45,14,0),0))&gt;0),VLOOKUP(BU412,'Gebinde-Kategorie'!$A$5:$N$45,14,0)*10+Parameter!$M$23,Parameter!$M$24))</f>
        <v>155</v>
      </c>
      <c r="BZ412" s="48" t="str">
        <f aca="false">IF(AND(Parameter!$B$19="Ja",E412&lt;&gt;"",ISNUMBER(MATCH(E412,Parameter!$I$35:$I$52,0))),VLOOKUP(E412,Parameter!$I$35:$J$52,2,0),IFERROR(VLOOKUP(D412,Parameter!$A$35:$C$64,2,0),"Nein"))</f>
        <v>2+3</v>
      </c>
      <c r="CA412" s="52" t="n">
        <f aca="false">IF(BW412=0,0,IF(N(S412)&gt;0,S412,IFERROR(VLOOKUP(D412,Parameter!$A$35:$C$64,3,0)+0,0)))</f>
        <v>0</v>
      </c>
      <c r="CB412" s="48" t="n">
        <f aca="false">IF(AA412&lt;&gt;"",AA412,Z412)</f>
        <v>3</v>
      </c>
      <c r="CC412" s="48" t="str">
        <f aca="false">IF(OR(CB412=1,CB412=2,CB412=3),IF(Parameter!$E$27="Ja","LIFT",IF(CB412=1,"L1","L23")),IF(CB412="Aussen","Aussen","-"))</f>
        <v>LIFT</v>
      </c>
      <c r="CD412" s="59" t="n">
        <f aca="false">IF(N(AB412)&gt;0,AB412,0)</f>
        <v>0</v>
      </c>
      <c r="CE412" s="53" t="n">
        <f aca="false">IF(ISNUMBER(AE412),1,0)</f>
        <v>0</v>
      </c>
      <c r="CF412" s="50" t="n">
        <f aca="false">N(AE412)</f>
        <v>0</v>
      </c>
      <c r="CG412" s="50" t="n">
        <f aca="false">N(M412)+N(N412)</f>
        <v>843</v>
      </c>
      <c r="CH412" s="50" t="n">
        <f aca="false">ROUNDUP(H412/BV412,0)</f>
        <v>2</v>
      </c>
      <c r="CI412" s="50" t="n">
        <f aca="false">ROUNDUP(CF412/BV412,0)</f>
        <v>0</v>
      </c>
      <c r="CJ412" s="53" t="n">
        <f aca="false">IF(BW412=1,0,IFERROR(VLOOKUP(BU412,'Gebinde-Kategorie'!$A$5:$N$45,5,0)+0,0))</f>
        <v>8</v>
      </c>
      <c r="CK412" s="53" t="n">
        <f aca="false">IFERROR(IF(OR(CB412=1,CB412=2,CB412=3),N(INDEX(Parameter!$I$5:$I$7,CB412)),0),0)</f>
        <v>0</v>
      </c>
      <c r="CL412" s="52" t="n">
        <f aca="false">IF(AND(Parameter!$B$21="Ja",ISNUMBER(W412),N(X412)&gt;0),IFERROR(N(INDEX(Parameter!$L$5:$L$7,W412))*INDEX(Parameter!$E$5:$E$7,W412)*X412/SUMIFS($X$7:$X$1843,$W$7:$W$1843,W412),0),0)</f>
        <v>0</v>
      </c>
    </row>
    <row r="413" customFormat="false" ht="15" hidden="false" customHeight="false" outlineLevel="0" collapsed="false">
      <c r="A413" s="48" t="s">
        <v>963</v>
      </c>
      <c r="B413" s="48" t="s">
        <v>511</v>
      </c>
      <c r="C413" s="48" t="s">
        <v>168</v>
      </c>
      <c r="D413" s="48" t="s">
        <v>188</v>
      </c>
      <c r="E413" s="48" t="s">
        <v>189</v>
      </c>
      <c r="F413" s="48" t="s">
        <v>222</v>
      </c>
      <c r="G413" s="49" t="n">
        <v>2.79</v>
      </c>
      <c r="H413" s="50" t="n">
        <f aca="false">MAX(0,IF(AND(Parameter!$B$21="Ja",ISNUMBER(Y413)),Y413,IF(Parameter!$B$20="Jahresanfang 2025 + Export",BO413+BN413,BN413)))</f>
        <v>77</v>
      </c>
      <c r="I413" s="50" t="n">
        <f aca="false">H413*G413</f>
        <v>214.83</v>
      </c>
      <c r="J413" s="50" t="n">
        <f aca="false">BQ413*Parameter!$B$18</f>
        <v>30</v>
      </c>
      <c r="K413" s="51" t="n">
        <v>29</v>
      </c>
      <c r="L413" s="52" t="n">
        <v>1.03448275862069</v>
      </c>
      <c r="M413" s="50" t="n">
        <v>1</v>
      </c>
      <c r="N413" s="50" t="n">
        <v>30</v>
      </c>
      <c r="O413" s="53" t="n">
        <v>14</v>
      </c>
      <c r="P413" s="48" t="s">
        <v>480</v>
      </c>
      <c r="Q413" s="50" t="n">
        <v>28</v>
      </c>
      <c r="R413" s="53" t="n">
        <f aca="false">IF(BW413=1,0,IFERROR(VLOOKUP(BU413,'Gebinde-Kategorie'!$A$5:$N$45,13,0)+0,0))</f>
        <v>52</v>
      </c>
      <c r="S413" s="54"/>
      <c r="T413" s="55"/>
      <c r="U413" s="55"/>
      <c r="V413" s="55"/>
      <c r="W413" s="48"/>
      <c r="X413" s="50"/>
      <c r="Y413" s="50"/>
      <c r="Z413" s="48" t="n">
        <f aca="false">IF(A413="","",IF(AND(Parameter!$B$21="Ja",ISNUMBER(W413)),W413,IF(BZ413="2+3",IF(ISNUMBER(SEARCH("grosser Artikel",BR413)),2,IFERROR(VLOOKUP(BU413,Parameter!$F$35:$G$64,2,0),2)),IF(OR(BZ413="Nein",BZ413=""),"-",BZ413))))</f>
        <v>3</v>
      </c>
      <c r="AA413" s="55"/>
      <c r="AB413" s="56"/>
      <c r="AC413" s="50" t="n">
        <f aca="false">AT413</f>
        <v>56</v>
      </c>
      <c r="AD413" s="50" t="n">
        <f aca="false">MAX(AT413,H413)</f>
        <v>77</v>
      </c>
      <c r="AE413" s="57"/>
      <c r="AF413" s="50" t="n">
        <f aca="false">IF(LEFT(Cockpit!$C$5,1)="A",H413,IF(CE413=1,CF413,IF(LEFT(Cockpit!$C$5,1)="B",AK413,MAX(AK413,H413))))</f>
        <v>77</v>
      </c>
      <c r="AG413" s="50" t="n">
        <f aca="false">IF(BW413=1,0,ROUNDUP(AF413/BV413,0))</f>
        <v>3</v>
      </c>
      <c r="AH413" s="52" t="n">
        <f aca="false">IF(CL413&gt;0,CL413*MAX(1,AF413/X413),IF(BW413=1,IF(AF413&lt;=0,0,CA413*MAX(1,IF(H413&gt;0,AF413/H413,1))),IF(R413&gt;0,AG413/R413,0))/MAX(0.1,N(Parameter!$M$21)))</f>
        <v>0.0576923076923077</v>
      </c>
      <c r="AI413" s="50" t="n">
        <f aca="false">AH413*BY413</f>
        <v>8.94230769230769</v>
      </c>
      <c r="AJ413" s="50" t="n">
        <f aca="false">AF413*G413</f>
        <v>214.83</v>
      </c>
      <c r="AK413" s="50" t="n">
        <f aca="false">ROUNDUP(MAX(J413/IF(CD413&gt;0,CD413,MAX(0.1,N(Cockpit!$C$6))),CG413)/BV413,0)*BV413</f>
        <v>56</v>
      </c>
      <c r="AL413" s="51" t="n">
        <f aca="false">IF(AI413&gt;0,J413/AI413,-1)</f>
        <v>3.35483870967742</v>
      </c>
      <c r="AM413" s="51" t="n">
        <f aca="false">IF(AND(OR(CC413="L1",CC413="L23",CC413="LIFT"),AI413&gt;0),SUMIFS($AI$7:$AI$1843,$CC$7:$CC$1843,CC413,$AL$7:$AL$1843,"&gt;"&amp;AL413)+SUMIFS($AI$7:$AI$1843,$CC$7:$CC$1843,CC413,$AL$7:$AL$1843,AL413,$BT$7:$BT$1843,"&lt;="&amp;BT413),"")</f>
        <v>4922.79945054945</v>
      </c>
      <c r="AN413" s="58" t="n">
        <f aca="false">IF(AM413="",0,MAX(0,MIN(1,(IF(CC413="L1",Parameter!$H$5,IF(CC413="L23",Parameter!$H$6+Parameter!$H$7,Parameter!$H$5+Parameter!$H$6+Parameter!$H$7))-(AM413-AI413))/AI413)))</f>
        <v>1</v>
      </c>
      <c r="AO413" s="50" t="n">
        <f aca="false">IF(LEFT(Cockpit!$I$5,1)="A",H413,IF(CE413=1,CF413,IF(LEFT(Cockpit!$I$5,1)="B",AT413,MAX(AT413,H413))))</f>
        <v>77</v>
      </c>
      <c r="AP413" s="50" t="n">
        <f aca="false">IF(BW413=1,0,ROUNDUP(AO413/BV413,0))</f>
        <v>3</v>
      </c>
      <c r="AQ413" s="52" t="n">
        <f aca="false">IF(CL413&gt;0,CL413*MAX(1,AO413/X413),IF(BW413=1,IF(AO413&lt;=0,0,CA413*MAX(1,IF(H413&gt;0,AO413/H413,1))),IF(R413&gt;0,AP413/R413,0))/MAX(0.1,N(Parameter!$M$21)))</f>
        <v>0.0576923076923077</v>
      </c>
      <c r="AR413" s="50" t="n">
        <f aca="false">AQ413*BY413</f>
        <v>8.94230769230769</v>
      </c>
      <c r="AS413" s="50" t="n">
        <f aca="false">AO413*G413</f>
        <v>214.83</v>
      </c>
      <c r="AT413" s="50" t="n">
        <f aca="false">ROUNDUP(MAX(J413/IF(CD413&gt;0,CD413,MAX(0.1,N(Cockpit!$I$6))),CG413)/BV413,0)*BV413</f>
        <v>56</v>
      </c>
      <c r="AU413" s="51" t="n">
        <f aca="false">IF(AR413&gt;0,J413/AR413,-1)</f>
        <v>3.35483870967742</v>
      </c>
      <c r="AV413" s="51" t="n">
        <f aca="false">IF(AND(OR(CC413="L1",CC413="L23",CC413="LIFT"),AR413&gt;0),SUMIFS($AR$7:$AR$1843,$CC$7:$CC$1843,CC413,$AU$7:$AU$1843,"&gt;"&amp;AU413)+SUMIFS($AR$7:$AR$1843,$CC$7:$CC$1843,CC413,$AU$7:$AU$1843,AU413,$BT$7:$BT$1843,"&lt;="&amp;BT413),"")</f>
        <v>6027.53983516484</v>
      </c>
      <c r="AW413" s="58" t="n">
        <f aca="false">IF(AV413="",0,MAX(0,MIN(1,(IF(CC413="L1",Parameter!$H$5,IF(CC413="L23",Parameter!$H$6+Parameter!$H$7,Parameter!$H$5+Parameter!$H$6+Parameter!$H$7))-(AV413-AR413))/AR413)))</f>
        <v>1</v>
      </c>
      <c r="AX413" s="50" t="n">
        <f aca="false">IF(LEFT(Cockpit!$O$5,1)="A",H413,IF(CE413=1,CF413,IF(LEFT(Cockpit!$O$5,1)="B",BC413,MAX(BC413,H413))))</f>
        <v>77</v>
      </c>
      <c r="AY413" s="50" t="n">
        <f aca="false">IF(BW413=1,0,ROUNDUP(AX413/BV413,0))</f>
        <v>3</v>
      </c>
      <c r="AZ413" s="52" t="n">
        <f aca="false">IF(CL413&gt;0,CL413*MAX(1,AX413/X413),IF(BW413=1,IF(AX413&lt;=0,0,CA413*MAX(1,IF(H413&gt;0,AX413/H413,1))),IF(R413&gt;0,AY413/R413,0))/MAX(0.1,N(Parameter!$M$21)))</f>
        <v>0.0576923076923077</v>
      </c>
      <c r="BA413" s="50" t="n">
        <f aca="false">AZ413*BY413</f>
        <v>8.94230769230769</v>
      </c>
      <c r="BB413" s="50" t="n">
        <f aca="false">AX413*G413</f>
        <v>214.83</v>
      </c>
      <c r="BC413" s="50" t="n">
        <f aca="false">ROUNDUP(MAX(J413/IF(CD413&gt;0,CD413,MAX(0.1,N(Cockpit!$O$6))),CG413)/BV413,0)*BV413</f>
        <v>56</v>
      </c>
      <c r="BD413" s="51" t="n">
        <f aca="false">IF(BA413&gt;0,J413/BA413,-1)</f>
        <v>3.35483870967742</v>
      </c>
      <c r="BE413" s="51" t="n">
        <f aca="false">IF(AND(OR(CC413="L1",CC413="L23",CC413="LIFT"),BA413&gt;0),SUMIFS($BA$7:$BA$1843,$CC$7:$CC$1843,CC413,$BD$7:$BD$1843,"&gt;"&amp;BD413)+SUMIFS($BA$7:$BA$1843,$CC$7:$CC$1843,CC413,$BD$7:$BD$1843,BD413,$BT$7:$BT$1843,"&lt;="&amp;BT413),"")</f>
        <v>6015.37637362637</v>
      </c>
      <c r="BF413" s="58" t="n">
        <f aca="false">IF(BE413="",0,MAX(0,MIN(1,(IF(CC413="L1",Parameter!$H$5,IF(CC413="L23",Parameter!$H$6+Parameter!$H$7,Parameter!$H$5+Parameter!$H$6+Parameter!$H$7))-(BE413-BA413))/BA413)))</f>
        <v>1</v>
      </c>
      <c r="BG413" s="48" t="str">
        <f aca="false">IF(AI413&lt;=0,"",IF(CC413="Aussen","Aussenlager",IF(CC413="-","Nicht im Lift",IF(AN413&gt;=1,"Lift",IF(AN413&lt;=0,"Aussenlager","teilweise")))))</f>
        <v>Lift</v>
      </c>
      <c r="BH413" s="48" t="str">
        <f aca="false">IF(AR413&lt;=0,"",IF(CC413="Aussen","Aussenlager",IF(CC413="-","Nicht im Lift",IF(AW413&gt;=1,"Lift",IF(AW413&lt;=0,"Aussenlager","teilweise")))))</f>
        <v>Lift</v>
      </c>
      <c r="BI413" s="48" t="str">
        <f aca="false">IF(BA413&lt;=0,"",IF(CC413="Aussen","Aussenlager",IF(CC413="-","Nicht im Lift",IF(BF413&gt;=1,"Lift",IF(BF413&lt;=0,"Aussenlager","teilweise")))))</f>
        <v>Lift</v>
      </c>
      <c r="BJ413" s="48" t="str">
        <f aca="false">IF(A413="","",IF(BS413=1,"Neu; ","")&amp;IF(AND(BS413=0,BN413&lt;0),"negativer Bestand (Export "&amp;BN413&amp;"); ","")&amp;IF(J413&lt;=0,"Kein Verbrauch; ","")&amp;IF(CL413&gt;0,"Lift "&amp;W413&amp;" lt. Liftbericht (Fach "&amp;X413&amp;" Stk); ",IF(BX413=1,"Gebinde geschätzt ("&amp;T413&amp;"); ",IF(BW413=1,"Lose – Tablare geschätzt; ","")))&amp;IF(H413&gt;AT413,"Überbestand "&amp;ROUND(H413-AT413,0)&amp;" Stk / CHF "&amp;ROUND((H413-AT413)*G413,0)&amp;"; ","")&amp;IF(AND(CE413=1,CF413&lt;CG413),"MAX &lt; MB+LG; ","")&amp;IF(AND(CK413&gt;0,CJ413*10&gt;CK413),"zu hoch für Tablar; ","")&amp;IF(AND(BS413=0,OR(CE413=1,AA413&lt;&gt;"",U413&lt;&gt;"",V413&lt;&gt;"",AB413&lt;&gt;"")),"manuell übersteuert; ","")&amp;IF(AND(BW413=0,R413=0),"Gebinde unbekannt / Stellmass fehlt; ","")&amp;IF(AND(BW413=0,N(V413)&lt;=0,N(Q413)&lt;=0),"Menge pro Gebinde fehlt (Ist = 1 Gebinde); ","")&amp;BR413)</f>
        <v>Überbestand 21 Stk / CHF 59; </v>
      </c>
      <c r="BK413" s="48"/>
      <c r="BL413" s="48"/>
      <c r="BM413" s="55"/>
      <c r="BN413" s="50" t="n">
        <v>39</v>
      </c>
      <c r="BO413" s="50" t="n">
        <v>38</v>
      </c>
      <c r="BP413" s="49" t="n">
        <v>100.06</v>
      </c>
      <c r="BQ413" s="50" t="n">
        <v>30</v>
      </c>
      <c r="BR413" s="48"/>
      <c r="BS413" s="53" t="n">
        <v>0</v>
      </c>
      <c r="BT413" s="53" t="n">
        <v>413</v>
      </c>
      <c r="BU413" s="48" t="str">
        <f aca="false">IF(U413&lt;&gt;"",UPPER(TRIM(U413)),IF(BX413=1,UPPER(VLOOKUP(T413,Parameter!$I$27:$K$29,2,0)),IF(P413="","LOSE",P413)))</f>
        <v>S33</v>
      </c>
      <c r="BV413" s="50" t="n">
        <f aca="false">IF(BU413="LOSE",1,IF(N(V413)&gt;0,V413,IF(BX413=1,MAX(1,N(VLOOKUP(T413,Parameter!$I$27:$K$29,3,0)),H413,N(N413)),IF(N(Q413)&gt;0,Q413,MAX(1,H413)))))</f>
        <v>28</v>
      </c>
      <c r="BW413" s="53" t="n">
        <f aca="false">IF(BU413="LOSE",1,0)</f>
        <v>0</v>
      </c>
      <c r="BX413" s="53" t="n">
        <f aca="false">IF(AND(U413="",OR(P413="",P413="LOSE"),T413&lt;&gt;"",N(S413)&lt;=0,ISNUMBER(MATCH(T413,Parameter!$I$27:$I$29,0))),1,0)</f>
        <v>0</v>
      </c>
      <c r="BY413" s="53" t="n">
        <f aca="false">IF(CL413&gt;0,INDEX(Parameter!$H$5:$H$7,W413)/INDEX(Parameter!$E$5:$E$7,W413),IF(AND(BW413=0,N(IFERROR(VLOOKUP(BU413,'Gebinde-Kategorie'!$A$5:$N$45,14,0),0))&gt;0),VLOOKUP(BU413,'Gebinde-Kategorie'!$A$5:$N$45,14,0)*10+Parameter!$M$23,Parameter!$M$24))</f>
        <v>155</v>
      </c>
      <c r="BZ413" s="48" t="str">
        <f aca="false">IF(AND(Parameter!$B$19="Ja",E413&lt;&gt;"",ISNUMBER(MATCH(E413,Parameter!$I$35:$I$52,0))),VLOOKUP(E413,Parameter!$I$35:$J$52,2,0),IFERROR(VLOOKUP(D413,Parameter!$A$35:$C$64,2,0),"Nein"))</f>
        <v>2+3</v>
      </c>
      <c r="CA413" s="52" t="n">
        <f aca="false">IF(BW413=0,0,IF(N(S413)&gt;0,S413,IFERROR(VLOOKUP(D413,Parameter!$A$35:$C$64,3,0)+0,0)))</f>
        <v>0</v>
      </c>
      <c r="CB413" s="48" t="n">
        <f aca="false">IF(AA413&lt;&gt;"",AA413,Z413)</f>
        <v>3</v>
      </c>
      <c r="CC413" s="48" t="str">
        <f aca="false">IF(OR(CB413=1,CB413=2,CB413=3),IF(Parameter!$E$27="Ja","LIFT",IF(CB413=1,"L1","L23")),IF(CB413="Aussen","Aussen","-"))</f>
        <v>LIFT</v>
      </c>
      <c r="CD413" s="59" t="n">
        <f aca="false">IF(N(AB413)&gt;0,AB413,0)</f>
        <v>0</v>
      </c>
      <c r="CE413" s="53" t="n">
        <f aca="false">IF(ISNUMBER(AE413),1,0)</f>
        <v>0</v>
      </c>
      <c r="CF413" s="50" t="n">
        <f aca="false">N(AE413)</f>
        <v>0</v>
      </c>
      <c r="CG413" s="50" t="n">
        <f aca="false">N(M413)+N(N413)</f>
        <v>31</v>
      </c>
      <c r="CH413" s="50" t="n">
        <f aca="false">ROUNDUP(H413/BV413,0)</f>
        <v>3</v>
      </c>
      <c r="CI413" s="50" t="n">
        <f aca="false">ROUNDUP(CF413/BV413,0)</f>
        <v>0</v>
      </c>
      <c r="CJ413" s="53" t="n">
        <f aca="false">IF(BW413=1,0,IFERROR(VLOOKUP(BU413,'Gebinde-Kategorie'!$A$5:$N$45,5,0)+0,0))</f>
        <v>8</v>
      </c>
      <c r="CK413" s="53" t="n">
        <f aca="false">IFERROR(IF(OR(CB413=1,CB413=2,CB413=3),N(INDEX(Parameter!$I$5:$I$7,CB413)),0),0)</f>
        <v>0</v>
      </c>
      <c r="CL413" s="52" t="n">
        <f aca="false">IF(AND(Parameter!$B$21="Ja",ISNUMBER(W413),N(X413)&gt;0),IFERROR(N(INDEX(Parameter!$L$5:$L$7,W413))*INDEX(Parameter!$E$5:$E$7,W413)*X413/SUMIFS($X$7:$X$1843,$W$7:$W$1843,W413),0),0)</f>
        <v>0</v>
      </c>
    </row>
    <row r="414" customFormat="false" ht="15" hidden="false" customHeight="false" outlineLevel="0" collapsed="false">
      <c r="A414" s="48" t="s">
        <v>964</v>
      </c>
      <c r="B414" s="48" t="s">
        <v>951</v>
      </c>
      <c r="C414" s="48" t="s">
        <v>168</v>
      </c>
      <c r="D414" s="48" t="s">
        <v>188</v>
      </c>
      <c r="E414" s="48" t="s">
        <v>189</v>
      </c>
      <c r="F414" s="48" t="s">
        <v>222</v>
      </c>
      <c r="G414" s="49" t="n">
        <v>3.21</v>
      </c>
      <c r="H414" s="50" t="n">
        <f aca="false">MAX(0,IF(AND(Parameter!$B$21="Ja",ISNUMBER(Y414)),Y414,IF(Parameter!$B$20="Jahresanfang 2025 + Export",BO414+BN414,BN414)))</f>
        <v>62</v>
      </c>
      <c r="I414" s="50" t="n">
        <f aca="false">H414*G414</f>
        <v>199.02</v>
      </c>
      <c r="J414" s="50" t="n">
        <f aca="false">BQ414*Parameter!$B$18</f>
        <v>162</v>
      </c>
      <c r="K414" s="51" t="n">
        <v>52.5</v>
      </c>
      <c r="L414" s="52" t="n">
        <v>3.08571428571429</v>
      </c>
      <c r="M414" s="50" t="n">
        <v>9</v>
      </c>
      <c r="N414" s="50" t="n">
        <v>160</v>
      </c>
      <c r="O414" s="53" t="n">
        <v>21</v>
      </c>
      <c r="P414" s="48" t="s">
        <v>425</v>
      </c>
      <c r="Q414" s="50" t="n">
        <v>56</v>
      </c>
      <c r="R414" s="53" t="n">
        <f aca="false">IF(BW414=1,0,IFERROR(VLOOKUP(BU414,'Gebinde-Kategorie'!$A$5:$N$45,13,0)+0,0))</f>
        <v>104</v>
      </c>
      <c r="S414" s="54"/>
      <c r="T414" s="55"/>
      <c r="U414" s="55"/>
      <c r="V414" s="55"/>
      <c r="W414" s="48"/>
      <c r="X414" s="50"/>
      <c r="Y414" s="50"/>
      <c r="Z414" s="48" t="n">
        <f aca="false">IF(A414="","",IF(AND(Parameter!$B$21="Ja",ISNUMBER(W414)),W414,IF(BZ414="2+3",IF(ISNUMBER(SEARCH("grosser Artikel",BR414)),2,IFERROR(VLOOKUP(BU414,Parameter!$F$35:$G$64,2,0),2)),IF(OR(BZ414="Nein",BZ414=""),"-",BZ414))))</f>
        <v>3</v>
      </c>
      <c r="AA414" s="55"/>
      <c r="AB414" s="56"/>
      <c r="AC414" s="50" t="n">
        <f aca="false">AT414</f>
        <v>224</v>
      </c>
      <c r="AD414" s="50" t="n">
        <f aca="false">MAX(AT414,H414)</f>
        <v>224</v>
      </c>
      <c r="AE414" s="57"/>
      <c r="AF414" s="50" t="n">
        <f aca="false">IF(LEFT(Cockpit!$C$5,1)="A",H414,IF(CE414=1,CF414,IF(LEFT(Cockpit!$C$5,1)="B",AK414,MAX(AK414,H414))))</f>
        <v>62</v>
      </c>
      <c r="AG414" s="50" t="n">
        <f aca="false">IF(BW414=1,0,ROUNDUP(AF414/BV414,0))</f>
        <v>2</v>
      </c>
      <c r="AH414" s="52" t="n">
        <f aca="false">IF(CL414&gt;0,CL414*MAX(1,AF414/X414),IF(BW414=1,IF(AF414&lt;=0,0,CA414*MAX(1,IF(H414&gt;0,AF414/H414,1))),IF(R414&gt;0,AG414/R414,0))/MAX(0.1,N(Parameter!$M$21)))</f>
        <v>0.0192307692307692</v>
      </c>
      <c r="AI414" s="50" t="n">
        <f aca="false">AH414*BY414</f>
        <v>2.98076923076923</v>
      </c>
      <c r="AJ414" s="50" t="n">
        <f aca="false">AF414*G414</f>
        <v>199.02</v>
      </c>
      <c r="AK414" s="50" t="n">
        <f aca="false">ROUNDUP(MAX(J414/IF(CD414&gt;0,CD414,MAX(0.1,N(Cockpit!$C$6))),CG414)/BV414,0)*BV414</f>
        <v>224</v>
      </c>
      <c r="AL414" s="51" t="n">
        <f aca="false">IF(AI414&gt;0,J414/AI414,-1)</f>
        <v>54.3483870967742</v>
      </c>
      <c r="AM414" s="51" t="n">
        <f aca="false">IF(AND(OR(CC414="L1",CC414="L23",CC414="LIFT"),AI414&gt;0),SUMIFS($AI$7:$AI$1843,$CC$7:$CC$1843,CC414,$AL$7:$AL$1843,"&gt;"&amp;AL414)+SUMIFS($AI$7:$AI$1843,$CC$7:$CC$1843,CC414,$AL$7:$AL$1843,AL414,$BT$7:$BT$1843,"&lt;="&amp;BT414),"")</f>
        <v>1001.44093406593</v>
      </c>
      <c r="AN414" s="58" t="n">
        <f aca="false">IF(AM414="",0,MAX(0,MIN(1,(IF(CC414="L1",Parameter!$H$5,IF(CC414="L23",Parameter!$H$6+Parameter!$H$7,Parameter!$H$5+Parameter!$H$6+Parameter!$H$7))-(AM414-AI414))/AI414)))</f>
        <v>1</v>
      </c>
      <c r="AO414" s="50" t="n">
        <f aca="false">IF(LEFT(Cockpit!$I$5,1)="A",H414,IF(CE414=1,CF414,IF(LEFT(Cockpit!$I$5,1)="B",AT414,MAX(AT414,H414))))</f>
        <v>224</v>
      </c>
      <c r="AP414" s="50" t="n">
        <f aca="false">IF(BW414=1,0,ROUNDUP(AO414/BV414,0))</f>
        <v>4</v>
      </c>
      <c r="AQ414" s="52" t="n">
        <f aca="false">IF(CL414&gt;0,CL414*MAX(1,AO414/X414),IF(BW414=1,IF(AO414&lt;=0,0,CA414*MAX(1,IF(H414&gt;0,AO414/H414,1))),IF(R414&gt;0,AP414/R414,0))/MAX(0.1,N(Parameter!$M$21)))</f>
        <v>0.0384615384615385</v>
      </c>
      <c r="AR414" s="50" t="n">
        <f aca="false">AQ414*BY414</f>
        <v>5.96153846153846</v>
      </c>
      <c r="AS414" s="50" t="n">
        <f aca="false">AO414*G414</f>
        <v>719.04</v>
      </c>
      <c r="AT414" s="50" t="n">
        <f aca="false">ROUNDUP(MAX(J414/IF(CD414&gt;0,CD414,MAX(0.1,N(Cockpit!$I$6))),CG414)/BV414,0)*BV414</f>
        <v>224</v>
      </c>
      <c r="AU414" s="51" t="n">
        <f aca="false">IF(AR414&gt;0,J414/AR414,-1)</f>
        <v>27.1741935483871</v>
      </c>
      <c r="AV414" s="51" t="n">
        <f aca="false">IF(AND(OR(CC414="L1",CC414="L23",CC414="LIFT"),AR414&gt;0),SUMIFS($AR$7:$AR$1843,$CC$7:$CC$1843,CC414,$AU$7:$AU$1843,"&gt;"&amp;AU414)+SUMIFS($AR$7:$AR$1843,$CC$7:$CC$1843,CC414,$AU$7:$AU$1843,AU414,$BT$7:$BT$1843,"&lt;="&amp;BT414),"")</f>
        <v>2019.3923992674</v>
      </c>
      <c r="AW414" s="58" t="n">
        <f aca="false">IF(AV414="",0,MAX(0,MIN(1,(IF(CC414="L1",Parameter!$H$5,IF(CC414="L23",Parameter!$H$6+Parameter!$H$7,Parameter!$H$5+Parameter!$H$6+Parameter!$H$7))-(AV414-AR414))/AR414)))</f>
        <v>1</v>
      </c>
      <c r="AX414" s="50" t="n">
        <f aca="false">IF(LEFT(Cockpit!$O$5,1)="A",H414,IF(CE414=1,CF414,IF(LEFT(Cockpit!$O$5,1)="B",BC414,MAX(BC414,H414))))</f>
        <v>224</v>
      </c>
      <c r="AY414" s="50" t="n">
        <f aca="false">IF(BW414=1,0,ROUNDUP(AX414/BV414,0))</f>
        <v>4</v>
      </c>
      <c r="AZ414" s="52" t="n">
        <f aca="false">IF(CL414&gt;0,CL414*MAX(1,AX414/X414),IF(BW414=1,IF(AX414&lt;=0,0,CA414*MAX(1,IF(H414&gt;0,AX414/H414,1))),IF(R414&gt;0,AY414/R414,0))/MAX(0.1,N(Parameter!$M$21)))</f>
        <v>0.0384615384615385</v>
      </c>
      <c r="BA414" s="50" t="n">
        <f aca="false">AZ414*BY414</f>
        <v>5.96153846153846</v>
      </c>
      <c r="BB414" s="50" t="n">
        <f aca="false">AX414*G414</f>
        <v>719.04</v>
      </c>
      <c r="BC414" s="50" t="n">
        <f aca="false">ROUNDUP(MAX(J414/IF(CD414&gt;0,CD414,MAX(0.1,N(Cockpit!$O$6))),CG414)/BV414,0)*BV414</f>
        <v>224</v>
      </c>
      <c r="BD414" s="51" t="n">
        <f aca="false">IF(BA414&gt;0,J414/BA414,-1)</f>
        <v>27.1741935483871</v>
      </c>
      <c r="BE414" s="51" t="n">
        <f aca="false">IF(AND(OR(CC414="L1",CC414="L23",CC414="LIFT"),BA414&gt;0),SUMIFS($BA$7:$BA$1843,$CC$7:$CC$1843,CC414,$BD$7:$BD$1843,"&gt;"&amp;BD414)+SUMIFS($BA$7:$BA$1843,$CC$7:$CC$1843,CC414,$BD$7:$BD$1843,BD414,$BT$7:$BT$1843,"&lt;="&amp;BT414),"")</f>
        <v>2104.98534798535</v>
      </c>
      <c r="BF414" s="58" t="n">
        <f aca="false">IF(BE414="",0,MAX(0,MIN(1,(IF(CC414="L1",Parameter!$H$5,IF(CC414="L23",Parameter!$H$6+Parameter!$H$7,Parameter!$H$5+Parameter!$H$6+Parameter!$H$7))-(BE414-BA414))/BA414)))</f>
        <v>1</v>
      </c>
      <c r="BG414" s="48" t="str">
        <f aca="false">IF(AI414&lt;=0,"",IF(CC414="Aussen","Aussenlager",IF(CC414="-","Nicht im Lift",IF(AN414&gt;=1,"Lift",IF(AN414&lt;=0,"Aussenlager","teilweise")))))</f>
        <v>Lift</v>
      </c>
      <c r="BH414" s="48" t="str">
        <f aca="false">IF(AR414&lt;=0,"",IF(CC414="Aussen","Aussenlager",IF(CC414="-","Nicht im Lift",IF(AW414&gt;=1,"Lift",IF(AW414&lt;=0,"Aussenlager","teilweise")))))</f>
        <v>Lift</v>
      </c>
      <c r="BI414" s="48" t="str">
        <f aca="false">IF(BA414&lt;=0,"",IF(CC414="Aussen","Aussenlager",IF(CC414="-","Nicht im Lift",IF(BF414&gt;=1,"Lift",IF(BF414&lt;=0,"Aussenlager","teilweise")))))</f>
        <v>Lift</v>
      </c>
      <c r="BJ414" s="48" t="str">
        <f aca="false">IF(A414="","",IF(BS414=1,"Neu; ","")&amp;IF(AND(BS414=0,BN414&lt;0),"negativer Bestand (Export "&amp;BN414&amp;"); ","")&amp;IF(J414&lt;=0,"Kein Verbrauch; ","")&amp;IF(CL414&gt;0,"Lift "&amp;W414&amp;" lt. Liftbericht (Fach "&amp;X414&amp;" Stk); ",IF(BX414=1,"Gebinde geschätzt ("&amp;T414&amp;"); ",IF(BW414=1,"Lose – Tablare geschätzt; ","")))&amp;IF(H414&gt;AT414,"Überbestand "&amp;ROUND(H414-AT414,0)&amp;" Stk / CHF "&amp;ROUND((H414-AT414)*G414,0)&amp;"; ","")&amp;IF(AND(CE414=1,CF414&lt;CG414),"MAX &lt; MB+LG; ","")&amp;IF(AND(CK414&gt;0,CJ414*10&gt;CK414),"zu hoch für Tablar; ","")&amp;IF(AND(BS414=0,OR(CE414=1,AA414&lt;&gt;"",U414&lt;&gt;"",V414&lt;&gt;"",AB414&lt;&gt;"")),"manuell übersteuert; ","")&amp;IF(AND(BW414=0,R414=0),"Gebinde unbekannt / Stellmass fehlt; ","")&amp;IF(AND(BW414=0,N(V414)&lt;=0,N(Q414)&lt;=0),"Menge pro Gebinde fehlt (Ist = 1 Gebinde); ","")&amp;BR414)</f>
        <v/>
      </c>
      <c r="BK414" s="48"/>
      <c r="BL414" s="48"/>
      <c r="BM414" s="55"/>
      <c r="BN414" s="50" t="n">
        <v>30</v>
      </c>
      <c r="BO414" s="50" t="n">
        <v>32</v>
      </c>
      <c r="BP414" s="49" t="n">
        <v>98.5399999999998</v>
      </c>
      <c r="BQ414" s="50" t="n">
        <v>162</v>
      </c>
      <c r="BR414" s="48"/>
      <c r="BS414" s="53" t="n">
        <v>0</v>
      </c>
      <c r="BT414" s="53" t="n">
        <v>414</v>
      </c>
      <c r="BU414" s="48" t="str">
        <f aca="false">IF(U414&lt;&gt;"",UPPER(TRIM(U414)),IF(BX414=1,UPPER(VLOOKUP(T414,Parameter!$I$27:$K$29,2,0)),IF(P414="","LOSE",P414)))</f>
        <v>S32</v>
      </c>
      <c r="BV414" s="50" t="n">
        <f aca="false">IF(BU414="LOSE",1,IF(N(V414)&gt;0,V414,IF(BX414=1,MAX(1,N(VLOOKUP(T414,Parameter!$I$27:$K$29,3,0)),H414,N(N414)),IF(N(Q414)&gt;0,Q414,MAX(1,H414)))))</f>
        <v>56</v>
      </c>
      <c r="BW414" s="53" t="n">
        <f aca="false">IF(BU414="LOSE",1,0)</f>
        <v>0</v>
      </c>
      <c r="BX414" s="53" t="n">
        <f aca="false">IF(AND(U414="",OR(P414="",P414="LOSE"),T414&lt;&gt;"",N(S414)&lt;=0,ISNUMBER(MATCH(T414,Parameter!$I$27:$I$29,0))),1,0)</f>
        <v>0</v>
      </c>
      <c r="BY414" s="53" t="n">
        <f aca="false">IF(CL414&gt;0,INDEX(Parameter!$H$5:$H$7,W414)/INDEX(Parameter!$E$5:$E$7,W414),IF(AND(BW414=0,N(IFERROR(VLOOKUP(BU414,'Gebinde-Kategorie'!$A$5:$N$45,14,0),0))&gt;0),VLOOKUP(BU414,'Gebinde-Kategorie'!$A$5:$N$45,14,0)*10+Parameter!$M$23,Parameter!$M$24))</f>
        <v>155</v>
      </c>
      <c r="BZ414" s="48" t="str">
        <f aca="false">IF(AND(Parameter!$B$19="Ja",E414&lt;&gt;"",ISNUMBER(MATCH(E414,Parameter!$I$35:$I$52,0))),VLOOKUP(E414,Parameter!$I$35:$J$52,2,0),IFERROR(VLOOKUP(D414,Parameter!$A$35:$C$64,2,0),"Nein"))</f>
        <v>2+3</v>
      </c>
      <c r="CA414" s="52" t="n">
        <f aca="false">IF(BW414=0,0,IF(N(S414)&gt;0,S414,IFERROR(VLOOKUP(D414,Parameter!$A$35:$C$64,3,0)+0,0)))</f>
        <v>0</v>
      </c>
      <c r="CB414" s="48" t="n">
        <f aca="false">IF(AA414&lt;&gt;"",AA414,Z414)</f>
        <v>3</v>
      </c>
      <c r="CC414" s="48" t="str">
        <f aca="false">IF(OR(CB414=1,CB414=2,CB414=3),IF(Parameter!$E$27="Ja","LIFT",IF(CB414=1,"L1","L23")),IF(CB414="Aussen","Aussen","-"))</f>
        <v>LIFT</v>
      </c>
      <c r="CD414" s="59" t="n">
        <f aca="false">IF(N(AB414)&gt;0,AB414,0)</f>
        <v>0</v>
      </c>
      <c r="CE414" s="53" t="n">
        <f aca="false">IF(ISNUMBER(AE414),1,0)</f>
        <v>0</v>
      </c>
      <c r="CF414" s="50" t="n">
        <f aca="false">N(AE414)</f>
        <v>0</v>
      </c>
      <c r="CG414" s="50" t="n">
        <f aca="false">N(M414)+N(N414)</f>
        <v>169</v>
      </c>
      <c r="CH414" s="50" t="n">
        <f aca="false">ROUNDUP(H414/BV414,0)</f>
        <v>2</v>
      </c>
      <c r="CI414" s="50" t="n">
        <f aca="false">ROUNDUP(CF414/BV414,0)</f>
        <v>0</v>
      </c>
      <c r="CJ414" s="53" t="n">
        <f aca="false">IF(BW414=1,0,IFERROR(VLOOKUP(BU414,'Gebinde-Kategorie'!$A$5:$N$45,5,0)+0,0))</f>
        <v>8</v>
      </c>
      <c r="CK414" s="53" t="n">
        <f aca="false">IFERROR(IF(OR(CB414=1,CB414=2,CB414=3),N(INDEX(Parameter!$I$5:$I$7,CB414)),0),0)</f>
        <v>0</v>
      </c>
      <c r="CL414" s="52" t="n">
        <f aca="false">IF(AND(Parameter!$B$21="Ja",ISNUMBER(W414),N(X414)&gt;0),IFERROR(N(INDEX(Parameter!$L$5:$L$7,W414))*INDEX(Parameter!$E$5:$E$7,W414)*X414/SUMIFS($X$7:$X$1843,$W$7:$W$1843,W414),0),0)</f>
        <v>0</v>
      </c>
    </row>
    <row r="415" customFormat="false" ht="15" hidden="false" customHeight="false" outlineLevel="0" collapsed="false">
      <c r="A415" s="48" t="s">
        <v>965</v>
      </c>
      <c r="B415" s="48" t="s">
        <v>411</v>
      </c>
      <c r="C415" s="48" t="s">
        <v>168</v>
      </c>
      <c r="D415" s="48" t="s">
        <v>188</v>
      </c>
      <c r="E415" s="48" t="s">
        <v>189</v>
      </c>
      <c r="F415" s="48" t="s">
        <v>222</v>
      </c>
      <c r="G415" s="49" t="n">
        <v>0.12</v>
      </c>
      <c r="H415" s="50" t="n">
        <f aca="false">MAX(0,IF(AND(Parameter!$B$21="Ja",ISNUMBER(Y415)),Y415,IF(Parameter!$B$20="Jahresanfang 2025 + Export",BO415+BN415,BN415)))</f>
        <v>1198</v>
      </c>
      <c r="I415" s="50" t="n">
        <f aca="false">H415*G415</f>
        <v>143.76</v>
      </c>
      <c r="J415" s="50" t="n">
        <f aca="false">BQ415*Parameter!$B$18</f>
        <v>2222</v>
      </c>
      <c r="K415" s="51" t="n">
        <v>530.5</v>
      </c>
      <c r="L415" s="52" t="n">
        <v>4.1885014137606</v>
      </c>
      <c r="M415" s="50" t="n">
        <v>86</v>
      </c>
      <c r="N415" s="50" t="n">
        <v>2000</v>
      </c>
      <c r="O415" s="53" t="n">
        <v>14</v>
      </c>
      <c r="P415" s="48" t="s">
        <v>480</v>
      </c>
      <c r="Q415" s="50" t="n">
        <v>432</v>
      </c>
      <c r="R415" s="53" t="n">
        <f aca="false">IF(BW415=1,0,IFERROR(VLOOKUP(BU415,'Gebinde-Kategorie'!$A$5:$N$45,13,0)+0,0))</f>
        <v>52</v>
      </c>
      <c r="S415" s="54"/>
      <c r="T415" s="55"/>
      <c r="U415" s="55"/>
      <c r="V415" s="55"/>
      <c r="W415" s="48"/>
      <c r="X415" s="50"/>
      <c r="Y415" s="50"/>
      <c r="Z415" s="48" t="n">
        <f aca="false">IF(A415="","",IF(AND(Parameter!$B$21="Ja",ISNUMBER(W415)),W415,IF(BZ415="2+3",IF(ISNUMBER(SEARCH("grosser Artikel",BR415)),2,IFERROR(VLOOKUP(BU415,Parameter!$F$35:$G$64,2,0),2)),IF(OR(BZ415="Nein",BZ415=""),"-",BZ415))))</f>
        <v>3</v>
      </c>
      <c r="AA415" s="55"/>
      <c r="AB415" s="56"/>
      <c r="AC415" s="50" t="n">
        <f aca="false">AT415</f>
        <v>2160</v>
      </c>
      <c r="AD415" s="50" t="n">
        <f aca="false">MAX(AT415,H415)</f>
        <v>2160</v>
      </c>
      <c r="AE415" s="57"/>
      <c r="AF415" s="50" t="n">
        <f aca="false">IF(LEFT(Cockpit!$C$5,1)="A",H415,IF(CE415=1,CF415,IF(LEFT(Cockpit!$C$5,1)="B",AK415,MAX(AK415,H415))))</f>
        <v>1198</v>
      </c>
      <c r="AG415" s="50" t="n">
        <f aca="false">IF(BW415=1,0,ROUNDUP(AF415/BV415,0))</f>
        <v>3</v>
      </c>
      <c r="AH415" s="52" t="n">
        <f aca="false">IF(CL415&gt;0,CL415*MAX(1,AF415/X415),IF(BW415=1,IF(AF415&lt;=0,0,CA415*MAX(1,IF(H415&gt;0,AF415/H415,1))),IF(R415&gt;0,AG415/R415,0))/MAX(0.1,N(Parameter!$M$21)))</f>
        <v>0.0576923076923077</v>
      </c>
      <c r="AI415" s="50" t="n">
        <f aca="false">AH415*BY415</f>
        <v>8.94230769230769</v>
      </c>
      <c r="AJ415" s="50" t="n">
        <f aca="false">AF415*G415</f>
        <v>143.76</v>
      </c>
      <c r="AK415" s="50" t="n">
        <f aca="false">ROUNDUP(MAX(J415/IF(CD415&gt;0,CD415,MAX(0.1,N(Cockpit!$C$6))),CG415)/BV415,0)*BV415</f>
        <v>2160</v>
      </c>
      <c r="AL415" s="51" t="n">
        <f aca="false">IF(AI415&gt;0,J415/AI415,-1)</f>
        <v>248.481720430108</v>
      </c>
      <c r="AM415" s="51" t="n">
        <f aca="false">IF(AND(OR(CC415="L1",CC415="L23",CC415="LIFT"),AI415&gt;0),SUMIFS($AI$7:$AI$1843,$CC$7:$CC$1843,CC415,$AL$7:$AL$1843,"&gt;"&amp;AL415)+SUMIFS($AI$7:$AI$1843,$CC$7:$CC$1843,CC415,$AL$7:$AL$1843,AL415,$BT$7:$BT$1843,"&lt;="&amp;BT415),"")</f>
        <v>282.619963369963</v>
      </c>
      <c r="AN415" s="58" t="n">
        <f aca="false">IF(AM415="",0,MAX(0,MIN(1,(IF(CC415="L1",Parameter!$H$5,IF(CC415="L23",Parameter!$H$6+Parameter!$H$7,Parameter!$H$5+Parameter!$H$6+Parameter!$H$7))-(AM415-AI415))/AI415)))</f>
        <v>1</v>
      </c>
      <c r="AO415" s="50" t="n">
        <f aca="false">IF(LEFT(Cockpit!$I$5,1)="A",H415,IF(CE415=1,CF415,IF(LEFT(Cockpit!$I$5,1)="B",AT415,MAX(AT415,H415))))</f>
        <v>2160</v>
      </c>
      <c r="AP415" s="50" t="n">
        <f aca="false">IF(BW415=1,0,ROUNDUP(AO415/BV415,0))</f>
        <v>5</v>
      </c>
      <c r="AQ415" s="52" t="n">
        <f aca="false">IF(CL415&gt;0,CL415*MAX(1,AO415/X415),IF(BW415=1,IF(AO415&lt;=0,0,CA415*MAX(1,IF(H415&gt;0,AO415/H415,1))),IF(R415&gt;0,AP415/R415,0))/MAX(0.1,N(Parameter!$M$21)))</f>
        <v>0.0961538461538462</v>
      </c>
      <c r="AR415" s="50" t="n">
        <f aca="false">AQ415*BY415</f>
        <v>14.9038461538462</v>
      </c>
      <c r="AS415" s="50" t="n">
        <f aca="false">AO415*G415</f>
        <v>259.2</v>
      </c>
      <c r="AT415" s="50" t="n">
        <f aca="false">ROUNDUP(MAX(J415/IF(CD415&gt;0,CD415,MAX(0.1,N(Cockpit!$I$6))),CG415)/BV415,0)*BV415</f>
        <v>2160</v>
      </c>
      <c r="AU415" s="51" t="n">
        <f aca="false">IF(AR415&gt;0,J415/AR415,-1)</f>
        <v>149.089032258065</v>
      </c>
      <c r="AV415" s="51" t="n">
        <f aca="false">IF(AND(OR(CC415="L1",CC415="L23",CC415="LIFT"),AR415&gt;0),SUMIFS($AR$7:$AR$1843,$CC$7:$CC$1843,CC415,$AU$7:$AU$1843,"&gt;"&amp;AU415)+SUMIFS($AR$7:$AR$1843,$CC$7:$CC$1843,CC415,$AU$7:$AU$1843,AU415,$BT$7:$BT$1843,"&lt;="&amp;BT415),"")</f>
        <v>619.608974358974</v>
      </c>
      <c r="AW415" s="58" t="n">
        <f aca="false">IF(AV415="",0,MAX(0,MIN(1,(IF(CC415="L1",Parameter!$H$5,IF(CC415="L23",Parameter!$H$6+Parameter!$H$7,Parameter!$H$5+Parameter!$H$6+Parameter!$H$7))-(AV415-AR415))/AR415)))</f>
        <v>1</v>
      </c>
      <c r="AX415" s="50" t="n">
        <f aca="false">IF(LEFT(Cockpit!$O$5,1)="A",H415,IF(CE415=1,CF415,IF(LEFT(Cockpit!$O$5,1)="B",BC415,MAX(BC415,H415))))</f>
        <v>2160</v>
      </c>
      <c r="AY415" s="50" t="n">
        <f aca="false">IF(BW415=1,0,ROUNDUP(AX415/BV415,0))</f>
        <v>5</v>
      </c>
      <c r="AZ415" s="52" t="n">
        <f aca="false">IF(CL415&gt;0,CL415*MAX(1,AX415/X415),IF(BW415=1,IF(AX415&lt;=0,0,CA415*MAX(1,IF(H415&gt;0,AX415/H415,1))),IF(R415&gt;0,AY415/R415,0))/MAX(0.1,N(Parameter!$M$21)))</f>
        <v>0.0961538461538462</v>
      </c>
      <c r="BA415" s="50" t="n">
        <f aca="false">AZ415*BY415</f>
        <v>14.9038461538462</v>
      </c>
      <c r="BB415" s="50" t="n">
        <f aca="false">AX415*G415</f>
        <v>259.2</v>
      </c>
      <c r="BC415" s="50" t="n">
        <f aca="false">ROUNDUP(MAX(J415/IF(CD415&gt;0,CD415,MAX(0.1,N(Cockpit!$O$6))),CG415)/BV415,0)*BV415</f>
        <v>2160</v>
      </c>
      <c r="BD415" s="51" t="n">
        <f aca="false">IF(BA415&gt;0,J415/BA415,-1)</f>
        <v>149.089032258065</v>
      </c>
      <c r="BE415" s="51" t="n">
        <f aca="false">IF(AND(OR(CC415="L1",CC415="L23",CC415="LIFT"),BA415&gt;0),SUMIFS($BA$7:$BA$1843,$CC$7:$CC$1843,CC415,$BD$7:$BD$1843,"&gt;"&amp;BD415)+SUMIFS($BA$7:$BA$1843,$CC$7:$CC$1843,CC415,$BD$7:$BD$1843,BD415,$BT$7:$BT$1843,"&lt;="&amp;BT415),"")</f>
        <v>564.048076923077</v>
      </c>
      <c r="BF415" s="58" t="n">
        <f aca="false">IF(BE415="",0,MAX(0,MIN(1,(IF(CC415="L1",Parameter!$H$5,IF(CC415="L23",Parameter!$H$6+Parameter!$H$7,Parameter!$H$5+Parameter!$H$6+Parameter!$H$7))-(BE415-BA415))/BA415)))</f>
        <v>1</v>
      </c>
      <c r="BG415" s="48" t="str">
        <f aca="false">IF(AI415&lt;=0,"",IF(CC415="Aussen","Aussenlager",IF(CC415="-","Nicht im Lift",IF(AN415&gt;=1,"Lift",IF(AN415&lt;=0,"Aussenlager","teilweise")))))</f>
        <v>Lift</v>
      </c>
      <c r="BH415" s="48" t="str">
        <f aca="false">IF(AR415&lt;=0,"",IF(CC415="Aussen","Aussenlager",IF(CC415="-","Nicht im Lift",IF(AW415&gt;=1,"Lift",IF(AW415&lt;=0,"Aussenlager","teilweise")))))</f>
        <v>Lift</v>
      </c>
      <c r="BI415" s="48" t="str">
        <f aca="false">IF(BA415&lt;=0,"",IF(CC415="Aussen","Aussenlager",IF(CC415="-","Nicht im Lift",IF(BF415&gt;=1,"Lift",IF(BF415&lt;=0,"Aussenlager","teilweise")))))</f>
        <v>Lift</v>
      </c>
      <c r="BJ415" s="48" t="str">
        <f aca="false">IF(A415="","",IF(BS415=1,"Neu; ","")&amp;IF(AND(BS415=0,BN415&lt;0),"negativer Bestand (Export "&amp;BN415&amp;"); ","")&amp;IF(J415&lt;=0,"Kein Verbrauch; ","")&amp;IF(CL415&gt;0,"Lift "&amp;W415&amp;" lt. Liftbericht (Fach "&amp;X415&amp;" Stk); ",IF(BX415=1,"Gebinde geschätzt ("&amp;T415&amp;"); ",IF(BW415=1,"Lose – Tablare geschätzt; ","")))&amp;IF(H415&gt;AT415,"Überbestand "&amp;ROUND(H415-AT415,0)&amp;" Stk / CHF "&amp;ROUND((H415-AT415)*G415,0)&amp;"; ","")&amp;IF(AND(CE415=1,CF415&lt;CG415),"MAX &lt; MB+LG; ","")&amp;IF(AND(CK415&gt;0,CJ415*10&gt;CK415),"zu hoch für Tablar; ","")&amp;IF(AND(BS415=0,OR(CE415=1,AA415&lt;&gt;"",U415&lt;&gt;"",V415&lt;&gt;"",AB415&lt;&gt;"")),"manuell übersteuert; ","")&amp;IF(AND(BW415=0,R415=0),"Gebinde unbekannt / Stellmass fehlt; ","")&amp;IF(AND(BW415=0,N(V415)&lt;=0,N(Q415)&lt;=0),"Menge pro Gebinde fehlt (Ist = 1 Gebinde); ","")&amp;BR415)</f>
        <v/>
      </c>
      <c r="BK415" s="48"/>
      <c r="BL415" s="48"/>
      <c r="BM415" s="55"/>
      <c r="BN415" s="50" t="n">
        <v>771</v>
      </c>
      <c r="BO415" s="50" t="n">
        <v>427</v>
      </c>
      <c r="BP415" s="49" t="n">
        <v>96.7300000000001</v>
      </c>
      <c r="BQ415" s="50" t="n">
        <v>2222</v>
      </c>
      <c r="BR415" s="48"/>
      <c r="BS415" s="53" t="n">
        <v>0</v>
      </c>
      <c r="BT415" s="53" t="n">
        <v>415</v>
      </c>
      <c r="BU415" s="48" t="str">
        <f aca="false">IF(U415&lt;&gt;"",UPPER(TRIM(U415)),IF(BX415=1,UPPER(VLOOKUP(T415,Parameter!$I$27:$K$29,2,0)),IF(P415="","LOSE",P415)))</f>
        <v>S33</v>
      </c>
      <c r="BV415" s="50" t="n">
        <f aca="false">IF(BU415="LOSE",1,IF(N(V415)&gt;0,V415,IF(BX415=1,MAX(1,N(VLOOKUP(T415,Parameter!$I$27:$K$29,3,0)),H415,N(N415)),IF(N(Q415)&gt;0,Q415,MAX(1,H415)))))</f>
        <v>432</v>
      </c>
      <c r="BW415" s="53" t="n">
        <f aca="false">IF(BU415="LOSE",1,0)</f>
        <v>0</v>
      </c>
      <c r="BX415" s="53" t="n">
        <f aca="false">IF(AND(U415="",OR(P415="",P415="LOSE"),T415&lt;&gt;"",N(S415)&lt;=0,ISNUMBER(MATCH(T415,Parameter!$I$27:$I$29,0))),1,0)</f>
        <v>0</v>
      </c>
      <c r="BY415" s="53" t="n">
        <f aca="false">IF(CL415&gt;0,INDEX(Parameter!$H$5:$H$7,W415)/INDEX(Parameter!$E$5:$E$7,W415),IF(AND(BW415=0,N(IFERROR(VLOOKUP(BU415,'Gebinde-Kategorie'!$A$5:$N$45,14,0),0))&gt;0),VLOOKUP(BU415,'Gebinde-Kategorie'!$A$5:$N$45,14,0)*10+Parameter!$M$23,Parameter!$M$24))</f>
        <v>155</v>
      </c>
      <c r="BZ415" s="48" t="str">
        <f aca="false">IF(AND(Parameter!$B$19="Ja",E415&lt;&gt;"",ISNUMBER(MATCH(E415,Parameter!$I$35:$I$52,0))),VLOOKUP(E415,Parameter!$I$35:$J$52,2,0),IFERROR(VLOOKUP(D415,Parameter!$A$35:$C$64,2,0),"Nein"))</f>
        <v>2+3</v>
      </c>
      <c r="CA415" s="52" t="n">
        <f aca="false">IF(BW415=0,0,IF(N(S415)&gt;0,S415,IFERROR(VLOOKUP(D415,Parameter!$A$35:$C$64,3,0)+0,0)))</f>
        <v>0</v>
      </c>
      <c r="CB415" s="48" t="n">
        <f aca="false">IF(AA415&lt;&gt;"",AA415,Z415)</f>
        <v>3</v>
      </c>
      <c r="CC415" s="48" t="str">
        <f aca="false">IF(OR(CB415=1,CB415=2,CB415=3),IF(Parameter!$E$27="Ja","LIFT",IF(CB415=1,"L1","L23")),IF(CB415="Aussen","Aussen","-"))</f>
        <v>LIFT</v>
      </c>
      <c r="CD415" s="59" t="n">
        <f aca="false">IF(N(AB415)&gt;0,AB415,0)</f>
        <v>0</v>
      </c>
      <c r="CE415" s="53" t="n">
        <f aca="false">IF(ISNUMBER(AE415),1,0)</f>
        <v>0</v>
      </c>
      <c r="CF415" s="50" t="n">
        <f aca="false">N(AE415)</f>
        <v>0</v>
      </c>
      <c r="CG415" s="50" t="n">
        <f aca="false">N(M415)+N(N415)</f>
        <v>2086</v>
      </c>
      <c r="CH415" s="50" t="n">
        <f aca="false">ROUNDUP(H415/BV415,0)</f>
        <v>3</v>
      </c>
      <c r="CI415" s="50" t="n">
        <f aca="false">ROUNDUP(CF415/BV415,0)</f>
        <v>0</v>
      </c>
      <c r="CJ415" s="53" t="n">
        <f aca="false">IF(BW415=1,0,IFERROR(VLOOKUP(BU415,'Gebinde-Kategorie'!$A$5:$N$45,5,0)+0,0))</f>
        <v>8</v>
      </c>
      <c r="CK415" s="53" t="n">
        <f aca="false">IFERROR(IF(OR(CB415=1,CB415=2,CB415=3),N(INDEX(Parameter!$I$5:$I$7,CB415)),0),0)</f>
        <v>0</v>
      </c>
      <c r="CL415" s="52" t="n">
        <f aca="false">IF(AND(Parameter!$B$21="Ja",ISNUMBER(W415),N(X415)&gt;0),IFERROR(N(INDEX(Parameter!$L$5:$L$7,W415))*INDEX(Parameter!$E$5:$E$7,W415)*X415/SUMIFS($X$7:$X$1843,$W$7:$W$1843,W415),0),0)</f>
        <v>0</v>
      </c>
    </row>
    <row r="416" customFormat="false" ht="15" hidden="false" customHeight="false" outlineLevel="0" collapsed="false">
      <c r="A416" s="48" t="s">
        <v>966</v>
      </c>
      <c r="B416" s="48" t="s">
        <v>967</v>
      </c>
      <c r="C416" s="48" t="s">
        <v>168</v>
      </c>
      <c r="D416" s="48" t="s">
        <v>188</v>
      </c>
      <c r="E416" s="48" t="s">
        <v>189</v>
      </c>
      <c r="F416" s="48" t="s">
        <v>222</v>
      </c>
      <c r="G416" s="49" t="n">
        <v>0.56</v>
      </c>
      <c r="H416" s="50" t="n">
        <f aca="false">MAX(0,IF(AND(Parameter!$B$21="Ja",ISNUMBER(Y416)),Y416,IF(Parameter!$B$20="Jahresanfang 2025 + Export",BO416+BN416,BN416)))</f>
        <v>523</v>
      </c>
      <c r="I416" s="50" t="n">
        <f aca="false">H416*G416</f>
        <v>292.88</v>
      </c>
      <c r="J416" s="50" t="n">
        <f aca="false">BQ416*Parameter!$B$18</f>
        <v>383</v>
      </c>
      <c r="K416" s="51" t="n">
        <v>255</v>
      </c>
      <c r="L416" s="52" t="n">
        <v>1.50196078431373</v>
      </c>
      <c r="M416" s="50" t="n">
        <v>22</v>
      </c>
      <c r="N416" s="50" t="n">
        <v>500</v>
      </c>
      <c r="O416" s="53" t="n">
        <v>21</v>
      </c>
      <c r="P416" s="48" t="s">
        <v>332</v>
      </c>
      <c r="Q416" s="50" t="n">
        <v>402</v>
      </c>
      <c r="R416" s="53" t="n">
        <f aca="false">IF(BW416=1,0,IFERROR(VLOOKUP(BU416,'Gebinde-Kategorie'!$A$5:$N$45,13,0)+0,0))</f>
        <v>52</v>
      </c>
      <c r="S416" s="54"/>
      <c r="T416" s="55"/>
      <c r="U416" s="55"/>
      <c r="V416" s="55"/>
      <c r="W416" s="48"/>
      <c r="X416" s="50"/>
      <c r="Y416" s="50"/>
      <c r="Z416" s="48" t="n">
        <f aca="false">IF(A416="","",IF(AND(Parameter!$B$21="Ja",ISNUMBER(W416)),W416,IF(BZ416="2+3",IF(ISNUMBER(SEARCH("grosser Artikel",BR416)),2,IFERROR(VLOOKUP(BU416,Parameter!$F$35:$G$64,2,0),2)),IF(OR(BZ416="Nein",BZ416=""),"-",BZ416))))</f>
        <v>3</v>
      </c>
      <c r="AA416" s="55"/>
      <c r="AB416" s="56"/>
      <c r="AC416" s="50" t="n">
        <f aca="false">AT416</f>
        <v>804</v>
      </c>
      <c r="AD416" s="50" t="n">
        <f aca="false">MAX(AT416,H416)</f>
        <v>804</v>
      </c>
      <c r="AE416" s="57"/>
      <c r="AF416" s="50" t="n">
        <f aca="false">IF(LEFT(Cockpit!$C$5,1)="A",H416,IF(CE416=1,CF416,IF(LEFT(Cockpit!$C$5,1)="B",AK416,MAX(AK416,H416))))</f>
        <v>523</v>
      </c>
      <c r="AG416" s="50" t="n">
        <f aca="false">IF(BW416=1,0,ROUNDUP(AF416/BV416,0))</f>
        <v>2</v>
      </c>
      <c r="AH416" s="52" t="n">
        <f aca="false">IF(CL416&gt;0,CL416*MAX(1,AF416/X416),IF(BW416=1,IF(AF416&lt;=0,0,CA416*MAX(1,IF(H416&gt;0,AF416/H416,1))),IF(R416&gt;0,AG416/R416,0))/MAX(0.1,N(Parameter!$M$21)))</f>
        <v>0.0384615384615385</v>
      </c>
      <c r="AI416" s="50" t="n">
        <f aca="false">AH416*BY416</f>
        <v>5.96153846153846</v>
      </c>
      <c r="AJ416" s="50" t="n">
        <f aca="false">AF416*G416</f>
        <v>292.88</v>
      </c>
      <c r="AK416" s="50" t="n">
        <f aca="false">ROUNDUP(MAX(J416/IF(CD416&gt;0,CD416,MAX(0.1,N(Cockpit!$C$6))),CG416)/BV416,0)*BV416</f>
        <v>804</v>
      </c>
      <c r="AL416" s="51" t="n">
        <f aca="false">IF(AI416&gt;0,J416/AI416,-1)</f>
        <v>64.2451612903226</v>
      </c>
      <c r="AM416" s="51" t="n">
        <f aca="false">IF(AND(OR(CC416="L1",CC416="L23",CC416="LIFT"),AI416&gt;0),SUMIFS($AI$7:$AI$1843,$CC$7:$CC$1843,CC416,$AL$7:$AL$1843,"&gt;"&amp;AL416)+SUMIFS($AI$7:$AI$1843,$CC$7:$CC$1843,CC416,$AL$7:$AL$1843,AL416,$BT$7:$BT$1843,"&lt;="&amp;BT416),"")</f>
        <v>952.160714285714</v>
      </c>
      <c r="AN416" s="58" t="n">
        <f aca="false">IF(AM416="",0,MAX(0,MIN(1,(IF(CC416="L1",Parameter!$H$5,IF(CC416="L23",Parameter!$H$6+Parameter!$H$7,Parameter!$H$5+Parameter!$H$6+Parameter!$H$7))-(AM416-AI416))/AI416)))</f>
        <v>1</v>
      </c>
      <c r="AO416" s="50" t="n">
        <f aca="false">IF(LEFT(Cockpit!$I$5,1)="A",H416,IF(CE416=1,CF416,IF(LEFT(Cockpit!$I$5,1)="B",AT416,MAX(AT416,H416))))</f>
        <v>804</v>
      </c>
      <c r="AP416" s="50" t="n">
        <f aca="false">IF(BW416=1,0,ROUNDUP(AO416/BV416,0))</f>
        <v>2</v>
      </c>
      <c r="AQ416" s="52" t="n">
        <f aca="false">IF(CL416&gt;0,CL416*MAX(1,AO416/X416),IF(BW416=1,IF(AO416&lt;=0,0,CA416*MAX(1,IF(H416&gt;0,AO416/H416,1))),IF(R416&gt;0,AP416/R416,0))/MAX(0.1,N(Parameter!$M$21)))</f>
        <v>0.0384615384615385</v>
      </c>
      <c r="AR416" s="50" t="n">
        <f aca="false">AQ416*BY416</f>
        <v>5.96153846153846</v>
      </c>
      <c r="AS416" s="50" t="n">
        <f aca="false">AO416*G416</f>
        <v>450.24</v>
      </c>
      <c r="AT416" s="50" t="n">
        <f aca="false">ROUNDUP(MAX(J416/IF(CD416&gt;0,CD416,MAX(0.1,N(Cockpit!$I$6))),CG416)/BV416,0)*BV416</f>
        <v>804</v>
      </c>
      <c r="AU416" s="51" t="n">
        <f aca="false">IF(AR416&gt;0,J416/AR416,-1)</f>
        <v>64.2451612903226</v>
      </c>
      <c r="AV416" s="51" t="n">
        <f aca="false">IF(AND(OR(CC416="L1",CC416="L23",CC416="LIFT"),AR416&gt;0),SUMIFS($AR$7:$AR$1843,$CC$7:$CC$1843,CC416,$AU$7:$AU$1843,"&gt;"&amp;AU416)+SUMIFS($AR$7:$AR$1843,$CC$7:$CC$1843,CC416,$AU$7:$AU$1843,AU416,$BT$7:$BT$1843,"&lt;="&amp;BT416),"")</f>
        <v>1379.82600732601</v>
      </c>
      <c r="AW416" s="58" t="n">
        <f aca="false">IF(AV416="",0,MAX(0,MIN(1,(IF(CC416="L1",Parameter!$H$5,IF(CC416="L23",Parameter!$H$6+Parameter!$H$7,Parameter!$H$5+Parameter!$H$6+Parameter!$H$7))-(AV416-AR416))/AR416)))</f>
        <v>1</v>
      </c>
      <c r="AX416" s="50" t="n">
        <f aca="false">IF(LEFT(Cockpit!$O$5,1)="A",H416,IF(CE416=1,CF416,IF(LEFT(Cockpit!$O$5,1)="B",BC416,MAX(BC416,H416))))</f>
        <v>804</v>
      </c>
      <c r="AY416" s="50" t="n">
        <f aca="false">IF(BW416=1,0,ROUNDUP(AX416/BV416,0))</f>
        <v>2</v>
      </c>
      <c r="AZ416" s="52" t="n">
        <f aca="false">IF(CL416&gt;0,CL416*MAX(1,AX416/X416),IF(BW416=1,IF(AX416&lt;=0,0,CA416*MAX(1,IF(H416&gt;0,AX416/H416,1))),IF(R416&gt;0,AY416/R416,0))/MAX(0.1,N(Parameter!$M$21)))</f>
        <v>0.0384615384615385</v>
      </c>
      <c r="BA416" s="50" t="n">
        <f aca="false">AZ416*BY416</f>
        <v>5.96153846153846</v>
      </c>
      <c r="BB416" s="50" t="n">
        <f aca="false">AX416*G416</f>
        <v>450.24</v>
      </c>
      <c r="BC416" s="50" t="n">
        <f aca="false">ROUNDUP(MAX(J416/IF(CD416&gt;0,CD416,MAX(0.1,N(Cockpit!$O$6))),CG416)/BV416,0)*BV416</f>
        <v>804</v>
      </c>
      <c r="BD416" s="51" t="n">
        <f aca="false">IF(BA416&gt;0,J416/BA416,-1)</f>
        <v>64.2451612903226</v>
      </c>
      <c r="BE416" s="51" t="n">
        <f aca="false">IF(AND(OR(CC416="L1",CC416="L23",CC416="LIFT"),BA416&gt;0),SUMIFS($BA$7:$BA$1843,$CC$7:$CC$1843,CC416,$BD$7:$BD$1843,"&gt;"&amp;BD416)+SUMIFS($BA$7:$BA$1843,$CC$7:$CC$1843,CC416,$BD$7:$BD$1843,BD416,$BT$7:$BT$1843,"&lt;="&amp;BT416),"")</f>
        <v>1218.97664835165</v>
      </c>
      <c r="BF416" s="58" t="n">
        <f aca="false">IF(BE416="",0,MAX(0,MIN(1,(IF(CC416="L1",Parameter!$H$5,IF(CC416="L23",Parameter!$H$6+Parameter!$H$7,Parameter!$H$5+Parameter!$H$6+Parameter!$H$7))-(BE416-BA416))/BA416)))</f>
        <v>1</v>
      </c>
      <c r="BG416" s="48" t="str">
        <f aca="false">IF(AI416&lt;=0,"",IF(CC416="Aussen","Aussenlager",IF(CC416="-","Nicht im Lift",IF(AN416&gt;=1,"Lift",IF(AN416&lt;=0,"Aussenlager","teilweise")))))</f>
        <v>Lift</v>
      </c>
      <c r="BH416" s="48" t="str">
        <f aca="false">IF(AR416&lt;=0,"",IF(CC416="Aussen","Aussenlager",IF(CC416="-","Nicht im Lift",IF(AW416&gt;=1,"Lift",IF(AW416&lt;=0,"Aussenlager","teilweise")))))</f>
        <v>Lift</v>
      </c>
      <c r="BI416" s="48" t="str">
        <f aca="false">IF(BA416&lt;=0,"",IF(CC416="Aussen","Aussenlager",IF(CC416="-","Nicht im Lift",IF(BF416&gt;=1,"Lift",IF(BF416&lt;=0,"Aussenlager","teilweise")))))</f>
        <v>Lift</v>
      </c>
      <c r="BJ416" s="48" t="str">
        <f aca="false">IF(A416="","",IF(BS416=1,"Neu; ","")&amp;IF(AND(BS416=0,BN416&lt;0),"negativer Bestand (Export "&amp;BN416&amp;"); ","")&amp;IF(J416&lt;=0,"Kein Verbrauch; ","")&amp;IF(CL416&gt;0,"Lift "&amp;W416&amp;" lt. Liftbericht (Fach "&amp;X416&amp;" Stk); ",IF(BX416=1,"Gebinde geschätzt ("&amp;T416&amp;"); ",IF(BW416=1,"Lose – Tablare geschätzt; ","")))&amp;IF(H416&gt;AT416,"Überbestand "&amp;ROUND(H416-AT416,0)&amp;" Stk / CHF "&amp;ROUND((H416-AT416)*G416,0)&amp;"; ","")&amp;IF(AND(CE416=1,CF416&lt;CG416),"MAX &lt; MB+LG; ","")&amp;IF(AND(CK416&gt;0,CJ416*10&gt;CK416),"zu hoch für Tablar; ","")&amp;IF(AND(BS416=0,OR(CE416=1,AA416&lt;&gt;"",U416&lt;&gt;"",V416&lt;&gt;"",AB416&lt;&gt;"")),"manuell übersteuert; ","")&amp;IF(AND(BW416=0,R416=0),"Gebinde unbekannt / Stellmass fehlt; ","")&amp;IF(AND(BW416=0,N(V416)&lt;=0,N(Q416)&lt;=0),"Menge pro Gebinde fehlt (Ist = 1 Gebinde); ","")&amp;BR416)</f>
        <v/>
      </c>
      <c r="BK416" s="48"/>
      <c r="BL416" s="48"/>
      <c r="BM416" s="55"/>
      <c r="BN416" s="50" t="n">
        <v>234</v>
      </c>
      <c r="BO416" s="50" t="n">
        <v>289</v>
      </c>
      <c r="BP416" s="49" t="n">
        <v>95.7399999999999</v>
      </c>
      <c r="BQ416" s="50" t="n">
        <v>383</v>
      </c>
      <c r="BR416" s="48"/>
      <c r="BS416" s="53" t="n">
        <v>0</v>
      </c>
      <c r="BT416" s="53" t="n">
        <v>416</v>
      </c>
      <c r="BU416" s="48" t="str">
        <f aca="false">IF(U416&lt;&gt;"",UPPER(TRIM(U416)),IF(BX416=1,UPPER(VLOOKUP(T416,Parameter!$I$27:$K$29,2,0)),IF(P416="","LOSE",P416)))</f>
        <v>S41</v>
      </c>
      <c r="BV416" s="50" t="n">
        <f aca="false">IF(BU416="LOSE",1,IF(N(V416)&gt;0,V416,IF(BX416=1,MAX(1,N(VLOOKUP(T416,Parameter!$I$27:$K$29,3,0)),H416,N(N416)),IF(N(Q416)&gt;0,Q416,MAX(1,H416)))))</f>
        <v>402</v>
      </c>
      <c r="BW416" s="53" t="n">
        <f aca="false">IF(BU416="LOSE",1,0)</f>
        <v>0</v>
      </c>
      <c r="BX416" s="53" t="n">
        <f aca="false">IF(AND(U416="",OR(P416="",P416="LOSE"),T416&lt;&gt;"",N(S416)&lt;=0,ISNUMBER(MATCH(T416,Parameter!$I$27:$I$29,0))),1,0)</f>
        <v>0</v>
      </c>
      <c r="BY416" s="53" t="n">
        <f aca="false">IF(CL416&gt;0,INDEX(Parameter!$H$5:$H$7,W416)/INDEX(Parameter!$E$5:$E$7,W416),IF(AND(BW416=0,N(IFERROR(VLOOKUP(BU416,'Gebinde-Kategorie'!$A$5:$N$45,14,0),0))&gt;0),VLOOKUP(BU416,'Gebinde-Kategorie'!$A$5:$N$45,14,0)*10+Parameter!$M$23,Parameter!$M$24))</f>
        <v>155</v>
      </c>
      <c r="BZ416" s="48" t="str">
        <f aca="false">IF(AND(Parameter!$B$19="Ja",E416&lt;&gt;"",ISNUMBER(MATCH(E416,Parameter!$I$35:$I$52,0))),VLOOKUP(E416,Parameter!$I$35:$J$52,2,0),IFERROR(VLOOKUP(D416,Parameter!$A$35:$C$64,2,0),"Nein"))</f>
        <v>2+3</v>
      </c>
      <c r="CA416" s="52" t="n">
        <f aca="false">IF(BW416=0,0,IF(N(S416)&gt;0,S416,IFERROR(VLOOKUP(D416,Parameter!$A$35:$C$64,3,0)+0,0)))</f>
        <v>0</v>
      </c>
      <c r="CB416" s="48" t="n">
        <f aca="false">IF(AA416&lt;&gt;"",AA416,Z416)</f>
        <v>3</v>
      </c>
      <c r="CC416" s="48" t="str">
        <f aca="false">IF(OR(CB416=1,CB416=2,CB416=3),IF(Parameter!$E$27="Ja","LIFT",IF(CB416=1,"L1","L23")),IF(CB416="Aussen","Aussen","-"))</f>
        <v>LIFT</v>
      </c>
      <c r="CD416" s="59" t="n">
        <f aca="false">IF(N(AB416)&gt;0,AB416,0)</f>
        <v>0</v>
      </c>
      <c r="CE416" s="53" t="n">
        <f aca="false">IF(ISNUMBER(AE416),1,0)</f>
        <v>0</v>
      </c>
      <c r="CF416" s="50" t="n">
        <f aca="false">N(AE416)</f>
        <v>0</v>
      </c>
      <c r="CG416" s="50" t="n">
        <f aca="false">N(M416)+N(N416)</f>
        <v>522</v>
      </c>
      <c r="CH416" s="50" t="n">
        <f aca="false">ROUNDUP(H416/BV416,0)</f>
        <v>2</v>
      </c>
      <c r="CI416" s="50" t="n">
        <f aca="false">ROUNDUP(CF416/BV416,0)</f>
        <v>0</v>
      </c>
      <c r="CJ416" s="53" t="n">
        <f aca="false">IF(BW416=1,0,IFERROR(VLOOKUP(BU416,'Gebinde-Kategorie'!$A$5:$N$45,5,0)+0,0))</f>
        <v>11</v>
      </c>
      <c r="CK416" s="53" t="n">
        <f aca="false">IFERROR(IF(OR(CB416=1,CB416=2,CB416=3),N(INDEX(Parameter!$I$5:$I$7,CB416)),0),0)</f>
        <v>0</v>
      </c>
      <c r="CL416" s="52" t="n">
        <f aca="false">IF(AND(Parameter!$B$21="Ja",ISNUMBER(W416),N(X416)&gt;0),IFERROR(N(INDEX(Parameter!$L$5:$L$7,W416))*INDEX(Parameter!$E$5:$E$7,W416)*X416/SUMIFS($X$7:$X$1843,$W$7:$W$1843,W416),0),0)</f>
        <v>0</v>
      </c>
    </row>
    <row r="417" customFormat="false" ht="15" hidden="false" customHeight="false" outlineLevel="0" collapsed="false">
      <c r="A417" s="48" t="s">
        <v>968</v>
      </c>
      <c r="B417" s="48" t="s">
        <v>969</v>
      </c>
      <c r="C417" s="48" t="s">
        <v>168</v>
      </c>
      <c r="D417" s="48" t="s">
        <v>188</v>
      </c>
      <c r="E417" s="48" t="s">
        <v>189</v>
      </c>
      <c r="F417" s="48" t="s">
        <v>222</v>
      </c>
      <c r="G417" s="49" t="n">
        <v>19.36</v>
      </c>
      <c r="H417" s="50" t="n">
        <f aca="false">MAX(0,IF(AND(Parameter!$B$21="Ja",ISNUMBER(Y417)),Y417,IF(Parameter!$B$20="Jahresanfang 2025 + Export",BO417+BN417,BN417)))</f>
        <v>13</v>
      </c>
      <c r="I417" s="50" t="n">
        <f aca="false">H417*G417</f>
        <v>251.68</v>
      </c>
      <c r="J417" s="50" t="n">
        <f aca="false">BQ417*Parameter!$B$18</f>
        <v>20</v>
      </c>
      <c r="K417" s="51" t="n">
        <v>11.5</v>
      </c>
      <c r="L417" s="52" t="n">
        <v>1.73913043478261</v>
      </c>
      <c r="M417" s="50" t="n">
        <v>1</v>
      </c>
      <c r="N417" s="50" t="n">
        <v>20</v>
      </c>
      <c r="O417" s="53" t="n">
        <v>28</v>
      </c>
      <c r="P417" s="48" t="s">
        <v>306</v>
      </c>
      <c r="Q417" s="50" t="n">
        <v>15</v>
      </c>
      <c r="R417" s="53" t="n">
        <f aca="false">IF(BW417=1,0,IFERROR(VLOOKUP(BU417,'Gebinde-Kategorie'!$A$5:$N$45,13,0)+0,0))</f>
        <v>26</v>
      </c>
      <c r="S417" s="54"/>
      <c r="T417" s="55"/>
      <c r="U417" s="55"/>
      <c r="V417" s="55"/>
      <c r="W417" s="48"/>
      <c r="X417" s="50"/>
      <c r="Y417" s="50"/>
      <c r="Z417" s="48" t="n">
        <f aca="false">IF(A417="","",IF(AND(Parameter!$B$21="Ja",ISNUMBER(W417)),W417,IF(BZ417="2+3",IF(ISNUMBER(SEARCH("grosser Artikel",BR417)),2,IFERROR(VLOOKUP(BU417,Parameter!$F$35:$G$64,2,0),2)),IF(OR(BZ417="Nein",BZ417=""),"-",BZ417))))</f>
        <v>3</v>
      </c>
      <c r="AA417" s="55"/>
      <c r="AB417" s="56"/>
      <c r="AC417" s="50" t="n">
        <f aca="false">AT417</f>
        <v>30</v>
      </c>
      <c r="AD417" s="50" t="n">
        <f aca="false">MAX(AT417,H417)</f>
        <v>30</v>
      </c>
      <c r="AE417" s="57"/>
      <c r="AF417" s="50" t="n">
        <f aca="false">IF(LEFT(Cockpit!$C$5,1)="A",H417,IF(CE417=1,CF417,IF(LEFT(Cockpit!$C$5,1)="B",AK417,MAX(AK417,H417))))</f>
        <v>13</v>
      </c>
      <c r="AG417" s="50" t="n">
        <f aca="false">IF(BW417=1,0,ROUNDUP(AF417/BV417,0))</f>
        <v>1</v>
      </c>
      <c r="AH417" s="52" t="n">
        <f aca="false">IF(CL417&gt;0,CL417*MAX(1,AF417/X417),IF(BW417=1,IF(AF417&lt;=0,0,CA417*MAX(1,IF(H417&gt;0,AF417/H417,1))),IF(R417&gt;0,AG417/R417,0))/MAX(0.1,N(Parameter!$M$21)))</f>
        <v>0.0384615384615385</v>
      </c>
      <c r="AI417" s="50" t="n">
        <f aca="false">AH417*BY417</f>
        <v>5.96153846153846</v>
      </c>
      <c r="AJ417" s="50" t="n">
        <f aca="false">AF417*G417</f>
        <v>251.68</v>
      </c>
      <c r="AK417" s="50" t="n">
        <f aca="false">ROUNDUP(MAX(J417/IF(CD417&gt;0,CD417,MAX(0.1,N(Cockpit!$C$6))),CG417)/BV417,0)*BV417</f>
        <v>30</v>
      </c>
      <c r="AL417" s="51" t="n">
        <f aca="false">IF(AI417&gt;0,J417/AI417,-1)</f>
        <v>3.35483870967742</v>
      </c>
      <c r="AM417" s="51" t="n">
        <f aca="false">IF(AND(OR(CC417="L1",CC417="L23",CC417="LIFT"),AI417&gt;0),SUMIFS($AI$7:$AI$1843,$CC$7:$CC$1843,CC417,$AL$7:$AL$1843,"&gt;"&amp;AL417)+SUMIFS($AI$7:$AI$1843,$CC$7:$CC$1843,CC417,$AL$7:$AL$1843,AL417,$BT$7:$BT$1843,"&lt;="&amp;BT417),"")</f>
        <v>4928.76098901099</v>
      </c>
      <c r="AN417" s="58" t="n">
        <f aca="false">IF(AM417="",0,MAX(0,MIN(1,(IF(CC417="L1",Parameter!$H$5,IF(CC417="L23",Parameter!$H$6+Parameter!$H$7,Parameter!$H$5+Parameter!$H$6+Parameter!$H$7))-(AM417-AI417))/AI417)))</f>
        <v>1</v>
      </c>
      <c r="AO417" s="50" t="n">
        <f aca="false">IF(LEFT(Cockpit!$I$5,1)="A",H417,IF(CE417=1,CF417,IF(LEFT(Cockpit!$I$5,1)="B",AT417,MAX(AT417,H417))))</f>
        <v>30</v>
      </c>
      <c r="AP417" s="50" t="n">
        <f aca="false">IF(BW417=1,0,ROUNDUP(AO417/BV417,0))</f>
        <v>2</v>
      </c>
      <c r="AQ417" s="52" t="n">
        <f aca="false">IF(CL417&gt;0,CL417*MAX(1,AO417/X417),IF(BW417=1,IF(AO417&lt;=0,0,CA417*MAX(1,IF(H417&gt;0,AO417/H417,1))),IF(R417&gt;0,AP417/R417,0))/MAX(0.1,N(Parameter!$M$21)))</f>
        <v>0.0769230769230769</v>
      </c>
      <c r="AR417" s="50" t="n">
        <f aca="false">AQ417*BY417</f>
        <v>11.9230769230769</v>
      </c>
      <c r="AS417" s="50" t="n">
        <f aca="false">AO417*G417</f>
        <v>580.8</v>
      </c>
      <c r="AT417" s="50" t="n">
        <f aca="false">ROUNDUP(MAX(J417/IF(CD417&gt;0,CD417,MAX(0.1,N(Cockpit!$I$6))),CG417)/BV417,0)*BV417</f>
        <v>30</v>
      </c>
      <c r="AU417" s="51" t="n">
        <f aca="false">IF(AR417&gt;0,J417/AR417,-1)</f>
        <v>1.67741935483871</v>
      </c>
      <c r="AV417" s="51" t="n">
        <f aca="false">IF(AND(OR(CC417="L1",CC417="L23",CC417="LIFT"),AR417&gt;0),SUMIFS($AR$7:$AR$1843,$CC$7:$CC$1843,CC417,$AU$7:$AU$1843,"&gt;"&amp;AU417)+SUMIFS($AR$7:$AR$1843,$CC$7:$CC$1843,CC417,$AU$7:$AU$1843,AU417,$BT$7:$BT$1843,"&lt;="&amp;BT417),"")</f>
        <v>8192.91758241758</v>
      </c>
      <c r="AW417" s="58" t="n">
        <f aca="false">IF(AV417="",0,MAX(0,MIN(1,(IF(CC417="L1",Parameter!$H$5,IF(CC417="L23",Parameter!$H$6+Parameter!$H$7,Parameter!$H$5+Parameter!$H$6+Parameter!$H$7))-(AV417-AR417))/AR417)))</f>
        <v>1</v>
      </c>
      <c r="AX417" s="50" t="n">
        <f aca="false">IF(LEFT(Cockpit!$O$5,1)="A",H417,IF(CE417=1,CF417,IF(LEFT(Cockpit!$O$5,1)="B",BC417,MAX(BC417,H417))))</f>
        <v>30</v>
      </c>
      <c r="AY417" s="50" t="n">
        <f aca="false">IF(BW417=1,0,ROUNDUP(AX417/BV417,0))</f>
        <v>2</v>
      </c>
      <c r="AZ417" s="52" t="n">
        <f aca="false">IF(CL417&gt;0,CL417*MAX(1,AX417/X417),IF(BW417=1,IF(AX417&lt;=0,0,CA417*MAX(1,IF(H417&gt;0,AX417/H417,1))),IF(R417&gt;0,AY417/R417,0))/MAX(0.1,N(Parameter!$M$21)))</f>
        <v>0.0769230769230769</v>
      </c>
      <c r="BA417" s="50" t="n">
        <f aca="false">AZ417*BY417</f>
        <v>11.9230769230769</v>
      </c>
      <c r="BB417" s="50" t="n">
        <f aca="false">AX417*G417</f>
        <v>580.8</v>
      </c>
      <c r="BC417" s="50" t="n">
        <f aca="false">ROUNDUP(MAX(J417/IF(CD417&gt;0,CD417,MAX(0.1,N(Cockpit!$O$6))),CG417)/BV417,0)*BV417</f>
        <v>30</v>
      </c>
      <c r="BD417" s="51" t="n">
        <f aca="false">IF(BA417&gt;0,J417/BA417,-1)</f>
        <v>1.67741935483871</v>
      </c>
      <c r="BE417" s="51" t="n">
        <f aca="false">IF(AND(OR(CC417="L1",CC417="L23",CC417="LIFT"),BA417&gt;0),SUMIFS($BA$7:$BA$1843,$CC$7:$CC$1843,CC417,$BD$7:$BD$1843,"&gt;"&amp;BD417)+SUMIFS($BA$7:$BA$1843,$CC$7:$CC$1843,CC417,$BD$7:$BD$1843,BD417,$BT$7:$BT$1843,"&lt;="&amp;BT417),"")</f>
        <v>8107.32463369963</v>
      </c>
      <c r="BF417" s="58" t="n">
        <f aca="false">IF(BE417="",0,MAX(0,MIN(1,(IF(CC417="L1",Parameter!$H$5,IF(CC417="L23",Parameter!$H$6+Parameter!$H$7,Parameter!$H$5+Parameter!$H$6+Parameter!$H$7))-(BE417-BA417))/BA417)))</f>
        <v>1</v>
      </c>
      <c r="BG417" s="48" t="str">
        <f aca="false">IF(AI417&lt;=0,"",IF(CC417="Aussen","Aussenlager",IF(CC417="-","Nicht im Lift",IF(AN417&gt;=1,"Lift",IF(AN417&lt;=0,"Aussenlager","teilweise")))))</f>
        <v>Lift</v>
      </c>
      <c r="BH417" s="48" t="str">
        <f aca="false">IF(AR417&lt;=0,"",IF(CC417="Aussen","Aussenlager",IF(CC417="-","Nicht im Lift",IF(AW417&gt;=1,"Lift",IF(AW417&lt;=0,"Aussenlager","teilweise")))))</f>
        <v>Lift</v>
      </c>
      <c r="BI417" s="48" t="str">
        <f aca="false">IF(BA417&lt;=0,"",IF(CC417="Aussen","Aussenlager",IF(CC417="-","Nicht im Lift",IF(BF417&gt;=1,"Lift",IF(BF417&lt;=0,"Aussenlager","teilweise")))))</f>
        <v>Lift</v>
      </c>
      <c r="BJ417" s="48" t="str">
        <f aca="false">IF(A417="","",IF(BS417=1,"Neu; ","")&amp;IF(AND(BS417=0,BN417&lt;0),"negativer Bestand (Export "&amp;BN417&amp;"); ","")&amp;IF(J417&lt;=0,"Kein Verbrauch; ","")&amp;IF(CL417&gt;0,"Lift "&amp;W417&amp;" lt. Liftbericht (Fach "&amp;X417&amp;" Stk); ",IF(BX417=1,"Gebinde geschätzt ("&amp;T417&amp;"); ",IF(BW417=1,"Lose – Tablare geschätzt; ","")))&amp;IF(H417&gt;AT417,"Überbestand "&amp;ROUND(H417-AT417,0)&amp;" Stk / CHF "&amp;ROUND((H417-AT417)*G417,0)&amp;"; ","")&amp;IF(AND(CE417=1,CF417&lt;CG417),"MAX &lt; MB+LG; ","")&amp;IF(AND(CK417&gt;0,CJ417*10&gt;CK417),"zu hoch für Tablar; ","")&amp;IF(AND(BS417=0,OR(CE417=1,AA417&lt;&gt;"",U417&lt;&gt;"",V417&lt;&gt;"",AB417&lt;&gt;"")),"manuell übersteuert; ","")&amp;IF(AND(BW417=0,R417=0),"Gebinde unbekannt / Stellmass fehlt; ","")&amp;IF(AND(BW417=0,N(V417)&lt;=0,N(Q417)&lt;=0),"Menge pro Gebinde fehlt (Ist = 1 Gebinde); ","")&amp;BR417)</f>
        <v/>
      </c>
      <c r="BK417" s="48"/>
      <c r="BL417" s="48"/>
      <c r="BM417" s="55"/>
      <c r="BN417" s="50" t="n">
        <v>6</v>
      </c>
      <c r="BO417" s="50" t="n">
        <v>7</v>
      </c>
      <c r="BP417" s="49" t="n">
        <v>95.2299999999999</v>
      </c>
      <c r="BQ417" s="50" t="n">
        <v>20</v>
      </c>
      <c r="BR417" s="48"/>
      <c r="BS417" s="53" t="n">
        <v>0</v>
      </c>
      <c r="BT417" s="53" t="n">
        <v>417</v>
      </c>
      <c r="BU417" s="48" t="str">
        <f aca="false">IF(U417&lt;&gt;"",UPPER(TRIM(U417)),IF(BX417=1,UPPER(VLOOKUP(T417,Parameter!$I$27:$K$29,2,0)),IF(P417="","LOSE",P417)))</f>
        <v>S51</v>
      </c>
      <c r="BV417" s="50" t="n">
        <f aca="false">IF(BU417="LOSE",1,IF(N(V417)&gt;0,V417,IF(BX417=1,MAX(1,N(VLOOKUP(T417,Parameter!$I$27:$K$29,3,0)),H417,N(N417)),IF(N(Q417)&gt;0,Q417,MAX(1,H417)))))</f>
        <v>15</v>
      </c>
      <c r="BW417" s="53" t="n">
        <f aca="false">IF(BU417="LOSE",1,0)</f>
        <v>0</v>
      </c>
      <c r="BX417" s="53" t="n">
        <f aca="false">IF(AND(U417="",OR(P417="",P417="LOSE"),T417&lt;&gt;"",N(S417)&lt;=0,ISNUMBER(MATCH(T417,Parameter!$I$27:$I$29,0))),1,0)</f>
        <v>0</v>
      </c>
      <c r="BY417" s="53" t="n">
        <f aca="false">IF(CL417&gt;0,INDEX(Parameter!$H$5:$H$7,W417)/INDEX(Parameter!$E$5:$E$7,W417),IF(AND(BW417=0,N(IFERROR(VLOOKUP(BU417,'Gebinde-Kategorie'!$A$5:$N$45,14,0),0))&gt;0),VLOOKUP(BU417,'Gebinde-Kategorie'!$A$5:$N$45,14,0)*10+Parameter!$M$23,Parameter!$M$24))</f>
        <v>155</v>
      </c>
      <c r="BZ417" s="48" t="str">
        <f aca="false">IF(AND(Parameter!$B$19="Ja",E417&lt;&gt;"",ISNUMBER(MATCH(E417,Parameter!$I$35:$I$52,0))),VLOOKUP(E417,Parameter!$I$35:$J$52,2,0),IFERROR(VLOOKUP(D417,Parameter!$A$35:$C$64,2,0),"Nein"))</f>
        <v>2+3</v>
      </c>
      <c r="CA417" s="52" t="n">
        <f aca="false">IF(BW417=0,0,IF(N(S417)&gt;0,S417,IFERROR(VLOOKUP(D417,Parameter!$A$35:$C$64,3,0)+0,0)))</f>
        <v>0</v>
      </c>
      <c r="CB417" s="48" t="n">
        <f aca="false">IF(AA417&lt;&gt;"",AA417,Z417)</f>
        <v>3</v>
      </c>
      <c r="CC417" s="48" t="str">
        <f aca="false">IF(OR(CB417=1,CB417=2,CB417=3),IF(Parameter!$E$27="Ja","LIFT",IF(CB417=1,"L1","L23")),IF(CB417="Aussen","Aussen","-"))</f>
        <v>LIFT</v>
      </c>
      <c r="CD417" s="59" t="n">
        <f aca="false">IF(N(AB417)&gt;0,AB417,0)</f>
        <v>0</v>
      </c>
      <c r="CE417" s="53" t="n">
        <f aca="false">IF(ISNUMBER(AE417),1,0)</f>
        <v>0</v>
      </c>
      <c r="CF417" s="50" t="n">
        <f aca="false">N(AE417)</f>
        <v>0</v>
      </c>
      <c r="CG417" s="50" t="n">
        <f aca="false">N(M417)+N(N417)</f>
        <v>21</v>
      </c>
      <c r="CH417" s="50" t="n">
        <f aca="false">ROUNDUP(H417/BV417,0)</f>
        <v>1</v>
      </c>
      <c r="CI417" s="50" t="n">
        <f aca="false">ROUNDUP(CF417/BV417,0)</f>
        <v>0</v>
      </c>
      <c r="CJ417" s="53" t="n">
        <f aca="false">IF(BW417=1,0,IFERROR(VLOOKUP(BU417,'Gebinde-Kategorie'!$A$5:$N$45,5,0)+0,0))</f>
        <v>11</v>
      </c>
      <c r="CK417" s="53" t="n">
        <f aca="false">IFERROR(IF(OR(CB417=1,CB417=2,CB417=3),N(INDEX(Parameter!$I$5:$I$7,CB417)),0),0)</f>
        <v>0</v>
      </c>
      <c r="CL417" s="52" t="n">
        <f aca="false">IF(AND(Parameter!$B$21="Ja",ISNUMBER(W417),N(X417)&gt;0),IFERROR(N(INDEX(Parameter!$L$5:$L$7,W417))*INDEX(Parameter!$E$5:$E$7,W417)*X417/SUMIFS($X$7:$X$1843,$W$7:$W$1843,W417),0),0)</f>
        <v>0</v>
      </c>
    </row>
    <row r="418" customFormat="false" ht="15" hidden="false" customHeight="false" outlineLevel="0" collapsed="false">
      <c r="A418" s="48" t="s">
        <v>970</v>
      </c>
      <c r="B418" s="48" t="s">
        <v>552</v>
      </c>
      <c r="C418" s="48" t="s">
        <v>168</v>
      </c>
      <c r="D418" s="48" t="s">
        <v>188</v>
      </c>
      <c r="E418" s="48"/>
      <c r="F418" s="48" t="s">
        <v>222</v>
      </c>
      <c r="G418" s="49" t="n">
        <v>47.27</v>
      </c>
      <c r="H418" s="50" t="n">
        <f aca="false">MAX(0,IF(AND(Parameter!$B$21="Ja",ISNUMBER(Y418)),Y418,IF(Parameter!$B$20="Jahresanfang 2025 + Export",BO418+BN418,BN418)))</f>
        <v>4</v>
      </c>
      <c r="I418" s="50" t="n">
        <f aca="false">H418*G418</f>
        <v>189.08</v>
      </c>
      <c r="J418" s="50" t="n">
        <f aca="false">BQ418*Parameter!$B$18</f>
        <v>0</v>
      </c>
      <c r="K418" s="51" t="n">
        <v>3</v>
      </c>
      <c r="L418" s="52" t="n">
        <v>0</v>
      </c>
      <c r="M418" s="50" t="n">
        <v>0</v>
      </c>
      <c r="N418" s="50" t="n">
        <v>1</v>
      </c>
      <c r="O418" s="53" t="n">
        <v>28</v>
      </c>
      <c r="P418" s="48" t="s">
        <v>172</v>
      </c>
      <c r="Q418" s="50"/>
      <c r="R418" s="53" t="n">
        <f aca="false">IF(BW418=1,0,IFERROR(VLOOKUP(BU418,'Gebinde-Kategorie'!$A$5:$N$45,13,0)+0,0))</f>
        <v>26</v>
      </c>
      <c r="S418" s="54"/>
      <c r="T418" s="55" t="s">
        <v>279</v>
      </c>
      <c r="U418" s="55"/>
      <c r="V418" s="55"/>
      <c r="W418" s="48"/>
      <c r="X418" s="50"/>
      <c r="Y418" s="50"/>
      <c r="Z418" s="48" t="n">
        <f aca="false">IF(A418="","",IF(AND(Parameter!$B$21="Ja",ISNUMBER(W418)),W418,IF(BZ418="2+3",IF(ISNUMBER(SEARCH("grosser Artikel",BR418)),2,IFERROR(VLOOKUP(BU418,Parameter!$F$35:$G$64,2,0),2)),IF(OR(BZ418="Nein",BZ418=""),"-",BZ418))))</f>
        <v>3</v>
      </c>
      <c r="AA418" s="55"/>
      <c r="AB418" s="56"/>
      <c r="AC418" s="50" t="n">
        <f aca="false">AT418</f>
        <v>20</v>
      </c>
      <c r="AD418" s="50" t="n">
        <f aca="false">MAX(AT418,H418)</f>
        <v>20</v>
      </c>
      <c r="AE418" s="57"/>
      <c r="AF418" s="50" t="n">
        <f aca="false">IF(LEFT(Cockpit!$C$5,1)="A",H418,IF(CE418=1,CF418,IF(LEFT(Cockpit!$C$5,1)="B",AK418,MAX(AK418,H418))))</f>
        <v>4</v>
      </c>
      <c r="AG418" s="50" t="n">
        <f aca="false">IF(BW418=1,0,ROUNDUP(AF418/BV418,0))</f>
        <v>1</v>
      </c>
      <c r="AH418" s="52" t="n">
        <f aca="false">IF(CL418&gt;0,CL418*MAX(1,AF418/X418),IF(BW418=1,IF(AF418&lt;=0,0,CA418*MAX(1,IF(H418&gt;0,AF418/H418,1))),IF(R418&gt;0,AG418/R418,0))/MAX(0.1,N(Parameter!$M$21)))</f>
        <v>0.0384615384615385</v>
      </c>
      <c r="AI418" s="50" t="n">
        <f aca="false">AH418*BY418</f>
        <v>5.96153846153846</v>
      </c>
      <c r="AJ418" s="50" t="n">
        <f aca="false">AF418*G418</f>
        <v>189.08</v>
      </c>
      <c r="AK418" s="50" t="n">
        <f aca="false">ROUNDUP(MAX(J418/IF(CD418&gt;0,CD418,MAX(0.1,N(Cockpit!$C$6))),CG418)/BV418,0)*BV418</f>
        <v>20</v>
      </c>
      <c r="AL418" s="51" t="n">
        <f aca="false">IF(AI418&gt;0,J418/AI418,-1)</f>
        <v>0</v>
      </c>
      <c r="AM418" s="51" t="n">
        <f aca="false">IF(AND(OR(CC418="L1",CC418="L23",CC418="LIFT"),AI418&gt;0),SUMIFS($AI$7:$AI$1843,$CC$7:$CC$1843,CC418,$AL$7:$AL$1843,"&gt;"&amp;AL418)+SUMIFS($AI$7:$AI$1843,$CC$7:$CC$1843,CC418,$AL$7:$AL$1843,AL418,$BT$7:$BT$1843,"&lt;="&amp;BT418),"")</f>
        <v>28107.5775490987</v>
      </c>
      <c r="AN418" s="58" t="n">
        <f aca="false">IF(AM418="",0,MAX(0,MIN(1,(IF(CC418="L1",Parameter!$H$5,IF(CC418="L23",Parameter!$H$6+Parameter!$H$7,Parameter!$H$5+Parameter!$H$6+Parameter!$H$7))-(AM418-AI418))/AI418)))</f>
        <v>1</v>
      </c>
      <c r="AO418" s="50" t="n">
        <f aca="false">IF(LEFT(Cockpit!$I$5,1)="A",H418,IF(CE418=1,CF418,IF(LEFT(Cockpit!$I$5,1)="B",AT418,MAX(AT418,H418))))</f>
        <v>20</v>
      </c>
      <c r="AP418" s="50" t="n">
        <f aca="false">IF(BW418=1,0,ROUNDUP(AO418/BV418,0))</f>
        <v>1</v>
      </c>
      <c r="AQ418" s="52" t="n">
        <f aca="false">IF(CL418&gt;0,CL418*MAX(1,AO418/X418),IF(BW418=1,IF(AO418&lt;=0,0,CA418*MAX(1,IF(H418&gt;0,AO418/H418,1))),IF(R418&gt;0,AP418/R418,0))/MAX(0.1,N(Parameter!$M$21)))</f>
        <v>0.0384615384615385</v>
      </c>
      <c r="AR418" s="50" t="n">
        <f aca="false">AQ418*BY418</f>
        <v>5.96153846153846</v>
      </c>
      <c r="AS418" s="50" t="n">
        <f aca="false">AO418*G418</f>
        <v>945.4</v>
      </c>
      <c r="AT418" s="50" t="n">
        <f aca="false">ROUNDUP(MAX(J418/IF(CD418&gt;0,CD418,MAX(0.1,N(Cockpit!$I$6))),CG418)/BV418,0)*BV418</f>
        <v>20</v>
      </c>
      <c r="AU418" s="51" t="n">
        <f aca="false">IF(AR418&gt;0,J418/AR418,-1)</f>
        <v>0</v>
      </c>
      <c r="AV418" s="51" t="n">
        <f aca="false">IF(AND(OR(CC418="L1",CC418="L23",CC418="LIFT"),AR418&gt;0),SUMIFS($AR$7:$AR$1843,$CC$7:$CC$1843,CC418,$AU$7:$AU$1843,"&gt;"&amp;AU418)+SUMIFS($AR$7:$AR$1843,$CC$7:$CC$1843,CC418,$AU$7:$AU$1843,AU418,$BT$7:$BT$1843,"&lt;="&amp;BT418),"")</f>
        <v>39420.4830663687</v>
      </c>
      <c r="AW418" s="58" t="n">
        <f aca="false">IF(AV418="",0,MAX(0,MIN(1,(IF(CC418="L1",Parameter!$H$5,IF(CC418="L23",Parameter!$H$6+Parameter!$H$7,Parameter!$H$5+Parameter!$H$6+Parameter!$H$7))-(AV418-AR418))/AR418)))</f>
        <v>0</v>
      </c>
      <c r="AX418" s="50" t="n">
        <f aca="false">IF(LEFT(Cockpit!$O$5,1)="A",H418,IF(CE418=1,CF418,IF(LEFT(Cockpit!$O$5,1)="B",BC418,MAX(BC418,H418))))</f>
        <v>20</v>
      </c>
      <c r="AY418" s="50" t="n">
        <f aca="false">IF(BW418=1,0,ROUNDUP(AX418/BV418,0))</f>
        <v>1</v>
      </c>
      <c r="AZ418" s="52" t="n">
        <f aca="false">IF(CL418&gt;0,CL418*MAX(1,AX418/X418),IF(BW418=1,IF(AX418&lt;=0,0,CA418*MAX(1,IF(H418&gt;0,AX418/H418,1))),IF(R418&gt;0,AY418/R418,0))/MAX(0.1,N(Parameter!$M$21)))</f>
        <v>0.0384615384615385</v>
      </c>
      <c r="BA418" s="50" t="n">
        <f aca="false">AZ418*BY418</f>
        <v>5.96153846153846</v>
      </c>
      <c r="BB418" s="50" t="n">
        <f aca="false">AX418*G418</f>
        <v>945.4</v>
      </c>
      <c r="BC418" s="50" t="n">
        <f aca="false">ROUNDUP(MAX(J418/IF(CD418&gt;0,CD418,MAX(0.1,N(Cockpit!$O$6))),CG418)/BV418,0)*BV418</f>
        <v>20</v>
      </c>
      <c r="BD418" s="51" t="n">
        <f aca="false">IF(BA418&gt;0,J418/BA418,-1)</f>
        <v>0</v>
      </c>
      <c r="BE418" s="51" t="n">
        <f aca="false">IF(AND(OR(CC418="L1",CC418="L23",CC418="LIFT"),BA418&gt;0),SUMIFS($BA$7:$BA$1843,$CC$7:$CC$1843,CC418,$BD$7:$BD$1843,"&gt;"&amp;BD418)+SUMIFS($BA$7:$BA$1843,$CC$7:$CC$1843,CC418,$BD$7:$BD$1843,BD418,$BT$7:$BT$1843,"&lt;="&amp;BT418),"")</f>
        <v>36095.4951082345</v>
      </c>
      <c r="BF418" s="58" t="n">
        <f aca="false">IF(BE418="",0,MAX(0,MIN(1,(IF(CC418="L1",Parameter!$H$5,IF(CC418="L23",Parameter!$H$6+Parameter!$H$7,Parameter!$H$5+Parameter!$H$6+Parameter!$H$7))-(BE418-BA418))/BA418)))</f>
        <v>0</v>
      </c>
      <c r="BG418" s="48" t="str">
        <f aca="false">IF(AI418&lt;=0,"",IF(CC418="Aussen","Aussenlager",IF(CC418="-","Nicht im Lift",IF(AN418&gt;=1,"Lift",IF(AN418&lt;=0,"Aussenlager","teilweise")))))</f>
        <v>Lift</v>
      </c>
      <c r="BH418" s="48" t="str">
        <f aca="false">IF(AR418&lt;=0,"",IF(CC418="Aussen","Aussenlager",IF(CC418="-","Nicht im Lift",IF(AW418&gt;=1,"Lift",IF(AW418&lt;=0,"Aussenlager","teilweise")))))</f>
        <v>Aussenlager</v>
      </c>
      <c r="BI418" s="48" t="str">
        <f aca="false">IF(BA418&lt;=0,"",IF(CC418="Aussen","Aussenlager",IF(CC418="-","Nicht im Lift",IF(BF418&gt;=1,"Lift",IF(BF418&lt;=0,"Aussenlager","teilweise")))))</f>
        <v>Aussenlager</v>
      </c>
      <c r="BJ418" s="48" t="str">
        <f aca="false">IF(A418="","",IF(BS418=1,"Neu; ","")&amp;IF(AND(BS418=0,BN418&lt;0),"negativer Bestand (Export "&amp;BN418&amp;"); ","")&amp;IF(J418&lt;=0,"Kein Verbrauch; ","")&amp;IF(CL418&gt;0,"Lift "&amp;W418&amp;" lt. Liftbericht (Fach "&amp;X418&amp;" Stk); ",IF(BX418=1,"Gebinde geschätzt ("&amp;T418&amp;"); ",IF(BW418=1,"Lose – Tablare geschätzt; ","")))&amp;IF(H418&gt;AT418,"Überbestand "&amp;ROUND(H418-AT418,0)&amp;" Stk / CHF "&amp;ROUND((H418-AT418)*G418,0)&amp;"; ","")&amp;IF(AND(CE418=1,CF418&lt;CG418),"MAX &lt; MB+LG; ","")&amp;IF(AND(CK418&gt;0,CJ418*10&gt;CK418),"zu hoch für Tablar; ","")&amp;IF(AND(BS418=0,OR(CE418=1,AA418&lt;&gt;"",U418&lt;&gt;"",V418&lt;&gt;"",AB418&lt;&gt;"")),"manuell übersteuert; ","")&amp;IF(AND(BW418=0,R418=0),"Gebinde unbekannt / Stellmass fehlt; ","")&amp;IF(AND(BW418=0,N(V418)&lt;=0,N(Q418)&lt;=0),"Menge pro Gebinde fehlt (Ist = 1 Gebinde); ","")&amp;BR418)</f>
        <v>Kein Verbrauch; Gebinde geschätzt (Klein); Menge pro Gebinde fehlt (Ist = 1 Gebinde); </v>
      </c>
      <c r="BK418" s="48"/>
      <c r="BL418" s="48"/>
      <c r="BM418" s="55"/>
      <c r="BN418" s="50" t="n">
        <v>2</v>
      </c>
      <c r="BO418" s="50" t="n">
        <v>2</v>
      </c>
      <c r="BP418" s="49" t="n">
        <v>94.54</v>
      </c>
      <c r="BQ418" s="50" t="n">
        <v>0</v>
      </c>
      <c r="BR418" s="48"/>
      <c r="BS418" s="53" t="n">
        <v>0</v>
      </c>
      <c r="BT418" s="53" t="n">
        <v>418</v>
      </c>
      <c r="BU418" s="48" t="str">
        <f aca="false">IF(U418&lt;&gt;"",UPPER(TRIM(U418)),IF(BX418=1,UPPER(VLOOKUP(T418,Parameter!$I$27:$K$29,2,0)),IF(P418="","LOSE",P418)))</f>
        <v>S51</v>
      </c>
      <c r="BV418" s="50" t="n">
        <f aca="false">IF(BU418="LOSE",1,IF(N(V418)&gt;0,V418,IF(BX418=1,MAX(1,N(VLOOKUP(T418,Parameter!$I$27:$K$29,3,0)),H418,N(N418)),IF(N(Q418)&gt;0,Q418,MAX(1,H418)))))</f>
        <v>20</v>
      </c>
      <c r="BW418" s="53" t="n">
        <f aca="false">IF(BU418="LOSE",1,0)</f>
        <v>0</v>
      </c>
      <c r="BX418" s="53" t="n">
        <f aca="false">IF(AND(U418="",OR(P418="",P418="LOSE"),T418&lt;&gt;"",N(S418)&lt;=0,ISNUMBER(MATCH(T418,Parameter!$I$27:$I$29,0))),1,0)</f>
        <v>1</v>
      </c>
      <c r="BY418" s="53" t="n">
        <f aca="false">IF(CL418&gt;0,INDEX(Parameter!$H$5:$H$7,W418)/INDEX(Parameter!$E$5:$E$7,W418),IF(AND(BW418=0,N(IFERROR(VLOOKUP(BU418,'Gebinde-Kategorie'!$A$5:$N$45,14,0),0))&gt;0),VLOOKUP(BU418,'Gebinde-Kategorie'!$A$5:$N$45,14,0)*10+Parameter!$M$23,Parameter!$M$24))</f>
        <v>155</v>
      </c>
      <c r="BZ418" s="48" t="str">
        <f aca="false">IF(AND(Parameter!$B$19="Ja",E418&lt;&gt;"",ISNUMBER(MATCH(E418,Parameter!$I$35:$I$52,0))),VLOOKUP(E418,Parameter!$I$35:$J$52,2,0),IFERROR(VLOOKUP(D418,Parameter!$A$35:$C$64,2,0),"Nein"))</f>
        <v>2+3</v>
      </c>
      <c r="CA418" s="52" t="n">
        <f aca="false">IF(BW418=0,0,IF(N(S418)&gt;0,S418,IFERROR(VLOOKUP(D418,Parameter!$A$35:$C$64,3,0)+0,0)))</f>
        <v>0</v>
      </c>
      <c r="CB418" s="48" t="n">
        <f aca="false">IF(AA418&lt;&gt;"",AA418,Z418)</f>
        <v>3</v>
      </c>
      <c r="CC418" s="48" t="str">
        <f aca="false">IF(OR(CB418=1,CB418=2,CB418=3),IF(Parameter!$E$27="Ja","LIFT",IF(CB418=1,"L1","L23")),IF(CB418="Aussen","Aussen","-"))</f>
        <v>LIFT</v>
      </c>
      <c r="CD418" s="59" t="n">
        <f aca="false">IF(N(AB418)&gt;0,AB418,0)</f>
        <v>0</v>
      </c>
      <c r="CE418" s="53" t="n">
        <f aca="false">IF(ISNUMBER(AE418),1,0)</f>
        <v>0</v>
      </c>
      <c r="CF418" s="50" t="n">
        <f aca="false">N(AE418)</f>
        <v>0</v>
      </c>
      <c r="CG418" s="50" t="n">
        <f aca="false">N(M418)+N(N418)</f>
        <v>1</v>
      </c>
      <c r="CH418" s="50" t="n">
        <f aca="false">ROUNDUP(H418/BV418,0)</f>
        <v>1</v>
      </c>
      <c r="CI418" s="50" t="n">
        <f aca="false">ROUNDUP(CF418/BV418,0)</f>
        <v>0</v>
      </c>
      <c r="CJ418" s="53" t="n">
        <f aca="false">IF(BW418=1,0,IFERROR(VLOOKUP(BU418,'Gebinde-Kategorie'!$A$5:$N$45,5,0)+0,0))</f>
        <v>11</v>
      </c>
      <c r="CK418" s="53" t="n">
        <f aca="false">IFERROR(IF(OR(CB418=1,CB418=2,CB418=3),N(INDEX(Parameter!$I$5:$I$7,CB418)),0),0)</f>
        <v>0</v>
      </c>
      <c r="CL418" s="52" t="n">
        <f aca="false">IF(AND(Parameter!$B$21="Ja",ISNUMBER(W418),N(X418)&gt;0),IFERROR(N(INDEX(Parameter!$L$5:$L$7,W418))*INDEX(Parameter!$E$5:$E$7,W418)*X418/SUMIFS($X$7:$X$1843,$W$7:$W$1843,W418),0),0)</f>
        <v>0</v>
      </c>
    </row>
    <row r="419" customFormat="false" ht="15" hidden="false" customHeight="false" outlineLevel="0" collapsed="false">
      <c r="A419" s="48" t="s">
        <v>971</v>
      </c>
      <c r="B419" s="48" t="s">
        <v>472</v>
      </c>
      <c r="C419" s="48" t="s">
        <v>168</v>
      </c>
      <c r="D419" s="48" t="s">
        <v>177</v>
      </c>
      <c r="E419" s="48"/>
      <c r="F419" s="48" t="s">
        <v>222</v>
      </c>
      <c r="G419" s="49" t="n">
        <v>0.45</v>
      </c>
      <c r="H419" s="50" t="n">
        <f aca="false">MAX(0,IF(AND(Parameter!$B$21="Ja",ISNUMBER(Y419)),Y419,IF(Parameter!$B$20="Jahresanfang 2025 + Export",BO419+BN419,BN419)))</f>
        <v>210</v>
      </c>
      <c r="I419" s="50" t="n">
        <f aca="false">H419*G419</f>
        <v>94.5</v>
      </c>
      <c r="J419" s="50" t="n">
        <f aca="false">BQ419*Parameter!$B$18</f>
        <v>20</v>
      </c>
      <c r="K419" s="51" t="n">
        <v>0</v>
      </c>
      <c r="L419" s="52" t="n">
        <v>0</v>
      </c>
      <c r="M419" s="50" t="n">
        <v>1</v>
      </c>
      <c r="N419" s="50" t="n">
        <v>20</v>
      </c>
      <c r="O419" s="53" t="n">
        <v>31</v>
      </c>
      <c r="P419" s="48" t="s">
        <v>172</v>
      </c>
      <c r="Q419" s="50"/>
      <c r="R419" s="53" t="n">
        <f aca="false">IF(BW419=1,0,IFERROR(VLOOKUP(BU419,'Gebinde-Kategorie'!$A$5:$N$45,13,0)+0,0))</f>
        <v>26</v>
      </c>
      <c r="S419" s="54"/>
      <c r="T419" s="55" t="s">
        <v>279</v>
      </c>
      <c r="U419" s="55"/>
      <c r="V419" s="55"/>
      <c r="W419" s="48"/>
      <c r="X419" s="50"/>
      <c r="Y419" s="50"/>
      <c r="Z419" s="48" t="n">
        <f aca="false">IF(A419="","",IF(AND(Parameter!$B$21="Ja",ISNUMBER(W419)),W419,IF(BZ419="2+3",IF(ISNUMBER(SEARCH("grosser Artikel",BR419)),2,IFERROR(VLOOKUP(BU419,Parameter!$F$35:$G$64,2,0),2)),IF(OR(BZ419="Nein",BZ419=""),"-",BZ419))))</f>
        <v>3</v>
      </c>
      <c r="AA419" s="55"/>
      <c r="AB419" s="56"/>
      <c r="AC419" s="50" t="n">
        <f aca="false">AT419</f>
        <v>210</v>
      </c>
      <c r="AD419" s="50" t="n">
        <f aca="false">MAX(AT419,H419)</f>
        <v>210</v>
      </c>
      <c r="AE419" s="57"/>
      <c r="AF419" s="50" t="n">
        <f aca="false">IF(LEFT(Cockpit!$C$5,1)="A",H419,IF(CE419=1,CF419,IF(LEFT(Cockpit!$C$5,1)="B",AK419,MAX(AK419,H419))))</f>
        <v>210</v>
      </c>
      <c r="AG419" s="50" t="n">
        <f aca="false">IF(BW419=1,0,ROUNDUP(AF419/BV419,0))</f>
        <v>1</v>
      </c>
      <c r="AH419" s="52" t="n">
        <f aca="false">IF(CL419&gt;0,CL419*MAX(1,AF419/X419),IF(BW419=1,IF(AF419&lt;=0,0,CA419*MAX(1,IF(H419&gt;0,AF419/H419,1))),IF(R419&gt;0,AG419/R419,0))/MAX(0.1,N(Parameter!$M$21)))</f>
        <v>0.0384615384615385</v>
      </c>
      <c r="AI419" s="50" t="n">
        <f aca="false">AH419*BY419</f>
        <v>5.96153846153846</v>
      </c>
      <c r="AJ419" s="50" t="n">
        <f aca="false">AF419*G419</f>
        <v>94.5</v>
      </c>
      <c r="AK419" s="50" t="n">
        <f aca="false">ROUNDUP(MAX(J419/IF(CD419&gt;0,CD419,MAX(0.1,N(Cockpit!$C$6))),CG419)/BV419,0)*BV419</f>
        <v>210</v>
      </c>
      <c r="AL419" s="51" t="n">
        <f aca="false">IF(AI419&gt;0,J419/AI419,-1)</f>
        <v>3.35483870967742</v>
      </c>
      <c r="AM419" s="51" t="n">
        <f aca="false">IF(AND(OR(CC419="L1",CC419="L23",CC419="LIFT"),AI419&gt;0),SUMIFS($AI$7:$AI$1843,$CC$7:$CC$1843,CC419,$AL$7:$AL$1843,"&gt;"&amp;AL419)+SUMIFS($AI$7:$AI$1843,$CC$7:$CC$1843,CC419,$AL$7:$AL$1843,AL419,$BT$7:$BT$1843,"&lt;="&amp;BT419),"")</f>
        <v>4934.72252747253</v>
      </c>
      <c r="AN419" s="58" t="n">
        <f aca="false">IF(AM419="",0,MAX(0,MIN(1,(IF(CC419="L1",Parameter!$H$5,IF(CC419="L23",Parameter!$H$6+Parameter!$H$7,Parameter!$H$5+Parameter!$H$6+Parameter!$H$7))-(AM419-AI419))/AI419)))</f>
        <v>1</v>
      </c>
      <c r="AO419" s="50" t="n">
        <f aca="false">IF(LEFT(Cockpit!$I$5,1)="A",H419,IF(CE419=1,CF419,IF(LEFT(Cockpit!$I$5,1)="B",AT419,MAX(AT419,H419))))</f>
        <v>210</v>
      </c>
      <c r="AP419" s="50" t="n">
        <f aca="false">IF(BW419=1,0,ROUNDUP(AO419/BV419,0))</f>
        <v>1</v>
      </c>
      <c r="AQ419" s="52" t="n">
        <f aca="false">IF(CL419&gt;0,CL419*MAX(1,AO419/X419),IF(BW419=1,IF(AO419&lt;=0,0,CA419*MAX(1,IF(H419&gt;0,AO419/H419,1))),IF(R419&gt;0,AP419/R419,0))/MAX(0.1,N(Parameter!$M$21)))</f>
        <v>0.0384615384615385</v>
      </c>
      <c r="AR419" s="50" t="n">
        <f aca="false">AQ419*BY419</f>
        <v>5.96153846153846</v>
      </c>
      <c r="AS419" s="50" t="n">
        <f aca="false">AO419*G419</f>
        <v>94.5</v>
      </c>
      <c r="AT419" s="50" t="n">
        <f aca="false">ROUNDUP(MAX(J419/IF(CD419&gt;0,CD419,MAX(0.1,N(Cockpit!$I$6))),CG419)/BV419,0)*BV419</f>
        <v>210</v>
      </c>
      <c r="AU419" s="51" t="n">
        <f aca="false">IF(AR419&gt;0,J419/AR419,-1)</f>
        <v>3.35483870967742</v>
      </c>
      <c r="AV419" s="51" t="n">
        <f aca="false">IF(AND(OR(CC419="L1",CC419="L23",CC419="LIFT"),AR419&gt;0),SUMIFS($AR$7:$AR$1843,$CC$7:$CC$1843,CC419,$AU$7:$AU$1843,"&gt;"&amp;AU419)+SUMIFS($AR$7:$AR$1843,$CC$7:$CC$1843,CC419,$AU$7:$AU$1843,AU419,$BT$7:$BT$1843,"&lt;="&amp;BT419),"")</f>
        <v>6033.50137362637</v>
      </c>
      <c r="AW419" s="58" t="n">
        <f aca="false">IF(AV419="",0,MAX(0,MIN(1,(IF(CC419="L1",Parameter!$H$5,IF(CC419="L23",Parameter!$H$6+Parameter!$H$7,Parameter!$H$5+Parameter!$H$6+Parameter!$H$7))-(AV419-AR419))/AR419)))</f>
        <v>1</v>
      </c>
      <c r="AX419" s="50" t="n">
        <f aca="false">IF(LEFT(Cockpit!$O$5,1)="A",H419,IF(CE419=1,CF419,IF(LEFT(Cockpit!$O$5,1)="B",BC419,MAX(BC419,H419))))</f>
        <v>210</v>
      </c>
      <c r="AY419" s="50" t="n">
        <f aca="false">IF(BW419=1,0,ROUNDUP(AX419/BV419,0))</f>
        <v>1</v>
      </c>
      <c r="AZ419" s="52" t="n">
        <f aca="false">IF(CL419&gt;0,CL419*MAX(1,AX419/X419),IF(BW419=1,IF(AX419&lt;=0,0,CA419*MAX(1,IF(H419&gt;0,AX419/H419,1))),IF(R419&gt;0,AY419/R419,0))/MAX(0.1,N(Parameter!$M$21)))</f>
        <v>0.0384615384615385</v>
      </c>
      <c r="BA419" s="50" t="n">
        <f aca="false">AZ419*BY419</f>
        <v>5.96153846153846</v>
      </c>
      <c r="BB419" s="50" t="n">
        <f aca="false">AX419*G419</f>
        <v>94.5</v>
      </c>
      <c r="BC419" s="50" t="n">
        <f aca="false">ROUNDUP(MAX(J419/IF(CD419&gt;0,CD419,MAX(0.1,N(Cockpit!$O$6))),CG419)/BV419,0)*BV419</f>
        <v>210</v>
      </c>
      <c r="BD419" s="51" t="n">
        <f aca="false">IF(BA419&gt;0,J419/BA419,-1)</f>
        <v>3.35483870967742</v>
      </c>
      <c r="BE419" s="51" t="n">
        <f aca="false">IF(AND(OR(CC419="L1",CC419="L23",CC419="LIFT"),BA419&gt;0),SUMIFS($BA$7:$BA$1843,$CC$7:$CC$1843,CC419,$BD$7:$BD$1843,"&gt;"&amp;BD419)+SUMIFS($BA$7:$BA$1843,$CC$7:$CC$1843,CC419,$BD$7:$BD$1843,BD419,$BT$7:$BT$1843,"&lt;="&amp;BT419),"")</f>
        <v>6021.33791208791</v>
      </c>
      <c r="BF419" s="58" t="n">
        <f aca="false">IF(BE419="",0,MAX(0,MIN(1,(IF(CC419="L1",Parameter!$H$5,IF(CC419="L23",Parameter!$H$6+Parameter!$H$7,Parameter!$H$5+Parameter!$H$6+Parameter!$H$7))-(BE419-BA419))/BA419)))</f>
        <v>1</v>
      </c>
      <c r="BG419" s="48" t="str">
        <f aca="false">IF(AI419&lt;=0,"",IF(CC419="Aussen","Aussenlager",IF(CC419="-","Nicht im Lift",IF(AN419&gt;=1,"Lift",IF(AN419&lt;=0,"Aussenlager","teilweise")))))</f>
        <v>Lift</v>
      </c>
      <c r="BH419" s="48" t="str">
        <f aca="false">IF(AR419&lt;=0,"",IF(CC419="Aussen","Aussenlager",IF(CC419="-","Nicht im Lift",IF(AW419&gt;=1,"Lift",IF(AW419&lt;=0,"Aussenlager","teilweise")))))</f>
        <v>Lift</v>
      </c>
      <c r="BI419" s="48" t="str">
        <f aca="false">IF(BA419&lt;=0,"",IF(CC419="Aussen","Aussenlager",IF(CC419="-","Nicht im Lift",IF(BF419&gt;=1,"Lift",IF(BF419&lt;=0,"Aussenlager","teilweise")))))</f>
        <v>Lift</v>
      </c>
      <c r="BJ419" s="48" t="str">
        <f aca="false">IF(A419="","",IF(BS419=1,"Neu; ","")&amp;IF(AND(BS419=0,BN419&lt;0),"negativer Bestand (Export "&amp;BN419&amp;"); ","")&amp;IF(J419&lt;=0,"Kein Verbrauch; ","")&amp;IF(CL419&gt;0,"Lift "&amp;W419&amp;" lt. Liftbericht (Fach "&amp;X419&amp;" Stk); ",IF(BX419=1,"Gebinde geschätzt ("&amp;T419&amp;"); ",IF(BW419=1,"Lose – Tablare geschätzt; ","")))&amp;IF(H419&gt;AT419,"Überbestand "&amp;ROUND(H419-AT419,0)&amp;" Stk / CHF "&amp;ROUND((H419-AT419)*G419,0)&amp;"; ","")&amp;IF(AND(CE419=1,CF419&lt;CG419),"MAX &lt; MB+LG; ","")&amp;IF(AND(CK419&gt;0,CJ419*10&gt;CK419),"zu hoch für Tablar; ","")&amp;IF(AND(BS419=0,OR(CE419=1,AA419&lt;&gt;"",U419&lt;&gt;"",V419&lt;&gt;"",AB419&lt;&gt;"")),"manuell übersteuert; ","")&amp;IF(AND(BW419=0,R419=0),"Gebinde unbekannt / Stellmass fehlt; ","")&amp;IF(AND(BW419=0,N(V419)&lt;=0,N(Q419)&lt;=0),"Menge pro Gebinde fehlt (Ist = 1 Gebinde); ","")&amp;BR419)</f>
        <v>Gebinde geschätzt (Klein); Menge pro Gebinde fehlt (Ist = 1 Gebinde); </v>
      </c>
      <c r="BK419" s="48"/>
      <c r="BL419" s="48"/>
      <c r="BM419" s="55"/>
      <c r="BN419" s="50" t="n">
        <v>210</v>
      </c>
      <c r="BO419" s="50" t="n">
        <v>0</v>
      </c>
      <c r="BP419" s="49" t="n">
        <v>94.5</v>
      </c>
      <c r="BQ419" s="50" t="n">
        <v>20</v>
      </c>
      <c r="BR419" s="48"/>
      <c r="BS419" s="53" t="n">
        <v>0</v>
      </c>
      <c r="BT419" s="53" t="n">
        <v>419</v>
      </c>
      <c r="BU419" s="48" t="str">
        <f aca="false">IF(U419&lt;&gt;"",UPPER(TRIM(U419)),IF(BX419=1,UPPER(VLOOKUP(T419,Parameter!$I$27:$K$29,2,0)),IF(P419="","LOSE",P419)))</f>
        <v>S51</v>
      </c>
      <c r="BV419" s="50" t="n">
        <f aca="false">IF(BU419="LOSE",1,IF(N(V419)&gt;0,V419,IF(BX419=1,MAX(1,N(VLOOKUP(T419,Parameter!$I$27:$K$29,3,0)),H419,N(N419)),IF(N(Q419)&gt;0,Q419,MAX(1,H419)))))</f>
        <v>210</v>
      </c>
      <c r="BW419" s="53" t="n">
        <f aca="false">IF(BU419="LOSE",1,0)</f>
        <v>0</v>
      </c>
      <c r="BX419" s="53" t="n">
        <f aca="false">IF(AND(U419="",OR(P419="",P419="LOSE"),T419&lt;&gt;"",N(S419)&lt;=0,ISNUMBER(MATCH(T419,Parameter!$I$27:$I$29,0))),1,0)</f>
        <v>1</v>
      </c>
      <c r="BY419" s="53" t="n">
        <f aca="false">IF(CL419&gt;0,INDEX(Parameter!$H$5:$H$7,W419)/INDEX(Parameter!$E$5:$E$7,W419),IF(AND(BW419=0,N(IFERROR(VLOOKUP(BU419,'Gebinde-Kategorie'!$A$5:$N$45,14,0),0))&gt;0),VLOOKUP(BU419,'Gebinde-Kategorie'!$A$5:$N$45,14,0)*10+Parameter!$M$23,Parameter!$M$24))</f>
        <v>155</v>
      </c>
      <c r="BZ419" s="48" t="str">
        <f aca="false">IF(AND(Parameter!$B$19="Ja",E419&lt;&gt;"",ISNUMBER(MATCH(E419,Parameter!$I$35:$I$52,0))),VLOOKUP(E419,Parameter!$I$35:$J$52,2,0),IFERROR(VLOOKUP(D419,Parameter!$A$35:$C$64,2,0),"Nein"))</f>
        <v>2+3</v>
      </c>
      <c r="CA419" s="52" t="n">
        <f aca="false">IF(BW419=0,0,IF(N(S419)&gt;0,S419,IFERROR(VLOOKUP(D419,Parameter!$A$35:$C$64,3,0)+0,0)))</f>
        <v>0</v>
      </c>
      <c r="CB419" s="48" t="n">
        <f aca="false">IF(AA419&lt;&gt;"",AA419,Z419)</f>
        <v>3</v>
      </c>
      <c r="CC419" s="48" t="str">
        <f aca="false">IF(OR(CB419=1,CB419=2,CB419=3),IF(Parameter!$E$27="Ja","LIFT",IF(CB419=1,"L1","L23")),IF(CB419="Aussen","Aussen","-"))</f>
        <v>LIFT</v>
      </c>
      <c r="CD419" s="59" t="n">
        <f aca="false">IF(N(AB419)&gt;0,AB419,0)</f>
        <v>0</v>
      </c>
      <c r="CE419" s="53" t="n">
        <f aca="false">IF(ISNUMBER(AE419),1,0)</f>
        <v>0</v>
      </c>
      <c r="CF419" s="50" t="n">
        <f aca="false">N(AE419)</f>
        <v>0</v>
      </c>
      <c r="CG419" s="50" t="n">
        <f aca="false">N(M419)+N(N419)</f>
        <v>21</v>
      </c>
      <c r="CH419" s="50" t="n">
        <f aca="false">ROUNDUP(H419/BV419,0)</f>
        <v>1</v>
      </c>
      <c r="CI419" s="50" t="n">
        <f aca="false">ROUNDUP(CF419/BV419,0)</f>
        <v>0</v>
      </c>
      <c r="CJ419" s="53" t="n">
        <f aca="false">IF(BW419=1,0,IFERROR(VLOOKUP(BU419,'Gebinde-Kategorie'!$A$5:$N$45,5,0)+0,0))</f>
        <v>11</v>
      </c>
      <c r="CK419" s="53" t="n">
        <f aca="false">IFERROR(IF(OR(CB419=1,CB419=2,CB419=3),N(INDEX(Parameter!$I$5:$I$7,CB419)),0),0)</f>
        <v>0</v>
      </c>
      <c r="CL419" s="52" t="n">
        <f aca="false">IF(AND(Parameter!$B$21="Ja",ISNUMBER(W419),N(X419)&gt;0),IFERROR(N(INDEX(Parameter!$L$5:$L$7,W419))*INDEX(Parameter!$E$5:$E$7,W419)*X419/SUMIFS($X$7:$X$1843,$W$7:$W$1843,W419),0),0)</f>
        <v>0</v>
      </c>
    </row>
    <row r="420" customFormat="false" ht="15" hidden="false" customHeight="false" outlineLevel="0" collapsed="false">
      <c r="A420" s="48" t="s">
        <v>972</v>
      </c>
      <c r="B420" s="48" t="s">
        <v>409</v>
      </c>
      <c r="C420" s="48" t="s">
        <v>168</v>
      </c>
      <c r="D420" s="48" t="s">
        <v>188</v>
      </c>
      <c r="E420" s="48"/>
      <c r="F420" s="48" t="s">
        <v>222</v>
      </c>
      <c r="G420" s="49" t="n">
        <v>0.47</v>
      </c>
      <c r="H420" s="50" t="n">
        <f aca="false">MAX(0,IF(AND(Parameter!$B$21="Ja",ISNUMBER(Y420)),Y420,IF(Parameter!$B$20="Jahresanfang 2025 + Export",BO420+BN420,BN420)))</f>
        <v>200</v>
      </c>
      <c r="I420" s="50" t="n">
        <f aca="false">H420*G420</f>
        <v>94</v>
      </c>
      <c r="J420" s="50" t="n">
        <f aca="false">BQ420*Parameter!$B$18</f>
        <v>180</v>
      </c>
      <c r="K420" s="51" t="n">
        <v>10</v>
      </c>
      <c r="L420" s="52" t="n">
        <v>18</v>
      </c>
      <c r="M420" s="50" t="n">
        <v>7</v>
      </c>
      <c r="N420" s="50" t="n">
        <v>200</v>
      </c>
      <c r="O420" s="53" t="n">
        <v>14</v>
      </c>
      <c r="P420" s="48" t="s">
        <v>332</v>
      </c>
      <c r="Q420" s="50" t="n">
        <v>100</v>
      </c>
      <c r="R420" s="53" t="n">
        <f aca="false">IF(BW420=1,0,IFERROR(VLOOKUP(BU420,'Gebinde-Kategorie'!$A$5:$N$45,13,0)+0,0))</f>
        <v>52</v>
      </c>
      <c r="S420" s="54"/>
      <c r="T420" s="55"/>
      <c r="U420" s="55"/>
      <c r="V420" s="55"/>
      <c r="W420" s="48"/>
      <c r="X420" s="50"/>
      <c r="Y420" s="50"/>
      <c r="Z420" s="48" t="n">
        <f aca="false">IF(A420="","",IF(AND(Parameter!$B$21="Ja",ISNUMBER(W420)),W420,IF(BZ420="2+3",IF(ISNUMBER(SEARCH("grosser Artikel",BR420)),2,IFERROR(VLOOKUP(BU420,Parameter!$F$35:$G$64,2,0),2)),IF(OR(BZ420="Nein",BZ420=""),"-",BZ420))))</f>
        <v>3</v>
      </c>
      <c r="AA420" s="55"/>
      <c r="AB420" s="56"/>
      <c r="AC420" s="50" t="n">
        <f aca="false">AT420</f>
        <v>300</v>
      </c>
      <c r="AD420" s="50" t="n">
        <f aca="false">MAX(AT420,H420)</f>
        <v>300</v>
      </c>
      <c r="AE420" s="57"/>
      <c r="AF420" s="50" t="n">
        <f aca="false">IF(LEFT(Cockpit!$C$5,1)="A",H420,IF(CE420=1,CF420,IF(LEFT(Cockpit!$C$5,1)="B",AK420,MAX(AK420,H420))))</f>
        <v>200</v>
      </c>
      <c r="AG420" s="50" t="n">
        <f aca="false">IF(BW420=1,0,ROUNDUP(AF420/BV420,0))</f>
        <v>2</v>
      </c>
      <c r="AH420" s="52" t="n">
        <f aca="false">IF(CL420&gt;0,CL420*MAX(1,AF420/X420),IF(BW420=1,IF(AF420&lt;=0,0,CA420*MAX(1,IF(H420&gt;0,AF420/H420,1))),IF(R420&gt;0,AG420/R420,0))/MAX(0.1,N(Parameter!$M$21)))</f>
        <v>0.0384615384615385</v>
      </c>
      <c r="AI420" s="50" t="n">
        <f aca="false">AH420*BY420</f>
        <v>5.96153846153846</v>
      </c>
      <c r="AJ420" s="50" t="n">
        <f aca="false">AF420*G420</f>
        <v>94</v>
      </c>
      <c r="AK420" s="50" t="n">
        <f aca="false">ROUNDUP(MAX(J420/IF(CD420&gt;0,CD420,MAX(0.1,N(Cockpit!$C$6))),CG420)/BV420,0)*BV420</f>
        <v>300</v>
      </c>
      <c r="AL420" s="51" t="n">
        <f aca="false">IF(AI420&gt;0,J420/AI420,-1)</f>
        <v>30.1935483870968</v>
      </c>
      <c r="AM420" s="51" t="n">
        <f aca="false">IF(AND(OR(CC420="L1",CC420="L23",CC420="LIFT"),AI420&gt;0),SUMIFS($AI$7:$AI$1843,$CC$7:$CC$1843,CC420,$AL$7:$AL$1843,"&gt;"&amp;AL420)+SUMIFS($AI$7:$AI$1843,$CC$7:$CC$1843,CC420,$AL$7:$AL$1843,AL420,$BT$7:$BT$1843,"&lt;="&amp;BT420),"")</f>
        <v>1487.64652014652</v>
      </c>
      <c r="AN420" s="58" t="n">
        <f aca="false">IF(AM420="",0,MAX(0,MIN(1,(IF(CC420="L1",Parameter!$H$5,IF(CC420="L23",Parameter!$H$6+Parameter!$H$7,Parameter!$H$5+Parameter!$H$6+Parameter!$H$7))-(AM420-AI420))/AI420)))</f>
        <v>1</v>
      </c>
      <c r="AO420" s="50" t="n">
        <f aca="false">IF(LEFT(Cockpit!$I$5,1)="A",H420,IF(CE420=1,CF420,IF(LEFT(Cockpit!$I$5,1)="B",AT420,MAX(AT420,H420))))</f>
        <v>300</v>
      </c>
      <c r="AP420" s="50" t="n">
        <f aca="false">IF(BW420=1,0,ROUNDUP(AO420/BV420,0))</f>
        <v>3</v>
      </c>
      <c r="AQ420" s="52" t="n">
        <f aca="false">IF(CL420&gt;0,CL420*MAX(1,AO420/X420),IF(BW420=1,IF(AO420&lt;=0,0,CA420*MAX(1,IF(H420&gt;0,AO420/H420,1))),IF(R420&gt;0,AP420/R420,0))/MAX(0.1,N(Parameter!$M$21)))</f>
        <v>0.0576923076923077</v>
      </c>
      <c r="AR420" s="50" t="n">
        <f aca="false">AQ420*BY420</f>
        <v>8.94230769230769</v>
      </c>
      <c r="AS420" s="50" t="n">
        <f aca="false">AO420*G420</f>
        <v>141</v>
      </c>
      <c r="AT420" s="50" t="n">
        <f aca="false">ROUNDUP(MAX(J420/IF(CD420&gt;0,CD420,MAX(0.1,N(Cockpit!$I$6))),CG420)/BV420,0)*BV420</f>
        <v>300</v>
      </c>
      <c r="AU420" s="51" t="n">
        <f aca="false">IF(AR420&gt;0,J420/AR420,-1)</f>
        <v>20.1290322580645</v>
      </c>
      <c r="AV420" s="51" t="n">
        <f aca="false">IF(AND(OR(CC420="L1",CC420="L23",CC420="LIFT"),AR420&gt;0),SUMIFS($AR$7:$AR$1843,$CC$7:$CC$1843,CC420,$AU$7:$AU$1843,"&gt;"&amp;AU420)+SUMIFS($AR$7:$AR$1843,$CC$7:$CC$1843,CC420,$AU$7:$AU$1843,AU420,$BT$7:$BT$1843,"&lt;="&amp;BT420),"")</f>
        <v>2262.8402014652</v>
      </c>
      <c r="AW420" s="58" t="n">
        <f aca="false">IF(AV420="",0,MAX(0,MIN(1,(IF(CC420="L1",Parameter!$H$5,IF(CC420="L23",Parameter!$H$6+Parameter!$H$7,Parameter!$H$5+Parameter!$H$6+Parameter!$H$7))-(AV420-AR420))/AR420)))</f>
        <v>1</v>
      </c>
      <c r="AX420" s="50" t="n">
        <f aca="false">IF(LEFT(Cockpit!$O$5,1)="A",H420,IF(CE420=1,CF420,IF(LEFT(Cockpit!$O$5,1)="B",BC420,MAX(BC420,H420))))</f>
        <v>300</v>
      </c>
      <c r="AY420" s="50" t="n">
        <f aca="false">IF(BW420=1,0,ROUNDUP(AX420/BV420,0))</f>
        <v>3</v>
      </c>
      <c r="AZ420" s="52" t="n">
        <f aca="false">IF(CL420&gt;0,CL420*MAX(1,AX420/X420),IF(BW420=1,IF(AX420&lt;=0,0,CA420*MAX(1,IF(H420&gt;0,AX420/H420,1))),IF(R420&gt;0,AY420/R420,0))/MAX(0.1,N(Parameter!$M$21)))</f>
        <v>0.0576923076923077</v>
      </c>
      <c r="BA420" s="50" t="n">
        <f aca="false">AZ420*BY420</f>
        <v>8.94230769230769</v>
      </c>
      <c r="BB420" s="50" t="n">
        <f aca="false">AX420*G420</f>
        <v>141</v>
      </c>
      <c r="BC420" s="50" t="n">
        <f aca="false">ROUNDUP(MAX(J420/IF(CD420&gt;0,CD420,MAX(0.1,N(Cockpit!$O$6))),CG420)/BV420,0)*BV420</f>
        <v>300</v>
      </c>
      <c r="BD420" s="51" t="n">
        <f aca="false">IF(BA420&gt;0,J420/BA420,-1)</f>
        <v>20.1290322580645</v>
      </c>
      <c r="BE420" s="51" t="n">
        <f aca="false">IF(AND(OR(CC420="L1",CC420="L23",CC420="LIFT"),BA420&gt;0),SUMIFS($BA$7:$BA$1843,$CC$7:$CC$1843,CC420,$BD$7:$BD$1843,"&gt;"&amp;BD420)+SUMIFS($BA$7:$BA$1843,$CC$7:$CC$1843,CC420,$BD$7:$BD$1843,BD420,$BT$7:$BT$1843,"&lt;="&amp;BT420),"")</f>
        <v>2369.7793040293</v>
      </c>
      <c r="BF420" s="58" t="n">
        <f aca="false">IF(BE420="",0,MAX(0,MIN(1,(IF(CC420="L1",Parameter!$H$5,IF(CC420="L23",Parameter!$H$6+Parameter!$H$7,Parameter!$H$5+Parameter!$H$6+Parameter!$H$7))-(BE420-BA420))/BA420)))</f>
        <v>1</v>
      </c>
      <c r="BG420" s="48" t="str">
        <f aca="false">IF(AI420&lt;=0,"",IF(CC420="Aussen","Aussenlager",IF(CC420="-","Nicht im Lift",IF(AN420&gt;=1,"Lift",IF(AN420&lt;=0,"Aussenlager","teilweise")))))</f>
        <v>Lift</v>
      </c>
      <c r="BH420" s="48" t="str">
        <f aca="false">IF(AR420&lt;=0,"",IF(CC420="Aussen","Aussenlager",IF(CC420="-","Nicht im Lift",IF(AW420&gt;=1,"Lift",IF(AW420&lt;=0,"Aussenlager","teilweise")))))</f>
        <v>Lift</v>
      </c>
      <c r="BI420" s="48" t="str">
        <f aca="false">IF(BA420&lt;=0,"",IF(CC420="Aussen","Aussenlager",IF(CC420="-","Nicht im Lift",IF(BF420&gt;=1,"Lift",IF(BF420&lt;=0,"Aussenlager","teilweise")))))</f>
        <v>Lift</v>
      </c>
      <c r="BJ420" s="48" t="str">
        <f aca="false">IF(A420="","",IF(BS420=1,"Neu; ","")&amp;IF(AND(BS420=0,BN420&lt;0),"negativer Bestand (Export "&amp;BN420&amp;"); ","")&amp;IF(J420&lt;=0,"Kein Verbrauch; ","")&amp;IF(CL420&gt;0,"Lift "&amp;W420&amp;" lt. Liftbericht (Fach "&amp;X420&amp;" Stk); ",IF(BX420=1,"Gebinde geschätzt ("&amp;T420&amp;"); ",IF(BW420=1,"Lose – Tablare geschätzt; ","")))&amp;IF(H420&gt;AT420,"Überbestand "&amp;ROUND(H420-AT420,0)&amp;" Stk / CHF "&amp;ROUND((H420-AT420)*G420,0)&amp;"; ","")&amp;IF(AND(CE420=1,CF420&lt;CG420),"MAX &lt; MB+LG; ","")&amp;IF(AND(CK420&gt;0,CJ420*10&gt;CK420),"zu hoch für Tablar; ","")&amp;IF(AND(BS420=0,OR(CE420=1,AA420&lt;&gt;"",U420&lt;&gt;"",V420&lt;&gt;"",AB420&lt;&gt;"")),"manuell übersteuert; ","")&amp;IF(AND(BW420=0,R420=0),"Gebinde unbekannt / Stellmass fehlt; ","")&amp;IF(AND(BW420=0,N(V420)&lt;=0,N(Q420)&lt;=0),"Menge pro Gebinde fehlt (Ist = 1 Gebinde); ","")&amp;BR420)</f>
        <v/>
      </c>
      <c r="BK420" s="48"/>
      <c r="BL420" s="48"/>
      <c r="BM420" s="55"/>
      <c r="BN420" s="50" t="n">
        <v>200</v>
      </c>
      <c r="BO420" s="50" t="n">
        <v>0</v>
      </c>
      <c r="BP420" s="49" t="n">
        <v>94</v>
      </c>
      <c r="BQ420" s="50" t="n">
        <v>180</v>
      </c>
      <c r="BR420" s="48"/>
      <c r="BS420" s="53" t="n">
        <v>0</v>
      </c>
      <c r="BT420" s="53" t="n">
        <v>420</v>
      </c>
      <c r="BU420" s="48" t="str">
        <f aca="false">IF(U420&lt;&gt;"",UPPER(TRIM(U420)),IF(BX420=1,UPPER(VLOOKUP(T420,Parameter!$I$27:$K$29,2,0)),IF(P420="","LOSE",P420)))</f>
        <v>S41</v>
      </c>
      <c r="BV420" s="50" t="n">
        <f aca="false">IF(BU420="LOSE",1,IF(N(V420)&gt;0,V420,IF(BX420=1,MAX(1,N(VLOOKUP(T420,Parameter!$I$27:$K$29,3,0)),H420,N(N420)),IF(N(Q420)&gt;0,Q420,MAX(1,H420)))))</f>
        <v>100</v>
      </c>
      <c r="BW420" s="53" t="n">
        <f aca="false">IF(BU420="LOSE",1,0)</f>
        <v>0</v>
      </c>
      <c r="BX420" s="53" t="n">
        <f aca="false">IF(AND(U420="",OR(P420="",P420="LOSE"),T420&lt;&gt;"",N(S420)&lt;=0,ISNUMBER(MATCH(T420,Parameter!$I$27:$I$29,0))),1,0)</f>
        <v>0</v>
      </c>
      <c r="BY420" s="53" t="n">
        <f aca="false">IF(CL420&gt;0,INDEX(Parameter!$H$5:$H$7,W420)/INDEX(Parameter!$E$5:$E$7,W420),IF(AND(BW420=0,N(IFERROR(VLOOKUP(BU420,'Gebinde-Kategorie'!$A$5:$N$45,14,0),0))&gt;0),VLOOKUP(BU420,'Gebinde-Kategorie'!$A$5:$N$45,14,0)*10+Parameter!$M$23,Parameter!$M$24))</f>
        <v>155</v>
      </c>
      <c r="BZ420" s="48" t="str">
        <f aca="false">IF(AND(Parameter!$B$19="Ja",E420&lt;&gt;"",ISNUMBER(MATCH(E420,Parameter!$I$35:$I$52,0))),VLOOKUP(E420,Parameter!$I$35:$J$52,2,0),IFERROR(VLOOKUP(D420,Parameter!$A$35:$C$64,2,0),"Nein"))</f>
        <v>2+3</v>
      </c>
      <c r="CA420" s="52" t="n">
        <f aca="false">IF(BW420=0,0,IF(N(S420)&gt;0,S420,IFERROR(VLOOKUP(D420,Parameter!$A$35:$C$64,3,0)+0,0)))</f>
        <v>0</v>
      </c>
      <c r="CB420" s="48" t="n">
        <f aca="false">IF(AA420&lt;&gt;"",AA420,Z420)</f>
        <v>3</v>
      </c>
      <c r="CC420" s="48" t="str">
        <f aca="false">IF(OR(CB420=1,CB420=2,CB420=3),IF(Parameter!$E$27="Ja","LIFT",IF(CB420=1,"L1","L23")),IF(CB420="Aussen","Aussen","-"))</f>
        <v>LIFT</v>
      </c>
      <c r="CD420" s="59" t="n">
        <f aca="false">IF(N(AB420)&gt;0,AB420,0)</f>
        <v>0</v>
      </c>
      <c r="CE420" s="53" t="n">
        <f aca="false">IF(ISNUMBER(AE420),1,0)</f>
        <v>0</v>
      </c>
      <c r="CF420" s="50" t="n">
        <f aca="false">N(AE420)</f>
        <v>0</v>
      </c>
      <c r="CG420" s="50" t="n">
        <f aca="false">N(M420)+N(N420)</f>
        <v>207</v>
      </c>
      <c r="CH420" s="50" t="n">
        <f aca="false">ROUNDUP(H420/BV420,0)</f>
        <v>2</v>
      </c>
      <c r="CI420" s="50" t="n">
        <f aca="false">ROUNDUP(CF420/BV420,0)</f>
        <v>0</v>
      </c>
      <c r="CJ420" s="53" t="n">
        <f aca="false">IF(BW420=1,0,IFERROR(VLOOKUP(BU420,'Gebinde-Kategorie'!$A$5:$N$45,5,0)+0,0))</f>
        <v>11</v>
      </c>
      <c r="CK420" s="53" t="n">
        <f aca="false">IFERROR(IF(OR(CB420=1,CB420=2,CB420=3),N(INDEX(Parameter!$I$5:$I$7,CB420)),0),0)</f>
        <v>0</v>
      </c>
      <c r="CL420" s="52" t="n">
        <f aca="false">IF(AND(Parameter!$B$21="Ja",ISNUMBER(W420),N(X420)&gt;0),IFERROR(N(INDEX(Parameter!$L$5:$L$7,W420))*INDEX(Parameter!$E$5:$E$7,W420)*X420/SUMIFS($X$7:$X$1843,$W$7:$W$1843,W420),0),0)</f>
        <v>0</v>
      </c>
    </row>
    <row r="421" customFormat="false" ht="15" hidden="false" customHeight="false" outlineLevel="0" collapsed="false">
      <c r="A421" s="48" t="s">
        <v>973</v>
      </c>
      <c r="B421" s="48" t="s">
        <v>974</v>
      </c>
      <c r="C421" s="48" t="s">
        <v>168</v>
      </c>
      <c r="D421" s="48" t="s">
        <v>177</v>
      </c>
      <c r="E421" s="48" t="s">
        <v>189</v>
      </c>
      <c r="F421" s="48" t="s">
        <v>222</v>
      </c>
      <c r="G421" s="49" t="n">
        <v>23.5</v>
      </c>
      <c r="H421" s="50" t="n">
        <f aca="false">MAX(0,IF(AND(Parameter!$B$21="Ja",ISNUMBER(Y421)),Y421,IF(Parameter!$B$20="Jahresanfang 2025 + Export",BO421+BN421,BN421)))</f>
        <v>10</v>
      </c>
      <c r="I421" s="50" t="n">
        <f aca="false">H421*G421</f>
        <v>235</v>
      </c>
      <c r="J421" s="50" t="n">
        <f aca="false">BQ421*Parameter!$B$18</f>
        <v>34</v>
      </c>
      <c r="K421" s="51" t="n">
        <v>19</v>
      </c>
      <c r="L421" s="52" t="n">
        <v>1.78947368421053</v>
      </c>
      <c r="M421" s="50" t="n">
        <v>1</v>
      </c>
      <c r="N421" s="50" t="n">
        <v>35</v>
      </c>
      <c r="O421" s="53" t="n">
        <v>21</v>
      </c>
      <c r="P421" s="48" t="s">
        <v>237</v>
      </c>
      <c r="Q421" s="50" t="n">
        <v>28</v>
      </c>
      <c r="R421" s="53" t="n">
        <f aca="false">IF(BW421=1,0,IFERROR(VLOOKUP(BU421,'Gebinde-Kategorie'!$A$5:$N$45,13,0)+0,0))</f>
        <v>26</v>
      </c>
      <c r="S421" s="54"/>
      <c r="T421" s="55"/>
      <c r="U421" s="55"/>
      <c r="V421" s="55"/>
      <c r="W421" s="48"/>
      <c r="X421" s="50"/>
      <c r="Y421" s="50"/>
      <c r="Z421" s="48" t="n">
        <f aca="false">IF(A421="","",IF(AND(Parameter!$B$21="Ja",ISNUMBER(W421)),W421,IF(BZ421="2+3",IF(ISNUMBER(SEARCH("grosser Artikel",BR421)),2,IFERROR(VLOOKUP(BU421,Parameter!$F$35:$G$64,2,0),2)),IF(OR(BZ421="Nein",BZ421=""),"-",BZ421))))</f>
        <v>3</v>
      </c>
      <c r="AA421" s="55"/>
      <c r="AB421" s="56"/>
      <c r="AC421" s="50" t="n">
        <f aca="false">AT421</f>
        <v>56</v>
      </c>
      <c r="AD421" s="50" t="n">
        <f aca="false">MAX(AT421,H421)</f>
        <v>56</v>
      </c>
      <c r="AE421" s="57"/>
      <c r="AF421" s="50" t="n">
        <f aca="false">IF(LEFT(Cockpit!$C$5,1)="A",H421,IF(CE421=1,CF421,IF(LEFT(Cockpit!$C$5,1)="B",AK421,MAX(AK421,H421))))</f>
        <v>10</v>
      </c>
      <c r="AG421" s="50" t="n">
        <f aca="false">IF(BW421=1,0,ROUNDUP(AF421/BV421,0))</f>
        <v>1</v>
      </c>
      <c r="AH421" s="52" t="n">
        <f aca="false">IF(CL421&gt;0,CL421*MAX(1,AF421/X421),IF(BW421=1,IF(AF421&lt;=0,0,CA421*MAX(1,IF(H421&gt;0,AF421/H421,1))),IF(R421&gt;0,AG421/R421,0))/MAX(0.1,N(Parameter!$M$21)))</f>
        <v>0.0384615384615385</v>
      </c>
      <c r="AI421" s="50" t="n">
        <f aca="false">AH421*BY421</f>
        <v>9.42307692307692</v>
      </c>
      <c r="AJ421" s="50" t="n">
        <f aca="false">AF421*G421</f>
        <v>235</v>
      </c>
      <c r="AK421" s="50" t="n">
        <f aca="false">ROUNDUP(MAX(J421/IF(CD421&gt;0,CD421,MAX(0.1,N(Cockpit!$C$6))),CG421)/BV421,0)*BV421</f>
        <v>56</v>
      </c>
      <c r="AL421" s="51" t="n">
        <f aca="false">IF(AI421&gt;0,J421/AI421,-1)</f>
        <v>3.60816326530612</v>
      </c>
      <c r="AM421" s="51" t="n">
        <f aca="false">IF(AND(OR(CC421="L1",CC421="L23",CC421="LIFT"),AI421&gt;0),SUMIFS($AI$7:$AI$1843,$CC$7:$CC$1843,CC421,$AL$7:$AL$1843,"&gt;"&amp;AL421)+SUMIFS($AI$7:$AI$1843,$CC$7:$CC$1843,CC421,$AL$7:$AL$1843,AL421,$BT$7:$BT$1843,"&lt;="&amp;BT421),"")</f>
        <v>4841.72573260073</v>
      </c>
      <c r="AN421" s="58" t="n">
        <f aca="false">IF(AM421="",0,MAX(0,MIN(1,(IF(CC421="L1",Parameter!$H$5,IF(CC421="L23",Parameter!$H$6+Parameter!$H$7,Parameter!$H$5+Parameter!$H$6+Parameter!$H$7))-(AM421-AI421))/AI421)))</f>
        <v>1</v>
      </c>
      <c r="AO421" s="50" t="n">
        <f aca="false">IF(LEFT(Cockpit!$I$5,1)="A",H421,IF(CE421=1,CF421,IF(LEFT(Cockpit!$I$5,1)="B",AT421,MAX(AT421,H421))))</f>
        <v>56</v>
      </c>
      <c r="AP421" s="50" t="n">
        <f aca="false">IF(BW421=1,0,ROUNDUP(AO421/BV421,0))</f>
        <v>2</v>
      </c>
      <c r="AQ421" s="52" t="n">
        <f aca="false">IF(CL421&gt;0,CL421*MAX(1,AO421/X421),IF(BW421=1,IF(AO421&lt;=0,0,CA421*MAX(1,IF(H421&gt;0,AO421/H421,1))),IF(R421&gt;0,AP421/R421,0))/MAX(0.1,N(Parameter!$M$21)))</f>
        <v>0.0769230769230769</v>
      </c>
      <c r="AR421" s="50" t="n">
        <f aca="false">AQ421*BY421</f>
        <v>18.8461538461538</v>
      </c>
      <c r="AS421" s="50" t="n">
        <f aca="false">AO421*G421</f>
        <v>1316</v>
      </c>
      <c r="AT421" s="50" t="n">
        <f aca="false">ROUNDUP(MAX(J421/IF(CD421&gt;0,CD421,MAX(0.1,N(Cockpit!$I$6))),CG421)/BV421,0)*BV421</f>
        <v>56</v>
      </c>
      <c r="AU421" s="51" t="n">
        <f aca="false">IF(AR421&gt;0,J421/AR421,-1)</f>
        <v>1.80408163265306</v>
      </c>
      <c r="AV421" s="51" t="n">
        <f aca="false">IF(AND(OR(CC421="L1",CC421="L23",CC421="LIFT"),AR421&gt;0),SUMIFS($AR$7:$AR$1843,$CC$7:$CC$1843,CC421,$AU$7:$AU$1843,"&gt;"&amp;AU421)+SUMIFS($AR$7:$AR$1843,$CC$7:$CC$1843,CC421,$AU$7:$AU$1843,AU421,$BT$7:$BT$1843,"&lt;="&amp;BT421),"")</f>
        <v>8098.4304029304</v>
      </c>
      <c r="AW421" s="58" t="n">
        <f aca="false">IF(AV421="",0,MAX(0,MIN(1,(IF(CC421="L1",Parameter!$H$5,IF(CC421="L23",Parameter!$H$6+Parameter!$H$7,Parameter!$H$5+Parameter!$H$6+Parameter!$H$7))-(AV421-AR421))/AR421)))</f>
        <v>1</v>
      </c>
      <c r="AX421" s="50" t="n">
        <f aca="false">IF(LEFT(Cockpit!$O$5,1)="A",H421,IF(CE421=1,CF421,IF(LEFT(Cockpit!$O$5,1)="B",BC421,MAX(BC421,H421))))</f>
        <v>56</v>
      </c>
      <c r="AY421" s="50" t="n">
        <f aca="false">IF(BW421=1,0,ROUNDUP(AX421/BV421,0))</f>
        <v>2</v>
      </c>
      <c r="AZ421" s="52" t="n">
        <f aca="false">IF(CL421&gt;0,CL421*MAX(1,AX421/X421),IF(BW421=1,IF(AX421&lt;=0,0,CA421*MAX(1,IF(H421&gt;0,AX421/H421,1))),IF(R421&gt;0,AY421/R421,0))/MAX(0.1,N(Parameter!$M$21)))</f>
        <v>0.0769230769230769</v>
      </c>
      <c r="BA421" s="50" t="n">
        <f aca="false">AZ421*BY421</f>
        <v>18.8461538461538</v>
      </c>
      <c r="BB421" s="50" t="n">
        <f aca="false">AX421*G421</f>
        <v>1316</v>
      </c>
      <c r="BC421" s="50" t="n">
        <f aca="false">ROUNDUP(MAX(J421/IF(CD421&gt;0,CD421,MAX(0.1,N(Cockpit!$O$6))),CG421)/BV421,0)*BV421</f>
        <v>56</v>
      </c>
      <c r="BD421" s="51" t="n">
        <f aca="false">IF(BA421&gt;0,J421/BA421,-1)</f>
        <v>1.80408163265306</v>
      </c>
      <c r="BE421" s="51" t="n">
        <f aca="false">IF(AND(OR(CC421="L1",CC421="L23",CC421="LIFT"),BA421&gt;0),SUMIFS($BA$7:$BA$1843,$CC$7:$CC$1843,CC421,$BD$7:$BD$1843,"&gt;"&amp;BD421)+SUMIFS($BA$7:$BA$1843,$CC$7:$CC$1843,CC421,$BD$7:$BD$1843,BD421,$BT$7:$BT$1843,"&lt;="&amp;BT421),"")</f>
        <v>8000.75412087912</v>
      </c>
      <c r="BF421" s="58" t="n">
        <f aca="false">IF(BE421="",0,MAX(0,MIN(1,(IF(CC421="L1",Parameter!$H$5,IF(CC421="L23",Parameter!$H$6+Parameter!$H$7,Parameter!$H$5+Parameter!$H$6+Parameter!$H$7))-(BE421-BA421))/BA421)))</f>
        <v>1</v>
      </c>
      <c r="BG421" s="48" t="str">
        <f aca="false">IF(AI421&lt;=0,"",IF(CC421="Aussen","Aussenlager",IF(CC421="-","Nicht im Lift",IF(AN421&gt;=1,"Lift",IF(AN421&lt;=0,"Aussenlager","teilweise")))))</f>
        <v>Lift</v>
      </c>
      <c r="BH421" s="48" t="str">
        <f aca="false">IF(AR421&lt;=0,"",IF(CC421="Aussen","Aussenlager",IF(CC421="-","Nicht im Lift",IF(AW421&gt;=1,"Lift",IF(AW421&lt;=0,"Aussenlager","teilweise")))))</f>
        <v>Lift</v>
      </c>
      <c r="BI421" s="48" t="str">
        <f aca="false">IF(BA421&lt;=0,"",IF(CC421="Aussen","Aussenlager",IF(CC421="-","Nicht im Lift",IF(BF421&gt;=1,"Lift",IF(BF421&lt;=0,"Aussenlager","teilweise")))))</f>
        <v>Lift</v>
      </c>
      <c r="BJ421" s="48" t="str">
        <f aca="false">IF(A421="","",IF(BS421=1,"Neu; ","")&amp;IF(AND(BS421=0,BN421&lt;0),"negativer Bestand (Export "&amp;BN421&amp;"); ","")&amp;IF(J421&lt;=0,"Kein Verbrauch; ","")&amp;IF(CL421&gt;0,"Lift "&amp;W421&amp;" lt. Liftbericht (Fach "&amp;X421&amp;" Stk); ",IF(BX421=1,"Gebinde geschätzt ("&amp;T421&amp;"); ",IF(BW421=1,"Lose – Tablare geschätzt; ","")))&amp;IF(H421&gt;AT421,"Überbestand "&amp;ROUND(H421-AT421,0)&amp;" Stk / CHF "&amp;ROUND((H421-AT421)*G421,0)&amp;"; ","")&amp;IF(AND(CE421=1,CF421&lt;CG421),"MAX &lt; MB+LG; ","")&amp;IF(AND(CK421&gt;0,CJ421*10&gt;CK421),"zu hoch für Tablar; ","")&amp;IF(AND(BS421=0,OR(CE421=1,AA421&lt;&gt;"",U421&lt;&gt;"",V421&lt;&gt;"",AB421&lt;&gt;"")),"manuell übersteuert; ","")&amp;IF(AND(BW421=0,R421=0),"Gebinde unbekannt / Stellmass fehlt; ","")&amp;IF(AND(BW421=0,N(V421)&lt;=0,N(Q421)&lt;=0),"Menge pro Gebinde fehlt (Ist = 1 Gebinde); ","")&amp;BR421)</f>
        <v>Neu</v>
      </c>
      <c r="BK421" s="48"/>
      <c r="BL421" s="48"/>
      <c r="BM421" s="55"/>
      <c r="BN421" s="50" t="n">
        <v>4</v>
      </c>
      <c r="BO421" s="50" t="n">
        <v>6</v>
      </c>
      <c r="BP421" s="49" t="n">
        <v>94</v>
      </c>
      <c r="BQ421" s="50" t="n">
        <v>34</v>
      </c>
      <c r="BR421" s="48" t="s">
        <v>630</v>
      </c>
      <c r="BS421" s="53" t="n">
        <v>0</v>
      </c>
      <c r="BT421" s="53" t="n">
        <v>421</v>
      </c>
      <c r="BU421" s="48" t="str">
        <f aca="false">IF(U421&lt;&gt;"",UPPER(TRIM(U421)),IF(BX421=1,UPPER(VLOOKUP(T421,Parameter!$I$27:$K$29,2,0)),IF(P421="","LOSE",P421)))</f>
        <v>S52</v>
      </c>
      <c r="BV421" s="50" t="n">
        <f aca="false">IF(BU421="LOSE",1,IF(N(V421)&gt;0,V421,IF(BX421=1,MAX(1,N(VLOOKUP(T421,Parameter!$I$27:$K$29,3,0)),H421,N(N421)),IF(N(Q421)&gt;0,Q421,MAX(1,H421)))))</f>
        <v>28</v>
      </c>
      <c r="BW421" s="53" t="n">
        <f aca="false">IF(BU421="LOSE",1,0)</f>
        <v>0</v>
      </c>
      <c r="BX421" s="53" t="n">
        <f aca="false">IF(AND(U421="",OR(P421="",P421="LOSE"),T421&lt;&gt;"",N(S421)&lt;=0,ISNUMBER(MATCH(T421,Parameter!$I$27:$I$29,0))),1,0)</f>
        <v>0</v>
      </c>
      <c r="BY421" s="53" t="n">
        <f aca="false">IF(CL421&gt;0,INDEX(Parameter!$H$5:$H$7,W421)/INDEX(Parameter!$E$5:$E$7,W421),IF(AND(BW421=0,N(IFERROR(VLOOKUP(BU421,'Gebinde-Kategorie'!$A$5:$N$45,14,0),0))&gt;0),VLOOKUP(BU421,'Gebinde-Kategorie'!$A$5:$N$45,14,0)*10+Parameter!$M$23,Parameter!$M$24))</f>
        <v>245</v>
      </c>
      <c r="BZ421" s="48" t="str">
        <f aca="false">IF(AND(Parameter!$B$19="Ja",E421&lt;&gt;"",ISNUMBER(MATCH(E421,Parameter!$I$35:$I$52,0))),VLOOKUP(E421,Parameter!$I$35:$J$52,2,0),IFERROR(VLOOKUP(D421,Parameter!$A$35:$C$64,2,0),"Nein"))</f>
        <v>2+3</v>
      </c>
      <c r="CA421" s="52" t="n">
        <f aca="false">IF(BW421=0,0,IF(N(S421)&gt;0,S421,IFERROR(VLOOKUP(D421,Parameter!$A$35:$C$64,3,0)+0,0)))</f>
        <v>0</v>
      </c>
      <c r="CB421" s="48" t="n">
        <f aca="false">IF(AA421&lt;&gt;"",AA421,Z421)</f>
        <v>3</v>
      </c>
      <c r="CC421" s="48" t="str">
        <f aca="false">IF(OR(CB421=1,CB421=2,CB421=3),IF(Parameter!$E$27="Ja","LIFT",IF(CB421=1,"L1","L23")),IF(CB421="Aussen","Aussen","-"))</f>
        <v>LIFT</v>
      </c>
      <c r="CD421" s="59" t="n">
        <f aca="false">IF(N(AB421)&gt;0,AB421,0)</f>
        <v>0</v>
      </c>
      <c r="CE421" s="53" t="n">
        <f aca="false">IF(ISNUMBER(AE421),1,0)</f>
        <v>0</v>
      </c>
      <c r="CF421" s="50" t="n">
        <f aca="false">N(AE421)</f>
        <v>0</v>
      </c>
      <c r="CG421" s="50" t="n">
        <f aca="false">N(M421)+N(N421)</f>
        <v>36</v>
      </c>
      <c r="CH421" s="50" t="n">
        <f aca="false">ROUNDUP(H421/BV421,0)</f>
        <v>1</v>
      </c>
      <c r="CI421" s="50" t="n">
        <f aca="false">ROUNDUP(CF421/BV421,0)</f>
        <v>0</v>
      </c>
      <c r="CJ421" s="53" t="n">
        <f aca="false">IF(BW421=1,0,IFERROR(VLOOKUP(BU421,'Gebinde-Kategorie'!$A$5:$N$45,5,0)+0,0))</f>
        <v>21</v>
      </c>
      <c r="CK421" s="53" t="n">
        <f aca="false">IFERROR(IF(OR(CB421=1,CB421=2,CB421=3),N(INDEX(Parameter!$I$5:$I$7,CB421)),0),0)</f>
        <v>0</v>
      </c>
      <c r="CL421" s="52" t="n">
        <f aca="false">IF(AND(Parameter!$B$21="Ja",ISNUMBER(W421),N(X421)&gt;0),IFERROR(N(INDEX(Parameter!$L$5:$L$7,W421))*INDEX(Parameter!$E$5:$E$7,W421)*X421/SUMIFS($X$7:$X$1843,$W$7:$W$1843,W421),0),0)</f>
        <v>0</v>
      </c>
    </row>
    <row r="422" customFormat="false" ht="15" hidden="false" customHeight="false" outlineLevel="0" collapsed="false">
      <c r="A422" s="48" t="s">
        <v>975</v>
      </c>
      <c r="B422" s="48" t="s">
        <v>976</v>
      </c>
      <c r="C422" s="48" t="s">
        <v>168</v>
      </c>
      <c r="D422" s="48" t="s">
        <v>188</v>
      </c>
      <c r="E422" s="48" t="s">
        <v>189</v>
      </c>
      <c r="F422" s="48" t="s">
        <v>222</v>
      </c>
      <c r="G422" s="49" t="n">
        <v>3.86</v>
      </c>
      <c r="H422" s="50" t="n">
        <f aca="false">MAX(0,IF(AND(Parameter!$B$21="Ja",ISNUMBER(Y422)),Y422,IF(Parameter!$B$20="Jahresanfang 2025 + Export",BO422+BN422,BN422)))</f>
        <v>139</v>
      </c>
      <c r="I422" s="50" t="n">
        <f aca="false">H422*G422</f>
        <v>536.54</v>
      </c>
      <c r="J422" s="50" t="n">
        <f aca="false">BQ422*Parameter!$B$18</f>
        <v>137</v>
      </c>
      <c r="K422" s="51" t="n">
        <v>98</v>
      </c>
      <c r="L422" s="52" t="n">
        <v>1.39795918367347</v>
      </c>
      <c r="M422" s="50" t="n">
        <v>5</v>
      </c>
      <c r="N422" s="50" t="n">
        <v>135</v>
      </c>
      <c r="O422" s="53" t="n">
        <v>14</v>
      </c>
      <c r="P422" s="48" t="s">
        <v>306</v>
      </c>
      <c r="Q422" s="50" t="n">
        <v>45</v>
      </c>
      <c r="R422" s="53" t="n">
        <f aca="false">IF(BW422=1,0,IFERROR(VLOOKUP(BU422,'Gebinde-Kategorie'!$A$5:$N$45,13,0)+0,0))</f>
        <v>26</v>
      </c>
      <c r="S422" s="54"/>
      <c r="T422" s="55"/>
      <c r="U422" s="55"/>
      <c r="V422" s="55"/>
      <c r="W422" s="48"/>
      <c r="X422" s="50"/>
      <c r="Y422" s="50"/>
      <c r="Z422" s="48" t="n">
        <f aca="false">IF(A422="","",IF(AND(Parameter!$B$21="Ja",ISNUMBER(W422)),W422,IF(BZ422="2+3",IF(ISNUMBER(SEARCH("grosser Artikel",BR422)),2,IFERROR(VLOOKUP(BU422,Parameter!$F$35:$G$64,2,0),2)),IF(OR(BZ422="Nein",BZ422=""),"-",BZ422))))</f>
        <v>3</v>
      </c>
      <c r="AA422" s="55"/>
      <c r="AB422" s="56"/>
      <c r="AC422" s="50" t="n">
        <f aca="false">AT422</f>
        <v>180</v>
      </c>
      <c r="AD422" s="50" t="n">
        <f aca="false">MAX(AT422,H422)</f>
        <v>180</v>
      </c>
      <c r="AE422" s="57"/>
      <c r="AF422" s="50" t="n">
        <f aca="false">IF(LEFT(Cockpit!$C$5,1)="A",H422,IF(CE422=1,CF422,IF(LEFT(Cockpit!$C$5,1)="B",AK422,MAX(AK422,H422))))</f>
        <v>139</v>
      </c>
      <c r="AG422" s="50" t="n">
        <f aca="false">IF(BW422=1,0,ROUNDUP(AF422/BV422,0))</f>
        <v>4</v>
      </c>
      <c r="AH422" s="52" t="n">
        <f aca="false">IF(CL422&gt;0,CL422*MAX(1,AF422/X422),IF(BW422=1,IF(AF422&lt;=0,0,CA422*MAX(1,IF(H422&gt;0,AF422/H422,1))),IF(R422&gt;0,AG422/R422,0))/MAX(0.1,N(Parameter!$M$21)))</f>
        <v>0.153846153846154</v>
      </c>
      <c r="AI422" s="50" t="n">
        <f aca="false">AH422*BY422</f>
        <v>23.8461538461538</v>
      </c>
      <c r="AJ422" s="50" t="n">
        <f aca="false">AF422*G422</f>
        <v>536.54</v>
      </c>
      <c r="AK422" s="50" t="n">
        <f aca="false">ROUNDUP(MAX(J422/IF(CD422&gt;0,CD422,MAX(0.1,N(Cockpit!$C$6))),CG422)/BV422,0)*BV422</f>
        <v>180</v>
      </c>
      <c r="AL422" s="51" t="n">
        <f aca="false">IF(AI422&gt;0,J422/AI422,-1)</f>
        <v>5.74516129032258</v>
      </c>
      <c r="AM422" s="51" t="n">
        <f aca="false">IF(AND(OR(CC422="L1",CC422="L23",CC422="LIFT"),AI422&gt;0),SUMIFS($AI$7:$AI$1843,$CC$7:$CC$1843,CC422,$AL$7:$AL$1843,"&gt;"&amp;AL422)+SUMIFS($AI$7:$AI$1843,$CC$7:$CC$1843,CC422,$AL$7:$AL$1843,AL422,$BT$7:$BT$1843,"&lt;="&amp;BT422),"")</f>
        <v>3564.64148351648</v>
      </c>
      <c r="AN422" s="58" t="n">
        <f aca="false">IF(AM422="",0,MAX(0,MIN(1,(IF(CC422="L1",Parameter!$H$5,IF(CC422="L23",Parameter!$H$6+Parameter!$H$7,Parameter!$H$5+Parameter!$H$6+Parameter!$H$7))-(AM422-AI422))/AI422)))</f>
        <v>1</v>
      </c>
      <c r="AO422" s="50" t="n">
        <f aca="false">IF(LEFT(Cockpit!$I$5,1)="A",H422,IF(CE422=1,CF422,IF(LEFT(Cockpit!$I$5,1)="B",AT422,MAX(AT422,H422))))</f>
        <v>180</v>
      </c>
      <c r="AP422" s="50" t="n">
        <f aca="false">IF(BW422=1,0,ROUNDUP(AO422/BV422,0))</f>
        <v>4</v>
      </c>
      <c r="AQ422" s="52" t="n">
        <f aca="false">IF(CL422&gt;0,CL422*MAX(1,AO422/X422),IF(BW422=1,IF(AO422&lt;=0,0,CA422*MAX(1,IF(H422&gt;0,AO422/H422,1))),IF(R422&gt;0,AP422/R422,0))/MAX(0.1,N(Parameter!$M$21)))</f>
        <v>0.153846153846154</v>
      </c>
      <c r="AR422" s="50" t="n">
        <f aca="false">AQ422*BY422</f>
        <v>23.8461538461538</v>
      </c>
      <c r="AS422" s="50" t="n">
        <f aca="false">AO422*G422</f>
        <v>694.8</v>
      </c>
      <c r="AT422" s="50" t="n">
        <f aca="false">ROUNDUP(MAX(J422/IF(CD422&gt;0,CD422,MAX(0.1,N(Cockpit!$I$6))),CG422)/BV422,0)*BV422</f>
        <v>180</v>
      </c>
      <c r="AU422" s="51" t="n">
        <f aca="false">IF(AR422&gt;0,J422/AR422,-1)</f>
        <v>5.74516129032258</v>
      </c>
      <c r="AV422" s="51" t="n">
        <f aca="false">IF(AND(OR(CC422="L1",CC422="L23",CC422="LIFT"),AR422&gt;0),SUMIFS($AR$7:$AR$1843,$CC$7:$CC$1843,CC422,$AU$7:$AU$1843,"&gt;"&amp;AU422)+SUMIFS($AR$7:$AR$1843,$CC$7:$CC$1843,CC422,$AU$7:$AU$1843,AU422,$BT$7:$BT$1843,"&lt;="&amp;BT422),"")</f>
        <v>4663.95283882784</v>
      </c>
      <c r="AW422" s="58" t="n">
        <f aca="false">IF(AV422="",0,MAX(0,MIN(1,(IF(CC422="L1",Parameter!$H$5,IF(CC422="L23",Parameter!$H$6+Parameter!$H$7,Parameter!$H$5+Parameter!$H$6+Parameter!$H$7))-(AV422-AR422))/AR422)))</f>
        <v>1</v>
      </c>
      <c r="AX422" s="50" t="n">
        <f aca="false">IF(LEFT(Cockpit!$O$5,1)="A",H422,IF(CE422=1,CF422,IF(LEFT(Cockpit!$O$5,1)="B",BC422,MAX(BC422,H422))))</f>
        <v>180</v>
      </c>
      <c r="AY422" s="50" t="n">
        <f aca="false">IF(BW422=1,0,ROUNDUP(AX422/BV422,0))</f>
        <v>4</v>
      </c>
      <c r="AZ422" s="52" t="n">
        <f aca="false">IF(CL422&gt;0,CL422*MAX(1,AX422/X422),IF(BW422=1,IF(AX422&lt;=0,0,CA422*MAX(1,IF(H422&gt;0,AX422/H422,1))),IF(R422&gt;0,AY422/R422,0))/MAX(0.1,N(Parameter!$M$21)))</f>
        <v>0.153846153846154</v>
      </c>
      <c r="BA422" s="50" t="n">
        <f aca="false">AZ422*BY422</f>
        <v>23.8461538461538</v>
      </c>
      <c r="BB422" s="50" t="n">
        <f aca="false">AX422*G422</f>
        <v>694.8</v>
      </c>
      <c r="BC422" s="50" t="n">
        <f aca="false">ROUNDUP(MAX(J422/IF(CD422&gt;0,CD422,MAX(0.1,N(Cockpit!$O$6))),CG422)/BV422,0)*BV422</f>
        <v>180</v>
      </c>
      <c r="BD422" s="51" t="n">
        <f aca="false">IF(BA422&gt;0,J422/BA422,-1)</f>
        <v>5.74516129032258</v>
      </c>
      <c r="BE422" s="51" t="n">
        <f aca="false">IF(AND(OR(CC422="L1",CC422="L23",CC422="LIFT"),BA422&gt;0),SUMIFS($BA$7:$BA$1843,$CC$7:$CC$1843,CC422,$BD$7:$BD$1843,"&gt;"&amp;BD422)+SUMIFS($BA$7:$BA$1843,$CC$7:$CC$1843,CC422,$BD$7:$BD$1843,BD422,$BT$7:$BT$1843,"&lt;="&amp;BT422),"")</f>
        <v>4455.25091575092</v>
      </c>
      <c r="BF422" s="58" t="n">
        <f aca="false">IF(BE422="",0,MAX(0,MIN(1,(IF(CC422="L1",Parameter!$H$5,IF(CC422="L23",Parameter!$H$6+Parameter!$H$7,Parameter!$H$5+Parameter!$H$6+Parameter!$H$7))-(BE422-BA422))/BA422)))</f>
        <v>1</v>
      </c>
      <c r="BG422" s="48" t="str">
        <f aca="false">IF(AI422&lt;=0,"",IF(CC422="Aussen","Aussenlager",IF(CC422="-","Nicht im Lift",IF(AN422&gt;=1,"Lift",IF(AN422&lt;=0,"Aussenlager","teilweise")))))</f>
        <v>Lift</v>
      </c>
      <c r="BH422" s="48" t="str">
        <f aca="false">IF(AR422&lt;=0,"",IF(CC422="Aussen","Aussenlager",IF(CC422="-","Nicht im Lift",IF(AW422&gt;=1,"Lift",IF(AW422&lt;=0,"Aussenlager","teilweise")))))</f>
        <v>Lift</v>
      </c>
      <c r="BI422" s="48" t="str">
        <f aca="false">IF(BA422&lt;=0,"",IF(CC422="Aussen","Aussenlager",IF(CC422="-","Nicht im Lift",IF(BF422&gt;=1,"Lift",IF(BF422&lt;=0,"Aussenlager","teilweise")))))</f>
        <v>Lift</v>
      </c>
      <c r="BJ422" s="48" t="str">
        <f aca="false">IF(A422="","",IF(BS422=1,"Neu; ","")&amp;IF(AND(BS422=0,BN422&lt;0),"negativer Bestand (Export "&amp;BN422&amp;"); ","")&amp;IF(J422&lt;=0,"Kein Verbrauch; ","")&amp;IF(CL422&gt;0,"Lift "&amp;W422&amp;" lt. Liftbericht (Fach "&amp;X422&amp;" Stk); ",IF(BX422=1,"Gebinde geschätzt ("&amp;T422&amp;"); ",IF(BW422=1,"Lose – Tablare geschätzt; ","")))&amp;IF(H422&gt;AT422,"Überbestand "&amp;ROUND(H422-AT422,0)&amp;" Stk / CHF "&amp;ROUND((H422-AT422)*G422,0)&amp;"; ","")&amp;IF(AND(CE422=1,CF422&lt;CG422),"MAX &lt; MB+LG; ","")&amp;IF(AND(CK422&gt;0,CJ422*10&gt;CK422),"zu hoch für Tablar; ","")&amp;IF(AND(BS422=0,OR(CE422=1,AA422&lt;&gt;"",U422&lt;&gt;"",V422&lt;&gt;"",AB422&lt;&gt;"")),"manuell übersteuert; ","")&amp;IF(AND(BW422=0,R422=0),"Gebinde unbekannt / Stellmass fehlt; ","")&amp;IF(AND(BW422=0,N(V422)&lt;=0,N(Q422)&lt;=0),"Menge pro Gebinde fehlt (Ist = 1 Gebinde); ","")&amp;BR422)</f>
        <v/>
      </c>
      <c r="BK422" s="48"/>
      <c r="BL422" s="48"/>
      <c r="BM422" s="55"/>
      <c r="BN422" s="50" t="n">
        <v>48</v>
      </c>
      <c r="BO422" s="50" t="n">
        <v>91</v>
      </c>
      <c r="BP422" s="49" t="n">
        <v>93.37</v>
      </c>
      <c r="BQ422" s="50" t="n">
        <v>137</v>
      </c>
      <c r="BR422" s="48"/>
      <c r="BS422" s="53" t="n">
        <v>0</v>
      </c>
      <c r="BT422" s="53" t="n">
        <v>422</v>
      </c>
      <c r="BU422" s="48" t="str">
        <f aca="false">IF(U422&lt;&gt;"",UPPER(TRIM(U422)),IF(BX422=1,UPPER(VLOOKUP(T422,Parameter!$I$27:$K$29,2,0)),IF(P422="","LOSE",P422)))</f>
        <v>S51</v>
      </c>
      <c r="BV422" s="50" t="n">
        <f aca="false">IF(BU422="LOSE",1,IF(N(V422)&gt;0,V422,IF(BX422=1,MAX(1,N(VLOOKUP(T422,Parameter!$I$27:$K$29,3,0)),H422,N(N422)),IF(N(Q422)&gt;0,Q422,MAX(1,H422)))))</f>
        <v>45</v>
      </c>
      <c r="BW422" s="53" t="n">
        <f aca="false">IF(BU422="LOSE",1,0)</f>
        <v>0</v>
      </c>
      <c r="BX422" s="53" t="n">
        <f aca="false">IF(AND(U422="",OR(P422="",P422="LOSE"),T422&lt;&gt;"",N(S422)&lt;=0,ISNUMBER(MATCH(T422,Parameter!$I$27:$I$29,0))),1,0)</f>
        <v>0</v>
      </c>
      <c r="BY422" s="53" t="n">
        <f aca="false">IF(CL422&gt;0,INDEX(Parameter!$H$5:$H$7,W422)/INDEX(Parameter!$E$5:$E$7,W422),IF(AND(BW422=0,N(IFERROR(VLOOKUP(BU422,'Gebinde-Kategorie'!$A$5:$N$45,14,0),0))&gt;0),VLOOKUP(BU422,'Gebinde-Kategorie'!$A$5:$N$45,14,0)*10+Parameter!$M$23,Parameter!$M$24))</f>
        <v>155</v>
      </c>
      <c r="BZ422" s="48" t="str">
        <f aca="false">IF(AND(Parameter!$B$19="Ja",E422&lt;&gt;"",ISNUMBER(MATCH(E422,Parameter!$I$35:$I$52,0))),VLOOKUP(E422,Parameter!$I$35:$J$52,2,0),IFERROR(VLOOKUP(D422,Parameter!$A$35:$C$64,2,0),"Nein"))</f>
        <v>2+3</v>
      </c>
      <c r="CA422" s="52" t="n">
        <f aca="false">IF(BW422=0,0,IF(N(S422)&gt;0,S422,IFERROR(VLOOKUP(D422,Parameter!$A$35:$C$64,3,0)+0,0)))</f>
        <v>0</v>
      </c>
      <c r="CB422" s="48" t="n">
        <f aca="false">IF(AA422&lt;&gt;"",AA422,Z422)</f>
        <v>3</v>
      </c>
      <c r="CC422" s="48" t="str">
        <f aca="false">IF(OR(CB422=1,CB422=2,CB422=3),IF(Parameter!$E$27="Ja","LIFT",IF(CB422=1,"L1","L23")),IF(CB422="Aussen","Aussen","-"))</f>
        <v>LIFT</v>
      </c>
      <c r="CD422" s="59" t="n">
        <f aca="false">IF(N(AB422)&gt;0,AB422,0)</f>
        <v>0</v>
      </c>
      <c r="CE422" s="53" t="n">
        <f aca="false">IF(ISNUMBER(AE422),1,0)</f>
        <v>0</v>
      </c>
      <c r="CF422" s="50" t="n">
        <f aca="false">N(AE422)</f>
        <v>0</v>
      </c>
      <c r="CG422" s="50" t="n">
        <f aca="false">N(M422)+N(N422)</f>
        <v>140</v>
      </c>
      <c r="CH422" s="50" t="n">
        <f aca="false">ROUNDUP(H422/BV422,0)</f>
        <v>4</v>
      </c>
      <c r="CI422" s="50" t="n">
        <f aca="false">ROUNDUP(CF422/BV422,0)</f>
        <v>0</v>
      </c>
      <c r="CJ422" s="53" t="n">
        <f aca="false">IF(BW422=1,0,IFERROR(VLOOKUP(BU422,'Gebinde-Kategorie'!$A$5:$N$45,5,0)+0,0))</f>
        <v>11</v>
      </c>
      <c r="CK422" s="53" t="n">
        <f aca="false">IFERROR(IF(OR(CB422=1,CB422=2,CB422=3),N(INDEX(Parameter!$I$5:$I$7,CB422)),0),0)</f>
        <v>0</v>
      </c>
      <c r="CL422" s="52" t="n">
        <f aca="false">IF(AND(Parameter!$B$21="Ja",ISNUMBER(W422),N(X422)&gt;0),IFERROR(N(INDEX(Parameter!$L$5:$L$7,W422))*INDEX(Parameter!$E$5:$E$7,W422)*X422/SUMIFS($X$7:$X$1843,$W$7:$W$1843,W422),0),0)</f>
        <v>0</v>
      </c>
    </row>
    <row r="423" customFormat="false" ht="15" hidden="false" customHeight="false" outlineLevel="0" collapsed="false">
      <c r="A423" s="48" t="s">
        <v>977</v>
      </c>
      <c r="B423" s="48" t="s">
        <v>978</v>
      </c>
      <c r="C423" s="48" t="s">
        <v>168</v>
      </c>
      <c r="D423" s="48" t="s">
        <v>188</v>
      </c>
      <c r="E423" s="48"/>
      <c r="F423" s="48" t="s">
        <v>222</v>
      </c>
      <c r="G423" s="49" t="n">
        <v>13.78</v>
      </c>
      <c r="H423" s="50" t="n">
        <f aca="false">MAX(0,IF(AND(Parameter!$B$21="Ja",ISNUMBER(Y423)),Y423,IF(Parameter!$B$20="Jahresanfang 2025 + Export",BO423+BN423,BN423)))</f>
        <v>9</v>
      </c>
      <c r="I423" s="50" t="n">
        <f aca="false">H423*G423</f>
        <v>124.02</v>
      </c>
      <c r="J423" s="50" t="n">
        <f aca="false">BQ423*Parameter!$B$18</f>
        <v>1</v>
      </c>
      <c r="K423" s="51" t="n">
        <v>4</v>
      </c>
      <c r="L423" s="52" t="n">
        <v>0.25</v>
      </c>
      <c r="M423" s="50" t="n">
        <v>5</v>
      </c>
      <c r="N423" s="50" t="n">
        <v>1</v>
      </c>
      <c r="O423" s="53" t="n">
        <v>14</v>
      </c>
      <c r="P423" s="48" t="s">
        <v>306</v>
      </c>
      <c r="Q423" s="50" t="n">
        <v>9</v>
      </c>
      <c r="R423" s="53" t="n">
        <f aca="false">IF(BW423=1,0,IFERROR(VLOOKUP(BU423,'Gebinde-Kategorie'!$A$5:$N$45,13,0)+0,0))</f>
        <v>26</v>
      </c>
      <c r="S423" s="54"/>
      <c r="T423" s="55"/>
      <c r="U423" s="55"/>
      <c r="V423" s="55"/>
      <c r="W423" s="48"/>
      <c r="X423" s="50"/>
      <c r="Y423" s="50"/>
      <c r="Z423" s="48" t="n">
        <f aca="false">IF(A423="","",IF(AND(Parameter!$B$21="Ja",ISNUMBER(W423)),W423,IF(BZ423="2+3",IF(ISNUMBER(SEARCH("grosser Artikel",BR423)),2,IFERROR(VLOOKUP(BU423,Parameter!$F$35:$G$64,2,0),2)),IF(OR(BZ423="Nein",BZ423=""),"-",BZ423))))</f>
        <v>3</v>
      </c>
      <c r="AA423" s="55"/>
      <c r="AB423" s="56"/>
      <c r="AC423" s="50" t="n">
        <f aca="false">AT423</f>
        <v>9</v>
      </c>
      <c r="AD423" s="50" t="n">
        <f aca="false">MAX(AT423,H423)</f>
        <v>9</v>
      </c>
      <c r="AE423" s="57"/>
      <c r="AF423" s="50" t="n">
        <f aca="false">IF(LEFT(Cockpit!$C$5,1)="A",H423,IF(CE423=1,CF423,IF(LEFT(Cockpit!$C$5,1)="B",AK423,MAX(AK423,H423))))</f>
        <v>9</v>
      </c>
      <c r="AG423" s="50" t="n">
        <f aca="false">IF(BW423=1,0,ROUNDUP(AF423/BV423,0))</f>
        <v>1</v>
      </c>
      <c r="AH423" s="52" t="n">
        <f aca="false">IF(CL423&gt;0,CL423*MAX(1,AF423/X423),IF(BW423=1,IF(AF423&lt;=0,0,CA423*MAX(1,IF(H423&gt;0,AF423/H423,1))),IF(R423&gt;0,AG423/R423,0))/MAX(0.1,N(Parameter!$M$21)))</f>
        <v>0.0384615384615385</v>
      </c>
      <c r="AI423" s="50" t="n">
        <f aca="false">AH423*BY423</f>
        <v>5.96153846153846</v>
      </c>
      <c r="AJ423" s="50" t="n">
        <f aca="false">AF423*G423</f>
        <v>124.02</v>
      </c>
      <c r="AK423" s="50" t="n">
        <f aca="false">ROUNDUP(MAX(J423/IF(CD423&gt;0,CD423,MAX(0.1,N(Cockpit!$C$6))),CG423)/BV423,0)*BV423</f>
        <v>9</v>
      </c>
      <c r="AL423" s="51" t="n">
        <f aca="false">IF(AI423&gt;0,J423/AI423,-1)</f>
        <v>0.167741935483871</v>
      </c>
      <c r="AM423" s="51" t="n">
        <f aca="false">IF(AND(OR(CC423="L1",CC423="L23",CC423="LIFT"),AI423&gt;0),SUMIFS($AI$7:$AI$1843,$CC$7:$CC$1843,CC423,$AL$7:$AL$1843,"&gt;"&amp;AL423)+SUMIFS($AI$7:$AI$1843,$CC$7:$CC$1843,CC423,$AL$7:$AL$1843,AL423,$BT$7:$BT$1843,"&lt;="&amp;BT423),"")</f>
        <v>12685.6952593075</v>
      </c>
      <c r="AN423" s="58" t="n">
        <f aca="false">IF(AM423="",0,MAX(0,MIN(1,(IF(CC423="L1",Parameter!$H$5,IF(CC423="L23",Parameter!$H$6+Parameter!$H$7,Parameter!$H$5+Parameter!$H$6+Parameter!$H$7))-(AM423-AI423))/AI423)))</f>
        <v>1</v>
      </c>
      <c r="AO423" s="50" t="n">
        <f aca="false">IF(LEFT(Cockpit!$I$5,1)="A",H423,IF(CE423=1,CF423,IF(LEFT(Cockpit!$I$5,1)="B",AT423,MAX(AT423,H423))))</f>
        <v>9</v>
      </c>
      <c r="AP423" s="50" t="n">
        <f aca="false">IF(BW423=1,0,ROUNDUP(AO423/BV423,0))</f>
        <v>1</v>
      </c>
      <c r="AQ423" s="52" t="n">
        <f aca="false">IF(CL423&gt;0,CL423*MAX(1,AO423/X423),IF(BW423=1,IF(AO423&lt;=0,0,CA423*MAX(1,IF(H423&gt;0,AO423/H423,1))),IF(R423&gt;0,AP423/R423,0))/MAX(0.1,N(Parameter!$M$21)))</f>
        <v>0.0384615384615385</v>
      </c>
      <c r="AR423" s="50" t="n">
        <f aca="false">AQ423*BY423</f>
        <v>5.96153846153846</v>
      </c>
      <c r="AS423" s="50" t="n">
        <f aca="false">AO423*G423</f>
        <v>124.02</v>
      </c>
      <c r="AT423" s="50" t="n">
        <f aca="false">ROUNDUP(MAX(J423/IF(CD423&gt;0,CD423,MAX(0.1,N(Cockpit!$I$6))),CG423)/BV423,0)*BV423</f>
        <v>9</v>
      </c>
      <c r="AU423" s="51" t="n">
        <f aca="false">IF(AR423&gt;0,J423/AR423,-1)</f>
        <v>0.167741935483871</v>
      </c>
      <c r="AV423" s="51" t="n">
        <f aca="false">IF(AND(OR(CC423="L1",CC423="L23",CC423="LIFT"),AR423&gt;0),SUMIFS($AR$7:$AR$1843,$CC$7:$CC$1843,CC423,$AU$7:$AU$1843,"&gt;"&amp;AU423)+SUMIFS($AR$7:$AR$1843,$CC$7:$CC$1843,CC423,$AU$7:$AU$1843,AU423,$BT$7:$BT$1843,"&lt;="&amp;BT423),"")</f>
        <v>19254.8466117216</v>
      </c>
      <c r="AW423" s="58" t="n">
        <f aca="false">IF(AV423="",0,MAX(0,MIN(1,(IF(CC423="L1",Parameter!$H$5,IF(CC423="L23",Parameter!$H$6+Parameter!$H$7,Parameter!$H$5+Parameter!$H$6+Parameter!$H$7))-(AV423-AR423))/AR423)))</f>
        <v>1</v>
      </c>
      <c r="AX423" s="50" t="n">
        <f aca="false">IF(LEFT(Cockpit!$O$5,1)="A",H423,IF(CE423=1,CF423,IF(LEFT(Cockpit!$O$5,1)="B",BC423,MAX(BC423,H423))))</f>
        <v>9</v>
      </c>
      <c r="AY423" s="50" t="n">
        <f aca="false">IF(BW423=1,0,ROUNDUP(AX423/BV423,0))</f>
        <v>1</v>
      </c>
      <c r="AZ423" s="52" t="n">
        <f aca="false">IF(CL423&gt;0,CL423*MAX(1,AX423/X423),IF(BW423=1,IF(AX423&lt;=0,0,CA423*MAX(1,IF(H423&gt;0,AX423/H423,1))),IF(R423&gt;0,AY423/R423,0))/MAX(0.1,N(Parameter!$M$21)))</f>
        <v>0.0384615384615385</v>
      </c>
      <c r="BA423" s="50" t="n">
        <f aca="false">AZ423*BY423</f>
        <v>5.96153846153846</v>
      </c>
      <c r="BB423" s="50" t="n">
        <f aca="false">AX423*G423</f>
        <v>124.02</v>
      </c>
      <c r="BC423" s="50" t="n">
        <f aca="false">ROUNDUP(MAX(J423/IF(CD423&gt;0,CD423,MAX(0.1,N(Cockpit!$O$6))),CG423)/BV423,0)*BV423</f>
        <v>9</v>
      </c>
      <c r="BD423" s="51" t="n">
        <f aca="false">IF(BA423&gt;0,J423/BA423,-1)</f>
        <v>0.167741935483871</v>
      </c>
      <c r="BE423" s="51" t="n">
        <f aca="false">IF(AND(OR(CC423="L1",CC423="L23",CC423="LIFT"),BA423&gt;0),SUMIFS($BA$7:$BA$1843,$CC$7:$CC$1843,CC423,$BD$7:$BD$1843,"&gt;"&amp;BD423)+SUMIFS($BA$7:$BA$1843,$CC$7:$CC$1843,CC423,$BD$7:$BD$1843,BD423,$BT$7:$BT$1843,"&lt;="&amp;BT423),"")</f>
        <v>17280.9203296703</v>
      </c>
      <c r="BF423" s="58" t="n">
        <f aca="false">IF(BE423="",0,MAX(0,MIN(1,(IF(CC423="L1",Parameter!$H$5,IF(CC423="L23",Parameter!$H$6+Parameter!$H$7,Parameter!$H$5+Parameter!$H$6+Parameter!$H$7))-(BE423-BA423))/BA423)))</f>
        <v>1</v>
      </c>
      <c r="BG423" s="48" t="str">
        <f aca="false">IF(AI423&lt;=0,"",IF(CC423="Aussen","Aussenlager",IF(CC423="-","Nicht im Lift",IF(AN423&gt;=1,"Lift",IF(AN423&lt;=0,"Aussenlager","teilweise")))))</f>
        <v>Lift</v>
      </c>
      <c r="BH423" s="48" t="str">
        <f aca="false">IF(AR423&lt;=0,"",IF(CC423="Aussen","Aussenlager",IF(CC423="-","Nicht im Lift",IF(AW423&gt;=1,"Lift",IF(AW423&lt;=0,"Aussenlager","teilweise")))))</f>
        <v>Lift</v>
      </c>
      <c r="BI423" s="48" t="str">
        <f aca="false">IF(BA423&lt;=0,"",IF(CC423="Aussen","Aussenlager",IF(CC423="-","Nicht im Lift",IF(BF423&gt;=1,"Lift",IF(BF423&lt;=0,"Aussenlager","teilweise")))))</f>
        <v>Lift</v>
      </c>
      <c r="BJ423" s="48" t="str">
        <f aca="false">IF(A423="","",IF(BS423=1,"Neu; ","")&amp;IF(AND(BS423=0,BN423&lt;0),"negativer Bestand (Export "&amp;BN423&amp;"); ","")&amp;IF(J423&lt;=0,"Kein Verbrauch; ","")&amp;IF(CL423&gt;0,"Lift "&amp;W423&amp;" lt. Liftbericht (Fach "&amp;X423&amp;" Stk); ",IF(BX423=1,"Gebinde geschätzt ("&amp;T423&amp;"); ",IF(BW423=1,"Lose – Tablare geschätzt; ","")))&amp;IF(H423&gt;AT423,"Überbestand "&amp;ROUND(H423-AT423,0)&amp;" Stk / CHF "&amp;ROUND((H423-AT423)*G423,0)&amp;"; ","")&amp;IF(AND(CE423=1,CF423&lt;CG423),"MAX &lt; MB+LG; ","")&amp;IF(AND(CK423&gt;0,CJ423*10&gt;CK423),"zu hoch für Tablar; ","")&amp;IF(AND(BS423=0,OR(CE423=1,AA423&lt;&gt;"",U423&lt;&gt;"",V423&lt;&gt;"",AB423&lt;&gt;"")),"manuell übersteuert; ","")&amp;IF(AND(BW423=0,R423=0),"Gebinde unbekannt / Stellmass fehlt; ","")&amp;IF(AND(BW423=0,N(V423)&lt;=0,N(Q423)&lt;=0),"Menge pro Gebinde fehlt (Ist = 1 Gebinde); ","")&amp;BR423)</f>
        <v>liegend gelagert</v>
      </c>
      <c r="BK423" s="48"/>
      <c r="BL423" s="48"/>
      <c r="BM423" s="55"/>
      <c r="BN423" s="50" t="n">
        <v>7</v>
      </c>
      <c r="BO423" s="50" t="n">
        <v>2</v>
      </c>
      <c r="BP423" s="49" t="n">
        <v>91.76</v>
      </c>
      <c r="BQ423" s="50" t="n">
        <v>1</v>
      </c>
      <c r="BR423" s="48" t="s">
        <v>979</v>
      </c>
      <c r="BS423" s="53" t="n">
        <v>0</v>
      </c>
      <c r="BT423" s="53" t="n">
        <v>423</v>
      </c>
      <c r="BU423" s="48" t="str">
        <f aca="false">IF(U423&lt;&gt;"",UPPER(TRIM(U423)),IF(BX423=1,UPPER(VLOOKUP(T423,Parameter!$I$27:$K$29,2,0)),IF(P423="","LOSE",P423)))</f>
        <v>S51</v>
      </c>
      <c r="BV423" s="50" t="n">
        <f aca="false">IF(BU423="LOSE",1,IF(N(V423)&gt;0,V423,IF(BX423=1,MAX(1,N(VLOOKUP(T423,Parameter!$I$27:$K$29,3,0)),H423,N(N423)),IF(N(Q423)&gt;0,Q423,MAX(1,H423)))))</f>
        <v>9</v>
      </c>
      <c r="BW423" s="53" t="n">
        <f aca="false">IF(BU423="LOSE",1,0)</f>
        <v>0</v>
      </c>
      <c r="BX423" s="53" t="n">
        <f aca="false">IF(AND(U423="",OR(P423="",P423="LOSE"),T423&lt;&gt;"",N(S423)&lt;=0,ISNUMBER(MATCH(T423,Parameter!$I$27:$I$29,0))),1,0)</f>
        <v>0</v>
      </c>
      <c r="BY423" s="53" t="n">
        <f aca="false">IF(CL423&gt;0,INDEX(Parameter!$H$5:$H$7,W423)/INDEX(Parameter!$E$5:$E$7,W423),IF(AND(BW423=0,N(IFERROR(VLOOKUP(BU423,'Gebinde-Kategorie'!$A$5:$N$45,14,0),0))&gt;0),VLOOKUP(BU423,'Gebinde-Kategorie'!$A$5:$N$45,14,0)*10+Parameter!$M$23,Parameter!$M$24))</f>
        <v>155</v>
      </c>
      <c r="BZ423" s="48" t="str">
        <f aca="false">IF(AND(Parameter!$B$19="Ja",E423&lt;&gt;"",ISNUMBER(MATCH(E423,Parameter!$I$35:$I$52,0))),VLOOKUP(E423,Parameter!$I$35:$J$52,2,0),IFERROR(VLOOKUP(D423,Parameter!$A$35:$C$64,2,0),"Nein"))</f>
        <v>2+3</v>
      </c>
      <c r="CA423" s="52" t="n">
        <f aca="false">IF(BW423=0,0,IF(N(S423)&gt;0,S423,IFERROR(VLOOKUP(D423,Parameter!$A$35:$C$64,3,0)+0,0)))</f>
        <v>0</v>
      </c>
      <c r="CB423" s="48" t="n">
        <f aca="false">IF(AA423&lt;&gt;"",AA423,Z423)</f>
        <v>3</v>
      </c>
      <c r="CC423" s="48" t="str">
        <f aca="false">IF(OR(CB423=1,CB423=2,CB423=3),IF(Parameter!$E$27="Ja","LIFT",IF(CB423=1,"L1","L23")),IF(CB423="Aussen","Aussen","-"))</f>
        <v>LIFT</v>
      </c>
      <c r="CD423" s="59" t="n">
        <f aca="false">IF(N(AB423)&gt;0,AB423,0)</f>
        <v>0</v>
      </c>
      <c r="CE423" s="53" t="n">
        <f aca="false">IF(ISNUMBER(AE423),1,0)</f>
        <v>0</v>
      </c>
      <c r="CF423" s="50" t="n">
        <f aca="false">N(AE423)</f>
        <v>0</v>
      </c>
      <c r="CG423" s="50" t="n">
        <f aca="false">N(M423)+N(N423)</f>
        <v>6</v>
      </c>
      <c r="CH423" s="50" t="n">
        <f aca="false">ROUNDUP(H423/BV423,0)</f>
        <v>1</v>
      </c>
      <c r="CI423" s="50" t="n">
        <f aca="false">ROUNDUP(CF423/BV423,0)</f>
        <v>0</v>
      </c>
      <c r="CJ423" s="53" t="n">
        <f aca="false">IF(BW423=1,0,IFERROR(VLOOKUP(BU423,'Gebinde-Kategorie'!$A$5:$N$45,5,0)+0,0))</f>
        <v>11</v>
      </c>
      <c r="CK423" s="53" t="n">
        <f aca="false">IFERROR(IF(OR(CB423=1,CB423=2,CB423=3),N(INDEX(Parameter!$I$5:$I$7,CB423)),0),0)</f>
        <v>0</v>
      </c>
      <c r="CL423" s="52" t="n">
        <f aca="false">IF(AND(Parameter!$B$21="Ja",ISNUMBER(W423),N(X423)&gt;0),IFERROR(N(INDEX(Parameter!$L$5:$L$7,W423))*INDEX(Parameter!$E$5:$E$7,W423)*X423/SUMIFS($X$7:$X$1843,$W$7:$W$1843,W423),0),0)</f>
        <v>0</v>
      </c>
    </row>
    <row r="424" customFormat="false" ht="15" hidden="false" customHeight="false" outlineLevel="0" collapsed="false">
      <c r="A424" s="48" t="s">
        <v>980</v>
      </c>
      <c r="B424" s="48" t="s">
        <v>981</v>
      </c>
      <c r="C424" s="48" t="s">
        <v>168</v>
      </c>
      <c r="D424" s="48" t="s">
        <v>188</v>
      </c>
      <c r="E424" s="48" t="s">
        <v>189</v>
      </c>
      <c r="F424" s="48" t="s">
        <v>222</v>
      </c>
      <c r="G424" s="49" t="n">
        <v>2.67</v>
      </c>
      <c r="H424" s="50" t="n">
        <f aca="false">MAX(0,IF(AND(Parameter!$B$21="Ja",ISNUMBER(Y424)),Y424,IF(Parameter!$B$20="Jahresanfang 2025 + Export",BO424+BN424,BN424)))</f>
        <v>45</v>
      </c>
      <c r="I424" s="50" t="n">
        <f aca="false">H424*G424</f>
        <v>120.15</v>
      </c>
      <c r="J424" s="50" t="n">
        <f aca="false">BQ424*Parameter!$B$18</f>
        <v>13</v>
      </c>
      <c r="K424" s="51" t="n">
        <v>19.5</v>
      </c>
      <c r="L424" s="52" t="n">
        <v>0.666666666666667</v>
      </c>
      <c r="M424" s="50" t="n">
        <v>0</v>
      </c>
      <c r="N424" s="50" t="n">
        <v>20</v>
      </c>
      <c r="O424" s="53" t="n">
        <v>14</v>
      </c>
      <c r="P424" s="48" t="s">
        <v>425</v>
      </c>
      <c r="Q424" s="50" t="n">
        <v>35</v>
      </c>
      <c r="R424" s="53" t="n">
        <f aca="false">IF(BW424=1,0,IFERROR(VLOOKUP(BU424,'Gebinde-Kategorie'!$A$5:$N$45,13,0)+0,0))</f>
        <v>104</v>
      </c>
      <c r="S424" s="54"/>
      <c r="T424" s="55"/>
      <c r="U424" s="55"/>
      <c r="V424" s="55"/>
      <c r="W424" s="48"/>
      <c r="X424" s="50"/>
      <c r="Y424" s="50"/>
      <c r="Z424" s="48" t="n">
        <f aca="false">IF(A424="","",IF(AND(Parameter!$B$21="Ja",ISNUMBER(W424)),W424,IF(BZ424="2+3",IF(ISNUMBER(SEARCH("grosser Artikel",BR424)),2,IFERROR(VLOOKUP(BU424,Parameter!$F$35:$G$64,2,0),2)),IF(OR(BZ424="Nein",BZ424=""),"-",BZ424))))</f>
        <v>3</v>
      </c>
      <c r="AA424" s="55"/>
      <c r="AB424" s="56"/>
      <c r="AC424" s="50" t="n">
        <f aca="false">AT424</f>
        <v>35</v>
      </c>
      <c r="AD424" s="50" t="n">
        <f aca="false">MAX(AT424,H424)</f>
        <v>45</v>
      </c>
      <c r="AE424" s="57"/>
      <c r="AF424" s="50" t="n">
        <f aca="false">IF(LEFT(Cockpit!$C$5,1)="A",H424,IF(CE424=1,CF424,IF(LEFT(Cockpit!$C$5,1)="B",AK424,MAX(AK424,H424))))</f>
        <v>45</v>
      </c>
      <c r="AG424" s="50" t="n">
        <f aca="false">IF(BW424=1,0,ROUNDUP(AF424/BV424,0))</f>
        <v>2</v>
      </c>
      <c r="AH424" s="52" t="n">
        <f aca="false">IF(CL424&gt;0,CL424*MAX(1,AF424/X424),IF(BW424=1,IF(AF424&lt;=0,0,CA424*MAX(1,IF(H424&gt;0,AF424/H424,1))),IF(R424&gt;0,AG424/R424,0))/MAX(0.1,N(Parameter!$M$21)))</f>
        <v>0.0192307692307692</v>
      </c>
      <c r="AI424" s="50" t="n">
        <f aca="false">AH424*BY424</f>
        <v>2.98076923076923</v>
      </c>
      <c r="AJ424" s="50" t="n">
        <f aca="false">AF424*G424</f>
        <v>120.15</v>
      </c>
      <c r="AK424" s="50" t="n">
        <f aca="false">ROUNDUP(MAX(J424/IF(CD424&gt;0,CD424,MAX(0.1,N(Cockpit!$C$6))),CG424)/BV424,0)*BV424</f>
        <v>35</v>
      </c>
      <c r="AL424" s="51" t="n">
        <f aca="false">IF(AI424&gt;0,J424/AI424,-1)</f>
        <v>4.36129032258065</v>
      </c>
      <c r="AM424" s="51" t="n">
        <f aca="false">IF(AND(OR(CC424="L1",CC424="L23",CC424="LIFT"),AI424&gt;0),SUMIFS($AI$7:$AI$1843,$CC$7:$CC$1843,CC424,$AL$7:$AL$1843,"&gt;"&amp;AL424)+SUMIFS($AI$7:$AI$1843,$CC$7:$CC$1843,CC424,$AL$7:$AL$1843,AL424,$BT$7:$BT$1843,"&lt;="&amp;BT424),"")</f>
        <v>4183.59294871795</v>
      </c>
      <c r="AN424" s="58" t="n">
        <f aca="false">IF(AM424="",0,MAX(0,MIN(1,(IF(CC424="L1",Parameter!$H$5,IF(CC424="L23",Parameter!$H$6+Parameter!$H$7,Parameter!$H$5+Parameter!$H$6+Parameter!$H$7))-(AM424-AI424))/AI424)))</f>
        <v>1</v>
      </c>
      <c r="AO424" s="50" t="n">
        <f aca="false">IF(LEFT(Cockpit!$I$5,1)="A",H424,IF(CE424=1,CF424,IF(LEFT(Cockpit!$I$5,1)="B",AT424,MAX(AT424,H424))))</f>
        <v>45</v>
      </c>
      <c r="AP424" s="50" t="n">
        <f aca="false">IF(BW424=1,0,ROUNDUP(AO424/BV424,0))</f>
        <v>2</v>
      </c>
      <c r="AQ424" s="52" t="n">
        <f aca="false">IF(CL424&gt;0,CL424*MAX(1,AO424/X424),IF(BW424=1,IF(AO424&lt;=0,0,CA424*MAX(1,IF(H424&gt;0,AO424/H424,1))),IF(R424&gt;0,AP424/R424,0))/MAX(0.1,N(Parameter!$M$21)))</f>
        <v>0.0192307692307692</v>
      </c>
      <c r="AR424" s="50" t="n">
        <f aca="false">AQ424*BY424</f>
        <v>2.98076923076923</v>
      </c>
      <c r="AS424" s="50" t="n">
        <f aca="false">AO424*G424</f>
        <v>120.15</v>
      </c>
      <c r="AT424" s="50" t="n">
        <f aca="false">ROUNDUP(MAX(J424/IF(CD424&gt;0,CD424,MAX(0.1,N(Cockpit!$I$6))),CG424)/BV424,0)*BV424</f>
        <v>35</v>
      </c>
      <c r="AU424" s="51" t="n">
        <f aca="false">IF(AR424&gt;0,J424/AR424,-1)</f>
        <v>4.36129032258065</v>
      </c>
      <c r="AV424" s="51" t="n">
        <f aca="false">IF(AND(OR(CC424="L1",CC424="L23",CC424="LIFT"),AR424&gt;0),SUMIFS($AR$7:$AR$1843,$CC$7:$CC$1843,CC424,$AU$7:$AU$1843,"&gt;"&amp;AU424)+SUMIFS($AR$7:$AR$1843,$CC$7:$CC$1843,CC424,$AU$7:$AU$1843,AU424,$BT$7:$BT$1843,"&lt;="&amp;BT424),"")</f>
        <v>5332.14331501832</v>
      </c>
      <c r="AW424" s="58" t="n">
        <f aca="false">IF(AV424="",0,MAX(0,MIN(1,(IF(CC424="L1",Parameter!$H$5,IF(CC424="L23",Parameter!$H$6+Parameter!$H$7,Parameter!$H$5+Parameter!$H$6+Parameter!$H$7))-(AV424-AR424))/AR424)))</f>
        <v>1</v>
      </c>
      <c r="AX424" s="50" t="n">
        <f aca="false">IF(LEFT(Cockpit!$O$5,1)="A",H424,IF(CE424=1,CF424,IF(LEFT(Cockpit!$O$5,1)="B",BC424,MAX(BC424,H424))))</f>
        <v>45</v>
      </c>
      <c r="AY424" s="50" t="n">
        <f aca="false">IF(BW424=1,0,ROUNDUP(AX424/BV424,0))</f>
        <v>2</v>
      </c>
      <c r="AZ424" s="52" t="n">
        <f aca="false">IF(CL424&gt;0,CL424*MAX(1,AX424/X424),IF(BW424=1,IF(AX424&lt;=0,0,CA424*MAX(1,IF(H424&gt;0,AX424/H424,1))),IF(R424&gt;0,AY424/R424,0))/MAX(0.1,N(Parameter!$M$21)))</f>
        <v>0.0192307692307692</v>
      </c>
      <c r="BA424" s="50" t="n">
        <f aca="false">AZ424*BY424</f>
        <v>2.98076923076923</v>
      </c>
      <c r="BB424" s="50" t="n">
        <f aca="false">AX424*G424</f>
        <v>120.15</v>
      </c>
      <c r="BC424" s="50" t="n">
        <f aca="false">ROUNDUP(MAX(J424/IF(CD424&gt;0,CD424,MAX(0.1,N(Cockpit!$O$6))),CG424)/BV424,0)*BV424</f>
        <v>35</v>
      </c>
      <c r="BD424" s="51" t="n">
        <f aca="false">IF(BA424&gt;0,J424/BA424,-1)</f>
        <v>4.36129032258065</v>
      </c>
      <c r="BE424" s="51" t="n">
        <f aca="false">IF(AND(OR(CC424="L1",CC424="L23",CC424="LIFT"),BA424&gt;0),SUMIFS($BA$7:$BA$1843,$CC$7:$CC$1843,CC424,$BD$7:$BD$1843,"&gt;"&amp;BD424)+SUMIFS($BA$7:$BA$1843,$CC$7:$CC$1843,CC424,$BD$7:$BD$1843,BD424,$BT$7:$BT$1843,"&lt;="&amp;BT424),"")</f>
        <v>5002.60805860806</v>
      </c>
      <c r="BF424" s="58" t="n">
        <f aca="false">IF(BE424="",0,MAX(0,MIN(1,(IF(CC424="L1",Parameter!$H$5,IF(CC424="L23",Parameter!$H$6+Parameter!$H$7,Parameter!$H$5+Parameter!$H$6+Parameter!$H$7))-(BE424-BA424))/BA424)))</f>
        <v>1</v>
      </c>
      <c r="BG424" s="48" t="str">
        <f aca="false">IF(AI424&lt;=0,"",IF(CC424="Aussen","Aussenlager",IF(CC424="-","Nicht im Lift",IF(AN424&gt;=1,"Lift",IF(AN424&lt;=0,"Aussenlager","teilweise")))))</f>
        <v>Lift</v>
      </c>
      <c r="BH424" s="48" t="str">
        <f aca="false">IF(AR424&lt;=0,"",IF(CC424="Aussen","Aussenlager",IF(CC424="-","Nicht im Lift",IF(AW424&gt;=1,"Lift",IF(AW424&lt;=0,"Aussenlager","teilweise")))))</f>
        <v>Lift</v>
      </c>
      <c r="BI424" s="48" t="str">
        <f aca="false">IF(BA424&lt;=0,"",IF(CC424="Aussen","Aussenlager",IF(CC424="-","Nicht im Lift",IF(BF424&gt;=1,"Lift",IF(BF424&lt;=0,"Aussenlager","teilweise")))))</f>
        <v>Lift</v>
      </c>
      <c r="BJ424" s="48" t="str">
        <f aca="false">IF(A424="","",IF(BS424=1,"Neu; ","")&amp;IF(AND(BS424=0,BN424&lt;0),"negativer Bestand (Export "&amp;BN424&amp;"); ","")&amp;IF(J424&lt;=0,"Kein Verbrauch; ","")&amp;IF(CL424&gt;0,"Lift "&amp;W424&amp;" lt. Liftbericht (Fach "&amp;X424&amp;" Stk); ",IF(BX424=1,"Gebinde geschätzt ("&amp;T424&amp;"); ",IF(BW424=1,"Lose – Tablare geschätzt; ","")))&amp;IF(H424&gt;AT424,"Überbestand "&amp;ROUND(H424-AT424,0)&amp;" Stk / CHF "&amp;ROUND((H424-AT424)*G424,0)&amp;"; ","")&amp;IF(AND(CE424=1,CF424&lt;CG424),"MAX &lt; MB+LG; ","")&amp;IF(AND(CK424&gt;0,CJ424*10&gt;CK424),"zu hoch für Tablar; ","")&amp;IF(AND(BS424=0,OR(CE424=1,AA424&lt;&gt;"",U424&lt;&gt;"",V424&lt;&gt;"",AB424&lt;&gt;"")),"manuell übersteuert; ","")&amp;IF(AND(BW424=0,R424=0),"Gebinde unbekannt / Stellmass fehlt; ","")&amp;IF(AND(BW424=0,N(V424)&lt;=0,N(Q424)&lt;=0),"Menge pro Gebinde fehlt (Ist = 1 Gebinde); ","")&amp;BR424)</f>
        <v>Überbestand 10 Stk / CHF 27; </v>
      </c>
      <c r="BK424" s="48"/>
      <c r="BL424" s="48"/>
      <c r="BM424" s="55"/>
      <c r="BN424" s="50" t="n">
        <v>34</v>
      </c>
      <c r="BO424" s="50" t="n">
        <v>11</v>
      </c>
      <c r="BP424" s="49" t="n">
        <v>90.23</v>
      </c>
      <c r="BQ424" s="50" t="n">
        <v>13</v>
      </c>
      <c r="BR424" s="48"/>
      <c r="BS424" s="53" t="n">
        <v>0</v>
      </c>
      <c r="BT424" s="53" t="n">
        <v>424</v>
      </c>
      <c r="BU424" s="48" t="str">
        <f aca="false">IF(U424&lt;&gt;"",UPPER(TRIM(U424)),IF(BX424=1,UPPER(VLOOKUP(T424,Parameter!$I$27:$K$29,2,0)),IF(P424="","LOSE",P424)))</f>
        <v>S32</v>
      </c>
      <c r="BV424" s="50" t="n">
        <f aca="false">IF(BU424="LOSE",1,IF(N(V424)&gt;0,V424,IF(BX424=1,MAX(1,N(VLOOKUP(T424,Parameter!$I$27:$K$29,3,0)),H424,N(N424)),IF(N(Q424)&gt;0,Q424,MAX(1,H424)))))</f>
        <v>35</v>
      </c>
      <c r="BW424" s="53" t="n">
        <f aca="false">IF(BU424="LOSE",1,0)</f>
        <v>0</v>
      </c>
      <c r="BX424" s="53" t="n">
        <f aca="false">IF(AND(U424="",OR(P424="",P424="LOSE"),T424&lt;&gt;"",N(S424)&lt;=0,ISNUMBER(MATCH(T424,Parameter!$I$27:$I$29,0))),1,0)</f>
        <v>0</v>
      </c>
      <c r="BY424" s="53" t="n">
        <f aca="false">IF(CL424&gt;0,INDEX(Parameter!$H$5:$H$7,W424)/INDEX(Parameter!$E$5:$E$7,W424),IF(AND(BW424=0,N(IFERROR(VLOOKUP(BU424,'Gebinde-Kategorie'!$A$5:$N$45,14,0),0))&gt;0),VLOOKUP(BU424,'Gebinde-Kategorie'!$A$5:$N$45,14,0)*10+Parameter!$M$23,Parameter!$M$24))</f>
        <v>155</v>
      </c>
      <c r="BZ424" s="48" t="str">
        <f aca="false">IF(AND(Parameter!$B$19="Ja",E424&lt;&gt;"",ISNUMBER(MATCH(E424,Parameter!$I$35:$I$52,0))),VLOOKUP(E424,Parameter!$I$35:$J$52,2,0),IFERROR(VLOOKUP(D424,Parameter!$A$35:$C$64,2,0),"Nein"))</f>
        <v>2+3</v>
      </c>
      <c r="CA424" s="52" t="n">
        <f aca="false">IF(BW424=0,0,IF(N(S424)&gt;0,S424,IFERROR(VLOOKUP(D424,Parameter!$A$35:$C$64,3,0)+0,0)))</f>
        <v>0</v>
      </c>
      <c r="CB424" s="48" t="n">
        <f aca="false">IF(AA424&lt;&gt;"",AA424,Z424)</f>
        <v>3</v>
      </c>
      <c r="CC424" s="48" t="str">
        <f aca="false">IF(OR(CB424=1,CB424=2,CB424=3),IF(Parameter!$E$27="Ja","LIFT",IF(CB424=1,"L1","L23")),IF(CB424="Aussen","Aussen","-"))</f>
        <v>LIFT</v>
      </c>
      <c r="CD424" s="59" t="n">
        <f aca="false">IF(N(AB424)&gt;0,AB424,0)</f>
        <v>0</v>
      </c>
      <c r="CE424" s="53" t="n">
        <f aca="false">IF(ISNUMBER(AE424),1,0)</f>
        <v>0</v>
      </c>
      <c r="CF424" s="50" t="n">
        <f aca="false">N(AE424)</f>
        <v>0</v>
      </c>
      <c r="CG424" s="50" t="n">
        <f aca="false">N(M424)+N(N424)</f>
        <v>20</v>
      </c>
      <c r="CH424" s="50" t="n">
        <f aca="false">ROUNDUP(H424/BV424,0)</f>
        <v>2</v>
      </c>
      <c r="CI424" s="50" t="n">
        <f aca="false">ROUNDUP(CF424/BV424,0)</f>
        <v>0</v>
      </c>
      <c r="CJ424" s="53" t="n">
        <f aca="false">IF(BW424=1,0,IFERROR(VLOOKUP(BU424,'Gebinde-Kategorie'!$A$5:$N$45,5,0)+0,0))</f>
        <v>8</v>
      </c>
      <c r="CK424" s="53" t="n">
        <f aca="false">IFERROR(IF(OR(CB424=1,CB424=2,CB424=3),N(INDEX(Parameter!$I$5:$I$7,CB424)),0),0)</f>
        <v>0</v>
      </c>
      <c r="CL424" s="52" t="n">
        <f aca="false">IF(AND(Parameter!$B$21="Ja",ISNUMBER(W424),N(X424)&gt;0),IFERROR(N(INDEX(Parameter!$L$5:$L$7,W424))*INDEX(Parameter!$E$5:$E$7,W424)*X424/SUMIFS($X$7:$X$1843,$W$7:$W$1843,W424),0),0)</f>
        <v>0</v>
      </c>
    </row>
    <row r="425" customFormat="false" ht="15" hidden="false" customHeight="false" outlineLevel="0" collapsed="false">
      <c r="A425" s="48" t="s">
        <v>982</v>
      </c>
      <c r="B425" s="48" t="s">
        <v>983</v>
      </c>
      <c r="C425" s="48" t="s">
        <v>168</v>
      </c>
      <c r="D425" s="48" t="s">
        <v>177</v>
      </c>
      <c r="E425" s="48" t="s">
        <v>189</v>
      </c>
      <c r="F425" s="48" t="s">
        <v>222</v>
      </c>
      <c r="G425" s="49" t="n">
        <v>74.27</v>
      </c>
      <c r="H425" s="50" t="n">
        <f aca="false">MAX(0,IF(AND(Parameter!$B$21="Ja",ISNUMBER(Y425)),Y425,IF(Parameter!$B$20="Jahresanfang 2025 + Export",BO425+BN425,BN425)))</f>
        <v>3</v>
      </c>
      <c r="I425" s="50" t="n">
        <f aca="false">H425*G425</f>
        <v>222.81</v>
      </c>
      <c r="J425" s="50" t="n">
        <f aca="false">BQ425*Parameter!$B$18</f>
        <v>26</v>
      </c>
      <c r="K425" s="51" t="n">
        <v>1.5</v>
      </c>
      <c r="L425" s="52" t="n">
        <v>17.3333333333333</v>
      </c>
      <c r="M425" s="50" t="n">
        <v>2</v>
      </c>
      <c r="N425" s="50" t="n">
        <v>2</v>
      </c>
      <c r="O425" s="53" t="n">
        <v>21</v>
      </c>
      <c r="P425" s="48" t="s">
        <v>172</v>
      </c>
      <c r="Q425" s="50"/>
      <c r="R425" s="53" t="n">
        <f aca="false">IF(BW425=1,0,IFERROR(VLOOKUP(BU425,'Gebinde-Kategorie'!$A$5:$N$45,13,0)+0,0))</f>
        <v>4</v>
      </c>
      <c r="S425" s="54"/>
      <c r="T425" s="55" t="s">
        <v>193</v>
      </c>
      <c r="U425" s="55"/>
      <c r="V425" s="55"/>
      <c r="W425" s="48"/>
      <c r="X425" s="50"/>
      <c r="Y425" s="50"/>
      <c r="Z425" s="48" t="n">
        <f aca="false">IF(A425="","",IF(AND(Parameter!$B$21="Ja",ISNUMBER(W425)),W425,IF(BZ425="2+3",IF(ISNUMBER(SEARCH("grosser Artikel",BR425)),2,IFERROR(VLOOKUP(BU425,Parameter!$F$35:$G$64,2,0),2)),IF(OR(BZ425="Nein",BZ425=""),"-",BZ425))))</f>
        <v>2</v>
      </c>
      <c r="AA425" s="55"/>
      <c r="AB425" s="56"/>
      <c r="AC425" s="50" t="n">
        <f aca="false">AT425</f>
        <v>15</v>
      </c>
      <c r="AD425" s="50" t="n">
        <f aca="false">MAX(AT425,H425)</f>
        <v>15</v>
      </c>
      <c r="AE425" s="57"/>
      <c r="AF425" s="50" t="n">
        <f aca="false">IF(LEFT(Cockpit!$C$5,1)="A",H425,IF(CE425=1,CF425,IF(LEFT(Cockpit!$C$5,1)="B",AK425,MAX(AK425,H425))))</f>
        <v>3</v>
      </c>
      <c r="AG425" s="50" t="n">
        <f aca="false">IF(BW425=1,0,ROUNDUP(AF425/BV425,0))</f>
        <v>1</v>
      </c>
      <c r="AH425" s="52" t="n">
        <f aca="false">IF(CL425&gt;0,CL425*MAX(1,AF425/X425),IF(BW425=1,IF(AF425&lt;=0,0,CA425*MAX(1,IF(H425&gt;0,AF425/H425,1))),IF(R425&gt;0,AG425/R425,0))/MAX(0.1,N(Parameter!$M$21)))</f>
        <v>0.25</v>
      </c>
      <c r="AI425" s="50" t="n">
        <f aca="false">AH425*BY425</f>
        <v>58.75</v>
      </c>
      <c r="AJ425" s="50" t="n">
        <f aca="false">AF425*G425</f>
        <v>222.81</v>
      </c>
      <c r="AK425" s="50" t="n">
        <f aca="false">ROUNDUP(MAX(J425/IF(CD425&gt;0,CD425,MAX(0.1,N(Cockpit!$C$6))),CG425)/BV425,0)*BV425</f>
        <v>15</v>
      </c>
      <c r="AL425" s="51" t="n">
        <f aca="false">IF(AI425&gt;0,J425/AI425,-1)</f>
        <v>0.442553191489362</v>
      </c>
      <c r="AM425" s="51" t="n">
        <f aca="false">IF(AND(OR(CC425="L1",CC425="L23",CC425="LIFT"),AI425&gt;0),SUMIFS($AI$7:$AI$1843,$CC$7:$CC$1843,CC425,$AL$7:$AL$1843,"&gt;"&amp;AL425)+SUMIFS($AI$7:$AI$1843,$CC$7:$CC$1843,CC425,$AL$7:$AL$1843,AL425,$BT$7:$BT$1843,"&lt;="&amp;BT425),"")</f>
        <v>9924.49356128805</v>
      </c>
      <c r="AN425" s="58" t="n">
        <f aca="false">IF(AM425="",0,MAX(0,MIN(1,(IF(CC425="L1",Parameter!$H$5,IF(CC425="L23",Parameter!$H$6+Parameter!$H$7,Parameter!$H$5+Parameter!$H$6+Parameter!$H$7))-(AM425-AI425))/AI425)))</f>
        <v>1</v>
      </c>
      <c r="AO425" s="50" t="n">
        <f aca="false">IF(LEFT(Cockpit!$I$5,1)="A",H425,IF(CE425=1,CF425,IF(LEFT(Cockpit!$I$5,1)="B",AT425,MAX(AT425,H425))))</f>
        <v>15</v>
      </c>
      <c r="AP425" s="50" t="n">
        <f aca="false">IF(BW425=1,0,ROUNDUP(AO425/BV425,0))</f>
        <v>5</v>
      </c>
      <c r="AQ425" s="52" t="n">
        <f aca="false">IF(CL425&gt;0,CL425*MAX(1,AO425/X425),IF(BW425=1,IF(AO425&lt;=0,0,CA425*MAX(1,IF(H425&gt;0,AO425/H425,1))),IF(R425&gt;0,AP425/R425,0))/MAX(0.1,N(Parameter!$M$21)))</f>
        <v>1.25</v>
      </c>
      <c r="AR425" s="50" t="n">
        <f aca="false">AQ425*BY425</f>
        <v>293.75</v>
      </c>
      <c r="AS425" s="50" t="n">
        <f aca="false">AO425*G425</f>
        <v>1114.05</v>
      </c>
      <c r="AT425" s="50" t="n">
        <f aca="false">ROUNDUP(MAX(J425/IF(CD425&gt;0,CD425,MAX(0.1,N(Cockpit!$I$6))),CG425)/BV425,0)*BV425</f>
        <v>15</v>
      </c>
      <c r="AU425" s="51" t="n">
        <f aca="false">IF(AR425&gt;0,J425/AR425,-1)</f>
        <v>0.0885106382978723</v>
      </c>
      <c r="AV425" s="51" t="n">
        <f aca="false">IF(AND(OR(CC425="L1",CC425="L23",CC425="LIFT"),AR425&gt;0),SUMIFS($AR$7:$AR$1843,$CC$7:$CC$1843,CC425,$AU$7:$AU$1843,"&gt;"&amp;AU425)+SUMIFS($AR$7:$AR$1843,$CC$7:$CC$1843,CC425,$AU$7:$AU$1843,AU425,$BT$7:$BT$1843,"&lt;="&amp;BT425),"")</f>
        <v>24861.1878763891</v>
      </c>
      <c r="AW425" s="58" t="n">
        <f aca="false">IF(AV425="",0,MAX(0,MIN(1,(IF(CC425="L1",Parameter!$H$5,IF(CC425="L23",Parameter!$H$6+Parameter!$H$7,Parameter!$H$5+Parameter!$H$6+Parameter!$H$7))-(AV425-AR425))/AR425)))</f>
        <v>1</v>
      </c>
      <c r="AX425" s="50" t="n">
        <f aca="false">IF(LEFT(Cockpit!$O$5,1)="A",H425,IF(CE425=1,CF425,IF(LEFT(Cockpit!$O$5,1)="B",BC425,MAX(BC425,H425))))</f>
        <v>9</v>
      </c>
      <c r="AY425" s="50" t="n">
        <f aca="false">IF(BW425=1,0,ROUNDUP(AX425/BV425,0))</f>
        <v>3</v>
      </c>
      <c r="AZ425" s="52" t="n">
        <f aca="false">IF(CL425&gt;0,CL425*MAX(1,AX425/X425),IF(BW425=1,IF(AX425&lt;=0,0,CA425*MAX(1,IF(H425&gt;0,AX425/H425,1))),IF(R425&gt;0,AY425/R425,0))/MAX(0.1,N(Parameter!$M$21)))</f>
        <v>0.75</v>
      </c>
      <c r="BA425" s="50" t="n">
        <f aca="false">AZ425*BY425</f>
        <v>176.25</v>
      </c>
      <c r="BB425" s="50" t="n">
        <f aca="false">AX425*G425</f>
        <v>668.43</v>
      </c>
      <c r="BC425" s="50" t="n">
        <f aca="false">ROUNDUP(MAX(J425/IF(CD425&gt;0,CD425,MAX(0.1,N(Cockpit!$O$6))),CG425)/BV425,0)*BV425</f>
        <v>9</v>
      </c>
      <c r="BD425" s="51" t="n">
        <f aca="false">IF(BA425&gt;0,J425/BA425,-1)</f>
        <v>0.147517730496454</v>
      </c>
      <c r="BE425" s="51" t="n">
        <f aca="false">IF(AND(OR(CC425="L1",CC425="L23",CC425="LIFT"),BA425&gt;0),SUMIFS($BA$7:$BA$1843,$CC$7:$CC$1843,CC425,$BD$7:$BD$1843,"&gt;"&amp;BD425)+SUMIFS($BA$7:$BA$1843,$CC$7:$CC$1843,CC425,$BD$7:$BD$1843,BD425,$BT$7:$BT$1843,"&lt;="&amp;BT425),"")</f>
        <v>18863.839893628</v>
      </c>
      <c r="BF425" s="58" t="n">
        <f aca="false">IF(BE425="",0,MAX(0,MIN(1,(IF(CC425="L1",Parameter!$H$5,IF(CC425="L23",Parameter!$H$6+Parameter!$H$7,Parameter!$H$5+Parameter!$H$6+Parameter!$H$7))-(BE425-BA425))/BA425)))</f>
        <v>1</v>
      </c>
      <c r="BG425" s="48" t="str">
        <f aca="false">IF(AI425&lt;=0,"",IF(CC425="Aussen","Aussenlager",IF(CC425="-","Nicht im Lift",IF(AN425&gt;=1,"Lift",IF(AN425&lt;=0,"Aussenlager","teilweise")))))</f>
        <v>Lift</v>
      </c>
      <c r="BH425" s="48" t="str">
        <f aca="false">IF(AR425&lt;=0,"",IF(CC425="Aussen","Aussenlager",IF(CC425="-","Nicht im Lift",IF(AW425&gt;=1,"Lift",IF(AW425&lt;=0,"Aussenlager","teilweise")))))</f>
        <v>Lift</v>
      </c>
      <c r="BI425" s="48" t="str">
        <f aca="false">IF(BA425&lt;=0,"",IF(CC425="Aussen","Aussenlager",IF(CC425="-","Nicht im Lift",IF(BF425&gt;=1,"Lift",IF(BF425&lt;=0,"Aussenlager","teilweise")))))</f>
        <v>Lift</v>
      </c>
      <c r="BJ425" s="48" t="str">
        <f aca="false">IF(A425="","",IF(BS425=1,"Neu; ","")&amp;IF(AND(BS425=0,BN425&lt;0),"negativer Bestand (Export "&amp;BN425&amp;"); ","")&amp;IF(J425&lt;=0,"Kein Verbrauch; ","")&amp;IF(CL425&gt;0,"Lift "&amp;W425&amp;" lt. Liftbericht (Fach "&amp;X425&amp;" Stk); ",IF(BX425=1,"Gebinde geschätzt ("&amp;T425&amp;"); ",IF(BW425=1,"Lose – Tablare geschätzt; ","")))&amp;IF(H425&gt;AT425,"Überbestand "&amp;ROUND(H425-AT425,0)&amp;" Stk / CHF "&amp;ROUND((H425-AT425)*G425,0)&amp;"; ","")&amp;IF(AND(CE425=1,CF425&lt;CG425),"MAX &lt; MB+LG; ","")&amp;IF(AND(CK425&gt;0,CJ425*10&gt;CK425),"zu hoch für Tablar; ","")&amp;IF(AND(BS425=0,OR(CE425=1,AA425&lt;&gt;"",U425&lt;&gt;"",V425&lt;&gt;"",AB425&lt;&gt;"")),"manuell übersteuert; ","")&amp;IF(AND(BW425=0,R425=0),"Gebinde unbekannt / Stellmass fehlt; ","")&amp;IF(AND(BW425=0,N(V425)&lt;=0,N(Q425)&lt;=0),"Menge pro Gebinde fehlt (Ist = 1 Gebinde); ","")&amp;BR425)</f>
        <v>Gebinde geschätzt (Gross); Menge pro Gebinde fehlt (Ist = 1 Gebinde); grosser Artikel &amp; nicht im KTL</v>
      </c>
      <c r="BK425" s="48"/>
      <c r="BL425" s="48"/>
      <c r="BM425" s="55"/>
      <c r="BN425" s="50" t="n">
        <v>1</v>
      </c>
      <c r="BO425" s="50" t="n">
        <v>2</v>
      </c>
      <c r="BP425" s="49" t="n">
        <v>90.0999999999997</v>
      </c>
      <c r="BQ425" s="50" t="n">
        <v>26</v>
      </c>
      <c r="BR425" s="48" t="s">
        <v>265</v>
      </c>
      <c r="BS425" s="53" t="n">
        <v>0</v>
      </c>
      <c r="BT425" s="53" t="n">
        <v>425</v>
      </c>
      <c r="BU425" s="48" t="str">
        <f aca="false">IF(U425&lt;&gt;"",UPPER(TRIM(U425)),IF(BX425=1,UPPER(VLOOKUP(T425,Parameter!$I$27:$K$29,2,0)),IF(P425="","LOSE",P425)))</f>
        <v>S81</v>
      </c>
      <c r="BV425" s="50" t="n">
        <f aca="false">IF(BU425="LOSE",1,IF(N(V425)&gt;0,V425,IF(BX425=1,MAX(1,N(VLOOKUP(T425,Parameter!$I$27:$K$29,3,0)),H425,N(N425)),IF(N(Q425)&gt;0,Q425,MAX(1,H425)))))</f>
        <v>3</v>
      </c>
      <c r="BW425" s="53" t="n">
        <f aca="false">IF(BU425="LOSE",1,0)</f>
        <v>0</v>
      </c>
      <c r="BX425" s="53" t="n">
        <f aca="false">IF(AND(U425="",OR(P425="",P425="LOSE"),T425&lt;&gt;"",N(S425)&lt;=0,ISNUMBER(MATCH(T425,Parameter!$I$27:$I$29,0))),1,0)</f>
        <v>1</v>
      </c>
      <c r="BY425" s="53" t="n">
        <f aca="false">IF(CL425&gt;0,INDEX(Parameter!$H$5:$H$7,W425)/INDEX(Parameter!$E$5:$E$7,W425),IF(AND(BW425=0,N(IFERROR(VLOOKUP(BU425,'Gebinde-Kategorie'!$A$5:$N$45,14,0),0))&gt;0),VLOOKUP(BU425,'Gebinde-Kategorie'!$A$5:$N$45,14,0)*10+Parameter!$M$23,Parameter!$M$24))</f>
        <v>235</v>
      </c>
      <c r="BZ425" s="48" t="str">
        <f aca="false">IF(AND(Parameter!$B$19="Ja",E425&lt;&gt;"",ISNUMBER(MATCH(E425,Parameter!$I$35:$I$52,0))),VLOOKUP(E425,Parameter!$I$35:$J$52,2,0),IFERROR(VLOOKUP(D425,Parameter!$A$35:$C$64,2,0),"Nein"))</f>
        <v>2+3</v>
      </c>
      <c r="CA425" s="52" t="n">
        <f aca="false">IF(BW425=0,0,IF(N(S425)&gt;0,S425,IFERROR(VLOOKUP(D425,Parameter!$A$35:$C$64,3,0)+0,0)))</f>
        <v>0</v>
      </c>
      <c r="CB425" s="48" t="n">
        <f aca="false">IF(AA425&lt;&gt;"",AA425,Z425)</f>
        <v>2</v>
      </c>
      <c r="CC425" s="48" t="str">
        <f aca="false">IF(OR(CB425=1,CB425=2,CB425=3),IF(Parameter!$E$27="Ja","LIFT",IF(CB425=1,"L1","L23")),IF(CB425="Aussen","Aussen","-"))</f>
        <v>LIFT</v>
      </c>
      <c r="CD425" s="59" t="n">
        <f aca="false">IF(N(AB425)&gt;0,AB425,0)</f>
        <v>0</v>
      </c>
      <c r="CE425" s="53" t="n">
        <f aca="false">IF(ISNUMBER(AE425),1,0)</f>
        <v>0</v>
      </c>
      <c r="CF425" s="50" t="n">
        <f aca="false">N(AE425)</f>
        <v>0</v>
      </c>
      <c r="CG425" s="50" t="n">
        <f aca="false">N(M425)+N(N425)</f>
        <v>4</v>
      </c>
      <c r="CH425" s="50" t="n">
        <f aca="false">ROUNDUP(H425/BV425,0)</f>
        <v>1</v>
      </c>
      <c r="CI425" s="50" t="n">
        <f aca="false">ROUNDUP(CF425/BV425,0)</f>
        <v>0</v>
      </c>
      <c r="CJ425" s="53" t="n">
        <f aca="false">IF(BW425=1,0,IFERROR(VLOOKUP(BU425,'Gebinde-Kategorie'!$A$5:$N$45,5,0)+0,0))</f>
        <v>20</v>
      </c>
      <c r="CK425" s="53" t="n">
        <f aca="false">IFERROR(IF(OR(CB425=1,CB425=2,CB425=3),N(INDEX(Parameter!$I$5:$I$7,CB425)),0),0)</f>
        <v>0</v>
      </c>
      <c r="CL425" s="52" t="n">
        <f aca="false">IF(AND(Parameter!$B$21="Ja",ISNUMBER(W425),N(X425)&gt;0),IFERROR(N(INDEX(Parameter!$L$5:$L$7,W425))*INDEX(Parameter!$E$5:$E$7,W425)*X425/SUMIFS($X$7:$X$1843,$W$7:$W$1843,W425),0),0)</f>
        <v>0</v>
      </c>
    </row>
    <row r="426" customFormat="false" ht="15" hidden="false" customHeight="false" outlineLevel="0" collapsed="false">
      <c r="A426" s="48" t="s">
        <v>984</v>
      </c>
      <c r="B426" s="48" t="s">
        <v>985</v>
      </c>
      <c r="C426" s="48" t="s">
        <v>168</v>
      </c>
      <c r="D426" s="48" t="s">
        <v>188</v>
      </c>
      <c r="E426" s="48"/>
      <c r="F426" s="48" t="s">
        <v>222</v>
      </c>
      <c r="G426" s="49" t="n">
        <v>0.1</v>
      </c>
      <c r="H426" s="50" t="n">
        <f aca="false">MAX(0,IF(AND(Parameter!$B$21="Ja",ISNUMBER(Y426)),Y426,IF(Parameter!$B$20="Jahresanfang 2025 + Export",BO426+BN426,BN426)))</f>
        <v>1000</v>
      </c>
      <c r="I426" s="50" t="n">
        <f aca="false">H426*G426</f>
        <v>100</v>
      </c>
      <c r="J426" s="50" t="n">
        <f aca="false">BQ426*Parameter!$B$18</f>
        <v>701</v>
      </c>
      <c r="K426" s="51" t="n">
        <v>551.5</v>
      </c>
      <c r="L426" s="52" t="n">
        <v>1.27107887579329</v>
      </c>
      <c r="M426" s="50" t="n">
        <v>40</v>
      </c>
      <c r="N426" s="50" t="n">
        <v>1000</v>
      </c>
      <c r="O426" s="53" t="n">
        <v>21</v>
      </c>
      <c r="P426" s="48" t="s">
        <v>306</v>
      </c>
      <c r="Q426" s="50" t="n">
        <v>1000</v>
      </c>
      <c r="R426" s="53" t="n">
        <f aca="false">IF(BW426=1,0,IFERROR(VLOOKUP(BU426,'Gebinde-Kategorie'!$A$5:$N$45,13,0)+0,0))</f>
        <v>26</v>
      </c>
      <c r="S426" s="54"/>
      <c r="T426" s="55"/>
      <c r="U426" s="55"/>
      <c r="V426" s="55"/>
      <c r="W426" s="48"/>
      <c r="X426" s="50"/>
      <c r="Y426" s="50"/>
      <c r="Z426" s="48" t="n">
        <f aca="false">IF(A426="","",IF(AND(Parameter!$B$21="Ja",ISNUMBER(W426)),W426,IF(BZ426="2+3",IF(ISNUMBER(SEARCH("grosser Artikel",BR426)),2,IFERROR(VLOOKUP(BU426,Parameter!$F$35:$G$64,2,0),2)),IF(OR(BZ426="Nein",BZ426=""),"-",BZ426))))</f>
        <v>3</v>
      </c>
      <c r="AA426" s="55"/>
      <c r="AB426" s="56"/>
      <c r="AC426" s="50" t="n">
        <f aca="false">AT426</f>
        <v>2000</v>
      </c>
      <c r="AD426" s="50" t="n">
        <f aca="false">MAX(AT426,H426)</f>
        <v>2000</v>
      </c>
      <c r="AE426" s="57"/>
      <c r="AF426" s="50" t="n">
        <f aca="false">IF(LEFT(Cockpit!$C$5,1)="A",H426,IF(CE426=1,CF426,IF(LEFT(Cockpit!$C$5,1)="B",AK426,MAX(AK426,H426))))</f>
        <v>1000</v>
      </c>
      <c r="AG426" s="50" t="n">
        <f aca="false">IF(BW426=1,0,ROUNDUP(AF426/BV426,0))</f>
        <v>1</v>
      </c>
      <c r="AH426" s="52" t="n">
        <f aca="false">IF(CL426&gt;0,CL426*MAX(1,AF426/X426),IF(BW426=1,IF(AF426&lt;=0,0,CA426*MAX(1,IF(H426&gt;0,AF426/H426,1))),IF(R426&gt;0,AG426/R426,0))/MAX(0.1,N(Parameter!$M$21)))</f>
        <v>0.0384615384615385</v>
      </c>
      <c r="AI426" s="50" t="n">
        <f aca="false">AH426*BY426</f>
        <v>5.96153846153846</v>
      </c>
      <c r="AJ426" s="50" t="n">
        <f aca="false">AF426*G426</f>
        <v>100</v>
      </c>
      <c r="AK426" s="50" t="n">
        <f aca="false">ROUNDUP(MAX(J426/IF(CD426&gt;0,CD426,MAX(0.1,N(Cockpit!$C$6))),CG426)/BV426,0)*BV426</f>
        <v>2000</v>
      </c>
      <c r="AL426" s="51" t="n">
        <f aca="false">IF(AI426&gt;0,J426/AI426,-1)</f>
        <v>117.587096774194</v>
      </c>
      <c r="AM426" s="51" t="n">
        <f aca="false">IF(AND(OR(CC426="L1",CC426="L23",CC426="LIFT"),AI426&gt;0),SUMIFS($AI$7:$AI$1843,$CC$7:$CC$1843,CC426,$AL$7:$AL$1843,"&gt;"&amp;AL426)+SUMIFS($AI$7:$AI$1843,$CC$7:$CC$1843,CC426,$AL$7:$AL$1843,AL426,$BT$7:$BT$1843,"&lt;="&amp;BT426),"")</f>
        <v>687.163919413919</v>
      </c>
      <c r="AN426" s="58" t="n">
        <f aca="false">IF(AM426="",0,MAX(0,MIN(1,(IF(CC426="L1",Parameter!$H$5,IF(CC426="L23",Parameter!$H$6+Parameter!$H$7,Parameter!$H$5+Parameter!$H$6+Parameter!$H$7))-(AM426-AI426))/AI426)))</f>
        <v>1</v>
      </c>
      <c r="AO426" s="50" t="n">
        <f aca="false">IF(LEFT(Cockpit!$I$5,1)="A",H426,IF(CE426=1,CF426,IF(LEFT(Cockpit!$I$5,1)="B",AT426,MAX(AT426,H426))))</f>
        <v>2000</v>
      </c>
      <c r="AP426" s="50" t="n">
        <f aca="false">IF(BW426=1,0,ROUNDUP(AO426/BV426,0))</f>
        <v>2</v>
      </c>
      <c r="AQ426" s="52" t="n">
        <f aca="false">IF(CL426&gt;0,CL426*MAX(1,AO426/X426),IF(BW426=1,IF(AO426&lt;=0,0,CA426*MAX(1,IF(H426&gt;0,AO426/H426,1))),IF(R426&gt;0,AP426/R426,0))/MAX(0.1,N(Parameter!$M$21)))</f>
        <v>0.0769230769230769</v>
      </c>
      <c r="AR426" s="50" t="n">
        <f aca="false">AQ426*BY426</f>
        <v>11.9230769230769</v>
      </c>
      <c r="AS426" s="50" t="n">
        <f aca="false">AO426*G426</f>
        <v>200</v>
      </c>
      <c r="AT426" s="50" t="n">
        <f aca="false">ROUNDUP(MAX(J426/IF(CD426&gt;0,CD426,MAX(0.1,N(Cockpit!$I$6))),CG426)/BV426,0)*BV426</f>
        <v>2000</v>
      </c>
      <c r="AU426" s="51" t="n">
        <f aca="false">IF(AR426&gt;0,J426/AR426,-1)</f>
        <v>58.7935483870968</v>
      </c>
      <c r="AV426" s="51" t="n">
        <f aca="false">IF(AND(OR(CC426="L1",CC426="L23",CC426="LIFT"),AR426&gt;0),SUMIFS($AR$7:$AR$1843,$CC$7:$CC$1843,CC426,$AU$7:$AU$1843,"&gt;"&amp;AU426)+SUMIFS($AR$7:$AR$1843,$CC$7:$CC$1843,CC426,$AU$7:$AU$1843,AU426,$BT$7:$BT$1843,"&lt;="&amp;BT426),"")</f>
        <v>1403.67216117216</v>
      </c>
      <c r="AW426" s="58" t="n">
        <f aca="false">IF(AV426="",0,MAX(0,MIN(1,(IF(CC426="L1",Parameter!$H$5,IF(CC426="L23",Parameter!$H$6+Parameter!$H$7,Parameter!$H$5+Parameter!$H$6+Parameter!$H$7))-(AV426-AR426))/AR426)))</f>
        <v>1</v>
      </c>
      <c r="AX426" s="50" t="n">
        <f aca="false">IF(LEFT(Cockpit!$O$5,1)="A",H426,IF(CE426=1,CF426,IF(LEFT(Cockpit!$O$5,1)="B",BC426,MAX(BC426,H426))))</f>
        <v>2000</v>
      </c>
      <c r="AY426" s="50" t="n">
        <f aca="false">IF(BW426=1,0,ROUNDUP(AX426/BV426,0))</f>
        <v>2</v>
      </c>
      <c r="AZ426" s="52" t="n">
        <f aca="false">IF(CL426&gt;0,CL426*MAX(1,AX426/X426),IF(BW426=1,IF(AX426&lt;=0,0,CA426*MAX(1,IF(H426&gt;0,AX426/H426,1))),IF(R426&gt;0,AY426/R426,0))/MAX(0.1,N(Parameter!$M$21)))</f>
        <v>0.0769230769230769</v>
      </c>
      <c r="BA426" s="50" t="n">
        <f aca="false">AZ426*BY426</f>
        <v>11.9230769230769</v>
      </c>
      <c r="BB426" s="50" t="n">
        <f aca="false">AX426*G426</f>
        <v>200</v>
      </c>
      <c r="BC426" s="50" t="n">
        <f aca="false">ROUNDUP(MAX(J426/IF(CD426&gt;0,CD426,MAX(0.1,N(Cockpit!$O$6))),CG426)/BV426,0)*BV426</f>
        <v>2000</v>
      </c>
      <c r="BD426" s="51" t="n">
        <f aca="false">IF(BA426&gt;0,J426/BA426,-1)</f>
        <v>58.7935483870968</v>
      </c>
      <c r="BE426" s="51" t="n">
        <f aca="false">IF(AND(OR(CC426="L1",CC426="L23",CC426="LIFT"),BA426&gt;0),SUMIFS($BA$7:$BA$1843,$CC$7:$CC$1843,CC426,$BD$7:$BD$1843,"&gt;"&amp;BD426)+SUMIFS($BA$7:$BA$1843,$CC$7:$CC$1843,CC426,$BD$7:$BD$1843,BD426,$BT$7:$BT$1843,"&lt;="&amp;BT426),"")</f>
        <v>1242.8228021978</v>
      </c>
      <c r="BF426" s="58" t="n">
        <f aca="false">IF(BE426="",0,MAX(0,MIN(1,(IF(CC426="L1",Parameter!$H$5,IF(CC426="L23",Parameter!$H$6+Parameter!$H$7,Parameter!$H$5+Parameter!$H$6+Parameter!$H$7))-(BE426-BA426))/BA426)))</f>
        <v>1</v>
      </c>
      <c r="BG426" s="48" t="str">
        <f aca="false">IF(AI426&lt;=0,"",IF(CC426="Aussen","Aussenlager",IF(CC426="-","Nicht im Lift",IF(AN426&gt;=1,"Lift",IF(AN426&lt;=0,"Aussenlager","teilweise")))))</f>
        <v>Lift</v>
      </c>
      <c r="BH426" s="48" t="str">
        <f aca="false">IF(AR426&lt;=0,"",IF(CC426="Aussen","Aussenlager",IF(CC426="-","Nicht im Lift",IF(AW426&gt;=1,"Lift",IF(AW426&lt;=0,"Aussenlager","teilweise")))))</f>
        <v>Lift</v>
      </c>
      <c r="BI426" s="48" t="str">
        <f aca="false">IF(BA426&lt;=0,"",IF(CC426="Aussen","Aussenlager",IF(CC426="-","Nicht im Lift",IF(BF426&gt;=1,"Lift",IF(BF426&lt;=0,"Aussenlager","teilweise")))))</f>
        <v>Lift</v>
      </c>
      <c r="BJ426" s="48" t="str">
        <f aca="false">IF(A426="","",IF(BS426=1,"Neu; ","")&amp;IF(AND(BS426=0,BN426&lt;0),"negativer Bestand (Export "&amp;BN426&amp;"); ","")&amp;IF(J426&lt;=0,"Kein Verbrauch; ","")&amp;IF(CL426&gt;0,"Lift "&amp;W426&amp;" lt. Liftbericht (Fach "&amp;X426&amp;" Stk); ",IF(BX426=1,"Gebinde geschätzt ("&amp;T426&amp;"); ",IF(BW426=1,"Lose – Tablare geschätzt; ","")))&amp;IF(H426&gt;AT426,"Überbestand "&amp;ROUND(H426-AT426,0)&amp;" Stk / CHF "&amp;ROUND((H426-AT426)*G426,0)&amp;"; ","")&amp;IF(AND(CE426=1,CF426&lt;CG426),"MAX &lt; MB+LG; ","")&amp;IF(AND(CK426&gt;0,CJ426*10&gt;CK426),"zu hoch für Tablar; ","")&amp;IF(AND(BS426=0,OR(CE426=1,AA426&lt;&gt;"",U426&lt;&gt;"",V426&lt;&gt;"",AB426&lt;&gt;"")),"manuell übersteuert; ","")&amp;IF(AND(BW426=0,R426=0),"Gebinde unbekannt / Stellmass fehlt; ","")&amp;IF(AND(BW426=0,N(V426)&lt;=0,N(Q426)&lt;=0),"Menge pro Gebinde fehlt (Ist = 1 Gebinde); ","")&amp;BR426)</f>
        <v/>
      </c>
      <c r="BK426" s="48"/>
      <c r="BL426" s="48"/>
      <c r="BM426" s="55"/>
      <c r="BN426" s="50" t="n">
        <v>900</v>
      </c>
      <c r="BO426" s="50" t="n">
        <v>100</v>
      </c>
      <c r="BP426" s="49" t="n">
        <v>90</v>
      </c>
      <c r="BQ426" s="50" t="n">
        <v>701</v>
      </c>
      <c r="BR426" s="48"/>
      <c r="BS426" s="53" t="n">
        <v>0</v>
      </c>
      <c r="BT426" s="53" t="n">
        <v>426</v>
      </c>
      <c r="BU426" s="48" t="str">
        <f aca="false">IF(U426&lt;&gt;"",UPPER(TRIM(U426)),IF(BX426=1,UPPER(VLOOKUP(T426,Parameter!$I$27:$K$29,2,0)),IF(P426="","LOSE",P426)))</f>
        <v>S51</v>
      </c>
      <c r="BV426" s="50" t="n">
        <f aca="false">IF(BU426="LOSE",1,IF(N(V426)&gt;0,V426,IF(BX426=1,MAX(1,N(VLOOKUP(T426,Parameter!$I$27:$K$29,3,0)),H426,N(N426)),IF(N(Q426)&gt;0,Q426,MAX(1,H426)))))</f>
        <v>1000</v>
      </c>
      <c r="BW426" s="53" t="n">
        <f aca="false">IF(BU426="LOSE",1,0)</f>
        <v>0</v>
      </c>
      <c r="BX426" s="53" t="n">
        <f aca="false">IF(AND(U426="",OR(P426="",P426="LOSE"),T426&lt;&gt;"",N(S426)&lt;=0,ISNUMBER(MATCH(T426,Parameter!$I$27:$I$29,0))),1,0)</f>
        <v>0</v>
      </c>
      <c r="BY426" s="53" t="n">
        <f aca="false">IF(CL426&gt;0,INDEX(Parameter!$H$5:$H$7,W426)/INDEX(Parameter!$E$5:$E$7,W426),IF(AND(BW426=0,N(IFERROR(VLOOKUP(BU426,'Gebinde-Kategorie'!$A$5:$N$45,14,0),0))&gt;0),VLOOKUP(BU426,'Gebinde-Kategorie'!$A$5:$N$45,14,0)*10+Parameter!$M$23,Parameter!$M$24))</f>
        <v>155</v>
      </c>
      <c r="BZ426" s="48" t="str">
        <f aca="false">IF(AND(Parameter!$B$19="Ja",E426&lt;&gt;"",ISNUMBER(MATCH(E426,Parameter!$I$35:$I$52,0))),VLOOKUP(E426,Parameter!$I$35:$J$52,2,0),IFERROR(VLOOKUP(D426,Parameter!$A$35:$C$64,2,0),"Nein"))</f>
        <v>2+3</v>
      </c>
      <c r="CA426" s="52" t="n">
        <f aca="false">IF(BW426=0,0,IF(N(S426)&gt;0,S426,IFERROR(VLOOKUP(D426,Parameter!$A$35:$C$64,3,0)+0,0)))</f>
        <v>0</v>
      </c>
      <c r="CB426" s="48" t="n">
        <f aca="false">IF(AA426&lt;&gt;"",AA426,Z426)</f>
        <v>3</v>
      </c>
      <c r="CC426" s="48" t="str">
        <f aca="false">IF(OR(CB426=1,CB426=2,CB426=3),IF(Parameter!$E$27="Ja","LIFT",IF(CB426=1,"L1","L23")),IF(CB426="Aussen","Aussen","-"))</f>
        <v>LIFT</v>
      </c>
      <c r="CD426" s="59" t="n">
        <f aca="false">IF(N(AB426)&gt;0,AB426,0)</f>
        <v>0</v>
      </c>
      <c r="CE426" s="53" t="n">
        <f aca="false">IF(ISNUMBER(AE426),1,0)</f>
        <v>0</v>
      </c>
      <c r="CF426" s="50" t="n">
        <f aca="false">N(AE426)</f>
        <v>0</v>
      </c>
      <c r="CG426" s="50" t="n">
        <f aca="false">N(M426)+N(N426)</f>
        <v>1040</v>
      </c>
      <c r="CH426" s="50" t="n">
        <f aca="false">ROUNDUP(H426/BV426,0)</f>
        <v>1</v>
      </c>
      <c r="CI426" s="50" t="n">
        <f aca="false">ROUNDUP(CF426/BV426,0)</f>
        <v>0</v>
      </c>
      <c r="CJ426" s="53" t="n">
        <f aca="false">IF(BW426=1,0,IFERROR(VLOOKUP(BU426,'Gebinde-Kategorie'!$A$5:$N$45,5,0)+0,0))</f>
        <v>11</v>
      </c>
      <c r="CK426" s="53" t="n">
        <f aca="false">IFERROR(IF(OR(CB426=1,CB426=2,CB426=3),N(INDEX(Parameter!$I$5:$I$7,CB426)),0),0)</f>
        <v>0</v>
      </c>
      <c r="CL426" s="52" t="n">
        <f aca="false">IF(AND(Parameter!$B$21="Ja",ISNUMBER(W426),N(X426)&gt;0),IFERROR(N(INDEX(Parameter!$L$5:$L$7,W426))*INDEX(Parameter!$E$5:$E$7,W426)*X426/SUMIFS($X$7:$X$1843,$W$7:$W$1843,W426),0),0)</f>
        <v>0</v>
      </c>
    </row>
    <row r="427" customFormat="false" ht="15" hidden="false" customHeight="false" outlineLevel="0" collapsed="false">
      <c r="A427" s="48" t="s">
        <v>986</v>
      </c>
      <c r="B427" s="48" t="s">
        <v>987</v>
      </c>
      <c r="C427" s="48" t="s">
        <v>168</v>
      </c>
      <c r="D427" s="48" t="s">
        <v>188</v>
      </c>
      <c r="E427" s="48" t="s">
        <v>189</v>
      </c>
      <c r="F427" s="48" t="s">
        <v>222</v>
      </c>
      <c r="G427" s="49" t="n">
        <v>11.9</v>
      </c>
      <c r="H427" s="50" t="n">
        <f aca="false">MAX(0,IF(AND(Parameter!$B$21="Ja",ISNUMBER(Y427)),Y427,IF(Parameter!$B$20="Jahresanfang 2025 + Export",BO427+BN427,BN427)))</f>
        <v>13</v>
      </c>
      <c r="I427" s="50" t="n">
        <f aca="false">H427*G427</f>
        <v>154.7</v>
      </c>
      <c r="J427" s="50" t="n">
        <f aca="false">BQ427*Parameter!$B$18</f>
        <v>19</v>
      </c>
      <c r="K427" s="51" t="n">
        <v>7</v>
      </c>
      <c r="L427" s="52" t="n">
        <v>2.71428571428571</v>
      </c>
      <c r="M427" s="50" t="n">
        <v>0</v>
      </c>
      <c r="N427" s="50" t="n">
        <v>20</v>
      </c>
      <c r="O427" s="53" t="n">
        <v>14</v>
      </c>
      <c r="P427" s="48" t="s">
        <v>480</v>
      </c>
      <c r="Q427" s="50" t="n">
        <v>12</v>
      </c>
      <c r="R427" s="53" t="n">
        <f aca="false">IF(BW427=1,0,IFERROR(VLOOKUP(BU427,'Gebinde-Kategorie'!$A$5:$N$45,13,0)+0,0))</f>
        <v>52</v>
      </c>
      <c r="S427" s="54"/>
      <c r="T427" s="55"/>
      <c r="U427" s="55"/>
      <c r="V427" s="55"/>
      <c r="W427" s="48"/>
      <c r="X427" s="50"/>
      <c r="Y427" s="50"/>
      <c r="Z427" s="48" t="n">
        <f aca="false">IF(A427="","",IF(AND(Parameter!$B$21="Ja",ISNUMBER(W427)),W427,IF(BZ427="2+3",IF(ISNUMBER(SEARCH("grosser Artikel",BR427)),2,IFERROR(VLOOKUP(BU427,Parameter!$F$35:$G$64,2,0),2)),IF(OR(BZ427="Nein",BZ427=""),"-",BZ427))))</f>
        <v>3</v>
      </c>
      <c r="AA427" s="55"/>
      <c r="AB427" s="56"/>
      <c r="AC427" s="50" t="n">
        <f aca="false">AT427</f>
        <v>24</v>
      </c>
      <c r="AD427" s="50" t="n">
        <f aca="false">MAX(AT427,H427)</f>
        <v>24</v>
      </c>
      <c r="AE427" s="57"/>
      <c r="AF427" s="50" t="n">
        <f aca="false">IF(LEFT(Cockpit!$C$5,1)="A",H427,IF(CE427=1,CF427,IF(LEFT(Cockpit!$C$5,1)="B",AK427,MAX(AK427,H427))))</f>
        <v>13</v>
      </c>
      <c r="AG427" s="50" t="n">
        <f aca="false">IF(BW427=1,0,ROUNDUP(AF427/BV427,0))</f>
        <v>2</v>
      </c>
      <c r="AH427" s="52" t="n">
        <f aca="false">IF(CL427&gt;0,CL427*MAX(1,AF427/X427),IF(BW427=1,IF(AF427&lt;=0,0,CA427*MAX(1,IF(H427&gt;0,AF427/H427,1))),IF(R427&gt;0,AG427/R427,0))/MAX(0.1,N(Parameter!$M$21)))</f>
        <v>0.0384615384615385</v>
      </c>
      <c r="AI427" s="50" t="n">
        <f aca="false">AH427*BY427</f>
        <v>5.96153846153846</v>
      </c>
      <c r="AJ427" s="50" t="n">
        <f aca="false">AF427*G427</f>
        <v>154.7</v>
      </c>
      <c r="AK427" s="50" t="n">
        <f aca="false">ROUNDUP(MAX(J427/IF(CD427&gt;0,CD427,MAX(0.1,N(Cockpit!$C$6))),CG427)/BV427,0)*BV427</f>
        <v>24</v>
      </c>
      <c r="AL427" s="51" t="n">
        <f aca="false">IF(AI427&gt;0,J427/AI427,-1)</f>
        <v>3.18709677419355</v>
      </c>
      <c r="AM427" s="51" t="n">
        <f aca="false">IF(AND(OR(CC427="L1",CC427="L23",CC427="LIFT"),AI427&gt;0),SUMIFS($AI$7:$AI$1843,$CC$7:$CC$1843,CC427,$AL$7:$AL$1843,"&gt;"&amp;AL427)+SUMIFS($AI$7:$AI$1843,$CC$7:$CC$1843,CC427,$AL$7:$AL$1843,AL427,$BT$7:$BT$1843,"&lt;="&amp;BT427),"")</f>
        <v>4975.12316849817</v>
      </c>
      <c r="AN427" s="58" t="n">
        <f aca="false">IF(AM427="",0,MAX(0,MIN(1,(IF(CC427="L1",Parameter!$H$5,IF(CC427="L23",Parameter!$H$6+Parameter!$H$7,Parameter!$H$5+Parameter!$H$6+Parameter!$H$7))-(AM427-AI427))/AI427)))</f>
        <v>1</v>
      </c>
      <c r="AO427" s="50" t="n">
        <f aca="false">IF(LEFT(Cockpit!$I$5,1)="A",H427,IF(CE427=1,CF427,IF(LEFT(Cockpit!$I$5,1)="B",AT427,MAX(AT427,H427))))</f>
        <v>24</v>
      </c>
      <c r="AP427" s="50" t="n">
        <f aca="false">IF(BW427=1,0,ROUNDUP(AO427/BV427,0))</f>
        <v>2</v>
      </c>
      <c r="AQ427" s="52" t="n">
        <f aca="false">IF(CL427&gt;0,CL427*MAX(1,AO427/X427),IF(BW427=1,IF(AO427&lt;=0,0,CA427*MAX(1,IF(H427&gt;0,AO427/H427,1))),IF(R427&gt;0,AP427/R427,0))/MAX(0.1,N(Parameter!$M$21)))</f>
        <v>0.0384615384615385</v>
      </c>
      <c r="AR427" s="50" t="n">
        <f aca="false">AQ427*BY427</f>
        <v>5.96153846153846</v>
      </c>
      <c r="AS427" s="50" t="n">
        <f aca="false">AO427*G427</f>
        <v>285.6</v>
      </c>
      <c r="AT427" s="50" t="n">
        <f aca="false">ROUNDUP(MAX(J427/IF(CD427&gt;0,CD427,MAX(0.1,N(Cockpit!$I$6))),CG427)/BV427,0)*BV427</f>
        <v>24</v>
      </c>
      <c r="AU427" s="51" t="n">
        <f aca="false">IF(AR427&gt;0,J427/AR427,-1)</f>
        <v>3.18709677419355</v>
      </c>
      <c r="AV427" s="51" t="n">
        <f aca="false">IF(AND(OR(CC427="L1",CC427="L23",CC427="LIFT"),AR427&gt;0),SUMIFS($AR$7:$AR$1843,$CC$7:$CC$1843,CC427,$AU$7:$AU$1843,"&gt;"&amp;AU427)+SUMIFS($AR$7:$AR$1843,$CC$7:$CC$1843,CC427,$AU$7:$AU$1843,AU427,$BT$7:$BT$1843,"&lt;="&amp;BT427),"")</f>
        <v>6151.04945054945</v>
      </c>
      <c r="AW427" s="58" t="n">
        <f aca="false">IF(AV427="",0,MAX(0,MIN(1,(IF(CC427="L1",Parameter!$H$5,IF(CC427="L23",Parameter!$H$6+Parameter!$H$7,Parameter!$H$5+Parameter!$H$6+Parameter!$H$7))-(AV427-AR427))/AR427)))</f>
        <v>1</v>
      </c>
      <c r="AX427" s="50" t="n">
        <f aca="false">IF(LEFT(Cockpit!$O$5,1)="A",H427,IF(CE427=1,CF427,IF(LEFT(Cockpit!$O$5,1)="B",BC427,MAX(BC427,H427))))</f>
        <v>24</v>
      </c>
      <c r="AY427" s="50" t="n">
        <f aca="false">IF(BW427=1,0,ROUNDUP(AX427/BV427,0))</f>
        <v>2</v>
      </c>
      <c r="AZ427" s="52" t="n">
        <f aca="false">IF(CL427&gt;0,CL427*MAX(1,AX427/X427),IF(BW427=1,IF(AX427&lt;=0,0,CA427*MAX(1,IF(H427&gt;0,AX427/H427,1))),IF(R427&gt;0,AY427/R427,0))/MAX(0.1,N(Parameter!$M$21)))</f>
        <v>0.0384615384615385</v>
      </c>
      <c r="BA427" s="50" t="n">
        <f aca="false">AZ427*BY427</f>
        <v>5.96153846153846</v>
      </c>
      <c r="BB427" s="50" t="n">
        <f aca="false">AX427*G427</f>
        <v>285.6</v>
      </c>
      <c r="BC427" s="50" t="n">
        <f aca="false">ROUNDUP(MAX(J427/IF(CD427&gt;0,CD427,MAX(0.1,N(Cockpit!$O$6))),CG427)/BV427,0)*BV427</f>
        <v>24</v>
      </c>
      <c r="BD427" s="51" t="n">
        <f aca="false">IF(BA427&gt;0,J427/BA427,-1)</f>
        <v>3.18709677419355</v>
      </c>
      <c r="BE427" s="51" t="n">
        <f aca="false">IF(AND(OR(CC427="L1",CC427="L23",CC427="LIFT"),BA427&gt;0),SUMIFS($BA$7:$BA$1843,$CC$7:$CC$1843,CC427,$BD$7:$BD$1843,"&gt;"&amp;BD427)+SUMIFS($BA$7:$BA$1843,$CC$7:$CC$1843,CC427,$BD$7:$BD$1843,BD427,$BT$7:$BT$1843,"&lt;="&amp;BT427),"")</f>
        <v>6138.88598901099</v>
      </c>
      <c r="BF427" s="58" t="n">
        <f aca="false">IF(BE427="",0,MAX(0,MIN(1,(IF(CC427="L1",Parameter!$H$5,IF(CC427="L23",Parameter!$H$6+Parameter!$H$7,Parameter!$H$5+Parameter!$H$6+Parameter!$H$7))-(BE427-BA427))/BA427)))</f>
        <v>1</v>
      </c>
      <c r="BG427" s="48" t="str">
        <f aca="false">IF(AI427&lt;=0,"",IF(CC427="Aussen","Aussenlager",IF(CC427="-","Nicht im Lift",IF(AN427&gt;=1,"Lift",IF(AN427&lt;=0,"Aussenlager","teilweise")))))</f>
        <v>Lift</v>
      </c>
      <c r="BH427" s="48" t="str">
        <f aca="false">IF(AR427&lt;=0,"",IF(CC427="Aussen","Aussenlager",IF(CC427="-","Nicht im Lift",IF(AW427&gt;=1,"Lift",IF(AW427&lt;=0,"Aussenlager","teilweise")))))</f>
        <v>Lift</v>
      </c>
      <c r="BI427" s="48" t="str">
        <f aca="false">IF(BA427&lt;=0,"",IF(CC427="Aussen","Aussenlager",IF(CC427="-","Nicht im Lift",IF(BF427&gt;=1,"Lift",IF(BF427&lt;=0,"Aussenlager","teilweise")))))</f>
        <v>Lift</v>
      </c>
      <c r="BJ427" s="48" t="str">
        <f aca="false">IF(A427="","",IF(BS427=1,"Neu; ","")&amp;IF(AND(BS427=0,BN427&lt;0),"negativer Bestand (Export "&amp;BN427&amp;"); ","")&amp;IF(J427&lt;=0,"Kein Verbrauch; ","")&amp;IF(CL427&gt;0,"Lift "&amp;W427&amp;" lt. Liftbericht (Fach "&amp;X427&amp;" Stk); ",IF(BX427=1,"Gebinde geschätzt ("&amp;T427&amp;"); ",IF(BW427=1,"Lose – Tablare geschätzt; ","")))&amp;IF(H427&gt;AT427,"Überbestand "&amp;ROUND(H427-AT427,0)&amp;" Stk / CHF "&amp;ROUND((H427-AT427)*G427,0)&amp;"; ","")&amp;IF(AND(CE427=1,CF427&lt;CG427),"MAX &lt; MB+LG; ","")&amp;IF(AND(CK427&gt;0,CJ427*10&gt;CK427),"zu hoch für Tablar; ","")&amp;IF(AND(BS427=0,OR(CE427=1,AA427&lt;&gt;"",U427&lt;&gt;"",V427&lt;&gt;"",AB427&lt;&gt;"")),"manuell übersteuert; ","")&amp;IF(AND(BW427=0,R427=0),"Gebinde unbekannt / Stellmass fehlt; ","")&amp;IF(AND(BW427=0,N(V427)&lt;=0,N(Q427)&lt;=0),"Menge pro Gebinde fehlt (Ist = 1 Gebinde); ","")&amp;BR427)</f>
        <v/>
      </c>
      <c r="BK427" s="48"/>
      <c r="BL427" s="48"/>
      <c r="BM427" s="55"/>
      <c r="BN427" s="50" t="n">
        <v>6</v>
      </c>
      <c r="BO427" s="50" t="n">
        <v>7</v>
      </c>
      <c r="BP427" s="49" t="n">
        <v>87.92</v>
      </c>
      <c r="BQ427" s="50" t="n">
        <v>19</v>
      </c>
      <c r="BR427" s="48"/>
      <c r="BS427" s="53" t="n">
        <v>0</v>
      </c>
      <c r="BT427" s="53" t="n">
        <v>427</v>
      </c>
      <c r="BU427" s="48" t="str">
        <f aca="false">IF(U427&lt;&gt;"",UPPER(TRIM(U427)),IF(BX427=1,UPPER(VLOOKUP(T427,Parameter!$I$27:$K$29,2,0)),IF(P427="","LOSE",P427)))</f>
        <v>S33</v>
      </c>
      <c r="BV427" s="50" t="n">
        <f aca="false">IF(BU427="LOSE",1,IF(N(V427)&gt;0,V427,IF(BX427=1,MAX(1,N(VLOOKUP(T427,Parameter!$I$27:$K$29,3,0)),H427,N(N427)),IF(N(Q427)&gt;0,Q427,MAX(1,H427)))))</f>
        <v>12</v>
      </c>
      <c r="BW427" s="53" t="n">
        <f aca="false">IF(BU427="LOSE",1,0)</f>
        <v>0</v>
      </c>
      <c r="BX427" s="53" t="n">
        <f aca="false">IF(AND(U427="",OR(P427="",P427="LOSE"),T427&lt;&gt;"",N(S427)&lt;=0,ISNUMBER(MATCH(T427,Parameter!$I$27:$I$29,0))),1,0)</f>
        <v>0</v>
      </c>
      <c r="BY427" s="53" t="n">
        <f aca="false">IF(CL427&gt;0,INDEX(Parameter!$H$5:$H$7,W427)/INDEX(Parameter!$E$5:$E$7,W427),IF(AND(BW427=0,N(IFERROR(VLOOKUP(BU427,'Gebinde-Kategorie'!$A$5:$N$45,14,0),0))&gt;0),VLOOKUP(BU427,'Gebinde-Kategorie'!$A$5:$N$45,14,0)*10+Parameter!$M$23,Parameter!$M$24))</f>
        <v>155</v>
      </c>
      <c r="BZ427" s="48" t="str">
        <f aca="false">IF(AND(Parameter!$B$19="Ja",E427&lt;&gt;"",ISNUMBER(MATCH(E427,Parameter!$I$35:$I$52,0))),VLOOKUP(E427,Parameter!$I$35:$J$52,2,0),IFERROR(VLOOKUP(D427,Parameter!$A$35:$C$64,2,0),"Nein"))</f>
        <v>2+3</v>
      </c>
      <c r="CA427" s="52" t="n">
        <f aca="false">IF(BW427=0,0,IF(N(S427)&gt;0,S427,IFERROR(VLOOKUP(D427,Parameter!$A$35:$C$64,3,0)+0,0)))</f>
        <v>0</v>
      </c>
      <c r="CB427" s="48" t="n">
        <f aca="false">IF(AA427&lt;&gt;"",AA427,Z427)</f>
        <v>3</v>
      </c>
      <c r="CC427" s="48" t="str">
        <f aca="false">IF(OR(CB427=1,CB427=2,CB427=3),IF(Parameter!$E$27="Ja","LIFT",IF(CB427=1,"L1","L23")),IF(CB427="Aussen","Aussen","-"))</f>
        <v>LIFT</v>
      </c>
      <c r="CD427" s="59" t="n">
        <f aca="false">IF(N(AB427)&gt;0,AB427,0)</f>
        <v>0</v>
      </c>
      <c r="CE427" s="53" t="n">
        <f aca="false">IF(ISNUMBER(AE427),1,0)</f>
        <v>0</v>
      </c>
      <c r="CF427" s="50" t="n">
        <f aca="false">N(AE427)</f>
        <v>0</v>
      </c>
      <c r="CG427" s="50" t="n">
        <f aca="false">N(M427)+N(N427)</f>
        <v>20</v>
      </c>
      <c r="CH427" s="50" t="n">
        <f aca="false">ROUNDUP(H427/BV427,0)</f>
        <v>2</v>
      </c>
      <c r="CI427" s="50" t="n">
        <f aca="false">ROUNDUP(CF427/BV427,0)</f>
        <v>0</v>
      </c>
      <c r="CJ427" s="53" t="n">
        <f aca="false">IF(BW427=1,0,IFERROR(VLOOKUP(BU427,'Gebinde-Kategorie'!$A$5:$N$45,5,0)+0,0))</f>
        <v>8</v>
      </c>
      <c r="CK427" s="53" t="n">
        <f aca="false">IFERROR(IF(OR(CB427=1,CB427=2,CB427=3),N(INDEX(Parameter!$I$5:$I$7,CB427)),0),0)</f>
        <v>0</v>
      </c>
      <c r="CL427" s="52" t="n">
        <f aca="false">IF(AND(Parameter!$B$21="Ja",ISNUMBER(W427),N(X427)&gt;0),IFERROR(N(INDEX(Parameter!$L$5:$L$7,W427))*INDEX(Parameter!$E$5:$E$7,W427)*X427/SUMIFS($X$7:$X$1843,$W$7:$W$1843,W427),0),0)</f>
        <v>0</v>
      </c>
    </row>
    <row r="428" customFormat="false" ht="15" hidden="false" customHeight="false" outlineLevel="0" collapsed="false">
      <c r="A428" s="48" t="s">
        <v>988</v>
      </c>
      <c r="B428" s="48" t="s">
        <v>593</v>
      </c>
      <c r="C428" s="48" t="s">
        <v>168</v>
      </c>
      <c r="D428" s="48" t="s">
        <v>188</v>
      </c>
      <c r="E428" s="48" t="s">
        <v>189</v>
      </c>
      <c r="F428" s="48" t="s">
        <v>222</v>
      </c>
      <c r="G428" s="49" t="n">
        <v>43.94</v>
      </c>
      <c r="H428" s="50" t="n">
        <f aca="false">MAX(0,IF(AND(Parameter!$B$21="Ja",ISNUMBER(Y428)),Y428,IF(Parameter!$B$20="Jahresanfang 2025 + Export",BO428+BN428,BN428)))</f>
        <v>67</v>
      </c>
      <c r="I428" s="50" t="n">
        <f aca="false">H428*G428</f>
        <v>2943.98</v>
      </c>
      <c r="J428" s="50" t="n">
        <f aca="false">BQ428*Parameter!$B$18</f>
        <v>0</v>
      </c>
      <c r="K428" s="51" t="n">
        <v>66</v>
      </c>
      <c r="L428" s="52" t="n">
        <v>0</v>
      </c>
      <c r="M428" s="50" t="n">
        <v>0</v>
      </c>
      <c r="N428" s="50" t="n">
        <v>1</v>
      </c>
      <c r="O428" s="53" t="n">
        <v>35</v>
      </c>
      <c r="P428" s="48" t="s">
        <v>430</v>
      </c>
      <c r="Q428" s="50" t="n">
        <v>65</v>
      </c>
      <c r="R428" s="53" t="n">
        <f aca="false">IF(BW428=1,0,IFERROR(VLOOKUP(BU428,'Gebinde-Kategorie'!$A$5:$N$45,13,0)+0,0))</f>
        <v>140</v>
      </c>
      <c r="S428" s="54"/>
      <c r="T428" s="55"/>
      <c r="U428" s="55"/>
      <c r="V428" s="55"/>
      <c r="W428" s="48"/>
      <c r="X428" s="50"/>
      <c r="Y428" s="50"/>
      <c r="Z428" s="48" t="n">
        <f aca="false">IF(A428="","",IF(AND(Parameter!$B$21="Ja",ISNUMBER(W428)),W428,IF(BZ428="2+3",IF(ISNUMBER(SEARCH("grosser Artikel",BR428)),2,IFERROR(VLOOKUP(BU428,Parameter!$F$35:$G$64,2,0),2)),IF(OR(BZ428="Nein",BZ428=""),"-",BZ428))))</f>
        <v>3</v>
      </c>
      <c r="AA428" s="55"/>
      <c r="AB428" s="56"/>
      <c r="AC428" s="50" t="n">
        <f aca="false">AT428</f>
        <v>65</v>
      </c>
      <c r="AD428" s="50" t="n">
        <f aca="false">MAX(AT428,H428)</f>
        <v>67</v>
      </c>
      <c r="AE428" s="57"/>
      <c r="AF428" s="50" t="n">
        <f aca="false">IF(LEFT(Cockpit!$C$5,1)="A",H428,IF(CE428=1,CF428,IF(LEFT(Cockpit!$C$5,1)="B",AK428,MAX(AK428,H428))))</f>
        <v>67</v>
      </c>
      <c r="AG428" s="50" t="n">
        <f aca="false">IF(BW428=1,0,ROUNDUP(AF428/BV428,0))</f>
        <v>2</v>
      </c>
      <c r="AH428" s="52" t="n">
        <f aca="false">IF(CL428&gt;0,CL428*MAX(1,AF428/X428),IF(BW428=1,IF(AF428&lt;=0,0,CA428*MAX(1,IF(H428&gt;0,AF428/H428,1))),IF(R428&gt;0,AG428/R428,0))/MAX(0.1,N(Parameter!$M$21)))</f>
        <v>0.0142857142857143</v>
      </c>
      <c r="AI428" s="50" t="n">
        <f aca="false">AH428*BY428</f>
        <v>2.21428571428571</v>
      </c>
      <c r="AJ428" s="50" t="n">
        <f aca="false">AF428*G428</f>
        <v>2943.98</v>
      </c>
      <c r="AK428" s="50" t="n">
        <f aca="false">ROUNDUP(MAX(J428/IF(CD428&gt;0,CD428,MAX(0.1,N(Cockpit!$C$6))),CG428)/BV428,0)*BV428</f>
        <v>65</v>
      </c>
      <c r="AL428" s="51" t="n">
        <f aca="false">IF(AI428&gt;0,J428/AI428,-1)</f>
        <v>0</v>
      </c>
      <c r="AM428" s="51" t="n">
        <f aca="false">IF(AND(OR(CC428="L1",CC428="L23",CC428="LIFT"),AI428&gt;0),SUMIFS($AI$7:$AI$1843,$CC$7:$CC$1843,CC428,$AL$7:$AL$1843,"&gt;"&amp;AL428)+SUMIFS($AI$7:$AI$1843,$CC$7:$CC$1843,CC428,$AL$7:$AL$1843,AL428,$BT$7:$BT$1843,"&lt;="&amp;BT428),"")</f>
        <v>28109.791834813</v>
      </c>
      <c r="AN428" s="58" t="n">
        <f aca="false">IF(AM428="",0,MAX(0,MIN(1,(IF(CC428="L1",Parameter!$H$5,IF(CC428="L23",Parameter!$H$6+Parameter!$H$7,Parameter!$H$5+Parameter!$H$6+Parameter!$H$7))-(AM428-AI428))/AI428)))</f>
        <v>1</v>
      </c>
      <c r="AO428" s="50" t="n">
        <f aca="false">IF(LEFT(Cockpit!$I$5,1)="A",H428,IF(CE428=1,CF428,IF(LEFT(Cockpit!$I$5,1)="B",AT428,MAX(AT428,H428))))</f>
        <v>67</v>
      </c>
      <c r="AP428" s="50" t="n">
        <f aca="false">IF(BW428=1,0,ROUNDUP(AO428/BV428,0))</f>
        <v>2</v>
      </c>
      <c r="AQ428" s="52" t="n">
        <f aca="false">IF(CL428&gt;0,CL428*MAX(1,AO428/X428),IF(BW428=1,IF(AO428&lt;=0,0,CA428*MAX(1,IF(H428&gt;0,AO428/H428,1))),IF(R428&gt;0,AP428/R428,0))/MAX(0.1,N(Parameter!$M$21)))</f>
        <v>0.0142857142857143</v>
      </c>
      <c r="AR428" s="50" t="n">
        <f aca="false">AQ428*BY428</f>
        <v>2.21428571428571</v>
      </c>
      <c r="AS428" s="50" t="n">
        <f aca="false">AO428*G428</f>
        <v>2943.98</v>
      </c>
      <c r="AT428" s="50" t="n">
        <f aca="false">ROUNDUP(MAX(J428/IF(CD428&gt;0,CD428,MAX(0.1,N(Cockpit!$I$6))),CG428)/BV428,0)*BV428</f>
        <v>65</v>
      </c>
      <c r="AU428" s="51" t="n">
        <f aca="false">IF(AR428&gt;0,J428/AR428,-1)</f>
        <v>0</v>
      </c>
      <c r="AV428" s="51" t="n">
        <f aca="false">IF(AND(OR(CC428="L1",CC428="L23",CC428="LIFT"),AR428&gt;0),SUMIFS($AR$7:$AR$1843,$CC$7:$CC$1843,CC428,$AU$7:$AU$1843,"&gt;"&amp;AU428)+SUMIFS($AR$7:$AR$1843,$CC$7:$CC$1843,CC428,$AU$7:$AU$1843,AU428,$BT$7:$BT$1843,"&lt;="&amp;BT428),"")</f>
        <v>39422.697352083</v>
      </c>
      <c r="AW428" s="58" t="n">
        <f aca="false">IF(AV428="",0,MAX(0,MIN(1,(IF(CC428="L1",Parameter!$H$5,IF(CC428="L23",Parameter!$H$6+Parameter!$H$7,Parameter!$H$5+Parameter!$H$6+Parameter!$H$7))-(AV428-AR428))/AR428)))</f>
        <v>0</v>
      </c>
      <c r="AX428" s="50" t="n">
        <f aca="false">IF(LEFT(Cockpit!$O$5,1)="A",H428,IF(CE428=1,CF428,IF(LEFT(Cockpit!$O$5,1)="B",BC428,MAX(BC428,H428))))</f>
        <v>67</v>
      </c>
      <c r="AY428" s="50" t="n">
        <f aca="false">IF(BW428=1,0,ROUNDUP(AX428/BV428,0))</f>
        <v>2</v>
      </c>
      <c r="AZ428" s="52" t="n">
        <f aca="false">IF(CL428&gt;0,CL428*MAX(1,AX428/X428),IF(BW428=1,IF(AX428&lt;=0,0,CA428*MAX(1,IF(H428&gt;0,AX428/H428,1))),IF(R428&gt;0,AY428/R428,0))/MAX(0.1,N(Parameter!$M$21)))</f>
        <v>0.0142857142857143</v>
      </c>
      <c r="BA428" s="50" t="n">
        <f aca="false">AZ428*BY428</f>
        <v>2.21428571428571</v>
      </c>
      <c r="BB428" s="50" t="n">
        <f aca="false">AX428*G428</f>
        <v>2943.98</v>
      </c>
      <c r="BC428" s="50" t="n">
        <f aca="false">ROUNDUP(MAX(J428/IF(CD428&gt;0,CD428,MAX(0.1,N(Cockpit!$O$6))),CG428)/BV428,0)*BV428</f>
        <v>65</v>
      </c>
      <c r="BD428" s="51" t="n">
        <f aca="false">IF(BA428&gt;0,J428/BA428,-1)</f>
        <v>0</v>
      </c>
      <c r="BE428" s="51" t="n">
        <f aca="false">IF(AND(OR(CC428="L1",CC428="L23",CC428="LIFT"),BA428&gt;0),SUMIFS($BA$7:$BA$1843,$CC$7:$CC$1843,CC428,$BD$7:$BD$1843,"&gt;"&amp;BD428)+SUMIFS($BA$7:$BA$1843,$CC$7:$CC$1843,CC428,$BD$7:$BD$1843,BD428,$BT$7:$BT$1843,"&lt;="&amp;BT428),"")</f>
        <v>36097.7093939488</v>
      </c>
      <c r="BF428" s="58" t="n">
        <f aca="false">IF(BE428="",0,MAX(0,MIN(1,(IF(CC428="L1",Parameter!$H$5,IF(CC428="L23",Parameter!$H$6+Parameter!$H$7,Parameter!$H$5+Parameter!$H$6+Parameter!$H$7))-(BE428-BA428))/BA428)))</f>
        <v>0</v>
      </c>
      <c r="BG428" s="48" t="str">
        <f aca="false">IF(AI428&lt;=0,"",IF(CC428="Aussen","Aussenlager",IF(CC428="-","Nicht im Lift",IF(AN428&gt;=1,"Lift",IF(AN428&lt;=0,"Aussenlager","teilweise")))))</f>
        <v>Lift</v>
      </c>
      <c r="BH428" s="48" t="str">
        <f aca="false">IF(AR428&lt;=0,"",IF(CC428="Aussen","Aussenlager",IF(CC428="-","Nicht im Lift",IF(AW428&gt;=1,"Lift",IF(AW428&lt;=0,"Aussenlager","teilweise")))))</f>
        <v>Aussenlager</v>
      </c>
      <c r="BI428" s="48" t="str">
        <f aca="false">IF(BA428&lt;=0,"",IF(CC428="Aussen","Aussenlager",IF(CC428="-","Nicht im Lift",IF(BF428&gt;=1,"Lift",IF(BF428&lt;=0,"Aussenlager","teilweise")))))</f>
        <v>Aussenlager</v>
      </c>
      <c r="BJ428" s="48" t="str">
        <f aca="false">IF(A428="","",IF(BS428=1,"Neu; ","")&amp;IF(AND(BS428=0,BN428&lt;0),"negativer Bestand (Export "&amp;BN428&amp;"); ","")&amp;IF(J428&lt;=0,"Kein Verbrauch; ","")&amp;IF(CL428&gt;0,"Lift "&amp;W428&amp;" lt. Liftbericht (Fach "&amp;X428&amp;" Stk); ",IF(BX428=1,"Gebinde geschätzt ("&amp;T428&amp;"); ",IF(BW428=1,"Lose – Tablare geschätzt; ","")))&amp;IF(H428&gt;AT428,"Überbestand "&amp;ROUND(H428-AT428,0)&amp;" Stk / CHF "&amp;ROUND((H428-AT428)*G428,0)&amp;"; ","")&amp;IF(AND(CE428=1,CF428&lt;CG428),"MAX &lt; MB+LG; ","")&amp;IF(AND(CK428&gt;0,CJ428*10&gt;CK428),"zu hoch für Tablar; ","")&amp;IF(AND(BS428=0,OR(CE428=1,AA428&lt;&gt;"",U428&lt;&gt;"",V428&lt;&gt;"",AB428&lt;&gt;"")),"manuell übersteuert; ","")&amp;IF(AND(BW428=0,R428=0),"Gebinde unbekannt / Stellmass fehlt; ","")&amp;IF(AND(BW428=0,N(V428)&lt;=0,N(Q428)&lt;=0),"Menge pro Gebinde fehlt (Ist = 1 Gebinde); ","")&amp;BR428)</f>
        <v>Kein Verbrauch; Überbestand 2 Stk / CHF 88; Neu</v>
      </c>
      <c r="BK428" s="48"/>
      <c r="BL428" s="48"/>
      <c r="BM428" s="55"/>
      <c r="BN428" s="50" t="n">
        <v>2</v>
      </c>
      <c r="BO428" s="50" t="n">
        <v>65</v>
      </c>
      <c r="BP428" s="49" t="n">
        <v>87.88</v>
      </c>
      <c r="BQ428" s="50" t="n">
        <v>0</v>
      </c>
      <c r="BR428" s="48" t="s">
        <v>630</v>
      </c>
      <c r="BS428" s="53" t="n">
        <v>0</v>
      </c>
      <c r="BT428" s="53" t="n">
        <v>428</v>
      </c>
      <c r="BU428" s="48" t="str">
        <f aca="false">IF(U428&lt;&gt;"",UPPER(TRIM(U428)),IF(BX428=1,UPPER(VLOOKUP(T428,Parameter!$I$27:$K$29,2,0)),IF(P428="","LOSE",P428)))</f>
        <v>S22</v>
      </c>
      <c r="BV428" s="50" t="n">
        <f aca="false">IF(BU428="LOSE",1,IF(N(V428)&gt;0,V428,IF(BX428=1,MAX(1,N(VLOOKUP(T428,Parameter!$I$27:$K$29,3,0)),H428,N(N428)),IF(N(Q428)&gt;0,Q428,MAX(1,H428)))))</f>
        <v>65</v>
      </c>
      <c r="BW428" s="53" t="n">
        <f aca="false">IF(BU428="LOSE",1,0)</f>
        <v>0</v>
      </c>
      <c r="BX428" s="53" t="n">
        <f aca="false">IF(AND(U428="",OR(P428="",P428="LOSE"),T428&lt;&gt;"",N(S428)&lt;=0,ISNUMBER(MATCH(T428,Parameter!$I$27:$I$29,0))),1,0)</f>
        <v>0</v>
      </c>
      <c r="BY428" s="53" t="n">
        <f aca="false">IF(CL428&gt;0,INDEX(Parameter!$H$5:$H$7,W428)/INDEX(Parameter!$E$5:$E$7,W428),IF(AND(BW428=0,N(IFERROR(VLOOKUP(BU428,'Gebinde-Kategorie'!$A$5:$N$45,14,0),0))&gt;0),VLOOKUP(BU428,'Gebinde-Kategorie'!$A$5:$N$45,14,0)*10+Parameter!$M$23,Parameter!$M$24))</f>
        <v>155</v>
      </c>
      <c r="BZ428" s="48" t="str">
        <f aca="false">IF(AND(Parameter!$B$19="Ja",E428&lt;&gt;"",ISNUMBER(MATCH(E428,Parameter!$I$35:$I$52,0))),VLOOKUP(E428,Parameter!$I$35:$J$52,2,0),IFERROR(VLOOKUP(D428,Parameter!$A$35:$C$64,2,0),"Nein"))</f>
        <v>2+3</v>
      </c>
      <c r="CA428" s="52" t="n">
        <f aca="false">IF(BW428=0,0,IF(N(S428)&gt;0,S428,IFERROR(VLOOKUP(D428,Parameter!$A$35:$C$64,3,0)+0,0)))</f>
        <v>0</v>
      </c>
      <c r="CB428" s="48" t="n">
        <f aca="false">IF(AA428&lt;&gt;"",AA428,Z428)</f>
        <v>3</v>
      </c>
      <c r="CC428" s="48" t="str">
        <f aca="false">IF(OR(CB428=1,CB428=2,CB428=3),IF(Parameter!$E$27="Ja","LIFT",IF(CB428=1,"L1","L23")),IF(CB428="Aussen","Aussen","-"))</f>
        <v>LIFT</v>
      </c>
      <c r="CD428" s="59" t="n">
        <f aca="false">IF(N(AB428)&gt;0,AB428,0)</f>
        <v>0</v>
      </c>
      <c r="CE428" s="53" t="n">
        <f aca="false">IF(ISNUMBER(AE428),1,0)</f>
        <v>0</v>
      </c>
      <c r="CF428" s="50" t="n">
        <f aca="false">N(AE428)</f>
        <v>0</v>
      </c>
      <c r="CG428" s="50" t="n">
        <f aca="false">N(M428)+N(N428)</f>
        <v>1</v>
      </c>
      <c r="CH428" s="50" t="n">
        <f aca="false">ROUNDUP(H428/BV428,0)</f>
        <v>2</v>
      </c>
      <c r="CI428" s="50" t="n">
        <f aca="false">ROUNDUP(CF428/BV428,0)</f>
        <v>0</v>
      </c>
      <c r="CJ428" s="53" t="n">
        <f aca="false">IF(BW428=1,0,IFERROR(VLOOKUP(BU428,'Gebinde-Kategorie'!$A$5:$N$45,5,0)+0,0))</f>
        <v>8</v>
      </c>
      <c r="CK428" s="53" t="n">
        <f aca="false">IFERROR(IF(OR(CB428=1,CB428=2,CB428=3),N(INDEX(Parameter!$I$5:$I$7,CB428)),0),0)</f>
        <v>0</v>
      </c>
      <c r="CL428" s="52" t="n">
        <f aca="false">IF(AND(Parameter!$B$21="Ja",ISNUMBER(W428),N(X428)&gt;0),IFERROR(N(INDEX(Parameter!$L$5:$L$7,W428))*INDEX(Parameter!$E$5:$E$7,W428)*X428/SUMIFS($X$7:$X$1843,$W$7:$W$1843,W428),0),0)</f>
        <v>0</v>
      </c>
    </row>
    <row r="429" customFormat="false" ht="15" hidden="false" customHeight="false" outlineLevel="0" collapsed="false">
      <c r="A429" s="48" t="s">
        <v>989</v>
      </c>
      <c r="B429" s="48" t="s">
        <v>951</v>
      </c>
      <c r="C429" s="48" t="s">
        <v>168</v>
      </c>
      <c r="D429" s="48" t="s">
        <v>188</v>
      </c>
      <c r="E429" s="48"/>
      <c r="F429" s="48" t="s">
        <v>222</v>
      </c>
      <c r="G429" s="49" t="n">
        <v>2.85</v>
      </c>
      <c r="H429" s="50" t="n">
        <f aca="false">MAX(0,IF(AND(Parameter!$B$21="Ja",ISNUMBER(Y429)),Y429,IF(Parameter!$B$20="Jahresanfang 2025 + Export",BO429+BN429,BN429)))</f>
        <v>30</v>
      </c>
      <c r="I429" s="50" t="n">
        <f aca="false">H429*G429</f>
        <v>85.5</v>
      </c>
      <c r="J429" s="50" t="n">
        <f aca="false">BQ429*Parameter!$B$18</f>
        <v>0</v>
      </c>
      <c r="K429" s="51" t="n">
        <v>0</v>
      </c>
      <c r="L429" s="52" t="n">
        <v>0</v>
      </c>
      <c r="M429" s="50" t="n">
        <v>0</v>
      </c>
      <c r="N429" s="50" t="n">
        <v>20</v>
      </c>
      <c r="O429" s="53" t="n">
        <v>9999</v>
      </c>
      <c r="P429" s="48" t="s">
        <v>172</v>
      </c>
      <c r="Q429" s="50"/>
      <c r="R429" s="53" t="n">
        <f aca="false">IF(BW429=1,0,IFERROR(VLOOKUP(BU429,'Gebinde-Kategorie'!$A$5:$N$45,13,0)+0,0))</f>
        <v>26</v>
      </c>
      <c r="S429" s="54"/>
      <c r="T429" s="55" t="s">
        <v>279</v>
      </c>
      <c r="U429" s="55"/>
      <c r="V429" s="55"/>
      <c r="W429" s="48"/>
      <c r="X429" s="50"/>
      <c r="Y429" s="50"/>
      <c r="Z429" s="48" t="n">
        <f aca="false">IF(A429="","",IF(AND(Parameter!$B$21="Ja",ISNUMBER(W429)),W429,IF(BZ429="2+3",IF(ISNUMBER(SEARCH("grosser Artikel",BR429)),2,IFERROR(VLOOKUP(BU429,Parameter!$F$35:$G$64,2,0),2)),IF(OR(BZ429="Nein",BZ429=""),"-",BZ429))))</f>
        <v>3</v>
      </c>
      <c r="AA429" s="55"/>
      <c r="AB429" s="56"/>
      <c r="AC429" s="50" t="n">
        <f aca="false">AT429</f>
        <v>30</v>
      </c>
      <c r="AD429" s="50" t="n">
        <f aca="false">MAX(AT429,H429)</f>
        <v>30</v>
      </c>
      <c r="AE429" s="57"/>
      <c r="AF429" s="50" t="n">
        <f aca="false">IF(LEFT(Cockpit!$C$5,1)="A",H429,IF(CE429=1,CF429,IF(LEFT(Cockpit!$C$5,1)="B",AK429,MAX(AK429,H429))))</f>
        <v>30</v>
      </c>
      <c r="AG429" s="50" t="n">
        <f aca="false">IF(BW429=1,0,ROUNDUP(AF429/BV429,0))</f>
        <v>1</v>
      </c>
      <c r="AH429" s="52" t="n">
        <f aca="false">IF(CL429&gt;0,CL429*MAX(1,AF429/X429),IF(BW429=1,IF(AF429&lt;=0,0,CA429*MAX(1,IF(H429&gt;0,AF429/H429,1))),IF(R429&gt;0,AG429/R429,0))/MAX(0.1,N(Parameter!$M$21)))</f>
        <v>0.0384615384615385</v>
      </c>
      <c r="AI429" s="50" t="n">
        <f aca="false">AH429*BY429</f>
        <v>5.96153846153846</v>
      </c>
      <c r="AJ429" s="50" t="n">
        <f aca="false">AF429*G429</f>
        <v>85.5</v>
      </c>
      <c r="AK429" s="50" t="n">
        <f aca="false">ROUNDUP(MAX(J429/IF(CD429&gt;0,CD429,MAX(0.1,N(Cockpit!$C$6))),CG429)/BV429,0)*BV429</f>
        <v>30</v>
      </c>
      <c r="AL429" s="51" t="n">
        <f aca="false">IF(AI429&gt;0,J429/AI429,-1)</f>
        <v>0</v>
      </c>
      <c r="AM429" s="51" t="n">
        <f aca="false">IF(AND(OR(CC429="L1",CC429="L23",CC429="LIFT"),AI429&gt;0),SUMIFS($AI$7:$AI$1843,$CC$7:$CC$1843,CC429,$AL$7:$AL$1843,"&gt;"&amp;AL429)+SUMIFS($AI$7:$AI$1843,$CC$7:$CC$1843,CC429,$AL$7:$AL$1843,AL429,$BT$7:$BT$1843,"&lt;="&amp;BT429),"")</f>
        <v>28115.7533732746</v>
      </c>
      <c r="AN429" s="58" t="n">
        <f aca="false">IF(AM429="",0,MAX(0,MIN(1,(IF(CC429="L1",Parameter!$H$5,IF(CC429="L23",Parameter!$H$6+Parameter!$H$7,Parameter!$H$5+Parameter!$H$6+Parameter!$H$7))-(AM429-AI429))/AI429)))</f>
        <v>1</v>
      </c>
      <c r="AO429" s="50" t="n">
        <f aca="false">IF(LEFT(Cockpit!$I$5,1)="A",H429,IF(CE429=1,CF429,IF(LEFT(Cockpit!$I$5,1)="B",AT429,MAX(AT429,H429))))</f>
        <v>30</v>
      </c>
      <c r="AP429" s="50" t="n">
        <f aca="false">IF(BW429=1,0,ROUNDUP(AO429/BV429,0))</f>
        <v>1</v>
      </c>
      <c r="AQ429" s="52" t="n">
        <f aca="false">IF(CL429&gt;0,CL429*MAX(1,AO429/X429),IF(BW429=1,IF(AO429&lt;=0,0,CA429*MAX(1,IF(H429&gt;0,AO429/H429,1))),IF(R429&gt;0,AP429/R429,0))/MAX(0.1,N(Parameter!$M$21)))</f>
        <v>0.0384615384615385</v>
      </c>
      <c r="AR429" s="50" t="n">
        <f aca="false">AQ429*BY429</f>
        <v>5.96153846153846</v>
      </c>
      <c r="AS429" s="50" t="n">
        <f aca="false">AO429*G429</f>
        <v>85.5</v>
      </c>
      <c r="AT429" s="50" t="n">
        <f aca="false">ROUNDUP(MAX(J429/IF(CD429&gt;0,CD429,MAX(0.1,N(Cockpit!$I$6))),CG429)/BV429,0)*BV429</f>
        <v>30</v>
      </c>
      <c r="AU429" s="51" t="n">
        <f aca="false">IF(AR429&gt;0,J429/AR429,-1)</f>
        <v>0</v>
      </c>
      <c r="AV429" s="51" t="n">
        <f aca="false">IF(AND(OR(CC429="L1",CC429="L23",CC429="LIFT"),AR429&gt;0),SUMIFS($AR$7:$AR$1843,$CC$7:$CC$1843,CC429,$AU$7:$AU$1843,"&gt;"&amp;AU429)+SUMIFS($AR$7:$AR$1843,$CC$7:$CC$1843,CC429,$AU$7:$AU$1843,AU429,$BT$7:$BT$1843,"&lt;="&amp;BT429),"")</f>
        <v>39428.6588905445</v>
      </c>
      <c r="AW429" s="58" t="n">
        <f aca="false">IF(AV429="",0,MAX(0,MIN(1,(IF(CC429="L1",Parameter!$H$5,IF(CC429="L23",Parameter!$H$6+Parameter!$H$7,Parameter!$H$5+Parameter!$H$6+Parameter!$H$7))-(AV429-AR429))/AR429)))</f>
        <v>0</v>
      </c>
      <c r="AX429" s="50" t="n">
        <f aca="false">IF(LEFT(Cockpit!$O$5,1)="A",H429,IF(CE429=1,CF429,IF(LEFT(Cockpit!$O$5,1)="B",BC429,MAX(BC429,H429))))</f>
        <v>30</v>
      </c>
      <c r="AY429" s="50" t="n">
        <f aca="false">IF(BW429=1,0,ROUNDUP(AX429/BV429,0))</f>
        <v>1</v>
      </c>
      <c r="AZ429" s="52" t="n">
        <f aca="false">IF(CL429&gt;0,CL429*MAX(1,AX429/X429),IF(BW429=1,IF(AX429&lt;=0,0,CA429*MAX(1,IF(H429&gt;0,AX429/H429,1))),IF(R429&gt;0,AY429/R429,0))/MAX(0.1,N(Parameter!$M$21)))</f>
        <v>0.0384615384615385</v>
      </c>
      <c r="BA429" s="50" t="n">
        <f aca="false">AZ429*BY429</f>
        <v>5.96153846153846</v>
      </c>
      <c r="BB429" s="50" t="n">
        <f aca="false">AX429*G429</f>
        <v>85.5</v>
      </c>
      <c r="BC429" s="50" t="n">
        <f aca="false">ROUNDUP(MAX(J429/IF(CD429&gt;0,CD429,MAX(0.1,N(Cockpit!$O$6))),CG429)/BV429,0)*BV429</f>
        <v>30</v>
      </c>
      <c r="BD429" s="51" t="n">
        <f aca="false">IF(BA429&gt;0,J429/BA429,-1)</f>
        <v>0</v>
      </c>
      <c r="BE429" s="51" t="n">
        <f aca="false">IF(AND(OR(CC429="L1",CC429="L23",CC429="LIFT"),BA429&gt;0),SUMIFS($BA$7:$BA$1843,$CC$7:$CC$1843,CC429,$BD$7:$BD$1843,"&gt;"&amp;BD429)+SUMIFS($BA$7:$BA$1843,$CC$7:$CC$1843,CC429,$BD$7:$BD$1843,BD429,$BT$7:$BT$1843,"&lt;="&amp;BT429),"")</f>
        <v>36103.6709324103</v>
      </c>
      <c r="BF429" s="58" t="n">
        <f aca="false">IF(BE429="",0,MAX(0,MIN(1,(IF(CC429="L1",Parameter!$H$5,IF(CC429="L23",Parameter!$H$6+Parameter!$H$7,Parameter!$H$5+Parameter!$H$6+Parameter!$H$7))-(BE429-BA429))/BA429)))</f>
        <v>0</v>
      </c>
      <c r="BG429" s="48" t="str">
        <f aca="false">IF(AI429&lt;=0,"",IF(CC429="Aussen","Aussenlager",IF(CC429="-","Nicht im Lift",IF(AN429&gt;=1,"Lift",IF(AN429&lt;=0,"Aussenlager","teilweise")))))</f>
        <v>Lift</v>
      </c>
      <c r="BH429" s="48" t="str">
        <f aca="false">IF(AR429&lt;=0,"",IF(CC429="Aussen","Aussenlager",IF(CC429="-","Nicht im Lift",IF(AW429&gt;=1,"Lift",IF(AW429&lt;=0,"Aussenlager","teilweise")))))</f>
        <v>Aussenlager</v>
      </c>
      <c r="BI429" s="48" t="str">
        <f aca="false">IF(BA429&lt;=0,"",IF(CC429="Aussen","Aussenlager",IF(CC429="-","Nicht im Lift",IF(BF429&gt;=1,"Lift",IF(BF429&lt;=0,"Aussenlager","teilweise")))))</f>
        <v>Aussenlager</v>
      </c>
      <c r="BJ429" s="48" t="str">
        <f aca="false">IF(A429="","",IF(BS429=1,"Neu; ","")&amp;IF(AND(BS429=0,BN429&lt;0),"negativer Bestand (Export "&amp;BN429&amp;"); ","")&amp;IF(J429&lt;=0,"Kein Verbrauch; ","")&amp;IF(CL429&gt;0,"Lift "&amp;W429&amp;" lt. Liftbericht (Fach "&amp;X429&amp;" Stk); ",IF(BX429=1,"Gebinde geschätzt ("&amp;T429&amp;"); ",IF(BW429=1,"Lose – Tablare geschätzt; ","")))&amp;IF(H429&gt;AT429,"Überbestand "&amp;ROUND(H429-AT429,0)&amp;" Stk / CHF "&amp;ROUND((H429-AT429)*G429,0)&amp;"; ","")&amp;IF(AND(CE429=1,CF429&lt;CG429),"MAX &lt; MB+LG; ","")&amp;IF(AND(CK429&gt;0,CJ429*10&gt;CK429),"zu hoch für Tablar; ","")&amp;IF(AND(BS429=0,OR(CE429=1,AA429&lt;&gt;"",U429&lt;&gt;"",V429&lt;&gt;"",AB429&lt;&gt;"")),"manuell übersteuert; ","")&amp;IF(AND(BW429=0,R429=0),"Gebinde unbekannt / Stellmass fehlt; ","")&amp;IF(AND(BW429=0,N(V429)&lt;=0,N(Q429)&lt;=0),"Menge pro Gebinde fehlt (Ist = 1 Gebinde); ","")&amp;BR429)</f>
        <v>Kein Verbrauch; Gebinde geschätzt (Klein); Menge pro Gebinde fehlt (Ist = 1 Gebinde); </v>
      </c>
      <c r="BK429" s="48"/>
      <c r="BL429" s="48"/>
      <c r="BM429" s="55"/>
      <c r="BN429" s="50" t="n">
        <v>30</v>
      </c>
      <c r="BO429" s="50" t="n">
        <v>0</v>
      </c>
      <c r="BP429" s="49" t="n">
        <v>85.5</v>
      </c>
      <c r="BQ429" s="50" t="n">
        <v>0</v>
      </c>
      <c r="BR429" s="48"/>
      <c r="BS429" s="53" t="n">
        <v>0</v>
      </c>
      <c r="BT429" s="53" t="n">
        <v>429</v>
      </c>
      <c r="BU429" s="48" t="str">
        <f aca="false">IF(U429&lt;&gt;"",UPPER(TRIM(U429)),IF(BX429=1,UPPER(VLOOKUP(T429,Parameter!$I$27:$K$29,2,0)),IF(P429="","LOSE",P429)))</f>
        <v>S51</v>
      </c>
      <c r="BV429" s="50" t="n">
        <f aca="false">IF(BU429="LOSE",1,IF(N(V429)&gt;0,V429,IF(BX429=1,MAX(1,N(VLOOKUP(T429,Parameter!$I$27:$K$29,3,0)),H429,N(N429)),IF(N(Q429)&gt;0,Q429,MAX(1,H429)))))</f>
        <v>30</v>
      </c>
      <c r="BW429" s="53" t="n">
        <f aca="false">IF(BU429="LOSE",1,0)</f>
        <v>0</v>
      </c>
      <c r="BX429" s="53" t="n">
        <f aca="false">IF(AND(U429="",OR(P429="",P429="LOSE"),T429&lt;&gt;"",N(S429)&lt;=0,ISNUMBER(MATCH(T429,Parameter!$I$27:$I$29,0))),1,0)</f>
        <v>1</v>
      </c>
      <c r="BY429" s="53" t="n">
        <f aca="false">IF(CL429&gt;0,INDEX(Parameter!$H$5:$H$7,W429)/INDEX(Parameter!$E$5:$E$7,W429),IF(AND(BW429=0,N(IFERROR(VLOOKUP(BU429,'Gebinde-Kategorie'!$A$5:$N$45,14,0),0))&gt;0),VLOOKUP(BU429,'Gebinde-Kategorie'!$A$5:$N$45,14,0)*10+Parameter!$M$23,Parameter!$M$24))</f>
        <v>155</v>
      </c>
      <c r="BZ429" s="48" t="str">
        <f aca="false">IF(AND(Parameter!$B$19="Ja",E429&lt;&gt;"",ISNUMBER(MATCH(E429,Parameter!$I$35:$I$52,0))),VLOOKUP(E429,Parameter!$I$35:$J$52,2,0),IFERROR(VLOOKUP(D429,Parameter!$A$35:$C$64,2,0),"Nein"))</f>
        <v>2+3</v>
      </c>
      <c r="CA429" s="52" t="n">
        <f aca="false">IF(BW429=0,0,IF(N(S429)&gt;0,S429,IFERROR(VLOOKUP(D429,Parameter!$A$35:$C$64,3,0)+0,0)))</f>
        <v>0</v>
      </c>
      <c r="CB429" s="48" t="n">
        <f aca="false">IF(AA429&lt;&gt;"",AA429,Z429)</f>
        <v>3</v>
      </c>
      <c r="CC429" s="48" t="str">
        <f aca="false">IF(OR(CB429=1,CB429=2,CB429=3),IF(Parameter!$E$27="Ja","LIFT",IF(CB429=1,"L1","L23")),IF(CB429="Aussen","Aussen","-"))</f>
        <v>LIFT</v>
      </c>
      <c r="CD429" s="59" t="n">
        <f aca="false">IF(N(AB429)&gt;0,AB429,0)</f>
        <v>0</v>
      </c>
      <c r="CE429" s="53" t="n">
        <f aca="false">IF(ISNUMBER(AE429),1,0)</f>
        <v>0</v>
      </c>
      <c r="CF429" s="50" t="n">
        <f aca="false">N(AE429)</f>
        <v>0</v>
      </c>
      <c r="CG429" s="50" t="n">
        <f aca="false">N(M429)+N(N429)</f>
        <v>20</v>
      </c>
      <c r="CH429" s="50" t="n">
        <f aca="false">ROUNDUP(H429/BV429,0)</f>
        <v>1</v>
      </c>
      <c r="CI429" s="50" t="n">
        <f aca="false">ROUNDUP(CF429/BV429,0)</f>
        <v>0</v>
      </c>
      <c r="CJ429" s="53" t="n">
        <f aca="false">IF(BW429=1,0,IFERROR(VLOOKUP(BU429,'Gebinde-Kategorie'!$A$5:$N$45,5,0)+0,0))</f>
        <v>11</v>
      </c>
      <c r="CK429" s="53" t="n">
        <f aca="false">IFERROR(IF(OR(CB429=1,CB429=2,CB429=3),N(INDEX(Parameter!$I$5:$I$7,CB429)),0),0)</f>
        <v>0</v>
      </c>
      <c r="CL429" s="52" t="n">
        <f aca="false">IF(AND(Parameter!$B$21="Ja",ISNUMBER(W429),N(X429)&gt;0),IFERROR(N(INDEX(Parameter!$L$5:$L$7,W429))*INDEX(Parameter!$E$5:$E$7,W429)*X429/SUMIFS($X$7:$X$1843,$W$7:$W$1843,W429),0),0)</f>
        <v>0</v>
      </c>
    </row>
    <row r="430" customFormat="false" ht="15" hidden="false" customHeight="false" outlineLevel="0" collapsed="false">
      <c r="A430" s="48" t="s">
        <v>990</v>
      </c>
      <c r="B430" s="48" t="s">
        <v>575</v>
      </c>
      <c r="C430" s="48" t="s">
        <v>168</v>
      </c>
      <c r="D430" s="48" t="s">
        <v>188</v>
      </c>
      <c r="E430" s="48" t="s">
        <v>189</v>
      </c>
      <c r="F430" s="48" t="s">
        <v>222</v>
      </c>
      <c r="G430" s="49" t="n">
        <v>6.17</v>
      </c>
      <c r="H430" s="50" t="n">
        <f aca="false">MAX(0,IF(AND(Parameter!$B$21="Ja",ISNUMBER(Y430)),Y430,IF(Parameter!$B$20="Jahresanfang 2025 + Export",BO430+BN430,BN430)))</f>
        <v>75</v>
      </c>
      <c r="I430" s="50" t="n">
        <f aca="false">H430*G430</f>
        <v>462.75</v>
      </c>
      <c r="J430" s="50" t="n">
        <f aca="false">BQ430*Parameter!$B$18</f>
        <v>258</v>
      </c>
      <c r="K430" s="51" t="n">
        <v>86.5</v>
      </c>
      <c r="L430" s="52" t="n">
        <v>2.98265895953757</v>
      </c>
      <c r="M430" s="50" t="n">
        <v>16</v>
      </c>
      <c r="N430" s="50" t="n">
        <v>100</v>
      </c>
      <c r="O430" s="53" t="n">
        <v>21</v>
      </c>
      <c r="P430" s="48" t="s">
        <v>332</v>
      </c>
      <c r="Q430" s="50" t="n">
        <v>166</v>
      </c>
      <c r="R430" s="53" t="n">
        <f aca="false">IF(BW430=1,0,IFERROR(VLOOKUP(BU430,'Gebinde-Kategorie'!$A$5:$N$45,13,0)+0,0))</f>
        <v>52</v>
      </c>
      <c r="S430" s="54"/>
      <c r="T430" s="55"/>
      <c r="U430" s="55"/>
      <c r="V430" s="55"/>
      <c r="W430" s="48"/>
      <c r="X430" s="50"/>
      <c r="Y430" s="50"/>
      <c r="Z430" s="48" t="n">
        <f aca="false">IF(A430="","",IF(AND(Parameter!$B$21="Ja",ISNUMBER(W430)),W430,IF(BZ430="2+3",IF(ISNUMBER(SEARCH("grosser Artikel",BR430)),2,IFERROR(VLOOKUP(BU430,Parameter!$F$35:$G$64,2,0),2)),IF(OR(BZ430="Nein",BZ430=""),"-",BZ430))))</f>
        <v>3</v>
      </c>
      <c r="AA430" s="55"/>
      <c r="AB430" s="56"/>
      <c r="AC430" s="50" t="n">
        <f aca="false">AT430</f>
        <v>166</v>
      </c>
      <c r="AD430" s="50" t="n">
        <f aca="false">MAX(AT430,H430)</f>
        <v>166</v>
      </c>
      <c r="AE430" s="57"/>
      <c r="AF430" s="50" t="n">
        <f aca="false">IF(LEFT(Cockpit!$C$5,1)="A",H430,IF(CE430=1,CF430,IF(LEFT(Cockpit!$C$5,1)="B",AK430,MAX(AK430,H430))))</f>
        <v>75</v>
      </c>
      <c r="AG430" s="50" t="n">
        <f aca="false">IF(BW430=1,0,ROUNDUP(AF430/BV430,0))</f>
        <v>1</v>
      </c>
      <c r="AH430" s="52" t="n">
        <f aca="false">IF(CL430&gt;0,CL430*MAX(1,AF430/X430),IF(BW430=1,IF(AF430&lt;=0,0,CA430*MAX(1,IF(H430&gt;0,AF430/H430,1))),IF(R430&gt;0,AG430/R430,0))/MAX(0.1,N(Parameter!$M$21)))</f>
        <v>0.0192307692307692</v>
      </c>
      <c r="AI430" s="50" t="n">
        <f aca="false">AH430*BY430</f>
        <v>2.98076923076923</v>
      </c>
      <c r="AJ430" s="50" t="n">
        <f aca="false">AF430*G430</f>
        <v>462.75</v>
      </c>
      <c r="AK430" s="50" t="n">
        <f aca="false">ROUNDUP(MAX(J430/IF(CD430&gt;0,CD430,MAX(0.1,N(Cockpit!$C$6))),CG430)/BV430,0)*BV430</f>
        <v>166</v>
      </c>
      <c r="AL430" s="51" t="n">
        <f aca="false">IF(AI430&gt;0,J430/AI430,-1)</f>
        <v>86.5548387096774</v>
      </c>
      <c r="AM430" s="51" t="n">
        <f aca="false">IF(AND(OR(CC430="L1",CC430="L23",CC430="LIFT"),AI430&gt;0),SUMIFS($AI$7:$AI$1843,$CC$7:$CC$1843,CC430,$AL$7:$AL$1843,"&gt;"&amp;AL430)+SUMIFS($AI$7:$AI$1843,$CC$7:$CC$1843,CC430,$AL$7:$AL$1843,AL430,$BT$7:$BT$1843,"&lt;="&amp;BT430),"")</f>
        <v>838.368131868132</v>
      </c>
      <c r="AN430" s="58" t="n">
        <f aca="false">IF(AM430="",0,MAX(0,MIN(1,(IF(CC430="L1",Parameter!$H$5,IF(CC430="L23",Parameter!$H$6+Parameter!$H$7,Parameter!$H$5+Parameter!$H$6+Parameter!$H$7))-(AM430-AI430))/AI430)))</f>
        <v>1</v>
      </c>
      <c r="AO430" s="50" t="n">
        <f aca="false">IF(LEFT(Cockpit!$I$5,1)="A",H430,IF(CE430=1,CF430,IF(LEFT(Cockpit!$I$5,1)="B",AT430,MAX(AT430,H430))))</f>
        <v>166</v>
      </c>
      <c r="AP430" s="50" t="n">
        <f aca="false">IF(BW430=1,0,ROUNDUP(AO430/BV430,0))</f>
        <v>1</v>
      </c>
      <c r="AQ430" s="52" t="n">
        <f aca="false">IF(CL430&gt;0,CL430*MAX(1,AO430/X430),IF(BW430=1,IF(AO430&lt;=0,0,CA430*MAX(1,IF(H430&gt;0,AO430/H430,1))),IF(R430&gt;0,AP430/R430,0))/MAX(0.1,N(Parameter!$M$21)))</f>
        <v>0.0192307692307692</v>
      </c>
      <c r="AR430" s="50" t="n">
        <f aca="false">AQ430*BY430</f>
        <v>2.98076923076923</v>
      </c>
      <c r="AS430" s="50" t="n">
        <f aca="false">AO430*G430</f>
        <v>1024.22</v>
      </c>
      <c r="AT430" s="50" t="n">
        <f aca="false">ROUNDUP(MAX(J430/IF(CD430&gt;0,CD430,MAX(0.1,N(Cockpit!$I$6))),CG430)/BV430,0)*BV430</f>
        <v>166</v>
      </c>
      <c r="AU430" s="51" t="n">
        <f aca="false">IF(AR430&gt;0,J430/AR430,-1)</f>
        <v>86.5548387096774</v>
      </c>
      <c r="AV430" s="51" t="n">
        <f aca="false">IF(AND(OR(CC430="L1",CC430="L23",CC430="LIFT"),AR430&gt;0),SUMIFS($AR$7:$AR$1843,$CC$7:$CC$1843,CC430,$AU$7:$AU$1843,"&gt;"&amp;AU430)+SUMIFS($AR$7:$AR$1843,$CC$7:$CC$1843,CC430,$AU$7:$AU$1843,AU430,$BT$7:$BT$1843,"&lt;="&amp;BT430),"")</f>
        <v>941.797161172161</v>
      </c>
      <c r="AW430" s="58" t="n">
        <f aca="false">IF(AV430="",0,MAX(0,MIN(1,(IF(CC430="L1",Parameter!$H$5,IF(CC430="L23",Parameter!$H$6+Parameter!$H$7,Parameter!$H$5+Parameter!$H$6+Parameter!$H$7))-(AV430-AR430))/AR430)))</f>
        <v>1</v>
      </c>
      <c r="AX430" s="50" t="n">
        <f aca="false">IF(LEFT(Cockpit!$O$5,1)="A",H430,IF(CE430=1,CF430,IF(LEFT(Cockpit!$O$5,1)="B",BC430,MAX(BC430,H430))))</f>
        <v>166</v>
      </c>
      <c r="AY430" s="50" t="n">
        <f aca="false">IF(BW430=1,0,ROUNDUP(AX430/BV430,0))</f>
        <v>1</v>
      </c>
      <c r="AZ430" s="52" t="n">
        <f aca="false">IF(CL430&gt;0,CL430*MAX(1,AX430/X430),IF(BW430=1,IF(AX430&lt;=0,0,CA430*MAX(1,IF(H430&gt;0,AX430/H430,1))),IF(R430&gt;0,AY430/R430,0))/MAX(0.1,N(Parameter!$M$21)))</f>
        <v>0.0192307692307692</v>
      </c>
      <c r="BA430" s="50" t="n">
        <f aca="false">AZ430*BY430</f>
        <v>2.98076923076923</v>
      </c>
      <c r="BB430" s="50" t="n">
        <f aca="false">AX430*G430</f>
        <v>1024.22</v>
      </c>
      <c r="BC430" s="50" t="n">
        <f aca="false">ROUNDUP(MAX(J430/IF(CD430&gt;0,CD430,MAX(0.1,N(Cockpit!$O$6))),CG430)/BV430,0)*BV430</f>
        <v>166</v>
      </c>
      <c r="BD430" s="51" t="n">
        <f aca="false">IF(BA430&gt;0,J430/BA430,-1)</f>
        <v>86.5548387096774</v>
      </c>
      <c r="BE430" s="51" t="n">
        <f aca="false">IF(AND(OR(CC430="L1",CC430="L23",CC430="LIFT"),BA430&gt;0),SUMIFS($BA$7:$BA$1843,$CC$7:$CC$1843,CC430,$BD$7:$BD$1843,"&gt;"&amp;BD430)+SUMIFS($BA$7:$BA$1843,$CC$7:$CC$1843,CC430,$BD$7:$BD$1843,BD430,$BT$7:$BT$1843,"&lt;="&amp;BT430),"")</f>
        <v>1049.21703296703</v>
      </c>
      <c r="BF430" s="58" t="n">
        <f aca="false">IF(BE430="",0,MAX(0,MIN(1,(IF(CC430="L1",Parameter!$H$5,IF(CC430="L23",Parameter!$H$6+Parameter!$H$7,Parameter!$H$5+Parameter!$H$6+Parameter!$H$7))-(BE430-BA430))/BA430)))</f>
        <v>1</v>
      </c>
      <c r="BG430" s="48" t="str">
        <f aca="false">IF(AI430&lt;=0,"",IF(CC430="Aussen","Aussenlager",IF(CC430="-","Nicht im Lift",IF(AN430&gt;=1,"Lift",IF(AN430&lt;=0,"Aussenlager","teilweise")))))</f>
        <v>Lift</v>
      </c>
      <c r="BH430" s="48" t="str">
        <f aca="false">IF(AR430&lt;=0,"",IF(CC430="Aussen","Aussenlager",IF(CC430="-","Nicht im Lift",IF(AW430&gt;=1,"Lift",IF(AW430&lt;=0,"Aussenlager","teilweise")))))</f>
        <v>Lift</v>
      </c>
      <c r="BI430" s="48" t="str">
        <f aca="false">IF(BA430&lt;=0,"",IF(CC430="Aussen","Aussenlager",IF(CC430="-","Nicht im Lift",IF(BF430&gt;=1,"Lift",IF(BF430&lt;=0,"Aussenlager","teilweise")))))</f>
        <v>Lift</v>
      </c>
      <c r="BJ430" s="48" t="str">
        <f aca="false">IF(A430="","",IF(BS430=1,"Neu; ","")&amp;IF(AND(BS430=0,BN430&lt;0),"negativer Bestand (Export "&amp;BN430&amp;"); ","")&amp;IF(J430&lt;=0,"Kein Verbrauch; ","")&amp;IF(CL430&gt;0,"Lift "&amp;W430&amp;" lt. Liftbericht (Fach "&amp;X430&amp;" Stk); ",IF(BX430=1,"Gebinde geschätzt ("&amp;T430&amp;"); ",IF(BW430=1,"Lose – Tablare geschätzt; ","")))&amp;IF(H430&gt;AT430,"Überbestand "&amp;ROUND(H430-AT430,0)&amp;" Stk / CHF "&amp;ROUND((H430-AT430)*G430,0)&amp;"; ","")&amp;IF(AND(CE430=1,CF430&lt;CG430),"MAX &lt; MB+LG; ","")&amp;IF(AND(CK430&gt;0,CJ430*10&gt;CK430),"zu hoch für Tablar; ","")&amp;IF(AND(BS430=0,OR(CE430=1,AA430&lt;&gt;"",U430&lt;&gt;"",V430&lt;&gt;"",AB430&lt;&gt;"")),"manuell übersteuert; ","")&amp;IF(AND(BW430=0,R430=0),"Gebinde unbekannt / Stellmass fehlt; ","")&amp;IF(AND(BW430=0,N(V430)&lt;=0,N(Q430)&lt;=0),"Menge pro Gebinde fehlt (Ist = 1 Gebinde); ","")&amp;BR430)</f>
        <v/>
      </c>
      <c r="BK430" s="48"/>
      <c r="BL430" s="48"/>
      <c r="BM430" s="55"/>
      <c r="BN430" s="50" t="n">
        <v>7</v>
      </c>
      <c r="BO430" s="50" t="n">
        <v>68</v>
      </c>
      <c r="BP430" s="49" t="n">
        <v>84.0599999999997</v>
      </c>
      <c r="BQ430" s="50" t="n">
        <v>258</v>
      </c>
      <c r="BR430" s="48"/>
      <c r="BS430" s="53" t="n">
        <v>0</v>
      </c>
      <c r="BT430" s="53" t="n">
        <v>430</v>
      </c>
      <c r="BU430" s="48" t="str">
        <f aca="false">IF(U430&lt;&gt;"",UPPER(TRIM(U430)),IF(BX430=1,UPPER(VLOOKUP(T430,Parameter!$I$27:$K$29,2,0)),IF(P430="","LOSE",P430)))</f>
        <v>S41</v>
      </c>
      <c r="BV430" s="50" t="n">
        <f aca="false">IF(BU430="LOSE",1,IF(N(V430)&gt;0,V430,IF(BX430=1,MAX(1,N(VLOOKUP(T430,Parameter!$I$27:$K$29,3,0)),H430,N(N430)),IF(N(Q430)&gt;0,Q430,MAX(1,H430)))))</f>
        <v>166</v>
      </c>
      <c r="BW430" s="53" t="n">
        <f aca="false">IF(BU430="LOSE",1,0)</f>
        <v>0</v>
      </c>
      <c r="BX430" s="53" t="n">
        <f aca="false">IF(AND(U430="",OR(P430="",P430="LOSE"),T430&lt;&gt;"",N(S430)&lt;=0,ISNUMBER(MATCH(T430,Parameter!$I$27:$I$29,0))),1,0)</f>
        <v>0</v>
      </c>
      <c r="BY430" s="53" t="n">
        <f aca="false">IF(CL430&gt;0,INDEX(Parameter!$H$5:$H$7,W430)/INDEX(Parameter!$E$5:$E$7,W430),IF(AND(BW430=0,N(IFERROR(VLOOKUP(BU430,'Gebinde-Kategorie'!$A$5:$N$45,14,0),0))&gt;0),VLOOKUP(BU430,'Gebinde-Kategorie'!$A$5:$N$45,14,0)*10+Parameter!$M$23,Parameter!$M$24))</f>
        <v>155</v>
      </c>
      <c r="BZ430" s="48" t="str">
        <f aca="false">IF(AND(Parameter!$B$19="Ja",E430&lt;&gt;"",ISNUMBER(MATCH(E430,Parameter!$I$35:$I$52,0))),VLOOKUP(E430,Parameter!$I$35:$J$52,2,0),IFERROR(VLOOKUP(D430,Parameter!$A$35:$C$64,2,0),"Nein"))</f>
        <v>2+3</v>
      </c>
      <c r="CA430" s="52" t="n">
        <f aca="false">IF(BW430=0,0,IF(N(S430)&gt;0,S430,IFERROR(VLOOKUP(D430,Parameter!$A$35:$C$64,3,0)+0,0)))</f>
        <v>0</v>
      </c>
      <c r="CB430" s="48" t="n">
        <f aca="false">IF(AA430&lt;&gt;"",AA430,Z430)</f>
        <v>3</v>
      </c>
      <c r="CC430" s="48" t="str">
        <f aca="false">IF(OR(CB430=1,CB430=2,CB430=3),IF(Parameter!$E$27="Ja","LIFT",IF(CB430=1,"L1","L23")),IF(CB430="Aussen","Aussen","-"))</f>
        <v>LIFT</v>
      </c>
      <c r="CD430" s="59" t="n">
        <f aca="false">IF(N(AB430)&gt;0,AB430,0)</f>
        <v>0</v>
      </c>
      <c r="CE430" s="53" t="n">
        <f aca="false">IF(ISNUMBER(AE430),1,0)</f>
        <v>0</v>
      </c>
      <c r="CF430" s="50" t="n">
        <f aca="false">N(AE430)</f>
        <v>0</v>
      </c>
      <c r="CG430" s="50" t="n">
        <f aca="false">N(M430)+N(N430)</f>
        <v>116</v>
      </c>
      <c r="CH430" s="50" t="n">
        <f aca="false">ROUNDUP(H430/BV430,0)</f>
        <v>1</v>
      </c>
      <c r="CI430" s="50" t="n">
        <f aca="false">ROUNDUP(CF430/BV430,0)</f>
        <v>0</v>
      </c>
      <c r="CJ430" s="53" t="n">
        <f aca="false">IF(BW430=1,0,IFERROR(VLOOKUP(BU430,'Gebinde-Kategorie'!$A$5:$N$45,5,0)+0,0))</f>
        <v>11</v>
      </c>
      <c r="CK430" s="53" t="n">
        <f aca="false">IFERROR(IF(OR(CB430=1,CB430=2,CB430=3),N(INDEX(Parameter!$I$5:$I$7,CB430)),0),0)</f>
        <v>0</v>
      </c>
      <c r="CL430" s="52" t="n">
        <f aca="false">IF(AND(Parameter!$B$21="Ja",ISNUMBER(W430),N(X430)&gt;0),IFERROR(N(INDEX(Parameter!$L$5:$L$7,W430))*INDEX(Parameter!$E$5:$E$7,W430)*X430/SUMIFS($X$7:$X$1843,$W$7:$W$1843,W430),0),0)</f>
        <v>0</v>
      </c>
    </row>
    <row r="431" customFormat="false" ht="15" hidden="false" customHeight="false" outlineLevel="0" collapsed="false">
      <c r="A431" s="48" t="s">
        <v>991</v>
      </c>
      <c r="B431" s="48" t="s">
        <v>499</v>
      </c>
      <c r="C431" s="48" t="s">
        <v>168</v>
      </c>
      <c r="D431" s="48" t="s">
        <v>188</v>
      </c>
      <c r="E431" s="48" t="s">
        <v>189</v>
      </c>
      <c r="F431" s="48" t="s">
        <v>222</v>
      </c>
      <c r="G431" s="49" t="n">
        <v>3.27</v>
      </c>
      <c r="H431" s="50" t="n">
        <f aca="false">MAX(0,IF(AND(Parameter!$B$21="Ja",ISNUMBER(Y431)),Y431,IF(Parameter!$B$20="Jahresanfang 2025 + Export",BO431+BN431,BN431)))</f>
        <v>155</v>
      </c>
      <c r="I431" s="50" t="n">
        <f aca="false">H431*G431</f>
        <v>506.85</v>
      </c>
      <c r="J431" s="50" t="n">
        <f aca="false">BQ431*Parameter!$B$18</f>
        <v>158</v>
      </c>
      <c r="K431" s="51" t="n">
        <v>126.5</v>
      </c>
      <c r="L431" s="52" t="n">
        <v>1.24901185770751</v>
      </c>
      <c r="M431" s="50" t="n">
        <v>9</v>
      </c>
      <c r="N431" s="50" t="n">
        <v>160</v>
      </c>
      <c r="O431" s="53" t="n">
        <v>21</v>
      </c>
      <c r="P431" s="48" t="s">
        <v>425</v>
      </c>
      <c r="Q431" s="50" t="n">
        <v>125</v>
      </c>
      <c r="R431" s="53" t="n">
        <f aca="false">IF(BW431=1,0,IFERROR(VLOOKUP(BU431,'Gebinde-Kategorie'!$A$5:$N$45,13,0)+0,0))</f>
        <v>104</v>
      </c>
      <c r="S431" s="54"/>
      <c r="T431" s="55"/>
      <c r="U431" s="55"/>
      <c r="V431" s="55"/>
      <c r="W431" s="48"/>
      <c r="X431" s="50"/>
      <c r="Y431" s="50"/>
      <c r="Z431" s="48" t="n">
        <f aca="false">IF(A431="","",IF(AND(Parameter!$B$21="Ja",ISNUMBER(W431)),W431,IF(BZ431="2+3",IF(ISNUMBER(SEARCH("grosser Artikel",BR431)),2,IFERROR(VLOOKUP(BU431,Parameter!$F$35:$G$64,2,0),2)),IF(OR(BZ431="Nein",BZ431=""),"-",BZ431))))</f>
        <v>3</v>
      </c>
      <c r="AA431" s="55"/>
      <c r="AB431" s="56"/>
      <c r="AC431" s="50" t="n">
        <f aca="false">AT431</f>
        <v>250</v>
      </c>
      <c r="AD431" s="50" t="n">
        <f aca="false">MAX(AT431,H431)</f>
        <v>250</v>
      </c>
      <c r="AE431" s="57"/>
      <c r="AF431" s="50" t="n">
        <f aca="false">IF(LEFT(Cockpit!$C$5,1)="A",H431,IF(CE431=1,CF431,IF(LEFT(Cockpit!$C$5,1)="B",AK431,MAX(AK431,H431))))</f>
        <v>155</v>
      </c>
      <c r="AG431" s="50" t="n">
        <f aca="false">IF(BW431=1,0,ROUNDUP(AF431/BV431,0))</f>
        <v>2</v>
      </c>
      <c r="AH431" s="52" t="n">
        <f aca="false">IF(CL431&gt;0,CL431*MAX(1,AF431/X431),IF(BW431=1,IF(AF431&lt;=0,0,CA431*MAX(1,IF(H431&gt;0,AF431/H431,1))),IF(R431&gt;0,AG431/R431,0))/MAX(0.1,N(Parameter!$M$21)))</f>
        <v>0.0192307692307692</v>
      </c>
      <c r="AI431" s="50" t="n">
        <f aca="false">AH431*BY431</f>
        <v>2.98076923076923</v>
      </c>
      <c r="AJ431" s="50" t="n">
        <f aca="false">AF431*G431</f>
        <v>506.85</v>
      </c>
      <c r="AK431" s="50" t="n">
        <f aca="false">ROUNDUP(MAX(J431/IF(CD431&gt;0,CD431,MAX(0.1,N(Cockpit!$C$6))),CG431)/BV431,0)*BV431</f>
        <v>250</v>
      </c>
      <c r="AL431" s="51" t="n">
        <f aca="false">IF(AI431&gt;0,J431/AI431,-1)</f>
        <v>53.0064516129032</v>
      </c>
      <c r="AM431" s="51" t="n">
        <f aca="false">IF(AND(OR(CC431="L1",CC431="L23",CC431="LIFT"),AI431&gt;0),SUMIFS($AI$7:$AI$1843,$CC$7:$CC$1843,CC431,$AL$7:$AL$1843,"&gt;"&amp;AL431)+SUMIFS($AI$7:$AI$1843,$CC$7:$CC$1843,CC431,$AL$7:$AL$1843,AL431,$BT$7:$BT$1843,"&lt;="&amp;BT431),"")</f>
        <v>1014.95192307692</v>
      </c>
      <c r="AN431" s="58" t="n">
        <f aca="false">IF(AM431="",0,MAX(0,MIN(1,(IF(CC431="L1",Parameter!$H$5,IF(CC431="L23",Parameter!$H$6+Parameter!$H$7,Parameter!$H$5+Parameter!$H$6+Parameter!$H$7))-(AM431-AI431))/AI431)))</f>
        <v>1</v>
      </c>
      <c r="AO431" s="50" t="n">
        <f aca="false">IF(LEFT(Cockpit!$I$5,1)="A",H431,IF(CE431=1,CF431,IF(LEFT(Cockpit!$I$5,1)="B",AT431,MAX(AT431,H431))))</f>
        <v>250</v>
      </c>
      <c r="AP431" s="50" t="n">
        <f aca="false">IF(BW431=1,0,ROUNDUP(AO431/BV431,0))</f>
        <v>2</v>
      </c>
      <c r="AQ431" s="52" t="n">
        <f aca="false">IF(CL431&gt;0,CL431*MAX(1,AO431/X431),IF(BW431=1,IF(AO431&lt;=0,0,CA431*MAX(1,IF(H431&gt;0,AO431/H431,1))),IF(R431&gt;0,AP431/R431,0))/MAX(0.1,N(Parameter!$M$21)))</f>
        <v>0.0192307692307692</v>
      </c>
      <c r="AR431" s="50" t="n">
        <f aca="false">AQ431*BY431</f>
        <v>2.98076923076923</v>
      </c>
      <c r="AS431" s="50" t="n">
        <f aca="false">AO431*G431</f>
        <v>817.5</v>
      </c>
      <c r="AT431" s="50" t="n">
        <f aca="false">ROUNDUP(MAX(J431/IF(CD431&gt;0,CD431,MAX(0.1,N(Cockpit!$I$6))),CG431)/BV431,0)*BV431</f>
        <v>250</v>
      </c>
      <c r="AU431" s="51" t="n">
        <f aca="false">IF(AR431&gt;0,J431/AR431,-1)</f>
        <v>53.0064516129032</v>
      </c>
      <c r="AV431" s="51" t="n">
        <f aca="false">IF(AND(OR(CC431="L1",CC431="L23",CC431="LIFT"),AR431&gt;0),SUMIFS($AR$7:$AR$1843,$CC$7:$CC$1843,CC431,$AU$7:$AU$1843,"&gt;"&amp;AU431)+SUMIFS($AR$7:$AR$1843,$CC$7:$CC$1843,CC431,$AU$7:$AU$1843,AU431,$BT$7:$BT$1843,"&lt;="&amp;BT431),"")</f>
        <v>1515.9010989011</v>
      </c>
      <c r="AW431" s="58" t="n">
        <f aca="false">IF(AV431="",0,MAX(0,MIN(1,(IF(CC431="L1",Parameter!$H$5,IF(CC431="L23",Parameter!$H$6+Parameter!$H$7,Parameter!$H$5+Parameter!$H$6+Parameter!$H$7))-(AV431-AR431))/AR431)))</f>
        <v>1</v>
      </c>
      <c r="AX431" s="50" t="n">
        <f aca="false">IF(LEFT(Cockpit!$O$5,1)="A",H431,IF(CE431=1,CF431,IF(LEFT(Cockpit!$O$5,1)="B",BC431,MAX(BC431,H431))))</f>
        <v>250</v>
      </c>
      <c r="AY431" s="50" t="n">
        <f aca="false">IF(BW431=1,0,ROUNDUP(AX431/BV431,0))</f>
        <v>2</v>
      </c>
      <c r="AZ431" s="52" t="n">
        <f aca="false">IF(CL431&gt;0,CL431*MAX(1,AX431/X431),IF(BW431=1,IF(AX431&lt;=0,0,CA431*MAX(1,IF(H431&gt;0,AX431/H431,1))),IF(R431&gt;0,AY431/R431,0))/MAX(0.1,N(Parameter!$M$21)))</f>
        <v>0.0192307692307692</v>
      </c>
      <c r="BA431" s="50" t="n">
        <f aca="false">AZ431*BY431</f>
        <v>2.98076923076923</v>
      </c>
      <c r="BB431" s="50" t="n">
        <f aca="false">AX431*G431</f>
        <v>817.5</v>
      </c>
      <c r="BC431" s="50" t="n">
        <f aca="false">ROUNDUP(MAX(J431/IF(CD431&gt;0,CD431,MAX(0.1,N(Cockpit!$O$6))),CG431)/BV431,0)*BV431</f>
        <v>250</v>
      </c>
      <c r="BD431" s="51" t="n">
        <f aca="false">IF(BA431&gt;0,J431/BA431,-1)</f>
        <v>53.0064516129032</v>
      </c>
      <c r="BE431" s="51" t="n">
        <f aca="false">IF(AND(OR(CC431="L1",CC431="L23",CC431="LIFT"),BA431&gt;0),SUMIFS($BA$7:$BA$1843,$CC$7:$CC$1843,CC431,$BD$7:$BD$1843,"&gt;"&amp;BD431)+SUMIFS($BA$7:$BA$1843,$CC$7:$CC$1843,CC431,$BD$7:$BD$1843,BD431,$BT$7:$BT$1843,"&lt;="&amp;BT431),"")</f>
        <v>1343.12866300366</v>
      </c>
      <c r="BF431" s="58" t="n">
        <f aca="false">IF(BE431="",0,MAX(0,MIN(1,(IF(CC431="L1",Parameter!$H$5,IF(CC431="L23",Parameter!$H$6+Parameter!$H$7,Parameter!$H$5+Parameter!$H$6+Parameter!$H$7))-(BE431-BA431))/BA431)))</f>
        <v>1</v>
      </c>
      <c r="BG431" s="48" t="str">
        <f aca="false">IF(AI431&lt;=0,"",IF(CC431="Aussen","Aussenlager",IF(CC431="-","Nicht im Lift",IF(AN431&gt;=1,"Lift",IF(AN431&lt;=0,"Aussenlager","teilweise")))))</f>
        <v>Lift</v>
      </c>
      <c r="BH431" s="48" t="str">
        <f aca="false">IF(AR431&lt;=0,"",IF(CC431="Aussen","Aussenlager",IF(CC431="-","Nicht im Lift",IF(AW431&gt;=1,"Lift",IF(AW431&lt;=0,"Aussenlager","teilweise")))))</f>
        <v>Lift</v>
      </c>
      <c r="BI431" s="48" t="str">
        <f aca="false">IF(BA431&lt;=0,"",IF(CC431="Aussen","Aussenlager",IF(CC431="-","Nicht im Lift",IF(BF431&gt;=1,"Lift",IF(BF431&lt;=0,"Aussenlager","teilweise")))))</f>
        <v>Lift</v>
      </c>
      <c r="BJ431" s="48" t="str">
        <f aca="false">IF(A431="","",IF(BS431=1,"Neu; ","")&amp;IF(AND(BS431=0,BN431&lt;0),"negativer Bestand (Export "&amp;BN431&amp;"); ","")&amp;IF(J431&lt;=0,"Kein Verbrauch; ","")&amp;IF(CL431&gt;0,"Lift "&amp;W431&amp;" lt. Liftbericht (Fach "&amp;X431&amp;" Stk); ",IF(BX431=1,"Gebinde geschätzt ("&amp;T431&amp;"); ",IF(BW431=1,"Lose – Tablare geschätzt; ","")))&amp;IF(H431&gt;AT431,"Überbestand "&amp;ROUND(H431-AT431,0)&amp;" Stk / CHF "&amp;ROUND((H431-AT431)*G431,0)&amp;"; ","")&amp;IF(AND(CE431=1,CF431&lt;CG431),"MAX &lt; MB+LG; ","")&amp;IF(AND(CK431&gt;0,CJ431*10&gt;CK431),"zu hoch für Tablar; ","")&amp;IF(AND(BS431=0,OR(CE431=1,AA431&lt;&gt;"",U431&lt;&gt;"",V431&lt;&gt;"",AB431&lt;&gt;"")),"manuell übersteuert; ","")&amp;IF(AND(BW431=0,R431=0),"Gebinde unbekannt / Stellmass fehlt; ","")&amp;IF(AND(BW431=0,N(V431)&lt;=0,N(Q431)&lt;=0),"Menge pro Gebinde fehlt (Ist = 1 Gebinde); ","")&amp;BR431)</f>
        <v/>
      </c>
      <c r="BK431" s="48"/>
      <c r="BL431" s="48"/>
      <c r="BM431" s="55"/>
      <c r="BN431" s="50" t="n">
        <v>44</v>
      </c>
      <c r="BO431" s="50" t="n">
        <v>111</v>
      </c>
      <c r="BP431" s="49" t="n">
        <v>83.9600000000007</v>
      </c>
      <c r="BQ431" s="50" t="n">
        <v>158</v>
      </c>
      <c r="BR431" s="48"/>
      <c r="BS431" s="53" t="n">
        <v>0</v>
      </c>
      <c r="BT431" s="53" t="n">
        <v>431</v>
      </c>
      <c r="BU431" s="48" t="str">
        <f aca="false">IF(U431&lt;&gt;"",UPPER(TRIM(U431)),IF(BX431=1,UPPER(VLOOKUP(T431,Parameter!$I$27:$K$29,2,0)),IF(P431="","LOSE",P431)))</f>
        <v>S32</v>
      </c>
      <c r="BV431" s="50" t="n">
        <f aca="false">IF(BU431="LOSE",1,IF(N(V431)&gt;0,V431,IF(BX431=1,MAX(1,N(VLOOKUP(T431,Parameter!$I$27:$K$29,3,0)),H431,N(N431)),IF(N(Q431)&gt;0,Q431,MAX(1,H431)))))</f>
        <v>125</v>
      </c>
      <c r="BW431" s="53" t="n">
        <f aca="false">IF(BU431="LOSE",1,0)</f>
        <v>0</v>
      </c>
      <c r="BX431" s="53" t="n">
        <f aca="false">IF(AND(U431="",OR(P431="",P431="LOSE"),T431&lt;&gt;"",N(S431)&lt;=0,ISNUMBER(MATCH(T431,Parameter!$I$27:$I$29,0))),1,0)</f>
        <v>0</v>
      </c>
      <c r="BY431" s="53" t="n">
        <f aca="false">IF(CL431&gt;0,INDEX(Parameter!$H$5:$H$7,W431)/INDEX(Parameter!$E$5:$E$7,W431),IF(AND(BW431=0,N(IFERROR(VLOOKUP(BU431,'Gebinde-Kategorie'!$A$5:$N$45,14,0),0))&gt;0),VLOOKUP(BU431,'Gebinde-Kategorie'!$A$5:$N$45,14,0)*10+Parameter!$M$23,Parameter!$M$24))</f>
        <v>155</v>
      </c>
      <c r="BZ431" s="48" t="str">
        <f aca="false">IF(AND(Parameter!$B$19="Ja",E431&lt;&gt;"",ISNUMBER(MATCH(E431,Parameter!$I$35:$I$52,0))),VLOOKUP(E431,Parameter!$I$35:$J$52,2,0),IFERROR(VLOOKUP(D431,Parameter!$A$35:$C$64,2,0),"Nein"))</f>
        <v>2+3</v>
      </c>
      <c r="CA431" s="52" t="n">
        <f aca="false">IF(BW431=0,0,IF(N(S431)&gt;0,S431,IFERROR(VLOOKUP(D431,Parameter!$A$35:$C$64,3,0)+0,0)))</f>
        <v>0</v>
      </c>
      <c r="CB431" s="48" t="n">
        <f aca="false">IF(AA431&lt;&gt;"",AA431,Z431)</f>
        <v>3</v>
      </c>
      <c r="CC431" s="48" t="str">
        <f aca="false">IF(OR(CB431=1,CB431=2,CB431=3),IF(Parameter!$E$27="Ja","LIFT",IF(CB431=1,"L1","L23")),IF(CB431="Aussen","Aussen","-"))</f>
        <v>LIFT</v>
      </c>
      <c r="CD431" s="59" t="n">
        <f aca="false">IF(N(AB431)&gt;0,AB431,0)</f>
        <v>0</v>
      </c>
      <c r="CE431" s="53" t="n">
        <f aca="false">IF(ISNUMBER(AE431),1,0)</f>
        <v>0</v>
      </c>
      <c r="CF431" s="50" t="n">
        <f aca="false">N(AE431)</f>
        <v>0</v>
      </c>
      <c r="CG431" s="50" t="n">
        <f aca="false">N(M431)+N(N431)</f>
        <v>169</v>
      </c>
      <c r="CH431" s="50" t="n">
        <f aca="false">ROUNDUP(H431/BV431,0)</f>
        <v>2</v>
      </c>
      <c r="CI431" s="50" t="n">
        <f aca="false">ROUNDUP(CF431/BV431,0)</f>
        <v>0</v>
      </c>
      <c r="CJ431" s="53" t="n">
        <f aca="false">IF(BW431=1,0,IFERROR(VLOOKUP(BU431,'Gebinde-Kategorie'!$A$5:$N$45,5,0)+0,0))</f>
        <v>8</v>
      </c>
      <c r="CK431" s="53" t="n">
        <f aca="false">IFERROR(IF(OR(CB431=1,CB431=2,CB431=3),N(INDEX(Parameter!$I$5:$I$7,CB431)),0),0)</f>
        <v>0</v>
      </c>
      <c r="CL431" s="52" t="n">
        <f aca="false">IF(AND(Parameter!$B$21="Ja",ISNUMBER(W431),N(X431)&gt;0),IFERROR(N(INDEX(Parameter!$L$5:$L$7,W431))*INDEX(Parameter!$E$5:$E$7,W431)*X431/SUMIFS($X$7:$X$1843,$W$7:$W$1843,W431),0),0)</f>
        <v>0</v>
      </c>
    </row>
    <row r="432" customFormat="false" ht="15" hidden="false" customHeight="false" outlineLevel="0" collapsed="false">
      <c r="A432" s="48" t="s">
        <v>992</v>
      </c>
      <c r="B432" s="48" t="s">
        <v>993</v>
      </c>
      <c r="C432" s="48" t="s">
        <v>168</v>
      </c>
      <c r="D432" s="48" t="s">
        <v>188</v>
      </c>
      <c r="E432" s="48"/>
      <c r="F432" s="48" t="s">
        <v>222</v>
      </c>
      <c r="G432" s="49" t="n">
        <v>75.18</v>
      </c>
      <c r="H432" s="50" t="n">
        <f aca="false">MAX(0,IF(AND(Parameter!$B$21="Ja",ISNUMBER(Y432)),Y432,IF(Parameter!$B$20="Jahresanfang 2025 + Export",BO432+BN432,BN432)))</f>
        <v>8</v>
      </c>
      <c r="I432" s="50" t="n">
        <f aca="false">H432*G432</f>
        <v>601.44</v>
      </c>
      <c r="J432" s="50" t="n">
        <f aca="false">BQ432*Parameter!$B$18</f>
        <v>5</v>
      </c>
      <c r="K432" s="51" t="n">
        <v>8.5</v>
      </c>
      <c r="L432" s="52" t="n">
        <v>0.588235294117647</v>
      </c>
      <c r="M432" s="50" t="n">
        <v>0</v>
      </c>
      <c r="N432" s="50" t="n">
        <v>10</v>
      </c>
      <c r="O432" s="53" t="n">
        <v>21</v>
      </c>
      <c r="P432" s="48" t="s">
        <v>405</v>
      </c>
      <c r="Q432" s="50" t="n">
        <v>10</v>
      </c>
      <c r="R432" s="53" t="n">
        <f aca="false">IF(BW432=1,0,IFERROR(VLOOKUP(BU432,'Gebinde-Kategorie'!$A$5:$N$45,13,0)+0,0))</f>
        <v>280</v>
      </c>
      <c r="S432" s="54"/>
      <c r="T432" s="55"/>
      <c r="U432" s="55"/>
      <c r="V432" s="55"/>
      <c r="W432" s="48"/>
      <c r="X432" s="50"/>
      <c r="Y432" s="50"/>
      <c r="Z432" s="48" t="n">
        <f aca="false">IF(A432="","",IF(AND(Parameter!$B$21="Ja",ISNUMBER(W432)),W432,IF(BZ432="2+3",IF(ISNUMBER(SEARCH("grosser Artikel",BR432)),2,IFERROR(VLOOKUP(BU432,Parameter!$F$35:$G$64,2,0),2)),IF(OR(BZ432="Nein",BZ432=""),"-",BZ432))))</f>
        <v>3</v>
      </c>
      <c r="AA432" s="55"/>
      <c r="AB432" s="56"/>
      <c r="AC432" s="50" t="n">
        <f aca="false">AT432</f>
        <v>10</v>
      </c>
      <c r="AD432" s="50" t="n">
        <f aca="false">MAX(AT432,H432)</f>
        <v>10</v>
      </c>
      <c r="AE432" s="57"/>
      <c r="AF432" s="50" t="n">
        <f aca="false">IF(LEFT(Cockpit!$C$5,1)="A",H432,IF(CE432=1,CF432,IF(LEFT(Cockpit!$C$5,1)="B",AK432,MAX(AK432,H432))))</f>
        <v>8</v>
      </c>
      <c r="AG432" s="50" t="n">
        <f aca="false">IF(BW432=1,0,ROUNDUP(AF432/BV432,0))</f>
        <v>1</v>
      </c>
      <c r="AH432" s="52" t="n">
        <f aca="false">IF(CL432&gt;0,CL432*MAX(1,AF432/X432),IF(BW432=1,IF(AF432&lt;=0,0,CA432*MAX(1,IF(H432&gt;0,AF432/H432,1))),IF(R432&gt;0,AG432/R432,0))/MAX(0.1,N(Parameter!$M$21)))</f>
        <v>0.00357142857142857</v>
      </c>
      <c r="AI432" s="50" t="n">
        <f aca="false">AH432*BY432</f>
        <v>0.553571428571429</v>
      </c>
      <c r="AJ432" s="50" t="n">
        <f aca="false">AF432*G432</f>
        <v>601.44</v>
      </c>
      <c r="AK432" s="50" t="n">
        <f aca="false">ROUNDUP(MAX(J432/IF(CD432&gt;0,CD432,MAX(0.1,N(Cockpit!$C$6))),CG432)/BV432,0)*BV432</f>
        <v>10</v>
      </c>
      <c r="AL432" s="51" t="n">
        <f aca="false">IF(AI432&gt;0,J432/AI432,-1)</f>
        <v>9.03225806451613</v>
      </c>
      <c r="AM432" s="51" t="n">
        <f aca="false">IF(AND(OR(CC432="L1",CC432="L23",CC432="LIFT"),AI432&gt;0),SUMIFS($AI$7:$AI$1843,$CC$7:$CC$1843,CC432,$AL$7:$AL$1843,"&gt;"&amp;AL432)+SUMIFS($AI$7:$AI$1843,$CC$7:$CC$1843,CC432,$AL$7:$AL$1843,AL432,$BT$7:$BT$1843,"&lt;="&amp;BT432),"")</f>
        <v>2922.44230769231</v>
      </c>
      <c r="AN432" s="58" t="n">
        <f aca="false">IF(AM432="",0,MAX(0,MIN(1,(IF(CC432="L1",Parameter!$H$5,IF(CC432="L23",Parameter!$H$6+Parameter!$H$7,Parameter!$H$5+Parameter!$H$6+Parameter!$H$7))-(AM432-AI432))/AI432)))</f>
        <v>1</v>
      </c>
      <c r="AO432" s="50" t="n">
        <f aca="false">IF(LEFT(Cockpit!$I$5,1)="A",H432,IF(CE432=1,CF432,IF(LEFT(Cockpit!$I$5,1)="B",AT432,MAX(AT432,H432))))</f>
        <v>10</v>
      </c>
      <c r="AP432" s="50" t="n">
        <f aca="false">IF(BW432=1,0,ROUNDUP(AO432/BV432,0))</f>
        <v>1</v>
      </c>
      <c r="AQ432" s="52" t="n">
        <f aca="false">IF(CL432&gt;0,CL432*MAX(1,AO432/X432),IF(BW432=1,IF(AO432&lt;=0,0,CA432*MAX(1,IF(H432&gt;0,AO432/H432,1))),IF(R432&gt;0,AP432/R432,0))/MAX(0.1,N(Parameter!$M$21)))</f>
        <v>0.00357142857142857</v>
      </c>
      <c r="AR432" s="50" t="n">
        <f aca="false">AQ432*BY432</f>
        <v>0.553571428571429</v>
      </c>
      <c r="AS432" s="50" t="n">
        <f aca="false">AO432*G432</f>
        <v>751.8</v>
      </c>
      <c r="AT432" s="50" t="n">
        <f aca="false">ROUNDUP(MAX(J432/IF(CD432&gt;0,CD432,MAX(0.1,N(Cockpit!$I$6))),CG432)/BV432,0)*BV432</f>
        <v>10</v>
      </c>
      <c r="AU432" s="51" t="n">
        <f aca="false">IF(AR432&gt;0,J432/AR432,-1)</f>
        <v>9.03225806451613</v>
      </c>
      <c r="AV432" s="51" t="n">
        <f aca="false">IF(AND(OR(CC432="L1",CC432="L23",CC432="LIFT"),AR432&gt;0),SUMIFS($AR$7:$AR$1843,$CC$7:$CC$1843,CC432,$AU$7:$AU$1843,"&gt;"&amp;AU432)+SUMIFS($AR$7:$AR$1843,$CC$7:$CC$1843,CC432,$AU$7:$AU$1843,AU432,$BT$7:$BT$1843,"&lt;="&amp;BT432),"")</f>
        <v>4142.68177655678</v>
      </c>
      <c r="AW432" s="58" t="n">
        <f aca="false">IF(AV432="",0,MAX(0,MIN(1,(IF(CC432="L1",Parameter!$H$5,IF(CC432="L23",Parameter!$H$6+Parameter!$H$7,Parameter!$H$5+Parameter!$H$6+Parameter!$H$7))-(AV432-AR432))/AR432)))</f>
        <v>1</v>
      </c>
      <c r="AX432" s="50" t="n">
        <f aca="false">IF(LEFT(Cockpit!$O$5,1)="A",H432,IF(CE432=1,CF432,IF(LEFT(Cockpit!$O$5,1)="B",BC432,MAX(BC432,H432))))</f>
        <v>10</v>
      </c>
      <c r="AY432" s="50" t="n">
        <f aca="false">IF(BW432=1,0,ROUNDUP(AX432/BV432,0))</f>
        <v>1</v>
      </c>
      <c r="AZ432" s="52" t="n">
        <f aca="false">IF(CL432&gt;0,CL432*MAX(1,AX432/X432),IF(BW432=1,IF(AX432&lt;=0,0,CA432*MAX(1,IF(H432&gt;0,AX432/H432,1))),IF(R432&gt;0,AY432/R432,0))/MAX(0.1,N(Parameter!$M$21)))</f>
        <v>0.00357142857142857</v>
      </c>
      <c r="BA432" s="50" t="n">
        <f aca="false">AZ432*BY432</f>
        <v>0.553571428571429</v>
      </c>
      <c r="BB432" s="50" t="n">
        <f aca="false">AX432*G432</f>
        <v>751.8</v>
      </c>
      <c r="BC432" s="50" t="n">
        <f aca="false">ROUNDUP(MAX(J432/IF(CD432&gt;0,CD432,MAX(0.1,N(Cockpit!$O$6))),CG432)/BV432,0)*BV432</f>
        <v>10</v>
      </c>
      <c r="BD432" s="51" t="n">
        <f aca="false">IF(BA432&gt;0,J432/BA432,-1)</f>
        <v>9.03225806451613</v>
      </c>
      <c r="BE432" s="51" t="n">
        <f aca="false">IF(AND(OR(CC432="L1",CC432="L23",CC432="LIFT"),BA432&gt;0),SUMIFS($BA$7:$BA$1843,$CC$7:$CC$1843,CC432,$BD$7:$BD$1843,"&gt;"&amp;BD432)+SUMIFS($BA$7:$BA$1843,$CC$7:$CC$1843,CC432,$BD$7:$BD$1843,BD432,$BT$7:$BT$1843,"&lt;="&amp;BT432),"")</f>
        <v>3800.80677655678</v>
      </c>
      <c r="BF432" s="58" t="n">
        <f aca="false">IF(BE432="",0,MAX(0,MIN(1,(IF(CC432="L1",Parameter!$H$5,IF(CC432="L23",Parameter!$H$6+Parameter!$H$7,Parameter!$H$5+Parameter!$H$6+Parameter!$H$7))-(BE432-BA432))/BA432)))</f>
        <v>1</v>
      </c>
      <c r="BG432" s="48" t="str">
        <f aca="false">IF(AI432&lt;=0,"",IF(CC432="Aussen","Aussenlager",IF(CC432="-","Nicht im Lift",IF(AN432&gt;=1,"Lift",IF(AN432&lt;=0,"Aussenlager","teilweise")))))</f>
        <v>Lift</v>
      </c>
      <c r="BH432" s="48" t="str">
        <f aca="false">IF(AR432&lt;=0,"",IF(CC432="Aussen","Aussenlager",IF(CC432="-","Nicht im Lift",IF(AW432&gt;=1,"Lift",IF(AW432&lt;=0,"Aussenlager","teilweise")))))</f>
        <v>Lift</v>
      </c>
      <c r="BI432" s="48" t="str">
        <f aca="false">IF(BA432&lt;=0,"",IF(CC432="Aussen","Aussenlager",IF(CC432="-","Nicht im Lift",IF(BF432&gt;=1,"Lift",IF(BF432&lt;=0,"Aussenlager","teilweise")))))</f>
        <v>Lift</v>
      </c>
      <c r="BJ432" s="48" t="str">
        <f aca="false">IF(A432="","",IF(BS432=1,"Neu; ","")&amp;IF(AND(BS432=0,BN432&lt;0),"negativer Bestand (Export "&amp;BN432&amp;"); ","")&amp;IF(J432&lt;=0,"Kein Verbrauch; ","")&amp;IF(CL432&gt;0,"Lift "&amp;W432&amp;" lt. Liftbericht (Fach "&amp;X432&amp;" Stk); ",IF(BX432=1,"Gebinde geschätzt ("&amp;T432&amp;"); ",IF(BW432=1,"Lose – Tablare geschätzt; ","")))&amp;IF(H432&gt;AT432,"Überbestand "&amp;ROUND(H432-AT432,0)&amp;" Stk / CHF "&amp;ROUND((H432-AT432)*G432,0)&amp;"; ","")&amp;IF(AND(CE432=1,CF432&lt;CG432),"MAX &lt; MB+LG; ","")&amp;IF(AND(CK432&gt;0,CJ432*10&gt;CK432),"zu hoch für Tablar; ","")&amp;IF(AND(BS432=0,OR(CE432=1,AA432&lt;&gt;"",U432&lt;&gt;"",V432&lt;&gt;"",AB432&lt;&gt;"")),"manuell übersteuert; ","")&amp;IF(AND(BW432=0,R432=0),"Gebinde unbekannt / Stellmass fehlt; ","")&amp;IF(AND(BW432=0,N(V432)&lt;=0,N(Q432)&lt;=0),"Menge pro Gebinde fehlt (Ist = 1 Gebinde); ","")&amp;BR432)</f>
        <v>negativer Bestand (Export -1); </v>
      </c>
      <c r="BK432" s="48"/>
      <c r="BL432" s="48"/>
      <c r="BM432" s="55"/>
      <c r="BN432" s="50" t="n">
        <v>-1</v>
      </c>
      <c r="BO432" s="50" t="n">
        <v>9</v>
      </c>
      <c r="BP432" s="49" t="n">
        <v>80.7900000000001</v>
      </c>
      <c r="BQ432" s="50" t="n">
        <v>5</v>
      </c>
      <c r="BR432" s="48"/>
      <c r="BS432" s="53" t="n">
        <v>0</v>
      </c>
      <c r="BT432" s="53" t="n">
        <v>432</v>
      </c>
      <c r="BU432" s="48" t="str">
        <f aca="false">IF(U432&lt;&gt;"",UPPER(TRIM(U432)),IF(BX432=1,UPPER(VLOOKUP(T432,Parameter!$I$27:$K$29,2,0)),IF(P432="","LOSE",P432)))</f>
        <v>S21</v>
      </c>
      <c r="BV432" s="50" t="n">
        <f aca="false">IF(BU432="LOSE",1,IF(N(V432)&gt;0,V432,IF(BX432=1,MAX(1,N(VLOOKUP(T432,Parameter!$I$27:$K$29,3,0)),H432,N(N432)),IF(N(Q432)&gt;0,Q432,MAX(1,H432)))))</f>
        <v>10</v>
      </c>
      <c r="BW432" s="53" t="n">
        <f aca="false">IF(BU432="LOSE",1,0)</f>
        <v>0</v>
      </c>
      <c r="BX432" s="53" t="n">
        <f aca="false">IF(AND(U432="",OR(P432="",P432="LOSE"),T432&lt;&gt;"",N(S432)&lt;=0,ISNUMBER(MATCH(T432,Parameter!$I$27:$I$29,0))),1,0)</f>
        <v>0</v>
      </c>
      <c r="BY432" s="53" t="n">
        <f aca="false">IF(CL432&gt;0,INDEX(Parameter!$H$5:$H$7,W432)/INDEX(Parameter!$E$5:$E$7,W432),IF(AND(BW432=0,N(IFERROR(VLOOKUP(BU432,'Gebinde-Kategorie'!$A$5:$N$45,14,0),0))&gt;0),VLOOKUP(BU432,'Gebinde-Kategorie'!$A$5:$N$45,14,0)*10+Parameter!$M$23,Parameter!$M$24))</f>
        <v>155</v>
      </c>
      <c r="BZ432" s="48" t="str">
        <f aca="false">IF(AND(Parameter!$B$19="Ja",E432&lt;&gt;"",ISNUMBER(MATCH(E432,Parameter!$I$35:$I$52,0))),VLOOKUP(E432,Parameter!$I$35:$J$52,2,0),IFERROR(VLOOKUP(D432,Parameter!$A$35:$C$64,2,0),"Nein"))</f>
        <v>2+3</v>
      </c>
      <c r="CA432" s="52" t="n">
        <f aca="false">IF(BW432=0,0,IF(N(S432)&gt;0,S432,IFERROR(VLOOKUP(D432,Parameter!$A$35:$C$64,3,0)+0,0)))</f>
        <v>0</v>
      </c>
      <c r="CB432" s="48" t="n">
        <f aca="false">IF(AA432&lt;&gt;"",AA432,Z432)</f>
        <v>3</v>
      </c>
      <c r="CC432" s="48" t="str">
        <f aca="false">IF(OR(CB432=1,CB432=2,CB432=3),IF(Parameter!$E$27="Ja","LIFT",IF(CB432=1,"L1","L23")),IF(CB432="Aussen","Aussen","-"))</f>
        <v>LIFT</v>
      </c>
      <c r="CD432" s="59" t="n">
        <f aca="false">IF(N(AB432)&gt;0,AB432,0)</f>
        <v>0</v>
      </c>
      <c r="CE432" s="53" t="n">
        <f aca="false">IF(ISNUMBER(AE432),1,0)</f>
        <v>0</v>
      </c>
      <c r="CF432" s="50" t="n">
        <f aca="false">N(AE432)</f>
        <v>0</v>
      </c>
      <c r="CG432" s="50" t="n">
        <f aca="false">N(M432)+N(N432)</f>
        <v>10</v>
      </c>
      <c r="CH432" s="50" t="n">
        <f aca="false">ROUNDUP(H432/BV432,0)</f>
        <v>1</v>
      </c>
      <c r="CI432" s="50" t="n">
        <f aca="false">ROUNDUP(CF432/BV432,0)</f>
        <v>0</v>
      </c>
      <c r="CJ432" s="53" t="n">
        <f aca="false">IF(BW432=1,0,IFERROR(VLOOKUP(BU432,'Gebinde-Kategorie'!$A$5:$N$45,5,0)+0,0))</f>
        <v>8</v>
      </c>
      <c r="CK432" s="53" t="n">
        <f aca="false">IFERROR(IF(OR(CB432=1,CB432=2,CB432=3),N(INDEX(Parameter!$I$5:$I$7,CB432)),0),0)</f>
        <v>0</v>
      </c>
      <c r="CL432" s="52" t="n">
        <f aca="false">IF(AND(Parameter!$B$21="Ja",ISNUMBER(W432),N(X432)&gt;0),IFERROR(N(INDEX(Parameter!$L$5:$L$7,W432))*INDEX(Parameter!$E$5:$E$7,W432)*X432/SUMIFS($X$7:$X$1843,$W$7:$W$1843,W432),0),0)</f>
        <v>0</v>
      </c>
    </row>
    <row r="433" customFormat="false" ht="15" hidden="false" customHeight="false" outlineLevel="0" collapsed="false">
      <c r="A433" s="48" t="s">
        <v>994</v>
      </c>
      <c r="B433" s="48" t="s">
        <v>995</v>
      </c>
      <c r="C433" s="48" t="s">
        <v>168</v>
      </c>
      <c r="D433" s="48" t="s">
        <v>188</v>
      </c>
      <c r="E433" s="48" t="s">
        <v>189</v>
      </c>
      <c r="F433" s="48" t="s">
        <v>222</v>
      </c>
      <c r="G433" s="49" t="n">
        <v>9.53</v>
      </c>
      <c r="H433" s="50" t="n">
        <f aca="false">MAX(0,IF(AND(Parameter!$B$21="Ja",ISNUMBER(Y433)),Y433,IF(Parameter!$B$20="Jahresanfang 2025 + Export",BO433+BN433,BN433)))</f>
        <v>19</v>
      </c>
      <c r="I433" s="50" t="n">
        <f aca="false">H433*G433</f>
        <v>181.07</v>
      </c>
      <c r="J433" s="50" t="n">
        <f aca="false">BQ433*Parameter!$B$18</f>
        <v>129</v>
      </c>
      <c r="K433" s="51" t="n">
        <v>11.5</v>
      </c>
      <c r="L433" s="52" t="n">
        <v>11.2173913043478</v>
      </c>
      <c r="M433" s="50" t="n">
        <v>5</v>
      </c>
      <c r="N433" s="50" t="n">
        <v>25</v>
      </c>
      <c r="O433" s="53" t="n">
        <v>14</v>
      </c>
      <c r="P433" s="48" t="s">
        <v>230</v>
      </c>
      <c r="Q433" s="50" t="n">
        <v>40</v>
      </c>
      <c r="R433" s="53" t="n">
        <f aca="false">IF(BW433=1,0,IFERROR(VLOOKUP(BU433,'Gebinde-Kategorie'!$A$5:$N$45,13,0)+0,0))</f>
        <v>12</v>
      </c>
      <c r="S433" s="54"/>
      <c r="T433" s="55"/>
      <c r="U433" s="55"/>
      <c r="V433" s="55"/>
      <c r="W433" s="48"/>
      <c r="X433" s="50"/>
      <c r="Y433" s="50"/>
      <c r="Z433" s="48" t="n">
        <f aca="false">IF(A433="","",IF(AND(Parameter!$B$21="Ja",ISNUMBER(W433)),W433,IF(BZ433="2+3",IF(ISNUMBER(SEARCH("grosser Artikel",BR433)),2,IFERROR(VLOOKUP(BU433,Parameter!$F$35:$G$64,2,0),2)),IF(OR(BZ433="Nein",BZ433=""),"-",BZ433))))</f>
        <v>2</v>
      </c>
      <c r="AA433" s="55"/>
      <c r="AB433" s="56"/>
      <c r="AC433" s="50" t="n">
        <f aca="false">AT433</f>
        <v>80</v>
      </c>
      <c r="AD433" s="50" t="n">
        <f aca="false">MAX(AT433,H433)</f>
        <v>80</v>
      </c>
      <c r="AE433" s="57"/>
      <c r="AF433" s="50" t="n">
        <f aca="false">IF(LEFT(Cockpit!$C$5,1)="A",H433,IF(CE433=1,CF433,IF(LEFT(Cockpit!$C$5,1)="B",AK433,MAX(AK433,H433))))</f>
        <v>19</v>
      </c>
      <c r="AG433" s="50" t="n">
        <f aca="false">IF(BW433=1,0,ROUNDUP(AF433/BV433,0))</f>
        <v>1</v>
      </c>
      <c r="AH433" s="52" t="n">
        <f aca="false">IF(CL433&gt;0,CL433*MAX(1,AF433/X433),IF(BW433=1,IF(AF433&lt;=0,0,CA433*MAX(1,IF(H433&gt;0,AF433/H433,1))),IF(R433&gt;0,AG433/R433,0))/MAX(0.1,N(Parameter!$M$21)))</f>
        <v>0.0833333333333333</v>
      </c>
      <c r="AI433" s="50" t="n">
        <f aca="false">AH433*BY433</f>
        <v>28.75</v>
      </c>
      <c r="AJ433" s="50" t="n">
        <f aca="false">AF433*G433</f>
        <v>181.07</v>
      </c>
      <c r="AK433" s="50" t="n">
        <f aca="false">ROUNDUP(MAX(J433/IF(CD433&gt;0,CD433,MAX(0.1,N(Cockpit!$C$6))),CG433)/BV433,0)*BV433</f>
        <v>80</v>
      </c>
      <c r="AL433" s="51" t="n">
        <f aca="false">IF(AI433&gt;0,J433/AI433,-1)</f>
        <v>4.48695652173913</v>
      </c>
      <c r="AM433" s="51" t="n">
        <f aca="false">IF(AND(OR(CC433="L1",CC433="L23",CC433="LIFT"),AI433&gt;0),SUMIFS($AI$7:$AI$1843,$CC$7:$CC$1843,CC433,$AL$7:$AL$1843,"&gt;"&amp;AL433)+SUMIFS($AI$7:$AI$1843,$CC$7:$CC$1843,CC433,$AL$7:$AL$1843,AL433,$BT$7:$BT$1843,"&lt;="&amp;BT433),"")</f>
        <v>4177.63141025641</v>
      </c>
      <c r="AN433" s="58" t="n">
        <f aca="false">IF(AM433="",0,MAX(0,MIN(1,(IF(CC433="L1",Parameter!$H$5,IF(CC433="L23",Parameter!$H$6+Parameter!$H$7,Parameter!$H$5+Parameter!$H$6+Parameter!$H$7))-(AM433-AI433))/AI433)))</f>
        <v>1</v>
      </c>
      <c r="AO433" s="50" t="n">
        <f aca="false">IF(LEFT(Cockpit!$I$5,1)="A",H433,IF(CE433=1,CF433,IF(LEFT(Cockpit!$I$5,1)="B",AT433,MAX(AT433,H433))))</f>
        <v>80</v>
      </c>
      <c r="AP433" s="50" t="n">
        <f aca="false">IF(BW433=1,0,ROUNDUP(AO433/BV433,0))</f>
        <v>2</v>
      </c>
      <c r="AQ433" s="52" t="n">
        <f aca="false">IF(CL433&gt;0,CL433*MAX(1,AO433/X433),IF(BW433=1,IF(AO433&lt;=0,0,CA433*MAX(1,IF(H433&gt;0,AO433/H433,1))),IF(R433&gt;0,AP433/R433,0))/MAX(0.1,N(Parameter!$M$21)))</f>
        <v>0.166666666666667</v>
      </c>
      <c r="AR433" s="50" t="n">
        <f aca="false">AQ433*BY433</f>
        <v>57.5</v>
      </c>
      <c r="AS433" s="50" t="n">
        <f aca="false">AO433*G433</f>
        <v>762.4</v>
      </c>
      <c r="AT433" s="50" t="n">
        <f aca="false">ROUNDUP(MAX(J433/IF(CD433&gt;0,CD433,MAX(0.1,N(Cockpit!$I$6))),CG433)/BV433,0)*BV433</f>
        <v>80</v>
      </c>
      <c r="AU433" s="51" t="n">
        <f aca="false">IF(AR433&gt;0,J433/AR433,-1)</f>
        <v>2.24347826086957</v>
      </c>
      <c r="AV433" s="51" t="n">
        <f aca="false">IF(AND(OR(CC433="L1",CC433="L23",CC433="LIFT"),AR433&gt;0),SUMIFS($AR$7:$AR$1843,$CC$7:$CC$1843,CC433,$AU$7:$AU$1843,"&gt;"&amp;AU433)+SUMIFS($AR$7:$AR$1843,$CC$7:$CC$1843,CC433,$AU$7:$AU$1843,AU433,$BT$7:$BT$1843,"&lt;="&amp;BT433),"")</f>
        <v>7303.92353479854</v>
      </c>
      <c r="AW433" s="58" t="n">
        <f aca="false">IF(AV433="",0,MAX(0,MIN(1,(IF(CC433="L1",Parameter!$H$5,IF(CC433="L23",Parameter!$H$6+Parameter!$H$7,Parameter!$H$5+Parameter!$H$6+Parameter!$H$7))-(AV433-AR433))/AR433)))</f>
        <v>1</v>
      </c>
      <c r="AX433" s="50" t="n">
        <f aca="false">IF(LEFT(Cockpit!$O$5,1)="A",H433,IF(CE433=1,CF433,IF(LEFT(Cockpit!$O$5,1)="B",BC433,MAX(BC433,H433))))</f>
        <v>80</v>
      </c>
      <c r="AY433" s="50" t="n">
        <f aca="false">IF(BW433=1,0,ROUNDUP(AX433/BV433,0))</f>
        <v>2</v>
      </c>
      <c r="AZ433" s="52" t="n">
        <f aca="false">IF(CL433&gt;0,CL433*MAX(1,AX433/X433),IF(BW433=1,IF(AX433&lt;=0,0,CA433*MAX(1,IF(H433&gt;0,AX433/H433,1))),IF(R433&gt;0,AY433/R433,0))/MAX(0.1,N(Parameter!$M$21)))</f>
        <v>0.166666666666667</v>
      </c>
      <c r="BA433" s="50" t="n">
        <f aca="false">AZ433*BY433</f>
        <v>57.5</v>
      </c>
      <c r="BB433" s="50" t="n">
        <f aca="false">AX433*G433</f>
        <v>762.4</v>
      </c>
      <c r="BC433" s="50" t="n">
        <f aca="false">ROUNDUP(MAX(J433/IF(CD433&gt;0,CD433,MAX(0.1,N(Cockpit!$O$6))),CG433)/BV433,0)*BV433</f>
        <v>80</v>
      </c>
      <c r="BD433" s="51" t="n">
        <f aca="false">IF(BA433&gt;0,J433/BA433,-1)</f>
        <v>2.24347826086957</v>
      </c>
      <c r="BE433" s="51" t="n">
        <f aca="false">IF(AND(OR(CC433="L1",CC433="L23",CC433="LIFT"),BA433&gt;0),SUMIFS($BA$7:$BA$1843,$CC$7:$CC$1843,CC433,$BD$7:$BD$1843,"&gt;"&amp;BD433)+SUMIFS($BA$7:$BA$1843,$CC$7:$CC$1843,CC433,$BD$7:$BD$1843,BD433,$BT$7:$BT$1843,"&lt;="&amp;BT433),"")</f>
        <v>6876.66391941392</v>
      </c>
      <c r="BF433" s="58" t="n">
        <f aca="false">IF(BE433="",0,MAX(0,MIN(1,(IF(CC433="L1",Parameter!$H$5,IF(CC433="L23",Parameter!$H$6+Parameter!$H$7,Parameter!$H$5+Parameter!$H$6+Parameter!$H$7))-(BE433-BA433))/BA433)))</f>
        <v>1</v>
      </c>
      <c r="BG433" s="48" t="str">
        <f aca="false">IF(AI433&lt;=0,"",IF(CC433="Aussen","Aussenlager",IF(CC433="-","Nicht im Lift",IF(AN433&gt;=1,"Lift",IF(AN433&lt;=0,"Aussenlager","teilweise")))))</f>
        <v>Lift</v>
      </c>
      <c r="BH433" s="48" t="str">
        <f aca="false">IF(AR433&lt;=0,"",IF(CC433="Aussen","Aussenlager",IF(CC433="-","Nicht im Lift",IF(AW433&gt;=1,"Lift",IF(AW433&lt;=0,"Aussenlager","teilweise")))))</f>
        <v>Lift</v>
      </c>
      <c r="BI433" s="48" t="str">
        <f aca="false">IF(BA433&lt;=0,"",IF(CC433="Aussen","Aussenlager",IF(CC433="-","Nicht im Lift",IF(BF433&gt;=1,"Lift",IF(BF433&lt;=0,"Aussenlager","teilweise")))))</f>
        <v>Lift</v>
      </c>
      <c r="BJ433" s="48" t="str">
        <f aca="false">IF(A433="","",IF(BS433=1,"Neu; ","")&amp;IF(AND(BS433=0,BN433&lt;0),"negativer Bestand (Export "&amp;BN433&amp;"); ","")&amp;IF(J433&lt;=0,"Kein Verbrauch; ","")&amp;IF(CL433&gt;0,"Lift "&amp;W433&amp;" lt. Liftbericht (Fach "&amp;X433&amp;" Stk); ",IF(BX433=1,"Gebinde geschätzt ("&amp;T433&amp;"); ",IF(BW433=1,"Lose – Tablare geschätzt; ","")))&amp;IF(H433&gt;AT433,"Überbestand "&amp;ROUND(H433-AT433,0)&amp;" Stk / CHF "&amp;ROUND((H433-AT433)*G433,0)&amp;"; ","")&amp;IF(AND(CE433=1,CF433&lt;CG433),"MAX &lt; MB+LG; ","")&amp;IF(AND(CK433&gt;0,CJ433*10&gt;CK433),"zu hoch für Tablar; ","")&amp;IF(AND(BS433=0,OR(CE433=1,AA433&lt;&gt;"",U433&lt;&gt;"",V433&lt;&gt;"",AB433&lt;&gt;"")),"manuell übersteuert; ","")&amp;IF(AND(BW433=0,R433=0),"Gebinde unbekannt / Stellmass fehlt; ","")&amp;IF(AND(BW433=0,N(V433)&lt;=0,N(Q433)&lt;=0),"Menge pro Gebinde fehlt (Ist = 1 Gebinde); ","")&amp;BR433)</f>
        <v/>
      </c>
      <c r="BK433" s="48"/>
      <c r="BL433" s="48"/>
      <c r="BM433" s="55"/>
      <c r="BN433" s="50" t="n">
        <v>8</v>
      </c>
      <c r="BO433" s="50" t="n">
        <v>11</v>
      </c>
      <c r="BP433" s="49" t="n">
        <v>79.4300000000001</v>
      </c>
      <c r="BQ433" s="50" t="n">
        <v>129</v>
      </c>
      <c r="BR433" s="48"/>
      <c r="BS433" s="53" t="n">
        <v>0</v>
      </c>
      <c r="BT433" s="53" t="n">
        <v>433</v>
      </c>
      <c r="BU433" s="48" t="str">
        <f aca="false">IF(U433&lt;&gt;"",UPPER(TRIM(U433)),IF(BX433=1,UPPER(VLOOKUP(T433,Parameter!$I$27:$K$29,2,0)),IF(P433="","LOSE",P433)))</f>
        <v>S63</v>
      </c>
      <c r="BV433" s="50" t="n">
        <f aca="false">IF(BU433="LOSE",1,IF(N(V433)&gt;0,V433,IF(BX433=1,MAX(1,N(VLOOKUP(T433,Parameter!$I$27:$K$29,3,0)),H433,N(N433)),IF(N(Q433)&gt;0,Q433,MAX(1,H433)))))</f>
        <v>40</v>
      </c>
      <c r="BW433" s="53" t="n">
        <f aca="false">IF(BU433="LOSE",1,0)</f>
        <v>0</v>
      </c>
      <c r="BX433" s="53" t="n">
        <f aca="false">IF(AND(U433="",OR(P433="",P433="LOSE"),T433&lt;&gt;"",N(S433)&lt;=0,ISNUMBER(MATCH(T433,Parameter!$I$27:$I$29,0))),1,0)</f>
        <v>0</v>
      </c>
      <c r="BY433" s="53" t="n">
        <f aca="false">IF(CL433&gt;0,INDEX(Parameter!$H$5:$H$7,W433)/INDEX(Parameter!$E$5:$E$7,W433),IF(AND(BW433=0,N(IFERROR(VLOOKUP(BU433,'Gebinde-Kategorie'!$A$5:$N$45,14,0),0))&gt;0),VLOOKUP(BU433,'Gebinde-Kategorie'!$A$5:$N$45,14,0)*10+Parameter!$M$23,Parameter!$M$24))</f>
        <v>345</v>
      </c>
      <c r="BZ433" s="48" t="str">
        <f aca="false">IF(AND(Parameter!$B$19="Ja",E433&lt;&gt;"",ISNUMBER(MATCH(E433,Parameter!$I$35:$I$52,0))),VLOOKUP(E433,Parameter!$I$35:$J$52,2,0),IFERROR(VLOOKUP(D433,Parameter!$A$35:$C$64,2,0),"Nein"))</f>
        <v>2+3</v>
      </c>
      <c r="CA433" s="52" t="n">
        <f aca="false">IF(BW433=0,0,IF(N(S433)&gt;0,S433,IFERROR(VLOOKUP(D433,Parameter!$A$35:$C$64,3,0)+0,0)))</f>
        <v>0</v>
      </c>
      <c r="CB433" s="48" t="n">
        <f aca="false">IF(AA433&lt;&gt;"",AA433,Z433)</f>
        <v>2</v>
      </c>
      <c r="CC433" s="48" t="str">
        <f aca="false">IF(OR(CB433=1,CB433=2,CB433=3),IF(Parameter!$E$27="Ja","LIFT",IF(CB433=1,"L1","L23")),IF(CB433="Aussen","Aussen","-"))</f>
        <v>LIFT</v>
      </c>
      <c r="CD433" s="59" t="n">
        <f aca="false">IF(N(AB433)&gt;0,AB433,0)</f>
        <v>0</v>
      </c>
      <c r="CE433" s="53" t="n">
        <f aca="false">IF(ISNUMBER(AE433),1,0)</f>
        <v>0</v>
      </c>
      <c r="CF433" s="50" t="n">
        <f aca="false">N(AE433)</f>
        <v>0</v>
      </c>
      <c r="CG433" s="50" t="n">
        <f aca="false">N(M433)+N(N433)</f>
        <v>30</v>
      </c>
      <c r="CH433" s="50" t="n">
        <f aca="false">ROUNDUP(H433/BV433,0)</f>
        <v>1</v>
      </c>
      <c r="CI433" s="50" t="n">
        <f aca="false">ROUNDUP(CF433/BV433,0)</f>
        <v>0</v>
      </c>
      <c r="CJ433" s="53" t="n">
        <f aca="false">IF(BW433=1,0,IFERROR(VLOOKUP(BU433,'Gebinde-Kategorie'!$A$5:$N$45,5,0)+0,0))</f>
        <v>31</v>
      </c>
      <c r="CK433" s="53" t="n">
        <f aca="false">IFERROR(IF(OR(CB433=1,CB433=2,CB433=3),N(INDEX(Parameter!$I$5:$I$7,CB433)),0),0)</f>
        <v>0</v>
      </c>
      <c r="CL433" s="52" t="n">
        <f aca="false">IF(AND(Parameter!$B$21="Ja",ISNUMBER(W433),N(X433)&gt;0),IFERROR(N(INDEX(Parameter!$L$5:$L$7,W433))*INDEX(Parameter!$E$5:$E$7,W433)*X433/SUMIFS($X$7:$X$1843,$W$7:$W$1843,W433),0),0)</f>
        <v>0</v>
      </c>
    </row>
    <row r="434" customFormat="false" ht="15" hidden="false" customHeight="false" outlineLevel="0" collapsed="false">
      <c r="A434" s="48" t="s">
        <v>996</v>
      </c>
      <c r="B434" s="48" t="s">
        <v>997</v>
      </c>
      <c r="C434" s="48" t="s">
        <v>168</v>
      </c>
      <c r="D434" s="48" t="s">
        <v>188</v>
      </c>
      <c r="E434" s="48"/>
      <c r="F434" s="48" t="s">
        <v>222</v>
      </c>
      <c r="G434" s="49" t="n">
        <v>16.05</v>
      </c>
      <c r="H434" s="50" t="n">
        <f aca="false">MAX(0,IF(AND(Parameter!$B$21="Ja",ISNUMBER(Y434)),Y434,IF(Parameter!$B$20="Jahresanfang 2025 + Export",BO434+BN434,BN434)))</f>
        <v>4.91</v>
      </c>
      <c r="I434" s="50" t="n">
        <f aca="false">H434*G434</f>
        <v>78.8055</v>
      </c>
      <c r="J434" s="50" t="n">
        <f aca="false">BQ434*Parameter!$B$18</f>
        <v>0</v>
      </c>
      <c r="K434" s="51" t="n">
        <v>0</v>
      </c>
      <c r="L434" s="52" t="n">
        <v>0</v>
      </c>
      <c r="M434" s="50" t="n">
        <v>1</v>
      </c>
      <c r="N434" s="50" t="n">
        <v>5</v>
      </c>
      <c r="O434" s="53" t="n">
        <v>0</v>
      </c>
      <c r="P434" s="48" t="s">
        <v>172</v>
      </c>
      <c r="Q434" s="50"/>
      <c r="R434" s="53" t="n">
        <f aca="false">IF(BW434=1,0,IFERROR(VLOOKUP(BU434,'Gebinde-Kategorie'!$A$5:$N$45,13,0)+0,0))</f>
        <v>26</v>
      </c>
      <c r="S434" s="54"/>
      <c r="T434" s="55" t="s">
        <v>279</v>
      </c>
      <c r="U434" s="55"/>
      <c r="V434" s="55"/>
      <c r="W434" s="48"/>
      <c r="X434" s="50"/>
      <c r="Y434" s="50"/>
      <c r="Z434" s="48" t="n">
        <f aca="false">IF(A434="","",IF(AND(Parameter!$B$21="Ja",ISNUMBER(W434)),W434,IF(BZ434="2+3",IF(ISNUMBER(SEARCH("grosser Artikel",BR434)),2,IFERROR(VLOOKUP(BU434,Parameter!$F$35:$G$64,2,0),2)),IF(OR(BZ434="Nein",BZ434=""),"-",BZ434))))</f>
        <v>3</v>
      </c>
      <c r="AA434" s="55"/>
      <c r="AB434" s="56"/>
      <c r="AC434" s="50" t="n">
        <f aca="false">AT434</f>
        <v>20</v>
      </c>
      <c r="AD434" s="50" t="n">
        <f aca="false">MAX(AT434,H434)</f>
        <v>20</v>
      </c>
      <c r="AE434" s="57"/>
      <c r="AF434" s="50" t="n">
        <f aca="false">IF(LEFT(Cockpit!$C$5,1)="A",H434,IF(CE434=1,CF434,IF(LEFT(Cockpit!$C$5,1)="B",AK434,MAX(AK434,H434))))</f>
        <v>4.91</v>
      </c>
      <c r="AG434" s="50" t="n">
        <f aca="false">IF(BW434=1,0,ROUNDUP(AF434/BV434,0))</f>
        <v>1</v>
      </c>
      <c r="AH434" s="52" t="n">
        <f aca="false">IF(CL434&gt;0,CL434*MAX(1,AF434/X434),IF(BW434=1,IF(AF434&lt;=0,0,CA434*MAX(1,IF(H434&gt;0,AF434/H434,1))),IF(R434&gt;0,AG434/R434,0))/MAX(0.1,N(Parameter!$M$21)))</f>
        <v>0.0384615384615385</v>
      </c>
      <c r="AI434" s="50" t="n">
        <f aca="false">AH434*BY434</f>
        <v>5.96153846153846</v>
      </c>
      <c r="AJ434" s="50" t="n">
        <f aca="false">AF434*G434</f>
        <v>78.8055</v>
      </c>
      <c r="AK434" s="50" t="n">
        <f aca="false">ROUNDUP(MAX(J434/IF(CD434&gt;0,CD434,MAX(0.1,N(Cockpit!$C$6))),CG434)/BV434,0)*BV434</f>
        <v>20</v>
      </c>
      <c r="AL434" s="51" t="n">
        <f aca="false">IF(AI434&gt;0,J434/AI434,-1)</f>
        <v>0</v>
      </c>
      <c r="AM434" s="51" t="n">
        <f aca="false">IF(AND(OR(CC434="L1",CC434="L23",CC434="LIFT"),AI434&gt;0),SUMIFS($AI$7:$AI$1843,$CC$7:$CC$1843,CC434,$AL$7:$AL$1843,"&gt;"&amp;AL434)+SUMIFS($AI$7:$AI$1843,$CC$7:$CC$1843,CC434,$AL$7:$AL$1843,AL434,$BT$7:$BT$1843,"&lt;="&amp;BT434),"")</f>
        <v>28121.7149117361</v>
      </c>
      <c r="AN434" s="58" t="n">
        <f aca="false">IF(AM434="",0,MAX(0,MIN(1,(IF(CC434="L1",Parameter!$H$5,IF(CC434="L23",Parameter!$H$6+Parameter!$H$7,Parameter!$H$5+Parameter!$H$6+Parameter!$H$7))-(AM434-AI434))/AI434)))</f>
        <v>1</v>
      </c>
      <c r="AO434" s="50" t="n">
        <f aca="false">IF(LEFT(Cockpit!$I$5,1)="A",H434,IF(CE434=1,CF434,IF(LEFT(Cockpit!$I$5,1)="B",AT434,MAX(AT434,H434))))</f>
        <v>20</v>
      </c>
      <c r="AP434" s="50" t="n">
        <f aca="false">IF(BW434=1,0,ROUNDUP(AO434/BV434,0))</f>
        <v>1</v>
      </c>
      <c r="AQ434" s="52" t="n">
        <f aca="false">IF(CL434&gt;0,CL434*MAX(1,AO434/X434),IF(BW434=1,IF(AO434&lt;=0,0,CA434*MAX(1,IF(H434&gt;0,AO434/H434,1))),IF(R434&gt;0,AP434/R434,0))/MAX(0.1,N(Parameter!$M$21)))</f>
        <v>0.0384615384615385</v>
      </c>
      <c r="AR434" s="50" t="n">
        <f aca="false">AQ434*BY434</f>
        <v>5.96153846153846</v>
      </c>
      <c r="AS434" s="50" t="n">
        <f aca="false">AO434*G434</f>
        <v>321</v>
      </c>
      <c r="AT434" s="50" t="n">
        <f aca="false">ROUNDUP(MAX(J434/IF(CD434&gt;0,CD434,MAX(0.1,N(Cockpit!$I$6))),CG434)/BV434,0)*BV434</f>
        <v>20</v>
      </c>
      <c r="AU434" s="51" t="n">
        <f aca="false">IF(AR434&gt;0,J434/AR434,-1)</f>
        <v>0</v>
      </c>
      <c r="AV434" s="51" t="n">
        <f aca="false">IF(AND(OR(CC434="L1",CC434="L23",CC434="LIFT"),AR434&gt;0),SUMIFS($AR$7:$AR$1843,$CC$7:$CC$1843,CC434,$AU$7:$AU$1843,"&gt;"&amp;AU434)+SUMIFS($AR$7:$AR$1843,$CC$7:$CC$1843,CC434,$AU$7:$AU$1843,AU434,$BT$7:$BT$1843,"&lt;="&amp;BT434),"")</f>
        <v>39434.620429006</v>
      </c>
      <c r="AW434" s="58" t="n">
        <f aca="false">IF(AV434="",0,MAX(0,MIN(1,(IF(CC434="L1",Parameter!$H$5,IF(CC434="L23",Parameter!$H$6+Parameter!$H$7,Parameter!$H$5+Parameter!$H$6+Parameter!$H$7))-(AV434-AR434))/AR434)))</f>
        <v>0</v>
      </c>
      <c r="AX434" s="50" t="n">
        <f aca="false">IF(LEFT(Cockpit!$O$5,1)="A",H434,IF(CE434=1,CF434,IF(LEFT(Cockpit!$O$5,1)="B",BC434,MAX(BC434,H434))))</f>
        <v>20</v>
      </c>
      <c r="AY434" s="50" t="n">
        <f aca="false">IF(BW434=1,0,ROUNDUP(AX434/BV434,0))</f>
        <v>1</v>
      </c>
      <c r="AZ434" s="52" t="n">
        <f aca="false">IF(CL434&gt;0,CL434*MAX(1,AX434/X434),IF(BW434=1,IF(AX434&lt;=0,0,CA434*MAX(1,IF(H434&gt;0,AX434/H434,1))),IF(R434&gt;0,AY434/R434,0))/MAX(0.1,N(Parameter!$M$21)))</f>
        <v>0.0384615384615385</v>
      </c>
      <c r="BA434" s="50" t="n">
        <f aca="false">AZ434*BY434</f>
        <v>5.96153846153846</v>
      </c>
      <c r="BB434" s="50" t="n">
        <f aca="false">AX434*G434</f>
        <v>321</v>
      </c>
      <c r="BC434" s="50" t="n">
        <f aca="false">ROUNDUP(MAX(J434/IF(CD434&gt;0,CD434,MAX(0.1,N(Cockpit!$O$6))),CG434)/BV434,0)*BV434</f>
        <v>20</v>
      </c>
      <c r="BD434" s="51" t="n">
        <f aca="false">IF(BA434&gt;0,J434/BA434,-1)</f>
        <v>0</v>
      </c>
      <c r="BE434" s="51" t="n">
        <f aca="false">IF(AND(OR(CC434="L1",CC434="L23",CC434="LIFT"),BA434&gt;0),SUMIFS($BA$7:$BA$1843,$CC$7:$CC$1843,CC434,$BD$7:$BD$1843,"&gt;"&amp;BD434)+SUMIFS($BA$7:$BA$1843,$CC$7:$CC$1843,CC434,$BD$7:$BD$1843,BD434,$BT$7:$BT$1843,"&lt;="&amp;BT434),"")</f>
        <v>36109.6324708719</v>
      </c>
      <c r="BF434" s="58" t="n">
        <f aca="false">IF(BE434="",0,MAX(0,MIN(1,(IF(CC434="L1",Parameter!$H$5,IF(CC434="L23",Parameter!$H$6+Parameter!$H$7,Parameter!$H$5+Parameter!$H$6+Parameter!$H$7))-(BE434-BA434))/BA434)))</f>
        <v>0</v>
      </c>
      <c r="BG434" s="48" t="str">
        <f aca="false">IF(AI434&lt;=0,"",IF(CC434="Aussen","Aussenlager",IF(CC434="-","Nicht im Lift",IF(AN434&gt;=1,"Lift",IF(AN434&lt;=0,"Aussenlager","teilweise")))))</f>
        <v>Lift</v>
      </c>
      <c r="BH434" s="48" t="str">
        <f aca="false">IF(AR434&lt;=0,"",IF(CC434="Aussen","Aussenlager",IF(CC434="-","Nicht im Lift",IF(AW434&gt;=1,"Lift",IF(AW434&lt;=0,"Aussenlager","teilweise")))))</f>
        <v>Aussenlager</v>
      </c>
      <c r="BI434" s="48" t="str">
        <f aca="false">IF(BA434&lt;=0,"",IF(CC434="Aussen","Aussenlager",IF(CC434="-","Nicht im Lift",IF(BF434&gt;=1,"Lift",IF(BF434&lt;=0,"Aussenlager","teilweise")))))</f>
        <v>Aussenlager</v>
      </c>
      <c r="BJ434" s="48" t="str">
        <f aca="false">IF(A434="","",IF(BS434=1,"Neu; ","")&amp;IF(AND(BS434=0,BN434&lt;0),"negativer Bestand (Export "&amp;BN434&amp;"); ","")&amp;IF(J434&lt;=0,"Kein Verbrauch; ","")&amp;IF(CL434&gt;0,"Lift "&amp;W434&amp;" lt. Liftbericht (Fach "&amp;X434&amp;" Stk); ",IF(BX434=1,"Gebinde geschätzt ("&amp;T434&amp;"); ",IF(BW434=1,"Lose – Tablare geschätzt; ","")))&amp;IF(H434&gt;AT434,"Überbestand "&amp;ROUND(H434-AT434,0)&amp;" Stk / CHF "&amp;ROUND((H434-AT434)*G434,0)&amp;"; ","")&amp;IF(AND(CE434=1,CF434&lt;CG434),"MAX &lt; MB+LG; ","")&amp;IF(AND(CK434&gt;0,CJ434*10&gt;CK434),"zu hoch für Tablar; ","")&amp;IF(AND(BS434=0,OR(CE434=1,AA434&lt;&gt;"",U434&lt;&gt;"",V434&lt;&gt;"",AB434&lt;&gt;"")),"manuell übersteuert; ","")&amp;IF(AND(BW434=0,R434=0),"Gebinde unbekannt / Stellmass fehlt; ","")&amp;IF(AND(BW434=0,N(V434)&lt;=0,N(Q434)&lt;=0),"Menge pro Gebinde fehlt (Ist = 1 Gebinde); ","")&amp;BR434)</f>
        <v>Kein Verbrauch; Gebinde geschätzt (Klein); Menge pro Gebinde fehlt (Ist = 1 Gebinde); </v>
      </c>
      <c r="BK434" s="48"/>
      <c r="BL434" s="48"/>
      <c r="BM434" s="55"/>
      <c r="BN434" s="50" t="n">
        <v>4.91</v>
      </c>
      <c r="BO434" s="50" t="n">
        <v>0</v>
      </c>
      <c r="BP434" s="49" t="n">
        <v>78.81</v>
      </c>
      <c r="BQ434" s="50" t="n">
        <v>0</v>
      </c>
      <c r="BR434" s="48"/>
      <c r="BS434" s="53" t="n">
        <v>0</v>
      </c>
      <c r="BT434" s="53" t="n">
        <v>434</v>
      </c>
      <c r="BU434" s="48" t="str">
        <f aca="false">IF(U434&lt;&gt;"",UPPER(TRIM(U434)),IF(BX434=1,UPPER(VLOOKUP(T434,Parameter!$I$27:$K$29,2,0)),IF(P434="","LOSE",P434)))</f>
        <v>S51</v>
      </c>
      <c r="BV434" s="50" t="n">
        <f aca="false">IF(BU434="LOSE",1,IF(N(V434)&gt;0,V434,IF(BX434=1,MAX(1,N(VLOOKUP(T434,Parameter!$I$27:$K$29,3,0)),H434,N(N434)),IF(N(Q434)&gt;0,Q434,MAX(1,H434)))))</f>
        <v>20</v>
      </c>
      <c r="BW434" s="53" t="n">
        <f aca="false">IF(BU434="LOSE",1,0)</f>
        <v>0</v>
      </c>
      <c r="BX434" s="53" t="n">
        <f aca="false">IF(AND(U434="",OR(P434="",P434="LOSE"),T434&lt;&gt;"",N(S434)&lt;=0,ISNUMBER(MATCH(T434,Parameter!$I$27:$I$29,0))),1,0)</f>
        <v>1</v>
      </c>
      <c r="BY434" s="53" t="n">
        <f aca="false">IF(CL434&gt;0,INDEX(Parameter!$H$5:$H$7,W434)/INDEX(Parameter!$E$5:$E$7,W434),IF(AND(BW434=0,N(IFERROR(VLOOKUP(BU434,'Gebinde-Kategorie'!$A$5:$N$45,14,0),0))&gt;0),VLOOKUP(BU434,'Gebinde-Kategorie'!$A$5:$N$45,14,0)*10+Parameter!$M$23,Parameter!$M$24))</f>
        <v>155</v>
      </c>
      <c r="BZ434" s="48" t="str">
        <f aca="false">IF(AND(Parameter!$B$19="Ja",E434&lt;&gt;"",ISNUMBER(MATCH(E434,Parameter!$I$35:$I$52,0))),VLOOKUP(E434,Parameter!$I$35:$J$52,2,0),IFERROR(VLOOKUP(D434,Parameter!$A$35:$C$64,2,0),"Nein"))</f>
        <v>2+3</v>
      </c>
      <c r="CA434" s="52" t="n">
        <f aca="false">IF(BW434=0,0,IF(N(S434)&gt;0,S434,IFERROR(VLOOKUP(D434,Parameter!$A$35:$C$64,3,0)+0,0)))</f>
        <v>0</v>
      </c>
      <c r="CB434" s="48" t="n">
        <f aca="false">IF(AA434&lt;&gt;"",AA434,Z434)</f>
        <v>3</v>
      </c>
      <c r="CC434" s="48" t="str">
        <f aca="false">IF(OR(CB434=1,CB434=2,CB434=3),IF(Parameter!$E$27="Ja","LIFT",IF(CB434=1,"L1","L23")),IF(CB434="Aussen","Aussen","-"))</f>
        <v>LIFT</v>
      </c>
      <c r="CD434" s="59" t="n">
        <f aca="false">IF(N(AB434)&gt;0,AB434,0)</f>
        <v>0</v>
      </c>
      <c r="CE434" s="53" t="n">
        <f aca="false">IF(ISNUMBER(AE434),1,0)</f>
        <v>0</v>
      </c>
      <c r="CF434" s="50" t="n">
        <f aca="false">N(AE434)</f>
        <v>0</v>
      </c>
      <c r="CG434" s="50" t="n">
        <f aca="false">N(M434)+N(N434)</f>
        <v>6</v>
      </c>
      <c r="CH434" s="50" t="n">
        <f aca="false">ROUNDUP(H434/BV434,0)</f>
        <v>1</v>
      </c>
      <c r="CI434" s="50" t="n">
        <f aca="false">ROUNDUP(CF434/BV434,0)</f>
        <v>0</v>
      </c>
      <c r="CJ434" s="53" t="n">
        <f aca="false">IF(BW434=1,0,IFERROR(VLOOKUP(BU434,'Gebinde-Kategorie'!$A$5:$N$45,5,0)+0,0))</f>
        <v>11</v>
      </c>
      <c r="CK434" s="53" t="n">
        <f aca="false">IFERROR(IF(OR(CB434=1,CB434=2,CB434=3),N(INDEX(Parameter!$I$5:$I$7,CB434)),0),0)</f>
        <v>0</v>
      </c>
      <c r="CL434" s="52" t="n">
        <f aca="false">IF(AND(Parameter!$B$21="Ja",ISNUMBER(W434),N(X434)&gt;0),IFERROR(N(INDEX(Parameter!$L$5:$L$7,W434))*INDEX(Parameter!$E$5:$E$7,W434)*X434/SUMIFS($X$7:$X$1843,$W$7:$W$1843,W434),0),0)</f>
        <v>0</v>
      </c>
    </row>
    <row r="435" customFormat="false" ht="15" hidden="false" customHeight="false" outlineLevel="0" collapsed="false">
      <c r="A435" s="48" t="s">
        <v>998</v>
      </c>
      <c r="B435" s="48" t="s">
        <v>411</v>
      </c>
      <c r="C435" s="48" t="s">
        <v>168</v>
      </c>
      <c r="D435" s="48" t="s">
        <v>999</v>
      </c>
      <c r="E435" s="48"/>
      <c r="F435" s="48" t="s">
        <v>222</v>
      </c>
      <c r="G435" s="49" t="n">
        <v>1.96</v>
      </c>
      <c r="H435" s="50" t="n">
        <f aca="false">MAX(0,IF(AND(Parameter!$B$21="Ja",ISNUMBER(Y435)),Y435,IF(Parameter!$B$20="Jahresanfang 2025 + Export",BO435+BN435,BN435)))</f>
        <v>40</v>
      </c>
      <c r="I435" s="50" t="n">
        <f aca="false">H435*G435</f>
        <v>78.4</v>
      </c>
      <c r="J435" s="50" t="n">
        <f aca="false">BQ435*Parameter!$B$18</f>
        <v>60</v>
      </c>
      <c r="K435" s="51" t="n">
        <v>20</v>
      </c>
      <c r="L435" s="52" t="n">
        <v>3</v>
      </c>
      <c r="M435" s="50" t="n">
        <v>0</v>
      </c>
      <c r="N435" s="50" t="n">
        <v>100</v>
      </c>
      <c r="O435" s="53" t="n">
        <v>28</v>
      </c>
      <c r="P435" s="48" t="s">
        <v>172</v>
      </c>
      <c r="Q435" s="50"/>
      <c r="R435" s="53" t="n">
        <f aca="false">IF(BW435=1,0,IFERROR(VLOOKUP(BU435,'Gebinde-Kategorie'!$A$5:$N$45,13,0)+0,0))</f>
        <v>0</v>
      </c>
      <c r="S435" s="54"/>
      <c r="T435" s="55"/>
      <c r="U435" s="55"/>
      <c r="V435" s="55"/>
      <c r="W435" s="48"/>
      <c r="X435" s="50"/>
      <c r="Y435" s="50"/>
      <c r="Z435" s="48" t="str">
        <f aca="false">IF(A435="","",IF(AND(Parameter!$B$21="Ja",ISNUMBER(W435)),W435,IF(BZ435="2+3",IF(ISNUMBER(SEARCH("grosser Artikel",BR435)),2,IFERROR(VLOOKUP(BU435,Parameter!$F$35:$G$64,2,0),2)),IF(OR(BZ435="Nein",BZ435=""),"-",BZ435))))</f>
        <v>-</v>
      </c>
      <c r="AA435" s="55"/>
      <c r="AB435" s="56"/>
      <c r="AC435" s="50" t="n">
        <f aca="false">AT435</f>
        <v>100</v>
      </c>
      <c r="AD435" s="50" t="n">
        <f aca="false">MAX(AT435,H435)</f>
        <v>100</v>
      </c>
      <c r="AE435" s="57"/>
      <c r="AF435" s="50" t="n">
        <f aca="false">IF(LEFT(Cockpit!$C$5,1)="A",H435,IF(CE435=1,CF435,IF(LEFT(Cockpit!$C$5,1)="B",AK435,MAX(AK435,H435))))</f>
        <v>40</v>
      </c>
      <c r="AG435" s="50" t="n">
        <f aca="false">IF(BW435=1,0,ROUNDUP(AF435/BV435,0))</f>
        <v>0</v>
      </c>
      <c r="AH435" s="52" t="n">
        <f aca="false">IF(CL435&gt;0,CL435*MAX(1,AF435/X435),IF(BW435=1,IF(AF435&lt;=0,0,CA435*MAX(1,IF(H435&gt;0,AF435/H435,1))),IF(R435&gt;0,AG435/R435,0))/MAX(0.1,N(Parameter!$M$21)))</f>
        <v>0.15</v>
      </c>
      <c r="AI435" s="50" t="n">
        <f aca="false">AH435*BY435</f>
        <v>35.25</v>
      </c>
      <c r="AJ435" s="50" t="n">
        <f aca="false">AF435*G435</f>
        <v>78.4</v>
      </c>
      <c r="AK435" s="50" t="n">
        <f aca="false">ROUNDUP(MAX(J435/IF(CD435&gt;0,CD435,MAX(0.1,N(Cockpit!$C$6))),CG435)/BV435,0)*BV435</f>
        <v>100</v>
      </c>
      <c r="AL435" s="51" t="n">
        <f aca="false">IF(AI435&gt;0,J435/AI435,-1)</f>
        <v>1.70212765957447</v>
      </c>
      <c r="AM435" s="51" t="str">
        <f aca="false">IF(AND(OR(CC435="L1",CC435="L23",CC435="LIFT"),AI435&gt;0),SUMIFS($AI$7:$AI$1843,$CC$7:$CC$1843,CC435,$AL$7:$AL$1843,"&gt;"&amp;AL435)+SUMIFS($AI$7:$AI$1843,$CC$7:$CC$1843,CC435,$AL$7:$AL$1843,AL435,$BT$7:$BT$1843,"&lt;="&amp;BT435),"")</f>
        <v/>
      </c>
      <c r="AN435" s="58" t="n">
        <f aca="false">IF(AM435="",0,MAX(0,MIN(1,(IF(CC435="L1",Parameter!$H$5,IF(CC435="L23",Parameter!$H$6+Parameter!$H$7,Parameter!$H$5+Parameter!$H$6+Parameter!$H$7))-(AM435-AI435))/AI435)))</f>
        <v>0</v>
      </c>
      <c r="AO435" s="50" t="n">
        <f aca="false">IF(LEFT(Cockpit!$I$5,1)="A",H435,IF(CE435=1,CF435,IF(LEFT(Cockpit!$I$5,1)="B",AT435,MAX(AT435,H435))))</f>
        <v>100</v>
      </c>
      <c r="AP435" s="50" t="n">
        <f aca="false">IF(BW435=1,0,ROUNDUP(AO435/BV435,0))</f>
        <v>0</v>
      </c>
      <c r="AQ435" s="52" t="n">
        <f aca="false">IF(CL435&gt;0,CL435*MAX(1,AO435/X435),IF(BW435=1,IF(AO435&lt;=0,0,CA435*MAX(1,IF(H435&gt;0,AO435/H435,1))),IF(R435&gt;0,AP435/R435,0))/MAX(0.1,N(Parameter!$M$21)))</f>
        <v>0.375</v>
      </c>
      <c r="AR435" s="50" t="n">
        <f aca="false">AQ435*BY435</f>
        <v>88.125</v>
      </c>
      <c r="AS435" s="50" t="n">
        <f aca="false">AO435*G435</f>
        <v>196</v>
      </c>
      <c r="AT435" s="50" t="n">
        <f aca="false">ROUNDUP(MAX(J435/IF(CD435&gt;0,CD435,MAX(0.1,N(Cockpit!$I$6))),CG435)/BV435,0)*BV435</f>
        <v>100</v>
      </c>
      <c r="AU435" s="51" t="n">
        <f aca="false">IF(AR435&gt;0,J435/AR435,-1)</f>
        <v>0.680851063829787</v>
      </c>
      <c r="AV435" s="51" t="str">
        <f aca="false">IF(AND(OR(CC435="L1",CC435="L23",CC435="LIFT"),AR435&gt;0),SUMIFS($AR$7:$AR$1843,$CC$7:$CC$1843,CC435,$AU$7:$AU$1843,"&gt;"&amp;AU435)+SUMIFS($AR$7:$AR$1843,$CC$7:$CC$1843,CC435,$AU$7:$AU$1843,AU435,$BT$7:$BT$1843,"&lt;="&amp;BT435),"")</f>
        <v/>
      </c>
      <c r="AW435" s="58" t="n">
        <f aca="false">IF(AV435="",0,MAX(0,MIN(1,(IF(CC435="L1",Parameter!$H$5,IF(CC435="L23",Parameter!$H$6+Parameter!$H$7,Parameter!$H$5+Parameter!$H$6+Parameter!$H$7))-(AV435-AR435))/AR435)))</f>
        <v>0</v>
      </c>
      <c r="AX435" s="50" t="n">
        <f aca="false">IF(LEFT(Cockpit!$O$5,1)="A",H435,IF(CE435=1,CF435,IF(LEFT(Cockpit!$O$5,1)="B",BC435,MAX(BC435,H435))))</f>
        <v>100</v>
      </c>
      <c r="AY435" s="50" t="n">
        <f aca="false">IF(BW435=1,0,ROUNDUP(AX435/BV435,0))</f>
        <v>0</v>
      </c>
      <c r="AZ435" s="52" t="n">
        <f aca="false">IF(CL435&gt;0,CL435*MAX(1,AX435/X435),IF(BW435=1,IF(AX435&lt;=0,0,CA435*MAX(1,IF(H435&gt;0,AX435/H435,1))),IF(R435&gt;0,AY435/R435,0))/MAX(0.1,N(Parameter!$M$21)))</f>
        <v>0.375</v>
      </c>
      <c r="BA435" s="50" t="n">
        <f aca="false">AZ435*BY435</f>
        <v>88.125</v>
      </c>
      <c r="BB435" s="50" t="n">
        <f aca="false">AX435*G435</f>
        <v>196</v>
      </c>
      <c r="BC435" s="50" t="n">
        <f aca="false">ROUNDUP(MAX(J435/IF(CD435&gt;0,CD435,MAX(0.1,N(Cockpit!$O$6))),CG435)/BV435,0)*BV435</f>
        <v>100</v>
      </c>
      <c r="BD435" s="51" t="n">
        <f aca="false">IF(BA435&gt;0,J435/BA435,-1)</f>
        <v>0.680851063829787</v>
      </c>
      <c r="BE435" s="51" t="str">
        <f aca="false">IF(AND(OR(CC435="L1",CC435="L23",CC435="LIFT"),BA435&gt;0),SUMIFS($BA$7:$BA$1843,$CC$7:$CC$1843,CC435,$BD$7:$BD$1843,"&gt;"&amp;BD435)+SUMIFS($BA$7:$BA$1843,$CC$7:$CC$1843,CC435,$BD$7:$BD$1843,BD435,$BT$7:$BT$1843,"&lt;="&amp;BT435),"")</f>
        <v/>
      </c>
      <c r="BF435" s="58" t="n">
        <f aca="false">IF(BE435="",0,MAX(0,MIN(1,(IF(CC435="L1",Parameter!$H$5,IF(CC435="L23",Parameter!$H$6+Parameter!$H$7,Parameter!$H$5+Parameter!$H$6+Parameter!$H$7))-(BE435-BA435))/BA435)))</f>
        <v>0</v>
      </c>
      <c r="BG435" s="48" t="str">
        <f aca="false">IF(AI435&lt;=0,"",IF(CC435="Aussen","Aussenlager",IF(CC435="-","Nicht im Lift",IF(AN435&gt;=1,"Lift",IF(AN435&lt;=0,"Aussenlager","teilweise")))))</f>
        <v>Nicht im Lift</v>
      </c>
      <c r="BH435" s="48" t="str">
        <f aca="false">IF(AR435&lt;=0,"",IF(CC435="Aussen","Aussenlager",IF(CC435="-","Nicht im Lift",IF(AW435&gt;=1,"Lift",IF(AW435&lt;=0,"Aussenlager","teilweise")))))</f>
        <v>Nicht im Lift</v>
      </c>
      <c r="BI435" s="48" t="str">
        <f aca="false">IF(BA435&lt;=0,"",IF(CC435="Aussen","Aussenlager",IF(CC435="-","Nicht im Lift",IF(BF435&gt;=1,"Lift",IF(BF435&lt;=0,"Aussenlager","teilweise")))))</f>
        <v>Nicht im Lift</v>
      </c>
      <c r="BJ435" s="48" t="str">
        <f aca="false">IF(A435="","",IF(BS435=1,"Neu; ","")&amp;IF(AND(BS435=0,BN435&lt;0),"negativer Bestand (Export "&amp;BN435&amp;"); ","")&amp;IF(J435&lt;=0,"Kein Verbrauch; ","")&amp;IF(CL435&gt;0,"Lift "&amp;W435&amp;" lt. Liftbericht (Fach "&amp;X435&amp;" Stk); ",IF(BX435=1,"Gebinde geschätzt ("&amp;T435&amp;"); ",IF(BW435=1,"Lose – Tablare geschätzt; ","")))&amp;IF(H435&gt;AT435,"Überbestand "&amp;ROUND(H435-AT435,0)&amp;" Stk / CHF "&amp;ROUND((H435-AT435)*G435,0)&amp;"; ","")&amp;IF(AND(CE435=1,CF435&lt;CG435),"MAX &lt; MB+LG; ","")&amp;IF(AND(CK435&gt;0,CJ435*10&gt;CK435),"zu hoch für Tablar; ","")&amp;IF(AND(BS435=0,OR(CE435=1,AA435&lt;&gt;"",U435&lt;&gt;"",V435&lt;&gt;"",AB435&lt;&gt;"")),"manuell übersteuert; ","")&amp;IF(AND(BW435=0,R435=0),"Gebinde unbekannt / Stellmass fehlt; ","")&amp;IF(AND(BW435=0,N(V435)&lt;=0,N(Q435)&lt;=0),"Menge pro Gebinde fehlt (Ist = 1 Gebinde); ","")&amp;BR435)</f>
        <v>Lose – Tablare geschätzt; </v>
      </c>
      <c r="BK435" s="48"/>
      <c r="BL435" s="48"/>
      <c r="BM435" s="55"/>
      <c r="BN435" s="50" t="n">
        <v>40</v>
      </c>
      <c r="BO435" s="50" t="n">
        <v>0</v>
      </c>
      <c r="BP435" s="49" t="n">
        <v>78.4</v>
      </c>
      <c r="BQ435" s="50" t="n">
        <v>60</v>
      </c>
      <c r="BR435" s="48"/>
      <c r="BS435" s="53" t="n">
        <v>0</v>
      </c>
      <c r="BT435" s="53" t="n">
        <v>435</v>
      </c>
      <c r="BU435" s="48" t="str">
        <f aca="false">IF(U435&lt;&gt;"",UPPER(TRIM(U435)),IF(BX435=1,UPPER(VLOOKUP(T435,Parameter!$I$27:$K$29,2,0)),IF(P435="","LOSE",P435)))</f>
        <v>LOSE</v>
      </c>
      <c r="BV435" s="50" t="n">
        <f aca="false">IF(BU435="LOSE",1,IF(N(V435)&gt;0,V435,IF(BX435=1,MAX(1,N(VLOOKUP(T435,Parameter!$I$27:$K$29,3,0)),H435,N(N435)),IF(N(Q435)&gt;0,Q435,MAX(1,H435)))))</f>
        <v>1</v>
      </c>
      <c r="BW435" s="53" t="n">
        <f aca="false">IF(BU435="LOSE",1,0)</f>
        <v>1</v>
      </c>
      <c r="BX435" s="53" t="n">
        <f aca="false">IF(AND(U435="",OR(P435="",P435="LOSE"),T435&lt;&gt;"",N(S435)&lt;=0,ISNUMBER(MATCH(T435,Parameter!$I$27:$I$29,0))),1,0)</f>
        <v>0</v>
      </c>
      <c r="BY435" s="53" t="n">
        <f aca="false">IF(CL435&gt;0,INDEX(Parameter!$H$5:$H$7,W435)/INDEX(Parameter!$E$5:$E$7,W435),IF(AND(BW435=0,N(IFERROR(VLOOKUP(BU435,'Gebinde-Kategorie'!$A$5:$N$45,14,0),0))&gt;0),VLOOKUP(BU435,'Gebinde-Kategorie'!$A$5:$N$45,14,0)*10+Parameter!$M$23,Parameter!$M$24))</f>
        <v>235</v>
      </c>
      <c r="BZ435" s="48" t="str">
        <f aca="false">IF(AND(Parameter!$B$19="Ja",E435&lt;&gt;"",ISNUMBER(MATCH(E435,Parameter!$I$35:$I$52,0))),VLOOKUP(E435,Parameter!$I$35:$J$52,2,0),IFERROR(VLOOKUP(D435,Parameter!$A$35:$C$64,2,0),"Nein"))</f>
        <v>Nein</v>
      </c>
      <c r="CA435" s="52" t="n">
        <f aca="false">IF(BW435=0,0,IF(N(S435)&gt;0,S435,IFERROR(VLOOKUP(D435,Parameter!$A$35:$C$64,3,0)+0,0)))</f>
        <v>0.15</v>
      </c>
      <c r="CB435" s="48" t="str">
        <f aca="false">IF(AA435&lt;&gt;"",AA435,Z435)</f>
        <v>-</v>
      </c>
      <c r="CC435" s="48" t="str">
        <f aca="false">IF(OR(CB435=1,CB435=2,CB435=3),IF(Parameter!$E$27="Ja","LIFT",IF(CB435=1,"L1","L23")),IF(CB435="Aussen","Aussen","-"))</f>
        <v>-</v>
      </c>
      <c r="CD435" s="59" t="n">
        <f aca="false">IF(N(AB435)&gt;0,AB435,0)</f>
        <v>0</v>
      </c>
      <c r="CE435" s="53" t="n">
        <f aca="false">IF(ISNUMBER(AE435),1,0)</f>
        <v>0</v>
      </c>
      <c r="CF435" s="50" t="n">
        <f aca="false">N(AE435)</f>
        <v>0</v>
      </c>
      <c r="CG435" s="50" t="n">
        <f aca="false">N(M435)+N(N435)</f>
        <v>100</v>
      </c>
      <c r="CH435" s="50" t="n">
        <f aca="false">ROUNDUP(H435/BV435,0)</f>
        <v>40</v>
      </c>
      <c r="CI435" s="50" t="n">
        <f aca="false">ROUNDUP(CF435/BV435,0)</f>
        <v>0</v>
      </c>
      <c r="CJ435" s="53" t="n">
        <f aca="false">IF(BW435=1,0,IFERROR(VLOOKUP(BU435,'Gebinde-Kategorie'!$A$5:$N$45,5,0)+0,0))</f>
        <v>0</v>
      </c>
      <c r="CK435" s="53" t="n">
        <f aca="false">IFERROR(IF(OR(CB435=1,CB435=2,CB435=3),N(INDEX(Parameter!$I$5:$I$7,CB435)),0),0)</f>
        <v>0</v>
      </c>
      <c r="CL435" s="52" t="n">
        <f aca="false">IF(AND(Parameter!$B$21="Ja",ISNUMBER(W435),N(X435)&gt;0),IFERROR(N(INDEX(Parameter!$L$5:$L$7,W435))*INDEX(Parameter!$E$5:$E$7,W435)*X435/SUMIFS($X$7:$X$1843,$W$7:$W$1843,W435),0),0)</f>
        <v>0</v>
      </c>
    </row>
    <row r="436" customFormat="false" ht="15" hidden="false" customHeight="false" outlineLevel="0" collapsed="false">
      <c r="A436" s="48" t="s">
        <v>1000</v>
      </c>
      <c r="B436" s="48" t="s">
        <v>859</v>
      </c>
      <c r="C436" s="48" t="s">
        <v>168</v>
      </c>
      <c r="D436" s="48" t="s">
        <v>188</v>
      </c>
      <c r="E436" s="48" t="s">
        <v>189</v>
      </c>
      <c r="F436" s="48" t="s">
        <v>222</v>
      </c>
      <c r="G436" s="49" t="n">
        <v>0.02</v>
      </c>
      <c r="H436" s="50" t="n">
        <f aca="false">MAX(0,IF(AND(Parameter!$B$21="Ja",ISNUMBER(Y436)),Y436,IF(Parameter!$B$20="Jahresanfang 2025 + Export",BO436+BN436,BN436)))</f>
        <v>4000</v>
      </c>
      <c r="I436" s="50" t="n">
        <f aca="false">H436*G436</f>
        <v>80</v>
      </c>
      <c r="J436" s="50" t="n">
        <f aca="false">BQ436*Parameter!$B$18</f>
        <v>105</v>
      </c>
      <c r="K436" s="51" t="n">
        <v>52.5</v>
      </c>
      <c r="L436" s="52" t="n">
        <v>2</v>
      </c>
      <c r="M436" s="50" t="n">
        <v>100</v>
      </c>
      <c r="N436" s="50" t="n">
        <v>1000</v>
      </c>
      <c r="O436" s="53" t="n">
        <v>14</v>
      </c>
      <c r="P436" s="48" t="s">
        <v>332</v>
      </c>
      <c r="Q436" s="50" t="n">
        <v>2000</v>
      </c>
      <c r="R436" s="53" t="n">
        <f aca="false">IF(BW436=1,0,IFERROR(VLOOKUP(BU436,'Gebinde-Kategorie'!$A$5:$N$45,13,0)+0,0))</f>
        <v>52</v>
      </c>
      <c r="S436" s="54"/>
      <c r="T436" s="55"/>
      <c r="U436" s="55"/>
      <c r="V436" s="55"/>
      <c r="W436" s="48"/>
      <c r="X436" s="50"/>
      <c r="Y436" s="50"/>
      <c r="Z436" s="48" t="n">
        <f aca="false">IF(A436="","",IF(AND(Parameter!$B$21="Ja",ISNUMBER(W436)),W436,IF(BZ436="2+3",IF(ISNUMBER(SEARCH("grosser Artikel",BR436)),2,IFERROR(VLOOKUP(BU436,Parameter!$F$35:$G$64,2,0),2)),IF(OR(BZ436="Nein",BZ436=""),"-",BZ436))))</f>
        <v>3</v>
      </c>
      <c r="AA436" s="55"/>
      <c r="AB436" s="56"/>
      <c r="AC436" s="50" t="n">
        <f aca="false">AT436</f>
        <v>2000</v>
      </c>
      <c r="AD436" s="50" t="n">
        <f aca="false">MAX(AT436,H436)</f>
        <v>4000</v>
      </c>
      <c r="AE436" s="57"/>
      <c r="AF436" s="50" t="n">
        <f aca="false">IF(LEFT(Cockpit!$C$5,1)="A",H436,IF(CE436=1,CF436,IF(LEFT(Cockpit!$C$5,1)="B",AK436,MAX(AK436,H436))))</f>
        <v>4000</v>
      </c>
      <c r="AG436" s="50" t="n">
        <f aca="false">IF(BW436=1,0,ROUNDUP(AF436/BV436,0))</f>
        <v>2</v>
      </c>
      <c r="AH436" s="52" t="n">
        <f aca="false">IF(CL436&gt;0,CL436*MAX(1,AF436/X436),IF(BW436=1,IF(AF436&lt;=0,0,CA436*MAX(1,IF(H436&gt;0,AF436/H436,1))),IF(R436&gt;0,AG436/R436,0))/MAX(0.1,N(Parameter!$M$21)))</f>
        <v>0.0384615384615385</v>
      </c>
      <c r="AI436" s="50" t="n">
        <f aca="false">AH436*BY436</f>
        <v>5.96153846153846</v>
      </c>
      <c r="AJ436" s="50" t="n">
        <f aca="false">AF436*G436</f>
        <v>80</v>
      </c>
      <c r="AK436" s="50" t="n">
        <f aca="false">ROUNDUP(MAX(J436/IF(CD436&gt;0,CD436,MAX(0.1,N(Cockpit!$C$6))),CG436)/BV436,0)*BV436</f>
        <v>2000</v>
      </c>
      <c r="AL436" s="51" t="n">
        <f aca="false">IF(AI436&gt;0,J436/AI436,-1)</f>
        <v>17.6129032258065</v>
      </c>
      <c r="AM436" s="51" t="n">
        <f aca="false">IF(AND(OR(CC436="L1",CC436="L23",CC436="LIFT"),AI436&gt;0),SUMIFS($AI$7:$AI$1843,$CC$7:$CC$1843,CC436,$AL$7:$AL$1843,"&gt;"&amp;AL436)+SUMIFS($AI$7:$AI$1843,$CC$7:$CC$1843,CC436,$AL$7:$AL$1843,AL436,$BT$7:$BT$1843,"&lt;="&amp;BT436),"")</f>
        <v>1949.52518315018</v>
      </c>
      <c r="AN436" s="58" t="n">
        <f aca="false">IF(AM436="",0,MAX(0,MIN(1,(IF(CC436="L1",Parameter!$H$5,IF(CC436="L23",Parameter!$H$6+Parameter!$H$7,Parameter!$H$5+Parameter!$H$6+Parameter!$H$7))-(AM436-AI436))/AI436)))</f>
        <v>1</v>
      </c>
      <c r="AO436" s="50" t="n">
        <f aca="false">IF(LEFT(Cockpit!$I$5,1)="A",H436,IF(CE436=1,CF436,IF(LEFT(Cockpit!$I$5,1)="B",AT436,MAX(AT436,H436))))</f>
        <v>4000</v>
      </c>
      <c r="AP436" s="50" t="n">
        <f aca="false">IF(BW436=1,0,ROUNDUP(AO436/BV436,0))</f>
        <v>2</v>
      </c>
      <c r="AQ436" s="52" t="n">
        <f aca="false">IF(CL436&gt;0,CL436*MAX(1,AO436/X436),IF(BW436=1,IF(AO436&lt;=0,0,CA436*MAX(1,IF(H436&gt;0,AO436/H436,1))),IF(R436&gt;0,AP436/R436,0))/MAX(0.1,N(Parameter!$M$21)))</f>
        <v>0.0384615384615385</v>
      </c>
      <c r="AR436" s="50" t="n">
        <f aca="false">AQ436*BY436</f>
        <v>5.96153846153846</v>
      </c>
      <c r="AS436" s="50" t="n">
        <f aca="false">AO436*G436</f>
        <v>80</v>
      </c>
      <c r="AT436" s="50" t="n">
        <f aca="false">ROUNDUP(MAX(J436/IF(CD436&gt;0,CD436,MAX(0.1,N(Cockpit!$I$6))),CG436)/BV436,0)*BV436</f>
        <v>2000</v>
      </c>
      <c r="AU436" s="51" t="n">
        <f aca="false">IF(AR436&gt;0,J436/AR436,-1)</f>
        <v>17.6129032258065</v>
      </c>
      <c r="AV436" s="51" t="n">
        <f aca="false">IF(AND(OR(CC436="L1",CC436="L23",CC436="LIFT"),AR436&gt;0),SUMIFS($AR$7:$AR$1843,$CC$7:$CC$1843,CC436,$AU$7:$AU$1843,"&gt;"&amp;AU436)+SUMIFS($AR$7:$AR$1843,$CC$7:$CC$1843,CC436,$AU$7:$AU$1843,AU436,$BT$7:$BT$1843,"&lt;="&amp;BT436),"")</f>
        <v>2837.17124542125</v>
      </c>
      <c r="AW436" s="58" t="n">
        <f aca="false">IF(AV436="",0,MAX(0,MIN(1,(IF(CC436="L1",Parameter!$H$5,IF(CC436="L23",Parameter!$H$6+Parameter!$H$7,Parameter!$H$5+Parameter!$H$6+Parameter!$H$7))-(AV436-AR436))/AR436)))</f>
        <v>1</v>
      </c>
      <c r="AX436" s="50" t="n">
        <f aca="false">IF(LEFT(Cockpit!$O$5,1)="A",H436,IF(CE436=1,CF436,IF(LEFT(Cockpit!$O$5,1)="B",BC436,MAX(BC436,H436))))</f>
        <v>4000</v>
      </c>
      <c r="AY436" s="50" t="n">
        <f aca="false">IF(BW436=1,0,ROUNDUP(AX436/BV436,0))</f>
        <v>2</v>
      </c>
      <c r="AZ436" s="52" t="n">
        <f aca="false">IF(CL436&gt;0,CL436*MAX(1,AX436/X436),IF(BW436=1,IF(AX436&lt;=0,0,CA436*MAX(1,IF(H436&gt;0,AX436/H436,1))),IF(R436&gt;0,AY436/R436,0))/MAX(0.1,N(Parameter!$M$21)))</f>
        <v>0.0384615384615385</v>
      </c>
      <c r="BA436" s="50" t="n">
        <f aca="false">AZ436*BY436</f>
        <v>5.96153846153846</v>
      </c>
      <c r="BB436" s="50" t="n">
        <f aca="false">AX436*G436</f>
        <v>80</v>
      </c>
      <c r="BC436" s="50" t="n">
        <f aca="false">ROUNDUP(MAX(J436/IF(CD436&gt;0,CD436,MAX(0.1,N(Cockpit!$O$6))),CG436)/BV436,0)*BV436</f>
        <v>2000</v>
      </c>
      <c r="BD436" s="51" t="n">
        <f aca="false">IF(BA436&gt;0,J436/BA436,-1)</f>
        <v>17.6129032258065</v>
      </c>
      <c r="BE436" s="51" t="n">
        <f aca="false">IF(AND(OR(CC436="L1",CC436="L23",CC436="LIFT"),BA436&gt;0),SUMIFS($BA$7:$BA$1843,$CC$7:$CC$1843,CC436,$BD$7:$BD$1843,"&gt;"&amp;BD436)+SUMIFS($BA$7:$BA$1843,$CC$7:$CC$1843,CC436,$BD$7:$BD$1843,BD436,$BT$7:$BT$1843,"&lt;="&amp;BT436),"")</f>
        <v>2656.61034798535</v>
      </c>
      <c r="BF436" s="58" t="n">
        <f aca="false">IF(BE436="",0,MAX(0,MIN(1,(IF(CC436="L1",Parameter!$H$5,IF(CC436="L23",Parameter!$H$6+Parameter!$H$7,Parameter!$H$5+Parameter!$H$6+Parameter!$H$7))-(BE436-BA436))/BA436)))</f>
        <v>1</v>
      </c>
      <c r="BG436" s="48" t="str">
        <f aca="false">IF(AI436&lt;=0,"",IF(CC436="Aussen","Aussenlager",IF(CC436="-","Nicht im Lift",IF(AN436&gt;=1,"Lift",IF(AN436&lt;=0,"Aussenlager","teilweise")))))</f>
        <v>Lift</v>
      </c>
      <c r="BH436" s="48" t="str">
        <f aca="false">IF(AR436&lt;=0,"",IF(CC436="Aussen","Aussenlager",IF(CC436="-","Nicht im Lift",IF(AW436&gt;=1,"Lift",IF(AW436&lt;=0,"Aussenlager","teilweise")))))</f>
        <v>Lift</v>
      </c>
      <c r="BI436" s="48" t="str">
        <f aca="false">IF(BA436&lt;=0,"",IF(CC436="Aussen","Aussenlager",IF(CC436="-","Nicht im Lift",IF(BF436&gt;=1,"Lift",IF(BF436&lt;=0,"Aussenlager","teilweise")))))</f>
        <v>Lift</v>
      </c>
      <c r="BJ436" s="48" t="str">
        <f aca="false">IF(A436="","",IF(BS436=1,"Neu; ","")&amp;IF(AND(BS436=0,BN436&lt;0),"negativer Bestand (Export "&amp;BN436&amp;"); ","")&amp;IF(J436&lt;=0,"Kein Verbrauch; ","")&amp;IF(CL436&gt;0,"Lift "&amp;W436&amp;" lt. Liftbericht (Fach "&amp;X436&amp;" Stk); ",IF(BX436=1,"Gebinde geschätzt ("&amp;T436&amp;"); ",IF(BW436=1,"Lose – Tablare geschätzt; ","")))&amp;IF(H436&gt;AT436,"Überbestand "&amp;ROUND(H436-AT436,0)&amp;" Stk / CHF "&amp;ROUND((H436-AT436)*G436,0)&amp;"; ","")&amp;IF(AND(CE436=1,CF436&lt;CG436),"MAX &lt; MB+LG; ","")&amp;IF(AND(CK436&gt;0,CJ436*10&gt;CK436),"zu hoch für Tablar; ","")&amp;IF(AND(BS436=0,OR(CE436=1,AA436&lt;&gt;"",U436&lt;&gt;"",V436&lt;&gt;"",AB436&lt;&gt;"")),"manuell übersteuert; ","")&amp;IF(AND(BW436=0,R436=0),"Gebinde unbekannt / Stellmass fehlt; ","")&amp;IF(AND(BW436=0,N(V436)&lt;=0,N(Q436)&lt;=0),"Menge pro Gebinde fehlt (Ist = 1 Gebinde); ","")&amp;BR436)</f>
        <v>Überbestand 2000 Stk / CHF 40; </v>
      </c>
      <c r="BK436" s="48"/>
      <c r="BL436" s="48"/>
      <c r="BM436" s="55"/>
      <c r="BN436" s="50" t="n">
        <v>3895</v>
      </c>
      <c r="BO436" s="50" t="n">
        <v>105</v>
      </c>
      <c r="BP436" s="49" t="n">
        <v>77.9</v>
      </c>
      <c r="BQ436" s="50" t="n">
        <v>105</v>
      </c>
      <c r="BR436" s="48"/>
      <c r="BS436" s="53" t="n">
        <v>0</v>
      </c>
      <c r="BT436" s="53" t="n">
        <v>436</v>
      </c>
      <c r="BU436" s="48" t="str">
        <f aca="false">IF(U436&lt;&gt;"",UPPER(TRIM(U436)),IF(BX436=1,UPPER(VLOOKUP(T436,Parameter!$I$27:$K$29,2,0)),IF(P436="","LOSE",P436)))</f>
        <v>S41</v>
      </c>
      <c r="BV436" s="50" t="n">
        <f aca="false">IF(BU436="LOSE",1,IF(N(V436)&gt;0,V436,IF(BX436=1,MAX(1,N(VLOOKUP(T436,Parameter!$I$27:$K$29,3,0)),H436,N(N436)),IF(N(Q436)&gt;0,Q436,MAX(1,H436)))))</f>
        <v>2000</v>
      </c>
      <c r="BW436" s="53" t="n">
        <f aca="false">IF(BU436="LOSE",1,0)</f>
        <v>0</v>
      </c>
      <c r="BX436" s="53" t="n">
        <f aca="false">IF(AND(U436="",OR(P436="",P436="LOSE"),T436&lt;&gt;"",N(S436)&lt;=0,ISNUMBER(MATCH(T436,Parameter!$I$27:$I$29,0))),1,0)</f>
        <v>0</v>
      </c>
      <c r="BY436" s="53" t="n">
        <f aca="false">IF(CL436&gt;0,INDEX(Parameter!$H$5:$H$7,W436)/INDEX(Parameter!$E$5:$E$7,W436),IF(AND(BW436=0,N(IFERROR(VLOOKUP(BU436,'Gebinde-Kategorie'!$A$5:$N$45,14,0),0))&gt;0),VLOOKUP(BU436,'Gebinde-Kategorie'!$A$5:$N$45,14,0)*10+Parameter!$M$23,Parameter!$M$24))</f>
        <v>155</v>
      </c>
      <c r="BZ436" s="48" t="str">
        <f aca="false">IF(AND(Parameter!$B$19="Ja",E436&lt;&gt;"",ISNUMBER(MATCH(E436,Parameter!$I$35:$I$52,0))),VLOOKUP(E436,Parameter!$I$35:$J$52,2,0),IFERROR(VLOOKUP(D436,Parameter!$A$35:$C$64,2,0),"Nein"))</f>
        <v>2+3</v>
      </c>
      <c r="CA436" s="52" t="n">
        <f aca="false">IF(BW436=0,0,IF(N(S436)&gt;0,S436,IFERROR(VLOOKUP(D436,Parameter!$A$35:$C$64,3,0)+0,0)))</f>
        <v>0</v>
      </c>
      <c r="CB436" s="48" t="n">
        <f aca="false">IF(AA436&lt;&gt;"",AA436,Z436)</f>
        <v>3</v>
      </c>
      <c r="CC436" s="48" t="str">
        <f aca="false">IF(OR(CB436=1,CB436=2,CB436=3),IF(Parameter!$E$27="Ja","LIFT",IF(CB436=1,"L1","L23")),IF(CB436="Aussen","Aussen","-"))</f>
        <v>LIFT</v>
      </c>
      <c r="CD436" s="59" t="n">
        <f aca="false">IF(N(AB436)&gt;0,AB436,0)</f>
        <v>0</v>
      </c>
      <c r="CE436" s="53" t="n">
        <f aca="false">IF(ISNUMBER(AE436),1,0)</f>
        <v>0</v>
      </c>
      <c r="CF436" s="50" t="n">
        <f aca="false">N(AE436)</f>
        <v>0</v>
      </c>
      <c r="CG436" s="50" t="n">
        <f aca="false">N(M436)+N(N436)</f>
        <v>1100</v>
      </c>
      <c r="CH436" s="50" t="n">
        <f aca="false">ROUNDUP(H436/BV436,0)</f>
        <v>2</v>
      </c>
      <c r="CI436" s="50" t="n">
        <f aca="false">ROUNDUP(CF436/BV436,0)</f>
        <v>0</v>
      </c>
      <c r="CJ436" s="53" t="n">
        <f aca="false">IF(BW436=1,0,IFERROR(VLOOKUP(BU436,'Gebinde-Kategorie'!$A$5:$N$45,5,0)+0,0))</f>
        <v>11</v>
      </c>
      <c r="CK436" s="53" t="n">
        <f aca="false">IFERROR(IF(OR(CB436=1,CB436=2,CB436=3),N(INDEX(Parameter!$I$5:$I$7,CB436)),0),0)</f>
        <v>0</v>
      </c>
      <c r="CL436" s="52" t="n">
        <f aca="false">IF(AND(Parameter!$B$21="Ja",ISNUMBER(W436),N(X436)&gt;0),IFERROR(N(INDEX(Parameter!$L$5:$L$7,W436))*INDEX(Parameter!$E$5:$E$7,W436)*X436/SUMIFS($X$7:$X$1843,$W$7:$W$1843,W436),0),0)</f>
        <v>0</v>
      </c>
    </row>
    <row r="437" customFormat="false" ht="15" hidden="false" customHeight="false" outlineLevel="0" collapsed="false">
      <c r="A437" s="48" t="s">
        <v>1001</v>
      </c>
      <c r="B437" s="48" t="s">
        <v>1002</v>
      </c>
      <c r="C437" s="48" t="s">
        <v>168</v>
      </c>
      <c r="D437" s="48" t="s">
        <v>188</v>
      </c>
      <c r="E437" s="48" t="s">
        <v>189</v>
      </c>
      <c r="F437" s="48" t="s">
        <v>222</v>
      </c>
      <c r="G437" s="49" t="n">
        <v>13.18</v>
      </c>
      <c r="H437" s="50" t="n">
        <f aca="false">MAX(0,IF(AND(Parameter!$B$21="Ja",ISNUMBER(Y437)),Y437,IF(Parameter!$B$20="Jahresanfang 2025 + Export",BO437+BN437,BN437)))</f>
        <v>25</v>
      </c>
      <c r="I437" s="50" t="n">
        <f aca="false">H437*G437</f>
        <v>329.5</v>
      </c>
      <c r="J437" s="50" t="n">
        <f aca="false">BQ437*Parameter!$B$18</f>
        <v>30</v>
      </c>
      <c r="K437" s="51" t="n">
        <v>27</v>
      </c>
      <c r="L437" s="52" t="n">
        <v>1.11111111111111</v>
      </c>
      <c r="M437" s="50" t="n">
        <v>2</v>
      </c>
      <c r="N437" s="50" t="n">
        <v>30</v>
      </c>
      <c r="O437" s="53" t="n">
        <v>35</v>
      </c>
      <c r="P437" s="48" t="s">
        <v>190</v>
      </c>
      <c r="Q437" s="50" t="n">
        <v>25</v>
      </c>
      <c r="R437" s="53" t="n">
        <f aca="false">IF(BW437=1,0,IFERROR(VLOOKUP(BU437,'Gebinde-Kategorie'!$A$5:$N$45,13,0)+0,0))</f>
        <v>12</v>
      </c>
      <c r="S437" s="54"/>
      <c r="T437" s="55"/>
      <c r="U437" s="55"/>
      <c r="V437" s="55"/>
      <c r="W437" s="48"/>
      <c r="X437" s="50"/>
      <c r="Y437" s="50"/>
      <c r="Z437" s="48" t="n">
        <f aca="false">IF(A437="","",IF(AND(Parameter!$B$21="Ja",ISNUMBER(W437)),W437,IF(BZ437="2+3",IF(ISNUMBER(SEARCH("grosser Artikel",BR437)),2,IFERROR(VLOOKUP(BU437,Parameter!$F$35:$G$64,2,0),2)),IF(OR(BZ437="Nein",BZ437=""),"-",BZ437))))</f>
        <v>2</v>
      </c>
      <c r="AA437" s="55"/>
      <c r="AB437" s="56"/>
      <c r="AC437" s="50" t="n">
        <f aca="false">AT437</f>
        <v>50</v>
      </c>
      <c r="AD437" s="50" t="n">
        <f aca="false">MAX(AT437,H437)</f>
        <v>50</v>
      </c>
      <c r="AE437" s="57"/>
      <c r="AF437" s="50" t="n">
        <f aca="false">IF(LEFT(Cockpit!$C$5,1)="A",H437,IF(CE437=1,CF437,IF(LEFT(Cockpit!$C$5,1)="B",AK437,MAX(AK437,H437))))</f>
        <v>25</v>
      </c>
      <c r="AG437" s="50" t="n">
        <f aca="false">IF(BW437=1,0,ROUNDUP(AF437/BV437,0))</f>
        <v>1</v>
      </c>
      <c r="AH437" s="52" t="n">
        <f aca="false">IF(CL437&gt;0,CL437*MAX(1,AF437/X437),IF(BW437=1,IF(AF437&lt;=0,0,CA437*MAX(1,IF(H437&gt;0,AF437/H437,1))),IF(R437&gt;0,AG437/R437,0))/MAX(0.1,N(Parameter!$M$21)))</f>
        <v>0.0833333333333333</v>
      </c>
      <c r="AI437" s="50" t="n">
        <f aca="false">AH437*BY437</f>
        <v>12.0833333333333</v>
      </c>
      <c r="AJ437" s="50" t="n">
        <f aca="false">AF437*G437</f>
        <v>329.5</v>
      </c>
      <c r="AK437" s="50" t="n">
        <f aca="false">ROUNDUP(MAX(J437/IF(CD437&gt;0,CD437,MAX(0.1,N(Cockpit!$C$6))),CG437)/BV437,0)*BV437</f>
        <v>50</v>
      </c>
      <c r="AL437" s="51" t="n">
        <f aca="false">IF(AI437&gt;0,J437/AI437,-1)</f>
        <v>2.48275862068966</v>
      </c>
      <c r="AM437" s="51" t="n">
        <f aca="false">IF(AND(OR(CC437="L1",CC437="L23",CC437="LIFT"),AI437&gt;0),SUMIFS($AI$7:$AI$1843,$CC$7:$CC$1843,CC437,$AL$7:$AL$1843,"&gt;"&amp;AL437)+SUMIFS($AI$7:$AI$1843,$CC$7:$CC$1843,CC437,$AL$7:$AL$1843,AL437,$BT$7:$BT$1843,"&lt;="&amp;BT437),"")</f>
        <v>5452.41620879121</v>
      </c>
      <c r="AN437" s="58" t="n">
        <f aca="false">IF(AM437="",0,MAX(0,MIN(1,(IF(CC437="L1",Parameter!$H$5,IF(CC437="L23",Parameter!$H$6+Parameter!$H$7,Parameter!$H$5+Parameter!$H$6+Parameter!$H$7))-(AM437-AI437))/AI437)))</f>
        <v>1</v>
      </c>
      <c r="AO437" s="50" t="n">
        <f aca="false">IF(LEFT(Cockpit!$I$5,1)="A",H437,IF(CE437=1,CF437,IF(LEFT(Cockpit!$I$5,1)="B",AT437,MAX(AT437,H437))))</f>
        <v>50</v>
      </c>
      <c r="AP437" s="50" t="n">
        <f aca="false">IF(BW437=1,0,ROUNDUP(AO437/BV437,0))</f>
        <v>2</v>
      </c>
      <c r="AQ437" s="52" t="n">
        <f aca="false">IF(CL437&gt;0,CL437*MAX(1,AO437/X437),IF(BW437=1,IF(AO437&lt;=0,0,CA437*MAX(1,IF(H437&gt;0,AO437/H437,1))),IF(R437&gt;0,AP437/R437,0))/MAX(0.1,N(Parameter!$M$21)))</f>
        <v>0.166666666666667</v>
      </c>
      <c r="AR437" s="50" t="n">
        <f aca="false">AQ437*BY437</f>
        <v>24.1666666666667</v>
      </c>
      <c r="AS437" s="50" t="n">
        <f aca="false">AO437*G437</f>
        <v>659</v>
      </c>
      <c r="AT437" s="50" t="n">
        <f aca="false">ROUNDUP(MAX(J437/IF(CD437&gt;0,CD437,MAX(0.1,N(Cockpit!$I$6))),CG437)/BV437,0)*BV437</f>
        <v>50</v>
      </c>
      <c r="AU437" s="51" t="n">
        <f aca="false">IF(AR437&gt;0,J437/AR437,-1)</f>
        <v>1.24137931034483</v>
      </c>
      <c r="AV437" s="51" t="n">
        <f aca="false">IF(AND(OR(CC437="L1",CC437="L23",CC437="LIFT"),AR437&gt;0),SUMIFS($AR$7:$AR$1843,$CC$7:$CC$1843,CC437,$AU$7:$AU$1843,"&gt;"&amp;AU437)+SUMIFS($AR$7:$AR$1843,$CC$7:$CC$1843,CC437,$AU$7:$AU$1843,AU437,$BT$7:$BT$1843,"&lt;="&amp;BT437),"")</f>
        <v>9628.20604395604</v>
      </c>
      <c r="AW437" s="58" t="n">
        <f aca="false">IF(AV437="",0,MAX(0,MIN(1,(IF(CC437="L1",Parameter!$H$5,IF(CC437="L23",Parameter!$H$6+Parameter!$H$7,Parameter!$H$5+Parameter!$H$6+Parameter!$H$7))-(AV437-AR437))/AR437)))</f>
        <v>1</v>
      </c>
      <c r="AX437" s="50" t="n">
        <f aca="false">IF(LEFT(Cockpit!$O$5,1)="A",H437,IF(CE437=1,CF437,IF(LEFT(Cockpit!$O$5,1)="B",BC437,MAX(BC437,H437))))</f>
        <v>50</v>
      </c>
      <c r="AY437" s="50" t="n">
        <f aca="false">IF(BW437=1,0,ROUNDUP(AX437/BV437,0))</f>
        <v>2</v>
      </c>
      <c r="AZ437" s="52" t="n">
        <f aca="false">IF(CL437&gt;0,CL437*MAX(1,AX437/X437),IF(BW437=1,IF(AX437&lt;=0,0,CA437*MAX(1,IF(H437&gt;0,AX437/H437,1))),IF(R437&gt;0,AY437/R437,0))/MAX(0.1,N(Parameter!$M$21)))</f>
        <v>0.166666666666667</v>
      </c>
      <c r="BA437" s="50" t="n">
        <f aca="false">AZ437*BY437</f>
        <v>24.1666666666667</v>
      </c>
      <c r="BB437" s="50" t="n">
        <f aca="false">AX437*G437</f>
        <v>659</v>
      </c>
      <c r="BC437" s="50" t="n">
        <f aca="false">ROUNDUP(MAX(J437/IF(CD437&gt;0,CD437,MAX(0.1,N(Cockpit!$O$6))),CG437)/BV437,0)*BV437</f>
        <v>50</v>
      </c>
      <c r="BD437" s="51" t="n">
        <f aca="false">IF(BA437&gt;0,J437/BA437,-1)</f>
        <v>1.24137931034483</v>
      </c>
      <c r="BE437" s="51" t="n">
        <f aca="false">IF(AND(OR(CC437="L1",CC437="L23",CC437="LIFT"),BA437&gt;0),SUMIFS($BA$7:$BA$1843,$CC$7:$CC$1843,CC437,$BD$7:$BD$1843,"&gt;"&amp;BD437)+SUMIFS($BA$7:$BA$1843,$CC$7:$CC$1843,CC437,$BD$7:$BD$1843,BD437,$BT$7:$BT$1843,"&lt;="&amp;BT437),"")</f>
        <v>8813.8630952381</v>
      </c>
      <c r="BF437" s="58" t="n">
        <f aca="false">IF(BE437="",0,MAX(0,MIN(1,(IF(CC437="L1",Parameter!$H$5,IF(CC437="L23",Parameter!$H$6+Parameter!$H$7,Parameter!$H$5+Parameter!$H$6+Parameter!$H$7))-(BE437-BA437))/BA437)))</f>
        <v>1</v>
      </c>
      <c r="BG437" s="48" t="str">
        <f aca="false">IF(AI437&lt;=0,"",IF(CC437="Aussen","Aussenlager",IF(CC437="-","Nicht im Lift",IF(AN437&gt;=1,"Lift",IF(AN437&lt;=0,"Aussenlager","teilweise")))))</f>
        <v>Lift</v>
      </c>
      <c r="BH437" s="48" t="str">
        <f aca="false">IF(AR437&lt;=0,"",IF(CC437="Aussen","Aussenlager",IF(CC437="-","Nicht im Lift",IF(AW437&gt;=1,"Lift",IF(AW437&lt;=0,"Aussenlager","teilweise")))))</f>
        <v>Lift</v>
      </c>
      <c r="BI437" s="48" t="str">
        <f aca="false">IF(BA437&lt;=0,"",IF(CC437="Aussen","Aussenlager",IF(CC437="-","Nicht im Lift",IF(BF437&gt;=1,"Lift",IF(BF437&lt;=0,"Aussenlager","teilweise")))))</f>
        <v>Lift</v>
      </c>
      <c r="BJ437" s="48" t="str">
        <f aca="false">IF(A437="","",IF(BS437=1,"Neu; ","")&amp;IF(AND(BS437=0,BN437&lt;0),"negativer Bestand (Export "&amp;BN437&amp;"); ","")&amp;IF(J437&lt;=0,"Kein Verbrauch; ","")&amp;IF(CL437&gt;0,"Lift "&amp;W437&amp;" lt. Liftbericht (Fach "&amp;X437&amp;" Stk); ",IF(BX437=1,"Gebinde geschätzt ("&amp;T437&amp;"); ",IF(BW437=1,"Lose – Tablare geschätzt; ","")))&amp;IF(H437&gt;AT437,"Überbestand "&amp;ROUND(H437-AT437,0)&amp;" Stk / CHF "&amp;ROUND((H437-AT437)*G437,0)&amp;"; ","")&amp;IF(AND(CE437=1,CF437&lt;CG437),"MAX &lt; MB+LG; ","")&amp;IF(AND(CK437&gt;0,CJ437*10&gt;CK437),"zu hoch für Tablar; ","")&amp;IF(AND(BS437=0,OR(CE437=1,AA437&lt;&gt;"",U437&lt;&gt;"",V437&lt;&gt;"",AB437&lt;&gt;"")),"manuell übersteuert; ","")&amp;IF(AND(BW437=0,R437=0),"Gebinde unbekannt / Stellmass fehlt; ","")&amp;IF(AND(BW437=0,N(V437)&lt;=0,N(Q437)&lt;=0),"Menge pro Gebinde fehlt (Ist = 1 Gebinde); ","")&amp;BR437)</f>
        <v/>
      </c>
      <c r="BK437" s="48"/>
      <c r="BL437" s="48"/>
      <c r="BM437" s="55"/>
      <c r="BN437" s="50" t="n">
        <v>5</v>
      </c>
      <c r="BO437" s="50" t="n">
        <v>20</v>
      </c>
      <c r="BP437" s="49" t="n">
        <v>77.5</v>
      </c>
      <c r="BQ437" s="50" t="n">
        <v>30</v>
      </c>
      <c r="BR437" s="48"/>
      <c r="BS437" s="53" t="n">
        <v>0</v>
      </c>
      <c r="BT437" s="53" t="n">
        <v>437</v>
      </c>
      <c r="BU437" s="48" t="str">
        <f aca="false">IF(U437&lt;&gt;"",UPPER(TRIM(U437)),IF(BX437=1,UPPER(VLOOKUP(T437,Parameter!$I$27:$K$29,2,0)),IF(P437="","LOSE",P437)))</f>
        <v>S61</v>
      </c>
      <c r="BV437" s="50" t="n">
        <f aca="false">IF(BU437="LOSE",1,IF(N(V437)&gt;0,V437,IF(BX437=1,MAX(1,N(VLOOKUP(T437,Parameter!$I$27:$K$29,3,0)),H437,N(N437)),IF(N(Q437)&gt;0,Q437,MAX(1,H437)))))</f>
        <v>25</v>
      </c>
      <c r="BW437" s="53" t="n">
        <f aca="false">IF(BU437="LOSE",1,0)</f>
        <v>0</v>
      </c>
      <c r="BX437" s="53" t="n">
        <f aca="false">IF(AND(U437="",OR(P437="",P437="LOSE"),T437&lt;&gt;"",N(S437)&lt;=0,ISNUMBER(MATCH(T437,Parameter!$I$27:$I$29,0))),1,0)</f>
        <v>0</v>
      </c>
      <c r="BY437" s="53" t="n">
        <f aca="false">IF(CL437&gt;0,INDEX(Parameter!$H$5:$H$7,W437)/INDEX(Parameter!$E$5:$E$7,W437),IF(AND(BW437=0,N(IFERROR(VLOOKUP(BU437,'Gebinde-Kategorie'!$A$5:$N$45,14,0),0))&gt;0),VLOOKUP(BU437,'Gebinde-Kategorie'!$A$5:$N$45,14,0)*10+Parameter!$M$23,Parameter!$M$24))</f>
        <v>145</v>
      </c>
      <c r="BZ437" s="48" t="str">
        <f aca="false">IF(AND(Parameter!$B$19="Ja",E437&lt;&gt;"",ISNUMBER(MATCH(E437,Parameter!$I$35:$I$52,0))),VLOOKUP(E437,Parameter!$I$35:$J$52,2,0),IFERROR(VLOOKUP(D437,Parameter!$A$35:$C$64,2,0),"Nein"))</f>
        <v>2+3</v>
      </c>
      <c r="CA437" s="52" t="n">
        <f aca="false">IF(BW437=0,0,IF(N(S437)&gt;0,S437,IFERROR(VLOOKUP(D437,Parameter!$A$35:$C$64,3,0)+0,0)))</f>
        <v>0</v>
      </c>
      <c r="CB437" s="48" t="n">
        <f aca="false">IF(AA437&lt;&gt;"",AA437,Z437)</f>
        <v>2</v>
      </c>
      <c r="CC437" s="48" t="str">
        <f aca="false">IF(OR(CB437=1,CB437=2,CB437=3),IF(Parameter!$E$27="Ja","LIFT",IF(CB437=1,"L1","L23")),IF(CB437="Aussen","Aussen","-"))</f>
        <v>LIFT</v>
      </c>
      <c r="CD437" s="59" t="n">
        <f aca="false">IF(N(AB437)&gt;0,AB437,0)</f>
        <v>0</v>
      </c>
      <c r="CE437" s="53" t="n">
        <f aca="false">IF(ISNUMBER(AE437),1,0)</f>
        <v>0</v>
      </c>
      <c r="CF437" s="50" t="n">
        <f aca="false">N(AE437)</f>
        <v>0</v>
      </c>
      <c r="CG437" s="50" t="n">
        <f aca="false">N(M437)+N(N437)</f>
        <v>32</v>
      </c>
      <c r="CH437" s="50" t="n">
        <f aca="false">ROUNDUP(H437/BV437,0)</f>
        <v>1</v>
      </c>
      <c r="CI437" s="50" t="n">
        <f aca="false">ROUNDUP(CF437/BV437,0)</f>
        <v>0</v>
      </c>
      <c r="CJ437" s="53" t="n">
        <f aca="false">IF(BW437=1,0,IFERROR(VLOOKUP(BU437,'Gebinde-Kategorie'!$A$5:$N$45,5,0)+0,0))</f>
        <v>11</v>
      </c>
      <c r="CK437" s="53" t="n">
        <f aca="false">IFERROR(IF(OR(CB437=1,CB437=2,CB437=3),N(INDEX(Parameter!$I$5:$I$7,CB437)),0),0)</f>
        <v>0</v>
      </c>
      <c r="CL437" s="52" t="n">
        <f aca="false">IF(AND(Parameter!$B$21="Ja",ISNUMBER(W437),N(X437)&gt;0),IFERROR(N(INDEX(Parameter!$L$5:$L$7,W437))*INDEX(Parameter!$E$5:$E$7,W437)*X437/SUMIFS($X$7:$X$1843,$W$7:$W$1843,W437),0),0)</f>
        <v>0</v>
      </c>
    </row>
    <row r="438" customFormat="false" ht="15" hidden="false" customHeight="false" outlineLevel="0" collapsed="false">
      <c r="A438" s="48" t="s">
        <v>1003</v>
      </c>
      <c r="B438" s="48" t="s">
        <v>1004</v>
      </c>
      <c r="C438" s="48" t="s">
        <v>168</v>
      </c>
      <c r="D438" s="48" t="s">
        <v>188</v>
      </c>
      <c r="E438" s="48" t="s">
        <v>189</v>
      </c>
      <c r="F438" s="48" t="s">
        <v>222</v>
      </c>
      <c r="G438" s="49" t="n">
        <v>19.07</v>
      </c>
      <c r="H438" s="50" t="n">
        <f aca="false">MAX(0,IF(AND(Parameter!$B$21="Ja",ISNUMBER(Y438)),Y438,IF(Parameter!$B$20="Jahresanfang 2025 + Export",BO438+BN438,BN438)))</f>
        <v>10</v>
      </c>
      <c r="I438" s="50" t="n">
        <f aca="false">H438*G438</f>
        <v>190.7</v>
      </c>
      <c r="J438" s="50" t="n">
        <f aca="false">BQ438*Parameter!$B$18</f>
        <v>0</v>
      </c>
      <c r="K438" s="51" t="n">
        <v>7.5</v>
      </c>
      <c r="L438" s="52" t="n">
        <v>0</v>
      </c>
      <c r="M438" s="50" t="n">
        <v>0</v>
      </c>
      <c r="N438" s="50" t="n">
        <v>1</v>
      </c>
      <c r="O438" s="53" t="n">
        <v>42</v>
      </c>
      <c r="P438" s="48" t="s">
        <v>480</v>
      </c>
      <c r="Q438" s="50" t="n">
        <v>9</v>
      </c>
      <c r="R438" s="53" t="n">
        <f aca="false">IF(BW438=1,0,IFERROR(VLOOKUP(BU438,'Gebinde-Kategorie'!$A$5:$N$45,13,0)+0,0))</f>
        <v>52</v>
      </c>
      <c r="S438" s="54"/>
      <c r="T438" s="55"/>
      <c r="U438" s="55"/>
      <c r="V438" s="55"/>
      <c r="W438" s="48"/>
      <c r="X438" s="50"/>
      <c r="Y438" s="50"/>
      <c r="Z438" s="48" t="n">
        <f aca="false">IF(A438="","",IF(AND(Parameter!$B$21="Ja",ISNUMBER(W438)),W438,IF(BZ438="2+3",IF(ISNUMBER(SEARCH("grosser Artikel",BR438)),2,IFERROR(VLOOKUP(BU438,Parameter!$F$35:$G$64,2,0),2)),IF(OR(BZ438="Nein",BZ438=""),"-",BZ438))))</f>
        <v>3</v>
      </c>
      <c r="AA438" s="55"/>
      <c r="AB438" s="56"/>
      <c r="AC438" s="50" t="n">
        <f aca="false">AT438</f>
        <v>9</v>
      </c>
      <c r="AD438" s="50" t="n">
        <f aca="false">MAX(AT438,H438)</f>
        <v>10</v>
      </c>
      <c r="AE438" s="57"/>
      <c r="AF438" s="50" t="n">
        <f aca="false">IF(LEFT(Cockpit!$C$5,1)="A",H438,IF(CE438=1,CF438,IF(LEFT(Cockpit!$C$5,1)="B",AK438,MAX(AK438,H438))))</f>
        <v>10</v>
      </c>
      <c r="AG438" s="50" t="n">
        <f aca="false">IF(BW438=1,0,ROUNDUP(AF438/BV438,0))</f>
        <v>2</v>
      </c>
      <c r="AH438" s="52" t="n">
        <f aca="false">IF(CL438&gt;0,CL438*MAX(1,AF438/X438),IF(BW438=1,IF(AF438&lt;=0,0,CA438*MAX(1,IF(H438&gt;0,AF438/H438,1))),IF(R438&gt;0,AG438/R438,0))/MAX(0.1,N(Parameter!$M$21)))</f>
        <v>0.0384615384615385</v>
      </c>
      <c r="AI438" s="50" t="n">
        <f aca="false">AH438*BY438</f>
        <v>5.96153846153846</v>
      </c>
      <c r="AJ438" s="50" t="n">
        <f aca="false">AF438*G438</f>
        <v>190.7</v>
      </c>
      <c r="AK438" s="50" t="n">
        <f aca="false">ROUNDUP(MAX(J438/IF(CD438&gt;0,CD438,MAX(0.1,N(Cockpit!$C$6))),CG438)/BV438,0)*BV438</f>
        <v>9</v>
      </c>
      <c r="AL438" s="51" t="n">
        <f aca="false">IF(AI438&gt;0,J438/AI438,-1)</f>
        <v>0</v>
      </c>
      <c r="AM438" s="51" t="n">
        <f aca="false">IF(AND(OR(CC438="L1",CC438="L23",CC438="LIFT"),AI438&gt;0),SUMIFS($AI$7:$AI$1843,$CC$7:$CC$1843,CC438,$AL$7:$AL$1843,"&gt;"&amp;AL438)+SUMIFS($AI$7:$AI$1843,$CC$7:$CC$1843,CC438,$AL$7:$AL$1843,AL438,$BT$7:$BT$1843,"&lt;="&amp;BT438),"")</f>
        <v>28127.6764501976</v>
      </c>
      <c r="AN438" s="58" t="n">
        <f aca="false">IF(AM438="",0,MAX(0,MIN(1,(IF(CC438="L1",Parameter!$H$5,IF(CC438="L23",Parameter!$H$6+Parameter!$H$7,Parameter!$H$5+Parameter!$H$6+Parameter!$H$7))-(AM438-AI438))/AI438)))</f>
        <v>1</v>
      </c>
      <c r="AO438" s="50" t="n">
        <f aca="false">IF(LEFT(Cockpit!$I$5,1)="A",H438,IF(CE438=1,CF438,IF(LEFT(Cockpit!$I$5,1)="B",AT438,MAX(AT438,H438))))</f>
        <v>10</v>
      </c>
      <c r="AP438" s="50" t="n">
        <f aca="false">IF(BW438=1,0,ROUNDUP(AO438/BV438,0))</f>
        <v>2</v>
      </c>
      <c r="AQ438" s="52" t="n">
        <f aca="false">IF(CL438&gt;0,CL438*MAX(1,AO438/X438),IF(BW438=1,IF(AO438&lt;=0,0,CA438*MAX(1,IF(H438&gt;0,AO438/H438,1))),IF(R438&gt;0,AP438/R438,0))/MAX(0.1,N(Parameter!$M$21)))</f>
        <v>0.0384615384615385</v>
      </c>
      <c r="AR438" s="50" t="n">
        <f aca="false">AQ438*BY438</f>
        <v>5.96153846153846</v>
      </c>
      <c r="AS438" s="50" t="n">
        <f aca="false">AO438*G438</f>
        <v>190.7</v>
      </c>
      <c r="AT438" s="50" t="n">
        <f aca="false">ROUNDUP(MAX(J438/IF(CD438&gt;0,CD438,MAX(0.1,N(Cockpit!$I$6))),CG438)/BV438,0)*BV438</f>
        <v>9</v>
      </c>
      <c r="AU438" s="51" t="n">
        <f aca="false">IF(AR438&gt;0,J438/AR438,-1)</f>
        <v>0</v>
      </c>
      <c r="AV438" s="51" t="n">
        <f aca="false">IF(AND(OR(CC438="L1",CC438="L23",CC438="LIFT"),AR438&gt;0),SUMIFS($AR$7:$AR$1843,$CC$7:$CC$1843,CC438,$AU$7:$AU$1843,"&gt;"&amp;AU438)+SUMIFS($AR$7:$AR$1843,$CC$7:$CC$1843,CC438,$AU$7:$AU$1843,AU438,$BT$7:$BT$1843,"&lt;="&amp;BT438),"")</f>
        <v>39440.5819674676</v>
      </c>
      <c r="AW438" s="58" t="n">
        <f aca="false">IF(AV438="",0,MAX(0,MIN(1,(IF(CC438="L1",Parameter!$H$5,IF(CC438="L23",Parameter!$H$6+Parameter!$H$7,Parameter!$H$5+Parameter!$H$6+Parameter!$H$7))-(AV438-AR438))/AR438)))</f>
        <v>0</v>
      </c>
      <c r="AX438" s="50" t="n">
        <f aca="false">IF(LEFT(Cockpit!$O$5,1)="A",H438,IF(CE438=1,CF438,IF(LEFT(Cockpit!$O$5,1)="B",BC438,MAX(BC438,H438))))</f>
        <v>10</v>
      </c>
      <c r="AY438" s="50" t="n">
        <f aca="false">IF(BW438=1,0,ROUNDUP(AX438/BV438,0))</f>
        <v>2</v>
      </c>
      <c r="AZ438" s="52" t="n">
        <f aca="false">IF(CL438&gt;0,CL438*MAX(1,AX438/X438),IF(BW438=1,IF(AX438&lt;=0,0,CA438*MAX(1,IF(H438&gt;0,AX438/H438,1))),IF(R438&gt;0,AY438/R438,0))/MAX(0.1,N(Parameter!$M$21)))</f>
        <v>0.0384615384615385</v>
      </c>
      <c r="BA438" s="50" t="n">
        <f aca="false">AZ438*BY438</f>
        <v>5.96153846153846</v>
      </c>
      <c r="BB438" s="50" t="n">
        <f aca="false">AX438*G438</f>
        <v>190.7</v>
      </c>
      <c r="BC438" s="50" t="n">
        <f aca="false">ROUNDUP(MAX(J438/IF(CD438&gt;0,CD438,MAX(0.1,N(Cockpit!$O$6))),CG438)/BV438,0)*BV438</f>
        <v>9</v>
      </c>
      <c r="BD438" s="51" t="n">
        <f aca="false">IF(BA438&gt;0,J438/BA438,-1)</f>
        <v>0</v>
      </c>
      <c r="BE438" s="51" t="n">
        <f aca="false">IF(AND(OR(CC438="L1",CC438="L23",CC438="LIFT"),BA438&gt;0),SUMIFS($BA$7:$BA$1843,$CC$7:$CC$1843,CC438,$BD$7:$BD$1843,"&gt;"&amp;BD438)+SUMIFS($BA$7:$BA$1843,$CC$7:$CC$1843,CC438,$BD$7:$BD$1843,BD438,$BT$7:$BT$1843,"&lt;="&amp;BT438),"")</f>
        <v>36115.5940093334</v>
      </c>
      <c r="BF438" s="58" t="n">
        <f aca="false">IF(BE438="",0,MAX(0,MIN(1,(IF(CC438="L1",Parameter!$H$5,IF(CC438="L23",Parameter!$H$6+Parameter!$H$7,Parameter!$H$5+Parameter!$H$6+Parameter!$H$7))-(BE438-BA438))/BA438)))</f>
        <v>0</v>
      </c>
      <c r="BG438" s="48" t="str">
        <f aca="false">IF(AI438&lt;=0,"",IF(CC438="Aussen","Aussenlager",IF(CC438="-","Nicht im Lift",IF(AN438&gt;=1,"Lift",IF(AN438&lt;=0,"Aussenlager","teilweise")))))</f>
        <v>Lift</v>
      </c>
      <c r="BH438" s="48" t="str">
        <f aca="false">IF(AR438&lt;=0,"",IF(CC438="Aussen","Aussenlager",IF(CC438="-","Nicht im Lift",IF(AW438&gt;=1,"Lift",IF(AW438&lt;=0,"Aussenlager","teilweise")))))</f>
        <v>Aussenlager</v>
      </c>
      <c r="BI438" s="48" t="str">
        <f aca="false">IF(BA438&lt;=0,"",IF(CC438="Aussen","Aussenlager",IF(CC438="-","Nicht im Lift",IF(BF438&gt;=1,"Lift",IF(BF438&lt;=0,"Aussenlager","teilweise")))))</f>
        <v>Aussenlager</v>
      </c>
      <c r="BJ438" s="48" t="str">
        <f aca="false">IF(A438="","",IF(BS438=1,"Neu; ","")&amp;IF(AND(BS438=0,BN438&lt;0),"negativer Bestand (Export "&amp;BN438&amp;"); ","")&amp;IF(J438&lt;=0,"Kein Verbrauch; ","")&amp;IF(CL438&gt;0,"Lift "&amp;W438&amp;" lt. Liftbericht (Fach "&amp;X438&amp;" Stk); ",IF(BX438=1,"Gebinde geschätzt ("&amp;T438&amp;"); ",IF(BW438=1,"Lose – Tablare geschätzt; ","")))&amp;IF(H438&gt;AT438,"Überbestand "&amp;ROUND(H438-AT438,0)&amp;" Stk / CHF "&amp;ROUND((H438-AT438)*G438,0)&amp;"; ","")&amp;IF(AND(CE438=1,CF438&lt;CG438),"MAX &lt; MB+LG; ","")&amp;IF(AND(CK438&gt;0,CJ438*10&gt;CK438),"zu hoch für Tablar; ","")&amp;IF(AND(BS438=0,OR(CE438=1,AA438&lt;&gt;"",U438&lt;&gt;"",V438&lt;&gt;"",AB438&lt;&gt;"")),"manuell übersteuert; ","")&amp;IF(AND(BW438=0,R438=0),"Gebinde unbekannt / Stellmass fehlt; ","")&amp;IF(AND(BW438=0,N(V438)&lt;=0,N(Q438)&lt;=0),"Menge pro Gebinde fehlt (Ist = 1 Gebinde); ","")&amp;BR438)</f>
        <v>Kein Verbrauch; Überbestand 1 Stk / CHF 19; </v>
      </c>
      <c r="BK438" s="48"/>
      <c r="BL438" s="48"/>
      <c r="BM438" s="55"/>
      <c r="BN438" s="50" t="n">
        <v>4</v>
      </c>
      <c r="BO438" s="50" t="n">
        <v>6</v>
      </c>
      <c r="BP438" s="49" t="n">
        <v>76.28</v>
      </c>
      <c r="BQ438" s="50" t="n">
        <v>0</v>
      </c>
      <c r="BR438" s="48"/>
      <c r="BS438" s="53" t="n">
        <v>0</v>
      </c>
      <c r="BT438" s="53" t="n">
        <v>438</v>
      </c>
      <c r="BU438" s="48" t="str">
        <f aca="false">IF(U438&lt;&gt;"",UPPER(TRIM(U438)),IF(BX438=1,UPPER(VLOOKUP(T438,Parameter!$I$27:$K$29,2,0)),IF(P438="","LOSE",P438)))</f>
        <v>S33</v>
      </c>
      <c r="BV438" s="50" t="n">
        <f aca="false">IF(BU438="LOSE",1,IF(N(V438)&gt;0,V438,IF(BX438=1,MAX(1,N(VLOOKUP(T438,Parameter!$I$27:$K$29,3,0)),H438,N(N438)),IF(N(Q438)&gt;0,Q438,MAX(1,H438)))))</f>
        <v>9</v>
      </c>
      <c r="BW438" s="53" t="n">
        <f aca="false">IF(BU438="LOSE",1,0)</f>
        <v>0</v>
      </c>
      <c r="BX438" s="53" t="n">
        <f aca="false">IF(AND(U438="",OR(P438="",P438="LOSE"),T438&lt;&gt;"",N(S438)&lt;=0,ISNUMBER(MATCH(T438,Parameter!$I$27:$I$29,0))),1,0)</f>
        <v>0</v>
      </c>
      <c r="BY438" s="53" t="n">
        <f aca="false">IF(CL438&gt;0,INDEX(Parameter!$H$5:$H$7,W438)/INDEX(Parameter!$E$5:$E$7,W438),IF(AND(BW438=0,N(IFERROR(VLOOKUP(BU438,'Gebinde-Kategorie'!$A$5:$N$45,14,0),0))&gt;0),VLOOKUP(BU438,'Gebinde-Kategorie'!$A$5:$N$45,14,0)*10+Parameter!$M$23,Parameter!$M$24))</f>
        <v>155</v>
      </c>
      <c r="BZ438" s="48" t="str">
        <f aca="false">IF(AND(Parameter!$B$19="Ja",E438&lt;&gt;"",ISNUMBER(MATCH(E438,Parameter!$I$35:$I$52,0))),VLOOKUP(E438,Parameter!$I$35:$J$52,2,0),IFERROR(VLOOKUP(D438,Parameter!$A$35:$C$64,2,0),"Nein"))</f>
        <v>2+3</v>
      </c>
      <c r="CA438" s="52" t="n">
        <f aca="false">IF(BW438=0,0,IF(N(S438)&gt;0,S438,IFERROR(VLOOKUP(D438,Parameter!$A$35:$C$64,3,0)+0,0)))</f>
        <v>0</v>
      </c>
      <c r="CB438" s="48" t="n">
        <f aca="false">IF(AA438&lt;&gt;"",AA438,Z438)</f>
        <v>3</v>
      </c>
      <c r="CC438" s="48" t="str">
        <f aca="false">IF(OR(CB438=1,CB438=2,CB438=3),IF(Parameter!$E$27="Ja","LIFT",IF(CB438=1,"L1","L23")),IF(CB438="Aussen","Aussen","-"))</f>
        <v>LIFT</v>
      </c>
      <c r="CD438" s="59" t="n">
        <f aca="false">IF(N(AB438)&gt;0,AB438,0)</f>
        <v>0</v>
      </c>
      <c r="CE438" s="53" t="n">
        <f aca="false">IF(ISNUMBER(AE438),1,0)</f>
        <v>0</v>
      </c>
      <c r="CF438" s="50" t="n">
        <f aca="false">N(AE438)</f>
        <v>0</v>
      </c>
      <c r="CG438" s="50" t="n">
        <f aca="false">N(M438)+N(N438)</f>
        <v>1</v>
      </c>
      <c r="CH438" s="50" t="n">
        <f aca="false">ROUNDUP(H438/BV438,0)</f>
        <v>2</v>
      </c>
      <c r="CI438" s="50" t="n">
        <f aca="false">ROUNDUP(CF438/BV438,0)</f>
        <v>0</v>
      </c>
      <c r="CJ438" s="53" t="n">
        <f aca="false">IF(BW438=1,0,IFERROR(VLOOKUP(BU438,'Gebinde-Kategorie'!$A$5:$N$45,5,0)+0,0))</f>
        <v>8</v>
      </c>
      <c r="CK438" s="53" t="n">
        <f aca="false">IFERROR(IF(OR(CB438=1,CB438=2,CB438=3),N(INDEX(Parameter!$I$5:$I$7,CB438)),0),0)</f>
        <v>0</v>
      </c>
      <c r="CL438" s="52" t="n">
        <f aca="false">IF(AND(Parameter!$B$21="Ja",ISNUMBER(W438),N(X438)&gt;0),IFERROR(N(INDEX(Parameter!$L$5:$L$7,W438))*INDEX(Parameter!$E$5:$E$7,W438)*X438/SUMIFS($X$7:$X$1843,$W$7:$W$1843,W438),0),0)</f>
        <v>0</v>
      </c>
    </row>
    <row r="439" customFormat="false" ht="15" hidden="false" customHeight="false" outlineLevel="0" collapsed="false">
      <c r="A439" s="48" t="s">
        <v>1005</v>
      </c>
      <c r="B439" s="48" t="s">
        <v>1006</v>
      </c>
      <c r="C439" s="48" t="s">
        <v>168</v>
      </c>
      <c r="D439" s="48" t="s">
        <v>188</v>
      </c>
      <c r="E439" s="48"/>
      <c r="F439" s="48" t="s">
        <v>222</v>
      </c>
      <c r="G439" s="49" t="n">
        <v>2.99</v>
      </c>
      <c r="H439" s="50" t="n">
        <f aca="false">MAX(0,IF(AND(Parameter!$B$21="Ja",ISNUMBER(Y439)),Y439,IF(Parameter!$B$20="Jahresanfang 2025 + Export",BO439+BN439,BN439)))</f>
        <v>25</v>
      </c>
      <c r="I439" s="50" t="n">
        <f aca="false">H439*G439</f>
        <v>74.75</v>
      </c>
      <c r="J439" s="50" t="n">
        <f aca="false">BQ439*Parameter!$B$18</f>
        <v>0</v>
      </c>
      <c r="K439" s="51" t="n">
        <v>0</v>
      </c>
      <c r="L439" s="52" t="n">
        <v>0</v>
      </c>
      <c r="M439" s="50" t="n">
        <v>0</v>
      </c>
      <c r="N439" s="50" t="n">
        <v>5</v>
      </c>
      <c r="O439" s="53" t="n">
        <v>90</v>
      </c>
      <c r="P439" s="48" t="s">
        <v>172</v>
      </c>
      <c r="Q439" s="50"/>
      <c r="R439" s="53" t="n">
        <f aca="false">IF(BW439=1,0,IFERROR(VLOOKUP(BU439,'Gebinde-Kategorie'!$A$5:$N$45,13,0)+0,0))</f>
        <v>12</v>
      </c>
      <c r="S439" s="54"/>
      <c r="T439" s="55" t="s">
        <v>183</v>
      </c>
      <c r="U439" s="55"/>
      <c r="V439" s="55"/>
      <c r="W439" s="48"/>
      <c r="X439" s="50"/>
      <c r="Y439" s="50"/>
      <c r="Z439" s="48" t="n">
        <f aca="false">IF(A439="","",IF(AND(Parameter!$B$21="Ja",ISNUMBER(W439)),W439,IF(BZ439="2+3",IF(ISNUMBER(SEARCH("grosser Artikel",BR439)),2,IFERROR(VLOOKUP(BU439,Parameter!$F$35:$G$64,2,0),2)),IF(OR(BZ439="Nein",BZ439=""),"-",BZ439))))</f>
        <v>2</v>
      </c>
      <c r="AA439" s="55"/>
      <c r="AB439" s="56"/>
      <c r="AC439" s="50" t="n">
        <f aca="false">AT439</f>
        <v>25</v>
      </c>
      <c r="AD439" s="50" t="n">
        <f aca="false">MAX(AT439,H439)</f>
        <v>25</v>
      </c>
      <c r="AE439" s="57"/>
      <c r="AF439" s="50" t="n">
        <f aca="false">IF(LEFT(Cockpit!$C$5,1)="A",H439,IF(CE439=1,CF439,IF(LEFT(Cockpit!$C$5,1)="B",AK439,MAX(AK439,H439))))</f>
        <v>25</v>
      </c>
      <c r="AG439" s="50" t="n">
        <f aca="false">IF(BW439=1,0,ROUNDUP(AF439/BV439,0))</f>
        <v>1</v>
      </c>
      <c r="AH439" s="52" t="n">
        <f aca="false">IF(CL439&gt;0,CL439*MAX(1,AF439/X439),IF(BW439=1,IF(AF439&lt;=0,0,CA439*MAX(1,IF(H439&gt;0,AF439/H439,1))),IF(R439&gt;0,AG439/R439,0))/MAX(0.1,N(Parameter!$M$21)))</f>
        <v>0.0833333333333333</v>
      </c>
      <c r="AI439" s="50" t="n">
        <f aca="false">AH439*BY439</f>
        <v>12.0833333333333</v>
      </c>
      <c r="AJ439" s="50" t="n">
        <f aca="false">AF439*G439</f>
        <v>74.75</v>
      </c>
      <c r="AK439" s="50" t="n">
        <f aca="false">ROUNDUP(MAX(J439/IF(CD439&gt;0,CD439,MAX(0.1,N(Cockpit!$C$6))),CG439)/BV439,0)*BV439</f>
        <v>25</v>
      </c>
      <c r="AL439" s="51" t="n">
        <f aca="false">IF(AI439&gt;0,J439/AI439,-1)</f>
        <v>0</v>
      </c>
      <c r="AM439" s="51" t="n">
        <f aca="false">IF(AND(OR(CC439="L1",CC439="L23",CC439="LIFT"),AI439&gt;0),SUMIFS($AI$7:$AI$1843,$CC$7:$CC$1843,CC439,$AL$7:$AL$1843,"&gt;"&amp;AL439)+SUMIFS($AI$7:$AI$1843,$CC$7:$CC$1843,CC439,$AL$7:$AL$1843,AL439,$BT$7:$BT$1843,"&lt;="&amp;BT439),"")</f>
        <v>28139.759783531</v>
      </c>
      <c r="AN439" s="58" t="n">
        <f aca="false">IF(AM439="",0,MAX(0,MIN(1,(IF(CC439="L1",Parameter!$H$5,IF(CC439="L23",Parameter!$H$6+Parameter!$H$7,Parameter!$H$5+Parameter!$H$6+Parameter!$H$7))-(AM439-AI439))/AI439)))</f>
        <v>1</v>
      </c>
      <c r="AO439" s="50" t="n">
        <f aca="false">IF(LEFT(Cockpit!$I$5,1)="A",H439,IF(CE439=1,CF439,IF(LEFT(Cockpit!$I$5,1)="B",AT439,MAX(AT439,H439))))</f>
        <v>25</v>
      </c>
      <c r="AP439" s="50" t="n">
        <f aca="false">IF(BW439=1,0,ROUNDUP(AO439/BV439,0))</f>
        <v>1</v>
      </c>
      <c r="AQ439" s="52" t="n">
        <f aca="false">IF(CL439&gt;0,CL439*MAX(1,AO439/X439),IF(BW439=1,IF(AO439&lt;=0,0,CA439*MAX(1,IF(H439&gt;0,AO439/H439,1))),IF(R439&gt;0,AP439/R439,0))/MAX(0.1,N(Parameter!$M$21)))</f>
        <v>0.0833333333333333</v>
      </c>
      <c r="AR439" s="50" t="n">
        <f aca="false">AQ439*BY439</f>
        <v>12.0833333333333</v>
      </c>
      <c r="AS439" s="50" t="n">
        <f aca="false">AO439*G439</f>
        <v>74.75</v>
      </c>
      <c r="AT439" s="50" t="n">
        <f aca="false">ROUNDUP(MAX(J439/IF(CD439&gt;0,CD439,MAX(0.1,N(Cockpit!$I$6))),CG439)/BV439,0)*BV439</f>
        <v>25</v>
      </c>
      <c r="AU439" s="51" t="n">
        <f aca="false">IF(AR439&gt;0,J439/AR439,-1)</f>
        <v>0</v>
      </c>
      <c r="AV439" s="51" t="n">
        <f aca="false">IF(AND(OR(CC439="L1",CC439="L23",CC439="LIFT"),AR439&gt;0),SUMIFS($AR$7:$AR$1843,$CC$7:$CC$1843,CC439,$AU$7:$AU$1843,"&gt;"&amp;AU439)+SUMIFS($AR$7:$AR$1843,$CC$7:$CC$1843,CC439,$AU$7:$AU$1843,AU439,$BT$7:$BT$1843,"&lt;="&amp;BT439),"")</f>
        <v>39452.6653008009</v>
      </c>
      <c r="AW439" s="58" t="n">
        <f aca="false">IF(AV439="",0,MAX(0,MIN(1,(IF(CC439="L1",Parameter!$H$5,IF(CC439="L23",Parameter!$H$6+Parameter!$H$7,Parameter!$H$5+Parameter!$H$6+Parameter!$H$7))-(AV439-AR439))/AR439)))</f>
        <v>0</v>
      </c>
      <c r="AX439" s="50" t="n">
        <f aca="false">IF(LEFT(Cockpit!$O$5,1)="A",H439,IF(CE439=1,CF439,IF(LEFT(Cockpit!$O$5,1)="B",BC439,MAX(BC439,H439))))</f>
        <v>25</v>
      </c>
      <c r="AY439" s="50" t="n">
        <f aca="false">IF(BW439=1,0,ROUNDUP(AX439/BV439,0))</f>
        <v>1</v>
      </c>
      <c r="AZ439" s="52" t="n">
        <f aca="false">IF(CL439&gt;0,CL439*MAX(1,AX439/X439),IF(BW439=1,IF(AX439&lt;=0,0,CA439*MAX(1,IF(H439&gt;0,AX439/H439,1))),IF(R439&gt;0,AY439/R439,0))/MAX(0.1,N(Parameter!$M$21)))</f>
        <v>0.0833333333333333</v>
      </c>
      <c r="BA439" s="50" t="n">
        <f aca="false">AZ439*BY439</f>
        <v>12.0833333333333</v>
      </c>
      <c r="BB439" s="50" t="n">
        <f aca="false">AX439*G439</f>
        <v>74.75</v>
      </c>
      <c r="BC439" s="50" t="n">
        <f aca="false">ROUNDUP(MAX(J439/IF(CD439&gt;0,CD439,MAX(0.1,N(Cockpit!$O$6))),CG439)/BV439,0)*BV439</f>
        <v>25</v>
      </c>
      <c r="BD439" s="51" t="n">
        <f aca="false">IF(BA439&gt;0,J439/BA439,-1)</f>
        <v>0</v>
      </c>
      <c r="BE439" s="51" t="n">
        <f aca="false">IF(AND(OR(CC439="L1",CC439="L23",CC439="LIFT"),BA439&gt;0),SUMIFS($BA$7:$BA$1843,$CC$7:$CC$1843,CC439,$BD$7:$BD$1843,"&gt;"&amp;BD439)+SUMIFS($BA$7:$BA$1843,$CC$7:$CC$1843,CC439,$BD$7:$BD$1843,BD439,$BT$7:$BT$1843,"&lt;="&amp;BT439),"")</f>
        <v>36127.6773426668</v>
      </c>
      <c r="BF439" s="58" t="n">
        <f aca="false">IF(BE439="",0,MAX(0,MIN(1,(IF(CC439="L1",Parameter!$H$5,IF(CC439="L23",Parameter!$H$6+Parameter!$H$7,Parameter!$H$5+Parameter!$H$6+Parameter!$H$7))-(BE439-BA439))/BA439)))</f>
        <v>0</v>
      </c>
      <c r="BG439" s="48" t="str">
        <f aca="false">IF(AI439&lt;=0,"",IF(CC439="Aussen","Aussenlager",IF(CC439="-","Nicht im Lift",IF(AN439&gt;=1,"Lift",IF(AN439&lt;=0,"Aussenlager","teilweise")))))</f>
        <v>Lift</v>
      </c>
      <c r="BH439" s="48" t="str">
        <f aca="false">IF(AR439&lt;=0,"",IF(CC439="Aussen","Aussenlager",IF(CC439="-","Nicht im Lift",IF(AW439&gt;=1,"Lift",IF(AW439&lt;=0,"Aussenlager","teilweise")))))</f>
        <v>Aussenlager</v>
      </c>
      <c r="BI439" s="48" t="str">
        <f aca="false">IF(BA439&lt;=0,"",IF(CC439="Aussen","Aussenlager",IF(CC439="-","Nicht im Lift",IF(BF439&gt;=1,"Lift",IF(BF439&lt;=0,"Aussenlager","teilweise")))))</f>
        <v>Aussenlager</v>
      </c>
      <c r="BJ439" s="48" t="str">
        <f aca="false">IF(A439="","",IF(BS439=1,"Neu; ","")&amp;IF(AND(BS439=0,BN439&lt;0),"negativer Bestand (Export "&amp;BN439&amp;"); ","")&amp;IF(J439&lt;=0,"Kein Verbrauch; ","")&amp;IF(CL439&gt;0,"Lift "&amp;W439&amp;" lt. Liftbericht (Fach "&amp;X439&amp;" Stk); ",IF(BX439=1,"Gebinde geschätzt ("&amp;T439&amp;"); ",IF(BW439=1,"Lose – Tablare geschätzt; ","")))&amp;IF(H439&gt;AT439,"Überbestand "&amp;ROUND(H439-AT439,0)&amp;" Stk / CHF "&amp;ROUND((H439-AT439)*G439,0)&amp;"; ","")&amp;IF(AND(CE439=1,CF439&lt;CG439),"MAX &lt; MB+LG; ","")&amp;IF(AND(CK439&gt;0,CJ439*10&gt;CK439),"zu hoch für Tablar; ","")&amp;IF(AND(BS439=0,OR(CE439=1,AA439&lt;&gt;"",U439&lt;&gt;"",V439&lt;&gt;"",AB439&lt;&gt;"")),"manuell übersteuert; ","")&amp;IF(AND(BW439=0,R439=0),"Gebinde unbekannt / Stellmass fehlt; ","")&amp;IF(AND(BW439=0,N(V439)&lt;=0,N(Q439)&lt;=0),"Menge pro Gebinde fehlt (Ist = 1 Gebinde); ","")&amp;BR439)</f>
        <v>Kein Verbrauch; Gebinde geschätzt (Mittel); Menge pro Gebinde fehlt (Ist = 1 Gebinde); </v>
      </c>
      <c r="BK439" s="48"/>
      <c r="BL439" s="48"/>
      <c r="BM439" s="55"/>
      <c r="BN439" s="50" t="n">
        <v>25</v>
      </c>
      <c r="BO439" s="50" t="n">
        <v>0</v>
      </c>
      <c r="BP439" s="49" t="n">
        <v>74.75</v>
      </c>
      <c r="BQ439" s="50" t="n">
        <v>0</v>
      </c>
      <c r="BR439" s="48"/>
      <c r="BS439" s="53" t="n">
        <v>0</v>
      </c>
      <c r="BT439" s="53" t="n">
        <v>439</v>
      </c>
      <c r="BU439" s="48" t="str">
        <f aca="false">IF(U439&lt;&gt;"",UPPER(TRIM(U439)),IF(BX439=1,UPPER(VLOOKUP(T439,Parameter!$I$27:$K$29,2,0)),IF(P439="","LOSE",P439)))</f>
        <v>S61</v>
      </c>
      <c r="BV439" s="50" t="n">
        <f aca="false">IF(BU439="LOSE",1,IF(N(V439)&gt;0,V439,IF(BX439=1,MAX(1,N(VLOOKUP(T439,Parameter!$I$27:$K$29,3,0)),H439,N(N439)),IF(N(Q439)&gt;0,Q439,MAX(1,H439)))))</f>
        <v>25</v>
      </c>
      <c r="BW439" s="53" t="n">
        <f aca="false">IF(BU439="LOSE",1,0)</f>
        <v>0</v>
      </c>
      <c r="BX439" s="53" t="n">
        <f aca="false">IF(AND(U439="",OR(P439="",P439="LOSE"),T439&lt;&gt;"",N(S439)&lt;=0,ISNUMBER(MATCH(T439,Parameter!$I$27:$I$29,0))),1,0)</f>
        <v>1</v>
      </c>
      <c r="BY439" s="53" t="n">
        <f aca="false">IF(CL439&gt;0,INDEX(Parameter!$H$5:$H$7,W439)/INDEX(Parameter!$E$5:$E$7,W439),IF(AND(BW439=0,N(IFERROR(VLOOKUP(BU439,'Gebinde-Kategorie'!$A$5:$N$45,14,0),0))&gt;0),VLOOKUP(BU439,'Gebinde-Kategorie'!$A$5:$N$45,14,0)*10+Parameter!$M$23,Parameter!$M$24))</f>
        <v>145</v>
      </c>
      <c r="BZ439" s="48" t="str">
        <f aca="false">IF(AND(Parameter!$B$19="Ja",E439&lt;&gt;"",ISNUMBER(MATCH(E439,Parameter!$I$35:$I$52,0))),VLOOKUP(E439,Parameter!$I$35:$J$52,2,0),IFERROR(VLOOKUP(D439,Parameter!$A$35:$C$64,2,0),"Nein"))</f>
        <v>2+3</v>
      </c>
      <c r="CA439" s="52" t="n">
        <f aca="false">IF(BW439=0,0,IF(N(S439)&gt;0,S439,IFERROR(VLOOKUP(D439,Parameter!$A$35:$C$64,3,0)+0,0)))</f>
        <v>0</v>
      </c>
      <c r="CB439" s="48" t="n">
        <f aca="false">IF(AA439&lt;&gt;"",AA439,Z439)</f>
        <v>2</v>
      </c>
      <c r="CC439" s="48" t="str">
        <f aca="false">IF(OR(CB439=1,CB439=2,CB439=3),IF(Parameter!$E$27="Ja","LIFT",IF(CB439=1,"L1","L23")),IF(CB439="Aussen","Aussen","-"))</f>
        <v>LIFT</v>
      </c>
      <c r="CD439" s="59" t="n">
        <f aca="false">IF(N(AB439)&gt;0,AB439,0)</f>
        <v>0</v>
      </c>
      <c r="CE439" s="53" t="n">
        <f aca="false">IF(ISNUMBER(AE439),1,0)</f>
        <v>0</v>
      </c>
      <c r="CF439" s="50" t="n">
        <f aca="false">N(AE439)</f>
        <v>0</v>
      </c>
      <c r="CG439" s="50" t="n">
        <f aca="false">N(M439)+N(N439)</f>
        <v>5</v>
      </c>
      <c r="CH439" s="50" t="n">
        <f aca="false">ROUNDUP(H439/BV439,0)</f>
        <v>1</v>
      </c>
      <c r="CI439" s="50" t="n">
        <f aca="false">ROUNDUP(CF439/BV439,0)</f>
        <v>0</v>
      </c>
      <c r="CJ439" s="53" t="n">
        <f aca="false">IF(BW439=1,0,IFERROR(VLOOKUP(BU439,'Gebinde-Kategorie'!$A$5:$N$45,5,0)+0,0))</f>
        <v>11</v>
      </c>
      <c r="CK439" s="53" t="n">
        <f aca="false">IFERROR(IF(OR(CB439=1,CB439=2,CB439=3),N(INDEX(Parameter!$I$5:$I$7,CB439)),0),0)</f>
        <v>0</v>
      </c>
      <c r="CL439" s="52" t="n">
        <f aca="false">IF(AND(Parameter!$B$21="Ja",ISNUMBER(W439),N(X439)&gt;0),IFERROR(N(INDEX(Parameter!$L$5:$L$7,W439))*INDEX(Parameter!$E$5:$E$7,W439)*X439/SUMIFS($X$7:$X$1843,$W$7:$W$1843,W439),0),0)</f>
        <v>0</v>
      </c>
    </row>
    <row r="440" customFormat="false" ht="15" hidden="false" customHeight="false" outlineLevel="0" collapsed="false">
      <c r="A440" s="48" t="s">
        <v>1007</v>
      </c>
      <c r="B440" s="48" t="s">
        <v>1008</v>
      </c>
      <c r="C440" s="48" t="s">
        <v>168</v>
      </c>
      <c r="D440" s="48" t="s">
        <v>188</v>
      </c>
      <c r="E440" s="48"/>
      <c r="F440" s="48" t="s">
        <v>222</v>
      </c>
      <c r="G440" s="49" t="n">
        <v>7.88</v>
      </c>
      <c r="H440" s="50" t="n">
        <f aca="false">MAX(0,IF(AND(Parameter!$B$21="Ja",ISNUMBER(Y440)),Y440,IF(Parameter!$B$20="Jahresanfang 2025 + Export",BO440+BN440,BN440)))</f>
        <v>63</v>
      </c>
      <c r="I440" s="50" t="n">
        <f aca="false">H440*G440</f>
        <v>496.44</v>
      </c>
      <c r="J440" s="50" t="n">
        <f aca="false">BQ440*Parameter!$B$18</f>
        <v>1</v>
      </c>
      <c r="K440" s="51" t="n">
        <v>54</v>
      </c>
      <c r="L440" s="52" t="n">
        <v>0.0185185185185185</v>
      </c>
      <c r="M440" s="50" t="n">
        <v>0</v>
      </c>
      <c r="N440" s="50" t="n">
        <v>1</v>
      </c>
      <c r="O440" s="53" t="n">
        <v>70</v>
      </c>
      <c r="P440" s="48" t="s">
        <v>190</v>
      </c>
      <c r="Q440" s="50" t="n">
        <v>55</v>
      </c>
      <c r="R440" s="53" t="n">
        <f aca="false">IF(BW440=1,0,IFERROR(VLOOKUP(BU440,'Gebinde-Kategorie'!$A$5:$N$45,13,0)+0,0))</f>
        <v>12</v>
      </c>
      <c r="S440" s="54"/>
      <c r="T440" s="55"/>
      <c r="U440" s="55"/>
      <c r="V440" s="55"/>
      <c r="W440" s="48"/>
      <c r="X440" s="50"/>
      <c r="Y440" s="50"/>
      <c r="Z440" s="48" t="n">
        <f aca="false">IF(A440="","",IF(AND(Parameter!$B$21="Ja",ISNUMBER(W440)),W440,IF(BZ440="2+3",IF(ISNUMBER(SEARCH("grosser Artikel",BR440)),2,IFERROR(VLOOKUP(BU440,Parameter!$F$35:$G$64,2,0),2)),IF(OR(BZ440="Nein",BZ440=""),"-",BZ440))))</f>
        <v>2</v>
      </c>
      <c r="AA440" s="55"/>
      <c r="AB440" s="56"/>
      <c r="AC440" s="50" t="n">
        <f aca="false">AT440</f>
        <v>55</v>
      </c>
      <c r="AD440" s="50" t="n">
        <f aca="false">MAX(AT440,H440)</f>
        <v>63</v>
      </c>
      <c r="AE440" s="57"/>
      <c r="AF440" s="50" t="n">
        <f aca="false">IF(LEFT(Cockpit!$C$5,1)="A",H440,IF(CE440=1,CF440,IF(LEFT(Cockpit!$C$5,1)="B",AK440,MAX(AK440,H440))))</f>
        <v>63</v>
      </c>
      <c r="AG440" s="50" t="n">
        <f aca="false">IF(BW440=1,0,ROUNDUP(AF440/BV440,0))</f>
        <v>2</v>
      </c>
      <c r="AH440" s="52" t="n">
        <f aca="false">IF(CL440&gt;0,CL440*MAX(1,AF440/X440),IF(BW440=1,IF(AF440&lt;=0,0,CA440*MAX(1,IF(H440&gt;0,AF440/H440,1))),IF(R440&gt;0,AG440/R440,0))/MAX(0.1,N(Parameter!$M$21)))</f>
        <v>0.166666666666667</v>
      </c>
      <c r="AI440" s="50" t="n">
        <f aca="false">AH440*BY440</f>
        <v>24.1666666666667</v>
      </c>
      <c r="AJ440" s="50" t="n">
        <f aca="false">AF440*G440</f>
        <v>496.44</v>
      </c>
      <c r="AK440" s="50" t="n">
        <f aca="false">ROUNDUP(MAX(J440/IF(CD440&gt;0,CD440,MAX(0.1,N(Cockpit!$C$6))),CG440)/BV440,0)*BV440</f>
        <v>55</v>
      </c>
      <c r="AL440" s="51" t="n">
        <f aca="false">IF(AI440&gt;0,J440/AI440,-1)</f>
        <v>0.0413793103448276</v>
      </c>
      <c r="AM440" s="51" t="n">
        <f aca="false">IF(AND(OR(CC440="L1",CC440="L23",CC440="LIFT"),AI440&gt;0),SUMIFS($AI$7:$AI$1843,$CC$7:$CC$1843,CC440,$AL$7:$AL$1843,"&gt;"&amp;AL440)+SUMIFS($AI$7:$AI$1843,$CC$7:$CC$1843,CC440,$AL$7:$AL$1843,AL440,$BT$7:$BT$1843,"&lt;="&amp;BT440),"")</f>
        <v>19673.14075402</v>
      </c>
      <c r="AN440" s="58" t="n">
        <f aca="false">IF(AM440="",0,MAX(0,MIN(1,(IF(CC440="L1",Parameter!$H$5,IF(CC440="L23",Parameter!$H$6+Parameter!$H$7,Parameter!$H$5+Parameter!$H$6+Parameter!$H$7))-(AM440-AI440))/AI440)))</f>
        <v>1</v>
      </c>
      <c r="AO440" s="50" t="n">
        <f aca="false">IF(LEFT(Cockpit!$I$5,1)="A",H440,IF(CE440=1,CF440,IF(LEFT(Cockpit!$I$5,1)="B",AT440,MAX(AT440,H440))))</f>
        <v>63</v>
      </c>
      <c r="AP440" s="50" t="n">
        <f aca="false">IF(BW440=1,0,ROUNDUP(AO440/BV440,0))</f>
        <v>2</v>
      </c>
      <c r="AQ440" s="52" t="n">
        <f aca="false">IF(CL440&gt;0,CL440*MAX(1,AO440/X440),IF(BW440=1,IF(AO440&lt;=0,0,CA440*MAX(1,IF(H440&gt;0,AO440/H440,1))),IF(R440&gt;0,AP440/R440,0))/MAX(0.1,N(Parameter!$M$21)))</f>
        <v>0.166666666666667</v>
      </c>
      <c r="AR440" s="50" t="n">
        <f aca="false">AQ440*BY440</f>
        <v>24.1666666666667</v>
      </c>
      <c r="AS440" s="50" t="n">
        <f aca="false">AO440*G440</f>
        <v>496.44</v>
      </c>
      <c r="AT440" s="50" t="n">
        <f aca="false">ROUNDUP(MAX(J440/IF(CD440&gt;0,CD440,MAX(0.1,N(Cockpit!$I$6))),CG440)/BV440,0)*BV440</f>
        <v>55</v>
      </c>
      <c r="AU440" s="51" t="n">
        <f aca="false">IF(AR440&gt;0,J440/AR440,-1)</f>
        <v>0.0413793103448276</v>
      </c>
      <c r="AV440" s="51" t="n">
        <f aca="false">IF(AND(OR(CC440="L1",CC440="L23",CC440="LIFT"),AR440&gt;0),SUMIFS($AR$7:$AR$1843,$CC$7:$CC$1843,CC440,$AU$7:$AU$1843,"&gt;"&amp;AU440)+SUMIFS($AR$7:$AR$1843,$CC$7:$CC$1843,CC440,$AU$7:$AU$1843,AU440,$BT$7:$BT$1843,"&lt;="&amp;BT440),"")</f>
        <v>30507.948342853</v>
      </c>
      <c r="AW440" s="58" t="n">
        <f aca="false">IF(AV440="",0,MAX(0,MIN(1,(IF(CC440="L1",Parameter!$H$5,IF(CC440="L23",Parameter!$H$6+Parameter!$H$7,Parameter!$H$5+Parameter!$H$6+Parameter!$H$7))-(AV440-AR440))/AR440)))</f>
        <v>1</v>
      </c>
      <c r="AX440" s="50" t="n">
        <f aca="false">IF(LEFT(Cockpit!$O$5,1)="A",H440,IF(CE440=1,CF440,IF(LEFT(Cockpit!$O$5,1)="B",BC440,MAX(BC440,H440))))</f>
        <v>63</v>
      </c>
      <c r="AY440" s="50" t="n">
        <f aca="false">IF(BW440=1,0,ROUNDUP(AX440/BV440,0))</f>
        <v>2</v>
      </c>
      <c r="AZ440" s="52" t="n">
        <f aca="false">IF(CL440&gt;0,CL440*MAX(1,AX440/X440),IF(BW440=1,IF(AX440&lt;=0,0,CA440*MAX(1,IF(H440&gt;0,AX440/H440,1))),IF(R440&gt;0,AY440/R440,0))/MAX(0.1,N(Parameter!$M$21)))</f>
        <v>0.166666666666667</v>
      </c>
      <c r="BA440" s="50" t="n">
        <f aca="false">AZ440*BY440</f>
        <v>24.1666666666667</v>
      </c>
      <c r="BB440" s="50" t="n">
        <f aca="false">AX440*G440</f>
        <v>496.44</v>
      </c>
      <c r="BC440" s="50" t="n">
        <f aca="false">ROUNDUP(MAX(J440/IF(CD440&gt;0,CD440,MAX(0.1,N(Cockpit!$O$6))),CG440)/BV440,0)*BV440</f>
        <v>55</v>
      </c>
      <c r="BD440" s="51" t="n">
        <f aca="false">IF(BA440&gt;0,J440/BA440,-1)</f>
        <v>0.0413793103448276</v>
      </c>
      <c r="BE440" s="51" t="n">
        <f aca="false">IF(AND(OR(CC440="L1",CC440="L23",CC440="LIFT"),BA440&gt;0),SUMIFS($BA$7:$BA$1843,$CC$7:$CC$1843,CC440,$BD$7:$BD$1843,"&gt;"&amp;BD440)+SUMIFS($BA$7:$BA$1843,$CC$7:$CC$1843,CC440,$BD$7:$BD$1843,BD440,$BT$7:$BT$1843,"&lt;="&amp;BT440),"")</f>
        <v>27182.9603847189</v>
      </c>
      <c r="BF440" s="58" t="n">
        <f aca="false">IF(BE440="",0,MAX(0,MIN(1,(IF(CC440="L1",Parameter!$H$5,IF(CC440="L23",Parameter!$H$6+Parameter!$H$7,Parameter!$H$5+Parameter!$H$6+Parameter!$H$7))-(BE440-BA440))/BA440)))</f>
        <v>1</v>
      </c>
      <c r="BG440" s="48" t="str">
        <f aca="false">IF(AI440&lt;=0,"",IF(CC440="Aussen","Aussenlager",IF(CC440="-","Nicht im Lift",IF(AN440&gt;=1,"Lift",IF(AN440&lt;=0,"Aussenlager","teilweise")))))</f>
        <v>Lift</v>
      </c>
      <c r="BH440" s="48" t="str">
        <f aca="false">IF(AR440&lt;=0,"",IF(CC440="Aussen","Aussenlager",IF(CC440="-","Nicht im Lift",IF(AW440&gt;=1,"Lift",IF(AW440&lt;=0,"Aussenlager","teilweise")))))</f>
        <v>Lift</v>
      </c>
      <c r="BI440" s="48" t="str">
        <f aca="false">IF(BA440&lt;=0,"",IF(CC440="Aussen","Aussenlager",IF(CC440="-","Nicht im Lift",IF(BF440&gt;=1,"Lift",IF(BF440&lt;=0,"Aussenlager","teilweise")))))</f>
        <v>Lift</v>
      </c>
      <c r="BJ440" s="48" t="str">
        <f aca="false">IF(A440="","",IF(BS440=1,"Neu; ","")&amp;IF(AND(BS440=0,BN440&lt;0),"negativer Bestand (Export "&amp;BN440&amp;"); ","")&amp;IF(J440&lt;=0,"Kein Verbrauch; ","")&amp;IF(CL440&gt;0,"Lift "&amp;W440&amp;" lt. Liftbericht (Fach "&amp;X440&amp;" Stk); ",IF(BX440=1,"Gebinde geschätzt ("&amp;T440&amp;"); ",IF(BW440=1,"Lose – Tablare geschätzt; ","")))&amp;IF(H440&gt;AT440,"Überbestand "&amp;ROUND(H440-AT440,0)&amp;" Stk / CHF "&amp;ROUND((H440-AT440)*G440,0)&amp;"; ","")&amp;IF(AND(CE440=1,CF440&lt;CG440),"MAX &lt; MB+LG; ","")&amp;IF(AND(CK440&gt;0,CJ440*10&gt;CK440),"zu hoch für Tablar; ","")&amp;IF(AND(BS440=0,OR(CE440=1,AA440&lt;&gt;"",U440&lt;&gt;"",V440&lt;&gt;"",AB440&lt;&gt;"")),"manuell übersteuert; ","")&amp;IF(AND(BW440=0,R440=0),"Gebinde unbekannt / Stellmass fehlt; ","")&amp;IF(AND(BW440=0,N(V440)&lt;=0,N(Q440)&lt;=0),"Menge pro Gebinde fehlt (Ist = 1 Gebinde); ","")&amp;BR440)</f>
        <v>Überbestand 8 Stk / CHF 63; i.o</v>
      </c>
      <c r="BK440" s="48"/>
      <c r="BL440" s="48"/>
      <c r="BM440" s="55"/>
      <c r="BN440" s="50" t="n">
        <v>8</v>
      </c>
      <c r="BO440" s="50" t="n">
        <v>55</v>
      </c>
      <c r="BP440" s="49" t="n">
        <v>74.66</v>
      </c>
      <c r="BQ440" s="50" t="n">
        <v>1</v>
      </c>
      <c r="BR440" s="48" t="s">
        <v>540</v>
      </c>
      <c r="BS440" s="53" t="n">
        <v>0</v>
      </c>
      <c r="BT440" s="53" t="n">
        <v>440</v>
      </c>
      <c r="BU440" s="48" t="str">
        <f aca="false">IF(U440&lt;&gt;"",UPPER(TRIM(U440)),IF(BX440=1,UPPER(VLOOKUP(T440,Parameter!$I$27:$K$29,2,0)),IF(P440="","LOSE",P440)))</f>
        <v>S61</v>
      </c>
      <c r="BV440" s="50" t="n">
        <f aca="false">IF(BU440="LOSE",1,IF(N(V440)&gt;0,V440,IF(BX440=1,MAX(1,N(VLOOKUP(T440,Parameter!$I$27:$K$29,3,0)),H440,N(N440)),IF(N(Q440)&gt;0,Q440,MAX(1,H440)))))</f>
        <v>55</v>
      </c>
      <c r="BW440" s="53" t="n">
        <f aca="false">IF(BU440="LOSE",1,0)</f>
        <v>0</v>
      </c>
      <c r="BX440" s="53" t="n">
        <f aca="false">IF(AND(U440="",OR(P440="",P440="LOSE"),T440&lt;&gt;"",N(S440)&lt;=0,ISNUMBER(MATCH(T440,Parameter!$I$27:$I$29,0))),1,0)</f>
        <v>0</v>
      </c>
      <c r="BY440" s="53" t="n">
        <f aca="false">IF(CL440&gt;0,INDEX(Parameter!$H$5:$H$7,W440)/INDEX(Parameter!$E$5:$E$7,W440),IF(AND(BW440=0,N(IFERROR(VLOOKUP(BU440,'Gebinde-Kategorie'!$A$5:$N$45,14,0),0))&gt;0),VLOOKUP(BU440,'Gebinde-Kategorie'!$A$5:$N$45,14,0)*10+Parameter!$M$23,Parameter!$M$24))</f>
        <v>145</v>
      </c>
      <c r="BZ440" s="48" t="str">
        <f aca="false">IF(AND(Parameter!$B$19="Ja",E440&lt;&gt;"",ISNUMBER(MATCH(E440,Parameter!$I$35:$I$52,0))),VLOOKUP(E440,Parameter!$I$35:$J$52,2,0),IFERROR(VLOOKUP(D440,Parameter!$A$35:$C$64,2,0),"Nein"))</f>
        <v>2+3</v>
      </c>
      <c r="CA440" s="52" t="n">
        <f aca="false">IF(BW440=0,0,IF(N(S440)&gt;0,S440,IFERROR(VLOOKUP(D440,Parameter!$A$35:$C$64,3,0)+0,0)))</f>
        <v>0</v>
      </c>
      <c r="CB440" s="48" t="n">
        <f aca="false">IF(AA440&lt;&gt;"",AA440,Z440)</f>
        <v>2</v>
      </c>
      <c r="CC440" s="48" t="str">
        <f aca="false">IF(OR(CB440=1,CB440=2,CB440=3),IF(Parameter!$E$27="Ja","LIFT",IF(CB440=1,"L1","L23")),IF(CB440="Aussen","Aussen","-"))</f>
        <v>LIFT</v>
      </c>
      <c r="CD440" s="59" t="n">
        <f aca="false">IF(N(AB440)&gt;0,AB440,0)</f>
        <v>0</v>
      </c>
      <c r="CE440" s="53" t="n">
        <f aca="false">IF(ISNUMBER(AE440),1,0)</f>
        <v>0</v>
      </c>
      <c r="CF440" s="50" t="n">
        <f aca="false">N(AE440)</f>
        <v>0</v>
      </c>
      <c r="CG440" s="50" t="n">
        <f aca="false">N(M440)+N(N440)</f>
        <v>1</v>
      </c>
      <c r="CH440" s="50" t="n">
        <f aca="false">ROUNDUP(H440/BV440,0)</f>
        <v>2</v>
      </c>
      <c r="CI440" s="50" t="n">
        <f aca="false">ROUNDUP(CF440/BV440,0)</f>
        <v>0</v>
      </c>
      <c r="CJ440" s="53" t="n">
        <f aca="false">IF(BW440=1,0,IFERROR(VLOOKUP(BU440,'Gebinde-Kategorie'!$A$5:$N$45,5,0)+0,0))</f>
        <v>11</v>
      </c>
      <c r="CK440" s="53" t="n">
        <f aca="false">IFERROR(IF(OR(CB440=1,CB440=2,CB440=3),N(INDEX(Parameter!$I$5:$I$7,CB440)),0),0)</f>
        <v>0</v>
      </c>
      <c r="CL440" s="52" t="n">
        <f aca="false">IF(AND(Parameter!$B$21="Ja",ISNUMBER(W440),N(X440)&gt;0),IFERROR(N(INDEX(Parameter!$L$5:$L$7,W440))*INDEX(Parameter!$E$5:$E$7,W440)*X440/SUMIFS($X$7:$X$1843,$W$7:$W$1843,W440),0),0)</f>
        <v>0</v>
      </c>
    </row>
    <row r="441" customFormat="false" ht="15" hidden="false" customHeight="false" outlineLevel="0" collapsed="false">
      <c r="A441" s="48" t="s">
        <v>1009</v>
      </c>
      <c r="B441" s="48" t="s">
        <v>1010</v>
      </c>
      <c r="C441" s="48" t="s">
        <v>168</v>
      </c>
      <c r="D441" s="48" t="s">
        <v>188</v>
      </c>
      <c r="E441" s="48"/>
      <c r="F441" s="48" t="s">
        <v>222</v>
      </c>
      <c r="G441" s="49" t="n">
        <v>73.69</v>
      </c>
      <c r="H441" s="50" t="n">
        <f aca="false">MAX(0,IF(AND(Parameter!$B$21="Ja",ISNUMBER(Y441)),Y441,IF(Parameter!$B$20="Jahresanfang 2025 + Export",BO441+BN441,BN441)))</f>
        <v>6</v>
      </c>
      <c r="I441" s="50" t="n">
        <f aca="false">H441*G441</f>
        <v>442.14</v>
      </c>
      <c r="J441" s="50" t="n">
        <f aca="false">BQ441*Parameter!$B$18</f>
        <v>0</v>
      </c>
      <c r="K441" s="51" t="n">
        <v>5.5</v>
      </c>
      <c r="L441" s="52" t="n">
        <v>0</v>
      </c>
      <c r="M441" s="50" t="n">
        <v>0</v>
      </c>
      <c r="N441" s="50" t="n">
        <v>1</v>
      </c>
      <c r="O441" s="53" t="n">
        <v>14</v>
      </c>
      <c r="P441" s="48" t="s">
        <v>430</v>
      </c>
      <c r="Q441" s="50" t="n">
        <v>2</v>
      </c>
      <c r="R441" s="53" t="n">
        <f aca="false">IF(BW441=1,0,IFERROR(VLOOKUP(BU441,'Gebinde-Kategorie'!$A$5:$N$45,13,0)+0,0))</f>
        <v>140</v>
      </c>
      <c r="S441" s="54"/>
      <c r="T441" s="55"/>
      <c r="U441" s="55"/>
      <c r="V441" s="55"/>
      <c r="W441" s="48"/>
      <c r="X441" s="50"/>
      <c r="Y441" s="50"/>
      <c r="Z441" s="48" t="n">
        <f aca="false">IF(A441="","",IF(AND(Parameter!$B$21="Ja",ISNUMBER(W441)),W441,IF(BZ441="2+3",IF(ISNUMBER(SEARCH("grosser Artikel",BR441)),2,IFERROR(VLOOKUP(BU441,Parameter!$F$35:$G$64,2,0),2)),IF(OR(BZ441="Nein",BZ441=""),"-",BZ441))))</f>
        <v>3</v>
      </c>
      <c r="AA441" s="55"/>
      <c r="AB441" s="56"/>
      <c r="AC441" s="50" t="n">
        <f aca="false">AT441</f>
        <v>2</v>
      </c>
      <c r="AD441" s="50" t="n">
        <f aca="false">MAX(AT441,H441)</f>
        <v>6</v>
      </c>
      <c r="AE441" s="57"/>
      <c r="AF441" s="50" t="n">
        <f aca="false">IF(LEFT(Cockpit!$C$5,1)="A",H441,IF(CE441=1,CF441,IF(LEFT(Cockpit!$C$5,1)="B",AK441,MAX(AK441,H441))))</f>
        <v>6</v>
      </c>
      <c r="AG441" s="50" t="n">
        <f aca="false">IF(BW441=1,0,ROUNDUP(AF441/BV441,0))</f>
        <v>3</v>
      </c>
      <c r="AH441" s="52" t="n">
        <f aca="false">IF(CL441&gt;0,CL441*MAX(1,AF441/X441),IF(BW441=1,IF(AF441&lt;=0,0,CA441*MAX(1,IF(H441&gt;0,AF441/H441,1))),IF(R441&gt;0,AG441/R441,0))/MAX(0.1,N(Parameter!$M$21)))</f>
        <v>0.0214285714285714</v>
      </c>
      <c r="AI441" s="50" t="n">
        <f aca="false">AH441*BY441</f>
        <v>3.32142857142857</v>
      </c>
      <c r="AJ441" s="50" t="n">
        <f aca="false">AF441*G441</f>
        <v>442.14</v>
      </c>
      <c r="AK441" s="50" t="n">
        <f aca="false">ROUNDUP(MAX(J441/IF(CD441&gt;0,CD441,MAX(0.1,N(Cockpit!$C$6))),CG441)/BV441,0)*BV441</f>
        <v>2</v>
      </c>
      <c r="AL441" s="51" t="n">
        <f aca="false">IF(AI441&gt;0,J441/AI441,-1)</f>
        <v>0</v>
      </c>
      <c r="AM441" s="51" t="n">
        <f aca="false">IF(AND(OR(CC441="L1",CC441="L23",CC441="LIFT"),AI441&gt;0),SUMIFS($AI$7:$AI$1843,$CC$7:$CC$1843,CC441,$AL$7:$AL$1843,"&gt;"&amp;AL441)+SUMIFS($AI$7:$AI$1843,$CC$7:$CC$1843,CC441,$AL$7:$AL$1843,AL441,$BT$7:$BT$1843,"&lt;="&amp;BT441),"")</f>
        <v>28143.0812121024</v>
      </c>
      <c r="AN441" s="58" t="n">
        <f aca="false">IF(AM441="",0,MAX(0,MIN(1,(IF(CC441="L1",Parameter!$H$5,IF(CC441="L23",Parameter!$H$6+Parameter!$H$7,Parameter!$H$5+Parameter!$H$6+Parameter!$H$7))-(AM441-AI441))/AI441)))</f>
        <v>1</v>
      </c>
      <c r="AO441" s="50" t="n">
        <f aca="false">IF(LEFT(Cockpit!$I$5,1)="A",H441,IF(CE441=1,CF441,IF(LEFT(Cockpit!$I$5,1)="B",AT441,MAX(AT441,H441))))</f>
        <v>6</v>
      </c>
      <c r="AP441" s="50" t="n">
        <f aca="false">IF(BW441=1,0,ROUNDUP(AO441/BV441,0))</f>
        <v>3</v>
      </c>
      <c r="AQ441" s="52" t="n">
        <f aca="false">IF(CL441&gt;0,CL441*MAX(1,AO441/X441),IF(BW441=1,IF(AO441&lt;=0,0,CA441*MAX(1,IF(H441&gt;0,AO441/H441,1))),IF(R441&gt;0,AP441/R441,0))/MAX(0.1,N(Parameter!$M$21)))</f>
        <v>0.0214285714285714</v>
      </c>
      <c r="AR441" s="50" t="n">
        <f aca="false">AQ441*BY441</f>
        <v>3.32142857142857</v>
      </c>
      <c r="AS441" s="50" t="n">
        <f aca="false">AO441*G441</f>
        <v>442.14</v>
      </c>
      <c r="AT441" s="50" t="n">
        <f aca="false">ROUNDUP(MAX(J441/IF(CD441&gt;0,CD441,MAX(0.1,N(Cockpit!$I$6))),CG441)/BV441,0)*BV441</f>
        <v>2</v>
      </c>
      <c r="AU441" s="51" t="n">
        <f aca="false">IF(AR441&gt;0,J441/AR441,-1)</f>
        <v>0</v>
      </c>
      <c r="AV441" s="51" t="n">
        <f aca="false">IF(AND(OR(CC441="L1",CC441="L23",CC441="LIFT"),AR441&gt;0),SUMIFS($AR$7:$AR$1843,$CC$7:$CC$1843,CC441,$AU$7:$AU$1843,"&gt;"&amp;AU441)+SUMIFS($AR$7:$AR$1843,$CC$7:$CC$1843,CC441,$AU$7:$AU$1843,AU441,$BT$7:$BT$1843,"&lt;="&amp;BT441),"")</f>
        <v>39455.9867293723</v>
      </c>
      <c r="AW441" s="58" t="n">
        <f aca="false">IF(AV441="",0,MAX(0,MIN(1,(IF(CC441="L1",Parameter!$H$5,IF(CC441="L23",Parameter!$H$6+Parameter!$H$7,Parameter!$H$5+Parameter!$H$6+Parameter!$H$7))-(AV441-AR441))/AR441)))</f>
        <v>0</v>
      </c>
      <c r="AX441" s="50" t="n">
        <f aca="false">IF(LEFT(Cockpit!$O$5,1)="A",H441,IF(CE441=1,CF441,IF(LEFT(Cockpit!$O$5,1)="B",BC441,MAX(BC441,H441))))</f>
        <v>6</v>
      </c>
      <c r="AY441" s="50" t="n">
        <f aca="false">IF(BW441=1,0,ROUNDUP(AX441/BV441,0))</f>
        <v>3</v>
      </c>
      <c r="AZ441" s="52" t="n">
        <f aca="false">IF(CL441&gt;0,CL441*MAX(1,AX441/X441),IF(BW441=1,IF(AX441&lt;=0,0,CA441*MAX(1,IF(H441&gt;0,AX441/H441,1))),IF(R441&gt;0,AY441/R441,0))/MAX(0.1,N(Parameter!$M$21)))</f>
        <v>0.0214285714285714</v>
      </c>
      <c r="BA441" s="50" t="n">
        <f aca="false">AZ441*BY441</f>
        <v>3.32142857142857</v>
      </c>
      <c r="BB441" s="50" t="n">
        <f aca="false">AX441*G441</f>
        <v>442.14</v>
      </c>
      <c r="BC441" s="50" t="n">
        <f aca="false">ROUNDUP(MAX(J441/IF(CD441&gt;0,CD441,MAX(0.1,N(Cockpit!$O$6))),CG441)/BV441,0)*BV441</f>
        <v>2</v>
      </c>
      <c r="BD441" s="51" t="n">
        <f aca="false">IF(BA441&gt;0,J441/BA441,-1)</f>
        <v>0</v>
      </c>
      <c r="BE441" s="51" t="n">
        <f aca="false">IF(AND(OR(CC441="L1",CC441="L23",CC441="LIFT"),BA441&gt;0),SUMIFS($BA$7:$BA$1843,$CC$7:$CC$1843,CC441,$BD$7:$BD$1843,"&gt;"&amp;BD441)+SUMIFS($BA$7:$BA$1843,$CC$7:$CC$1843,CC441,$BD$7:$BD$1843,BD441,$BT$7:$BT$1843,"&lt;="&amp;BT441),"")</f>
        <v>36130.9987712382</v>
      </c>
      <c r="BF441" s="58" t="n">
        <f aca="false">IF(BE441="",0,MAX(0,MIN(1,(IF(CC441="L1",Parameter!$H$5,IF(CC441="L23",Parameter!$H$6+Parameter!$H$7,Parameter!$H$5+Parameter!$H$6+Parameter!$H$7))-(BE441-BA441))/BA441)))</f>
        <v>0</v>
      </c>
      <c r="BG441" s="48" t="str">
        <f aca="false">IF(AI441&lt;=0,"",IF(CC441="Aussen","Aussenlager",IF(CC441="-","Nicht im Lift",IF(AN441&gt;=1,"Lift",IF(AN441&lt;=0,"Aussenlager","teilweise")))))</f>
        <v>Lift</v>
      </c>
      <c r="BH441" s="48" t="str">
        <f aca="false">IF(AR441&lt;=0,"",IF(CC441="Aussen","Aussenlager",IF(CC441="-","Nicht im Lift",IF(AW441&gt;=1,"Lift",IF(AW441&lt;=0,"Aussenlager","teilweise")))))</f>
        <v>Aussenlager</v>
      </c>
      <c r="BI441" s="48" t="str">
        <f aca="false">IF(BA441&lt;=0,"",IF(CC441="Aussen","Aussenlager",IF(CC441="-","Nicht im Lift",IF(BF441&gt;=1,"Lift",IF(BF441&lt;=0,"Aussenlager","teilweise")))))</f>
        <v>Aussenlager</v>
      </c>
      <c r="BJ441" s="48" t="str">
        <f aca="false">IF(A441="","",IF(BS441=1,"Neu; ","")&amp;IF(AND(BS441=0,BN441&lt;0),"negativer Bestand (Export "&amp;BN441&amp;"); ","")&amp;IF(J441&lt;=0,"Kein Verbrauch; ","")&amp;IF(CL441&gt;0,"Lift "&amp;W441&amp;" lt. Liftbericht (Fach "&amp;X441&amp;" Stk); ",IF(BX441=1,"Gebinde geschätzt ("&amp;T441&amp;"); ",IF(BW441=1,"Lose – Tablare geschätzt; ","")))&amp;IF(H441&gt;AT441,"Überbestand "&amp;ROUND(H441-AT441,0)&amp;" Stk / CHF "&amp;ROUND((H441-AT441)*G441,0)&amp;"; ","")&amp;IF(AND(CE441=1,CF441&lt;CG441),"MAX &lt; MB+LG; ","")&amp;IF(AND(CK441&gt;0,CJ441*10&gt;CK441),"zu hoch für Tablar; ","")&amp;IF(AND(BS441=0,OR(CE441=1,AA441&lt;&gt;"",U441&lt;&gt;"",V441&lt;&gt;"",AB441&lt;&gt;"")),"manuell übersteuert; ","")&amp;IF(AND(BW441=0,R441=0),"Gebinde unbekannt / Stellmass fehlt; ","")&amp;IF(AND(BW441=0,N(V441)&lt;=0,N(Q441)&lt;=0),"Menge pro Gebinde fehlt (Ist = 1 Gebinde); ","")&amp;BR441)</f>
        <v>Kein Verbrauch; Überbestand 4 Stk / CHF 295; i.o</v>
      </c>
      <c r="BK441" s="48"/>
      <c r="BL441" s="48"/>
      <c r="BM441" s="55"/>
      <c r="BN441" s="50" t="n">
        <v>1</v>
      </c>
      <c r="BO441" s="50" t="n">
        <v>5</v>
      </c>
      <c r="BP441" s="49" t="n">
        <v>73.69</v>
      </c>
      <c r="BQ441" s="50" t="n">
        <v>0</v>
      </c>
      <c r="BR441" s="48" t="s">
        <v>540</v>
      </c>
      <c r="BS441" s="53" t="n">
        <v>0</v>
      </c>
      <c r="BT441" s="53" t="n">
        <v>441</v>
      </c>
      <c r="BU441" s="48" t="str">
        <f aca="false">IF(U441&lt;&gt;"",UPPER(TRIM(U441)),IF(BX441=1,UPPER(VLOOKUP(T441,Parameter!$I$27:$K$29,2,0)),IF(P441="","LOSE",P441)))</f>
        <v>S22</v>
      </c>
      <c r="BV441" s="50" t="n">
        <f aca="false">IF(BU441="LOSE",1,IF(N(V441)&gt;0,V441,IF(BX441=1,MAX(1,N(VLOOKUP(T441,Parameter!$I$27:$K$29,3,0)),H441,N(N441)),IF(N(Q441)&gt;0,Q441,MAX(1,H441)))))</f>
        <v>2</v>
      </c>
      <c r="BW441" s="53" t="n">
        <f aca="false">IF(BU441="LOSE",1,0)</f>
        <v>0</v>
      </c>
      <c r="BX441" s="53" t="n">
        <f aca="false">IF(AND(U441="",OR(P441="",P441="LOSE"),T441&lt;&gt;"",N(S441)&lt;=0,ISNUMBER(MATCH(T441,Parameter!$I$27:$I$29,0))),1,0)</f>
        <v>0</v>
      </c>
      <c r="BY441" s="53" t="n">
        <f aca="false">IF(CL441&gt;0,INDEX(Parameter!$H$5:$H$7,W441)/INDEX(Parameter!$E$5:$E$7,W441),IF(AND(BW441=0,N(IFERROR(VLOOKUP(BU441,'Gebinde-Kategorie'!$A$5:$N$45,14,0),0))&gt;0),VLOOKUP(BU441,'Gebinde-Kategorie'!$A$5:$N$45,14,0)*10+Parameter!$M$23,Parameter!$M$24))</f>
        <v>155</v>
      </c>
      <c r="BZ441" s="48" t="str">
        <f aca="false">IF(AND(Parameter!$B$19="Ja",E441&lt;&gt;"",ISNUMBER(MATCH(E441,Parameter!$I$35:$I$52,0))),VLOOKUP(E441,Parameter!$I$35:$J$52,2,0),IFERROR(VLOOKUP(D441,Parameter!$A$35:$C$64,2,0),"Nein"))</f>
        <v>2+3</v>
      </c>
      <c r="CA441" s="52" t="n">
        <f aca="false">IF(BW441=0,0,IF(N(S441)&gt;0,S441,IFERROR(VLOOKUP(D441,Parameter!$A$35:$C$64,3,0)+0,0)))</f>
        <v>0</v>
      </c>
      <c r="CB441" s="48" t="n">
        <f aca="false">IF(AA441&lt;&gt;"",AA441,Z441)</f>
        <v>3</v>
      </c>
      <c r="CC441" s="48" t="str">
        <f aca="false">IF(OR(CB441=1,CB441=2,CB441=3),IF(Parameter!$E$27="Ja","LIFT",IF(CB441=1,"L1","L23")),IF(CB441="Aussen","Aussen","-"))</f>
        <v>LIFT</v>
      </c>
      <c r="CD441" s="59" t="n">
        <f aca="false">IF(N(AB441)&gt;0,AB441,0)</f>
        <v>0</v>
      </c>
      <c r="CE441" s="53" t="n">
        <f aca="false">IF(ISNUMBER(AE441),1,0)</f>
        <v>0</v>
      </c>
      <c r="CF441" s="50" t="n">
        <f aca="false">N(AE441)</f>
        <v>0</v>
      </c>
      <c r="CG441" s="50" t="n">
        <f aca="false">N(M441)+N(N441)</f>
        <v>1</v>
      </c>
      <c r="CH441" s="50" t="n">
        <f aca="false">ROUNDUP(H441/BV441,0)</f>
        <v>3</v>
      </c>
      <c r="CI441" s="50" t="n">
        <f aca="false">ROUNDUP(CF441/BV441,0)</f>
        <v>0</v>
      </c>
      <c r="CJ441" s="53" t="n">
        <f aca="false">IF(BW441=1,0,IFERROR(VLOOKUP(BU441,'Gebinde-Kategorie'!$A$5:$N$45,5,0)+0,0))</f>
        <v>8</v>
      </c>
      <c r="CK441" s="53" t="n">
        <f aca="false">IFERROR(IF(OR(CB441=1,CB441=2,CB441=3),N(INDEX(Parameter!$I$5:$I$7,CB441)),0),0)</f>
        <v>0</v>
      </c>
      <c r="CL441" s="52" t="n">
        <f aca="false">IF(AND(Parameter!$B$21="Ja",ISNUMBER(W441),N(X441)&gt;0),IFERROR(N(INDEX(Parameter!$L$5:$L$7,W441))*INDEX(Parameter!$E$5:$E$7,W441)*X441/SUMIFS($X$7:$X$1843,$W$7:$W$1843,W441),0),0)</f>
        <v>0</v>
      </c>
    </row>
    <row r="442" customFormat="false" ht="15" hidden="false" customHeight="false" outlineLevel="0" collapsed="false">
      <c r="A442" s="48" t="s">
        <v>1011</v>
      </c>
      <c r="B442" s="48" t="s">
        <v>896</v>
      </c>
      <c r="C442" s="48" t="s">
        <v>168</v>
      </c>
      <c r="D442" s="48" t="s">
        <v>188</v>
      </c>
      <c r="E442" s="48" t="s">
        <v>189</v>
      </c>
      <c r="F442" s="48" t="s">
        <v>222</v>
      </c>
      <c r="G442" s="49" t="n">
        <v>7.1</v>
      </c>
      <c r="H442" s="50" t="n">
        <f aca="false">MAX(0,IF(AND(Parameter!$B$21="Ja",ISNUMBER(Y442)),Y442,IF(Parameter!$B$20="Jahresanfang 2025 + Export",BO442+BN442,BN442)))</f>
        <v>17</v>
      </c>
      <c r="I442" s="50" t="n">
        <f aca="false">H442*G442</f>
        <v>120.7</v>
      </c>
      <c r="J442" s="50" t="n">
        <f aca="false">BQ442*Parameter!$B$18</f>
        <v>22</v>
      </c>
      <c r="K442" s="51" t="n">
        <v>7</v>
      </c>
      <c r="L442" s="52" t="n">
        <v>3.14285714285714</v>
      </c>
      <c r="M442" s="50" t="n">
        <v>0</v>
      </c>
      <c r="N442" s="50" t="n">
        <v>20</v>
      </c>
      <c r="O442" s="53" t="n">
        <v>14</v>
      </c>
      <c r="P442" s="48" t="s">
        <v>430</v>
      </c>
      <c r="Q442" s="50" t="n">
        <v>32</v>
      </c>
      <c r="R442" s="53" t="n">
        <f aca="false">IF(BW442=1,0,IFERROR(VLOOKUP(BU442,'Gebinde-Kategorie'!$A$5:$N$45,13,0)+0,0))</f>
        <v>140</v>
      </c>
      <c r="S442" s="54"/>
      <c r="T442" s="55"/>
      <c r="U442" s="55"/>
      <c r="V442" s="55"/>
      <c r="W442" s="48"/>
      <c r="X442" s="50"/>
      <c r="Y442" s="50"/>
      <c r="Z442" s="48" t="n">
        <f aca="false">IF(A442="","",IF(AND(Parameter!$B$21="Ja",ISNUMBER(W442)),W442,IF(BZ442="2+3",IF(ISNUMBER(SEARCH("grosser Artikel",BR442)),2,IFERROR(VLOOKUP(BU442,Parameter!$F$35:$G$64,2,0),2)),IF(OR(BZ442="Nein",BZ442=""),"-",BZ442))))</f>
        <v>3</v>
      </c>
      <c r="AA442" s="55"/>
      <c r="AB442" s="56"/>
      <c r="AC442" s="50" t="n">
        <f aca="false">AT442</f>
        <v>32</v>
      </c>
      <c r="AD442" s="50" t="n">
        <f aca="false">MAX(AT442,H442)</f>
        <v>32</v>
      </c>
      <c r="AE442" s="57"/>
      <c r="AF442" s="50" t="n">
        <f aca="false">IF(LEFT(Cockpit!$C$5,1)="A",H442,IF(CE442=1,CF442,IF(LEFT(Cockpit!$C$5,1)="B",AK442,MAX(AK442,H442))))</f>
        <v>17</v>
      </c>
      <c r="AG442" s="50" t="n">
        <f aca="false">IF(BW442=1,0,ROUNDUP(AF442/BV442,0))</f>
        <v>1</v>
      </c>
      <c r="AH442" s="52" t="n">
        <f aca="false">IF(CL442&gt;0,CL442*MAX(1,AF442/X442),IF(BW442=1,IF(AF442&lt;=0,0,CA442*MAX(1,IF(H442&gt;0,AF442/H442,1))),IF(R442&gt;0,AG442/R442,0))/MAX(0.1,N(Parameter!$M$21)))</f>
        <v>0.00714285714285714</v>
      </c>
      <c r="AI442" s="50" t="n">
        <f aca="false">AH442*BY442</f>
        <v>1.10714285714286</v>
      </c>
      <c r="AJ442" s="50" t="n">
        <f aca="false">AF442*G442</f>
        <v>120.7</v>
      </c>
      <c r="AK442" s="50" t="n">
        <f aca="false">ROUNDUP(MAX(J442/IF(CD442&gt;0,CD442,MAX(0.1,N(Cockpit!$C$6))),CG442)/BV442,0)*BV442</f>
        <v>32</v>
      </c>
      <c r="AL442" s="51" t="n">
        <f aca="false">IF(AI442&gt;0,J442/AI442,-1)</f>
        <v>19.8709677419355</v>
      </c>
      <c r="AM442" s="51" t="n">
        <f aca="false">IF(AND(OR(CC442="L1",CC442="L23",CC442="LIFT"),AI442&gt;0),SUMIFS($AI$7:$AI$1843,$CC$7:$CC$1843,CC442,$AL$7:$AL$1843,"&gt;"&amp;AL442)+SUMIFS($AI$7:$AI$1843,$CC$7:$CC$1843,CC442,$AL$7:$AL$1843,AL442,$BT$7:$BT$1843,"&lt;="&amp;BT442),"")</f>
        <v>1656.7326007326</v>
      </c>
      <c r="AN442" s="58" t="n">
        <f aca="false">IF(AM442="",0,MAX(0,MIN(1,(IF(CC442="L1",Parameter!$H$5,IF(CC442="L23",Parameter!$H$6+Parameter!$H$7,Parameter!$H$5+Parameter!$H$6+Parameter!$H$7))-(AM442-AI442))/AI442)))</f>
        <v>1</v>
      </c>
      <c r="AO442" s="50" t="n">
        <f aca="false">IF(LEFT(Cockpit!$I$5,1)="A",H442,IF(CE442=1,CF442,IF(LEFT(Cockpit!$I$5,1)="B",AT442,MAX(AT442,H442))))</f>
        <v>32</v>
      </c>
      <c r="AP442" s="50" t="n">
        <f aca="false">IF(BW442=1,0,ROUNDUP(AO442/BV442,0))</f>
        <v>1</v>
      </c>
      <c r="AQ442" s="52" t="n">
        <f aca="false">IF(CL442&gt;0,CL442*MAX(1,AO442/X442),IF(BW442=1,IF(AO442&lt;=0,0,CA442*MAX(1,IF(H442&gt;0,AO442/H442,1))),IF(R442&gt;0,AP442/R442,0))/MAX(0.1,N(Parameter!$M$21)))</f>
        <v>0.00714285714285714</v>
      </c>
      <c r="AR442" s="50" t="n">
        <f aca="false">AQ442*BY442</f>
        <v>1.10714285714286</v>
      </c>
      <c r="AS442" s="50" t="n">
        <f aca="false">AO442*G442</f>
        <v>227.2</v>
      </c>
      <c r="AT442" s="50" t="n">
        <f aca="false">ROUNDUP(MAX(J442/IF(CD442&gt;0,CD442,MAX(0.1,N(Cockpit!$I$6))),CG442)/BV442,0)*BV442</f>
        <v>32</v>
      </c>
      <c r="AU442" s="51" t="n">
        <f aca="false">IF(AR442&gt;0,J442/AR442,-1)</f>
        <v>19.8709677419355</v>
      </c>
      <c r="AV442" s="51" t="n">
        <f aca="false">IF(AND(OR(CC442="L1",CC442="L23",CC442="LIFT"),AR442&gt;0),SUMIFS($AR$7:$AR$1843,$CC$7:$CC$1843,CC442,$AU$7:$AU$1843,"&gt;"&amp;AU442)+SUMIFS($AR$7:$AR$1843,$CC$7:$CC$1843,CC442,$AU$7:$AU$1843,AU442,$BT$7:$BT$1843,"&lt;="&amp;BT442),"")</f>
        <v>2263.94734432234</v>
      </c>
      <c r="AW442" s="58" t="n">
        <f aca="false">IF(AV442="",0,MAX(0,MIN(1,(IF(CC442="L1",Parameter!$H$5,IF(CC442="L23",Parameter!$H$6+Parameter!$H$7,Parameter!$H$5+Parameter!$H$6+Parameter!$H$7))-(AV442-AR442))/AR442)))</f>
        <v>1</v>
      </c>
      <c r="AX442" s="50" t="n">
        <f aca="false">IF(LEFT(Cockpit!$O$5,1)="A",H442,IF(CE442=1,CF442,IF(LEFT(Cockpit!$O$5,1)="B",BC442,MAX(BC442,H442))))</f>
        <v>32</v>
      </c>
      <c r="AY442" s="50" t="n">
        <f aca="false">IF(BW442=1,0,ROUNDUP(AX442/BV442,0))</f>
        <v>1</v>
      </c>
      <c r="AZ442" s="52" t="n">
        <f aca="false">IF(CL442&gt;0,CL442*MAX(1,AX442/X442),IF(BW442=1,IF(AX442&lt;=0,0,CA442*MAX(1,IF(H442&gt;0,AX442/H442,1))),IF(R442&gt;0,AY442/R442,0))/MAX(0.1,N(Parameter!$M$21)))</f>
        <v>0.00714285714285714</v>
      </c>
      <c r="BA442" s="50" t="n">
        <f aca="false">AZ442*BY442</f>
        <v>1.10714285714286</v>
      </c>
      <c r="BB442" s="50" t="n">
        <f aca="false">AX442*G442</f>
        <v>227.2</v>
      </c>
      <c r="BC442" s="50" t="n">
        <f aca="false">ROUNDUP(MAX(J442/IF(CD442&gt;0,CD442,MAX(0.1,N(Cockpit!$O$6))),CG442)/BV442,0)*BV442</f>
        <v>32</v>
      </c>
      <c r="BD442" s="51" t="n">
        <f aca="false">IF(BA442&gt;0,J442/BA442,-1)</f>
        <v>19.8709677419355</v>
      </c>
      <c r="BE442" s="51" t="n">
        <f aca="false">IF(AND(OR(CC442="L1",CC442="L23",CC442="LIFT"),BA442&gt;0),SUMIFS($BA$7:$BA$1843,$CC$7:$CC$1843,CC442,$BD$7:$BD$1843,"&gt;"&amp;BD442)+SUMIFS($BA$7:$BA$1843,$CC$7:$CC$1843,CC442,$BD$7:$BD$1843,BD442,$BT$7:$BT$1843,"&lt;="&amp;BT442),"")</f>
        <v>2370.88644688645</v>
      </c>
      <c r="BF442" s="58" t="n">
        <f aca="false">IF(BE442="",0,MAX(0,MIN(1,(IF(CC442="L1",Parameter!$H$5,IF(CC442="L23",Parameter!$H$6+Parameter!$H$7,Parameter!$H$5+Parameter!$H$6+Parameter!$H$7))-(BE442-BA442))/BA442)))</f>
        <v>1</v>
      </c>
      <c r="BG442" s="48" t="str">
        <f aca="false">IF(AI442&lt;=0,"",IF(CC442="Aussen","Aussenlager",IF(CC442="-","Nicht im Lift",IF(AN442&gt;=1,"Lift",IF(AN442&lt;=0,"Aussenlager","teilweise")))))</f>
        <v>Lift</v>
      </c>
      <c r="BH442" s="48" t="str">
        <f aca="false">IF(AR442&lt;=0,"",IF(CC442="Aussen","Aussenlager",IF(CC442="-","Nicht im Lift",IF(AW442&gt;=1,"Lift",IF(AW442&lt;=0,"Aussenlager","teilweise")))))</f>
        <v>Lift</v>
      </c>
      <c r="BI442" s="48" t="str">
        <f aca="false">IF(BA442&lt;=0,"",IF(CC442="Aussen","Aussenlager",IF(CC442="-","Nicht im Lift",IF(BF442&gt;=1,"Lift",IF(BF442&lt;=0,"Aussenlager","teilweise")))))</f>
        <v>Lift</v>
      </c>
      <c r="BJ442" s="48" t="str">
        <f aca="false">IF(A442="","",IF(BS442=1,"Neu; ","")&amp;IF(AND(BS442=0,BN442&lt;0),"negativer Bestand (Export "&amp;BN442&amp;"); ","")&amp;IF(J442&lt;=0,"Kein Verbrauch; ","")&amp;IF(CL442&gt;0,"Lift "&amp;W442&amp;" lt. Liftbericht (Fach "&amp;X442&amp;" Stk); ",IF(BX442=1,"Gebinde geschätzt ("&amp;T442&amp;"); ",IF(BW442=1,"Lose – Tablare geschätzt; ","")))&amp;IF(H442&gt;AT442,"Überbestand "&amp;ROUND(H442-AT442,0)&amp;" Stk / CHF "&amp;ROUND((H442-AT442)*G442,0)&amp;"; ","")&amp;IF(AND(CE442=1,CF442&lt;CG442),"MAX &lt; MB+LG; ","")&amp;IF(AND(CK442&gt;0,CJ442*10&gt;CK442),"zu hoch für Tablar; ","")&amp;IF(AND(BS442=0,OR(CE442=1,AA442&lt;&gt;"",U442&lt;&gt;"",V442&lt;&gt;"",AB442&lt;&gt;"")),"manuell übersteuert; ","")&amp;IF(AND(BW442=0,R442=0),"Gebinde unbekannt / Stellmass fehlt; ","")&amp;IF(AND(BW442=0,N(V442)&lt;=0,N(Q442)&lt;=0),"Menge pro Gebinde fehlt (Ist = 1 Gebinde); ","")&amp;BR442)</f>
        <v/>
      </c>
      <c r="BK442" s="48"/>
      <c r="BL442" s="48"/>
      <c r="BM442" s="55"/>
      <c r="BN442" s="50" t="n">
        <v>10</v>
      </c>
      <c r="BO442" s="50" t="n">
        <v>7</v>
      </c>
      <c r="BP442" s="49" t="n">
        <v>73.38</v>
      </c>
      <c r="BQ442" s="50" t="n">
        <v>22</v>
      </c>
      <c r="BR442" s="48"/>
      <c r="BS442" s="53" t="n">
        <v>0</v>
      </c>
      <c r="BT442" s="53" t="n">
        <v>442</v>
      </c>
      <c r="BU442" s="48" t="str">
        <f aca="false">IF(U442&lt;&gt;"",UPPER(TRIM(U442)),IF(BX442=1,UPPER(VLOOKUP(T442,Parameter!$I$27:$K$29,2,0)),IF(P442="","LOSE",P442)))</f>
        <v>S22</v>
      </c>
      <c r="BV442" s="50" t="n">
        <f aca="false">IF(BU442="LOSE",1,IF(N(V442)&gt;0,V442,IF(BX442=1,MAX(1,N(VLOOKUP(T442,Parameter!$I$27:$K$29,3,0)),H442,N(N442)),IF(N(Q442)&gt;0,Q442,MAX(1,H442)))))</f>
        <v>32</v>
      </c>
      <c r="BW442" s="53" t="n">
        <f aca="false">IF(BU442="LOSE",1,0)</f>
        <v>0</v>
      </c>
      <c r="BX442" s="53" t="n">
        <f aca="false">IF(AND(U442="",OR(P442="",P442="LOSE"),T442&lt;&gt;"",N(S442)&lt;=0,ISNUMBER(MATCH(T442,Parameter!$I$27:$I$29,0))),1,0)</f>
        <v>0</v>
      </c>
      <c r="BY442" s="53" t="n">
        <f aca="false">IF(CL442&gt;0,INDEX(Parameter!$H$5:$H$7,W442)/INDEX(Parameter!$E$5:$E$7,W442),IF(AND(BW442=0,N(IFERROR(VLOOKUP(BU442,'Gebinde-Kategorie'!$A$5:$N$45,14,0),0))&gt;0),VLOOKUP(BU442,'Gebinde-Kategorie'!$A$5:$N$45,14,0)*10+Parameter!$M$23,Parameter!$M$24))</f>
        <v>155</v>
      </c>
      <c r="BZ442" s="48" t="str">
        <f aca="false">IF(AND(Parameter!$B$19="Ja",E442&lt;&gt;"",ISNUMBER(MATCH(E442,Parameter!$I$35:$I$52,0))),VLOOKUP(E442,Parameter!$I$35:$J$52,2,0),IFERROR(VLOOKUP(D442,Parameter!$A$35:$C$64,2,0),"Nein"))</f>
        <v>2+3</v>
      </c>
      <c r="CA442" s="52" t="n">
        <f aca="false">IF(BW442=0,0,IF(N(S442)&gt;0,S442,IFERROR(VLOOKUP(D442,Parameter!$A$35:$C$64,3,0)+0,0)))</f>
        <v>0</v>
      </c>
      <c r="CB442" s="48" t="n">
        <f aca="false">IF(AA442&lt;&gt;"",AA442,Z442)</f>
        <v>3</v>
      </c>
      <c r="CC442" s="48" t="str">
        <f aca="false">IF(OR(CB442=1,CB442=2,CB442=3),IF(Parameter!$E$27="Ja","LIFT",IF(CB442=1,"L1","L23")),IF(CB442="Aussen","Aussen","-"))</f>
        <v>LIFT</v>
      </c>
      <c r="CD442" s="59" t="n">
        <f aca="false">IF(N(AB442)&gt;0,AB442,0)</f>
        <v>0</v>
      </c>
      <c r="CE442" s="53" t="n">
        <f aca="false">IF(ISNUMBER(AE442),1,0)</f>
        <v>0</v>
      </c>
      <c r="CF442" s="50" t="n">
        <f aca="false">N(AE442)</f>
        <v>0</v>
      </c>
      <c r="CG442" s="50" t="n">
        <f aca="false">N(M442)+N(N442)</f>
        <v>20</v>
      </c>
      <c r="CH442" s="50" t="n">
        <f aca="false">ROUNDUP(H442/BV442,0)</f>
        <v>1</v>
      </c>
      <c r="CI442" s="50" t="n">
        <f aca="false">ROUNDUP(CF442/BV442,0)</f>
        <v>0</v>
      </c>
      <c r="CJ442" s="53" t="n">
        <f aca="false">IF(BW442=1,0,IFERROR(VLOOKUP(BU442,'Gebinde-Kategorie'!$A$5:$N$45,5,0)+0,0))</f>
        <v>8</v>
      </c>
      <c r="CK442" s="53" t="n">
        <f aca="false">IFERROR(IF(OR(CB442=1,CB442=2,CB442=3),N(INDEX(Parameter!$I$5:$I$7,CB442)),0),0)</f>
        <v>0</v>
      </c>
      <c r="CL442" s="52" t="n">
        <f aca="false">IF(AND(Parameter!$B$21="Ja",ISNUMBER(W442),N(X442)&gt;0),IFERROR(N(INDEX(Parameter!$L$5:$L$7,W442))*INDEX(Parameter!$E$5:$E$7,W442)*X442/SUMIFS($X$7:$X$1843,$W$7:$W$1843,W442),0),0)</f>
        <v>0</v>
      </c>
    </row>
    <row r="443" customFormat="false" ht="15" hidden="false" customHeight="false" outlineLevel="0" collapsed="false">
      <c r="A443" s="48" t="s">
        <v>1012</v>
      </c>
      <c r="B443" s="48" t="s">
        <v>1013</v>
      </c>
      <c r="C443" s="48" t="s">
        <v>168</v>
      </c>
      <c r="D443" s="48" t="s">
        <v>188</v>
      </c>
      <c r="E443" s="48"/>
      <c r="F443" s="48" t="s">
        <v>222</v>
      </c>
      <c r="G443" s="49" t="n">
        <v>6.65</v>
      </c>
      <c r="H443" s="50" t="n">
        <f aca="false">MAX(0,IF(AND(Parameter!$B$21="Ja",ISNUMBER(Y443)),Y443,IF(Parameter!$B$20="Jahresanfang 2025 + Export",BO443+BN443,BN443)))</f>
        <v>53</v>
      </c>
      <c r="I443" s="50" t="n">
        <f aca="false">H443*G443</f>
        <v>352.45</v>
      </c>
      <c r="J443" s="50" t="n">
        <f aca="false">BQ443*Parameter!$B$18</f>
        <v>1</v>
      </c>
      <c r="K443" s="51" t="n">
        <v>47.5</v>
      </c>
      <c r="L443" s="52" t="n">
        <v>0.0210526315789474</v>
      </c>
      <c r="M443" s="50" t="n">
        <v>0</v>
      </c>
      <c r="N443" s="50" t="n">
        <v>1</v>
      </c>
      <c r="O443" s="53" t="n">
        <v>70</v>
      </c>
      <c r="P443" s="48" t="s">
        <v>480</v>
      </c>
      <c r="Q443" s="50" t="n">
        <v>55</v>
      </c>
      <c r="R443" s="53" t="n">
        <f aca="false">IF(BW443=1,0,IFERROR(VLOOKUP(BU443,'Gebinde-Kategorie'!$A$5:$N$45,13,0)+0,0))</f>
        <v>52</v>
      </c>
      <c r="S443" s="54"/>
      <c r="T443" s="55"/>
      <c r="U443" s="55"/>
      <c r="V443" s="55"/>
      <c r="W443" s="48"/>
      <c r="X443" s="50"/>
      <c r="Y443" s="50"/>
      <c r="Z443" s="48" t="n">
        <f aca="false">IF(A443="","",IF(AND(Parameter!$B$21="Ja",ISNUMBER(W443)),W443,IF(BZ443="2+3",IF(ISNUMBER(SEARCH("grosser Artikel",BR443)),2,IFERROR(VLOOKUP(BU443,Parameter!$F$35:$G$64,2,0),2)),IF(OR(BZ443="Nein",BZ443=""),"-",BZ443))))</f>
        <v>3</v>
      </c>
      <c r="AA443" s="55"/>
      <c r="AB443" s="56"/>
      <c r="AC443" s="50" t="n">
        <f aca="false">AT443</f>
        <v>55</v>
      </c>
      <c r="AD443" s="50" t="n">
        <f aca="false">MAX(AT443,H443)</f>
        <v>55</v>
      </c>
      <c r="AE443" s="57"/>
      <c r="AF443" s="50" t="n">
        <f aca="false">IF(LEFT(Cockpit!$C$5,1)="A",H443,IF(CE443=1,CF443,IF(LEFT(Cockpit!$C$5,1)="B",AK443,MAX(AK443,H443))))</f>
        <v>53</v>
      </c>
      <c r="AG443" s="50" t="n">
        <f aca="false">IF(BW443=1,0,ROUNDUP(AF443/BV443,0))</f>
        <v>1</v>
      </c>
      <c r="AH443" s="52" t="n">
        <f aca="false">IF(CL443&gt;0,CL443*MAX(1,AF443/X443),IF(BW443=1,IF(AF443&lt;=0,0,CA443*MAX(1,IF(H443&gt;0,AF443/H443,1))),IF(R443&gt;0,AG443/R443,0))/MAX(0.1,N(Parameter!$M$21)))</f>
        <v>0.0192307692307692</v>
      </c>
      <c r="AI443" s="50" t="n">
        <f aca="false">AH443*BY443</f>
        <v>2.98076923076923</v>
      </c>
      <c r="AJ443" s="50" t="n">
        <f aca="false">AF443*G443</f>
        <v>352.45</v>
      </c>
      <c r="AK443" s="50" t="n">
        <f aca="false">ROUNDUP(MAX(J443/IF(CD443&gt;0,CD443,MAX(0.1,N(Cockpit!$C$6))),CG443)/BV443,0)*BV443</f>
        <v>55</v>
      </c>
      <c r="AL443" s="51" t="n">
        <f aca="false">IF(AI443&gt;0,J443/AI443,-1)</f>
        <v>0.335483870967742</v>
      </c>
      <c r="AM443" s="51" t="n">
        <f aca="false">IF(AND(OR(CC443="L1",CC443="L23",CC443="LIFT"),AI443&gt;0),SUMIFS($AI$7:$AI$1843,$CC$7:$CC$1843,CC443,$AL$7:$AL$1843,"&gt;"&amp;AL443)+SUMIFS($AI$7:$AI$1843,$CC$7:$CC$1843,CC443,$AL$7:$AL$1843,AL443,$BT$7:$BT$1843,"&lt;="&amp;BT443),"")</f>
        <v>11177.0770394859</v>
      </c>
      <c r="AN443" s="58" t="n">
        <f aca="false">IF(AM443="",0,MAX(0,MIN(1,(IF(CC443="L1",Parameter!$H$5,IF(CC443="L23",Parameter!$H$6+Parameter!$H$7,Parameter!$H$5+Parameter!$H$6+Parameter!$H$7))-(AM443-AI443))/AI443)))</f>
        <v>1</v>
      </c>
      <c r="AO443" s="50" t="n">
        <f aca="false">IF(LEFT(Cockpit!$I$5,1)="A",H443,IF(CE443=1,CF443,IF(LEFT(Cockpit!$I$5,1)="B",AT443,MAX(AT443,H443))))</f>
        <v>55</v>
      </c>
      <c r="AP443" s="50" t="n">
        <f aca="false">IF(BW443=1,0,ROUNDUP(AO443/BV443,0))</f>
        <v>1</v>
      </c>
      <c r="AQ443" s="52" t="n">
        <f aca="false">IF(CL443&gt;0,CL443*MAX(1,AO443/X443),IF(BW443=1,IF(AO443&lt;=0,0,CA443*MAX(1,IF(H443&gt;0,AO443/H443,1))),IF(R443&gt;0,AP443/R443,0))/MAX(0.1,N(Parameter!$M$21)))</f>
        <v>0.0192307692307692</v>
      </c>
      <c r="AR443" s="50" t="n">
        <f aca="false">AQ443*BY443</f>
        <v>2.98076923076923</v>
      </c>
      <c r="AS443" s="50" t="n">
        <f aca="false">AO443*G443</f>
        <v>365.75</v>
      </c>
      <c r="AT443" s="50" t="n">
        <f aca="false">ROUNDUP(MAX(J443/IF(CD443&gt;0,CD443,MAX(0.1,N(Cockpit!$I$6))),CG443)/BV443,0)*BV443</f>
        <v>55</v>
      </c>
      <c r="AU443" s="51" t="n">
        <f aca="false">IF(AR443&gt;0,J443/AR443,-1)</f>
        <v>0.335483870967742</v>
      </c>
      <c r="AV443" s="51" t="n">
        <f aca="false">IF(AND(OR(CC443="L1",CC443="L23",CC443="LIFT"),AR443&gt;0),SUMIFS($AR$7:$AR$1843,$CC$7:$CC$1843,CC443,$AU$7:$AU$1843,"&gt;"&amp;AU443)+SUMIFS($AR$7:$AR$1843,$CC$7:$CC$1843,CC443,$AU$7:$AU$1843,AU443,$BT$7:$BT$1843,"&lt;="&amp;BT443),"")</f>
        <v>16290.8521062271</v>
      </c>
      <c r="AW443" s="58" t="n">
        <f aca="false">IF(AV443="",0,MAX(0,MIN(1,(IF(CC443="L1",Parameter!$H$5,IF(CC443="L23",Parameter!$H$6+Parameter!$H$7,Parameter!$H$5+Parameter!$H$6+Parameter!$H$7))-(AV443-AR443))/AR443)))</f>
        <v>1</v>
      </c>
      <c r="AX443" s="50" t="n">
        <f aca="false">IF(LEFT(Cockpit!$O$5,1)="A",H443,IF(CE443=1,CF443,IF(LEFT(Cockpit!$O$5,1)="B",BC443,MAX(BC443,H443))))</f>
        <v>55</v>
      </c>
      <c r="AY443" s="50" t="n">
        <f aca="false">IF(BW443=1,0,ROUNDUP(AX443/BV443,0))</f>
        <v>1</v>
      </c>
      <c r="AZ443" s="52" t="n">
        <f aca="false">IF(CL443&gt;0,CL443*MAX(1,AX443/X443),IF(BW443=1,IF(AX443&lt;=0,0,CA443*MAX(1,IF(H443&gt;0,AX443/H443,1))),IF(R443&gt;0,AY443/R443,0))/MAX(0.1,N(Parameter!$M$21)))</f>
        <v>0.0192307692307692</v>
      </c>
      <c r="BA443" s="50" t="n">
        <f aca="false">AZ443*BY443</f>
        <v>2.98076923076923</v>
      </c>
      <c r="BB443" s="50" t="n">
        <f aca="false">AX443*G443</f>
        <v>365.75</v>
      </c>
      <c r="BC443" s="50" t="n">
        <f aca="false">ROUNDUP(MAX(J443/IF(CD443&gt;0,CD443,MAX(0.1,N(Cockpit!$O$6))),CG443)/BV443,0)*BV443</f>
        <v>55</v>
      </c>
      <c r="BD443" s="51" t="n">
        <f aca="false">IF(BA443&gt;0,J443/BA443,-1)</f>
        <v>0.335483870967742</v>
      </c>
      <c r="BE443" s="51" t="n">
        <f aca="false">IF(AND(OR(CC443="L1",CC443="L23",CC443="LIFT"),BA443&gt;0),SUMIFS($BA$7:$BA$1843,$CC$7:$CC$1843,CC443,$BD$7:$BD$1843,"&gt;"&amp;BD443)+SUMIFS($BA$7:$BA$1843,$CC$7:$CC$1843,CC443,$BD$7:$BD$1843,BD443,$BT$7:$BT$1843,"&lt;="&amp;BT443),"")</f>
        <v>15041.5091575092</v>
      </c>
      <c r="BF443" s="58" t="n">
        <f aca="false">IF(BE443="",0,MAX(0,MIN(1,(IF(CC443="L1",Parameter!$H$5,IF(CC443="L23",Parameter!$H$6+Parameter!$H$7,Parameter!$H$5+Parameter!$H$6+Parameter!$H$7))-(BE443-BA443))/BA443)))</f>
        <v>1</v>
      </c>
      <c r="BG443" s="48" t="str">
        <f aca="false">IF(AI443&lt;=0,"",IF(CC443="Aussen","Aussenlager",IF(CC443="-","Nicht im Lift",IF(AN443&gt;=1,"Lift",IF(AN443&lt;=0,"Aussenlager","teilweise")))))</f>
        <v>Lift</v>
      </c>
      <c r="BH443" s="48" t="str">
        <f aca="false">IF(AR443&lt;=0,"",IF(CC443="Aussen","Aussenlager",IF(CC443="-","Nicht im Lift",IF(AW443&gt;=1,"Lift",IF(AW443&lt;=0,"Aussenlager","teilweise")))))</f>
        <v>Lift</v>
      </c>
      <c r="BI443" s="48" t="str">
        <f aca="false">IF(BA443&lt;=0,"",IF(CC443="Aussen","Aussenlager",IF(CC443="-","Nicht im Lift",IF(BF443&gt;=1,"Lift",IF(BF443&lt;=0,"Aussenlager","teilweise")))))</f>
        <v>Lift</v>
      </c>
      <c r="BJ443" s="48" t="str">
        <f aca="false">IF(A443="","",IF(BS443=1,"Neu; ","")&amp;IF(AND(BS443=0,BN443&lt;0),"negativer Bestand (Export "&amp;BN443&amp;"); ","")&amp;IF(J443&lt;=0,"Kein Verbrauch; ","")&amp;IF(CL443&gt;0,"Lift "&amp;W443&amp;" lt. Liftbericht (Fach "&amp;X443&amp;" Stk); ",IF(BX443=1,"Gebinde geschätzt ("&amp;T443&amp;"); ",IF(BW443=1,"Lose – Tablare geschätzt; ","")))&amp;IF(H443&gt;AT443,"Überbestand "&amp;ROUND(H443-AT443,0)&amp;" Stk / CHF "&amp;ROUND((H443-AT443)*G443,0)&amp;"; ","")&amp;IF(AND(CE443=1,CF443&lt;CG443),"MAX &lt; MB+LG; ","")&amp;IF(AND(CK443&gt;0,CJ443*10&gt;CK443),"zu hoch für Tablar; ","")&amp;IF(AND(BS443=0,OR(CE443=1,AA443&lt;&gt;"",U443&lt;&gt;"",V443&lt;&gt;"",AB443&lt;&gt;"")),"manuell übersteuert; ","")&amp;IF(AND(BW443=0,R443=0),"Gebinde unbekannt / Stellmass fehlt; ","")&amp;IF(AND(BW443=0,N(V443)&lt;=0,N(Q443)&lt;=0),"Menge pro Gebinde fehlt (Ist = 1 Gebinde); ","")&amp;BR443)</f>
        <v/>
      </c>
      <c r="BK443" s="48"/>
      <c r="BL443" s="48"/>
      <c r="BM443" s="55"/>
      <c r="BN443" s="50" t="n">
        <v>11</v>
      </c>
      <c r="BO443" s="50" t="n">
        <v>42</v>
      </c>
      <c r="BP443" s="49" t="n">
        <v>73.15</v>
      </c>
      <c r="BQ443" s="50" t="n">
        <v>1</v>
      </c>
      <c r="BR443" s="48"/>
      <c r="BS443" s="53" t="n">
        <v>0</v>
      </c>
      <c r="BT443" s="53" t="n">
        <v>443</v>
      </c>
      <c r="BU443" s="48" t="str">
        <f aca="false">IF(U443&lt;&gt;"",UPPER(TRIM(U443)),IF(BX443=1,UPPER(VLOOKUP(T443,Parameter!$I$27:$K$29,2,0)),IF(P443="","LOSE",P443)))</f>
        <v>S33</v>
      </c>
      <c r="BV443" s="50" t="n">
        <f aca="false">IF(BU443="LOSE",1,IF(N(V443)&gt;0,V443,IF(BX443=1,MAX(1,N(VLOOKUP(T443,Parameter!$I$27:$K$29,3,0)),H443,N(N443)),IF(N(Q443)&gt;0,Q443,MAX(1,H443)))))</f>
        <v>55</v>
      </c>
      <c r="BW443" s="53" t="n">
        <f aca="false">IF(BU443="LOSE",1,0)</f>
        <v>0</v>
      </c>
      <c r="BX443" s="53" t="n">
        <f aca="false">IF(AND(U443="",OR(P443="",P443="LOSE"),T443&lt;&gt;"",N(S443)&lt;=0,ISNUMBER(MATCH(T443,Parameter!$I$27:$I$29,0))),1,0)</f>
        <v>0</v>
      </c>
      <c r="BY443" s="53" t="n">
        <f aca="false">IF(CL443&gt;0,INDEX(Parameter!$H$5:$H$7,W443)/INDEX(Parameter!$E$5:$E$7,W443),IF(AND(BW443=0,N(IFERROR(VLOOKUP(BU443,'Gebinde-Kategorie'!$A$5:$N$45,14,0),0))&gt;0),VLOOKUP(BU443,'Gebinde-Kategorie'!$A$5:$N$45,14,0)*10+Parameter!$M$23,Parameter!$M$24))</f>
        <v>155</v>
      </c>
      <c r="BZ443" s="48" t="str">
        <f aca="false">IF(AND(Parameter!$B$19="Ja",E443&lt;&gt;"",ISNUMBER(MATCH(E443,Parameter!$I$35:$I$52,0))),VLOOKUP(E443,Parameter!$I$35:$J$52,2,0),IFERROR(VLOOKUP(D443,Parameter!$A$35:$C$64,2,0),"Nein"))</f>
        <v>2+3</v>
      </c>
      <c r="CA443" s="52" t="n">
        <f aca="false">IF(BW443=0,0,IF(N(S443)&gt;0,S443,IFERROR(VLOOKUP(D443,Parameter!$A$35:$C$64,3,0)+0,0)))</f>
        <v>0</v>
      </c>
      <c r="CB443" s="48" t="n">
        <f aca="false">IF(AA443&lt;&gt;"",AA443,Z443)</f>
        <v>3</v>
      </c>
      <c r="CC443" s="48" t="str">
        <f aca="false">IF(OR(CB443=1,CB443=2,CB443=3),IF(Parameter!$E$27="Ja","LIFT",IF(CB443=1,"L1","L23")),IF(CB443="Aussen","Aussen","-"))</f>
        <v>LIFT</v>
      </c>
      <c r="CD443" s="59" t="n">
        <f aca="false">IF(N(AB443)&gt;0,AB443,0)</f>
        <v>0</v>
      </c>
      <c r="CE443" s="53" t="n">
        <f aca="false">IF(ISNUMBER(AE443),1,0)</f>
        <v>0</v>
      </c>
      <c r="CF443" s="50" t="n">
        <f aca="false">N(AE443)</f>
        <v>0</v>
      </c>
      <c r="CG443" s="50" t="n">
        <f aca="false">N(M443)+N(N443)</f>
        <v>1</v>
      </c>
      <c r="CH443" s="50" t="n">
        <f aca="false">ROUNDUP(H443/BV443,0)</f>
        <v>1</v>
      </c>
      <c r="CI443" s="50" t="n">
        <f aca="false">ROUNDUP(CF443/BV443,0)</f>
        <v>0</v>
      </c>
      <c r="CJ443" s="53" t="n">
        <f aca="false">IF(BW443=1,0,IFERROR(VLOOKUP(BU443,'Gebinde-Kategorie'!$A$5:$N$45,5,0)+0,0))</f>
        <v>8</v>
      </c>
      <c r="CK443" s="53" t="n">
        <f aca="false">IFERROR(IF(OR(CB443=1,CB443=2,CB443=3),N(INDEX(Parameter!$I$5:$I$7,CB443)),0),0)</f>
        <v>0</v>
      </c>
      <c r="CL443" s="52" t="n">
        <f aca="false">IF(AND(Parameter!$B$21="Ja",ISNUMBER(W443),N(X443)&gt;0),IFERROR(N(INDEX(Parameter!$L$5:$L$7,W443))*INDEX(Parameter!$E$5:$E$7,W443)*X443/SUMIFS($X$7:$X$1843,$W$7:$W$1843,W443),0),0)</f>
        <v>0</v>
      </c>
    </row>
    <row r="444" customFormat="false" ht="15" hidden="false" customHeight="false" outlineLevel="0" collapsed="false">
      <c r="A444" s="48" t="s">
        <v>1014</v>
      </c>
      <c r="B444" s="48" t="s">
        <v>433</v>
      </c>
      <c r="C444" s="48" t="s">
        <v>168</v>
      </c>
      <c r="D444" s="48" t="s">
        <v>188</v>
      </c>
      <c r="E444" s="48"/>
      <c r="F444" s="48" t="s">
        <v>222</v>
      </c>
      <c r="G444" s="49" t="n">
        <v>36.06</v>
      </c>
      <c r="H444" s="50" t="n">
        <f aca="false">MAX(0,IF(AND(Parameter!$B$21="Ja",ISNUMBER(Y444)),Y444,IF(Parameter!$B$20="Jahresanfang 2025 + Export",BO444+BN444,BN444)))</f>
        <v>61</v>
      </c>
      <c r="I444" s="50" t="n">
        <f aca="false">H444*G444</f>
        <v>2199.66</v>
      </c>
      <c r="J444" s="50" t="n">
        <f aca="false">BQ444*Parameter!$B$18</f>
        <v>68</v>
      </c>
      <c r="K444" s="51" t="n">
        <v>60</v>
      </c>
      <c r="L444" s="52" t="n">
        <v>1.13333333333333</v>
      </c>
      <c r="M444" s="50" t="n">
        <v>13</v>
      </c>
      <c r="N444" s="50" t="n">
        <v>70</v>
      </c>
      <c r="O444" s="53" t="n">
        <v>70</v>
      </c>
      <c r="P444" s="48" t="s">
        <v>297</v>
      </c>
      <c r="Q444" s="50" t="n">
        <v>55</v>
      </c>
      <c r="R444" s="53" t="n">
        <f aca="false">IF(BW444=1,0,IFERROR(VLOOKUP(BU444,'Gebinde-Kategorie'!$A$5:$N$45,13,0)+0,0))</f>
        <v>12</v>
      </c>
      <c r="S444" s="54"/>
      <c r="T444" s="55"/>
      <c r="U444" s="55"/>
      <c r="V444" s="55"/>
      <c r="W444" s="48"/>
      <c r="X444" s="50"/>
      <c r="Y444" s="50"/>
      <c r="Z444" s="48" t="n">
        <f aca="false">IF(A444="","",IF(AND(Parameter!$B$21="Ja",ISNUMBER(W444)),W444,IF(BZ444="2+3",IF(ISNUMBER(SEARCH("grosser Artikel",BR444)),2,IFERROR(VLOOKUP(BU444,Parameter!$F$35:$G$64,2,0),2)),IF(OR(BZ444="Nein",BZ444=""),"-",BZ444))))</f>
        <v>2</v>
      </c>
      <c r="AA444" s="55"/>
      <c r="AB444" s="56"/>
      <c r="AC444" s="50" t="n">
        <f aca="false">AT444</f>
        <v>110</v>
      </c>
      <c r="AD444" s="50" t="n">
        <f aca="false">MAX(AT444,H444)</f>
        <v>110</v>
      </c>
      <c r="AE444" s="57"/>
      <c r="AF444" s="50" t="n">
        <f aca="false">IF(LEFT(Cockpit!$C$5,1)="A",H444,IF(CE444=1,CF444,IF(LEFT(Cockpit!$C$5,1)="B",AK444,MAX(AK444,H444))))</f>
        <v>61</v>
      </c>
      <c r="AG444" s="50" t="n">
        <f aca="false">IF(BW444=1,0,ROUNDUP(AF444/BV444,0))</f>
        <v>2</v>
      </c>
      <c r="AH444" s="52" t="n">
        <f aca="false">IF(CL444&gt;0,CL444*MAX(1,AF444/X444),IF(BW444=1,IF(AF444&lt;=0,0,CA444*MAX(1,IF(H444&gt;0,AF444/H444,1))),IF(R444&gt;0,AG444/R444,0))/MAX(0.1,N(Parameter!$M$21)))</f>
        <v>0.166666666666667</v>
      </c>
      <c r="AI444" s="50" t="n">
        <f aca="false">AH444*BY444</f>
        <v>40.8333333333333</v>
      </c>
      <c r="AJ444" s="50" t="n">
        <f aca="false">AF444*G444</f>
        <v>2199.66</v>
      </c>
      <c r="AK444" s="50" t="n">
        <f aca="false">ROUNDUP(MAX(J444/IF(CD444&gt;0,CD444,MAX(0.1,N(Cockpit!$C$6))),CG444)/BV444,0)*BV444</f>
        <v>110</v>
      </c>
      <c r="AL444" s="51" t="n">
        <f aca="false">IF(AI444&gt;0,J444/AI444,-1)</f>
        <v>1.66530612244898</v>
      </c>
      <c r="AM444" s="51" t="n">
        <f aca="false">IF(AND(OR(CC444="L1",CC444="L23",CC444="LIFT"),AI444&gt;0),SUMIFS($AI$7:$AI$1843,$CC$7:$CC$1843,CC444,$AL$7:$AL$1843,"&gt;"&amp;AL444)+SUMIFS($AI$7:$AI$1843,$CC$7:$CC$1843,CC444,$AL$7:$AL$1843,AL444,$BT$7:$BT$1843,"&lt;="&amp;BT444),"")</f>
        <v>6104.60943223443</v>
      </c>
      <c r="AN444" s="58" t="n">
        <f aca="false">IF(AM444="",0,MAX(0,MIN(1,(IF(CC444="L1",Parameter!$H$5,IF(CC444="L23",Parameter!$H$6+Parameter!$H$7,Parameter!$H$5+Parameter!$H$6+Parameter!$H$7))-(AM444-AI444))/AI444)))</f>
        <v>1</v>
      </c>
      <c r="AO444" s="50" t="n">
        <f aca="false">IF(LEFT(Cockpit!$I$5,1)="A",H444,IF(CE444=1,CF444,IF(LEFT(Cockpit!$I$5,1)="B",AT444,MAX(AT444,H444))))</f>
        <v>110</v>
      </c>
      <c r="AP444" s="50" t="n">
        <f aca="false">IF(BW444=1,0,ROUNDUP(AO444/BV444,0))</f>
        <v>2</v>
      </c>
      <c r="AQ444" s="52" t="n">
        <f aca="false">IF(CL444&gt;0,CL444*MAX(1,AO444/X444),IF(BW444=1,IF(AO444&lt;=0,0,CA444*MAX(1,IF(H444&gt;0,AO444/H444,1))),IF(R444&gt;0,AP444/R444,0))/MAX(0.1,N(Parameter!$M$21)))</f>
        <v>0.166666666666667</v>
      </c>
      <c r="AR444" s="50" t="n">
        <f aca="false">AQ444*BY444</f>
        <v>40.8333333333333</v>
      </c>
      <c r="AS444" s="50" t="n">
        <f aca="false">AO444*G444</f>
        <v>3966.6</v>
      </c>
      <c r="AT444" s="50" t="n">
        <f aca="false">ROUNDUP(MAX(J444/IF(CD444&gt;0,CD444,MAX(0.1,N(Cockpit!$I$6))),CG444)/BV444,0)*BV444</f>
        <v>110</v>
      </c>
      <c r="AU444" s="51" t="n">
        <f aca="false">IF(AR444&gt;0,J444/AR444,-1)</f>
        <v>1.66530612244898</v>
      </c>
      <c r="AV444" s="51" t="n">
        <f aca="false">IF(AND(OR(CC444="L1",CC444="L23",CC444="LIFT"),AR444&gt;0),SUMIFS($AR$7:$AR$1843,$CC$7:$CC$1843,CC444,$AU$7:$AU$1843,"&gt;"&amp;AU444)+SUMIFS($AR$7:$AR$1843,$CC$7:$CC$1843,CC444,$AU$7:$AU$1843,AU444,$BT$7:$BT$1843,"&lt;="&amp;BT444),"")</f>
        <v>8266.53937728938</v>
      </c>
      <c r="AW444" s="58" t="n">
        <f aca="false">IF(AV444="",0,MAX(0,MIN(1,(IF(CC444="L1",Parameter!$H$5,IF(CC444="L23",Parameter!$H$6+Parameter!$H$7,Parameter!$H$5+Parameter!$H$6+Parameter!$H$7))-(AV444-AR444))/AR444)))</f>
        <v>1</v>
      </c>
      <c r="AX444" s="50" t="n">
        <f aca="false">IF(LEFT(Cockpit!$O$5,1)="A",H444,IF(CE444=1,CF444,IF(LEFT(Cockpit!$O$5,1)="B",BC444,MAX(BC444,H444))))</f>
        <v>110</v>
      </c>
      <c r="AY444" s="50" t="n">
        <f aca="false">IF(BW444=1,0,ROUNDUP(AX444/BV444,0))</f>
        <v>2</v>
      </c>
      <c r="AZ444" s="52" t="n">
        <f aca="false">IF(CL444&gt;0,CL444*MAX(1,AX444/X444),IF(BW444=1,IF(AX444&lt;=0,0,CA444*MAX(1,IF(H444&gt;0,AX444/H444,1))),IF(R444&gt;0,AY444/R444,0))/MAX(0.1,N(Parameter!$M$21)))</f>
        <v>0.166666666666667</v>
      </c>
      <c r="BA444" s="50" t="n">
        <f aca="false">AZ444*BY444</f>
        <v>40.8333333333333</v>
      </c>
      <c r="BB444" s="50" t="n">
        <f aca="false">AX444*G444</f>
        <v>3966.6</v>
      </c>
      <c r="BC444" s="50" t="n">
        <f aca="false">ROUNDUP(MAX(J444/IF(CD444&gt;0,CD444,MAX(0.1,N(Cockpit!$O$6))),CG444)/BV444,0)*BV444</f>
        <v>110</v>
      </c>
      <c r="BD444" s="51" t="n">
        <f aca="false">IF(BA444&gt;0,J444/BA444,-1)</f>
        <v>1.66530612244898</v>
      </c>
      <c r="BE444" s="51" t="n">
        <f aca="false">IF(AND(OR(CC444="L1",CC444="L23",CC444="LIFT"),BA444&gt;0),SUMIFS($BA$7:$BA$1843,$CC$7:$CC$1843,CC444,$BD$7:$BD$1843,"&gt;"&amp;BD444)+SUMIFS($BA$7:$BA$1843,$CC$7:$CC$1843,CC444,$BD$7:$BD$1843,BD444,$BT$7:$BT$1843,"&lt;="&amp;BT444),"")</f>
        <v>8180.94642857143</v>
      </c>
      <c r="BF444" s="58" t="n">
        <f aca="false">IF(BE444="",0,MAX(0,MIN(1,(IF(CC444="L1",Parameter!$H$5,IF(CC444="L23",Parameter!$H$6+Parameter!$H$7,Parameter!$H$5+Parameter!$H$6+Parameter!$H$7))-(BE444-BA444))/BA444)))</f>
        <v>1</v>
      </c>
      <c r="BG444" s="48" t="str">
        <f aca="false">IF(AI444&lt;=0,"",IF(CC444="Aussen","Aussenlager",IF(CC444="-","Nicht im Lift",IF(AN444&gt;=1,"Lift",IF(AN444&lt;=0,"Aussenlager","teilweise")))))</f>
        <v>Lift</v>
      </c>
      <c r="BH444" s="48" t="str">
        <f aca="false">IF(AR444&lt;=0,"",IF(CC444="Aussen","Aussenlager",IF(CC444="-","Nicht im Lift",IF(AW444&gt;=1,"Lift",IF(AW444&lt;=0,"Aussenlager","teilweise")))))</f>
        <v>Lift</v>
      </c>
      <c r="BI444" s="48" t="str">
        <f aca="false">IF(BA444&lt;=0,"",IF(CC444="Aussen","Aussenlager",IF(CC444="-","Nicht im Lift",IF(BF444&gt;=1,"Lift",IF(BF444&lt;=0,"Aussenlager","teilweise")))))</f>
        <v>Lift</v>
      </c>
      <c r="BJ444" s="48" t="str">
        <f aca="false">IF(A444="","",IF(BS444=1,"Neu; ","")&amp;IF(AND(BS444=0,BN444&lt;0),"negativer Bestand (Export "&amp;BN444&amp;"); ","")&amp;IF(J444&lt;=0,"Kein Verbrauch; ","")&amp;IF(CL444&gt;0,"Lift "&amp;W444&amp;" lt. Liftbericht (Fach "&amp;X444&amp;" Stk); ",IF(BX444=1,"Gebinde geschätzt ("&amp;T444&amp;"); ",IF(BW444=1,"Lose – Tablare geschätzt; ","")))&amp;IF(H444&gt;AT444,"Überbestand "&amp;ROUND(H444-AT444,0)&amp;" Stk / CHF "&amp;ROUND((H444-AT444)*G444,0)&amp;"; ","")&amp;IF(AND(CE444=1,CF444&lt;CG444),"MAX &lt; MB+LG; ","")&amp;IF(AND(CK444&gt;0,CJ444*10&gt;CK444),"zu hoch für Tablar; ","")&amp;IF(AND(BS444=0,OR(CE444=1,AA444&lt;&gt;"",U444&lt;&gt;"",V444&lt;&gt;"",AB444&lt;&gt;"")),"manuell übersteuert; ","")&amp;IF(AND(BW444=0,R444=0),"Gebinde unbekannt / Stellmass fehlt; ","")&amp;IF(AND(BW444=0,N(V444)&lt;=0,N(Q444)&lt;=0),"Menge pro Gebinde fehlt (Ist = 1 Gebinde); ","")&amp;BR444)</f>
        <v/>
      </c>
      <c r="BK444" s="48"/>
      <c r="BL444" s="48"/>
      <c r="BM444" s="55"/>
      <c r="BN444" s="50" t="n">
        <v>4</v>
      </c>
      <c r="BO444" s="50" t="n">
        <v>57</v>
      </c>
      <c r="BP444" s="49" t="n">
        <v>72.9900000000001</v>
      </c>
      <c r="BQ444" s="50" t="n">
        <v>68</v>
      </c>
      <c r="BR444" s="48"/>
      <c r="BS444" s="53" t="n">
        <v>0</v>
      </c>
      <c r="BT444" s="53" t="n">
        <v>444</v>
      </c>
      <c r="BU444" s="48" t="str">
        <f aca="false">IF(U444&lt;&gt;"",UPPER(TRIM(U444)),IF(BX444=1,UPPER(VLOOKUP(T444,Parameter!$I$27:$K$29,2,0)),IF(P444="","LOSE",P444)))</f>
        <v>S62</v>
      </c>
      <c r="BV444" s="50" t="n">
        <f aca="false">IF(BU444="LOSE",1,IF(N(V444)&gt;0,V444,IF(BX444=1,MAX(1,N(VLOOKUP(T444,Parameter!$I$27:$K$29,3,0)),H444,N(N444)),IF(N(Q444)&gt;0,Q444,MAX(1,H444)))))</f>
        <v>55</v>
      </c>
      <c r="BW444" s="53" t="n">
        <f aca="false">IF(BU444="LOSE",1,0)</f>
        <v>0</v>
      </c>
      <c r="BX444" s="53" t="n">
        <f aca="false">IF(AND(U444="",OR(P444="",P444="LOSE"),T444&lt;&gt;"",N(S444)&lt;=0,ISNUMBER(MATCH(T444,Parameter!$I$27:$I$29,0))),1,0)</f>
        <v>0</v>
      </c>
      <c r="BY444" s="53" t="n">
        <f aca="false">IF(CL444&gt;0,INDEX(Parameter!$H$5:$H$7,W444)/INDEX(Parameter!$E$5:$E$7,W444),IF(AND(BW444=0,N(IFERROR(VLOOKUP(BU444,'Gebinde-Kategorie'!$A$5:$N$45,14,0),0))&gt;0),VLOOKUP(BU444,'Gebinde-Kategorie'!$A$5:$N$45,14,0)*10+Parameter!$M$23,Parameter!$M$24))</f>
        <v>245</v>
      </c>
      <c r="BZ444" s="48" t="str">
        <f aca="false">IF(AND(Parameter!$B$19="Ja",E444&lt;&gt;"",ISNUMBER(MATCH(E444,Parameter!$I$35:$I$52,0))),VLOOKUP(E444,Parameter!$I$35:$J$52,2,0),IFERROR(VLOOKUP(D444,Parameter!$A$35:$C$64,2,0),"Nein"))</f>
        <v>2+3</v>
      </c>
      <c r="CA444" s="52" t="n">
        <f aca="false">IF(BW444=0,0,IF(N(S444)&gt;0,S444,IFERROR(VLOOKUP(D444,Parameter!$A$35:$C$64,3,0)+0,0)))</f>
        <v>0</v>
      </c>
      <c r="CB444" s="48" t="n">
        <f aca="false">IF(AA444&lt;&gt;"",AA444,Z444)</f>
        <v>2</v>
      </c>
      <c r="CC444" s="48" t="str">
        <f aca="false">IF(OR(CB444=1,CB444=2,CB444=3),IF(Parameter!$E$27="Ja","LIFT",IF(CB444=1,"L1","L23")),IF(CB444="Aussen","Aussen","-"))</f>
        <v>LIFT</v>
      </c>
      <c r="CD444" s="59" t="n">
        <f aca="false">IF(N(AB444)&gt;0,AB444,0)</f>
        <v>0</v>
      </c>
      <c r="CE444" s="53" t="n">
        <f aca="false">IF(ISNUMBER(AE444),1,0)</f>
        <v>0</v>
      </c>
      <c r="CF444" s="50" t="n">
        <f aca="false">N(AE444)</f>
        <v>0</v>
      </c>
      <c r="CG444" s="50" t="n">
        <f aca="false">N(M444)+N(N444)</f>
        <v>83</v>
      </c>
      <c r="CH444" s="50" t="n">
        <f aca="false">ROUNDUP(H444/BV444,0)</f>
        <v>2</v>
      </c>
      <c r="CI444" s="50" t="n">
        <f aca="false">ROUNDUP(CF444/BV444,0)</f>
        <v>0</v>
      </c>
      <c r="CJ444" s="53" t="n">
        <f aca="false">IF(BW444=1,0,IFERROR(VLOOKUP(BU444,'Gebinde-Kategorie'!$A$5:$N$45,5,0)+0,0))</f>
        <v>21</v>
      </c>
      <c r="CK444" s="53" t="n">
        <f aca="false">IFERROR(IF(OR(CB444=1,CB444=2,CB444=3),N(INDEX(Parameter!$I$5:$I$7,CB444)),0),0)</f>
        <v>0</v>
      </c>
      <c r="CL444" s="52" t="n">
        <f aca="false">IF(AND(Parameter!$B$21="Ja",ISNUMBER(W444),N(X444)&gt;0),IFERROR(N(INDEX(Parameter!$L$5:$L$7,W444))*INDEX(Parameter!$E$5:$E$7,W444)*X444/SUMIFS($X$7:$X$1843,$W$7:$W$1843,W444),0),0)</f>
        <v>0</v>
      </c>
    </row>
    <row r="445" customFormat="false" ht="15" hidden="false" customHeight="false" outlineLevel="0" collapsed="false">
      <c r="A445" s="48" t="s">
        <v>1015</v>
      </c>
      <c r="B445" s="48" t="s">
        <v>665</v>
      </c>
      <c r="C445" s="48" t="s">
        <v>168</v>
      </c>
      <c r="D445" s="48" t="s">
        <v>188</v>
      </c>
      <c r="E445" s="48" t="s">
        <v>189</v>
      </c>
      <c r="F445" s="48" t="s">
        <v>222</v>
      </c>
      <c r="G445" s="49" t="n">
        <v>4.81</v>
      </c>
      <c r="H445" s="50" t="n">
        <f aca="false">MAX(0,IF(AND(Parameter!$B$21="Ja",ISNUMBER(Y445)),Y445,IF(Parameter!$B$20="Jahresanfang 2025 + Export",BO445+BN445,BN445)))</f>
        <v>172</v>
      </c>
      <c r="I445" s="50" t="n">
        <f aca="false">H445*G445</f>
        <v>827.32</v>
      </c>
      <c r="J445" s="50" t="n">
        <f aca="false">BQ445*Parameter!$B$18</f>
        <v>618</v>
      </c>
      <c r="K445" s="51" t="n">
        <v>163.5</v>
      </c>
      <c r="L445" s="52" t="n">
        <v>3.77981651376147</v>
      </c>
      <c r="M445" s="50" t="n">
        <v>36</v>
      </c>
      <c r="N445" s="50" t="n">
        <v>60</v>
      </c>
      <c r="O445" s="53" t="n">
        <v>21</v>
      </c>
      <c r="P445" s="48" t="s">
        <v>425</v>
      </c>
      <c r="Q445" s="50" t="n">
        <v>246</v>
      </c>
      <c r="R445" s="53" t="n">
        <f aca="false">IF(BW445=1,0,IFERROR(VLOOKUP(BU445,'Gebinde-Kategorie'!$A$5:$N$45,13,0)+0,0))</f>
        <v>104</v>
      </c>
      <c r="S445" s="54"/>
      <c r="T445" s="55"/>
      <c r="U445" s="55"/>
      <c r="V445" s="55"/>
      <c r="W445" s="48"/>
      <c r="X445" s="50"/>
      <c r="Y445" s="50"/>
      <c r="Z445" s="48" t="n">
        <f aca="false">IF(A445="","",IF(AND(Parameter!$B$21="Ja",ISNUMBER(W445)),W445,IF(BZ445="2+3",IF(ISNUMBER(SEARCH("grosser Artikel",BR445)),2,IFERROR(VLOOKUP(BU445,Parameter!$F$35:$G$64,2,0),2)),IF(OR(BZ445="Nein",BZ445=""),"-",BZ445))))</f>
        <v>3</v>
      </c>
      <c r="AA445" s="55"/>
      <c r="AB445" s="56"/>
      <c r="AC445" s="50" t="n">
        <f aca="false">AT445</f>
        <v>492</v>
      </c>
      <c r="AD445" s="50" t="n">
        <f aca="false">MAX(AT445,H445)</f>
        <v>492</v>
      </c>
      <c r="AE445" s="57"/>
      <c r="AF445" s="50" t="n">
        <f aca="false">IF(LEFT(Cockpit!$C$5,1)="A",H445,IF(CE445=1,CF445,IF(LEFT(Cockpit!$C$5,1)="B",AK445,MAX(AK445,H445))))</f>
        <v>172</v>
      </c>
      <c r="AG445" s="50" t="n">
        <f aca="false">IF(BW445=1,0,ROUNDUP(AF445/BV445,0))</f>
        <v>1</v>
      </c>
      <c r="AH445" s="52" t="n">
        <f aca="false">IF(CL445&gt;0,CL445*MAX(1,AF445/X445),IF(BW445=1,IF(AF445&lt;=0,0,CA445*MAX(1,IF(H445&gt;0,AF445/H445,1))),IF(R445&gt;0,AG445/R445,0))/MAX(0.1,N(Parameter!$M$21)))</f>
        <v>0.00961538461538462</v>
      </c>
      <c r="AI445" s="50" t="n">
        <f aca="false">AH445*BY445</f>
        <v>1.49038461538462</v>
      </c>
      <c r="AJ445" s="50" t="n">
        <f aca="false">AF445*G445</f>
        <v>827.32</v>
      </c>
      <c r="AK445" s="50" t="n">
        <f aca="false">ROUNDUP(MAX(J445/IF(CD445&gt;0,CD445,MAX(0.1,N(Cockpit!$C$6))),CG445)/BV445,0)*BV445</f>
        <v>492</v>
      </c>
      <c r="AL445" s="51" t="n">
        <f aca="false">IF(AI445&gt;0,J445/AI445,-1)</f>
        <v>414.658064516129</v>
      </c>
      <c r="AM445" s="51" t="n">
        <f aca="false">IF(AND(OR(CC445="L1",CC445="L23",CC445="LIFT"),AI445&gt;0),SUMIFS($AI$7:$AI$1843,$CC$7:$CC$1843,CC445,$AL$7:$AL$1843,"&gt;"&amp;AL445)+SUMIFS($AI$7:$AI$1843,$CC$7:$CC$1843,CC445,$AL$7:$AL$1843,AL445,$BT$7:$BT$1843,"&lt;="&amp;BT445),"")</f>
        <v>171.565476190476</v>
      </c>
      <c r="AN445" s="58" t="n">
        <f aca="false">IF(AM445="",0,MAX(0,MIN(1,(IF(CC445="L1",Parameter!$H$5,IF(CC445="L23",Parameter!$H$6+Parameter!$H$7,Parameter!$H$5+Parameter!$H$6+Parameter!$H$7))-(AM445-AI445))/AI445)))</f>
        <v>1</v>
      </c>
      <c r="AO445" s="50" t="n">
        <f aca="false">IF(LEFT(Cockpit!$I$5,1)="A",H445,IF(CE445=1,CF445,IF(LEFT(Cockpit!$I$5,1)="B",AT445,MAX(AT445,H445))))</f>
        <v>492</v>
      </c>
      <c r="AP445" s="50" t="n">
        <f aca="false">IF(BW445=1,0,ROUNDUP(AO445/BV445,0))</f>
        <v>2</v>
      </c>
      <c r="AQ445" s="52" t="n">
        <f aca="false">IF(CL445&gt;0,CL445*MAX(1,AO445/X445),IF(BW445=1,IF(AO445&lt;=0,0,CA445*MAX(1,IF(H445&gt;0,AO445/H445,1))),IF(R445&gt;0,AP445/R445,0))/MAX(0.1,N(Parameter!$M$21)))</f>
        <v>0.0192307692307692</v>
      </c>
      <c r="AR445" s="50" t="n">
        <f aca="false">AQ445*BY445</f>
        <v>2.98076923076923</v>
      </c>
      <c r="AS445" s="50" t="n">
        <f aca="false">AO445*G445</f>
        <v>2366.52</v>
      </c>
      <c r="AT445" s="50" t="n">
        <f aca="false">ROUNDUP(MAX(J445/IF(CD445&gt;0,CD445,MAX(0.1,N(Cockpit!$I$6))),CG445)/BV445,0)*BV445</f>
        <v>492</v>
      </c>
      <c r="AU445" s="51" t="n">
        <f aca="false">IF(AR445&gt;0,J445/AR445,-1)</f>
        <v>207.329032258065</v>
      </c>
      <c r="AV445" s="51" t="n">
        <f aca="false">IF(AND(OR(CC445="L1",CC445="L23",CC445="LIFT"),AR445&gt;0),SUMIFS($AR$7:$AR$1843,$CC$7:$CC$1843,CC445,$AU$7:$AU$1843,"&gt;"&amp;AU445)+SUMIFS($AR$7:$AR$1843,$CC$7:$CC$1843,CC445,$AU$7:$AU$1843,AU445,$BT$7:$BT$1843,"&lt;="&amp;BT445),"")</f>
        <v>359.57326007326</v>
      </c>
      <c r="AW445" s="58" t="n">
        <f aca="false">IF(AV445="",0,MAX(0,MIN(1,(IF(CC445="L1",Parameter!$H$5,IF(CC445="L23",Parameter!$H$6+Parameter!$H$7,Parameter!$H$5+Parameter!$H$6+Parameter!$H$7))-(AV445-AR445))/AR445)))</f>
        <v>1</v>
      </c>
      <c r="AX445" s="50" t="n">
        <f aca="false">IF(LEFT(Cockpit!$O$5,1)="A",H445,IF(CE445=1,CF445,IF(LEFT(Cockpit!$O$5,1)="B",BC445,MAX(BC445,H445))))</f>
        <v>246</v>
      </c>
      <c r="AY445" s="50" t="n">
        <f aca="false">IF(BW445=1,0,ROUNDUP(AX445/BV445,0))</f>
        <v>1</v>
      </c>
      <c r="AZ445" s="52" t="n">
        <f aca="false">IF(CL445&gt;0,CL445*MAX(1,AX445/X445),IF(BW445=1,IF(AX445&lt;=0,0,CA445*MAX(1,IF(H445&gt;0,AX445/H445,1))),IF(R445&gt;0,AY445/R445,0))/MAX(0.1,N(Parameter!$M$21)))</f>
        <v>0.00961538461538462</v>
      </c>
      <c r="BA445" s="50" t="n">
        <f aca="false">AZ445*BY445</f>
        <v>1.49038461538462</v>
      </c>
      <c r="BB445" s="50" t="n">
        <f aca="false">AX445*G445</f>
        <v>1183.26</v>
      </c>
      <c r="BC445" s="50" t="n">
        <f aca="false">ROUNDUP(MAX(J445/IF(CD445&gt;0,CD445,MAX(0.1,N(Cockpit!$O$6))),CG445)/BV445,0)*BV445</f>
        <v>246</v>
      </c>
      <c r="BD445" s="51" t="n">
        <f aca="false">IF(BA445&gt;0,J445/BA445,-1)</f>
        <v>414.658064516129</v>
      </c>
      <c r="BE445" s="51" t="n">
        <f aca="false">IF(AND(OR(CC445="L1",CC445="L23",CC445="LIFT"),BA445&gt;0),SUMIFS($BA$7:$BA$1843,$CC$7:$CC$1843,CC445,$BD$7:$BD$1843,"&gt;"&amp;BD445)+SUMIFS($BA$7:$BA$1843,$CC$7:$CC$1843,CC445,$BD$7:$BD$1843,BD445,$BT$7:$BT$1843,"&lt;="&amp;BT445),"")</f>
        <v>95.945054945055</v>
      </c>
      <c r="BF445" s="58" t="n">
        <f aca="false">IF(BE445="",0,MAX(0,MIN(1,(IF(CC445="L1",Parameter!$H$5,IF(CC445="L23",Parameter!$H$6+Parameter!$H$7,Parameter!$H$5+Parameter!$H$6+Parameter!$H$7))-(BE445-BA445))/BA445)))</f>
        <v>1</v>
      </c>
      <c r="BG445" s="48" t="str">
        <f aca="false">IF(AI445&lt;=0,"",IF(CC445="Aussen","Aussenlager",IF(CC445="-","Nicht im Lift",IF(AN445&gt;=1,"Lift",IF(AN445&lt;=0,"Aussenlager","teilweise")))))</f>
        <v>Lift</v>
      </c>
      <c r="BH445" s="48" t="str">
        <f aca="false">IF(AR445&lt;=0,"",IF(CC445="Aussen","Aussenlager",IF(CC445="-","Nicht im Lift",IF(AW445&gt;=1,"Lift",IF(AW445&lt;=0,"Aussenlager","teilweise")))))</f>
        <v>Lift</v>
      </c>
      <c r="BI445" s="48" t="str">
        <f aca="false">IF(BA445&lt;=0,"",IF(CC445="Aussen","Aussenlager",IF(CC445="-","Nicht im Lift",IF(BF445&gt;=1,"Lift",IF(BF445&lt;=0,"Aussenlager","teilweise")))))</f>
        <v>Lift</v>
      </c>
      <c r="BJ445" s="48" t="str">
        <f aca="false">IF(A445="","",IF(BS445=1,"Neu; ","")&amp;IF(AND(BS445=0,BN445&lt;0),"negativer Bestand (Export "&amp;BN445&amp;"); ","")&amp;IF(J445&lt;=0,"Kein Verbrauch; ","")&amp;IF(CL445&gt;0,"Lift "&amp;W445&amp;" lt. Liftbericht (Fach "&amp;X445&amp;" Stk); ",IF(BX445=1,"Gebinde geschätzt ("&amp;T445&amp;"); ",IF(BW445=1,"Lose – Tablare geschätzt; ","")))&amp;IF(H445&gt;AT445,"Überbestand "&amp;ROUND(H445-AT445,0)&amp;" Stk / CHF "&amp;ROUND((H445-AT445)*G445,0)&amp;"; ","")&amp;IF(AND(CE445=1,CF445&lt;CG445),"MAX &lt; MB+LG; ","")&amp;IF(AND(CK445&gt;0,CJ445*10&gt;CK445),"zu hoch für Tablar; ","")&amp;IF(AND(BS445=0,OR(CE445=1,AA445&lt;&gt;"",U445&lt;&gt;"",V445&lt;&gt;"",AB445&lt;&gt;"")),"manuell übersteuert; ","")&amp;IF(AND(BW445=0,R445=0),"Gebinde unbekannt / Stellmass fehlt; ","")&amp;IF(AND(BW445=0,N(V445)&lt;=0,N(Q445)&lt;=0),"Menge pro Gebinde fehlt (Ist = 1 Gebinde); ","")&amp;BR445)</f>
        <v/>
      </c>
      <c r="BK445" s="48"/>
      <c r="BL445" s="48"/>
      <c r="BM445" s="55"/>
      <c r="BN445" s="50" t="n">
        <v>8</v>
      </c>
      <c r="BO445" s="50" t="n">
        <v>164</v>
      </c>
      <c r="BP445" s="49" t="n">
        <v>72.9199999999998</v>
      </c>
      <c r="BQ445" s="50" t="n">
        <v>618</v>
      </c>
      <c r="BR445" s="48"/>
      <c r="BS445" s="53" t="n">
        <v>0</v>
      </c>
      <c r="BT445" s="53" t="n">
        <v>445</v>
      </c>
      <c r="BU445" s="48" t="str">
        <f aca="false">IF(U445&lt;&gt;"",UPPER(TRIM(U445)),IF(BX445=1,UPPER(VLOOKUP(T445,Parameter!$I$27:$K$29,2,0)),IF(P445="","LOSE",P445)))</f>
        <v>S32</v>
      </c>
      <c r="BV445" s="50" t="n">
        <f aca="false">IF(BU445="LOSE",1,IF(N(V445)&gt;0,V445,IF(BX445=1,MAX(1,N(VLOOKUP(T445,Parameter!$I$27:$K$29,3,0)),H445,N(N445)),IF(N(Q445)&gt;0,Q445,MAX(1,H445)))))</f>
        <v>246</v>
      </c>
      <c r="BW445" s="53" t="n">
        <f aca="false">IF(BU445="LOSE",1,0)</f>
        <v>0</v>
      </c>
      <c r="BX445" s="53" t="n">
        <f aca="false">IF(AND(U445="",OR(P445="",P445="LOSE"),T445&lt;&gt;"",N(S445)&lt;=0,ISNUMBER(MATCH(T445,Parameter!$I$27:$I$29,0))),1,0)</f>
        <v>0</v>
      </c>
      <c r="BY445" s="53" t="n">
        <f aca="false">IF(CL445&gt;0,INDEX(Parameter!$H$5:$H$7,W445)/INDEX(Parameter!$E$5:$E$7,W445),IF(AND(BW445=0,N(IFERROR(VLOOKUP(BU445,'Gebinde-Kategorie'!$A$5:$N$45,14,0),0))&gt;0),VLOOKUP(BU445,'Gebinde-Kategorie'!$A$5:$N$45,14,0)*10+Parameter!$M$23,Parameter!$M$24))</f>
        <v>155</v>
      </c>
      <c r="BZ445" s="48" t="str">
        <f aca="false">IF(AND(Parameter!$B$19="Ja",E445&lt;&gt;"",ISNUMBER(MATCH(E445,Parameter!$I$35:$I$52,0))),VLOOKUP(E445,Parameter!$I$35:$J$52,2,0),IFERROR(VLOOKUP(D445,Parameter!$A$35:$C$64,2,0),"Nein"))</f>
        <v>2+3</v>
      </c>
      <c r="CA445" s="52" t="n">
        <f aca="false">IF(BW445=0,0,IF(N(S445)&gt;0,S445,IFERROR(VLOOKUP(D445,Parameter!$A$35:$C$64,3,0)+0,0)))</f>
        <v>0</v>
      </c>
      <c r="CB445" s="48" t="n">
        <f aca="false">IF(AA445&lt;&gt;"",AA445,Z445)</f>
        <v>3</v>
      </c>
      <c r="CC445" s="48" t="str">
        <f aca="false">IF(OR(CB445=1,CB445=2,CB445=3),IF(Parameter!$E$27="Ja","LIFT",IF(CB445=1,"L1","L23")),IF(CB445="Aussen","Aussen","-"))</f>
        <v>LIFT</v>
      </c>
      <c r="CD445" s="59" t="n">
        <f aca="false">IF(N(AB445)&gt;0,AB445,0)</f>
        <v>0</v>
      </c>
      <c r="CE445" s="53" t="n">
        <f aca="false">IF(ISNUMBER(AE445),1,0)</f>
        <v>0</v>
      </c>
      <c r="CF445" s="50" t="n">
        <f aca="false">N(AE445)</f>
        <v>0</v>
      </c>
      <c r="CG445" s="50" t="n">
        <f aca="false">N(M445)+N(N445)</f>
        <v>96</v>
      </c>
      <c r="CH445" s="50" t="n">
        <f aca="false">ROUNDUP(H445/BV445,0)</f>
        <v>1</v>
      </c>
      <c r="CI445" s="50" t="n">
        <f aca="false">ROUNDUP(CF445/BV445,0)</f>
        <v>0</v>
      </c>
      <c r="CJ445" s="53" t="n">
        <f aca="false">IF(BW445=1,0,IFERROR(VLOOKUP(BU445,'Gebinde-Kategorie'!$A$5:$N$45,5,0)+0,0))</f>
        <v>8</v>
      </c>
      <c r="CK445" s="53" t="n">
        <f aca="false">IFERROR(IF(OR(CB445=1,CB445=2,CB445=3),N(INDEX(Parameter!$I$5:$I$7,CB445)),0),0)</f>
        <v>0</v>
      </c>
      <c r="CL445" s="52" t="n">
        <f aca="false">IF(AND(Parameter!$B$21="Ja",ISNUMBER(W445),N(X445)&gt;0),IFERROR(N(INDEX(Parameter!$L$5:$L$7,W445))*INDEX(Parameter!$E$5:$E$7,W445)*X445/SUMIFS($X$7:$X$1843,$W$7:$W$1843,W445),0),0)</f>
        <v>0</v>
      </c>
    </row>
    <row r="446" customFormat="false" ht="15" hidden="false" customHeight="false" outlineLevel="0" collapsed="false">
      <c r="A446" s="48" t="s">
        <v>1016</v>
      </c>
      <c r="B446" s="48" t="s">
        <v>1017</v>
      </c>
      <c r="C446" s="48" t="s">
        <v>168</v>
      </c>
      <c r="D446" s="48" t="s">
        <v>177</v>
      </c>
      <c r="E446" s="48" t="s">
        <v>177</v>
      </c>
      <c r="F446" s="48" t="s">
        <v>222</v>
      </c>
      <c r="G446" s="49" t="n">
        <v>2338.25</v>
      </c>
      <c r="H446" s="50" t="n">
        <f aca="false">MAX(0,IF(AND(Parameter!$B$21="Ja",ISNUMBER(Y446)),Y446,IF(Parameter!$B$20="Jahresanfang 2025 + Export",BO446+BN446,BN446)))</f>
        <v>0</v>
      </c>
      <c r="I446" s="50" t="n">
        <f aca="false">H446*G446</f>
        <v>0</v>
      </c>
      <c r="J446" s="50" t="n">
        <f aca="false">BQ446*Parameter!$B$18</f>
        <v>4</v>
      </c>
      <c r="K446" s="51" t="n">
        <v>2.5</v>
      </c>
      <c r="L446" s="52" t="n">
        <v>1.6</v>
      </c>
      <c r="M446" s="50" t="n">
        <v>1</v>
      </c>
      <c r="N446" s="50" t="n">
        <v>1</v>
      </c>
      <c r="O446" s="53" t="n">
        <v>56</v>
      </c>
      <c r="P446" s="48" t="s">
        <v>172</v>
      </c>
      <c r="Q446" s="50"/>
      <c r="R446" s="53" t="n">
        <f aca="false">IF(BW446=1,0,IFERROR(VLOOKUP(BU446,'Gebinde-Kategorie'!$A$5:$N$45,13,0)+0,0))</f>
        <v>0</v>
      </c>
      <c r="S446" s="54"/>
      <c r="T446" s="55"/>
      <c r="U446" s="55"/>
      <c r="V446" s="55"/>
      <c r="W446" s="48" t="n">
        <v>1</v>
      </c>
      <c r="X446" s="50" t="n">
        <v>2</v>
      </c>
      <c r="Y446" s="50" t="n">
        <v>0</v>
      </c>
      <c r="Z446" s="48" t="n">
        <f aca="false">IF(A446="","",IF(AND(Parameter!$B$21="Ja",ISNUMBER(W446)),W446,IF(BZ446="2+3",IF(ISNUMBER(SEARCH("grosser Artikel",BR446)),2,IFERROR(VLOOKUP(BU446,Parameter!$F$35:$G$64,2,0),2)),IF(OR(BZ446="Nein",BZ446=""),"-",BZ446))))</f>
        <v>1</v>
      </c>
      <c r="AA446" s="55"/>
      <c r="AB446" s="56"/>
      <c r="AC446" s="50" t="n">
        <f aca="false">AT446</f>
        <v>2</v>
      </c>
      <c r="AD446" s="50" t="n">
        <f aca="false">MAX(AT446,H446)</f>
        <v>2</v>
      </c>
      <c r="AE446" s="57"/>
      <c r="AF446" s="50" t="n">
        <f aca="false">IF(LEFT(Cockpit!$C$5,1)="A",H446,IF(CE446=1,CF446,IF(LEFT(Cockpit!$C$5,1)="B",AK446,MAX(AK446,H446))))</f>
        <v>0</v>
      </c>
      <c r="AG446" s="50" t="n">
        <f aca="false">IF(BW446=1,0,ROUNDUP(AF446/BV446,0))</f>
        <v>0</v>
      </c>
      <c r="AH446" s="52" t="n">
        <f aca="false">IF(CL446&gt;0,CL446*MAX(1,AF446/X446),IF(BW446=1,IF(AF446&lt;=0,0,CA446*MAX(1,IF(H446&gt;0,AF446/H446,1))),IF(R446&gt;0,AG446/R446,0))/MAX(0.1,N(Parameter!$M$21)))</f>
        <v>0.160075329566855</v>
      </c>
      <c r="AI446" s="50" t="n">
        <f aca="false">AH446*BY446</f>
        <v>38.0979284369115</v>
      </c>
      <c r="AJ446" s="50" t="n">
        <f aca="false">AF446*G446</f>
        <v>0</v>
      </c>
      <c r="AK446" s="50" t="n">
        <f aca="false">ROUNDUP(MAX(J446/IF(CD446&gt;0,CD446,MAX(0.1,N(Cockpit!$C$6))),CG446)/BV446,0)*BV446</f>
        <v>2</v>
      </c>
      <c r="AL446" s="51" t="n">
        <f aca="false">IF(AI446&gt;0,J446/AI446,-1)</f>
        <v>0.104992585269402</v>
      </c>
      <c r="AM446" s="51" t="n">
        <f aca="false">IF(AND(OR(CC446="L1",CC446="L23",CC446="LIFT"),AI446&gt;0),SUMIFS($AI$7:$AI$1843,$CC$7:$CC$1843,CC446,$AL$7:$AL$1843,"&gt;"&amp;AL446)+SUMIFS($AI$7:$AI$1843,$CC$7:$CC$1843,CC446,$AL$7:$AL$1843,AL446,$BT$7:$BT$1843,"&lt;="&amp;BT446),"")</f>
        <v>15590.1844306823</v>
      </c>
      <c r="AN446" s="58" t="n">
        <f aca="false">IF(AM446="",0,MAX(0,MIN(1,(IF(CC446="L1",Parameter!$H$5,IF(CC446="L23",Parameter!$H$6+Parameter!$H$7,Parameter!$H$5+Parameter!$H$6+Parameter!$H$7))-(AM446-AI446))/AI446)))</f>
        <v>1</v>
      </c>
      <c r="AO446" s="50" t="n">
        <f aca="false">IF(LEFT(Cockpit!$I$5,1)="A",H446,IF(CE446=1,CF446,IF(LEFT(Cockpit!$I$5,1)="B",AT446,MAX(AT446,H446))))</f>
        <v>2</v>
      </c>
      <c r="AP446" s="50" t="n">
        <f aca="false">IF(BW446=1,0,ROUNDUP(AO446/BV446,0))</f>
        <v>0</v>
      </c>
      <c r="AQ446" s="52" t="n">
        <f aca="false">IF(CL446&gt;0,CL446*MAX(1,AO446/X446),IF(BW446=1,IF(AO446&lt;=0,0,CA446*MAX(1,IF(H446&gt;0,AO446/H446,1))),IF(R446&gt;0,AP446/R446,0))/MAX(0.1,N(Parameter!$M$21)))</f>
        <v>0.160075329566855</v>
      </c>
      <c r="AR446" s="50" t="n">
        <f aca="false">AQ446*BY446</f>
        <v>38.0979284369115</v>
      </c>
      <c r="AS446" s="50" t="n">
        <f aca="false">AO446*G446</f>
        <v>4676.5</v>
      </c>
      <c r="AT446" s="50" t="n">
        <f aca="false">ROUNDUP(MAX(J446/IF(CD446&gt;0,CD446,MAX(0.1,N(Cockpit!$I$6))),CG446)/BV446,0)*BV446</f>
        <v>2</v>
      </c>
      <c r="AU446" s="51" t="n">
        <f aca="false">IF(AR446&gt;0,J446/AR446,-1)</f>
        <v>0.104992585269402</v>
      </c>
      <c r="AV446" s="51" t="n">
        <f aca="false">IF(AND(OR(CC446="L1",CC446="L23",CC446="LIFT"),AR446&gt;0),SUMIFS($AR$7:$AR$1843,$CC$7:$CC$1843,CC446,$AU$7:$AU$1843,"&gt;"&amp;AU446)+SUMIFS($AR$7:$AR$1843,$CC$7:$CC$1843,CC446,$AU$7:$AU$1843,AU446,$BT$7:$BT$1843,"&lt;="&amp;BT446),"")</f>
        <v>20872.972245504</v>
      </c>
      <c r="AW446" s="58" t="n">
        <f aca="false">IF(AV446="",0,MAX(0,MIN(1,(IF(CC446="L1",Parameter!$H$5,IF(CC446="L23",Parameter!$H$6+Parameter!$H$7,Parameter!$H$5+Parameter!$H$6+Parameter!$H$7))-(AV446-AR446))/AR446)))</f>
        <v>1</v>
      </c>
      <c r="AX446" s="50" t="n">
        <f aca="false">IF(LEFT(Cockpit!$O$5,1)="A",H446,IF(CE446=1,CF446,IF(LEFT(Cockpit!$O$5,1)="B",BC446,MAX(BC446,H446))))</f>
        <v>2</v>
      </c>
      <c r="AY446" s="50" t="n">
        <f aca="false">IF(BW446=1,0,ROUNDUP(AX446/BV446,0))</f>
        <v>0</v>
      </c>
      <c r="AZ446" s="52" t="n">
        <f aca="false">IF(CL446&gt;0,CL446*MAX(1,AX446/X446),IF(BW446=1,IF(AX446&lt;=0,0,CA446*MAX(1,IF(H446&gt;0,AX446/H446,1))),IF(R446&gt;0,AY446/R446,0))/MAX(0.1,N(Parameter!$M$21)))</f>
        <v>0.160075329566855</v>
      </c>
      <c r="BA446" s="50" t="n">
        <f aca="false">AZ446*BY446</f>
        <v>38.0979284369115</v>
      </c>
      <c r="BB446" s="50" t="n">
        <f aca="false">AX446*G446</f>
        <v>4676.5</v>
      </c>
      <c r="BC446" s="50" t="n">
        <f aca="false">ROUNDUP(MAX(J446/IF(CD446&gt;0,CD446,MAX(0.1,N(Cockpit!$O$6))),CG446)/BV446,0)*BV446</f>
        <v>2</v>
      </c>
      <c r="BD446" s="51" t="n">
        <f aca="false">IF(BA446&gt;0,J446/BA446,-1)</f>
        <v>0.104992585269402</v>
      </c>
      <c r="BE446" s="51" t="n">
        <f aca="false">IF(AND(OR(CC446="L1",CC446="L23",CC446="LIFT"),BA446&gt;0),SUMIFS($BA$7:$BA$1843,$CC$7:$CC$1843,CC446,$BD$7:$BD$1843,"&gt;"&amp;BD446)+SUMIFS($BA$7:$BA$1843,$CC$7:$CC$1843,CC446,$BD$7:$BD$1843,BD446,$BT$7:$BT$1843,"&lt;="&amp;BT446),"")</f>
        <v>21265.9268485752</v>
      </c>
      <c r="BF446" s="58" t="n">
        <f aca="false">IF(BE446="",0,MAX(0,MIN(1,(IF(CC446="L1",Parameter!$H$5,IF(CC446="L23",Parameter!$H$6+Parameter!$H$7,Parameter!$H$5+Parameter!$H$6+Parameter!$H$7))-(BE446-BA446))/BA446)))</f>
        <v>1</v>
      </c>
      <c r="BG446" s="48" t="str">
        <f aca="false">IF(AI446&lt;=0,"",IF(CC446="Aussen","Aussenlager",IF(CC446="-","Nicht im Lift",IF(AN446&gt;=1,"Lift",IF(AN446&lt;=0,"Aussenlager","teilweise")))))</f>
        <v>Lift</v>
      </c>
      <c r="BH446" s="48" t="str">
        <f aca="false">IF(AR446&lt;=0,"",IF(CC446="Aussen","Aussenlager",IF(CC446="-","Nicht im Lift",IF(AW446&gt;=1,"Lift",IF(AW446&lt;=0,"Aussenlager","teilweise")))))</f>
        <v>Lift</v>
      </c>
      <c r="BI446" s="48" t="str">
        <f aca="false">IF(BA446&lt;=0,"",IF(CC446="Aussen","Aussenlager",IF(CC446="-","Nicht im Lift",IF(BF446&gt;=1,"Lift",IF(BF446&lt;=0,"Aussenlager","teilweise")))))</f>
        <v>Lift</v>
      </c>
      <c r="BJ446" s="48" t="str">
        <f aca="false">IF(A446="","",IF(BS446=1,"Neu; ","")&amp;IF(AND(BS446=0,BN446&lt;0),"negativer Bestand (Export "&amp;BN446&amp;"); ","")&amp;IF(J446&lt;=0,"Kein Verbrauch; ","")&amp;IF(CL446&gt;0,"Lift "&amp;W446&amp;" lt. Liftbericht (Fach "&amp;X446&amp;" Stk); ",IF(BX446=1,"Gebinde geschätzt ("&amp;T446&amp;"); ",IF(BW446=1,"Lose – Tablare geschätzt; ","")))&amp;IF(H446&gt;AT446,"Überbestand "&amp;ROUND(H446-AT446,0)&amp;" Stk / CHF "&amp;ROUND((H446-AT446)*G446,0)&amp;"; ","")&amp;IF(AND(CE446=1,CF446&lt;CG446),"MAX &lt; MB+LG; ","")&amp;IF(AND(CK446&gt;0,CJ446*10&gt;CK446),"zu hoch für Tablar; ","")&amp;IF(AND(BS446=0,OR(CE446=1,AA446&lt;&gt;"",U446&lt;&gt;"",V446&lt;&gt;"",AB446&lt;&gt;"")),"manuell übersteuert; ","")&amp;IF(AND(BW446=0,R446=0),"Gebinde unbekannt / Stellmass fehlt; ","")&amp;IF(AND(BW446=0,N(V446)&lt;=0,N(Q446)&lt;=0),"Menge pro Gebinde fehlt (Ist = 1 Gebinde); ","")&amp;BR446)</f>
        <v>Lift 1 lt. Liftbericht (Fach 2 Stk); </v>
      </c>
      <c r="BK446" s="48"/>
      <c r="BL446" s="48"/>
      <c r="BM446" s="55"/>
      <c r="BN446" s="50" t="n">
        <v>0</v>
      </c>
      <c r="BO446" s="50" t="n">
        <v>2</v>
      </c>
      <c r="BP446" s="49" t="n">
        <v>72.2999999999997</v>
      </c>
      <c r="BQ446" s="50" t="n">
        <v>4</v>
      </c>
      <c r="BR446" s="48"/>
      <c r="BS446" s="53" t="n">
        <v>0</v>
      </c>
      <c r="BT446" s="53" t="n">
        <v>446</v>
      </c>
      <c r="BU446" s="48" t="str">
        <f aca="false">IF(U446&lt;&gt;"",UPPER(TRIM(U446)),IF(BX446=1,UPPER(VLOOKUP(T446,Parameter!$I$27:$K$29,2,0)),IF(P446="","LOSE",P446)))</f>
        <v>LOSE</v>
      </c>
      <c r="BV446" s="50" t="n">
        <f aca="false">IF(BU446="LOSE",1,IF(N(V446)&gt;0,V446,IF(BX446=1,MAX(1,N(VLOOKUP(T446,Parameter!$I$27:$K$29,3,0)),H446,N(N446)),IF(N(Q446)&gt;0,Q446,MAX(1,H446)))))</f>
        <v>1</v>
      </c>
      <c r="BW446" s="53" t="n">
        <f aca="false">IF(BU446="LOSE",1,0)</f>
        <v>1</v>
      </c>
      <c r="BX446" s="53" t="n">
        <f aca="false">IF(AND(U446="",OR(P446="",P446="LOSE"),T446&lt;&gt;"",N(S446)&lt;=0,ISNUMBER(MATCH(T446,Parameter!$I$27:$I$29,0))),1,0)</f>
        <v>0</v>
      </c>
      <c r="BY446" s="53" t="n">
        <f aca="false">IF(CL446&gt;0,INDEX(Parameter!$H$5:$H$7,W446)/INDEX(Parameter!$E$5:$E$7,W446),IF(AND(BW446=0,N(IFERROR(VLOOKUP(BU446,'Gebinde-Kategorie'!$A$5:$N$45,14,0),0))&gt;0),VLOOKUP(BU446,'Gebinde-Kategorie'!$A$5:$N$45,14,0)*10+Parameter!$M$23,Parameter!$M$24))</f>
        <v>238</v>
      </c>
      <c r="BZ446" s="48" t="str">
        <f aca="false">IF(AND(Parameter!$B$19="Ja",E446&lt;&gt;"",ISNUMBER(MATCH(E446,Parameter!$I$35:$I$52,0))),VLOOKUP(E446,Parameter!$I$35:$J$52,2,0),IFERROR(VLOOKUP(D446,Parameter!$A$35:$C$64,2,0),"Nein"))</f>
        <v>Nein</v>
      </c>
      <c r="CA446" s="52" t="n">
        <f aca="false">IF(BW446=0,0,IF(N(S446)&gt;0,S446,IFERROR(VLOOKUP(D446,Parameter!$A$35:$C$64,3,0)+0,0)))</f>
        <v>0.15</v>
      </c>
      <c r="CB446" s="48" t="n">
        <f aca="false">IF(AA446&lt;&gt;"",AA446,Z446)</f>
        <v>1</v>
      </c>
      <c r="CC446" s="48" t="str">
        <f aca="false">IF(OR(CB446=1,CB446=2,CB446=3),IF(Parameter!$E$27="Ja","LIFT",IF(CB446=1,"L1","L23")),IF(CB446="Aussen","Aussen","-"))</f>
        <v>LIFT</v>
      </c>
      <c r="CD446" s="59" t="n">
        <f aca="false">IF(N(AB446)&gt;0,AB446,0)</f>
        <v>0</v>
      </c>
      <c r="CE446" s="53" t="n">
        <f aca="false">IF(ISNUMBER(AE446),1,0)</f>
        <v>0</v>
      </c>
      <c r="CF446" s="50" t="n">
        <f aca="false">N(AE446)</f>
        <v>0</v>
      </c>
      <c r="CG446" s="50" t="n">
        <f aca="false">N(M446)+N(N446)</f>
        <v>2</v>
      </c>
      <c r="CH446" s="50" t="n">
        <f aca="false">ROUNDUP(H446/BV446,0)</f>
        <v>0</v>
      </c>
      <c r="CI446" s="50" t="n">
        <f aca="false">ROUNDUP(CF446/BV446,0)</f>
        <v>0</v>
      </c>
      <c r="CJ446" s="53" t="n">
        <f aca="false">IF(BW446=1,0,IFERROR(VLOOKUP(BU446,'Gebinde-Kategorie'!$A$5:$N$45,5,0)+0,0))</f>
        <v>0</v>
      </c>
      <c r="CK446" s="53" t="n">
        <f aca="false">IFERROR(IF(OR(CB446=1,CB446=2,CB446=3),N(INDEX(Parameter!$I$5:$I$7,CB446)),0),0)</f>
        <v>0</v>
      </c>
      <c r="CL446" s="52" t="n">
        <f aca="false">IF(AND(Parameter!$B$21="Ja",ISNUMBER(W446),N(X446)&gt;0),IFERROR(N(INDEX(Parameter!$L$5:$L$7,W446))*INDEX(Parameter!$E$5:$E$7,W446)*X446/SUMIFS($X$7:$X$1843,$W$7:$W$1843,W446),0),0)</f>
        <v>0.160075329566855</v>
      </c>
    </row>
    <row r="447" customFormat="false" ht="15" hidden="false" customHeight="false" outlineLevel="0" collapsed="false">
      <c r="A447" s="48" t="s">
        <v>1018</v>
      </c>
      <c r="B447" s="48" t="s">
        <v>1019</v>
      </c>
      <c r="C447" s="48" t="s">
        <v>168</v>
      </c>
      <c r="D447" s="48" t="s">
        <v>188</v>
      </c>
      <c r="E447" s="48" t="s">
        <v>189</v>
      </c>
      <c r="F447" s="48" t="s">
        <v>222</v>
      </c>
      <c r="G447" s="49" t="n">
        <v>0.12</v>
      </c>
      <c r="H447" s="50" t="n">
        <f aca="false">MAX(0,IF(AND(Parameter!$B$21="Ja",ISNUMBER(Y447)),Y447,IF(Parameter!$B$20="Jahresanfang 2025 + Export",BO447+BN447,BN447)))</f>
        <v>798</v>
      </c>
      <c r="I447" s="50" t="n">
        <f aca="false">H447*G447</f>
        <v>95.76</v>
      </c>
      <c r="J447" s="50" t="n">
        <f aca="false">BQ447*Parameter!$B$18</f>
        <v>1150</v>
      </c>
      <c r="K447" s="51" t="n">
        <v>378.5</v>
      </c>
      <c r="L447" s="52" t="n">
        <v>3.03830911492735</v>
      </c>
      <c r="M447" s="50" t="n">
        <v>67</v>
      </c>
      <c r="N447" s="50" t="n">
        <v>1000</v>
      </c>
      <c r="O447" s="53" t="n">
        <v>21</v>
      </c>
      <c r="P447" s="48" t="s">
        <v>237</v>
      </c>
      <c r="Q447" s="50" t="n">
        <v>1500</v>
      </c>
      <c r="R447" s="53" t="n">
        <f aca="false">IF(BW447=1,0,IFERROR(VLOOKUP(BU447,'Gebinde-Kategorie'!$A$5:$N$45,13,0)+0,0))</f>
        <v>26</v>
      </c>
      <c r="S447" s="54"/>
      <c r="T447" s="55"/>
      <c r="U447" s="55"/>
      <c r="V447" s="55"/>
      <c r="W447" s="48"/>
      <c r="X447" s="50"/>
      <c r="Y447" s="50"/>
      <c r="Z447" s="48" t="n">
        <f aca="false">IF(A447="","",IF(AND(Parameter!$B$21="Ja",ISNUMBER(W447)),W447,IF(BZ447="2+3",IF(ISNUMBER(SEARCH("grosser Artikel",BR447)),2,IFERROR(VLOOKUP(BU447,Parameter!$F$35:$G$64,2,0),2)),IF(OR(BZ447="Nein",BZ447=""),"-",BZ447))))</f>
        <v>3</v>
      </c>
      <c r="AA447" s="55"/>
      <c r="AB447" s="56"/>
      <c r="AC447" s="50" t="n">
        <f aca="false">AT447</f>
        <v>1500</v>
      </c>
      <c r="AD447" s="50" t="n">
        <f aca="false">MAX(AT447,H447)</f>
        <v>1500</v>
      </c>
      <c r="AE447" s="57"/>
      <c r="AF447" s="50" t="n">
        <f aca="false">IF(LEFT(Cockpit!$C$5,1)="A",H447,IF(CE447=1,CF447,IF(LEFT(Cockpit!$C$5,1)="B",AK447,MAX(AK447,H447))))</f>
        <v>798</v>
      </c>
      <c r="AG447" s="50" t="n">
        <f aca="false">IF(BW447=1,0,ROUNDUP(AF447/BV447,0))</f>
        <v>1</v>
      </c>
      <c r="AH447" s="52" t="n">
        <f aca="false">IF(CL447&gt;0,CL447*MAX(1,AF447/X447),IF(BW447=1,IF(AF447&lt;=0,0,CA447*MAX(1,IF(H447&gt;0,AF447/H447,1))),IF(R447&gt;0,AG447/R447,0))/MAX(0.1,N(Parameter!$M$21)))</f>
        <v>0.0384615384615385</v>
      </c>
      <c r="AI447" s="50" t="n">
        <f aca="false">AH447*BY447</f>
        <v>9.42307692307692</v>
      </c>
      <c r="AJ447" s="50" t="n">
        <f aca="false">AF447*G447</f>
        <v>95.76</v>
      </c>
      <c r="AK447" s="50" t="n">
        <f aca="false">ROUNDUP(MAX(J447/IF(CD447&gt;0,CD447,MAX(0.1,N(Cockpit!$C$6))),CG447)/BV447,0)*BV447</f>
        <v>1500</v>
      </c>
      <c r="AL447" s="51" t="n">
        <f aca="false">IF(AI447&gt;0,J447/AI447,-1)</f>
        <v>122.040816326531</v>
      </c>
      <c r="AM447" s="51" t="n">
        <f aca="false">IF(AND(OR(CC447="L1",CC447="L23",CC447="LIFT"),AI447&gt;0),SUMIFS($AI$7:$AI$1843,$CC$7:$CC$1843,CC447,$AL$7:$AL$1843,"&gt;"&amp;AL447)+SUMIFS($AI$7:$AI$1843,$CC$7:$CC$1843,CC447,$AL$7:$AL$1843,AL447,$BT$7:$BT$1843,"&lt;="&amp;BT447),"")</f>
        <v>668.798534798535</v>
      </c>
      <c r="AN447" s="58" t="n">
        <f aca="false">IF(AM447="",0,MAX(0,MIN(1,(IF(CC447="L1",Parameter!$H$5,IF(CC447="L23",Parameter!$H$6+Parameter!$H$7,Parameter!$H$5+Parameter!$H$6+Parameter!$H$7))-(AM447-AI447))/AI447)))</f>
        <v>1</v>
      </c>
      <c r="AO447" s="50" t="n">
        <f aca="false">IF(LEFT(Cockpit!$I$5,1)="A",H447,IF(CE447=1,CF447,IF(LEFT(Cockpit!$I$5,1)="B",AT447,MAX(AT447,H447))))</f>
        <v>1500</v>
      </c>
      <c r="AP447" s="50" t="n">
        <f aca="false">IF(BW447=1,0,ROUNDUP(AO447/BV447,0))</f>
        <v>1</v>
      </c>
      <c r="AQ447" s="52" t="n">
        <f aca="false">IF(CL447&gt;0,CL447*MAX(1,AO447/X447),IF(BW447=1,IF(AO447&lt;=0,0,CA447*MAX(1,IF(H447&gt;0,AO447/H447,1))),IF(R447&gt;0,AP447/R447,0))/MAX(0.1,N(Parameter!$M$21)))</f>
        <v>0.0384615384615385</v>
      </c>
      <c r="AR447" s="50" t="n">
        <f aca="false">AQ447*BY447</f>
        <v>9.42307692307692</v>
      </c>
      <c r="AS447" s="50" t="n">
        <f aca="false">AO447*G447</f>
        <v>180</v>
      </c>
      <c r="AT447" s="50" t="n">
        <f aca="false">ROUNDUP(MAX(J447/IF(CD447&gt;0,CD447,MAX(0.1,N(Cockpit!$I$6))),CG447)/BV447,0)*BV447</f>
        <v>1500</v>
      </c>
      <c r="AU447" s="51" t="n">
        <f aca="false">IF(AR447&gt;0,J447/AR447,-1)</f>
        <v>122.040816326531</v>
      </c>
      <c r="AV447" s="51" t="n">
        <f aca="false">IF(AND(OR(CC447="L1",CC447="L23",CC447="LIFT"),AR447&gt;0),SUMIFS($AR$7:$AR$1843,$CC$7:$CC$1843,CC447,$AU$7:$AU$1843,"&gt;"&amp;AU447)+SUMIFS($AR$7:$AR$1843,$CC$7:$CC$1843,CC447,$AU$7:$AU$1843,AU447,$BT$7:$BT$1843,"&lt;="&amp;BT447),"")</f>
        <v>825.126831501832</v>
      </c>
      <c r="AW447" s="58" t="n">
        <f aca="false">IF(AV447="",0,MAX(0,MIN(1,(IF(CC447="L1",Parameter!$H$5,IF(CC447="L23",Parameter!$H$6+Parameter!$H$7,Parameter!$H$5+Parameter!$H$6+Parameter!$H$7))-(AV447-AR447))/AR447)))</f>
        <v>1</v>
      </c>
      <c r="AX447" s="50" t="n">
        <f aca="false">IF(LEFT(Cockpit!$O$5,1)="A",H447,IF(CE447=1,CF447,IF(LEFT(Cockpit!$O$5,1)="B",BC447,MAX(BC447,H447))))</f>
        <v>1500</v>
      </c>
      <c r="AY447" s="50" t="n">
        <f aca="false">IF(BW447=1,0,ROUNDUP(AX447/BV447,0))</f>
        <v>1</v>
      </c>
      <c r="AZ447" s="52" t="n">
        <f aca="false">IF(CL447&gt;0,CL447*MAX(1,AX447/X447),IF(BW447=1,IF(AX447&lt;=0,0,CA447*MAX(1,IF(H447&gt;0,AX447/H447,1))),IF(R447&gt;0,AY447/R447,0))/MAX(0.1,N(Parameter!$M$21)))</f>
        <v>0.0384615384615385</v>
      </c>
      <c r="BA447" s="50" t="n">
        <f aca="false">AZ447*BY447</f>
        <v>9.42307692307692</v>
      </c>
      <c r="BB447" s="50" t="n">
        <f aca="false">AX447*G447</f>
        <v>180</v>
      </c>
      <c r="BC447" s="50" t="n">
        <f aca="false">ROUNDUP(MAX(J447/IF(CD447&gt;0,CD447,MAX(0.1,N(Cockpit!$O$6))),CG447)/BV447,0)*BV447</f>
        <v>1500</v>
      </c>
      <c r="BD447" s="51" t="n">
        <f aca="false">IF(BA447&gt;0,J447/BA447,-1)</f>
        <v>122.040816326531</v>
      </c>
      <c r="BE447" s="51" t="n">
        <f aca="false">IF(AND(OR(CC447="L1",CC447="L23",CC447="LIFT"),BA447&gt;0),SUMIFS($BA$7:$BA$1843,$CC$7:$CC$1843,CC447,$BD$7:$BD$1843,"&gt;"&amp;BD447)+SUMIFS($BA$7:$BA$1843,$CC$7:$CC$1843,CC447,$BD$7:$BD$1843,BD447,$BT$7:$BT$1843,"&lt;="&amp;BT447),"")</f>
        <v>769.565934065934</v>
      </c>
      <c r="BF447" s="58" t="n">
        <f aca="false">IF(BE447="",0,MAX(0,MIN(1,(IF(CC447="L1",Parameter!$H$5,IF(CC447="L23",Parameter!$H$6+Parameter!$H$7,Parameter!$H$5+Parameter!$H$6+Parameter!$H$7))-(BE447-BA447))/BA447)))</f>
        <v>1</v>
      </c>
      <c r="BG447" s="48" t="str">
        <f aca="false">IF(AI447&lt;=0,"",IF(CC447="Aussen","Aussenlager",IF(CC447="-","Nicht im Lift",IF(AN447&gt;=1,"Lift",IF(AN447&lt;=0,"Aussenlager","teilweise")))))</f>
        <v>Lift</v>
      </c>
      <c r="BH447" s="48" t="str">
        <f aca="false">IF(AR447&lt;=0,"",IF(CC447="Aussen","Aussenlager",IF(CC447="-","Nicht im Lift",IF(AW447&gt;=1,"Lift",IF(AW447&lt;=0,"Aussenlager","teilweise")))))</f>
        <v>Lift</v>
      </c>
      <c r="BI447" s="48" t="str">
        <f aca="false">IF(BA447&lt;=0,"",IF(CC447="Aussen","Aussenlager",IF(CC447="-","Nicht im Lift",IF(BF447&gt;=1,"Lift",IF(BF447&lt;=0,"Aussenlager","teilweise")))))</f>
        <v>Lift</v>
      </c>
      <c r="BJ447" s="48" t="str">
        <f aca="false">IF(A447="","",IF(BS447=1,"Neu; ","")&amp;IF(AND(BS447=0,BN447&lt;0),"negativer Bestand (Export "&amp;BN447&amp;"); ","")&amp;IF(J447&lt;=0,"Kein Verbrauch; ","")&amp;IF(CL447&gt;0,"Lift "&amp;W447&amp;" lt. Liftbericht (Fach "&amp;X447&amp;" Stk); ",IF(BX447=1,"Gebinde geschätzt ("&amp;T447&amp;"); ",IF(BW447=1,"Lose – Tablare geschätzt; ","")))&amp;IF(H447&gt;AT447,"Überbestand "&amp;ROUND(H447-AT447,0)&amp;" Stk / CHF "&amp;ROUND((H447-AT447)*G447,0)&amp;"; ","")&amp;IF(AND(CE447=1,CF447&lt;CG447),"MAX &lt; MB+LG; ","")&amp;IF(AND(CK447&gt;0,CJ447*10&gt;CK447),"zu hoch für Tablar; ","")&amp;IF(AND(BS447=0,OR(CE447=1,AA447&lt;&gt;"",U447&lt;&gt;"",V447&lt;&gt;"",AB447&lt;&gt;"")),"manuell übersteuert; ","")&amp;IF(AND(BW447=0,R447=0),"Gebinde unbekannt / Stellmass fehlt; ","")&amp;IF(AND(BW447=0,N(V447)&lt;=0,N(Q447)&lt;=0),"Menge pro Gebinde fehlt (Ist = 1 Gebinde); ","")&amp;BR447)</f>
        <v/>
      </c>
      <c r="BK447" s="48"/>
      <c r="BL447" s="48"/>
      <c r="BM447" s="55"/>
      <c r="BN447" s="50" t="n">
        <v>598</v>
      </c>
      <c r="BO447" s="50" t="n">
        <v>200</v>
      </c>
      <c r="BP447" s="49" t="n">
        <v>71.76</v>
      </c>
      <c r="BQ447" s="50" t="n">
        <v>1150</v>
      </c>
      <c r="BR447" s="48"/>
      <c r="BS447" s="53" t="n">
        <v>0</v>
      </c>
      <c r="BT447" s="53" t="n">
        <v>447</v>
      </c>
      <c r="BU447" s="48" t="str">
        <f aca="false">IF(U447&lt;&gt;"",UPPER(TRIM(U447)),IF(BX447=1,UPPER(VLOOKUP(T447,Parameter!$I$27:$K$29,2,0)),IF(P447="","LOSE",P447)))</f>
        <v>S52</v>
      </c>
      <c r="BV447" s="50" t="n">
        <f aca="false">IF(BU447="LOSE",1,IF(N(V447)&gt;0,V447,IF(BX447=1,MAX(1,N(VLOOKUP(T447,Parameter!$I$27:$K$29,3,0)),H447,N(N447)),IF(N(Q447)&gt;0,Q447,MAX(1,H447)))))</f>
        <v>1500</v>
      </c>
      <c r="BW447" s="53" t="n">
        <f aca="false">IF(BU447="LOSE",1,0)</f>
        <v>0</v>
      </c>
      <c r="BX447" s="53" t="n">
        <f aca="false">IF(AND(U447="",OR(P447="",P447="LOSE"),T447&lt;&gt;"",N(S447)&lt;=0,ISNUMBER(MATCH(T447,Parameter!$I$27:$I$29,0))),1,0)</f>
        <v>0</v>
      </c>
      <c r="BY447" s="53" t="n">
        <f aca="false">IF(CL447&gt;0,INDEX(Parameter!$H$5:$H$7,W447)/INDEX(Parameter!$E$5:$E$7,W447),IF(AND(BW447=0,N(IFERROR(VLOOKUP(BU447,'Gebinde-Kategorie'!$A$5:$N$45,14,0),0))&gt;0),VLOOKUP(BU447,'Gebinde-Kategorie'!$A$5:$N$45,14,0)*10+Parameter!$M$23,Parameter!$M$24))</f>
        <v>245</v>
      </c>
      <c r="BZ447" s="48" t="str">
        <f aca="false">IF(AND(Parameter!$B$19="Ja",E447&lt;&gt;"",ISNUMBER(MATCH(E447,Parameter!$I$35:$I$52,0))),VLOOKUP(E447,Parameter!$I$35:$J$52,2,0),IFERROR(VLOOKUP(D447,Parameter!$A$35:$C$64,2,0),"Nein"))</f>
        <v>2+3</v>
      </c>
      <c r="CA447" s="52" t="n">
        <f aca="false">IF(BW447=0,0,IF(N(S447)&gt;0,S447,IFERROR(VLOOKUP(D447,Parameter!$A$35:$C$64,3,0)+0,0)))</f>
        <v>0</v>
      </c>
      <c r="CB447" s="48" t="n">
        <f aca="false">IF(AA447&lt;&gt;"",AA447,Z447)</f>
        <v>3</v>
      </c>
      <c r="CC447" s="48" t="str">
        <f aca="false">IF(OR(CB447=1,CB447=2,CB447=3),IF(Parameter!$E$27="Ja","LIFT",IF(CB447=1,"L1","L23")),IF(CB447="Aussen","Aussen","-"))</f>
        <v>LIFT</v>
      </c>
      <c r="CD447" s="59" t="n">
        <f aca="false">IF(N(AB447)&gt;0,AB447,0)</f>
        <v>0</v>
      </c>
      <c r="CE447" s="53" t="n">
        <f aca="false">IF(ISNUMBER(AE447),1,0)</f>
        <v>0</v>
      </c>
      <c r="CF447" s="50" t="n">
        <f aca="false">N(AE447)</f>
        <v>0</v>
      </c>
      <c r="CG447" s="50" t="n">
        <f aca="false">N(M447)+N(N447)</f>
        <v>1067</v>
      </c>
      <c r="CH447" s="50" t="n">
        <f aca="false">ROUNDUP(H447/BV447,0)</f>
        <v>1</v>
      </c>
      <c r="CI447" s="50" t="n">
        <f aca="false">ROUNDUP(CF447/BV447,0)</f>
        <v>0</v>
      </c>
      <c r="CJ447" s="53" t="n">
        <f aca="false">IF(BW447=1,0,IFERROR(VLOOKUP(BU447,'Gebinde-Kategorie'!$A$5:$N$45,5,0)+0,0))</f>
        <v>21</v>
      </c>
      <c r="CK447" s="53" t="n">
        <f aca="false">IFERROR(IF(OR(CB447=1,CB447=2,CB447=3),N(INDEX(Parameter!$I$5:$I$7,CB447)),0),0)</f>
        <v>0</v>
      </c>
      <c r="CL447" s="52" t="n">
        <f aca="false">IF(AND(Parameter!$B$21="Ja",ISNUMBER(W447),N(X447)&gt;0),IFERROR(N(INDEX(Parameter!$L$5:$L$7,W447))*INDEX(Parameter!$E$5:$E$7,W447)*X447/SUMIFS($X$7:$X$1843,$W$7:$W$1843,W447),0),0)</f>
        <v>0</v>
      </c>
    </row>
    <row r="448" customFormat="false" ht="15" hidden="false" customHeight="false" outlineLevel="0" collapsed="false">
      <c r="A448" s="48" t="s">
        <v>1020</v>
      </c>
      <c r="B448" s="48" t="s">
        <v>859</v>
      </c>
      <c r="C448" s="48" t="s">
        <v>168</v>
      </c>
      <c r="D448" s="48" t="s">
        <v>188</v>
      </c>
      <c r="E448" s="48" t="s">
        <v>189</v>
      </c>
      <c r="F448" s="48" t="s">
        <v>222</v>
      </c>
      <c r="G448" s="49" t="n">
        <v>0.13</v>
      </c>
      <c r="H448" s="50" t="n">
        <f aca="false">MAX(0,IF(AND(Parameter!$B$21="Ja",ISNUMBER(Y448)),Y448,IF(Parameter!$B$20="Jahresanfang 2025 + Export",BO448+BN448,BN448)))</f>
        <v>1000</v>
      </c>
      <c r="I448" s="50" t="n">
        <f aca="false">H448*G448</f>
        <v>130</v>
      </c>
      <c r="J448" s="50" t="n">
        <f aca="false">BQ448*Parameter!$B$18</f>
        <v>2250</v>
      </c>
      <c r="K448" s="51" t="n">
        <v>575</v>
      </c>
      <c r="L448" s="52" t="n">
        <v>3.91304347826087</v>
      </c>
      <c r="M448" s="50" t="n">
        <v>200</v>
      </c>
      <c r="N448" s="50" t="n">
        <v>500</v>
      </c>
      <c r="O448" s="53" t="n">
        <v>14</v>
      </c>
      <c r="P448" s="48" t="s">
        <v>306</v>
      </c>
      <c r="Q448" s="50" t="n">
        <v>600</v>
      </c>
      <c r="R448" s="53" t="n">
        <f aca="false">IF(BW448=1,0,IFERROR(VLOOKUP(BU448,'Gebinde-Kategorie'!$A$5:$N$45,13,0)+0,0))</f>
        <v>26</v>
      </c>
      <c r="S448" s="54"/>
      <c r="T448" s="55"/>
      <c r="U448" s="55"/>
      <c r="V448" s="55"/>
      <c r="W448" s="48"/>
      <c r="X448" s="50"/>
      <c r="Y448" s="50"/>
      <c r="Z448" s="48" t="n">
        <f aca="false">IF(A448="","",IF(AND(Parameter!$B$21="Ja",ISNUMBER(W448)),W448,IF(BZ448="2+3",IF(ISNUMBER(SEARCH("grosser Artikel",BR448)),2,IFERROR(VLOOKUP(BU448,Parameter!$F$35:$G$64,2,0),2)),IF(OR(BZ448="Nein",BZ448=""),"-",BZ448))))</f>
        <v>3</v>
      </c>
      <c r="AA448" s="55"/>
      <c r="AB448" s="56"/>
      <c r="AC448" s="50" t="n">
        <f aca="false">AT448</f>
        <v>1200</v>
      </c>
      <c r="AD448" s="50" t="n">
        <f aca="false">MAX(AT448,H448)</f>
        <v>1200</v>
      </c>
      <c r="AE448" s="57"/>
      <c r="AF448" s="50" t="n">
        <f aca="false">IF(LEFT(Cockpit!$C$5,1)="A",H448,IF(CE448=1,CF448,IF(LEFT(Cockpit!$C$5,1)="B",AK448,MAX(AK448,H448))))</f>
        <v>1000</v>
      </c>
      <c r="AG448" s="50" t="n">
        <f aca="false">IF(BW448=1,0,ROUNDUP(AF448/BV448,0))</f>
        <v>2</v>
      </c>
      <c r="AH448" s="52" t="n">
        <f aca="false">IF(CL448&gt;0,CL448*MAX(1,AF448/X448),IF(BW448=1,IF(AF448&lt;=0,0,CA448*MAX(1,IF(H448&gt;0,AF448/H448,1))),IF(R448&gt;0,AG448/R448,0))/MAX(0.1,N(Parameter!$M$21)))</f>
        <v>0.0769230769230769</v>
      </c>
      <c r="AI448" s="50" t="n">
        <f aca="false">AH448*BY448</f>
        <v>11.9230769230769</v>
      </c>
      <c r="AJ448" s="50" t="n">
        <f aca="false">AF448*G448</f>
        <v>130</v>
      </c>
      <c r="AK448" s="50" t="n">
        <f aca="false">ROUNDUP(MAX(J448/IF(CD448&gt;0,CD448,MAX(0.1,N(Cockpit!$C$6))),CG448)/BV448,0)*BV448</f>
        <v>1200</v>
      </c>
      <c r="AL448" s="51" t="n">
        <f aca="false">IF(AI448&gt;0,J448/AI448,-1)</f>
        <v>188.709677419355</v>
      </c>
      <c r="AM448" s="51" t="n">
        <f aca="false">IF(AND(OR(CC448="L1",CC448="L23",CC448="LIFT"),AI448&gt;0),SUMIFS($AI$7:$AI$1843,$CC$7:$CC$1843,CC448,$AL$7:$AL$1843,"&gt;"&amp;AL448)+SUMIFS($AI$7:$AI$1843,$CC$7:$CC$1843,CC448,$AL$7:$AL$1843,AL448,$BT$7:$BT$1843,"&lt;="&amp;BT448),"")</f>
        <v>376.235347985348</v>
      </c>
      <c r="AN448" s="58" t="n">
        <f aca="false">IF(AM448="",0,MAX(0,MIN(1,(IF(CC448="L1",Parameter!$H$5,IF(CC448="L23",Parameter!$H$6+Parameter!$H$7,Parameter!$H$5+Parameter!$H$6+Parameter!$H$7))-(AM448-AI448))/AI448)))</f>
        <v>1</v>
      </c>
      <c r="AO448" s="50" t="n">
        <f aca="false">IF(LEFT(Cockpit!$I$5,1)="A",H448,IF(CE448=1,CF448,IF(LEFT(Cockpit!$I$5,1)="B",AT448,MAX(AT448,H448))))</f>
        <v>1200</v>
      </c>
      <c r="AP448" s="50" t="n">
        <f aca="false">IF(BW448=1,0,ROUNDUP(AO448/BV448,0))</f>
        <v>2</v>
      </c>
      <c r="AQ448" s="52" t="n">
        <f aca="false">IF(CL448&gt;0,CL448*MAX(1,AO448/X448),IF(BW448=1,IF(AO448&lt;=0,0,CA448*MAX(1,IF(H448&gt;0,AO448/H448,1))),IF(R448&gt;0,AP448/R448,0))/MAX(0.1,N(Parameter!$M$21)))</f>
        <v>0.0769230769230769</v>
      </c>
      <c r="AR448" s="50" t="n">
        <f aca="false">AQ448*BY448</f>
        <v>11.9230769230769</v>
      </c>
      <c r="AS448" s="50" t="n">
        <f aca="false">AO448*G448</f>
        <v>156</v>
      </c>
      <c r="AT448" s="50" t="n">
        <f aca="false">ROUNDUP(MAX(J448/IF(CD448&gt;0,CD448,MAX(0.1,N(Cockpit!$I$6))),CG448)/BV448,0)*BV448</f>
        <v>1200</v>
      </c>
      <c r="AU448" s="51" t="n">
        <f aca="false">IF(AR448&gt;0,J448/AR448,-1)</f>
        <v>188.709677419355</v>
      </c>
      <c r="AV448" s="51" t="n">
        <f aca="false">IF(AND(OR(CC448="L1",CC448="L23",CC448="LIFT"),AR448&gt;0),SUMIFS($AR$7:$AR$1843,$CC$7:$CC$1843,CC448,$AU$7:$AU$1843,"&gt;"&amp;AU448)+SUMIFS($AR$7:$AR$1843,$CC$7:$CC$1843,CC448,$AU$7:$AU$1843,AU448,$BT$7:$BT$1843,"&lt;="&amp;BT448),"")</f>
        <v>414.815018315018</v>
      </c>
      <c r="AW448" s="58" t="n">
        <f aca="false">IF(AV448="",0,MAX(0,MIN(1,(IF(CC448="L1",Parameter!$H$5,IF(CC448="L23",Parameter!$H$6+Parameter!$H$7,Parameter!$H$5+Parameter!$H$6+Parameter!$H$7))-(AV448-AR448))/AR448)))</f>
        <v>1</v>
      </c>
      <c r="AX448" s="50" t="n">
        <f aca="false">IF(LEFT(Cockpit!$O$5,1)="A",H448,IF(CE448=1,CF448,IF(LEFT(Cockpit!$O$5,1)="B",BC448,MAX(BC448,H448))))</f>
        <v>1200</v>
      </c>
      <c r="AY448" s="50" t="n">
        <f aca="false">IF(BW448=1,0,ROUNDUP(AX448/BV448,0))</f>
        <v>2</v>
      </c>
      <c r="AZ448" s="52" t="n">
        <f aca="false">IF(CL448&gt;0,CL448*MAX(1,AX448/X448),IF(BW448=1,IF(AX448&lt;=0,0,CA448*MAX(1,IF(H448&gt;0,AX448/H448,1))),IF(R448&gt;0,AY448/R448,0))/MAX(0.1,N(Parameter!$M$21)))</f>
        <v>0.0769230769230769</v>
      </c>
      <c r="BA448" s="50" t="n">
        <f aca="false">AZ448*BY448</f>
        <v>11.9230769230769</v>
      </c>
      <c r="BB448" s="50" t="n">
        <f aca="false">AX448*G448</f>
        <v>156</v>
      </c>
      <c r="BC448" s="50" t="n">
        <f aca="false">ROUNDUP(MAX(J448/IF(CD448&gt;0,CD448,MAX(0.1,N(Cockpit!$O$6))),CG448)/BV448,0)*BV448</f>
        <v>1200</v>
      </c>
      <c r="BD448" s="51" t="n">
        <f aca="false">IF(BA448&gt;0,J448/BA448,-1)</f>
        <v>188.709677419355</v>
      </c>
      <c r="BE448" s="51" t="n">
        <f aca="false">IF(AND(OR(CC448="L1",CC448="L23",CC448="LIFT"),BA448&gt;0),SUMIFS($BA$7:$BA$1843,$CC$7:$CC$1843,CC448,$BD$7:$BD$1843,"&gt;"&amp;BD448)+SUMIFS($BA$7:$BA$1843,$CC$7:$CC$1843,CC448,$BD$7:$BD$1843,BD448,$BT$7:$BT$1843,"&lt;="&amp;BT448),"")</f>
        <v>476.754120879121</v>
      </c>
      <c r="BF448" s="58" t="n">
        <f aca="false">IF(BE448="",0,MAX(0,MIN(1,(IF(CC448="L1",Parameter!$H$5,IF(CC448="L23",Parameter!$H$6+Parameter!$H$7,Parameter!$H$5+Parameter!$H$6+Parameter!$H$7))-(BE448-BA448))/BA448)))</f>
        <v>1</v>
      </c>
      <c r="BG448" s="48" t="str">
        <f aca="false">IF(AI448&lt;=0,"",IF(CC448="Aussen","Aussenlager",IF(CC448="-","Nicht im Lift",IF(AN448&gt;=1,"Lift",IF(AN448&lt;=0,"Aussenlager","teilweise")))))</f>
        <v>Lift</v>
      </c>
      <c r="BH448" s="48" t="str">
        <f aca="false">IF(AR448&lt;=0,"",IF(CC448="Aussen","Aussenlager",IF(CC448="-","Nicht im Lift",IF(AW448&gt;=1,"Lift",IF(AW448&lt;=0,"Aussenlager","teilweise")))))</f>
        <v>Lift</v>
      </c>
      <c r="BI448" s="48" t="str">
        <f aca="false">IF(BA448&lt;=0,"",IF(CC448="Aussen","Aussenlager",IF(CC448="-","Nicht im Lift",IF(BF448&gt;=1,"Lift",IF(BF448&lt;=0,"Aussenlager","teilweise")))))</f>
        <v>Lift</v>
      </c>
      <c r="BJ448" s="48" t="str">
        <f aca="false">IF(A448="","",IF(BS448=1,"Neu; ","")&amp;IF(AND(BS448=0,BN448&lt;0),"negativer Bestand (Export "&amp;BN448&amp;"); ","")&amp;IF(J448&lt;=0,"Kein Verbrauch; ","")&amp;IF(CL448&gt;0,"Lift "&amp;W448&amp;" lt. Liftbericht (Fach "&amp;X448&amp;" Stk); ",IF(BX448=1,"Gebinde geschätzt ("&amp;T448&amp;"); ",IF(BW448=1,"Lose – Tablare geschätzt; ","")))&amp;IF(H448&gt;AT448,"Überbestand "&amp;ROUND(H448-AT448,0)&amp;" Stk / CHF "&amp;ROUND((H448-AT448)*G448,0)&amp;"; ","")&amp;IF(AND(CE448=1,CF448&lt;CG448),"MAX &lt; MB+LG; ","")&amp;IF(AND(CK448&gt;0,CJ448*10&gt;CK448),"zu hoch für Tablar; ","")&amp;IF(AND(BS448=0,OR(CE448=1,AA448&lt;&gt;"",U448&lt;&gt;"",V448&lt;&gt;"",AB448&lt;&gt;"")),"manuell übersteuert; ","")&amp;IF(AND(BW448=0,R448=0),"Gebinde unbekannt / Stellmass fehlt; ","")&amp;IF(AND(BW448=0,N(V448)&lt;=0,N(Q448)&lt;=0),"Menge pro Gebinde fehlt (Ist = 1 Gebinde); ","")&amp;BR448)</f>
        <v/>
      </c>
      <c r="BK448" s="48"/>
      <c r="BL448" s="48"/>
      <c r="BM448" s="55"/>
      <c r="BN448" s="50" t="n">
        <v>550</v>
      </c>
      <c r="BO448" s="50" t="n">
        <v>450</v>
      </c>
      <c r="BP448" s="49" t="n">
        <v>71.5</v>
      </c>
      <c r="BQ448" s="50" t="n">
        <v>2250</v>
      </c>
      <c r="BR448" s="48"/>
      <c r="BS448" s="53" t="n">
        <v>0</v>
      </c>
      <c r="BT448" s="53" t="n">
        <v>448</v>
      </c>
      <c r="BU448" s="48" t="str">
        <f aca="false">IF(U448&lt;&gt;"",UPPER(TRIM(U448)),IF(BX448=1,UPPER(VLOOKUP(T448,Parameter!$I$27:$K$29,2,0)),IF(P448="","LOSE",P448)))</f>
        <v>S51</v>
      </c>
      <c r="BV448" s="50" t="n">
        <f aca="false">IF(BU448="LOSE",1,IF(N(V448)&gt;0,V448,IF(BX448=1,MAX(1,N(VLOOKUP(T448,Parameter!$I$27:$K$29,3,0)),H448,N(N448)),IF(N(Q448)&gt;0,Q448,MAX(1,H448)))))</f>
        <v>600</v>
      </c>
      <c r="BW448" s="53" t="n">
        <f aca="false">IF(BU448="LOSE",1,0)</f>
        <v>0</v>
      </c>
      <c r="BX448" s="53" t="n">
        <f aca="false">IF(AND(U448="",OR(P448="",P448="LOSE"),T448&lt;&gt;"",N(S448)&lt;=0,ISNUMBER(MATCH(T448,Parameter!$I$27:$I$29,0))),1,0)</f>
        <v>0</v>
      </c>
      <c r="BY448" s="53" t="n">
        <f aca="false">IF(CL448&gt;0,INDEX(Parameter!$H$5:$H$7,W448)/INDEX(Parameter!$E$5:$E$7,W448),IF(AND(BW448=0,N(IFERROR(VLOOKUP(BU448,'Gebinde-Kategorie'!$A$5:$N$45,14,0),0))&gt;0),VLOOKUP(BU448,'Gebinde-Kategorie'!$A$5:$N$45,14,0)*10+Parameter!$M$23,Parameter!$M$24))</f>
        <v>155</v>
      </c>
      <c r="BZ448" s="48" t="str">
        <f aca="false">IF(AND(Parameter!$B$19="Ja",E448&lt;&gt;"",ISNUMBER(MATCH(E448,Parameter!$I$35:$I$52,0))),VLOOKUP(E448,Parameter!$I$35:$J$52,2,0),IFERROR(VLOOKUP(D448,Parameter!$A$35:$C$64,2,0),"Nein"))</f>
        <v>2+3</v>
      </c>
      <c r="CA448" s="52" t="n">
        <f aca="false">IF(BW448=0,0,IF(N(S448)&gt;0,S448,IFERROR(VLOOKUP(D448,Parameter!$A$35:$C$64,3,0)+0,0)))</f>
        <v>0</v>
      </c>
      <c r="CB448" s="48" t="n">
        <f aca="false">IF(AA448&lt;&gt;"",AA448,Z448)</f>
        <v>3</v>
      </c>
      <c r="CC448" s="48" t="str">
        <f aca="false">IF(OR(CB448=1,CB448=2,CB448=3),IF(Parameter!$E$27="Ja","LIFT",IF(CB448=1,"L1","L23")),IF(CB448="Aussen","Aussen","-"))</f>
        <v>LIFT</v>
      </c>
      <c r="CD448" s="59" t="n">
        <f aca="false">IF(N(AB448)&gt;0,AB448,0)</f>
        <v>0</v>
      </c>
      <c r="CE448" s="53" t="n">
        <f aca="false">IF(ISNUMBER(AE448),1,0)</f>
        <v>0</v>
      </c>
      <c r="CF448" s="50" t="n">
        <f aca="false">N(AE448)</f>
        <v>0</v>
      </c>
      <c r="CG448" s="50" t="n">
        <f aca="false">N(M448)+N(N448)</f>
        <v>700</v>
      </c>
      <c r="CH448" s="50" t="n">
        <f aca="false">ROUNDUP(H448/BV448,0)</f>
        <v>2</v>
      </c>
      <c r="CI448" s="50" t="n">
        <f aca="false">ROUNDUP(CF448/BV448,0)</f>
        <v>0</v>
      </c>
      <c r="CJ448" s="53" t="n">
        <f aca="false">IF(BW448=1,0,IFERROR(VLOOKUP(BU448,'Gebinde-Kategorie'!$A$5:$N$45,5,0)+0,0))</f>
        <v>11</v>
      </c>
      <c r="CK448" s="53" t="n">
        <f aca="false">IFERROR(IF(OR(CB448=1,CB448=2,CB448=3),N(INDEX(Parameter!$I$5:$I$7,CB448)),0),0)</f>
        <v>0</v>
      </c>
      <c r="CL448" s="52" t="n">
        <f aca="false">IF(AND(Parameter!$B$21="Ja",ISNUMBER(W448),N(X448)&gt;0),IFERROR(N(INDEX(Parameter!$L$5:$L$7,W448))*INDEX(Parameter!$E$5:$E$7,W448)*X448/SUMIFS($X$7:$X$1843,$W$7:$W$1843,W448),0),0)</f>
        <v>0</v>
      </c>
    </row>
    <row r="449" customFormat="false" ht="15" hidden="false" customHeight="false" outlineLevel="0" collapsed="false">
      <c r="A449" s="48" t="s">
        <v>1021</v>
      </c>
      <c r="B449" s="48" t="s">
        <v>472</v>
      </c>
      <c r="C449" s="48" t="s">
        <v>168</v>
      </c>
      <c r="D449" s="48" t="s">
        <v>188</v>
      </c>
      <c r="E449" s="48" t="s">
        <v>189</v>
      </c>
      <c r="F449" s="48" t="s">
        <v>222</v>
      </c>
      <c r="G449" s="49" t="n">
        <v>1.16</v>
      </c>
      <c r="H449" s="50" t="n">
        <f aca="false">MAX(0,IF(AND(Parameter!$B$21="Ja",ISNUMBER(Y449)),Y449,IF(Parameter!$B$20="Jahresanfang 2025 + Export",BO449+BN449,BN449)))</f>
        <v>201</v>
      </c>
      <c r="I449" s="50" t="n">
        <f aca="false">H449*G449</f>
        <v>233.16</v>
      </c>
      <c r="J449" s="50" t="n">
        <f aca="false">BQ449*Parameter!$B$18</f>
        <v>233</v>
      </c>
      <c r="K449" s="51" t="n">
        <v>140</v>
      </c>
      <c r="L449" s="52" t="n">
        <v>1.66428571428571</v>
      </c>
      <c r="M449" s="50" t="n">
        <v>9</v>
      </c>
      <c r="N449" s="50" t="n">
        <v>235</v>
      </c>
      <c r="O449" s="53" t="n">
        <v>14</v>
      </c>
      <c r="P449" s="48" t="s">
        <v>332</v>
      </c>
      <c r="Q449" s="50" t="n">
        <v>178</v>
      </c>
      <c r="R449" s="53" t="n">
        <f aca="false">IF(BW449=1,0,IFERROR(VLOOKUP(BU449,'Gebinde-Kategorie'!$A$5:$N$45,13,0)+0,0))</f>
        <v>52</v>
      </c>
      <c r="S449" s="54"/>
      <c r="T449" s="55"/>
      <c r="U449" s="55"/>
      <c r="V449" s="55"/>
      <c r="W449" s="48"/>
      <c r="X449" s="50"/>
      <c r="Y449" s="50"/>
      <c r="Z449" s="48" t="n">
        <f aca="false">IF(A449="","",IF(AND(Parameter!$B$21="Ja",ISNUMBER(W449)),W449,IF(BZ449="2+3",IF(ISNUMBER(SEARCH("grosser Artikel",BR449)),2,IFERROR(VLOOKUP(BU449,Parameter!$F$35:$G$64,2,0),2)),IF(OR(BZ449="Nein",BZ449=""),"-",BZ449))))</f>
        <v>3</v>
      </c>
      <c r="AA449" s="55"/>
      <c r="AB449" s="56"/>
      <c r="AC449" s="50" t="n">
        <f aca="false">AT449</f>
        <v>356</v>
      </c>
      <c r="AD449" s="50" t="n">
        <f aca="false">MAX(AT449,H449)</f>
        <v>356</v>
      </c>
      <c r="AE449" s="57"/>
      <c r="AF449" s="50" t="n">
        <f aca="false">IF(LEFT(Cockpit!$C$5,1)="A",H449,IF(CE449=1,CF449,IF(LEFT(Cockpit!$C$5,1)="B",AK449,MAX(AK449,H449))))</f>
        <v>201</v>
      </c>
      <c r="AG449" s="50" t="n">
        <f aca="false">IF(BW449=1,0,ROUNDUP(AF449/BV449,0))</f>
        <v>2</v>
      </c>
      <c r="AH449" s="52" t="n">
        <f aca="false">IF(CL449&gt;0,CL449*MAX(1,AF449/X449),IF(BW449=1,IF(AF449&lt;=0,0,CA449*MAX(1,IF(H449&gt;0,AF449/H449,1))),IF(R449&gt;0,AG449/R449,0))/MAX(0.1,N(Parameter!$M$21)))</f>
        <v>0.0384615384615385</v>
      </c>
      <c r="AI449" s="50" t="n">
        <f aca="false">AH449*BY449</f>
        <v>5.96153846153846</v>
      </c>
      <c r="AJ449" s="50" t="n">
        <f aca="false">AF449*G449</f>
        <v>233.16</v>
      </c>
      <c r="AK449" s="50" t="n">
        <f aca="false">ROUNDUP(MAX(J449/IF(CD449&gt;0,CD449,MAX(0.1,N(Cockpit!$C$6))),CG449)/BV449,0)*BV449</f>
        <v>356</v>
      </c>
      <c r="AL449" s="51" t="n">
        <f aca="false">IF(AI449&gt;0,J449/AI449,-1)</f>
        <v>39.0838709677419</v>
      </c>
      <c r="AM449" s="51" t="n">
        <f aca="false">IF(AND(OR(CC449="L1",CC449="L23",CC449="LIFT"),AI449&gt;0),SUMIFS($AI$7:$AI$1843,$CC$7:$CC$1843,CC449,$AL$7:$AL$1843,"&gt;"&amp;AL449)+SUMIFS($AI$7:$AI$1843,$CC$7:$CC$1843,CC449,$AL$7:$AL$1843,AL449,$BT$7:$BT$1843,"&lt;="&amp;BT449),"")</f>
        <v>1190.46153846154</v>
      </c>
      <c r="AN449" s="58" t="n">
        <f aca="false">IF(AM449="",0,MAX(0,MIN(1,(IF(CC449="L1",Parameter!$H$5,IF(CC449="L23",Parameter!$H$6+Parameter!$H$7,Parameter!$H$5+Parameter!$H$6+Parameter!$H$7))-(AM449-AI449))/AI449)))</f>
        <v>1</v>
      </c>
      <c r="AO449" s="50" t="n">
        <f aca="false">IF(LEFT(Cockpit!$I$5,1)="A",H449,IF(CE449=1,CF449,IF(LEFT(Cockpit!$I$5,1)="B",AT449,MAX(AT449,H449))))</f>
        <v>356</v>
      </c>
      <c r="AP449" s="50" t="n">
        <f aca="false">IF(BW449=1,0,ROUNDUP(AO449/BV449,0))</f>
        <v>2</v>
      </c>
      <c r="AQ449" s="52" t="n">
        <f aca="false">IF(CL449&gt;0,CL449*MAX(1,AO449/X449),IF(BW449=1,IF(AO449&lt;=0,0,CA449*MAX(1,IF(H449&gt;0,AO449/H449,1))),IF(R449&gt;0,AP449/R449,0))/MAX(0.1,N(Parameter!$M$21)))</f>
        <v>0.0384615384615385</v>
      </c>
      <c r="AR449" s="50" t="n">
        <f aca="false">AQ449*BY449</f>
        <v>5.96153846153846</v>
      </c>
      <c r="AS449" s="50" t="n">
        <f aca="false">AO449*G449</f>
        <v>412.96</v>
      </c>
      <c r="AT449" s="50" t="n">
        <f aca="false">ROUNDUP(MAX(J449/IF(CD449&gt;0,CD449,MAX(0.1,N(Cockpit!$I$6))),CG449)/BV449,0)*BV449</f>
        <v>356</v>
      </c>
      <c r="AU449" s="51" t="n">
        <f aca="false">IF(AR449&gt;0,J449/AR449,-1)</f>
        <v>39.0838709677419</v>
      </c>
      <c r="AV449" s="51" t="n">
        <f aca="false">IF(AND(OR(CC449="L1",CC449="L23",CC449="LIFT"),AR449&gt;0),SUMIFS($AR$7:$AR$1843,$CC$7:$CC$1843,CC449,$AU$7:$AU$1843,"&gt;"&amp;AU449)+SUMIFS($AR$7:$AR$1843,$CC$7:$CC$1843,CC449,$AU$7:$AU$1843,AU449,$BT$7:$BT$1843,"&lt;="&amp;BT449),"")</f>
        <v>1723.81456043956</v>
      </c>
      <c r="AW449" s="58" t="n">
        <f aca="false">IF(AV449="",0,MAX(0,MIN(1,(IF(CC449="L1",Parameter!$H$5,IF(CC449="L23",Parameter!$H$6+Parameter!$H$7,Parameter!$H$5+Parameter!$H$6+Parameter!$H$7))-(AV449-AR449))/AR449)))</f>
        <v>1</v>
      </c>
      <c r="AX449" s="50" t="n">
        <f aca="false">IF(LEFT(Cockpit!$O$5,1)="A",H449,IF(CE449=1,CF449,IF(LEFT(Cockpit!$O$5,1)="B",BC449,MAX(BC449,H449))))</f>
        <v>356</v>
      </c>
      <c r="AY449" s="50" t="n">
        <f aca="false">IF(BW449=1,0,ROUNDUP(AX449/BV449,0))</f>
        <v>2</v>
      </c>
      <c r="AZ449" s="52" t="n">
        <f aca="false">IF(CL449&gt;0,CL449*MAX(1,AX449/X449),IF(BW449=1,IF(AX449&lt;=0,0,CA449*MAX(1,IF(H449&gt;0,AX449/H449,1))),IF(R449&gt;0,AY449/R449,0))/MAX(0.1,N(Parameter!$M$21)))</f>
        <v>0.0384615384615385</v>
      </c>
      <c r="BA449" s="50" t="n">
        <f aca="false">AZ449*BY449</f>
        <v>5.96153846153846</v>
      </c>
      <c r="BB449" s="50" t="n">
        <f aca="false">AX449*G449</f>
        <v>412.96</v>
      </c>
      <c r="BC449" s="50" t="n">
        <f aca="false">ROUNDUP(MAX(J449/IF(CD449&gt;0,CD449,MAX(0.1,N(Cockpit!$O$6))),CG449)/BV449,0)*BV449</f>
        <v>356</v>
      </c>
      <c r="BD449" s="51" t="n">
        <f aca="false">IF(BA449&gt;0,J449/BA449,-1)</f>
        <v>39.0838709677419</v>
      </c>
      <c r="BE449" s="51" t="n">
        <f aca="false">IF(AND(OR(CC449="L1",CC449="L23",CC449="LIFT"),BA449&gt;0),SUMIFS($BA$7:$BA$1843,$CC$7:$CC$1843,CC449,$BD$7:$BD$1843,"&gt;"&amp;BD449)+SUMIFS($BA$7:$BA$1843,$CC$7:$CC$1843,CC449,$BD$7:$BD$1843,BD449,$BT$7:$BT$1843,"&lt;="&amp;BT449),"")</f>
        <v>1606.61904761905</v>
      </c>
      <c r="BF449" s="58" t="n">
        <f aca="false">IF(BE449="",0,MAX(0,MIN(1,(IF(CC449="L1",Parameter!$H$5,IF(CC449="L23",Parameter!$H$6+Parameter!$H$7,Parameter!$H$5+Parameter!$H$6+Parameter!$H$7))-(BE449-BA449))/BA449)))</f>
        <v>1</v>
      </c>
      <c r="BG449" s="48" t="str">
        <f aca="false">IF(AI449&lt;=0,"",IF(CC449="Aussen","Aussenlager",IF(CC449="-","Nicht im Lift",IF(AN449&gt;=1,"Lift",IF(AN449&lt;=0,"Aussenlager","teilweise")))))</f>
        <v>Lift</v>
      </c>
      <c r="BH449" s="48" t="str">
        <f aca="false">IF(AR449&lt;=0,"",IF(CC449="Aussen","Aussenlager",IF(CC449="-","Nicht im Lift",IF(AW449&gt;=1,"Lift",IF(AW449&lt;=0,"Aussenlager","teilweise")))))</f>
        <v>Lift</v>
      </c>
      <c r="BI449" s="48" t="str">
        <f aca="false">IF(BA449&lt;=0,"",IF(CC449="Aussen","Aussenlager",IF(CC449="-","Nicht im Lift",IF(BF449&gt;=1,"Lift",IF(BF449&lt;=0,"Aussenlager","teilweise")))))</f>
        <v>Lift</v>
      </c>
      <c r="BJ449" s="48" t="str">
        <f aca="false">IF(A449="","",IF(BS449=1,"Neu; ","")&amp;IF(AND(BS449=0,BN449&lt;0),"negativer Bestand (Export "&amp;BN449&amp;"); ","")&amp;IF(J449&lt;=0,"Kein Verbrauch; ","")&amp;IF(CL449&gt;0,"Lift "&amp;W449&amp;" lt. Liftbericht (Fach "&amp;X449&amp;" Stk); ",IF(BX449=1,"Gebinde geschätzt ("&amp;T449&amp;"); ",IF(BW449=1,"Lose – Tablare geschätzt; ","")))&amp;IF(H449&gt;AT449,"Überbestand "&amp;ROUND(H449-AT449,0)&amp;" Stk / CHF "&amp;ROUND((H449-AT449)*G449,0)&amp;"; ","")&amp;IF(AND(CE449=1,CF449&lt;CG449),"MAX &lt; MB+LG; ","")&amp;IF(AND(CK449&gt;0,CJ449*10&gt;CK449),"zu hoch für Tablar; ","")&amp;IF(AND(BS449=0,OR(CE449=1,AA449&lt;&gt;"",U449&lt;&gt;"",V449&lt;&gt;"",AB449&lt;&gt;"")),"manuell übersteuert; ","")&amp;IF(AND(BW449=0,R449=0),"Gebinde unbekannt / Stellmass fehlt; ","")&amp;IF(AND(BW449=0,N(V449)&lt;=0,N(Q449)&lt;=0),"Menge pro Gebinde fehlt (Ist = 1 Gebinde); ","")&amp;BR449)</f>
        <v/>
      </c>
      <c r="BK449" s="48"/>
      <c r="BL449" s="48"/>
      <c r="BM449" s="55"/>
      <c r="BN449" s="50" t="n">
        <v>62</v>
      </c>
      <c r="BO449" s="50" t="n">
        <v>139</v>
      </c>
      <c r="BP449" s="49" t="n">
        <v>69.18</v>
      </c>
      <c r="BQ449" s="50" t="n">
        <v>233</v>
      </c>
      <c r="BR449" s="48"/>
      <c r="BS449" s="53" t="n">
        <v>0</v>
      </c>
      <c r="BT449" s="53" t="n">
        <v>449</v>
      </c>
      <c r="BU449" s="48" t="str">
        <f aca="false">IF(U449&lt;&gt;"",UPPER(TRIM(U449)),IF(BX449=1,UPPER(VLOOKUP(T449,Parameter!$I$27:$K$29,2,0)),IF(P449="","LOSE",P449)))</f>
        <v>S41</v>
      </c>
      <c r="BV449" s="50" t="n">
        <f aca="false">IF(BU449="LOSE",1,IF(N(V449)&gt;0,V449,IF(BX449=1,MAX(1,N(VLOOKUP(T449,Parameter!$I$27:$K$29,3,0)),H449,N(N449)),IF(N(Q449)&gt;0,Q449,MAX(1,H449)))))</f>
        <v>178</v>
      </c>
      <c r="BW449" s="53" t="n">
        <f aca="false">IF(BU449="LOSE",1,0)</f>
        <v>0</v>
      </c>
      <c r="BX449" s="53" t="n">
        <f aca="false">IF(AND(U449="",OR(P449="",P449="LOSE"),T449&lt;&gt;"",N(S449)&lt;=0,ISNUMBER(MATCH(T449,Parameter!$I$27:$I$29,0))),1,0)</f>
        <v>0</v>
      </c>
      <c r="BY449" s="53" t="n">
        <f aca="false">IF(CL449&gt;0,INDEX(Parameter!$H$5:$H$7,W449)/INDEX(Parameter!$E$5:$E$7,W449),IF(AND(BW449=0,N(IFERROR(VLOOKUP(BU449,'Gebinde-Kategorie'!$A$5:$N$45,14,0),0))&gt;0),VLOOKUP(BU449,'Gebinde-Kategorie'!$A$5:$N$45,14,0)*10+Parameter!$M$23,Parameter!$M$24))</f>
        <v>155</v>
      </c>
      <c r="BZ449" s="48" t="str">
        <f aca="false">IF(AND(Parameter!$B$19="Ja",E449&lt;&gt;"",ISNUMBER(MATCH(E449,Parameter!$I$35:$I$52,0))),VLOOKUP(E449,Parameter!$I$35:$J$52,2,0),IFERROR(VLOOKUP(D449,Parameter!$A$35:$C$64,2,0),"Nein"))</f>
        <v>2+3</v>
      </c>
      <c r="CA449" s="52" t="n">
        <f aca="false">IF(BW449=0,0,IF(N(S449)&gt;0,S449,IFERROR(VLOOKUP(D449,Parameter!$A$35:$C$64,3,0)+0,0)))</f>
        <v>0</v>
      </c>
      <c r="CB449" s="48" t="n">
        <f aca="false">IF(AA449&lt;&gt;"",AA449,Z449)</f>
        <v>3</v>
      </c>
      <c r="CC449" s="48" t="str">
        <f aca="false">IF(OR(CB449=1,CB449=2,CB449=3),IF(Parameter!$E$27="Ja","LIFT",IF(CB449=1,"L1","L23")),IF(CB449="Aussen","Aussen","-"))</f>
        <v>LIFT</v>
      </c>
      <c r="CD449" s="59" t="n">
        <f aca="false">IF(N(AB449)&gt;0,AB449,0)</f>
        <v>0</v>
      </c>
      <c r="CE449" s="53" t="n">
        <f aca="false">IF(ISNUMBER(AE449),1,0)</f>
        <v>0</v>
      </c>
      <c r="CF449" s="50" t="n">
        <f aca="false">N(AE449)</f>
        <v>0</v>
      </c>
      <c r="CG449" s="50" t="n">
        <f aca="false">N(M449)+N(N449)</f>
        <v>244</v>
      </c>
      <c r="CH449" s="50" t="n">
        <f aca="false">ROUNDUP(H449/BV449,0)</f>
        <v>2</v>
      </c>
      <c r="CI449" s="50" t="n">
        <f aca="false">ROUNDUP(CF449/BV449,0)</f>
        <v>0</v>
      </c>
      <c r="CJ449" s="53" t="n">
        <f aca="false">IF(BW449=1,0,IFERROR(VLOOKUP(BU449,'Gebinde-Kategorie'!$A$5:$N$45,5,0)+0,0))</f>
        <v>11</v>
      </c>
      <c r="CK449" s="53" t="n">
        <f aca="false">IFERROR(IF(OR(CB449=1,CB449=2,CB449=3),N(INDEX(Parameter!$I$5:$I$7,CB449)),0),0)</f>
        <v>0</v>
      </c>
      <c r="CL449" s="52" t="n">
        <f aca="false">IF(AND(Parameter!$B$21="Ja",ISNUMBER(W449),N(X449)&gt;0),IFERROR(N(INDEX(Parameter!$L$5:$L$7,W449))*INDEX(Parameter!$E$5:$E$7,W449)*X449/SUMIFS($X$7:$X$1843,$W$7:$W$1843,W449),0),0)</f>
        <v>0</v>
      </c>
    </row>
    <row r="450" customFormat="false" ht="15" hidden="false" customHeight="false" outlineLevel="0" collapsed="false">
      <c r="A450" s="48" t="s">
        <v>1022</v>
      </c>
      <c r="B450" s="48" t="s">
        <v>472</v>
      </c>
      <c r="C450" s="48" t="s">
        <v>168</v>
      </c>
      <c r="D450" s="48" t="s">
        <v>188</v>
      </c>
      <c r="E450" s="48" t="s">
        <v>189</v>
      </c>
      <c r="F450" s="48" t="s">
        <v>222</v>
      </c>
      <c r="G450" s="49" t="n">
        <v>0.16</v>
      </c>
      <c r="H450" s="50" t="n">
        <f aca="false">MAX(0,IF(AND(Parameter!$B$21="Ja",ISNUMBER(Y450)),Y450,IF(Parameter!$B$20="Jahresanfang 2025 + Export",BO450+BN450,BN450)))</f>
        <v>570</v>
      </c>
      <c r="I450" s="50" t="n">
        <f aca="false">H450*G450</f>
        <v>91.2</v>
      </c>
      <c r="J450" s="50" t="n">
        <f aca="false">BQ450*Parameter!$B$18</f>
        <v>790</v>
      </c>
      <c r="K450" s="51" t="n">
        <v>186</v>
      </c>
      <c r="L450" s="52" t="n">
        <v>4.24731182795699</v>
      </c>
      <c r="M450" s="50" t="n">
        <v>30</v>
      </c>
      <c r="N450" s="50" t="n">
        <v>790</v>
      </c>
      <c r="O450" s="53" t="n">
        <v>14</v>
      </c>
      <c r="P450" s="48" t="s">
        <v>405</v>
      </c>
      <c r="Q450" s="50" t="n">
        <v>262</v>
      </c>
      <c r="R450" s="53" t="n">
        <f aca="false">IF(BW450=1,0,IFERROR(VLOOKUP(BU450,'Gebinde-Kategorie'!$A$5:$N$45,13,0)+0,0))</f>
        <v>280</v>
      </c>
      <c r="S450" s="54"/>
      <c r="T450" s="55"/>
      <c r="U450" s="55"/>
      <c r="V450" s="55"/>
      <c r="W450" s="48"/>
      <c r="X450" s="50"/>
      <c r="Y450" s="50"/>
      <c r="Z450" s="48" t="n">
        <f aca="false">IF(A450="","",IF(AND(Parameter!$B$21="Ja",ISNUMBER(W450)),W450,IF(BZ450="2+3",IF(ISNUMBER(SEARCH("grosser Artikel",BR450)),2,IFERROR(VLOOKUP(BU450,Parameter!$F$35:$G$64,2,0),2)),IF(OR(BZ450="Nein",BZ450=""),"-",BZ450))))</f>
        <v>3</v>
      </c>
      <c r="AA450" s="55"/>
      <c r="AB450" s="56"/>
      <c r="AC450" s="50" t="n">
        <f aca="false">AT450</f>
        <v>1048</v>
      </c>
      <c r="AD450" s="50" t="n">
        <f aca="false">MAX(AT450,H450)</f>
        <v>1048</v>
      </c>
      <c r="AE450" s="57"/>
      <c r="AF450" s="50" t="n">
        <f aca="false">IF(LEFT(Cockpit!$C$5,1)="A",H450,IF(CE450=1,CF450,IF(LEFT(Cockpit!$C$5,1)="B",AK450,MAX(AK450,H450))))</f>
        <v>570</v>
      </c>
      <c r="AG450" s="50" t="n">
        <f aca="false">IF(BW450=1,0,ROUNDUP(AF450/BV450,0))</f>
        <v>3</v>
      </c>
      <c r="AH450" s="52" t="n">
        <f aca="false">IF(CL450&gt;0,CL450*MAX(1,AF450/X450),IF(BW450=1,IF(AF450&lt;=0,0,CA450*MAX(1,IF(H450&gt;0,AF450/H450,1))),IF(R450&gt;0,AG450/R450,0))/MAX(0.1,N(Parameter!$M$21)))</f>
        <v>0.0107142857142857</v>
      </c>
      <c r="AI450" s="50" t="n">
        <f aca="false">AH450*BY450</f>
        <v>1.66071428571429</v>
      </c>
      <c r="AJ450" s="50" t="n">
        <f aca="false">AF450*G450</f>
        <v>91.2</v>
      </c>
      <c r="AK450" s="50" t="n">
        <f aca="false">ROUNDUP(MAX(J450/IF(CD450&gt;0,CD450,MAX(0.1,N(Cockpit!$C$6))),CG450)/BV450,0)*BV450</f>
        <v>1048</v>
      </c>
      <c r="AL450" s="51" t="n">
        <f aca="false">IF(AI450&gt;0,J450/AI450,-1)</f>
        <v>475.698924731183</v>
      </c>
      <c r="AM450" s="51" t="n">
        <f aca="false">IF(AND(OR(CC450="L1",CC450="L23",CC450="LIFT"),AI450&gt;0),SUMIFS($AI$7:$AI$1843,$CC$7:$CC$1843,CC450,$AL$7:$AL$1843,"&gt;"&amp;AL450)+SUMIFS($AI$7:$AI$1843,$CC$7:$CC$1843,CC450,$AL$7:$AL$1843,AL450,$BT$7:$BT$1843,"&lt;="&amp;BT450),"")</f>
        <v>84.6730769230769</v>
      </c>
      <c r="AN450" s="58" t="n">
        <f aca="false">IF(AM450="",0,MAX(0,MIN(1,(IF(CC450="L1",Parameter!$H$5,IF(CC450="L23",Parameter!$H$6+Parameter!$H$7,Parameter!$H$5+Parameter!$H$6+Parameter!$H$7))-(AM450-AI450))/AI450)))</f>
        <v>1</v>
      </c>
      <c r="AO450" s="50" t="n">
        <f aca="false">IF(LEFT(Cockpit!$I$5,1)="A",H450,IF(CE450=1,CF450,IF(LEFT(Cockpit!$I$5,1)="B",AT450,MAX(AT450,H450))))</f>
        <v>1048</v>
      </c>
      <c r="AP450" s="50" t="n">
        <f aca="false">IF(BW450=1,0,ROUNDUP(AO450/BV450,0))</f>
        <v>4</v>
      </c>
      <c r="AQ450" s="52" t="n">
        <f aca="false">IF(CL450&gt;0,CL450*MAX(1,AO450/X450),IF(BW450=1,IF(AO450&lt;=0,0,CA450*MAX(1,IF(H450&gt;0,AO450/H450,1))),IF(R450&gt;0,AP450/R450,0))/MAX(0.1,N(Parameter!$M$21)))</f>
        <v>0.0142857142857143</v>
      </c>
      <c r="AR450" s="50" t="n">
        <f aca="false">AQ450*BY450</f>
        <v>2.21428571428571</v>
      </c>
      <c r="AS450" s="50" t="n">
        <f aca="false">AO450*G450</f>
        <v>167.68</v>
      </c>
      <c r="AT450" s="50" t="n">
        <f aca="false">ROUNDUP(MAX(J450/IF(CD450&gt;0,CD450,MAX(0.1,N(Cockpit!$I$6))),CG450)/BV450,0)*BV450</f>
        <v>1048</v>
      </c>
      <c r="AU450" s="51" t="n">
        <f aca="false">IF(AR450&gt;0,J450/AR450,-1)</f>
        <v>356.774193548387</v>
      </c>
      <c r="AV450" s="51" t="n">
        <f aca="false">IF(AND(OR(CC450="L1",CC450="L23",CC450="LIFT"),AR450&gt;0),SUMIFS($AR$7:$AR$1843,$CC$7:$CC$1843,CC450,$AU$7:$AU$1843,"&gt;"&amp;AU450)+SUMIFS($AR$7:$AR$1843,$CC$7:$CC$1843,CC450,$AU$7:$AU$1843,AU450,$BT$7:$BT$1843,"&lt;="&amp;BT450),"")</f>
        <v>141.485347985348</v>
      </c>
      <c r="AW450" s="58" t="n">
        <f aca="false">IF(AV450="",0,MAX(0,MIN(1,(IF(CC450="L1",Parameter!$H$5,IF(CC450="L23",Parameter!$H$6+Parameter!$H$7,Parameter!$H$5+Parameter!$H$6+Parameter!$H$7))-(AV450-AR450))/AR450)))</f>
        <v>1</v>
      </c>
      <c r="AX450" s="50" t="n">
        <f aca="false">IF(LEFT(Cockpit!$O$5,1)="A",H450,IF(CE450=1,CF450,IF(LEFT(Cockpit!$O$5,1)="B",BC450,MAX(BC450,H450))))</f>
        <v>1048</v>
      </c>
      <c r="AY450" s="50" t="n">
        <f aca="false">IF(BW450=1,0,ROUNDUP(AX450/BV450,0))</f>
        <v>4</v>
      </c>
      <c r="AZ450" s="52" t="n">
        <f aca="false">IF(CL450&gt;0,CL450*MAX(1,AX450/X450),IF(BW450=1,IF(AX450&lt;=0,0,CA450*MAX(1,IF(H450&gt;0,AX450/H450,1))),IF(R450&gt;0,AY450/R450,0))/MAX(0.1,N(Parameter!$M$21)))</f>
        <v>0.0142857142857143</v>
      </c>
      <c r="BA450" s="50" t="n">
        <f aca="false">AZ450*BY450</f>
        <v>2.21428571428571</v>
      </c>
      <c r="BB450" s="50" t="n">
        <f aca="false">AX450*G450</f>
        <v>167.68</v>
      </c>
      <c r="BC450" s="50" t="n">
        <f aca="false">ROUNDUP(MAX(J450/IF(CD450&gt;0,CD450,MAX(0.1,N(Cockpit!$O$6))),CG450)/BV450,0)*BV450</f>
        <v>1048</v>
      </c>
      <c r="BD450" s="51" t="n">
        <f aca="false">IF(BA450&gt;0,J450/BA450,-1)</f>
        <v>356.774193548387</v>
      </c>
      <c r="BE450" s="51" t="n">
        <f aca="false">IF(AND(OR(CC450="L1",CC450="L23",CC450="LIFT"),BA450&gt;0),SUMIFS($BA$7:$BA$1843,$CC$7:$CC$1843,CC450,$BD$7:$BD$1843,"&gt;"&amp;BD450)+SUMIFS($BA$7:$BA$1843,$CC$7:$CC$1843,CC450,$BD$7:$BD$1843,BD450,$BT$7:$BT$1843,"&lt;="&amp;BT450),"")</f>
        <v>135.52380952381</v>
      </c>
      <c r="BF450" s="58" t="n">
        <f aca="false">IF(BE450="",0,MAX(0,MIN(1,(IF(CC450="L1",Parameter!$H$5,IF(CC450="L23",Parameter!$H$6+Parameter!$H$7,Parameter!$H$5+Parameter!$H$6+Parameter!$H$7))-(BE450-BA450))/BA450)))</f>
        <v>1</v>
      </c>
      <c r="BG450" s="48" t="str">
        <f aca="false">IF(AI450&lt;=0,"",IF(CC450="Aussen","Aussenlager",IF(CC450="-","Nicht im Lift",IF(AN450&gt;=1,"Lift",IF(AN450&lt;=0,"Aussenlager","teilweise")))))</f>
        <v>Lift</v>
      </c>
      <c r="BH450" s="48" t="str">
        <f aca="false">IF(AR450&lt;=0,"",IF(CC450="Aussen","Aussenlager",IF(CC450="-","Nicht im Lift",IF(AW450&gt;=1,"Lift",IF(AW450&lt;=0,"Aussenlager","teilweise")))))</f>
        <v>Lift</v>
      </c>
      <c r="BI450" s="48" t="str">
        <f aca="false">IF(BA450&lt;=0,"",IF(CC450="Aussen","Aussenlager",IF(CC450="-","Nicht im Lift",IF(BF450&gt;=1,"Lift",IF(BF450&lt;=0,"Aussenlager","teilweise")))))</f>
        <v>Lift</v>
      </c>
      <c r="BJ450" s="48" t="str">
        <f aca="false">IF(A450="","",IF(BS450=1,"Neu; ","")&amp;IF(AND(BS450=0,BN450&lt;0),"negativer Bestand (Export "&amp;BN450&amp;"); ","")&amp;IF(J450&lt;=0,"Kein Verbrauch; ","")&amp;IF(CL450&gt;0,"Lift "&amp;W450&amp;" lt. Liftbericht (Fach "&amp;X450&amp;" Stk); ",IF(BX450=1,"Gebinde geschätzt ("&amp;T450&amp;"); ",IF(BW450=1,"Lose – Tablare geschätzt; ","")))&amp;IF(H450&gt;AT450,"Überbestand "&amp;ROUND(H450-AT450,0)&amp;" Stk / CHF "&amp;ROUND((H450-AT450)*G450,0)&amp;"; ","")&amp;IF(AND(CE450=1,CF450&lt;CG450),"MAX &lt; MB+LG; ","")&amp;IF(AND(CK450&gt;0,CJ450*10&gt;CK450),"zu hoch für Tablar; ","")&amp;IF(AND(BS450=0,OR(CE450=1,AA450&lt;&gt;"",U450&lt;&gt;"",V450&lt;&gt;"",AB450&lt;&gt;"")),"manuell übersteuert; ","")&amp;IF(AND(BW450=0,R450=0),"Gebinde unbekannt / Stellmass fehlt; ","")&amp;IF(AND(BW450=0,N(V450)&lt;=0,N(Q450)&lt;=0),"Menge pro Gebinde fehlt (Ist = 1 Gebinde); ","")&amp;BR450)</f>
        <v/>
      </c>
      <c r="BK450" s="48"/>
      <c r="BL450" s="48"/>
      <c r="BM450" s="55"/>
      <c r="BN450" s="50" t="n">
        <v>450</v>
      </c>
      <c r="BO450" s="50" t="n">
        <v>120</v>
      </c>
      <c r="BP450" s="49" t="n">
        <v>67</v>
      </c>
      <c r="BQ450" s="50" t="n">
        <v>790</v>
      </c>
      <c r="BR450" s="48"/>
      <c r="BS450" s="53" t="n">
        <v>0</v>
      </c>
      <c r="BT450" s="53" t="n">
        <v>450</v>
      </c>
      <c r="BU450" s="48" t="str">
        <f aca="false">IF(U450&lt;&gt;"",UPPER(TRIM(U450)),IF(BX450=1,UPPER(VLOOKUP(T450,Parameter!$I$27:$K$29,2,0)),IF(P450="","LOSE",P450)))</f>
        <v>S21</v>
      </c>
      <c r="BV450" s="50" t="n">
        <f aca="false">IF(BU450="LOSE",1,IF(N(V450)&gt;0,V450,IF(BX450=1,MAX(1,N(VLOOKUP(T450,Parameter!$I$27:$K$29,3,0)),H450,N(N450)),IF(N(Q450)&gt;0,Q450,MAX(1,H450)))))</f>
        <v>262</v>
      </c>
      <c r="BW450" s="53" t="n">
        <f aca="false">IF(BU450="LOSE",1,0)</f>
        <v>0</v>
      </c>
      <c r="BX450" s="53" t="n">
        <f aca="false">IF(AND(U450="",OR(P450="",P450="LOSE"),T450&lt;&gt;"",N(S450)&lt;=0,ISNUMBER(MATCH(T450,Parameter!$I$27:$I$29,0))),1,0)</f>
        <v>0</v>
      </c>
      <c r="BY450" s="53" t="n">
        <f aca="false">IF(CL450&gt;0,INDEX(Parameter!$H$5:$H$7,W450)/INDEX(Parameter!$E$5:$E$7,W450),IF(AND(BW450=0,N(IFERROR(VLOOKUP(BU450,'Gebinde-Kategorie'!$A$5:$N$45,14,0),0))&gt;0),VLOOKUP(BU450,'Gebinde-Kategorie'!$A$5:$N$45,14,0)*10+Parameter!$M$23,Parameter!$M$24))</f>
        <v>155</v>
      </c>
      <c r="BZ450" s="48" t="str">
        <f aca="false">IF(AND(Parameter!$B$19="Ja",E450&lt;&gt;"",ISNUMBER(MATCH(E450,Parameter!$I$35:$I$52,0))),VLOOKUP(E450,Parameter!$I$35:$J$52,2,0),IFERROR(VLOOKUP(D450,Parameter!$A$35:$C$64,2,0),"Nein"))</f>
        <v>2+3</v>
      </c>
      <c r="CA450" s="52" t="n">
        <f aca="false">IF(BW450=0,0,IF(N(S450)&gt;0,S450,IFERROR(VLOOKUP(D450,Parameter!$A$35:$C$64,3,0)+0,0)))</f>
        <v>0</v>
      </c>
      <c r="CB450" s="48" t="n">
        <f aca="false">IF(AA450&lt;&gt;"",AA450,Z450)</f>
        <v>3</v>
      </c>
      <c r="CC450" s="48" t="str">
        <f aca="false">IF(OR(CB450=1,CB450=2,CB450=3),IF(Parameter!$E$27="Ja","LIFT",IF(CB450=1,"L1","L23")),IF(CB450="Aussen","Aussen","-"))</f>
        <v>LIFT</v>
      </c>
      <c r="CD450" s="59" t="n">
        <f aca="false">IF(N(AB450)&gt;0,AB450,0)</f>
        <v>0</v>
      </c>
      <c r="CE450" s="53" t="n">
        <f aca="false">IF(ISNUMBER(AE450),1,0)</f>
        <v>0</v>
      </c>
      <c r="CF450" s="50" t="n">
        <f aca="false">N(AE450)</f>
        <v>0</v>
      </c>
      <c r="CG450" s="50" t="n">
        <f aca="false">N(M450)+N(N450)</f>
        <v>820</v>
      </c>
      <c r="CH450" s="50" t="n">
        <f aca="false">ROUNDUP(H450/BV450,0)</f>
        <v>3</v>
      </c>
      <c r="CI450" s="50" t="n">
        <f aca="false">ROUNDUP(CF450/BV450,0)</f>
        <v>0</v>
      </c>
      <c r="CJ450" s="53" t="n">
        <f aca="false">IF(BW450=1,0,IFERROR(VLOOKUP(BU450,'Gebinde-Kategorie'!$A$5:$N$45,5,0)+0,0))</f>
        <v>8</v>
      </c>
      <c r="CK450" s="53" t="n">
        <f aca="false">IFERROR(IF(OR(CB450=1,CB450=2,CB450=3),N(INDEX(Parameter!$I$5:$I$7,CB450)),0),0)</f>
        <v>0</v>
      </c>
      <c r="CL450" s="52" t="n">
        <f aca="false">IF(AND(Parameter!$B$21="Ja",ISNUMBER(W450),N(X450)&gt;0),IFERROR(N(INDEX(Parameter!$L$5:$L$7,W450))*INDEX(Parameter!$E$5:$E$7,W450)*X450/SUMIFS($X$7:$X$1843,$W$7:$W$1843,W450),0),0)</f>
        <v>0</v>
      </c>
    </row>
    <row r="451" customFormat="false" ht="15" hidden="false" customHeight="false" outlineLevel="0" collapsed="false">
      <c r="A451" s="48" t="s">
        <v>1023</v>
      </c>
      <c r="B451" s="48" t="s">
        <v>1024</v>
      </c>
      <c r="C451" s="48" t="s">
        <v>168</v>
      </c>
      <c r="D451" s="48" t="s">
        <v>177</v>
      </c>
      <c r="E451" s="48"/>
      <c r="F451" s="48" t="s">
        <v>222</v>
      </c>
      <c r="G451" s="49" t="n">
        <v>33.5</v>
      </c>
      <c r="H451" s="50" t="n">
        <f aca="false">MAX(0,IF(AND(Parameter!$B$21="Ja",ISNUMBER(Y451)),Y451,IF(Parameter!$B$20="Jahresanfang 2025 + Export",BO451+BN451,BN451)))</f>
        <v>16</v>
      </c>
      <c r="I451" s="50" t="n">
        <f aca="false">H451*G451</f>
        <v>536</v>
      </c>
      <c r="J451" s="50" t="n">
        <f aca="false">BQ451*Parameter!$B$18</f>
        <v>8</v>
      </c>
      <c r="K451" s="51" t="n">
        <v>17.5</v>
      </c>
      <c r="L451" s="52" t="n">
        <v>0.457142857142857</v>
      </c>
      <c r="M451" s="50" t="n">
        <v>1</v>
      </c>
      <c r="N451" s="50" t="n">
        <v>10</v>
      </c>
      <c r="O451" s="53" t="n">
        <v>56</v>
      </c>
      <c r="P451" s="48" t="s">
        <v>227</v>
      </c>
      <c r="Q451" s="50" t="n">
        <v>24</v>
      </c>
      <c r="R451" s="53" t="n">
        <f aca="false">IF(BW451=1,0,IFERROR(VLOOKUP(BU451,'Gebinde-Kategorie'!$A$5:$N$45,13,0)+0,0))</f>
        <v>4</v>
      </c>
      <c r="S451" s="54"/>
      <c r="T451" s="55"/>
      <c r="U451" s="55"/>
      <c r="V451" s="55"/>
      <c r="W451" s="48"/>
      <c r="X451" s="50"/>
      <c r="Y451" s="50"/>
      <c r="Z451" s="48" t="n">
        <f aca="false">IF(A451="","",IF(AND(Parameter!$B$21="Ja",ISNUMBER(W451)),W451,IF(BZ451="2+3",IF(ISNUMBER(SEARCH("grosser Artikel",BR451)),2,IFERROR(VLOOKUP(BU451,Parameter!$F$35:$G$64,2,0),2)),IF(OR(BZ451="Nein",BZ451=""),"-",BZ451))))</f>
        <v>2</v>
      </c>
      <c r="AA451" s="55"/>
      <c r="AB451" s="56"/>
      <c r="AC451" s="50" t="n">
        <f aca="false">AT451</f>
        <v>24</v>
      </c>
      <c r="AD451" s="50" t="n">
        <f aca="false">MAX(AT451,H451)</f>
        <v>24</v>
      </c>
      <c r="AE451" s="57"/>
      <c r="AF451" s="50" t="n">
        <f aca="false">IF(LEFT(Cockpit!$C$5,1)="A",H451,IF(CE451=1,CF451,IF(LEFT(Cockpit!$C$5,1)="B",AK451,MAX(AK451,H451))))</f>
        <v>16</v>
      </c>
      <c r="AG451" s="50" t="n">
        <f aca="false">IF(BW451=1,0,ROUNDUP(AF451/BV451,0))</f>
        <v>1</v>
      </c>
      <c r="AH451" s="52" t="n">
        <f aca="false">IF(CL451&gt;0,CL451*MAX(1,AF451/X451),IF(BW451=1,IF(AF451&lt;=0,0,CA451*MAX(1,IF(H451&gt;0,AF451/H451,1))),IF(R451&gt;0,AG451/R451,0))/MAX(0.1,N(Parameter!$M$21)))</f>
        <v>0.25</v>
      </c>
      <c r="AI451" s="50" t="n">
        <f aca="false">AH451*BY451</f>
        <v>58.75</v>
      </c>
      <c r="AJ451" s="50" t="n">
        <f aca="false">AF451*G451</f>
        <v>536</v>
      </c>
      <c r="AK451" s="50" t="n">
        <f aca="false">ROUNDUP(MAX(J451/IF(CD451&gt;0,CD451,MAX(0.1,N(Cockpit!$C$6))),CG451)/BV451,0)*BV451</f>
        <v>24</v>
      </c>
      <c r="AL451" s="51" t="n">
        <f aca="false">IF(AI451&gt;0,J451/AI451,-1)</f>
        <v>0.136170212765957</v>
      </c>
      <c r="AM451" s="51" t="n">
        <f aca="false">IF(AND(OR(CC451="L1",CC451="L23",CC451="LIFT"),AI451&gt;0),SUMIFS($AI$7:$AI$1843,$CC$7:$CC$1843,CC451,$AL$7:$AL$1843,"&gt;"&amp;AL451)+SUMIFS($AI$7:$AI$1843,$CC$7:$CC$1843,CC451,$AL$7:$AL$1843,AL451,$BT$7:$BT$1843,"&lt;="&amp;BT451),"")</f>
        <v>13211.592695205</v>
      </c>
      <c r="AN451" s="58" t="n">
        <f aca="false">IF(AM451="",0,MAX(0,MIN(1,(IF(CC451="L1",Parameter!$H$5,IF(CC451="L23",Parameter!$H$6+Parameter!$H$7,Parameter!$H$5+Parameter!$H$6+Parameter!$H$7))-(AM451-AI451))/AI451)))</f>
        <v>1</v>
      </c>
      <c r="AO451" s="50" t="n">
        <f aca="false">IF(LEFT(Cockpit!$I$5,1)="A",H451,IF(CE451=1,CF451,IF(LEFT(Cockpit!$I$5,1)="B",AT451,MAX(AT451,H451))))</f>
        <v>24</v>
      </c>
      <c r="AP451" s="50" t="n">
        <f aca="false">IF(BW451=1,0,ROUNDUP(AO451/BV451,0))</f>
        <v>1</v>
      </c>
      <c r="AQ451" s="52" t="n">
        <f aca="false">IF(CL451&gt;0,CL451*MAX(1,AO451/X451),IF(BW451=1,IF(AO451&lt;=0,0,CA451*MAX(1,IF(H451&gt;0,AO451/H451,1))),IF(R451&gt;0,AP451/R451,0))/MAX(0.1,N(Parameter!$M$21)))</f>
        <v>0.25</v>
      </c>
      <c r="AR451" s="50" t="n">
        <f aca="false">AQ451*BY451</f>
        <v>58.75</v>
      </c>
      <c r="AS451" s="50" t="n">
        <f aca="false">AO451*G451</f>
        <v>804</v>
      </c>
      <c r="AT451" s="50" t="n">
        <f aca="false">ROUNDUP(MAX(J451/IF(CD451&gt;0,CD451,MAX(0.1,N(Cockpit!$I$6))),CG451)/BV451,0)*BV451</f>
        <v>24</v>
      </c>
      <c r="AU451" s="51" t="n">
        <f aca="false">IF(AR451&gt;0,J451/AR451,-1)</f>
        <v>0.136170212765957</v>
      </c>
      <c r="AV451" s="51" t="n">
        <f aca="false">IF(AND(OR(CC451="L1",CC451="L23",CC451="LIFT"),AR451&gt;0),SUMIFS($AR$7:$AR$1843,$CC$7:$CC$1843,CC451,$AU$7:$AU$1843,"&gt;"&amp;AU451)+SUMIFS($AR$7:$AR$1843,$CC$7:$CC$1843,CC451,$AU$7:$AU$1843,AU451,$BT$7:$BT$1843,"&lt;="&amp;BT451),"")</f>
        <v>20031.5132783883</v>
      </c>
      <c r="AW451" s="58" t="n">
        <f aca="false">IF(AV451="",0,MAX(0,MIN(1,(IF(CC451="L1",Parameter!$H$5,IF(CC451="L23",Parameter!$H$6+Parameter!$H$7,Parameter!$H$5+Parameter!$H$6+Parameter!$H$7))-(AV451-AR451))/AR451)))</f>
        <v>1</v>
      </c>
      <c r="AX451" s="50" t="n">
        <f aca="false">IF(LEFT(Cockpit!$O$5,1)="A",H451,IF(CE451=1,CF451,IF(LEFT(Cockpit!$O$5,1)="B",BC451,MAX(BC451,H451))))</f>
        <v>24</v>
      </c>
      <c r="AY451" s="50" t="n">
        <f aca="false">IF(BW451=1,0,ROUNDUP(AX451/BV451,0))</f>
        <v>1</v>
      </c>
      <c r="AZ451" s="52" t="n">
        <f aca="false">IF(CL451&gt;0,CL451*MAX(1,AX451/X451),IF(BW451=1,IF(AX451&lt;=0,0,CA451*MAX(1,IF(H451&gt;0,AX451/H451,1))),IF(R451&gt;0,AY451/R451,0))/MAX(0.1,N(Parameter!$M$21)))</f>
        <v>0.25</v>
      </c>
      <c r="BA451" s="50" t="n">
        <f aca="false">AZ451*BY451</f>
        <v>58.75</v>
      </c>
      <c r="BB451" s="50" t="n">
        <f aca="false">AX451*G451</f>
        <v>804</v>
      </c>
      <c r="BC451" s="50" t="n">
        <f aca="false">ROUNDUP(MAX(J451/IF(CD451&gt;0,CD451,MAX(0.1,N(Cockpit!$O$6))),CG451)/BV451,0)*BV451</f>
        <v>24</v>
      </c>
      <c r="BD451" s="51" t="n">
        <f aca="false">IF(BA451&gt;0,J451/BA451,-1)</f>
        <v>0.136170212765957</v>
      </c>
      <c r="BE451" s="51" t="n">
        <f aca="false">IF(AND(OR(CC451="L1",CC451="L23",CC451="LIFT"),BA451&gt;0),SUMIFS($BA$7:$BA$1843,$CC$7:$CC$1843,CC451,$BD$7:$BD$1843,"&gt;"&amp;BD451)+SUMIFS($BA$7:$BA$1843,$CC$7:$CC$1843,CC451,$BD$7:$BD$1843,BD451,$BT$7:$BT$1843,"&lt;="&amp;BT451),"")</f>
        <v>19052.9424577306</v>
      </c>
      <c r="BF451" s="58" t="n">
        <f aca="false">IF(BE451="",0,MAX(0,MIN(1,(IF(CC451="L1",Parameter!$H$5,IF(CC451="L23",Parameter!$H$6+Parameter!$H$7,Parameter!$H$5+Parameter!$H$6+Parameter!$H$7))-(BE451-BA451))/BA451)))</f>
        <v>1</v>
      </c>
      <c r="BG451" s="48" t="str">
        <f aca="false">IF(AI451&lt;=0,"",IF(CC451="Aussen","Aussenlager",IF(CC451="-","Nicht im Lift",IF(AN451&gt;=1,"Lift",IF(AN451&lt;=0,"Aussenlager","teilweise")))))</f>
        <v>Lift</v>
      </c>
      <c r="BH451" s="48" t="str">
        <f aca="false">IF(AR451&lt;=0,"",IF(CC451="Aussen","Aussenlager",IF(CC451="-","Nicht im Lift",IF(AW451&gt;=1,"Lift",IF(AW451&lt;=0,"Aussenlager","teilweise")))))</f>
        <v>Lift</v>
      </c>
      <c r="BI451" s="48" t="str">
        <f aca="false">IF(BA451&lt;=0,"",IF(CC451="Aussen","Aussenlager",IF(CC451="-","Nicht im Lift",IF(BF451&gt;=1,"Lift",IF(BF451&lt;=0,"Aussenlager","teilweise")))))</f>
        <v>Lift</v>
      </c>
      <c r="BJ451" s="48" t="str">
        <f aca="false">IF(A451="","",IF(BS451=1,"Neu; ","")&amp;IF(AND(BS451=0,BN451&lt;0),"negativer Bestand (Export "&amp;BN451&amp;"); ","")&amp;IF(J451&lt;=0,"Kein Verbrauch; ","")&amp;IF(CL451&gt;0,"Lift "&amp;W451&amp;" lt. Liftbericht (Fach "&amp;X451&amp;" Stk); ",IF(BX451=1,"Gebinde geschätzt ("&amp;T451&amp;"); ",IF(BW451=1,"Lose – Tablare geschätzt; ","")))&amp;IF(H451&gt;AT451,"Überbestand "&amp;ROUND(H451-AT451,0)&amp;" Stk / CHF "&amp;ROUND((H451-AT451)*G451,0)&amp;"; ","")&amp;IF(AND(CE451=1,CF451&lt;CG451),"MAX &lt; MB+LG; ","")&amp;IF(AND(CK451&gt;0,CJ451*10&gt;CK451),"zu hoch für Tablar; ","")&amp;IF(AND(BS451=0,OR(CE451=1,AA451&lt;&gt;"",U451&lt;&gt;"",V451&lt;&gt;"",AB451&lt;&gt;"")),"manuell übersteuert; ","")&amp;IF(AND(BW451=0,R451=0),"Gebinde unbekannt / Stellmass fehlt; ","")&amp;IF(AND(BW451=0,N(V451)&lt;=0,N(Q451)&lt;=0),"Menge pro Gebinde fehlt (Ist = 1 Gebinde); ","")&amp;BR451)</f>
        <v/>
      </c>
      <c r="BK451" s="48"/>
      <c r="BL451" s="48"/>
      <c r="BM451" s="55"/>
      <c r="BN451" s="50" t="n">
        <v>2</v>
      </c>
      <c r="BO451" s="50" t="n">
        <v>14</v>
      </c>
      <c r="BP451" s="49" t="n">
        <v>67</v>
      </c>
      <c r="BQ451" s="50" t="n">
        <v>8</v>
      </c>
      <c r="BR451" s="48"/>
      <c r="BS451" s="53" t="n">
        <v>0</v>
      </c>
      <c r="BT451" s="53" t="n">
        <v>451</v>
      </c>
      <c r="BU451" s="48" t="str">
        <f aca="false">IF(U451&lt;&gt;"",UPPER(TRIM(U451)),IF(BX451=1,UPPER(VLOOKUP(T451,Parameter!$I$27:$K$29,2,0)),IF(P451="","LOSE",P451)))</f>
        <v>S81</v>
      </c>
      <c r="BV451" s="50" t="n">
        <f aca="false">IF(BU451="LOSE",1,IF(N(V451)&gt;0,V451,IF(BX451=1,MAX(1,N(VLOOKUP(T451,Parameter!$I$27:$K$29,3,0)),H451,N(N451)),IF(N(Q451)&gt;0,Q451,MAX(1,H451)))))</f>
        <v>24</v>
      </c>
      <c r="BW451" s="53" t="n">
        <f aca="false">IF(BU451="LOSE",1,0)</f>
        <v>0</v>
      </c>
      <c r="BX451" s="53" t="n">
        <f aca="false">IF(AND(U451="",OR(P451="",P451="LOSE"),T451&lt;&gt;"",N(S451)&lt;=0,ISNUMBER(MATCH(T451,Parameter!$I$27:$I$29,0))),1,0)</f>
        <v>0</v>
      </c>
      <c r="BY451" s="53" t="n">
        <f aca="false">IF(CL451&gt;0,INDEX(Parameter!$H$5:$H$7,W451)/INDEX(Parameter!$E$5:$E$7,W451),IF(AND(BW451=0,N(IFERROR(VLOOKUP(BU451,'Gebinde-Kategorie'!$A$5:$N$45,14,0),0))&gt;0),VLOOKUP(BU451,'Gebinde-Kategorie'!$A$5:$N$45,14,0)*10+Parameter!$M$23,Parameter!$M$24))</f>
        <v>235</v>
      </c>
      <c r="BZ451" s="48" t="str">
        <f aca="false">IF(AND(Parameter!$B$19="Ja",E451&lt;&gt;"",ISNUMBER(MATCH(E451,Parameter!$I$35:$I$52,0))),VLOOKUP(E451,Parameter!$I$35:$J$52,2,0),IFERROR(VLOOKUP(D451,Parameter!$A$35:$C$64,2,0),"Nein"))</f>
        <v>2+3</v>
      </c>
      <c r="CA451" s="52" t="n">
        <f aca="false">IF(BW451=0,0,IF(N(S451)&gt;0,S451,IFERROR(VLOOKUP(D451,Parameter!$A$35:$C$64,3,0)+0,0)))</f>
        <v>0</v>
      </c>
      <c r="CB451" s="48" t="n">
        <f aca="false">IF(AA451&lt;&gt;"",AA451,Z451)</f>
        <v>2</v>
      </c>
      <c r="CC451" s="48" t="str">
        <f aca="false">IF(OR(CB451=1,CB451=2,CB451=3),IF(Parameter!$E$27="Ja","LIFT",IF(CB451=1,"L1","L23")),IF(CB451="Aussen","Aussen","-"))</f>
        <v>LIFT</v>
      </c>
      <c r="CD451" s="59" t="n">
        <f aca="false">IF(N(AB451)&gt;0,AB451,0)</f>
        <v>0</v>
      </c>
      <c r="CE451" s="53" t="n">
        <f aca="false">IF(ISNUMBER(AE451),1,0)</f>
        <v>0</v>
      </c>
      <c r="CF451" s="50" t="n">
        <f aca="false">N(AE451)</f>
        <v>0</v>
      </c>
      <c r="CG451" s="50" t="n">
        <f aca="false">N(M451)+N(N451)</f>
        <v>11</v>
      </c>
      <c r="CH451" s="50" t="n">
        <f aca="false">ROUNDUP(H451/BV451,0)</f>
        <v>1</v>
      </c>
      <c r="CI451" s="50" t="n">
        <f aca="false">ROUNDUP(CF451/BV451,0)</f>
        <v>0</v>
      </c>
      <c r="CJ451" s="53" t="n">
        <f aca="false">IF(BW451=1,0,IFERROR(VLOOKUP(BU451,'Gebinde-Kategorie'!$A$5:$N$45,5,0)+0,0))</f>
        <v>20</v>
      </c>
      <c r="CK451" s="53" t="n">
        <f aca="false">IFERROR(IF(OR(CB451=1,CB451=2,CB451=3),N(INDEX(Parameter!$I$5:$I$7,CB451)),0),0)</f>
        <v>0</v>
      </c>
      <c r="CL451" s="52" t="n">
        <f aca="false">IF(AND(Parameter!$B$21="Ja",ISNUMBER(W451),N(X451)&gt;0),IFERROR(N(INDEX(Parameter!$L$5:$L$7,W451))*INDEX(Parameter!$E$5:$E$7,W451)*X451/SUMIFS($X$7:$X$1843,$W$7:$W$1843,W451),0),0)</f>
        <v>0</v>
      </c>
    </row>
    <row r="452" customFormat="false" ht="15" hidden="false" customHeight="false" outlineLevel="0" collapsed="false">
      <c r="A452" s="48" t="s">
        <v>1025</v>
      </c>
      <c r="B452" s="48" t="s">
        <v>1026</v>
      </c>
      <c r="C452" s="48" t="s">
        <v>168</v>
      </c>
      <c r="D452" s="48" t="s">
        <v>188</v>
      </c>
      <c r="E452" s="48"/>
      <c r="F452" s="48" t="s">
        <v>222</v>
      </c>
      <c r="G452" s="49" t="n">
        <v>4.42</v>
      </c>
      <c r="H452" s="50" t="n">
        <f aca="false">MAX(0,IF(AND(Parameter!$B$21="Ja",ISNUMBER(Y452)),Y452,IF(Parameter!$B$20="Jahresanfang 2025 + Export",BO452+BN452,BN452)))</f>
        <v>15</v>
      </c>
      <c r="I452" s="50" t="n">
        <f aca="false">H452*G452</f>
        <v>66.3</v>
      </c>
      <c r="J452" s="50" t="n">
        <f aca="false">BQ452*Parameter!$B$18</f>
        <v>0</v>
      </c>
      <c r="K452" s="51" t="n">
        <v>7.5</v>
      </c>
      <c r="L452" s="52" t="n">
        <v>0</v>
      </c>
      <c r="M452" s="50" t="n">
        <v>0</v>
      </c>
      <c r="N452" s="50" t="n">
        <v>1</v>
      </c>
      <c r="O452" s="53" t="n">
        <v>28</v>
      </c>
      <c r="P452" s="48" t="s">
        <v>430</v>
      </c>
      <c r="Q452" s="50" t="n">
        <v>15</v>
      </c>
      <c r="R452" s="53" t="n">
        <f aca="false">IF(BW452=1,0,IFERROR(VLOOKUP(BU452,'Gebinde-Kategorie'!$A$5:$N$45,13,0)+0,0))</f>
        <v>140</v>
      </c>
      <c r="S452" s="54"/>
      <c r="T452" s="55"/>
      <c r="U452" s="55"/>
      <c r="V452" s="55"/>
      <c r="W452" s="48"/>
      <c r="X452" s="50"/>
      <c r="Y452" s="50"/>
      <c r="Z452" s="48" t="n">
        <f aca="false">IF(A452="","",IF(AND(Parameter!$B$21="Ja",ISNUMBER(W452)),W452,IF(BZ452="2+3",IF(ISNUMBER(SEARCH("grosser Artikel",BR452)),2,IFERROR(VLOOKUP(BU452,Parameter!$F$35:$G$64,2,0),2)),IF(OR(BZ452="Nein",BZ452=""),"-",BZ452))))</f>
        <v>3</v>
      </c>
      <c r="AA452" s="55"/>
      <c r="AB452" s="56"/>
      <c r="AC452" s="50" t="n">
        <f aca="false">AT452</f>
        <v>15</v>
      </c>
      <c r="AD452" s="50" t="n">
        <f aca="false">MAX(AT452,H452)</f>
        <v>15</v>
      </c>
      <c r="AE452" s="57"/>
      <c r="AF452" s="50" t="n">
        <f aca="false">IF(LEFT(Cockpit!$C$5,1)="A",H452,IF(CE452=1,CF452,IF(LEFT(Cockpit!$C$5,1)="B",AK452,MAX(AK452,H452))))</f>
        <v>15</v>
      </c>
      <c r="AG452" s="50" t="n">
        <f aca="false">IF(BW452=1,0,ROUNDUP(AF452/BV452,0))</f>
        <v>1</v>
      </c>
      <c r="AH452" s="52" t="n">
        <f aca="false">IF(CL452&gt;0,CL452*MAX(1,AF452/X452),IF(BW452=1,IF(AF452&lt;=0,0,CA452*MAX(1,IF(H452&gt;0,AF452/H452,1))),IF(R452&gt;0,AG452/R452,0))/MAX(0.1,N(Parameter!$M$21)))</f>
        <v>0.00714285714285714</v>
      </c>
      <c r="AI452" s="50" t="n">
        <f aca="false">AH452*BY452</f>
        <v>1.10714285714286</v>
      </c>
      <c r="AJ452" s="50" t="n">
        <f aca="false">AF452*G452</f>
        <v>66.3</v>
      </c>
      <c r="AK452" s="50" t="n">
        <f aca="false">ROUNDUP(MAX(J452/IF(CD452&gt;0,CD452,MAX(0.1,N(Cockpit!$C$6))),CG452)/BV452,0)*BV452</f>
        <v>15</v>
      </c>
      <c r="AL452" s="51" t="n">
        <f aca="false">IF(AI452&gt;0,J452/AI452,-1)</f>
        <v>0</v>
      </c>
      <c r="AM452" s="51" t="n">
        <f aca="false">IF(AND(OR(CC452="L1",CC452="L23",CC452="LIFT"),AI452&gt;0),SUMIFS($AI$7:$AI$1843,$CC$7:$CC$1843,CC452,$AL$7:$AL$1843,"&gt;"&amp;AL452)+SUMIFS($AI$7:$AI$1843,$CC$7:$CC$1843,CC452,$AL$7:$AL$1843,AL452,$BT$7:$BT$1843,"&lt;="&amp;BT452),"")</f>
        <v>28144.1883549595</v>
      </c>
      <c r="AN452" s="58" t="n">
        <f aca="false">IF(AM452="",0,MAX(0,MIN(1,(IF(CC452="L1",Parameter!$H$5,IF(CC452="L23",Parameter!$H$6+Parameter!$H$7,Parameter!$H$5+Parameter!$H$6+Parameter!$H$7))-(AM452-AI452))/AI452)))</f>
        <v>1</v>
      </c>
      <c r="AO452" s="50" t="n">
        <f aca="false">IF(LEFT(Cockpit!$I$5,1)="A",H452,IF(CE452=1,CF452,IF(LEFT(Cockpit!$I$5,1)="B",AT452,MAX(AT452,H452))))</f>
        <v>15</v>
      </c>
      <c r="AP452" s="50" t="n">
        <f aca="false">IF(BW452=1,0,ROUNDUP(AO452/BV452,0))</f>
        <v>1</v>
      </c>
      <c r="AQ452" s="52" t="n">
        <f aca="false">IF(CL452&gt;0,CL452*MAX(1,AO452/X452),IF(BW452=1,IF(AO452&lt;=0,0,CA452*MAX(1,IF(H452&gt;0,AO452/H452,1))),IF(R452&gt;0,AP452/R452,0))/MAX(0.1,N(Parameter!$M$21)))</f>
        <v>0.00714285714285714</v>
      </c>
      <c r="AR452" s="50" t="n">
        <f aca="false">AQ452*BY452</f>
        <v>1.10714285714286</v>
      </c>
      <c r="AS452" s="50" t="n">
        <f aca="false">AO452*G452</f>
        <v>66.3</v>
      </c>
      <c r="AT452" s="50" t="n">
        <f aca="false">ROUNDUP(MAX(J452/IF(CD452&gt;0,CD452,MAX(0.1,N(Cockpit!$I$6))),CG452)/BV452,0)*BV452</f>
        <v>15</v>
      </c>
      <c r="AU452" s="51" t="n">
        <f aca="false">IF(AR452&gt;0,J452/AR452,-1)</f>
        <v>0</v>
      </c>
      <c r="AV452" s="51" t="n">
        <f aca="false">IF(AND(OR(CC452="L1",CC452="L23",CC452="LIFT"),AR452&gt;0),SUMIFS($AR$7:$AR$1843,$CC$7:$CC$1843,CC452,$AU$7:$AU$1843,"&gt;"&amp;AU452)+SUMIFS($AR$7:$AR$1843,$CC$7:$CC$1843,CC452,$AU$7:$AU$1843,AU452,$BT$7:$BT$1843,"&lt;="&amp;BT452),"")</f>
        <v>39457.0938722295</v>
      </c>
      <c r="AW452" s="58" t="n">
        <f aca="false">IF(AV452="",0,MAX(0,MIN(1,(IF(CC452="L1",Parameter!$H$5,IF(CC452="L23",Parameter!$H$6+Parameter!$H$7,Parameter!$H$5+Parameter!$H$6+Parameter!$H$7))-(AV452-AR452))/AR452)))</f>
        <v>0</v>
      </c>
      <c r="AX452" s="50" t="n">
        <f aca="false">IF(LEFT(Cockpit!$O$5,1)="A",H452,IF(CE452=1,CF452,IF(LEFT(Cockpit!$O$5,1)="B",BC452,MAX(BC452,H452))))</f>
        <v>15</v>
      </c>
      <c r="AY452" s="50" t="n">
        <f aca="false">IF(BW452=1,0,ROUNDUP(AX452/BV452,0))</f>
        <v>1</v>
      </c>
      <c r="AZ452" s="52" t="n">
        <f aca="false">IF(CL452&gt;0,CL452*MAX(1,AX452/X452),IF(BW452=1,IF(AX452&lt;=0,0,CA452*MAX(1,IF(H452&gt;0,AX452/H452,1))),IF(R452&gt;0,AY452/R452,0))/MAX(0.1,N(Parameter!$M$21)))</f>
        <v>0.00714285714285714</v>
      </c>
      <c r="BA452" s="50" t="n">
        <f aca="false">AZ452*BY452</f>
        <v>1.10714285714286</v>
      </c>
      <c r="BB452" s="50" t="n">
        <f aca="false">AX452*G452</f>
        <v>66.3</v>
      </c>
      <c r="BC452" s="50" t="n">
        <f aca="false">ROUNDUP(MAX(J452/IF(CD452&gt;0,CD452,MAX(0.1,N(Cockpit!$O$6))),CG452)/BV452,0)*BV452</f>
        <v>15</v>
      </c>
      <c r="BD452" s="51" t="n">
        <f aca="false">IF(BA452&gt;0,J452/BA452,-1)</f>
        <v>0</v>
      </c>
      <c r="BE452" s="51" t="n">
        <f aca="false">IF(AND(OR(CC452="L1",CC452="L23",CC452="LIFT"),BA452&gt;0),SUMIFS($BA$7:$BA$1843,$CC$7:$CC$1843,CC452,$BD$7:$BD$1843,"&gt;"&amp;BD452)+SUMIFS($BA$7:$BA$1843,$CC$7:$CC$1843,CC452,$BD$7:$BD$1843,BD452,$BT$7:$BT$1843,"&lt;="&amp;BT452),"")</f>
        <v>36132.1059140953</v>
      </c>
      <c r="BF452" s="58" t="n">
        <f aca="false">IF(BE452="",0,MAX(0,MIN(1,(IF(CC452="L1",Parameter!$H$5,IF(CC452="L23",Parameter!$H$6+Parameter!$H$7,Parameter!$H$5+Parameter!$H$6+Parameter!$H$7))-(BE452-BA452))/BA452)))</f>
        <v>0</v>
      </c>
      <c r="BG452" s="48" t="str">
        <f aca="false">IF(AI452&lt;=0,"",IF(CC452="Aussen","Aussenlager",IF(CC452="-","Nicht im Lift",IF(AN452&gt;=1,"Lift",IF(AN452&lt;=0,"Aussenlager","teilweise")))))</f>
        <v>Lift</v>
      </c>
      <c r="BH452" s="48" t="str">
        <f aca="false">IF(AR452&lt;=0,"",IF(CC452="Aussen","Aussenlager",IF(CC452="-","Nicht im Lift",IF(AW452&gt;=1,"Lift",IF(AW452&lt;=0,"Aussenlager","teilweise")))))</f>
        <v>Aussenlager</v>
      </c>
      <c r="BI452" s="48" t="str">
        <f aca="false">IF(BA452&lt;=0,"",IF(CC452="Aussen","Aussenlager",IF(CC452="-","Nicht im Lift",IF(BF452&gt;=1,"Lift",IF(BF452&lt;=0,"Aussenlager","teilweise")))))</f>
        <v>Aussenlager</v>
      </c>
      <c r="BJ452" s="48" t="str">
        <f aca="false">IF(A452="","",IF(BS452=1,"Neu; ","")&amp;IF(AND(BS452=0,BN452&lt;0),"negativer Bestand (Export "&amp;BN452&amp;"); ","")&amp;IF(J452&lt;=0,"Kein Verbrauch; ","")&amp;IF(CL452&gt;0,"Lift "&amp;W452&amp;" lt. Liftbericht (Fach "&amp;X452&amp;" Stk); ",IF(BX452=1,"Gebinde geschätzt ("&amp;T452&amp;"); ",IF(BW452=1,"Lose – Tablare geschätzt; ","")))&amp;IF(H452&gt;AT452,"Überbestand "&amp;ROUND(H452-AT452,0)&amp;" Stk / CHF "&amp;ROUND((H452-AT452)*G452,0)&amp;"; ","")&amp;IF(AND(CE452=1,CF452&lt;CG452),"MAX &lt; MB+LG; ","")&amp;IF(AND(CK452&gt;0,CJ452*10&gt;CK452),"zu hoch für Tablar; ","")&amp;IF(AND(BS452=0,OR(CE452=1,AA452&lt;&gt;"",U452&lt;&gt;"",V452&lt;&gt;"",AB452&lt;&gt;"")),"manuell übersteuert; ","")&amp;IF(AND(BW452=0,R452=0),"Gebinde unbekannt / Stellmass fehlt; ","")&amp;IF(AND(BW452=0,N(V452)&lt;=0,N(Q452)&lt;=0),"Menge pro Gebinde fehlt (Ist = 1 Gebinde); ","")&amp;BR452)</f>
        <v>Kein Verbrauch; </v>
      </c>
      <c r="BK452" s="48"/>
      <c r="BL452" s="48"/>
      <c r="BM452" s="55"/>
      <c r="BN452" s="50" t="n">
        <v>15</v>
      </c>
      <c r="BO452" s="50" t="n">
        <v>0</v>
      </c>
      <c r="BP452" s="49" t="n">
        <v>66.3</v>
      </c>
      <c r="BQ452" s="50" t="n">
        <v>0</v>
      </c>
      <c r="BR452" s="48"/>
      <c r="BS452" s="53" t="n">
        <v>0</v>
      </c>
      <c r="BT452" s="53" t="n">
        <v>452</v>
      </c>
      <c r="BU452" s="48" t="str">
        <f aca="false">IF(U452&lt;&gt;"",UPPER(TRIM(U452)),IF(BX452=1,UPPER(VLOOKUP(T452,Parameter!$I$27:$K$29,2,0)),IF(P452="","LOSE",P452)))</f>
        <v>S22</v>
      </c>
      <c r="BV452" s="50" t="n">
        <f aca="false">IF(BU452="LOSE",1,IF(N(V452)&gt;0,V452,IF(BX452=1,MAX(1,N(VLOOKUP(T452,Parameter!$I$27:$K$29,3,0)),H452,N(N452)),IF(N(Q452)&gt;0,Q452,MAX(1,H452)))))</f>
        <v>15</v>
      </c>
      <c r="BW452" s="53" t="n">
        <f aca="false">IF(BU452="LOSE",1,0)</f>
        <v>0</v>
      </c>
      <c r="BX452" s="53" t="n">
        <f aca="false">IF(AND(U452="",OR(P452="",P452="LOSE"),T452&lt;&gt;"",N(S452)&lt;=0,ISNUMBER(MATCH(T452,Parameter!$I$27:$I$29,0))),1,0)</f>
        <v>0</v>
      </c>
      <c r="BY452" s="53" t="n">
        <f aca="false">IF(CL452&gt;0,INDEX(Parameter!$H$5:$H$7,W452)/INDEX(Parameter!$E$5:$E$7,W452),IF(AND(BW452=0,N(IFERROR(VLOOKUP(BU452,'Gebinde-Kategorie'!$A$5:$N$45,14,0),0))&gt;0),VLOOKUP(BU452,'Gebinde-Kategorie'!$A$5:$N$45,14,0)*10+Parameter!$M$23,Parameter!$M$24))</f>
        <v>155</v>
      </c>
      <c r="BZ452" s="48" t="str">
        <f aca="false">IF(AND(Parameter!$B$19="Ja",E452&lt;&gt;"",ISNUMBER(MATCH(E452,Parameter!$I$35:$I$52,0))),VLOOKUP(E452,Parameter!$I$35:$J$52,2,0),IFERROR(VLOOKUP(D452,Parameter!$A$35:$C$64,2,0),"Nein"))</f>
        <v>2+3</v>
      </c>
      <c r="CA452" s="52" t="n">
        <f aca="false">IF(BW452=0,0,IF(N(S452)&gt;0,S452,IFERROR(VLOOKUP(D452,Parameter!$A$35:$C$64,3,0)+0,0)))</f>
        <v>0</v>
      </c>
      <c r="CB452" s="48" t="n">
        <f aca="false">IF(AA452&lt;&gt;"",AA452,Z452)</f>
        <v>3</v>
      </c>
      <c r="CC452" s="48" t="str">
        <f aca="false">IF(OR(CB452=1,CB452=2,CB452=3),IF(Parameter!$E$27="Ja","LIFT",IF(CB452=1,"L1","L23")),IF(CB452="Aussen","Aussen","-"))</f>
        <v>LIFT</v>
      </c>
      <c r="CD452" s="59" t="n">
        <f aca="false">IF(N(AB452)&gt;0,AB452,0)</f>
        <v>0</v>
      </c>
      <c r="CE452" s="53" t="n">
        <f aca="false">IF(ISNUMBER(AE452),1,0)</f>
        <v>0</v>
      </c>
      <c r="CF452" s="50" t="n">
        <f aca="false">N(AE452)</f>
        <v>0</v>
      </c>
      <c r="CG452" s="50" t="n">
        <f aca="false">N(M452)+N(N452)</f>
        <v>1</v>
      </c>
      <c r="CH452" s="50" t="n">
        <f aca="false">ROUNDUP(H452/BV452,0)</f>
        <v>1</v>
      </c>
      <c r="CI452" s="50" t="n">
        <f aca="false">ROUNDUP(CF452/BV452,0)</f>
        <v>0</v>
      </c>
      <c r="CJ452" s="53" t="n">
        <f aca="false">IF(BW452=1,0,IFERROR(VLOOKUP(BU452,'Gebinde-Kategorie'!$A$5:$N$45,5,0)+0,0))</f>
        <v>8</v>
      </c>
      <c r="CK452" s="53" t="n">
        <f aca="false">IFERROR(IF(OR(CB452=1,CB452=2,CB452=3),N(INDEX(Parameter!$I$5:$I$7,CB452)),0),0)</f>
        <v>0</v>
      </c>
      <c r="CL452" s="52" t="n">
        <f aca="false">IF(AND(Parameter!$B$21="Ja",ISNUMBER(W452),N(X452)&gt;0),IFERROR(N(INDEX(Parameter!$L$5:$L$7,W452))*INDEX(Parameter!$E$5:$E$7,W452)*X452/SUMIFS($X$7:$X$1843,$W$7:$W$1843,W452),0),0)</f>
        <v>0</v>
      </c>
    </row>
    <row r="453" customFormat="false" ht="15" hidden="false" customHeight="false" outlineLevel="0" collapsed="false">
      <c r="A453" s="48" t="s">
        <v>1027</v>
      </c>
      <c r="B453" s="48" t="s">
        <v>1028</v>
      </c>
      <c r="C453" s="48" t="s">
        <v>168</v>
      </c>
      <c r="D453" s="48" t="s">
        <v>177</v>
      </c>
      <c r="E453" s="48" t="s">
        <v>469</v>
      </c>
      <c r="F453" s="48" t="s">
        <v>222</v>
      </c>
      <c r="G453" s="49" t="n">
        <v>10.4</v>
      </c>
      <c r="H453" s="50" t="n">
        <f aca="false">MAX(0,IF(AND(Parameter!$B$21="Ja",ISNUMBER(Y453)),Y453,IF(Parameter!$B$20="Jahresanfang 2025 + Export",BO453+BN453,BN453)))</f>
        <v>25</v>
      </c>
      <c r="I453" s="50" t="n">
        <f aca="false">H453*G453</f>
        <v>260</v>
      </c>
      <c r="J453" s="50" t="n">
        <f aca="false">BQ453*Parameter!$B$18</f>
        <v>33</v>
      </c>
      <c r="K453" s="51" t="n">
        <v>17.5</v>
      </c>
      <c r="L453" s="52" t="n">
        <v>1.88571428571429</v>
      </c>
      <c r="M453" s="50" t="n">
        <v>1</v>
      </c>
      <c r="N453" s="50" t="n">
        <v>15</v>
      </c>
      <c r="O453" s="53" t="n">
        <v>21</v>
      </c>
      <c r="P453" s="48" t="s">
        <v>172</v>
      </c>
      <c r="Q453" s="50"/>
      <c r="R453" s="53" t="n">
        <f aca="false">IF(BW453=1,0,IFERROR(VLOOKUP(BU453,'Gebinde-Kategorie'!$A$5:$N$45,13,0)+0,0))</f>
        <v>4</v>
      </c>
      <c r="S453" s="54"/>
      <c r="T453" s="55" t="s">
        <v>193</v>
      </c>
      <c r="U453" s="55"/>
      <c r="V453" s="55"/>
      <c r="W453" s="48"/>
      <c r="X453" s="50"/>
      <c r="Y453" s="50"/>
      <c r="Z453" s="48" t="str">
        <f aca="false">IF(A453="","",IF(AND(Parameter!$B$21="Ja",ISNUMBER(W453)),W453,IF(BZ453="2+3",IF(ISNUMBER(SEARCH("grosser Artikel",BR453)),2,IFERROR(VLOOKUP(BU453,Parameter!$F$35:$G$64,2,0),2)),IF(OR(BZ453="Nein",BZ453=""),"-",BZ453))))</f>
        <v>-</v>
      </c>
      <c r="AA453" s="55"/>
      <c r="AB453" s="56"/>
      <c r="AC453" s="50" t="n">
        <f aca="false">AT453</f>
        <v>25</v>
      </c>
      <c r="AD453" s="50" t="n">
        <f aca="false">MAX(AT453,H453)</f>
        <v>25</v>
      </c>
      <c r="AE453" s="57"/>
      <c r="AF453" s="50" t="n">
        <f aca="false">IF(LEFT(Cockpit!$C$5,1)="A",H453,IF(CE453=1,CF453,IF(LEFT(Cockpit!$C$5,1)="B",AK453,MAX(AK453,H453))))</f>
        <v>25</v>
      </c>
      <c r="AG453" s="50" t="n">
        <f aca="false">IF(BW453=1,0,ROUNDUP(AF453/BV453,0))</f>
        <v>1</v>
      </c>
      <c r="AH453" s="52" t="n">
        <f aca="false">IF(CL453&gt;0,CL453*MAX(1,AF453/X453),IF(BW453=1,IF(AF453&lt;=0,0,CA453*MAX(1,IF(H453&gt;0,AF453/H453,1))),IF(R453&gt;0,AG453/R453,0))/MAX(0.1,N(Parameter!$M$21)))</f>
        <v>0.25</v>
      </c>
      <c r="AI453" s="50" t="n">
        <f aca="false">AH453*BY453</f>
        <v>58.75</v>
      </c>
      <c r="AJ453" s="50" t="n">
        <f aca="false">AF453*G453</f>
        <v>260</v>
      </c>
      <c r="AK453" s="50" t="n">
        <f aca="false">ROUNDUP(MAX(J453/IF(CD453&gt;0,CD453,MAX(0.1,N(Cockpit!$C$6))),CG453)/BV453,0)*BV453</f>
        <v>25</v>
      </c>
      <c r="AL453" s="51" t="n">
        <f aca="false">IF(AI453&gt;0,J453/AI453,-1)</f>
        <v>0.561702127659575</v>
      </c>
      <c r="AM453" s="51" t="str">
        <f aca="false">IF(AND(OR(CC453="L1",CC453="L23",CC453="LIFT"),AI453&gt;0),SUMIFS($AI$7:$AI$1843,$CC$7:$CC$1843,CC453,$AL$7:$AL$1843,"&gt;"&amp;AL453)+SUMIFS($AI$7:$AI$1843,$CC$7:$CC$1843,CC453,$AL$7:$AL$1843,AL453,$BT$7:$BT$1843,"&lt;="&amp;BT453),"")</f>
        <v/>
      </c>
      <c r="AN453" s="58" t="n">
        <f aca="false">IF(AM453="",0,MAX(0,MIN(1,(IF(CC453="L1",Parameter!$H$5,IF(CC453="L23",Parameter!$H$6+Parameter!$H$7,Parameter!$H$5+Parameter!$H$6+Parameter!$H$7))-(AM453-AI453))/AI453)))</f>
        <v>0</v>
      </c>
      <c r="AO453" s="50" t="n">
        <f aca="false">IF(LEFT(Cockpit!$I$5,1)="A",H453,IF(CE453=1,CF453,IF(LEFT(Cockpit!$I$5,1)="B",AT453,MAX(AT453,H453))))</f>
        <v>25</v>
      </c>
      <c r="AP453" s="50" t="n">
        <f aca="false">IF(BW453=1,0,ROUNDUP(AO453/BV453,0))</f>
        <v>1</v>
      </c>
      <c r="AQ453" s="52" t="n">
        <f aca="false">IF(CL453&gt;0,CL453*MAX(1,AO453/X453),IF(BW453=1,IF(AO453&lt;=0,0,CA453*MAX(1,IF(H453&gt;0,AO453/H453,1))),IF(R453&gt;0,AP453/R453,0))/MAX(0.1,N(Parameter!$M$21)))</f>
        <v>0.25</v>
      </c>
      <c r="AR453" s="50" t="n">
        <f aca="false">AQ453*BY453</f>
        <v>58.75</v>
      </c>
      <c r="AS453" s="50" t="n">
        <f aca="false">AO453*G453</f>
        <v>260</v>
      </c>
      <c r="AT453" s="50" t="n">
        <f aca="false">ROUNDUP(MAX(J453/IF(CD453&gt;0,CD453,MAX(0.1,N(Cockpit!$I$6))),CG453)/BV453,0)*BV453</f>
        <v>25</v>
      </c>
      <c r="AU453" s="51" t="n">
        <f aca="false">IF(AR453&gt;0,J453/AR453,-1)</f>
        <v>0.561702127659575</v>
      </c>
      <c r="AV453" s="51" t="str">
        <f aca="false">IF(AND(OR(CC453="L1",CC453="L23",CC453="LIFT"),AR453&gt;0),SUMIFS($AR$7:$AR$1843,$CC$7:$CC$1843,CC453,$AU$7:$AU$1843,"&gt;"&amp;AU453)+SUMIFS($AR$7:$AR$1843,$CC$7:$CC$1843,CC453,$AU$7:$AU$1843,AU453,$BT$7:$BT$1843,"&lt;="&amp;BT453),"")</f>
        <v/>
      </c>
      <c r="AW453" s="58" t="n">
        <f aca="false">IF(AV453="",0,MAX(0,MIN(1,(IF(CC453="L1",Parameter!$H$5,IF(CC453="L23",Parameter!$H$6+Parameter!$H$7,Parameter!$H$5+Parameter!$H$6+Parameter!$H$7))-(AV453-AR453))/AR453)))</f>
        <v>0</v>
      </c>
      <c r="AX453" s="50" t="n">
        <f aca="false">IF(LEFT(Cockpit!$O$5,1)="A",H453,IF(CE453=1,CF453,IF(LEFT(Cockpit!$O$5,1)="B",BC453,MAX(BC453,H453))))</f>
        <v>25</v>
      </c>
      <c r="AY453" s="50" t="n">
        <f aca="false">IF(BW453=1,0,ROUNDUP(AX453/BV453,0))</f>
        <v>1</v>
      </c>
      <c r="AZ453" s="52" t="n">
        <f aca="false">IF(CL453&gt;0,CL453*MAX(1,AX453/X453),IF(BW453=1,IF(AX453&lt;=0,0,CA453*MAX(1,IF(H453&gt;0,AX453/H453,1))),IF(R453&gt;0,AY453/R453,0))/MAX(0.1,N(Parameter!$M$21)))</f>
        <v>0.25</v>
      </c>
      <c r="BA453" s="50" t="n">
        <f aca="false">AZ453*BY453</f>
        <v>58.75</v>
      </c>
      <c r="BB453" s="50" t="n">
        <f aca="false">AX453*G453</f>
        <v>260</v>
      </c>
      <c r="BC453" s="50" t="n">
        <f aca="false">ROUNDUP(MAX(J453/IF(CD453&gt;0,CD453,MAX(0.1,N(Cockpit!$O$6))),CG453)/BV453,0)*BV453</f>
        <v>25</v>
      </c>
      <c r="BD453" s="51" t="n">
        <f aca="false">IF(BA453&gt;0,J453/BA453,-1)</f>
        <v>0.561702127659575</v>
      </c>
      <c r="BE453" s="51" t="str">
        <f aca="false">IF(AND(OR(CC453="L1",CC453="L23",CC453="LIFT"),BA453&gt;0),SUMIFS($BA$7:$BA$1843,$CC$7:$CC$1843,CC453,$BD$7:$BD$1843,"&gt;"&amp;BD453)+SUMIFS($BA$7:$BA$1843,$CC$7:$CC$1843,CC453,$BD$7:$BD$1843,BD453,$BT$7:$BT$1843,"&lt;="&amp;BT453),"")</f>
        <v/>
      </c>
      <c r="BF453" s="58" t="n">
        <f aca="false">IF(BE453="",0,MAX(0,MIN(1,(IF(CC453="L1",Parameter!$H$5,IF(CC453="L23",Parameter!$H$6+Parameter!$H$7,Parameter!$H$5+Parameter!$H$6+Parameter!$H$7))-(BE453-BA453))/BA453)))</f>
        <v>0</v>
      </c>
      <c r="BG453" s="48" t="str">
        <f aca="false">IF(AI453&lt;=0,"",IF(CC453="Aussen","Aussenlager",IF(CC453="-","Nicht im Lift",IF(AN453&gt;=1,"Lift",IF(AN453&lt;=0,"Aussenlager","teilweise")))))</f>
        <v>Nicht im Lift</v>
      </c>
      <c r="BH453" s="48" t="str">
        <f aca="false">IF(AR453&lt;=0,"",IF(CC453="Aussen","Aussenlager",IF(CC453="-","Nicht im Lift",IF(AW453&gt;=1,"Lift",IF(AW453&lt;=0,"Aussenlager","teilweise")))))</f>
        <v>Nicht im Lift</v>
      </c>
      <c r="BI453" s="48" t="str">
        <f aca="false">IF(BA453&lt;=0,"",IF(CC453="Aussen","Aussenlager",IF(CC453="-","Nicht im Lift",IF(BF453&gt;=1,"Lift",IF(BF453&lt;=0,"Aussenlager","teilweise")))))</f>
        <v>Nicht im Lift</v>
      </c>
      <c r="BJ453" s="48" t="str">
        <f aca="false">IF(A453="","",IF(BS453=1,"Neu; ","")&amp;IF(AND(BS453=0,BN453&lt;0),"negativer Bestand (Export "&amp;BN453&amp;"); ","")&amp;IF(J453&lt;=0,"Kein Verbrauch; ","")&amp;IF(CL453&gt;0,"Lift "&amp;W453&amp;" lt. Liftbericht (Fach "&amp;X453&amp;" Stk); ",IF(BX453=1,"Gebinde geschätzt ("&amp;T453&amp;"); ",IF(BW453=1,"Lose – Tablare geschätzt; ","")))&amp;IF(H453&gt;AT453,"Überbestand "&amp;ROUND(H453-AT453,0)&amp;" Stk / CHF "&amp;ROUND((H453-AT453)*G453,0)&amp;"; ","")&amp;IF(AND(CE453=1,CF453&lt;CG453),"MAX &lt; MB+LG; ","")&amp;IF(AND(CK453&gt;0,CJ453*10&gt;CK453),"zu hoch für Tablar; ","")&amp;IF(AND(BS453=0,OR(CE453=1,AA453&lt;&gt;"",U453&lt;&gt;"",V453&lt;&gt;"",AB453&lt;&gt;"")),"manuell übersteuert; ","")&amp;IF(AND(BW453=0,R453=0),"Gebinde unbekannt / Stellmass fehlt; ","")&amp;IF(AND(BW453=0,N(V453)&lt;=0,N(Q453)&lt;=0),"Menge pro Gebinde fehlt (Ist = 1 Gebinde); ","")&amp;BR453)</f>
        <v>Gebinde geschätzt (Gross); Menge pro Gebinde fehlt (Ist = 1 Gebinde); </v>
      </c>
      <c r="BK453" s="48"/>
      <c r="BL453" s="48"/>
      <c r="BM453" s="55"/>
      <c r="BN453" s="50" t="n">
        <v>5</v>
      </c>
      <c r="BO453" s="50" t="n">
        <v>20</v>
      </c>
      <c r="BP453" s="49" t="n">
        <v>66</v>
      </c>
      <c r="BQ453" s="50" t="n">
        <v>33</v>
      </c>
      <c r="BR453" s="48"/>
      <c r="BS453" s="53" t="n">
        <v>0</v>
      </c>
      <c r="BT453" s="53" t="n">
        <v>453</v>
      </c>
      <c r="BU453" s="48" t="str">
        <f aca="false">IF(U453&lt;&gt;"",UPPER(TRIM(U453)),IF(BX453=1,UPPER(VLOOKUP(T453,Parameter!$I$27:$K$29,2,0)),IF(P453="","LOSE",P453)))</f>
        <v>S81</v>
      </c>
      <c r="BV453" s="50" t="n">
        <f aca="false">IF(BU453="LOSE",1,IF(N(V453)&gt;0,V453,IF(BX453=1,MAX(1,N(VLOOKUP(T453,Parameter!$I$27:$K$29,3,0)),H453,N(N453)),IF(N(Q453)&gt;0,Q453,MAX(1,H453)))))</f>
        <v>25</v>
      </c>
      <c r="BW453" s="53" t="n">
        <f aca="false">IF(BU453="LOSE",1,0)</f>
        <v>0</v>
      </c>
      <c r="BX453" s="53" t="n">
        <f aca="false">IF(AND(U453="",OR(P453="",P453="LOSE"),T453&lt;&gt;"",N(S453)&lt;=0,ISNUMBER(MATCH(T453,Parameter!$I$27:$I$29,0))),1,0)</f>
        <v>1</v>
      </c>
      <c r="BY453" s="53" t="n">
        <f aca="false">IF(CL453&gt;0,INDEX(Parameter!$H$5:$H$7,W453)/INDEX(Parameter!$E$5:$E$7,W453),IF(AND(BW453=0,N(IFERROR(VLOOKUP(BU453,'Gebinde-Kategorie'!$A$5:$N$45,14,0),0))&gt;0),VLOOKUP(BU453,'Gebinde-Kategorie'!$A$5:$N$45,14,0)*10+Parameter!$M$23,Parameter!$M$24))</f>
        <v>235</v>
      </c>
      <c r="BZ453" s="48" t="str">
        <f aca="false">IF(AND(Parameter!$B$19="Ja",E453&lt;&gt;"",ISNUMBER(MATCH(E453,Parameter!$I$35:$I$52,0))),VLOOKUP(E453,Parameter!$I$35:$J$52,2,0),IFERROR(VLOOKUP(D453,Parameter!$A$35:$C$64,2,0),"Nein"))</f>
        <v>Nein</v>
      </c>
      <c r="CA453" s="52" t="n">
        <f aca="false">IF(BW453=0,0,IF(N(S453)&gt;0,S453,IFERROR(VLOOKUP(D453,Parameter!$A$35:$C$64,3,0)+0,0)))</f>
        <v>0</v>
      </c>
      <c r="CB453" s="48" t="str">
        <f aca="false">IF(AA453&lt;&gt;"",AA453,Z453)</f>
        <v>-</v>
      </c>
      <c r="CC453" s="48" t="str">
        <f aca="false">IF(OR(CB453=1,CB453=2,CB453=3),IF(Parameter!$E$27="Ja","LIFT",IF(CB453=1,"L1","L23")),IF(CB453="Aussen","Aussen","-"))</f>
        <v>-</v>
      </c>
      <c r="CD453" s="59" t="n">
        <f aca="false">IF(N(AB453)&gt;0,AB453,0)</f>
        <v>0</v>
      </c>
      <c r="CE453" s="53" t="n">
        <f aca="false">IF(ISNUMBER(AE453),1,0)</f>
        <v>0</v>
      </c>
      <c r="CF453" s="50" t="n">
        <f aca="false">N(AE453)</f>
        <v>0</v>
      </c>
      <c r="CG453" s="50" t="n">
        <f aca="false">N(M453)+N(N453)</f>
        <v>16</v>
      </c>
      <c r="CH453" s="50" t="n">
        <f aca="false">ROUNDUP(H453/BV453,0)</f>
        <v>1</v>
      </c>
      <c r="CI453" s="50" t="n">
        <f aca="false">ROUNDUP(CF453/BV453,0)</f>
        <v>0</v>
      </c>
      <c r="CJ453" s="53" t="n">
        <f aca="false">IF(BW453=1,0,IFERROR(VLOOKUP(BU453,'Gebinde-Kategorie'!$A$5:$N$45,5,0)+0,0))</f>
        <v>20</v>
      </c>
      <c r="CK453" s="53" t="n">
        <f aca="false">IFERROR(IF(OR(CB453=1,CB453=2,CB453=3),N(INDEX(Parameter!$I$5:$I$7,CB453)),0),0)</f>
        <v>0</v>
      </c>
      <c r="CL453" s="52" t="n">
        <f aca="false">IF(AND(Parameter!$B$21="Ja",ISNUMBER(W453),N(X453)&gt;0),IFERROR(N(INDEX(Parameter!$L$5:$L$7,W453))*INDEX(Parameter!$E$5:$E$7,W453)*X453/SUMIFS($X$7:$X$1843,$W$7:$W$1843,W453),0),0)</f>
        <v>0</v>
      </c>
    </row>
    <row r="454" customFormat="false" ht="15" hidden="false" customHeight="false" outlineLevel="0" collapsed="false">
      <c r="A454" s="48" t="s">
        <v>1029</v>
      </c>
      <c r="B454" s="48" t="s">
        <v>1030</v>
      </c>
      <c r="C454" s="48" t="s">
        <v>168</v>
      </c>
      <c r="D454" s="48" t="s">
        <v>188</v>
      </c>
      <c r="E454" s="48" t="s">
        <v>189</v>
      </c>
      <c r="F454" s="48" t="s">
        <v>222</v>
      </c>
      <c r="G454" s="49" t="n">
        <v>7.1</v>
      </c>
      <c r="H454" s="50" t="n">
        <f aca="false">MAX(0,IF(AND(Parameter!$B$21="Ja",ISNUMBER(Y454)),Y454,IF(Parameter!$B$20="Jahresanfang 2025 + Export",BO454+BN454,BN454)))</f>
        <v>69</v>
      </c>
      <c r="I454" s="50" t="n">
        <f aca="false">H454*G454</f>
        <v>489.9</v>
      </c>
      <c r="J454" s="50" t="n">
        <f aca="false">BQ454*Parameter!$B$18</f>
        <v>172</v>
      </c>
      <c r="K454" s="51" t="n">
        <v>76.5</v>
      </c>
      <c r="L454" s="52" t="n">
        <v>2.2483660130719</v>
      </c>
      <c r="M454" s="50" t="n">
        <v>4</v>
      </c>
      <c r="N454" s="50" t="n">
        <v>170</v>
      </c>
      <c r="O454" s="53" t="n">
        <v>21</v>
      </c>
      <c r="P454" s="48" t="s">
        <v>425</v>
      </c>
      <c r="Q454" s="50" t="n">
        <v>136</v>
      </c>
      <c r="R454" s="53" t="n">
        <f aca="false">IF(BW454=1,0,IFERROR(VLOOKUP(BU454,'Gebinde-Kategorie'!$A$5:$N$45,13,0)+0,0))</f>
        <v>104</v>
      </c>
      <c r="S454" s="54"/>
      <c r="T454" s="55"/>
      <c r="U454" s="55"/>
      <c r="V454" s="55"/>
      <c r="W454" s="48"/>
      <c r="X454" s="50"/>
      <c r="Y454" s="50"/>
      <c r="Z454" s="48" t="n">
        <f aca="false">IF(A454="","",IF(AND(Parameter!$B$21="Ja",ISNUMBER(W454)),W454,IF(BZ454="2+3",IF(ISNUMBER(SEARCH("grosser Artikel",BR454)),2,IFERROR(VLOOKUP(BU454,Parameter!$F$35:$G$64,2,0),2)),IF(OR(BZ454="Nein",BZ454=""),"-",BZ454))))</f>
        <v>3</v>
      </c>
      <c r="AA454" s="55"/>
      <c r="AB454" s="56"/>
      <c r="AC454" s="50" t="n">
        <f aca="false">AT454</f>
        <v>272</v>
      </c>
      <c r="AD454" s="50" t="n">
        <f aca="false">MAX(AT454,H454)</f>
        <v>272</v>
      </c>
      <c r="AE454" s="57"/>
      <c r="AF454" s="50" t="n">
        <f aca="false">IF(LEFT(Cockpit!$C$5,1)="A",H454,IF(CE454=1,CF454,IF(LEFT(Cockpit!$C$5,1)="B",AK454,MAX(AK454,H454))))</f>
        <v>69</v>
      </c>
      <c r="AG454" s="50" t="n">
        <f aca="false">IF(BW454=1,0,ROUNDUP(AF454/BV454,0))</f>
        <v>1</v>
      </c>
      <c r="AH454" s="52" t="n">
        <f aca="false">IF(CL454&gt;0,CL454*MAX(1,AF454/X454),IF(BW454=1,IF(AF454&lt;=0,0,CA454*MAX(1,IF(H454&gt;0,AF454/H454,1))),IF(R454&gt;0,AG454/R454,0))/MAX(0.1,N(Parameter!$M$21)))</f>
        <v>0.00961538461538462</v>
      </c>
      <c r="AI454" s="50" t="n">
        <f aca="false">AH454*BY454</f>
        <v>1.49038461538462</v>
      </c>
      <c r="AJ454" s="50" t="n">
        <f aca="false">AF454*G454</f>
        <v>489.9</v>
      </c>
      <c r="AK454" s="50" t="n">
        <f aca="false">ROUNDUP(MAX(J454/IF(CD454&gt;0,CD454,MAX(0.1,N(Cockpit!$C$6))),CG454)/BV454,0)*BV454</f>
        <v>272</v>
      </c>
      <c r="AL454" s="51" t="n">
        <f aca="false">IF(AI454&gt;0,J454/AI454,-1)</f>
        <v>115.406451612903</v>
      </c>
      <c r="AM454" s="51" t="n">
        <f aca="false">IF(AND(OR(CC454="L1",CC454="L23",CC454="LIFT"),AI454&gt;0),SUMIFS($AI$7:$AI$1843,$CC$7:$CC$1843,CC454,$AL$7:$AL$1843,"&gt;"&amp;AL454)+SUMIFS($AI$7:$AI$1843,$CC$7:$CC$1843,CC454,$AL$7:$AL$1843,AL454,$BT$7:$BT$1843,"&lt;="&amp;BT454),"")</f>
        <v>688.654304029304</v>
      </c>
      <c r="AN454" s="58" t="n">
        <f aca="false">IF(AM454="",0,MAX(0,MIN(1,(IF(CC454="L1",Parameter!$H$5,IF(CC454="L23",Parameter!$H$6+Parameter!$H$7,Parameter!$H$5+Parameter!$H$6+Parameter!$H$7))-(AM454-AI454))/AI454)))</f>
        <v>1</v>
      </c>
      <c r="AO454" s="50" t="n">
        <f aca="false">IF(LEFT(Cockpit!$I$5,1)="A",H454,IF(CE454=1,CF454,IF(LEFT(Cockpit!$I$5,1)="B",AT454,MAX(AT454,H454))))</f>
        <v>272</v>
      </c>
      <c r="AP454" s="50" t="n">
        <f aca="false">IF(BW454=1,0,ROUNDUP(AO454/BV454,0))</f>
        <v>2</v>
      </c>
      <c r="AQ454" s="52" t="n">
        <f aca="false">IF(CL454&gt;0,CL454*MAX(1,AO454/X454),IF(BW454=1,IF(AO454&lt;=0,0,CA454*MAX(1,IF(H454&gt;0,AO454/H454,1))),IF(R454&gt;0,AP454/R454,0))/MAX(0.1,N(Parameter!$M$21)))</f>
        <v>0.0192307692307692</v>
      </c>
      <c r="AR454" s="50" t="n">
        <f aca="false">AQ454*BY454</f>
        <v>2.98076923076923</v>
      </c>
      <c r="AS454" s="50" t="n">
        <f aca="false">AO454*G454</f>
        <v>1931.2</v>
      </c>
      <c r="AT454" s="50" t="n">
        <f aca="false">ROUNDUP(MAX(J454/IF(CD454&gt;0,CD454,MAX(0.1,N(Cockpit!$I$6))),CG454)/BV454,0)*BV454</f>
        <v>272</v>
      </c>
      <c r="AU454" s="51" t="n">
        <f aca="false">IF(AR454&gt;0,J454/AR454,-1)</f>
        <v>57.7032258064516</v>
      </c>
      <c r="AV454" s="51" t="n">
        <f aca="false">IF(AND(OR(CC454="L1",CC454="L23",CC454="LIFT"),AR454&gt;0),SUMIFS($AR$7:$AR$1843,$CC$7:$CC$1843,CC454,$AU$7:$AU$1843,"&gt;"&amp;AU454)+SUMIFS($AR$7:$AR$1843,$CC$7:$CC$1843,CC454,$AU$7:$AU$1843,AU454,$BT$7:$BT$1843,"&lt;="&amp;BT454),"")</f>
        <v>1409.6336996337</v>
      </c>
      <c r="AW454" s="58" t="n">
        <f aca="false">IF(AV454="",0,MAX(0,MIN(1,(IF(CC454="L1",Parameter!$H$5,IF(CC454="L23",Parameter!$H$6+Parameter!$H$7,Parameter!$H$5+Parameter!$H$6+Parameter!$H$7))-(AV454-AR454))/AR454)))</f>
        <v>1</v>
      </c>
      <c r="AX454" s="50" t="n">
        <f aca="false">IF(LEFT(Cockpit!$O$5,1)="A",H454,IF(CE454=1,CF454,IF(LEFT(Cockpit!$O$5,1)="B",BC454,MAX(BC454,H454))))</f>
        <v>272</v>
      </c>
      <c r="AY454" s="50" t="n">
        <f aca="false">IF(BW454=1,0,ROUNDUP(AX454/BV454,0))</f>
        <v>2</v>
      </c>
      <c r="AZ454" s="52" t="n">
        <f aca="false">IF(CL454&gt;0,CL454*MAX(1,AX454/X454),IF(BW454=1,IF(AX454&lt;=0,0,CA454*MAX(1,IF(H454&gt;0,AX454/H454,1))),IF(R454&gt;0,AY454/R454,0))/MAX(0.1,N(Parameter!$M$21)))</f>
        <v>0.0192307692307692</v>
      </c>
      <c r="BA454" s="50" t="n">
        <f aca="false">AZ454*BY454</f>
        <v>2.98076923076923</v>
      </c>
      <c r="BB454" s="50" t="n">
        <f aca="false">AX454*G454</f>
        <v>1931.2</v>
      </c>
      <c r="BC454" s="50" t="n">
        <f aca="false">ROUNDUP(MAX(J454/IF(CD454&gt;0,CD454,MAX(0.1,N(Cockpit!$O$6))),CG454)/BV454,0)*BV454</f>
        <v>272</v>
      </c>
      <c r="BD454" s="51" t="n">
        <f aca="false">IF(BA454&gt;0,J454/BA454,-1)</f>
        <v>57.7032258064516</v>
      </c>
      <c r="BE454" s="51" t="n">
        <f aca="false">IF(AND(OR(CC454="L1",CC454="L23",CC454="LIFT"),BA454&gt;0),SUMIFS($BA$7:$BA$1843,$CC$7:$CC$1843,CC454,$BD$7:$BD$1843,"&gt;"&amp;BD454)+SUMIFS($BA$7:$BA$1843,$CC$7:$CC$1843,CC454,$BD$7:$BD$1843,BD454,$BT$7:$BT$1843,"&lt;="&amp;BT454),"")</f>
        <v>1248.78434065934</v>
      </c>
      <c r="BF454" s="58" t="n">
        <f aca="false">IF(BE454="",0,MAX(0,MIN(1,(IF(CC454="L1",Parameter!$H$5,IF(CC454="L23",Parameter!$H$6+Parameter!$H$7,Parameter!$H$5+Parameter!$H$6+Parameter!$H$7))-(BE454-BA454))/BA454)))</f>
        <v>1</v>
      </c>
      <c r="BG454" s="48" t="str">
        <f aca="false">IF(AI454&lt;=0,"",IF(CC454="Aussen","Aussenlager",IF(CC454="-","Nicht im Lift",IF(AN454&gt;=1,"Lift",IF(AN454&lt;=0,"Aussenlager","teilweise")))))</f>
        <v>Lift</v>
      </c>
      <c r="BH454" s="48" t="str">
        <f aca="false">IF(AR454&lt;=0,"",IF(CC454="Aussen","Aussenlager",IF(CC454="-","Nicht im Lift",IF(AW454&gt;=1,"Lift",IF(AW454&lt;=0,"Aussenlager","teilweise")))))</f>
        <v>Lift</v>
      </c>
      <c r="BI454" s="48" t="str">
        <f aca="false">IF(BA454&lt;=0,"",IF(CC454="Aussen","Aussenlager",IF(CC454="-","Nicht im Lift",IF(BF454&gt;=1,"Lift",IF(BF454&lt;=0,"Aussenlager","teilweise")))))</f>
        <v>Lift</v>
      </c>
      <c r="BJ454" s="48" t="str">
        <f aca="false">IF(A454="","",IF(BS454=1,"Neu; ","")&amp;IF(AND(BS454=0,BN454&lt;0),"negativer Bestand (Export "&amp;BN454&amp;"); ","")&amp;IF(J454&lt;=0,"Kein Verbrauch; ","")&amp;IF(CL454&gt;0,"Lift "&amp;W454&amp;" lt. Liftbericht (Fach "&amp;X454&amp;" Stk); ",IF(BX454=1,"Gebinde geschätzt ("&amp;T454&amp;"); ",IF(BW454=1,"Lose – Tablare geschätzt; ","")))&amp;IF(H454&gt;AT454,"Überbestand "&amp;ROUND(H454-AT454,0)&amp;" Stk / CHF "&amp;ROUND((H454-AT454)*G454,0)&amp;"; ","")&amp;IF(AND(CE454=1,CF454&lt;CG454),"MAX &lt; MB+LG; ","")&amp;IF(AND(CK454&gt;0,CJ454*10&gt;CK454),"zu hoch für Tablar; ","")&amp;IF(AND(BS454=0,OR(CE454=1,AA454&lt;&gt;"",U454&lt;&gt;"",V454&lt;&gt;"",AB454&lt;&gt;"")),"manuell übersteuert; ","")&amp;IF(AND(BW454=0,R454=0),"Gebinde unbekannt / Stellmass fehlt; ","")&amp;IF(AND(BW454=0,N(V454)&lt;=0,N(Q454)&lt;=0),"Menge pro Gebinde fehlt (Ist = 1 Gebinde); ","")&amp;BR454)</f>
        <v/>
      </c>
      <c r="BK454" s="48"/>
      <c r="BL454" s="48"/>
      <c r="BM454" s="55"/>
      <c r="BN454" s="50" t="n">
        <v>9</v>
      </c>
      <c r="BO454" s="50" t="n">
        <v>60</v>
      </c>
      <c r="BP454" s="49" t="n">
        <v>63.9000000000007</v>
      </c>
      <c r="BQ454" s="50" t="n">
        <v>172</v>
      </c>
      <c r="BR454" s="48"/>
      <c r="BS454" s="53" t="n">
        <v>0</v>
      </c>
      <c r="BT454" s="53" t="n">
        <v>454</v>
      </c>
      <c r="BU454" s="48" t="str">
        <f aca="false">IF(U454&lt;&gt;"",UPPER(TRIM(U454)),IF(BX454=1,UPPER(VLOOKUP(T454,Parameter!$I$27:$K$29,2,0)),IF(P454="","LOSE",P454)))</f>
        <v>S32</v>
      </c>
      <c r="BV454" s="50" t="n">
        <f aca="false">IF(BU454="LOSE",1,IF(N(V454)&gt;0,V454,IF(BX454=1,MAX(1,N(VLOOKUP(T454,Parameter!$I$27:$K$29,3,0)),H454,N(N454)),IF(N(Q454)&gt;0,Q454,MAX(1,H454)))))</f>
        <v>136</v>
      </c>
      <c r="BW454" s="53" t="n">
        <f aca="false">IF(BU454="LOSE",1,0)</f>
        <v>0</v>
      </c>
      <c r="BX454" s="53" t="n">
        <f aca="false">IF(AND(U454="",OR(P454="",P454="LOSE"),T454&lt;&gt;"",N(S454)&lt;=0,ISNUMBER(MATCH(T454,Parameter!$I$27:$I$29,0))),1,0)</f>
        <v>0</v>
      </c>
      <c r="BY454" s="53" t="n">
        <f aca="false">IF(CL454&gt;0,INDEX(Parameter!$H$5:$H$7,W454)/INDEX(Parameter!$E$5:$E$7,W454),IF(AND(BW454=0,N(IFERROR(VLOOKUP(BU454,'Gebinde-Kategorie'!$A$5:$N$45,14,0),0))&gt;0),VLOOKUP(BU454,'Gebinde-Kategorie'!$A$5:$N$45,14,0)*10+Parameter!$M$23,Parameter!$M$24))</f>
        <v>155</v>
      </c>
      <c r="BZ454" s="48" t="str">
        <f aca="false">IF(AND(Parameter!$B$19="Ja",E454&lt;&gt;"",ISNUMBER(MATCH(E454,Parameter!$I$35:$I$52,0))),VLOOKUP(E454,Parameter!$I$35:$J$52,2,0),IFERROR(VLOOKUP(D454,Parameter!$A$35:$C$64,2,0),"Nein"))</f>
        <v>2+3</v>
      </c>
      <c r="CA454" s="52" t="n">
        <f aca="false">IF(BW454=0,0,IF(N(S454)&gt;0,S454,IFERROR(VLOOKUP(D454,Parameter!$A$35:$C$64,3,0)+0,0)))</f>
        <v>0</v>
      </c>
      <c r="CB454" s="48" t="n">
        <f aca="false">IF(AA454&lt;&gt;"",AA454,Z454)</f>
        <v>3</v>
      </c>
      <c r="CC454" s="48" t="str">
        <f aca="false">IF(OR(CB454=1,CB454=2,CB454=3),IF(Parameter!$E$27="Ja","LIFT",IF(CB454=1,"L1","L23")),IF(CB454="Aussen","Aussen","-"))</f>
        <v>LIFT</v>
      </c>
      <c r="CD454" s="59" t="n">
        <f aca="false">IF(N(AB454)&gt;0,AB454,0)</f>
        <v>0</v>
      </c>
      <c r="CE454" s="53" t="n">
        <f aca="false">IF(ISNUMBER(AE454),1,0)</f>
        <v>0</v>
      </c>
      <c r="CF454" s="50" t="n">
        <f aca="false">N(AE454)</f>
        <v>0</v>
      </c>
      <c r="CG454" s="50" t="n">
        <f aca="false">N(M454)+N(N454)</f>
        <v>174</v>
      </c>
      <c r="CH454" s="50" t="n">
        <f aca="false">ROUNDUP(H454/BV454,0)</f>
        <v>1</v>
      </c>
      <c r="CI454" s="50" t="n">
        <f aca="false">ROUNDUP(CF454/BV454,0)</f>
        <v>0</v>
      </c>
      <c r="CJ454" s="53" t="n">
        <f aca="false">IF(BW454=1,0,IFERROR(VLOOKUP(BU454,'Gebinde-Kategorie'!$A$5:$N$45,5,0)+0,0))</f>
        <v>8</v>
      </c>
      <c r="CK454" s="53" t="n">
        <f aca="false">IFERROR(IF(OR(CB454=1,CB454=2,CB454=3),N(INDEX(Parameter!$I$5:$I$7,CB454)),0),0)</f>
        <v>0</v>
      </c>
      <c r="CL454" s="52" t="n">
        <f aca="false">IF(AND(Parameter!$B$21="Ja",ISNUMBER(W454),N(X454)&gt;0),IFERROR(N(INDEX(Parameter!$L$5:$L$7,W454))*INDEX(Parameter!$E$5:$E$7,W454)*X454/SUMIFS($X$7:$X$1843,$W$7:$W$1843,W454),0),0)</f>
        <v>0</v>
      </c>
    </row>
    <row r="455" customFormat="false" ht="15" hidden="false" customHeight="false" outlineLevel="0" collapsed="false">
      <c r="A455" s="48" t="s">
        <v>1031</v>
      </c>
      <c r="B455" s="48" t="s">
        <v>1026</v>
      </c>
      <c r="C455" s="48" t="s">
        <v>168</v>
      </c>
      <c r="D455" s="48" t="s">
        <v>188</v>
      </c>
      <c r="E455" s="48" t="s">
        <v>189</v>
      </c>
      <c r="F455" s="48" t="s">
        <v>222</v>
      </c>
      <c r="G455" s="49" t="n">
        <v>1.04</v>
      </c>
      <c r="H455" s="50" t="n">
        <f aca="false">MAX(0,IF(AND(Parameter!$B$21="Ja",ISNUMBER(Y455)),Y455,IF(Parameter!$B$20="Jahresanfang 2025 + Export",BO455+BN455,BN455)))</f>
        <v>97</v>
      </c>
      <c r="I455" s="50" t="n">
        <f aca="false">H455*G455</f>
        <v>100.88</v>
      </c>
      <c r="J455" s="50" t="n">
        <f aca="false">BQ455*Parameter!$B$18</f>
        <v>30</v>
      </c>
      <c r="K455" s="51" t="n">
        <v>46</v>
      </c>
      <c r="L455" s="52" t="n">
        <v>0.652173913043478</v>
      </c>
      <c r="M455" s="50" t="n">
        <v>1</v>
      </c>
      <c r="N455" s="50" t="n">
        <v>50</v>
      </c>
      <c r="O455" s="53" t="n">
        <v>21</v>
      </c>
      <c r="P455" s="48" t="s">
        <v>425</v>
      </c>
      <c r="Q455" s="50" t="n">
        <v>79</v>
      </c>
      <c r="R455" s="53" t="n">
        <f aca="false">IF(BW455=1,0,IFERROR(VLOOKUP(BU455,'Gebinde-Kategorie'!$A$5:$N$45,13,0)+0,0))</f>
        <v>104</v>
      </c>
      <c r="S455" s="54"/>
      <c r="T455" s="55"/>
      <c r="U455" s="55"/>
      <c r="V455" s="55"/>
      <c r="W455" s="48"/>
      <c r="X455" s="50"/>
      <c r="Y455" s="50"/>
      <c r="Z455" s="48" t="n">
        <f aca="false">IF(A455="","",IF(AND(Parameter!$B$21="Ja",ISNUMBER(W455)),W455,IF(BZ455="2+3",IF(ISNUMBER(SEARCH("grosser Artikel",BR455)),2,IFERROR(VLOOKUP(BU455,Parameter!$F$35:$G$64,2,0),2)),IF(OR(BZ455="Nein",BZ455=""),"-",BZ455))))</f>
        <v>3</v>
      </c>
      <c r="AA455" s="55"/>
      <c r="AB455" s="56"/>
      <c r="AC455" s="50" t="n">
        <f aca="false">AT455</f>
        <v>79</v>
      </c>
      <c r="AD455" s="50" t="n">
        <f aca="false">MAX(AT455,H455)</f>
        <v>97</v>
      </c>
      <c r="AE455" s="57"/>
      <c r="AF455" s="50" t="n">
        <f aca="false">IF(LEFT(Cockpit!$C$5,1)="A",H455,IF(CE455=1,CF455,IF(LEFT(Cockpit!$C$5,1)="B",AK455,MAX(AK455,H455))))</f>
        <v>97</v>
      </c>
      <c r="AG455" s="50" t="n">
        <f aca="false">IF(BW455=1,0,ROUNDUP(AF455/BV455,0))</f>
        <v>2</v>
      </c>
      <c r="AH455" s="52" t="n">
        <f aca="false">IF(CL455&gt;0,CL455*MAX(1,AF455/X455),IF(BW455=1,IF(AF455&lt;=0,0,CA455*MAX(1,IF(H455&gt;0,AF455/H455,1))),IF(R455&gt;0,AG455/R455,0))/MAX(0.1,N(Parameter!$M$21)))</f>
        <v>0.0192307692307692</v>
      </c>
      <c r="AI455" s="50" t="n">
        <f aca="false">AH455*BY455</f>
        <v>2.98076923076923</v>
      </c>
      <c r="AJ455" s="50" t="n">
        <f aca="false">AF455*G455</f>
        <v>100.88</v>
      </c>
      <c r="AK455" s="50" t="n">
        <f aca="false">ROUNDUP(MAX(J455/IF(CD455&gt;0,CD455,MAX(0.1,N(Cockpit!$C$6))),CG455)/BV455,0)*BV455</f>
        <v>79</v>
      </c>
      <c r="AL455" s="51" t="n">
        <f aca="false">IF(AI455&gt;0,J455/AI455,-1)</f>
        <v>10.0645161290323</v>
      </c>
      <c r="AM455" s="51" t="n">
        <f aca="false">IF(AND(OR(CC455="L1",CC455="L23",CC455="LIFT"),AI455&gt;0),SUMIFS($AI$7:$AI$1843,$CC$7:$CC$1843,CC455,$AL$7:$AL$1843,"&gt;"&amp;AL455)+SUMIFS($AI$7:$AI$1843,$CC$7:$CC$1843,CC455,$AL$7:$AL$1843,AL455,$BT$7:$BT$1843,"&lt;="&amp;BT455),"")</f>
        <v>2600.64194139194</v>
      </c>
      <c r="AN455" s="58" t="n">
        <f aca="false">IF(AM455="",0,MAX(0,MIN(1,(IF(CC455="L1",Parameter!$H$5,IF(CC455="L23",Parameter!$H$6+Parameter!$H$7,Parameter!$H$5+Parameter!$H$6+Parameter!$H$7))-(AM455-AI455))/AI455)))</f>
        <v>1</v>
      </c>
      <c r="AO455" s="50" t="n">
        <f aca="false">IF(LEFT(Cockpit!$I$5,1)="A",H455,IF(CE455=1,CF455,IF(LEFT(Cockpit!$I$5,1)="B",AT455,MAX(AT455,H455))))</f>
        <v>97</v>
      </c>
      <c r="AP455" s="50" t="n">
        <f aca="false">IF(BW455=1,0,ROUNDUP(AO455/BV455,0))</f>
        <v>2</v>
      </c>
      <c r="AQ455" s="52" t="n">
        <f aca="false">IF(CL455&gt;0,CL455*MAX(1,AO455/X455),IF(BW455=1,IF(AO455&lt;=0,0,CA455*MAX(1,IF(H455&gt;0,AO455/H455,1))),IF(R455&gt;0,AP455/R455,0))/MAX(0.1,N(Parameter!$M$21)))</f>
        <v>0.0192307692307692</v>
      </c>
      <c r="AR455" s="50" t="n">
        <f aca="false">AQ455*BY455</f>
        <v>2.98076923076923</v>
      </c>
      <c r="AS455" s="50" t="n">
        <f aca="false">AO455*G455</f>
        <v>100.88</v>
      </c>
      <c r="AT455" s="50" t="n">
        <f aca="false">ROUNDUP(MAX(J455/IF(CD455&gt;0,CD455,MAX(0.1,N(Cockpit!$I$6))),CG455)/BV455,0)*BV455</f>
        <v>79</v>
      </c>
      <c r="AU455" s="51" t="n">
        <f aca="false">IF(AR455&gt;0,J455/AR455,-1)</f>
        <v>10.0645161290323</v>
      </c>
      <c r="AV455" s="51" t="n">
        <f aca="false">IF(AND(OR(CC455="L1",CC455="L23",CC455="LIFT"),AR455&gt;0),SUMIFS($AR$7:$AR$1843,$CC$7:$CC$1843,CC455,$AU$7:$AU$1843,"&gt;"&amp;AU455)+SUMIFS($AR$7:$AR$1843,$CC$7:$CC$1843,CC455,$AU$7:$AU$1843,AU455,$BT$7:$BT$1843,"&lt;="&amp;BT455),"")</f>
        <v>3798.50961538462</v>
      </c>
      <c r="AW455" s="58" t="n">
        <f aca="false">IF(AV455="",0,MAX(0,MIN(1,(IF(CC455="L1",Parameter!$H$5,IF(CC455="L23",Parameter!$H$6+Parameter!$H$7,Parameter!$H$5+Parameter!$H$6+Parameter!$H$7))-(AV455-AR455))/AR455)))</f>
        <v>1</v>
      </c>
      <c r="AX455" s="50" t="n">
        <f aca="false">IF(LEFT(Cockpit!$O$5,1)="A",H455,IF(CE455=1,CF455,IF(LEFT(Cockpit!$O$5,1)="B",BC455,MAX(BC455,H455))))</f>
        <v>97</v>
      </c>
      <c r="AY455" s="50" t="n">
        <f aca="false">IF(BW455=1,0,ROUNDUP(AX455/BV455,0))</f>
        <v>2</v>
      </c>
      <c r="AZ455" s="52" t="n">
        <f aca="false">IF(CL455&gt;0,CL455*MAX(1,AX455/X455),IF(BW455=1,IF(AX455&lt;=0,0,CA455*MAX(1,IF(H455&gt;0,AX455/H455,1))),IF(R455&gt;0,AY455/R455,0))/MAX(0.1,N(Parameter!$M$21)))</f>
        <v>0.0192307692307692</v>
      </c>
      <c r="BA455" s="50" t="n">
        <f aca="false">AZ455*BY455</f>
        <v>2.98076923076923</v>
      </c>
      <c r="BB455" s="50" t="n">
        <f aca="false">AX455*G455</f>
        <v>100.88</v>
      </c>
      <c r="BC455" s="50" t="n">
        <f aca="false">ROUNDUP(MAX(J455/IF(CD455&gt;0,CD455,MAX(0.1,N(Cockpit!$O$6))),CG455)/BV455,0)*BV455</f>
        <v>79</v>
      </c>
      <c r="BD455" s="51" t="n">
        <f aca="false">IF(BA455&gt;0,J455/BA455,-1)</f>
        <v>10.0645161290323</v>
      </c>
      <c r="BE455" s="51" t="n">
        <f aca="false">IF(AND(OR(CC455="L1",CC455="L23",CC455="LIFT"),BA455&gt;0),SUMIFS($BA$7:$BA$1843,$CC$7:$CC$1843,CC455,$BD$7:$BD$1843,"&gt;"&amp;BD455)+SUMIFS($BA$7:$BA$1843,$CC$7:$CC$1843,CC455,$BD$7:$BD$1843,BD455,$BT$7:$BT$1843,"&lt;="&amp;BT455),"")</f>
        <v>3456.63461538462</v>
      </c>
      <c r="BF455" s="58" t="n">
        <f aca="false">IF(BE455="",0,MAX(0,MIN(1,(IF(CC455="L1",Parameter!$H$5,IF(CC455="L23",Parameter!$H$6+Parameter!$H$7,Parameter!$H$5+Parameter!$H$6+Parameter!$H$7))-(BE455-BA455))/BA455)))</f>
        <v>1</v>
      </c>
      <c r="BG455" s="48" t="str">
        <f aca="false">IF(AI455&lt;=0,"",IF(CC455="Aussen","Aussenlager",IF(CC455="-","Nicht im Lift",IF(AN455&gt;=1,"Lift",IF(AN455&lt;=0,"Aussenlager","teilweise")))))</f>
        <v>Lift</v>
      </c>
      <c r="BH455" s="48" t="str">
        <f aca="false">IF(AR455&lt;=0,"",IF(CC455="Aussen","Aussenlager",IF(CC455="-","Nicht im Lift",IF(AW455&gt;=1,"Lift",IF(AW455&lt;=0,"Aussenlager","teilweise")))))</f>
        <v>Lift</v>
      </c>
      <c r="BI455" s="48" t="str">
        <f aca="false">IF(BA455&lt;=0,"",IF(CC455="Aussen","Aussenlager",IF(CC455="-","Nicht im Lift",IF(BF455&gt;=1,"Lift",IF(BF455&lt;=0,"Aussenlager","teilweise")))))</f>
        <v>Lift</v>
      </c>
      <c r="BJ455" s="48" t="str">
        <f aca="false">IF(A455="","",IF(BS455=1,"Neu; ","")&amp;IF(AND(BS455=0,BN455&lt;0),"negativer Bestand (Export "&amp;BN455&amp;"); ","")&amp;IF(J455&lt;=0,"Kein Verbrauch; ","")&amp;IF(CL455&gt;0,"Lift "&amp;W455&amp;" lt. Liftbericht (Fach "&amp;X455&amp;" Stk); ",IF(BX455=1,"Gebinde geschätzt ("&amp;T455&amp;"); ",IF(BW455=1,"Lose – Tablare geschätzt; ","")))&amp;IF(H455&gt;AT455,"Überbestand "&amp;ROUND(H455-AT455,0)&amp;" Stk / CHF "&amp;ROUND((H455-AT455)*G455,0)&amp;"; ","")&amp;IF(AND(CE455=1,CF455&lt;CG455),"MAX &lt; MB+LG; ","")&amp;IF(AND(CK455&gt;0,CJ455*10&gt;CK455),"zu hoch für Tablar; ","")&amp;IF(AND(BS455=0,OR(CE455=1,AA455&lt;&gt;"",U455&lt;&gt;"",V455&lt;&gt;"",AB455&lt;&gt;"")),"manuell übersteuert; ","")&amp;IF(AND(BW455=0,R455=0),"Gebinde unbekannt / Stellmass fehlt; ","")&amp;IF(AND(BW455=0,N(V455)&lt;=0,N(Q455)&lt;=0),"Menge pro Gebinde fehlt (Ist = 1 Gebinde); ","")&amp;BR455)</f>
        <v>Überbestand 18 Stk / CHF 19; </v>
      </c>
      <c r="BK455" s="48"/>
      <c r="BL455" s="48"/>
      <c r="BM455" s="55"/>
      <c r="BN455" s="50" t="n">
        <v>61</v>
      </c>
      <c r="BO455" s="50" t="n">
        <v>36</v>
      </c>
      <c r="BP455" s="49" t="n">
        <v>63.08</v>
      </c>
      <c r="BQ455" s="50" t="n">
        <v>30</v>
      </c>
      <c r="BR455" s="48"/>
      <c r="BS455" s="53" t="n">
        <v>0</v>
      </c>
      <c r="BT455" s="53" t="n">
        <v>455</v>
      </c>
      <c r="BU455" s="48" t="str">
        <f aca="false">IF(U455&lt;&gt;"",UPPER(TRIM(U455)),IF(BX455=1,UPPER(VLOOKUP(T455,Parameter!$I$27:$K$29,2,0)),IF(P455="","LOSE",P455)))</f>
        <v>S32</v>
      </c>
      <c r="BV455" s="50" t="n">
        <f aca="false">IF(BU455="LOSE",1,IF(N(V455)&gt;0,V455,IF(BX455=1,MAX(1,N(VLOOKUP(T455,Parameter!$I$27:$K$29,3,0)),H455,N(N455)),IF(N(Q455)&gt;0,Q455,MAX(1,H455)))))</f>
        <v>79</v>
      </c>
      <c r="BW455" s="53" t="n">
        <f aca="false">IF(BU455="LOSE",1,0)</f>
        <v>0</v>
      </c>
      <c r="BX455" s="53" t="n">
        <f aca="false">IF(AND(U455="",OR(P455="",P455="LOSE"),T455&lt;&gt;"",N(S455)&lt;=0,ISNUMBER(MATCH(T455,Parameter!$I$27:$I$29,0))),1,0)</f>
        <v>0</v>
      </c>
      <c r="BY455" s="53" t="n">
        <f aca="false">IF(CL455&gt;0,INDEX(Parameter!$H$5:$H$7,W455)/INDEX(Parameter!$E$5:$E$7,W455),IF(AND(BW455=0,N(IFERROR(VLOOKUP(BU455,'Gebinde-Kategorie'!$A$5:$N$45,14,0),0))&gt;0),VLOOKUP(BU455,'Gebinde-Kategorie'!$A$5:$N$45,14,0)*10+Parameter!$M$23,Parameter!$M$24))</f>
        <v>155</v>
      </c>
      <c r="BZ455" s="48" t="str">
        <f aca="false">IF(AND(Parameter!$B$19="Ja",E455&lt;&gt;"",ISNUMBER(MATCH(E455,Parameter!$I$35:$I$52,0))),VLOOKUP(E455,Parameter!$I$35:$J$52,2,0),IFERROR(VLOOKUP(D455,Parameter!$A$35:$C$64,2,0),"Nein"))</f>
        <v>2+3</v>
      </c>
      <c r="CA455" s="52" t="n">
        <f aca="false">IF(BW455=0,0,IF(N(S455)&gt;0,S455,IFERROR(VLOOKUP(D455,Parameter!$A$35:$C$64,3,0)+0,0)))</f>
        <v>0</v>
      </c>
      <c r="CB455" s="48" t="n">
        <f aca="false">IF(AA455&lt;&gt;"",AA455,Z455)</f>
        <v>3</v>
      </c>
      <c r="CC455" s="48" t="str">
        <f aca="false">IF(OR(CB455=1,CB455=2,CB455=3),IF(Parameter!$E$27="Ja","LIFT",IF(CB455=1,"L1","L23")),IF(CB455="Aussen","Aussen","-"))</f>
        <v>LIFT</v>
      </c>
      <c r="CD455" s="59" t="n">
        <f aca="false">IF(N(AB455)&gt;0,AB455,0)</f>
        <v>0</v>
      </c>
      <c r="CE455" s="53" t="n">
        <f aca="false">IF(ISNUMBER(AE455),1,0)</f>
        <v>0</v>
      </c>
      <c r="CF455" s="50" t="n">
        <f aca="false">N(AE455)</f>
        <v>0</v>
      </c>
      <c r="CG455" s="50" t="n">
        <f aca="false">N(M455)+N(N455)</f>
        <v>51</v>
      </c>
      <c r="CH455" s="50" t="n">
        <f aca="false">ROUNDUP(H455/BV455,0)</f>
        <v>2</v>
      </c>
      <c r="CI455" s="50" t="n">
        <f aca="false">ROUNDUP(CF455/BV455,0)</f>
        <v>0</v>
      </c>
      <c r="CJ455" s="53" t="n">
        <f aca="false">IF(BW455=1,0,IFERROR(VLOOKUP(BU455,'Gebinde-Kategorie'!$A$5:$N$45,5,0)+0,0))</f>
        <v>8</v>
      </c>
      <c r="CK455" s="53" t="n">
        <f aca="false">IFERROR(IF(OR(CB455=1,CB455=2,CB455=3),N(INDEX(Parameter!$I$5:$I$7,CB455)),0),0)</f>
        <v>0</v>
      </c>
      <c r="CL455" s="52" t="n">
        <f aca="false">IF(AND(Parameter!$B$21="Ja",ISNUMBER(W455),N(X455)&gt;0),IFERROR(N(INDEX(Parameter!$L$5:$L$7,W455))*INDEX(Parameter!$E$5:$E$7,W455)*X455/SUMIFS($X$7:$X$1843,$W$7:$W$1843,W455),0),0)</f>
        <v>0</v>
      </c>
    </row>
    <row r="456" customFormat="false" ht="15" hidden="false" customHeight="false" outlineLevel="0" collapsed="false">
      <c r="A456" s="48" t="s">
        <v>1032</v>
      </c>
      <c r="B456" s="48" t="s">
        <v>1033</v>
      </c>
      <c r="C456" s="48" t="s">
        <v>168</v>
      </c>
      <c r="D456" s="48" t="s">
        <v>188</v>
      </c>
      <c r="E456" s="48" t="s">
        <v>189</v>
      </c>
      <c r="F456" s="48" t="s">
        <v>222</v>
      </c>
      <c r="G456" s="49" t="n">
        <v>53.1</v>
      </c>
      <c r="H456" s="50" t="n">
        <f aca="false">MAX(0,IF(AND(Parameter!$B$21="Ja",ISNUMBER(Y456)),Y456,IF(Parameter!$B$20="Jahresanfang 2025 + Export",BO456+BN456,BN456)))</f>
        <v>20</v>
      </c>
      <c r="I456" s="50" t="n">
        <f aca="false">H456*G456</f>
        <v>1062</v>
      </c>
      <c r="J456" s="50" t="n">
        <f aca="false">BQ456*Parameter!$B$18</f>
        <v>1</v>
      </c>
      <c r="K456" s="51" t="n">
        <v>20</v>
      </c>
      <c r="L456" s="52" t="n">
        <v>0.05</v>
      </c>
      <c r="M456" s="50" t="n">
        <v>0</v>
      </c>
      <c r="N456" s="50" t="n">
        <v>1</v>
      </c>
      <c r="O456" s="53" t="n">
        <v>21</v>
      </c>
      <c r="P456" s="48" t="s">
        <v>405</v>
      </c>
      <c r="Q456" s="50" t="n">
        <v>100</v>
      </c>
      <c r="R456" s="53" t="n">
        <f aca="false">IF(BW456=1,0,IFERROR(VLOOKUP(BU456,'Gebinde-Kategorie'!$A$5:$N$45,13,0)+0,0))</f>
        <v>280</v>
      </c>
      <c r="S456" s="54"/>
      <c r="T456" s="55"/>
      <c r="U456" s="55"/>
      <c r="V456" s="55"/>
      <c r="W456" s="48"/>
      <c r="X456" s="50"/>
      <c r="Y456" s="50"/>
      <c r="Z456" s="48" t="n">
        <f aca="false">IF(A456="","",IF(AND(Parameter!$B$21="Ja",ISNUMBER(W456)),W456,IF(BZ456="2+3",IF(ISNUMBER(SEARCH("grosser Artikel",BR456)),2,IFERROR(VLOOKUP(BU456,Parameter!$F$35:$G$64,2,0),2)),IF(OR(BZ456="Nein",BZ456=""),"-",BZ456))))</f>
        <v>3</v>
      </c>
      <c r="AA456" s="55"/>
      <c r="AB456" s="56"/>
      <c r="AC456" s="50" t="n">
        <f aca="false">AT456</f>
        <v>100</v>
      </c>
      <c r="AD456" s="50" t="n">
        <f aca="false">MAX(AT456,H456)</f>
        <v>100</v>
      </c>
      <c r="AE456" s="57"/>
      <c r="AF456" s="50" t="n">
        <f aca="false">IF(LEFT(Cockpit!$C$5,1)="A",H456,IF(CE456=1,CF456,IF(LEFT(Cockpit!$C$5,1)="B",AK456,MAX(AK456,H456))))</f>
        <v>20</v>
      </c>
      <c r="AG456" s="50" t="n">
        <f aca="false">IF(BW456=1,0,ROUNDUP(AF456/BV456,0))</f>
        <v>1</v>
      </c>
      <c r="AH456" s="52" t="n">
        <f aca="false">IF(CL456&gt;0,CL456*MAX(1,AF456/X456),IF(BW456=1,IF(AF456&lt;=0,0,CA456*MAX(1,IF(H456&gt;0,AF456/H456,1))),IF(R456&gt;0,AG456/R456,0))/MAX(0.1,N(Parameter!$M$21)))</f>
        <v>0.00357142857142857</v>
      </c>
      <c r="AI456" s="50" t="n">
        <f aca="false">AH456*BY456</f>
        <v>0.553571428571429</v>
      </c>
      <c r="AJ456" s="50" t="n">
        <f aca="false">AF456*G456</f>
        <v>1062</v>
      </c>
      <c r="AK456" s="50" t="n">
        <f aca="false">ROUNDUP(MAX(J456/IF(CD456&gt;0,CD456,MAX(0.1,N(Cockpit!$C$6))),CG456)/BV456,0)*BV456</f>
        <v>100</v>
      </c>
      <c r="AL456" s="51" t="n">
        <f aca="false">IF(AI456&gt;0,J456/AI456,-1)</f>
        <v>1.80645161290323</v>
      </c>
      <c r="AM456" s="51" t="n">
        <f aca="false">IF(AND(OR(CC456="L1",CC456="L23",CC456="LIFT"),AI456&gt;0),SUMIFS($AI$7:$AI$1843,$CC$7:$CC$1843,CC456,$AL$7:$AL$1843,"&gt;"&amp;AL456)+SUMIFS($AI$7:$AI$1843,$CC$7:$CC$1843,CC456,$AL$7:$AL$1843,AL456,$BT$7:$BT$1843,"&lt;="&amp;BT456),"")</f>
        <v>5962.57600732601</v>
      </c>
      <c r="AN456" s="58" t="n">
        <f aca="false">IF(AM456="",0,MAX(0,MIN(1,(IF(CC456="L1",Parameter!$H$5,IF(CC456="L23",Parameter!$H$6+Parameter!$H$7,Parameter!$H$5+Parameter!$H$6+Parameter!$H$7))-(AM456-AI456))/AI456)))</f>
        <v>1</v>
      </c>
      <c r="AO456" s="50" t="n">
        <f aca="false">IF(LEFT(Cockpit!$I$5,1)="A",H456,IF(CE456=1,CF456,IF(LEFT(Cockpit!$I$5,1)="B",AT456,MAX(AT456,H456))))</f>
        <v>100</v>
      </c>
      <c r="AP456" s="50" t="n">
        <f aca="false">IF(BW456=1,0,ROUNDUP(AO456/BV456,0))</f>
        <v>1</v>
      </c>
      <c r="AQ456" s="52" t="n">
        <f aca="false">IF(CL456&gt;0,CL456*MAX(1,AO456/X456),IF(BW456=1,IF(AO456&lt;=0,0,CA456*MAX(1,IF(H456&gt;0,AO456/H456,1))),IF(R456&gt;0,AP456/R456,0))/MAX(0.1,N(Parameter!$M$21)))</f>
        <v>0.00357142857142857</v>
      </c>
      <c r="AR456" s="50" t="n">
        <f aca="false">AQ456*BY456</f>
        <v>0.553571428571429</v>
      </c>
      <c r="AS456" s="50" t="n">
        <f aca="false">AO456*G456</f>
        <v>5310</v>
      </c>
      <c r="AT456" s="50" t="n">
        <f aca="false">ROUNDUP(MAX(J456/IF(CD456&gt;0,CD456,MAX(0.1,N(Cockpit!$I$6))),CG456)/BV456,0)*BV456</f>
        <v>100</v>
      </c>
      <c r="AU456" s="51" t="n">
        <f aca="false">IF(AR456&gt;0,J456/AR456,-1)</f>
        <v>1.80645161290323</v>
      </c>
      <c r="AV456" s="51" t="n">
        <f aca="false">IF(AND(OR(CC456="L1",CC456="L23",CC456="LIFT"),AR456&gt;0),SUMIFS($AR$7:$AR$1843,$CC$7:$CC$1843,CC456,$AU$7:$AU$1843,"&gt;"&amp;AU456)+SUMIFS($AR$7:$AR$1843,$CC$7:$CC$1843,CC456,$AU$7:$AU$1843,AU456,$BT$7:$BT$1843,"&lt;="&amp;BT456),"")</f>
        <v>8072.94139194139</v>
      </c>
      <c r="AW456" s="58" t="n">
        <f aca="false">IF(AV456="",0,MAX(0,MIN(1,(IF(CC456="L1",Parameter!$H$5,IF(CC456="L23",Parameter!$H$6+Parameter!$H$7,Parameter!$H$5+Parameter!$H$6+Parameter!$H$7))-(AV456-AR456))/AR456)))</f>
        <v>1</v>
      </c>
      <c r="AX456" s="50" t="n">
        <f aca="false">IF(LEFT(Cockpit!$O$5,1)="A",H456,IF(CE456=1,CF456,IF(LEFT(Cockpit!$O$5,1)="B",BC456,MAX(BC456,H456))))</f>
        <v>100</v>
      </c>
      <c r="AY456" s="50" t="n">
        <f aca="false">IF(BW456=1,0,ROUNDUP(AX456/BV456,0))</f>
        <v>1</v>
      </c>
      <c r="AZ456" s="52" t="n">
        <f aca="false">IF(CL456&gt;0,CL456*MAX(1,AX456/X456),IF(BW456=1,IF(AX456&lt;=0,0,CA456*MAX(1,IF(H456&gt;0,AX456/H456,1))),IF(R456&gt;0,AY456/R456,0))/MAX(0.1,N(Parameter!$M$21)))</f>
        <v>0.00357142857142857</v>
      </c>
      <c r="BA456" s="50" t="n">
        <f aca="false">AZ456*BY456</f>
        <v>0.553571428571429</v>
      </c>
      <c r="BB456" s="50" t="n">
        <f aca="false">AX456*G456</f>
        <v>5310</v>
      </c>
      <c r="BC456" s="50" t="n">
        <f aca="false">ROUNDUP(MAX(J456/IF(CD456&gt;0,CD456,MAX(0.1,N(Cockpit!$O$6))),CG456)/BV456,0)*BV456</f>
        <v>100</v>
      </c>
      <c r="BD456" s="51" t="n">
        <f aca="false">IF(BA456&gt;0,J456/BA456,-1)</f>
        <v>1.80645161290323</v>
      </c>
      <c r="BE456" s="51" t="n">
        <f aca="false">IF(AND(OR(CC456="L1",CC456="L23",CC456="LIFT"),BA456&gt;0),SUMIFS($BA$7:$BA$1843,$CC$7:$CC$1843,CC456,$BD$7:$BD$1843,"&gt;"&amp;BD456)+SUMIFS($BA$7:$BA$1843,$CC$7:$CC$1843,CC456,$BD$7:$BD$1843,BD456,$BT$7:$BT$1843,"&lt;="&amp;BT456),"")</f>
        <v>7975.26510989011</v>
      </c>
      <c r="BF456" s="58" t="n">
        <f aca="false">IF(BE456="",0,MAX(0,MIN(1,(IF(CC456="L1",Parameter!$H$5,IF(CC456="L23",Parameter!$H$6+Parameter!$H$7,Parameter!$H$5+Parameter!$H$6+Parameter!$H$7))-(BE456-BA456))/BA456)))</f>
        <v>1</v>
      </c>
      <c r="BG456" s="48" t="str">
        <f aca="false">IF(AI456&lt;=0,"",IF(CC456="Aussen","Aussenlager",IF(CC456="-","Nicht im Lift",IF(AN456&gt;=1,"Lift",IF(AN456&lt;=0,"Aussenlager","teilweise")))))</f>
        <v>Lift</v>
      </c>
      <c r="BH456" s="48" t="str">
        <f aca="false">IF(AR456&lt;=0,"",IF(CC456="Aussen","Aussenlager",IF(CC456="-","Nicht im Lift",IF(AW456&gt;=1,"Lift",IF(AW456&lt;=0,"Aussenlager","teilweise")))))</f>
        <v>Lift</v>
      </c>
      <c r="BI456" s="48" t="str">
        <f aca="false">IF(BA456&lt;=0,"",IF(CC456="Aussen","Aussenlager",IF(CC456="-","Nicht im Lift",IF(BF456&gt;=1,"Lift",IF(BF456&lt;=0,"Aussenlager","teilweise")))))</f>
        <v>Lift</v>
      </c>
      <c r="BJ456" s="48" t="str">
        <f aca="false">IF(A456="","",IF(BS456=1,"Neu; ","")&amp;IF(AND(BS456=0,BN456&lt;0),"negativer Bestand (Export "&amp;BN456&amp;"); ","")&amp;IF(J456&lt;=0,"Kein Verbrauch; ","")&amp;IF(CL456&gt;0,"Lift "&amp;W456&amp;" lt. Liftbericht (Fach "&amp;X456&amp;" Stk); ",IF(BX456=1,"Gebinde geschätzt ("&amp;T456&amp;"); ",IF(BW456=1,"Lose – Tablare geschätzt; ","")))&amp;IF(H456&gt;AT456,"Überbestand "&amp;ROUND(H456-AT456,0)&amp;" Stk / CHF "&amp;ROUND((H456-AT456)*G456,0)&amp;"; ","")&amp;IF(AND(CE456=1,CF456&lt;CG456),"MAX &lt; MB+LG; ","")&amp;IF(AND(CK456&gt;0,CJ456*10&gt;CK456),"zu hoch für Tablar; ","")&amp;IF(AND(BS456=0,OR(CE456=1,AA456&lt;&gt;"",U456&lt;&gt;"",V456&lt;&gt;"",AB456&lt;&gt;"")),"manuell übersteuert; ","")&amp;IF(AND(BW456=0,R456=0),"Gebinde unbekannt / Stellmass fehlt; ","")&amp;IF(AND(BW456=0,N(V456)&lt;=0,N(Q456)&lt;=0),"Menge pro Gebinde fehlt (Ist = 1 Gebinde); ","")&amp;BR456)</f>
        <v>Verb.Lager</v>
      </c>
      <c r="BK456" s="48"/>
      <c r="BL456" s="48"/>
      <c r="BM456" s="55"/>
      <c r="BN456" s="50" t="n">
        <v>0</v>
      </c>
      <c r="BO456" s="50" t="n">
        <v>20</v>
      </c>
      <c r="BP456" s="49" t="n">
        <v>61</v>
      </c>
      <c r="BQ456" s="50" t="n">
        <v>1</v>
      </c>
      <c r="BR456" s="48" t="s">
        <v>1034</v>
      </c>
      <c r="BS456" s="53" t="n">
        <v>0</v>
      </c>
      <c r="BT456" s="53" t="n">
        <v>456</v>
      </c>
      <c r="BU456" s="48" t="str">
        <f aca="false">IF(U456&lt;&gt;"",UPPER(TRIM(U456)),IF(BX456=1,UPPER(VLOOKUP(T456,Parameter!$I$27:$K$29,2,0)),IF(P456="","LOSE",P456)))</f>
        <v>S21</v>
      </c>
      <c r="BV456" s="50" t="n">
        <f aca="false">IF(BU456="LOSE",1,IF(N(V456)&gt;0,V456,IF(BX456=1,MAX(1,N(VLOOKUP(T456,Parameter!$I$27:$K$29,3,0)),H456,N(N456)),IF(N(Q456)&gt;0,Q456,MAX(1,H456)))))</f>
        <v>100</v>
      </c>
      <c r="BW456" s="53" t="n">
        <f aca="false">IF(BU456="LOSE",1,0)</f>
        <v>0</v>
      </c>
      <c r="BX456" s="53" t="n">
        <f aca="false">IF(AND(U456="",OR(P456="",P456="LOSE"),T456&lt;&gt;"",N(S456)&lt;=0,ISNUMBER(MATCH(T456,Parameter!$I$27:$I$29,0))),1,0)</f>
        <v>0</v>
      </c>
      <c r="BY456" s="53" t="n">
        <f aca="false">IF(CL456&gt;0,INDEX(Parameter!$H$5:$H$7,W456)/INDEX(Parameter!$E$5:$E$7,W456),IF(AND(BW456=0,N(IFERROR(VLOOKUP(BU456,'Gebinde-Kategorie'!$A$5:$N$45,14,0),0))&gt;0),VLOOKUP(BU456,'Gebinde-Kategorie'!$A$5:$N$45,14,0)*10+Parameter!$M$23,Parameter!$M$24))</f>
        <v>155</v>
      </c>
      <c r="BZ456" s="48" t="str">
        <f aca="false">IF(AND(Parameter!$B$19="Ja",E456&lt;&gt;"",ISNUMBER(MATCH(E456,Parameter!$I$35:$I$52,0))),VLOOKUP(E456,Parameter!$I$35:$J$52,2,0),IFERROR(VLOOKUP(D456,Parameter!$A$35:$C$64,2,0),"Nein"))</f>
        <v>2+3</v>
      </c>
      <c r="CA456" s="52" t="n">
        <f aca="false">IF(BW456=0,0,IF(N(S456)&gt;0,S456,IFERROR(VLOOKUP(D456,Parameter!$A$35:$C$64,3,0)+0,0)))</f>
        <v>0</v>
      </c>
      <c r="CB456" s="48" t="n">
        <f aca="false">IF(AA456&lt;&gt;"",AA456,Z456)</f>
        <v>3</v>
      </c>
      <c r="CC456" s="48" t="str">
        <f aca="false">IF(OR(CB456=1,CB456=2,CB456=3),IF(Parameter!$E$27="Ja","LIFT",IF(CB456=1,"L1","L23")),IF(CB456="Aussen","Aussen","-"))</f>
        <v>LIFT</v>
      </c>
      <c r="CD456" s="59" t="n">
        <f aca="false">IF(N(AB456)&gt;0,AB456,0)</f>
        <v>0</v>
      </c>
      <c r="CE456" s="53" t="n">
        <f aca="false">IF(ISNUMBER(AE456),1,0)</f>
        <v>0</v>
      </c>
      <c r="CF456" s="50" t="n">
        <f aca="false">N(AE456)</f>
        <v>0</v>
      </c>
      <c r="CG456" s="50" t="n">
        <f aca="false">N(M456)+N(N456)</f>
        <v>1</v>
      </c>
      <c r="CH456" s="50" t="n">
        <f aca="false">ROUNDUP(H456/BV456,0)</f>
        <v>1</v>
      </c>
      <c r="CI456" s="50" t="n">
        <f aca="false">ROUNDUP(CF456/BV456,0)</f>
        <v>0</v>
      </c>
      <c r="CJ456" s="53" t="n">
        <f aca="false">IF(BW456=1,0,IFERROR(VLOOKUP(BU456,'Gebinde-Kategorie'!$A$5:$N$45,5,0)+0,0))</f>
        <v>8</v>
      </c>
      <c r="CK456" s="53" t="n">
        <f aca="false">IFERROR(IF(OR(CB456=1,CB456=2,CB456=3),N(INDEX(Parameter!$I$5:$I$7,CB456)),0),0)</f>
        <v>0</v>
      </c>
      <c r="CL456" s="52" t="n">
        <f aca="false">IF(AND(Parameter!$B$21="Ja",ISNUMBER(W456),N(X456)&gt;0),IFERROR(N(INDEX(Parameter!$L$5:$L$7,W456))*INDEX(Parameter!$E$5:$E$7,W456)*X456/SUMIFS($X$7:$X$1843,$W$7:$W$1843,W456),0),0)</f>
        <v>0</v>
      </c>
    </row>
    <row r="457" customFormat="false" ht="15" hidden="false" customHeight="false" outlineLevel="0" collapsed="false">
      <c r="A457" s="48" t="s">
        <v>1035</v>
      </c>
      <c r="B457" s="48" t="s">
        <v>1036</v>
      </c>
      <c r="C457" s="48" t="s">
        <v>168</v>
      </c>
      <c r="D457" s="48" t="s">
        <v>188</v>
      </c>
      <c r="E457" s="48" t="s">
        <v>189</v>
      </c>
      <c r="F457" s="48" t="s">
        <v>222</v>
      </c>
      <c r="G457" s="49" t="n">
        <v>24.9</v>
      </c>
      <c r="H457" s="50" t="n">
        <f aca="false">MAX(0,IF(AND(Parameter!$B$21="Ja",ISNUMBER(Y457)),Y457,IF(Parameter!$B$20="Jahresanfang 2025 + Export",BO457+BN457,BN457)))</f>
        <v>5</v>
      </c>
      <c r="I457" s="50" t="n">
        <f aca="false">H457*G457</f>
        <v>124.5</v>
      </c>
      <c r="J457" s="50" t="n">
        <f aca="false">BQ457*Parameter!$B$18</f>
        <v>1</v>
      </c>
      <c r="K457" s="51" t="n">
        <v>3</v>
      </c>
      <c r="L457" s="52" t="n">
        <v>0.333333333333333</v>
      </c>
      <c r="M457" s="50" t="n">
        <v>2</v>
      </c>
      <c r="N457" s="50" t="n">
        <v>1</v>
      </c>
      <c r="O457" s="53" t="n">
        <v>28</v>
      </c>
      <c r="P457" s="48" t="s">
        <v>306</v>
      </c>
      <c r="Q457" s="50" t="n">
        <v>4</v>
      </c>
      <c r="R457" s="53" t="n">
        <f aca="false">IF(BW457=1,0,IFERROR(VLOOKUP(BU457,'Gebinde-Kategorie'!$A$5:$N$45,13,0)+0,0))</f>
        <v>26</v>
      </c>
      <c r="S457" s="54"/>
      <c r="T457" s="55"/>
      <c r="U457" s="55"/>
      <c r="V457" s="55"/>
      <c r="W457" s="48"/>
      <c r="X457" s="50"/>
      <c r="Y457" s="50"/>
      <c r="Z457" s="48" t="n">
        <f aca="false">IF(A457="","",IF(AND(Parameter!$B$21="Ja",ISNUMBER(W457)),W457,IF(BZ457="2+3",IF(ISNUMBER(SEARCH("grosser Artikel",BR457)),2,IFERROR(VLOOKUP(BU457,Parameter!$F$35:$G$64,2,0),2)),IF(OR(BZ457="Nein",BZ457=""),"-",BZ457))))</f>
        <v>3</v>
      </c>
      <c r="AA457" s="55"/>
      <c r="AB457" s="56"/>
      <c r="AC457" s="50" t="n">
        <f aca="false">AT457</f>
        <v>4</v>
      </c>
      <c r="AD457" s="50" t="n">
        <f aca="false">MAX(AT457,H457)</f>
        <v>5</v>
      </c>
      <c r="AE457" s="57"/>
      <c r="AF457" s="50" t="n">
        <f aca="false">IF(LEFT(Cockpit!$C$5,1)="A",H457,IF(CE457=1,CF457,IF(LEFT(Cockpit!$C$5,1)="B",AK457,MAX(AK457,H457))))</f>
        <v>5</v>
      </c>
      <c r="AG457" s="50" t="n">
        <f aca="false">IF(BW457=1,0,ROUNDUP(AF457/BV457,0))</f>
        <v>2</v>
      </c>
      <c r="AH457" s="52" t="n">
        <f aca="false">IF(CL457&gt;0,CL457*MAX(1,AF457/X457),IF(BW457=1,IF(AF457&lt;=0,0,CA457*MAX(1,IF(H457&gt;0,AF457/H457,1))),IF(R457&gt;0,AG457/R457,0))/MAX(0.1,N(Parameter!$M$21)))</f>
        <v>0.0769230769230769</v>
      </c>
      <c r="AI457" s="50" t="n">
        <f aca="false">AH457*BY457</f>
        <v>11.9230769230769</v>
      </c>
      <c r="AJ457" s="50" t="n">
        <f aca="false">AF457*G457</f>
        <v>124.5</v>
      </c>
      <c r="AK457" s="50" t="n">
        <f aca="false">ROUNDUP(MAX(J457/IF(CD457&gt;0,CD457,MAX(0.1,N(Cockpit!$C$6))),CG457)/BV457,0)*BV457</f>
        <v>4</v>
      </c>
      <c r="AL457" s="51" t="n">
        <f aca="false">IF(AI457&gt;0,J457/AI457,-1)</f>
        <v>0.0838709677419355</v>
      </c>
      <c r="AM457" s="51" t="n">
        <f aca="false">IF(AND(OR(CC457="L1",CC457="L23",CC457="LIFT"),AI457&gt;0),SUMIFS($AI$7:$AI$1843,$CC$7:$CC$1843,CC457,$AL$7:$AL$1843,"&gt;"&amp;AL457)+SUMIFS($AI$7:$AI$1843,$CC$7:$CC$1843,CC457,$AL$7:$AL$1843,AL457,$BT$7:$BT$1843,"&lt;="&amp;BT457),"")</f>
        <v>16650.3702194698</v>
      </c>
      <c r="AN457" s="58" t="n">
        <f aca="false">IF(AM457="",0,MAX(0,MIN(1,(IF(CC457="L1",Parameter!$H$5,IF(CC457="L23",Parameter!$H$6+Parameter!$H$7,Parameter!$H$5+Parameter!$H$6+Parameter!$H$7))-(AM457-AI457))/AI457)))</f>
        <v>1</v>
      </c>
      <c r="AO457" s="50" t="n">
        <f aca="false">IF(LEFT(Cockpit!$I$5,1)="A",H457,IF(CE457=1,CF457,IF(LEFT(Cockpit!$I$5,1)="B",AT457,MAX(AT457,H457))))</f>
        <v>5</v>
      </c>
      <c r="AP457" s="50" t="n">
        <f aca="false">IF(BW457=1,0,ROUNDUP(AO457/BV457,0))</f>
        <v>2</v>
      </c>
      <c r="AQ457" s="52" t="n">
        <f aca="false">IF(CL457&gt;0,CL457*MAX(1,AO457/X457),IF(BW457=1,IF(AO457&lt;=0,0,CA457*MAX(1,IF(H457&gt;0,AO457/H457,1))),IF(R457&gt;0,AP457/R457,0))/MAX(0.1,N(Parameter!$M$21)))</f>
        <v>0.0769230769230769</v>
      </c>
      <c r="AR457" s="50" t="n">
        <f aca="false">AQ457*BY457</f>
        <v>11.9230769230769</v>
      </c>
      <c r="AS457" s="50" t="n">
        <f aca="false">AO457*G457</f>
        <v>124.5</v>
      </c>
      <c r="AT457" s="50" t="n">
        <f aca="false">ROUNDUP(MAX(J457/IF(CD457&gt;0,CD457,MAX(0.1,N(Cockpit!$I$6))),CG457)/BV457,0)*BV457</f>
        <v>4</v>
      </c>
      <c r="AU457" s="51" t="n">
        <f aca="false">IF(AR457&gt;0,J457/AR457,-1)</f>
        <v>0.0838709677419355</v>
      </c>
      <c r="AV457" s="51" t="n">
        <f aca="false">IF(AND(OR(CC457="L1",CC457="L23",CC457="LIFT"),AR457&gt;0),SUMIFS($AR$7:$AR$1843,$CC$7:$CC$1843,CC457,$AU$7:$AU$1843,"&gt;"&amp;AU457)+SUMIFS($AR$7:$AR$1843,$CC$7:$CC$1843,CC457,$AU$7:$AU$1843,AU457,$BT$7:$BT$1843,"&lt;="&amp;BT457),"")</f>
        <v>25122.3505954968</v>
      </c>
      <c r="AW457" s="58" t="n">
        <f aca="false">IF(AV457="",0,MAX(0,MIN(1,(IF(CC457="L1",Parameter!$H$5,IF(CC457="L23",Parameter!$H$6+Parameter!$H$7,Parameter!$H$5+Parameter!$H$6+Parameter!$H$7))-(AV457-AR457))/AR457)))</f>
        <v>1</v>
      </c>
      <c r="AX457" s="50" t="n">
        <f aca="false">IF(LEFT(Cockpit!$O$5,1)="A",H457,IF(CE457=1,CF457,IF(LEFT(Cockpit!$O$5,1)="B",BC457,MAX(BC457,H457))))</f>
        <v>5</v>
      </c>
      <c r="AY457" s="50" t="n">
        <f aca="false">IF(BW457=1,0,ROUNDUP(AX457/BV457,0))</f>
        <v>2</v>
      </c>
      <c r="AZ457" s="52" t="n">
        <f aca="false">IF(CL457&gt;0,CL457*MAX(1,AX457/X457),IF(BW457=1,IF(AX457&lt;=0,0,CA457*MAX(1,IF(H457&gt;0,AX457/H457,1))),IF(R457&gt;0,AY457/R457,0))/MAX(0.1,N(Parameter!$M$21)))</f>
        <v>0.0769230769230769</v>
      </c>
      <c r="BA457" s="50" t="n">
        <f aca="false">AZ457*BY457</f>
        <v>11.9230769230769</v>
      </c>
      <c r="BB457" s="50" t="n">
        <f aca="false">AX457*G457</f>
        <v>124.5</v>
      </c>
      <c r="BC457" s="50" t="n">
        <f aca="false">ROUNDUP(MAX(J457/IF(CD457&gt;0,CD457,MAX(0.1,N(Cockpit!$O$6))),CG457)/BV457,0)*BV457</f>
        <v>4</v>
      </c>
      <c r="BD457" s="51" t="n">
        <f aca="false">IF(BA457&gt;0,J457/BA457,-1)</f>
        <v>0.0838709677419355</v>
      </c>
      <c r="BE457" s="51" t="n">
        <f aca="false">IF(AND(OR(CC457="L1",CC457="L23",CC457="LIFT"),BA457&gt;0),SUMIFS($BA$7:$BA$1843,$CC$7:$CC$1843,CC457,$BD$7:$BD$1843,"&gt;"&amp;BD457)+SUMIFS($BA$7:$BA$1843,$CC$7:$CC$1843,CC457,$BD$7:$BD$1843,BD457,$BT$7:$BT$1843,"&lt;="&amp;BT457),"")</f>
        <v>23324.8626373626</v>
      </c>
      <c r="BF457" s="58" t="n">
        <f aca="false">IF(BE457="",0,MAX(0,MIN(1,(IF(CC457="L1",Parameter!$H$5,IF(CC457="L23",Parameter!$H$6+Parameter!$H$7,Parameter!$H$5+Parameter!$H$6+Parameter!$H$7))-(BE457-BA457))/BA457)))</f>
        <v>1</v>
      </c>
      <c r="BG457" s="48" t="str">
        <f aca="false">IF(AI457&lt;=0,"",IF(CC457="Aussen","Aussenlager",IF(CC457="-","Nicht im Lift",IF(AN457&gt;=1,"Lift",IF(AN457&lt;=0,"Aussenlager","teilweise")))))</f>
        <v>Lift</v>
      </c>
      <c r="BH457" s="48" t="str">
        <f aca="false">IF(AR457&lt;=0,"",IF(CC457="Aussen","Aussenlager",IF(CC457="-","Nicht im Lift",IF(AW457&gt;=1,"Lift",IF(AW457&lt;=0,"Aussenlager","teilweise")))))</f>
        <v>Lift</v>
      </c>
      <c r="BI457" s="48" t="str">
        <f aca="false">IF(BA457&lt;=0,"",IF(CC457="Aussen","Aussenlager",IF(CC457="-","Nicht im Lift",IF(BF457&gt;=1,"Lift",IF(BF457&lt;=0,"Aussenlager","teilweise")))))</f>
        <v>Lift</v>
      </c>
      <c r="BJ457" s="48" t="str">
        <f aca="false">IF(A457="","",IF(BS457=1,"Neu; ","")&amp;IF(AND(BS457=0,BN457&lt;0),"negativer Bestand (Export "&amp;BN457&amp;"); ","")&amp;IF(J457&lt;=0,"Kein Verbrauch; ","")&amp;IF(CL457&gt;0,"Lift "&amp;W457&amp;" lt. Liftbericht (Fach "&amp;X457&amp;" Stk); ",IF(BX457=1,"Gebinde geschätzt ("&amp;T457&amp;"); ",IF(BW457=1,"Lose – Tablare geschätzt; ","")))&amp;IF(H457&gt;AT457,"Überbestand "&amp;ROUND(H457-AT457,0)&amp;" Stk / CHF "&amp;ROUND((H457-AT457)*G457,0)&amp;"; ","")&amp;IF(AND(CE457=1,CF457&lt;CG457),"MAX &lt; MB+LG; ","")&amp;IF(AND(CK457&gt;0,CJ457*10&gt;CK457),"zu hoch für Tablar; ","")&amp;IF(AND(BS457=0,OR(CE457=1,AA457&lt;&gt;"",U457&lt;&gt;"",V457&lt;&gt;"",AB457&lt;&gt;"")),"manuell übersteuert; ","")&amp;IF(AND(BW457=0,R457=0),"Gebinde unbekannt / Stellmass fehlt; ","")&amp;IF(AND(BW457=0,N(V457)&lt;=0,N(Q457)&lt;=0),"Menge pro Gebinde fehlt (Ist = 1 Gebinde); ","")&amp;BR457)</f>
        <v>Überbestand 1 Stk / CHF 25; Neu</v>
      </c>
      <c r="BK457" s="48"/>
      <c r="BL457" s="48"/>
      <c r="BM457" s="55"/>
      <c r="BN457" s="50" t="n">
        <v>2</v>
      </c>
      <c r="BO457" s="50" t="n">
        <v>3</v>
      </c>
      <c r="BP457" s="49" t="n">
        <v>60.29</v>
      </c>
      <c r="BQ457" s="50" t="n">
        <v>1</v>
      </c>
      <c r="BR457" s="48" t="s">
        <v>630</v>
      </c>
      <c r="BS457" s="53" t="n">
        <v>0</v>
      </c>
      <c r="BT457" s="53" t="n">
        <v>457</v>
      </c>
      <c r="BU457" s="48" t="str">
        <f aca="false">IF(U457&lt;&gt;"",UPPER(TRIM(U457)),IF(BX457=1,UPPER(VLOOKUP(T457,Parameter!$I$27:$K$29,2,0)),IF(P457="","LOSE",P457)))</f>
        <v>S51</v>
      </c>
      <c r="BV457" s="50" t="n">
        <f aca="false">IF(BU457="LOSE",1,IF(N(V457)&gt;0,V457,IF(BX457=1,MAX(1,N(VLOOKUP(T457,Parameter!$I$27:$K$29,3,0)),H457,N(N457)),IF(N(Q457)&gt;0,Q457,MAX(1,H457)))))</f>
        <v>4</v>
      </c>
      <c r="BW457" s="53" t="n">
        <f aca="false">IF(BU457="LOSE",1,0)</f>
        <v>0</v>
      </c>
      <c r="BX457" s="53" t="n">
        <f aca="false">IF(AND(U457="",OR(P457="",P457="LOSE"),T457&lt;&gt;"",N(S457)&lt;=0,ISNUMBER(MATCH(T457,Parameter!$I$27:$I$29,0))),1,0)</f>
        <v>0</v>
      </c>
      <c r="BY457" s="53" t="n">
        <f aca="false">IF(CL457&gt;0,INDEX(Parameter!$H$5:$H$7,W457)/INDEX(Parameter!$E$5:$E$7,W457),IF(AND(BW457=0,N(IFERROR(VLOOKUP(BU457,'Gebinde-Kategorie'!$A$5:$N$45,14,0),0))&gt;0),VLOOKUP(BU457,'Gebinde-Kategorie'!$A$5:$N$45,14,0)*10+Parameter!$M$23,Parameter!$M$24))</f>
        <v>155</v>
      </c>
      <c r="BZ457" s="48" t="str">
        <f aca="false">IF(AND(Parameter!$B$19="Ja",E457&lt;&gt;"",ISNUMBER(MATCH(E457,Parameter!$I$35:$I$52,0))),VLOOKUP(E457,Parameter!$I$35:$J$52,2,0),IFERROR(VLOOKUP(D457,Parameter!$A$35:$C$64,2,0),"Nein"))</f>
        <v>2+3</v>
      </c>
      <c r="CA457" s="52" t="n">
        <f aca="false">IF(BW457=0,0,IF(N(S457)&gt;0,S457,IFERROR(VLOOKUP(D457,Parameter!$A$35:$C$64,3,0)+0,0)))</f>
        <v>0</v>
      </c>
      <c r="CB457" s="48" t="n">
        <f aca="false">IF(AA457&lt;&gt;"",AA457,Z457)</f>
        <v>3</v>
      </c>
      <c r="CC457" s="48" t="str">
        <f aca="false">IF(OR(CB457=1,CB457=2,CB457=3),IF(Parameter!$E$27="Ja","LIFT",IF(CB457=1,"L1","L23")),IF(CB457="Aussen","Aussen","-"))</f>
        <v>LIFT</v>
      </c>
      <c r="CD457" s="59" t="n">
        <f aca="false">IF(N(AB457)&gt;0,AB457,0)</f>
        <v>0</v>
      </c>
      <c r="CE457" s="53" t="n">
        <f aca="false">IF(ISNUMBER(AE457),1,0)</f>
        <v>0</v>
      </c>
      <c r="CF457" s="50" t="n">
        <f aca="false">N(AE457)</f>
        <v>0</v>
      </c>
      <c r="CG457" s="50" t="n">
        <f aca="false">N(M457)+N(N457)</f>
        <v>3</v>
      </c>
      <c r="CH457" s="50" t="n">
        <f aca="false">ROUNDUP(H457/BV457,0)</f>
        <v>2</v>
      </c>
      <c r="CI457" s="50" t="n">
        <f aca="false">ROUNDUP(CF457/BV457,0)</f>
        <v>0</v>
      </c>
      <c r="CJ457" s="53" t="n">
        <f aca="false">IF(BW457=1,0,IFERROR(VLOOKUP(BU457,'Gebinde-Kategorie'!$A$5:$N$45,5,0)+0,0))</f>
        <v>11</v>
      </c>
      <c r="CK457" s="53" t="n">
        <f aca="false">IFERROR(IF(OR(CB457=1,CB457=2,CB457=3),N(INDEX(Parameter!$I$5:$I$7,CB457)),0),0)</f>
        <v>0</v>
      </c>
      <c r="CL457" s="52" t="n">
        <f aca="false">IF(AND(Parameter!$B$21="Ja",ISNUMBER(W457),N(X457)&gt;0),IFERROR(N(INDEX(Parameter!$L$5:$L$7,W457))*INDEX(Parameter!$E$5:$E$7,W457)*X457/SUMIFS($X$7:$X$1843,$W$7:$W$1843,W457),0),0)</f>
        <v>0</v>
      </c>
    </row>
    <row r="458" customFormat="false" ht="15" hidden="false" customHeight="false" outlineLevel="0" collapsed="false">
      <c r="A458" s="48" t="s">
        <v>1037</v>
      </c>
      <c r="B458" s="48" t="s">
        <v>1038</v>
      </c>
      <c r="C458" s="48" t="s">
        <v>168</v>
      </c>
      <c r="D458" s="48" t="s">
        <v>188</v>
      </c>
      <c r="E458" s="48" t="s">
        <v>189</v>
      </c>
      <c r="F458" s="48" t="s">
        <v>222</v>
      </c>
      <c r="G458" s="49" t="n">
        <v>29.6</v>
      </c>
      <c r="H458" s="50" t="n">
        <f aca="false">MAX(0,IF(AND(Parameter!$B$21="Ja",ISNUMBER(Y458)),Y458,IF(Parameter!$B$20="Jahresanfang 2025 + Export",BO458+BN458,BN458)))</f>
        <v>14</v>
      </c>
      <c r="I458" s="50" t="n">
        <f aca="false">H458*G458</f>
        <v>414.4</v>
      </c>
      <c r="J458" s="50" t="n">
        <f aca="false">BQ458*Parameter!$B$18</f>
        <v>0</v>
      </c>
      <c r="K458" s="51" t="n">
        <v>12.5</v>
      </c>
      <c r="L458" s="52" t="n">
        <v>0</v>
      </c>
      <c r="M458" s="50" t="n">
        <v>0</v>
      </c>
      <c r="N458" s="50" t="n">
        <v>1</v>
      </c>
      <c r="O458" s="53" t="n">
        <v>14</v>
      </c>
      <c r="P458" s="48" t="s">
        <v>480</v>
      </c>
      <c r="Q458" s="50" t="n">
        <v>16</v>
      </c>
      <c r="R458" s="53" t="n">
        <f aca="false">IF(BW458=1,0,IFERROR(VLOOKUP(BU458,'Gebinde-Kategorie'!$A$5:$N$45,13,0)+0,0))</f>
        <v>52</v>
      </c>
      <c r="S458" s="54"/>
      <c r="T458" s="55"/>
      <c r="U458" s="55"/>
      <c r="V458" s="55"/>
      <c r="W458" s="48"/>
      <c r="X458" s="50"/>
      <c r="Y458" s="50"/>
      <c r="Z458" s="48" t="n">
        <f aca="false">IF(A458="","",IF(AND(Parameter!$B$21="Ja",ISNUMBER(W458)),W458,IF(BZ458="2+3",IF(ISNUMBER(SEARCH("grosser Artikel",BR458)),2,IFERROR(VLOOKUP(BU458,Parameter!$F$35:$G$64,2,0),2)),IF(OR(BZ458="Nein",BZ458=""),"-",BZ458))))</f>
        <v>3</v>
      </c>
      <c r="AA458" s="55"/>
      <c r="AB458" s="56"/>
      <c r="AC458" s="50" t="n">
        <f aca="false">AT458</f>
        <v>16</v>
      </c>
      <c r="AD458" s="50" t="n">
        <f aca="false">MAX(AT458,H458)</f>
        <v>16</v>
      </c>
      <c r="AE458" s="57"/>
      <c r="AF458" s="50" t="n">
        <f aca="false">IF(LEFT(Cockpit!$C$5,1)="A",H458,IF(CE458=1,CF458,IF(LEFT(Cockpit!$C$5,1)="B",AK458,MAX(AK458,H458))))</f>
        <v>14</v>
      </c>
      <c r="AG458" s="50" t="n">
        <f aca="false">IF(BW458=1,0,ROUNDUP(AF458/BV458,0))</f>
        <v>1</v>
      </c>
      <c r="AH458" s="52" t="n">
        <f aca="false">IF(CL458&gt;0,CL458*MAX(1,AF458/X458),IF(BW458=1,IF(AF458&lt;=0,0,CA458*MAX(1,IF(H458&gt;0,AF458/H458,1))),IF(R458&gt;0,AG458/R458,0))/MAX(0.1,N(Parameter!$M$21)))</f>
        <v>0.0192307692307692</v>
      </c>
      <c r="AI458" s="50" t="n">
        <f aca="false">AH458*BY458</f>
        <v>2.98076923076923</v>
      </c>
      <c r="AJ458" s="50" t="n">
        <f aca="false">AF458*G458</f>
        <v>414.4</v>
      </c>
      <c r="AK458" s="50" t="n">
        <f aca="false">ROUNDUP(MAX(J458/IF(CD458&gt;0,CD458,MAX(0.1,N(Cockpit!$C$6))),CG458)/BV458,0)*BV458</f>
        <v>16</v>
      </c>
      <c r="AL458" s="51" t="n">
        <f aca="false">IF(AI458&gt;0,J458/AI458,-1)</f>
        <v>0</v>
      </c>
      <c r="AM458" s="51" t="n">
        <f aca="false">IF(AND(OR(CC458="L1",CC458="L23",CC458="LIFT"),AI458&gt;0),SUMIFS($AI$7:$AI$1843,$CC$7:$CC$1843,CC458,$AL$7:$AL$1843,"&gt;"&amp;AL458)+SUMIFS($AI$7:$AI$1843,$CC$7:$CC$1843,CC458,$AL$7:$AL$1843,AL458,$BT$7:$BT$1843,"&lt;="&amp;BT458),"")</f>
        <v>28147.1691241903</v>
      </c>
      <c r="AN458" s="58" t="n">
        <f aca="false">IF(AM458="",0,MAX(0,MIN(1,(IF(CC458="L1",Parameter!$H$5,IF(CC458="L23",Parameter!$H$6+Parameter!$H$7,Parameter!$H$5+Parameter!$H$6+Parameter!$H$7))-(AM458-AI458))/AI458)))</f>
        <v>1</v>
      </c>
      <c r="AO458" s="50" t="n">
        <f aca="false">IF(LEFT(Cockpit!$I$5,1)="A",H458,IF(CE458=1,CF458,IF(LEFT(Cockpit!$I$5,1)="B",AT458,MAX(AT458,H458))))</f>
        <v>16</v>
      </c>
      <c r="AP458" s="50" t="n">
        <f aca="false">IF(BW458=1,0,ROUNDUP(AO458/BV458,0))</f>
        <v>1</v>
      </c>
      <c r="AQ458" s="52" t="n">
        <f aca="false">IF(CL458&gt;0,CL458*MAX(1,AO458/X458),IF(BW458=1,IF(AO458&lt;=0,0,CA458*MAX(1,IF(H458&gt;0,AO458/H458,1))),IF(R458&gt;0,AP458/R458,0))/MAX(0.1,N(Parameter!$M$21)))</f>
        <v>0.0192307692307692</v>
      </c>
      <c r="AR458" s="50" t="n">
        <f aca="false">AQ458*BY458</f>
        <v>2.98076923076923</v>
      </c>
      <c r="AS458" s="50" t="n">
        <f aca="false">AO458*G458</f>
        <v>473.6</v>
      </c>
      <c r="AT458" s="50" t="n">
        <f aca="false">ROUNDUP(MAX(J458/IF(CD458&gt;0,CD458,MAX(0.1,N(Cockpit!$I$6))),CG458)/BV458,0)*BV458</f>
        <v>16</v>
      </c>
      <c r="AU458" s="51" t="n">
        <f aca="false">IF(AR458&gt;0,J458/AR458,-1)</f>
        <v>0</v>
      </c>
      <c r="AV458" s="51" t="n">
        <f aca="false">IF(AND(OR(CC458="L1",CC458="L23",CC458="LIFT"),AR458&gt;0),SUMIFS($AR$7:$AR$1843,$CC$7:$CC$1843,CC458,$AU$7:$AU$1843,"&gt;"&amp;AU458)+SUMIFS($AR$7:$AR$1843,$CC$7:$CC$1843,CC458,$AU$7:$AU$1843,AU458,$BT$7:$BT$1843,"&lt;="&amp;BT458),"")</f>
        <v>39460.0746414602</v>
      </c>
      <c r="AW458" s="58" t="n">
        <f aca="false">IF(AV458="",0,MAX(0,MIN(1,(IF(CC458="L1",Parameter!$H$5,IF(CC458="L23",Parameter!$H$6+Parameter!$H$7,Parameter!$H$5+Parameter!$H$6+Parameter!$H$7))-(AV458-AR458))/AR458)))</f>
        <v>0</v>
      </c>
      <c r="AX458" s="50" t="n">
        <f aca="false">IF(LEFT(Cockpit!$O$5,1)="A",H458,IF(CE458=1,CF458,IF(LEFT(Cockpit!$O$5,1)="B",BC458,MAX(BC458,H458))))</f>
        <v>16</v>
      </c>
      <c r="AY458" s="50" t="n">
        <f aca="false">IF(BW458=1,0,ROUNDUP(AX458/BV458,0))</f>
        <v>1</v>
      </c>
      <c r="AZ458" s="52" t="n">
        <f aca="false">IF(CL458&gt;0,CL458*MAX(1,AX458/X458),IF(BW458=1,IF(AX458&lt;=0,0,CA458*MAX(1,IF(H458&gt;0,AX458/H458,1))),IF(R458&gt;0,AY458/R458,0))/MAX(0.1,N(Parameter!$M$21)))</f>
        <v>0.0192307692307692</v>
      </c>
      <c r="BA458" s="50" t="n">
        <f aca="false">AZ458*BY458</f>
        <v>2.98076923076923</v>
      </c>
      <c r="BB458" s="50" t="n">
        <f aca="false">AX458*G458</f>
        <v>473.6</v>
      </c>
      <c r="BC458" s="50" t="n">
        <f aca="false">ROUNDUP(MAX(J458/IF(CD458&gt;0,CD458,MAX(0.1,N(Cockpit!$O$6))),CG458)/BV458,0)*BV458</f>
        <v>16</v>
      </c>
      <c r="BD458" s="51" t="n">
        <f aca="false">IF(BA458&gt;0,J458/BA458,-1)</f>
        <v>0</v>
      </c>
      <c r="BE458" s="51" t="n">
        <f aca="false">IF(AND(OR(CC458="L1",CC458="L23",CC458="LIFT"),BA458&gt;0),SUMIFS($BA$7:$BA$1843,$CC$7:$CC$1843,CC458,$BD$7:$BD$1843,"&gt;"&amp;BD458)+SUMIFS($BA$7:$BA$1843,$CC$7:$CC$1843,CC458,$BD$7:$BD$1843,BD458,$BT$7:$BT$1843,"&lt;="&amp;BT458),"")</f>
        <v>36135.0866833261</v>
      </c>
      <c r="BF458" s="58" t="n">
        <f aca="false">IF(BE458="",0,MAX(0,MIN(1,(IF(CC458="L1",Parameter!$H$5,IF(CC458="L23",Parameter!$H$6+Parameter!$H$7,Parameter!$H$5+Parameter!$H$6+Parameter!$H$7))-(BE458-BA458))/BA458)))</f>
        <v>0</v>
      </c>
      <c r="BG458" s="48" t="str">
        <f aca="false">IF(AI458&lt;=0,"",IF(CC458="Aussen","Aussenlager",IF(CC458="-","Nicht im Lift",IF(AN458&gt;=1,"Lift",IF(AN458&lt;=0,"Aussenlager","teilweise")))))</f>
        <v>Lift</v>
      </c>
      <c r="BH458" s="48" t="str">
        <f aca="false">IF(AR458&lt;=0,"",IF(CC458="Aussen","Aussenlager",IF(CC458="-","Nicht im Lift",IF(AW458&gt;=1,"Lift",IF(AW458&lt;=0,"Aussenlager","teilweise")))))</f>
        <v>Aussenlager</v>
      </c>
      <c r="BI458" s="48" t="str">
        <f aca="false">IF(BA458&lt;=0,"",IF(CC458="Aussen","Aussenlager",IF(CC458="-","Nicht im Lift",IF(BF458&gt;=1,"Lift",IF(BF458&lt;=0,"Aussenlager","teilweise")))))</f>
        <v>Aussenlager</v>
      </c>
      <c r="BJ458" s="48" t="str">
        <f aca="false">IF(A458="","",IF(BS458=1,"Neu; ","")&amp;IF(AND(BS458=0,BN458&lt;0),"negativer Bestand (Export "&amp;BN458&amp;"); ","")&amp;IF(J458&lt;=0,"Kein Verbrauch; ","")&amp;IF(CL458&gt;0,"Lift "&amp;W458&amp;" lt. Liftbericht (Fach "&amp;X458&amp;" Stk); ",IF(BX458=1,"Gebinde geschätzt ("&amp;T458&amp;"); ",IF(BW458=1,"Lose – Tablare geschätzt; ","")))&amp;IF(H458&gt;AT458,"Überbestand "&amp;ROUND(H458-AT458,0)&amp;" Stk / CHF "&amp;ROUND((H458-AT458)*G458,0)&amp;"; ","")&amp;IF(AND(CE458=1,CF458&lt;CG458),"MAX &lt; MB+LG; ","")&amp;IF(AND(CK458&gt;0,CJ458*10&gt;CK458),"zu hoch für Tablar; ","")&amp;IF(AND(BS458=0,OR(CE458=1,AA458&lt;&gt;"",U458&lt;&gt;"",V458&lt;&gt;"",AB458&lt;&gt;"")),"manuell übersteuert; ","")&amp;IF(AND(BW458=0,R458=0),"Gebinde unbekannt / Stellmass fehlt; ","")&amp;IF(AND(BW458=0,N(V458)&lt;=0,N(Q458)&lt;=0),"Menge pro Gebinde fehlt (Ist = 1 Gebinde); ","")&amp;BR458)</f>
        <v>Kein Verbrauch; Überbestand</v>
      </c>
      <c r="BK458" s="48"/>
      <c r="BL458" s="48"/>
      <c r="BM458" s="55"/>
      <c r="BN458" s="50" t="n">
        <v>2</v>
      </c>
      <c r="BO458" s="50" t="n">
        <v>12</v>
      </c>
      <c r="BP458" s="49" t="n">
        <v>59.2</v>
      </c>
      <c r="BQ458" s="50" t="n">
        <v>0</v>
      </c>
      <c r="BR458" s="48" t="s">
        <v>396</v>
      </c>
      <c r="BS458" s="53" t="n">
        <v>0</v>
      </c>
      <c r="BT458" s="53" t="n">
        <v>458</v>
      </c>
      <c r="BU458" s="48" t="str">
        <f aca="false">IF(U458&lt;&gt;"",UPPER(TRIM(U458)),IF(BX458=1,UPPER(VLOOKUP(T458,Parameter!$I$27:$K$29,2,0)),IF(P458="","LOSE",P458)))</f>
        <v>S33</v>
      </c>
      <c r="BV458" s="50" t="n">
        <f aca="false">IF(BU458="LOSE",1,IF(N(V458)&gt;0,V458,IF(BX458=1,MAX(1,N(VLOOKUP(T458,Parameter!$I$27:$K$29,3,0)),H458,N(N458)),IF(N(Q458)&gt;0,Q458,MAX(1,H458)))))</f>
        <v>16</v>
      </c>
      <c r="BW458" s="53" t="n">
        <f aca="false">IF(BU458="LOSE",1,0)</f>
        <v>0</v>
      </c>
      <c r="BX458" s="53" t="n">
        <f aca="false">IF(AND(U458="",OR(P458="",P458="LOSE"),T458&lt;&gt;"",N(S458)&lt;=0,ISNUMBER(MATCH(T458,Parameter!$I$27:$I$29,0))),1,0)</f>
        <v>0</v>
      </c>
      <c r="BY458" s="53" t="n">
        <f aca="false">IF(CL458&gt;0,INDEX(Parameter!$H$5:$H$7,W458)/INDEX(Parameter!$E$5:$E$7,W458),IF(AND(BW458=0,N(IFERROR(VLOOKUP(BU458,'Gebinde-Kategorie'!$A$5:$N$45,14,0),0))&gt;0),VLOOKUP(BU458,'Gebinde-Kategorie'!$A$5:$N$45,14,0)*10+Parameter!$M$23,Parameter!$M$24))</f>
        <v>155</v>
      </c>
      <c r="BZ458" s="48" t="str">
        <f aca="false">IF(AND(Parameter!$B$19="Ja",E458&lt;&gt;"",ISNUMBER(MATCH(E458,Parameter!$I$35:$I$52,0))),VLOOKUP(E458,Parameter!$I$35:$J$52,2,0),IFERROR(VLOOKUP(D458,Parameter!$A$35:$C$64,2,0),"Nein"))</f>
        <v>2+3</v>
      </c>
      <c r="CA458" s="52" t="n">
        <f aca="false">IF(BW458=0,0,IF(N(S458)&gt;0,S458,IFERROR(VLOOKUP(D458,Parameter!$A$35:$C$64,3,0)+0,0)))</f>
        <v>0</v>
      </c>
      <c r="CB458" s="48" t="n">
        <f aca="false">IF(AA458&lt;&gt;"",AA458,Z458)</f>
        <v>3</v>
      </c>
      <c r="CC458" s="48" t="str">
        <f aca="false">IF(OR(CB458=1,CB458=2,CB458=3),IF(Parameter!$E$27="Ja","LIFT",IF(CB458=1,"L1","L23")),IF(CB458="Aussen","Aussen","-"))</f>
        <v>LIFT</v>
      </c>
      <c r="CD458" s="59" t="n">
        <f aca="false">IF(N(AB458)&gt;0,AB458,0)</f>
        <v>0</v>
      </c>
      <c r="CE458" s="53" t="n">
        <f aca="false">IF(ISNUMBER(AE458),1,0)</f>
        <v>0</v>
      </c>
      <c r="CF458" s="50" t="n">
        <f aca="false">N(AE458)</f>
        <v>0</v>
      </c>
      <c r="CG458" s="50" t="n">
        <f aca="false">N(M458)+N(N458)</f>
        <v>1</v>
      </c>
      <c r="CH458" s="50" t="n">
        <f aca="false">ROUNDUP(H458/BV458,0)</f>
        <v>1</v>
      </c>
      <c r="CI458" s="50" t="n">
        <f aca="false">ROUNDUP(CF458/BV458,0)</f>
        <v>0</v>
      </c>
      <c r="CJ458" s="53" t="n">
        <f aca="false">IF(BW458=1,0,IFERROR(VLOOKUP(BU458,'Gebinde-Kategorie'!$A$5:$N$45,5,0)+0,0))</f>
        <v>8</v>
      </c>
      <c r="CK458" s="53" t="n">
        <f aca="false">IFERROR(IF(OR(CB458=1,CB458=2,CB458=3),N(INDEX(Parameter!$I$5:$I$7,CB458)),0),0)</f>
        <v>0</v>
      </c>
      <c r="CL458" s="52" t="n">
        <f aca="false">IF(AND(Parameter!$B$21="Ja",ISNUMBER(W458),N(X458)&gt;0),IFERROR(N(INDEX(Parameter!$L$5:$L$7,W458))*INDEX(Parameter!$E$5:$E$7,W458)*X458/SUMIFS($X$7:$X$1843,$W$7:$W$1843,W458),0),0)</f>
        <v>0</v>
      </c>
    </row>
    <row r="459" customFormat="false" ht="15" hidden="false" customHeight="false" outlineLevel="0" collapsed="false">
      <c r="A459" s="48" t="s">
        <v>1039</v>
      </c>
      <c r="B459" s="48" t="s">
        <v>1040</v>
      </c>
      <c r="C459" s="48" t="s">
        <v>168</v>
      </c>
      <c r="D459" s="48" t="s">
        <v>188</v>
      </c>
      <c r="E459" s="48" t="s">
        <v>189</v>
      </c>
      <c r="F459" s="48" t="s">
        <v>222</v>
      </c>
      <c r="G459" s="49" t="n">
        <v>0.09</v>
      </c>
      <c r="H459" s="50" t="n">
        <f aca="false">MAX(0,IF(AND(Parameter!$B$21="Ja",ISNUMBER(Y459)),Y459,IF(Parameter!$B$20="Jahresanfang 2025 + Export",BO459+BN459,BN459)))</f>
        <v>1451</v>
      </c>
      <c r="I459" s="50" t="n">
        <f aca="false">H459*G459</f>
        <v>130.59</v>
      </c>
      <c r="J459" s="50" t="n">
        <f aca="false">BQ459*Parameter!$B$18</f>
        <v>100</v>
      </c>
      <c r="K459" s="51" t="n">
        <v>1405</v>
      </c>
      <c r="L459" s="52" t="n">
        <v>0.0711743772241993</v>
      </c>
      <c r="M459" s="50" t="n">
        <v>5</v>
      </c>
      <c r="N459" s="50" t="n">
        <v>100</v>
      </c>
      <c r="O459" s="53" t="n">
        <v>21</v>
      </c>
      <c r="P459" s="48" t="s">
        <v>306</v>
      </c>
      <c r="Q459" s="50" t="n">
        <v>2900</v>
      </c>
      <c r="R459" s="53" t="n">
        <f aca="false">IF(BW459=1,0,IFERROR(VLOOKUP(BU459,'Gebinde-Kategorie'!$A$5:$N$45,13,0)+0,0))</f>
        <v>26</v>
      </c>
      <c r="S459" s="54"/>
      <c r="T459" s="55"/>
      <c r="U459" s="55"/>
      <c r="V459" s="55"/>
      <c r="W459" s="48"/>
      <c r="X459" s="50"/>
      <c r="Y459" s="50"/>
      <c r="Z459" s="48" t="n">
        <f aca="false">IF(A459="","",IF(AND(Parameter!$B$21="Ja",ISNUMBER(W459)),W459,IF(BZ459="2+3",IF(ISNUMBER(SEARCH("grosser Artikel",BR459)),2,IFERROR(VLOOKUP(BU459,Parameter!$F$35:$G$64,2,0),2)),IF(OR(BZ459="Nein",BZ459=""),"-",BZ459))))</f>
        <v>3</v>
      </c>
      <c r="AA459" s="55"/>
      <c r="AB459" s="56"/>
      <c r="AC459" s="50" t="n">
        <f aca="false">AT459</f>
        <v>2900</v>
      </c>
      <c r="AD459" s="50" t="n">
        <f aca="false">MAX(AT459,H459)</f>
        <v>2900</v>
      </c>
      <c r="AE459" s="57"/>
      <c r="AF459" s="50" t="n">
        <f aca="false">IF(LEFT(Cockpit!$C$5,1)="A",H459,IF(CE459=1,CF459,IF(LEFT(Cockpit!$C$5,1)="B",AK459,MAX(AK459,H459))))</f>
        <v>1451</v>
      </c>
      <c r="AG459" s="50" t="n">
        <f aca="false">IF(BW459=1,0,ROUNDUP(AF459/BV459,0))</f>
        <v>1</v>
      </c>
      <c r="AH459" s="52" t="n">
        <f aca="false">IF(CL459&gt;0,CL459*MAX(1,AF459/X459),IF(BW459=1,IF(AF459&lt;=0,0,CA459*MAX(1,IF(H459&gt;0,AF459/H459,1))),IF(R459&gt;0,AG459/R459,0))/MAX(0.1,N(Parameter!$M$21)))</f>
        <v>0.0384615384615385</v>
      </c>
      <c r="AI459" s="50" t="n">
        <f aca="false">AH459*BY459</f>
        <v>5.96153846153846</v>
      </c>
      <c r="AJ459" s="50" t="n">
        <f aca="false">AF459*G459</f>
        <v>130.59</v>
      </c>
      <c r="AK459" s="50" t="n">
        <f aca="false">ROUNDUP(MAX(J459/IF(CD459&gt;0,CD459,MAX(0.1,N(Cockpit!$C$6))),CG459)/BV459,0)*BV459</f>
        <v>2900</v>
      </c>
      <c r="AL459" s="51" t="n">
        <f aca="false">IF(AI459&gt;0,J459/AI459,-1)</f>
        <v>16.7741935483871</v>
      </c>
      <c r="AM459" s="51" t="n">
        <f aca="false">IF(AND(OR(CC459="L1",CC459="L23",CC459="LIFT"),AI459&gt;0),SUMIFS($AI$7:$AI$1843,$CC$7:$CC$1843,CC459,$AL$7:$AL$1843,"&gt;"&amp;AL459)+SUMIFS($AI$7:$AI$1843,$CC$7:$CC$1843,CC459,$AL$7:$AL$1843,AL459,$BT$7:$BT$1843,"&lt;="&amp;BT459),"")</f>
        <v>2015.69505494506</v>
      </c>
      <c r="AN459" s="58" t="n">
        <f aca="false">IF(AM459="",0,MAX(0,MIN(1,(IF(CC459="L1",Parameter!$H$5,IF(CC459="L23",Parameter!$H$6+Parameter!$H$7,Parameter!$H$5+Parameter!$H$6+Parameter!$H$7))-(AM459-AI459))/AI459)))</f>
        <v>1</v>
      </c>
      <c r="AO459" s="50" t="n">
        <f aca="false">IF(LEFT(Cockpit!$I$5,1)="A",H459,IF(CE459=1,CF459,IF(LEFT(Cockpit!$I$5,1)="B",AT459,MAX(AT459,H459))))</f>
        <v>2900</v>
      </c>
      <c r="AP459" s="50" t="n">
        <f aca="false">IF(BW459=1,0,ROUNDUP(AO459/BV459,0))</f>
        <v>1</v>
      </c>
      <c r="AQ459" s="52" t="n">
        <f aca="false">IF(CL459&gt;0,CL459*MAX(1,AO459/X459),IF(BW459=1,IF(AO459&lt;=0,0,CA459*MAX(1,IF(H459&gt;0,AO459/H459,1))),IF(R459&gt;0,AP459/R459,0))/MAX(0.1,N(Parameter!$M$21)))</f>
        <v>0.0384615384615385</v>
      </c>
      <c r="AR459" s="50" t="n">
        <f aca="false">AQ459*BY459</f>
        <v>5.96153846153846</v>
      </c>
      <c r="AS459" s="50" t="n">
        <f aca="false">AO459*G459</f>
        <v>261</v>
      </c>
      <c r="AT459" s="50" t="n">
        <f aca="false">ROUNDUP(MAX(J459/IF(CD459&gt;0,CD459,MAX(0.1,N(Cockpit!$I$6))),CG459)/BV459,0)*BV459</f>
        <v>2900</v>
      </c>
      <c r="AU459" s="51" t="n">
        <f aca="false">IF(AR459&gt;0,J459/AR459,-1)</f>
        <v>16.7741935483871</v>
      </c>
      <c r="AV459" s="51" t="n">
        <f aca="false">IF(AND(OR(CC459="L1",CC459="L23",CC459="LIFT"),AR459&gt;0),SUMIFS($AR$7:$AR$1843,$CC$7:$CC$1843,CC459,$AU$7:$AU$1843,"&gt;"&amp;AU459)+SUMIFS($AR$7:$AR$1843,$CC$7:$CC$1843,CC459,$AU$7:$AU$1843,AU459,$BT$7:$BT$1843,"&lt;="&amp;BT459),"")</f>
        <v>2922.71611721612</v>
      </c>
      <c r="AW459" s="58" t="n">
        <f aca="false">IF(AV459="",0,MAX(0,MIN(1,(IF(CC459="L1",Parameter!$H$5,IF(CC459="L23",Parameter!$H$6+Parameter!$H$7,Parameter!$H$5+Parameter!$H$6+Parameter!$H$7))-(AV459-AR459))/AR459)))</f>
        <v>1</v>
      </c>
      <c r="AX459" s="50" t="n">
        <f aca="false">IF(LEFT(Cockpit!$O$5,1)="A",H459,IF(CE459=1,CF459,IF(LEFT(Cockpit!$O$5,1)="B",BC459,MAX(BC459,H459))))</f>
        <v>2900</v>
      </c>
      <c r="AY459" s="50" t="n">
        <f aca="false">IF(BW459=1,0,ROUNDUP(AX459/BV459,0))</f>
        <v>1</v>
      </c>
      <c r="AZ459" s="52" t="n">
        <f aca="false">IF(CL459&gt;0,CL459*MAX(1,AX459/X459),IF(BW459=1,IF(AX459&lt;=0,0,CA459*MAX(1,IF(H459&gt;0,AX459/H459,1))),IF(R459&gt;0,AY459/R459,0))/MAX(0.1,N(Parameter!$M$21)))</f>
        <v>0.0384615384615385</v>
      </c>
      <c r="BA459" s="50" t="n">
        <f aca="false">AZ459*BY459</f>
        <v>5.96153846153846</v>
      </c>
      <c r="BB459" s="50" t="n">
        <f aca="false">AX459*G459</f>
        <v>261</v>
      </c>
      <c r="BC459" s="50" t="n">
        <f aca="false">ROUNDUP(MAX(J459/IF(CD459&gt;0,CD459,MAX(0.1,N(Cockpit!$O$6))),CG459)/BV459,0)*BV459</f>
        <v>2900</v>
      </c>
      <c r="BD459" s="51" t="n">
        <f aca="false">IF(BA459&gt;0,J459/BA459,-1)</f>
        <v>16.7741935483871</v>
      </c>
      <c r="BE459" s="51" t="n">
        <f aca="false">IF(AND(OR(CC459="L1",CC459="L23",CC459="LIFT"),BA459&gt;0),SUMIFS($BA$7:$BA$1843,$CC$7:$CC$1843,CC459,$BD$7:$BD$1843,"&gt;"&amp;BD459)+SUMIFS($BA$7:$BA$1843,$CC$7:$CC$1843,CC459,$BD$7:$BD$1843,BD459,$BT$7:$BT$1843,"&lt;="&amp;BT459),"")</f>
        <v>2742.15521978022</v>
      </c>
      <c r="BF459" s="58" t="n">
        <f aca="false">IF(BE459="",0,MAX(0,MIN(1,(IF(CC459="L1",Parameter!$H$5,IF(CC459="L23",Parameter!$H$6+Parameter!$H$7,Parameter!$H$5+Parameter!$H$6+Parameter!$H$7))-(BE459-BA459))/BA459)))</f>
        <v>1</v>
      </c>
      <c r="BG459" s="48" t="str">
        <f aca="false">IF(AI459&lt;=0,"",IF(CC459="Aussen","Aussenlager",IF(CC459="-","Nicht im Lift",IF(AN459&gt;=1,"Lift",IF(AN459&lt;=0,"Aussenlager","teilweise")))))</f>
        <v>Lift</v>
      </c>
      <c r="BH459" s="48" t="str">
        <f aca="false">IF(AR459&lt;=0,"",IF(CC459="Aussen","Aussenlager",IF(CC459="-","Nicht im Lift",IF(AW459&gt;=1,"Lift",IF(AW459&lt;=0,"Aussenlager","teilweise")))))</f>
        <v>Lift</v>
      </c>
      <c r="BI459" s="48" t="str">
        <f aca="false">IF(BA459&lt;=0,"",IF(CC459="Aussen","Aussenlager",IF(CC459="-","Nicht im Lift",IF(BF459&gt;=1,"Lift",IF(BF459&lt;=0,"Aussenlager","teilweise")))))</f>
        <v>Lift</v>
      </c>
      <c r="BJ459" s="48" t="str">
        <f aca="false">IF(A459="","",IF(BS459=1,"Neu; ","")&amp;IF(AND(BS459=0,BN459&lt;0),"negativer Bestand (Export "&amp;BN459&amp;"); ","")&amp;IF(J459&lt;=0,"Kein Verbrauch; ","")&amp;IF(CL459&gt;0,"Lift "&amp;W459&amp;" lt. Liftbericht (Fach "&amp;X459&amp;" Stk); ",IF(BX459=1,"Gebinde geschätzt ("&amp;T459&amp;"); ",IF(BW459=1,"Lose – Tablare geschätzt; ","")))&amp;IF(H459&gt;AT459,"Überbestand "&amp;ROUND(H459-AT459,0)&amp;" Stk / CHF "&amp;ROUND((H459-AT459)*G459,0)&amp;"; ","")&amp;IF(AND(CE459=1,CF459&lt;CG459),"MAX &lt; MB+LG; ","")&amp;IF(AND(CK459&gt;0,CJ459*10&gt;CK459),"zu hoch für Tablar; ","")&amp;IF(AND(BS459=0,OR(CE459=1,AA459&lt;&gt;"",U459&lt;&gt;"",V459&lt;&gt;"",AB459&lt;&gt;"")),"manuell übersteuert; ","")&amp;IF(AND(BW459=0,R459=0),"Gebinde unbekannt / Stellmass fehlt; ","")&amp;IF(AND(BW459=0,N(V459)&lt;=0,N(Q459)&lt;=0),"Menge pro Gebinde fehlt (Ist = 1 Gebinde); ","")&amp;BR459)</f>
        <v>negativer Bestand (Export -349); Verb.Lager</v>
      </c>
      <c r="BK459" s="48"/>
      <c r="BL459" s="48"/>
      <c r="BM459" s="55"/>
      <c r="BN459" s="50" t="n">
        <v>-349</v>
      </c>
      <c r="BO459" s="50" t="n">
        <v>1800</v>
      </c>
      <c r="BP459" s="49" t="n">
        <v>58.59</v>
      </c>
      <c r="BQ459" s="50" t="n">
        <v>100</v>
      </c>
      <c r="BR459" s="48" t="s">
        <v>1034</v>
      </c>
      <c r="BS459" s="53" t="n">
        <v>0</v>
      </c>
      <c r="BT459" s="53" t="n">
        <v>459</v>
      </c>
      <c r="BU459" s="48" t="str">
        <f aca="false">IF(U459&lt;&gt;"",UPPER(TRIM(U459)),IF(BX459=1,UPPER(VLOOKUP(T459,Parameter!$I$27:$K$29,2,0)),IF(P459="","LOSE",P459)))</f>
        <v>S51</v>
      </c>
      <c r="BV459" s="50" t="n">
        <f aca="false">IF(BU459="LOSE",1,IF(N(V459)&gt;0,V459,IF(BX459=1,MAX(1,N(VLOOKUP(T459,Parameter!$I$27:$K$29,3,0)),H459,N(N459)),IF(N(Q459)&gt;0,Q459,MAX(1,H459)))))</f>
        <v>2900</v>
      </c>
      <c r="BW459" s="53" t="n">
        <f aca="false">IF(BU459="LOSE",1,0)</f>
        <v>0</v>
      </c>
      <c r="BX459" s="53" t="n">
        <f aca="false">IF(AND(U459="",OR(P459="",P459="LOSE"),T459&lt;&gt;"",N(S459)&lt;=0,ISNUMBER(MATCH(T459,Parameter!$I$27:$I$29,0))),1,0)</f>
        <v>0</v>
      </c>
      <c r="BY459" s="53" t="n">
        <f aca="false">IF(CL459&gt;0,INDEX(Parameter!$H$5:$H$7,W459)/INDEX(Parameter!$E$5:$E$7,W459),IF(AND(BW459=0,N(IFERROR(VLOOKUP(BU459,'Gebinde-Kategorie'!$A$5:$N$45,14,0),0))&gt;0),VLOOKUP(BU459,'Gebinde-Kategorie'!$A$5:$N$45,14,0)*10+Parameter!$M$23,Parameter!$M$24))</f>
        <v>155</v>
      </c>
      <c r="BZ459" s="48" t="str">
        <f aca="false">IF(AND(Parameter!$B$19="Ja",E459&lt;&gt;"",ISNUMBER(MATCH(E459,Parameter!$I$35:$I$52,0))),VLOOKUP(E459,Parameter!$I$35:$J$52,2,0),IFERROR(VLOOKUP(D459,Parameter!$A$35:$C$64,2,0),"Nein"))</f>
        <v>2+3</v>
      </c>
      <c r="CA459" s="52" t="n">
        <f aca="false">IF(BW459=0,0,IF(N(S459)&gt;0,S459,IFERROR(VLOOKUP(D459,Parameter!$A$35:$C$64,3,0)+0,0)))</f>
        <v>0</v>
      </c>
      <c r="CB459" s="48" t="n">
        <f aca="false">IF(AA459&lt;&gt;"",AA459,Z459)</f>
        <v>3</v>
      </c>
      <c r="CC459" s="48" t="str">
        <f aca="false">IF(OR(CB459=1,CB459=2,CB459=3),IF(Parameter!$E$27="Ja","LIFT",IF(CB459=1,"L1","L23")),IF(CB459="Aussen","Aussen","-"))</f>
        <v>LIFT</v>
      </c>
      <c r="CD459" s="59" t="n">
        <f aca="false">IF(N(AB459)&gt;0,AB459,0)</f>
        <v>0</v>
      </c>
      <c r="CE459" s="53" t="n">
        <f aca="false">IF(ISNUMBER(AE459),1,0)</f>
        <v>0</v>
      </c>
      <c r="CF459" s="50" t="n">
        <f aca="false">N(AE459)</f>
        <v>0</v>
      </c>
      <c r="CG459" s="50" t="n">
        <f aca="false">N(M459)+N(N459)</f>
        <v>105</v>
      </c>
      <c r="CH459" s="50" t="n">
        <f aca="false">ROUNDUP(H459/BV459,0)</f>
        <v>1</v>
      </c>
      <c r="CI459" s="50" t="n">
        <f aca="false">ROUNDUP(CF459/BV459,0)</f>
        <v>0</v>
      </c>
      <c r="CJ459" s="53" t="n">
        <f aca="false">IF(BW459=1,0,IFERROR(VLOOKUP(BU459,'Gebinde-Kategorie'!$A$5:$N$45,5,0)+0,0))</f>
        <v>11</v>
      </c>
      <c r="CK459" s="53" t="n">
        <f aca="false">IFERROR(IF(OR(CB459=1,CB459=2,CB459=3),N(INDEX(Parameter!$I$5:$I$7,CB459)),0),0)</f>
        <v>0</v>
      </c>
      <c r="CL459" s="52" t="n">
        <f aca="false">IF(AND(Parameter!$B$21="Ja",ISNUMBER(W459),N(X459)&gt;0),IFERROR(N(INDEX(Parameter!$L$5:$L$7,W459))*INDEX(Parameter!$E$5:$E$7,W459)*X459/SUMIFS($X$7:$X$1843,$W$7:$W$1843,W459),0),0)</f>
        <v>0</v>
      </c>
    </row>
    <row r="460" customFormat="false" ht="15" hidden="false" customHeight="false" outlineLevel="0" collapsed="false">
      <c r="A460" s="48" t="s">
        <v>1041</v>
      </c>
      <c r="B460" s="48" t="s">
        <v>409</v>
      </c>
      <c r="C460" s="48" t="s">
        <v>168</v>
      </c>
      <c r="D460" s="48" t="s">
        <v>188</v>
      </c>
      <c r="E460" s="48" t="s">
        <v>189</v>
      </c>
      <c r="F460" s="48" t="s">
        <v>222</v>
      </c>
      <c r="G460" s="49" t="n">
        <v>0.13</v>
      </c>
      <c r="H460" s="50" t="n">
        <f aca="false">MAX(0,IF(AND(Parameter!$B$21="Ja",ISNUMBER(Y460)),Y460,IF(Parameter!$B$20="Jahresanfang 2025 + Export",BO460+BN460,BN460)))</f>
        <v>714</v>
      </c>
      <c r="I460" s="50" t="n">
        <f aca="false">H460*G460</f>
        <v>92.82</v>
      </c>
      <c r="J460" s="50" t="n">
        <f aca="false">BQ460*Parameter!$B$18</f>
        <v>1442</v>
      </c>
      <c r="K460" s="51" t="n">
        <v>310</v>
      </c>
      <c r="L460" s="52" t="n">
        <v>4.65161290322581</v>
      </c>
      <c r="M460" s="50" t="n">
        <v>84</v>
      </c>
      <c r="N460" s="50" t="n">
        <v>500</v>
      </c>
      <c r="O460" s="53" t="n">
        <v>21</v>
      </c>
      <c r="P460" s="48" t="s">
        <v>306</v>
      </c>
      <c r="Q460" s="50" t="n">
        <v>271</v>
      </c>
      <c r="R460" s="53" t="n">
        <f aca="false">IF(BW460=1,0,IFERROR(VLOOKUP(BU460,'Gebinde-Kategorie'!$A$5:$N$45,13,0)+0,0))</f>
        <v>26</v>
      </c>
      <c r="S460" s="54"/>
      <c r="T460" s="55"/>
      <c r="U460" s="55"/>
      <c r="V460" s="55"/>
      <c r="W460" s="48"/>
      <c r="X460" s="50"/>
      <c r="Y460" s="50"/>
      <c r="Z460" s="48" t="n">
        <f aca="false">IF(A460="","",IF(AND(Parameter!$B$21="Ja",ISNUMBER(W460)),W460,IF(BZ460="2+3",IF(ISNUMBER(SEARCH("grosser Artikel",BR460)),2,IFERROR(VLOOKUP(BU460,Parameter!$F$35:$G$64,2,0),2)),IF(OR(BZ460="Nein",BZ460=""),"-",BZ460))))</f>
        <v>3</v>
      </c>
      <c r="AA460" s="55"/>
      <c r="AB460" s="56"/>
      <c r="AC460" s="50" t="n">
        <f aca="false">AT460</f>
        <v>813</v>
      </c>
      <c r="AD460" s="50" t="n">
        <f aca="false">MAX(AT460,H460)</f>
        <v>813</v>
      </c>
      <c r="AE460" s="57"/>
      <c r="AF460" s="50" t="n">
        <f aca="false">IF(LEFT(Cockpit!$C$5,1)="A",H460,IF(CE460=1,CF460,IF(LEFT(Cockpit!$C$5,1)="B",AK460,MAX(AK460,H460))))</f>
        <v>714</v>
      </c>
      <c r="AG460" s="50" t="n">
        <f aca="false">IF(BW460=1,0,ROUNDUP(AF460/BV460,0))</f>
        <v>3</v>
      </c>
      <c r="AH460" s="52" t="n">
        <f aca="false">IF(CL460&gt;0,CL460*MAX(1,AF460/X460),IF(BW460=1,IF(AF460&lt;=0,0,CA460*MAX(1,IF(H460&gt;0,AF460/H460,1))),IF(R460&gt;0,AG460/R460,0))/MAX(0.1,N(Parameter!$M$21)))</f>
        <v>0.115384615384615</v>
      </c>
      <c r="AI460" s="50" t="n">
        <f aca="false">AH460*BY460</f>
        <v>17.8846153846154</v>
      </c>
      <c r="AJ460" s="50" t="n">
        <f aca="false">AF460*G460</f>
        <v>92.82</v>
      </c>
      <c r="AK460" s="50" t="n">
        <f aca="false">ROUNDUP(MAX(J460/IF(CD460&gt;0,CD460,MAX(0.1,N(Cockpit!$C$6))),CG460)/BV460,0)*BV460</f>
        <v>813</v>
      </c>
      <c r="AL460" s="51" t="n">
        <f aca="false">IF(AI460&gt;0,J460/AI460,-1)</f>
        <v>80.6279569892473</v>
      </c>
      <c r="AM460" s="51" t="n">
        <f aca="false">IF(AND(OR(CC460="L1",CC460="L23",CC460="LIFT"),AI460&gt;0),SUMIFS($AI$7:$AI$1843,$CC$7:$CC$1843,CC460,$AL$7:$AL$1843,"&gt;"&amp;AL460)+SUMIFS($AI$7:$AI$1843,$CC$7:$CC$1843,CC460,$AL$7:$AL$1843,AL460,$BT$7:$BT$1843,"&lt;="&amp;BT460),"")</f>
        <v>860.340659340659</v>
      </c>
      <c r="AN460" s="58" t="n">
        <f aca="false">IF(AM460="",0,MAX(0,MIN(1,(IF(CC460="L1",Parameter!$H$5,IF(CC460="L23",Parameter!$H$6+Parameter!$H$7,Parameter!$H$5+Parameter!$H$6+Parameter!$H$7))-(AM460-AI460))/AI460)))</f>
        <v>1</v>
      </c>
      <c r="AO460" s="50" t="n">
        <f aca="false">IF(LEFT(Cockpit!$I$5,1)="A",H460,IF(CE460=1,CF460,IF(LEFT(Cockpit!$I$5,1)="B",AT460,MAX(AT460,H460))))</f>
        <v>813</v>
      </c>
      <c r="AP460" s="50" t="n">
        <f aca="false">IF(BW460=1,0,ROUNDUP(AO460/BV460,0))</f>
        <v>3</v>
      </c>
      <c r="AQ460" s="52" t="n">
        <f aca="false">IF(CL460&gt;0,CL460*MAX(1,AO460/X460),IF(BW460=1,IF(AO460&lt;=0,0,CA460*MAX(1,IF(H460&gt;0,AO460/H460,1))),IF(R460&gt;0,AP460/R460,0))/MAX(0.1,N(Parameter!$M$21)))</f>
        <v>0.115384615384615</v>
      </c>
      <c r="AR460" s="50" t="n">
        <f aca="false">AQ460*BY460</f>
        <v>17.8846153846154</v>
      </c>
      <c r="AS460" s="50" t="n">
        <f aca="false">AO460*G460</f>
        <v>105.69</v>
      </c>
      <c r="AT460" s="50" t="n">
        <f aca="false">ROUNDUP(MAX(J460/IF(CD460&gt;0,CD460,MAX(0.1,N(Cockpit!$I$6))),CG460)/BV460,0)*BV460</f>
        <v>813</v>
      </c>
      <c r="AU460" s="51" t="n">
        <f aca="false">IF(AR460&gt;0,J460/AR460,-1)</f>
        <v>80.6279569892473</v>
      </c>
      <c r="AV460" s="51" t="n">
        <f aca="false">IF(AND(OR(CC460="L1",CC460="L23",CC460="LIFT"),AR460&gt;0),SUMIFS($AR$7:$AR$1843,$CC$7:$CC$1843,CC460,$AU$7:$AU$1843,"&gt;"&amp;AU460)+SUMIFS($AR$7:$AR$1843,$CC$7:$CC$1843,CC460,$AU$7:$AU$1843,AU460,$BT$7:$BT$1843,"&lt;="&amp;BT460),"")</f>
        <v>984.209249084249</v>
      </c>
      <c r="AW460" s="58" t="n">
        <f aca="false">IF(AV460="",0,MAX(0,MIN(1,(IF(CC460="L1",Parameter!$H$5,IF(CC460="L23",Parameter!$H$6+Parameter!$H$7,Parameter!$H$5+Parameter!$H$6+Parameter!$H$7))-(AV460-AR460))/AR460)))</f>
        <v>1</v>
      </c>
      <c r="AX460" s="50" t="n">
        <f aca="false">IF(LEFT(Cockpit!$O$5,1)="A",H460,IF(CE460=1,CF460,IF(LEFT(Cockpit!$O$5,1)="B",BC460,MAX(BC460,H460))))</f>
        <v>813</v>
      </c>
      <c r="AY460" s="50" t="n">
        <f aca="false">IF(BW460=1,0,ROUNDUP(AX460/BV460,0))</f>
        <v>3</v>
      </c>
      <c r="AZ460" s="52" t="n">
        <f aca="false">IF(CL460&gt;0,CL460*MAX(1,AX460/X460),IF(BW460=1,IF(AX460&lt;=0,0,CA460*MAX(1,IF(H460&gt;0,AX460/H460,1))),IF(R460&gt;0,AY460/R460,0))/MAX(0.1,N(Parameter!$M$21)))</f>
        <v>0.115384615384615</v>
      </c>
      <c r="BA460" s="50" t="n">
        <f aca="false">AZ460*BY460</f>
        <v>17.8846153846154</v>
      </c>
      <c r="BB460" s="50" t="n">
        <f aca="false">AX460*G460</f>
        <v>105.69</v>
      </c>
      <c r="BC460" s="50" t="n">
        <f aca="false">ROUNDUP(MAX(J460/IF(CD460&gt;0,CD460,MAX(0.1,N(Cockpit!$O$6))),CG460)/BV460,0)*BV460</f>
        <v>813</v>
      </c>
      <c r="BD460" s="51" t="n">
        <f aca="false">IF(BA460&gt;0,J460/BA460,-1)</f>
        <v>80.6279569892473</v>
      </c>
      <c r="BE460" s="51" t="n">
        <f aca="false">IF(AND(OR(CC460="L1",CC460="L23",CC460="LIFT"),BA460&gt;0),SUMIFS($BA$7:$BA$1843,$CC$7:$CC$1843,CC460,$BD$7:$BD$1843,"&gt;"&amp;BD460)+SUMIFS($BA$7:$BA$1843,$CC$7:$CC$1843,CC460,$BD$7:$BD$1843,BD460,$BT$7:$BT$1843,"&lt;="&amp;BT460),"")</f>
        <v>1091.62912087912</v>
      </c>
      <c r="BF460" s="58" t="n">
        <f aca="false">IF(BE460="",0,MAX(0,MIN(1,(IF(CC460="L1",Parameter!$H$5,IF(CC460="L23",Parameter!$H$6+Parameter!$H$7,Parameter!$H$5+Parameter!$H$6+Parameter!$H$7))-(BE460-BA460))/BA460)))</f>
        <v>1</v>
      </c>
      <c r="BG460" s="48" t="str">
        <f aca="false">IF(AI460&lt;=0,"",IF(CC460="Aussen","Aussenlager",IF(CC460="-","Nicht im Lift",IF(AN460&gt;=1,"Lift",IF(AN460&lt;=0,"Aussenlager","teilweise")))))</f>
        <v>Lift</v>
      </c>
      <c r="BH460" s="48" t="str">
        <f aca="false">IF(AR460&lt;=0,"",IF(CC460="Aussen","Aussenlager",IF(CC460="-","Nicht im Lift",IF(AW460&gt;=1,"Lift",IF(AW460&lt;=0,"Aussenlager","teilweise")))))</f>
        <v>Lift</v>
      </c>
      <c r="BI460" s="48" t="str">
        <f aca="false">IF(BA460&lt;=0,"",IF(CC460="Aussen","Aussenlager",IF(CC460="-","Nicht im Lift",IF(BF460&gt;=1,"Lift",IF(BF460&lt;=0,"Aussenlager","teilweise")))))</f>
        <v>Lift</v>
      </c>
      <c r="BJ460" s="48" t="str">
        <f aca="false">IF(A460="","",IF(BS460=1,"Neu; ","")&amp;IF(AND(BS460=0,BN460&lt;0),"negativer Bestand (Export "&amp;BN460&amp;"); ","")&amp;IF(J460&lt;=0,"Kein Verbrauch; ","")&amp;IF(CL460&gt;0,"Lift "&amp;W460&amp;" lt. Liftbericht (Fach "&amp;X460&amp;" Stk); ",IF(BX460=1,"Gebinde geschätzt ("&amp;T460&amp;"); ",IF(BW460=1,"Lose – Tablare geschätzt; ","")))&amp;IF(H460&gt;AT460,"Überbestand "&amp;ROUND(H460-AT460,0)&amp;" Stk / CHF "&amp;ROUND((H460-AT460)*G460,0)&amp;"; ","")&amp;IF(AND(CE460=1,CF460&lt;CG460),"MAX &lt; MB+LG; ","")&amp;IF(AND(CK460&gt;0,CJ460*10&gt;CK460),"zu hoch für Tablar; ","")&amp;IF(AND(BS460=0,OR(CE460=1,AA460&lt;&gt;"",U460&lt;&gt;"",V460&lt;&gt;"",AB460&lt;&gt;"")),"manuell übersteuert; ","")&amp;IF(AND(BW460=0,R460=0),"Gebinde unbekannt / Stellmass fehlt; ","")&amp;IF(AND(BW460=0,N(V460)&lt;=0,N(Q460)&lt;=0),"Menge pro Gebinde fehlt (Ist = 1 Gebinde); ","")&amp;BR460)</f>
        <v/>
      </c>
      <c r="BK460" s="48"/>
      <c r="BL460" s="48"/>
      <c r="BM460" s="55"/>
      <c r="BN460" s="50" t="n">
        <v>424</v>
      </c>
      <c r="BO460" s="50" t="n">
        <v>290</v>
      </c>
      <c r="BP460" s="49" t="n">
        <v>57.94</v>
      </c>
      <c r="BQ460" s="50" t="n">
        <v>1442</v>
      </c>
      <c r="BR460" s="48"/>
      <c r="BS460" s="53" t="n">
        <v>0</v>
      </c>
      <c r="BT460" s="53" t="n">
        <v>460</v>
      </c>
      <c r="BU460" s="48" t="str">
        <f aca="false">IF(U460&lt;&gt;"",UPPER(TRIM(U460)),IF(BX460=1,UPPER(VLOOKUP(T460,Parameter!$I$27:$K$29,2,0)),IF(P460="","LOSE",P460)))</f>
        <v>S51</v>
      </c>
      <c r="BV460" s="50" t="n">
        <f aca="false">IF(BU460="LOSE",1,IF(N(V460)&gt;0,V460,IF(BX460=1,MAX(1,N(VLOOKUP(T460,Parameter!$I$27:$K$29,3,0)),H460,N(N460)),IF(N(Q460)&gt;0,Q460,MAX(1,H460)))))</f>
        <v>271</v>
      </c>
      <c r="BW460" s="53" t="n">
        <f aca="false">IF(BU460="LOSE",1,0)</f>
        <v>0</v>
      </c>
      <c r="BX460" s="53" t="n">
        <f aca="false">IF(AND(U460="",OR(P460="",P460="LOSE"),T460&lt;&gt;"",N(S460)&lt;=0,ISNUMBER(MATCH(T460,Parameter!$I$27:$I$29,0))),1,0)</f>
        <v>0</v>
      </c>
      <c r="BY460" s="53" t="n">
        <f aca="false">IF(CL460&gt;0,INDEX(Parameter!$H$5:$H$7,W460)/INDEX(Parameter!$E$5:$E$7,W460),IF(AND(BW460=0,N(IFERROR(VLOOKUP(BU460,'Gebinde-Kategorie'!$A$5:$N$45,14,0),0))&gt;0),VLOOKUP(BU460,'Gebinde-Kategorie'!$A$5:$N$45,14,0)*10+Parameter!$M$23,Parameter!$M$24))</f>
        <v>155</v>
      </c>
      <c r="BZ460" s="48" t="str">
        <f aca="false">IF(AND(Parameter!$B$19="Ja",E460&lt;&gt;"",ISNUMBER(MATCH(E460,Parameter!$I$35:$I$52,0))),VLOOKUP(E460,Parameter!$I$35:$J$52,2,0),IFERROR(VLOOKUP(D460,Parameter!$A$35:$C$64,2,0),"Nein"))</f>
        <v>2+3</v>
      </c>
      <c r="CA460" s="52" t="n">
        <f aca="false">IF(BW460=0,0,IF(N(S460)&gt;0,S460,IFERROR(VLOOKUP(D460,Parameter!$A$35:$C$64,3,0)+0,0)))</f>
        <v>0</v>
      </c>
      <c r="CB460" s="48" t="n">
        <f aca="false">IF(AA460&lt;&gt;"",AA460,Z460)</f>
        <v>3</v>
      </c>
      <c r="CC460" s="48" t="str">
        <f aca="false">IF(OR(CB460=1,CB460=2,CB460=3),IF(Parameter!$E$27="Ja","LIFT",IF(CB460=1,"L1","L23")),IF(CB460="Aussen","Aussen","-"))</f>
        <v>LIFT</v>
      </c>
      <c r="CD460" s="59" t="n">
        <f aca="false">IF(N(AB460)&gt;0,AB460,0)</f>
        <v>0</v>
      </c>
      <c r="CE460" s="53" t="n">
        <f aca="false">IF(ISNUMBER(AE460),1,0)</f>
        <v>0</v>
      </c>
      <c r="CF460" s="50" t="n">
        <f aca="false">N(AE460)</f>
        <v>0</v>
      </c>
      <c r="CG460" s="50" t="n">
        <f aca="false">N(M460)+N(N460)</f>
        <v>584</v>
      </c>
      <c r="CH460" s="50" t="n">
        <f aca="false">ROUNDUP(H460/BV460,0)</f>
        <v>3</v>
      </c>
      <c r="CI460" s="50" t="n">
        <f aca="false">ROUNDUP(CF460/BV460,0)</f>
        <v>0</v>
      </c>
      <c r="CJ460" s="53" t="n">
        <f aca="false">IF(BW460=1,0,IFERROR(VLOOKUP(BU460,'Gebinde-Kategorie'!$A$5:$N$45,5,0)+0,0))</f>
        <v>11</v>
      </c>
      <c r="CK460" s="53" t="n">
        <f aca="false">IFERROR(IF(OR(CB460=1,CB460=2,CB460=3),N(INDEX(Parameter!$I$5:$I$7,CB460)),0),0)</f>
        <v>0</v>
      </c>
      <c r="CL460" s="52" t="n">
        <f aca="false">IF(AND(Parameter!$B$21="Ja",ISNUMBER(W460),N(X460)&gt;0),IFERROR(N(INDEX(Parameter!$L$5:$L$7,W460))*INDEX(Parameter!$E$5:$E$7,W460)*X460/SUMIFS($X$7:$X$1843,$W$7:$W$1843,W460),0),0)</f>
        <v>0</v>
      </c>
    </row>
    <row r="461" customFormat="false" ht="15" hidden="false" customHeight="false" outlineLevel="0" collapsed="false">
      <c r="A461" s="48" t="s">
        <v>1042</v>
      </c>
      <c r="B461" s="48" t="s">
        <v>1043</v>
      </c>
      <c r="C461" s="48" t="s">
        <v>168</v>
      </c>
      <c r="D461" s="48" t="s">
        <v>188</v>
      </c>
      <c r="E461" s="48" t="s">
        <v>189</v>
      </c>
      <c r="F461" s="48" t="s">
        <v>222</v>
      </c>
      <c r="G461" s="49" t="n">
        <v>31.29</v>
      </c>
      <c r="H461" s="50" t="n">
        <f aca="false">MAX(0,IF(AND(Parameter!$B$21="Ja",ISNUMBER(Y461)),Y461,IF(Parameter!$B$20="Jahresanfang 2025 + Export",BO461+BN461,BN461)))</f>
        <v>184</v>
      </c>
      <c r="I461" s="50" t="n">
        <f aca="false">H461*G461</f>
        <v>5757.36</v>
      </c>
      <c r="J461" s="50" t="n">
        <f aca="false">BQ461*Parameter!$B$18</f>
        <v>202</v>
      </c>
      <c r="K461" s="51" t="n">
        <v>137</v>
      </c>
      <c r="L461" s="52" t="n">
        <v>1.47445255474453</v>
      </c>
      <c r="M461" s="50" t="n">
        <v>11</v>
      </c>
      <c r="N461" s="50" t="n">
        <v>150</v>
      </c>
      <c r="O461" s="53" t="n">
        <v>21</v>
      </c>
      <c r="P461" s="48" t="s">
        <v>230</v>
      </c>
      <c r="Q461" s="50" t="n">
        <v>228</v>
      </c>
      <c r="R461" s="53" t="n">
        <f aca="false">IF(BW461=1,0,IFERROR(VLOOKUP(BU461,'Gebinde-Kategorie'!$A$5:$N$45,13,0)+0,0))</f>
        <v>12</v>
      </c>
      <c r="S461" s="54"/>
      <c r="T461" s="55"/>
      <c r="U461" s="55"/>
      <c r="V461" s="55"/>
      <c r="W461" s="48"/>
      <c r="X461" s="50"/>
      <c r="Y461" s="50"/>
      <c r="Z461" s="48" t="n">
        <f aca="false">IF(A461="","",IF(AND(Parameter!$B$21="Ja",ISNUMBER(W461)),W461,IF(BZ461="2+3",IF(ISNUMBER(SEARCH("grosser Artikel",BR461)),2,IFERROR(VLOOKUP(BU461,Parameter!$F$35:$G$64,2,0),2)),IF(OR(BZ461="Nein",BZ461=""),"-",BZ461))))</f>
        <v>2</v>
      </c>
      <c r="AA461" s="55"/>
      <c r="AB461" s="56"/>
      <c r="AC461" s="50" t="n">
        <f aca="false">AT461</f>
        <v>228</v>
      </c>
      <c r="AD461" s="50" t="n">
        <f aca="false">MAX(AT461,H461)</f>
        <v>228</v>
      </c>
      <c r="AE461" s="57"/>
      <c r="AF461" s="50" t="n">
        <f aca="false">IF(LEFT(Cockpit!$C$5,1)="A",H461,IF(CE461=1,CF461,IF(LEFT(Cockpit!$C$5,1)="B",AK461,MAX(AK461,H461))))</f>
        <v>184</v>
      </c>
      <c r="AG461" s="50" t="n">
        <f aca="false">IF(BW461=1,0,ROUNDUP(AF461/BV461,0))</f>
        <v>1</v>
      </c>
      <c r="AH461" s="52" t="n">
        <f aca="false">IF(CL461&gt;0,CL461*MAX(1,AF461/X461),IF(BW461=1,IF(AF461&lt;=0,0,CA461*MAX(1,IF(H461&gt;0,AF461/H461,1))),IF(R461&gt;0,AG461/R461,0))/MAX(0.1,N(Parameter!$M$21)))</f>
        <v>0.0833333333333333</v>
      </c>
      <c r="AI461" s="50" t="n">
        <f aca="false">AH461*BY461</f>
        <v>28.75</v>
      </c>
      <c r="AJ461" s="50" t="n">
        <f aca="false">AF461*G461</f>
        <v>5757.36</v>
      </c>
      <c r="AK461" s="50" t="n">
        <f aca="false">ROUNDUP(MAX(J461/IF(CD461&gt;0,CD461,MAX(0.1,N(Cockpit!$C$6))),CG461)/BV461,0)*BV461</f>
        <v>228</v>
      </c>
      <c r="AL461" s="51" t="n">
        <f aca="false">IF(AI461&gt;0,J461/AI461,-1)</f>
        <v>7.02608695652174</v>
      </c>
      <c r="AM461" s="51" t="n">
        <f aca="false">IF(AND(OR(CC461="L1",CC461="L23",CC461="LIFT"),AI461&gt;0),SUMIFS($AI$7:$AI$1843,$CC$7:$CC$1843,CC461,$AL$7:$AL$1843,"&gt;"&amp;AL461)+SUMIFS($AI$7:$AI$1843,$CC$7:$CC$1843,CC461,$AL$7:$AL$1843,AL461,$BT$7:$BT$1843,"&lt;="&amp;BT461),"")</f>
        <v>3218.8869047619</v>
      </c>
      <c r="AN461" s="58" t="n">
        <f aca="false">IF(AM461="",0,MAX(0,MIN(1,(IF(CC461="L1",Parameter!$H$5,IF(CC461="L23",Parameter!$H$6+Parameter!$H$7,Parameter!$H$5+Parameter!$H$6+Parameter!$H$7))-(AM461-AI461))/AI461)))</f>
        <v>1</v>
      </c>
      <c r="AO461" s="50" t="n">
        <f aca="false">IF(LEFT(Cockpit!$I$5,1)="A",H461,IF(CE461=1,CF461,IF(LEFT(Cockpit!$I$5,1)="B",AT461,MAX(AT461,H461))))</f>
        <v>228</v>
      </c>
      <c r="AP461" s="50" t="n">
        <f aca="false">IF(BW461=1,0,ROUNDUP(AO461/BV461,0))</f>
        <v>1</v>
      </c>
      <c r="AQ461" s="52" t="n">
        <f aca="false">IF(CL461&gt;0,CL461*MAX(1,AO461/X461),IF(BW461=1,IF(AO461&lt;=0,0,CA461*MAX(1,IF(H461&gt;0,AO461/H461,1))),IF(R461&gt;0,AP461/R461,0))/MAX(0.1,N(Parameter!$M$21)))</f>
        <v>0.0833333333333333</v>
      </c>
      <c r="AR461" s="50" t="n">
        <f aca="false">AQ461*BY461</f>
        <v>28.75</v>
      </c>
      <c r="AS461" s="50" t="n">
        <f aca="false">AO461*G461</f>
        <v>7134.12</v>
      </c>
      <c r="AT461" s="50" t="n">
        <f aca="false">ROUNDUP(MAX(J461/IF(CD461&gt;0,CD461,MAX(0.1,N(Cockpit!$I$6))),CG461)/BV461,0)*BV461</f>
        <v>228</v>
      </c>
      <c r="AU461" s="51" t="n">
        <f aca="false">IF(AR461&gt;0,J461/AR461,-1)</f>
        <v>7.02608695652174</v>
      </c>
      <c r="AV461" s="51" t="n">
        <f aca="false">IF(AND(OR(CC461="L1",CC461="L23",CC461="LIFT"),AR461&gt;0),SUMIFS($AR$7:$AR$1843,$CC$7:$CC$1843,CC461,$AU$7:$AU$1843,"&gt;"&amp;AU461)+SUMIFS($AR$7:$AR$1843,$CC$7:$CC$1843,CC461,$AU$7:$AU$1843,AU461,$BT$7:$BT$1843,"&lt;="&amp;BT461),"")</f>
        <v>4401.24038461539</v>
      </c>
      <c r="AW461" s="58" t="n">
        <f aca="false">IF(AV461="",0,MAX(0,MIN(1,(IF(CC461="L1",Parameter!$H$5,IF(CC461="L23",Parameter!$H$6+Parameter!$H$7,Parameter!$H$5+Parameter!$H$6+Parameter!$H$7))-(AV461-AR461))/AR461)))</f>
        <v>1</v>
      </c>
      <c r="AX461" s="50" t="n">
        <f aca="false">IF(LEFT(Cockpit!$O$5,1)="A",H461,IF(CE461=1,CF461,IF(LEFT(Cockpit!$O$5,1)="B",BC461,MAX(BC461,H461))))</f>
        <v>228</v>
      </c>
      <c r="AY461" s="50" t="n">
        <f aca="false">IF(BW461=1,0,ROUNDUP(AX461/BV461,0))</f>
        <v>1</v>
      </c>
      <c r="AZ461" s="52" t="n">
        <f aca="false">IF(CL461&gt;0,CL461*MAX(1,AX461/X461),IF(BW461=1,IF(AX461&lt;=0,0,CA461*MAX(1,IF(H461&gt;0,AX461/H461,1))),IF(R461&gt;0,AY461/R461,0))/MAX(0.1,N(Parameter!$M$21)))</f>
        <v>0.0833333333333333</v>
      </c>
      <c r="BA461" s="50" t="n">
        <f aca="false">AZ461*BY461</f>
        <v>28.75</v>
      </c>
      <c r="BB461" s="50" t="n">
        <f aca="false">AX461*G461</f>
        <v>7134.12</v>
      </c>
      <c r="BC461" s="50" t="n">
        <f aca="false">ROUNDUP(MAX(J461/IF(CD461&gt;0,CD461,MAX(0.1,N(Cockpit!$O$6))),CG461)/BV461,0)*BV461</f>
        <v>228</v>
      </c>
      <c r="BD461" s="51" t="n">
        <f aca="false">IF(BA461&gt;0,J461/BA461,-1)</f>
        <v>7.02608695652174</v>
      </c>
      <c r="BE461" s="51" t="n">
        <f aca="false">IF(AND(OR(CC461="L1",CC461="L23",CC461="LIFT"),BA461&gt;0),SUMIFS($BA$7:$BA$1843,$CC$7:$CC$1843,CC461,$BD$7:$BD$1843,"&gt;"&amp;BD461)+SUMIFS($BA$7:$BA$1843,$CC$7:$CC$1843,CC461,$BD$7:$BD$1843,BD461,$BT$7:$BT$1843,"&lt;="&amp;BT461),"")</f>
        <v>4144.20512820513</v>
      </c>
      <c r="BF461" s="58" t="n">
        <f aca="false">IF(BE461="",0,MAX(0,MIN(1,(IF(CC461="L1",Parameter!$H$5,IF(CC461="L23",Parameter!$H$6+Parameter!$H$7,Parameter!$H$5+Parameter!$H$6+Parameter!$H$7))-(BE461-BA461))/BA461)))</f>
        <v>1</v>
      </c>
      <c r="BG461" s="48" t="str">
        <f aca="false">IF(AI461&lt;=0,"",IF(CC461="Aussen","Aussenlager",IF(CC461="-","Nicht im Lift",IF(AN461&gt;=1,"Lift",IF(AN461&lt;=0,"Aussenlager","teilweise")))))</f>
        <v>Lift</v>
      </c>
      <c r="BH461" s="48" t="str">
        <f aca="false">IF(AR461&lt;=0,"",IF(CC461="Aussen","Aussenlager",IF(CC461="-","Nicht im Lift",IF(AW461&gt;=1,"Lift",IF(AW461&lt;=0,"Aussenlager","teilweise")))))</f>
        <v>Lift</v>
      </c>
      <c r="BI461" s="48" t="str">
        <f aca="false">IF(BA461&lt;=0,"",IF(CC461="Aussen","Aussenlager",IF(CC461="-","Nicht im Lift",IF(BF461&gt;=1,"Lift",IF(BF461&lt;=0,"Aussenlager","teilweise")))))</f>
        <v>Lift</v>
      </c>
      <c r="BJ461" s="48" t="str">
        <f aca="false">IF(A461="","",IF(BS461=1,"Neu; ","")&amp;IF(AND(BS461=0,BN461&lt;0),"negativer Bestand (Export "&amp;BN461&amp;"); ","")&amp;IF(J461&lt;=0,"Kein Verbrauch; ","")&amp;IF(CL461&gt;0,"Lift "&amp;W461&amp;" lt. Liftbericht (Fach "&amp;X461&amp;" Stk); ",IF(BX461=1,"Gebinde geschätzt ("&amp;T461&amp;"); ",IF(BW461=1,"Lose – Tablare geschätzt; ","")))&amp;IF(H461&gt;AT461,"Überbestand "&amp;ROUND(H461-AT461,0)&amp;" Stk / CHF "&amp;ROUND((H461-AT461)*G461,0)&amp;"; ","")&amp;IF(AND(CE461=1,CF461&lt;CG461),"MAX &lt; MB+LG; ","")&amp;IF(AND(CK461&gt;0,CJ461*10&gt;CK461),"zu hoch für Tablar; ","")&amp;IF(AND(BS461=0,OR(CE461=1,AA461&lt;&gt;"",U461&lt;&gt;"",V461&lt;&gt;"",AB461&lt;&gt;"")),"manuell übersteuert; ","")&amp;IF(AND(BW461=0,R461=0),"Gebinde unbekannt / Stellmass fehlt; ","")&amp;IF(AND(BW461=0,N(V461)&lt;=0,N(Q461)&lt;=0),"Menge pro Gebinde fehlt (Ist = 1 Gebinde); ","")&amp;BR461)</f>
        <v/>
      </c>
      <c r="BK461" s="48"/>
      <c r="BL461" s="48"/>
      <c r="BM461" s="55"/>
      <c r="BN461" s="50" t="n">
        <v>25</v>
      </c>
      <c r="BO461" s="50" t="n">
        <v>159</v>
      </c>
      <c r="BP461" s="49" t="n">
        <v>57.6100000000038</v>
      </c>
      <c r="BQ461" s="50" t="n">
        <v>202</v>
      </c>
      <c r="BR461" s="48"/>
      <c r="BS461" s="53" t="n">
        <v>0</v>
      </c>
      <c r="BT461" s="53" t="n">
        <v>461</v>
      </c>
      <c r="BU461" s="48" t="str">
        <f aca="false">IF(U461&lt;&gt;"",UPPER(TRIM(U461)),IF(BX461=1,UPPER(VLOOKUP(T461,Parameter!$I$27:$K$29,2,0)),IF(P461="","LOSE",P461)))</f>
        <v>S63</v>
      </c>
      <c r="BV461" s="50" t="n">
        <f aca="false">IF(BU461="LOSE",1,IF(N(V461)&gt;0,V461,IF(BX461=1,MAX(1,N(VLOOKUP(T461,Parameter!$I$27:$K$29,3,0)),H461,N(N461)),IF(N(Q461)&gt;0,Q461,MAX(1,H461)))))</f>
        <v>228</v>
      </c>
      <c r="BW461" s="53" t="n">
        <f aca="false">IF(BU461="LOSE",1,0)</f>
        <v>0</v>
      </c>
      <c r="BX461" s="53" t="n">
        <f aca="false">IF(AND(U461="",OR(P461="",P461="LOSE"),T461&lt;&gt;"",N(S461)&lt;=0,ISNUMBER(MATCH(T461,Parameter!$I$27:$I$29,0))),1,0)</f>
        <v>0</v>
      </c>
      <c r="BY461" s="53" t="n">
        <f aca="false">IF(CL461&gt;0,INDEX(Parameter!$H$5:$H$7,W461)/INDEX(Parameter!$E$5:$E$7,W461),IF(AND(BW461=0,N(IFERROR(VLOOKUP(BU461,'Gebinde-Kategorie'!$A$5:$N$45,14,0),0))&gt;0),VLOOKUP(BU461,'Gebinde-Kategorie'!$A$5:$N$45,14,0)*10+Parameter!$M$23,Parameter!$M$24))</f>
        <v>345</v>
      </c>
      <c r="BZ461" s="48" t="str">
        <f aca="false">IF(AND(Parameter!$B$19="Ja",E461&lt;&gt;"",ISNUMBER(MATCH(E461,Parameter!$I$35:$I$52,0))),VLOOKUP(E461,Parameter!$I$35:$J$52,2,0),IFERROR(VLOOKUP(D461,Parameter!$A$35:$C$64,2,0),"Nein"))</f>
        <v>2+3</v>
      </c>
      <c r="CA461" s="52" t="n">
        <f aca="false">IF(BW461=0,0,IF(N(S461)&gt;0,S461,IFERROR(VLOOKUP(D461,Parameter!$A$35:$C$64,3,0)+0,0)))</f>
        <v>0</v>
      </c>
      <c r="CB461" s="48" t="n">
        <f aca="false">IF(AA461&lt;&gt;"",AA461,Z461)</f>
        <v>2</v>
      </c>
      <c r="CC461" s="48" t="str">
        <f aca="false">IF(OR(CB461=1,CB461=2,CB461=3),IF(Parameter!$E$27="Ja","LIFT",IF(CB461=1,"L1","L23")),IF(CB461="Aussen","Aussen","-"))</f>
        <v>LIFT</v>
      </c>
      <c r="CD461" s="59" t="n">
        <f aca="false">IF(N(AB461)&gt;0,AB461,0)</f>
        <v>0</v>
      </c>
      <c r="CE461" s="53" t="n">
        <f aca="false">IF(ISNUMBER(AE461),1,0)</f>
        <v>0</v>
      </c>
      <c r="CF461" s="50" t="n">
        <f aca="false">N(AE461)</f>
        <v>0</v>
      </c>
      <c r="CG461" s="50" t="n">
        <f aca="false">N(M461)+N(N461)</f>
        <v>161</v>
      </c>
      <c r="CH461" s="50" t="n">
        <f aca="false">ROUNDUP(H461/BV461,0)</f>
        <v>1</v>
      </c>
      <c r="CI461" s="50" t="n">
        <f aca="false">ROUNDUP(CF461/BV461,0)</f>
        <v>0</v>
      </c>
      <c r="CJ461" s="53" t="n">
        <f aca="false">IF(BW461=1,0,IFERROR(VLOOKUP(BU461,'Gebinde-Kategorie'!$A$5:$N$45,5,0)+0,0))</f>
        <v>31</v>
      </c>
      <c r="CK461" s="53" t="n">
        <f aca="false">IFERROR(IF(OR(CB461=1,CB461=2,CB461=3),N(INDEX(Parameter!$I$5:$I$7,CB461)),0),0)</f>
        <v>0</v>
      </c>
      <c r="CL461" s="52" t="n">
        <f aca="false">IF(AND(Parameter!$B$21="Ja",ISNUMBER(W461),N(X461)&gt;0),IFERROR(N(INDEX(Parameter!$L$5:$L$7,W461))*INDEX(Parameter!$E$5:$E$7,W461)*X461/SUMIFS($X$7:$X$1843,$W$7:$W$1843,W461),0),0)</f>
        <v>0</v>
      </c>
    </row>
    <row r="462" customFormat="false" ht="15" hidden="false" customHeight="false" outlineLevel="0" collapsed="false">
      <c r="A462" s="48" t="s">
        <v>1044</v>
      </c>
      <c r="B462" s="48" t="s">
        <v>1045</v>
      </c>
      <c r="C462" s="48" t="s">
        <v>168</v>
      </c>
      <c r="D462" s="48" t="s">
        <v>188</v>
      </c>
      <c r="E462" s="48" t="s">
        <v>189</v>
      </c>
      <c r="F462" s="48" t="s">
        <v>222</v>
      </c>
      <c r="G462" s="49" t="n">
        <v>42.77</v>
      </c>
      <c r="H462" s="50" t="n">
        <f aca="false">MAX(0,IF(AND(Parameter!$B$21="Ja",ISNUMBER(Y462)),Y462,IF(Parameter!$B$20="Jahresanfang 2025 + Export",BO462+BN462,BN462)))</f>
        <v>8</v>
      </c>
      <c r="I462" s="50" t="n">
        <f aca="false">H462*G462</f>
        <v>342.16</v>
      </c>
      <c r="J462" s="50" t="n">
        <f aca="false">BQ462*Parameter!$B$18</f>
        <v>3</v>
      </c>
      <c r="K462" s="51" t="n">
        <v>7.5</v>
      </c>
      <c r="L462" s="52" t="n">
        <v>0.4</v>
      </c>
      <c r="M462" s="50" t="n">
        <v>0</v>
      </c>
      <c r="N462" s="50" t="n">
        <v>5</v>
      </c>
      <c r="O462" s="53" t="n">
        <v>21</v>
      </c>
      <c r="P462" s="48" t="s">
        <v>425</v>
      </c>
      <c r="Q462" s="50" t="n">
        <v>11</v>
      </c>
      <c r="R462" s="53" t="n">
        <f aca="false">IF(BW462=1,0,IFERROR(VLOOKUP(BU462,'Gebinde-Kategorie'!$A$5:$N$45,13,0)+0,0))</f>
        <v>104</v>
      </c>
      <c r="S462" s="54"/>
      <c r="T462" s="55"/>
      <c r="U462" s="55"/>
      <c r="V462" s="55"/>
      <c r="W462" s="48"/>
      <c r="X462" s="50"/>
      <c r="Y462" s="50"/>
      <c r="Z462" s="48" t="n">
        <f aca="false">IF(A462="","",IF(AND(Parameter!$B$21="Ja",ISNUMBER(W462)),W462,IF(BZ462="2+3",IF(ISNUMBER(SEARCH("grosser Artikel",BR462)),2,IFERROR(VLOOKUP(BU462,Parameter!$F$35:$G$64,2,0),2)),IF(OR(BZ462="Nein",BZ462=""),"-",BZ462))))</f>
        <v>3</v>
      </c>
      <c r="AA462" s="55"/>
      <c r="AB462" s="56"/>
      <c r="AC462" s="50" t="n">
        <f aca="false">AT462</f>
        <v>11</v>
      </c>
      <c r="AD462" s="50" t="n">
        <f aca="false">MAX(AT462,H462)</f>
        <v>11</v>
      </c>
      <c r="AE462" s="57"/>
      <c r="AF462" s="50" t="n">
        <f aca="false">IF(LEFT(Cockpit!$C$5,1)="A",H462,IF(CE462=1,CF462,IF(LEFT(Cockpit!$C$5,1)="B",AK462,MAX(AK462,H462))))</f>
        <v>8</v>
      </c>
      <c r="AG462" s="50" t="n">
        <f aca="false">IF(BW462=1,0,ROUNDUP(AF462/BV462,0))</f>
        <v>1</v>
      </c>
      <c r="AH462" s="52" t="n">
        <f aca="false">IF(CL462&gt;0,CL462*MAX(1,AF462/X462),IF(BW462=1,IF(AF462&lt;=0,0,CA462*MAX(1,IF(H462&gt;0,AF462/H462,1))),IF(R462&gt;0,AG462/R462,0))/MAX(0.1,N(Parameter!$M$21)))</f>
        <v>0.00961538461538462</v>
      </c>
      <c r="AI462" s="50" t="n">
        <f aca="false">AH462*BY462</f>
        <v>1.49038461538462</v>
      </c>
      <c r="AJ462" s="50" t="n">
        <f aca="false">AF462*G462</f>
        <v>342.16</v>
      </c>
      <c r="AK462" s="50" t="n">
        <f aca="false">ROUNDUP(MAX(J462/IF(CD462&gt;0,CD462,MAX(0.1,N(Cockpit!$C$6))),CG462)/BV462,0)*BV462</f>
        <v>11</v>
      </c>
      <c r="AL462" s="51" t="n">
        <f aca="false">IF(AI462&gt;0,J462/AI462,-1)</f>
        <v>2.01290322580645</v>
      </c>
      <c r="AM462" s="51" t="n">
        <f aca="false">IF(AND(OR(CC462="L1",CC462="L23",CC462="LIFT"),AI462&gt;0),SUMIFS($AI$7:$AI$1843,$CC$7:$CC$1843,CC462,$AL$7:$AL$1843,"&gt;"&amp;AL462)+SUMIFS($AI$7:$AI$1843,$CC$7:$CC$1843,CC462,$AL$7:$AL$1843,AL462,$BT$7:$BT$1843,"&lt;="&amp;BT462),"")</f>
        <v>5781.90750915751</v>
      </c>
      <c r="AN462" s="58" t="n">
        <f aca="false">IF(AM462="",0,MAX(0,MIN(1,(IF(CC462="L1",Parameter!$H$5,IF(CC462="L23",Parameter!$H$6+Parameter!$H$7,Parameter!$H$5+Parameter!$H$6+Parameter!$H$7))-(AM462-AI462))/AI462)))</f>
        <v>1</v>
      </c>
      <c r="AO462" s="50" t="n">
        <f aca="false">IF(LEFT(Cockpit!$I$5,1)="A",H462,IF(CE462=1,CF462,IF(LEFT(Cockpit!$I$5,1)="B",AT462,MAX(AT462,H462))))</f>
        <v>11</v>
      </c>
      <c r="AP462" s="50" t="n">
        <f aca="false">IF(BW462=1,0,ROUNDUP(AO462/BV462,0))</f>
        <v>1</v>
      </c>
      <c r="AQ462" s="52" t="n">
        <f aca="false">IF(CL462&gt;0,CL462*MAX(1,AO462/X462),IF(BW462=1,IF(AO462&lt;=0,0,CA462*MAX(1,IF(H462&gt;0,AO462/H462,1))),IF(R462&gt;0,AP462/R462,0))/MAX(0.1,N(Parameter!$M$21)))</f>
        <v>0.00961538461538462</v>
      </c>
      <c r="AR462" s="50" t="n">
        <f aca="false">AQ462*BY462</f>
        <v>1.49038461538462</v>
      </c>
      <c r="AS462" s="50" t="n">
        <f aca="false">AO462*G462</f>
        <v>470.47</v>
      </c>
      <c r="AT462" s="50" t="n">
        <f aca="false">ROUNDUP(MAX(J462/IF(CD462&gt;0,CD462,MAX(0.1,N(Cockpit!$I$6))),CG462)/BV462,0)*BV462</f>
        <v>11</v>
      </c>
      <c r="AU462" s="51" t="n">
        <f aca="false">IF(AR462&gt;0,J462/AR462,-1)</f>
        <v>2.01290322580645</v>
      </c>
      <c r="AV462" s="51" t="n">
        <f aca="false">IF(AND(OR(CC462="L1",CC462="L23",CC462="LIFT"),AR462&gt;0),SUMIFS($AR$7:$AR$1843,$CC$7:$CC$1843,CC462,$AU$7:$AU$1843,"&gt;"&amp;AU462)+SUMIFS($AR$7:$AR$1843,$CC$7:$CC$1843,CC462,$AU$7:$AU$1843,AU462,$BT$7:$BT$1843,"&lt;="&amp;BT462),"")</f>
        <v>7691.59981684982</v>
      </c>
      <c r="AW462" s="58" t="n">
        <f aca="false">IF(AV462="",0,MAX(0,MIN(1,(IF(CC462="L1",Parameter!$H$5,IF(CC462="L23",Parameter!$H$6+Parameter!$H$7,Parameter!$H$5+Parameter!$H$6+Parameter!$H$7))-(AV462-AR462))/AR462)))</f>
        <v>1</v>
      </c>
      <c r="AX462" s="50" t="n">
        <f aca="false">IF(LEFT(Cockpit!$O$5,1)="A",H462,IF(CE462=1,CF462,IF(LEFT(Cockpit!$O$5,1)="B",BC462,MAX(BC462,H462))))</f>
        <v>11</v>
      </c>
      <c r="AY462" s="50" t="n">
        <f aca="false">IF(BW462=1,0,ROUNDUP(AX462/BV462,0))</f>
        <v>1</v>
      </c>
      <c r="AZ462" s="52" t="n">
        <f aca="false">IF(CL462&gt;0,CL462*MAX(1,AX462/X462),IF(BW462=1,IF(AX462&lt;=0,0,CA462*MAX(1,IF(H462&gt;0,AX462/H462,1))),IF(R462&gt;0,AY462/R462,0))/MAX(0.1,N(Parameter!$M$21)))</f>
        <v>0.00961538461538462</v>
      </c>
      <c r="BA462" s="50" t="n">
        <f aca="false">AZ462*BY462</f>
        <v>1.49038461538462</v>
      </c>
      <c r="BB462" s="50" t="n">
        <f aca="false">AX462*G462</f>
        <v>470.47</v>
      </c>
      <c r="BC462" s="50" t="n">
        <f aca="false">ROUNDUP(MAX(J462/IF(CD462&gt;0,CD462,MAX(0.1,N(Cockpit!$O$6))),CG462)/BV462,0)*BV462</f>
        <v>11</v>
      </c>
      <c r="BD462" s="51" t="n">
        <f aca="false">IF(BA462&gt;0,J462/BA462,-1)</f>
        <v>2.01290322580645</v>
      </c>
      <c r="BE462" s="51" t="n">
        <f aca="false">IF(AND(OR(CC462="L1",CC462="L23",CC462="LIFT"),BA462&gt;0),SUMIFS($BA$7:$BA$1843,$CC$7:$CC$1843,CC462,$BD$7:$BD$1843,"&gt;"&amp;BD462)+SUMIFS($BA$7:$BA$1843,$CC$7:$CC$1843,CC462,$BD$7:$BD$1843,BD462,$BT$7:$BT$1843,"&lt;="&amp;BT462),"")</f>
        <v>7590.5902014652</v>
      </c>
      <c r="BF462" s="58" t="n">
        <f aca="false">IF(BE462="",0,MAX(0,MIN(1,(IF(CC462="L1",Parameter!$H$5,IF(CC462="L23",Parameter!$H$6+Parameter!$H$7,Parameter!$H$5+Parameter!$H$6+Parameter!$H$7))-(BE462-BA462))/BA462)))</f>
        <v>1</v>
      </c>
      <c r="BG462" s="48" t="str">
        <f aca="false">IF(AI462&lt;=0,"",IF(CC462="Aussen","Aussenlager",IF(CC462="-","Nicht im Lift",IF(AN462&gt;=1,"Lift",IF(AN462&lt;=0,"Aussenlager","teilweise")))))</f>
        <v>Lift</v>
      </c>
      <c r="BH462" s="48" t="str">
        <f aca="false">IF(AR462&lt;=0,"",IF(CC462="Aussen","Aussenlager",IF(CC462="-","Nicht im Lift",IF(AW462&gt;=1,"Lift",IF(AW462&lt;=0,"Aussenlager","teilweise")))))</f>
        <v>Lift</v>
      </c>
      <c r="BI462" s="48" t="str">
        <f aca="false">IF(BA462&lt;=0,"",IF(CC462="Aussen","Aussenlager",IF(CC462="-","Nicht im Lift",IF(BF462&gt;=1,"Lift",IF(BF462&lt;=0,"Aussenlager","teilweise")))))</f>
        <v>Lift</v>
      </c>
      <c r="BJ462" s="48" t="str">
        <f aca="false">IF(A462="","",IF(BS462=1,"Neu; ","")&amp;IF(AND(BS462=0,BN462&lt;0),"negativer Bestand (Export "&amp;BN462&amp;"); ","")&amp;IF(J462&lt;=0,"Kein Verbrauch; ","")&amp;IF(CL462&gt;0,"Lift "&amp;W462&amp;" lt. Liftbericht (Fach "&amp;X462&amp;" Stk); ",IF(BX462=1,"Gebinde geschätzt ("&amp;T462&amp;"); ",IF(BW462=1,"Lose – Tablare geschätzt; ","")))&amp;IF(H462&gt;AT462,"Überbestand "&amp;ROUND(H462-AT462,0)&amp;" Stk / CHF "&amp;ROUND((H462-AT462)*G462,0)&amp;"; ","")&amp;IF(AND(CE462=1,CF462&lt;CG462),"MAX &lt; MB+LG; ","")&amp;IF(AND(CK462&gt;0,CJ462*10&gt;CK462),"zu hoch für Tablar; ","")&amp;IF(AND(BS462=0,OR(CE462=1,AA462&lt;&gt;"",U462&lt;&gt;"",V462&lt;&gt;"",AB462&lt;&gt;"")),"manuell übersteuert; ","")&amp;IF(AND(BW462=0,R462=0),"Gebinde unbekannt / Stellmass fehlt; ","")&amp;IF(AND(BW462=0,N(V462)&lt;=0,N(Q462)&lt;=0),"Menge pro Gebinde fehlt (Ist = 1 Gebinde); ","")&amp;BR462)</f>
        <v>Neu</v>
      </c>
      <c r="BK462" s="48"/>
      <c r="BL462" s="48"/>
      <c r="BM462" s="55"/>
      <c r="BN462" s="50" t="n">
        <v>1</v>
      </c>
      <c r="BO462" s="50" t="n">
        <v>7</v>
      </c>
      <c r="BP462" s="49" t="n">
        <v>57.47</v>
      </c>
      <c r="BQ462" s="50" t="n">
        <v>3</v>
      </c>
      <c r="BR462" s="48" t="s">
        <v>630</v>
      </c>
      <c r="BS462" s="53" t="n">
        <v>0</v>
      </c>
      <c r="BT462" s="53" t="n">
        <v>462</v>
      </c>
      <c r="BU462" s="48" t="str">
        <f aca="false">IF(U462&lt;&gt;"",UPPER(TRIM(U462)),IF(BX462=1,UPPER(VLOOKUP(T462,Parameter!$I$27:$K$29,2,0)),IF(P462="","LOSE",P462)))</f>
        <v>S32</v>
      </c>
      <c r="BV462" s="50" t="n">
        <f aca="false">IF(BU462="LOSE",1,IF(N(V462)&gt;0,V462,IF(BX462=1,MAX(1,N(VLOOKUP(T462,Parameter!$I$27:$K$29,3,0)),H462,N(N462)),IF(N(Q462)&gt;0,Q462,MAX(1,H462)))))</f>
        <v>11</v>
      </c>
      <c r="BW462" s="53" t="n">
        <f aca="false">IF(BU462="LOSE",1,0)</f>
        <v>0</v>
      </c>
      <c r="BX462" s="53" t="n">
        <f aca="false">IF(AND(U462="",OR(P462="",P462="LOSE"),T462&lt;&gt;"",N(S462)&lt;=0,ISNUMBER(MATCH(T462,Parameter!$I$27:$I$29,0))),1,0)</f>
        <v>0</v>
      </c>
      <c r="BY462" s="53" t="n">
        <f aca="false">IF(CL462&gt;0,INDEX(Parameter!$H$5:$H$7,W462)/INDEX(Parameter!$E$5:$E$7,W462),IF(AND(BW462=0,N(IFERROR(VLOOKUP(BU462,'Gebinde-Kategorie'!$A$5:$N$45,14,0),0))&gt;0),VLOOKUP(BU462,'Gebinde-Kategorie'!$A$5:$N$45,14,0)*10+Parameter!$M$23,Parameter!$M$24))</f>
        <v>155</v>
      </c>
      <c r="BZ462" s="48" t="str">
        <f aca="false">IF(AND(Parameter!$B$19="Ja",E462&lt;&gt;"",ISNUMBER(MATCH(E462,Parameter!$I$35:$I$52,0))),VLOOKUP(E462,Parameter!$I$35:$J$52,2,0),IFERROR(VLOOKUP(D462,Parameter!$A$35:$C$64,2,0),"Nein"))</f>
        <v>2+3</v>
      </c>
      <c r="CA462" s="52" t="n">
        <f aca="false">IF(BW462=0,0,IF(N(S462)&gt;0,S462,IFERROR(VLOOKUP(D462,Parameter!$A$35:$C$64,3,0)+0,0)))</f>
        <v>0</v>
      </c>
      <c r="CB462" s="48" t="n">
        <f aca="false">IF(AA462&lt;&gt;"",AA462,Z462)</f>
        <v>3</v>
      </c>
      <c r="CC462" s="48" t="str">
        <f aca="false">IF(OR(CB462=1,CB462=2,CB462=3),IF(Parameter!$E$27="Ja","LIFT",IF(CB462=1,"L1","L23")),IF(CB462="Aussen","Aussen","-"))</f>
        <v>LIFT</v>
      </c>
      <c r="CD462" s="59" t="n">
        <f aca="false">IF(N(AB462)&gt;0,AB462,0)</f>
        <v>0</v>
      </c>
      <c r="CE462" s="53" t="n">
        <f aca="false">IF(ISNUMBER(AE462),1,0)</f>
        <v>0</v>
      </c>
      <c r="CF462" s="50" t="n">
        <f aca="false">N(AE462)</f>
        <v>0</v>
      </c>
      <c r="CG462" s="50" t="n">
        <f aca="false">N(M462)+N(N462)</f>
        <v>5</v>
      </c>
      <c r="CH462" s="50" t="n">
        <f aca="false">ROUNDUP(H462/BV462,0)</f>
        <v>1</v>
      </c>
      <c r="CI462" s="50" t="n">
        <f aca="false">ROUNDUP(CF462/BV462,0)</f>
        <v>0</v>
      </c>
      <c r="CJ462" s="53" t="n">
        <f aca="false">IF(BW462=1,0,IFERROR(VLOOKUP(BU462,'Gebinde-Kategorie'!$A$5:$N$45,5,0)+0,0))</f>
        <v>8</v>
      </c>
      <c r="CK462" s="53" t="n">
        <f aca="false">IFERROR(IF(OR(CB462=1,CB462=2,CB462=3),N(INDEX(Parameter!$I$5:$I$7,CB462)),0),0)</f>
        <v>0</v>
      </c>
      <c r="CL462" s="52" t="n">
        <f aca="false">IF(AND(Parameter!$B$21="Ja",ISNUMBER(W462),N(X462)&gt;0),IFERROR(N(INDEX(Parameter!$L$5:$L$7,W462))*INDEX(Parameter!$E$5:$E$7,W462)*X462/SUMIFS($X$7:$X$1843,$W$7:$W$1843,W462),0),0)</f>
        <v>0</v>
      </c>
    </row>
    <row r="463" customFormat="false" ht="15" hidden="false" customHeight="false" outlineLevel="0" collapsed="false">
      <c r="A463" s="48" t="s">
        <v>1046</v>
      </c>
      <c r="B463" s="48" t="s">
        <v>552</v>
      </c>
      <c r="C463" s="48" t="s">
        <v>168</v>
      </c>
      <c r="D463" s="48" t="s">
        <v>188</v>
      </c>
      <c r="E463" s="48"/>
      <c r="F463" s="48" t="s">
        <v>222</v>
      </c>
      <c r="G463" s="49" t="n">
        <v>57.39</v>
      </c>
      <c r="H463" s="50" t="n">
        <f aca="false">MAX(0,IF(AND(Parameter!$B$21="Ja",ISNUMBER(Y463)),Y463,IF(Parameter!$B$20="Jahresanfang 2025 + Export",BO463+BN463,BN463)))</f>
        <v>3</v>
      </c>
      <c r="I463" s="50" t="n">
        <f aca="false">H463*G463</f>
        <v>172.17</v>
      </c>
      <c r="J463" s="50" t="n">
        <f aca="false">BQ463*Parameter!$B$18</f>
        <v>1</v>
      </c>
      <c r="K463" s="51" t="n">
        <v>2.5</v>
      </c>
      <c r="L463" s="52" t="n">
        <v>0.4</v>
      </c>
      <c r="M463" s="50" t="n">
        <v>0</v>
      </c>
      <c r="N463" s="50" t="n">
        <v>1</v>
      </c>
      <c r="O463" s="53" t="n">
        <v>28</v>
      </c>
      <c r="P463" s="48" t="s">
        <v>332</v>
      </c>
      <c r="Q463" s="50" t="n">
        <v>3</v>
      </c>
      <c r="R463" s="53" t="n">
        <f aca="false">IF(BW463=1,0,IFERROR(VLOOKUP(BU463,'Gebinde-Kategorie'!$A$5:$N$45,13,0)+0,0))</f>
        <v>52</v>
      </c>
      <c r="S463" s="54"/>
      <c r="T463" s="55"/>
      <c r="U463" s="55"/>
      <c r="V463" s="55"/>
      <c r="W463" s="48"/>
      <c r="X463" s="50"/>
      <c r="Y463" s="50"/>
      <c r="Z463" s="48" t="n">
        <f aca="false">IF(A463="","",IF(AND(Parameter!$B$21="Ja",ISNUMBER(W463)),W463,IF(BZ463="2+3",IF(ISNUMBER(SEARCH("grosser Artikel",BR463)),2,IFERROR(VLOOKUP(BU463,Parameter!$F$35:$G$64,2,0),2)),IF(OR(BZ463="Nein",BZ463=""),"-",BZ463))))</f>
        <v>3</v>
      </c>
      <c r="AA463" s="55"/>
      <c r="AB463" s="56"/>
      <c r="AC463" s="50" t="n">
        <f aca="false">AT463</f>
        <v>3</v>
      </c>
      <c r="AD463" s="50" t="n">
        <f aca="false">MAX(AT463,H463)</f>
        <v>3</v>
      </c>
      <c r="AE463" s="57"/>
      <c r="AF463" s="50" t="n">
        <f aca="false">IF(LEFT(Cockpit!$C$5,1)="A",H463,IF(CE463=1,CF463,IF(LEFT(Cockpit!$C$5,1)="B",AK463,MAX(AK463,H463))))</f>
        <v>3</v>
      </c>
      <c r="AG463" s="50" t="n">
        <f aca="false">IF(BW463=1,0,ROUNDUP(AF463/BV463,0))</f>
        <v>1</v>
      </c>
      <c r="AH463" s="52" t="n">
        <f aca="false">IF(CL463&gt;0,CL463*MAX(1,AF463/X463),IF(BW463=1,IF(AF463&lt;=0,0,CA463*MAX(1,IF(H463&gt;0,AF463/H463,1))),IF(R463&gt;0,AG463/R463,0))/MAX(0.1,N(Parameter!$M$21)))</f>
        <v>0.0192307692307692</v>
      </c>
      <c r="AI463" s="50" t="n">
        <f aca="false">AH463*BY463</f>
        <v>2.98076923076923</v>
      </c>
      <c r="AJ463" s="50" t="n">
        <f aca="false">AF463*G463</f>
        <v>172.17</v>
      </c>
      <c r="AK463" s="50" t="n">
        <f aca="false">ROUNDUP(MAX(J463/IF(CD463&gt;0,CD463,MAX(0.1,N(Cockpit!$C$6))),CG463)/BV463,0)*BV463</f>
        <v>3</v>
      </c>
      <c r="AL463" s="51" t="n">
        <f aca="false">IF(AI463&gt;0,J463/AI463,-1)</f>
        <v>0.335483870967742</v>
      </c>
      <c r="AM463" s="51" t="n">
        <f aca="false">IF(AND(OR(CC463="L1",CC463="L23",CC463="LIFT"),AI463&gt;0),SUMIFS($AI$7:$AI$1843,$CC$7:$CC$1843,CC463,$AL$7:$AL$1843,"&gt;"&amp;AL463)+SUMIFS($AI$7:$AI$1843,$CC$7:$CC$1843,CC463,$AL$7:$AL$1843,AL463,$BT$7:$BT$1843,"&lt;="&amp;BT463),"")</f>
        <v>11180.0578087167</v>
      </c>
      <c r="AN463" s="58" t="n">
        <f aca="false">IF(AM463="",0,MAX(0,MIN(1,(IF(CC463="L1",Parameter!$H$5,IF(CC463="L23",Parameter!$H$6+Parameter!$H$7,Parameter!$H$5+Parameter!$H$6+Parameter!$H$7))-(AM463-AI463))/AI463)))</f>
        <v>1</v>
      </c>
      <c r="AO463" s="50" t="n">
        <f aca="false">IF(LEFT(Cockpit!$I$5,1)="A",H463,IF(CE463=1,CF463,IF(LEFT(Cockpit!$I$5,1)="B",AT463,MAX(AT463,H463))))</f>
        <v>3</v>
      </c>
      <c r="AP463" s="50" t="n">
        <f aca="false">IF(BW463=1,0,ROUNDUP(AO463/BV463,0))</f>
        <v>1</v>
      </c>
      <c r="AQ463" s="52" t="n">
        <f aca="false">IF(CL463&gt;0,CL463*MAX(1,AO463/X463),IF(BW463=1,IF(AO463&lt;=0,0,CA463*MAX(1,IF(H463&gt;0,AO463/H463,1))),IF(R463&gt;0,AP463/R463,0))/MAX(0.1,N(Parameter!$M$21)))</f>
        <v>0.0192307692307692</v>
      </c>
      <c r="AR463" s="50" t="n">
        <f aca="false">AQ463*BY463</f>
        <v>2.98076923076923</v>
      </c>
      <c r="AS463" s="50" t="n">
        <f aca="false">AO463*G463</f>
        <v>172.17</v>
      </c>
      <c r="AT463" s="50" t="n">
        <f aca="false">ROUNDUP(MAX(J463/IF(CD463&gt;0,CD463,MAX(0.1,N(Cockpit!$I$6))),CG463)/BV463,0)*BV463</f>
        <v>3</v>
      </c>
      <c r="AU463" s="51" t="n">
        <f aca="false">IF(AR463&gt;0,J463/AR463,-1)</f>
        <v>0.335483870967742</v>
      </c>
      <c r="AV463" s="51" t="n">
        <f aca="false">IF(AND(OR(CC463="L1",CC463="L23",CC463="LIFT"),AR463&gt;0),SUMIFS($AR$7:$AR$1843,$CC$7:$CC$1843,CC463,$AU$7:$AU$1843,"&gt;"&amp;AU463)+SUMIFS($AR$7:$AR$1843,$CC$7:$CC$1843,CC463,$AU$7:$AU$1843,AU463,$BT$7:$BT$1843,"&lt;="&amp;BT463),"")</f>
        <v>16293.8328754579</v>
      </c>
      <c r="AW463" s="58" t="n">
        <f aca="false">IF(AV463="",0,MAX(0,MIN(1,(IF(CC463="L1",Parameter!$H$5,IF(CC463="L23",Parameter!$H$6+Parameter!$H$7,Parameter!$H$5+Parameter!$H$6+Parameter!$H$7))-(AV463-AR463))/AR463)))</f>
        <v>1</v>
      </c>
      <c r="AX463" s="50" t="n">
        <f aca="false">IF(LEFT(Cockpit!$O$5,1)="A",H463,IF(CE463=1,CF463,IF(LEFT(Cockpit!$O$5,1)="B",BC463,MAX(BC463,H463))))</f>
        <v>3</v>
      </c>
      <c r="AY463" s="50" t="n">
        <f aca="false">IF(BW463=1,0,ROUNDUP(AX463/BV463,0))</f>
        <v>1</v>
      </c>
      <c r="AZ463" s="52" t="n">
        <f aca="false">IF(CL463&gt;0,CL463*MAX(1,AX463/X463),IF(BW463=1,IF(AX463&lt;=0,0,CA463*MAX(1,IF(H463&gt;0,AX463/H463,1))),IF(R463&gt;0,AY463/R463,0))/MAX(0.1,N(Parameter!$M$21)))</f>
        <v>0.0192307692307692</v>
      </c>
      <c r="BA463" s="50" t="n">
        <f aca="false">AZ463*BY463</f>
        <v>2.98076923076923</v>
      </c>
      <c r="BB463" s="50" t="n">
        <f aca="false">AX463*G463</f>
        <v>172.17</v>
      </c>
      <c r="BC463" s="50" t="n">
        <f aca="false">ROUNDUP(MAX(J463/IF(CD463&gt;0,CD463,MAX(0.1,N(Cockpit!$O$6))),CG463)/BV463,0)*BV463</f>
        <v>3</v>
      </c>
      <c r="BD463" s="51" t="n">
        <f aca="false">IF(BA463&gt;0,J463/BA463,-1)</f>
        <v>0.335483870967742</v>
      </c>
      <c r="BE463" s="51" t="n">
        <f aca="false">IF(AND(OR(CC463="L1",CC463="L23",CC463="LIFT"),BA463&gt;0),SUMIFS($BA$7:$BA$1843,$CC$7:$CC$1843,CC463,$BD$7:$BD$1843,"&gt;"&amp;BD463)+SUMIFS($BA$7:$BA$1843,$CC$7:$CC$1843,CC463,$BD$7:$BD$1843,BD463,$BT$7:$BT$1843,"&lt;="&amp;BT463),"")</f>
        <v>15044.4899267399</v>
      </c>
      <c r="BF463" s="58" t="n">
        <f aca="false">IF(BE463="",0,MAX(0,MIN(1,(IF(CC463="L1",Parameter!$H$5,IF(CC463="L23",Parameter!$H$6+Parameter!$H$7,Parameter!$H$5+Parameter!$H$6+Parameter!$H$7))-(BE463-BA463))/BA463)))</f>
        <v>1</v>
      </c>
      <c r="BG463" s="48" t="str">
        <f aca="false">IF(AI463&lt;=0,"",IF(CC463="Aussen","Aussenlager",IF(CC463="-","Nicht im Lift",IF(AN463&gt;=1,"Lift",IF(AN463&lt;=0,"Aussenlager","teilweise")))))</f>
        <v>Lift</v>
      </c>
      <c r="BH463" s="48" t="str">
        <f aca="false">IF(AR463&lt;=0,"",IF(CC463="Aussen","Aussenlager",IF(CC463="-","Nicht im Lift",IF(AW463&gt;=1,"Lift",IF(AW463&lt;=0,"Aussenlager","teilweise")))))</f>
        <v>Lift</v>
      </c>
      <c r="BI463" s="48" t="str">
        <f aca="false">IF(BA463&lt;=0,"",IF(CC463="Aussen","Aussenlager",IF(CC463="-","Nicht im Lift",IF(BF463&gt;=1,"Lift",IF(BF463&lt;=0,"Aussenlager","teilweise")))))</f>
        <v>Lift</v>
      </c>
      <c r="BJ463" s="48" t="str">
        <f aca="false">IF(A463="","",IF(BS463=1,"Neu; ","")&amp;IF(AND(BS463=0,BN463&lt;0),"negativer Bestand (Export "&amp;BN463&amp;"); ","")&amp;IF(J463&lt;=0,"Kein Verbrauch; ","")&amp;IF(CL463&gt;0,"Lift "&amp;W463&amp;" lt. Liftbericht (Fach "&amp;X463&amp;" Stk); ",IF(BX463=1,"Gebinde geschätzt ("&amp;T463&amp;"); ",IF(BW463=1,"Lose – Tablare geschätzt; ","")))&amp;IF(H463&gt;AT463,"Überbestand "&amp;ROUND(H463-AT463,0)&amp;" Stk / CHF "&amp;ROUND((H463-AT463)*G463,0)&amp;"; ","")&amp;IF(AND(CE463=1,CF463&lt;CG463),"MAX &lt; MB+LG; ","")&amp;IF(AND(CK463&gt;0,CJ463*10&gt;CK463),"zu hoch für Tablar; ","")&amp;IF(AND(BS463=0,OR(CE463=1,AA463&lt;&gt;"",U463&lt;&gt;"",V463&lt;&gt;"",AB463&lt;&gt;"")),"manuell übersteuert; ","")&amp;IF(AND(BW463=0,R463=0),"Gebinde unbekannt / Stellmass fehlt; ","")&amp;IF(AND(BW463=0,N(V463)&lt;=0,N(Q463)&lt;=0),"Menge pro Gebinde fehlt (Ist = 1 Gebinde); ","")&amp;BR463)</f>
        <v/>
      </c>
      <c r="BK463" s="48"/>
      <c r="BL463" s="48"/>
      <c r="BM463" s="55"/>
      <c r="BN463" s="50" t="n">
        <v>1</v>
      </c>
      <c r="BO463" s="50" t="n">
        <v>2</v>
      </c>
      <c r="BP463" s="49" t="n">
        <v>57.39</v>
      </c>
      <c r="BQ463" s="50" t="n">
        <v>1</v>
      </c>
      <c r="BR463" s="48"/>
      <c r="BS463" s="53" t="n">
        <v>0</v>
      </c>
      <c r="BT463" s="53" t="n">
        <v>463</v>
      </c>
      <c r="BU463" s="48" t="str">
        <f aca="false">IF(U463&lt;&gt;"",UPPER(TRIM(U463)),IF(BX463=1,UPPER(VLOOKUP(T463,Parameter!$I$27:$K$29,2,0)),IF(P463="","LOSE",P463)))</f>
        <v>S41</v>
      </c>
      <c r="BV463" s="50" t="n">
        <f aca="false">IF(BU463="LOSE",1,IF(N(V463)&gt;0,V463,IF(BX463=1,MAX(1,N(VLOOKUP(T463,Parameter!$I$27:$K$29,3,0)),H463,N(N463)),IF(N(Q463)&gt;0,Q463,MAX(1,H463)))))</f>
        <v>3</v>
      </c>
      <c r="BW463" s="53" t="n">
        <f aca="false">IF(BU463="LOSE",1,0)</f>
        <v>0</v>
      </c>
      <c r="BX463" s="53" t="n">
        <f aca="false">IF(AND(U463="",OR(P463="",P463="LOSE"),T463&lt;&gt;"",N(S463)&lt;=0,ISNUMBER(MATCH(T463,Parameter!$I$27:$I$29,0))),1,0)</f>
        <v>0</v>
      </c>
      <c r="BY463" s="53" t="n">
        <f aca="false">IF(CL463&gt;0,INDEX(Parameter!$H$5:$H$7,W463)/INDEX(Parameter!$E$5:$E$7,W463),IF(AND(BW463=0,N(IFERROR(VLOOKUP(BU463,'Gebinde-Kategorie'!$A$5:$N$45,14,0),0))&gt;0),VLOOKUP(BU463,'Gebinde-Kategorie'!$A$5:$N$45,14,0)*10+Parameter!$M$23,Parameter!$M$24))</f>
        <v>155</v>
      </c>
      <c r="BZ463" s="48" t="str">
        <f aca="false">IF(AND(Parameter!$B$19="Ja",E463&lt;&gt;"",ISNUMBER(MATCH(E463,Parameter!$I$35:$I$52,0))),VLOOKUP(E463,Parameter!$I$35:$J$52,2,0),IFERROR(VLOOKUP(D463,Parameter!$A$35:$C$64,2,0),"Nein"))</f>
        <v>2+3</v>
      </c>
      <c r="CA463" s="52" t="n">
        <f aca="false">IF(BW463=0,0,IF(N(S463)&gt;0,S463,IFERROR(VLOOKUP(D463,Parameter!$A$35:$C$64,3,0)+0,0)))</f>
        <v>0</v>
      </c>
      <c r="CB463" s="48" t="n">
        <f aca="false">IF(AA463&lt;&gt;"",AA463,Z463)</f>
        <v>3</v>
      </c>
      <c r="CC463" s="48" t="str">
        <f aca="false">IF(OR(CB463=1,CB463=2,CB463=3),IF(Parameter!$E$27="Ja","LIFT",IF(CB463=1,"L1","L23")),IF(CB463="Aussen","Aussen","-"))</f>
        <v>LIFT</v>
      </c>
      <c r="CD463" s="59" t="n">
        <f aca="false">IF(N(AB463)&gt;0,AB463,0)</f>
        <v>0</v>
      </c>
      <c r="CE463" s="53" t="n">
        <f aca="false">IF(ISNUMBER(AE463),1,0)</f>
        <v>0</v>
      </c>
      <c r="CF463" s="50" t="n">
        <f aca="false">N(AE463)</f>
        <v>0</v>
      </c>
      <c r="CG463" s="50" t="n">
        <f aca="false">N(M463)+N(N463)</f>
        <v>1</v>
      </c>
      <c r="CH463" s="50" t="n">
        <f aca="false">ROUNDUP(H463/BV463,0)</f>
        <v>1</v>
      </c>
      <c r="CI463" s="50" t="n">
        <f aca="false">ROUNDUP(CF463/BV463,0)</f>
        <v>0</v>
      </c>
      <c r="CJ463" s="53" t="n">
        <f aca="false">IF(BW463=1,0,IFERROR(VLOOKUP(BU463,'Gebinde-Kategorie'!$A$5:$N$45,5,0)+0,0))</f>
        <v>11</v>
      </c>
      <c r="CK463" s="53" t="n">
        <f aca="false">IFERROR(IF(OR(CB463=1,CB463=2,CB463=3),N(INDEX(Parameter!$I$5:$I$7,CB463)),0),0)</f>
        <v>0</v>
      </c>
      <c r="CL463" s="52" t="n">
        <f aca="false">IF(AND(Parameter!$B$21="Ja",ISNUMBER(W463),N(X463)&gt;0),IFERROR(N(INDEX(Parameter!$L$5:$L$7,W463))*INDEX(Parameter!$E$5:$E$7,W463)*X463/SUMIFS($X$7:$X$1843,$W$7:$W$1843,W463),0),0)</f>
        <v>0</v>
      </c>
    </row>
    <row r="464" customFormat="false" ht="15" hidden="false" customHeight="false" outlineLevel="0" collapsed="false">
      <c r="A464" s="48" t="s">
        <v>1047</v>
      </c>
      <c r="B464" s="48" t="s">
        <v>593</v>
      </c>
      <c r="C464" s="48" t="s">
        <v>168</v>
      </c>
      <c r="D464" s="48" t="s">
        <v>188</v>
      </c>
      <c r="E464" s="48" t="s">
        <v>189</v>
      </c>
      <c r="F464" s="48" t="s">
        <v>222</v>
      </c>
      <c r="G464" s="49" t="n">
        <v>2.2</v>
      </c>
      <c r="H464" s="50" t="n">
        <f aca="false">MAX(0,IF(AND(Parameter!$B$21="Ja",ISNUMBER(Y464)),Y464,IF(Parameter!$B$20="Jahresanfang 2025 + Export",BO464+BN464,BN464)))</f>
        <v>50</v>
      </c>
      <c r="I464" s="50" t="n">
        <f aca="false">H464*G464</f>
        <v>110</v>
      </c>
      <c r="J464" s="50" t="n">
        <f aca="false">BQ464*Parameter!$B$18</f>
        <v>11</v>
      </c>
      <c r="K464" s="51" t="n">
        <v>21</v>
      </c>
      <c r="L464" s="52" t="n">
        <v>0.523809523809524</v>
      </c>
      <c r="M464" s="50" t="n">
        <v>1</v>
      </c>
      <c r="N464" s="50" t="n">
        <v>10</v>
      </c>
      <c r="O464" s="53" t="n">
        <v>21</v>
      </c>
      <c r="P464" s="48" t="s">
        <v>405</v>
      </c>
      <c r="Q464" s="50" t="n">
        <v>48</v>
      </c>
      <c r="R464" s="53" t="n">
        <f aca="false">IF(BW464=1,0,IFERROR(VLOOKUP(BU464,'Gebinde-Kategorie'!$A$5:$N$45,13,0)+0,0))</f>
        <v>280</v>
      </c>
      <c r="S464" s="54"/>
      <c r="T464" s="55"/>
      <c r="U464" s="55"/>
      <c r="V464" s="55"/>
      <c r="W464" s="48"/>
      <c r="X464" s="50"/>
      <c r="Y464" s="50"/>
      <c r="Z464" s="48" t="n">
        <f aca="false">IF(A464="","",IF(AND(Parameter!$B$21="Ja",ISNUMBER(W464)),W464,IF(BZ464="2+3",IF(ISNUMBER(SEARCH("grosser Artikel",BR464)),2,IFERROR(VLOOKUP(BU464,Parameter!$F$35:$G$64,2,0),2)),IF(OR(BZ464="Nein",BZ464=""),"-",BZ464))))</f>
        <v>3</v>
      </c>
      <c r="AA464" s="55"/>
      <c r="AB464" s="56"/>
      <c r="AC464" s="50" t="n">
        <f aca="false">AT464</f>
        <v>48</v>
      </c>
      <c r="AD464" s="50" t="n">
        <f aca="false">MAX(AT464,H464)</f>
        <v>50</v>
      </c>
      <c r="AE464" s="57"/>
      <c r="AF464" s="50" t="n">
        <f aca="false">IF(LEFT(Cockpit!$C$5,1)="A",H464,IF(CE464=1,CF464,IF(LEFT(Cockpit!$C$5,1)="B",AK464,MAX(AK464,H464))))</f>
        <v>50</v>
      </c>
      <c r="AG464" s="50" t="n">
        <f aca="false">IF(BW464=1,0,ROUNDUP(AF464/BV464,0))</f>
        <v>2</v>
      </c>
      <c r="AH464" s="52" t="n">
        <f aca="false">IF(CL464&gt;0,CL464*MAX(1,AF464/X464),IF(BW464=1,IF(AF464&lt;=0,0,CA464*MAX(1,IF(H464&gt;0,AF464/H464,1))),IF(R464&gt;0,AG464/R464,0))/MAX(0.1,N(Parameter!$M$21)))</f>
        <v>0.00714285714285714</v>
      </c>
      <c r="AI464" s="50" t="n">
        <f aca="false">AH464*BY464</f>
        <v>1.10714285714286</v>
      </c>
      <c r="AJ464" s="50" t="n">
        <f aca="false">AF464*G464</f>
        <v>110</v>
      </c>
      <c r="AK464" s="50" t="n">
        <f aca="false">ROUNDUP(MAX(J464/IF(CD464&gt;0,CD464,MAX(0.1,N(Cockpit!$C$6))),CG464)/BV464,0)*BV464</f>
        <v>48</v>
      </c>
      <c r="AL464" s="51" t="n">
        <f aca="false">IF(AI464&gt;0,J464/AI464,-1)</f>
        <v>9.93548387096774</v>
      </c>
      <c r="AM464" s="51" t="n">
        <f aca="false">IF(AND(OR(CC464="L1",CC464="L23",CC464="LIFT"),AI464&gt;0),SUMIFS($AI$7:$AI$1843,$CC$7:$CC$1843,CC464,$AL$7:$AL$1843,"&gt;"&amp;AL464)+SUMIFS($AI$7:$AI$1843,$CC$7:$CC$1843,CC464,$AL$7:$AL$1843,AL464,$BT$7:$BT$1843,"&lt;="&amp;BT464),"")</f>
        <v>2603.23946886447</v>
      </c>
      <c r="AN464" s="58" t="n">
        <f aca="false">IF(AM464="",0,MAX(0,MIN(1,(IF(CC464="L1",Parameter!$H$5,IF(CC464="L23",Parameter!$H$6+Parameter!$H$7,Parameter!$H$5+Parameter!$H$6+Parameter!$H$7))-(AM464-AI464))/AI464)))</f>
        <v>1</v>
      </c>
      <c r="AO464" s="50" t="n">
        <f aca="false">IF(LEFT(Cockpit!$I$5,1)="A",H464,IF(CE464=1,CF464,IF(LEFT(Cockpit!$I$5,1)="B",AT464,MAX(AT464,H464))))</f>
        <v>50</v>
      </c>
      <c r="AP464" s="50" t="n">
        <f aca="false">IF(BW464=1,0,ROUNDUP(AO464/BV464,0))</f>
        <v>2</v>
      </c>
      <c r="AQ464" s="52" t="n">
        <f aca="false">IF(CL464&gt;0,CL464*MAX(1,AO464/X464),IF(BW464=1,IF(AO464&lt;=0,0,CA464*MAX(1,IF(H464&gt;0,AO464/H464,1))),IF(R464&gt;0,AP464/R464,0))/MAX(0.1,N(Parameter!$M$21)))</f>
        <v>0.00714285714285714</v>
      </c>
      <c r="AR464" s="50" t="n">
        <f aca="false">AQ464*BY464</f>
        <v>1.10714285714286</v>
      </c>
      <c r="AS464" s="50" t="n">
        <f aca="false">AO464*G464</f>
        <v>110</v>
      </c>
      <c r="AT464" s="50" t="n">
        <f aca="false">ROUNDUP(MAX(J464/IF(CD464&gt;0,CD464,MAX(0.1,N(Cockpit!$I$6))),CG464)/BV464,0)*BV464</f>
        <v>48</v>
      </c>
      <c r="AU464" s="51" t="n">
        <f aca="false">IF(AR464&gt;0,J464/AR464,-1)</f>
        <v>9.93548387096774</v>
      </c>
      <c r="AV464" s="51" t="n">
        <f aca="false">IF(AND(OR(CC464="L1",CC464="L23",CC464="LIFT"),AR464&gt;0),SUMIFS($AR$7:$AR$1843,$CC$7:$CC$1843,CC464,$AU$7:$AU$1843,"&gt;"&amp;AU464)+SUMIFS($AR$7:$AR$1843,$CC$7:$CC$1843,CC464,$AU$7:$AU$1843,AU464,$BT$7:$BT$1843,"&lt;="&amp;BT464),"")</f>
        <v>3801.10714285714</v>
      </c>
      <c r="AW464" s="58" t="n">
        <f aca="false">IF(AV464="",0,MAX(0,MIN(1,(IF(CC464="L1",Parameter!$H$5,IF(CC464="L23",Parameter!$H$6+Parameter!$H$7,Parameter!$H$5+Parameter!$H$6+Parameter!$H$7))-(AV464-AR464))/AR464)))</f>
        <v>1</v>
      </c>
      <c r="AX464" s="50" t="n">
        <f aca="false">IF(LEFT(Cockpit!$O$5,1)="A",H464,IF(CE464=1,CF464,IF(LEFT(Cockpit!$O$5,1)="B",BC464,MAX(BC464,H464))))</f>
        <v>50</v>
      </c>
      <c r="AY464" s="50" t="n">
        <f aca="false">IF(BW464=1,0,ROUNDUP(AX464/BV464,0))</f>
        <v>2</v>
      </c>
      <c r="AZ464" s="52" t="n">
        <f aca="false">IF(CL464&gt;0,CL464*MAX(1,AX464/X464),IF(BW464=1,IF(AX464&lt;=0,0,CA464*MAX(1,IF(H464&gt;0,AX464/H464,1))),IF(R464&gt;0,AY464/R464,0))/MAX(0.1,N(Parameter!$M$21)))</f>
        <v>0.00714285714285714</v>
      </c>
      <c r="BA464" s="50" t="n">
        <f aca="false">AZ464*BY464</f>
        <v>1.10714285714286</v>
      </c>
      <c r="BB464" s="50" t="n">
        <f aca="false">AX464*G464</f>
        <v>110</v>
      </c>
      <c r="BC464" s="50" t="n">
        <f aca="false">ROUNDUP(MAX(J464/IF(CD464&gt;0,CD464,MAX(0.1,N(Cockpit!$O$6))),CG464)/BV464,0)*BV464</f>
        <v>48</v>
      </c>
      <c r="BD464" s="51" t="n">
        <f aca="false">IF(BA464&gt;0,J464/BA464,-1)</f>
        <v>9.93548387096774</v>
      </c>
      <c r="BE464" s="51" t="n">
        <f aca="false">IF(AND(OR(CC464="L1",CC464="L23",CC464="LIFT"),BA464&gt;0),SUMIFS($BA$7:$BA$1843,$CC$7:$CC$1843,CC464,$BD$7:$BD$1843,"&gt;"&amp;BD464)+SUMIFS($BA$7:$BA$1843,$CC$7:$CC$1843,CC464,$BD$7:$BD$1843,BD464,$BT$7:$BT$1843,"&lt;="&amp;BT464),"")</f>
        <v>3459.23214285714</v>
      </c>
      <c r="BF464" s="58" t="n">
        <f aca="false">IF(BE464="",0,MAX(0,MIN(1,(IF(CC464="L1",Parameter!$H$5,IF(CC464="L23",Parameter!$H$6+Parameter!$H$7,Parameter!$H$5+Parameter!$H$6+Parameter!$H$7))-(BE464-BA464))/BA464)))</f>
        <v>1</v>
      </c>
      <c r="BG464" s="48" t="str">
        <f aca="false">IF(AI464&lt;=0,"",IF(CC464="Aussen","Aussenlager",IF(CC464="-","Nicht im Lift",IF(AN464&gt;=1,"Lift",IF(AN464&lt;=0,"Aussenlager","teilweise")))))</f>
        <v>Lift</v>
      </c>
      <c r="BH464" s="48" t="str">
        <f aca="false">IF(AR464&lt;=0,"",IF(CC464="Aussen","Aussenlager",IF(CC464="-","Nicht im Lift",IF(AW464&gt;=1,"Lift",IF(AW464&lt;=0,"Aussenlager","teilweise")))))</f>
        <v>Lift</v>
      </c>
      <c r="BI464" s="48" t="str">
        <f aca="false">IF(BA464&lt;=0,"",IF(CC464="Aussen","Aussenlager",IF(CC464="-","Nicht im Lift",IF(BF464&gt;=1,"Lift",IF(BF464&lt;=0,"Aussenlager","teilweise")))))</f>
        <v>Lift</v>
      </c>
      <c r="BJ464" s="48" t="str">
        <f aca="false">IF(A464="","",IF(BS464=1,"Neu; ","")&amp;IF(AND(BS464=0,BN464&lt;0),"negativer Bestand (Export "&amp;BN464&amp;"); ","")&amp;IF(J464&lt;=0,"Kein Verbrauch; ","")&amp;IF(CL464&gt;0,"Lift "&amp;W464&amp;" lt. Liftbericht (Fach "&amp;X464&amp;" Stk); ",IF(BX464=1,"Gebinde geschätzt ("&amp;T464&amp;"); ",IF(BW464=1,"Lose – Tablare geschätzt; ","")))&amp;IF(H464&gt;AT464,"Überbestand "&amp;ROUND(H464-AT464,0)&amp;" Stk / CHF "&amp;ROUND((H464-AT464)*G464,0)&amp;"; ","")&amp;IF(AND(CE464=1,CF464&lt;CG464),"MAX &lt; MB+LG; ","")&amp;IF(AND(CK464&gt;0,CJ464*10&gt;CK464),"zu hoch für Tablar; ","")&amp;IF(AND(BS464=0,OR(CE464=1,AA464&lt;&gt;"",U464&lt;&gt;"",V464&lt;&gt;"",AB464&lt;&gt;"")),"manuell übersteuert; ","")&amp;IF(AND(BW464=0,R464=0),"Gebinde unbekannt / Stellmass fehlt; ","")&amp;IF(AND(BW464=0,N(V464)&lt;=0,N(Q464)&lt;=0),"Menge pro Gebinde fehlt (Ist = 1 Gebinde); ","")&amp;BR464)</f>
        <v>Überbestand 2 Stk / CHF 4; </v>
      </c>
      <c r="BK464" s="48"/>
      <c r="BL464" s="48"/>
      <c r="BM464" s="55"/>
      <c r="BN464" s="50" t="n">
        <v>26</v>
      </c>
      <c r="BO464" s="50" t="n">
        <v>24</v>
      </c>
      <c r="BP464" s="49" t="n">
        <v>57.2</v>
      </c>
      <c r="BQ464" s="50" t="n">
        <v>11</v>
      </c>
      <c r="BR464" s="48"/>
      <c r="BS464" s="53" t="n">
        <v>0</v>
      </c>
      <c r="BT464" s="53" t="n">
        <v>464</v>
      </c>
      <c r="BU464" s="48" t="str">
        <f aca="false">IF(U464&lt;&gt;"",UPPER(TRIM(U464)),IF(BX464=1,UPPER(VLOOKUP(T464,Parameter!$I$27:$K$29,2,0)),IF(P464="","LOSE",P464)))</f>
        <v>S21</v>
      </c>
      <c r="BV464" s="50" t="n">
        <f aca="false">IF(BU464="LOSE",1,IF(N(V464)&gt;0,V464,IF(BX464=1,MAX(1,N(VLOOKUP(T464,Parameter!$I$27:$K$29,3,0)),H464,N(N464)),IF(N(Q464)&gt;0,Q464,MAX(1,H464)))))</f>
        <v>48</v>
      </c>
      <c r="BW464" s="53" t="n">
        <f aca="false">IF(BU464="LOSE",1,0)</f>
        <v>0</v>
      </c>
      <c r="BX464" s="53" t="n">
        <f aca="false">IF(AND(U464="",OR(P464="",P464="LOSE"),T464&lt;&gt;"",N(S464)&lt;=0,ISNUMBER(MATCH(T464,Parameter!$I$27:$I$29,0))),1,0)</f>
        <v>0</v>
      </c>
      <c r="BY464" s="53" t="n">
        <f aca="false">IF(CL464&gt;0,INDEX(Parameter!$H$5:$H$7,W464)/INDEX(Parameter!$E$5:$E$7,W464),IF(AND(BW464=0,N(IFERROR(VLOOKUP(BU464,'Gebinde-Kategorie'!$A$5:$N$45,14,0),0))&gt;0),VLOOKUP(BU464,'Gebinde-Kategorie'!$A$5:$N$45,14,0)*10+Parameter!$M$23,Parameter!$M$24))</f>
        <v>155</v>
      </c>
      <c r="BZ464" s="48" t="str">
        <f aca="false">IF(AND(Parameter!$B$19="Ja",E464&lt;&gt;"",ISNUMBER(MATCH(E464,Parameter!$I$35:$I$52,0))),VLOOKUP(E464,Parameter!$I$35:$J$52,2,0),IFERROR(VLOOKUP(D464,Parameter!$A$35:$C$64,2,0),"Nein"))</f>
        <v>2+3</v>
      </c>
      <c r="CA464" s="52" t="n">
        <f aca="false">IF(BW464=0,0,IF(N(S464)&gt;0,S464,IFERROR(VLOOKUP(D464,Parameter!$A$35:$C$64,3,0)+0,0)))</f>
        <v>0</v>
      </c>
      <c r="CB464" s="48" t="n">
        <f aca="false">IF(AA464&lt;&gt;"",AA464,Z464)</f>
        <v>3</v>
      </c>
      <c r="CC464" s="48" t="str">
        <f aca="false">IF(OR(CB464=1,CB464=2,CB464=3),IF(Parameter!$E$27="Ja","LIFT",IF(CB464=1,"L1","L23")),IF(CB464="Aussen","Aussen","-"))</f>
        <v>LIFT</v>
      </c>
      <c r="CD464" s="59" t="n">
        <f aca="false">IF(N(AB464)&gt;0,AB464,0)</f>
        <v>0</v>
      </c>
      <c r="CE464" s="53" t="n">
        <f aca="false">IF(ISNUMBER(AE464),1,0)</f>
        <v>0</v>
      </c>
      <c r="CF464" s="50" t="n">
        <f aca="false">N(AE464)</f>
        <v>0</v>
      </c>
      <c r="CG464" s="50" t="n">
        <f aca="false">N(M464)+N(N464)</f>
        <v>11</v>
      </c>
      <c r="CH464" s="50" t="n">
        <f aca="false">ROUNDUP(H464/BV464,0)</f>
        <v>2</v>
      </c>
      <c r="CI464" s="50" t="n">
        <f aca="false">ROUNDUP(CF464/BV464,0)</f>
        <v>0</v>
      </c>
      <c r="CJ464" s="53" t="n">
        <f aca="false">IF(BW464=1,0,IFERROR(VLOOKUP(BU464,'Gebinde-Kategorie'!$A$5:$N$45,5,0)+0,0))</f>
        <v>8</v>
      </c>
      <c r="CK464" s="53" t="n">
        <f aca="false">IFERROR(IF(OR(CB464=1,CB464=2,CB464=3),N(INDEX(Parameter!$I$5:$I$7,CB464)),0),0)</f>
        <v>0</v>
      </c>
      <c r="CL464" s="52" t="n">
        <f aca="false">IF(AND(Parameter!$B$21="Ja",ISNUMBER(W464),N(X464)&gt;0),IFERROR(N(INDEX(Parameter!$L$5:$L$7,W464))*INDEX(Parameter!$E$5:$E$7,W464)*X464/SUMIFS($X$7:$X$1843,$W$7:$W$1843,W464),0),0)</f>
        <v>0</v>
      </c>
    </row>
    <row r="465" customFormat="false" ht="15" hidden="false" customHeight="false" outlineLevel="0" collapsed="false">
      <c r="A465" s="48" t="s">
        <v>1048</v>
      </c>
      <c r="B465" s="48" t="s">
        <v>593</v>
      </c>
      <c r="C465" s="48" t="s">
        <v>168</v>
      </c>
      <c r="D465" s="48" t="s">
        <v>188</v>
      </c>
      <c r="E465" s="48"/>
      <c r="F465" s="48" t="s">
        <v>222</v>
      </c>
      <c r="G465" s="49" t="n">
        <v>1.9</v>
      </c>
      <c r="H465" s="50" t="n">
        <f aca="false">MAX(0,IF(AND(Parameter!$B$21="Ja",ISNUMBER(Y465)),Y465,IF(Parameter!$B$20="Jahresanfang 2025 + Export",BO465+BN465,BN465)))</f>
        <v>30</v>
      </c>
      <c r="I465" s="50" t="n">
        <f aca="false">H465*G465</f>
        <v>57</v>
      </c>
      <c r="J465" s="50" t="n">
        <f aca="false">BQ465*Parameter!$B$18</f>
        <v>0</v>
      </c>
      <c r="K465" s="51" t="n">
        <v>0</v>
      </c>
      <c r="L465" s="52" t="n">
        <v>0</v>
      </c>
      <c r="M465" s="50" t="n">
        <v>0</v>
      </c>
      <c r="N465" s="50" t="n">
        <v>30</v>
      </c>
      <c r="O465" s="53" t="n">
        <v>9999</v>
      </c>
      <c r="P465" s="48" t="s">
        <v>172</v>
      </c>
      <c r="Q465" s="50"/>
      <c r="R465" s="53" t="n">
        <f aca="false">IF(BW465=1,0,IFERROR(VLOOKUP(BU465,'Gebinde-Kategorie'!$A$5:$N$45,13,0)+0,0))</f>
        <v>26</v>
      </c>
      <c r="S465" s="54"/>
      <c r="T465" s="55" t="s">
        <v>279</v>
      </c>
      <c r="U465" s="55"/>
      <c r="V465" s="55"/>
      <c r="W465" s="48"/>
      <c r="X465" s="50"/>
      <c r="Y465" s="50"/>
      <c r="Z465" s="48" t="n">
        <f aca="false">IF(A465="","",IF(AND(Parameter!$B$21="Ja",ISNUMBER(W465)),W465,IF(BZ465="2+3",IF(ISNUMBER(SEARCH("grosser Artikel",BR465)),2,IFERROR(VLOOKUP(BU465,Parameter!$F$35:$G$64,2,0),2)),IF(OR(BZ465="Nein",BZ465=""),"-",BZ465))))</f>
        <v>3</v>
      </c>
      <c r="AA465" s="55"/>
      <c r="AB465" s="56"/>
      <c r="AC465" s="50" t="n">
        <f aca="false">AT465</f>
        <v>30</v>
      </c>
      <c r="AD465" s="50" t="n">
        <f aca="false">MAX(AT465,H465)</f>
        <v>30</v>
      </c>
      <c r="AE465" s="57"/>
      <c r="AF465" s="50" t="n">
        <f aca="false">IF(LEFT(Cockpit!$C$5,1)="A",H465,IF(CE465=1,CF465,IF(LEFT(Cockpit!$C$5,1)="B",AK465,MAX(AK465,H465))))</f>
        <v>30</v>
      </c>
      <c r="AG465" s="50" t="n">
        <f aca="false">IF(BW465=1,0,ROUNDUP(AF465/BV465,0))</f>
        <v>1</v>
      </c>
      <c r="AH465" s="52" t="n">
        <f aca="false">IF(CL465&gt;0,CL465*MAX(1,AF465/X465),IF(BW465=1,IF(AF465&lt;=0,0,CA465*MAX(1,IF(H465&gt;0,AF465/H465,1))),IF(R465&gt;0,AG465/R465,0))/MAX(0.1,N(Parameter!$M$21)))</f>
        <v>0.0384615384615385</v>
      </c>
      <c r="AI465" s="50" t="n">
        <f aca="false">AH465*BY465</f>
        <v>5.96153846153846</v>
      </c>
      <c r="AJ465" s="50" t="n">
        <f aca="false">AF465*G465</f>
        <v>57</v>
      </c>
      <c r="AK465" s="50" t="n">
        <f aca="false">ROUNDUP(MAX(J465/IF(CD465&gt;0,CD465,MAX(0.1,N(Cockpit!$C$6))),CG465)/BV465,0)*BV465</f>
        <v>30</v>
      </c>
      <c r="AL465" s="51" t="n">
        <f aca="false">IF(AI465&gt;0,J465/AI465,-1)</f>
        <v>0</v>
      </c>
      <c r="AM465" s="51" t="n">
        <f aca="false">IF(AND(OR(CC465="L1",CC465="L23",CC465="LIFT"),AI465&gt;0),SUMIFS($AI$7:$AI$1843,$CC$7:$CC$1843,CC465,$AL$7:$AL$1843,"&gt;"&amp;AL465)+SUMIFS($AI$7:$AI$1843,$CC$7:$CC$1843,CC465,$AL$7:$AL$1843,AL465,$BT$7:$BT$1843,"&lt;="&amp;BT465),"")</f>
        <v>28153.1306626519</v>
      </c>
      <c r="AN465" s="58" t="n">
        <f aca="false">IF(AM465="",0,MAX(0,MIN(1,(IF(CC465="L1",Parameter!$H$5,IF(CC465="L23",Parameter!$H$6+Parameter!$H$7,Parameter!$H$5+Parameter!$H$6+Parameter!$H$7))-(AM465-AI465))/AI465)))</f>
        <v>1</v>
      </c>
      <c r="AO465" s="50" t="n">
        <f aca="false">IF(LEFT(Cockpit!$I$5,1)="A",H465,IF(CE465=1,CF465,IF(LEFT(Cockpit!$I$5,1)="B",AT465,MAX(AT465,H465))))</f>
        <v>30</v>
      </c>
      <c r="AP465" s="50" t="n">
        <f aca="false">IF(BW465=1,0,ROUNDUP(AO465/BV465,0))</f>
        <v>1</v>
      </c>
      <c r="AQ465" s="52" t="n">
        <f aca="false">IF(CL465&gt;0,CL465*MAX(1,AO465/X465),IF(BW465=1,IF(AO465&lt;=0,0,CA465*MAX(1,IF(H465&gt;0,AO465/H465,1))),IF(R465&gt;0,AP465/R465,0))/MAX(0.1,N(Parameter!$M$21)))</f>
        <v>0.0384615384615385</v>
      </c>
      <c r="AR465" s="50" t="n">
        <f aca="false">AQ465*BY465</f>
        <v>5.96153846153846</v>
      </c>
      <c r="AS465" s="50" t="n">
        <f aca="false">AO465*G465</f>
        <v>57</v>
      </c>
      <c r="AT465" s="50" t="n">
        <f aca="false">ROUNDUP(MAX(J465/IF(CD465&gt;0,CD465,MAX(0.1,N(Cockpit!$I$6))),CG465)/BV465,0)*BV465</f>
        <v>30</v>
      </c>
      <c r="AU465" s="51" t="n">
        <f aca="false">IF(AR465&gt;0,J465/AR465,-1)</f>
        <v>0</v>
      </c>
      <c r="AV465" s="51" t="n">
        <f aca="false">IF(AND(OR(CC465="L1",CC465="L23",CC465="LIFT"),AR465&gt;0),SUMIFS($AR$7:$AR$1843,$CC$7:$CC$1843,CC465,$AU$7:$AU$1843,"&gt;"&amp;AU465)+SUMIFS($AR$7:$AR$1843,$CC$7:$CC$1843,CC465,$AU$7:$AU$1843,AU465,$BT$7:$BT$1843,"&lt;="&amp;BT465),"")</f>
        <v>39466.0361799218</v>
      </c>
      <c r="AW465" s="58" t="n">
        <f aca="false">IF(AV465="",0,MAX(0,MIN(1,(IF(CC465="L1",Parameter!$H$5,IF(CC465="L23",Parameter!$H$6+Parameter!$H$7,Parameter!$H$5+Parameter!$H$6+Parameter!$H$7))-(AV465-AR465))/AR465)))</f>
        <v>0</v>
      </c>
      <c r="AX465" s="50" t="n">
        <f aca="false">IF(LEFT(Cockpit!$O$5,1)="A",H465,IF(CE465=1,CF465,IF(LEFT(Cockpit!$O$5,1)="B",BC465,MAX(BC465,H465))))</f>
        <v>30</v>
      </c>
      <c r="AY465" s="50" t="n">
        <f aca="false">IF(BW465=1,0,ROUNDUP(AX465/BV465,0))</f>
        <v>1</v>
      </c>
      <c r="AZ465" s="52" t="n">
        <f aca="false">IF(CL465&gt;0,CL465*MAX(1,AX465/X465),IF(BW465=1,IF(AX465&lt;=0,0,CA465*MAX(1,IF(H465&gt;0,AX465/H465,1))),IF(R465&gt;0,AY465/R465,0))/MAX(0.1,N(Parameter!$M$21)))</f>
        <v>0.0384615384615385</v>
      </c>
      <c r="BA465" s="50" t="n">
        <f aca="false">AZ465*BY465</f>
        <v>5.96153846153846</v>
      </c>
      <c r="BB465" s="50" t="n">
        <f aca="false">AX465*G465</f>
        <v>57</v>
      </c>
      <c r="BC465" s="50" t="n">
        <f aca="false">ROUNDUP(MAX(J465/IF(CD465&gt;0,CD465,MAX(0.1,N(Cockpit!$O$6))),CG465)/BV465,0)*BV465</f>
        <v>30</v>
      </c>
      <c r="BD465" s="51" t="n">
        <f aca="false">IF(BA465&gt;0,J465/BA465,-1)</f>
        <v>0</v>
      </c>
      <c r="BE465" s="51" t="n">
        <f aca="false">IF(AND(OR(CC465="L1",CC465="L23",CC465="LIFT"),BA465&gt;0),SUMIFS($BA$7:$BA$1843,$CC$7:$CC$1843,CC465,$BD$7:$BD$1843,"&gt;"&amp;BD465)+SUMIFS($BA$7:$BA$1843,$CC$7:$CC$1843,CC465,$BD$7:$BD$1843,BD465,$BT$7:$BT$1843,"&lt;="&amp;BT465),"")</f>
        <v>36141.0482217876</v>
      </c>
      <c r="BF465" s="58" t="n">
        <f aca="false">IF(BE465="",0,MAX(0,MIN(1,(IF(CC465="L1",Parameter!$H$5,IF(CC465="L23",Parameter!$H$6+Parameter!$H$7,Parameter!$H$5+Parameter!$H$6+Parameter!$H$7))-(BE465-BA465))/BA465)))</f>
        <v>0</v>
      </c>
      <c r="BG465" s="48" t="str">
        <f aca="false">IF(AI465&lt;=0,"",IF(CC465="Aussen","Aussenlager",IF(CC465="-","Nicht im Lift",IF(AN465&gt;=1,"Lift",IF(AN465&lt;=0,"Aussenlager","teilweise")))))</f>
        <v>Lift</v>
      </c>
      <c r="BH465" s="48" t="str">
        <f aca="false">IF(AR465&lt;=0,"",IF(CC465="Aussen","Aussenlager",IF(CC465="-","Nicht im Lift",IF(AW465&gt;=1,"Lift",IF(AW465&lt;=0,"Aussenlager","teilweise")))))</f>
        <v>Aussenlager</v>
      </c>
      <c r="BI465" s="48" t="str">
        <f aca="false">IF(BA465&lt;=0,"",IF(CC465="Aussen","Aussenlager",IF(CC465="-","Nicht im Lift",IF(BF465&gt;=1,"Lift",IF(BF465&lt;=0,"Aussenlager","teilweise")))))</f>
        <v>Aussenlager</v>
      </c>
      <c r="BJ465" s="48" t="str">
        <f aca="false">IF(A465="","",IF(BS465=1,"Neu; ","")&amp;IF(AND(BS465=0,BN465&lt;0),"negativer Bestand (Export "&amp;BN465&amp;"); ","")&amp;IF(J465&lt;=0,"Kein Verbrauch; ","")&amp;IF(CL465&gt;0,"Lift "&amp;W465&amp;" lt. Liftbericht (Fach "&amp;X465&amp;" Stk); ",IF(BX465=1,"Gebinde geschätzt ("&amp;T465&amp;"); ",IF(BW465=1,"Lose – Tablare geschätzt; ","")))&amp;IF(H465&gt;AT465,"Überbestand "&amp;ROUND(H465-AT465,0)&amp;" Stk / CHF "&amp;ROUND((H465-AT465)*G465,0)&amp;"; ","")&amp;IF(AND(CE465=1,CF465&lt;CG465),"MAX &lt; MB+LG; ","")&amp;IF(AND(CK465&gt;0,CJ465*10&gt;CK465),"zu hoch für Tablar; ","")&amp;IF(AND(BS465=0,OR(CE465=1,AA465&lt;&gt;"",U465&lt;&gt;"",V465&lt;&gt;"",AB465&lt;&gt;"")),"manuell übersteuert; ","")&amp;IF(AND(BW465=0,R465=0),"Gebinde unbekannt / Stellmass fehlt; ","")&amp;IF(AND(BW465=0,N(V465)&lt;=0,N(Q465)&lt;=0),"Menge pro Gebinde fehlt (Ist = 1 Gebinde); ","")&amp;BR465)</f>
        <v>Kein Verbrauch; Gebinde geschätzt (Klein); Menge pro Gebinde fehlt (Ist = 1 Gebinde); </v>
      </c>
      <c r="BK465" s="48"/>
      <c r="BL465" s="48"/>
      <c r="BM465" s="55"/>
      <c r="BN465" s="50" t="n">
        <v>30</v>
      </c>
      <c r="BO465" s="50" t="n">
        <v>0</v>
      </c>
      <c r="BP465" s="49" t="n">
        <v>57</v>
      </c>
      <c r="BQ465" s="50" t="n">
        <v>0</v>
      </c>
      <c r="BR465" s="48"/>
      <c r="BS465" s="53" t="n">
        <v>0</v>
      </c>
      <c r="BT465" s="53" t="n">
        <v>465</v>
      </c>
      <c r="BU465" s="48" t="str">
        <f aca="false">IF(U465&lt;&gt;"",UPPER(TRIM(U465)),IF(BX465=1,UPPER(VLOOKUP(T465,Parameter!$I$27:$K$29,2,0)),IF(P465="","LOSE",P465)))</f>
        <v>S51</v>
      </c>
      <c r="BV465" s="50" t="n">
        <f aca="false">IF(BU465="LOSE",1,IF(N(V465)&gt;0,V465,IF(BX465=1,MAX(1,N(VLOOKUP(T465,Parameter!$I$27:$K$29,3,0)),H465,N(N465)),IF(N(Q465)&gt;0,Q465,MAX(1,H465)))))</f>
        <v>30</v>
      </c>
      <c r="BW465" s="53" t="n">
        <f aca="false">IF(BU465="LOSE",1,0)</f>
        <v>0</v>
      </c>
      <c r="BX465" s="53" t="n">
        <f aca="false">IF(AND(U465="",OR(P465="",P465="LOSE"),T465&lt;&gt;"",N(S465)&lt;=0,ISNUMBER(MATCH(T465,Parameter!$I$27:$I$29,0))),1,0)</f>
        <v>1</v>
      </c>
      <c r="BY465" s="53" t="n">
        <f aca="false">IF(CL465&gt;0,INDEX(Parameter!$H$5:$H$7,W465)/INDEX(Parameter!$E$5:$E$7,W465),IF(AND(BW465=0,N(IFERROR(VLOOKUP(BU465,'Gebinde-Kategorie'!$A$5:$N$45,14,0),0))&gt;0),VLOOKUP(BU465,'Gebinde-Kategorie'!$A$5:$N$45,14,0)*10+Parameter!$M$23,Parameter!$M$24))</f>
        <v>155</v>
      </c>
      <c r="BZ465" s="48" t="str">
        <f aca="false">IF(AND(Parameter!$B$19="Ja",E465&lt;&gt;"",ISNUMBER(MATCH(E465,Parameter!$I$35:$I$52,0))),VLOOKUP(E465,Parameter!$I$35:$J$52,2,0),IFERROR(VLOOKUP(D465,Parameter!$A$35:$C$64,2,0),"Nein"))</f>
        <v>2+3</v>
      </c>
      <c r="CA465" s="52" t="n">
        <f aca="false">IF(BW465=0,0,IF(N(S465)&gt;0,S465,IFERROR(VLOOKUP(D465,Parameter!$A$35:$C$64,3,0)+0,0)))</f>
        <v>0</v>
      </c>
      <c r="CB465" s="48" t="n">
        <f aca="false">IF(AA465&lt;&gt;"",AA465,Z465)</f>
        <v>3</v>
      </c>
      <c r="CC465" s="48" t="str">
        <f aca="false">IF(OR(CB465=1,CB465=2,CB465=3),IF(Parameter!$E$27="Ja","LIFT",IF(CB465=1,"L1","L23")),IF(CB465="Aussen","Aussen","-"))</f>
        <v>LIFT</v>
      </c>
      <c r="CD465" s="59" t="n">
        <f aca="false">IF(N(AB465)&gt;0,AB465,0)</f>
        <v>0</v>
      </c>
      <c r="CE465" s="53" t="n">
        <f aca="false">IF(ISNUMBER(AE465),1,0)</f>
        <v>0</v>
      </c>
      <c r="CF465" s="50" t="n">
        <f aca="false">N(AE465)</f>
        <v>0</v>
      </c>
      <c r="CG465" s="50" t="n">
        <f aca="false">N(M465)+N(N465)</f>
        <v>30</v>
      </c>
      <c r="CH465" s="50" t="n">
        <f aca="false">ROUNDUP(H465/BV465,0)</f>
        <v>1</v>
      </c>
      <c r="CI465" s="50" t="n">
        <f aca="false">ROUNDUP(CF465/BV465,0)</f>
        <v>0</v>
      </c>
      <c r="CJ465" s="53" t="n">
        <f aca="false">IF(BW465=1,0,IFERROR(VLOOKUP(BU465,'Gebinde-Kategorie'!$A$5:$N$45,5,0)+0,0))</f>
        <v>11</v>
      </c>
      <c r="CK465" s="53" t="n">
        <f aca="false">IFERROR(IF(OR(CB465=1,CB465=2,CB465=3),N(INDEX(Parameter!$I$5:$I$7,CB465)),0),0)</f>
        <v>0</v>
      </c>
      <c r="CL465" s="52" t="n">
        <f aca="false">IF(AND(Parameter!$B$21="Ja",ISNUMBER(W465),N(X465)&gt;0),IFERROR(N(INDEX(Parameter!$L$5:$L$7,W465))*INDEX(Parameter!$E$5:$E$7,W465)*X465/SUMIFS($X$7:$X$1843,$W$7:$W$1843,W465),0),0)</f>
        <v>0</v>
      </c>
    </row>
    <row r="466" customFormat="false" ht="15" hidden="false" customHeight="false" outlineLevel="0" collapsed="false">
      <c r="A466" s="48" t="s">
        <v>1049</v>
      </c>
      <c r="B466" s="48" t="s">
        <v>411</v>
      </c>
      <c r="C466" s="48" t="s">
        <v>168</v>
      </c>
      <c r="D466" s="48" t="s">
        <v>188</v>
      </c>
      <c r="E466" s="48" t="s">
        <v>189</v>
      </c>
      <c r="F466" s="48" t="s">
        <v>222</v>
      </c>
      <c r="G466" s="49" t="n">
        <v>0.17</v>
      </c>
      <c r="H466" s="50" t="n">
        <f aca="false">MAX(0,IF(AND(Parameter!$B$21="Ja",ISNUMBER(Y466)),Y466,IF(Parameter!$B$20="Jahresanfang 2025 + Export",BO466+BN466,BN466)))</f>
        <v>858</v>
      </c>
      <c r="I466" s="50" t="n">
        <f aca="false">H466*G466</f>
        <v>145.86</v>
      </c>
      <c r="J466" s="50" t="n">
        <f aca="false">BQ466*Parameter!$B$18</f>
        <v>2868</v>
      </c>
      <c r="K466" s="51" t="n">
        <v>709</v>
      </c>
      <c r="L466" s="52" t="n">
        <v>4.04513399153738</v>
      </c>
      <c r="M466" s="50" t="n">
        <v>167</v>
      </c>
      <c r="N466" s="50" t="n">
        <v>2000</v>
      </c>
      <c r="O466" s="53" t="n">
        <v>21</v>
      </c>
      <c r="P466" s="48" t="s">
        <v>332</v>
      </c>
      <c r="Q466" s="50" t="n">
        <v>895</v>
      </c>
      <c r="R466" s="53" t="n">
        <f aca="false">IF(BW466=1,0,IFERROR(VLOOKUP(BU466,'Gebinde-Kategorie'!$A$5:$N$45,13,0)+0,0))</f>
        <v>52</v>
      </c>
      <c r="S466" s="54"/>
      <c r="T466" s="55"/>
      <c r="U466" s="55"/>
      <c r="V466" s="55"/>
      <c r="W466" s="48"/>
      <c r="X466" s="50"/>
      <c r="Y466" s="50"/>
      <c r="Z466" s="48" t="n">
        <f aca="false">IF(A466="","",IF(AND(Parameter!$B$21="Ja",ISNUMBER(W466)),W466,IF(BZ466="2+3",IF(ISNUMBER(SEARCH("grosser Artikel",BR466)),2,IFERROR(VLOOKUP(BU466,Parameter!$F$35:$G$64,2,0),2)),IF(OR(BZ466="Nein",BZ466=""),"-",BZ466))))</f>
        <v>3</v>
      </c>
      <c r="AA466" s="55"/>
      <c r="AB466" s="56"/>
      <c r="AC466" s="50" t="n">
        <f aca="false">AT466</f>
        <v>2685</v>
      </c>
      <c r="AD466" s="50" t="n">
        <f aca="false">MAX(AT466,H466)</f>
        <v>2685</v>
      </c>
      <c r="AE466" s="57"/>
      <c r="AF466" s="50" t="n">
        <f aca="false">IF(LEFT(Cockpit!$C$5,1)="A",H466,IF(CE466=1,CF466,IF(LEFT(Cockpit!$C$5,1)="B",AK466,MAX(AK466,H466))))</f>
        <v>858</v>
      </c>
      <c r="AG466" s="50" t="n">
        <f aca="false">IF(BW466=1,0,ROUNDUP(AF466/BV466,0))</f>
        <v>1</v>
      </c>
      <c r="AH466" s="52" t="n">
        <f aca="false">IF(CL466&gt;0,CL466*MAX(1,AF466/X466),IF(BW466=1,IF(AF466&lt;=0,0,CA466*MAX(1,IF(H466&gt;0,AF466/H466,1))),IF(R466&gt;0,AG466/R466,0))/MAX(0.1,N(Parameter!$M$21)))</f>
        <v>0.0192307692307692</v>
      </c>
      <c r="AI466" s="50" t="n">
        <f aca="false">AH466*BY466</f>
        <v>2.98076923076923</v>
      </c>
      <c r="AJ466" s="50" t="n">
        <f aca="false">AF466*G466</f>
        <v>145.86</v>
      </c>
      <c r="AK466" s="50" t="n">
        <f aca="false">ROUNDUP(MAX(J466/IF(CD466&gt;0,CD466,MAX(0.1,N(Cockpit!$C$6))),CG466)/BV466,0)*BV466</f>
        <v>2685</v>
      </c>
      <c r="AL466" s="51" t="n">
        <f aca="false">IF(AI466&gt;0,J466/AI466,-1)</f>
        <v>962.167741935484</v>
      </c>
      <c r="AM466" s="51" t="n">
        <f aca="false">IF(AND(OR(CC466="L1",CC466="L23",CC466="LIFT"),AI466&gt;0),SUMIFS($AI$7:$AI$1843,$CC$7:$CC$1843,CC466,$AL$7:$AL$1843,"&gt;"&amp;AL466)+SUMIFS($AI$7:$AI$1843,$CC$7:$CC$1843,CC466,$AL$7:$AL$1843,AL466,$BT$7:$BT$1843,"&lt;="&amp;BT466),"")</f>
        <v>16.010989010989</v>
      </c>
      <c r="AN466" s="58" t="n">
        <f aca="false">IF(AM466="",0,MAX(0,MIN(1,(IF(CC466="L1",Parameter!$H$5,IF(CC466="L23",Parameter!$H$6+Parameter!$H$7,Parameter!$H$5+Parameter!$H$6+Parameter!$H$7))-(AM466-AI466))/AI466)))</f>
        <v>1</v>
      </c>
      <c r="AO466" s="50" t="n">
        <f aca="false">IF(LEFT(Cockpit!$I$5,1)="A",H466,IF(CE466=1,CF466,IF(LEFT(Cockpit!$I$5,1)="B",AT466,MAX(AT466,H466))))</f>
        <v>2685</v>
      </c>
      <c r="AP466" s="50" t="n">
        <f aca="false">IF(BW466=1,0,ROUNDUP(AO466/BV466,0))</f>
        <v>3</v>
      </c>
      <c r="AQ466" s="52" t="n">
        <f aca="false">IF(CL466&gt;0,CL466*MAX(1,AO466/X466),IF(BW466=1,IF(AO466&lt;=0,0,CA466*MAX(1,IF(H466&gt;0,AO466/H466,1))),IF(R466&gt;0,AP466/R466,0))/MAX(0.1,N(Parameter!$M$21)))</f>
        <v>0.0576923076923077</v>
      </c>
      <c r="AR466" s="50" t="n">
        <f aca="false">AQ466*BY466</f>
        <v>8.94230769230769</v>
      </c>
      <c r="AS466" s="50" t="n">
        <f aca="false">AO466*G466</f>
        <v>456.45</v>
      </c>
      <c r="AT466" s="50" t="n">
        <f aca="false">ROUNDUP(MAX(J466/IF(CD466&gt;0,CD466,MAX(0.1,N(Cockpit!$I$6))),CG466)/BV466,0)*BV466</f>
        <v>2685</v>
      </c>
      <c r="AU466" s="51" t="n">
        <f aca="false">IF(AR466&gt;0,J466/AR466,-1)</f>
        <v>320.722580645161</v>
      </c>
      <c r="AV466" s="51" t="n">
        <f aca="false">IF(AND(OR(CC466="L1",CC466="L23",CC466="LIFT"),AR466&gt;0),SUMIFS($AR$7:$AR$1843,$CC$7:$CC$1843,CC466,$AU$7:$AU$1843,"&gt;"&amp;AU466)+SUMIFS($AR$7:$AR$1843,$CC$7:$CC$1843,CC466,$AU$7:$AU$1843,AU466,$BT$7:$BT$1843,"&lt;="&amp;BT466),"")</f>
        <v>157.879578754579</v>
      </c>
      <c r="AW466" s="58" t="n">
        <f aca="false">IF(AV466="",0,MAX(0,MIN(1,(IF(CC466="L1",Parameter!$H$5,IF(CC466="L23",Parameter!$H$6+Parameter!$H$7,Parameter!$H$5+Parameter!$H$6+Parameter!$H$7))-(AV466-AR466))/AR466)))</f>
        <v>1</v>
      </c>
      <c r="AX466" s="50" t="n">
        <f aca="false">IF(LEFT(Cockpit!$O$5,1)="A",H466,IF(CE466=1,CF466,IF(LEFT(Cockpit!$O$5,1)="B",BC466,MAX(BC466,H466))))</f>
        <v>2685</v>
      </c>
      <c r="AY466" s="50" t="n">
        <f aca="false">IF(BW466=1,0,ROUNDUP(AX466/BV466,0))</f>
        <v>3</v>
      </c>
      <c r="AZ466" s="52" t="n">
        <f aca="false">IF(CL466&gt;0,CL466*MAX(1,AX466/X466),IF(BW466=1,IF(AX466&lt;=0,0,CA466*MAX(1,IF(H466&gt;0,AX466/H466,1))),IF(R466&gt;0,AY466/R466,0))/MAX(0.1,N(Parameter!$M$21)))</f>
        <v>0.0576923076923077</v>
      </c>
      <c r="BA466" s="50" t="n">
        <f aca="false">AZ466*BY466</f>
        <v>8.94230769230769</v>
      </c>
      <c r="BB466" s="50" t="n">
        <f aca="false">AX466*G466</f>
        <v>456.45</v>
      </c>
      <c r="BC466" s="50" t="n">
        <f aca="false">ROUNDUP(MAX(J466/IF(CD466&gt;0,CD466,MAX(0.1,N(Cockpit!$O$6))),CG466)/BV466,0)*BV466</f>
        <v>2685</v>
      </c>
      <c r="BD466" s="51" t="n">
        <f aca="false">IF(BA466&gt;0,J466/BA466,-1)</f>
        <v>320.722580645161</v>
      </c>
      <c r="BE466" s="51" t="n">
        <f aca="false">IF(AND(OR(CC466="L1",CC466="L23",CC466="LIFT"),BA466&gt;0),SUMIFS($BA$7:$BA$1843,$CC$7:$CC$1843,CC466,$BD$7:$BD$1843,"&gt;"&amp;BD466)+SUMIFS($BA$7:$BA$1843,$CC$7:$CC$1843,CC466,$BD$7:$BD$1843,BD466,$BT$7:$BT$1843,"&lt;="&amp;BT466),"")</f>
        <v>170.764194139194</v>
      </c>
      <c r="BF466" s="58" t="n">
        <f aca="false">IF(BE466="",0,MAX(0,MIN(1,(IF(CC466="L1",Parameter!$H$5,IF(CC466="L23",Parameter!$H$6+Parameter!$H$7,Parameter!$H$5+Parameter!$H$6+Parameter!$H$7))-(BE466-BA466))/BA466)))</f>
        <v>1</v>
      </c>
      <c r="BG466" s="48" t="str">
        <f aca="false">IF(AI466&lt;=0,"",IF(CC466="Aussen","Aussenlager",IF(CC466="-","Nicht im Lift",IF(AN466&gt;=1,"Lift",IF(AN466&lt;=0,"Aussenlager","teilweise")))))</f>
        <v>Lift</v>
      </c>
      <c r="BH466" s="48" t="str">
        <f aca="false">IF(AR466&lt;=0,"",IF(CC466="Aussen","Aussenlager",IF(CC466="-","Nicht im Lift",IF(AW466&gt;=1,"Lift",IF(AW466&lt;=0,"Aussenlager","teilweise")))))</f>
        <v>Lift</v>
      </c>
      <c r="BI466" s="48" t="str">
        <f aca="false">IF(BA466&lt;=0,"",IF(CC466="Aussen","Aussenlager",IF(CC466="-","Nicht im Lift",IF(BF466&gt;=1,"Lift",IF(BF466&lt;=0,"Aussenlager","teilweise")))))</f>
        <v>Lift</v>
      </c>
      <c r="BJ466" s="48" t="str">
        <f aca="false">IF(A466="","",IF(BS466=1,"Neu; ","")&amp;IF(AND(BS466=0,BN466&lt;0),"negativer Bestand (Export "&amp;BN466&amp;"); ","")&amp;IF(J466&lt;=0,"Kein Verbrauch; ","")&amp;IF(CL466&gt;0,"Lift "&amp;W466&amp;" lt. Liftbericht (Fach "&amp;X466&amp;" Stk); ",IF(BX466=1,"Gebinde geschätzt ("&amp;T466&amp;"); ",IF(BW466=1,"Lose – Tablare geschätzt; ","")))&amp;IF(H466&gt;AT466,"Überbestand "&amp;ROUND(H466-AT466,0)&amp;" Stk / CHF "&amp;ROUND((H466-AT466)*G466,0)&amp;"; ","")&amp;IF(AND(CE466=1,CF466&lt;CG466),"MAX &lt; MB+LG; ","")&amp;IF(AND(CK466&gt;0,CJ466*10&gt;CK466),"zu hoch für Tablar; ","")&amp;IF(AND(BS466=0,OR(CE466=1,AA466&lt;&gt;"",U466&lt;&gt;"",V466&lt;&gt;"",AB466&lt;&gt;"")),"manuell übersteuert; ","")&amp;IF(AND(BW466=0,R466=0),"Gebinde unbekannt / Stellmass fehlt; ","")&amp;IF(AND(BW466=0,N(V466)&lt;=0,N(Q466)&lt;=0),"Menge pro Gebinde fehlt (Ist = 1 Gebinde); ","")&amp;BR466)</f>
        <v/>
      </c>
      <c r="BK466" s="48"/>
      <c r="BL466" s="48"/>
      <c r="BM466" s="55"/>
      <c r="BN466" s="50" t="n">
        <v>334</v>
      </c>
      <c r="BO466" s="50" t="n">
        <v>524</v>
      </c>
      <c r="BP466" s="49" t="n">
        <v>56.7799999999999</v>
      </c>
      <c r="BQ466" s="50" t="n">
        <v>2868</v>
      </c>
      <c r="BR466" s="48"/>
      <c r="BS466" s="53" t="n">
        <v>0</v>
      </c>
      <c r="BT466" s="53" t="n">
        <v>466</v>
      </c>
      <c r="BU466" s="48" t="str">
        <f aca="false">IF(U466&lt;&gt;"",UPPER(TRIM(U466)),IF(BX466=1,UPPER(VLOOKUP(T466,Parameter!$I$27:$K$29,2,0)),IF(P466="","LOSE",P466)))</f>
        <v>S41</v>
      </c>
      <c r="BV466" s="50" t="n">
        <f aca="false">IF(BU466="LOSE",1,IF(N(V466)&gt;0,V466,IF(BX466=1,MAX(1,N(VLOOKUP(T466,Parameter!$I$27:$K$29,3,0)),H466,N(N466)),IF(N(Q466)&gt;0,Q466,MAX(1,H466)))))</f>
        <v>895</v>
      </c>
      <c r="BW466" s="53" t="n">
        <f aca="false">IF(BU466="LOSE",1,0)</f>
        <v>0</v>
      </c>
      <c r="BX466" s="53" t="n">
        <f aca="false">IF(AND(U466="",OR(P466="",P466="LOSE"),T466&lt;&gt;"",N(S466)&lt;=0,ISNUMBER(MATCH(T466,Parameter!$I$27:$I$29,0))),1,0)</f>
        <v>0</v>
      </c>
      <c r="BY466" s="53" t="n">
        <f aca="false">IF(CL466&gt;0,INDEX(Parameter!$H$5:$H$7,W466)/INDEX(Parameter!$E$5:$E$7,W466),IF(AND(BW466=0,N(IFERROR(VLOOKUP(BU466,'Gebinde-Kategorie'!$A$5:$N$45,14,0),0))&gt;0),VLOOKUP(BU466,'Gebinde-Kategorie'!$A$5:$N$45,14,0)*10+Parameter!$M$23,Parameter!$M$24))</f>
        <v>155</v>
      </c>
      <c r="BZ466" s="48" t="str">
        <f aca="false">IF(AND(Parameter!$B$19="Ja",E466&lt;&gt;"",ISNUMBER(MATCH(E466,Parameter!$I$35:$I$52,0))),VLOOKUP(E466,Parameter!$I$35:$J$52,2,0),IFERROR(VLOOKUP(D466,Parameter!$A$35:$C$64,2,0),"Nein"))</f>
        <v>2+3</v>
      </c>
      <c r="CA466" s="52" t="n">
        <f aca="false">IF(BW466=0,0,IF(N(S466)&gt;0,S466,IFERROR(VLOOKUP(D466,Parameter!$A$35:$C$64,3,0)+0,0)))</f>
        <v>0</v>
      </c>
      <c r="CB466" s="48" t="n">
        <f aca="false">IF(AA466&lt;&gt;"",AA466,Z466)</f>
        <v>3</v>
      </c>
      <c r="CC466" s="48" t="str">
        <f aca="false">IF(OR(CB466=1,CB466=2,CB466=3),IF(Parameter!$E$27="Ja","LIFT",IF(CB466=1,"L1","L23")),IF(CB466="Aussen","Aussen","-"))</f>
        <v>LIFT</v>
      </c>
      <c r="CD466" s="59" t="n">
        <f aca="false">IF(N(AB466)&gt;0,AB466,0)</f>
        <v>0</v>
      </c>
      <c r="CE466" s="53" t="n">
        <f aca="false">IF(ISNUMBER(AE466),1,0)</f>
        <v>0</v>
      </c>
      <c r="CF466" s="50" t="n">
        <f aca="false">N(AE466)</f>
        <v>0</v>
      </c>
      <c r="CG466" s="50" t="n">
        <f aca="false">N(M466)+N(N466)</f>
        <v>2167</v>
      </c>
      <c r="CH466" s="50" t="n">
        <f aca="false">ROUNDUP(H466/BV466,0)</f>
        <v>1</v>
      </c>
      <c r="CI466" s="50" t="n">
        <f aca="false">ROUNDUP(CF466/BV466,0)</f>
        <v>0</v>
      </c>
      <c r="CJ466" s="53" t="n">
        <f aca="false">IF(BW466=1,0,IFERROR(VLOOKUP(BU466,'Gebinde-Kategorie'!$A$5:$N$45,5,0)+0,0))</f>
        <v>11</v>
      </c>
      <c r="CK466" s="53" t="n">
        <f aca="false">IFERROR(IF(OR(CB466=1,CB466=2,CB466=3),N(INDEX(Parameter!$I$5:$I$7,CB466)),0),0)</f>
        <v>0</v>
      </c>
      <c r="CL466" s="52" t="n">
        <f aca="false">IF(AND(Parameter!$B$21="Ja",ISNUMBER(W466),N(X466)&gt;0),IFERROR(N(INDEX(Parameter!$L$5:$L$7,W466))*INDEX(Parameter!$E$5:$E$7,W466)*X466/SUMIFS($X$7:$X$1843,$W$7:$W$1843,W466),0),0)</f>
        <v>0</v>
      </c>
    </row>
    <row r="467" customFormat="false" ht="15" hidden="false" customHeight="false" outlineLevel="0" collapsed="false">
      <c r="A467" s="48" t="s">
        <v>1050</v>
      </c>
      <c r="B467" s="48" t="s">
        <v>472</v>
      </c>
      <c r="C467" s="48" t="s">
        <v>168</v>
      </c>
      <c r="D467" s="48" t="s">
        <v>188</v>
      </c>
      <c r="E467" s="48" t="s">
        <v>189</v>
      </c>
      <c r="F467" s="48" t="s">
        <v>222</v>
      </c>
      <c r="G467" s="49" t="n">
        <v>0.15</v>
      </c>
      <c r="H467" s="50" t="n">
        <f aca="false">MAX(0,IF(AND(Parameter!$B$21="Ja",ISNUMBER(Y467)),Y467,IF(Parameter!$B$20="Jahresanfang 2025 + Export",BO467+BN467,BN467)))</f>
        <v>537</v>
      </c>
      <c r="I467" s="50" t="n">
        <f aca="false">H467*G467</f>
        <v>80.55</v>
      </c>
      <c r="J467" s="50" t="n">
        <f aca="false">BQ467*Parameter!$B$18</f>
        <v>714</v>
      </c>
      <c r="K467" s="51" t="n">
        <v>234.5</v>
      </c>
      <c r="L467" s="52" t="n">
        <v>3.04477611940299</v>
      </c>
      <c r="M467" s="50" t="n">
        <v>27</v>
      </c>
      <c r="N467" s="50" t="n">
        <v>715</v>
      </c>
      <c r="O467" s="53" t="n">
        <v>14</v>
      </c>
      <c r="P467" s="48" t="s">
        <v>430</v>
      </c>
      <c r="Q467" s="50" t="n">
        <v>194</v>
      </c>
      <c r="R467" s="53" t="n">
        <f aca="false">IF(BW467=1,0,IFERROR(VLOOKUP(BU467,'Gebinde-Kategorie'!$A$5:$N$45,13,0)+0,0))</f>
        <v>140</v>
      </c>
      <c r="S467" s="54"/>
      <c r="T467" s="55"/>
      <c r="U467" s="55"/>
      <c r="V467" s="55"/>
      <c r="W467" s="48"/>
      <c r="X467" s="50"/>
      <c r="Y467" s="50"/>
      <c r="Z467" s="48" t="n">
        <f aca="false">IF(A467="","",IF(AND(Parameter!$B$21="Ja",ISNUMBER(W467)),W467,IF(BZ467="2+3",IF(ISNUMBER(SEARCH("grosser Artikel",BR467)),2,IFERROR(VLOOKUP(BU467,Parameter!$F$35:$G$64,2,0),2)),IF(OR(BZ467="Nein",BZ467=""),"-",BZ467))))</f>
        <v>3</v>
      </c>
      <c r="AA467" s="55"/>
      <c r="AB467" s="56"/>
      <c r="AC467" s="50" t="n">
        <f aca="false">AT467</f>
        <v>776</v>
      </c>
      <c r="AD467" s="50" t="n">
        <f aca="false">MAX(AT467,H467)</f>
        <v>776</v>
      </c>
      <c r="AE467" s="57"/>
      <c r="AF467" s="50" t="n">
        <f aca="false">IF(LEFT(Cockpit!$C$5,1)="A",H467,IF(CE467=1,CF467,IF(LEFT(Cockpit!$C$5,1)="B",AK467,MAX(AK467,H467))))</f>
        <v>537</v>
      </c>
      <c r="AG467" s="50" t="n">
        <f aca="false">IF(BW467=1,0,ROUNDUP(AF467/BV467,0))</f>
        <v>3</v>
      </c>
      <c r="AH467" s="52" t="n">
        <f aca="false">IF(CL467&gt;0,CL467*MAX(1,AF467/X467),IF(BW467=1,IF(AF467&lt;=0,0,CA467*MAX(1,IF(H467&gt;0,AF467/H467,1))),IF(R467&gt;0,AG467/R467,0))/MAX(0.1,N(Parameter!$M$21)))</f>
        <v>0.0214285714285714</v>
      </c>
      <c r="AI467" s="50" t="n">
        <f aca="false">AH467*BY467</f>
        <v>3.32142857142857</v>
      </c>
      <c r="AJ467" s="50" t="n">
        <f aca="false">AF467*G467</f>
        <v>80.55</v>
      </c>
      <c r="AK467" s="50" t="n">
        <f aca="false">ROUNDUP(MAX(J467/IF(CD467&gt;0,CD467,MAX(0.1,N(Cockpit!$C$6))),CG467)/BV467,0)*BV467</f>
        <v>776</v>
      </c>
      <c r="AL467" s="51" t="n">
        <f aca="false">IF(AI467&gt;0,J467/AI467,-1)</f>
        <v>214.967741935484</v>
      </c>
      <c r="AM467" s="51" t="n">
        <f aca="false">IF(AND(OR(CC467="L1",CC467="L23",CC467="LIFT"),AI467&gt;0),SUMIFS($AI$7:$AI$1843,$CC$7:$CC$1843,CC467,$AL$7:$AL$1843,"&gt;"&amp;AL467)+SUMIFS($AI$7:$AI$1843,$CC$7:$CC$1843,CC467,$AL$7:$AL$1843,AL467,$BT$7:$BT$1843,"&lt;="&amp;BT467),"")</f>
        <v>319.47847985348</v>
      </c>
      <c r="AN467" s="58" t="n">
        <f aca="false">IF(AM467="",0,MAX(0,MIN(1,(IF(CC467="L1",Parameter!$H$5,IF(CC467="L23",Parameter!$H$6+Parameter!$H$7,Parameter!$H$5+Parameter!$H$6+Parameter!$H$7))-(AM467-AI467))/AI467)))</f>
        <v>1</v>
      </c>
      <c r="AO467" s="50" t="n">
        <f aca="false">IF(LEFT(Cockpit!$I$5,1)="A",H467,IF(CE467=1,CF467,IF(LEFT(Cockpit!$I$5,1)="B",AT467,MAX(AT467,H467))))</f>
        <v>776</v>
      </c>
      <c r="AP467" s="50" t="n">
        <f aca="false">IF(BW467=1,0,ROUNDUP(AO467/BV467,0))</f>
        <v>4</v>
      </c>
      <c r="AQ467" s="52" t="n">
        <f aca="false">IF(CL467&gt;0,CL467*MAX(1,AO467/X467),IF(BW467=1,IF(AO467&lt;=0,0,CA467*MAX(1,IF(H467&gt;0,AO467/H467,1))),IF(R467&gt;0,AP467/R467,0))/MAX(0.1,N(Parameter!$M$21)))</f>
        <v>0.0285714285714286</v>
      </c>
      <c r="AR467" s="50" t="n">
        <f aca="false">AQ467*BY467</f>
        <v>4.42857142857143</v>
      </c>
      <c r="AS467" s="50" t="n">
        <f aca="false">AO467*G467</f>
        <v>116.4</v>
      </c>
      <c r="AT467" s="50" t="n">
        <f aca="false">ROUNDUP(MAX(J467/IF(CD467&gt;0,CD467,MAX(0.1,N(Cockpit!$I$6))),CG467)/BV467,0)*BV467</f>
        <v>776</v>
      </c>
      <c r="AU467" s="51" t="n">
        <f aca="false">IF(AR467&gt;0,J467/AR467,-1)</f>
        <v>161.225806451613</v>
      </c>
      <c r="AV467" s="51" t="n">
        <f aca="false">IF(AND(OR(CC467="L1",CC467="L23",CC467="LIFT"),AR467&gt;0),SUMIFS($AR$7:$AR$1843,$CC$7:$CC$1843,CC467,$AU$7:$AU$1843,"&gt;"&amp;AU467)+SUMIFS($AR$7:$AR$1843,$CC$7:$CC$1843,CC467,$AU$7:$AU$1843,AU467,$BT$7:$BT$1843,"&lt;="&amp;BT467),"")</f>
        <v>477.155677655678</v>
      </c>
      <c r="AW467" s="58" t="n">
        <f aca="false">IF(AV467="",0,MAX(0,MIN(1,(IF(CC467="L1",Parameter!$H$5,IF(CC467="L23",Parameter!$H$6+Parameter!$H$7,Parameter!$H$5+Parameter!$H$6+Parameter!$H$7))-(AV467-AR467))/AR467)))</f>
        <v>1</v>
      </c>
      <c r="AX467" s="50" t="n">
        <f aca="false">IF(LEFT(Cockpit!$O$5,1)="A",H467,IF(CE467=1,CF467,IF(LEFT(Cockpit!$O$5,1)="B",BC467,MAX(BC467,H467))))</f>
        <v>776</v>
      </c>
      <c r="AY467" s="50" t="n">
        <f aca="false">IF(BW467=1,0,ROUNDUP(AX467/BV467,0))</f>
        <v>4</v>
      </c>
      <c r="AZ467" s="52" t="n">
        <f aca="false">IF(CL467&gt;0,CL467*MAX(1,AX467/X467),IF(BW467=1,IF(AX467&lt;=0,0,CA467*MAX(1,IF(H467&gt;0,AX467/H467,1))),IF(R467&gt;0,AY467/R467,0))/MAX(0.1,N(Parameter!$M$21)))</f>
        <v>0.0285714285714286</v>
      </c>
      <c r="BA467" s="50" t="n">
        <f aca="false">AZ467*BY467</f>
        <v>4.42857142857143</v>
      </c>
      <c r="BB467" s="50" t="n">
        <f aca="false">AX467*G467</f>
        <v>116.4</v>
      </c>
      <c r="BC467" s="50" t="n">
        <f aca="false">ROUNDUP(MAX(J467/IF(CD467&gt;0,CD467,MAX(0.1,N(Cockpit!$O$6))),CG467)/BV467,0)*BV467</f>
        <v>776</v>
      </c>
      <c r="BD467" s="51" t="n">
        <f aca="false">IF(BA467&gt;0,J467/BA467,-1)</f>
        <v>161.225806451613</v>
      </c>
      <c r="BE467" s="51" t="n">
        <f aca="false">IF(AND(OR(CC467="L1",CC467="L23",CC467="LIFT"),BA467&gt;0),SUMIFS($BA$7:$BA$1843,$CC$7:$CC$1843,CC467,$BD$7:$BD$1843,"&gt;"&amp;BD467)+SUMIFS($BA$7:$BA$1843,$CC$7:$CC$1843,CC467,$BD$7:$BD$1843,BD467,$BT$7:$BT$1843,"&lt;="&amp;BT467),"")</f>
        <v>539.09478021978</v>
      </c>
      <c r="BF467" s="58" t="n">
        <f aca="false">IF(BE467="",0,MAX(0,MIN(1,(IF(CC467="L1",Parameter!$H$5,IF(CC467="L23",Parameter!$H$6+Parameter!$H$7,Parameter!$H$5+Parameter!$H$6+Parameter!$H$7))-(BE467-BA467))/BA467)))</f>
        <v>1</v>
      </c>
      <c r="BG467" s="48" t="str">
        <f aca="false">IF(AI467&lt;=0,"",IF(CC467="Aussen","Aussenlager",IF(CC467="-","Nicht im Lift",IF(AN467&gt;=1,"Lift",IF(AN467&lt;=0,"Aussenlager","teilweise")))))</f>
        <v>Lift</v>
      </c>
      <c r="BH467" s="48" t="str">
        <f aca="false">IF(AR467&lt;=0,"",IF(CC467="Aussen","Aussenlager",IF(CC467="-","Nicht im Lift",IF(AW467&gt;=1,"Lift",IF(AW467&lt;=0,"Aussenlager","teilweise")))))</f>
        <v>Lift</v>
      </c>
      <c r="BI467" s="48" t="str">
        <f aca="false">IF(BA467&lt;=0,"",IF(CC467="Aussen","Aussenlager",IF(CC467="-","Nicht im Lift",IF(BF467&gt;=1,"Lift",IF(BF467&lt;=0,"Aussenlager","teilweise")))))</f>
        <v>Lift</v>
      </c>
      <c r="BJ467" s="48" t="str">
        <f aca="false">IF(A467="","",IF(BS467=1,"Neu; ","")&amp;IF(AND(BS467=0,BN467&lt;0),"negativer Bestand (Export "&amp;BN467&amp;"); ","")&amp;IF(J467&lt;=0,"Kein Verbrauch; ","")&amp;IF(CL467&gt;0,"Lift "&amp;W467&amp;" lt. Liftbericht (Fach "&amp;X467&amp;" Stk); ",IF(BX467=1,"Gebinde geschätzt ("&amp;T467&amp;"); ",IF(BW467=1,"Lose – Tablare geschätzt; ","")))&amp;IF(H467&gt;AT467,"Überbestand "&amp;ROUND(H467-AT467,0)&amp;" Stk / CHF "&amp;ROUND((H467-AT467)*G467,0)&amp;"; ","")&amp;IF(AND(CE467=1,CF467&lt;CG467),"MAX &lt; MB+LG; ","")&amp;IF(AND(CK467&gt;0,CJ467*10&gt;CK467),"zu hoch für Tablar; ","")&amp;IF(AND(BS467=0,OR(CE467=1,AA467&lt;&gt;"",U467&lt;&gt;"",V467&lt;&gt;"",AB467&lt;&gt;"")),"manuell übersteuert; ","")&amp;IF(AND(BW467=0,R467=0),"Gebinde unbekannt / Stellmass fehlt; ","")&amp;IF(AND(BW467=0,N(V467)&lt;=0,N(Q467)&lt;=0),"Menge pro Gebinde fehlt (Ist = 1 Gebinde); ","")&amp;BR467)</f>
        <v/>
      </c>
      <c r="BK467" s="48"/>
      <c r="BL467" s="48"/>
      <c r="BM467" s="55"/>
      <c r="BN467" s="50" t="n">
        <v>392</v>
      </c>
      <c r="BO467" s="50" t="n">
        <v>145</v>
      </c>
      <c r="BP467" s="49" t="n">
        <v>55.98</v>
      </c>
      <c r="BQ467" s="50" t="n">
        <v>714</v>
      </c>
      <c r="BR467" s="48"/>
      <c r="BS467" s="53" t="n">
        <v>0</v>
      </c>
      <c r="BT467" s="53" t="n">
        <v>467</v>
      </c>
      <c r="BU467" s="48" t="str">
        <f aca="false">IF(U467&lt;&gt;"",UPPER(TRIM(U467)),IF(BX467=1,UPPER(VLOOKUP(T467,Parameter!$I$27:$K$29,2,0)),IF(P467="","LOSE",P467)))</f>
        <v>S22</v>
      </c>
      <c r="BV467" s="50" t="n">
        <f aca="false">IF(BU467="LOSE",1,IF(N(V467)&gt;0,V467,IF(BX467=1,MAX(1,N(VLOOKUP(T467,Parameter!$I$27:$K$29,3,0)),H467,N(N467)),IF(N(Q467)&gt;0,Q467,MAX(1,H467)))))</f>
        <v>194</v>
      </c>
      <c r="BW467" s="53" t="n">
        <f aca="false">IF(BU467="LOSE",1,0)</f>
        <v>0</v>
      </c>
      <c r="BX467" s="53" t="n">
        <f aca="false">IF(AND(U467="",OR(P467="",P467="LOSE"),T467&lt;&gt;"",N(S467)&lt;=0,ISNUMBER(MATCH(T467,Parameter!$I$27:$I$29,0))),1,0)</f>
        <v>0</v>
      </c>
      <c r="BY467" s="53" t="n">
        <f aca="false">IF(CL467&gt;0,INDEX(Parameter!$H$5:$H$7,W467)/INDEX(Parameter!$E$5:$E$7,W467),IF(AND(BW467=0,N(IFERROR(VLOOKUP(BU467,'Gebinde-Kategorie'!$A$5:$N$45,14,0),0))&gt;0),VLOOKUP(BU467,'Gebinde-Kategorie'!$A$5:$N$45,14,0)*10+Parameter!$M$23,Parameter!$M$24))</f>
        <v>155</v>
      </c>
      <c r="BZ467" s="48" t="str">
        <f aca="false">IF(AND(Parameter!$B$19="Ja",E467&lt;&gt;"",ISNUMBER(MATCH(E467,Parameter!$I$35:$I$52,0))),VLOOKUP(E467,Parameter!$I$35:$J$52,2,0),IFERROR(VLOOKUP(D467,Parameter!$A$35:$C$64,2,0),"Nein"))</f>
        <v>2+3</v>
      </c>
      <c r="CA467" s="52" t="n">
        <f aca="false">IF(BW467=0,0,IF(N(S467)&gt;0,S467,IFERROR(VLOOKUP(D467,Parameter!$A$35:$C$64,3,0)+0,0)))</f>
        <v>0</v>
      </c>
      <c r="CB467" s="48" t="n">
        <f aca="false">IF(AA467&lt;&gt;"",AA467,Z467)</f>
        <v>3</v>
      </c>
      <c r="CC467" s="48" t="str">
        <f aca="false">IF(OR(CB467=1,CB467=2,CB467=3),IF(Parameter!$E$27="Ja","LIFT",IF(CB467=1,"L1","L23")),IF(CB467="Aussen","Aussen","-"))</f>
        <v>LIFT</v>
      </c>
      <c r="CD467" s="59" t="n">
        <f aca="false">IF(N(AB467)&gt;0,AB467,0)</f>
        <v>0</v>
      </c>
      <c r="CE467" s="53" t="n">
        <f aca="false">IF(ISNUMBER(AE467),1,0)</f>
        <v>0</v>
      </c>
      <c r="CF467" s="50" t="n">
        <f aca="false">N(AE467)</f>
        <v>0</v>
      </c>
      <c r="CG467" s="50" t="n">
        <f aca="false">N(M467)+N(N467)</f>
        <v>742</v>
      </c>
      <c r="CH467" s="50" t="n">
        <f aca="false">ROUNDUP(H467/BV467,0)</f>
        <v>3</v>
      </c>
      <c r="CI467" s="50" t="n">
        <f aca="false">ROUNDUP(CF467/BV467,0)</f>
        <v>0</v>
      </c>
      <c r="CJ467" s="53" t="n">
        <f aca="false">IF(BW467=1,0,IFERROR(VLOOKUP(BU467,'Gebinde-Kategorie'!$A$5:$N$45,5,0)+0,0))</f>
        <v>8</v>
      </c>
      <c r="CK467" s="53" t="n">
        <f aca="false">IFERROR(IF(OR(CB467=1,CB467=2,CB467=3),N(INDEX(Parameter!$I$5:$I$7,CB467)),0),0)</f>
        <v>0</v>
      </c>
      <c r="CL467" s="52" t="n">
        <f aca="false">IF(AND(Parameter!$B$21="Ja",ISNUMBER(W467),N(X467)&gt;0),IFERROR(N(INDEX(Parameter!$L$5:$L$7,W467))*INDEX(Parameter!$E$5:$E$7,W467)*X467/SUMIFS($X$7:$X$1843,$W$7:$W$1843,W467),0),0)</f>
        <v>0</v>
      </c>
    </row>
    <row r="468" customFormat="false" ht="15" hidden="false" customHeight="false" outlineLevel="0" collapsed="false">
      <c r="A468" s="48" t="s">
        <v>1051</v>
      </c>
      <c r="B468" s="48" t="s">
        <v>1052</v>
      </c>
      <c r="C468" s="48" t="s">
        <v>168</v>
      </c>
      <c r="D468" s="48" t="s">
        <v>188</v>
      </c>
      <c r="E468" s="48"/>
      <c r="F468" s="48" t="s">
        <v>222</v>
      </c>
      <c r="G468" s="49" t="n">
        <v>7.36</v>
      </c>
      <c r="H468" s="50" t="n">
        <f aca="false">MAX(0,IF(AND(Parameter!$B$21="Ja",ISNUMBER(Y468)),Y468,IF(Parameter!$B$20="Jahresanfang 2025 + Export",BO468+BN468,BN468)))</f>
        <v>17</v>
      </c>
      <c r="I468" s="50" t="n">
        <f aca="false">H468*G468</f>
        <v>125.12</v>
      </c>
      <c r="J468" s="50" t="n">
        <f aca="false">BQ468*Parameter!$B$18</f>
        <v>1</v>
      </c>
      <c r="K468" s="51" t="n">
        <v>7.5</v>
      </c>
      <c r="L468" s="52" t="n">
        <v>0.133333333333333</v>
      </c>
      <c r="M468" s="50" t="n">
        <v>0</v>
      </c>
      <c r="N468" s="50" t="n">
        <v>1</v>
      </c>
      <c r="O468" s="53" t="n">
        <v>21</v>
      </c>
      <c r="P468" s="48" t="s">
        <v>172</v>
      </c>
      <c r="Q468" s="50"/>
      <c r="R468" s="53" t="n">
        <f aca="false">IF(BW468=1,0,IFERROR(VLOOKUP(BU468,'Gebinde-Kategorie'!$A$5:$N$45,13,0)+0,0))</f>
        <v>26</v>
      </c>
      <c r="S468" s="54"/>
      <c r="T468" s="55" t="s">
        <v>279</v>
      </c>
      <c r="U468" s="55"/>
      <c r="V468" s="55"/>
      <c r="W468" s="48"/>
      <c r="X468" s="50"/>
      <c r="Y468" s="50"/>
      <c r="Z468" s="48" t="n">
        <f aca="false">IF(A468="","",IF(AND(Parameter!$B$21="Ja",ISNUMBER(W468)),W468,IF(BZ468="2+3",IF(ISNUMBER(SEARCH("grosser Artikel",BR468)),2,IFERROR(VLOOKUP(BU468,Parameter!$F$35:$G$64,2,0),2)),IF(OR(BZ468="Nein",BZ468=""),"-",BZ468))))</f>
        <v>3</v>
      </c>
      <c r="AA468" s="55"/>
      <c r="AB468" s="56"/>
      <c r="AC468" s="50" t="n">
        <f aca="false">AT468</f>
        <v>20</v>
      </c>
      <c r="AD468" s="50" t="n">
        <f aca="false">MAX(AT468,H468)</f>
        <v>20</v>
      </c>
      <c r="AE468" s="57"/>
      <c r="AF468" s="50" t="n">
        <f aca="false">IF(LEFT(Cockpit!$C$5,1)="A",H468,IF(CE468=1,CF468,IF(LEFT(Cockpit!$C$5,1)="B",AK468,MAX(AK468,H468))))</f>
        <v>17</v>
      </c>
      <c r="AG468" s="50" t="n">
        <f aca="false">IF(BW468=1,0,ROUNDUP(AF468/BV468,0))</f>
        <v>1</v>
      </c>
      <c r="AH468" s="52" t="n">
        <f aca="false">IF(CL468&gt;0,CL468*MAX(1,AF468/X468),IF(BW468=1,IF(AF468&lt;=0,0,CA468*MAX(1,IF(H468&gt;0,AF468/H468,1))),IF(R468&gt;0,AG468/R468,0))/MAX(0.1,N(Parameter!$M$21)))</f>
        <v>0.0384615384615385</v>
      </c>
      <c r="AI468" s="50" t="n">
        <f aca="false">AH468*BY468</f>
        <v>5.96153846153846</v>
      </c>
      <c r="AJ468" s="50" t="n">
        <f aca="false">AF468*G468</f>
        <v>125.12</v>
      </c>
      <c r="AK468" s="50" t="n">
        <f aca="false">ROUNDUP(MAX(J468/IF(CD468&gt;0,CD468,MAX(0.1,N(Cockpit!$C$6))),CG468)/BV468,0)*BV468</f>
        <v>20</v>
      </c>
      <c r="AL468" s="51" t="n">
        <f aca="false">IF(AI468&gt;0,J468/AI468,-1)</f>
        <v>0.167741935483871</v>
      </c>
      <c r="AM468" s="51" t="n">
        <f aca="false">IF(AND(OR(CC468="L1",CC468="L23",CC468="LIFT"),AI468&gt;0),SUMIFS($AI$7:$AI$1843,$CC$7:$CC$1843,CC468,$AL$7:$AL$1843,"&gt;"&amp;AL468)+SUMIFS($AI$7:$AI$1843,$CC$7:$CC$1843,CC468,$AL$7:$AL$1843,AL468,$BT$7:$BT$1843,"&lt;="&amp;BT468),"")</f>
        <v>12691.6567977691</v>
      </c>
      <c r="AN468" s="58" t="n">
        <f aca="false">IF(AM468="",0,MAX(0,MIN(1,(IF(CC468="L1",Parameter!$H$5,IF(CC468="L23",Parameter!$H$6+Parameter!$H$7,Parameter!$H$5+Parameter!$H$6+Parameter!$H$7))-(AM468-AI468))/AI468)))</f>
        <v>1</v>
      </c>
      <c r="AO468" s="50" t="n">
        <f aca="false">IF(LEFT(Cockpit!$I$5,1)="A",H468,IF(CE468=1,CF468,IF(LEFT(Cockpit!$I$5,1)="B",AT468,MAX(AT468,H468))))</f>
        <v>20</v>
      </c>
      <c r="AP468" s="50" t="n">
        <f aca="false">IF(BW468=1,0,ROUNDUP(AO468/BV468,0))</f>
        <v>1</v>
      </c>
      <c r="AQ468" s="52" t="n">
        <f aca="false">IF(CL468&gt;0,CL468*MAX(1,AO468/X468),IF(BW468=1,IF(AO468&lt;=0,0,CA468*MAX(1,IF(H468&gt;0,AO468/H468,1))),IF(R468&gt;0,AP468/R468,0))/MAX(0.1,N(Parameter!$M$21)))</f>
        <v>0.0384615384615385</v>
      </c>
      <c r="AR468" s="50" t="n">
        <f aca="false">AQ468*BY468</f>
        <v>5.96153846153846</v>
      </c>
      <c r="AS468" s="50" t="n">
        <f aca="false">AO468*G468</f>
        <v>147.2</v>
      </c>
      <c r="AT468" s="50" t="n">
        <f aca="false">ROUNDUP(MAX(J468/IF(CD468&gt;0,CD468,MAX(0.1,N(Cockpit!$I$6))),CG468)/BV468,0)*BV468</f>
        <v>20</v>
      </c>
      <c r="AU468" s="51" t="n">
        <f aca="false">IF(AR468&gt;0,J468/AR468,-1)</f>
        <v>0.167741935483871</v>
      </c>
      <c r="AV468" s="51" t="n">
        <f aca="false">IF(AND(OR(CC468="L1",CC468="L23",CC468="LIFT"),AR468&gt;0),SUMIFS($AR$7:$AR$1843,$CC$7:$CC$1843,CC468,$AU$7:$AU$1843,"&gt;"&amp;AU468)+SUMIFS($AR$7:$AR$1843,$CC$7:$CC$1843,CC468,$AU$7:$AU$1843,AU468,$BT$7:$BT$1843,"&lt;="&amp;BT468),"")</f>
        <v>19260.8081501832</v>
      </c>
      <c r="AW468" s="58" t="n">
        <f aca="false">IF(AV468="",0,MAX(0,MIN(1,(IF(CC468="L1",Parameter!$H$5,IF(CC468="L23",Parameter!$H$6+Parameter!$H$7,Parameter!$H$5+Parameter!$H$6+Parameter!$H$7))-(AV468-AR468))/AR468)))</f>
        <v>1</v>
      </c>
      <c r="AX468" s="50" t="n">
        <f aca="false">IF(LEFT(Cockpit!$O$5,1)="A",H468,IF(CE468=1,CF468,IF(LEFT(Cockpit!$O$5,1)="B",BC468,MAX(BC468,H468))))</f>
        <v>20</v>
      </c>
      <c r="AY468" s="50" t="n">
        <f aca="false">IF(BW468=1,0,ROUNDUP(AX468/BV468,0))</f>
        <v>1</v>
      </c>
      <c r="AZ468" s="52" t="n">
        <f aca="false">IF(CL468&gt;0,CL468*MAX(1,AX468/X468),IF(BW468=1,IF(AX468&lt;=0,0,CA468*MAX(1,IF(H468&gt;0,AX468/H468,1))),IF(R468&gt;0,AY468/R468,0))/MAX(0.1,N(Parameter!$M$21)))</f>
        <v>0.0384615384615385</v>
      </c>
      <c r="BA468" s="50" t="n">
        <f aca="false">AZ468*BY468</f>
        <v>5.96153846153846</v>
      </c>
      <c r="BB468" s="50" t="n">
        <f aca="false">AX468*G468</f>
        <v>147.2</v>
      </c>
      <c r="BC468" s="50" t="n">
        <f aca="false">ROUNDUP(MAX(J468/IF(CD468&gt;0,CD468,MAX(0.1,N(Cockpit!$O$6))),CG468)/BV468,0)*BV468</f>
        <v>20</v>
      </c>
      <c r="BD468" s="51" t="n">
        <f aca="false">IF(BA468&gt;0,J468/BA468,-1)</f>
        <v>0.167741935483871</v>
      </c>
      <c r="BE468" s="51" t="n">
        <f aca="false">IF(AND(OR(CC468="L1",CC468="L23",CC468="LIFT"),BA468&gt;0),SUMIFS($BA$7:$BA$1843,$CC$7:$CC$1843,CC468,$BD$7:$BD$1843,"&gt;"&amp;BD468)+SUMIFS($BA$7:$BA$1843,$CC$7:$CC$1843,CC468,$BD$7:$BD$1843,BD468,$BT$7:$BT$1843,"&lt;="&amp;BT468),"")</f>
        <v>17286.8818681319</v>
      </c>
      <c r="BF468" s="58" t="n">
        <f aca="false">IF(BE468="",0,MAX(0,MIN(1,(IF(CC468="L1",Parameter!$H$5,IF(CC468="L23",Parameter!$H$6+Parameter!$H$7,Parameter!$H$5+Parameter!$H$6+Parameter!$H$7))-(BE468-BA468))/BA468)))</f>
        <v>1</v>
      </c>
      <c r="BG468" s="48" t="str">
        <f aca="false">IF(AI468&lt;=0,"",IF(CC468="Aussen","Aussenlager",IF(CC468="-","Nicht im Lift",IF(AN468&gt;=1,"Lift",IF(AN468&lt;=0,"Aussenlager","teilweise")))))</f>
        <v>Lift</v>
      </c>
      <c r="BH468" s="48" t="str">
        <f aca="false">IF(AR468&lt;=0,"",IF(CC468="Aussen","Aussenlager",IF(CC468="-","Nicht im Lift",IF(AW468&gt;=1,"Lift",IF(AW468&lt;=0,"Aussenlager","teilweise")))))</f>
        <v>Lift</v>
      </c>
      <c r="BI468" s="48" t="str">
        <f aca="false">IF(BA468&lt;=0,"",IF(CC468="Aussen","Aussenlager",IF(CC468="-","Nicht im Lift",IF(BF468&gt;=1,"Lift",IF(BF468&lt;=0,"Aussenlager","teilweise")))))</f>
        <v>Lift</v>
      </c>
      <c r="BJ468" s="48" t="str">
        <f aca="false">IF(A468="","",IF(BS468=1,"Neu; ","")&amp;IF(AND(BS468=0,BN468&lt;0),"negativer Bestand (Export "&amp;BN468&amp;"); ","")&amp;IF(J468&lt;=0,"Kein Verbrauch; ","")&amp;IF(CL468&gt;0,"Lift "&amp;W468&amp;" lt. Liftbericht (Fach "&amp;X468&amp;" Stk); ",IF(BX468=1,"Gebinde geschätzt ("&amp;T468&amp;"); ",IF(BW468=1,"Lose – Tablare geschätzt; ","")))&amp;IF(H468&gt;AT468,"Überbestand "&amp;ROUND(H468-AT468,0)&amp;" Stk / CHF "&amp;ROUND((H468-AT468)*G468,0)&amp;"; ","")&amp;IF(AND(CE468=1,CF468&lt;CG468),"MAX &lt; MB+LG; ","")&amp;IF(AND(CK468&gt;0,CJ468*10&gt;CK468),"zu hoch für Tablar; ","")&amp;IF(AND(BS468=0,OR(CE468=1,AA468&lt;&gt;"",U468&lt;&gt;"",V468&lt;&gt;"",AB468&lt;&gt;"")),"manuell übersteuert; ","")&amp;IF(AND(BW468=0,R468=0),"Gebinde unbekannt / Stellmass fehlt; ","")&amp;IF(AND(BW468=0,N(V468)&lt;=0,N(Q468)&lt;=0),"Menge pro Gebinde fehlt (Ist = 1 Gebinde); ","")&amp;BR468)</f>
        <v>Gebinde geschätzt (Klein); Menge pro Gebinde fehlt (Ist = 1 Gebinde); </v>
      </c>
      <c r="BK468" s="48"/>
      <c r="BL468" s="48"/>
      <c r="BM468" s="55"/>
      <c r="BN468" s="50" t="n">
        <v>9</v>
      </c>
      <c r="BO468" s="50" t="n">
        <v>8</v>
      </c>
      <c r="BP468" s="49" t="n">
        <v>55.36</v>
      </c>
      <c r="BQ468" s="50" t="n">
        <v>1</v>
      </c>
      <c r="BR468" s="48"/>
      <c r="BS468" s="53" t="n">
        <v>0</v>
      </c>
      <c r="BT468" s="53" t="n">
        <v>468</v>
      </c>
      <c r="BU468" s="48" t="str">
        <f aca="false">IF(U468&lt;&gt;"",UPPER(TRIM(U468)),IF(BX468=1,UPPER(VLOOKUP(T468,Parameter!$I$27:$K$29,2,0)),IF(P468="","LOSE",P468)))</f>
        <v>S51</v>
      </c>
      <c r="BV468" s="50" t="n">
        <f aca="false">IF(BU468="LOSE",1,IF(N(V468)&gt;0,V468,IF(BX468=1,MAX(1,N(VLOOKUP(T468,Parameter!$I$27:$K$29,3,0)),H468,N(N468)),IF(N(Q468)&gt;0,Q468,MAX(1,H468)))))</f>
        <v>20</v>
      </c>
      <c r="BW468" s="53" t="n">
        <f aca="false">IF(BU468="LOSE",1,0)</f>
        <v>0</v>
      </c>
      <c r="BX468" s="53" t="n">
        <f aca="false">IF(AND(U468="",OR(P468="",P468="LOSE"),T468&lt;&gt;"",N(S468)&lt;=0,ISNUMBER(MATCH(T468,Parameter!$I$27:$I$29,0))),1,0)</f>
        <v>1</v>
      </c>
      <c r="BY468" s="53" t="n">
        <f aca="false">IF(CL468&gt;0,INDEX(Parameter!$H$5:$H$7,W468)/INDEX(Parameter!$E$5:$E$7,W468),IF(AND(BW468=0,N(IFERROR(VLOOKUP(BU468,'Gebinde-Kategorie'!$A$5:$N$45,14,0),0))&gt;0),VLOOKUP(BU468,'Gebinde-Kategorie'!$A$5:$N$45,14,0)*10+Parameter!$M$23,Parameter!$M$24))</f>
        <v>155</v>
      </c>
      <c r="BZ468" s="48" t="str">
        <f aca="false">IF(AND(Parameter!$B$19="Ja",E468&lt;&gt;"",ISNUMBER(MATCH(E468,Parameter!$I$35:$I$52,0))),VLOOKUP(E468,Parameter!$I$35:$J$52,2,0),IFERROR(VLOOKUP(D468,Parameter!$A$35:$C$64,2,0),"Nein"))</f>
        <v>2+3</v>
      </c>
      <c r="CA468" s="52" t="n">
        <f aca="false">IF(BW468=0,0,IF(N(S468)&gt;0,S468,IFERROR(VLOOKUP(D468,Parameter!$A$35:$C$64,3,0)+0,0)))</f>
        <v>0</v>
      </c>
      <c r="CB468" s="48" t="n">
        <f aca="false">IF(AA468&lt;&gt;"",AA468,Z468)</f>
        <v>3</v>
      </c>
      <c r="CC468" s="48" t="str">
        <f aca="false">IF(OR(CB468=1,CB468=2,CB468=3),IF(Parameter!$E$27="Ja","LIFT",IF(CB468=1,"L1","L23")),IF(CB468="Aussen","Aussen","-"))</f>
        <v>LIFT</v>
      </c>
      <c r="CD468" s="59" t="n">
        <f aca="false">IF(N(AB468)&gt;0,AB468,0)</f>
        <v>0</v>
      </c>
      <c r="CE468" s="53" t="n">
        <f aca="false">IF(ISNUMBER(AE468),1,0)</f>
        <v>0</v>
      </c>
      <c r="CF468" s="50" t="n">
        <f aca="false">N(AE468)</f>
        <v>0</v>
      </c>
      <c r="CG468" s="50" t="n">
        <f aca="false">N(M468)+N(N468)</f>
        <v>1</v>
      </c>
      <c r="CH468" s="50" t="n">
        <f aca="false">ROUNDUP(H468/BV468,0)</f>
        <v>1</v>
      </c>
      <c r="CI468" s="50" t="n">
        <f aca="false">ROUNDUP(CF468/BV468,0)</f>
        <v>0</v>
      </c>
      <c r="CJ468" s="53" t="n">
        <f aca="false">IF(BW468=1,0,IFERROR(VLOOKUP(BU468,'Gebinde-Kategorie'!$A$5:$N$45,5,0)+0,0))</f>
        <v>11</v>
      </c>
      <c r="CK468" s="53" t="n">
        <f aca="false">IFERROR(IF(OR(CB468=1,CB468=2,CB468=3),N(INDEX(Parameter!$I$5:$I$7,CB468)),0),0)</f>
        <v>0</v>
      </c>
      <c r="CL468" s="52" t="n">
        <f aca="false">IF(AND(Parameter!$B$21="Ja",ISNUMBER(W468),N(X468)&gt;0),IFERROR(N(INDEX(Parameter!$L$5:$L$7,W468))*INDEX(Parameter!$E$5:$E$7,W468)*X468/SUMIFS($X$7:$X$1843,$W$7:$W$1843,W468),0),0)</f>
        <v>0</v>
      </c>
    </row>
    <row r="469" customFormat="false" ht="15" hidden="false" customHeight="false" outlineLevel="0" collapsed="false">
      <c r="A469" s="48" t="s">
        <v>1053</v>
      </c>
      <c r="B469" s="48" t="s">
        <v>433</v>
      </c>
      <c r="C469" s="48" t="s">
        <v>168</v>
      </c>
      <c r="D469" s="48" t="s">
        <v>177</v>
      </c>
      <c r="E469" s="48"/>
      <c r="F469" s="48" t="s">
        <v>222</v>
      </c>
      <c r="G469" s="49" t="n">
        <v>54.97</v>
      </c>
      <c r="H469" s="50" t="n">
        <f aca="false">MAX(0,IF(AND(Parameter!$B$21="Ja",ISNUMBER(Y469)),Y469,IF(Parameter!$B$20="Jahresanfang 2025 + Export",BO469+BN469,BN469)))</f>
        <v>1</v>
      </c>
      <c r="I469" s="50" t="n">
        <f aca="false">H469*G469</f>
        <v>54.97</v>
      </c>
      <c r="J469" s="50" t="n">
        <f aca="false">BQ469*Parameter!$B$18</f>
        <v>0</v>
      </c>
      <c r="K469" s="51" t="n">
        <v>0.5</v>
      </c>
      <c r="L469" s="52" t="n">
        <v>0</v>
      </c>
      <c r="M469" s="50" t="n">
        <v>0</v>
      </c>
      <c r="N469" s="50" t="n">
        <v>1</v>
      </c>
      <c r="O469" s="53" t="n">
        <v>63</v>
      </c>
      <c r="P469" s="48" t="s">
        <v>172</v>
      </c>
      <c r="Q469" s="50"/>
      <c r="R469" s="53" t="n">
        <f aca="false">IF(BW469=1,0,IFERROR(VLOOKUP(BU469,'Gebinde-Kategorie'!$A$5:$N$45,13,0)+0,0))</f>
        <v>12</v>
      </c>
      <c r="S469" s="54"/>
      <c r="T469" s="55" t="s">
        <v>183</v>
      </c>
      <c r="U469" s="55"/>
      <c r="V469" s="55"/>
      <c r="W469" s="48"/>
      <c r="X469" s="50"/>
      <c r="Y469" s="50"/>
      <c r="Z469" s="48" t="n">
        <f aca="false">IF(A469="","",IF(AND(Parameter!$B$21="Ja",ISNUMBER(W469)),W469,IF(BZ469="2+3",IF(ISNUMBER(SEARCH("grosser Artikel",BR469)),2,IFERROR(VLOOKUP(BU469,Parameter!$F$35:$G$64,2,0),2)),IF(OR(BZ469="Nein",BZ469=""),"-",BZ469))))</f>
        <v>2</v>
      </c>
      <c r="AA469" s="55"/>
      <c r="AB469" s="56"/>
      <c r="AC469" s="50" t="n">
        <f aca="false">AT469</f>
        <v>4</v>
      </c>
      <c r="AD469" s="50" t="n">
        <f aca="false">MAX(AT469,H469)</f>
        <v>4</v>
      </c>
      <c r="AE469" s="57"/>
      <c r="AF469" s="50" t="n">
        <f aca="false">IF(LEFT(Cockpit!$C$5,1)="A",H469,IF(CE469=1,CF469,IF(LEFT(Cockpit!$C$5,1)="B",AK469,MAX(AK469,H469))))</f>
        <v>1</v>
      </c>
      <c r="AG469" s="50" t="n">
        <f aca="false">IF(BW469=1,0,ROUNDUP(AF469/BV469,0))</f>
        <v>1</v>
      </c>
      <c r="AH469" s="52" t="n">
        <f aca="false">IF(CL469&gt;0,CL469*MAX(1,AF469/X469),IF(BW469=1,IF(AF469&lt;=0,0,CA469*MAX(1,IF(H469&gt;0,AF469/H469,1))),IF(R469&gt;0,AG469/R469,0))/MAX(0.1,N(Parameter!$M$21)))</f>
        <v>0.0833333333333333</v>
      </c>
      <c r="AI469" s="50" t="n">
        <f aca="false">AH469*BY469</f>
        <v>12.0833333333333</v>
      </c>
      <c r="AJ469" s="50" t="n">
        <f aca="false">AF469*G469</f>
        <v>54.97</v>
      </c>
      <c r="AK469" s="50" t="n">
        <f aca="false">ROUNDUP(MAX(J469/IF(CD469&gt;0,CD469,MAX(0.1,N(Cockpit!$C$6))),CG469)/BV469,0)*BV469</f>
        <v>4</v>
      </c>
      <c r="AL469" s="51" t="n">
        <f aca="false">IF(AI469&gt;0,J469/AI469,-1)</f>
        <v>0</v>
      </c>
      <c r="AM469" s="51" t="n">
        <f aca="false">IF(AND(OR(CC469="L1",CC469="L23",CC469="LIFT"),AI469&gt;0),SUMIFS($AI$7:$AI$1843,$CC$7:$CC$1843,CC469,$AL$7:$AL$1843,"&gt;"&amp;AL469)+SUMIFS($AI$7:$AI$1843,$CC$7:$CC$1843,CC469,$AL$7:$AL$1843,AL469,$BT$7:$BT$1843,"&lt;="&amp;BT469),"")</f>
        <v>28165.2139959852</v>
      </c>
      <c r="AN469" s="58" t="n">
        <f aca="false">IF(AM469="",0,MAX(0,MIN(1,(IF(CC469="L1",Parameter!$H$5,IF(CC469="L23",Parameter!$H$6+Parameter!$H$7,Parameter!$H$5+Parameter!$H$6+Parameter!$H$7))-(AM469-AI469))/AI469)))</f>
        <v>1</v>
      </c>
      <c r="AO469" s="50" t="n">
        <f aca="false">IF(LEFT(Cockpit!$I$5,1)="A",H469,IF(CE469=1,CF469,IF(LEFT(Cockpit!$I$5,1)="B",AT469,MAX(AT469,H469))))</f>
        <v>4</v>
      </c>
      <c r="AP469" s="50" t="n">
        <f aca="false">IF(BW469=1,0,ROUNDUP(AO469/BV469,0))</f>
        <v>1</v>
      </c>
      <c r="AQ469" s="52" t="n">
        <f aca="false">IF(CL469&gt;0,CL469*MAX(1,AO469/X469),IF(BW469=1,IF(AO469&lt;=0,0,CA469*MAX(1,IF(H469&gt;0,AO469/H469,1))),IF(R469&gt;0,AP469/R469,0))/MAX(0.1,N(Parameter!$M$21)))</f>
        <v>0.0833333333333333</v>
      </c>
      <c r="AR469" s="50" t="n">
        <f aca="false">AQ469*BY469</f>
        <v>12.0833333333333</v>
      </c>
      <c r="AS469" s="50" t="n">
        <f aca="false">AO469*G469</f>
        <v>219.88</v>
      </c>
      <c r="AT469" s="50" t="n">
        <f aca="false">ROUNDUP(MAX(J469/IF(CD469&gt;0,CD469,MAX(0.1,N(Cockpit!$I$6))),CG469)/BV469,0)*BV469</f>
        <v>4</v>
      </c>
      <c r="AU469" s="51" t="n">
        <f aca="false">IF(AR469&gt;0,J469/AR469,-1)</f>
        <v>0</v>
      </c>
      <c r="AV469" s="51" t="n">
        <f aca="false">IF(AND(OR(CC469="L1",CC469="L23",CC469="LIFT"),AR469&gt;0),SUMIFS($AR$7:$AR$1843,$CC$7:$CC$1843,CC469,$AU$7:$AU$1843,"&gt;"&amp;AU469)+SUMIFS($AR$7:$AR$1843,$CC$7:$CC$1843,CC469,$AU$7:$AU$1843,AU469,$BT$7:$BT$1843,"&lt;="&amp;BT469),"")</f>
        <v>39478.1195132551</v>
      </c>
      <c r="AW469" s="58" t="n">
        <f aca="false">IF(AV469="",0,MAX(0,MIN(1,(IF(CC469="L1",Parameter!$H$5,IF(CC469="L23",Parameter!$H$6+Parameter!$H$7,Parameter!$H$5+Parameter!$H$6+Parameter!$H$7))-(AV469-AR469))/AR469)))</f>
        <v>0</v>
      </c>
      <c r="AX469" s="50" t="n">
        <f aca="false">IF(LEFT(Cockpit!$O$5,1)="A",H469,IF(CE469=1,CF469,IF(LEFT(Cockpit!$O$5,1)="B",BC469,MAX(BC469,H469))))</f>
        <v>4</v>
      </c>
      <c r="AY469" s="50" t="n">
        <f aca="false">IF(BW469=1,0,ROUNDUP(AX469/BV469,0))</f>
        <v>1</v>
      </c>
      <c r="AZ469" s="52" t="n">
        <f aca="false">IF(CL469&gt;0,CL469*MAX(1,AX469/X469),IF(BW469=1,IF(AX469&lt;=0,0,CA469*MAX(1,IF(H469&gt;0,AX469/H469,1))),IF(R469&gt;0,AY469/R469,0))/MAX(0.1,N(Parameter!$M$21)))</f>
        <v>0.0833333333333333</v>
      </c>
      <c r="BA469" s="50" t="n">
        <f aca="false">AZ469*BY469</f>
        <v>12.0833333333333</v>
      </c>
      <c r="BB469" s="50" t="n">
        <f aca="false">AX469*G469</f>
        <v>219.88</v>
      </c>
      <c r="BC469" s="50" t="n">
        <f aca="false">ROUNDUP(MAX(J469/IF(CD469&gt;0,CD469,MAX(0.1,N(Cockpit!$O$6))),CG469)/BV469,0)*BV469</f>
        <v>4</v>
      </c>
      <c r="BD469" s="51" t="n">
        <f aca="false">IF(BA469&gt;0,J469/BA469,-1)</f>
        <v>0</v>
      </c>
      <c r="BE469" s="51" t="n">
        <f aca="false">IF(AND(OR(CC469="L1",CC469="L23",CC469="LIFT"),BA469&gt;0),SUMIFS($BA$7:$BA$1843,$CC$7:$CC$1843,CC469,$BD$7:$BD$1843,"&gt;"&amp;BD469)+SUMIFS($BA$7:$BA$1843,$CC$7:$CC$1843,CC469,$BD$7:$BD$1843,BD469,$BT$7:$BT$1843,"&lt;="&amp;BT469),"")</f>
        <v>36153.131555121</v>
      </c>
      <c r="BF469" s="58" t="n">
        <f aca="false">IF(BE469="",0,MAX(0,MIN(1,(IF(CC469="L1",Parameter!$H$5,IF(CC469="L23",Parameter!$H$6+Parameter!$H$7,Parameter!$H$5+Parameter!$H$6+Parameter!$H$7))-(BE469-BA469))/BA469)))</f>
        <v>0</v>
      </c>
      <c r="BG469" s="48" t="str">
        <f aca="false">IF(AI469&lt;=0,"",IF(CC469="Aussen","Aussenlager",IF(CC469="-","Nicht im Lift",IF(AN469&gt;=1,"Lift",IF(AN469&lt;=0,"Aussenlager","teilweise")))))</f>
        <v>Lift</v>
      </c>
      <c r="BH469" s="48" t="str">
        <f aca="false">IF(AR469&lt;=0,"",IF(CC469="Aussen","Aussenlager",IF(CC469="-","Nicht im Lift",IF(AW469&gt;=1,"Lift",IF(AW469&lt;=0,"Aussenlager","teilweise")))))</f>
        <v>Aussenlager</v>
      </c>
      <c r="BI469" s="48" t="str">
        <f aca="false">IF(BA469&lt;=0,"",IF(CC469="Aussen","Aussenlager",IF(CC469="-","Nicht im Lift",IF(BF469&gt;=1,"Lift",IF(BF469&lt;=0,"Aussenlager","teilweise")))))</f>
        <v>Aussenlager</v>
      </c>
      <c r="BJ469" s="48" t="str">
        <f aca="false">IF(A469="","",IF(BS469=1,"Neu; ","")&amp;IF(AND(BS469=0,BN469&lt;0),"negativer Bestand (Export "&amp;BN469&amp;"); ","")&amp;IF(J469&lt;=0,"Kein Verbrauch; ","")&amp;IF(CL469&gt;0,"Lift "&amp;W469&amp;" lt. Liftbericht (Fach "&amp;X469&amp;" Stk); ",IF(BX469=1,"Gebinde geschätzt ("&amp;T469&amp;"); ",IF(BW469=1,"Lose – Tablare geschätzt; ","")))&amp;IF(H469&gt;AT469,"Überbestand "&amp;ROUND(H469-AT469,0)&amp;" Stk / CHF "&amp;ROUND((H469-AT469)*G469,0)&amp;"; ","")&amp;IF(AND(CE469=1,CF469&lt;CG469),"MAX &lt; MB+LG; ","")&amp;IF(AND(CK469&gt;0,CJ469*10&gt;CK469),"zu hoch für Tablar; ","")&amp;IF(AND(BS469=0,OR(CE469=1,AA469&lt;&gt;"",U469&lt;&gt;"",V469&lt;&gt;"",AB469&lt;&gt;"")),"manuell übersteuert; ","")&amp;IF(AND(BW469=0,R469=0),"Gebinde unbekannt / Stellmass fehlt; ","")&amp;IF(AND(BW469=0,N(V469)&lt;=0,N(Q469)&lt;=0),"Menge pro Gebinde fehlt (Ist = 1 Gebinde); ","")&amp;BR469)</f>
        <v>Kein Verbrauch; Gebinde geschätzt (Mittel); Menge pro Gebinde fehlt (Ist = 1 Gebinde); </v>
      </c>
      <c r="BK469" s="48"/>
      <c r="BL469" s="48"/>
      <c r="BM469" s="55"/>
      <c r="BN469" s="50" t="n">
        <v>1</v>
      </c>
      <c r="BO469" s="50" t="n">
        <v>0</v>
      </c>
      <c r="BP469" s="49" t="n">
        <v>54.97</v>
      </c>
      <c r="BQ469" s="50" t="n">
        <v>0</v>
      </c>
      <c r="BR469" s="48"/>
      <c r="BS469" s="53" t="n">
        <v>0</v>
      </c>
      <c r="BT469" s="53" t="n">
        <v>469</v>
      </c>
      <c r="BU469" s="48" t="str">
        <f aca="false">IF(U469&lt;&gt;"",UPPER(TRIM(U469)),IF(BX469=1,UPPER(VLOOKUP(T469,Parameter!$I$27:$K$29,2,0)),IF(P469="","LOSE",P469)))</f>
        <v>S61</v>
      </c>
      <c r="BV469" s="50" t="n">
        <f aca="false">IF(BU469="LOSE",1,IF(N(V469)&gt;0,V469,IF(BX469=1,MAX(1,N(VLOOKUP(T469,Parameter!$I$27:$K$29,3,0)),H469,N(N469)),IF(N(Q469)&gt;0,Q469,MAX(1,H469)))))</f>
        <v>4</v>
      </c>
      <c r="BW469" s="53" t="n">
        <f aca="false">IF(BU469="LOSE",1,0)</f>
        <v>0</v>
      </c>
      <c r="BX469" s="53" t="n">
        <f aca="false">IF(AND(U469="",OR(P469="",P469="LOSE"),T469&lt;&gt;"",N(S469)&lt;=0,ISNUMBER(MATCH(T469,Parameter!$I$27:$I$29,0))),1,0)</f>
        <v>1</v>
      </c>
      <c r="BY469" s="53" t="n">
        <f aca="false">IF(CL469&gt;0,INDEX(Parameter!$H$5:$H$7,W469)/INDEX(Parameter!$E$5:$E$7,W469),IF(AND(BW469=0,N(IFERROR(VLOOKUP(BU469,'Gebinde-Kategorie'!$A$5:$N$45,14,0),0))&gt;0),VLOOKUP(BU469,'Gebinde-Kategorie'!$A$5:$N$45,14,0)*10+Parameter!$M$23,Parameter!$M$24))</f>
        <v>145</v>
      </c>
      <c r="BZ469" s="48" t="str">
        <f aca="false">IF(AND(Parameter!$B$19="Ja",E469&lt;&gt;"",ISNUMBER(MATCH(E469,Parameter!$I$35:$I$52,0))),VLOOKUP(E469,Parameter!$I$35:$J$52,2,0),IFERROR(VLOOKUP(D469,Parameter!$A$35:$C$64,2,0),"Nein"))</f>
        <v>2+3</v>
      </c>
      <c r="CA469" s="52" t="n">
        <f aca="false">IF(BW469=0,0,IF(N(S469)&gt;0,S469,IFERROR(VLOOKUP(D469,Parameter!$A$35:$C$64,3,0)+0,0)))</f>
        <v>0</v>
      </c>
      <c r="CB469" s="48" t="n">
        <f aca="false">IF(AA469&lt;&gt;"",AA469,Z469)</f>
        <v>2</v>
      </c>
      <c r="CC469" s="48" t="str">
        <f aca="false">IF(OR(CB469=1,CB469=2,CB469=3),IF(Parameter!$E$27="Ja","LIFT",IF(CB469=1,"L1","L23")),IF(CB469="Aussen","Aussen","-"))</f>
        <v>LIFT</v>
      </c>
      <c r="CD469" s="59" t="n">
        <f aca="false">IF(N(AB469)&gt;0,AB469,0)</f>
        <v>0</v>
      </c>
      <c r="CE469" s="53" t="n">
        <f aca="false">IF(ISNUMBER(AE469),1,0)</f>
        <v>0</v>
      </c>
      <c r="CF469" s="50" t="n">
        <f aca="false">N(AE469)</f>
        <v>0</v>
      </c>
      <c r="CG469" s="50" t="n">
        <f aca="false">N(M469)+N(N469)</f>
        <v>1</v>
      </c>
      <c r="CH469" s="50" t="n">
        <f aca="false">ROUNDUP(H469/BV469,0)</f>
        <v>1</v>
      </c>
      <c r="CI469" s="50" t="n">
        <f aca="false">ROUNDUP(CF469/BV469,0)</f>
        <v>0</v>
      </c>
      <c r="CJ469" s="53" t="n">
        <f aca="false">IF(BW469=1,0,IFERROR(VLOOKUP(BU469,'Gebinde-Kategorie'!$A$5:$N$45,5,0)+0,0))</f>
        <v>11</v>
      </c>
      <c r="CK469" s="53" t="n">
        <f aca="false">IFERROR(IF(OR(CB469=1,CB469=2,CB469=3),N(INDEX(Parameter!$I$5:$I$7,CB469)),0),0)</f>
        <v>0</v>
      </c>
      <c r="CL469" s="52" t="n">
        <f aca="false">IF(AND(Parameter!$B$21="Ja",ISNUMBER(W469),N(X469)&gt;0),IFERROR(N(INDEX(Parameter!$L$5:$L$7,W469))*INDEX(Parameter!$E$5:$E$7,W469)*X469/SUMIFS($X$7:$X$1843,$W$7:$W$1843,W469),0),0)</f>
        <v>0</v>
      </c>
    </row>
    <row r="470" customFormat="false" ht="15" hidden="false" customHeight="false" outlineLevel="0" collapsed="false">
      <c r="A470" s="48" t="s">
        <v>1054</v>
      </c>
      <c r="B470" s="48" t="s">
        <v>1055</v>
      </c>
      <c r="C470" s="48" t="s">
        <v>168</v>
      </c>
      <c r="D470" s="48" t="s">
        <v>188</v>
      </c>
      <c r="E470" s="48"/>
      <c r="F470" s="48" t="s">
        <v>222</v>
      </c>
      <c r="G470" s="49" t="n">
        <v>54.56</v>
      </c>
      <c r="H470" s="50" t="n">
        <f aca="false">MAX(0,IF(AND(Parameter!$B$21="Ja",ISNUMBER(Y470)),Y470,IF(Parameter!$B$20="Jahresanfang 2025 + Export",BO470+BN470,BN470)))</f>
        <v>32</v>
      </c>
      <c r="I470" s="50" t="n">
        <f aca="false">H470*G470</f>
        <v>1745.92</v>
      </c>
      <c r="J470" s="50" t="n">
        <f aca="false">BQ470*Parameter!$B$18</f>
        <v>0</v>
      </c>
      <c r="K470" s="51" t="n">
        <v>31.5</v>
      </c>
      <c r="L470" s="52" t="n">
        <v>0</v>
      </c>
      <c r="M470" s="50" t="n">
        <v>0</v>
      </c>
      <c r="N470" s="50" t="n">
        <v>1</v>
      </c>
      <c r="O470" s="53" t="n">
        <v>28</v>
      </c>
      <c r="P470" s="48" t="s">
        <v>230</v>
      </c>
      <c r="Q470" s="50" t="n">
        <v>40</v>
      </c>
      <c r="R470" s="53" t="n">
        <f aca="false">IF(BW470=1,0,IFERROR(VLOOKUP(BU470,'Gebinde-Kategorie'!$A$5:$N$45,13,0)+0,0))</f>
        <v>12</v>
      </c>
      <c r="S470" s="54"/>
      <c r="T470" s="55"/>
      <c r="U470" s="55"/>
      <c r="V470" s="55"/>
      <c r="W470" s="48"/>
      <c r="X470" s="50"/>
      <c r="Y470" s="50"/>
      <c r="Z470" s="48" t="n">
        <f aca="false">IF(A470="","",IF(AND(Parameter!$B$21="Ja",ISNUMBER(W470)),W470,IF(BZ470="2+3",IF(ISNUMBER(SEARCH("grosser Artikel",BR470)),2,IFERROR(VLOOKUP(BU470,Parameter!$F$35:$G$64,2,0),2)),IF(OR(BZ470="Nein",BZ470=""),"-",BZ470))))</f>
        <v>2</v>
      </c>
      <c r="AA470" s="55"/>
      <c r="AB470" s="56"/>
      <c r="AC470" s="50" t="n">
        <f aca="false">AT470</f>
        <v>40</v>
      </c>
      <c r="AD470" s="50" t="n">
        <f aca="false">MAX(AT470,H470)</f>
        <v>40</v>
      </c>
      <c r="AE470" s="57"/>
      <c r="AF470" s="50" t="n">
        <f aca="false">IF(LEFT(Cockpit!$C$5,1)="A",H470,IF(CE470=1,CF470,IF(LEFT(Cockpit!$C$5,1)="B",AK470,MAX(AK470,H470))))</f>
        <v>32</v>
      </c>
      <c r="AG470" s="50" t="n">
        <f aca="false">IF(BW470=1,0,ROUNDUP(AF470/BV470,0))</f>
        <v>1</v>
      </c>
      <c r="AH470" s="52" t="n">
        <f aca="false">IF(CL470&gt;0,CL470*MAX(1,AF470/X470),IF(BW470=1,IF(AF470&lt;=0,0,CA470*MAX(1,IF(H470&gt;0,AF470/H470,1))),IF(R470&gt;0,AG470/R470,0))/MAX(0.1,N(Parameter!$M$21)))</f>
        <v>0.0833333333333333</v>
      </c>
      <c r="AI470" s="50" t="n">
        <f aca="false">AH470*BY470</f>
        <v>28.75</v>
      </c>
      <c r="AJ470" s="50" t="n">
        <f aca="false">AF470*G470</f>
        <v>1745.92</v>
      </c>
      <c r="AK470" s="50" t="n">
        <f aca="false">ROUNDUP(MAX(J470/IF(CD470&gt;0,CD470,MAX(0.1,N(Cockpit!$C$6))),CG470)/BV470,0)*BV470</f>
        <v>40</v>
      </c>
      <c r="AL470" s="51" t="n">
        <f aca="false">IF(AI470&gt;0,J470/AI470,-1)</f>
        <v>0</v>
      </c>
      <c r="AM470" s="51" t="n">
        <f aca="false">IF(AND(OR(CC470="L1",CC470="L23",CC470="LIFT"),AI470&gt;0),SUMIFS($AI$7:$AI$1843,$CC$7:$CC$1843,CC470,$AL$7:$AL$1843,"&gt;"&amp;AL470)+SUMIFS($AI$7:$AI$1843,$CC$7:$CC$1843,CC470,$AL$7:$AL$1843,AL470,$BT$7:$BT$1843,"&lt;="&amp;BT470),"")</f>
        <v>28193.9639959852</v>
      </c>
      <c r="AN470" s="58" t="n">
        <f aca="false">IF(AM470="",0,MAX(0,MIN(1,(IF(CC470="L1",Parameter!$H$5,IF(CC470="L23",Parameter!$H$6+Parameter!$H$7,Parameter!$H$5+Parameter!$H$6+Parameter!$H$7))-(AM470-AI470))/AI470)))</f>
        <v>1</v>
      </c>
      <c r="AO470" s="50" t="n">
        <f aca="false">IF(LEFT(Cockpit!$I$5,1)="A",H470,IF(CE470=1,CF470,IF(LEFT(Cockpit!$I$5,1)="B",AT470,MAX(AT470,H470))))</f>
        <v>40</v>
      </c>
      <c r="AP470" s="50" t="n">
        <f aca="false">IF(BW470=1,0,ROUNDUP(AO470/BV470,0))</f>
        <v>1</v>
      </c>
      <c r="AQ470" s="52" t="n">
        <f aca="false">IF(CL470&gt;0,CL470*MAX(1,AO470/X470),IF(BW470=1,IF(AO470&lt;=0,0,CA470*MAX(1,IF(H470&gt;0,AO470/H470,1))),IF(R470&gt;0,AP470/R470,0))/MAX(0.1,N(Parameter!$M$21)))</f>
        <v>0.0833333333333333</v>
      </c>
      <c r="AR470" s="50" t="n">
        <f aca="false">AQ470*BY470</f>
        <v>28.75</v>
      </c>
      <c r="AS470" s="50" t="n">
        <f aca="false">AO470*G470</f>
        <v>2182.4</v>
      </c>
      <c r="AT470" s="50" t="n">
        <f aca="false">ROUNDUP(MAX(J470/IF(CD470&gt;0,CD470,MAX(0.1,N(Cockpit!$I$6))),CG470)/BV470,0)*BV470</f>
        <v>40</v>
      </c>
      <c r="AU470" s="51" t="n">
        <f aca="false">IF(AR470&gt;0,J470/AR470,-1)</f>
        <v>0</v>
      </c>
      <c r="AV470" s="51" t="n">
        <f aca="false">IF(AND(OR(CC470="L1",CC470="L23",CC470="LIFT"),AR470&gt;0),SUMIFS($AR$7:$AR$1843,$CC$7:$CC$1843,CC470,$AU$7:$AU$1843,"&gt;"&amp;AU470)+SUMIFS($AR$7:$AR$1843,$CC$7:$CC$1843,CC470,$AU$7:$AU$1843,AU470,$BT$7:$BT$1843,"&lt;="&amp;BT470),"")</f>
        <v>39506.8695132551</v>
      </c>
      <c r="AW470" s="58" t="n">
        <f aca="false">IF(AV470="",0,MAX(0,MIN(1,(IF(CC470="L1",Parameter!$H$5,IF(CC470="L23",Parameter!$H$6+Parameter!$H$7,Parameter!$H$5+Parameter!$H$6+Parameter!$H$7))-(AV470-AR470))/AR470)))</f>
        <v>0</v>
      </c>
      <c r="AX470" s="50" t="n">
        <f aca="false">IF(LEFT(Cockpit!$O$5,1)="A",H470,IF(CE470=1,CF470,IF(LEFT(Cockpit!$O$5,1)="B",BC470,MAX(BC470,H470))))</f>
        <v>40</v>
      </c>
      <c r="AY470" s="50" t="n">
        <f aca="false">IF(BW470=1,0,ROUNDUP(AX470/BV470,0))</f>
        <v>1</v>
      </c>
      <c r="AZ470" s="52" t="n">
        <f aca="false">IF(CL470&gt;0,CL470*MAX(1,AX470/X470),IF(BW470=1,IF(AX470&lt;=0,0,CA470*MAX(1,IF(H470&gt;0,AX470/H470,1))),IF(R470&gt;0,AY470/R470,0))/MAX(0.1,N(Parameter!$M$21)))</f>
        <v>0.0833333333333333</v>
      </c>
      <c r="BA470" s="50" t="n">
        <f aca="false">AZ470*BY470</f>
        <v>28.75</v>
      </c>
      <c r="BB470" s="50" t="n">
        <f aca="false">AX470*G470</f>
        <v>2182.4</v>
      </c>
      <c r="BC470" s="50" t="n">
        <f aca="false">ROUNDUP(MAX(J470/IF(CD470&gt;0,CD470,MAX(0.1,N(Cockpit!$O$6))),CG470)/BV470,0)*BV470</f>
        <v>40</v>
      </c>
      <c r="BD470" s="51" t="n">
        <f aca="false">IF(BA470&gt;0,J470/BA470,-1)</f>
        <v>0</v>
      </c>
      <c r="BE470" s="51" t="n">
        <f aca="false">IF(AND(OR(CC470="L1",CC470="L23",CC470="LIFT"),BA470&gt;0),SUMIFS($BA$7:$BA$1843,$CC$7:$CC$1843,CC470,$BD$7:$BD$1843,"&gt;"&amp;BD470)+SUMIFS($BA$7:$BA$1843,$CC$7:$CC$1843,CC470,$BD$7:$BD$1843,BD470,$BT$7:$BT$1843,"&lt;="&amp;BT470),"")</f>
        <v>36181.881555121</v>
      </c>
      <c r="BF470" s="58" t="n">
        <f aca="false">IF(BE470="",0,MAX(0,MIN(1,(IF(CC470="L1",Parameter!$H$5,IF(CC470="L23",Parameter!$H$6+Parameter!$H$7,Parameter!$H$5+Parameter!$H$6+Parameter!$H$7))-(BE470-BA470))/BA470)))</f>
        <v>0</v>
      </c>
      <c r="BG470" s="48" t="str">
        <f aca="false">IF(AI470&lt;=0,"",IF(CC470="Aussen","Aussenlager",IF(CC470="-","Nicht im Lift",IF(AN470&gt;=1,"Lift",IF(AN470&lt;=0,"Aussenlager","teilweise")))))</f>
        <v>Lift</v>
      </c>
      <c r="BH470" s="48" t="str">
        <f aca="false">IF(AR470&lt;=0,"",IF(CC470="Aussen","Aussenlager",IF(CC470="-","Nicht im Lift",IF(AW470&gt;=1,"Lift",IF(AW470&lt;=0,"Aussenlager","teilweise")))))</f>
        <v>Aussenlager</v>
      </c>
      <c r="BI470" s="48" t="str">
        <f aca="false">IF(BA470&lt;=0,"",IF(CC470="Aussen","Aussenlager",IF(CC470="-","Nicht im Lift",IF(BF470&gt;=1,"Lift",IF(BF470&lt;=0,"Aussenlager","teilweise")))))</f>
        <v>Aussenlager</v>
      </c>
      <c r="BJ470" s="48" t="str">
        <f aca="false">IF(A470="","",IF(BS470=1,"Neu; ","")&amp;IF(AND(BS470=0,BN470&lt;0),"negativer Bestand (Export "&amp;BN470&amp;"); ","")&amp;IF(J470&lt;=0,"Kein Verbrauch; ","")&amp;IF(CL470&gt;0,"Lift "&amp;W470&amp;" lt. Liftbericht (Fach "&amp;X470&amp;" Stk); ",IF(BX470=1,"Gebinde geschätzt ("&amp;T470&amp;"); ",IF(BW470=1,"Lose – Tablare geschätzt; ","")))&amp;IF(H470&gt;AT470,"Überbestand "&amp;ROUND(H470-AT470,0)&amp;" Stk / CHF "&amp;ROUND((H470-AT470)*G470,0)&amp;"; ","")&amp;IF(AND(CE470=1,CF470&lt;CG470),"MAX &lt; MB+LG; ","")&amp;IF(AND(CK470&gt;0,CJ470*10&gt;CK470),"zu hoch für Tablar; ","")&amp;IF(AND(BS470=0,OR(CE470=1,AA470&lt;&gt;"",U470&lt;&gt;"",V470&lt;&gt;"",AB470&lt;&gt;"")),"manuell übersteuert; ","")&amp;IF(AND(BW470=0,R470=0),"Gebinde unbekannt / Stellmass fehlt; ","")&amp;IF(AND(BW470=0,N(V470)&lt;=0,N(Q470)&lt;=0),"Menge pro Gebinde fehlt (Ist = 1 Gebinde); ","")&amp;BR470)</f>
        <v>Kein Verbrauch; </v>
      </c>
      <c r="BK470" s="48"/>
      <c r="BL470" s="48"/>
      <c r="BM470" s="55"/>
      <c r="BN470" s="50" t="n">
        <v>1</v>
      </c>
      <c r="BO470" s="50" t="n">
        <v>31</v>
      </c>
      <c r="BP470" s="49" t="n">
        <v>54.56</v>
      </c>
      <c r="BQ470" s="50" t="n">
        <v>0</v>
      </c>
      <c r="BR470" s="48"/>
      <c r="BS470" s="53" t="n">
        <v>0</v>
      </c>
      <c r="BT470" s="53" t="n">
        <v>470</v>
      </c>
      <c r="BU470" s="48" t="str">
        <f aca="false">IF(U470&lt;&gt;"",UPPER(TRIM(U470)),IF(BX470=1,UPPER(VLOOKUP(T470,Parameter!$I$27:$K$29,2,0)),IF(P470="","LOSE",P470)))</f>
        <v>S63</v>
      </c>
      <c r="BV470" s="50" t="n">
        <f aca="false">IF(BU470="LOSE",1,IF(N(V470)&gt;0,V470,IF(BX470=1,MAX(1,N(VLOOKUP(T470,Parameter!$I$27:$K$29,3,0)),H470,N(N470)),IF(N(Q470)&gt;0,Q470,MAX(1,H470)))))</f>
        <v>40</v>
      </c>
      <c r="BW470" s="53" t="n">
        <f aca="false">IF(BU470="LOSE",1,0)</f>
        <v>0</v>
      </c>
      <c r="BX470" s="53" t="n">
        <f aca="false">IF(AND(U470="",OR(P470="",P470="LOSE"),T470&lt;&gt;"",N(S470)&lt;=0,ISNUMBER(MATCH(T470,Parameter!$I$27:$I$29,0))),1,0)</f>
        <v>0</v>
      </c>
      <c r="BY470" s="53" t="n">
        <f aca="false">IF(CL470&gt;0,INDEX(Parameter!$H$5:$H$7,W470)/INDEX(Parameter!$E$5:$E$7,W470),IF(AND(BW470=0,N(IFERROR(VLOOKUP(BU470,'Gebinde-Kategorie'!$A$5:$N$45,14,0),0))&gt;0),VLOOKUP(BU470,'Gebinde-Kategorie'!$A$5:$N$45,14,0)*10+Parameter!$M$23,Parameter!$M$24))</f>
        <v>345</v>
      </c>
      <c r="BZ470" s="48" t="str">
        <f aca="false">IF(AND(Parameter!$B$19="Ja",E470&lt;&gt;"",ISNUMBER(MATCH(E470,Parameter!$I$35:$I$52,0))),VLOOKUP(E470,Parameter!$I$35:$J$52,2,0),IFERROR(VLOOKUP(D470,Parameter!$A$35:$C$64,2,0),"Nein"))</f>
        <v>2+3</v>
      </c>
      <c r="CA470" s="52" t="n">
        <f aca="false">IF(BW470=0,0,IF(N(S470)&gt;0,S470,IFERROR(VLOOKUP(D470,Parameter!$A$35:$C$64,3,0)+0,0)))</f>
        <v>0</v>
      </c>
      <c r="CB470" s="48" t="n">
        <f aca="false">IF(AA470&lt;&gt;"",AA470,Z470)</f>
        <v>2</v>
      </c>
      <c r="CC470" s="48" t="str">
        <f aca="false">IF(OR(CB470=1,CB470=2,CB470=3),IF(Parameter!$E$27="Ja","LIFT",IF(CB470=1,"L1","L23")),IF(CB470="Aussen","Aussen","-"))</f>
        <v>LIFT</v>
      </c>
      <c r="CD470" s="59" t="n">
        <f aca="false">IF(N(AB470)&gt;0,AB470,0)</f>
        <v>0</v>
      </c>
      <c r="CE470" s="53" t="n">
        <f aca="false">IF(ISNUMBER(AE470),1,0)</f>
        <v>0</v>
      </c>
      <c r="CF470" s="50" t="n">
        <f aca="false">N(AE470)</f>
        <v>0</v>
      </c>
      <c r="CG470" s="50" t="n">
        <f aca="false">N(M470)+N(N470)</f>
        <v>1</v>
      </c>
      <c r="CH470" s="50" t="n">
        <f aca="false">ROUNDUP(H470/BV470,0)</f>
        <v>1</v>
      </c>
      <c r="CI470" s="50" t="n">
        <f aca="false">ROUNDUP(CF470/BV470,0)</f>
        <v>0</v>
      </c>
      <c r="CJ470" s="53" t="n">
        <f aca="false">IF(BW470=1,0,IFERROR(VLOOKUP(BU470,'Gebinde-Kategorie'!$A$5:$N$45,5,0)+0,0))</f>
        <v>31</v>
      </c>
      <c r="CK470" s="53" t="n">
        <f aca="false">IFERROR(IF(OR(CB470=1,CB470=2,CB470=3),N(INDEX(Parameter!$I$5:$I$7,CB470)),0),0)</f>
        <v>0</v>
      </c>
      <c r="CL470" s="52" t="n">
        <f aca="false">IF(AND(Parameter!$B$21="Ja",ISNUMBER(W470),N(X470)&gt;0),IFERROR(N(INDEX(Parameter!$L$5:$L$7,W470))*INDEX(Parameter!$E$5:$E$7,W470)*X470/SUMIFS($X$7:$X$1843,$W$7:$W$1843,W470),0),0)</f>
        <v>0</v>
      </c>
    </row>
    <row r="471" customFormat="false" ht="15" hidden="false" customHeight="false" outlineLevel="0" collapsed="false">
      <c r="A471" s="48" t="s">
        <v>1056</v>
      </c>
      <c r="B471" s="48" t="s">
        <v>759</v>
      </c>
      <c r="C471" s="48" t="s">
        <v>168</v>
      </c>
      <c r="D471" s="48" t="s">
        <v>188</v>
      </c>
      <c r="E471" s="48"/>
      <c r="F471" s="48" t="s">
        <v>222</v>
      </c>
      <c r="G471" s="49" t="n">
        <v>43.08</v>
      </c>
      <c r="H471" s="50" t="n">
        <f aca="false">MAX(0,IF(AND(Parameter!$B$21="Ja",ISNUMBER(Y471)),Y471,IF(Parameter!$B$20="Jahresanfang 2025 + Export",BO471+BN471,BN471)))</f>
        <v>15</v>
      </c>
      <c r="I471" s="50" t="n">
        <f aca="false">H471*G471</f>
        <v>646.2</v>
      </c>
      <c r="J471" s="50" t="n">
        <f aca="false">BQ471*Parameter!$B$18</f>
        <v>8</v>
      </c>
      <c r="K471" s="51" t="n">
        <v>17.5</v>
      </c>
      <c r="L471" s="52" t="n">
        <v>0.457142857142857</v>
      </c>
      <c r="M471" s="50" t="n">
        <v>0</v>
      </c>
      <c r="N471" s="50" t="n">
        <v>10</v>
      </c>
      <c r="O471" s="53" t="n">
        <v>35</v>
      </c>
      <c r="P471" s="48" t="s">
        <v>430</v>
      </c>
      <c r="Q471" s="50" t="n">
        <v>11</v>
      </c>
      <c r="R471" s="53" t="n">
        <f aca="false">IF(BW471=1,0,IFERROR(VLOOKUP(BU471,'Gebinde-Kategorie'!$A$5:$N$45,13,0)+0,0))</f>
        <v>140</v>
      </c>
      <c r="S471" s="54"/>
      <c r="T471" s="55"/>
      <c r="U471" s="55"/>
      <c r="V471" s="55"/>
      <c r="W471" s="48"/>
      <c r="X471" s="50"/>
      <c r="Y471" s="50"/>
      <c r="Z471" s="48" t="n">
        <f aca="false">IF(A471="","",IF(AND(Parameter!$B$21="Ja",ISNUMBER(W471)),W471,IF(BZ471="2+3",IF(ISNUMBER(SEARCH("grosser Artikel",BR471)),2,IFERROR(VLOOKUP(BU471,Parameter!$F$35:$G$64,2,0),2)),IF(OR(BZ471="Nein",BZ471=""),"-",BZ471))))</f>
        <v>3</v>
      </c>
      <c r="AA471" s="55"/>
      <c r="AB471" s="56"/>
      <c r="AC471" s="50" t="n">
        <f aca="false">AT471</f>
        <v>11</v>
      </c>
      <c r="AD471" s="50" t="n">
        <f aca="false">MAX(AT471,H471)</f>
        <v>15</v>
      </c>
      <c r="AE471" s="57"/>
      <c r="AF471" s="50" t="n">
        <f aca="false">IF(LEFT(Cockpit!$C$5,1)="A",H471,IF(CE471=1,CF471,IF(LEFT(Cockpit!$C$5,1)="B",AK471,MAX(AK471,H471))))</f>
        <v>15</v>
      </c>
      <c r="AG471" s="50" t="n">
        <f aca="false">IF(BW471=1,0,ROUNDUP(AF471/BV471,0))</f>
        <v>2</v>
      </c>
      <c r="AH471" s="52" t="n">
        <f aca="false">IF(CL471&gt;0,CL471*MAX(1,AF471/X471),IF(BW471=1,IF(AF471&lt;=0,0,CA471*MAX(1,IF(H471&gt;0,AF471/H471,1))),IF(R471&gt;0,AG471/R471,0))/MAX(0.1,N(Parameter!$M$21)))</f>
        <v>0.0142857142857143</v>
      </c>
      <c r="AI471" s="50" t="n">
        <f aca="false">AH471*BY471</f>
        <v>2.21428571428571</v>
      </c>
      <c r="AJ471" s="50" t="n">
        <f aca="false">AF471*G471</f>
        <v>646.2</v>
      </c>
      <c r="AK471" s="50" t="n">
        <f aca="false">ROUNDUP(MAX(J471/IF(CD471&gt;0,CD471,MAX(0.1,N(Cockpit!$C$6))),CG471)/BV471,0)*BV471</f>
        <v>11</v>
      </c>
      <c r="AL471" s="51" t="n">
        <f aca="false">IF(AI471&gt;0,J471/AI471,-1)</f>
        <v>3.61290322580645</v>
      </c>
      <c r="AM471" s="51" t="n">
        <f aca="false">IF(AND(OR(CC471="L1",CC471="L23",CC471="LIFT"),AI471&gt;0),SUMIFS($AI$7:$AI$1843,$CC$7:$CC$1843,CC471,$AL$7:$AL$1843,"&gt;"&amp;AL471)+SUMIFS($AI$7:$AI$1843,$CC$7:$CC$1843,CC471,$AL$7:$AL$1843,AL471,$BT$7:$BT$1843,"&lt;="&amp;BT471),"")</f>
        <v>4824.55265567766</v>
      </c>
      <c r="AN471" s="58" t="n">
        <f aca="false">IF(AM471="",0,MAX(0,MIN(1,(IF(CC471="L1",Parameter!$H$5,IF(CC471="L23",Parameter!$H$6+Parameter!$H$7,Parameter!$H$5+Parameter!$H$6+Parameter!$H$7))-(AM471-AI471))/AI471)))</f>
        <v>1</v>
      </c>
      <c r="AO471" s="50" t="n">
        <f aca="false">IF(LEFT(Cockpit!$I$5,1)="A",H471,IF(CE471=1,CF471,IF(LEFT(Cockpit!$I$5,1)="B",AT471,MAX(AT471,H471))))</f>
        <v>15</v>
      </c>
      <c r="AP471" s="50" t="n">
        <f aca="false">IF(BW471=1,0,ROUNDUP(AO471/BV471,0))</f>
        <v>2</v>
      </c>
      <c r="AQ471" s="52" t="n">
        <f aca="false">IF(CL471&gt;0,CL471*MAX(1,AO471/X471),IF(BW471=1,IF(AO471&lt;=0,0,CA471*MAX(1,IF(H471&gt;0,AO471/H471,1))),IF(R471&gt;0,AP471/R471,0))/MAX(0.1,N(Parameter!$M$21)))</f>
        <v>0.0142857142857143</v>
      </c>
      <c r="AR471" s="50" t="n">
        <f aca="false">AQ471*BY471</f>
        <v>2.21428571428571</v>
      </c>
      <c r="AS471" s="50" t="n">
        <f aca="false">AO471*G471</f>
        <v>646.2</v>
      </c>
      <c r="AT471" s="50" t="n">
        <f aca="false">ROUNDUP(MAX(J471/IF(CD471&gt;0,CD471,MAX(0.1,N(Cockpit!$I$6))),CG471)/BV471,0)*BV471</f>
        <v>11</v>
      </c>
      <c r="AU471" s="51" t="n">
        <f aca="false">IF(AR471&gt;0,J471/AR471,-1)</f>
        <v>3.61290322580645</v>
      </c>
      <c r="AV471" s="51" t="n">
        <f aca="false">IF(AND(OR(CC471="L1",CC471="L23",CC471="LIFT"),AR471&gt;0),SUMIFS($AR$7:$AR$1843,$CC$7:$CC$1843,CC471,$AU$7:$AU$1843,"&gt;"&amp;AU471)+SUMIFS($AR$7:$AR$1843,$CC$7:$CC$1843,CC471,$AU$7:$AU$1843,AU471,$BT$7:$BT$1843,"&lt;="&amp;BT471),"")</f>
        <v>5949.84981684982</v>
      </c>
      <c r="AW471" s="58" t="n">
        <f aca="false">IF(AV471="",0,MAX(0,MIN(1,(IF(CC471="L1",Parameter!$H$5,IF(CC471="L23",Parameter!$H$6+Parameter!$H$7,Parameter!$H$5+Parameter!$H$6+Parameter!$H$7))-(AV471-AR471))/AR471)))</f>
        <v>1</v>
      </c>
      <c r="AX471" s="50" t="n">
        <f aca="false">IF(LEFT(Cockpit!$O$5,1)="A",H471,IF(CE471=1,CF471,IF(LEFT(Cockpit!$O$5,1)="B",BC471,MAX(BC471,H471))))</f>
        <v>15</v>
      </c>
      <c r="AY471" s="50" t="n">
        <f aca="false">IF(BW471=1,0,ROUNDUP(AX471/BV471,0))</f>
        <v>2</v>
      </c>
      <c r="AZ471" s="52" t="n">
        <f aca="false">IF(CL471&gt;0,CL471*MAX(1,AX471/X471),IF(BW471=1,IF(AX471&lt;=0,0,CA471*MAX(1,IF(H471&gt;0,AX471/H471,1))),IF(R471&gt;0,AY471/R471,0))/MAX(0.1,N(Parameter!$M$21)))</f>
        <v>0.0142857142857143</v>
      </c>
      <c r="BA471" s="50" t="n">
        <f aca="false">AZ471*BY471</f>
        <v>2.21428571428571</v>
      </c>
      <c r="BB471" s="50" t="n">
        <f aca="false">AX471*G471</f>
        <v>646.2</v>
      </c>
      <c r="BC471" s="50" t="n">
        <f aca="false">ROUNDUP(MAX(J471/IF(CD471&gt;0,CD471,MAX(0.1,N(Cockpit!$O$6))),CG471)/BV471,0)*BV471</f>
        <v>11</v>
      </c>
      <c r="BD471" s="51" t="n">
        <f aca="false">IF(BA471&gt;0,J471/BA471,-1)</f>
        <v>3.61290322580645</v>
      </c>
      <c r="BE471" s="51" t="n">
        <f aca="false">IF(AND(OR(CC471="L1",CC471="L23",CC471="LIFT"),BA471&gt;0),SUMIFS($BA$7:$BA$1843,$CC$7:$CC$1843,CC471,$BD$7:$BD$1843,"&gt;"&amp;BD471)+SUMIFS($BA$7:$BA$1843,$CC$7:$CC$1843,CC471,$BD$7:$BD$1843,BD471,$BT$7:$BT$1843,"&lt;="&amp;BT471),"")</f>
        <v>5851.43635531136</v>
      </c>
      <c r="BF471" s="58" t="n">
        <f aca="false">IF(BE471="",0,MAX(0,MIN(1,(IF(CC471="L1",Parameter!$H$5,IF(CC471="L23",Parameter!$H$6+Parameter!$H$7,Parameter!$H$5+Parameter!$H$6+Parameter!$H$7))-(BE471-BA471))/BA471)))</f>
        <v>1</v>
      </c>
      <c r="BG471" s="48" t="str">
        <f aca="false">IF(AI471&lt;=0,"",IF(CC471="Aussen","Aussenlager",IF(CC471="-","Nicht im Lift",IF(AN471&gt;=1,"Lift",IF(AN471&lt;=0,"Aussenlager","teilweise")))))</f>
        <v>Lift</v>
      </c>
      <c r="BH471" s="48" t="str">
        <f aca="false">IF(AR471&lt;=0,"",IF(CC471="Aussen","Aussenlager",IF(CC471="-","Nicht im Lift",IF(AW471&gt;=1,"Lift",IF(AW471&lt;=0,"Aussenlager","teilweise")))))</f>
        <v>Lift</v>
      </c>
      <c r="BI471" s="48" t="str">
        <f aca="false">IF(BA471&lt;=0,"",IF(CC471="Aussen","Aussenlager",IF(CC471="-","Nicht im Lift",IF(BF471&gt;=1,"Lift",IF(BF471&lt;=0,"Aussenlager","teilweise")))))</f>
        <v>Lift</v>
      </c>
      <c r="BJ471" s="48" t="str">
        <f aca="false">IF(A471="","",IF(BS471=1,"Neu; ","")&amp;IF(AND(BS471=0,BN471&lt;0),"negativer Bestand (Export "&amp;BN471&amp;"); ","")&amp;IF(J471&lt;=0,"Kein Verbrauch; ","")&amp;IF(CL471&gt;0,"Lift "&amp;W471&amp;" lt. Liftbericht (Fach "&amp;X471&amp;" Stk); ",IF(BX471=1,"Gebinde geschätzt ("&amp;T471&amp;"); ",IF(BW471=1,"Lose – Tablare geschätzt; ","")))&amp;IF(H471&gt;AT471,"Überbestand "&amp;ROUND(H471-AT471,0)&amp;" Stk / CHF "&amp;ROUND((H471-AT471)*G471,0)&amp;"; ","")&amp;IF(AND(CE471=1,CF471&lt;CG471),"MAX &lt; MB+LG; ","")&amp;IF(AND(CK471&gt;0,CJ471*10&gt;CK471),"zu hoch für Tablar; ","")&amp;IF(AND(BS471=0,OR(CE471=1,AA471&lt;&gt;"",U471&lt;&gt;"",V471&lt;&gt;"",AB471&lt;&gt;"")),"manuell übersteuert; ","")&amp;IF(AND(BW471=0,R471=0),"Gebinde unbekannt / Stellmass fehlt; ","")&amp;IF(AND(BW471=0,N(V471)&lt;=0,N(Q471)&lt;=0),"Menge pro Gebinde fehlt (Ist = 1 Gebinde); ","")&amp;BR471)</f>
        <v>Überbestand 4 Stk / CHF 172; </v>
      </c>
      <c r="BK471" s="48"/>
      <c r="BL471" s="48"/>
      <c r="BM471" s="55"/>
      <c r="BN471" s="50" t="n">
        <v>1</v>
      </c>
      <c r="BO471" s="50" t="n">
        <v>14</v>
      </c>
      <c r="BP471" s="49" t="n">
        <v>53.8600000000001</v>
      </c>
      <c r="BQ471" s="50" t="n">
        <v>8</v>
      </c>
      <c r="BR471" s="48"/>
      <c r="BS471" s="53" t="n">
        <v>0</v>
      </c>
      <c r="BT471" s="53" t="n">
        <v>471</v>
      </c>
      <c r="BU471" s="48" t="str">
        <f aca="false">IF(U471&lt;&gt;"",UPPER(TRIM(U471)),IF(BX471=1,UPPER(VLOOKUP(T471,Parameter!$I$27:$K$29,2,0)),IF(P471="","LOSE",P471)))</f>
        <v>S22</v>
      </c>
      <c r="BV471" s="50" t="n">
        <f aca="false">IF(BU471="LOSE",1,IF(N(V471)&gt;0,V471,IF(BX471=1,MAX(1,N(VLOOKUP(T471,Parameter!$I$27:$K$29,3,0)),H471,N(N471)),IF(N(Q471)&gt;0,Q471,MAX(1,H471)))))</f>
        <v>11</v>
      </c>
      <c r="BW471" s="53" t="n">
        <f aca="false">IF(BU471="LOSE",1,0)</f>
        <v>0</v>
      </c>
      <c r="BX471" s="53" t="n">
        <f aca="false">IF(AND(U471="",OR(P471="",P471="LOSE"),T471&lt;&gt;"",N(S471)&lt;=0,ISNUMBER(MATCH(T471,Parameter!$I$27:$I$29,0))),1,0)</f>
        <v>0</v>
      </c>
      <c r="BY471" s="53" t="n">
        <f aca="false">IF(CL471&gt;0,INDEX(Parameter!$H$5:$H$7,W471)/INDEX(Parameter!$E$5:$E$7,W471),IF(AND(BW471=0,N(IFERROR(VLOOKUP(BU471,'Gebinde-Kategorie'!$A$5:$N$45,14,0),0))&gt;0),VLOOKUP(BU471,'Gebinde-Kategorie'!$A$5:$N$45,14,0)*10+Parameter!$M$23,Parameter!$M$24))</f>
        <v>155</v>
      </c>
      <c r="BZ471" s="48" t="str">
        <f aca="false">IF(AND(Parameter!$B$19="Ja",E471&lt;&gt;"",ISNUMBER(MATCH(E471,Parameter!$I$35:$I$52,0))),VLOOKUP(E471,Parameter!$I$35:$J$52,2,0),IFERROR(VLOOKUP(D471,Parameter!$A$35:$C$64,2,0),"Nein"))</f>
        <v>2+3</v>
      </c>
      <c r="CA471" s="52" t="n">
        <f aca="false">IF(BW471=0,0,IF(N(S471)&gt;0,S471,IFERROR(VLOOKUP(D471,Parameter!$A$35:$C$64,3,0)+0,0)))</f>
        <v>0</v>
      </c>
      <c r="CB471" s="48" t="n">
        <f aca="false">IF(AA471&lt;&gt;"",AA471,Z471)</f>
        <v>3</v>
      </c>
      <c r="CC471" s="48" t="str">
        <f aca="false">IF(OR(CB471=1,CB471=2,CB471=3),IF(Parameter!$E$27="Ja","LIFT",IF(CB471=1,"L1","L23")),IF(CB471="Aussen","Aussen","-"))</f>
        <v>LIFT</v>
      </c>
      <c r="CD471" s="59" t="n">
        <f aca="false">IF(N(AB471)&gt;0,AB471,0)</f>
        <v>0</v>
      </c>
      <c r="CE471" s="53" t="n">
        <f aca="false">IF(ISNUMBER(AE471),1,0)</f>
        <v>0</v>
      </c>
      <c r="CF471" s="50" t="n">
        <f aca="false">N(AE471)</f>
        <v>0</v>
      </c>
      <c r="CG471" s="50" t="n">
        <f aca="false">N(M471)+N(N471)</f>
        <v>10</v>
      </c>
      <c r="CH471" s="50" t="n">
        <f aca="false">ROUNDUP(H471/BV471,0)</f>
        <v>2</v>
      </c>
      <c r="CI471" s="50" t="n">
        <f aca="false">ROUNDUP(CF471/BV471,0)</f>
        <v>0</v>
      </c>
      <c r="CJ471" s="53" t="n">
        <f aca="false">IF(BW471=1,0,IFERROR(VLOOKUP(BU471,'Gebinde-Kategorie'!$A$5:$N$45,5,0)+0,0))</f>
        <v>8</v>
      </c>
      <c r="CK471" s="53" t="n">
        <f aca="false">IFERROR(IF(OR(CB471=1,CB471=2,CB471=3),N(INDEX(Parameter!$I$5:$I$7,CB471)),0),0)</f>
        <v>0</v>
      </c>
      <c r="CL471" s="52" t="n">
        <f aca="false">IF(AND(Parameter!$B$21="Ja",ISNUMBER(W471),N(X471)&gt;0),IFERROR(N(INDEX(Parameter!$L$5:$L$7,W471))*INDEX(Parameter!$E$5:$E$7,W471)*X471/SUMIFS($X$7:$X$1843,$W$7:$W$1843,W471),0),0)</f>
        <v>0</v>
      </c>
    </row>
    <row r="472" customFormat="false" ht="15" hidden="false" customHeight="false" outlineLevel="0" collapsed="false">
      <c r="A472" s="48" t="s">
        <v>1057</v>
      </c>
      <c r="B472" s="48" t="s">
        <v>1058</v>
      </c>
      <c r="C472" s="48" t="s">
        <v>168</v>
      </c>
      <c r="D472" s="48" t="s">
        <v>854</v>
      </c>
      <c r="E472" s="48" t="s">
        <v>189</v>
      </c>
      <c r="F472" s="48" t="s">
        <v>222</v>
      </c>
      <c r="G472" s="49" t="n">
        <v>4.4</v>
      </c>
      <c r="H472" s="50" t="n">
        <f aca="false">MAX(0,IF(AND(Parameter!$B$21="Ja",ISNUMBER(Y472)),Y472,IF(Parameter!$B$20="Jahresanfang 2025 + Export",BO472+BN472,BN472)))</f>
        <v>12</v>
      </c>
      <c r="I472" s="50" t="n">
        <f aca="false">H472*G472</f>
        <v>52.8</v>
      </c>
      <c r="J472" s="50" t="n">
        <f aca="false">BQ472*Parameter!$B$18</f>
        <v>60</v>
      </c>
      <c r="K472" s="51" t="n">
        <v>0</v>
      </c>
      <c r="L472" s="52" t="n">
        <v>0</v>
      </c>
      <c r="M472" s="50" t="n">
        <v>0</v>
      </c>
      <c r="N472" s="50" t="n">
        <v>12</v>
      </c>
      <c r="O472" s="53" t="n">
        <v>14</v>
      </c>
      <c r="P472" s="48" t="s">
        <v>237</v>
      </c>
      <c r="Q472" s="50" t="n">
        <v>131</v>
      </c>
      <c r="R472" s="53" t="n">
        <f aca="false">IF(BW472=1,0,IFERROR(VLOOKUP(BU472,'Gebinde-Kategorie'!$A$5:$N$45,13,0)+0,0))</f>
        <v>26</v>
      </c>
      <c r="S472" s="54"/>
      <c r="T472" s="55"/>
      <c r="U472" s="55"/>
      <c r="V472" s="55"/>
      <c r="W472" s="48"/>
      <c r="X472" s="50"/>
      <c r="Y472" s="50"/>
      <c r="Z472" s="48" t="n">
        <f aca="false">IF(A472="","",IF(AND(Parameter!$B$21="Ja",ISNUMBER(W472)),W472,IF(BZ472="2+3",IF(ISNUMBER(SEARCH("grosser Artikel",BR472)),2,IFERROR(VLOOKUP(BU472,Parameter!$F$35:$G$64,2,0),2)),IF(OR(BZ472="Nein",BZ472=""),"-",BZ472))))</f>
        <v>3</v>
      </c>
      <c r="AA472" s="55"/>
      <c r="AB472" s="56"/>
      <c r="AC472" s="50" t="n">
        <f aca="false">AT472</f>
        <v>131</v>
      </c>
      <c r="AD472" s="50" t="n">
        <f aca="false">MAX(AT472,H472)</f>
        <v>131</v>
      </c>
      <c r="AE472" s="57"/>
      <c r="AF472" s="50" t="n">
        <f aca="false">IF(LEFT(Cockpit!$C$5,1)="A",H472,IF(CE472=1,CF472,IF(LEFT(Cockpit!$C$5,1)="B",AK472,MAX(AK472,H472))))</f>
        <v>12</v>
      </c>
      <c r="AG472" s="50" t="n">
        <f aca="false">IF(BW472=1,0,ROUNDUP(AF472/BV472,0))</f>
        <v>1</v>
      </c>
      <c r="AH472" s="52" t="n">
        <f aca="false">IF(CL472&gt;0,CL472*MAX(1,AF472/X472),IF(BW472=1,IF(AF472&lt;=0,0,CA472*MAX(1,IF(H472&gt;0,AF472/H472,1))),IF(R472&gt;0,AG472/R472,0))/MAX(0.1,N(Parameter!$M$21)))</f>
        <v>0.0384615384615385</v>
      </c>
      <c r="AI472" s="50" t="n">
        <f aca="false">AH472*BY472</f>
        <v>9.42307692307692</v>
      </c>
      <c r="AJ472" s="50" t="n">
        <f aca="false">AF472*G472</f>
        <v>52.8</v>
      </c>
      <c r="AK472" s="50" t="n">
        <f aca="false">ROUNDUP(MAX(J472/IF(CD472&gt;0,CD472,MAX(0.1,N(Cockpit!$C$6))),CG472)/BV472,0)*BV472</f>
        <v>131</v>
      </c>
      <c r="AL472" s="51" t="n">
        <f aca="false">IF(AI472&gt;0,J472/AI472,-1)</f>
        <v>6.36734693877551</v>
      </c>
      <c r="AM472" s="51" t="n">
        <f aca="false">IF(AND(OR(CC472="L1",CC472="L23",CC472="LIFT"),AI472&gt;0),SUMIFS($AI$7:$AI$1843,$CC$7:$CC$1843,CC472,$AL$7:$AL$1843,"&gt;"&amp;AL472)+SUMIFS($AI$7:$AI$1843,$CC$7:$CC$1843,CC472,$AL$7:$AL$1843,AL472,$BT$7:$BT$1843,"&lt;="&amp;BT472),"")</f>
        <v>3441.2586996337</v>
      </c>
      <c r="AN472" s="58" t="n">
        <f aca="false">IF(AM472="",0,MAX(0,MIN(1,(IF(CC472="L1",Parameter!$H$5,IF(CC472="L23",Parameter!$H$6+Parameter!$H$7,Parameter!$H$5+Parameter!$H$6+Parameter!$H$7))-(AM472-AI472))/AI472)))</f>
        <v>1</v>
      </c>
      <c r="AO472" s="50" t="n">
        <f aca="false">IF(LEFT(Cockpit!$I$5,1)="A",H472,IF(CE472=1,CF472,IF(LEFT(Cockpit!$I$5,1)="B",AT472,MAX(AT472,H472))))</f>
        <v>131</v>
      </c>
      <c r="AP472" s="50" t="n">
        <f aca="false">IF(BW472=1,0,ROUNDUP(AO472/BV472,0))</f>
        <v>1</v>
      </c>
      <c r="AQ472" s="52" t="n">
        <f aca="false">IF(CL472&gt;0,CL472*MAX(1,AO472/X472),IF(BW472=1,IF(AO472&lt;=0,0,CA472*MAX(1,IF(H472&gt;0,AO472/H472,1))),IF(R472&gt;0,AP472/R472,0))/MAX(0.1,N(Parameter!$M$21)))</f>
        <v>0.0384615384615385</v>
      </c>
      <c r="AR472" s="50" t="n">
        <f aca="false">AQ472*BY472</f>
        <v>9.42307692307692</v>
      </c>
      <c r="AS472" s="50" t="n">
        <f aca="false">AO472*G472</f>
        <v>576.4</v>
      </c>
      <c r="AT472" s="50" t="n">
        <f aca="false">ROUNDUP(MAX(J472/IF(CD472&gt;0,CD472,MAX(0.1,N(Cockpit!$I$6))),CG472)/BV472,0)*BV472</f>
        <v>131</v>
      </c>
      <c r="AU472" s="51" t="n">
        <f aca="false">IF(AR472&gt;0,J472/AR472,-1)</f>
        <v>6.36734693877551</v>
      </c>
      <c r="AV472" s="51" t="n">
        <f aca="false">IF(AND(OR(CC472="L1",CC472="L23",CC472="LIFT"),AR472&gt;0),SUMIFS($AR$7:$AR$1843,$CC$7:$CC$1843,CC472,$AU$7:$AU$1843,"&gt;"&amp;AU472)+SUMIFS($AR$7:$AR$1843,$CC$7:$CC$1843,CC472,$AU$7:$AU$1843,AU472,$BT$7:$BT$1843,"&lt;="&amp;BT472),"")</f>
        <v>4542.78159340659</v>
      </c>
      <c r="AW472" s="58" t="n">
        <f aca="false">IF(AV472="",0,MAX(0,MIN(1,(IF(CC472="L1",Parameter!$H$5,IF(CC472="L23",Parameter!$H$6+Parameter!$H$7,Parameter!$H$5+Parameter!$H$6+Parameter!$H$7))-(AV472-AR472))/AR472)))</f>
        <v>1</v>
      </c>
      <c r="AX472" s="50" t="n">
        <f aca="false">IF(LEFT(Cockpit!$O$5,1)="A",H472,IF(CE472=1,CF472,IF(LEFT(Cockpit!$O$5,1)="B",BC472,MAX(BC472,H472))))</f>
        <v>131</v>
      </c>
      <c r="AY472" s="50" t="n">
        <f aca="false">IF(BW472=1,0,ROUNDUP(AX472/BV472,0))</f>
        <v>1</v>
      </c>
      <c r="AZ472" s="52" t="n">
        <f aca="false">IF(CL472&gt;0,CL472*MAX(1,AX472/X472),IF(BW472=1,IF(AX472&lt;=0,0,CA472*MAX(1,IF(H472&gt;0,AX472/H472,1))),IF(R472&gt;0,AY472/R472,0))/MAX(0.1,N(Parameter!$M$21)))</f>
        <v>0.0384615384615385</v>
      </c>
      <c r="BA472" s="50" t="n">
        <f aca="false">AZ472*BY472</f>
        <v>9.42307692307692</v>
      </c>
      <c r="BB472" s="50" t="n">
        <f aca="false">AX472*G472</f>
        <v>576.4</v>
      </c>
      <c r="BC472" s="50" t="n">
        <f aca="false">ROUNDUP(MAX(J472/IF(CD472&gt;0,CD472,MAX(0.1,N(Cockpit!$O$6))),CG472)/BV472,0)*BV472</f>
        <v>131</v>
      </c>
      <c r="BD472" s="51" t="n">
        <f aca="false">IF(BA472&gt;0,J472/BA472,-1)</f>
        <v>6.36734693877551</v>
      </c>
      <c r="BE472" s="51" t="n">
        <f aca="false">IF(AND(OR(CC472="L1",CC472="L23",CC472="LIFT"),BA472&gt;0),SUMIFS($BA$7:$BA$1843,$CC$7:$CC$1843,CC472,$BD$7:$BD$1843,"&gt;"&amp;BD472)+SUMIFS($BA$7:$BA$1843,$CC$7:$CC$1843,CC472,$BD$7:$BD$1843,BD472,$BT$7:$BT$1843,"&lt;="&amp;BT472),"")</f>
        <v>4334.07967032967</v>
      </c>
      <c r="BF472" s="58" t="n">
        <f aca="false">IF(BE472="",0,MAX(0,MIN(1,(IF(CC472="L1",Parameter!$H$5,IF(CC472="L23",Parameter!$H$6+Parameter!$H$7,Parameter!$H$5+Parameter!$H$6+Parameter!$H$7))-(BE472-BA472))/BA472)))</f>
        <v>1</v>
      </c>
      <c r="BG472" s="48" t="str">
        <f aca="false">IF(AI472&lt;=0,"",IF(CC472="Aussen","Aussenlager",IF(CC472="-","Nicht im Lift",IF(AN472&gt;=1,"Lift",IF(AN472&lt;=0,"Aussenlager","teilweise")))))</f>
        <v>Lift</v>
      </c>
      <c r="BH472" s="48" t="str">
        <f aca="false">IF(AR472&lt;=0,"",IF(CC472="Aussen","Aussenlager",IF(CC472="-","Nicht im Lift",IF(AW472&gt;=1,"Lift",IF(AW472&lt;=0,"Aussenlager","teilweise")))))</f>
        <v>Lift</v>
      </c>
      <c r="BI472" s="48" t="str">
        <f aca="false">IF(BA472&lt;=0,"",IF(CC472="Aussen","Aussenlager",IF(CC472="-","Nicht im Lift",IF(BF472&gt;=1,"Lift",IF(BF472&lt;=0,"Aussenlager","teilweise")))))</f>
        <v>Lift</v>
      </c>
      <c r="BJ472" s="48" t="str">
        <f aca="false">IF(A472="","",IF(BS472=1,"Neu; ","")&amp;IF(AND(BS472=0,BN472&lt;0),"negativer Bestand (Export "&amp;BN472&amp;"); ","")&amp;IF(J472&lt;=0,"Kein Verbrauch; ","")&amp;IF(CL472&gt;0,"Lift "&amp;W472&amp;" lt. Liftbericht (Fach "&amp;X472&amp;" Stk); ",IF(BX472=1,"Gebinde geschätzt ("&amp;T472&amp;"); ",IF(BW472=1,"Lose – Tablare geschätzt; ","")))&amp;IF(H472&gt;AT472,"Überbestand "&amp;ROUND(H472-AT472,0)&amp;" Stk / CHF "&amp;ROUND((H472-AT472)*G472,0)&amp;"; ","")&amp;IF(AND(CE472=1,CF472&lt;CG472),"MAX &lt; MB+LG; ","")&amp;IF(AND(CK472&gt;0,CJ472*10&gt;CK472),"zu hoch für Tablar; ","")&amp;IF(AND(BS472=0,OR(CE472=1,AA472&lt;&gt;"",U472&lt;&gt;"",V472&lt;&gt;"",AB472&lt;&gt;"")),"manuell übersteuert; ","")&amp;IF(AND(BW472=0,R472=0),"Gebinde unbekannt / Stellmass fehlt; ","")&amp;IF(AND(BW472=0,N(V472)&lt;=0,N(Q472)&lt;=0),"Menge pro Gebinde fehlt (Ist = 1 Gebinde); ","")&amp;BR472)</f>
        <v/>
      </c>
      <c r="BK472" s="48"/>
      <c r="BL472" s="48"/>
      <c r="BM472" s="55"/>
      <c r="BN472" s="50" t="n">
        <v>12</v>
      </c>
      <c r="BO472" s="50" t="n">
        <v>0</v>
      </c>
      <c r="BP472" s="49" t="n">
        <v>52.8</v>
      </c>
      <c r="BQ472" s="50" t="n">
        <v>60</v>
      </c>
      <c r="BR472" s="48"/>
      <c r="BS472" s="53" t="n">
        <v>0</v>
      </c>
      <c r="BT472" s="53" t="n">
        <v>472</v>
      </c>
      <c r="BU472" s="48" t="str">
        <f aca="false">IF(U472&lt;&gt;"",UPPER(TRIM(U472)),IF(BX472=1,UPPER(VLOOKUP(T472,Parameter!$I$27:$K$29,2,0)),IF(P472="","LOSE",P472)))</f>
        <v>S52</v>
      </c>
      <c r="BV472" s="50" t="n">
        <f aca="false">IF(BU472="LOSE",1,IF(N(V472)&gt;0,V472,IF(BX472=1,MAX(1,N(VLOOKUP(T472,Parameter!$I$27:$K$29,3,0)),H472,N(N472)),IF(N(Q472)&gt;0,Q472,MAX(1,H472)))))</f>
        <v>131</v>
      </c>
      <c r="BW472" s="53" t="n">
        <f aca="false">IF(BU472="LOSE",1,0)</f>
        <v>0</v>
      </c>
      <c r="BX472" s="53" t="n">
        <f aca="false">IF(AND(U472="",OR(P472="",P472="LOSE"),T472&lt;&gt;"",N(S472)&lt;=0,ISNUMBER(MATCH(T472,Parameter!$I$27:$I$29,0))),1,0)</f>
        <v>0</v>
      </c>
      <c r="BY472" s="53" t="n">
        <f aca="false">IF(CL472&gt;0,INDEX(Parameter!$H$5:$H$7,W472)/INDEX(Parameter!$E$5:$E$7,W472),IF(AND(BW472=0,N(IFERROR(VLOOKUP(BU472,'Gebinde-Kategorie'!$A$5:$N$45,14,0),0))&gt;0),VLOOKUP(BU472,'Gebinde-Kategorie'!$A$5:$N$45,14,0)*10+Parameter!$M$23,Parameter!$M$24))</f>
        <v>245</v>
      </c>
      <c r="BZ472" s="48" t="str">
        <f aca="false">IF(AND(Parameter!$B$19="Ja",E472&lt;&gt;"",ISNUMBER(MATCH(E472,Parameter!$I$35:$I$52,0))),VLOOKUP(E472,Parameter!$I$35:$J$52,2,0),IFERROR(VLOOKUP(D472,Parameter!$A$35:$C$64,2,0),"Nein"))</f>
        <v>2+3</v>
      </c>
      <c r="CA472" s="52" t="n">
        <f aca="false">IF(BW472=0,0,IF(N(S472)&gt;0,S472,IFERROR(VLOOKUP(D472,Parameter!$A$35:$C$64,3,0)+0,0)))</f>
        <v>0</v>
      </c>
      <c r="CB472" s="48" t="n">
        <f aca="false">IF(AA472&lt;&gt;"",AA472,Z472)</f>
        <v>3</v>
      </c>
      <c r="CC472" s="48" t="str">
        <f aca="false">IF(OR(CB472=1,CB472=2,CB472=3),IF(Parameter!$E$27="Ja","LIFT",IF(CB472=1,"L1","L23")),IF(CB472="Aussen","Aussen","-"))</f>
        <v>LIFT</v>
      </c>
      <c r="CD472" s="59" t="n">
        <f aca="false">IF(N(AB472)&gt;0,AB472,0)</f>
        <v>0</v>
      </c>
      <c r="CE472" s="53" t="n">
        <f aca="false">IF(ISNUMBER(AE472),1,0)</f>
        <v>0</v>
      </c>
      <c r="CF472" s="50" t="n">
        <f aca="false">N(AE472)</f>
        <v>0</v>
      </c>
      <c r="CG472" s="50" t="n">
        <f aca="false">N(M472)+N(N472)</f>
        <v>12</v>
      </c>
      <c r="CH472" s="50" t="n">
        <f aca="false">ROUNDUP(H472/BV472,0)</f>
        <v>1</v>
      </c>
      <c r="CI472" s="50" t="n">
        <f aca="false">ROUNDUP(CF472/BV472,0)</f>
        <v>0</v>
      </c>
      <c r="CJ472" s="53" t="n">
        <f aca="false">IF(BW472=1,0,IFERROR(VLOOKUP(BU472,'Gebinde-Kategorie'!$A$5:$N$45,5,0)+0,0))</f>
        <v>21</v>
      </c>
      <c r="CK472" s="53" t="n">
        <f aca="false">IFERROR(IF(OR(CB472=1,CB472=2,CB472=3),N(INDEX(Parameter!$I$5:$I$7,CB472)),0),0)</f>
        <v>0</v>
      </c>
      <c r="CL472" s="52" t="n">
        <f aca="false">IF(AND(Parameter!$B$21="Ja",ISNUMBER(W472),N(X472)&gt;0),IFERROR(N(INDEX(Parameter!$L$5:$L$7,W472))*INDEX(Parameter!$E$5:$E$7,W472)*X472/SUMIFS($X$7:$X$1843,$W$7:$W$1843,W472),0),0)</f>
        <v>0</v>
      </c>
    </row>
    <row r="473" customFormat="false" ht="15" hidden="false" customHeight="false" outlineLevel="0" collapsed="false">
      <c r="A473" s="48" t="s">
        <v>1059</v>
      </c>
      <c r="B473" s="48" t="s">
        <v>865</v>
      </c>
      <c r="C473" s="48" t="s">
        <v>168</v>
      </c>
      <c r="D473" s="48" t="s">
        <v>188</v>
      </c>
      <c r="E473" s="48"/>
      <c r="F473" s="48" t="s">
        <v>222</v>
      </c>
      <c r="G473" s="49" t="n">
        <v>2.4</v>
      </c>
      <c r="H473" s="50" t="n">
        <f aca="false">MAX(0,IF(AND(Parameter!$B$21="Ja",ISNUMBER(Y473)),Y473,IF(Parameter!$B$20="Jahresanfang 2025 + Export",BO473+BN473,BN473)))</f>
        <v>22</v>
      </c>
      <c r="I473" s="50" t="n">
        <f aca="false">H473*G473</f>
        <v>52.8</v>
      </c>
      <c r="J473" s="50" t="n">
        <f aca="false">BQ473*Parameter!$B$18</f>
        <v>4</v>
      </c>
      <c r="K473" s="51" t="n">
        <v>3</v>
      </c>
      <c r="L473" s="52" t="n">
        <v>1.33333333333333</v>
      </c>
      <c r="M473" s="50" t="n">
        <v>0</v>
      </c>
      <c r="N473" s="50" t="n">
        <v>5</v>
      </c>
      <c r="O473" s="53" t="n">
        <v>14</v>
      </c>
      <c r="P473" s="48" t="s">
        <v>405</v>
      </c>
      <c r="Q473" s="50" t="n">
        <v>3</v>
      </c>
      <c r="R473" s="53" t="n">
        <f aca="false">IF(BW473=1,0,IFERROR(VLOOKUP(BU473,'Gebinde-Kategorie'!$A$5:$N$45,13,0)+0,0))</f>
        <v>280</v>
      </c>
      <c r="S473" s="54"/>
      <c r="T473" s="55"/>
      <c r="U473" s="55"/>
      <c r="V473" s="55"/>
      <c r="W473" s="48"/>
      <c r="X473" s="50"/>
      <c r="Y473" s="50"/>
      <c r="Z473" s="48" t="n">
        <f aca="false">IF(A473="","",IF(AND(Parameter!$B$21="Ja",ISNUMBER(W473)),W473,IF(BZ473="2+3",IF(ISNUMBER(SEARCH("grosser Artikel",BR473)),2,IFERROR(VLOOKUP(BU473,Parameter!$F$35:$G$64,2,0),2)),IF(OR(BZ473="Nein",BZ473=""),"-",BZ473))))</f>
        <v>3</v>
      </c>
      <c r="AA473" s="55"/>
      <c r="AB473" s="56"/>
      <c r="AC473" s="50" t="n">
        <f aca="false">AT473</f>
        <v>6</v>
      </c>
      <c r="AD473" s="50" t="n">
        <f aca="false">MAX(AT473,H473)</f>
        <v>22</v>
      </c>
      <c r="AE473" s="57"/>
      <c r="AF473" s="50" t="n">
        <f aca="false">IF(LEFT(Cockpit!$C$5,1)="A",H473,IF(CE473=1,CF473,IF(LEFT(Cockpit!$C$5,1)="B",AK473,MAX(AK473,H473))))</f>
        <v>22</v>
      </c>
      <c r="AG473" s="50" t="n">
        <f aca="false">IF(BW473=1,0,ROUNDUP(AF473/BV473,0))</f>
        <v>8</v>
      </c>
      <c r="AH473" s="52" t="n">
        <f aca="false">IF(CL473&gt;0,CL473*MAX(1,AF473/X473),IF(BW473=1,IF(AF473&lt;=0,0,CA473*MAX(1,IF(H473&gt;0,AF473/H473,1))),IF(R473&gt;0,AG473/R473,0))/MAX(0.1,N(Parameter!$M$21)))</f>
        <v>0.0285714285714286</v>
      </c>
      <c r="AI473" s="50" t="n">
        <f aca="false">AH473*BY473</f>
        <v>4.42857142857143</v>
      </c>
      <c r="AJ473" s="50" t="n">
        <f aca="false">AF473*G473</f>
        <v>52.8</v>
      </c>
      <c r="AK473" s="50" t="n">
        <f aca="false">ROUNDUP(MAX(J473/IF(CD473&gt;0,CD473,MAX(0.1,N(Cockpit!$C$6))),CG473)/BV473,0)*BV473</f>
        <v>6</v>
      </c>
      <c r="AL473" s="51" t="n">
        <f aca="false">IF(AI473&gt;0,J473/AI473,-1)</f>
        <v>0.903225806451613</v>
      </c>
      <c r="AM473" s="51" t="n">
        <f aca="false">IF(AND(OR(CC473="L1",CC473="L23",CC473="LIFT"),AI473&gt;0),SUMIFS($AI$7:$AI$1843,$CC$7:$CC$1843,CC473,$AL$7:$AL$1843,"&gt;"&amp;AL473)+SUMIFS($AI$7:$AI$1843,$CC$7:$CC$1843,CC473,$AL$7:$AL$1843,AL473,$BT$7:$BT$1843,"&lt;="&amp;BT473),"")</f>
        <v>7616.63415750916</v>
      </c>
      <c r="AN473" s="58" t="n">
        <f aca="false">IF(AM473="",0,MAX(0,MIN(1,(IF(CC473="L1",Parameter!$H$5,IF(CC473="L23",Parameter!$H$6+Parameter!$H$7,Parameter!$H$5+Parameter!$H$6+Parameter!$H$7))-(AM473-AI473))/AI473)))</f>
        <v>1</v>
      </c>
      <c r="AO473" s="50" t="n">
        <f aca="false">IF(LEFT(Cockpit!$I$5,1)="A",H473,IF(CE473=1,CF473,IF(LEFT(Cockpit!$I$5,1)="B",AT473,MAX(AT473,H473))))</f>
        <v>22</v>
      </c>
      <c r="AP473" s="50" t="n">
        <f aca="false">IF(BW473=1,0,ROUNDUP(AO473/BV473,0))</f>
        <v>8</v>
      </c>
      <c r="AQ473" s="52" t="n">
        <f aca="false">IF(CL473&gt;0,CL473*MAX(1,AO473/X473),IF(BW473=1,IF(AO473&lt;=0,0,CA473*MAX(1,IF(H473&gt;0,AO473/H473,1))),IF(R473&gt;0,AP473/R473,0))/MAX(0.1,N(Parameter!$M$21)))</f>
        <v>0.0285714285714286</v>
      </c>
      <c r="AR473" s="50" t="n">
        <f aca="false">AQ473*BY473</f>
        <v>4.42857142857143</v>
      </c>
      <c r="AS473" s="50" t="n">
        <f aca="false">AO473*G473</f>
        <v>52.8</v>
      </c>
      <c r="AT473" s="50" t="n">
        <f aca="false">ROUNDUP(MAX(J473/IF(CD473&gt;0,CD473,MAX(0.1,N(Cockpit!$I$6))),CG473)/BV473,0)*BV473</f>
        <v>6</v>
      </c>
      <c r="AU473" s="51" t="n">
        <f aca="false">IF(AR473&gt;0,J473/AR473,-1)</f>
        <v>0.903225806451613</v>
      </c>
      <c r="AV473" s="51" t="n">
        <f aca="false">IF(AND(OR(CC473="L1",CC473="L23",CC473="LIFT"),AR473&gt;0),SUMIFS($AR$7:$AR$1843,$CC$7:$CC$1843,CC473,$AU$7:$AU$1843,"&gt;"&amp;AU473)+SUMIFS($AR$7:$AR$1843,$CC$7:$CC$1843,CC473,$AU$7:$AU$1843,AU473,$BT$7:$BT$1843,"&lt;="&amp;BT473),"")</f>
        <v>10727.891025641</v>
      </c>
      <c r="AW473" s="58" t="n">
        <f aca="false">IF(AV473="",0,MAX(0,MIN(1,(IF(CC473="L1",Parameter!$H$5,IF(CC473="L23",Parameter!$H$6+Parameter!$H$7,Parameter!$H$5+Parameter!$H$6+Parameter!$H$7))-(AV473-AR473))/AR473)))</f>
        <v>1</v>
      </c>
      <c r="AX473" s="50" t="n">
        <f aca="false">IF(LEFT(Cockpit!$O$5,1)="A",H473,IF(CE473=1,CF473,IF(LEFT(Cockpit!$O$5,1)="B",BC473,MAX(BC473,H473))))</f>
        <v>22</v>
      </c>
      <c r="AY473" s="50" t="n">
        <f aca="false">IF(BW473=1,0,ROUNDUP(AX473/BV473,0))</f>
        <v>8</v>
      </c>
      <c r="AZ473" s="52" t="n">
        <f aca="false">IF(CL473&gt;0,CL473*MAX(1,AX473/X473),IF(BW473=1,IF(AX473&lt;=0,0,CA473*MAX(1,IF(H473&gt;0,AX473/H473,1))),IF(R473&gt;0,AY473/R473,0))/MAX(0.1,N(Parameter!$M$21)))</f>
        <v>0.0285714285714286</v>
      </c>
      <c r="BA473" s="50" t="n">
        <f aca="false">AZ473*BY473</f>
        <v>4.42857142857143</v>
      </c>
      <c r="BB473" s="50" t="n">
        <f aca="false">AX473*G473</f>
        <v>52.8</v>
      </c>
      <c r="BC473" s="50" t="n">
        <f aca="false">ROUNDUP(MAX(J473/IF(CD473&gt;0,CD473,MAX(0.1,N(Cockpit!$O$6))),CG473)/BV473,0)*BV473</f>
        <v>6</v>
      </c>
      <c r="BD473" s="51" t="n">
        <f aca="false">IF(BA473&gt;0,J473/BA473,-1)</f>
        <v>0.903225806451613</v>
      </c>
      <c r="BE473" s="51" t="n">
        <f aca="false">IF(AND(OR(CC473="L1",CC473="L23",CC473="LIFT"),BA473&gt;0),SUMIFS($BA$7:$BA$1843,$CC$7:$CC$1843,CC473,$BD$7:$BD$1843,"&gt;"&amp;BD473)+SUMIFS($BA$7:$BA$1843,$CC$7:$CC$1843,CC473,$BD$7:$BD$1843,BD473,$BT$7:$BT$1843,"&lt;="&amp;BT473),"")</f>
        <v>9986.04807692308</v>
      </c>
      <c r="BF473" s="58" t="n">
        <f aca="false">IF(BE473="",0,MAX(0,MIN(1,(IF(CC473="L1",Parameter!$H$5,IF(CC473="L23",Parameter!$H$6+Parameter!$H$7,Parameter!$H$5+Parameter!$H$6+Parameter!$H$7))-(BE473-BA473))/BA473)))</f>
        <v>1</v>
      </c>
      <c r="BG473" s="48" t="str">
        <f aca="false">IF(AI473&lt;=0,"",IF(CC473="Aussen","Aussenlager",IF(CC473="-","Nicht im Lift",IF(AN473&gt;=1,"Lift",IF(AN473&lt;=0,"Aussenlager","teilweise")))))</f>
        <v>Lift</v>
      </c>
      <c r="BH473" s="48" t="str">
        <f aca="false">IF(AR473&lt;=0,"",IF(CC473="Aussen","Aussenlager",IF(CC473="-","Nicht im Lift",IF(AW473&gt;=1,"Lift",IF(AW473&lt;=0,"Aussenlager","teilweise")))))</f>
        <v>Lift</v>
      </c>
      <c r="BI473" s="48" t="str">
        <f aca="false">IF(BA473&lt;=0,"",IF(CC473="Aussen","Aussenlager",IF(CC473="-","Nicht im Lift",IF(BF473&gt;=1,"Lift",IF(BF473&lt;=0,"Aussenlager","teilweise")))))</f>
        <v>Lift</v>
      </c>
      <c r="BJ473" s="48" t="str">
        <f aca="false">IF(A473="","",IF(BS473=1,"Neu; ","")&amp;IF(AND(BS473=0,BN473&lt;0),"negativer Bestand (Export "&amp;BN473&amp;"); ","")&amp;IF(J473&lt;=0,"Kein Verbrauch; ","")&amp;IF(CL473&gt;0,"Lift "&amp;W473&amp;" lt. Liftbericht (Fach "&amp;X473&amp;" Stk); ",IF(BX473=1,"Gebinde geschätzt ("&amp;T473&amp;"); ",IF(BW473=1,"Lose – Tablare geschätzt; ","")))&amp;IF(H473&gt;AT473,"Überbestand "&amp;ROUND(H473-AT473,0)&amp;" Stk / CHF "&amp;ROUND((H473-AT473)*G473,0)&amp;"; ","")&amp;IF(AND(CE473=1,CF473&lt;CG473),"MAX &lt; MB+LG; ","")&amp;IF(AND(CK473&gt;0,CJ473*10&gt;CK473),"zu hoch für Tablar; ","")&amp;IF(AND(BS473=0,OR(CE473=1,AA473&lt;&gt;"",U473&lt;&gt;"",V473&lt;&gt;"",AB473&lt;&gt;"")),"manuell übersteuert; ","")&amp;IF(AND(BW473=0,R473=0),"Gebinde unbekannt / Stellmass fehlt; ","")&amp;IF(AND(BW473=0,N(V473)&lt;=0,N(Q473)&lt;=0),"Menge pro Gebinde fehlt (Ist = 1 Gebinde); ","")&amp;BR473)</f>
        <v>Überbestand 16 Stk / CHF 38; </v>
      </c>
      <c r="BK473" s="48"/>
      <c r="BL473" s="48"/>
      <c r="BM473" s="55"/>
      <c r="BN473" s="50" t="n">
        <v>22</v>
      </c>
      <c r="BO473" s="50" t="n">
        <v>0</v>
      </c>
      <c r="BP473" s="49" t="n">
        <v>52.8</v>
      </c>
      <c r="BQ473" s="50" t="n">
        <v>4</v>
      </c>
      <c r="BR473" s="48"/>
      <c r="BS473" s="53" t="n">
        <v>0</v>
      </c>
      <c r="BT473" s="53" t="n">
        <v>473</v>
      </c>
      <c r="BU473" s="48" t="str">
        <f aca="false">IF(U473&lt;&gt;"",UPPER(TRIM(U473)),IF(BX473=1,UPPER(VLOOKUP(T473,Parameter!$I$27:$K$29,2,0)),IF(P473="","LOSE",P473)))</f>
        <v>S21</v>
      </c>
      <c r="BV473" s="50" t="n">
        <f aca="false">IF(BU473="LOSE",1,IF(N(V473)&gt;0,V473,IF(BX473=1,MAX(1,N(VLOOKUP(T473,Parameter!$I$27:$K$29,3,0)),H473,N(N473)),IF(N(Q473)&gt;0,Q473,MAX(1,H473)))))</f>
        <v>3</v>
      </c>
      <c r="BW473" s="53" t="n">
        <f aca="false">IF(BU473="LOSE",1,0)</f>
        <v>0</v>
      </c>
      <c r="BX473" s="53" t="n">
        <f aca="false">IF(AND(U473="",OR(P473="",P473="LOSE"),T473&lt;&gt;"",N(S473)&lt;=0,ISNUMBER(MATCH(T473,Parameter!$I$27:$I$29,0))),1,0)</f>
        <v>0</v>
      </c>
      <c r="BY473" s="53" t="n">
        <f aca="false">IF(CL473&gt;0,INDEX(Parameter!$H$5:$H$7,W473)/INDEX(Parameter!$E$5:$E$7,W473),IF(AND(BW473=0,N(IFERROR(VLOOKUP(BU473,'Gebinde-Kategorie'!$A$5:$N$45,14,0),0))&gt;0),VLOOKUP(BU473,'Gebinde-Kategorie'!$A$5:$N$45,14,0)*10+Parameter!$M$23,Parameter!$M$24))</f>
        <v>155</v>
      </c>
      <c r="BZ473" s="48" t="str">
        <f aca="false">IF(AND(Parameter!$B$19="Ja",E473&lt;&gt;"",ISNUMBER(MATCH(E473,Parameter!$I$35:$I$52,0))),VLOOKUP(E473,Parameter!$I$35:$J$52,2,0),IFERROR(VLOOKUP(D473,Parameter!$A$35:$C$64,2,0),"Nein"))</f>
        <v>2+3</v>
      </c>
      <c r="CA473" s="52" t="n">
        <f aca="false">IF(BW473=0,0,IF(N(S473)&gt;0,S473,IFERROR(VLOOKUP(D473,Parameter!$A$35:$C$64,3,0)+0,0)))</f>
        <v>0</v>
      </c>
      <c r="CB473" s="48" t="n">
        <f aca="false">IF(AA473&lt;&gt;"",AA473,Z473)</f>
        <v>3</v>
      </c>
      <c r="CC473" s="48" t="str">
        <f aca="false">IF(OR(CB473=1,CB473=2,CB473=3),IF(Parameter!$E$27="Ja","LIFT",IF(CB473=1,"L1","L23")),IF(CB473="Aussen","Aussen","-"))</f>
        <v>LIFT</v>
      </c>
      <c r="CD473" s="59" t="n">
        <f aca="false">IF(N(AB473)&gt;0,AB473,0)</f>
        <v>0</v>
      </c>
      <c r="CE473" s="53" t="n">
        <f aca="false">IF(ISNUMBER(AE473),1,0)</f>
        <v>0</v>
      </c>
      <c r="CF473" s="50" t="n">
        <f aca="false">N(AE473)</f>
        <v>0</v>
      </c>
      <c r="CG473" s="50" t="n">
        <f aca="false">N(M473)+N(N473)</f>
        <v>5</v>
      </c>
      <c r="CH473" s="50" t="n">
        <f aca="false">ROUNDUP(H473/BV473,0)</f>
        <v>8</v>
      </c>
      <c r="CI473" s="50" t="n">
        <f aca="false">ROUNDUP(CF473/BV473,0)</f>
        <v>0</v>
      </c>
      <c r="CJ473" s="53" t="n">
        <f aca="false">IF(BW473=1,0,IFERROR(VLOOKUP(BU473,'Gebinde-Kategorie'!$A$5:$N$45,5,0)+0,0))</f>
        <v>8</v>
      </c>
      <c r="CK473" s="53" t="n">
        <f aca="false">IFERROR(IF(OR(CB473=1,CB473=2,CB473=3),N(INDEX(Parameter!$I$5:$I$7,CB473)),0),0)</f>
        <v>0</v>
      </c>
      <c r="CL473" s="52" t="n">
        <f aca="false">IF(AND(Parameter!$B$21="Ja",ISNUMBER(W473),N(X473)&gt;0),IFERROR(N(INDEX(Parameter!$L$5:$L$7,W473))*INDEX(Parameter!$E$5:$E$7,W473)*X473/SUMIFS($X$7:$X$1843,$W$7:$W$1843,W473),0),0)</f>
        <v>0</v>
      </c>
    </row>
    <row r="474" customFormat="false" ht="15" hidden="false" customHeight="false" outlineLevel="0" collapsed="false">
      <c r="A474" s="48" t="s">
        <v>1060</v>
      </c>
      <c r="B474" s="48" t="s">
        <v>1061</v>
      </c>
      <c r="C474" s="48" t="s">
        <v>168</v>
      </c>
      <c r="D474" s="48" t="s">
        <v>188</v>
      </c>
      <c r="E474" s="48" t="s">
        <v>189</v>
      </c>
      <c r="F474" s="48" t="s">
        <v>222</v>
      </c>
      <c r="G474" s="49" t="n">
        <v>1.13</v>
      </c>
      <c r="H474" s="50" t="n">
        <f aca="false">MAX(0,IF(AND(Parameter!$B$21="Ja",ISNUMBER(Y474)),Y474,IF(Parameter!$B$20="Jahresanfang 2025 + Export",BO474+BN474,BN474)))</f>
        <v>60</v>
      </c>
      <c r="I474" s="50" t="n">
        <f aca="false">H474*G474</f>
        <v>67.8</v>
      </c>
      <c r="J474" s="50" t="n">
        <f aca="false">BQ474*Parameter!$B$18</f>
        <v>71</v>
      </c>
      <c r="K474" s="51" t="n">
        <v>56.5</v>
      </c>
      <c r="L474" s="52" t="n">
        <v>1.25663716814159</v>
      </c>
      <c r="M474" s="50" t="n">
        <v>2</v>
      </c>
      <c r="N474" s="50" t="n">
        <v>70</v>
      </c>
      <c r="O474" s="53" t="n">
        <v>14</v>
      </c>
      <c r="P474" s="48" t="s">
        <v>430</v>
      </c>
      <c r="Q474" s="50" t="n">
        <v>40</v>
      </c>
      <c r="R474" s="53" t="n">
        <f aca="false">IF(BW474=1,0,IFERROR(VLOOKUP(BU474,'Gebinde-Kategorie'!$A$5:$N$45,13,0)+0,0))</f>
        <v>140</v>
      </c>
      <c r="S474" s="54"/>
      <c r="T474" s="55"/>
      <c r="U474" s="55"/>
      <c r="V474" s="55"/>
      <c r="W474" s="48"/>
      <c r="X474" s="50"/>
      <c r="Y474" s="50"/>
      <c r="Z474" s="48" t="n">
        <f aca="false">IF(A474="","",IF(AND(Parameter!$B$21="Ja",ISNUMBER(W474)),W474,IF(BZ474="2+3",IF(ISNUMBER(SEARCH("grosser Artikel",BR474)),2,IFERROR(VLOOKUP(BU474,Parameter!$F$35:$G$64,2,0),2)),IF(OR(BZ474="Nein",BZ474=""),"-",BZ474))))</f>
        <v>3</v>
      </c>
      <c r="AA474" s="55"/>
      <c r="AB474" s="56"/>
      <c r="AC474" s="50" t="n">
        <f aca="false">AT474</f>
        <v>80</v>
      </c>
      <c r="AD474" s="50" t="n">
        <f aca="false">MAX(AT474,H474)</f>
        <v>80</v>
      </c>
      <c r="AE474" s="57"/>
      <c r="AF474" s="50" t="n">
        <f aca="false">IF(LEFT(Cockpit!$C$5,1)="A",H474,IF(CE474=1,CF474,IF(LEFT(Cockpit!$C$5,1)="B",AK474,MAX(AK474,H474))))</f>
        <v>60</v>
      </c>
      <c r="AG474" s="50" t="n">
        <f aca="false">IF(BW474=1,0,ROUNDUP(AF474/BV474,0))</f>
        <v>2</v>
      </c>
      <c r="AH474" s="52" t="n">
        <f aca="false">IF(CL474&gt;0,CL474*MAX(1,AF474/X474),IF(BW474=1,IF(AF474&lt;=0,0,CA474*MAX(1,IF(H474&gt;0,AF474/H474,1))),IF(R474&gt;0,AG474/R474,0))/MAX(0.1,N(Parameter!$M$21)))</f>
        <v>0.0142857142857143</v>
      </c>
      <c r="AI474" s="50" t="n">
        <f aca="false">AH474*BY474</f>
        <v>2.21428571428571</v>
      </c>
      <c r="AJ474" s="50" t="n">
        <f aca="false">AF474*G474</f>
        <v>67.8</v>
      </c>
      <c r="AK474" s="50" t="n">
        <f aca="false">ROUNDUP(MAX(J474/IF(CD474&gt;0,CD474,MAX(0.1,N(Cockpit!$C$6))),CG474)/BV474,0)*BV474</f>
        <v>80</v>
      </c>
      <c r="AL474" s="51" t="n">
        <f aca="false">IF(AI474&gt;0,J474/AI474,-1)</f>
        <v>32.0645161290323</v>
      </c>
      <c r="AM474" s="51" t="n">
        <f aca="false">IF(AND(OR(CC474="L1",CC474="L23",CC474="LIFT"),AI474&gt;0),SUMIFS($AI$7:$AI$1843,$CC$7:$CC$1843,CC474,$AL$7:$AL$1843,"&gt;"&amp;AL474)+SUMIFS($AI$7:$AI$1843,$CC$7:$CC$1843,CC474,$AL$7:$AL$1843,AL474,$BT$7:$BT$1843,"&lt;="&amp;BT474),"")</f>
        <v>1355.17857142857</v>
      </c>
      <c r="AN474" s="58" t="n">
        <f aca="false">IF(AM474="",0,MAX(0,MIN(1,(IF(CC474="L1",Parameter!$H$5,IF(CC474="L23",Parameter!$H$6+Parameter!$H$7,Parameter!$H$5+Parameter!$H$6+Parameter!$H$7))-(AM474-AI474))/AI474)))</f>
        <v>1</v>
      </c>
      <c r="AO474" s="50" t="n">
        <f aca="false">IF(LEFT(Cockpit!$I$5,1)="A",H474,IF(CE474=1,CF474,IF(LEFT(Cockpit!$I$5,1)="B",AT474,MAX(AT474,H474))))</f>
        <v>80</v>
      </c>
      <c r="AP474" s="50" t="n">
        <f aca="false">IF(BW474=1,0,ROUNDUP(AO474/BV474,0))</f>
        <v>2</v>
      </c>
      <c r="AQ474" s="52" t="n">
        <f aca="false">IF(CL474&gt;0,CL474*MAX(1,AO474/X474),IF(BW474=1,IF(AO474&lt;=0,0,CA474*MAX(1,IF(H474&gt;0,AO474/H474,1))),IF(R474&gt;0,AP474/R474,0))/MAX(0.1,N(Parameter!$M$21)))</f>
        <v>0.0142857142857143</v>
      </c>
      <c r="AR474" s="50" t="n">
        <f aca="false">AQ474*BY474</f>
        <v>2.21428571428571</v>
      </c>
      <c r="AS474" s="50" t="n">
        <f aca="false">AO474*G474</f>
        <v>90.4</v>
      </c>
      <c r="AT474" s="50" t="n">
        <f aca="false">ROUNDUP(MAX(J474/IF(CD474&gt;0,CD474,MAX(0.1,N(Cockpit!$I$6))),CG474)/BV474,0)*BV474</f>
        <v>80</v>
      </c>
      <c r="AU474" s="51" t="n">
        <f aca="false">IF(AR474&gt;0,J474/AR474,-1)</f>
        <v>32.0645161290323</v>
      </c>
      <c r="AV474" s="51" t="n">
        <f aca="false">IF(AND(OR(CC474="L1",CC474="L23",CC474="LIFT"),AR474&gt;0),SUMIFS($AR$7:$AR$1843,$CC$7:$CC$1843,CC474,$AU$7:$AU$1843,"&gt;"&amp;AU474)+SUMIFS($AR$7:$AR$1843,$CC$7:$CC$1843,CC474,$AU$7:$AU$1843,AU474,$BT$7:$BT$1843,"&lt;="&amp;BT474),"")</f>
        <v>1851.36813186813</v>
      </c>
      <c r="AW474" s="58" t="n">
        <f aca="false">IF(AV474="",0,MAX(0,MIN(1,(IF(CC474="L1",Parameter!$H$5,IF(CC474="L23",Parameter!$H$6+Parameter!$H$7,Parameter!$H$5+Parameter!$H$6+Parameter!$H$7))-(AV474-AR474))/AR474)))</f>
        <v>1</v>
      </c>
      <c r="AX474" s="50" t="n">
        <f aca="false">IF(LEFT(Cockpit!$O$5,1)="A",H474,IF(CE474=1,CF474,IF(LEFT(Cockpit!$O$5,1)="B",BC474,MAX(BC474,H474))))</f>
        <v>80</v>
      </c>
      <c r="AY474" s="50" t="n">
        <f aca="false">IF(BW474=1,0,ROUNDUP(AX474/BV474,0))</f>
        <v>2</v>
      </c>
      <c r="AZ474" s="52" t="n">
        <f aca="false">IF(CL474&gt;0,CL474*MAX(1,AX474/X474),IF(BW474=1,IF(AX474&lt;=0,0,CA474*MAX(1,IF(H474&gt;0,AX474/H474,1))),IF(R474&gt;0,AY474/R474,0))/MAX(0.1,N(Parameter!$M$21)))</f>
        <v>0.0142857142857143</v>
      </c>
      <c r="BA474" s="50" t="n">
        <f aca="false">AZ474*BY474</f>
        <v>2.21428571428571</v>
      </c>
      <c r="BB474" s="50" t="n">
        <f aca="false">AX474*G474</f>
        <v>90.4</v>
      </c>
      <c r="BC474" s="50" t="n">
        <f aca="false">ROUNDUP(MAX(J474/IF(CD474&gt;0,CD474,MAX(0.1,N(Cockpit!$O$6))),CG474)/BV474,0)*BV474</f>
        <v>80</v>
      </c>
      <c r="BD474" s="51" t="n">
        <f aca="false">IF(BA474&gt;0,J474/BA474,-1)</f>
        <v>32.0645161290323</v>
      </c>
      <c r="BE474" s="51" t="n">
        <f aca="false">IF(AND(OR(CC474="L1",CC474="L23",CC474="LIFT"),BA474&gt;0),SUMIFS($BA$7:$BA$1843,$CC$7:$CC$1843,CC474,$BD$7:$BD$1843,"&gt;"&amp;BD474)+SUMIFS($BA$7:$BA$1843,$CC$7:$CC$1843,CC474,$BD$7:$BD$1843,BD474,$BT$7:$BT$1843,"&lt;="&amp;BT474),"")</f>
        <v>1759.55723443223</v>
      </c>
      <c r="BF474" s="58" t="n">
        <f aca="false">IF(BE474="",0,MAX(0,MIN(1,(IF(CC474="L1",Parameter!$H$5,IF(CC474="L23",Parameter!$H$6+Parameter!$H$7,Parameter!$H$5+Parameter!$H$6+Parameter!$H$7))-(BE474-BA474))/BA474)))</f>
        <v>1</v>
      </c>
      <c r="BG474" s="48" t="str">
        <f aca="false">IF(AI474&lt;=0,"",IF(CC474="Aussen","Aussenlager",IF(CC474="-","Nicht im Lift",IF(AN474&gt;=1,"Lift",IF(AN474&lt;=0,"Aussenlager","teilweise")))))</f>
        <v>Lift</v>
      </c>
      <c r="BH474" s="48" t="str">
        <f aca="false">IF(AR474&lt;=0,"",IF(CC474="Aussen","Aussenlager",IF(CC474="-","Nicht im Lift",IF(AW474&gt;=1,"Lift",IF(AW474&lt;=0,"Aussenlager","teilweise")))))</f>
        <v>Lift</v>
      </c>
      <c r="BI474" s="48" t="str">
        <f aca="false">IF(BA474&lt;=0,"",IF(CC474="Aussen","Aussenlager",IF(CC474="-","Nicht im Lift",IF(BF474&gt;=1,"Lift",IF(BF474&lt;=0,"Aussenlager","teilweise")))))</f>
        <v>Lift</v>
      </c>
      <c r="BJ474" s="48" t="str">
        <f aca="false">IF(A474="","",IF(BS474=1,"Neu; ","")&amp;IF(AND(BS474=0,BN474&lt;0),"negativer Bestand (Export "&amp;BN474&amp;"); ","")&amp;IF(J474&lt;=0,"Kein Verbrauch; ","")&amp;IF(CL474&gt;0,"Lift "&amp;W474&amp;" lt. Liftbericht (Fach "&amp;X474&amp;" Stk); ",IF(BX474=1,"Gebinde geschätzt ("&amp;T474&amp;"); ",IF(BW474=1,"Lose – Tablare geschätzt; ","")))&amp;IF(H474&gt;AT474,"Überbestand "&amp;ROUND(H474-AT474,0)&amp;" Stk / CHF "&amp;ROUND((H474-AT474)*G474,0)&amp;"; ","")&amp;IF(AND(CE474=1,CF474&lt;CG474),"MAX &lt; MB+LG; ","")&amp;IF(AND(CK474&gt;0,CJ474*10&gt;CK474),"zu hoch für Tablar; ","")&amp;IF(AND(BS474=0,OR(CE474=1,AA474&lt;&gt;"",U474&lt;&gt;"",V474&lt;&gt;"",AB474&lt;&gt;"")),"manuell übersteuert; ","")&amp;IF(AND(BW474=0,R474=0),"Gebinde unbekannt / Stellmass fehlt; ","")&amp;IF(AND(BW474=0,N(V474)&lt;=0,N(Q474)&lt;=0),"Menge pro Gebinde fehlt (Ist = 1 Gebinde); ","")&amp;BR474)</f>
        <v/>
      </c>
      <c r="BK474" s="48"/>
      <c r="BL474" s="48"/>
      <c r="BM474" s="55"/>
      <c r="BN474" s="50" t="n">
        <v>46</v>
      </c>
      <c r="BO474" s="50" t="n">
        <v>14</v>
      </c>
      <c r="BP474" s="49" t="n">
        <v>52.68</v>
      </c>
      <c r="BQ474" s="50" t="n">
        <v>71</v>
      </c>
      <c r="BR474" s="48"/>
      <c r="BS474" s="53" t="n">
        <v>0</v>
      </c>
      <c r="BT474" s="53" t="n">
        <v>474</v>
      </c>
      <c r="BU474" s="48" t="str">
        <f aca="false">IF(U474&lt;&gt;"",UPPER(TRIM(U474)),IF(BX474=1,UPPER(VLOOKUP(T474,Parameter!$I$27:$K$29,2,0)),IF(P474="","LOSE",P474)))</f>
        <v>S22</v>
      </c>
      <c r="BV474" s="50" t="n">
        <f aca="false">IF(BU474="LOSE",1,IF(N(V474)&gt;0,V474,IF(BX474=1,MAX(1,N(VLOOKUP(T474,Parameter!$I$27:$K$29,3,0)),H474,N(N474)),IF(N(Q474)&gt;0,Q474,MAX(1,H474)))))</f>
        <v>40</v>
      </c>
      <c r="BW474" s="53" t="n">
        <f aca="false">IF(BU474="LOSE",1,0)</f>
        <v>0</v>
      </c>
      <c r="BX474" s="53" t="n">
        <f aca="false">IF(AND(U474="",OR(P474="",P474="LOSE"),T474&lt;&gt;"",N(S474)&lt;=0,ISNUMBER(MATCH(T474,Parameter!$I$27:$I$29,0))),1,0)</f>
        <v>0</v>
      </c>
      <c r="BY474" s="53" t="n">
        <f aca="false">IF(CL474&gt;0,INDEX(Parameter!$H$5:$H$7,W474)/INDEX(Parameter!$E$5:$E$7,W474),IF(AND(BW474=0,N(IFERROR(VLOOKUP(BU474,'Gebinde-Kategorie'!$A$5:$N$45,14,0),0))&gt;0),VLOOKUP(BU474,'Gebinde-Kategorie'!$A$5:$N$45,14,0)*10+Parameter!$M$23,Parameter!$M$24))</f>
        <v>155</v>
      </c>
      <c r="BZ474" s="48" t="str">
        <f aca="false">IF(AND(Parameter!$B$19="Ja",E474&lt;&gt;"",ISNUMBER(MATCH(E474,Parameter!$I$35:$I$52,0))),VLOOKUP(E474,Parameter!$I$35:$J$52,2,0),IFERROR(VLOOKUP(D474,Parameter!$A$35:$C$64,2,0),"Nein"))</f>
        <v>2+3</v>
      </c>
      <c r="CA474" s="52" t="n">
        <f aca="false">IF(BW474=0,0,IF(N(S474)&gt;0,S474,IFERROR(VLOOKUP(D474,Parameter!$A$35:$C$64,3,0)+0,0)))</f>
        <v>0</v>
      </c>
      <c r="CB474" s="48" t="n">
        <f aca="false">IF(AA474&lt;&gt;"",AA474,Z474)</f>
        <v>3</v>
      </c>
      <c r="CC474" s="48" t="str">
        <f aca="false">IF(OR(CB474=1,CB474=2,CB474=3),IF(Parameter!$E$27="Ja","LIFT",IF(CB474=1,"L1","L23")),IF(CB474="Aussen","Aussen","-"))</f>
        <v>LIFT</v>
      </c>
      <c r="CD474" s="59" t="n">
        <f aca="false">IF(N(AB474)&gt;0,AB474,0)</f>
        <v>0</v>
      </c>
      <c r="CE474" s="53" t="n">
        <f aca="false">IF(ISNUMBER(AE474),1,0)</f>
        <v>0</v>
      </c>
      <c r="CF474" s="50" t="n">
        <f aca="false">N(AE474)</f>
        <v>0</v>
      </c>
      <c r="CG474" s="50" t="n">
        <f aca="false">N(M474)+N(N474)</f>
        <v>72</v>
      </c>
      <c r="CH474" s="50" t="n">
        <f aca="false">ROUNDUP(H474/BV474,0)</f>
        <v>2</v>
      </c>
      <c r="CI474" s="50" t="n">
        <f aca="false">ROUNDUP(CF474/BV474,0)</f>
        <v>0</v>
      </c>
      <c r="CJ474" s="53" t="n">
        <f aca="false">IF(BW474=1,0,IFERROR(VLOOKUP(BU474,'Gebinde-Kategorie'!$A$5:$N$45,5,0)+0,0))</f>
        <v>8</v>
      </c>
      <c r="CK474" s="53" t="n">
        <f aca="false">IFERROR(IF(OR(CB474=1,CB474=2,CB474=3),N(INDEX(Parameter!$I$5:$I$7,CB474)),0),0)</f>
        <v>0</v>
      </c>
      <c r="CL474" s="52" t="n">
        <f aca="false">IF(AND(Parameter!$B$21="Ja",ISNUMBER(W474),N(X474)&gt;0),IFERROR(N(INDEX(Parameter!$L$5:$L$7,W474))*INDEX(Parameter!$E$5:$E$7,W474)*X474/SUMIFS($X$7:$X$1843,$W$7:$W$1843,W474),0),0)</f>
        <v>0</v>
      </c>
    </row>
    <row r="475" customFormat="false" ht="15" hidden="false" customHeight="false" outlineLevel="0" collapsed="false">
      <c r="A475" s="48" t="s">
        <v>1062</v>
      </c>
      <c r="B475" s="48" t="s">
        <v>1063</v>
      </c>
      <c r="C475" s="48" t="s">
        <v>168</v>
      </c>
      <c r="D475" s="48" t="s">
        <v>999</v>
      </c>
      <c r="E475" s="48"/>
      <c r="F475" s="48" t="s">
        <v>222</v>
      </c>
      <c r="G475" s="49" t="n">
        <v>1.63</v>
      </c>
      <c r="H475" s="50" t="n">
        <f aca="false">MAX(0,IF(AND(Parameter!$B$21="Ja",ISNUMBER(Y475)),Y475,IF(Parameter!$B$20="Jahresanfang 2025 + Export",BO475+BN475,BN475)))</f>
        <v>32</v>
      </c>
      <c r="I475" s="50" t="n">
        <f aca="false">H475*G475</f>
        <v>52.16</v>
      </c>
      <c r="J475" s="50" t="n">
        <f aca="false">BQ475*Parameter!$B$18</f>
        <v>118</v>
      </c>
      <c r="K475" s="51" t="n">
        <v>16</v>
      </c>
      <c r="L475" s="52" t="n">
        <v>7.375</v>
      </c>
      <c r="M475" s="50" t="n">
        <v>0</v>
      </c>
      <c r="N475" s="50" t="n">
        <v>50</v>
      </c>
      <c r="O475" s="53" t="n">
        <v>21</v>
      </c>
      <c r="P475" s="48" t="s">
        <v>172</v>
      </c>
      <c r="Q475" s="50"/>
      <c r="R475" s="53" t="n">
        <f aca="false">IF(BW475=1,0,IFERROR(VLOOKUP(BU475,'Gebinde-Kategorie'!$A$5:$N$45,13,0)+0,0))</f>
        <v>0</v>
      </c>
      <c r="S475" s="54"/>
      <c r="T475" s="55"/>
      <c r="U475" s="55"/>
      <c r="V475" s="55"/>
      <c r="W475" s="48"/>
      <c r="X475" s="50"/>
      <c r="Y475" s="50"/>
      <c r="Z475" s="48" t="str">
        <f aca="false">IF(A475="","",IF(AND(Parameter!$B$21="Ja",ISNUMBER(W475)),W475,IF(BZ475="2+3",IF(ISNUMBER(SEARCH("grosser Artikel",BR475)),2,IFERROR(VLOOKUP(BU475,Parameter!$F$35:$G$64,2,0),2)),IF(OR(BZ475="Nein",BZ475=""),"-",BZ475))))</f>
        <v>-</v>
      </c>
      <c r="AA475" s="55"/>
      <c r="AB475" s="56"/>
      <c r="AC475" s="50" t="n">
        <f aca="false">AT475</f>
        <v>59</v>
      </c>
      <c r="AD475" s="50" t="n">
        <f aca="false">MAX(AT475,H475)</f>
        <v>59</v>
      </c>
      <c r="AE475" s="57"/>
      <c r="AF475" s="50" t="n">
        <f aca="false">IF(LEFT(Cockpit!$C$5,1)="A",H475,IF(CE475=1,CF475,IF(LEFT(Cockpit!$C$5,1)="B",AK475,MAX(AK475,H475))))</f>
        <v>32</v>
      </c>
      <c r="AG475" s="50" t="n">
        <f aca="false">IF(BW475=1,0,ROUNDUP(AF475/BV475,0))</f>
        <v>0</v>
      </c>
      <c r="AH475" s="52" t="n">
        <f aca="false">IF(CL475&gt;0,CL475*MAX(1,AF475/X475),IF(BW475=1,IF(AF475&lt;=0,0,CA475*MAX(1,IF(H475&gt;0,AF475/H475,1))),IF(R475&gt;0,AG475/R475,0))/MAX(0.1,N(Parameter!$M$21)))</f>
        <v>0.15</v>
      </c>
      <c r="AI475" s="50" t="n">
        <f aca="false">AH475*BY475</f>
        <v>35.25</v>
      </c>
      <c r="AJ475" s="50" t="n">
        <f aca="false">AF475*G475</f>
        <v>52.16</v>
      </c>
      <c r="AK475" s="50" t="n">
        <f aca="false">ROUNDUP(MAX(J475/IF(CD475&gt;0,CD475,MAX(0.1,N(Cockpit!$C$6))),CG475)/BV475,0)*BV475</f>
        <v>59</v>
      </c>
      <c r="AL475" s="51" t="n">
        <f aca="false">IF(AI475&gt;0,J475/AI475,-1)</f>
        <v>3.34751773049645</v>
      </c>
      <c r="AM475" s="51" t="str">
        <f aca="false">IF(AND(OR(CC475="L1",CC475="L23",CC475="LIFT"),AI475&gt;0),SUMIFS($AI$7:$AI$1843,$CC$7:$CC$1843,CC475,$AL$7:$AL$1843,"&gt;"&amp;AL475)+SUMIFS($AI$7:$AI$1843,$CC$7:$CC$1843,CC475,$AL$7:$AL$1843,AL475,$BT$7:$BT$1843,"&lt;="&amp;BT475),"")</f>
        <v/>
      </c>
      <c r="AN475" s="58" t="n">
        <f aca="false">IF(AM475="",0,MAX(0,MIN(1,(IF(CC475="L1",Parameter!$H$5,IF(CC475="L23",Parameter!$H$6+Parameter!$H$7,Parameter!$H$5+Parameter!$H$6+Parameter!$H$7))-(AM475-AI475))/AI475)))</f>
        <v>0</v>
      </c>
      <c r="AO475" s="50" t="n">
        <f aca="false">IF(LEFT(Cockpit!$I$5,1)="A",H475,IF(CE475=1,CF475,IF(LEFT(Cockpit!$I$5,1)="B",AT475,MAX(AT475,H475))))</f>
        <v>59</v>
      </c>
      <c r="AP475" s="50" t="n">
        <f aca="false">IF(BW475=1,0,ROUNDUP(AO475/BV475,0))</f>
        <v>0</v>
      </c>
      <c r="AQ475" s="52" t="n">
        <f aca="false">IF(CL475&gt;0,CL475*MAX(1,AO475/X475),IF(BW475=1,IF(AO475&lt;=0,0,CA475*MAX(1,IF(H475&gt;0,AO475/H475,1))),IF(R475&gt;0,AP475/R475,0))/MAX(0.1,N(Parameter!$M$21)))</f>
        <v>0.2765625</v>
      </c>
      <c r="AR475" s="50" t="n">
        <f aca="false">AQ475*BY475</f>
        <v>64.9921875</v>
      </c>
      <c r="AS475" s="50" t="n">
        <f aca="false">AO475*G475</f>
        <v>96.17</v>
      </c>
      <c r="AT475" s="50" t="n">
        <f aca="false">ROUNDUP(MAX(J475/IF(CD475&gt;0,CD475,MAX(0.1,N(Cockpit!$I$6))),CG475)/BV475,0)*BV475</f>
        <v>59</v>
      </c>
      <c r="AU475" s="51" t="n">
        <f aca="false">IF(AR475&gt;0,J475/AR475,-1)</f>
        <v>1.81560283687943</v>
      </c>
      <c r="AV475" s="51" t="str">
        <f aca="false">IF(AND(OR(CC475="L1",CC475="L23",CC475="LIFT"),AR475&gt;0),SUMIFS($AR$7:$AR$1843,$CC$7:$CC$1843,CC475,$AU$7:$AU$1843,"&gt;"&amp;AU475)+SUMIFS($AR$7:$AR$1843,$CC$7:$CC$1843,CC475,$AU$7:$AU$1843,AU475,$BT$7:$BT$1843,"&lt;="&amp;BT475),"")</f>
        <v/>
      </c>
      <c r="AW475" s="58" t="n">
        <f aca="false">IF(AV475="",0,MAX(0,MIN(1,(IF(CC475="L1",Parameter!$H$5,IF(CC475="L23",Parameter!$H$6+Parameter!$H$7,Parameter!$H$5+Parameter!$H$6+Parameter!$H$7))-(AV475-AR475))/AR475)))</f>
        <v>0</v>
      </c>
      <c r="AX475" s="50" t="n">
        <f aca="false">IF(LEFT(Cockpit!$O$5,1)="A",H475,IF(CE475=1,CF475,IF(LEFT(Cockpit!$O$5,1)="B",BC475,MAX(BC475,H475))))</f>
        <v>50</v>
      </c>
      <c r="AY475" s="50" t="n">
        <f aca="false">IF(BW475=1,0,ROUNDUP(AX475/BV475,0))</f>
        <v>0</v>
      </c>
      <c r="AZ475" s="52" t="n">
        <f aca="false">IF(CL475&gt;0,CL475*MAX(1,AX475/X475),IF(BW475=1,IF(AX475&lt;=0,0,CA475*MAX(1,IF(H475&gt;0,AX475/H475,1))),IF(R475&gt;0,AY475/R475,0))/MAX(0.1,N(Parameter!$M$21)))</f>
        <v>0.234375</v>
      </c>
      <c r="BA475" s="50" t="n">
        <f aca="false">AZ475*BY475</f>
        <v>55.078125</v>
      </c>
      <c r="BB475" s="50" t="n">
        <f aca="false">AX475*G475</f>
        <v>81.5</v>
      </c>
      <c r="BC475" s="50" t="n">
        <f aca="false">ROUNDUP(MAX(J475/IF(CD475&gt;0,CD475,MAX(0.1,N(Cockpit!$O$6))),CG475)/BV475,0)*BV475</f>
        <v>50</v>
      </c>
      <c r="BD475" s="51" t="n">
        <f aca="false">IF(BA475&gt;0,J475/BA475,-1)</f>
        <v>2.14241134751773</v>
      </c>
      <c r="BE475" s="51" t="str">
        <f aca="false">IF(AND(OR(CC475="L1",CC475="L23",CC475="LIFT"),BA475&gt;0),SUMIFS($BA$7:$BA$1843,$CC$7:$CC$1843,CC475,$BD$7:$BD$1843,"&gt;"&amp;BD475)+SUMIFS($BA$7:$BA$1843,$CC$7:$CC$1843,CC475,$BD$7:$BD$1843,BD475,$BT$7:$BT$1843,"&lt;="&amp;BT475),"")</f>
        <v/>
      </c>
      <c r="BF475" s="58" t="n">
        <f aca="false">IF(BE475="",0,MAX(0,MIN(1,(IF(CC475="L1",Parameter!$H$5,IF(CC475="L23",Parameter!$H$6+Parameter!$H$7,Parameter!$H$5+Parameter!$H$6+Parameter!$H$7))-(BE475-BA475))/BA475)))</f>
        <v>0</v>
      </c>
      <c r="BG475" s="48" t="str">
        <f aca="false">IF(AI475&lt;=0,"",IF(CC475="Aussen","Aussenlager",IF(CC475="-","Nicht im Lift",IF(AN475&gt;=1,"Lift",IF(AN475&lt;=0,"Aussenlager","teilweise")))))</f>
        <v>Nicht im Lift</v>
      </c>
      <c r="BH475" s="48" t="str">
        <f aca="false">IF(AR475&lt;=0,"",IF(CC475="Aussen","Aussenlager",IF(CC475="-","Nicht im Lift",IF(AW475&gt;=1,"Lift",IF(AW475&lt;=0,"Aussenlager","teilweise")))))</f>
        <v>Nicht im Lift</v>
      </c>
      <c r="BI475" s="48" t="str">
        <f aca="false">IF(BA475&lt;=0,"",IF(CC475="Aussen","Aussenlager",IF(CC475="-","Nicht im Lift",IF(BF475&gt;=1,"Lift",IF(BF475&lt;=0,"Aussenlager","teilweise")))))</f>
        <v>Nicht im Lift</v>
      </c>
      <c r="BJ475" s="48" t="str">
        <f aca="false">IF(A475="","",IF(BS475=1,"Neu; ","")&amp;IF(AND(BS475=0,BN475&lt;0),"negativer Bestand (Export "&amp;BN475&amp;"); ","")&amp;IF(J475&lt;=0,"Kein Verbrauch; ","")&amp;IF(CL475&gt;0,"Lift "&amp;W475&amp;" lt. Liftbericht (Fach "&amp;X475&amp;" Stk); ",IF(BX475=1,"Gebinde geschätzt ("&amp;T475&amp;"); ",IF(BW475=1,"Lose – Tablare geschätzt; ","")))&amp;IF(H475&gt;AT475,"Überbestand "&amp;ROUND(H475-AT475,0)&amp;" Stk / CHF "&amp;ROUND((H475-AT475)*G475,0)&amp;"; ","")&amp;IF(AND(CE475=1,CF475&lt;CG475),"MAX &lt; MB+LG; ","")&amp;IF(AND(CK475&gt;0,CJ475*10&gt;CK475),"zu hoch für Tablar; ","")&amp;IF(AND(BS475=0,OR(CE475=1,AA475&lt;&gt;"",U475&lt;&gt;"",V475&lt;&gt;"",AB475&lt;&gt;"")),"manuell übersteuert; ","")&amp;IF(AND(BW475=0,R475=0),"Gebinde unbekannt / Stellmass fehlt; ","")&amp;IF(AND(BW475=0,N(V475)&lt;=0,N(Q475)&lt;=0),"Menge pro Gebinde fehlt (Ist = 1 Gebinde); ","")&amp;BR475)</f>
        <v>Lose – Tablare geschätzt; </v>
      </c>
      <c r="BK475" s="48"/>
      <c r="BL475" s="48"/>
      <c r="BM475" s="55"/>
      <c r="BN475" s="50" t="n">
        <v>32</v>
      </c>
      <c r="BO475" s="50" t="n">
        <v>0</v>
      </c>
      <c r="BP475" s="49" t="n">
        <v>52.16</v>
      </c>
      <c r="BQ475" s="50" t="n">
        <v>118</v>
      </c>
      <c r="BR475" s="48"/>
      <c r="BS475" s="53" t="n">
        <v>0</v>
      </c>
      <c r="BT475" s="53" t="n">
        <v>475</v>
      </c>
      <c r="BU475" s="48" t="str">
        <f aca="false">IF(U475&lt;&gt;"",UPPER(TRIM(U475)),IF(BX475=1,UPPER(VLOOKUP(T475,Parameter!$I$27:$K$29,2,0)),IF(P475="","LOSE",P475)))</f>
        <v>LOSE</v>
      </c>
      <c r="BV475" s="50" t="n">
        <f aca="false">IF(BU475="LOSE",1,IF(N(V475)&gt;0,V475,IF(BX475=1,MAX(1,N(VLOOKUP(T475,Parameter!$I$27:$K$29,3,0)),H475,N(N475)),IF(N(Q475)&gt;0,Q475,MAX(1,H475)))))</f>
        <v>1</v>
      </c>
      <c r="BW475" s="53" t="n">
        <f aca="false">IF(BU475="LOSE",1,0)</f>
        <v>1</v>
      </c>
      <c r="BX475" s="53" t="n">
        <f aca="false">IF(AND(U475="",OR(P475="",P475="LOSE"),T475&lt;&gt;"",N(S475)&lt;=0,ISNUMBER(MATCH(T475,Parameter!$I$27:$I$29,0))),1,0)</f>
        <v>0</v>
      </c>
      <c r="BY475" s="53" t="n">
        <f aca="false">IF(CL475&gt;0,INDEX(Parameter!$H$5:$H$7,W475)/INDEX(Parameter!$E$5:$E$7,W475),IF(AND(BW475=0,N(IFERROR(VLOOKUP(BU475,'Gebinde-Kategorie'!$A$5:$N$45,14,0),0))&gt;0),VLOOKUP(BU475,'Gebinde-Kategorie'!$A$5:$N$45,14,0)*10+Parameter!$M$23,Parameter!$M$24))</f>
        <v>235</v>
      </c>
      <c r="BZ475" s="48" t="str">
        <f aca="false">IF(AND(Parameter!$B$19="Ja",E475&lt;&gt;"",ISNUMBER(MATCH(E475,Parameter!$I$35:$I$52,0))),VLOOKUP(E475,Parameter!$I$35:$J$52,2,0),IFERROR(VLOOKUP(D475,Parameter!$A$35:$C$64,2,0),"Nein"))</f>
        <v>Nein</v>
      </c>
      <c r="CA475" s="52" t="n">
        <f aca="false">IF(BW475=0,0,IF(N(S475)&gt;0,S475,IFERROR(VLOOKUP(D475,Parameter!$A$35:$C$64,3,0)+0,0)))</f>
        <v>0.15</v>
      </c>
      <c r="CB475" s="48" t="str">
        <f aca="false">IF(AA475&lt;&gt;"",AA475,Z475)</f>
        <v>-</v>
      </c>
      <c r="CC475" s="48" t="str">
        <f aca="false">IF(OR(CB475=1,CB475=2,CB475=3),IF(Parameter!$E$27="Ja","LIFT",IF(CB475=1,"L1","L23")),IF(CB475="Aussen","Aussen","-"))</f>
        <v>-</v>
      </c>
      <c r="CD475" s="59" t="n">
        <f aca="false">IF(N(AB475)&gt;0,AB475,0)</f>
        <v>0</v>
      </c>
      <c r="CE475" s="53" t="n">
        <f aca="false">IF(ISNUMBER(AE475),1,0)</f>
        <v>0</v>
      </c>
      <c r="CF475" s="50" t="n">
        <f aca="false">N(AE475)</f>
        <v>0</v>
      </c>
      <c r="CG475" s="50" t="n">
        <f aca="false">N(M475)+N(N475)</f>
        <v>50</v>
      </c>
      <c r="CH475" s="50" t="n">
        <f aca="false">ROUNDUP(H475/BV475,0)</f>
        <v>32</v>
      </c>
      <c r="CI475" s="50" t="n">
        <f aca="false">ROUNDUP(CF475/BV475,0)</f>
        <v>0</v>
      </c>
      <c r="CJ475" s="53" t="n">
        <f aca="false">IF(BW475=1,0,IFERROR(VLOOKUP(BU475,'Gebinde-Kategorie'!$A$5:$N$45,5,0)+0,0))</f>
        <v>0</v>
      </c>
      <c r="CK475" s="53" t="n">
        <f aca="false">IFERROR(IF(OR(CB475=1,CB475=2,CB475=3),N(INDEX(Parameter!$I$5:$I$7,CB475)),0),0)</f>
        <v>0</v>
      </c>
      <c r="CL475" s="52" t="n">
        <f aca="false">IF(AND(Parameter!$B$21="Ja",ISNUMBER(W475),N(X475)&gt;0),IFERROR(N(INDEX(Parameter!$L$5:$L$7,W475))*INDEX(Parameter!$E$5:$E$7,W475)*X475/SUMIFS($X$7:$X$1843,$W$7:$W$1843,W475),0),0)</f>
        <v>0</v>
      </c>
    </row>
    <row r="476" customFormat="false" ht="15" hidden="false" customHeight="false" outlineLevel="0" collapsed="false">
      <c r="A476" s="48" t="s">
        <v>1064</v>
      </c>
      <c r="B476" s="48" t="s">
        <v>1065</v>
      </c>
      <c r="C476" s="48" t="s">
        <v>168</v>
      </c>
      <c r="D476" s="48" t="s">
        <v>188</v>
      </c>
      <c r="E476" s="48"/>
      <c r="F476" s="48" t="s">
        <v>222</v>
      </c>
      <c r="G476" s="49" t="n">
        <v>51.57</v>
      </c>
      <c r="H476" s="50" t="n">
        <f aca="false">MAX(0,IF(AND(Parameter!$B$21="Ja",ISNUMBER(Y476)),Y476,IF(Parameter!$B$20="Jahresanfang 2025 + Export",BO476+BN476,BN476)))</f>
        <v>1</v>
      </c>
      <c r="I476" s="50" t="n">
        <f aca="false">H476*G476</f>
        <v>51.57</v>
      </c>
      <c r="J476" s="50" t="n">
        <f aca="false">BQ476*Parameter!$B$18</f>
        <v>1</v>
      </c>
      <c r="K476" s="51" t="n">
        <v>0.5</v>
      </c>
      <c r="L476" s="52" t="n">
        <v>2</v>
      </c>
      <c r="M476" s="50" t="n">
        <v>0</v>
      </c>
      <c r="N476" s="50" t="n">
        <v>1</v>
      </c>
      <c r="O476" s="53" t="n">
        <v>28</v>
      </c>
      <c r="P476" s="48" t="s">
        <v>172</v>
      </c>
      <c r="Q476" s="50"/>
      <c r="R476" s="53" t="n">
        <f aca="false">IF(BW476=1,0,IFERROR(VLOOKUP(BU476,'Gebinde-Kategorie'!$A$5:$N$45,13,0)+0,0))</f>
        <v>4</v>
      </c>
      <c r="S476" s="54"/>
      <c r="T476" s="55" t="s">
        <v>193</v>
      </c>
      <c r="U476" s="55"/>
      <c r="V476" s="55"/>
      <c r="W476" s="48"/>
      <c r="X476" s="50"/>
      <c r="Y476" s="50"/>
      <c r="Z476" s="48" t="n">
        <f aca="false">IF(A476="","",IF(AND(Parameter!$B$21="Ja",ISNUMBER(W476)),W476,IF(BZ476="2+3",IF(ISNUMBER(SEARCH("grosser Artikel",BR476)),2,IFERROR(VLOOKUP(BU476,Parameter!$F$35:$G$64,2,0),2)),IF(OR(BZ476="Nein",BZ476=""),"-",BZ476))))</f>
        <v>2</v>
      </c>
      <c r="AA476" s="55"/>
      <c r="AB476" s="56"/>
      <c r="AC476" s="50" t="n">
        <f aca="false">AT476</f>
        <v>2</v>
      </c>
      <c r="AD476" s="50" t="n">
        <f aca="false">MAX(AT476,H476)</f>
        <v>2</v>
      </c>
      <c r="AE476" s="57"/>
      <c r="AF476" s="50" t="n">
        <f aca="false">IF(LEFT(Cockpit!$C$5,1)="A",H476,IF(CE476=1,CF476,IF(LEFT(Cockpit!$C$5,1)="B",AK476,MAX(AK476,H476))))</f>
        <v>1</v>
      </c>
      <c r="AG476" s="50" t="n">
        <f aca="false">IF(BW476=1,0,ROUNDUP(AF476/BV476,0))</f>
        <v>1</v>
      </c>
      <c r="AH476" s="52" t="n">
        <f aca="false">IF(CL476&gt;0,CL476*MAX(1,AF476/X476),IF(BW476=1,IF(AF476&lt;=0,0,CA476*MAX(1,IF(H476&gt;0,AF476/H476,1))),IF(R476&gt;0,AG476/R476,0))/MAX(0.1,N(Parameter!$M$21)))</f>
        <v>0.25</v>
      </c>
      <c r="AI476" s="50" t="n">
        <f aca="false">AH476*BY476</f>
        <v>58.75</v>
      </c>
      <c r="AJ476" s="50" t="n">
        <f aca="false">AF476*G476</f>
        <v>51.57</v>
      </c>
      <c r="AK476" s="50" t="n">
        <f aca="false">ROUNDUP(MAX(J476/IF(CD476&gt;0,CD476,MAX(0.1,N(Cockpit!$C$6))),CG476)/BV476,0)*BV476</f>
        <v>2</v>
      </c>
      <c r="AL476" s="51" t="n">
        <f aca="false">IF(AI476&gt;0,J476/AI476,-1)</f>
        <v>0.0170212765957447</v>
      </c>
      <c r="AM476" s="51" t="n">
        <f aca="false">IF(AND(OR(CC476="L1",CC476="L23",CC476="LIFT"),AI476&gt;0),SUMIFS($AI$7:$AI$1843,$CC$7:$CC$1843,CC476,$AL$7:$AL$1843,"&gt;"&amp;AL476)+SUMIFS($AI$7:$AI$1843,$CC$7:$CC$1843,CC476,$AL$7:$AL$1843,AL476,$BT$7:$BT$1843,"&lt;="&amp;BT476),"")</f>
        <v>23645.9208858467</v>
      </c>
      <c r="AN476" s="58" t="n">
        <f aca="false">IF(AM476="",0,MAX(0,MIN(1,(IF(CC476="L1",Parameter!$H$5,IF(CC476="L23",Parameter!$H$6+Parameter!$H$7,Parameter!$H$5+Parameter!$H$6+Parameter!$H$7))-(AM476-AI476))/AI476)))</f>
        <v>1</v>
      </c>
      <c r="AO476" s="50" t="n">
        <f aca="false">IF(LEFT(Cockpit!$I$5,1)="A",H476,IF(CE476=1,CF476,IF(LEFT(Cockpit!$I$5,1)="B",AT476,MAX(AT476,H476))))</f>
        <v>2</v>
      </c>
      <c r="AP476" s="50" t="n">
        <f aca="false">IF(BW476=1,0,ROUNDUP(AO476/BV476,0))</f>
        <v>1</v>
      </c>
      <c r="AQ476" s="52" t="n">
        <f aca="false">IF(CL476&gt;0,CL476*MAX(1,AO476/X476),IF(BW476=1,IF(AO476&lt;=0,0,CA476*MAX(1,IF(H476&gt;0,AO476/H476,1))),IF(R476&gt;0,AP476/R476,0))/MAX(0.1,N(Parameter!$M$21)))</f>
        <v>0.25</v>
      </c>
      <c r="AR476" s="50" t="n">
        <f aca="false">AQ476*BY476</f>
        <v>58.75</v>
      </c>
      <c r="AS476" s="50" t="n">
        <f aca="false">AO476*G476</f>
        <v>103.14</v>
      </c>
      <c r="AT476" s="50" t="n">
        <f aca="false">ROUNDUP(MAX(J476/IF(CD476&gt;0,CD476,MAX(0.1,N(Cockpit!$I$6))),CG476)/BV476,0)*BV476</f>
        <v>2</v>
      </c>
      <c r="AU476" s="51" t="n">
        <f aca="false">IF(AR476&gt;0,J476/AR476,-1)</f>
        <v>0.0170212765957447</v>
      </c>
      <c r="AV476" s="51" t="n">
        <f aca="false">IF(AND(OR(CC476="L1",CC476="L23",CC476="LIFT"),AR476&gt;0),SUMIFS($AR$7:$AR$1843,$CC$7:$CC$1843,CC476,$AU$7:$AU$1843,"&gt;"&amp;AU476)+SUMIFS($AR$7:$AR$1843,$CC$7:$CC$1843,CC476,$AU$7:$AU$1843,AU476,$BT$7:$BT$1843,"&lt;="&amp;BT476),"")</f>
        <v>34464.3513560357</v>
      </c>
      <c r="AW476" s="58" t="n">
        <f aca="false">IF(AV476="",0,MAX(0,MIN(1,(IF(CC476="L1",Parameter!$H$5,IF(CC476="L23",Parameter!$H$6+Parameter!$H$7,Parameter!$H$5+Parameter!$H$6+Parameter!$H$7))-(AV476-AR476))/AR476)))</f>
        <v>1</v>
      </c>
      <c r="AX476" s="50" t="n">
        <f aca="false">IF(LEFT(Cockpit!$O$5,1)="A",H476,IF(CE476=1,CF476,IF(LEFT(Cockpit!$O$5,1)="B",BC476,MAX(BC476,H476))))</f>
        <v>2</v>
      </c>
      <c r="AY476" s="50" t="n">
        <f aca="false">IF(BW476=1,0,ROUNDUP(AX476/BV476,0))</f>
        <v>1</v>
      </c>
      <c r="AZ476" s="52" t="n">
        <f aca="false">IF(CL476&gt;0,CL476*MAX(1,AX476/X476),IF(BW476=1,IF(AX476&lt;=0,0,CA476*MAX(1,IF(H476&gt;0,AX476/H476,1))),IF(R476&gt;0,AY476/R476,0))/MAX(0.1,N(Parameter!$M$21)))</f>
        <v>0.25</v>
      </c>
      <c r="BA476" s="50" t="n">
        <f aca="false">AZ476*BY476</f>
        <v>58.75</v>
      </c>
      <c r="BB476" s="50" t="n">
        <f aca="false">AX476*G476</f>
        <v>103.14</v>
      </c>
      <c r="BC476" s="50" t="n">
        <f aca="false">ROUNDUP(MAX(J476/IF(CD476&gt;0,CD476,MAX(0.1,N(Cockpit!$O$6))),CG476)/BV476,0)*BV476</f>
        <v>2</v>
      </c>
      <c r="BD476" s="51" t="n">
        <f aca="false">IF(BA476&gt;0,J476/BA476,-1)</f>
        <v>0.0170212765957447</v>
      </c>
      <c r="BE476" s="51" t="n">
        <f aca="false">IF(AND(OR(CC476="L1",CC476="L23",CC476="LIFT"),BA476&gt;0),SUMIFS($BA$7:$BA$1843,$CC$7:$CC$1843,CC476,$BD$7:$BD$1843,"&gt;"&amp;BD476)+SUMIFS($BA$7:$BA$1843,$CC$7:$CC$1843,CC476,$BD$7:$BD$1843,BD476,$BT$7:$BT$1843,"&lt;="&amp;BT476),"")</f>
        <v>31139.3633979015</v>
      </c>
      <c r="BF476" s="58" t="n">
        <f aca="false">IF(BE476="",0,MAX(0,MIN(1,(IF(CC476="L1",Parameter!$H$5,IF(CC476="L23",Parameter!$H$6+Parameter!$H$7,Parameter!$H$5+Parameter!$H$6+Parameter!$H$7))-(BE476-BA476))/BA476)))</f>
        <v>1</v>
      </c>
      <c r="BG476" s="48" t="str">
        <f aca="false">IF(AI476&lt;=0,"",IF(CC476="Aussen","Aussenlager",IF(CC476="-","Nicht im Lift",IF(AN476&gt;=1,"Lift",IF(AN476&lt;=0,"Aussenlager","teilweise")))))</f>
        <v>Lift</v>
      </c>
      <c r="BH476" s="48" t="str">
        <f aca="false">IF(AR476&lt;=0,"",IF(CC476="Aussen","Aussenlager",IF(CC476="-","Nicht im Lift",IF(AW476&gt;=1,"Lift",IF(AW476&lt;=0,"Aussenlager","teilweise")))))</f>
        <v>Lift</v>
      </c>
      <c r="BI476" s="48" t="str">
        <f aca="false">IF(BA476&lt;=0,"",IF(CC476="Aussen","Aussenlager",IF(CC476="-","Nicht im Lift",IF(BF476&gt;=1,"Lift",IF(BF476&lt;=0,"Aussenlager","teilweise")))))</f>
        <v>Lift</v>
      </c>
      <c r="BJ476" s="48" t="str">
        <f aca="false">IF(A476="","",IF(BS476=1,"Neu; ","")&amp;IF(AND(BS476=0,BN476&lt;0),"negativer Bestand (Export "&amp;BN476&amp;"); ","")&amp;IF(J476&lt;=0,"Kein Verbrauch; ","")&amp;IF(CL476&gt;0,"Lift "&amp;W476&amp;" lt. Liftbericht (Fach "&amp;X476&amp;" Stk); ",IF(BX476=1,"Gebinde geschätzt ("&amp;T476&amp;"); ",IF(BW476=1,"Lose – Tablare geschätzt; ","")))&amp;IF(H476&gt;AT476,"Überbestand "&amp;ROUND(H476-AT476,0)&amp;" Stk / CHF "&amp;ROUND((H476-AT476)*G476,0)&amp;"; ","")&amp;IF(AND(CE476=1,CF476&lt;CG476),"MAX &lt; MB+LG; ","")&amp;IF(AND(CK476&gt;0,CJ476*10&gt;CK476),"zu hoch für Tablar; ","")&amp;IF(AND(BS476=0,OR(CE476=1,AA476&lt;&gt;"",U476&lt;&gt;"",V476&lt;&gt;"",AB476&lt;&gt;"")),"manuell übersteuert; ","")&amp;IF(AND(BW476=0,R476=0),"Gebinde unbekannt / Stellmass fehlt; ","")&amp;IF(AND(BW476=0,N(V476)&lt;=0,N(Q476)&lt;=0),"Menge pro Gebinde fehlt (Ist = 1 Gebinde); ","")&amp;BR476)</f>
        <v>Gebinde geschätzt (Gross); Menge pro Gebinde fehlt (Ist = 1 Gebinde); </v>
      </c>
      <c r="BK476" s="48"/>
      <c r="BL476" s="48"/>
      <c r="BM476" s="55"/>
      <c r="BN476" s="50" t="n">
        <v>1</v>
      </c>
      <c r="BO476" s="50" t="n">
        <v>0</v>
      </c>
      <c r="BP476" s="49" t="n">
        <v>51.57</v>
      </c>
      <c r="BQ476" s="50" t="n">
        <v>1</v>
      </c>
      <c r="BR476" s="48"/>
      <c r="BS476" s="53" t="n">
        <v>0</v>
      </c>
      <c r="BT476" s="53" t="n">
        <v>476</v>
      </c>
      <c r="BU476" s="48" t="str">
        <f aca="false">IF(U476&lt;&gt;"",UPPER(TRIM(U476)),IF(BX476=1,UPPER(VLOOKUP(T476,Parameter!$I$27:$K$29,2,0)),IF(P476="","LOSE",P476)))</f>
        <v>S81</v>
      </c>
      <c r="BV476" s="50" t="n">
        <f aca="false">IF(BU476="LOSE",1,IF(N(V476)&gt;0,V476,IF(BX476=1,MAX(1,N(VLOOKUP(T476,Parameter!$I$27:$K$29,3,0)),H476,N(N476)),IF(N(Q476)&gt;0,Q476,MAX(1,H476)))))</f>
        <v>2</v>
      </c>
      <c r="BW476" s="53" t="n">
        <f aca="false">IF(BU476="LOSE",1,0)</f>
        <v>0</v>
      </c>
      <c r="BX476" s="53" t="n">
        <f aca="false">IF(AND(U476="",OR(P476="",P476="LOSE"),T476&lt;&gt;"",N(S476)&lt;=0,ISNUMBER(MATCH(T476,Parameter!$I$27:$I$29,0))),1,0)</f>
        <v>1</v>
      </c>
      <c r="BY476" s="53" t="n">
        <f aca="false">IF(CL476&gt;0,INDEX(Parameter!$H$5:$H$7,W476)/INDEX(Parameter!$E$5:$E$7,W476),IF(AND(BW476=0,N(IFERROR(VLOOKUP(BU476,'Gebinde-Kategorie'!$A$5:$N$45,14,0),0))&gt;0),VLOOKUP(BU476,'Gebinde-Kategorie'!$A$5:$N$45,14,0)*10+Parameter!$M$23,Parameter!$M$24))</f>
        <v>235</v>
      </c>
      <c r="BZ476" s="48" t="str">
        <f aca="false">IF(AND(Parameter!$B$19="Ja",E476&lt;&gt;"",ISNUMBER(MATCH(E476,Parameter!$I$35:$I$52,0))),VLOOKUP(E476,Parameter!$I$35:$J$52,2,0),IFERROR(VLOOKUP(D476,Parameter!$A$35:$C$64,2,0),"Nein"))</f>
        <v>2+3</v>
      </c>
      <c r="CA476" s="52" t="n">
        <f aca="false">IF(BW476=0,0,IF(N(S476)&gt;0,S476,IFERROR(VLOOKUP(D476,Parameter!$A$35:$C$64,3,0)+0,0)))</f>
        <v>0</v>
      </c>
      <c r="CB476" s="48" t="n">
        <f aca="false">IF(AA476&lt;&gt;"",AA476,Z476)</f>
        <v>2</v>
      </c>
      <c r="CC476" s="48" t="str">
        <f aca="false">IF(OR(CB476=1,CB476=2,CB476=3),IF(Parameter!$E$27="Ja","LIFT",IF(CB476=1,"L1","L23")),IF(CB476="Aussen","Aussen","-"))</f>
        <v>LIFT</v>
      </c>
      <c r="CD476" s="59" t="n">
        <f aca="false">IF(N(AB476)&gt;0,AB476,0)</f>
        <v>0</v>
      </c>
      <c r="CE476" s="53" t="n">
        <f aca="false">IF(ISNUMBER(AE476),1,0)</f>
        <v>0</v>
      </c>
      <c r="CF476" s="50" t="n">
        <f aca="false">N(AE476)</f>
        <v>0</v>
      </c>
      <c r="CG476" s="50" t="n">
        <f aca="false">N(M476)+N(N476)</f>
        <v>1</v>
      </c>
      <c r="CH476" s="50" t="n">
        <f aca="false">ROUNDUP(H476/BV476,0)</f>
        <v>1</v>
      </c>
      <c r="CI476" s="50" t="n">
        <f aca="false">ROUNDUP(CF476/BV476,0)</f>
        <v>0</v>
      </c>
      <c r="CJ476" s="53" t="n">
        <f aca="false">IF(BW476=1,0,IFERROR(VLOOKUP(BU476,'Gebinde-Kategorie'!$A$5:$N$45,5,0)+0,0))</f>
        <v>20</v>
      </c>
      <c r="CK476" s="53" t="n">
        <f aca="false">IFERROR(IF(OR(CB476=1,CB476=2,CB476=3),N(INDEX(Parameter!$I$5:$I$7,CB476)),0),0)</f>
        <v>0</v>
      </c>
      <c r="CL476" s="52" t="n">
        <f aca="false">IF(AND(Parameter!$B$21="Ja",ISNUMBER(W476),N(X476)&gt;0),IFERROR(N(INDEX(Parameter!$L$5:$L$7,W476))*INDEX(Parameter!$E$5:$E$7,W476)*X476/SUMIFS($X$7:$X$1843,$W$7:$W$1843,W476),0),0)</f>
        <v>0</v>
      </c>
    </row>
    <row r="477" customFormat="false" ht="15" hidden="false" customHeight="false" outlineLevel="0" collapsed="false">
      <c r="A477" s="48" t="s">
        <v>1066</v>
      </c>
      <c r="B477" s="48" t="s">
        <v>1067</v>
      </c>
      <c r="C477" s="48" t="s">
        <v>168</v>
      </c>
      <c r="D477" s="48" t="s">
        <v>188</v>
      </c>
      <c r="E477" s="48"/>
      <c r="F477" s="48" t="s">
        <v>222</v>
      </c>
      <c r="G477" s="49" t="n">
        <v>51</v>
      </c>
      <c r="H477" s="50" t="n">
        <f aca="false">MAX(0,IF(AND(Parameter!$B$21="Ja",ISNUMBER(Y477)),Y477,IF(Parameter!$B$20="Jahresanfang 2025 + Export",BO477+BN477,BN477)))</f>
        <v>8</v>
      </c>
      <c r="I477" s="50" t="n">
        <f aca="false">H477*G477</f>
        <v>408</v>
      </c>
      <c r="J477" s="50" t="n">
        <f aca="false">BQ477*Parameter!$B$18</f>
        <v>0</v>
      </c>
      <c r="K477" s="51" t="n">
        <v>7.5</v>
      </c>
      <c r="L477" s="52" t="n">
        <v>0</v>
      </c>
      <c r="M477" s="50" t="n">
        <v>0</v>
      </c>
      <c r="N477" s="50" t="n">
        <v>1</v>
      </c>
      <c r="O477" s="53" t="n">
        <v>28</v>
      </c>
      <c r="P477" s="48" t="s">
        <v>306</v>
      </c>
      <c r="Q477" s="50" t="n">
        <v>10</v>
      </c>
      <c r="R477" s="53" t="n">
        <f aca="false">IF(BW477=1,0,IFERROR(VLOOKUP(BU477,'Gebinde-Kategorie'!$A$5:$N$45,13,0)+0,0))</f>
        <v>26</v>
      </c>
      <c r="S477" s="54"/>
      <c r="T477" s="55"/>
      <c r="U477" s="55"/>
      <c r="V477" s="55"/>
      <c r="W477" s="48"/>
      <c r="X477" s="50"/>
      <c r="Y477" s="50"/>
      <c r="Z477" s="48" t="n">
        <f aca="false">IF(A477="","",IF(AND(Parameter!$B$21="Ja",ISNUMBER(W477)),W477,IF(BZ477="2+3",IF(ISNUMBER(SEARCH("grosser Artikel",BR477)),2,IFERROR(VLOOKUP(BU477,Parameter!$F$35:$G$64,2,0),2)),IF(OR(BZ477="Nein",BZ477=""),"-",BZ477))))</f>
        <v>3</v>
      </c>
      <c r="AA477" s="55"/>
      <c r="AB477" s="56"/>
      <c r="AC477" s="50" t="n">
        <f aca="false">AT477</f>
        <v>10</v>
      </c>
      <c r="AD477" s="50" t="n">
        <f aca="false">MAX(AT477,H477)</f>
        <v>10</v>
      </c>
      <c r="AE477" s="57"/>
      <c r="AF477" s="50" t="n">
        <f aca="false">IF(LEFT(Cockpit!$C$5,1)="A",H477,IF(CE477=1,CF477,IF(LEFT(Cockpit!$C$5,1)="B",AK477,MAX(AK477,H477))))</f>
        <v>8</v>
      </c>
      <c r="AG477" s="50" t="n">
        <f aca="false">IF(BW477=1,0,ROUNDUP(AF477/BV477,0))</f>
        <v>1</v>
      </c>
      <c r="AH477" s="52" t="n">
        <f aca="false">IF(CL477&gt;0,CL477*MAX(1,AF477/X477),IF(BW477=1,IF(AF477&lt;=0,0,CA477*MAX(1,IF(H477&gt;0,AF477/H477,1))),IF(R477&gt;0,AG477/R477,0))/MAX(0.1,N(Parameter!$M$21)))</f>
        <v>0.0384615384615385</v>
      </c>
      <c r="AI477" s="50" t="n">
        <f aca="false">AH477*BY477</f>
        <v>5.96153846153846</v>
      </c>
      <c r="AJ477" s="50" t="n">
        <f aca="false">AF477*G477</f>
        <v>408</v>
      </c>
      <c r="AK477" s="50" t="n">
        <f aca="false">ROUNDUP(MAX(J477/IF(CD477&gt;0,CD477,MAX(0.1,N(Cockpit!$C$6))),CG477)/BV477,0)*BV477</f>
        <v>10</v>
      </c>
      <c r="AL477" s="51" t="n">
        <f aca="false">IF(AI477&gt;0,J477/AI477,-1)</f>
        <v>0</v>
      </c>
      <c r="AM477" s="51" t="n">
        <f aca="false">IF(AND(OR(CC477="L1",CC477="L23",CC477="LIFT"),AI477&gt;0),SUMIFS($AI$7:$AI$1843,$CC$7:$CC$1843,CC477,$AL$7:$AL$1843,"&gt;"&amp;AL477)+SUMIFS($AI$7:$AI$1843,$CC$7:$CC$1843,CC477,$AL$7:$AL$1843,AL477,$BT$7:$BT$1843,"&lt;="&amp;BT477),"")</f>
        <v>28199.9255344467</v>
      </c>
      <c r="AN477" s="58" t="n">
        <f aca="false">IF(AM477="",0,MAX(0,MIN(1,(IF(CC477="L1",Parameter!$H$5,IF(CC477="L23",Parameter!$H$6+Parameter!$H$7,Parameter!$H$5+Parameter!$H$6+Parameter!$H$7))-(AM477-AI477))/AI477)))</f>
        <v>1</v>
      </c>
      <c r="AO477" s="50" t="n">
        <f aca="false">IF(LEFT(Cockpit!$I$5,1)="A",H477,IF(CE477=1,CF477,IF(LEFT(Cockpit!$I$5,1)="B",AT477,MAX(AT477,H477))))</f>
        <v>10</v>
      </c>
      <c r="AP477" s="50" t="n">
        <f aca="false">IF(BW477=1,0,ROUNDUP(AO477/BV477,0))</f>
        <v>1</v>
      </c>
      <c r="AQ477" s="52" t="n">
        <f aca="false">IF(CL477&gt;0,CL477*MAX(1,AO477/X477),IF(BW477=1,IF(AO477&lt;=0,0,CA477*MAX(1,IF(H477&gt;0,AO477/H477,1))),IF(R477&gt;0,AP477/R477,0))/MAX(0.1,N(Parameter!$M$21)))</f>
        <v>0.0384615384615385</v>
      </c>
      <c r="AR477" s="50" t="n">
        <f aca="false">AQ477*BY477</f>
        <v>5.96153846153846</v>
      </c>
      <c r="AS477" s="50" t="n">
        <f aca="false">AO477*G477</f>
        <v>510</v>
      </c>
      <c r="AT477" s="50" t="n">
        <f aca="false">ROUNDUP(MAX(J477/IF(CD477&gt;0,CD477,MAX(0.1,N(Cockpit!$I$6))),CG477)/BV477,0)*BV477</f>
        <v>10</v>
      </c>
      <c r="AU477" s="51" t="n">
        <f aca="false">IF(AR477&gt;0,J477/AR477,-1)</f>
        <v>0</v>
      </c>
      <c r="AV477" s="51" t="n">
        <f aca="false">IF(AND(OR(CC477="L1",CC477="L23",CC477="LIFT"),AR477&gt;0),SUMIFS($AR$7:$AR$1843,$CC$7:$CC$1843,CC477,$AU$7:$AU$1843,"&gt;"&amp;AU477)+SUMIFS($AR$7:$AR$1843,$CC$7:$CC$1843,CC477,$AU$7:$AU$1843,AU477,$BT$7:$BT$1843,"&lt;="&amp;BT477),"")</f>
        <v>39512.8310517167</v>
      </c>
      <c r="AW477" s="58" t="n">
        <f aca="false">IF(AV477="",0,MAX(0,MIN(1,(IF(CC477="L1",Parameter!$H$5,IF(CC477="L23",Parameter!$H$6+Parameter!$H$7,Parameter!$H$5+Parameter!$H$6+Parameter!$H$7))-(AV477-AR477))/AR477)))</f>
        <v>0</v>
      </c>
      <c r="AX477" s="50" t="n">
        <f aca="false">IF(LEFT(Cockpit!$O$5,1)="A",H477,IF(CE477=1,CF477,IF(LEFT(Cockpit!$O$5,1)="B",BC477,MAX(BC477,H477))))</f>
        <v>10</v>
      </c>
      <c r="AY477" s="50" t="n">
        <f aca="false">IF(BW477=1,0,ROUNDUP(AX477/BV477,0))</f>
        <v>1</v>
      </c>
      <c r="AZ477" s="52" t="n">
        <f aca="false">IF(CL477&gt;0,CL477*MAX(1,AX477/X477),IF(BW477=1,IF(AX477&lt;=0,0,CA477*MAX(1,IF(H477&gt;0,AX477/H477,1))),IF(R477&gt;0,AY477/R477,0))/MAX(0.1,N(Parameter!$M$21)))</f>
        <v>0.0384615384615385</v>
      </c>
      <c r="BA477" s="50" t="n">
        <f aca="false">AZ477*BY477</f>
        <v>5.96153846153846</v>
      </c>
      <c r="BB477" s="50" t="n">
        <f aca="false">AX477*G477</f>
        <v>510</v>
      </c>
      <c r="BC477" s="50" t="n">
        <f aca="false">ROUNDUP(MAX(J477/IF(CD477&gt;0,CD477,MAX(0.1,N(Cockpit!$O$6))),CG477)/BV477,0)*BV477</f>
        <v>10</v>
      </c>
      <c r="BD477" s="51" t="n">
        <f aca="false">IF(BA477&gt;0,J477/BA477,-1)</f>
        <v>0</v>
      </c>
      <c r="BE477" s="51" t="n">
        <f aca="false">IF(AND(OR(CC477="L1",CC477="L23",CC477="LIFT"),BA477&gt;0),SUMIFS($BA$7:$BA$1843,$CC$7:$CC$1843,CC477,$BD$7:$BD$1843,"&gt;"&amp;BD477)+SUMIFS($BA$7:$BA$1843,$CC$7:$CC$1843,CC477,$BD$7:$BD$1843,BD477,$BT$7:$BT$1843,"&lt;="&amp;BT477),"")</f>
        <v>36187.8430935825</v>
      </c>
      <c r="BF477" s="58" t="n">
        <f aca="false">IF(BE477="",0,MAX(0,MIN(1,(IF(CC477="L1",Parameter!$H$5,IF(CC477="L23",Parameter!$H$6+Parameter!$H$7,Parameter!$H$5+Parameter!$H$6+Parameter!$H$7))-(BE477-BA477))/BA477)))</f>
        <v>0</v>
      </c>
      <c r="BG477" s="48" t="str">
        <f aca="false">IF(AI477&lt;=0,"",IF(CC477="Aussen","Aussenlager",IF(CC477="-","Nicht im Lift",IF(AN477&gt;=1,"Lift",IF(AN477&lt;=0,"Aussenlager","teilweise")))))</f>
        <v>Lift</v>
      </c>
      <c r="BH477" s="48" t="str">
        <f aca="false">IF(AR477&lt;=0,"",IF(CC477="Aussen","Aussenlager",IF(CC477="-","Nicht im Lift",IF(AW477&gt;=1,"Lift",IF(AW477&lt;=0,"Aussenlager","teilweise")))))</f>
        <v>Aussenlager</v>
      </c>
      <c r="BI477" s="48" t="str">
        <f aca="false">IF(BA477&lt;=0,"",IF(CC477="Aussen","Aussenlager",IF(CC477="-","Nicht im Lift",IF(BF477&gt;=1,"Lift",IF(BF477&lt;=0,"Aussenlager","teilweise")))))</f>
        <v>Aussenlager</v>
      </c>
      <c r="BJ477" s="48" t="str">
        <f aca="false">IF(A477="","",IF(BS477=1,"Neu; ","")&amp;IF(AND(BS477=0,BN477&lt;0),"negativer Bestand (Export "&amp;BN477&amp;"); ","")&amp;IF(J477&lt;=0,"Kein Verbrauch; ","")&amp;IF(CL477&gt;0,"Lift "&amp;W477&amp;" lt. Liftbericht (Fach "&amp;X477&amp;" Stk); ",IF(BX477=1,"Gebinde geschätzt ("&amp;T477&amp;"); ",IF(BW477=1,"Lose – Tablare geschätzt; ","")))&amp;IF(H477&gt;AT477,"Überbestand "&amp;ROUND(H477-AT477,0)&amp;" Stk / CHF "&amp;ROUND((H477-AT477)*G477,0)&amp;"; ","")&amp;IF(AND(CE477=1,CF477&lt;CG477),"MAX &lt; MB+LG; ","")&amp;IF(AND(CK477&gt;0,CJ477*10&gt;CK477),"zu hoch für Tablar; ","")&amp;IF(AND(BS477=0,OR(CE477=1,AA477&lt;&gt;"",U477&lt;&gt;"",V477&lt;&gt;"",AB477&lt;&gt;"")),"manuell übersteuert; ","")&amp;IF(AND(BW477=0,R477=0),"Gebinde unbekannt / Stellmass fehlt; ","")&amp;IF(AND(BW477=0,N(V477)&lt;=0,N(Q477)&lt;=0),"Menge pro Gebinde fehlt (Ist = 1 Gebinde); ","")&amp;BR477)</f>
        <v>Kein Verbrauch; Neuer Art.</v>
      </c>
      <c r="BK477" s="48"/>
      <c r="BL477" s="48"/>
      <c r="BM477" s="55"/>
      <c r="BN477" s="50" t="n">
        <v>1</v>
      </c>
      <c r="BO477" s="50" t="n">
        <v>7</v>
      </c>
      <c r="BP477" s="49" t="n">
        <v>51</v>
      </c>
      <c r="BQ477" s="50" t="n">
        <v>0</v>
      </c>
      <c r="BR477" s="48" t="s">
        <v>516</v>
      </c>
      <c r="BS477" s="53" t="n">
        <v>0</v>
      </c>
      <c r="BT477" s="53" t="n">
        <v>477</v>
      </c>
      <c r="BU477" s="48" t="str">
        <f aca="false">IF(U477&lt;&gt;"",UPPER(TRIM(U477)),IF(BX477=1,UPPER(VLOOKUP(T477,Parameter!$I$27:$K$29,2,0)),IF(P477="","LOSE",P477)))</f>
        <v>S51</v>
      </c>
      <c r="BV477" s="50" t="n">
        <f aca="false">IF(BU477="LOSE",1,IF(N(V477)&gt;0,V477,IF(BX477=1,MAX(1,N(VLOOKUP(T477,Parameter!$I$27:$K$29,3,0)),H477,N(N477)),IF(N(Q477)&gt;0,Q477,MAX(1,H477)))))</f>
        <v>10</v>
      </c>
      <c r="BW477" s="53" t="n">
        <f aca="false">IF(BU477="LOSE",1,0)</f>
        <v>0</v>
      </c>
      <c r="BX477" s="53" t="n">
        <f aca="false">IF(AND(U477="",OR(P477="",P477="LOSE"),T477&lt;&gt;"",N(S477)&lt;=0,ISNUMBER(MATCH(T477,Parameter!$I$27:$I$29,0))),1,0)</f>
        <v>0</v>
      </c>
      <c r="BY477" s="53" t="n">
        <f aca="false">IF(CL477&gt;0,INDEX(Parameter!$H$5:$H$7,W477)/INDEX(Parameter!$E$5:$E$7,W477),IF(AND(BW477=0,N(IFERROR(VLOOKUP(BU477,'Gebinde-Kategorie'!$A$5:$N$45,14,0),0))&gt;0),VLOOKUP(BU477,'Gebinde-Kategorie'!$A$5:$N$45,14,0)*10+Parameter!$M$23,Parameter!$M$24))</f>
        <v>155</v>
      </c>
      <c r="BZ477" s="48" t="str">
        <f aca="false">IF(AND(Parameter!$B$19="Ja",E477&lt;&gt;"",ISNUMBER(MATCH(E477,Parameter!$I$35:$I$52,0))),VLOOKUP(E477,Parameter!$I$35:$J$52,2,0),IFERROR(VLOOKUP(D477,Parameter!$A$35:$C$64,2,0),"Nein"))</f>
        <v>2+3</v>
      </c>
      <c r="CA477" s="52" t="n">
        <f aca="false">IF(BW477=0,0,IF(N(S477)&gt;0,S477,IFERROR(VLOOKUP(D477,Parameter!$A$35:$C$64,3,0)+0,0)))</f>
        <v>0</v>
      </c>
      <c r="CB477" s="48" t="n">
        <f aca="false">IF(AA477&lt;&gt;"",AA477,Z477)</f>
        <v>3</v>
      </c>
      <c r="CC477" s="48" t="str">
        <f aca="false">IF(OR(CB477=1,CB477=2,CB477=3),IF(Parameter!$E$27="Ja","LIFT",IF(CB477=1,"L1","L23")),IF(CB477="Aussen","Aussen","-"))</f>
        <v>LIFT</v>
      </c>
      <c r="CD477" s="59" t="n">
        <f aca="false">IF(N(AB477)&gt;0,AB477,0)</f>
        <v>0</v>
      </c>
      <c r="CE477" s="53" t="n">
        <f aca="false">IF(ISNUMBER(AE477),1,0)</f>
        <v>0</v>
      </c>
      <c r="CF477" s="50" t="n">
        <f aca="false">N(AE477)</f>
        <v>0</v>
      </c>
      <c r="CG477" s="50" t="n">
        <f aca="false">N(M477)+N(N477)</f>
        <v>1</v>
      </c>
      <c r="CH477" s="50" t="n">
        <f aca="false">ROUNDUP(H477/BV477,0)</f>
        <v>1</v>
      </c>
      <c r="CI477" s="50" t="n">
        <f aca="false">ROUNDUP(CF477/BV477,0)</f>
        <v>0</v>
      </c>
      <c r="CJ477" s="53" t="n">
        <f aca="false">IF(BW477=1,0,IFERROR(VLOOKUP(BU477,'Gebinde-Kategorie'!$A$5:$N$45,5,0)+0,0))</f>
        <v>11</v>
      </c>
      <c r="CK477" s="53" t="n">
        <f aca="false">IFERROR(IF(OR(CB477=1,CB477=2,CB477=3),N(INDEX(Parameter!$I$5:$I$7,CB477)),0),0)</f>
        <v>0</v>
      </c>
      <c r="CL477" s="52" t="n">
        <f aca="false">IF(AND(Parameter!$B$21="Ja",ISNUMBER(W477),N(X477)&gt;0),IFERROR(N(INDEX(Parameter!$L$5:$L$7,W477))*INDEX(Parameter!$E$5:$E$7,W477)*X477/SUMIFS($X$7:$X$1843,$W$7:$W$1843,W477),0),0)</f>
        <v>0</v>
      </c>
    </row>
    <row r="478" customFormat="false" ht="15" hidden="false" customHeight="false" outlineLevel="0" collapsed="false">
      <c r="A478" s="48" t="s">
        <v>1068</v>
      </c>
      <c r="B478" s="48" t="s">
        <v>1069</v>
      </c>
      <c r="C478" s="48" t="s">
        <v>168</v>
      </c>
      <c r="D478" s="48" t="s">
        <v>188</v>
      </c>
      <c r="E478" s="48" t="s">
        <v>189</v>
      </c>
      <c r="F478" s="48" t="s">
        <v>222</v>
      </c>
      <c r="G478" s="49" t="n">
        <v>6.71</v>
      </c>
      <c r="H478" s="50" t="n">
        <f aca="false">MAX(0,IF(AND(Parameter!$B$21="Ja",ISNUMBER(Y478)),Y478,IF(Parameter!$B$20="Jahresanfang 2025 + Export",BO478+BN478,BN478)))</f>
        <v>10</v>
      </c>
      <c r="I478" s="50" t="n">
        <f aca="false">H478*G478</f>
        <v>67.1</v>
      </c>
      <c r="J478" s="50" t="n">
        <f aca="false">BQ478*Parameter!$B$18</f>
        <v>12</v>
      </c>
      <c r="K478" s="51" t="n">
        <v>2.5</v>
      </c>
      <c r="L478" s="52" t="n">
        <v>4.8</v>
      </c>
      <c r="M478" s="50" t="n">
        <v>0</v>
      </c>
      <c r="N478" s="50" t="n">
        <v>10</v>
      </c>
      <c r="O478" s="53" t="n">
        <v>14</v>
      </c>
      <c r="P478" s="48" t="s">
        <v>480</v>
      </c>
      <c r="Q478" s="50" t="n">
        <v>15</v>
      </c>
      <c r="R478" s="53" t="n">
        <f aca="false">IF(BW478=1,0,IFERROR(VLOOKUP(BU478,'Gebinde-Kategorie'!$A$5:$N$45,13,0)+0,0))</f>
        <v>52</v>
      </c>
      <c r="S478" s="54"/>
      <c r="T478" s="55"/>
      <c r="U478" s="55"/>
      <c r="V478" s="55"/>
      <c r="W478" s="48"/>
      <c r="X478" s="50"/>
      <c r="Y478" s="50"/>
      <c r="Z478" s="48" t="n">
        <f aca="false">IF(A478="","",IF(AND(Parameter!$B$21="Ja",ISNUMBER(W478)),W478,IF(BZ478="2+3",IF(ISNUMBER(SEARCH("grosser Artikel",BR478)),2,IFERROR(VLOOKUP(BU478,Parameter!$F$35:$G$64,2,0),2)),IF(OR(BZ478="Nein",BZ478=""),"-",BZ478))))</f>
        <v>3</v>
      </c>
      <c r="AA478" s="55"/>
      <c r="AB478" s="56"/>
      <c r="AC478" s="50" t="n">
        <f aca="false">AT478</f>
        <v>15</v>
      </c>
      <c r="AD478" s="50" t="n">
        <f aca="false">MAX(AT478,H478)</f>
        <v>15</v>
      </c>
      <c r="AE478" s="57"/>
      <c r="AF478" s="50" t="n">
        <f aca="false">IF(LEFT(Cockpit!$C$5,1)="A",H478,IF(CE478=1,CF478,IF(LEFT(Cockpit!$C$5,1)="B",AK478,MAX(AK478,H478))))</f>
        <v>10</v>
      </c>
      <c r="AG478" s="50" t="n">
        <f aca="false">IF(BW478=1,0,ROUNDUP(AF478/BV478,0))</f>
        <v>1</v>
      </c>
      <c r="AH478" s="52" t="n">
        <f aca="false">IF(CL478&gt;0,CL478*MAX(1,AF478/X478),IF(BW478=1,IF(AF478&lt;=0,0,CA478*MAX(1,IF(H478&gt;0,AF478/H478,1))),IF(R478&gt;0,AG478/R478,0))/MAX(0.1,N(Parameter!$M$21)))</f>
        <v>0.0192307692307692</v>
      </c>
      <c r="AI478" s="50" t="n">
        <f aca="false">AH478*BY478</f>
        <v>2.98076923076923</v>
      </c>
      <c r="AJ478" s="50" t="n">
        <f aca="false">AF478*G478</f>
        <v>67.1</v>
      </c>
      <c r="AK478" s="50" t="n">
        <f aca="false">ROUNDUP(MAX(J478/IF(CD478&gt;0,CD478,MAX(0.1,N(Cockpit!$C$6))),CG478)/BV478,0)*BV478</f>
        <v>15</v>
      </c>
      <c r="AL478" s="51" t="n">
        <f aca="false">IF(AI478&gt;0,J478/AI478,-1)</f>
        <v>4.0258064516129</v>
      </c>
      <c r="AM478" s="51" t="n">
        <f aca="false">IF(AND(OR(CC478="L1",CC478="L23",CC478="LIFT"),AI478&gt;0),SUMIFS($AI$7:$AI$1843,$CC$7:$CC$1843,CC478,$AL$7:$AL$1843,"&gt;"&amp;AL478)+SUMIFS($AI$7:$AI$1843,$CC$7:$CC$1843,CC478,$AL$7:$AL$1843,AL478,$BT$7:$BT$1843,"&lt;="&amp;BT478),"")</f>
        <v>4339.3141025641</v>
      </c>
      <c r="AN478" s="58" t="n">
        <f aca="false">IF(AM478="",0,MAX(0,MIN(1,(IF(CC478="L1",Parameter!$H$5,IF(CC478="L23",Parameter!$H$6+Parameter!$H$7,Parameter!$H$5+Parameter!$H$6+Parameter!$H$7))-(AM478-AI478))/AI478)))</f>
        <v>1</v>
      </c>
      <c r="AO478" s="50" t="n">
        <f aca="false">IF(LEFT(Cockpit!$I$5,1)="A",H478,IF(CE478=1,CF478,IF(LEFT(Cockpit!$I$5,1)="B",AT478,MAX(AT478,H478))))</f>
        <v>15</v>
      </c>
      <c r="AP478" s="50" t="n">
        <f aca="false">IF(BW478=1,0,ROUNDUP(AO478/BV478,0))</f>
        <v>1</v>
      </c>
      <c r="AQ478" s="52" t="n">
        <f aca="false">IF(CL478&gt;0,CL478*MAX(1,AO478/X478),IF(BW478=1,IF(AO478&lt;=0,0,CA478*MAX(1,IF(H478&gt;0,AO478/H478,1))),IF(R478&gt;0,AP478/R478,0))/MAX(0.1,N(Parameter!$M$21)))</f>
        <v>0.0192307692307692</v>
      </c>
      <c r="AR478" s="50" t="n">
        <f aca="false">AQ478*BY478</f>
        <v>2.98076923076923</v>
      </c>
      <c r="AS478" s="50" t="n">
        <f aca="false">AO478*G478</f>
        <v>100.65</v>
      </c>
      <c r="AT478" s="50" t="n">
        <f aca="false">ROUNDUP(MAX(J478/IF(CD478&gt;0,CD478,MAX(0.1,N(Cockpit!$I$6))),CG478)/BV478,0)*BV478</f>
        <v>15</v>
      </c>
      <c r="AU478" s="51" t="n">
        <f aca="false">IF(AR478&gt;0,J478/AR478,-1)</f>
        <v>4.0258064516129</v>
      </c>
      <c r="AV478" s="51" t="n">
        <f aca="false">IF(AND(OR(CC478="L1",CC478="L23",CC478="LIFT"),AR478&gt;0),SUMIFS($AR$7:$AR$1843,$CC$7:$CC$1843,CC478,$AU$7:$AU$1843,"&gt;"&amp;AU478)+SUMIFS($AR$7:$AR$1843,$CC$7:$CC$1843,CC478,$AU$7:$AU$1843,AU478,$BT$7:$BT$1843,"&lt;="&amp;BT478),"")</f>
        <v>5569.93177655678</v>
      </c>
      <c r="AW478" s="58" t="n">
        <f aca="false">IF(AV478="",0,MAX(0,MIN(1,(IF(CC478="L1",Parameter!$H$5,IF(CC478="L23",Parameter!$H$6+Parameter!$H$7,Parameter!$H$5+Parameter!$H$6+Parameter!$H$7))-(AV478-AR478))/AR478)))</f>
        <v>1</v>
      </c>
      <c r="AX478" s="50" t="n">
        <f aca="false">IF(LEFT(Cockpit!$O$5,1)="A",H478,IF(CE478=1,CF478,IF(LEFT(Cockpit!$O$5,1)="B",BC478,MAX(BC478,H478))))</f>
        <v>15</v>
      </c>
      <c r="AY478" s="50" t="n">
        <f aca="false">IF(BW478=1,0,ROUNDUP(AX478/BV478,0))</f>
        <v>1</v>
      </c>
      <c r="AZ478" s="52" t="n">
        <f aca="false">IF(CL478&gt;0,CL478*MAX(1,AX478/X478),IF(BW478=1,IF(AX478&lt;=0,0,CA478*MAX(1,IF(H478&gt;0,AX478/H478,1))),IF(R478&gt;0,AY478/R478,0))/MAX(0.1,N(Parameter!$M$21)))</f>
        <v>0.0192307692307692</v>
      </c>
      <c r="BA478" s="50" t="n">
        <f aca="false">AZ478*BY478</f>
        <v>2.98076923076923</v>
      </c>
      <c r="BB478" s="50" t="n">
        <f aca="false">AX478*G478</f>
        <v>100.65</v>
      </c>
      <c r="BC478" s="50" t="n">
        <f aca="false">ROUNDUP(MAX(J478/IF(CD478&gt;0,CD478,MAX(0.1,N(Cockpit!$O$6))),CG478)/BV478,0)*BV478</f>
        <v>15</v>
      </c>
      <c r="BD478" s="51" t="n">
        <f aca="false">IF(BA478&gt;0,J478/BA478,-1)</f>
        <v>4.0258064516129</v>
      </c>
      <c r="BE478" s="51" t="n">
        <f aca="false">IF(AND(OR(CC478="L1",CC478="L23",CC478="LIFT"),BA478&gt;0),SUMIFS($BA$7:$BA$1843,$CC$7:$CC$1843,CC478,$BD$7:$BD$1843,"&gt;"&amp;BD478)+SUMIFS($BA$7:$BA$1843,$CC$7:$CC$1843,CC478,$BD$7:$BD$1843,BD478,$BT$7:$BT$1843,"&lt;="&amp;BT478),"")</f>
        <v>5257.80036630037</v>
      </c>
      <c r="BF478" s="58" t="n">
        <f aca="false">IF(BE478="",0,MAX(0,MIN(1,(IF(CC478="L1",Parameter!$H$5,IF(CC478="L23",Parameter!$H$6+Parameter!$H$7,Parameter!$H$5+Parameter!$H$6+Parameter!$H$7))-(BE478-BA478))/BA478)))</f>
        <v>1</v>
      </c>
      <c r="BG478" s="48" t="str">
        <f aca="false">IF(AI478&lt;=0,"",IF(CC478="Aussen","Aussenlager",IF(CC478="-","Nicht im Lift",IF(AN478&gt;=1,"Lift",IF(AN478&lt;=0,"Aussenlager","teilweise")))))</f>
        <v>Lift</v>
      </c>
      <c r="BH478" s="48" t="str">
        <f aca="false">IF(AR478&lt;=0,"",IF(CC478="Aussen","Aussenlager",IF(CC478="-","Nicht im Lift",IF(AW478&gt;=1,"Lift",IF(AW478&lt;=0,"Aussenlager","teilweise")))))</f>
        <v>Lift</v>
      </c>
      <c r="BI478" s="48" t="str">
        <f aca="false">IF(BA478&lt;=0,"",IF(CC478="Aussen","Aussenlager",IF(CC478="-","Nicht im Lift",IF(BF478&gt;=1,"Lift",IF(BF478&lt;=0,"Aussenlager","teilweise")))))</f>
        <v>Lift</v>
      </c>
      <c r="BJ478" s="48" t="str">
        <f aca="false">IF(A478="","",IF(BS478=1,"Neu; ","")&amp;IF(AND(BS478=0,BN478&lt;0),"negativer Bestand (Export "&amp;BN478&amp;"); ","")&amp;IF(J478&lt;=0,"Kein Verbrauch; ","")&amp;IF(CL478&gt;0,"Lift "&amp;W478&amp;" lt. Liftbericht (Fach "&amp;X478&amp;" Stk); ",IF(BX478=1,"Gebinde geschätzt ("&amp;T478&amp;"); ",IF(BW478=1,"Lose – Tablare geschätzt; ","")))&amp;IF(H478&gt;AT478,"Überbestand "&amp;ROUND(H478-AT478,0)&amp;" Stk / CHF "&amp;ROUND((H478-AT478)*G478,0)&amp;"; ","")&amp;IF(AND(CE478=1,CF478&lt;CG478),"MAX &lt; MB+LG; ","")&amp;IF(AND(CK478&gt;0,CJ478*10&gt;CK478),"zu hoch für Tablar; ","")&amp;IF(AND(BS478=0,OR(CE478=1,AA478&lt;&gt;"",U478&lt;&gt;"",V478&lt;&gt;"",AB478&lt;&gt;"")),"manuell übersteuert; ","")&amp;IF(AND(BW478=0,R478=0),"Gebinde unbekannt / Stellmass fehlt; ","")&amp;IF(AND(BW478=0,N(V478)&lt;=0,N(Q478)&lt;=0),"Menge pro Gebinde fehlt (Ist = 1 Gebinde); ","")&amp;BR478)</f>
        <v/>
      </c>
      <c r="BK478" s="48"/>
      <c r="BL478" s="48"/>
      <c r="BM478" s="55"/>
      <c r="BN478" s="50" t="n">
        <v>7</v>
      </c>
      <c r="BO478" s="50" t="n">
        <v>3</v>
      </c>
      <c r="BP478" s="49" t="n">
        <v>50.21</v>
      </c>
      <c r="BQ478" s="50" t="n">
        <v>12</v>
      </c>
      <c r="BR478" s="48"/>
      <c r="BS478" s="53" t="n">
        <v>0</v>
      </c>
      <c r="BT478" s="53" t="n">
        <v>478</v>
      </c>
      <c r="BU478" s="48" t="str">
        <f aca="false">IF(U478&lt;&gt;"",UPPER(TRIM(U478)),IF(BX478=1,UPPER(VLOOKUP(T478,Parameter!$I$27:$K$29,2,0)),IF(P478="","LOSE",P478)))</f>
        <v>S33</v>
      </c>
      <c r="BV478" s="50" t="n">
        <f aca="false">IF(BU478="LOSE",1,IF(N(V478)&gt;0,V478,IF(BX478=1,MAX(1,N(VLOOKUP(T478,Parameter!$I$27:$K$29,3,0)),H478,N(N478)),IF(N(Q478)&gt;0,Q478,MAX(1,H478)))))</f>
        <v>15</v>
      </c>
      <c r="BW478" s="53" t="n">
        <f aca="false">IF(BU478="LOSE",1,0)</f>
        <v>0</v>
      </c>
      <c r="BX478" s="53" t="n">
        <f aca="false">IF(AND(U478="",OR(P478="",P478="LOSE"),T478&lt;&gt;"",N(S478)&lt;=0,ISNUMBER(MATCH(T478,Parameter!$I$27:$I$29,0))),1,0)</f>
        <v>0</v>
      </c>
      <c r="BY478" s="53" t="n">
        <f aca="false">IF(CL478&gt;0,INDEX(Parameter!$H$5:$H$7,W478)/INDEX(Parameter!$E$5:$E$7,W478),IF(AND(BW478=0,N(IFERROR(VLOOKUP(BU478,'Gebinde-Kategorie'!$A$5:$N$45,14,0),0))&gt;0),VLOOKUP(BU478,'Gebinde-Kategorie'!$A$5:$N$45,14,0)*10+Parameter!$M$23,Parameter!$M$24))</f>
        <v>155</v>
      </c>
      <c r="BZ478" s="48" t="str">
        <f aca="false">IF(AND(Parameter!$B$19="Ja",E478&lt;&gt;"",ISNUMBER(MATCH(E478,Parameter!$I$35:$I$52,0))),VLOOKUP(E478,Parameter!$I$35:$J$52,2,0),IFERROR(VLOOKUP(D478,Parameter!$A$35:$C$64,2,0),"Nein"))</f>
        <v>2+3</v>
      </c>
      <c r="CA478" s="52" t="n">
        <f aca="false">IF(BW478=0,0,IF(N(S478)&gt;0,S478,IFERROR(VLOOKUP(D478,Parameter!$A$35:$C$64,3,0)+0,0)))</f>
        <v>0</v>
      </c>
      <c r="CB478" s="48" t="n">
        <f aca="false">IF(AA478&lt;&gt;"",AA478,Z478)</f>
        <v>3</v>
      </c>
      <c r="CC478" s="48" t="str">
        <f aca="false">IF(OR(CB478=1,CB478=2,CB478=3),IF(Parameter!$E$27="Ja","LIFT",IF(CB478=1,"L1","L23")),IF(CB478="Aussen","Aussen","-"))</f>
        <v>LIFT</v>
      </c>
      <c r="CD478" s="59" t="n">
        <f aca="false">IF(N(AB478)&gt;0,AB478,0)</f>
        <v>0</v>
      </c>
      <c r="CE478" s="53" t="n">
        <f aca="false">IF(ISNUMBER(AE478),1,0)</f>
        <v>0</v>
      </c>
      <c r="CF478" s="50" t="n">
        <f aca="false">N(AE478)</f>
        <v>0</v>
      </c>
      <c r="CG478" s="50" t="n">
        <f aca="false">N(M478)+N(N478)</f>
        <v>10</v>
      </c>
      <c r="CH478" s="50" t="n">
        <f aca="false">ROUNDUP(H478/BV478,0)</f>
        <v>1</v>
      </c>
      <c r="CI478" s="50" t="n">
        <f aca="false">ROUNDUP(CF478/BV478,0)</f>
        <v>0</v>
      </c>
      <c r="CJ478" s="53" t="n">
        <f aca="false">IF(BW478=1,0,IFERROR(VLOOKUP(BU478,'Gebinde-Kategorie'!$A$5:$N$45,5,0)+0,0))</f>
        <v>8</v>
      </c>
      <c r="CK478" s="53" t="n">
        <f aca="false">IFERROR(IF(OR(CB478=1,CB478=2,CB478=3),N(INDEX(Parameter!$I$5:$I$7,CB478)),0),0)</f>
        <v>0</v>
      </c>
      <c r="CL478" s="52" t="n">
        <f aca="false">IF(AND(Parameter!$B$21="Ja",ISNUMBER(W478),N(X478)&gt;0),IFERROR(N(INDEX(Parameter!$L$5:$L$7,W478))*INDEX(Parameter!$E$5:$E$7,W478)*X478/SUMIFS($X$7:$X$1843,$W$7:$W$1843,W478),0),0)</f>
        <v>0</v>
      </c>
    </row>
    <row r="479" customFormat="false" ht="15" hidden="false" customHeight="false" outlineLevel="0" collapsed="false">
      <c r="A479" s="48" t="s">
        <v>1070</v>
      </c>
      <c r="B479" s="48" t="s">
        <v>951</v>
      </c>
      <c r="C479" s="48" t="s">
        <v>168</v>
      </c>
      <c r="D479" s="48" t="s">
        <v>188</v>
      </c>
      <c r="E479" s="48" t="s">
        <v>189</v>
      </c>
      <c r="F479" s="48" t="s">
        <v>222</v>
      </c>
      <c r="G479" s="49" t="n">
        <v>6.27</v>
      </c>
      <c r="H479" s="50" t="n">
        <f aca="false">MAX(0,IF(AND(Parameter!$B$21="Ja",ISNUMBER(Y479)),Y479,IF(Parameter!$B$20="Jahresanfang 2025 + Export",BO479+BN479,BN479)))</f>
        <v>208</v>
      </c>
      <c r="I479" s="50" t="n">
        <f aca="false">H479*G479</f>
        <v>1304.16</v>
      </c>
      <c r="J479" s="50" t="n">
        <f aca="false">BQ479*Parameter!$B$18</f>
        <v>0</v>
      </c>
      <c r="K479" s="51" t="n">
        <v>204.5</v>
      </c>
      <c r="L479" s="52" t="n">
        <v>0</v>
      </c>
      <c r="M479" s="50" t="n">
        <v>0</v>
      </c>
      <c r="N479" s="50" t="n">
        <v>1</v>
      </c>
      <c r="O479" s="53" t="n">
        <v>35</v>
      </c>
      <c r="P479" s="48" t="s">
        <v>190</v>
      </c>
      <c r="Q479" s="50" t="n">
        <v>210</v>
      </c>
      <c r="R479" s="53" t="n">
        <f aca="false">IF(BW479=1,0,IFERROR(VLOOKUP(BU479,'Gebinde-Kategorie'!$A$5:$N$45,13,0)+0,0))</f>
        <v>12</v>
      </c>
      <c r="S479" s="54"/>
      <c r="T479" s="55"/>
      <c r="U479" s="55"/>
      <c r="V479" s="55"/>
      <c r="W479" s="48"/>
      <c r="X479" s="50"/>
      <c r="Y479" s="50"/>
      <c r="Z479" s="48" t="n">
        <f aca="false">IF(A479="","",IF(AND(Parameter!$B$21="Ja",ISNUMBER(W479)),W479,IF(BZ479="2+3",IF(ISNUMBER(SEARCH("grosser Artikel",BR479)),2,IFERROR(VLOOKUP(BU479,Parameter!$F$35:$G$64,2,0),2)),IF(OR(BZ479="Nein",BZ479=""),"-",BZ479))))</f>
        <v>2</v>
      </c>
      <c r="AA479" s="55"/>
      <c r="AB479" s="56"/>
      <c r="AC479" s="50" t="n">
        <f aca="false">AT479</f>
        <v>210</v>
      </c>
      <c r="AD479" s="50" t="n">
        <f aca="false">MAX(AT479,H479)</f>
        <v>210</v>
      </c>
      <c r="AE479" s="57"/>
      <c r="AF479" s="50" t="n">
        <f aca="false">IF(LEFT(Cockpit!$C$5,1)="A",H479,IF(CE479=1,CF479,IF(LEFT(Cockpit!$C$5,1)="B",AK479,MAX(AK479,H479))))</f>
        <v>208</v>
      </c>
      <c r="AG479" s="50" t="n">
        <f aca="false">IF(BW479=1,0,ROUNDUP(AF479/BV479,0))</f>
        <v>1</v>
      </c>
      <c r="AH479" s="52" t="n">
        <f aca="false">IF(CL479&gt;0,CL479*MAX(1,AF479/X479),IF(BW479=1,IF(AF479&lt;=0,0,CA479*MAX(1,IF(H479&gt;0,AF479/H479,1))),IF(R479&gt;0,AG479/R479,0))/MAX(0.1,N(Parameter!$M$21)))</f>
        <v>0.0833333333333333</v>
      </c>
      <c r="AI479" s="50" t="n">
        <f aca="false">AH479*BY479</f>
        <v>12.0833333333333</v>
      </c>
      <c r="AJ479" s="50" t="n">
        <f aca="false">AF479*G479</f>
        <v>1304.16</v>
      </c>
      <c r="AK479" s="50" t="n">
        <f aca="false">ROUNDUP(MAX(J479/IF(CD479&gt;0,CD479,MAX(0.1,N(Cockpit!$C$6))),CG479)/BV479,0)*BV479</f>
        <v>210</v>
      </c>
      <c r="AL479" s="51" t="n">
        <f aca="false">IF(AI479&gt;0,J479/AI479,-1)</f>
        <v>0</v>
      </c>
      <c r="AM479" s="51" t="n">
        <f aca="false">IF(AND(OR(CC479="L1",CC479="L23",CC479="LIFT"),AI479&gt;0),SUMIFS($AI$7:$AI$1843,$CC$7:$CC$1843,CC479,$AL$7:$AL$1843,"&gt;"&amp;AL479)+SUMIFS($AI$7:$AI$1843,$CC$7:$CC$1843,CC479,$AL$7:$AL$1843,AL479,$BT$7:$BT$1843,"&lt;="&amp;BT479),"")</f>
        <v>28212.0088677801</v>
      </c>
      <c r="AN479" s="58" t="n">
        <f aca="false">IF(AM479="",0,MAX(0,MIN(1,(IF(CC479="L1",Parameter!$H$5,IF(CC479="L23",Parameter!$H$6+Parameter!$H$7,Parameter!$H$5+Parameter!$H$6+Parameter!$H$7))-(AM479-AI479))/AI479)))</f>
        <v>1</v>
      </c>
      <c r="AO479" s="50" t="n">
        <f aca="false">IF(LEFT(Cockpit!$I$5,1)="A",H479,IF(CE479=1,CF479,IF(LEFT(Cockpit!$I$5,1)="B",AT479,MAX(AT479,H479))))</f>
        <v>210</v>
      </c>
      <c r="AP479" s="50" t="n">
        <f aca="false">IF(BW479=1,0,ROUNDUP(AO479/BV479,0))</f>
        <v>1</v>
      </c>
      <c r="AQ479" s="52" t="n">
        <f aca="false">IF(CL479&gt;0,CL479*MAX(1,AO479/X479),IF(BW479=1,IF(AO479&lt;=0,0,CA479*MAX(1,IF(H479&gt;0,AO479/H479,1))),IF(R479&gt;0,AP479/R479,0))/MAX(0.1,N(Parameter!$M$21)))</f>
        <v>0.0833333333333333</v>
      </c>
      <c r="AR479" s="50" t="n">
        <f aca="false">AQ479*BY479</f>
        <v>12.0833333333333</v>
      </c>
      <c r="AS479" s="50" t="n">
        <f aca="false">AO479*G479</f>
        <v>1316.7</v>
      </c>
      <c r="AT479" s="50" t="n">
        <f aca="false">ROUNDUP(MAX(J479/IF(CD479&gt;0,CD479,MAX(0.1,N(Cockpit!$I$6))),CG479)/BV479,0)*BV479</f>
        <v>210</v>
      </c>
      <c r="AU479" s="51" t="n">
        <f aca="false">IF(AR479&gt;0,J479/AR479,-1)</f>
        <v>0</v>
      </c>
      <c r="AV479" s="51" t="n">
        <f aca="false">IF(AND(OR(CC479="L1",CC479="L23",CC479="LIFT"),AR479&gt;0),SUMIFS($AR$7:$AR$1843,$CC$7:$CC$1843,CC479,$AU$7:$AU$1843,"&gt;"&amp;AU479)+SUMIFS($AR$7:$AR$1843,$CC$7:$CC$1843,CC479,$AU$7:$AU$1843,AU479,$BT$7:$BT$1843,"&lt;="&amp;BT479),"")</f>
        <v>39524.91438505</v>
      </c>
      <c r="AW479" s="58" t="n">
        <f aca="false">IF(AV479="",0,MAX(0,MIN(1,(IF(CC479="L1",Parameter!$H$5,IF(CC479="L23",Parameter!$H$6+Parameter!$H$7,Parameter!$H$5+Parameter!$H$6+Parameter!$H$7))-(AV479-AR479))/AR479)))</f>
        <v>0</v>
      </c>
      <c r="AX479" s="50" t="n">
        <f aca="false">IF(LEFT(Cockpit!$O$5,1)="A",H479,IF(CE479=1,CF479,IF(LEFT(Cockpit!$O$5,1)="B",BC479,MAX(BC479,H479))))</f>
        <v>210</v>
      </c>
      <c r="AY479" s="50" t="n">
        <f aca="false">IF(BW479=1,0,ROUNDUP(AX479/BV479,0))</f>
        <v>1</v>
      </c>
      <c r="AZ479" s="52" t="n">
        <f aca="false">IF(CL479&gt;0,CL479*MAX(1,AX479/X479),IF(BW479=1,IF(AX479&lt;=0,0,CA479*MAX(1,IF(H479&gt;0,AX479/H479,1))),IF(R479&gt;0,AY479/R479,0))/MAX(0.1,N(Parameter!$M$21)))</f>
        <v>0.0833333333333333</v>
      </c>
      <c r="BA479" s="50" t="n">
        <f aca="false">AZ479*BY479</f>
        <v>12.0833333333333</v>
      </c>
      <c r="BB479" s="50" t="n">
        <f aca="false">AX479*G479</f>
        <v>1316.7</v>
      </c>
      <c r="BC479" s="50" t="n">
        <f aca="false">ROUNDUP(MAX(J479/IF(CD479&gt;0,CD479,MAX(0.1,N(Cockpit!$O$6))),CG479)/BV479,0)*BV479</f>
        <v>210</v>
      </c>
      <c r="BD479" s="51" t="n">
        <f aca="false">IF(BA479&gt;0,J479/BA479,-1)</f>
        <v>0</v>
      </c>
      <c r="BE479" s="51" t="n">
        <f aca="false">IF(AND(OR(CC479="L1",CC479="L23",CC479="LIFT"),BA479&gt;0),SUMIFS($BA$7:$BA$1843,$CC$7:$CC$1843,CC479,$BD$7:$BD$1843,"&gt;"&amp;BD479)+SUMIFS($BA$7:$BA$1843,$CC$7:$CC$1843,CC479,$BD$7:$BD$1843,BD479,$BT$7:$BT$1843,"&lt;="&amp;BT479),"")</f>
        <v>36199.9264269158</v>
      </c>
      <c r="BF479" s="58" t="n">
        <f aca="false">IF(BE479="",0,MAX(0,MIN(1,(IF(CC479="L1",Parameter!$H$5,IF(CC479="L23",Parameter!$H$6+Parameter!$H$7,Parameter!$H$5+Parameter!$H$6+Parameter!$H$7))-(BE479-BA479))/BA479)))</f>
        <v>0</v>
      </c>
      <c r="BG479" s="48" t="str">
        <f aca="false">IF(AI479&lt;=0,"",IF(CC479="Aussen","Aussenlager",IF(CC479="-","Nicht im Lift",IF(AN479&gt;=1,"Lift",IF(AN479&lt;=0,"Aussenlager","teilweise")))))</f>
        <v>Lift</v>
      </c>
      <c r="BH479" s="48" t="str">
        <f aca="false">IF(AR479&lt;=0,"",IF(CC479="Aussen","Aussenlager",IF(CC479="-","Nicht im Lift",IF(AW479&gt;=1,"Lift",IF(AW479&lt;=0,"Aussenlager","teilweise")))))</f>
        <v>Aussenlager</v>
      </c>
      <c r="BI479" s="48" t="str">
        <f aca="false">IF(BA479&lt;=0,"",IF(CC479="Aussen","Aussenlager",IF(CC479="-","Nicht im Lift",IF(BF479&gt;=1,"Lift",IF(BF479&lt;=0,"Aussenlager","teilweise")))))</f>
        <v>Aussenlager</v>
      </c>
      <c r="BJ479" s="48" t="str">
        <f aca="false">IF(A479="","",IF(BS479=1,"Neu; ","")&amp;IF(AND(BS479=0,BN479&lt;0),"negativer Bestand (Export "&amp;BN479&amp;"); ","")&amp;IF(J479&lt;=0,"Kein Verbrauch; ","")&amp;IF(CL479&gt;0,"Lift "&amp;W479&amp;" lt. Liftbericht (Fach "&amp;X479&amp;" Stk); ",IF(BX479=1,"Gebinde geschätzt ("&amp;T479&amp;"); ",IF(BW479=1,"Lose – Tablare geschätzt; ","")))&amp;IF(H479&gt;AT479,"Überbestand "&amp;ROUND(H479-AT479,0)&amp;" Stk / CHF "&amp;ROUND((H479-AT479)*G479,0)&amp;"; ","")&amp;IF(AND(CE479=1,CF479&lt;CG479),"MAX &lt; MB+LG; ","")&amp;IF(AND(CK479&gt;0,CJ479*10&gt;CK479),"zu hoch für Tablar; ","")&amp;IF(AND(BS479=0,OR(CE479=1,AA479&lt;&gt;"",U479&lt;&gt;"",V479&lt;&gt;"",AB479&lt;&gt;"")),"manuell übersteuert; ","")&amp;IF(AND(BW479=0,R479=0),"Gebinde unbekannt / Stellmass fehlt; ","")&amp;IF(AND(BW479=0,N(V479)&lt;=0,N(Q479)&lt;=0),"Menge pro Gebinde fehlt (Ist = 1 Gebinde); ","")&amp;BR479)</f>
        <v>Kein Verbrauch; </v>
      </c>
      <c r="BK479" s="48"/>
      <c r="BL479" s="48"/>
      <c r="BM479" s="55"/>
      <c r="BN479" s="50" t="n">
        <v>8</v>
      </c>
      <c r="BO479" s="50" t="n">
        <v>200</v>
      </c>
      <c r="BP479" s="49" t="n">
        <v>50.16</v>
      </c>
      <c r="BQ479" s="50" t="n">
        <v>0</v>
      </c>
      <c r="BR479" s="48"/>
      <c r="BS479" s="53" t="n">
        <v>0</v>
      </c>
      <c r="BT479" s="53" t="n">
        <v>479</v>
      </c>
      <c r="BU479" s="48" t="str">
        <f aca="false">IF(U479&lt;&gt;"",UPPER(TRIM(U479)),IF(BX479=1,UPPER(VLOOKUP(T479,Parameter!$I$27:$K$29,2,0)),IF(P479="","LOSE",P479)))</f>
        <v>S61</v>
      </c>
      <c r="BV479" s="50" t="n">
        <f aca="false">IF(BU479="LOSE",1,IF(N(V479)&gt;0,V479,IF(BX479=1,MAX(1,N(VLOOKUP(T479,Parameter!$I$27:$K$29,3,0)),H479,N(N479)),IF(N(Q479)&gt;0,Q479,MAX(1,H479)))))</f>
        <v>210</v>
      </c>
      <c r="BW479" s="53" t="n">
        <f aca="false">IF(BU479="LOSE",1,0)</f>
        <v>0</v>
      </c>
      <c r="BX479" s="53" t="n">
        <f aca="false">IF(AND(U479="",OR(P479="",P479="LOSE"),T479&lt;&gt;"",N(S479)&lt;=0,ISNUMBER(MATCH(T479,Parameter!$I$27:$I$29,0))),1,0)</f>
        <v>0</v>
      </c>
      <c r="BY479" s="53" t="n">
        <f aca="false">IF(CL479&gt;0,INDEX(Parameter!$H$5:$H$7,W479)/INDEX(Parameter!$E$5:$E$7,W479),IF(AND(BW479=0,N(IFERROR(VLOOKUP(BU479,'Gebinde-Kategorie'!$A$5:$N$45,14,0),0))&gt;0),VLOOKUP(BU479,'Gebinde-Kategorie'!$A$5:$N$45,14,0)*10+Parameter!$M$23,Parameter!$M$24))</f>
        <v>145</v>
      </c>
      <c r="BZ479" s="48" t="str">
        <f aca="false">IF(AND(Parameter!$B$19="Ja",E479&lt;&gt;"",ISNUMBER(MATCH(E479,Parameter!$I$35:$I$52,0))),VLOOKUP(E479,Parameter!$I$35:$J$52,2,0),IFERROR(VLOOKUP(D479,Parameter!$A$35:$C$64,2,0),"Nein"))</f>
        <v>2+3</v>
      </c>
      <c r="CA479" s="52" t="n">
        <f aca="false">IF(BW479=0,0,IF(N(S479)&gt;0,S479,IFERROR(VLOOKUP(D479,Parameter!$A$35:$C$64,3,0)+0,0)))</f>
        <v>0</v>
      </c>
      <c r="CB479" s="48" t="n">
        <f aca="false">IF(AA479&lt;&gt;"",AA479,Z479)</f>
        <v>2</v>
      </c>
      <c r="CC479" s="48" t="str">
        <f aca="false">IF(OR(CB479=1,CB479=2,CB479=3),IF(Parameter!$E$27="Ja","LIFT",IF(CB479=1,"L1","L23")),IF(CB479="Aussen","Aussen","-"))</f>
        <v>LIFT</v>
      </c>
      <c r="CD479" s="59" t="n">
        <f aca="false">IF(N(AB479)&gt;0,AB479,0)</f>
        <v>0</v>
      </c>
      <c r="CE479" s="53" t="n">
        <f aca="false">IF(ISNUMBER(AE479),1,0)</f>
        <v>0</v>
      </c>
      <c r="CF479" s="50" t="n">
        <f aca="false">N(AE479)</f>
        <v>0</v>
      </c>
      <c r="CG479" s="50" t="n">
        <f aca="false">N(M479)+N(N479)</f>
        <v>1</v>
      </c>
      <c r="CH479" s="50" t="n">
        <f aca="false">ROUNDUP(H479/BV479,0)</f>
        <v>1</v>
      </c>
      <c r="CI479" s="50" t="n">
        <f aca="false">ROUNDUP(CF479/BV479,0)</f>
        <v>0</v>
      </c>
      <c r="CJ479" s="53" t="n">
        <f aca="false">IF(BW479=1,0,IFERROR(VLOOKUP(BU479,'Gebinde-Kategorie'!$A$5:$N$45,5,0)+0,0))</f>
        <v>11</v>
      </c>
      <c r="CK479" s="53" t="n">
        <f aca="false">IFERROR(IF(OR(CB479=1,CB479=2,CB479=3),N(INDEX(Parameter!$I$5:$I$7,CB479)),0),0)</f>
        <v>0</v>
      </c>
      <c r="CL479" s="52" t="n">
        <f aca="false">IF(AND(Parameter!$B$21="Ja",ISNUMBER(W479),N(X479)&gt;0),IFERROR(N(INDEX(Parameter!$L$5:$L$7,W479))*INDEX(Parameter!$E$5:$E$7,W479)*X479/SUMIFS($X$7:$X$1843,$W$7:$W$1843,W479),0),0)</f>
        <v>0</v>
      </c>
    </row>
    <row r="480" customFormat="false" ht="15" hidden="false" customHeight="false" outlineLevel="0" collapsed="false">
      <c r="A480" s="48" t="s">
        <v>1071</v>
      </c>
      <c r="B480" s="48" t="s">
        <v>1072</v>
      </c>
      <c r="C480" s="48" t="s">
        <v>168</v>
      </c>
      <c r="D480" s="48" t="s">
        <v>188</v>
      </c>
      <c r="E480" s="48"/>
      <c r="F480" s="48" t="s">
        <v>222</v>
      </c>
      <c r="G480" s="49" t="n">
        <v>2</v>
      </c>
      <c r="H480" s="50" t="n">
        <f aca="false">MAX(0,IF(AND(Parameter!$B$21="Ja",ISNUMBER(Y480)),Y480,IF(Parameter!$B$20="Jahresanfang 2025 + Export",BO480+BN480,BN480)))</f>
        <v>25</v>
      </c>
      <c r="I480" s="50" t="n">
        <f aca="false">H480*G480</f>
        <v>50</v>
      </c>
      <c r="J480" s="50" t="n">
        <f aca="false">BQ480*Parameter!$B$18</f>
        <v>0</v>
      </c>
      <c r="K480" s="51" t="n">
        <v>0</v>
      </c>
      <c r="L480" s="52" t="n">
        <v>0</v>
      </c>
      <c r="M480" s="50" t="n">
        <v>0</v>
      </c>
      <c r="N480" s="50" t="n">
        <v>5</v>
      </c>
      <c r="O480" s="53" t="n">
        <v>9999</v>
      </c>
      <c r="P480" s="48" t="s">
        <v>172</v>
      </c>
      <c r="Q480" s="50"/>
      <c r="R480" s="53" t="n">
        <f aca="false">IF(BW480=1,0,IFERROR(VLOOKUP(BU480,'Gebinde-Kategorie'!$A$5:$N$45,13,0)+0,0))</f>
        <v>26</v>
      </c>
      <c r="S480" s="54"/>
      <c r="T480" s="55" t="s">
        <v>279</v>
      </c>
      <c r="U480" s="55"/>
      <c r="V480" s="55"/>
      <c r="W480" s="48"/>
      <c r="X480" s="50"/>
      <c r="Y480" s="50"/>
      <c r="Z480" s="48" t="n">
        <f aca="false">IF(A480="","",IF(AND(Parameter!$B$21="Ja",ISNUMBER(W480)),W480,IF(BZ480="2+3",IF(ISNUMBER(SEARCH("grosser Artikel",BR480)),2,IFERROR(VLOOKUP(BU480,Parameter!$F$35:$G$64,2,0),2)),IF(OR(BZ480="Nein",BZ480=""),"-",BZ480))))</f>
        <v>3</v>
      </c>
      <c r="AA480" s="55"/>
      <c r="AB480" s="56"/>
      <c r="AC480" s="50" t="n">
        <f aca="false">AT480</f>
        <v>25</v>
      </c>
      <c r="AD480" s="50" t="n">
        <f aca="false">MAX(AT480,H480)</f>
        <v>25</v>
      </c>
      <c r="AE480" s="57"/>
      <c r="AF480" s="50" t="n">
        <f aca="false">IF(LEFT(Cockpit!$C$5,1)="A",H480,IF(CE480=1,CF480,IF(LEFT(Cockpit!$C$5,1)="B",AK480,MAX(AK480,H480))))</f>
        <v>25</v>
      </c>
      <c r="AG480" s="50" t="n">
        <f aca="false">IF(BW480=1,0,ROUNDUP(AF480/BV480,0))</f>
        <v>1</v>
      </c>
      <c r="AH480" s="52" t="n">
        <f aca="false">IF(CL480&gt;0,CL480*MAX(1,AF480/X480),IF(BW480=1,IF(AF480&lt;=0,0,CA480*MAX(1,IF(H480&gt;0,AF480/H480,1))),IF(R480&gt;0,AG480/R480,0))/MAX(0.1,N(Parameter!$M$21)))</f>
        <v>0.0384615384615385</v>
      </c>
      <c r="AI480" s="50" t="n">
        <f aca="false">AH480*BY480</f>
        <v>5.96153846153846</v>
      </c>
      <c r="AJ480" s="50" t="n">
        <f aca="false">AF480*G480</f>
        <v>50</v>
      </c>
      <c r="AK480" s="50" t="n">
        <f aca="false">ROUNDUP(MAX(J480/IF(CD480&gt;0,CD480,MAX(0.1,N(Cockpit!$C$6))),CG480)/BV480,0)*BV480</f>
        <v>25</v>
      </c>
      <c r="AL480" s="51" t="n">
        <f aca="false">IF(AI480&gt;0,J480/AI480,-1)</f>
        <v>0</v>
      </c>
      <c r="AM480" s="51" t="n">
        <f aca="false">IF(AND(OR(CC480="L1",CC480="L23",CC480="LIFT"),AI480&gt;0),SUMIFS($AI$7:$AI$1843,$CC$7:$CC$1843,CC480,$AL$7:$AL$1843,"&gt;"&amp;AL480)+SUMIFS($AI$7:$AI$1843,$CC$7:$CC$1843,CC480,$AL$7:$AL$1843,AL480,$BT$7:$BT$1843,"&lt;="&amp;BT480),"")</f>
        <v>28217.9704062416</v>
      </c>
      <c r="AN480" s="58" t="n">
        <f aca="false">IF(AM480="",0,MAX(0,MIN(1,(IF(CC480="L1",Parameter!$H$5,IF(CC480="L23",Parameter!$H$6+Parameter!$H$7,Parameter!$H$5+Parameter!$H$6+Parameter!$H$7))-(AM480-AI480))/AI480)))</f>
        <v>1</v>
      </c>
      <c r="AO480" s="50" t="n">
        <f aca="false">IF(LEFT(Cockpit!$I$5,1)="A",H480,IF(CE480=1,CF480,IF(LEFT(Cockpit!$I$5,1)="B",AT480,MAX(AT480,H480))))</f>
        <v>25</v>
      </c>
      <c r="AP480" s="50" t="n">
        <f aca="false">IF(BW480=1,0,ROUNDUP(AO480/BV480,0))</f>
        <v>1</v>
      </c>
      <c r="AQ480" s="52" t="n">
        <f aca="false">IF(CL480&gt;0,CL480*MAX(1,AO480/X480),IF(BW480=1,IF(AO480&lt;=0,0,CA480*MAX(1,IF(H480&gt;0,AO480/H480,1))),IF(R480&gt;0,AP480/R480,0))/MAX(0.1,N(Parameter!$M$21)))</f>
        <v>0.0384615384615385</v>
      </c>
      <c r="AR480" s="50" t="n">
        <f aca="false">AQ480*BY480</f>
        <v>5.96153846153846</v>
      </c>
      <c r="AS480" s="50" t="n">
        <f aca="false">AO480*G480</f>
        <v>50</v>
      </c>
      <c r="AT480" s="50" t="n">
        <f aca="false">ROUNDUP(MAX(J480/IF(CD480&gt;0,CD480,MAX(0.1,N(Cockpit!$I$6))),CG480)/BV480,0)*BV480</f>
        <v>25</v>
      </c>
      <c r="AU480" s="51" t="n">
        <f aca="false">IF(AR480&gt;0,J480/AR480,-1)</f>
        <v>0</v>
      </c>
      <c r="AV480" s="51" t="n">
        <f aca="false">IF(AND(OR(CC480="L1",CC480="L23",CC480="LIFT"),AR480&gt;0),SUMIFS($AR$7:$AR$1843,$CC$7:$CC$1843,CC480,$AU$7:$AU$1843,"&gt;"&amp;AU480)+SUMIFS($AR$7:$AR$1843,$CC$7:$CC$1843,CC480,$AU$7:$AU$1843,AU480,$BT$7:$BT$1843,"&lt;="&amp;BT480),"")</f>
        <v>39530.8759235115</v>
      </c>
      <c r="AW480" s="58" t="n">
        <f aca="false">IF(AV480="",0,MAX(0,MIN(1,(IF(CC480="L1",Parameter!$H$5,IF(CC480="L23",Parameter!$H$6+Parameter!$H$7,Parameter!$H$5+Parameter!$H$6+Parameter!$H$7))-(AV480-AR480))/AR480)))</f>
        <v>0</v>
      </c>
      <c r="AX480" s="50" t="n">
        <f aca="false">IF(LEFT(Cockpit!$O$5,1)="A",H480,IF(CE480=1,CF480,IF(LEFT(Cockpit!$O$5,1)="B",BC480,MAX(BC480,H480))))</f>
        <v>25</v>
      </c>
      <c r="AY480" s="50" t="n">
        <f aca="false">IF(BW480=1,0,ROUNDUP(AX480/BV480,0))</f>
        <v>1</v>
      </c>
      <c r="AZ480" s="52" t="n">
        <f aca="false">IF(CL480&gt;0,CL480*MAX(1,AX480/X480),IF(BW480=1,IF(AX480&lt;=0,0,CA480*MAX(1,IF(H480&gt;0,AX480/H480,1))),IF(R480&gt;0,AY480/R480,0))/MAX(0.1,N(Parameter!$M$21)))</f>
        <v>0.0384615384615385</v>
      </c>
      <c r="BA480" s="50" t="n">
        <f aca="false">AZ480*BY480</f>
        <v>5.96153846153846</v>
      </c>
      <c r="BB480" s="50" t="n">
        <f aca="false">AX480*G480</f>
        <v>50</v>
      </c>
      <c r="BC480" s="50" t="n">
        <f aca="false">ROUNDUP(MAX(J480/IF(CD480&gt;0,CD480,MAX(0.1,N(Cockpit!$O$6))),CG480)/BV480,0)*BV480</f>
        <v>25</v>
      </c>
      <c r="BD480" s="51" t="n">
        <f aca="false">IF(BA480&gt;0,J480/BA480,-1)</f>
        <v>0</v>
      </c>
      <c r="BE480" s="51" t="n">
        <f aca="false">IF(AND(OR(CC480="L1",CC480="L23",CC480="LIFT"),BA480&gt;0),SUMIFS($BA$7:$BA$1843,$CC$7:$CC$1843,CC480,$BD$7:$BD$1843,"&gt;"&amp;BD480)+SUMIFS($BA$7:$BA$1843,$CC$7:$CC$1843,CC480,$BD$7:$BD$1843,BD480,$BT$7:$BT$1843,"&lt;="&amp;BT480),"")</f>
        <v>36205.8879653774</v>
      </c>
      <c r="BF480" s="58" t="n">
        <f aca="false">IF(BE480="",0,MAX(0,MIN(1,(IF(CC480="L1",Parameter!$H$5,IF(CC480="L23",Parameter!$H$6+Parameter!$H$7,Parameter!$H$5+Parameter!$H$6+Parameter!$H$7))-(BE480-BA480))/BA480)))</f>
        <v>0</v>
      </c>
      <c r="BG480" s="48" t="str">
        <f aca="false">IF(AI480&lt;=0,"",IF(CC480="Aussen","Aussenlager",IF(CC480="-","Nicht im Lift",IF(AN480&gt;=1,"Lift",IF(AN480&lt;=0,"Aussenlager","teilweise")))))</f>
        <v>Lift</v>
      </c>
      <c r="BH480" s="48" t="str">
        <f aca="false">IF(AR480&lt;=0,"",IF(CC480="Aussen","Aussenlager",IF(CC480="-","Nicht im Lift",IF(AW480&gt;=1,"Lift",IF(AW480&lt;=0,"Aussenlager","teilweise")))))</f>
        <v>Aussenlager</v>
      </c>
      <c r="BI480" s="48" t="str">
        <f aca="false">IF(BA480&lt;=0,"",IF(CC480="Aussen","Aussenlager",IF(CC480="-","Nicht im Lift",IF(BF480&gt;=1,"Lift",IF(BF480&lt;=0,"Aussenlager","teilweise")))))</f>
        <v>Aussenlager</v>
      </c>
      <c r="BJ480" s="48" t="str">
        <f aca="false">IF(A480="","",IF(BS480=1,"Neu; ","")&amp;IF(AND(BS480=0,BN480&lt;0),"negativer Bestand (Export "&amp;BN480&amp;"); ","")&amp;IF(J480&lt;=0,"Kein Verbrauch; ","")&amp;IF(CL480&gt;0,"Lift "&amp;W480&amp;" lt. Liftbericht (Fach "&amp;X480&amp;" Stk); ",IF(BX480=1,"Gebinde geschätzt ("&amp;T480&amp;"); ",IF(BW480=1,"Lose – Tablare geschätzt; ","")))&amp;IF(H480&gt;AT480,"Überbestand "&amp;ROUND(H480-AT480,0)&amp;" Stk / CHF "&amp;ROUND((H480-AT480)*G480,0)&amp;"; ","")&amp;IF(AND(CE480=1,CF480&lt;CG480),"MAX &lt; MB+LG; ","")&amp;IF(AND(CK480&gt;0,CJ480*10&gt;CK480),"zu hoch für Tablar; ","")&amp;IF(AND(BS480=0,OR(CE480=1,AA480&lt;&gt;"",U480&lt;&gt;"",V480&lt;&gt;"",AB480&lt;&gt;"")),"manuell übersteuert; ","")&amp;IF(AND(BW480=0,R480=0),"Gebinde unbekannt / Stellmass fehlt; ","")&amp;IF(AND(BW480=0,N(V480)&lt;=0,N(Q480)&lt;=0),"Menge pro Gebinde fehlt (Ist = 1 Gebinde); ","")&amp;BR480)</f>
        <v>Kein Verbrauch; Gebinde geschätzt (Klein); Menge pro Gebinde fehlt (Ist = 1 Gebinde); </v>
      </c>
      <c r="BK480" s="48"/>
      <c r="BL480" s="48"/>
      <c r="BM480" s="55"/>
      <c r="BN480" s="50" t="n">
        <v>25</v>
      </c>
      <c r="BO480" s="50" t="n">
        <v>0</v>
      </c>
      <c r="BP480" s="49" t="n">
        <v>50</v>
      </c>
      <c r="BQ480" s="50" t="n">
        <v>0</v>
      </c>
      <c r="BR480" s="48"/>
      <c r="BS480" s="53" t="n">
        <v>0</v>
      </c>
      <c r="BT480" s="53" t="n">
        <v>480</v>
      </c>
      <c r="BU480" s="48" t="str">
        <f aca="false">IF(U480&lt;&gt;"",UPPER(TRIM(U480)),IF(BX480=1,UPPER(VLOOKUP(T480,Parameter!$I$27:$K$29,2,0)),IF(P480="","LOSE",P480)))</f>
        <v>S51</v>
      </c>
      <c r="BV480" s="50" t="n">
        <f aca="false">IF(BU480="LOSE",1,IF(N(V480)&gt;0,V480,IF(BX480=1,MAX(1,N(VLOOKUP(T480,Parameter!$I$27:$K$29,3,0)),H480,N(N480)),IF(N(Q480)&gt;0,Q480,MAX(1,H480)))))</f>
        <v>25</v>
      </c>
      <c r="BW480" s="53" t="n">
        <f aca="false">IF(BU480="LOSE",1,0)</f>
        <v>0</v>
      </c>
      <c r="BX480" s="53" t="n">
        <f aca="false">IF(AND(U480="",OR(P480="",P480="LOSE"),T480&lt;&gt;"",N(S480)&lt;=0,ISNUMBER(MATCH(T480,Parameter!$I$27:$I$29,0))),1,0)</f>
        <v>1</v>
      </c>
      <c r="BY480" s="53" t="n">
        <f aca="false">IF(CL480&gt;0,INDEX(Parameter!$H$5:$H$7,W480)/INDEX(Parameter!$E$5:$E$7,W480),IF(AND(BW480=0,N(IFERROR(VLOOKUP(BU480,'Gebinde-Kategorie'!$A$5:$N$45,14,0),0))&gt;0),VLOOKUP(BU480,'Gebinde-Kategorie'!$A$5:$N$45,14,0)*10+Parameter!$M$23,Parameter!$M$24))</f>
        <v>155</v>
      </c>
      <c r="BZ480" s="48" t="str">
        <f aca="false">IF(AND(Parameter!$B$19="Ja",E480&lt;&gt;"",ISNUMBER(MATCH(E480,Parameter!$I$35:$I$52,0))),VLOOKUP(E480,Parameter!$I$35:$J$52,2,0),IFERROR(VLOOKUP(D480,Parameter!$A$35:$C$64,2,0),"Nein"))</f>
        <v>2+3</v>
      </c>
      <c r="CA480" s="52" t="n">
        <f aca="false">IF(BW480=0,0,IF(N(S480)&gt;0,S480,IFERROR(VLOOKUP(D480,Parameter!$A$35:$C$64,3,0)+0,0)))</f>
        <v>0</v>
      </c>
      <c r="CB480" s="48" t="n">
        <f aca="false">IF(AA480&lt;&gt;"",AA480,Z480)</f>
        <v>3</v>
      </c>
      <c r="CC480" s="48" t="str">
        <f aca="false">IF(OR(CB480=1,CB480=2,CB480=3),IF(Parameter!$E$27="Ja","LIFT",IF(CB480=1,"L1","L23")),IF(CB480="Aussen","Aussen","-"))</f>
        <v>LIFT</v>
      </c>
      <c r="CD480" s="59" t="n">
        <f aca="false">IF(N(AB480)&gt;0,AB480,0)</f>
        <v>0</v>
      </c>
      <c r="CE480" s="53" t="n">
        <f aca="false">IF(ISNUMBER(AE480),1,0)</f>
        <v>0</v>
      </c>
      <c r="CF480" s="50" t="n">
        <f aca="false">N(AE480)</f>
        <v>0</v>
      </c>
      <c r="CG480" s="50" t="n">
        <f aca="false">N(M480)+N(N480)</f>
        <v>5</v>
      </c>
      <c r="CH480" s="50" t="n">
        <f aca="false">ROUNDUP(H480/BV480,0)</f>
        <v>1</v>
      </c>
      <c r="CI480" s="50" t="n">
        <f aca="false">ROUNDUP(CF480/BV480,0)</f>
        <v>0</v>
      </c>
      <c r="CJ480" s="53" t="n">
        <f aca="false">IF(BW480=1,0,IFERROR(VLOOKUP(BU480,'Gebinde-Kategorie'!$A$5:$N$45,5,0)+0,0))</f>
        <v>11</v>
      </c>
      <c r="CK480" s="53" t="n">
        <f aca="false">IFERROR(IF(OR(CB480=1,CB480=2,CB480=3),N(INDEX(Parameter!$I$5:$I$7,CB480)),0),0)</f>
        <v>0</v>
      </c>
      <c r="CL480" s="52" t="n">
        <f aca="false">IF(AND(Parameter!$B$21="Ja",ISNUMBER(W480),N(X480)&gt;0),IFERROR(N(INDEX(Parameter!$L$5:$L$7,W480))*INDEX(Parameter!$E$5:$E$7,W480)*X480/SUMIFS($X$7:$X$1843,$W$7:$W$1843,W480),0),0)</f>
        <v>0</v>
      </c>
    </row>
    <row r="481" customFormat="false" ht="15" hidden="false" customHeight="false" outlineLevel="0" collapsed="false">
      <c r="A481" s="48" t="s">
        <v>1073</v>
      </c>
      <c r="B481" s="48" t="s">
        <v>1074</v>
      </c>
      <c r="C481" s="48" t="s">
        <v>168</v>
      </c>
      <c r="D481" s="48" t="s">
        <v>188</v>
      </c>
      <c r="E481" s="48" t="s">
        <v>189</v>
      </c>
      <c r="F481" s="48" t="s">
        <v>222</v>
      </c>
      <c r="G481" s="49" t="n">
        <v>45.76</v>
      </c>
      <c r="H481" s="50" t="n">
        <f aca="false">MAX(0,IF(AND(Parameter!$B$21="Ja",ISNUMBER(Y481)),Y481,IF(Parameter!$B$20="Jahresanfang 2025 + Export",BO481+BN481,BN481)))</f>
        <v>16</v>
      </c>
      <c r="I481" s="50" t="n">
        <f aca="false">H481*G481</f>
        <v>732.16</v>
      </c>
      <c r="J481" s="50" t="n">
        <f aca="false">BQ481*Parameter!$B$18</f>
        <v>20</v>
      </c>
      <c r="K481" s="51" t="n">
        <v>12.5</v>
      </c>
      <c r="L481" s="52" t="n">
        <v>1.6</v>
      </c>
      <c r="M481" s="50" t="n">
        <v>1</v>
      </c>
      <c r="N481" s="50" t="n">
        <v>20</v>
      </c>
      <c r="O481" s="53" t="n">
        <v>18</v>
      </c>
      <c r="P481" s="48" t="s">
        <v>480</v>
      </c>
      <c r="Q481" s="50" t="n">
        <v>15</v>
      </c>
      <c r="R481" s="53" t="n">
        <f aca="false">IF(BW481=1,0,IFERROR(VLOOKUP(BU481,'Gebinde-Kategorie'!$A$5:$N$45,13,0)+0,0))</f>
        <v>52</v>
      </c>
      <c r="S481" s="54"/>
      <c r="T481" s="55"/>
      <c r="U481" s="55"/>
      <c r="V481" s="55"/>
      <c r="W481" s="48"/>
      <c r="X481" s="50"/>
      <c r="Y481" s="50"/>
      <c r="Z481" s="48" t="n">
        <f aca="false">IF(A481="","",IF(AND(Parameter!$B$21="Ja",ISNUMBER(W481)),W481,IF(BZ481="2+3",IF(ISNUMBER(SEARCH("grosser Artikel",BR481)),2,IFERROR(VLOOKUP(BU481,Parameter!$F$35:$G$64,2,0),2)),IF(OR(BZ481="Nein",BZ481=""),"-",BZ481))))</f>
        <v>3</v>
      </c>
      <c r="AA481" s="55"/>
      <c r="AB481" s="56"/>
      <c r="AC481" s="50" t="n">
        <f aca="false">AT481</f>
        <v>30</v>
      </c>
      <c r="AD481" s="50" t="n">
        <f aca="false">MAX(AT481,H481)</f>
        <v>30</v>
      </c>
      <c r="AE481" s="57"/>
      <c r="AF481" s="50" t="n">
        <f aca="false">IF(LEFT(Cockpit!$C$5,1)="A",H481,IF(CE481=1,CF481,IF(LEFT(Cockpit!$C$5,1)="B",AK481,MAX(AK481,H481))))</f>
        <v>16</v>
      </c>
      <c r="AG481" s="50" t="n">
        <f aca="false">IF(BW481=1,0,ROUNDUP(AF481/BV481,0))</f>
        <v>2</v>
      </c>
      <c r="AH481" s="52" t="n">
        <f aca="false">IF(CL481&gt;0,CL481*MAX(1,AF481/X481),IF(BW481=1,IF(AF481&lt;=0,0,CA481*MAX(1,IF(H481&gt;0,AF481/H481,1))),IF(R481&gt;0,AG481/R481,0))/MAX(0.1,N(Parameter!$M$21)))</f>
        <v>0.0384615384615385</v>
      </c>
      <c r="AI481" s="50" t="n">
        <f aca="false">AH481*BY481</f>
        <v>5.96153846153846</v>
      </c>
      <c r="AJ481" s="50" t="n">
        <f aca="false">AF481*G481</f>
        <v>732.16</v>
      </c>
      <c r="AK481" s="50" t="n">
        <f aca="false">ROUNDUP(MAX(J481/IF(CD481&gt;0,CD481,MAX(0.1,N(Cockpit!$C$6))),CG481)/BV481,0)*BV481</f>
        <v>30</v>
      </c>
      <c r="AL481" s="51" t="n">
        <f aca="false">IF(AI481&gt;0,J481/AI481,-1)</f>
        <v>3.35483870967742</v>
      </c>
      <c r="AM481" s="51" t="n">
        <f aca="false">IF(AND(OR(CC481="L1",CC481="L23",CC481="LIFT"),AI481&gt;0),SUMIFS($AI$7:$AI$1843,$CC$7:$CC$1843,CC481,$AL$7:$AL$1843,"&gt;"&amp;AL481)+SUMIFS($AI$7:$AI$1843,$CC$7:$CC$1843,CC481,$AL$7:$AL$1843,AL481,$BT$7:$BT$1843,"&lt;="&amp;BT481),"")</f>
        <v>4940.68406593407</v>
      </c>
      <c r="AN481" s="58" t="n">
        <f aca="false">IF(AM481="",0,MAX(0,MIN(1,(IF(CC481="L1",Parameter!$H$5,IF(CC481="L23",Parameter!$H$6+Parameter!$H$7,Parameter!$H$5+Parameter!$H$6+Parameter!$H$7))-(AM481-AI481))/AI481)))</f>
        <v>1</v>
      </c>
      <c r="AO481" s="50" t="n">
        <f aca="false">IF(LEFT(Cockpit!$I$5,1)="A",H481,IF(CE481=1,CF481,IF(LEFT(Cockpit!$I$5,1)="B",AT481,MAX(AT481,H481))))</f>
        <v>30</v>
      </c>
      <c r="AP481" s="50" t="n">
        <f aca="false">IF(BW481=1,0,ROUNDUP(AO481/BV481,0))</f>
        <v>2</v>
      </c>
      <c r="AQ481" s="52" t="n">
        <f aca="false">IF(CL481&gt;0,CL481*MAX(1,AO481/X481),IF(BW481=1,IF(AO481&lt;=0,0,CA481*MAX(1,IF(H481&gt;0,AO481/H481,1))),IF(R481&gt;0,AP481/R481,0))/MAX(0.1,N(Parameter!$M$21)))</f>
        <v>0.0384615384615385</v>
      </c>
      <c r="AR481" s="50" t="n">
        <f aca="false">AQ481*BY481</f>
        <v>5.96153846153846</v>
      </c>
      <c r="AS481" s="50" t="n">
        <f aca="false">AO481*G481</f>
        <v>1372.8</v>
      </c>
      <c r="AT481" s="50" t="n">
        <f aca="false">ROUNDUP(MAX(J481/IF(CD481&gt;0,CD481,MAX(0.1,N(Cockpit!$I$6))),CG481)/BV481,0)*BV481</f>
        <v>30</v>
      </c>
      <c r="AU481" s="51" t="n">
        <f aca="false">IF(AR481&gt;0,J481/AR481,-1)</f>
        <v>3.35483870967742</v>
      </c>
      <c r="AV481" s="51" t="n">
        <f aca="false">IF(AND(OR(CC481="L1",CC481="L23",CC481="LIFT"),AR481&gt;0),SUMIFS($AR$7:$AR$1843,$CC$7:$CC$1843,CC481,$AU$7:$AU$1843,"&gt;"&amp;AU481)+SUMIFS($AR$7:$AR$1843,$CC$7:$CC$1843,CC481,$AU$7:$AU$1843,AU481,$BT$7:$BT$1843,"&lt;="&amp;BT481),"")</f>
        <v>6039.46291208791</v>
      </c>
      <c r="AW481" s="58" t="n">
        <f aca="false">IF(AV481="",0,MAX(0,MIN(1,(IF(CC481="L1",Parameter!$H$5,IF(CC481="L23",Parameter!$H$6+Parameter!$H$7,Parameter!$H$5+Parameter!$H$6+Parameter!$H$7))-(AV481-AR481))/AR481)))</f>
        <v>1</v>
      </c>
      <c r="AX481" s="50" t="n">
        <f aca="false">IF(LEFT(Cockpit!$O$5,1)="A",H481,IF(CE481=1,CF481,IF(LEFT(Cockpit!$O$5,1)="B",BC481,MAX(BC481,H481))))</f>
        <v>30</v>
      </c>
      <c r="AY481" s="50" t="n">
        <f aca="false">IF(BW481=1,0,ROUNDUP(AX481/BV481,0))</f>
        <v>2</v>
      </c>
      <c r="AZ481" s="52" t="n">
        <f aca="false">IF(CL481&gt;0,CL481*MAX(1,AX481/X481),IF(BW481=1,IF(AX481&lt;=0,0,CA481*MAX(1,IF(H481&gt;0,AX481/H481,1))),IF(R481&gt;0,AY481/R481,0))/MAX(0.1,N(Parameter!$M$21)))</f>
        <v>0.0384615384615385</v>
      </c>
      <c r="BA481" s="50" t="n">
        <f aca="false">AZ481*BY481</f>
        <v>5.96153846153846</v>
      </c>
      <c r="BB481" s="50" t="n">
        <f aca="false">AX481*G481</f>
        <v>1372.8</v>
      </c>
      <c r="BC481" s="50" t="n">
        <f aca="false">ROUNDUP(MAX(J481/IF(CD481&gt;0,CD481,MAX(0.1,N(Cockpit!$O$6))),CG481)/BV481,0)*BV481</f>
        <v>30</v>
      </c>
      <c r="BD481" s="51" t="n">
        <f aca="false">IF(BA481&gt;0,J481/BA481,-1)</f>
        <v>3.35483870967742</v>
      </c>
      <c r="BE481" s="51" t="n">
        <f aca="false">IF(AND(OR(CC481="L1",CC481="L23",CC481="LIFT"),BA481&gt;0),SUMIFS($BA$7:$BA$1843,$CC$7:$CC$1843,CC481,$BD$7:$BD$1843,"&gt;"&amp;BD481)+SUMIFS($BA$7:$BA$1843,$CC$7:$CC$1843,CC481,$BD$7:$BD$1843,BD481,$BT$7:$BT$1843,"&lt;="&amp;BT481),"")</f>
        <v>6027.29945054945</v>
      </c>
      <c r="BF481" s="58" t="n">
        <f aca="false">IF(BE481="",0,MAX(0,MIN(1,(IF(CC481="L1",Parameter!$H$5,IF(CC481="L23",Parameter!$H$6+Parameter!$H$7,Parameter!$H$5+Parameter!$H$6+Parameter!$H$7))-(BE481-BA481))/BA481)))</f>
        <v>1</v>
      </c>
      <c r="BG481" s="48" t="str">
        <f aca="false">IF(AI481&lt;=0,"",IF(CC481="Aussen","Aussenlager",IF(CC481="-","Nicht im Lift",IF(AN481&gt;=1,"Lift",IF(AN481&lt;=0,"Aussenlager","teilweise")))))</f>
        <v>Lift</v>
      </c>
      <c r="BH481" s="48" t="str">
        <f aca="false">IF(AR481&lt;=0,"",IF(CC481="Aussen","Aussenlager",IF(CC481="-","Nicht im Lift",IF(AW481&gt;=1,"Lift",IF(AW481&lt;=0,"Aussenlager","teilweise")))))</f>
        <v>Lift</v>
      </c>
      <c r="BI481" s="48" t="str">
        <f aca="false">IF(BA481&lt;=0,"",IF(CC481="Aussen","Aussenlager",IF(CC481="-","Nicht im Lift",IF(BF481&gt;=1,"Lift",IF(BF481&lt;=0,"Aussenlager","teilweise")))))</f>
        <v>Lift</v>
      </c>
      <c r="BJ481" s="48" t="str">
        <f aca="false">IF(A481="","",IF(BS481=1,"Neu; ","")&amp;IF(AND(BS481=0,BN481&lt;0),"negativer Bestand (Export "&amp;BN481&amp;"); ","")&amp;IF(J481&lt;=0,"Kein Verbrauch; ","")&amp;IF(CL481&gt;0,"Lift "&amp;W481&amp;" lt. Liftbericht (Fach "&amp;X481&amp;" Stk); ",IF(BX481=1,"Gebinde geschätzt ("&amp;T481&amp;"); ",IF(BW481=1,"Lose – Tablare geschätzt; ","")))&amp;IF(H481&gt;AT481,"Überbestand "&amp;ROUND(H481-AT481,0)&amp;" Stk / CHF "&amp;ROUND((H481-AT481)*G481,0)&amp;"; ","")&amp;IF(AND(CE481=1,CF481&lt;CG481),"MAX &lt; MB+LG; ","")&amp;IF(AND(CK481&gt;0,CJ481*10&gt;CK481),"zu hoch für Tablar; ","")&amp;IF(AND(BS481=0,OR(CE481=1,AA481&lt;&gt;"",U481&lt;&gt;"",V481&lt;&gt;"",AB481&lt;&gt;"")),"manuell übersteuert; ","")&amp;IF(AND(BW481=0,R481=0),"Gebinde unbekannt / Stellmass fehlt; ","")&amp;IF(AND(BW481=0,N(V481)&lt;=0,N(Q481)&lt;=0),"Menge pro Gebinde fehlt (Ist = 1 Gebinde); ","")&amp;BR481)</f>
        <v/>
      </c>
      <c r="BK481" s="48"/>
      <c r="BL481" s="48"/>
      <c r="BM481" s="55"/>
      <c r="BN481" s="50" t="n">
        <v>1</v>
      </c>
      <c r="BO481" s="50" t="n">
        <v>15</v>
      </c>
      <c r="BP481" s="49" t="n">
        <v>48.31</v>
      </c>
      <c r="BQ481" s="50" t="n">
        <v>20</v>
      </c>
      <c r="BR481" s="48"/>
      <c r="BS481" s="53" t="n">
        <v>0</v>
      </c>
      <c r="BT481" s="53" t="n">
        <v>481</v>
      </c>
      <c r="BU481" s="48" t="str">
        <f aca="false">IF(U481&lt;&gt;"",UPPER(TRIM(U481)),IF(BX481=1,UPPER(VLOOKUP(T481,Parameter!$I$27:$K$29,2,0)),IF(P481="","LOSE",P481)))</f>
        <v>S33</v>
      </c>
      <c r="BV481" s="50" t="n">
        <f aca="false">IF(BU481="LOSE",1,IF(N(V481)&gt;0,V481,IF(BX481=1,MAX(1,N(VLOOKUP(T481,Parameter!$I$27:$K$29,3,0)),H481,N(N481)),IF(N(Q481)&gt;0,Q481,MAX(1,H481)))))</f>
        <v>15</v>
      </c>
      <c r="BW481" s="53" t="n">
        <f aca="false">IF(BU481="LOSE",1,0)</f>
        <v>0</v>
      </c>
      <c r="BX481" s="53" t="n">
        <f aca="false">IF(AND(U481="",OR(P481="",P481="LOSE"),T481&lt;&gt;"",N(S481)&lt;=0,ISNUMBER(MATCH(T481,Parameter!$I$27:$I$29,0))),1,0)</f>
        <v>0</v>
      </c>
      <c r="BY481" s="53" t="n">
        <f aca="false">IF(CL481&gt;0,INDEX(Parameter!$H$5:$H$7,W481)/INDEX(Parameter!$E$5:$E$7,W481),IF(AND(BW481=0,N(IFERROR(VLOOKUP(BU481,'Gebinde-Kategorie'!$A$5:$N$45,14,0),0))&gt;0),VLOOKUP(BU481,'Gebinde-Kategorie'!$A$5:$N$45,14,0)*10+Parameter!$M$23,Parameter!$M$24))</f>
        <v>155</v>
      </c>
      <c r="BZ481" s="48" t="str">
        <f aca="false">IF(AND(Parameter!$B$19="Ja",E481&lt;&gt;"",ISNUMBER(MATCH(E481,Parameter!$I$35:$I$52,0))),VLOOKUP(E481,Parameter!$I$35:$J$52,2,0),IFERROR(VLOOKUP(D481,Parameter!$A$35:$C$64,2,0),"Nein"))</f>
        <v>2+3</v>
      </c>
      <c r="CA481" s="52" t="n">
        <f aca="false">IF(BW481=0,0,IF(N(S481)&gt;0,S481,IFERROR(VLOOKUP(D481,Parameter!$A$35:$C$64,3,0)+0,0)))</f>
        <v>0</v>
      </c>
      <c r="CB481" s="48" t="n">
        <f aca="false">IF(AA481&lt;&gt;"",AA481,Z481)</f>
        <v>3</v>
      </c>
      <c r="CC481" s="48" t="str">
        <f aca="false">IF(OR(CB481=1,CB481=2,CB481=3),IF(Parameter!$E$27="Ja","LIFT",IF(CB481=1,"L1","L23")),IF(CB481="Aussen","Aussen","-"))</f>
        <v>LIFT</v>
      </c>
      <c r="CD481" s="59" t="n">
        <f aca="false">IF(N(AB481)&gt;0,AB481,0)</f>
        <v>0</v>
      </c>
      <c r="CE481" s="53" t="n">
        <f aca="false">IF(ISNUMBER(AE481),1,0)</f>
        <v>0</v>
      </c>
      <c r="CF481" s="50" t="n">
        <f aca="false">N(AE481)</f>
        <v>0</v>
      </c>
      <c r="CG481" s="50" t="n">
        <f aca="false">N(M481)+N(N481)</f>
        <v>21</v>
      </c>
      <c r="CH481" s="50" t="n">
        <f aca="false">ROUNDUP(H481/BV481,0)</f>
        <v>2</v>
      </c>
      <c r="CI481" s="50" t="n">
        <f aca="false">ROUNDUP(CF481/BV481,0)</f>
        <v>0</v>
      </c>
      <c r="CJ481" s="53" t="n">
        <f aca="false">IF(BW481=1,0,IFERROR(VLOOKUP(BU481,'Gebinde-Kategorie'!$A$5:$N$45,5,0)+0,0))</f>
        <v>8</v>
      </c>
      <c r="CK481" s="53" t="n">
        <f aca="false">IFERROR(IF(OR(CB481=1,CB481=2,CB481=3),N(INDEX(Parameter!$I$5:$I$7,CB481)),0),0)</f>
        <v>0</v>
      </c>
      <c r="CL481" s="52" t="n">
        <f aca="false">IF(AND(Parameter!$B$21="Ja",ISNUMBER(W481),N(X481)&gt;0),IFERROR(N(INDEX(Parameter!$L$5:$L$7,W481))*INDEX(Parameter!$E$5:$E$7,W481)*X481/SUMIFS($X$7:$X$1843,$W$7:$W$1843,W481),0),0)</f>
        <v>0</v>
      </c>
    </row>
    <row r="482" customFormat="false" ht="15" hidden="false" customHeight="false" outlineLevel="0" collapsed="false">
      <c r="A482" s="48" t="s">
        <v>1075</v>
      </c>
      <c r="B482" s="48" t="s">
        <v>378</v>
      </c>
      <c r="C482" s="48" t="s">
        <v>168</v>
      </c>
      <c r="D482" s="48" t="s">
        <v>188</v>
      </c>
      <c r="E482" s="48"/>
      <c r="F482" s="48" t="s">
        <v>222</v>
      </c>
      <c r="G482" s="49" t="n">
        <v>1.92</v>
      </c>
      <c r="H482" s="50" t="n">
        <f aca="false">MAX(0,IF(AND(Parameter!$B$21="Ja",ISNUMBER(Y482)),Y482,IF(Parameter!$B$20="Jahresanfang 2025 + Export",BO482+BN482,BN482)))</f>
        <v>25</v>
      </c>
      <c r="I482" s="50" t="n">
        <f aca="false">H482*G482</f>
        <v>48</v>
      </c>
      <c r="J482" s="50" t="n">
        <f aca="false">BQ482*Parameter!$B$18</f>
        <v>0</v>
      </c>
      <c r="K482" s="51" t="n">
        <v>0</v>
      </c>
      <c r="L482" s="52" t="n">
        <v>0</v>
      </c>
      <c r="M482" s="50" t="n">
        <v>0</v>
      </c>
      <c r="N482" s="50" t="n">
        <v>1</v>
      </c>
      <c r="O482" s="53" t="n">
        <v>9999</v>
      </c>
      <c r="P482" s="48" t="s">
        <v>172</v>
      </c>
      <c r="Q482" s="50"/>
      <c r="R482" s="53" t="n">
        <f aca="false">IF(BW482=1,0,IFERROR(VLOOKUP(BU482,'Gebinde-Kategorie'!$A$5:$N$45,13,0)+0,0))</f>
        <v>26</v>
      </c>
      <c r="S482" s="54"/>
      <c r="T482" s="55" t="s">
        <v>279</v>
      </c>
      <c r="U482" s="55"/>
      <c r="V482" s="55"/>
      <c r="W482" s="48"/>
      <c r="X482" s="50"/>
      <c r="Y482" s="50"/>
      <c r="Z482" s="48" t="n">
        <f aca="false">IF(A482="","",IF(AND(Parameter!$B$21="Ja",ISNUMBER(W482)),W482,IF(BZ482="2+3",IF(ISNUMBER(SEARCH("grosser Artikel",BR482)),2,IFERROR(VLOOKUP(BU482,Parameter!$F$35:$G$64,2,0),2)),IF(OR(BZ482="Nein",BZ482=""),"-",BZ482))))</f>
        <v>3</v>
      </c>
      <c r="AA482" s="55"/>
      <c r="AB482" s="56"/>
      <c r="AC482" s="50" t="n">
        <f aca="false">AT482</f>
        <v>25</v>
      </c>
      <c r="AD482" s="50" t="n">
        <f aca="false">MAX(AT482,H482)</f>
        <v>25</v>
      </c>
      <c r="AE482" s="57"/>
      <c r="AF482" s="50" t="n">
        <f aca="false">IF(LEFT(Cockpit!$C$5,1)="A",H482,IF(CE482=1,CF482,IF(LEFT(Cockpit!$C$5,1)="B",AK482,MAX(AK482,H482))))</f>
        <v>25</v>
      </c>
      <c r="AG482" s="50" t="n">
        <f aca="false">IF(BW482=1,0,ROUNDUP(AF482/BV482,0))</f>
        <v>1</v>
      </c>
      <c r="AH482" s="52" t="n">
        <f aca="false">IF(CL482&gt;0,CL482*MAX(1,AF482/X482),IF(BW482=1,IF(AF482&lt;=0,0,CA482*MAX(1,IF(H482&gt;0,AF482/H482,1))),IF(R482&gt;0,AG482/R482,0))/MAX(0.1,N(Parameter!$M$21)))</f>
        <v>0.0384615384615385</v>
      </c>
      <c r="AI482" s="50" t="n">
        <f aca="false">AH482*BY482</f>
        <v>5.96153846153846</v>
      </c>
      <c r="AJ482" s="50" t="n">
        <f aca="false">AF482*G482</f>
        <v>48</v>
      </c>
      <c r="AK482" s="50" t="n">
        <f aca="false">ROUNDUP(MAX(J482/IF(CD482&gt;0,CD482,MAX(0.1,N(Cockpit!$C$6))),CG482)/BV482,0)*BV482</f>
        <v>25</v>
      </c>
      <c r="AL482" s="51" t="n">
        <f aca="false">IF(AI482&gt;0,J482/AI482,-1)</f>
        <v>0</v>
      </c>
      <c r="AM482" s="51" t="n">
        <f aca="false">IF(AND(OR(CC482="L1",CC482="L23",CC482="LIFT"),AI482&gt;0),SUMIFS($AI$7:$AI$1843,$CC$7:$CC$1843,CC482,$AL$7:$AL$1843,"&gt;"&amp;AL482)+SUMIFS($AI$7:$AI$1843,$CC$7:$CC$1843,CC482,$AL$7:$AL$1843,AL482,$BT$7:$BT$1843,"&lt;="&amp;BT482),"")</f>
        <v>28223.9319447031</v>
      </c>
      <c r="AN482" s="58" t="n">
        <f aca="false">IF(AM482="",0,MAX(0,MIN(1,(IF(CC482="L1",Parameter!$H$5,IF(CC482="L23",Parameter!$H$6+Parameter!$H$7,Parameter!$H$5+Parameter!$H$6+Parameter!$H$7))-(AM482-AI482))/AI482)))</f>
        <v>1</v>
      </c>
      <c r="AO482" s="50" t="n">
        <f aca="false">IF(LEFT(Cockpit!$I$5,1)="A",H482,IF(CE482=1,CF482,IF(LEFT(Cockpit!$I$5,1)="B",AT482,MAX(AT482,H482))))</f>
        <v>25</v>
      </c>
      <c r="AP482" s="50" t="n">
        <f aca="false">IF(BW482=1,0,ROUNDUP(AO482/BV482,0))</f>
        <v>1</v>
      </c>
      <c r="AQ482" s="52" t="n">
        <f aca="false">IF(CL482&gt;0,CL482*MAX(1,AO482/X482),IF(BW482=1,IF(AO482&lt;=0,0,CA482*MAX(1,IF(H482&gt;0,AO482/H482,1))),IF(R482&gt;0,AP482/R482,0))/MAX(0.1,N(Parameter!$M$21)))</f>
        <v>0.0384615384615385</v>
      </c>
      <c r="AR482" s="50" t="n">
        <f aca="false">AQ482*BY482</f>
        <v>5.96153846153846</v>
      </c>
      <c r="AS482" s="50" t="n">
        <f aca="false">AO482*G482</f>
        <v>48</v>
      </c>
      <c r="AT482" s="50" t="n">
        <f aca="false">ROUNDUP(MAX(J482/IF(CD482&gt;0,CD482,MAX(0.1,N(Cockpit!$I$6))),CG482)/BV482,0)*BV482</f>
        <v>25</v>
      </c>
      <c r="AU482" s="51" t="n">
        <f aca="false">IF(AR482&gt;0,J482/AR482,-1)</f>
        <v>0</v>
      </c>
      <c r="AV482" s="51" t="n">
        <f aca="false">IF(AND(OR(CC482="L1",CC482="L23",CC482="LIFT"),AR482&gt;0),SUMIFS($AR$7:$AR$1843,$CC$7:$CC$1843,CC482,$AU$7:$AU$1843,"&gt;"&amp;AU482)+SUMIFS($AR$7:$AR$1843,$CC$7:$CC$1843,CC482,$AU$7:$AU$1843,AU482,$BT$7:$BT$1843,"&lt;="&amp;BT482),"")</f>
        <v>39536.8374619731</v>
      </c>
      <c r="AW482" s="58" t="n">
        <f aca="false">IF(AV482="",0,MAX(0,MIN(1,(IF(CC482="L1",Parameter!$H$5,IF(CC482="L23",Parameter!$H$6+Parameter!$H$7,Parameter!$H$5+Parameter!$H$6+Parameter!$H$7))-(AV482-AR482))/AR482)))</f>
        <v>0</v>
      </c>
      <c r="AX482" s="50" t="n">
        <f aca="false">IF(LEFT(Cockpit!$O$5,1)="A",H482,IF(CE482=1,CF482,IF(LEFT(Cockpit!$O$5,1)="B",BC482,MAX(BC482,H482))))</f>
        <v>25</v>
      </c>
      <c r="AY482" s="50" t="n">
        <f aca="false">IF(BW482=1,0,ROUNDUP(AX482/BV482,0))</f>
        <v>1</v>
      </c>
      <c r="AZ482" s="52" t="n">
        <f aca="false">IF(CL482&gt;0,CL482*MAX(1,AX482/X482),IF(BW482=1,IF(AX482&lt;=0,0,CA482*MAX(1,IF(H482&gt;0,AX482/H482,1))),IF(R482&gt;0,AY482/R482,0))/MAX(0.1,N(Parameter!$M$21)))</f>
        <v>0.0384615384615385</v>
      </c>
      <c r="BA482" s="50" t="n">
        <f aca="false">AZ482*BY482</f>
        <v>5.96153846153846</v>
      </c>
      <c r="BB482" s="50" t="n">
        <f aca="false">AX482*G482</f>
        <v>48</v>
      </c>
      <c r="BC482" s="50" t="n">
        <f aca="false">ROUNDUP(MAX(J482/IF(CD482&gt;0,CD482,MAX(0.1,N(Cockpit!$O$6))),CG482)/BV482,0)*BV482</f>
        <v>25</v>
      </c>
      <c r="BD482" s="51" t="n">
        <f aca="false">IF(BA482&gt;0,J482/BA482,-1)</f>
        <v>0</v>
      </c>
      <c r="BE482" s="51" t="n">
        <f aca="false">IF(AND(OR(CC482="L1",CC482="L23",CC482="LIFT"),BA482&gt;0),SUMIFS($BA$7:$BA$1843,$CC$7:$CC$1843,CC482,$BD$7:$BD$1843,"&gt;"&amp;BD482)+SUMIFS($BA$7:$BA$1843,$CC$7:$CC$1843,CC482,$BD$7:$BD$1843,BD482,$BT$7:$BT$1843,"&lt;="&amp;BT482),"")</f>
        <v>36211.8495038389</v>
      </c>
      <c r="BF482" s="58" t="n">
        <f aca="false">IF(BE482="",0,MAX(0,MIN(1,(IF(CC482="L1",Parameter!$H$5,IF(CC482="L23",Parameter!$H$6+Parameter!$H$7,Parameter!$H$5+Parameter!$H$6+Parameter!$H$7))-(BE482-BA482))/BA482)))</f>
        <v>0</v>
      </c>
      <c r="BG482" s="48" t="str">
        <f aca="false">IF(AI482&lt;=0,"",IF(CC482="Aussen","Aussenlager",IF(CC482="-","Nicht im Lift",IF(AN482&gt;=1,"Lift",IF(AN482&lt;=0,"Aussenlager","teilweise")))))</f>
        <v>Lift</v>
      </c>
      <c r="BH482" s="48" t="str">
        <f aca="false">IF(AR482&lt;=0,"",IF(CC482="Aussen","Aussenlager",IF(CC482="-","Nicht im Lift",IF(AW482&gt;=1,"Lift",IF(AW482&lt;=0,"Aussenlager","teilweise")))))</f>
        <v>Aussenlager</v>
      </c>
      <c r="BI482" s="48" t="str">
        <f aca="false">IF(BA482&lt;=0,"",IF(CC482="Aussen","Aussenlager",IF(CC482="-","Nicht im Lift",IF(BF482&gt;=1,"Lift",IF(BF482&lt;=0,"Aussenlager","teilweise")))))</f>
        <v>Aussenlager</v>
      </c>
      <c r="BJ482" s="48" t="str">
        <f aca="false">IF(A482="","",IF(BS482=1,"Neu; ","")&amp;IF(AND(BS482=0,BN482&lt;0),"negativer Bestand (Export "&amp;BN482&amp;"); ","")&amp;IF(J482&lt;=0,"Kein Verbrauch; ","")&amp;IF(CL482&gt;0,"Lift "&amp;W482&amp;" lt. Liftbericht (Fach "&amp;X482&amp;" Stk); ",IF(BX482=1,"Gebinde geschätzt ("&amp;T482&amp;"); ",IF(BW482=1,"Lose – Tablare geschätzt; ","")))&amp;IF(H482&gt;AT482,"Überbestand "&amp;ROUND(H482-AT482,0)&amp;" Stk / CHF "&amp;ROUND((H482-AT482)*G482,0)&amp;"; ","")&amp;IF(AND(CE482=1,CF482&lt;CG482),"MAX &lt; MB+LG; ","")&amp;IF(AND(CK482&gt;0,CJ482*10&gt;CK482),"zu hoch für Tablar; ","")&amp;IF(AND(BS482=0,OR(CE482=1,AA482&lt;&gt;"",U482&lt;&gt;"",V482&lt;&gt;"",AB482&lt;&gt;"")),"manuell übersteuert; ","")&amp;IF(AND(BW482=0,R482=0),"Gebinde unbekannt / Stellmass fehlt; ","")&amp;IF(AND(BW482=0,N(V482)&lt;=0,N(Q482)&lt;=0),"Menge pro Gebinde fehlt (Ist = 1 Gebinde); ","")&amp;BR482)</f>
        <v>Kein Verbrauch; Gebinde geschätzt (Klein); Menge pro Gebinde fehlt (Ist = 1 Gebinde); </v>
      </c>
      <c r="BK482" s="48"/>
      <c r="BL482" s="48"/>
      <c r="BM482" s="55"/>
      <c r="BN482" s="50" t="n">
        <v>25</v>
      </c>
      <c r="BO482" s="50" t="n">
        <v>0</v>
      </c>
      <c r="BP482" s="49" t="n">
        <v>48</v>
      </c>
      <c r="BQ482" s="50" t="n">
        <v>0</v>
      </c>
      <c r="BR482" s="48"/>
      <c r="BS482" s="53" t="n">
        <v>0</v>
      </c>
      <c r="BT482" s="53" t="n">
        <v>482</v>
      </c>
      <c r="BU482" s="48" t="str">
        <f aca="false">IF(U482&lt;&gt;"",UPPER(TRIM(U482)),IF(BX482=1,UPPER(VLOOKUP(T482,Parameter!$I$27:$K$29,2,0)),IF(P482="","LOSE",P482)))</f>
        <v>S51</v>
      </c>
      <c r="BV482" s="50" t="n">
        <f aca="false">IF(BU482="LOSE",1,IF(N(V482)&gt;0,V482,IF(BX482=1,MAX(1,N(VLOOKUP(T482,Parameter!$I$27:$K$29,3,0)),H482,N(N482)),IF(N(Q482)&gt;0,Q482,MAX(1,H482)))))</f>
        <v>25</v>
      </c>
      <c r="BW482" s="53" t="n">
        <f aca="false">IF(BU482="LOSE",1,0)</f>
        <v>0</v>
      </c>
      <c r="BX482" s="53" t="n">
        <f aca="false">IF(AND(U482="",OR(P482="",P482="LOSE"),T482&lt;&gt;"",N(S482)&lt;=0,ISNUMBER(MATCH(T482,Parameter!$I$27:$I$29,0))),1,0)</f>
        <v>1</v>
      </c>
      <c r="BY482" s="53" t="n">
        <f aca="false">IF(CL482&gt;0,INDEX(Parameter!$H$5:$H$7,W482)/INDEX(Parameter!$E$5:$E$7,W482),IF(AND(BW482=0,N(IFERROR(VLOOKUP(BU482,'Gebinde-Kategorie'!$A$5:$N$45,14,0),0))&gt;0),VLOOKUP(BU482,'Gebinde-Kategorie'!$A$5:$N$45,14,0)*10+Parameter!$M$23,Parameter!$M$24))</f>
        <v>155</v>
      </c>
      <c r="BZ482" s="48" t="str">
        <f aca="false">IF(AND(Parameter!$B$19="Ja",E482&lt;&gt;"",ISNUMBER(MATCH(E482,Parameter!$I$35:$I$52,0))),VLOOKUP(E482,Parameter!$I$35:$J$52,2,0),IFERROR(VLOOKUP(D482,Parameter!$A$35:$C$64,2,0),"Nein"))</f>
        <v>2+3</v>
      </c>
      <c r="CA482" s="52" t="n">
        <f aca="false">IF(BW482=0,0,IF(N(S482)&gt;0,S482,IFERROR(VLOOKUP(D482,Parameter!$A$35:$C$64,3,0)+0,0)))</f>
        <v>0</v>
      </c>
      <c r="CB482" s="48" t="n">
        <f aca="false">IF(AA482&lt;&gt;"",AA482,Z482)</f>
        <v>3</v>
      </c>
      <c r="CC482" s="48" t="str">
        <f aca="false">IF(OR(CB482=1,CB482=2,CB482=3),IF(Parameter!$E$27="Ja","LIFT",IF(CB482=1,"L1","L23")),IF(CB482="Aussen","Aussen","-"))</f>
        <v>LIFT</v>
      </c>
      <c r="CD482" s="59" t="n">
        <f aca="false">IF(N(AB482)&gt;0,AB482,0)</f>
        <v>0</v>
      </c>
      <c r="CE482" s="53" t="n">
        <f aca="false">IF(ISNUMBER(AE482),1,0)</f>
        <v>0</v>
      </c>
      <c r="CF482" s="50" t="n">
        <f aca="false">N(AE482)</f>
        <v>0</v>
      </c>
      <c r="CG482" s="50" t="n">
        <f aca="false">N(M482)+N(N482)</f>
        <v>1</v>
      </c>
      <c r="CH482" s="50" t="n">
        <f aca="false">ROUNDUP(H482/BV482,0)</f>
        <v>1</v>
      </c>
      <c r="CI482" s="50" t="n">
        <f aca="false">ROUNDUP(CF482/BV482,0)</f>
        <v>0</v>
      </c>
      <c r="CJ482" s="53" t="n">
        <f aca="false">IF(BW482=1,0,IFERROR(VLOOKUP(BU482,'Gebinde-Kategorie'!$A$5:$N$45,5,0)+0,0))</f>
        <v>11</v>
      </c>
      <c r="CK482" s="53" t="n">
        <f aca="false">IFERROR(IF(OR(CB482=1,CB482=2,CB482=3),N(INDEX(Parameter!$I$5:$I$7,CB482)),0),0)</f>
        <v>0</v>
      </c>
      <c r="CL482" s="52" t="n">
        <f aca="false">IF(AND(Parameter!$B$21="Ja",ISNUMBER(W482),N(X482)&gt;0),IFERROR(N(INDEX(Parameter!$L$5:$L$7,W482))*INDEX(Parameter!$E$5:$E$7,W482)*X482/SUMIFS($X$7:$X$1843,$W$7:$W$1843,W482),0),0)</f>
        <v>0</v>
      </c>
    </row>
    <row r="483" customFormat="false" ht="15" hidden="false" customHeight="false" outlineLevel="0" collapsed="false">
      <c r="A483" s="48" t="s">
        <v>1076</v>
      </c>
      <c r="B483" s="48" t="s">
        <v>1077</v>
      </c>
      <c r="C483" s="48" t="s">
        <v>168</v>
      </c>
      <c r="D483" s="48" t="s">
        <v>177</v>
      </c>
      <c r="E483" s="48"/>
      <c r="F483" s="48" t="s">
        <v>222</v>
      </c>
      <c r="G483" s="49" t="n">
        <v>48</v>
      </c>
      <c r="H483" s="50" t="n">
        <f aca="false">MAX(0,IF(AND(Parameter!$B$21="Ja",ISNUMBER(Y483)),Y483,IF(Parameter!$B$20="Jahresanfang 2025 + Export",BO483+BN483,BN483)))</f>
        <v>4</v>
      </c>
      <c r="I483" s="50" t="n">
        <f aca="false">H483*G483</f>
        <v>192</v>
      </c>
      <c r="J483" s="50" t="n">
        <f aca="false">BQ483*Parameter!$B$18</f>
        <v>0</v>
      </c>
      <c r="K483" s="51" t="n">
        <v>3.5</v>
      </c>
      <c r="L483" s="52" t="n">
        <v>0</v>
      </c>
      <c r="M483" s="50" t="n">
        <v>0</v>
      </c>
      <c r="N483" s="50" t="n">
        <v>1</v>
      </c>
      <c r="O483" s="53" t="n">
        <v>21</v>
      </c>
      <c r="P483" s="48" t="s">
        <v>172</v>
      </c>
      <c r="Q483" s="50"/>
      <c r="R483" s="53" t="n">
        <f aca="false">IF(BW483=1,0,IFERROR(VLOOKUP(BU483,'Gebinde-Kategorie'!$A$5:$N$45,13,0)+0,0))</f>
        <v>12</v>
      </c>
      <c r="S483" s="54"/>
      <c r="T483" s="55" t="s">
        <v>183</v>
      </c>
      <c r="U483" s="55"/>
      <c r="V483" s="55"/>
      <c r="W483" s="48"/>
      <c r="X483" s="50"/>
      <c r="Y483" s="50"/>
      <c r="Z483" s="48" t="n">
        <f aca="false">IF(A483="","",IF(AND(Parameter!$B$21="Ja",ISNUMBER(W483)),W483,IF(BZ483="2+3",IF(ISNUMBER(SEARCH("grosser Artikel",BR483)),2,IFERROR(VLOOKUP(BU483,Parameter!$F$35:$G$64,2,0),2)),IF(OR(BZ483="Nein",BZ483=""),"-",BZ483))))</f>
        <v>2</v>
      </c>
      <c r="AA483" s="55"/>
      <c r="AB483" s="56"/>
      <c r="AC483" s="50" t="n">
        <f aca="false">AT483</f>
        <v>4</v>
      </c>
      <c r="AD483" s="50" t="n">
        <f aca="false">MAX(AT483,H483)</f>
        <v>4</v>
      </c>
      <c r="AE483" s="57"/>
      <c r="AF483" s="50" t="n">
        <f aca="false">IF(LEFT(Cockpit!$C$5,1)="A",H483,IF(CE483=1,CF483,IF(LEFT(Cockpit!$C$5,1)="B",AK483,MAX(AK483,H483))))</f>
        <v>4</v>
      </c>
      <c r="AG483" s="50" t="n">
        <f aca="false">IF(BW483=1,0,ROUNDUP(AF483/BV483,0))</f>
        <v>1</v>
      </c>
      <c r="AH483" s="52" t="n">
        <f aca="false">IF(CL483&gt;0,CL483*MAX(1,AF483/X483),IF(BW483=1,IF(AF483&lt;=0,0,CA483*MAX(1,IF(H483&gt;0,AF483/H483,1))),IF(R483&gt;0,AG483/R483,0))/MAX(0.1,N(Parameter!$M$21)))</f>
        <v>0.0833333333333333</v>
      </c>
      <c r="AI483" s="50" t="n">
        <f aca="false">AH483*BY483</f>
        <v>12.0833333333333</v>
      </c>
      <c r="AJ483" s="50" t="n">
        <f aca="false">AF483*G483</f>
        <v>192</v>
      </c>
      <c r="AK483" s="50" t="n">
        <f aca="false">ROUNDUP(MAX(J483/IF(CD483&gt;0,CD483,MAX(0.1,N(Cockpit!$C$6))),CG483)/BV483,0)*BV483</f>
        <v>4</v>
      </c>
      <c r="AL483" s="51" t="n">
        <f aca="false">IF(AI483&gt;0,J483/AI483,-1)</f>
        <v>0</v>
      </c>
      <c r="AM483" s="51" t="n">
        <f aca="false">IF(AND(OR(CC483="L1",CC483="L23",CC483="LIFT"),AI483&gt;0),SUMIFS($AI$7:$AI$1843,$CC$7:$CC$1843,CC483,$AL$7:$AL$1843,"&gt;"&amp;AL483)+SUMIFS($AI$7:$AI$1843,$CC$7:$CC$1843,CC483,$AL$7:$AL$1843,AL483,$BT$7:$BT$1843,"&lt;="&amp;BT483),"")</f>
        <v>28236.0152780365</v>
      </c>
      <c r="AN483" s="58" t="n">
        <f aca="false">IF(AM483="",0,MAX(0,MIN(1,(IF(CC483="L1",Parameter!$H$5,IF(CC483="L23",Parameter!$H$6+Parameter!$H$7,Parameter!$H$5+Parameter!$H$6+Parameter!$H$7))-(AM483-AI483))/AI483)))</f>
        <v>1</v>
      </c>
      <c r="AO483" s="50" t="n">
        <f aca="false">IF(LEFT(Cockpit!$I$5,1)="A",H483,IF(CE483=1,CF483,IF(LEFT(Cockpit!$I$5,1)="B",AT483,MAX(AT483,H483))))</f>
        <v>4</v>
      </c>
      <c r="AP483" s="50" t="n">
        <f aca="false">IF(BW483=1,0,ROUNDUP(AO483/BV483,0))</f>
        <v>1</v>
      </c>
      <c r="AQ483" s="52" t="n">
        <f aca="false">IF(CL483&gt;0,CL483*MAX(1,AO483/X483),IF(BW483=1,IF(AO483&lt;=0,0,CA483*MAX(1,IF(H483&gt;0,AO483/H483,1))),IF(R483&gt;0,AP483/R483,0))/MAX(0.1,N(Parameter!$M$21)))</f>
        <v>0.0833333333333333</v>
      </c>
      <c r="AR483" s="50" t="n">
        <f aca="false">AQ483*BY483</f>
        <v>12.0833333333333</v>
      </c>
      <c r="AS483" s="50" t="n">
        <f aca="false">AO483*G483</f>
        <v>192</v>
      </c>
      <c r="AT483" s="50" t="n">
        <f aca="false">ROUNDUP(MAX(J483/IF(CD483&gt;0,CD483,MAX(0.1,N(Cockpit!$I$6))),CG483)/BV483,0)*BV483</f>
        <v>4</v>
      </c>
      <c r="AU483" s="51" t="n">
        <f aca="false">IF(AR483&gt;0,J483/AR483,-1)</f>
        <v>0</v>
      </c>
      <c r="AV483" s="51" t="n">
        <f aca="false">IF(AND(OR(CC483="L1",CC483="L23",CC483="LIFT"),AR483&gt;0),SUMIFS($AR$7:$AR$1843,$CC$7:$CC$1843,CC483,$AU$7:$AU$1843,"&gt;"&amp;AU483)+SUMIFS($AR$7:$AR$1843,$CC$7:$CC$1843,CC483,$AU$7:$AU$1843,AU483,$BT$7:$BT$1843,"&lt;="&amp;BT483),"")</f>
        <v>39548.9207953064</v>
      </c>
      <c r="AW483" s="58" t="n">
        <f aca="false">IF(AV483="",0,MAX(0,MIN(1,(IF(CC483="L1",Parameter!$H$5,IF(CC483="L23",Parameter!$H$6+Parameter!$H$7,Parameter!$H$5+Parameter!$H$6+Parameter!$H$7))-(AV483-AR483))/AR483)))</f>
        <v>0</v>
      </c>
      <c r="AX483" s="50" t="n">
        <f aca="false">IF(LEFT(Cockpit!$O$5,1)="A",H483,IF(CE483=1,CF483,IF(LEFT(Cockpit!$O$5,1)="B",BC483,MAX(BC483,H483))))</f>
        <v>4</v>
      </c>
      <c r="AY483" s="50" t="n">
        <f aca="false">IF(BW483=1,0,ROUNDUP(AX483/BV483,0))</f>
        <v>1</v>
      </c>
      <c r="AZ483" s="52" t="n">
        <f aca="false">IF(CL483&gt;0,CL483*MAX(1,AX483/X483),IF(BW483=1,IF(AX483&lt;=0,0,CA483*MAX(1,IF(H483&gt;0,AX483/H483,1))),IF(R483&gt;0,AY483/R483,0))/MAX(0.1,N(Parameter!$M$21)))</f>
        <v>0.0833333333333333</v>
      </c>
      <c r="BA483" s="50" t="n">
        <f aca="false">AZ483*BY483</f>
        <v>12.0833333333333</v>
      </c>
      <c r="BB483" s="50" t="n">
        <f aca="false">AX483*G483</f>
        <v>192</v>
      </c>
      <c r="BC483" s="50" t="n">
        <f aca="false">ROUNDUP(MAX(J483/IF(CD483&gt;0,CD483,MAX(0.1,N(Cockpit!$O$6))),CG483)/BV483,0)*BV483</f>
        <v>4</v>
      </c>
      <c r="BD483" s="51" t="n">
        <f aca="false">IF(BA483&gt;0,J483/BA483,-1)</f>
        <v>0</v>
      </c>
      <c r="BE483" s="51" t="n">
        <f aca="false">IF(AND(OR(CC483="L1",CC483="L23",CC483="LIFT"),BA483&gt;0),SUMIFS($BA$7:$BA$1843,$CC$7:$CC$1843,CC483,$BD$7:$BD$1843,"&gt;"&amp;BD483)+SUMIFS($BA$7:$BA$1843,$CC$7:$CC$1843,CC483,$BD$7:$BD$1843,BD483,$BT$7:$BT$1843,"&lt;="&amp;BT483),"")</f>
        <v>36223.9328371722</v>
      </c>
      <c r="BF483" s="58" t="n">
        <f aca="false">IF(BE483="",0,MAX(0,MIN(1,(IF(CC483="L1",Parameter!$H$5,IF(CC483="L23",Parameter!$H$6+Parameter!$H$7,Parameter!$H$5+Parameter!$H$6+Parameter!$H$7))-(BE483-BA483))/BA483)))</f>
        <v>0</v>
      </c>
      <c r="BG483" s="48" t="str">
        <f aca="false">IF(AI483&lt;=0,"",IF(CC483="Aussen","Aussenlager",IF(CC483="-","Nicht im Lift",IF(AN483&gt;=1,"Lift",IF(AN483&lt;=0,"Aussenlager","teilweise")))))</f>
        <v>Lift</v>
      </c>
      <c r="BH483" s="48" t="str">
        <f aca="false">IF(AR483&lt;=0,"",IF(CC483="Aussen","Aussenlager",IF(CC483="-","Nicht im Lift",IF(AW483&gt;=1,"Lift",IF(AW483&lt;=0,"Aussenlager","teilweise")))))</f>
        <v>Aussenlager</v>
      </c>
      <c r="BI483" s="48" t="str">
        <f aca="false">IF(BA483&lt;=0,"",IF(CC483="Aussen","Aussenlager",IF(CC483="-","Nicht im Lift",IF(BF483&gt;=1,"Lift",IF(BF483&lt;=0,"Aussenlager","teilweise")))))</f>
        <v>Aussenlager</v>
      </c>
      <c r="BJ483" s="48" t="str">
        <f aca="false">IF(A483="","",IF(BS483=1,"Neu; ","")&amp;IF(AND(BS483=0,BN483&lt;0),"negativer Bestand (Export "&amp;BN483&amp;"); ","")&amp;IF(J483&lt;=0,"Kein Verbrauch; ","")&amp;IF(CL483&gt;0,"Lift "&amp;W483&amp;" lt. Liftbericht (Fach "&amp;X483&amp;" Stk); ",IF(BX483=1,"Gebinde geschätzt ("&amp;T483&amp;"); ",IF(BW483=1,"Lose – Tablare geschätzt; ","")))&amp;IF(H483&gt;AT483,"Überbestand "&amp;ROUND(H483-AT483,0)&amp;" Stk / CHF "&amp;ROUND((H483-AT483)*G483,0)&amp;"; ","")&amp;IF(AND(CE483=1,CF483&lt;CG483),"MAX &lt; MB+LG; ","")&amp;IF(AND(CK483&gt;0,CJ483*10&gt;CK483),"zu hoch für Tablar; ","")&amp;IF(AND(BS483=0,OR(CE483=1,AA483&lt;&gt;"",U483&lt;&gt;"",V483&lt;&gt;"",AB483&lt;&gt;"")),"manuell übersteuert; ","")&amp;IF(AND(BW483=0,R483=0),"Gebinde unbekannt / Stellmass fehlt; ","")&amp;IF(AND(BW483=0,N(V483)&lt;=0,N(Q483)&lt;=0),"Menge pro Gebinde fehlt (Ist = 1 Gebinde); ","")&amp;BR483)</f>
        <v>Kein Verbrauch; Gebinde geschätzt (Mittel); Menge pro Gebinde fehlt (Ist = 1 Gebinde); </v>
      </c>
      <c r="BK483" s="48"/>
      <c r="BL483" s="48"/>
      <c r="BM483" s="55"/>
      <c r="BN483" s="50" t="n">
        <v>1</v>
      </c>
      <c r="BO483" s="50" t="n">
        <v>3</v>
      </c>
      <c r="BP483" s="49" t="n">
        <v>48</v>
      </c>
      <c r="BQ483" s="50" t="n">
        <v>0</v>
      </c>
      <c r="BR483" s="48"/>
      <c r="BS483" s="53" t="n">
        <v>0</v>
      </c>
      <c r="BT483" s="53" t="n">
        <v>483</v>
      </c>
      <c r="BU483" s="48" t="str">
        <f aca="false">IF(U483&lt;&gt;"",UPPER(TRIM(U483)),IF(BX483=1,UPPER(VLOOKUP(T483,Parameter!$I$27:$K$29,2,0)),IF(P483="","LOSE",P483)))</f>
        <v>S61</v>
      </c>
      <c r="BV483" s="50" t="n">
        <f aca="false">IF(BU483="LOSE",1,IF(N(V483)&gt;0,V483,IF(BX483=1,MAX(1,N(VLOOKUP(T483,Parameter!$I$27:$K$29,3,0)),H483,N(N483)),IF(N(Q483)&gt;0,Q483,MAX(1,H483)))))</f>
        <v>4</v>
      </c>
      <c r="BW483" s="53" t="n">
        <f aca="false">IF(BU483="LOSE",1,0)</f>
        <v>0</v>
      </c>
      <c r="BX483" s="53" t="n">
        <f aca="false">IF(AND(U483="",OR(P483="",P483="LOSE"),T483&lt;&gt;"",N(S483)&lt;=0,ISNUMBER(MATCH(T483,Parameter!$I$27:$I$29,0))),1,0)</f>
        <v>1</v>
      </c>
      <c r="BY483" s="53" t="n">
        <f aca="false">IF(CL483&gt;0,INDEX(Parameter!$H$5:$H$7,W483)/INDEX(Parameter!$E$5:$E$7,W483),IF(AND(BW483=0,N(IFERROR(VLOOKUP(BU483,'Gebinde-Kategorie'!$A$5:$N$45,14,0),0))&gt;0),VLOOKUP(BU483,'Gebinde-Kategorie'!$A$5:$N$45,14,0)*10+Parameter!$M$23,Parameter!$M$24))</f>
        <v>145</v>
      </c>
      <c r="BZ483" s="48" t="str">
        <f aca="false">IF(AND(Parameter!$B$19="Ja",E483&lt;&gt;"",ISNUMBER(MATCH(E483,Parameter!$I$35:$I$52,0))),VLOOKUP(E483,Parameter!$I$35:$J$52,2,0),IFERROR(VLOOKUP(D483,Parameter!$A$35:$C$64,2,0),"Nein"))</f>
        <v>2+3</v>
      </c>
      <c r="CA483" s="52" t="n">
        <f aca="false">IF(BW483=0,0,IF(N(S483)&gt;0,S483,IFERROR(VLOOKUP(D483,Parameter!$A$35:$C$64,3,0)+0,0)))</f>
        <v>0</v>
      </c>
      <c r="CB483" s="48" t="n">
        <f aca="false">IF(AA483&lt;&gt;"",AA483,Z483)</f>
        <v>2</v>
      </c>
      <c r="CC483" s="48" t="str">
        <f aca="false">IF(OR(CB483=1,CB483=2,CB483=3),IF(Parameter!$E$27="Ja","LIFT",IF(CB483=1,"L1","L23")),IF(CB483="Aussen","Aussen","-"))</f>
        <v>LIFT</v>
      </c>
      <c r="CD483" s="59" t="n">
        <f aca="false">IF(N(AB483)&gt;0,AB483,0)</f>
        <v>0</v>
      </c>
      <c r="CE483" s="53" t="n">
        <f aca="false">IF(ISNUMBER(AE483),1,0)</f>
        <v>0</v>
      </c>
      <c r="CF483" s="50" t="n">
        <f aca="false">N(AE483)</f>
        <v>0</v>
      </c>
      <c r="CG483" s="50" t="n">
        <f aca="false">N(M483)+N(N483)</f>
        <v>1</v>
      </c>
      <c r="CH483" s="50" t="n">
        <f aca="false">ROUNDUP(H483/BV483,0)</f>
        <v>1</v>
      </c>
      <c r="CI483" s="50" t="n">
        <f aca="false">ROUNDUP(CF483/BV483,0)</f>
        <v>0</v>
      </c>
      <c r="CJ483" s="53" t="n">
        <f aca="false">IF(BW483=1,0,IFERROR(VLOOKUP(BU483,'Gebinde-Kategorie'!$A$5:$N$45,5,0)+0,0))</f>
        <v>11</v>
      </c>
      <c r="CK483" s="53" t="n">
        <f aca="false">IFERROR(IF(OR(CB483=1,CB483=2,CB483=3),N(INDEX(Parameter!$I$5:$I$7,CB483)),0),0)</f>
        <v>0</v>
      </c>
      <c r="CL483" s="52" t="n">
        <f aca="false">IF(AND(Parameter!$B$21="Ja",ISNUMBER(W483),N(X483)&gt;0),IFERROR(N(INDEX(Parameter!$L$5:$L$7,W483))*INDEX(Parameter!$E$5:$E$7,W483)*X483/SUMIFS($X$7:$X$1843,$W$7:$W$1843,W483),0),0)</f>
        <v>0</v>
      </c>
    </row>
    <row r="484" customFormat="false" ht="15" hidden="false" customHeight="false" outlineLevel="0" collapsed="false">
      <c r="A484" s="48" t="s">
        <v>1078</v>
      </c>
      <c r="B484" s="48" t="s">
        <v>723</v>
      </c>
      <c r="C484" s="48" t="s">
        <v>168</v>
      </c>
      <c r="D484" s="48" t="s">
        <v>188</v>
      </c>
      <c r="E484" s="48"/>
      <c r="F484" s="48" t="s">
        <v>222</v>
      </c>
      <c r="G484" s="49" t="n">
        <v>9.11</v>
      </c>
      <c r="H484" s="50" t="n">
        <f aca="false">MAX(0,IF(AND(Parameter!$B$21="Ja",ISNUMBER(Y484)),Y484,IF(Parameter!$B$20="Jahresanfang 2025 + Export",BO484+BN484,BN484)))</f>
        <v>5</v>
      </c>
      <c r="I484" s="50" t="n">
        <f aca="false">H484*G484</f>
        <v>45.55</v>
      </c>
      <c r="J484" s="50" t="n">
        <f aca="false">BQ484*Parameter!$B$18</f>
        <v>15</v>
      </c>
      <c r="K484" s="51" t="n">
        <v>2.5</v>
      </c>
      <c r="L484" s="52" t="n">
        <v>6</v>
      </c>
      <c r="M484" s="50" t="n">
        <v>1</v>
      </c>
      <c r="N484" s="50" t="n">
        <v>15</v>
      </c>
      <c r="O484" s="53" t="n">
        <v>28</v>
      </c>
      <c r="P484" s="48" t="s">
        <v>332</v>
      </c>
      <c r="Q484" s="50" t="n">
        <v>10</v>
      </c>
      <c r="R484" s="53" t="n">
        <f aca="false">IF(BW484=1,0,IFERROR(VLOOKUP(BU484,'Gebinde-Kategorie'!$A$5:$N$45,13,0)+0,0))</f>
        <v>52</v>
      </c>
      <c r="S484" s="54"/>
      <c r="T484" s="55"/>
      <c r="U484" s="55"/>
      <c r="V484" s="55"/>
      <c r="W484" s="48"/>
      <c r="X484" s="50"/>
      <c r="Y484" s="50"/>
      <c r="Z484" s="48" t="n">
        <f aca="false">IF(A484="","",IF(AND(Parameter!$B$21="Ja",ISNUMBER(W484)),W484,IF(BZ484="2+3",IF(ISNUMBER(SEARCH("grosser Artikel",BR484)),2,IFERROR(VLOOKUP(BU484,Parameter!$F$35:$G$64,2,0),2)),IF(OR(BZ484="Nein",BZ484=""),"-",BZ484))))</f>
        <v>3</v>
      </c>
      <c r="AA484" s="55"/>
      <c r="AB484" s="56"/>
      <c r="AC484" s="50" t="n">
        <f aca="false">AT484</f>
        <v>20</v>
      </c>
      <c r="AD484" s="50" t="n">
        <f aca="false">MAX(AT484,H484)</f>
        <v>20</v>
      </c>
      <c r="AE484" s="57"/>
      <c r="AF484" s="50" t="n">
        <f aca="false">IF(LEFT(Cockpit!$C$5,1)="A",H484,IF(CE484=1,CF484,IF(LEFT(Cockpit!$C$5,1)="B",AK484,MAX(AK484,H484))))</f>
        <v>5</v>
      </c>
      <c r="AG484" s="50" t="n">
        <f aca="false">IF(BW484=1,0,ROUNDUP(AF484/BV484,0))</f>
        <v>1</v>
      </c>
      <c r="AH484" s="52" t="n">
        <f aca="false">IF(CL484&gt;0,CL484*MAX(1,AF484/X484),IF(BW484=1,IF(AF484&lt;=0,0,CA484*MAX(1,IF(H484&gt;0,AF484/H484,1))),IF(R484&gt;0,AG484/R484,0))/MAX(0.1,N(Parameter!$M$21)))</f>
        <v>0.0192307692307692</v>
      </c>
      <c r="AI484" s="50" t="n">
        <f aca="false">AH484*BY484</f>
        <v>2.98076923076923</v>
      </c>
      <c r="AJ484" s="50" t="n">
        <f aca="false">AF484*G484</f>
        <v>45.55</v>
      </c>
      <c r="AK484" s="50" t="n">
        <f aca="false">ROUNDUP(MAX(J484/IF(CD484&gt;0,CD484,MAX(0.1,N(Cockpit!$C$6))),CG484)/BV484,0)*BV484</f>
        <v>20</v>
      </c>
      <c r="AL484" s="51" t="n">
        <f aca="false">IF(AI484&gt;0,J484/AI484,-1)</f>
        <v>5.03225806451613</v>
      </c>
      <c r="AM484" s="51" t="n">
        <f aca="false">IF(AND(OR(CC484="L1",CC484="L23",CC484="LIFT"),AI484&gt;0),SUMIFS($AI$7:$AI$1843,$CC$7:$CC$1843,CC484,$AL$7:$AL$1843,"&gt;"&amp;AL484)+SUMIFS($AI$7:$AI$1843,$CC$7:$CC$1843,CC484,$AL$7:$AL$1843,AL484,$BT$7:$BT$1843,"&lt;="&amp;BT484),"")</f>
        <v>3888.12408424908</v>
      </c>
      <c r="AN484" s="58" t="n">
        <f aca="false">IF(AM484="",0,MAX(0,MIN(1,(IF(CC484="L1",Parameter!$H$5,IF(CC484="L23",Parameter!$H$6+Parameter!$H$7,Parameter!$H$5+Parameter!$H$6+Parameter!$H$7))-(AM484-AI484))/AI484)))</f>
        <v>1</v>
      </c>
      <c r="AO484" s="50" t="n">
        <f aca="false">IF(LEFT(Cockpit!$I$5,1)="A",H484,IF(CE484=1,CF484,IF(LEFT(Cockpit!$I$5,1)="B",AT484,MAX(AT484,H484))))</f>
        <v>20</v>
      </c>
      <c r="AP484" s="50" t="n">
        <f aca="false">IF(BW484=1,0,ROUNDUP(AO484/BV484,0))</f>
        <v>2</v>
      </c>
      <c r="AQ484" s="52" t="n">
        <f aca="false">IF(CL484&gt;0,CL484*MAX(1,AO484/X484),IF(BW484=1,IF(AO484&lt;=0,0,CA484*MAX(1,IF(H484&gt;0,AO484/H484,1))),IF(R484&gt;0,AP484/R484,0))/MAX(0.1,N(Parameter!$M$21)))</f>
        <v>0.0384615384615385</v>
      </c>
      <c r="AR484" s="50" t="n">
        <f aca="false">AQ484*BY484</f>
        <v>5.96153846153846</v>
      </c>
      <c r="AS484" s="50" t="n">
        <f aca="false">AO484*G484</f>
        <v>182.2</v>
      </c>
      <c r="AT484" s="50" t="n">
        <f aca="false">ROUNDUP(MAX(J484/IF(CD484&gt;0,CD484,MAX(0.1,N(Cockpit!$I$6))),CG484)/BV484,0)*BV484</f>
        <v>20</v>
      </c>
      <c r="AU484" s="51" t="n">
        <f aca="false">IF(AR484&gt;0,J484/AR484,-1)</f>
        <v>2.51612903225806</v>
      </c>
      <c r="AV484" s="51" t="n">
        <f aca="false">IF(AND(OR(CC484="L1",CC484="L23",CC484="LIFT"),AR484&gt;0),SUMIFS($AR$7:$AR$1843,$CC$7:$CC$1843,CC484,$AU$7:$AU$1843,"&gt;"&amp;AU484)+SUMIFS($AR$7:$AR$1843,$CC$7:$CC$1843,CC484,$AU$7:$AU$1843,AU484,$BT$7:$BT$1843,"&lt;="&amp;BT484),"")</f>
        <v>6751.33928571429</v>
      </c>
      <c r="AW484" s="58" t="n">
        <f aca="false">IF(AV484="",0,MAX(0,MIN(1,(IF(CC484="L1",Parameter!$H$5,IF(CC484="L23",Parameter!$H$6+Parameter!$H$7,Parameter!$H$5+Parameter!$H$6+Parameter!$H$7))-(AV484-AR484))/AR484)))</f>
        <v>1</v>
      </c>
      <c r="AX484" s="50" t="n">
        <f aca="false">IF(LEFT(Cockpit!$O$5,1)="A",H484,IF(CE484=1,CF484,IF(LEFT(Cockpit!$O$5,1)="B",BC484,MAX(BC484,H484))))</f>
        <v>20</v>
      </c>
      <c r="AY484" s="50" t="n">
        <f aca="false">IF(BW484=1,0,ROUNDUP(AX484/BV484,0))</f>
        <v>2</v>
      </c>
      <c r="AZ484" s="52" t="n">
        <f aca="false">IF(CL484&gt;0,CL484*MAX(1,AX484/X484),IF(BW484=1,IF(AX484&lt;=0,0,CA484*MAX(1,IF(H484&gt;0,AX484/H484,1))),IF(R484&gt;0,AY484/R484,0))/MAX(0.1,N(Parameter!$M$21)))</f>
        <v>0.0384615384615385</v>
      </c>
      <c r="BA484" s="50" t="n">
        <f aca="false">AZ484*BY484</f>
        <v>5.96153846153846</v>
      </c>
      <c r="BB484" s="50" t="n">
        <f aca="false">AX484*G484</f>
        <v>182.2</v>
      </c>
      <c r="BC484" s="50" t="n">
        <f aca="false">ROUNDUP(MAX(J484/IF(CD484&gt;0,CD484,MAX(0.1,N(Cockpit!$O$6))),CG484)/BV484,0)*BV484</f>
        <v>20</v>
      </c>
      <c r="BD484" s="51" t="n">
        <f aca="false">IF(BA484&gt;0,J484/BA484,-1)</f>
        <v>2.51612903225806</v>
      </c>
      <c r="BE484" s="51" t="n">
        <f aca="false">IF(AND(OR(CC484="L1",CC484="L23",CC484="LIFT"),BA484&gt;0),SUMIFS($BA$7:$BA$1843,$CC$7:$CC$1843,CC484,$BD$7:$BD$1843,"&gt;"&amp;BD484)+SUMIFS($BA$7:$BA$1843,$CC$7:$CC$1843,CC484,$BD$7:$BD$1843,BD484,$BT$7:$BT$1843,"&lt;="&amp;BT484),"")</f>
        <v>6534.49633699634</v>
      </c>
      <c r="BF484" s="58" t="n">
        <f aca="false">IF(BE484="",0,MAX(0,MIN(1,(IF(CC484="L1",Parameter!$H$5,IF(CC484="L23",Parameter!$H$6+Parameter!$H$7,Parameter!$H$5+Parameter!$H$6+Parameter!$H$7))-(BE484-BA484))/BA484)))</f>
        <v>1</v>
      </c>
      <c r="BG484" s="48" t="str">
        <f aca="false">IF(AI484&lt;=0,"",IF(CC484="Aussen","Aussenlager",IF(CC484="-","Nicht im Lift",IF(AN484&gt;=1,"Lift",IF(AN484&lt;=0,"Aussenlager","teilweise")))))</f>
        <v>Lift</v>
      </c>
      <c r="BH484" s="48" t="str">
        <f aca="false">IF(AR484&lt;=0,"",IF(CC484="Aussen","Aussenlager",IF(CC484="-","Nicht im Lift",IF(AW484&gt;=1,"Lift",IF(AW484&lt;=0,"Aussenlager","teilweise")))))</f>
        <v>Lift</v>
      </c>
      <c r="BI484" s="48" t="str">
        <f aca="false">IF(BA484&lt;=0,"",IF(CC484="Aussen","Aussenlager",IF(CC484="-","Nicht im Lift",IF(BF484&gt;=1,"Lift",IF(BF484&lt;=0,"Aussenlager","teilweise")))))</f>
        <v>Lift</v>
      </c>
      <c r="BJ484" s="48" t="str">
        <f aca="false">IF(A484="","",IF(BS484=1,"Neu; ","")&amp;IF(AND(BS484=0,BN484&lt;0),"negativer Bestand (Export "&amp;BN484&amp;"); ","")&amp;IF(J484&lt;=0,"Kein Verbrauch; ","")&amp;IF(CL484&gt;0,"Lift "&amp;W484&amp;" lt. Liftbericht (Fach "&amp;X484&amp;" Stk); ",IF(BX484=1,"Gebinde geschätzt ("&amp;T484&amp;"); ",IF(BW484=1,"Lose – Tablare geschätzt; ","")))&amp;IF(H484&gt;AT484,"Überbestand "&amp;ROUND(H484-AT484,0)&amp;" Stk / CHF "&amp;ROUND((H484-AT484)*G484,0)&amp;"; ","")&amp;IF(AND(CE484=1,CF484&lt;CG484),"MAX &lt; MB+LG; ","")&amp;IF(AND(CK484&gt;0,CJ484*10&gt;CK484),"zu hoch für Tablar; ","")&amp;IF(AND(BS484=0,OR(CE484=1,AA484&lt;&gt;"",U484&lt;&gt;"",V484&lt;&gt;"",AB484&lt;&gt;"")),"manuell übersteuert; ","")&amp;IF(AND(BW484=0,R484=0),"Gebinde unbekannt / Stellmass fehlt; ","")&amp;IF(AND(BW484=0,N(V484)&lt;=0,N(Q484)&lt;=0),"Menge pro Gebinde fehlt (Ist = 1 Gebinde); ","")&amp;BR484)</f>
        <v/>
      </c>
      <c r="BK484" s="48"/>
      <c r="BL484" s="48"/>
      <c r="BM484" s="55"/>
      <c r="BN484" s="50" t="n">
        <v>5</v>
      </c>
      <c r="BO484" s="50" t="n">
        <v>0</v>
      </c>
      <c r="BP484" s="49" t="n">
        <v>45.55</v>
      </c>
      <c r="BQ484" s="50" t="n">
        <v>15</v>
      </c>
      <c r="BR484" s="48"/>
      <c r="BS484" s="53" t="n">
        <v>0</v>
      </c>
      <c r="BT484" s="53" t="n">
        <v>484</v>
      </c>
      <c r="BU484" s="48" t="str">
        <f aca="false">IF(U484&lt;&gt;"",UPPER(TRIM(U484)),IF(BX484=1,UPPER(VLOOKUP(T484,Parameter!$I$27:$K$29,2,0)),IF(P484="","LOSE",P484)))</f>
        <v>S41</v>
      </c>
      <c r="BV484" s="50" t="n">
        <f aca="false">IF(BU484="LOSE",1,IF(N(V484)&gt;0,V484,IF(BX484=1,MAX(1,N(VLOOKUP(T484,Parameter!$I$27:$K$29,3,0)),H484,N(N484)),IF(N(Q484)&gt;0,Q484,MAX(1,H484)))))</f>
        <v>10</v>
      </c>
      <c r="BW484" s="53" t="n">
        <f aca="false">IF(BU484="LOSE",1,0)</f>
        <v>0</v>
      </c>
      <c r="BX484" s="53" t="n">
        <f aca="false">IF(AND(U484="",OR(P484="",P484="LOSE"),T484&lt;&gt;"",N(S484)&lt;=0,ISNUMBER(MATCH(T484,Parameter!$I$27:$I$29,0))),1,0)</f>
        <v>0</v>
      </c>
      <c r="BY484" s="53" t="n">
        <f aca="false">IF(CL484&gt;0,INDEX(Parameter!$H$5:$H$7,W484)/INDEX(Parameter!$E$5:$E$7,W484),IF(AND(BW484=0,N(IFERROR(VLOOKUP(BU484,'Gebinde-Kategorie'!$A$5:$N$45,14,0),0))&gt;0),VLOOKUP(BU484,'Gebinde-Kategorie'!$A$5:$N$45,14,0)*10+Parameter!$M$23,Parameter!$M$24))</f>
        <v>155</v>
      </c>
      <c r="BZ484" s="48" t="str">
        <f aca="false">IF(AND(Parameter!$B$19="Ja",E484&lt;&gt;"",ISNUMBER(MATCH(E484,Parameter!$I$35:$I$52,0))),VLOOKUP(E484,Parameter!$I$35:$J$52,2,0),IFERROR(VLOOKUP(D484,Parameter!$A$35:$C$64,2,0),"Nein"))</f>
        <v>2+3</v>
      </c>
      <c r="CA484" s="52" t="n">
        <f aca="false">IF(BW484=0,0,IF(N(S484)&gt;0,S484,IFERROR(VLOOKUP(D484,Parameter!$A$35:$C$64,3,0)+0,0)))</f>
        <v>0</v>
      </c>
      <c r="CB484" s="48" t="n">
        <f aca="false">IF(AA484&lt;&gt;"",AA484,Z484)</f>
        <v>3</v>
      </c>
      <c r="CC484" s="48" t="str">
        <f aca="false">IF(OR(CB484=1,CB484=2,CB484=3),IF(Parameter!$E$27="Ja","LIFT",IF(CB484=1,"L1","L23")),IF(CB484="Aussen","Aussen","-"))</f>
        <v>LIFT</v>
      </c>
      <c r="CD484" s="59" t="n">
        <f aca="false">IF(N(AB484)&gt;0,AB484,0)</f>
        <v>0</v>
      </c>
      <c r="CE484" s="53" t="n">
        <f aca="false">IF(ISNUMBER(AE484),1,0)</f>
        <v>0</v>
      </c>
      <c r="CF484" s="50" t="n">
        <f aca="false">N(AE484)</f>
        <v>0</v>
      </c>
      <c r="CG484" s="50" t="n">
        <f aca="false">N(M484)+N(N484)</f>
        <v>16</v>
      </c>
      <c r="CH484" s="50" t="n">
        <f aca="false">ROUNDUP(H484/BV484,0)</f>
        <v>1</v>
      </c>
      <c r="CI484" s="50" t="n">
        <f aca="false">ROUNDUP(CF484/BV484,0)</f>
        <v>0</v>
      </c>
      <c r="CJ484" s="53" t="n">
        <f aca="false">IF(BW484=1,0,IFERROR(VLOOKUP(BU484,'Gebinde-Kategorie'!$A$5:$N$45,5,0)+0,0))</f>
        <v>11</v>
      </c>
      <c r="CK484" s="53" t="n">
        <f aca="false">IFERROR(IF(OR(CB484=1,CB484=2,CB484=3),N(INDEX(Parameter!$I$5:$I$7,CB484)),0),0)</f>
        <v>0</v>
      </c>
      <c r="CL484" s="52" t="n">
        <f aca="false">IF(AND(Parameter!$B$21="Ja",ISNUMBER(W484),N(X484)&gt;0),IFERROR(N(INDEX(Parameter!$L$5:$L$7,W484))*INDEX(Parameter!$E$5:$E$7,W484)*X484/SUMIFS($X$7:$X$1843,$W$7:$W$1843,W484),0),0)</f>
        <v>0</v>
      </c>
    </row>
    <row r="485" customFormat="false" ht="15" hidden="false" customHeight="false" outlineLevel="0" collapsed="false">
      <c r="A485" s="48" t="s">
        <v>1079</v>
      </c>
      <c r="B485" s="48" t="s">
        <v>1080</v>
      </c>
      <c r="C485" s="48" t="s">
        <v>168</v>
      </c>
      <c r="D485" s="48" t="s">
        <v>188</v>
      </c>
      <c r="E485" s="48" t="s">
        <v>189</v>
      </c>
      <c r="F485" s="48" t="s">
        <v>222</v>
      </c>
      <c r="G485" s="49" t="n">
        <v>0.66</v>
      </c>
      <c r="H485" s="50" t="n">
        <f aca="false">MAX(0,IF(AND(Parameter!$B$21="Ja",ISNUMBER(Y485)),Y485,IF(Parameter!$B$20="Jahresanfang 2025 + Export",BO485+BN485,BN485)))</f>
        <v>253</v>
      </c>
      <c r="I485" s="50" t="n">
        <f aca="false">H485*G485</f>
        <v>166.98</v>
      </c>
      <c r="J485" s="50" t="n">
        <f aca="false">BQ485*Parameter!$B$18</f>
        <v>37</v>
      </c>
      <c r="K485" s="51" t="n">
        <v>110.5</v>
      </c>
      <c r="L485" s="52" t="n">
        <v>0.334841628959276</v>
      </c>
      <c r="M485" s="50" t="n">
        <v>1</v>
      </c>
      <c r="N485" s="50" t="n">
        <v>35</v>
      </c>
      <c r="O485" s="53" t="n">
        <v>14</v>
      </c>
      <c r="P485" s="48" t="s">
        <v>425</v>
      </c>
      <c r="Q485" s="50" t="n">
        <v>94</v>
      </c>
      <c r="R485" s="53" t="n">
        <f aca="false">IF(BW485=1,0,IFERROR(VLOOKUP(BU485,'Gebinde-Kategorie'!$A$5:$N$45,13,0)+0,0))</f>
        <v>104</v>
      </c>
      <c r="S485" s="54"/>
      <c r="T485" s="55"/>
      <c r="U485" s="55"/>
      <c r="V485" s="55"/>
      <c r="W485" s="48"/>
      <c r="X485" s="50"/>
      <c r="Y485" s="50"/>
      <c r="Z485" s="48" t="n">
        <f aca="false">IF(A485="","",IF(AND(Parameter!$B$21="Ja",ISNUMBER(W485)),W485,IF(BZ485="2+3",IF(ISNUMBER(SEARCH("grosser Artikel",BR485)),2,IFERROR(VLOOKUP(BU485,Parameter!$F$35:$G$64,2,0),2)),IF(OR(BZ485="Nein",BZ485=""),"-",BZ485))))</f>
        <v>3</v>
      </c>
      <c r="AA485" s="55"/>
      <c r="AB485" s="56"/>
      <c r="AC485" s="50" t="n">
        <f aca="false">AT485</f>
        <v>94</v>
      </c>
      <c r="AD485" s="50" t="n">
        <f aca="false">MAX(AT485,H485)</f>
        <v>253</v>
      </c>
      <c r="AE485" s="57"/>
      <c r="AF485" s="50" t="n">
        <f aca="false">IF(LEFT(Cockpit!$C$5,1)="A",H485,IF(CE485=1,CF485,IF(LEFT(Cockpit!$C$5,1)="B",AK485,MAX(AK485,H485))))</f>
        <v>253</v>
      </c>
      <c r="AG485" s="50" t="n">
        <f aca="false">IF(BW485=1,0,ROUNDUP(AF485/BV485,0))</f>
        <v>3</v>
      </c>
      <c r="AH485" s="52" t="n">
        <f aca="false">IF(CL485&gt;0,CL485*MAX(1,AF485/X485),IF(BW485=1,IF(AF485&lt;=0,0,CA485*MAX(1,IF(H485&gt;0,AF485/H485,1))),IF(R485&gt;0,AG485/R485,0))/MAX(0.1,N(Parameter!$M$21)))</f>
        <v>0.0288461538461538</v>
      </c>
      <c r="AI485" s="50" t="n">
        <f aca="false">AH485*BY485</f>
        <v>4.47115384615385</v>
      </c>
      <c r="AJ485" s="50" t="n">
        <f aca="false">AF485*G485</f>
        <v>166.98</v>
      </c>
      <c r="AK485" s="50" t="n">
        <f aca="false">ROUNDUP(MAX(J485/IF(CD485&gt;0,CD485,MAX(0.1,N(Cockpit!$C$6))),CG485)/BV485,0)*BV485</f>
        <v>94</v>
      </c>
      <c r="AL485" s="51" t="n">
        <f aca="false">IF(AI485&gt;0,J485/AI485,-1)</f>
        <v>8.2752688172043</v>
      </c>
      <c r="AM485" s="51" t="n">
        <f aca="false">IF(AND(OR(CC485="L1",CC485="L23",CC485="LIFT"),AI485&gt;0),SUMIFS($AI$7:$AI$1843,$CC$7:$CC$1843,CC485,$AL$7:$AL$1843,"&gt;"&amp;AL485)+SUMIFS($AI$7:$AI$1843,$CC$7:$CC$1843,CC485,$AL$7:$AL$1843,AL485,$BT$7:$BT$1843,"&lt;="&amp;BT485),"")</f>
        <v>2998.28846153846</v>
      </c>
      <c r="AN485" s="58" t="n">
        <f aca="false">IF(AM485="",0,MAX(0,MIN(1,(IF(CC485="L1",Parameter!$H$5,IF(CC485="L23",Parameter!$H$6+Parameter!$H$7,Parameter!$H$5+Parameter!$H$6+Parameter!$H$7))-(AM485-AI485))/AI485)))</f>
        <v>1</v>
      </c>
      <c r="AO485" s="50" t="n">
        <f aca="false">IF(LEFT(Cockpit!$I$5,1)="A",H485,IF(CE485=1,CF485,IF(LEFT(Cockpit!$I$5,1)="B",AT485,MAX(AT485,H485))))</f>
        <v>253</v>
      </c>
      <c r="AP485" s="50" t="n">
        <f aca="false">IF(BW485=1,0,ROUNDUP(AO485/BV485,0))</f>
        <v>3</v>
      </c>
      <c r="AQ485" s="52" t="n">
        <f aca="false">IF(CL485&gt;0,CL485*MAX(1,AO485/X485),IF(BW485=1,IF(AO485&lt;=0,0,CA485*MAX(1,IF(H485&gt;0,AO485/H485,1))),IF(R485&gt;0,AP485/R485,0))/MAX(0.1,N(Parameter!$M$21)))</f>
        <v>0.0288461538461538</v>
      </c>
      <c r="AR485" s="50" t="n">
        <f aca="false">AQ485*BY485</f>
        <v>4.47115384615385</v>
      </c>
      <c r="AS485" s="50" t="n">
        <f aca="false">AO485*G485</f>
        <v>166.98</v>
      </c>
      <c r="AT485" s="50" t="n">
        <f aca="false">ROUNDUP(MAX(J485/IF(CD485&gt;0,CD485,MAX(0.1,N(Cockpit!$I$6))),CG485)/BV485,0)*BV485</f>
        <v>94</v>
      </c>
      <c r="AU485" s="51" t="n">
        <f aca="false">IF(AR485&gt;0,J485/AR485,-1)</f>
        <v>8.2752688172043</v>
      </c>
      <c r="AV485" s="51" t="n">
        <f aca="false">IF(AND(OR(CC485="L1",CC485="L23",CC485="LIFT"),AR485&gt;0),SUMIFS($AR$7:$AR$1843,$CC$7:$CC$1843,CC485,$AU$7:$AU$1843,"&gt;"&amp;AU485)+SUMIFS($AR$7:$AR$1843,$CC$7:$CC$1843,CC485,$AU$7:$AU$1843,AU485,$BT$7:$BT$1843,"&lt;="&amp;BT485),"")</f>
        <v>4234.5141941392</v>
      </c>
      <c r="AW485" s="58" t="n">
        <f aca="false">IF(AV485="",0,MAX(0,MIN(1,(IF(CC485="L1",Parameter!$H$5,IF(CC485="L23",Parameter!$H$6+Parameter!$H$7,Parameter!$H$5+Parameter!$H$6+Parameter!$H$7))-(AV485-AR485))/AR485)))</f>
        <v>1</v>
      </c>
      <c r="AX485" s="50" t="n">
        <f aca="false">IF(LEFT(Cockpit!$O$5,1)="A",H485,IF(CE485=1,CF485,IF(LEFT(Cockpit!$O$5,1)="B",BC485,MAX(BC485,H485))))</f>
        <v>253</v>
      </c>
      <c r="AY485" s="50" t="n">
        <f aca="false">IF(BW485=1,0,ROUNDUP(AX485/BV485,0))</f>
        <v>3</v>
      </c>
      <c r="AZ485" s="52" t="n">
        <f aca="false">IF(CL485&gt;0,CL485*MAX(1,AX485/X485),IF(BW485=1,IF(AX485&lt;=0,0,CA485*MAX(1,IF(H485&gt;0,AX485/H485,1))),IF(R485&gt;0,AY485/R485,0))/MAX(0.1,N(Parameter!$M$21)))</f>
        <v>0.0288461538461538</v>
      </c>
      <c r="BA485" s="50" t="n">
        <f aca="false">AZ485*BY485</f>
        <v>4.47115384615385</v>
      </c>
      <c r="BB485" s="50" t="n">
        <f aca="false">AX485*G485</f>
        <v>166.98</v>
      </c>
      <c r="BC485" s="50" t="n">
        <f aca="false">ROUNDUP(MAX(J485/IF(CD485&gt;0,CD485,MAX(0.1,N(Cockpit!$O$6))),CG485)/BV485,0)*BV485</f>
        <v>94</v>
      </c>
      <c r="BD485" s="51" t="n">
        <f aca="false">IF(BA485&gt;0,J485/BA485,-1)</f>
        <v>8.2752688172043</v>
      </c>
      <c r="BE485" s="51" t="n">
        <f aca="false">IF(AND(OR(CC485="L1",CC485="L23",CC485="LIFT"),BA485&gt;0),SUMIFS($BA$7:$BA$1843,$CC$7:$CC$1843,CC485,$BD$7:$BD$1843,"&gt;"&amp;BD485)+SUMIFS($BA$7:$BA$1843,$CC$7:$CC$1843,CC485,$BD$7:$BD$1843,BD485,$BT$7:$BT$1843,"&lt;="&amp;BT485),"")</f>
        <v>3892.63919413919</v>
      </c>
      <c r="BF485" s="58" t="n">
        <f aca="false">IF(BE485="",0,MAX(0,MIN(1,(IF(CC485="L1",Parameter!$H$5,IF(CC485="L23",Parameter!$H$6+Parameter!$H$7,Parameter!$H$5+Parameter!$H$6+Parameter!$H$7))-(BE485-BA485))/BA485)))</f>
        <v>1</v>
      </c>
      <c r="BG485" s="48" t="str">
        <f aca="false">IF(AI485&lt;=0,"",IF(CC485="Aussen","Aussenlager",IF(CC485="-","Nicht im Lift",IF(AN485&gt;=1,"Lift",IF(AN485&lt;=0,"Aussenlager","teilweise")))))</f>
        <v>Lift</v>
      </c>
      <c r="BH485" s="48" t="str">
        <f aca="false">IF(AR485&lt;=0,"",IF(CC485="Aussen","Aussenlager",IF(CC485="-","Nicht im Lift",IF(AW485&gt;=1,"Lift",IF(AW485&lt;=0,"Aussenlager","teilweise")))))</f>
        <v>Lift</v>
      </c>
      <c r="BI485" s="48" t="str">
        <f aca="false">IF(BA485&lt;=0,"",IF(CC485="Aussen","Aussenlager",IF(CC485="-","Nicht im Lift",IF(BF485&gt;=1,"Lift",IF(BF485&lt;=0,"Aussenlager","teilweise")))))</f>
        <v>Lift</v>
      </c>
      <c r="BJ485" s="48" t="str">
        <f aca="false">IF(A485="","",IF(BS485=1,"Neu; ","")&amp;IF(AND(BS485=0,BN485&lt;0),"negativer Bestand (Export "&amp;BN485&amp;"); ","")&amp;IF(J485&lt;=0,"Kein Verbrauch; ","")&amp;IF(CL485&gt;0,"Lift "&amp;W485&amp;" lt. Liftbericht (Fach "&amp;X485&amp;" Stk); ",IF(BX485=1,"Gebinde geschätzt ("&amp;T485&amp;"); ",IF(BW485=1,"Lose – Tablare geschätzt; ","")))&amp;IF(H485&gt;AT485,"Überbestand "&amp;ROUND(H485-AT485,0)&amp;" Stk / CHF "&amp;ROUND((H485-AT485)*G485,0)&amp;"; ","")&amp;IF(AND(CE485=1,CF485&lt;CG485),"MAX &lt; MB+LG; ","")&amp;IF(AND(CK485&gt;0,CJ485*10&gt;CK485),"zu hoch für Tablar; ","")&amp;IF(AND(BS485=0,OR(CE485=1,AA485&lt;&gt;"",U485&lt;&gt;"",V485&lt;&gt;"",AB485&lt;&gt;"")),"manuell übersteuert; ","")&amp;IF(AND(BW485=0,R485=0),"Gebinde unbekannt / Stellmass fehlt; ","")&amp;IF(AND(BW485=0,N(V485)&lt;=0,N(Q485)&lt;=0),"Menge pro Gebinde fehlt (Ist = 1 Gebinde); ","")&amp;BR485)</f>
        <v>Überbestand 159 Stk / CHF 105; </v>
      </c>
      <c r="BK485" s="48"/>
      <c r="BL485" s="48"/>
      <c r="BM485" s="55"/>
      <c r="BN485" s="50" t="n">
        <v>93</v>
      </c>
      <c r="BO485" s="50" t="n">
        <v>160</v>
      </c>
      <c r="BP485" s="49" t="n">
        <v>45.38</v>
      </c>
      <c r="BQ485" s="50" t="n">
        <v>37</v>
      </c>
      <c r="BR485" s="48"/>
      <c r="BS485" s="53" t="n">
        <v>0</v>
      </c>
      <c r="BT485" s="53" t="n">
        <v>485</v>
      </c>
      <c r="BU485" s="48" t="str">
        <f aca="false">IF(U485&lt;&gt;"",UPPER(TRIM(U485)),IF(BX485=1,UPPER(VLOOKUP(T485,Parameter!$I$27:$K$29,2,0)),IF(P485="","LOSE",P485)))</f>
        <v>S32</v>
      </c>
      <c r="BV485" s="50" t="n">
        <f aca="false">IF(BU485="LOSE",1,IF(N(V485)&gt;0,V485,IF(BX485=1,MAX(1,N(VLOOKUP(T485,Parameter!$I$27:$K$29,3,0)),H485,N(N485)),IF(N(Q485)&gt;0,Q485,MAX(1,H485)))))</f>
        <v>94</v>
      </c>
      <c r="BW485" s="53" t="n">
        <f aca="false">IF(BU485="LOSE",1,0)</f>
        <v>0</v>
      </c>
      <c r="BX485" s="53" t="n">
        <f aca="false">IF(AND(U485="",OR(P485="",P485="LOSE"),T485&lt;&gt;"",N(S485)&lt;=0,ISNUMBER(MATCH(T485,Parameter!$I$27:$I$29,0))),1,0)</f>
        <v>0</v>
      </c>
      <c r="BY485" s="53" t="n">
        <f aca="false">IF(CL485&gt;0,INDEX(Parameter!$H$5:$H$7,W485)/INDEX(Parameter!$E$5:$E$7,W485),IF(AND(BW485=0,N(IFERROR(VLOOKUP(BU485,'Gebinde-Kategorie'!$A$5:$N$45,14,0),0))&gt;0),VLOOKUP(BU485,'Gebinde-Kategorie'!$A$5:$N$45,14,0)*10+Parameter!$M$23,Parameter!$M$24))</f>
        <v>155</v>
      </c>
      <c r="BZ485" s="48" t="str">
        <f aca="false">IF(AND(Parameter!$B$19="Ja",E485&lt;&gt;"",ISNUMBER(MATCH(E485,Parameter!$I$35:$I$52,0))),VLOOKUP(E485,Parameter!$I$35:$J$52,2,0),IFERROR(VLOOKUP(D485,Parameter!$A$35:$C$64,2,0),"Nein"))</f>
        <v>2+3</v>
      </c>
      <c r="CA485" s="52" t="n">
        <f aca="false">IF(BW485=0,0,IF(N(S485)&gt;0,S485,IFERROR(VLOOKUP(D485,Parameter!$A$35:$C$64,3,0)+0,0)))</f>
        <v>0</v>
      </c>
      <c r="CB485" s="48" t="n">
        <f aca="false">IF(AA485&lt;&gt;"",AA485,Z485)</f>
        <v>3</v>
      </c>
      <c r="CC485" s="48" t="str">
        <f aca="false">IF(OR(CB485=1,CB485=2,CB485=3),IF(Parameter!$E$27="Ja","LIFT",IF(CB485=1,"L1","L23")),IF(CB485="Aussen","Aussen","-"))</f>
        <v>LIFT</v>
      </c>
      <c r="CD485" s="59" t="n">
        <f aca="false">IF(N(AB485)&gt;0,AB485,0)</f>
        <v>0</v>
      </c>
      <c r="CE485" s="53" t="n">
        <f aca="false">IF(ISNUMBER(AE485),1,0)</f>
        <v>0</v>
      </c>
      <c r="CF485" s="50" t="n">
        <f aca="false">N(AE485)</f>
        <v>0</v>
      </c>
      <c r="CG485" s="50" t="n">
        <f aca="false">N(M485)+N(N485)</f>
        <v>36</v>
      </c>
      <c r="CH485" s="50" t="n">
        <f aca="false">ROUNDUP(H485/BV485,0)</f>
        <v>3</v>
      </c>
      <c r="CI485" s="50" t="n">
        <f aca="false">ROUNDUP(CF485/BV485,0)</f>
        <v>0</v>
      </c>
      <c r="CJ485" s="53" t="n">
        <f aca="false">IF(BW485=1,0,IFERROR(VLOOKUP(BU485,'Gebinde-Kategorie'!$A$5:$N$45,5,0)+0,0))</f>
        <v>8</v>
      </c>
      <c r="CK485" s="53" t="n">
        <f aca="false">IFERROR(IF(OR(CB485=1,CB485=2,CB485=3),N(INDEX(Parameter!$I$5:$I$7,CB485)),0),0)</f>
        <v>0</v>
      </c>
      <c r="CL485" s="52" t="n">
        <f aca="false">IF(AND(Parameter!$B$21="Ja",ISNUMBER(W485),N(X485)&gt;0),IFERROR(N(INDEX(Parameter!$L$5:$L$7,W485))*INDEX(Parameter!$E$5:$E$7,W485)*X485/SUMIFS($X$7:$X$1843,$W$7:$W$1843,W485),0),0)</f>
        <v>0</v>
      </c>
    </row>
    <row r="486" customFormat="false" ht="15" hidden="false" customHeight="false" outlineLevel="0" collapsed="false">
      <c r="A486" s="48" t="s">
        <v>1081</v>
      </c>
      <c r="B486" s="48" t="s">
        <v>1082</v>
      </c>
      <c r="C486" s="48" t="s">
        <v>168</v>
      </c>
      <c r="D486" s="48" t="s">
        <v>177</v>
      </c>
      <c r="E486" s="48"/>
      <c r="F486" s="48" t="s">
        <v>222</v>
      </c>
      <c r="G486" s="49" t="n">
        <v>0.09</v>
      </c>
      <c r="H486" s="50" t="n">
        <f aca="false">MAX(0,IF(AND(Parameter!$B$21="Ja",ISNUMBER(Y486)),Y486,IF(Parameter!$B$20="Jahresanfang 2025 + Export",BO486+BN486,BN486)))</f>
        <v>500</v>
      </c>
      <c r="I486" s="50" t="n">
        <f aca="false">H486*G486</f>
        <v>45</v>
      </c>
      <c r="J486" s="50" t="n">
        <f aca="false">BQ486*Parameter!$B$18</f>
        <v>0</v>
      </c>
      <c r="K486" s="51" t="n">
        <v>250</v>
      </c>
      <c r="L486" s="52" t="n">
        <v>0</v>
      </c>
      <c r="M486" s="50" t="n">
        <v>0</v>
      </c>
      <c r="N486" s="50" t="n">
        <v>1</v>
      </c>
      <c r="O486" s="53" t="n">
        <v>105</v>
      </c>
      <c r="P486" s="48" t="s">
        <v>172</v>
      </c>
      <c r="Q486" s="50"/>
      <c r="R486" s="53" t="n">
        <f aca="false">IF(BW486=1,0,IFERROR(VLOOKUP(BU486,'Gebinde-Kategorie'!$A$5:$N$45,13,0)+0,0))</f>
        <v>26</v>
      </c>
      <c r="S486" s="54"/>
      <c r="T486" s="55" t="s">
        <v>279</v>
      </c>
      <c r="U486" s="55"/>
      <c r="V486" s="55"/>
      <c r="W486" s="48"/>
      <c r="X486" s="50"/>
      <c r="Y486" s="50"/>
      <c r="Z486" s="48" t="n">
        <f aca="false">IF(A486="","",IF(AND(Parameter!$B$21="Ja",ISNUMBER(W486)),W486,IF(BZ486="2+3",IF(ISNUMBER(SEARCH("grosser Artikel",BR486)),2,IFERROR(VLOOKUP(BU486,Parameter!$F$35:$G$64,2,0),2)),IF(OR(BZ486="Nein",BZ486=""),"-",BZ486))))</f>
        <v>3</v>
      </c>
      <c r="AA486" s="55"/>
      <c r="AB486" s="56"/>
      <c r="AC486" s="50" t="n">
        <f aca="false">AT486</f>
        <v>500</v>
      </c>
      <c r="AD486" s="50" t="n">
        <f aca="false">MAX(AT486,H486)</f>
        <v>500</v>
      </c>
      <c r="AE486" s="57"/>
      <c r="AF486" s="50" t="n">
        <f aca="false">IF(LEFT(Cockpit!$C$5,1)="A",H486,IF(CE486=1,CF486,IF(LEFT(Cockpit!$C$5,1)="B",AK486,MAX(AK486,H486))))</f>
        <v>500</v>
      </c>
      <c r="AG486" s="50" t="n">
        <f aca="false">IF(BW486=1,0,ROUNDUP(AF486/BV486,0))</f>
        <v>1</v>
      </c>
      <c r="AH486" s="52" t="n">
        <f aca="false">IF(CL486&gt;0,CL486*MAX(1,AF486/X486),IF(BW486=1,IF(AF486&lt;=0,0,CA486*MAX(1,IF(H486&gt;0,AF486/H486,1))),IF(R486&gt;0,AG486/R486,0))/MAX(0.1,N(Parameter!$M$21)))</f>
        <v>0.0384615384615385</v>
      </c>
      <c r="AI486" s="50" t="n">
        <f aca="false">AH486*BY486</f>
        <v>5.96153846153846</v>
      </c>
      <c r="AJ486" s="50" t="n">
        <f aca="false">AF486*G486</f>
        <v>45</v>
      </c>
      <c r="AK486" s="50" t="n">
        <f aca="false">ROUNDUP(MAX(J486/IF(CD486&gt;0,CD486,MAX(0.1,N(Cockpit!$C$6))),CG486)/BV486,0)*BV486</f>
        <v>500</v>
      </c>
      <c r="AL486" s="51" t="n">
        <f aca="false">IF(AI486&gt;0,J486/AI486,-1)</f>
        <v>0</v>
      </c>
      <c r="AM486" s="51" t="n">
        <f aca="false">IF(AND(OR(CC486="L1",CC486="L23",CC486="LIFT"),AI486&gt;0),SUMIFS($AI$7:$AI$1843,$CC$7:$CC$1843,CC486,$AL$7:$AL$1843,"&gt;"&amp;AL486)+SUMIFS($AI$7:$AI$1843,$CC$7:$CC$1843,CC486,$AL$7:$AL$1843,AL486,$BT$7:$BT$1843,"&lt;="&amp;BT486),"")</f>
        <v>28241.976816498</v>
      </c>
      <c r="AN486" s="58" t="n">
        <f aca="false">IF(AM486="",0,MAX(0,MIN(1,(IF(CC486="L1",Parameter!$H$5,IF(CC486="L23",Parameter!$H$6+Parameter!$H$7,Parameter!$H$5+Parameter!$H$6+Parameter!$H$7))-(AM486-AI486))/AI486)))</f>
        <v>1</v>
      </c>
      <c r="AO486" s="50" t="n">
        <f aca="false">IF(LEFT(Cockpit!$I$5,1)="A",H486,IF(CE486=1,CF486,IF(LEFT(Cockpit!$I$5,1)="B",AT486,MAX(AT486,H486))))</f>
        <v>500</v>
      </c>
      <c r="AP486" s="50" t="n">
        <f aca="false">IF(BW486=1,0,ROUNDUP(AO486/BV486,0))</f>
        <v>1</v>
      </c>
      <c r="AQ486" s="52" t="n">
        <f aca="false">IF(CL486&gt;0,CL486*MAX(1,AO486/X486),IF(BW486=1,IF(AO486&lt;=0,0,CA486*MAX(1,IF(H486&gt;0,AO486/H486,1))),IF(R486&gt;0,AP486/R486,0))/MAX(0.1,N(Parameter!$M$21)))</f>
        <v>0.0384615384615385</v>
      </c>
      <c r="AR486" s="50" t="n">
        <f aca="false">AQ486*BY486</f>
        <v>5.96153846153846</v>
      </c>
      <c r="AS486" s="50" t="n">
        <f aca="false">AO486*G486</f>
        <v>45</v>
      </c>
      <c r="AT486" s="50" t="n">
        <f aca="false">ROUNDUP(MAX(J486/IF(CD486&gt;0,CD486,MAX(0.1,N(Cockpit!$I$6))),CG486)/BV486,0)*BV486</f>
        <v>500</v>
      </c>
      <c r="AU486" s="51" t="n">
        <f aca="false">IF(AR486&gt;0,J486/AR486,-1)</f>
        <v>0</v>
      </c>
      <c r="AV486" s="51" t="n">
        <f aca="false">IF(AND(OR(CC486="L1",CC486="L23",CC486="LIFT"),AR486&gt;0),SUMIFS($AR$7:$AR$1843,$CC$7:$CC$1843,CC486,$AU$7:$AU$1843,"&gt;"&amp;AU486)+SUMIFS($AR$7:$AR$1843,$CC$7:$CC$1843,CC486,$AU$7:$AU$1843,AU486,$BT$7:$BT$1843,"&lt;="&amp;BT486),"")</f>
        <v>39554.8823337679</v>
      </c>
      <c r="AW486" s="58" t="n">
        <f aca="false">IF(AV486="",0,MAX(0,MIN(1,(IF(CC486="L1",Parameter!$H$5,IF(CC486="L23",Parameter!$H$6+Parameter!$H$7,Parameter!$H$5+Parameter!$H$6+Parameter!$H$7))-(AV486-AR486))/AR486)))</f>
        <v>0</v>
      </c>
      <c r="AX486" s="50" t="n">
        <f aca="false">IF(LEFT(Cockpit!$O$5,1)="A",H486,IF(CE486=1,CF486,IF(LEFT(Cockpit!$O$5,1)="B",BC486,MAX(BC486,H486))))</f>
        <v>500</v>
      </c>
      <c r="AY486" s="50" t="n">
        <f aca="false">IF(BW486=1,0,ROUNDUP(AX486/BV486,0))</f>
        <v>1</v>
      </c>
      <c r="AZ486" s="52" t="n">
        <f aca="false">IF(CL486&gt;0,CL486*MAX(1,AX486/X486),IF(BW486=1,IF(AX486&lt;=0,0,CA486*MAX(1,IF(H486&gt;0,AX486/H486,1))),IF(R486&gt;0,AY486/R486,0))/MAX(0.1,N(Parameter!$M$21)))</f>
        <v>0.0384615384615385</v>
      </c>
      <c r="BA486" s="50" t="n">
        <f aca="false">AZ486*BY486</f>
        <v>5.96153846153846</v>
      </c>
      <c r="BB486" s="50" t="n">
        <f aca="false">AX486*G486</f>
        <v>45</v>
      </c>
      <c r="BC486" s="50" t="n">
        <f aca="false">ROUNDUP(MAX(J486/IF(CD486&gt;0,CD486,MAX(0.1,N(Cockpit!$O$6))),CG486)/BV486,0)*BV486</f>
        <v>500</v>
      </c>
      <c r="BD486" s="51" t="n">
        <f aca="false">IF(BA486&gt;0,J486/BA486,-1)</f>
        <v>0</v>
      </c>
      <c r="BE486" s="51" t="n">
        <f aca="false">IF(AND(OR(CC486="L1",CC486="L23",CC486="LIFT"),BA486&gt;0),SUMIFS($BA$7:$BA$1843,$CC$7:$CC$1843,CC486,$BD$7:$BD$1843,"&gt;"&amp;BD486)+SUMIFS($BA$7:$BA$1843,$CC$7:$CC$1843,CC486,$BD$7:$BD$1843,BD486,$BT$7:$BT$1843,"&lt;="&amp;BT486),"")</f>
        <v>36229.8943756338</v>
      </c>
      <c r="BF486" s="58" t="n">
        <f aca="false">IF(BE486="",0,MAX(0,MIN(1,(IF(CC486="L1",Parameter!$H$5,IF(CC486="L23",Parameter!$H$6+Parameter!$H$7,Parameter!$H$5+Parameter!$H$6+Parameter!$H$7))-(BE486-BA486))/BA486)))</f>
        <v>0</v>
      </c>
      <c r="BG486" s="48" t="str">
        <f aca="false">IF(AI486&lt;=0,"",IF(CC486="Aussen","Aussenlager",IF(CC486="-","Nicht im Lift",IF(AN486&gt;=1,"Lift",IF(AN486&lt;=0,"Aussenlager","teilweise")))))</f>
        <v>Lift</v>
      </c>
      <c r="BH486" s="48" t="str">
        <f aca="false">IF(AR486&lt;=0,"",IF(CC486="Aussen","Aussenlager",IF(CC486="-","Nicht im Lift",IF(AW486&gt;=1,"Lift",IF(AW486&lt;=0,"Aussenlager","teilweise")))))</f>
        <v>Aussenlager</v>
      </c>
      <c r="BI486" s="48" t="str">
        <f aca="false">IF(BA486&lt;=0,"",IF(CC486="Aussen","Aussenlager",IF(CC486="-","Nicht im Lift",IF(BF486&gt;=1,"Lift",IF(BF486&lt;=0,"Aussenlager","teilweise")))))</f>
        <v>Aussenlager</v>
      </c>
      <c r="BJ486" s="48" t="str">
        <f aca="false">IF(A486="","",IF(BS486=1,"Neu; ","")&amp;IF(AND(BS486=0,BN486&lt;0),"negativer Bestand (Export "&amp;BN486&amp;"); ","")&amp;IF(J486&lt;=0,"Kein Verbrauch; ","")&amp;IF(CL486&gt;0,"Lift "&amp;W486&amp;" lt. Liftbericht (Fach "&amp;X486&amp;" Stk); ",IF(BX486=1,"Gebinde geschätzt ("&amp;T486&amp;"); ",IF(BW486=1,"Lose – Tablare geschätzt; ","")))&amp;IF(H486&gt;AT486,"Überbestand "&amp;ROUND(H486-AT486,0)&amp;" Stk / CHF "&amp;ROUND((H486-AT486)*G486,0)&amp;"; ","")&amp;IF(AND(CE486=1,CF486&lt;CG486),"MAX &lt; MB+LG; ","")&amp;IF(AND(CK486&gt;0,CJ486*10&gt;CK486),"zu hoch für Tablar; ","")&amp;IF(AND(BS486=0,OR(CE486=1,AA486&lt;&gt;"",U486&lt;&gt;"",V486&lt;&gt;"",AB486&lt;&gt;"")),"manuell übersteuert; ","")&amp;IF(AND(BW486=0,R486=0),"Gebinde unbekannt / Stellmass fehlt; ","")&amp;IF(AND(BW486=0,N(V486)&lt;=0,N(Q486)&lt;=0),"Menge pro Gebinde fehlt (Ist = 1 Gebinde); ","")&amp;BR486)</f>
        <v>Kein Verbrauch; Gebinde geschätzt (Klein); Menge pro Gebinde fehlt (Ist = 1 Gebinde); </v>
      </c>
      <c r="BK486" s="48"/>
      <c r="BL486" s="48"/>
      <c r="BM486" s="55"/>
      <c r="BN486" s="50" t="n">
        <v>500</v>
      </c>
      <c r="BO486" s="50" t="n">
        <v>0</v>
      </c>
      <c r="BP486" s="49" t="n">
        <v>45</v>
      </c>
      <c r="BQ486" s="50" t="n">
        <v>0</v>
      </c>
      <c r="BR486" s="48"/>
      <c r="BS486" s="53" t="n">
        <v>0</v>
      </c>
      <c r="BT486" s="53" t="n">
        <v>486</v>
      </c>
      <c r="BU486" s="48" t="str">
        <f aca="false">IF(U486&lt;&gt;"",UPPER(TRIM(U486)),IF(BX486=1,UPPER(VLOOKUP(T486,Parameter!$I$27:$K$29,2,0)),IF(P486="","LOSE",P486)))</f>
        <v>S51</v>
      </c>
      <c r="BV486" s="50" t="n">
        <f aca="false">IF(BU486="LOSE",1,IF(N(V486)&gt;0,V486,IF(BX486=1,MAX(1,N(VLOOKUP(T486,Parameter!$I$27:$K$29,3,0)),H486,N(N486)),IF(N(Q486)&gt;0,Q486,MAX(1,H486)))))</f>
        <v>500</v>
      </c>
      <c r="BW486" s="53" t="n">
        <f aca="false">IF(BU486="LOSE",1,0)</f>
        <v>0</v>
      </c>
      <c r="BX486" s="53" t="n">
        <f aca="false">IF(AND(U486="",OR(P486="",P486="LOSE"),T486&lt;&gt;"",N(S486)&lt;=0,ISNUMBER(MATCH(T486,Parameter!$I$27:$I$29,0))),1,0)</f>
        <v>1</v>
      </c>
      <c r="BY486" s="53" t="n">
        <f aca="false">IF(CL486&gt;0,INDEX(Parameter!$H$5:$H$7,W486)/INDEX(Parameter!$E$5:$E$7,W486),IF(AND(BW486=0,N(IFERROR(VLOOKUP(BU486,'Gebinde-Kategorie'!$A$5:$N$45,14,0),0))&gt;0),VLOOKUP(BU486,'Gebinde-Kategorie'!$A$5:$N$45,14,0)*10+Parameter!$M$23,Parameter!$M$24))</f>
        <v>155</v>
      </c>
      <c r="BZ486" s="48" t="str">
        <f aca="false">IF(AND(Parameter!$B$19="Ja",E486&lt;&gt;"",ISNUMBER(MATCH(E486,Parameter!$I$35:$I$52,0))),VLOOKUP(E486,Parameter!$I$35:$J$52,2,0),IFERROR(VLOOKUP(D486,Parameter!$A$35:$C$64,2,0),"Nein"))</f>
        <v>2+3</v>
      </c>
      <c r="CA486" s="52" t="n">
        <f aca="false">IF(BW486=0,0,IF(N(S486)&gt;0,S486,IFERROR(VLOOKUP(D486,Parameter!$A$35:$C$64,3,0)+0,0)))</f>
        <v>0</v>
      </c>
      <c r="CB486" s="48" t="n">
        <f aca="false">IF(AA486&lt;&gt;"",AA486,Z486)</f>
        <v>3</v>
      </c>
      <c r="CC486" s="48" t="str">
        <f aca="false">IF(OR(CB486=1,CB486=2,CB486=3),IF(Parameter!$E$27="Ja","LIFT",IF(CB486=1,"L1","L23")),IF(CB486="Aussen","Aussen","-"))</f>
        <v>LIFT</v>
      </c>
      <c r="CD486" s="59" t="n">
        <f aca="false">IF(N(AB486)&gt;0,AB486,0)</f>
        <v>0</v>
      </c>
      <c r="CE486" s="53" t="n">
        <f aca="false">IF(ISNUMBER(AE486),1,0)</f>
        <v>0</v>
      </c>
      <c r="CF486" s="50" t="n">
        <f aca="false">N(AE486)</f>
        <v>0</v>
      </c>
      <c r="CG486" s="50" t="n">
        <f aca="false">N(M486)+N(N486)</f>
        <v>1</v>
      </c>
      <c r="CH486" s="50" t="n">
        <f aca="false">ROUNDUP(H486/BV486,0)</f>
        <v>1</v>
      </c>
      <c r="CI486" s="50" t="n">
        <f aca="false">ROUNDUP(CF486/BV486,0)</f>
        <v>0</v>
      </c>
      <c r="CJ486" s="53" t="n">
        <f aca="false">IF(BW486=1,0,IFERROR(VLOOKUP(BU486,'Gebinde-Kategorie'!$A$5:$N$45,5,0)+0,0))</f>
        <v>11</v>
      </c>
      <c r="CK486" s="53" t="n">
        <f aca="false">IFERROR(IF(OR(CB486=1,CB486=2,CB486=3),N(INDEX(Parameter!$I$5:$I$7,CB486)),0),0)</f>
        <v>0</v>
      </c>
      <c r="CL486" s="52" t="n">
        <f aca="false">IF(AND(Parameter!$B$21="Ja",ISNUMBER(W486),N(X486)&gt;0),IFERROR(N(INDEX(Parameter!$L$5:$L$7,W486))*INDEX(Parameter!$E$5:$E$7,W486)*X486/SUMIFS($X$7:$X$1843,$W$7:$W$1843,W486),0),0)</f>
        <v>0</v>
      </c>
    </row>
    <row r="487" customFormat="false" ht="15" hidden="false" customHeight="false" outlineLevel="0" collapsed="false">
      <c r="A487" s="48" t="s">
        <v>1083</v>
      </c>
      <c r="B487" s="48" t="s">
        <v>1084</v>
      </c>
      <c r="C487" s="48" t="s">
        <v>168</v>
      </c>
      <c r="D487" s="48" t="s">
        <v>188</v>
      </c>
      <c r="E487" s="48"/>
      <c r="F487" s="48" t="s">
        <v>222</v>
      </c>
      <c r="G487" s="49" t="n">
        <v>1.49</v>
      </c>
      <c r="H487" s="50" t="n">
        <f aca="false">MAX(0,IF(AND(Parameter!$B$21="Ja",ISNUMBER(Y487)),Y487,IF(Parameter!$B$20="Jahresanfang 2025 + Export",BO487+BN487,BN487)))</f>
        <v>30</v>
      </c>
      <c r="I487" s="50" t="n">
        <f aca="false">H487*G487</f>
        <v>44.7</v>
      </c>
      <c r="J487" s="50" t="n">
        <f aca="false">BQ487*Parameter!$B$18</f>
        <v>0</v>
      </c>
      <c r="K487" s="51" t="n">
        <v>0</v>
      </c>
      <c r="L487" s="52" t="n">
        <v>0</v>
      </c>
      <c r="M487" s="50" t="n">
        <v>0</v>
      </c>
      <c r="N487" s="50" t="n">
        <v>10</v>
      </c>
      <c r="O487" s="53" t="n">
        <v>9999</v>
      </c>
      <c r="P487" s="48" t="s">
        <v>172</v>
      </c>
      <c r="Q487" s="50"/>
      <c r="R487" s="53" t="n">
        <f aca="false">IF(BW487=1,0,IFERROR(VLOOKUP(BU487,'Gebinde-Kategorie'!$A$5:$N$45,13,0)+0,0))</f>
        <v>26</v>
      </c>
      <c r="S487" s="54"/>
      <c r="T487" s="55" t="s">
        <v>279</v>
      </c>
      <c r="U487" s="55"/>
      <c r="V487" s="55"/>
      <c r="W487" s="48"/>
      <c r="X487" s="50"/>
      <c r="Y487" s="50"/>
      <c r="Z487" s="48" t="n">
        <f aca="false">IF(A487="","",IF(AND(Parameter!$B$21="Ja",ISNUMBER(W487)),W487,IF(BZ487="2+3",IF(ISNUMBER(SEARCH("grosser Artikel",BR487)),2,IFERROR(VLOOKUP(BU487,Parameter!$F$35:$G$64,2,0),2)),IF(OR(BZ487="Nein",BZ487=""),"-",BZ487))))</f>
        <v>3</v>
      </c>
      <c r="AA487" s="55"/>
      <c r="AB487" s="56"/>
      <c r="AC487" s="50" t="n">
        <f aca="false">AT487</f>
        <v>30</v>
      </c>
      <c r="AD487" s="50" t="n">
        <f aca="false">MAX(AT487,H487)</f>
        <v>30</v>
      </c>
      <c r="AE487" s="57"/>
      <c r="AF487" s="50" t="n">
        <f aca="false">IF(LEFT(Cockpit!$C$5,1)="A",H487,IF(CE487=1,CF487,IF(LEFT(Cockpit!$C$5,1)="B",AK487,MAX(AK487,H487))))</f>
        <v>30</v>
      </c>
      <c r="AG487" s="50" t="n">
        <f aca="false">IF(BW487=1,0,ROUNDUP(AF487/BV487,0))</f>
        <v>1</v>
      </c>
      <c r="AH487" s="52" t="n">
        <f aca="false">IF(CL487&gt;0,CL487*MAX(1,AF487/X487),IF(BW487=1,IF(AF487&lt;=0,0,CA487*MAX(1,IF(H487&gt;0,AF487/H487,1))),IF(R487&gt;0,AG487/R487,0))/MAX(0.1,N(Parameter!$M$21)))</f>
        <v>0.0384615384615385</v>
      </c>
      <c r="AI487" s="50" t="n">
        <f aca="false">AH487*BY487</f>
        <v>5.96153846153846</v>
      </c>
      <c r="AJ487" s="50" t="n">
        <f aca="false">AF487*G487</f>
        <v>44.7</v>
      </c>
      <c r="AK487" s="50" t="n">
        <f aca="false">ROUNDUP(MAX(J487/IF(CD487&gt;0,CD487,MAX(0.1,N(Cockpit!$C$6))),CG487)/BV487,0)*BV487</f>
        <v>30</v>
      </c>
      <c r="AL487" s="51" t="n">
        <f aca="false">IF(AI487&gt;0,J487/AI487,-1)</f>
        <v>0</v>
      </c>
      <c r="AM487" s="51" t="n">
        <f aca="false">IF(AND(OR(CC487="L1",CC487="L23",CC487="LIFT"),AI487&gt;0),SUMIFS($AI$7:$AI$1843,$CC$7:$CC$1843,CC487,$AL$7:$AL$1843,"&gt;"&amp;AL487)+SUMIFS($AI$7:$AI$1843,$CC$7:$CC$1843,CC487,$AL$7:$AL$1843,AL487,$BT$7:$BT$1843,"&lt;="&amp;BT487),"")</f>
        <v>28247.9383549595</v>
      </c>
      <c r="AN487" s="58" t="n">
        <f aca="false">IF(AM487="",0,MAX(0,MIN(1,(IF(CC487="L1",Parameter!$H$5,IF(CC487="L23",Parameter!$H$6+Parameter!$H$7,Parameter!$H$5+Parameter!$H$6+Parameter!$H$7))-(AM487-AI487))/AI487)))</f>
        <v>1</v>
      </c>
      <c r="AO487" s="50" t="n">
        <f aca="false">IF(LEFT(Cockpit!$I$5,1)="A",H487,IF(CE487=1,CF487,IF(LEFT(Cockpit!$I$5,1)="B",AT487,MAX(AT487,H487))))</f>
        <v>30</v>
      </c>
      <c r="AP487" s="50" t="n">
        <f aca="false">IF(BW487=1,0,ROUNDUP(AO487/BV487,0))</f>
        <v>1</v>
      </c>
      <c r="AQ487" s="52" t="n">
        <f aca="false">IF(CL487&gt;0,CL487*MAX(1,AO487/X487),IF(BW487=1,IF(AO487&lt;=0,0,CA487*MAX(1,IF(H487&gt;0,AO487/H487,1))),IF(R487&gt;0,AP487/R487,0))/MAX(0.1,N(Parameter!$M$21)))</f>
        <v>0.0384615384615385</v>
      </c>
      <c r="AR487" s="50" t="n">
        <f aca="false">AQ487*BY487</f>
        <v>5.96153846153846</v>
      </c>
      <c r="AS487" s="50" t="n">
        <f aca="false">AO487*G487</f>
        <v>44.7</v>
      </c>
      <c r="AT487" s="50" t="n">
        <f aca="false">ROUNDUP(MAX(J487/IF(CD487&gt;0,CD487,MAX(0.1,N(Cockpit!$I$6))),CG487)/BV487,0)*BV487</f>
        <v>30</v>
      </c>
      <c r="AU487" s="51" t="n">
        <f aca="false">IF(AR487&gt;0,J487/AR487,-1)</f>
        <v>0</v>
      </c>
      <c r="AV487" s="51" t="n">
        <f aca="false">IF(AND(OR(CC487="L1",CC487="L23",CC487="LIFT"),AR487&gt;0),SUMIFS($AR$7:$AR$1843,$CC$7:$CC$1843,CC487,$AU$7:$AU$1843,"&gt;"&amp;AU487)+SUMIFS($AR$7:$AR$1843,$CC$7:$CC$1843,CC487,$AU$7:$AU$1843,AU487,$BT$7:$BT$1843,"&lt;="&amp;BT487),"")</f>
        <v>39560.8438722295</v>
      </c>
      <c r="AW487" s="58" t="n">
        <f aca="false">IF(AV487="",0,MAX(0,MIN(1,(IF(CC487="L1",Parameter!$H$5,IF(CC487="L23",Parameter!$H$6+Parameter!$H$7,Parameter!$H$5+Parameter!$H$6+Parameter!$H$7))-(AV487-AR487))/AR487)))</f>
        <v>0</v>
      </c>
      <c r="AX487" s="50" t="n">
        <f aca="false">IF(LEFT(Cockpit!$O$5,1)="A",H487,IF(CE487=1,CF487,IF(LEFT(Cockpit!$O$5,1)="B",BC487,MAX(BC487,H487))))</f>
        <v>30</v>
      </c>
      <c r="AY487" s="50" t="n">
        <f aca="false">IF(BW487=1,0,ROUNDUP(AX487/BV487,0))</f>
        <v>1</v>
      </c>
      <c r="AZ487" s="52" t="n">
        <f aca="false">IF(CL487&gt;0,CL487*MAX(1,AX487/X487),IF(BW487=1,IF(AX487&lt;=0,0,CA487*MAX(1,IF(H487&gt;0,AX487/H487,1))),IF(R487&gt;0,AY487/R487,0))/MAX(0.1,N(Parameter!$M$21)))</f>
        <v>0.0384615384615385</v>
      </c>
      <c r="BA487" s="50" t="n">
        <f aca="false">AZ487*BY487</f>
        <v>5.96153846153846</v>
      </c>
      <c r="BB487" s="50" t="n">
        <f aca="false">AX487*G487</f>
        <v>44.7</v>
      </c>
      <c r="BC487" s="50" t="n">
        <f aca="false">ROUNDUP(MAX(J487/IF(CD487&gt;0,CD487,MAX(0.1,N(Cockpit!$O$6))),CG487)/BV487,0)*BV487</f>
        <v>30</v>
      </c>
      <c r="BD487" s="51" t="n">
        <f aca="false">IF(BA487&gt;0,J487/BA487,-1)</f>
        <v>0</v>
      </c>
      <c r="BE487" s="51" t="n">
        <f aca="false">IF(AND(OR(CC487="L1",CC487="L23",CC487="LIFT"),BA487&gt;0),SUMIFS($BA$7:$BA$1843,$CC$7:$CC$1843,CC487,$BD$7:$BD$1843,"&gt;"&amp;BD487)+SUMIFS($BA$7:$BA$1843,$CC$7:$CC$1843,CC487,$BD$7:$BD$1843,BD487,$BT$7:$BT$1843,"&lt;="&amp;BT487),"")</f>
        <v>36235.8559140953</v>
      </c>
      <c r="BF487" s="58" t="n">
        <f aca="false">IF(BE487="",0,MAX(0,MIN(1,(IF(CC487="L1",Parameter!$H$5,IF(CC487="L23",Parameter!$H$6+Parameter!$H$7,Parameter!$H$5+Parameter!$H$6+Parameter!$H$7))-(BE487-BA487))/BA487)))</f>
        <v>0</v>
      </c>
      <c r="BG487" s="48" t="str">
        <f aca="false">IF(AI487&lt;=0,"",IF(CC487="Aussen","Aussenlager",IF(CC487="-","Nicht im Lift",IF(AN487&gt;=1,"Lift",IF(AN487&lt;=0,"Aussenlager","teilweise")))))</f>
        <v>Lift</v>
      </c>
      <c r="BH487" s="48" t="str">
        <f aca="false">IF(AR487&lt;=0,"",IF(CC487="Aussen","Aussenlager",IF(CC487="-","Nicht im Lift",IF(AW487&gt;=1,"Lift",IF(AW487&lt;=0,"Aussenlager","teilweise")))))</f>
        <v>Aussenlager</v>
      </c>
      <c r="BI487" s="48" t="str">
        <f aca="false">IF(BA487&lt;=0,"",IF(CC487="Aussen","Aussenlager",IF(CC487="-","Nicht im Lift",IF(BF487&gt;=1,"Lift",IF(BF487&lt;=0,"Aussenlager","teilweise")))))</f>
        <v>Aussenlager</v>
      </c>
      <c r="BJ487" s="48" t="str">
        <f aca="false">IF(A487="","",IF(BS487=1,"Neu; ","")&amp;IF(AND(BS487=0,BN487&lt;0),"negativer Bestand (Export "&amp;BN487&amp;"); ","")&amp;IF(J487&lt;=0,"Kein Verbrauch; ","")&amp;IF(CL487&gt;0,"Lift "&amp;W487&amp;" lt. Liftbericht (Fach "&amp;X487&amp;" Stk); ",IF(BX487=1,"Gebinde geschätzt ("&amp;T487&amp;"); ",IF(BW487=1,"Lose – Tablare geschätzt; ","")))&amp;IF(H487&gt;AT487,"Überbestand "&amp;ROUND(H487-AT487,0)&amp;" Stk / CHF "&amp;ROUND((H487-AT487)*G487,0)&amp;"; ","")&amp;IF(AND(CE487=1,CF487&lt;CG487),"MAX &lt; MB+LG; ","")&amp;IF(AND(CK487&gt;0,CJ487*10&gt;CK487),"zu hoch für Tablar; ","")&amp;IF(AND(BS487=0,OR(CE487=1,AA487&lt;&gt;"",U487&lt;&gt;"",V487&lt;&gt;"",AB487&lt;&gt;"")),"manuell übersteuert; ","")&amp;IF(AND(BW487=0,R487=0),"Gebinde unbekannt / Stellmass fehlt; ","")&amp;IF(AND(BW487=0,N(V487)&lt;=0,N(Q487)&lt;=0),"Menge pro Gebinde fehlt (Ist = 1 Gebinde); ","")&amp;BR487)</f>
        <v>Kein Verbrauch; Gebinde geschätzt (Klein); Menge pro Gebinde fehlt (Ist = 1 Gebinde); </v>
      </c>
      <c r="BK487" s="48"/>
      <c r="BL487" s="48"/>
      <c r="BM487" s="55"/>
      <c r="BN487" s="50" t="n">
        <v>30</v>
      </c>
      <c r="BO487" s="50" t="n">
        <v>0</v>
      </c>
      <c r="BP487" s="49" t="n">
        <v>44.7</v>
      </c>
      <c r="BQ487" s="50" t="n">
        <v>0</v>
      </c>
      <c r="BR487" s="48"/>
      <c r="BS487" s="53" t="n">
        <v>0</v>
      </c>
      <c r="BT487" s="53" t="n">
        <v>487</v>
      </c>
      <c r="BU487" s="48" t="str">
        <f aca="false">IF(U487&lt;&gt;"",UPPER(TRIM(U487)),IF(BX487=1,UPPER(VLOOKUP(T487,Parameter!$I$27:$K$29,2,0)),IF(P487="","LOSE",P487)))</f>
        <v>S51</v>
      </c>
      <c r="BV487" s="50" t="n">
        <f aca="false">IF(BU487="LOSE",1,IF(N(V487)&gt;0,V487,IF(BX487=1,MAX(1,N(VLOOKUP(T487,Parameter!$I$27:$K$29,3,0)),H487,N(N487)),IF(N(Q487)&gt;0,Q487,MAX(1,H487)))))</f>
        <v>30</v>
      </c>
      <c r="BW487" s="53" t="n">
        <f aca="false">IF(BU487="LOSE",1,0)</f>
        <v>0</v>
      </c>
      <c r="BX487" s="53" t="n">
        <f aca="false">IF(AND(U487="",OR(P487="",P487="LOSE"),T487&lt;&gt;"",N(S487)&lt;=0,ISNUMBER(MATCH(T487,Parameter!$I$27:$I$29,0))),1,0)</f>
        <v>1</v>
      </c>
      <c r="BY487" s="53" t="n">
        <f aca="false">IF(CL487&gt;0,INDEX(Parameter!$H$5:$H$7,W487)/INDEX(Parameter!$E$5:$E$7,W487),IF(AND(BW487=0,N(IFERROR(VLOOKUP(BU487,'Gebinde-Kategorie'!$A$5:$N$45,14,0),0))&gt;0),VLOOKUP(BU487,'Gebinde-Kategorie'!$A$5:$N$45,14,0)*10+Parameter!$M$23,Parameter!$M$24))</f>
        <v>155</v>
      </c>
      <c r="BZ487" s="48" t="str">
        <f aca="false">IF(AND(Parameter!$B$19="Ja",E487&lt;&gt;"",ISNUMBER(MATCH(E487,Parameter!$I$35:$I$52,0))),VLOOKUP(E487,Parameter!$I$35:$J$52,2,0),IFERROR(VLOOKUP(D487,Parameter!$A$35:$C$64,2,0),"Nein"))</f>
        <v>2+3</v>
      </c>
      <c r="CA487" s="52" t="n">
        <f aca="false">IF(BW487=0,0,IF(N(S487)&gt;0,S487,IFERROR(VLOOKUP(D487,Parameter!$A$35:$C$64,3,0)+0,0)))</f>
        <v>0</v>
      </c>
      <c r="CB487" s="48" t="n">
        <f aca="false">IF(AA487&lt;&gt;"",AA487,Z487)</f>
        <v>3</v>
      </c>
      <c r="CC487" s="48" t="str">
        <f aca="false">IF(OR(CB487=1,CB487=2,CB487=3),IF(Parameter!$E$27="Ja","LIFT",IF(CB487=1,"L1","L23")),IF(CB487="Aussen","Aussen","-"))</f>
        <v>LIFT</v>
      </c>
      <c r="CD487" s="59" t="n">
        <f aca="false">IF(N(AB487)&gt;0,AB487,0)</f>
        <v>0</v>
      </c>
      <c r="CE487" s="53" t="n">
        <f aca="false">IF(ISNUMBER(AE487),1,0)</f>
        <v>0</v>
      </c>
      <c r="CF487" s="50" t="n">
        <f aca="false">N(AE487)</f>
        <v>0</v>
      </c>
      <c r="CG487" s="50" t="n">
        <f aca="false">N(M487)+N(N487)</f>
        <v>10</v>
      </c>
      <c r="CH487" s="50" t="n">
        <f aca="false">ROUNDUP(H487/BV487,0)</f>
        <v>1</v>
      </c>
      <c r="CI487" s="50" t="n">
        <f aca="false">ROUNDUP(CF487/BV487,0)</f>
        <v>0</v>
      </c>
      <c r="CJ487" s="53" t="n">
        <f aca="false">IF(BW487=1,0,IFERROR(VLOOKUP(BU487,'Gebinde-Kategorie'!$A$5:$N$45,5,0)+0,0))</f>
        <v>11</v>
      </c>
      <c r="CK487" s="53" t="n">
        <f aca="false">IFERROR(IF(OR(CB487=1,CB487=2,CB487=3),N(INDEX(Parameter!$I$5:$I$7,CB487)),0),0)</f>
        <v>0</v>
      </c>
      <c r="CL487" s="52" t="n">
        <f aca="false">IF(AND(Parameter!$B$21="Ja",ISNUMBER(W487),N(X487)&gt;0),IFERROR(N(INDEX(Parameter!$L$5:$L$7,W487))*INDEX(Parameter!$E$5:$E$7,W487)*X487/SUMIFS($X$7:$X$1843,$W$7:$W$1843,W487),0),0)</f>
        <v>0</v>
      </c>
    </row>
    <row r="488" customFormat="false" ht="15" hidden="false" customHeight="false" outlineLevel="0" collapsed="false">
      <c r="A488" s="48" t="s">
        <v>1085</v>
      </c>
      <c r="B488" s="48" t="s">
        <v>536</v>
      </c>
      <c r="C488" s="48" t="s">
        <v>171</v>
      </c>
      <c r="D488" s="48" t="s">
        <v>188</v>
      </c>
      <c r="E488" s="48"/>
      <c r="F488" s="48" t="s">
        <v>222</v>
      </c>
      <c r="G488" s="49" t="n">
        <v>14.75</v>
      </c>
      <c r="H488" s="50" t="n">
        <f aca="false">MAX(0,IF(AND(Parameter!$B$21="Ja",ISNUMBER(Y488)),Y488,IF(Parameter!$B$20="Jahresanfang 2025 + Export",BO488+BN488,BN488)))</f>
        <v>45</v>
      </c>
      <c r="I488" s="50" t="n">
        <f aca="false">H488*G488</f>
        <v>663.75</v>
      </c>
      <c r="J488" s="50" t="n">
        <f aca="false">BQ488*Parameter!$B$18</f>
        <v>0</v>
      </c>
      <c r="K488" s="51" t="n">
        <v>43.5</v>
      </c>
      <c r="L488" s="52" t="n">
        <v>0</v>
      </c>
      <c r="M488" s="50" t="n">
        <v>0</v>
      </c>
      <c r="N488" s="50" t="n">
        <v>1</v>
      </c>
      <c r="O488" s="53" t="n">
        <v>21</v>
      </c>
      <c r="P488" s="48" t="s">
        <v>172</v>
      </c>
      <c r="Q488" s="50"/>
      <c r="R488" s="53" t="n">
        <f aca="false">IF(BW488=1,0,IFERROR(VLOOKUP(BU488,'Gebinde-Kategorie'!$A$5:$N$45,13,0)+0,0))</f>
        <v>26</v>
      </c>
      <c r="S488" s="54"/>
      <c r="T488" s="55" t="s">
        <v>279</v>
      </c>
      <c r="U488" s="55"/>
      <c r="V488" s="55"/>
      <c r="W488" s="48"/>
      <c r="X488" s="50"/>
      <c r="Y488" s="50"/>
      <c r="Z488" s="48" t="n">
        <f aca="false">IF(A488="","",IF(AND(Parameter!$B$21="Ja",ISNUMBER(W488)),W488,IF(BZ488="2+3",IF(ISNUMBER(SEARCH("grosser Artikel",BR488)),2,IFERROR(VLOOKUP(BU488,Parameter!$F$35:$G$64,2,0),2)),IF(OR(BZ488="Nein",BZ488=""),"-",BZ488))))</f>
        <v>3</v>
      </c>
      <c r="AA488" s="55"/>
      <c r="AB488" s="56"/>
      <c r="AC488" s="50" t="n">
        <f aca="false">AT488</f>
        <v>45</v>
      </c>
      <c r="AD488" s="50" t="n">
        <f aca="false">MAX(AT488,H488)</f>
        <v>45</v>
      </c>
      <c r="AE488" s="57"/>
      <c r="AF488" s="50" t="n">
        <f aca="false">IF(LEFT(Cockpit!$C$5,1)="A",H488,IF(CE488=1,CF488,IF(LEFT(Cockpit!$C$5,1)="B",AK488,MAX(AK488,H488))))</f>
        <v>45</v>
      </c>
      <c r="AG488" s="50" t="n">
        <f aca="false">IF(BW488=1,0,ROUNDUP(AF488/BV488,0))</f>
        <v>1</v>
      </c>
      <c r="AH488" s="52" t="n">
        <f aca="false">IF(CL488&gt;0,CL488*MAX(1,AF488/X488),IF(BW488=1,IF(AF488&lt;=0,0,CA488*MAX(1,IF(H488&gt;0,AF488/H488,1))),IF(R488&gt;0,AG488/R488,0))/MAX(0.1,N(Parameter!$M$21)))</f>
        <v>0.0384615384615385</v>
      </c>
      <c r="AI488" s="50" t="n">
        <f aca="false">AH488*BY488</f>
        <v>5.96153846153846</v>
      </c>
      <c r="AJ488" s="50" t="n">
        <f aca="false">AF488*G488</f>
        <v>663.75</v>
      </c>
      <c r="AK488" s="50" t="n">
        <f aca="false">ROUNDUP(MAX(J488/IF(CD488&gt;0,CD488,MAX(0.1,N(Cockpit!$C$6))),CG488)/BV488,0)*BV488</f>
        <v>45</v>
      </c>
      <c r="AL488" s="51" t="n">
        <f aca="false">IF(AI488&gt;0,J488/AI488,-1)</f>
        <v>0</v>
      </c>
      <c r="AM488" s="51" t="n">
        <f aca="false">IF(AND(OR(CC488="L1",CC488="L23",CC488="LIFT"),AI488&gt;0),SUMIFS($AI$7:$AI$1843,$CC$7:$CC$1843,CC488,$AL$7:$AL$1843,"&gt;"&amp;AL488)+SUMIFS($AI$7:$AI$1843,$CC$7:$CC$1843,CC488,$AL$7:$AL$1843,AL488,$BT$7:$BT$1843,"&lt;="&amp;BT488),"")</f>
        <v>28253.8998934211</v>
      </c>
      <c r="AN488" s="58" t="n">
        <f aca="false">IF(AM488="",0,MAX(0,MIN(1,(IF(CC488="L1",Parameter!$H$5,IF(CC488="L23",Parameter!$H$6+Parameter!$H$7,Parameter!$H$5+Parameter!$H$6+Parameter!$H$7))-(AM488-AI488))/AI488)))</f>
        <v>1</v>
      </c>
      <c r="AO488" s="50" t="n">
        <f aca="false">IF(LEFT(Cockpit!$I$5,1)="A",H488,IF(CE488=1,CF488,IF(LEFT(Cockpit!$I$5,1)="B",AT488,MAX(AT488,H488))))</f>
        <v>45</v>
      </c>
      <c r="AP488" s="50" t="n">
        <f aca="false">IF(BW488=1,0,ROUNDUP(AO488/BV488,0))</f>
        <v>1</v>
      </c>
      <c r="AQ488" s="52" t="n">
        <f aca="false">IF(CL488&gt;0,CL488*MAX(1,AO488/X488),IF(BW488=1,IF(AO488&lt;=0,0,CA488*MAX(1,IF(H488&gt;0,AO488/H488,1))),IF(R488&gt;0,AP488/R488,0))/MAX(0.1,N(Parameter!$M$21)))</f>
        <v>0.0384615384615385</v>
      </c>
      <c r="AR488" s="50" t="n">
        <f aca="false">AQ488*BY488</f>
        <v>5.96153846153846</v>
      </c>
      <c r="AS488" s="50" t="n">
        <f aca="false">AO488*G488</f>
        <v>663.75</v>
      </c>
      <c r="AT488" s="50" t="n">
        <f aca="false">ROUNDUP(MAX(J488/IF(CD488&gt;0,CD488,MAX(0.1,N(Cockpit!$I$6))),CG488)/BV488,0)*BV488</f>
        <v>45</v>
      </c>
      <c r="AU488" s="51" t="n">
        <f aca="false">IF(AR488&gt;0,J488/AR488,-1)</f>
        <v>0</v>
      </c>
      <c r="AV488" s="51" t="n">
        <f aca="false">IF(AND(OR(CC488="L1",CC488="L23",CC488="LIFT"),AR488&gt;0),SUMIFS($AR$7:$AR$1843,$CC$7:$CC$1843,CC488,$AU$7:$AU$1843,"&gt;"&amp;AU488)+SUMIFS($AR$7:$AR$1843,$CC$7:$CC$1843,CC488,$AU$7:$AU$1843,AU488,$BT$7:$BT$1843,"&lt;="&amp;BT488),"")</f>
        <v>39566.805410691</v>
      </c>
      <c r="AW488" s="58" t="n">
        <f aca="false">IF(AV488="",0,MAX(0,MIN(1,(IF(CC488="L1",Parameter!$H$5,IF(CC488="L23",Parameter!$H$6+Parameter!$H$7,Parameter!$H$5+Parameter!$H$6+Parameter!$H$7))-(AV488-AR488))/AR488)))</f>
        <v>0</v>
      </c>
      <c r="AX488" s="50" t="n">
        <f aca="false">IF(LEFT(Cockpit!$O$5,1)="A",H488,IF(CE488=1,CF488,IF(LEFT(Cockpit!$O$5,1)="B",BC488,MAX(BC488,H488))))</f>
        <v>45</v>
      </c>
      <c r="AY488" s="50" t="n">
        <f aca="false">IF(BW488=1,0,ROUNDUP(AX488/BV488,0))</f>
        <v>1</v>
      </c>
      <c r="AZ488" s="52" t="n">
        <f aca="false">IF(CL488&gt;0,CL488*MAX(1,AX488/X488),IF(BW488=1,IF(AX488&lt;=0,0,CA488*MAX(1,IF(H488&gt;0,AX488/H488,1))),IF(R488&gt;0,AY488/R488,0))/MAX(0.1,N(Parameter!$M$21)))</f>
        <v>0.0384615384615385</v>
      </c>
      <c r="BA488" s="50" t="n">
        <f aca="false">AZ488*BY488</f>
        <v>5.96153846153846</v>
      </c>
      <c r="BB488" s="50" t="n">
        <f aca="false">AX488*G488</f>
        <v>663.75</v>
      </c>
      <c r="BC488" s="50" t="n">
        <f aca="false">ROUNDUP(MAX(J488/IF(CD488&gt;0,CD488,MAX(0.1,N(Cockpit!$O$6))),CG488)/BV488,0)*BV488</f>
        <v>45</v>
      </c>
      <c r="BD488" s="51" t="n">
        <f aca="false">IF(BA488&gt;0,J488/BA488,-1)</f>
        <v>0</v>
      </c>
      <c r="BE488" s="51" t="n">
        <f aca="false">IF(AND(OR(CC488="L1",CC488="L23",CC488="LIFT"),BA488&gt;0),SUMIFS($BA$7:$BA$1843,$CC$7:$CC$1843,CC488,$BD$7:$BD$1843,"&gt;"&amp;BD488)+SUMIFS($BA$7:$BA$1843,$CC$7:$CC$1843,CC488,$BD$7:$BD$1843,BD488,$BT$7:$BT$1843,"&lt;="&amp;BT488),"")</f>
        <v>36241.8174525569</v>
      </c>
      <c r="BF488" s="58" t="n">
        <f aca="false">IF(BE488="",0,MAX(0,MIN(1,(IF(CC488="L1",Parameter!$H$5,IF(CC488="L23",Parameter!$H$6+Parameter!$H$7,Parameter!$H$5+Parameter!$H$6+Parameter!$H$7))-(BE488-BA488))/BA488)))</f>
        <v>0</v>
      </c>
      <c r="BG488" s="48" t="str">
        <f aca="false">IF(AI488&lt;=0,"",IF(CC488="Aussen","Aussenlager",IF(CC488="-","Nicht im Lift",IF(AN488&gt;=1,"Lift",IF(AN488&lt;=0,"Aussenlager","teilweise")))))</f>
        <v>Lift</v>
      </c>
      <c r="BH488" s="48" t="str">
        <f aca="false">IF(AR488&lt;=0,"",IF(CC488="Aussen","Aussenlager",IF(CC488="-","Nicht im Lift",IF(AW488&gt;=1,"Lift",IF(AW488&lt;=0,"Aussenlager","teilweise")))))</f>
        <v>Aussenlager</v>
      </c>
      <c r="BI488" s="48" t="str">
        <f aca="false">IF(BA488&lt;=0,"",IF(CC488="Aussen","Aussenlager",IF(CC488="-","Nicht im Lift",IF(BF488&gt;=1,"Lift",IF(BF488&lt;=0,"Aussenlager","teilweise")))))</f>
        <v>Aussenlager</v>
      </c>
      <c r="BJ488" s="48" t="str">
        <f aca="false">IF(A488="","",IF(BS488=1,"Neu; ","")&amp;IF(AND(BS488=0,BN488&lt;0),"negativer Bestand (Export "&amp;BN488&amp;"); ","")&amp;IF(J488&lt;=0,"Kein Verbrauch; ","")&amp;IF(CL488&gt;0,"Lift "&amp;W488&amp;" lt. Liftbericht (Fach "&amp;X488&amp;" Stk); ",IF(BX488=1,"Gebinde geschätzt ("&amp;T488&amp;"); ",IF(BW488=1,"Lose – Tablare geschätzt; ","")))&amp;IF(H488&gt;AT488,"Überbestand "&amp;ROUND(H488-AT488,0)&amp;" Stk / CHF "&amp;ROUND((H488-AT488)*G488,0)&amp;"; ","")&amp;IF(AND(CE488=1,CF488&lt;CG488),"MAX &lt; MB+LG; ","")&amp;IF(AND(CK488&gt;0,CJ488*10&gt;CK488),"zu hoch für Tablar; ","")&amp;IF(AND(BS488=0,OR(CE488=1,AA488&lt;&gt;"",U488&lt;&gt;"",V488&lt;&gt;"",AB488&lt;&gt;"")),"manuell übersteuert; ","")&amp;IF(AND(BW488=0,R488=0),"Gebinde unbekannt / Stellmass fehlt; ","")&amp;IF(AND(BW488=0,N(V488)&lt;=0,N(Q488)&lt;=0),"Menge pro Gebinde fehlt (Ist = 1 Gebinde); ","")&amp;BR488)</f>
        <v>Kein Verbrauch; Gebinde geschätzt (Klein); Menge pro Gebinde fehlt (Ist = 1 Gebinde); </v>
      </c>
      <c r="BK488" s="48"/>
      <c r="BL488" s="48"/>
      <c r="BM488" s="55"/>
      <c r="BN488" s="50" t="n">
        <v>3</v>
      </c>
      <c r="BO488" s="50" t="n">
        <v>42</v>
      </c>
      <c r="BP488" s="49" t="n">
        <v>44.25</v>
      </c>
      <c r="BQ488" s="50" t="n">
        <v>0</v>
      </c>
      <c r="BR488" s="48"/>
      <c r="BS488" s="53" t="n">
        <v>0</v>
      </c>
      <c r="BT488" s="53" t="n">
        <v>488</v>
      </c>
      <c r="BU488" s="48" t="str">
        <f aca="false">IF(U488&lt;&gt;"",UPPER(TRIM(U488)),IF(BX488=1,UPPER(VLOOKUP(T488,Parameter!$I$27:$K$29,2,0)),IF(P488="","LOSE",P488)))</f>
        <v>S51</v>
      </c>
      <c r="BV488" s="50" t="n">
        <f aca="false">IF(BU488="LOSE",1,IF(N(V488)&gt;0,V488,IF(BX488=1,MAX(1,N(VLOOKUP(T488,Parameter!$I$27:$K$29,3,0)),H488,N(N488)),IF(N(Q488)&gt;0,Q488,MAX(1,H488)))))</f>
        <v>45</v>
      </c>
      <c r="BW488" s="53" t="n">
        <f aca="false">IF(BU488="LOSE",1,0)</f>
        <v>0</v>
      </c>
      <c r="BX488" s="53" t="n">
        <f aca="false">IF(AND(U488="",OR(P488="",P488="LOSE"),T488&lt;&gt;"",N(S488)&lt;=0,ISNUMBER(MATCH(T488,Parameter!$I$27:$I$29,0))),1,0)</f>
        <v>1</v>
      </c>
      <c r="BY488" s="53" t="n">
        <f aca="false">IF(CL488&gt;0,INDEX(Parameter!$H$5:$H$7,W488)/INDEX(Parameter!$E$5:$E$7,W488),IF(AND(BW488=0,N(IFERROR(VLOOKUP(BU488,'Gebinde-Kategorie'!$A$5:$N$45,14,0),0))&gt;0),VLOOKUP(BU488,'Gebinde-Kategorie'!$A$5:$N$45,14,0)*10+Parameter!$M$23,Parameter!$M$24))</f>
        <v>155</v>
      </c>
      <c r="BZ488" s="48" t="str">
        <f aca="false">IF(AND(Parameter!$B$19="Ja",E488&lt;&gt;"",ISNUMBER(MATCH(E488,Parameter!$I$35:$I$52,0))),VLOOKUP(E488,Parameter!$I$35:$J$52,2,0),IFERROR(VLOOKUP(D488,Parameter!$A$35:$C$64,2,0),"Nein"))</f>
        <v>2+3</v>
      </c>
      <c r="CA488" s="52" t="n">
        <f aca="false">IF(BW488=0,0,IF(N(S488)&gt;0,S488,IFERROR(VLOOKUP(D488,Parameter!$A$35:$C$64,3,0)+0,0)))</f>
        <v>0</v>
      </c>
      <c r="CB488" s="48" t="n">
        <f aca="false">IF(AA488&lt;&gt;"",AA488,Z488)</f>
        <v>3</v>
      </c>
      <c r="CC488" s="48" t="str">
        <f aca="false">IF(OR(CB488=1,CB488=2,CB488=3),IF(Parameter!$E$27="Ja","LIFT",IF(CB488=1,"L1","L23")),IF(CB488="Aussen","Aussen","-"))</f>
        <v>LIFT</v>
      </c>
      <c r="CD488" s="59" t="n">
        <f aca="false">IF(N(AB488)&gt;0,AB488,0)</f>
        <v>0</v>
      </c>
      <c r="CE488" s="53" t="n">
        <f aca="false">IF(ISNUMBER(AE488),1,0)</f>
        <v>0</v>
      </c>
      <c r="CF488" s="50" t="n">
        <f aca="false">N(AE488)</f>
        <v>0</v>
      </c>
      <c r="CG488" s="50" t="n">
        <f aca="false">N(M488)+N(N488)</f>
        <v>1</v>
      </c>
      <c r="CH488" s="50" t="n">
        <f aca="false">ROUNDUP(H488/BV488,0)</f>
        <v>1</v>
      </c>
      <c r="CI488" s="50" t="n">
        <f aca="false">ROUNDUP(CF488/BV488,0)</f>
        <v>0</v>
      </c>
      <c r="CJ488" s="53" t="n">
        <f aca="false">IF(BW488=1,0,IFERROR(VLOOKUP(BU488,'Gebinde-Kategorie'!$A$5:$N$45,5,0)+0,0))</f>
        <v>11</v>
      </c>
      <c r="CK488" s="53" t="n">
        <f aca="false">IFERROR(IF(OR(CB488=1,CB488=2,CB488=3),N(INDEX(Parameter!$I$5:$I$7,CB488)),0),0)</f>
        <v>0</v>
      </c>
      <c r="CL488" s="52" t="n">
        <f aca="false">IF(AND(Parameter!$B$21="Ja",ISNUMBER(W488),N(X488)&gt;0),IFERROR(N(INDEX(Parameter!$L$5:$L$7,W488))*INDEX(Parameter!$E$5:$E$7,W488)*X488/SUMIFS($X$7:$X$1843,$W$7:$W$1843,W488),0),0)</f>
        <v>0</v>
      </c>
    </row>
    <row r="489" customFormat="false" ht="15" hidden="false" customHeight="false" outlineLevel="0" collapsed="false">
      <c r="A489" s="48" t="s">
        <v>1086</v>
      </c>
      <c r="B489" s="48" t="s">
        <v>1087</v>
      </c>
      <c r="C489" s="48" t="s">
        <v>168</v>
      </c>
      <c r="D489" s="48" t="s">
        <v>188</v>
      </c>
      <c r="E489" s="48" t="s">
        <v>189</v>
      </c>
      <c r="F489" s="48" t="s">
        <v>222</v>
      </c>
      <c r="G489" s="49" t="n">
        <v>3.74</v>
      </c>
      <c r="H489" s="50" t="n">
        <f aca="false">MAX(0,IF(AND(Parameter!$B$21="Ja",ISNUMBER(Y489)),Y489,IF(Parameter!$B$20="Jahresanfang 2025 + Export",BO489+BN489,BN489)))</f>
        <v>52</v>
      </c>
      <c r="I489" s="50" t="n">
        <f aca="false">H489*G489</f>
        <v>194.48</v>
      </c>
      <c r="J489" s="50" t="n">
        <f aca="false">BQ489*Parameter!$B$18</f>
        <v>16</v>
      </c>
      <c r="K489" s="51" t="n">
        <v>55</v>
      </c>
      <c r="L489" s="52" t="n">
        <v>0.290909090909091</v>
      </c>
      <c r="M489" s="50" t="n">
        <v>2</v>
      </c>
      <c r="N489" s="50" t="n">
        <v>50</v>
      </c>
      <c r="O489" s="53" t="n">
        <v>35</v>
      </c>
      <c r="P489" s="48" t="s">
        <v>332</v>
      </c>
      <c r="Q489" s="50" t="n">
        <v>78</v>
      </c>
      <c r="R489" s="53" t="n">
        <f aca="false">IF(BW489=1,0,IFERROR(VLOOKUP(BU489,'Gebinde-Kategorie'!$A$5:$N$45,13,0)+0,0))</f>
        <v>52</v>
      </c>
      <c r="S489" s="54"/>
      <c r="T489" s="55"/>
      <c r="U489" s="55"/>
      <c r="V489" s="55"/>
      <c r="W489" s="48"/>
      <c r="X489" s="50"/>
      <c r="Y489" s="50"/>
      <c r="Z489" s="48" t="n">
        <f aca="false">IF(A489="","",IF(AND(Parameter!$B$21="Ja",ISNUMBER(W489)),W489,IF(BZ489="2+3",IF(ISNUMBER(SEARCH("grosser Artikel",BR489)),2,IFERROR(VLOOKUP(BU489,Parameter!$F$35:$G$64,2,0),2)),IF(OR(BZ489="Nein",BZ489=""),"-",BZ489))))</f>
        <v>3</v>
      </c>
      <c r="AA489" s="55"/>
      <c r="AB489" s="56"/>
      <c r="AC489" s="50" t="n">
        <f aca="false">AT489</f>
        <v>78</v>
      </c>
      <c r="AD489" s="50" t="n">
        <f aca="false">MAX(AT489,H489)</f>
        <v>78</v>
      </c>
      <c r="AE489" s="57"/>
      <c r="AF489" s="50" t="n">
        <f aca="false">IF(LEFT(Cockpit!$C$5,1)="A",H489,IF(CE489=1,CF489,IF(LEFT(Cockpit!$C$5,1)="B",AK489,MAX(AK489,H489))))</f>
        <v>52</v>
      </c>
      <c r="AG489" s="50" t="n">
        <f aca="false">IF(BW489=1,0,ROUNDUP(AF489/BV489,0))</f>
        <v>1</v>
      </c>
      <c r="AH489" s="52" t="n">
        <f aca="false">IF(CL489&gt;0,CL489*MAX(1,AF489/X489),IF(BW489=1,IF(AF489&lt;=0,0,CA489*MAX(1,IF(H489&gt;0,AF489/H489,1))),IF(R489&gt;0,AG489/R489,0))/MAX(0.1,N(Parameter!$M$21)))</f>
        <v>0.0192307692307692</v>
      </c>
      <c r="AI489" s="50" t="n">
        <f aca="false">AH489*BY489</f>
        <v>2.98076923076923</v>
      </c>
      <c r="AJ489" s="50" t="n">
        <f aca="false">AF489*G489</f>
        <v>194.48</v>
      </c>
      <c r="AK489" s="50" t="n">
        <f aca="false">ROUNDUP(MAX(J489/IF(CD489&gt;0,CD489,MAX(0.1,N(Cockpit!$C$6))),CG489)/BV489,0)*BV489</f>
        <v>78</v>
      </c>
      <c r="AL489" s="51" t="n">
        <f aca="false">IF(AI489&gt;0,J489/AI489,-1)</f>
        <v>5.36774193548387</v>
      </c>
      <c r="AM489" s="51" t="n">
        <f aca="false">IF(AND(OR(CC489="L1",CC489="L23",CC489="LIFT"),AI489&gt;0),SUMIFS($AI$7:$AI$1843,$CC$7:$CC$1843,CC489,$AL$7:$AL$1843,"&gt;"&amp;AL489)+SUMIFS($AI$7:$AI$1843,$CC$7:$CC$1843,CC489,$AL$7:$AL$1843,AL489,$BT$7:$BT$1843,"&lt;="&amp;BT489),"")</f>
        <v>3723.21062271062</v>
      </c>
      <c r="AN489" s="58" t="n">
        <f aca="false">IF(AM489="",0,MAX(0,MIN(1,(IF(CC489="L1",Parameter!$H$5,IF(CC489="L23",Parameter!$H$6+Parameter!$H$7,Parameter!$H$5+Parameter!$H$6+Parameter!$H$7))-(AM489-AI489))/AI489)))</f>
        <v>1</v>
      </c>
      <c r="AO489" s="50" t="n">
        <f aca="false">IF(LEFT(Cockpit!$I$5,1)="A",H489,IF(CE489=1,CF489,IF(LEFT(Cockpit!$I$5,1)="B",AT489,MAX(AT489,H489))))</f>
        <v>78</v>
      </c>
      <c r="AP489" s="50" t="n">
        <f aca="false">IF(BW489=1,0,ROUNDUP(AO489/BV489,0))</f>
        <v>1</v>
      </c>
      <c r="AQ489" s="52" t="n">
        <f aca="false">IF(CL489&gt;0,CL489*MAX(1,AO489/X489),IF(BW489=1,IF(AO489&lt;=0,0,CA489*MAX(1,IF(H489&gt;0,AO489/H489,1))),IF(R489&gt;0,AP489/R489,0))/MAX(0.1,N(Parameter!$M$21)))</f>
        <v>0.0192307692307692</v>
      </c>
      <c r="AR489" s="50" t="n">
        <f aca="false">AQ489*BY489</f>
        <v>2.98076923076923</v>
      </c>
      <c r="AS489" s="50" t="n">
        <f aca="false">AO489*G489</f>
        <v>291.72</v>
      </c>
      <c r="AT489" s="50" t="n">
        <f aca="false">ROUNDUP(MAX(J489/IF(CD489&gt;0,CD489,MAX(0.1,N(Cockpit!$I$6))),CG489)/BV489,0)*BV489</f>
        <v>78</v>
      </c>
      <c r="AU489" s="51" t="n">
        <f aca="false">IF(AR489&gt;0,J489/AR489,-1)</f>
        <v>5.36774193548387</v>
      </c>
      <c r="AV489" s="51" t="n">
        <f aca="false">IF(AND(OR(CC489="L1",CC489="L23",CC489="LIFT"),AR489&gt;0),SUMIFS($AR$7:$AR$1843,$CC$7:$CC$1843,CC489,$AU$7:$AU$1843,"&gt;"&amp;AU489)+SUMIFS($AR$7:$AR$1843,$CC$7:$CC$1843,CC489,$AU$7:$AU$1843,AU489,$BT$7:$BT$1843,"&lt;="&amp;BT489),"")</f>
        <v>4907.51007326007</v>
      </c>
      <c r="AW489" s="58" t="n">
        <f aca="false">IF(AV489="",0,MAX(0,MIN(1,(IF(CC489="L1",Parameter!$H$5,IF(CC489="L23",Parameter!$H$6+Parameter!$H$7,Parameter!$H$5+Parameter!$H$6+Parameter!$H$7))-(AV489-AR489))/AR489)))</f>
        <v>1</v>
      </c>
      <c r="AX489" s="50" t="n">
        <f aca="false">IF(LEFT(Cockpit!$O$5,1)="A",H489,IF(CE489=1,CF489,IF(LEFT(Cockpit!$O$5,1)="B",BC489,MAX(BC489,H489))))</f>
        <v>78</v>
      </c>
      <c r="AY489" s="50" t="n">
        <f aca="false">IF(BW489=1,0,ROUNDUP(AX489/BV489,0))</f>
        <v>1</v>
      </c>
      <c r="AZ489" s="52" t="n">
        <f aca="false">IF(CL489&gt;0,CL489*MAX(1,AX489/X489),IF(BW489=1,IF(AX489&lt;=0,0,CA489*MAX(1,IF(H489&gt;0,AX489/H489,1))),IF(R489&gt;0,AY489/R489,0))/MAX(0.1,N(Parameter!$M$21)))</f>
        <v>0.0192307692307692</v>
      </c>
      <c r="BA489" s="50" t="n">
        <f aca="false">AZ489*BY489</f>
        <v>2.98076923076923</v>
      </c>
      <c r="BB489" s="50" t="n">
        <f aca="false">AX489*G489</f>
        <v>291.72</v>
      </c>
      <c r="BC489" s="50" t="n">
        <f aca="false">ROUNDUP(MAX(J489/IF(CD489&gt;0,CD489,MAX(0.1,N(Cockpit!$O$6))),CG489)/BV489,0)*BV489</f>
        <v>78</v>
      </c>
      <c r="BD489" s="51" t="n">
        <f aca="false">IF(BA489&gt;0,J489/BA489,-1)</f>
        <v>5.36774193548387</v>
      </c>
      <c r="BE489" s="51" t="n">
        <f aca="false">IF(AND(OR(CC489="L1",CC489="L23",CC489="LIFT"),BA489&gt;0),SUMIFS($BA$7:$BA$1843,$CC$7:$CC$1843,CC489,$BD$7:$BD$1843,"&gt;"&amp;BD489)+SUMIFS($BA$7:$BA$1843,$CC$7:$CC$1843,CC489,$BD$7:$BD$1843,BD489,$BT$7:$BT$1843,"&lt;="&amp;BT489),"")</f>
        <v>4577.97481684982</v>
      </c>
      <c r="BF489" s="58" t="n">
        <f aca="false">IF(BE489="",0,MAX(0,MIN(1,(IF(CC489="L1",Parameter!$H$5,IF(CC489="L23",Parameter!$H$6+Parameter!$H$7,Parameter!$H$5+Parameter!$H$6+Parameter!$H$7))-(BE489-BA489))/BA489)))</f>
        <v>1</v>
      </c>
      <c r="BG489" s="48" t="str">
        <f aca="false">IF(AI489&lt;=0,"",IF(CC489="Aussen","Aussenlager",IF(CC489="-","Nicht im Lift",IF(AN489&gt;=1,"Lift",IF(AN489&lt;=0,"Aussenlager","teilweise")))))</f>
        <v>Lift</v>
      </c>
      <c r="BH489" s="48" t="str">
        <f aca="false">IF(AR489&lt;=0,"",IF(CC489="Aussen","Aussenlager",IF(CC489="-","Nicht im Lift",IF(AW489&gt;=1,"Lift",IF(AW489&lt;=0,"Aussenlager","teilweise")))))</f>
        <v>Lift</v>
      </c>
      <c r="BI489" s="48" t="str">
        <f aca="false">IF(BA489&lt;=0,"",IF(CC489="Aussen","Aussenlager",IF(CC489="-","Nicht im Lift",IF(BF489&gt;=1,"Lift",IF(BF489&lt;=0,"Aussenlager","teilweise")))))</f>
        <v>Lift</v>
      </c>
      <c r="BJ489" s="48" t="str">
        <f aca="false">IF(A489="","",IF(BS489=1,"Neu; ","")&amp;IF(AND(BS489=0,BN489&lt;0),"negativer Bestand (Export "&amp;BN489&amp;"); ","")&amp;IF(J489&lt;=0,"Kein Verbrauch; ","")&amp;IF(CL489&gt;0,"Lift "&amp;W489&amp;" lt. Liftbericht (Fach "&amp;X489&amp;" Stk); ",IF(BX489=1,"Gebinde geschätzt ("&amp;T489&amp;"); ",IF(BW489=1,"Lose – Tablare geschätzt; ","")))&amp;IF(H489&gt;AT489,"Überbestand "&amp;ROUND(H489-AT489,0)&amp;" Stk / CHF "&amp;ROUND((H489-AT489)*G489,0)&amp;"; ","")&amp;IF(AND(CE489=1,CF489&lt;CG489),"MAX &lt; MB+LG; ","")&amp;IF(AND(CK489&gt;0,CJ489*10&gt;CK489),"zu hoch für Tablar; ","")&amp;IF(AND(BS489=0,OR(CE489=1,AA489&lt;&gt;"",U489&lt;&gt;"",V489&lt;&gt;"",AB489&lt;&gt;"")),"manuell übersteuert; ","")&amp;IF(AND(BW489=0,R489=0),"Gebinde unbekannt / Stellmass fehlt; ","")&amp;IF(AND(BW489=0,N(V489)&lt;=0,N(Q489)&lt;=0),"Menge pro Gebinde fehlt (Ist = 1 Gebinde); ","")&amp;BR489)</f>
        <v>Neu</v>
      </c>
      <c r="BK489" s="48"/>
      <c r="BL489" s="48"/>
      <c r="BM489" s="55"/>
      <c r="BN489" s="50" t="n">
        <v>10</v>
      </c>
      <c r="BO489" s="50" t="n">
        <v>42</v>
      </c>
      <c r="BP489" s="49" t="n">
        <v>44.12</v>
      </c>
      <c r="BQ489" s="50" t="n">
        <v>16</v>
      </c>
      <c r="BR489" s="48" t="s">
        <v>630</v>
      </c>
      <c r="BS489" s="53" t="n">
        <v>0</v>
      </c>
      <c r="BT489" s="53" t="n">
        <v>489</v>
      </c>
      <c r="BU489" s="48" t="str">
        <f aca="false">IF(U489&lt;&gt;"",UPPER(TRIM(U489)),IF(BX489=1,UPPER(VLOOKUP(T489,Parameter!$I$27:$K$29,2,0)),IF(P489="","LOSE",P489)))</f>
        <v>S41</v>
      </c>
      <c r="BV489" s="50" t="n">
        <f aca="false">IF(BU489="LOSE",1,IF(N(V489)&gt;0,V489,IF(BX489=1,MAX(1,N(VLOOKUP(T489,Parameter!$I$27:$K$29,3,0)),H489,N(N489)),IF(N(Q489)&gt;0,Q489,MAX(1,H489)))))</f>
        <v>78</v>
      </c>
      <c r="BW489" s="53" t="n">
        <f aca="false">IF(BU489="LOSE",1,0)</f>
        <v>0</v>
      </c>
      <c r="BX489" s="53" t="n">
        <f aca="false">IF(AND(U489="",OR(P489="",P489="LOSE"),T489&lt;&gt;"",N(S489)&lt;=0,ISNUMBER(MATCH(T489,Parameter!$I$27:$I$29,0))),1,0)</f>
        <v>0</v>
      </c>
      <c r="BY489" s="53" t="n">
        <f aca="false">IF(CL489&gt;0,INDEX(Parameter!$H$5:$H$7,W489)/INDEX(Parameter!$E$5:$E$7,W489),IF(AND(BW489=0,N(IFERROR(VLOOKUP(BU489,'Gebinde-Kategorie'!$A$5:$N$45,14,0),0))&gt;0),VLOOKUP(BU489,'Gebinde-Kategorie'!$A$5:$N$45,14,0)*10+Parameter!$M$23,Parameter!$M$24))</f>
        <v>155</v>
      </c>
      <c r="BZ489" s="48" t="str">
        <f aca="false">IF(AND(Parameter!$B$19="Ja",E489&lt;&gt;"",ISNUMBER(MATCH(E489,Parameter!$I$35:$I$52,0))),VLOOKUP(E489,Parameter!$I$35:$J$52,2,0),IFERROR(VLOOKUP(D489,Parameter!$A$35:$C$64,2,0),"Nein"))</f>
        <v>2+3</v>
      </c>
      <c r="CA489" s="52" t="n">
        <f aca="false">IF(BW489=0,0,IF(N(S489)&gt;0,S489,IFERROR(VLOOKUP(D489,Parameter!$A$35:$C$64,3,0)+0,0)))</f>
        <v>0</v>
      </c>
      <c r="CB489" s="48" t="n">
        <f aca="false">IF(AA489&lt;&gt;"",AA489,Z489)</f>
        <v>3</v>
      </c>
      <c r="CC489" s="48" t="str">
        <f aca="false">IF(OR(CB489=1,CB489=2,CB489=3),IF(Parameter!$E$27="Ja","LIFT",IF(CB489=1,"L1","L23")),IF(CB489="Aussen","Aussen","-"))</f>
        <v>LIFT</v>
      </c>
      <c r="CD489" s="59" t="n">
        <f aca="false">IF(N(AB489)&gt;0,AB489,0)</f>
        <v>0</v>
      </c>
      <c r="CE489" s="53" t="n">
        <f aca="false">IF(ISNUMBER(AE489),1,0)</f>
        <v>0</v>
      </c>
      <c r="CF489" s="50" t="n">
        <f aca="false">N(AE489)</f>
        <v>0</v>
      </c>
      <c r="CG489" s="50" t="n">
        <f aca="false">N(M489)+N(N489)</f>
        <v>52</v>
      </c>
      <c r="CH489" s="50" t="n">
        <f aca="false">ROUNDUP(H489/BV489,0)</f>
        <v>1</v>
      </c>
      <c r="CI489" s="50" t="n">
        <f aca="false">ROUNDUP(CF489/BV489,0)</f>
        <v>0</v>
      </c>
      <c r="CJ489" s="53" t="n">
        <f aca="false">IF(BW489=1,0,IFERROR(VLOOKUP(BU489,'Gebinde-Kategorie'!$A$5:$N$45,5,0)+0,0))</f>
        <v>11</v>
      </c>
      <c r="CK489" s="53" t="n">
        <f aca="false">IFERROR(IF(OR(CB489=1,CB489=2,CB489=3),N(INDEX(Parameter!$I$5:$I$7,CB489)),0),0)</f>
        <v>0</v>
      </c>
      <c r="CL489" s="52" t="n">
        <f aca="false">IF(AND(Parameter!$B$21="Ja",ISNUMBER(W489),N(X489)&gt;0),IFERROR(N(INDEX(Parameter!$L$5:$L$7,W489))*INDEX(Parameter!$E$5:$E$7,W489)*X489/SUMIFS($X$7:$X$1843,$W$7:$W$1843,W489),0),0)</f>
        <v>0</v>
      </c>
    </row>
    <row r="490" customFormat="false" ht="15" hidden="false" customHeight="false" outlineLevel="0" collapsed="false">
      <c r="A490" s="48" t="s">
        <v>1088</v>
      </c>
      <c r="B490" s="48" t="s">
        <v>511</v>
      </c>
      <c r="C490" s="48" t="s">
        <v>168</v>
      </c>
      <c r="D490" s="48" t="s">
        <v>188</v>
      </c>
      <c r="E490" s="48" t="s">
        <v>189</v>
      </c>
      <c r="F490" s="48" t="s">
        <v>222</v>
      </c>
      <c r="G490" s="49" t="n">
        <v>2.3</v>
      </c>
      <c r="H490" s="50" t="n">
        <f aca="false">MAX(0,IF(AND(Parameter!$B$21="Ja",ISNUMBER(Y490)),Y490,IF(Parameter!$B$20="Jahresanfang 2025 + Export",BO490+BN490,BN490)))</f>
        <v>69</v>
      </c>
      <c r="I490" s="50" t="n">
        <f aca="false">H490*G490</f>
        <v>158.7</v>
      </c>
      <c r="J490" s="50" t="n">
        <f aca="false">BQ490*Parameter!$B$18</f>
        <v>116</v>
      </c>
      <c r="K490" s="51" t="n">
        <v>85</v>
      </c>
      <c r="L490" s="52" t="n">
        <v>1.36470588235294</v>
      </c>
      <c r="M490" s="50" t="n">
        <v>6</v>
      </c>
      <c r="N490" s="50" t="n">
        <v>115</v>
      </c>
      <c r="O490" s="53" t="n">
        <v>21</v>
      </c>
      <c r="P490" s="48" t="s">
        <v>306</v>
      </c>
      <c r="Q490" s="50" t="n">
        <v>295</v>
      </c>
      <c r="R490" s="53" t="n">
        <f aca="false">IF(BW490=1,0,IFERROR(VLOOKUP(BU490,'Gebinde-Kategorie'!$A$5:$N$45,13,0)+0,0))</f>
        <v>26</v>
      </c>
      <c r="S490" s="54"/>
      <c r="T490" s="55"/>
      <c r="U490" s="55"/>
      <c r="V490" s="55"/>
      <c r="W490" s="48"/>
      <c r="X490" s="50"/>
      <c r="Y490" s="50"/>
      <c r="Z490" s="48" t="n">
        <f aca="false">IF(A490="","",IF(AND(Parameter!$B$21="Ja",ISNUMBER(W490)),W490,IF(BZ490="2+3",IF(ISNUMBER(SEARCH("grosser Artikel",BR490)),2,IFERROR(VLOOKUP(BU490,Parameter!$F$35:$G$64,2,0),2)),IF(OR(BZ490="Nein",BZ490=""),"-",BZ490))))</f>
        <v>3</v>
      </c>
      <c r="AA490" s="55"/>
      <c r="AB490" s="56"/>
      <c r="AC490" s="50" t="n">
        <f aca="false">AT490</f>
        <v>295</v>
      </c>
      <c r="AD490" s="50" t="n">
        <f aca="false">MAX(AT490,H490)</f>
        <v>295</v>
      </c>
      <c r="AE490" s="57"/>
      <c r="AF490" s="50" t="n">
        <f aca="false">IF(LEFT(Cockpit!$C$5,1)="A",H490,IF(CE490=1,CF490,IF(LEFT(Cockpit!$C$5,1)="B",AK490,MAX(AK490,H490))))</f>
        <v>69</v>
      </c>
      <c r="AG490" s="50" t="n">
        <f aca="false">IF(BW490=1,0,ROUNDUP(AF490/BV490,0))</f>
        <v>1</v>
      </c>
      <c r="AH490" s="52" t="n">
        <f aca="false">IF(CL490&gt;0,CL490*MAX(1,AF490/X490),IF(BW490=1,IF(AF490&lt;=0,0,CA490*MAX(1,IF(H490&gt;0,AF490/H490,1))),IF(R490&gt;0,AG490/R490,0))/MAX(0.1,N(Parameter!$M$21)))</f>
        <v>0.0384615384615385</v>
      </c>
      <c r="AI490" s="50" t="n">
        <f aca="false">AH490*BY490</f>
        <v>5.96153846153846</v>
      </c>
      <c r="AJ490" s="50" t="n">
        <f aca="false">AF490*G490</f>
        <v>158.7</v>
      </c>
      <c r="AK490" s="50" t="n">
        <f aca="false">ROUNDUP(MAX(J490/IF(CD490&gt;0,CD490,MAX(0.1,N(Cockpit!$C$6))),CG490)/BV490,0)*BV490</f>
        <v>295</v>
      </c>
      <c r="AL490" s="51" t="n">
        <f aca="false">IF(AI490&gt;0,J490/AI490,-1)</f>
        <v>19.458064516129</v>
      </c>
      <c r="AM490" s="51" t="n">
        <f aca="false">IF(AND(OR(CC490="L1",CC490="L23",CC490="LIFT"),AI490&gt;0),SUMIFS($AI$7:$AI$1843,$CC$7:$CC$1843,CC490,$AL$7:$AL$1843,"&gt;"&amp;AL490)+SUMIFS($AI$7:$AI$1843,$CC$7:$CC$1843,CC490,$AL$7:$AL$1843,AL490,$BT$7:$BT$1843,"&lt;="&amp;BT490),"")</f>
        <v>1725.05128205128</v>
      </c>
      <c r="AN490" s="58" t="n">
        <f aca="false">IF(AM490="",0,MAX(0,MIN(1,(IF(CC490="L1",Parameter!$H$5,IF(CC490="L23",Parameter!$H$6+Parameter!$H$7,Parameter!$H$5+Parameter!$H$6+Parameter!$H$7))-(AM490-AI490))/AI490)))</f>
        <v>1</v>
      </c>
      <c r="AO490" s="50" t="n">
        <f aca="false">IF(LEFT(Cockpit!$I$5,1)="A",H490,IF(CE490=1,CF490,IF(LEFT(Cockpit!$I$5,1)="B",AT490,MAX(AT490,H490))))</f>
        <v>295</v>
      </c>
      <c r="AP490" s="50" t="n">
        <f aca="false">IF(BW490=1,0,ROUNDUP(AO490/BV490,0))</f>
        <v>1</v>
      </c>
      <c r="AQ490" s="52" t="n">
        <f aca="false">IF(CL490&gt;0,CL490*MAX(1,AO490/X490),IF(BW490=1,IF(AO490&lt;=0,0,CA490*MAX(1,IF(H490&gt;0,AO490/H490,1))),IF(R490&gt;0,AP490/R490,0))/MAX(0.1,N(Parameter!$M$21)))</f>
        <v>0.0384615384615385</v>
      </c>
      <c r="AR490" s="50" t="n">
        <f aca="false">AQ490*BY490</f>
        <v>5.96153846153846</v>
      </c>
      <c r="AS490" s="50" t="n">
        <f aca="false">AO490*G490</f>
        <v>678.5</v>
      </c>
      <c r="AT490" s="50" t="n">
        <f aca="false">ROUNDUP(MAX(J490/IF(CD490&gt;0,CD490,MAX(0.1,N(Cockpit!$I$6))),CG490)/BV490,0)*BV490</f>
        <v>295</v>
      </c>
      <c r="AU490" s="51" t="n">
        <f aca="false">IF(AR490&gt;0,J490/AR490,-1)</f>
        <v>19.458064516129</v>
      </c>
      <c r="AV490" s="51" t="n">
        <f aca="false">IF(AND(OR(CC490="L1",CC490="L23",CC490="LIFT"),AR490&gt;0),SUMIFS($AR$7:$AR$1843,$CC$7:$CC$1843,CC490,$AU$7:$AU$1843,"&gt;"&amp;AU490)+SUMIFS($AR$7:$AR$1843,$CC$7:$CC$1843,CC490,$AU$7:$AU$1843,AU490,$BT$7:$BT$1843,"&lt;="&amp;BT490),"")</f>
        <v>2351.11217948718</v>
      </c>
      <c r="AW490" s="58" t="n">
        <f aca="false">IF(AV490="",0,MAX(0,MIN(1,(IF(CC490="L1",Parameter!$H$5,IF(CC490="L23",Parameter!$H$6+Parameter!$H$7,Parameter!$H$5+Parameter!$H$6+Parameter!$H$7))-(AV490-AR490))/AR490)))</f>
        <v>1</v>
      </c>
      <c r="AX490" s="50" t="n">
        <f aca="false">IF(LEFT(Cockpit!$O$5,1)="A",H490,IF(CE490=1,CF490,IF(LEFT(Cockpit!$O$5,1)="B",BC490,MAX(BC490,H490))))</f>
        <v>295</v>
      </c>
      <c r="AY490" s="50" t="n">
        <f aca="false">IF(BW490=1,0,ROUNDUP(AX490/BV490,0))</f>
        <v>1</v>
      </c>
      <c r="AZ490" s="52" t="n">
        <f aca="false">IF(CL490&gt;0,CL490*MAX(1,AX490/X490),IF(BW490=1,IF(AX490&lt;=0,0,CA490*MAX(1,IF(H490&gt;0,AX490/H490,1))),IF(R490&gt;0,AY490/R490,0))/MAX(0.1,N(Parameter!$M$21)))</f>
        <v>0.0384615384615385</v>
      </c>
      <c r="BA490" s="50" t="n">
        <f aca="false">AZ490*BY490</f>
        <v>5.96153846153846</v>
      </c>
      <c r="BB490" s="50" t="n">
        <f aca="false">AX490*G490</f>
        <v>678.5</v>
      </c>
      <c r="BC490" s="50" t="n">
        <f aca="false">ROUNDUP(MAX(J490/IF(CD490&gt;0,CD490,MAX(0.1,N(Cockpit!$O$6))),CG490)/BV490,0)*BV490</f>
        <v>295</v>
      </c>
      <c r="BD490" s="51" t="n">
        <f aca="false">IF(BA490&gt;0,J490/BA490,-1)</f>
        <v>19.458064516129</v>
      </c>
      <c r="BE490" s="51" t="n">
        <f aca="false">IF(AND(OR(CC490="L1",CC490="L23",CC490="LIFT"),BA490&gt;0),SUMIFS($BA$7:$BA$1843,$CC$7:$CC$1843,CC490,$BD$7:$BD$1843,"&gt;"&amp;BD490)+SUMIFS($BA$7:$BA$1843,$CC$7:$CC$1843,CC490,$BD$7:$BD$1843,BD490,$BT$7:$BT$1843,"&lt;="&amp;BT490),"")</f>
        <v>2458.05128205128</v>
      </c>
      <c r="BF490" s="58" t="n">
        <f aca="false">IF(BE490="",0,MAX(0,MIN(1,(IF(CC490="L1",Parameter!$H$5,IF(CC490="L23",Parameter!$H$6+Parameter!$H$7,Parameter!$H$5+Parameter!$H$6+Parameter!$H$7))-(BE490-BA490))/BA490)))</f>
        <v>1</v>
      </c>
      <c r="BG490" s="48" t="str">
        <f aca="false">IF(AI490&lt;=0,"",IF(CC490="Aussen","Aussenlager",IF(CC490="-","Nicht im Lift",IF(AN490&gt;=1,"Lift",IF(AN490&lt;=0,"Aussenlager","teilweise")))))</f>
        <v>Lift</v>
      </c>
      <c r="BH490" s="48" t="str">
        <f aca="false">IF(AR490&lt;=0,"",IF(CC490="Aussen","Aussenlager",IF(CC490="-","Nicht im Lift",IF(AW490&gt;=1,"Lift",IF(AW490&lt;=0,"Aussenlager","teilweise")))))</f>
        <v>Lift</v>
      </c>
      <c r="BI490" s="48" t="str">
        <f aca="false">IF(BA490&lt;=0,"",IF(CC490="Aussen","Aussenlager",IF(CC490="-","Nicht im Lift",IF(BF490&gt;=1,"Lift",IF(BF490&lt;=0,"Aussenlager","teilweise")))))</f>
        <v>Lift</v>
      </c>
      <c r="BJ490" s="48" t="str">
        <f aca="false">IF(A490="","",IF(BS490=1,"Neu; ","")&amp;IF(AND(BS490=0,BN490&lt;0),"negativer Bestand (Export "&amp;BN490&amp;"); ","")&amp;IF(J490&lt;=0,"Kein Verbrauch; ","")&amp;IF(CL490&gt;0,"Lift "&amp;W490&amp;" lt. Liftbericht (Fach "&amp;X490&amp;" Stk); ",IF(BX490=1,"Gebinde geschätzt ("&amp;T490&amp;"); ",IF(BW490=1,"Lose – Tablare geschätzt; ","")))&amp;IF(H490&gt;AT490,"Überbestand "&amp;ROUND(H490-AT490,0)&amp;" Stk / CHF "&amp;ROUND((H490-AT490)*G490,0)&amp;"; ","")&amp;IF(AND(CE490=1,CF490&lt;CG490),"MAX &lt; MB+LG; ","")&amp;IF(AND(CK490&gt;0,CJ490*10&gt;CK490),"zu hoch für Tablar; ","")&amp;IF(AND(BS490=0,OR(CE490=1,AA490&lt;&gt;"",U490&lt;&gt;"",V490&lt;&gt;"",AB490&lt;&gt;"")),"manuell übersteuert; ","")&amp;IF(AND(BW490=0,R490=0),"Gebinde unbekannt / Stellmass fehlt; ","")&amp;IF(AND(BW490=0,N(V490)&lt;=0,N(Q490)&lt;=0),"Menge pro Gebinde fehlt (Ist = 1 Gebinde); ","")&amp;BR490)</f>
        <v/>
      </c>
      <c r="BK490" s="48"/>
      <c r="BL490" s="48"/>
      <c r="BM490" s="55"/>
      <c r="BN490" s="50" t="n">
        <v>26</v>
      </c>
      <c r="BO490" s="50" t="n">
        <v>43</v>
      </c>
      <c r="BP490" s="49" t="n">
        <v>42.8399999999994</v>
      </c>
      <c r="BQ490" s="50" t="n">
        <v>116</v>
      </c>
      <c r="BR490" s="48"/>
      <c r="BS490" s="53" t="n">
        <v>0</v>
      </c>
      <c r="BT490" s="53" t="n">
        <v>490</v>
      </c>
      <c r="BU490" s="48" t="str">
        <f aca="false">IF(U490&lt;&gt;"",UPPER(TRIM(U490)),IF(BX490=1,UPPER(VLOOKUP(T490,Parameter!$I$27:$K$29,2,0)),IF(P490="","LOSE",P490)))</f>
        <v>S51</v>
      </c>
      <c r="BV490" s="50" t="n">
        <f aca="false">IF(BU490="LOSE",1,IF(N(V490)&gt;0,V490,IF(BX490=1,MAX(1,N(VLOOKUP(T490,Parameter!$I$27:$K$29,3,0)),H490,N(N490)),IF(N(Q490)&gt;0,Q490,MAX(1,H490)))))</f>
        <v>295</v>
      </c>
      <c r="BW490" s="53" t="n">
        <f aca="false">IF(BU490="LOSE",1,0)</f>
        <v>0</v>
      </c>
      <c r="BX490" s="53" t="n">
        <f aca="false">IF(AND(U490="",OR(P490="",P490="LOSE"),T490&lt;&gt;"",N(S490)&lt;=0,ISNUMBER(MATCH(T490,Parameter!$I$27:$I$29,0))),1,0)</f>
        <v>0</v>
      </c>
      <c r="BY490" s="53" t="n">
        <f aca="false">IF(CL490&gt;0,INDEX(Parameter!$H$5:$H$7,W490)/INDEX(Parameter!$E$5:$E$7,W490),IF(AND(BW490=0,N(IFERROR(VLOOKUP(BU490,'Gebinde-Kategorie'!$A$5:$N$45,14,0),0))&gt;0),VLOOKUP(BU490,'Gebinde-Kategorie'!$A$5:$N$45,14,0)*10+Parameter!$M$23,Parameter!$M$24))</f>
        <v>155</v>
      </c>
      <c r="BZ490" s="48" t="str">
        <f aca="false">IF(AND(Parameter!$B$19="Ja",E490&lt;&gt;"",ISNUMBER(MATCH(E490,Parameter!$I$35:$I$52,0))),VLOOKUP(E490,Parameter!$I$35:$J$52,2,0),IFERROR(VLOOKUP(D490,Parameter!$A$35:$C$64,2,0),"Nein"))</f>
        <v>2+3</v>
      </c>
      <c r="CA490" s="52" t="n">
        <f aca="false">IF(BW490=0,0,IF(N(S490)&gt;0,S490,IFERROR(VLOOKUP(D490,Parameter!$A$35:$C$64,3,0)+0,0)))</f>
        <v>0</v>
      </c>
      <c r="CB490" s="48" t="n">
        <f aca="false">IF(AA490&lt;&gt;"",AA490,Z490)</f>
        <v>3</v>
      </c>
      <c r="CC490" s="48" t="str">
        <f aca="false">IF(OR(CB490=1,CB490=2,CB490=3),IF(Parameter!$E$27="Ja","LIFT",IF(CB490=1,"L1","L23")),IF(CB490="Aussen","Aussen","-"))</f>
        <v>LIFT</v>
      </c>
      <c r="CD490" s="59" t="n">
        <f aca="false">IF(N(AB490)&gt;0,AB490,0)</f>
        <v>0</v>
      </c>
      <c r="CE490" s="53" t="n">
        <f aca="false">IF(ISNUMBER(AE490),1,0)</f>
        <v>0</v>
      </c>
      <c r="CF490" s="50" t="n">
        <f aca="false">N(AE490)</f>
        <v>0</v>
      </c>
      <c r="CG490" s="50" t="n">
        <f aca="false">N(M490)+N(N490)</f>
        <v>121</v>
      </c>
      <c r="CH490" s="50" t="n">
        <f aca="false">ROUNDUP(H490/BV490,0)</f>
        <v>1</v>
      </c>
      <c r="CI490" s="50" t="n">
        <f aca="false">ROUNDUP(CF490/BV490,0)</f>
        <v>0</v>
      </c>
      <c r="CJ490" s="53" t="n">
        <f aca="false">IF(BW490=1,0,IFERROR(VLOOKUP(BU490,'Gebinde-Kategorie'!$A$5:$N$45,5,0)+0,0))</f>
        <v>11</v>
      </c>
      <c r="CK490" s="53" t="n">
        <f aca="false">IFERROR(IF(OR(CB490=1,CB490=2,CB490=3),N(INDEX(Parameter!$I$5:$I$7,CB490)),0),0)</f>
        <v>0</v>
      </c>
      <c r="CL490" s="52" t="n">
        <f aca="false">IF(AND(Parameter!$B$21="Ja",ISNUMBER(W490),N(X490)&gt;0),IFERROR(N(INDEX(Parameter!$L$5:$L$7,W490))*INDEX(Parameter!$E$5:$E$7,W490)*X490/SUMIFS($X$7:$X$1843,$W$7:$W$1843,W490),0),0)</f>
        <v>0</v>
      </c>
    </row>
    <row r="491" customFormat="false" ht="15" hidden="false" customHeight="false" outlineLevel="0" collapsed="false">
      <c r="A491" s="48" t="s">
        <v>1089</v>
      </c>
      <c r="B491" s="48" t="s">
        <v>409</v>
      </c>
      <c r="C491" s="48" t="s">
        <v>168</v>
      </c>
      <c r="D491" s="48" t="s">
        <v>188</v>
      </c>
      <c r="E491" s="48" t="s">
        <v>189</v>
      </c>
      <c r="F491" s="48" t="s">
        <v>222</v>
      </c>
      <c r="G491" s="49" t="n">
        <v>0.36</v>
      </c>
      <c r="H491" s="50" t="n">
        <f aca="false">MAX(0,IF(AND(Parameter!$B$21="Ja",ISNUMBER(Y491)),Y491,IF(Parameter!$B$20="Jahresanfang 2025 + Export",BO491+BN491,BN491)))</f>
        <v>209</v>
      </c>
      <c r="I491" s="50" t="n">
        <f aca="false">H491*G491</f>
        <v>75.24</v>
      </c>
      <c r="J491" s="50" t="n">
        <f aca="false">BQ491*Parameter!$B$18</f>
        <v>222</v>
      </c>
      <c r="K491" s="51" t="n">
        <v>105.5</v>
      </c>
      <c r="L491" s="52" t="n">
        <v>2.1042654028436</v>
      </c>
      <c r="M491" s="50" t="n">
        <v>12</v>
      </c>
      <c r="N491" s="50" t="n">
        <v>225</v>
      </c>
      <c r="O491" s="53" t="n">
        <v>21</v>
      </c>
      <c r="P491" s="48" t="s">
        <v>306</v>
      </c>
      <c r="Q491" s="50" t="n">
        <v>90</v>
      </c>
      <c r="R491" s="53" t="n">
        <f aca="false">IF(BW491=1,0,IFERROR(VLOOKUP(BU491,'Gebinde-Kategorie'!$A$5:$N$45,13,0)+0,0))</f>
        <v>26</v>
      </c>
      <c r="S491" s="54"/>
      <c r="T491" s="55"/>
      <c r="U491" s="55"/>
      <c r="V491" s="55"/>
      <c r="W491" s="48"/>
      <c r="X491" s="50"/>
      <c r="Y491" s="50"/>
      <c r="Z491" s="48" t="n">
        <f aca="false">IF(A491="","",IF(AND(Parameter!$B$21="Ja",ISNUMBER(W491)),W491,IF(BZ491="2+3",IF(ISNUMBER(SEARCH("grosser Artikel",BR491)),2,IFERROR(VLOOKUP(BU491,Parameter!$F$35:$G$64,2,0),2)),IF(OR(BZ491="Nein",BZ491=""),"-",BZ491))))</f>
        <v>3</v>
      </c>
      <c r="AA491" s="55"/>
      <c r="AB491" s="56"/>
      <c r="AC491" s="50" t="n">
        <f aca="false">AT491</f>
        <v>270</v>
      </c>
      <c r="AD491" s="50" t="n">
        <f aca="false">MAX(AT491,H491)</f>
        <v>270</v>
      </c>
      <c r="AE491" s="57"/>
      <c r="AF491" s="50" t="n">
        <f aca="false">IF(LEFT(Cockpit!$C$5,1)="A",H491,IF(CE491=1,CF491,IF(LEFT(Cockpit!$C$5,1)="B",AK491,MAX(AK491,H491))))</f>
        <v>209</v>
      </c>
      <c r="AG491" s="50" t="n">
        <f aca="false">IF(BW491=1,0,ROUNDUP(AF491/BV491,0))</f>
        <v>3</v>
      </c>
      <c r="AH491" s="52" t="n">
        <f aca="false">IF(CL491&gt;0,CL491*MAX(1,AF491/X491),IF(BW491=1,IF(AF491&lt;=0,0,CA491*MAX(1,IF(H491&gt;0,AF491/H491,1))),IF(R491&gt;0,AG491/R491,0))/MAX(0.1,N(Parameter!$M$21)))</f>
        <v>0.115384615384615</v>
      </c>
      <c r="AI491" s="50" t="n">
        <f aca="false">AH491*BY491</f>
        <v>17.8846153846154</v>
      </c>
      <c r="AJ491" s="50" t="n">
        <f aca="false">AF491*G491</f>
        <v>75.24</v>
      </c>
      <c r="AK491" s="50" t="n">
        <f aca="false">ROUNDUP(MAX(J491/IF(CD491&gt;0,CD491,MAX(0.1,N(Cockpit!$C$6))),CG491)/BV491,0)*BV491</f>
        <v>270</v>
      </c>
      <c r="AL491" s="51" t="n">
        <f aca="false">IF(AI491&gt;0,J491/AI491,-1)</f>
        <v>12.4129032258065</v>
      </c>
      <c r="AM491" s="51" t="n">
        <f aca="false">IF(AND(OR(CC491="L1",CC491="L23",CC491="LIFT"),AI491&gt;0),SUMIFS($AI$7:$AI$1843,$CC$7:$CC$1843,CC491,$AL$7:$AL$1843,"&gt;"&amp;AL491)+SUMIFS($AI$7:$AI$1843,$CC$7:$CC$1843,CC491,$AL$7:$AL$1843,AL491,$BT$7:$BT$1843,"&lt;="&amp;BT491),"")</f>
        <v>2492.51556776557</v>
      </c>
      <c r="AN491" s="58" t="n">
        <f aca="false">IF(AM491="",0,MAX(0,MIN(1,(IF(CC491="L1",Parameter!$H$5,IF(CC491="L23",Parameter!$H$6+Parameter!$H$7,Parameter!$H$5+Parameter!$H$6+Parameter!$H$7))-(AM491-AI491))/AI491)))</f>
        <v>1</v>
      </c>
      <c r="AO491" s="50" t="n">
        <f aca="false">IF(LEFT(Cockpit!$I$5,1)="A",H491,IF(CE491=1,CF491,IF(LEFT(Cockpit!$I$5,1)="B",AT491,MAX(AT491,H491))))</f>
        <v>270</v>
      </c>
      <c r="AP491" s="50" t="n">
        <f aca="false">IF(BW491=1,0,ROUNDUP(AO491/BV491,0))</f>
        <v>3</v>
      </c>
      <c r="AQ491" s="52" t="n">
        <f aca="false">IF(CL491&gt;0,CL491*MAX(1,AO491/X491),IF(BW491=1,IF(AO491&lt;=0,0,CA491*MAX(1,IF(H491&gt;0,AO491/H491,1))),IF(R491&gt;0,AP491/R491,0))/MAX(0.1,N(Parameter!$M$21)))</f>
        <v>0.115384615384615</v>
      </c>
      <c r="AR491" s="50" t="n">
        <f aca="false">AQ491*BY491</f>
        <v>17.8846153846154</v>
      </c>
      <c r="AS491" s="50" t="n">
        <f aca="false">AO491*G491</f>
        <v>97.2</v>
      </c>
      <c r="AT491" s="50" t="n">
        <f aca="false">ROUNDUP(MAX(J491/IF(CD491&gt;0,CD491,MAX(0.1,N(Cockpit!$I$6))),CG491)/BV491,0)*BV491</f>
        <v>270</v>
      </c>
      <c r="AU491" s="51" t="n">
        <f aca="false">IF(AR491&gt;0,J491/AR491,-1)</f>
        <v>12.4129032258065</v>
      </c>
      <c r="AV491" s="51" t="n">
        <f aca="false">IF(AND(OR(CC491="L1",CC491="L23",CC491="LIFT"),AR491&gt;0),SUMIFS($AR$7:$AR$1843,$CC$7:$CC$1843,CC491,$AU$7:$AU$1843,"&gt;"&amp;AU491)+SUMIFS($AR$7:$AR$1843,$CC$7:$CC$1843,CC491,$AU$7:$AU$1843,AU491,$BT$7:$BT$1843,"&lt;="&amp;BT491),"")</f>
        <v>3647.49862637363</v>
      </c>
      <c r="AW491" s="58" t="n">
        <f aca="false">IF(AV491="",0,MAX(0,MIN(1,(IF(CC491="L1",Parameter!$H$5,IF(CC491="L23",Parameter!$H$6+Parameter!$H$7,Parameter!$H$5+Parameter!$H$6+Parameter!$H$7))-(AV491-AR491))/AR491)))</f>
        <v>1</v>
      </c>
      <c r="AX491" s="50" t="n">
        <f aca="false">IF(LEFT(Cockpit!$O$5,1)="A",H491,IF(CE491=1,CF491,IF(LEFT(Cockpit!$O$5,1)="B",BC491,MAX(BC491,H491))))</f>
        <v>270</v>
      </c>
      <c r="AY491" s="50" t="n">
        <f aca="false">IF(BW491=1,0,ROUNDUP(AX491/BV491,0))</f>
        <v>3</v>
      </c>
      <c r="AZ491" s="52" t="n">
        <f aca="false">IF(CL491&gt;0,CL491*MAX(1,AX491/X491),IF(BW491=1,IF(AX491&lt;=0,0,CA491*MAX(1,IF(H491&gt;0,AX491/H491,1))),IF(R491&gt;0,AY491/R491,0))/MAX(0.1,N(Parameter!$M$21)))</f>
        <v>0.115384615384615</v>
      </c>
      <c r="BA491" s="50" t="n">
        <f aca="false">AZ491*BY491</f>
        <v>17.8846153846154</v>
      </c>
      <c r="BB491" s="50" t="n">
        <f aca="false">AX491*G491</f>
        <v>97.2</v>
      </c>
      <c r="BC491" s="50" t="n">
        <f aca="false">ROUNDUP(MAX(J491/IF(CD491&gt;0,CD491,MAX(0.1,N(Cockpit!$O$6))),CG491)/BV491,0)*BV491</f>
        <v>270</v>
      </c>
      <c r="BD491" s="51" t="n">
        <f aca="false">IF(BA491&gt;0,J491/BA491,-1)</f>
        <v>12.4129032258065</v>
      </c>
      <c r="BE491" s="51" t="n">
        <f aca="false">IF(AND(OR(CC491="L1",CC491="L23",CC491="LIFT"),BA491&gt;0),SUMIFS($BA$7:$BA$1843,$CC$7:$CC$1843,CC491,$BD$7:$BD$1843,"&gt;"&amp;BD491)+SUMIFS($BA$7:$BA$1843,$CC$7:$CC$1843,CC491,$BD$7:$BD$1843,BD491,$BT$7:$BT$1843,"&lt;="&amp;BT491),"")</f>
        <v>3304.05311355311</v>
      </c>
      <c r="BF491" s="58" t="n">
        <f aca="false">IF(BE491="",0,MAX(0,MIN(1,(IF(CC491="L1",Parameter!$H$5,IF(CC491="L23",Parameter!$H$6+Parameter!$H$7,Parameter!$H$5+Parameter!$H$6+Parameter!$H$7))-(BE491-BA491))/BA491)))</f>
        <v>1</v>
      </c>
      <c r="BG491" s="48" t="str">
        <f aca="false">IF(AI491&lt;=0,"",IF(CC491="Aussen","Aussenlager",IF(CC491="-","Nicht im Lift",IF(AN491&gt;=1,"Lift",IF(AN491&lt;=0,"Aussenlager","teilweise")))))</f>
        <v>Lift</v>
      </c>
      <c r="BH491" s="48" t="str">
        <f aca="false">IF(AR491&lt;=0,"",IF(CC491="Aussen","Aussenlager",IF(CC491="-","Nicht im Lift",IF(AW491&gt;=1,"Lift",IF(AW491&lt;=0,"Aussenlager","teilweise")))))</f>
        <v>Lift</v>
      </c>
      <c r="BI491" s="48" t="str">
        <f aca="false">IF(BA491&lt;=0,"",IF(CC491="Aussen","Aussenlager",IF(CC491="-","Nicht im Lift",IF(BF491&gt;=1,"Lift",IF(BF491&lt;=0,"Aussenlager","teilweise")))))</f>
        <v>Lift</v>
      </c>
      <c r="BJ491" s="48" t="str">
        <f aca="false">IF(A491="","",IF(BS491=1,"Neu; ","")&amp;IF(AND(BS491=0,BN491&lt;0),"negativer Bestand (Export "&amp;BN491&amp;"); ","")&amp;IF(J491&lt;=0,"Kein Verbrauch; ","")&amp;IF(CL491&gt;0,"Lift "&amp;W491&amp;" lt. Liftbericht (Fach "&amp;X491&amp;" Stk); ",IF(BX491=1,"Gebinde geschätzt ("&amp;T491&amp;"); ",IF(BW491=1,"Lose – Tablare geschätzt; ","")))&amp;IF(H491&gt;AT491,"Überbestand "&amp;ROUND(H491-AT491,0)&amp;" Stk / CHF "&amp;ROUND((H491-AT491)*G491,0)&amp;"; ","")&amp;IF(AND(CE491=1,CF491&lt;CG491),"MAX &lt; MB+LG; ","")&amp;IF(AND(CK491&gt;0,CJ491*10&gt;CK491),"zu hoch für Tablar; ","")&amp;IF(AND(BS491=0,OR(CE491=1,AA491&lt;&gt;"",U491&lt;&gt;"",V491&lt;&gt;"",AB491&lt;&gt;"")),"manuell übersteuert; ","")&amp;IF(AND(BW491=0,R491=0),"Gebinde unbekannt / Stellmass fehlt; ","")&amp;IF(AND(BW491=0,N(V491)&lt;=0,N(Q491)&lt;=0),"Menge pro Gebinde fehlt (Ist = 1 Gebinde); ","")&amp;BR491)</f>
        <v/>
      </c>
      <c r="BK491" s="48"/>
      <c r="BL491" s="48"/>
      <c r="BM491" s="55"/>
      <c r="BN491" s="50" t="n">
        <v>117</v>
      </c>
      <c r="BO491" s="50" t="n">
        <v>92</v>
      </c>
      <c r="BP491" s="49" t="n">
        <v>42.12</v>
      </c>
      <c r="BQ491" s="50" t="n">
        <v>222</v>
      </c>
      <c r="BR491" s="48"/>
      <c r="BS491" s="53" t="n">
        <v>0</v>
      </c>
      <c r="BT491" s="53" t="n">
        <v>491</v>
      </c>
      <c r="BU491" s="48" t="str">
        <f aca="false">IF(U491&lt;&gt;"",UPPER(TRIM(U491)),IF(BX491=1,UPPER(VLOOKUP(T491,Parameter!$I$27:$K$29,2,0)),IF(P491="","LOSE",P491)))</f>
        <v>S51</v>
      </c>
      <c r="BV491" s="50" t="n">
        <f aca="false">IF(BU491="LOSE",1,IF(N(V491)&gt;0,V491,IF(BX491=1,MAX(1,N(VLOOKUP(T491,Parameter!$I$27:$K$29,3,0)),H491,N(N491)),IF(N(Q491)&gt;0,Q491,MAX(1,H491)))))</f>
        <v>90</v>
      </c>
      <c r="BW491" s="53" t="n">
        <f aca="false">IF(BU491="LOSE",1,0)</f>
        <v>0</v>
      </c>
      <c r="BX491" s="53" t="n">
        <f aca="false">IF(AND(U491="",OR(P491="",P491="LOSE"),T491&lt;&gt;"",N(S491)&lt;=0,ISNUMBER(MATCH(T491,Parameter!$I$27:$I$29,0))),1,0)</f>
        <v>0</v>
      </c>
      <c r="BY491" s="53" t="n">
        <f aca="false">IF(CL491&gt;0,INDEX(Parameter!$H$5:$H$7,W491)/INDEX(Parameter!$E$5:$E$7,W491),IF(AND(BW491=0,N(IFERROR(VLOOKUP(BU491,'Gebinde-Kategorie'!$A$5:$N$45,14,0),0))&gt;0),VLOOKUP(BU491,'Gebinde-Kategorie'!$A$5:$N$45,14,0)*10+Parameter!$M$23,Parameter!$M$24))</f>
        <v>155</v>
      </c>
      <c r="BZ491" s="48" t="str">
        <f aca="false">IF(AND(Parameter!$B$19="Ja",E491&lt;&gt;"",ISNUMBER(MATCH(E491,Parameter!$I$35:$I$52,0))),VLOOKUP(E491,Parameter!$I$35:$J$52,2,0),IFERROR(VLOOKUP(D491,Parameter!$A$35:$C$64,2,0),"Nein"))</f>
        <v>2+3</v>
      </c>
      <c r="CA491" s="52" t="n">
        <f aca="false">IF(BW491=0,0,IF(N(S491)&gt;0,S491,IFERROR(VLOOKUP(D491,Parameter!$A$35:$C$64,3,0)+0,0)))</f>
        <v>0</v>
      </c>
      <c r="CB491" s="48" t="n">
        <f aca="false">IF(AA491&lt;&gt;"",AA491,Z491)</f>
        <v>3</v>
      </c>
      <c r="CC491" s="48" t="str">
        <f aca="false">IF(OR(CB491=1,CB491=2,CB491=3),IF(Parameter!$E$27="Ja","LIFT",IF(CB491=1,"L1","L23")),IF(CB491="Aussen","Aussen","-"))</f>
        <v>LIFT</v>
      </c>
      <c r="CD491" s="59" t="n">
        <f aca="false">IF(N(AB491)&gt;0,AB491,0)</f>
        <v>0</v>
      </c>
      <c r="CE491" s="53" t="n">
        <f aca="false">IF(ISNUMBER(AE491),1,0)</f>
        <v>0</v>
      </c>
      <c r="CF491" s="50" t="n">
        <f aca="false">N(AE491)</f>
        <v>0</v>
      </c>
      <c r="CG491" s="50" t="n">
        <f aca="false">N(M491)+N(N491)</f>
        <v>237</v>
      </c>
      <c r="CH491" s="50" t="n">
        <f aca="false">ROUNDUP(H491/BV491,0)</f>
        <v>3</v>
      </c>
      <c r="CI491" s="50" t="n">
        <f aca="false">ROUNDUP(CF491/BV491,0)</f>
        <v>0</v>
      </c>
      <c r="CJ491" s="53" t="n">
        <f aca="false">IF(BW491=1,0,IFERROR(VLOOKUP(BU491,'Gebinde-Kategorie'!$A$5:$N$45,5,0)+0,0))</f>
        <v>11</v>
      </c>
      <c r="CK491" s="53" t="n">
        <f aca="false">IFERROR(IF(OR(CB491=1,CB491=2,CB491=3),N(INDEX(Parameter!$I$5:$I$7,CB491)),0),0)</f>
        <v>0</v>
      </c>
      <c r="CL491" s="52" t="n">
        <f aca="false">IF(AND(Parameter!$B$21="Ja",ISNUMBER(W491),N(X491)&gt;0),IFERROR(N(INDEX(Parameter!$L$5:$L$7,W491))*INDEX(Parameter!$E$5:$E$7,W491)*X491/SUMIFS($X$7:$X$1843,$W$7:$W$1843,W491),0),0)</f>
        <v>0</v>
      </c>
    </row>
    <row r="492" customFormat="false" ht="15" hidden="false" customHeight="false" outlineLevel="0" collapsed="false">
      <c r="A492" s="48" t="s">
        <v>1090</v>
      </c>
      <c r="B492" s="48" t="s">
        <v>1091</v>
      </c>
      <c r="C492" s="48" t="s">
        <v>168</v>
      </c>
      <c r="D492" s="48" t="s">
        <v>188</v>
      </c>
      <c r="E492" s="48" t="s">
        <v>189</v>
      </c>
      <c r="F492" s="48" t="s">
        <v>222</v>
      </c>
      <c r="G492" s="49" t="n">
        <v>16.51</v>
      </c>
      <c r="H492" s="50" t="n">
        <f aca="false">MAX(0,IF(AND(Parameter!$B$21="Ja",ISNUMBER(Y492)),Y492,IF(Parameter!$B$20="Jahresanfang 2025 + Export",BO492+BN492,BN492)))</f>
        <v>28</v>
      </c>
      <c r="I492" s="50" t="n">
        <f aca="false">H492*G492</f>
        <v>462.28</v>
      </c>
      <c r="J492" s="50" t="n">
        <f aca="false">BQ492*Parameter!$B$18</f>
        <v>13</v>
      </c>
      <c r="K492" s="51" t="n">
        <v>18.5</v>
      </c>
      <c r="L492" s="52" t="n">
        <v>0.702702702702703</v>
      </c>
      <c r="M492" s="50" t="n">
        <v>1</v>
      </c>
      <c r="N492" s="50" t="n">
        <v>15</v>
      </c>
      <c r="O492" s="53" t="n">
        <v>28</v>
      </c>
      <c r="P492" s="48" t="s">
        <v>237</v>
      </c>
      <c r="Q492" s="50" t="n">
        <v>32</v>
      </c>
      <c r="R492" s="53" t="n">
        <f aca="false">IF(BW492=1,0,IFERROR(VLOOKUP(BU492,'Gebinde-Kategorie'!$A$5:$N$45,13,0)+0,0))</f>
        <v>26</v>
      </c>
      <c r="S492" s="54"/>
      <c r="T492" s="55"/>
      <c r="U492" s="55"/>
      <c r="V492" s="55"/>
      <c r="W492" s="48"/>
      <c r="X492" s="50"/>
      <c r="Y492" s="50"/>
      <c r="Z492" s="48" t="n">
        <f aca="false">IF(A492="","",IF(AND(Parameter!$B$21="Ja",ISNUMBER(W492)),W492,IF(BZ492="2+3",IF(ISNUMBER(SEARCH("grosser Artikel",BR492)),2,IFERROR(VLOOKUP(BU492,Parameter!$F$35:$G$64,2,0),2)),IF(OR(BZ492="Nein",BZ492=""),"-",BZ492))))</f>
        <v>3</v>
      </c>
      <c r="AA492" s="55"/>
      <c r="AB492" s="56"/>
      <c r="AC492" s="50" t="n">
        <f aca="false">AT492</f>
        <v>32</v>
      </c>
      <c r="AD492" s="50" t="n">
        <f aca="false">MAX(AT492,H492)</f>
        <v>32</v>
      </c>
      <c r="AE492" s="57"/>
      <c r="AF492" s="50" t="n">
        <f aca="false">IF(LEFT(Cockpit!$C$5,1)="A",H492,IF(CE492=1,CF492,IF(LEFT(Cockpit!$C$5,1)="B",AK492,MAX(AK492,H492))))</f>
        <v>28</v>
      </c>
      <c r="AG492" s="50" t="n">
        <f aca="false">IF(BW492=1,0,ROUNDUP(AF492/BV492,0))</f>
        <v>1</v>
      </c>
      <c r="AH492" s="52" t="n">
        <f aca="false">IF(CL492&gt;0,CL492*MAX(1,AF492/X492),IF(BW492=1,IF(AF492&lt;=0,0,CA492*MAX(1,IF(H492&gt;0,AF492/H492,1))),IF(R492&gt;0,AG492/R492,0))/MAX(0.1,N(Parameter!$M$21)))</f>
        <v>0.0384615384615385</v>
      </c>
      <c r="AI492" s="50" t="n">
        <f aca="false">AH492*BY492</f>
        <v>9.42307692307692</v>
      </c>
      <c r="AJ492" s="50" t="n">
        <f aca="false">AF492*G492</f>
        <v>462.28</v>
      </c>
      <c r="AK492" s="50" t="n">
        <f aca="false">ROUNDUP(MAX(J492/IF(CD492&gt;0,CD492,MAX(0.1,N(Cockpit!$C$6))),CG492)/BV492,0)*BV492</f>
        <v>32</v>
      </c>
      <c r="AL492" s="51" t="n">
        <f aca="false">IF(AI492&gt;0,J492/AI492,-1)</f>
        <v>1.37959183673469</v>
      </c>
      <c r="AM492" s="51" t="n">
        <f aca="false">IF(AND(OR(CC492="L1",CC492="L23",CC492="LIFT"),AI492&gt;0),SUMIFS($AI$7:$AI$1843,$CC$7:$CC$1843,CC492,$AL$7:$AL$1843,"&gt;"&amp;AL492)+SUMIFS($AI$7:$AI$1843,$CC$7:$CC$1843,CC492,$AL$7:$AL$1843,AL492,$BT$7:$BT$1843,"&lt;="&amp;BT492),"")</f>
        <v>6319.22481684982</v>
      </c>
      <c r="AN492" s="58" t="n">
        <f aca="false">IF(AM492="",0,MAX(0,MIN(1,(IF(CC492="L1",Parameter!$H$5,IF(CC492="L23",Parameter!$H$6+Parameter!$H$7,Parameter!$H$5+Parameter!$H$6+Parameter!$H$7))-(AM492-AI492))/AI492)))</f>
        <v>1</v>
      </c>
      <c r="AO492" s="50" t="n">
        <f aca="false">IF(LEFT(Cockpit!$I$5,1)="A",H492,IF(CE492=1,CF492,IF(LEFT(Cockpit!$I$5,1)="B",AT492,MAX(AT492,H492))))</f>
        <v>32</v>
      </c>
      <c r="AP492" s="50" t="n">
        <f aca="false">IF(BW492=1,0,ROUNDUP(AO492/BV492,0))</f>
        <v>1</v>
      </c>
      <c r="AQ492" s="52" t="n">
        <f aca="false">IF(CL492&gt;0,CL492*MAX(1,AO492/X492),IF(BW492=1,IF(AO492&lt;=0,0,CA492*MAX(1,IF(H492&gt;0,AO492/H492,1))),IF(R492&gt;0,AP492/R492,0))/MAX(0.1,N(Parameter!$M$21)))</f>
        <v>0.0384615384615385</v>
      </c>
      <c r="AR492" s="50" t="n">
        <f aca="false">AQ492*BY492</f>
        <v>9.42307692307692</v>
      </c>
      <c r="AS492" s="50" t="n">
        <f aca="false">AO492*G492</f>
        <v>528.32</v>
      </c>
      <c r="AT492" s="50" t="n">
        <f aca="false">ROUNDUP(MAX(J492/IF(CD492&gt;0,CD492,MAX(0.1,N(Cockpit!$I$6))),CG492)/BV492,0)*BV492</f>
        <v>32</v>
      </c>
      <c r="AU492" s="51" t="n">
        <f aca="false">IF(AR492&gt;0,J492/AR492,-1)</f>
        <v>1.37959183673469</v>
      </c>
      <c r="AV492" s="51" t="n">
        <f aca="false">IF(AND(OR(CC492="L1",CC492="L23",CC492="LIFT"),AR492&gt;0),SUMIFS($AR$7:$AR$1843,$CC$7:$CC$1843,CC492,$AU$7:$AU$1843,"&gt;"&amp;AU492)+SUMIFS($AR$7:$AR$1843,$CC$7:$CC$1843,CC492,$AU$7:$AU$1843,AU492,$BT$7:$BT$1843,"&lt;="&amp;BT492),"")</f>
        <v>9142.78937728938</v>
      </c>
      <c r="AW492" s="58" t="n">
        <f aca="false">IF(AV492="",0,MAX(0,MIN(1,(IF(CC492="L1",Parameter!$H$5,IF(CC492="L23",Parameter!$H$6+Parameter!$H$7,Parameter!$H$5+Parameter!$H$6+Parameter!$H$7))-(AV492-AR492))/AR492)))</f>
        <v>1</v>
      </c>
      <c r="AX492" s="50" t="n">
        <f aca="false">IF(LEFT(Cockpit!$O$5,1)="A",H492,IF(CE492=1,CF492,IF(LEFT(Cockpit!$O$5,1)="B",BC492,MAX(BC492,H492))))</f>
        <v>32</v>
      </c>
      <c r="AY492" s="50" t="n">
        <f aca="false">IF(BW492=1,0,ROUNDUP(AX492/BV492,0))</f>
        <v>1</v>
      </c>
      <c r="AZ492" s="52" t="n">
        <f aca="false">IF(CL492&gt;0,CL492*MAX(1,AX492/X492),IF(BW492=1,IF(AX492&lt;=0,0,CA492*MAX(1,IF(H492&gt;0,AX492/H492,1))),IF(R492&gt;0,AY492/R492,0))/MAX(0.1,N(Parameter!$M$21)))</f>
        <v>0.0384615384615385</v>
      </c>
      <c r="BA492" s="50" t="n">
        <f aca="false">AZ492*BY492</f>
        <v>9.42307692307692</v>
      </c>
      <c r="BB492" s="50" t="n">
        <f aca="false">AX492*G492</f>
        <v>528.32</v>
      </c>
      <c r="BC492" s="50" t="n">
        <f aca="false">ROUNDUP(MAX(J492/IF(CD492&gt;0,CD492,MAX(0.1,N(Cockpit!$O$6))),CG492)/BV492,0)*BV492</f>
        <v>32</v>
      </c>
      <c r="BD492" s="51" t="n">
        <f aca="false">IF(BA492&gt;0,J492/BA492,-1)</f>
        <v>1.37959183673469</v>
      </c>
      <c r="BE492" s="51" t="n">
        <f aca="false">IF(AND(OR(CC492="L1",CC492="L23",CC492="LIFT"),BA492&gt;0),SUMIFS($BA$7:$BA$1843,$CC$7:$CC$1843,CC492,$BD$7:$BD$1843,"&gt;"&amp;BD492)+SUMIFS($BA$7:$BA$1843,$CC$7:$CC$1843,CC492,$BD$7:$BD$1843,BD492,$BT$7:$BT$1843,"&lt;="&amp;BT492),"")</f>
        <v>8445.94642857143</v>
      </c>
      <c r="BF492" s="58" t="n">
        <f aca="false">IF(BE492="",0,MAX(0,MIN(1,(IF(CC492="L1",Parameter!$H$5,IF(CC492="L23",Parameter!$H$6+Parameter!$H$7,Parameter!$H$5+Parameter!$H$6+Parameter!$H$7))-(BE492-BA492))/BA492)))</f>
        <v>1</v>
      </c>
      <c r="BG492" s="48" t="str">
        <f aca="false">IF(AI492&lt;=0,"",IF(CC492="Aussen","Aussenlager",IF(CC492="-","Nicht im Lift",IF(AN492&gt;=1,"Lift",IF(AN492&lt;=0,"Aussenlager","teilweise")))))</f>
        <v>Lift</v>
      </c>
      <c r="BH492" s="48" t="str">
        <f aca="false">IF(AR492&lt;=0,"",IF(CC492="Aussen","Aussenlager",IF(CC492="-","Nicht im Lift",IF(AW492&gt;=1,"Lift",IF(AW492&lt;=0,"Aussenlager","teilweise")))))</f>
        <v>Lift</v>
      </c>
      <c r="BI492" s="48" t="str">
        <f aca="false">IF(BA492&lt;=0,"",IF(CC492="Aussen","Aussenlager",IF(CC492="-","Nicht im Lift",IF(BF492&gt;=1,"Lift",IF(BF492&lt;=0,"Aussenlager","teilweise")))))</f>
        <v>Lift</v>
      </c>
      <c r="BJ492" s="48" t="str">
        <f aca="false">IF(A492="","",IF(BS492=1,"Neu; ","")&amp;IF(AND(BS492=0,BN492&lt;0),"negativer Bestand (Export "&amp;BN492&amp;"); ","")&amp;IF(J492&lt;=0,"Kein Verbrauch; ","")&amp;IF(CL492&gt;0,"Lift "&amp;W492&amp;" lt. Liftbericht (Fach "&amp;X492&amp;" Stk); ",IF(BX492=1,"Gebinde geschätzt ("&amp;T492&amp;"); ",IF(BW492=1,"Lose – Tablare geschätzt; ","")))&amp;IF(H492&gt;AT492,"Überbestand "&amp;ROUND(H492-AT492,0)&amp;" Stk / CHF "&amp;ROUND((H492-AT492)*G492,0)&amp;"; ","")&amp;IF(AND(CE492=1,CF492&lt;CG492),"MAX &lt; MB+LG; ","")&amp;IF(AND(CK492&gt;0,CJ492*10&gt;CK492),"zu hoch für Tablar; ","")&amp;IF(AND(BS492=0,OR(CE492=1,AA492&lt;&gt;"",U492&lt;&gt;"",V492&lt;&gt;"",AB492&lt;&gt;"")),"manuell übersteuert; ","")&amp;IF(AND(BW492=0,R492=0),"Gebinde unbekannt / Stellmass fehlt; ","")&amp;IF(AND(BW492=0,N(V492)&lt;=0,N(Q492)&lt;=0),"Menge pro Gebinde fehlt (Ist = 1 Gebinde); ","")&amp;BR492)</f>
        <v/>
      </c>
      <c r="BK492" s="48"/>
      <c r="BL492" s="48"/>
      <c r="BM492" s="55"/>
      <c r="BN492" s="50" t="n">
        <v>3</v>
      </c>
      <c r="BO492" s="50" t="n">
        <v>25</v>
      </c>
      <c r="BP492" s="49" t="n">
        <v>41.5300000000001</v>
      </c>
      <c r="BQ492" s="50" t="n">
        <v>13</v>
      </c>
      <c r="BR492" s="48"/>
      <c r="BS492" s="53" t="n">
        <v>0</v>
      </c>
      <c r="BT492" s="53" t="n">
        <v>492</v>
      </c>
      <c r="BU492" s="48" t="str">
        <f aca="false">IF(U492&lt;&gt;"",UPPER(TRIM(U492)),IF(BX492=1,UPPER(VLOOKUP(T492,Parameter!$I$27:$K$29,2,0)),IF(P492="","LOSE",P492)))</f>
        <v>S52</v>
      </c>
      <c r="BV492" s="50" t="n">
        <f aca="false">IF(BU492="LOSE",1,IF(N(V492)&gt;0,V492,IF(BX492=1,MAX(1,N(VLOOKUP(T492,Parameter!$I$27:$K$29,3,0)),H492,N(N492)),IF(N(Q492)&gt;0,Q492,MAX(1,H492)))))</f>
        <v>32</v>
      </c>
      <c r="BW492" s="53" t="n">
        <f aca="false">IF(BU492="LOSE",1,0)</f>
        <v>0</v>
      </c>
      <c r="BX492" s="53" t="n">
        <f aca="false">IF(AND(U492="",OR(P492="",P492="LOSE"),T492&lt;&gt;"",N(S492)&lt;=0,ISNUMBER(MATCH(T492,Parameter!$I$27:$I$29,0))),1,0)</f>
        <v>0</v>
      </c>
      <c r="BY492" s="53" t="n">
        <f aca="false">IF(CL492&gt;0,INDEX(Parameter!$H$5:$H$7,W492)/INDEX(Parameter!$E$5:$E$7,W492),IF(AND(BW492=0,N(IFERROR(VLOOKUP(BU492,'Gebinde-Kategorie'!$A$5:$N$45,14,0),0))&gt;0),VLOOKUP(BU492,'Gebinde-Kategorie'!$A$5:$N$45,14,0)*10+Parameter!$M$23,Parameter!$M$24))</f>
        <v>245</v>
      </c>
      <c r="BZ492" s="48" t="str">
        <f aca="false">IF(AND(Parameter!$B$19="Ja",E492&lt;&gt;"",ISNUMBER(MATCH(E492,Parameter!$I$35:$I$52,0))),VLOOKUP(E492,Parameter!$I$35:$J$52,2,0),IFERROR(VLOOKUP(D492,Parameter!$A$35:$C$64,2,0),"Nein"))</f>
        <v>2+3</v>
      </c>
      <c r="CA492" s="52" t="n">
        <f aca="false">IF(BW492=0,0,IF(N(S492)&gt;0,S492,IFERROR(VLOOKUP(D492,Parameter!$A$35:$C$64,3,0)+0,0)))</f>
        <v>0</v>
      </c>
      <c r="CB492" s="48" t="n">
        <f aca="false">IF(AA492&lt;&gt;"",AA492,Z492)</f>
        <v>3</v>
      </c>
      <c r="CC492" s="48" t="str">
        <f aca="false">IF(OR(CB492=1,CB492=2,CB492=3),IF(Parameter!$E$27="Ja","LIFT",IF(CB492=1,"L1","L23")),IF(CB492="Aussen","Aussen","-"))</f>
        <v>LIFT</v>
      </c>
      <c r="CD492" s="59" t="n">
        <f aca="false">IF(N(AB492)&gt;0,AB492,0)</f>
        <v>0</v>
      </c>
      <c r="CE492" s="53" t="n">
        <f aca="false">IF(ISNUMBER(AE492),1,0)</f>
        <v>0</v>
      </c>
      <c r="CF492" s="50" t="n">
        <f aca="false">N(AE492)</f>
        <v>0</v>
      </c>
      <c r="CG492" s="50" t="n">
        <f aca="false">N(M492)+N(N492)</f>
        <v>16</v>
      </c>
      <c r="CH492" s="50" t="n">
        <f aca="false">ROUNDUP(H492/BV492,0)</f>
        <v>1</v>
      </c>
      <c r="CI492" s="50" t="n">
        <f aca="false">ROUNDUP(CF492/BV492,0)</f>
        <v>0</v>
      </c>
      <c r="CJ492" s="53" t="n">
        <f aca="false">IF(BW492=1,0,IFERROR(VLOOKUP(BU492,'Gebinde-Kategorie'!$A$5:$N$45,5,0)+0,0))</f>
        <v>21</v>
      </c>
      <c r="CK492" s="53" t="n">
        <f aca="false">IFERROR(IF(OR(CB492=1,CB492=2,CB492=3),N(INDEX(Parameter!$I$5:$I$7,CB492)),0),0)</f>
        <v>0</v>
      </c>
      <c r="CL492" s="52" t="n">
        <f aca="false">IF(AND(Parameter!$B$21="Ja",ISNUMBER(W492),N(X492)&gt;0),IFERROR(N(INDEX(Parameter!$L$5:$L$7,W492))*INDEX(Parameter!$E$5:$E$7,W492)*X492/SUMIFS($X$7:$X$1843,$W$7:$W$1843,W492),0),0)</f>
        <v>0</v>
      </c>
    </row>
    <row r="493" customFormat="false" ht="15" hidden="false" customHeight="false" outlineLevel="0" collapsed="false">
      <c r="A493" s="48" t="s">
        <v>1092</v>
      </c>
      <c r="B493" s="48" t="s">
        <v>1040</v>
      </c>
      <c r="C493" s="48" t="s">
        <v>168</v>
      </c>
      <c r="D493" s="48" t="s">
        <v>188</v>
      </c>
      <c r="E493" s="48" t="s">
        <v>189</v>
      </c>
      <c r="F493" s="48" t="s">
        <v>222</v>
      </c>
      <c r="G493" s="49" t="n">
        <v>0.03</v>
      </c>
      <c r="H493" s="50" t="n">
        <f aca="false">MAX(0,IF(AND(Parameter!$B$21="Ja",ISNUMBER(Y493)),Y493,IF(Parameter!$B$20="Jahresanfang 2025 + Export",BO493+BN493,BN493)))</f>
        <v>3691</v>
      </c>
      <c r="I493" s="50" t="n">
        <f aca="false">H493*G493</f>
        <v>110.73</v>
      </c>
      <c r="J493" s="50" t="n">
        <f aca="false">BQ493*Parameter!$B$18</f>
        <v>100</v>
      </c>
      <c r="K493" s="51" t="n">
        <v>1870</v>
      </c>
      <c r="L493" s="52" t="n">
        <v>0.053475935828877</v>
      </c>
      <c r="M493" s="50" t="n">
        <v>3</v>
      </c>
      <c r="N493" s="50" t="n">
        <v>100</v>
      </c>
      <c r="O493" s="53" t="n">
        <v>14</v>
      </c>
      <c r="P493" s="48" t="s">
        <v>306</v>
      </c>
      <c r="Q493" s="50" t="n">
        <v>4200</v>
      </c>
      <c r="R493" s="53" t="n">
        <f aca="false">IF(BW493=1,0,IFERROR(VLOOKUP(BU493,'Gebinde-Kategorie'!$A$5:$N$45,13,0)+0,0))</f>
        <v>26</v>
      </c>
      <c r="S493" s="54"/>
      <c r="T493" s="55"/>
      <c r="U493" s="55"/>
      <c r="V493" s="55"/>
      <c r="W493" s="48"/>
      <c r="X493" s="50"/>
      <c r="Y493" s="50"/>
      <c r="Z493" s="48" t="n">
        <f aca="false">IF(A493="","",IF(AND(Parameter!$B$21="Ja",ISNUMBER(W493)),W493,IF(BZ493="2+3",IF(ISNUMBER(SEARCH("grosser Artikel",BR493)),2,IFERROR(VLOOKUP(BU493,Parameter!$F$35:$G$64,2,0),2)),IF(OR(BZ493="Nein",BZ493=""),"-",BZ493))))</f>
        <v>3</v>
      </c>
      <c r="AA493" s="55"/>
      <c r="AB493" s="56"/>
      <c r="AC493" s="50" t="n">
        <f aca="false">AT493</f>
        <v>4200</v>
      </c>
      <c r="AD493" s="50" t="n">
        <f aca="false">MAX(AT493,H493)</f>
        <v>4200</v>
      </c>
      <c r="AE493" s="57"/>
      <c r="AF493" s="50" t="n">
        <f aca="false">IF(LEFT(Cockpit!$C$5,1)="A",H493,IF(CE493=1,CF493,IF(LEFT(Cockpit!$C$5,1)="B",AK493,MAX(AK493,H493))))</f>
        <v>3691</v>
      </c>
      <c r="AG493" s="50" t="n">
        <f aca="false">IF(BW493=1,0,ROUNDUP(AF493/BV493,0))</f>
        <v>1</v>
      </c>
      <c r="AH493" s="52" t="n">
        <f aca="false">IF(CL493&gt;0,CL493*MAX(1,AF493/X493),IF(BW493=1,IF(AF493&lt;=0,0,CA493*MAX(1,IF(H493&gt;0,AF493/H493,1))),IF(R493&gt;0,AG493/R493,0))/MAX(0.1,N(Parameter!$M$21)))</f>
        <v>0.0384615384615385</v>
      </c>
      <c r="AI493" s="50" t="n">
        <f aca="false">AH493*BY493</f>
        <v>5.96153846153846</v>
      </c>
      <c r="AJ493" s="50" t="n">
        <f aca="false">AF493*G493</f>
        <v>110.73</v>
      </c>
      <c r="AK493" s="50" t="n">
        <f aca="false">ROUNDUP(MAX(J493/IF(CD493&gt;0,CD493,MAX(0.1,N(Cockpit!$C$6))),CG493)/BV493,0)*BV493</f>
        <v>4200</v>
      </c>
      <c r="AL493" s="51" t="n">
        <f aca="false">IF(AI493&gt;0,J493/AI493,-1)</f>
        <v>16.7741935483871</v>
      </c>
      <c r="AM493" s="51" t="n">
        <f aca="false">IF(AND(OR(CC493="L1",CC493="L23",CC493="LIFT"),AI493&gt;0),SUMIFS($AI$7:$AI$1843,$CC$7:$CC$1843,CC493,$AL$7:$AL$1843,"&gt;"&amp;AL493)+SUMIFS($AI$7:$AI$1843,$CC$7:$CC$1843,CC493,$AL$7:$AL$1843,AL493,$BT$7:$BT$1843,"&lt;="&amp;BT493),"")</f>
        <v>2021.65659340659</v>
      </c>
      <c r="AN493" s="58" t="n">
        <f aca="false">IF(AM493="",0,MAX(0,MIN(1,(IF(CC493="L1",Parameter!$H$5,IF(CC493="L23",Parameter!$H$6+Parameter!$H$7,Parameter!$H$5+Parameter!$H$6+Parameter!$H$7))-(AM493-AI493))/AI493)))</f>
        <v>1</v>
      </c>
      <c r="AO493" s="50" t="n">
        <f aca="false">IF(LEFT(Cockpit!$I$5,1)="A",H493,IF(CE493=1,CF493,IF(LEFT(Cockpit!$I$5,1)="B",AT493,MAX(AT493,H493))))</f>
        <v>4200</v>
      </c>
      <c r="AP493" s="50" t="n">
        <f aca="false">IF(BW493=1,0,ROUNDUP(AO493/BV493,0))</f>
        <v>1</v>
      </c>
      <c r="AQ493" s="52" t="n">
        <f aca="false">IF(CL493&gt;0,CL493*MAX(1,AO493/X493),IF(BW493=1,IF(AO493&lt;=0,0,CA493*MAX(1,IF(H493&gt;0,AO493/H493,1))),IF(R493&gt;0,AP493/R493,0))/MAX(0.1,N(Parameter!$M$21)))</f>
        <v>0.0384615384615385</v>
      </c>
      <c r="AR493" s="50" t="n">
        <f aca="false">AQ493*BY493</f>
        <v>5.96153846153846</v>
      </c>
      <c r="AS493" s="50" t="n">
        <f aca="false">AO493*G493</f>
        <v>126</v>
      </c>
      <c r="AT493" s="50" t="n">
        <f aca="false">ROUNDUP(MAX(J493/IF(CD493&gt;0,CD493,MAX(0.1,N(Cockpit!$I$6))),CG493)/BV493,0)*BV493</f>
        <v>4200</v>
      </c>
      <c r="AU493" s="51" t="n">
        <f aca="false">IF(AR493&gt;0,J493/AR493,-1)</f>
        <v>16.7741935483871</v>
      </c>
      <c r="AV493" s="51" t="n">
        <f aca="false">IF(AND(OR(CC493="L1",CC493="L23",CC493="LIFT"),AR493&gt;0),SUMIFS($AR$7:$AR$1843,$CC$7:$CC$1843,CC493,$AU$7:$AU$1843,"&gt;"&amp;AU493)+SUMIFS($AR$7:$AR$1843,$CC$7:$CC$1843,CC493,$AU$7:$AU$1843,AU493,$BT$7:$BT$1843,"&lt;="&amp;BT493),"")</f>
        <v>2928.67765567766</v>
      </c>
      <c r="AW493" s="58" t="n">
        <f aca="false">IF(AV493="",0,MAX(0,MIN(1,(IF(CC493="L1",Parameter!$H$5,IF(CC493="L23",Parameter!$H$6+Parameter!$H$7,Parameter!$H$5+Parameter!$H$6+Parameter!$H$7))-(AV493-AR493))/AR493)))</f>
        <v>1</v>
      </c>
      <c r="AX493" s="50" t="n">
        <f aca="false">IF(LEFT(Cockpit!$O$5,1)="A",H493,IF(CE493=1,CF493,IF(LEFT(Cockpit!$O$5,1)="B",BC493,MAX(BC493,H493))))</f>
        <v>4200</v>
      </c>
      <c r="AY493" s="50" t="n">
        <f aca="false">IF(BW493=1,0,ROUNDUP(AX493/BV493,0))</f>
        <v>1</v>
      </c>
      <c r="AZ493" s="52" t="n">
        <f aca="false">IF(CL493&gt;0,CL493*MAX(1,AX493/X493),IF(BW493=1,IF(AX493&lt;=0,0,CA493*MAX(1,IF(H493&gt;0,AX493/H493,1))),IF(R493&gt;0,AY493/R493,0))/MAX(0.1,N(Parameter!$M$21)))</f>
        <v>0.0384615384615385</v>
      </c>
      <c r="BA493" s="50" t="n">
        <f aca="false">AZ493*BY493</f>
        <v>5.96153846153846</v>
      </c>
      <c r="BB493" s="50" t="n">
        <f aca="false">AX493*G493</f>
        <v>126</v>
      </c>
      <c r="BC493" s="50" t="n">
        <f aca="false">ROUNDUP(MAX(J493/IF(CD493&gt;0,CD493,MAX(0.1,N(Cockpit!$O$6))),CG493)/BV493,0)*BV493</f>
        <v>4200</v>
      </c>
      <c r="BD493" s="51" t="n">
        <f aca="false">IF(BA493&gt;0,J493/BA493,-1)</f>
        <v>16.7741935483871</v>
      </c>
      <c r="BE493" s="51" t="n">
        <f aca="false">IF(AND(OR(CC493="L1",CC493="L23",CC493="LIFT"),BA493&gt;0),SUMIFS($BA$7:$BA$1843,$CC$7:$CC$1843,CC493,$BD$7:$BD$1843,"&gt;"&amp;BD493)+SUMIFS($BA$7:$BA$1843,$CC$7:$CC$1843,CC493,$BD$7:$BD$1843,BD493,$BT$7:$BT$1843,"&lt;="&amp;BT493),"")</f>
        <v>2748.11675824176</v>
      </c>
      <c r="BF493" s="58" t="n">
        <f aca="false">IF(BE493="",0,MAX(0,MIN(1,(IF(CC493="L1",Parameter!$H$5,IF(CC493="L23",Parameter!$H$6+Parameter!$H$7,Parameter!$H$5+Parameter!$H$6+Parameter!$H$7))-(BE493-BA493))/BA493)))</f>
        <v>1</v>
      </c>
      <c r="BG493" s="48" t="str">
        <f aca="false">IF(AI493&lt;=0,"",IF(CC493="Aussen","Aussenlager",IF(CC493="-","Nicht im Lift",IF(AN493&gt;=1,"Lift",IF(AN493&lt;=0,"Aussenlager","teilweise")))))</f>
        <v>Lift</v>
      </c>
      <c r="BH493" s="48" t="str">
        <f aca="false">IF(AR493&lt;=0,"",IF(CC493="Aussen","Aussenlager",IF(CC493="-","Nicht im Lift",IF(AW493&gt;=1,"Lift",IF(AW493&lt;=0,"Aussenlager","teilweise")))))</f>
        <v>Lift</v>
      </c>
      <c r="BI493" s="48" t="str">
        <f aca="false">IF(BA493&lt;=0,"",IF(CC493="Aussen","Aussenlager",IF(CC493="-","Nicht im Lift",IF(BF493&gt;=1,"Lift",IF(BF493&lt;=0,"Aussenlager","teilweise")))))</f>
        <v>Lift</v>
      </c>
      <c r="BJ493" s="48" t="str">
        <f aca="false">IF(A493="","",IF(BS493=1,"Neu; ","")&amp;IF(AND(BS493=0,BN493&lt;0),"negativer Bestand (Export "&amp;BN493&amp;"); ","")&amp;IF(J493&lt;=0,"Kein Verbrauch; ","")&amp;IF(CL493&gt;0,"Lift "&amp;W493&amp;" lt. Liftbericht (Fach "&amp;X493&amp;" Stk); ",IF(BX493=1,"Gebinde geschätzt ("&amp;T493&amp;"); ",IF(BW493=1,"Lose – Tablare geschätzt; ","")))&amp;IF(H493&gt;AT493,"Überbestand "&amp;ROUND(H493-AT493,0)&amp;" Stk / CHF "&amp;ROUND((H493-AT493)*G493,0)&amp;"; ","")&amp;IF(AND(CE493=1,CF493&lt;CG493),"MAX &lt; MB+LG; ","")&amp;IF(AND(CK493&gt;0,CJ493*10&gt;CK493),"zu hoch für Tablar; ","")&amp;IF(AND(BS493=0,OR(CE493=1,AA493&lt;&gt;"",U493&lt;&gt;"",V493&lt;&gt;"",AB493&lt;&gt;"")),"manuell übersteuert; ","")&amp;IF(AND(BW493=0,R493=0),"Gebinde unbekannt / Stellmass fehlt; ","")&amp;IF(AND(BW493=0,N(V493)&lt;=0,N(Q493)&lt;=0),"Menge pro Gebinde fehlt (Ist = 1 Gebinde); ","")&amp;BR493)</f>
        <v>Verb.Lager</v>
      </c>
      <c r="BK493" s="48"/>
      <c r="BL493" s="48"/>
      <c r="BM493" s="55"/>
      <c r="BN493" s="50" t="n">
        <v>191</v>
      </c>
      <c r="BO493" s="50" t="n">
        <v>3500</v>
      </c>
      <c r="BP493" s="49" t="n">
        <v>40.73</v>
      </c>
      <c r="BQ493" s="50" t="n">
        <v>100</v>
      </c>
      <c r="BR493" s="48" t="s">
        <v>1034</v>
      </c>
      <c r="BS493" s="53" t="n">
        <v>0</v>
      </c>
      <c r="BT493" s="53" t="n">
        <v>493</v>
      </c>
      <c r="BU493" s="48" t="str">
        <f aca="false">IF(U493&lt;&gt;"",UPPER(TRIM(U493)),IF(BX493=1,UPPER(VLOOKUP(T493,Parameter!$I$27:$K$29,2,0)),IF(P493="","LOSE",P493)))</f>
        <v>S51</v>
      </c>
      <c r="BV493" s="50" t="n">
        <f aca="false">IF(BU493="LOSE",1,IF(N(V493)&gt;0,V493,IF(BX493=1,MAX(1,N(VLOOKUP(T493,Parameter!$I$27:$K$29,3,0)),H493,N(N493)),IF(N(Q493)&gt;0,Q493,MAX(1,H493)))))</f>
        <v>4200</v>
      </c>
      <c r="BW493" s="53" t="n">
        <f aca="false">IF(BU493="LOSE",1,0)</f>
        <v>0</v>
      </c>
      <c r="BX493" s="53" t="n">
        <f aca="false">IF(AND(U493="",OR(P493="",P493="LOSE"),T493&lt;&gt;"",N(S493)&lt;=0,ISNUMBER(MATCH(T493,Parameter!$I$27:$I$29,0))),1,0)</f>
        <v>0</v>
      </c>
      <c r="BY493" s="53" t="n">
        <f aca="false">IF(CL493&gt;0,INDEX(Parameter!$H$5:$H$7,W493)/INDEX(Parameter!$E$5:$E$7,W493),IF(AND(BW493=0,N(IFERROR(VLOOKUP(BU493,'Gebinde-Kategorie'!$A$5:$N$45,14,0),0))&gt;0),VLOOKUP(BU493,'Gebinde-Kategorie'!$A$5:$N$45,14,0)*10+Parameter!$M$23,Parameter!$M$24))</f>
        <v>155</v>
      </c>
      <c r="BZ493" s="48" t="str">
        <f aca="false">IF(AND(Parameter!$B$19="Ja",E493&lt;&gt;"",ISNUMBER(MATCH(E493,Parameter!$I$35:$I$52,0))),VLOOKUP(E493,Parameter!$I$35:$J$52,2,0),IFERROR(VLOOKUP(D493,Parameter!$A$35:$C$64,2,0),"Nein"))</f>
        <v>2+3</v>
      </c>
      <c r="CA493" s="52" t="n">
        <f aca="false">IF(BW493=0,0,IF(N(S493)&gt;0,S493,IFERROR(VLOOKUP(D493,Parameter!$A$35:$C$64,3,0)+0,0)))</f>
        <v>0</v>
      </c>
      <c r="CB493" s="48" t="n">
        <f aca="false">IF(AA493&lt;&gt;"",AA493,Z493)</f>
        <v>3</v>
      </c>
      <c r="CC493" s="48" t="str">
        <f aca="false">IF(OR(CB493=1,CB493=2,CB493=3),IF(Parameter!$E$27="Ja","LIFT",IF(CB493=1,"L1","L23")),IF(CB493="Aussen","Aussen","-"))</f>
        <v>LIFT</v>
      </c>
      <c r="CD493" s="59" t="n">
        <f aca="false">IF(N(AB493)&gt;0,AB493,0)</f>
        <v>0</v>
      </c>
      <c r="CE493" s="53" t="n">
        <f aca="false">IF(ISNUMBER(AE493),1,0)</f>
        <v>0</v>
      </c>
      <c r="CF493" s="50" t="n">
        <f aca="false">N(AE493)</f>
        <v>0</v>
      </c>
      <c r="CG493" s="50" t="n">
        <f aca="false">N(M493)+N(N493)</f>
        <v>103</v>
      </c>
      <c r="CH493" s="50" t="n">
        <f aca="false">ROUNDUP(H493/BV493,0)</f>
        <v>1</v>
      </c>
      <c r="CI493" s="50" t="n">
        <f aca="false">ROUNDUP(CF493/BV493,0)</f>
        <v>0</v>
      </c>
      <c r="CJ493" s="53" t="n">
        <f aca="false">IF(BW493=1,0,IFERROR(VLOOKUP(BU493,'Gebinde-Kategorie'!$A$5:$N$45,5,0)+0,0))</f>
        <v>11</v>
      </c>
      <c r="CK493" s="53" t="n">
        <f aca="false">IFERROR(IF(OR(CB493=1,CB493=2,CB493=3),N(INDEX(Parameter!$I$5:$I$7,CB493)),0),0)</f>
        <v>0</v>
      </c>
      <c r="CL493" s="52" t="n">
        <f aca="false">IF(AND(Parameter!$B$21="Ja",ISNUMBER(W493),N(X493)&gt;0),IFERROR(N(INDEX(Parameter!$L$5:$L$7,W493))*INDEX(Parameter!$E$5:$E$7,W493)*X493/SUMIFS($X$7:$X$1843,$W$7:$W$1843,W493),0),0)</f>
        <v>0</v>
      </c>
    </row>
    <row r="494" customFormat="false" ht="15" hidden="false" customHeight="false" outlineLevel="0" collapsed="false">
      <c r="A494" s="48" t="s">
        <v>1093</v>
      </c>
      <c r="B494" s="48" t="s">
        <v>1094</v>
      </c>
      <c r="C494" s="48" t="s">
        <v>168</v>
      </c>
      <c r="D494" s="48" t="s">
        <v>188</v>
      </c>
      <c r="E494" s="48"/>
      <c r="F494" s="48" t="s">
        <v>222</v>
      </c>
      <c r="G494" s="49" t="n">
        <v>13.45</v>
      </c>
      <c r="H494" s="50" t="n">
        <f aca="false">MAX(0,IF(AND(Parameter!$B$21="Ja",ISNUMBER(Y494)),Y494,IF(Parameter!$B$20="Jahresanfang 2025 + Export",BO494+BN494,BN494)))</f>
        <v>3</v>
      </c>
      <c r="I494" s="50" t="n">
        <f aca="false">H494*G494</f>
        <v>40.35</v>
      </c>
      <c r="J494" s="50" t="n">
        <f aca="false">BQ494*Parameter!$B$18</f>
        <v>4</v>
      </c>
      <c r="K494" s="51" t="n">
        <v>3</v>
      </c>
      <c r="L494" s="52" t="n">
        <v>1.33333333333333</v>
      </c>
      <c r="M494" s="50" t="n">
        <v>0</v>
      </c>
      <c r="N494" s="50" t="n">
        <v>5</v>
      </c>
      <c r="O494" s="53" t="n">
        <v>14</v>
      </c>
      <c r="P494" s="48" t="s">
        <v>405</v>
      </c>
      <c r="Q494" s="50" t="n">
        <v>4</v>
      </c>
      <c r="R494" s="53" t="n">
        <f aca="false">IF(BW494=1,0,IFERROR(VLOOKUP(BU494,'Gebinde-Kategorie'!$A$5:$N$45,13,0)+0,0))</f>
        <v>280</v>
      </c>
      <c r="S494" s="54"/>
      <c r="T494" s="55"/>
      <c r="U494" s="55"/>
      <c r="V494" s="55"/>
      <c r="W494" s="48"/>
      <c r="X494" s="50"/>
      <c r="Y494" s="50"/>
      <c r="Z494" s="48" t="n">
        <f aca="false">IF(A494="","",IF(AND(Parameter!$B$21="Ja",ISNUMBER(W494)),W494,IF(BZ494="2+3",IF(ISNUMBER(SEARCH("grosser Artikel",BR494)),2,IFERROR(VLOOKUP(BU494,Parameter!$F$35:$G$64,2,0),2)),IF(OR(BZ494="Nein",BZ494=""),"-",BZ494))))</f>
        <v>3</v>
      </c>
      <c r="AA494" s="55"/>
      <c r="AB494" s="56"/>
      <c r="AC494" s="50" t="n">
        <f aca="false">AT494</f>
        <v>8</v>
      </c>
      <c r="AD494" s="50" t="n">
        <f aca="false">MAX(AT494,H494)</f>
        <v>8</v>
      </c>
      <c r="AE494" s="57"/>
      <c r="AF494" s="50" t="n">
        <f aca="false">IF(LEFT(Cockpit!$C$5,1)="A",H494,IF(CE494=1,CF494,IF(LEFT(Cockpit!$C$5,1)="B",AK494,MAX(AK494,H494))))</f>
        <v>3</v>
      </c>
      <c r="AG494" s="50" t="n">
        <f aca="false">IF(BW494=1,0,ROUNDUP(AF494/BV494,0))</f>
        <v>1</v>
      </c>
      <c r="AH494" s="52" t="n">
        <f aca="false">IF(CL494&gt;0,CL494*MAX(1,AF494/X494),IF(BW494=1,IF(AF494&lt;=0,0,CA494*MAX(1,IF(H494&gt;0,AF494/H494,1))),IF(R494&gt;0,AG494/R494,0))/MAX(0.1,N(Parameter!$M$21)))</f>
        <v>0.00357142857142857</v>
      </c>
      <c r="AI494" s="50" t="n">
        <f aca="false">AH494*BY494</f>
        <v>0.553571428571429</v>
      </c>
      <c r="AJ494" s="50" t="n">
        <f aca="false">AF494*G494</f>
        <v>40.35</v>
      </c>
      <c r="AK494" s="50" t="n">
        <f aca="false">ROUNDUP(MAX(J494/IF(CD494&gt;0,CD494,MAX(0.1,N(Cockpit!$C$6))),CG494)/BV494,0)*BV494</f>
        <v>8</v>
      </c>
      <c r="AL494" s="51" t="n">
        <f aca="false">IF(AI494&gt;0,J494/AI494,-1)</f>
        <v>7.2258064516129</v>
      </c>
      <c r="AM494" s="51" t="n">
        <f aca="false">IF(AND(OR(CC494="L1",CC494="L23",CC494="LIFT"),AI494&gt;0),SUMIFS($AI$7:$AI$1843,$CC$7:$CC$1843,CC494,$AL$7:$AL$1843,"&gt;"&amp;AL494)+SUMIFS($AI$7:$AI$1843,$CC$7:$CC$1843,CC494,$AL$7:$AL$1843,AL494,$BT$7:$BT$1843,"&lt;="&amp;BT494),"")</f>
        <v>3155.0293040293</v>
      </c>
      <c r="AN494" s="58" t="n">
        <f aca="false">IF(AM494="",0,MAX(0,MIN(1,(IF(CC494="L1",Parameter!$H$5,IF(CC494="L23",Parameter!$H$6+Parameter!$H$7,Parameter!$H$5+Parameter!$H$6+Parameter!$H$7))-(AM494-AI494))/AI494)))</f>
        <v>1</v>
      </c>
      <c r="AO494" s="50" t="n">
        <f aca="false">IF(LEFT(Cockpit!$I$5,1)="A",H494,IF(CE494=1,CF494,IF(LEFT(Cockpit!$I$5,1)="B",AT494,MAX(AT494,H494))))</f>
        <v>8</v>
      </c>
      <c r="AP494" s="50" t="n">
        <f aca="false">IF(BW494=1,0,ROUNDUP(AO494/BV494,0))</f>
        <v>2</v>
      </c>
      <c r="AQ494" s="52" t="n">
        <f aca="false">IF(CL494&gt;0,CL494*MAX(1,AO494/X494),IF(BW494=1,IF(AO494&lt;=0,0,CA494*MAX(1,IF(H494&gt;0,AO494/H494,1))),IF(R494&gt;0,AP494/R494,0))/MAX(0.1,N(Parameter!$M$21)))</f>
        <v>0.00714285714285714</v>
      </c>
      <c r="AR494" s="50" t="n">
        <f aca="false">AQ494*BY494</f>
        <v>1.10714285714286</v>
      </c>
      <c r="AS494" s="50" t="n">
        <f aca="false">AO494*G494</f>
        <v>107.6</v>
      </c>
      <c r="AT494" s="50" t="n">
        <f aca="false">ROUNDUP(MAX(J494/IF(CD494&gt;0,CD494,MAX(0.1,N(Cockpit!$I$6))),CG494)/BV494,0)*BV494</f>
        <v>8</v>
      </c>
      <c r="AU494" s="51" t="n">
        <f aca="false">IF(AR494&gt;0,J494/AR494,-1)</f>
        <v>3.61290322580645</v>
      </c>
      <c r="AV494" s="51" t="n">
        <f aca="false">IF(AND(OR(CC494="L1",CC494="L23",CC494="LIFT"),AR494&gt;0),SUMIFS($AR$7:$AR$1843,$CC$7:$CC$1843,CC494,$AU$7:$AU$1843,"&gt;"&amp;AU494)+SUMIFS($AR$7:$AR$1843,$CC$7:$CC$1843,CC494,$AU$7:$AU$1843,AU494,$BT$7:$BT$1843,"&lt;="&amp;BT494),"")</f>
        <v>5950.95695970696</v>
      </c>
      <c r="AW494" s="58" t="n">
        <f aca="false">IF(AV494="",0,MAX(0,MIN(1,(IF(CC494="L1",Parameter!$H$5,IF(CC494="L23",Parameter!$H$6+Parameter!$H$7,Parameter!$H$5+Parameter!$H$6+Parameter!$H$7))-(AV494-AR494))/AR494)))</f>
        <v>1</v>
      </c>
      <c r="AX494" s="50" t="n">
        <f aca="false">IF(LEFT(Cockpit!$O$5,1)="A",H494,IF(CE494=1,CF494,IF(LEFT(Cockpit!$O$5,1)="B",BC494,MAX(BC494,H494))))</f>
        <v>8</v>
      </c>
      <c r="AY494" s="50" t="n">
        <f aca="false">IF(BW494=1,0,ROUNDUP(AX494/BV494,0))</f>
        <v>2</v>
      </c>
      <c r="AZ494" s="52" t="n">
        <f aca="false">IF(CL494&gt;0,CL494*MAX(1,AX494/X494),IF(BW494=1,IF(AX494&lt;=0,0,CA494*MAX(1,IF(H494&gt;0,AX494/H494,1))),IF(R494&gt;0,AY494/R494,0))/MAX(0.1,N(Parameter!$M$21)))</f>
        <v>0.00714285714285714</v>
      </c>
      <c r="BA494" s="50" t="n">
        <f aca="false">AZ494*BY494</f>
        <v>1.10714285714286</v>
      </c>
      <c r="BB494" s="50" t="n">
        <f aca="false">AX494*G494</f>
        <v>107.6</v>
      </c>
      <c r="BC494" s="50" t="n">
        <f aca="false">ROUNDUP(MAX(J494/IF(CD494&gt;0,CD494,MAX(0.1,N(Cockpit!$O$6))),CG494)/BV494,0)*BV494</f>
        <v>8</v>
      </c>
      <c r="BD494" s="51" t="n">
        <f aca="false">IF(BA494&gt;0,J494/BA494,-1)</f>
        <v>3.61290322580645</v>
      </c>
      <c r="BE494" s="51" t="n">
        <f aca="false">IF(AND(OR(CC494="L1",CC494="L23",CC494="LIFT"),BA494&gt;0),SUMIFS($BA$7:$BA$1843,$CC$7:$CC$1843,CC494,$BD$7:$BD$1843,"&gt;"&amp;BD494)+SUMIFS($BA$7:$BA$1843,$CC$7:$CC$1843,CC494,$BD$7:$BD$1843,BD494,$BT$7:$BT$1843,"&lt;="&amp;BT494),"")</f>
        <v>5852.5434981685</v>
      </c>
      <c r="BF494" s="58" t="n">
        <f aca="false">IF(BE494="",0,MAX(0,MIN(1,(IF(CC494="L1",Parameter!$H$5,IF(CC494="L23",Parameter!$H$6+Parameter!$H$7,Parameter!$H$5+Parameter!$H$6+Parameter!$H$7))-(BE494-BA494))/BA494)))</f>
        <v>1</v>
      </c>
      <c r="BG494" s="48" t="str">
        <f aca="false">IF(AI494&lt;=0,"",IF(CC494="Aussen","Aussenlager",IF(CC494="-","Nicht im Lift",IF(AN494&gt;=1,"Lift",IF(AN494&lt;=0,"Aussenlager","teilweise")))))</f>
        <v>Lift</v>
      </c>
      <c r="BH494" s="48" t="str">
        <f aca="false">IF(AR494&lt;=0,"",IF(CC494="Aussen","Aussenlager",IF(CC494="-","Nicht im Lift",IF(AW494&gt;=1,"Lift",IF(AW494&lt;=0,"Aussenlager","teilweise")))))</f>
        <v>Lift</v>
      </c>
      <c r="BI494" s="48" t="str">
        <f aca="false">IF(BA494&lt;=0,"",IF(CC494="Aussen","Aussenlager",IF(CC494="-","Nicht im Lift",IF(BF494&gt;=1,"Lift",IF(BF494&lt;=0,"Aussenlager","teilweise")))))</f>
        <v>Lift</v>
      </c>
      <c r="BJ494" s="48" t="str">
        <f aca="false">IF(A494="","",IF(BS494=1,"Neu; ","")&amp;IF(AND(BS494=0,BN494&lt;0),"negativer Bestand (Export "&amp;BN494&amp;"); ","")&amp;IF(J494&lt;=0,"Kein Verbrauch; ","")&amp;IF(CL494&gt;0,"Lift "&amp;W494&amp;" lt. Liftbericht (Fach "&amp;X494&amp;" Stk); ",IF(BX494=1,"Gebinde geschätzt ("&amp;T494&amp;"); ",IF(BW494=1,"Lose – Tablare geschätzt; ","")))&amp;IF(H494&gt;AT494,"Überbestand "&amp;ROUND(H494-AT494,0)&amp;" Stk / CHF "&amp;ROUND((H494-AT494)*G494,0)&amp;"; ","")&amp;IF(AND(CE494=1,CF494&lt;CG494),"MAX &lt; MB+LG; ","")&amp;IF(AND(CK494&gt;0,CJ494*10&gt;CK494),"zu hoch für Tablar; ","")&amp;IF(AND(BS494=0,OR(CE494=1,AA494&lt;&gt;"",U494&lt;&gt;"",V494&lt;&gt;"",AB494&lt;&gt;"")),"manuell übersteuert; ","")&amp;IF(AND(BW494=0,R494=0),"Gebinde unbekannt / Stellmass fehlt; ","")&amp;IF(AND(BW494=0,N(V494)&lt;=0,N(Q494)&lt;=0),"Menge pro Gebinde fehlt (Ist = 1 Gebinde); ","")&amp;BR494)</f>
        <v/>
      </c>
      <c r="BK494" s="48"/>
      <c r="BL494" s="48"/>
      <c r="BM494" s="55"/>
      <c r="BN494" s="50" t="n">
        <v>3</v>
      </c>
      <c r="BO494" s="50" t="n">
        <v>0</v>
      </c>
      <c r="BP494" s="49" t="n">
        <v>40.35</v>
      </c>
      <c r="BQ494" s="50" t="n">
        <v>4</v>
      </c>
      <c r="BR494" s="48"/>
      <c r="BS494" s="53" t="n">
        <v>0</v>
      </c>
      <c r="BT494" s="53" t="n">
        <v>494</v>
      </c>
      <c r="BU494" s="48" t="str">
        <f aca="false">IF(U494&lt;&gt;"",UPPER(TRIM(U494)),IF(BX494=1,UPPER(VLOOKUP(T494,Parameter!$I$27:$K$29,2,0)),IF(P494="","LOSE",P494)))</f>
        <v>S21</v>
      </c>
      <c r="BV494" s="50" t="n">
        <f aca="false">IF(BU494="LOSE",1,IF(N(V494)&gt;0,V494,IF(BX494=1,MAX(1,N(VLOOKUP(T494,Parameter!$I$27:$K$29,3,0)),H494,N(N494)),IF(N(Q494)&gt;0,Q494,MAX(1,H494)))))</f>
        <v>4</v>
      </c>
      <c r="BW494" s="53" t="n">
        <f aca="false">IF(BU494="LOSE",1,0)</f>
        <v>0</v>
      </c>
      <c r="BX494" s="53" t="n">
        <f aca="false">IF(AND(U494="",OR(P494="",P494="LOSE"),T494&lt;&gt;"",N(S494)&lt;=0,ISNUMBER(MATCH(T494,Parameter!$I$27:$I$29,0))),1,0)</f>
        <v>0</v>
      </c>
      <c r="BY494" s="53" t="n">
        <f aca="false">IF(CL494&gt;0,INDEX(Parameter!$H$5:$H$7,W494)/INDEX(Parameter!$E$5:$E$7,W494),IF(AND(BW494=0,N(IFERROR(VLOOKUP(BU494,'Gebinde-Kategorie'!$A$5:$N$45,14,0),0))&gt;0),VLOOKUP(BU494,'Gebinde-Kategorie'!$A$5:$N$45,14,0)*10+Parameter!$M$23,Parameter!$M$24))</f>
        <v>155</v>
      </c>
      <c r="BZ494" s="48" t="str">
        <f aca="false">IF(AND(Parameter!$B$19="Ja",E494&lt;&gt;"",ISNUMBER(MATCH(E494,Parameter!$I$35:$I$52,0))),VLOOKUP(E494,Parameter!$I$35:$J$52,2,0),IFERROR(VLOOKUP(D494,Parameter!$A$35:$C$64,2,0),"Nein"))</f>
        <v>2+3</v>
      </c>
      <c r="CA494" s="52" t="n">
        <f aca="false">IF(BW494=0,0,IF(N(S494)&gt;0,S494,IFERROR(VLOOKUP(D494,Parameter!$A$35:$C$64,3,0)+0,0)))</f>
        <v>0</v>
      </c>
      <c r="CB494" s="48" t="n">
        <f aca="false">IF(AA494&lt;&gt;"",AA494,Z494)</f>
        <v>3</v>
      </c>
      <c r="CC494" s="48" t="str">
        <f aca="false">IF(OR(CB494=1,CB494=2,CB494=3),IF(Parameter!$E$27="Ja","LIFT",IF(CB494=1,"L1","L23")),IF(CB494="Aussen","Aussen","-"))</f>
        <v>LIFT</v>
      </c>
      <c r="CD494" s="59" t="n">
        <f aca="false">IF(N(AB494)&gt;0,AB494,0)</f>
        <v>0</v>
      </c>
      <c r="CE494" s="53" t="n">
        <f aca="false">IF(ISNUMBER(AE494),1,0)</f>
        <v>0</v>
      </c>
      <c r="CF494" s="50" t="n">
        <f aca="false">N(AE494)</f>
        <v>0</v>
      </c>
      <c r="CG494" s="50" t="n">
        <f aca="false">N(M494)+N(N494)</f>
        <v>5</v>
      </c>
      <c r="CH494" s="50" t="n">
        <f aca="false">ROUNDUP(H494/BV494,0)</f>
        <v>1</v>
      </c>
      <c r="CI494" s="50" t="n">
        <f aca="false">ROUNDUP(CF494/BV494,0)</f>
        <v>0</v>
      </c>
      <c r="CJ494" s="53" t="n">
        <f aca="false">IF(BW494=1,0,IFERROR(VLOOKUP(BU494,'Gebinde-Kategorie'!$A$5:$N$45,5,0)+0,0))</f>
        <v>8</v>
      </c>
      <c r="CK494" s="53" t="n">
        <f aca="false">IFERROR(IF(OR(CB494=1,CB494=2,CB494=3),N(INDEX(Parameter!$I$5:$I$7,CB494)),0),0)</f>
        <v>0</v>
      </c>
      <c r="CL494" s="52" t="n">
        <f aca="false">IF(AND(Parameter!$B$21="Ja",ISNUMBER(W494),N(X494)&gt;0),IFERROR(N(INDEX(Parameter!$L$5:$L$7,W494))*INDEX(Parameter!$E$5:$E$7,W494)*X494/SUMIFS($X$7:$X$1843,$W$7:$W$1843,W494),0),0)</f>
        <v>0</v>
      </c>
    </row>
    <row r="495" customFormat="false" ht="15" hidden="false" customHeight="false" outlineLevel="0" collapsed="false">
      <c r="A495" s="48" t="s">
        <v>1095</v>
      </c>
      <c r="B495" s="48" t="s">
        <v>1096</v>
      </c>
      <c r="C495" s="48" t="s">
        <v>168</v>
      </c>
      <c r="D495" s="48" t="s">
        <v>188</v>
      </c>
      <c r="E495" s="48" t="s">
        <v>189</v>
      </c>
      <c r="F495" s="48" t="s">
        <v>222</v>
      </c>
      <c r="G495" s="49" t="n">
        <v>5.09</v>
      </c>
      <c r="H495" s="50" t="n">
        <f aca="false">MAX(0,IF(AND(Parameter!$B$21="Ja",ISNUMBER(Y495)),Y495,IF(Parameter!$B$20="Jahresanfang 2025 + Export",BO495+BN495,BN495)))</f>
        <v>11</v>
      </c>
      <c r="I495" s="50" t="n">
        <f aca="false">H495*G495</f>
        <v>55.99</v>
      </c>
      <c r="J495" s="50" t="n">
        <f aca="false">BQ495*Parameter!$B$18</f>
        <v>6</v>
      </c>
      <c r="K495" s="51" t="n">
        <v>4</v>
      </c>
      <c r="L495" s="52" t="n">
        <v>1.5</v>
      </c>
      <c r="M495" s="50" t="n">
        <v>0</v>
      </c>
      <c r="N495" s="50" t="n">
        <v>10</v>
      </c>
      <c r="O495" s="53" t="n">
        <v>30</v>
      </c>
      <c r="P495" s="48" t="s">
        <v>425</v>
      </c>
      <c r="Q495" s="50" t="n">
        <v>6</v>
      </c>
      <c r="R495" s="53" t="n">
        <f aca="false">IF(BW495=1,0,IFERROR(VLOOKUP(BU495,'Gebinde-Kategorie'!$A$5:$N$45,13,0)+0,0))</f>
        <v>104</v>
      </c>
      <c r="S495" s="54"/>
      <c r="T495" s="55"/>
      <c r="U495" s="55"/>
      <c r="V495" s="55"/>
      <c r="W495" s="48"/>
      <c r="X495" s="50"/>
      <c r="Y495" s="50"/>
      <c r="Z495" s="48" t="n">
        <f aca="false">IF(A495="","",IF(AND(Parameter!$B$21="Ja",ISNUMBER(W495)),W495,IF(BZ495="2+3",IF(ISNUMBER(SEARCH("grosser Artikel",BR495)),2,IFERROR(VLOOKUP(BU495,Parameter!$F$35:$G$64,2,0),2)),IF(OR(BZ495="Nein",BZ495=""),"-",BZ495))))</f>
        <v>3</v>
      </c>
      <c r="AA495" s="55"/>
      <c r="AB495" s="56"/>
      <c r="AC495" s="50" t="n">
        <f aca="false">AT495</f>
        <v>12</v>
      </c>
      <c r="AD495" s="50" t="n">
        <f aca="false">MAX(AT495,H495)</f>
        <v>12</v>
      </c>
      <c r="AE495" s="57"/>
      <c r="AF495" s="50" t="n">
        <f aca="false">IF(LEFT(Cockpit!$C$5,1)="A",H495,IF(CE495=1,CF495,IF(LEFT(Cockpit!$C$5,1)="B",AK495,MAX(AK495,H495))))</f>
        <v>11</v>
      </c>
      <c r="AG495" s="50" t="n">
        <f aca="false">IF(BW495=1,0,ROUNDUP(AF495/BV495,0))</f>
        <v>2</v>
      </c>
      <c r="AH495" s="52" t="n">
        <f aca="false">IF(CL495&gt;0,CL495*MAX(1,AF495/X495),IF(BW495=1,IF(AF495&lt;=0,0,CA495*MAX(1,IF(H495&gt;0,AF495/H495,1))),IF(R495&gt;0,AG495/R495,0))/MAX(0.1,N(Parameter!$M$21)))</f>
        <v>0.0192307692307692</v>
      </c>
      <c r="AI495" s="50" t="n">
        <f aca="false">AH495*BY495</f>
        <v>2.98076923076923</v>
      </c>
      <c r="AJ495" s="50" t="n">
        <f aca="false">AF495*G495</f>
        <v>55.99</v>
      </c>
      <c r="AK495" s="50" t="n">
        <f aca="false">ROUNDUP(MAX(J495/IF(CD495&gt;0,CD495,MAX(0.1,N(Cockpit!$C$6))),CG495)/BV495,0)*BV495</f>
        <v>12</v>
      </c>
      <c r="AL495" s="51" t="n">
        <f aca="false">IF(AI495&gt;0,J495/AI495,-1)</f>
        <v>2.01290322580645</v>
      </c>
      <c r="AM495" s="51" t="n">
        <f aca="false">IF(AND(OR(CC495="L1",CC495="L23",CC495="LIFT"),AI495&gt;0),SUMIFS($AI$7:$AI$1843,$CC$7:$CC$1843,CC495,$AL$7:$AL$1843,"&gt;"&amp;AL495)+SUMIFS($AI$7:$AI$1843,$CC$7:$CC$1843,CC495,$AL$7:$AL$1843,AL495,$BT$7:$BT$1843,"&lt;="&amp;BT495),"")</f>
        <v>5784.88827838828</v>
      </c>
      <c r="AN495" s="58" t="n">
        <f aca="false">IF(AM495="",0,MAX(0,MIN(1,(IF(CC495="L1",Parameter!$H$5,IF(CC495="L23",Parameter!$H$6+Parameter!$H$7,Parameter!$H$5+Parameter!$H$6+Parameter!$H$7))-(AM495-AI495))/AI495)))</f>
        <v>1</v>
      </c>
      <c r="AO495" s="50" t="n">
        <f aca="false">IF(LEFT(Cockpit!$I$5,1)="A",H495,IF(CE495=1,CF495,IF(LEFT(Cockpit!$I$5,1)="B",AT495,MAX(AT495,H495))))</f>
        <v>12</v>
      </c>
      <c r="AP495" s="50" t="n">
        <f aca="false">IF(BW495=1,0,ROUNDUP(AO495/BV495,0))</f>
        <v>2</v>
      </c>
      <c r="AQ495" s="52" t="n">
        <f aca="false">IF(CL495&gt;0,CL495*MAX(1,AO495/X495),IF(BW495=1,IF(AO495&lt;=0,0,CA495*MAX(1,IF(H495&gt;0,AO495/H495,1))),IF(R495&gt;0,AP495/R495,0))/MAX(0.1,N(Parameter!$M$21)))</f>
        <v>0.0192307692307692</v>
      </c>
      <c r="AR495" s="50" t="n">
        <f aca="false">AQ495*BY495</f>
        <v>2.98076923076923</v>
      </c>
      <c r="AS495" s="50" t="n">
        <f aca="false">AO495*G495</f>
        <v>61.08</v>
      </c>
      <c r="AT495" s="50" t="n">
        <f aca="false">ROUNDUP(MAX(J495/IF(CD495&gt;0,CD495,MAX(0.1,N(Cockpit!$I$6))),CG495)/BV495,0)*BV495</f>
        <v>12</v>
      </c>
      <c r="AU495" s="51" t="n">
        <f aca="false">IF(AR495&gt;0,J495/AR495,-1)</f>
        <v>2.01290322580645</v>
      </c>
      <c r="AV495" s="51" t="n">
        <f aca="false">IF(AND(OR(CC495="L1",CC495="L23",CC495="LIFT"),AR495&gt;0),SUMIFS($AR$7:$AR$1843,$CC$7:$CC$1843,CC495,$AU$7:$AU$1843,"&gt;"&amp;AU495)+SUMIFS($AR$7:$AR$1843,$CC$7:$CC$1843,CC495,$AU$7:$AU$1843,AU495,$BT$7:$BT$1843,"&lt;="&amp;BT495),"")</f>
        <v>7694.58058608059</v>
      </c>
      <c r="AW495" s="58" t="n">
        <f aca="false">IF(AV495="",0,MAX(0,MIN(1,(IF(CC495="L1",Parameter!$H$5,IF(CC495="L23",Parameter!$H$6+Parameter!$H$7,Parameter!$H$5+Parameter!$H$6+Parameter!$H$7))-(AV495-AR495))/AR495)))</f>
        <v>1</v>
      </c>
      <c r="AX495" s="50" t="n">
        <f aca="false">IF(LEFT(Cockpit!$O$5,1)="A",H495,IF(CE495=1,CF495,IF(LEFT(Cockpit!$O$5,1)="B",BC495,MAX(BC495,H495))))</f>
        <v>12</v>
      </c>
      <c r="AY495" s="50" t="n">
        <f aca="false">IF(BW495=1,0,ROUNDUP(AX495/BV495,0))</f>
        <v>2</v>
      </c>
      <c r="AZ495" s="52" t="n">
        <f aca="false">IF(CL495&gt;0,CL495*MAX(1,AX495/X495),IF(BW495=1,IF(AX495&lt;=0,0,CA495*MAX(1,IF(H495&gt;0,AX495/H495,1))),IF(R495&gt;0,AY495/R495,0))/MAX(0.1,N(Parameter!$M$21)))</f>
        <v>0.0192307692307692</v>
      </c>
      <c r="BA495" s="50" t="n">
        <f aca="false">AZ495*BY495</f>
        <v>2.98076923076923</v>
      </c>
      <c r="BB495" s="50" t="n">
        <f aca="false">AX495*G495</f>
        <v>61.08</v>
      </c>
      <c r="BC495" s="50" t="n">
        <f aca="false">ROUNDUP(MAX(J495/IF(CD495&gt;0,CD495,MAX(0.1,N(Cockpit!$O$6))),CG495)/BV495,0)*BV495</f>
        <v>12</v>
      </c>
      <c r="BD495" s="51" t="n">
        <f aca="false">IF(BA495&gt;0,J495/BA495,-1)</f>
        <v>2.01290322580645</v>
      </c>
      <c r="BE495" s="51" t="n">
        <f aca="false">IF(AND(OR(CC495="L1",CC495="L23",CC495="LIFT"),BA495&gt;0),SUMIFS($BA$7:$BA$1843,$CC$7:$CC$1843,CC495,$BD$7:$BD$1843,"&gt;"&amp;BD495)+SUMIFS($BA$7:$BA$1843,$CC$7:$CC$1843,CC495,$BD$7:$BD$1843,BD495,$BT$7:$BT$1843,"&lt;="&amp;BT495),"")</f>
        <v>7593.57097069597</v>
      </c>
      <c r="BF495" s="58" t="n">
        <f aca="false">IF(BE495="",0,MAX(0,MIN(1,(IF(CC495="L1",Parameter!$H$5,IF(CC495="L23",Parameter!$H$6+Parameter!$H$7,Parameter!$H$5+Parameter!$H$6+Parameter!$H$7))-(BE495-BA495))/BA495)))</f>
        <v>1</v>
      </c>
      <c r="BG495" s="48" t="str">
        <f aca="false">IF(AI495&lt;=0,"",IF(CC495="Aussen","Aussenlager",IF(CC495="-","Nicht im Lift",IF(AN495&gt;=1,"Lift",IF(AN495&lt;=0,"Aussenlager","teilweise")))))</f>
        <v>Lift</v>
      </c>
      <c r="BH495" s="48" t="str">
        <f aca="false">IF(AR495&lt;=0,"",IF(CC495="Aussen","Aussenlager",IF(CC495="-","Nicht im Lift",IF(AW495&gt;=1,"Lift",IF(AW495&lt;=0,"Aussenlager","teilweise")))))</f>
        <v>Lift</v>
      </c>
      <c r="BI495" s="48" t="str">
        <f aca="false">IF(BA495&lt;=0,"",IF(CC495="Aussen","Aussenlager",IF(CC495="-","Nicht im Lift",IF(BF495&gt;=1,"Lift",IF(BF495&lt;=0,"Aussenlager","teilweise")))))</f>
        <v>Lift</v>
      </c>
      <c r="BJ495" s="48" t="str">
        <f aca="false">IF(A495="","",IF(BS495=1,"Neu; ","")&amp;IF(AND(BS495=0,BN495&lt;0),"negativer Bestand (Export "&amp;BN495&amp;"); ","")&amp;IF(J495&lt;=0,"Kein Verbrauch; ","")&amp;IF(CL495&gt;0,"Lift "&amp;W495&amp;" lt. Liftbericht (Fach "&amp;X495&amp;" Stk); ",IF(BX495=1,"Gebinde geschätzt ("&amp;T495&amp;"); ",IF(BW495=1,"Lose – Tablare geschätzt; ","")))&amp;IF(H495&gt;AT495,"Überbestand "&amp;ROUND(H495-AT495,0)&amp;" Stk / CHF "&amp;ROUND((H495-AT495)*G495,0)&amp;"; ","")&amp;IF(AND(CE495=1,CF495&lt;CG495),"MAX &lt; MB+LG; ","")&amp;IF(AND(CK495&gt;0,CJ495*10&gt;CK495),"zu hoch für Tablar; ","")&amp;IF(AND(BS495=0,OR(CE495=1,AA495&lt;&gt;"",U495&lt;&gt;"",V495&lt;&gt;"",AB495&lt;&gt;"")),"manuell übersteuert; ","")&amp;IF(AND(BW495=0,R495=0),"Gebinde unbekannt / Stellmass fehlt; ","")&amp;IF(AND(BW495=0,N(V495)&lt;=0,N(Q495)&lt;=0),"Menge pro Gebinde fehlt (Ist = 1 Gebinde); ","")&amp;BR495)</f>
        <v/>
      </c>
      <c r="BK495" s="48"/>
      <c r="BL495" s="48"/>
      <c r="BM495" s="55"/>
      <c r="BN495" s="50" t="n">
        <v>8</v>
      </c>
      <c r="BO495" s="50" t="n">
        <v>3</v>
      </c>
      <c r="BP495" s="49" t="n">
        <v>40.18</v>
      </c>
      <c r="BQ495" s="50" t="n">
        <v>6</v>
      </c>
      <c r="BR495" s="48"/>
      <c r="BS495" s="53" t="n">
        <v>0</v>
      </c>
      <c r="BT495" s="53" t="n">
        <v>495</v>
      </c>
      <c r="BU495" s="48" t="str">
        <f aca="false">IF(U495&lt;&gt;"",UPPER(TRIM(U495)),IF(BX495=1,UPPER(VLOOKUP(T495,Parameter!$I$27:$K$29,2,0)),IF(P495="","LOSE",P495)))</f>
        <v>S32</v>
      </c>
      <c r="BV495" s="50" t="n">
        <f aca="false">IF(BU495="LOSE",1,IF(N(V495)&gt;0,V495,IF(BX495=1,MAX(1,N(VLOOKUP(T495,Parameter!$I$27:$K$29,3,0)),H495,N(N495)),IF(N(Q495)&gt;0,Q495,MAX(1,H495)))))</f>
        <v>6</v>
      </c>
      <c r="BW495" s="53" t="n">
        <f aca="false">IF(BU495="LOSE",1,0)</f>
        <v>0</v>
      </c>
      <c r="BX495" s="53" t="n">
        <f aca="false">IF(AND(U495="",OR(P495="",P495="LOSE"),T495&lt;&gt;"",N(S495)&lt;=0,ISNUMBER(MATCH(T495,Parameter!$I$27:$I$29,0))),1,0)</f>
        <v>0</v>
      </c>
      <c r="BY495" s="53" t="n">
        <f aca="false">IF(CL495&gt;0,INDEX(Parameter!$H$5:$H$7,W495)/INDEX(Parameter!$E$5:$E$7,W495),IF(AND(BW495=0,N(IFERROR(VLOOKUP(BU495,'Gebinde-Kategorie'!$A$5:$N$45,14,0),0))&gt;0),VLOOKUP(BU495,'Gebinde-Kategorie'!$A$5:$N$45,14,0)*10+Parameter!$M$23,Parameter!$M$24))</f>
        <v>155</v>
      </c>
      <c r="BZ495" s="48" t="str">
        <f aca="false">IF(AND(Parameter!$B$19="Ja",E495&lt;&gt;"",ISNUMBER(MATCH(E495,Parameter!$I$35:$I$52,0))),VLOOKUP(E495,Parameter!$I$35:$J$52,2,0),IFERROR(VLOOKUP(D495,Parameter!$A$35:$C$64,2,0),"Nein"))</f>
        <v>2+3</v>
      </c>
      <c r="CA495" s="52" t="n">
        <f aca="false">IF(BW495=0,0,IF(N(S495)&gt;0,S495,IFERROR(VLOOKUP(D495,Parameter!$A$35:$C$64,3,0)+0,0)))</f>
        <v>0</v>
      </c>
      <c r="CB495" s="48" t="n">
        <f aca="false">IF(AA495&lt;&gt;"",AA495,Z495)</f>
        <v>3</v>
      </c>
      <c r="CC495" s="48" t="str">
        <f aca="false">IF(OR(CB495=1,CB495=2,CB495=3),IF(Parameter!$E$27="Ja","LIFT",IF(CB495=1,"L1","L23")),IF(CB495="Aussen","Aussen","-"))</f>
        <v>LIFT</v>
      </c>
      <c r="CD495" s="59" t="n">
        <f aca="false">IF(N(AB495)&gt;0,AB495,0)</f>
        <v>0</v>
      </c>
      <c r="CE495" s="53" t="n">
        <f aca="false">IF(ISNUMBER(AE495),1,0)</f>
        <v>0</v>
      </c>
      <c r="CF495" s="50" t="n">
        <f aca="false">N(AE495)</f>
        <v>0</v>
      </c>
      <c r="CG495" s="50" t="n">
        <f aca="false">N(M495)+N(N495)</f>
        <v>10</v>
      </c>
      <c r="CH495" s="50" t="n">
        <f aca="false">ROUNDUP(H495/BV495,0)</f>
        <v>2</v>
      </c>
      <c r="CI495" s="50" t="n">
        <f aca="false">ROUNDUP(CF495/BV495,0)</f>
        <v>0</v>
      </c>
      <c r="CJ495" s="53" t="n">
        <f aca="false">IF(BW495=1,0,IFERROR(VLOOKUP(BU495,'Gebinde-Kategorie'!$A$5:$N$45,5,0)+0,0))</f>
        <v>8</v>
      </c>
      <c r="CK495" s="53" t="n">
        <f aca="false">IFERROR(IF(OR(CB495=1,CB495=2,CB495=3),N(INDEX(Parameter!$I$5:$I$7,CB495)),0),0)</f>
        <v>0</v>
      </c>
      <c r="CL495" s="52" t="n">
        <f aca="false">IF(AND(Parameter!$B$21="Ja",ISNUMBER(W495),N(X495)&gt;0),IFERROR(N(INDEX(Parameter!$L$5:$L$7,W495))*INDEX(Parameter!$E$5:$E$7,W495)*X495/SUMIFS($X$7:$X$1843,$W$7:$W$1843,W495),0),0)</f>
        <v>0</v>
      </c>
    </row>
    <row r="496" customFormat="false" ht="15" hidden="false" customHeight="false" outlineLevel="0" collapsed="false">
      <c r="A496" s="48" t="s">
        <v>1097</v>
      </c>
      <c r="B496" s="48" t="s">
        <v>509</v>
      </c>
      <c r="C496" s="48" t="s">
        <v>168</v>
      </c>
      <c r="D496" s="48" t="s">
        <v>188</v>
      </c>
      <c r="E496" s="48" t="s">
        <v>189</v>
      </c>
      <c r="F496" s="48" t="s">
        <v>222</v>
      </c>
      <c r="G496" s="49" t="n">
        <v>32.17</v>
      </c>
      <c r="H496" s="50" t="n">
        <f aca="false">MAX(0,IF(AND(Parameter!$B$21="Ja",ISNUMBER(Y496)),Y496,IF(Parameter!$B$20="Jahresanfang 2025 + Export",BO496+BN496,BN496)))</f>
        <v>4</v>
      </c>
      <c r="I496" s="50" t="n">
        <f aca="false">H496*G496</f>
        <v>128.68</v>
      </c>
      <c r="J496" s="50" t="n">
        <f aca="false">BQ496*Parameter!$B$18</f>
        <v>8</v>
      </c>
      <c r="K496" s="51" t="n">
        <v>5.5</v>
      </c>
      <c r="L496" s="52" t="n">
        <v>1.45454545454546</v>
      </c>
      <c r="M496" s="50" t="n">
        <v>0</v>
      </c>
      <c r="N496" s="50" t="n">
        <v>10</v>
      </c>
      <c r="O496" s="53" t="n">
        <v>28</v>
      </c>
      <c r="P496" s="48" t="s">
        <v>332</v>
      </c>
      <c r="Q496" s="50" t="n">
        <v>14</v>
      </c>
      <c r="R496" s="53" t="n">
        <f aca="false">IF(BW496=1,0,IFERROR(VLOOKUP(BU496,'Gebinde-Kategorie'!$A$5:$N$45,13,0)+0,0))</f>
        <v>52</v>
      </c>
      <c r="S496" s="54"/>
      <c r="T496" s="55"/>
      <c r="U496" s="55"/>
      <c r="V496" s="55"/>
      <c r="W496" s="48"/>
      <c r="X496" s="50"/>
      <c r="Y496" s="50"/>
      <c r="Z496" s="48" t="n">
        <f aca="false">IF(A496="","",IF(AND(Parameter!$B$21="Ja",ISNUMBER(W496)),W496,IF(BZ496="2+3",IF(ISNUMBER(SEARCH("grosser Artikel",BR496)),2,IFERROR(VLOOKUP(BU496,Parameter!$F$35:$G$64,2,0),2)),IF(OR(BZ496="Nein",BZ496=""),"-",BZ496))))</f>
        <v>3</v>
      </c>
      <c r="AA496" s="55"/>
      <c r="AB496" s="56"/>
      <c r="AC496" s="50" t="n">
        <f aca="false">AT496</f>
        <v>14</v>
      </c>
      <c r="AD496" s="50" t="n">
        <f aca="false">MAX(AT496,H496)</f>
        <v>14</v>
      </c>
      <c r="AE496" s="57"/>
      <c r="AF496" s="50" t="n">
        <f aca="false">IF(LEFT(Cockpit!$C$5,1)="A",H496,IF(CE496=1,CF496,IF(LEFT(Cockpit!$C$5,1)="B",AK496,MAX(AK496,H496))))</f>
        <v>4</v>
      </c>
      <c r="AG496" s="50" t="n">
        <f aca="false">IF(BW496=1,0,ROUNDUP(AF496/BV496,0))</f>
        <v>1</v>
      </c>
      <c r="AH496" s="52" t="n">
        <f aca="false">IF(CL496&gt;0,CL496*MAX(1,AF496/X496),IF(BW496=1,IF(AF496&lt;=0,0,CA496*MAX(1,IF(H496&gt;0,AF496/H496,1))),IF(R496&gt;0,AG496/R496,0))/MAX(0.1,N(Parameter!$M$21)))</f>
        <v>0.0192307692307692</v>
      </c>
      <c r="AI496" s="50" t="n">
        <f aca="false">AH496*BY496</f>
        <v>2.98076923076923</v>
      </c>
      <c r="AJ496" s="50" t="n">
        <f aca="false">AF496*G496</f>
        <v>128.68</v>
      </c>
      <c r="AK496" s="50" t="n">
        <f aca="false">ROUNDUP(MAX(J496/IF(CD496&gt;0,CD496,MAX(0.1,N(Cockpit!$C$6))),CG496)/BV496,0)*BV496</f>
        <v>14</v>
      </c>
      <c r="AL496" s="51" t="n">
        <f aca="false">IF(AI496&gt;0,J496/AI496,-1)</f>
        <v>2.68387096774194</v>
      </c>
      <c r="AM496" s="51" t="n">
        <f aca="false">IF(AND(OR(CC496="L1",CC496="L23",CC496="LIFT"),AI496&gt;0),SUMIFS($AI$7:$AI$1843,$CC$7:$CC$1843,CC496,$AL$7:$AL$1843,"&gt;"&amp;AL496)+SUMIFS($AI$7:$AI$1843,$CC$7:$CC$1843,CC496,$AL$7:$AL$1843,AL496,$BT$7:$BT$1843,"&lt;="&amp;BT496),"")</f>
        <v>5321.96749084249</v>
      </c>
      <c r="AN496" s="58" t="n">
        <f aca="false">IF(AM496="",0,MAX(0,MIN(1,(IF(CC496="L1",Parameter!$H$5,IF(CC496="L23",Parameter!$H$6+Parameter!$H$7,Parameter!$H$5+Parameter!$H$6+Parameter!$H$7))-(AM496-AI496))/AI496)))</f>
        <v>1</v>
      </c>
      <c r="AO496" s="50" t="n">
        <f aca="false">IF(LEFT(Cockpit!$I$5,1)="A",H496,IF(CE496=1,CF496,IF(LEFT(Cockpit!$I$5,1)="B",AT496,MAX(AT496,H496))))</f>
        <v>14</v>
      </c>
      <c r="AP496" s="50" t="n">
        <f aca="false">IF(BW496=1,0,ROUNDUP(AO496/BV496,0))</f>
        <v>1</v>
      </c>
      <c r="AQ496" s="52" t="n">
        <f aca="false">IF(CL496&gt;0,CL496*MAX(1,AO496/X496),IF(BW496=1,IF(AO496&lt;=0,0,CA496*MAX(1,IF(H496&gt;0,AO496/H496,1))),IF(R496&gt;0,AP496/R496,0))/MAX(0.1,N(Parameter!$M$21)))</f>
        <v>0.0192307692307692</v>
      </c>
      <c r="AR496" s="50" t="n">
        <f aca="false">AQ496*BY496</f>
        <v>2.98076923076923</v>
      </c>
      <c r="AS496" s="50" t="n">
        <f aca="false">AO496*G496</f>
        <v>450.38</v>
      </c>
      <c r="AT496" s="50" t="n">
        <f aca="false">ROUNDUP(MAX(J496/IF(CD496&gt;0,CD496,MAX(0.1,N(Cockpit!$I$6))),CG496)/BV496,0)*BV496</f>
        <v>14</v>
      </c>
      <c r="AU496" s="51" t="n">
        <f aca="false">IF(AR496&gt;0,J496/AR496,-1)</f>
        <v>2.68387096774194</v>
      </c>
      <c r="AV496" s="51" t="n">
        <f aca="false">IF(AND(OR(CC496="L1",CC496="L23",CC496="LIFT"),AR496&gt;0),SUMIFS($AR$7:$AR$1843,$CC$7:$CC$1843,CC496,$AU$7:$AU$1843,"&gt;"&amp;AU496)+SUMIFS($AR$7:$AR$1843,$CC$7:$CC$1843,CC496,$AU$7:$AU$1843,AU496,$BT$7:$BT$1843,"&lt;="&amp;BT496),"")</f>
        <v>6701.67582417582</v>
      </c>
      <c r="AW496" s="58" t="n">
        <f aca="false">IF(AV496="",0,MAX(0,MIN(1,(IF(CC496="L1",Parameter!$H$5,IF(CC496="L23",Parameter!$H$6+Parameter!$H$7,Parameter!$H$5+Parameter!$H$6+Parameter!$H$7))-(AV496-AR496))/AR496)))</f>
        <v>1</v>
      </c>
      <c r="AX496" s="50" t="n">
        <f aca="false">IF(LEFT(Cockpit!$O$5,1)="A",H496,IF(CE496=1,CF496,IF(LEFT(Cockpit!$O$5,1)="B",BC496,MAX(BC496,H496))))</f>
        <v>14</v>
      </c>
      <c r="AY496" s="50" t="n">
        <f aca="false">IF(BW496=1,0,ROUNDUP(AX496/BV496,0))</f>
        <v>1</v>
      </c>
      <c r="AZ496" s="52" t="n">
        <f aca="false">IF(CL496&gt;0,CL496*MAX(1,AX496/X496),IF(BW496=1,IF(AX496&lt;=0,0,CA496*MAX(1,IF(H496&gt;0,AX496/H496,1))),IF(R496&gt;0,AY496/R496,0))/MAX(0.1,N(Parameter!$M$21)))</f>
        <v>0.0192307692307692</v>
      </c>
      <c r="BA496" s="50" t="n">
        <f aca="false">AZ496*BY496</f>
        <v>2.98076923076923</v>
      </c>
      <c r="BB496" s="50" t="n">
        <f aca="false">AX496*G496</f>
        <v>450.38</v>
      </c>
      <c r="BC496" s="50" t="n">
        <f aca="false">ROUNDUP(MAX(J496/IF(CD496&gt;0,CD496,MAX(0.1,N(Cockpit!$O$6))),CG496)/BV496,0)*BV496</f>
        <v>14</v>
      </c>
      <c r="BD496" s="51" t="n">
        <f aca="false">IF(BA496&gt;0,J496/BA496,-1)</f>
        <v>2.68387096774194</v>
      </c>
      <c r="BE496" s="51" t="n">
        <f aca="false">IF(AND(OR(CC496="L1",CC496="L23",CC496="LIFT"),BA496&gt;0),SUMIFS($BA$7:$BA$1843,$CC$7:$CC$1843,CC496,$BD$7:$BD$1843,"&gt;"&amp;BD496)+SUMIFS($BA$7:$BA$1843,$CC$7:$CC$1843,CC496,$BD$7:$BD$1843,BD496,$BT$7:$BT$1843,"&lt;="&amp;BT496),"")</f>
        <v>6484.83287545788</v>
      </c>
      <c r="BF496" s="58" t="n">
        <f aca="false">IF(BE496="",0,MAX(0,MIN(1,(IF(CC496="L1",Parameter!$H$5,IF(CC496="L23",Parameter!$H$6+Parameter!$H$7,Parameter!$H$5+Parameter!$H$6+Parameter!$H$7))-(BE496-BA496))/BA496)))</f>
        <v>1</v>
      </c>
      <c r="BG496" s="48" t="str">
        <f aca="false">IF(AI496&lt;=0,"",IF(CC496="Aussen","Aussenlager",IF(CC496="-","Nicht im Lift",IF(AN496&gt;=1,"Lift",IF(AN496&lt;=0,"Aussenlager","teilweise")))))</f>
        <v>Lift</v>
      </c>
      <c r="BH496" s="48" t="str">
        <f aca="false">IF(AR496&lt;=0,"",IF(CC496="Aussen","Aussenlager",IF(CC496="-","Nicht im Lift",IF(AW496&gt;=1,"Lift",IF(AW496&lt;=0,"Aussenlager","teilweise")))))</f>
        <v>Lift</v>
      </c>
      <c r="BI496" s="48" t="str">
        <f aca="false">IF(BA496&lt;=0,"",IF(CC496="Aussen","Aussenlager",IF(CC496="-","Nicht im Lift",IF(BF496&gt;=1,"Lift",IF(BF496&lt;=0,"Aussenlager","teilweise")))))</f>
        <v>Lift</v>
      </c>
      <c r="BJ496" s="48" t="str">
        <f aca="false">IF(A496="","",IF(BS496=1,"Neu; ","")&amp;IF(AND(BS496=0,BN496&lt;0),"negativer Bestand (Export "&amp;BN496&amp;"); ","")&amp;IF(J496&lt;=0,"Kein Verbrauch; ","")&amp;IF(CL496&gt;0,"Lift "&amp;W496&amp;" lt. Liftbericht (Fach "&amp;X496&amp;" Stk); ",IF(BX496=1,"Gebinde geschätzt ("&amp;T496&amp;"); ",IF(BW496=1,"Lose – Tablare geschätzt; ","")))&amp;IF(H496&gt;AT496,"Überbestand "&amp;ROUND(H496-AT496,0)&amp;" Stk / CHF "&amp;ROUND((H496-AT496)*G496,0)&amp;"; ","")&amp;IF(AND(CE496=1,CF496&lt;CG496),"MAX &lt; MB+LG; ","")&amp;IF(AND(CK496&gt;0,CJ496*10&gt;CK496),"zu hoch für Tablar; ","")&amp;IF(AND(BS496=0,OR(CE496=1,AA496&lt;&gt;"",U496&lt;&gt;"",V496&lt;&gt;"",AB496&lt;&gt;"")),"manuell übersteuert; ","")&amp;IF(AND(BW496=0,R496=0),"Gebinde unbekannt / Stellmass fehlt; ","")&amp;IF(AND(BW496=0,N(V496)&lt;=0,N(Q496)&lt;=0),"Menge pro Gebinde fehlt (Ist = 1 Gebinde); ","")&amp;BR496)</f>
        <v>negativer Bestand (Export -1); </v>
      </c>
      <c r="BK496" s="48"/>
      <c r="BL496" s="48"/>
      <c r="BM496" s="55"/>
      <c r="BN496" s="50" t="n">
        <v>-1</v>
      </c>
      <c r="BO496" s="50" t="n">
        <v>5</v>
      </c>
      <c r="BP496" s="49" t="n">
        <v>39.68</v>
      </c>
      <c r="BQ496" s="50" t="n">
        <v>8</v>
      </c>
      <c r="BR496" s="48"/>
      <c r="BS496" s="53" t="n">
        <v>0</v>
      </c>
      <c r="BT496" s="53" t="n">
        <v>496</v>
      </c>
      <c r="BU496" s="48" t="str">
        <f aca="false">IF(U496&lt;&gt;"",UPPER(TRIM(U496)),IF(BX496=1,UPPER(VLOOKUP(T496,Parameter!$I$27:$K$29,2,0)),IF(P496="","LOSE",P496)))</f>
        <v>S41</v>
      </c>
      <c r="BV496" s="50" t="n">
        <f aca="false">IF(BU496="LOSE",1,IF(N(V496)&gt;0,V496,IF(BX496=1,MAX(1,N(VLOOKUP(T496,Parameter!$I$27:$K$29,3,0)),H496,N(N496)),IF(N(Q496)&gt;0,Q496,MAX(1,H496)))))</f>
        <v>14</v>
      </c>
      <c r="BW496" s="53" t="n">
        <f aca="false">IF(BU496="LOSE",1,0)</f>
        <v>0</v>
      </c>
      <c r="BX496" s="53" t="n">
        <f aca="false">IF(AND(U496="",OR(P496="",P496="LOSE"),T496&lt;&gt;"",N(S496)&lt;=0,ISNUMBER(MATCH(T496,Parameter!$I$27:$I$29,0))),1,0)</f>
        <v>0</v>
      </c>
      <c r="BY496" s="53" t="n">
        <f aca="false">IF(CL496&gt;0,INDEX(Parameter!$H$5:$H$7,W496)/INDEX(Parameter!$E$5:$E$7,W496),IF(AND(BW496=0,N(IFERROR(VLOOKUP(BU496,'Gebinde-Kategorie'!$A$5:$N$45,14,0),0))&gt;0),VLOOKUP(BU496,'Gebinde-Kategorie'!$A$5:$N$45,14,0)*10+Parameter!$M$23,Parameter!$M$24))</f>
        <v>155</v>
      </c>
      <c r="BZ496" s="48" t="str">
        <f aca="false">IF(AND(Parameter!$B$19="Ja",E496&lt;&gt;"",ISNUMBER(MATCH(E496,Parameter!$I$35:$I$52,0))),VLOOKUP(E496,Parameter!$I$35:$J$52,2,0),IFERROR(VLOOKUP(D496,Parameter!$A$35:$C$64,2,0),"Nein"))</f>
        <v>2+3</v>
      </c>
      <c r="CA496" s="52" t="n">
        <f aca="false">IF(BW496=0,0,IF(N(S496)&gt;0,S496,IFERROR(VLOOKUP(D496,Parameter!$A$35:$C$64,3,0)+0,0)))</f>
        <v>0</v>
      </c>
      <c r="CB496" s="48" t="n">
        <f aca="false">IF(AA496&lt;&gt;"",AA496,Z496)</f>
        <v>3</v>
      </c>
      <c r="CC496" s="48" t="str">
        <f aca="false">IF(OR(CB496=1,CB496=2,CB496=3),IF(Parameter!$E$27="Ja","LIFT",IF(CB496=1,"L1","L23")),IF(CB496="Aussen","Aussen","-"))</f>
        <v>LIFT</v>
      </c>
      <c r="CD496" s="59" t="n">
        <f aca="false">IF(N(AB496)&gt;0,AB496,0)</f>
        <v>0</v>
      </c>
      <c r="CE496" s="53" t="n">
        <f aca="false">IF(ISNUMBER(AE496),1,0)</f>
        <v>0</v>
      </c>
      <c r="CF496" s="50" t="n">
        <f aca="false">N(AE496)</f>
        <v>0</v>
      </c>
      <c r="CG496" s="50" t="n">
        <f aca="false">N(M496)+N(N496)</f>
        <v>10</v>
      </c>
      <c r="CH496" s="50" t="n">
        <f aca="false">ROUNDUP(H496/BV496,0)</f>
        <v>1</v>
      </c>
      <c r="CI496" s="50" t="n">
        <f aca="false">ROUNDUP(CF496/BV496,0)</f>
        <v>0</v>
      </c>
      <c r="CJ496" s="53" t="n">
        <f aca="false">IF(BW496=1,0,IFERROR(VLOOKUP(BU496,'Gebinde-Kategorie'!$A$5:$N$45,5,0)+0,0))</f>
        <v>11</v>
      </c>
      <c r="CK496" s="53" t="n">
        <f aca="false">IFERROR(IF(OR(CB496=1,CB496=2,CB496=3),N(INDEX(Parameter!$I$5:$I$7,CB496)),0),0)</f>
        <v>0</v>
      </c>
      <c r="CL496" s="52" t="n">
        <f aca="false">IF(AND(Parameter!$B$21="Ja",ISNUMBER(W496),N(X496)&gt;0),IFERROR(N(INDEX(Parameter!$L$5:$L$7,W496))*INDEX(Parameter!$E$5:$E$7,W496)*X496/SUMIFS($X$7:$X$1843,$W$7:$W$1843,W496),0),0)</f>
        <v>0</v>
      </c>
    </row>
    <row r="497" customFormat="false" ht="15" hidden="false" customHeight="false" outlineLevel="0" collapsed="false">
      <c r="A497" s="48" t="s">
        <v>1098</v>
      </c>
      <c r="B497" s="48" t="s">
        <v>1099</v>
      </c>
      <c r="C497" s="48" t="s">
        <v>168</v>
      </c>
      <c r="D497" s="48" t="s">
        <v>188</v>
      </c>
      <c r="E497" s="48"/>
      <c r="F497" s="48" t="s">
        <v>222</v>
      </c>
      <c r="G497" s="49" t="n">
        <v>7.55</v>
      </c>
      <c r="H497" s="50" t="n">
        <f aca="false">MAX(0,IF(AND(Parameter!$B$21="Ja",ISNUMBER(Y497)),Y497,IF(Parameter!$B$20="Jahresanfang 2025 + Export",BO497+BN497,BN497)))</f>
        <v>5</v>
      </c>
      <c r="I497" s="50" t="n">
        <f aca="false">H497*G497</f>
        <v>37.75</v>
      </c>
      <c r="J497" s="50" t="n">
        <f aca="false">BQ497*Parameter!$B$18</f>
        <v>2</v>
      </c>
      <c r="K497" s="51" t="n">
        <v>1.5</v>
      </c>
      <c r="L497" s="52" t="n">
        <v>1.33333333333333</v>
      </c>
      <c r="M497" s="50" t="n">
        <v>0</v>
      </c>
      <c r="N497" s="50" t="n">
        <v>1</v>
      </c>
      <c r="O497" s="53" t="n">
        <v>14</v>
      </c>
      <c r="P497" s="48" t="s">
        <v>405</v>
      </c>
      <c r="Q497" s="50" t="n">
        <v>5</v>
      </c>
      <c r="R497" s="53" t="n">
        <f aca="false">IF(BW497=1,0,IFERROR(VLOOKUP(BU497,'Gebinde-Kategorie'!$A$5:$N$45,13,0)+0,0))</f>
        <v>280</v>
      </c>
      <c r="S497" s="54"/>
      <c r="T497" s="55"/>
      <c r="U497" s="55"/>
      <c r="V497" s="55"/>
      <c r="W497" s="48"/>
      <c r="X497" s="50"/>
      <c r="Y497" s="50"/>
      <c r="Z497" s="48" t="n">
        <f aca="false">IF(A497="","",IF(AND(Parameter!$B$21="Ja",ISNUMBER(W497)),W497,IF(BZ497="2+3",IF(ISNUMBER(SEARCH("grosser Artikel",BR497)),2,IFERROR(VLOOKUP(BU497,Parameter!$F$35:$G$64,2,0),2)),IF(OR(BZ497="Nein",BZ497=""),"-",BZ497))))</f>
        <v>3</v>
      </c>
      <c r="AA497" s="55"/>
      <c r="AB497" s="56"/>
      <c r="AC497" s="50" t="n">
        <f aca="false">AT497</f>
        <v>5</v>
      </c>
      <c r="AD497" s="50" t="n">
        <f aca="false">MAX(AT497,H497)</f>
        <v>5</v>
      </c>
      <c r="AE497" s="57"/>
      <c r="AF497" s="50" t="n">
        <f aca="false">IF(LEFT(Cockpit!$C$5,1)="A",H497,IF(CE497=1,CF497,IF(LEFT(Cockpit!$C$5,1)="B",AK497,MAX(AK497,H497))))</f>
        <v>5</v>
      </c>
      <c r="AG497" s="50" t="n">
        <f aca="false">IF(BW497=1,0,ROUNDUP(AF497/BV497,0))</f>
        <v>1</v>
      </c>
      <c r="AH497" s="52" t="n">
        <f aca="false">IF(CL497&gt;0,CL497*MAX(1,AF497/X497),IF(BW497=1,IF(AF497&lt;=0,0,CA497*MAX(1,IF(H497&gt;0,AF497/H497,1))),IF(R497&gt;0,AG497/R497,0))/MAX(0.1,N(Parameter!$M$21)))</f>
        <v>0.00357142857142857</v>
      </c>
      <c r="AI497" s="50" t="n">
        <f aca="false">AH497*BY497</f>
        <v>0.553571428571429</v>
      </c>
      <c r="AJ497" s="50" t="n">
        <f aca="false">AF497*G497</f>
        <v>37.75</v>
      </c>
      <c r="AK497" s="50" t="n">
        <f aca="false">ROUNDUP(MAX(J497/IF(CD497&gt;0,CD497,MAX(0.1,N(Cockpit!$C$6))),CG497)/BV497,0)*BV497</f>
        <v>5</v>
      </c>
      <c r="AL497" s="51" t="n">
        <f aca="false">IF(AI497&gt;0,J497/AI497,-1)</f>
        <v>3.61290322580645</v>
      </c>
      <c r="AM497" s="51" t="n">
        <f aca="false">IF(AND(OR(CC497="L1",CC497="L23",CC497="LIFT"),AI497&gt;0),SUMIFS($AI$7:$AI$1843,$CC$7:$CC$1843,CC497,$AL$7:$AL$1843,"&gt;"&amp;AL497)+SUMIFS($AI$7:$AI$1843,$CC$7:$CC$1843,CC497,$AL$7:$AL$1843,AL497,$BT$7:$BT$1843,"&lt;="&amp;BT497),"")</f>
        <v>4825.10622710623</v>
      </c>
      <c r="AN497" s="58" t="n">
        <f aca="false">IF(AM497="",0,MAX(0,MIN(1,(IF(CC497="L1",Parameter!$H$5,IF(CC497="L23",Parameter!$H$6+Parameter!$H$7,Parameter!$H$5+Parameter!$H$6+Parameter!$H$7))-(AM497-AI497))/AI497)))</f>
        <v>1</v>
      </c>
      <c r="AO497" s="50" t="n">
        <f aca="false">IF(LEFT(Cockpit!$I$5,1)="A",H497,IF(CE497=1,CF497,IF(LEFT(Cockpit!$I$5,1)="B",AT497,MAX(AT497,H497))))</f>
        <v>5</v>
      </c>
      <c r="AP497" s="50" t="n">
        <f aca="false">IF(BW497=1,0,ROUNDUP(AO497/BV497,0))</f>
        <v>1</v>
      </c>
      <c r="AQ497" s="52" t="n">
        <f aca="false">IF(CL497&gt;0,CL497*MAX(1,AO497/X497),IF(BW497=1,IF(AO497&lt;=0,0,CA497*MAX(1,IF(H497&gt;0,AO497/H497,1))),IF(R497&gt;0,AP497/R497,0))/MAX(0.1,N(Parameter!$M$21)))</f>
        <v>0.00357142857142857</v>
      </c>
      <c r="AR497" s="50" t="n">
        <f aca="false">AQ497*BY497</f>
        <v>0.553571428571429</v>
      </c>
      <c r="AS497" s="50" t="n">
        <f aca="false">AO497*G497</f>
        <v>37.75</v>
      </c>
      <c r="AT497" s="50" t="n">
        <f aca="false">ROUNDUP(MAX(J497/IF(CD497&gt;0,CD497,MAX(0.1,N(Cockpit!$I$6))),CG497)/BV497,0)*BV497</f>
        <v>5</v>
      </c>
      <c r="AU497" s="51" t="n">
        <f aca="false">IF(AR497&gt;0,J497/AR497,-1)</f>
        <v>3.61290322580645</v>
      </c>
      <c r="AV497" s="51" t="n">
        <f aca="false">IF(AND(OR(CC497="L1",CC497="L23",CC497="LIFT"),AR497&gt;0),SUMIFS($AR$7:$AR$1843,$CC$7:$CC$1843,CC497,$AU$7:$AU$1843,"&gt;"&amp;AU497)+SUMIFS($AR$7:$AR$1843,$CC$7:$CC$1843,CC497,$AU$7:$AU$1843,AU497,$BT$7:$BT$1843,"&lt;="&amp;BT497),"")</f>
        <v>5951.51053113553</v>
      </c>
      <c r="AW497" s="58" t="n">
        <f aca="false">IF(AV497="",0,MAX(0,MIN(1,(IF(CC497="L1",Parameter!$H$5,IF(CC497="L23",Parameter!$H$6+Parameter!$H$7,Parameter!$H$5+Parameter!$H$6+Parameter!$H$7))-(AV497-AR497))/AR497)))</f>
        <v>1</v>
      </c>
      <c r="AX497" s="50" t="n">
        <f aca="false">IF(LEFT(Cockpit!$O$5,1)="A",H497,IF(CE497=1,CF497,IF(LEFT(Cockpit!$O$5,1)="B",BC497,MAX(BC497,H497))))</f>
        <v>5</v>
      </c>
      <c r="AY497" s="50" t="n">
        <f aca="false">IF(BW497=1,0,ROUNDUP(AX497/BV497,0))</f>
        <v>1</v>
      </c>
      <c r="AZ497" s="52" t="n">
        <f aca="false">IF(CL497&gt;0,CL497*MAX(1,AX497/X497),IF(BW497=1,IF(AX497&lt;=0,0,CA497*MAX(1,IF(H497&gt;0,AX497/H497,1))),IF(R497&gt;0,AY497/R497,0))/MAX(0.1,N(Parameter!$M$21)))</f>
        <v>0.00357142857142857</v>
      </c>
      <c r="BA497" s="50" t="n">
        <f aca="false">AZ497*BY497</f>
        <v>0.553571428571429</v>
      </c>
      <c r="BB497" s="50" t="n">
        <f aca="false">AX497*G497</f>
        <v>37.75</v>
      </c>
      <c r="BC497" s="50" t="n">
        <f aca="false">ROUNDUP(MAX(J497/IF(CD497&gt;0,CD497,MAX(0.1,N(Cockpit!$O$6))),CG497)/BV497,0)*BV497</f>
        <v>5</v>
      </c>
      <c r="BD497" s="51" t="n">
        <f aca="false">IF(BA497&gt;0,J497/BA497,-1)</f>
        <v>3.61290322580645</v>
      </c>
      <c r="BE497" s="51" t="n">
        <f aca="false">IF(AND(OR(CC497="L1",CC497="L23",CC497="LIFT"),BA497&gt;0),SUMIFS($BA$7:$BA$1843,$CC$7:$CC$1843,CC497,$BD$7:$BD$1843,"&gt;"&amp;BD497)+SUMIFS($BA$7:$BA$1843,$CC$7:$CC$1843,CC497,$BD$7:$BD$1843,BD497,$BT$7:$BT$1843,"&lt;="&amp;BT497),"")</f>
        <v>5853.09706959707</v>
      </c>
      <c r="BF497" s="58" t="n">
        <f aca="false">IF(BE497="",0,MAX(0,MIN(1,(IF(CC497="L1",Parameter!$H$5,IF(CC497="L23",Parameter!$H$6+Parameter!$H$7,Parameter!$H$5+Parameter!$H$6+Parameter!$H$7))-(BE497-BA497))/BA497)))</f>
        <v>1</v>
      </c>
      <c r="BG497" s="48" t="str">
        <f aca="false">IF(AI497&lt;=0,"",IF(CC497="Aussen","Aussenlager",IF(CC497="-","Nicht im Lift",IF(AN497&gt;=1,"Lift",IF(AN497&lt;=0,"Aussenlager","teilweise")))))</f>
        <v>Lift</v>
      </c>
      <c r="BH497" s="48" t="str">
        <f aca="false">IF(AR497&lt;=0,"",IF(CC497="Aussen","Aussenlager",IF(CC497="-","Nicht im Lift",IF(AW497&gt;=1,"Lift",IF(AW497&lt;=0,"Aussenlager","teilweise")))))</f>
        <v>Lift</v>
      </c>
      <c r="BI497" s="48" t="str">
        <f aca="false">IF(BA497&lt;=0,"",IF(CC497="Aussen","Aussenlager",IF(CC497="-","Nicht im Lift",IF(BF497&gt;=1,"Lift",IF(BF497&lt;=0,"Aussenlager","teilweise")))))</f>
        <v>Lift</v>
      </c>
      <c r="BJ497" s="48" t="str">
        <f aca="false">IF(A497="","",IF(BS497=1,"Neu; ","")&amp;IF(AND(BS497=0,BN497&lt;0),"negativer Bestand (Export "&amp;BN497&amp;"); ","")&amp;IF(J497&lt;=0,"Kein Verbrauch; ","")&amp;IF(CL497&gt;0,"Lift "&amp;W497&amp;" lt. Liftbericht (Fach "&amp;X497&amp;" Stk); ",IF(BX497=1,"Gebinde geschätzt ("&amp;T497&amp;"); ",IF(BW497=1,"Lose – Tablare geschätzt; ","")))&amp;IF(H497&gt;AT497,"Überbestand "&amp;ROUND(H497-AT497,0)&amp;" Stk / CHF "&amp;ROUND((H497-AT497)*G497,0)&amp;"; ","")&amp;IF(AND(CE497=1,CF497&lt;CG497),"MAX &lt; MB+LG; ","")&amp;IF(AND(CK497&gt;0,CJ497*10&gt;CK497),"zu hoch für Tablar; ","")&amp;IF(AND(BS497=0,OR(CE497=1,AA497&lt;&gt;"",U497&lt;&gt;"",V497&lt;&gt;"",AB497&lt;&gt;"")),"manuell übersteuert; ","")&amp;IF(AND(BW497=0,R497=0),"Gebinde unbekannt / Stellmass fehlt; ","")&amp;IF(AND(BW497=0,N(V497)&lt;=0,N(Q497)&lt;=0),"Menge pro Gebinde fehlt (Ist = 1 Gebinde); ","")&amp;BR497)</f>
        <v/>
      </c>
      <c r="BK497" s="48"/>
      <c r="BL497" s="48"/>
      <c r="BM497" s="55"/>
      <c r="BN497" s="50" t="n">
        <v>5</v>
      </c>
      <c r="BO497" s="50" t="n">
        <v>0</v>
      </c>
      <c r="BP497" s="49" t="n">
        <v>37.75</v>
      </c>
      <c r="BQ497" s="50" t="n">
        <v>2</v>
      </c>
      <c r="BR497" s="48"/>
      <c r="BS497" s="53" t="n">
        <v>0</v>
      </c>
      <c r="BT497" s="53" t="n">
        <v>497</v>
      </c>
      <c r="BU497" s="48" t="str">
        <f aca="false">IF(U497&lt;&gt;"",UPPER(TRIM(U497)),IF(BX497=1,UPPER(VLOOKUP(T497,Parameter!$I$27:$K$29,2,0)),IF(P497="","LOSE",P497)))</f>
        <v>S21</v>
      </c>
      <c r="BV497" s="50" t="n">
        <f aca="false">IF(BU497="LOSE",1,IF(N(V497)&gt;0,V497,IF(BX497=1,MAX(1,N(VLOOKUP(T497,Parameter!$I$27:$K$29,3,0)),H497,N(N497)),IF(N(Q497)&gt;0,Q497,MAX(1,H497)))))</f>
        <v>5</v>
      </c>
      <c r="BW497" s="53" t="n">
        <f aca="false">IF(BU497="LOSE",1,0)</f>
        <v>0</v>
      </c>
      <c r="BX497" s="53" t="n">
        <f aca="false">IF(AND(U497="",OR(P497="",P497="LOSE"),T497&lt;&gt;"",N(S497)&lt;=0,ISNUMBER(MATCH(T497,Parameter!$I$27:$I$29,0))),1,0)</f>
        <v>0</v>
      </c>
      <c r="BY497" s="53" t="n">
        <f aca="false">IF(CL497&gt;0,INDEX(Parameter!$H$5:$H$7,W497)/INDEX(Parameter!$E$5:$E$7,W497),IF(AND(BW497=0,N(IFERROR(VLOOKUP(BU497,'Gebinde-Kategorie'!$A$5:$N$45,14,0),0))&gt;0),VLOOKUP(BU497,'Gebinde-Kategorie'!$A$5:$N$45,14,0)*10+Parameter!$M$23,Parameter!$M$24))</f>
        <v>155</v>
      </c>
      <c r="BZ497" s="48" t="str">
        <f aca="false">IF(AND(Parameter!$B$19="Ja",E497&lt;&gt;"",ISNUMBER(MATCH(E497,Parameter!$I$35:$I$52,0))),VLOOKUP(E497,Parameter!$I$35:$J$52,2,0),IFERROR(VLOOKUP(D497,Parameter!$A$35:$C$64,2,0),"Nein"))</f>
        <v>2+3</v>
      </c>
      <c r="CA497" s="52" t="n">
        <f aca="false">IF(BW497=0,0,IF(N(S497)&gt;0,S497,IFERROR(VLOOKUP(D497,Parameter!$A$35:$C$64,3,0)+0,0)))</f>
        <v>0</v>
      </c>
      <c r="CB497" s="48" t="n">
        <f aca="false">IF(AA497&lt;&gt;"",AA497,Z497)</f>
        <v>3</v>
      </c>
      <c r="CC497" s="48" t="str">
        <f aca="false">IF(OR(CB497=1,CB497=2,CB497=3),IF(Parameter!$E$27="Ja","LIFT",IF(CB497=1,"L1","L23")),IF(CB497="Aussen","Aussen","-"))</f>
        <v>LIFT</v>
      </c>
      <c r="CD497" s="59" t="n">
        <f aca="false">IF(N(AB497)&gt;0,AB497,0)</f>
        <v>0</v>
      </c>
      <c r="CE497" s="53" t="n">
        <f aca="false">IF(ISNUMBER(AE497),1,0)</f>
        <v>0</v>
      </c>
      <c r="CF497" s="50" t="n">
        <f aca="false">N(AE497)</f>
        <v>0</v>
      </c>
      <c r="CG497" s="50" t="n">
        <f aca="false">N(M497)+N(N497)</f>
        <v>1</v>
      </c>
      <c r="CH497" s="50" t="n">
        <f aca="false">ROUNDUP(H497/BV497,0)</f>
        <v>1</v>
      </c>
      <c r="CI497" s="50" t="n">
        <f aca="false">ROUNDUP(CF497/BV497,0)</f>
        <v>0</v>
      </c>
      <c r="CJ497" s="53" t="n">
        <f aca="false">IF(BW497=1,0,IFERROR(VLOOKUP(BU497,'Gebinde-Kategorie'!$A$5:$N$45,5,0)+0,0))</f>
        <v>8</v>
      </c>
      <c r="CK497" s="53" t="n">
        <f aca="false">IFERROR(IF(OR(CB497=1,CB497=2,CB497=3),N(INDEX(Parameter!$I$5:$I$7,CB497)),0),0)</f>
        <v>0</v>
      </c>
      <c r="CL497" s="52" t="n">
        <f aca="false">IF(AND(Parameter!$B$21="Ja",ISNUMBER(W497),N(X497)&gt;0),IFERROR(N(INDEX(Parameter!$L$5:$L$7,W497))*INDEX(Parameter!$E$5:$E$7,W497)*X497/SUMIFS($X$7:$X$1843,$W$7:$W$1843,W497),0),0)</f>
        <v>0</v>
      </c>
    </row>
    <row r="498" customFormat="false" ht="15" hidden="false" customHeight="false" outlineLevel="0" collapsed="false">
      <c r="A498" s="48" t="s">
        <v>1100</v>
      </c>
      <c r="B498" s="48" t="s">
        <v>859</v>
      </c>
      <c r="C498" s="48" t="s">
        <v>168</v>
      </c>
      <c r="D498" s="48" t="s">
        <v>188</v>
      </c>
      <c r="E498" s="48" t="s">
        <v>189</v>
      </c>
      <c r="F498" s="48" t="s">
        <v>222</v>
      </c>
      <c r="G498" s="49" t="n">
        <v>0.05</v>
      </c>
      <c r="H498" s="50" t="n">
        <f aca="false">MAX(0,IF(AND(Parameter!$B$21="Ja",ISNUMBER(Y498)),Y498,IF(Parameter!$B$20="Jahresanfang 2025 + Export",BO498+BN498,BN498)))</f>
        <v>1092</v>
      </c>
      <c r="I498" s="50" t="n">
        <f aca="false">H498*G498</f>
        <v>54.6</v>
      </c>
      <c r="J498" s="50" t="n">
        <f aca="false">BQ498*Parameter!$B$18</f>
        <v>2145</v>
      </c>
      <c r="K498" s="51" t="n">
        <v>714.5</v>
      </c>
      <c r="L498" s="52" t="n">
        <v>3.00209937018894</v>
      </c>
      <c r="M498" s="50" t="n">
        <v>400</v>
      </c>
      <c r="N498" s="50" t="n">
        <v>500</v>
      </c>
      <c r="O498" s="53" t="n">
        <v>14</v>
      </c>
      <c r="P498" s="48" t="s">
        <v>306</v>
      </c>
      <c r="Q498" s="50" t="n">
        <v>600</v>
      </c>
      <c r="R498" s="53" t="n">
        <f aca="false">IF(BW498=1,0,IFERROR(VLOOKUP(BU498,'Gebinde-Kategorie'!$A$5:$N$45,13,0)+0,0))</f>
        <v>26</v>
      </c>
      <c r="S498" s="54"/>
      <c r="T498" s="55"/>
      <c r="U498" s="55"/>
      <c r="V498" s="55"/>
      <c r="W498" s="48"/>
      <c r="X498" s="50"/>
      <c r="Y498" s="50"/>
      <c r="Z498" s="48" t="n">
        <f aca="false">IF(A498="","",IF(AND(Parameter!$B$21="Ja",ISNUMBER(W498)),W498,IF(BZ498="2+3",IF(ISNUMBER(SEARCH("grosser Artikel",BR498)),2,IFERROR(VLOOKUP(BU498,Parameter!$F$35:$G$64,2,0),2)),IF(OR(BZ498="Nein",BZ498=""),"-",BZ498))))</f>
        <v>3</v>
      </c>
      <c r="AA498" s="55"/>
      <c r="AB498" s="56"/>
      <c r="AC498" s="50" t="n">
        <f aca="false">AT498</f>
        <v>1200</v>
      </c>
      <c r="AD498" s="50" t="n">
        <f aca="false">MAX(AT498,H498)</f>
        <v>1200</v>
      </c>
      <c r="AE498" s="57"/>
      <c r="AF498" s="50" t="n">
        <f aca="false">IF(LEFT(Cockpit!$C$5,1)="A",H498,IF(CE498=1,CF498,IF(LEFT(Cockpit!$C$5,1)="B",AK498,MAX(AK498,H498))))</f>
        <v>1092</v>
      </c>
      <c r="AG498" s="50" t="n">
        <f aca="false">IF(BW498=1,0,ROUNDUP(AF498/BV498,0))</f>
        <v>2</v>
      </c>
      <c r="AH498" s="52" t="n">
        <f aca="false">IF(CL498&gt;0,CL498*MAX(1,AF498/X498),IF(BW498=1,IF(AF498&lt;=0,0,CA498*MAX(1,IF(H498&gt;0,AF498/H498,1))),IF(R498&gt;0,AG498/R498,0))/MAX(0.1,N(Parameter!$M$21)))</f>
        <v>0.0769230769230769</v>
      </c>
      <c r="AI498" s="50" t="n">
        <f aca="false">AH498*BY498</f>
        <v>11.9230769230769</v>
      </c>
      <c r="AJ498" s="50" t="n">
        <f aca="false">AF498*G498</f>
        <v>54.6</v>
      </c>
      <c r="AK498" s="50" t="n">
        <f aca="false">ROUNDUP(MAX(J498/IF(CD498&gt;0,CD498,MAX(0.1,N(Cockpit!$C$6))),CG498)/BV498,0)*BV498</f>
        <v>1200</v>
      </c>
      <c r="AL498" s="51" t="n">
        <f aca="false">IF(AI498&gt;0,J498/AI498,-1)</f>
        <v>179.903225806452</v>
      </c>
      <c r="AM498" s="51" t="n">
        <f aca="false">IF(AND(OR(CC498="L1",CC498="L23",CC498="LIFT"),AI498&gt;0),SUMIFS($AI$7:$AI$1843,$CC$7:$CC$1843,CC498,$AL$7:$AL$1843,"&gt;"&amp;AL498)+SUMIFS($AI$7:$AI$1843,$CC$7:$CC$1843,CC498,$AL$7:$AL$1843,AL498,$BT$7:$BT$1843,"&lt;="&amp;BT498),"")</f>
        <v>397.782051282051</v>
      </c>
      <c r="AN498" s="58" t="n">
        <f aca="false">IF(AM498="",0,MAX(0,MIN(1,(IF(CC498="L1",Parameter!$H$5,IF(CC498="L23",Parameter!$H$6+Parameter!$H$7,Parameter!$H$5+Parameter!$H$6+Parameter!$H$7))-(AM498-AI498))/AI498)))</f>
        <v>1</v>
      </c>
      <c r="AO498" s="50" t="n">
        <f aca="false">IF(LEFT(Cockpit!$I$5,1)="A",H498,IF(CE498=1,CF498,IF(LEFT(Cockpit!$I$5,1)="B",AT498,MAX(AT498,H498))))</f>
        <v>1200</v>
      </c>
      <c r="AP498" s="50" t="n">
        <f aca="false">IF(BW498=1,0,ROUNDUP(AO498/BV498,0))</f>
        <v>2</v>
      </c>
      <c r="AQ498" s="52" t="n">
        <f aca="false">IF(CL498&gt;0,CL498*MAX(1,AO498/X498),IF(BW498=1,IF(AO498&lt;=0,0,CA498*MAX(1,IF(H498&gt;0,AO498/H498,1))),IF(R498&gt;0,AP498/R498,0))/MAX(0.1,N(Parameter!$M$21)))</f>
        <v>0.0769230769230769</v>
      </c>
      <c r="AR498" s="50" t="n">
        <f aca="false">AQ498*BY498</f>
        <v>11.9230769230769</v>
      </c>
      <c r="AS498" s="50" t="n">
        <f aca="false">AO498*G498</f>
        <v>60</v>
      </c>
      <c r="AT498" s="50" t="n">
        <f aca="false">ROUNDUP(MAX(J498/IF(CD498&gt;0,CD498,MAX(0.1,N(Cockpit!$I$6))),CG498)/BV498,0)*BV498</f>
        <v>1200</v>
      </c>
      <c r="AU498" s="51" t="n">
        <f aca="false">IF(AR498&gt;0,J498/AR498,-1)</f>
        <v>179.903225806452</v>
      </c>
      <c r="AV498" s="51" t="n">
        <f aca="false">IF(AND(OR(CC498="L1",CC498="L23",CC498="LIFT"),AR498&gt;0),SUMIFS($AR$7:$AR$1843,$CC$7:$CC$1843,CC498,$AU$7:$AU$1843,"&gt;"&amp;AU498)+SUMIFS($AR$7:$AR$1843,$CC$7:$CC$1843,CC498,$AU$7:$AU$1843,AU498,$BT$7:$BT$1843,"&lt;="&amp;BT498),"")</f>
        <v>449.264194139194</v>
      </c>
      <c r="AW498" s="58" t="n">
        <f aca="false">IF(AV498="",0,MAX(0,MIN(1,(IF(CC498="L1",Parameter!$H$5,IF(CC498="L23",Parameter!$H$6+Parameter!$H$7,Parameter!$H$5+Parameter!$H$6+Parameter!$H$7))-(AV498-AR498))/AR498)))</f>
        <v>1</v>
      </c>
      <c r="AX498" s="50" t="n">
        <f aca="false">IF(LEFT(Cockpit!$O$5,1)="A",H498,IF(CE498=1,CF498,IF(LEFT(Cockpit!$O$5,1)="B",BC498,MAX(BC498,H498))))</f>
        <v>1200</v>
      </c>
      <c r="AY498" s="50" t="n">
        <f aca="false">IF(BW498=1,0,ROUNDUP(AX498/BV498,0))</f>
        <v>2</v>
      </c>
      <c r="AZ498" s="52" t="n">
        <f aca="false">IF(CL498&gt;0,CL498*MAX(1,AX498/X498),IF(BW498=1,IF(AX498&lt;=0,0,CA498*MAX(1,IF(H498&gt;0,AX498/H498,1))),IF(R498&gt;0,AY498/R498,0))/MAX(0.1,N(Parameter!$M$21)))</f>
        <v>0.0769230769230769</v>
      </c>
      <c r="BA498" s="50" t="n">
        <f aca="false">AZ498*BY498</f>
        <v>11.9230769230769</v>
      </c>
      <c r="BB498" s="50" t="n">
        <f aca="false">AX498*G498</f>
        <v>60</v>
      </c>
      <c r="BC498" s="50" t="n">
        <f aca="false">ROUNDUP(MAX(J498/IF(CD498&gt;0,CD498,MAX(0.1,N(Cockpit!$O$6))),CG498)/BV498,0)*BV498</f>
        <v>1200</v>
      </c>
      <c r="BD498" s="51" t="n">
        <f aca="false">IF(BA498&gt;0,J498/BA498,-1)</f>
        <v>179.903225806452</v>
      </c>
      <c r="BE498" s="51" t="n">
        <f aca="false">IF(AND(OR(CC498="L1",CC498="L23",CC498="LIFT"),BA498&gt;0),SUMIFS($BA$7:$BA$1843,$CC$7:$CC$1843,CC498,$BD$7:$BD$1843,"&gt;"&amp;BD498)+SUMIFS($BA$7:$BA$1843,$CC$7:$CC$1843,CC498,$BD$7:$BD$1843,BD498,$BT$7:$BT$1843,"&lt;="&amp;BT498),"")</f>
        <v>511.203296703297</v>
      </c>
      <c r="BF498" s="58" t="n">
        <f aca="false">IF(BE498="",0,MAX(0,MIN(1,(IF(CC498="L1",Parameter!$H$5,IF(CC498="L23",Parameter!$H$6+Parameter!$H$7,Parameter!$H$5+Parameter!$H$6+Parameter!$H$7))-(BE498-BA498))/BA498)))</f>
        <v>1</v>
      </c>
      <c r="BG498" s="48" t="str">
        <f aca="false">IF(AI498&lt;=0,"",IF(CC498="Aussen","Aussenlager",IF(CC498="-","Nicht im Lift",IF(AN498&gt;=1,"Lift",IF(AN498&lt;=0,"Aussenlager","teilweise")))))</f>
        <v>Lift</v>
      </c>
      <c r="BH498" s="48" t="str">
        <f aca="false">IF(AR498&lt;=0,"",IF(CC498="Aussen","Aussenlager",IF(CC498="-","Nicht im Lift",IF(AW498&gt;=1,"Lift",IF(AW498&lt;=0,"Aussenlager","teilweise")))))</f>
        <v>Lift</v>
      </c>
      <c r="BI498" s="48" t="str">
        <f aca="false">IF(BA498&lt;=0,"",IF(CC498="Aussen","Aussenlager",IF(CC498="-","Nicht im Lift",IF(BF498&gt;=1,"Lift",IF(BF498&lt;=0,"Aussenlager","teilweise")))))</f>
        <v>Lift</v>
      </c>
      <c r="BJ498" s="48" t="str">
        <f aca="false">IF(A498="","",IF(BS498=1,"Neu; ","")&amp;IF(AND(BS498=0,BN498&lt;0),"negativer Bestand (Export "&amp;BN498&amp;"); ","")&amp;IF(J498&lt;=0,"Kein Verbrauch; ","")&amp;IF(CL498&gt;0,"Lift "&amp;W498&amp;" lt. Liftbericht (Fach "&amp;X498&amp;" Stk); ",IF(BX498=1,"Gebinde geschätzt ("&amp;T498&amp;"); ",IF(BW498=1,"Lose – Tablare geschätzt; ","")))&amp;IF(H498&gt;AT498,"Überbestand "&amp;ROUND(H498-AT498,0)&amp;" Stk / CHF "&amp;ROUND((H498-AT498)*G498,0)&amp;"; ","")&amp;IF(AND(CE498=1,CF498&lt;CG498),"MAX &lt; MB+LG; ","")&amp;IF(AND(CK498&gt;0,CJ498*10&gt;CK498),"zu hoch für Tablar; ","")&amp;IF(AND(BS498=0,OR(CE498=1,AA498&lt;&gt;"",U498&lt;&gt;"",V498&lt;&gt;"",AB498&lt;&gt;"")),"manuell übersteuert; ","")&amp;IF(AND(BW498=0,R498=0),"Gebinde unbekannt / Stellmass fehlt; ","")&amp;IF(AND(BW498=0,N(V498)&lt;=0,N(Q498)&lt;=0),"Menge pro Gebinde fehlt (Ist = 1 Gebinde); ","")&amp;BR498)</f>
        <v/>
      </c>
      <c r="BK498" s="48"/>
      <c r="BL498" s="48"/>
      <c r="BM498" s="55"/>
      <c r="BN498" s="50" t="n">
        <v>755</v>
      </c>
      <c r="BO498" s="50" t="n">
        <v>337</v>
      </c>
      <c r="BP498" s="49" t="n">
        <v>37.75</v>
      </c>
      <c r="BQ498" s="50" t="n">
        <v>2145</v>
      </c>
      <c r="BR498" s="48"/>
      <c r="BS498" s="53" t="n">
        <v>0</v>
      </c>
      <c r="BT498" s="53" t="n">
        <v>498</v>
      </c>
      <c r="BU498" s="48" t="str">
        <f aca="false">IF(U498&lt;&gt;"",UPPER(TRIM(U498)),IF(BX498=1,UPPER(VLOOKUP(T498,Parameter!$I$27:$K$29,2,0)),IF(P498="","LOSE",P498)))</f>
        <v>S51</v>
      </c>
      <c r="BV498" s="50" t="n">
        <f aca="false">IF(BU498="LOSE",1,IF(N(V498)&gt;0,V498,IF(BX498=1,MAX(1,N(VLOOKUP(T498,Parameter!$I$27:$K$29,3,0)),H498,N(N498)),IF(N(Q498)&gt;0,Q498,MAX(1,H498)))))</f>
        <v>600</v>
      </c>
      <c r="BW498" s="53" t="n">
        <f aca="false">IF(BU498="LOSE",1,0)</f>
        <v>0</v>
      </c>
      <c r="BX498" s="53" t="n">
        <f aca="false">IF(AND(U498="",OR(P498="",P498="LOSE"),T498&lt;&gt;"",N(S498)&lt;=0,ISNUMBER(MATCH(T498,Parameter!$I$27:$I$29,0))),1,0)</f>
        <v>0</v>
      </c>
      <c r="BY498" s="53" t="n">
        <f aca="false">IF(CL498&gt;0,INDEX(Parameter!$H$5:$H$7,W498)/INDEX(Parameter!$E$5:$E$7,W498),IF(AND(BW498=0,N(IFERROR(VLOOKUP(BU498,'Gebinde-Kategorie'!$A$5:$N$45,14,0),0))&gt;0),VLOOKUP(BU498,'Gebinde-Kategorie'!$A$5:$N$45,14,0)*10+Parameter!$M$23,Parameter!$M$24))</f>
        <v>155</v>
      </c>
      <c r="BZ498" s="48" t="str">
        <f aca="false">IF(AND(Parameter!$B$19="Ja",E498&lt;&gt;"",ISNUMBER(MATCH(E498,Parameter!$I$35:$I$52,0))),VLOOKUP(E498,Parameter!$I$35:$J$52,2,0),IFERROR(VLOOKUP(D498,Parameter!$A$35:$C$64,2,0),"Nein"))</f>
        <v>2+3</v>
      </c>
      <c r="CA498" s="52" t="n">
        <f aca="false">IF(BW498=0,0,IF(N(S498)&gt;0,S498,IFERROR(VLOOKUP(D498,Parameter!$A$35:$C$64,3,0)+0,0)))</f>
        <v>0</v>
      </c>
      <c r="CB498" s="48" t="n">
        <f aca="false">IF(AA498&lt;&gt;"",AA498,Z498)</f>
        <v>3</v>
      </c>
      <c r="CC498" s="48" t="str">
        <f aca="false">IF(OR(CB498=1,CB498=2,CB498=3),IF(Parameter!$E$27="Ja","LIFT",IF(CB498=1,"L1","L23")),IF(CB498="Aussen","Aussen","-"))</f>
        <v>LIFT</v>
      </c>
      <c r="CD498" s="59" t="n">
        <f aca="false">IF(N(AB498)&gt;0,AB498,0)</f>
        <v>0</v>
      </c>
      <c r="CE498" s="53" t="n">
        <f aca="false">IF(ISNUMBER(AE498),1,0)</f>
        <v>0</v>
      </c>
      <c r="CF498" s="50" t="n">
        <f aca="false">N(AE498)</f>
        <v>0</v>
      </c>
      <c r="CG498" s="50" t="n">
        <f aca="false">N(M498)+N(N498)</f>
        <v>900</v>
      </c>
      <c r="CH498" s="50" t="n">
        <f aca="false">ROUNDUP(H498/BV498,0)</f>
        <v>2</v>
      </c>
      <c r="CI498" s="50" t="n">
        <f aca="false">ROUNDUP(CF498/BV498,0)</f>
        <v>0</v>
      </c>
      <c r="CJ498" s="53" t="n">
        <f aca="false">IF(BW498=1,0,IFERROR(VLOOKUP(BU498,'Gebinde-Kategorie'!$A$5:$N$45,5,0)+0,0))</f>
        <v>11</v>
      </c>
      <c r="CK498" s="53" t="n">
        <f aca="false">IFERROR(IF(OR(CB498=1,CB498=2,CB498=3),N(INDEX(Parameter!$I$5:$I$7,CB498)),0),0)</f>
        <v>0</v>
      </c>
      <c r="CL498" s="52" t="n">
        <f aca="false">IF(AND(Parameter!$B$21="Ja",ISNUMBER(W498),N(X498)&gt;0),IFERROR(N(INDEX(Parameter!$L$5:$L$7,W498))*INDEX(Parameter!$E$5:$E$7,W498)*X498/SUMIFS($X$7:$X$1843,$W$7:$W$1843,W498),0),0)</f>
        <v>0</v>
      </c>
    </row>
    <row r="499" customFormat="false" ht="15" hidden="false" customHeight="false" outlineLevel="0" collapsed="false">
      <c r="A499" s="48" t="s">
        <v>1101</v>
      </c>
      <c r="B499" s="48" t="s">
        <v>755</v>
      </c>
      <c r="C499" s="48" t="s">
        <v>168</v>
      </c>
      <c r="D499" s="48" t="s">
        <v>188</v>
      </c>
      <c r="E499" s="48" t="s">
        <v>189</v>
      </c>
      <c r="F499" s="48" t="s">
        <v>222</v>
      </c>
      <c r="G499" s="49" t="n">
        <v>11.49</v>
      </c>
      <c r="H499" s="50" t="n">
        <f aca="false">MAX(0,IF(AND(Parameter!$B$21="Ja",ISNUMBER(Y499)),Y499,IF(Parameter!$B$20="Jahresanfang 2025 + Export",BO499+BN499,BN499)))</f>
        <v>8</v>
      </c>
      <c r="I499" s="50" t="n">
        <f aca="false">H499*G499</f>
        <v>91.92</v>
      </c>
      <c r="J499" s="50" t="n">
        <f aca="false">BQ499*Parameter!$B$18</f>
        <v>5</v>
      </c>
      <c r="K499" s="51" t="n">
        <v>4</v>
      </c>
      <c r="L499" s="52" t="n">
        <v>1.25</v>
      </c>
      <c r="M499" s="50" t="n">
        <v>0</v>
      </c>
      <c r="N499" s="50" t="n">
        <v>5</v>
      </c>
      <c r="O499" s="53" t="n">
        <v>14</v>
      </c>
      <c r="P499" s="48" t="s">
        <v>425</v>
      </c>
      <c r="Q499" s="50" t="n">
        <v>10</v>
      </c>
      <c r="R499" s="53" t="n">
        <f aca="false">IF(BW499=1,0,IFERROR(VLOOKUP(BU499,'Gebinde-Kategorie'!$A$5:$N$45,13,0)+0,0))</f>
        <v>104</v>
      </c>
      <c r="S499" s="54"/>
      <c r="T499" s="55"/>
      <c r="U499" s="55"/>
      <c r="V499" s="55"/>
      <c r="W499" s="48"/>
      <c r="X499" s="50"/>
      <c r="Y499" s="50"/>
      <c r="Z499" s="48" t="n">
        <f aca="false">IF(A499="","",IF(AND(Parameter!$B$21="Ja",ISNUMBER(W499)),W499,IF(BZ499="2+3",IF(ISNUMBER(SEARCH("grosser Artikel",BR499)),2,IFERROR(VLOOKUP(BU499,Parameter!$F$35:$G$64,2,0),2)),IF(OR(BZ499="Nein",BZ499=""),"-",BZ499))))</f>
        <v>3</v>
      </c>
      <c r="AA499" s="55"/>
      <c r="AB499" s="56"/>
      <c r="AC499" s="50" t="n">
        <f aca="false">AT499</f>
        <v>10</v>
      </c>
      <c r="AD499" s="50" t="n">
        <f aca="false">MAX(AT499,H499)</f>
        <v>10</v>
      </c>
      <c r="AE499" s="57"/>
      <c r="AF499" s="50" t="n">
        <f aca="false">IF(LEFT(Cockpit!$C$5,1)="A",H499,IF(CE499=1,CF499,IF(LEFT(Cockpit!$C$5,1)="B",AK499,MAX(AK499,H499))))</f>
        <v>8</v>
      </c>
      <c r="AG499" s="50" t="n">
        <f aca="false">IF(BW499=1,0,ROUNDUP(AF499/BV499,0))</f>
        <v>1</v>
      </c>
      <c r="AH499" s="52" t="n">
        <f aca="false">IF(CL499&gt;0,CL499*MAX(1,AF499/X499),IF(BW499=1,IF(AF499&lt;=0,0,CA499*MAX(1,IF(H499&gt;0,AF499/H499,1))),IF(R499&gt;0,AG499/R499,0))/MAX(0.1,N(Parameter!$M$21)))</f>
        <v>0.00961538461538462</v>
      </c>
      <c r="AI499" s="50" t="n">
        <f aca="false">AH499*BY499</f>
        <v>1.49038461538462</v>
      </c>
      <c r="AJ499" s="50" t="n">
        <f aca="false">AF499*G499</f>
        <v>91.92</v>
      </c>
      <c r="AK499" s="50" t="n">
        <f aca="false">ROUNDUP(MAX(J499/IF(CD499&gt;0,CD499,MAX(0.1,N(Cockpit!$C$6))),CG499)/BV499,0)*BV499</f>
        <v>10</v>
      </c>
      <c r="AL499" s="51" t="n">
        <f aca="false">IF(AI499&gt;0,J499/AI499,-1)</f>
        <v>3.35483870967742</v>
      </c>
      <c r="AM499" s="51" t="n">
        <f aca="false">IF(AND(OR(CC499="L1",CC499="L23",CC499="LIFT"),AI499&gt;0),SUMIFS($AI$7:$AI$1843,$CC$7:$CC$1843,CC499,$AL$7:$AL$1843,"&gt;"&amp;AL499)+SUMIFS($AI$7:$AI$1843,$CC$7:$CC$1843,CC499,$AL$7:$AL$1843,AL499,$BT$7:$BT$1843,"&lt;="&amp;BT499),"")</f>
        <v>4942.17445054945</v>
      </c>
      <c r="AN499" s="58" t="n">
        <f aca="false">IF(AM499="",0,MAX(0,MIN(1,(IF(CC499="L1",Parameter!$H$5,IF(CC499="L23",Parameter!$H$6+Parameter!$H$7,Parameter!$H$5+Parameter!$H$6+Parameter!$H$7))-(AM499-AI499))/AI499)))</f>
        <v>1</v>
      </c>
      <c r="AO499" s="50" t="n">
        <f aca="false">IF(LEFT(Cockpit!$I$5,1)="A",H499,IF(CE499=1,CF499,IF(LEFT(Cockpit!$I$5,1)="B",AT499,MAX(AT499,H499))))</f>
        <v>10</v>
      </c>
      <c r="AP499" s="50" t="n">
        <f aca="false">IF(BW499=1,0,ROUNDUP(AO499/BV499,0))</f>
        <v>1</v>
      </c>
      <c r="AQ499" s="52" t="n">
        <f aca="false">IF(CL499&gt;0,CL499*MAX(1,AO499/X499),IF(BW499=1,IF(AO499&lt;=0,0,CA499*MAX(1,IF(H499&gt;0,AO499/H499,1))),IF(R499&gt;0,AP499/R499,0))/MAX(0.1,N(Parameter!$M$21)))</f>
        <v>0.00961538461538462</v>
      </c>
      <c r="AR499" s="50" t="n">
        <f aca="false">AQ499*BY499</f>
        <v>1.49038461538462</v>
      </c>
      <c r="AS499" s="50" t="n">
        <f aca="false">AO499*G499</f>
        <v>114.9</v>
      </c>
      <c r="AT499" s="50" t="n">
        <f aca="false">ROUNDUP(MAX(J499/IF(CD499&gt;0,CD499,MAX(0.1,N(Cockpit!$I$6))),CG499)/BV499,0)*BV499</f>
        <v>10</v>
      </c>
      <c r="AU499" s="51" t="n">
        <f aca="false">IF(AR499&gt;0,J499/AR499,-1)</f>
        <v>3.35483870967742</v>
      </c>
      <c r="AV499" s="51" t="n">
        <f aca="false">IF(AND(OR(CC499="L1",CC499="L23",CC499="LIFT"),AR499&gt;0),SUMIFS($AR$7:$AR$1843,$CC$7:$CC$1843,CC499,$AU$7:$AU$1843,"&gt;"&amp;AU499)+SUMIFS($AR$7:$AR$1843,$CC$7:$CC$1843,CC499,$AU$7:$AU$1843,AU499,$BT$7:$BT$1843,"&lt;="&amp;BT499),"")</f>
        <v>6040.9532967033</v>
      </c>
      <c r="AW499" s="58" t="n">
        <f aca="false">IF(AV499="",0,MAX(0,MIN(1,(IF(CC499="L1",Parameter!$H$5,IF(CC499="L23",Parameter!$H$6+Parameter!$H$7,Parameter!$H$5+Parameter!$H$6+Parameter!$H$7))-(AV499-AR499))/AR499)))</f>
        <v>1</v>
      </c>
      <c r="AX499" s="50" t="n">
        <f aca="false">IF(LEFT(Cockpit!$O$5,1)="A",H499,IF(CE499=1,CF499,IF(LEFT(Cockpit!$O$5,1)="B",BC499,MAX(BC499,H499))))</f>
        <v>10</v>
      </c>
      <c r="AY499" s="50" t="n">
        <f aca="false">IF(BW499=1,0,ROUNDUP(AX499/BV499,0))</f>
        <v>1</v>
      </c>
      <c r="AZ499" s="52" t="n">
        <f aca="false">IF(CL499&gt;0,CL499*MAX(1,AX499/X499),IF(BW499=1,IF(AX499&lt;=0,0,CA499*MAX(1,IF(H499&gt;0,AX499/H499,1))),IF(R499&gt;0,AY499/R499,0))/MAX(0.1,N(Parameter!$M$21)))</f>
        <v>0.00961538461538462</v>
      </c>
      <c r="BA499" s="50" t="n">
        <f aca="false">AZ499*BY499</f>
        <v>1.49038461538462</v>
      </c>
      <c r="BB499" s="50" t="n">
        <f aca="false">AX499*G499</f>
        <v>114.9</v>
      </c>
      <c r="BC499" s="50" t="n">
        <f aca="false">ROUNDUP(MAX(J499/IF(CD499&gt;0,CD499,MAX(0.1,N(Cockpit!$O$6))),CG499)/BV499,0)*BV499</f>
        <v>10</v>
      </c>
      <c r="BD499" s="51" t="n">
        <f aca="false">IF(BA499&gt;0,J499/BA499,-1)</f>
        <v>3.35483870967742</v>
      </c>
      <c r="BE499" s="51" t="n">
        <f aca="false">IF(AND(OR(CC499="L1",CC499="L23",CC499="LIFT"),BA499&gt;0),SUMIFS($BA$7:$BA$1843,$CC$7:$CC$1843,CC499,$BD$7:$BD$1843,"&gt;"&amp;BD499)+SUMIFS($BA$7:$BA$1843,$CC$7:$CC$1843,CC499,$BD$7:$BD$1843,BD499,$BT$7:$BT$1843,"&lt;="&amp;BT499),"")</f>
        <v>6028.78983516484</v>
      </c>
      <c r="BF499" s="58" t="n">
        <f aca="false">IF(BE499="",0,MAX(0,MIN(1,(IF(CC499="L1",Parameter!$H$5,IF(CC499="L23",Parameter!$H$6+Parameter!$H$7,Parameter!$H$5+Parameter!$H$6+Parameter!$H$7))-(BE499-BA499))/BA499)))</f>
        <v>1</v>
      </c>
      <c r="BG499" s="48" t="str">
        <f aca="false">IF(AI499&lt;=0,"",IF(CC499="Aussen","Aussenlager",IF(CC499="-","Nicht im Lift",IF(AN499&gt;=1,"Lift",IF(AN499&lt;=0,"Aussenlager","teilweise")))))</f>
        <v>Lift</v>
      </c>
      <c r="BH499" s="48" t="str">
        <f aca="false">IF(AR499&lt;=0,"",IF(CC499="Aussen","Aussenlager",IF(CC499="-","Nicht im Lift",IF(AW499&gt;=1,"Lift",IF(AW499&lt;=0,"Aussenlager","teilweise")))))</f>
        <v>Lift</v>
      </c>
      <c r="BI499" s="48" t="str">
        <f aca="false">IF(BA499&lt;=0,"",IF(CC499="Aussen","Aussenlager",IF(CC499="-","Nicht im Lift",IF(BF499&gt;=1,"Lift",IF(BF499&lt;=0,"Aussenlager","teilweise")))))</f>
        <v>Lift</v>
      </c>
      <c r="BJ499" s="48" t="str">
        <f aca="false">IF(A499="","",IF(BS499=1,"Neu; ","")&amp;IF(AND(BS499=0,BN499&lt;0),"negativer Bestand (Export "&amp;BN499&amp;"); ","")&amp;IF(J499&lt;=0,"Kein Verbrauch; ","")&amp;IF(CL499&gt;0,"Lift "&amp;W499&amp;" lt. Liftbericht (Fach "&amp;X499&amp;" Stk); ",IF(BX499=1,"Gebinde geschätzt ("&amp;T499&amp;"); ",IF(BW499=1,"Lose – Tablare geschätzt; ","")))&amp;IF(H499&gt;AT499,"Überbestand "&amp;ROUND(H499-AT499,0)&amp;" Stk / CHF "&amp;ROUND((H499-AT499)*G499,0)&amp;"; ","")&amp;IF(AND(CE499=1,CF499&lt;CG499),"MAX &lt; MB+LG; ","")&amp;IF(AND(CK499&gt;0,CJ499*10&gt;CK499),"zu hoch für Tablar; ","")&amp;IF(AND(BS499=0,OR(CE499=1,AA499&lt;&gt;"",U499&lt;&gt;"",V499&lt;&gt;"",AB499&lt;&gt;"")),"manuell übersteuert; ","")&amp;IF(AND(BW499=0,R499=0),"Gebinde unbekannt / Stellmass fehlt; ","")&amp;IF(AND(BW499=0,N(V499)&lt;=0,N(Q499)&lt;=0),"Menge pro Gebinde fehlt (Ist = 1 Gebinde); ","")&amp;BR499)</f>
        <v/>
      </c>
      <c r="BK499" s="48"/>
      <c r="BL499" s="48"/>
      <c r="BM499" s="55"/>
      <c r="BN499" s="50" t="n">
        <v>4</v>
      </c>
      <c r="BO499" s="50" t="n">
        <v>4</v>
      </c>
      <c r="BP499" s="49" t="n">
        <v>37.64</v>
      </c>
      <c r="BQ499" s="50" t="n">
        <v>5</v>
      </c>
      <c r="BR499" s="48"/>
      <c r="BS499" s="53" t="n">
        <v>0</v>
      </c>
      <c r="BT499" s="53" t="n">
        <v>499</v>
      </c>
      <c r="BU499" s="48" t="str">
        <f aca="false">IF(U499&lt;&gt;"",UPPER(TRIM(U499)),IF(BX499=1,UPPER(VLOOKUP(T499,Parameter!$I$27:$K$29,2,0)),IF(P499="","LOSE",P499)))</f>
        <v>S32</v>
      </c>
      <c r="BV499" s="50" t="n">
        <f aca="false">IF(BU499="LOSE",1,IF(N(V499)&gt;0,V499,IF(BX499=1,MAX(1,N(VLOOKUP(T499,Parameter!$I$27:$K$29,3,0)),H499,N(N499)),IF(N(Q499)&gt;0,Q499,MAX(1,H499)))))</f>
        <v>10</v>
      </c>
      <c r="BW499" s="53" t="n">
        <f aca="false">IF(BU499="LOSE",1,0)</f>
        <v>0</v>
      </c>
      <c r="BX499" s="53" t="n">
        <f aca="false">IF(AND(U499="",OR(P499="",P499="LOSE"),T499&lt;&gt;"",N(S499)&lt;=0,ISNUMBER(MATCH(T499,Parameter!$I$27:$I$29,0))),1,0)</f>
        <v>0</v>
      </c>
      <c r="BY499" s="53" t="n">
        <f aca="false">IF(CL499&gt;0,INDEX(Parameter!$H$5:$H$7,W499)/INDEX(Parameter!$E$5:$E$7,W499),IF(AND(BW499=0,N(IFERROR(VLOOKUP(BU499,'Gebinde-Kategorie'!$A$5:$N$45,14,0),0))&gt;0),VLOOKUP(BU499,'Gebinde-Kategorie'!$A$5:$N$45,14,0)*10+Parameter!$M$23,Parameter!$M$24))</f>
        <v>155</v>
      </c>
      <c r="BZ499" s="48" t="str">
        <f aca="false">IF(AND(Parameter!$B$19="Ja",E499&lt;&gt;"",ISNUMBER(MATCH(E499,Parameter!$I$35:$I$52,0))),VLOOKUP(E499,Parameter!$I$35:$J$52,2,0),IFERROR(VLOOKUP(D499,Parameter!$A$35:$C$64,2,0),"Nein"))</f>
        <v>2+3</v>
      </c>
      <c r="CA499" s="52" t="n">
        <f aca="false">IF(BW499=0,0,IF(N(S499)&gt;0,S499,IFERROR(VLOOKUP(D499,Parameter!$A$35:$C$64,3,0)+0,0)))</f>
        <v>0</v>
      </c>
      <c r="CB499" s="48" t="n">
        <f aca="false">IF(AA499&lt;&gt;"",AA499,Z499)</f>
        <v>3</v>
      </c>
      <c r="CC499" s="48" t="str">
        <f aca="false">IF(OR(CB499=1,CB499=2,CB499=3),IF(Parameter!$E$27="Ja","LIFT",IF(CB499=1,"L1","L23")),IF(CB499="Aussen","Aussen","-"))</f>
        <v>LIFT</v>
      </c>
      <c r="CD499" s="59" t="n">
        <f aca="false">IF(N(AB499)&gt;0,AB499,0)</f>
        <v>0</v>
      </c>
      <c r="CE499" s="53" t="n">
        <f aca="false">IF(ISNUMBER(AE499),1,0)</f>
        <v>0</v>
      </c>
      <c r="CF499" s="50" t="n">
        <f aca="false">N(AE499)</f>
        <v>0</v>
      </c>
      <c r="CG499" s="50" t="n">
        <f aca="false">N(M499)+N(N499)</f>
        <v>5</v>
      </c>
      <c r="CH499" s="50" t="n">
        <f aca="false">ROUNDUP(H499/BV499,0)</f>
        <v>1</v>
      </c>
      <c r="CI499" s="50" t="n">
        <f aca="false">ROUNDUP(CF499/BV499,0)</f>
        <v>0</v>
      </c>
      <c r="CJ499" s="53" t="n">
        <f aca="false">IF(BW499=1,0,IFERROR(VLOOKUP(BU499,'Gebinde-Kategorie'!$A$5:$N$45,5,0)+0,0))</f>
        <v>8</v>
      </c>
      <c r="CK499" s="53" t="n">
        <f aca="false">IFERROR(IF(OR(CB499=1,CB499=2,CB499=3),N(INDEX(Parameter!$I$5:$I$7,CB499)),0),0)</f>
        <v>0</v>
      </c>
      <c r="CL499" s="52" t="n">
        <f aca="false">IF(AND(Parameter!$B$21="Ja",ISNUMBER(W499),N(X499)&gt;0),IFERROR(N(INDEX(Parameter!$L$5:$L$7,W499))*INDEX(Parameter!$E$5:$E$7,W499)*X499/SUMIFS($X$7:$X$1843,$W$7:$W$1843,W499),0),0)</f>
        <v>0</v>
      </c>
    </row>
    <row r="500" customFormat="false" ht="15" hidden="false" customHeight="false" outlineLevel="0" collapsed="false">
      <c r="A500" s="48" t="s">
        <v>1102</v>
      </c>
      <c r="B500" s="48" t="s">
        <v>1103</v>
      </c>
      <c r="C500" s="48" t="s">
        <v>168</v>
      </c>
      <c r="D500" s="48" t="s">
        <v>188</v>
      </c>
      <c r="E500" s="48"/>
      <c r="F500" s="48" t="s">
        <v>222</v>
      </c>
      <c r="G500" s="49" t="n">
        <v>22.94</v>
      </c>
      <c r="H500" s="50" t="n">
        <f aca="false">MAX(0,IF(AND(Parameter!$B$21="Ja",ISNUMBER(Y500)),Y500,IF(Parameter!$B$20="Jahresanfang 2025 + Export",BO500+BN500,BN500)))</f>
        <v>64</v>
      </c>
      <c r="I500" s="50" t="n">
        <f aca="false">H500*G500</f>
        <v>1468.16</v>
      </c>
      <c r="J500" s="50" t="n">
        <f aca="false">BQ500*Parameter!$B$18</f>
        <v>1</v>
      </c>
      <c r="K500" s="51" t="n">
        <v>57</v>
      </c>
      <c r="L500" s="52" t="n">
        <v>0.0175438596491228</v>
      </c>
      <c r="M500" s="50" t="n">
        <v>0</v>
      </c>
      <c r="N500" s="50" t="n">
        <v>1</v>
      </c>
      <c r="O500" s="53" t="n">
        <v>63</v>
      </c>
      <c r="P500" s="48" t="s">
        <v>306</v>
      </c>
      <c r="Q500" s="50" t="n">
        <v>55</v>
      </c>
      <c r="R500" s="53" t="n">
        <f aca="false">IF(BW500=1,0,IFERROR(VLOOKUP(BU500,'Gebinde-Kategorie'!$A$5:$N$45,13,0)+0,0))</f>
        <v>26</v>
      </c>
      <c r="S500" s="54"/>
      <c r="T500" s="55"/>
      <c r="U500" s="55"/>
      <c r="V500" s="55"/>
      <c r="W500" s="48"/>
      <c r="X500" s="50"/>
      <c r="Y500" s="50"/>
      <c r="Z500" s="48" t="n">
        <f aca="false">IF(A500="","",IF(AND(Parameter!$B$21="Ja",ISNUMBER(W500)),W500,IF(BZ500="2+3",IF(ISNUMBER(SEARCH("grosser Artikel",BR500)),2,IFERROR(VLOOKUP(BU500,Parameter!$F$35:$G$64,2,0),2)),IF(OR(BZ500="Nein",BZ500=""),"-",BZ500))))</f>
        <v>3</v>
      </c>
      <c r="AA500" s="55"/>
      <c r="AB500" s="56"/>
      <c r="AC500" s="50" t="n">
        <f aca="false">AT500</f>
        <v>55</v>
      </c>
      <c r="AD500" s="50" t="n">
        <f aca="false">MAX(AT500,H500)</f>
        <v>64</v>
      </c>
      <c r="AE500" s="57"/>
      <c r="AF500" s="50" t="n">
        <f aca="false">IF(LEFT(Cockpit!$C$5,1)="A",H500,IF(CE500=1,CF500,IF(LEFT(Cockpit!$C$5,1)="B",AK500,MAX(AK500,H500))))</f>
        <v>64</v>
      </c>
      <c r="AG500" s="50" t="n">
        <f aca="false">IF(BW500=1,0,ROUNDUP(AF500/BV500,0))</f>
        <v>2</v>
      </c>
      <c r="AH500" s="52" t="n">
        <f aca="false">IF(CL500&gt;0,CL500*MAX(1,AF500/X500),IF(BW500=1,IF(AF500&lt;=0,0,CA500*MAX(1,IF(H500&gt;0,AF500/H500,1))),IF(R500&gt;0,AG500/R500,0))/MAX(0.1,N(Parameter!$M$21)))</f>
        <v>0.0769230769230769</v>
      </c>
      <c r="AI500" s="50" t="n">
        <f aca="false">AH500*BY500</f>
        <v>11.9230769230769</v>
      </c>
      <c r="AJ500" s="50" t="n">
        <f aca="false">AF500*G500</f>
        <v>1468.16</v>
      </c>
      <c r="AK500" s="50" t="n">
        <f aca="false">ROUNDUP(MAX(J500/IF(CD500&gt;0,CD500,MAX(0.1,N(Cockpit!$C$6))),CG500)/BV500,0)*BV500</f>
        <v>55</v>
      </c>
      <c r="AL500" s="51" t="n">
        <f aca="false">IF(AI500&gt;0,J500/AI500,-1)</f>
        <v>0.0838709677419355</v>
      </c>
      <c r="AM500" s="51" t="n">
        <f aca="false">IF(AND(OR(CC500="L1",CC500="L23",CC500="LIFT"),AI500&gt;0),SUMIFS($AI$7:$AI$1843,$CC$7:$CC$1843,CC500,$AL$7:$AL$1843,"&gt;"&amp;AL500)+SUMIFS($AI$7:$AI$1843,$CC$7:$CC$1843,CC500,$AL$7:$AL$1843,AL500,$BT$7:$BT$1843,"&lt;="&amp;BT500),"")</f>
        <v>16662.2932963929</v>
      </c>
      <c r="AN500" s="58" t="n">
        <f aca="false">IF(AM500="",0,MAX(0,MIN(1,(IF(CC500="L1",Parameter!$H$5,IF(CC500="L23",Parameter!$H$6+Parameter!$H$7,Parameter!$H$5+Parameter!$H$6+Parameter!$H$7))-(AM500-AI500))/AI500)))</f>
        <v>1</v>
      </c>
      <c r="AO500" s="50" t="n">
        <f aca="false">IF(LEFT(Cockpit!$I$5,1)="A",H500,IF(CE500=1,CF500,IF(LEFT(Cockpit!$I$5,1)="B",AT500,MAX(AT500,H500))))</f>
        <v>64</v>
      </c>
      <c r="AP500" s="50" t="n">
        <f aca="false">IF(BW500=1,0,ROUNDUP(AO500/BV500,0))</f>
        <v>2</v>
      </c>
      <c r="AQ500" s="52" t="n">
        <f aca="false">IF(CL500&gt;0,CL500*MAX(1,AO500/X500),IF(BW500=1,IF(AO500&lt;=0,0,CA500*MAX(1,IF(H500&gt;0,AO500/H500,1))),IF(R500&gt;0,AP500/R500,0))/MAX(0.1,N(Parameter!$M$21)))</f>
        <v>0.0769230769230769</v>
      </c>
      <c r="AR500" s="50" t="n">
        <f aca="false">AQ500*BY500</f>
        <v>11.9230769230769</v>
      </c>
      <c r="AS500" s="50" t="n">
        <f aca="false">AO500*G500</f>
        <v>1468.16</v>
      </c>
      <c r="AT500" s="50" t="n">
        <f aca="false">ROUNDUP(MAX(J500/IF(CD500&gt;0,CD500,MAX(0.1,N(Cockpit!$I$6))),CG500)/BV500,0)*BV500</f>
        <v>55</v>
      </c>
      <c r="AU500" s="51" t="n">
        <f aca="false">IF(AR500&gt;0,J500/AR500,-1)</f>
        <v>0.0838709677419355</v>
      </c>
      <c r="AV500" s="51" t="n">
        <f aca="false">IF(AND(OR(CC500="L1",CC500="L23",CC500="LIFT"),AR500&gt;0),SUMIFS($AR$7:$AR$1843,$CC$7:$CC$1843,CC500,$AU$7:$AU$1843,"&gt;"&amp;AU500)+SUMIFS($AR$7:$AR$1843,$CC$7:$CC$1843,CC500,$AU$7:$AU$1843,AU500,$BT$7:$BT$1843,"&lt;="&amp;BT500),"")</f>
        <v>25134.2736724199</v>
      </c>
      <c r="AW500" s="58" t="n">
        <f aca="false">IF(AV500="",0,MAX(0,MIN(1,(IF(CC500="L1",Parameter!$H$5,IF(CC500="L23",Parameter!$H$6+Parameter!$H$7,Parameter!$H$5+Parameter!$H$6+Parameter!$H$7))-(AV500-AR500))/AR500)))</f>
        <v>1</v>
      </c>
      <c r="AX500" s="50" t="n">
        <f aca="false">IF(LEFT(Cockpit!$O$5,1)="A",H500,IF(CE500=1,CF500,IF(LEFT(Cockpit!$O$5,1)="B",BC500,MAX(BC500,H500))))</f>
        <v>64</v>
      </c>
      <c r="AY500" s="50" t="n">
        <f aca="false">IF(BW500=1,0,ROUNDUP(AX500/BV500,0))</f>
        <v>2</v>
      </c>
      <c r="AZ500" s="52" t="n">
        <f aca="false">IF(CL500&gt;0,CL500*MAX(1,AX500/X500),IF(BW500=1,IF(AX500&lt;=0,0,CA500*MAX(1,IF(H500&gt;0,AX500/H500,1))),IF(R500&gt;0,AY500/R500,0))/MAX(0.1,N(Parameter!$M$21)))</f>
        <v>0.0769230769230769</v>
      </c>
      <c r="BA500" s="50" t="n">
        <f aca="false">AZ500*BY500</f>
        <v>11.9230769230769</v>
      </c>
      <c r="BB500" s="50" t="n">
        <f aca="false">AX500*G500</f>
        <v>1468.16</v>
      </c>
      <c r="BC500" s="50" t="n">
        <f aca="false">ROUNDUP(MAX(J500/IF(CD500&gt;0,CD500,MAX(0.1,N(Cockpit!$O$6))),CG500)/BV500,0)*BV500</f>
        <v>55</v>
      </c>
      <c r="BD500" s="51" t="n">
        <f aca="false">IF(BA500&gt;0,J500/BA500,-1)</f>
        <v>0.0838709677419355</v>
      </c>
      <c r="BE500" s="51" t="n">
        <f aca="false">IF(AND(OR(CC500="L1",CC500="L23",CC500="LIFT"),BA500&gt;0),SUMIFS($BA$7:$BA$1843,$CC$7:$CC$1843,CC500,$BD$7:$BD$1843,"&gt;"&amp;BD500)+SUMIFS($BA$7:$BA$1843,$CC$7:$CC$1843,CC500,$BD$7:$BD$1843,BD500,$BT$7:$BT$1843,"&lt;="&amp;BT500),"")</f>
        <v>23336.7857142857</v>
      </c>
      <c r="BF500" s="58" t="n">
        <f aca="false">IF(BE500="",0,MAX(0,MIN(1,(IF(CC500="L1",Parameter!$H$5,IF(CC500="L23",Parameter!$H$6+Parameter!$H$7,Parameter!$H$5+Parameter!$H$6+Parameter!$H$7))-(BE500-BA500))/BA500)))</f>
        <v>1</v>
      </c>
      <c r="BG500" s="48" t="str">
        <f aca="false">IF(AI500&lt;=0,"",IF(CC500="Aussen","Aussenlager",IF(CC500="-","Nicht im Lift",IF(AN500&gt;=1,"Lift",IF(AN500&lt;=0,"Aussenlager","teilweise")))))</f>
        <v>Lift</v>
      </c>
      <c r="BH500" s="48" t="str">
        <f aca="false">IF(AR500&lt;=0,"",IF(CC500="Aussen","Aussenlager",IF(CC500="-","Nicht im Lift",IF(AW500&gt;=1,"Lift",IF(AW500&lt;=0,"Aussenlager","teilweise")))))</f>
        <v>Lift</v>
      </c>
      <c r="BI500" s="48" t="str">
        <f aca="false">IF(BA500&lt;=0,"",IF(CC500="Aussen","Aussenlager",IF(CC500="-","Nicht im Lift",IF(BF500&gt;=1,"Lift",IF(BF500&lt;=0,"Aussenlager","teilweise")))))</f>
        <v>Lift</v>
      </c>
      <c r="BJ500" s="48" t="str">
        <f aca="false">IF(A500="","",IF(BS500=1,"Neu; ","")&amp;IF(AND(BS500=0,BN500&lt;0),"negativer Bestand (Export "&amp;BN500&amp;"); ","")&amp;IF(J500&lt;=0,"Kein Verbrauch; ","")&amp;IF(CL500&gt;0,"Lift "&amp;W500&amp;" lt. Liftbericht (Fach "&amp;X500&amp;" Stk); ",IF(BX500=1,"Gebinde geschätzt ("&amp;T500&amp;"); ",IF(BW500=1,"Lose – Tablare geschätzt; ","")))&amp;IF(H500&gt;AT500,"Überbestand "&amp;ROUND(H500-AT500,0)&amp;" Stk / CHF "&amp;ROUND((H500-AT500)*G500,0)&amp;"; ","")&amp;IF(AND(CE500=1,CF500&lt;CG500),"MAX &lt; MB+LG; ","")&amp;IF(AND(CK500&gt;0,CJ500*10&gt;CK500),"zu hoch für Tablar; ","")&amp;IF(AND(BS500=0,OR(CE500=1,AA500&lt;&gt;"",U500&lt;&gt;"",V500&lt;&gt;"",AB500&lt;&gt;"")),"manuell übersteuert; ","")&amp;IF(AND(BW500=0,R500=0),"Gebinde unbekannt / Stellmass fehlt; ","")&amp;IF(AND(BW500=0,N(V500)&lt;=0,N(Q500)&lt;=0),"Menge pro Gebinde fehlt (Ist = 1 Gebinde); ","")&amp;BR500)</f>
        <v>Überbestand 9 Stk / CHF 206; </v>
      </c>
      <c r="BK500" s="48"/>
      <c r="BL500" s="48"/>
      <c r="BM500" s="55"/>
      <c r="BN500" s="50" t="n">
        <v>4</v>
      </c>
      <c r="BO500" s="50" t="n">
        <v>60</v>
      </c>
      <c r="BP500" s="49" t="n">
        <v>37.4</v>
      </c>
      <c r="BQ500" s="50" t="n">
        <v>1</v>
      </c>
      <c r="BR500" s="48"/>
      <c r="BS500" s="53" t="n">
        <v>0</v>
      </c>
      <c r="BT500" s="53" t="n">
        <v>500</v>
      </c>
      <c r="BU500" s="48" t="str">
        <f aca="false">IF(U500&lt;&gt;"",UPPER(TRIM(U500)),IF(BX500=1,UPPER(VLOOKUP(T500,Parameter!$I$27:$K$29,2,0)),IF(P500="","LOSE",P500)))</f>
        <v>S51</v>
      </c>
      <c r="BV500" s="50" t="n">
        <f aca="false">IF(BU500="LOSE",1,IF(N(V500)&gt;0,V500,IF(BX500=1,MAX(1,N(VLOOKUP(T500,Parameter!$I$27:$K$29,3,0)),H500,N(N500)),IF(N(Q500)&gt;0,Q500,MAX(1,H500)))))</f>
        <v>55</v>
      </c>
      <c r="BW500" s="53" t="n">
        <f aca="false">IF(BU500="LOSE",1,0)</f>
        <v>0</v>
      </c>
      <c r="BX500" s="53" t="n">
        <f aca="false">IF(AND(U500="",OR(P500="",P500="LOSE"),T500&lt;&gt;"",N(S500)&lt;=0,ISNUMBER(MATCH(T500,Parameter!$I$27:$I$29,0))),1,0)</f>
        <v>0</v>
      </c>
      <c r="BY500" s="53" t="n">
        <f aca="false">IF(CL500&gt;0,INDEX(Parameter!$H$5:$H$7,W500)/INDEX(Parameter!$E$5:$E$7,W500),IF(AND(BW500=0,N(IFERROR(VLOOKUP(BU500,'Gebinde-Kategorie'!$A$5:$N$45,14,0),0))&gt;0),VLOOKUP(BU500,'Gebinde-Kategorie'!$A$5:$N$45,14,0)*10+Parameter!$M$23,Parameter!$M$24))</f>
        <v>155</v>
      </c>
      <c r="BZ500" s="48" t="str">
        <f aca="false">IF(AND(Parameter!$B$19="Ja",E500&lt;&gt;"",ISNUMBER(MATCH(E500,Parameter!$I$35:$I$52,0))),VLOOKUP(E500,Parameter!$I$35:$J$52,2,0),IFERROR(VLOOKUP(D500,Parameter!$A$35:$C$64,2,0),"Nein"))</f>
        <v>2+3</v>
      </c>
      <c r="CA500" s="52" t="n">
        <f aca="false">IF(BW500=0,0,IF(N(S500)&gt;0,S500,IFERROR(VLOOKUP(D500,Parameter!$A$35:$C$64,3,0)+0,0)))</f>
        <v>0</v>
      </c>
      <c r="CB500" s="48" t="n">
        <f aca="false">IF(AA500&lt;&gt;"",AA500,Z500)</f>
        <v>3</v>
      </c>
      <c r="CC500" s="48" t="str">
        <f aca="false">IF(OR(CB500=1,CB500=2,CB500=3),IF(Parameter!$E$27="Ja","LIFT",IF(CB500=1,"L1","L23")),IF(CB500="Aussen","Aussen","-"))</f>
        <v>LIFT</v>
      </c>
      <c r="CD500" s="59" t="n">
        <f aca="false">IF(N(AB500)&gt;0,AB500,0)</f>
        <v>0</v>
      </c>
      <c r="CE500" s="53" t="n">
        <f aca="false">IF(ISNUMBER(AE500),1,0)</f>
        <v>0</v>
      </c>
      <c r="CF500" s="50" t="n">
        <f aca="false">N(AE500)</f>
        <v>0</v>
      </c>
      <c r="CG500" s="50" t="n">
        <f aca="false">N(M500)+N(N500)</f>
        <v>1</v>
      </c>
      <c r="CH500" s="50" t="n">
        <f aca="false">ROUNDUP(H500/BV500,0)</f>
        <v>2</v>
      </c>
      <c r="CI500" s="50" t="n">
        <f aca="false">ROUNDUP(CF500/BV500,0)</f>
        <v>0</v>
      </c>
      <c r="CJ500" s="53" t="n">
        <f aca="false">IF(BW500=1,0,IFERROR(VLOOKUP(BU500,'Gebinde-Kategorie'!$A$5:$N$45,5,0)+0,0))</f>
        <v>11</v>
      </c>
      <c r="CK500" s="53" t="n">
        <f aca="false">IFERROR(IF(OR(CB500=1,CB500=2,CB500=3),N(INDEX(Parameter!$I$5:$I$7,CB500)),0),0)</f>
        <v>0</v>
      </c>
      <c r="CL500" s="52" t="n">
        <f aca="false">IF(AND(Parameter!$B$21="Ja",ISNUMBER(W500),N(X500)&gt;0),IFERROR(N(INDEX(Parameter!$L$5:$L$7,W500))*INDEX(Parameter!$E$5:$E$7,W500)*X500/SUMIFS($X$7:$X$1843,$W$7:$W$1843,W500),0),0)</f>
        <v>0</v>
      </c>
    </row>
    <row r="501" customFormat="false" ht="15" hidden="false" customHeight="false" outlineLevel="0" collapsed="false">
      <c r="A501" s="48" t="s">
        <v>1104</v>
      </c>
      <c r="B501" s="48" t="s">
        <v>665</v>
      </c>
      <c r="C501" s="48" t="s">
        <v>168</v>
      </c>
      <c r="D501" s="48" t="s">
        <v>188</v>
      </c>
      <c r="E501" s="48" t="s">
        <v>189</v>
      </c>
      <c r="F501" s="48" t="s">
        <v>222</v>
      </c>
      <c r="G501" s="49" t="n">
        <v>9.38</v>
      </c>
      <c r="H501" s="50" t="n">
        <f aca="false">MAX(0,IF(AND(Parameter!$B$21="Ja",ISNUMBER(Y501)),Y501,IF(Parameter!$B$20="Jahresanfang 2025 + Export",BO501+BN501,BN501)))</f>
        <v>92</v>
      </c>
      <c r="I501" s="50" t="n">
        <f aca="false">H501*G501</f>
        <v>862.96</v>
      </c>
      <c r="J501" s="50" t="n">
        <f aca="false">BQ501*Parameter!$B$18</f>
        <v>262</v>
      </c>
      <c r="K501" s="51" t="n">
        <v>95</v>
      </c>
      <c r="L501" s="52" t="n">
        <v>2.75789473684211</v>
      </c>
      <c r="M501" s="50" t="n">
        <v>15</v>
      </c>
      <c r="N501" s="50" t="n">
        <v>100</v>
      </c>
      <c r="O501" s="53" t="n">
        <v>21</v>
      </c>
      <c r="P501" s="48" t="s">
        <v>306</v>
      </c>
      <c r="Q501" s="50" t="n">
        <v>454</v>
      </c>
      <c r="R501" s="53" t="n">
        <f aca="false">IF(BW501=1,0,IFERROR(VLOOKUP(BU501,'Gebinde-Kategorie'!$A$5:$N$45,13,0)+0,0))</f>
        <v>26</v>
      </c>
      <c r="S501" s="54"/>
      <c r="T501" s="55"/>
      <c r="U501" s="55"/>
      <c r="V501" s="55"/>
      <c r="W501" s="48"/>
      <c r="X501" s="50"/>
      <c r="Y501" s="50"/>
      <c r="Z501" s="48" t="n">
        <f aca="false">IF(A501="","",IF(AND(Parameter!$B$21="Ja",ISNUMBER(W501)),W501,IF(BZ501="2+3",IF(ISNUMBER(SEARCH("grosser Artikel",BR501)),2,IFERROR(VLOOKUP(BU501,Parameter!$F$35:$G$64,2,0),2)),IF(OR(BZ501="Nein",BZ501=""),"-",BZ501))))</f>
        <v>3</v>
      </c>
      <c r="AA501" s="55"/>
      <c r="AB501" s="56"/>
      <c r="AC501" s="50" t="n">
        <f aca="false">AT501</f>
        <v>454</v>
      </c>
      <c r="AD501" s="50" t="n">
        <f aca="false">MAX(AT501,H501)</f>
        <v>454</v>
      </c>
      <c r="AE501" s="57"/>
      <c r="AF501" s="50" t="n">
        <f aca="false">IF(LEFT(Cockpit!$C$5,1)="A",H501,IF(CE501=1,CF501,IF(LEFT(Cockpit!$C$5,1)="B",AK501,MAX(AK501,H501))))</f>
        <v>92</v>
      </c>
      <c r="AG501" s="50" t="n">
        <f aca="false">IF(BW501=1,0,ROUNDUP(AF501/BV501,0))</f>
        <v>1</v>
      </c>
      <c r="AH501" s="52" t="n">
        <f aca="false">IF(CL501&gt;0,CL501*MAX(1,AF501/X501),IF(BW501=1,IF(AF501&lt;=0,0,CA501*MAX(1,IF(H501&gt;0,AF501/H501,1))),IF(R501&gt;0,AG501/R501,0))/MAX(0.1,N(Parameter!$M$21)))</f>
        <v>0.0384615384615385</v>
      </c>
      <c r="AI501" s="50" t="n">
        <f aca="false">AH501*BY501</f>
        <v>5.96153846153846</v>
      </c>
      <c r="AJ501" s="50" t="n">
        <f aca="false">AF501*G501</f>
        <v>862.96</v>
      </c>
      <c r="AK501" s="50" t="n">
        <f aca="false">ROUNDUP(MAX(J501/IF(CD501&gt;0,CD501,MAX(0.1,N(Cockpit!$C$6))),CG501)/BV501,0)*BV501</f>
        <v>454</v>
      </c>
      <c r="AL501" s="51" t="n">
        <f aca="false">IF(AI501&gt;0,J501/AI501,-1)</f>
        <v>43.9483870967742</v>
      </c>
      <c r="AM501" s="51" t="n">
        <f aca="false">IF(AND(OR(CC501="L1",CC501="L23",CC501="LIFT"),AI501&gt;0),SUMIFS($AI$7:$AI$1843,$CC$7:$CC$1843,CC501,$AL$7:$AL$1843,"&gt;"&amp;AL501)+SUMIFS($AI$7:$AI$1843,$CC$7:$CC$1843,CC501,$AL$7:$AL$1843,AL501,$BT$7:$BT$1843,"&lt;="&amp;BT501),"")</f>
        <v>1172.57692307692</v>
      </c>
      <c r="AN501" s="58" t="n">
        <f aca="false">IF(AM501="",0,MAX(0,MIN(1,(IF(CC501="L1",Parameter!$H$5,IF(CC501="L23",Parameter!$H$6+Parameter!$H$7,Parameter!$H$5+Parameter!$H$6+Parameter!$H$7))-(AM501-AI501))/AI501)))</f>
        <v>1</v>
      </c>
      <c r="AO501" s="50" t="n">
        <f aca="false">IF(LEFT(Cockpit!$I$5,1)="A",H501,IF(CE501=1,CF501,IF(LEFT(Cockpit!$I$5,1)="B",AT501,MAX(AT501,H501))))</f>
        <v>454</v>
      </c>
      <c r="AP501" s="50" t="n">
        <f aca="false">IF(BW501=1,0,ROUNDUP(AO501/BV501,0))</f>
        <v>1</v>
      </c>
      <c r="AQ501" s="52" t="n">
        <f aca="false">IF(CL501&gt;0,CL501*MAX(1,AO501/X501),IF(BW501=1,IF(AO501&lt;=0,0,CA501*MAX(1,IF(H501&gt;0,AO501/H501,1))),IF(R501&gt;0,AP501/R501,0))/MAX(0.1,N(Parameter!$M$21)))</f>
        <v>0.0384615384615385</v>
      </c>
      <c r="AR501" s="50" t="n">
        <f aca="false">AQ501*BY501</f>
        <v>5.96153846153846</v>
      </c>
      <c r="AS501" s="50" t="n">
        <f aca="false">AO501*G501</f>
        <v>4258.52</v>
      </c>
      <c r="AT501" s="50" t="n">
        <f aca="false">ROUNDUP(MAX(J501/IF(CD501&gt;0,CD501,MAX(0.1,N(Cockpit!$I$6))),CG501)/BV501,0)*BV501</f>
        <v>454</v>
      </c>
      <c r="AU501" s="51" t="n">
        <f aca="false">IF(AR501&gt;0,J501/AR501,-1)</f>
        <v>43.9483870967742</v>
      </c>
      <c r="AV501" s="51" t="n">
        <f aca="false">IF(AND(OR(CC501="L1",CC501="L23",CC501="LIFT"),AR501&gt;0),SUMIFS($AR$7:$AR$1843,$CC$7:$CC$1843,CC501,$AU$7:$AU$1843,"&gt;"&amp;AU501)+SUMIFS($AR$7:$AR$1843,$CC$7:$CC$1843,CC501,$AU$7:$AU$1843,AU501,$BT$7:$BT$1843,"&lt;="&amp;BT501),"")</f>
        <v>1640.80173992674</v>
      </c>
      <c r="AW501" s="58" t="n">
        <f aca="false">IF(AV501="",0,MAX(0,MIN(1,(IF(CC501="L1",Parameter!$H$5,IF(CC501="L23",Parameter!$H$6+Parameter!$H$7,Parameter!$H$5+Parameter!$H$6+Parameter!$H$7))-(AV501-AR501))/AR501)))</f>
        <v>1</v>
      </c>
      <c r="AX501" s="50" t="n">
        <f aca="false">IF(LEFT(Cockpit!$O$5,1)="A",H501,IF(CE501=1,CF501,IF(LEFT(Cockpit!$O$5,1)="B",BC501,MAX(BC501,H501))))</f>
        <v>454</v>
      </c>
      <c r="AY501" s="50" t="n">
        <f aca="false">IF(BW501=1,0,ROUNDUP(AX501/BV501,0))</f>
        <v>1</v>
      </c>
      <c r="AZ501" s="52" t="n">
        <f aca="false">IF(CL501&gt;0,CL501*MAX(1,AX501/X501),IF(BW501=1,IF(AX501&lt;=0,0,CA501*MAX(1,IF(H501&gt;0,AX501/H501,1))),IF(R501&gt;0,AY501/R501,0))/MAX(0.1,N(Parameter!$M$21)))</f>
        <v>0.0384615384615385</v>
      </c>
      <c r="BA501" s="50" t="n">
        <f aca="false">AZ501*BY501</f>
        <v>5.96153846153846</v>
      </c>
      <c r="BB501" s="50" t="n">
        <f aca="false">AX501*G501</f>
        <v>4258.52</v>
      </c>
      <c r="BC501" s="50" t="n">
        <f aca="false">ROUNDUP(MAX(J501/IF(CD501&gt;0,CD501,MAX(0.1,N(Cockpit!$O$6))),CG501)/BV501,0)*BV501</f>
        <v>454</v>
      </c>
      <c r="BD501" s="51" t="n">
        <f aca="false">IF(BA501&gt;0,J501/BA501,-1)</f>
        <v>43.9483870967742</v>
      </c>
      <c r="BE501" s="51" t="n">
        <f aca="false">IF(AND(OR(CC501="L1",CC501="L23",CC501="LIFT"),BA501&gt;0),SUMIFS($BA$7:$BA$1843,$CC$7:$CC$1843,CC501,$BD$7:$BD$1843,"&gt;"&amp;BD501)+SUMIFS($BA$7:$BA$1843,$CC$7:$CC$1843,CC501,$BD$7:$BD$1843,BD501,$BT$7:$BT$1843,"&lt;="&amp;BT501),"")</f>
        <v>1505.72161172161</v>
      </c>
      <c r="BF501" s="58" t="n">
        <f aca="false">IF(BE501="",0,MAX(0,MIN(1,(IF(CC501="L1",Parameter!$H$5,IF(CC501="L23",Parameter!$H$6+Parameter!$H$7,Parameter!$H$5+Parameter!$H$6+Parameter!$H$7))-(BE501-BA501))/BA501)))</f>
        <v>1</v>
      </c>
      <c r="BG501" s="48" t="str">
        <f aca="false">IF(AI501&lt;=0,"",IF(CC501="Aussen","Aussenlager",IF(CC501="-","Nicht im Lift",IF(AN501&gt;=1,"Lift",IF(AN501&lt;=0,"Aussenlager","teilweise")))))</f>
        <v>Lift</v>
      </c>
      <c r="BH501" s="48" t="str">
        <f aca="false">IF(AR501&lt;=0,"",IF(CC501="Aussen","Aussenlager",IF(CC501="-","Nicht im Lift",IF(AW501&gt;=1,"Lift",IF(AW501&lt;=0,"Aussenlager","teilweise")))))</f>
        <v>Lift</v>
      </c>
      <c r="BI501" s="48" t="str">
        <f aca="false">IF(BA501&lt;=0,"",IF(CC501="Aussen","Aussenlager",IF(CC501="-","Nicht im Lift",IF(BF501&gt;=1,"Lift",IF(BF501&lt;=0,"Aussenlager","teilweise")))))</f>
        <v>Lift</v>
      </c>
      <c r="BJ501" s="48" t="str">
        <f aca="false">IF(A501="","",IF(BS501=1,"Neu; ","")&amp;IF(AND(BS501=0,BN501&lt;0),"negativer Bestand (Export "&amp;BN501&amp;"); ","")&amp;IF(J501&lt;=0,"Kein Verbrauch; ","")&amp;IF(CL501&gt;0,"Lift "&amp;W501&amp;" lt. Liftbericht (Fach "&amp;X501&amp;" Stk); ",IF(BX501=1,"Gebinde geschätzt ("&amp;T501&amp;"); ",IF(BW501=1,"Lose – Tablare geschätzt; ","")))&amp;IF(H501&gt;AT501,"Überbestand "&amp;ROUND(H501-AT501,0)&amp;" Stk / CHF "&amp;ROUND((H501-AT501)*G501,0)&amp;"; ","")&amp;IF(AND(CE501=1,CF501&lt;CG501),"MAX &lt; MB+LG; ","")&amp;IF(AND(CK501&gt;0,CJ501*10&gt;CK501),"zu hoch für Tablar; ","")&amp;IF(AND(BS501=0,OR(CE501=1,AA501&lt;&gt;"",U501&lt;&gt;"",V501&lt;&gt;"",AB501&lt;&gt;"")),"manuell übersteuert; ","")&amp;IF(AND(BW501=0,R501=0),"Gebinde unbekannt / Stellmass fehlt; ","")&amp;IF(AND(BW501=0,N(V501)&lt;=0,N(Q501)&lt;=0),"Menge pro Gebinde fehlt (Ist = 1 Gebinde); ","")&amp;BR501)</f>
        <v/>
      </c>
      <c r="BK501" s="48"/>
      <c r="BL501" s="48"/>
      <c r="BM501" s="55"/>
      <c r="BN501" s="50" t="n">
        <v>28</v>
      </c>
      <c r="BO501" s="50" t="n">
        <v>64</v>
      </c>
      <c r="BP501" s="49" t="n">
        <v>37.3599999999999</v>
      </c>
      <c r="BQ501" s="50" t="n">
        <v>262</v>
      </c>
      <c r="BR501" s="48"/>
      <c r="BS501" s="53" t="n">
        <v>0</v>
      </c>
      <c r="BT501" s="53" t="n">
        <v>501</v>
      </c>
      <c r="BU501" s="48" t="str">
        <f aca="false">IF(U501&lt;&gt;"",UPPER(TRIM(U501)),IF(BX501=1,UPPER(VLOOKUP(T501,Parameter!$I$27:$K$29,2,0)),IF(P501="","LOSE",P501)))</f>
        <v>S51</v>
      </c>
      <c r="BV501" s="50" t="n">
        <f aca="false">IF(BU501="LOSE",1,IF(N(V501)&gt;0,V501,IF(BX501=1,MAX(1,N(VLOOKUP(T501,Parameter!$I$27:$K$29,3,0)),H501,N(N501)),IF(N(Q501)&gt;0,Q501,MAX(1,H501)))))</f>
        <v>454</v>
      </c>
      <c r="BW501" s="53" t="n">
        <f aca="false">IF(BU501="LOSE",1,0)</f>
        <v>0</v>
      </c>
      <c r="BX501" s="53" t="n">
        <f aca="false">IF(AND(U501="",OR(P501="",P501="LOSE"),T501&lt;&gt;"",N(S501)&lt;=0,ISNUMBER(MATCH(T501,Parameter!$I$27:$I$29,0))),1,0)</f>
        <v>0</v>
      </c>
      <c r="BY501" s="53" t="n">
        <f aca="false">IF(CL501&gt;0,INDEX(Parameter!$H$5:$H$7,W501)/INDEX(Parameter!$E$5:$E$7,W501),IF(AND(BW501=0,N(IFERROR(VLOOKUP(BU501,'Gebinde-Kategorie'!$A$5:$N$45,14,0),0))&gt;0),VLOOKUP(BU501,'Gebinde-Kategorie'!$A$5:$N$45,14,0)*10+Parameter!$M$23,Parameter!$M$24))</f>
        <v>155</v>
      </c>
      <c r="BZ501" s="48" t="str">
        <f aca="false">IF(AND(Parameter!$B$19="Ja",E501&lt;&gt;"",ISNUMBER(MATCH(E501,Parameter!$I$35:$I$52,0))),VLOOKUP(E501,Parameter!$I$35:$J$52,2,0),IFERROR(VLOOKUP(D501,Parameter!$A$35:$C$64,2,0),"Nein"))</f>
        <v>2+3</v>
      </c>
      <c r="CA501" s="52" t="n">
        <f aca="false">IF(BW501=0,0,IF(N(S501)&gt;0,S501,IFERROR(VLOOKUP(D501,Parameter!$A$35:$C$64,3,0)+0,0)))</f>
        <v>0</v>
      </c>
      <c r="CB501" s="48" t="n">
        <f aca="false">IF(AA501&lt;&gt;"",AA501,Z501)</f>
        <v>3</v>
      </c>
      <c r="CC501" s="48" t="str">
        <f aca="false">IF(OR(CB501=1,CB501=2,CB501=3),IF(Parameter!$E$27="Ja","LIFT",IF(CB501=1,"L1","L23")),IF(CB501="Aussen","Aussen","-"))</f>
        <v>LIFT</v>
      </c>
      <c r="CD501" s="59" t="n">
        <f aca="false">IF(N(AB501)&gt;0,AB501,0)</f>
        <v>0</v>
      </c>
      <c r="CE501" s="53" t="n">
        <f aca="false">IF(ISNUMBER(AE501),1,0)</f>
        <v>0</v>
      </c>
      <c r="CF501" s="50" t="n">
        <f aca="false">N(AE501)</f>
        <v>0</v>
      </c>
      <c r="CG501" s="50" t="n">
        <f aca="false">N(M501)+N(N501)</f>
        <v>115</v>
      </c>
      <c r="CH501" s="50" t="n">
        <f aca="false">ROUNDUP(H501/BV501,0)</f>
        <v>1</v>
      </c>
      <c r="CI501" s="50" t="n">
        <f aca="false">ROUNDUP(CF501/BV501,0)</f>
        <v>0</v>
      </c>
      <c r="CJ501" s="53" t="n">
        <f aca="false">IF(BW501=1,0,IFERROR(VLOOKUP(BU501,'Gebinde-Kategorie'!$A$5:$N$45,5,0)+0,0))</f>
        <v>11</v>
      </c>
      <c r="CK501" s="53" t="n">
        <f aca="false">IFERROR(IF(OR(CB501=1,CB501=2,CB501=3),N(INDEX(Parameter!$I$5:$I$7,CB501)),0),0)</f>
        <v>0</v>
      </c>
      <c r="CL501" s="52" t="n">
        <f aca="false">IF(AND(Parameter!$B$21="Ja",ISNUMBER(W501),N(X501)&gt;0),IFERROR(N(INDEX(Parameter!$L$5:$L$7,W501))*INDEX(Parameter!$E$5:$E$7,W501)*X501/SUMIFS($X$7:$X$1843,$W$7:$W$1843,W501),0),0)</f>
        <v>0</v>
      </c>
    </row>
    <row r="502" customFormat="false" ht="15" hidden="false" customHeight="false" outlineLevel="0" collapsed="false">
      <c r="A502" s="48" t="s">
        <v>1105</v>
      </c>
      <c r="B502" s="48" t="s">
        <v>1106</v>
      </c>
      <c r="C502" s="48" t="s">
        <v>168</v>
      </c>
      <c r="D502" s="48" t="s">
        <v>188</v>
      </c>
      <c r="E502" s="48" t="s">
        <v>189</v>
      </c>
      <c r="F502" s="48" t="s">
        <v>222</v>
      </c>
      <c r="G502" s="49" t="n">
        <v>12.02</v>
      </c>
      <c r="H502" s="50" t="n">
        <f aca="false">MAX(0,IF(AND(Parameter!$B$21="Ja",ISNUMBER(Y502)),Y502,IF(Parameter!$B$20="Jahresanfang 2025 + Export",BO502+BN502,BN502)))</f>
        <v>25</v>
      </c>
      <c r="I502" s="50" t="n">
        <f aca="false">H502*G502</f>
        <v>300.5</v>
      </c>
      <c r="J502" s="50" t="n">
        <f aca="false">BQ502*Parameter!$B$18</f>
        <v>30</v>
      </c>
      <c r="K502" s="51" t="n">
        <v>22.5</v>
      </c>
      <c r="L502" s="52" t="n">
        <v>1.33333333333333</v>
      </c>
      <c r="M502" s="50" t="n">
        <v>2</v>
      </c>
      <c r="N502" s="50" t="n">
        <v>30</v>
      </c>
      <c r="O502" s="53" t="n">
        <v>28</v>
      </c>
      <c r="P502" s="48" t="s">
        <v>430</v>
      </c>
      <c r="Q502" s="50" t="n">
        <v>22</v>
      </c>
      <c r="R502" s="53" t="n">
        <f aca="false">IF(BW502=1,0,IFERROR(VLOOKUP(BU502,'Gebinde-Kategorie'!$A$5:$N$45,13,0)+0,0))</f>
        <v>140</v>
      </c>
      <c r="S502" s="54"/>
      <c r="T502" s="55"/>
      <c r="U502" s="55"/>
      <c r="V502" s="55"/>
      <c r="W502" s="48"/>
      <c r="X502" s="50"/>
      <c r="Y502" s="50"/>
      <c r="Z502" s="48" t="n">
        <f aca="false">IF(A502="","",IF(AND(Parameter!$B$21="Ja",ISNUMBER(W502)),W502,IF(BZ502="2+3",IF(ISNUMBER(SEARCH("grosser Artikel",BR502)),2,IFERROR(VLOOKUP(BU502,Parameter!$F$35:$G$64,2,0),2)),IF(OR(BZ502="Nein",BZ502=""),"-",BZ502))))</f>
        <v>3</v>
      </c>
      <c r="AA502" s="55"/>
      <c r="AB502" s="56"/>
      <c r="AC502" s="50" t="n">
        <f aca="false">AT502</f>
        <v>44</v>
      </c>
      <c r="AD502" s="50" t="n">
        <f aca="false">MAX(AT502,H502)</f>
        <v>44</v>
      </c>
      <c r="AE502" s="57"/>
      <c r="AF502" s="50" t="n">
        <f aca="false">IF(LEFT(Cockpit!$C$5,1)="A",H502,IF(CE502=1,CF502,IF(LEFT(Cockpit!$C$5,1)="B",AK502,MAX(AK502,H502))))</f>
        <v>25</v>
      </c>
      <c r="AG502" s="50" t="n">
        <f aca="false">IF(BW502=1,0,ROUNDUP(AF502/BV502,0))</f>
        <v>2</v>
      </c>
      <c r="AH502" s="52" t="n">
        <f aca="false">IF(CL502&gt;0,CL502*MAX(1,AF502/X502),IF(BW502=1,IF(AF502&lt;=0,0,CA502*MAX(1,IF(H502&gt;0,AF502/H502,1))),IF(R502&gt;0,AG502/R502,0))/MAX(0.1,N(Parameter!$M$21)))</f>
        <v>0.0142857142857143</v>
      </c>
      <c r="AI502" s="50" t="n">
        <f aca="false">AH502*BY502</f>
        <v>2.21428571428571</v>
      </c>
      <c r="AJ502" s="50" t="n">
        <f aca="false">AF502*G502</f>
        <v>300.5</v>
      </c>
      <c r="AK502" s="50" t="n">
        <f aca="false">ROUNDUP(MAX(J502/IF(CD502&gt;0,CD502,MAX(0.1,N(Cockpit!$C$6))),CG502)/BV502,0)*BV502</f>
        <v>44</v>
      </c>
      <c r="AL502" s="51" t="n">
        <f aca="false">IF(AI502&gt;0,J502/AI502,-1)</f>
        <v>13.5483870967742</v>
      </c>
      <c r="AM502" s="51" t="n">
        <f aca="false">IF(AND(OR(CC502="L1",CC502="L23",CC502="LIFT"),AI502&gt;0),SUMIFS($AI$7:$AI$1843,$CC$7:$CC$1843,CC502,$AL$7:$AL$1843,"&gt;"&amp;AL502)+SUMIFS($AI$7:$AI$1843,$CC$7:$CC$1843,CC502,$AL$7:$AL$1843,AL502,$BT$7:$BT$1843,"&lt;="&amp;BT502),"")</f>
        <v>2340.6217948718</v>
      </c>
      <c r="AN502" s="58" t="n">
        <f aca="false">IF(AM502="",0,MAX(0,MIN(1,(IF(CC502="L1",Parameter!$H$5,IF(CC502="L23",Parameter!$H$6+Parameter!$H$7,Parameter!$H$5+Parameter!$H$6+Parameter!$H$7))-(AM502-AI502))/AI502)))</f>
        <v>1</v>
      </c>
      <c r="AO502" s="50" t="n">
        <f aca="false">IF(LEFT(Cockpit!$I$5,1)="A",H502,IF(CE502=1,CF502,IF(LEFT(Cockpit!$I$5,1)="B",AT502,MAX(AT502,H502))))</f>
        <v>44</v>
      </c>
      <c r="AP502" s="50" t="n">
        <f aca="false">IF(BW502=1,0,ROUNDUP(AO502/BV502,0))</f>
        <v>2</v>
      </c>
      <c r="AQ502" s="52" t="n">
        <f aca="false">IF(CL502&gt;0,CL502*MAX(1,AO502/X502),IF(BW502=1,IF(AO502&lt;=0,0,CA502*MAX(1,IF(H502&gt;0,AO502/H502,1))),IF(R502&gt;0,AP502/R502,0))/MAX(0.1,N(Parameter!$M$21)))</f>
        <v>0.0142857142857143</v>
      </c>
      <c r="AR502" s="50" t="n">
        <f aca="false">AQ502*BY502</f>
        <v>2.21428571428571</v>
      </c>
      <c r="AS502" s="50" t="n">
        <f aca="false">AO502*G502</f>
        <v>528.88</v>
      </c>
      <c r="AT502" s="50" t="n">
        <f aca="false">ROUNDUP(MAX(J502/IF(CD502&gt;0,CD502,MAX(0.1,N(Cockpit!$I$6))),CG502)/BV502,0)*BV502</f>
        <v>44</v>
      </c>
      <c r="AU502" s="51" t="n">
        <f aca="false">IF(AR502&gt;0,J502/AR502,-1)</f>
        <v>13.5483870967742</v>
      </c>
      <c r="AV502" s="51" t="n">
        <f aca="false">IF(AND(OR(CC502="L1",CC502="L23",CC502="LIFT"),AR502&gt;0),SUMIFS($AR$7:$AR$1843,$CC$7:$CC$1843,CC502,$AU$7:$AU$1843,"&gt;"&amp;AU502)+SUMIFS($AR$7:$AR$1843,$CC$7:$CC$1843,CC502,$AU$7:$AU$1843,AU502,$BT$7:$BT$1843,"&lt;="&amp;BT502),"")</f>
        <v>3520.71840659341</v>
      </c>
      <c r="AW502" s="58" t="n">
        <f aca="false">IF(AV502="",0,MAX(0,MIN(1,(IF(CC502="L1",Parameter!$H$5,IF(CC502="L23",Parameter!$H$6+Parameter!$H$7,Parameter!$H$5+Parameter!$H$6+Parameter!$H$7))-(AV502-AR502))/AR502)))</f>
        <v>1</v>
      </c>
      <c r="AX502" s="50" t="n">
        <f aca="false">IF(LEFT(Cockpit!$O$5,1)="A",H502,IF(CE502=1,CF502,IF(LEFT(Cockpit!$O$5,1)="B",BC502,MAX(BC502,H502))))</f>
        <v>44</v>
      </c>
      <c r="AY502" s="50" t="n">
        <f aca="false">IF(BW502=1,0,ROUNDUP(AX502/BV502,0))</f>
        <v>2</v>
      </c>
      <c r="AZ502" s="52" t="n">
        <f aca="false">IF(CL502&gt;0,CL502*MAX(1,AX502/X502),IF(BW502=1,IF(AX502&lt;=0,0,CA502*MAX(1,IF(H502&gt;0,AX502/H502,1))),IF(R502&gt;0,AY502/R502,0))/MAX(0.1,N(Parameter!$M$21)))</f>
        <v>0.0142857142857143</v>
      </c>
      <c r="BA502" s="50" t="n">
        <f aca="false">AZ502*BY502</f>
        <v>2.21428571428571</v>
      </c>
      <c r="BB502" s="50" t="n">
        <f aca="false">AX502*G502</f>
        <v>528.88</v>
      </c>
      <c r="BC502" s="50" t="n">
        <f aca="false">ROUNDUP(MAX(J502/IF(CD502&gt;0,CD502,MAX(0.1,N(Cockpit!$O$6))),CG502)/BV502,0)*BV502</f>
        <v>44</v>
      </c>
      <c r="BD502" s="51" t="n">
        <f aca="false">IF(BA502&gt;0,J502/BA502,-1)</f>
        <v>13.5483870967742</v>
      </c>
      <c r="BE502" s="51" t="n">
        <f aca="false">IF(AND(OR(CC502="L1",CC502="L23",CC502="LIFT"),BA502&gt;0),SUMIFS($BA$7:$BA$1843,$CC$7:$CC$1843,CC502,$BD$7:$BD$1843,"&gt;"&amp;BD502)+SUMIFS($BA$7:$BA$1843,$CC$7:$CC$1843,CC502,$BD$7:$BD$1843,BD502,$BT$7:$BT$1843,"&lt;="&amp;BT502),"")</f>
        <v>3177.27289377289</v>
      </c>
      <c r="BF502" s="58" t="n">
        <f aca="false">IF(BE502="",0,MAX(0,MIN(1,(IF(CC502="L1",Parameter!$H$5,IF(CC502="L23",Parameter!$H$6+Parameter!$H$7,Parameter!$H$5+Parameter!$H$6+Parameter!$H$7))-(BE502-BA502))/BA502)))</f>
        <v>1</v>
      </c>
      <c r="BG502" s="48" t="str">
        <f aca="false">IF(AI502&lt;=0,"",IF(CC502="Aussen","Aussenlager",IF(CC502="-","Nicht im Lift",IF(AN502&gt;=1,"Lift",IF(AN502&lt;=0,"Aussenlager","teilweise")))))</f>
        <v>Lift</v>
      </c>
      <c r="BH502" s="48" t="str">
        <f aca="false">IF(AR502&lt;=0,"",IF(CC502="Aussen","Aussenlager",IF(CC502="-","Nicht im Lift",IF(AW502&gt;=1,"Lift",IF(AW502&lt;=0,"Aussenlager","teilweise")))))</f>
        <v>Lift</v>
      </c>
      <c r="BI502" s="48" t="str">
        <f aca="false">IF(BA502&lt;=0,"",IF(CC502="Aussen","Aussenlager",IF(CC502="-","Nicht im Lift",IF(BF502&gt;=1,"Lift",IF(BF502&lt;=0,"Aussenlager","teilweise")))))</f>
        <v>Lift</v>
      </c>
      <c r="BJ502" s="48" t="str">
        <f aca="false">IF(A502="","",IF(BS502=1,"Neu; ","")&amp;IF(AND(BS502=0,BN502&lt;0),"negativer Bestand (Export "&amp;BN502&amp;"); ","")&amp;IF(J502&lt;=0,"Kein Verbrauch; ","")&amp;IF(CL502&gt;0,"Lift "&amp;W502&amp;" lt. Liftbericht (Fach "&amp;X502&amp;" Stk); ",IF(BX502=1,"Gebinde geschätzt ("&amp;T502&amp;"); ",IF(BW502=1,"Lose – Tablare geschätzt; ","")))&amp;IF(H502&gt;AT502,"Überbestand "&amp;ROUND(H502-AT502,0)&amp;" Stk / CHF "&amp;ROUND((H502-AT502)*G502,0)&amp;"; ","")&amp;IF(AND(CE502=1,CF502&lt;CG502),"MAX &lt; MB+LG; ","")&amp;IF(AND(CK502&gt;0,CJ502*10&gt;CK502),"zu hoch für Tablar; ","")&amp;IF(AND(BS502=0,OR(CE502=1,AA502&lt;&gt;"",U502&lt;&gt;"",V502&lt;&gt;"",AB502&lt;&gt;"")),"manuell übersteuert; ","")&amp;IF(AND(BW502=0,R502=0),"Gebinde unbekannt / Stellmass fehlt; ","")&amp;IF(AND(BW502=0,N(V502)&lt;=0,N(Q502)&lt;=0),"Menge pro Gebinde fehlt (Ist = 1 Gebinde); ","")&amp;BR502)</f>
        <v/>
      </c>
      <c r="BK502" s="48"/>
      <c r="BL502" s="48"/>
      <c r="BM502" s="55"/>
      <c r="BN502" s="50" t="n">
        <v>0</v>
      </c>
      <c r="BO502" s="50" t="n">
        <v>25</v>
      </c>
      <c r="BP502" s="49" t="n">
        <v>36.4999999999999</v>
      </c>
      <c r="BQ502" s="50" t="n">
        <v>30</v>
      </c>
      <c r="BR502" s="48"/>
      <c r="BS502" s="53" t="n">
        <v>0</v>
      </c>
      <c r="BT502" s="53" t="n">
        <v>502</v>
      </c>
      <c r="BU502" s="48" t="str">
        <f aca="false">IF(U502&lt;&gt;"",UPPER(TRIM(U502)),IF(BX502=1,UPPER(VLOOKUP(T502,Parameter!$I$27:$K$29,2,0)),IF(P502="","LOSE",P502)))</f>
        <v>S22</v>
      </c>
      <c r="BV502" s="50" t="n">
        <f aca="false">IF(BU502="LOSE",1,IF(N(V502)&gt;0,V502,IF(BX502=1,MAX(1,N(VLOOKUP(T502,Parameter!$I$27:$K$29,3,0)),H502,N(N502)),IF(N(Q502)&gt;0,Q502,MAX(1,H502)))))</f>
        <v>22</v>
      </c>
      <c r="BW502" s="53" t="n">
        <f aca="false">IF(BU502="LOSE",1,0)</f>
        <v>0</v>
      </c>
      <c r="BX502" s="53" t="n">
        <f aca="false">IF(AND(U502="",OR(P502="",P502="LOSE"),T502&lt;&gt;"",N(S502)&lt;=0,ISNUMBER(MATCH(T502,Parameter!$I$27:$I$29,0))),1,0)</f>
        <v>0</v>
      </c>
      <c r="BY502" s="53" t="n">
        <f aca="false">IF(CL502&gt;0,INDEX(Parameter!$H$5:$H$7,W502)/INDEX(Parameter!$E$5:$E$7,W502),IF(AND(BW502=0,N(IFERROR(VLOOKUP(BU502,'Gebinde-Kategorie'!$A$5:$N$45,14,0),0))&gt;0),VLOOKUP(BU502,'Gebinde-Kategorie'!$A$5:$N$45,14,0)*10+Parameter!$M$23,Parameter!$M$24))</f>
        <v>155</v>
      </c>
      <c r="BZ502" s="48" t="str">
        <f aca="false">IF(AND(Parameter!$B$19="Ja",E502&lt;&gt;"",ISNUMBER(MATCH(E502,Parameter!$I$35:$I$52,0))),VLOOKUP(E502,Parameter!$I$35:$J$52,2,0),IFERROR(VLOOKUP(D502,Parameter!$A$35:$C$64,2,0),"Nein"))</f>
        <v>2+3</v>
      </c>
      <c r="CA502" s="52" t="n">
        <f aca="false">IF(BW502=0,0,IF(N(S502)&gt;0,S502,IFERROR(VLOOKUP(D502,Parameter!$A$35:$C$64,3,0)+0,0)))</f>
        <v>0</v>
      </c>
      <c r="CB502" s="48" t="n">
        <f aca="false">IF(AA502&lt;&gt;"",AA502,Z502)</f>
        <v>3</v>
      </c>
      <c r="CC502" s="48" t="str">
        <f aca="false">IF(OR(CB502=1,CB502=2,CB502=3),IF(Parameter!$E$27="Ja","LIFT",IF(CB502=1,"L1","L23")),IF(CB502="Aussen","Aussen","-"))</f>
        <v>LIFT</v>
      </c>
      <c r="CD502" s="59" t="n">
        <f aca="false">IF(N(AB502)&gt;0,AB502,0)</f>
        <v>0</v>
      </c>
      <c r="CE502" s="53" t="n">
        <f aca="false">IF(ISNUMBER(AE502),1,0)</f>
        <v>0</v>
      </c>
      <c r="CF502" s="50" t="n">
        <f aca="false">N(AE502)</f>
        <v>0</v>
      </c>
      <c r="CG502" s="50" t="n">
        <f aca="false">N(M502)+N(N502)</f>
        <v>32</v>
      </c>
      <c r="CH502" s="50" t="n">
        <f aca="false">ROUNDUP(H502/BV502,0)</f>
        <v>2</v>
      </c>
      <c r="CI502" s="50" t="n">
        <f aca="false">ROUNDUP(CF502/BV502,0)</f>
        <v>0</v>
      </c>
      <c r="CJ502" s="53" t="n">
        <f aca="false">IF(BW502=1,0,IFERROR(VLOOKUP(BU502,'Gebinde-Kategorie'!$A$5:$N$45,5,0)+0,0))</f>
        <v>8</v>
      </c>
      <c r="CK502" s="53" t="n">
        <f aca="false">IFERROR(IF(OR(CB502=1,CB502=2,CB502=3),N(INDEX(Parameter!$I$5:$I$7,CB502)),0),0)</f>
        <v>0</v>
      </c>
      <c r="CL502" s="52" t="n">
        <f aca="false">IF(AND(Parameter!$B$21="Ja",ISNUMBER(W502),N(X502)&gt;0),IFERROR(N(INDEX(Parameter!$L$5:$L$7,W502))*INDEX(Parameter!$E$5:$E$7,W502)*X502/SUMIFS($X$7:$X$1843,$W$7:$W$1843,W502),0),0)</f>
        <v>0</v>
      </c>
    </row>
    <row r="503" customFormat="false" ht="15" hidden="false" customHeight="false" outlineLevel="0" collapsed="false">
      <c r="A503" s="48" t="s">
        <v>1107</v>
      </c>
      <c r="B503" s="48" t="s">
        <v>1108</v>
      </c>
      <c r="C503" s="48" t="s">
        <v>168</v>
      </c>
      <c r="D503" s="48" t="s">
        <v>188</v>
      </c>
      <c r="E503" s="48" t="s">
        <v>189</v>
      </c>
      <c r="F503" s="48" t="s">
        <v>222</v>
      </c>
      <c r="G503" s="49" t="n">
        <v>2.38</v>
      </c>
      <c r="H503" s="50" t="n">
        <f aca="false">MAX(0,IF(AND(Parameter!$B$21="Ja",ISNUMBER(Y503)),Y503,IF(Parameter!$B$20="Jahresanfang 2025 + Export",BO503+BN503,BN503)))</f>
        <v>120</v>
      </c>
      <c r="I503" s="50" t="n">
        <f aca="false">H503*G503</f>
        <v>285.6</v>
      </c>
      <c r="J503" s="50" t="n">
        <f aca="false">BQ503*Parameter!$B$18</f>
        <v>0</v>
      </c>
      <c r="K503" s="51" t="n">
        <v>112.5</v>
      </c>
      <c r="L503" s="52" t="n">
        <v>0</v>
      </c>
      <c r="M503" s="50" t="n">
        <v>2</v>
      </c>
      <c r="N503" s="50" t="n">
        <v>50</v>
      </c>
      <c r="O503" s="53" t="n">
        <v>28</v>
      </c>
      <c r="P503" s="48" t="s">
        <v>332</v>
      </c>
      <c r="Q503" s="50" t="n">
        <v>106</v>
      </c>
      <c r="R503" s="53" t="n">
        <f aca="false">IF(BW503=1,0,IFERROR(VLOOKUP(BU503,'Gebinde-Kategorie'!$A$5:$N$45,13,0)+0,0))</f>
        <v>52</v>
      </c>
      <c r="S503" s="54"/>
      <c r="T503" s="55"/>
      <c r="U503" s="55"/>
      <c r="V503" s="55"/>
      <c r="W503" s="48"/>
      <c r="X503" s="50"/>
      <c r="Y503" s="50"/>
      <c r="Z503" s="48" t="n">
        <f aca="false">IF(A503="","",IF(AND(Parameter!$B$21="Ja",ISNUMBER(W503)),W503,IF(BZ503="2+3",IF(ISNUMBER(SEARCH("grosser Artikel",BR503)),2,IFERROR(VLOOKUP(BU503,Parameter!$F$35:$G$64,2,0),2)),IF(OR(BZ503="Nein",BZ503=""),"-",BZ503))))</f>
        <v>3</v>
      </c>
      <c r="AA503" s="55"/>
      <c r="AB503" s="56"/>
      <c r="AC503" s="50" t="n">
        <f aca="false">AT503</f>
        <v>106</v>
      </c>
      <c r="AD503" s="50" t="n">
        <f aca="false">MAX(AT503,H503)</f>
        <v>120</v>
      </c>
      <c r="AE503" s="57"/>
      <c r="AF503" s="50" t="n">
        <f aca="false">IF(LEFT(Cockpit!$C$5,1)="A",H503,IF(CE503=1,CF503,IF(LEFT(Cockpit!$C$5,1)="B",AK503,MAX(AK503,H503))))</f>
        <v>120</v>
      </c>
      <c r="AG503" s="50" t="n">
        <f aca="false">IF(BW503=1,0,ROUNDUP(AF503/BV503,0))</f>
        <v>2</v>
      </c>
      <c r="AH503" s="52" t="n">
        <f aca="false">IF(CL503&gt;0,CL503*MAX(1,AF503/X503),IF(BW503=1,IF(AF503&lt;=0,0,CA503*MAX(1,IF(H503&gt;0,AF503/H503,1))),IF(R503&gt;0,AG503/R503,0))/MAX(0.1,N(Parameter!$M$21)))</f>
        <v>0.0384615384615385</v>
      </c>
      <c r="AI503" s="50" t="n">
        <f aca="false">AH503*BY503</f>
        <v>5.96153846153846</v>
      </c>
      <c r="AJ503" s="50" t="n">
        <f aca="false">AF503*G503</f>
        <v>285.6</v>
      </c>
      <c r="AK503" s="50" t="n">
        <f aca="false">ROUNDUP(MAX(J503/IF(CD503&gt;0,CD503,MAX(0.1,N(Cockpit!$C$6))),CG503)/BV503,0)*BV503</f>
        <v>106</v>
      </c>
      <c r="AL503" s="51" t="n">
        <f aca="false">IF(AI503&gt;0,J503/AI503,-1)</f>
        <v>0</v>
      </c>
      <c r="AM503" s="51" t="n">
        <f aca="false">IF(AND(OR(CC503="L1",CC503="L23",CC503="LIFT"),AI503&gt;0),SUMIFS($AI$7:$AI$1843,$CC$7:$CC$1843,CC503,$AL$7:$AL$1843,"&gt;"&amp;AL503)+SUMIFS($AI$7:$AI$1843,$CC$7:$CC$1843,CC503,$AL$7:$AL$1843,AL503,$BT$7:$BT$1843,"&lt;="&amp;BT503),"")</f>
        <v>28259.8614318826</v>
      </c>
      <c r="AN503" s="58" t="n">
        <f aca="false">IF(AM503="",0,MAX(0,MIN(1,(IF(CC503="L1",Parameter!$H$5,IF(CC503="L23",Parameter!$H$6+Parameter!$H$7,Parameter!$H$5+Parameter!$H$6+Parameter!$H$7))-(AM503-AI503))/AI503)))</f>
        <v>1</v>
      </c>
      <c r="AO503" s="50" t="n">
        <f aca="false">IF(LEFT(Cockpit!$I$5,1)="A",H503,IF(CE503=1,CF503,IF(LEFT(Cockpit!$I$5,1)="B",AT503,MAX(AT503,H503))))</f>
        <v>120</v>
      </c>
      <c r="AP503" s="50" t="n">
        <f aca="false">IF(BW503=1,0,ROUNDUP(AO503/BV503,0))</f>
        <v>2</v>
      </c>
      <c r="AQ503" s="52" t="n">
        <f aca="false">IF(CL503&gt;0,CL503*MAX(1,AO503/X503),IF(BW503=1,IF(AO503&lt;=0,0,CA503*MAX(1,IF(H503&gt;0,AO503/H503,1))),IF(R503&gt;0,AP503/R503,0))/MAX(0.1,N(Parameter!$M$21)))</f>
        <v>0.0384615384615385</v>
      </c>
      <c r="AR503" s="50" t="n">
        <f aca="false">AQ503*BY503</f>
        <v>5.96153846153846</v>
      </c>
      <c r="AS503" s="50" t="n">
        <f aca="false">AO503*G503</f>
        <v>285.6</v>
      </c>
      <c r="AT503" s="50" t="n">
        <f aca="false">ROUNDUP(MAX(J503/IF(CD503&gt;0,CD503,MAX(0.1,N(Cockpit!$I$6))),CG503)/BV503,0)*BV503</f>
        <v>106</v>
      </c>
      <c r="AU503" s="51" t="n">
        <f aca="false">IF(AR503&gt;0,J503/AR503,-1)</f>
        <v>0</v>
      </c>
      <c r="AV503" s="51" t="n">
        <f aca="false">IF(AND(OR(CC503="L1",CC503="L23",CC503="LIFT"),AR503&gt;0),SUMIFS($AR$7:$AR$1843,$CC$7:$CC$1843,CC503,$AU$7:$AU$1843,"&gt;"&amp;AU503)+SUMIFS($AR$7:$AR$1843,$CC$7:$CC$1843,CC503,$AU$7:$AU$1843,AU503,$BT$7:$BT$1843,"&lt;="&amp;BT503),"")</f>
        <v>39572.7669491525</v>
      </c>
      <c r="AW503" s="58" t="n">
        <f aca="false">IF(AV503="",0,MAX(0,MIN(1,(IF(CC503="L1",Parameter!$H$5,IF(CC503="L23",Parameter!$H$6+Parameter!$H$7,Parameter!$H$5+Parameter!$H$6+Parameter!$H$7))-(AV503-AR503))/AR503)))</f>
        <v>0</v>
      </c>
      <c r="AX503" s="50" t="n">
        <f aca="false">IF(LEFT(Cockpit!$O$5,1)="A",H503,IF(CE503=1,CF503,IF(LEFT(Cockpit!$O$5,1)="B",BC503,MAX(BC503,H503))))</f>
        <v>120</v>
      </c>
      <c r="AY503" s="50" t="n">
        <f aca="false">IF(BW503=1,0,ROUNDUP(AX503/BV503,0))</f>
        <v>2</v>
      </c>
      <c r="AZ503" s="52" t="n">
        <f aca="false">IF(CL503&gt;0,CL503*MAX(1,AX503/X503),IF(BW503=1,IF(AX503&lt;=0,0,CA503*MAX(1,IF(H503&gt;0,AX503/H503,1))),IF(R503&gt;0,AY503/R503,0))/MAX(0.1,N(Parameter!$M$21)))</f>
        <v>0.0384615384615385</v>
      </c>
      <c r="BA503" s="50" t="n">
        <f aca="false">AZ503*BY503</f>
        <v>5.96153846153846</v>
      </c>
      <c r="BB503" s="50" t="n">
        <f aca="false">AX503*G503</f>
        <v>285.6</v>
      </c>
      <c r="BC503" s="50" t="n">
        <f aca="false">ROUNDUP(MAX(J503/IF(CD503&gt;0,CD503,MAX(0.1,N(Cockpit!$O$6))),CG503)/BV503,0)*BV503</f>
        <v>106</v>
      </c>
      <c r="BD503" s="51" t="n">
        <f aca="false">IF(BA503&gt;0,J503/BA503,-1)</f>
        <v>0</v>
      </c>
      <c r="BE503" s="51" t="n">
        <f aca="false">IF(AND(OR(CC503="L1",CC503="L23",CC503="LIFT"),BA503&gt;0),SUMIFS($BA$7:$BA$1843,$CC$7:$CC$1843,CC503,$BD$7:$BD$1843,"&gt;"&amp;BD503)+SUMIFS($BA$7:$BA$1843,$CC$7:$CC$1843,CC503,$BD$7:$BD$1843,BD503,$BT$7:$BT$1843,"&lt;="&amp;BT503),"")</f>
        <v>36247.7789910184</v>
      </c>
      <c r="BF503" s="58" t="n">
        <f aca="false">IF(BE503="",0,MAX(0,MIN(1,(IF(CC503="L1",Parameter!$H$5,IF(CC503="L23",Parameter!$H$6+Parameter!$H$7,Parameter!$H$5+Parameter!$H$6+Parameter!$H$7))-(BE503-BA503))/BA503)))</f>
        <v>0</v>
      </c>
      <c r="BG503" s="48" t="str">
        <f aca="false">IF(AI503&lt;=0,"",IF(CC503="Aussen","Aussenlager",IF(CC503="-","Nicht im Lift",IF(AN503&gt;=1,"Lift",IF(AN503&lt;=0,"Aussenlager","teilweise")))))</f>
        <v>Lift</v>
      </c>
      <c r="BH503" s="48" t="str">
        <f aca="false">IF(AR503&lt;=0,"",IF(CC503="Aussen","Aussenlager",IF(CC503="-","Nicht im Lift",IF(AW503&gt;=1,"Lift",IF(AW503&lt;=0,"Aussenlager","teilweise")))))</f>
        <v>Aussenlager</v>
      </c>
      <c r="BI503" s="48" t="str">
        <f aca="false">IF(BA503&lt;=0,"",IF(CC503="Aussen","Aussenlager",IF(CC503="-","Nicht im Lift",IF(BF503&gt;=1,"Lift",IF(BF503&lt;=0,"Aussenlager","teilweise")))))</f>
        <v>Aussenlager</v>
      </c>
      <c r="BJ503" s="48" t="str">
        <f aca="false">IF(A503="","",IF(BS503=1,"Neu; ","")&amp;IF(AND(BS503=0,BN503&lt;0),"negativer Bestand (Export "&amp;BN503&amp;"); ","")&amp;IF(J503&lt;=0,"Kein Verbrauch; ","")&amp;IF(CL503&gt;0,"Lift "&amp;W503&amp;" lt. Liftbericht (Fach "&amp;X503&amp;" Stk); ",IF(BX503=1,"Gebinde geschätzt ("&amp;T503&amp;"); ",IF(BW503=1,"Lose – Tablare geschätzt; ","")))&amp;IF(H503&gt;AT503,"Überbestand "&amp;ROUND(H503-AT503,0)&amp;" Stk / CHF "&amp;ROUND((H503-AT503)*G503,0)&amp;"; ","")&amp;IF(AND(CE503=1,CF503&lt;CG503),"MAX &lt; MB+LG; ","")&amp;IF(AND(CK503&gt;0,CJ503*10&gt;CK503),"zu hoch für Tablar; ","")&amp;IF(AND(BS503=0,OR(CE503=1,AA503&lt;&gt;"",U503&lt;&gt;"",V503&lt;&gt;"",AB503&lt;&gt;"")),"manuell übersteuert; ","")&amp;IF(AND(BW503=0,R503=0),"Gebinde unbekannt / Stellmass fehlt; ","")&amp;IF(AND(BW503=0,N(V503)&lt;=0,N(Q503)&lt;=0),"Menge pro Gebinde fehlt (Ist = 1 Gebinde); ","")&amp;BR503)</f>
        <v>Kein Verbrauch; Überbestand 14 Stk / CHF 33; Neu</v>
      </c>
      <c r="BK503" s="48"/>
      <c r="BL503" s="48"/>
      <c r="BM503" s="55"/>
      <c r="BN503" s="50" t="n">
        <v>15</v>
      </c>
      <c r="BO503" s="50" t="n">
        <v>105</v>
      </c>
      <c r="BP503" s="49" t="n">
        <v>35.7</v>
      </c>
      <c r="BQ503" s="50" t="n">
        <v>0</v>
      </c>
      <c r="BR503" s="48" t="s">
        <v>630</v>
      </c>
      <c r="BS503" s="53" t="n">
        <v>0</v>
      </c>
      <c r="BT503" s="53" t="n">
        <v>503</v>
      </c>
      <c r="BU503" s="48" t="str">
        <f aca="false">IF(U503&lt;&gt;"",UPPER(TRIM(U503)),IF(BX503=1,UPPER(VLOOKUP(T503,Parameter!$I$27:$K$29,2,0)),IF(P503="","LOSE",P503)))</f>
        <v>S41</v>
      </c>
      <c r="BV503" s="50" t="n">
        <f aca="false">IF(BU503="LOSE",1,IF(N(V503)&gt;0,V503,IF(BX503=1,MAX(1,N(VLOOKUP(T503,Parameter!$I$27:$K$29,3,0)),H503,N(N503)),IF(N(Q503)&gt;0,Q503,MAX(1,H503)))))</f>
        <v>106</v>
      </c>
      <c r="BW503" s="53" t="n">
        <f aca="false">IF(BU503="LOSE",1,0)</f>
        <v>0</v>
      </c>
      <c r="BX503" s="53" t="n">
        <f aca="false">IF(AND(U503="",OR(P503="",P503="LOSE"),T503&lt;&gt;"",N(S503)&lt;=0,ISNUMBER(MATCH(T503,Parameter!$I$27:$I$29,0))),1,0)</f>
        <v>0</v>
      </c>
      <c r="BY503" s="53" t="n">
        <f aca="false">IF(CL503&gt;0,INDEX(Parameter!$H$5:$H$7,W503)/INDEX(Parameter!$E$5:$E$7,W503),IF(AND(BW503=0,N(IFERROR(VLOOKUP(BU503,'Gebinde-Kategorie'!$A$5:$N$45,14,0),0))&gt;0),VLOOKUP(BU503,'Gebinde-Kategorie'!$A$5:$N$45,14,0)*10+Parameter!$M$23,Parameter!$M$24))</f>
        <v>155</v>
      </c>
      <c r="BZ503" s="48" t="str">
        <f aca="false">IF(AND(Parameter!$B$19="Ja",E503&lt;&gt;"",ISNUMBER(MATCH(E503,Parameter!$I$35:$I$52,0))),VLOOKUP(E503,Parameter!$I$35:$J$52,2,0),IFERROR(VLOOKUP(D503,Parameter!$A$35:$C$64,2,0),"Nein"))</f>
        <v>2+3</v>
      </c>
      <c r="CA503" s="52" t="n">
        <f aca="false">IF(BW503=0,0,IF(N(S503)&gt;0,S503,IFERROR(VLOOKUP(D503,Parameter!$A$35:$C$64,3,0)+0,0)))</f>
        <v>0</v>
      </c>
      <c r="CB503" s="48" t="n">
        <f aca="false">IF(AA503&lt;&gt;"",AA503,Z503)</f>
        <v>3</v>
      </c>
      <c r="CC503" s="48" t="str">
        <f aca="false">IF(OR(CB503=1,CB503=2,CB503=3),IF(Parameter!$E$27="Ja","LIFT",IF(CB503=1,"L1","L23")),IF(CB503="Aussen","Aussen","-"))</f>
        <v>LIFT</v>
      </c>
      <c r="CD503" s="59" t="n">
        <f aca="false">IF(N(AB503)&gt;0,AB503,0)</f>
        <v>0</v>
      </c>
      <c r="CE503" s="53" t="n">
        <f aca="false">IF(ISNUMBER(AE503),1,0)</f>
        <v>0</v>
      </c>
      <c r="CF503" s="50" t="n">
        <f aca="false">N(AE503)</f>
        <v>0</v>
      </c>
      <c r="CG503" s="50" t="n">
        <f aca="false">N(M503)+N(N503)</f>
        <v>52</v>
      </c>
      <c r="CH503" s="50" t="n">
        <f aca="false">ROUNDUP(H503/BV503,0)</f>
        <v>2</v>
      </c>
      <c r="CI503" s="50" t="n">
        <f aca="false">ROUNDUP(CF503/BV503,0)</f>
        <v>0</v>
      </c>
      <c r="CJ503" s="53" t="n">
        <f aca="false">IF(BW503=1,0,IFERROR(VLOOKUP(BU503,'Gebinde-Kategorie'!$A$5:$N$45,5,0)+0,0))</f>
        <v>11</v>
      </c>
      <c r="CK503" s="53" t="n">
        <f aca="false">IFERROR(IF(OR(CB503=1,CB503=2,CB503=3),N(INDEX(Parameter!$I$5:$I$7,CB503)),0),0)</f>
        <v>0</v>
      </c>
      <c r="CL503" s="52" t="n">
        <f aca="false">IF(AND(Parameter!$B$21="Ja",ISNUMBER(W503),N(X503)&gt;0),IFERROR(N(INDEX(Parameter!$L$5:$L$7,W503))*INDEX(Parameter!$E$5:$E$7,W503)*X503/SUMIFS($X$7:$X$1843,$W$7:$W$1843,W503),0),0)</f>
        <v>0</v>
      </c>
    </row>
    <row r="504" customFormat="false" ht="15" hidden="false" customHeight="false" outlineLevel="0" collapsed="false">
      <c r="A504" s="48" t="s">
        <v>1109</v>
      </c>
      <c r="B504" s="48" t="s">
        <v>1110</v>
      </c>
      <c r="C504" s="48" t="s">
        <v>168</v>
      </c>
      <c r="D504" s="48" t="s">
        <v>188</v>
      </c>
      <c r="E504" s="48" t="s">
        <v>189</v>
      </c>
      <c r="F504" s="48" t="s">
        <v>222</v>
      </c>
      <c r="G504" s="49" t="n">
        <v>0.21</v>
      </c>
      <c r="H504" s="50" t="n">
        <f aca="false">MAX(0,IF(AND(Parameter!$B$21="Ja",ISNUMBER(Y504)),Y504,IF(Parameter!$B$20="Jahresanfang 2025 + Export",BO504+BN504,BN504)))</f>
        <v>1570</v>
      </c>
      <c r="I504" s="50" t="n">
        <f aca="false">H504*G504</f>
        <v>329.7</v>
      </c>
      <c r="J504" s="50" t="n">
        <f aca="false">BQ504*Parameter!$B$18</f>
        <v>0</v>
      </c>
      <c r="K504" s="51" t="n">
        <v>1200</v>
      </c>
      <c r="L504" s="52" t="n">
        <v>0</v>
      </c>
      <c r="M504" s="50" t="n">
        <v>0</v>
      </c>
      <c r="N504" s="50" t="n">
        <v>1</v>
      </c>
      <c r="O504" s="53" t="n">
        <v>14</v>
      </c>
      <c r="P504" s="48" t="s">
        <v>430</v>
      </c>
      <c r="Q504" s="50" t="n">
        <v>8000</v>
      </c>
      <c r="R504" s="53" t="n">
        <f aca="false">IF(BW504=1,0,IFERROR(VLOOKUP(BU504,'Gebinde-Kategorie'!$A$5:$N$45,13,0)+0,0))</f>
        <v>140</v>
      </c>
      <c r="S504" s="54"/>
      <c r="T504" s="55"/>
      <c r="U504" s="55"/>
      <c r="V504" s="55"/>
      <c r="W504" s="48"/>
      <c r="X504" s="50"/>
      <c r="Y504" s="50"/>
      <c r="Z504" s="48" t="n">
        <f aca="false">IF(A504="","",IF(AND(Parameter!$B$21="Ja",ISNUMBER(W504)),W504,IF(BZ504="2+3",IF(ISNUMBER(SEARCH("grosser Artikel",BR504)),2,IFERROR(VLOOKUP(BU504,Parameter!$F$35:$G$64,2,0),2)),IF(OR(BZ504="Nein",BZ504=""),"-",BZ504))))</f>
        <v>3</v>
      </c>
      <c r="AA504" s="55"/>
      <c r="AB504" s="56"/>
      <c r="AC504" s="50" t="n">
        <f aca="false">AT504</f>
        <v>8000</v>
      </c>
      <c r="AD504" s="50" t="n">
        <f aca="false">MAX(AT504,H504)</f>
        <v>8000</v>
      </c>
      <c r="AE504" s="57"/>
      <c r="AF504" s="50" t="n">
        <f aca="false">IF(LEFT(Cockpit!$C$5,1)="A",H504,IF(CE504=1,CF504,IF(LEFT(Cockpit!$C$5,1)="B",AK504,MAX(AK504,H504))))</f>
        <v>1570</v>
      </c>
      <c r="AG504" s="50" t="n">
        <f aca="false">IF(BW504=1,0,ROUNDUP(AF504/BV504,0))</f>
        <v>1</v>
      </c>
      <c r="AH504" s="52" t="n">
        <f aca="false">IF(CL504&gt;0,CL504*MAX(1,AF504/X504),IF(BW504=1,IF(AF504&lt;=0,0,CA504*MAX(1,IF(H504&gt;0,AF504/H504,1))),IF(R504&gt;0,AG504/R504,0))/MAX(0.1,N(Parameter!$M$21)))</f>
        <v>0.00714285714285714</v>
      </c>
      <c r="AI504" s="50" t="n">
        <f aca="false">AH504*BY504</f>
        <v>1.10714285714286</v>
      </c>
      <c r="AJ504" s="50" t="n">
        <f aca="false">AF504*G504</f>
        <v>329.7</v>
      </c>
      <c r="AK504" s="50" t="n">
        <f aca="false">ROUNDUP(MAX(J504/IF(CD504&gt;0,CD504,MAX(0.1,N(Cockpit!$C$6))),CG504)/BV504,0)*BV504</f>
        <v>8000</v>
      </c>
      <c r="AL504" s="51" t="n">
        <f aca="false">IF(AI504&gt;0,J504/AI504,-1)</f>
        <v>0</v>
      </c>
      <c r="AM504" s="51" t="n">
        <f aca="false">IF(AND(OR(CC504="L1",CC504="L23",CC504="LIFT"),AI504&gt;0),SUMIFS($AI$7:$AI$1843,$CC$7:$CC$1843,CC504,$AL$7:$AL$1843,"&gt;"&amp;AL504)+SUMIFS($AI$7:$AI$1843,$CC$7:$CC$1843,CC504,$AL$7:$AL$1843,AL504,$BT$7:$BT$1843,"&lt;="&amp;BT504),"")</f>
        <v>28260.9685747398</v>
      </c>
      <c r="AN504" s="58" t="n">
        <f aca="false">IF(AM504="",0,MAX(0,MIN(1,(IF(CC504="L1",Parameter!$H$5,IF(CC504="L23",Parameter!$H$6+Parameter!$H$7,Parameter!$H$5+Parameter!$H$6+Parameter!$H$7))-(AM504-AI504))/AI504)))</f>
        <v>1</v>
      </c>
      <c r="AO504" s="50" t="n">
        <f aca="false">IF(LEFT(Cockpit!$I$5,1)="A",H504,IF(CE504=1,CF504,IF(LEFT(Cockpit!$I$5,1)="B",AT504,MAX(AT504,H504))))</f>
        <v>8000</v>
      </c>
      <c r="AP504" s="50" t="n">
        <f aca="false">IF(BW504=1,0,ROUNDUP(AO504/BV504,0))</f>
        <v>1</v>
      </c>
      <c r="AQ504" s="52" t="n">
        <f aca="false">IF(CL504&gt;0,CL504*MAX(1,AO504/X504),IF(BW504=1,IF(AO504&lt;=0,0,CA504*MAX(1,IF(H504&gt;0,AO504/H504,1))),IF(R504&gt;0,AP504/R504,0))/MAX(0.1,N(Parameter!$M$21)))</f>
        <v>0.00714285714285714</v>
      </c>
      <c r="AR504" s="50" t="n">
        <f aca="false">AQ504*BY504</f>
        <v>1.10714285714286</v>
      </c>
      <c r="AS504" s="50" t="n">
        <f aca="false">AO504*G504</f>
        <v>1680</v>
      </c>
      <c r="AT504" s="50" t="n">
        <f aca="false">ROUNDUP(MAX(J504/IF(CD504&gt;0,CD504,MAX(0.1,N(Cockpit!$I$6))),CG504)/BV504,0)*BV504</f>
        <v>8000</v>
      </c>
      <c r="AU504" s="51" t="n">
        <f aca="false">IF(AR504&gt;0,J504/AR504,-1)</f>
        <v>0</v>
      </c>
      <c r="AV504" s="51" t="n">
        <f aca="false">IF(AND(OR(CC504="L1",CC504="L23",CC504="LIFT"),AR504&gt;0),SUMIFS($AR$7:$AR$1843,$CC$7:$CC$1843,CC504,$AU$7:$AU$1843,"&gt;"&amp;AU504)+SUMIFS($AR$7:$AR$1843,$CC$7:$CC$1843,CC504,$AU$7:$AU$1843,AU504,$BT$7:$BT$1843,"&lt;="&amp;BT504),"")</f>
        <v>39573.8740920097</v>
      </c>
      <c r="AW504" s="58" t="n">
        <f aca="false">IF(AV504="",0,MAX(0,MIN(1,(IF(CC504="L1",Parameter!$H$5,IF(CC504="L23",Parameter!$H$6+Parameter!$H$7,Parameter!$H$5+Parameter!$H$6+Parameter!$H$7))-(AV504-AR504))/AR504)))</f>
        <v>0</v>
      </c>
      <c r="AX504" s="50" t="n">
        <f aca="false">IF(LEFT(Cockpit!$O$5,1)="A",H504,IF(CE504=1,CF504,IF(LEFT(Cockpit!$O$5,1)="B",BC504,MAX(BC504,H504))))</f>
        <v>8000</v>
      </c>
      <c r="AY504" s="50" t="n">
        <f aca="false">IF(BW504=1,0,ROUNDUP(AX504/BV504,0))</f>
        <v>1</v>
      </c>
      <c r="AZ504" s="52" t="n">
        <f aca="false">IF(CL504&gt;0,CL504*MAX(1,AX504/X504),IF(BW504=1,IF(AX504&lt;=0,0,CA504*MAX(1,IF(H504&gt;0,AX504/H504,1))),IF(R504&gt;0,AY504/R504,0))/MAX(0.1,N(Parameter!$M$21)))</f>
        <v>0.00714285714285714</v>
      </c>
      <c r="BA504" s="50" t="n">
        <f aca="false">AZ504*BY504</f>
        <v>1.10714285714286</v>
      </c>
      <c r="BB504" s="50" t="n">
        <f aca="false">AX504*G504</f>
        <v>1680</v>
      </c>
      <c r="BC504" s="50" t="n">
        <f aca="false">ROUNDUP(MAX(J504/IF(CD504&gt;0,CD504,MAX(0.1,N(Cockpit!$O$6))),CG504)/BV504,0)*BV504</f>
        <v>8000</v>
      </c>
      <c r="BD504" s="51" t="n">
        <f aca="false">IF(BA504&gt;0,J504/BA504,-1)</f>
        <v>0</v>
      </c>
      <c r="BE504" s="51" t="n">
        <f aca="false">IF(AND(OR(CC504="L1",CC504="L23",CC504="LIFT"),BA504&gt;0),SUMIFS($BA$7:$BA$1843,$CC$7:$CC$1843,CC504,$BD$7:$BD$1843,"&gt;"&amp;BD504)+SUMIFS($BA$7:$BA$1843,$CC$7:$CC$1843,CC504,$BD$7:$BD$1843,BD504,$BT$7:$BT$1843,"&lt;="&amp;BT504),"")</f>
        <v>36248.8861338755</v>
      </c>
      <c r="BF504" s="58" t="n">
        <f aca="false">IF(BE504="",0,MAX(0,MIN(1,(IF(CC504="L1",Parameter!$H$5,IF(CC504="L23",Parameter!$H$6+Parameter!$H$7,Parameter!$H$5+Parameter!$H$6+Parameter!$H$7))-(BE504-BA504))/BA504)))</f>
        <v>0</v>
      </c>
      <c r="BG504" s="48" t="str">
        <f aca="false">IF(AI504&lt;=0,"",IF(CC504="Aussen","Aussenlager",IF(CC504="-","Nicht im Lift",IF(AN504&gt;=1,"Lift",IF(AN504&lt;=0,"Aussenlager","teilweise")))))</f>
        <v>Lift</v>
      </c>
      <c r="BH504" s="48" t="str">
        <f aca="false">IF(AR504&lt;=0,"",IF(CC504="Aussen","Aussenlager",IF(CC504="-","Nicht im Lift",IF(AW504&gt;=1,"Lift",IF(AW504&lt;=0,"Aussenlager","teilweise")))))</f>
        <v>Aussenlager</v>
      </c>
      <c r="BI504" s="48" t="str">
        <f aca="false">IF(BA504&lt;=0,"",IF(CC504="Aussen","Aussenlager",IF(CC504="-","Nicht im Lift",IF(BF504&gt;=1,"Lift",IF(BF504&lt;=0,"Aussenlager","teilweise")))))</f>
        <v>Aussenlager</v>
      </c>
      <c r="BJ504" s="48" t="str">
        <f aca="false">IF(A504="","",IF(BS504=1,"Neu; ","")&amp;IF(AND(BS504=0,BN504&lt;0),"negativer Bestand (Export "&amp;BN504&amp;"); ","")&amp;IF(J504&lt;=0,"Kein Verbrauch; ","")&amp;IF(CL504&gt;0,"Lift "&amp;W504&amp;" lt. Liftbericht (Fach "&amp;X504&amp;" Stk); ",IF(BX504=1,"Gebinde geschätzt ("&amp;T504&amp;"); ",IF(BW504=1,"Lose – Tablare geschätzt; ","")))&amp;IF(H504&gt;AT504,"Überbestand "&amp;ROUND(H504-AT504,0)&amp;" Stk / CHF "&amp;ROUND((H504-AT504)*G504,0)&amp;"; ","")&amp;IF(AND(CE504=1,CF504&lt;CG504),"MAX &lt; MB+LG; ","")&amp;IF(AND(CK504&gt;0,CJ504*10&gt;CK504),"zu hoch für Tablar; ","")&amp;IF(AND(BS504=0,OR(CE504=1,AA504&lt;&gt;"",U504&lt;&gt;"",V504&lt;&gt;"",AB504&lt;&gt;"")),"manuell übersteuert; ","")&amp;IF(AND(BW504=0,R504=0),"Gebinde unbekannt / Stellmass fehlt; ","")&amp;IF(AND(BW504=0,N(V504)&lt;=0,N(Q504)&lt;=0),"Menge pro Gebinde fehlt (Ist = 1 Gebinde); ","")&amp;BR504)</f>
        <v>Kein Verbrauch; </v>
      </c>
      <c r="BK504" s="48"/>
      <c r="BL504" s="48"/>
      <c r="BM504" s="55"/>
      <c r="BN504" s="50" t="n">
        <v>170</v>
      </c>
      <c r="BO504" s="50" t="n">
        <v>1400</v>
      </c>
      <c r="BP504" s="49" t="n">
        <v>35.7</v>
      </c>
      <c r="BQ504" s="50" t="n">
        <v>0</v>
      </c>
      <c r="BR504" s="48"/>
      <c r="BS504" s="53" t="n">
        <v>0</v>
      </c>
      <c r="BT504" s="53" t="n">
        <v>504</v>
      </c>
      <c r="BU504" s="48" t="str">
        <f aca="false">IF(U504&lt;&gt;"",UPPER(TRIM(U504)),IF(BX504=1,UPPER(VLOOKUP(T504,Parameter!$I$27:$K$29,2,0)),IF(P504="","LOSE",P504)))</f>
        <v>S22</v>
      </c>
      <c r="BV504" s="50" t="n">
        <f aca="false">IF(BU504="LOSE",1,IF(N(V504)&gt;0,V504,IF(BX504=1,MAX(1,N(VLOOKUP(T504,Parameter!$I$27:$K$29,3,0)),H504,N(N504)),IF(N(Q504)&gt;0,Q504,MAX(1,H504)))))</f>
        <v>8000</v>
      </c>
      <c r="BW504" s="53" t="n">
        <f aca="false">IF(BU504="LOSE",1,0)</f>
        <v>0</v>
      </c>
      <c r="BX504" s="53" t="n">
        <f aca="false">IF(AND(U504="",OR(P504="",P504="LOSE"),T504&lt;&gt;"",N(S504)&lt;=0,ISNUMBER(MATCH(T504,Parameter!$I$27:$I$29,0))),1,0)</f>
        <v>0</v>
      </c>
      <c r="BY504" s="53" t="n">
        <f aca="false">IF(CL504&gt;0,INDEX(Parameter!$H$5:$H$7,W504)/INDEX(Parameter!$E$5:$E$7,W504),IF(AND(BW504=0,N(IFERROR(VLOOKUP(BU504,'Gebinde-Kategorie'!$A$5:$N$45,14,0),0))&gt;0),VLOOKUP(BU504,'Gebinde-Kategorie'!$A$5:$N$45,14,0)*10+Parameter!$M$23,Parameter!$M$24))</f>
        <v>155</v>
      </c>
      <c r="BZ504" s="48" t="str">
        <f aca="false">IF(AND(Parameter!$B$19="Ja",E504&lt;&gt;"",ISNUMBER(MATCH(E504,Parameter!$I$35:$I$52,0))),VLOOKUP(E504,Parameter!$I$35:$J$52,2,0),IFERROR(VLOOKUP(D504,Parameter!$A$35:$C$64,2,0),"Nein"))</f>
        <v>2+3</v>
      </c>
      <c r="CA504" s="52" t="n">
        <f aca="false">IF(BW504=0,0,IF(N(S504)&gt;0,S504,IFERROR(VLOOKUP(D504,Parameter!$A$35:$C$64,3,0)+0,0)))</f>
        <v>0</v>
      </c>
      <c r="CB504" s="48" t="n">
        <f aca="false">IF(AA504&lt;&gt;"",AA504,Z504)</f>
        <v>3</v>
      </c>
      <c r="CC504" s="48" t="str">
        <f aca="false">IF(OR(CB504=1,CB504=2,CB504=3),IF(Parameter!$E$27="Ja","LIFT",IF(CB504=1,"L1","L23")),IF(CB504="Aussen","Aussen","-"))</f>
        <v>LIFT</v>
      </c>
      <c r="CD504" s="59" t="n">
        <f aca="false">IF(N(AB504)&gt;0,AB504,0)</f>
        <v>0</v>
      </c>
      <c r="CE504" s="53" t="n">
        <f aca="false">IF(ISNUMBER(AE504),1,0)</f>
        <v>0</v>
      </c>
      <c r="CF504" s="50" t="n">
        <f aca="false">N(AE504)</f>
        <v>0</v>
      </c>
      <c r="CG504" s="50" t="n">
        <f aca="false">N(M504)+N(N504)</f>
        <v>1</v>
      </c>
      <c r="CH504" s="50" t="n">
        <f aca="false">ROUNDUP(H504/BV504,0)</f>
        <v>1</v>
      </c>
      <c r="CI504" s="50" t="n">
        <f aca="false">ROUNDUP(CF504/BV504,0)</f>
        <v>0</v>
      </c>
      <c r="CJ504" s="53" t="n">
        <f aca="false">IF(BW504=1,0,IFERROR(VLOOKUP(BU504,'Gebinde-Kategorie'!$A$5:$N$45,5,0)+0,0))</f>
        <v>8</v>
      </c>
      <c r="CK504" s="53" t="n">
        <f aca="false">IFERROR(IF(OR(CB504=1,CB504=2,CB504=3),N(INDEX(Parameter!$I$5:$I$7,CB504)),0),0)</f>
        <v>0</v>
      </c>
      <c r="CL504" s="52" t="n">
        <f aca="false">IF(AND(Parameter!$B$21="Ja",ISNUMBER(W504),N(X504)&gt;0),IFERROR(N(INDEX(Parameter!$L$5:$L$7,W504))*INDEX(Parameter!$E$5:$E$7,W504)*X504/SUMIFS($X$7:$X$1843,$W$7:$W$1843,W504),0),0)</f>
        <v>0</v>
      </c>
    </row>
    <row r="505" customFormat="false" ht="15" hidden="false" customHeight="false" outlineLevel="0" collapsed="false">
      <c r="A505" s="48" t="s">
        <v>1111</v>
      </c>
      <c r="B505" s="48" t="s">
        <v>1112</v>
      </c>
      <c r="C505" s="48" t="s">
        <v>168</v>
      </c>
      <c r="D505" s="48" t="s">
        <v>188</v>
      </c>
      <c r="E505" s="48" t="s">
        <v>189</v>
      </c>
      <c r="F505" s="48" t="s">
        <v>222</v>
      </c>
      <c r="G505" s="49" t="n">
        <v>17.5</v>
      </c>
      <c r="H505" s="50" t="n">
        <f aca="false">MAX(0,IF(AND(Parameter!$B$21="Ja",ISNUMBER(Y505)),Y505,IF(Parameter!$B$20="Jahresanfang 2025 + Export",BO505+BN505,BN505)))</f>
        <v>30</v>
      </c>
      <c r="I505" s="50" t="n">
        <f aca="false">H505*G505</f>
        <v>525</v>
      </c>
      <c r="J505" s="50" t="n">
        <f aca="false">BQ505*Parameter!$B$18</f>
        <v>0</v>
      </c>
      <c r="K505" s="51" t="n">
        <v>29</v>
      </c>
      <c r="L505" s="52" t="n">
        <v>0</v>
      </c>
      <c r="M505" s="50" t="n">
        <v>0</v>
      </c>
      <c r="N505" s="50" t="n">
        <v>1</v>
      </c>
      <c r="O505" s="53" t="n">
        <v>35</v>
      </c>
      <c r="P505" s="48" t="s">
        <v>332</v>
      </c>
      <c r="Q505" s="50" t="n">
        <v>30</v>
      </c>
      <c r="R505" s="53" t="n">
        <f aca="false">IF(BW505=1,0,IFERROR(VLOOKUP(BU505,'Gebinde-Kategorie'!$A$5:$N$45,13,0)+0,0))</f>
        <v>52</v>
      </c>
      <c r="S505" s="54"/>
      <c r="T505" s="55"/>
      <c r="U505" s="55"/>
      <c r="V505" s="55"/>
      <c r="W505" s="48"/>
      <c r="X505" s="50"/>
      <c r="Y505" s="50"/>
      <c r="Z505" s="48" t="n">
        <f aca="false">IF(A505="","",IF(AND(Parameter!$B$21="Ja",ISNUMBER(W505)),W505,IF(BZ505="2+3",IF(ISNUMBER(SEARCH("grosser Artikel",BR505)),2,IFERROR(VLOOKUP(BU505,Parameter!$F$35:$G$64,2,0),2)),IF(OR(BZ505="Nein",BZ505=""),"-",BZ505))))</f>
        <v>3</v>
      </c>
      <c r="AA505" s="55"/>
      <c r="AB505" s="56"/>
      <c r="AC505" s="50" t="n">
        <f aca="false">AT505</f>
        <v>30</v>
      </c>
      <c r="AD505" s="50" t="n">
        <f aca="false">MAX(AT505,H505)</f>
        <v>30</v>
      </c>
      <c r="AE505" s="57"/>
      <c r="AF505" s="50" t="n">
        <f aca="false">IF(LEFT(Cockpit!$C$5,1)="A",H505,IF(CE505=1,CF505,IF(LEFT(Cockpit!$C$5,1)="B",AK505,MAX(AK505,H505))))</f>
        <v>30</v>
      </c>
      <c r="AG505" s="50" t="n">
        <f aca="false">IF(BW505=1,0,ROUNDUP(AF505/BV505,0))</f>
        <v>1</v>
      </c>
      <c r="AH505" s="52" t="n">
        <f aca="false">IF(CL505&gt;0,CL505*MAX(1,AF505/X505),IF(BW505=1,IF(AF505&lt;=0,0,CA505*MAX(1,IF(H505&gt;0,AF505/H505,1))),IF(R505&gt;0,AG505/R505,0))/MAX(0.1,N(Parameter!$M$21)))</f>
        <v>0.0192307692307692</v>
      </c>
      <c r="AI505" s="50" t="n">
        <f aca="false">AH505*BY505</f>
        <v>2.98076923076923</v>
      </c>
      <c r="AJ505" s="50" t="n">
        <f aca="false">AF505*G505</f>
        <v>525</v>
      </c>
      <c r="AK505" s="50" t="n">
        <f aca="false">ROUNDUP(MAX(J505/IF(CD505&gt;0,CD505,MAX(0.1,N(Cockpit!$C$6))),CG505)/BV505,0)*BV505</f>
        <v>30</v>
      </c>
      <c r="AL505" s="51" t="n">
        <f aca="false">IF(AI505&gt;0,J505/AI505,-1)</f>
        <v>0</v>
      </c>
      <c r="AM505" s="51" t="n">
        <f aca="false">IF(AND(OR(CC505="L1",CC505="L23",CC505="LIFT"),AI505&gt;0),SUMIFS($AI$7:$AI$1843,$CC$7:$CC$1843,CC505,$AL$7:$AL$1843,"&gt;"&amp;AL505)+SUMIFS($AI$7:$AI$1843,$CC$7:$CC$1843,CC505,$AL$7:$AL$1843,AL505,$BT$7:$BT$1843,"&lt;="&amp;BT505),"")</f>
        <v>28263.9493439705</v>
      </c>
      <c r="AN505" s="58" t="n">
        <f aca="false">IF(AM505="",0,MAX(0,MIN(1,(IF(CC505="L1",Parameter!$H$5,IF(CC505="L23",Parameter!$H$6+Parameter!$H$7,Parameter!$H$5+Parameter!$H$6+Parameter!$H$7))-(AM505-AI505))/AI505)))</f>
        <v>1</v>
      </c>
      <c r="AO505" s="50" t="n">
        <f aca="false">IF(LEFT(Cockpit!$I$5,1)="A",H505,IF(CE505=1,CF505,IF(LEFT(Cockpit!$I$5,1)="B",AT505,MAX(AT505,H505))))</f>
        <v>30</v>
      </c>
      <c r="AP505" s="50" t="n">
        <f aca="false">IF(BW505=1,0,ROUNDUP(AO505/BV505,0))</f>
        <v>1</v>
      </c>
      <c r="AQ505" s="52" t="n">
        <f aca="false">IF(CL505&gt;0,CL505*MAX(1,AO505/X505),IF(BW505=1,IF(AO505&lt;=0,0,CA505*MAX(1,IF(H505&gt;0,AO505/H505,1))),IF(R505&gt;0,AP505/R505,0))/MAX(0.1,N(Parameter!$M$21)))</f>
        <v>0.0192307692307692</v>
      </c>
      <c r="AR505" s="50" t="n">
        <f aca="false">AQ505*BY505</f>
        <v>2.98076923076923</v>
      </c>
      <c r="AS505" s="50" t="n">
        <f aca="false">AO505*G505</f>
        <v>525</v>
      </c>
      <c r="AT505" s="50" t="n">
        <f aca="false">ROUNDUP(MAX(J505/IF(CD505&gt;0,CD505,MAX(0.1,N(Cockpit!$I$6))),CG505)/BV505,0)*BV505</f>
        <v>30</v>
      </c>
      <c r="AU505" s="51" t="n">
        <f aca="false">IF(AR505&gt;0,J505/AR505,-1)</f>
        <v>0</v>
      </c>
      <c r="AV505" s="51" t="n">
        <f aca="false">IF(AND(OR(CC505="L1",CC505="L23",CC505="LIFT"),AR505&gt;0),SUMIFS($AR$7:$AR$1843,$CC$7:$CC$1843,CC505,$AU$7:$AU$1843,"&gt;"&amp;AU505)+SUMIFS($AR$7:$AR$1843,$CC$7:$CC$1843,CC505,$AU$7:$AU$1843,AU505,$BT$7:$BT$1843,"&lt;="&amp;BT505),"")</f>
        <v>39576.8548612405</v>
      </c>
      <c r="AW505" s="58" t="n">
        <f aca="false">IF(AV505="",0,MAX(0,MIN(1,(IF(CC505="L1",Parameter!$H$5,IF(CC505="L23",Parameter!$H$6+Parameter!$H$7,Parameter!$H$5+Parameter!$H$6+Parameter!$H$7))-(AV505-AR505))/AR505)))</f>
        <v>0</v>
      </c>
      <c r="AX505" s="50" t="n">
        <f aca="false">IF(LEFT(Cockpit!$O$5,1)="A",H505,IF(CE505=1,CF505,IF(LEFT(Cockpit!$O$5,1)="B",BC505,MAX(BC505,H505))))</f>
        <v>30</v>
      </c>
      <c r="AY505" s="50" t="n">
        <f aca="false">IF(BW505=1,0,ROUNDUP(AX505/BV505,0))</f>
        <v>1</v>
      </c>
      <c r="AZ505" s="52" t="n">
        <f aca="false">IF(CL505&gt;0,CL505*MAX(1,AX505/X505),IF(BW505=1,IF(AX505&lt;=0,0,CA505*MAX(1,IF(H505&gt;0,AX505/H505,1))),IF(R505&gt;0,AY505/R505,0))/MAX(0.1,N(Parameter!$M$21)))</f>
        <v>0.0192307692307692</v>
      </c>
      <c r="BA505" s="50" t="n">
        <f aca="false">AZ505*BY505</f>
        <v>2.98076923076923</v>
      </c>
      <c r="BB505" s="50" t="n">
        <f aca="false">AX505*G505</f>
        <v>525</v>
      </c>
      <c r="BC505" s="50" t="n">
        <f aca="false">ROUNDUP(MAX(J505/IF(CD505&gt;0,CD505,MAX(0.1,N(Cockpit!$O$6))),CG505)/BV505,0)*BV505</f>
        <v>30</v>
      </c>
      <c r="BD505" s="51" t="n">
        <f aca="false">IF(BA505&gt;0,J505/BA505,-1)</f>
        <v>0</v>
      </c>
      <c r="BE505" s="51" t="n">
        <f aca="false">IF(AND(OR(CC505="L1",CC505="L23",CC505="LIFT"),BA505&gt;0),SUMIFS($BA$7:$BA$1843,$CC$7:$CC$1843,CC505,$BD$7:$BD$1843,"&gt;"&amp;BD505)+SUMIFS($BA$7:$BA$1843,$CC$7:$CC$1843,CC505,$BD$7:$BD$1843,BD505,$BT$7:$BT$1843,"&lt;="&amp;BT505),"")</f>
        <v>36251.8669031063</v>
      </c>
      <c r="BF505" s="58" t="n">
        <f aca="false">IF(BE505="",0,MAX(0,MIN(1,(IF(CC505="L1",Parameter!$H$5,IF(CC505="L23",Parameter!$H$6+Parameter!$H$7,Parameter!$H$5+Parameter!$H$6+Parameter!$H$7))-(BE505-BA505))/BA505)))</f>
        <v>0</v>
      </c>
      <c r="BG505" s="48" t="str">
        <f aca="false">IF(AI505&lt;=0,"",IF(CC505="Aussen","Aussenlager",IF(CC505="-","Nicht im Lift",IF(AN505&gt;=1,"Lift",IF(AN505&lt;=0,"Aussenlager","teilweise")))))</f>
        <v>Lift</v>
      </c>
      <c r="BH505" s="48" t="str">
        <f aca="false">IF(AR505&lt;=0,"",IF(CC505="Aussen","Aussenlager",IF(CC505="-","Nicht im Lift",IF(AW505&gt;=1,"Lift",IF(AW505&lt;=0,"Aussenlager","teilweise")))))</f>
        <v>Aussenlager</v>
      </c>
      <c r="BI505" s="48" t="str">
        <f aca="false">IF(BA505&lt;=0,"",IF(CC505="Aussen","Aussenlager",IF(CC505="-","Nicht im Lift",IF(BF505&gt;=1,"Lift",IF(BF505&lt;=0,"Aussenlager","teilweise")))))</f>
        <v>Aussenlager</v>
      </c>
      <c r="BJ505" s="48" t="str">
        <f aca="false">IF(A505="","",IF(BS505=1,"Neu; ","")&amp;IF(AND(BS505=0,BN505&lt;0),"negativer Bestand (Export "&amp;BN505&amp;"); ","")&amp;IF(J505&lt;=0,"Kein Verbrauch; ","")&amp;IF(CL505&gt;0,"Lift "&amp;W505&amp;" lt. Liftbericht (Fach "&amp;X505&amp;" Stk); ",IF(BX505=1,"Gebinde geschätzt ("&amp;T505&amp;"); ",IF(BW505=1,"Lose – Tablare geschätzt; ","")))&amp;IF(H505&gt;AT505,"Überbestand "&amp;ROUND(H505-AT505,0)&amp;" Stk / CHF "&amp;ROUND((H505-AT505)*G505,0)&amp;"; ","")&amp;IF(AND(CE505=1,CF505&lt;CG505),"MAX &lt; MB+LG; ","")&amp;IF(AND(CK505&gt;0,CJ505*10&gt;CK505),"zu hoch für Tablar; ","")&amp;IF(AND(BS505=0,OR(CE505=1,AA505&lt;&gt;"",U505&lt;&gt;"",V505&lt;&gt;"",AB505&lt;&gt;"")),"manuell übersteuert; ","")&amp;IF(AND(BW505=0,R505=0),"Gebinde unbekannt / Stellmass fehlt; ","")&amp;IF(AND(BW505=0,N(V505)&lt;=0,N(Q505)&lt;=0),"Menge pro Gebinde fehlt (Ist = 1 Gebinde); ","")&amp;BR505)</f>
        <v>Kein Verbrauch; </v>
      </c>
      <c r="BK505" s="48"/>
      <c r="BL505" s="48"/>
      <c r="BM505" s="55"/>
      <c r="BN505" s="50" t="n">
        <v>2</v>
      </c>
      <c r="BO505" s="50" t="n">
        <v>28</v>
      </c>
      <c r="BP505" s="49" t="n">
        <v>35</v>
      </c>
      <c r="BQ505" s="50" t="n">
        <v>0</v>
      </c>
      <c r="BR505" s="48"/>
      <c r="BS505" s="53" t="n">
        <v>0</v>
      </c>
      <c r="BT505" s="53" t="n">
        <v>505</v>
      </c>
      <c r="BU505" s="48" t="str">
        <f aca="false">IF(U505&lt;&gt;"",UPPER(TRIM(U505)),IF(BX505=1,UPPER(VLOOKUP(T505,Parameter!$I$27:$K$29,2,0)),IF(P505="","LOSE",P505)))</f>
        <v>S41</v>
      </c>
      <c r="BV505" s="50" t="n">
        <f aca="false">IF(BU505="LOSE",1,IF(N(V505)&gt;0,V505,IF(BX505=1,MAX(1,N(VLOOKUP(T505,Parameter!$I$27:$K$29,3,0)),H505,N(N505)),IF(N(Q505)&gt;0,Q505,MAX(1,H505)))))</f>
        <v>30</v>
      </c>
      <c r="BW505" s="53" t="n">
        <f aca="false">IF(BU505="LOSE",1,0)</f>
        <v>0</v>
      </c>
      <c r="BX505" s="53" t="n">
        <f aca="false">IF(AND(U505="",OR(P505="",P505="LOSE"),T505&lt;&gt;"",N(S505)&lt;=0,ISNUMBER(MATCH(T505,Parameter!$I$27:$I$29,0))),1,0)</f>
        <v>0</v>
      </c>
      <c r="BY505" s="53" t="n">
        <f aca="false">IF(CL505&gt;0,INDEX(Parameter!$H$5:$H$7,W505)/INDEX(Parameter!$E$5:$E$7,W505),IF(AND(BW505=0,N(IFERROR(VLOOKUP(BU505,'Gebinde-Kategorie'!$A$5:$N$45,14,0),0))&gt;0),VLOOKUP(BU505,'Gebinde-Kategorie'!$A$5:$N$45,14,0)*10+Parameter!$M$23,Parameter!$M$24))</f>
        <v>155</v>
      </c>
      <c r="BZ505" s="48" t="str">
        <f aca="false">IF(AND(Parameter!$B$19="Ja",E505&lt;&gt;"",ISNUMBER(MATCH(E505,Parameter!$I$35:$I$52,0))),VLOOKUP(E505,Parameter!$I$35:$J$52,2,0),IFERROR(VLOOKUP(D505,Parameter!$A$35:$C$64,2,0),"Nein"))</f>
        <v>2+3</v>
      </c>
      <c r="CA505" s="52" t="n">
        <f aca="false">IF(BW505=0,0,IF(N(S505)&gt;0,S505,IFERROR(VLOOKUP(D505,Parameter!$A$35:$C$64,3,0)+0,0)))</f>
        <v>0</v>
      </c>
      <c r="CB505" s="48" t="n">
        <f aca="false">IF(AA505&lt;&gt;"",AA505,Z505)</f>
        <v>3</v>
      </c>
      <c r="CC505" s="48" t="str">
        <f aca="false">IF(OR(CB505=1,CB505=2,CB505=3),IF(Parameter!$E$27="Ja","LIFT",IF(CB505=1,"L1","L23")),IF(CB505="Aussen","Aussen","-"))</f>
        <v>LIFT</v>
      </c>
      <c r="CD505" s="59" t="n">
        <f aca="false">IF(N(AB505)&gt;0,AB505,0)</f>
        <v>0</v>
      </c>
      <c r="CE505" s="53" t="n">
        <f aca="false">IF(ISNUMBER(AE505),1,0)</f>
        <v>0</v>
      </c>
      <c r="CF505" s="50" t="n">
        <f aca="false">N(AE505)</f>
        <v>0</v>
      </c>
      <c r="CG505" s="50" t="n">
        <f aca="false">N(M505)+N(N505)</f>
        <v>1</v>
      </c>
      <c r="CH505" s="50" t="n">
        <f aca="false">ROUNDUP(H505/BV505,0)</f>
        <v>1</v>
      </c>
      <c r="CI505" s="50" t="n">
        <f aca="false">ROUNDUP(CF505/BV505,0)</f>
        <v>0</v>
      </c>
      <c r="CJ505" s="53" t="n">
        <f aca="false">IF(BW505=1,0,IFERROR(VLOOKUP(BU505,'Gebinde-Kategorie'!$A$5:$N$45,5,0)+0,0))</f>
        <v>11</v>
      </c>
      <c r="CK505" s="53" t="n">
        <f aca="false">IFERROR(IF(OR(CB505=1,CB505=2,CB505=3),N(INDEX(Parameter!$I$5:$I$7,CB505)),0),0)</f>
        <v>0</v>
      </c>
      <c r="CL505" s="52" t="n">
        <f aca="false">IF(AND(Parameter!$B$21="Ja",ISNUMBER(W505),N(X505)&gt;0),IFERROR(N(INDEX(Parameter!$L$5:$L$7,W505))*INDEX(Parameter!$E$5:$E$7,W505)*X505/SUMIFS($X$7:$X$1843,$W$7:$W$1843,W505),0),0)</f>
        <v>0</v>
      </c>
    </row>
    <row r="506" customFormat="false" ht="15" hidden="false" customHeight="false" outlineLevel="0" collapsed="false">
      <c r="A506" s="48" t="s">
        <v>1113</v>
      </c>
      <c r="B506" s="48" t="s">
        <v>407</v>
      </c>
      <c r="C506" s="48" t="s">
        <v>168</v>
      </c>
      <c r="D506" s="48" t="s">
        <v>999</v>
      </c>
      <c r="E506" s="48"/>
      <c r="F506" s="48" t="s">
        <v>222</v>
      </c>
      <c r="G506" s="49" t="n">
        <v>0.82</v>
      </c>
      <c r="H506" s="50" t="n">
        <f aca="false">MAX(0,IF(AND(Parameter!$B$21="Ja",ISNUMBER(Y506)),Y506,IF(Parameter!$B$20="Jahresanfang 2025 + Export",BO506+BN506,BN506)))</f>
        <v>42</v>
      </c>
      <c r="I506" s="50" t="n">
        <f aca="false">H506*G506</f>
        <v>34.44</v>
      </c>
      <c r="J506" s="50" t="n">
        <f aca="false">BQ506*Parameter!$B$18</f>
        <v>158</v>
      </c>
      <c r="K506" s="51" t="n">
        <v>21</v>
      </c>
      <c r="L506" s="52" t="n">
        <v>7.52380952380952</v>
      </c>
      <c r="M506" s="50" t="n">
        <v>0</v>
      </c>
      <c r="N506" s="50" t="n">
        <v>100</v>
      </c>
      <c r="O506" s="53" t="n">
        <v>21</v>
      </c>
      <c r="P506" s="48" t="s">
        <v>172</v>
      </c>
      <c r="Q506" s="50"/>
      <c r="R506" s="53" t="n">
        <f aca="false">IF(BW506=1,0,IFERROR(VLOOKUP(BU506,'Gebinde-Kategorie'!$A$5:$N$45,13,0)+0,0))</f>
        <v>0</v>
      </c>
      <c r="S506" s="54"/>
      <c r="T506" s="55"/>
      <c r="U506" s="55"/>
      <c r="V506" s="55"/>
      <c r="W506" s="48"/>
      <c r="X506" s="50"/>
      <c r="Y506" s="50"/>
      <c r="Z506" s="48" t="str">
        <f aca="false">IF(A506="","",IF(AND(Parameter!$B$21="Ja",ISNUMBER(W506)),W506,IF(BZ506="2+3",IF(ISNUMBER(SEARCH("grosser Artikel",BR506)),2,IFERROR(VLOOKUP(BU506,Parameter!$F$35:$G$64,2,0),2)),IF(OR(BZ506="Nein",BZ506=""),"-",BZ506))))</f>
        <v>-</v>
      </c>
      <c r="AA506" s="55"/>
      <c r="AB506" s="56"/>
      <c r="AC506" s="50" t="n">
        <f aca="false">AT506</f>
        <v>100</v>
      </c>
      <c r="AD506" s="50" t="n">
        <f aca="false">MAX(AT506,H506)</f>
        <v>100</v>
      </c>
      <c r="AE506" s="57"/>
      <c r="AF506" s="50" t="n">
        <f aca="false">IF(LEFT(Cockpit!$C$5,1)="A",H506,IF(CE506=1,CF506,IF(LEFT(Cockpit!$C$5,1)="B",AK506,MAX(AK506,H506))))</f>
        <v>42</v>
      </c>
      <c r="AG506" s="50" t="n">
        <f aca="false">IF(BW506=1,0,ROUNDUP(AF506/BV506,0))</f>
        <v>0</v>
      </c>
      <c r="AH506" s="52" t="n">
        <f aca="false">IF(CL506&gt;0,CL506*MAX(1,AF506/X506),IF(BW506=1,IF(AF506&lt;=0,0,CA506*MAX(1,IF(H506&gt;0,AF506/H506,1))),IF(R506&gt;0,AG506/R506,0))/MAX(0.1,N(Parameter!$M$21)))</f>
        <v>0.15</v>
      </c>
      <c r="AI506" s="50" t="n">
        <f aca="false">AH506*BY506</f>
        <v>35.25</v>
      </c>
      <c r="AJ506" s="50" t="n">
        <f aca="false">AF506*G506</f>
        <v>34.44</v>
      </c>
      <c r="AK506" s="50" t="n">
        <f aca="false">ROUNDUP(MAX(J506/IF(CD506&gt;0,CD506,MAX(0.1,N(Cockpit!$C$6))),CG506)/BV506,0)*BV506</f>
        <v>100</v>
      </c>
      <c r="AL506" s="51" t="n">
        <f aca="false">IF(AI506&gt;0,J506/AI506,-1)</f>
        <v>4.4822695035461</v>
      </c>
      <c r="AM506" s="51" t="str">
        <f aca="false">IF(AND(OR(CC506="L1",CC506="L23",CC506="LIFT"),AI506&gt;0),SUMIFS($AI$7:$AI$1843,$CC$7:$CC$1843,CC506,$AL$7:$AL$1843,"&gt;"&amp;AL506)+SUMIFS($AI$7:$AI$1843,$CC$7:$CC$1843,CC506,$AL$7:$AL$1843,AL506,$BT$7:$BT$1843,"&lt;="&amp;BT506),"")</f>
        <v/>
      </c>
      <c r="AN506" s="58" t="n">
        <f aca="false">IF(AM506="",0,MAX(0,MIN(1,(IF(CC506="L1",Parameter!$H$5,IF(CC506="L23",Parameter!$H$6+Parameter!$H$7,Parameter!$H$5+Parameter!$H$6+Parameter!$H$7))-(AM506-AI506))/AI506)))</f>
        <v>0</v>
      </c>
      <c r="AO506" s="50" t="n">
        <f aca="false">IF(LEFT(Cockpit!$I$5,1)="A",H506,IF(CE506=1,CF506,IF(LEFT(Cockpit!$I$5,1)="B",AT506,MAX(AT506,H506))))</f>
        <v>100</v>
      </c>
      <c r="AP506" s="50" t="n">
        <f aca="false">IF(BW506=1,0,ROUNDUP(AO506/BV506,0))</f>
        <v>0</v>
      </c>
      <c r="AQ506" s="52" t="n">
        <f aca="false">IF(CL506&gt;0,CL506*MAX(1,AO506/X506),IF(BW506=1,IF(AO506&lt;=0,0,CA506*MAX(1,IF(H506&gt;0,AO506/H506,1))),IF(R506&gt;0,AP506/R506,0))/MAX(0.1,N(Parameter!$M$21)))</f>
        <v>0.357142857142857</v>
      </c>
      <c r="AR506" s="50" t="n">
        <f aca="false">AQ506*BY506</f>
        <v>83.9285714285714</v>
      </c>
      <c r="AS506" s="50" t="n">
        <f aca="false">AO506*G506</f>
        <v>82</v>
      </c>
      <c r="AT506" s="50" t="n">
        <f aca="false">ROUNDUP(MAX(J506/IF(CD506&gt;0,CD506,MAX(0.1,N(Cockpit!$I$6))),CG506)/BV506,0)*BV506</f>
        <v>100</v>
      </c>
      <c r="AU506" s="51" t="n">
        <f aca="false">IF(AR506&gt;0,J506/AR506,-1)</f>
        <v>1.88255319148936</v>
      </c>
      <c r="AV506" s="51" t="str">
        <f aca="false">IF(AND(OR(CC506="L1",CC506="L23",CC506="LIFT"),AR506&gt;0),SUMIFS($AR$7:$AR$1843,$CC$7:$CC$1843,CC506,$AU$7:$AU$1843,"&gt;"&amp;AU506)+SUMIFS($AR$7:$AR$1843,$CC$7:$CC$1843,CC506,$AU$7:$AU$1843,AU506,$BT$7:$BT$1843,"&lt;="&amp;BT506),"")</f>
        <v/>
      </c>
      <c r="AW506" s="58" t="n">
        <f aca="false">IF(AV506="",0,MAX(0,MIN(1,(IF(CC506="L1",Parameter!$H$5,IF(CC506="L23",Parameter!$H$6+Parameter!$H$7,Parameter!$H$5+Parameter!$H$6+Parameter!$H$7))-(AV506-AR506))/AR506)))</f>
        <v>0</v>
      </c>
      <c r="AX506" s="50" t="n">
        <f aca="false">IF(LEFT(Cockpit!$O$5,1)="A",H506,IF(CE506=1,CF506,IF(LEFT(Cockpit!$O$5,1)="B",BC506,MAX(BC506,H506))))</f>
        <v>100</v>
      </c>
      <c r="AY506" s="50" t="n">
        <f aca="false">IF(BW506=1,0,ROUNDUP(AX506/BV506,0))</f>
        <v>0</v>
      </c>
      <c r="AZ506" s="52" t="n">
        <f aca="false">IF(CL506&gt;0,CL506*MAX(1,AX506/X506),IF(BW506=1,IF(AX506&lt;=0,0,CA506*MAX(1,IF(H506&gt;0,AX506/H506,1))),IF(R506&gt;0,AY506/R506,0))/MAX(0.1,N(Parameter!$M$21)))</f>
        <v>0.357142857142857</v>
      </c>
      <c r="BA506" s="50" t="n">
        <f aca="false">AZ506*BY506</f>
        <v>83.9285714285714</v>
      </c>
      <c r="BB506" s="50" t="n">
        <f aca="false">AX506*G506</f>
        <v>82</v>
      </c>
      <c r="BC506" s="50" t="n">
        <f aca="false">ROUNDUP(MAX(J506/IF(CD506&gt;0,CD506,MAX(0.1,N(Cockpit!$O$6))),CG506)/BV506,0)*BV506</f>
        <v>100</v>
      </c>
      <c r="BD506" s="51" t="n">
        <f aca="false">IF(BA506&gt;0,J506/BA506,-1)</f>
        <v>1.88255319148936</v>
      </c>
      <c r="BE506" s="51" t="str">
        <f aca="false">IF(AND(OR(CC506="L1",CC506="L23",CC506="LIFT"),BA506&gt;0),SUMIFS($BA$7:$BA$1843,$CC$7:$CC$1843,CC506,$BD$7:$BD$1843,"&gt;"&amp;BD506)+SUMIFS($BA$7:$BA$1843,$CC$7:$CC$1843,CC506,$BD$7:$BD$1843,BD506,$BT$7:$BT$1843,"&lt;="&amp;BT506),"")</f>
        <v/>
      </c>
      <c r="BF506" s="58" t="n">
        <f aca="false">IF(BE506="",0,MAX(0,MIN(1,(IF(CC506="L1",Parameter!$H$5,IF(CC506="L23",Parameter!$H$6+Parameter!$H$7,Parameter!$H$5+Parameter!$H$6+Parameter!$H$7))-(BE506-BA506))/BA506)))</f>
        <v>0</v>
      </c>
      <c r="BG506" s="48" t="str">
        <f aca="false">IF(AI506&lt;=0,"",IF(CC506="Aussen","Aussenlager",IF(CC506="-","Nicht im Lift",IF(AN506&gt;=1,"Lift",IF(AN506&lt;=0,"Aussenlager","teilweise")))))</f>
        <v>Nicht im Lift</v>
      </c>
      <c r="BH506" s="48" t="str">
        <f aca="false">IF(AR506&lt;=0,"",IF(CC506="Aussen","Aussenlager",IF(CC506="-","Nicht im Lift",IF(AW506&gt;=1,"Lift",IF(AW506&lt;=0,"Aussenlager","teilweise")))))</f>
        <v>Nicht im Lift</v>
      </c>
      <c r="BI506" s="48" t="str">
        <f aca="false">IF(BA506&lt;=0,"",IF(CC506="Aussen","Aussenlager",IF(CC506="-","Nicht im Lift",IF(BF506&gt;=1,"Lift",IF(BF506&lt;=0,"Aussenlager","teilweise")))))</f>
        <v>Nicht im Lift</v>
      </c>
      <c r="BJ506" s="48" t="str">
        <f aca="false">IF(A506="","",IF(BS506=1,"Neu; ","")&amp;IF(AND(BS506=0,BN506&lt;0),"negativer Bestand (Export "&amp;BN506&amp;"); ","")&amp;IF(J506&lt;=0,"Kein Verbrauch; ","")&amp;IF(CL506&gt;0,"Lift "&amp;W506&amp;" lt. Liftbericht (Fach "&amp;X506&amp;" Stk); ",IF(BX506=1,"Gebinde geschätzt ("&amp;T506&amp;"); ",IF(BW506=1,"Lose – Tablare geschätzt; ","")))&amp;IF(H506&gt;AT506,"Überbestand "&amp;ROUND(H506-AT506,0)&amp;" Stk / CHF "&amp;ROUND((H506-AT506)*G506,0)&amp;"; ","")&amp;IF(AND(CE506=1,CF506&lt;CG506),"MAX &lt; MB+LG; ","")&amp;IF(AND(CK506&gt;0,CJ506*10&gt;CK506),"zu hoch für Tablar; ","")&amp;IF(AND(BS506=0,OR(CE506=1,AA506&lt;&gt;"",U506&lt;&gt;"",V506&lt;&gt;"",AB506&lt;&gt;"")),"manuell übersteuert; ","")&amp;IF(AND(BW506=0,R506=0),"Gebinde unbekannt / Stellmass fehlt; ","")&amp;IF(AND(BW506=0,N(V506)&lt;=0,N(Q506)&lt;=0),"Menge pro Gebinde fehlt (Ist = 1 Gebinde); ","")&amp;BR506)</f>
        <v>Lose – Tablare geschätzt; </v>
      </c>
      <c r="BK506" s="48"/>
      <c r="BL506" s="48"/>
      <c r="BM506" s="55"/>
      <c r="BN506" s="50" t="n">
        <v>42</v>
      </c>
      <c r="BO506" s="50" t="n">
        <v>0</v>
      </c>
      <c r="BP506" s="49" t="n">
        <v>34.44</v>
      </c>
      <c r="BQ506" s="50" t="n">
        <v>158</v>
      </c>
      <c r="BR506" s="48"/>
      <c r="BS506" s="53" t="n">
        <v>0</v>
      </c>
      <c r="BT506" s="53" t="n">
        <v>506</v>
      </c>
      <c r="BU506" s="48" t="str">
        <f aca="false">IF(U506&lt;&gt;"",UPPER(TRIM(U506)),IF(BX506=1,UPPER(VLOOKUP(T506,Parameter!$I$27:$K$29,2,0)),IF(P506="","LOSE",P506)))</f>
        <v>LOSE</v>
      </c>
      <c r="BV506" s="50" t="n">
        <f aca="false">IF(BU506="LOSE",1,IF(N(V506)&gt;0,V506,IF(BX506=1,MAX(1,N(VLOOKUP(T506,Parameter!$I$27:$K$29,3,0)),H506,N(N506)),IF(N(Q506)&gt;0,Q506,MAX(1,H506)))))</f>
        <v>1</v>
      </c>
      <c r="BW506" s="53" t="n">
        <f aca="false">IF(BU506="LOSE",1,0)</f>
        <v>1</v>
      </c>
      <c r="BX506" s="53" t="n">
        <f aca="false">IF(AND(U506="",OR(P506="",P506="LOSE"),T506&lt;&gt;"",N(S506)&lt;=0,ISNUMBER(MATCH(T506,Parameter!$I$27:$I$29,0))),1,0)</f>
        <v>0</v>
      </c>
      <c r="BY506" s="53" t="n">
        <f aca="false">IF(CL506&gt;0,INDEX(Parameter!$H$5:$H$7,W506)/INDEX(Parameter!$E$5:$E$7,W506),IF(AND(BW506=0,N(IFERROR(VLOOKUP(BU506,'Gebinde-Kategorie'!$A$5:$N$45,14,0),0))&gt;0),VLOOKUP(BU506,'Gebinde-Kategorie'!$A$5:$N$45,14,0)*10+Parameter!$M$23,Parameter!$M$24))</f>
        <v>235</v>
      </c>
      <c r="BZ506" s="48" t="str">
        <f aca="false">IF(AND(Parameter!$B$19="Ja",E506&lt;&gt;"",ISNUMBER(MATCH(E506,Parameter!$I$35:$I$52,0))),VLOOKUP(E506,Parameter!$I$35:$J$52,2,0),IFERROR(VLOOKUP(D506,Parameter!$A$35:$C$64,2,0),"Nein"))</f>
        <v>Nein</v>
      </c>
      <c r="CA506" s="52" t="n">
        <f aca="false">IF(BW506=0,0,IF(N(S506)&gt;0,S506,IFERROR(VLOOKUP(D506,Parameter!$A$35:$C$64,3,0)+0,0)))</f>
        <v>0.15</v>
      </c>
      <c r="CB506" s="48" t="str">
        <f aca="false">IF(AA506&lt;&gt;"",AA506,Z506)</f>
        <v>-</v>
      </c>
      <c r="CC506" s="48" t="str">
        <f aca="false">IF(OR(CB506=1,CB506=2,CB506=3),IF(Parameter!$E$27="Ja","LIFT",IF(CB506=1,"L1","L23")),IF(CB506="Aussen","Aussen","-"))</f>
        <v>-</v>
      </c>
      <c r="CD506" s="59" t="n">
        <f aca="false">IF(N(AB506)&gt;0,AB506,0)</f>
        <v>0</v>
      </c>
      <c r="CE506" s="53" t="n">
        <f aca="false">IF(ISNUMBER(AE506),1,0)</f>
        <v>0</v>
      </c>
      <c r="CF506" s="50" t="n">
        <f aca="false">N(AE506)</f>
        <v>0</v>
      </c>
      <c r="CG506" s="50" t="n">
        <f aca="false">N(M506)+N(N506)</f>
        <v>100</v>
      </c>
      <c r="CH506" s="50" t="n">
        <f aca="false">ROUNDUP(H506/BV506,0)</f>
        <v>42</v>
      </c>
      <c r="CI506" s="50" t="n">
        <f aca="false">ROUNDUP(CF506/BV506,0)</f>
        <v>0</v>
      </c>
      <c r="CJ506" s="53" t="n">
        <f aca="false">IF(BW506=1,0,IFERROR(VLOOKUP(BU506,'Gebinde-Kategorie'!$A$5:$N$45,5,0)+0,0))</f>
        <v>0</v>
      </c>
      <c r="CK506" s="53" t="n">
        <f aca="false">IFERROR(IF(OR(CB506=1,CB506=2,CB506=3),N(INDEX(Parameter!$I$5:$I$7,CB506)),0),0)</f>
        <v>0</v>
      </c>
      <c r="CL506" s="52" t="n">
        <f aca="false">IF(AND(Parameter!$B$21="Ja",ISNUMBER(W506),N(X506)&gt;0),IFERROR(N(INDEX(Parameter!$L$5:$L$7,W506))*INDEX(Parameter!$E$5:$E$7,W506)*X506/SUMIFS($X$7:$X$1843,$W$7:$W$1843,W506),0),0)</f>
        <v>0</v>
      </c>
    </row>
    <row r="507" customFormat="false" ht="15" hidden="false" customHeight="false" outlineLevel="0" collapsed="false">
      <c r="A507" s="48" t="s">
        <v>1114</v>
      </c>
      <c r="B507" s="48" t="s">
        <v>1115</v>
      </c>
      <c r="C507" s="48" t="s">
        <v>168</v>
      </c>
      <c r="D507" s="48" t="s">
        <v>177</v>
      </c>
      <c r="E507" s="48" t="s">
        <v>189</v>
      </c>
      <c r="F507" s="48" t="s">
        <v>222</v>
      </c>
      <c r="G507" s="49" t="n">
        <v>199.84</v>
      </c>
      <c r="H507" s="50" t="n">
        <f aca="false">MAX(0,IF(AND(Parameter!$B$21="Ja",ISNUMBER(Y507)),Y507,IF(Parameter!$B$20="Jahresanfang 2025 + Export",BO507+BN507,BN507)))</f>
        <v>17</v>
      </c>
      <c r="I507" s="50" t="n">
        <f aca="false">H507*G507</f>
        <v>3397.28</v>
      </c>
      <c r="J507" s="50" t="n">
        <f aca="false">BQ507*Parameter!$B$18</f>
        <v>18</v>
      </c>
      <c r="K507" s="51" t="n">
        <v>30</v>
      </c>
      <c r="L507" s="52" t="n">
        <v>0.6</v>
      </c>
      <c r="M507" s="50" t="n">
        <v>2</v>
      </c>
      <c r="N507" s="50" t="n">
        <v>15</v>
      </c>
      <c r="O507" s="53" t="n">
        <v>44</v>
      </c>
      <c r="P507" s="48" t="s">
        <v>178</v>
      </c>
      <c r="Q507" s="50" t="n">
        <v>17</v>
      </c>
      <c r="R507" s="53" t="n">
        <f aca="false">IF(BW507=1,0,IFERROR(VLOOKUP(BU507,'Gebinde-Kategorie'!$A$5:$N$45,13,0)+0,0))</f>
        <v>6</v>
      </c>
      <c r="S507" s="54"/>
      <c r="T507" s="55"/>
      <c r="U507" s="55"/>
      <c r="V507" s="55"/>
      <c r="W507" s="48"/>
      <c r="X507" s="50"/>
      <c r="Y507" s="50"/>
      <c r="Z507" s="48" t="n">
        <f aca="false">IF(A507="","",IF(AND(Parameter!$B$21="Ja",ISNUMBER(W507)),W507,IF(BZ507="2+3",IF(ISNUMBER(SEARCH("grosser Artikel",BR507)),2,IFERROR(VLOOKUP(BU507,Parameter!$F$35:$G$64,2,0),2)),IF(OR(BZ507="Nein",BZ507=""),"-",BZ507))))</f>
        <v>2</v>
      </c>
      <c r="AA507" s="55"/>
      <c r="AB507" s="56"/>
      <c r="AC507" s="50" t="n">
        <f aca="false">AT507</f>
        <v>17</v>
      </c>
      <c r="AD507" s="50" t="n">
        <f aca="false">MAX(AT507,H507)</f>
        <v>17</v>
      </c>
      <c r="AE507" s="57"/>
      <c r="AF507" s="50" t="n">
        <f aca="false">IF(LEFT(Cockpit!$C$5,1)="A",H507,IF(CE507=1,CF507,IF(LEFT(Cockpit!$C$5,1)="B",AK507,MAX(AK507,H507))))</f>
        <v>17</v>
      </c>
      <c r="AG507" s="50" t="n">
        <f aca="false">IF(BW507=1,0,ROUNDUP(AF507/BV507,0))</f>
        <v>1</v>
      </c>
      <c r="AH507" s="52" t="n">
        <f aca="false">IF(CL507&gt;0,CL507*MAX(1,AF507/X507),IF(BW507=1,IF(AF507&lt;=0,0,CA507*MAX(1,IF(H507&gt;0,AF507/H507,1))),IF(R507&gt;0,AG507/R507,0))/MAX(0.1,N(Parameter!$M$21)))</f>
        <v>0.166666666666667</v>
      </c>
      <c r="AI507" s="50" t="n">
        <f aca="false">AH507*BY507</f>
        <v>39.1666666666667</v>
      </c>
      <c r="AJ507" s="50" t="n">
        <f aca="false">AF507*G507</f>
        <v>3397.28</v>
      </c>
      <c r="AK507" s="50" t="n">
        <f aca="false">ROUNDUP(MAX(J507/IF(CD507&gt;0,CD507,MAX(0.1,N(Cockpit!$C$6))),CG507)/BV507,0)*BV507</f>
        <v>17</v>
      </c>
      <c r="AL507" s="51" t="n">
        <f aca="false">IF(AI507&gt;0,J507/AI507,-1)</f>
        <v>0.459574468085106</v>
      </c>
      <c r="AM507" s="51" t="n">
        <f aca="false">IF(AND(OR(CC507="L1",CC507="L23",CC507="LIFT"),AI507&gt;0),SUMIFS($AI$7:$AI$1843,$CC$7:$CC$1843,CC507,$AL$7:$AL$1843,"&gt;"&amp;AL507)+SUMIFS($AI$7:$AI$1843,$CC$7:$CC$1843,CC507,$AL$7:$AL$1843,AL507,$BT$7:$BT$1843,"&lt;="&amp;BT507),"")</f>
        <v>9778.51050267999</v>
      </c>
      <c r="AN507" s="58" t="n">
        <f aca="false">IF(AM507="",0,MAX(0,MIN(1,(IF(CC507="L1",Parameter!$H$5,IF(CC507="L23",Parameter!$H$6+Parameter!$H$7,Parameter!$H$5+Parameter!$H$6+Parameter!$H$7))-(AM507-AI507))/AI507)))</f>
        <v>1</v>
      </c>
      <c r="AO507" s="50" t="n">
        <f aca="false">IF(LEFT(Cockpit!$I$5,1)="A",H507,IF(CE507=1,CF507,IF(LEFT(Cockpit!$I$5,1)="B",AT507,MAX(AT507,H507))))</f>
        <v>17</v>
      </c>
      <c r="AP507" s="50" t="n">
        <f aca="false">IF(BW507=1,0,ROUNDUP(AO507/BV507,0))</f>
        <v>1</v>
      </c>
      <c r="AQ507" s="52" t="n">
        <f aca="false">IF(CL507&gt;0,CL507*MAX(1,AO507/X507),IF(BW507=1,IF(AO507&lt;=0,0,CA507*MAX(1,IF(H507&gt;0,AO507/H507,1))),IF(R507&gt;0,AP507/R507,0))/MAX(0.1,N(Parameter!$M$21)))</f>
        <v>0.166666666666667</v>
      </c>
      <c r="AR507" s="50" t="n">
        <f aca="false">AQ507*BY507</f>
        <v>39.1666666666667</v>
      </c>
      <c r="AS507" s="50" t="n">
        <f aca="false">AO507*G507</f>
        <v>3397.28</v>
      </c>
      <c r="AT507" s="50" t="n">
        <f aca="false">ROUNDUP(MAX(J507/IF(CD507&gt;0,CD507,MAX(0.1,N(Cockpit!$I$6))),CG507)/BV507,0)*BV507</f>
        <v>17</v>
      </c>
      <c r="AU507" s="51" t="n">
        <f aca="false">IF(AR507&gt;0,J507/AR507,-1)</f>
        <v>0.459574468085106</v>
      </c>
      <c r="AV507" s="51" t="n">
        <f aca="false">IF(AND(OR(CC507="L1",CC507="L23",CC507="LIFT"),AR507&gt;0),SUMIFS($AR$7:$AR$1843,$CC$7:$CC$1843,CC507,$AU$7:$AU$1843,"&gt;"&amp;AU507)+SUMIFS($AR$7:$AR$1843,$CC$7:$CC$1843,CC507,$AU$7:$AU$1843,AU507,$BT$7:$BT$1843,"&lt;="&amp;BT507),"")</f>
        <v>14790.1735347985</v>
      </c>
      <c r="AW507" s="58" t="n">
        <f aca="false">IF(AV507="",0,MAX(0,MIN(1,(IF(CC507="L1",Parameter!$H$5,IF(CC507="L23",Parameter!$H$6+Parameter!$H$7,Parameter!$H$5+Parameter!$H$6+Parameter!$H$7))-(AV507-AR507))/AR507)))</f>
        <v>1</v>
      </c>
      <c r="AX507" s="50" t="n">
        <f aca="false">IF(LEFT(Cockpit!$O$5,1)="A",H507,IF(CE507=1,CF507,IF(LEFT(Cockpit!$O$5,1)="B",BC507,MAX(BC507,H507))))</f>
        <v>17</v>
      </c>
      <c r="AY507" s="50" t="n">
        <f aca="false">IF(BW507=1,0,ROUNDUP(AX507/BV507,0))</f>
        <v>1</v>
      </c>
      <c r="AZ507" s="52" t="n">
        <f aca="false">IF(CL507&gt;0,CL507*MAX(1,AX507/X507),IF(BW507=1,IF(AX507&lt;=0,0,CA507*MAX(1,IF(H507&gt;0,AX507/H507,1))),IF(R507&gt;0,AY507/R507,0))/MAX(0.1,N(Parameter!$M$21)))</f>
        <v>0.166666666666667</v>
      </c>
      <c r="BA507" s="50" t="n">
        <f aca="false">AZ507*BY507</f>
        <v>39.1666666666667</v>
      </c>
      <c r="BB507" s="50" t="n">
        <f aca="false">AX507*G507</f>
        <v>3397.28</v>
      </c>
      <c r="BC507" s="50" t="n">
        <f aca="false">ROUNDUP(MAX(J507/IF(CD507&gt;0,CD507,MAX(0.1,N(Cockpit!$O$6))),CG507)/BV507,0)*BV507</f>
        <v>17</v>
      </c>
      <c r="BD507" s="51" t="n">
        <f aca="false">IF(BA507&gt;0,J507/BA507,-1)</f>
        <v>0.459574468085106</v>
      </c>
      <c r="BE507" s="51" t="n">
        <f aca="false">IF(AND(OR(CC507="L1",CC507="L23",CC507="LIFT"),BA507&gt;0),SUMIFS($BA$7:$BA$1843,$CC$7:$CC$1843,CC507,$BD$7:$BD$1843,"&gt;"&amp;BD507)+SUMIFS($BA$7:$BA$1843,$CC$7:$CC$1843,CC507,$BD$7:$BD$1843,BD507,$BT$7:$BT$1843,"&lt;="&amp;BT507),"")</f>
        <v>13423.3305860806</v>
      </c>
      <c r="BF507" s="58" t="n">
        <f aca="false">IF(BE507="",0,MAX(0,MIN(1,(IF(CC507="L1",Parameter!$H$5,IF(CC507="L23",Parameter!$H$6+Parameter!$H$7,Parameter!$H$5+Parameter!$H$6+Parameter!$H$7))-(BE507-BA507))/BA507)))</f>
        <v>1</v>
      </c>
      <c r="BG507" s="48" t="str">
        <f aca="false">IF(AI507&lt;=0,"",IF(CC507="Aussen","Aussenlager",IF(CC507="-","Nicht im Lift",IF(AN507&gt;=1,"Lift",IF(AN507&lt;=0,"Aussenlager","teilweise")))))</f>
        <v>Lift</v>
      </c>
      <c r="BH507" s="48" t="str">
        <f aca="false">IF(AR507&lt;=0,"",IF(CC507="Aussen","Aussenlager",IF(CC507="-","Nicht im Lift",IF(AW507&gt;=1,"Lift",IF(AW507&lt;=0,"Aussenlager","teilweise")))))</f>
        <v>Lift</v>
      </c>
      <c r="BI507" s="48" t="str">
        <f aca="false">IF(BA507&lt;=0,"",IF(CC507="Aussen","Aussenlager",IF(CC507="-","Nicht im Lift",IF(BF507&gt;=1,"Lift",IF(BF507&lt;=0,"Aussenlager","teilweise")))))</f>
        <v>Lift</v>
      </c>
      <c r="BJ507" s="48" t="str">
        <f aca="false">IF(A507="","",IF(BS507=1,"Neu; ","")&amp;IF(AND(BS507=0,BN507&lt;0),"negativer Bestand (Export "&amp;BN507&amp;"); ","")&amp;IF(J507&lt;=0,"Kein Verbrauch; ","")&amp;IF(CL507&gt;0,"Lift "&amp;W507&amp;" lt. Liftbericht (Fach "&amp;X507&amp;" Stk); ",IF(BX507=1,"Gebinde geschätzt ("&amp;T507&amp;"); ",IF(BW507=1,"Lose – Tablare geschätzt; ","")))&amp;IF(H507&gt;AT507,"Überbestand "&amp;ROUND(H507-AT507,0)&amp;" Stk / CHF "&amp;ROUND((H507-AT507)*G507,0)&amp;"; ","")&amp;IF(AND(CE507=1,CF507&lt;CG507),"MAX &lt; MB+LG; ","")&amp;IF(AND(CK507&gt;0,CJ507*10&gt;CK507),"zu hoch für Tablar; ","")&amp;IF(AND(BS507=0,OR(CE507=1,AA507&lt;&gt;"",U507&lt;&gt;"",V507&lt;&gt;"",AB507&lt;&gt;"")),"manuell übersteuert; ","")&amp;IF(AND(BW507=0,R507=0),"Gebinde unbekannt / Stellmass fehlt; ","")&amp;IF(AND(BW507=0,N(V507)&lt;=0,N(Q507)&lt;=0),"Menge pro Gebinde fehlt (Ist = 1 Gebinde); ","")&amp;BR507)</f>
        <v>negativer Bestand (Export -2); grosser Artikel &amp; nicht im KTL</v>
      </c>
      <c r="BK507" s="48"/>
      <c r="BL507" s="48"/>
      <c r="BM507" s="55"/>
      <c r="BN507" s="50" t="n">
        <v>-2</v>
      </c>
      <c r="BO507" s="50" t="n">
        <v>19</v>
      </c>
      <c r="BP507" s="49" t="n">
        <v>34.2799999999952</v>
      </c>
      <c r="BQ507" s="50" t="n">
        <v>18</v>
      </c>
      <c r="BR507" s="48" t="s">
        <v>265</v>
      </c>
      <c r="BS507" s="53" t="n">
        <v>0</v>
      </c>
      <c r="BT507" s="53" t="n">
        <v>507</v>
      </c>
      <c r="BU507" s="48" t="str">
        <f aca="false">IF(U507&lt;&gt;"",UPPER(TRIM(U507)),IF(BX507=1,UPPER(VLOOKUP(T507,Parameter!$I$27:$K$29,2,0)),IF(P507="","LOSE",P507)))</f>
        <v>S71</v>
      </c>
      <c r="BV507" s="50" t="n">
        <f aca="false">IF(BU507="LOSE",1,IF(N(V507)&gt;0,V507,IF(BX507=1,MAX(1,N(VLOOKUP(T507,Parameter!$I$27:$K$29,3,0)),H507,N(N507)),IF(N(Q507)&gt;0,Q507,MAX(1,H507)))))</f>
        <v>17</v>
      </c>
      <c r="BW507" s="53" t="n">
        <f aca="false">IF(BU507="LOSE",1,0)</f>
        <v>0</v>
      </c>
      <c r="BX507" s="53" t="n">
        <f aca="false">IF(AND(U507="",OR(P507="",P507="LOSE"),T507&lt;&gt;"",N(S507)&lt;=0,ISNUMBER(MATCH(T507,Parameter!$I$27:$I$29,0))),1,0)</f>
        <v>0</v>
      </c>
      <c r="BY507" s="53" t="n">
        <f aca="false">IF(CL507&gt;0,INDEX(Parameter!$H$5:$H$7,W507)/INDEX(Parameter!$E$5:$E$7,W507),IF(AND(BW507=0,N(IFERROR(VLOOKUP(BU507,'Gebinde-Kategorie'!$A$5:$N$45,14,0),0))&gt;0),VLOOKUP(BU507,'Gebinde-Kategorie'!$A$5:$N$45,14,0)*10+Parameter!$M$23,Parameter!$M$24))</f>
        <v>235</v>
      </c>
      <c r="BZ507" s="48" t="str">
        <f aca="false">IF(AND(Parameter!$B$19="Ja",E507&lt;&gt;"",ISNUMBER(MATCH(E507,Parameter!$I$35:$I$52,0))),VLOOKUP(E507,Parameter!$I$35:$J$52,2,0),IFERROR(VLOOKUP(D507,Parameter!$A$35:$C$64,2,0),"Nein"))</f>
        <v>2+3</v>
      </c>
      <c r="CA507" s="52" t="n">
        <f aca="false">IF(BW507=0,0,IF(N(S507)&gt;0,S507,IFERROR(VLOOKUP(D507,Parameter!$A$35:$C$64,3,0)+0,0)))</f>
        <v>0</v>
      </c>
      <c r="CB507" s="48" t="n">
        <f aca="false">IF(AA507&lt;&gt;"",AA507,Z507)</f>
        <v>2</v>
      </c>
      <c r="CC507" s="48" t="str">
        <f aca="false">IF(OR(CB507=1,CB507=2,CB507=3),IF(Parameter!$E$27="Ja","LIFT",IF(CB507=1,"L1","L23")),IF(CB507="Aussen","Aussen","-"))</f>
        <v>LIFT</v>
      </c>
      <c r="CD507" s="59" t="n">
        <f aca="false">IF(N(AB507)&gt;0,AB507,0)</f>
        <v>0</v>
      </c>
      <c r="CE507" s="53" t="n">
        <f aca="false">IF(ISNUMBER(AE507),1,0)</f>
        <v>0</v>
      </c>
      <c r="CF507" s="50" t="n">
        <f aca="false">N(AE507)</f>
        <v>0</v>
      </c>
      <c r="CG507" s="50" t="n">
        <f aca="false">N(M507)+N(N507)</f>
        <v>17</v>
      </c>
      <c r="CH507" s="50" t="n">
        <f aca="false">ROUNDUP(H507/BV507,0)</f>
        <v>1</v>
      </c>
      <c r="CI507" s="50" t="n">
        <f aca="false">ROUNDUP(CF507/BV507,0)</f>
        <v>0</v>
      </c>
      <c r="CJ507" s="53" t="n">
        <f aca="false">IF(BW507=1,0,IFERROR(VLOOKUP(BU507,'Gebinde-Kategorie'!$A$5:$N$45,5,0)+0,0))</f>
        <v>20</v>
      </c>
      <c r="CK507" s="53" t="n">
        <f aca="false">IFERROR(IF(OR(CB507=1,CB507=2,CB507=3),N(INDEX(Parameter!$I$5:$I$7,CB507)),0),0)</f>
        <v>0</v>
      </c>
      <c r="CL507" s="52" t="n">
        <f aca="false">IF(AND(Parameter!$B$21="Ja",ISNUMBER(W507),N(X507)&gt;0),IFERROR(N(INDEX(Parameter!$L$5:$L$7,W507))*INDEX(Parameter!$E$5:$E$7,W507)*X507/SUMIFS($X$7:$X$1843,$W$7:$W$1843,W507),0),0)</f>
        <v>0</v>
      </c>
    </row>
    <row r="508" customFormat="false" ht="15" hidden="false" customHeight="false" outlineLevel="0" collapsed="false">
      <c r="A508" s="48" t="s">
        <v>1116</v>
      </c>
      <c r="B508" s="48" t="s">
        <v>1117</v>
      </c>
      <c r="C508" s="48" t="s">
        <v>168</v>
      </c>
      <c r="D508" s="48" t="s">
        <v>188</v>
      </c>
      <c r="E508" s="48" t="s">
        <v>189</v>
      </c>
      <c r="F508" s="48" t="s">
        <v>222</v>
      </c>
      <c r="G508" s="49" t="n">
        <v>34</v>
      </c>
      <c r="H508" s="50" t="n">
        <f aca="false">MAX(0,IF(AND(Parameter!$B$21="Ja",ISNUMBER(Y508)),Y508,IF(Parameter!$B$20="Jahresanfang 2025 + Export",BO508+BN508,BN508)))</f>
        <v>2</v>
      </c>
      <c r="I508" s="50" t="n">
        <f aca="false">H508*G508</f>
        <v>68</v>
      </c>
      <c r="J508" s="50" t="n">
        <f aca="false">BQ508*Parameter!$B$18</f>
        <v>0</v>
      </c>
      <c r="K508" s="51" t="n">
        <v>1.5</v>
      </c>
      <c r="L508" s="52" t="n">
        <v>0</v>
      </c>
      <c r="M508" s="50" t="n">
        <v>0</v>
      </c>
      <c r="N508" s="50" t="n">
        <v>1</v>
      </c>
      <c r="O508" s="53" t="n">
        <v>63</v>
      </c>
      <c r="P508" s="48" t="s">
        <v>405</v>
      </c>
      <c r="Q508" s="50" t="n">
        <v>2</v>
      </c>
      <c r="R508" s="53" t="n">
        <f aca="false">IF(BW508=1,0,IFERROR(VLOOKUP(BU508,'Gebinde-Kategorie'!$A$5:$N$45,13,0)+0,0))</f>
        <v>280</v>
      </c>
      <c r="S508" s="54"/>
      <c r="T508" s="55"/>
      <c r="U508" s="55"/>
      <c r="V508" s="55"/>
      <c r="W508" s="48"/>
      <c r="X508" s="50"/>
      <c r="Y508" s="50"/>
      <c r="Z508" s="48" t="n">
        <f aca="false">IF(A508="","",IF(AND(Parameter!$B$21="Ja",ISNUMBER(W508)),W508,IF(BZ508="2+3",IF(ISNUMBER(SEARCH("grosser Artikel",BR508)),2,IFERROR(VLOOKUP(BU508,Parameter!$F$35:$G$64,2,0),2)),IF(OR(BZ508="Nein",BZ508=""),"-",BZ508))))</f>
        <v>3</v>
      </c>
      <c r="AA508" s="55"/>
      <c r="AB508" s="56"/>
      <c r="AC508" s="50" t="n">
        <f aca="false">AT508</f>
        <v>2</v>
      </c>
      <c r="AD508" s="50" t="n">
        <f aca="false">MAX(AT508,H508)</f>
        <v>2</v>
      </c>
      <c r="AE508" s="57"/>
      <c r="AF508" s="50" t="n">
        <f aca="false">IF(LEFT(Cockpit!$C$5,1)="A",H508,IF(CE508=1,CF508,IF(LEFT(Cockpit!$C$5,1)="B",AK508,MAX(AK508,H508))))</f>
        <v>2</v>
      </c>
      <c r="AG508" s="50" t="n">
        <f aca="false">IF(BW508=1,0,ROUNDUP(AF508/BV508,0))</f>
        <v>1</v>
      </c>
      <c r="AH508" s="52" t="n">
        <f aca="false">IF(CL508&gt;0,CL508*MAX(1,AF508/X508),IF(BW508=1,IF(AF508&lt;=0,0,CA508*MAX(1,IF(H508&gt;0,AF508/H508,1))),IF(R508&gt;0,AG508/R508,0))/MAX(0.1,N(Parameter!$M$21)))</f>
        <v>0.00357142857142857</v>
      </c>
      <c r="AI508" s="50" t="n">
        <f aca="false">AH508*BY508</f>
        <v>0.553571428571429</v>
      </c>
      <c r="AJ508" s="50" t="n">
        <f aca="false">AF508*G508</f>
        <v>68</v>
      </c>
      <c r="AK508" s="50" t="n">
        <f aca="false">ROUNDUP(MAX(J508/IF(CD508&gt;0,CD508,MAX(0.1,N(Cockpit!$C$6))),CG508)/BV508,0)*BV508</f>
        <v>2</v>
      </c>
      <c r="AL508" s="51" t="n">
        <f aca="false">IF(AI508&gt;0,J508/AI508,-1)</f>
        <v>0</v>
      </c>
      <c r="AM508" s="51" t="n">
        <f aca="false">IF(AND(OR(CC508="L1",CC508="L23",CC508="LIFT"),AI508&gt;0),SUMIFS($AI$7:$AI$1843,$CC$7:$CC$1843,CC508,$AL$7:$AL$1843,"&gt;"&amp;AL508)+SUMIFS($AI$7:$AI$1843,$CC$7:$CC$1843,CC508,$AL$7:$AL$1843,AL508,$BT$7:$BT$1843,"&lt;="&amp;BT508),"")</f>
        <v>28264.5029153991</v>
      </c>
      <c r="AN508" s="58" t="n">
        <f aca="false">IF(AM508="",0,MAX(0,MIN(1,(IF(CC508="L1",Parameter!$H$5,IF(CC508="L23",Parameter!$H$6+Parameter!$H$7,Parameter!$H$5+Parameter!$H$6+Parameter!$H$7))-(AM508-AI508))/AI508)))</f>
        <v>1</v>
      </c>
      <c r="AO508" s="50" t="n">
        <f aca="false">IF(LEFT(Cockpit!$I$5,1)="A",H508,IF(CE508=1,CF508,IF(LEFT(Cockpit!$I$5,1)="B",AT508,MAX(AT508,H508))))</f>
        <v>2</v>
      </c>
      <c r="AP508" s="50" t="n">
        <f aca="false">IF(BW508=1,0,ROUNDUP(AO508/BV508,0))</f>
        <v>1</v>
      </c>
      <c r="AQ508" s="52" t="n">
        <f aca="false">IF(CL508&gt;0,CL508*MAX(1,AO508/X508),IF(BW508=1,IF(AO508&lt;=0,0,CA508*MAX(1,IF(H508&gt;0,AO508/H508,1))),IF(R508&gt;0,AP508/R508,0))/MAX(0.1,N(Parameter!$M$21)))</f>
        <v>0.00357142857142857</v>
      </c>
      <c r="AR508" s="50" t="n">
        <f aca="false">AQ508*BY508</f>
        <v>0.553571428571429</v>
      </c>
      <c r="AS508" s="50" t="n">
        <f aca="false">AO508*G508</f>
        <v>68</v>
      </c>
      <c r="AT508" s="50" t="n">
        <f aca="false">ROUNDUP(MAX(J508/IF(CD508&gt;0,CD508,MAX(0.1,N(Cockpit!$I$6))),CG508)/BV508,0)*BV508</f>
        <v>2</v>
      </c>
      <c r="AU508" s="51" t="n">
        <f aca="false">IF(AR508&gt;0,J508/AR508,-1)</f>
        <v>0</v>
      </c>
      <c r="AV508" s="51" t="n">
        <f aca="false">IF(AND(OR(CC508="L1",CC508="L23",CC508="LIFT"),AR508&gt;0),SUMIFS($AR$7:$AR$1843,$CC$7:$CC$1843,CC508,$AU$7:$AU$1843,"&gt;"&amp;AU508)+SUMIFS($AR$7:$AR$1843,$CC$7:$CC$1843,CC508,$AU$7:$AU$1843,AU508,$BT$7:$BT$1843,"&lt;="&amp;BT508),"")</f>
        <v>39577.408432669</v>
      </c>
      <c r="AW508" s="58" t="n">
        <f aca="false">IF(AV508="",0,MAX(0,MIN(1,(IF(CC508="L1",Parameter!$H$5,IF(CC508="L23",Parameter!$H$6+Parameter!$H$7,Parameter!$H$5+Parameter!$H$6+Parameter!$H$7))-(AV508-AR508))/AR508)))</f>
        <v>0</v>
      </c>
      <c r="AX508" s="50" t="n">
        <f aca="false">IF(LEFT(Cockpit!$O$5,1)="A",H508,IF(CE508=1,CF508,IF(LEFT(Cockpit!$O$5,1)="B",BC508,MAX(BC508,H508))))</f>
        <v>2</v>
      </c>
      <c r="AY508" s="50" t="n">
        <f aca="false">IF(BW508=1,0,ROUNDUP(AX508/BV508,0))</f>
        <v>1</v>
      </c>
      <c r="AZ508" s="52" t="n">
        <f aca="false">IF(CL508&gt;0,CL508*MAX(1,AX508/X508),IF(BW508=1,IF(AX508&lt;=0,0,CA508*MAX(1,IF(H508&gt;0,AX508/H508,1))),IF(R508&gt;0,AY508/R508,0))/MAX(0.1,N(Parameter!$M$21)))</f>
        <v>0.00357142857142857</v>
      </c>
      <c r="BA508" s="50" t="n">
        <f aca="false">AZ508*BY508</f>
        <v>0.553571428571429</v>
      </c>
      <c r="BB508" s="50" t="n">
        <f aca="false">AX508*G508</f>
        <v>68</v>
      </c>
      <c r="BC508" s="50" t="n">
        <f aca="false">ROUNDUP(MAX(J508/IF(CD508&gt;0,CD508,MAX(0.1,N(Cockpit!$O$6))),CG508)/BV508,0)*BV508</f>
        <v>2</v>
      </c>
      <c r="BD508" s="51" t="n">
        <f aca="false">IF(BA508&gt;0,J508/BA508,-1)</f>
        <v>0</v>
      </c>
      <c r="BE508" s="51" t="n">
        <f aca="false">IF(AND(OR(CC508="L1",CC508="L23",CC508="LIFT"),BA508&gt;0),SUMIFS($BA$7:$BA$1843,$CC$7:$CC$1843,CC508,$BD$7:$BD$1843,"&gt;"&amp;BD508)+SUMIFS($BA$7:$BA$1843,$CC$7:$CC$1843,CC508,$BD$7:$BD$1843,BD508,$BT$7:$BT$1843,"&lt;="&amp;BT508),"")</f>
        <v>36252.4204745349</v>
      </c>
      <c r="BF508" s="58" t="n">
        <f aca="false">IF(BE508="",0,MAX(0,MIN(1,(IF(CC508="L1",Parameter!$H$5,IF(CC508="L23",Parameter!$H$6+Parameter!$H$7,Parameter!$H$5+Parameter!$H$6+Parameter!$H$7))-(BE508-BA508))/BA508)))</f>
        <v>0</v>
      </c>
      <c r="BG508" s="48" t="str">
        <f aca="false">IF(AI508&lt;=0,"",IF(CC508="Aussen","Aussenlager",IF(CC508="-","Nicht im Lift",IF(AN508&gt;=1,"Lift",IF(AN508&lt;=0,"Aussenlager","teilweise")))))</f>
        <v>Lift</v>
      </c>
      <c r="BH508" s="48" t="str">
        <f aca="false">IF(AR508&lt;=0,"",IF(CC508="Aussen","Aussenlager",IF(CC508="-","Nicht im Lift",IF(AW508&gt;=1,"Lift",IF(AW508&lt;=0,"Aussenlager","teilweise")))))</f>
        <v>Aussenlager</v>
      </c>
      <c r="BI508" s="48" t="str">
        <f aca="false">IF(BA508&lt;=0,"",IF(CC508="Aussen","Aussenlager",IF(CC508="-","Nicht im Lift",IF(BF508&gt;=1,"Lift",IF(BF508&lt;=0,"Aussenlager","teilweise")))))</f>
        <v>Aussenlager</v>
      </c>
      <c r="BJ508" s="48" t="str">
        <f aca="false">IF(A508="","",IF(BS508=1,"Neu; ","")&amp;IF(AND(BS508=0,BN508&lt;0),"negativer Bestand (Export "&amp;BN508&amp;"); ","")&amp;IF(J508&lt;=0,"Kein Verbrauch; ","")&amp;IF(CL508&gt;0,"Lift "&amp;W508&amp;" lt. Liftbericht (Fach "&amp;X508&amp;" Stk); ",IF(BX508=1,"Gebinde geschätzt ("&amp;T508&amp;"); ",IF(BW508=1,"Lose – Tablare geschätzt; ","")))&amp;IF(H508&gt;AT508,"Überbestand "&amp;ROUND(H508-AT508,0)&amp;" Stk / CHF "&amp;ROUND((H508-AT508)*G508,0)&amp;"; ","")&amp;IF(AND(CE508=1,CF508&lt;CG508),"MAX &lt; MB+LG; ","")&amp;IF(AND(CK508&gt;0,CJ508*10&gt;CK508),"zu hoch für Tablar; ","")&amp;IF(AND(BS508=0,OR(CE508=1,AA508&lt;&gt;"",U508&lt;&gt;"",V508&lt;&gt;"",AB508&lt;&gt;"")),"manuell übersteuert; ","")&amp;IF(AND(BW508=0,R508=0),"Gebinde unbekannt / Stellmass fehlt; ","")&amp;IF(AND(BW508=0,N(V508)&lt;=0,N(Q508)&lt;=0),"Menge pro Gebinde fehlt (Ist = 1 Gebinde); ","")&amp;BR508)</f>
        <v>Kein Verbrauch; </v>
      </c>
      <c r="BK508" s="48"/>
      <c r="BL508" s="48"/>
      <c r="BM508" s="55"/>
      <c r="BN508" s="50" t="n">
        <v>1</v>
      </c>
      <c r="BO508" s="50" t="n">
        <v>1</v>
      </c>
      <c r="BP508" s="49" t="n">
        <v>34</v>
      </c>
      <c r="BQ508" s="50" t="n">
        <v>0</v>
      </c>
      <c r="BR508" s="48"/>
      <c r="BS508" s="53" t="n">
        <v>0</v>
      </c>
      <c r="BT508" s="53" t="n">
        <v>508</v>
      </c>
      <c r="BU508" s="48" t="str">
        <f aca="false">IF(U508&lt;&gt;"",UPPER(TRIM(U508)),IF(BX508=1,UPPER(VLOOKUP(T508,Parameter!$I$27:$K$29,2,0)),IF(P508="","LOSE",P508)))</f>
        <v>S21</v>
      </c>
      <c r="BV508" s="50" t="n">
        <f aca="false">IF(BU508="LOSE",1,IF(N(V508)&gt;0,V508,IF(BX508=1,MAX(1,N(VLOOKUP(T508,Parameter!$I$27:$K$29,3,0)),H508,N(N508)),IF(N(Q508)&gt;0,Q508,MAX(1,H508)))))</f>
        <v>2</v>
      </c>
      <c r="BW508" s="53" t="n">
        <f aca="false">IF(BU508="LOSE",1,0)</f>
        <v>0</v>
      </c>
      <c r="BX508" s="53" t="n">
        <f aca="false">IF(AND(U508="",OR(P508="",P508="LOSE"),T508&lt;&gt;"",N(S508)&lt;=0,ISNUMBER(MATCH(T508,Parameter!$I$27:$I$29,0))),1,0)</f>
        <v>0</v>
      </c>
      <c r="BY508" s="53" t="n">
        <f aca="false">IF(CL508&gt;0,INDEX(Parameter!$H$5:$H$7,W508)/INDEX(Parameter!$E$5:$E$7,W508),IF(AND(BW508=0,N(IFERROR(VLOOKUP(BU508,'Gebinde-Kategorie'!$A$5:$N$45,14,0),0))&gt;0),VLOOKUP(BU508,'Gebinde-Kategorie'!$A$5:$N$45,14,0)*10+Parameter!$M$23,Parameter!$M$24))</f>
        <v>155</v>
      </c>
      <c r="BZ508" s="48" t="str">
        <f aca="false">IF(AND(Parameter!$B$19="Ja",E508&lt;&gt;"",ISNUMBER(MATCH(E508,Parameter!$I$35:$I$52,0))),VLOOKUP(E508,Parameter!$I$35:$J$52,2,0),IFERROR(VLOOKUP(D508,Parameter!$A$35:$C$64,2,0),"Nein"))</f>
        <v>2+3</v>
      </c>
      <c r="CA508" s="52" t="n">
        <f aca="false">IF(BW508=0,0,IF(N(S508)&gt;0,S508,IFERROR(VLOOKUP(D508,Parameter!$A$35:$C$64,3,0)+0,0)))</f>
        <v>0</v>
      </c>
      <c r="CB508" s="48" t="n">
        <f aca="false">IF(AA508&lt;&gt;"",AA508,Z508)</f>
        <v>3</v>
      </c>
      <c r="CC508" s="48" t="str">
        <f aca="false">IF(OR(CB508=1,CB508=2,CB508=3),IF(Parameter!$E$27="Ja","LIFT",IF(CB508=1,"L1","L23")),IF(CB508="Aussen","Aussen","-"))</f>
        <v>LIFT</v>
      </c>
      <c r="CD508" s="59" t="n">
        <f aca="false">IF(N(AB508)&gt;0,AB508,0)</f>
        <v>0</v>
      </c>
      <c r="CE508" s="53" t="n">
        <f aca="false">IF(ISNUMBER(AE508),1,0)</f>
        <v>0</v>
      </c>
      <c r="CF508" s="50" t="n">
        <f aca="false">N(AE508)</f>
        <v>0</v>
      </c>
      <c r="CG508" s="50" t="n">
        <f aca="false">N(M508)+N(N508)</f>
        <v>1</v>
      </c>
      <c r="CH508" s="50" t="n">
        <f aca="false">ROUNDUP(H508/BV508,0)</f>
        <v>1</v>
      </c>
      <c r="CI508" s="50" t="n">
        <f aca="false">ROUNDUP(CF508/BV508,0)</f>
        <v>0</v>
      </c>
      <c r="CJ508" s="53" t="n">
        <f aca="false">IF(BW508=1,0,IFERROR(VLOOKUP(BU508,'Gebinde-Kategorie'!$A$5:$N$45,5,0)+0,0))</f>
        <v>8</v>
      </c>
      <c r="CK508" s="53" t="n">
        <f aca="false">IFERROR(IF(OR(CB508=1,CB508=2,CB508=3),N(INDEX(Parameter!$I$5:$I$7,CB508)),0),0)</f>
        <v>0</v>
      </c>
      <c r="CL508" s="52" t="n">
        <f aca="false">IF(AND(Parameter!$B$21="Ja",ISNUMBER(W508),N(X508)&gt;0),IFERROR(N(INDEX(Parameter!$L$5:$L$7,W508))*INDEX(Parameter!$E$5:$E$7,W508)*X508/SUMIFS($X$7:$X$1843,$W$7:$W$1843,W508),0),0)</f>
        <v>0</v>
      </c>
    </row>
    <row r="509" customFormat="false" ht="15" hidden="false" customHeight="false" outlineLevel="0" collapsed="false">
      <c r="A509" s="48" t="s">
        <v>1118</v>
      </c>
      <c r="B509" s="48" t="s">
        <v>472</v>
      </c>
      <c r="C509" s="48" t="s">
        <v>168</v>
      </c>
      <c r="D509" s="48" t="s">
        <v>188</v>
      </c>
      <c r="E509" s="48" t="s">
        <v>189</v>
      </c>
      <c r="F509" s="48" t="s">
        <v>222</v>
      </c>
      <c r="G509" s="49" t="n">
        <v>0.52</v>
      </c>
      <c r="H509" s="50" t="n">
        <f aca="false">MAX(0,IF(AND(Parameter!$B$21="Ja",ISNUMBER(Y509)),Y509,IF(Parameter!$B$20="Jahresanfang 2025 + Export",BO509+BN509,BN509)))</f>
        <v>507</v>
      </c>
      <c r="I509" s="50" t="n">
        <f aca="false">H509*G509</f>
        <v>263.64</v>
      </c>
      <c r="J509" s="50" t="n">
        <f aca="false">BQ509*Parameter!$B$18</f>
        <v>688</v>
      </c>
      <c r="K509" s="51" t="n">
        <v>356.5</v>
      </c>
      <c r="L509" s="52" t="n">
        <v>1.92987377279102</v>
      </c>
      <c r="M509" s="50" t="n">
        <v>26</v>
      </c>
      <c r="N509" s="50" t="n">
        <v>690</v>
      </c>
      <c r="O509" s="53" t="n">
        <v>14</v>
      </c>
      <c r="P509" s="48" t="s">
        <v>237</v>
      </c>
      <c r="Q509" s="50" t="n">
        <v>865</v>
      </c>
      <c r="R509" s="53" t="n">
        <f aca="false">IF(BW509=1,0,IFERROR(VLOOKUP(BU509,'Gebinde-Kategorie'!$A$5:$N$45,13,0)+0,0))</f>
        <v>26</v>
      </c>
      <c r="S509" s="54"/>
      <c r="T509" s="55"/>
      <c r="U509" s="55"/>
      <c r="V509" s="55"/>
      <c r="W509" s="48"/>
      <c r="X509" s="50"/>
      <c r="Y509" s="50"/>
      <c r="Z509" s="48" t="n">
        <f aca="false">IF(A509="","",IF(AND(Parameter!$B$21="Ja",ISNUMBER(W509)),W509,IF(BZ509="2+3",IF(ISNUMBER(SEARCH("grosser Artikel",BR509)),2,IFERROR(VLOOKUP(BU509,Parameter!$F$35:$G$64,2,0),2)),IF(OR(BZ509="Nein",BZ509=""),"-",BZ509))))</f>
        <v>3</v>
      </c>
      <c r="AA509" s="55"/>
      <c r="AB509" s="56"/>
      <c r="AC509" s="50" t="n">
        <f aca="false">AT509</f>
        <v>865</v>
      </c>
      <c r="AD509" s="50" t="n">
        <f aca="false">MAX(AT509,H509)</f>
        <v>865</v>
      </c>
      <c r="AE509" s="57"/>
      <c r="AF509" s="50" t="n">
        <f aca="false">IF(LEFT(Cockpit!$C$5,1)="A",H509,IF(CE509=1,CF509,IF(LEFT(Cockpit!$C$5,1)="B",AK509,MAX(AK509,H509))))</f>
        <v>507</v>
      </c>
      <c r="AG509" s="50" t="n">
        <f aca="false">IF(BW509=1,0,ROUNDUP(AF509/BV509,0))</f>
        <v>1</v>
      </c>
      <c r="AH509" s="52" t="n">
        <f aca="false">IF(CL509&gt;0,CL509*MAX(1,AF509/X509),IF(BW509=1,IF(AF509&lt;=0,0,CA509*MAX(1,IF(H509&gt;0,AF509/H509,1))),IF(R509&gt;0,AG509/R509,0))/MAX(0.1,N(Parameter!$M$21)))</f>
        <v>0.0384615384615385</v>
      </c>
      <c r="AI509" s="50" t="n">
        <f aca="false">AH509*BY509</f>
        <v>9.42307692307692</v>
      </c>
      <c r="AJ509" s="50" t="n">
        <f aca="false">AF509*G509</f>
        <v>263.64</v>
      </c>
      <c r="AK509" s="50" t="n">
        <f aca="false">ROUNDUP(MAX(J509/IF(CD509&gt;0,CD509,MAX(0.1,N(Cockpit!$C$6))),CG509)/BV509,0)*BV509</f>
        <v>865</v>
      </c>
      <c r="AL509" s="51" t="n">
        <f aca="false">IF(AI509&gt;0,J509/AI509,-1)</f>
        <v>73.0122448979592</v>
      </c>
      <c r="AM509" s="51" t="n">
        <f aca="false">IF(AND(OR(CC509="L1",CC509="L23",CC509="LIFT"),AI509&gt;0),SUMIFS($AI$7:$AI$1843,$CC$7:$CC$1843,CC509,$AL$7:$AL$1843,"&gt;"&amp;AL509)+SUMIFS($AI$7:$AI$1843,$CC$7:$CC$1843,CC509,$AL$7:$AL$1843,AL509,$BT$7:$BT$1843,"&lt;="&amp;BT509),"")</f>
        <v>876.832417582418</v>
      </c>
      <c r="AN509" s="58" t="n">
        <f aca="false">IF(AM509="",0,MAX(0,MIN(1,(IF(CC509="L1",Parameter!$H$5,IF(CC509="L23",Parameter!$H$6+Parameter!$H$7,Parameter!$H$5+Parameter!$H$6+Parameter!$H$7))-(AM509-AI509))/AI509)))</f>
        <v>1</v>
      </c>
      <c r="AO509" s="50" t="n">
        <f aca="false">IF(LEFT(Cockpit!$I$5,1)="A",H509,IF(CE509=1,CF509,IF(LEFT(Cockpit!$I$5,1)="B",AT509,MAX(AT509,H509))))</f>
        <v>865</v>
      </c>
      <c r="AP509" s="50" t="n">
        <f aca="false">IF(BW509=1,0,ROUNDUP(AO509/BV509,0))</f>
        <v>1</v>
      </c>
      <c r="AQ509" s="52" t="n">
        <f aca="false">IF(CL509&gt;0,CL509*MAX(1,AO509/X509),IF(BW509=1,IF(AO509&lt;=0,0,CA509*MAX(1,IF(H509&gt;0,AO509/H509,1))),IF(R509&gt;0,AP509/R509,0))/MAX(0.1,N(Parameter!$M$21)))</f>
        <v>0.0384615384615385</v>
      </c>
      <c r="AR509" s="50" t="n">
        <f aca="false">AQ509*BY509</f>
        <v>9.42307692307692</v>
      </c>
      <c r="AS509" s="50" t="n">
        <f aca="false">AO509*G509</f>
        <v>449.8</v>
      </c>
      <c r="AT509" s="50" t="n">
        <f aca="false">ROUNDUP(MAX(J509/IF(CD509&gt;0,CD509,MAX(0.1,N(Cockpit!$I$6))),CG509)/BV509,0)*BV509</f>
        <v>865</v>
      </c>
      <c r="AU509" s="51" t="n">
        <f aca="false">IF(AR509&gt;0,J509/AR509,-1)</f>
        <v>73.0122448979592</v>
      </c>
      <c r="AV509" s="51" t="n">
        <f aca="false">IF(AND(OR(CC509="L1",CC509="L23",CC509="LIFT"),AR509&gt;0),SUMIFS($AR$7:$AR$1843,$CC$7:$CC$1843,CC509,$AU$7:$AU$1843,"&gt;"&amp;AU509)+SUMIFS($AR$7:$AR$1843,$CC$7:$CC$1843,CC509,$AU$7:$AU$1843,AU509,$BT$7:$BT$1843,"&lt;="&amp;BT509),"")</f>
        <v>997.720238095238</v>
      </c>
      <c r="AW509" s="58" t="n">
        <f aca="false">IF(AV509="",0,MAX(0,MIN(1,(IF(CC509="L1",Parameter!$H$5,IF(CC509="L23",Parameter!$H$6+Parameter!$H$7,Parameter!$H$5+Parameter!$H$6+Parameter!$H$7))-(AV509-AR509))/AR509)))</f>
        <v>1</v>
      </c>
      <c r="AX509" s="50" t="n">
        <f aca="false">IF(LEFT(Cockpit!$O$5,1)="A",H509,IF(CE509=1,CF509,IF(LEFT(Cockpit!$O$5,1)="B",BC509,MAX(BC509,H509))))</f>
        <v>865</v>
      </c>
      <c r="AY509" s="50" t="n">
        <f aca="false">IF(BW509=1,0,ROUNDUP(AX509/BV509,0))</f>
        <v>1</v>
      </c>
      <c r="AZ509" s="52" t="n">
        <f aca="false">IF(CL509&gt;0,CL509*MAX(1,AX509/X509),IF(BW509=1,IF(AX509&lt;=0,0,CA509*MAX(1,IF(H509&gt;0,AX509/H509,1))),IF(R509&gt;0,AY509/R509,0))/MAX(0.1,N(Parameter!$M$21)))</f>
        <v>0.0384615384615385</v>
      </c>
      <c r="BA509" s="50" t="n">
        <f aca="false">AZ509*BY509</f>
        <v>9.42307692307692</v>
      </c>
      <c r="BB509" s="50" t="n">
        <f aca="false">AX509*G509</f>
        <v>449.8</v>
      </c>
      <c r="BC509" s="50" t="n">
        <f aca="false">ROUNDUP(MAX(J509/IF(CD509&gt;0,CD509,MAX(0.1,N(Cockpit!$O$6))),CG509)/BV509,0)*BV509</f>
        <v>865</v>
      </c>
      <c r="BD509" s="51" t="n">
        <f aca="false">IF(BA509&gt;0,J509/BA509,-1)</f>
        <v>73.0122448979592</v>
      </c>
      <c r="BE509" s="51" t="n">
        <f aca="false">IF(AND(OR(CC509="L1",CC509="L23",CC509="LIFT"),BA509&gt;0),SUMIFS($BA$7:$BA$1843,$CC$7:$CC$1843,CC509,$BD$7:$BD$1843,"&gt;"&amp;BD509)+SUMIFS($BA$7:$BA$1843,$CC$7:$CC$1843,CC509,$BD$7:$BD$1843,BD509,$BT$7:$BT$1843,"&lt;="&amp;BT509),"")</f>
        <v>1105.14010989011</v>
      </c>
      <c r="BF509" s="58" t="n">
        <f aca="false">IF(BE509="",0,MAX(0,MIN(1,(IF(CC509="L1",Parameter!$H$5,IF(CC509="L23",Parameter!$H$6+Parameter!$H$7,Parameter!$H$5+Parameter!$H$6+Parameter!$H$7))-(BE509-BA509))/BA509)))</f>
        <v>1</v>
      </c>
      <c r="BG509" s="48" t="str">
        <f aca="false">IF(AI509&lt;=0,"",IF(CC509="Aussen","Aussenlager",IF(CC509="-","Nicht im Lift",IF(AN509&gt;=1,"Lift",IF(AN509&lt;=0,"Aussenlager","teilweise")))))</f>
        <v>Lift</v>
      </c>
      <c r="BH509" s="48" t="str">
        <f aca="false">IF(AR509&lt;=0,"",IF(CC509="Aussen","Aussenlager",IF(CC509="-","Nicht im Lift",IF(AW509&gt;=1,"Lift",IF(AW509&lt;=0,"Aussenlager","teilweise")))))</f>
        <v>Lift</v>
      </c>
      <c r="BI509" s="48" t="str">
        <f aca="false">IF(BA509&lt;=0,"",IF(CC509="Aussen","Aussenlager",IF(CC509="-","Nicht im Lift",IF(BF509&gt;=1,"Lift",IF(BF509&lt;=0,"Aussenlager","teilweise")))))</f>
        <v>Lift</v>
      </c>
      <c r="BJ509" s="48" t="str">
        <f aca="false">IF(A509="","",IF(BS509=1,"Neu; ","")&amp;IF(AND(BS509=0,BN509&lt;0),"negativer Bestand (Export "&amp;BN509&amp;"); ","")&amp;IF(J509&lt;=0,"Kein Verbrauch; ","")&amp;IF(CL509&gt;0,"Lift "&amp;W509&amp;" lt. Liftbericht (Fach "&amp;X509&amp;" Stk); ",IF(BX509=1,"Gebinde geschätzt ("&amp;T509&amp;"); ",IF(BW509=1,"Lose – Tablare geschätzt; ","")))&amp;IF(H509&gt;AT509,"Überbestand "&amp;ROUND(H509-AT509,0)&amp;" Stk / CHF "&amp;ROUND((H509-AT509)*G509,0)&amp;"; ","")&amp;IF(AND(CE509=1,CF509&lt;CG509),"MAX &lt; MB+LG; ","")&amp;IF(AND(CK509&gt;0,CJ509*10&gt;CK509),"zu hoch für Tablar; ","")&amp;IF(AND(BS509=0,OR(CE509=1,AA509&lt;&gt;"",U509&lt;&gt;"",V509&lt;&gt;"",AB509&lt;&gt;"")),"manuell übersteuert; ","")&amp;IF(AND(BW509=0,R509=0),"Gebinde unbekannt / Stellmass fehlt; ","")&amp;IF(AND(BW509=0,N(V509)&lt;=0,N(Q509)&lt;=0),"Menge pro Gebinde fehlt (Ist = 1 Gebinde); ","")&amp;BR509)</f>
        <v/>
      </c>
      <c r="BK509" s="48"/>
      <c r="BL509" s="48"/>
      <c r="BM509" s="55"/>
      <c r="BN509" s="50" t="n">
        <v>141</v>
      </c>
      <c r="BO509" s="50" t="n">
        <v>366</v>
      </c>
      <c r="BP509" s="49" t="n">
        <v>33.8299999999996</v>
      </c>
      <c r="BQ509" s="50" t="n">
        <v>688</v>
      </c>
      <c r="BR509" s="48"/>
      <c r="BS509" s="53" t="n">
        <v>0</v>
      </c>
      <c r="BT509" s="53" t="n">
        <v>509</v>
      </c>
      <c r="BU509" s="48" t="str">
        <f aca="false">IF(U509&lt;&gt;"",UPPER(TRIM(U509)),IF(BX509=1,UPPER(VLOOKUP(T509,Parameter!$I$27:$K$29,2,0)),IF(P509="","LOSE",P509)))</f>
        <v>S52</v>
      </c>
      <c r="BV509" s="50" t="n">
        <f aca="false">IF(BU509="LOSE",1,IF(N(V509)&gt;0,V509,IF(BX509=1,MAX(1,N(VLOOKUP(T509,Parameter!$I$27:$K$29,3,0)),H509,N(N509)),IF(N(Q509)&gt;0,Q509,MAX(1,H509)))))</f>
        <v>865</v>
      </c>
      <c r="BW509" s="53" t="n">
        <f aca="false">IF(BU509="LOSE",1,0)</f>
        <v>0</v>
      </c>
      <c r="BX509" s="53" t="n">
        <f aca="false">IF(AND(U509="",OR(P509="",P509="LOSE"),T509&lt;&gt;"",N(S509)&lt;=0,ISNUMBER(MATCH(T509,Parameter!$I$27:$I$29,0))),1,0)</f>
        <v>0</v>
      </c>
      <c r="BY509" s="53" t="n">
        <f aca="false">IF(CL509&gt;0,INDEX(Parameter!$H$5:$H$7,W509)/INDEX(Parameter!$E$5:$E$7,W509),IF(AND(BW509=0,N(IFERROR(VLOOKUP(BU509,'Gebinde-Kategorie'!$A$5:$N$45,14,0),0))&gt;0),VLOOKUP(BU509,'Gebinde-Kategorie'!$A$5:$N$45,14,0)*10+Parameter!$M$23,Parameter!$M$24))</f>
        <v>245</v>
      </c>
      <c r="BZ509" s="48" t="str">
        <f aca="false">IF(AND(Parameter!$B$19="Ja",E509&lt;&gt;"",ISNUMBER(MATCH(E509,Parameter!$I$35:$I$52,0))),VLOOKUP(E509,Parameter!$I$35:$J$52,2,0),IFERROR(VLOOKUP(D509,Parameter!$A$35:$C$64,2,0),"Nein"))</f>
        <v>2+3</v>
      </c>
      <c r="CA509" s="52" t="n">
        <f aca="false">IF(BW509=0,0,IF(N(S509)&gt;0,S509,IFERROR(VLOOKUP(D509,Parameter!$A$35:$C$64,3,0)+0,0)))</f>
        <v>0</v>
      </c>
      <c r="CB509" s="48" t="n">
        <f aca="false">IF(AA509&lt;&gt;"",AA509,Z509)</f>
        <v>3</v>
      </c>
      <c r="CC509" s="48" t="str">
        <f aca="false">IF(OR(CB509=1,CB509=2,CB509=3),IF(Parameter!$E$27="Ja","LIFT",IF(CB509=1,"L1","L23")),IF(CB509="Aussen","Aussen","-"))</f>
        <v>LIFT</v>
      </c>
      <c r="CD509" s="59" t="n">
        <f aca="false">IF(N(AB509)&gt;0,AB509,0)</f>
        <v>0</v>
      </c>
      <c r="CE509" s="53" t="n">
        <f aca="false">IF(ISNUMBER(AE509),1,0)</f>
        <v>0</v>
      </c>
      <c r="CF509" s="50" t="n">
        <f aca="false">N(AE509)</f>
        <v>0</v>
      </c>
      <c r="CG509" s="50" t="n">
        <f aca="false">N(M509)+N(N509)</f>
        <v>716</v>
      </c>
      <c r="CH509" s="50" t="n">
        <f aca="false">ROUNDUP(H509/BV509,0)</f>
        <v>1</v>
      </c>
      <c r="CI509" s="50" t="n">
        <f aca="false">ROUNDUP(CF509/BV509,0)</f>
        <v>0</v>
      </c>
      <c r="CJ509" s="53" t="n">
        <f aca="false">IF(BW509=1,0,IFERROR(VLOOKUP(BU509,'Gebinde-Kategorie'!$A$5:$N$45,5,0)+0,0))</f>
        <v>21</v>
      </c>
      <c r="CK509" s="53" t="n">
        <f aca="false">IFERROR(IF(OR(CB509=1,CB509=2,CB509=3),N(INDEX(Parameter!$I$5:$I$7,CB509)),0),0)</f>
        <v>0</v>
      </c>
      <c r="CL509" s="52" t="n">
        <f aca="false">IF(AND(Parameter!$B$21="Ja",ISNUMBER(W509),N(X509)&gt;0),IFERROR(N(INDEX(Parameter!$L$5:$L$7,W509))*INDEX(Parameter!$E$5:$E$7,W509)*X509/SUMIFS($X$7:$X$1843,$W$7:$W$1843,W509),0),0)</f>
        <v>0</v>
      </c>
    </row>
    <row r="510" customFormat="false" ht="15" hidden="false" customHeight="false" outlineLevel="0" collapsed="false">
      <c r="A510" s="48" t="s">
        <v>1119</v>
      </c>
      <c r="B510" s="48" t="s">
        <v>593</v>
      </c>
      <c r="C510" s="48" t="s">
        <v>168</v>
      </c>
      <c r="D510" s="48" t="s">
        <v>188</v>
      </c>
      <c r="E510" s="48"/>
      <c r="F510" s="48" t="s">
        <v>222</v>
      </c>
      <c r="G510" s="49" t="n">
        <v>2.6</v>
      </c>
      <c r="H510" s="50" t="n">
        <f aca="false">MAX(0,IF(AND(Parameter!$B$21="Ja",ISNUMBER(Y510)),Y510,IF(Parameter!$B$20="Jahresanfang 2025 + Export",BO510+BN510,BN510)))</f>
        <v>13</v>
      </c>
      <c r="I510" s="50" t="n">
        <f aca="false">H510*G510</f>
        <v>33.8</v>
      </c>
      <c r="J510" s="50" t="n">
        <f aca="false">BQ510*Parameter!$B$18</f>
        <v>1</v>
      </c>
      <c r="K510" s="51" t="n">
        <v>9.5</v>
      </c>
      <c r="L510" s="52" t="n">
        <v>0.105263157894737</v>
      </c>
      <c r="M510" s="50" t="n">
        <v>0</v>
      </c>
      <c r="N510" s="50" t="n">
        <v>1</v>
      </c>
      <c r="O510" s="53" t="n">
        <v>14</v>
      </c>
      <c r="P510" s="48" t="s">
        <v>405</v>
      </c>
      <c r="Q510" s="50" t="n">
        <v>20</v>
      </c>
      <c r="R510" s="53" t="n">
        <f aca="false">IF(BW510=1,0,IFERROR(VLOOKUP(BU510,'Gebinde-Kategorie'!$A$5:$N$45,13,0)+0,0))</f>
        <v>280</v>
      </c>
      <c r="S510" s="54"/>
      <c r="T510" s="55"/>
      <c r="U510" s="55"/>
      <c r="V510" s="55"/>
      <c r="W510" s="48"/>
      <c r="X510" s="50"/>
      <c r="Y510" s="50"/>
      <c r="Z510" s="48" t="n">
        <f aca="false">IF(A510="","",IF(AND(Parameter!$B$21="Ja",ISNUMBER(W510)),W510,IF(BZ510="2+3",IF(ISNUMBER(SEARCH("grosser Artikel",BR510)),2,IFERROR(VLOOKUP(BU510,Parameter!$F$35:$G$64,2,0),2)),IF(OR(BZ510="Nein",BZ510=""),"-",BZ510))))</f>
        <v>3</v>
      </c>
      <c r="AA510" s="55"/>
      <c r="AB510" s="56"/>
      <c r="AC510" s="50" t="n">
        <f aca="false">AT510</f>
        <v>20</v>
      </c>
      <c r="AD510" s="50" t="n">
        <f aca="false">MAX(AT510,H510)</f>
        <v>20</v>
      </c>
      <c r="AE510" s="57"/>
      <c r="AF510" s="50" t="n">
        <f aca="false">IF(LEFT(Cockpit!$C$5,1)="A",H510,IF(CE510=1,CF510,IF(LEFT(Cockpit!$C$5,1)="B",AK510,MAX(AK510,H510))))</f>
        <v>13</v>
      </c>
      <c r="AG510" s="50" t="n">
        <f aca="false">IF(BW510=1,0,ROUNDUP(AF510/BV510,0))</f>
        <v>1</v>
      </c>
      <c r="AH510" s="52" t="n">
        <f aca="false">IF(CL510&gt;0,CL510*MAX(1,AF510/X510),IF(BW510=1,IF(AF510&lt;=0,0,CA510*MAX(1,IF(H510&gt;0,AF510/H510,1))),IF(R510&gt;0,AG510/R510,0))/MAX(0.1,N(Parameter!$M$21)))</f>
        <v>0.00357142857142857</v>
      </c>
      <c r="AI510" s="50" t="n">
        <f aca="false">AH510*BY510</f>
        <v>0.553571428571429</v>
      </c>
      <c r="AJ510" s="50" t="n">
        <f aca="false">AF510*G510</f>
        <v>33.8</v>
      </c>
      <c r="AK510" s="50" t="n">
        <f aca="false">ROUNDUP(MAX(J510/IF(CD510&gt;0,CD510,MAX(0.1,N(Cockpit!$C$6))),CG510)/BV510,0)*BV510</f>
        <v>20</v>
      </c>
      <c r="AL510" s="51" t="n">
        <f aca="false">IF(AI510&gt;0,J510/AI510,-1)</f>
        <v>1.80645161290323</v>
      </c>
      <c r="AM510" s="51" t="n">
        <f aca="false">IF(AND(OR(CC510="L1",CC510="L23",CC510="LIFT"),AI510&gt;0),SUMIFS($AI$7:$AI$1843,$CC$7:$CC$1843,CC510,$AL$7:$AL$1843,"&gt;"&amp;AL510)+SUMIFS($AI$7:$AI$1843,$CC$7:$CC$1843,CC510,$AL$7:$AL$1843,AL510,$BT$7:$BT$1843,"&lt;="&amp;BT510),"")</f>
        <v>5963.12957875458</v>
      </c>
      <c r="AN510" s="58" t="n">
        <f aca="false">IF(AM510="",0,MAX(0,MIN(1,(IF(CC510="L1",Parameter!$H$5,IF(CC510="L23",Parameter!$H$6+Parameter!$H$7,Parameter!$H$5+Parameter!$H$6+Parameter!$H$7))-(AM510-AI510))/AI510)))</f>
        <v>1</v>
      </c>
      <c r="AO510" s="50" t="n">
        <f aca="false">IF(LEFT(Cockpit!$I$5,1)="A",H510,IF(CE510=1,CF510,IF(LEFT(Cockpit!$I$5,1)="B",AT510,MAX(AT510,H510))))</f>
        <v>20</v>
      </c>
      <c r="AP510" s="50" t="n">
        <f aca="false">IF(BW510=1,0,ROUNDUP(AO510/BV510,0))</f>
        <v>1</v>
      </c>
      <c r="AQ510" s="52" t="n">
        <f aca="false">IF(CL510&gt;0,CL510*MAX(1,AO510/X510),IF(BW510=1,IF(AO510&lt;=0,0,CA510*MAX(1,IF(H510&gt;0,AO510/H510,1))),IF(R510&gt;0,AP510/R510,0))/MAX(0.1,N(Parameter!$M$21)))</f>
        <v>0.00357142857142857</v>
      </c>
      <c r="AR510" s="50" t="n">
        <f aca="false">AQ510*BY510</f>
        <v>0.553571428571429</v>
      </c>
      <c r="AS510" s="50" t="n">
        <f aca="false">AO510*G510</f>
        <v>52</v>
      </c>
      <c r="AT510" s="50" t="n">
        <f aca="false">ROUNDUP(MAX(J510/IF(CD510&gt;0,CD510,MAX(0.1,N(Cockpit!$I$6))),CG510)/BV510,0)*BV510</f>
        <v>20</v>
      </c>
      <c r="AU510" s="51" t="n">
        <f aca="false">IF(AR510&gt;0,J510/AR510,-1)</f>
        <v>1.80645161290323</v>
      </c>
      <c r="AV510" s="51" t="n">
        <f aca="false">IF(AND(OR(CC510="L1",CC510="L23",CC510="LIFT"),AR510&gt;0),SUMIFS($AR$7:$AR$1843,$CC$7:$CC$1843,CC510,$AU$7:$AU$1843,"&gt;"&amp;AU510)+SUMIFS($AR$7:$AR$1843,$CC$7:$CC$1843,CC510,$AU$7:$AU$1843,AU510,$BT$7:$BT$1843,"&lt;="&amp;BT510),"")</f>
        <v>8073.49496336996</v>
      </c>
      <c r="AW510" s="58" t="n">
        <f aca="false">IF(AV510="",0,MAX(0,MIN(1,(IF(CC510="L1",Parameter!$H$5,IF(CC510="L23",Parameter!$H$6+Parameter!$H$7,Parameter!$H$5+Parameter!$H$6+Parameter!$H$7))-(AV510-AR510))/AR510)))</f>
        <v>1</v>
      </c>
      <c r="AX510" s="50" t="n">
        <f aca="false">IF(LEFT(Cockpit!$O$5,1)="A",H510,IF(CE510=1,CF510,IF(LEFT(Cockpit!$O$5,1)="B",BC510,MAX(BC510,H510))))</f>
        <v>20</v>
      </c>
      <c r="AY510" s="50" t="n">
        <f aca="false">IF(BW510=1,0,ROUNDUP(AX510/BV510,0))</f>
        <v>1</v>
      </c>
      <c r="AZ510" s="52" t="n">
        <f aca="false">IF(CL510&gt;0,CL510*MAX(1,AX510/X510),IF(BW510=1,IF(AX510&lt;=0,0,CA510*MAX(1,IF(H510&gt;0,AX510/H510,1))),IF(R510&gt;0,AY510/R510,0))/MAX(0.1,N(Parameter!$M$21)))</f>
        <v>0.00357142857142857</v>
      </c>
      <c r="BA510" s="50" t="n">
        <f aca="false">AZ510*BY510</f>
        <v>0.553571428571429</v>
      </c>
      <c r="BB510" s="50" t="n">
        <f aca="false">AX510*G510</f>
        <v>52</v>
      </c>
      <c r="BC510" s="50" t="n">
        <f aca="false">ROUNDUP(MAX(J510/IF(CD510&gt;0,CD510,MAX(0.1,N(Cockpit!$O$6))),CG510)/BV510,0)*BV510</f>
        <v>20</v>
      </c>
      <c r="BD510" s="51" t="n">
        <f aca="false">IF(BA510&gt;0,J510/BA510,-1)</f>
        <v>1.80645161290323</v>
      </c>
      <c r="BE510" s="51" t="n">
        <f aca="false">IF(AND(OR(CC510="L1",CC510="L23",CC510="LIFT"),BA510&gt;0),SUMIFS($BA$7:$BA$1843,$CC$7:$CC$1843,CC510,$BD$7:$BD$1843,"&gt;"&amp;BD510)+SUMIFS($BA$7:$BA$1843,$CC$7:$CC$1843,CC510,$BD$7:$BD$1843,BD510,$BT$7:$BT$1843,"&lt;="&amp;BT510),"")</f>
        <v>7975.81868131868</v>
      </c>
      <c r="BF510" s="58" t="n">
        <f aca="false">IF(BE510="",0,MAX(0,MIN(1,(IF(CC510="L1",Parameter!$H$5,IF(CC510="L23",Parameter!$H$6+Parameter!$H$7,Parameter!$H$5+Parameter!$H$6+Parameter!$H$7))-(BE510-BA510))/BA510)))</f>
        <v>1</v>
      </c>
      <c r="BG510" s="48" t="str">
        <f aca="false">IF(AI510&lt;=0,"",IF(CC510="Aussen","Aussenlager",IF(CC510="-","Nicht im Lift",IF(AN510&gt;=1,"Lift",IF(AN510&lt;=0,"Aussenlager","teilweise")))))</f>
        <v>Lift</v>
      </c>
      <c r="BH510" s="48" t="str">
        <f aca="false">IF(AR510&lt;=0,"",IF(CC510="Aussen","Aussenlager",IF(CC510="-","Nicht im Lift",IF(AW510&gt;=1,"Lift",IF(AW510&lt;=0,"Aussenlager","teilweise")))))</f>
        <v>Lift</v>
      </c>
      <c r="BI510" s="48" t="str">
        <f aca="false">IF(BA510&lt;=0,"",IF(CC510="Aussen","Aussenlager",IF(CC510="-","Nicht im Lift",IF(BF510&gt;=1,"Lift",IF(BF510&lt;=0,"Aussenlager","teilweise")))))</f>
        <v>Lift</v>
      </c>
      <c r="BJ510" s="48" t="str">
        <f aca="false">IF(A510="","",IF(BS510=1,"Neu; ","")&amp;IF(AND(BS510=0,BN510&lt;0),"negativer Bestand (Export "&amp;BN510&amp;"); ","")&amp;IF(J510&lt;=0,"Kein Verbrauch; ","")&amp;IF(CL510&gt;0,"Lift "&amp;W510&amp;" lt. Liftbericht (Fach "&amp;X510&amp;" Stk); ",IF(BX510=1,"Gebinde geschätzt ("&amp;T510&amp;"); ",IF(BW510=1,"Lose – Tablare geschätzt; ","")))&amp;IF(H510&gt;AT510,"Überbestand "&amp;ROUND(H510-AT510,0)&amp;" Stk / CHF "&amp;ROUND((H510-AT510)*G510,0)&amp;"; ","")&amp;IF(AND(CE510=1,CF510&lt;CG510),"MAX &lt; MB+LG; ","")&amp;IF(AND(CK510&gt;0,CJ510*10&gt;CK510),"zu hoch für Tablar; ","")&amp;IF(AND(BS510=0,OR(CE510=1,AA510&lt;&gt;"",U510&lt;&gt;"",V510&lt;&gt;"",AB510&lt;&gt;"")),"manuell übersteuert; ","")&amp;IF(AND(BW510=0,R510=0),"Gebinde unbekannt / Stellmass fehlt; ","")&amp;IF(AND(BW510=0,N(V510)&lt;=0,N(Q510)&lt;=0),"Menge pro Gebinde fehlt (Ist = 1 Gebinde); ","")&amp;BR510)</f>
        <v/>
      </c>
      <c r="BK510" s="48"/>
      <c r="BL510" s="48"/>
      <c r="BM510" s="55"/>
      <c r="BN510" s="50" t="n">
        <v>13</v>
      </c>
      <c r="BO510" s="50" t="n">
        <v>0</v>
      </c>
      <c r="BP510" s="49" t="n">
        <v>33.8</v>
      </c>
      <c r="BQ510" s="50" t="n">
        <v>1</v>
      </c>
      <c r="BR510" s="48"/>
      <c r="BS510" s="53" t="n">
        <v>0</v>
      </c>
      <c r="BT510" s="53" t="n">
        <v>510</v>
      </c>
      <c r="BU510" s="48" t="str">
        <f aca="false">IF(U510&lt;&gt;"",UPPER(TRIM(U510)),IF(BX510=1,UPPER(VLOOKUP(T510,Parameter!$I$27:$K$29,2,0)),IF(P510="","LOSE",P510)))</f>
        <v>S21</v>
      </c>
      <c r="BV510" s="50" t="n">
        <f aca="false">IF(BU510="LOSE",1,IF(N(V510)&gt;0,V510,IF(BX510=1,MAX(1,N(VLOOKUP(T510,Parameter!$I$27:$K$29,3,0)),H510,N(N510)),IF(N(Q510)&gt;0,Q510,MAX(1,H510)))))</f>
        <v>20</v>
      </c>
      <c r="BW510" s="53" t="n">
        <f aca="false">IF(BU510="LOSE",1,0)</f>
        <v>0</v>
      </c>
      <c r="BX510" s="53" t="n">
        <f aca="false">IF(AND(U510="",OR(P510="",P510="LOSE"),T510&lt;&gt;"",N(S510)&lt;=0,ISNUMBER(MATCH(T510,Parameter!$I$27:$I$29,0))),1,0)</f>
        <v>0</v>
      </c>
      <c r="BY510" s="53" t="n">
        <f aca="false">IF(CL510&gt;0,INDEX(Parameter!$H$5:$H$7,W510)/INDEX(Parameter!$E$5:$E$7,W510),IF(AND(BW510=0,N(IFERROR(VLOOKUP(BU510,'Gebinde-Kategorie'!$A$5:$N$45,14,0),0))&gt;0),VLOOKUP(BU510,'Gebinde-Kategorie'!$A$5:$N$45,14,0)*10+Parameter!$M$23,Parameter!$M$24))</f>
        <v>155</v>
      </c>
      <c r="BZ510" s="48" t="str">
        <f aca="false">IF(AND(Parameter!$B$19="Ja",E510&lt;&gt;"",ISNUMBER(MATCH(E510,Parameter!$I$35:$I$52,0))),VLOOKUP(E510,Parameter!$I$35:$J$52,2,0),IFERROR(VLOOKUP(D510,Parameter!$A$35:$C$64,2,0),"Nein"))</f>
        <v>2+3</v>
      </c>
      <c r="CA510" s="52" t="n">
        <f aca="false">IF(BW510=0,0,IF(N(S510)&gt;0,S510,IFERROR(VLOOKUP(D510,Parameter!$A$35:$C$64,3,0)+0,0)))</f>
        <v>0</v>
      </c>
      <c r="CB510" s="48" t="n">
        <f aca="false">IF(AA510&lt;&gt;"",AA510,Z510)</f>
        <v>3</v>
      </c>
      <c r="CC510" s="48" t="str">
        <f aca="false">IF(OR(CB510=1,CB510=2,CB510=3),IF(Parameter!$E$27="Ja","LIFT",IF(CB510=1,"L1","L23")),IF(CB510="Aussen","Aussen","-"))</f>
        <v>LIFT</v>
      </c>
      <c r="CD510" s="59" t="n">
        <f aca="false">IF(N(AB510)&gt;0,AB510,0)</f>
        <v>0</v>
      </c>
      <c r="CE510" s="53" t="n">
        <f aca="false">IF(ISNUMBER(AE510),1,0)</f>
        <v>0</v>
      </c>
      <c r="CF510" s="50" t="n">
        <f aca="false">N(AE510)</f>
        <v>0</v>
      </c>
      <c r="CG510" s="50" t="n">
        <f aca="false">N(M510)+N(N510)</f>
        <v>1</v>
      </c>
      <c r="CH510" s="50" t="n">
        <f aca="false">ROUNDUP(H510/BV510,0)</f>
        <v>1</v>
      </c>
      <c r="CI510" s="50" t="n">
        <f aca="false">ROUNDUP(CF510/BV510,0)</f>
        <v>0</v>
      </c>
      <c r="CJ510" s="53" t="n">
        <f aca="false">IF(BW510=1,0,IFERROR(VLOOKUP(BU510,'Gebinde-Kategorie'!$A$5:$N$45,5,0)+0,0))</f>
        <v>8</v>
      </c>
      <c r="CK510" s="53" t="n">
        <f aca="false">IFERROR(IF(OR(CB510=1,CB510=2,CB510=3),N(INDEX(Parameter!$I$5:$I$7,CB510)),0),0)</f>
        <v>0</v>
      </c>
      <c r="CL510" s="52" t="n">
        <f aca="false">IF(AND(Parameter!$B$21="Ja",ISNUMBER(W510),N(X510)&gt;0),IFERROR(N(INDEX(Parameter!$L$5:$L$7,W510))*INDEX(Parameter!$E$5:$E$7,W510)*X510/SUMIFS($X$7:$X$1843,$W$7:$W$1843,W510),0),0)</f>
        <v>0</v>
      </c>
    </row>
    <row r="511" customFormat="false" ht="15" hidden="false" customHeight="false" outlineLevel="0" collapsed="false">
      <c r="A511" s="48" t="s">
        <v>1120</v>
      </c>
      <c r="B511" s="48" t="s">
        <v>493</v>
      </c>
      <c r="C511" s="48" t="s">
        <v>168</v>
      </c>
      <c r="D511" s="48" t="s">
        <v>188</v>
      </c>
      <c r="E511" s="48" t="s">
        <v>189</v>
      </c>
      <c r="F511" s="48" t="s">
        <v>222</v>
      </c>
      <c r="G511" s="49" t="n">
        <v>18.95</v>
      </c>
      <c r="H511" s="50" t="n">
        <f aca="false">MAX(0,IF(AND(Parameter!$B$21="Ja",ISNUMBER(Y511)),Y511,IF(Parameter!$B$20="Jahresanfang 2025 + Export",BO511+BN511,BN511)))</f>
        <v>60</v>
      </c>
      <c r="I511" s="50" t="n">
        <f aca="false">H511*G511</f>
        <v>1137</v>
      </c>
      <c r="J511" s="50" t="n">
        <f aca="false">BQ511*Parameter!$B$18</f>
        <v>286</v>
      </c>
      <c r="K511" s="51" t="n">
        <v>72.5</v>
      </c>
      <c r="L511" s="52" t="n">
        <v>3.9448275862069</v>
      </c>
      <c r="M511" s="50" t="n">
        <v>5</v>
      </c>
      <c r="N511" s="50" t="n">
        <v>185</v>
      </c>
      <c r="O511" s="53" t="n">
        <v>7</v>
      </c>
      <c r="P511" s="48" t="s">
        <v>306</v>
      </c>
      <c r="Q511" s="50" t="n">
        <v>255</v>
      </c>
      <c r="R511" s="53" t="n">
        <f aca="false">IF(BW511=1,0,IFERROR(VLOOKUP(BU511,'Gebinde-Kategorie'!$A$5:$N$45,13,0)+0,0))</f>
        <v>26</v>
      </c>
      <c r="S511" s="54"/>
      <c r="T511" s="55"/>
      <c r="U511" s="55"/>
      <c r="V511" s="55"/>
      <c r="W511" s="48"/>
      <c r="X511" s="50"/>
      <c r="Y511" s="50"/>
      <c r="Z511" s="48" t="n">
        <f aca="false">IF(A511="","",IF(AND(Parameter!$B$21="Ja",ISNUMBER(W511)),W511,IF(BZ511="2+3",IF(ISNUMBER(SEARCH("grosser Artikel",BR511)),2,IFERROR(VLOOKUP(BU511,Parameter!$F$35:$G$64,2,0),2)),IF(OR(BZ511="Nein",BZ511=""),"-",BZ511))))</f>
        <v>3</v>
      </c>
      <c r="AA511" s="55"/>
      <c r="AB511" s="56"/>
      <c r="AC511" s="50" t="n">
        <f aca="false">AT511</f>
        <v>255</v>
      </c>
      <c r="AD511" s="50" t="n">
        <f aca="false">MAX(AT511,H511)</f>
        <v>255</v>
      </c>
      <c r="AE511" s="57"/>
      <c r="AF511" s="50" t="n">
        <f aca="false">IF(LEFT(Cockpit!$C$5,1)="A",H511,IF(CE511=1,CF511,IF(LEFT(Cockpit!$C$5,1)="B",AK511,MAX(AK511,H511))))</f>
        <v>60</v>
      </c>
      <c r="AG511" s="50" t="n">
        <f aca="false">IF(BW511=1,0,ROUNDUP(AF511/BV511,0))</f>
        <v>1</v>
      </c>
      <c r="AH511" s="52" t="n">
        <f aca="false">IF(CL511&gt;0,CL511*MAX(1,AF511/X511),IF(BW511=1,IF(AF511&lt;=0,0,CA511*MAX(1,IF(H511&gt;0,AF511/H511,1))),IF(R511&gt;0,AG511/R511,0))/MAX(0.1,N(Parameter!$M$21)))</f>
        <v>0.0384615384615385</v>
      </c>
      <c r="AI511" s="50" t="n">
        <f aca="false">AH511*BY511</f>
        <v>5.96153846153846</v>
      </c>
      <c r="AJ511" s="50" t="n">
        <f aca="false">AF511*G511</f>
        <v>1137</v>
      </c>
      <c r="AK511" s="50" t="n">
        <f aca="false">ROUNDUP(MAX(J511/IF(CD511&gt;0,CD511,MAX(0.1,N(Cockpit!$C$6))),CG511)/BV511,0)*BV511</f>
        <v>255</v>
      </c>
      <c r="AL511" s="51" t="n">
        <f aca="false">IF(AI511&gt;0,J511/AI511,-1)</f>
        <v>47.9741935483871</v>
      </c>
      <c r="AM511" s="51" t="n">
        <f aca="false">IF(AND(OR(CC511="L1",CC511="L23",CC511="LIFT"),AI511&gt;0),SUMIFS($AI$7:$AI$1843,$CC$7:$CC$1843,CC511,$AL$7:$AL$1843,"&gt;"&amp;AL511)+SUMIFS($AI$7:$AI$1843,$CC$7:$CC$1843,CC511,$AL$7:$AL$1843,AL511,$BT$7:$BT$1843,"&lt;="&amp;BT511),"")</f>
        <v>1148.94368131868</v>
      </c>
      <c r="AN511" s="58" t="n">
        <f aca="false">IF(AM511="",0,MAX(0,MIN(1,(IF(CC511="L1",Parameter!$H$5,IF(CC511="L23",Parameter!$H$6+Parameter!$H$7,Parameter!$H$5+Parameter!$H$6+Parameter!$H$7))-(AM511-AI511))/AI511)))</f>
        <v>1</v>
      </c>
      <c r="AO511" s="50" t="n">
        <f aca="false">IF(LEFT(Cockpit!$I$5,1)="A",H511,IF(CE511=1,CF511,IF(LEFT(Cockpit!$I$5,1)="B",AT511,MAX(AT511,H511))))</f>
        <v>255</v>
      </c>
      <c r="AP511" s="50" t="n">
        <f aca="false">IF(BW511=1,0,ROUNDUP(AO511/BV511,0))</f>
        <v>1</v>
      </c>
      <c r="AQ511" s="52" t="n">
        <f aca="false">IF(CL511&gt;0,CL511*MAX(1,AO511/X511),IF(BW511=1,IF(AO511&lt;=0,0,CA511*MAX(1,IF(H511&gt;0,AO511/H511,1))),IF(R511&gt;0,AP511/R511,0))/MAX(0.1,N(Parameter!$M$21)))</f>
        <v>0.0384615384615385</v>
      </c>
      <c r="AR511" s="50" t="n">
        <f aca="false">AQ511*BY511</f>
        <v>5.96153846153846</v>
      </c>
      <c r="AS511" s="50" t="n">
        <f aca="false">AO511*G511</f>
        <v>4832.25</v>
      </c>
      <c r="AT511" s="50" t="n">
        <f aca="false">ROUNDUP(MAX(J511/IF(CD511&gt;0,CD511,MAX(0.1,N(Cockpit!$I$6))),CG511)/BV511,0)*BV511</f>
        <v>255</v>
      </c>
      <c r="AU511" s="51" t="n">
        <f aca="false">IF(AR511&gt;0,J511/AR511,-1)</f>
        <v>47.9741935483871</v>
      </c>
      <c r="AV511" s="51" t="n">
        <f aca="false">IF(AND(OR(CC511="L1",CC511="L23",CC511="LIFT"),AR511&gt;0),SUMIFS($AR$7:$AR$1843,$CC$7:$CC$1843,CC511,$AU$7:$AU$1843,"&gt;"&amp;AU511)+SUMIFS($AR$7:$AR$1843,$CC$7:$CC$1843,CC511,$AU$7:$AU$1843,AU511,$BT$7:$BT$1843,"&lt;="&amp;BT511),"")</f>
        <v>1610.24542124542</v>
      </c>
      <c r="AW511" s="58" t="n">
        <f aca="false">IF(AV511="",0,MAX(0,MIN(1,(IF(CC511="L1",Parameter!$H$5,IF(CC511="L23",Parameter!$H$6+Parameter!$H$7,Parameter!$H$5+Parameter!$H$6+Parameter!$H$7))-(AV511-AR511))/AR511)))</f>
        <v>1</v>
      </c>
      <c r="AX511" s="50" t="n">
        <f aca="false">IF(LEFT(Cockpit!$O$5,1)="A",H511,IF(CE511=1,CF511,IF(LEFT(Cockpit!$O$5,1)="B",BC511,MAX(BC511,H511))))</f>
        <v>255</v>
      </c>
      <c r="AY511" s="50" t="n">
        <f aca="false">IF(BW511=1,0,ROUNDUP(AX511/BV511,0))</f>
        <v>1</v>
      </c>
      <c r="AZ511" s="52" t="n">
        <f aca="false">IF(CL511&gt;0,CL511*MAX(1,AX511/X511),IF(BW511=1,IF(AX511&lt;=0,0,CA511*MAX(1,IF(H511&gt;0,AX511/H511,1))),IF(R511&gt;0,AY511/R511,0))/MAX(0.1,N(Parameter!$M$21)))</f>
        <v>0.0384615384615385</v>
      </c>
      <c r="BA511" s="50" t="n">
        <f aca="false">AZ511*BY511</f>
        <v>5.96153846153846</v>
      </c>
      <c r="BB511" s="50" t="n">
        <f aca="false">AX511*G511</f>
        <v>4832.25</v>
      </c>
      <c r="BC511" s="50" t="n">
        <f aca="false">ROUNDUP(MAX(J511/IF(CD511&gt;0,CD511,MAX(0.1,N(Cockpit!$O$6))),CG511)/BV511,0)*BV511</f>
        <v>255</v>
      </c>
      <c r="BD511" s="51" t="n">
        <f aca="false">IF(BA511&gt;0,J511/BA511,-1)</f>
        <v>47.9741935483871</v>
      </c>
      <c r="BE511" s="51" t="n">
        <f aca="false">IF(AND(OR(CC511="L1",CC511="L23",CC511="LIFT"),BA511&gt;0),SUMIFS($BA$7:$BA$1843,$CC$7:$CC$1843,CC511,$BD$7:$BD$1843,"&gt;"&amp;BD511)+SUMIFS($BA$7:$BA$1843,$CC$7:$CC$1843,CC511,$BD$7:$BD$1843,BD511,$BT$7:$BT$1843,"&lt;="&amp;BT511),"")</f>
        <v>1437.47298534799</v>
      </c>
      <c r="BF511" s="58" t="n">
        <f aca="false">IF(BE511="",0,MAX(0,MIN(1,(IF(CC511="L1",Parameter!$H$5,IF(CC511="L23",Parameter!$H$6+Parameter!$H$7,Parameter!$H$5+Parameter!$H$6+Parameter!$H$7))-(BE511-BA511))/BA511)))</f>
        <v>1</v>
      </c>
      <c r="BG511" s="48" t="str">
        <f aca="false">IF(AI511&lt;=0,"",IF(CC511="Aussen","Aussenlager",IF(CC511="-","Nicht im Lift",IF(AN511&gt;=1,"Lift",IF(AN511&lt;=0,"Aussenlager","teilweise")))))</f>
        <v>Lift</v>
      </c>
      <c r="BH511" s="48" t="str">
        <f aca="false">IF(AR511&lt;=0,"",IF(CC511="Aussen","Aussenlager",IF(CC511="-","Nicht im Lift",IF(AW511&gt;=1,"Lift",IF(AW511&lt;=0,"Aussenlager","teilweise")))))</f>
        <v>Lift</v>
      </c>
      <c r="BI511" s="48" t="str">
        <f aca="false">IF(BA511&lt;=0,"",IF(CC511="Aussen","Aussenlager",IF(CC511="-","Nicht im Lift",IF(BF511&gt;=1,"Lift",IF(BF511&lt;=0,"Aussenlager","teilweise")))))</f>
        <v>Lift</v>
      </c>
      <c r="BJ511" s="48" t="str">
        <f aca="false">IF(A511="","",IF(BS511=1,"Neu; ","")&amp;IF(AND(BS511=0,BN511&lt;0),"negativer Bestand (Export "&amp;BN511&amp;"); ","")&amp;IF(J511&lt;=0,"Kein Verbrauch; ","")&amp;IF(CL511&gt;0,"Lift "&amp;W511&amp;" lt. Liftbericht (Fach "&amp;X511&amp;" Stk); ",IF(BX511=1,"Gebinde geschätzt ("&amp;T511&amp;"); ",IF(BW511=1,"Lose – Tablare geschätzt; ","")))&amp;IF(H511&gt;AT511,"Überbestand "&amp;ROUND(H511-AT511,0)&amp;" Stk / CHF "&amp;ROUND((H511-AT511)*G511,0)&amp;"; ","")&amp;IF(AND(CE511=1,CF511&lt;CG511),"MAX &lt; MB+LG; ","")&amp;IF(AND(CK511&gt;0,CJ511*10&gt;CK511),"zu hoch für Tablar; ","")&amp;IF(AND(BS511=0,OR(CE511=1,AA511&lt;&gt;"",U511&lt;&gt;"",V511&lt;&gt;"",AB511&lt;&gt;"")),"manuell übersteuert; ","")&amp;IF(AND(BW511=0,R511=0),"Gebinde unbekannt / Stellmass fehlt; ","")&amp;IF(AND(BW511=0,N(V511)&lt;=0,N(Q511)&lt;=0),"Menge pro Gebinde fehlt (Ist = 1 Gebinde); ","")&amp;BR511)</f>
        <v/>
      </c>
      <c r="BK511" s="48"/>
      <c r="BL511" s="48"/>
      <c r="BM511" s="55"/>
      <c r="BN511" s="50" t="n">
        <v>5</v>
      </c>
      <c r="BO511" s="50" t="n">
        <v>55</v>
      </c>
      <c r="BP511" s="49" t="n">
        <v>33.6900000000001</v>
      </c>
      <c r="BQ511" s="50" t="n">
        <v>286</v>
      </c>
      <c r="BR511" s="48"/>
      <c r="BS511" s="53" t="n">
        <v>0</v>
      </c>
      <c r="BT511" s="53" t="n">
        <v>511</v>
      </c>
      <c r="BU511" s="48" t="str">
        <f aca="false">IF(U511&lt;&gt;"",UPPER(TRIM(U511)),IF(BX511=1,UPPER(VLOOKUP(T511,Parameter!$I$27:$K$29,2,0)),IF(P511="","LOSE",P511)))</f>
        <v>S51</v>
      </c>
      <c r="BV511" s="50" t="n">
        <f aca="false">IF(BU511="LOSE",1,IF(N(V511)&gt;0,V511,IF(BX511=1,MAX(1,N(VLOOKUP(T511,Parameter!$I$27:$K$29,3,0)),H511,N(N511)),IF(N(Q511)&gt;0,Q511,MAX(1,H511)))))</f>
        <v>255</v>
      </c>
      <c r="BW511" s="53" t="n">
        <f aca="false">IF(BU511="LOSE",1,0)</f>
        <v>0</v>
      </c>
      <c r="BX511" s="53" t="n">
        <f aca="false">IF(AND(U511="",OR(P511="",P511="LOSE"),T511&lt;&gt;"",N(S511)&lt;=0,ISNUMBER(MATCH(T511,Parameter!$I$27:$I$29,0))),1,0)</f>
        <v>0</v>
      </c>
      <c r="BY511" s="53" t="n">
        <f aca="false">IF(CL511&gt;0,INDEX(Parameter!$H$5:$H$7,W511)/INDEX(Parameter!$E$5:$E$7,W511),IF(AND(BW511=0,N(IFERROR(VLOOKUP(BU511,'Gebinde-Kategorie'!$A$5:$N$45,14,0),0))&gt;0),VLOOKUP(BU511,'Gebinde-Kategorie'!$A$5:$N$45,14,0)*10+Parameter!$M$23,Parameter!$M$24))</f>
        <v>155</v>
      </c>
      <c r="BZ511" s="48" t="str">
        <f aca="false">IF(AND(Parameter!$B$19="Ja",E511&lt;&gt;"",ISNUMBER(MATCH(E511,Parameter!$I$35:$I$52,0))),VLOOKUP(E511,Parameter!$I$35:$J$52,2,0),IFERROR(VLOOKUP(D511,Parameter!$A$35:$C$64,2,0),"Nein"))</f>
        <v>2+3</v>
      </c>
      <c r="CA511" s="52" t="n">
        <f aca="false">IF(BW511=0,0,IF(N(S511)&gt;0,S511,IFERROR(VLOOKUP(D511,Parameter!$A$35:$C$64,3,0)+0,0)))</f>
        <v>0</v>
      </c>
      <c r="CB511" s="48" t="n">
        <f aca="false">IF(AA511&lt;&gt;"",AA511,Z511)</f>
        <v>3</v>
      </c>
      <c r="CC511" s="48" t="str">
        <f aca="false">IF(OR(CB511=1,CB511=2,CB511=3),IF(Parameter!$E$27="Ja","LIFT",IF(CB511=1,"L1","L23")),IF(CB511="Aussen","Aussen","-"))</f>
        <v>LIFT</v>
      </c>
      <c r="CD511" s="59" t="n">
        <f aca="false">IF(N(AB511)&gt;0,AB511,0)</f>
        <v>0</v>
      </c>
      <c r="CE511" s="53" t="n">
        <f aca="false">IF(ISNUMBER(AE511),1,0)</f>
        <v>0</v>
      </c>
      <c r="CF511" s="50" t="n">
        <f aca="false">N(AE511)</f>
        <v>0</v>
      </c>
      <c r="CG511" s="50" t="n">
        <f aca="false">N(M511)+N(N511)</f>
        <v>190</v>
      </c>
      <c r="CH511" s="50" t="n">
        <f aca="false">ROUNDUP(H511/BV511,0)</f>
        <v>1</v>
      </c>
      <c r="CI511" s="50" t="n">
        <f aca="false">ROUNDUP(CF511/BV511,0)</f>
        <v>0</v>
      </c>
      <c r="CJ511" s="53" t="n">
        <f aca="false">IF(BW511=1,0,IFERROR(VLOOKUP(BU511,'Gebinde-Kategorie'!$A$5:$N$45,5,0)+0,0))</f>
        <v>11</v>
      </c>
      <c r="CK511" s="53" t="n">
        <f aca="false">IFERROR(IF(OR(CB511=1,CB511=2,CB511=3),N(INDEX(Parameter!$I$5:$I$7,CB511)),0),0)</f>
        <v>0</v>
      </c>
      <c r="CL511" s="52" t="n">
        <f aca="false">IF(AND(Parameter!$B$21="Ja",ISNUMBER(W511),N(X511)&gt;0),IFERROR(N(INDEX(Parameter!$L$5:$L$7,W511))*INDEX(Parameter!$E$5:$E$7,W511)*X511/SUMIFS($X$7:$X$1843,$W$7:$W$1843,W511),0),0)</f>
        <v>0</v>
      </c>
    </row>
    <row r="512" customFormat="false" ht="15" hidden="false" customHeight="false" outlineLevel="0" collapsed="false">
      <c r="A512" s="48" t="s">
        <v>1121</v>
      </c>
      <c r="B512" s="48" t="s">
        <v>1122</v>
      </c>
      <c r="C512" s="48" t="s">
        <v>168</v>
      </c>
      <c r="D512" s="48" t="s">
        <v>188</v>
      </c>
      <c r="E512" s="48" t="s">
        <v>189</v>
      </c>
      <c r="F512" s="48" t="s">
        <v>222</v>
      </c>
      <c r="G512" s="49" t="n">
        <v>43.1</v>
      </c>
      <c r="H512" s="50" t="n">
        <f aca="false">MAX(0,IF(AND(Parameter!$B$21="Ja",ISNUMBER(Y512)),Y512,IF(Parameter!$B$20="Jahresanfang 2025 + Export",BO512+BN512,BN512)))</f>
        <v>7</v>
      </c>
      <c r="I512" s="50" t="n">
        <f aca="false">H512*G512</f>
        <v>301.7</v>
      </c>
      <c r="J512" s="50" t="n">
        <f aca="false">BQ512*Parameter!$B$18</f>
        <v>22</v>
      </c>
      <c r="K512" s="51" t="n">
        <v>9</v>
      </c>
      <c r="L512" s="52" t="n">
        <v>2.44444444444445</v>
      </c>
      <c r="M512" s="50" t="n">
        <v>1</v>
      </c>
      <c r="N512" s="50" t="n">
        <v>20</v>
      </c>
      <c r="O512" s="53" t="n">
        <v>28</v>
      </c>
      <c r="P512" s="48" t="s">
        <v>306</v>
      </c>
      <c r="Q512" s="50" t="n">
        <v>16</v>
      </c>
      <c r="R512" s="53" t="n">
        <f aca="false">IF(BW512=1,0,IFERROR(VLOOKUP(BU512,'Gebinde-Kategorie'!$A$5:$N$45,13,0)+0,0))</f>
        <v>26</v>
      </c>
      <c r="S512" s="54"/>
      <c r="T512" s="55"/>
      <c r="U512" s="55"/>
      <c r="V512" s="55"/>
      <c r="W512" s="48"/>
      <c r="X512" s="50"/>
      <c r="Y512" s="50"/>
      <c r="Z512" s="48" t="n">
        <f aca="false">IF(A512="","",IF(AND(Parameter!$B$21="Ja",ISNUMBER(W512)),W512,IF(BZ512="2+3",IF(ISNUMBER(SEARCH("grosser Artikel",BR512)),2,IFERROR(VLOOKUP(BU512,Parameter!$F$35:$G$64,2,0),2)),IF(OR(BZ512="Nein",BZ512=""),"-",BZ512))))</f>
        <v>3</v>
      </c>
      <c r="AA512" s="55"/>
      <c r="AB512" s="56"/>
      <c r="AC512" s="50" t="n">
        <f aca="false">AT512</f>
        <v>32</v>
      </c>
      <c r="AD512" s="50" t="n">
        <f aca="false">MAX(AT512,H512)</f>
        <v>32</v>
      </c>
      <c r="AE512" s="57"/>
      <c r="AF512" s="50" t="n">
        <f aca="false">IF(LEFT(Cockpit!$C$5,1)="A",H512,IF(CE512=1,CF512,IF(LEFT(Cockpit!$C$5,1)="B",AK512,MAX(AK512,H512))))</f>
        <v>7</v>
      </c>
      <c r="AG512" s="50" t="n">
        <f aca="false">IF(BW512=1,0,ROUNDUP(AF512/BV512,0))</f>
        <v>1</v>
      </c>
      <c r="AH512" s="52" t="n">
        <f aca="false">IF(CL512&gt;0,CL512*MAX(1,AF512/X512),IF(BW512=1,IF(AF512&lt;=0,0,CA512*MAX(1,IF(H512&gt;0,AF512/H512,1))),IF(R512&gt;0,AG512/R512,0))/MAX(0.1,N(Parameter!$M$21)))</f>
        <v>0.0384615384615385</v>
      </c>
      <c r="AI512" s="50" t="n">
        <f aca="false">AH512*BY512</f>
        <v>5.96153846153846</v>
      </c>
      <c r="AJ512" s="50" t="n">
        <f aca="false">AF512*G512</f>
        <v>301.7</v>
      </c>
      <c r="AK512" s="50" t="n">
        <f aca="false">ROUNDUP(MAX(J512/IF(CD512&gt;0,CD512,MAX(0.1,N(Cockpit!$C$6))),CG512)/BV512,0)*BV512</f>
        <v>32</v>
      </c>
      <c r="AL512" s="51" t="n">
        <f aca="false">IF(AI512&gt;0,J512/AI512,-1)</f>
        <v>3.69032258064516</v>
      </c>
      <c r="AM512" s="51" t="n">
        <f aca="false">IF(AND(OR(CC512="L1",CC512="L23",CC512="LIFT"),AI512&gt;0),SUMIFS($AI$7:$AI$1843,$CC$7:$CC$1843,CC512,$AL$7:$AL$1843,"&gt;"&amp;AL512)+SUMIFS($AI$7:$AI$1843,$CC$7:$CC$1843,CC512,$AL$7:$AL$1843,AL512,$BT$7:$BT$1843,"&lt;="&amp;BT512),"")</f>
        <v>4772.77564102564</v>
      </c>
      <c r="AN512" s="58" t="n">
        <f aca="false">IF(AM512="",0,MAX(0,MIN(1,(IF(CC512="L1",Parameter!$H$5,IF(CC512="L23",Parameter!$H$6+Parameter!$H$7,Parameter!$H$5+Parameter!$H$6+Parameter!$H$7))-(AM512-AI512))/AI512)))</f>
        <v>1</v>
      </c>
      <c r="AO512" s="50" t="n">
        <f aca="false">IF(LEFT(Cockpit!$I$5,1)="A",H512,IF(CE512=1,CF512,IF(LEFT(Cockpit!$I$5,1)="B",AT512,MAX(AT512,H512))))</f>
        <v>32</v>
      </c>
      <c r="AP512" s="50" t="n">
        <f aca="false">IF(BW512=1,0,ROUNDUP(AO512/BV512,0))</f>
        <v>2</v>
      </c>
      <c r="AQ512" s="52" t="n">
        <f aca="false">IF(CL512&gt;0,CL512*MAX(1,AO512/X512),IF(BW512=1,IF(AO512&lt;=0,0,CA512*MAX(1,IF(H512&gt;0,AO512/H512,1))),IF(R512&gt;0,AP512/R512,0))/MAX(0.1,N(Parameter!$M$21)))</f>
        <v>0.0769230769230769</v>
      </c>
      <c r="AR512" s="50" t="n">
        <f aca="false">AQ512*BY512</f>
        <v>11.9230769230769</v>
      </c>
      <c r="AS512" s="50" t="n">
        <f aca="false">AO512*G512</f>
        <v>1379.2</v>
      </c>
      <c r="AT512" s="50" t="n">
        <f aca="false">ROUNDUP(MAX(J512/IF(CD512&gt;0,CD512,MAX(0.1,N(Cockpit!$I$6))),CG512)/BV512,0)*BV512</f>
        <v>32</v>
      </c>
      <c r="AU512" s="51" t="n">
        <f aca="false">IF(AR512&gt;0,J512/AR512,-1)</f>
        <v>1.84516129032258</v>
      </c>
      <c r="AV512" s="51" t="n">
        <f aca="false">IF(AND(OR(CC512="L1",CC512="L23",CC512="LIFT"),AR512&gt;0),SUMIFS($AR$7:$AR$1843,$CC$7:$CC$1843,CC512,$AU$7:$AU$1843,"&gt;"&amp;AU512)+SUMIFS($AR$7:$AR$1843,$CC$7:$CC$1843,CC512,$AU$7:$AU$1843,AU512,$BT$7:$BT$1843,"&lt;="&amp;BT512),"")</f>
        <v>8064.211996337</v>
      </c>
      <c r="AW512" s="58" t="n">
        <f aca="false">IF(AV512="",0,MAX(0,MIN(1,(IF(CC512="L1",Parameter!$H$5,IF(CC512="L23",Parameter!$H$6+Parameter!$H$7,Parameter!$H$5+Parameter!$H$6+Parameter!$H$7))-(AV512-AR512))/AR512)))</f>
        <v>1</v>
      </c>
      <c r="AX512" s="50" t="n">
        <f aca="false">IF(LEFT(Cockpit!$O$5,1)="A",H512,IF(CE512=1,CF512,IF(LEFT(Cockpit!$O$5,1)="B",BC512,MAX(BC512,H512))))</f>
        <v>32</v>
      </c>
      <c r="AY512" s="50" t="n">
        <f aca="false">IF(BW512=1,0,ROUNDUP(AX512/BV512,0))</f>
        <v>2</v>
      </c>
      <c r="AZ512" s="52" t="n">
        <f aca="false">IF(CL512&gt;0,CL512*MAX(1,AX512/X512),IF(BW512=1,IF(AX512&lt;=0,0,CA512*MAX(1,IF(H512&gt;0,AX512/H512,1))),IF(R512&gt;0,AY512/R512,0))/MAX(0.1,N(Parameter!$M$21)))</f>
        <v>0.0769230769230769</v>
      </c>
      <c r="BA512" s="50" t="n">
        <f aca="false">AZ512*BY512</f>
        <v>11.9230769230769</v>
      </c>
      <c r="BB512" s="50" t="n">
        <f aca="false">AX512*G512</f>
        <v>1379.2</v>
      </c>
      <c r="BC512" s="50" t="n">
        <f aca="false">ROUNDUP(MAX(J512/IF(CD512&gt;0,CD512,MAX(0.1,N(Cockpit!$O$6))),CG512)/BV512,0)*BV512</f>
        <v>32</v>
      </c>
      <c r="BD512" s="51" t="n">
        <f aca="false">IF(BA512&gt;0,J512/BA512,-1)</f>
        <v>1.84516129032258</v>
      </c>
      <c r="BE512" s="51" t="n">
        <f aca="false">IF(AND(OR(CC512="L1",CC512="L23",CC512="LIFT"),BA512&gt;0),SUMIFS($BA$7:$BA$1843,$CC$7:$CC$1843,CC512,$BD$7:$BD$1843,"&gt;"&amp;BD512)+SUMIFS($BA$7:$BA$1843,$CC$7:$CC$1843,CC512,$BD$7:$BD$1843,BD512,$BT$7:$BT$1843,"&lt;="&amp;BT512),"")</f>
        <v>7884.86904761905</v>
      </c>
      <c r="BF512" s="58" t="n">
        <f aca="false">IF(BE512="",0,MAX(0,MIN(1,(IF(CC512="L1",Parameter!$H$5,IF(CC512="L23",Parameter!$H$6+Parameter!$H$7,Parameter!$H$5+Parameter!$H$6+Parameter!$H$7))-(BE512-BA512))/BA512)))</f>
        <v>1</v>
      </c>
      <c r="BG512" s="48" t="str">
        <f aca="false">IF(AI512&lt;=0,"",IF(CC512="Aussen","Aussenlager",IF(CC512="-","Nicht im Lift",IF(AN512&gt;=1,"Lift",IF(AN512&lt;=0,"Aussenlager","teilweise")))))</f>
        <v>Lift</v>
      </c>
      <c r="BH512" s="48" t="str">
        <f aca="false">IF(AR512&lt;=0,"",IF(CC512="Aussen","Aussenlager",IF(CC512="-","Nicht im Lift",IF(AW512&gt;=1,"Lift",IF(AW512&lt;=0,"Aussenlager","teilweise")))))</f>
        <v>Lift</v>
      </c>
      <c r="BI512" s="48" t="str">
        <f aca="false">IF(BA512&lt;=0,"",IF(CC512="Aussen","Aussenlager",IF(CC512="-","Nicht im Lift",IF(BF512&gt;=1,"Lift",IF(BF512&lt;=0,"Aussenlager","teilweise")))))</f>
        <v>Lift</v>
      </c>
      <c r="BJ512" s="48" t="str">
        <f aca="false">IF(A512="","",IF(BS512=1,"Neu; ","")&amp;IF(AND(BS512=0,BN512&lt;0),"negativer Bestand (Export "&amp;BN512&amp;"); ","")&amp;IF(J512&lt;=0,"Kein Verbrauch; ","")&amp;IF(CL512&gt;0,"Lift "&amp;W512&amp;" lt. Liftbericht (Fach "&amp;X512&amp;" Stk); ",IF(BX512=1,"Gebinde geschätzt ("&amp;T512&amp;"); ",IF(BW512=1,"Lose – Tablare geschätzt; ","")))&amp;IF(H512&gt;AT512,"Überbestand "&amp;ROUND(H512-AT512,0)&amp;" Stk / CHF "&amp;ROUND((H512-AT512)*G512,0)&amp;"; ","")&amp;IF(AND(CE512=1,CF512&lt;CG512),"MAX &lt; MB+LG; ","")&amp;IF(AND(CK512&gt;0,CJ512*10&gt;CK512),"zu hoch für Tablar; ","")&amp;IF(AND(BS512=0,OR(CE512=1,AA512&lt;&gt;"",U512&lt;&gt;"",V512&lt;&gt;"",AB512&lt;&gt;"")),"manuell übersteuert; ","")&amp;IF(AND(BW512=0,R512=0),"Gebinde unbekannt / Stellmass fehlt; ","")&amp;IF(AND(BW512=0,N(V512)&lt;=0,N(Q512)&lt;=0),"Menge pro Gebinde fehlt (Ist = 1 Gebinde); ","")&amp;BR512)</f>
        <v/>
      </c>
      <c r="BK512" s="48"/>
      <c r="BL512" s="48"/>
      <c r="BM512" s="55"/>
      <c r="BN512" s="50" t="n">
        <v>1</v>
      </c>
      <c r="BO512" s="50" t="n">
        <v>6</v>
      </c>
      <c r="BP512" s="49" t="n">
        <v>32.7200000000002</v>
      </c>
      <c r="BQ512" s="50" t="n">
        <v>22</v>
      </c>
      <c r="BR512" s="48"/>
      <c r="BS512" s="53" t="n">
        <v>0</v>
      </c>
      <c r="BT512" s="53" t="n">
        <v>512</v>
      </c>
      <c r="BU512" s="48" t="str">
        <f aca="false">IF(U512&lt;&gt;"",UPPER(TRIM(U512)),IF(BX512=1,UPPER(VLOOKUP(T512,Parameter!$I$27:$K$29,2,0)),IF(P512="","LOSE",P512)))</f>
        <v>S51</v>
      </c>
      <c r="BV512" s="50" t="n">
        <f aca="false">IF(BU512="LOSE",1,IF(N(V512)&gt;0,V512,IF(BX512=1,MAX(1,N(VLOOKUP(T512,Parameter!$I$27:$K$29,3,0)),H512,N(N512)),IF(N(Q512)&gt;0,Q512,MAX(1,H512)))))</f>
        <v>16</v>
      </c>
      <c r="BW512" s="53" t="n">
        <f aca="false">IF(BU512="LOSE",1,0)</f>
        <v>0</v>
      </c>
      <c r="BX512" s="53" t="n">
        <f aca="false">IF(AND(U512="",OR(P512="",P512="LOSE"),T512&lt;&gt;"",N(S512)&lt;=0,ISNUMBER(MATCH(T512,Parameter!$I$27:$I$29,0))),1,0)</f>
        <v>0</v>
      </c>
      <c r="BY512" s="53" t="n">
        <f aca="false">IF(CL512&gt;0,INDEX(Parameter!$H$5:$H$7,W512)/INDEX(Parameter!$E$5:$E$7,W512),IF(AND(BW512=0,N(IFERROR(VLOOKUP(BU512,'Gebinde-Kategorie'!$A$5:$N$45,14,0),0))&gt;0),VLOOKUP(BU512,'Gebinde-Kategorie'!$A$5:$N$45,14,0)*10+Parameter!$M$23,Parameter!$M$24))</f>
        <v>155</v>
      </c>
      <c r="BZ512" s="48" t="str">
        <f aca="false">IF(AND(Parameter!$B$19="Ja",E512&lt;&gt;"",ISNUMBER(MATCH(E512,Parameter!$I$35:$I$52,0))),VLOOKUP(E512,Parameter!$I$35:$J$52,2,0),IFERROR(VLOOKUP(D512,Parameter!$A$35:$C$64,2,0),"Nein"))</f>
        <v>2+3</v>
      </c>
      <c r="CA512" s="52" t="n">
        <f aca="false">IF(BW512=0,0,IF(N(S512)&gt;0,S512,IFERROR(VLOOKUP(D512,Parameter!$A$35:$C$64,3,0)+0,0)))</f>
        <v>0</v>
      </c>
      <c r="CB512" s="48" t="n">
        <f aca="false">IF(AA512&lt;&gt;"",AA512,Z512)</f>
        <v>3</v>
      </c>
      <c r="CC512" s="48" t="str">
        <f aca="false">IF(OR(CB512=1,CB512=2,CB512=3),IF(Parameter!$E$27="Ja","LIFT",IF(CB512=1,"L1","L23")),IF(CB512="Aussen","Aussen","-"))</f>
        <v>LIFT</v>
      </c>
      <c r="CD512" s="59" t="n">
        <f aca="false">IF(N(AB512)&gt;0,AB512,0)</f>
        <v>0</v>
      </c>
      <c r="CE512" s="53" t="n">
        <f aca="false">IF(ISNUMBER(AE512),1,0)</f>
        <v>0</v>
      </c>
      <c r="CF512" s="50" t="n">
        <f aca="false">N(AE512)</f>
        <v>0</v>
      </c>
      <c r="CG512" s="50" t="n">
        <f aca="false">N(M512)+N(N512)</f>
        <v>21</v>
      </c>
      <c r="CH512" s="50" t="n">
        <f aca="false">ROUNDUP(H512/BV512,0)</f>
        <v>1</v>
      </c>
      <c r="CI512" s="50" t="n">
        <f aca="false">ROUNDUP(CF512/BV512,0)</f>
        <v>0</v>
      </c>
      <c r="CJ512" s="53" t="n">
        <f aca="false">IF(BW512=1,0,IFERROR(VLOOKUP(BU512,'Gebinde-Kategorie'!$A$5:$N$45,5,0)+0,0))</f>
        <v>11</v>
      </c>
      <c r="CK512" s="53" t="n">
        <f aca="false">IFERROR(IF(OR(CB512=1,CB512=2,CB512=3),N(INDEX(Parameter!$I$5:$I$7,CB512)),0),0)</f>
        <v>0</v>
      </c>
      <c r="CL512" s="52" t="n">
        <f aca="false">IF(AND(Parameter!$B$21="Ja",ISNUMBER(W512),N(X512)&gt;0),IFERROR(N(INDEX(Parameter!$L$5:$L$7,W512))*INDEX(Parameter!$E$5:$E$7,W512)*X512/SUMIFS($X$7:$X$1843,$W$7:$W$1843,W512),0),0)</f>
        <v>0</v>
      </c>
    </row>
    <row r="513" customFormat="false" ht="15" hidden="false" customHeight="false" outlineLevel="0" collapsed="false">
      <c r="A513" s="48" t="s">
        <v>1123</v>
      </c>
      <c r="B513" s="48" t="s">
        <v>472</v>
      </c>
      <c r="C513" s="48" t="s">
        <v>168</v>
      </c>
      <c r="D513" s="48" t="s">
        <v>188</v>
      </c>
      <c r="E513" s="48" t="s">
        <v>189</v>
      </c>
      <c r="F513" s="48" t="s">
        <v>222</v>
      </c>
      <c r="G513" s="49" t="n">
        <v>0.24</v>
      </c>
      <c r="H513" s="50" t="n">
        <f aca="false">MAX(0,IF(AND(Parameter!$B$21="Ja",ISNUMBER(Y513)),Y513,IF(Parameter!$B$20="Jahresanfang 2025 + Export",BO513+BN513,BN513)))</f>
        <v>203</v>
      </c>
      <c r="I513" s="50" t="n">
        <f aca="false">H513*G513</f>
        <v>48.72</v>
      </c>
      <c r="J513" s="50" t="n">
        <f aca="false">BQ513*Parameter!$B$18</f>
        <v>211</v>
      </c>
      <c r="K513" s="51" t="n">
        <v>95</v>
      </c>
      <c r="L513" s="52" t="n">
        <v>2.22105263157895</v>
      </c>
      <c r="M513" s="50" t="n">
        <v>8</v>
      </c>
      <c r="N513" s="50" t="n">
        <v>210</v>
      </c>
      <c r="O513" s="53" t="n">
        <v>14</v>
      </c>
      <c r="P513" s="48" t="s">
        <v>332</v>
      </c>
      <c r="Q513" s="50" t="n">
        <v>45</v>
      </c>
      <c r="R513" s="53" t="n">
        <f aca="false">IF(BW513=1,0,IFERROR(VLOOKUP(BU513,'Gebinde-Kategorie'!$A$5:$N$45,13,0)+0,0))</f>
        <v>52</v>
      </c>
      <c r="S513" s="54"/>
      <c r="T513" s="55"/>
      <c r="U513" s="55"/>
      <c r="V513" s="55"/>
      <c r="W513" s="48"/>
      <c r="X513" s="50"/>
      <c r="Y513" s="50"/>
      <c r="Z513" s="48" t="n">
        <f aca="false">IF(A513="","",IF(AND(Parameter!$B$21="Ja",ISNUMBER(W513)),W513,IF(BZ513="2+3",IF(ISNUMBER(SEARCH("grosser Artikel",BR513)),2,IFERROR(VLOOKUP(BU513,Parameter!$F$35:$G$64,2,0),2)),IF(OR(BZ513="Nein",BZ513=""),"-",BZ513))))</f>
        <v>3</v>
      </c>
      <c r="AA513" s="55"/>
      <c r="AB513" s="56"/>
      <c r="AC513" s="50" t="n">
        <f aca="false">AT513</f>
        <v>225</v>
      </c>
      <c r="AD513" s="50" t="n">
        <f aca="false">MAX(AT513,H513)</f>
        <v>225</v>
      </c>
      <c r="AE513" s="57"/>
      <c r="AF513" s="50" t="n">
        <f aca="false">IF(LEFT(Cockpit!$C$5,1)="A",H513,IF(CE513=1,CF513,IF(LEFT(Cockpit!$C$5,1)="B",AK513,MAX(AK513,H513))))</f>
        <v>203</v>
      </c>
      <c r="AG513" s="50" t="n">
        <f aca="false">IF(BW513=1,0,ROUNDUP(AF513/BV513,0))</f>
        <v>5</v>
      </c>
      <c r="AH513" s="52" t="n">
        <f aca="false">IF(CL513&gt;0,CL513*MAX(1,AF513/X513),IF(BW513=1,IF(AF513&lt;=0,0,CA513*MAX(1,IF(H513&gt;0,AF513/H513,1))),IF(R513&gt;0,AG513/R513,0))/MAX(0.1,N(Parameter!$M$21)))</f>
        <v>0.0961538461538462</v>
      </c>
      <c r="AI513" s="50" t="n">
        <f aca="false">AH513*BY513</f>
        <v>14.9038461538462</v>
      </c>
      <c r="AJ513" s="50" t="n">
        <f aca="false">AF513*G513</f>
        <v>48.72</v>
      </c>
      <c r="AK513" s="50" t="n">
        <f aca="false">ROUNDUP(MAX(J513/IF(CD513&gt;0,CD513,MAX(0.1,N(Cockpit!$C$6))),CG513)/BV513,0)*BV513</f>
        <v>225</v>
      </c>
      <c r="AL513" s="51" t="n">
        <f aca="false">IF(AI513&gt;0,J513/AI513,-1)</f>
        <v>14.1574193548387</v>
      </c>
      <c r="AM513" s="51" t="n">
        <f aca="false">IF(AND(OR(CC513="L1",CC513="L23",CC513="LIFT"),AI513&gt;0),SUMIFS($AI$7:$AI$1843,$CC$7:$CC$1843,CC513,$AL$7:$AL$1843,"&gt;"&amp;AL513)+SUMIFS($AI$7:$AI$1843,$CC$7:$CC$1843,CC513,$AL$7:$AL$1843,AL513,$BT$7:$BT$1843,"&lt;="&amp;BT513),"")</f>
        <v>2114.59340659341</v>
      </c>
      <c r="AN513" s="58" t="n">
        <f aca="false">IF(AM513="",0,MAX(0,MIN(1,(IF(CC513="L1",Parameter!$H$5,IF(CC513="L23",Parameter!$H$6+Parameter!$H$7,Parameter!$H$5+Parameter!$H$6+Parameter!$H$7))-(AM513-AI513))/AI513)))</f>
        <v>1</v>
      </c>
      <c r="AO513" s="50" t="n">
        <f aca="false">IF(LEFT(Cockpit!$I$5,1)="A",H513,IF(CE513=1,CF513,IF(LEFT(Cockpit!$I$5,1)="B",AT513,MAX(AT513,H513))))</f>
        <v>225</v>
      </c>
      <c r="AP513" s="50" t="n">
        <f aca="false">IF(BW513=1,0,ROUNDUP(AO513/BV513,0))</f>
        <v>5</v>
      </c>
      <c r="AQ513" s="52" t="n">
        <f aca="false">IF(CL513&gt;0,CL513*MAX(1,AO513/X513),IF(BW513=1,IF(AO513&lt;=0,0,CA513*MAX(1,IF(H513&gt;0,AO513/H513,1))),IF(R513&gt;0,AP513/R513,0))/MAX(0.1,N(Parameter!$M$21)))</f>
        <v>0.0961538461538462</v>
      </c>
      <c r="AR513" s="50" t="n">
        <f aca="false">AQ513*BY513</f>
        <v>14.9038461538462</v>
      </c>
      <c r="AS513" s="50" t="n">
        <f aca="false">AO513*G513</f>
        <v>54</v>
      </c>
      <c r="AT513" s="50" t="n">
        <f aca="false">ROUNDUP(MAX(J513/IF(CD513&gt;0,CD513,MAX(0.1,N(Cockpit!$I$6))),CG513)/BV513,0)*BV513</f>
        <v>225</v>
      </c>
      <c r="AU513" s="51" t="n">
        <f aca="false">IF(AR513&gt;0,J513/AR513,-1)</f>
        <v>14.1574193548387</v>
      </c>
      <c r="AV513" s="51" t="n">
        <f aca="false">IF(AND(OR(CC513="L1",CC513="L23",CC513="LIFT"),AR513&gt;0),SUMIFS($AR$7:$AR$1843,$CC$7:$CC$1843,CC513,$AU$7:$AU$1843,"&gt;"&amp;AU513)+SUMIFS($AR$7:$AR$1843,$CC$7:$CC$1843,CC513,$AU$7:$AU$1843,AU513,$BT$7:$BT$1843,"&lt;="&amp;BT513),"")</f>
        <v>3351.70924908425</v>
      </c>
      <c r="AW513" s="58" t="n">
        <f aca="false">IF(AV513="",0,MAX(0,MIN(1,(IF(CC513="L1",Parameter!$H$5,IF(CC513="L23",Parameter!$H$6+Parameter!$H$7,Parameter!$H$5+Parameter!$H$6+Parameter!$H$7))-(AV513-AR513))/AR513)))</f>
        <v>1</v>
      </c>
      <c r="AX513" s="50" t="n">
        <f aca="false">IF(LEFT(Cockpit!$O$5,1)="A",H513,IF(CE513=1,CF513,IF(LEFT(Cockpit!$O$5,1)="B",BC513,MAX(BC513,H513))))</f>
        <v>225</v>
      </c>
      <c r="AY513" s="50" t="n">
        <f aca="false">IF(BW513=1,0,ROUNDUP(AX513/BV513,0))</f>
        <v>5</v>
      </c>
      <c r="AZ513" s="52" t="n">
        <f aca="false">IF(CL513&gt;0,CL513*MAX(1,AX513/X513),IF(BW513=1,IF(AX513&lt;=0,0,CA513*MAX(1,IF(H513&gt;0,AX513/H513,1))),IF(R513&gt;0,AY513/R513,0))/MAX(0.1,N(Parameter!$M$21)))</f>
        <v>0.0961538461538462</v>
      </c>
      <c r="BA513" s="50" t="n">
        <f aca="false">AZ513*BY513</f>
        <v>14.9038461538462</v>
      </c>
      <c r="BB513" s="50" t="n">
        <f aca="false">AX513*G513</f>
        <v>54</v>
      </c>
      <c r="BC513" s="50" t="n">
        <f aca="false">ROUNDUP(MAX(J513/IF(CD513&gt;0,CD513,MAX(0.1,N(Cockpit!$O$6))),CG513)/BV513,0)*BV513</f>
        <v>225</v>
      </c>
      <c r="BD513" s="51" t="n">
        <f aca="false">IF(BA513&gt;0,J513/BA513,-1)</f>
        <v>14.1574193548387</v>
      </c>
      <c r="BE513" s="51" t="n">
        <f aca="false">IF(AND(OR(CC513="L1",CC513="L23",CC513="LIFT"),BA513&gt;0),SUMIFS($BA$7:$BA$1843,$CC$7:$CC$1843,CC513,$BD$7:$BD$1843,"&gt;"&amp;BD513)+SUMIFS($BA$7:$BA$1843,$CC$7:$CC$1843,CC513,$BD$7:$BD$1843,BD513,$BT$7:$BT$1843,"&lt;="&amp;BT513),"")</f>
        <v>3008.26373626374</v>
      </c>
      <c r="BF513" s="58" t="n">
        <f aca="false">IF(BE513="",0,MAX(0,MIN(1,(IF(CC513="L1",Parameter!$H$5,IF(CC513="L23",Parameter!$H$6+Parameter!$H$7,Parameter!$H$5+Parameter!$H$6+Parameter!$H$7))-(BE513-BA513))/BA513)))</f>
        <v>1</v>
      </c>
      <c r="BG513" s="48" t="str">
        <f aca="false">IF(AI513&lt;=0,"",IF(CC513="Aussen","Aussenlager",IF(CC513="-","Nicht im Lift",IF(AN513&gt;=1,"Lift",IF(AN513&lt;=0,"Aussenlager","teilweise")))))</f>
        <v>Lift</v>
      </c>
      <c r="BH513" s="48" t="str">
        <f aca="false">IF(AR513&lt;=0,"",IF(CC513="Aussen","Aussenlager",IF(CC513="-","Nicht im Lift",IF(AW513&gt;=1,"Lift",IF(AW513&lt;=0,"Aussenlager","teilweise")))))</f>
        <v>Lift</v>
      </c>
      <c r="BI513" s="48" t="str">
        <f aca="false">IF(BA513&lt;=0,"",IF(CC513="Aussen","Aussenlager",IF(CC513="-","Nicht im Lift",IF(BF513&gt;=1,"Lift",IF(BF513&lt;=0,"Aussenlager","teilweise")))))</f>
        <v>Lift</v>
      </c>
      <c r="BJ513" s="48" t="str">
        <f aca="false">IF(A513="","",IF(BS513=1,"Neu; ","")&amp;IF(AND(BS513=0,BN513&lt;0),"negativer Bestand (Export "&amp;BN513&amp;"); ","")&amp;IF(J513&lt;=0,"Kein Verbrauch; ","")&amp;IF(CL513&gt;0,"Lift "&amp;W513&amp;" lt. Liftbericht (Fach "&amp;X513&amp;" Stk); ",IF(BX513=1,"Gebinde geschätzt ("&amp;T513&amp;"); ",IF(BW513=1,"Lose – Tablare geschätzt; ","")))&amp;IF(H513&gt;AT513,"Überbestand "&amp;ROUND(H513-AT513,0)&amp;" Stk / CHF "&amp;ROUND((H513-AT513)*G513,0)&amp;"; ","")&amp;IF(AND(CE513=1,CF513&lt;CG513),"MAX &lt; MB+LG; ","")&amp;IF(AND(CK513&gt;0,CJ513*10&gt;CK513),"zu hoch für Tablar; ","")&amp;IF(AND(BS513=0,OR(CE513=1,AA513&lt;&gt;"",U513&lt;&gt;"",V513&lt;&gt;"",AB513&lt;&gt;"")),"manuell übersteuert; ","")&amp;IF(AND(BW513=0,R513=0),"Gebinde unbekannt / Stellmass fehlt; ","")&amp;IF(AND(BW513=0,N(V513)&lt;=0,N(Q513)&lt;=0),"Menge pro Gebinde fehlt (Ist = 1 Gebinde); ","")&amp;BR513)</f>
        <v/>
      </c>
      <c r="BK513" s="48"/>
      <c r="BL513" s="48"/>
      <c r="BM513" s="55"/>
      <c r="BN513" s="50" t="n">
        <v>132</v>
      </c>
      <c r="BO513" s="50" t="n">
        <v>71</v>
      </c>
      <c r="BP513" s="49" t="n">
        <v>32.39</v>
      </c>
      <c r="BQ513" s="50" t="n">
        <v>211</v>
      </c>
      <c r="BR513" s="48"/>
      <c r="BS513" s="53" t="n">
        <v>0</v>
      </c>
      <c r="BT513" s="53" t="n">
        <v>513</v>
      </c>
      <c r="BU513" s="48" t="str">
        <f aca="false">IF(U513&lt;&gt;"",UPPER(TRIM(U513)),IF(BX513=1,UPPER(VLOOKUP(T513,Parameter!$I$27:$K$29,2,0)),IF(P513="","LOSE",P513)))</f>
        <v>S41</v>
      </c>
      <c r="BV513" s="50" t="n">
        <f aca="false">IF(BU513="LOSE",1,IF(N(V513)&gt;0,V513,IF(BX513=1,MAX(1,N(VLOOKUP(T513,Parameter!$I$27:$K$29,3,0)),H513,N(N513)),IF(N(Q513)&gt;0,Q513,MAX(1,H513)))))</f>
        <v>45</v>
      </c>
      <c r="BW513" s="53" t="n">
        <f aca="false">IF(BU513="LOSE",1,0)</f>
        <v>0</v>
      </c>
      <c r="BX513" s="53" t="n">
        <f aca="false">IF(AND(U513="",OR(P513="",P513="LOSE"),T513&lt;&gt;"",N(S513)&lt;=0,ISNUMBER(MATCH(T513,Parameter!$I$27:$I$29,0))),1,0)</f>
        <v>0</v>
      </c>
      <c r="BY513" s="53" t="n">
        <f aca="false">IF(CL513&gt;0,INDEX(Parameter!$H$5:$H$7,W513)/INDEX(Parameter!$E$5:$E$7,W513),IF(AND(BW513=0,N(IFERROR(VLOOKUP(BU513,'Gebinde-Kategorie'!$A$5:$N$45,14,0),0))&gt;0),VLOOKUP(BU513,'Gebinde-Kategorie'!$A$5:$N$45,14,0)*10+Parameter!$M$23,Parameter!$M$24))</f>
        <v>155</v>
      </c>
      <c r="BZ513" s="48" t="str">
        <f aca="false">IF(AND(Parameter!$B$19="Ja",E513&lt;&gt;"",ISNUMBER(MATCH(E513,Parameter!$I$35:$I$52,0))),VLOOKUP(E513,Parameter!$I$35:$J$52,2,0),IFERROR(VLOOKUP(D513,Parameter!$A$35:$C$64,2,0),"Nein"))</f>
        <v>2+3</v>
      </c>
      <c r="CA513" s="52" t="n">
        <f aca="false">IF(BW513=0,0,IF(N(S513)&gt;0,S513,IFERROR(VLOOKUP(D513,Parameter!$A$35:$C$64,3,0)+0,0)))</f>
        <v>0</v>
      </c>
      <c r="CB513" s="48" t="n">
        <f aca="false">IF(AA513&lt;&gt;"",AA513,Z513)</f>
        <v>3</v>
      </c>
      <c r="CC513" s="48" t="str">
        <f aca="false">IF(OR(CB513=1,CB513=2,CB513=3),IF(Parameter!$E$27="Ja","LIFT",IF(CB513=1,"L1","L23")),IF(CB513="Aussen","Aussen","-"))</f>
        <v>LIFT</v>
      </c>
      <c r="CD513" s="59" t="n">
        <f aca="false">IF(N(AB513)&gt;0,AB513,0)</f>
        <v>0</v>
      </c>
      <c r="CE513" s="53" t="n">
        <f aca="false">IF(ISNUMBER(AE513),1,0)</f>
        <v>0</v>
      </c>
      <c r="CF513" s="50" t="n">
        <f aca="false">N(AE513)</f>
        <v>0</v>
      </c>
      <c r="CG513" s="50" t="n">
        <f aca="false">N(M513)+N(N513)</f>
        <v>218</v>
      </c>
      <c r="CH513" s="50" t="n">
        <f aca="false">ROUNDUP(H513/BV513,0)</f>
        <v>5</v>
      </c>
      <c r="CI513" s="50" t="n">
        <f aca="false">ROUNDUP(CF513/BV513,0)</f>
        <v>0</v>
      </c>
      <c r="CJ513" s="53" t="n">
        <f aca="false">IF(BW513=1,0,IFERROR(VLOOKUP(BU513,'Gebinde-Kategorie'!$A$5:$N$45,5,0)+0,0))</f>
        <v>11</v>
      </c>
      <c r="CK513" s="53" t="n">
        <f aca="false">IFERROR(IF(OR(CB513=1,CB513=2,CB513=3),N(INDEX(Parameter!$I$5:$I$7,CB513)),0),0)</f>
        <v>0</v>
      </c>
      <c r="CL513" s="52" t="n">
        <f aca="false">IF(AND(Parameter!$B$21="Ja",ISNUMBER(W513),N(X513)&gt;0),IFERROR(N(INDEX(Parameter!$L$5:$L$7,W513))*INDEX(Parameter!$E$5:$E$7,W513)*X513/SUMIFS($X$7:$X$1843,$W$7:$W$1843,W513),0),0)</f>
        <v>0</v>
      </c>
    </row>
    <row r="514" customFormat="false" ht="15" hidden="false" customHeight="false" outlineLevel="0" collapsed="false">
      <c r="A514" s="48" t="s">
        <v>1124</v>
      </c>
      <c r="B514" s="48" t="s">
        <v>1125</v>
      </c>
      <c r="C514" s="48" t="s">
        <v>168</v>
      </c>
      <c r="D514" s="48" t="s">
        <v>188</v>
      </c>
      <c r="E514" s="48" t="s">
        <v>189</v>
      </c>
      <c r="F514" s="48" t="s">
        <v>222</v>
      </c>
      <c r="G514" s="49" t="n">
        <v>2.68</v>
      </c>
      <c r="H514" s="50" t="n">
        <f aca="false">MAX(0,IF(AND(Parameter!$B$21="Ja",ISNUMBER(Y514)),Y514,IF(Parameter!$B$20="Jahresanfang 2025 + Export",BO514+BN514,BN514)))</f>
        <v>22</v>
      </c>
      <c r="I514" s="50" t="n">
        <f aca="false">H514*G514</f>
        <v>58.96</v>
      </c>
      <c r="J514" s="50" t="n">
        <f aca="false">BQ514*Parameter!$B$18</f>
        <v>0</v>
      </c>
      <c r="K514" s="51" t="n">
        <v>16</v>
      </c>
      <c r="L514" s="52" t="n">
        <v>0</v>
      </c>
      <c r="M514" s="50" t="n">
        <v>0</v>
      </c>
      <c r="N514" s="50" t="n">
        <v>1</v>
      </c>
      <c r="O514" s="53" t="n">
        <v>14</v>
      </c>
      <c r="P514" s="48" t="s">
        <v>237</v>
      </c>
      <c r="Q514" s="50" t="n">
        <v>20</v>
      </c>
      <c r="R514" s="53" t="n">
        <f aca="false">IF(BW514=1,0,IFERROR(VLOOKUP(BU514,'Gebinde-Kategorie'!$A$5:$N$45,13,0)+0,0))</f>
        <v>26</v>
      </c>
      <c r="S514" s="54"/>
      <c r="T514" s="55"/>
      <c r="U514" s="55"/>
      <c r="V514" s="55"/>
      <c r="W514" s="48"/>
      <c r="X514" s="50"/>
      <c r="Y514" s="50"/>
      <c r="Z514" s="48" t="n">
        <f aca="false">IF(A514="","",IF(AND(Parameter!$B$21="Ja",ISNUMBER(W514)),W514,IF(BZ514="2+3",IF(ISNUMBER(SEARCH("grosser Artikel",BR514)),2,IFERROR(VLOOKUP(BU514,Parameter!$F$35:$G$64,2,0),2)),IF(OR(BZ514="Nein",BZ514=""),"-",BZ514))))</f>
        <v>3</v>
      </c>
      <c r="AA514" s="55"/>
      <c r="AB514" s="56"/>
      <c r="AC514" s="50" t="n">
        <f aca="false">AT514</f>
        <v>20</v>
      </c>
      <c r="AD514" s="50" t="n">
        <f aca="false">MAX(AT514,H514)</f>
        <v>22</v>
      </c>
      <c r="AE514" s="57"/>
      <c r="AF514" s="50" t="n">
        <f aca="false">IF(LEFT(Cockpit!$C$5,1)="A",H514,IF(CE514=1,CF514,IF(LEFT(Cockpit!$C$5,1)="B",AK514,MAX(AK514,H514))))</f>
        <v>22</v>
      </c>
      <c r="AG514" s="50" t="n">
        <f aca="false">IF(BW514=1,0,ROUNDUP(AF514/BV514,0))</f>
        <v>2</v>
      </c>
      <c r="AH514" s="52" t="n">
        <f aca="false">IF(CL514&gt;0,CL514*MAX(1,AF514/X514),IF(BW514=1,IF(AF514&lt;=0,0,CA514*MAX(1,IF(H514&gt;0,AF514/H514,1))),IF(R514&gt;0,AG514/R514,0))/MAX(0.1,N(Parameter!$M$21)))</f>
        <v>0.0769230769230769</v>
      </c>
      <c r="AI514" s="50" t="n">
        <f aca="false">AH514*BY514</f>
        <v>18.8461538461538</v>
      </c>
      <c r="AJ514" s="50" t="n">
        <f aca="false">AF514*G514</f>
        <v>58.96</v>
      </c>
      <c r="AK514" s="50" t="n">
        <f aca="false">ROUNDUP(MAX(J514/IF(CD514&gt;0,CD514,MAX(0.1,N(Cockpit!$C$6))),CG514)/BV514,0)*BV514</f>
        <v>20</v>
      </c>
      <c r="AL514" s="51" t="n">
        <f aca="false">IF(AI514&gt;0,J514/AI514,-1)</f>
        <v>0</v>
      </c>
      <c r="AM514" s="51" t="n">
        <f aca="false">IF(AND(OR(CC514="L1",CC514="L23",CC514="LIFT"),AI514&gt;0),SUMIFS($AI$7:$AI$1843,$CC$7:$CC$1843,CC514,$AL$7:$AL$1843,"&gt;"&amp;AL514)+SUMIFS($AI$7:$AI$1843,$CC$7:$CC$1843,CC514,$AL$7:$AL$1843,AL514,$BT$7:$BT$1843,"&lt;="&amp;BT514),"")</f>
        <v>28283.3490692453</v>
      </c>
      <c r="AN514" s="58" t="n">
        <f aca="false">IF(AM514="",0,MAX(0,MIN(1,(IF(CC514="L1",Parameter!$H$5,IF(CC514="L23",Parameter!$H$6+Parameter!$H$7,Parameter!$H$5+Parameter!$H$6+Parameter!$H$7))-(AM514-AI514))/AI514)))</f>
        <v>1</v>
      </c>
      <c r="AO514" s="50" t="n">
        <f aca="false">IF(LEFT(Cockpit!$I$5,1)="A",H514,IF(CE514=1,CF514,IF(LEFT(Cockpit!$I$5,1)="B",AT514,MAX(AT514,H514))))</f>
        <v>22</v>
      </c>
      <c r="AP514" s="50" t="n">
        <f aca="false">IF(BW514=1,0,ROUNDUP(AO514/BV514,0))</f>
        <v>2</v>
      </c>
      <c r="AQ514" s="52" t="n">
        <f aca="false">IF(CL514&gt;0,CL514*MAX(1,AO514/X514),IF(BW514=1,IF(AO514&lt;=0,0,CA514*MAX(1,IF(H514&gt;0,AO514/H514,1))),IF(R514&gt;0,AP514/R514,0))/MAX(0.1,N(Parameter!$M$21)))</f>
        <v>0.0769230769230769</v>
      </c>
      <c r="AR514" s="50" t="n">
        <f aca="false">AQ514*BY514</f>
        <v>18.8461538461538</v>
      </c>
      <c r="AS514" s="50" t="n">
        <f aca="false">AO514*G514</f>
        <v>58.96</v>
      </c>
      <c r="AT514" s="50" t="n">
        <f aca="false">ROUNDUP(MAX(J514/IF(CD514&gt;0,CD514,MAX(0.1,N(Cockpit!$I$6))),CG514)/BV514,0)*BV514</f>
        <v>20</v>
      </c>
      <c r="AU514" s="51" t="n">
        <f aca="false">IF(AR514&gt;0,J514/AR514,-1)</f>
        <v>0</v>
      </c>
      <c r="AV514" s="51" t="n">
        <f aca="false">IF(AND(OR(CC514="L1",CC514="L23",CC514="LIFT"),AR514&gt;0),SUMIFS($AR$7:$AR$1843,$CC$7:$CC$1843,CC514,$AU$7:$AU$1843,"&gt;"&amp;AU514)+SUMIFS($AR$7:$AR$1843,$CC$7:$CC$1843,CC514,$AU$7:$AU$1843,AU514,$BT$7:$BT$1843,"&lt;="&amp;BT514),"")</f>
        <v>39596.2545865152</v>
      </c>
      <c r="AW514" s="58" t="n">
        <f aca="false">IF(AV514="",0,MAX(0,MIN(1,(IF(CC514="L1",Parameter!$H$5,IF(CC514="L23",Parameter!$H$6+Parameter!$H$7,Parameter!$H$5+Parameter!$H$6+Parameter!$H$7))-(AV514-AR514))/AR514)))</f>
        <v>0</v>
      </c>
      <c r="AX514" s="50" t="n">
        <f aca="false">IF(LEFT(Cockpit!$O$5,1)="A",H514,IF(CE514=1,CF514,IF(LEFT(Cockpit!$O$5,1)="B",BC514,MAX(BC514,H514))))</f>
        <v>22</v>
      </c>
      <c r="AY514" s="50" t="n">
        <f aca="false">IF(BW514=1,0,ROUNDUP(AX514/BV514,0))</f>
        <v>2</v>
      </c>
      <c r="AZ514" s="52" t="n">
        <f aca="false">IF(CL514&gt;0,CL514*MAX(1,AX514/X514),IF(BW514=1,IF(AX514&lt;=0,0,CA514*MAX(1,IF(H514&gt;0,AX514/H514,1))),IF(R514&gt;0,AY514/R514,0))/MAX(0.1,N(Parameter!$M$21)))</f>
        <v>0.0769230769230769</v>
      </c>
      <c r="BA514" s="50" t="n">
        <f aca="false">AZ514*BY514</f>
        <v>18.8461538461538</v>
      </c>
      <c r="BB514" s="50" t="n">
        <f aca="false">AX514*G514</f>
        <v>58.96</v>
      </c>
      <c r="BC514" s="50" t="n">
        <f aca="false">ROUNDUP(MAX(J514/IF(CD514&gt;0,CD514,MAX(0.1,N(Cockpit!$O$6))),CG514)/BV514,0)*BV514</f>
        <v>20</v>
      </c>
      <c r="BD514" s="51" t="n">
        <f aca="false">IF(BA514&gt;0,J514/BA514,-1)</f>
        <v>0</v>
      </c>
      <c r="BE514" s="51" t="n">
        <f aca="false">IF(AND(OR(CC514="L1",CC514="L23",CC514="LIFT"),BA514&gt;0),SUMIFS($BA$7:$BA$1843,$CC$7:$CC$1843,CC514,$BD$7:$BD$1843,"&gt;"&amp;BD514)+SUMIFS($BA$7:$BA$1843,$CC$7:$CC$1843,CC514,$BD$7:$BD$1843,BD514,$BT$7:$BT$1843,"&lt;="&amp;BT514),"")</f>
        <v>36271.266628381</v>
      </c>
      <c r="BF514" s="58" t="n">
        <f aca="false">IF(BE514="",0,MAX(0,MIN(1,(IF(CC514="L1",Parameter!$H$5,IF(CC514="L23",Parameter!$H$6+Parameter!$H$7,Parameter!$H$5+Parameter!$H$6+Parameter!$H$7))-(BE514-BA514))/BA514)))</f>
        <v>0</v>
      </c>
      <c r="BG514" s="48" t="str">
        <f aca="false">IF(AI514&lt;=0,"",IF(CC514="Aussen","Aussenlager",IF(CC514="-","Nicht im Lift",IF(AN514&gt;=1,"Lift",IF(AN514&lt;=0,"Aussenlager","teilweise")))))</f>
        <v>Lift</v>
      </c>
      <c r="BH514" s="48" t="str">
        <f aca="false">IF(AR514&lt;=0,"",IF(CC514="Aussen","Aussenlager",IF(CC514="-","Nicht im Lift",IF(AW514&gt;=1,"Lift",IF(AW514&lt;=0,"Aussenlager","teilweise")))))</f>
        <v>Aussenlager</v>
      </c>
      <c r="BI514" s="48" t="str">
        <f aca="false">IF(BA514&lt;=0,"",IF(CC514="Aussen","Aussenlager",IF(CC514="-","Nicht im Lift",IF(BF514&gt;=1,"Lift",IF(BF514&lt;=0,"Aussenlager","teilweise")))))</f>
        <v>Aussenlager</v>
      </c>
      <c r="BJ514" s="48" t="str">
        <f aca="false">IF(A514="","",IF(BS514=1,"Neu; ","")&amp;IF(AND(BS514=0,BN514&lt;0),"negativer Bestand (Export "&amp;BN514&amp;"); ","")&amp;IF(J514&lt;=0,"Kein Verbrauch; ","")&amp;IF(CL514&gt;0,"Lift "&amp;W514&amp;" lt. Liftbericht (Fach "&amp;X514&amp;" Stk); ",IF(BX514=1,"Gebinde geschätzt ("&amp;T514&amp;"); ",IF(BW514=1,"Lose – Tablare geschätzt; ","")))&amp;IF(H514&gt;AT514,"Überbestand "&amp;ROUND(H514-AT514,0)&amp;" Stk / CHF "&amp;ROUND((H514-AT514)*G514,0)&amp;"; ","")&amp;IF(AND(CE514=1,CF514&lt;CG514),"MAX &lt; MB+LG; ","")&amp;IF(AND(CK514&gt;0,CJ514*10&gt;CK514),"zu hoch für Tablar; ","")&amp;IF(AND(BS514=0,OR(CE514=1,AA514&lt;&gt;"",U514&lt;&gt;"",V514&lt;&gt;"",AB514&lt;&gt;"")),"manuell übersteuert; ","")&amp;IF(AND(BW514=0,R514=0),"Gebinde unbekannt / Stellmass fehlt; ","")&amp;IF(AND(BW514=0,N(V514)&lt;=0,N(Q514)&lt;=0),"Menge pro Gebinde fehlt (Ist = 1 Gebinde); ","")&amp;BR514)</f>
        <v>Kein Verbrauch; Überbestand 2 Stk / CHF 5; Überbestand</v>
      </c>
      <c r="BK514" s="48"/>
      <c r="BL514" s="48"/>
      <c r="BM514" s="55"/>
      <c r="BN514" s="50" t="n">
        <v>12</v>
      </c>
      <c r="BO514" s="50" t="n">
        <v>10</v>
      </c>
      <c r="BP514" s="49" t="n">
        <v>32.16</v>
      </c>
      <c r="BQ514" s="50" t="n">
        <v>0</v>
      </c>
      <c r="BR514" s="48" t="s">
        <v>396</v>
      </c>
      <c r="BS514" s="53" t="n">
        <v>0</v>
      </c>
      <c r="BT514" s="53" t="n">
        <v>514</v>
      </c>
      <c r="BU514" s="48" t="str">
        <f aca="false">IF(U514&lt;&gt;"",UPPER(TRIM(U514)),IF(BX514=1,UPPER(VLOOKUP(T514,Parameter!$I$27:$K$29,2,0)),IF(P514="","LOSE",P514)))</f>
        <v>S52</v>
      </c>
      <c r="BV514" s="50" t="n">
        <f aca="false">IF(BU514="LOSE",1,IF(N(V514)&gt;0,V514,IF(BX514=1,MAX(1,N(VLOOKUP(T514,Parameter!$I$27:$K$29,3,0)),H514,N(N514)),IF(N(Q514)&gt;0,Q514,MAX(1,H514)))))</f>
        <v>20</v>
      </c>
      <c r="BW514" s="53" t="n">
        <f aca="false">IF(BU514="LOSE",1,0)</f>
        <v>0</v>
      </c>
      <c r="BX514" s="53" t="n">
        <f aca="false">IF(AND(U514="",OR(P514="",P514="LOSE"),T514&lt;&gt;"",N(S514)&lt;=0,ISNUMBER(MATCH(T514,Parameter!$I$27:$I$29,0))),1,0)</f>
        <v>0</v>
      </c>
      <c r="BY514" s="53" t="n">
        <f aca="false">IF(CL514&gt;0,INDEX(Parameter!$H$5:$H$7,W514)/INDEX(Parameter!$E$5:$E$7,W514),IF(AND(BW514=0,N(IFERROR(VLOOKUP(BU514,'Gebinde-Kategorie'!$A$5:$N$45,14,0),0))&gt;0),VLOOKUP(BU514,'Gebinde-Kategorie'!$A$5:$N$45,14,0)*10+Parameter!$M$23,Parameter!$M$24))</f>
        <v>245</v>
      </c>
      <c r="BZ514" s="48" t="str">
        <f aca="false">IF(AND(Parameter!$B$19="Ja",E514&lt;&gt;"",ISNUMBER(MATCH(E514,Parameter!$I$35:$I$52,0))),VLOOKUP(E514,Parameter!$I$35:$J$52,2,0),IFERROR(VLOOKUP(D514,Parameter!$A$35:$C$64,2,0),"Nein"))</f>
        <v>2+3</v>
      </c>
      <c r="CA514" s="52" t="n">
        <f aca="false">IF(BW514=0,0,IF(N(S514)&gt;0,S514,IFERROR(VLOOKUP(D514,Parameter!$A$35:$C$64,3,0)+0,0)))</f>
        <v>0</v>
      </c>
      <c r="CB514" s="48" t="n">
        <f aca="false">IF(AA514&lt;&gt;"",AA514,Z514)</f>
        <v>3</v>
      </c>
      <c r="CC514" s="48" t="str">
        <f aca="false">IF(OR(CB514=1,CB514=2,CB514=3),IF(Parameter!$E$27="Ja","LIFT",IF(CB514=1,"L1","L23")),IF(CB514="Aussen","Aussen","-"))</f>
        <v>LIFT</v>
      </c>
      <c r="CD514" s="59" t="n">
        <f aca="false">IF(N(AB514)&gt;0,AB514,0)</f>
        <v>0</v>
      </c>
      <c r="CE514" s="53" t="n">
        <f aca="false">IF(ISNUMBER(AE514),1,0)</f>
        <v>0</v>
      </c>
      <c r="CF514" s="50" t="n">
        <f aca="false">N(AE514)</f>
        <v>0</v>
      </c>
      <c r="CG514" s="50" t="n">
        <f aca="false">N(M514)+N(N514)</f>
        <v>1</v>
      </c>
      <c r="CH514" s="50" t="n">
        <f aca="false">ROUNDUP(H514/BV514,0)</f>
        <v>2</v>
      </c>
      <c r="CI514" s="50" t="n">
        <f aca="false">ROUNDUP(CF514/BV514,0)</f>
        <v>0</v>
      </c>
      <c r="CJ514" s="53" t="n">
        <f aca="false">IF(BW514=1,0,IFERROR(VLOOKUP(BU514,'Gebinde-Kategorie'!$A$5:$N$45,5,0)+0,0))</f>
        <v>21</v>
      </c>
      <c r="CK514" s="53" t="n">
        <f aca="false">IFERROR(IF(OR(CB514=1,CB514=2,CB514=3),N(INDEX(Parameter!$I$5:$I$7,CB514)),0),0)</f>
        <v>0</v>
      </c>
      <c r="CL514" s="52" t="n">
        <f aca="false">IF(AND(Parameter!$B$21="Ja",ISNUMBER(W514),N(X514)&gt;0),IFERROR(N(INDEX(Parameter!$L$5:$L$7,W514))*INDEX(Parameter!$E$5:$E$7,W514)*X514/SUMIFS($X$7:$X$1843,$W$7:$W$1843,W514),0),0)</f>
        <v>0</v>
      </c>
    </row>
    <row r="515" customFormat="false" ht="15" hidden="false" customHeight="false" outlineLevel="0" collapsed="false">
      <c r="A515" s="48" t="s">
        <v>1126</v>
      </c>
      <c r="B515" s="48" t="s">
        <v>1127</v>
      </c>
      <c r="C515" s="48" t="s">
        <v>168</v>
      </c>
      <c r="D515" s="48" t="s">
        <v>188</v>
      </c>
      <c r="E515" s="48" t="s">
        <v>469</v>
      </c>
      <c r="F515" s="48" t="s">
        <v>222</v>
      </c>
      <c r="G515" s="49" t="n">
        <v>5.23</v>
      </c>
      <c r="H515" s="50" t="n">
        <f aca="false">MAX(0,IF(AND(Parameter!$B$21="Ja",ISNUMBER(Y515)),Y515,IF(Parameter!$B$20="Jahresanfang 2025 + Export",BO515+BN515,BN515)))</f>
        <v>102</v>
      </c>
      <c r="I515" s="50" t="n">
        <f aca="false">H515*G515</f>
        <v>533.46</v>
      </c>
      <c r="J515" s="50" t="n">
        <f aca="false">BQ515*Parameter!$B$18</f>
        <v>19</v>
      </c>
      <c r="K515" s="51" t="n">
        <v>86.5</v>
      </c>
      <c r="L515" s="52" t="n">
        <v>0.219653179190751</v>
      </c>
      <c r="M515" s="50" t="n">
        <v>2</v>
      </c>
      <c r="N515" s="50" t="n">
        <v>108</v>
      </c>
      <c r="O515" s="53" t="n">
        <v>42</v>
      </c>
      <c r="P515" s="48" t="s">
        <v>297</v>
      </c>
      <c r="Q515" s="50" t="n">
        <v>70</v>
      </c>
      <c r="R515" s="53" t="n">
        <f aca="false">IF(BW515=1,0,IFERROR(VLOOKUP(BU515,'Gebinde-Kategorie'!$A$5:$N$45,13,0)+0,0))</f>
        <v>12</v>
      </c>
      <c r="S515" s="54"/>
      <c r="T515" s="55"/>
      <c r="U515" s="55"/>
      <c r="V515" s="55"/>
      <c r="W515" s="48"/>
      <c r="X515" s="50"/>
      <c r="Y515" s="50"/>
      <c r="Z515" s="48" t="str">
        <f aca="false">IF(A515="","",IF(AND(Parameter!$B$21="Ja",ISNUMBER(W515)),W515,IF(BZ515="2+3",IF(ISNUMBER(SEARCH("grosser Artikel",BR515)),2,IFERROR(VLOOKUP(BU515,Parameter!$F$35:$G$64,2,0),2)),IF(OR(BZ515="Nein",BZ515=""),"-",BZ515))))</f>
        <v>-</v>
      </c>
      <c r="AA515" s="55"/>
      <c r="AB515" s="56"/>
      <c r="AC515" s="50" t="n">
        <f aca="false">AT515</f>
        <v>140</v>
      </c>
      <c r="AD515" s="50" t="n">
        <f aca="false">MAX(AT515,H515)</f>
        <v>140</v>
      </c>
      <c r="AE515" s="57"/>
      <c r="AF515" s="50" t="n">
        <f aca="false">IF(LEFT(Cockpit!$C$5,1)="A",H515,IF(CE515=1,CF515,IF(LEFT(Cockpit!$C$5,1)="B",AK515,MAX(AK515,H515))))</f>
        <v>102</v>
      </c>
      <c r="AG515" s="50" t="n">
        <f aca="false">IF(BW515=1,0,ROUNDUP(AF515/BV515,0))</f>
        <v>2</v>
      </c>
      <c r="AH515" s="52" t="n">
        <f aca="false">IF(CL515&gt;0,CL515*MAX(1,AF515/X515),IF(BW515=1,IF(AF515&lt;=0,0,CA515*MAX(1,IF(H515&gt;0,AF515/H515,1))),IF(R515&gt;0,AG515/R515,0))/MAX(0.1,N(Parameter!$M$21)))</f>
        <v>0.166666666666667</v>
      </c>
      <c r="AI515" s="50" t="n">
        <f aca="false">AH515*BY515</f>
        <v>40.8333333333333</v>
      </c>
      <c r="AJ515" s="50" t="n">
        <f aca="false">AF515*G515</f>
        <v>533.46</v>
      </c>
      <c r="AK515" s="50" t="n">
        <f aca="false">ROUNDUP(MAX(J515/IF(CD515&gt;0,CD515,MAX(0.1,N(Cockpit!$C$6))),CG515)/BV515,0)*BV515</f>
        <v>140</v>
      </c>
      <c r="AL515" s="51" t="n">
        <f aca="false">IF(AI515&gt;0,J515/AI515,-1)</f>
        <v>0.46530612244898</v>
      </c>
      <c r="AM515" s="51" t="str">
        <f aca="false">IF(AND(OR(CC515="L1",CC515="L23",CC515="LIFT"),AI515&gt;0),SUMIFS($AI$7:$AI$1843,$CC$7:$CC$1843,CC515,$AL$7:$AL$1843,"&gt;"&amp;AL515)+SUMIFS($AI$7:$AI$1843,$CC$7:$CC$1843,CC515,$AL$7:$AL$1843,AL515,$BT$7:$BT$1843,"&lt;="&amp;BT515),"")</f>
        <v/>
      </c>
      <c r="AN515" s="58" t="n">
        <f aca="false">IF(AM515="",0,MAX(0,MIN(1,(IF(CC515="L1",Parameter!$H$5,IF(CC515="L23",Parameter!$H$6+Parameter!$H$7,Parameter!$H$5+Parameter!$H$6+Parameter!$H$7))-(AM515-AI515))/AI515)))</f>
        <v>0</v>
      </c>
      <c r="AO515" s="50" t="n">
        <f aca="false">IF(LEFT(Cockpit!$I$5,1)="A",H515,IF(CE515=1,CF515,IF(LEFT(Cockpit!$I$5,1)="B",AT515,MAX(AT515,H515))))</f>
        <v>140</v>
      </c>
      <c r="AP515" s="50" t="n">
        <f aca="false">IF(BW515=1,0,ROUNDUP(AO515/BV515,0))</f>
        <v>2</v>
      </c>
      <c r="AQ515" s="52" t="n">
        <f aca="false">IF(CL515&gt;0,CL515*MAX(1,AO515/X515),IF(BW515=1,IF(AO515&lt;=0,0,CA515*MAX(1,IF(H515&gt;0,AO515/H515,1))),IF(R515&gt;0,AP515/R515,0))/MAX(0.1,N(Parameter!$M$21)))</f>
        <v>0.166666666666667</v>
      </c>
      <c r="AR515" s="50" t="n">
        <f aca="false">AQ515*BY515</f>
        <v>40.8333333333333</v>
      </c>
      <c r="AS515" s="50" t="n">
        <f aca="false">AO515*G515</f>
        <v>732.2</v>
      </c>
      <c r="AT515" s="50" t="n">
        <f aca="false">ROUNDUP(MAX(J515/IF(CD515&gt;0,CD515,MAX(0.1,N(Cockpit!$I$6))),CG515)/BV515,0)*BV515</f>
        <v>140</v>
      </c>
      <c r="AU515" s="51" t="n">
        <f aca="false">IF(AR515&gt;0,J515/AR515,-1)</f>
        <v>0.46530612244898</v>
      </c>
      <c r="AV515" s="51" t="str">
        <f aca="false">IF(AND(OR(CC515="L1",CC515="L23",CC515="LIFT"),AR515&gt;0),SUMIFS($AR$7:$AR$1843,$CC$7:$CC$1843,CC515,$AU$7:$AU$1843,"&gt;"&amp;AU515)+SUMIFS($AR$7:$AR$1843,$CC$7:$CC$1843,CC515,$AU$7:$AU$1843,AU515,$BT$7:$BT$1843,"&lt;="&amp;BT515),"")</f>
        <v/>
      </c>
      <c r="AW515" s="58" t="n">
        <f aca="false">IF(AV515="",0,MAX(0,MIN(1,(IF(CC515="L1",Parameter!$H$5,IF(CC515="L23",Parameter!$H$6+Parameter!$H$7,Parameter!$H$5+Parameter!$H$6+Parameter!$H$7))-(AV515-AR515))/AR515)))</f>
        <v>0</v>
      </c>
      <c r="AX515" s="50" t="n">
        <f aca="false">IF(LEFT(Cockpit!$O$5,1)="A",H515,IF(CE515=1,CF515,IF(LEFT(Cockpit!$O$5,1)="B",BC515,MAX(BC515,H515))))</f>
        <v>140</v>
      </c>
      <c r="AY515" s="50" t="n">
        <f aca="false">IF(BW515=1,0,ROUNDUP(AX515/BV515,0))</f>
        <v>2</v>
      </c>
      <c r="AZ515" s="52" t="n">
        <f aca="false">IF(CL515&gt;0,CL515*MAX(1,AX515/X515),IF(BW515=1,IF(AX515&lt;=0,0,CA515*MAX(1,IF(H515&gt;0,AX515/H515,1))),IF(R515&gt;0,AY515/R515,0))/MAX(0.1,N(Parameter!$M$21)))</f>
        <v>0.166666666666667</v>
      </c>
      <c r="BA515" s="50" t="n">
        <f aca="false">AZ515*BY515</f>
        <v>40.8333333333333</v>
      </c>
      <c r="BB515" s="50" t="n">
        <f aca="false">AX515*G515</f>
        <v>732.2</v>
      </c>
      <c r="BC515" s="50" t="n">
        <f aca="false">ROUNDUP(MAX(J515/IF(CD515&gt;0,CD515,MAX(0.1,N(Cockpit!$O$6))),CG515)/BV515,0)*BV515</f>
        <v>140</v>
      </c>
      <c r="BD515" s="51" t="n">
        <f aca="false">IF(BA515&gt;0,J515/BA515,-1)</f>
        <v>0.46530612244898</v>
      </c>
      <c r="BE515" s="51" t="str">
        <f aca="false">IF(AND(OR(CC515="L1",CC515="L23",CC515="LIFT"),BA515&gt;0),SUMIFS($BA$7:$BA$1843,$CC$7:$CC$1843,CC515,$BD$7:$BD$1843,"&gt;"&amp;BD515)+SUMIFS($BA$7:$BA$1843,$CC$7:$CC$1843,CC515,$BD$7:$BD$1843,BD515,$BT$7:$BT$1843,"&lt;="&amp;BT515),"")</f>
        <v/>
      </c>
      <c r="BF515" s="58" t="n">
        <f aca="false">IF(BE515="",0,MAX(0,MIN(1,(IF(CC515="L1",Parameter!$H$5,IF(CC515="L23",Parameter!$H$6+Parameter!$H$7,Parameter!$H$5+Parameter!$H$6+Parameter!$H$7))-(BE515-BA515))/BA515)))</f>
        <v>0</v>
      </c>
      <c r="BG515" s="48" t="str">
        <f aca="false">IF(AI515&lt;=0,"",IF(CC515="Aussen","Aussenlager",IF(CC515="-","Nicht im Lift",IF(AN515&gt;=1,"Lift",IF(AN515&lt;=0,"Aussenlager","teilweise")))))</f>
        <v>Nicht im Lift</v>
      </c>
      <c r="BH515" s="48" t="str">
        <f aca="false">IF(AR515&lt;=0,"",IF(CC515="Aussen","Aussenlager",IF(CC515="-","Nicht im Lift",IF(AW515&gt;=1,"Lift",IF(AW515&lt;=0,"Aussenlager","teilweise")))))</f>
        <v>Nicht im Lift</v>
      </c>
      <c r="BI515" s="48" t="str">
        <f aca="false">IF(BA515&lt;=0,"",IF(CC515="Aussen","Aussenlager",IF(CC515="-","Nicht im Lift",IF(BF515&gt;=1,"Lift",IF(BF515&lt;=0,"Aussenlager","teilweise")))))</f>
        <v>Nicht im Lift</v>
      </c>
      <c r="BJ515" s="48" t="str">
        <f aca="false">IF(A515="","",IF(BS515=1,"Neu; ","")&amp;IF(AND(BS515=0,BN515&lt;0),"negativer Bestand (Export "&amp;BN515&amp;"); ","")&amp;IF(J515&lt;=0,"Kein Verbrauch; ","")&amp;IF(CL515&gt;0,"Lift "&amp;W515&amp;" lt. Liftbericht (Fach "&amp;X515&amp;" Stk); ",IF(BX515=1,"Gebinde geschätzt ("&amp;T515&amp;"); ",IF(BW515=1,"Lose – Tablare geschätzt; ","")))&amp;IF(H515&gt;AT515,"Überbestand "&amp;ROUND(H515-AT515,0)&amp;" Stk / CHF "&amp;ROUND((H515-AT515)*G515,0)&amp;"; ","")&amp;IF(AND(CE515=1,CF515&lt;CG515),"MAX &lt; MB+LG; ","")&amp;IF(AND(CK515&gt;0,CJ515*10&gt;CK515),"zu hoch für Tablar; ","")&amp;IF(AND(BS515=0,OR(CE515=1,AA515&lt;&gt;"",U515&lt;&gt;"",V515&lt;&gt;"",AB515&lt;&gt;"")),"manuell übersteuert; ","")&amp;IF(AND(BW515=0,R515=0),"Gebinde unbekannt / Stellmass fehlt; ","")&amp;IF(AND(BW515=0,N(V515)&lt;=0,N(Q515)&lt;=0),"Menge pro Gebinde fehlt (Ist = 1 Gebinde); ","")&amp;BR515)</f>
        <v/>
      </c>
      <c r="BK515" s="48"/>
      <c r="BL515" s="48"/>
      <c r="BM515" s="55"/>
      <c r="BN515" s="50" t="n">
        <v>6</v>
      </c>
      <c r="BO515" s="50" t="n">
        <v>96</v>
      </c>
      <c r="BP515" s="49" t="n">
        <v>31.38</v>
      </c>
      <c r="BQ515" s="50" t="n">
        <v>19</v>
      </c>
      <c r="BR515" s="48"/>
      <c r="BS515" s="53" t="n">
        <v>0</v>
      </c>
      <c r="BT515" s="53" t="n">
        <v>515</v>
      </c>
      <c r="BU515" s="48" t="str">
        <f aca="false">IF(U515&lt;&gt;"",UPPER(TRIM(U515)),IF(BX515=1,UPPER(VLOOKUP(T515,Parameter!$I$27:$K$29,2,0)),IF(P515="","LOSE",P515)))</f>
        <v>S62</v>
      </c>
      <c r="BV515" s="50" t="n">
        <f aca="false">IF(BU515="LOSE",1,IF(N(V515)&gt;0,V515,IF(BX515=1,MAX(1,N(VLOOKUP(T515,Parameter!$I$27:$K$29,3,0)),H515,N(N515)),IF(N(Q515)&gt;0,Q515,MAX(1,H515)))))</f>
        <v>70</v>
      </c>
      <c r="BW515" s="53" t="n">
        <f aca="false">IF(BU515="LOSE",1,0)</f>
        <v>0</v>
      </c>
      <c r="BX515" s="53" t="n">
        <f aca="false">IF(AND(U515="",OR(P515="",P515="LOSE"),T515&lt;&gt;"",N(S515)&lt;=0,ISNUMBER(MATCH(T515,Parameter!$I$27:$I$29,0))),1,0)</f>
        <v>0</v>
      </c>
      <c r="BY515" s="53" t="n">
        <f aca="false">IF(CL515&gt;0,INDEX(Parameter!$H$5:$H$7,W515)/INDEX(Parameter!$E$5:$E$7,W515),IF(AND(BW515=0,N(IFERROR(VLOOKUP(BU515,'Gebinde-Kategorie'!$A$5:$N$45,14,0),0))&gt;0),VLOOKUP(BU515,'Gebinde-Kategorie'!$A$5:$N$45,14,0)*10+Parameter!$M$23,Parameter!$M$24))</f>
        <v>245</v>
      </c>
      <c r="BZ515" s="48" t="str">
        <f aca="false">IF(AND(Parameter!$B$19="Ja",E515&lt;&gt;"",ISNUMBER(MATCH(E515,Parameter!$I$35:$I$52,0))),VLOOKUP(E515,Parameter!$I$35:$J$52,2,0),IFERROR(VLOOKUP(D515,Parameter!$A$35:$C$64,2,0),"Nein"))</f>
        <v>Nein</v>
      </c>
      <c r="CA515" s="52" t="n">
        <f aca="false">IF(BW515=0,0,IF(N(S515)&gt;0,S515,IFERROR(VLOOKUP(D515,Parameter!$A$35:$C$64,3,0)+0,0)))</f>
        <v>0</v>
      </c>
      <c r="CB515" s="48" t="str">
        <f aca="false">IF(AA515&lt;&gt;"",AA515,Z515)</f>
        <v>-</v>
      </c>
      <c r="CC515" s="48" t="str">
        <f aca="false">IF(OR(CB515=1,CB515=2,CB515=3),IF(Parameter!$E$27="Ja","LIFT",IF(CB515=1,"L1","L23")),IF(CB515="Aussen","Aussen","-"))</f>
        <v>-</v>
      </c>
      <c r="CD515" s="59" t="n">
        <f aca="false">IF(N(AB515)&gt;0,AB515,0)</f>
        <v>0</v>
      </c>
      <c r="CE515" s="53" t="n">
        <f aca="false">IF(ISNUMBER(AE515),1,0)</f>
        <v>0</v>
      </c>
      <c r="CF515" s="50" t="n">
        <f aca="false">N(AE515)</f>
        <v>0</v>
      </c>
      <c r="CG515" s="50" t="n">
        <f aca="false">N(M515)+N(N515)</f>
        <v>110</v>
      </c>
      <c r="CH515" s="50" t="n">
        <f aca="false">ROUNDUP(H515/BV515,0)</f>
        <v>2</v>
      </c>
      <c r="CI515" s="50" t="n">
        <f aca="false">ROUNDUP(CF515/BV515,0)</f>
        <v>0</v>
      </c>
      <c r="CJ515" s="53" t="n">
        <f aca="false">IF(BW515=1,0,IFERROR(VLOOKUP(BU515,'Gebinde-Kategorie'!$A$5:$N$45,5,0)+0,0))</f>
        <v>21</v>
      </c>
      <c r="CK515" s="53" t="n">
        <f aca="false">IFERROR(IF(OR(CB515=1,CB515=2,CB515=3),N(INDEX(Parameter!$I$5:$I$7,CB515)),0),0)</f>
        <v>0</v>
      </c>
      <c r="CL515" s="52" t="n">
        <f aca="false">IF(AND(Parameter!$B$21="Ja",ISNUMBER(W515),N(X515)&gt;0),IFERROR(N(INDEX(Parameter!$L$5:$L$7,W515))*INDEX(Parameter!$E$5:$E$7,W515)*X515/SUMIFS($X$7:$X$1843,$W$7:$W$1843,W515),0),0)</f>
        <v>0</v>
      </c>
    </row>
    <row r="516" customFormat="false" ht="15" hidden="false" customHeight="false" outlineLevel="0" collapsed="false">
      <c r="A516" s="48" t="s">
        <v>1128</v>
      </c>
      <c r="B516" s="48" t="s">
        <v>472</v>
      </c>
      <c r="C516" s="48" t="s">
        <v>168</v>
      </c>
      <c r="D516" s="48" t="s">
        <v>188</v>
      </c>
      <c r="E516" s="48" t="s">
        <v>189</v>
      </c>
      <c r="F516" s="48" t="s">
        <v>222</v>
      </c>
      <c r="G516" s="49" t="n">
        <v>0.14</v>
      </c>
      <c r="H516" s="50" t="n">
        <f aca="false">MAX(0,IF(AND(Parameter!$B$21="Ja",ISNUMBER(Y516)),Y516,IF(Parameter!$B$20="Jahresanfang 2025 + Export",BO516+BN516,BN516)))</f>
        <v>355</v>
      </c>
      <c r="I516" s="50" t="n">
        <f aca="false">H516*G516</f>
        <v>49.7</v>
      </c>
      <c r="J516" s="50" t="n">
        <f aca="false">BQ516*Parameter!$B$18</f>
        <v>360</v>
      </c>
      <c r="K516" s="51" t="n">
        <v>84.5</v>
      </c>
      <c r="L516" s="52" t="n">
        <v>4.2603550295858</v>
      </c>
      <c r="M516" s="50" t="n">
        <v>14</v>
      </c>
      <c r="N516" s="50" t="n">
        <v>360</v>
      </c>
      <c r="O516" s="53" t="n">
        <v>14</v>
      </c>
      <c r="P516" s="48" t="s">
        <v>430</v>
      </c>
      <c r="Q516" s="50" t="n">
        <v>81</v>
      </c>
      <c r="R516" s="53" t="n">
        <f aca="false">IF(BW516=1,0,IFERROR(VLOOKUP(BU516,'Gebinde-Kategorie'!$A$5:$N$45,13,0)+0,0))</f>
        <v>140</v>
      </c>
      <c r="S516" s="54"/>
      <c r="T516" s="55"/>
      <c r="U516" s="55"/>
      <c r="V516" s="55"/>
      <c r="W516" s="48"/>
      <c r="X516" s="50"/>
      <c r="Y516" s="50"/>
      <c r="Z516" s="48" t="n">
        <f aca="false">IF(A516="","",IF(AND(Parameter!$B$21="Ja",ISNUMBER(W516)),W516,IF(BZ516="2+3",IF(ISNUMBER(SEARCH("grosser Artikel",BR516)),2,IFERROR(VLOOKUP(BU516,Parameter!$F$35:$G$64,2,0),2)),IF(OR(BZ516="Nein",BZ516=""),"-",BZ516))))</f>
        <v>3</v>
      </c>
      <c r="AA516" s="55"/>
      <c r="AB516" s="56"/>
      <c r="AC516" s="50" t="n">
        <f aca="false">AT516</f>
        <v>405</v>
      </c>
      <c r="AD516" s="50" t="n">
        <f aca="false">MAX(AT516,H516)</f>
        <v>405</v>
      </c>
      <c r="AE516" s="57"/>
      <c r="AF516" s="50" t="n">
        <f aca="false">IF(LEFT(Cockpit!$C$5,1)="A",H516,IF(CE516=1,CF516,IF(LEFT(Cockpit!$C$5,1)="B",AK516,MAX(AK516,H516))))</f>
        <v>355</v>
      </c>
      <c r="AG516" s="50" t="n">
        <f aca="false">IF(BW516=1,0,ROUNDUP(AF516/BV516,0))</f>
        <v>5</v>
      </c>
      <c r="AH516" s="52" t="n">
        <f aca="false">IF(CL516&gt;0,CL516*MAX(1,AF516/X516),IF(BW516=1,IF(AF516&lt;=0,0,CA516*MAX(1,IF(H516&gt;0,AF516/H516,1))),IF(R516&gt;0,AG516/R516,0))/MAX(0.1,N(Parameter!$M$21)))</f>
        <v>0.0357142857142857</v>
      </c>
      <c r="AI516" s="50" t="n">
        <f aca="false">AH516*BY516</f>
        <v>5.53571428571429</v>
      </c>
      <c r="AJ516" s="50" t="n">
        <f aca="false">AF516*G516</f>
        <v>49.7</v>
      </c>
      <c r="AK516" s="50" t="n">
        <f aca="false">ROUNDUP(MAX(J516/IF(CD516&gt;0,CD516,MAX(0.1,N(Cockpit!$C$6))),CG516)/BV516,0)*BV516</f>
        <v>405</v>
      </c>
      <c r="AL516" s="51" t="n">
        <f aca="false">IF(AI516&gt;0,J516/AI516,-1)</f>
        <v>65.0322580645161</v>
      </c>
      <c r="AM516" s="51" t="n">
        <f aca="false">IF(AND(OR(CC516="L1",CC516="L23",CC516="LIFT"),AI516&gt;0),SUMIFS($AI$7:$AI$1843,$CC$7:$CC$1843,CC516,$AL$7:$AL$1843,"&gt;"&amp;AL516)+SUMIFS($AI$7:$AI$1843,$CC$7:$CC$1843,CC516,$AL$7:$AL$1843,AL516,$BT$7:$BT$1843,"&lt;="&amp;BT516),"")</f>
        <v>940.237637362637</v>
      </c>
      <c r="AN516" s="58" t="n">
        <f aca="false">IF(AM516="",0,MAX(0,MIN(1,(IF(CC516="L1",Parameter!$H$5,IF(CC516="L23",Parameter!$H$6+Parameter!$H$7,Parameter!$H$5+Parameter!$H$6+Parameter!$H$7))-(AM516-AI516))/AI516)))</f>
        <v>1</v>
      </c>
      <c r="AO516" s="50" t="n">
        <f aca="false">IF(LEFT(Cockpit!$I$5,1)="A",H516,IF(CE516=1,CF516,IF(LEFT(Cockpit!$I$5,1)="B",AT516,MAX(AT516,H516))))</f>
        <v>405</v>
      </c>
      <c r="AP516" s="50" t="n">
        <f aca="false">IF(BW516=1,0,ROUNDUP(AO516/BV516,0))</f>
        <v>5</v>
      </c>
      <c r="AQ516" s="52" t="n">
        <f aca="false">IF(CL516&gt;0,CL516*MAX(1,AO516/X516),IF(BW516=1,IF(AO516&lt;=0,0,CA516*MAX(1,IF(H516&gt;0,AO516/H516,1))),IF(R516&gt;0,AP516/R516,0))/MAX(0.1,N(Parameter!$M$21)))</f>
        <v>0.0357142857142857</v>
      </c>
      <c r="AR516" s="50" t="n">
        <f aca="false">AQ516*BY516</f>
        <v>5.53571428571429</v>
      </c>
      <c r="AS516" s="50" t="n">
        <f aca="false">AO516*G516</f>
        <v>56.7</v>
      </c>
      <c r="AT516" s="50" t="n">
        <f aca="false">ROUNDUP(MAX(J516/IF(CD516&gt;0,CD516,MAX(0.1,N(Cockpit!$I$6))),CG516)/BV516,0)*BV516</f>
        <v>405</v>
      </c>
      <c r="AU516" s="51" t="n">
        <f aca="false">IF(AR516&gt;0,J516/AR516,-1)</f>
        <v>65.0322580645161</v>
      </c>
      <c r="AV516" s="51" t="n">
        <f aca="false">IF(AND(OR(CC516="L1",CC516="L23",CC516="LIFT"),AR516&gt;0),SUMIFS($AR$7:$AR$1843,$CC$7:$CC$1843,CC516,$AU$7:$AU$1843,"&gt;"&amp;AU516)+SUMIFS($AR$7:$AR$1843,$CC$7:$CC$1843,CC516,$AU$7:$AU$1843,AU516,$BT$7:$BT$1843,"&lt;="&amp;BT516),"")</f>
        <v>1316.36446886447</v>
      </c>
      <c r="AW516" s="58" t="n">
        <f aca="false">IF(AV516="",0,MAX(0,MIN(1,(IF(CC516="L1",Parameter!$H$5,IF(CC516="L23",Parameter!$H$6+Parameter!$H$7,Parameter!$H$5+Parameter!$H$6+Parameter!$H$7))-(AV516-AR516))/AR516)))</f>
        <v>1</v>
      </c>
      <c r="AX516" s="50" t="n">
        <f aca="false">IF(LEFT(Cockpit!$O$5,1)="A",H516,IF(CE516=1,CF516,IF(LEFT(Cockpit!$O$5,1)="B",BC516,MAX(BC516,H516))))</f>
        <v>405</v>
      </c>
      <c r="AY516" s="50" t="n">
        <f aca="false">IF(BW516=1,0,ROUNDUP(AX516/BV516,0))</f>
        <v>5</v>
      </c>
      <c r="AZ516" s="52" t="n">
        <f aca="false">IF(CL516&gt;0,CL516*MAX(1,AX516/X516),IF(BW516=1,IF(AX516&lt;=0,0,CA516*MAX(1,IF(H516&gt;0,AX516/H516,1))),IF(R516&gt;0,AY516/R516,0))/MAX(0.1,N(Parameter!$M$21)))</f>
        <v>0.0357142857142857</v>
      </c>
      <c r="BA516" s="50" t="n">
        <f aca="false">AZ516*BY516</f>
        <v>5.53571428571429</v>
      </c>
      <c r="BB516" s="50" t="n">
        <f aca="false">AX516*G516</f>
        <v>56.7</v>
      </c>
      <c r="BC516" s="50" t="n">
        <f aca="false">ROUNDUP(MAX(J516/IF(CD516&gt;0,CD516,MAX(0.1,N(Cockpit!$O$6))),CG516)/BV516,0)*BV516</f>
        <v>405</v>
      </c>
      <c r="BD516" s="51" t="n">
        <f aca="false">IF(BA516&gt;0,J516/BA516,-1)</f>
        <v>65.0322580645161</v>
      </c>
      <c r="BE516" s="51" t="n">
        <f aca="false">IF(AND(OR(CC516="L1",CC516="L23",CC516="LIFT"),BA516&gt;0),SUMIFS($BA$7:$BA$1843,$CC$7:$CC$1843,CC516,$BD$7:$BD$1843,"&gt;"&amp;BD516)+SUMIFS($BA$7:$BA$1843,$CC$7:$CC$1843,CC516,$BD$7:$BD$1843,BD516,$BT$7:$BT$1843,"&lt;="&amp;BT516),"")</f>
        <v>1155.51510989011</v>
      </c>
      <c r="BF516" s="58" t="n">
        <f aca="false">IF(BE516="",0,MAX(0,MIN(1,(IF(CC516="L1",Parameter!$H$5,IF(CC516="L23",Parameter!$H$6+Parameter!$H$7,Parameter!$H$5+Parameter!$H$6+Parameter!$H$7))-(BE516-BA516))/BA516)))</f>
        <v>1</v>
      </c>
      <c r="BG516" s="48" t="str">
        <f aca="false">IF(AI516&lt;=0,"",IF(CC516="Aussen","Aussenlager",IF(CC516="-","Nicht im Lift",IF(AN516&gt;=1,"Lift",IF(AN516&lt;=0,"Aussenlager","teilweise")))))</f>
        <v>Lift</v>
      </c>
      <c r="BH516" s="48" t="str">
        <f aca="false">IF(AR516&lt;=0,"",IF(CC516="Aussen","Aussenlager",IF(CC516="-","Nicht im Lift",IF(AW516&gt;=1,"Lift",IF(AW516&lt;=0,"Aussenlager","teilweise")))))</f>
        <v>Lift</v>
      </c>
      <c r="BI516" s="48" t="str">
        <f aca="false">IF(BA516&lt;=0,"",IF(CC516="Aussen","Aussenlager",IF(CC516="-","Nicht im Lift",IF(BF516&gt;=1,"Lift",IF(BF516&lt;=0,"Aussenlager","teilweise")))))</f>
        <v>Lift</v>
      </c>
      <c r="BJ516" s="48" t="str">
        <f aca="false">IF(A516="","",IF(BS516=1,"Neu; ","")&amp;IF(AND(BS516=0,BN516&lt;0),"negativer Bestand (Export "&amp;BN516&amp;"); ","")&amp;IF(J516&lt;=0,"Kein Verbrauch; ","")&amp;IF(CL516&gt;0,"Lift "&amp;W516&amp;" lt. Liftbericht (Fach "&amp;X516&amp;" Stk); ",IF(BX516=1,"Gebinde geschätzt ("&amp;T516&amp;"); ",IF(BW516=1,"Lose – Tablare geschätzt; ","")))&amp;IF(H516&gt;AT516,"Überbestand "&amp;ROUND(H516-AT516,0)&amp;" Stk / CHF "&amp;ROUND((H516-AT516)*G516,0)&amp;"; ","")&amp;IF(AND(CE516=1,CF516&lt;CG516),"MAX &lt; MB+LG; ","")&amp;IF(AND(CK516&gt;0,CJ516*10&gt;CK516),"zu hoch für Tablar; ","")&amp;IF(AND(BS516=0,OR(CE516=1,AA516&lt;&gt;"",U516&lt;&gt;"",V516&lt;&gt;"",AB516&lt;&gt;"")),"manuell übersteuert; ","")&amp;IF(AND(BW516=0,R516=0),"Gebinde unbekannt / Stellmass fehlt; ","")&amp;IF(AND(BW516=0,N(V516)&lt;=0,N(Q516)&lt;=0),"Menge pro Gebinde fehlt (Ist = 1 Gebinde); ","")&amp;BR516)</f>
        <v/>
      </c>
      <c r="BK516" s="48"/>
      <c r="BL516" s="48"/>
      <c r="BM516" s="55"/>
      <c r="BN516" s="50" t="n">
        <v>266</v>
      </c>
      <c r="BO516" s="50" t="n">
        <v>89</v>
      </c>
      <c r="BP516" s="49" t="n">
        <v>31.01</v>
      </c>
      <c r="BQ516" s="50" t="n">
        <v>360</v>
      </c>
      <c r="BR516" s="48"/>
      <c r="BS516" s="53" t="n">
        <v>0</v>
      </c>
      <c r="BT516" s="53" t="n">
        <v>516</v>
      </c>
      <c r="BU516" s="48" t="str">
        <f aca="false">IF(U516&lt;&gt;"",UPPER(TRIM(U516)),IF(BX516=1,UPPER(VLOOKUP(T516,Parameter!$I$27:$K$29,2,0)),IF(P516="","LOSE",P516)))</f>
        <v>S22</v>
      </c>
      <c r="BV516" s="50" t="n">
        <f aca="false">IF(BU516="LOSE",1,IF(N(V516)&gt;0,V516,IF(BX516=1,MAX(1,N(VLOOKUP(T516,Parameter!$I$27:$K$29,3,0)),H516,N(N516)),IF(N(Q516)&gt;0,Q516,MAX(1,H516)))))</f>
        <v>81</v>
      </c>
      <c r="BW516" s="53" t="n">
        <f aca="false">IF(BU516="LOSE",1,0)</f>
        <v>0</v>
      </c>
      <c r="BX516" s="53" t="n">
        <f aca="false">IF(AND(U516="",OR(P516="",P516="LOSE"),T516&lt;&gt;"",N(S516)&lt;=0,ISNUMBER(MATCH(T516,Parameter!$I$27:$I$29,0))),1,0)</f>
        <v>0</v>
      </c>
      <c r="BY516" s="53" t="n">
        <f aca="false">IF(CL516&gt;0,INDEX(Parameter!$H$5:$H$7,W516)/INDEX(Parameter!$E$5:$E$7,W516),IF(AND(BW516=0,N(IFERROR(VLOOKUP(BU516,'Gebinde-Kategorie'!$A$5:$N$45,14,0),0))&gt;0),VLOOKUP(BU516,'Gebinde-Kategorie'!$A$5:$N$45,14,0)*10+Parameter!$M$23,Parameter!$M$24))</f>
        <v>155</v>
      </c>
      <c r="BZ516" s="48" t="str">
        <f aca="false">IF(AND(Parameter!$B$19="Ja",E516&lt;&gt;"",ISNUMBER(MATCH(E516,Parameter!$I$35:$I$52,0))),VLOOKUP(E516,Parameter!$I$35:$J$52,2,0),IFERROR(VLOOKUP(D516,Parameter!$A$35:$C$64,2,0),"Nein"))</f>
        <v>2+3</v>
      </c>
      <c r="CA516" s="52" t="n">
        <f aca="false">IF(BW516=0,0,IF(N(S516)&gt;0,S516,IFERROR(VLOOKUP(D516,Parameter!$A$35:$C$64,3,0)+0,0)))</f>
        <v>0</v>
      </c>
      <c r="CB516" s="48" t="n">
        <f aca="false">IF(AA516&lt;&gt;"",AA516,Z516)</f>
        <v>3</v>
      </c>
      <c r="CC516" s="48" t="str">
        <f aca="false">IF(OR(CB516=1,CB516=2,CB516=3),IF(Parameter!$E$27="Ja","LIFT",IF(CB516=1,"L1","L23")),IF(CB516="Aussen","Aussen","-"))</f>
        <v>LIFT</v>
      </c>
      <c r="CD516" s="59" t="n">
        <f aca="false">IF(N(AB516)&gt;0,AB516,0)</f>
        <v>0</v>
      </c>
      <c r="CE516" s="53" t="n">
        <f aca="false">IF(ISNUMBER(AE516),1,0)</f>
        <v>0</v>
      </c>
      <c r="CF516" s="50" t="n">
        <f aca="false">N(AE516)</f>
        <v>0</v>
      </c>
      <c r="CG516" s="50" t="n">
        <f aca="false">N(M516)+N(N516)</f>
        <v>374</v>
      </c>
      <c r="CH516" s="50" t="n">
        <f aca="false">ROUNDUP(H516/BV516,0)</f>
        <v>5</v>
      </c>
      <c r="CI516" s="50" t="n">
        <f aca="false">ROUNDUP(CF516/BV516,0)</f>
        <v>0</v>
      </c>
      <c r="CJ516" s="53" t="n">
        <f aca="false">IF(BW516=1,0,IFERROR(VLOOKUP(BU516,'Gebinde-Kategorie'!$A$5:$N$45,5,0)+0,0))</f>
        <v>8</v>
      </c>
      <c r="CK516" s="53" t="n">
        <f aca="false">IFERROR(IF(OR(CB516=1,CB516=2,CB516=3),N(INDEX(Parameter!$I$5:$I$7,CB516)),0),0)</f>
        <v>0</v>
      </c>
      <c r="CL516" s="52" t="n">
        <f aca="false">IF(AND(Parameter!$B$21="Ja",ISNUMBER(W516),N(X516)&gt;0),IFERROR(N(INDEX(Parameter!$L$5:$L$7,W516))*INDEX(Parameter!$E$5:$E$7,W516)*X516/SUMIFS($X$7:$X$1843,$W$7:$W$1843,W516),0),0)</f>
        <v>0</v>
      </c>
    </row>
    <row r="517" customFormat="false" ht="15" hidden="false" customHeight="false" outlineLevel="0" collapsed="false">
      <c r="A517" s="48" t="s">
        <v>1129</v>
      </c>
      <c r="B517" s="48" t="s">
        <v>798</v>
      </c>
      <c r="C517" s="48" t="s">
        <v>168</v>
      </c>
      <c r="D517" s="48" t="s">
        <v>188</v>
      </c>
      <c r="E517" s="48"/>
      <c r="F517" s="48" t="s">
        <v>222</v>
      </c>
      <c r="G517" s="49" t="n">
        <v>27.04</v>
      </c>
      <c r="H517" s="50" t="n">
        <f aca="false">MAX(0,IF(AND(Parameter!$B$21="Ja",ISNUMBER(Y517)),Y517,IF(Parameter!$B$20="Jahresanfang 2025 + Export",BO517+BN517,BN517)))</f>
        <v>5</v>
      </c>
      <c r="I517" s="50" t="n">
        <f aca="false">H517*G517</f>
        <v>135.2</v>
      </c>
      <c r="J517" s="50" t="n">
        <f aca="false">BQ517*Parameter!$B$18</f>
        <v>5</v>
      </c>
      <c r="K517" s="51" t="n">
        <v>4</v>
      </c>
      <c r="L517" s="52" t="n">
        <v>1.25</v>
      </c>
      <c r="M517" s="50" t="n">
        <v>5</v>
      </c>
      <c r="N517" s="50" t="n">
        <v>5</v>
      </c>
      <c r="O517" s="53" t="n">
        <v>14</v>
      </c>
      <c r="P517" s="48" t="s">
        <v>332</v>
      </c>
      <c r="Q517" s="50" t="n">
        <v>5</v>
      </c>
      <c r="R517" s="53" t="n">
        <f aca="false">IF(BW517=1,0,IFERROR(VLOOKUP(BU517,'Gebinde-Kategorie'!$A$5:$N$45,13,0)+0,0))</f>
        <v>52</v>
      </c>
      <c r="S517" s="54"/>
      <c r="T517" s="55"/>
      <c r="U517" s="55"/>
      <c r="V517" s="55"/>
      <c r="W517" s="48"/>
      <c r="X517" s="50"/>
      <c r="Y517" s="50"/>
      <c r="Z517" s="48" t="n">
        <f aca="false">IF(A517="","",IF(AND(Parameter!$B$21="Ja",ISNUMBER(W517)),W517,IF(BZ517="2+3",IF(ISNUMBER(SEARCH("grosser Artikel",BR517)),2,IFERROR(VLOOKUP(BU517,Parameter!$F$35:$G$64,2,0),2)),IF(OR(BZ517="Nein",BZ517=""),"-",BZ517))))</f>
        <v>3</v>
      </c>
      <c r="AA517" s="55"/>
      <c r="AB517" s="56"/>
      <c r="AC517" s="50" t="n">
        <f aca="false">AT517</f>
        <v>10</v>
      </c>
      <c r="AD517" s="50" t="n">
        <f aca="false">MAX(AT517,H517)</f>
        <v>10</v>
      </c>
      <c r="AE517" s="57"/>
      <c r="AF517" s="50" t="n">
        <f aca="false">IF(LEFT(Cockpit!$C$5,1)="A",H517,IF(CE517=1,CF517,IF(LEFT(Cockpit!$C$5,1)="B",AK517,MAX(AK517,H517))))</f>
        <v>5</v>
      </c>
      <c r="AG517" s="50" t="n">
        <f aca="false">IF(BW517=1,0,ROUNDUP(AF517/BV517,0))</f>
        <v>1</v>
      </c>
      <c r="AH517" s="52" t="n">
        <f aca="false">IF(CL517&gt;0,CL517*MAX(1,AF517/X517),IF(BW517=1,IF(AF517&lt;=0,0,CA517*MAX(1,IF(H517&gt;0,AF517/H517,1))),IF(R517&gt;0,AG517/R517,0))/MAX(0.1,N(Parameter!$M$21)))</f>
        <v>0.0192307692307692</v>
      </c>
      <c r="AI517" s="50" t="n">
        <f aca="false">AH517*BY517</f>
        <v>2.98076923076923</v>
      </c>
      <c r="AJ517" s="50" t="n">
        <f aca="false">AF517*G517</f>
        <v>135.2</v>
      </c>
      <c r="AK517" s="50" t="n">
        <f aca="false">ROUNDUP(MAX(J517/IF(CD517&gt;0,CD517,MAX(0.1,N(Cockpit!$C$6))),CG517)/BV517,0)*BV517</f>
        <v>10</v>
      </c>
      <c r="AL517" s="51" t="n">
        <f aca="false">IF(AI517&gt;0,J517/AI517,-1)</f>
        <v>1.67741935483871</v>
      </c>
      <c r="AM517" s="51" t="n">
        <f aca="false">IF(AND(OR(CC517="L1",CC517="L23",CC517="LIFT"),AI517&gt;0),SUMIFS($AI$7:$AI$1843,$CC$7:$CC$1843,CC517,$AL$7:$AL$1843,"&gt;"&amp;AL517)+SUMIFS($AI$7:$AI$1843,$CC$7:$CC$1843,CC517,$AL$7:$AL$1843,AL517,$BT$7:$BT$1843,"&lt;="&amp;BT517),"")</f>
        <v>6048.87225274725</v>
      </c>
      <c r="AN517" s="58" t="n">
        <f aca="false">IF(AM517="",0,MAX(0,MIN(1,(IF(CC517="L1",Parameter!$H$5,IF(CC517="L23",Parameter!$H$6+Parameter!$H$7,Parameter!$H$5+Parameter!$H$6+Parameter!$H$7))-(AM517-AI517))/AI517)))</f>
        <v>1</v>
      </c>
      <c r="AO517" s="50" t="n">
        <f aca="false">IF(LEFT(Cockpit!$I$5,1)="A",H517,IF(CE517=1,CF517,IF(LEFT(Cockpit!$I$5,1)="B",AT517,MAX(AT517,H517))))</f>
        <v>10</v>
      </c>
      <c r="AP517" s="50" t="n">
        <f aca="false">IF(BW517=1,0,ROUNDUP(AO517/BV517,0))</f>
        <v>2</v>
      </c>
      <c r="AQ517" s="52" t="n">
        <f aca="false">IF(CL517&gt;0,CL517*MAX(1,AO517/X517),IF(BW517=1,IF(AO517&lt;=0,0,CA517*MAX(1,IF(H517&gt;0,AO517/H517,1))),IF(R517&gt;0,AP517/R517,0))/MAX(0.1,N(Parameter!$M$21)))</f>
        <v>0.0384615384615385</v>
      </c>
      <c r="AR517" s="50" t="n">
        <f aca="false">AQ517*BY517</f>
        <v>5.96153846153846</v>
      </c>
      <c r="AS517" s="50" t="n">
        <f aca="false">AO517*G517</f>
        <v>270.4</v>
      </c>
      <c r="AT517" s="50" t="n">
        <f aca="false">ROUNDUP(MAX(J517/IF(CD517&gt;0,CD517,MAX(0.1,N(Cockpit!$I$6))),CG517)/BV517,0)*BV517</f>
        <v>10</v>
      </c>
      <c r="AU517" s="51" t="n">
        <f aca="false">IF(AR517&gt;0,J517/AR517,-1)</f>
        <v>0.838709677419355</v>
      </c>
      <c r="AV517" s="51" t="n">
        <f aca="false">IF(AND(OR(CC517="L1",CC517="L23",CC517="LIFT"),AR517&gt;0),SUMIFS($AR$7:$AR$1843,$CC$7:$CC$1843,CC517,$AU$7:$AU$1843,"&gt;"&amp;AU517)+SUMIFS($AR$7:$AR$1843,$CC$7:$CC$1843,CC517,$AU$7:$AU$1843,AU517,$BT$7:$BT$1843,"&lt;="&amp;BT517),"")</f>
        <v>11255.1254578755</v>
      </c>
      <c r="AW517" s="58" t="n">
        <f aca="false">IF(AV517="",0,MAX(0,MIN(1,(IF(CC517="L1",Parameter!$H$5,IF(CC517="L23",Parameter!$H$6+Parameter!$H$7,Parameter!$H$5+Parameter!$H$6+Parameter!$H$7))-(AV517-AR517))/AR517)))</f>
        <v>1</v>
      </c>
      <c r="AX517" s="50" t="n">
        <f aca="false">IF(LEFT(Cockpit!$O$5,1)="A",H517,IF(CE517=1,CF517,IF(LEFT(Cockpit!$O$5,1)="B",BC517,MAX(BC517,H517))))</f>
        <v>10</v>
      </c>
      <c r="AY517" s="50" t="n">
        <f aca="false">IF(BW517=1,0,ROUNDUP(AX517/BV517,0))</f>
        <v>2</v>
      </c>
      <c r="AZ517" s="52" t="n">
        <f aca="false">IF(CL517&gt;0,CL517*MAX(1,AX517/X517),IF(BW517=1,IF(AX517&lt;=0,0,CA517*MAX(1,IF(H517&gt;0,AX517/H517,1))),IF(R517&gt;0,AY517/R517,0))/MAX(0.1,N(Parameter!$M$21)))</f>
        <v>0.0384615384615385</v>
      </c>
      <c r="BA517" s="50" t="n">
        <f aca="false">AZ517*BY517</f>
        <v>5.96153846153846</v>
      </c>
      <c r="BB517" s="50" t="n">
        <f aca="false">AX517*G517</f>
        <v>270.4</v>
      </c>
      <c r="BC517" s="50" t="n">
        <f aca="false">ROUNDUP(MAX(J517/IF(CD517&gt;0,CD517,MAX(0.1,N(Cockpit!$O$6))),CG517)/BV517,0)*BV517</f>
        <v>10</v>
      </c>
      <c r="BD517" s="51" t="n">
        <f aca="false">IF(BA517&gt;0,J517/BA517,-1)</f>
        <v>0.838709677419355</v>
      </c>
      <c r="BE517" s="51" t="n">
        <f aca="false">IF(AND(OR(CC517="L1",CC517="L23",CC517="LIFT"),BA517&gt;0),SUMIFS($BA$7:$BA$1843,$CC$7:$CC$1843,CC517,$BD$7:$BD$1843,"&gt;"&amp;BD517)+SUMIFS($BA$7:$BA$1843,$CC$7:$CC$1843,CC517,$BD$7:$BD$1843,BD517,$BT$7:$BT$1843,"&lt;="&amp;BT517),"")</f>
        <v>10350.7825091575</v>
      </c>
      <c r="BF517" s="58" t="n">
        <f aca="false">IF(BE517="",0,MAX(0,MIN(1,(IF(CC517="L1",Parameter!$H$5,IF(CC517="L23",Parameter!$H$6+Parameter!$H$7,Parameter!$H$5+Parameter!$H$6+Parameter!$H$7))-(BE517-BA517))/BA517)))</f>
        <v>1</v>
      </c>
      <c r="BG517" s="48" t="str">
        <f aca="false">IF(AI517&lt;=0,"",IF(CC517="Aussen","Aussenlager",IF(CC517="-","Nicht im Lift",IF(AN517&gt;=1,"Lift",IF(AN517&lt;=0,"Aussenlager","teilweise")))))</f>
        <v>Lift</v>
      </c>
      <c r="BH517" s="48" t="str">
        <f aca="false">IF(AR517&lt;=0,"",IF(CC517="Aussen","Aussenlager",IF(CC517="-","Nicht im Lift",IF(AW517&gt;=1,"Lift",IF(AW517&lt;=0,"Aussenlager","teilweise")))))</f>
        <v>Lift</v>
      </c>
      <c r="BI517" s="48" t="str">
        <f aca="false">IF(BA517&lt;=0,"",IF(CC517="Aussen","Aussenlager",IF(CC517="-","Nicht im Lift",IF(BF517&gt;=1,"Lift",IF(BF517&lt;=0,"Aussenlager","teilweise")))))</f>
        <v>Lift</v>
      </c>
      <c r="BJ517" s="48" t="str">
        <f aca="false">IF(A517="","",IF(BS517=1,"Neu; ","")&amp;IF(AND(BS517=0,BN517&lt;0),"negativer Bestand (Export "&amp;BN517&amp;"); ","")&amp;IF(J517&lt;=0,"Kein Verbrauch; ","")&amp;IF(CL517&gt;0,"Lift "&amp;W517&amp;" lt. Liftbericht (Fach "&amp;X517&amp;" Stk); ",IF(BX517=1,"Gebinde geschätzt ("&amp;T517&amp;"); ",IF(BW517=1,"Lose – Tablare geschätzt; ","")))&amp;IF(H517&gt;AT517,"Überbestand "&amp;ROUND(H517-AT517,0)&amp;" Stk / CHF "&amp;ROUND((H517-AT517)*G517,0)&amp;"; ","")&amp;IF(AND(CE517=1,CF517&lt;CG517),"MAX &lt; MB+LG; ","")&amp;IF(AND(CK517&gt;0,CJ517*10&gt;CK517),"zu hoch für Tablar; ","")&amp;IF(AND(BS517=0,OR(CE517=1,AA517&lt;&gt;"",U517&lt;&gt;"",V517&lt;&gt;"",AB517&lt;&gt;"")),"manuell übersteuert; ","")&amp;IF(AND(BW517=0,R517=0),"Gebinde unbekannt / Stellmass fehlt; ","")&amp;IF(AND(BW517=0,N(V517)&lt;=0,N(Q517)&lt;=0),"Menge pro Gebinde fehlt (Ist = 1 Gebinde); ","")&amp;BR517)</f>
        <v/>
      </c>
      <c r="BK517" s="48"/>
      <c r="BL517" s="48"/>
      <c r="BM517" s="55"/>
      <c r="BN517" s="50" t="n">
        <v>1</v>
      </c>
      <c r="BO517" s="50" t="n">
        <v>4</v>
      </c>
      <c r="BP517" s="49" t="n">
        <v>30.96</v>
      </c>
      <c r="BQ517" s="50" t="n">
        <v>5</v>
      </c>
      <c r="BR517" s="48"/>
      <c r="BS517" s="53" t="n">
        <v>0</v>
      </c>
      <c r="BT517" s="53" t="n">
        <v>517</v>
      </c>
      <c r="BU517" s="48" t="str">
        <f aca="false">IF(U517&lt;&gt;"",UPPER(TRIM(U517)),IF(BX517=1,UPPER(VLOOKUP(T517,Parameter!$I$27:$K$29,2,0)),IF(P517="","LOSE",P517)))</f>
        <v>S41</v>
      </c>
      <c r="BV517" s="50" t="n">
        <f aca="false">IF(BU517="LOSE",1,IF(N(V517)&gt;0,V517,IF(BX517=1,MAX(1,N(VLOOKUP(T517,Parameter!$I$27:$K$29,3,0)),H517,N(N517)),IF(N(Q517)&gt;0,Q517,MAX(1,H517)))))</f>
        <v>5</v>
      </c>
      <c r="BW517" s="53" t="n">
        <f aca="false">IF(BU517="LOSE",1,0)</f>
        <v>0</v>
      </c>
      <c r="BX517" s="53" t="n">
        <f aca="false">IF(AND(U517="",OR(P517="",P517="LOSE"),T517&lt;&gt;"",N(S517)&lt;=0,ISNUMBER(MATCH(T517,Parameter!$I$27:$I$29,0))),1,0)</f>
        <v>0</v>
      </c>
      <c r="BY517" s="53" t="n">
        <f aca="false">IF(CL517&gt;0,INDEX(Parameter!$H$5:$H$7,W517)/INDEX(Parameter!$E$5:$E$7,W517),IF(AND(BW517=0,N(IFERROR(VLOOKUP(BU517,'Gebinde-Kategorie'!$A$5:$N$45,14,0),0))&gt;0),VLOOKUP(BU517,'Gebinde-Kategorie'!$A$5:$N$45,14,0)*10+Parameter!$M$23,Parameter!$M$24))</f>
        <v>155</v>
      </c>
      <c r="BZ517" s="48" t="str">
        <f aca="false">IF(AND(Parameter!$B$19="Ja",E517&lt;&gt;"",ISNUMBER(MATCH(E517,Parameter!$I$35:$I$52,0))),VLOOKUP(E517,Parameter!$I$35:$J$52,2,0),IFERROR(VLOOKUP(D517,Parameter!$A$35:$C$64,2,0),"Nein"))</f>
        <v>2+3</v>
      </c>
      <c r="CA517" s="52" t="n">
        <f aca="false">IF(BW517=0,0,IF(N(S517)&gt;0,S517,IFERROR(VLOOKUP(D517,Parameter!$A$35:$C$64,3,0)+0,0)))</f>
        <v>0</v>
      </c>
      <c r="CB517" s="48" t="n">
        <f aca="false">IF(AA517&lt;&gt;"",AA517,Z517)</f>
        <v>3</v>
      </c>
      <c r="CC517" s="48" t="str">
        <f aca="false">IF(OR(CB517=1,CB517=2,CB517=3),IF(Parameter!$E$27="Ja","LIFT",IF(CB517=1,"L1","L23")),IF(CB517="Aussen","Aussen","-"))</f>
        <v>LIFT</v>
      </c>
      <c r="CD517" s="59" t="n">
        <f aca="false">IF(N(AB517)&gt;0,AB517,0)</f>
        <v>0</v>
      </c>
      <c r="CE517" s="53" t="n">
        <f aca="false">IF(ISNUMBER(AE517),1,0)</f>
        <v>0</v>
      </c>
      <c r="CF517" s="50" t="n">
        <f aca="false">N(AE517)</f>
        <v>0</v>
      </c>
      <c r="CG517" s="50" t="n">
        <f aca="false">N(M517)+N(N517)</f>
        <v>10</v>
      </c>
      <c r="CH517" s="50" t="n">
        <f aca="false">ROUNDUP(H517/BV517,0)</f>
        <v>1</v>
      </c>
      <c r="CI517" s="50" t="n">
        <f aca="false">ROUNDUP(CF517/BV517,0)</f>
        <v>0</v>
      </c>
      <c r="CJ517" s="53" t="n">
        <f aca="false">IF(BW517=1,0,IFERROR(VLOOKUP(BU517,'Gebinde-Kategorie'!$A$5:$N$45,5,0)+0,0))</f>
        <v>11</v>
      </c>
      <c r="CK517" s="53" t="n">
        <f aca="false">IFERROR(IF(OR(CB517=1,CB517=2,CB517=3),N(INDEX(Parameter!$I$5:$I$7,CB517)),0),0)</f>
        <v>0</v>
      </c>
      <c r="CL517" s="52" t="n">
        <f aca="false">IF(AND(Parameter!$B$21="Ja",ISNUMBER(W517),N(X517)&gt;0),IFERROR(N(INDEX(Parameter!$L$5:$L$7,W517))*INDEX(Parameter!$E$5:$E$7,W517)*X517/SUMIFS($X$7:$X$1843,$W$7:$W$1843,W517),0),0)</f>
        <v>0</v>
      </c>
    </row>
    <row r="518" customFormat="false" ht="15" hidden="false" customHeight="false" outlineLevel="0" collapsed="false">
      <c r="A518" s="48" t="s">
        <v>1130</v>
      </c>
      <c r="B518" s="48" t="s">
        <v>1131</v>
      </c>
      <c r="C518" s="48" t="s">
        <v>168</v>
      </c>
      <c r="D518" s="48" t="s">
        <v>188</v>
      </c>
      <c r="E518" s="48"/>
      <c r="F518" s="48" t="s">
        <v>222</v>
      </c>
      <c r="G518" s="49" t="n">
        <v>3.19</v>
      </c>
      <c r="H518" s="50" t="n">
        <f aca="false">MAX(0,IF(AND(Parameter!$B$21="Ja",ISNUMBER(Y518)),Y518,IF(Parameter!$B$20="Jahresanfang 2025 + Export",BO518+BN518,BN518)))</f>
        <v>18</v>
      </c>
      <c r="I518" s="50" t="n">
        <f aca="false">H518*G518</f>
        <v>57.42</v>
      </c>
      <c r="J518" s="50" t="n">
        <f aca="false">BQ518*Parameter!$B$18</f>
        <v>19</v>
      </c>
      <c r="K518" s="51" t="n">
        <v>9</v>
      </c>
      <c r="L518" s="52" t="n">
        <v>2.11111111111111</v>
      </c>
      <c r="M518" s="50" t="n">
        <v>0</v>
      </c>
      <c r="N518" s="50" t="n">
        <v>20</v>
      </c>
      <c r="O518" s="53" t="n">
        <v>14</v>
      </c>
      <c r="P518" s="48" t="s">
        <v>430</v>
      </c>
      <c r="Q518" s="50" t="n">
        <v>10</v>
      </c>
      <c r="R518" s="53" t="n">
        <f aca="false">IF(BW518=1,0,IFERROR(VLOOKUP(BU518,'Gebinde-Kategorie'!$A$5:$N$45,13,0)+0,0))</f>
        <v>140</v>
      </c>
      <c r="S518" s="54"/>
      <c r="T518" s="55"/>
      <c r="U518" s="55"/>
      <c r="V518" s="55"/>
      <c r="W518" s="48"/>
      <c r="X518" s="50"/>
      <c r="Y518" s="50"/>
      <c r="Z518" s="48" t="n">
        <f aca="false">IF(A518="","",IF(AND(Parameter!$B$21="Ja",ISNUMBER(W518)),W518,IF(BZ518="2+3",IF(ISNUMBER(SEARCH("grosser Artikel",BR518)),2,IFERROR(VLOOKUP(BU518,Parameter!$F$35:$G$64,2,0),2)),IF(OR(BZ518="Nein",BZ518=""),"-",BZ518))))</f>
        <v>3</v>
      </c>
      <c r="AA518" s="55"/>
      <c r="AB518" s="56"/>
      <c r="AC518" s="50" t="n">
        <f aca="false">AT518</f>
        <v>20</v>
      </c>
      <c r="AD518" s="50" t="n">
        <f aca="false">MAX(AT518,H518)</f>
        <v>20</v>
      </c>
      <c r="AE518" s="57"/>
      <c r="AF518" s="50" t="n">
        <f aca="false">IF(LEFT(Cockpit!$C$5,1)="A",H518,IF(CE518=1,CF518,IF(LEFT(Cockpit!$C$5,1)="B",AK518,MAX(AK518,H518))))</f>
        <v>18</v>
      </c>
      <c r="AG518" s="50" t="n">
        <f aca="false">IF(BW518=1,0,ROUNDUP(AF518/BV518,0))</f>
        <v>2</v>
      </c>
      <c r="AH518" s="52" t="n">
        <f aca="false">IF(CL518&gt;0,CL518*MAX(1,AF518/X518),IF(BW518=1,IF(AF518&lt;=0,0,CA518*MAX(1,IF(H518&gt;0,AF518/H518,1))),IF(R518&gt;0,AG518/R518,0))/MAX(0.1,N(Parameter!$M$21)))</f>
        <v>0.0142857142857143</v>
      </c>
      <c r="AI518" s="50" t="n">
        <f aca="false">AH518*BY518</f>
        <v>2.21428571428571</v>
      </c>
      <c r="AJ518" s="50" t="n">
        <f aca="false">AF518*G518</f>
        <v>57.42</v>
      </c>
      <c r="AK518" s="50" t="n">
        <f aca="false">ROUNDUP(MAX(J518/IF(CD518&gt;0,CD518,MAX(0.1,N(Cockpit!$C$6))),CG518)/BV518,0)*BV518</f>
        <v>20</v>
      </c>
      <c r="AL518" s="51" t="n">
        <f aca="false">IF(AI518&gt;0,J518/AI518,-1)</f>
        <v>8.58064516129032</v>
      </c>
      <c r="AM518" s="51" t="n">
        <f aca="false">IF(AND(OR(CC518="L1",CC518="L23",CC518="LIFT"),AI518&gt;0),SUMIFS($AI$7:$AI$1843,$CC$7:$CC$1843,CC518,$AL$7:$AL$1843,"&gt;"&amp;AL518)+SUMIFS($AI$7:$AI$1843,$CC$7:$CC$1843,CC518,$AL$7:$AL$1843,AL518,$BT$7:$BT$1843,"&lt;="&amp;BT518),"")</f>
        <v>2984.875</v>
      </c>
      <c r="AN518" s="58" t="n">
        <f aca="false">IF(AM518="",0,MAX(0,MIN(1,(IF(CC518="L1",Parameter!$H$5,IF(CC518="L23",Parameter!$H$6+Parameter!$H$7,Parameter!$H$5+Parameter!$H$6+Parameter!$H$7))-(AM518-AI518))/AI518)))</f>
        <v>1</v>
      </c>
      <c r="AO518" s="50" t="n">
        <f aca="false">IF(LEFT(Cockpit!$I$5,1)="A",H518,IF(CE518=1,CF518,IF(LEFT(Cockpit!$I$5,1)="B",AT518,MAX(AT518,H518))))</f>
        <v>20</v>
      </c>
      <c r="AP518" s="50" t="n">
        <f aca="false">IF(BW518=1,0,ROUNDUP(AO518/BV518,0))</f>
        <v>2</v>
      </c>
      <c r="AQ518" s="52" t="n">
        <f aca="false">IF(CL518&gt;0,CL518*MAX(1,AO518/X518),IF(BW518=1,IF(AO518&lt;=0,0,CA518*MAX(1,IF(H518&gt;0,AO518/H518,1))),IF(R518&gt;0,AP518/R518,0))/MAX(0.1,N(Parameter!$M$21)))</f>
        <v>0.0142857142857143</v>
      </c>
      <c r="AR518" s="50" t="n">
        <f aca="false">AQ518*BY518</f>
        <v>2.21428571428571</v>
      </c>
      <c r="AS518" s="50" t="n">
        <f aca="false">AO518*G518</f>
        <v>63.8</v>
      </c>
      <c r="AT518" s="50" t="n">
        <f aca="false">ROUNDUP(MAX(J518/IF(CD518&gt;0,CD518,MAX(0.1,N(Cockpit!$I$6))),CG518)/BV518,0)*BV518</f>
        <v>20</v>
      </c>
      <c r="AU518" s="51" t="n">
        <f aca="false">IF(AR518&gt;0,J518/AR518,-1)</f>
        <v>8.58064516129032</v>
      </c>
      <c r="AV518" s="51" t="n">
        <f aca="false">IF(AND(OR(CC518="L1",CC518="L23",CC518="LIFT"),AR518&gt;0),SUMIFS($AR$7:$AR$1843,$CC$7:$CC$1843,CC518,$AU$7:$AU$1843,"&gt;"&amp;AU518)+SUMIFS($AR$7:$AR$1843,$CC$7:$CC$1843,CC518,$AU$7:$AU$1843,AU518,$BT$7:$BT$1843,"&lt;="&amp;BT518),"")</f>
        <v>4200.23534798535</v>
      </c>
      <c r="AW518" s="58" t="n">
        <f aca="false">IF(AV518="",0,MAX(0,MIN(1,(IF(CC518="L1",Parameter!$H$5,IF(CC518="L23",Parameter!$H$6+Parameter!$H$7,Parameter!$H$5+Parameter!$H$6+Parameter!$H$7))-(AV518-AR518))/AR518)))</f>
        <v>1</v>
      </c>
      <c r="AX518" s="50" t="n">
        <f aca="false">IF(LEFT(Cockpit!$O$5,1)="A",H518,IF(CE518=1,CF518,IF(LEFT(Cockpit!$O$5,1)="B",BC518,MAX(BC518,H518))))</f>
        <v>20</v>
      </c>
      <c r="AY518" s="50" t="n">
        <f aca="false">IF(BW518=1,0,ROUNDUP(AX518/BV518,0))</f>
        <v>2</v>
      </c>
      <c r="AZ518" s="52" t="n">
        <f aca="false">IF(CL518&gt;0,CL518*MAX(1,AX518/X518),IF(BW518=1,IF(AX518&lt;=0,0,CA518*MAX(1,IF(H518&gt;0,AX518/H518,1))),IF(R518&gt;0,AY518/R518,0))/MAX(0.1,N(Parameter!$M$21)))</f>
        <v>0.0142857142857143</v>
      </c>
      <c r="BA518" s="50" t="n">
        <f aca="false">AZ518*BY518</f>
        <v>2.21428571428571</v>
      </c>
      <c r="BB518" s="50" t="n">
        <f aca="false">AX518*G518</f>
        <v>63.8</v>
      </c>
      <c r="BC518" s="50" t="n">
        <f aca="false">ROUNDUP(MAX(J518/IF(CD518&gt;0,CD518,MAX(0.1,N(Cockpit!$O$6))),CG518)/BV518,0)*BV518</f>
        <v>20</v>
      </c>
      <c r="BD518" s="51" t="n">
        <f aca="false">IF(BA518&gt;0,J518/BA518,-1)</f>
        <v>8.58064516129032</v>
      </c>
      <c r="BE518" s="51" t="n">
        <f aca="false">IF(AND(OR(CC518="L1",CC518="L23",CC518="LIFT"),BA518&gt;0),SUMIFS($BA$7:$BA$1843,$CC$7:$CC$1843,CC518,$BD$7:$BD$1843,"&gt;"&amp;BD518)+SUMIFS($BA$7:$BA$1843,$CC$7:$CC$1843,CC518,$BD$7:$BD$1843,BD518,$BT$7:$BT$1843,"&lt;="&amp;BT518),"")</f>
        <v>3858.36034798535</v>
      </c>
      <c r="BF518" s="58" t="n">
        <f aca="false">IF(BE518="",0,MAX(0,MIN(1,(IF(CC518="L1",Parameter!$H$5,IF(CC518="L23",Parameter!$H$6+Parameter!$H$7,Parameter!$H$5+Parameter!$H$6+Parameter!$H$7))-(BE518-BA518))/BA518)))</f>
        <v>1</v>
      </c>
      <c r="BG518" s="48" t="str">
        <f aca="false">IF(AI518&lt;=0,"",IF(CC518="Aussen","Aussenlager",IF(CC518="-","Nicht im Lift",IF(AN518&gt;=1,"Lift",IF(AN518&lt;=0,"Aussenlager","teilweise")))))</f>
        <v>Lift</v>
      </c>
      <c r="BH518" s="48" t="str">
        <f aca="false">IF(AR518&lt;=0,"",IF(CC518="Aussen","Aussenlager",IF(CC518="-","Nicht im Lift",IF(AW518&gt;=1,"Lift",IF(AW518&lt;=0,"Aussenlager","teilweise")))))</f>
        <v>Lift</v>
      </c>
      <c r="BI518" s="48" t="str">
        <f aca="false">IF(BA518&lt;=0,"",IF(CC518="Aussen","Aussenlager",IF(CC518="-","Nicht im Lift",IF(BF518&gt;=1,"Lift",IF(BF518&lt;=0,"Aussenlager","teilweise")))))</f>
        <v>Lift</v>
      </c>
      <c r="BJ518" s="48" t="str">
        <f aca="false">IF(A518="","",IF(BS518=1,"Neu; ","")&amp;IF(AND(BS518=0,BN518&lt;0),"negativer Bestand (Export "&amp;BN518&amp;"); ","")&amp;IF(J518&lt;=0,"Kein Verbrauch; ","")&amp;IF(CL518&gt;0,"Lift "&amp;W518&amp;" lt. Liftbericht (Fach "&amp;X518&amp;" Stk); ",IF(BX518=1,"Gebinde geschätzt ("&amp;T518&amp;"); ",IF(BW518=1,"Lose – Tablare geschätzt; ","")))&amp;IF(H518&gt;AT518,"Überbestand "&amp;ROUND(H518-AT518,0)&amp;" Stk / CHF "&amp;ROUND((H518-AT518)*G518,0)&amp;"; ","")&amp;IF(AND(CE518=1,CF518&lt;CG518),"MAX &lt; MB+LG; ","")&amp;IF(AND(CK518&gt;0,CJ518*10&gt;CK518),"zu hoch für Tablar; ","")&amp;IF(AND(BS518=0,OR(CE518=1,AA518&lt;&gt;"",U518&lt;&gt;"",V518&lt;&gt;"",AB518&lt;&gt;"")),"manuell übersteuert; ","")&amp;IF(AND(BW518=0,R518=0),"Gebinde unbekannt / Stellmass fehlt; ","")&amp;IF(AND(BW518=0,N(V518)&lt;=0,N(Q518)&lt;=0),"Menge pro Gebinde fehlt (Ist = 1 Gebinde); ","")&amp;BR518)</f>
        <v/>
      </c>
      <c r="BK518" s="48"/>
      <c r="BL518" s="48"/>
      <c r="BM518" s="55"/>
      <c r="BN518" s="50" t="n">
        <v>8</v>
      </c>
      <c r="BO518" s="50" t="n">
        <v>10</v>
      </c>
      <c r="BP518" s="49" t="n">
        <v>30.52</v>
      </c>
      <c r="BQ518" s="50" t="n">
        <v>19</v>
      </c>
      <c r="BR518" s="48"/>
      <c r="BS518" s="53" t="n">
        <v>0</v>
      </c>
      <c r="BT518" s="53" t="n">
        <v>518</v>
      </c>
      <c r="BU518" s="48" t="str">
        <f aca="false">IF(U518&lt;&gt;"",UPPER(TRIM(U518)),IF(BX518=1,UPPER(VLOOKUP(T518,Parameter!$I$27:$K$29,2,0)),IF(P518="","LOSE",P518)))</f>
        <v>S22</v>
      </c>
      <c r="BV518" s="50" t="n">
        <f aca="false">IF(BU518="LOSE",1,IF(N(V518)&gt;0,V518,IF(BX518=1,MAX(1,N(VLOOKUP(T518,Parameter!$I$27:$K$29,3,0)),H518,N(N518)),IF(N(Q518)&gt;0,Q518,MAX(1,H518)))))</f>
        <v>10</v>
      </c>
      <c r="BW518" s="53" t="n">
        <f aca="false">IF(BU518="LOSE",1,0)</f>
        <v>0</v>
      </c>
      <c r="BX518" s="53" t="n">
        <f aca="false">IF(AND(U518="",OR(P518="",P518="LOSE"),T518&lt;&gt;"",N(S518)&lt;=0,ISNUMBER(MATCH(T518,Parameter!$I$27:$I$29,0))),1,0)</f>
        <v>0</v>
      </c>
      <c r="BY518" s="53" t="n">
        <f aca="false">IF(CL518&gt;0,INDEX(Parameter!$H$5:$H$7,W518)/INDEX(Parameter!$E$5:$E$7,W518),IF(AND(BW518=0,N(IFERROR(VLOOKUP(BU518,'Gebinde-Kategorie'!$A$5:$N$45,14,0),0))&gt;0),VLOOKUP(BU518,'Gebinde-Kategorie'!$A$5:$N$45,14,0)*10+Parameter!$M$23,Parameter!$M$24))</f>
        <v>155</v>
      </c>
      <c r="BZ518" s="48" t="str">
        <f aca="false">IF(AND(Parameter!$B$19="Ja",E518&lt;&gt;"",ISNUMBER(MATCH(E518,Parameter!$I$35:$I$52,0))),VLOOKUP(E518,Parameter!$I$35:$J$52,2,0),IFERROR(VLOOKUP(D518,Parameter!$A$35:$C$64,2,0),"Nein"))</f>
        <v>2+3</v>
      </c>
      <c r="CA518" s="52" t="n">
        <f aca="false">IF(BW518=0,0,IF(N(S518)&gt;0,S518,IFERROR(VLOOKUP(D518,Parameter!$A$35:$C$64,3,0)+0,0)))</f>
        <v>0</v>
      </c>
      <c r="CB518" s="48" t="n">
        <f aca="false">IF(AA518&lt;&gt;"",AA518,Z518)</f>
        <v>3</v>
      </c>
      <c r="CC518" s="48" t="str">
        <f aca="false">IF(OR(CB518=1,CB518=2,CB518=3),IF(Parameter!$E$27="Ja","LIFT",IF(CB518=1,"L1","L23")),IF(CB518="Aussen","Aussen","-"))</f>
        <v>LIFT</v>
      </c>
      <c r="CD518" s="59" t="n">
        <f aca="false">IF(N(AB518)&gt;0,AB518,0)</f>
        <v>0</v>
      </c>
      <c r="CE518" s="53" t="n">
        <f aca="false">IF(ISNUMBER(AE518),1,0)</f>
        <v>0</v>
      </c>
      <c r="CF518" s="50" t="n">
        <f aca="false">N(AE518)</f>
        <v>0</v>
      </c>
      <c r="CG518" s="50" t="n">
        <f aca="false">N(M518)+N(N518)</f>
        <v>20</v>
      </c>
      <c r="CH518" s="50" t="n">
        <f aca="false">ROUNDUP(H518/BV518,0)</f>
        <v>2</v>
      </c>
      <c r="CI518" s="50" t="n">
        <f aca="false">ROUNDUP(CF518/BV518,0)</f>
        <v>0</v>
      </c>
      <c r="CJ518" s="53" t="n">
        <f aca="false">IF(BW518=1,0,IFERROR(VLOOKUP(BU518,'Gebinde-Kategorie'!$A$5:$N$45,5,0)+0,0))</f>
        <v>8</v>
      </c>
      <c r="CK518" s="53" t="n">
        <f aca="false">IFERROR(IF(OR(CB518=1,CB518=2,CB518=3),N(INDEX(Parameter!$I$5:$I$7,CB518)),0),0)</f>
        <v>0</v>
      </c>
      <c r="CL518" s="52" t="n">
        <f aca="false">IF(AND(Parameter!$B$21="Ja",ISNUMBER(W518),N(X518)&gt;0),IFERROR(N(INDEX(Parameter!$L$5:$L$7,W518))*INDEX(Parameter!$E$5:$E$7,W518)*X518/SUMIFS($X$7:$X$1843,$W$7:$W$1843,W518),0),0)</f>
        <v>0</v>
      </c>
    </row>
    <row r="519" customFormat="false" ht="15" hidden="false" customHeight="false" outlineLevel="0" collapsed="false">
      <c r="A519" s="48" t="s">
        <v>1132</v>
      </c>
      <c r="B519" s="48" t="s">
        <v>407</v>
      </c>
      <c r="C519" s="48" t="s">
        <v>168</v>
      </c>
      <c r="D519" s="48" t="s">
        <v>999</v>
      </c>
      <c r="E519" s="48"/>
      <c r="F519" s="48" t="s">
        <v>222</v>
      </c>
      <c r="G519" s="49" t="n">
        <v>15.2</v>
      </c>
      <c r="H519" s="50" t="n">
        <f aca="false">MAX(0,IF(AND(Parameter!$B$21="Ja",ISNUMBER(Y519)),Y519,IF(Parameter!$B$20="Jahresanfang 2025 + Export",BO519+BN519,BN519)))</f>
        <v>2</v>
      </c>
      <c r="I519" s="50" t="n">
        <f aca="false">H519*G519</f>
        <v>30.4</v>
      </c>
      <c r="J519" s="50" t="n">
        <f aca="false">BQ519*Parameter!$B$18</f>
        <v>48</v>
      </c>
      <c r="K519" s="51" t="n">
        <v>1</v>
      </c>
      <c r="L519" s="52" t="n">
        <v>48</v>
      </c>
      <c r="M519" s="50" t="n">
        <v>0</v>
      </c>
      <c r="N519" s="50" t="n">
        <v>50</v>
      </c>
      <c r="O519" s="53" t="n">
        <v>21</v>
      </c>
      <c r="P519" s="48" t="s">
        <v>172</v>
      </c>
      <c r="Q519" s="50"/>
      <c r="R519" s="53" t="n">
        <f aca="false">IF(BW519=1,0,IFERROR(VLOOKUP(BU519,'Gebinde-Kategorie'!$A$5:$N$45,13,0)+0,0))</f>
        <v>0</v>
      </c>
      <c r="S519" s="54"/>
      <c r="T519" s="55"/>
      <c r="U519" s="55"/>
      <c r="V519" s="55"/>
      <c r="W519" s="48"/>
      <c r="X519" s="50"/>
      <c r="Y519" s="50"/>
      <c r="Z519" s="48" t="str">
        <f aca="false">IF(A519="","",IF(AND(Parameter!$B$21="Ja",ISNUMBER(W519)),W519,IF(BZ519="2+3",IF(ISNUMBER(SEARCH("grosser Artikel",BR519)),2,IFERROR(VLOOKUP(BU519,Parameter!$F$35:$G$64,2,0),2)),IF(OR(BZ519="Nein",BZ519=""),"-",BZ519))))</f>
        <v>-</v>
      </c>
      <c r="AA519" s="55"/>
      <c r="AB519" s="56"/>
      <c r="AC519" s="50" t="n">
        <f aca="false">AT519</f>
        <v>50</v>
      </c>
      <c r="AD519" s="50" t="n">
        <f aca="false">MAX(AT519,H519)</f>
        <v>50</v>
      </c>
      <c r="AE519" s="57"/>
      <c r="AF519" s="50" t="n">
        <f aca="false">IF(LEFT(Cockpit!$C$5,1)="A",H519,IF(CE519=1,CF519,IF(LEFT(Cockpit!$C$5,1)="B",AK519,MAX(AK519,H519))))</f>
        <v>2</v>
      </c>
      <c r="AG519" s="50" t="n">
        <f aca="false">IF(BW519=1,0,ROUNDUP(AF519/BV519,0))</f>
        <v>0</v>
      </c>
      <c r="AH519" s="52" t="n">
        <f aca="false">IF(CL519&gt;0,CL519*MAX(1,AF519/X519),IF(BW519=1,IF(AF519&lt;=0,0,CA519*MAX(1,IF(H519&gt;0,AF519/H519,1))),IF(R519&gt;0,AG519/R519,0))/MAX(0.1,N(Parameter!$M$21)))</f>
        <v>0.15</v>
      </c>
      <c r="AI519" s="50" t="n">
        <f aca="false">AH519*BY519</f>
        <v>35.25</v>
      </c>
      <c r="AJ519" s="50" t="n">
        <f aca="false">AF519*G519</f>
        <v>30.4</v>
      </c>
      <c r="AK519" s="50" t="n">
        <f aca="false">ROUNDUP(MAX(J519/IF(CD519&gt;0,CD519,MAX(0.1,N(Cockpit!$C$6))),CG519)/BV519,0)*BV519</f>
        <v>50</v>
      </c>
      <c r="AL519" s="51" t="n">
        <f aca="false">IF(AI519&gt;0,J519/AI519,-1)</f>
        <v>1.36170212765957</v>
      </c>
      <c r="AM519" s="51" t="str">
        <f aca="false">IF(AND(OR(CC519="L1",CC519="L23",CC519="LIFT"),AI519&gt;0),SUMIFS($AI$7:$AI$1843,$CC$7:$CC$1843,CC519,$AL$7:$AL$1843,"&gt;"&amp;AL519)+SUMIFS($AI$7:$AI$1843,$CC$7:$CC$1843,CC519,$AL$7:$AL$1843,AL519,$BT$7:$BT$1843,"&lt;="&amp;BT519),"")</f>
        <v/>
      </c>
      <c r="AN519" s="58" t="n">
        <f aca="false">IF(AM519="",0,MAX(0,MIN(1,(IF(CC519="L1",Parameter!$H$5,IF(CC519="L23",Parameter!$H$6+Parameter!$H$7,Parameter!$H$5+Parameter!$H$6+Parameter!$H$7))-(AM519-AI519))/AI519)))</f>
        <v>0</v>
      </c>
      <c r="AO519" s="50" t="n">
        <f aca="false">IF(LEFT(Cockpit!$I$5,1)="A",H519,IF(CE519=1,CF519,IF(LEFT(Cockpit!$I$5,1)="B",AT519,MAX(AT519,H519))))</f>
        <v>50</v>
      </c>
      <c r="AP519" s="50" t="n">
        <f aca="false">IF(BW519=1,0,ROUNDUP(AO519/BV519,0))</f>
        <v>0</v>
      </c>
      <c r="AQ519" s="52" t="n">
        <f aca="false">IF(CL519&gt;0,CL519*MAX(1,AO519/X519),IF(BW519=1,IF(AO519&lt;=0,0,CA519*MAX(1,IF(H519&gt;0,AO519/H519,1))),IF(R519&gt;0,AP519/R519,0))/MAX(0.1,N(Parameter!$M$21)))</f>
        <v>3.75</v>
      </c>
      <c r="AR519" s="50" t="n">
        <f aca="false">AQ519*BY519</f>
        <v>881.25</v>
      </c>
      <c r="AS519" s="50" t="n">
        <f aca="false">AO519*G519</f>
        <v>760</v>
      </c>
      <c r="AT519" s="50" t="n">
        <f aca="false">ROUNDUP(MAX(J519/IF(CD519&gt;0,CD519,MAX(0.1,N(Cockpit!$I$6))),CG519)/BV519,0)*BV519</f>
        <v>50</v>
      </c>
      <c r="AU519" s="51" t="n">
        <f aca="false">IF(AR519&gt;0,J519/AR519,-1)</f>
        <v>0.054468085106383</v>
      </c>
      <c r="AV519" s="51" t="str">
        <f aca="false">IF(AND(OR(CC519="L1",CC519="L23",CC519="LIFT"),AR519&gt;0),SUMIFS($AR$7:$AR$1843,$CC$7:$CC$1843,CC519,$AU$7:$AU$1843,"&gt;"&amp;AU519)+SUMIFS($AR$7:$AR$1843,$CC$7:$CC$1843,CC519,$AU$7:$AU$1843,AU519,$BT$7:$BT$1843,"&lt;="&amp;BT519),"")</f>
        <v/>
      </c>
      <c r="AW519" s="58" t="n">
        <f aca="false">IF(AV519="",0,MAX(0,MIN(1,(IF(CC519="L1",Parameter!$H$5,IF(CC519="L23",Parameter!$H$6+Parameter!$H$7,Parameter!$H$5+Parameter!$H$6+Parameter!$H$7))-(AV519-AR519))/AR519)))</f>
        <v>0</v>
      </c>
      <c r="AX519" s="50" t="n">
        <f aca="false">IF(LEFT(Cockpit!$O$5,1)="A",H519,IF(CE519=1,CF519,IF(LEFT(Cockpit!$O$5,1)="B",BC519,MAX(BC519,H519))))</f>
        <v>50</v>
      </c>
      <c r="AY519" s="50" t="n">
        <f aca="false">IF(BW519=1,0,ROUNDUP(AX519/BV519,0))</f>
        <v>0</v>
      </c>
      <c r="AZ519" s="52" t="n">
        <f aca="false">IF(CL519&gt;0,CL519*MAX(1,AX519/X519),IF(BW519=1,IF(AX519&lt;=0,0,CA519*MAX(1,IF(H519&gt;0,AX519/H519,1))),IF(R519&gt;0,AY519/R519,0))/MAX(0.1,N(Parameter!$M$21)))</f>
        <v>3.75</v>
      </c>
      <c r="BA519" s="50" t="n">
        <f aca="false">AZ519*BY519</f>
        <v>881.25</v>
      </c>
      <c r="BB519" s="50" t="n">
        <f aca="false">AX519*G519</f>
        <v>760</v>
      </c>
      <c r="BC519" s="50" t="n">
        <f aca="false">ROUNDUP(MAX(J519/IF(CD519&gt;0,CD519,MAX(0.1,N(Cockpit!$O$6))),CG519)/BV519,0)*BV519</f>
        <v>50</v>
      </c>
      <c r="BD519" s="51" t="n">
        <f aca="false">IF(BA519&gt;0,J519/BA519,-1)</f>
        <v>0.054468085106383</v>
      </c>
      <c r="BE519" s="51" t="str">
        <f aca="false">IF(AND(OR(CC519="L1",CC519="L23",CC519="LIFT"),BA519&gt;0),SUMIFS($BA$7:$BA$1843,$CC$7:$CC$1843,CC519,$BD$7:$BD$1843,"&gt;"&amp;BD519)+SUMIFS($BA$7:$BA$1843,$CC$7:$CC$1843,CC519,$BD$7:$BD$1843,BD519,$BT$7:$BT$1843,"&lt;="&amp;BT519),"")</f>
        <v/>
      </c>
      <c r="BF519" s="58" t="n">
        <f aca="false">IF(BE519="",0,MAX(0,MIN(1,(IF(CC519="L1",Parameter!$H$5,IF(CC519="L23",Parameter!$H$6+Parameter!$H$7,Parameter!$H$5+Parameter!$H$6+Parameter!$H$7))-(BE519-BA519))/BA519)))</f>
        <v>0</v>
      </c>
      <c r="BG519" s="48" t="str">
        <f aca="false">IF(AI519&lt;=0,"",IF(CC519="Aussen","Aussenlager",IF(CC519="-","Nicht im Lift",IF(AN519&gt;=1,"Lift",IF(AN519&lt;=0,"Aussenlager","teilweise")))))</f>
        <v>Nicht im Lift</v>
      </c>
      <c r="BH519" s="48" t="str">
        <f aca="false">IF(AR519&lt;=0,"",IF(CC519="Aussen","Aussenlager",IF(CC519="-","Nicht im Lift",IF(AW519&gt;=1,"Lift",IF(AW519&lt;=0,"Aussenlager","teilweise")))))</f>
        <v>Nicht im Lift</v>
      </c>
      <c r="BI519" s="48" t="str">
        <f aca="false">IF(BA519&lt;=0,"",IF(CC519="Aussen","Aussenlager",IF(CC519="-","Nicht im Lift",IF(BF519&gt;=1,"Lift",IF(BF519&lt;=0,"Aussenlager","teilweise")))))</f>
        <v>Nicht im Lift</v>
      </c>
      <c r="BJ519" s="48" t="str">
        <f aca="false">IF(A519="","",IF(BS519=1,"Neu; ","")&amp;IF(AND(BS519=0,BN519&lt;0),"negativer Bestand (Export "&amp;BN519&amp;"); ","")&amp;IF(J519&lt;=0,"Kein Verbrauch; ","")&amp;IF(CL519&gt;0,"Lift "&amp;W519&amp;" lt. Liftbericht (Fach "&amp;X519&amp;" Stk); ",IF(BX519=1,"Gebinde geschätzt ("&amp;T519&amp;"); ",IF(BW519=1,"Lose – Tablare geschätzt; ","")))&amp;IF(H519&gt;AT519,"Überbestand "&amp;ROUND(H519-AT519,0)&amp;" Stk / CHF "&amp;ROUND((H519-AT519)*G519,0)&amp;"; ","")&amp;IF(AND(CE519=1,CF519&lt;CG519),"MAX &lt; MB+LG; ","")&amp;IF(AND(CK519&gt;0,CJ519*10&gt;CK519),"zu hoch für Tablar; ","")&amp;IF(AND(BS519=0,OR(CE519=1,AA519&lt;&gt;"",U519&lt;&gt;"",V519&lt;&gt;"",AB519&lt;&gt;"")),"manuell übersteuert; ","")&amp;IF(AND(BW519=0,R519=0),"Gebinde unbekannt / Stellmass fehlt; ","")&amp;IF(AND(BW519=0,N(V519)&lt;=0,N(Q519)&lt;=0),"Menge pro Gebinde fehlt (Ist = 1 Gebinde); ","")&amp;BR519)</f>
        <v>Lose – Tablare geschätzt; </v>
      </c>
      <c r="BK519" s="48"/>
      <c r="BL519" s="48"/>
      <c r="BM519" s="55"/>
      <c r="BN519" s="50" t="n">
        <v>2</v>
      </c>
      <c r="BO519" s="50" t="n">
        <v>0</v>
      </c>
      <c r="BP519" s="49" t="n">
        <v>30.4</v>
      </c>
      <c r="BQ519" s="50" t="n">
        <v>48</v>
      </c>
      <c r="BR519" s="48"/>
      <c r="BS519" s="53" t="n">
        <v>0</v>
      </c>
      <c r="BT519" s="53" t="n">
        <v>519</v>
      </c>
      <c r="BU519" s="48" t="str">
        <f aca="false">IF(U519&lt;&gt;"",UPPER(TRIM(U519)),IF(BX519=1,UPPER(VLOOKUP(T519,Parameter!$I$27:$K$29,2,0)),IF(P519="","LOSE",P519)))</f>
        <v>LOSE</v>
      </c>
      <c r="BV519" s="50" t="n">
        <f aca="false">IF(BU519="LOSE",1,IF(N(V519)&gt;0,V519,IF(BX519=1,MAX(1,N(VLOOKUP(T519,Parameter!$I$27:$K$29,3,0)),H519,N(N519)),IF(N(Q519)&gt;0,Q519,MAX(1,H519)))))</f>
        <v>1</v>
      </c>
      <c r="BW519" s="53" t="n">
        <f aca="false">IF(BU519="LOSE",1,0)</f>
        <v>1</v>
      </c>
      <c r="BX519" s="53" t="n">
        <f aca="false">IF(AND(U519="",OR(P519="",P519="LOSE"),T519&lt;&gt;"",N(S519)&lt;=0,ISNUMBER(MATCH(T519,Parameter!$I$27:$I$29,0))),1,0)</f>
        <v>0</v>
      </c>
      <c r="BY519" s="53" t="n">
        <f aca="false">IF(CL519&gt;0,INDEX(Parameter!$H$5:$H$7,W519)/INDEX(Parameter!$E$5:$E$7,W519),IF(AND(BW519=0,N(IFERROR(VLOOKUP(BU519,'Gebinde-Kategorie'!$A$5:$N$45,14,0),0))&gt;0),VLOOKUP(BU519,'Gebinde-Kategorie'!$A$5:$N$45,14,0)*10+Parameter!$M$23,Parameter!$M$24))</f>
        <v>235</v>
      </c>
      <c r="BZ519" s="48" t="str">
        <f aca="false">IF(AND(Parameter!$B$19="Ja",E519&lt;&gt;"",ISNUMBER(MATCH(E519,Parameter!$I$35:$I$52,0))),VLOOKUP(E519,Parameter!$I$35:$J$52,2,0),IFERROR(VLOOKUP(D519,Parameter!$A$35:$C$64,2,0),"Nein"))</f>
        <v>Nein</v>
      </c>
      <c r="CA519" s="52" t="n">
        <f aca="false">IF(BW519=0,0,IF(N(S519)&gt;0,S519,IFERROR(VLOOKUP(D519,Parameter!$A$35:$C$64,3,0)+0,0)))</f>
        <v>0.15</v>
      </c>
      <c r="CB519" s="48" t="str">
        <f aca="false">IF(AA519&lt;&gt;"",AA519,Z519)</f>
        <v>-</v>
      </c>
      <c r="CC519" s="48" t="str">
        <f aca="false">IF(OR(CB519=1,CB519=2,CB519=3),IF(Parameter!$E$27="Ja","LIFT",IF(CB519=1,"L1","L23")),IF(CB519="Aussen","Aussen","-"))</f>
        <v>-</v>
      </c>
      <c r="CD519" s="59" t="n">
        <f aca="false">IF(N(AB519)&gt;0,AB519,0)</f>
        <v>0</v>
      </c>
      <c r="CE519" s="53" t="n">
        <f aca="false">IF(ISNUMBER(AE519),1,0)</f>
        <v>0</v>
      </c>
      <c r="CF519" s="50" t="n">
        <f aca="false">N(AE519)</f>
        <v>0</v>
      </c>
      <c r="CG519" s="50" t="n">
        <f aca="false">N(M519)+N(N519)</f>
        <v>50</v>
      </c>
      <c r="CH519" s="50" t="n">
        <f aca="false">ROUNDUP(H519/BV519,0)</f>
        <v>2</v>
      </c>
      <c r="CI519" s="50" t="n">
        <f aca="false">ROUNDUP(CF519/BV519,0)</f>
        <v>0</v>
      </c>
      <c r="CJ519" s="53" t="n">
        <f aca="false">IF(BW519=1,0,IFERROR(VLOOKUP(BU519,'Gebinde-Kategorie'!$A$5:$N$45,5,0)+0,0))</f>
        <v>0</v>
      </c>
      <c r="CK519" s="53" t="n">
        <f aca="false">IFERROR(IF(OR(CB519=1,CB519=2,CB519=3),N(INDEX(Parameter!$I$5:$I$7,CB519)),0),0)</f>
        <v>0</v>
      </c>
      <c r="CL519" s="52" t="n">
        <f aca="false">IF(AND(Parameter!$B$21="Ja",ISNUMBER(W519),N(X519)&gt;0),IFERROR(N(INDEX(Parameter!$L$5:$L$7,W519))*INDEX(Parameter!$E$5:$E$7,W519)*X519/SUMIFS($X$7:$X$1843,$W$7:$W$1843,W519),0),0)</f>
        <v>0</v>
      </c>
    </row>
    <row r="520" customFormat="false" ht="15" hidden="false" customHeight="false" outlineLevel="0" collapsed="false">
      <c r="A520" s="48" t="s">
        <v>1133</v>
      </c>
      <c r="B520" s="48" t="s">
        <v>1134</v>
      </c>
      <c r="C520" s="48" t="s">
        <v>168</v>
      </c>
      <c r="D520" s="48" t="s">
        <v>188</v>
      </c>
      <c r="E520" s="48"/>
      <c r="F520" s="48" t="s">
        <v>222</v>
      </c>
      <c r="G520" s="49" t="n">
        <v>29.12</v>
      </c>
      <c r="H520" s="50" t="n">
        <f aca="false">MAX(0,IF(AND(Parameter!$B$21="Ja",ISNUMBER(Y520)),Y520,IF(Parameter!$B$20="Jahresanfang 2025 + Export",BO520+BN520,BN520)))</f>
        <v>1</v>
      </c>
      <c r="I520" s="50" t="n">
        <f aca="false">H520*G520</f>
        <v>29.12</v>
      </c>
      <c r="J520" s="50" t="n">
        <f aca="false">BQ520*Parameter!$B$18</f>
        <v>0</v>
      </c>
      <c r="K520" s="51" t="n">
        <v>1</v>
      </c>
      <c r="L520" s="52" t="n">
        <v>0</v>
      </c>
      <c r="M520" s="50" t="n">
        <v>0</v>
      </c>
      <c r="N520" s="50" t="n">
        <v>1</v>
      </c>
      <c r="O520" s="53" t="n">
        <v>15</v>
      </c>
      <c r="P520" s="48" t="s">
        <v>332</v>
      </c>
      <c r="Q520" s="50" t="n">
        <v>2</v>
      </c>
      <c r="R520" s="53" t="n">
        <f aca="false">IF(BW520=1,0,IFERROR(VLOOKUP(BU520,'Gebinde-Kategorie'!$A$5:$N$45,13,0)+0,0))</f>
        <v>52</v>
      </c>
      <c r="S520" s="54"/>
      <c r="T520" s="55"/>
      <c r="U520" s="55"/>
      <c r="V520" s="55"/>
      <c r="W520" s="48"/>
      <c r="X520" s="50"/>
      <c r="Y520" s="50"/>
      <c r="Z520" s="48" t="n">
        <f aca="false">IF(A520="","",IF(AND(Parameter!$B$21="Ja",ISNUMBER(W520)),W520,IF(BZ520="2+3",IF(ISNUMBER(SEARCH("grosser Artikel",BR520)),2,IFERROR(VLOOKUP(BU520,Parameter!$F$35:$G$64,2,0),2)),IF(OR(BZ520="Nein",BZ520=""),"-",BZ520))))</f>
        <v>3</v>
      </c>
      <c r="AA520" s="55"/>
      <c r="AB520" s="56"/>
      <c r="AC520" s="50" t="n">
        <f aca="false">AT520</f>
        <v>2</v>
      </c>
      <c r="AD520" s="50" t="n">
        <f aca="false">MAX(AT520,H520)</f>
        <v>2</v>
      </c>
      <c r="AE520" s="57"/>
      <c r="AF520" s="50" t="n">
        <f aca="false">IF(LEFT(Cockpit!$C$5,1)="A",H520,IF(CE520=1,CF520,IF(LEFT(Cockpit!$C$5,1)="B",AK520,MAX(AK520,H520))))</f>
        <v>1</v>
      </c>
      <c r="AG520" s="50" t="n">
        <f aca="false">IF(BW520=1,0,ROUNDUP(AF520/BV520,0))</f>
        <v>1</v>
      </c>
      <c r="AH520" s="52" t="n">
        <f aca="false">IF(CL520&gt;0,CL520*MAX(1,AF520/X520),IF(BW520=1,IF(AF520&lt;=0,0,CA520*MAX(1,IF(H520&gt;0,AF520/H520,1))),IF(R520&gt;0,AG520/R520,0))/MAX(0.1,N(Parameter!$M$21)))</f>
        <v>0.0192307692307692</v>
      </c>
      <c r="AI520" s="50" t="n">
        <f aca="false">AH520*BY520</f>
        <v>2.98076923076923</v>
      </c>
      <c r="AJ520" s="50" t="n">
        <f aca="false">AF520*G520</f>
        <v>29.12</v>
      </c>
      <c r="AK520" s="50" t="n">
        <f aca="false">ROUNDUP(MAX(J520/IF(CD520&gt;0,CD520,MAX(0.1,N(Cockpit!$C$6))),CG520)/BV520,0)*BV520</f>
        <v>2</v>
      </c>
      <c r="AL520" s="51" t="n">
        <f aca="false">IF(AI520&gt;0,J520/AI520,-1)</f>
        <v>0</v>
      </c>
      <c r="AM520" s="51" t="n">
        <f aca="false">IF(AND(OR(CC520="L1",CC520="L23",CC520="LIFT"),AI520&gt;0),SUMIFS($AI$7:$AI$1843,$CC$7:$CC$1843,CC520,$AL$7:$AL$1843,"&gt;"&amp;AL520)+SUMIFS($AI$7:$AI$1843,$CC$7:$CC$1843,CC520,$AL$7:$AL$1843,AL520,$BT$7:$BT$1843,"&lt;="&amp;BT520),"")</f>
        <v>28286.329838476</v>
      </c>
      <c r="AN520" s="58" t="n">
        <f aca="false">IF(AM520="",0,MAX(0,MIN(1,(IF(CC520="L1",Parameter!$H$5,IF(CC520="L23",Parameter!$H$6+Parameter!$H$7,Parameter!$H$5+Parameter!$H$6+Parameter!$H$7))-(AM520-AI520))/AI520)))</f>
        <v>1</v>
      </c>
      <c r="AO520" s="50" t="n">
        <f aca="false">IF(LEFT(Cockpit!$I$5,1)="A",H520,IF(CE520=1,CF520,IF(LEFT(Cockpit!$I$5,1)="B",AT520,MAX(AT520,H520))))</f>
        <v>2</v>
      </c>
      <c r="AP520" s="50" t="n">
        <f aca="false">IF(BW520=1,0,ROUNDUP(AO520/BV520,0))</f>
        <v>1</v>
      </c>
      <c r="AQ520" s="52" t="n">
        <f aca="false">IF(CL520&gt;0,CL520*MAX(1,AO520/X520),IF(BW520=1,IF(AO520&lt;=0,0,CA520*MAX(1,IF(H520&gt;0,AO520/H520,1))),IF(R520&gt;0,AP520/R520,0))/MAX(0.1,N(Parameter!$M$21)))</f>
        <v>0.0192307692307692</v>
      </c>
      <c r="AR520" s="50" t="n">
        <f aca="false">AQ520*BY520</f>
        <v>2.98076923076923</v>
      </c>
      <c r="AS520" s="50" t="n">
        <f aca="false">AO520*G520</f>
        <v>58.24</v>
      </c>
      <c r="AT520" s="50" t="n">
        <f aca="false">ROUNDUP(MAX(J520/IF(CD520&gt;0,CD520,MAX(0.1,N(Cockpit!$I$6))),CG520)/BV520,0)*BV520</f>
        <v>2</v>
      </c>
      <c r="AU520" s="51" t="n">
        <f aca="false">IF(AR520&gt;0,J520/AR520,-1)</f>
        <v>0</v>
      </c>
      <c r="AV520" s="51" t="n">
        <f aca="false">IF(AND(OR(CC520="L1",CC520="L23",CC520="LIFT"),AR520&gt;0),SUMIFS($AR$7:$AR$1843,$CC$7:$CC$1843,CC520,$AU$7:$AU$1843,"&gt;"&amp;AU520)+SUMIFS($AR$7:$AR$1843,$CC$7:$CC$1843,CC520,$AU$7:$AU$1843,AU520,$BT$7:$BT$1843,"&lt;="&amp;BT520),"")</f>
        <v>39599.235355746</v>
      </c>
      <c r="AW520" s="58" t="n">
        <f aca="false">IF(AV520="",0,MAX(0,MIN(1,(IF(CC520="L1",Parameter!$H$5,IF(CC520="L23",Parameter!$H$6+Parameter!$H$7,Parameter!$H$5+Parameter!$H$6+Parameter!$H$7))-(AV520-AR520))/AR520)))</f>
        <v>0</v>
      </c>
      <c r="AX520" s="50" t="n">
        <f aca="false">IF(LEFT(Cockpit!$O$5,1)="A",H520,IF(CE520=1,CF520,IF(LEFT(Cockpit!$O$5,1)="B",BC520,MAX(BC520,H520))))</f>
        <v>2</v>
      </c>
      <c r="AY520" s="50" t="n">
        <f aca="false">IF(BW520=1,0,ROUNDUP(AX520/BV520,0))</f>
        <v>1</v>
      </c>
      <c r="AZ520" s="52" t="n">
        <f aca="false">IF(CL520&gt;0,CL520*MAX(1,AX520/X520),IF(BW520=1,IF(AX520&lt;=0,0,CA520*MAX(1,IF(H520&gt;0,AX520/H520,1))),IF(R520&gt;0,AY520/R520,0))/MAX(0.1,N(Parameter!$M$21)))</f>
        <v>0.0192307692307692</v>
      </c>
      <c r="BA520" s="50" t="n">
        <f aca="false">AZ520*BY520</f>
        <v>2.98076923076923</v>
      </c>
      <c r="BB520" s="50" t="n">
        <f aca="false">AX520*G520</f>
        <v>58.24</v>
      </c>
      <c r="BC520" s="50" t="n">
        <f aca="false">ROUNDUP(MAX(J520/IF(CD520&gt;0,CD520,MAX(0.1,N(Cockpit!$O$6))),CG520)/BV520,0)*BV520</f>
        <v>2</v>
      </c>
      <c r="BD520" s="51" t="n">
        <f aca="false">IF(BA520&gt;0,J520/BA520,-1)</f>
        <v>0</v>
      </c>
      <c r="BE520" s="51" t="n">
        <f aca="false">IF(AND(OR(CC520="L1",CC520="L23",CC520="LIFT"),BA520&gt;0),SUMIFS($BA$7:$BA$1843,$CC$7:$CC$1843,CC520,$BD$7:$BD$1843,"&gt;"&amp;BD520)+SUMIFS($BA$7:$BA$1843,$CC$7:$CC$1843,CC520,$BD$7:$BD$1843,BD520,$BT$7:$BT$1843,"&lt;="&amp;BT520),"")</f>
        <v>36274.2473976118</v>
      </c>
      <c r="BF520" s="58" t="n">
        <f aca="false">IF(BE520="",0,MAX(0,MIN(1,(IF(CC520="L1",Parameter!$H$5,IF(CC520="L23",Parameter!$H$6+Parameter!$H$7,Parameter!$H$5+Parameter!$H$6+Parameter!$H$7))-(BE520-BA520))/BA520)))</f>
        <v>0</v>
      </c>
      <c r="BG520" s="48" t="str">
        <f aca="false">IF(AI520&lt;=0,"",IF(CC520="Aussen","Aussenlager",IF(CC520="-","Nicht im Lift",IF(AN520&gt;=1,"Lift",IF(AN520&lt;=0,"Aussenlager","teilweise")))))</f>
        <v>Lift</v>
      </c>
      <c r="BH520" s="48" t="str">
        <f aca="false">IF(AR520&lt;=0,"",IF(CC520="Aussen","Aussenlager",IF(CC520="-","Nicht im Lift",IF(AW520&gt;=1,"Lift",IF(AW520&lt;=0,"Aussenlager","teilweise")))))</f>
        <v>Aussenlager</v>
      </c>
      <c r="BI520" s="48" t="str">
        <f aca="false">IF(BA520&lt;=0,"",IF(CC520="Aussen","Aussenlager",IF(CC520="-","Nicht im Lift",IF(BF520&gt;=1,"Lift",IF(BF520&lt;=0,"Aussenlager","teilweise")))))</f>
        <v>Aussenlager</v>
      </c>
      <c r="BJ520" s="48" t="str">
        <f aca="false">IF(A520="","",IF(BS520=1,"Neu; ","")&amp;IF(AND(BS520=0,BN520&lt;0),"negativer Bestand (Export "&amp;BN520&amp;"); ","")&amp;IF(J520&lt;=0,"Kein Verbrauch; ","")&amp;IF(CL520&gt;0,"Lift "&amp;W520&amp;" lt. Liftbericht (Fach "&amp;X520&amp;" Stk); ",IF(BX520=1,"Gebinde geschätzt ("&amp;T520&amp;"); ",IF(BW520=1,"Lose – Tablare geschätzt; ","")))&amp;IF(H520&gt;AT520,"Überbestand "&amp;ROUND(H520-AT520,0)&amp;" Stk / CHF "&amp;ROUND((H520-AT520)*G520,0)&amp;"; ","")&amp;IF(AND(CE520=1,CF520&lt;CG520),"MAX &lt; MB+LG; ","")&amp;IF(AND(CK520&gt;0,CJ520*10&gt;CK520),"zu hoch für Tablar; ","")&amp;IF(AND(BS520=0,OR(CE520=1,AA520&lt;&gt;"",U520&lt;&gt;"",V520&lt;&gt;"",AB520&lt;&gt;"")),"manuell übersteuert; ","")&amp;IF(AND(BW520=0,R520=0),"Gebinde unbekannt / Stellmass fehlt; ","")&amp;IF(AND(BW520=0,N(V520)&lt;=0,N(Q520)&lt;=0),"Menge pro Gebinde fehlt (Ist = 1 Gebinde); ","")&amp;BR520)</f>
        <v>Kein Verbrauch; </v>
      </c>
      <c r="BK520" s="48"/>
      <c r="BL520" s="48"/>
      <c r="BM520" s="55"/>
      <c r="BN520" s="50" t="n">
        <v>1</v>
      </c>
      <c r="BO520" s="50" t="n">
        <v>0</v>
      </c>
      <c r="BP520" s="49" t="n">
        <v>29.12</v>
      </c>
      <c r="BQ520" s="50" t="n">
        <v>0</v>
      </c>
      <c r="BR520" s="48"/>
      <c r="BS520" s="53" t="n">
        <v>0</v>
      </c>
      <c r="BT520" s="53" t="n">
        <v>520</v>
      </c>
      <c r="BU520" s="48" t="str">
        <f aca="false">IF(U520&lt;&gt;"",UPPER(TRIM(U520)),IF(BX520=1,UPPER(VLOOKUP(T520,Parameter!$I$27:$K$29,2,0)),IF(P520="","LOSE",P520)))</f>
        <v>S41</v>
      </c>
      <c r="BV520" s="50" t="n">
        <f aca="false">IF(BU520="LOSE",1,IF(N(V520)&gt;0,V520,IF(BX520=1,MAX(1,N(VLOOKUP(T520,Parameter!$I$27:$K$29,3,0)),H520,N(N520)),IF(N(Q520)&gt;0,Q520,MAX(1,H520)))))</f>
        <v>2</v>
      </c>
      <c r="BW520" s="53" t="n">
        <f aca="false">IF(BU520="LOSE",1,0)</f>
        <v>0</v>
      </c>
      <c r="BX520" s="53" t="n">
        <f aca="false">IF(AND(U520="",OR(P520="",P520="LOSE"),T520&lt;&gt;"",N(S520)&lt;=0,ISNUMBER(MATCH(T520,Parameter!$I$27:$I$29,0))),1,0)</f>
        <v>0</v>
      </c>
      <c r="BY520" s="53" t="n">
        <f aca="false">IF(CL520&gt;0,INDEX(Parameter!$H$5:$H$7,W520)/INDEX(Parameter!$E$5:$E$7,W520),IF(AND(BW520=0,N(IFERROR(VLOOKUP(BU520,'Gebinde-Kategorie'!$A$5:$N$45,14,0),0))&gt;0),VLOOKUP(BU520,'Gebinde-Kategorie'!$A$5:$N$45,14,0)*10+Parameter!$M$23,Parameter!$M$24))</f>
        <v>155</v>
      </c>
      <c r="BZ520" s="48" t="str">
        <f aca="false">IF(AND(Parameter!$B$19="Ja",E520&lt;&gt;"",ISNUMBER(MATCH(E520,Parameter!$I$35:$I$52,0))),VLOOKUP(E520,Parameter!$I$35:$J$52,2,0),IFERROR(VLOOKUP(D520,Parameter!$A$35:$C$64,2,0),"Nein"))</f>
        <v>2+3</v>
      </c>
      <c r="CA520" s="52" t="n">
        <f aca="false">IF(BW520=0,0,IF(N(S520)&gt;0,S520,IFERROR(VLOOKUP(D520,Parameter!$A$35:$C$64,3,0)+0,0)))</f>
        <v>0</v>
      </c>
      <c r="CB520" s="48" t="n">
        <f aca="false">IF(AA520&lt;&gt;"",AA520,Z520)</f>
        <v>3</v>
      </c>
      <c r="CC520" s="48" t="str">
        <f aca="false">IF(OR(CB520=1,CB520=2,CB520=3),IF(Parameter!$E$27="Ja","LIFT",IF(CB520=1,"L1","L23")),IF(CB520="Aussen","Aussen","-"))</f>
        <v>LIFT</v>
      </c>
      <c r="CD520" s="59" t="n">
        <f aca="false">IF(N(AB520)&gt;0,AB520,0)</f>
        <v>0</v>
      </c>
      <c r="CE520" s="53" t="n">
        <f aca="false">IF(ISNUMBER(AE520),1,0)</f>
        <v>0</v>
      </c>
      <c r="CF520" s="50" t="n">
        <f aca="false">N(AE520)</f>
        <v>0</v>
      </c>
      <c r="CG520" s="50" t="n">
        <f aca="false">N(M520)+N(N520)</f>
        <v>1</v>
      </c>
      <c r="CH520" s="50" t="n">
        <f aca="false">ROUNDUP(H520/BV520,0)</f>
        <v>1</v>
      </c>
      <c r="CI520" s="50" t="n">
        <f aca="false">ROUNDUP(CF520/BV520,0)</f>
        <v>0</v>
      </c>
      <c r="CJ520" s="53" t="n">
        <f aca="false">IF(BW520=1,0,IFERROR(VLOOKUP(BU520,'Gebinde-Kategorie'!$A$5:$N$45,5,0)+0,0))</f>
        <v>11</v>
      </c>
      <c r="CK520" s="53" t="n">
        <f aca="false">IFERROR(IF(OR(CB520=1,CB520=2,CB520=3),N(INDEX(Parameter!$I$5:$I$7,CB520)),0),0)</f>
        <v>0</v>
      </c>
      <c r="CL520" s="52" t="n">
        <f aca="false">IF(AND(Parameter!$B$21="Ja",ISNUMBER(W520),N(X520)&gt;0),IFERROR(N(INDEX(Parameter!$L$5:$L$7,W520))*INDEX(Parameter!$E$5:$E$7,W520)*X520/SUMIFS($X$7:$X$1843,$W$7:$W$1843,W520),0),0)</f>
        <v>0</v>
      </c>
    </row>
    <row r="521" customFormat="false" ht="15" hidden="false" customHeight="false" outlineLevel="0" collapsed="false">
      <c r="A521" s="48" t="s">
        <v>1135</v>
      </c>
      <c r="B521" s="48" t="s">
        <v>593</v>
      </c>
      <c r="C521" s="48" t="s">
        <v>168</v>
      </c>
      <c r="D521" s="48" t="s">
        <v>188</v>
      </c>
      <c r="E521" s="48"/>
      <c r="F521" s="48" t="s">
        <v>222</v>
      </c>
      <c r="G521" s="49" t="n">
        <v>5.8</v>
      </c>
      <c r="H521" s="50" t="n">
        <f aca="false">MAX(0,IF(AND(Parameter!$B$21="Ja",ISNUMBER(Y521)),Y521,IF(Parameter!$B$20="Jahresanfang 2025 + Export",BO521+BN521,BN521)))</f>
        <v>5</v>
      </c>
      <c r="I521" s="50" t="n">
        <f aca="false">H521*G521</f>
        <v>29</v>
      </c>
      <c r="J521" s="50" t="n">
        <f aca="false">BQ521*Parameter!$B$18</f>
        <v>2</v>
      </c>
      <c r="K521" s="51" t="n">
        <v>1.5</v>
      </c>
      <c r="L521" s="52" t="n">
        <v>1.33333333333333</v>
      </c>
      <c r="M521" s="50" t="n">
        <v>0</v>
      </c>
      <c r="N521" s="50" t="n">
        <v>1</v>
      </c>
      <c r="O521" s="53" t="n">
        <v>14</v>
      </c>
      <c r="P521" s="48" t="s">
        <v>405</v>
      </c>
      <c r="Q521" s="50" t="n">
        <v>20</v>
      </c>
      <c r="R521" s="53" t="n">
        <f aca="false">IF(BW521=1,0,IFERROR(VLOOKUP(BU521,'Gebinde-Kategorie'!$A$5:$N$45,13,0)+0,0))</f>
        <v>280</v>
      </c>
      <c r="S521" s="54"/>
      <c r="T521" s="55"/>
      <c r="U521" s="55"/>
      <c r="V521" s="55"/>
      <c r="W521" s="48"/>
      <c r="X521" s="50"/>
      <c r="Y521" s="50"/>
      <c r="Z521" s="48" t="n">
        <f aca="false">IF(A521="","",IF(AND(Parameter!$B$21="Ja",ISNUMBER(W521)),W521,IF(BZ521="2+3",IF(ISNUMBER(SEARCH("grosser Artikel",BR521)),2,IFERROR(VLOOKUP(BU521,Parameter!$F$35:$G$64,2,0),2)),IF(OR(BZ521="Nein",BZ521=""),"-",BZ521))))</f>
        <v>3</v>
      </c>
      <c r="AA521" s="55"/>
      <c r="AB521" s="56"/>
      <c r="AC521" s="50" t="n">
        <f aca="false">AT521</f>
        <v>20</v>
      </c>
      <c r="AD521" s="50" t="n">
        <f aca="false">MAX(AT521,H521)</f>
        <v>20</v>
      </c>
      <c r="AE521" s="57"/>
      <c r="AF521" s="50" t="n">
        <f aca="false">IF(LEFT(Cockpit!$C$5,1)="A",H521,IF(CE521=1,CF521,IF(LEFT(Cockpit!$C$5,1)="B",AK521,MAX(AK521,H521))))</f>
        <v>5</v>
      </c>
      <c r="AG521" s="50" t="n">
        <f aca="false">IF(BW521=1,0,ROUNDUP(AF521/BV521,0))</f>
        <v>1</v>
      </c>
      <c r="AH521" s="52" t="n">
        <f aca="false">IF(CL521&gt;0,CL521*MAX(1,AF521/X521),IF(BW521=1,IF(AF521&lt;=0,0,CA521*MAX(1,IF(H521&gt;0,AF521/H521,1))),IF(R521&gt;0,AG521/R521,0))/MAX(0.1,N(Parameter!$M$21)))</f>
        <v>0.00357142857142857</v>
      </c>
      <c r="AI521" s="50" t="n">
        <f aca="false">AH521*BY521</f>
        <v>0.553571428571429</v>
      </c>
      <c r="AJ521" s="50" t="n">
        <f aca="false">AF521*G521</f>
        <v>29</v>
      </c>
      <c r="AK521" s="50" t="n">
        <f aca="false">ROUNDUP(MAX(J521/IF(CD521&gt;0,CD521,MAX(0.1,N(Cockpit!$C$6))),CG521)/BV521,0)*BV521</f>
        <v>20</v>
      </c>
      <c r="AL521" s="51" t="n">
        <f aca="false">IF(AI521&gt;0,J521/AI521,-1)</f>
        <v>3.61290322580645</v>
      </c>
      <c r="AM521" s="51" t="n">
        <f aca="false">IF(AND(OR(CC521="L1",CC521="L23",CC521="LIFT"),AI521&gt;0),SUMIFS($AI$7:$AI$1843,$CC$7:$CC$1843,CC521,$AL$7:$AL$1843,"&gt;"&amp;AL521)+SUMIFS($AI$7:$AI$1843,$CC$7:$CC$1843,CC521,$AL$7:$AL$1843,AL521,$BT$7:$BT$1843,"&lt;="&amp;BT521),"")</f>
        <v>4825.6597985348</v>
      </c>
      <c r="AN521" s="58" t="n">
        <f aca="false">IF(AM521="",0,MAX(0,MIN(1,(IF(CC521="L1",Parameter!$H$5,IF(CC521="L23",Parameter!$H$6+Parameter!$H$7,Parameter!$H$5+Parameter!$H$6+Parameter!$H$7))-(AM521-AI521))/AI521)))</f>
        <v>1</v>
      </c>
      <c r="AO521" s="50" t="n">
        <f aca="false">IF(LEFT(Cockpit!$I$5,1)="A",H521,IF(CE521=1,CF521,IF(LEFT(Cockpit!$I$5,1)="B",AT521,MAX(AT521,H521))))</f>
        <v>20</v>
      </c>
      <c r="AP521" s="50" t="n">
        <f aca="false">IF(BW521=1,0,ROUNDUP(AO521/BV521,0))</f>
        <v>1</v>
      </c>
      <c r="AQ521" s="52" t="n">
        <f aca="false">IF(CL521&gt;0,CL521*MAX(1,AO521/X521),IF(BW521=1,IF(AO521&lt;=0,0,CA521*MAX(1,IF(H521&gt;0,AO521/H521,1))),IF(R521&gt;0,AP521/R521,0))/MAX(0.1,N(Parameter!$M$21)))</f>
        <v>0.00357142857142857</v>
      </c>
      <c r="AR521" s="50" t="n">
        <f aca="false">AQ521*BY521</f>
        <v>0.553571428571429</v>
      </c>
      <c r="AS521" s="50" t="n">
        <f aca="false">AO521*G521</f>
        <v>116</v>
      </c>
      <c r="AT521" s="50" t="n">
        <f aca="false">ROUNDUP(MAX(J521/IF(CD521&gt;0,CD521,MAX(0.1,N(Cockpit!$I$6))),CG521)/BV521,0)*BV521</f>
        <v>20</v>
      </c>
      <c r="AU521" s="51" t="n">
        <f aca="false">IF(AR521&gt;0,J521/AR521,-1)</f>
        <v>3.61290322580645</v>
      </c>
      <c r="AV521" s="51" t="n">
        <f aca="false">IF(AND(OR(CC521="L1",CC521="L23",CC521="LIFT"),AR521&gt;0),SUMIFS($AR$7:$AR$1843,$CC$7:$CC$1843,CC521,$AU$7:$AU$1843,"&gt;"&amp;AU521)+SUMIFS($AR$7:$AR$1843,$CC$7:$CC$1843,CC521,$AU$7:$AU$1843,AU521,$BT$7:$BT$1843,"&lt;="&amp;BT521),"")</f>
        <v>5952.0641025641</v>
      </c>
      <c r="AW521" s="58" t="n">
        <f aca="false">IF(AV521="",0,MAX(0,MIN(1,(IF(CC521="L1",Parameter!$H$5,IF(CC521="L23",Parameter!$H$6+Parameter!$H$7,Parameter!$H$5+Parameter!$H$6+Parameter!$H$7))-(AV521-AR521))/AR521)))</f>
        <v>1</v>
      </c>
      <c r="AX521" s="50" t="n">
        <f aca="false">IF(LEFT(Cockpit!$O$5,1)="A",H521,IF(CE521=1,CF521,IF(LEFT(Cockpit!$O$5,1)="B",BC521,MAX(BC521,H521))))</f>
        <v>20</v>
      </c>
      <c r="AY521" s="50" t="n">
        <f aca="false">IF(BW521=1,0,ROUNDUP(AX521/BV521,0))</f>
        <v>1</v>
      </c>
      <c r="AZ521" s="52" t="n">
        <f aca="false">IF(CL521&gt;0,CL521*MAX(1,AX521/X521),IF(BW521=1,IF(AX521&lt;=0,0,CA521*MAX(1,IF(H521&gt;0,AX521/H521,1))),IF(R521&gt;0,AY521/R521,0))/MAX(0.1,N(Parameter!$M$21)))</f>
        <v>0.00357142857142857</v>
      </c>
      <c r="BA521" s="50" t="n">
        <f aca="false">AZ521*BY521</f>
        <v>0.553571428571429</v>
      </c>
      <c r="BB521" s="50" t="n">
        <f aca="false">AX521*G521</f>
        <v>116</v>
      </c>
      <c r="BC521" s="50" t="n">
        <f aca="false">ROUNDUP(MAX(J521/IF(CD521&gt;0,CD521,MAX(0.1,N(Cockpit!$O$6))),CG521)/BV521,0)*BV521</f>
        <v>20</v>
      </c>
      <c r="BD521" s="51" t="n">
        <f aca="false">IF(BA521&gt;0,J521/BA521,-1)</f>
        <v>3.61290322580645</v>
      </c>
      <c r="BE521" s="51" t="n">
        <f aca="false">IF(AND(OR(CC521="L1",CC521="L23",CC521="LIFT"),BA521&gt;0),SUMIFS($BA$7:$BA$1843,$CC$7:$CC$1843,CC521,$BD$7:$BD$1843,"&gt;"&amp;BD521)+SUMIFS($BA$7:$BA$1843,$CC$7:$CC$1843,CC521,$BD$7:$BD$1843,BD521,$BT$7:$BT$1843,"&lt;="&amp;BT521),"")</f>
        <v>5853.65064102564</v>
      </c>
      <c r="BF521" s="58" t="n">
        <f aca="false">IF(BE521="",0,MAX(0,MIN(1,(IF(CC521="L1",Parameter!$H$5,IF(CC521="L23",Parameter!$H$6+Parameter!$H$7,Parameter!$H$5+Parameter!$H$6+Parameter!$H$7))-(BE521-BA521))/BA521)))</f>
        <v>1</v>
      </c>
      <c r="BG521" s="48" t="str">
        <f aca="false">IF(AI521&lt;=0,"",IF(CC521="Aussen","Aussenlager",IF(CC521="-","Nicht im Lift",IF(AN521&gt;=1,"Lift",IF(AN521&lt;=0,"Aussenlager","teilweise")))))</f>
        <v>Lift</v>
      </c>
      <c r="BH521" s="48" t="str">
        <f aca="false">IF(AR521&lt;=0,"",IF(CC521="Aussen","Aussenlager",IF(CC521="-","Nicht im Lift",IF(AW521&gt;=1,"Lift",IF(AW521&lt;=0,"Aussenlager","teilweise")))))</f>
        <v>Lift</v>
      </c>
      <c r="BI521" s="48" t="str">
        <f aca="false">IF(BA521&lt;=0,"",IF(CC521="Aussen","Aussenlager",IF(CC521="-","Nicht im Lift",IF(BF521&gt;=1,"Lift",IF(BF521&lt;=0,"Aussenlager","teilweise")))))</f>
        <v>Lift</v>
      </c>
      <c r="BJ521" s="48" t="str">
        <f aca="false">IF(A521="","",IF(BS521=1,"Neu; ","")&amp;IF(AND(BS521=0,BN521&lt;0),"negativer Bestand (Export "&amp;BN521&amp;"); ","")&amp;IF(J521&lt;=0,"Kein Verbrauch; ","")&amp;IF(CL521&gt;0,"Lift "&amp;W521&amp;" lt. Liftbericht (Fach "&amp;X521&amp;" Stk); ",IF(BX521=1,"Gebinde geschätzt ("&amp;T521&amp;"); ",IF(BW521=1,"Lose – Tablare geschätzt; ","")))&amp;IF(H521&gt;AT521,"Überbestand "&amp;ROUND(H521-AT521,0)&amp;" Stk / CHF "&amp;ROUND((H521-AT521)*G521,0)&amp;"; ","")&amp;IF(AND(CE521=1,CF521&lt;CG521),"MAX &lt; MB+LG; ","")&amp;IF(AND(CK521&gt;0,CJ521*10&gt;CK521),"zu hoch für Tablar; ","")&amp;IF(AND(BS521=0,OR(CE521=1,AA521&lt;&gt;"",U521&lt;&gt;"",V521&lt;&gt;"",AB521&lt;&gt;"")),"manuell übersteuert; ","")&amp;IF(AND(BW521=0,R521=0),"Gebinde unbekannt / Stellmass fehlt; ","")&amp;IF(AND(BW521=0,N(V521)&lt;=0,N(Q521)&lt;=0),"Menge pro Gebinde fehlt (Ist = 1 Gebinde); ","")&amp;BR521)</f>
        <v/>
      </c>
      <c r="BK521" s="48"/>
      <c r="BL521" s="48"/>
      <c r="BM521" s="55"/>
      <c r="BN521" s="50" t="n">
        <v>5</v>
      </c>
      <c r="BO521" s="50" t="n">
        <v>0</v>
      </c>
      <c r="BP521" s="49" t="n">
        <v>29</v>
      </c>
      <c r="BQ521" s="50" t="n">
        <v>2</v>
      </c>
      <c r="BR521" s="48"/>
      <c r="BS521" s="53" t="n">
        <v>0</v>
      </c>
      <c r="BT521" s="53" t="n">
        <v>521</v>
      </c>
      <c r="BU521" s="48" t="str">
        <f aca="false">IF(U521&lt;&gt;"",UPPER(TRIM(U521)),IF(BX521=1,UPPER(VLOOKUP(T521,Parameter!$I$27:$K$29,2,0)),IF(P521="","LOSE",P521)))</f>
        <v>S21</v>
      </c>
      <c r="BV521" s="50" t="n">
        <f aca="false">IF(BU521="LOSE",1,IF(N(V521)&gt;0,V521,IF(BX521=1,MAX(1,N(VLOOKUP(T521,Parameter!$I$27:$K$29,3,0)),H521,N(N521)),IF(N(Q521)&gt;0,Q521,MAX(1,H521)))))</f>
        <v>20</v>
      </c>
      <c r="BW521" s="53" t="n">
        <f aca="false">IF(BU521="LOSE",1,0)</f>
        <v>0</v>
      </c>
      <c r="BX521" s="53" t="n">
        <f aca="false">IF(AND(U521="",OR(P521="",P521="LOSE"),T521&lt;&gt;"",N(S521)&lt;=0,ISNUMBER(MATCH(T521,Parameter!$I$27:$I$29,0))),1,0)</f>
        <v>0</v>
      </c>
      <c r="BY521" s="53" t="n">
        <f aca="false">IF(CL521&gt;0,INDEX(Parameter!$H$5:$H$7,W521)/INDEX(Parameter!$E$5:$E$7,W521),IF(AND(BW521=0,N(IFERROR(VLOOKUP(BU521,'Gebinde-Kategorie'!$A$5:$N$45,14,0),0))&gt;0),VLOOKUP(BU521,'Gebinde-Kategorie'!$A$5:$N$45,14,0)*10+Parameter!$M$23,Parameter!$M$24))</f>
        <v>155</v>
      </c>
      <c r="BZ521" s="48" t="str">
        <f aca="false">IF(AND(Parameter!$B$19="Ja",E521&lt;&gt;"",ISNUMBER(MATCH(E521,Parameter!$I$35:$I$52,0))),VLOOKUP(E521,Parameter!$I$35:$J$52,2,0),IFERROR(VLOOKUP(D521,Parameter!$A$35:$C$64,2,0),"Nein"))</f>
        <v>2+3</v>
      </c>
      <c r="CA521" s="52" t="n">
        <f aca="false">IF(BW521=0,0,IF(N(S521)&gt;0,S521,IFERROR(VLOOKUP(D521,Parameter!$A$35:$C$64,3,0)+0,0)))</f>
        <v>0</v>
      </c>
      <c r="CB521" s="48" t="n">
        <f aca="false">IF(AA521&lt;&gt;"",AA521,Z521)</f>
        <v>3</v>
      </c>
      <c r="CC521" s="48" t="str">
        <f aca="false">IF(OR(CB521=1,CB521=2,CB521=3),IF(Parameter!$E$27="Ja","LIFT",IF(CB521=1,"L1","L23")),IF(CB521="Aussen","Aussen","-"))</f>
        <v>LIFT</v>
      </c>
      <c r="CD521" s="59" t="n">
        <f aca="false">IF(N(AB521)&gt;0,AB521,0)</f>
        <v>0</v>
      </c>
      <c r="CE521" s="53" t="n">
        <f aca="false">IF(ISNUMBER(AE521),1,0)</f>
        <v>0</v>
      </c>
      <c r="CF521" s="50" t="n">
        <f aca="false">N(AE521)</f>
        <v>0</v>
      </c>
      <c r="CG521" s="50" t="n">
        <f aca="false">N(M521)+N(N521)</f>
        <v>1</v>
      </c>
      <c r="CH521" s="50" t="n">
        <f aca="false">ROUNDUP(H521/BV521,0)</f>
        <v>1</v>
      </c>
      <c r="CI521" s="50" t="n">
        <f aca="false">ROUNDUP(CF521/BV521,0)</f>
        <v>0</v>
      </c>
      <c r="CJ521" s="53" t="n">
        <f aca="false">IF(BW521=1,0,IFERROR(VLOOKUP(BU521,'Gebinde-Kategorie'!$A$5:$N$45,5,0)+0,0))</f>
        <v>8</v>
      </c>
      <c r="CK521" s="53" t="n">
        <f aca="false">IFERROR(IF(OR(CB521=1,CB521=2,CB521=3),N(INDEX(Parameter!$I$5:$I$7,CB521)),0),0)</f>
        <v>0</v>
      </c>
      <c r="CL521" s="52" t="n">
        <f aca="false">IF(AND(Parameter!$B$21="Ja",ISNUMBER(W521),N(X521)&gt;0),IFERROR(N(INDEX(Parameter!$L$5:$L$7,W521))*INDEX(Parameter!$E$5:$E$7,W521)*X521/SUMIFS($X$7:$X$1843,$W$7:$W$1843,W521),0),0)</f>
        <v>0</v>
      </c>
    </row>
    <row r="522" customFormat="false" ht="15" hidden="false" customHeight="false" outlineLevel="0" collapsed="false">
      <c r="A522" s="48" t="s">
        <v>1136</v>
      </c>
      <c r="B522" s="48" t="s">
        <v>411</v>
      </c>
      <c r="C522" s="48" t="s">
        <v>168</v>
      </c>
      <c r="D522" s="48" t="s">
        <v>188</v>
      </c>
      <c r="E522" s="48" t="s">
        <v>189</v>
      </c>
      <c r="F522" s="48" t="s">
        <v>222</v>
      </c>
      <c r="G522" s="49" t="n">
        <v>0.05</v>
      </c>
      <c r="H522" s="50" t="n">
        <f aca="false">MAX(0,IF(AND(Parameter!$B$21="Ja",ISNUMBER(Y522)),Y522,IF(Parameter!$B$20="Jahresanfang 2025 + Export",BO522+BN522,BN522)))</f>
        <v>1831</v>
      </c>
      <c r="I522" s="50" t="n">
        <f aca="false">H522*G522</f>
        <v>91.55</v>
      </c>
      <c r="J522" s="50" t="n">
        <f aca="false">BQ522*Parameter!$B$18</f>
        <v>2038</v>
      </c>
      <c r="K522" s="51" t="n">
        <v>968</v>
      </c>
      <c r="L522" s="52" t="n">
        <v>2.10537190082645</v>
      </c>
      <c r="M522" s="50" t="n">
        <v>118</v>
      </c>
      <c r="N522" s="50" t="n">
        <v>2000</v>
      </c>
      <c r="O522" s="53" t="n">
        <v>21</v>
      </c>
      <c r="P522" s="48" t="s">
        <v>332</v>
      </c>
      <c r="Q522" s="50" t="n">
        <v>1546</v>
      </c>
      <c r="R522" s="53" t="n">
        <f aca="false">IF(BW522=1,0,IFERROR(VLOOKUP(BU522,'Gebinde-Kategorie'!$A$5:$N$45,13,0)+0,0))</f>
        <v>52</v>
      </c>
      <c r="S522" s="54"/>
      <c r="T522" s="55"/>
      <c r="U522" s="55"/>
      <c r="V522" s="55"/>
      <c r="W522" s="48"/>
      <c r="X522" s="50"/>
      <c r="Y522" s="50"/>
      <c r="Z522" s="48" t="n">
        <f aca="false">IF(A522="","",IF(AND(Parameter!$B$21="Ja",ISNUMBER(W522)),W522,IF(BZ522="2+3",IF(ISNUMBER(SEARCH("grosser Artikel",BR522)),2,IFERROR(VLOOKUP(BU522,Parameter!$F$35:$G$64,2,0),2)),IF(OR(BZ522="Nein",BZ522=""),"-",BZ522))))</f>
        <v>3</v>
      </c>
      <c r="AA522" s="55"/>
      <c r="AB522" s="56"/>
      <c r="AC522" s="50" t="n">
        <f aca="false">AT522</f>
        <v>3092</v>
      </c>
      <c r="AD522" s="50" t="n">
        <f aca="false">MAX(AT522,H522)</f>
        <v>3092</v>
      </c>
      <c r="AE522" s="57"/>
      <c r="AF522" s="50" t="n">
        <f aca="false">IF(LEFT(Cockpit!$C$5,1)="A",H522,IF(CE522=1,CF522,IF(LEFT(Cockpit!$C$5,1)="B",AK522,MAX(AK522,H522))))</f>
        <v>1831</v>
      </c>
      <c r="AG522" s="50" t="n">
        <f aca="false">IF(BW522=1,0,ROUNDUP(AF522/BV522,0))</f>
        <v>2</v>
      </c>
      <c r="AH522" s="52" t="n">
        <f aca="false">IF(CL522&gt;0,CL522*MAX(1,AF522/X522),IF(BW522=1,IF(AF522&lt;=0,0,CA522*MAX(1,IF(H522&gt;0,AF522/H522,1))),IF(R522&gt;0,AG522/R522,0))/MAX(0.1,N(Parameter!$M$21)))</f>
        <v>0.0384615384615385</v>
      </c>
      <c r="AI522" s="50" t="n">
        <f aca="false">AH522*BY522</f>
        <v>5.96153846153846</v>
      </c>
      <c r="AJ522" s="50" t="n">
        <f aca="false">AF522*G522</f>
        <v>91.55</v>
      </c>
      <c r="AK522" s="50" t="n">
        <f aca="false">ROUNDUP(MAX(J522/IF(CD522&gt;0,CD522,MAX(0.1,N(Cockpit!$C$6))),CG522)/BV522,0)*BV522</f>
        <v>3092</v>
      </c>
      <c r="AL522" s="51" t="n">
        <f aca="false">IF(AI522&gt;0,J522/AI522,-1)</f>
        <v>341.858064516129</v>
      </c>
      <c r="AM522" s="51" t="n">
        <f aca="false">IF(AND(OR(CC522="L1",CC522="L23",CC522="LIFT"),AI522&gt;0),SUMIFS($AI$7:$AI$1843,$CC$7:$CC$1843,CC522,$AL$7:$AL$1843,"&gt;"&amp;AL522)+SUMIFS($AI$7:$AI$1843,$CC$7:$CC$1843,CC522,$AL$7:$AL$1843,AL522,$BT$7:$BT$1843,"&lt;="&amp;BT522),"")</f>
        <v>231.285714285714</v>
      </c>
      <c r="AN522" s="58" t="n">
        <f aca="false">IF(AM522="",0,MAX(0,MIN(1,(IF(CC522="L1",Parameter!$H$5,IF(CC522="L23",Parameter!$H$6+Parameter!$H$7,Parameter!$H$5+Parameter!$H$6+Parameter!$H$7))-(AM522-AI522))/AI522)))</f>
        <v>1</v>
      </c>
      <c r="AO522" s="50" t="n">
        <f aca="false">IF(LEFT(Cockpit!$I$5,1)="A",H522,IF(CE522=1,CF522,IF(LEFT(Cockpit!$I$5,1)="B",AT522,MAX(AT522,H522))))</f>
        <v>3092</v>
      </c>
      <c r="AP522" s="50" t="n">
        <f aca="false">IF(BW522=1,0,ROUNDUP(AO522/BV522,0))</f>
        <v>2</v>
      </c>
      <c r="AQ522" s="52" t="n">
        <f aca="false">IF(CL522&gt;0,CL522*MAX(1,AO522/X522),IF(BW522=1,IF(AO522&lt;=0,0,CA522*MAX(1,IF(H522&gt;0,AO522/H522,1))),IF(R522&gt;0,AP522/R522,0))/MAX(0.1,N(Parameter!$M$21)))</f>
        <v>0.0384615384615385</v>
      </c>
      <c r="AR522" s="50" t="n">
        <f aca="false">AQ522*BY522</f>
        <v>5.96153846153846</v>
      </c>
      <c r="AS522" s="50" t="n">
        <f aca="false">AO522*G522</f>
        <v>154.6</v>
      </c>
      <c r="AT522" s="50" t="n">
        <f aca="false">ROUNDUP(MAX(J522/IF(CD522&gt;0,CD522,MAX(0.1,N(Cockpit!$I$6))),CG522)/BV522,0)*BV522</f>
        <v>3092</v>
      </c>
      <c r="AU522" s="51" t="n">
        <f aca="false">IF(AR522&gt;0,J522/AR522,-1)</f>
        <v>341.858064516129</v>
      </c>
      <c r="AV522" s="51" t="n">
        <f aca="false">IF(AND(OR(CC522="L1",CC522="L23",CC522="LIFT"),AR522&gt;0),SUMIFS($AR$7:$AR$1843,$CC$7:$CC$1843,CC522,$AU$7:$AU$1843,"&gt;"&amp;AU522)+SUMIFS($AR$7:$AR$1843,$CC$7:$CC$1843,CC522,$AU$7:$AU$1843,AU522,$BT$7:$BT$1843,"&lt;="&amp;BT522),"")</f>
        <v>148.937271062271</v>
      </c>
      <c r="AW522" s="58" t="n">
        <f aca="false">IF(AV522="",0,MAX(0,MIN(1,(IF(CC522="L1",Parameter!$H$5,IF(CC522="L23",Parameter!$H$6+Parameter!$H$7,Parameter!$H$5+Parameter!$H$6+Parameter!$H$7))-(AV522-AR522))/AR522)))</f>
        <v>1</v>
      </c>
      <c r="AX522" s="50" t="n">
        <f aca="false">IF(LEFT(Cockpit!$O$5,1)="A",H522,IF(CE522=1,CF522,IF(LEFT(Cockpit!$O$5,1)="B",BC522,MAX(BC522,H522))))</f>
        <v>3092</v>
      </c>
      <c r="AY522" s="50" t="n">
        <f aca="false">IF(BW522=1,0,ROUNDUP(AX522/BV522,0))</f>
        <v>2</v>
      </c>
      <c r="AZ522" s="52" t="n">
        <f aca="false">IF(CL522&gt;0,CL522*MAX(1,AX522/X522),IF(BW522=1,IF(AX522&lt;=0,0,CA522*MAX(1,IF(H522&gt;0,AX522/H522,1))),IF(R522&gt;0,AY522/R522,0))/MAX(0.1,N(Parameter!$M$21)))</f>
        <v>0.0384615384615385</v>
      </c>
      <c r="BA522" s="50" t="n">
        <f aca="false">AZ522*BY522</f>
        <v>5.96153846153846</v>
      </c>
      <c r="BB522" s="50" t="n">
        <f aca="false">AX522*G522</f>
        <v>154.6</v>
      </c>
      <c r="BC522" s="50" t="n">
        <f aca="false">ROUNDUP(MAX(J522/IF(CD522&gt;0,CD522,MAX(0.1,N(Cockpit!$O$6))),CG522)/BV522,0)*BV522</f>
        <v>3092</v>
      </c>
      <c r="BD522" s="51" t="n">
        <f aca="false">IF(BA522&gt;0,J522/BA522,-1)</f>
        <v>341.858064516129</v>
      </c>
      <c r="BE522" s="51" t="n">
        <f aca="false">IF(AND(OR(CC522="L1",CC522="L23",CC522="LIFT"),BA522&gt;0),SUMIFS($BA$7:$BA$1843,$CC$7:$CC$1843,CC522,$BD$7:$BD$1843,"&gt;"&amp;BD522)+SUMIFS($BA$7:$BA$1843,$CC$7:$CC$1843,CC522,$BD$7:$BD$1843,BD522,$BT$7:$BT$1843,"&lt;="&amp;BT522),"")</f>
        <v>142.975732600733</v>
      </c>
      <c r="BF522" s="58" t="n">
        <f aca="false">IF(BE522="",0,MAX(0,MIN(1,(IF(CC522="L1",Parameter!$H$5,IF(CC522="L23",Parameter!$H$6+Parameter!$H$7,Parameter!$H$5+Parameter!$H$6+Parameter!$H$7))-(BE522-BA522))/BA522)))</f>
        <v>1</v>
      </c>
      <c r="BG522" s="48" t="str">
        <f aca="false">IF(AI522&lt;=0,"",IF(CC522="Aussen","Aussenlager",IF(CC522="-","Nicht im Lift",IF(AN522&gt;=1,"Lift",IF(AN522&lt;=0,"Aussenlager","teilweise")))))</f>
        <v>Lift</v>
      </c>
      <c r="BH522" s="48" t="str">
        <f aca="false">IF(AR522&lt;=0,"",IF(CC522="Aussen","Aussenlager",IF(CC522="-","Nicht im Lift",IF(AW522&gt;=1,"Lift",IF(AW522&lt;=0,"Aussenlager","teilweise")))))</f>
        <v>Lift</v>
      </c>
      <c r="BI522" s="48" t="str">
        <f aca="false">IF(BA522&lt;=0,"",IF(CC522="Aussen","Aussenlager",IF(CC522="-","Nicht im Lift",IF(BF522&gt;=1,"Lift",IF(BF522&lt;=0,"Aussenlager","teilweise")))))</f>
        <v>Lift</v>
      </c>
      <c r="BJ522" s="48" t="str">
        <f aca="false">IF(A522="","",IF(BS522=1,"Neu; ","")&amp;IF(AND(BS522=0,BN522&lt;0),"negativer Bestand (Export "&amp;BN522&amp;"); ","")&amp;IF(J522&lt;=0,"Kein Verbrauch; ","")&amp;IF(CL522&gt;0,"Lift "&amp;W522&amp;" lt. Liftbericht (Fach "&amp;X522&amp;" Stk); ",IF(BX522=1,"Gebinde geschätzt ("&amp;T522&amp;"); ",IF(BW522=1,"Lose – Tablare geschätzt; ","")))&amp;IF(H522&gt;AT522,"Überbestand "&amp;ROUND(H522-AT522,0)&amp;" Stk / CHF "&amp;ROUND((H522-AT522)*G522,0)&amp;"; ","")&amp;IF(AND(CE522=1,CF522&lt;CG522),"MAX &lt; MB+LG; ","")&amp;IF(AND(CK522&gt;0,CJ522*10&gt;CK522),"zu hoch für Tablar; ","")&amp;IF(AND(BS522=0,OR(CE522=1,AA522&lt;&gt;"",U522&lt;&gt;"",V522&lt;&gt;"",AB522&lt;&gt;"")),"manuell übersteuert; ","")&amp;IF(AND(BW522=0,R522=0),"Gebinde unbekannt / Stellmass fehlt; ","")&amp;IF(AND(BW522=0,N(V522)&lt;=0,N(Q522)&lt;=0),"Menge pro Gebinde fehlt (Ist = 1 Gebinde); ","")&amp;BR522)</f>
        <v/>
      </c>
      <c r="BK522" s="48"/>
      <c r="BL522" s="48"/>
      <c r="BM522" s="55"/>
      <c r="BN522" s="50" t="n">
        <v>577</v>
      </c>
      <c r="BO522" s="50" t="n">
        <v>1254</v>
      </c>
      <c r="BP522" s="49" t="n">
        <v>28.8499999999999</v>
      </c>
      <c r="BQ522" s="50" t="n">
        <v>2038</v>
      </c>
      <c r="BR522" s="48"/>
      <c r="BS522" s="53" t="n">
        <v>0</v>
      </c>
      <c r="BT522" s="53" t="n">
        <v>522</v>
      </c>
      <c r="BU522" s="48" t="str">
        <f aca="false">IF(U522&lt;&gt;"",UPPER(TRIM(U522)),IF(BX522=1,UPPER(VLOOKUP(T522,Parameter!$I$27:$K$29,2,0)),IF(P522="","LOSE",P522)))</f>
        <v>S41</v>
      </c>
      <c r="BV522" s="50" t="n">
        <f aca="false">IF(BU522="LOSE",1,IF(N(V522)&gt;0,V522,IF(BX522=1,MAX(1,N(VLOOKUP(T522,Parameter!$I$27:$K$29,3,0)),H522,N(N522)),IF(N(Q522)&gt;0,Q522,MAX(1,H522)))))</f>
        <v>1546</v>
      </c>
      <c r="BW522" s="53" t="n">
        <f aca="false">IF(BU522="LOSE",1,0)</f>
        <v>0</v>
      </c>
      <c r="BX522" s="53" t="n">
        <f aca="false">IF(AND(U522="",OR(P522="",P522="LOSE"),T522&lt;&gt;"",N(S522)&lt;=0,ISNUMBER(MATCH(T522,Parameter!$I$27:$I$29,0))),1,0)</f>
        <v>0</v>
      </c>
      <c r="BY522" s="53" t="n">
        <f aca="false">IF(CL522&gt;0,INDEX(Parameter!$H$5:$H$7,W522)/INDEX(Parameter!$E$5:$E$7,W522),IF(AND(BW522=0,N(IFERROR(VLOOKUP(BU522,'Gebinde-Kategorie'!$A$5:$N$45,14,0),0))&gt;0),VLOOKUP(BU522,'Gebinde-Kategorie'!$A$5:$N$45,14,0)*10+Parameter!$M$23,Parameter!$M$24))</f>
        <v>155</v>
      </c>
      <c r="BZ522" s="48" t="str">
        <f aca="false">IF(AND(Parameter!$B$19="Ja",E522&lt;&gt;"",ISNUMBER(MATCH(E522,Parameter!$I$35:$I$52,0))),VLOOKUP(E522,Parameter!$I$35:$J$52,2,0),IFERROR(VLOOKUP(D522,Parameter!$A$35:$C$64,2,0),"Nein"))</f>
        <v>2+3</v>
      </c>
      <c r="CA522" s="52" t="n">
        <f aca="false">IF(BW522=0,0,IF(N(S522)&gt;0,S522,IFERROR(VLOOKUP(D522,Parameter!$A$35:$C$64,3,0)+0,0)))</f>
        <v>0</v>
      </c>
      <c r="CB522" s="48" t="n">
        <f aca="false">IF(AA522&lt;&gt;"",AA522,Z522)</f>
        <v>3</v>
      </c>
      <c r="CC522" s="48" t="str">
        <f aca="false">IF(OR(CB522=1,CB522=2,CB522=3),IF(Parameter!$E$27="Ja","LIFT",IF(CB522=1,"L1","L23")),IF(CB522="Aussen","Aussen","-"))</f>
        <v>LIFT</v>
      </c>
      <c r="CD522" s="59" t="n">
        <f aca="false">IF(N(AB522)&gt;0,AB522,0)</f>
        <v>0</v>
      </c>
      <c r="CE522" s="53" t="n">
        <f aca="false">IF(ISNUMBER(AE522),1,0)</f>
        <v>0</v>
      </c>
      <c r="CF522" s="50" t="n">
        <f aca="false">N(AE522)</f>
        <v>0</v>
      </c>
      <c r="CG522" s="50" t="n">
        <f aca="false">N(M522)+N(N522)</f>
        <v>2118</v>
      </c>
      <c r="CH522" s="50" t="n">
        <f aca="false">ROUNDUP(H522/BV522,0)</f>
        <v>2</v>
      </c>
      <c r="CI522" s="50" t="n">
        <f aca="false">ROUNDUP(CF522/BV522,0)</f>
        <v>0</v>
      </c>
      <c r="CJ522" s="53" t="n">
        <f aca="false">IF(BW522=1,0,IFERROR(VLOOKUP(BU522,'Gebinde-Kategorie'!$A$5:$N$45,5,0)+0,0))</f>
        <v>11</v>
      </c>
      <c r="CK522" s="53" t="n">
        <f aca="false">IFERROR(IF(OR(CB522=1,CB522=2,CB522=3),N(INDEX(Parameter!$I$5:$I$7,CB522)),0),0)</f>
        <v>0</v>
      </c>
      <c r="CL522" s="52" t="n">
        <f aca="false">IF(AND(Parameter!$B$21="Ja",ISNUMBER(W522),N(X522)&gt;0),IFERROR(N(INDEX(Parameter!$L$5:$L$7,W522))*INDEX(Parameter!$E$5:$E$7,W522)*X522/SUMIFS($X$7:$X$1843,$W$7:$W$1843,W522),0),0)</f>
        <v>0</v>
      </c>
    </row>
    <row r="523" customFormat="false" ht="15" hidden="false" customHeight="false" outlineLevel="0" collapsed="false">
      <c r="A523" s="48" t="s">
        <v>1137</v>
      </c>
      <c r="B523" s="48" t="s">
        <v>1138</v>
      </c>
      <c r="C523" s="48" t="s">
        <v>168</v>
      </c>
      <c r="D523" s="48" t="s">
        <v>188</v>
      </c>
      <c r="E523" s="48" t="s">
        <v>189</v>
      </c>
      <c r="F523" s="48" t="s">
        <v>222</v>
      </c>
      <c r="G523" s="49" t="n">
        <v>121.7</v>
      </c>
      <c r="H523" s="50" t="n">
        <f aca="false">MAX(0,IF(AND(Parameter!$B$21="Ja",ISNUMBER(Y523)),Y523,IF(Parameter!$B$20="Jahresanfang 2025 + Export",BO523+BN523,BN523)))</f>
        <v>1</v>
      </c>
      <c r="I523" s="50" t="n">
        <f aca="false">H523*G523</f>
        <v>121.7</v>
      </c>
      <c r="J523" s="50" t="n">
        <f aca="false">BQ523*Parameter!$B$18</f>
        <v>1</v>
      </c>
      <c r="K523" s="51" t="n">
        <v>1</v>
      </c>
      <c r="L523" s="52" t="n">
        <v>1</v>
      </c>
      <c r="M523" s="50" t="n">
        <v>0</v>
      </c>
      <c r="N523" s="50" t="n">
        <v>1</v>
      </c>
      <c r="O523" s="53" t="n">
        <v>35</v>
      </c>
      <c r="P523" s="48" t="s">
        <v>306</v>
      </c>
      <c r="Q523" s="50" t="n">
        <v>3</v>
      </c>
      <c r="R523" s="53" t="n">
        <f aca="false">IF(BW523=1,0,IFERROR(VLOOKUP(BU523,'Gebinde-Kategorie'!$A$5:$N$45,13,0)+0,0))</f>
        <v>26</v>
      </c>
      <c r="S523" s="54"/>
      <c r="T523" s="55"/>
      <c r="U523" s="55"/>
      <c r="V523" s="55"/>
      <c r="W523" s="48"/>
      <c r="X523" s="50"/>
      <c r="Y523" s="50"/>
      <c r="Z523" s="48" t="n">
        <f aca="false">IF(A523="","",IF(AND(Parameter!$B$21="Ja",ISNUMBER(W523)),W523,IF(BZ523="2+3",IF(ISNUMBER(SEARCH("grosser Artikel",BR523)),2,IFERROR(VLOOKUP(BU523,Parameter!$F$35:$G$64,2,0),2)),IF(OR(BZ523="Nein",BZ523=""),"-",BZ523))))</f>
        <v>3</v>
      </c>
      <c r="AA523" s="55"/>
      <c r="AB523" s="56"/>
      <c r="AC523" s="50" t="n">
        <f aca="false">AT523</f>
        <v>3</v>
      </c>
      <c r="AD523" s="50" t="n">
        <f aca="false">MAX(AT523,H523)</f>
        <v>3</v>
      </c>
      <c r="AE523" s="57"/>
      <c r="AF523" s="50" t="n">
        <f aca="false">IF(LEFT(Cockpit!$C$5,1)="A",H523,IF(CE523=1,CF523,IF(LEFT(Cockpit!$C$5,1)="B",AK523,MAX(AK523,H523))))</f>
        <v>1</v>
      </c>
      <c r="AG523" s="50" t="n">
        <f aca="false">IF(BW523=1,0,ROUNDUP(AF523/BV523,0))</f>
        <v>1</v>
      </c>
      <c r="AH523" s="52" t="n">
        <f aca="false">IF(CL523&gt;0,CL523*MAX(1,AF523/X523),IF(BW523=1,IF(AF523&lt;=0,0,CA523*MAX(1,IF(H523&gt;0,AF523/H523,1))),IF(R523&gt;0,AG523/R523,0))/MAX(0.1,N(Parameter!$M$21)))</f>
        <v>0.0384615384615385</v>
      </c>
      <c r="AI523" s="50" t="n">
        <f aca="false">AH523*BY523</f>
        <v>5.96153846153846</v>
      </c>
      <c r="AJ523" s="50" t="n">
        <f aca="false">AF523*G523</f>
        <v>121.7</v>
      </c>
      <c r="AK523" s="50" t="n">
        <f aca="false">ROUNDUP(MAX(J523/IF(CD523&gt;0,CD523,MAX(0.1,N(Cockpit!$C$6))),CG523)/BV523,0)*BV523</f>
        <v>3</v>
      </c>
      <c r="AL523" s="51" t="n">
        <f aca="false">IF(AI523&gt;0,J523/AI523,-1)</f>
        <v>0.167741935483871</v>
      </c>
      <c r="AM523" s="51" t="n">
        <f aca="false">IF(AND(OR(CC523="L1",CC523="L23",CC523="LIFT"),AI523&gt;0),SUMIFS($AI$7:$AI$1843,$CC$7:$CC$1843,CC523,$AL$7:$AL$1843,"&gt;"&amp;AL523)+SUMIFS($AI$7:$AI$1843,$CC$7:$CC$1843,CC523,$AL$7:$AL$1843,AL523,$BT$7:$BT$1843,"&lt;="&amp;BT523),"")</f>
        <v>12697.6183362306</v>
      </c>
      <c r="AN523" s="58" t="n">
        <f aca="false">IF(AM523="",0,MAX(0,MIN(1,(IF(CC523="L1",Parameter!$H$5,IF(CC523="L23",Parameter!$H$6+Parameter!$H$7,Parameter!$H$5+Parameter!$H$6+Parameter!$H$7))-(AM523-AI523))/AI523)))</f>
        <v>1</v>
      </c>
      <c r="AO523" s="50" t="n">
        <f aca="false">IF(LEFT(Cockpit!$I$5,1)="A",H523,IF(CE523=1,CF523,IF(LEFT(Cockpit!$I$5,1)="B",AT523,MAX(AT523,H523))))</f>
        <v>3</v>
      </c>
      <c r="AP523" s="50" t="n">
        <f aca="false">IF(BW523=1,0,ROUNDUP(AO523/BV523,0))</f>
        <v>1</v>
      </c>
      <c r="AQ523" s="52" t="n">
        <f aca="false">IF(CL523&gt;0,CL523*MAX(1,AO523/X523),IF(BW523=1,IF(AO523&lt;=0,0,CA523*MAX(1,IF(H523&gt;0,AO523/H523,1))),IF(R523&gt;0,AP523/R523,0))/MAX(0.1,N(Parameter!$M$21)))</f>
        <v>0.0384615384615385</v>
      </c>
      <c r="AR523" s="50" t="n">
        <f aca="false">AQ523*BY523</f>
        <v>5.96153846153846</v>
      </c>
      <c r="AS523" s="50" t="n">
        <f aca="false">AO523*G523</f>
        <v>365.1</v>
      </c>
      <c r="AT523" s="50" t="n">
        <f aca="false">ROUNDUP(MAX(J523/IF(CD523&gt;0,CD523,MAX(0.1,N(Cockpit!$I$6))),CG523)/BV523,0)*BV523</f>
        <v>3</v>
      </c>
      <c r="AU523" s="51" t="n">
        <f aca="false">IF(AR523&gt;0,J523/AR523,-1)</f>
        <v>0.167741935483871</v>
      </c>
      <c r="AV523" s="51" t="n">
        <f aca="false">IF(AND(OR(CC523="L1",CC523="L23",CC523="LIFT"),AR523&gt;0),SUMIFS($AR$7:$AR$1843,$CC$7:$CC$1843,CC523,$AU$7:$AU$1843,"&gt;"&amp;AU523)+SUMIFS($AR$7:$AR$1843,$CC$7:$CC$1843,CC523,$AU$7:$AU$1843,AU523,$BT$7:$BT$1843,"&lt;="&amp;BT523),"")</f>
        <v>19266.7696886447</v>
      </c>
      <c r="AW523" s="58" t="n">
        <f aca="false">IF(AV523="",0,MAX(0,MIN(1,(IF(CC523="L1",Parameter!$H$5,IF(CC523="L23",Parameter!$H$6+Parameter!$H$7,Parameter!$H$5+Parameter!$H$6+Parameter!$H$7))-(AV523-AR523))/AR523)))</f>
        <v>1</v>
      </c>
      <c r="AX523" s="50" t="n">
        <f aca="false">IF(LEFT(Cockpit!$O$5,1)="A",H523,IF(CE523=1,CF523,IF(LEFT(Cockpit!$O$5,1)="B",BC523,MAX(BC523,H523))))</f>
        <v>3</v>
      </c>
      <c r="AY523" s="50" t="n">
        <f aca="false">IF(BW523=1,0,ROUNDUP(AX523/BV523,0))</f>
        <v>1</v>
      </c>
      <c r="AZ523" s="52" t="n">
        <f aca="false">IF(CL523&gt;0,CL523*MAX(1,AX523/X523),IF(BW523=1,IF(AX523&lt;=0,0,CA523*MAX(1,IF(H523&gt;0,AX523/H523,1))),IF(R523&gt;0,AY523/R523,0))/MAX(0.1,N(Parameter!$M$21)))</f>
        <v>0.0384615384615385</v>
      </c>
      <c r="BA523" s="50" t="n">
        <f aca="false">AZ523*BY523</f>
        <v>5.96153846153846</v>
      </c>
      <c r="BB523" s="50" t="n">
        <f aca="false">AX523*G523</f>
        <v>365.1</v>
      </c>
      <c r="BC523" s="50" t="n">
        <f aca="false">ROUNDUP(MAX(J523/IF(CD523&gt;0,CD523,MAX(0.1,N(Cockpit!$O$6))),CG523)/BV523,0)*BV523</f>
        <v>3</v>
      </c>
      <c r="BD523" s="51" t="n">
        <f aca="false">IF(BA523&gt;0,J523/BA523,-1)</f>
        <v>0.167741935483871</v>
      </c>
      <c r="BE523" s="51" t="n">
        <f aca="false">IF(AND(OR(CC523="L1",CC523="L23",CC523="LIFT"),BA523&gt;0),SUMIFS($BA$7:$BA$1843,$CC$7:$CC$1843,CC523,$BD$7:$BD$1843,"&gt;"&amp;BD523)+SUMIFS($BA$7:$BA$1843,$CC$7:$CC$1843,CC523,$BD$7:$BD$1843,BD523,$BT$7:$BT$1843,"&lt;="&amp;BT523),"")</f>
        <v>17292.8434065934</v>
      </c>
      <c r="BF523" s="58" t="n">
        <f aca="false">IF(BE523="",0,MAX(0,MIN(1,(IF(CC523="L1",Parameter!$H$5,IF(CC523="L23",Parameter!$H$6+Parameter!$H$7,Parameter!$H$5+Parameter!$H$6+Parameter!$H$7))-(BE523-BA523))/BA523)))</f>
        <v>1</v>
      </c>
      <c r="BG523" s="48" t="str">
        <f aca="false">IF(AI523&lt;=0,"",IF(CC523="Aussen","Aussenlager",IF(CC523="-","Nicht im Lift",IF(AN523&gt;=1,"Lift",IF(AN523&lt;=0,"Aussenlager","teilweise")))))</f>
        <v>Lift</v>
      </c>
      <c r="BH523" s="48" t="str">
        <f aca="false">IF(AR523&lt;=0,"",IF(CC523="Aussen","Aussenlager",IF(CC523="-","Nicht im Lift",IF(AW523&gt;=1,"Lift",IF(AW523&lt;=0,"Aussenlager","teilweise")))))</f>
        <v>Lift</v>
      </c>
      <c r="BI523" s="48" t="str">
        <f aca="false">IF(BA523&lt;=0,"",IF(CC523="Aussen","Aussenlager",IF(CC523="-","Nicht im Lift",IF(BF523&gt;=1,"Lift",IF(BF523&lt;=0,"Aussenlager","teilweise")))))</f>
        <v>Lift</v>
      </c>
      <c r="BJ523" s="48" t="str">
        <f aca="false">IF(A523="","",IF(BS523=1,"Neu; ","")&amp;IF(AND(BS523=0,BN523&lt;0),"negativer Bestand (Export "&amp;BN523&amp;"); ","")&amp;IF(J523&lt;=0,"Kein Verbrauch; ","")&amp;IF(CL523&gt;0,"Lift "&amp;W523&amp;" lt. Liftbericht (Fach "&amp;X523&amp;" Stk); ",IF(BX523=1,"Gebinde geschätzt ("&amp;T523&amp;"); ",IF(BW523=1,"Lose – Tablare geschätzt; ","")))&amp;IF(H523&gt;AT523,"Überbestand "&amp;ROUND(H523-AT523,0)&amp;" Stk / CHF "&amp;ROUND((H523-AT523)*G523,0)&amp;"; ","")&amp;IF(AND(CE523=1,CF523&lt;CG523),"MAX &lt; MB+LG; ","")&amp;IF(AND(CK523&gt;0,CJ523*10&gt;CK523),"zu hoch für Tablar; ","")&amp;IF(AND(BS523=0,OR(CE523=1,AA523&lt;&gt;"",U523&lt;&gt;"",V523&lt;&gt;"",AB523&lt;&gt;"")),"manuell übersteuert; ","")&amp;IF(AND(BW523=0,R523=0),"Gebinde unbekannt / Stellmass fehlt; ","")&amp;IF(AND(BW523=0,N(V523)&lt;=0,N(Q523)&lt;=0),"Menge pro Gebinde fehlt (Ist = 1 Gebinde); ","")&amp;BR523)</f>
        <v/>
      </c>
      <c r="BK523" s="48"/>
      <c r="BL523" s="48"/>
      <c r="BM523" s="55"/>
      <c r="BN523" s="50" t="n">
        <v>0</v>
      </c>
      <c r="BO523" s="50" t="n">
        <v>1</v>
      </c>
      <c r="BP523" s="49" t="n">
        <v>28.1</v>
      </c>
      <c r="BQ523" s="50" t="n">
        <v>1</v>
      </c>
      <c r="BR523" s="48"/>
      <c r="BS523" s="53" t="n">
        <v>0</v>
      </c>
      <c r="BT523" s="53" t="n">
        <v>523</v>
      </c>
      <c r="BU523" s="48" t="str">
        <f aca="false">IF(U523&lt;&gt;"",UPPER(TRIM(U523)),IF(BX523=1,UPPER(VLOOKUP(T523,Parameter!$I$27:$K$29,2,0)),IF(P523="","LOSE",P523)))</f>
        <v>S51</v>
      </c>
      <c r="BV523" s="50" t="n">
        <f aca="false">IF(BU523="LOSE",1,IF(N(V523)&gt;0,V523,IF(BX523=1,MAX(1,N(VLOOKUP(T523,Parameter!$I$27:$K$29,3,0)),H523,N(N523)),IF(N(Q523)&gt;0,Q523,MAX(1,H523)))))</f>
        <v>3</v>
      </c>
      <c r="BW523" s="53" t="n">
        <f aca="false">IF(BU523="LOSE",1,0)</f>
        <v>0</v>
      </c>
      <c r="BX523" s="53" t="n">
        <f aca="false">IF(AND(U523="",OR(P523="",P523="LOSE"),T523&lt;&gt;"",N(S523)&lt;=0,ISNUMBER(MATCH(T523,Parameter!$I$27:$I$29,0))),1,0)</f>
        <v>0</v>
      </c>
      <c r="BY523" s="53" t="n">
        <f aca="false">IF(CL523&gt;0,INDEX(Parameter!$H$5:$H$7,W523)/INDEX(Parameter!$E$5:$E$7,W523),IF(AND(BW523=0,N(IFERROR(VLOOKUP(BU523,'Gebinde-Kategorie'!$A$5:$N$45,14,0),0))&gt;0),VLOOKUP(BU523,'Gebinde-Kategorie'!$A$5:$N$45,14,0)*10+Parameter!$M$23,Parameter!$M$24))</f>
        <v>155</v>
      </c>
      <c r="BZ523" s="48" t="str">
        <f aca="false">IF(AND(Parameter!$B$19="Ja",E523&lt;&gt;"",ISNUMBER(MATCH(E523,Parameter!$I$35:$I$52,0))),VLOOKUP(E523,Parameter!$I$35:$J$52,2,0),IFERROR(VLOOKUP(D523,Parameter!$A$35:$C$64,2,0),"Nein"))</f>
        <v>2+3</v>
      </c>
      <c r="CA523" s="52" t="n">
        <f aca="false">IF(BW523=0,0,IF(N(S523)&gt;0,S523,IFERROR(VLOOKUP(D523,Parameter!$A$35:$C$64,3,0)+0,0)))</f>
        <v>0</v>
      </c>
      <c r="CB523" s="48" t="n">
        <f aca="false">IF(AA523&lt;&gt;"",AA523,Z523)</f>
        <v>3</v>
      </c>
      <c r="CC523" s="48" t="str">
        <f aca="false">IF(OR(CB523=1,CB523=2,CB523=3),IF(Parameter!$E$27="Ja","LIFT",IF(CB523=1,"L1","L23")),IF(CB523="Aussen","Aussen","-"))</f>
        <v>LIFT</v>
      </c>
      <c r="CD523" s="59" t="n">
        <f aca="false">IF(N(AB523)&gt;0,AB523,0)</f>
        <v>0</v>
      </c>
      <c r="CE523" s="53" t="n">
        <f aca="false">IF(ISNUMBER(AE523),1,0)</f>
        <v>0</v>
      </c>
      <c r="CF523" s="50" t="n">
        <f aca="false">N(AE523)</f>
        <v>0</v>
      </c>
      <c r="CG523" s="50" t="n">
        <f aca="false">N(M523)+N(N523)</f>
        <v>1</v>
      </c>
      <c r="CH523" s="50" t="n">
        <f aca="false">ROUNDUP(H523/BV523,0)</f>
        <v>1</v>
      </c>
      <c r="CI523" s="50" t="n">
        <f aca="false">ROUNDUP(CF523/BV523,0)</f>
        <v>0</v>
      </c>
      <c r="CJ523" s="53" t="n">
        <f aca="false">IF(BW523=1,0,IFERROR(VLOOKUP(BU523,'Gebinde-Kategorie'!$A$5:$N$45,5,0)+0,0))</f>
        <v>11</v>
      </c>
      <c r="CK523" s="53" t="n">
        <f aca="false">IFERROR(IF(OR(CB523=1,CB523=2,CB523=3),N(INDEX(Parameter!$I$5:$I$7,CB523)),0),0)</f>
        <v>0</v>
      </c>
      <c r="CL523" s="52" t="n">
        <f aca="false">IF(AND(Parameter!$B$21="Ja",ISNUMBER(W523),N(X523)&gt;0),IFERROR(N(INDEX(Parameter!$L$5:$L$7,W523))*INDEX(Parameter!$E$5:$E$7,W523)*X523/SUMIFS($X$7:$X$1843,$W$7:$W$1843,W523),0),0)</f>
        <v>0</v>
      </c>
    </row>
    <row r="524" customFormat="false" ht="15" hidden="false" customHeight="false" outlineLevel="0" collapsed="false">
      <c r="A524" s="48" t="s">
        <v>1139</v>
      </c>
      <c r="B524" s="48" t="s">
        <v>1140</v>
      </c>
      <c r="C524" s="48" t="s">
        <v>168</v>
      </c>
      <c r="D524" s="48" t="s">
        <v>188</v>
      </c>
      <c r="E524" s="48" t="s">
        <v>189</v>
      </c>
      <c r="F524" s="48" t="s">
        <v>222</v>
      </c>
      <c r="G524" s="49" t="n">
        <v>13.95</v>
      </c>
      <c r="H524" s="50" t="n">
        <f aca="false">MAX(0,IF(AND(Parameter!$B$21="Ja",ISNUMBER(Y524)),Y524,IF(Parameter!$B$20="Jahresanfang 2025 + Export",BO524+BN524,BN524)))</f>
        <v>6</v>
      </c>
      <c r="I524" s="50" t="n">
        <f aca="false">H524*G524</f>
        <v>83.7</v>
      </c>
      <c r="J524" s="50" t="n">
        <f aca="false">BQ524*Parameter!$B$18</f>
        <v>0</v>
      </c>
      <c r="K524" s="51" t="n">
        <v>4</v>
      </c>
      <c r="L524" s="52" t="n">
        <v>0</v>
      </c>
      <c r="M524" s="50" t="n">
        <v>0</v>
      </c>
      <c r="N524" s="50" t="n">
        <v>1</v>
      </c>
      <c r="O524" s="53" t="n">
        <v>14</v>
      </c>
      <c r="P524" s="48" t="s">
        <v>332</v>
      </c>
      <c r="Q524" s="50" t="n">
        <v>1</v>
      </c>
      <c r="R524" s="53" t="n">
        <f aca="false">IF(BW524=1,0,IFERROR(VLOOKUP(BU524,'Gebinde-Kategorie'!$A$5:$N$45,13,0)+0,0))</f>
        <v>52</v>
      </c>
      <c r="S524" s="54"/>
      <c r="T524" s="55"/>
      <c r="U524" s="55"/>
      <c r="V524" s="55"/>
      <c r="W524" s="48"/>
      <c r="X524" s="50"/>
      <c r="Y524" s="50"/>
      <c r="Z524" s="48" t="n">
        <f aca="false">IF(A524="","",IF(AND(Parameter!$B$21="Ja",ISNUMBER(W524)),W524,IF(BZ524="2+3",IF(ISNUMBER(SEARCH("grosser Artikel",BR524)),2,IFERROR(VLOOKUP(BU524,Parameter!$F$35:$G$64,2,0),2)),IF(OR(BZ524="Nein",BZ524=""),"-",BZ524))))</f>
        <v>3</v>
      </c>
      <c r="AA524" s="55"/>
      <c r="AB524" s="56"/>
      <c r="AC524" s="50" t="n">
        <f aca="false">AT524</f>
        <v>1</v>
      </c>
      <c r="AD524" s="50" t="n">
        <f aca="false">MAX(AT524,H524)</f>
        <v>6</v>
      </c>
      <c r="AE524" s="57"/>
      <c r="AF524" s="50" t="n">
        <f aca="false">IF(LEFT(Cockpit!$C$5,1)="A",H524,IF(CE524=1,CF524,IF(LEFT(Cockpit!$C$5,1)="B",AK524,MAX(AK524,H524))))</f>
        <v>6</v>
      </c>
      <c r="AG524" s="50" t="n">
        <f aca="false">IF(BW524=1,0,ROUNDUP(AF524/BV524,0))</f>
        <v>6</v>
      </c>
      <c r="AH524" s="52" t="n">
        <f aca="false">IF(CL524&gt;0,CL524*MAX(1,AF524/X524),IF(BW524=1,IF(AF524&lt;=0,0,CA524*MAX(1,IF(H524&gt;0,AF524/H524,1))),IF(R524&gt;0,AG524/R524,0))/MAX(0.1,N(Parameter!$M$21)))</f>
        <v>0.115384615384615</v>
      </c>
      <c r="AI524" s="50" t="n">
        <f aca="false">AH524*BY524</f>
        <v>17.8846153846154</v>
      </c>
      <c r="AJ524" s="50" t="n">
        <f aca="false">AF524*G524</f>
        <v>83.7</v>
      </c>
      <c r="AK524" s="50" t="n">
        <f aca="false">ROUNDUP(MAX(J524/IF(CD524&gt;0,CD524,MAX(0.1,N(Cockpit!$C$6))),CG524)/BV524,0)*BV524</f>
        <v>1</v>
      </c>
      <c r="AL524" s="51" t="n">
        <f aca="false">IF(AI524&gt;0,J524/AI524,-1)</f>
        <v>0</v>
      </c>
      <c r="AM524" s="51" t="n">
        <f aca="false">IF(AND(OR(CC524="L1",CC524="L23",CC524="LIFT"),AI524&gt;0),SUMIFS($AI$7:$AI$1843,$CC$7:$CC$1843,CC524,$AL$7:$AL$1843,"&gt;"&amp;AL524)+SUMIFS($AI$7:$AI$1843,$CC$7:$CC$1843,CC524,$AL$7:$AL$1843,AL524,$BT$7:$BT$1843,"&lt;="&amp;BT524),"")</f>
        <v>28304.2144538606</v>
      </c>
      <c r="AN524" s="58" t="n">
        <f aca="false">IF(AM524="",0,MAX(0,MIN(1,(IF(CC524="L1",Parameter!$H$5,IF(CC524="L23",Parameter!$H$6+Parameter!$H$7,Parameter!$H$5+Parameter!$H$6+Parameter!$H$7))-(AM524-AI524))/AI524)))</f>
        <v>1</v>
      </c>
      <c r="AO524" s="50" t="n">
        <f aca="false">IF(LEFT(Cockpit!$I$5,1)="A",H524,IF(CE524=1,CF524,IF(LEFT(Cockpit!$I$5,1)="B",AT524,MAX(AT524,H524))))</f>
        <v>6</v>
      </c>
      <c r="AP524" s="50" t="n">
        <f aca="false">IF(BW524=1,0,ROUNDUP(AO524/BV524,0))</f>
        <v>6</v>
      </c>
      <c r="AQ524" s="52" t="n">
        <f aca="false">IF(CL524&gt;0,CL524*MAX(1,AO524/X524),IF(BW524=1,IF(AO524&lt;=0,0,CA524*MAX(1,IF(H524&gt;0,AO524/H524,1))),IF(R524&gt;0,AP524/R524,0))/MAX(0.1,N(Parameter!$M$21)))</f>
        <v>0.115384615384615</v>
      </c>
      <c r="AR524" s="50" t="n">
        <f aca="false">AQ524*BY524</f>
        <v>17.8846153846154</v>
      </c>
      <c r="AS524" s="50" t="n">
        <f aca="false">AO524*G524</f>
        <v>83.7</v>
      </c>
      <c r="AT524" s="50" t="n">
        <f aca="false">ROUNDUP(MAX(J524/IF(CD524&gt;0,CD524,MAX(0.1,N(Cockpit!$I$6))),CG524)/BV524,0)*BV524</f>
        <v>1</v>
      </c>
      <c r="AU524" s="51" t="n">
        <f aca="false">IF(AR524&gt;0,J524/AR524,-1)</f>
        <v>0</v>
      </c>
      <c r="AV524" s="51" t="n">
        <f aca="false">IF(AND(OR(CC524="L1",CC524="L23",CC524="LIFT"),AR524&gt;0),SUMIFS($AR$7:$AR$1843,$CC$7:$CC$1843,CC524,$AU$7:$AU$1843,"&gt;"&amp;AU524)+SUMIFS($AR$7:$AR$1843,$CC$7:$CC$1843,CC524,$AU$7:$AU$1843,AU524,$BT$7:$BT$1843,"&lt;="&amp;BT524),"")</f>
        <v>39617.1199711306</v>
      </c>
      <c r="AW524" s="58" t="n">
        <f aca="false">IF(AV524="",0,MAX(0,MIN(1,(IF(CC524="L1",Parameter!$H$5,IF(CC524="L23",Parameter!$H$6+Parameter!$H$7,Parameter!$H$5+Parameter!$H$6+Parameter!$H$7))-(AV524-AR524))/AR524)))</f>
        <v>0</v>
      </c>
      <c r="AX524" s="50" t="n">
        <f aca="false">IF(LEFT(Cockpit!$O$5,1)="A",H524,IF(CE524=1,CF524,IF(LEFT(Cockpit!$O$5,1)="B",BC524,MAX(BC524,H524))))</f>
        <v>6</v>
      </c>
      <c r="AY524" s="50" t="n">
        <f aca="false">IF(BW524=1,0,ROUNDUP(AX524/BV524,0))</f>
        <v>6</v>
      </c>
      <c r="AZ524" s="52" t="n">
        <f aca="false">IF(CL524&gt;0,CL524*MAX(1,AX524/X524),IF(BW524=1,IF(AX524&lt;=0,0,CA524*MAX(1,IF(H524&gt;0,AX524/H524,1))),IF(R524&gt;0,AY524/R524,0))/MAX(0.1,N(Parameter!$M$21)))</f>
        <v>0.115384615384615</v>
      </c>
      <c r="BA524" s="50" t="n">
        <f aca="false">AZ524*BY524</f>
        <v>17.8846153846154</v>
      </c>
      <c r="BB524" s="50" t="n">
        <f aca="false">AX524*G524</f>
        <v>83.7</v>
      </c>
      <c r="BC524" s="50" t="n">
        <f aca="false">ROUNDUP(MAX(J524/IF(CD524&gt;0,CD524,MAX(0.1,N(Cockpit!$O$6))),CG524)/BV524,0)*BV524</f>
        <v>1</v>
      </c>
      <c r="BD524" s="51" t="n">
        <f aca="false">IF(BA524&gt;0,J524/BA524,-1)</f>
        <v>0</v>
      </c>
      <c r="BE524" s="51" t="n">
        <f aca="false">IF(AND(OR(CC524="L1",CC524="L23",CC524="LIFT"),BA524&gt;0),SUMIFS($BA$7:$BA$1843,$CC$7:$CC$1843,CC524,$BD$7:$BD$1843,"&gt;"&amp;BD524)+SUMIFS($BA$7:$BA$1843,$CC$7:$CC$1843,CC524,$BD$7:$BD$1843,BD524,$BT$7:$BT$1843,"&lt;="&amp;BT524),"")</f>
        <v>36292.1320129964</v>
      </c>
      <c r="BF524" s="58" t="n">
        <f aca="false">IF(BE524="",0,MAX(0,MIN(1,(IF(CC524="L1",Parameter!$H$5,IF(CC524="L23",Parameter!$H$6+Parameter!$H$7,Parameter!$H$5+Parameter!$H$6+Parameter!$H$7))-(BE524-BA524))/BA524)))</f>
        <v>0</v>
      </c>
      <c r="BG524" s="48" t="str">
        <f aca="false">IF(AI524&lt;=0,"",IF(CC524="Aussen","Aussenlager",IF(CC524="-","Nicht im Lift",IF(AN524&gt;=1,"Lift",IF(AN524&lt;=0,"Aussenlager","teilweise")))))</f>
        <v>Lift</v>
      </c>
      <c r="BH524" s="48" t="str">
        <f aca="false">IF(AR524&lt;=0,"",IF(CC524="Aussen","Aussenlager",IF(CC524="-","Nicht im Lift",IF(AW524&gt;=1,"Lift",IF(AW524&lt;=0,"Aussenlager","teilweise")))))</f>
        <v>Aussenlager</v>
      </c>
      <c r="BI524" s="48" t="str">
        <f aca="false">IF(BA524&lt;=0,"",IF(CC524="Aussen","Aussenlager",IF(CC524="-","Nicht im Lift",IF(BF524&gt;=1,"Lift",IF(BF524&lt;=0,"Aussenlager","teilweise")))))</f>
        <v>Aussenlager</v>
      </c>
      <c r="BJ524" s="48" t="str">
        <f aca="false">IF(A524="","",IF(BS524=1,"Neu; ","")&amp;IF(AND(BS524=0,BN524&lt;0),"negativer Bestand (Export "&amp;BN524&amp;"); ","")&amp;IF(J524&lt;=0,"Kein Verbrauch; ","")&amp;IF(CL524&gt;0,"Lift "&amp;W524&amp;" lt. Liftbericht (Fach "&amp;X524&amp;" Stk); ",IF(BX524=1,"Gebinde geschätzt ("&amp;T524&amp;"); ",IF(BW524=1,"Lose – Tablare geschätzt; ","")))&amp;IF(H524&gt;AT524,"Überbestand "&amp;ROUND(H524-AT524,0)&amp;" Stk / CHF "&amp;ROUND((H524-AT524)*G524,0)&amp;"; ","")&amp;IF(AND(CE524=1,CF524&lt;CG524),"MAX &lt; MB+LG; ","")&amp;IF(AND(CK524&gt;0,CJ524*10&gt;CK524),"zu hoch für Tablar; ","")&amp;IF(AND(BS524=0,OR(CE524=1,AA524&lt;&gt;"",U524&lt;&gt;"",V524&lt;&gt;"",AB524&lt;&gt;"")),"manuell übersteuert; ","")&amp;IF(AND(BW524=0,R524=0),"Gebinde unbekannt / Stellmass fehlt; ","")&amp;IF(AND(BW524=0,N(V524)&lt;=0,N(Q524)&lt;=0),"Menge pro Gebinde fehlt (Ist = 1 Gebinde); ","")&amp;BR524)</f>
        <v>Kein Verbrauch; Überbestand 5 Stk / CHF 70; </v>
      </c>
      <c r="BK524" s="48"/>
      <c r="BL524" s="48"/>
      <c r="BM524" s="55"/>
      <c r="BN524" s="50" t="n">
        <v>2</v>
      </c>
      <c r="BO524" s="50" t="n">
        <v>4</v>
      </c>
      <c r="BP524" s="49" t="n">
        <v>28.02</v>
      </c>
      <c r="BQ524" s="50" t="n">
        <v>0</v>
      </c>
      <c r="BR524" s="48"/>
      <c r="BS524" s="53" t="n">
        <v>0</v>
      </c>
      <c r="BT524" s="53" t="n">
        <v>524</v>
      </c>
      <c r="BU524" s="48" t="str">
        <f aca="false">IF(U524&lt;&gt;"",UPPER(TRIM(U524)),IF(BX524=1,UPPER(VLOOKUP(T524,Parameter!$I$27:$K$29,2,0)),IF(P524="","LOSE",P524)))</f>
        <v>S41</v>
      </c>
      <c r="BV524" s="50" t="n">
        <f aca="false">IF(BU524="LOSE",1,IF(N(V524)&gt;0,V524,IF(BX524=1,MAX(1,N(VLOOKUP(T524,Parameter!$I$27:$K$29,3,0)),H524,N(N524)),IF(N(Q524)&gt;0,Q524,MAX(1,H524)))))</f>
        <v>1</v>
      </c>
      <c r="BW524" s="53" t="n">
        <f aca="false">IF(BU524="LOSE",1,0)</f>
        <v>0</v>
      </c>
      <c r="BX524" s="53" t="n">
        <f aca="false">IF(AND(U524="",OR(P524="",P524="LOSE"),T524&lt;&gt;"",N(S524)&lt;=0,ISNUMBER(MATCH(T524,Parameter!$I$27:$I$29,0))),1,0)</f>
        <v>0</v>
      </c>
      <c r="BY524" s="53" t="n">
        <f aca="false">IF(CL524&gt;0,INDEX(Parameter!$H$5:$H$7,W524)/INDEX(Parameter!$E$5:$E$7,W524),IF(AND(BW524=0,N(IFERROR(VLOOKUP(BU524,'Gebinde-Kategorie'!$A$5:$N$45,14,0),0))&gt;0),VLOOKUP(BU524,'Gebinde-Kategorie'!$A$5:$N$45,14,0)*10+Parameter!$M$23,Parameter!$M$24))</f>
        <v>155</v>
      </c>
      <c r="BZ524" s="48" t="str">
        <f aca="false">IF(AND(Parameter!$B$19="Ja",E524&lt;&gt;"",ISNUMBER(MATCH(E524,Parameter!$I$35:$I$52,0))),VLOOKUP(E524,Parameter!$I$35:$J$52,2,0),IFERROR(VLOOKUP(D524,Parameter!$A$35:$C$64,2,0),"Nein"))</f>
        <v>2+3</v>
      </c>
      <c r="CA524" s="52" t="n">
        <f aca="false">IF(BW524=0,0,IF(N(S524)&gt;0,S524,IFERROR(VLOOKUP(D524,Parameter!$A$35:$C$64,3,0)+0,0)))</f>
        <v>0</v>
      </c>
      <c r="CB524" s="48" t="n">
        <f aca="false">IF(AA524&lt;&gt;"",AA524,Z524)</f>
        <v>3</v>
      </c>
      <c r="CC524" s="48" t="str">
        <f aca="false">IF(OR(CB524=1,CB524=2,CB524=3),IF(Parameter!$E$27="Ja","LIFT",IF(CB524=1,"L1","L23")),IF(CB524="Aussen","Aussen","-"))</f>
        <v>LIFT</v>
      </c>
      <c r="CD524" s="59" t="n">
        <f aca="false">IF(N(AB524)&gt;0,AB524,0)</f>
        <v>0</v>
      </c>
      <c r="CE524" s="53" t="n">
        <f aca="false">IF(ISNUMBER(AE524),1,0)</f>
        <v>0</v>
      </c>
      <c r="CF524" s="50" t="n">
        <f aca="false">N(AE524)</f>
        <v>0</v>
      </c>
      <c r="CG524" s="50" t="n">
        <f aca="false">N(M524)+N(N524)</f>
        <v>1</v>
      </c>
      <c r="CH524" s="50" t="n">
        <f aca="false">ROUNDUP(H524/BV524,0)</f>
        <v>6</v>
      </c>
      <c r="CI524" s="50" t="n">
        <f aca="false">ROUNDUP(CF524/BV524,0)</f>
        <v>0</v>
      </c>
      <c r="CJ524" s="53" t="n">
        <f aca="false">IF(BW524=1,0,IFERROR(VLOOKUP(BU524,'Gebinde-Kategorie'!$A$5:$N$45,5,0)+0,0))</f>
        <v>11</v>
      </c>
      <c r="CK524" s="53" t="n">
        <f aca="false">IFERROR(IF(OR(CB524=1,CB524=2,CB524=3),N(INDEX(Parameter!$I$5:$I$7,CB524)),0),0)</f>
        <v>0</v>
      </c>
      <c r="CL524" s="52" t="n">
        <f aca="false">IF(AND(Parameter!$B$21="Ja",ISNUMBER(W524),N(X524)&gt;0),IFERROR(N(INDEX(Parameter!$L$5:$L$7,W524))*INDEX(Parameter!$E$5:$E$7,W524)*X524/SUMIFS($X$7:$X$1843,$W$7:$W$1843,W524),0),0)</f>
        <v>0</v>
      </c>
    </row>
    <row r="525" customFormat="false" ht="15" hidden="false" customHeight="false" outlineLevel="0" collapsed="false">
      <c r="A525" s="48" t="s">
        <v>1141</v>
      </c>
      <c r="B525" s="48" t="s">
        <v>953</v>
      </c>
      <c r="C525" s="48" t="s">
        <v>168</v>
      </c>
      <c r="D525" s="48" t="s">
        <v>188</v>
      </c>
      <c r="E525" s="48"/>
      <c r="F525" s="48" t="s">
        <v>222</v>
      </c>
      <c r="G525" s="49" t="n">
        <v>0.14</v>
      </c>
      <c r="H525" s="50" t="n">
        <f aca="false">MAX(0,IF(AND(Parameter!$B$21="Ja",ISNUMBER(Y525)),Y525,IF(Parameter!$B$20="Jahresanfang 2025 + Export",BO525+BN525,BN525)))</f>
        <v>200</v>
      </c>
      <c r="I525" s="50" t="n">
        <f aca="false">H525*G525</f>
        <v>28</v>
      </c>
      <c r="J525" s="50" t="n">
        <f aca="false">BQ525*Parameter!$B$18</f>
        <v>200</v>
      </c>
      <c r="K525" s="51" t="n">
        <v>0</v>
      </c>
      <c r="L525" s="52" t="n">
        <v>0</v>
      </c>
      <c r="M525" s="50" t="n">
        <v>12</v>
      </c>
      <c r="N525" s="50" t="n">
        <v>200</v>
      </c>
      <c r="O525" s="53" t="n">
        <v>21</v>
      </c>
      <c r="P525" s="48" t="s">
        <v>172</v>
      </c>
      <c r="Q525" s="50"/>
      <c r="R525" s="53" t="n">
        <f aca="false">IF(BW525=1,0,IFERROR(VLOOKUP(BU525,'Gebinde-Kategorie'!$A$5:$N$45,13,0)+0,0))</f>
        <v>26</v>
      </c>
      <c r="S525" s="54"/>
      <c r="T525" s="55" t="s">
        <v>279</v>
      </c>
      <c r="U525" s="55"/>
      <c r="V525" s="55"/>
      <c r="W525" s="48"/>
      <c r="X525" s="50"/>
      <c r="Y525" s="50"/>
      <c r="Z525" s="48" t="n">
        <f aca="false">IF(A525="","",IF(AND(Parameter!$B$21="Ja",ISNUMBER(W525)),W525,IF(BZ525="2+3",IF(ISNUMBER(SEARCH("grosser Artikel",BR525)),2,IFERROR(VLOOKUP(BU525,Parameter!$F$35:$G$64,2,0),2)),IF(OR(BZ525="Nein",BZ525=""),"-",BZ525))))</f>
        <v>3</v>
      </c>
      <c r="AA525" s="55"/>
      <c r="AB525" s="56"/>
      <c r="AC525" s="50" t="n">
        <f aca="false">AT525</f>
        <v>400</v>
      </c>
      <c r="AD525" s="50" t="n">
        <f aca="false">MAX(AT525,H525)</f>
        <v>400</v>
      </c>
      <c r="AE525" s="57"/>
      <c r="AF525" s="50" t="n">
        <f aca="false">IF(LEFT(Cockpit!$C$5,1)="A",H525,IF(CE525=1,CF525,IF(LEFT(Cockpit!$C$5,1)="B",AK525,MAX(AK525,H525))))</f>
        <v>200</v>
      </c>
      <c r="AG525" s="50" t="n">
        <f aca="false">IF(BW525=1,0,ROUNDUP(AF525/BV525,0))</f>
        <v>1</v>
      </c>
      <c r="AH525" s="52" t="n">
        <f aca="false">IF(CL525&gt;0,CL525*MAX(1,AF525/X525),IF(BW525=1,IF(AF525&lt;=0,0,CA525*MAX(1,IF(H525&gt;0,AF525/H525,1))),IF(R525&gt;0,AG525/R525,0))/MAX(0.1,N(Parameter!$M$21)))</f>
        <v>0.0384615384615385</v>
      </c>
      <c r="AI525" s="50" t="n">
        <f aca="false">AH525*BY525</f>
        <v>5.96153846153846</v>
      </c>
      <c r="AJ525" s="50" t="n">
        <f aca="false">AF525*G525</f>
        <v>28</v>
      </c>
      <c r="AK525" s="50" t="n">
        <f aca="false">ROUNDUP(MAX(J525/IF(CD525&gt;0,CD525,MAX(0.1,N(Cockpit!$C$6))),CG525)/BV525,0)*BV525</f>
        <v>400</v>
      </c>
      <c r="AL525" s="51" t="n">
        <f aca="false">IF(AI525&gt;0,J525/AI525,-1)</f>
        <v>33.5483870967742</v>
      </c>
      <c r="AM525" s="51" t="n">
        <f aca="false">IF(AND(OR(CC525="L1",CC525="L23",CC525="LIFT"),AI525&gt;0),SUMIFS($AI$7:$AI$1843,$CC$7:$CC$1843,CC525,$AL$7:$AL$1843,"&gt;"&amp;AL525)+SUMIFS($AI$7:$AI$1843,$CC$7:$CC$1843,CC525,$AL$7:$AL$1843,AL525,$BT$7:$BT$1843,"&lt;="&amp;BT525),"")</f>
        <v>1322.60302197802</v>
      </c>
      <c r="AN525" s="58" t="n">
        <f aca="false">IF(AM525="",0,MAX(0,MIN(1,(IF(CC525="L1",Parameter!$H$5,IF(CC525="L23",Parameter!$H$6+Parameter!$H$7,Parameter!$H$5+Parameter!$H$6+Parameter!$H$7))-(AM525-AI525))/AI525)))</f>
        <v>1</v>
      </c>
      <c r="AO525" s="50" t="n">
        <f aca="false">IF(LEFT(Cockpit!$I$5,1)="A",H525,IF(CE525=1,CF525,IF(LEFT(Cockpit!$I$5,1)="B",AT525,MAX(AT525,H525))))</f>
        <v>400</v>
      </c>
      <c r="AP525" s="50" t="n">
        <f aca="false">IF(BW525=1,0,ROUNDUP(AO525/BV525,0))</f>
        <v>2</v>
      </c>
      <c r="AQ525" s="52" t="n">
        <f aca="false">IF(CL525&gt;0,CL525*MAX(1,AO525/X525),IF(BW525=1,IF(AO525&lt;=0,0,CA525*MAX(1,IF(H525&gt;0,AO525/H525,1))),IF(R525&gt;0,AP525/R525,0))/MAX(0.1,N(Parameter!$M$21)))</f>
        <v>0.0769230769230769</v>
      </c>
      <c r="AR525" s="50" t="n">
        <f aca="false">AQ525*BY525</f>
        <v>11.9230769230769</v>
      </c>
      <c r="AS525" s="50" t="n">
        <f aca="false">AO525*G525</f>
        <v>56</v>
      </c>
      <c r="AT525" s="50" t="n">
        <f aca="false">ROUNDUP(MAX(J525/IF(CD525&gt;0,CD525,MAX(0.1,N(Cockpit!$I$6))),CG525)/BV525,0)*BV525</f>
        <v>400</v>
      </c>
      <c r="AU525" s="51" t="n">
        <f aca="false">IF(AR525&gt;0,J525/AR525,-1)</f>
        <v>16.7741935483871</v>
      </c>
      <c r="AV525" s="51" t="n">
        <f aca="false">IF(AND(OR(CC525="L1",CC525="L23",CC525="LIFT"),AR525&gt;0),SUMIFS($AR$7:$AR$1843,$CC$7:$CC$1843,CC525,$AU$7:$AU$1843,"&gt;"&amp;AU525)+SUMIFS($AR$7:$AR$1843,$CC$7:$CC$1843,CC525,$AU$7:$AU$1843,AU525,$BT$7:$BT$1843,"&lt;="&amp;BT525),"")</f>
        <v>2940.60073260073</v>
      </c>
      <c r="AW525" s="58" t="n">
        <f aca="false">IF(AV525="",0,MAX(0,MIN(1,(IF(CC525="L1",Parameter!$H$5,IF(CC525="L23",Parameter!$H$6+Parameter!$H$7,Parameter!$H$5+Parameter!$H$6+Parameter!$H$7))-(AV525-AR525))/AR525)))</f>
        <v>1</v>
      </c>
      <c r="AX525" s="50" t="n">
        <f aca="false">IF(LEFT(Cockpit!$O$5,1)="A",H525,IF(CE525=1,CF525,IF(LEFT(Cockpit!$O$5,1)="B",BC525,MAX(BC525,H525))))</f>
        <v>400</v>
      </c>
      <c r="AY525" s="50" t="n">
        <f aca="false">IF(BW525=1,0,ROUNDUP(AX525/BV525,0))</f>
        <v>2</v>
      </c>
      <c r="AZ525" s="52" t="n">
        <f aca="false">IF(CL525&gt;0,CL525*MAX(1,AX525/X525),IF(BW525=1,IF(AX525&lt;=0,0,CA525*MAX(1,IF(H525&gt;0,AX525/H525,1))),IF(R525&gt;0,AY525/R525,0))/MAX(0.1,N(Parameter!$M$21)))</f>
        <v>0.0769230769230769</v>
      </c>
      <c r="BA525" s="50" t="n">
        <f aca="false">AZ525*BY525</f>
        <v>11.9230769230769</v>
      </c>
      <c r="BB525" s="50" t="n">
        <f aca="false">AX525*G525</f>
        <v>56</v>
      </c>
      <c r="BC525" s="50" t="n">
        <f aca="false">ROUNDUP(MAX(J525/IF(CD525&gt;0,CD525,MAX(0.1,N(Cockpit!$O$6))),CG525)/BV525,0)*BV525</f>
        <v>400</v>
      </c>
      <c r="BD525" s="51" t="n">
        <f aca="false">IF(BA525&gt;0,J525/BA525,-1)</f>
        <v>16.7741935483871</v>
      </c>
      <c r="BE525" s="51" t="n">
        <f aca="false">IF(AND(OR(CC525="L1",CC525="L23",CC525="LIFT"),BA525&gt;0),SUMIFS($BA$7:$BA$1843,$CC$7:$CC$1843,CC525,$BD$7:$BD$1843,"&gt;"&amp;BD525)+SUMIFS($BA$7:$BA$1843,$CC$7:$CC$1843,CC525,$BD$7:$BD$1843,BD525,$BT$7:$BT$1843,"&lt;="&amp;BT525),"")</f>
        <v>2760.03983516484</v>
      </c>
      <c r="BF525" s="58" t="n">
        <f aca="false">IF(BE525="",0,MAX(0,MIN(1,(IF(CC525="L1",Parameter!$H$5,IF(CC525="L23",Parameter!$H$6+Parameter!$H$7,Parameter!$H$5+Parameter!$H$6+Parameter!$H$7))-(BE525-BA525))/BA525)))</f>
        <v>1</v>
      </c>
      <c r="BG525" s="48" t="str">
        <f aca="false">IF(AI525&lt;=0,"",IF(CC525="Aussen","Aussenlager",IF(CC525="-","Nicht im Lift",IF(AN525&gt;=1,"Lift",IF(AN525&lt;=0,"Aussenlager","teilweise")))))</f>
        <v>Lift</v>
      </c>
      <c r="BH525" s="48" t="str">
        <f aca="false">IF(AR525&lt;=0,"",IF(CC525="Aussen","Aussenlager",IF(CC525="-","Nicht im Lift",IF(AW525&gt;=1,"Lift",IF(AW525&lt;=0,"Aussenlager","teilweise")))))</f>
        <v>Lift</v>
      </c>
      <c r="BI525" s="48" t="str">
        <f aca="false">IF(BA525&lt;=0,"",IF(CC525="Aussen","Aussenlager",IF(CC525="-","Nicht im Lift",IF(BF525&gt;=1,"Lift",IF(BF525&lt;=0,"Aussenlager","teilweise")))))</f>
        <v>Lift</v>
      </c>
      <c r="BJ525" s="48" t="str">
        <f aca="false">IF(A525="","",IF(BS525=1,"Neu; ","")&amp;IF(AND(BS525=0,BN525&lt;0),"negativer Bestand (Export "&amp;BN525&amp;"); ","")&amp;IF(J525&lt;=0,"Kein Verbrauch; ","")&amp;IF(CL525&gt;0,"Lift "&amp;W525&amp;" lt. Liftbericht (Fach "&amp;X525&amp;" Stk); ",IF(BX525=1,"Gebinde geschätzt ("&amp;T525&amp;"); ",IF(BW525=1,"Lose – Tablare geschätzt; ","")))&amp;IF(H525&gt;AT525,"Überbestand "&amp;ROUND(H525-AT525,0)&amp;" Stk / CHF "&amp;ROUND((H525-AT525)*G525,0)&amp;"; ","")&amp;IF(AND(CE525=1,CF525&lt;CG525),"MAX &lt; MB+LG; ","")&amp;IF(AND(CK525&gt;0,CJ525*10&gt;CK525),"zu hoch für Tablar; ","")&amp;IF(AND(BS525=0,OR(CE525=1,AA525&lt;&gt;"",U525&lt;&gt;"",V525&lt;&gt;"",AB525&lt;&gt;"")),"manuell übersteuert; ","")&amp;IF(AND(BW525=0,R525=0),"Gebinde unbekannt / Stellmass fehlt; ","")&amp;IF(AND(BW525=0,N(V525)&lt;=0,N(Q525)&lt;=0),"Menge pro Gebinde fehlt (Ist = 1 Gebinde); ","")&amp;BR525)</f>
        <v>Gebinde geschätzt (Klein); Menge pro Gebinde fehlt (Ist = 1 Gebinde); </v>
      </c>
      <c r="BK525" s="48"/>
      <c r="BL525" s="48"/>
      <c r="BM525" s="55"/>
      <c r="BN525" s="50" t="n">
        <v>200</v>
      </c>
      <c r="BO525" s="50" t="n">
        <v>0</v>
      </c>
      <c r="BP525" s="49" t="n">
        <v>28</v>
      </c>
      <c r="BQ525" s="50" t="n">
        <v>200</v>
      </c>
      <c r="BR525" s="48"/>
      <c r="BS525" s="53" t="n">
        <v>0</v>
      </c>
      <c r="BT525" s="53" t="n">
        <v>525</v>
      </c>
      <c r="BU525" s="48" t="str">
        <f aca="false">IF(U525&lt;&gt;"",UPPER(TRIM(U525)),IF(BX525=1,UPPER(VLOOKUP(T525,Parameter!$I$27:$K$29,2,0)),IF(P525="","LOSE",P525)))</f>
        <v>S51</v>
      </c>
      <c r="BV525" s="50" t="n">
        <f aca="false">IF(BU525="LOSE",1,IF(N(V525)&gt;0,V525,IF(BX525=1,MAX(1,N(VLOOKUP(T525,Parameter!$I$27:$K$29,3,0)),H525,N(N525)),IF(N(Q525)&gt;0,Q525,MAX(1,H525)))))</f>
        <v>200</v>
      </c>
      <c r="BW525" s="53" t="n">
        <f aca="false">IF(BU525="LOSE",1,0)</f>
        <v>0</v>
      </c>
      <c r="BX525" s="53" t="n">
        <f aca="false">IF(AND(U525="",OR(P525="",P525="LOSE"),T525&lt;&gt;"",N(S525)&lt;=0,ISNUMBER(MATCH(T525,Parameter!$I$27:$I$29,0))),1,0)</f>
        <v>1</v>
      </c>
      <c r="BY525" s="53" t="n">
        <f aca="false">IF(CL525&gt;0,INDEX(Parameter!$H$5:$H$7,W525)/INDEX(Parameter!$E$5:$E$7,W525),IF(AND(BW525=0,N(IFERROR(VLOOKUP(BU525,'Gebinde-Kategorie'!$A$5:$N$45,14,0),0))&gt;0),VLOOKUP(BU525,'Gebinde-Kategorie'!$A$5:$N$45,14,0)*10+Parameter!$M$23,Parameter!$M$24))</f>
        <v>155</v>
      </c>
      <c r="BZ525" s="48" t="str">
        <f aca="false">IF(AND(Parameter!$B$19="Ja",E525&lt;&gt;"",ISNUMBER(MATCH(E525,Parameter!$I$35:$I$52,0))),VLOOKUP(E525,Parameter!$I$35:$J$52,2,0),IFERROR(VLOOKUP(D525,Parameter!$A$35:$C$64,2,0),"Nein"))</f>
        <v>2+3</v>
      </c>
      <c r="CA525" s="52" t="n">
        <f aca="false">IF(BW525=0,0,IF(N(S525)&gt;0,S525,IFERROR(VLOOKUP(D525,Parameter!$A$35:$C$64,3,0)+0,0)))</f>
        <v>0</v>
      </c>
      <c r="CB525" s="48" t="n">
        <f aca="false">IF(AA525&lt;&gt;"",AA525,Z525)</f>
        <v>3</v>
      </c>
      <c r="CC525" s="48" t="str">
        <f aca="false">IF(OR(CB525=1,CB525=2,CB525=3),IF(Parameter!$E$27="Ja","LIFT",IF(CB525=1,"L1","L23")),IF(CB525="Aussen","Aussen","-"))</f>
        <v>LIFT</v>
      </c>
      <c r="CD525" s="59" t="n">
        <f aca="false">IF(N(AB525)&gt;0,AB525,0)</f>
        <v>0</v>
      </c>
      <c r="CE525" s="53" t="n">
        <f aca="false">IF(ISNUMBER(AE525),1,0)</f>
        <v>0</v>
      </c>
      <c r="CF525" s="50" t="n">
        <f aca="false">N(AE525)</f>
        <v>0</v>
      </c>
      <c r="CG525" s="50" t="n">
        <f aca="false">N(M525)+N(N525)</f>
        <v>212</v>
      </c>
      <c r="CH525" s="50" t="n">
        <f aca="false">ROUNDUP(H525/BV525,0)</f>
        <v>1</v>
      </c>
      <c r="CI525" s="50" t="n">
        <f aca="false">ROUNDUP(CF525/BV525,0)</f>
        <v>0</v>
      </c>
      <c r="CJ525" s="53" t="n">
        <f aca="false">IF(BW525=1,0,IFERROR(VLOOKUP(BU525,'Gebinde-Kategorie'!$A$5:$N$45,5,0)+0,0))</f>
        <v>11</v>
      </c>
      <c r="CK525" s="53" t="n">
        <f aca="false">IFERROR(IF(OR(CB525=1,CB525=2,CB525=3),N(INDEX(Parameter!$I$5:$I$7,CB525)),0),0)</f>
        <v>0</v>
      </c>
      <c r="CL525" s="52" t="n">
        <f aca="false">IF(AND(Parameter!$B$21="Ja",ISNUMBER(W525),N(X525)&gt;0),IFERROR(N(INDEX(Parameter!$L$5:$L$7,W525))*INDEX(Parameter!$E$5:$E$7,W525)*X525/SUMIFS($X$7:$X$1843,$W$7:$W$1843,W525),0),0)</f>
        <v>0</v>
      </c>
    </row>
    <row r="526" customFormat="false" ht="15" hidden="false" customHeight="false" outlineLevel="0" collapsed="false">
      <c r="A526" s="48" t="s">
        <v>1142</v>
      </c>
      <c r="B526" s="48" t="s">
        <v>953</v>
      </c>
      <c r="C526" s="48" t="s">
        <v>168</v>
      </c>
      <c r="D526" s="48" t="s">
        <v>188</v>
      </c>
      <c r="E526" s="48" t="s">
        <v>189</v>
      </c>
      <c r="F526" s="48" t="s">
        <v>222</v>
      </c>
      <c r="G526" s="49" t="n">
        <v>0.14</v>
      </c>
      <c r="H526" s="50" t="n">
        <f aca="false">MAX(0,IF(AND(Parameter!$B$21="Ja",ISNUMBER(Y526)),Y526,IF(Parameter!$B$20="Jahresanfang 2025 + Export",BO526+BN526,BN526)))</f>
        <v>435</v>
      </c>
      <c r="I526" s="50" t="n">
        <f aca="false">H526*G526</f>
        <v>60.9</v>
      </c>
      <c r="J526" s="50" t="n">
        <f aca="false">BQ526*Parameter!$B$18</f>
        <v>392</v>
      </c>
      <c r="K526" s="51" t="n">
        <v>237</v>
      </c>
      <c r="L526" s="52" t="n">
        <v>1.65400843881857</v>
      </c>
      <c r="M526" s="50" t="n">
        <v>22</v>
      </c>
      <c r="N526" s="50" t="n">
        <v>400</v>
      </c>
      <c r="O526" s="53" t="n">
        <v>21</v>
      </c>
      <c r="P526" s="48" t="s">
        <v>306</v>
      </c>
      <c r="Q526" s="50" t="n">
        <v>219</v>
      </c>
      <c r="R526" s="53" t="n">
        <f aca="false">IF(BW526=1,0,IFERROR(VLOOKUP(BU526,'Gebinde-Kategorie'!$A$5:$N$45,13,0)+0,0))</f>
        <v>26</v>
      </c>
      <c r="S526" s="54"/>
      <c r="T526" s="55"/>
      <c r="U526" s="55"/>
      <c r="V526" s="55"/>
      <c r="W526" s="48"/>
      <c r="X526" s="50"/>
      <c r="Y526" s="50"/>
      <c r="Z526" s="48" t="n">
        <f aca="false">IF(A526="","",IF(AND(Parameter!$B$21="Ja",ISNUMBER(W526)),W526,IF(BZ526="2+3",IF(ISNUMBER(SEARCH("grosser Artikel",BR526)),2,IFERROR(VLOOKUP(BU526,Parameter!$F$35:$G$64,2,0),2)),IF(OR(BZ526="Nein",BZ526=""),"-",BZ526))))</f>
        <v>3</v>
      </c>
      <c r="AA526" s="55"/>
      <c r="AB526" s="56"/>
      <c r="AC526" s="50" t="n">
        <f aca="false">AT526</f>
        <v>438</v>
      </c>
      <c r="AD526" s="50" t="n">
        <f aca="false">MAX(AT526,H526)</f>
        <v>438</v>
      </c>
      <c r="AE526" s="57"/>
      <c r="AF526" s="50" t="n">
        <f aca="false">IF(LEFT(Cockpit!$C$5,1)="A",H526,IF(CE526=1,CF526,IF(LEFT(Cockpit!$C$5,1)="B",AK526,MAX(AK526,H526))))</f>
        <v>435</v>
      </c>
      <c r="AG526" s="50" t="n">
        <f aca="false">IF(BW526=1,0,ROUNDUP(AF526/BV526,0))</f>
        <v>2</v>
      </c>
      <c r="AH526" s="52" t="n">
        <f aca="false">IF(CL526&gt;0,CL526*MAX(1,AF526/X526),IF(BW526=1,IF(AF526&lt;=0,0,CA526*MAX(1,IF(H526&gt;0,AF526/H526,1))),IF(R526&gt;0,AG526/R526,0))/MAX(0.1,N(Parameter!$M$21)))</f>
        <v>0.0769230769230769</v>
      </c>
      <c r="AI526" s="50" t="n">
        <f aca="false">AH526*BY526</f>
        <v>11.9230769230769</v>
      </c>
      <c r="AJ526" s="50" t="n">
        <f aca="false">AF526*G526</f>
        <v>60.9</v>
      </c>
      <c r="AK526" s="50" t="n">
        <f aca="false">ROUNDUP(MAX(J526/IF(CD526&gt;0,CD526,MAX(0.1,N(Cockpit!$C$6))),CG526)/BV526,0)*BV526</f>
        <v>438</v>
      </c>
      <c r="AL526" s="51" t="n">
        <f aca="false">IF(AI526&gt;0,J526/AI526,-1)</f>
        <v>32.8774193548387</v>
      </c>
      <c r="AM526" s="51" t="n">
        <f aca="false">IF(AND(OR(CC526="L1",CC526="L23",CC526="LIFT"),AI526&gt;0),SUMIFS($AI$7:$AI$1843,$CC$7:$CC$1843,CC526,$AL$7:$AL$1843,"&gt;"&amp;AL526)+SUMIFS($AI$7:$AI$1843,$CC$7:$CC$1843,CC526,$AL$7:$AL$1843,AL526,$BT$7:$BT$1843,"&lt;="&amp;BT526),"")</f>
        <v>1334.5260989011</v>
      </c>
      <c r="AN526" s="58" t="n">
        <f aca="false">IF(AM526="",0,MAX(0,MIN(1,(IF(CC526="L1",Parameter!$H$5,IF(CC526="L23",Parameter!$H$6+Parameter!$H$7,Parameter!$H$5+Parameter!$H$6+Parameter!$H$7))-(AM526-AI526))/AI526)))</f>
        <v>1</v>
      </c>
      <c r="AO526" s="50" t="n">
        <f aca="false">IF(LEFT(Cockpit!$I$5,1)="A",H526,IF(CE526=1,CF526,IF(LEFT(Cockpit!$I$5,1)="B",AT526,MAX(AT526,H526))))</f>
        <v>438</v>
      </c>
      <c r="AP526" s="50" t="n">
        <f aca="false">IF(BW526=1,0,ROUNDUP(AO526/BV526,0))</f>
        <v>2</v>
      </c>
      <c r="AQ526" s="52" t="n">
        <f aca="false">IF(CL526&gt;0,CL526*MAX(1,AO526/X526),IF(BW526=1,IF(AO526&lt;=0,0,CA526*MAX(1,IF(H526&gt;0,AO526/H526,1))),IF(R526&gt;0,AP526/R526,0))/MAX(0.1,N(Parameter!$M$21)))</f>
        <v>0.0769230769230769</v>
      </c>
      <c r="AR526" s="50" t="n">
        <f aca="false">AQ526*BY526</f>
        <v>11.9230769230769</v>
      </c>
      <c r="AS526" s="50" t="n">
        <f aca="false">AO526*G526</f>
        <v>61.32</v>
      </c>
      <c r="AT526" s="50" t="n">
        <f aca="false">ROUNDUP(MAX(J526/IF(CD526&gt;0,CD526,MAX(0.1,N(Cockpit!$I$6))),CG526)/BV526,0)*BV526</f>
        <v>438</v>
      </c>
      <c r="AU526" s="51" t="n">
        <f aca="false">IF(AR526&gt;0,J526/AR526,-1)</f>
        <v>32.8774193548387</v>
      </c>
      <c r="AV526" s="51" t="n">
        <f aca="false">IF(AND(OR(CC526="L1",CC526="L23",CC526="LIFT"),AR526&gt;0),SUMIFS($AR$7:$AR$1843,$CC$7:$CC$1843,CC526,$AU$7:$AU$1843,"&gt;"&amp;AU526)+SUMIFS($AR$7:$AR$1843,$CC$7:$CC$1843,CC526,$AU$7:$AU$1843,AU526,$BT$7:$BT$1843,"&lt;="&amp;BT526),"")</f>
        <v>1848.60027472527</v>
      </c>
      <c r="AW526" s="58" t="n">
        <f aca="false">IF(AV526="",0,MAX(0,MIN(1,(IF(CC526="L1",Parameter!$H$5,IF(CC526="L23",Parameter!$H$6+Parameter!$H$7,Parameter!$H$5+Parameter!$H$6+Parameter!$H$7))-(AV526-AR526))/AR526)))</f>
        <v>1</v>
      </c>
      <c r="AX526" s="50" t="n">
        <f aca="false">IF(LEFT(Cockpit!$O$5,1)="A",H526,IF(CE526=1,CF526,IF(LEFT(Cockpit!$O$5,1)="B",BC526,MAX(BC526,H526))))</f>
        <v>438</v>
      </c>
      <c r="AY526" s="50" t="n">
        <f aca="false">IF(BW526=1,0,ROUNDUP(AX526/BV526,0))</f>
        <v>2</v>
      </c>
      <c r="AZ526" s="52" t="n">
        <f aca="false">IF(CL526&gt;0,CL526*MAX(1,AX526/X526),IF(BW526=1,IF(AX526&lt;=0,0,CA526*MAX(1,IF(H526&gt;0,AX526/H526,1))),IF(R526&gt;0,AY526/R526,0))/MAX(0.1,N(Parameter!$M$21)))</f>
        <v>0.0769230769230769</v>
      </c>
      <c r="BA526" s="50" t="n">
        <f aca="false">AZ526*BY526</f>
        <v>11.9230769230769</v>
      </c>
      <c r="BB526" s="50" t="n">
        <f aca="false">AX526*G526</f>
        <v>61.32</v>
      </c>
      <c r="BC526" s="50" t="n">
        <f aca="false">ROUNDUP(MAX(J526/IF(CD526&gt;0,CD526,MAX(0.1,N(Cockpit!$O$6))),CG526)/BV526,0)*BV526</f>
        <v>438</v>
      </c>
      <c r="BD526" s="51" t="n">
        <f aca="false">IF(BA526&gt;0,J526/BA526,-1)</f>
        <v>32.8774193548387</v>
      </c>
      <c r="BE526" s="51" t="n">
        <f aca="false">IF(AND(OR(CC526="L1",CC526="L23",CC526="LIFT"),BA526&gt;0),SUMIFS($BA$7:$BA$1843,$CC$7:$CC$1843,CC526,$BD$7:$BD$1843,"&gt;"&amp;BD526)+SUMIFS($BA$7:$BA$1843,$CC$7:$CC$1843,CC526,$BD$7:$BD$1843,BD526,$BT$7:$BT$1843,"&lt;="&amp;BT526),"")</f>
        <v>1756.78937728938</v>
      </c>
      <c r="BF526" s="58" t="n">
        <f aca="false">IF(BE526="",0,MAX(0,MIN(1,(IF(CC526="L1",Parameter!$H$5,IF(CC526="L23",Parameter!$H$6+Parameter!$H$7,Parameter!$H$5+Parameter!$H$6+Parameter!$H$7))-(BE526-BA526))/BA526)))</f>
        <v>1</v>
      </c>
      <c r="BG526" s="48" t="str">
        <f aca="false">IF(AI526&lt;=0,"",IF(CC526="Aussen","Aussenlager",IF(CC526="-","Nicht im Lift",IF(AN526&gt;=1,"Lift",IF(AN526&lt;=0,"Aussenlager","teilweise")))))</f>
        <v>Lift</v>
      </c>
      <c r="BH526" s="48" t="str">
        <f aca="false">IF(AR526&lt;=0,"",IF(CC526="Aussen","Aussenlager",IF(CC526="-","Nicht im Lift",IF(AW526&gt;=1,"Lift",IF(AW526&lt;=0,"Aussenlager","teilweise")))))</f>
        <v>Lift</v>
      </c>
      <c r="BI526" s="48" t="str">
        <f aca="false">IF(BA526&lt;=0,"",IF(CC526="Aussen","Aussenlager",IF(CC526="-","Nicht im Lift",IF(BF526&gt;=1,"Lift",IF(BF526&lt;=0,"Aussenlager","teilweise")))))</f>
        <v>Lift</v>
      </c>
      <c r="BJ526" s="48" t="str">
        <f aca="false">IF(A526="","",IF(BS526=1,"Neu; ","")&amp;IF(AND(BS526=0,BN526&lt;0),"negativer Bestand (Export "&amp;BN526&amp;"); ","")&amp;IF(J526&lt;=0,"Kein Verbrauch; ","")&amp;IF(CL526&gt;0,"Lift "&amp;W526&amp;" lt. Liftbericht (Fach "&amp;X526&amp;" Stk); ",IF(BX526=1,"Gebinde geschätzt ("&amp;T526&amp;"); ",IF(BW526=1,"Lose – Tablare geschätzt; ","")))&amp;IF(H526&gt;AT526,"Überbestand "&amp;ROUND(H526-AT526,0)&amp;" Stk / CHF "&amp;ROUND((H526-AT526)*G526,0)&amp;"; ","")&amp;IF(AND(CE526=1,CF526&lt;CG526),"MAX &lt; MB+LG; ","")&amp;IF(AND(CK526&gt;0,CJ526*10&gt;CK526),"zu hoch für Tablar; ","")&amp;IF(AND(BS526=0,OR(CE526=1,AA526&lt;&gt;"",U526&lt;&gt;"",V526&lt;&gt;"",AB526&lt;&gt;"")),"manuell übersteuert; ","")&amp;IF(AND(BW526=0,R526=0),"Gebinde unbekannt / Stellmass fehlt; ","")&amp;IF(AND(BW526=0,N(V526)&lt;=0,N(Q526)&lt;=0),"Menge pro Gebinde fehlt (Ist = 1 Gebinde); ","")&amp;BR526)</f>
        <v/>
      </c>
      <c r="BK526" s="48"/>
      <c r="BL526" s="48"/>
      <c r="BM526" s="55"/>
      <c r="BN526" s="50" t="n">
        <v>196</v>
      </c>
      <c r="BO526" s="50" t="n">
        <v>239</v>
      </c>
      <c r="BP526" s="49" t="n">
        <v>27.79</v>
      </c>
      <c r="BQ526" s="50" t="n">
        <v>392</v>
      </c>
      <c r="BR526" s="48"/>
      <c r="BS526" s="53" t="n">
        <v>0</v>
      </c>
      <c r="BT526" s="53" t="n">
        <v>526</v>
      </c>
      <c r="BU526" s="48" t="str">
        <f aca="false">IF(U526&lt;&gt;"",UPPER(TRIM(U526)),IF(BX526=1,UPPER(VLOOKUP(T526,Parameter!$I$27:$K$29,2,0)),IF(P526="","LOSE",P526)))</f>
        <v>S51</v>
      </c>
      <c r="BV526" s="50" t="n">
        <f aca="false">IF(BU526="LOSE",1,IF(N(V526)&gt;0,V526,IF(BX526=1,MAX(1,N(VLOOKUP(T526,Parameter!$I$27:$K$29,3,0)),H526,N(N526)),IF(N(Q526)&gt;0,Q526,MAX(1,H526)))))</f>
        <v>219</v>
      </c>
      <c r="BW526" s="53" t="n">
        <f aca="false">IF(BU526="LOSE",1,0)</f>
        <v>0</v>
      </c>
      <c r="BX526" s="53" t="n">
        <f aca="false">IF(AND(U526="",OR(P526="",P526="LOSE"),T526&lt;&gt;"",N(S526)&lt;=0,ISNUMBER(MATCH(T526,Parameter!$I$27:$I$29,0))),1,0)</f>
        <v>0</v>
      </c>
      <c r="BY526" s="53" t="n">
        <f aca="false">IF(CL526&gt;0,INDEX(Parameter!$H$5:$H$7,W526)/INDEX(Parameter!$E$5:$E$7,W526),IF(AND(BW526=0,N(IFERROR(VLOOKUP(BU526,'Gebinde-Kategorie'!$A$5:$N$45,14,0),0))&gt;0),VLOOKUP(BU526,'Gebinde-Kategorie'!$A$5:$N$45,14,0)*10+Parameter!$M$23,Parameter!$M$24))</f>
        <v>155</v>
      </c>
      <c r="BZ526" s="48" t="str">
        <f aca="false">IF(AND(Parameter!$B$19="Ja",E526&lt;&gt;"",ISNUMBER(MATCH(E526,Parameter!$I$35:$I$52,0))),VLOOKUP(E526,Parameter!$I$35:$J$52,2,0),IFERROR(VLOOKUP(D526,Parameter!$A$35:$C$64,2,0),"Nein"))</f>
        <v>2+3</v>
      </c>
      <c r="CA526" s="52" t="n">
        <f aca="false">IF(BW526=0,0,IF(N(S526)&gt;0,S526,IFERROR(VLOOKUP(D526,Parameter!$A$35:$C$64,3,0)+0,0)))</f>
        <v>0</v>
      </c>
      <c r="CB526" s="48" t="n">
        <f aca="false">IF(AA526&lt;&gt;"",AA526,Z526)</f>
        <v>3</v>
      </c>
      <c r="CC526" s="48" t="str">
        <f aca="false">IF(OR(CB526=1,CB526=2,CB526=3),IF(Parameter!$E$27="Ja","LIFT",IF(CB526=1,"L1","L23")),IF(CB526="Aussen","Aussen","-"))</f>
        <v>LIFT</v>
      </c>
      <c r="CD526" s="59" t="n">
        <f aca="false">IF(N(AB526)&gt;0,AB526,0)</f>
        <v>0</v>
      </c>
      <c r="CE526" s="53" t="n">
        <f aca="false">IF(ISNUMBER(AE526),1,0)</f>
        <v>0</v>
      </c>
      <c r="CF526" s="50" t="n">
        <f aca="false">N(AE526)</f>
        <v>0</v>
      </c>
      <c r="CG526" s="50" t="n">
        <f aca="false">N(M526)+N(N526)</f>
        <v>422</v>
      </c>
      <c r="CH526" s="50" t="n">
        <f aca="false">ROUNDUP(H526/BV526,0)</f>
        <v>2</v>
      </c>
      <c r="CI526" s="50" t="n">
        <f aca="false">ROUNDUP(CF526/BV526,0)</f>
        <v>0</v>
      </c>
      <c r="CJ526" s="53" t="n">
        <f aca="false">IF(BW526=1,0,IFERROR(VLOOKUP(BU526,'Gebinde-Kategorie'!$A$5:$N$45,5,0)+0,0))</f>
        <v>11</v>
      </c>
      <c r="CK526" s="53" t="n">
        <f aca="false">IFERROR(IF(OR(CB526=1,CB526=2,CB526=3),N(INDEX(Parameter!$I$5:$I$7,CB526)),0),0)</f>
        <v>0</v>
      </c>
      <c r="CL526" s="52" t="n">
        <f aca="false">IF(AND(Parameter!$B$21="Ja",ISNUMBER(W526),N(X526)&gt;0),IFERROR(N(INDEX(Parameter!$L$5:$L$7,W526))*INDEX(Parameter!$E$5:$E$7,W526)*X526/SUMIFS($X$7:$X$1843,$W$7:$W$1843,W526),0),0)</f>
        <v>0</v>
      </c>
    </row>
    <row r="527" customFormat="false" ht="15" hidden="false" customHeight="false" outlineLevel="0" collapsed="false">
      <c r="A527" s="48" t="s">
        <v>1143</v>
      </c>
      <c r="B527" s="48" t="s">
        <v>409</v>
      </c>
      <c r="C527" s="48" t="s">
        <v>168</v>
      </c>
      <c r="D527" s="48" t="s">
        <v>188</v>
      </c>
      <c r="E527" s="48" t="s">
        <v>189</v>
      </c>
      <c r="F527" s="48" t="s">
        <v>222</v>
      </c>
      <c r="G527" s="49" t="n">
        <v>0.03</v>
      </c>
      <c r="H527" s="50" t="n">
        <f aca="false">MAX(0,IF(AND(Parameter!$B$21="Ja",ISNUMBER(Y527)),Y527,IF(Parameter!$B$20="Jahresanfang 2025 + Export",BO527+BN527,BN527)))</f>
        <v>2086</v>
      </c>
      <c r="I527" s="50" t="n">
        <f aca="false">H527*G527</f>
        <v>62.58</v>
      </c>
      <c r="J527" s="50" t="n">
        <f aca="false">BQ527*Parameter!$B$18</f>
        <v>2860</v>
      </c>
      <c r="K527" s="51" t="n">
        <v>1130</v>
      </c>
      <c r="L527" s="52" t="n">
        <v>2.53097345132743</v>
      </c>
      <c r="M527" s="50" t="n">
        <v>166</v>
      </c>
      <c r="N527" s="50" t="n">
        <v>1500</v>
      </c>
      <c r="O527" s="53" t="n">
        <v>21</v>
      </c>
      <c r="P527" s="48" t="s">
        <v>480</v>
      </c>
      <c r="Q527" s="50" t="n">
        <v>920</v>
      </c>
      <c r="R527" s="53" t="n">
        <f aca="false">IF(BW527=1,0,IFERROR(VLOOKUP(BU527,'Gebinde-Kategorie'!$A$5:$N$45,13,0)+0,0))</f>
        <v>52</v>
      </c>
      <c r="S527" s="54"/>
      <c r="T527" s="55"/>
      <c r="U527" s="55"/>
      <c r="V527" s="55"/>
      <c r="W527" s="48"/>
      <c r="X527" s="50"/>
      <c r="Y527" s="50"/>
      <c r="Z527" s="48" t="n">
        <f aca="false">IF(A527="","",IF(AND(Parameter!$B$21="Ja",ISNUMBER(W527)),W527,IF(BZ527="2+3",IF(ISNUMBER(SEARCH("grosser Artikel",BR527)),2,IFERROR(VLOOKUP(BU527,Parameter!$F$35:$G$64,2,0),2)),IF(OR(BZ527="Nein",BZ527=""),"-",BZ527))))</f>
        <v>3</v>
      </c>
      <c r="AA527" s="55"/>
      <c r="AB527" s="56"/>
      <c r="AC527" s="50" t="n">
        <f aca="false">AT527</f>
        <v>1840</v>
      </c>
      <c r="AD527" s="50" t="n">
        <f aca="false">MAX(AT527,H527)</f>
        <v>2086</v>
      </c>
      <c r="AE527" s="57"/>
      <c r="AF527" s="50" t="n">
        <f aca="false">IF(LEFT(Cockpit!$C$5,1)="A",H527,IF(CE527=1,CF527,IF(LEFT(Cockpit!$C$5,1)="B",AK527,MAX(AK527,H527))))</f>
        <v>2086</v>
      </c>
      <c r="AG527" s="50" t="n">
        <f aca="false">IF(BW527=1,0,ROUNDUP(AF527/BV527,0))</f>
        <v>3</v>
      </c>
      <c r="AH527" s="52" t="n">
        <f aca="false">IF(CL527&gt;0,CL527*MAX(1,AF527/X527),IF(BW527=1,IF(AF527&lt;=0,0,CA527*MAX(1,IF(H527&gt;0,AF527/H527,1))),IF(R527&gt;0,AG527/R527,0))/MAX(0.1,N(Parameter!$M$21)))</f>
        <v>0.0576923076923077</v>
      </c>
      <c r="AI527" s="50" t="n">
        <f aca="false">AH527*BY527</f>
        <v>8.94230769230769</v>
      </c>
      <c r="AJ527" s="50" t="n">
        <f aca="false">AF527*G527</f>
        <v>62.58</v>
      </c>
      <c r="AK527" s="50" t="n">
        <f aca="false">ROUNDUP(MAX(J527/IF(CD527&gt;0,CD527,MAX(0.1,N(Cockpit!$C$6))),CG527)/BV527,0)*BV527</f>
        <v>1840</v>
      </c>
      <c r="AL527" s="51" t="n">
        <f aca="false">IF(AI527&gt;0,J527/AI527,-1)</f>
        <v>319.827956989247</v>
      </c>
      <c r="AM527" s="51" t="n">
        <f aca="false">IF(AND(OR(CC527="L1",CC527="L23",CC527="LIFT"),AI527&gt;0),SUMIFS($AI$7:$AI$1843,$CC$7:$CC$1843,CC527,$AL$7:$AL$1843,"&gt;"&amp;AL527)+SUMIFS($AI$7:$AI$1843,$CC$7:$CC$1843,CC527,$AL$7:$AL$1843,AL527,$BT$7:$BT$1843,"&lt;="&amp;BT527),"")</f>
        <v>240.228021978022</v>
      </c>
      <c r="AN527" s="58" t="n">
        <f aca="false">IF(AM527="",0,MAX(0,MIN(1,(IF(CC527="L1",Parameter!$H$5,IF(CC527="L23",Parameter!$H$6+Parameter!$H$7,Parameter!$H$5+Parameter!$H$6+Parameter!$H$7))-(AM527-AI527))/AI527)))</f>
        <v>1</v>
      </c>
      <c r="AO527" s="50" t="n">
        <f aca="false">IF(LEFT(Cockpit!$I$5,1)="A",H527,IF(CE527=1,CF527,IF(LEFT(Cockpit!$I$5,1)="B",AT527,MAX(AT527,H527))))</f>
        <v>2086</v>
      </c>
      <c r="AP527" s="50" t="n">
        <f aca="false">IF(BW527=1,0,ROUNDUP(AO527/BV527,0))</f>
        <v>3</v>
      </c>
      <c r="AQ527" s="52" t="n">
        <f aca="false">IF(CL527&gt;0,CL527*MAX(1,AO527/X527),IF(BW527=1,IF(AO527&lt;=0,0,CA527*MAX(1,IF(H527&gt;0,AO527/H527,1))),IF(R527&gt;0,AP527/R527,0))/MAX(0.1,N(Parameter!$M$21)))</f>
        <v>0.0576923076923077</v>
      </c>
      <c r="AR527" s="50" t="n">
        <f aca="false">AQ527*BY527</f>
        <v>8.94230769230769</v>
      </c>
      <c r="AS527" s="50" t="n">
        <f aca="false">AO527*G527</f>
        <v>62.58</v>
      </c>
      <c r="AT527" s="50" t="n">
        <f aca="false">ROUNDUP(MAX(J527/IF(CD527&gt;0,CD527,MAX(0.1,N(Cockpit!$I$6))),CG527)/BV527,0)*BV527</f>
        <v>1840</v>
      </c>
      <c r="AU527" s="51" t="n">
        <f aca="false">IF(AR527&gt;0,J527/AR527,-1)</f>
        <v>319.827956989247</v>
      </c>
      <c r="AV527" s="51" t="n">
        <f aca="false">IF(AND(OR(CC527="L1",CC527="L23",CC527="LIFT"),AR527&gt;0),SUMIFS($AR$7:$AR$1843,$CC$7:$CC$1843,CC527,$AU$7:$AU$1843,"&gt;"&amp;AU527)+SUMIFS($AR$7:$AR$1843,$CC$7:$CC$1843,CC527,$AU$7:$AU$1843,AU527,$BT$7:$BT$1843,"&lt;="&amp;BT527),"")</f>
        <v>166.821886446886</v>
      </c>
      <c r="AW527" s="58" t="n">
        <f aca="false">IF(AV527="",0,MAX(0,MIN(1,(IF(CC527="L1",Parameter!$H$5,IF(CC527="L23",Parameter!$H$6+Parameter!$H$7,Parameter!$H$5+Parameter!$H$6+Parameter!$H$7))-(AV527-AR527))/AR527)))</f>
        <v>1</v>
      </c>
      <c r="AX527" s="50" t="n">
        <f aca="false">IF(LEFT(Cockpit!$O$5,1)="A",H527,IF(CE527=1,CF527,IF(LEFT(Cockpit!$O$5,1)="B",BC527,MAX(BC527,H527))))</f>
        <v>2086</v>
      </c>
      <c r="AY527" s="50" t="n">
        <f aca="false">IF(BW527=1,0,ROUNDUP(AX527/BV527,0))</f>
        <v>3</v>
      </c>
      <c r="AZ527" s="52" t="n">
        <f aca="false">IF(CL527&gt;0,CL527*MAX(1,AX527/X527),IF(BW527=1,IF(AX527&lt;=0,0,CA527*MAX(1,IF(H527&gt;0,AX527/H527,1))),IF(R527&gt;0,AY527/R527,0))/MAX(0.1,N(Parameter!$M$21)))</f>
        <v>0.0576923076923077</v>
      </c>
      <c r="BA527" s="50" t="n">
        <f aca="false">AZ527*BY527</f>
        <v>8.94230769230769</v>
      </c>
      <c r="BB527" s="50" t="n">
        <f aca="false">AX527*G527</f>
        <v>62.58</v>
      </c>
      <c r="BC527" s="50" t="n">
        <f aca="false">ROUNDUP(MAX(J527/IF(CD527&gt;0,CD527,MAX(0.1,N(Cockpit!$O$6))),CG527)/BV527,0)*BV527</f>
        <v>1840</v>
      </c>
      <c r="BD527" s="51" t="n">
        <f aca="false">IF(BA527&gt;0,J527/BA527,-1)</f>
        <v>319.827956989247</v>
      </c>
      <c r="BE527" s="51" t="n">
        <f aca="false">IF(AND(OR(CC527="L1",CC527="L23",CC527="LIFT"),BA527&gt;0),SUMIFS($BA$7:$BA$1843,$CC$7:$CC$1843,CC527,$BD$7:$BD$1843,"&gt;"&amp;BD527)+SUMIFS($BA$7:$BA$1843,$CC$7:$CC$1843,CC527,$BD$7:$BD$1843,BD527,$BT$7:$BT$1843,"&lt;="&amp;BT527),"")</f>
        <v>179.706501831502</v>
      </c>
      <c r="BF527" s="58" t="n">
        <f aca="false">IF(BE527="",0,MAX(0,MIN(1,(IF(CC527="L1",Parameter!$H$5,IF(CC527="L23",Parameter!$H$6+Parameter!$H$7,Parameter!$H$5+Parameter!$H$6+Parameter!$H$7))-(BE527-BA527))/BA527)))</f>
        <v>1</v>
      </c>
      <c r="BG527" s="48" t="str">
        <f aca="false">IF(AI527&lt;=0,"",IF(CC527="Aussen","Aussenlager",IF(CC527="-","Nicht im Lift",IF(AN527&gt;=1,"Lift",IF(AN527&lt;=0,"Aussenlager","teilweise")))))</f>
        <v>Lift</v>
      </c>
      <c r="BH527" s="48" t="str">
        <f aca="false">IF(AR527&lt;=0,"",IF(CC527="Aussen","Aussenlager",IF(CC527="-","Nicht im Lift",IF(AW527&gt;=1,"Lift",IF(AW527&lt;=0,"Aussenlager","teilweise")))))</f>
        <v>Lift</v>
      </c>
      <c r="BI527" s="48" t="str">
        <f aca="false">IF(BA527&lt;=0,"",IF(CC527="Aussen","Aussenlager",IF(CC527="-","Nicht im Lift",IF(BF527&gt;=1,"Lift",IF(BF527&lt;=0,"Aussenlager","teilweise")))))</f>
        <v>Lift</v>
      </c>
      <c r="BJ527" s="48" t="str">
        <f aca="false">IF(A527="","",IF(BS527=1,"Neu; ","")&amp;IF(AND(BS527=0,BN527&lt;0),"negativer Bestand (Export "&amp;BN527&amp;"); ","")&amp;IF(J527&lt;=0,"Kein Verbrauch; ","")&amp;IF(CL527&gt;0,"Lift "&amp;W527&amp;" lt. Liftbericht (Fach "&amp;X527&amp;" Stk); ",IF(BX527=1,"Gebinde geschätzt ("&amp;T527&amp;"); ",IF(BW527=1,"Lose – Tablare geschätzt; ","")))&amp;IF(H527&gt;AT527,"Überbestand "&amp;ROUND(H527-AT527,0)&amp;" Stk / CHF "&amp;ROUND((H527-AT527)*G527,0)&amp;"; ","")&amp;IF(AND(CE527=1,CF527&lt;CG527),"MAX &lt; MB+LG; ","")&amp;IF(AND(CK527&gt;0,CJ527*10&gt;CK527),"zu hoch für Tablar; ","")&amp;IF(AND(BS527=0,OR(CE527=1,AA527&lt;&gt;"",U527&lt;&gt;"",V527&lt;&gt;"",AB527&lt;&gt;"")),"manuell übersteuert; ","")&amp;IF(AND(BW527=0,R527=0),"Gebinde unbekannt / Stellmass fehlt; ","")&amp;IF(AND(BW527=0,N(V527)&lt;=0,N(Q527)&lt;=0),"Menge pro Gebinde fehlt (Ist = 1 Gebinde); ","")&amp;BR527)</f>
        <v>Überbestand 246 Stk / CHF 7; </v>
      </c>
      <c r="BK527" s="48"/>
      <c r="BL527" s="48"/>
      <c r="BM527" s="55"/>
      <c r="BN527" s="50" t="n">
        <v>920</v>
      </c>
      <c r="BO527" s="50" t="n">
        <v>1166</v>
      </c>
      <c r="BP527" s="49" t="n">
        <v>27.6</v>
      </c>
      <c r="BQ527" s="50" t="n">
        <v>2860</v>
      </c>
      <c r="BR527" s="48"/>
      <c r="BS527" s="53" t="n">
        <v>0</v>
      </c>
      <c r="BT527" s="53" t="n">
        <v>527</v>
      </c>
      <c r="BU527" s="48" t="str">
        <f aca="false">IF(U527&lt;&gt;"",UPPER(TRIM(U527)),IF(BX527=1,UPPER(VLOOKUP(T527,Parameter!$I$27:$K$29,2,0)),IF(P527="","LOSE",P527)))</f>
        <v>S33</v>
      </c>
      <c r="BV527" s="50" t="n">
        <f aca="false">IF(BU527="LOSE",1,IF(N(V527)&gt;0,V527,IF(BX527=1,MAX(1,N(VLOOKUP(T527,Parameter!$I$27:$K$29,3,0)),H527,N(N527)),IF(N(Q527)&gt;0,Q527,MAX(1,H527)))))</f>
        <v>920</v>
      </c>
      <c r="BW527" s="53" t="n">
        <f aca="false">IF(BU527="LOSE",1,0)</f>
        <v>0</v>
      </c>
      <c r="BX527" s="53" t="n">
        <f aca="false">IF(AND(U527="",OR(P527="",P527="LOSE"),T527&lt;&gt;"",N(S527)&lt;=0,ISNUMBER(MATCH(T527,Parameter!$I$27:$I$29,0))),1,0)</f>
        <v>0</v>
      </c>
      <c r="BY527" s="53" t="n">
        <f aca="false">IF(CL527&gt;0,INDEX(Parameter!$H$5:$H$7,W527)/INDEX(Parameter!$E$5:$E$7,W527),IF(AND(BW527=0,N(IFERROR(VLOOKUP(BU527,'Gebinde-Kategorie'!$A$5:$N$45,14,0),0))&gt;0),VLOOKUP(BU527,'Gebinde-Kategorie'!$A$5:$N$45,14,0)*10+Parameter!$M$23,Parameter!$M$24))</f>
        <v>155</v>
      </c>
      <c r="BZ527" s="48" t="str">
        <f aca="false">IF(AND(Parameter!$B$19="Ja",E527&lt;&gt;"",ISNUMBER(MATCH(E527,Parameter!$I$35:$I$52,0))),VLOOKUP(E527,Parameter!$I$35:$J$52,2,0),IFERROR(VLOOKUP(D527,Parameter!$A$35:$C$64,2,0),"Nein"))</f>
        <v>2+3</v>
      </c>
      <c r="CA527" s="52" t="n">
        <f aca="false">IF(BW527=0,0,IF(N(S527)&gt;0,S527,IFERROR(VLOOKUP(D527,Parameter!$A$35:$C$64,3,0)+0,0)))</f>
        <v>0</v>
      </c>
      <c r="CB527" s="48" t="n">
        <f aca="false">IF(AA527&lt;&gt;"",AA527,Z527)</f>
        <v>3</v>
      </c>
      <c r="CC527" s="48" t="str">
        <f aca="false">IF(OR(CB527=1,CB527=2,CB527=3),IF(Parameter!$E$27="Ja","LIFT",IF(CB527=1,"L1","L23")),IF(CB527="Aussen","Aussen","-"))</f>
        <v>LIFT</v>
      </c>
      <c r="CD527" s="59" t="n">
        <f aca="false">IF(N(AB527)&gt;0,AB527,0)</f>
        <v>0</v>
      </c>
      <c r="CE527" s="53" t="n">
        <f aca="false">IF(ISNUMBER(AE527),1,0)</f>
        <v>0</v>
      </c>
      <c r="CF527" s="50" t="n">
        <f aca="false">N(AE527)</f>
        <v>0</v>
      </c>
      <c r="CG527" s="50" t="n">
        <f aca="false">N(M527)+N(N527)</f>
        <v>1666</v>
      </c>
      <c r="CH527" s="50" t="n">
        <f aca="false">ROUNDUP(H527/BV527,0)</f>
        <v>3</v>
      </c>
      <c r="CI527" s="50" t="n">
        <f aca="false">ROUNDUP(CF527/BV527,0)</f>
        <v>0</v>
      </c>
      <c r="CJ527" s="53" t="n">
        <f aca="false">IF(BW527=1,0,IFERROR(VLOOKUP(BU527,'Gebinde-Kategorie'!$A$5:$N$45,5,0)+0,0))</f>
        <v>8</v>
      </c>
      <c r="CK527" s="53" t="n">
        <f aca="false">IFERROR(IF(OR(CB527=1,CB527=2,CB527=3),N(INDEX(Parameter!$I$5:$I$7,CB527)),0),0)</f>
        <v>0</v>
      </c>
      <c r="CL527" s="52" t="n">
        <f aca="false">IF(AND(Parameter!$B$21="Ja",ISNUMBER(W527),N(X527)&gt;0),IFERROR(N(INDEX(Parameter!$L$5:$L$7,W527))*INDEX(Parameter!$E$5:$E$7,W527)*X527/SUMIFS($X$7:$X$1843,$W$7:$W$1843,W527),0),0)</f>
        <v>0</v>
      </c>
    </row>
    <row r="528" customFormat="false" ht="15" hidden="false" customHeight="false" outlineLevel="0" collapsed="false">
      <c r="A528" s="48" t="s">
        <v>1144</v>
      </c>
      <c r="B528" s="48" t="s">
        <v>1145</v>
      </c>
      <c r="C528" s="48" t="s">
        <v>168</v>
      </c>
      <c r="D528" s="48" t="s">
        <v>177</v>
      </c>
      <c r="E528" s="48"/>
      <c r="F528" s="48" t="s">
        <v>222</v>
      </c>
      <c r="G528" s="49" t="n">
        <v>1.36</v>
      </c>
      <c r="H528" s="50" t="n">
        <f aca="false">MAX(0,IF(AND(Parameter!$B$21="Ja",ISNUMBER(Y528)),Y528,IF(Parameter!$B$20="Jahresanfang 2025 + Export",BO528+BN528,BN528)))</f>
        <v>20</v>
      </c>
      <c r="I528" s="50" t="n">
        <f aca="false">H528*G528</f>
        <v>27.2</v>
      </c>
      <c r="J528" s="50" t="n">
        <f aca="false">BQ528*Parameter!$B$18</f>
        <v>0</v>
      </c>
      <c r="K528" s="51" t="n">
        <v>0</v>
      </c>
      <c r="L528" s="52" t="n">
        <v>0</v>
      </c>
      <c r="M528" s="50" t="n">
        <v>0</v>
      </c>
      <c r="N528" s="50" t="n">
        <v>20</v>
      </c>
      <c r="O528" s="53" t="n">
        <v>28</v>
      </c>
      <c r="P528" s="48" t="s">
        <v>172</v>
      </c>
      <c r="Q528" s="50"/>
      <c r="R528" s="53" t="n">
        <f aca="false">IF(BW528=1,0,IFERROR(VLOOKUP(BU528,'Gebinde-Kategorie'!$A$5:$N$45,13,0)+0,0))</f>
        <v>12</v>
      </c>
      <c r="S528" s="54"/>
      <c r="T528" s="55" t="s">
        <v>183</v>
      </c>
      <c r="U528" s="55"/>
      <c r="V528" s="55"/>
      <c r="W528" s="48"/>
      <c r="X528" s="50"/>
      <c r="Y528" s="50"/>
      <c r="Z528" s="48" t="n">
        <f aca="false">IF(A528="","",IF(AND(Parameter!$B$21="Ja",ISNUMBER(W528)),W528,IF(BZ528="2+3",IF(ISNUMBER(SEARCH("grosser Artikel",BR528)),2,IFERROR(VLOOKUP(BU528,Parameter!$F$35:$G$64,2,0),2)),IF(OR(BZ528="Nein",BZ528=""),"-",BZ528))))</f>
        <v>2</v>
      </c>
      <c r="AA528" s="55"/>
      <c r="AB528" s="56"/>
      <c r="AC528" s="50" t="n">
        <f aca="false">AT528</f>
        <v>20</v>
      </c>
      <c r="AD528" s="50" t="n">
        <f aca="false">MAX(AT528,H528)</f>
        <v>20</v>
      </c>
      <c r="AE528" s="57"/>
      <c r="AF528" s="50" t="n">
        <f aca="false">IF(LEFT(Cockpit!$C$5,1)="A",H528,IF(CE528=1,CF528,IF(LEFT(Cockpit!$C$5,1)="B",AK528,MAX(AK528,H528))))</f>
        <v>20</v>
      </c>
      <c r="AG528" s="50" t="n">
        <f aca="false">IF(BW528=1,0,ROUNDUP(AF528/BV528,0))</f>
        <v>1</v>
      </c>
      <c r="AH528" s="52" t="n">
        <f aca="false">IF(CL528&gt;0,CL528*MAX(1,AF528/X528),IF(BW528=1,IF(AF528&lt;=0,0,CA528*MAX(1,IF(H528&gt;0,AF528/H528,1))),IF(R528&gt;0,AG528/R528,0))/MAX(0.1,N(Parameter!$M$21)))</f>
        <v>0.0833333333333333</v>
      </c>
      <c r="AI528" s="50" t="n">
        <f aca="false">AH528*BY528</f>
        <v>12.0833333333333</v>
      </c>
      <c r="AJ528" s="50" t="n">
        <f aca="false">AF528*G528</f>
        <v>27.2</v>
      </c>
      <c r="AK528" s="50" t="n">
        <f aca="false">ROUNDUP(MAX(J528/IF(CD528&gt;0,CD528,MAX(0.1,N(Cockpit!$C$6))),CG528)/BV528,0)*BV528</f>
        <v>20</v>
      </c>
      <c r="AL528" s="51" t="n">
        <f aca="false">IF(AI528&gt;0,J528/AI528,-1)</f>
        <v>0</v>
      </c>
      <c r="AM528" s="51" t="n">
        <f aca="false">IF(AND(OR(CC528="L1",CC528="L23",CC528="LIFT"),AI528&gt;0),SUMIFS($AI$7:$AI$1843,$CC$7:$CC$1843,CC528,$AL$7:$AL$1843,"&gt;"&amp;AL528)+SUMIFS($AI$7:$AI$1843,$CC$7:$CC$1843,CC528,$AL$7:$AL$1843,AL528,$BT$7:$BT$1843,"&lt;="&amp;BT528),"")</f>
        <v>28316.297787194</v>
      </c>
      <c r="AN528" s="58" t="n">
        <f aca="false">IF(AM528="",0,MAX(0,MIN(1,(IF(CC528="L1",Parameter!$H$5,IF(CC528="L23",Parameter!$H$6+Parameter!$H$7,Parameter!$H$5+Parameter!$H$6+Parameter!$H$7))-(AM528-AI528))/AI528)))</f>
        <v>1</v>
      </c>
      <c r="AO528" s="50" t="n">
        <f aca="false">IF(LEFT(Cockpit!$I$5,1)="A",H528,IF(CE528=1,CF528,IF(LEFT(Cockpit!$I$5,1)="B",AT528,MAX(AT528,H528))))</f>
        <v>20</v>
      </c>
      <c r="AP528" s="50" t="n">
        <f aca="false">IF(BW528=1,0,ROUNDUP(AO528/BV528,0))</f>
        <v>1</v>
      </c>
      <c r="AQ528" s="52" t="n">
        <f aca="false">IF(CL528&gt;0,CL528*MAX(1,AO528/X528),IF(BW528=1,IF(AO528&lt;=0,0,CA528*MAX(1,IF(H528&gt;0,AO528/H528,1))),IF(R528&gt;0,AP528/R528,0))/MAX(0.1,N(Parameter!$M$21)))</f>
        <v>0.0833333333333333</v>
      </c>
      <c r="AR528" s="50" t="n">
        <f aca="false">AQ528*BY528</f>
        <v>12.0833333333333</v>
      </c>
      <c r="AS528" s="50" t="n">
        <f aca="false">AO528*G528</f>
        <v>27.2</v>
      </c>
      <c r="AT528" s="50" t="n">
        <f aca="false">ROUNDUP(MAX(J528/IF(CD528&gt;0,CD528,MAX(0.1,N(Cockpit!$I$6))),CG528)/BV528,0)*BV528</f>
        <v>20</v>
      </c>
      <c r="AU528" s="51" t="n">
        <f aca="false">IF(AR528&gt;0,J528/AR528,-1)</f>
        <v>0</v>
      </c>
      <c r="AV528" s="51" t="n">
        <f aca="false">IF(AND(OR(CC528="L1",CC528="L23",CC528="LIFT"),AR528&gt;0),SUMIFS($AR$7:$AR$1843,$CC$7:$CC$1843,CC528,$AU$7:$AU$1843,"&gt;"&amp;AU528)+SUMIFS($AR$7:$AR$1843,$CC$7:$CC$1843,CC528,$AU$7:$AU$1843,AU528,$BT$7:$BT$1843,"&lt;="&amp;BT528),"")</f>
        <v>39629.2033044639</v>
      </c>
      <c r="AW528" s="58" t="n">
        <f aca="false">IF(AV528="",0,MAX(0,MIN(1,(IF(CC528="L1",Parameter!$H$5,IF(CC528="L23",Parameter!$H$6+Parameter!$H$7,Parameter!$H$5+Parameter!$H$6+Parameter!$H$7))-(AV528-AR528))/AR528)))</f>
        <v>0</v>
      </c>
      <c r="AX528" s="50" t="n">
        <f aca="false">IF(LEFT(Cockpit!$O$5,1)="A",H528,IF(CE528=1,CF528,IF(LEFT(Cockpit!$O$5,1)="B",BC528,MAX(BC528,H528))))</f>
        <v>20</v>
      </c>
      <c r="AY528" s="50" t="n">
        <f aca="false">IF(BW528=1,0,ROUNDUP(AX528/BV528,0))</f>
        <v>1</v>
      </c>
      <c r="AZ528" s="52" t="n">
        <f aca="false">IF(CL528&gt;0,CL528*MAX(1,AX528/X528),IF(BW528=1,IF(AX528&lt;=0,0,CA528*MAX(1,IF(H528&gt;0,AX528/H528,1))),IF(R528&gt;0,AY528/R528,0))/MAX(0.1,N(Parameter!$M$21)))</f>
        <v>0.0833333333333333</v>
      </c>
      <c r="BA528" s="50" t="n">
        <f aca="false">AZ528*BY528</f>
        <v>12.0833333333333</v>
      </c>
      <c r="BB528" s="50" t="n">
        <f aca="false">AX528*G528</f>
        <v>27.2</v>
      </c>
      <c r="BC528" s="50" t="n">
        <f aca="false">ROUNDUP(MAX(J528/IF(CD528&gt;0,CD528,MAX(0.1,N(Cockpit!$O$6))),CG528)/BV528,0)*BV528</f>
        <v>20</v>
      </c>
      <c r="BD528" s="51" t="n">
        <f aca="false">IF(BA528&gt;0,J528/BA528,-1)</f>
        <v>0</v>
      </c>
      <c r="BE528" s="51" t="n">
        <f aca="false">IF(AND(OR(CC528="L1",CC528="L23",CC528="LIFT"),BA528&gt;0),SUMIFS($BA$7:$BA$1843,$CC$7:$CC$1843,CC528,$BD$7:$BD$1843,"&gt;"&amp;BD528)+SUMIFS($BA$7:$BA$1843,$CC$7:$CC$1843,CC528,$BD$7:$BD$1843,BD528,$BT$7:$BT$1843,"&lt;="&amp;BT528),"")</f>
        <v>36304.2153463298</v>
      </c>
      <c r="BF528" s="58" t="n">
        <f aca="false">IF(BE528="",0,MAX(0,MIN(1,(IF(CC528="L1",Parameter!$H$5,IF(CC528="L23",Parameter!$H$6+Parameter!$H$7,Parameter!$H$5+Parameter!$H$6+Parameter!$H$7))-(BE528-BA528))/BA528)))</f>
        <v>0</v>
      </c>
      <c r="BG528" s="48" t="str">
        <f aca="false">IF(AI528&lt;=0,"",IF(CC528="Aussen","Aussenlager",IF(CC528="-","Nicht im Lift",IF(AN528&gt;=1,"Lift",IF(AN528&lt;=0,"Aussenlager","teilweise")))))</f>
        <v>Lift</v>
      </c>
      <c r="BH528" s="48" t="str">
        <f aca="false">IF(AR528&lt;=0,"",IF(CC528="Aussen","Aussenlager",IF(CC528="-","Nicht im Lift",IF(AW528&gt;=1,"Lift",IF(AW528&lt;=0,"Aussenlager","teilweise")))))</f>
        <v>Aussenlager</v>
      </c>
      <c r="BI528" s="48" t="str">
        <f aca="false">IF(BA528&lt;=0,"",IF(CC528="Aussen","Aussenlager",IF(CC528="-","Nicht im Lift",IF(BF528&gt;=1,"Lift",IF(BF528&lt;=0,"Aussenlager","teilweise")))))</f>
        <v>Aussenlager</v>
      </c>
      <c r="BJ528" s="48" t="str">
        <f aca="false">IF(A528="","",IF(BS528=1,"Neu; ","")&amp;IF(AND(BS528=0,BN528&lt;0),"negativer Bestand (Export "&amp;BN528&amp;"); ","")&amp;IF(J528&lt;=0,"Kein Verbrauch; ","")&amp;IF(CL528&gt;0,"Lift "&amp;W528&amp;" lt. Liftbericht (Fach "&amp;X528&amp;" Stk); ",IF(BX528=1,"Gebinde geschätzt ("&amp;T528&amp;"); ",IF(BW528=1,"Lose – Tablare geschätzt; ","")))&amp;IF(H528&gt;AT528,"Überbestand "&amp;ROUND(H528-AT528,0)&amp;" Stk / CHF "&amp;ROUND((H528-AT528)*G528,0)&amp;"; ","")&amp;IF(AND(CE528=1,CF528&lt;CG528),"MAX &lt; MB+LG; ","")&amp;IF(AND(CK528&gt;0,CJ528*10&gt;CK528),"zu hoch für Tablar; ","")&amp;IF(AND(BS528=0,OR(CE528=1,AA528&lt;&gt;"",U528&lt;&gt;"",V528&lt;&gt;"",AB528&lt;&gt;"")),"manuell übersteuert; ","")&amp;IF(AND(BW528=0,R528=0),"Gebinde unbekannt / Stellmass fehlt; ","")&amp;IF(AND(BW528=0,N(V528)&lt;=0,N(Q528)&lt;=0),"Menge pro Gebinde fehlt (Ist = 1 Gebinde); ","")&amp;BR528)</f>
        <v>Kein Verbrauch; Gebinde geschätzt (Mittel); Menge pro Gebinde fehlt (Ist = 1 Gebinde); </v>
      </c>
      <c r="BK528" s="48"/>
      <c r="BL528" s="48"/>
      <c r="BM528" s="55"/>
      <c r="BN528" s="50" t="n">
        <v>20</v>
      </c>
      <c r="BO528" s="50" t="n">
        <v>0</v>
      </c>
      <c r="BP528" s="49" t="n">
        <v>27.2</v>
      </c>
      <c r="BQ528" s="50" t="n">
        <v>0</v>
      </c>
      <c r="BR528" s="48"/>
      <c r="BS528" s="53" t="n">
        <v>0</v>
      </c>
      <c r="BT528" s="53" t="n">
        <v>528</v>
      </c>
      <c r="BU528" s="48" t="str">
        <f aca="false">IF(U528&lt;&gt;"",UPPER(TRIM(U528)),IF(BX528=1,UPPER(VLOOKUP(T528,Parameter!$I$27:$K$29,2,0)),IF(P528="","LOSE",P528)))</f>
        <v>S61</v>
      </c>
      <c r="BV528" s="50" t="n">
        <f aca="false">IF(BU528="LOSE",1,IF(N(V528)&gt;0,V528,IF(BX528=1,MAX(1,N(VLOOKUP(T528,Parameter!$I$27:$K$29,3,0)),H528,N(N528)),IF(N(Q528)&gt;0,Q528,MAX(1,H528)))))</f>
        <v>20</v>
      </c>
      <c r="BW528" s="53" t="n">
        <f aca="false">IF(BU528="LOSE",1,0)</f>
        <v>0</v>
      </c>
      <c r="BX528" s="53" t="n">
        <f aca="false">IF(AND(U528="",OR(P528="",P528="LOSE"),T528&lt;&gt;"",N(S528)&lt;=0,ISNUMBER(MATCH(T528,Parameter!$I$27:$I$29,0))),1,0)</f>
        <v>1</v>
      </c>
      <c r="BY528" s="53" t="n">
        <f aca="false">IF(CL528&gt;0,INDEX(Parameter!$H$5:$H$7,W528)/INDEX(Parameter!$E$5:$E$7,W528),IF(AND(BW528=0,N(IFERROR(VLOOKUP(BU528,'Gebinde-Kategorie'!$A$5:$N$45,14,0),0))&gt;0),VLOOKUP(BU528,'Gebinde-Kategorie'!$A$5:$N$45,14,0)*10+Parameter!$M$23,Parameter!$M$24))</f>
        <v>145</v>
      </c>
      <c r="BZ528" s="48" t="str">
        <f aca="false">IF(AND(Parameter!$B$19="Ja",E528&lt;&gt;"",ISNUMBER(MATCH(E528,Parameter!$I$35:$I$52,0))),VLOOKUP(E528,Parameter!$I$35:$J$52,2,0),IFERROR(VLOOKUP(D528,Parameter!$A$35:$C$64,2,0),"Nein"))</f>
        <v>2+3</v>
      </c>
      <c r="CA528" s="52" t="n">
        <f aca="false">IF(BW528=0,0,IF(N(S528)&gt;0,S528,IFERROR(VLOOKUP(D528,Parameter!$A$35:$C$64,3,0)+0,0)))</f>
        <v>0</v>
      </c>
      <c r="CB528" s="48" t="n">
        <f aca="false">IF(AA528&lt;&gt;"",AA528,Z528)</f>
        <v>2</v>
      </c>
      <c r="CC528" s="48" t="str">
        <f aca="false">IF(OR(CB528=1,CB528=2,CB528=3),IF(Parameter!$E$27="Ja","LIFT",IF(CB528=1,"L1","L23")),IF(CB528="Aussen","Aussen","-"))</f>
        <v>LIFT</v>
      </c>
      <c r="CD528" s="59" t="n">
        <f aca="false">IF(N(AB528)&gt;0,AB528,0)</f>
        <v>0</v>
      </c>
      <c r="CE528" s="53" t="n">
        <f aca="false">IF(ISNUMBER(AE528),1,0)</f>
        <v>0</v>
      </c>
      <c r="CF528" s="50" t="n">
        <f aca="false">N(AE528)</f>
        <v>0</v>
      </c>
      <c r="CG528" s="50" t="n">
        <f aca="false">N(M528)+N(N528)</f>
        <v>20</v>
      </c>
      <c r="CH528" s="50" t="n">
        <f aca="false">ROUNDUP(H528/BV528,0)</f>
        <v>1</v>
      </c>
      <c r="CI528" s="50" t="n">
        <f aca="false">ROUNDUP(CF528/BV528,0)</f>
        <v>0</v>
      </c>
      <c r="CJ528" s="53" t="n">
        <f aca="false">IF(BW528=1,0,IFERROR(VLOOKUP(BU528,'Gebinde-Kategorie'!$A$5:$N$45,5,0)+0,0))</f>
        <v>11</v>
      </c>
      <c r="CK528" s="53" t="n">
        <f aca="false">IFERROR(IF(OR(CB528=1,CB528=2,CB528=3),N(INDEX(Parameter!$I$5:$I$7,CB528)),0),0)</f>
        <v>0</v>
      </c>
      <c r="CL528" s="52" t="n">
        <f aca="false">IF(AND(Parameter!$B$21="Ja",ISNUMBER(W528),N(X528)&gt;0),IFERROR(N(INDEX(Parameter!$L$5:$L$7,W528))*INDEX(Parameter!$E$5:$E$7,W528)*X528/SUMIFS($X$7:$X$1843,$W$7:$W$1843,W528),0),0)</f>
        <v>0</v>
      </c>
    </row>
    <row r="529" customFormat="false" ht="15" hidden="false" customHeight="false" outlineLevel="0" collapsed="false">
      <c r="A529" s="48" t="s">
        <v>1146</v>
      </c>
      <c r="B529" s="48" t="s">
        <v>1147</v>
      </c>
      <c r="C529" s="48" t="s">
        <v>168</v>
      </c>
      <c r="D529" s="48" t="s">
        <v>177</v>
      </c>
      <c r="E529" s="48"/>
      <c r="F529" s="48" t="s">
        <v>222</v>
      </c>
      <c r="G529" s="49" t="n">
        <v>25.55</v>
      </c>
      <c r="H529" s="50" t="n">
        <f aca="false">MAX(0,IF(AND(Parameter!$B$21="Ja",ISNUMBER(Y529)),Y529,IF(Parameter!$B$20="Jahresanfang 2025 + Export",BO529+BN529,BN529)))</f>
        <v>1</v>
      </c>
      <c r="I529" s="50" t="n">
        <f aca="false">H529*G529</f>
        <v>25.55</v>
      </c>
      <c r="J529" s="50" t="n">
        <f aca="false">BQ529*Parameter!$B$18</f>
        <v>0</v>
      </c>
      <c r="K529" s="51" t="n">
        <v>0</v>
      </c>
      <c r="L529" s="52" t="n">
        <v>0</v>
      </c>
      <c r="M529" s="50" t="n">
        <v>0</v>
      </c>
      <c r="N529" s="50" t="n">
        <v>1</v>
      </c>
      <c r="O529" s="53" t="n">
        <v>21</v>
      </c>
      <c r="P529" s="48" t="s">
        <v>172</v>
      </c>
      <c r="Q529" s="50"/>
      <c r="R529" s="53" t="n">
        <f aca="false">IF(BW529=1,0,IFERROR(VLOOKUP(BU529,'Gebinde-Kategorie'!$A$5:$N$45,13,0)+0,0))</f>
        <v>12</v>
      </c>
      <c r="S529" s="54"/>
      <c r="T529" s="55" t="s">
        <v>183</v>
      </c>
      <c r="U529" s="55"/>
      <c r="V529" s="55"/>
      <c r="W529" s="48"/>
      <c r="X529" s="50"/>
      <c r="Y529" s="50"/>
      <c r="Z529" s="48" t="n">
        <f aca="false">IF(A529="","",IF(AND(Parameter!$B$21="Ja",ISNUMBER(W529)),W529,IF(BZ529="2+3",IF(ISNUMBER(SEARCH("grosser Artikel",BR529)),2,IFERROR(VLOOKUP(BU529,Parameter!$F$35:$G$64,2,0),2)),IF(OR(BZ529="Nein",BZ529=""),"-",BZ529))))</f>
        <v>2</v>
      </c>
      <c r="AA529" s="55"/>
      <c r="AB529" s="56"/>
      <c r="AC529" s="50" t="n">
        <f aca="false">AT529</f>
        <v>4</v>
      </c>
      <c r="AD529" s="50" t="n">
        <f aca="false">MAX(AT529,H529)</f>
        <v>4</v>
      </c>
      <c r="AE529" s="57"/>
      <c r="AF529" s="50" t="n">
        <f aca="false">IF(LEFT(Cockpit!$C$5,1)="A",H529,IF(CE529=1,CF529,IF(LEFT(Cockpit!$C$5,1)="B",AK529,MAX(AK529,H529))))</f>
        <v>1</v>
      </c>
      <c r="AG529" s="50" t="n">
        <f aca="false">IF(BW529=1,0,ROUNDUP(AF529/BV529,0))</f>
        <v>1</v>
      </c>
      <c r="AH529" s="52" t="n">
        <f aca="false">IF(CL529&gt;0,CL529*MAX(1,AF529/X529),IF(BW529=1,IF(AF529&lt;=0,0,CA529*MAX(1,IF(H529&gt;0,AF529/H529,1))),IF(R529&gt;0,AG529/R529,0))/MAX(0.1,N(Parameter!$M$21)))</f>
        <v>0.0833333333333333</v>
      </c>
      <c r="AI529" s="50" t="n">
        <f aca="false">AH529*BY529</f>
        <v>12.0833333333333</v>
      </c>
      <c r="AJ529" s="50" t="n">
        <f aca="false">AF529*G529</f>
        <v>25.55</v>
      </c>
      <c r="AK529" s="50" t="n">
        <f aca="false">ROUNDUP(MAX(J529/IF(CD529&gt;0,CD529,MAX(0.1,N(Cockpit!$C$6))),CG529)/BV529,0)*BV529</f>
        <v>4</v>
      </c>
      <c r="AL529" s="51" t="n">
        <f aca="false">IF(AI529&gt;0,J529/AI529,-1)</f>
        <v>0</v>
      </c>
      <c r="AM529" s="51" t="n">
        <f aca="false">IF(AND(OR(CC529="L1",CC529="L23",CC529="LIFT"),AI529&gt;0),SUMIFS($AI$7:$AI$1843,$CC$7:$CC$1843,CC529,$AL$7:$AL$1843,"&gt;"&amp;AL529)+SUMIFS($AI$7:$AI$1843,$CC$7:$CC$1843,CC529,$AL$7:$AL$1843,AL529,$BT$7:$BT$1843,"&lt;="&amp;BT529),"")</f>
        <v>28328.3811205273</v>
      </c>
      <c r="AN529" s="58" t="n">
        <f aca="false">IF(AM529="",0,MAX(0,MIN(1,(IF(CC529="L1",Parameter!$H$5,IF(CC529="L23",Parameter!$H$6+Parameter!$H$7,Parameter!$H$5+Parameter!$H$6+Parameter!$H$7))-(AM529-AI529))/AI529)))</f>
        <v>1</v>
      </c>
      <c r="AO529" s="50" t="n">
        <f aca="false">IF(LEFT(Cockpit!$I$5,1)="A",H529,IF(CE529=1,CF529,IF(LEFT(Cockpit!$I$5,1)="B",AT529,MAX(AT529,H529))))</f>
        <v>4</v>
      </c>
      <c r="AP529" s="50" t="n">
        <f aca="false">IF(BW529=1,0,ROUNDUP(AO529/BV529,0))</f>
        <v>1</v>
      </c>
      <c r="AQ529" s="52" t="n">
        <f aca="false">IF(CL529&gt;0,CL529*MAX(1,AO529/X529),IF(BW529=1,IF(AO529&lt;=0,0,CA529*MAX(1,IF(H529&gt;0,AO529/H529,1))),IF(R529&gt;0,AP529/R529,0))/MAX(0.1,N(Parameter!$M$21)))</f>
        <v>0.0833333333333333</v>
      </c>
      <c r="AR529" s="50" t="n">
        <f aca="false">AQ529*BY529</f>
        <v>12.0833333333333</v>
      </c>
      <c r="AS529" s="50" t="n">
        <f aca="false">AO529*G529</f>
        <v>102.2</v>
      </c>
      <c r="AT529" s="50" t="n">
        <f aca="false">ROUNDUP(MAX(J529/IF(CD529&gt;0,CD529,MAX(0.1,N(Cockpit!$I$6))),CG529)/BV529,0)*BV529</f>
        <v>4</v>
      </c>
      <c r="AU529" s="51" t="n">
        <f aca="false">IF(AR529&gt;0,J529/AR529,-1)</f>
        <v>0</v>
      </c>
      <c r="AV529" s="51" t="n">
        <f aca="false">IF(AND(OR(CC529="L1",CC529="L23",CC529="LIFT"),AR529&gt;0),SUMIFS($AR$7:$AR$1843,$CC$7:$CC$1843,CC529,$AU$7:$AU$1843,"&gt;"&amp;AU529)+SUMIFS($AR$7:$AR$1843,$CC$7:$CC$1843,CC529,$AU$7:$AU$1843,AU529,$BT$7:$BT$1843,"&lt;="&amp;BT529),"")</f>
        <v>39641.2866377972</v>
      </c>
      <c r="AW529" s="58" t="n">
        <f aca="false">IF(AV529="",0,MAX(0,MIN(1,(IF(CC529="L1",Parameter!$H$5,IF(CC529="L23",Parameter!$H$6+Parameter!$H$7,Parameter!$H$5+Parameter!$H$6+Parameter!$H$7))-(AV529-AR529))/AR529)))</f>
        <v>0</v>
      </c>
      <c r="AX529" s="50" t="n">
        <f aca="false">IF(LEFT(Cockpit!$O$5,1)="A",H529,IF(CE529=1,CF529,IF(LEFT(Cockpit!$O$5,1)="B",BC529,MAX(BC529,H529))))</f>
        <v>4</v>
      </c>
      <c r="AY529" s="50" t="n">
        <f aca="false">IF(BW529=1,0,ROUNDUP(AX529/BV529,0))</f>
        <v>1</v>
      </c>
      <c r="AZ529" s="52" t="n">
        <f aca="false">IF(CL529&gt;0,CL529*MAX(1,AX529/X529),IF(BW529=1,IF(AX529&lt;=0,0,CA529*MAX(1,IF(H529&gt;0,AX529/H529,1))),IF(R529&gt;0,AY529/R529,0))/MAX(0.1,N(Parameter!$M$21)))</f>
        <v>0.0833333333333333</v>
      </c>
      <c r="BA529" s="50" t="n">
        <f aca="false">AZ529*BY529</f>
        <v>12.0833333333333</v>
      </c>
      <c r="BB529" s="50" t="n">
        <f aca="false">AX529*G529</f>
        <v>102.2</v>
      </c>
      <c r="BC529" s="50" t="n">
        <f aca="false">ROUNDUP(MAX(J529/IF(CD529&gt;0,CD529,MAX(0.1,N(Cockpit!$O$6))),CG529)/BV529,0)*BV529</f>
        <v>4</v>
      </c>
      <c r="BD529" s="51" t="n">
        <f aca="false">IF(BA529&gt;0,J529/BA529,-1)</f>
        <v>0</v>
      </c>
      <c r="BE529" s="51" t="n">
        <f aca="false">IF(AND(OR(CC529="L1",CC529="L23",CC529="LIFT"),BA529&gt;0),SUMIFS($BA$7:$BA$1843,$CC$7:$CC$1843,CC529,$BD$7:$BD$1843,"&gt;"&amp;BD529)+SUMIFS($BA$7:$BA$1843,$CC$7:$CC$1843,CC529,$BD$7:$BD$1843,BD529,$BT$7:$BT$1843,"&lt;="&amp;BT529),"")</f>
        <v>36316.2986796631</v>
      </c>
      <c r="BF529" s="58" t="n">
        <f aca="false">IF(BE529="",0,MAX(0,MIN(1,(IF(CC529="L1",Parameter!$H$5,IF(CC529="L23",Parameter!$H$6+Parameter!$H$7,Parameter!$H$5+Parameter!$H$6+Parameter!$H$7))-(BE529-BA529))/BA529)))</f>
        <v>0</v>
      </c>
      <c r="BG529" s="48" t="str">
        <f aca="false">IF(AI529&lt;=0,"",IF(CC529="Aussen","Aussenlager",IF(CC529="-","Nicht im Lift",IF(AN529&gt;=1,"Lift",IF(AN529&lt;=0,"Aussenlager","teilweise")))))</f>
        <v>Lift</v>
      </c>
      <c r="BH529" s="48" t="str">
        <f aca="false">IF(AR529&lt;=0,"",IF(CC529="Aussen","Aussenlager",IF(CC529="-","Nicht im Lift",IF(AW529&gt;=1,"Lift",IF(AW529&lt;=0,"Aussenlager","teilweise")))))</f>
        <v>Aussenlager</v>
      </c>
      <c r="BI529" s="48" t="str">
        <f aca="false">IF(BA529&lt;=0,"",IF(CC529="Aussen","Aussenlager",IF(CC529="-","Nicht im Lift",IF(BF529&gt;=1,"Lift",IF(BF529&lt;=0,"Aussenlager","teilweise")))))</f>
        <v>Aussenlager</v>
      </c>
      <c r="BJ529" s="48" t="str">
        <f aca="false">IF(A529="","",IF(BS529=1,"Neu; ","")&amp;IF(AND(BS529=0,BN529&lt;0),"negativer Bestand (Export "&amp;BN529&amp;"); ","")&amp;IF(J529&lt;=0,"Kein Verbrauch; ","")&amp;IF(CL529&gt;0,"Lift "&amp;W529&amp;" lt. Liftbericht (Fach "&amp;X529&amp;" Stk); ",IF(BX529=1,"Gebinde geschätzt ("&amp;T529&amp;"); ",IF(BW529=1,"Lose – Tablare geschätzt; ","")))&amp;IF(H529&gt;AT529,"Überbestand "&amp;ROUND(H529-AT529,0)&amp;" Stk / CHF "&amp;ROUND((H529-AT529)*G529,0)&amp;"; ","")&amp;IF(AND(CE529=1,CF529&lt;CG529),"MAX &lt; MB+LG; ","")&amp;IF(AND(CK529&gt;0,CJ529*10&gt;CK529),"zu hoch für Tablar; ","")&amp;IF(AND(BS529=0,OR(CE529=1,AA529&lt;&gt;"",U529&lt;&gt;"",V529&lt;&gt;"",AB529&lt;&gt;"")),"manuell übersteuert; ","")&amp;IF(AND(BW529=0,R529=0),"Gebinde unbekannt / Stellmass fehlt; ","")&amp;IF(AND(BW529=0,N(V529)&lt;=0,N(Q529)&lt;=0),"Menge pro Gebinde fehlt (Ist = 1 Gebinde); ","")&amp;BR529)</f>
        <v>Kein Verbrauch; Gebinde geschätzt (Mittel); Menge pro Gebinde fehlt (Ist = 1 Gebinde); </v>
      </c>
      <c r="BK529" s="48"/>
      <c r="BL529" s="48"/>
      <c r="BM529" s="55"/>
      <c r="BN529" s="50" t="n">
        <v>1</v>
      </c>
      <c r="BO529" s="50" t="n">
        <v>0</v>
      </c>
      <c r="BP529" s="49" t="n">
        <v>25.55</v>
      </c>
      <c r="BQ529" s="50" t="n">
        <v>0</v>
      </c>
      <c r="BR529" s="48"/>
      <c r="BS529" s="53" t="n">
        <v>0</v>
      </c>
      <c r="BT529" s="53" t="n">
        <v>529</v>
      </c>
      <c r="BU529" s="48" t="str">
        <f aca="false">IF(U529&lt;&gt;"",UPPER(TRIM(U529)),IF(BX529=1,UPPER(VLOOKUP(T529,Parameter!$I$27:$K$29,2,0)),IF(P529="","LOSE",P529)))</f>
        <v>S61</v>
      </c>
      <c r="BV529" s="50" t="n">
        <f aca="false">IF(BU529="LOSE",1,IF(N(V529)&gt;0,V529,IF(BX529=1,MAX(1,N(VLOOKUP(T529,Parameter!$I$27:$K$29,3,0)),H529,N(N529)),IF(N(Q529)&gt;0,Q529,MAX(1,H529)))))</f>
        <v>4</v>
      </c>
      <c r="BW529" s="53" t="n">
        <f aca="false">IF(BU529="LOSE",1,0)</f>
        <v>0</v>
      </c>
      <c r="BX529" s="53" t="n">
        <f aca="false">IF(AND(U529="",OR(P529="",P529="LOSE"),T529&lt;&gt;"",N(S529)&lt;=0,ISNUMBER(MATCH(T529,Parameter!$I$27:$I$29,0))),1,0)</f>
        <v>1</v>
      </c>
      <c r="BY529" s="53" t="n">
        <f aca="false">IF(CL529&gt;0,INDEX(Parameter!$H$5:$H$7,W529)/INDEX(Parameter!$E$5:$E$7,W529),IF(AND(BW529=0,N(IFERROR(VLOOKUP(BU529,'Gebinde-Kategorie'!$A$5:$N$45,14,0),0))&gt;0),VLOOKUP(BU529,'Gebinde-Kategorie'!$A$5:$N$45,14,0)*10+Parameter!$M$23,Parameter!$M$24))</f>
        <v>145</v>
      </c>
      <c r="BZ529" s="48" t="str">
        <f aca="false">IF(AND(Parameter!$B$19="Ja",E529&lt;&gt;"",ISNUMBER(MATCH(E529,Parameter!$I$35:$I$52,0))),VLOOKUP(E529,Parameter!$I$35:$J$52,2,0),IFERROR(VLOOKUP(D529,Parameter!$A$35:$C$64,2,0),"Nein"))</f>
        <v>2+3</v>
      </c>
      <c r="CA529" s="52" t="n">
        <f aca="false">IF(BW529=0,0,IF(N(S529)&gt;0,S529,IFERROR(VLOOKUP(D529,Parameter!$A$35:$C$64,3,0)+0,0)))</f>
        <v>0</v>
      </c>
      <c r="CB529" s="48" t="n">
        <f aca="false">IF(AA529&lt;&gt;"",AA529,Z529)</f>
        <v>2</v>
      </c>
      <c r="CC529" s="48" t="str">
        <f aca="false">IF(OR(CB529=1,CB529=2,CB529=3),IF(Parameter!$E$27="Ja","LIFT",IF(CB529=1,"L1","L23")),IF(CB529="Aussen","Aussen","-"))</f>
        <v>LIFT</v>
      </c>
      <c r="CD529" s="59" t="n">
        <f aca="false">IF(N(AB529)&gt;0,AB529,0)</f>
        <v>0</v>
      </c>
      <c r="CE529" s="53" t="n">
        <f aca="false">IF(ISNUMBER(AE529),1,0)</f>
        <v>0</v>
      </c>
      <c r="CF529" s="50" t="n">
        <f aca="false">N(AE529)</f>
        <v>0</v>
      </c>
      <c r="CG529" s="50" t="n">
        <f aca="false">N(M529)+N(N529)</f>
        <v>1</v>
      </c>
      <c r="CH529" s="50" t="n">
        <f aca="false">ROUNDUP(H529/BV529,0)</f>
        <v>1</v>
      </c>
      <c r="CI529" s="50" t="n">
        <f aca="false">ROUNDUP(CF529/BV529,0)</f>
        <v>0</v>
      </c>
      <c r="CJ529" s="53" t="n">
        <f aca="false">IF(BW529=1,0,IFERROR(VLOOKUP(BU529,'Gebinde-Kategorie'!$A$5:$N$45,5,0)+0,0))</f>
        <v>11</v>
      </c>
      <c r="CK529" s="53" t="n">
        <f aca="false">IFERROR(IF(OR(CB529=1,CB529=2,CB529=3),N(INDEX(Parameter!$I$5:$I$7,CB529)),0),0)</f>
        <v>0</v>
      </c>
      <c r="CL529" s="52" t="n">
        <f aca="false">IF(AND(Parameter!$B$21="Ja",ISNUMBER(W529),N(X529)&gt;0),IFERROR(N(INDEX(Parameter!$L$5:$L$7,W529))*INDEX(Parameter!$E$5:$E$7,W529)*X529/SUMIFS($X$7:$X$1843,$W$7:$W$1843,W529),0),0)</f>
        <v>0</v>
      </c>
    </row>
    <row r="530" customFormat="false" ht="15" hidden="false" customHeight="false" outlineLevel="0" collapsed="false">
      <c r="A530" s="48" t="s">
        <v>1148</v>
      </c>
      <c r="B530" s="48" t="s">
        <v>1149</v>
      </c>
      <c r="C530" s="48" t="s">
        <v>168</v>
      </c>
      <c r="D530" s="48" t="s">
        <v>188</v>
      </c>
      <c r="E530" s="48"/>
      <c r="F530" s="48" t="s">
        <v>222</v>
      </c>
      <c r="G530" s="49" t="n">
        <v>1.59</v>
      </c>
      <c r="H530" s="50" t="n">
        <f aca="false">MAX(0,IF(AND(Parameter!$B$21="Ja",ISNUMBER(Y530)),Y530,IF(Parameter!$B$20="Jahresanfang 2025 + Export",BO530+BN530,BN530)))</f>
        <v>16</v>
      </c>
      <c r="I530" s="50" t="n">
        <f aca="false">H530*G530</f>
        <v>25.44</v>
      </c>
      <c r="J530" s="50" t="n">
        <f aca="false">BQ530*Parameter!$B$18</f>
        <v>14</v>
      </c>
      <c r="K530" s="51" t="n">
        <v>11</v>
      </c>
      <c r="L530" s="52" t="n">
        <v>1.27272727272727</v>
      </c>
      <c r="M530" s="50" t="n">
        <v>0</v>
      </c>
      <c r="N530" s="50" t="n">
        <v>15</v>
      </c>
      <c r="O530" s="53" t="n">
        <v>21</v>
      </c>
      <c r="P530" s="48" t="s">
        <v>405</v>
      </c>
      <c r="Q530" s="50" t="n">
        <v>20</v>
      </c>
      <c r="R530" s="53" t="n">
        <f aca="false">IF(BW530=1,0,IFERROR(VLOOKUP(BU530,'Gebinde-Kategorie'!$A$5:$N$45,13,0)+0,0))</f>
        <v>280</v>
      </c>
      <c r="S530" s="54"/>
      <c r="T530" s="55"/>
      <c r="U530" s="55"/>
      <c r="V530" s="55"/>
      <c r="W530" s="48"/>
      <c r="X530" s="50"/>
      <c r="Y530" s="50"/>
      <c r="Z530" s="48" t="n">
        <f aca="false">IF(A530="","",IF(AND(Parameter!$B$21="Ja",ISNUMBER(W530)),W530,IF(BZ530="2+3",IF(ISNUMBER(SEARCH("grosser Artikel",BR530)),2,IFERROR(VLOOKUP(BU530,Parameter!$F$35:$G$64,2,0),2)),IF(OR(BZ530="Nein",BZ530=""),"-",BZ530))))</f>
        <v>3</v>
      </c>
      <c r="AA530" s="55"/>
      <c r="AB530" s="56"/>
      <c r="AC530" s="50" t="n">
        <f aca="false">AT530</f>
        <v>20</v>
      </c>
      <c r="AD530" s="50" t="n">
        <f aca="false">MAX(AT530,H530)</f>
        <v>20</v>
      </c>
      <c r="AE530" s="57"/>
      <c r="AF530" s="50" t="n">
        <f aca="false">IF(LEFT(Cockpit!$C$5,1)="A",H530,IF(CE530=1,CF530,IF(LEFT(Cockpit!$C$5,1)="B",AK530,MAX(AK530,H530))))</f>
        <v>16</v>
      </c>
      <c r="AG530" s="50" t="n">
        <f aca="false">IF(BW530=1,0,ROUNDUP(AF530/BV530,0))</f>
        <v>1</v>
      </c>
      <c r="AH530" s="52" t="n">
        <f aca="false">IF(CL530&gt;0,CL530*MAX(1,AF530/X530),IF(BW530=1,IF(AF530&lt;=0,0,CA530*MAX(1,IF(H530&gt;0,AF530/H530,1))),IF(R530&gt;0,AG530/R530,0))/MAX(0.1,N(Parameter!$M$21)))</f>
        <v>0.00357142857142857</v>
      </c>
      <c r="AI530" s="50" t="n">
        <f aca="false">AH530*BY530</f>
        <v>0.553571428571429</v>
      </c>
      <c r="AJ530" s="50" t="n">
        <f aca="false">AF530*G530</f>
        <v>25.44</v>
      </c>
      <c r="AK530" s="50" t="n">
        <f aca="false">ROUNDUP(MAX(J530/IF(CD530&gt;0,CD530,MAX(0.1,N(Cockpit!$C$6))),CG530)/BV530,0)*BV530</f>
        <v>20</v>
      </c>
      <c r="AL530" s="51" t="n">
        <f aca="false">IF(AI530&gt;0,J530/AI530,-1)</f>
        <v>25.2903225806452</v>
      </c>
      <c r="AM530" s="51" t="n">
        <f aca="false">IF(AND(OR(CC530="L1",CC530="L23",CC530="LIFT"),AI530&gt;0),SUMIFS($AI$7:$AI$1843,$CC$7:$CC$1843,CC530,$AL$7:$AL$1843,"&gt;"&amp;AL530)+SUMIFS($AI$7:$AI$1843,$CC$7:$CC$1843,CC530,$AL$7:$AL$1843,AL530,$BT$7:$BT$1843,"&lt;="&amp;BT530),"")</f>
        <v>1511.03663003663</v>
      </c>
      <c r="AN530" s="58" t="n">
        <f aca="false">IF(AM530="",0,MAX(0,MIN(1,(IF(CC530="L1",Parameter!$H$5,IF(CC530="L23",Parameter!$H$6+Parameter!$H$7,Parameter!$H$5+Parameter!$H$6+Parameter!$H$7))-(AM530-AI530))/AI530)))</f>
        <v>1</v>
      </c>
      <c r="AO530" s="50" t="n">
        <f aca="false">IF(LEFT(Cockpit!$I$5,1)="A",H530,IF(CE530=1,CF530,IF(LEFT(Cockpit!$I$5,1)="B",AT530,MAX(AT530,H530))))</f>
        <v>20</v>
      </c>
      <c r="AP530" s="50" t="n">
        <f aca="false">IF(BW530=1,0,ROUNDUP(AO530/BV530,0))</f>
        <v>1</v>
      </c>
      <c r="AQ530" s="52" t="n">
        <f aca="false">IF(CL530&gt;0,CL530*MAX(1,AO530/X530),IF(BW530=1,IF(AO530&lt;=0,0,CA530*MAX(1,IF(H530&gt;0,AO530/H530,1))),IF(R530&gt;0,AP530/R530,0))/MAX(0.1,N(Parameter!$M$21)))</f>
        <v>0.00357142857142857</v>
      </c>
      <c r="AR530" s="50" t="n">
        <f aca="false">AQ530*BY530</f>
        <v>0.553571428571429</v>
      </c>
      <c r="AS530" s="50" t="n">
        <f aca="false">AO530*G530</f>
        <v>31.8</v>
      </c>
      <c r="AT530" s="50" t="n">
        <f aca="false">ROUNDUP(MAX(J530/IF(CD530&gt;0,CD530,MAX(0.1,N(Cockpit!$I$6))),CG530)/BV530,0)*BV530</f>
        <v>20</v>
      </c>
      <c r="AU530" s="51" t="n">
        <f aca="false">IF(AR530&gt;0,J530/AR530,-1)</f>
        <v>25.2903225806452</v>
      </c>
      <c r="AV530" s="51" t="n">
        <f aca="false">IF(AND(OR(CC530="L1",CC530="L23",CC530="LIFT"),AR530&gt;0),SUMIFS($AR$7:$AR$1843,$CC$7:$CC$1843,CC530,$AU$7:$AU$1843,"&gt;"&amp;AU530)+SUMIFS($AR$7:$AR$1843,$CC$7:$CC$1843,CC530,$AU$7:$AU$1843,AU530,$BT$7:$BT$1843,"&lt;="&amp;BT530),"")</f>
        <v>2126.53250915751</v>
      </c>
      <c r="AW530" s="58" t="n">
        <f aca="false">IF(AV530="",0,MAX(0,MIN(1,(IF(CC530="L1",Parameter!$H$5,IF(CC530="L23",Parameter!$H$6+Parameter!$H$7,Parameter!$H$5+Parameter!$H$6+Parameter!$H$7))-(AV530-AR530))/AR530)))</f>
        <v>1</v>
      </c>
      <c r="AX530" s="50" t="n">
        <f aca="false">IF(LEFT(Cockpit!$O$5,1)="A",H530,IF(CE530=1,CF530,IF(LEFT(Cockpit!$O$5,1)="B",BC530,MAX(BC530,H530))))</f>
        <v>20</v>
      </c>
      <c r="AY530" s="50" t="n">
        <f aca="false">IF(BW530=1,0,ROUNDUP(AX530/BV530,0))</f>
        <v>1</v>
      </c>
      <c r="AZ530" s="52" t="n">
        <f aca="false">IF(CL530&gt;0,CL530*MAX(1,AX530/X530),IF(BW530=1,IF(AX530&lt;=0,0,CA530*MAX(1,IF(H530&gt;0,AX530/H530,1))),IF(R530&gt;0,AY530/R530,0))/MAX(0.1,N(Parameter!$M$21)))</f>
        <v>0.00357142857142857</v>
      </c>
      <c r="BA530" s="50" t="n">
        <f aca="false">AZ530*BY530</f>
        <v>0.553571428571429</v>
      </c>
      <c r="BB530" s="50" t="n">
        <f aca="false">AX530*G530</f>
        <v>31.8</v>
      </c>
      <c r="BC530" s="50" t="n">
        <f aca="false">ROUNDUP(MAX(J530/IF(CD530&gt;0,CD530,MAX(0.1,N(Cockpit!$O$6))),CG530)/BV530,0)*BV530</f>
        <v>20</v>
      </c>
      <c r="BD530" s="51" t="n">
        <f aca="false">IF(BA530&gt;0,J530/BA530,-1)</f>
        <v>25.2903225806452</v>
      </c>
      <c r="BE530" s="51" t="n">
        <f aca="false">IF(AND(OR(CC530="L1",CC530="L23",CC530="LIFT"),BA530&gt;0),SUMIFS($BA$7:$BA$1843,$CC$7:$CC$1843,CC530,$BD$7:$BD$1843,"&gt;"&amp;BD530)+SUMIFS($BA$7:$BA$1843,$CC$7:$CC$1843,CC530,$BD$7:$BD$1843,BD530,$BT$7:$BT$1843,"&lt;="&amp;BT530),"")</f>
        <v>2212.12545787546</v>
      </c>
      <c r="BF530" s="58" t="n">
        <f aca="false">IF(BE530="",0,MAX(0,MIN(1,(IF(CC530="L1",Parameter!$H$5,IF(CC530="L23",Parameter!$H$6+Parameter!$H$7,Parameter!$H$5+Parameter!$H$6+Parameter!$H$7))-(BE530-BA530))/BA530)))</f>
        <v>1</v>
      </c>
      <c r="BG530" s="48" t="str">
        <f aca="false">IF(AI530&lt;=0,"",IF(CC530="Aussen","Aussenlager",IF(CC530="-","Nicht im Lift",IF(AN530&gt;=1,"Lift",IF(AN530&lt;=0,"Aussenlager","teilweise")))))</f>
        <v>Lift</v>
      </c>
      <c r="BH530" s="48" t="str">
        <f aca="false">IF(AR530&lt;=0,"",IF(CC530="Aussen","Aussenlager",IF(CC530="-","Nicht im Lift",IF(AW530&gt;=1,"Lift",IF(AW530&lt;=0,"Aussenlager","teilweise")))))</f>
        <v>Lift</v>
      </c>
      <c r="BI530" s="48" t="str">
        <f aca="false">IF(BA530&lt;=0,"",IF(CC530="Aussen","Aussenlager",IF(CC530="-","Nicht im Lift",IF(BF530&gt;=1,"Lift",IF(BF530&lt;=0,"Aussenlager","teilweise")))))</f>
        <v>Lift</v>
      </c>
      <c r="BJ530" s="48" t="str">
        <f aca="false">IF(A530="","",IF(BS530=1,"Neu; ","")&amp;IF(AND(BS530=0,BN530&lt;0),"negativer Bestand (Export "&amp;BN530&amp;"); ","")&amp;IF(J530&lt;=0,"Kein Verbrauch; ","")&amp;IF(CL530&gt;0,"Lift "&amp;W530&amp;" lt. Liftbericht (Fach "&amp;X530&amp;" Stk); ",IF(BX530=1,"Gebinde geschätzt ("&amp;T530&amp;"); ",IF(BW530=1,"Lose – Tablare geschätzt; ","")))&amp;IF(H530&gt;AT530,"Überbestand "&amp;ROUND(H530-AT530,0)&amp;" Stk / CHF "&amp;ROUND((H530-AT530)*G530,0)&amp;"; ","")&amp;IF(AND(CE530=1,CF530&lt;CG530),"MAX &lt; MB+LG; ","")&amp;IF(AND(CK530&gt;0,CJ530*10&gt;CK530),"zu hoch für Tablar; ","")&amp;IF(AND(BS530=0,OR(CE530=1,AA530&lt;&gt;"",U530&lt;&gt;"",V530&lt;&gt;"",AB530&lt;&gt;"")),"manuell übersteuert; ","")&amp;IF(AND(BW530=0,R530=0),"Gebinde unbekannt / Stellmass fehlt; ","")&amp;IF(AND(BW530=0,N(V530)&lt;=0,N(Q530)&lt;=0),"Menge pro Gebinde fehlt (Ist = 1 Gebinde); ","")&amp;BR530)</f>
        <v/>
      </c>
      <c r="BK530" s="48"/>
      <c r="BL530" s="48"/>
      <c r="BM530" s="55"/>
      <c r="BN530" s="50" t="n">
        <v>16</v>
      </c>
      <c r="BO530" s="50" t="n">
        <v>0</v>
      </c>
      <c r="BP530" s="49" t="n">
        <v>25.44</v>
      </c>
      <c r="BQ530" s="50" t="n">
        <v>14</v>
      </c>
      <c r="BR530" s="48"/>
      <c r="BS530" s="53" t="n">
        <v>0</v>
      </c>
      <c r="BT530" s="53" t="n">
        <v>530</v>
      </c>
      <c r="BU530" s="48" t="str">
        <f aca="false">IF(U530&lt;&gt;"",UPPER(TRIM(U530)),IF(BX530=1,UPPER(VLOOKUP(T530,Parameter!$I$27:$K$29,2,0)),IF(P530="","LOSE",P530)))</f>
        <v>S21</v>
      </c>
      <c r="BV530" s="50" t="n">
        <f aca="false">IF(BU530="LOSE",1,IF(N(V530)&gt;0,V530,IF(BX530=1,MAX(1,N(VLOOKUP(T530,Parameter!$I$27:$K$29,3,0)),H530,N(N530)),IF(N(Q530)&gt;0,Q530,MAX(1,H530)))))</f>
        <v>20</v>
      </c>
      <c r="BW530" s="53" t="n">
        <f aca="false">IF(BU530="LOSE",1,0)</f>
        <v>0</v>
      </c>
      <c r="BX530" s="53" t="n">
        <f aca="false">IF(AND(U530="",OR(P530="",P530="LOSE"),T530&lt;&gt;"",N(S530)&lt;=0,ISNUMBER(MATCH(T530,Parameter!$I$27:$I$29,0))),1,0)</f>
        <v>0</v>
      </c>
      <c r="BY530" s="53" t="n">
        <f aca="false">IF(CL530&gt;0,INDEX(Parameter!$H$5:$H$7,W530)/INDEX(Parameter!$E$5:$E$7,W530),IF(AND(BW530=0,N(IFERROR(VLOOKUP(BU530,'Gebinde-Kategorie'!$A$5:$N$45,14,0),0))&gt;0),VLOOKUP(BU530,'Gebinde-Kategorie'!$A$5:$N$45,14,0)*10+Parameter!$M$23,Parameter!$M$24))</f>
        <v>155</v>
      </c>
      <c r="BZ530" s="48" t="str">
        <f aca="false">IF(AND(Parameter!$B$19="Ja",E530&lt;&gt;"",ISNUMBER(MATCH(E530,Parameter!$I$35:$I$52,0))),VLOOKUP(E530,Parameter!$I$35:$J$52,2,0),IFERROR(VLOOKUP(D530,Parameter!$A$35:$C$64,2,0),"Nein"))</f>
        <v>2+3</v>
      </c>
      <c r="CA530" s="52" t="n">
        <f aca="false">IF(BW530=0,0,IF(N(S530)&gt;0,S530,IFERROR(VLOOKUP(D530,Parameter!$A$35:$C$64,3,0)+0,0)))</f>
        <v>0</v>
      </c>
      <c r="CB530" s="48" t="n">
        <f aca="false">IF(AA530&lt;&gt;"",AA530,Z530)</f>
        <v>3</v>
      </c>
      <c r="CC530" s="48" t="str">
        <f aca="false">IF(OR(CB530=1,CB530=2,CB530=3),IF(Parameter!$E$27="Ja","LIFT",IF(CB530=1,"L1","L23")),IF(CB530="Aussen","Aussen","-"))</f>
        <v>LIFT</v>
      </c>
      <c r="CD530" s="59" t="n">
        <f aca="false">IF(N(AB530)&gt;0,AB530,0)</f>
        <v>0</v>
      </c>
      <c r="CE530" s="53" t="n">
        <f aca="false">IF(ISNUMBER(AE530),1,0)</f>
        <v>0</v>
      </c>
      <c r="CF530" s="50" t="n">
        <f aca="false">N(AE530)</f>
        <v>0</v>
      </c>
      <c r="CG530" s="50" t="n">
        <f aca="false">N(M530)+N(N530)</f>
        <v>15</v>
      </c>
      <c r="CH530" s="50" t="n">
        <f aca="false">ROUNDUP(H530/BV530,0)</f>
        <v>1</v>
      </c>
      <c r="CI530" s="50" t="n">
        <f aca="false">ROUNDUP(CF530/BV530,0)</f>
        <v>0</v>
      </c>
      <c r="CJ530" s="53" t="n">
        <f aca="false">IF(BW530=1,0,IFERROR(VLOOKUP(BU530,'Gebinde-Kategorie'!$A$5:$N$45,5,0)+0,0))</f>
        <v>8</v>
      </c>
      <c r="CK530" s="53" t="n">
        <f aca="false">IFERROR(IF(OR(CB530=1,CB530=2,CB530=3),N(INDEX(Parameter!$I$5:$I$7,CB530)),0),0)</f>
        <v>0</v>
      </c>
      <c r="CL530" s="52" t="n">
        <f aca="false">IF(AND(Parameter!$B$21="Ja",ISNUMBER(W530),N(X530)&gt;0),IFERROR(N(INDEX(Parameter!$L$5:$L$7,W530))*INDEX(Parameter!$E$5:$E$7,W530)*X530/SUMIFS($X$7:$X$1843,$W$7:$W$1843,W530),0),0)</f>
        <v>0</v>
      </c>
    </row>
    <row r="531" customFormat="false" ht="15" hidden="false" customHeight="false" outlineLevel="0" collapsed="false">
      <c r="A531" s="48" t="s">
        <v>1150</v>
      </c>
      <c r="B531" s="48" t="s">
        <v>1151</v>
      </c>
      <c r="C531" s="48" t="s">
        <v>168</v>
      </c>
      <c r="D531" s="48" t="s">
        <v>177</v>
      </c>
      <c r="E531" s="48"/>
      <c r="F531" s="48" t="s">
        <v>222</v>
      </c>
      <c r="G531" s="49" t="n">
        <v>25.44</v>
      </c>
      <c r="H531" s="50" t="n">
        <f aca="false">MAX(0,IF(AND(Parameter!$B$21="Ja",ISNUMBER(Y531)),Y531,IF(Parameter!$B$20="Jahresanfang 2025 + Export",BO531+BN531,BN531)))</f>
        <v>1</v>
      </c>
      <c r="I531" s="50" t="n">
        <f aca="false">H531*G531</f>
        <v>25.44</v>
      </c>
      <c r="J531" s="50" t="n">
        <f aca="false">BQ531*Parameter!$B$18</f>
        <v>0</v>
      </c>
      <c r="K531" s="51" t="n">
        <v>0</v>
      </c>
      <c r="L531" s="52" t="n">
        <v>0</v>
      </c>
      <c r="M531" s="50" t="n">
        <v>0</v>
      </c>
      <c r="N531" s="50" t="n">
        <v>1</v>
      </c>
      <c r="O531" s="53" t="n">
        <v>21</v>
      </c>
      <c r="P531" s="48" t="s">
        <v>172</v>
      </c>
      <c r="Q531" s="50"/>
      <c r="R531" s="53" t="n">
        <f aca="false">IF(BW531=1,0,IFERROR(VLOOKUP(BU531,'Gebinde-Kategorie'!$A$5:$N$45,13,0)+0,0))</f>
        <v>12</v>
      </c>
      <c r="S531" s="54"/>
      <c r="T531" s="55" t="s">
        <v>183</v>
      </c>
      <c r="U531" s="55"/>
      <c r="V531" s="55"/>
      <c r="W531" s="48"/>
      <c r="X531" s="50"/>
      <c r="Y531" s="50"/>
      <c r="Z531" s="48" t="n">
        <f aca="false">IF(A531="","",IF(AND(Parameter!$B$21="Ja",ISNUMBER(W531)),W531,IF(BZ531="2+3",IF(ISNUMBER(SEARCH("grosser Artikel",BR531)),2,IFERROR(VLOOKUP(BU531,Parameter!$F$35:$G$64,2,0),2)),IF(OR(BZ531="Nein",BZ531=""),"-",BZ531))))</f>
        <v>2</v>
      </c>
      <c r="AA531" s="55"/>
      <c r="AB531" s="56"/>
      <c r="AC531" s="50" t="n">
        <f aca="false">AT531</f>
        <v>4</v>
      </c>
      <c r="AD531" s="50" t="n">
        <f aca="false">MAX(AT531,H531)</f>
        <v>4</v>
      </c>
      <c r="AE531" s="57"/>
      <c r="AF531" s="50" t="n">
        <f aca="false">IF(LEFT(Cockpit!$C$5,1)="A",H531,IF(CE531=1,CF531,IF(LEFT(Cockpit!$C$5,1)="B",AK531,MAX(AK531,H531))))</f>
        <v>1</v>
      </c>
      <c r="AG531" s="50" t="n">
        <f aca="false">IF(BW531=1,0,ROUNDUP(AF531/BV531,0))</f>
        <v>1</v>
      </c>
      <c r="AH531" s="52" t="n">
        <f aca="false">IF(CL531&gt;0,CL531*MAX(1,AF531/X531),IF(BW531=1,IF(AF531&lt;=0,0,CA531*MAX(1,IF(H531&gt;0,AF531/H531,1))),IF(R531&gt;0,AG531/R531,0))/MAX(0.1,N(Parameter!$M$21)))</f>
        <v>0.0833333333333333</v>
      </c>
      <c r="AI531" s="50" t="n">
        <f aca="false">AH531*BY531</f>
        <v>12.0833333333333</v>
      </c>
      <c r="AJ531" s="50" t="n">
        <f aca="false">AF531*G531</f>
        <v>25.44</v>
      </c>
      <c r="AK531" s="50" t="n">
        <f aca="false">ROUNDUP(MAX(J531/IF(CD531&gt;0,CD531,MAX(0.1,N(Cockpit!$C$6))),CG531)/BV531,0)*BV531</f>
        <v>4</v>
      </c>
      <c r="AL531" s="51" t="n">
        <f aca="false">IF(AI531&gt;0,J531/AI531,-1)</f>
        <v>0</v>
      </c>
      <c r="AM531" s="51" t="n">
        <f aca="false">IF(AND(OR(CC531="L1",CC531="L23",CC531="LIFT"),AI531&gt;0),SUMIFS($AI$7:$AI$1843,$CC$7:$CC$1843,CC531,$AL$7:$AL$1843,"&gt;"&amp;AL531)+SUMIFS($AI$7:$AI$1843,$CC$7:$CC$1843,CC531,$AL$7:$AL$1843,AL531,$BT$7:$BT$1843,"&lt;="&amp;BT531),"")</f>
        <v>28340.4644538606</v>
      </c>
      <c r="AN531" s="58" t="n">
        <f aca="false">IF(AM531="",0,MAX(0,MIN(1,(IF(CC531="L1",Parameter!$H$5,IF(CC531="L23",Parameter!$H$6+Parameter!$H$7,Parameter!$H$5+Parameter!$H$6+Parameter!$H$7))-(AM531-AI531))/AI531)))</f>
        <v>1</v>
      </c>
      <c r="AO531" s="50" t="n">
        <f aca="false">IF(LEFT(Cockpit!$I$5,1)="A",H531,IF(CE531=1,CF531,IF(LEFT(Cockpit!$I$5,1)="B",AT531,MAX(AT531,H531))))</f>
        <v>4</v>
      </c>
      <c r="AP531" s="50" t="n">
        <f aca="false">IF(BW531=1,0,ROUNDUP(AO531/BV531,0))</f>
        <v>1</v>
      </c>
      <c r="AQ531" s="52" t="n">
        <f aca="false">IF(CL531&gt;0,CL531*MAX(1,AO531/X531),IF(BW531=1,IF(AO531&lt;=0,0,CA531*MAX(1,IF(H531&gt;0,AO531/H531,1))),IF(R531&gt;0,AP531/R531,0))/MAX(0.1,N(Parameter!$M$21)))</f>
        <v>0.0833333333333333</v>
      </c>
      <c r="AR531" s="50" t="n">
        <f aca="false">AQ531*BY531</f>
        <v>12.0833333333333</v>
      </c>
      <c r="AS531" s="50" t="n">
        <f aca="false">AO531*G531</f>
        <v>101.76</v>
      </c>
      <c r="AT531" s="50" t="n">
        <f aca="false">ROUNDUP(MAX(J531/IF(CD531&gt;0,CD531,MAX(0.1,N(Cockpit!$I$6))),CG531)/BV531,0)*BV531</f>
        <v>4</v>
      </c>
      <c r="AU531" s="51" t="n">
        <f aca="false">IF(AR531&gt;0,J531/AR531,-1)</f>
        <v>0</v>
      </c>
      <c r="AV531" s="51" t="n">
        <f aca="false">IF(AND(OR(CC531="L1",CC531="L23",CC531="LIFT"),AR531&gt;0),SUMIFS($AR$7:$AR$1843,$CC$7:$CC$1843,CC531,$AU$7:$AU$1843,"&gt;"&amp;AU531)+SUMIFS($AR$7:$AR$1843,$CC$7:$CC$1843,CC531,$AU$7:$AU$1843,AU531,$BT$7:$BT$1843,"&lt;="&amp;BT531),"")</f>
        <v>39653.3699711306</v>
      </c>
      <c r="AW531" s="58" t="n">
        <f aca="false">IF(AV531="",0,MAX(0,MIN(1,(IF(CC531="L1",Parameter!$H$5,IF(CC531="L23",Parameter!$H$6+Parameter!$H$7,Parameter!$H$5+Parameter!$H$6+Parameter!$H$7))-(AV531-AR531))/AR531)))</f>
        <v>0</v>
      </c>
      <c r="AX531" s="50" t="n">
        <f aca="false">IF(LEFT(Cockpit!$O$5,1)="A",H531,IF(CE531=1,CF531,IF(LEFT(Cockpit!$O$5,1)="B",BC531,MAX(BC531,H531))))</f>
        <v>4</v>
      </c>
      <c r="AY531" s="50" t="n">
        <f aca="false">IF(BW531=1,0,ROUNDUP(AX531/BV531,0))</f>
        <v>1</v>
      </c>
      <c r="AZ531" s="52" t="n">
        <f aca="false">IF(CL531&gt;0,CL531*MAX(1,AX531/X531),IF(BW531=1,IF(AX531&lt;=0,0,CA531*MAX(1,IF(H531&gt;0,AX531/H531,1))),IF(R531&gt;0,AY531/R531,0))/MAX(0.1,N(Parameter!$M$21)))</f>
        <v>0.0833333333333333</v>
      </c>
      <c r="BA531" s="50" t="n">
        <f aca="false">AZ531*BY531</f>
        <v>12.0833333333333</v>
      </c>
      <c r="BB531" s="50" t="n">
        <f aca="false">AX531*G531</f>
        <v>101.76</v>
      </c>
      <c r="BC531" s="50" t="n">
        <f aca="false">ROUNDUP(MAX(J531/IF(CD531&gt;0,CD531,MAX(0.1,N(Cockpit!$O$6))),CG531)/BV531,0)*BV531</f>
        <v>4</v>
      </c>
      <c r="BD531" s="51" t="n">
        <f aca="false">IF(BA531&gt;0,J531/BA531,-1)</f>
        <v>0</v>
      </c>
      <c r="BE531" s="51" t="n">
        <f aca="false">IF(AND(OR(CC531="L1",CC531="L23",CC531="LIFT"),BA531&gt;0),SUMIFS($BA$7:$BA$1843,$CC$7:$CC$1843,CC531,$BD$7:$BD$1843,"&gt;"&amp;BD531)+SUMIFS($BA$7:$BA$1843,$CC$7:$CC$1843,CC531,$BD$7:$BD$1843,BD531,$BT$7:$BT$1843,"&lt;="&amp;BT531),"")</f>
        <v>36328.3820129964</v>
      </c>
      <c r="BF531" s="58" t="n">
        <f aca="false">IF(BE531="",0,MAX(0,MIN(1,(IF(CC531="L1",Parameter!$H$5,IF(CC531="L23",Parameter!$H$6+Parameter!$H$7,Parameter!$H$5+Parameter!$H$6+Parameter!$H$7))-(BE531-BA531))/BA531)))</f>
        <v>0</v>
      </c>
      <c r="BG531" s="48" t="str">
        <f aca="false">IF(AI531&lt;=0,"",IF(CC531="Aussen","Aussenlager",IF(CC531="-","Nicht im Lift",IF(AN531&gt;=1,"Lift",IF(AN531&lt;=0,"Aussenlager","teilweise")))))</f>
        <v>Lift</v>
      </c>
      <c r="BH531" s="48" t="str">
        <f aca="false">IF(AR531&lt;=0,"",IF(CC531="Aussen","Aussenlager",IF(CC531="-","Nicht im Lift",IF(AW531&gt;=1,"Lift",IF(AW531&lt;=0,"Aussenlager","teilweise")))))</f>
        <v>Aussenlager</v>
      </c>
      <c r="BI531" s="48" t="str">
        <f aca="false">IF(BA531&lt;=0,"",IF(CC531="Aussen","Aussenlager",IF(CC531="-","Nicht im Lift",IF(BF531&gt;=1,"Lift",IF(BF531&lt;=0,"Aussenlager","teilweise")))))</f>
        <v>Aussenlager</v>
      </c>
      <c r="BJ531" s="48" t="str">
        <f aca="false">IF(A531="","",IF(BS531=1,"Neu; ","")&amp;IF(AND(BS531=0,BN531&lt;0),"negativer Bestand (Export "&amp;BN531&amp;"); ","")&amp;IF(J531&lt;=0,"Kein Verbrauch; ","")&amp;IF(CL531&gt;0,"Lift "&amp;W531&amp;" lt. Liftbericht (Fach "&amp;X531&amp;" Stk); ",IF(BX531=1,"Gebinde geschätzt ("&amp;T531&amp;"); ",IF(BW531=1,"Lose – Tablare geschätzt; ","")))&amp;IF(H531&gt;AT531,"Überbestand "&amp;ROUND(H531-AT531,0)&amp;" Stk / CHF "&amp;ROUND((H531-AT531)*G531,0)&amp;"; ","")&amp;IF(AND(CE531=1,CF531&lt;CG531),"MAX &lt; MB+LG; ","")&amp;IF(AND(CK531&gt;0,CJ531*10&gt;CK531),"zu hoch für Tablar; ","")&amp;IF(AND(BS531=0,OR(CE531=1,AA531&lt;&gt;"",U531&lt;&gt;"",V531&lt;&gt;"",AB531&lt;&gt;"")),"manuell übersteuert; ","")&amp;IF(AND(BW531=0,R531=0),"Gebinde unbekannt / Stellmass fehlt; ","")&amp;IF(AND(BW531=0,N(V531)&lt;=0,N(Q531)&lt;=0),"Menge pro Gebinde fehlt (Ist = 1 Gebinde); ","")&amp;BR531)</f>
        <v>Kein Verbrauch; Gebinde geschätzt (Mittel); Menge pro Gebinde fehlt (Ist = 1 Gebinde); </v>
      </c>
      <c r="BK531" s="48"/>
      <c r="BL531" s="48"/>
      <c r="BM531" s="55"/>
      <c r="BN531" s="50" t="n">
        <v>1</v>
      </c>
      <c r="BO531" s="50" t="n">
        <v>0</v>
      </c>
      <c r="BP531" s="49" t="n">
        <v>25.44</v>
      </c>
      <c r="BQ531" s="50" t="n">
        <v>0</v>
      </c>
      <c r="BR531" s="48"/>
      <c r="BS531" s="53" t="n">
        <v>0</v>
      </c>
      <c r="BT531" s="53" t="n">
        <v>531</v>
      </c>
      <c r="BU531" s="48" t="str">
        <f aca="false">IF(U531&lt;&gt;"",UPPER(TRIM(U531)),IF(BX531=1,UPPER(VLOOKUP(T531,Parameter!$I$27:$K$29,2,0)),IF(P531="","LOSE",P531)))</f>
        <v>S61</v>
      </c>
      <c r="BV531" s="50" t="n">
        <f aca="false">IF(BU531="LOSE",1,IF(N(V531)&gt;0,V531,IF(BX531=1,MAX(1,N(VLOOKUP(T531,Parameter!$I$27:$K$29,3,0)),H531,N(N531)),IF(N(Q531)&gt;0,Q531,MAX(1,H531)))))</f>
        <v>4</v>
      </c>
      <c r="BW531" s="53" t="n">
        <f aca="false">IF(BU531="LOSE",1,0)</f>
        <v>0</v>
      </c>
      <c r="BX531" s="53" t="n">
        <f aca="false">IF(AND(U531="",OR(P531="",P531="LOSE"),T531&lt;&gt;"",N(S531)&lt;=0,ISNUMBER(MATCH(T531,Parameter!$I$27:$I$29,0))),1,0)</f>
        <v>1</v>
      </c>
      <c r="BY531" s="53" t="n">
        <f aca="false">IF(CL531&gt;0,INDEX(Parameter!$H$5:$H$7,W531)/INDEX(Parameter!$E$5:$E$7,W531),IF(AND(BW531=0,N(IFERROR(VLOOKUP(BU531,'Gebinde-Kategorie'!$A$5:$N$45,14,0),0))&gt;0),VLOOKUP(BU531,'Gebinde-Kategorie'!$A$5:$N$45,14,0)*10+Parameter!$M$23,Parameter!$M$24))</f>
        <v>145</v>
      </c>
      <c r="BZ531" s="48" t="str">
        <f aca="false">IF(AND(Parameter!$B$19="Ja",E531&lt;&gt;"",ISNUMBER(MATCH(E531,Parameter!$I$35:$I$52,0))),VLOOKUP(E531,Parameter!$I$35:$J$52,2,0),IFERROR(VLOOKUP(D531,Parameter!$A$35:$C$64,2,0),"Nein"))</f>
        <v>2+3</v>
      </c>
      <c r="CA531" s="52" t="n">
        <f aca="false">IF(BW531=0,0,IF(N(S531)&gt;0,S531,IFERROR(VLOOKUP(D531,Parameter!$A$35:$C$64,3,0)+0,0)))</f>
        <v>0</v>
      </c>
      <c r="CB531" s="48" t="n">
        <f aca="false">IF(AA531&lt;&gt;"",AA531,Z531)</f>
        <v>2</v>
      </c>
      <c r="CC531" s="48" t="str">
        <f aca="false">IF(OR(CB531=1,CB531=2,CB531=3),IF(Parameter!$E$27="Ja","LIFT",IF(CB531=1,"L1","L23")),IF(CB531="Aussen","Aussen","-"))</f>
        <v>LIFT</v>
      </c>
      <c r="CD531" s="59" t="n">
        <f aca="false">IF(N(AB531)&gt;0,AB531,0)</f>
        <v>0</v>
      </c>
      <c r="CE531" s="53" t="n">
        <f aca="false">IF(ISNUMBER(AE531),1,0)</f>
        <v>0</v>
      </c>
      <c r="CF531" s="50" t="n">
        <f aca="false">N(AE531)</f>
        <v>0</v>
      </c>
      <c r="CG531" s="50" t="n">
        <f aca="false">N(M531)+N(N531)</f>
        <v>1</v>
      </c>
      <c r="CH531" s="50" t="n">
        <f aca="false">ROUNDUP(H531/BV531,0)</f>
        <v>1</v>
      </c>
      <c r="CI531" s="50" t="n">
        <f aca="false">ROUNDUP(CF531/BV531,0)</f>
        <v>0</v>
      </c>
      <c r="CJ531" s="53" t="n">
        <f aca="false">IF(BW531=1,0,IFERROR(VLOOKUP(BU531,'Gebinde-Kategorie'!$A$5:$N$45,5,0)+0,0))</f>
        <v>11</v>
      </c>
      <c r="CK531" s="53" t="n">
        <f aca="false">IFERROR(IF(OR(CB531=1,CB531=2,CB531=3),N(INDEX(Parameter!$I$5:$I$7,CB531)),0),0)</f>
        <v>0</v>
      </c>
      <c r="CL531" s="52" t="n">
        <f aca="false">IF(AND(Parameter!$B$21="Ja",ISNUMBER(W531),N(X531)&gt;0),IFERROR(N(INDEX(Parameter!$L$5:$L$7,W531))*INDEX(Parameter!$E$5:$E$7,W531)*X531/SUMIFS($X$7:$X$1843,$W$7:$W$1843,W531),0),0)</f>
        <v>0</v>
      </c>
    </row>
    <row r="532" customFormat="false" ht="15" hidden="false" customHeight="false" outlineLevel="0" collapsed="false">
      <c r="A532" s="48" t="s">
        <v>1152</v>
      </c>
      <c r="B532" s="48" t="s">
        <v>896</v>
      </c>
      <c r="C532" s="48" t="s">
        <v>168</v>
      </c>
      <c r="D532" s="48" t="s">
        <v>188</v>
      </c>
      <c r="E532" s="48" t="s">
        <v>189</v>
      </c>
      <c r="F532" s="48" t="s">
        <v>222</v>
      </c>
      <c r="G532" s="49" t="n">
        <v>3.29</v>
      </c>
      <c r="H532" s="50" t="n">
        <f aca="false">MAX(0,IF(AND(Parameter!$B$21="Ja",ISNUMBER(Y532)),Y532,IF(Parameter!$B$20="Jahresanfang 2025 + Export",BO532+BN532,BN532)))</f>
        <v>22</v>
      </c>
      <c r="I532" s="50" t="n">
        <f aca="false">H532*G532</f>
        <v>72.38</v>
      </c>
      <c r="J532" s="50" t="n">
        <f aca="false">BQ532*Parameter!$B$18</f>
        <v>1</v>
      </c>
      <c r="K532" s="51" t="n">
        <v>7.5</v>
      </c>
      <c r="L532" s="52" t="n">
        <v>0.133333333333333</v>
      </c>
      <c r="M532" s="50" t="n">
        <v>0</v>
      </c>
      <c r="N532" s="50" t="n">
        <v>1</v>
      </c>
      <c r="O532" s="53" t="n">
        <v>28</v>
      </c>
      <c r="P532" s="48" t="s">
        <v>425</v>
      </c>
      <c r="Q532" s="50" t="n">
        <v>11</v>
      </c>
      <c r="R532" s="53" t="n">
        <f aca="false">IF(BW532=1,0,IFERROR(VLOOKUP(BU532,'Gebinde-Kategorie'!$A$5:$N$45,13,0)+0,0))</f>
        <v>104</v>
      </c>
      <c r="S532" s="54"/>
      <c r="T532" s="55"/>
      <c r="U532" s="55"/>
      <c r="V532" s="55"/>
      <c r="W532" s="48"/>
      <c r="X532" s="50"/>
      <c r="Y532" s="50"/>
      <c r="Z532" s="48" t="n">
        <f aca="false">IF(A532="","",IF(AND(Parameter!$B$21="Ja",ISNUMBER(W532)),W532,IF(BZ532="2+3",IF(ISNUMBER(SEARCH("grosser Artikel",BR532)),2,IFERROR(VLOOKUP(BU532,Parameter!$F$35:$G$64,2,0),2)),IF(OR(BZ532="Nein",BZ532=""),"-",BZ532))))</f>
        <v>3</v>
      </c>
      <c r="AA532" s="55"/>
      <c r="AB532" s="56"/>
      <c r="AC532" s="50" t="n">
        <f aca="false">AT532</f>
        <v>11</v>
      </c>
      <c r="AD532" s="50" t="n">
        <f aca="false">MAX(AT532,H532)</f>
        <v>22</v>
      </c>
      <c r="AE532" s="57"/>
      <c r="AF532" s="50" t="n">
        <f aca="false">IF(LEFT(Cockpit!$C$5,1)="A",H532,IF(CE532=1,CF532,IF(LEFT(Cockpit!$C$5,1)="B",AK532,MAX(AK532,H532))))</f>
        <v>22</v>
      </c>
      <c r="AG532" s="50" t="n">
        <f aca="false">IF(BW532=1,0,ROUNDUP(AF532/BV532,0))</f>
        <v>2</v>
      </c>
      <c r="AH532" s="52" t="n">
        <f aca="false">IF(CL532&gt;0,CL532*MAX(1,AF532/X532),IF(BW532=1,IF(AF532&lt;=0,0,CA532*MAX(1,IF(H532&gt;0,AF532/H532,1))),IF(R532&gt;0,AG532/R532,0))/MAX(0.1,N(Parameter!$M$21)))</f>
        <v>0.0192307692307692</v>
      </c>
      <c r="AI532" s="50" t="n">
        <f aca="false">AH532*BY532</f>
        <v>2.98076923076923</v>
      </c>
      <c r="AJ532" s="50" t="n">
        <f aca="false">AF532*G532</f>
        <v>72.38</v>
      </c>
      <c r="AK532" s="50" t="n">
        <f aca="false">ROUNDUP(MAX(J532/IF(CD532&gt;0,CD532,MAX(0.1,N(Cockpit!$C$6))),CG532)/BV532,0)*BV532</f>
        <v>11</v>
      </c>
      <c r="AL532" s="51" t="n">
        <f aca="false">IF(AI532&gt;0,J532/AI532,-1)</f>
        <v>0.335483870967742</v>
      </c>
      <c r="AM532" s="51" t="n">
        <f aca="false">IF(AND(OR(CC532="L1",CC532="L23",CC532="LIFT"),AI532&gt;0),SUMIFS($AI$7:$AI$1843,$CC$7:$CC$1843,CC532,$AL$7:$AL$1843,"&gt;"&amp;AL532)+SUMIFS($AI$7:$AI$1843,$CC$7:$CC$1843,CC532,$AL$7:$AL$1843,AL532,$BT$7:$BT$1843,"&lt;="&amp;BT532),"")</f>
        <v>11183.0385779475</v>
      </c>
      <c r="AN532" s="58" t="n">
        <f aca="false">IF(AM532="",0,MAX(0,MIN(1,(IF(CC532="L1",Parameter!$H$5,IF(CC532="L23",Parameter!$H$6+Parameter!$H$7,Parameter!$H$5+Parameter!$H$6+Parameter!$H$7))-(AM532-AI532))/AI532)))</f>
        <v>1</v>
      </c>
      <c r="AO532" s="50" t="n">
        <f aca="false">IF(LEFT(Cockpit!$I$5,1)="A",H532,IF(CE532=1,CF532,IF(LEFT(Cockpit!$I$5,1)="B",AT532,MAX(AT532,H532))))</f>
        <v>22</v>
      </c>
      <c r="AP532" s="50" t="n">
        <f aca="false">IF(BW532=1,0,ROUNDUP(AO532/BV532,0))</f>
        <v>2</v>
      </c>
      <c r="AQ532" s="52" t="n">
        <f aca="false">IF(CL532&gt;0,CL532*MAX(1,AO532/X532),IF(BW532=1,IF(AO532&lt;=0,0,CA532*MAX(1,IF(H532&gt;0,AO532/H532,1))),IF(R532&gt;0,AP532/R532,0))/MAX(0.1,N(Parameter!$M$21)))</f>
        <v>0.0192307692307692</v>
      </c>
      <c r="AR532" s="50" t="n">
        <f aca="false">AQ532*BY532</f>
        <v>2.98076923076923</v>
      </c>
      <c r="AS532" s="50" t="n">
        <f aca="false">AO532*G532</f>
        <v>72.38</v>
      </c>
      <c r="AT532" s="50" t="n">
        <f aca="false">ROUNDUP(MAX(J532/IF(CD532&gt;0,CD532,MAX(0.1,N(Cockpit!$I$6))),CG532)/BV532,0)*BV532</f>
        <v>11</v>
      </c>
      <c r="AU532" s="51" t="n">
        <f aca="false">IF(AR532&gt;0,J532/AR532,-1)</f>
        <v>0.335483870967742</v>
      </c>
      <c r="AV532" s="51" t="n">
        <f aca="false">IF(AND(OR(CC532="L1",CC532="L23",CC532="LIFT"),AR532&gt;0),SUMIFS($AR$7:$AR$1843,$CC$7:$CC$1843,CC532,$AU$7:$AU$1843,"&gt;"&amp;AU532)+SUMIFS($AR$7:$AR$1843,$CC$7:$CC$1843,CC532,$AU$7:$AU$1843,AU532,$BT$7:$BT$1843,"&lt;="&amp;BT532),"")</f>
        <v>16296.8136446886</v>
      </c>
      <c r="AW532" s="58" t="n">
        <f aca="false">IF(AV532="",0,MAX(0,MIN(1,(IF(CC532="L1",Parameter!$H$5,IF(CC532="L23",Parameter!$H$6+Parameter!$H$7,Parameter!$H$5+Parameter!$H$6+Parameter!$H$7))-(AV532-AR532))/AR532)))</f>
        <v>1</v>
      </c>
      <c r="AX532" s="50" t="n">
        <f aca="false">IF(LEFT(Cockpit!$O$5,1)="A",H532,IF(CE532=1,CF532,IF(LEFT(Cockpit!$O$5,1)="B",BC532,MAX(BC532,H532))))</f>
        <v>22</v>
      </c>
      <c r="AY532" s="50" t="n">
        <f aca="false">IF(BW532=1,0,ROUNDUP(AX532/BV532,0))</f>
        <v>2</v>
      </c>
      <c r="AZ532" s="52" t="n">
        <f aca="false">IF(CL532&gt;0,CL532*MAX(1,AX532/X532),IF(BW532=1,IF(AX532&lt;=0,0,CA532*MAX(1,IF(H532&gt;0,AX532/H532,1))),IF(R532&gt;0,AY532/R532,0))/MAX(0.1,N(Parameter!$M$21)))</f>
        <v>0.0192307692307692</v>
      </c>
      <c r="BA532" s="50" t="n">
        <f aca="false">AZ532*BY532</f>
        <v>2.98076923076923</v>
      </c>
      <c r="BB532" s="50" t="n">
        <f aca="false">AX532*G532</f>
        <v>72.38</v>
      </c>
      <c r="BC532" s="50" t="n">
        <f aca="false">ROUNDUP(MAX(J532/IF(CD532&gt;0,CD532,MAX(0.1,N(Cockpit!$O$6))),CG532)/BV532,0)*BV532</f>
        <v>11</v>
      </c>
      <c r="BD532" s="51" t="n">
        <f aca="false">IF(BA532&gt;0,J532/BA532,-1)</f>
        <v>0.335483870967742</v>
      </c>
      <c r="BE532" s="51" t="n">
        <f aca="false">IF(AND(OR(CC532="L1",CC532="L23",CC532="LIFT"),BA532&gt;0),SUMIFS($BA$7:$BA$1843,$CC$7:$CC$1843,CC532,$BD$7:$BD$1843,"&gt;"&amp;BD532)+SUMIFS($BA$7:$BA$1843,$CC$7:$CC$1843,CC532,$BD$7:$BD$1843,BD532,$BT$7:$BT$1843,"&lt;="&amp;BT532),"")</f>
        <v>15047.4706959707</v>
      </c>
      <c r="BF532" s="58" t="n">
        <f aca="false">IF(BE532="",0,MAX(0,MIN(1,(IF(CC532="L1",Parameter!$H$5,IF(CC532="L23",Parameter!$H$6+Parameter!$H$7,Parameter!$H$5+Parameter!$H$6+Parameter!$H$7))-(BE532-BA532))/BA532)))</f>
        <v>1</v>
      </c>
      <c r="BG532" s="48" t="str">
        <f aca="false">IF(AI532&lt;=0,"",IF(CC532="Aussen","Aussenlager",IF(CC532="-","Nicht im Lift",IF(AN532&gt;=1,"Lift",IF(AN532&lt;=0,"Aussenlager","teilweise")))))</f>
        <v>Lift</v>
      </c>
      <c r="BH532" s="48" t="str">
        <f aca="false">IF(AR532&lt;=0,"",IF(CC532="Aussen","Aussenlager",IF(CC532="-","Nicht im Lift",IF(AW532&gt;=1,"Lift",IF(AW532&lt;=0,"Aussenlager","teilweise")))))</f>
        <v>Lift</v>
      </c>
      <c r="BI532" s="48" t="str">
        <f aca="false">IF(BA532&lt;=0,"",IF(CC532="Aussen","Aussenlager",IF(CC532="-","Nicht im Lift",IF(BF532&gt;=1,"Lift",IF(BF532&lt;=0,"Aussenlager","teilweise")))))</f>
        <v>Lift</v>
      </c>
      <c r="BJ532" s="48" t="str">
        <f aca="false">IF(A532="","",IF(BS532=1,"Neu; ","")&amp;IF(AND(BS532=0,BN532&lt;0),"negativer Bestand (Export "&amp;BN532&amp;"); ","")&amp;IF(J532&lt;=0,"Kein Verbrauch; ","")&amp;IF(CL532&gt;0,"Lift "&amp;W532&amp;" lt. Liftbericht (Fach "&amp;X532&amp;" Stk); ",IF(BX532=1,"Gebinde geschätzt ("&amp;T532&amp;"); ",IF(BW532=1,"Lose – Tablare geschätzt; ","")))&amp;IF(H532&gt;AT532,"Überbestand "&amp;ROUND(H532-AT532,0)&amp;" Stk / CHF "&amp;ROUND((H532-AT532)*G532,0)&amp;"; ","")&amp;IF(AND(CE532=1,CF532&lt;CG532),"MAX &lt; MB+LG; ","")&amp;IF(AND(CK532&gt;0,CJ532*10&gt;CK532),"zu hoch für Tablar; ","")&amp;IF(AND(BS532=0,OR(CE532=1,AA532&lt;&gt;"",U532&lt;&gt;"",V532&lt;&gt;"",AB532&lt;&gt;"")),"manuell übersteuert; ","")&amp;IF(AND(BW532=0,R532=0),"Gebinde unbekannt / Stellmass fehlt; ","")&amp;IF(AND(BW532=0,N(V532)&lt;=0,N(Q532)&lt;=0),"Menge pro Gebinde fehlt (Ist = 1 Gebinde); ","")&amp;BR532)</f>
        <v>Überbestand 11 Stk / CHF 36; </v>
      </c>
      <c r="BK532" s="48"/>
      <c r="BL532" s="48"/>
      <c r="BM532" s="55"/>
      <c r="BN532" s="50" t="n">
        <v>14</v>
      </c>
      <c r="BO532" s="50" t="n">
        <v>8</v>
      </c>
      <c r="BP532" s="49" t="n">
        <v>25.34</v>
      </c>
      <c r="BQ532" s="50" t="n">
        <v>1</v>
      </c>
      <c r="BR532" s="48"/>
      <c r="BS532" s="53" t="n">
        <v>0</v>
      </c>
      <c r="BT532" s="53" t="n">
        <v>532</v>
      </c>
      <c r="BU532" s="48" t="str">
        <f aca="false">IF(U532&lt;&gt;"",UPPER(TRIM(U532)),IF(BX532=1,UPPER(VLOOKUP(T532,Parameter!$I$27:$K$29,2,0)),IF(P532="","LOSE",P532)))</f>
        <v>S32</v>
      </c>
      <c r="BV532" s="50" t="n">
        <f aca="false">IF(BU532="LOSE",1,IF(N(V532)&gt;0,V532,IF(BX532=1,MAX(1,N(VLOOKUP(T532,Parameter!$I$27:$K$29,3,0)),H532,N(N532)),IF(N(Q532)&gt;0,Q532,MAX(1,H532)))))</f>
        <v>11</v>
      </c>
      <c r="BW532" s="53" t="n">
        <f aca="false">IF(BU532="LOSE",1,0)</f>
        <v>0</v>
      </c>
      <c r="BX532" s="53" t="n">
        <f aca="false">IF(AND(U532="",OR(P532="",P532="LOSE"),T532&lt;&gt;"",N(S532)&lt;=0,ISNUMBER(MATCH(T532,Parameter!$I$27:$I$29,0))),1,0)</f>
        <v>0</v>
      </c>
      <c r="BY532" s="53" t="n">
        <f aca="false">IF(CL532&gt;0,INDEX(Parameter!$H$5:$H$7,W532)/INDEX(Parameter!$E$5:$E$7,W532),IF(AND(BW532=0,N(IFERROR(VLOOKUP(BU532,'Gebinde-Kategorie'!$A$5:$N$45,14,0),0))&gt;0),VLOOKUP(BU532,'Gebinde-Kategorie'!$A$5:$N$45,14,0)*10+Parameter!$M$23,Parameter!$M$24))</f>
        <v>155</v>
      </c>
      <c r="BZ532" s="48" t="str">
        <f aca="false">IF(AND(Parameter!$B$19="Ja",E532&lt;&gt;"",ISNUMBER(MATCH(E532,Parameter!$I$35:$I$52,0))),VLOOKUP(E532,Parameter!$I$35:$J$52,2,0),IFERROR(VLOOKUP(D532,Parameter!$A$35:$C$64,2,0),"Nein"))</f>
        <v>2+3</v>
      </c>
      <c r="CA532" s="52" t="n">
        <f aca="false">IF(BW532=0,0,IF(N(S532)&gt;0,S532,IFERROR(VLOOKUP(D532,Parameter!$A$35:$C$64,3,0)+0,0)))</f>
        <v>0</v>
      </c>
      <c r="CB532" s="48" t="n">
        <f aca="false">IF(AA532&lt;&gt;"",AA532,Z532)</f>
        <v>3</v>
      </c>
      <c r="CC532" s="48" t="str">
        <f aca="false">IF(OR(CB532=1,CB532=2,CB532=3),IF(Parameter!$E$27="Ja","LIFT",IF(CB532=1,"L1","L23")),IF(CB532="Aussen","Aussen","-"))</f>
        <v>LIFT</v>
      </c>
      <c r="CD532" s="59" t="n">
        <f aca="false">IF(N(AB532)&gt;0,AB532,0)</f>
        <v>0</v>
      </c>
      <c r="CE532" s="53" t="n">
        <f aca="false">IF(ISNUMBER(AE532),1,0)</f>
        <v>0</v>
      </c>
      <c r="CF532" s="50" t="n">
        <f aca="false">N(AE532)</f>
        <v>0</v>
      </c>
      <c r="CG532" s="50" t="n">
        <f aca="false">N(M532)+N(N532)</f>
        <v>1</v>
      </c>
      <c r="CH532" s="50" t="n">
        <f aca="false">ROUNDUP(H532/BV532,0)</f>
        <v>2</v>
      </c>
      <c r="CI532" s="50" t="n">
        <f aca="false">ROUNDUP(CF532/BV532,0)</f>
        <v>0</v>
      </c>
      <c r="CJ532" s="53" t="n">
        <f aca="false">IF(BW532=1,0,IFERROR(VLOOKUP(BU532,'Gebinde-Kategorie'!$A$5:$N$45,5,0)+0,0))</f>
        <v>8</v>
      </c>
      <c r="CK532" s="53" t="n">
        <f aca="false">IFERROR(IF(OR(CB532=1,CB532=2,CB532=3),N(INDEX(Parameter!$I$5:$I$7,CB532)),0),0)</f>
        <v>0</v>
      </c>
      <c r="CL532" s="52" t="n">
        <f aca="false">IF(AND(Parameter!$B$21="Ja",ISNUMBER(W532),N(X532)&gt;0),IFERROR(N(INDEX(Parameter!$L$5:$L$7,W532))*INDEX(Parameter!$E$5:$E$7,W532)*X532/SUMIFS($X$7:$X$1843,$W$7:$W$1843,W532),0),0)</f>
        <v>0</v>
      </c>
    </row>
    <row r="533" customFormat="false" ht="15" hidden="false" customHeight="false" outlineLevel="0" collapsed="false">
      <c r="A533" s="48" t="s">
        <v>1153</v>
      </c>
      <c r="B533" s="48" t="s">
        <v>409</v>
      </c>
      <c r="C533" s="48" t="s">
        <v>168</v>
      </c>
      <c r="D533" s="48" t="s">
        <v>188</v>
      </c>
      <c r="E533" s="48" t="s">
        <v>189</v>
      </c>
      <c r="F533" s="48" t="s">
        <v>222</v>
      </c>
      <c r="G533" s="49" t="n">
        <v>0.06</v>
      </c>
      <c r="H533" s="50" t="n">
        <f aca="false">MAX(0,IF(AND(Parameter!$B$21="Ja",ISNUMBER(Y533)),Y533,IF(Parameter!$B$20="Jahresanfang 2025 + Export",BO533+BN533,BN533)))</f>
        <v>969</v>
      </c>
      <c r="I533" s="50" t="n">
        <f aca="false">H533*G533</f>
        <v>58.14</v>
      </c>
      <c r="J533" s="50" t="n">
        <f aca="false">BQ533*Parameter!$B$18</f>
        <v>604</v>
      </c>
      <c r="K533" s="51" t="n">
        <v>493.5</v>
      </c>
      <c r="L533" s="52" t="n">
        <v>1.22391084093212</v>
      </c>
      <c r="M533" s="50" t="n">
        <v>35</v>
      </c>
      <c r="N533" s="50" t="n">
        <v>605</v>
      </c>
      <c r="O533" s="53" t="n">
        <v>21</v>
      </c>
      <c r="P533" s="48" t="s">
        <v>425</v>
      </c>
      <c r="Q533" s="50" t="n">
        <v>454</v>
      </c>
      <c r="R533" s="53" t="n">
        <f aca="false">IF(BW533=1,0,IFERROR(VLOOKUP(BU533,'Gebinde-Kategorie'!$A$5:$N$45,13,0)+0,0))</f>
        <v>104</v>
      </c>
      <c r="S533" s="54"/>
      <c r="T533" s="55"/>
      <c r="U533" s="55"/>
      <c r="V533" s="55"/>
      <c r="W533" s="48"/>
      <c r="X533" s="50"/>
      <c r="Y533" s="50"/>
      <c r="Z533" s="48" t="n">
        <f aca="false">IF(A533="","",IF(AND(Parameter!$B$21="Ja",ISNUMBER(W533)),W533,IF(BZ533="2+3",IF(ISNUMBER(SEARCH("grosser Artikel",BR533)),2,IFERROR(VLOOKUP(BU533,Parameter!$F$35:$G$64,2,0),2)),IF(OR(BZ533="Nein",BZ533=""),"-",BZ533))))</f>
        <v>3</v>
      </c>
      <c r="AA533" s="55"/>
      <c r="AB533" s="56"/>
      <c r="AC533" s="50" t="n">
        <f aca="false">AT533</f>
        <v>908</v>
      </c>
      <c r="AD533" s="50" t="n">
        <f aca="false">MAX(AT533,H533)</f>
        <v>969</v>
      </c>
      <c r="AE533" s="57"/>
      <c r="AF533" s="50" t="n">
        <f aca="false">IF(LEFT(Cockpit!$C$5,1)="A",H533,IF(CE533=1,CF533,IF(LEFT(Cockpit!$C$5,1)="B",AK533,MAX(AK533,H533))))</f>
        <v>969</v>
      </c>
      <c r="AG533" s="50" t="n">
        <f aca="false">IF(BW533=1,0,ROUNDUP(AF533/BV533,0))</f>
        <v>3</v>
      </c>
      <c r="AH533" s="52" t="n">
        <f aca="false">IF(CL533&gt;0,CL533*MAX(1,AF533/X533),IF(BW533=1,IF(AF533&lt;=0,0,CA533*MAX(1,IF(H533&gt;0,AF533/H533,1))),IF(R533&gt;0,AG533/R533,0))/MAX(0.1,N(Parameter!$M$21)))</f>
        <v>0.0288461538461538</v>
      </c>
      <c r="AI533" s="50" t="n">
        <f aca="false">AH533*BY533</f>
        <v>4.47115384615385</v>
      </c>
      <c r="AJ533" s="50" t="n">
        <f aca="false">AF533*G533</f>
        <v>58.14</v>
      </c>
      <c r="AK533" s="50" t="n">
        <f aca="false">ROUNDUP(MAX(J533/IF(CD533&gt;0,CD533,MAX(0.1,N(Cockpit!$C$6))),CG533)/BV533,0)*BV533</f>
        <v>908</v>
      </c>
      <c r="AL533" s="51" t="n">
        <f aca="false">IF(AI533&gt;0,J533/AI533,-1)</f>
        <v>135.088172043011</v>
      </c>
      <c r="AM533" s="51" t="n">
        <f aca="false">IF(AND(OR(CC533="L1",CC533="L23",CC533="LIFT"),AI533&gt;0),SUMIFS($AI$7:$AI$1843,$CC$7:$CC$1843,CC533,$AL$7:$AL$1843,"&gt;"&amp;AL533)+SUMIFS($AI$7:$AI$1843,$CC$7:$CC$1843,CC533,$AL$7:$AL$1843,AL533,$BT$7:$BT$1843,"&lt;="&amp;BT533),"")</f>
        <v>539.856227106227</v>
      </c>
      <c r="AN533" s="58" t="n">
        <f aca="false">IF(AM533="",0,MAX(0,MIN(1,(IF(CC533="L1",Parameter!$H$5,IF(CC533="L23",Parameter!$H$6+Parameter!$H$7,Parameter!$H$5+Parameter!$H$6+Parameter!$H$7))-(AM533-AI533))/AI533)))</f>
        <v>1</v>
      </c>
      <c r="AO533" s="50" t="n">
        <f aca="false">IF(LEFT(Cockpit!$I$5,1)="A",H533,IF(CE533=1,CF533,IF(LEFT(Cockpit!$I$5,1)="B",AT533,MAX(AT533,H533))))</f>
        <v>969</v>
      </c>
      <c r="AP533" s="50" t="n">
        <f aca="false">IF(BW533=1,0,ROUNDUP(AO533/BV533,0))</f>
        <v>3</v>
      </c>
      <c r="AQ533" s="52" t="n">
        <f aca="false">IF(CL533&gt;0,CL533*MAX(1,AO533/X533),IF(BW533=1,IF(AO533&lt;=0,0,CA533*MAX(1,IF(H533&gt;0,AO533/H533,1))),IF(R533&gt;0,AP533/R533,0))/MAX(0.1,N(Parameter!$M$21)))</f>
        <v>0.0288461538461538</v>
      </c>
      <c r="AR533" s="50" t="n">
        <f aca="false">AQ533*BY533</f>
        <v>4.47115384615385</v>
      </c>
      <c r="AS533" s="50" t="n">
        <f aca="false">AO533*G533</f>
        <v>58.14</v>
      </c>
      <c r="AT533" s="50" t="n">
        <f aca="false">ROUNDUP(MAX(J533/IF(CD533&gt;0,CD533,MAX(0.1,N(Cockpit!$I$6))),CG533)/BV533,0)*BV533</f>
        <v>908</v>
      </c>
      <c r="AU533" s="51" t="n">
        <f aca="false">IF(AR533&gt;0,J533/AR533,-1)</f>
        <v>135.088172043011</v>
      </c>
      <c r="AV533" s="51" t="n">
        <f aca="false">IF(AND(OR(CC533="L1",CC533="L23",CC533="LIFT"),AR533&gt;0),SUMIFS($AR$7:$AR$1843,$CC$7:$CC$1843,CC533,$AU$7:$AU$1843,"&gt;"&amp;AU533)+SUMIFS($AR$7:$AR$1843,$CC$7:$CC$1843,CC533,$AU$7:$AU$1843,AU533,$BT$7:$BT$1843,"&lt;="&amp;BT533),"")</f>
        <v>699.981227106227</v>
      </c>
      <c r="AW533" s="58" t="n">
        <f aca="false">IF(AV533="",0,MAX(0,MIN(1,(IF(CC533="L1",Parameter!$H$5,IF(CC533="L23",Parameter!$H$6+Parameter!$H$7,Parameter!$H$5+Parameter!$H$6+Parameter!$H$7))-(AV533-AR533))/AR533)))</f>
        <v>1</v>
      </c>
      <c r="AX533" s="50" t="n">
        <f aca="false">IF(LEFT(Cockpit!$O$5,1)="A",H533,IF(CE533=1,CF533,IF(LEFT(Cockpit!$O$5,1)="B",BC533,MAX(BC533,H533))))</f>
        <v>969</v>
      </c>
      <c r="AY533" s="50" t="n">
        <f aca="false">IF(BW533=1,0,ROUNDUP(AX533/BV533,0))</f>
        <v>3</v>
      </c>
      <c r="AZ533" s="52" t="n">
        <f aca="false">IF(CL533&gt;0,CL533*MAX(1,AX533/X533),IF(BW533=1,IF(AX533&lt;=0,0,CA533*MAX(1,IF(H533&gt;0,AX533/H533,1))),IF(R533&gt;0,AY533/R533,0))/MAX(0.1,N(Parameter!$M$21)))</f>
        <v>0.0288461538461538</v>
      </c>
      <c r="BA533" s="50" t="n">
        <f aca="false">AZ533*BY533</f>
        <v>4.47115384615385</v>
      </c>
      <c r="BB533" s="50" t="n">
        <f aca="false">AX533*G533</f>
        <v>58.14</v>
      </c>
      <c r="BC533" s="50" t="n">
        <f aca="false">ROUNDUP(MAX(J533/IF(CD533&gt;0,CD533,MAX(0.1,N(Cockpit!$O$6))),CG533)/BV533,0)*BV533</f>
        <v>908</v>
      </c>
      <c r="BD533" s="51" t="n">
        <f aca="false">IF(BA533&gt;0,J533/BA533,-1)</f>
        <v>135.088172043011</v>
      </c>
      <c r="BE533" s="51" t="n">
        <f aca="false">IF(AND(OR(CC533="L1",CC533="L23",CC533="LIFT"),BA533&gt;0),SUMIFS($BA$7:$BA$1843,$CC$7:$CC$1843,CC533,$BD$7:$BD$1843,"&gt;"&amp;BD533)+SUMIFS($BA$7:$BA$1843,$CC$7:$CC$1843,CC533,$BD$7:$BD$1843,BD533,$BT$7:$BT$1843,"&lt;="&amp;BT533),"")</f>
        <v>644.42032967033</v>
      </c>
      <c r="BF533" s="58" t="n">
        <f aca="false">IF(BE533="",0,MAX(0,MIN(1,(IF(CC533="L1",Parameter!$H$5,IF(CC533="L23",Parameter!$H$6+Parameter!$H$7,Parameter!$H$5+Parameter!$H$6+Parameter!$H$7))-(BE533-BA533))/BA533)))</f>
        <v>1</v>
      </c>
      <c r="BG533" s="48" t="str">
        <f aca="false">IF(AI533&lt;=0,"",IF(CC533="Aussen","Aussenlager",IF(CC533="-","Nicht im Lift",IF(AN533&gt;=1,"Lift",IF(AN533&lt;=0,"Aussenlager","teilweise")))))</f>
        <v>Lift</v>
      </c>
      <c r="BH533" s="48" t="str">
        <f aca="false">IF(AR533&lt;=0,"",IF(CC533="Aussen","Aussenlager",IF(CC533="-","Nicht im Lift",IF(AW533&gt;=1,"Lift",IF(AW533&lt;=0,"Aussenlager","teilweise")))))</f>
        <v>Lift</v>
      </c>
      <c r="BI533" s="48" t="str">
        <f aca="false">IF(BA533&lt;=0,"",IF(CC533="Aussen","Aussenlager",IF(CC533="-","Nicht im Lift",IF(BF533&gt;=1,"Lift",IF(BF533&lt;=0,"Aussenlager","teilweise")))))</f>
        <v>Lift</v>
      </c>
      <c r="BJ533" s="48" t="str">
        <f aca="false">IF(A533="","",IF(BS533=1,"Neu; ","")&amp;IF(AND(BS533=0,BN533&lt;0),"negativer Bestand (Export "&amp;BN533&amp;"); ","")&amp;IF(J533&lt;=0,"Kein Verbrauch; ","")&amp;IF(CL533&gt;0,"Lift "&amp;W533&amp;" lt. Liftbericht (Fach "&amp;X533&amp;" Stk); ",IF(BX533=1,"Gebinde geschätzt ("&amp;T533&amp;"); ",IF(BW533=1,"Lose – Tablare geschätzt; ","")))&amp;IF(H533&gt;AT533,"Überbestand "&amp;ROUND(H533-AT533,0)&amp;" Stk / CHF "&amp;ROUND((H533-AT533)*G533,0)&amp;"; ","")&amp;IF(AND(CE533=1,CF533&lt;CG533),"MAX &lt; MB+LG; ","")&amp;IF(AND(CK533&gt;0,CJ533*10&gt;CK533),"zu hoch für Tablar; ","")&amp;IF(AND(BS533=0,OR(CE533=1,AA533&lt;&gt;"",U533&lt;&gt;"",V533&lt;&gt;"",AB533&lt;&gt;"")),"manuell übersteuert; ","")&amp;IF(AND(BW533=0,R533=0),"Gebinde unbekannt / Stellmass fehlt; ","")&amp;IF(AND(BW533=0,N(V533)&lt;=0,N(Q533)&lt;=0),"Menge pro Gebinde fehlt (Ist = 1 Gebinde); ","")&amp;BR533)</f>
        <v>Überbestand 61 Stk / CHF 4; </v>
      </c>
      <c r="BK533" s="48"/>
      <c r="BL533" s="48"/>
      <c r="BM533" s="55"/>
      <c r="BN533" s="50" t="n">
        <v>421</v>
      </c>
      <c r="BO533" s="50" t="n">
        <v>548</v>
      </c>
      <c r="BP533" s="49" t="n">
        <v>25.26</v>
      </c>
      <c r="BQ533" s="50" t="n">
        <v>604</v>
      </c>
      <c r="BR533" s="48"/>
      <c r="BS533" s="53" t="n">
        <v>0</v>
      </c>
      <c r="BT533" s="53" t="n">
        <v>533</v>
      </c>
      <c r="BU533" s="48" t="str">
        <f aca="false">IF(U533&lt;&gt;"",UPPER(TRIM(U533)),IF(BX533=1,UPPER(VLOOKUP(T533,Parameter!$I$27:$K$29,2,0)),IF(P533="","LOSE",P533)))</f>
        <v>S32</v>
      </c>
      <c r="BV533" s="50" t="n">
        <f aca="false">IF(BU533="LOSE",1,IF(N(V533)&gt;0,V533,IF(BX533=1,MAX(1,N(VLOOKUP(T533,Parameter!$I$27:$K$29,3,0)),H533,N(N533)),IF(N(Q533)&gt;0,Q533,MAX(1,H533)))))</f>
        <v>454</v>
      </c>
      <c r="BW533" s="53" t="n">
        <f aca="false">IF(BU533="LOSE",1,0)</f>
        <v>0</v>
      </c>
      <c r="BX533" s="53" t="n">
        <f aca="false">IF(AND(U533="",OR(P533="",P533="LOSE"),T533&lt;&gt;"",N(S533)&lt;=0,ISNUMBER(MATCH(T533,Parameter!$I$27:$I$29,0))),1,0)</f>
        <v>0</v>
      </c>
      <c r="BY533" s="53" t="n">
        <f aca="false">IF(CL533&gt;0,INDEX(Parameter!$H$5:$H$7,W533)/INDEX(Parameter!$E$5:$E$7,W533),IF(AND(BW533=0,N(IFERROR(VLOOKUP(BU533,'Gebinde-Kategorie'!$A$5:$N$45,14,0),0))&gt;0),VLOOKUP(BU533,'Gebinde-Kategorie'!$A$5:$N$45,14,0)*10+Parameter!$M$23,Parameter!$M$24))</f>
        <v>155</v>
      </c>
      <c r="BZ533" s="48" t="str">
        <f aca="false">IF(AND(Parameter!$B$19="Ja",E533&lt;&gt;"",ISNUMBER(MATCH(E533,Parameter!$I$35:$I$52,0))),VLOOKUP(E533,Parameter!$I$35:$J$52,2,0),IFERROR(VLOOKUP(D533,Parameter!$A$35:$C$64,2,0),"Nein"))</f>
        <v>2+3</v>
      </c>
      <c r="CA533" s="52" t="n">
        <f aca="false">IF(BW533=0,0,IF(N(S533)&gt;0,S533,IFERROR(VLOOKUP(D533,Parameter!$A$35:$C$64,3,0)+0,0)))</f>
        <v>0</v>
      </c>
      <c r="CB533" s="48" t="n">
        <f aca="false">IF(AA533&lt;&gt;"",AA533,Z533)</f>
        <v>3</v>
      </c>
      <c r="CC533" s="48" t="str">
        <f aca="false">IF(OR(CB533=1,CB533=2,CB533=3),IF(Parameter!$E$27="Ja","LIFT",IF(CB533=1,"L1","L23")),IF(CB533="Aussen","Aussen","-"))</f>
        <v>LIFT</v>
      </c>
      <c r="CD533" s="59" t="n">
        <f aca="false">IF(N(AB533)&gt;0,AB533,0)</f>
        <v>0</v>
      </c>
      <c r="CE533" s="53" t="n">
        <f aca="false">IF(ISNUMBER(AE533),1,0)</f>
        <v>0</v>
      </c>
      <c r="CF533" s="50" t="n">
        <f aca="false">N(AE533)</f>
        <v>0</v>
      </c>
      <c r="CG533" s="50" t="n">
        <f aca="false">N(M533)+N(N533)</f>
        <v>640</v>
      </c>
      <c r="CH533" s="50" t="n">
        <f aca="false">ROUNDUP(H533/BV533,0)</f>
        <v>3</v>
      </c>
      <c r="CI533" s="50" t="n">
        <f aca="false">ROUNDUP(CF533/BV533,0)</f>
        <v>0</v>
      </c>
      <c r="CJ533" s="53" t="n">
        <f aca="false">IF(BW533=1,0,IFERROR(VLOOKUP(BU533,'Gebinde-Kategorie'!$A$5:$N$45,5,0)+0,0))</f>
        <v>8</v>
      </c>
      <c r="CK533" s="53" t="n">
        <f aca="false">IFERROR(IF(OR(CB533=1,CB533=2,CB533=3),N(INDEX(Parameter!$I$5:$I$7,CB533)),0),0)</f>
        <v>0</v>
      </c>
      <c r="CL533" s="52" t="n">
        <f aca="false">IF(AND(Parameter!$B$21="Ja",ISNUMBER(W533),N(X533)&gt;0),IFERROR(N(INDEX(Parameter!$L$5:$L$7,W533))*INDEX(Parameter!$E$5:$E$7,W533)*X533/SUMIFS($X$7:$X$1843,$W$7:$W$1843,W533),0),0)</f>
        <v>0</v>
      </c>
    </row>
    <row r="534" customFormat="false" ht="15" hidden="false" customHeight="false" outlineLevel="0" collapsed="false">
      <c r="A534" s="48" t="s">
        <v>1154</v>
      </c>
      <c r="B534" s="48" t="s">
        <v>1155</v>
      </c>
      <c r="C534" s="48" t="s">
        <v>168</v>
      </c>
      <c r="D534" s="48" t="s">
        <v>188</v>
      </c>
      <c r="E534" s="48" t="s">
        <v>189</v>
      </c>
      <c r="F534" s="48" t="s">
        <v>222</v>
      </c>
      <c r="G534" s="49" t="n">
        <v>24.7</v>
      </c>
      <c r="H534" s="50" t="n">
        <f aca="false">MAX(0,IF(AND(Parameter!$B$21="Ja",ISNUMBER(Y534)),Y534,IF(Parameter!$B$20="Jahresanfang 2025 + Export",BO534+BN534,BN534)))</f>
        <v>51</v>
      </c>
      <c r="I534" s="50" t="n">
        <f aca="false">H534*G534</f>
        <v>1259.7</v>
      </c>
      <c r="J534" s="50" t="n">
        <f aca="false">BQ534*Parameter!$B$18</f>
        <v>0</v>
      </c>
      <c r="K534" s="51" t="n">
        <v>50.5</v>
      </c>
      <c r="L534" s="52" t="n">
        <v>0</v>
      </c>
      <c r="M534" s="50" t="n">
        <v>0</v>
      </c>
      <c r="N534" s="50" t="n">
        <v>1</v>
      </c>
      <c r="O534" s="53" t="n">
        <v>14</v>
      </c>
      <c r="P534" s="48" t="s">
        <v>425</v>
      </c>
      <c r="Q534" s="50" t="n">
        <v>47</v>
      </c>
      <c r="R534" s="53" t="n">
        <f aca="false">IF(BW534=1,0,IFERROR(VLOOKUP(BU534,'Gebinde-Kategorie'!$A$5:$N$45,13,0)+0,0))</f>
        <v>104</v>
      </c>
      <c r="S534" s="54"/>
      <c r="T534" s="55"/>
      <c r="U534" s="55"/>
      <c r="V534" s="55"/>
      <c r="W534" s="48"/>
      <c r="X534" s="50"/>
      <c r="Y534" s="50"/>
      <c r="Z534" s="48" t="n">
        <f aca="false">IF(A534="","",IF(AND(Parameter!$B$21="Ja",ISNUMBER(W534)),W534,IF(BZ534="2+3",IF(ISNUMBER(SEARCH("grosser Artikel",BR534)),2,IFERROR(VLOOKUP(BU534,Parameter!$F$35:$G$64,2,0),2)),IF(OR(BZ534="Nein",BZ534=""),"-",BZ534))))</f>
        <v>3</v>
      </c>
      <c r="AA534" s="55"/>
      <c r="AB534" s="56"/>
      <c r="AC534" s="50" t="n">
        <f aca="false">AT534</f>
        <v>47</v>
      </c>
      <c r="AD534" s="50" t="n">
        <f aca="false">MAX(AT534,H534)</f>
        <v>51</v>
      </c>
      <c r="AE534" s="57"/>
      <c r="AF534" s="50" t="n">
        <f aca="false">IF(LEFT(Cockpit!$C$5,1)="A",H534,IF(CE534=1,CF534,IF(LEFT(Cockpit!$C$5,1)="B",AK534,MAX(AK534,H534))))</f>
        <v>51</v>
      </c>
      <c r="AG534" s="50" t="n">
        <f aca="false">IF(BW534=1,0,ROUNDUP(AF534/BV534,0))</f>
        <v>2</v>
      </c>
      <c r="AH534" s="52" t="n">
        <f aca="false">IF(CL534&gt;0,CL534*MAX(1,AF534/X534),IF(BW534=1,IF(AF534&lt;=0,0,CA534*MAX(1,IF(H534&gt;0,AF534/H534,1))),IF(R534&gt;0,AG534/R534,0))/MAX(0.1,N(Parameter!$M$21)))</f>
        <v>0.0192307692307692</v>
      </c>
      <c r="AI534" s="50" t="n">
        <f aca="false">AH534*BY534</f>
        <v>2.98076923076923</v>
      </c>
      <c r="AJ534" s="50" t="n">
        <f aca="false">AF534*G534</f>
        <v>1259.7</v>
      </c>
      <c r="AK534" s="50" t="n">
        <f aca="false">ROUNDUP(MAX(J534/IF(CD534&gt;0,CD534,MAX(0.1,N(Cockpit!$C$6))),CG534)/BV534,0)*BV534</f>
        <v>47</v>
      </c>
      <c r="AL534" s="51" t="n">
        <f aca="false">IF(AI534&gt;0,J534/AI534,-1)</f>
        <v>0</v>
      </c>
      <c r="AM534" s="51" t="n">
        <f aca="false">IF(AND(OR(CC534="L1",CC534="L23",CC534="LIFT"),AI534&gt;0),SUMIFS($AI$7:$AI$1843,$CC$7:$CC$1843,CC534,$AL$7:$AL$1843,"&gt;"&amp;AL534)+SUMIFS($AI$7:$AI$1843,$CC$7:$CC$1843,CC534,$AL$7:$AL$1843,AL534,$BT$7:$BT$1843,"&lt;="&amp;BT534),"")</f>
        <v>28343.4452230914</v>
      </c>
      <c r="AN534" s="58" t="n">
        <f aca="false">IF(AM534="",0,MAX(0,MIN(1,(IF(CC534="L1",Parameter!$H$5,IF(CC534="L23",Parameter!$H$6+Parameter!$H$7,Parameter!$H$5+Parameter!$H$6+Parameter!$H$7))-(AM534-AI534))/AI534)))</f>
        <v>1</v>
      </c>
      <c r="AO534" s="50" t="n">
        <f aca="false">IF(LEFT(Cockpit!$I$5,1)="A",H534,IF(CE534=1,CF534,IF(LEFT(Cockpit!$I$5,1)="B",AT534,MAX(AT534,H534))))</f>
        <v>51</v>
      </c>
      <c r="AP534" s="50" t="n">
        <f aca="false">IF(BW534=1,0,ROUNDUP(AO534/BV534,0))</f>
        <v>2</v>
      </c>
      <c r="AQ534" s="52" t="n">
        <f aca="false">IF(CL534&gt;0,CL534*MAX(1,AO534/X534),IF(BW534=1,IF(AO534&lt;=0,0,CA534*MAX(1,IF(H534&gt;0,AO534/H534,1))),IF(R534&gt;0,AP534/R534,0))/MAX(0.1,N(Parameter!$M$21)))</f>
        <v>0.0192307692307692</v>
      </c>
      <c r="AR534" s="50" t="n">
        <f aca="false">AQ534*BY534</f>
        <v>2.98076923076923</v>
      </c>
      <c r="AS534" s="50" t="n">
        <f aca="false">AO534*G534</f>
        <v>1259.7</v>
      </c>
      <c r="AT534" s="50" t="n">
        <f aca="false">ROUNDUP(MAX(J534/IF(CD534&gt;0,CD534,MAX(0.1,N(Cockpit!$I$6))),CG534)/BV534,0)*BV534</f>
        <v>47</v>
      </c>
      <c r="AU534" s="51" t="n">
        <f aca="false">IF(AR534&gt;0,J534/AR534,-1)</f>
        <v>0</v>
      </c>
      <c r="AV534" s="51" t="n">
        <f aca="false">IF(AND(OR(CC534="L1",CC534="L23",CC534="LIFT"),AR534&gt;0),SUMIFS($AR$7:$AR$1843,$CC$7:$CC$1843,CC534,$AU$7:$AU$1843,"&gt;"&amp;AU534)+SUMIFS($AR$7:$AR$1843,$CC$7:$CC$1843,CC534,$AU$7:$AU$1843,AU534,$BT$7:$BT$1843,"&lt;="&amp;BT534),"")</f>
        <v>39656.3507403613</v>
      </c>
      <c r="AW534" s="58" t="n">
        <f aca="false">IF(AV534="",0,MAX(0,MIN(1,(IF(CC534="L1",Parameter!$H$5,IF(CC534="L23",Parameter!$H$6+Parameter!$H$7,Parameter!$H$5+Parameter!$H$6+Parameter!$H$7))-(AV534-AR534))/AR534)))</f>
        <v>0</v>
      </c>
      <c r="AX534" s="50" t="n">
        <f aca="false">IF(LEFT(Cockpit!$O$5,1)="A",H534,IF(CE534=1,CF534,IF(LEFT(Cockpit!$O$5,1)="B",BC534,MAX(BC534,H534))))</f>
        <v>51</v>
      </c>
      <c r="AY534" s="50" t="n">
        <f aca="false">IF(BW534=1,0,ROUNDUP(AX534/BV534,0))</f>
        <v>2</v>
      </c>
      <c r="AZ534" s="52" t="n">
        <f aca="false">IF(CL534&gt;0,CL534*MAX(1,AX534/X534),IF(BW534=1,IF(AX534&lt;=0,0,CA534*MAX(1,IF(H534&gt;0,AX534/H534,1))),IF(R534&gt;0,AY534/R534,0))/MAX(0.1,N(Parameter!$M$21)))</f>
        <v>0.0192307692307692</v>
      </c>
      <c r="BA534" s="50" t="n">
        <f aca="false">AZ534*BY534</f>
        <v>2.98076923076923</v>
      </c>
      <c r="BB534" s="50" t="n">
        <f aca="false">AX534*G534</f>
        <v>1259.7</v>
      </c>
      <c r="BC534" s="50" t="n">
        <f aca="false">ROUNDUP(MAX(J534/IF(CD534&gt;0,CD534,MAX(0.1,N(Cockpit!$O$6))),CG534)/BV534,0)*BV534</f>
        <v>47</v>
      </c>
      <c r="BD534" s="51" t="n">
        <f aca="false">IF(BA534&gt;0,J534/BA534,-1)</f>
        <v>0</v>
      </c>
      <c r="BE534" s="51" t="n">
        <f aca="false">IF(AND(OR(CC534="L1",CC534="L23",CC534="LIFT"),BA534&gt;0),SUMIFS($BA$7:$BA$1843,$CC$7:$CC$1843,CC534,$BD$7:$BD$1843,"&gt;"&amp;BD534)+SUMIFS($BA$7:$BA$1843,$CC$7:$CC$1843,CC534,$BD$7:$BD$1843,BD534,$BT$7:$BT$1843,"&lt;="&amp;BT534),"")</f>
        <v>36331.3627822272</v>
      </c>
      <c r="BF534" s="58" t="n">
        <f aca="false">IF(BE534="",0,MAX(0,MIN(1,(IF(CC534="L1",Parameter!$H$5,IF(CC534="L23",Parameter!$H$6+Parameter!$H$7,Parameter!$H$5+Parameter!$H$6+Parameter!$H$7))-(BE534-BA534))/BA534)))</f>
        <v>0</v>
      </c>
      <c r="BG534" s="48" t="str">
        <f aca="false">IF(AI534&lt;=0,"",IF(CC534="Aussen","Aussenlager",IF(CC534="-","Nicht im Lift",IF(AN534&gt;=1,"Lift",IF(AN534&lt;=0,"Aussenlager","teilweise")))))</f>
        <v>Lift</v>
      </c>
      <c r="BH534" s="48" t="str">
        <f aca="false">IF(AR534&lt;=0,"",IF(CC534="Aussen","Aussenlager",IF(CC534="-","Nicht im Lift",IF(AW534&gt;=1,"Lift",IF(AW534&lt;=0,"Aussenlager","teilweise")))))</f>
        <v>Aussenlager</v>
      </c>
      <c r="BI534" s="48" t="str">
        <f aca="false">IF(BA534&lt;=0,"",IF(CC534="Aussen","Aussenlager",IF(CC534="-","Nicht im Lift",IF(BF534&gt;=1,"Lift",IF(BF534&lt;=0,"Aussenlager","teilweise")))))</f>
        <v>Aussenlager</v>
      </c>
      <c r="BJ534" s="48" t="str">
        <f aca="false">IF(A534="","",IF(BS534=1,"Neu; ","")&amp;IF(AND(BS534=0,BN534&lt;0),"negativer Bestand (Export "&amp;BN534&amp;"); ","")&amp;IF(J534&lt;=0,"Kein Verbrauch; ","")&amp;IF(CL534&gt;0,"Lift "&amp;W534&amp;" lt. Liftbericht (Fach "&amp;X534&amp;" Stk); ",IF(BX534=1,"Gebinde geschätzt ("&amp;T534&amp;"); ",IF(BW534=1,"Lose – Tablare geschätzt; ","")))&amp;IF(H534&gt;AT534,"Überbestand "&amp;ROUND(H534-AT534,0)&amp;" Stk / CHF "&amp;ROUND((H534-AT534)*G534,0)&amp;"; ","")&amp;IF(AND(CE534=1,CF534&lt;CG534),"MAX &lt; MB+LG; ","")&amp;IF(AND(CK534&gt;0,CJ534*10&gt;CK534),"zu hoch für Tablar; ","")&amp;IF(AND(BS534=0,OR(CE534=1,AA534&lt;&gt;"",U534&lt;&gt;"",V534&lt;&gt;"",AB534&lt;&gt;"")),"manuell übersteuert; ","")&amp;IF(AND(BW534=0,R534=0),"Gebinde unbekannt / Stellmass fehlt; ","")&amp;IF(AND(BW534=0,N(V534)&lt;=0,N(Q534)&lt;=0),"Menge pro Gebinde fehlt (Ist = 1 Gebinde); ","")&amp;BR534)</f>
        <v>Kein Verbrauch; Überbestand 4 Stk / CHF 99; Twin</v>
      </c>
      <c r="BK534" s="48"/>
      <c r="BL534" s="48"/>
      <c r="BM534" s="55"/>
      <c r="BN534" s="50" t="n">
        <v>1</v>
      </c>
      <c r="BO534" s="50" t="n">
        <v>50</v>
      </c>
      <c r="BP534" s="49" t="n">
        <v>24.7</v>
      </c>
      <c r="BQ534" s="50" t="n">
        <v>0</v>
      </c>
      <c r="BR534" s="48" t="s">
        <v>218</v>
      </c>
      <c r="BS534" s="53" t="n">
        <v>0</v>
      </c>
      <c r="BT534" s="53" t="n">
        <v>534</v>
      </c>
      <c r="BU534" s="48" t="str">
        <f aca="false">IF(U534&lt;&gt;"",UPPER(TRIM(U534)),IF(BX534=1,UPPER(VLOOKUP(T534,Parameter!$I$27:$K$29,2,0)),IF(P534="","LOSE",P534)))</f>
        <v>S32</v>
      </c>
      <c r="BV534" s="50" t="n">
        <f aca="false">IF(BU534="LOSE",1,IF(N(V534)&gt;0,V534,IF(BX534=1,MAX(1,N(VLOOKUP(T534,Parameter!$I$27:$K$29,3,0)),H534,N(N534)),IF(N(Q534)&gt;0,Q534,MAX(1,H534)))))</f>
        <v>47</v>
      </c>
      <c r="BW534" s="53" t="n">
        <f aca="false">IF(BU534="LOSE",1,0)</f>
        <v>0</v>
      </c>
      <c r="BX534" s="53" t="n">
        <f aca="false">IF(AND(U534="",OR(P534="",P534="LOSE"),T534&lt;&gt;"",N(S534)&lt;=0,ISNUMBER(MATCH(T534,Parameter!$I$27:$I$29,0))),1,0)</f>
        <v>0</v>
      </c>
      <c r="BY534" s="53" t="n">
        <f aca="false">IF(CL534&gt;0,INDEX(Parameter!$H$5:$H$7,W534)/INDEX(Parameter!$E$5:$E$7,W534),IF(AND(BW534=0,N(IFERROR(VLOOKUP(BU534,'Gebinde-Kategorie'!$A$5:$N$45,14,0),0))&gt;0),VLOOKUP(BU534,'Gebinde-Kategorie'!$A$5:$N$45,14,0)*10+Parameter!$M$23,Parameter!$M$24))</f>
        <v>155</v>
      </c>
      <c r="BZ534" s="48" t="str">
        <f aca="false">IF(AND(Parameter!$B$19="Ja",E534&lt;&gt;"",ISNUMBER(MATCH(E534,Parameter!$I$35:$I$52,0))),VLOOKUP(E534,Parameter!$I$35:$J$52,2,0),IFERROR(VLOOKUP(D534,Parameter!$A$35:$C$64,2,0),"Nein"))</f>
        <v>2+3</v>
      </c>
      <c r="CA534" s="52" t="n">
        <f aca="false">IF(BW534=0,0,IF(N(S534)&gt;0,S534,IFERROR(VLOOKUP(D534,Parameter!$A$35:$C$64,3,0)+0,0)))</f>
        <v>0</v>
      </c>
      <c r="CB534" s="48" t="n">
        <f aca="false">IF(AA534&lt;&gt;"",AA534,Z534)</f>
        <v>3</v>
      </c>
      <c r="CC534" s="48" t="str">
        <f aca="false">IF(OR(CB534=1,CB534=2,CB534=3),IF(Parameter!$E$27="Ja","LIFT",IF(CB534=1,"L1","L23")),IF(CB534="Aussen","Aussen","-"))</f>
        <v>LIFT</v>
      </c>
      <c r="CD534" s="59" t="n">
        <f aca="false">IF(N(AB534)&gt;0,AB534,0)</f>
        <v>0</v>
      </c>
      <c r="CE534" s="53" t="n">
        <f aca="false">IF(ISNUMBER(AE534),1,0)</f>
        <v>0</v>
      </c>
      <c r="CF534" s="50" t="n">
        <f aca="false">N(AE534)</f>
        <v>0</v>
      </c>
      <c r="CG534" s="50" t="n">
        <f aca="false">N(M534)+N(N534)</f>
        <v>1</v>
      </c>
      <c r="CH534" s="50" t="n">
        <f aca="false">ROUNDUP(H534/BV534,0)</f>
        <v>2</v>
      </c>
      <c r="CI534" s="50" t="n">
        <f aca="false">ROUNDUP(CF534/BV534,0)</f>
        <v>0</v>
      </c>
      <c r="CJ534" s="53" t="n">
        <f aca="false">IF(BW534=1,0,IFERROR(VLOOKUP(BU534,'Gebinde-Kategorie'!$A$5:$N$45,5,0)+0,0))</f>
        <v>8</v>
      </c>
      <c r="CK534" s="53" t="n">
        <f aca="false">IFERROR(IF(OR(CB534=1,CB534=2,CB534=3),N(INDEX(Parameter!$I$5:$I$7,CB534)),0),0)</f>
        <v>0</v>
      </c>
      <c r="CL534" s="52" t="n">
        <f aca="false">IF(AND(Parameter!$B$21="Ja",ISNUMBER(W534),N(X534)&gt;0),IFERROR(N(INDEX(Parameter!$L$5:$L$7,W534))*INDEX(Parameter!$E$5:$E$7,W534)*X534/SUMIFS($X$7:$X$1843,$W$7:$W$1843,W534),0),0)</f>
        <v>0</v>
      </c>
    </row>
    <row r="535" customFormat="false" ht="15" hidden="false" customHeight="false" outlineLevel="0" collapsed="false">
      <c r="A535" s="48" t="s">
        <v>1156</v>
      </c>
      <c r="B535" s="48" t="s">
        <v>407</v>
      </c>
      <c r="C535" s="48" t="s">
        <v>168</v>
      </c>
      <c r="D535" s="48" t="s">
        <v>999</v>
      </c>
      <c r="E535" s="48"/>
      <c r="F535" s="48" t="s">
        <v>222</v>
      </c>
      <c r="G535" s="49" t="n">
        <v>2.02</v>
      </c>
      <c r="H535" s="50" t="n">
        <f aca="false">MAX(0,IF(AND(Parameter!$B$21="Ja",ISNUMBER(Y535)),Y535,IF(Parameter!$B$20="Jahresanfang 2025 + Export",BO535+BN535,BN535)))</f>
        <v>12</v>
      </c>
      <c r="I535" s="50" t="n">
        <f aca="false">H535*G535</f>
        <v>24.24</v>
      </c>
      <c r="J535" s="50" t="n">
        <f aca="false">BQ535*Parameter!$B$18</f>
        <v>48</v>
      </c>
      <c r="K535" s="51" t="n">
        <v>6</v>
      </c>
      <c r="L535" s="52" t="n">
        <v>8</v>
      </c>
      <c r="M535" s="50" t="n">
        <v>0</v>
      </c>
      <c r="N535" s="50" t="n">
        <v>1</v>
      </c>
      <c r="O535" s="53" t="n">
        <v>28</v>
      </c>
      <c r="P535" s="48" t="s">
        <v>172</v>
      </c>
      <c r="Q535" s="50"/>
      <c r="R535" s="53" t="n">
        <f aca="false">IF(BW535=1,0,IFERROR(VLOOKUP(BU535,'Gebinde-Kategorie'!$A$5:$N$45,13,0)+0,0))</f>
        <v>0</v>
      </c>
      <c r="S535" s="54"/>
      <c r="T535" s="55"/>
      <c r="U535" s="55"/>
      <c r="V535" s="55"/>
      <c r="W535" s="48"/>
      <c r="X535" s="50"/>
      <c r="Y535" s="50"/>
      <c r="Z535" s="48" t="str">
        <f aca="false">IF(A535="","",IF(AND(Parameter!$B$21="Ja",ISNUMBER(W535)),W535,IF(BZ535="2+3",IF(ISNUMBER(SEARCH("grosser Artikel",BR535)),2,IFERROR(VLOOKUP(BU535,Parameter!$F$35:$G$64,2,0),2)),IF(OR(BZ535="Nein",BZ535=""),"-",BZ535))))</f>
        <v>-</v>
      </c>
      <c r="AA535" s="55"/>
      <c r="AB535" s="56"/>
      <c r="AC535" s="50" t="n">
        <f aca="false">AT535</f>
        <v>24</v>
      </c>
      <c r="AD535" s="50" t="n">
        <f aca="false">MAX(AT535,H535)</f>
        <v>24</v>
      </c>
      <c r="AE535" s="57"/>
      <c r="AF535" s="50" t="n">
        <f aca="false">IF(LEFT(Cockpit!$C$5,1)="A",H535,IF(CE535=1,CF535,IF(LEFT(Cockpit!$C$5,1)="B",AK535,MAX(AK535,H535))))</f>
        <v>12</v>
      </c>
      <c r="AG535" s="50" t="n">
        <f aca="false">IF(BW535=1,0,ROUNDUP(AF535/BV535,0))</f>
        <v>0</v>
      </c>
      <c r="AH535" s="52" t="n">
        <f aca="false">IF(CL535&gt;0,CL535*MAX(1,AF535/X535),IF(BW535=1,IF(AF535&lt;=0,0,CA535*MAX(1,IF(H535&gt;0,AF535/H535,1))),IF(R535&gt;0,AG535/R535,0))/MAX(0.1,N(Parameter!$M$21)))</f>
        <v>0.15</v>
      </c>
      <c r="AI535" s="50" t="n">
        <f aca="false">AH535*BY535</f>
        <v>35.25</v>
      </c>
      <c r="AJ535" s="50" t="n">
        <f aca="false">AF535*G535</f>
        <v>24.24</v>
      </c>
      <c r="AK535" s="50" t="n">
        <f aca="false">ROUNDUP(MAX(J535/IF(CD535&gt;0,CD535,MAX(0.1,N(Cockpit!$C$6))),CG535)/BV535,0)*BV535</f>
        <v>24</v>
      </c>
      <c r="AL535" s="51" t="n">
        <f aca="false">IF(AI535&gt;0,J535/AI535,-1)</f>
        <v>1.36170212765957</v>
      </c>
      <c r="AM535" s="51" t="str">
        <f aca="false">IF(AND(OR(CC535="L1",CC535="L23",CC535="LIFT"),AI535&gt;0),SUMIFS($AI$7:$AI$1843,$CC$7:$CC$1843,CC535,$AL$7:$AL$1843,"&gt;"&amp;AL535)+SUMIFS($AI$7:$AI$1843,$CC$7:$CC$1843,CC535,$AL$7:$AL$1843,AL535,$BT$7:$BT$1843,"&lt;="&amp;BT535),"")</f>
        <v/>
      </c>
      <c r="AN535" s="58" t="n">
        <f aca="false">IF(AM535="",0,MAX(0,MIN(1,(IF(CC535="L1",Parameter!$H$5,IF(CC535="L23",Parameter!$H$6+Parameter!$H$7,Parameter!$H$5+Parameter!$H$6+Parameter!$H$7))-(AM535-AI535))/AI535)))</f>
        <v>0</v>
      </c>
      <c r="AO535" s="50" t="n">
        <f aca="false">IF(LEFT(Cockpit!$I$5,1)="A",H535,IF(CE535=1,CF535,IF(LEFT(Cockpit!$I$5,1)="B",AT535,MAX(AT535,H535))))</f>
        <v>24</v>
      </c>
      <c r="AP535" s="50" t="n">
        <f aca="false">IF(BW535=1,0,ROUNDUP(AO535/BV535,0))</f>
        <v>0</v>
      </c>
      <c r="AQ535" s="52" t="n">
        <f aca="false">IF(CL535&gt;0,CL535*MAX(1,AO535/X535),IF(BW535=1,IF(AO535&lt;=0,0,CA535*MAX(1,IF(H535&gt;0,AO535/H535,1))),IF(R535&gt;0,AP535/R535,0))/MAX(0.1,N(Parameter!$M$21)))</f>
        <v>0.3</v>
      </c>
      <c r="AR535" s="50" t="n">
        <f aca="false">AQ535*BY535</f>
        <v>70.5</v>
      </c>
      <c r="AS535" s="50" t="n">
        <f aca="false">AO535*G535</f>
        <v>48.48</v>
      </c>
      <c r="AT535" s="50" t="n">
        <f aca="false">ROUNDUP(MAX(J535/IF(CD535&gt;0,CD535,MAX(0.1,N(Cockpit!$I$6))),CG535)/BV535,0)*BV535</f>
        <v>24</v>
      </c>
      <c r="AU535" s="51" t="n">
        <f aca="false">IF(AR535&gt;0,J535/AR535,-1)</f>
        <v>0.680851063829787</v>
      </c>
      <c r="AV535" s="51" t="str">
        <f aca="false">IF(AND(OR(CC535="L1",CC535="L23",CC535="LIFT"),AR535&gt;0),SUMIFS($AR$7:$AR$1843,$CC$7:$CC$1843,CC535,$AU$7:$AU$1843,"&gt;"&amp;AU535)+SUMIFS($AR$7:$AR$1843,$CC$7:$CC$1843,CC535,$AU$7:$AU$1843,AU535,$BT$7:$BT$1843,"&lt;="&amp;BT535),"")</f>
        <v/>
      </c>
      <c r="AW535" s="58" t="n">
        <f aca="false">IF(AV535="",0,MAX(0,MIN(1,(IF(CC535="L1",Parameter!$H$5,IF(CC535="L23",Parameter!$H$6+Parameter!$H$7,Parameter!$H$5+Parameter!$H$6+Parameter!$H$7))-(AV535-AR535))/AR535)))</f>
        <v>0</v>
      </c>
      <c r="AX535" s="50" t="n">
        <f aca="false">IF(LEFT(Cockpit!$O$5,1)="A",H535,IF(CE535=1,CF535,IF(LEFT(Cockpit!$O$5,1)="B",BC535,MAX(BC535,H535))))</f>
        <v>16</v>
      </c>
      <c r="AY535" s="50" t="n">
        <f aca="false">IF(BW535=1,0,ROUNDUP(AX535/BV535,0))</f>
        <v>0</v>
      </c>
      <c r="AZ535" s="52" t="n">
        <f aca="false">IF(CL535&gt;0,CL535*MAX(1,AX535/X535),IF(BW535=1,IF(AX535&lt;=0,0,CA535*MAX(1,IF(H535&gt;0,AX535/H535,1))),IF(R535&gt;0,AY535/R535,0))/MAX(0.1,N(Parameter!$M$21)))</f>
        <v>0.2</v>
      </c>
      <c r="BA535" s="50" t="n">
        <f aca="false">AZ535*BY535</f>
        <v>47</v>
      </c>
      <c r="BB535" s="50" t="n">
        <f aca="false">AX535*G535</f>
        <v>32.32</v>
      </c>
      <c r="BC535" s="50" t="n">
        <f aca="false">ROUNDUP(MAX(J535/IF(CD535&gt;0,CD535,MAX(0.1,N(Cockpit!$O$6))),CG535)/BV535,0)*BV535</f>
        <v>16</v>
      </c>
      <c r="BD535" s="51" t="n">
        <f aca="false">IF(BA535&gt;0,J535/BA535,-1)</f>
        <v>1.02127659574468</v>
      </c>
      <c r="BE535" s="51" t="str">
        <f aca="false">IF(AND(OR(CC535="L1",CC535="L23",CC535="LIFT"),BA535&gt;0),SUMIFS($BA$7:$BA$1843,$CC$7:$CC$1843,CC535,$BD$7:$BD$1843,"&gt;"&amp;BD535)+SUMIFS($BA$7:$BA$1843,$CC$7:$CC$1843,CC535,$BD$7:$BD$1843,BD535,$BT$7:$BT$1843,"&lt;="&amp;BT535),"")</f>
        <v/>
      </c>
      <c r="BF535" s="58" t="n">
        <f aca="false">IF(BE535="",0,MAX(0,MIN(1,(IF(CC535="L1",Parameter!$H$5,IF(CC535="L23",Parameter!$H$6+Parameter!$H$7,Parameter!$H$5+Parameter!$H$6+Parameter!$H$7))-(BE535-BA535))/BA535)))</f>
        <v>0</v>
      </c>
      <c r="BG535" s="48" t="str">
        <f aca="false">IF(AI535&lt;=0,"",IF(CC535="Aussen","Aussenlager",IF(CC535="-","Nicht im Lift",IF(AN535&gt;=1,"Lift",IF(AN535&lt;=0,"Aussenlager","teilweise")))))</f>
        <v>Nicht im Lift</v>
      </c>
      <c r="BH535" s="48" t="str">
        <f aca="false">IF(AR535&lt;=0,"",IF(CC535="Aussen","Aussenlager",IF(CC535="-","Nicht im Lift",IF(AW535&gt;=1,"Lift",IF(AW535&lt;=0,"Aussenlager","teilweise")))))</f>
        <v>Nicht im Lift</v>
      </c>
      <c r="BI535" s="48" t="str">
        <f aca="false">IF(BA535&lt;=0,"",IF(CC535="Aussen","Aussenlager",IF(CC535="-","Nicht im Lift",IF(BF535&gt;=1,"Lift",IF(BF535&lt;=0,"Aussenlager","teilweise")))))</f>
        <v>Nicht im Lift</v>
      </c>
      <c r="BJ535" s="48" t="str">
        <f aca="false">IF(A535="","",IF(BS535=1,"Neu; ","")&amp;IF(AND(BS535=0,BN535&lt;0),"negativer Bestand (Export "&amp;BN535&amp;"); ","")&amp;IF(J535&lt;=0,"Kein Verbrauch; ","")&amp;IF(CL535&gt;0,"Lift "&amp;W535&amp;" lt. Liftbericht (Fach "&amp;X535&amp;" Stk); ",IF(BX535=1,"Gebinde geschätzt ("&amp;T535&amp;"); ",IF(BW535=1,"Lose – Tablare geschätzt; ","")))&amp;IF(H535&gt;AT535,"Überbestand "&amp;ROUND(H535-AT535,0)&amp;" Stk / CHF "&amp;ROUND((H535-AT535)*G535,0)&amp;"; ","")&amp;IF(AND(CE535=1,CF535&lt;CG535),"MAX &lt; MB+LG; ","")&amp;IF(AND(CK535&gt;0,CJ535*10&gt;CK535),"zu hoch für Tablar; ","")&amp;IF(AND(BS535=0,OR(CE535=1,AA535&lt;&gt;"",U535&lt;&gt;"",V535&lt;&gt;"",AB535&lt;&gt;"")),"manuell übersteuert; ","")&amp;IF(AND(BW535=0,R535=0),"Gebinde unbekannt / Stellmass fehlt; ","")&amp;IF(AND(BW535=0,N(V535)&lt;=0,N(Q535)&lt;=0),"Menge pro Gebinde fehlt (Ist = 1 Gebinde); ","")&amp;BR535)</f>
        <v>Lose – Tablare geschätzt; </v>
      </c>
      <c r="BK535" s="48"/>
      <c r="BL535" s="48"/>
      <c r="BM535" s="55"/>
      <c r="BN535" s="50" t="n">
        <v>12</v>
      </c>
      <c r="BO535" s="50" t="n">
        <v>0</v>
      </c>
      <c r="BP535" s="49" t="n">
        <v>24.24</v>
      </c>
      <c r="BQ535" s="50" t="n">
        <v>48</v>
      </c>
      <c r="BR535" s="48"/>
      <c r="BS535" s="53" t="n">
        <v>0</v>
      </c>
      <c r="BT535" s="53" t="n">
        <v>535</v>
      </c>
      <c r="BU535" s="48" t="str">
        <f aca="false">IF(U535&lt;&gt;"",UPPER(TRIM(U535)),IF(BX535=1,UPPER(VLOOKUP(T535,Parameter!$I$27:$K$29,2,0)),IF(P535="","LOSE",P535)))</f>
        <v>LOSE</v>
      </c>
      <c r="BV535" s="50" t="n">
        <f aca="false">IF(BU535="LOSE",1,IF(N(V535)&gt;0,V535,IF(BX535=1,MAX(1,N(VLOOKUP(T535,Parameter!$I$27:$K$29,3,0)),H535,N(N535)),IF(N(Q535)&gt;0,Q535,MAX(1,H535)))))</f>
        <v>1</v>
      </c>
      <c r="BW535" s="53" t="n">
        <f aca="false">IF(BU535="LOSE",1,0)</f>
        <v>1</v>
      </c>
      <c r="BX535" s="53" t="n">
        <f aca="false">IF(AND(U535="",OR(P535="",P535="LOSE"),T535&lt;&gt;"",N(S535)&lt;=0,ISNUMBER(MATCH(T535,Parameter!$I$27:$I$29,0))),1,0)</f>
        <v>0</v>
      </c>
      <c r="BY535" s="53" t="n">
        <f aca="false">IF(CL535&gt;0,INDEX(Parameter!$H$5:$H$7,W535)/INDEX(Parameter!$E$5:$E$7,W535),IF(AND(BW535=0,N(IFERROR(VLOOKUP(BU535,'Gebinde-Kategorie'!$A$5:$N$45,14,0),0))&gt;0),VLOOKUP(BU535,'Gebinde-Kategorie'!$A$5:$N$45,14,0)*10+Parameter!$M$23,Parameter!$M$24))</f>
        <v>235</v>
      </c>
      <c r="BZ535" s="48" t="str">
        <f aca="false">IF(AND(Parameter!$B$19="Ja",E535&lt;&gt;"",ISNUMBER(MATCH(E535,Parameter!$I$35:$I$52,0))),VLOOKUP(E535,Parameter!$I$35:$J$52,2,0),IFERROR(VLOOKUP(D535,Parameter!$A$35:$C$64,2,0),"Nein"))</f>
        <v>Nein</v>
      </c>
      <c r="CA535" s="52" t="n">
        <f aca="false">IF(BW535=0,0,IF(N(S535)&gt;0,S535,IFERROR(VLOOKUP(D535,Parameter!$A$35:$C$64,3,0)+0,0)))</f>
        <v>0.15</v>
      </c>
      <c r="CB535" s="48" t="str">
        <f aca="false">IF(AA535&lt;&gt;"",AA535,Z535)</f>
        <v>-</v>
      </c>
      <c r="CC535" s="48" t="str">
        <f aca="false">IF(OR(CB535=1,CB535=2,CB535=3),IF(Parameter!$E$27="Ja","LIFT",IF(CB535=1,"L1","L23")),IF(CB535="Aussen","Aussen","-"))</f>
        <v>-</v>
      </c>
      <c r="CD535" s="59" t="n">
        <f aca="false">IF(N(AB535)&gt;0,AB535,0)</f>
        <v>0</v>
      </c>
      <c r="CE535" s="53" t="n">
        <f aca="false">IF(ISNUMBER(AE535),1,0)</f>
        <v>0</v>
      </c>
      <c r="CF535" s="50" t="n">
        <f aca="false">N(AE535)</f>
        <v>0</v>
      </c>
      <c r="CG535" s="50" t="n">
        <f aca="false">N(M535)+N(N535)</f>
        <v>1</v>
      </c>
      <c r="CH535" s="50" t="n">
        <f aca="false">ROUNDUP(H535/BV535,0)</f>
        <v>12</v>
      </c>
      <c r="CI535" s="50" t="n">
        <f aca="false">ROUNDUP(CF535/BV535,0)</f>
        <v>0</v>
      </c>
      <c r="CJ535" s="53" t="n">
        <f aca="false">IF(BW535=1,0,IFERROR(VLOOKUP(BU535,'Gebinde-Kategorie'!$A$5:$N$45,5,0)+0,0))</f>
        <v>0</v>
      </c>
      <c r="CK535" s="53" t="n">
        <f aca="false">IFERROR(IF(OR(CB535=1,CB535=2,CB535=3),N(INDEX(Parameter!$I$5:$I$7,CB535)),0),0)</f>
        <v>0</v>
      </c>
      <c r="CL535" s="52" t="n">
        <f aca="false">IF(AND(Parameter!$B$21="Ja",ISNUMBER(W535),N(X535)&gt;0),IFERROR(N(INDEX(Parameter!$L$5:$L$7,W535))*INDEX(Parameter!$E$5:$E$7,W535)*X535/SUMIFS($X$7:$X$1843,$W$7:$W$1843,W535),0),0)</f>
        <v>0</v>
      </c>
    </row>
    <row r="536" customFormat="false" ht="15" hidden="false" customHeight="false" outlineLevel="0" collapsed="false">
      <c r="A536" s="48" t="s">
        <v>1157</v>
      </c>
      <c r="B536" s="48" t="s">
        <v>528</v>
      </c>
      <c r="C536" s="48" t="s">
        <v>168</v>
      </c>
      <c r="D536" s="48" t="s">
        <v>188</v>
      </c>
      <c r="E536" s="48" t="s">
        <v>189</v>
      </c>
      <c r="F536" s="48" t="s">
        <v>222</v>
      </c>
      <c r="G536" s="49" t="n">
        <v>4.46</v>
      </c>
      <c r="H536" s="50" t="n">
        <f aca="false">MAX(0,IF(AND(Parameter!$B$21="Ja",ISNUMBER(Y536)),Y536,IF(Parameter!$B$20="Jahresanfang 2025 + Export",BO536+BN536,BN536)))</f>
        <v>9</v>
      </c>
      <c r="I536" s="50" t="n">
        <f aca="false">H536*G536</f>
        <v>40.14</v>
      </c>
      <c r="J536" s="50" t="n">
        <f aca="false">BQ536*Parameter!$B$18</f>
        <v>0</v>
      </c>
      <c r="K536" s="51" t="n">
        <v>5</v>
      </c>
      <c r="L536" s="52" t="n">
        <v>0</v>
      </c>
      <c r="M536" s="50" t="n">
        <v>0</v>
      </c>
      <c r="N536" s="50" t="n">
        <v>1</v>
      </c>
      <c r="O536" s="53" t="n">
        <v>14</v>
      </c>
      <c r="P536" s="48" t="s">
        <v>332</v>
      </c>
      <c r="Q536" s="50" t="n">
        <v>25</v>
      </c>
      <c r="R536" s="53" t="n">
        <f aca="false">IF(BW536=1,0,IFERROR(VLOOKUP(BU536,'Gebinde-Kategorie'!$A$5:$N$45,13,0)+0,0))</f>
        <v>52</v>
      </c>
      <c r="S536" s="54"/>
      <c r="T536" s="55"/>
      <c r="U536" s="55"/>
      <c r="V536" s="55"/>
      <c r="W536" s="48"/>
      <c r="X536" s="50"/>
      <c r="Y536" s="50"/>
      <c r="Z536" s="48" t="n">
        <f aca="false">IF(A536="","",IF(AND(Parameter!$B$21="Ja",ISNUMBER(W536)),W536,IF(BZ536="2+3",IF(ISNUMBER(SEARCH("grosser Artikel",BR536)),2,IFERROR(VLOOKUP(BU536,Parameter!$F$35:$G$64,2,0),2)),IF(OR(BZ536="Nein",BZ536=""),"-",BZ536))))</f>
        <v>3</v>
      </c>
      <c r="AA536" s="55"/>
      <c r="AB536" s="56"/>
      <c r="AC536" s="50" t="n">
        <f aca="false">AT536</f>
        <v>25</v>
      </c>
      <c r="AD536" s="50" t="n">
        <f aca="false">MAX(AT536,H536)</f>
        <v>25</v>
      </c>
      <c r="AE536" s="57"/>
      <c r="AF536" s="50" t="n">
        <f aca="false">IF(LEFT(Cockpit!$C$5,1)="A",H536,IF(CE536=1,CF536,IF(LEFT(Cockpit!$C$5,1)="B",AK536,MAX(AK536,H536))))</f>
        <v>9</v>
      </c>
      <c r="AG536" s="50" t="n">
        <f aca="false">IF(BW536=1,0,ROUNDUP(AF536/BV536,0))</f>
        <v>1</v>
      </c>
      <c r="AH536" s="52" t="n">
        <f aca="false">IF(CL536&gt;0,CL536*MAX(1,AF536/X536),IF(BW536=1,IF(AF536&lt;=0,0,CA536*MAX(1,IF(H536&gt;0,AF536/H536,1))),IF(R536&gt;0,AG536/R536,0))/MAX(0.1,N(Parameter!$M$21)))</f>
        <v>0.0192307692307692</v>
      </c>
      <c r="AI536" s="50" t="n">
        <f aca="false">AH536*BY536</f>
        <v>2.98076923076923</v>
      </c>
      <c r="AJ536" s="50" t="n">
        <f aca="false">AF536*G536</f>
        <v>40.14</v>
      </c>
      <c r="AK536" s="50" t="n">
        <f aca="false">ROUNDUP(MAX(J536/IF(CD536&gt;0,CD536,MAX(0.1,N(Cockpit!$C$6))),CG536)/BV536,0)*BV536</f>
        <v>25</v>
      </c>
      <c r="AL536" s="51" t="n">
        <f aca="false">IF(AI536&gt;0,J536/AI536,-1)</f>
        <v>0</v>
      </c>
      <c r="AM536" s="51" t="n">
        <f aca="false">IF(AND(OR(CC536="L1",CC536="L23",CC536="LIFT"),AI536&gt;0),SUMIFS($AI$7:$AI$1843,$CC$7:$CC$1843,CC536,$AL$7:$AL$1843,"&gt;"&amp;AL536)+SUMIFS($AI$7:$AI$1843,$CC$7:$CC$1843,CC536,$AL$7:$AL$1843,AL536,$BT$7:$BT$1843,"&lt;="&amp;BT536),"")</f>
        <v>28346.4259923222</v>
      </c>
      <c r="AN536" s="58" t="n">
        <f aca="false">IF(AM536="",0,MAX(0,MIN(1,(IF(CC536="L1",Parameter!$H$5,IF(CC536="L23",Parameter!$H$6+Parameter!$H$7,Parameter!$H$5+Parameter!$H$6+Parameter!$H$7))-(AM536-AI536))/AI536)))</f>
        <v>1</v>
      </c>
      <c r="AO536" s="50" t="n">
        <f aca="false">IF(LEFT(Cockpit!$I$5,1)="A",H536,IF(CE536=1,CF536,IF(LEFT(Cockpit!$I$5,1)="B",AT536,MAX(AT536,H536))))</f>
        <v>25</v>
      </c>
      <c r="AP536" s="50" t="n">
        <f aca="false">IF(BW536=1,0,ROUNDUP(AO536/BV536,0))</f>
        <v>1</v>
      </c>
      <c r="AQ536" s="52" t="n">
        <f aca="false">IF(CL536&gt;0,CL536*MAX(1,AO536/X536),IF(BW536=1,IF(AO536&lt;=0,0,CA536*MAX(1,IF(H536&gt;0,AO536/H536,1))),IF(R536&gt;0,AP536/R536,0))/MAX(0.1,N(Parameter!$M$21)))</f>
        <v>0.0192307692307692</v>
      </c>
      <c r="AR536" s="50" t="n">
        <f aca="false">AQ536*BY536</f>
        <v>2.98076923076923</v>
      </c>
      <c r="AS536" s="50" t="n">
        <f aca="false">AO536*G536</f>
        <v>111.5</v>
      </c>
      <c r="AT536" s="50" t="n">
        <f aca="false">ROUNDUP(MAX(J536/IF(CD536&gt;0,CD536,MAX(0.1,N(Cockpit!$I$6))),CG536)/BV536,0)*BV536</f>
        <v>25</v>
      </c>
      <c r="AU536" s="51" t="n">
        <f aca="false">IF(AR536&gt;0,J536/AR536,-1)</f>
        <v>0</v>
      </c>
      <c r="AV536" s="51" t="n">
        <f aca="false">IF(AND(OR(CC536="L1",CC536="L23",CC536="LIFT"),AR536&gt;0),SUMIFS($AR$7:$AR$1843,$CC$7:$CC$1843,CC536,$AU$7:$AU$1843,"&gt;"&amp;AU536)+SUMIFS($AR$7:$AR$1843,$CC$7:$CC$1843,CC536,$AU$7:$AU$1843,AU536,$BT$7:$BT$1843,"&lt;="&amp;BT536),"")</f>
        <v>39659.3315095921</v>
      </c>
      <c r="AW536" s="58" t="n">
        <f aca="false">IF(AV536="",0,MAX(0,MIN(1,(IF(CC536="L1",Parameter!$H$5,IF(CC536="L23",Parameter!$H$6+Parameter!$H$7,Parameter!$H$5+Parameter!$H$6+Parameter!$H$7))-(AV536-AR536))/AR536)))</f>
        <v>0</v>
      </c>
      <c r="AX536" s="50" t="n">
        <f aca="false">IF(LEFT(Cockpit!$O$5,1)="A",H536,IF(CE536=1,CF536,IF(LEFT(Cockpit!$O$5,1)="B",BC536,MAX(BC536,H536))))</f>
        <v>25</v>
      </c>
      <c r="AY536" s="50" t="n">
        <f aca="false">IF(BW536=1,0,ROUNDUP(AX536/BV536,0))</f>
        <v>1</v>
      </c>
      <c r="AZ536" s="52" t="n">
        <f aca="false">IF(CL536&gt;0,CL536*MAX(1,AX536/X536),IF(BW536=1,IF(AX536&lt;=0,0,CA536*MAX(1,IF(H536&gt;0,AX536/H536,1))),IF(R536&gt;0,AY536/R536,0))/MAX(0.1,N(Parameter!$M$21)))</f>
        <v>0.0192307692307692</v>
      </c>
      <c r="BA536" s="50" t="n">
        <f aca="false">AZ536*BY536</f>
        <v>2.98076923076923</v>
      </c>
      <c r="BB536" s="50" t="n">
        <f aca="false">AX536*G536</f>
        <v>111.5</v>
      </c>
      <c r="BC536" s="50" t="n">
        <f aca="false">ROUNDUP(MAX(J536/IF(CD536&gt;0,CD536,MAX(0.1,N(Cockpit!$O$6))),CG536)/BV536,0)*BV536</f>
        <v>25</v>
      </c>
      <c r="BD536" s="51" t="n">
        <f aca="false">IF(BA536&gt;0,J536/BA536,-1)</f>
        <v>0</v>
      </c>
      <c r="BE536" s="51" t="n">
        <f aca="false">IF(AND(OR(CC536="L1",CC536="L23",CC536="LIFT"),BA536&gt;0),SUMIFS($BA$7:$BA$1843,$CC$7:$CC$1843,CC536,$BD$7:$BD$1843,"&gt;"&amp;BD536)+SUMIFS($BA$7:$BA$1843,$CC$7:$CC$1843,CC536,$BD$7:$BD$1843,BD536,$BT$7:$BT$1843,"&lt;="&amp;BT536),"")</f>
        <v>36334.343551458</v>
      </c>
      <c r="BF536" s="58" t="n">
        <f aca="false">IF(BE536="",0,MAX(0,MIN(1,(IF(CC536="L1",Parameter!$H$5,IF(CC536="L23",Parameter!$H$6+Parameter!$H$7,Parameter!$H$5+Parameter!$H$6+Parameter!$H$7))-(BE536-BA536))/BA536)))</f>
        <v>0</v>
      </c>
      <c r="BG536" s="48" t="str">
        <f aca="false">IF(AI536&lt;=0,"",IF(CC536="Aussen","Aussenlager",IF(CC536="-","Nicht im Lift",IF(AN536&gt;=1,"Lift",IF(AN536&lt;=0,"Aussenlager","teilweise")))))</f>
        <v>Lift</v>
      </c>
      <c r="BH536" s="48" t="str">
        <f aca="false">IF(AR536&lt;=0,"",IF(CC536="Aussen","Aussenlager",IF(CC536="-","Nicht im Lift",IF(AW536&gt;=1,"Lift",IF(AW536&lt;=0,"Aussenlager","teilweise")))))</f>
        <v>Aussenlager</v>
      </c>
      <c r="BI536" s="48" t="str">
        <f aca="false">IF(BA536&lt;=0,"",IF(CC536="Aussen","Aussenlager",IF(CC536="-","Nicht im Lift",IF(BF536&gt;=1,"Lift",IF(BF536&lt;=0,"Aussenlager","teilweise")))))</f>
        <v>Aussenlager</v>
      </c>
      <c r="BJ536" s="48" t="str">
        <f aca="false">IF(A536="","",IF(BS536=1,"Neu; ","")&amp;IF(AND(BS536=0,BN536&lt;0),"negativer Bestand (Export "&amp;BN536&amp;"); ","")&amp;IF(J536&lt;=0,"Kein Verbrauch; ","")&amp;IF(CL536&gt;0,"Lift "&amp;W536&amp;" lt. Liftbericht (Fach "&amp;X536&amp;" Stk); ",IF(BX536=1,"Gebinde geschätzt ("&amp;T536&amp;"); ",IF(BW536=1,"Lose – Tablare geschätzt; ","")))&amp;IF(H536&gt;AT536,"Überbestand "&amp;ROUND(H536-AT536,0)&amp;" Stk / CHF "&amp;ROUND((H536-AT536)*G536,0)&amp;"; ","")&amp;IF(AND(CE536=1,CF536&lt;CG536),"MAX &lt; MB+LG; ","")&amp;IF(AND(CK536&gt;0,CJ536*10&gt;CK536),"zu hoch für Tablar; ","")&amp;IF(AND(BS536=0,OR(CE536=1,AA536&lt;&gt;"",U536&lt;&gt;"",V536&lt;&gt;"",AB536&lt;&gt;"")),"manuell übersteuert; ","")&amp;IF(AND(BW536=0,R536=0),"Gebinde unbekannt / Stellmass fehlt; ","")&amp;IF(AND(BW536=0,N(V536)&lt;=0,N(Q536)&lt;=0),"Menge pro Gebinde fehlt (Ist = 1 Gebinde); ","")&amp;BR536)</f>
        <v>Kein Verbrauch; Überbestand</v>
      </c>
      <c r="BK536" s="48"/>
      <c r="BL536" s="48"/>
      <c r="BM536" s="55"/>
      <c r="BN536" s="50" t="n">
        <v>4</v>
      </c>
      <c r="BO536" s="50" t="n">
        <v>5</v>
      </c>
      <c r="BP536" s="49" t="n">
        <v>23.99</v>
      </c>
      <c r="BQ536" s="50" t="n">
        <v>0</v>
      </c>
      <c r="BR536" s="48" t="s">
        <v>396</v>
      </c>
      <c r="BS536" s="53" t="n">
        <v>0</v>
      </c>
      <c r="BT536" s="53" t="n">
        <v>536</v>
      </c>
      <c r="BU536" s="48" t="str">
        <f aca="false">IF(U536&lt;&gt;"",UPPER(TRIM(U536)),IF(BX536=1,UPPER(VLOOKUP(T536,Parameter!$I$27:$K$29,2,0)),IF(P536="","LOSE",P536)))</f>
        <v>S41</v>
      </c>
      <c r="BV536" s="50" t="n">
        <f aca="false">IF(BU536="LOSE",1,IF(N(V536)&gt;0,V536,IF(BX536=1,MAX(1,N(VLOOKUP(T536,Parameter!$I$27:$K$29,3,0)),H536,N(N536)),IF(N(Q536)&gt;0,Q536,MAX(1,H536)))))</f>
        <v>25</v>
      </c>
      <c r="BW536" s="53" t="n">
        <f aca="false">IF(BU536="LOSE",1,0)</f>
        <v>0</v>
      </c>
      <c r="BX536" s="53" t="n">
        <f aca="false">IF(AND(U536="",OR(P536="",P536="LOSE"),T536&lt;&gt;"",N(S536)&lt;=0,ISNUMBER(MATCH(T536,Parameter!$I$27:$I$29,0))),1,0)</f>
        <v>0</v>
      </c>
      <c r="BY536" s="53" t="n">
        <f aca="false">IF(CL536&gt;0,INDEX(Parameter!$H$5:$H$7,W536)/INDEX(Parameter!$E$5:$E$7,W536),IF(AND(BW536=0,N(IFERROR(VLOOKUP(BU536,'Gebinde-Kategorie'!$A$5:$N$45,14,0),0))&gt;0),VLOOKUP(BU536,'Gebinde-Kategorie'!$A$5:$N$45,14,0)*10+Parameter!$M$23,Parameter!$M$24))</f>
        <v>155</v>
      </c>
      <c r="BZ536" s="48" t="str">
        <f aca="false">IF(AND(Parameter!$B$19="Ja",E536&lt;&gt;"",ISNUMBER(MATCH(E536,Parameter!$I$35:$I$52,0))),VLOOKUP(E536,Parameter!$I$35:$J$52,2,0),IFERROR(VLOOKUP(D536,Parameter!$A$35:$C$64,2,0),"Nein"))</f>
        <v>2+3</v>
      </c>
      <c r="CA536" s="52" t="n">
        <f aca="false">IF(BW536=0,0,IF(N(S536)&gt;0,S536,IFERROR(VLOOKUP(D536,Parameter!$A$35:$C$64,3,0)+0,0)))</f>
        <v>0</v>
      </c>
      <c r="CB536" s="48" t="n">
        <f aca="false">IF(AA536&lt;&gt;"",AA536,Z536)</f>
        <v>3</v>
      </c>
      <c r="CC536" s="48" t="str">
        <f aca="false">IF(OR(CB536=1,CB536=2,CB536=3),IF(Parameter!$E$27="Ja","LIFT",IF(CB536=1,"L1","L23")),IF(CB536="Aussen","Aussen","-"))</f>
        <v>LIFT</v>
      </c>
      <c r="CD536" s="59" t="n">
        <f aca="false">IF(N(AB536)&gt;0,AB536,0)</f>
        <v>0</v>
      </c>
      <c r="CE536" s="53" t="n">
        <f aca="false">IF(ISNUMBER(AE536),1,0)</f>
        <v>0</v>
      </c>
      <c r="CF536" s="50" t="n">
        <f aca="false">N(AE536)</f>
        <v>0</v>
      </c>
      <c r="CG536" s="50" t="n">
        <f aca="false">N(M536)+N(N536)</f>
        <v>1</v>
      </c>
      <c r="CH536" s="50" t="n">
        <f aca="false">ROUNDUP(H536/BV536,0)</f>
        <v>1</v>
      </c>
      <c r="CI536" s="50" t="n">
        <f aca="false">ROUNDUP(CF536/BV536,0)</f>
        <v>0</v>
      </c>
      <c r="CJ536" s="53" t="n">
        <f aca="false">IF(BW536=1,0,IFERROR(VLOOKUP(BU536,'Gebinde-Kategorie'!$A$5:$N$45,5,0)+0,0))</f>
        <v>11</v>
      </c>
      <c r="CK536" s="53" t="n">
        <f aca="false">IFERROR(IF(OR(CB536=1,CB536=2,CB536=3),N(INDEX(Parameter!$I$5:$I$7,CB536)),0),0)</f>
        <v>0</v>
      </c>
      <c r="CL536" s="52" t="n">
        <f aca="false">IF(AND(Parameter!$B$21="Ja",ISNUMBER(W536),N(X536)&gt;0),IFERROR(N(INDEX(Parameter!$L$5:$L$7,W536))*INDEX(Parameter!$E$5:$E$7,W536)*X536/SUMIFS($X$7:$X$1843,$W$7:$W$1843,W536),0),0)</f>
        <v>0</v>
      </c>
    </row>
    <row r="537" customFormat="false" ht="15" hidden="false" customHeight="false" outlineLevel="0" collapsed="false">
      <c r="A537" s="48" t="s">
        <v>1158</v>
      </c>
      <c r="B537" s="48" t="s">
        <v>1159</v>
      </c>
      <c r="C537" s="48" t="s">
        <v>168</v>
      </c>
      <c r="D537" s="48" t="s">
        <v>177</v>
      </c>
      <c r="E537" s="48" t="s">
        <v>189</v>
      </c>
      <c r="F537" s="48" t="s">
        <v>222</v>
      </c>
      <c r="G537" s="49" t="n">
        <v>41.41</v>
      </c>
      <c r="H537" s="50" t="n">
        <f aca="false">MAX(0,IF(AND(Parameter!$B$21="Ja",ISNUMBER(Y537)),Y537,IF(Parameter!$B$20="Jahresanfang 2025 + Export",BO537+BN537,BN537)))</f>
        <v>3</v>
      </c>
      <c r="I537" s="50" t="n">
        <f aca="false">H537*G537</f>
        <v>124.23</v>
      </c>
      <c r="J537" s="50" t="n">
        <f aca="false">BQ537*Parameter!$B$18</f>
        <v>12</v>
      </c>
      <c r="K537" s="51" t="n">
        <v>2.5</v>
      </c>
      <c r="L537" s="52" t="n">
        <v>4.8</v>
      </c>
      <c r="M537" s="50" t="n">
        <v>1</v>
      </c>
      <c r="N537" s="50" t="n">
        <v>4</v>
      </c>
      <c r="O537" s="53" t="n">
        <v>14</v>
      </c>
      <c r="P537" s="48" t="s">
        <v>172</v>
      </c>
      <c r="Q537" s="50"/>
      <c r="R537" s="53" t="n">
        <f aca="false">IF(BW537=1,0,IFERROR(VLOOKUP(BU537,'Gebinde-Kategorie'!$A$5:$N$45,13,0)+0,0))</f>
        <v>4</v>
      </c>
      <c r="S537" s="54"/>
      <c r="T537" s="55" t="s">
        <v>193</v>
      </c>
      <c r="U537" s="55"/>
      <c r="V537" s="55"/>
      <c r="W537" s="48"/>
      <c r="X537" s="50"/>
      <c r="Y537" s="50"/>
      <c r="Z537" s="48" t="n">
        <f aca="false">IF(A537="","",IF(AND(Parameter!$B$21="Ja",ISNUMBER(W537)),W537,IF(BZ537="2+3",IF(ISNUMBER(SEARCH("grosser Artikel",BR537)),2,IFERROR(VLOOKUP(BU537,Parameter!$F$35:$G$64,2,0),2)),IF(OR(BZ537="Nein",BZ537=""),"-",BZ537))))</f>
        <v>2</v>
      </c>
      <c r="AA537" s="55"/>
      <c r="AB537" s="56"/>
      <c r="AC537" s="50" t="n">
        <f aca="false">AT537</f>
        <v>8</v>
      </c>
      <c r="AD537" s="50" t="n">
        <f aca="false">MAX(AT537,H537)</f>
        <v>8</v>
      </c>
      <c r="AE537" s="57"/>
      <c r="AF537" s="50" t="n">
        <f aca="false">IF(LEFT(Cockpit!$C$5,1)="A",H537,IF(CE537=1,CF537,IF(LEFT(Cockpit!$C$5,1)="B",AK537,MAX(AK537,H537))))</f>
        <v>3</v>
      </c>
      <c r="AG537" s="50" t="n">
        <f aca="false">IF(BW537=1,0,ROUNDUP(AF537/BV537,0))</f>
        <v>1</v>
      </c>
      <c r="AH537" s="52" t="n">
        <f aca="false">IF(CL537&gt;0,CL537*MAX(1,AF537/X537),IF(BW537=1,IF(AF537&lt;=0,0,CA537*MAX(1,IF(H537&gt;0,AF537/H537,1))),IF(R537&gt;0,AG537/R537,0))/MAX(0.1,N(Parameter!$M$21)))</f>
        <v>0.25</v>
      </c>
      <c r="AI537" s="50" t="n">
        <f aca="false">AH537*BY537</f>
        <v>58.75</v>
      </c>
      <c r="AJ537" s="50" t="n">
        <f aca="false">AF537*G537</f>
        <v>124.23</v>
      </c>
      <c r="AK537" s="50" t="n">
        <f aca="false">ROUNDUP(MAX(J537/IF(CD537&gt;0,CD537,MAX(0.1,N(Cockpit!$C$6))),CG537)/BV537,0)*BV537</f>
        <v>8</v>
      </c>
      <c r="AL537" s="51" t="n">
        <f aca="false">IF(AI537&gt;0,J537/AI537,-1)</f>
        <v>0.204255319148936</v>
      </c>
      <c r="AM537" s="51" t="n">
        <f aca="false">IF(AND(OR(CC537="L1",CC537="L23",CC537="LIFT"),AI537&gt;0),SUMIFS($AI$7:$AI$1843,$CC$7:$CC$1843,CC537,$AL$7:$AL$1843,"&gt;"&amp;AL537)+SUMIFS($AI$7:$AI$1843,$CC$7:$CC$1843,CC537,$AL$7:$AL$1843,AL537,$BT$7:$BT$1843,"&lt;="&amp;BT537),"")</f>
        <v>12499.733720846</v>
      </c>
      <c r="AN537" s="58" t="n">
        <f aca="false">IF(AM537="",0,MAX(0,MIN(1,(IF(CC537="L1",Parameter!$H$5,IF(CC537="L23",Parameter!$H$6+Parameter!$H$7,Parameter!$H$5+Parameter!$H$6+Parameter!$H$7))-(AM537-AI537))/AI537)))</f>
        <v>1</v>
      </c>
      <c r="AO537" s="50" t="n">
        <f aca="false">IF(LEFT(Cockpit!$I$5,1)="A",H537,IF(CE537=1,CF537,IF(LEFT(Cockpit!$I$5,1)="B",AT537,MAX(AT537,H537))))</f>
        <v>8</v>
      </c>
      <c r="AP537" s="50" t="n">
        <f aca="false">IF(BW537=1,0,ROUNDUP(AO537/BV537,0))</f>
        <v>2</v>
      </c>
      <c r="AQ537" s="52" t="n">
        <f aca="false">IF(CL537&gt;0,CL537*MAX(1,AO537/X537),IF(BW537=1,IF(AO537&lt;=0,0,CA537*MAX(1,IF(H537&gt;0,AO537/H537,1))),IF(R537&gt;0,AP537/R537,0))/MAX(0.1,N(Parameter!$M$21)))</f>
        <v>0.5</v>
      </c>
      <c r="AR537" s="50" t="n">
        <f aca="false">AQ537*BY537</f>
        <v>117.5</v>
      </c>
      <c r="AS537" s="50" t="n">
        <f aca="false">AO537*G537</f>
        <v>331.28</v>
      </c>
      <c r="AT537" s="50" t="n">
        <f aca="false">ROUNDUP(MAX(J537/IF(CD537&gt;0,CD537,MAX(0.1,N(Cockpit!$I$6))),CG537)/BV537,0)*BV537</f>
        <v>8</v>
      </c>
      <c r="AU537" s="51" t="n">
        <f aca="false">IF(AR537&gt;0,J537/AR537,-1)</f>
        <v>0.102127659574468</v>
      </c>
      <c r="AV537" s="51" t="n">
        <f aca="false">IF(AND(OR(CC537="L1",CC537="L23",CC537="LIFT"),AR537&gt;0),SUMIFS($AR$7:$AR$1843,$CC$7:$CC$1843,CC537,$AU$7:$AU$1843,"&gt;"&amp;AU537)+SUMIFS($AR$7:$AR$1843,$CC$7:$CC$1843,CC537,$AU$7:$AU$1843,AU537,$BT$7:$BT$1843,"&lt;="&amp;BT537),"")</f>
        <v>23611.4844865586</v>
      </c>
      <c r="AW537" s="58" t="n">
        <f aca="false">IF(AV537="",0,MAX(0,MIN(1,(IF(CC537="L1",Parameter!$H$5,IF(CC537="L23",Parameter!$H$6+Parameter!$H$7,Parameter!$H$5+Parameter!$H$6+Parameter!$H$7))-(AV537-AR537))/AR537)))</f>
        <v>1</v>
      </c>
      <c r="AX537" s="50" t="n">
        <f aca="false">IF(LEFT(Cockpit!$O$5,1)="A",H537,IF(CE537=1,CF537,IF(LEFT(Cockpit!$O$5,1)="B",BC537,MAX(BC537,H537))))</f>
        <v>8</v>
      </c>
      <c r="AY537" s="50" t="n">
        <f aca="false">IF(BW537=1,0,ROUNDUP(AX537/BV537,0))</f>
        <v>2</v>
      </c>
      <c r="AZ537" s="52" t="n">
        <f aca="false">IF(CL537&gt;0,CL537*MAX(1,AX537/X537),IF(BW537=1,IF(AX537&lt;=0,0,CA537*MAX(1,IF(H537&gt;0,AX537/H537,1))),IF(R537&gt;0,AY537/R537,0))/MAX(0.1,N(Parameter!$M$21)))</f>
        <v>0.5</v>
      </c>
      <c r="BA537" s="50" t="n">
        <f aca="false">AZ537*BY537</f>
        <v>117.5</v>
      </c>
      <c r="BB537" s="50" t="n">
        <f aca="false">AX537*G537</f>
        <v>331.28</v>
      </c>
      <c r="BC537" s="50" t="n">
        <f aca="false">ROUNDUP(MAX(J537/IF(CD537&gt;0,CD537,MAX(0.1,N(Cockpit!$O$6))),CG537)/BV537,0)*BV537</f>
        <v>8</v>
      </c>
      <c r="BD537" s="51" t="n">
        <f aca="false">IF(BA537&gt;0,J537/BA537,-1)</f>
        <v>0.102127659574468</v>
      </c>
      <c r="BE537" s="51" t="n">
        <f aca="false">IF(AND(OR(CC537="L1",CC537="L23",CC537="LIFT"),BA537&gt;0),SUMIFS($BA$7:$BA$1843,$CC$7:$CC$1843,CC537,$BD$7:$BD$1843,"&gt;"&amp;BD537)+SUMIFS($BA$7:$BA$1843,$CC$7:$CC$1843,CC537,$BD$7:$BD$1843,BD537,$BT$7:$BT$1843,"&lt;="&amp;BT537),"")</f>
        <v>21470.9268485752</v>
      </c>
      <c r="BF537" s="58" t="n">
        <f aca="false">IF(BE537="",0,MAX(0,MIN(1,(IF(CC537="L1",Parameter!$H$5,IF(CC537="L23",Parameter!$H$6+Parameter!$H$7,Parameter!$H$5+Parameter!$H$6+Parameter!$H$7))-(BE537-BA537))/BA537)))</f>
        <v>1</v>
      </c>
      <c r="BG537" s="48" t="str">
        <f aca="false">IF(AI537&lt;=0,"",IF(CC537="Aussen","Aussenlager",IF(CC537="-","Nicht im Lift",IF(AN537&gt;=1,"Lift",IF(AN537&lt;=0,"Aussenlager","teilweise")))))</f>
        <v>Lift</v>
      </c>
      <c r="BH537" s="48" t="str">
        <f aca="false">IF(AR537&lt;=0,"",IF(CC537="Aussen","Aussenlager",IF(CC537="-","Nicht im Lift",IF(AW537&gt;=1,"Lift",IF(AW537&lt;=0,"Aussenlager","teilweise")))))</f>
        <v>Lift</v>
      </c>
      <c r="BI537" s="48" t="str">
        <f aca="false">IF(BA537&lt;=0,"",IF(CC537="Aussen","Aussenlager",IF(CC537="-","Nicht im Lift",IF(BF537&gt;=1,"Lift",IF(BF537&lt;=0,"Aussenlager","teilweise")))))</f>
        <v>Lift</v>
      </c>
      <c r="BJ537" s="48" t="str">
        <f aca="false">IF(A537="","",IF(BS537=1,"Neu; ","")&amp;IF(AND(BS537=0,BN537&lt;0),"negativer Bestand (Export "&amp;BN537&amp;"); ","")&amp;IF(J537&lt;=0,"Kein Verbrauch; ","")&amp;IF(CL537&gt;0,"Lift "&amp;W537&amp;" lt. Liftbericht (Fach "&amp;X537&amp;" Stk); ",IF(BX537=1,"Gebinde geschätzt ("&amp;T537&amp;"); ",IF(BW537=1,"Lose – Tablare geschätzt; ","")))&amp;IF(H537&gt;AT537,"Überbestand "&amp;ROUND(H537-AT537,0)&amp;" Stk / CHF "&amp;ROUND((H537-AT537)*G537,0)&amp;"; ","")&amp;IF(AND(CE537=1,CF537&lt;CG537),"MAX &lt; MB+LG; ","")&amp;IF(AND(CK537&gt;0,CJ537*10&gt;CK537),"zu hoch für Tablar; ","")&amp;IF(AND(BS537=0,OR(CE537=1,AA537&lt;&gt;"",U537&lt;&gt;"",V537&lt;&gt;"",AB537&lt;&gt;"")),"manuell übersteuert; ","")&amp;IF(AND(BW537=0,R537=0),"Gebinde unbekannt / Stellmass fehlt; ","")&amp;IF(AND(BW537=0,N(V537)&lt;=0,N(Q537)&lt;=0),"Menge pro Gebinde fehlt (Ist = 1 Gebinde); ","")&amp;BR537)</f>
        <v>Gebinde geschätzt (Gross); Menge pro Gebinde fehlt (Ist = 1 Gebinde); grosser Artikel &amp; nicht im KTL</v>
      </c>
      <c r="BK537" s="48"/>
      <c r="BL537" s="48"/>
      <c r="BM537" s="55"/>
      <c r="BN537" s="50" t="n">
        <v>1</v>
      </c>
      <c r="BO537" s="50" t="n">
        <v>2</v>
      </c>
      <c r="BP537" s="49" t="n">
        <v>23.6300000000001</v>
      </c>
      <c r="BQ537" s="50" t="n">
        <v>12</v>
      </c>
      <c r="BR537" s="48" t="s">
        <v>265</v>
      </c>
      <c r="BS537" s="53" t="n">
        <v>0</v>
      </c>
      <c r="BT537" s="53" t="n">
        <v>537</v>
      </c>
      <c r="BU537" s="48" t="str">
        <f aca="false">IF(U537&lt;&gt;"",UPPER(TRIM(U537)),IF(BX537=1,UPPER(VLOOKUP(T537,Parameter!$I$27:$K$29,2,0)),IF(P537="","LOSE",P537)))</f>
        <v>S81</v>
      </c>
      <c r="BV537" s="50" t="n">
        <f aca="false">IF(BU537="LOSE",1,IF(N(V537)&gt;0,V537,IF(BX537=1,MAX(1,N(VLOOKUP(T537,Parameter!$I$27:$K$29,3,0)),H537,N(N537)),IF(N(Q537)&gt;0,Q537,MAX(1,H537)))))</f>
        <v>4</v>
      </c>
      <c r="BW537" s="53" t="n">
        <f aca="false">IF(BU537="LOSE",1,0)</f>
        <v>0</v>
      </c>
      <c r="BX537" s="53" t="n">
        <f aca="false">IF(AND(U537="",OR(P537="",P537="LOSE"),T537&lt;&gt;"",N(S537)&lt;=0,ISNUMBER(MATCH(T537,Parameter!$I$27:$I$29,0))),1,0)</f>
        <v>1</v>
      </c>
      <c r="BY537" s="53" t="n">
        <f aca="false">IF(CL537&gt;0,INDEX(Parameter!$H$5:$H$7,W537)/INDEX(Parameter!$E$5:$E$7,W537),IF(AND(BW537=0,N(IFERROR(VLOOKUP(BU537,'Gebinde-Kategorie'!$A$5:$N$45,14,0),0))&gt;0),VLOOKUP(BU537,'Gebinde-Kategorie'!$A$5:$N$45,14,0)*10+Parameter!$M$23,Parameter!$M$24))</f>
        <v>235</v>
      </c>
      <c r="BZ537" s="48" t="str">
        <f aca="false">IF(AND(Parameter!$B$19="Ja",E537&lt;&gt;"",ISNUMBER(MATCH(E537,Parameter!$I$35:$I$52,0))),VLOOKUP(E537,Parameter!$I$35:$J$52,2,0),IFERROR(VLOOKUP(D537,Parameter!$A$35:$C$64,2,0),"Nein"))</f>
        <v>2+3</v>
      </c>
      <c r="CA537" s="52" t="n">
        <f aca="false">IF(BW537=0,0,IF(N(S537)&gt;0,S537,IFERROR(VLOOKUP(D537,Parameter!$A$35:$C$64,3,0)+0,0)))</f>
        <v>0</v>
      </c>
      <c r="CB537" s="48" t="n">
        <f aca="false">IF(AA537&lt;&gt;"",AA537,Z537)</f>
        <v>2</v>
      </c>
      <c r="CC537" s="48" t="str">
        <f aca="false">IF(OR(CB537=1,CB537=2,CB537=3),IF(Parameter!$E$27="Ja","LIFT",IF(CB537=1,"L1","L23")),IF(CB537="Aussen","Aussen","-"))</f>
        <v>LIFT</v>
      </c>
      <c r="CD537" s="59" t="n">
        <f aca="false">IF(N(AB537)&gt;0,AB537,0)</f>
        <v>0</v>
      </c>
      <c r="CE537" s="53" t="n">
        <f aca="false">IF(ISNUMBER(AE537),1,0)</f>
        <v>0</v>
      </c>
      <c r="CF537" s="50" t="n">
        <f aca="false">N(AE537)</f>
        <v>0</v>
      </c>
      <c r="CG537" s="50" t="n">
        <f aca="false">N(M537)+N(N537)</f>
        <v>5</v>
      </c>
      <c r="CH537" s="50" t="n">
        <f aca="false">ROUNDUP(H537/BV537,0)</f>
        <v>1</v>
      </c>
      <c r="CI537" s="50" t="n">
        <f aca="false">ROUNDUP(CF537/BV537,0)</f>
        <v>0</v>
      </c>
      <c r="CJ537" s="53" t="n">
        <f aca="false">IF(BW537=1,0,IFERROR(VLOOKUP(BU537,'Gebinde-Kategorie'!$A$5:$N$45,5,0)+0,0))</f>
        <v>20</v>
      </c>
      <c r="CK537" s="53" t="n">
        <f aca="false">IFERROR(IF(OR(CB537=1,CB537=2,CB537=3),N(INDEX(Parameter!$I$5:$I$7,CB537)),0),0)</f>
        <v>0</v>
      </c>
      <c r="CL537" s="52" t="n">
        <f aca="false">IF(AND(Parameter!$B$21="Ja",ISNUMBER(W537),N(X537)&gt;0),IFERROR(N(INDEX(Parameter!$L$5:$L$7,W537))*INDEX(Parameter!$E$5:$E$7,W537)*X537/SUMIFS($X$7:$X$1843,$W$7:$W$1843,W537),0),0)</f>
        <v>0</v>
      </c>
    </row>
    <row r="538" customFormat="false" ht="15" hidden="false" customHeight="false" outlineLevel="0" collapsed="false">
      <c r="A538" s="48" t="s">
        <v>1160</v>
      </c>
      <c r="B538" s="48" t="s">
        <v>1161</v>
      </c>
      <c r="C538" s="48" t="s">
        <v>168</v>
      </c>
      <c r="D538" s="48" t="s">
        <v>188</v>
      </c>
      <c r="E538" s="48"/>
      <c r="F538" s="48" t="s">
        <v>222</v>
      </c>
      <c r="G538" s="49" t="n">
        <v>0.01</v>
      </c>
      <c r="H538" s="50" t="n">
        <f aca="false">MAX(0,IF(AND(Parameter!$B$21="Ja",ISNUMBER(Y538)),Y538,IF(Parameter!$B$20="Jahresanfang 2025 + Export",BO538+BN538,BN538)))</f>
        <v>2328</v>
      </c>
      <c r="I538" s="50" t="n">
        <f aca="false">H538*G538</f>
        <v>23.28</v>
      </c>
      <c r="J538" s="50" t="n">
        <f aca="false">BQ538*Parameter!$B$18</f>
        <v>0</v>
      </c>
      <c r="K538" s="51" t="n">
        <v>0</v>
      </c>
      <c r="L538" s="52" t="n">
        <v>0</v>
      </c>
      <c r="M538" s="50" t="n">
        <v>10</v>
      </c>
      <c r="N538" s="50" t="n">
        <v>600</v>
      </c>
      <c r="O538" s="53" t="n">
        <v>10</v>
      </c>
      <c r="P538" s="48" t="s">
        <v>172</v>
      </c>
      <c r="Q538" s="50"/>
      <c r="R538" s="53" t="n">
        <f aca="false">IF(BW538=1,0,IFERROR(VLOOKUP(BU538,'Gebinde-Kategorie'!$A$5:$N$45,13,0)+0,0))</f>
        <v>26</v>
      </c>
      <c r="S538" s="54"/>
      <c r="T538" s="55" t="s">
        <v>279</v>
      </c>
      <c r="U538" s="55"/>
      <c r="V538" s="55"/>
      <c r="W538" s="48"/>
      <c r="X538" s="50"/>
      <c r="Y538" s="50"/>
      <c r="Z538" s="48" t="n">
        <f aca="false">IF(A538="","",IF(AND(Parameter!$B$21="Ja",ISNUMBER(W538)),W538,IF(BZ538="2+3",IF(ISNUMBER(SEARCH("grosser Artikel",BR538)),2,IFERROR(VLOOKUP(BU538,Parameter!$F$35:$G$64,2,0),2)),IF(OR(BZ538="Nein",BZ538=""),"-",BZ538))))</f>
        <v>3</v>
      </c>
      <c r="AA538" s="55"/>
      <c r="AB538" s="56"/>
      <c r="AC538" s="50" t="n">
        <f aca="false">AT538</f>
        <v>2328</v>
      </c>
      <c r="AD538" s="50" t="n">
        <f aca="false">MAX(AT538,H538)</f>
        <v>2328</v>
      </c>
      <c r="AE538" s="57"/>
      <c r="AF538" s="50" t="n">
        <f aca="false">IF(LEFT(Cockpit!$C$5,1)="A",H538,IF(CE538=1,CF538,IF(LEFT(Cockpit!$C$5,1)="B",AK538,MAX(AK538,H538))))</f>
        <v>2328</v>
      </c>
      <c r="AG538" s="50" t="n">
        <f aca="false">IF(BW538=1,0,ROUNDUP(AF538/BV538,0))</f>
        <v>1</v>
      </c>
      <c r="AH538" s="52" t="n">
        <f aca="false">IF(CL538&gt;0,CL538*MAX(1,AF538/X538),IF(BW538=1,IF(AF538&lt;=0,0,CA538*MAX(1,IF(H538&gt;0,AF538/H538,1))),IF(R538&gt;0,AG538/R538,0))/MAX(0.1,N(Parameter!$M$21)))</f>
        <v>0.0384615384615385</v>
      </c>
      <c r="AI538" s="50" t="n">
        <f aca="false">AH538*BY538</f>
        <v>5.96153846153846</v>
      </c>
      <c r="AJ538" s="50" t="n">
        <f aca="false">AF538*G538</f>
        <v>23.28</v>
      </c>
      <c r="AK538" s="50" t="n">
        <f aca="false">ROUNDUP(MAX(J538/IF(CD538&gt;0,CD538,MAX(0.1,N(Cockpit!$C$6))),CG538)/BV538,0)*BV538</f>
        <v>2328</v>
      </c>
      <c r="AL538" s="51" t="n">
        <f aca="false">IF(AI538&gt;0,J538/AI538,-1)</f>
        <v>0</v>
      </c>
      <c r="AM538" s="51" t="n">
        <f aca="false">IF(AND(OR(CC538="L1",CC538="L23",CC538="LIFT"),AI538&gt;0),SUMIFS($AI$7:$AI$1843,$CC$7:$CC$1843,CC538,$AL$7:$AL$1843,"&gt;"&amp;AL538)+SUMIFS($AI$7:$AI$1843,$CC$7:$CC$1843,CC538,$AL$7:$AL$1843,AL538,$BT$7:$BT$1843,"&lt;="&amp;BT538),"")</f>
        <v>28352.3875307837</v>
      </c>
      <c r="AN538" s="58" t="n">
        <f aca="false">IF(AM538="",0,MAX(0,MIN(1,(IF(CC538="L1",Parameter!$H$5,IF(CC538="L23",Parameter!$H$6+Parameter!$H$7,Parameter!$H$5+Parameter!$H$6+Parameter!$H$7))-(AM538-AI538))/AI538)))</f>
        <v>1</v>
      </c>
      <c r="AO538" s="50" t="n">
        <f aca="false">IF(LEFT(Cockpit!$I$5,1)="A",H538,IF(CE538=1,CF538,IF(LEFT(Cockpit!$I$5,1)="B",AT538,MAX(AT538,H538))))</f>
        <v>2328</v>
      </c>
      <c r="AP538" s="50" t="n">
        <f aca="false">IF(BW538=1,0,ROUNDUP(AO538/BV538,0))</f>
        <v>1</v>
      </c>
      <c r="AQ538" s="52" t="n">
        <f aca="false">IF(CL538&gt;0,CL538*MAX(1,AO538/X538),IF(BW538=1,IF(AO538&lt;=0,0,CA538*MAX(1,IF(H538&gt;0,AO538/H538,1))),IF(R538&gt;0,AP538/R538,0))/MAX(0.1,N(Parameter!$M$21)))</f>
        <v>0.0384615384615385</v>
      </c>
      <c r="AR538" s="50" t="n">
        <f aca="false">AQ538*BY538</f>
        <v>5.96153846153846</v>
      </c>
      <c r="AS538" s="50" t="n">
        <f aca="false">AO538*G538</f>
        <v>23.28</v>
      </c>
      <c r="AT538" s="50" t="n">
        <f aca="false">ROUNDUP(MAX(J538/IF(CD538&gt;0,CD538,MAX(0.1,N(Cockpit!$I$6))),CG538)/BV538,0)*BV538</f>
        <v>2328</v>
      </c>
      <c r="AU538" s="51" t="n">
        <f aca="false">IF(AR538&gt;0,J538/AR538,-1)</f>
        <v>0</v>
      </c>
      <c r="AV538" s="51" t="n">
        <f aca="false">IF(AND(OR(CC538="L1",CC538="L23",CC538="LIFT"),AR538&gt;0),SUMIFS($AR$7:$AR$1843,$CC$7:$CC$1843,CC538,$AU$7:$AU$1843,"&gt;"&amp;AU538)+SUMIFS($AR$7:$AR$1843,$CC$7:$CC$1843,CC538,$AU$7:$AU$1843,AU538,$BT$7:$BT$1843,"&lt;="&amp;BT538),"")</f>
        <v>39665.2930480536</v>
      </c>
      <c r="AW538" s="58" t="n">
        <f aca="false">IF(AV538="",0,MAX(0,MIN(1,(IF(CC538="L1",Parameter!$H$5,IF(CC538="L23",Parameter!$H$6+Parameter!$H$7,Parameter!$H$5+Parameter!$H$6+Parameter!$H$7))-(AV538-AR538))/AR538)))</f>
        <v>0</v>
      </c>
      <c r="AX538" s="50" t="n">
        <f aca="false">IF(LEFT(Cockpit!$O$5,1)="A",H538,IF(CE538=1,CF538,IF(LEFT(Cockpit!$O$5,1)="B",BC538,MAX(BC538,H538))))</f>
        <v>2328</v>
      </c>
      <c r="AY538" s="50" t="n">
        <f aca="false">IF(BW538=1,0,ROUNDUP(AX538/BV538,0))</f>
        <v>1</v>
      </c>
      <c r="AZ538" s="52" t="n">
        <f aca="false">IF(CL538&gt;0,CL538*MAX(1,AX538/X538),IF(BW538=1,IF(AX538&lt;=0,0,CA538*MAX(1,IF(H538&gt;0,AX538/H538,1))),IF(R538&gt;0,AY538/R538,0))/MAX(0.1,N(Parameter!$M$21)))</f>
        <v>0.0384615384615385</v>
      </c>
      <c r="BA538" s="50" t="n">
        <f aca="false">AZ538*BY538</f>
        <v>5.96153846153846</v>
      </c>
      <c r="BB538" s="50" t="n">
        <f aca="false">AX538*G538</f>
        <v>23.28</v>
      </c>
      <c r="BC538" s="50" t="n">
        <f aca="false">ROUNDUP(MAX(J538/IF(CD538&gt;0,CD538,MAX(0.1,N(Cockpit!$O$6))),CG538)/BV538,0)*BV538</f>
        <v>2328</v>
      </c>
      <c r="BD538" s="51" t="n">
        <f aca="false">IF(BA538&gt;0,J538/BA538,-1)</f>
        <v>0</v>
      </c>
      <c r="BE538" s="51" t="n">
        <f aca="false">IF(AND(OR(CC538="L1",CC538="L23",CC538="LIFT"),BA538&gt;0),SUMIFS($BA$7:$BA$1843,$CC$7:$CC$1843,CC538,$BD$7:$BD$1843,"&gt;"&amp;BD538)+SUMIFS($BA$7:$BA$1843,$CC$7:$CC$1843,CC538,$BD$7:$BD$1843,BD538,$BT$7:$BT$1843,"&lt;="&amp;BT538),"")</f>
        <v>36340.3050899195</v>
      </c>
      <c r="BF538" s="58" t="n">
        <f aca="false">IF(BE538="",0,MAX(0,MIN(1,(IF(CC538="L1",Parameter!$H$5,IF(CC538="L23",Parameter!$H$6+Parameter!$H$7,Parameter!$H$5+Parameter!$H$6+Parameter!$H$7))-(BE538-BA538))/BA538)))</f>
        <v>0</v>
      </c>
      <c r="BG538" s="48" t="str">
        <f aca="false">IF(AI538&lt;=0,"",IF(CC538="Aussen","Aussenlager",IF(CC538="-","Nicht im Lift",IF(AN538&gt;=1,"Lift",IF(AN538&lt;=0,"Aussenlager","teilweise")))))</f>
        <v>Lift</v>
      </c>
      <c r="BH538" s="48" t="str">
        <f aca="false">IF(AR538&lt;=0,"",IF(CC538="Aussen","Aussenlager",IF(CC538="-","Nicht im Lift",IF(AW538&gt;=1,"Lift",IF(AW538&lt;=0,"Aussenlager","teilweise")))))</f>
        <v>Aussenlager</v>
      </c>
      <c r="BI538" s="48" t="str">
        <f aca="false">IF(BA538&lt;=0,"",IF(CC538="Aussen","Aussenlager",IF(CC538="-","Nicht im Lift",IF(BF538&gt;=1,"Lift",IF(BF538&lt;=0,"Aussenlager","teilweise")))))</f>
        <v>Aussenlager</v>
      </c>
      <c r="BJ538" s="48" t="str">
        <f aca="false">IF(A538="","",IF(BS538=1,"Neu; ","")&amp;IF(AND(BS538=0,BN538&lt;0),"negativer Bestand (Export "&amp;BN538&amp;"); ","")&amp;IF(J538&lt;=0,"Kein Verbrauch; ","")&amp;IF(CL538&gt;0,"Lift "&amp;W538&amp;" lt. Liftbericht (Fach "&amp;X538&amp;" Stk); ",IF(BX538=1,"Gebinde geschätzt ("&amp;T538&amp;"); ",IF(BW538=1,"Lose – Tablare geschätzt; ","")))&amp;IF(H538&gt;AT538,"Überbestand "&amp;ROUND(H538-AT538,0)&amp;" Stk / CHF "&amp;ROUND((H538-AT538)*G538,0)&amp;"; ","")&amp;IF(AND(CE538=1,CF538&lt;CG538),"MAX &lt; MB+LG; ","")&amp;IF(AND(CK538&gt;0,CJ538*10&gt;CK538),"zu hoch für Tablar; ","")&amp;IF(AND(BS538=0,OR(CE538=1,AA538&lt;&gt;"",U538&lt;&gt;"",V538&lt;&gt;"",AB538&lt;&gt;"")),"manuell übersteuert; ","")&amp;IF(AND(BW538=0,R538=0),"Gebinde unbekannt / Stellmass fehlt; ","")&amp;IF(AND(BW538=0,N(V538)&lt;=0,N(Q538)&lt;=0),"Menge pro Gebinde fehlt (Ist = 1 Gebinde); ","")&amp;BR538)</f>
        <v>Kein Verbrauch; Gebinde geschätzt (Klein); Menge pro Gebinde fehlt (Ist = 1 Gebinde); </v>
      </c>
      <c r="BK538" s="48"/>
      <c r="BL538" s="48"/>
      <c r="BM538" s="55"/>
      <c r="BN538" s="50" t="n">
        <v>2328</v>
      </c>
      <c r="BO538" s="50" t="n">
        <v>0</v>
      </c>
      <c r="BP538" s="49" t="n">
        <v>23.2800000000001</v>
      </c>
      <c r="BQ538" s="50" t="n">
        <v>0</v>
      </c>
      <c r="BR538" s="48"/>
      <c r="BS538" s="53" t="n">
        <v>0</v>
      </c>
      <c r="BT538" s="53" t="n">
        <v>538</v>
      </c>
      <c r="BU538" s="48" t="str">
        <f aca="false">IF(U538&lt;&gt;"",UPPER(TRIM(U538)),IF(BX538=1,UPPER(VLOOKUP(T538,Parameter!$I$27:$K$29,2,0)),IF(P538="","LOSE",P538)))</f>
        <v>S51</v>
      </c>
      <c r="BV538" s="50" t="n">
        <f aca="false">IF(BU538="LOSE",1,IF(N(V538)&gt;0,V538,IF(BX538=1,MAX(1,N(VLOOKUP(T538,Parameter!$I$27:$K$29,3,0)),H538,N(N538)),IF(N(Q538)&gt;0,Q538,MAX(1,H538)))))</f>
        <v>2328</v>
      </c>
      <c r="BW538" s="53" t="n">
        <f aca="false">IF(BU538="LOSE",1,0)</f>
        <v>0</v>
      </c>
      <c r="BX538" s="53" t="n">
        <f aca="false">IF(AND(U538="",OR(P538="",P538="LOSE"),T538&lt;&gt;"",N(S538)&lt;=0,ISNUMBER(MATCH(T538,Parameter!$I$27:$I$29,0))),1,0)</f>
        <v>1</v>
      </c>
      <c r="BY538" s="53" t="n">
        <f aca="false">IF(CL538&gt;0,INDEX(Parameter!$H$5:$H$7,W538)/INDEX(Parameter!$E$5:$E$7,W538),IF(AND(BW538=0,N(IFERROR(VLOOKUP(BU538,'Gebinde-Kategorie'!$A$5:$N$45,14,0),0))&gt;0),VLOOKUP(BU538,'Gebinde-Kategorie'!$A$5:$N$45,14,0)*10+Parameter!$M$23,Parameter!$M$24))</f>
        <v>155</v>
      </c>
      <c r="BZ538" s="48" t="str">
        <f aca="false">IF(AND(Parameter!$B$19="Ja",E538&lt;&gt;"",ISNUMBER(MATCH(E538,Parameter!$I$35:$I$52,0))),VLOOKUP(E538,Parameter!$I$35:$J$52,2,0),IFERROR(VLOOKUP(D538,Parameter!$A$35:$C$64,2,0),"Nein"))</f>
        <v>2+3</v>
      </c>
      <c r="CA538" s="52" t="n">
        <f aca="false">IF(BW538=0,0,IF(N(S538)&gt;0,S538,IFERROR(VLOOKUP(D538,Parameter!$A$35:$C$64,3,0)+0,0)))</f>
        <v>0</v>
      </c>
      <c r="CB538" s="48" t="n">
        <f aca="false">IF(AA538&lt;&gt;"",AA538,Z538)</f>
        <v>3</v>
      </c>
      <c r="CC538" s="48" t="str">
        <f aca="false">IF(OR(CB538=1,CB538=2,CB538=3),IF(Parameter!$E$27="Ja","LIFT",IF(CB538=1,"L1","L23")),IF(CB538="Aussen","Aussen","-"))</f>
        <v>LIFT</v>
      </c>
      <c r="CD538" s="59" t="n">
        <f aca="false">IF(N(AB538)&gt;0,AB538,0)</f>
        <v>0</v>
      </c>
      <c r="CE538" s="53" t="n">
        <f aca="false">IF(ISNUMBER(AE538),1,0)</f>
        <v>0</v>
      </c>
      <c r="CF538" s="50" t="n">
        <f aca="false">N(AE538)</f>
        <v>0</v>
      </c>
      <c r="CG538" s="50" t="n">
        <f aca="false">N(M538)+N(N538)</f>
        <v>610</v>
      </c>
      <c r="CH538" s="50" t="n">
        <f aca="false">ROUNDUP(H538/BV538,0)</f>
        <v>1</v>
      </c>
      <c r="CI538" s="50" t="n">
        <f aca="false">ROUNDUP(CF538/BV538,0)</f>
        <v>0</v>
      </c>
      <c r="CJ538" s="53" t="n">
        <f aca="false">IF(BW538=1,0,IFERROR(VLOOKUP(BU538,'Gebinde-Kategorie'!$A$5:$N$45,5,0)+0,0))</f>
        <v>11</v>
      </c>
      <c r="CK538" s="53" t="n">
        <f aca="false">IFERROR(IF(OR(CB538=1,CB538=2,CB538=3),N(INDEX(Parameter!$I$5:$I$7,CB538)),0),0)</f>
        <v>0</v>
      </c>
      <c r="CL538" s="52" t="n">
        <f aca="false">IF(AND(Parameter!$B$21="Ja",ISNUMBER(W538),N(X538)&gt;0),IFERROR(N(INDEX(Parameter!$L$5:$L$7,W538))*INDEX(Parameter!$E$5:$E$7,W538)*X538/SUMIFS($X$7:$X$1843,$W$7:$W$1843,W538),0),0)</f>
        <v>0</v>
      </c>
    </row>
    <row r="539" customFormat="false" ht="15" hidden="false" customHeight="false" outlineLevel="0" collapsed="false">
      <c r="A539" s="48" t="s">
        <v>1162</v>
      </c>
      <c r="B539" s="48" t="s">
        <v>429</v>
      </c>
      <c r="C539" s="48" t="s">
        <v>168</v>
      </c>
      <c r="D539" s="48" t="s">
        <v>188</v>
      </c>
      <c r="E539" s="48"/>
      <c r="F539" s="48" t="s">
        <v>222</v>
      </c>
      <c r="G539" s="49" t="n">
        <v>20.6</v>
      </c>
      <c r="H539" s="50" t="n">
        <f aca="false">MAX(0,IF(AND(Parameter!$B$21="Ja",ISNUMBER(Y539)),Y539,IF(Parameter!$B$20="Jahresanfang 2025 + Export",BO539+BN539,BN539)))</f>
        <v>3</v>
      </c>
      <c r="I539" s="50" t="n">
        <f aca="false">H539*G539</f>
        <v>61.8</v>
      </c>
      <c r="J539" s="50" t="n">
        <f aca="false">BQ539*Parameter!$B$18</f>
        <v>10</v>
      </c>
      <c r="K539" s="51" t="n">
        <v>2.5</v>
      </c>
      <c r="L539" s="52" t="n">
        <v>4</v>
      </c>
      <c r="M539" s="50" t="n">
        <v>1</v>
      </c>
      <c r="N539" s="50" t="n">
        <v>10</v>
      </c>
      <c r="O539" s="53" t="n">
        <v>40</v>
      </c>
      <c r="P539" s="48" t="s">
        <v>172</v>
      </c>
      <c r="Q539" s="50"/>
      <c r="R539" s="53" t="n">
        <f aca="false">IF(BW539=1,0,IFERROR(VLOOKUP(BU539,'Gebinde-Kategorie'!$A$5:$N$45,13,0)+0,0))</f>
        <v>26</v>
      </c>
      <c r="S539" s="54"/>
      <c r="T539" s="55" t="s">
        <v>279</v>
      </c>
      <c r="U539" s="55"/>
      <c r="V539" s="55"/>
      <c r="W539" s="48"/>
      <c r="X539" s="50"/>
      <c r="Y539" s="50"/>
      <c r="Z539" s="48" t="n">
        <f aca="false">IF(A539="","",IF(AND(Parameter!$B$21="Ja",ISNUMBER(W539)),W539,IF(BZ539="2+3",IF(ISNUMBER(SEARCH("grosser Artikel",BR539)),2,IFERROR(VLOOKUP(BU539,Parameter!$F$35:$G$64,2,0),2)),IF(OR(BZ539="Nein",BZ539=""),"-",BZ539))))</f>
        <v>3</v>
      </c>
      <c r="AA539" s="55"/>
      <c r="AB539" s="56"/>
      <c r="AC539" s="50" t="n">
        <f aca="false">AT539</f>
        <v>20</v>
      </c>
      <c r="AD539" s="50" t="n">
        <f aca="false">MAX(AT539,H539)</f>
        <v>20</v>
      </c>
      <c r="AE539" s="57"/>
      <c r="AF539" s="50" t="n">
        <f aca="false">IF(LEFT(Cockpit!$C$5,1)="A",H539,IF(CE539=1,CF539,IF(LEFT(Cockpit!$C$5,1)="B",AK539,MAX(AK539,H539))))</f>
        <v>3</v>
      </c>
      <c r="AG539" s="50" t="n">
        <f aca="false">IF(BW539=1,0,ROUNDUP(AF539/BV539,0))</f>
        <v>1</v>
      </c>
      <c r="AH539" s="52" t="n">
        <f aca="false">IF(CL539&gt;0,CL539*MAX(1,AF539/X539),IF(BW539=1,IF(AF539&lt;=0,0,CA539*MAX(1,IF(H539&gt;0,AF539/H539,1))),IF(R539&gt;0,AG539/R539,0))/MAX(0.1,N(Parameter!$M$21)))</f>
        <v>0.0384615384615385</v>
      </c>
      <c r="AI539" s="50" t="n">
        <f aca="false">AH539*BY539</f>
        <v>5.96153846153846</v>
      </c>
      <c r="AJ539" s="50" t="n">
        <f aca="false">AF539*G539</f>
        <v>61.8</v>
      </c>
      <c r="AK539" s="50" t="n">
        <f aca="false">ROUNDUP(MAX(J539/IF(CD539&gt;0,CD539,MAX(0.1,N(Cockpit!$C$6))),CG539)/BV539,0)*BV539</f>
        <v>20</v>
      </c>
      <c r="AL539" s="51" t="n">
        <f aca="false">IF(AI539&gt;0,J539/AI539,-1)</f>
        <v>1.67741935483871</v>
      </c>
      <c r="AM539" s="51" t="n">
        <f aca="false">IF(AND(OR(CC539="L1",CC539="L23",CC539="LIFT"),AI539&gt;0),SUMIFS($AI$7:$AI$1843,$CC$7:$CC$1843,CC539,$AL$7:$AL$1843,"&gt;"&amp;AL539)+SUMIFS($AI$7:$AI$1843,$CC$7:$CC$1843,CC539,$AL$7:$AL$1843,AL539,$BT$7:$BT$1843,"&lt;="&amp;BT539),"")</f>
        <v>6054.83379120879</v>
      </c>
      <c r="AN539" s="58" t="n">
        <f aca="false">IF(AM539="",0,MAX(0,MIN(1,(IF(CC539="L1",Parameter!$H$5,IF(CC539="L23",Parameter!$H$6+Parameter!$H$7,Parameter!$H$5+Parameter!$H$6+Parameter!$H$7))-(AM539-AI539))/AI539)))</f>
        <v>1</v>
      </c>
      <c r="AO539" s="50" t="n">
        <f aca="false">IF(LEFT(Cockpit!$I$5,1)="A",H539,IF(CE539=1,CF539,IF(LEFT(Cockpit!$I$5,1)="B",AT539,MAX(AT539,H539))))</f>
        <v>20</v>
      </c>
      <c r="AP539" s="50" t="n">
        <f aca="false">IF(BW539=1,0,ROUNDUP(AO539/BV539,0))</f>
        <v>1</v>
      </c>
      <c r="AQ539" s="52" t="n">
        <f aca="false">IF(CL539&gt;0,CL539*MAX(1,AO539/X539),IF(BW539=1,IF(AO539&lt;=0,0,CA539*MAX(1,IF(H539&gt;0,AO539/H539,1))),IF(R539&gt;0,AP539/R539,0))/MAX(0.1,N(Parameter!$M$21)))</f>
        <v>0.0384615384615385</v>
      </c>
      <c r="AR539" s="50" t="n">
        <f aca="false">AQ539*BY539</f>
        <v>5.96153846153846</v>
      </c>
      <c r="AS539" s="50" t="n">
        <f aca="false">AO539*G539</f>
        <v>412</v>
      </c>
      <c r="AT539" s="50" t="n">
        <f aca="false">ROUNDUP(MAX(J539/IF(CD539&gt;0,CD539,MAX(0.1,N(Cockpit!$I$6))),CG539)/BV539,0)*BV539</f>
        <v>20</v>
      </c>
      <c r="AU539" s="51" t="n">
        <f aca="false">IF(AR539&gt;0,J539/AR539,-1)</f>
        <v>1.67741935483871</v>
      </c>
      <c r="AV539" s="51" t="n">
        <f aca="false">IF(AND(OR(CC539="L1",CC539="L23",CC539="LIFT"),AR539&gt;0),SUMIFS($AR$7:$AR$1843,$CC$7:$CC$1843,CC539,$AU$7:$AU$1843,"&gt;"&amp;AU539)+SUMIFS($AR$7:$AR$1843,$CC$7:$CC$1843,CC539,$AU$7:$AU$1843,AU539,$BT$7:$BT$1843,"&lt;="&amp;BT539),"")</f>
        <v>8198.87912087912</v>
      </c>
      <c r="AW539" s="58" t="n">
        <f aca="false">IF(AV539="",0,MAX(0,MIN(1,(IF(CC539="L1",Parameter!$H$5,IF(CC539="L23",Parameter!$H$6+Parameter!$H$7,Parameter!$H$5+Parameter!$H$6+Parameter!$H$7))-(AV539-AR539))/AR539)))</f>
        <v>1</v>
      </c>
      <c r="AX539" s="50" t="n">
        <f aca="false">IF(LEFT(Cockpit!$O$5,1)="A",H539,IF(CE539=1,CF539,IF(LEFT(Cockpit!$O$5,1)="B",BC539,MAX(BC539,H539))))</f>
        <v>20</v>
      </c>
      <c r="AY539" s="50" t="n">
        <f aca="false">IF(BW539=1,0,ROUNDUP(AX539/BV539,0))</f>
        <v>1</v>
      </c>
      <c r="AZ539" s="52" t="n">
        <f aca="false">IF(CL539&gt;0,CL539*MAX(1,AX539/X539),IF(BW539=1,IF(AX539&lt;=0,0,CA539*MAX(1,IF(H539&gt;0,AX539/H539,1))),IF(R539&gt;0,AY539/R539,0))/MAX(0.1,N(Parameter!$M$21)))</f>
        <v>0.0384615384615385</v>
      </c>
      <c r="BA539" s="50" t="n">
        <f aca="false">AZ539*BY539</f>
        <v>5.96153846153846</v>
      </c>
      <c r="BB539" s="50" t="n">
        <f aca="false">AX539*G539</f>
        <v>412</v>
      </c>
      <c r="BC539" s="50" t="n">
        <f aca="false">ROUNDUP(MAX(J539/IF(CD539&gt;0,CD539,MAX(0.1,N(Cockpit!$O$6))),CG539)/BV539,0)*BV539</f>
        <v>20</v>
      </c>
      <c r="BD539" s="51" t="n">
        <f aca="false">IF(BA539&gt;0,J539/BA539,-1)</f>
        <v>1.67741935483871</v>
      </c>
      <c r="BE539" s="51" t="n">
        <f aca="false">IF(AND(OR(CC539="L1",CC539="L23",CC539="LIFT"),BA539&gt;0),SUMIFS($BA$7:$BA$1843,$CC$7:$CC$1843,CC539,$BD$7:$BD$1843,"&gt;"&amp;BD539)+SUMIFS($BA$7:$BA$1843,$CC$7:$CC$1843,CC539,$BD$7:$BD$1843,BD539,$BT$7:$BT$1843,"&lt;="&amp;BT539),"")</f>
        <v>8113.28617216117</v>
      </c>
      <c r="BF539" s="58" t="n">
        <f aca="false">IF(BE539="",0,MAX(0,MIN(1,(IF(CC539="L1",Parameter!$H$5,IF(CC539="L23",Parameter!$H$6+Parameter!$H$7,Parameter!$H$5+Parameter!$H$6+Parameter!$H$7))-(BE539-BA539))/BA539)))</f>
        <v>1</v>
      </c>
      <c r="BG539" s="48" t="str">
        <f aca="false">IF(AI539&lt;=0,"",IF(CC539="Aussen","Aussenlager",IF(CC539="-","Nicht im Lift",IF(AN539&gt;=1,"Lift",IF(AN539&lt;=0,"Aussenlager","teilweise")))))</f>
        <v>Lift</v>
      </c>
      <c r="BH539" s="48" t="str">
        <f aca="false">IF(AR539&lt;=0,"",IF(CC539="Aussen","Aussenlager",IF(CC539="-","Nicht im Lift",IF(AW539&gt;=1,"Lift",IF(AW539&lt;=0,"Aussenlager","teilweise")))))</f>
        <v>Lift</v>
      </c>
      <c r="BI539" s="48" t="str">
        <f aca="false">IF(BA539&lt;=0,"",IF(CC539="Aussen","Aussenlager",IF(CC539="-","Nicht im Lift",IF(BF539&gt;=1,"Lift",IF(BF539&lt;=0,"Aussenlager","teilweise")))))</f>
        <v>Lift</v>
      </c>
      <c r="BJ539" s="48" t="str">
        <f aca="false">IF(A539="","",IF(BS539=1,"Neu; ","")&amp;IF(AND(BS539=0,BN539&lt;0),"negativer Bestand (Export "&amp;BN539&amp;"); ","")&amp;IF(J539&lt;=0,"Kein Verbrauch; ","")&amp;IF(CL539&gt;0,"Lift "&amp;W539&amp;" lt. Liftbericht (Fach "&amp;X539&amp;" Stk); ",IF(BX539=1,"Gebinde geschätzt ("&amp;T539&amp;"); ",IF(BW539=1,"Lose – Tablare geschätzt; ","")))&amp;IF(H539&gt;AT539,"Überbestand "&amp;ROUND(H539-AT539,0)&amp;" Stk / CHF "&amp;ROUND((H539-AT539)*G539,0)&amp;"; ","")&amp;IF(AND(CE539=1,CF539&lt;CG539),"MAX &lt; MB+LG; ","")&amp;IF(AND(CK539&gt;0,CJ539*10&gt;CK539),"zu hoch für Tablar; ","")&amp;IF(AND(BS539=0,OR(CE539=1,AA539&lt;&gt;"",U539&lt;&gt;"",V539&lt;&gt;"",AB539&lt;&gt;"")),"manuell übersteuert; ","")&amp;IF(AND(BW539=0,R539=0),"Gebinde unbekannt / Stellmass fehlt; ","")&amp;IF(AND(BW539=0,N(V539)&lt;=0,N(Q539)&lt;=0),"Menge pro Gebinde fehlt (Ist = 1 Gebinde); ","")&amp;BR539)</f>
        <v>Gebinde geschätzt (Klein); Menge pro Gebinde fehlt (Ist = 1 Gebinde); </v>
      </c>
      <c r="BK539" s="48"/>
      <c r="BL539" s="48"/>
      <c r="BM539" s="55"/>
      <c r="BN539" s="50" t="n">
        <v>1</v>
      </c>
      <c r="BO539" s="50" t="n">
        <v>2</v>
      </c>
      <c r="BP539" s="49" t="n">
        <v>22.6</v>
      </c>
      <c r="BQ539" s="50" t="n">
        <v>10</v>
      </c>
      <c r="BR539" s="48"/>
      <c r="BS539" s="53" t="n">
        <v>0</v>
      </c>
      <c r="BT539" s="53" t="n">
        <v>539</v>
      </c>
      <c r="BU539" s="48" t="str">
        <f aca="false">IF(U539&lt;&gt;"",UPPER(TRIM(U539)),IF(BX539=1,UPPER(VLOOKUP(T539,Parameter!$I$27:$K$29,2,0)),IF(P539="","LOSE",P539)))</f>
        <v>S51</v>
      </c>
      <c r="BV539" s="50" t="n">
        <f aca="false">IF(BU539="LOSE",1,IF(N(V539)&gt;0,V539,IF(BX539=1,MAX(1,N(VLOOKUP(T539,Parameter!$I$27:$K$29,3,0)),H539,N(N539)),IF(N(Q539)&gt;0,Q539,MAX(1,H539)))))</f>
        <v>20</v>
      </c>
      <c r="BW539" s="53" t="n">
        <f aca="false">IF(BU539="LOSE",1,0)</f>
        <v>0</v>
      </c>
      <c r="BX539" s="53" t="n">
        <f aca="false">IF(AND(U539="",OR(P539="",P539="LOSE"),T539&lt;&gt;"",N(S539)&lt;=0,ISNUMBER(MATCH(T539,Parameter!$I$27:$I$29,0))),1,0)</f>
        <v>1</v>
      </c>
      <c r="BY539" s="53" t="n">
        <f aca="false">IF(CL539&gt;0,INDEX(Parameter!$H$5:$H$7,W539)/INDEX(Parameter!$E$5:$E$7,W539),IF(AND(BW539=0,N(IFERROR(VLOOKUP(BU539,'Gebinde-Kategorie'!$A$5:$N$45,14,0),0))&gt;0),VLOOKUP(BU539,'Gebinde-Kategorie'!$A$5:$N$45,14,0)*10+Parameter!$M$23,Parameter!$M$24))</f>
        <v>155</v>
      </c>
      <c r="BZ539" s="48" t="str">
        <f aca="false">IF(AND(Parameter!$B$19="Ja",E539&lt;&gt;"",ISNUMBER(MATCH(E539,Parameter!$I$35:$I$52,0))),VLOOKUP(E539,Parameter!$I$35:$J$52,2,0),IFERROR(VLOOKUP(D539,Parameter!$A$35:$C$64,2,0),"Nein"))</f>
        <v>2+3</v>
      </c>
      <c r="CA539" s="52" t="n">
        <f aca="false">IF(BW539=0,0,IF(N(S539)&gt;0,S539,IFERROR(VLOOKUP(D539,Parameter!$A$35:$C$64,3,0)+0,0)))</f>
        <v>0</v>
      </c>
      <c r="CB539" s="48" t="n">
        <f aca="false">IF(AA539&lt;&gt;"",AA539,Z539)</f>
        <v>3</v>
      </c>
      <c r="CC539" s="48" t="str">
        <f aca="false">IF(OR(CB539=1,CB539=2,CB539=3),IF(Parameter!$E$27="Ja","LIFT",IF(CB539=1,"L1","L23")),IF(CB539="Aussen","Aussen","-"))</f>
        <v>LIFT</v>
      </c>
      <c r="CD539" s="59" t="n">
        <f aca="false">IF(N(AB539)&gt;0,AB539,0)</f>
        <v>0</v>
      </c>
      <c r="CE539" s="53" t="n">
        <f aca="false">IF(ISNUMBER(AE539),1,0)</f>
        <v>0</v>
      </c>
      <c r="CF539" s="50" t="n">
        <f aca="false">N(AE539)</f>
        <v>0</v>
      </c>
      <c r="CG539" s="50" t="n">
        <f aca="false">N(M539)+N(N539)</f>
        <v>11</v>
      </c>
      <c r="CH539" s="50" t="n">
        <f aca="false">ROUNDUP(H539/BV539,0)</f>
        <v>1</v>
      </c>
      <c r="CI539" s="50" t="n">
        <f aca="false">ROUNDUP(CF539/BV539,0)</f>
        <v>0</v>
      </c>
      <c r="CJ539" s="53" t="n">
        <f aca="false">IF(BW539=1,0,IFERROR(VLOOKUP(BU539,'Gebinde-Kategorie'!$A$5:$N$45,5,0)+0,0))</f>
        <v>11</v>
      </c>
      <c r="CK539" s="53" t="n">
        <f aca="false">IFERROR(IF(OR(CB539=1,CB539=2,CB539=3),N(INDEX(Parameter!$I$5:$I$7,CB539)),0),0)</f>
        <v>0</v>
      </c>
      <c r="CL539" s="52" t="n">
        <f aca="false">IF(AND(Parameter!$B$21="Ja",ISNUMBER(W539),N(X539)&gt;0),IFERROR(N(INDEX(Parameter!$L$5:$L$7,W539))*INDEX(Parameter!$E$5:$E$7,W539)*X539/SUMIFS($X$7:$X$1843,$W$7:$W$1843,W539),0),0)</f>
        <v>0</v>
      </c>
    </row>
    <row r="540" customFormat="false" ht="15" hidden="false" customHeight="false" outlineLevel="0" collapsed="false">
      <c r="A540" s="48" t="s">
        <v>1163</v>
      </c>
      <c r="B540" s="48" t="s">
        <v>1164</v>
      </c>
      <c r="C540" s="48" t="s">
        <v>168</v>
      </c>
      <c r="D540" s="48" t="s">
        <v>188</v>
      </c>
      <c r="E540" s="48"/>
      <c r="F540" s="48" t="s">
        <v>222</v>
      </c>
      <c r="G540" s="49" t="n">
        <v>8.77</v>
      </c>
      <c r="H540" s="50" t="n">
        <f aca="false">MAX(0,IF(AND(Parameter!$B$21="Ja",ISNUMBER(Y540)),Y540,IF(Parameter!$B$20="Jahresanfang 2025 + Export",BO540+BN540,BN540)))</f>
        <v>11</v>
      </c>
      <c r="I540" s="50" t="n">
        <f aca="false">H540*G540</f>
        <v>96.47</v>
      </c>
      <c r="J540" s="50" t="n">
        <f aca="false">BQ540*Parameter!$B$18</f>
        <v>5</v>
      </c>
      <c r="K540" s="51" t="n">
        <v>4</v>
      </c>
      <c r="L540" s="52" t="n">
        <v>1.25</v>
      </c>
      <c r="M540" s="50" t="n">
        <v>0</v>
      </c>
      <c r="N540" s="50" t="n">
        <v>5</v>
      </c>
      <c r="O540" s="53" t="n">
        <v>14</v>
      </c>
      <c r="P540" s="48" t="s">
        <v>430</v>
      </c>
      <c r="Q540" s="50" t="n">
        <v>13</v>
      </c>
      <c r="R540" s="53" t="n">
        <f aca="false">IF(BW540=1,0,IFERROR(VLOOKUP(BU540,'Gebinde-Kategorie'!$A$5:$N$45,13,0)+0,0))</f>
        <v>140</v>
      </c>
      <c r="S540" s="54"/>
      <c r="T540" s="55"/>
      <c r="U540" s="55"/>
      <c r="V540" s="55"/>
      <c r="W540" s="48"/>
      <c r="X540" s="50"/>
      <c r="Y540" s="50"/>
      <c r="Z540" s="48" t="n">
        <f aca="false">IF(A540="","",IF(AND(Parameter!$B$21="Ja",ISNUMBER(W540)),W540,IF(BZ540="2+3",IF(ISNUMBER(SEARCH("grosser Artikel",BR540)),2,IFERROR(VLOOKUP(BU540,Parameter!$F$35:$G$64,2,0),2)),IF(OR(BZ540="Nein",BZ540=""),"-",BZ540))))</f>
        <v>3</v>
      </c>
      <c r="AA540" s="55"/>
      <c r="AB540" s="56"/>
      <c r="AC540" s="50" t="n">
        <f aca="false">AT540</f>
        <v>13</v>
      </c>
      <c r="AD540" s="50" t="n">
        <f aca="false">MAX(AT540,H540)</f>
        <v>13</v>
      </c>
      <c r="AE540" s="57"/>
      <c r="AF540" s="50" t="n">
        <f aca="false">IF(LEFT(Cockpit!$C$5,1)="A",H540,IF(CE540=1,CF540,IF(LEFT(Cockpit!$C$5,1)="B",AK540,MAX(AK540,H540))))</f>
        <v>11</v>
      </c>
      <c r="AG540" s="50" t="n">
        <f aca="false">IF(BW540=1,0,ROUNDUP(AF540/BV540,0))</f>
        <v>1</v>
      </c>
      <c r="AH540" s="52" t="n">
        <f aca="false">IF(CL540&gt;0,CL540*MAX(1,AF540/X540),IF(BW540=1,IF(AF540&lt;=0,0,CA540*MAX(1,IF(H540&gt;0,AF540/H540,1))),IF(R540&gt;0,AG540/R540,0))/MAX(0.1,N(Parameter!$M$21)))</f>
        <v>0.00714285714285714</v>
      </c>
      <c r="AI540" s="50" t="n">
        <f aca="false">AH540*BY540</f>
        <v>1.10714285714286</v>
      </c>
      <c r="AJ540" s="50" t="n">
        <f aca="false">AF540*G540</f>
        <v>96.47</v>
      </c>
      <c r="AK540" s="50" t="n">
        <f aca="false">ROUNDUP(MAX(J540/IF(CD540&gt;0,CD540,MAX(0.1,N(Cockpit!$C$6))),CG540)/BV540,0)*BV540</f>
        <v>13</v>
      </c>
      <c r="AL540" s="51" t="n">
        <f aca="false">IF(AI540&gt;0,J540/AI540,-1)</f>
        <v>4.51612903225806</v>
      </c>
      <c r="AM540" s="51" t="n">
        <f aca="false">IF(AND(OR(CC540="L1",CC540="L23",CC540="LIFT"),AI540&gt;0),SUMIFS($AI$7:$AI$1843,$CC$7:$CC$1843,CC540,$AL$7:$AL$1843,"&gt;"&amp;AL540)+SUMIFS($AI$7:$AI$1843,$CC$7:$CC$1843,CC540,$AL$7:$AL$1843,AL540,$BT$7:$BT$1843,"&lt;="&amp;BT540),"")</f>
        <v>4148.88141025641</v>
      </c>
      <c r="AN540" s="58" t="n">
        <f aca="false">IF(AM540="",0,MAX(0,MIN(1,(IF(CC540="L1",Parameter!$H$5,IF(CC540="L23",Parameter!$H$6+Parameter!$H$7,Parameter!$H$5+Parameter!$H$6+Parameter!$H$7))-(AM540-AI540))/AI540)))</f>
        <v>1</v>
      </c>
      <c r="AO540" s="50" t="n">
        <f aca="false">IF(LEFT(Cockpit!$I$5,1)="A",H540,IF(CE540=1,CF540,IF(LEFT(Cockpit!$I$5,1)="B",AT540,MAX(AT540,H540))))</f>
        <v>13</v>
      </c>
      <c r="AP540" s="50" t="n">
        <f aca="false">IF(BW540=1,0,ROUNDUP(AO540/BV540,0))</f>
        <v>1</v>
      </c>
      <c r="AQ540" s="52" t="n">
        <f aca="false">IF(CL540&gt;0,CL540*MAX(1,AO540/X540),IF(BW540=1,IF(AO540&lt;=0,0,CA540*MAX(1,IF(H540&gt;0,AO540/H540,1))),IF(R540&gt;0,AP540/R540,0))/MAX(0.1,N(Parameter!$M$21)))</f>
        <v>0.00714285714285714</v>
      </c>
      <c r="AR540" s="50" t="n">
        <f aca="false">AQ540*BY540</f>
        <v>1.10714285714286</v>
      </c>
      <c r="AS540" s="50" t="n">
        <f aca="false">AO540*G540</f>
        <v>114.01</v>
      </c>
      <c r="AT540" s="50" t="n">
        <f aca="false">ROUNDUP(MAX(J540/IF(CD540&gt;0,CD540,MAX(0.1,N(Cockpit!$I$6))),CG540)/BV540,0)*BV540</f>
        <v>13</v>
      </c>
      <c r="AU540" s="51" t="n">
        <f aca="false">IF(AR540&gt;0,J540/AR540,-1)</f>
        <v>4.51612903225806</v>
      </c>
      <c r="AV540" s="51" t="n">
        <f aca="false">IF(AND(OR(CC540="L1",CC540="L23",CC540="LIFT"),AR540&gt;0),SUMIFS($AR$7:$AR$1843,$CC$7:$CC$1843,CC540,$AU$7:$AU$1843,"&gt;"&amp;AU540)+SUMIFS($AR$7:$AR$1843,$CC$7:$CC$1843,CC540,$AU$7:$AU$1843,AU540,$BT$7:$BT$1843,"&lt;="&amp;BT540),"")</f>
        <v>5319.87957875458</v>
      </c>
      <c r="AW540" s="58" t="n">
        <f aca="false">IF(AV540="",0,MAX(0,MIN(1,(IF(CC540="L1",Parameter!$H$5,IF(CC540="L23",Parameter!$H$6+Parameter!$H$7,Parameter!$H$5+Parameter!$H$6+Parameter!$H$7))-(AV540-AR540))/AR540)))</f>
        <v>1</v>
      </c>
      <c r="AX540" s="50" t="n">
        <f aca="false">IF(LEFT(Cockpit!$O$5,1)="A",H540,IF(CE540=1,CF540,IF(LEFT(Cockpit!$O$5,1)="B",BC540,MAX(BC540,H540))))</f>
        <v>13</v>
      </c>
      <c r="AY540" s="50" t="n">
        <f aca="false">IF(BW540=1,0,ROUNDUP(AX540/BV540,0))</f>
        <v>1</v>
      </c>
      <c r="AZ540" s="52" t="n">
        <f aca="false">IF(CL540&gt;0,CL540*MAX(1,AX540/X540),IF(BW540=1,IF(AX540&lt;=0,0,CA540*MAX(1,IF(H540&gt;0,AX540/H540,1))),IF(R540&gt;0,AY540/R540,0))/MAX(0.1,N(Parameter!$M$21)))</f>
        <v>0.00714285714285714</v>
      </c>
      <c r="BA540" s="50" t="n">
        <f aca="false">AZ540*BY540</f>
        <v>1.10714285714286</v>
      </c>
      <c r="BB540" s="50" t="n">
        <f aca="false">AX540*G540</f>
        <v>114.01</v>
      </c>
      <c r="BC540" s="50" t="n">
        <f aca="false">ROUNDUP(MAX(J540/IF(CD540&gt;0,CD540,MAX(0.1,N(Cockpit!$O$6))),CG540)/BV540,0)*BV540</f>
        <v>13</v>
      </c>
      <c r="BD540" s="51" t="n">
        <f aca="false">IF(BA540&gt;0,J540/BA540,-1)</f>
        <v>4.51612903225806</v>
      </c>
      <c r="BE540" s="51" t="n">
        <f aca="false">IF(AND(OR(CC540="L1",CC540="L23",CC540="LIFT"),BA540&gt;0),SUMIFS($BA$7:$BA$1843,$CC$7:$CC$1843,CC540,$BD$7:$BD$1843,"&gt;"&amp;BD540)+SUMIFS($BA$7:$BA$1843,$CC$7:$CC$1843,CC540,$BD$7:$BD$1843,BD540,$BT$7:$BT$1843,"&lt;="&amp;BT540),"")</f>
        <v>4990.34432234432</v>
      </c>
      <c r="BF540" s="58" t="n">
        <f aca="false">IF(BE540="",0,MAX(0,MIN(1,(IF(CC540="L1",Parameter!$H$5,IF(CC540="L23",Parameter!$H$6+Parameter!$H$7,Parameter!$H$5+Parameter!$H$6+Parameter!$H$7))-(BE540-BA540))/BA540)))</f>
        <v>1</v>
      </c>
      <c r="BG540" s="48" t="str">
        <f aca="false">IF(AI540&lt;=0,"",IF(CC540="Aussen","Aussenlager",IF(CC540="-","Nicht im Lift",IF(AN540&gt;=1,"Lift",IF(AN540&lt;=0,"Aussenlager","teilweise")))))</f>
        <v>Lift</v>
      </c>
      <c r="BH540" s="48" t="str">
        <f aca="false">IF(AR540&lt;=0,"",IF(CC540="Aussen","Aussenlager",IF(CC540="-","Nicht im Lift",IF(AW540&gt;=1,"Lift",IF(AW540&lt;=0,"Aussenlager","teilweise")))))</f>
        <v>Lift</v>
      </c>
      <c r="BI540" s="48" t="str">
        <f aca="false">IF(BA540&lt;=0,"",IF(CC540="Aussen","Aussenlager",IF(CC540="-","Nicht im Lift",IF(BF540&gt;=1,"Lift",IF(BF540&lt;=0,"Aussenlager","teilweise")))))</f>
        <v>Lift</v>
      </c>
      <c r="BJ540" s="48" t="str">
        <f aca="false">IF(A540="","",IF(BS540=1,"Neu; ","")&amp;IF(AND(BS540=0,BN540&lt;0),"negativer Bestand (Export "&amp;BN540&amp;"); ","")&amp;IF(J540&lt;=0,"Kein Verbrauch; ","")&amp;IF(CL540&gt;0,"Lift "&amp;W540&amp;" lt. Liftbericht (Fach "&amp;X540&amp;" Stk); ",IF(BX540=1,"Gebinde geschätzt ("&amp;T540&amp;"); ",IF(BW540=1,"Lose – Tablare geschätzt; ","")))&amp;IF(H540&gt;AT540,"Überbestand "&amp;ROUND(H540-AT540,0)&amp;" Stk / CHF "&amp;ROUND((H540-AT540)*G540,0)&amp;"; ","")&amp;IF(AND(CE540=1,CF540&lt;CG540),"MAX &lt; MB+LG; ","")&amp;IF(AND(CK540&gt;0,CJ540*10&gt;CK540),"zu hoch für Tablar; ","")&amp;IF(AND(BS540=0,OR(CE540=1,AA540&lt;&gt;"",U540&lt;&gt;"",V540&lt;&gt;"",AB540&lt;&gt;"")),"manuell übersteuert; ","")&amp;IF(AND(BW540=0,R540=0),"Gebinde unbekannt / Stellmass fehlt; ","")&amp;IF(AND(BW540=0,N(V540)&lt;=0,N(Q540)&lt;=0),"Menge pro Gebinde fehlt (Ist = 1 Gebinde); ","")&amp;BR540)</f>
        <v/>
      </c>
      <c r="BK540" s="48"/>
      <c r="BL540" s="48"/>
      <c r="BM540" s="55"/>
      <c r="BN540" s="50" t="n">
        <v>5</v>
      </c>
      <c r="BO540" s="50" t="n">
        <v>6</v>
      </c>
      <c r="BP540" s="49" t="n">
        <v>22.13</v>
      </c>
      <c r="BQ540" s="50" t="n">
        <v>5</v>
      </c>
      <c r="BR540" s="48"/>
      <c r="BS540" s="53" t="n">
        <v>0</v>
      </c>
      <c r="BT540" s="53" t="n">
        <v>540</v>
      </c>
      <c r="BU540" s="48" t="str">
        <f aca="false">IF(U540&lt;&gt;"",UPPER(TRIM(U540)),IF(BX540=1,UPPER(VLOOKUP(T540,Parameter!$I$27:$K$29,2,0)),IF(P540="","LOSE",P540)))</f>
        <v>S22</v>
      </c>
      <c r="BV540" s="50" t="n">
        <f aca="false">IF(BU540="LOSE",1,IF(N(V540)&gt;0,V540,IF(BX540=1,MAX(1,N(VLOOKUP(T540,Parameter!$I$27:$K$29,3,0)),H540,N(N540)),IF(N(Q540)&gt;0,Q540,MAX(1,H540)))))</f>
        <v>13</v>
      </c>
      <c r="BW540" s="53" t="n">
        <f aca="false">IF(BU540="LOSE",1,0)</f>
        <v>0</v>
      </c>
      <c r="BX540" s="53" t="n">
        <f aca="false">IF(AND(U540="",OR(P540="",P540="LOSE"),T540&lt;&gt;"",N(S540)&lt;=0,ISNUMBER(MATCH(T540,Parameter!$I$27:$I$29,0))),1,0)</f>
        <v>0</v>
      </c>
      <c r="BY540" s="53" t="n">
        <f aca="false">IF(CL540&gt;0,INDEX(Parameter!$H$5:$H$7,W540)/INDEX(Parameter!$E$5:$E$7,W540),IF(AND(BW540=0,N(IFERROR(VLOOKUP(BU540,'Gebinde-Kategorie'!$A$5:$N$45,14,0),0))&gt;0),VLOOKUP(BU540,'Gebinde-Kategorie'!$A$5:$N$45,14,0)*10+Parameter!$M$23,Parameter!$M$24))</f>
        <v>155</v>
      </c>
      <c r="BZ540" s="48" t="str">
        <f aca="false">IF(AND(Parameter!$B$19="Ja",E540&lt;&gt;"",ISNUMBER(MATCH(E540,Parameter!$I$35:$I$52,0))),VLOOKUP(E540,Parameter!$I$35:$J$52,2,0),IFERROR(VLOOKUP(D540,Parameter!$A$35:$C$64,2,0),"Nein"))</f>
        <v>2+3</v>
      </c>
      <c r="CA540" s="52" t="n">
        <f aca="false">IF(BW540=0,0,IF(N(S540)&gt;0,S540,IFERROR(VLOOKUP(D540,Parameter!$A$35:$C$64,3,0)+0,0)))</f>
        <v>0</v>
      </c>
      <c r="CB540" s="48" t="n">
        <f aca="false">IF(AA540&lt;&gt;"",AA540,Z540)</f>
        <v>3</v>
      </c>
      <c r="CC540" s="48" t="str">
        <f aca="false">IF(OR(CB540=1,CB540=2,CB540=3),IF(Parameter!$E$27="Ja","LIFT",IF(CB540=1,"L1","L23")),IF(CB540="Aussen","Aussen","-"))</f>
        <v>LIFT</v>
      </c>
      <c r="CD540" s="59" t="n">
        <f aca="false">IF(N(AB540)&gt;0,AB540,0)</f>
        <v>0</v>
      </c>
      <c r="CE540" s="53" t="n">
        <f aca="false">IF(ISNUMBER(AE540),1,0)</f>
        <v>0</v>
      </c>
      <c r="CF540" s="50" t="n">
        <f aca="false">N(AE540)</f>
        <v>0</v>
      </c>
      <c r="CG540" s="50" t="n">
        <f aca="false">N(M540)+N(N540)</f>
        <v>5</v>
      </c>
      <c r="CH540" s="50" t="n">
        <f aca="false">ROUNDUP(H540/BV540,0)</f>
        <v>1</v>
      </c>
      <c r="CI540" s="50" t="n">
        <f aca="false">ROUNDUP(CF540/BV540,0)</f>
        <v>0</v>
      </c>
      <c r="CJ540" s="53" t="n">
        <f aca="false">IF(BW540=1,0,IFERROR(VLOOKUP(BU540,'Gebinde-Kategorie'!$A$5:$N$45,5,0)+0,0))</f>
        <v>8</v>
      </c>
      <c r="CK540" s="53" t="n">
        <f aca="false">IFERROR(IF(OR(CB540=1,CB540=2,CB540=3),N(INDEX(Parameter!$I$5:$I$7,CB540)),0),0)</f>
        <v>0</v>
      </c>
      <c r="CL540" s="52" t="n">
        <f aca="false">IF(AND(Parameter!$B$21="Ja",ISNUMBER(W540),N(X540)&gt;0),IFERROR(N(INDEX(Parameter!$L$5:$L$7,W540))*INDEX(Parameter!$E$5:$E$7,W540)*X540/SUMIFS($X$7:$X$1843,$W$7:$W$1843,W540),0),0)</f>
        <v>0</v>
      </c>
    </row>
    <row r="541" customFormat="false" ht="15" hidden="false" customHeight="false" outlineLevel="0" collapsed="false">
      <c r="A541" s="48" t="s">
        <v>1165</v>
      </c>
      <c r="B541" s="48" t="s">
        <v>1166</v>
      </c>
      <c r="C541" s="48" t="s">
        <v>171</v>
      </c>
      <c r="D541" s="48" t="s">
        <v>188</v>
      </c>
      <c r="E541" s="48" t="s">
        <v>189</v>
      </c>
      <c r="F541" s="48" t="s">
        <v>222</v>
      </c>
      <c r="G541" s="49" t="n">
        <v>7.21</v>
      </c>
      <c r="H541" s="50" t="n">
        <f aca="false">MAX(0,IF(AND(Parameter!$B$21="Ja",ISNUMBER(Y541)),Y541,IF(Parameter!$B$20="Jahresanfang 2025 + Export",BO541+BN541,BN541)))</f>
        <v>137</v>
      </c>
      <c r="I541" s="50" t="n">
        <f aca="false">H541*G541</f>
        <v>987.77</v>
      </c>
      <c r="J541" s="50" t="n">
        <f aca="false">BQ541*Parameter!$B$18</f>
        <v>0</v>
      </c>
      <c r="K541" s="51" t="n">
        <v>135.5</v>
      </c>
      <c r="L541" s="52" t="n">
        <v>0</v>
      </c>
      <c r="M541" s="50" t="n">
        <v>0</v>
      </c>
      <c r="N541" s="50" t="n">
        <v>1</v>
      </c>
      <c r="O541" s="53" t="n">
        <v>56</v>
      </c>
      <c r="P541" s="48" t="s">
        <v>230</v>
      </c>
      <c r="Q541" s="50" t="n">
        <v>137</v>
      </c>
      <c r="R541" s="53" t="n">
        <f aca="false">IF(BW541=1,0,IFERROR(VLOOKUP(BU541,'Gebinde-Kategorie'!$A$5:$N$45,13,0)+0,0))</f>
        <v>12</v>
      </c>
      <c r="S541" s="54"/>
      <c r="T541" s="55"/>
      <c r="U541" s="55"/>
      <c r="V541" s="55"/>
      <c r="W541" s="48"/>
      <c r="X541" s="50"/>
      <c r="Y541" s="50"/>
      <c r="Z541" s="48" t="n">
        <f aca="false">IF(A541="","",IF(AND(Parameter!$B$21="Ja",ISNUMBER(W541)),W541,IF(BZ541="2+3",IF(ISNUMBER(SEARCH("grosser Artikel",BR541)),2,IFERROR(VLOOKUP(BU541,Parameter!$F$35:$G$64,2,0),2)),IF(OR(BZ541="Nein",BZ541=""),"-",BZ541))))</f>
        <v>2</v>
      </c>
      <c r="AA541" s="55"/>
      <c r="AB541" s="56"/>
      <c r="AC541" s="50" t="n">
        <f aca="false">AT541</f>
        <v>137</v>
      </c>
      <c r="AD541" s="50" t="n">
        <f aca="false">MAX(AT541,H541)</f>
        <v>137</v>
      </c>
      <c r="AE541" s="57"/>
      <c r="AF541" s="50" t="n">
        <f aca="false">IF(LEFT(Cockpit!$C$5,1)="A",H541,IF(CE541=1,CF541,IF(LEFT(Cockpit!$C$5,1)="B",AK541,MAX(AK541,H541))))</f>
        <v>137</v>
      </c>
      <c r="AG541" s="50" t="n">
        <f aca="false">IF(BW541=1,0,ROUNDUP(AF541/BV541,0))</f>
        <v>1</v>
      </c>
      <c r="AH541" s="52" t="n">
        <f aca="false">IF(CL541&gt;0,CL541*MAX(1,AF541/X541),IF(BW541=1,IF(AF541&lt;=0,0,CA541*MAX(1,IF(H541&gt;0,AF541/H541,1))),IF(R541&gt;0,AG541/R541,0))/MAX(0.1,N(Parameter!$M$21)))</f>
        <v>0.0833333333333333</v>
      </c>
      <c r="AI541" s="50" t="n">
        <f aca="false">AH541*BY541</f>
        <v>28.75</v>
      </c>
      <c r="AJ541" s="50" t="n">
        <f aca="false">AF541*G541</f>
        <v>987.77</v>
      </c>
      <c r="AK541" s="50" t="n">
        <f aca="false">ROUNDUP(MAX(J541/IF(CD541&gt;0,CD541,MAX(0.1,N(Cockpit!$C$6))),CG541)/BV541,0)*BV541</f>
        <v>137</v>
      </c>
      <c r="AL541" s="51" t="n">
        <f aca="false">IF(AI541&gt;0,J541/AI541,-1)</f>
        <v>0</v>
      </c>
      <c r="AM541" s="51" t="n">
        <f aca="false">IF(AND(OR(CC541="L1",CC541="L23",CC541="LIFT"),AI541&gt;0),SUMIFS($AI$7:$AI$1843,$CC$7:$CC$1843,CC541,$AL$7:$AL$1843,"&gt;"&amp;AL541)+SUMIFS($AI$7:$AI$1843,$CC$7:$CC$1843,CC541,$AL$7:$AL$1843,AL541,$BT$7:$BT$1843,"&lt;="&amp;BT541),"")</f>
        <v>28381.1375307837</v>
      </c>
      <c r="AN541" s="58" t="n">
        <f aca="false">IF(AM541="",0,MAX(0,MIN(1,(IF(CC541="L1",Parameter!$H$5,IF(CC541="L23",Parameter!$H$6+Parameter!$H$7,Parameter!$H$5+Parameter!$H$6+Parameter!$H$7))-(AM541-AI541))/AI541)))</f>
        <v>1</v>
      </c>
      <c r="AO541" s="50" t="n">
        <f aca="false">IF(LEFT(Cockpit!$I$5,1)="A",H541,IF(CE541=1,CF541,IF(LEFT(Cockpit!$I$5,1)="B",AT541,MAX(AT541,H541))))</f>
        <v>137</v>
      </c>
      <c r="AP541" s="50" t="n">
        <f aca="false">IF(BW541=1,0,ROUNDUP(AO541/BV541,0))</f>
        <v>1</v>
      </c>
      <c r="AQ541" s="52" t="n">
        <f aca="false">IF(CL541&gt;0,CL541*MAX(1,AO541/X541),IF(BW541=1,IF(AO541&lt;=0,0,CA541*MAX(1,IF(H541&gt;0,AO541/H541,1))),IF(R541&gt;0,AP541/R541,0))/MAX(0.1,N(Parameter!$M$21)))</f>
        <v>0.0833333333333333</v>
      </c>
      <c r="AR541" s="50" t="n">
        <f aca="false">AQ541*BY541</f>
        <v>28.75</v>
      </c>
      <c r="AS541" s="50" t="n">
        <f aca="false">AO541*G541</f>
        <v>987.77</v>
      </c>
      <c r="AT541" s="50" t="n">
        <f aca="false">ROUNDUP(MAX(J541/IF(CD541&gt;0,CD541,MAX(0.1,N(Cockpit!$I$6))),CG541)/BV541,0)*BV541</f>
        <v>137</v>
      </c>
      <c r="AU541" s="51" t="n">
        <f aca="false">IF(AR541&gt;0,J541/AR541,-1)</f>
        <v>0</v>
      </c>
      <c r="AV541" s="51" t="n">
        <f aca="false">IF(AND(OR(CC541="L1",CC541="L23",CC541="LIFT"),AR541&gt;0),SUMIFS($AR$7:$AR$1843,$CC$7:$CC$1843,CC541,$AU$7:$AU$1843,"&gt;"&amp;AU541)+SUMIFS($AR$7:$AR$1843,$CC$7:$CC$1843,CC541,$AU$7:$AU$1843,AU541,$BT$7:$BT$1843,"&lt;="&amp;BT541),"")</f>
        <v>39694.0430480536</v>
      </c>
      <c r="AW541" s="58" t="n">
        <f aca="false">IF(AV541="",0,MAX(0,MIN(1,(IF(CC541="L1",Parameter!$H$5,IF(CC541="L23",Parameter!$H$6+Parameter!$H$7,Parameter!$H$5+Parameter!$H$6+Parameter!$H$7))-(AV541-AR541))/AR541)))</f>
        <v>0</v>
      </c>
      <c r="AX541" s="50" t="n">
        <f aca="false">IF(LEFT(Cockpit!$O$5,1)="A",H541,IF(CE541=1,CF541,IF(LEFT(Cockpit!$O$5,1)="B",BC541,MAX(BC541,H541))))</f>
        <v>137</v>
      </c>
      <c r="AY541" s="50" t="n">
        <f aca="false">IF(BW541=1,0,ROUNDUP(AX541/BV541,0))</f>
        <v>1</v>
      </c>
      <c r="AZ541" s="52" t="n">
        <f aca="false">IF(CL541&gt;0,CL541*MAX(1,AX541/X541),IF(BW541=1,IF(AX541&lt;=0,0,CA541*MAX(1,IF(H541&gt;0,AX541/H541,1))),IF(R541&gt;0,AY541/R541,0))/MAX(0.1,N(Parameter!$M$21)))</f>
        <v>0.0833333333333333</v>
      </c>
      <c r="BA541" s="50" t="n">
        <f aca="false">AZ541*BY541</f>
        <v>28.75</v>
      </c>
      <c r="BB541" s="50" t="n">
        <f aca="false">AX541*G541</f>
        <v>987.77</v>
      </c>
      <c r="BC541" s="50" t="n">
        <f aca="false">ROUNDUP(MAX(J541/IF(CD541&gt;0,CD541,MAX(0.1,N(Cockpit!$O$6))),CG541)/BV541,0)*BV541</f>
        <v>137</v>
      </c>
      <c r="BD541" s="51" t="n">
        <f aca="false">IF(BA541&gt;0,J541/BA541,-1)</f>
        <v>0</v>
      </c>
      <c r="BE541" s="51" t="n">
        <f aca="false">IF(AND(OR(CC541="L1",CC541="L23",CC541="LIFT"),BA541&gt;0),SUMIFS($BA$7:$BA$1843,$CC$7:$CC$1843,CC541,$BD$7:$BD$1843,"&gt;"&amp;BD541)+SUMIFS($BA$7:$BA$1843,$CC$7:$CC$1843,CC541,$BD$7:$BD$1843,BD541,$BT$7:$BT$1843,"&lt;="&amp;BT541),"")</f>
        <v>36369.0550899195</v>
      </c>
      <c r="BF541" s="58" t="n">
        <f aca="false">IF(BE541="",0,MAX(0,MIN(1,(IF(CC541="L1",Parameter!$H$5,IF(CC541="L23",Parameter!$H$6+Parameter!$H$7,Parameter!$H$5+Parameter!$H$6+Parameter!$H$7))-(BE541-BA541))/BA541)))</f>
        <v>0</v>
      </c>
      <c r="BG541" s="48" t="str">
        <f aca="false">IF(AI541&lt;=0,"",IF(CC541="Aussen","Aussenlager",IF(CC541="-","Nicht im Lift",IF(AN541&gt;=1,"Lift",IF(AN541&lt;=0,"Aussenlager","teilweise")))))</f>
        <v>Lift</v>
      </c>
      <c r="BH541" s="48" t="str">
        <f aca="false">IF(AR541&lt;=0,"",IF(CC541="Aussen","Aussenlager",IF(CC541="-","Nicht im Lift",IF(AW541&gt;=1,"Lift",IF(AW541&lt;=0,"Aussenlager","teilweise")))))</f>
        <v>Aussenlager</v>
      </c>
      <c r="BI541" s="48" t="str">
        <f aca="false">IF(BA541&lt;=0,"",IF(CC541="Aussen","Aussenlager",IF(CC541="-","Nicht im Lift",IF(BF541&gt;=1,"Lift",IF(BF541&lt;=0,"Aussenlager","teilweise")))))</f>
        <v>Aussenlager</v>
      </c>
      <c r="BJ541" s="48" t="str">
        <f aca="false">IF(A541="","",IF(BS541=1,"Neu; ","")&amp;IF(AND(BS541=0,BN541&lt;0),"negativer Bestand (Export "&amp;BN541&amp;"); ","")&amp;IF(J541&lt;=0,"Kein Verbrauch; ","")&amp;IF(CL541&gt;0,"Lift "&amp;W541&amp;" lt. Liftbericht (Fach "&amp;X541&amp;" Stk); ",IF(BX541=1,"Gebinde geschätzt ("&amp;T541&amp;"); ",IF(BW541=1,"Lose – Tablare geschätzt; ","")))&amp;IF(H541&gt;AT541,"Überbestand "&amp;ROUND(H541-AT541,0)&amp;" Stk / CHF "&amp;ROUND((H541-AT541)*G541,0)&amp;"; ","")&amp;IF(AND(CE541=1,CF541&lt;CG541),"MAX &lt; MB+LG; ","")&amp;IF(AND(CK541&gt;0,CJ541*10&gt;CK541),"zu hoch für Tablar; ","")&amp;IF(AND(BS541=0,OR(CE541=1,AA541&lt;&gt;"",U541&lt;&gt;"",V541&lt;&gt;"",AB541&lt;&gt;"")),"manuell übersteuert; ","")&amp;IF(AND(BW541=0,R541=0),"Gebinde unbekannt / Stellmass fehlt; ","")&amp;IF(AND(BW541=0,N(V541)&lt;=0,N(Q541)&lt;=0),"Menge pro Gebinde fehlt (Ist = 1 Gebinde); ","")&amp;BR541)</f>
        <v>Kein Verbrauch; </v>
      </c>
      <c r="BK541" s="48"/>
      <c r="BL541" s="48"/>
      <c r="BM541" s="55"/>
      <c r="BN541" s="50" t="n">
        <v>3</v>
      </c>
      <c r="BO541" s="50" t="n">
        <v>134</v>
      </c>
      <c r="BP541" s="49" t="n">
        <v>21.63</v>
      </c>
      <c r="BQ541" s="50" t="n">
        <v>0</v>
      </c>
      <c r="BR541" s="48"/>
      <c r="BS541" s="53" t="n">
        <v>0</v>
      </c>
      <c r="BT541" s="53" t="n">
        <v>541</v>
      </c>
      <c r="BU541" s="48" t="str">
        <f aca="false">IF(U541&lt;&gt;"",UPPER(TRIM(U541)),IF(BX541=1,UPPER(VLOOKUP(T541,Parameter!$I$27:$K$29,2,0)),IF(P541="","LOSE",P541)))</f>
        <v>S63</v>
      </c>
      <c r="BV541" s="50" t="n">
        <f aca="false">IF(BU541="LOSE",1,IF(N(V541)&gt;0,V541,IF(BX541=1,MAX(1,N(VLOOKUP(T541,Parameter!$I$27:$K$29,3,0)),H541,N(N541)),IF(N(Q541)&gt;0,Q541,MAX(1,H541)))))</f>
        <v>137</v>
      </c>
      <c r="BW541" s="53" t="n">
        <f aca="false">IF(BU541="LOSE",1,0)</f>
        <v>0</v>
      </c>
      <c r="BX541" s="53" t="n">
        <f aca="false">IF(AND(U541="",OR(P541="",P541="LOSE"),T541&lt;&gt;"",N(S541)&lt;=0,ISNUMBER(MATCH(T541,Parameter!$I$27:$I$29,0))),1,0)</f>
        <v>0</v>
      </c>
      <c r="BY541" s="53" t="n">
        <f aca="false">IF(CL541&gt;0,INDEX(Parameter!$H$5:$H$7,W541)/INDEX(Parameter!$E$5:$E$7,W541),IF(AND(BW541=0,N(IFERROR(VLOOKUP(BU541,'Gebinde-Kategorie'!$A$5:$N$45,14,0),0))&gt;0),VLOOKUP(BU541,'Gebinde-Kategorie'!$A$5:$N$45,14,0)*10+Parameter!$M$23,Parameter!$M$24))</f>
        <v>345</v>
      </c>
      <c r="BZ541" s="48" t="str">
        <f aca="false">IF(AND(Parameter!$B$19="Ja",E541&lt;&gt;"",ISNUMBER(MATCH(E541,Parameter!$I$35:$I$52,0))),VLOOKUP(E541,Parameter!$I$35:$J$52,2,0),IFERROR(VLOOKUP(D541,Parameter!$A$35:$C$64,2,0),"Nein"))</f>
        <v>2+3</v>
      </c>
      <c r="CA541" s="52" t="n">
        <f aca="false">IF(BW541=0,0,IF(N(S541)&gt;0,S541,IFERROR(VLOOKUP(D541,Parameter!$A$35:$C$64,3,0)+0,0)))</f>
        <v>0</v>
      </c>
      <c r="CB541" s="48" t="n">
        <f aca="false">IF(AA541&lt;&gt;"",AA541,Z541)</f>
        <v>2</v>
      </c>
      <c r="CC541" s="48" t="str">
        <f aca="false">IF(OR(CB541=1,CB541=2,CB541=3),IF(Parameter!$E$27="Ja","LIFT",IF(CB541=1,"L1","L23")),IF(CB541="Aussen","Aussen","-"))</f>
        <v>LIFT</v>
      </c>
      <c r="CD541" s="59" t="n">
        <f aca="false">IF(N(AB541)&gt;0,AB541,0)</f>
        <v>0</v>
      </c>
      <c r="CE541" s="53" t="n">
        <f aca="false">IF(ISNUMBER(AE541),1,0)</f>
        <v>0</v>
      </c>
      <c r="CF541" s="50" t="n">
        <f aca="false">N(AE541)</f>
        <v>0</v>
      </c>
      <c r="CG541" s="50" t="n">
        <f aca="false">N(M541)+N(N541)</f>
        <v>1</v>
      </c>
      <c r="CH541" s="50" t="n">
        <f aca="false">ROUNDUP(H541/BV541,0)</f>
        <v>1</v>
      </c>
      <c r="CI541" s="50" t="n">
        <f aca="false">ROUNDUP(CF541/BV541,0)</f>
        <v>0</v>
      </c>
      <c r="CJ541" s="53" t="n">
        <f aca="false">IF(BW541=1,0,IFERROR(VLOOKUP(BU541,'Gebinde-Kategorie'!$A$5:$N$45,5,0)+0,0))</f>
        <v>31</v>
      </c>
      <c r="CK541" s="53" t="n">
        <f aca="false">IFERROR(IF(OR(CB541=1,CB541=2,CB541=3),N(INDEX(Parameter!$I$5:$I$7,CB541)),0),0)</f>
        <v>0</v>
      </c>
      <c r="CL541" s="52" t="n">
        <f aca="false">IF(AND(Parameter!$B$21="Ja",ISNUMBER(W541),N(X541)&gt;0),IFERROR(N(INDEX(Parameter!$L$5:$L$7,W541))*INDEX(Parameter!$E$5:$E$7,W541)*X541/SUMIFS($X$7:$X$1843,$W$7:$W$1843,W541),0),0)</f>
        <v>0</v>
      </c>
    </row>
    <row r="542" customFormat="false" ht="15" hidden="false" customHeight="false" outlineLevel="0" collapsed="false">
      <c r="A542" s="48" t="s">
        <v>1167</v>
      </c>
      <c r="B542" s="48" t="s">
        <v>602</v>
      </c>
      <c r="C542" s="48" t="s">
        <v>168</v>
      </c>
      <c r="D542" s="48" t="s">
        <v>188</v>
      </c>
      <c r="E542" s="48" t="s">
        <v>189</v>
      </c>
      <c r="F542" s="48" t="s">
        <v>222</v>
      </c>
      <c r="G542" s="49" t="n">
        <v>20.09</v>
      </c>
      <c r="H542" s="50" t="n">
        <f aca="false">MAX(0,IF(AND(Parameter!$B$21="Ja",ISNUMBER(Y542)),Y542,IF(Parameter!$B$20="Jahresanfang 2025 + Export",BO542+BN542,BN542)))</f>
        <v>102</v>
      </c>
      <c r="I542" s="50" t="n">
        <f aca="false">H542*G542</f>
        <v>2049.18</v>
      </c>
      <c r="J542" s="50" t="n">
        <f aca="false">BQ542*Parameter!$B$18</f>
        <v>0</v>
      </c>
      <c r="K542" s="51" t="n">
        <v>101.5</v>
      </c>
      <c r="L542" s="52" t="n">
        <v>0</v>
      </c>
      <c r="M542" s="50" t="n">
        <v>0</v>
      </c>
      <c r="N542" s="50" t="n">
        <v>1</v>
      </c>
      <c r="O542" s="53" t="n">
        <v>28</v>
      </c>
      <c r="P542" s="48" t="s">
        <v>306</v>
      </c>
      <c r="Q542" s="50" t="n">
        <v>120</v>
      </c>
      <c r="R542" s="53" t="n">
        <f aca="false">IF(BW542=1,0,IFERROR(VLOOKUP(BU542,'Gebinde-Kategorie'!$A$5:$N$45,13,0)+0,0))</f>
        <v>26</v>
      </c>
      <c r="S542" s="54"/>
      <c r="T542" s="55"/>
      <c r="U542" s="55"/>
      <c r="V542" s="55"/>
      <c r="W542" s="48"/>
      <c r="X542" s="50"/>
      <c r="Y542" s="50"/>
      <c r="Z542" s="48" t="n">
        <f aca="false">IF(A542="","",IF(AND(Parameter!$B$21="Ja",ISNUMBER(W542)),W542,IF(BZ542="2+3",IF(ISNUMBER(SEARCH("grosser Artikel",BR542)),2,IFERROR(VLOOKUP(BU542,Parameter!$F$35:$G$64,2,0),2)),IF(OR(BZ542="Nein",BZ542=""),"-",BZ542))))</f>
        <v>3</v>
      </c>
      <c r="AA542" s="55"/>
      <c r="AB542" s="56"/>
      <c r="AC542" s="50" t="n">
        <f aca="false">AT542</f>
        <v>120</v>
      </c>
      <c r="AD542" s="50" t="n">
        <f aca="false">MAX(AT542,H542)</f>
        <v>120</v>
      </c>
      <c r="AE542" s="57"/>
      <c r="AF542" s="50" t="n">
        <f aca="false">IF(LEFT(Cockpit!$C$5,1)="A",H542,IF(CE542=1,CF542,IF(LEFT(Cockpit!$C$5,1)="B",AK542,MAX(AK542,H542))))</f>
        <v>102</v>
      </c>
      <c r="AG542" s="50" t="n">
        <f aca="false">IF(BW542=1,0,ROUNDUP(AF542/BV542,0))</f>
        <v>1</v>
      </c>
      <c r="AH542" s="52" t="n">
        <f aca="false">IF(CL542&gt;0,CL542*MAX(1,AF542/X542),IF(BW542=1,IF(AF542&lt;=0,0,CA542*MAX(1,IF(H542&gt;0,AF542/H542,1))),IF(R542&gt;0,AG542/R542,0))/MAX(0.1,N(Parameter!$M$21)))</f>
        <v>0.0384615384615385</v>
      </c>
      <c r="AI542" s="50" t="n">
        <f aca="false">AH542*BY542</f>
        <v>5.96153846153846</v>
      </c>
      <c r="AJ542" s="50" t="n">
        <f aca="false">AF542*G542</f>
        <v>2049.18</v>
      </c>
      <c r="AK542" s="50" t="n">
        <f aca="false">ROUNDUP(MAX(J542/IF(CD542&gt;0,CD542,MAX(0.1,N(Cockpit!$C$6))),CG542)/BV542,0)*BV542</f>
        <v>120</v>
      </c>
      <c r="AL542" s="51" t="n">
        <f aca="false">IF(AI542&gt;0,J542/AI542,-1)</f>
        <v>0</v>
      </c>
      <c r="AM542" s="51" t="n">
        <f aca="false">IF(AND(OR(CC542="L1",CC542="L23",CC542="LIFT"),AI542&gt;0),SUMIFS($AI$7:$AI$1843,$CC$7:$CC$1843,CC542,$AL$7:$AL$1843,"&gt;"&amp;AL542)+SUMIFS($AI$7:$AI$1843,$CC$7:$CC$1843,CC542,$AL$7:$AL$1843,AL542,$BT$7:$BT$1843,"&lt;="&amp;BT542),"")</f>
        <v>28387.0990692453</v>
      </c>
      <c r="AN542" s="58" t="n">
        <f aca="false">IF(AM542="",0,MAX(0,MIN(1,(IF(CC542="L1",Parameter!$H$5,IF(CC542="L23",Parameter!$H$6+Parameter!$H$7,Parameter!$H$5+Parameter!$H$6+Parameter!$H$7))-(AM542-AI542))/AI542)))</f>
        <v>1</v>
      </c>
      <c r="AO542" s="50" t="n">
        <f aca="false">IF(LEFT(Cockpit!$I$5,1)="A",H542,IF(CE542=1,CF542,IF(LEFT(Cockpit!$I$5,1)="B",AT542,MAX(AT542,H542))))</f>
        <v>120</v>
      </c>
      <c r="AP542" s="50" t="n">
        <f aca="false">IF(BW542=1,0,ROUNDUP(AO542/BV542,0))</f>
        <v>1</v>
      </c>
      <c r="AQ542" s="52" t="n">
        <f aca="false">IF(CL542&gt;0,CL542*MAX(1,AO542/X542),IF(BW542=1,IF(AO542&lt;=0,0,CA542*MAX(1,IF(H542&gt;0,AO542/H542,1))),IF(R542&gt;0,AP542/R542,0))/MAX(0.1,N(Parameter!$M$21)))</f>
        <v>0.0384615384615385</v>
      </c>
      <c r="AR542" s="50" t="n">
        <f aca="false">AQ542*BY542</f>
        <v>5.96153846153846</v>
      </c>
      <c r="AS542" s="50" t="n">
        <f aca="false">AO542*G542</f>
        <v>2410.8</v>
      </c>
      <c r="AT542" s="50" t="n">
        <f aca="false">ROUNDUP(MAX(J542/IF(CD542&gt;0,CD542,MAX(0.1,N(Cockpit!$I$6))),CG542)/BV542,0)*BV542</f>
        <v>120</v>
      </c>
      <c r="AU542" s="51" t="n">
        <f aca="false">IF(AR542&gt;0,J542/AR542,-1)</f>
        <v>0</v>
      </c>
      <c r="AV542" s="51" t="n">
        <f aca="false">IF(AND(OR(CC542="L1",CC542="L23",CC542="LIFT"),AR542&gt;0),SUMIFS($AR$7:$AR$1843,$CC$7:$CC$1843,CC542,$AU$7:$AU$1843,"&gt;"&amp;AU542)+SUMIFS($AR$7:$AR$1843,$CC$7:$CC$1843,CC542,$AU$7:$AU$1843,AU542,$BT$7:$BT$1843,"&lt;="&amp;BT542),"")</f>
        <v>39700.0045865152</v>
      </c>
      <c r="AW542" s="58" t="n">
        <f aca="false">IF(AV542="",0,MAX(0,MIN(1,(IF(CC542="L1",Parameter!$H$5,IF(CC542="L23",Parameter!$H$6+Parameter!$H$7,Parameter!$H$5+Parameter!$H$6+Parameter!$H$7))-(AV542-AR542))/AR542)))</f>
        <v>0</v>
      </c>
      <c r="AX542" s="50" t="n">
        <f aca="false">IF(LEFT(Cockpit!$O$5,1)="A",H542,IF(CE542=1,CF542,IF(LEFT(Cockpit!$O$5,1)="B",BC542,MAX(BC542,H542))))</f>
        <v>120</v>
      </c>
      <c r="AY542" s="50" t="n">
        <f aca="false">IF(BW542=1,0,ROUNDUP(AX542/BV542,0))</f>
        <v>1</v>
      </c>
      <c r="AZ542" s="52" t="n">
        <f aca="false">IF(CL542&gt;0,CL542*MAX(1,AX542/X542),IF(BW542=1,IF(AX542&lt;=0,0,CA542*MAX(1,IF(H542&gt;0,AX542/H542,1))),IF(R542&gt;0,AY542/R542,0))/MAX(0.1,N(Parameter!$M$21)))</f>
        <v>0.0384615384615385</v>
      </c>
      <c r="BA542" s="50" t="n">
        <f aca="false">AZ542*BY542</f>
        <v>5.96153846153846</v>
      </c>
      <c r="BB542" s="50" t="n">
        <f aca="false">AX542*G542</f>
        <v>2410.8</v>
      </c>
      <c r="BC542" s="50" t="n">
        <f aca="false">ROUNDUP(MAX(J542/IF(CD542&gt;0,CD542,MAX(0.1,N(Cockpit!$O$6))),CG542)/BV542,0)*BV542</f>
        <v>120</v>
      </c>
      <c r="BD542" s="51" t="n">
        <f aca="false">IF(BA542&gt;0,J542/BA542,-1)</f>
        <v>0</v>
      </c>
      <c r="BE542" s="51" t="n">
        <f aca="false">IF(AND(OR(CC542="L1",CC542="L23",CC542="LIFT"),BA542&gt;0),SUMIFS($BA$7:$BA$1843,$CC$7:$CC$1843,CC542,$BD$7:$BD$1843,"&gt;"&amp;BD542)+SUMIFS($BA$7:$BA$1843,$CC$7:$CC$1843,CC542,$BD$7:$BD$1843,BD542,$BT$7:$BT$1843,"&lt;="&amp;BT542),"")</f>
        <v>36375.016628381</v>
      </c>
      <c r="BF542" s="58" t="n">
        <f aca="false">IF(BE542="",0,MAX(0,MIN(1,(IF(CC542="L1",Parameter!$H$5,IF(CC542="L23",Parameter!$H$6+Parameter!$H$7,Parameter!$H$5+Parameter!$H$6+Parameter!$H$7))-(BE542-BA542))/BA542)))</f>
        <v>0</v>
      </c>
      <c r="BG542" s="48" t="str">
        <f aca="false">IF(AI542&lt;=0,"",IF(CC542="Aussen","Aussenlager",IF(CC542="-","Nicht im Lift",IF(AN542&gt;=1,"Lift",IF(AN542&lt;=0,"Aussenlager","teilweise")))))</f>
        <v>Lift</v>
      </c>
      <c r="BH542" s="48" t="str">
        <f aca="false">IF(AR542&lt;=0,"",IF(CC542="Aussen","Aussenlager",IF(CC542="-","Nicht im Lift",IF(AW542&gt;=1,"Lift",IF(AW542&lt;=0,"Aussenlager","teilweise")))))</f>
        <v>Aussenlager</v>
      </c>
      <c r="BI542" s="48" t="str">
        <f aca="false">IF(BA542&lt;=0,"",IF(CC542="Aussen","Aussenlager",IF(CC542="-","Nicht im Lift",IF(BF542&gt;=1,"Lift",IF(BF542&lt;=0,"Aussenlager","teilweise")))))</f>
        <v>Aussenlager</v>
      </c>
      <c r="BJ542" s="48" t="str">
        <f aca="false">IF(A542="","",IF(BS542=1,"Neu; ","")&amp;IF(AND(BS542=0,BN542&lt;0),"negativer Bestand (Export "&amp;BN542&amp;"); ","")&amp;IF(J542&lt;=0,"Kein Verbrauch; ","")&amp;IF(CL542&gt;0,"Lift "&amp;W542&amp;" lt. Liftbericht (Fach "&amp;X542&amp;" Stk); ",IF(BX542=1,"Gebinde geschätzt ("&amp;T542&amp;"); ",IF(BW542=1,"Lose – Tablare geschätzt; ","")))&amp;IF(H542&gt;AT542,"Überbestand "&amp;ROUND(H542-AT542,0)&amp;" Stk / CHF "&amp;ROUND((H542-AT542)*G542,0)&amp;"; ","")&amp;IF(AND(CE542=1,CF542&lt;CG542),"MAX &lt; MB+LG; ","")&amp;IF(AND(CK542&gt;0,CJ542*10&gt;CK542),"zu hoch für Tablar; ","")&amp;IF(AND(BS542=0,OR(CE542=1,AA542&lt;&gt;"",U542&lt;&gt;"",V542&lt;&gt;"",AB542&lt;&gt;"")),"manuell übersteuert; ","")&amp;IF(AND(BW542=0,R542=0),"Gebinde unbekannt / Stellmass fehlt; ","")&amp;IF(AND(BW542=0,N(V542)&lt;=0,N(Q542)&lt;=0),"Menge pro Gebinde fehlt (Ist = 1 Gebinde); ","")&amp;BR542)</f>
        <v>Kein Verbrauch; Überbestand</v>
      </c>
      <c r="BK542" s="48"/>
      <c r="BL542" s="48"/>
      <c r="BM542" s="55"/>
      <c r="BN542" s="50" t="n">
        <v>1</v>
      </c>
      <c r="BO542" s="50" t="n">
        <v>101</v>
      </c>
      <c r="BP542" s="49" t="n">
        <v>20.09</v>
      </c>
      <c r="BQ542" s="50" t="n">
        <v>0</v>
      </c>
      <c r="BR542" s="48" t="s">
        <v>396</v>
      </c>
      <c r="BS542" s="53" t="n">
        <v>0</v>
      </c>
      <c r="BT542" s="53" t="n">
        <v>542</v>
      </c>
      <c r="BU542" s="48" t="str">
        <f aca="false">IF(U542&lt;&gt;"",UPPER(TRIM(U542)),IF(BX542=1,UPPER(VLOOKUP(T542,Parameter!$I$27:$K$29,2,0)),IF(P542="","LOSE",P542)))</f>
        <v>S51</v>
      </c>
      <c r="BV542" s="50" t="n">
        <f aca="false">IF(BU542="LOSE",1,IF(N(V542)&gt;0,V542,IF(BX542=1,MAX(1,N(VLOOKUP(T542,Parameter!$I$27:$K$29,3,0)),H542,N(N542)),IF(N(Q542)&gt;0,Q542,MAX(1,H542)))))</f>
        <v>120</v>
      </c>
      <c r="BW542" s="53" t="n">
        <f aca="false">IF(BU542="LOSE",1,0)</f>
        <v>0</v>
      </c>
      <c r="BX542" s="53" t="n">
        <f aca="false">IF(AND(U542="",OR(P542="",P542="LOSE"),T542&lt;&gt;"",N(S542)&lt;=0,ISNUMBER(MATCH(T542,Parameter!$I$27:$I$29,0))),1,0)</f>
        <v>0</v>
      </c>
      <c r="BY542" s="53" t="n">
        <f aca="false">IF(CL542&gt;0,INDEX(Parameter!$H$5:$H$7,W542)/INDEX(Parameter!$E$5:$E$7,W542),IF(AND(BW542=0,N(IFERROR(VLOOKUP(BU542,'Gebinde-Kategorie'!$A$5:$N$45,14,0),0))&gt;0),VLOOKUP(BU542,'Gebinde-Kategorie'!$A$5:$N$45,14,0)*10+Parameter!$M$23,Parameter!$M$24))</f>
        <v>155</v>
      </c>
      <c r="BZ542" s="48" t="str">
        <f aca="false">IF(AND(Parameter!$B$19="Ja",E542&lt;&gt;"",ISNUMBER(MATCH(E542,Parameter!$I$35:$I$52,0))),VLOOKUP(E542,Parameter!$I$35:$J$52,2,0),IFERROR(VLOOKUP(D542,Parameter!$A$35:$C$64,2,0),"Nein"))</f>
        <v>2+3</v>
      </c>
      <c r="CA542" s="52" t="n">
        <f aca="false">IF(BW542=0,0,IF(N(S542)&gt;0,S542,IFERROR(VLOOKUP(D542,Parameter!$A$35:$C$64,3,0)+0,0)))</f>
        <v>0</v>
      </c>
      <c r="CB542" s="48" t="n">
        <f aca="false">IF(AA542&lt;&gt;"",AA542,Z542)</f>
        <v>3</v>
      </c>
      <c r="CC542" s="48" t="str">
        <f aca="false">IF(OR(CB542=1,CB542=2,CB542=3),IF(Parameter!$E$27="Ja","LIFT",IF(CB542=1,"L1","L23")),IF(CB542="Aussen","Aussen","-"))</f>
        <v>LIFT</v>
      </c>
      <c r="CD542" s="59" t="n">
        <f aca="false">IF(N(AB542)&gt;0,AB542,0)</f>
        <v>0</v>
      </c>
      <c r="CE542" s="53" t="n">
        <f aca="false">IF(ISNUMBER(AE542),1,0)</f>
        <v>0</v>
      </c>
      <c r="CF542" s="50" t="n">
        <f aca="false">N(AE542)</f>
        <v>0</v>
      </c>
      <c r="CG542" s="50" t="n">
        <f aca="false">N(M542)+N(N542)</f>
        <v>1</v>
      </c>
      <c r="CH542" s="50" t="n">
        <f aca="false">ROUNDUP(H542/BV542,0)</f>
        <v>1</v>
      </c>
      <c r="CI542" s="50" t="n">
        <f aca="false">ROUNDUP(CF542/BV542,0)</f>
        <v>0</v>
      </c>
      <c r="CJ542" s="53" t="n">
        <f aca="false">IF(BW542=1,0,IFERROR(VLOOKUP(BU542,'Gebinde-Kategorie'!$A$5:$N$45,5,0)+0,0))</f>
        <v>11</v>
      </c>
      <c r="CK542" s="53" t="n">
        <f aca="false">IFERROR(IF(OR(CB542=1,CB542=2,CB542=3),N(INDEX(Parameter!$I$5:$I$7,CB542)),0),0)</f>
        <v>0</v>
      </c>
      <c r="CL542" s="52" t="n">
        <f aca="false">IF(AND(Parameter!$B$21="Ja",ISNUMBER(W542),N(X542)&gt;0),IFERROR(N(INDEX(Parameter!$L$5:$L$7,W542))*INDEX(Parameter!$E$5:$E$7,W542)*X542/SUMIFS($X$7:$X$1843,$W$7:$W$1843,W542),0),0)</f>
        <v>0</v>
      </c>
    </row>
    <row r="543" customFormat="false" ht="15" hidden="false" customHeight="false" outlineLevel="0" collapsed="false">
      <c r="A543" s="48" t="s">
        <v>1168</v>
      </c>
      <c r="B543" s="48" t="s">
        <v>1169</v>
      </c>
      <c r="C543" s="48" t="s">
        <v>168</v>
      </c>
      <c r="D543" s="48" t="s">
        <v>188</v>
      </c>
      <c r="E543" s="48" t="s">
        <v>189</v>
      </c>
      <c r="F543" s="48" t="s">
        <v>222</v>
      </c>
      <c r="G543" s="49" t="n">
        <v>14.65</v>
      </c>
      <c r="H543" s="50" t="n">
        <f aca="false">MAX(0,IF(AND(Parameter!$B$21="Ja",ISNUMBER(Y543)),Y543,IF(Parameter!$B$20="Jahresanfang 2025 + Export",BO543+BN543,BN543)))</f>
        <v>7</v>
      </c>
      <c r="I543" s="50" t="n">
        <f aca="false">H543*G543</f>
        <v>102.55</v>
      </c>
      <c r="J543" s="50" t="n">
        <f aca="false">BQ543*Parameter!$B$18</f>
        <v>6</v>
      </c>
      <c r="K543" s="51" t="n">
        <v>3.5</v>
      </c>
      <c r="L543" s="52" t="n">
        <v>1.71428571428571</v>
      </c>
      <c r="M543" s="50" t="n">
        <v>0</v>
      </c>
      <c r="N543" s="50" t="n">
        <v>5</v>
      </c>
      <c r="O543" s="53" t="n">
        <v>18</v>
      </c>
      <c r="P543" s="48" t="s">
        <v>480</v>
      </c>
      <c r="Q543" s="50" t="n">
        <v>4</v>
      </c>
      <c r="R543" s="53" t="n">
        <f aca="false">IF(BW543=1,0,IFERROR(VLOOKUP(BU543,'Gebinde-Kategorie'!$A$5:$N$45,13,0)+0,0))</f>
        <v>52</v>
      </c>
      <c r="S543" s="54"/>
      <c r="T543" s="55"/>
      <c r="U543" s="55"/>
      <c r="V543" s="55"/>
      <c r="W543" s="48"/>
      <c r="X543" s="50"/>
      <c r="Y543" s="50"/>
      <c r="Z543" s="48" t="n">
        <f aca="false">IF(A543="","",IF(AND(Parameter!$B$21="Ja",ISNUMBER(W543)),W543,IF(BZ543="2+3",IF(ISNUMBER(SEARCH("grosser Artikel",BR543)),2,IFERROR(VLOOKUP(BU543,Parameter!$F$35:$G$64,2,0),2)),IF(OR(BZ543="Nein",BZ543=""),"-",BZ543))))</f>
        <v>3</v>
      </c>
      <c r="AA543" s="55"/>
      <c r="AB543" s="56"/>
      <c r="AC543" s="50" t="n">
        <f aca="false">AT543</f>
        <v>8</v>
      </c>
      <c r="AD543" s="50" t="n">
        <f aca="false">MAX(AT543,H543)</f>
        <v>8</v>
      </c>
      <c r="AE543" s="57"/>
      <c r="AF543" s="50" t="n">
        <f aca="false">IF(LEFT(Cockpit!$C$5,1)="A",H543,IF(CE543=1,CF543,IF(LEFT(Cockpit!$C$5,1)="B",AK543,MAX(AK543,H543))))</f>
        <v>7</v>
      </c>
      <c r="AG543" s="50" t="n">
        <f aca="false">IF(BW543=1,0,ROUNDUP(AF543/BV543,0))</f>
        <v>2</v>
      </c>
      <c r="AH543" s="52" t="n">
        <f aca="false">IF(CL543&gt;0,CL543*MAX(1,AF543/X543),IF(BW543=1,IF(AF543&lt;=0,0,CA543*MAX(1,IF(H543&gt;0,AF543/H543,1))),IF(R543&gt;0,AG543/R543,0))/MAX(0.1,N(Parameter!$M$21)))</f>
        <v>0.0384615384615385</v>
      </c>
      <c r="AI543" s="50" t="n">
        <f aca="false">AH543*BY543</f>
        <v>5.96153846153846</v>
      </c>
      <c r="AJ543" s="50" t="n">
        <f aca="false">AF543*G543</f>
        <v>102.55</v>
      </c>
      <c r="AK543" s="50" t="n">
        <f aca="false">ROUNDUP(MAX(J543/IF(CD543&gt;0,CD543,MAX(0.1,N(Cockpit!$C$6))),CG543)/BV543,0)*BV543</f>
        <v>8</v>
      </c>
      <c r="AL543" s="51" t="n">
        <f aca="false">IF(AI543&gt;0,J543/AI543,-1)</f>
        <v>1.00645161290323</v>
      </c>
      <c r="AM543" s="51" t="n">
        <f aca="false">IF(AND(OR(CC543="L1",CC543="L23",CC543="LIFT"),AI543&gt;0),SUMIFS($AI$7:$AI$1843,$CC$7:$CC$1843,CC543,$AL$7:$AL$1843,"&gt;"&amp;AL543)+SUMIFS($AI$7:$AI$1843,$CC$7:$CC$1843,CC543,$AL$7:$AL$1843,AL543,$BT$7:$BT$1843,"&lt;="&amp;BT543),"")</f>
        <v>7029.57738095238</v>
      </c>
      <c r="AN543" s="58" t="n">
        <f aca="false">IF(AM543="",0,MAX(0,MIN(1,(IF(CC543="L1",Parameter!$H$5,IF(CC543="L23",Parameter!$H$6+Parameter!$H$7,Parameter!$H$5+Parameter!$H$6+Parameter!$H$7))-(AM543-AI543))/AI543)))</f>
        <v>1</v>
      </c>
      <c r="AO543" s="50" t="n">
        <f aca="false">IF(LEFT(Cockpit!$I$5,1)="A",H543,IF(CE543=1,CF543,IF(LEFT(Cockpit!$I$5,1)="B",AT543,MAX(AT543,H543))))</f>
        <v>8</v>
      </c>
      <c r="AP543" s="50" t="n">
        <f aca="false">IF(BW543=1,0,ROUNDUP(AO543/BV543,0))</f>
        <v>2</v>
      </c>
      <c r="AQ543" s="52" t="n">
        <f aca="false">IF(CL543&gt;0,CL543*MAX(1,AO543/X543),IF(BW543=1,IF(AO543&lt;=0,0,CA543*MAX(1,IF(H543&gt;0,AO543/H543,1))),IF(R543&gt;0,AP543/R543,0))/MAX(0.1,N(Parameter!$M$21)))</f>
        <v>0.0384615384615385</v>
      </c>
      <c r="AR543" s="50" t="n">
        <f aca="false">AQ543*BY543</f>
        <v>5.96153846153846</v>
      </c>
      <c r="AS543" s="50" t="n">
        <f aca="false">AO543*G543</f>
        <v>117.2</v>
      </c>
      <c r="AT543" s="50" t="n">
        <f aca="false">ROUNDUP(MAX(J543/IF(CD543&gt;0,CD543,MAX(0.1,N(Cockpit!$I$6))),CG543)/BV543,0)*BV543</f>
        <v>8</v>
      </c>
      <c r="AU543" s="51" t="n">
        <f aca="false">IF(AR543&gt;0,J543/AR543,-1)</f>
        <v>1.00645161290323</v>
      </c>
      <c r="AV543" s="51" t="n">
        <f aca="false">IF(AND(OR(CC543="L1",CC543="L23",CC543="LIFT"),AR543&gt;0),SUMIFS($AR$7:$AR$1843,$CC$7:$CC$1843,CC543,$AU$7:$AU$1843,"&gt;"&amp;AU543)+SUMIFS($AR$7:$AR$1843,$CC$7:$CC$1843,CC543,$AU$7:$AU$1843,AU543,$BT$7:$BT$1843,"&lt;="&amp;BT543),"")</f>
        <v>10089.5842490842</v>
      </c>
      <c r="AW543" s="58" t="n">
        <f aca="false">IF(AV543="",0,MAX(0,MIN(1,(IF(CC543="L1",Parameter!$H$5,IF(CC543="L23",Parameter!$H$6+Parameter!$H$7,Parameter!$H$5+Parameter!$H$6+Parameter!$H$7))-(AV543-AR543))/AR543)))</f>
        <v>1</v>
      </c>
      <c r="AX543" s="50" t="n">
        <f aca="false">IF(LEFT(Cockpit!$O$5,1)="A",H543,IF(CE543=1,CF543,IF(LEFT(Cockpit!$O$5,1)="B",BC543,MAX(BC543,H543))))</f>
        <v>8</v>
      </c>
      <c r="AY543" s="50" t="n">
        <f aca="false">IF(BW543=1,0,ROUNDUP(AX543/BV543,0))</f>
        <v>2</v>
      </c>
      <c r="AZ543" s="52" t="n">
        <f aca="false">IF(CL543&gt;0,CL543*MAX(1,AX543/X543),IF(BW543=1,IF(AX543&lt;=0,0,CA543*MAX(1,IF(H543&gt;0,AX543/H543,1))),IF(R543&gt;0,AY543/R543,0))/MAX(0.1,N(Parameter!$M$21)))</f>
        <v>0.0384615384615385</v>
      </c>
      <c r="BA543" s="50" t="n">
        <f aca="false">AZ543*BY543</f>
        <v>5.96153846153846</v>
      </c>
      <c r="BB543" s="50" t="n">
        <f aca="false">AX543*G543</f>
        <v>117.2</v>
      </c>
      <c r="BC543" s="50" t="n">
        <f aca="false">ROUNDUP(MAX(J543/IF(CD543&gt;0,CD543,MAX(0.1,N(Cockpit!$O$6))),CG543)/BV543,0)*BV543</f>
        <v>8</v>
      </c>
      <c r="BD543" s="51" t="n">
        <f aca="false">IF(BA543&gt;0,J543/BA543,-1)</f>
        <v>1.00645161290323</v>
      </c>
      <c r="BE543" s="51" t="n">
        <f aca="false">IF(AND(OR(CC543="L1",CC543="L23",CC543="LIFT"),BA543&gt;0),SUMIFS($BA$7:$BA$1843,$CC$7:$CC$1843,CC543,$BD$7:$BD$1843,"&gt;"&amp;BD543)+SUMIFS($BA$7:$BA$1843,$CC$7:$CC$1843,CC543,$BD$7:$BD$1843,BD543,$BT$7:$BT$1843,"&lt;="&amp;BT543),"")</f>
        <v>9296.07463369963</v>
      </c>
      <c r="BF543" s="58" t="n">
        <f aca="false">IF(BE543="",0,MAX(0,MIN(1,(IF(CC543="L1",Parameter!$H$5,IF(CC543="L23",Parameter!$H$6+Parameter!$H$7,Parameter!$H$5+Parameter!$H$6+Parameter!$H$7))-(BE543-BA543))/BA543)))</f>
        <v>1</v>
      </c>
      <c r="BG543" s="48" t="str">
        <f aca="false">IF(AI543&lt;=0,"",IF(CC543="Aussen","Aussenlager",IF(CC543="-","Nicht im Lift",IF(AN543&gt;=1,"Lift",IF(AN543&lt;=0,"Aussenlager","teilweise")))))</f>
        <v>Lift</v>
      </c>
      <c r="BH543" s="48" t="str">
        <f aca="false">IF(AR543&lt;=0,"",IF(CC543="Aussen","Aussenlager",IF(CC543="-","Nicht im Lift",IF(AW543&gt;=1,"Lift",IF(AW543&lt;=0,"Aussenlager","teilweise")))))</f>
        <v>Lift</v>
      </c>
      <c r="BI543" s="48" t="str">
        <f aca="false">IF(BA543&lt;=0,"",IF(CC543="Aussen","Aussenlager",IF(CC543="-","Nicht im Lift",IF(BF543&gt;=1,"Lift",IF(BF543&lt;=0,"Aussenlager","teilweise")))))</f>
        <v>Lift</v>
      </c>
      <c r="BJ543" s="48" t="str">
        <f aca="false">IF(A543="","",IF(BS543=1,"Neu; ","")&amp;IF(AND(BS543=0,BN543&lt;0),"negativer Bestand (Export "&amp;BN543&amp;"); ","")&amp;IF(J543&lt;=0,"Kein Verbrauch; ","")&amp;IF(CL543&gt;0,"Lift "&amp;W543&amp;" lt. Liftbericht (Fach "&amp;X543&amp;" Stk); ",IF(BX543=1,"Gebinde geschätzt ("&amp;T543&amp;"); ",IF(BW543=1,"Lose – Tablare geschätzt; ","")))&amp;IF(H543&gt;AT543,"Überbestand "&amp;ROUND(H543-AT543,0)&amp;" Stk / CHF "&amp;ROUND((H543-AT543)*G543,0)&amp;"; ","")&amp;IF(AND(CE543=1,CF543&lt;CG543),"MAX &lt; MB+LG; ","")&amp;IF(AND(CK543&gt;0,CJ543*10&gt;CK543),"zu hoch für Tablar; ","")&amp;IF(AND(BS543=0,OR(CE543=1,AA543&lt;&gt;"",U543&lt;&gt;"",V543&lt;&gt;"",AB543&lt;&gt;"")),"manuell übersteuert; ","")&amp;IF(AND(BW543=0,R543=0),"Gebinde unbekannt / Stellmass fehlt; ","")&amp;IF(AND(BW543=0,N(V543)&lt;=0,N(Q543)&lt;=0),"Menge pro Gebinde fehlt (Ist = 1 Gebinde); ","")&amp;BR543)</f>
        <v/>
      </c>
      <c r="BK543" s="48"/>
      <c r="BL543" s="48"/>
      <c r="BM543" s="55"/>
      <c r="BN543" s="50" t="n">
        <v>2</v>
      </c>
      <c r="BO543" s="50" t="n">
        <v>5</v>
      </c>
      <c r="BP543" s="49" t="n">
        <v>19.52</v>
      </c>
      <c r="BQ543" s="50" t="n">
        <v>6</v>
      </c>
      <c r="BR543" s="48"/>
      <c r="BS543" s="53" t="n">
        <v>0</v>
      </c>
      <c r="BT543" s="53" t="n">
        <v>543</v>
      </c>
      <c r="BU543" s="48" t="str">
        <f aca="false">IF(U543&lt;&gt;"",UPPER(TRIM(U543)),IF(BX543=1,UPPER(VLOOKUP(T543,Parameter!$I$27:$K$29,2,0)),IF(P543="","LOSE",P543)))</f>
        <v>S33</v>
      </c>
      <c r="BV543" s="50" t="n">
        <f aca="false">IF(BU543="LOSE",1,IF(N(V543)&gt;0,V543,IF(BX543=1,MAX(1,N(VLOOKUP(T543,Parameter!$I$27:$K$29,3,0)),H543,N(N543)),IF(N(Q543)&gt;0,Q543,MAX(1,H543)))))</f>
        <v>4</v>
      </c>
      <c r="BW543" s="53" t="n">
        <f aca="false">IF(BU543="LOSE",1,0)</f>
        <v>0</v>
      </c>
      <c r="BX543" s="53" t="n">
        <f aca="false">IF(AND(U543="",OR(P543="",P543="LOSE"),T543&lt;&gt;"",N(S543)&lt;=0,ISNUMBER(MATCH(T543,Parameter!$I$27:$I$29,0))),1,0)</f>
        <v>0</v>
      </c>
      <c r="BY543" s="53" t="n">
        <f aca="false">IF(CL543&gt;0,INDEX(Parameter!$H$5:$H$7,W543)/INDEX(Parameter!$E$5:$E$7,W543),IF(AND(BW543=0,N(IFERROR(VLOOKUP(BU543,'Gebinde-Kategorie'!$A$5:$N$45,14,0),0))&gt;0),VLOOKUP(BU543,'Gebinde-Kategorie'!$A$5:$N$45,14,0)*10+Parameter!$M$23,Parameter!$M$24))</f>
        <v>155</v>
      </c>
      <c r="BZ543" s="48" t="str">
        <f aca="false">IF(AND(Parameter!$B$19="Ja",E543&lt;&gt;"",ISNUMBER(MATCH(E543,Parameter!$I$35:$I$52,0))),VLOOKUP(E543,Parameter!$I$35:$J$52,2,0),IFERROR(VLOOKUP(D543,Parameter!$A$35:$C$64,2,0),"Nein"))</f>
        <v>2+3</v>
      </c>
      <c r="CA543" s="52" t="n">
        <f aca="false">IF(BW543=0,0,IF(N(S543)&gt;0,S543,IFERROR(VLOOKUP(D543,Parameter!$A$35:$C$64,3,0)+0,0)))</f>
        <v>0</v>
      </c>
      <c r="CB543" s="48" t="n">
        <f aca="false">IF(AA543&lt;&gt;"",AA543,Z543)</f>
        <v>3</v>
      </c>
      <c r="CC543" s="48" t="str">
        <f aca="false">IF(OR(CB543=1,CB543=2,CB543=3),IF(Parameter!$E$27="Ja","LIFT",IF(CB543=1,"L1","L23")),IF(CB543="Aussen","Aussen","-"))</f>
        <v>LIFT</v>
      </c>
      <c r="CD543" s="59" t="n">
        <f aca="false">IF(N(AB543)&gt;0,AB543,0)</f>
        <v>0</v>
      </c>
      <c r="CE543" s="53" t="n">
        <f aca="false">IF(ISNUMBER(AE543),1,0)</f>
        <v>0</v>
      </c>
      <c r="CF543" s="50" t="n">
        <f aca="false">N(AE543)</f>
        <v>0</v>
      </c>
      <c r="CG543" s="50" t="n">
        <f aca="false">N(M543)+N(N543)</f>
        <v>5</v>
      </c>
      <c r="CH543" s="50" t="n">
        <f aca="false">ROUNDUP(H543/BV543,0)</f>
        <v>2</v>
      </c>
      <c r="CI543" s="50" t="n">
        <f aca="false">ROUNDUP(CF543/BV543,0)</f>
        <v>0</v>
      </c>
      <c r="CJ543" s="53" t="n">
        <f aca="false">IF(BW543=1,0,IFERROR(VLOOKUP(BU543,'Gebinde-Kategorie'!$A$5:$N$45,5,0)+0,0))</f>
        <v>8</v>
      </c>
      <c r="CK543" s="53" t="n">
        <f aca="false">IFERROR(IF(OR(CB543=1,CB543=2,CB543=3),N(INDEX(Parameter!$I$5:$I$7,CB543)),0),0)</f>
        <v>0</v>
      </c>
      <c r="CL543" s="52" t="n">
        <f aca="false">IF(AND(Parameter!$B$21="Ja",ISNUMBER(W543),N(X543)&gt;0),IFERROR(N(INDEX(Parameter!$L$5:$L$7,W543))*INDEX(Parameter!$E$5:$E$7,W543)*X543/SUMIFS($X$7:$X$1843,$W$7:$W$1843,W543),0),0)</f>
        <v>0</v>
      </c>
    </row>
    <row r="544" customFormat="false" ht="15" hidden="false" customHeight="false" outlineLevel="0" collapsed="false">
      <c r="A544" s="48" t="s">
        <v>1170</v>
      </c>
      <c r="B544" s="48" t="s">
        <v>1171</v>
      </c>
      <c r="C544" s="48" t="s">
        <v>168</v>
      </c>
      <c r="D544" s="48" t="s">
        <v>188</v>
      </c>
      <c r="E544" s="48" t="s">
        <v>189</v>
      </c>
      <c r="F544" s="48" t="s">
        <v>222</v>
      </c>
      <c r="G544" s="49" t="n">
        <v>0.06</v>
      </c>
      <c r="H544" s="50" t="n">
        <f aca="false">MAX(0,IF(AND(Parameter!$B$21="Ja",ISNUMBER(Y544)),Y544,IF(Parameter!$B$20="Jahresanfang 2025 + Export",BO544+BN544,BN544)))</f>
        <v>650</v>
      </c>
      <c r="I544" s="50" t="n">
        <f aca="false">H544*G544</f>
        <v>39</v>
      </c>
      <c r="J544" s="50" t="n">
        <f aca="false">BQ544*Parameter!$B$18</f>
        <v>722</v>
      </c>
      <c r="K544" s="51" t="n">
        <v>322.5</v>
      </c>
      <c r="L544" s="52" t="n">
        <v>2.23875968992248</v>
      </c>
      <c r="M544" s="50" t="n">
        <v>28</v>
      </c>
      <c r="N544" s="50" t="n">
        <v>750</v>
      </c>
      <c r="O544" s="53" t="n">
        <v>14</v>
      </c>
      <c r="P544" s="48" t="s">
        <v>306</v>
      </c>
      <c r="Q544" s="50" t="n">
        <v>334</v>
      </c>
      <c r="R544" s="53" t="n">
        <f aca="false">IF(BW544=1,0,IFERROR(VLOOKUP(BU544,'Gebinde-Kategorie'!$A$5:$N$45,13,0)+0,0))</f>
        <v>26</v>
      </c>
      <c r="S544" s="54"/>
      <c r="T544" s="55"/>
      <c r="U544" s="55"/>
      <c r="V544" s="55"/>
      <c r="W544" s="48"/>
      <c r="X544" s="50"/>
      <c r="Y544" s="50"/>
      <c r="Z544" s="48" t="n">
        <f aca="false">IF(A544="","",IF(AND(Parameter!$B$21="Ja",ISNUMBER(W544)),W544,IF(BZ544="2+3",IF(ISNUMBER(SEARCH("grosser Artikel",BR544)),2,IFERROR(VLOOKUP(BU544,Parameter!$F$35:$G$64,2,0),2)),IF(OR(BZ544="Nein",BZ544=""),"-",BZ544))))</f>
        <v>3</v>
      </c>
      <c r="AA544" s="55"/>
      <c r="AB544" s="56"/>
      <c r="AC544" s="50" t="n">
        <f aca="false">AT544</f>
        <v>1002</v>
      </c>
      <c r="AD544" s="50" t="n">
        <f aca="false">MAX(AT544,H544)</f>
        <v>1002</v>
      </c>
      <c r="AE544" s="57"/>
      <c r="AF544" s="50" t="n">
        <f aca="false">IF(LEFT(Cockpit!$C$5,1)="A",H544,IF(CE544=1,CF544,IF(LEFT(Cockpit!$C$5,1)="B",AK544,MAX(AK544,H544))))</f>
        <v>650</v>
      </c>
      <c r="AG544" s="50" t="n">
        <f aca="false">IF(BW544=1,0,ROUNDUP(AF544/BV544,0))</f>
        <v>2</v>
      </c>
      <c r="AH544" s="52" t="n">
        <f aca="false">IF(CL544&gt;0,CL544*MAX(1,AF544/X544),IF(BW544=1,IF(AF544&lt;=0,0,CA544*MAX(1,IF(H544&gt;0,AF544/H544,1))),IF(R544&gt;0,AG544/R544,0))/MAX(0.1,N(Parameter!$M$21)))</f>
        <v>0.0769230769230769</v>
      </c>
      <c r="AI544" s="50" t="n">
        <f aca="false">AH544*BY544</f>
        <v>11.9230769230769</v>
      </c>
      <c r="AJ544" s="50" t="n">
        <f aca="false">AF544*G544</f>
        <v>39</v>
      </c>
      <c r="AK544" s="50" t="n">
        <f aca="false">ROUNDUP(MAX(J544/IF(CD544&gt;0,CD544,MAX(0.1,N(Cockpit!$C$6))),CG544)/BV544,0)*BV544</f>
        <v>1002</v>
      </c>
      <c r="AL544" s="51" t="n">
        <f aca="false">IF(AI544&gt;0,J544/AI544,-1)</f>
        <v>60.5548387096774</v>
      </c>
      <c r="AM544" s="51" t="n">
        <f aca="false">IF(AND(OR(CC544="L1",CC544="L23",CC544="LIFT"),AI544&gt;0),SUMIFS($AI$7:$AI$1843,$CC$7:$CC$1843,CC544,$AL$7:$AL$1843,"&gt;"&amp;AL544)+SUMIFS($AI$7:$AI$1843,$CC$7:$CC$1843,CC544,$AL$7:$AL$1843,AL544,$BT$7:$BT$1843,"&lt;="&amp;BT544),"")</f>
        <v>979.468406593407</v>
      </c>
      <c r="AN544" s="58" t="n">
        <f aca="false">IF(AM544="",0,MAX(0,MIN(1,(IF(CC544="L1",Parameter!$H$5,IF(CC544="L23",Parameter!$H$6+Parameter!$H$7,Parameter!$H$5+Parameter!$H$6+Parameter!$H$7))-(AM544-AI544))/AI544)))</f>
        <v>1</v>
      </c>
      <c r="AO544" s="50" t="n">
        <f aca="false">IF(LEFT(Cockpit!$I$5,1)="A",H544,IF(CE544=1,CF544,IF(LEFT(Cockpit!$I$5,1)="B",AT544,MAX(AT544,H544))))</f>
        <v>1002</v>
      </c>
      <c r="AP544" s="50" t="n">
        <f aca="false">IF(BW544=1,0,ROUNDUP(AO544/BV544,0))</f>
        <v>3</v>
      </c>
      <c r="AQ544" s="52" t="n">
        <f aca="false">IF(CL544&gt;0,CL544*MAX(1,AO544/X544),IF(BW544=1,IF(AO544&lt;=0,0,CA544*MAX(1,IF(H544&gt;0,AO544/H544,1))),IF(R544&gt;0,AP544/R544,0))/MAX(0.1,N(Parameter!$M$21)))</f>
        <v>0.115384615384615</v>
      </c>
      <c r="AR544" s="50" t="n">
        <f aca="false">AQ544*BY544</f>
        <v>17.8846153846154</v>
      </c>
      <c r="AS544" s="50" t="n">
        <f aca="false">AO544*G544</f>
        <v>60.12</v>
      </c>
      <c r="AT544" s="50" t="n">
        <f aca="false">ROUNDUP(MAX(J544/IF(CD544&gt;0,CD544,MAX(0.1,N(Cockpit!$I$6))),CG544)/BV544,0)*BV544</f>
        <v>1002</v>
      </c>
      <c r="AU544" s="51" t="n">
        <f aca="false">IF(AR544&gt;0,J544/AR544,-1)</f>
        <v>40.3698924731183</v>
      </c>
      <c r="AV544" s="51" t="n">
        <f aca="false">IF(AND(OR(CC544="L1",CC544="L23",CC544="LIFT"),AR544&gt;0),SUMIFS($AR$7:$AR$1843,$CC$7:$CC$1843,CC544,$AU$7:$AU$1843,"&gt;"&amp;AU544)+SUMIFS($AR$7:$AR$1843,$CC$7:$CC$1843,CC544,$AU$7:$AU$1843,AU544,$BT$7:$BT$1843,"&lt;="&amp;BT544),"")</f>
        <v>1711.89148351648</v>
      </c>
      <c r="AW544" s="58" t="n">
        <f aca="false">IF(AV544="",0,MAX(0,MIN(1,(IF(CC544="L1",Parameter!$H$5,IF(CC544="L23",Parameter!$H$6+Parameter!$H$7,Parameter!$H$5+Parameter!$H$6+Parameter!$H$7))-(AV544-AR544))/AR544)))</f>
        <v>1</v>
      </c>
      <c r="AX544" s="50" t="n">
        <f aca="false">IF(LEFT(Cockpit!$O$5,1)="A",H544,IF(CE544=1,CF544,IF(LEFT(Cockpit!$O$5,1)="B",BC544,MAX(BC544,H544))))</f>
        <v>1002</v>
      </c>
      <c r="AY544" s="50" t="n">
        <f aca="false">IF(BW544=1,0,ROUNDUP(AX544/BV544,0))</f>
        <v>3</v>
      </c>
      <c r="AZ544" s="52" t="n">
        <f aca="false">IF(CL544&gt;0,CL544*MAX(1,AX544/X544),IF(BW544=1,IF(AX544&lt;=0,0,CA544*MAX(1,IF(H544&gt;0,AX544/H544,1))),IF(R544&gt;0,AY544/R544,0))/MAX(0.1,N(Parameter!$M$21)))</f>
        <v>0.115384615384615</v>
      </c>
      <c r="BA544" s="50" t="n">
        <f aca="false">AZ544*BY544</f>
        <v>17.8846153846154</v>
      </c>
      <c r="BB544" s="50" t="n">
        <f aca="false">AX544*G544</f>
        <v>60.12</v>
      </c>
      <c r="BC544" s="50" t="n">
        <f aca="false">ROUNDUP(MAX(J544/IF(CD544&gt;0,CD544,MAX(0.1,N(Cockpit!$O$6))),CG544)/BV544,0)*BV544</f>
        <v>1002</v>
      </c>
      <c r="BD544" s="51" t="n">
        <f aca="false">IF(BA544&gt;0,J544/BA544,-1)</f>
        <v>40.3698924731183</v>
      </c>
      <c r="BE544" s="51" t="n">
        <f aca="false">IF(AND(OR(CC544="L1",CC544="L23",CC544="LIFT"),BA544&gt;0),SUMIFS($BA$7:$BA$1843,$CC$7:$CC$1843,CC544,$BD$7:$BD$1843,"&gt;"&amp;BD544)+SUMIFS($BA$7:$BA$1843,$CC$7:$CC$1843,CC544,$BD$7:$BD$1843,BD544,$BT$7:$BT$1843,"&lt;="&amp;BT544),"")</f>
        <v>1594.69597069597</v>
      </c>
      <c r="BF544" s="58" t="n">
        <f aca="false">IF(BE544="",0,MAX(0,MIN(1,(IF(CC544="L1",Parameter!$H$5,IF(CC544="L23",Parameter!$H$6+Parameter!$H$7,Parameter!$H$5+Parameter!$H$6+Parameter!$H$7))-(BE544-BA544))/BA544)))</f>
        <v>1</v>
      </c>
      <c r="BG544" s="48" t="str">
        <f aca="false">IF(AI544&lt;=0,"",IF(CC544="Aussen","Aussenlager",IF(CC544="-","Nicht im Lift",IF(AN544&gt;=1,"Lift",IF(AN544&lt;=0,"Aussenlager","teilweise")))))</f>
        <v>Lift</v>
      </c>
      <c r="BH544" s="48" t="str">
        <f aca="false">IF(AR544&lt;=0,"",IF(CC544="Aussen","Aussenlager",IF(CC544="-","Nicht im Lift",IF(AW544&gt;=1,"Lift",IF(AW544&lt;=0,"Aussenlager","teilweise")))))</f>
        <v>Lift</v>
      </c>
      <c r="BI544" s="48" t="str">
        <f aca="false">IF(BA544&lt;=0,"",IF(CC544="Aussen","Aussenlager",IF(CC544="-","Nicht im Lift",IF(BF544&gt;=1,"Lift",IF(BF544&lt;=0,"Aussenlager","teilweise")))))</f>
        <v>Lift</v>
      </c>
      <c r="BJ544" s="48" t="str">
        <f aca="false">IF(A544="","",IF(BS544=1,"Neu; ","")&amp;IF(AND(BS544=0,BN544&lt;0),"negativer Bestand (Export "&amp;BN544&amp;"); ","")&amp;IF(J544&lt;=0,"Kein Verbrauch; ","")&amp;IF(CL544&gt;0,"Lift "&amp;W544&amp;" lt. Liftbericht (Fach "&amp;X544&amp;" Stk); ",IF(BX544=1,"Gebinde geschätzt ("&amp;T544&amp;"); ",IF(BW544=1,"Lose – Tablare geschätzt; ","")))&amp;IF(H544&gt;AT544,"Überbestand "&amp;ROUND(H544-AT544,0)&amp;" Stk / CHF "&amp;ROUND((H544-AT544)*G544,0)&amp;"; ","")&amp;IF(AND(CE544=1,CF544&lt;CG544),"MAX &lt; MB+LG; ","")&amp;IF(AND(CK544&gt;0,CJ544*10&gt;CK544),"zu hoch für Tablar; ","")&amp;IF(AND(BS544=0,OR(CE544=1,AA544&lt;&gt;"",U544&lt;&gt;"",V544&lt;&gt;"",AB544&lt;&gt;"")),"manuell übersteuert; ","")&amp;IF(AND(BW544=0,R544=0),"Gebinde unbekannt / Stellmass fehlt; ","")&amp;IF(AND(BW544=0,N(V544)&lt;=0,N(Q544)&lt;=0),"Menge pro Gebinde fehlt (Ist = 1 Gebinde); ","")&amp;BR544)</f>
        <v/>
      </c>
      <c r="BK544" s="48"/>
      <c r="BL544" s="48"/>
      <c r="BM544" s="55"/>
      <c r="BN544" s="50" t="n">
        <v>319</v>
      </c>
      <c r="BO544" s="50" t="n">
        <v>331</v>
      </c>
      <c r="BP544" s="49" t="n">
        <v>19.14</v>
      </c>
      <c r="BQ544" s="50" t="n">
        <v>722</v>
      </c>
      <c r="BR544" s="48"/>
      <c r="BS544" s="53" t="n">
        <v>0</v>
      </c>
      <c r="BT544" s="53" t="n">
        <v>544</v>
      </c>
      <c r="BU544" s="48" t="str">
        <f aca="false">IF(U544&lt;&gt;"",UPPER(TRIM(U544)),IF(BX544=1,UPPER(VLOOKUP(T544,Parameter!$I$27:$K$29,2,0)),IF(P544="","LOSE",P544)))</f>
        <v>S51</v>
      </c>
      <c r="BV544" s="50" t="n">
        <f aca="false">IF(BU544="LOSE",1,IF(N(V544)&gt;0,V544,IF(BX544=1,MAX(1,N(VLOOKUP(T544,Parameter!$I$27:$K$29,3,0)),H544,N(N544)),IF(N(Q544)&gt;0,Q544,MAX(1,H544)))))</f>
        <v>334</v>
      </c>
      <c r="BW544" s="53" t="n">
        <f aca="false">IF(BU544="LOSE",1,0)</f>
        <v>0</v>
      </c>
      <c r="BX544" s="53" t="n">
        <f aca="false">IF(AND(U544="",OR(P544="",P544="LOSE"),T544&lt;&gt;"",N(S544)&lt;=0,ISNUMBER(MATCH(T544,Parameter!$I$27:$I$29,0))),1,0)</f>
        <v>0</v>
      </c>
      <c r="BY544" s="53" t="n">
        <f aca="false">IF(CL544&gt;0,INDEX(Parameter!$H$5:$H$7,W544)/INDEX(Parameter!$E$5:$E$7,W544),IF(AND(BW544=0,N(IFERROR(VLOOKUP(BU544,'Gebinde-Kategorie'!$A$5:$N$45,14,0),0))&gt;0),VLOOKUP(BU544,'Gebinde-Kategorie'!$A$5:$N$45,14,0)*10+Parameter!$M$23,Parameter!$M$24))</f>
        <v>155</v>
      </c>
      <c r="BZ544" s="48" t="str">
        <f aca="false">IF(AND(Parameter!$B$19="Ja",E544&lt;&gt;"",ISNUMBER(MATCH(E544,Parameter!$I$35:$I$52,0))),VLOOKUP(E544,Parameter!$I$35:$J$52,2,0),IFERROR(VLOOKUP(D544,Parameter!$A$35:$C$64,2,0),"Nein"))</f>
        <v>2+3</v>
      </c>
      <c r="CA544" s="52" t="n">
        <f aca="false">IF(BW544=0,0,IF(N(S544)&gt;0,S544,IFERROR(VLOOKUP(D544,Parameter!$A$35:$C$64,3,0)+0,0)))</f>
        <v>0</v>
      </c>
      <c r="CB544" s="48" t="n">
        <f aca="false">IF(AA544&lt;&gt;"",AA544,Z544)</f>
        <v>3</v>
      </c>
      <c r="CC544" s="48" t="str">
        <f aca="false">IF(OR(CB544=1,CB544=2,CB544=3),IF(Parameter!$E$27="Ja","LIFT",IF(CB544=1,"L1","L23")),IF(CB544="Aussen","Aussen","-"))</f>
        <v>LIFT</v>
      </c>
      <c r="CD544" s="59" t="n">
        <f aca="false">IF(N(AB544)&gt;0,AB544,0)</f>
        <v>0</v>
      </c>
      <c r="CE544" s="53" t="n">
        <f aca="false">IF(ISNUMBER(AE544),1,0)</f>
        <v>0</v>
      </c>
      <c r="CF544" s="50" t="n">
        <f aca="false">N(AE544)</f>
        <v>0</v>
      </c>
      <c r="CG544" s="50" t="n">
        <f aca="false">N(M544)+N(N544)</f>
        <v>778</v>
      </c>
      <c r="CH544" s="50" t="n">
        <f aca="false">ROUNDUP(H544/BV544,0)</f>
        <v>2</v>
      </c>
      <c r="CI544" s="50" t="n">
        <f aca="false">ROUNDUP(CF544/BV544,0)</f>
        <v>0</v>
      </c>
      <c r="CJ544" s="53" t="n">
        <f aca="false">IF(BW544=1,0,IFERROR(VLOOKUP(BU544,'Gebinde-Kategorie'!$A$5:$N$45,5,0)+0,0))</f>
        <v>11</v>
      </c>
      <c r="CK544" s="53" t="n">
        <f aca="false">IFERROR(IF(OR(CB544=1,CB544=2,CB544=3),N(INDEX(Parameter!$I$5:$I$7,CB544)),0),0)</f>
        <v>0</v>
      </c>
      <c r="CL544" s="52" t="n">
        <f aca="false">IF(AND(Parameter!$B$21="Ja",ISNUMBER(W544),N(X544)&gt;0),IFERROR(N(INDEX(Parameter!$L$5:$L$7,W544))*INDEX(Parameter!$E$5:$E$7,W544)*X544/SUMIFS($X$7:$X$1843,$W$7:$W$1843,W544),0),0)</f>
        <v>0</v>
      </c>
    </row>
    <row r="545" customFormat="false" ht="15" hidden="false" customHeight="false" outlineLevel="0" collapsed="false">
      <c r="A545" s="48" t="s">
        <v>1172</v>
      </c>
      <c r="B545" s="48" t="s">
        <v>759</v>
      </c>
      <c r="C545" s="48" t="s">
        <v>168</v>
      </c>
      <c r="D545" s="48" t="s">
        <v>188</v>
      </c>
      <c r="E545" s="48"/>
      <c r="F545" s="48" t="s">
        <v>222</v>
      </c>
      <c r="G545" s="49" t="n">
        <v>74.2</v>
      </c>
      <c r="H545" s="50" t="n">
        <f aca="false">MAX(0,IF(AND(Parameter!$B$21="Ja",ISNUMBER(Y545)),Y545,IF(Parameter!$B$20="Jahresanfang 2025 + Export",BO545+BN545,BN545)))</f>
        <v>5</v>
      </c>
      <c r="I545" s="50" t="n">
        <f aca="false">H545*G545</f>
        <v>371</v>
      </c>
      <c r="J545" s="50" t="n">
        <f aca="false">BQ545*Parameter!$B$18</f>
        <v>1</v>
      </c>
      <c r="K545" s="51" t="n">
        <v>4.5</v>
      </c>
      <c r="L545" s="52" t="n">
        <v>0.222222222222222</v>
      </c>
      <c r="M545" s="50" t="n">
        <v>0</v>
      </c>
      <c r="N545" s="50" t="n">
        <v>1</v>
      </c>
      <c r="O545" s="53" t="n">
        <v>35</v>
      </c>
      <c r="P545" s="48" t="s">
        <v>430</v>
      </c>
      <c r="Q545" s="50" t="n">
        <v>6</v>
      </c>
      <c r="R545" s="53" t="n">
        <f aca="false">IF(BW545=1,0,IFERROR(VLOOKUP(BU545,'Gebinde-Kategorie'!$A$5:$N$45,13,0)+0,0))</f>
        <v>140</v>
      </c>
      <c r="S545" s="54"/>
      <c r="T545" s="55"/>
      <c r="U545" s="55"/>
      <c r="V545" s="55"/>
      <c r="W545" s="48"/>
      <c r="X545" s="50"/>
      <c r="Y545" s="50"/>
      <c r="Z545" s="48" t="n">
        <f aca="false">IF(A545="","",IF(AND(Parameter!$B$21="Ja",ISNUMBER(W545)),W545,IF(BZ545="2+3",IF(ISNUMBER(SEARCH("grosser Artikel",BR545)),2,IFERROR(VLOOKUP(BU545,Parameter!$F$35:$G$64,2,0),2)),IF(OR(BZ545="Nein",BZ545=""),"-",BZ545))))</f>
        <v>3</v>
      </c>
      <c r="AA545" s="55"/>
      <c r="AB545" s="56"/>
      <c r="AC545" s="50" t="n">
        <f aca="false">AT545</f>
        <v>6</v>
      </c>
      <c r="AD545" s="50" t="n">
        <f aca="false">MAX(AT545,H545)</f>
        <v>6</v>
      </c>
      <c r="AE545" s="57"/>
      <c r="AF545" s="50" t="n">
        <f aca="false">IF(LEFT(Cockpit!$C$5,1)="A",H545,IF(CE545=1,CF545,IF(LEFT(Cockpit!$C$5,1)="B",AK545,MAX(AK545,H545))))</f>
        <v>5</v>
      </c>
      <c r="AG545" s="50" t="n">
        <f aca="false">IF(BW545=1,0,ROUNDUP(AF545/BV545,0))</f>
        <v>1</v>
      </c>
      <c r="AH545" s="52" t="n">
        <f aca="false">IF(CL545&gt;0,CL545*MAX(1,AF545/X545),IF(BW545=1,IF(AF545&lt;=0,0,CA545*MAX(1,IF(H545&gt;0,AF545/H545,1))),IF(R545&gt;0,AG545/R545,0))/MAX(0.1,N(Parameter!$M$21)))</f>
        <v>0.00714285714285714</v>
      </c>
      <c r="AI545" s="50" t="n">
        <f aca="false">AH545*BY545</f>
        <v>1.10714285714286</v>
      </c>
      <c r="AJ545" s="50" t="n">
        <f aca="false">AF545*G545</f>
        <v>371</v>
      </c>
      <c r="AK545" s="50" t="n">
        <f aca="false">ROUNDUP(MAX(J545/IF(CD545&gt;0,CD545,MAX(0.1,N(Cockpit!$C$6))),CG545)/BV545,0)*BV545</f>
        <v>6</v>
      </c>
      <c r="AL545" s="51" t="n">
        <f aca="false">IF(AI545&gt;0,J545/AI545,-1)</f>
        <v>0.903225806451613</v>
      </c>
      <c r="AM545" s="51" t="n">
        <f aca="false">IF(AND(OR(CC545="L1",CC545="L23",CC545="LIFT"),AI545&gt;0),SUMIFS($AI$7:$AI$1843,$CC$7:$CC$1843,CC545,$AL$7:$AL$1843,"&gt;"&amp;AL545)+SUMIFS($AI$7:$AI$1843,$CC$7:$CC$1843,CC545,$AL$7:$AL$1843,AL545,$BT$7:$BT$1843,"&lt;="&amp;BT545),"")</f>
        <v>7617.7413003663</v>
      </c>
      <c r="AN545" s="58" t="n">
        <f aca="false">IF(AM545="",0,MAX(0,MIN(1,(IF(CC545="L1",Parameter!$H$5,IF(CC545="L23",Parameter!$H$6+Parameter!$H$7,Parameter!$H$5+Parameter!$H$6+Parameter!$H$7))-(AM545-AI545))/AI545)))</f>
        <v>1</v>
      </c>
      <c r="AO545" s="50" t="n">
        <f aca="false">IF(LEFT(Cockpit!$I$5,1)="A",H545,IF(CE545=1,CF545,IF(LEFT(Cockpit!$I$5,1)="B",AT545,MAX(AT545,H545))))</f>
        <v>6</v>
      </c>
      <c r="AP545" s="50" t="n">
        <f aca="false">IF(BW545=1,0,ROUNDUP(AO545/BV545,0))</f>
        <v>1</v>
      </c>
      <c r="AQ545" s="52" t="n">
        <f aca="false">IF(CL545&gt;0,CL545*MAX(1,AO545/X545),IF(BW545=1,IF(AO545&lt;=0,0,CA545*MAX(1,IF(H545&gt;0,AO545/H545,1))),IF(R545&gt;0,AP545/R545,0))/MAX(0.1,N(Parameter!$M$21)))</f>
        <v>0.00714285714285714</v>
      </c>
      <c r="AR545" s="50" t="n">
        <f aca="false">AQ545*BY545</f>
        <v>1.10714285714286</v>
      </c>
      <c r="AS545" s="50" t="n">
        <f aca="false">AO545*G545</f>
        <v>445.2</v>
      </c>
      <c r="AT545" s="50" t="n">
        <f aca="false">ROUNDUP(MAX(J545/IF(CD545&gt;0,CD545,MAX(0.1,N(Cockpit!$I$6))),CG545)/BV545,0)*BV545</f>
        <v>6</v>
      </c>
      <c r="AU545" s="51" t="n">
        <f aca="false">IF(AR545&gt;0,J545/AR545,-1)</f>
        <v>0.903225806451613</v>
      </c>
      <c r="AV545" s="51" t="n">
        <f aca="false">IF(AND(OR(CC545="L1",CC545="L23",CC545="LIFT"),AR545&gt;0),SUMIFS($AR$7:$AR$1843,$CC$7:$CC$1843,CC545,$AU$7:$AU$1843,"&gt;"&amp;AU545)+SUMIFS($AR$7:$AR$1843,$CC$7:$CC$1843,CC545,$AU$7:$AU$1843,AU545,$BT$7:$BT$1843,"&lt;="&amp;BT545),"")</f>
        <v>10728.9981684982</v>
      </c>
      <c r="AW545" s="58" t="n">
        <f aca="false">IF(AV545="",0,MAX(0,MIN(1,(IF(CC545="L1",Parameter!$H$5,IF(CC545="L23",Parameter!$H$6+Parameter!$H$7,Parameter!$H$5+Parameter!$H$6+Parameter!$H$7))-(AV545-AR545))/AR545)))</f>
        <v>1</v>
      </c>
      <c r="AX545" s="50" t="n">
        <f aca="false">IF(LEFT(Cockpit!$O$5,1)="A",H545,IF(CE545=1,CF545,IF(LEFT(Cockpit!$O$5,1)="B",BC545,MAX(BC545,H545))))</f>
        <v>6</v>
      </c>
      <c r="AY545" s="50" t="n">
        <f aca="false">IF(BW545=1,0,ROUNDUP(AX545/BV545,0))</f>
        <v>1</v>
      </c>
      <c r="AZ545" s="52" t="n">
        <f aca="false">IF(CL545&gt;0,CL545*MAX(1,AX545/X545),IF(BW545=1,IF(AX545&lt;=0,0,CA545*MAX(1,IF(H545&gt;0,AX545/H545,1))),IF(R545&gt;0,AY545/R545,0))/MAX(0.1,N(Parameter!$M$21)))</f>
        <v>0.00714285714285714</v>
      </c>
      <c r="BA545" s="50" t="n">
        <f aca="false">AZ545*BY545</f>
        <v>1.10714285714286</v>
      </c>
      <c r="BB545" s="50" t="n">
        <f aca="false">AX545*G545</f>
        <v>445.2</v>
      </c>
      <c r="BC545" s="50" t="n">
        <f aca="false">ROUNDUP(MAX(J545/IF(CD545&gt;0,CD545,MAX(0.1,N(Cockpit!$O$6))),CG545)/BV545,0)*BV545</f>
        <v>6</v>
      </c>
      <c r="BD545" s="51" t="n">
        <f aca="false">IF(BA545&gt;0,J545/BA545,-1)</f>
        <v>0.903225806451613</v>
      </c>
      <c r="BE545" s="51" t="n">
        <f aca="false">IF(AND(OR(CC545="L1",CC545="L23",CC545="LIFT"),BA545&gt;0),SUMIFS($BA$7:$BA$1843,$CC$7:$CC$1843,CC545,$BD$7:$BD$1843,"&gt;"&amp;BD545)+SUMIFS($BA$7:$BA$1843,$CC$7:$CC$1843,CC545,$BD$7:$BD$1843,BD545,$BT$7:$BT$1843,"&lt;="&amp;BT545),"")</f>
        <v>9987.15521978022</v>
      </c>
      <c r="BF545" s="58" t="n">
        <f aca="false">IF(BE545="",0,MAX(0,MIN(1,(IF(CC545="L1",Parameter!$H$5,IF(CC545="L23",Parameter!$H$6+Parameter!$H$7,Parameter!$H$5+Parameter!$H$6+Parameter!$H$7))-(BE545-BA545))/BA545)))</f>
        <v>1</v>
      </c>
      <c r="BG545" s="48" t="str">
        <f aca="false">IF(AI545&lt;=0,"",IF(CC545="Aussen","Aussenlager",IF(CC545="-","Nicht im Lift",IF(AN545&gt;=1,"Lift",IF(AN545&lt;=0,"Aussenlager","teilweise")))))</f>
        <v>Lift</v>
      </c>
      <c r="BH545" s="48" t="str">
        <f aca="false">IF(AR545&lt;=0,"",IF(CC545="Aussen","Aussenlager",IF(CC545="-","Nicht im Lift",IF(AW545&gt;=1,"Lift",IF(AW545&lt;=0,"Aussenlager","teilweise")))))</f>
        <v>Lift</v>
      </c>
      <c r="BI545" s="48" t="str">
        <f aca="false">IF(BA545&lt;=0,"",IF(CC545="Aussen","Aussenlager",IF(CC545="-","Nicht im Lift",IF(BF545&gt;=1,"Lift",IF(BF545&lt;=0,"Aussenlager","teilweise")))))</f>
        <v>Lift</v>
      </c>
      <c r="BJ545" s="48" t="str">
        <f aca="false">IF(A545="","",IF(BS545=1,"Neu; ","")&amp;IF(AND(BS545=0,BN545&lt;0),"negativer Bestand (Export "&amp;BN545&amp;"); ","")&amp;IF(J545&lt;=0,"Kein Verbrauch; ","")&amp;IF(CL545&gt;0,"Lift "&amp;W545&amp;" lt. Liftbericht (Fach "&amp;X545&amp;" Stk); ",IF(BX545=1,"Gebinde geschätzt ("&amp;T545&amp;"); ",IF(BW545=1,"Lose – Tablare geschätzt; ","")))&amp;IF(H545&gt;AT545,"Überbestand "&amp;ROUND(H545-AT545,0)&amp;" Stk / CHF "&amp;ROUND((H545-AT545)*G545,0)&amp;"; ","")&amp;IF(AND(CE545=1,CF545&lt;CG545),"MAX &lt; MB+LG; ","")&amp;IF(AND(CK545&gt;0,CJ545*10&gt;CK545),"zu hoch für Tablar; ","")&amp;IF(AND(BS545=0,OR(CE545=1,AA545&lt;&gt;"",U545&lt;&gt;"",V545&lt;&gt;"",AB545&lt;&gt;"")),"manuell übersteuert; ","")&amp;IF(AND(BW545=0,R545=0),"Gebinde unbekannt / Stellmass fehlt; ","")&amp;IF(AND(BW545=0,N(V545)&lt;=0,N(Q545)&lt;=0),"Menge pro Gebinde fehlt (Ist = 1 Gebinde); ","")&amp;BR545)</f>
        <v/>
      </c>
      <c r="BK545" s="48"/>
      <c r="BL545" s="48"/>
      <c r="BM545" s="55"/>
      <c r="BN545" s="50" t="n">
        <v>0</v>
      </c>
      <c r="BO545" s="50" t="n">
        <v>5</v>
      </c>
      <c r="BP545" s="49" t="n">
        <v>18.75</v>
      </c>
      <c r="BQ545" s="50" t="n">
        <v>1</v>
      </c>
      <c r="BR545" s="48"/>
      <c r="BS545" s="53" t="n">
        <v>0</v>
      </c>
      <c r="BT545" s="53" t="n">
        <v>545</v>
      </c>
      <c r="BU545" s="48" t="str">
        <f aca="false">IF(U545&lt;&gt;"",UPPER(TRIM(U545)),IF(BX545=1,UPPER(VLOOKUP(T545,Parameter!$I$27:$K$29,2,0)),IF(P545="","LOSE",P545)))</f>
        <v>S22</v>
      </c>
      <c r="BV545" s="50" t="n">
        <f aca="false">IF(BU545="LOSE",1,IF(N(V545)&gt;0,V545,IF(BX545=1,MAX(1,N(VLOOKUP(T545,Parameter!$I$27:$K$29,3,0)),H545,N(N545)),IF(N(Q545)&gt;0,Q545,MAX(1,H545)))))</f>
        <v>6</v>
      </c>
      <c r="BW545" s="53" t="n">
        <f aca="false">IF(BU545="LOSE",1,0)</f>
        <v>0</v>
      </c>
      <c r="BX545" s="53" t="n">
        <f aca="false">IF(AND(U545="",OR(P545="",P545="LOSE"),T545&lt;&gt;"",N(S545)&lt;=0,ISNUMBER(MATCH(T545,Parameter!$I$27:$I$29,0))),1,0)</f>
        <v>0</v>
      </c>
      <c r="BY545" s="53" t="n">
        <f aca="false">IF(CL545&gt;0,INDEX(Parameter!$H$5:$H$7,W545)/INDEX(Parameter!$E$5:$E$7,W545),IF(AND(BW545=0,N(IFERROR(VLOOKUP(BU545,'Gebinde-Kategorie'!$A$5:$N$45,14,0),0))&gt;0),VLOOKUP(BU545,'Gebinde-Kategorie'!$A$5:$N$45,14,0)*10+Parameter!$M$23,Parameter!$M$24))</f>
        <v>155</v>
      </c>
      <c r="BZ545" s="48" t="str">
        <f aca="false">IF(AND(Parameter!$B$19="Ja",E545&lt;&gt;"",ISNUMBER(MATCH(E545,Parameter!$I$35:$I$52,0))),VLOOKUP(E545,Parameter!$I$35:$J$52,2,0),IFERROR(VLOOKUP(D545,Parameter!$A$35:$C$64,2,0),"Nein"))</f>
        <v>2+3</v>
      </c>
      <c r="CA545" s="52" t="n">
        <f aca="false">IF(BW545=0,0,IF(N(S545)&gt;0,S545,IFERROR(VLOOKUP(D545,Parameter!$A$35:$C$64,3,0)+0,0)))</f>
        <v>0</v>
      </c>
      <c r="CB545" s="48" t="n">
        <f aca="false">IF(AA545&lt;&gt;"",AA545,Z545)</f>
        <v>3</v>
      </c>
      <c r="CC545" s="48" t="str">
        <f aca="false">IF(OR(CB545=1,CB545=2,CB545=3),IF(Parameter!$E$27="Ja","LIFT",IF(CB545=1,"L1","L23")),IF(CB545="Aussen","Aussen","-"))</f>
        <v>LIFT</v>
      </c>
      <c r="CD545" s="59" t="n">
        <f aca="false">IF(N(AB545)&gt;0,AB545,0)</f>
        <v>0</v>
      </c>
      <c r="CE545" s="53" t="n">
        <f aca="false">IF(ISNUMBER(AE545),1,0)</f>
        <v>0</v>
      </c>
      <c r="CF545" s="50" t="n">
        <f aca="false">N(AE545)</f>
        <v>0</v>
      </c>
      <c r="CG545" s="50" t="n">
        <f aca="false">N(M545)+N(N545)</f>
        <v>1</v>
      </c>
      <c r="CH545" s="50" t="n">
        <f aca="false">ROUNDUP(H545/BV545,0)</f>
        <v>1</v>
      </c>
      <c r="CI545" s="50" t="n">
        <f aca="false">ROUNDUP(CF545/BV545,0)</f>
        <v>0</v>
      </c>
      <c r="CJ545" s="53" t="n">
        <f aca="false">IF(BW545=1,0,IFERROR(VLOOKUP(BU545,'Gebinde-Kategorie'!$A$5:$N$45,5,0)+0,0))</f>
        <v>8</v>
      </c>
      <c r="CK545" s="53" t="n">
        <f aca="false">IFERROR(IF(OR(CB545=1,CB545=2,CB545=3),N(INDEX(Parameter!$I$5:$I$7,CB545)),0),0)</f>
        <v>0</v>
      </c>
      <c r="CL545" s="52" t="n">
        <f aca="false">IF(AND(Parameter!$B$21="Ja",ISNUMBER(W545),N(X545)&gt;0),IFERROR(N(INDEX(Parameter!$L$5:$L$7,W545))*INDEX(Parameter!$E$5:$E$7,W545)*X545/SUMIFS($X$7:$X$1843,$W$7:$W$1843,W545),0),0)</f>
        <v>0</v>
      </c>
    </row>
    <row r="546" customFormat="false" ht="15" hidden="false" customHeight="false" outlineLevel="0" collapsed="false">
      <c r="A546" s="48" t="s">
        <v>1173</v>
      </c>
      <c r="B546" s="48" t="s">
        <v>1174</v>
      </c>
      <c r="C546" s="48" t="s">
        <v>168</v>
      </c>
      <c r="D546" s="48" t="s">
        <v>188</v>
      </c>
      <c r="E546" s="48" t="s">
        <v>189</v>
      </c>
      <c r="F546" s="48" t="s">
        <v>222</v>
      </c>
      <c r="G546" s="49" t="n">
        <v>3.84</v>
      </c>
      <c r="H546" s="50" t="n">
        <f aca="false">MAX(0,IF(AND(Parameter!$B$21="Ja",ISNUMBER(Y546)),Y546,IF(Parameter!$B$20="Jahresanfang 2025 + Export",BO546+BN546,BN546)))</f>
        <v>109</v>
      </c>
      <c r="I546" s="50" t="n">
        <f aca="false">H546*G546</f>
        <v>418.56</v>
      </c>
      <c r="J546" s="50" t="n">
        <f aca="false">BQ546*Parameter!$B$18</f>
        <v>72</v>
      </c>
      <c r="K546" s="51" t="n">
        <v>73.5</v>
      </c>
      <c r="L546" s="52" t="n">
        <v>0.979591836734694</v>
      </c>
      <c r="M546" s="50" t="n">
        <v>7</v>
      </c>
      <c r="N546" s="50" t="n">
        <v>100</v>
      </c>
      <c r="O546" s="53" t="n">
        <v>35</v>
      </c>
      <c r="P546" s="48" t="s">
        <v>332</v>
      </c>
      <c r="Q546" s="50" t="n">
        <v>39</v>
      </c>
      <c r="R546" s="53" t="n">
        <f aca="false">IF(BW546=1,0,IFERROR(VLOOKUP(BU546,'Gebinde-Kategorie'!$A$5:$N$45,13,0)+0,0))</f>
        <v>52</v>
      </c>
      <c r="S546" s="54"/>
      <c r="T546" s="55"/>
      <c r="U546" s="55"/>
      <c r="V546" s="55"/>
      <c r="W546" s="48"/>
      <c r="X546" s="50"/>
      <c r="Y546" s="50"/>
      <c r="Z546" s="48" t="n">
        <f aca="false">IF(A546="","",IF(AND(Parameter!$B$21="Ja",ISNUMBER(W546)),W546,IF(BZ546="2+3",IF(ISNUMBER(SEARCH("grosser Artikel",BR546)),2,IFERROR(VLOOKUP(BU546,Parameter!$F$35:$G$64,2,0),2)),IF(OR(BZ546="Nein",BZ546=""),"-",BZ546))))</f>
        <v>3</v>
      </c>
      <c r="AA546" s="55"/>
      <c r="AB546" s="56"/>
      <c r="AC546" s="50" t="n">
        <f aca="false">AT546</f>
        <v>117</v>
      </c>
      <c r="AD546" s="50" t="n">
        <f aca="false">MAX(AT546,H546)</f>
        <v>117</v>
      </c>
      <c r="AE546" s="57"/>
      <c r="AF546" s="50" t="n">
        <f aca="false">IF(LEFT(Cockpit!$C$5,1)="A",H546,IF(CE546=1,CF546,IF(LEFT(Cockpit!$C$5,1)="B",AK546,MAX(AK546,H546))))</f>
        <v>109</v>
      </c>
      <c r="AG546" s="50" t="n">
        <f aca="false">IF(BW546=1,0,ROUNDUP(AF546/BV546,0))</f>
        <v>3</v>
      </c>
      <c r="AH546" s="52" t="n">
        <f aca="false">IF(CL546&gt;0,CL546*MAX(1,AF546/X546),IF(BW546=1,IF(AF546&lt;=0,0,CA546*MAX(1,IF(H546&gt;0,AF546/H546,1))),IF(R546&gt;0,AG546/R546,0))/MAX(0.1,N(Parameter!$M$21)))</f>
        <v>0.0576923076923077</v>
      </c>
      <c r="AI546" s="50" t="n">
        <f aca="false">AH546*BY546</f>
        <v>8.94230769230769</v>
      </c>
      <c r="AJ546" s="50" t="n">
        <f aca="false">AF546*G546</f>
        <v>418.56</v>
      </c>
      <c r="AK546" s="50" t="n">
        <f aca="false">ROUNDUP(MAX(J546/IF(CD546&gt;0,CD546,MAX(0.1,N(Cockpit!$C$6))),CG546)/BV546,0)*BV546</f>
        <v>117</v>
      </c>
      <c r="AL546" s="51" t="n">
        <f aca="false">IF(AI546&gt;0,J546/AI546,-1)</f>
        <v>8.05161290322581</v>
      </c>
      <c r="AM546" s="51" t="n">
        <f aca="false">IF(AND(OR(CC546="L1",CC546="L23",CC546="LIFT"),AI546&gt;0),SUMIFS($AI$7:$AI$1843,$CC$7:$CC$1843,CC546,$AL$7:$AL$1843,"&gt;"&amp;AL546)+SUMIFS($AI$7:$AI$1843,$CC$7:$CC$1843,CC546,$AL$7:$AL$1843,AL546,$BT$7:$BT$1843,"&lt;="&amp;BT546),"")</f>
        <v>3046.6217948718</v>
      </c>
      <c r="AN546" s="58" t="n">
        <f aca="false">IF(AM546="",0,MAX(0,MIN(1,(IF(CC546="L1",Parameter!$H$5,IF(CC546="L23",Parameter!$H$6+Parameter!$H$7,Parameter!$H$5+Parameter!$H$6+Parameter!$H$7))-(AM546-AI546))/AI546)))</f>
        <v>1</v>
      </c>
      <c r="AO546" s="50" t="n">
        <f aca="false">IF(LEFT(Cockpit!$I$5,1)="A",H546,IF(CE546=1,CF546,IF(LEFT(Cockpit!$I$5,1)="B",AT546,MAX(AT546,H546))))</f>
        <v>117</v>
      </c>
      <c r="AP546" s="50" t="n">
        <f aca="false">IF(BW546=1,0,ROUNDUP(AO546/BV546,0))</f>
        <v>3</v>
      </c>
      <c r="AQ546" s="52" t="n">
        <f aca="false">IF(CL546&gt;0,CL546*MAX(1,AO546/X546),IF(BW546=1,IF(AO546&lt;=0,0,CA546*MAX(1,IF(H546&gt;0,AO546/H546,1))),IF(R546&gt;0,AP546/R546,0))/MAX(0.1,N(Parameter!$M$21)))</f>
        <v>0.0576923076923077</v>
      </c>
      <c r="AR546" s="50" t="n">
        <f aca="false">AQ546*BY546</f>
        <v>8.94230769230769</v>
      </c>
      <c r="AS546" s="50" t="n">
        <f aca="false">AO546*G546</f>
        <v>449.28</v>
      </c>
      <c r="AT546" s="50" t="n">
        <f aca="false">ROUNDUP(MAX(J546/IF(CD546&gt;0,CD546,MAX(0.1,N(Cockpit!$I$6))),CG546)/BV546,0)*BV546</f>
        <v>117</v>
      </c>
      <c r="AU546" s="51" t="n">
        <f aca="false">IF(AR546&gt;0,J546/AR546,-1)</f>
        <v>8.05161290322581</v>
      </c>
      <c r="AV546" s="51" t="n">
        <f aca="false">IF(AND(OR(CC546="L1",CC546="L23",CC546="LIFT"),AR546&gt;0),SUMIFS($AR$7:$AR$1843,$CC$7:$CC$1843,CC546,$AU$7:$AU$1843,"&gt;"&amp;AU546)+SUMIFS($AR$7:$AR$1843,$CC$7:$CC$1843,CC546,$AU$7:$AU$1843,AU546,$BT$7:$BT$1843,"&lt;="&amp;BT546),"")</f>
        <v>4261.34111721612</v>
      </c>
      <c r="AW546" s="58" t="n">
        <f aca="false">IF(AV546="",0,MAX(0,MIN(1,(IF(CC546="L1",Parameter!$H$5,IF(CC546="L23",Parameter!$H$6+Parameter!$H$7,Parameter!$H$5+Parameter!$H$6+Parameter!$H$7))-(AV546-AR546))/AR546)))</f>
        <v>1</v>
      </c>
      <c r="AX546" s="50" t="n">
        <f aca="false">IF(LEFT(Cockpit!$O$5,1)="A",H546,IF(CE546=1,CF546,IF(LEFT(Cockpit!$O$5,1)="B",BC546,MAX(BC546,H546))))</f>
        <v>117</v>
      </c>
      <c r="AY546" s="50" t="n">
        <f aca="false">IF(BW546=1,0,ROUNDUP(AX546/BV546,0))</f>
        <v>3</v>
      </c>
      <c r="AZ546" s="52" t="n">
        <f aca="false">IF(CL546&gt;0,CL546*MAX(1,AX546/X546),IF(BW546=1,IF(AX546&lt;=0,0,CA546*MAX(1,IF(H546&gt;0,AX546/H546,1))),IF(R546&gt;0,AY546/R546,0))/MAX(0.1,N(Parameter!$M$21)))</f>
        <v>0.0576923076923077</v>
      </c>
      <c r="BA546" s="50" t="n">
        <f aca="false">AZ546*BY546</f>
        <v>8.94230769230769</v>
      </c>
      <c r="BB546" s="50" t="n">
        <f aca="false">AX546*G546</f>
        <v>449.28</v>
      </c>
      <c r="BC546" s="50" t="n">
        <f aca="false">ROUNDUP(MAX(J546/IF(CD546&gt;0,CD546,MAX(0.1,N(Cockpit!$O$6))),CG546)/BV546,0)*BV546</f>
        <v>117</v>
      </c>
      <c r="BD546" s="51" t="n">
        <f aca="false">IF(BA546&gt;0,J546/BA546,-1)</f>
        <v>8.05161290322581</v>
      </c>
      <c r="BE546" s="51" t="n">
        <f aca="false">IF(AND(OR(CC546="L1",CC546="L23",CC546="LIFT"),BA546&gt;0),SUMIFS($BA$7:$BA$1843,$CC$7:$CC$1843,CC546,$BD$7:$BD$1843,"&gt;"&amp;BD546)+SUMIFS($BA$7:$BA$1843,$CC$7:$CC$1843,CC546,$BD$7:$BD$1843,BD546,$BT$7:$BT$1843,"&lt;="&amp;BT546),"")</f>
        <v>3928.88919413919</v>
      </c>
      <c r="BF546" s="58" t="n">
        <f aca="false">IF(BE546="",0,MAX(0,MIN(1,(IF(CC546="L1",Parameter!$H$5,IF(CC546="L23",Parameter!$H$6+Parameter!$H$7,Parameter!$H$5+Parameter!$H$6+Parameter!$H$7))-(BE546-BA546))/BA546)))</f>
        <v>1</v>
      </c>
      <c r="BG546" s="48" t="str">
        <f aca="false">IF(AI546&lt;=0,"",IF(CC546="Aussen","Aussenlager",IF(CC546="-","Nicht im Lift",IF(AN546&gt;=1,"Lift",IF(AN546&lt;=0,"Aussenlager","teilweise")))))</f>
        <v>Lift</v>
      </c>
      <c r="BH546" s="48" t="str">
        <f aca="false">IF(AR546&lt;=0,"",IF(CC546="Aussen","Aussenlager",IF(CC546="-","Nicht im Lift",IF(AW546&gt;=1,"Lift",IF(AW546&lt;=0,"Aussenlager","teilweise")))))</f>
        <v>Lift</v>
      </c>
      <c r="BI546" s="48" t="str">
        <f aca="false">IF(BA546&lt;=0,"",IF(CC546="Aussen","Aussenlager",IF(CC546="-","Nicht im Lift",IF(BF546&gt;=1,"Lift",IF(BF546&lt;=0,"Aussenlager","teilweise")))))</f>
        <v>Lift</v>
      </c>
      <c r="BJ546" s="48" t="str">
        <f aca="false">IF(A546="","",IF(BS546=1,"Neu; ","")&amp;IF(AND(BS546=0,BN546&lt;0),"negativer Bestand (Export "&amp;BN546&amp;"); ","")&amp;IF(J546&lt;=0,"Kein Verbrauch; ","")&amp;IF(CL546&gt;0,"Lift "&amp;W546&amp;" lt. Liftbericht (Fach "&amp;X546&amp;" Stk); ",IF(BX546=1,"Gebinde geschätzt ("&amp;T546&amp;"); ",IF(BW546=1,"Lose – Tablare geschätzt; ","")))&amp;IF(H546&gt;AT546,"Überbestand "&amp;ROUND(H546-AT546,0)&amp;" Stk / CHF "&amp;ROUND((H546-AT546)*G546,0)&amp;"; ","")&amp;IF(AND(CE546=1,CF546&lt;CG546),"MAX &lt; MB+LG; ","")&amp;IF(AND(CK546&gt;0,CJ546*10&gt;CK546),"zu hoch für Tablar; ","")&amp;IF(AND(BS546=0,OR(CE546=1,AA546&lt;&gt;"",U546&lt;&gt;"",V546&lt;&gt;"",AB546&lt;&gt;"")),"manuell übersteuert; ","")&amp;IF(AND(BW546=0,R546=0),"Gebinde unbekannt / Stellmass fehlt; ","")&amp;IF(AND(BW546=0,N(V546)&lt;=0,N(Q546)&lt;=0),"Menge pro Gebinde fehlt (Ist = 1 Gebinde); ","")&amp;BR546)</f>
        <v/>
      </c>
      <c r="BK546" s="48"/>
      <c r="BL546" s="48"/>
      <c r="BM546" s="55"/>
      <c r="BN546" s="50" t="n">
        <v>4</v>
      </c>
      <c r="BO546" s="50" t="n">
        <v>105</v>
      </c>
      <c r="BP546" s="49" t="n">
        <v>18.5100000000001</v>
      </c>
      <c r="BQ546" s="50" t="n">
        <v>72</v>
      </c>
      <c r="BR546" s="48"/>
      <c r="BS546" s="53" t="n">
        <v>0</v>
      </c>
      <c r="BT546" s="53" t="n">
        <v>546</v>
      </c>
      <c r="BU546" s="48" t="str">
        <f aca="false">IF(U546&lt;&gt;"",UPPER(TRIM(U546)),IF(BX546=1,UPPER(VLOOKUP(T546,Parameter!$I$27:$K$29,2,0)),IF(P546="","LOSE",P546)))</f>
        <v>S41</v>
      </c>
      <c r="BV546" s="50" t="n">
        <f aca="false">IF(BU546="LOSE",1,IF(N(V546)&gt;0,V546,IF(BX546=1,MAX(1,N(VLOOKUP(T546,Parameter!$I$27:$K$29,3,0)),H546,N(N546)),IF(N(Q546)&gt;0,Q546,MAX(1,H546)))))</f>
        <v>39</v>
      </c>
      <c r="BW546" s="53" t="n">
        <f aca="false">IF(BU546="LOSE",1,0)</f>
        <v>0</v>
      </c>
      <c r="BX546" s="53" t="n">
        <f aca="false">IF(AND(U546="",OR(P546="",P546="LOSE"),T546&lt;&gt;"",N(S546)&lt;=0,ISNUMBER(MATCH(T546,Parameter!$I$27:$I$29,0))),1,0)</f>
        <v>0</v>
      </c>
      <c r="BY546" s="53" t="n">
        <f aca="false">IF(CL546&gt;0,INDEX(Parameter!$H$5:$H$7,W546)/INDEX(Parameter!$E$5:$E$7,W546),IF(AND(BW546=0,N(IFERROR(VLOOKUP(BU546,'Gebinde-Kategorie'!$A$5:$N$45,14,0),0))&gt;0),VLOOKUP(BU546,'Gebinde-Kategorie'!$A$5:$N$45,14,0)*10+Parameter!$M$23,Parameter!$M$24))</f>
        <v>155</v>
      </c>
      <c r="BZ546" s="48" t="str">
        <f aca="false">IF(AND(Parameter!$B$19="Ja",E546&lt;&gt;"",ISNUMBER(MATCH(E546,Parameter!$I$35:$I$52,0))),VLOOKUP(E546,Parameter!$I$35:$J$52,2,0),IFERROR(VLOOKUP(D546,Parameter!$A$35:$C$64,2,0),"Nein"))</f>
        <v>2+3</v>
      </c>
      <c r="CA546" s="52" t="n">
        <f aca="false">IF(BW546=0,0,IF(N(S546)&gt;0,S546,IFERROR(VLOOKUP(D546,Parameter!$A$35:$C$64,3,0)+0,0)))</f>
        <v>0</v>
      </c>
      <c r="CB546" s="48" t="n">
        <f aca="false">IF(AA546&lt;&gt;"",AA546,Z546)</f>
        <v>3</v>
      </c>
      <c r="CC546" s="48" t="str">
        <f aca="false">IF(OR(CB546=1,CB546=2,CB546=3),IF(Parameter!$E$27="Ja","LIFT",IF(CB546=1,"L1","L23")),IF(CB546="Aussen","Aussen","-"))</f>
        <v>LIFT</v>
      </c>
      <c r="CD546" s="59" t="n">
        <f aca="false">IF(N(AB546)&gt;0,AB546,0)</f>
        <v>0</v>
      </c>
      <c r="CE546" s="53" t="n">
        <f aca="false">IF(ISNUMBER(AE546),1,0)</f>
        <v>0</v>
      </c>
      <c r="CF546" s="50" t="n">
        <f aca="false">N(AE546)</f>
        <v>0</v>
      </c>
      <c r="CG546" s="50" t="n">
        <f aca="false">N(M546)+N(N546)</f>
        <v>107</v>
      </c>
      <c r="CH546" s="50" t="n">
        <f aca="false">ROUNDUP(H546/BV546,0)</f>
        <v>3</v>
      </c>
      <c r="CI546" s="50" t="n">
        <f aca="false">ROUNDUP(CF546/BV546,0)</f>
        <v>0</v>
      </c>
      <c r="CJ546" s="53" t="n">
        <f aca="false">IF(BW546=1,0,IFERROR(VLOOKUP(BU546,'Gebinde-Kategorie'!$A$5:$N$45,5,0)+0,0))</f>
        <v>11</v>
      </c>
      <c r="CK546" s="53" t="n">
        <f aca="false">IFERROR(IF(OR(CB546=1,CB546=2,CB546=3),N(INDEX(Parameter!$I$5:$I$7,CB546)),0),0)</f>
        <v>0</v>
      </c>
      <c r="CL546" s="52" t="n">
        <f aca="false">IF(AND(Parameter!$B$21="Ja",ISNUMBER(W546),N(X546)&gt;0),IFERROR(N(INDEX(Parameter!$L$5:$L$7,W546))*INDEX(Parameter!$E$5:$E$7,W546)*X546/SUMIFS($X$7:$X$1843,$W$7:$W$1843,W546),0),0)</f>
        <v>0</v>
      </c>
    </row>
    <row r="547" customFormat="false" ht="15" hidden="false" customHeight="false" outlineLevel="0" collapsed="false">
      <c r="A547" s="48" t="s">
        <v>1175</v>
      </c>
      <c r="B547" s="48" t="s">
        <v>1176</v>
      </c>
      <c r="C547" s="48" t="s">
        <v>168</v>
      </c>
      <c r="D547" s="48" t="s">
        <v>188</v>
      </c>
      <c r="E547" s="48" t="s">
        <v>189</v>
      </c>
      <c r="F547" s="48" t="s">
        <v>222</v>
      </c>
      <c r="G547" s="49" t="n">
        <v>14.86</v>
      </c>
      <c r="H547" s="50" t="n">
        <f aca="false">MAX(0,IF(AND(Parameter!$B$21="Ja",ISNUMBER(Y547)),Y547,IF(Parameter!$B$20="Jahresanfang 2025 + Export",BO547+BN547,BN547)))</f>
        <v>12</v>
      </c>
      <c r="I547" s="50" t="n">
        <f aca="false">H547*G547</f>
        <v>178.32</v>
      </c>
      <c r="J547" s="50" t="n">
        <f aca="false">BQ547*Parameter!$B$18</f>
        <v>7</v>
      </c>
      <c r="K547" s="51" t="n">
        <v>8</v>
      </c>
      <c r="L547" s="52" t="n">
        <v>0.875</v>
      </c>
      <c r="M547" s="50" t="n">
        <v>0</v>
      </c>
      <c r="N547" s="50" t="n">
        <v>5</v>
      </c>
      <c r="O547" s="53" t="n">
        <v>21</v>
      </c>
      <c r="P547" s="48" t="s">
        <v>425</v>
      </c>
      <c r="Q547" s="50" t="n">
        <v>11</v>
      </c>
      <c r="R547" s="53" t="n">
        <f aca="false">IF(BW547=1,0,IFERROR(VLOOKUP(BU547,'Gebinde-Kategorie'!$A$5:$N$45,13,0)+0,0))</f>
        <v>104</v>
      </c>
      <c r="S547" s="54"/>
      <c r="T547" s="55"/>
      <c r="U547" s="55"/>
      <c r="V547" s="55"/>
      <c r="W547" s="48"/>
      <c r="X547" s="50"/>
      <c r="Y547" s="50"/>
      <c r="Z547" s="48" t="n">
        <f aca="false">IF(A547="","",IF(AND(Parameter!$B$21="Ja",ISNUMBER(W547)),W547,IF(BZ547="2+3",IF(ISNUMBER(SEARCH("grosser Artikel",BR547)),2,IFERROR(VLOOKUP(BU547,Parameter!$F$35:$G$64,2,0),2)),IF(OR(BZ547="Nein",BZ547=""),"-",BZ547))))</f>
        <v>3</v>
      </c>
      <c r="AA547" s="55"/>
      <c r="AB547" s="56"/>
      <c r="AC547" s="50" t="n">
        <f aca="false">AT547</f>
        <v>11</v>
      </c>
      <c r="AD547" s="50" t="n">
        <f aca="false">MAX(AT547,H547)</f>
        <v>12</v>
      </c>
      <c r="AE547" s="57"/>
      <c r="AF547" s="50" t="n">
        <f aca="false">IF(LEFT(Cockpit!$C$5,1)="A",H547,IF(CE547=1,CF547,IF(LEFT(Cockpit!$C$5,1)="B",AK547,MAX(AK547,H547))))</f>
        <v>12</v>
      </c>
      <c r="AG547" s="50" t="n">
        <f aca="false">IF(BW547=1,0,ROUNDUP(AF547/BV547,0))</f>
        <v>2</v>
      </c>
      <c r="AH547" s="52" t="n">
        <f aca="false">IF(CL547&gt;0,CL547*MAX(1,AF547/X547),IF(BW547=1,IF(AF547&lt;=0,0,CA547*MAX(1,IF(H547&gt;0,AF547/H547,1))),IF(R547&gt;0,AG547/R547,0))/MAX(0.1,N(Parameter!$M$21)))</f>
        <v>0.0192307692307692</v>
      </c>
      <c r="AI547" s="50" t="n">
        <f aca="false">AH547*BY547</f>
        <v>2.98076923076923</v>
      </c>
      <c r="AJ547" s="50" t="n">
        <f aca="false">AF547*G547</f>
        <v>178.32</v>
      </c>
      <c r="AK547" s="50" t="n">
        <f aca="false">ROUNDUP(MAX(J547/IF(CD547&gt;0,CD547,MAX(0.1,N(Cockpit!$C$6))),CG547)/BV547,0)*BV547</f>
        <v>11</v>
      </c>
      <c r="AL547" s="51" t="n">
        <f aca="false">IF(AI547&gt;0,J547/AI547,-1)</f>
        <v>2.34838709677419</v>
      </c>
      <c r="AM547" s="51" t="n">
        <f aca="false">IF(AND(OR(CC547="L1",CC547="L23",CC547="LIFT"),AI547&gt;0),SUMIFS($AI$7:$AI$1843,$CC$7:$CC$1843,CC547,$AL$7:$AL$1843,"&gt;"&amp;AL547)+SUMIFS($AI$7:$AI$1843,$CC$7:$CC$1843,CC547,$AL$7:$AL$1843,AL547,$BT$7:$BT$1843,"&lt;="&amp;BT547),"")</f>
        <v>5628.23763736264</v>
      </c>
      <c r="AN547" s="58" t="n">
        <f aca="false">IF(AM547="",0,MAX(0,MIN(1,(IF(CC547="L1",Parameter!$H$5,IF(CC547="L23",Parameter!$H$6+Parameter!$H$7,Parameter!$H$5+Parameter!$H$6+Parameter!$H$7))-(AM547-AI547))/AI547)))</f>
        <v>1</v>
      </c>
      <c r="AO547" s="50" t="n">
        <f aca="false">IF(LEFT(Cockpit!$I$5,1)="A",H547,IF(CE547=1,CF547,IF(LEFT(Cockpit!$I$5,1)="B",AT547,MAX(AT547,H547))))</f>
        <v>12</v>
      </c>
      <c r="AP547" s="50" t="n">
        <f aca="false">IF(BW547=1,0,ROUNDUP(AO547/BV547,0))</f>
        <v>2</v>
      </c>
      <c r="AQ547" s="52" t="n">
        <f aca="false">IF(CL547&gt;0,CL547*MAX(1,AO547/X547),IF(BW547=1,IF(AO547&lt;=0,0,CA547*MAX(1,IF(H547&gt;0,AO547/H547,1))),IF(R547&gt;0,AP547/R547,0))/MAX(0.1,N(Parameter!$M$21)))</f>
        <v>0.0192307692307692</v>
      </c>
      <c r="AR547" s="50" t="n">
        <f aca="false">AQ547*BY547</f>
        <v>2.98076923076923</v>
      </c>
      <c r="AS547" s="50" t="n">
        <f aca="false">AO547*G547</f>
        <v>178.32</v>
      </c>
      <c r="AT547" s="50" t="n">
        <f aca="false">ROUNDUP(MAX(J547/IF(CD547&gt;0,CD547,MAX(0.1,N(Cockpit!$I$6))),CG547)/BV547,0)*BV547</f>
        <v>11</v>
      </c>
      <c r="AU547" s="51" t="n">
        <f aca="false">IF(AR547&gt;0,J547/AR547,-1)</f>
        <v>2.34838709677419</v>
      </c>
      <c r="AV547" s="51" t="n">
        <f aca="false">IF(AND(OR(CC547="L1",CC547="L23",CC547="LIFT"),AR547&gt;0),SUMIFS($AR$7:$AR$1843,$CC$7:$CC$1843,CC547,$AU$7:$AU$1843,"&gt;"&amp;AU547)+SUMIFS($AR$7:$AR$1843,$CC$7:$CC$1843,CC547,$AU$7:$AU$1843,AU547,$BT$7:$BT$1843,"&lt;="&amp;BT547),"")</f>
        <v>6953.50686813187</v>
      </c>
      <c r="AW547" s="58" t="n">
        <f aca="false">IF(AV547="",0,MAX(0,MIN(1,(IF(CC547="L1",Parameter!$H$5,IF(CC547="L23",Parameter!$H$6+Parameter!$H$7,Parameter!$H$5+Parameter!$H$6+Parameter!$H$7))-(AV547-AR547))/AR547)))</f>
        <v>1</v>
      </c>
      <c r="AX547" s="50" t="n">
        <f aca="false">IF(LEFT(Cockpit!$O$5,1)="A",H547,IF(CE547=1,CF547,IF(LEFT(Cockpit!$O$5,1)="B",BC547,MAX(BC547,H547))))</f>
        <v>12</v>
      </c>
      <c r="AY547" s="50" t="n">
        <f aca="false">IF(BW547=1,0,ROUNDUP(AX547/BV547,0))</f>
        <v>2</v>
      </c>
      <c r="AZ547" s="52" t="n">
        <f aca="false">IF(CL547&gt;0,CL547*MAX(1,AX547/X547),IF(BW547=1,IF(AX547&lt;=0,0,CA547*MAX(1,IF(H547&gt;0,AX547/H547,1))),IF(R547&gt;0,AY547/R547,0))/MAX(0.1,N(Parameter!$M$21)))</f>
        <v>0.0192307692307692</v>
      </c>
      <c r="BA547" s="50" t="n">
        <f aca="false">AZ547*BY547</f>
        <v>2.98076923076923</v>
      </c>
      <c r="BB547" s="50" t="n">
        <f aca="false">AX547*G547</f>
        <v>178.32</v>
      </c>
      <c r="BC547" s="50" t="n">
        <f aca="false">ROUNDUP(MAX(J547/IF(CD547&gt;0,CD547,MAX(0.1,N(Cockpit!$O$6))),CG547)/BV547,0)*BV547</f>
        <v>11</v>
      </c>
      <c r="BD547" s="51" t="n">
        <f aca="false">IF(BA547&gt;0,J547/BA547,-1)</f>
        <v>2.34838709677419</v>
      </c>
      <c r="BE547" s="51" t="n">
        <f aca="false">IF(AND(OR(CC547="L1",CC547="L23",CC547="LIFT"),BA547&gt;0),SUMIFS($BA$7:$BA$1843,$CC$7:$CC$1843,CC547,$BD$7:$BD$1843,"&gt;"&amp;BD547)+SUMIFS($BA$7:$BA$1843,$CC$7:$CC$1843,CC547,$BD$7:$BD$1843,BD547,$BT$7:$BT$1843,"&lt;="&amp;BT547),"")</f>
        <v>6722.08058608059</v>
      </c>
      <c r="BF547" s="58" t="n">
        <f aca="false">IF(BE547="",0,MAX(0,MIN(1,(IF(CC547="L1",Parameter!$H$5,IF(CC547="L23",Parameter!$H$6+Parameter!$H$7,Parameter!$H$5+Parameter!$H$6+Parameter!$H$7))-(BE547-BA547))/BA547)))</f>
        <v>1</v>
      </c>
      <c r="BG547" s="48" t="str">
        <f aca="false">IF(AI547&lt;=0,"",IF(CC547="Aussen","Aussenlager",IF(CC547="-","Nicht im Lift",IF(AN547&gt;=1,"Lift",IF(AN547&lt;=0,"Aussenlager","teilweise")))))</f>
        <v>Lift</v>
      </c>
      <c r="BH547" s="48" t="str">
        <f aca="false">IF(AR547&lt;=0,"",IF(CC547="Aussen","Aussenlager",IF(CC547="-","Nicht im Lift",IF(AW547&gt;=1,"Lift",IF(AW547&lt;=0,"Aussenlager","teilweise")))))</f>
        <v>Lift</v>
      </c>
      <c r="BI547" s="48" t="str">
        <f aca="false">IF(BA547&lt;=0,"",IF(CC547="Aussen","Aussenlager",IF(CC547="-","Nicht im Lift",IF(BF547&gt;=1,"Lift",IF(BF547&lt;=0,"Aussenlager","teilweise")))))</f>
        <v>Lift</v>
      </c>
      <c r="BJ547" s="48" t="str">
        <f aca="false">IF(A547="","",IF(BS547=1,"Neu; ","")&amp;IF(AND(BS547=0,BN547&lt;0),"negativer Bestand (Export "&amp;BN547&amp;"); ","")&amp;IF(J547&lt;=0,"Kein Verbrauch; ","")&amp;IF(CL547&gt;0,"Lift "&amp;W547&amp;" lt. Liftbericht (Fach "&amp;X547&amp;" Stk); ",IF(BX547=1,"Gebinde geschätzt ("&amp;T547&amp;"); ",IF(BW547=1,"Lose – Tablare geschätzt; ","")))&amp;IF(H547&gt;AT547,"Überbestand "&amp;ROUND(H547-AT547,0)&amp;" Stk / CHF "&amp;ROUND((H547-AT547)*G547,0)&amp;"; ","")&amp;IF(AND(CE547=1,CF547&lt;CG547),"MAX &lt; MB+LG; ","")&amp;IF(AND(CK547&gt;0,CJ547*10&gt;CK547),"zu hoch für Tablar; ","")&amp;IF(AND(BS547=0,OR(CE547=1,AA547&lt;&gt;"",U547&lt;&gt;"",V547&lt;&gt;"",AB547&lt;&gt;"")),"manuell übersteuert; ","")&amp;IF(AND(BW547=0,R547=0),"Gebinde unbekannt / Stellmass fehlt; ","")&amp;IF(AND(BW547=0,N(V547)&lt;=0,N(Q547)&lt;=0),"Menge pro Gebinde fehlt (Ist = 1 Gebinde); ","")&amp;BR547)</f>
        <v>Überbestand 1 Stk / CHF 15; </v>
      </c>
      <c r="BK547" s="48"/>
      <c r="BL547" s="48"/>
      <c r="BM547" s="55"/>
      <c r="BN547" s="50" t="n">
        <v>0</v>
      </c>
      <c r="BO547" s="50" t="n">
        <v>12</v>
      </c>
      <c r="BP547" s="49" t="n">
        <v>18.48</v>
      </c>
      <c r="BQ547" s="50" t="n">
        <v>7</v>
      </c>
      <c r="BR547" s="48"/>
      <c r="BS547" s="53" t="n">
        <v>0</v>
      </c>
      <c r="BT547" s="53" t="n">
        <v>547</v>
      </c>
      <c r="BU547" s="48" t="str">
        <f aca="false">IF(U547&lt;&gt;"",UPPER(TRIM(U547)),IF(BX547=1,UPPER(VLOOKUP(T547,Parameter!$I$27:$K$29,2,0)),IF(P547="","LOSE",P547)))</f>
        <v>S32</v>
      </c>
      <c r="BV547" s="50" t="n">
        <f aca="false">IF(BU547="LOSE",1,IF(N(V547)&gt;0,V547,IF(BX547=1,MAX(1,N(VLOOKUP(T547,Parameter!$I$27:$K$29,3,0)),H547,N(N547)),IF(N(Q547)&gt;0,Q547,MAX(1,H547)))))</f>
        <v>11</v>
      </c>
      <c r="BW547" s="53" t="n">
        <f aca="false">IF(BU547="LOSE",1,0)</f>
        <v>0</v>
      </c>
      <c r="BX547" s="53" t="n">
        <f aca="false">IF(AND(U547="",OR(P547="",P547="LOSE"),T547&lt;&gt;"",N(S547)&lt;=0,ISNUMBER(MATCH(T547,Parameter!$I$27:$I$29,0))),1,0)</f>
        <v>0</v>
      </c>
      <c r="BY547" s="53" t="n">
        <f aca="false">IF(CL547&gt;0,INDEX(Parameter!$H$5:$H$7,W547)/INDEX(Parameter!$E$5:$E$7,W547),IF(AND(BW547=0,N(IFERROR(VLOOKUP(BU547,'Gebinde-Kategorie'!$A$5:$N$45,14,0),0))&gt;0),VLOOKUP(BU547,'Gebinde-Kategorie'!$A$5:$N$45,14,0)*10+Parameter!$M$23,Parameter!$M$24))</f>
        <v>155</v>
      </c>
      <c r="BZ547" s="48" t="str">
        <f aca="false">IF(AND(Parameter!$B$19="Ja",E547&lt;&gt;"",ISNUMBER(MATCH(E547,Parameter!$I$35:$I$52,0))),VLOOKUP(E547,Parameter!$I$35:$J$52,2,0),IFERROR(VLOOKUP(D547,Parameter!$A$35:$C$64,2,0),"Nein"))</f>
        <v>2+3</v>
      </c>
      <c r="CA547" s="52" t="n">
        <f aca="false">IF(BW547=0,0,IF(N(S547)&gt;0,S547,IFERROR(VLOOKUP(D547,Parameter!$A$35:$C$64,3,0)+0,0)))</f>
        <v>0</v>
      </c>
      <c r="CB547" s="48" t="n">
        <f aca="false">IF(AA547&lt;&gt;"",AA547,Z547)</f>
        <v>3</v>
      </c>
      <c r="CC547" s="48" t="str">
        <f aca="false">IF(OR(CB547=1,CB547=2,CB547=3),IF(Parameter!$E$27="Ja","LIFT",IF(CB547=1,"L1","L23")),IF(CB547="Aussen","Aussen","-"))</f>
        <v>LIFT</v>
      </c>
      <c r="CD547" s="59" t="n">
        <f aca="false">IF(N(AB547)&gt;0,AB547,0)</f>
        <v>0</v>
      </c>
      <c r="CE547" s="53" t="n">
        <f aca="false">IF(ISNUMBER(AE547),1,0)</f>
        <v>0</v>
      </c>
      <c r="CF547" s="50" t="n">
        <f aca="false">N(AE547)</f>
        <v>0</v>
      </c>
      <c r="CG547" s="50" t="n">
        <f aca="false">N(M547)+N(N547)</f>
        <v>5</v>
      </c>
      <c r="CH547" s="50" t="n">
        <f aca="false">ROUNDUP(H547/BV547,0)</f>
        <v>2</v>
      </c>
      <c r="CI547" s="50" t="n">
        <f aca="false">ROUNDUP(CF547/BV547,0)</f>
        <v>0</v>
      </c>
      <c r="CJ547" s="53" t="n">
        <f aca="false">IF(BW547=1,0,IFERROR(VLOOKUP(BU547,'Gebinde-Kategorie'!$A$5:$N$45,5,0)+0,0))</f>
        <v>8</v>
      </c>
      <c r="CK547" s="53" t="n">
        <f aca="false">IFERROR(IF(OR(CB547=1,CB547=2,CB547=3),N(INDEX(Parameter!$I$5:$I$7,CB547)),0),0)</f>
        <v>0</v>
      </c>
      <c r="CL547" s="52" t="n">
        <f aca="false">IF(AND(Parameter!$B$21="Ja",ISNUMBER(W547),N(X547)&gt;0),IFERROR(N(INDEX(Parameter!$L$5:$L$7,W547))*INDEX(Parameter!$E$5:$E$7,W547)*X547/SUMIFS($X$7:$X$1843,$W$7:$W$1843,W547),0),0)</f>
        <v>0</v>
      </c>
    </row>
    <row r="548" customFormat="false" ht="15" hidden="false" customHeight="false" outlineLevel="0" collapsed="false">
      <c r="A548" s="48" t="s">
        <v>1177</v>
      </c>
      <c r="B548" s="48" t="s">
        <v>1099</v>
      </c>
      <c r="C548" s="48" t="s">
        <v>168</v>
      </c>
      <c r="D548" s="48" t="s">
        <v>188</v>
      </c>
      <c r="E548" s="48"/>
      <c r="F548" s="48" t="s">
        <v>222</v>
      </c>
      <c r="G548" s="49" t="n">
        <v>6.05</v>
      </c>
      <c r="H548" s="50" t="n">
        <f aca="false">MAX(0,IF(AND(Parameter!$B$21="Ja",ISNUMBER(Y548)),Y548,IF(Parameter!$B$20="Jahresanfang 2025 + Export",BO548+BN548,BN548)))</f>
        <v>3</v>
      </c>
      <c r="I548" s="50" t="n">
        <f aca="false">H548*G548</f>
        <v>18.15</v>
      </c>
      <c r="J548" s="50" t="n">
        <f aca="false">BQ548*Parameter!$B$18</f>
        <v>4</v>
      </c>
      <c r="K548" s="51" t="n">
        <v>2.5</v>
      </c>
      <c r="L548" s="52" t="n">
        <v>1.6</v>
      </c>
      <c r="M548" s="50" t="n">
        <v>0</v>
      </c>
      <c r="N548" s="50" t="n">
        <v>5</v>
      </c>
      <c r="O548" s="53" t="n">
        <v>14</v>
      </c>
      <c r="P548" s="48" t="s">
        <v>405</v>
      </c>
      <c r="Q548" s="50" t="n">
        <v>3</v>
      </c>
      <c r="R548" s="53" t="n">
        <f aca="false">IF(BW548=1,0,IFERROR(VLOOKUP(BU548,'Gebinde-Kategorie'!$A$5:$N$45,13,0)+0,0))</f>
        <v>280</v>
      </c>
      <c r="S548" s="54"/>
      <c r="T548" s="55"/>
      <c r="U548" s="55"/>
      <c r="V548" s="55"/>
      <c r="W548" s="48"/>
      <c r="X548" s="50"/>
      <c r="Y548" s="50"/>
      <c r="Z548" s="48" t="n">
        <f aca="false">IF(A548="","",IF(AND(Parameter!$B$21="Ja",ISNUMBER(W548)),W548,IF(BZ548="2+3",IF(ISNUMBER(SEARCH("grosser Artikel",BR548)),2,IFERROR(VLOOKUP(BU548,Parameter!$F$35:$G$64,2,0),2)),IF(OR(BZ548="Nein",BZ548=""),"-",BZ548))))</f>
        <v>3</v>
      </c>
      <c r="AA548" s="55"/>
      <c r="AB548" s="56"/>
      <c r="AC548" s="50" t="n">
        <f aca="false">AT548</f>
        <v>6</v>
      </c>
      <c r="AD548" s="50" t="n">
        <f aca="false">MAX(AT548,H548)</f>
        <v>6</v>
      </c>
      <c r="AE548" s="57"/>
      <c r="AF548" s="50" t="n">
        <f aca="false">IF(LEFT(Cockpit!$C$5,1)="A",H548,IF(CE548=1,CF548,IF(LEFT(Cockpit!$C$5,1)="B",AK548,MAX(AK548,H548))))</f>
        <v>3</v>
      </c>
      <c r="AG548" s="50" t="n">
        <f aca="false">IF(BW548=1,0,ROUNDUP(AF548/BV548,0))</f>
        <v>1</v>
      </c>
      <c r="AH548" s="52" t="n">
        <f aca="false">IF(CL548&gt;0,CL548*MAX(1,AF548/X548),IF(BW548=1,IF(AF548&lt;=0,0,CA548*MAX(1,IF(H548&gt;0,AF548/H548,1))),IF(R548&gt;0,AG548/R548,0))/MAX(0.1,N(Parameter!$M$21)))</f>
        <v>0.00357142857142857</v>
      </c>
      <c r="AI548" s="50" t="n">
        <f aca="false">AH548*BY548</f>
        <v>0.553571428571429</v>
      </c>
      <c r="AJ548" s="50" t="n">
        <f aca="false">AF548*G548</f>
        <v>18.15</v>
      </c>
      <c r="AK548" s="50" t="n">
        <f aca="false">ROUNDUP(MAX(J548/IF(CD548&gt;0,CD548,MAX(0.1,N(Cockpit!$C$6))),CG548)/BV548,0)*BV548</f>
        <v>6</v>
      </c>
      <c r="AL548" s="51" t="n">
        <f aca="false">IF(AI548&gt;0,J548/AI548,-1)</f>
        <v>7.2258064516129</v>
      </c>
      <c r="AM548" s="51" t="n">
        <f aca="false">IF(AND(OR(CC548="L1",CC548="L23",CC548="LIFT"),AI548&gt;0),SUMIFS($AI$7:$AI$1843,$CC$7:$CC$1843,CC548,$AL$7:$AL$1843,"&gt;"&amp;AL548)+SUMIFS($AI$7:$AI$1843,$CC$7:$CC$1843,CC548,$AL$7:$AL$1843,AL548,$BT$7:$BT$1843,"&lt;="&amp;BT548),"")</f>
        <v>3155.58287545788</v>
      </c>
      <c r="AN548" s="58" t="n">
        <f aca="false">IF(AM548="",0,MAX(0,MIN(1,(IF(CC548="L1",Parameter!$H$5,IF(CC548="L23",Parameter!$H$6+Parameter!$H$7,Parameter!$H$5+Parameter!$H$6+Parameter!$H$7))-(AM548-AI548))/AI548)))</f>
        <v>1</v>
      </c>
      <c r="AO548" s="50" t="n">
        <f aca="false">IF(LEFT(Cockpit!$I$5,1)="A",H548,IF(CE548=1,CF548,IF(LEFT(Cockpit!$I$5,1)="B",AT548,MAX(AT548,H548))))</f>
        <v>6</v>
      </c>
      <c r="AP548" s="50" t="n">
        <f aca="false">IF(BW548=1,0,ROUNDUP(AO548/BV548,0))</f>
        <v>2</v>
      </c>
      <c r="AQ548" s="52" t="n">
        <f aca="false">IF(CL548&gt;0,CL548*MAX(1,AO548/X548),IF(BW548=1,IF(AO548&lt;=0,0,CA548*MAX(1,IF(H548&gt;0,AO548/H548,1))),IF(R548&gt;0,AP548/R548,0))/MAX(0.1,N(Parameter!$M$21)))</f>
        <v>0.00714285714285714</v>
      </c>
      <c r="AR548" s="50" t="n">
        <f aca="false">AQ548*BY548</f>
        <v>1.10714285714286</v>
      </c>
      <c r="AS548" s="50" t="n">
        <f aca="false">AO548*G548</f>
        <v>36.3</v>
      </c>
      <c r="AT548" s="50" t="n">
        <f aca="false">ROUNDUP(MAX(J548/IF(CD548&gt;0,CD548,MAX(0.1,N(Cockpit!$I$6))),CG548)/BV548,0)*BV548</f>
        <v>6</v>
      </c>
      <c r="AU548" s="51" t="n">
        <f aca="false">IF(AR548&gt;0,J548/AR548,-1)</f>
        <v>3.61290322580645</v>
      </c>
      <c r="AV548" s="51" t="n">
        <f aca="false">IF(AND(OR(CC548="L1",CC548="L23",CC548="LIFT"),AR548&gt;0),SUMIFS($AR$7:$AR$1843,$CC$7:$CC$1843,CC548,$AU$7:$AU$1843,"&gt;"&amp;AU548)+SUMIFS($AR$7:$AR$1843,$CC$7:$CC$1843,CC548,$AU$7:$AU$1843,AU548,$BT$7:$BT$1843,"&lt;="&amp;BT548),"")</f>
        <v>5953.17124542125</v>
      </c>
      <c r="AW548" s="58" t="n">
        <f aca="false">IF(AV548="",0,MAX(0,MIN(1,(IF(CC548="L1",Parameter!$H$5,IF(CC548="L23",Parameter!$H$6+Parameter!$H$7,Parameter!$H$5+Parameter!$H$6+Parameter!$H$7))-(AV548-AR548))/AR548)))</f>
        <v>1</v>
      </c>
      <c r="AX548" s="50" t="n">
        <f aca="false">IF(LEFT(Cockpit!$O$5,1)="A",H548,IF(CE548=1,CF548,IF(LEFT(Cockpit!$O$5,1)="B",BC548,MAX(BC548,H548))))</f>
        <v>6</v>
      </c>
      <c r="AY548" s="50" t="n">
        <f aca="false">IF(BW548=1,0,ROUNDUP(AX548/BV548,0))</f>
        <v>2</v>
      </c>
      <c r="AZ548" s="52" t="n">
        <f aca="false">IF(CL548&gt;0,CL548*MAX(1,AX548/X548),IF(BW548=1,IF(AX548&lt;=0,0,CA548*MAX(1,IF(H548&gt;0,AX548/H548,1))),IF(R548&gt;0,AY548/R548,0))/MAX(0.1,N(Parameter!$M$21)))</f>
        <v>0.00714285714285714</v>
      </c>
      <c r="BA548" s="50" t="n">
        <f aca="false">AZ548*BY548</f>
        <v>1.10714285714286</v>
      </c>
      <c r="BB548" s="50" t="n">
        <f aca="false">AX548*G548</f>
        <v>36.3</v>
      </c>
      <c r="BC548" s="50" t="n">
        <f aca="false">ROUNDUP(MAX(J548/IF(CD548&gt;0,CD548,MAX(0.1,N(Cockpit!$O$6))),CG548)/BV548,0)*BV548</f>
        <v>6</v>
      </c>
      <c r="BD548" s="51" t="n">
        <f aca="false">IF(BA548&gt;0,J548/BA548,-1)</f>
        <v>3.61290322580645</v>
      </c>
      <c r="BE548" s="51" t="n">
        <f aca="false">IF(AND(OR(CC548="L1",CC548="L23",CC548="LIFT"),BA548&gt;0),SUMIFS($BA$7:$BA$1843,$CC$7:$CC$1843,CC548,$BD$7:$BD$1843,"&gt;"&amp;BD548)+SUMIFS($BA$7:$BA$1843,$CC$7:$CC$1843,CC548,$BD$7:$BD$1843,BD548,$BT$7:$BT$1843,"&lt;="&amp;BT548),"")</f>
        <v>5854.75778388278</v>
      </c>
      <c r="BF548" s="58" t="n">
        <f aca="false">IF(BE548="",0,MAX(0,MIN(1,(IF(CC548="L1",Parameter!$H$5,IF(CC548="L23",Parameter!$H$6+Parameter!$H$7,Parameter!$H$5+Parameter!$H$6+Parameter!$H$7))-(BE548-BA548))/BA548)))</f>
        <v>1</v>
      </c>
      <c r="BG548" s="48" t="str">
        <f aca="false">IF(AI548&lt;=0,"",IF(CC548="Aussen","Aussenlager",IF(CC548="-","Nicht im Lift",IF(AN548&gt;=1,"Lift",IF(AN548&lt;=0,"Aussenlager","teilweise")))))</f>
        <v>Lift</v>
      </c>
      <c r="BH548" s="48" t="str">
        <f aca="false">IF(AR548&lt;=0,"",IF(CC548="Aussen","Aussenlager",IF(CC548="-","Nicht im Lift",IF(AW548&gt;=1,"Lift",IF(AW548&lt;=0,"Aussenlager","teilweise")))))</f>
        <v>Lift</v>
      </c>
      <c r="BI548" s="48" t="str">
        <f aca="false">IF(BA548&lt;=0,"",IF(CC548="Aussen","Aussenlager",IF(CC548="-","Nicht im Lift",IF(BF548&gt;=1,"Lift",IF(BF548&lt;=0,"Aussenlager","teilweise")))))</f>
        <v>Lift</v>
      </c>
      <c r="BJ548" s="48" t="str">
        <f aca="false">IF(A548="","",IF(BS548=1,"Neu; ","")&amp;IF(AND(BS548=0,BN548&lt;0),"negativer Bestand (Export "&amp;BN548&amp;"); ","")&amp;IF(J548&lt;=0,"Kein Verbrauch; ","")&amp;IF(CL548&gt;0,"Lift "&amp;W548&amp;" lt. Liftbericht (Fach "&amp;X548&amp;" Stk); ",IF(BX548=1,"Gebinde geschätzt ("&amp;T548&amp;"); ",IF(BW548=1,"Lose – Tablare geschätzt; ","")))&amp;IF(H548&gt;AT548,"Überbestand "&amp;ROUND(H548-AT548,0)&amp;" Stk / CHF "&amp;ROUND((H548-AT548)*G548,0)&amp;"; ","")&amp;IF(AND(CE548=1,CF548&lt;CG548),"MAX &lt; MB+LG; ","")&amp;IF(AND(CK548&gt;0,CJ548*10&gt;CK548),"zu hoch für Tablar; ","")&amp;IF(AND(BS548=0,OR(CE548=1,AA548&lt;&gt;"",U548&lt;&gt;"",V548&lt;&gt;"",AB548&lt;&gt;"")),"manuell übersteuert; ","")&amp;IF(AND(BW548=0,R548=0),"Gebinde unbekannt / Stellmass fehlt; ","")&amp;IF(AND(BW548=0,N(V548)&lt;=0,N(Q548)&lt;=0),"Menge pro Gebinde fehlt (Ist = 1 Gebinde); ","")&amp;BR548)</f>
        <v/>
      </c>
      <c r="BK548" s="48"/>
      <c r="BL548" s="48"/>
      <c r="BM548" s="55"/>
      <c r="BN548" s="50" t="n">
        <v>3</v>
      </c>
      <c r="BO548" s="50" t="n">
        <v>0</v>
      </c>
      <c r="BP548" s="49" t="n">
        <v>18.15</v>
      </c>
      <c r="BQ548" s="50" t="n">
        <v>4</v>
      </c>
      <c r="BR548" s="48"/>
      <c r="BS548" s="53" t="n">
        <v>0</v>
      </c>
      <c r="BT548" s="53" t="n">
        <v>548</v>
      </c>
      <c r="BU548" s="48" t="str">
        <f aca="false">IF(U548&lt;&gt;"",UPPER(TRIM(U548)),IF(BX548=1,UPPER(VLOOKUP(T548,Parameter!$I$27:$K$29,2,0)),IF(P548="","LOSE",P548)))</f>
        <v>S21</v>
      </c>
      <c r="BV548" s="50" t="n">
        <f aca="false">IF(BU548="LOSE",1,IF(N(V548)&gt;0,V548,IF(BX548=1,MAX(1,N(VLOOKUP(T548,Parameter!$I$27:$K$29,3,0)),H548,N(N548)),IF(N(Q548)&gt;0,Q548,MAX(1,H548)))))</f>
        <v>3</v>
      </c>
      <c r="BW548" s="53" t="n">
        <f aca="false">IF(BU548="LOSE",1,0)</f>
        <v>0</v>
      </c>
      <c r="BX548" s="53" t="n">
        <f aca="false">IF(AND(U548="",OR(P548="",P548="LOSE"),T548&lt;&gt;"",N(S548)&lt;=0,ISNUMBER(MATCH(T548,Parameter!$I$27:$I$29,0))),1,0)</f>
        <v>0</v>
      </c>
      <c r="BY548" s="53" t="n">
        <f aca="false">IF(CL548&gt;0,INDEX(Parameter!$H$5:$H$7,W548)/INDEX(Parameter!$E$5:$E$7,W548),IF(AND(BW548=0,N(IFERROR(VLOOKUP(BU548,'Gebinde-Kategorie'!$A$5:$N$45,14,0),0))&gt;0),VLOOKUP(BU548,'Gebinde-Kategorie'!$A$5:$N$45,14,0)*10+Parameter!$M$23,Parameter!$M$24))</f>
        <v>155</v>
      </c>
      <c r="BZ548" s="48" t="str">
        <f aca="false">IF(AND(Parameter!$B$19="Ja",E548&lt;&gt;"",ISNUMBER(MATCH(E548,Parameter!$I$35:$I$52,0))),VLOOKUP(E548,Parameter!$I$35:$J$52,2,0),IFERROR(VLOOKUP(D548,Parameter!$A$35:$C$64,2,0),"Nein"))</f>
        <v>2+3</v>
      </c>
      <c r="CA548" s="52" t="n">
        <f aca="false">IF(BW548=0,0,IF(N(S548)&gt;0,S548,IFERROR(VLOOKUP(D548,Parameter!$A$35:$C$64,3,0)+0,0)))</f>
        <v>0</v>
      </c>
      <c r="CB548" s="48" t="n">
        <f aca="false">IF(AA548&lt;&gt;"",AA548,Z548)</f>
        <v>3</v>
      </c>
      <c r="CC548" s="48" t="str">
        <f aca="false">IF(OR(CB548=1,CB548=2,CB548=3),IF(Parameter!$E$27="Ja","LIFT",IF(CB548=1,"L1","L23")),IF(CB548="Aussen","Aussen","-"))</f>
        <v>LIFT</v>
      </c>
      <c r="CD548" s="59" t="n">
        <f aca="false">IF(N(AB548)&gt;0,AB548,0)</f>
        <v>0</v>
      </c>
      <c r="CE548" s="53" t="n">
        <f aca="false">IF(ISNUMBER(AE548),1,0)</f>
        <v>0</v>
      </c>
      <c r="CF548" s="50" t="n">
        <f aca="false">N(AE548)</f>
        <v>0</v>
      </c>
      <c r="CG548" s="50" t="n">
        <f aca="false">N(M548)+N(N548)</f>
        <v>5</v>
      </c>
      <c r="CH548" s="50" t="n">
        <f aca="false">ROUNDUP(H548/BV548,0)</f>
        <v>1</v>
      </c>
      <c r="CI548" s="50" t="n">
        <f aca="false">ROUNDUP(CF548/BV548,0)</f>
        <v>0</v>
      </c>
      <c r="CJ548" s="53" t="n">
        <f aca="false">IF(BW548=1,0,IFERROR(VLOOKUP(BU548,'Gebinde-Kategorie'!$A$5:$N$45,5,0)+0,0))</f>
        <v>8</v>
      </c>
      <c r="CK548" s="53" t="n">
        <f aca="false">IFERROR(IF(OR(CB548=1,CB548=2,CB548=3),N(INDEX(Parameter!$I$5:$I$7,CB548)),0),0)</f>
        <v>0</v>
      </c>
      <c r="CL548" s="52" t="n">
        <f aca="false">IF(AND(Parameter!$B$21="Ja",ISNUMBER(W548),N(X548)&gt;0),IFERROR(N(INDEX(Parameter!$L$5:$L$7,W548))*INDEX(Parameter!$E$5:$E$7,W548)*X548/SUMIFS($X$7:$X$1843,$W$7:$W$1843,W548),0),0)</f>
        <v>0</v>
      </c>
    </row>
    <row r="549" customFormat="false" ht="15" hidden="false" customHeight="false" outlineLevel="0" collapsed="false">
      <c r="A549" s="48" t="s">
        <v>1178</v>
      </c>
      <c r="B549" s="48" t="s">
        <v>851</v>
      </c>
      <c r="C549" s="48" t="s">
        <v>168</v>
      </c>
      <c r="D549" s="48" t="s">
        <v>188</v>
      </c>
      <c r="E549" s="48" t="s">
        <v>189</v>
      </c>
      <c r="F549" s="48" t="s">
        <v>222</v>
      </c>
      <c r="G549" s="49" t="n">
        <v>15.69</v>
      </c>
      <c r="H549" s="50" t="n">
        <f aca="false">MAX(0,IF(AND(Parameter!$B$21="Ja",ISNUMBER(Y549)),Y549,IF(Parameter!$B$20="Jahresanfang 2025 + Export",BO549+BN549,BN549)))</f>
        <v>6</v>
      </c>
      <c r="I549" s="50" t="n">
        <f aca="false">H549*G549</f>
        <v>94.14</v>
      </c>
      <c r="J549" s="50" t="n">
        <f aca="false">BQ549*Parameter!$B$18</f>
        <v>7</v>
      </c>
      <c r="K549" s="51" t="n">
        <v>6</v>
      </c>
      <c r="L549" s="52" t="n">
        <v>1.16666666666667</v>
      </c>
      <c r="M549" s="50" t="n">
        <v>0</v>
      </c>
      <c r="N549" s="50" t="n">
        <v>5</v>
      </c>
      <c r="O549" s="53" t="n">
        <v>14</v>
      </c>
      <c r="P549" s="48" t="s">
        <v>480</v>
      </c>
      <c r="Q549" s="50" t="n">
        <v>10</v>
      </c>
      <c r="R549" s="53" t="n">
        <f aca="false">IF(BW549=1,0,IFERROR(VLOOKUP(BU549,'Gebinde-Kategorie'!$A$5:$N$45,13,0)+0,0))</f>
        <v>52</v>
      </c>
      <c r="S549" s="54"/>
      <c r="T549" s="55"/>
      <c r="U549" s="55"/>
      <c r="V549" s="55"/>
      <c r="W549" s="48"/>
      <c r="X549" s="50"/>
      <c r="Y549" s="50"/>
      <c r="Z549" s="48" t="n">
        <f aca="false">IF(A549="","",IF(AND(Parameter!$B$21="Ja",ISNUMBER(W549)),W549,IF(BZ549="2+3",IF(ISNUMBER(SEARCH("grosser Artikel",BR549)),2,IFERROR(VLOOKUP(BU549,Parameter!$F$35:$G$64,2,0),2)),IF(OR(BZ549="Nein",BZ549=""),"-",BZ549))))</f>
        <v>3</v>
      </c>
      <c r="AA549" s="55"/>
      <c r="AB549" s="56"/>
      <c r="AC549" s="50" t="n">
        <f aca="false">AT549</f>
        <v>10</v>
      </c>
      <c r="AD549" s="50" t="n">
        <f aca="false">MAX(AT549,H549)</f>
        <v>10</v>
      </c>
      <c r="AE549" s="57"/>
      <c r="AF549" s="50" t="n">
        <f aca="false">IF(LEFT(Cockpit!$C$5,1)="A",H549,IF(CE549=1,CF549,IF(LEFT(Cockpit!$C$5,1)="B",AK549,MAX(AK549,H549))))</f>
        <v>6</v>
      </c>
      <c r="AG549" s="50" t="n">
        <f aca="false">IF(BW549=1,0,ROUNDUP(AF549/BV549,0))</f>
        <v>1</v>
      </c>
      <c r="AH549" s="52" t="n">
        <f aca="false">IF(CL549&gt;0,CL549*MAX(1,AF549/X549),IF(BW549=1,IF(AF549&lt;=0,0,CA549*MAX(1,IF(H549&gt;0,AF549/H549,1))),IF(R549&gt;0,AG549/R549,0))/MAX(0.1,N(Parameter!$M$21)))</f>
        <v>0.0192307692307692</v>
      </c>
      <c r="AI549" s="50" t="n">
        <f aca="false">AH549*BY549</f>
        <v>2.98076923076923</v>
      </c>
      <c r="AJ549" s="50" t="n">
        <f aca="false">AF549*G549</f>
        <v>94.14</v>
      </c>
      <c r="AK549" s="50" t="n">
        <f aca="false">ROUNDUP(MAX(J549/IF(CD549&gt;0,CD549,MAX(0.1,N(Cockpit!$C$6))),CG549)/BV549,0)*BV549</f>
        <v>10</v>
      </c>
      <c r="AL549" s="51" t="n">
        <f aca="false">IF(AI549&gt;0,J549/AI549,-1)</f>
        <v>2.34838709677419</v>
      </c>
      <c r="AM549" s="51" t="n">
        <f aca="false">IF(AND(OR(CC549="L1",CC549="L23",CC549="LIFT"),AI549&gt;0),SUMIFS($AI$7:$AI$1843,$CC$7:$CC$1843,CC549,$AL$7:$AL$1843,"&gt;"&amp;AL549)+SUMIFS($AI$7:$AI$1843,$CC$7:$CC$1843,CC549,$AL$7:$AL$1843,AL549,$BT$7:$BT$1843,"&lt;="&amp;BT549),"")</f>
        <v>5631.21840659341</v>
      </c>
      <c r="AN549" s="58" t="n">
        <f aca="false">IF(AM549="",0,MAX(0,MIN(1,(IF(CC549="L1",Parameter!$H$5,IF(CC549="L23",Parameter!$H$6+Parameter!$H$7,Parameter!$H$5+Parameter!$H$6+Parameter!$H$7))-(AM549-AI549))/AI549)))</f>
        <v>1</v>
      </c>
      <c r="AO549" s="50" t="n">
        <f aca="false">IF(LEFT(Cockpit!$I$5,1)="A",H549,IF(CE549=1,CF549,IF(LEFT(Cockpit!$I$5,1)="B",AT549,MAX(AT549,H549))))</f>
        <v>10</v>
      </c>
      <c r="AP549" s="50" t="n">
        <f aca="false">IF(BW549=1,0,ROUNDUP(AO549/BV549,0))</f>
        <v>1</v>
      </c>
      <c r="AQ549" s="52" t="n">
        <f aca="false">IF(CL549&gt;0,CL549*MAX(1,AO549/X549),IF(BW549=1,IF(AO549&lt;=0,0,CA549*MAX(1,IF(H549&gt;0,AO549/H549,1))),IF(R549&gt;0,AP549/R549,0))/MAX(0.1,N(Parameter!$M$21)))</f>
        <v>0.0192307692307692</v>
      </c>
      <c r="AR549" s="50" t="n">
        <f aca="false">AQ549*BY549</f>
        <v>2.98076923076923</v>
      </c>
      <c r="AS549" s="50" t="n">
        <f aca="false">AO549*G549</f>
        <v>156.9</v>
      </c>
      <c r="AT549" s="50" t="n">
        <f aca="false">ROUNDUP(MAX(J549/IF(CD549&gt;0,CD549,MAX(0.1,N(Cockpit!$I$6))),CG549)/BV549,0)*BV549</f>
        <v>10</v>
      </c>
      <c r="AU549" s="51" t="n">
        <f aca="false">IF(AR549&gt;0,J549/AR549,-1)</f>
        <v>2.34838709677419</v>
      </c>
      <c r="AV549" s="51" t="n">
        <f aca="false">IF(AND(OR(CC549="L1",CC549="L23",CC549="LIFT"),AR549&gt;0),SUMIFS($AR$7:$AR$1843,$CC$7:$CC$1843,CC549,$AU$7:$AU$1843,"&gt;"&amp;AU549)+SUMIFS($AR$7:$AR$1843,$CC$7:$CC$1843,CC549,$AU$7:$AU$1843,AU549,$BT$7:$BT$1843,"&lt;="&amp;BT549),"")</f>
        <v>6956.48763736264</v>
      </c>
      <c r="AW549" s="58" t="n">
        <f aca="false">IF(AV549="",0,MAX(0,MIN(1,(IF(CC549="L1",Parameter!$H$5,IF(CC549="L23",Parameter!$H$6+Parameter!$H$7,Parameter!$H$5+Parameter!$H$6+Parameter!$H$7))-(AV549-AR549))/AR549)))</f>
        <v>1</v>
      </c>
      <c r="AX549" s="50" t="n">
        <f aca="false">IF(LEFT(Cockpit!$O$5,1)="A",H549,IF(CE549=1,CF549,IF(LEFT(Cockpit!$O$5,1)="B",BC549,MAX(BC549,H549))))</f>
        <v>10</v>
      </c>
      <c r="AY549" s="50" t="n">
        <f aca="false">IF(BW549=1,0,ROUNDUP(AX549/BV549,0))</f>
        <v>1</v>
      </c>
      <c r="AZ549" s="52" t="n">
        <f aca="false">IF(CL549&gt;0,CL549*MAX(1,AX549/X549),IF(BW549=1,IF(AX549&lt;=0,0,CA549*MAX(1,IF(H549&gt;0,AX549/H549,1))),IF(R549&gt;0,AY549/R549,0))/MAX(0.1,N(Parameter!$M$21)))</f>
        <v>0.0192307692307692</v>
      </c>
      <c r="BA549" s="50" t="n">
        <f aca="false">AZ549*BY549</f>
        <v>2.98076923076923</v>
      </c>
      <c r="BB549" s="50" t="n">
        <f aca="false">AX549*G549</f>
        <v>156.9</v>
      </c>
      <c r="BC549" s="50" t="n">
        <f aca="false">ROUNDUP(MAX(J549/IF(CD549&gt;0,CD549,MAX(0.1,N(Cockpit!$O$6))),CG549)/BV549,0)*BV549</f>
        <v>10</v>
      </c>
      <c r="BD549" s="51" t="n">
        <f aca="false">IF(BA549&gt;0,J549/BA549,-1)</f>
        <v>2.34838709677419</v>
      </c>
      <c r="BE549" s="51" t="n">
        <f aca="false">IF(AND(OR(CC549="L1",CC549="L23",CC549="LIFT"),BA549&gt;0),SUMIFS($BA$7:$BA$1843,$CC$7:$CC$1843,CC549,$BD$7:$BD$1843,"&gt;"&amp;BD549)+SUMIFS($BA$7:$BA$1843,$CC$7:$CC$1843,CC549,$BD$7:$BD$1843,BD549,$BT$7:$BT$1843,"&lt;="&amp;BT549),"")</f>
        <v>6725.06135531136</v>
      </c>
      <c r="BF549" s="58" t="n">
        <f aca="false">IF(BE549="",0,MAX(0,MIN(1,(IF(CC549="L1",Parameter!$H$5,IF(CC549="L23",Parameter!$H$6+Parameter!$H$7,Parameter!$H$5+Parameter!$H$6+Parameter!$H$7))-(BE549-BA549))/BA549)))</f>
        <v>1</v>
      </c>
      <c r="BG549" s="48" t="str">
        <f aca="false">IF(AI549&lt;=0,"",IF(CC549="Aussen","Aussenlager",IF(CC549="-","Nicht im Lift",IF(AN549&gt;=1,"Lift",IF(AN549&lt;=0,"Aussenlager","teilweise")))))</f>
        <v>Lift</v>
      </c>
      <c r="BH549" s="48" t="str">
        <f aca="false">IF(AR549&lt;=0,"",IF(CC549="Aussen","Aussenlager",IF(CC549="-","Nicht im Lift",IF(AW549&gt;=1,"Lift",IF(AW549&lt;=0,"Aussenlager","teilweise")))))</f>
        <v>Lift</v>
      </c>
      <c r="BI549" s="48" t="str">
        <f aca="false">IF(BA549&lt;=0,"",IF(CC549="Aussen","Aussenlager",IF(CC549="-","Nicht im Lift",IF(BF549&gt;=1,"Lift",IF(BF549&lt;=0,"Aussenlager","teilweise")))))</f>
        <v>Lift</v>
      </c>
      <c r="BJ549" s="48" t="str">
        <f aca="false">IF(A549="","",IF(BS549=1,"Neu; ","")&amp;IF(AND(BS549=0,BN549&lt;0),"negativer Bestand (Export "&amp;BN549&amp;"); ","")&amp;IF(J549&lt;=0,"Kein Verbrauch; ","")&amp;IF(CL549&gt;0,"Lift "&amp;W549&amp;" lt. Liftbericht (Fach "&amp;X549&amp;" Stk); ",IF(BX549=1,"Gebinde geschätzt ("&amp;T549&amp;"); ",IF(BW549=1,"Lose – Tablare geschätzt; ","")))&amp;IF(H549&gt;AT549,"Überbestand "&amp;ROUND(H549-AT549,0)&amp;" Stk / CHF "&amp;ROUND((H549-AT549)*G549,0)&amp;"; ","")&amp;IF(AND(CE549=1,CF549&lt;CG549),"MAX &lt; MB+LG; ","")&amp;IF(AND(CK549&gt;0,CJ549*10&gt;CK549),"zu hoch für Tablar; ","")&amp;IF(AND(BS549=0,OR(CE549=1,AA549&lt;&gt;"",U549&lt;&gt;"",V549&lt;&gt;"",AB549&lt;&gt;"")),"manuell übersteuert; ","")&amp;IF(AND(BW549=0,R549=0),"Gebinde unbekannt / Stellmass fehlt; ","")&amp;IF(AND(BW549=0,N(V549)&lt;=0,N(Q549)&lt;=0),"Menge pro Gebinde fehlt (Ist = 1 Gebinde); ","")&amp;BR549)</f>
        <v/>
      </c>
      <c r="BK549" s="48"/>
      <c r="BL549" s="48"/>
      <c r="BM549" s="55"/>
      <c r="BN549" s="50" t="n">
        <v>1</v>
      </c>
      <c r="BO549" s="50" t="n">
        <v>5</v>
      </c>
      <c r="BP549" s="49" t="n">
        <v>17.74</v>
      </c>
      <c r="BQ549" s="50" t="n">
        <v>7</v>
      </c>
      <c r="BR549" s="48"/>
      <c r="BS549" s="53" t="n">
        <v>0</v>
      </c>
      <c r="BT549" s="53" t="n">
        <v>549</v>
      </c>
      <c r="BU549" s="48" t="str">
        <f aca="false">IF(U549&lt;&gt;"",UPPER(TRIM(U549)),IF(BX549=1,UPPER(VLOOKUP(T549,Parameter!$I$27:$K$29,2,0)),IF(P549="","LOSE",P549)))</f>
        <v>S33</v>
      </c>
      <c r="BV549" s="50" t="n">
        <f aca="false">IF(BU549="LOSE",1,IF(N(V549)&gt;0,V549,IF(BX549=1,MAX(1,N(VLOOKUP(T549,Parameter!$I$27:$K$29,3,0)),H549,N(N549)),IF(N(Q549)&gt;0,Q549,MAX(1,H549)))))</f>
        <v>10</v>
      </c>
      <c r="BW549" s="53" t="n">
        <f aca="false">IF(BU549="LOSE",1,0)</f>
        <v>0</v>
      </c>
      <c r="BX549" s="53" t="n">
        <f aca="false">IF(AND(U549="",OR(P549="",P549="LOSE"),T549&lt;&gt;"",N(S549)&lt;=0,ISNUMBER(MATCH(T549,Parameter!$I$27:$I$29,0))),1,0)</f>
        <v>0</v>
      </c>
      <c r="BY549" s="53" t="n">
        <f aca="false">IF(CL549&gt;0,INDEX(Parameter!$H$5:$H$7,W549)/INDEX(Parameter!$E$5:$E$7,W549),IF(AND(BW549=0,N(IFERROR(VLOOKUP(BU549,'Gebinde-Kategorie'!$A$5:$N$45,14,0),0))&gt;0),VLOOKUP(BU549,'Gebinde-Kategorie'!$A$5:$N$45,14,0)*10+Parameter!$M$23,Parameter!$M$24))</f>
        <v>155</v>
      </c>
      <c r="BZ549" s="48" t="str">
        <f aca="false">IF(AND(Parameter!$B$19="Ja",E549&lt;&gt;"",ISNUMBER(MATCH(E549,Parameter!$I$35:$I$52,0))),VLOOKUP(E549,Parameter!$I$35:$J$52,2,0),IFERROR(VLOOKUP(D549,Parameter!$A$35:$C$64,2,0),"Nein"))</f>
        <v>2+3</v>
      </c>
      <c r="CA549" s="52" t="n">
        <f aca="false">IF(BW549=0,0,IF(N(S549)&gt;0,S549,IFERROR(VLOOKUP(D549,Parameter!$A$35:$C$64,3,0)+0,0)))</f>
        <v>0</v>
      </c>
      <c r="CB549" s="48" t="n">
        <f aca="false">IF(AA549&lt;&gt;"",AA549,Z549)</f>
        <v>3</v>
      </c>
      <c r="CC549" s="48" t="str">
        <f aca="false">IF(OR(CB549=1,CB549=2,CB549=3),IF(Parameter!$E$27="Ja","LIFT",IF(CB549=1,"L1","L23")),IF(CB549="Aussen","Aussen","-"))</f>
        <v>LIFT</v>
      </c>
      <c r="CD549" s="59" t="n">
        <f aca="false">IF(N(AB549)&gt;0,AB549,0)</f>
        <v>0</v>
      </c>
      <c r="CE549" s="53" t="n">
        <f aca="false">IF(ISNUMBER(AE549),1,0)</f>
        <v>0</v>
      </c>
      <c r="CF549" s="50" t="n">
        <f aca="false">N(AE549)</f>
        <v>0</v>
      </c>
      <c r="CG549" s="50" t="n">
        <f aca="false">N(M549)+N(N549)</f>
        <v>5</v>
      </c>
      <c r="CH549" s="50" t="n">
        <f aca="false">ROUNDUP(H549/BV549,0)</f>
        <v>1</v>
      </c>
      <c r="CI549" s="50" t="n">
        <f aca="false">ROUNDUP(CF549/BV549,0)</f>
        <v>0</v>
      </c>
      <c r="CJ549" s="53" t="n">
        <f aca="false">IF(BW549=1,0,IFERROR(VLOOKUP(BU549,'Gebinde-Kategorie'!$A$5:$N$45,5,0)+0,0))</f>
        <v>8</v>
      </c>
      <c r="CK549" s="53" t="n">
        <f aca="false">IFERROR(IF(OR(CB549=1,CB549=2,CB549=3),N(INDEX(Parameter!$I$5:$I$7,CB549)),0),0)</f>
        <v>0</v>
      </c>
      <c r="CL549" s="52" t="n">
        <f aca="false">IF(AND(Parameter!$B$21="Ja",ISNUMBER(W549),N(X549)&gt;0),IFERROR(N(INDEX(Parameter!$L$5:$L$7,W549))*INDEX(Parameter!$E$5:$E$7,W549)*X549/SUMIFS($X$7:$X$1843,$W$7:$W$1843,W549),0),0)</f>
        <v>0</v>
      </c>
    </row>
    <row r="550" customFormat="false" ht="15" hidden="false" customHeight="false" outlineLevel="0" collapsed="false">
      <c r="A550" s="48" t="s">
        <v>1179</v>
      </c>
      <c r="B550" s="48" t="s">
        <v>1180</v>
      </c>
      <c r="C550" s="48" t="s">
        <v>168</v>
      </c>
      <c r="D550" s="48" t="s">
        <v>188</v>
      </c>
      <c r="E550" s="48" t="s">
        <v>189</v>
      </c>
      <c r="F550" s="48" t="s">
        <v>222</v>
      </c>
      <c r="G550" s="49" t="n">
        <v>4.21</v>
      </c>
      <c r="H550" s="50" t="n">
        <f aca="false">MAX(0,IF(AND(Parameter!$B$21="Ja",ISNUMBER(Y550)),Y550,IF(Parameter!$B$20="Jahresanfang 2025 + Export",BO550+BN550,BN550)))</f>
        <v>21</v>
      </c>
      <c r="I550" s="50" t="n">
        <f aca="false">H550*G550</f>
        <v>88.41</v>
      </c>
      <c r="J550" s="50" t="n">
        <f aca="false">BQ550*Parameter!$B$18</f>
        <v>7</v>
      </c>
      <c r="K550" s="51" t="n">
        <v>19.5</v>
      </c>
      <c r="L550" s="52" t="n">
        <v>0.358974358974359</v>
      </c>
      <c r="M550" s="50" t="n">
        <v>0</v>
      </c>
      <c r="N550" s="50" t="n">
        <v>5</v>
      </c>
      <c r="O550" s="53" t="n">
        <v>21</v>
      </c>
      <c r="P550" s="48" t="s">
        <v>190</v>
      </c>
      <c r="Q550" s="50" t="n">
        <v>29</v>
      </c>
      <c r="R550" s="53" t="n">
        <f aca="false">IF(BW550=1,0,IFERROR(VLOOKUP(BU550,'Gebinde-Kategorie'!$A$5:$N$45,13,0)+0,0))</f>
        <v>12</v>
      </c>
      <c r="S550" s="54"/>
      <c r="T550" s="55"/>
      <c r="U550" s="55"/>
      <c r="V550" s="55"/>
      <c r="W550" s="48"/>
      <c r="X550" s="50"/>
      <c r="Y550" s="50"/>
      <c r="Z550" s="48" t="n">
        <f aca="false">IF(A550="","",IF(AND(Parameter!$B$21="Ja",ISNUMBER(W550)),W550,IF(BZ550="2+3",IF(ISNUMBER(SEARCH("grosser Artikel",BR550)),2,IFERROR(VLOOKUP(BU550,Parameter!$F$35:$G$64,2,0),2)),IF(OR(BZ550="Nein",BZ550=""),"-",BZ550))))</f>
        <v>2</v>
      </c>
      <c r="AA550" s="55"/>
      <c r="AB550" s="56"/>
      <c r="AC550" s="50" t="n">
        <f aca="false">AT550</f>
        <v>29</v>
      </c>
      <c r="AD550" s="50" t="n">
        <f aca="false">MAX(AT550,H550)</f>
        <v>29</v>
      </c>
      <c r="AE550" s="57"/>
      <c r="AF550" s="50" t="n">
        <f aca="false">IF(LEFT(Cockpit!$C$5,1)="A",H550,IF(CE550=1,CF550,IF(LEFT(Cockpit!$C$5,1)="B",AK550,MAX(AK550,H550))))</f>
        <v>21</v>
      </c>
      <c r="AG550" s="50" t="n">
        <f aca="false">IF(BW550=1,0,ROUNDUP(AF550/BV550,0))</f>
        <v>1</v>
      </c>
      <c r="AH550" s="52" t="n">
        <f aca="false">IF(CL550&gt;0,CL550*MAX(1,AF550/X550),IF(BW550=1,IF(AF550&lt;=0,0,CA550*MAX(1,IF(H550&gt;0,AF550/H550,1))),IF(R550&gt;0,AG550/R550,0))/MAX(0.1,N(Parameter!$M$21)))</f>
        <v>0.0833333333333333</v>
      </c>
      <c r="AI550" s="50" t="n">
        <f aca="false">AH550*BY550</f>
        <v>12.0833333333333</v>
      </c>
      <c r="AJ550" s="50" t="n">
        <f aca="false">AF550*G550</f>
        <v>88.41</v>
      </c>
      <c r="AK550" s="50" t="n">
        <f aca="false">ROUNDUP(MAX(J550/IF(CD550&gt;0,CD550,MAX(0.1,N(Cockpit!$C$6))),CG550)/BV550,0)*BV550</f>
        <v>29</v>
      </c>
      <c r="AL550" s="51" t="n">
        <f aca="false">IF(AI550&gt;0,J550/AI550,-1)</f>
        <v>0.579310344827586</v>
      </c>
      <c r="AM550" s="51" t="n">
        <f aca="false">IF(AND(OR(CC550="L1",CC550="L23",CC550="LIFT"),AI550&gt;0),SUMIFS($AI$7:$AI$1843,$CC$7:$CC$1843,CC550,$AL$7:$AL$1843,"&gt;"&amp;AL550)+SUMIFS($AI$7:$AI$1843,$CC$7:$CC$1843,CC550,$AL$7:$AL$1843,AL550,$BT$7:$BT$1843,"&lt;="&amp;BT550),"")</f>
        <v>9381.87588729538</v>
      </c>
      <c r="AN550" s="58" t="n">
        <f aca="false">IF(AM550="",0,MAX(0,MIN(1,(IF(CC550="L1",Parameter!$H$5,IF(CC550="L23",Parameter!$H$6+Parameter!$H$7,Parameter!$H$5+Parameter!$H$6+Parameter!$H$7))-(AM550-AI550))/AI550)))</f>
        <v>1</v>
      </c>
      <c r="AO550" s="50" t="n">
        <f aca="false">IF(LEFT(Cockpit!$I$5,1)="A",H550,IF(CE550=1,CF550,IF(LEFT(Cockpit!$I$5,1)="B",AT550,MAX(AT550,H550))))</f>
        <v>29</v>
      </c>
      <c r="AP550" s="50" t="n">
        <f aca="false">IF(BW550=1,0,ROUNDUP(AO550/BV550,0))</f>
        <v>1</v>
      </c>
      <c r="AQ550" s="52" t="n">
        <f aca="false">IF(CL550&gt;0,CL550*MAX(1,AO550/X550),IF(BW550=1,IF(AO550&lt;=0,0,CA550*MAX(1,IF(H550&gt;0,AO550/H550,1))),IF(R550&gt;0,AP550/R550,0))/MAX(0.1,N(Parameter!$M$21)))</f>
        <v>0.0833333333333333</v>
      </c>
      <c r="AR550" s="50" t="n">
        <f aca="false">AQ550*BY550</f>
        <v>12.0833333333333</v>
      </c>
      <c r="AS550" s="50" t="n">
        <f aca="false">AO550*G550</f>
        <v>122.09</v>
      </c>
      <c r="AT550" s="50" t="n">
        <f aca="false">ROUNDUP(MAX(J550/IF(CD550&gt;0,CD550,MAX(0.1,N(Cockpit!$I$6))),CG550)/BV550,0)*BV550</f>
        <v>29</v>
      </c>
      <c r="AU550" s="51" t="n">
        <f aca="false">IF(AR550&gt;0,J550/AR550,-1)</f>
        <v>0.579310344827586</v>
      </c>
      <c r="AV550" s="51" t="n">
        <f aca="false">IF(AND(OR(CC550="L1",CC550="L23",CC550="LIFT"),AR550&gt;0),SUMIFS($AR$7:$AR$1843,$CC$7:$CC$1843,CC550,$AU$7:$AU$1843,"&gt;"&amp;AU550)+SUMIFS($AR$7:$AR$1843,$CC$7:$CC$1843,CC550,$AU$7:$AU$1843,AU550,$BT$7:$BT$1843,"&lt;="&amp;BT550),"")</f>
        <v>12973.4107142857</v>
      </c>
      <c r="AW550" s="58" t="n">
        <f aca="false">IF(AV550="",0,MAX(0,MIN(1,(IF(CC550="L1",Parameter!$H$5,IF(CC550="L23",Parameter!$H$6+Parameter!$H$7,Parameter!$H$5+Parameter!$H$6+Parameter!$H$7))-(AV550-AR550))/AR550)))</f>
        <v>1</v>
      </c>
      <c r="AX550" s="50" t="n">
        <f aca="false">IF(LEFT(Cockpit!$O$5,1)="A",H550,IF(CE550=1,CF550,IF(LEFT(Cockpit!$O$5,1)="B",BC550,MAX(BC550,H550))))</f>
        <v>29</v>
      </c>
      <c r="AY550" s="50" t="n">
        <f aca="false">IF(BW550=1,0,ROUNDUP(AX550/BV550,0))</f>
        <v>1</v>
      </c>
      <c r="AZ550" s="52" t="n">
        <f aca="false">IF(CL550&gt;0,CL550*MAX(1,AX550/X550),IF(BW550=1,IF(AX550&lt;=0,0,CA550*MAX(1,IF(H550&gt;0,AX550/H550,1))),IF(R550&gt;0,AY550/R550,0))/MAX(0.1,N(Parameter!$M$21)))</f>
        <v>0.0833333333333333</v>
      </c>
      <c r="BA550" s="50" t="n">
        <f aca="false">AZ550*BY550</f>
        <v>12.0833333333333</v>
      </c>
      <c r="BB550" s="50" t="n">
        <f aca="false">AX550*G550</f>
        <v>122.09</v>
      </c>
      <c r="BC550" s="50" t="n">
        <f aca="false">ROUNDUP(MAX(J550/IF(CD550&gt;0,CD550,MAX(0.1,N(Cockpit!$O$6))),CG550)/BV550,0)*BV550</f>
        <v>29</v>
      </c>
      <c r="BD550" s="51" t="n">
        <f aca="false">IF(BA550&gt;0,J550/BA550,-1)</f>
        <v>0.579310344827586</v>
      </c>
      <c r="BE550" s="51" t="n">
        <f aca="false">IF(AND(OR(CC550="L1",CC550="L23",CC550="LIFT"),BA550&gt;0),SUMIFS($BA$7:$BA$1843,$CC$7:$CC$1843,CC550,$BD$7:$BD$1843,"&gt;"&amp;BD550)+SUMIFS($BA$7:$BA$1843,$CC$7:$CC$1843,CC550,$BD$7:$BD$1843,BD550,$BT$7:$BT$1843,"&lt;="&amp;BT550),"")</f>
        <v>11896.9844322344</v>
      </c>
      <c r="BF550" s="58" t="n">
        <f aca="false">IF(BE550="",0,MAX(0,MIN(1,(IF(CC550="L1",Parameter!$H$5,IF(CC550="L23",Parameter!$H$6+Parameter!$H$7,Parameter!$H$5+Parameter!$H$6+Parameter!$H$7))-(BE550-BA550))/BA550)))</f>
        <v>1</v>
      </c>
      <c r="BG550" s="48" t="str">
        <f aca="false">IF(AI550&lt;=0,"",IF(CC550="Aussen","Aussenlager",IF(CC550="-","Nicht im Lift",IF(AN550&gt;=1,"Lift",IF(AN550&lt;=0,"Aussenlager","teilweise")))))</f>
        <v>Lift</v>
      </c>
      <c r="BH550" s="48" t="str">
        <f aca="false">IF(AR550&lt;=0,"",IF(CC550="Aussen","Aussenlager",IF(CC550="-","Nicht im Lift",IF(AW550&gt;=1,"Lift",IF(AW550&lt;=0,"Aussenlager","teilweise")))))</f>
        <v>Lift</v>
      </c>
      <c r="BI550" s="48" t="str">
        <f aca="false">IF(BA550&lt;=0,"",IF(CC550="Aussen","Aussenlager",IF(CC550="-","Nicht im Lift",IF(BF550&gt;=1,"Lift",IF(BF550&lt;=0,"Aussenlager","teilweise")))))</f>
        <v>Lift</v>
      </c>
      <c r="BJ550" s="48" t="str">
        <f aca="false">IF(A550="","",IF(BS550=1,"Neu; ","")&amp;IF(AND(BS550=0,BN550&lt;0),"negativer Bestand (Export "&amp;BN550&amp;"); ","")&amp;IF(J550&lt;=0,"Kein Verbrauch; ","")&amp;IF(CL550&gt;0,"Lift "&amp;W550&amp;" lt. Liftbericht (Fach "&amp;X550&amp;" Stk); ",IF(BX550=1,"Gebinde geschätzt ("&amp;T550&amp;"); ",IF(BW550=1,"Lose – Tablare geschätzt; ","")))&amp;IF(H550&gt;AT550,"Überbestand "&amp;ROUND(H550-AT550,0)&amp;" Stk / CHF "&amp;ROUND((H550-AT550)*G550,0)&amp;"; ","")&amp;IF(AND(CE550=1,CF550&lt;CG550),"MAX &lt; MB+LG; ","")&amp;IF(AND(CK550&gt;0,CJ550*10&gt;CK550),"zu hoch für Tablar; ","")&amp;IF(AND(BS550=0,OR(CE550=1,AA550&lt;&gt;"",U550&lt;&gt;"",V550&lt;&gt;"",AB550&lt;&gt;"")),"manuell übersteuert; ","")&amp;IF(AND(BW550=0,R550=0),"Gebinde unbekannt / Stellmass fehlt; ","")&amp;IF(AND(BW550=0,N(V550)&lt;=0,N(Q550)&lt;=0),"Menge pro Gebinde fehlt (Ist = 1 Gebinde); ","")&amp;BR550)</f>
        <v/>
      </c>
      <c r="BK550" s="48"/>
      <c r="BL550" s="48"/>
      <c r="BM550" s="55"/>
      <c r="BN550" s="50" t="n">
        <v>4</v>
      </c>
      <c r="BO550" s="50" t="n">
        <v>17</v>
      </c>
      <c r="BP550" s="49" t="n">
        <v>16.84</v>
      </c>
      <c r="BQ550" s="50" t="n">
        <v>7</v>
      </c>
      <c r="BR550" s="48"/>
      <c r="BS550" s="53" t="n">
        <v>0</v>
      </c>
      <c r="BT550" s="53" t="n">
        <v>550</v>
      </c>
      <c r="BU550" s="48" t="str">
        <f aca="false">IF(U550&lt;&gt;"",UPPER(TRIM(U550)),IF(BX550=1,UPPER(VLOOKUP(T550,Parameter!$I$27:$K$29,2,0)),IF(P550="","LOSE",P550)))</f>
        <v>S61</v>
      </c>
      <c r="BV550" s="50" t="n">
        <f aca="false">IF(BU550="LOSE",1,IF(N(V550)&gt;0,V550,IF(BX550=1,MAX(1,N(VLOOKUP(T550,Parameter!$I$27:$K$29,3,0)),H550,N(N550)),IF(N(Q550)&gt;0,Q550,MAX(1,H550)))))</f>
        <v>29</v>
      </c>
      <c r="BW550" s="53" t="n">
        <f aca="false">IF(BU550="LOSE",1,0)</f>
        <v>0</v>
      </c>
      <c r="BX550" s="53" t="n">
        <f aca="false">IF(AND(U550="",OR(P550="",P550="LOSE"),T550&lt;&gt;"",N(S550)&lt;=0,ISNUMBER(MATCH(T550,Parameter!$I$27:$I$29,0))),1,0)</f>
        <v>0</v>
      </c>
      <c r="BY550" s="53" t="n">
        <f aca="false">IF(CL550&gt;0,INDEX(Parameter!$H$5:$H$7,W550)/INDEX(Parameter!$E$5:$E$7,W550),IF(AND(BW550=0,N(IFERROR(VLOOKUP(BU550,'Gebinde-Kategorie'!$A$5:$N$45,14,0),0))&gt;0),VLOOKUP(BU550,'Gebinde-Kategorie'!$A$5:$N$45,14,0)*10+Parameter!$M$23,Parameter!$M$24))</f>
        <v>145</v>
      </c>
      <c r="BZ550" s="48" t="str">
        <f aca="false">IF(AND(Parameter!$B$19="Ja",E550&lt;&gt;"",ISNUMBER(MATCH(E550,Parameter!$I$35:$I$52,0))),VLOOKUP(E550,Parameter!$I$35:$J$52,2,0),IFERROR(VLOOKUP(D550,Parameter!$A$35:$C$64,2,0),"Nein"))</f>
        <v>2+3</v>
      </c>
      <c r="CA550" s="52" t="n">
        <f aca="false">IF(BW550=0,0,IF(N(S550)&gt;0,S550,IFERROR(VLOOKUP(D550,Parameter!$A$35:$C$64,3,0)+0,0)))</f>
        <v>0</v>
      </c>
      <c r="CB550" s="48" t="n">
        <f aca="false">IF(AA550&lt;&gt;"",AA550,Z550)</f>
        <v>2</v>
      </c>
      <c r="CC550" s="48" t="str">
        <f aca="false">IF(OR(CB550=1,CB550=2,CB550=3),IF(Parameter!$E$27="Ja","LIFT",IF(CB550=1,"L1","L23")),IF(CB550="Aussen","Aussen","-"))</f>
        <v>LIFT</v>
      </c>
      <c r="CD550" s="59" t="n">
        <f aca="false">IF(N(AB550)&gt;0,AB550,0)</f>
        <v>0</v>
      </c>
      <c r="CE550" s="53" t="n">
        <f aca="false">IF(ISNUMBER(AE550),1,0)</f>
        <v>0</v>
      </c>
      <c r="CF550" s="50" t="n">
        <f aca="false">N(AE550)</f>
        <v>0</v>
      </c>
      <c r="CG550" s="50" t="n">
        <f aca="false">N(M550)+N(N550)</f>
        <v>5</v>
      </c>
      <c r="CH550" s="50" t="n">
        <f aca="false">ROUNDUP(H550/BV550,0)</f>
        <v>1</v>
      </c>
      <c r="CI550" s="50" t="n">
        <f aca="false">ROUNDUP(CF550/BV550,0)</f>
        <v>0</v>
      </c>
      <c r="CJ550" s="53" t="n">
        <f aca="false">IF(BW550=1,0,IFERROR(VLOOKUP(BU550,'Gebinde-Kategorie'!$A$5:$N$45,5,0)+0,0))</f>
        <v>11</v>
      </c>
      <c r="CK550" s="53" t="n">
        <f aca="false">IFERROR(IF(OR(CB550=1,CB550=2,CB550=3),N(INDEX(Parameter!$I$5:$I$7,CB550)),0),0)</f>
        <v>0</v>
      </c>
      <c r="CL550" s="52" t="n">
        <f aca="false">IF(AND(Parameter!$B$21="Ja",ISNUMBER(W550),N(X550)&gt;0),IFERROR(N(INDEX(Parameter!$L$5:$L$7,W550))*INDEX(Parameter!$E$5:$E$7,W550)*X550/SUMIFS($X$7:$X$1843,$W$7:$W$1843,W550),0),0)</f>
        <v>0</v>
      </c>
    </row>
    <row r="551" customFormat="false" ht="15" hidden="false" customHeight="false" outlineLevel="0" collapsed="false">
      <c r="A551" s="48" t="s">
        <v>1181</v>
      </c>
      <c r="B551" s="48" t="s">
        <v>951</v>
      </c>
      <c r="C551" s="48" t="s">
        <v>168</v>
      </c>
      <c r="D551" s="48" t="s">
        <v>188</v>
      </c>
      <c r="E551" s="48" t="s">
        <v>189</v>
      </c>
      <c r="F551" s="48" t="s">
        <v>222</v>
      </c>
      <c r="G551" s="49" t="n">
        <v>1.68</v>
      </c>
      <c r="H551" s="50" t="n">
        <f aca="false">MAX(0,IF(AND(Parameter!$B$21="Ja",ISNUMBER(Y551)),Y551,IF(Parameter!$B$20="Jahresanfang 2025 + Export",BO551+BN551,BN551)))</f>
        <v>56</v>
      </c>
      <c r="I551" s="50" t="n">
        <f aca="false">H551*G551</f>
        <v>94.08</v>
      </c>
      <c r="J551" s="50" t="n">
        <f aca="false">BQ551*Parameter!$B$18</f>
        <v>151</v>
      </c>
      <c r="K551" s="51" t="n">
        <v>46.5</v>
      </c>
      <c r="L551" s="52" t="n">
        <v>3.24731182795699</v>
      </c>
      <c r="M551" s="50" t="n">
        <v>8</v>
      </c>
      <c r="N551" s="50" t="n">
        <v>150</v>
      </c>
      <c r="O551" s="53" t="n">
        <v>21</v>
      </c>
      <c r="P551" s="48" t="s">
        <v>425</v>
      </c>
      <c r="Q551" s="50" t="n">
        <v>91</v>
      </c>
      <c r="R551" s="53" t="n">
        <f aca="false">IF(BW551=1,0,IFERROR(VLOOKUP(BU551,'Gebinde-Kategorie'!$A$5:$N$45,13,0)+0,0))</f>
        <v>104</v>
      </c>
      <c r="S551" s="54"/>
      <c r="T551" s="55"/>
      <c r="U551" s="55"/>
      <c r="V551" s="55"/>
      <c r="W551" s="48"/>
      <c r="X551" s="50"/>
      <c r="Y551" s="50"/>
      <c r="Z551" s="48" t="n">
        <f aca="false">IF(A551="","",IF(AND(Parameter!$B$21="Ja",ISNUMBER(W551)),W551,IF(BZ551="2+3",IF(ISNUMBER(SEARCH("grosser Artikel",BR551)),2,IFERROR(VLOOKUP(BU551,Parameter!$F$35:$G$64,2,0),2)),IF(OR(BZ551="Nein",BZ551=""),"-",BZ551))))</f>
        <v>3</v>
      </c>
      <c r="AA551" s="55"/>
      <c r="AB551" s="56"/>
      <c r="AC551" s="50" t="n">
        <f aca="false">AT551</f>
        <v>182</v>
      </c>
      <c r="AD551" s="50" t="n">
        <f aca="false">MAX(AT551,H551)</f>
        <v>182</v>
      </c>
      <c r="AE551" s="57"/>
      <c r="AF551" s="50" t="n">
        <f aca="false">IF(LEFT(Cockpit!$C$5,1)="A",H551,IF(CE551=1,CF551,IF(LEFT(Cockpit!$C$5,1)="B",AK551,MAX(AK551,H551))))</f>
        <v>56</v>
      </c>
      <c r="AG551" s="50" t="n">
        <f aca="false">IF(BW551=1,0,ROUNDUP(AF551/BV551,0))</f>
        <v>1</v>
      </c>
      <c r="AH551" s="52" t="n">
        <f aca="false">IF(CL551&gt;0,CL551*MAX(1,AF551/X551),IF(BW551=1,IF(AF551&lt;=0,0,CA551*MAX(1,IF(H551&gt;0,AF551/H551,1))),IF(R551&gt;0,AG551/R551,0))/MAX(0.1,N(Parameter!$M$21)))</f>
        <v>0.00961538461538462</v>
      </c>
      <c r="AI551" s="50" t="n">
        <f aca="false">AH551*BY551</f>
        <v>1.49038461538462</v>
      </c>
      <c r="AJ551" s="50" t="n">
        <f aca="false">AF551*G551</f>
        <v>94.08</v>
      </c>
      <c r="AK551" s="50" t="n">
        <f aca="false">ROUNDUP(MAX(J551/IF(CD551&gt;0,CD551,MAX(0.1,N(Cockpit!$C$6))),CG551)/BV551,0)*BV551</f>
        <v>182</v>
      </c>
      <c r="AL551" s="51" t="n">
        <f aca="false">IF(AI551&gt;0,J551/AI551,-1)</f>
        <v>101.316129032258</v>
      </c>
      <c r="AM551" s="51" t="n">
        <f aca="false">IF(AND(OR(CC551="L1",CC551="L23",CC551="LIFT"),AI551&gt;0),SUMIFS($AI$7:$AI$1843,$CC$7:$CC$1843,CC551,$AL$7:$AL$1843,"&gt;"&amp;AL551)+SUMIFS($AI$7:$AI$1843,$CC$7:$CC$1843,CC551,$AL$7:$AL$1843,AL551,$BT$7:$BT$1843,"&lt;="&amp;BT551),"")</f>
        <v>757.373168498169</v>
      </c>
      <c r="AN551" s="58" t="n">
        <f aca="false">IF(AM551="",0,MAX(0,MIN(1,(IF(CC551="L1",Parameter!$H$5,IF(CC551="L23",Parameter!$H$6+Parameter!$H$7,Parameter!$H$5+Parameter!$H$6+Parameter!$H$7))-(AM551-AI551))/AI551)))</f>
        <v>1</v>
      </c>
      <c r="AO551" s="50" t="n">
        <f aca="false">IF(LEFT(Cockpit!$I$5,1)="A",H551,IF(CE551=1,CF551,IF(LEFT(Cockpit!$I$5,1)="B",AT551,MAX(AT551,H551))))</f>
        <v>182</v>
      </c>
      <c r="AP551" s="50" t="n">
        <f aca="false">IF(BW551=1,0,ROUNDUP(AO551/BV551,0))</f>
        <v>2</v>
      </c>
      <c r="AQ551" s="52" t="n">
        <f aca="false">IF(CL551&gt;0,CL551*MAX(1,AO551/X551),IF(BW551=1,IF(AO551&lt;=0,0,CA551*MAX(1,IF(H551&gt;0,AO551/H551,1))),IF(R551&gt;0,AP551/R551,0))/MAX(0.1,N(Parameter!$M$21)))</f>
        <v>0.0192307692307692</v>
      </c>
      <c r="AR551" s="50" t="n">
        <f aca="false">AQ551*BY551</f>
        <v>2.98076923076923</v>
      </c>
      <c r="AS551" s="50" t="n">
        <f aca="false">AO551*G551</f>
        <v>305.76</v>
      </c>
      <c r="AT551" s="50" t="n">
        <f aca="false">ROUNDUP(MAX(J551/IF(CD551&gt;0,CD551,MAX(0.1,N(Cockpit!$I$6))),CG551)/BV551,0)*BV551</f>
        <v>182</v>
      </c>
      <c r="AU551" s="51" t="n">
        <f aca="false">IF(AR551&gt;0,J551/AR551,-1)</f>
        <v>50.658064516129</v>
      </c>
      <c r="AV551" s="51" t="n">
        <f aca="false">IF(AND(OR(CC551="L1",CC551="L23",CC551="LIFT"),AR551&gt;0),SUMIFS($AR$7:$AR$1843,$CC$7:$CC$1843,CC551,$AU$7:$AU$1843,"&gt;"&amp;AU551)+SUMIFS($AR$7:$AR$1843,$CC$7:$CC$1843,CC551,$AU$7:$AU$1843,AU551,$BT$7:$BT$1843,"&lt;="&amp;BT551),"")</f>
        <v>1524.84340659341</v>
      </c>
      <c r="AW551" s="58" t="n">
        <f aca="false">IF(AV551="",0,MAX(0,MIN(1,(IF(CC551="L1",Parameter!$H$5,IF(CC551="L23",Parameter!$H$6+Parameter!$H$7,Parameter!$H$5+Parameter!$H$6+Parameter!$H$7))-(AV551-AR551))/AR551)))</f>
        <v>1</v>
      </c>
      <c r="AX551" s="50" t="n">
        <f aca="false">IF(LEFT(Cockpit!$O$5,1)="A",H551,IF(CE551=1,CF551,IF(LEFT(Cockpit!$O$5,1)="B",BC551,MAX(BC551,H551))))</f>
        <v>182</v>
      </c>
      <c r="AY551" s="50" t="n">
        <f aca="false">IF(BW551=1,0,ROUNDUP(AX551/BV551,0))</f>
        <v>2</v>
      </c>
      <c r="AZ551" s="52" t="n">
        <f aca="false">IF(CL551&gt;0,CL551*MAX(1,AX551/X551),IF(BW551=1,IF(AX551&lt;=0,0,CA551*MAX(1,IF(H551&gt;0,AX551/H551,1))),IF(R551&gt;0,AY551/R551,0))/MAX(0.1,N(Parameter!$M$21)))</f>
        <v>0.0192307692307692</v>
      </c>
      <c r="BA551" s="50" t="n">
        <f aca="false">AZ551*BY551</f>
        <v>2.98076923076923</v>
      </c>
      <c r="BB551" s="50" t="n">
        <f aca="false">AX551*G551</f>
        <v>305.76</v>
      </c>
      <c r="BC551" s="50" t="n">
        <f aca="false">ROUNDUP(MAX(J551/IF(CD551&gt;0,CD551,MAX(0.1,N(Cockpit!$O$6))),CG551)/BV551,0)*BV551</f>
        <v>182</v>
      </c>
      <c r="BD551" s="51" t="n">
        <f aca="false">IF(BA551&gt;0,J551/BA551,-1)</f>
        <v>50.658064516129</v>
      </c>
      <c r="BE551" s="51" t="n">
        <f aca="false">IF(AND(OR(CC551="L1",CC551="L23",CC551="LIFT"),BA551&gt;0),SUMIFS($BA$7:$BA$1843,$CC$7:$CC$1843,CC551,$BD$7:$BD$1843,"&gt;"&amp;BD551)+SUMIFS($BA$7:$BA$1843,$CC$7:$CC$1843,CC551,$BD$7:$BD$1843,BD551,$BT$7:$BT$1843,"&lt;="&amp;BT551),"")</f>
        <v>1352.07097069597</v>
      </c>
      <c r="BF551" s="58" t="n">
        <f aca="false">IF(BE551="",0,MAX(0,MIN(1,(IF(CC551="L1",Parameter!$H$5,IF(CC551="L23",Parameter!$H$6+Parameter!$H$7,Parameter!$H$5+Parameter!$H$6+Parameter!$H$7))-(BE551-BA551))/BA551)))</f>
        <v>1</v>
      </c>
      <c r="BG551" s="48" t="str">
        <f aca="false">IF(AI551&lt;=0,"",IF(CC551="Aussen","Aussenlager",IF(CC551="-","Nicht im Lift",IF(AN551&gt;=1,"Lift",IF(AN551&lt;=0,"Aussenlager","teilweise")))))</f>
        <v>Lift</v>
      </c>
      <c r="BH551" s="48" t="str">
        <f aca="false">IF(AR551&lt;=0,"",IF(CC551="Aussen","Aussenlager",IF(CC551="-","Nicht im Lift",IF(AW551&gt;=1,"Lift",IF(AW551&lt;=0,"Aussenlager","teilweise")))))</f>
        <v>Lift</v>
      </c>
      <c r="BI551" s="48" t="str">
        <f aca="false">IF(BA551&lt;=0,"",IF(CC551="Aussen","Aussenlager",IF(CC551="-","Nicht im Lift",IF(BF551&gt;=1,"Lift",IF(BF551&lt;=0,"Aussenlager","teilweise")))))</f>
        <v>Lift</v>
      </c>
      <c r="BJ551" s="48" t="str">
        <f aca="false">IF(A551="","",IF(BS551=1,"Neu; ","")&amp;IF(AND(BS551=0,BN551&lt;0),"negativer Bestand (Export "&amp;BN551&amp;"); ","")&amp;IF(J551&lt;=0,"Kein Verbrauch; ","")&amp;IF(CL551&gt;0,"Lift "&amp;W551&amp;" lt. Liftbericht (Fach "&amp;X551&amp;" Stk); ",IF(BX551=1,"Gebinde geschätzt ("&amp;T551&amp;"); ",IF(BW551=1,"Lose – Tablare geschätzt; ","")))&amp;IF(H551&gt;AT551,"Überbestand "&amp;ROUND(H551-AT551,0)&amp;" Stk / CHF "&amp;ROUND((H551-AT551)*G551,0)&amp;"; ","")&amp;IF(AND(CE551=1,CF551&lt;CG551),"MAX &lt; MB+LG; ","")&amp;IF(AND(CK551&gt;0,CJ551*10&gt;CK551),"zu hoch für Tablar; ","")&amp;IF(AND(BS551=0,OR(CE551=1,AA551&lt;&gt;"",U551&lt;&gt;"",V551&lt;&gt;"",AB551&lt;&gt;"")),"manuell übersteuert; ","")&amp;IF(AND(BW551=0,R551=0),"Gebinde unbekannt / Stellmass fehlt; ","")&amp;IF(AND(BW551=0,N(V551)&lt;=0,N(Q551)&lt;=0),"Menge pro Gebinde fehlt (Ist = 1 Gebinde); ","")&amp;BR551)</f>
        <v/>
      </c>
      <c r="BK551" s="48"/>
      <c r="BL551" s="48"/>
      <c r="BM551" s="55"/>
      <c r="BN551" s="50" t="n">
        <v>9</v>
      </c>
      <c r="BO551" s="50" t="n">
        <v>47</v>
      </c>
      <c r="BP551" s="49" t="n">
        <v>16.53</v>
      </c>
      <c r="BQ551" s="50" t="n">
        <v>151</v>
      </c>
      <c r="BR551" s="48"/>
      <c r="BS551" s="53" t="n">
        <v>0</v>
      </c>
      <c r="BT551" s="53" t="n">
        <v>551</v>
      </c>
      <c r="BU551" s="48" t="str">
        <f aca="false">IF(U551&lt;&gt;"",UPPER(TRIM(U551)),IF(BX551=1,UPPER(VLOOKUP(T551,Parameter!$I$27:$K$29,2,0)),IF(P551="","LOSE",P551)))</f>
        <v>S32</v>
      </c>
      <c r="BV551" s="50" t="n">
        <f aca="false">IF(BU551="LOSE",1,IF(N(V551)&gt;0,V551,IF(BX551=1,MAX(1,N(VLOOKUP(T551,Parameter!$I$27:$K$29,3,0)),H551,N(N551)),IF(N(Q551)&gt;0,Q551,MAX(1,H551)))))</f>
        <v>91</v>
      </c>
      <c r="BW551" s="53" t="n">
        <f aca="false">IF(BU551="LOSE",1,0)</f>
        <v>0</v>
      </c>
      <c r="BX551" s="53" t="n">
        <f aca="false">IF(AND(U551="",OR(P551="",P551="LOSE"),T551&lt;&gt;"",N(S551)&lt;=0,ISNUMBER(MATCH(T551,Parameter!$I$27:$I$29,0))),1,0)</f>
        <v>0</v>
      </c>
      <c r="BY551" s="53" t="n">
        <f aca="false">IF(CL551&gt;0,INDEX(Parameter!$H$5:$H$7,W551)/INDEX(Parameter!$E$5:$E$7,W551),IF(AND(BW551=0,N(IFERROR(VLOOKUP(BU551,'Gebinde-Kategorie'!$A$5:$N$45,14,0),0))&gt;0),VLOOKUP(BU551,'Gebinde-Kategorie'!$A$5:$N$45,14,0)*10+Parameter!$M$23,Parameter!$M$24))</f>
        <v>155</v>
      </c>
      <c r="BZ551" s="48" t="str">
        <f aca="false">IF(AND(Parameter!$B$19="Ja",E551&lt;&gt;"",ISNUMBER(MATCH(E551,Parameter!$I$35:$I$52,0))),VLOOKUP(E551,Parameter!$I$35:$J$52,2,0),IFERROR(VLOOKUP(D551,Parameter!$A$35:$C$64,2,0),"Nein"))</f>
        <v>2+3</v>
      </c>
      <c r="CA551" s="52" t="n">
        <f aca="false">IF(BW551=0,0,IF(N(S551)&gt;0,S551,IFERROR(VLOOKUP(D551,Parameter!$A$35:$C$64,3,0)+0,0)))</f>
        <v>0</v>
      </c>
      <c r="CB551" s="48" t="n">
        <f aca="false">IF(AA551&lt;&gt;"",AA551,Z551)</f>
        <v>3</v>
      </c>
      <c r="CC551" s="48" t="str">
        <f aca="false">IF(OR(CB551=1,CB551=2,CB551=3),IF(Parameter!$E$27="Ja","LIFT",IF(CB551=1,"L1","L23")),IF(CB551="Aussen","Aussen","-"))</f>
        <v>LIFT</v>
      </c>
      <c r="CD551" s="59" t="n">
        <f aca="false">IF(N(AB551)&gt;0,AB551,0)</f>
        <v>0</v>
      </c>
      <c r="CE551" s="53" t="n">
        <f aca="false">IF(ISNUMBER(AE551),1,0)</f>
        <v>0</v>
      </c>
      <c r="CF551" s="50" t="n">
        <f aca="false">N(AE551)</f>
        <v>0</v>
      </c>
      <c r="CG551" s="50" t="n">
        <f aca="false">N(M551)+N(N551)</f>
        <v>158</v>
      </c>
      <c r="CH551" s="50" t="n">
        <f aca="false">ROUNDUP(H551/BV551,0)</f>
        <v>1</v>
      </c>
      <c r="CI551" s="50" t="n">
        <f aca="false">ROUNDUP(CF551/BV551,0)</f>
        <v>0</v>
      </c>
      <c r="CJ551" s="53" t="n">
        <f aca="false">IF(BW551=1,0,IFERROR(VLOOKUP(BU551,'Gebinde-Kategorie'!$A$5:$N$45,5,0)+0,0))</f>
        <v>8</v>
      </c>
      <c r="CK551" s="53" t="n">
        <f aca="false">IFERROR(IF(OR(CB551=1,CB551=2,CB551=3),N(INDEX(Parameter!$I$5:$I$7,CB551)),0),0)</f>
        <v>0</v>
      </c>
      <c r="CL551" s="52" t="n">
        <f aca="false">IF(AND(Parameter!$B$21="Ja",ISNUMBER(W551),N(X551)&gt;0),IFERROR(N(INDEX(Parameter!$L$5:$L$7,W551))*INDEX(Parameter!$E$5:$E$7,W551)*X551/SUMIFS($X$7:$X$1843,$W$7:$W$1843,W551),0),0)</f>
        <v>0</v>
      </c>
    </row>
    <row r="552" customFormat="false" ht="15" hidden="false" customHeight="false" outlineLevel="0" collapsed="false">
      <c r="A552" s="48" t="s">
        <v>1182</v>
      </c>
      <c r="B552" s="48" t="s">
        <v>632</v>
      </c>
      <c r="C552" s="48" t="s">
        <v>168</v>
      </c>
      <c r="D552" s="48" t="s">
        <v>188</v>
      </c>
      <c r="E552" s="48" t="s">
        <v>189</v>
      </c>
      <c r="F552" s="48" t="s">
        <v>222</v>
      </c>
      <c r="G552" s="49" t="n">
        <v>9.57</v>
      </c>
      <c r="H552" s="50" t="n">
        <f aca="false">MAX(0,IF(AND(Parameter!$B$21="Ja",ISNUMBER(Y552)),Y552,IF(Parameter!$B$20="Jahresanfang 2025 + Export",BO552+BN552,BN552)))</f>
        <v>10</v>
      </c>
      <c r="I552" s="50" t="n">
        <f aca="false">H552*G552</f>
        <v>95.7</v>
      </c>
      <c r="J552" s="50" t="n">
        <f aca="false">BQ552*Parameter!$B$18</f>
        <v>18</v>
      </c>
      <c r="K552" s="51" t="n">
        <v>8</v>
      </c>
      <c r="L552" s="52" t="n">
        <v>2.25</v>
      </c>
      <c r="M552" s="50" t="n">
        <v>0</v>
      </c>
      <c r="N552" s="50" t="n">
        <v>5</v>
      </c>
      <c r="O552" s="53" t="n">
        <v>14</v>
      </c>
      <c r="P552" s="48" t="s">
        <v>405</v>
      </c>
      <c r="Q552" s="50" t="n">
        <v>31</v>
      </c>
      <c r="R552" s="53" t="n">
        <f aca="false">IF(BW552=1,0,IFERROR(VLOOKUP(BU552,'Gebinde-Kategorie'!$A$5:$N$45,13,0)+0,0))</f>
        <v>280</v>
      </c>
      <c r="S552" s="54"/>
      <c r="T552" s="55"/>
      <c r="U552" s="55"/>
      <c r="V552" s="55"/>
      <c r="W552" s="48"/>
      <c r="X552" s="50"/>
      <c r="Y552" s="50"/>
      <c r="Z552" s="48" t="n">
        <f aca="false">IF(A552="","",IF(AND(Parameter!$B$21="Ja",ISNUMBER(W552)),W552,IF(BZ552="2+3",IF(ISNUMBER(SEARCH("grosser Artikel",BR552)),2,IFERROR(VLOOKUP(BU552,Parameter!$F$35:$G$64,2,0),2)),IF(OR(BZ552="Nein",BZ552=""),"-",BZ552))))</f>
        <v>3</v>
      </c>
      <c r="AA552" s="55"/>
      <c r="AB552" s="56"/>
      <c r="AC552" s="50" t="n">
        <f aca="false">AT552</f>
        <v>31</v>
      </c>
      <c r="AD552" s="50" t="n">
        <f aca="false">MAX(AT552,H552)</f>
        <v>31</v>
      </c>
      <c r="AE552" s="57"/>
      <c r="AF552" s="50" t="n">
        <f aca="false">IF(LEFT(Cockpit!$C$5,1)="A",H552,IF(CE552=1,CF552,IF(LEFT(Cockpit!$C$5,1)="B",AK552,MAX(AK552,H552))))</f>
        <v>10</v>
      </c>
      <c r="AG552" s="50" t="n">
        <f aca="false">IF(BW552=1,0,ROUNDUP(AF552/BV552,0))</f>
        <v>1</v>
      </c>
      <c r="AH552" s="52" t="n">
        <f aca="false">IF(CL552&gt;0,CL552*MAX(1,AF552/X552),IF(BW552=1,IF(AF552&lt;=0,0,CA552*MAX(1,IF(H552&gt;0,AF552/H552,1))),IF(R552&gt;0,AG552/R552,0))/MAX(0.1,N(Parameter!$M$21)))</f>
        <v>0.00357142857142857</v>
      </c>
      <c r="AI552" s="50" t="n">
        <f aca="false">AH552*BY552</f>
        <v>0.553571428571429</v>
      </c>
      <c r="AJ552" s="50" t="n">
        <f aca="false">AF552*G552</f>
        <v>95.7</v>
      </c>
      <c r="AK552" s="50" t="n">
        <f aca="false">ROUNDUP(MAX(J552/IF(CD552&gt;0,CD552,MAX(0.1,N(Cockpit!$C$6))),CG552)/BV552,0)*BV552</f>
        <v>31</v>
      </c>
      <c r="AL552" s="51" t="n">
        <f aca="false">IF(AI552&gt;0,J552/AI552,-1)</f>
        <v>32.5161290322581</v>
      </c>
      <c r="AM552" s="51" t="n">
        <f aca="false">IF(AND(OR(CC552="L1",CC552="L23",CC552="LIFT"),AI552&gt;0),SUMIFS($AI$7:$AI$1843,$CC$7:$CC$1843,CC552,$AL$7:$AL$1843,"&gt;"&amp;AL552)+SUMIFS($AI$7:$AI$1843,$CC$7:$CC$1843,CC552,$AL$7:$AL$1843,AL552,$BT$7:$BT$1843,"&lt;="&amp;BT552),"")</f>
        <v>1347.00274725275</v>
      </c>
      <c r="AN552" s="58" t="n">
        <f aca="false">IF(AM552="",0,MAX(0,MIN(1,(IF(CC552="L1",Parameter!$H$5,IF(CC552="L23",Parameter!$H$6+Parameter!$H$7,Parameter!$H$5+Parameter!$H$6+Parameter!$H$7))-(AM552-AI552))/AI552)))</f>
        <v>1</v>
      </c>
      <c r="AO552" s="50" t="n">
        <f aca="false">IF(LEFT(Cockpit!$I$5,1)="A",H552,IF(CE552=1,CF552,IF(LEFT(Cockpit!$I$5,1)="B",AT552,MAX(AT552,H552))))</f>
        <v>31</v>
      </c>
      <c r="AP552" s="50" t="n">
        <f aca="false">IF(BW552=1,0,ROUNDUP(AO552/BV552,0))</f>
        <v>1</v>
      </c>
      <c r="AQ552" s="52" t="n">
        <f aca="false">IF(CL552&gt;0,CL552*MAX(1,AO552/X552),IF(BW552=1,IF(AO552&lt;=0,0,CA552*MAX(1,IF(H552&gt;0,AO552/H552,1))),IF(R552&gt;0,AP552/R552,0))/MAX(0.1,N(Parameter!$M$21)))</f>
        <v>0.00357142857142857</v>
      </c>
      <c r="AR552" s="50" t="n">
        <f aca="false">AQ552*BY552</f>
        <v>0.553571428571429</v>
      </c>
      <c r="AS552" s="50" t="n">
        <f aca="false">AO552*G552</f>
        <v>296.67</v>
      </c>
      <c r="AT552" s="50" t="n">
        <f aca="false">ROUNDUP(MAX(J552/IF(CD552&gt;0,CD552,MAX(0.1,N(Cockpit!$I$6))),CG552)/BV552,0)*BV552</f>
        <v>31</v>
      </c>
      <c r="AU552" s="51" t="n">
        <f aca="false">IF(AR552&gt;0,J552/AR552,-1)</f>
        <v>32.5161290322581</v>
      </c>
      <c r="AV552" s="51" t="n">
        <f aca="false">IF(AND(OR(CC552="L1",CC552="L23",CC552="LIFT"),AR552&gt;0),SUMIFS($AR$7:$AR$1843,$CC$7:$CC$1843,CC552,$AU$7:$AU$1843,"&gt;"&amp;AU552)+SUMIFS($AR$7:$AR$1843,$CC$7:$CC$1843,CC552,$AU$7:$AU$1843,AU552,$BT$7:$BT$1843,"&lt;="&amp;BT552),"")</f>
        <v>1849.15384615385</v>
      </c>
      <c r="AW552" s="58" t="n">
        <f aca="false">IF(AV552="",0,MAX(0,MIN(1,(IF(CC552="L1",Parameter!$H$5,IF(CC552="L23",Parameter!$H$6+Parameter!$H$7,Parameter!$H$5+Parameter!$H$6+Parameter!$H$7))-(AV552-AR552))/AR552)))</f>
        <v>1</v>
      </c>
      <c r="AX552" s="50" t="n">
        <f aca="false">IF(LEFT(Cockpit!$O$5,1)="A",H552,IF(CE552=1,CF552,IF(LEFT(Cockpit!$O$5,1)="B",BC552,MAX(BC552,H552))))</f>
        <v>31</v>
      </c>
      <c r="AY552" s="50" t="n">
        <f aca="false">IF(BW552=1,0,ROUNDUP(AX552/BV552,0))</f>
        <v>1</v>
      </c>
      <c r="AZ552" s="52" t="n">
        <f aca="false">IF(CL552&gt;0,CL552*MAX(1,AX552/X552),IF(BW552=1,IF(AX552&lt;=0,0,CA552*MAX(1,IF(H552&gt;0,AX552/H552,1))),IF(R552&gt;0,AY552/R552,0))/MAX(0.1,N(Parameter!$M$21)))</f>
        <v>0.00357142857142857</v>
      </c>
      <c r="BA552" s="50" t="n">
        <f aca="false">AZ552*BY552</f>
        <v>0.553571428571429</v>
      </c>
      <c r="BB552" s="50" t="n">
        <f aca="false">AX552*G552</f>
        <v>296.67</v>
      </c>
      <c r="BC552" s="50" t="n">
        <f aca="false">ROUNDUP(MAX(J552/IF(CD552&gt;0,CD552,MAX(0.1,N(Cockpit!$O$6))),CG552)/BV552,0)*BV552</f>
        <v>31</v>
      </c>
      <c r="BD552" s="51" t="n">
        <f aca="false">IF(BA552&gt;0,J552/BA552,-1)</f>
        <v>32.5161290322581</v>
      </c>
      <c r="BE552" s="51" t="n">
        <f aca="false">IF(AND(OR(CC552="L1",CC552="L23",CC552="LIFT"),BA552&gt;0),SUMIFS($BA$7:$BA$1843,$CC$7:$CC$1843,CC552,$BD$7:$BD$1843,"&gt;"&amp;BD552)+SUMIFS($BA$7:$BA$1843,$CC$7:$CC$1843,CC552,$BD$7:$BD$1843,BD552,$BT$7:$BT$1843,"&lt;="&amp;BT552),"")</f>
        <v>1757.34294871795</v>
      </c>
      <c r="BF552" s="58" t="n">
        <f aca="false">IF(BE552="",0,MAX(0,MIN(1,(IF(CC552="L1",Parameter!$H$5,IF(CC552="L23",Parameter!$H$6+Parameter!$H$7,Parameter!$H$5+Parameter!$H$6+Parameter!$H$7))-(BE552-BA552))/BA552)))</f>
        <v>1</v>
      </c>
      <c r="BG552" s="48" t="str">
        <f aca="false">IF(AI552&lt;=0,"",IF(CC552="Aussen","Aussenlager",IF(CC552="-","Nicht im Lift",IF(AN552&gt;=1,"Lift",IF(AN552&lt;=0,"Aussenlager","teilweise")))))</f>
        <v>Lift</v>
      </c>
      <c r="BH552" s="48" t="str">
        <f aca="false">IF(AR552&lt;=0,"",IF(CC552="Aussen","Aussenlager",IF(CC552="-","Nicht im Lift",IF(AW552&gt;=1,"Lift",IF(AW552&lt;=0,"Aussenlager","teilweise")))))</f>
        <v>Lift</v>
      </c>
      <c r="BI552" s="48" t="str">
        <f aca="false">IF(BA552&lt;=0,"",IF(CC552="Aussen","Aussenlager",IF(CC552="-","Nicht im Lift",IF(BF552&gt;=1,"Lift",IF(BF552&lt;=0,"Aussenlager","teilweise")))))</f>
        <v>Lift</v>
      </c>
      <c r="BJ552" s="48" t="str">
        <f aca="false">IF(A552="","",IF(BS552=1,"Neu; ","")&amp;IF(AND(BS552=0,BN552&lt;0),"negativer Bestand (Export "&amp;BN552&amp;"); ","")&amp;IF(J552&lt;=0,"Kein Verbrauch; ","")&amp;IF(CL552&gt;0,"Lift "&amp;W552&amp;" lt. Liftbericht (Fach "&amp;X552&amp;" Stk); ",IF(BX552=1,"Gebinde geschätzt ("&amp;T552&amp;"); ",IF(BW552=1,"Lose – Tablare geschätzt; ","")))&amp;IF(H552&gt;AT552,"Überbestand "&amp;ROUND(H552-AT552,0)&amp;" Stk / CHF "&amp;ROUND((H552-AT552)*G552,0)&amp;"; ","")&amp;IF(AND(CE552=1,CF552&lt;CG552),"MAX &lt; MB+LG; ","")&amp;IF(AND(CK552&gt;0,CJ552*10&gt;CK552),"zu hoch für Tablar; ","")&amp;IF(AND(BS552=0,OR(CE552=1,AA552&lt;&gt;"",U552&lt;&gt;"",V552&lt;&gt;"",AB552&lt;&gt;"")),"manuell übersteuert; ","")&amp;IF(AND(BW552=0,R552=0),"Gebinde unbekannt / Stellmass fehlt; ","")&amp;IF(AND(BW552=0,N(V552)&lt;=0,N(Q552)&lt;=0),"Menge pro Gebinde fehlt (Ist = 1 Gebinde); ","")&amp;BR552)</f>
        <v/>
      </c>
      <c r="BK552" s="48"/>
      <c r="BL552" s="48"/>
      <c r="BM552" s="55"/>
      <c r="BN552" s="50" t="n">
        <v>3</v>
      </c>
      <c r="BO552" s="50" t="n">
        <v>7</v>
      </c>
      <c r="BP552" s="49" t="n">
        <v>16.1</v>
      </c>
      <c r="BQ552" s="50" t="n">
        <v>18</v>
      </c>
      <c r="BR552" s="48"/>
      <c r="BS552" s="53" t="n">
        <v>0</v>
      </c>
      <c r="BT552" s="53" t="n">
        <v>552</v>
      </c>
      <c r="BU552" s="48" t="str">
        <f aca="false">IF(U552&lt;&gt;"",UPPER(TRIM(U552)),IF(BX552=1,UPPER(VLOOKUP(T552,Parameter!$I$27:$K$29,2,0)),IF(P552="","LOSE",P552)))</f>
        <v>S21</v>
      </c>
      <c r="BV552" s="50" t="n">
        <f aca="false">IF(BU552="LOSE",1,IF(N(V552)&gt;0,V552,IF(BX552=1,MAX(1,N(VLOOKUP(T552,Parameter!$I$27:$K$29,3,0)),H552,N(N552)),IF(N(Q552)&gt;0,Q552,MAX(1,H552)))))</f>
        <v>31</v>
      </c>
      <c r="BW552" s="53" t="n">
        <f aca="false">IF(BU552="LOSE",1,0)</f>
        <v>0</v>
      </c>
      <c r="BX552" s="53" t="n">
        <f aca="false">IF(AND(U552="",OR(P552="",P552="LOSE"),T552&lt;&gt;"",N(S552)&lt;=0,ISNUMBER(MATCH(T552,Parameter!$I$27:$I$29,0))),1,0)</f>
        <v>0</v>
      </c>
      <c r="BY552" s="53" t="n">
        <f aca="false">IF(CL552&gt;0,INDEX(Parameter!$H$5:$H$7,W552)/INDEX(Parameter!$E$5:$E$7,W552),IF(AND(BW552=0,N(IFERROR(VLOOKUP(BU552,'Gebinde-Kategorie'!$A$5:$N$45,14,0),0))&gt;0),VLOOKUP(BU552,'Gebinde-Kategorie'!$A$5:$N$45,14,0)*10+Parameter!$M$23,Parameter!$M$24))</f>
        <v>155</v>
      </c>
      <c r="BZ552" s="48" t="str">
        <f aca="false">IF(AND(Parameter!$B$19="Ja",E552&lt;&gt;"",ISNUMBER(MATCH(E552,Parameter!$I$35:$I$52,0))),VLOOKUP(E552,Parameter!$I$35:$J$52,2,0),IFERROR(VLOOKUP(D552,Parameter!$A$35:$C$64,2,0),"Nein"))</f>
        <v>2+3</v>
      </c>
      <c r="CA552" s="52" t="n">
        <f aca="false">IF(BW552=0,0,IF(N(S552)&gt;0,S552,IFERROR(VLOOKUP(D552,Parameter!$A$35:$C$64,3,0)+0,0)))</f>
        <v>0</v>
      </c>
      <c r="CB552" s="48" t="n">
        <f aca="false">IF(AA552&lt;&gt;"",AA552,Z552)</f>
        <v>3</v>
      </c>
      <c r="CC552" s="48" t="str">
        <f aca="false">IF(OR(CB552=1,CB552=2,CB552=3),IF(Parameter!$E$27="Ja","LIFT",IF(CB552=1,"L1","L23")),IF(CB552="Aussen","Aussen","-"))</f>
        <v>LIFT</v>
      </c>
      <c r="CD552" s="59" t="n">
        <f aca="false">IF(N(AB552)&gt;0,AB552,0)</f>
        <v>0</v>
      </c>
      <c r="CE552" s="53" t="n">
        <f aca="false">IF(ISNUMBER(AE552),1,0)</f>
        <v>0</v>
      </c>
      <c r="CF552" s="50" t="n">
        <f aca="false">N(AE552)</f>
        <v>0</v>
      </c>
      <c r="CG552" s="50" t="n">
        <f aca="false">N(M552)+N(N552)</f>
        <v>5</v>
      </c>
      <c r="CH552" s="50" t="n">
        <f aca="false">ROUNDUP(H552/BV552,0)</f>
        <v>1</v>
      </c>
      <c r="CI552" s="50" t="n">
        <f aca="false">ROUNDUP(CF552/BV552,0)</f>
        <v>0</v>
      </c>
      <c r="CJ552" s="53" t="n">
        <f aca="false">IF(BW552=1,0,IFERROR(VLOOKUP(BU552,'Gebinde-Kategorie'!$A$5:$N$45,5,0)+0,0))</f>
        <v>8</v>
      </c>
      <c r="CK552" s="53" t="n">
        <f aca="false">IFERROR(IF(OR(CB552=1,CB552=2,CB552=3),N(INDEX(Parameter!$I$5:$I$7,CB552)),0),0)</f>
        <v>0</v>
      </c>
      <c r="CL552" s="52" t="n">
        <f aca="false">IF(AND(Parameter!$B$21="Ja",ISNUMBER(W552),N(X552)&gt;0),IFERROR(N(INDEX(Parameter!$L$5:$L$7,W552))*INDEX(Parameter!$E$5:$E$7,W552)*X552/SUMIFS($X$7:$X$1843,$W$7:$W$1843,W552),0),0)</f>
        <v>0</v>
      </c>
    </row>
    <row r="553" customFormat="false" ht="15" hidden="false" customHeight="false" outlineLevel="0" collapsed="false">
      <c r="A553" s="48" t="s">
        <v>1183</v>
      </c>
      <c r="B553" s="48" t="s">
        <v>409</v>
      </c>
      <c r="C553" s="48" t="s">
        <v>168</v>
      </c>
      <c r="D553" s="48" t="s">
        <v>177</v>
      </c>
      <c r="E553" s="48" t="s">
        <v>189</v>
      </c>
      <c r="F553" s="48" t="s">
        <v>222</v>
      </c>
      <c r="G553" s="49" t="n">
        <v>0.17</v>
      </c>
      <c r="H553" s="50" t="n">
        <f aca="false">MAX(0,IF(AND(Parameter!$B$21="Ja",ISNUMBER(Y553)),Y553,IF(Parameter!$B$20="Jahresanfang 2025 + Export",BO553+BN553,BN553)))</f>
        <v>804</v>
      </c>
      <c r="I553" s="50" t="n">
        <f aca="false">H553*G553</f>
        <v>136.68</v>
      </c>
      <c r="J553" s="50" t="n">
        <f aca="false">BQ553*Parameter!$B$18</f>
        <v>1832</v>
      </c>
      <c r="K553" s="51" t="n">
        <v>730.5</v>
      </c>
      <c r="L553" s="52" t="n">
        <v>2.50787132101301</v>
      </c>
      <c r="M553" s="50" t="n">
        <v>340</v>
      </c>
      <c r="N553" s="50" t="n">
        <v>400</v>
      </c>
      <c r="O553" s="53" t="n">
        <v>14</v>
      </c>
      <c r="P553" s="48" t="s">
        <v>237</v>
      </c>
      <c r="Q553" s="50" t="n">
        <v>931</v>
      </c>
      <c r="R553" s="53" t="n">
        <f aca="false">IF(BW553=1,0,IFERROR(VLOOKUP(BU553,'Gebinde-Kategorie'!$A$5:$N$45,13,0)+0,0))</f>
        <v>26</v>
      </c>
      <c r="S553" s="54"/>
      <c r="T553" s="55"/>
      <c r="U553" s="55"/>
      <c r="V553" s="55"/>
      <c r="W553" s="48"/>
      <c r="X553" s="50"/>
      <c r="Y553" s="50"/>
      <c r="Z553" s="48" t="n">
        <f aca="false">IF(A553="","",IF(AND(Parameter!$B$21="Ja",ISNUMBER(W553)),W553,IF(BZ553="2+3",IF(ISNUMBER(SEARCH("grosser Artikel",BR553)),2,IFERROR(VLOOKUP(BU553,Parameter!$F$35:$G$64,2,0),2)),IF(OR(BZ553="Nein",BZ553=""),"-",BZ553))))</f>
        <v>3</v>
      </c>
      <c r="AA553" s="55"/>
      <c r="AB553" s="56"/>
      <c r="AC553" s="50" t="n">
        <f aca="false">AT553</f>
        <v>931</v>
      </c>
      <c r="AD553" s="50" t="n">
        <f aca="false">MAX(AT553,H553)</f>
        <v>931</v>
      </c>
      <c r="AE553" s="57"/>
      <c r="AF553" s="50" t="n">
        <f aca="false">IF(LEFT(Cockpit!$C$5,1)="A",H553,IF(CE553=1,CF553,IF(LEFT(Cockpit!$C$5,1)="B",AK553,MAX(AK553,H553))))</f>
        <v>804</v>
      </c>
      <c r="AG553" s="50" t="n">
        <f aca="false">IF(BW553=1,0,ROUNDUP(AF553/BV553,0))</f>
        <v>1</v>
      </c>
      <c r="AH553" s="52" t="n">
        <f aca="false">IF(CL553&gt;0,CL553*MAX(1,AF553/X553),IF(BW553=1,IF(AF553&lt;=0,0,CA553*MAX(1,IF(H553&gt;0,AF553/H553,1))),IF(R553&gt;0,AG553/R553,0))/MAX(0.1,N(Parameter!$M$21)))</f>
        <v>0.0384615384615385</v>
      </c>
      <c r="AI553" s="50" t="n">
        <f aca="false">AH553*BY553</f>
        <v>9.42307692307692</v>
      </c>
      <c r="AJ553" s="50" t="n">
        <f aca="false">AF553*G553</f>
        <v>136.68</v>
      </c>
      <c r="AK553" s="50" t="n">
        <f aca="false">ROUNDUP(MAX(J553/IF(CD553&gt;0,CD553,MAX(0.1,N(Cockpit!$C$6))),CG553)/BV553,0)*BV553</f>
        <v>931</v>
      </c>
      <c r="AL553" s="51" t="n">
        <f aca="false">IF(AI553&gt;0,J553/AI553,-1)</f>
        <v>194.416326530612</v>
      </c>
      <c r="AM553" s="51" t="n">
        <f aca="false">IF(AND(OR(CC553="L1",CC553="L23",CC553="LIFT"),AI553&gt;0),SUMIFS($AI$7:$AI$1843,$CC$7:$CC$1843,CC553,$AL$7:$AL$1843,"&gt;"&amp;AL553)+SUMIFS($AI$7:$AI$1843,$CC$7:$CC$1843,CC553,$AL$7:$AL$1843,AL553,$BT$7:$BT$1843,"&lt;="&amp;BT553),"")</f>
        <v>354.889194139194</v>
      </c>
      <c r="AN553" s="58" t="n">
        <f aca="false">IF(AM553="",0,MAX(0,MIN(1,(IF(CC553="L1",Parameter!$H$5,IF(CC553="L23",Parameter!$H$6+Parameter!$H$7,Parameter!$H$5+Parameter!$H$6+Parameter!$H$7))-(AM553-AI553))/AI553)))</f>
        <v>1</v>
      </c>
      <c r="AO553" s="50" t="n">
        <f aca="false">IF(LEFT(Cockpit!$I$5,1)="A",H553,IF(CE553=1,CF553,IF(LEFT(Cockpit!$I$5,1)="B",AT553,MAX(AT553,H553))))</f>
        <v>931</v>
      </c>
      <c r="AP553" s="50" t="n">
        <f aca="false">IF(BW553=1,0,ROUNDUP(AO553/BV553,0))</f>
        <v>1</v>
      </c>
      <c r="AQ553" s="52" t="n">
        <f aca="false">IF(CL553&gt;0,CL553*MAX(1,AO553/X553),IF(BW553=1,IF(AO553&lt;=0,0,CA553*MAX(1,IF(H553&gt;0,AO553/H553,1))),IF(R553&gt;0,AP553/R553,0))/MAX(0.1,N(Parameter!$M$21)))</f>
        <v>0.0384615384615385</v>
      </c>
      <c r="AR553" s="50" t="n">
        <f aca="false">AQ553*BY553</f>
        <v>9.42307692307692</v>
      </c>
      <c r="AS553" s="50" t="n">
        <f aca="false">AO553*G553</f>
        <v>158.27</v>
      </c>
      <c r="AT553" s="50" t="n">
        <f aca="false">ROUNDUP(MAX(J553/IF(CD553&gt;0,CD553,MAX(0.1,N(Cockpit!$I$6))),CG553)/BV553,0)*BV553</f>
        <v>931</v>
      </c>
      <c r="AU553" s="51" t="n">
        <f aca="false">IF(AR553&gt;0,J553/AR553,-1)</f>
        <v>194.416326530612</v>
      </c>
      <c r="AV553" s="51" t="n">
        <f aca="false">IF(AND(OR(CC553="L1",CC553="L23",CC553="LIFT"),AR553&gt;0),SUMIFS($AR$7:$AR$1843,$CC$7:$CC$1843,CC553,$AU$7:$AU$1843,"&gt;"&amp;AU553)+SUMIFS($AR$7:$AR$1843,$CC$7:$CC$1843,CC553,$AU$7:$AU$1843,AU553,$BT$7:$BT$1843,"&lt;="&amp;BT553),"")</f>
        <v>396.930402930403</v>
      </c>
      <c r="AW553" s="58" t="n">
        <f aca="false">IF(AV553="",0,MAX(0,MIN(1,(IF(CC553="L1",Parameter!$H$5,IF(CC553="L23",Parameter!$H$6+Parameter!$H$7,Parameter!$H$5+Parameter!$H$6+Parameter!$H$7))-(AV553-AR553))/AR553)))</f>
        <v>1</v>
      </c>
      <c r="AX553" s="50" t="n">
        <f aca="false">IF(LEFT(Cockpit!$O$5,1)="A",H553,IF(CE553=1,CF553,IF(LEFT(Cockpit!$O$5,1)="B",BC553,MAX(BC553,H553))))</f>
        <v>931</v>
      </c>
      <c r="AY553" s="50" t="n">
        <f aca="false">IF(BW553=1,0,ROUNDUP(AX553/BV553,0))</f>
        <v>1</v>
      </c>
      <c r="AZ553" s="52" t="n">
        <f aca="false">IF(CL553&gt;0,CL553*MAX(1,AX553/X553),IF(BW553=1,IF(AX553&lt;=0,0,CA553*MAX(1,IF(H553&gt;0,AX553/H553,1))),IF(R553&gt;0,AY553/R553,0))/MAX(0.1,N(Parameter!$M$21)))</f>
        <v>0.0384615384615385</v>
      </c>
      <c r="BA553" s="50" t="n">
        <f aca="false">AZ553*BY553</f>
        <v>9.42307692307692</v>
      </c>
      <c r="BB553" s="50" t="n">
        <f aca="false">AX553*G553</f>
        <v>158.27</v>
      </c>
      <c r="BC553" s="50" t="n">
        <f aca="false">ROUNDUP(MAX(J553/IF(CD553&gt;0,CD553,MAX(0.1,N(Cockpit!$O$6))),CG553)/BV553,0)*BV553</f>
        <v>931</v>
      </c>
      <c r="BD553" s="51" t="n">
        <f aca="false">IF(BA553&gt;0,J553/BA553,-1)</f>
        <v>194.416326530612</v>
      </c>
      <c r="BE553" s="51" t="n">
        <f aca="false">IF(AND(OR(CC553="L1",CC553="L23",CC553="LIFT"),BA553&gt;0),SUMIFS($BA$7:$BA$1843,$CC$7:$CC$1843,CC553,$BD$7:$BD$1843,"&gt;"&amp;BD553)+SUMIFS($BA$7:$BA$1843,$CC$7:$CC$1843,CC553,$BD$7:$BD$1843,BD553,$BT$7:$BT$1843,"&lt;="&amp;BT553),"")</f>
        <v>464.831043956044</v>
      </c>
      <c r="BF553" s="58" t="n">
        <f aca="false">IF(BE553="",0,MAX(0,MIN(1,(IF(CC553="L1",Parameter!$H$5,IF(CC553="L23",Parameter!$H$6+Parameter!$H$7,Parameter!$H$5+Parameter!$H$6+Parameter!$H$7))-(BE553-BA553))/BA553)))</f>
        <v>1</v>
      </c>
      <c r="BG553" s="48" t="str">
        <f aca="false">IF(AI553&lt;=0,"",IF(CC553="Aussen","Aussenlager",IF(CC553="-","Nicht im Lift",IF(AN553&gt;=1,"Lift",IF(AN553&lt;=0,"Aussenlager","teilweise")))))</f>
        <v>Lift</v>
      </c>
      <c r="BH553" s="48" t="str">
        <f aca="false">IF(AR553&lt;=0,"",IF(CC553="Aussen","Aussenlager",IF(CC553="-","Nicht im Lift",IF(AW553&gt;=1,"Lift",IF(AW553&lt;=0,"Aussenlager","teilweise")))))</f>
        <v>Lift</v>
      </c>
      <c r="BI553" s="48" t="str">
        <f aca="false">IF(BA553&lt;=0,"",IF(CC553="Aussen","Aussenlager",IF(CC553="-","Nicht im Lift",IF(BF553&gt;=1,"Lift",IF(BF553&lt;=0,"Aussenlager","teilweise")))))</f>
        <v>Lift</v>
      </c>
      <c r="BJ553" s="48" t="str">
        <f aca="false">IF(A553="","",IF(BS553=1,"Neu; ","")&amp;IF(AND(BS553=0,BN553&lt;0),"negativer Bestand (Export "&amp;BN553&amp;"); ","")&amp;IF(J553&lt;=0,"Kein Verbrauch; ","")&amp;IF(CL553&gt;0,"Lift "&amp;W553&amp;" lt. Liftbericht (Fach "&amp;X553&amp;" Stk); ",IF(BX553=1,"Gebinde geschätzt ("&amp;T553&amp;"); ",IF(BW553=1,"Lose – Tablare geschätzt; ","")))&amp;IF(H553&gt;AT553,"Überbestand "&amp;ROUND(H553-AT553,0)&amp;" Stk / CHF "&amp;ROUND((H553-AT553)*G553,0)&amp;"; ","")&amp;IF(AND(CE553=1,CF553&lt;CG553),"MAX &lt; MB+LG; ","")&amp;IF(AND(CK553&gt;0,CJ553*10&gt;CK553),"zu hoch für Tablar; ","")&amp;IF(AND(BS553=0,OR(CE553=1,AA553&lt;&gt;"",U553&lt;&gt;"",V553&lt;&gt;"",AB553&lt;&gt;"")),"manuell übersteuert; ","")&amp;IF(AND(BW553=0,R553=0),"Gebinde unbekannt / Stellmass fehlt; ","")&amp;IF(AND(BW553=0,N(V553)&lt;=0,N(Q553)&lt;=0),"Menge pro Gebinde fehlt (Ist = 1 Gebinde); ","")&amp;BR553)</f>
        <v/>
      </c>
      <c r="BK553" s="48"/>
      <c r="BL553" s="48"/>
      <c r="BM553" s="55"/>
      <c r="BN553" s="50" t="n">
        <v>252</v>
      </c>
      <c r="BO553" s="50" t="n">
        <v>552</v>
      </c>
      <c r="BP553" s="49" t="n">
        <v>15.84</v>
      </c>
      <c r="BQ553" s="50" t="n">
        <v>1832</v>
      </c>
      <c r="BR553" s="48"/>
      <c r="BS553" s="53" t="n">
        <v>0</v>
      </c>
      <c r="BT553" s="53" t="n">
        <v>553</v>
      </c>
      <c r="BU553" s="48" t="str">
        <f aca="false">IF(U553&lt;&gt;"",UPPER(TRIM(U553)),IF(BX553=1,UPPER(VLOOKUP(T553,Parameter!$I$27:$K$29,2,0)),IF(P553="","LOSE",P553)))</f>
        <v>S52</v>
      </c>
      <c r="BV553" s="50" t="n">
        <f aca="false">IF(BU553="LOSE",1,IF(N(V553)&gt;0,V553,IF(BX553=1,MAX(1,N(VLOOKUP(T553,Parameter!$I$27:$K$29,3,0)),H553,N(N553)),IF(N(Q553)&gt;0,Q553,MAX(1,H553)))))</f>
        <v>931</v>
      </c>
      <c r="BW553" s="53" t="n">
        <f aca="false">IF(BU553="LOSE",1,0)</f>
        <v>0</v>
      </c>
      <c r="BX553" s="53" t="n">
        <f aca="false">IF(AND(U553="",OR(P553="",P553="LOSE"),T553&lt;&gt;"",N(S553)&lt;=0,ISNUMBER(MATCH(T553,Parameter!$I$27:$I$29,0))),1,0)</f>
        <v>0</v>
      </c>
      <c r="BY553" s="53" t="n">
        <f aca="false">IF(CL553&gt;0,INDEX(Parameter!$H$5:$H$7,W553)/INDEX(Parameter!$E$5:$E$7,W553),IF(AND(BW553=0,N(IFERROR(VLOOKUP(BU553,'Gebinde-Kategorie'!$A$5:$N$45,14,0),0))&gt;0),VLOOKUP(BU553,'Gebinde-Kategorie'!$A$5:$N$45,14,0)*10+Parameter!$M$23,Parameter!$M$24))</f>
        <v>245</v>
      </c>
      <c r="BZ553" s="48" t="str">
        <f aca="false">IF(AND(Parameter!$B$19="Ja",E553&lt;&gt;"",ISNUMBER(MATCH(E553,Parameter!$I$35:$I$52,0))),VLOOKUP(E553,Parameter!$I$35:$J$52,2,0),IFERROR(VLOOKUP(D553,Parameter!$A$35:$C$64,2,0),"Nein"))</f>
        <v>2+3</v>
      </c>
      <c r="CA553" s="52" t="n">
        <f aca="false">IF(BW553=0,0,IF(N(S553)&gt;0,S553,IFERROR(VLOOKUP(D553,Parameter!$A$35:$C$64,3,0)+0,0)))</f>
        <v>0</v>
      </c>
      <c r="CB553" s="48" t="n">
        <f aca="false">IF(AA553&lt;&gt;"",AA553,Z553)</f>
        <v>3</v>
      </c>
      <c r="CC553" s="48" t="str">
        <f aca="false">IF(OR(CB553=1,CB553=2,CB553=3),IF(Parameter!$E$27="Ja","LIFT",IF(CB553=1,"L1","L23")),IF(CB553="Aussen","Aussen","-"))</f>
        <v>LIFT</v>
      </c>
      <c r="CD553" s="59" t="n">
        <f aca="false">IF(N(AB553)&gt;0,AB553,0)</f>
        <v>0</v>
      </c>
      <c r="CE553" s="53" t="n">
        <f aca="false">IF(ISNUMBER(AE553),1,0)</f>
        <v>0</v>
      </c>
      <c r="CF553" s="50" t="n">
        <f aca="false">N(AE553)</f>
        <v>0</v>
      </c>
      <c r="CG553" s="50" t="n">
        <f aca="false">N(M553)+N(N553)</f>
        <v>740</v>
      </c>
      <c r="CH553" s="50" t="n">
        <f aca="false">ROUNDUP(H553/BV553,0)</f>
        <v>1</v>
      </c>
      <c r="CI553" s="50" t="n">
        <f aca="false">ROUNDUP(CF553/BV553,0)</f>
        <v>0</v>
      </c>
      <c r="CJ553" s="53" t="n">
        <f aca="false">IF(BW553=1,0,IFERROR(VLOOKUP(BU553,'Gebinde-Kategorie'!$A$5:$N$45,5,0)+0,0))</f>
        <v>21</v>
      </c>
      <c r="CK553" s="53" t="n">
        <f aca="false">IFERROR(IF(OR(CB553=1,CB553=2,CB553=3),N(INDEX(Parameter!$I$5:$I$7,CB553)),0),0)</f>
        <v>0</v>
      </c>
      <c r="CL553" s="52" t="n">
        <f aca="false">IF(AND(Parameter!$B$21="Ja",ISNUMBER(W553),N(X553)&gt;0),IFERROR(N(INDEX(Parameter!$L$5:$L$7,W553))*INDEX(Parameter!$E$5:$E$7,W553)*X553/SUMIFS($X$7:$X$1843,$W$7:$W$1843,W553),0),0)</f>
        <v>0</v>
      </c>
    </row>
    <row r="554" customFormat="false" ht="15" hidden="false" customHeight="false" outlineLevel="0" collapsed="false">
      <c r="A554" s="48" t="s">
        <v>1184</v>
      </c>
      <c r="B554" s="48" t="s">
        <v>409</v>
      </c>
      <c r="C554" s="48" t="s">
        <v>168</v>
      </c>
      <c r="D554" s="48" t="s">
        <v>188</v>
      </c>
      <c r="E554" s="48"/>
      <c r="F554" s="48" t="s">
        <v>222</v>
      </c>
      <c r="G554" s="49" t="n">
        <v>1.89</v>
      </c>
      <c r="H554" s="50" t="n">
        <f aca="false">MAX(0,IF(AND(Parameter!$B$21="Ja",ISNUMBER(Y554)),Y554,IF(Parameter!$B$20="Jahresanfang 2025 + Export",BO554+BN554,BN554)))</f>
        <v>197</v>
      </c>
      <c r="I554" s="50" t="n">
        <f aca="false">H554*G554</f>
        <v>372.33</v>
      </c>
      <c r="J554" s="50" t="n">
        <f aca="false">BQ554*Parameter!$B$18</f>
        <v>0</v>
      </c>
      <c r="K554" s="51" t="n">
        <v>193</v>
      </c>
      <c r="L554" s="52" t="n">
        <v>0</v>
      </c>
      <c r="M554" s="50" t="n">
        <v>0</v>
      </c>
      <c r="N554" s="50" t="n">
        <v>1</v>
      </c>
      <c r="O554" s="53" t="n">
        <v>14</v>
      </c>
      <c r="P554" s="48" t="s">
        <v>237</v>
      </c>
      <c r="Q554" s="50" t="n">
        <v>250</v>
      </c>
      <c r="R554" s="53" t="n">
        <f aca="false">IF(BW554=1,0,IFERROR(VLOOKUP(BU554,'Gebinde-Kategorie'!$A$5:$N$45,13,0)+0,0))</f>
        <v>26</v>
      </c>
      <c r="S554" s="54"/>
      <c r="T554" s="55"/>
      <c r="U554" s="55"/>
      <c r="V554" s="55"/>
      <c r="W554" s="48"/>
      <c r="X554" s="50"/>
      <c r="Y554" s="50"/>
      <c r="Z554" s="48" t="n">
        <f aca="false">IF(A554="","",IF(AND(Parameter!$B$21="Ja",ISNUMBER(W554)),W554,IF(BZ554="2+3",IF(ISNUMBER(SEARCH("grosser Artikel",BR554)),2,IFERROR(VLOOKUP(BU554,Parameter!$F$35:$G$64,2,0),2)),IF(OR(BZ554="Nein",BZ554=""),"-",BZ554))))</f>
        <v>3</v>
      </c>
      <c r="AA554" s="55"/>
      <c r="AB554" s="56"/>
      <c r="AC554" s="50" t="n">
        <f aca="false">AT554</f>
        <v>250</v>
      </c>
      <c r="AD554" s="50" t="n">
        <f aca="false">MAX(AT554,H554)</f>
        <v>250</v>
      </c>
      <c r="AE554" s="57"/>
      <c r="AF554" s="50" t="n">
        <f aca="false">IF(LEFT(Cockpit!$C$5,1)="A",H554,IF(CE554=1,CF554,IF(LEFT(Cockpit!$C$5,1)="B",AK554,MAX(AK554,H554))))</f>
        <v>197</v>
      </c>
      <c r="AG554" s="50" t="n">
        <f aca="false">IF(BW554=1,0,ROUNDUP(AF554/BV554,0))</f>
        <v>1</v>
      </c>
      <c r="AH554" s="52" t="n">
        <f aca="false">IF(CL554&gt;0,CL554*MAX(1,AF554/X554),IF(BW554=1,IF(AF554&lt;=0,0,CA554*MAX(1,IF(H554&gt;0,AF554/H554,1))),IF(R554&gt;0,AG554/R554,0))/MAX(0.1,N(Parameter!$M$21)))</f>
        <v>0.0384615384615385</v>
      </c>
      <c r="AI554" s="50" t="n">
        <f aca="false">AH554*BY554</f>
        <v>9.42307692307692</v>
      </c>
      <c r="AJ554" s="50" t="n">
        <f aca="false">AF554*G554</f>
        <v>372.33</v>
      </c>
      <c r="AK554" s="50" t="n">
        <f aca="false">ROUNDUP(MAX(J554/IF(CD554&gt;0,CD554,MAX(0.1,N(Cockpit!$C$6))),CG554)/BV554,0)*BV554</f>
        <v>250</v>
      </c>
      <c r="AL554" s="51" t="n">
        <f aca="false">IF(AI554&gt;0,J554/AI554,-1)</f>
        <v>0</v>
      </c>
      <c r="AM554" s="51" t="n">
        <f aca="false">IF(AND(OR(CC554="L1",CC554="L23",CC554="LIFT"),AI554&gt;0),SUMIFS($AI$7:$AI$1843,$CC$7:$CC$1843,CC554,$AL$7:$AL$1843,"&gt;"&amp;AL554)+SUMIFS($AI$7:$AI$1843,$CC$7:$CC$1843,CC554,$AL$7:$AL$1843,AL554,$BT$7:$BT$1843,"&lt;="&amp;BT554),"")</f>
        <v>28396.5221461683</v>
      </c>
      <c r="AN554" s="58" t="n">
        <f aca="false">IF(AM554="",0,MAX(0,MIN(1,(IF(CC554="L1",Parameter!$H$5,IF(CC554="L23",Parameter!$H$6+Parameter!$H$7,Parameter!$H$5+Parameter!$H$6+Parameter!$H$7))-(AM554-AI554))/AI554)))</f>
        <v>1</v>
      </c>
      <c r="AO554" s="50" t="n">
        <f aca="false">IF(LEFT(Cockpit!$I$5,1)="A",H554,IF(CE554=1,CF554,IF(LEFT(Cockpit!$I$5,1)="B",AT554,MAX(AT554,H554))))</f>
        <v>250</v>
      </c>
      <c r="AP554" s="50" t="n">
        <f aca="false">IF(BW554=1,0,ROUNDUP(AO554/BV554,0))</f>
        <v>1</v>
      </c>
      <c r="AQ554" s="52" t="n">
        <f aca="false">IF(CL554&gt;0,CL554*MAX(1,AO554/X554),IF(BW554=1,IF(AO554&lt;=0,0,CA554*MAX(1,IF(H554&gt;0,AO554/H554,1))),IF(R554&gt;0,AP554/R554,0))/MAX(0.1,N(Parameter!$M$21)))</f>
        <v>0.0384615384615385</v>
      </c>
      <c r="AR554" s="50" t="n">
        <f aca="false">AQ554*BY554</f>
        <v>9.42307692307692</v>
      </c>
      <c r="AS554" s="50" t="n">
        <f aca="false">AO554*G554</f>
        <v>472.5</v>
      </c>
      <c r="AT554" s="50" t="n">
        <f aca="false">ROUNDUP(MAX(J554/IF(CD554&gt;0,CD554,MAX(0.1,N(Cockpit!$I$6))),CG554)/BV554,0)*BV554</f>
        <v>250</v>
      </c>
      <c r="AU554" s="51" t="n">
        <f aca="false">IF(AR554&gt;0,J554/AR554,-1)</f>
        <v>0</v>
      </c>
      <c r="AV554" s="51" t="n">
        <f aca="false">IF(AND(OR(CC554="L1",CC554="L23",CC554="LIFT"),AR554&gt;0),SUMIFS($AR$7:$AR$1843,$CC$7:$CC$1843,CC554,$AU$7:$AU$1843,"&gt;"&amp;AU554)+SUMIFS($AR$7:$AR$1843,$CC$7:$CC$1843,CC554,$AU$7:$AU$1843,AU554,$BT$7:$BT$1843,"&lt;="&amp;BT554),"")</f>
        <v>39709.4276634383</v>
      </c>
      <c r="AW554" s="58" t="n">
        <f aca="false">IF(AV554="",0,MAX(0,MIN(1,(IF(CC554="L1",Parameter!$H$5,IF(CC554="L23",Parameter!$H$6+Parameter!$H$7,Parameter!$H$5+Parameter!$H$6+Parameter!$H$7))-(AV554-AR554))/AR554)))</f>
        <v>0</v>
      </c>
      <c r="AX554" s="50" t="n">
        <f aca="false">IF(LEFT(Cockpit!$O$5,1)="A",H554,IF(CE554=1,CF554,IF(LEFT(Cockpit!$O$5,1)="B",BC554,MAX(BC554,H554))))</f>
        <v>250</v>
      </c>
      <c r="AY554" s="50" t="n">
        <f aca="false">IF(BW554=1,0,ROUNDUP(AX554/BV554,0))</f>
        <v>1</v>
      </c>
      <c r="AZ554" s="52" t="n">
        <f aca="false">IF(CL554&gt;0,CL554*MAX(1,AX554/X554),IF(BW554=1,IF(AX554&lt;=0,0,CA554*MAX(1,IF(H554&gt;0,AX554/H554,1))),IF(R554&gt;0,AY554/R554,0))/MAX(0.1,N(Parameter!$M$21)))</f>
        <v>0.0384615384615385</v>
      </c>
      <c r="BA554" s="50" t="n">
        <f aca="false">AZ554*BY554</f>
        <v>9.42307692307692</v>
      </c>
      <c r="BB554" s="50" t="n">
        <f aca="false">AX554*G554</f>
        <v>472.5</v>
      </c>
      <c r="BC554" s="50" t="n">
        <f aca="false">ROUNDUP(MAX(J554/IF(CD554&gt;0,CD554,MAX(0.1,N(Cockpit!$O$6))),CG554)/BV554,0)*BV554</f>
        <v>250</v>
      </c>
      <c r="BD554" s="51" t="n">
        <f aca="false">IF(BA554&gt;0,J554/BA554,-1)</f>
        <v>0</v>
      </c>
      <c r="BE554" s="51" t="n">
        <f aca="false">IF(AND(OR(CC554="L1",CC554="L23",CC554="LIFT"),BA554&gt;0),SUMIFS($BA$7:$BA$1843,$CC$7:$CC$1843,CC554,$BD$7:$BD$1843,"&gt;"&amp;BD554)+SUMIFS($BA$7:$BA$1843,$CC$7:$CC$1843,CC554,$BD$7:$BD$1843,BD554,$BT$7:$BT$1843,"&lt;="&amp;BT554),"")</f>
        <v>36384.4397053041</v>
      </c>
      <c r="BF554" s="58" t="n">
        <f aca="false">IF(BE554="",0,MAX(0,MIN(1,(IF(CC554="L1",Parameter!$H$5,IF(CC554="L23",Parameter!$H$6+Parameter!$H$7,Parameter!$H$5+Parameter!$H$6+Parameter!$H$7))-(BE554-BA554))/BA554)))</f>
        <v>0</v>
      </c>
      <c r="BG554" s="48" t="str">
        <f aca="false">IF(AI554&lt;=0,"",IF(CC554="Aussen","Aussenlager",IF(CC554="-","Nicht im Lift",IF(AN554&gt;=1,"Lift",IF(AN554&lt;=0,"Aussenlager","teilweise")))))</f>
        <v>Lift</v>
      </c>
      <c r="BH554" s="48" t="str">
        <f aca="false">IF(AR554&lt;=0,"",IF(CC554="Aussen","Aussenlager",IF(CC554="-","Nicht im Lift",IF(AW554&gt;=1,"Lift",IF(AW554&lt;=0,"Aussenlager","teilweise")))))</f>
        <v>Aussenlager</v>
      </c>
      <c r="BI554" s="48" t="str">
        <f aca="false">IF(BA554&lt;=0,"",IF(CC554="Aussen","Aussenlager",IF(CC554="-","Nicht im Lift",IF(BF554&gt;=1,"Lift",IF(BF554&lt;=0,"Aussenlager","teilweise")))))</f>
        <v>Aussenlager</v>
      </c>
      <c r="BJ554" s="48" t="str">
        <f aca="false">IF(A554="","",IF(BS554=1,"Neu; ","")&amp;IF(AND(BS554=0,BN554&lt;0),"negativer Bestand (Export "&amp;BN554&amp;"); ","")&amp;IF(J554&lt;=0,"Kein Verbrauch; ","")&amp;IF(CL554&gt;0,"Lift "&amp;W554&amp;" lt. Liftbericht (Fach "&amp;X554&amp;" Stk); ",IF(BX554=1,"Gebinde geschätzt ("&amp;T554&amp;"); ",IF(BW554=1,"Lose – Tablare geschätzt; ","")))&amp;IF(H554&gt;AT554,"Überbestand "&amp;ROUND(H554-AT554,0)&amp;" Stk / CHF "&amp;ROUND((H554-AT554)*G554,0)&amp;"; ","")&amp;IF(AND(CE554=1,CF554&lt;CG554),"MAX &lt; MB+LG; ","")&amp;IF(AND(CK554&gt;0,CJ554*10&gt;CK554),"zu hoch für Tablar; ","")&amp;IF(AND(BS554=0,OR(CE554=1,AA554&lt;&gt;"",U554&lt;&gt;"",V554&lt;&gt;"",AB554&lt;&gt;"")),"manuell übersteuert; ","")&amp;IF(AND(BW554=0,R554=0),"Gebinde unbekannt / Stellmass fehlt; ","")&amp;IF(AND(BW554=0,N(V554)&lt;=0,N(Q554)&lt;=0),"Menge pro Gebinde fehlt (Ist = 1 Gebinde); ","")&amp;BR554)</f>
        <v>Kein Verbrauch; </v>
      </c>
      <c r="BK554" s="48"/>
      <c r="BL554" s="48"/>
      <c r="BM554" s="55"/>
      <c r="BN554" s="50" t="n">
        <v>8</v>
      </c>
      <c r="BO554" s="50" t="n">
        <v>189</v>
      </c>
      <c r="BP554" s="49" t="n">
        <v>15.12</v>
      </c>
      <c r="BQ554" s="50" t="n">
        <v>0</v>
      </c>
      <c r="BR554" s="48"/>
      <c r="BS554" s="53" t="n">
        <v>0</v>
      </c>
      <c r="BT554" s="53" t="n">
        <v>554</v>
      </c>
      <c r="BU554" s="48" t="str">
        <f aca="false">IF(U554&lt;&gt;"",UPPER(TRIM(U554)),IF(BX554=1,UPPER(VLOOKUP(T554,Parameter!$I$27:$K$29,2,0)),IF(P554="","LOSE",P554)))</f>
        <v>S52</v>
      </c>
      <c r="BV554" s="50" t="n">
        <f aca="false">IF(BU554="LOSE",1,IF(N(V554)&gt;0,V554,IF(BX554=1,MAX(1,N(VLOOKUP(T554,Parameter!$I$27:$K$29,3,0)),H554,N(N554)),IF(N(Q554)&gt;0,Q554,MAX(1,H554)))))</f>
        <v>250</v>
      </c>
      <c r="BW554" s="53" t="n">
        <f aca="false">IF(BU554="LOSE",1,0)</f>
        <v>0</v>
      </c>
      <c r="BX554" s="53" t="n">
        <f aca="false">IF(AND(U554="",OR(P554="",P554="LOSE"),T554&lt;&gt;"",N(S554)&lt;=0,ISNUMBER(MATCH(T554,Parameter!$I$27:$I$29,0))),1,0)</f>
        <v>0</v>
      </c>
      <c r="BY554" s="53" t="n">
        <f aca="false">IF(CL554&gt;0,INDEX(Parameter!$H$5:$H$7,W554)/INDEX(Parameter!$E$5:$E$7,W554),IF(AND(BW554=0,N(IFERROR(VLOOKUP(BU554,'Gebinde-Kategorie'!$A$5:$N$45,14,0),0))&gt;0),VLOOKUP(BU554,'Gebinde-Kategorie'!$A$5:$N$45,14,0)*10+Parameter!$M$23,Parameter!$M$24))</f>
        <v>245</v>
      </c>
      <c r="BZ554" s="48" t="str">
        <f aca="false">IF(AND(Parameter!$B$19="Ja",E554&lt;&gt;"",ISNUMBER(MATCH(E554,Parameter!$I$35:$I$52,0))),VLOOKUP(E554,Parameter!$I$35:$J$52,2,0),IFERROR(VLOOKUP(D554,Parameter!$A$35:$C$64,2,0),"Nein"))</f>
        <v>2+3</v>
      </c>
      <c r="CA554" s="52" t="n">
        <f aca="false">IF(BW554=0,0,IF(N(S554)&gt;0,S554,IFERROR(VLOOKUP(D554,Parameter!$A$35:$C$64,3,0)+0,0)))</f>
        <v>0</v>
      </c>
      <c r="CB554" s="48" t="n">
        <f aca="false">IF(AA554&lt;&gt;"",AA554,Z554)</f>
        <v>3</v>
      </c>
      <c r="CC554" s="48" t="str">
        <f aca="false">IF(OR(CB554=1,CB554=2,CB554=3),IF(Parameter!$E$27="Ja","LIFT",IF(CB554=1,"L1","L23")),IF(CB554="Aussen","Aussen","-"))</f>
        <v>LIFT</v>
      </c>
      <c r="CD554" s="59" t="n">
        <f aca="false">IF(N(AB554)&gt;0,AB554,0)</f>
        <v>0</v>
      </c>
      <c r="CE554" s="53" t="n">
        <f aca="false">IF(ISNUMBER(AE554),1,0)</f>
        <v>0</v>
      </c>
      <c r="CF554" s="50" t="n">
        <f aca="false">N(AE554)</f>
        <v>0</v>
      </c>
      <c r="CG554" s="50" t="n">
        <f aca="false">N(M554)+N(N554)</f>
        <v>1</v>
      </c>
      <c r="CH554" s="50" t="n">
        <f aca="false">ROUNDUP(H554/BV554,0)</f>
        <v>1</v>
      </c>
      <c r="CI554" s="50" t="n">
        <f aca="false">ROUNDUP(CF554/BV554,0)</f>
        <v>0</v>
      </c>
      <c r="CJ554" s="53" t="n">
        <f aca="false">IF(BW554=1,0,IFERROR(VLOOKUP(BU554,'Gebinde-Kategorie'!$A$5:$N$45,5,0)+0,0))</f>
        <v>21</v>
      </c>
      <c r="CK554" s="53" t="n">
        <f aca="false">IFERROR(IF(OR(CB554=1,CB554=2,CB554=3),N(INDEX(Parameter!$I$5:$I$7,CB554)),0),0)</f>
        <v>0</v>
      </c>
      <c r="CL554" s="52" t="n">
        <f aca="false">IF(AND(Parameter!$B$21="Ja",ISNUMBER(W554),N(X554)&gt;0),IFERROR(N(INDEX(Parameter!$L$5:$L$7,W554))*INDEX(Parameter!$E$5:$E$7,W554)*X554/SUMIFS($X$7:$X$1843,$W$7:$W$1843,W554),0),0)</f>
        <v>0</v>
      </c>
    </row>
    <row r="555" customFormat="false" ht="15" hidden="false" customHeight="false" outlineLevel="0" collapsed="false">
      <c r="A555" s="48" t="s">
        <v>1185</v>
      </c>
      <c r="B555" s="48" t="s">
        <v>861</v>
      </c>
      <c r="C555" s="48" t="s">
        <v>168</v>
      </c>
      <c r="D555" s="48" t="s">
        <v>188</v>
      </c>
      <c r="E555" s="48"/>
      <c r="F555" s="48" t="s">
        <v>222</v>
      </c>
      <c r="G555" s="49" t="n">
        <v>73.46</v>
      </c>
      <c r="H555" s="50" t="n">
        <f aca="false">MAX(0,IF(AND(Parameter!$B$21="Ja",ISNUMBER(Y555)),Y555,IF(Parameter!$B$20="Jahresanfang 2025 + Export",BO555+BN555,BN555)))</f>
        <v>5</v>
      </c>
      <c r="I555" s="50" t="n">
        <f aca="false">H555*G555</f>
        <v>367.3</v>
      </c>
      <c r="J555" s="50" t="n">
        <f aca="false">BQ555*Parameter!$B$18</f>
        <v>1</v>
      </c>
      <c r="K555" s="51" t="n">
        <v>4.5</v>
      </c>
      <c r="L555" s="52" t="n">
        <v>0.222222222222222</v>
      </c>
      <c r="M555" s="50" t="n">
        <v>0</v>
      </c>
      <c r="N555" s="50" t="n">
        <v>1</v>
      </c>
      <c r="O555" s="53" t="n">
        <v>35</v>
      </c>
      <c r="P555" s="48" t="s">
        <v>430</v>
      </c>
      <c r="Q555" s="50" t="n">
        <v>6</v>
      </c>
      <c r="R555" s="53" t="n">
        <f aca="false">IF(BW555=1,0,IFERROR(VLOOKUP(BU555,'Gebinde-Kategorie'!$A$5:$N$45,13,0)+0,0))</f>
        <v>140</v>
      </c>
      <c r="S555" s="54"/>
      <c r="T555" s="55"/>
      <c r="U555" s="55"/>
      <c r="V555" s="55"/>
      <c r="W555" s="48"/>
      <c r="X555" s="50"/>
      <c r="Y555" s="50"/>
      <c r="Z555" s="48" t="n">
        <f aca="false">IF(A555="","",IF(AND(Parameter!$B$21="Ja",ISNUMBER(W555)),W555,IF(BZ555="2+3",IF(ISNUMBER(SEARCH("grosser Artikel",BR555)),2,IFERROR(VLOOKUP(BU555,Parameter!$F$35:$G$64,2,0),2)),IF(OR(BZ555="Nein",BZ555=""),"-",BZ555))))</f>
        <v>3</v>
      </c>
      <c r="AA555" s="55"/>
      <c r="AB555" s="56"/>
      <c r="AC555" s="50" t="n">
        <f aca="false">AT555</f>
        <v>6</v>
      </c>
      <c r="AD555" s="50" t="n">
        <f aca="false">MAX(AT555,H555)</f>
        <v>6</v>
      </c>
      <c r="AE555" s="57"/>
      <c r="AF555" s="50" t="n">
        <f aca="false">IF(LEFT(Cockpit!$C$5,1)="A",H555,IF(CE555=1,CF555,IF(LEFT(Cockpit!$C$5,1)="B",AK555,MAX(AK555,H555))))</f>
        <v>5</v>
      </c>
      <c r="AG555" s="50" t="n">
        <f aca="false">IF(BW555=1,0,ROUNDUP(AF555/BV555,0))</f>
        <v>1</v>
      </c>
      <c r="AH555" s="52" t="n">
        <f aca="false">IF(CL555&gt;0,CL555*MAX(1,AF555/X555),IF(BW555=1,IF(AF555&lt;=0,0,CA555*MAX(1,IF(H555&gt;0,AF555/H555,1))),IF(R555&gt;0,AG555/R555,0))/MAX(0.1,N(Parameter!$M$21)))</f>
        <v>0.00714285714285714</v>
      </c>
      <c r="AI555" s="50" t="n">
        <f aca="false">AH555*BY555</f>
        <v>1.10714285714286</v>
      </c>
      <c r="AJ555" s="50" t="n">
        <f aca="false">AF555*G555</f>
        <v>367.3</v>
      </c>
      <c r="AK555" s="50" t="n">
        <f aca="false">ROUNDUP(MAX(J555/IF(CD555&gt;0,CD555,MAX(0.1,N(Cockpit!$C$6))),CG555)/BV555,0)*BV555</f>
        <v>6</v>
      </c>
      <c r="AL555" s="51" t="n">
        <f aca="false">IF(AI555&gt;0,J555/AI555,-1)</f>
        <v>0.903225806451613</v>
      </c>
      <c r="AM555" s="51" t="n">
        <f aca="false">IF(AND(OR(CC555="L1",CC555="L23",CC555="LIFT"),AI555&gt;0),SUMIFS($AI$7:$AI$1843,$CC$7:$CC$1843,CC555,$AL$7:$AL$1843,"&gt;"&amp;AL555)+SUMIFS($AI$7:$AI$1843,$CC$7:$CC$1843,CC555,$AL$7:$AL$1843,AL555,$BT$7:$BT$1843,"&lt;="&amp;BT555),"")</f>
        <v>7618.84844322344</v>
      </c>
      <c r="AN555" s="58" t="n">
        <f aca="false">IF(AM555="",0,MAX(0,MIN(1,(IF(CC555="L1",Parameter!$H$5,IF(CC555="L23",Parameter!$H$6+Parameter!$H$7,Parameter!$H$5+Parameter!$H$6+Parameter!$H$7))-(AM555-AI555))/AI555)))</f>
        <v>1</v>
      </c>
      <c r="AO555" s="50" t="n">
        <f aca="false">IF(LEFT(Cockpit!$I$5,1)="A",H555,IF(CE555=1,CF555,IF(LEFT(Cockpit!$I$5,1)="B",AT555,MAX(AT555,H555))))</f>
        <v>6</v>
      </c>
      <c r="AP555" s="50" t="n">
        <f aca="false">IF(BW555=1,0,ROUNDUP(AO555/BV555,0))</f>
        <v>1</v>
      </c>
      <c r="AQ555" s="52" t="n">
        <f aca="false">IF(CL555&gt;0,CL555*MAX(1,AO555/X555),IF(BW555=1,IF(AO555&lt;=0,0,CA555*MAX(1,IF(H555&gt;0,AO555/H555,1))),IF(R555&gt;0,AP555/R555,0))/MAX(0.1,N(Parameter!$M$21)))</f>
        <v>0.00714285714285714</v>
      </c>
      <c r="AR555" s="50" t="n">
        <f aca="false">AQ555*BY555</f>
        <v>1.10714285714286</v>
      </c>
      <c r="AS555" s="50" t="n">
        <f aca="false">AO555*G555</f>
        <v>440.76</v>
      </c>
      <c r="AT555" s="50" t="n">
        <f aca="false">ROUNDUP(MAX(J555/IF(CD555&gt;0,CD555,MAX(0.1,N(Cockpit!$I$6))),CG555)/BV555,0)*BV555</f>
        <v>6</v>
      </c>
      <c r="AU555" s="51" t="n">
        <f aca="false">IF(AR555&gt;0,J555/AR555,-1)</f>
        <v>0.903225806451613</v>
      </c>
      <c r="AV555" s="51" t="n">
        <f aca="false">IF(AND(OR(CC555="L1",CC555="L23",CC555="LIFT"),AR555&gt;0),SUMIFS($AR$7:$AR$1843,$CC$7:$CC$1843,CC555,$AU$7:$AU$1843,"&gt;"&amp;AU555)+SUMIFS($AR$7:$AR$1843,$CC$7:$CC$1843,CC555,$AU$7:$AU$1843,AU555,$BT$7:$BT$1843,"&lt;="&amp;BT555),"")</f>
        <v>10730.1053113553</v>
      </c>
      <c r="AW555" s="58" t="n">
        <f aca="false">IF(AV555="",0,MAX(0,MIN(1,(IF(CC555="L1",Parameter!$H$5,IF(CC555="L23",Parameter!$H$6+Parameter!$H$7,Parameter!$H$5+Parameter!$H$6+Parameter!$H$7))-(AV555-AR555))/AR555)))</f>
        <v>1</v>
      </c>
      <c r="AX555" s="50" t="n">
        <f aca="false">IF(LEFT(Cockpit!$O$5,1)="A",H555,IF(CE555=1,CF555,IF(LEFT(Cockpit!$O$5,1)="B",BC555,MAX(BC555,H555))))</f>
        <v>6</v>
      </c>
      <c r="AY555" s="50" t="n">
        <f aca="false">IF(BW555=1,0,ROUNDUP(AX555/BV555,0))</f>
        <v>1</v>
      </c>
      <c r="AZ555" s="52" t="n">
        <f aca="false">IF(CL555&gt;0,CL555*MAX(1,AX555/X555),IF(BW555=1,IF(AX555&lt;=0,0,CA555*MAX(1,IF(H555&gt;0,AX555/H555,1))),IF(R555&gt;0,AY555/R555,0))/MAX(0.1,N(Parameter!$M$21)))</f>
        <v>0.00714285714285714</v>
      </c>
      <c r="BA555" s="50" t="n">
        <f aca="false">AZ555*BY555</f>
        <v>1.10714285714286</v>
      </c>
      <c r="BB555" s="50" t="n">
        <f aca="false">AX555*G555</f>
        <v>440.76</v>
      </c>
      <c r="BC555" s="50" t="n">
        <f aca="false">ROUNDUP(MAX(J555/IF(CD555&gt;0,CD555,MAX(0.1,N(Cockpit!$O$6))),CG555)/BV555,0)*BV555</f>
        <v>6</v>
      </c>
      <c r="BD555" s="51" t="n">
        <f aca="false">IF(BA555&gt;0,J555/BA555,-1)</f>
        <v>0.903225806451613</v>
      </c>
      <c r="BE555" s="51" t="n">
        <f aca="false">IF(AND(OR(CC555="L1",CC555="L23",CC555="LIFT"),BA555&gt;0),SUMIFS($BA$7:$BA$1843,$CC$7:$CC$1843,CC555,$BD$7:$BD$1843,"&gt;"&amp;BD555)+SUMIFS($BA$7:$BA$1843,$CC$7:$CC$1843,CC555,$BD$7:$BD$1843,BD555,$BT$7:$BT$1843,"&lt;="&amp;BT555),"")</f>
        <v>9988.26236263736</v>
      </c>
      <c r="BF555" s="58" t="n">
        <f aca="false">IF(BE555="",0,MAX(0,MIN(1,(IF(CC555="L1",Parameter!$H$5,IF(CC555="L23",Parameter!$H$6+Parameter!$H$7,Parameter!$H$5+Parameter!$H$6+Parameter!$H$7))-(BE555-BA555))/BA555)))</f>
        <v>1</v>
      </c>
      <c r="BG555" s="48" t="str">
        <f aca="false">IF(AI555&lt;=0,"",IF(CC555="Aussen","Aussenlager",IF(CC555="-","Nicht im Lift",IF(AN555&gt;=1,"Lift",IF(AN555&lt;=0,"Aussenlager","teilweise")))))</f>
        <v>Lift</v>
      </c>
      <c r="BH555" s="48" t="str">
        <f aca="false">IF(AR555&lt;=0,"",IF(CC555="Aussen","Aussenlager",IF(CC555="-","Nicht im Lift",IF(AW555&gt;=1,"Lift",IF(AW555&lt;=0,"Aussenlager","teilweise")))))</f>
        <v>Lift</v>
      </c>
      <c r="BI555" s="48" t="str">
        <f aca="false">IF(BA555&lt;=0,"",IF(CC555="Aussen","Aussenlager",IF(CC555="-","Nicht im Lift",IF(BF555&gt;=1,"Lift",IF(BF555&lt;=0,"Aussenlager","teilweise")))))</f>
        <v>Lift</v>
      </c>
      <c r="BJ555" s="48" t="str">
        <f aca="false">IF(A555="","",IF(BS555=1,"Neu; ","")&amp;IF(AND(BS555=0,BN555&lt;0),"negativer Bestand (Export "&amp;BN555&amp;"); ","")&amp;IF(J555&lt;=0,"Kein Verbrauch; ","")&amp;IF(CL555&gt;0,"Lift "&amp;W555&amp;" lt. Liftbericht (Fach "&amp;X555&amp;" Stk); ",IF(BX555=1,"Gebinde geschätzt ("&amp;T555&amp;"); ",IF(BW555=1,"Lose – Tablare geschätzt; ","")))&amp;IF(H555&gt;AT555,"Überbestand "&amp;ROUND(H555-AT555,0)&amp;" Stk / CHF "&amp;ROUND((H555-AT555)*G555,0)&amp;"; ","")&amp;IF(AND(CE555=1,CF555&lt;CG555),"MAX &lt; MB+LG; ","")&amp;IF(AND(CK555&gt;0,CJ555*10&gt;CK555),"zu hoch für Tablar; ","")&amp;IF(AND(BS555=0,OR(CE555=1,AA555&lt;&gt;"",U555&lt;&gt;"",V555&lt;&gt;"",AB555&lt;&gt;"")),"manuell übersteuert; ","")&amp;IF(AND(BW555=0,R555=0),"Gebinde unbekannt / Stellmass fehlt; ","")&amp;IF(AND(BW555=0,N(V555)&lt;=0,N(Q555)&lt;=0),"Menge pro Gebinde fehlt (Ist = 1 Gebinde); ","")&amp;BR555)</f>
        <v/>
      </c>
      <c r="BK555" s="48"/>
      <c r="BL555" s="48"/>
      <c r="BM555" s="55"/>
      <c r="BN555" s="50" t="n">
        <v>0</v>
      </c>
      <c r="BO555" s="50" t="n">
        <v>5</v>
      </c>
      <c r="BP555" s="49" t="n">
        <v>15.05</v>
      </c>
      <c r="BQ555" s="50" t="n">
        <v>1</v>
      </c>
      <c r="BR555" s="48"/>
      <c r="BS555" s="53" t="n">
        <v>0</v>
      </c>
      <c r="BT555" s="53" t="n">
        <v>555</v>
      </c>
      <c r="BU555" s="48" t="str">
        <f aca="false">IF(U555&lt;&gt;"",UPPER(TRIM(U555)),IF(BX555=1,UPPER(VLOOKUP(T555,Parameter!$I$27:$K$29,2,0)),IF(P555="","LOSE",P555)))</f>
        <v>S22</v>
      </c>
      <c r="BV555" s="50" t="n">
        <f aca="false">IF(BU555="LOSE",1,IF(N(V555)&gt;0,V555,IF(BX555=1,MAX(1,N(VLOOKUP(T555,Parameter!$I$27:$K$29,3,0)),H555,N(N555)),IF(N(Q555)&gt;0,Q555,MAX(1,H555)))))</f>
        <v>6</v>
      </c>
      <c r="BW555" s="53" t="n">
        <f aca="false">IF(BU555="LOSE",1,0)</f>
        <v>0</v>
      </c>
      <c r="BX555" s="53" t="n">
        <f aca="false">IF(AND(U555="",OR(P555="",P555="LOSE"),T555&lt;&gt;"",N(S555)&lt;=0,ISNUMBER(MATCH(T555,Parameter!$I$27:$I$29,0))),1,0)</f>
        <v>0</v>
      </c>
      <c r="BY555" s="53" t="n">
        <f aca="false">IF(CL555&gt;0,INDEX(Parameter!$H$5:$H$7,W555)/INDEX(Parameter!$E$5:$E$7,W555),IF(AND(BW555=0,N(IFERROR(VLOOKUP(BU555,'Gebinde-Kategorie'!$A$5:$N$45,14,0),0))&gt;0),VLOOKUP(BU555,'Gebinde-Kategorie'!$A$5:$N$45,14,0)*10+Parameter!$M$23,Parameter!$M$24))</f>
        <v>155</v>
      </c>
      <c r="BZ555" s="48" t="str">
        <f aca="false">IF(AND(Parameter!$B$19="Ja",E555&lt;&gt;"",ISNUMBER(MATCH(E555,Parameter!$I$35:$I$52,0))),VLOOKUP(E555,Parameter!$I$35:$J$52,2,0),IFERROR(VLOOKUP(D555,Parameter!$A$35:$C$64,2,0),"Nein"))</f>
        <v>2+3</v>
      </c>
      <c r="CA555" s="52" t="n">
        <f aca="false">IF(BW555=0,0,IF(N(S555)&gt;0,S555,IFERROR(VLOOKUP(D555,Parameter!$A$35:$C$64,3,0)+0,0)))</f>
        <v>0</v>
      </c>
      <c r="CB555" s="48" t="n">
        <f aca="false">IF(AA555&lt;&gt;"",AA555,Z555)</f>
        <v>3</v>
      </c>
      <c r="CC555" s="48" t="str">
        <f aca="false">IF(OR(CB555=1,CB555=2,CB555=3),IF(Parameter!$E$27="Ja","LIFT",IF(CB555=1,"L1","L23")),IF(CB555="Aussen","Aussen","-"))</f>
        <v>LIFT</v>
      </c>
      <c r="CD555" s="59" t="n">
        <f aca="false">IF(N(AB555)&gt;0,AB555,0)</f>
        <v>0</v>
      </c>
      <c r="CE555" s="53" t="n">
        <f aca="false">IF(ISNUMBER(AE555),1,0)</f>
        <v>0</v>
      </c>
      <c r="CF555" s="50" t="n">
        <f aca="false">N(AE555)</f>
        <v>0</v>
      </c>
      <c r="CG555" s="50" t="n">
        <f aca="false">N(M555)+N(N555)</f>
        <v>1</v>
      </c>
      <c r="CH555" s="50" t="n">
        <f aca="false">ROUNDUP(H555/BV555,0)</f>
        <v>1</v>
      </c>
      <c r="CI555" s="50" t="n">
        <f aca="false">ROUNDUP(CF555/BV555,0)</f>
        <v>0</v>
      </c>
      <c r="CJ555" s="53" t="n">
        <f aca="false">IF(BW555=1,0,IFERROR(VLOOKUP(BU555,'Gebinde-Kategorie'!$A$5:$N$45,5,0)+0,0))</f>
        <v>8</v>
      </c>
      <c r="CK555" s="53" t="n">
        <f aca="false">IFERROR(IF(OR(CB555=1,CB555=2,CB555=3),N(INDEX(Parameter!$I$5:$I$7,CB555)),0),0)</f>
        <v>0</v>
      </c>
      <c r="CL555" s="52" t="n">
        <f aca="false">IF(AND(Parameter!$B$21="Ja",ISNUMBER(W555),N(X555)&gt;0),IFERROR(N(INDEX(Parameter!$L$5:$L$7,W555))*INDEX(Parameter!$E$5:$E$7,W555)*X555/SUMIFS($X$7:$X$1843,$W$7:$W$1843,W555),0),0)</f>
        <v>0</v>
      </c>
    </row>
    <row r="556" customFormat="false" ht="15" hidden="false" customHeight="false" outlineLevel="0" collapsed="false">
      <c r="A556" s="48" t="s">
        <v>1186</v>
      </c>
      <c r="B556" s="48" t="s">
        <v>1187</v>
      </c>
      <c r="C556" s="48" t="s">
        <v>168</v>
      </c>
      <c r="D556" s="48" t="s">
        <v>188</v>
      </c>
      <c r="E556" s="48"/>
      <c r="F556" s="48" t="s">
        <v>222</v>
      </c>
      <c r="G556" s="49" t="n">
        <v>1.06</v>
      </c>
      <c r="H556" s="50" t="n">
        <f aca="false">MAX(0,IF(AND(Parameter!$B$21="Ja",ISNUMBER(Y556)),Y556,IF(Parameter!$B$20="Jahresanfang 2025 + Export",BO556+BN556,BN556)))</f>
        <v>14</v>
      </c>
      <c r="I556" s="50" t="n">
        <f aca="false">H556*G556</f>
        <v>14.84</v>
      </c>
      <c r="J556" s="50" t="n">
        <f aca="false">BQ556*Parameter!$B$18</f>
        <v>0</v>
      </c>
      <c r="K556" s="51" t="n">
        <v>10</v>
      </c>
      <c r="L556" s="52" t="n">
        <v>0</v>
      </c>
      <c r="M556" s="50" t="n">
        <v>0</v>
      </c>
      <c r="N556" s="50" t="n">
        <v>1</v>
      </c>
      <c r="O556" s="53" t="n">
        <v>31</v>
      </c>
      <c r="P556" s="48" t="s">
        <v>405</v>
      </c>
      <c r="Q556" s="50" t="n">
        <v>20</v>
      </c>
      <c r="R556" s="53" t="n">
        <f aca="false">IF(BW556=1,0,IFERROR(VLOOKUP(BU556,'Gebinde-Kategorie'!$A$5:$N$45,13,0)+0,0))</f>
        <v>280</v>
      </c>
      <c r="S556" s="54"/>
      <c r="T556" s="55"/>
      <c r="U556" s="55"/>
      <c r="V556" s="55"/>
      <c r="W556" s="48"/>
      <c r="X556" s="50"/>
      <c r="Y556" s="50"/>
      <c r="Z556" s="48" t="n">
        <f aca="false">IF(A556="","",IF(AND(Parameter!$B$21="Ja",ISNUMBER(W556)),W556,IF(BZ556="2+3",IF(ISNUMBER(SEARCH("grosser Artikel",BR556)),2,IFERROR(VLOOKUP(BU556,Parameter!$F$35:$G$64,2,0),2)),IF(OR(BZ556="Nein",BZ556=""),"-",BZ556))))</f>
        <v>3</v>
      </c>
      <c r="AA556" s="55"/>
      <c r="AB556" s="56"/>
      <c r="AC556" s="50" t="n">
        <f aca="false">AT556</f>
        <v>20</v>
      </c>
      <c r="AD556" s="50" t="n">
        <f aca="false">MAX(AT556,H556)</f>
        <v>20</v>
      </c>
      <c r="AE556" s="57"/>
      <c r="AF556" s="50" t="n">
        <f aca="false">IF(LEFT(Cockpit!$C$5,1)="A",H556,IF(CE556=1,CF556,IF(LEFT(Cockpit!$C$5,1)="B",AK556,MAX(AK556,H556))))</f>
        <v>14</v>
      </c>
      <c r="AG556" s="50" t="n">
        <f aca="false">IF(BW556=1,0,ROUNDUP(AF556/BV556,0))</f>
        <v>1</v>
      </c>
      <c r="AH556" s="52" t="n">
        <f aca="false">IF(CL556&gt;0,CL556*MAX(1,AF556/X556),IF(BW556=1,IF(AF556&lt;=0,0,CA556*MAX(1,IF(H556&gt;0,AF556/H556,1))),IF(R556&gt;0,AG556/R556,0))/MAX(0.1,N(Parameter!$M$21)))</f>
        <v>0.00357142857142857</v>
      </c>
      <c r="AI556" s="50" t="n">
        <f aca="false">AH556*BY556</f>
        <v>0.553571428571429</v>
      </c>
      <c r="AJ556" s="50" t="n">
        <f aca="false">AF556*G556</f>
        <v>14.84</v>
      </c>
      <c r="AK556" s="50" t="n">
        <f aca="false">ROUNDUP(MAX(J556/IF(CD556&gt;0,CD556,MAX(0.1,N(Cockpit!$C$6))),CG556)/BV556,0)*BV556</f>
        <v>20</v>
      </c>
      <c r="AL556" s="51" t="n">
        <f aca="false">IF(AI556&gt;0,J556/AI556,-1)</f>
        <v>0</v>
      </c>
      <c r="AM556" s="51" t="n">
        <f aca="false">IF(AND(OR(CC556="L1",CC556="L23",CC556="LIFT"),AI556&gt;0),SUMIFS($AI$7:$AI$1843,$CC$7:$CC$1843,CC556,$AL$7:$AL$1843,"&gt;"&amp;AL556)+SUMIFS($AI$7:$AI$1843,$CC$7:$CC$1843,CC556,$AL$7:$AL$1843,AL556,$BT$7:$BT$1843,"&lt;="&amp;BT556),"")</f>
        <v>28397.0757175969</v>
      </c>
      <c r="AN556" s="58" t="n">
        <f aca="false">IF(AM556="",0,MAX(0,MIN(1,(IF(CC556="L1",Parameter!$H$5,IF(CC556="L23",Parameter!$H$6+Parameter!$H$7,Parameter!$H$5+Parameter!$H$6+Parameter!$H$7))-(AM556-AI556))/AI556)))</f>
        <v>1</v>
      </c>
      <c r="AO556" s="50" t="n">
        <f aca="false">IF(LEFT(Cockpit!$I$5,1)="A",H556,IF(CE556=1,CF556,IF(LEFT(Cockpit!$I$5,1)="B",AT556,MAX(AT556,H556))))</f>
        <v>20</v>
      </c>
      <c r="AP556" s="50" t="n">
        <f aca="false">IF(BW556=1,0,ROUNDUP(AO556/BV556,0))</f>
        <v>1</v>
      </c>
      <c r="AQ556" s="52" t="n">
        <f aca="false">IF(CL556&gt;0,CL556*MAX(1,AO556/X556),IF(BW556=1,IF(AO556&lt;=0,0,CA556*MAX(1,IF(H556&gt;0,AO556/H556,1))),IF(R556&gt;0,AP556/R556,0))/MAX(0.1,N(Parameter!$M$21)))</f>
        <v>0.00357142857142857</v>
      </c>
      <c r="AR556" s="50" t="n">
        <f aca="false">AQ556*BY556</f>
        <v>0.553571428571429</v>
      </c>
      <c r="AS556" s="50" t="n">
        <f aca="false">AO556*G556</f>
        <v>21.2</v>
      </c>
      <c r="AT556" s="50" t="n">
        <f aca="false">ROUNDUP(MAX(J556/IF(CD556&gt;0,CD556,MAX(0.1,N(Cockpit!$I$6))),CG556)/BV556,0)*BV556</f>
        <v>20</v>
      </c>
      <c r="AU556" s="51" t="n">
        <f aca="false">IF(AR556&gt;0,J556/AR556,-1)</f>
        <v>0</v>
      </c>
      <c r="AV556" s="51" t="n">
        <f aca="false">IF(AND(OR(CC556="L1",CC556="L23",CC556="LIFT"),AR556&gt;0),SUMIFS($AR$7:$AR$1843,$CC$7:$CC$1843,CC556,$AU$7:$AU$1843,"&gt;"&amp;AU556)+SUMIFS($AR$7:$AR$1843,$CC$7:$CC$1843,CC556,$AU$7:$AU$1843,AU556,$BT$7:$BT$1843,"&lt;="&amp;BT556),"")</f>
        <v>39709.9812348668</v>
      </c>
      <c r="AW556" s="58" t="n">
        <f aca="false">IF(AV556="",0,MAX(0,MIN(1,(IF(CC556="L1",Parameter!$H$5,IF(CC556="L23",Parameter!$H$6+Parameter!$H$7,Parameter!$H$5+Parameter!$H$6+Parameter!$H$7))-(AV556-AR556))/AR556)))</f>
        <v>0</v>
      </c>
      <c r="AX556" s="50" t="n">
        <f aca="false">IF(LEFT(Cockpit!$O$5,1)="A",H556,IF(CE556=1,CF556,IF(LEFT(Cockpit!$O$5,1)="B",BC556,MAX(BC556,H556))))</f>
        <v>20</v>
      </c>
      <c r="AY556" s="50" t="n">
        <f aca="false">IF(BW556=1,0,ROUNDUP(AX556/BV556,0))</f>
        <v>1</v>
      </c>
      <c r="AZ556" s="52" t="n">
        <f aca="false">IF(CL556&gt;0,CL556*MAX(1,AX556/X556),IF(BW556=1,IF(AX556&lt;=0,0,CA556*MAX(1,IF(H556&gt;0,AX556/H556,1))),IF(R556&gt;0,AY556/R556,0))/MAX(0.1,N(Parameter!$M$21)))</f>
        <v>0.00357142857142857</v>
      </c>
      <c r="BA556" s="50" t="n">
        <f aca="false">AZ556*BY556</f>
        <v>0.553571428571429</v>
      </c>
      <c r="BB556" s="50" t="n">
        <f aca="false">AX556*G556</f>
        <v>21.2</v>
      </c>
      <c r="BC556" s="50" t="n">
        <f aca="false">ROUNDUP(MAX(J556/IF(CD556&gt;0,CD556,MAX(0.1,N(Cockpit!$O$6))),CG556)/BV556,0)*BV556</f>
        <v>20</v>
      </c>
      <c r="BD556" s="51" t="n">
        <f aca="false">IF(BA556&gt;0,J556/BA556,-1)</f>
        <v>0</v>
      </c>
      <c r="BE556" s="51" t="n">
        <f aca="false">IF(AND(OR(CC556="L1",CC556="L23",CC556="LIFT"),BA556&gt;0),SUMIFS($BA$7:$BA$1843,$CC$7:$CC$1843,CC556,$BD$7:$BD$1843,"&gt;"&amp;BD556)+SUMIFS($BA$7:$BA$1843,$CC$7:$CC$1843,CC556,$BD$7:$BD$1843,BD556,$BT$7:$BT$1843,"&lt;="&amp;BT556),"")</f>
        <v>36384.9932767327</v>
      </c>
      <c r="BF556" s="58" t="n">
        <f aca="false">IF(BE556="",0,MAX(0,MIN(1,(IF(CC556="L1",Parameter!$H$5,IF(CC556="L23",Parameter!$H$6+Parameter!$H$7,Parameter!$H$5+Parameter!$H$6+Parameter!$H$7))-(BE556-BA556))/BA556)))</f>
        <v>0</v>
      </c>
      <c r="BG556" s="48" t="str">
        <f aca="false">IF(AI556&lt;=0,"",IF(CC556="Aussen","Aussenlager",IF(CC556="-","Nicht im Lift",IF(AN556&gt;=1,"Lift",IF(AN556&lt;=0,"Aussenlager","teilweise")))))</f>
        <v>Lift</v>
      </c>
      <c r="BH556" s="48" t="str">
        <f aca="false">IF(AR556&lt;=0,"",IF(CC556="Aussen","Aussenlager",IF(CC556="-","Nicht im Lift",IF(AW556&gt;=1,"Lift",IF(AW556&lt;=0,"Aussenlager","teilweise")))))</f>
        <v>Aussenlager</v>
      </c>
      <c r="BI556" s="48" t="str">
        <f aca="false">IF(BA556&lt;=0,"",IF(CC556="Aussen","Aussenlager",IF(CC556="-","Nicht im Lift",IF(BF556&gt;=1,"Lift",IF(BF556&lt;=0,"Aussenlager","teilweise")))))</f>
        <v>Aussenlager</v>
      </c>
      <c r="BJ556" s="48" t="str">
        <f aca="false">IF(A556="","",IF(BS556=1,"Neu; ","")&amp;IF(AND(BS556=0,BN556&lt;0),"negativer Bestand (Export "&amp;BN556&amp;"); ","")&amp;IF(J556&lt;=0,"Kein Verbrauch; ","")&amp;IF(CL556&gt;0,"Lift "&amp;W556&amp;" lt. Liftbericht (Fach "&amp;X556&amp;" Stk); ",IF(BX556=1,"Gebinde geschätzt ("&amp;T556&amp;"); ",IF(BW556=1,"Lose – Tablare geschätzt; ","")))&amp;IF(H556&gt;AT556,"Überbestand "&amp;ROUND(H556-AT556,0)&amp;" Stk / CHF "&amp;ROUND((H556-AT556)*G556,0)&amp;"; ","")&amp;IF(AND(CE556=1,CF556&lt;CG556),"MAX &lt; MB+LG; ","")&amp;IF(AND(CK556&gt;0,CJ556*10&gt;CK556),"zu hoch für Tablar; ","")&amp;IF(AND(BS556=0,OR(CE556=1,AA556&lt;&gt;"",U556&lt;&gt;"",V556&lt;&gt;"",AB556&lt;&gt;"")),"manuell übersteuert; ","")&amp;IF(AND(BW556=0,R556=0),"Gebinde unbekannt / Stellmass fehlt; ","")&amp;IF(AND(BW556=0,N(V556)&lt;=0,N(Q556)&lt;=0),"Menge pro Gebinde fehlt (Ist = 1 Gebinde); ","")&amp;BR556)</f>
        <v>Kein Verbrauch; </v>
      </c>
      <c r="BK556" s="48"/>
      <c r="BL556" s="48"/>
      <c r="BM556" s="55"/>
      <c r="BN556" s="50" t="n">
        <v>14</v>
      </c>
      <c r="BO556" s="50" t="n">
        <v>0</v>
      </c>
      <c r="BP556" s="49" t="n">
        <v>14.84</v>
      </c>
      <c r="BQ556" s="50" t="n">
        <v>0</v>
      </c>
      <c r="BR556" s="48"/>
      <c r="BS556" s="53" t="n">
        <v>0</v>
      </c>
      <c r="BT556" s="53" t="n">
        <v>556</v>
      </c>
      <c r="BU556" s="48" t="str">
        <f aca="false">IF(U556&lt;&gt;"",UPPER(TRIM(U556)),IF(BX556=1,UPPER(VLOOKUP(T556,Parameter!$I$27:$K$29,2,0)),IF(P556="","LOSE",P556)))</f>
        <v>S21</v>
      </c>
      <c r="BV556" s="50" t="n">
        <f aca="false">IF(BU556="LOSE",1,IF(N(V556)&gt;0,V556,IF(BX556=1,MAX(1,N(VLOOKUP(T556,Parameter!$I$27:$K$29,3,0)),H556,N(N556)),IF(N(Q556)&gt;0,Q556,MAX(1,H556)))))</f>
        <v>20</v>
      </c>
      <c r="BW556" s="53" t="n">
        <f aca="false">IF(BU556="LOSE",1,0)</f>
        <v>0</v>
      </c>
      <c r="BX556" s="53" t="n">
        <f aca="false">IF(AND(U556="",OR(P556="",P556="LOSE"),T556&lt;&gt;"",N(S556)&lt;=0,ISNUMBER(MATCH(T556,Parameter!$I$27:$I$29,0))),1,0)</f>
        <v>0</v>
      </c>
      <c r="BY556" s="53" t="n">
        <f aca="false">IF(CL556&gt;0,INDEX(Parameter!$H$5:$H$7,W556)/INDEX(Parameter!$E$5:$E$7,W556),IF(AND(BW556=0,N(IFERROR(VLOOKUP(BU556,'Gebinde-Kategorie'!$A$5:$N$45,14,0),0))&gt;0),VLOOKUP(BU556,'Gebinde-Kategorie'!$A$5:$N$45,14,0)*10+Parameter!$M$23,Parameter!$M$24))</f>
        <v>155</v>
      </c>
      <c r="BZ556" s="48" t="str">
        <f aca="false">IF(AND(Parameter!$B$19="Ja",E556&lt;&gt;"",ISNUMBER(MATCH(E556,Parameter!$I$35:$I$52,0))),VLOOKUP(E556,Parameter!$I$35:$J$52,2,0),IFERROR(VLOOKUP(D556,Parameter!$A$35:$C$64,2,0),"Nein"))</f>
        <v>2+3</v>
      </c>
      <c r="CA556" s="52" t="n">
        <f aca="false">IF(BW556=0,0,IF(N(S556)&gt;0,S556,IFERROR(VLOOKUP(D556,Parameter!$A$35:$C$64,3,0)+0,0)))</f>
        <v>0</v>
      </c>
      <c r="CB556" s="48" t="n">
        <f aca="false">IF(AA556&lt;&gt;"",AA556,Z556)</f>
        <v>3</v>
      </c>
      <c r="CC556" s="48" t="str">
        <f aca="false">IF(OR(CB556=1,CB556=2,CB556=3),IF(Parameter!$E$27="Ja","LIFT",IF(CB556=1,"L1","L23")),IF(CB556="Aussen","Aussen","-"))</f>
        <v>LIFT</v>
      </c>
      <c r="CD556" s="59" t="n">
        <f aca="false">IF(N(AB556)&gt;0,AB556,0)</f>
        <v>0</v>
      </c>
      <c r="CE556" s="53" t="n">
        <f aca="false">IF(ISNUMBER(AE556),1,0)</f>
        <v>0</v>
      </c>
      <c r="CF556" s="50" t="n">
        <f aca="false">N(AE556)</f>
        <v>0</v>
      </c>
      <c r="CG556" s="50" t="n">
        <f aca="false">N(M556)+N(N556)</f>
        <v>1</v>
      </c>
      <c r="CH556" s="50" t="n">
        <f aca="false">ROUNDUP(H556/BV556,0)</f>
        <v>1</v>
      </c>
      <c r="CI556" s="50" t="n">
        <f aca="false">ROUNDUP(CF556/BV556,0)</f>
        <v>0</v>
      </c>
      <c r="CJ556" s="53" t="n">
        <f aca="false">IF(BW556=1,0,IFERROR(VLOOKUP(BU556,'Gebinde-Kategorie'!$A$5:$N$45,5,0)+0,0))</f>
        <v>8</v>
      </c>
      <c r="CK556" s="53" t="n">
        <f aca="false">IFERROR(IF(OR(CB556=1,CB556=2,CB556=3),N(INDEX(Parameter!$I$5:$I$7,CB556)),0),0)</f>
        <v>0</v>
      </c>
      <c r="CL556" s="52" t="n">
        <f aca="false">IF(AND(Parameter!$B$21="Ja",ISNUMBER(W556),N(X556)&gt;0),IFERROR(N(INDEX(Parameter!$L$5:$L$7,W556))*INDEX(Parameter!$E$5:$E$7,W556)*X556/SUMIFS($X$7:$X$1843,$W$7:$W$1843,W556),0),0)</f>
        <v>0</v>
      </c>
    </row>
    <row r="557" customFormat="false" ht="15" hidden="false" customHeight="false" outlineLevel="0" collapsed="false">
      <c r="A557" s="48" t="s">
        <v>1188</v>
      </c>
      <c r="B557" s="48" t="s">
        <v>1189</v>
      </c>
      <c r="C557" s="48" t="s">
        <v>168</v>
      </c>
      <c r="D557" s="48" t="s">
        <v>177</v>
      </c>
      <c r="E557" s="48" t="s">
        <v>189</v>
      </c>
      <c r="F557" s="48" t="s">
        <v>222</v>
      </c>
      <c r="G557" s="49" t="n">
        <v>4.33</v>
      </c>
      <c r="H557" s="50" t="n">
        <f aca="false">MAX(0,IF(AND(Parameter!$B$21="Ja",ISNUMBER(Y557)),Y557,IF(Parameter!$B$20="Jahresanfang 2025 + Export",BO557+BN557,BN557)))</f>
        <v>32</v>
      </c>
      <c r="I557" s="50" t="n">
        <f aca="false">H557*G557</f>
        <v>138.56</v>
      </c>
      <c r="J557" s="50" t="n">
        <f aca="false">BQ557*Parameter!$B$18</f>
        <v>24</v>
      </c>
      <c r="K557" s="51" t="n">
        <v>43.5</v>
      </c>
      <c r="L557" s="52" t="n">
        <v>0.551724137931035</v>
      </c>
      <c r="M557" s="50" t="n">
        <v>3</v>
      </c>
      <c r="N557" s="50" t="n">
        <v>25</v>
      </c>
      <c r="O557" s="53" t="n">
        <v>49</v>
      </c>
      <c r="P557" s="48" t="s">
        <v>178</v>
      </c>
      <c r="Q557" s="50" t="n">
        <v>48</v>
      </c>
      <c r="R557" s="53" t="n">
        <f aca="false">IF(BW557=1,0,IFERROR(VLOOKUP(BU557,'Gebinde-Kategorie'!$A$5:$N$45,13,0)+0,0))</f>
        <v>6</v>
      </c>
      <c r="S557" s="54"/>
      <c r="T557" s="55"/>
      <c r="U557" s="55"/>
      <c r="V557" s="55"/>
      <c r="W557" s="48"/>
      <c r="X557" s="50"/>
      <c r="Y557" s="50"/>
      <c r="Z557" s="48" t="n">
        <f aca="false">IF(A557="","",IF(AND(Parameter!$B$21="Ja",ISNUMBER(W557)),W557,IF(BZ557="2+3",IF(ISNUMBER(SEARCH("grosser Artikel",BR557)),2,IFERROR(VLOOKUP(BU557,Parameter!$F$35:$G$64,2,0),2)),IF(OR(BZ557="Nein",BZ557=""),"-",BZ557))))</f>
        <v>2</v>
      </c>
      <c r="AA557" s="55"/>
      <c r="AB557" s="56"/>
      <c r="AC557" s="50" t="n">
        <f aca="false">AT557</f>
        <v>48</v>
      </c>
      <c r="AD557" s="50" t="n">
        <f aca="false">MAX(AT557,H557)</f>
        <v>48</v>
      </c>
      <c r="AE557" s="57"/>
      <c r="AF557" s="50" t="n">
        <f aca="false">IF(LEFT(Cockpit!$C$5,1)="A",H557,IF(CE557=1,CF557,IF(LEFT(Cockpit!$C$5,1)="B",AK557,MAX(AK557,H557))))</f>
        <v>32</v>
      </c>
      <c r="AG557" s="50" t="n">
        <f aca="false">IF(BW557=1,0,ROUNDUP(AF557/BV557,0))</f>
        <v>1</v>
      </c>
      <c r="AH557" s="52" t="n">
        <f aca="false">IF(CL557&gt;0,CL557*MAX(1,AF557/X557),IF(BW557=1,IF(AF557&lt;=0,0,CA557*MAX(1,IF(H557&gt;0,AF557/H557,1))),IF(R557&gt;0,AG557/R557,0))/MAX(0.1,N(Parameter!$M$21)))</f>
        <v>0.166666666666667</v>
      </c>
      <c r="AI557" s="50" t="n">
        <f aca="false">AH557*BY557</f>
        <v>39.1666666666667</v>
      </c>
      <c r="AJ557" s="50" t="n">
        <f aca="false">AF557*G557</f>
        <v>138.56</v>
      </c>
      <c r="AK557" s="50" t="n">
        <f aca="false">ROUNDUP(MAX(J557/IF(CD557&gt;0,CD557,MAX(0.1,N(Cockpit!$C$6))),CG557)/BV557,0)*BV557</f>
        <v>48</v>
      </c>
      <c r="AL557" s="51" t="n">
        <f aca="false">IF(AI557&gt;0,J557/AI557,-1)</f>
        <v>0.612765957446809</v>
      </c>
      <c r="AM557" s="51" t="n">
        <f aca="false">IF(AND(OR(CC557="L1",CC557="L23",CC557="LIFT"),AI557&gt;0),SUMIFS($AI$7:$AI$1843,$CC$7:$CC$1843,CC557,$AL$7:$AL$1843,"&gt;"&amp;AL557)+SUMIFS($AI$7:$AI$1843,$CC$7:$CC$1843,CC557,$AL$7:$AL$1843,AL557,$BT$7:$BT$1843,"&lt;="&amp;BT557),"")</f>
        <v>9191.2028103723</v>
      </c>
      <c r="AN557" s="58" t="n">
        <f aca="false">IF(AM557="",0,MAX(0,MIN(1,(IF(CC557="L1",Parameter!$H$5,IF(CC557="L23",Parameter!$H$6+Parameter!$H$7,Parameter!$H$5+Parameter!$H$6+Parameter!$H$7))-(AM557-AI557))/AI557)))</f>
        <v>1</v>
      </c>
      <c r="AO557" s="50" t="n">
        <f aca="false">IF(LEFT(Cockpit!$I$5,1)="A",H557,IF(CE557=1,CF557,IF(LEFT(Cockpit!$I$5,1)="B",AT557,MAX(AT557,H557))))</f>
        <v>48</v>
      </c>
      <c r="AP557" s="50" t="n">
        <f aca="false">IF(BW557=1,0,ROUNDUP(AO557/BV557,0))</f>
        <v>1</v>
      </c>
      <c r="AQ557" s="52" t="n">
        <f aca="false">IF(CL557&gt;0,CL557*MAX(1,AO557/X557),IF(BW557=1,IF(AO557&lt;=0,0,CA557*MAX(1,IF(H557&gt;0,AO557/H557,1))),IF(R557&gt;0,AP557/R557,0))/MAX(0.1,N(Parameter!$M$21)))</f>
        <v>0.166666666666667</v>
      </c>
      <c r="AR557" s="50" t="n">
        <f aca="false">AQ557*BY557</f>
        <v>39.1666666666667</v>
      </c>
      <c r="AS557" s="50" t="n">
        <f aca="false">AO557*G557</f>
        <v>207.84</v>
      </c>
      <c r="AT557" s="50" t="n">
        <f aca="false">ROUNDUP(MAX(J557/IF(CD557&gt;0,CD557,MAX(0.1,N(Cockpit!$I$6))),CG557)/BV557,0)*BV557</f>
        <v>48</v>
      </c>
      <c r="AU557" s="51" t="n">
        <f aca="false">IF(AR557&gt;0,J557/AR557,-1)</f>
        <v>0.612765957446809</v>
      </c>
      <c r="AV557" s="51" t="n">
        <f aca="false">IF(AND(OR(CC557="L1",CC557="L23",CC557="LIFT"),AR557&gt;0),SUMIFS($AR$7:$AR$1843,$CC$7:$CC$1843,CC557,$AU$7:$AU$1843,"&gt;"&amp;AU557)+SUMIFS($AR$7:$AR$1843,$CC$7:$CC$1843,CC557,$AU$7:$AU$1843,AU557,$BT$7:$BT$1843,"&lt;="&amp;BT557),"")</f>
        <v>12544.4043040293</v>
      </c>
      <c r="AW557" s="58" t="n">
        <f aca="false">IF(AV557="",0,MAX(0,MIN(1,(IF(CC557="L1",Parameter!$H$5,IF(CC557="L23",Parameter!$H$6+Parameter!$H$7,Parameter!$H$5+Parameter!$H$6+Parameter!$H$7))-(AV557-AR557))/AR557)))</f>
        <v>1</v>
      </c>
      <c r="AX557" s="50" t="n">
        <f aca="false">IF(LEFT(Cockpit!$O$5,1)="A",H557,IF(CE557=1,CF557,IF(LEFT(Cockpit!$O$5,1)="B",BC557,MAX(BC557,H557))))</f>
        <v>48</v>
      </c>
      <c r="AY557" s="50" t="n">
        <f aca="false">IF(BW557=1,0,ROUNDUP(AX557/BV557,0))</f>
        <v>1</v>
      </c>
      <c r="AZ557" s="52" t="n">
        <f aca="false">IF(CL557&gt;0,CL557*MAX(1,AX557/X557),IF(BW557=1,IF(AX557&lt;=0,0,CA557*MAX(1,IF(H557&gt;0,AX557/H557,1))),IF(R557&gt;0,AY557/R557,0))/MAX(0.1,N(Parameter!$M$21)))</f>
        <v>0.166666666666667</v>
      </c>
      <c r="BA557" s="50" t="n">
        <f aca="false">AZ557*BY557</f>
        <v>39.1666666666667</v>
      </c>
      <c r="BB557" s="50" t="n">
        <f aca="false">AX557*G557</f>
        <v>207.84</v>
      </c>
      <c r="BC557" s="50" t="n">
        <f aca="false">ROUNDUP(MAX(J557/IF(CD557&gt;0,CD557,MAX(0.1,N(Cockpit!$O$6))),CG557)/BV557,0)*BV557</f>
        <v>48</v>
      </c>
      <c r="BD557" s="51" t="n">
        <f aca="false">IF(BA557&gt;0,J557/BA557,-1)</f>
        <v>0.612765957446809</v>
      </c>
      <c r="BE557" s="51" t="n">
        <f aca="false">IF(AND(OR(CC557="L1",CC557="L23",CC557="LIFT"),BA557&gt;0),SUMIFS($BA$7:$BA$1843,$CC$7:$CC$1843,CC557,$BD$7:$BD$1843,"&gt;"&amp;BD557)+SUMIFS($BA$7:$BA$1843,$CC$7:$CC$1843,CC557,$BD$7:$BD$1843,BD557,$BT$7:$BT$1843,"&lt;="&amp;BT557),"")</f>
        <v>11709.228021978</v>
      </c>
      <c r="BF557" s="58" t="n">
        <f aca="false">IF(BE557="",0,MAX(0,MIN(1,(IF(CC557="L1",Parameter!$H$5,IF(CC557="L23",Parameter!$H$6+Parameter!$H$7,Parameter!$H$5+Parameter!$H$6+Parameter!$H$7))-(BE557-BA557))/BA557)))</f>
        <v>1</v>
      </c>
      <c r="BG557" s="48" t="str">
        <f aca="false">IF(AI557&lt;=0,"",IF(CC557="Aussen","Aussenlager",IF(CC557="-","Nicht im Lift",IF(AN557&gt;=1,"Lift",IF(AN557&lt;=0,"Aussenlager","teilweise")))))</f>
        <v>Lift</v>
      </c>
      <c r="BH557" s="48" t="str">
        <f aca="false">IF(AR557&lt;=0,"",IF(CC557="Aussen","Aussenlager",IF(CC557="-","Nicht im Lift",IF(AW557&gt;=1,"Lift",IF(AW557&lt;=0,"Aussenlager","teilweise")))))</f>
        <v>Lift</v>
      </c>
      <c r="BI557" s="48" t="str">
        <f aca="false">IF(BA557&lt;=0,"",IF(CC557="Aussen","Aussenlager",IF(CC557="-","Nicht im Lift",IF(BF557&gt;=1,"Lift",IF(BF557&lt;=0,"Aussenlager","teilweise")))))</f>
        <v>Lift</v>
      </c>
      <c r="BJ557" s="48" t="str">
        <f aca="false">IF(A557="","",IF(BS557=1,"Neu; ","")&amp;IF(AND(BS557=0,BN557&lt;0),"negativer Bestand (Export "&amp;BN557&amp;"); ","")&amp;IF(J557&lt;=0,"Kein Verbrauch; ","")&amp;IF(CL557&gt;0,"Lift "&amp;W557&amp;" lt. Liftbericht (Fach "&amp;X557&amp;" Stk); ",IF(BX557=1,"Gebinde geschätzt ("&amp;T557&amp;"); ",IF(BW557=1,"Lose – Tablare geschätzt; ","")))&amp;IF(H557&gt;AT557,"Überbestand "&amp;ROUND(H557-AT557,0)&amp;" Stk / CHF "&amp;ROUND((H557-AT557)*G557,0)&amp;"; ","")&amp;IF(AND(CE557=1,CF557&lt;CG557),"MAX &lt; MB+LG; ","")&amp;IF(AND(CK557&gt;0,CJ557*10&gt;CK557),"zu hoch für Tablar; ","")&amp;IF(AND(BS557=0,OR(CE557=1,AA557&lt;&gt;"",U557&lt;&gt;"",V557&lt;&gt;"",AB557&lt;&gt;"")),"manuell übersteuert; ","")&amp;IF(AND(BW557=0,R557=0),"Gebinde unbekannt / Stellmass fehlt; ","")&amp;IF(AND(BW557=0,N(V557)&lt;=0,N(Q557)&lt;=0),"Menge pro Gebinde fehlt (Ist = 1 Gebinde); ","")&amp;BR557)</f>
        <v/>
      </c>
      <c r="BK557" s="48"/>
      <c r="BL557" s="48"/>
      <c r="BM557" s="55"/>
      <c r="BN557" s="50" t="n">
        <v>3</v>
      </c>
      <c r="BO557" s="50" t="n">
        <v>29</v>
      </c>
      <c r="BP557" s="49" t="n">
        <v>14.7300000000001</v>
      </c>
      <c r="BQ557" s="50" t="n">
        <v>24</v>
      </c>
      <c r="BR557" s="48"/>
      <c r="BS557" s="53" t="n">
        <v>0</v>
      </c>
      <c r="BT557" s="53" t="n">
        <v>557</v>
      </c>
      <c r="BU557" s="48" t="str">
        <f aca="false">IF(U557&lt;&gt;"",UPPER(TRIM(U557)),IF(BX557=1,UPPER(VLOOKUP(T557,Parameter!$I$27:$K$29,2,0)),IF(P557="","LOSE",P557)))</f>
        <v>S71</v>
      </c>
      <c r="BV557" s="50" t="n">
        <f aca="false">IF(BU557="LOSE",1,IF(N(V557)&gt;0,V557,IF(BX557=1,MAX(1,N(VLOOKUP(T557,Parameter!$I$27:$K$29,3,0)),H557,N(N557)),IF(N(Q557)&gt;0,Q557,MAX(1,H557)))))</f>
        <v>48</v>
      </c>
      <c r="BW557" s="53" t="n">
        <f aca="false">IF(BU557="LOSE",1,0)</f>
        <v>0</v>
      </c>
      <c r="BX557" s="53" t="n">
        <f aca="false">IF(AND(U557="",OR(P557="",P557="LOSE"),T557&lt;&gt;"",N(S557)&lt;=0,ISNUMBER(MATCH(T557,Parameter!$I$27:$I$29,0))),1,0)</f>
        <v>0</v>
      </c>
      <c r="BY557" s="53" t="n">
        <f aca="false">IF(CL557&gt;0,INDEX(Parameter!$H$5:$H$7,W557)/INDEX(Parameter!$E$5:$E$7,W557),IF(AND(BW557=0,N(IFERROR(VLOOKUP(BU557,'Gebinde-Kategorie'!$A$5:$N$45,14,0),0))&gt;0),VLOOKUP(BU557,'Gebinde-Kategorie'!$A$5:$N$45,14,0)*10+Parameter!$M$23,Parameter!$M$24))</f>
        <v>235</v>
      </c>
      <c r="BZ557" s="48" t="str">
        <f aca="false">IF(AND(Parameter!$B$19="Ja",E557&lt;&gt;"",ISNUMBER(MATCH(E557,Parameter!$I$35:$I$52,0))),VLOOKUP(E557,Parameter!$I$35:$J$52,2,0),IFERROR(VLOOKUP(D557,Parameter!$A$35:$C$64,2,0),"Nein"))</f>
        <v>2+3</v>
      </c>
      <c r="CA557" s="52" t="n">
        <f aca="false">IF(BW557=0,0,IF(N(S557)&gt;0,S557,IFERROR(VLOOKUP(D557,Parameter!$A$35:$C$64,3,0)+0,0)))</f>
        <v>0</v>
      </c>
      <c r="CB557" s="48" t="n">
        <f aca="false">IF(AA557&lt;&gt;"",AA557,Z557)</f>
        <v>2</v>
      </c>
      <c r="CC557" s="48" t="str">
        <f aca="false">IF(OR(CB557=1,CB557=2,CB557=3),IF(Parameter!$E$27="Ja","LIFT",IF(CB557=1,"L1","L23")),IF(CB557="Aussen","Aussen","-"))</f>
        <v>LIFT</v>
      </c>
      <c r="CD557" s="59" t="n">
        <f aca="false">IF(N(AB557)&gt;0,AB557,0)</f>
        <v>0</v>
      </c>
      <c r="CE557" s="53" t="n">
        <f aca="false">IF(ISNUMBER(AE557),1,0)</f>
        <v>0</v>
      </c>
      <c r="CF557" s="50" t="n">
        <f aca="false">N(AE557)</f>
        <v>0</v>
      </c>
      <c r="CG557" s="50" t="n">
        <f aca="false">N(M557)+N(N557)</f>
        <v>28</v>
      </c>
      <c r="CH557" s="50" t="n">
        <f aca="false">ROUNDUP(H557/BV557,0)</f>
        <v>1</v>
      </c>
      <c r="CI557" s="50" t="n">
        <f aca="false">ROUNDUP(CF557/BV557,0)</f>
        <v>0</v>
      </c>
      <c r="CJ557" s="53" t="n">
        <f aca="false">IF(BW557=1,0,IFERROR(VLOOKUP(BU557,'Gebinde-Kategorie'!$A$5:$N$45,5,0)+0,0))</f>
        <v>20</v>
      </c>
      <c r="CK557" s="53" t="n">
        <f aca="false">IFERROR(IF(OR(CB557=1,CB557=2,CB557=3),N(INDEX(Parameter!$I$5:$I$7,CB557)),0),0)</f>
        <v>0</v>
      </c>
      <c r="CL557" s="52" t="n">
        <f aca="false">IF(AND(Parameter!$B$21="Ja",ISNUMBER(W557),N(X557)&gt;0),IFERROR(N(INDEX(Parameter!$L$5:$L$7,W557))*INDEX(Parameter!$E$5:$E$7,W557)*X557/SUMIFS($X$7:$X$1843,$W$7:$W$1843,W557),0),0)</f>
        <v>0</v>
      </c>
    </row>
    <row r="558" customFormat="false" ht="15" hidden="false" customHeight="false" outlineLevel="0" collapsed="false">
      <c r="A558" s="48" t="s">
        <v>1190</v>
      </c>
      <c r="B558" s="48" t="s">
        <v>1191</v>
      </c>
      <c r="C558" s="48" t="s">
        <v>168</v>
      </c>
      <c r="D558" s="48" t="s">
        <v>188</v>
      </c>
      <c r="E558" s="48" t="s">
        <v>189</v>
      </c>
      <c r="F558" s="48" t="s">
        <v>222</v>
      </c>
      <c r="G558" s="49" t="n">
        <v>3</v>
      </c>
      <c r="H558" s="50" t="n">
        <f aca="false">MAX(0,IF(AND(Parameter!$B$21="Ja",ISNUMBER(Y558)),Y558,IF(Parameter!$B$20="Jahresanfang 2025 + Export",BO558+BN558,BN558)))</f>
        <v>10</v>
      </c>
      <c r="I558" s="50" t="n">
        <f aca="false">H558*G558</f>
        <v>30</v>
      </c>
      <c r="J558" s="50" t="n">
        <f aca="false">BQ558*Parameter!$B$18</f>
        <v>0</v>
      </c>
      <c r="K558" s="51" t="n">
        <v>8.5</v>
      </c>
      <c r="L558" s="52" t="n">
        <v>0</v>
      </c>
      <c r="M558" s="50" t="n">
        <v>0</v>
      </c>
      <c r="N558" s="50" t="n">
        <v>1</v>
      </c>
      <c r="O558" s="53" t="n">
        <v>28</v>
      </c>
      <c r="P558" s="48" t="s">
        <v>405</v>
      </c>
      <c r="Q558" s="50" t="n">
        <v>10</v>
      </c>
      <c r="R558" s="53" t="n">
        <f aca="false">IF(BW558=1,0,IFERROR(VLOOKUP(BU558,'Gebinde-Kategorie'!$A$5:$N$45,13,0)+0,0))</f>
        <v>280</v>
      </c>
      <c r="S558" s="54"/>
      <c r="T558" s="55"/>
      <c r="U558" s="55"/>
      <c r="V558" s="55"/>
      <c r="W558" s="48"/>
      <c r="X558" s="50"/>
      <c r="Y558" s="50"/>
      <c r="Z558" s="48" t="n">
        <f aca="false">IF(A558="","",IF(AND(Parameter!$B$21="Ja",ISNUMBER(W558)),W558,IF(BZ558="2+3",IF(ISNUMBER(SEARCH("grosser Artikel",BR558)),2,IFERROR(VLOOKUP(BU558,Parameter!$F$35:$G$64,2,0),2)),IF(OR(BZ558="Nein",BZ558=""),"-",BZ558))))</f>
        <v>3</v>
      </c>
      <c r="AA558" s="55"/>
      <c r="AB558" s="56"/>
      <c r="AC558" s="50" t="n">
        <f aca="false">AT558</f>
        <v>10</v>
      </c>
      <c r="AD558" s="50" t="n">
        <f aca="false">MAX(AT558,H558)</f>
        <v>10</v>
      </c>
      <c r="AE558" s="57"/>
      <c r="AF558" s="50" t="n">
        <f aca="false">IF(LEFT(Cockpit!$C$5,1)="A",H558,IF(CE558=1,CF558,IF(LEFT(Cockpit!$C$5,1)="B",AK558,MAX(AK558,H558))))</f>
        <v>10</v>
      </c>
      <c r="AG558" s="50" t="n">
        <f aca="false">IF(BW558=1,0,ROUNDUP(AF558/BV558,0))</f>
        <v>1</v>
      </c>
      <c r="AH558" s="52" t="n">
        <f aca="false">IF(CL558&gt;0,CL558*MAX(1,AF558/X558),IF(BW558=1,IF(AF558&lt;=0,0,CA558*MAX(1,IF(H558&gt;0,AF558/H558,1))),IF(R558&gt;0,AG558/R558,0))/MAX(0.1,N(Parameter!$M$21)))</f>
        <v>0.00357142857142857</v>
      </c>
      <c r="AI558" s="50" t="n">
        <f aca="false">AH558*BY558</f>
        <v>0.553571428571429</v>
      </c>
      <c r="AJ558" s="50" t="n">
        <f aca="false">AF558*G558</f>
        <v>30</v>
      </c>
      <c r="AK558" s="50" t="n">
        <f aca="false">ROUNDUP(MAX(J558/IF(CD558&gt;0,CD558,MAX(0.1,N(Cockpit!$C$6))),CG558)/BV558,0)*BV558</f>
        <v>10</v>
      </c>
      <c r="AL558" s="51" t="n">
        <f aca="false">IF(AI558&gt;0,J558/AI558,-1)</f>
        <v>0</v>
      </c>
      <c r="AM558" s="51" t="n">
        <f aca="false">IF(AND(OR(CC558="L1",CC558="L23",CC558="LIFT"),AI558&gt;0),SUMIFS($AI$7:$AI$1843,$CC$7:$CC$1843,CC558,$AL$7:$AL$1843,"&gt;"&amp;AL558)+SUMIFS($AI$7:$AI$1843,$CC$7:$CC$1843,CC558,$AL$7:$AL$1843,AL558,$BT$7:$BT$1843,"&lt;="&amp;BT558),"")</f>
        <v>28397.6292890255</v>
      </c>
      <c r="AN558" s="58" t="n">
        <f aca="false">IF(AM558="",0,MAX(0,MIN(1,(IF(CC558="L1",Parameter!$H$5,IF(CC558="L23",Parameter!$H$6+Parameter!$H$7,Parameter!$H$5+Parameter!$H$6+Parameter!$H$7))-(AM558-AI558))/AI558)))</f>
        <v>1</v>
      </c>
      <c r="AO558" s="50" t="n">
        <f aca="false">IF(LEFT(Cockpit!$I$5,1)="A",H558,IF(CE558=1,CF558,IF(LEFT(Cockpit!$I$5,1)="B",AT558,MAX(AT558,H558))))</f>
        <v>10</v>
      </c>
      <c r="AP558" s="50" t="n">
        <f aca="false">IF(BW558=1,0,ROUNDUP(AO558/BV558,0))</f>
        <v>1</v>
      </c>
      <c r="AQ558" s="52" t="n">
        <f aca="false">IF(CL558&gt;0,CL558*MAX(1,AO558/X558),IF(BW558=1,IF(AO558&lt;=0,0,CA558*MAX(1,IF(H558&gt;0,AO558/H558,1))),IF(R558&gt;0,AP558/R558,0))/MAX(0.1,N(Parameter!$M$21)))</f>
        <v>0.00357142857142857</v>
      </c>
      <c r="AR558" s="50" t="n">
        <f aca="false">AQ558*BY558</f>
        <v>0.553571428571429</v>
      </c>
      <c r="AS558" s="50" t="n">
        <f aca="false">AO558*G558</f>
        <v>30</v>
      </c>
      <c r="AT558" s="50" t="n">
        <f aca="false">ROUNDUP(MAX(J558/IF(CD558&gt;0,CD558,MAX(0.1,N(Cockpit!$I$6))),CG558)/BV558,0)*BV558</f>
        <v>10</v>
      </c>
      <c r="AU558" s="51" t="n">
        <f aca="false">IF(AR558&gt;0,J558/AR558,-1)</f>
        <v>0</v>
      </c>
      <c r="AV558" s="51" t="n">
        <f aca="false">IF(AND(OR(CC558="L1",CC558="L23",CC558="LIFT"),AR558&gt;0),SUMIFS($AR$7:$AR$1843,$CC$7:$CC$1843,CC558,$AU$7:$AU$1843,"&gt;"&amp;AU558)+SUMIFS($AR$7:$AR$1843,$CC$7:$CC$1843,CC558,$AU$7:$AU$1843,AU558,$BT$7:$BT$1843,"&lt;="&amp;BT558),"")</f>
        <v>39710.5348062954</v>
      </c>
      <c r="AW558" s="58" t="n">
        <f aca="false">IF(AV558="",0,MAX(0,MIN(1,(IF(CC558="L1",Parameter!$H$5,IF(CC558="L23",Parameter!$H$6+Parameter!$H$7,Parameter!$H$5+Parameter!$H$6+Parameter!$H$7))-(AV558-AR558))/AR558)))</f>
        <v>0</v>
      </c>
      <c r="AX558" s="50" t="n">
        <f aca="false">IF(LEFT(Cockpit!$O$5,1)="A",H558,IF(CE558=1,CF558,IF(LEFT(Cockpit!$O$5,1)="B",BC558,MAX(BC558,H558))))</f>
        <v>10</v>
      </c>
      <c r="AY558" s="50" t="n">
        <f aca="false">IF(BW558=1,0,ROUNDUP(AX558/BV558,0))</f>
        <v>1</v>
      </c>
      <c r="AZ558" s="52" t="n">
        <f aca="false">IF(CL558&gt;0,CL558*MAX(1,AX558/X558),IF(BW558=1,IF(AX558&lt;=0,0,CA558*MAX(1,IF(H558&gt;0,AX558/H558,1))),IF(R558&gt;0,AY558/R558,0))/MAX(0.1,N(Parameter!$M$21)))</f>
        <v>0.00357142857142857</v>
      </c>
      <c r="BA558" s="50" t="n">
        <f aca="false">AZ558*BY558</f>
        <v>0.553571428571429</v>
      </c>
      <c r="BB558" s="50" t="n">
        <f aca="false">AX558*G558</f>
        <v>30</v>
      </c>
      <c r="BC558" s="50" t="n">
        <f aca="false">ROUNDUP(MAX(J558/IF(CD558&gt;0,CD558,MAX(0.1,N(Cockpit!$O$6))),CG558)/BV558,0)*BV558</f>
        <v>10</v>
      </c>
      <c r="BD558" s="51" t="n">
        <f aca="false">IF(BA558&gt;0,J558/BA558,-1)</f>
        <v>0</v>
      </c>
      <c r="BE558" s="51" t="n">
        <f aca="false">IF(AND(OR(CC558="L1",CC558="L23",CC558="LIFT"),BA558&gt;0),SUMIFS($BA$7:$BA$1843,$CC$7:$CC$1843,CC558,$BD$7:$BD$1843,"&gt;"&amp;BD558)+SUMIFS($BA$7:$BA$1843,$CC$7:$CC$1843,CC558,$BD$7:$BD$1843,BD558,$BT$7:$BT$1843,"&lt;="&amp;BT558),"")</f>
        <v>36385.5468481613</v>
      </c>
      <c r="BF558" s="58" t="n">
        <f aca="false">IF(BE558="",0,MAX(0,MIN(1,(IF(CC558="L1",Parameter!$H$5,IF(CC558="L23",Parameter!$H$6+Parameter!$H$7,Parameter!$H$5+Parameter!$H$6+Parameter!$H$7))-(BE558-BA558))/BA558)))</f>
        <v>0</v>
      </c>
      <c r="BG558" s="48" t="str">
        <f aca="false">IF(AI558&lt;=0,"",IF(CC558="Aussen","Aussenlager",IF(CC558="-","Nicht im Lift",IF(AN558&gt;=1,"Lift",IF(AN558&lt;=0,"Aussenlager","teilweise")))))</f>
        <v>Lift</v>
      </c>
      <c r="BH558" s="48" t="str">
        <f aca="false">IF(AR558&lt;=0,"",IF(CC558="Aussen","Aussenlager",IF(CC558="-","Nicht im Lift",IF(AW558&gt;=1,"Lift",IF(AW558&lt;=0,"Aussenlager","teilweise")))))</f>
        <v>Aussenlager</v>
      </c>
      <c r="BI558" s="48" t="str">
        <f aca="false">IF(BA558&lt;=0,"",IF(CC558="Aussen","Aussenlager",IF(CC558="-","Nicht im Lift",IF(BF558&gt;=1,"Lift",IF(BF558&lt;=0,"Aussenlager","teilweise")))))</f>
        <v>Aussenlager</v>
      </c>
      <c r="BJ558" s="48" t="str">
        <f aca="false">IF(A558="","",IF(BS558=1,"Neu; ","")&amp;IF(AND(BS558=0,BN558&lt;0),"negativer Bestand (Export "&amp;BN558&amp;"); ","")&amp;IF(J558&lt;=0,"Kein Verbrauch; ","")&amp;IF(CL558&gt;0,"Lift "&amp;W558&amp;" lt. Liftbericht (Fach "&amp;X558&amp;" Stk); ",IF(BX558=1,"Gebinde geschätzt ("&amp;T558&amp;"); ",IF(BW558=1,"Lose – Tablare geschätzt; ","")))&amp;IF(H558&gt;AT558,"Überbestand "&amp;ROUND(H558-AT558,0)&amp;" Stk / CHF "&amp;ROUND((H558-AT558)*G558,0)&amp;"; ","")&amp;IF(AND(CE558=1,CF558&lt;CG558),"MAX &lt; MB+LG; ","")&amp;IF(AND(CK558&gt;0,CJ558*10&gt;CK558),"zu hoch für Tablar; ","")&amp;IF(AND(BS558=0,OR(CE558=1,AA558&lt;&gt;"",U558&lt;&gt;"",V558&lt;&gt;"",AB558&lt;&gt;"")),"manuell übersteuert; ","")&amp;IF(AND(BW558=0,R558=0),"Gebinde unbekannt / Stellmass fehlt; ","")&amp;IF(AND(BW558=0,N(V558)&lt;=0,N(Q558)&lt;=0),"Menge pro Gebinde fehlt (Ist = 1 Gebinde); ","")&amp;BR558)</f>
        <v>Kein Verbrauch; </v>
      </c>
      <c r="BK558" s="48"/>
      <c r="BL558" s="48"/>
      <c r="BM558" s="55"/>
      <c r="BN558" s="50" t="n">
        <v>3</v>
      </c>
      <c r="BO558" s="50" t="n">
        <v>7</v>
      </c>
      <c r="BP558" s="49" t="n">
        <v>14.6</v>
      </c>
      <c r="BQ558" s="50" t="n">
        <v>0</v>
      </c>
      <c r="BR558" s="48"/>
      <c r="BS558" s="53" t="n">
        <v>0</v>
      </c>
      <c r="BT558" s="53" t="n">
        <v>558</v>
      </c>
      <c r="BU558" s="48" t="str">
        <f aca="false">IF(U558&lt;&gt;"",UPPER(TRIM(U558)),IF(BX558=1,UPPER(VLOOKUP(T558,Parameter!$I$27:$K$29,2,0)),IF(P558="","LOSE",P558)))</f>
        <v>S21</v>
      </c>
      <c r="BV558" s="50" t="n">
        <f aca="false">IF(BU558="LOSE",1,IF(N(V558)&gt;0,V558,IF(BX558=1,MAX(1,N(VLOOKUP(T558,Parameter!$I$27:$K$29,3,0)),H558,N(N558)),IF(N(Q558)&gt;0,Q558,MAX(1,H558)))))</f>
        <v>10</v>
      </c>
      <c r="BW558" s="53" t="n">
        <f aca="false">IF(BU558="LOSE",1,0)</f>
        <v>0</v>
      </c>
      <c r="BX558" s="53" t="n">
        <f aca="false">IF(AND(U558="",OR(P558="",P558="LOSE"),T558&lt;&gt;"",N(S558)&lt;=0,ISNUMBER(MATCH(T558,Parameter!$I$27:$I$29,0))),1,0)</f>
        <v>0</v>
      </c>
      <c r="BY558" s="53" t="n">
        <f aca="false">IF(CL558&gt;0,INDEX(Parameter!$H$5:$H$7,W558)/INDEX(Parameter!$E$5:$E$7,W558),IF(AND(BW558=0,N(IFERROR(VLOOKUP(BU558,'Gebinde-Kategorie'!$A$5:$N$45,14,0),0))&gt;0),VLOOKUP(BU558,'Gebinde-Kategorie'!$A$5:$N$45,14,0)*10+Parameter!$M$23,Parameter!$M$24))</f>
        <v>155</v>
      </c>
      <c r="BZ558" s="48" t="str">
        <f aca="false">IF(AND(Parameter!$B$19="Ja",E558&lt;&gt;"",ISNUMBER(MATCH(E558,Parameter!$I$35:$I$52,0))),VLOOKUP(E558,Parameter!$I$35:$J$52,2,0),IFERROR(VLOOKUP(D558,Parameter!$A$35:$C$64,2,0),"Nein"))</f>
        <v>2+3</v>
      </c>
      <c r="CA558" s="52" t="n">
        <f aca="false">IF(BW558=0,0,IF(N(S558)&gt;0,S558,IFERROR(VLOOKUP(D558,Parameter!$A$35:$C$64,3,0)+0,0)))</f>
        <v>0</v>
      </c>
      <c r="CB558" s="48" t="n">
        <f aca="false">IF(AA558&lt;&gt;"",AA558,Z558)</f>
        <v>3</v>
      </c>
      <c r="CC558" s="48" t="str">
        <f aca="false">IF(OR(CB558=1,CB558=2,CB558=3),IF(Parameter!$E$27="Ja","LIFT",IF(CB558=1,"L1","L23")),IF(CB558="Aussen","Aussen","-"))</f>
        <v>LIFT</v>
      </c>
      <c r="CD558" s="59" t="n">
        <f aca="false">IF(N(AB558)&gt;0,AB558,0)</f>
        <v>0</v>
      </c>
      <c r="CE558" s="53" t="n">
        <f aca="false">IF(ISNUMBER(AE558),1,0)</f>
        <v>0</v>
      </c>
      <c r="CF558" s="50" t="n">
        <f aca="false">N(AE558)</f>
        <v>0</v>
      </c>
      <c r="CG558" s="50" t="n">
        <f aca="false">N(M558)+N(N558)</f>
        <v>1</v>
      </c>
      <c r="CH558" s="50" t="n">
        <f aca="false">ROUNDUP(H558/BV558,0)</f>
        <v>1</v>
      </c>
      <c r="CI558" s="50" t="n">
        <f aca="false">ROUNDUP(CF558/BV558,0)</f>
        <v>0</v>
      </c>
      <c r="CJ558" s="53" t="n">
        <f aca="false">IF(BW558=1,0,IFERROR(VLOOKUP(BU558,'Gebinde-Kategorie'!$A$5:$N$45,5,0)+0,0))</f>
        <v>8</v>
      </c>
      <c r="CK558" s="53" t="n">
        <f aca="false">IFERROR(IF(OR(CB558=1,CB558=2,CB558=3),N(INDEX(Parameter!$I$5:$I$7,CB558)),0),0)</f>
        <v>0</v>
      </c>
      <c r="CL558" s="52" t="n">
        <f aca="false">IF(AND(Parameter!$B$21="Ja",ISNUMBER(W558),N(X558)&gt;0),IFERROR(N(INDEX(Parameter!$L$5:$L$7,W558))*INDEX(Parameter!$E$5:$E$7,W558)*X558/SUMIFS($X$7:$X$1843,$W$7:$W$1843,W558),0),0)</f>
        <v>0</v>
      </c>
    </row>
    <row r="559" customFormat="false" ht="15" hidden="false" customHeight="false" outlineLevel="0" collapsed="false">
      <c r="A559" s="48" t="s">
        <v>1192</v>
      </c>
      <c r="B559" s="48" t="s">
        <v>1193</v>
      </c>
      <c r="C559" s="48" t="s">
        <v>168</v>
      </c>
      <c r="D559" s="48" t="s">
        <v>188</v>
      </c>
      <c r="E559" s="48" t="s">
        <v>189</v>
      </c>
      <c r="F559" s="48" t="s">
        <v>222</v>
      </c>
      <c r="G559" s="49" t="n">
        <v>0.11</v>
      </c>
      <c r="H559" s="50" t="n">
        <f aca="false">MAX(0,IF(AND(Parameter!$B$21="Ja",ISNUMBER(Y559)),Y559,IF(Parameter!$B$20="Jahresanfang 2025 + Export",BO559+BN559,BN559)))</f>
        <v>555</v>
      </c>
      <c r="I559" s="50" t="n">
        <f aca="false">H559*G559</f>
        <v>61.05</v>
      </c>
      <c r="J559" s="50" t="n">
        <f aca="false">BQ559*Parameter!$B$18</f>
        <v>2</v>
      </c>
      <c r="K559" s="51" t="n">
        <v>457</v>
      </c>
      <c r="L559" s="52" t="n">
        <v>0.00437636761487965</v>
      </c>
      <c r="M559" s="50" t="n">
        <v>0</v>
      </c>
      <c r="N559" s="50" t="n">
        <v>1</v>
      </c>
      <c r="O559" s="53" t="n">
        <v>21</v>
      </c>
      <c r="P559" s="48" t="s">
        <v>425</v>
      </c>
      <c r="Q559" s="50" t="n">
        <v>451</v>
      </c>
      <c r="R559" s="53" t="n">
        <f aca="false">IF(BW559=1,0,IFERROR(VLOOKUP(BU559,'Gebinde-Kategorie'!$A$5:$N$45,13,0)+0,0))</f>
        <v>104</v>
      </c>
      <c r="S559" s="54"/>
      <c r="T559" s="55"/>
      <c r="U559" s="55"/>
      <c r="V559" s="55"/>
      <c r="W559" s="48"/>
      <c r="X559" s="50"/>
      <c r="Y559" s="50"/>
      <c r="Z559" s="48" t="n">
        <f aca="false">IF(A559="","",IF(AND(Parameter!$B$21="Ja",ISNUMBER(W559)),W559,IF(BZ559="2+3",IF(ISNUMBER(SEARCH("grosser Artikel",BR559)),2,IFERROR(VLOOKUP(BU559,Parameter!$F$35:$G$64,2,0),2)),IF(OR(BZ559="Nein",BZ559=""),"-",BZ559))))</f>
        <v>3</v>
      </c>
      <c r="AA559" s="55"/>
      <c r="AB559" s="56"/>
      <c r="AC559" s="50" t="n">
        <f aca="false">AT559</f>
        <v>451</v>
      </c>
      <c r="AD559" s="50" t="n">
        <f aca="false">MAX(AT559,H559)</f>
        <v>555</v>
      </c>
      <c r="AE559" s="57"/>
      <c r="AF559" s="50" t="n">
        <f aca="false">IF(LEFT(Cockpit!$C$5,1)="A",H559,IF(CE559=1,CF559,IF(LEFT(Cockpit!$C$5,1)="B",AK559,MAX(AK559,H559))))</f>
        <v>555</v>
      </c>
      <c r="AG559" s="50" t="n">
        <f aca="false">IF(BW559=1,0,ROUNDUP(AF559/BV559,0))</f>
        <v>2</v>
      </c>
      <c r="AH559" s="52" t="n">
        <f aca="false">IF(CL559&gt;0,CL559*MAX(1,AF559/X559),IF(BW559=1,IF(AF559&lt;=0,0,CA559*MAX(1,IF(H559&gt;0,AF559/H559,1))),IF(R559&gt;0,AG559/R559,0))/MAX(0.1,N(Parameter!$M$21)))</f>
        <v>0.0192307692307692</v>
      </c>
      <c r="AI559" s="50" t="n">
        <f aca="false">AH559*BY559</f>
        <v>2.98076923076923</v>
      </c>
      <c r="AJ559" s="50" t="n">
        <f aca="false">AF559*G559</f>
        <v>61.05</v>
      </c>
      <c r="AK559" s="50" t="n">
        <f aca="false">ROUNDUP(MAX(J559/IF(CD559&gt;0,CD559,MAX(0.1,N(Cockpit!$C$6))),CG559)/BV559,0)*BV559</f>
        <v>451</v>
      </c>
      <c r="AL559" s="51" t="n">
        <f aca="false">IF(AI559&gt;0,J559/AI559,-1)</f>
        <v>0.670967741935484</v>
      </c>
      <c r="AM559" s="51" t="n">
        <f aca="false">IF(AND(OR(CC559="L1",CC559="L23",CC559="LIFT"),AI559&gt;0),SUMIFS($AI$7:$AI$1843,$CC$7:$CC$1843,CC559,$AL$7:$AL$1843,"&gt;"&amp;AL559)+SUMIFS($AI$7:$AI$1843,$CC$7:$CC$1843,CC559,$AL$7:$AL$1843,AL559,$BT$7:$BT$1843,"&lt;="&amp;BT559),"")</f>
        <v>8617.60256410256</v>
      </c>
      <c r="AN559" s="58" t="n">
        <f aca="false">IF(AM559="",0,MAX(0,MIN(1,(IF(CC559="L1",Parameter!$H$5,IF(CC559="L23",Parameter!$H$6+Parameter!$H$7,Parameter!$H$5+Parameter!$H$6+Parameter!$H$7))-(AM559-AI559))/AI559)))</f>
        <v>1</v>
      </c>
      <c r="AO559" s="50" t="n">
        <f aca="false">IF(LEFT(Cockpit!$I$5,1)="A",H559,IF(CE559=1,CF559,IF(LEFT(Cockpit!$I$5,1)="B",AT559,MAX(AT559,H559))))</f>
        <v>555</v>
      </c>
      <c r="AP559" s="50" t="n">
        <f aca="false">IF(BW559=1,0,ROUNDUP(AO559/BV559,0))</f>
        <v>2</v>
      </c>
      <c r="AQ559" s="52" t="n">
        <f aca="false">IF(CL559&gt;0,CL559*MAX(1,AO559/X559),IF(BW559=1,IF(AO559&lt;=0,0,CA559*MAX(1,IF(H559&gt;0,AO559/H559,1))),IF(R559&gt;0,AP559/R559,0))/MAX(0.1,N(Parameter!$M$21)))</f>
        <v>0.0192307692307692</v>
      </c>
      <c r="AR559" s="50" t="n">
        <f aca="false">AQ559*BY559</f>
        <v>2.98076923076923</v>
      </c>
      <c r="AS559" s="50" t="n">
        <f aca="false">AO559*G559</f>
        <v>61.05</v>
      </c>
      <c r="AT559" s="50" t="n">
        <f aca="false">ROUNDUP(MAX(J559/IF(CD559&gt;0,CD559,MAX(0.1,N(Cockpit!$I$6))),CG559)/BV559,0)*BV559</f>
        <v>451</v>
      </c>
      <c r="AU559" s="51" t="n">
        <f aca="false">IF(AR559&gt;0,J559/AR559,-1)</f>
        <v>0.670967741935484</v>
      </c>
      <c r="AV559" s="51" t="n">
        <f aca="false">IF(AND(OR(CC559="L1",CC559="L23",CC559="LIFT"),AR559&gt;0),SUMIFS($AR$7:$AR$1843,$CC$7:$CC$1843,CC559,$AU$7:$AU$1843,"&gt;"&amp;AU559)+SUMIFS($AR$7:$AR$1843,$CC$7:$CC$1843,CC559,$AU$7:$AU$1843,AU559,$BT$7:$BT$1843,"&lt;="&amp;BT559),"")</f>
        <v>11753.7632783883</v>
      </c>
      <c r="AW559" s="58" t="n">
        <f aca="false">IF(AV559="",0,MAX(0,MIN(1,(IF(CC559="L1",Parameter!$H$5,IF(CC559="L23",Parameter!$H$6+Parameter!$H$7,Parameter!$H$5+Parameter!$H$6+Parameter!$H$7))-(AV559-AR559))/AR559)))</f>
        <v>1</v>
      </c>
      <c r="AX559" s="50" t="n">
        <f aca="false">IF(LEFT(Cockpit!$O$5,1)="A",H559,IF(CE559=1,CF559,IF(LEFT(Cockpit!$O$5,1)="B",BC559,MAX(BC559,H559))))</f>
        <v>555</v>
      </c>
      <c r="AY559" s="50" t="n">
        <f aca="false">IF(BW559=1,0,ROUNDUP(AX559/BV559,0))</f>
        <v>2</v>
      </c>
      <c r="AZ559" s="52" t="n">
        <f aca="false">IF(CL559&gt;0,CL559*MAX(1,AX559/X559),IF(BW559=1,IF(AX559&lt;=0,0,CA559*MAX(1,IF(H559&gt;0,AX559/H559,1))),IF(R559&gt;0,AY559/R559,0))/MAX(0.1,N(Parameter!$M$21)))</f>
        <v>0.0192307692307692</v>
      </c>
      <c r="BA559" s="50" t="n">
        <f aca="false">AZ559*BY559</f>
        <v>2.98076923076923</v>
      </c>
      <c r="BB559" s="50" t="n">
        <f aca="false">AX559*G559</f>
        <v>61.05</v>
      </c>
      <c r="BC559" s="50" t="n">
        <f aca="false">ROUNDUP(MAX(J559/IF(CD559&gt;0,CD559,MAX(0.1,N(Cockpit!$O$6))),CG559)/BV559,0)*BV559</f>
        <v>451</v>
      </c>
      <c r="BD559" s="51" t="n">
        <f aca="false">IF(BA559&gt;0,J559/BA559,-1)</f>
        <v>0.670967741935484</v>
      </c>
      <c r="BE559" s="51" t="n">
        <f aca="false">IF(AND(OR(CC559="L1",CC559="L23",CC559="LIFT"),BA559&gt;0),SUMIFS($BA$7:$BA$1843,$CC$7:$CC$1843,CC559,$BD$7:$BD$1843,"&gt;"&amp;BD559)+SUMIFS($BA$7:$BA$1843,$CC$7:$CC$1843,CC559,$BD$7:$BD$1843,BD559,$BT$7:$BT$1843,"&lt;="&amp;BT559),"")</f>
        <v>11353.586996337</v>
      </c>
      <c r="BF559" s="58" t="n">
        <f aca="false">IF(BE559="",0,MAX(0,MIN(1,(IF(CC559="L1",Parameter!$H$5,IF(CC559="L23",Parameter!$H$6+Parameter!$H$7,Parameter!$H$5+Parameter!$H$6+Parameter!$H$7))-(BE559-BA559))/BA559)))</f>
        <v>1</v>
      </c>
      <c r="BG559" s="48" t="str">
        <f aca="false">IF(AI559&lt;=0,"",IF(CC559="Aussen","Aussenlager",IF(CC559="-","Nicht im Lift",IF(AN559&gt;=1,"Lift",IF(AN559&lt;=0,"Aussenlager","teilweise")))))</f>
        <v>Lift</v>
      </c>
      <c r="BH559" s="48" t="str">
        <f aca="false">IF(AR559&lt;=0,"",IF(CC559="Aussen","Aussenlager",IF(CC559="-","Nicht im Lift",IF(AW559&gt;=1,"Lift",IF(AW559&lt;=0,"Aussenlager","teilweise")))))</f>
        <v>Lift</v>
      </c>
      <c r="BI559" s="48" t="str">
        <f aca="false">IF(BA559&lt;=0,"",IF(CC559="Aussen","Aussenlager",IF(CC559="-","Nicht im Lift",IF(BF559&gt;=1,"Lift",IF(BF559&lt;=0,"Aussenlager","teilweise")))))</f>
        <v>Lift</v>
      </c>
      <c r="BJ559" s="48" t="str">
        <f aca="false">IF(A559="","",IF(BS559=1,"Neu; ","")&amp;IF(AND(BS559=0,BN559&lt;0),"negativer Bestand (Export "&amp;BN559&amp;"); ","")&amp;IF(J559&lt;=0,"Kein Verbrauch; ","")&amp;IF(CL559&gt;0,"Lift "&amp;W559&amp;" lt. Liftbericht (Fach "&amp;X559&amp;" Stk); ",IF(BX559=1,"Gebinde geschätzt ("&amp;T559&amp;"); ",IF(BW559=1,"Lose – Tablare geschätzt; ","")))&amp;IF(H559&gt;AT559,"Überbestand "&amp;ROUND(H559-AT559,0)&amp;" Stk / CHF "&amp;ROUND((H559-AT559)*G559,0)&amp;"; ","")&amp;IF(AND(CE559=1,CF559&lt;CG559),"MAX &lt; MB+LG; ","")&amp;IF(AND(CK559&gt;0,CJ559*10&gt;CK559),"zu hoch für Tablar; ","")&amp;IF(AND(BS559=0,OR(CE559=1,AA559&lt;&gt;"",U559&lt;&gt;"",V559&lt;&gt;"",AB559&lt;&gt;"")),"manuell übersteuert; ","")&amp;IF(AND(BW559=0,R559=0),"Gebinde unbekannt / Stellmass fehlt; ","")&amp;IF(AND(BW559=0,N(V559)&lt;=0,N(Q559)&lt;=0),"Menge pro Gebinde fehlt (Ist = 1 Gebinde); ","")&amp;BR559)</f>
        <v>Überbestand 104 Stk / CHF 11; Handlager</v>
      </c>
      <c r="BK559" s="48"/>
      <c r="BL559" s="48"/>
      <c r="BM559" s="55"/>
      <c r="BN559" s="50" t="n">
        <v>132</v>
      </c>
      <c r="BO559" s="50" t="n">
        <v>423</v>
      </c>
      <c r="BP559" s="49" t="n">
        <v>14.52</v>
      </c>
      <c r="BQ559" s="50" t="n">
        <v>2</v>
      </c>
      <c r="BR559" s="48" t="s">
        <v>899</v>
      </c>
      <c r="BS559" s="53" t="n">
        <v>0</v>
      </c>
      <c r="BT559" s="53" t="n">
        <v>559</v>
      </c>
      <c r="BU559" s="48" t="str">
        <f aca="false">IF(U559&lt;&gt;"",UPPER(TRIM(U559)),IF(BX559=1,UPPER(VLOOKUP(T559,Parameter!$I$27:$K$29,2,0)),IF(P559="","LOSE",P559)))</f>
        <v>S32</v>
      </c>
      <c r="BV559" s="50" t="n">
        <f aca="false">IF(BU559="LOSE",1,IF(N(V559)&gt;0,V559,IF(BX559=1,MAX(1,N(VLOOKUP(T559,Parameter!$I$27:$K$29,3,0)),H559,N(N559)),IF(N(Q559)&gt;0,Q559,MAX(1,H559)))))</f>
        <v>451</v>
      </c>
      <c r="BW559" s="53" t="n">
        <f aca="false">IF(BU559="LOSE",1,0)</f>
        <v>0</v>
      </c>
      <c r="BX559" s="53" t="n">
        <f aca="false">IF(AND(U559="",OR(P559="",P559="LOSE"),T559&lt;&gt;"",N(S559)&lt;=0,ISNUMBER(MATCH(T559,Parameter!$I$27:$I$29,0))),1,0)</f>
        <v>0</v>
      </c>
      <c r="BY559" s="53" t="n">
        <f aca="false">IF(CL559&gt;0,INDEX(Parameter!$H$5:$H$7,W559)/INDEX(Parameter!$E$5:$E$7,W559),IF(AND(BW559=0,N(IFERROR(VLOOKUP(BU559,'Gebinde-Kategorie'!$A$5:$N$45,14,0),0))&gt;0),VLOOKUP(BU559,'Gebinde-Kategorie'!$A$5:$N$45,14,0)*10+Parameter!$M$23,Parameter!$M$24))</f>
        <v>155</v>
      </c>
      <c r="BZ559" s="48" t="str">
        <f aca="false">IF(AND(Parameter!$B$19="Ja",E559&lt;&gt;"",ISNUMBER(MATCH(E559,Parameter!$I$35:$I$52,0))),VLOOKUP(E559,Parameter!$I$35:$J$52,2,0),IFERROR(VLOOKUP(D559,Parameter!$A$35:$C$64,2,0),"Nein"))</f>
        <v>2+3</v>
      </c>
      <c r="CA559" s="52" t="n">
        <f aca="false">IF(BW559=0,0,IF(N(S559)&gt;0,S559,IFERROR(VLOOKUP(D559,Parameter!$A$35:$C$64,3,0)+0,0)))</f>
        <v>0</v>
      </c>
      <c r="CB559" s="48" t="n">
        <f aca="false">IF(AA559&lt;&gt;"",AA559,Z559)</f>
        <v>3</v>
      </c>
      <c r="CC559" s="48" t="str">
        <f aca="false">IF(OR(CB559=1,CB559=2,CB559=3),IF(Parameter!$E$27="Ja","LIFT",IF(CB559=1,"L1","L23")),IF(CB559="Aussen","Aussen","-"))</f>
        <v>LIFT</v>
      </c>
      <c r="CD559" s="59" t="n">
        <f aca="false">IF(N(AB559)&gt;0,AB559,0)</f>
        <v>0</v>
      </c>
      <c r="CE559" s="53" t="n">
        <f aca="false">IF(ISNUMBER(AE559),1,0)</f>
        <v>0</v>
      </c>
      <c r="CF559" s="50" t="n">
        <f aca="false">N(AE559)</f>
        <v>0</v>
      </c>
      <c r="CG559" s="50" t="n">
        <f aca="false">N(M559)+N(N559)</f>
        <v>1</v>
      </c>
      <c r="CH559" s="50" t="n">
        <f aca="false">ROUNDUP(H559/BV559,0)</f>
        <v>2</v>
      </c>
      <c r="CI559" s="50" t="n">
        <f aca="false">ROUNDUP(CF559/BV559,0)</f>
        <v>0</v>
      </c>
      <c r="CJ559" s="53" t="n">
        <f aca="false">IF(BW559=1,0,IFERROR(VLOOKUP(BU559,'Gebinde-Kategorie'!$A$5:$N$45,5,0)+0,0))</f>
        <v>8</v>
      </c>
      <c r="CK559" s="53" t="n">
        <f aca="false">IFERROR(IF(OR(CB559=1,CB559=2,CB559=3),N(INDEX(Parameter!$I$5:$I$7,CB559)),0),0)</f>
        <v>0</v>
      </c>
      <c r="CL559" s="52" t="n">
        <f aca="false">IF(AND(Parameter!$B$21="Ja",ISNUMBER(W559),N(X559)&gt;0),IFERROR(N(INDEX(Parameter!$L$5:$L$7,W559))*INDEX(Parameter!$E$5:$E$7,W559)*X559/SUMIFS($X$7:$X$1843,$W$7:$W$1843,W559),0),0)</f>
        <v>0</v>
      </c>
    </row>
    <row r="560" customFormat="false" ht="15" hidden="false" customHeight="false" outlineLevel="0" collapsed="false">
      <c r="A560" s="48" t="s">
        <v>1194</v>
      </c>
      <c r="B560" s="48" t="s">
        <v>865</v>
      </c>
      <c r="C560" s="48" t="s">
        <v>168</v>
      </c>
      <c r="D560" s="48" t="s">
        <v>188</v>
      </c>
      <c r="E560" s="48"/>
      <c r="F560" s="48" t="s">
        <v>222</v>
      </c>
      <c r="G560" s="49" t="n">
        <v>3.55</v>
      </c>
      <c r="H560" s="50" t="n">
        <f aca="false">MAX(0,IF(AND(Parameter!$B$21="Ja",ISNUMBER(Y560)),Y560,IF(Parameter!$B$20="Jahresanfang 2025 + Export",BO560+BN560,BN560)))</f>
        <v>4</v>
      </c>
      <c r="I560" s="50" t="n">
        <f aca="false">H560*G560</f>
        <v>14.2</v>
      </c>
      <c r="J560" s="50" t="n">
        <f aca="false">BQ560*Parameter!$B$18</f>
        <v>2</v>
      </c>
      <c r="K560" s="51" t="n">
        <v>1.5</v>
      </c>
      <c r="L560" s="52" t="n">
        <v>1.33333333333333</v>
      </c>
      <c r="M560" s="50" t="n">
        <v>0</v>
      </c>
      <c r="N560" s="50" t="n">
        <v>1</v>
      </c>
      <c r="O560" s="53" t="n">
        <v>14</v>
      </c>
      <c r="P560" s="48" t="s">
        <v>405</v>
      </c>
      <c r="Q560" s="50" t="n">
        <v>5</v>
      </c>
      <c r="R560" s="53" t="n">
        <f aca="false">IF(BW560=1,0,IFERROR(VLOOKUP(BU560,'Gebinde-Kategorie'!$A$5:$N$45,13,0)+0,0))</f>
        <v>280</v>
      </c>
      <c r="S560" s="54"/>
      <c r="T560" s="55"/>
      <c r="U560" s="55"/>
      <c r="V560" s="55"/>
      <c r="W560" s="48"/>
      <c r="X560" s="50"/>
      <c r="Y560" s="50"/>
      <c r="Z560" s="48" t="n">
        <f aca="false">IF(A560="","",IF(AND(Parameter!$B$21="Ja",ISNUMBER(W560)),W560,IF(BZ560="2+3",IF(ISNUMBER(SEARCH("grosser Artikel",BR560)),2,IFERROR(VLOOKUP(BU560,Parameter!$F$35:$G$64,2,0),2)),IF(OR(BZ560="Nein",BZ560=""),"-",BZ560))))</f>
        <v>3</v>
      </c>
      <c r="AA560" s="55"/>
      <c r="AB560" s="56"/>
      <c r="AC560" s="50" t="n">
        <f aca="false">AT560</f>
        <v>5</v>
      </c>
      <c r="AD560" s="50" t="n">
        <f aca="false">MAX(AT560,H560)</f>
        <v>5</v>
      </c>
      <c r="AE560" s="57"/>
      <c r="AF560" s="50" t="n">
        <f aca="false">IF(LEFT(Cockpit!$C$5,1)="A",H560,IF(CE560=1,CF560,IF(LEFT(Cockpit!$C$5,1)="B",AK560,MAX(AK560,H560))))</f>
        <v>4</v>
      </c>
      <c r="AG560" s="50" t="n">
        <f aca="false">IF(BW560=1,0,ROUNDUP(AF560/BV560,0))</f>
        <v>1</v>
      </c>
      <c r="AH560" s="52" t="n">
        <f aca="false">IF(CL560&gt;0,CL560*MAX(1,AF560/X560),IF(BW560=1,IF(AF560&lt;=0,0,CA560*MAX(1,IF(H560&gt;0,AF560/H560,1))),IF(R560&gt;0,AG560/R560,0))/MAX(0.1,N(Parameter!$M$21)))</f>
        <v>0.00357142857142857</v>
      </c>
      <c r="AI560" s="50" t="n">
        <f aca="false">AH560*BY560</f>
        <v>0.553571428571429</v>
      </c>
      <c r="AJ560" s="50" t="n">
        <f aca="false">AF560*G560</f>
        <v>14.2</v>
      </c>
      <c r="AK560" s="50" t="n">
        <f aca="false">ROUNDUP(MAX(J560/IF(CD560&gt;0,CD560,MAX(0.1,N(Cockpit!$C$6))),CG560)/BV560,0)*BV560</f>
        <v>5</v>
      </c>
      <c r="AL560" s="51" t="n">
        <f aca="false">IF(AI560&gt;0,J560/AI560,-1)</f>
        <v>3.61290322580645</v>
      </c>
      <c r="AM560" s="51" t="n">
        <f aca="false">IF(AND(OR(CC560="L1",CC560="L23",CC560="LIFT"),AI560&gt;0),SUMIFS($AI$7:$AI$1843,$CC$7:$CC$1843,CC560,$AL$7:$AL$1843,"&gt;"&amp;AL560)+SUMIFS($AI$7:$AI$1843,$CC$7:$CC$1843,CC560,$AL$7:$AL$1843,AL560,$BT$7:$BT$1843,"&lt;="&amp;BT560),"")</f>
        <v>4826.21336996337</v>
      </c>
      <c r="AN560" s="58" t="n">
        <f aca="false">IF(AM560="",0,MAX(0,MIN(1,(IF(CC560="L1",Parameter!$H$5,IF(CC560="L23",Parameter!$H$6+Parameter!$H$7,Parameter!$H$5+Parameter!$H$6+Parameter!$H$7))-(AM560-AI560))/AI560)))</f>
        <v>1</v>
      </c>
      <c r="AO560" s="50" t="n">
        <f aca="false">IF(LEFT(Cockpit!$I$5,1)="A",H560,IF(CE560=1,CF560,IF(LEFT(Cockpit!$I$5,1)="B",AT560,MAX(AT560,H560))))</f>
        <v>5</v>
      </c>
      <c r="AP560" s="50" t="n">
        <f aca="false">IF(BW560=1,0,ROUNDUP(AO560/BV560,0))</f>
        <v>1</v>
      </c>
      <c r="AQ560" s="52" t="n">
        <f aca="false">IF(CL560&gt;0,CL560*MAX(1,AO560/X560),IF(BW560=1,IF(AO560&lt;=0,0,CA560*MAX(1,IF(H560&gt;0,AO560/H560,1))),IF(R560&gt;0,AP560/R560,0))/MAX(0.1,N(Parameter!$M$21)))</f>
        <v>0.00357142857142857</v>
      </c>
      <c r="AR560" s="50" t="n">
        <f aca="false">AQ560*BY560</f>
        <v>0.553571428571429</v>
      </c>
      <c r="AS560" s="50" t="n">
        <f aca="false">AO560*G560</f>
        <v>17.75</v>
      </c>
      <c r="AT560" s="50" t="n">
        <f aca="false">ROUNDUP(MAX(J560/IF(CD560&gt;0,CD560,MAX(0.1,N(Cockpit!$I$6))),CG560)/BV560,0)*BV560</f>
        <v>5</v>
      </c>
      <c r="AU560" s="51" t="n">
        <f aca="false">IF(AR560&gt;0,J560/AR560,-1)</f>
        <v>3.61290322580645</v>
      </c>
      <c r="AV560" s="51" t="n">
        <f aca="false">IF(AND(OR(CC560="L1",CC560="L23",CC560="LIFT"),AR560&gt;0),SUMIFS($AR$7:$AR$1843,$CC$7:$CC$1843,CC560,$AU$7:$AU$1843,"&gt;"&amp;AU560)+SUMIFS($AR$7:$AR$1843,$CC$7:$CC$1843,CC560,$AU$7:$AU$1843,AU560,$BT$7:$BT$1843,"&lt;="&amp;BT560),"")</f>
        <v>5953.72481684982</v>
      </c>
      <c r="AW560" s="58" t="n">
        <f aca="false">IF(AV560="",0,MAX(0,MIN(1,(IF(CC560="L1",Parameter!$H$5,IF(CC560="L23",Parameter!$H$6+Parameter!$H$7,Parameter!$H$5+Parameter!$H$6+Parameter!$H$7))-(AV560-AR560))/AR560)))</f>
        <v>1</v>
      </c>
      <c r="AX560" s="50" t="n">
        <f aca="false">IF(LEFT(Cockpit!$O$5,1)="A",H560,IF(CE560=1,CF560,IF(LEFT(Cockpit!$O$5,1)="B",BC560,MAX(BC560,H560))))</f>
        <v>5</v>
      </c>
      <c r="AY560" s="50" t="n">
        <f aca="false">IF(BW560=1,0,ROUNDUP(AX560/BV560,0))</f>
        <v>1</v>
      </c>
      <c r="AZ560" s="52" t="n">
        <f aca="false">IF(CL560&gt;0,CL560*MAX(1,AX560/X560),IF(BW560=1,IF(AX560&lt;=0,0,CA560*MAX(1,IF(H560&gt;0,AX560/H560,1))),IF(R560&gt;0,AY560/R560,0))/MAX(0.1,N(Parameter!$M$21)))</f>
        <v>0.00357142857142857</v>
      </c>
      <c r="BA560" s="50" t="n">
        <f aca="false">AZ560*BY560</f>
        <v>0.553571428571429</v>
      </c>
      <c r="BB560" s="50" t="n">
        <f aca="false">AX560*G560</f>
        <v>17.75</v>
      </c>
      <c r="BC560" s="50" t="n">
        <f aca="false">ROUNDUP(MAX(J560/IF(CD560&gt;0,CD560,MAX(0.1,N(Cockpit!$O$6))),CG560)/BV560,0)*BV560</f>
        <v>5</v>
      </c>
      <c r="BD560" s="51" t="n">
        <f aca="false">IF(BA560&gt;0,J560/BA560,-1)</f>
        <v>3.61290322580645</v>
      </c>
      <c r="BE560" s="51" t="n">
        <f aca="false">IF(AND(OR(CC560="L1",CC560="L23",CC560="LIFT"),BA560&gt;0),SUMIFS($BA$7:$BA$1843,$CC$7:$CC$1843,CC560,$BD$7:$BD$1843,"&gt;"&amp;BD560)+SUMIFS($BA$7:$BA$1843,$CC$7:$CC$1843,CC560,$BD$7:$BD$1843,BD560,$BT$7:$BT$1843,"&lt;="&amp;BT560),"")</f>
        <v>5855.31135531136</v>
      </c>
      <c r="BF560" s="58" t="n">
        <f aca="false">IF(BE560="",0,MAX(0,MIN(1,(IF(CC560="L1",Parameter!$H$5,IF(CC560="L23",Parameter!$H$6+Parameter!$H$7,Parameter!$H$5+Parameter!$H$6+Parameter!$H$7))-(BE560-BA560))/BA560)))</f>
        <v>1</v>
      </c>
      <c r="BG560" s="48" t="str">
        <f aca="false">IF(AI560&lt;=0,"",IF(CC560="Aussen","Aussenlager",IF(CC560="-","Nicht im Lift",IF(AN560&gt;=1,"Lift",IF(AN560&lt;=0,"Aussenlager","teilweise")))))</f>
        <v>Lift</v>
      </c>
      <c r="BH560" s="48" t="str">
        <f aca="false">IF(AR560&lt;=0,"",IF(CC560="Aussen","Aussenlager",IF(CC560="-","Nicht im Lift",IF(AW560&gt;=1,"Lift",IF(AW560&lt;=0,"Aussenlager","teilweise")))))</f>
        <v>Lift</v>
      </c>
      <c r="BI560" s="48" t="str">
        <f aca="false">IF(BA560&lt;=0,"",IF(CC560="Aussen","Aussenlager",IF(CC560="-","Nicht im Lift",IF(BF560&gt;=1,"Lift",IF(BF560&lt;=0,"Aussenlager","teilweise")))))</f>
        <v>Lift</v>
      </c>
      <c r="BJ560" s="48" t="str">
        <f aca="false">IF(A560="","",IF(BS560=1,"Neu; ","")&amp;IF(AND(BS560=0,BN560&lt;0),"negativer Bestand (Export "&amp;BN560&amp;"); ","")&amp;IF(J560&lt;=0,"Kein Verbrauch; ","")&amp;IF(CL560&gt;0,"Lift "&amp;W560&amp;" lt. Liftbericht (Fach "&amp;X560&amp;" Stk); ",IF(BX560=1,"Gebinde geschätzt ("&amp;T560&amp;"); ",IF(BW560=1,"Lose – Tablare geschätzt; ","")))&amp;IF(H560&gt;AT560,"Überbestand "&amp;ROUND(H560-AT560,0)&amp;" Stk / CHF "&amp;ROUND((H560-AT560)*G560,0)&amp;"; ","")&amp;IF(AND(CE560=1,CF560&lt;CG560),"MAX &lt; MB+LG; ","")&amp;IF(AND(CK560&gt;0,CJ560*10&gt;CK560),"zu hoch für Tablar; ","")&amp;IF(AND(BS560=0,OR(CE560=1,AA560&lt;&gt;"",U560&lt;&gt;"",V560&lt;&gt;"",AB560&lt;&gt;"")),"manuell übersteuert; ","")&amp;IF(AND(BW560=0,R560=0),"Gebinde unbekannt / Stellmass fehlt; ","")&amp;IF(AND(BW560=0,N(V560)&lt;=0,N(Q560)&lt;=0),"Menge pro Gebinde fehlt (Ist = 1 Gebinde); ","")&amp;BR560)</f>
        <v/>
      </c>
      <c r="BK560" s="48"/>
      <c r="BL560" s="48"/>
      <c r="BM560" s="55"/>
      <c r="BN560" s="50" t="n">
        <v>4</v>
      </c>
      <c r="BO560" s="50" t="n">
        <v>0</v>
      </c>
      <c r="BP560" s="49" t="n">
        <v>14.2</v>
      </c>
      <c r="BQ560" s="50" t="n">
        <v>2</v>
      </c>
      <c r="BR560" s="48"/>
      <c r="BS560" s="53" t="n">
        <v>0</v>
      </c>
      <c r="BT560" s="53" t="n">
        <v>560</v>
      </c>
      <c r="BU560" s="48" t="str">
        <f aca="false">IF(U560&lt;&gt;"",UPPER(TRIM(U560)),IF(BX560=1,UPPER(VLOOKUP(T560,Parameter!$I$27:$K$29,2,0)),IF(P560="","LOSE",P560)))</f>
        <v>S21</v>
      </c>
      <c r="BV560" s="50" t="n">
        <f aca="false">IF(BU560="LOSE",1,IF(N(V560)&gt;0,V560,IF(BX560=1,MAX(1,N(VLOOKUP(T560,Parameter!$I$27:$K$29,3,0)),H560,N(N560)),IF(N(Q560)&gt;0,Q560,MAX(1,H560)))))</f>
        <v>5</v>
      </c>
      <c r="BW560" s="53" t="n">
        <f aca="false">IF(BU560="LOSE",1,0)</f>
        <v>0</v>
      </c>
      <c r="BX560" s="53" t="n">
        <f aca="false">IF(AND(U560="",OR(P560="",P560="LOSE"),T560&lt;&gt;"",N(S560)&lt;=0,ISNUMBER(MATCH(T560,Parameter!$I$27:$I$29,0))),1,0)</f>
        <v>0</v>
      </c>
      <c r="BY560" s="53" t="n">
        <f aca="false">IF(CL560&gt;0,INDEX(Parameter!$H$5:$H$7,W560)/INDEX(Parameter!$E$5:$E$7,W560),IF(AND(BW560=0,N(IFERROR(VLOOKUP(BU560,'Gebinde-Kategorie'!$A$5:$N$45,14,0),0))&gt;0),VLOOKUP(BU560,'Gebinde-Kategorie'!$A$5:$N$45,14,0)*10+Parameter!$M$23,Parameter!$M$24))</f>
        <v>155</v>
      </c>
      <c r="BZ560" s="48" t="str">
        <f aca="false">IF(AND(Parameter!$B$19="Ja",E560&lt;&gt;"",ISNUMBER(MATCH(E560,Parameter!$I$35:$I$52,0))),VLOOKUP(E560,Parameter!$I$35:$J$52,2,0),IFERROR(VLOOKUP(D560,Parameter!$A$35:$C$64,2,0),"Nein"))</f>
        <v>2+3</v>
      </c>
      <c r="CA560" s="52" t="n">
        <f aca="false">IF(BW560=0,0,IF(N(S560)&gt;0,S560,IFERROR(VLOOKUP(D560,Parameter!$A$35:$C$64,3,0)+0,0)))</f>
        <v>0</v>
      </c>
      <c r="CB560" s="48" t="n">
        <f aca="false">IF(AA560&lt;&gt;"",AA560,Z560)</f>
        <v>3</v>
      </c>
      <c r="CC560" s="48" t="str">
        <f aca="false">IF(OR(CB560=1,CB560=2,CB560=3),IF(Parameter!$E$27="Ja","LIFT",IF(CB560=1,"L1","L23")),IF(CB560="Aussen","Aussen","-"))</f>
        <v>LIFT</v>
      </c>
      <c r="CD560" s="59" t="n">
        <f aca="false">IF(N(AB560)&gt;0,AB560,0)</f>
        <v>0</v>
      </c>
      <c r="CE560" s="53" t="n">
        <f aca="false">IF(ISNUMBER(AE560),1,0)</f>
        <v>0</v>
      </c>
      <c r="CF560" s="50" t="n">
        <f aca="false">N(AE560)</f>
        <v>0</v>
      </c>
      <c r="CG560" s="50" t="n">
        <f aca="false">N(M560)+N(N560)</f>
        <v>1</v>
      </c>
      <c r="CH560" s="50" t="n">
        <f aca="false">ROUNDUP(H560/BV560,0)</f>
        <v>1</v>
      </c>
      <c r="CI560" s="50" t="n">
        <f aca="false">ROUNDUP(CF560/BV560,0)</f>
        <v>0</v>
      </c>
      <c r="CJ560" s="53" t="n">
        <f aca="false">IF(BW560=1,0,IFERROR(VLOOKUP(BU560,'Gebinde-Kategorie'!$A$5:$N$45,5,0)+0,0))</f>
        <v>8</v>
      </c>
      <c r="CK560" s="53" t="n">
        <f aca="false">IFERROR(IF(OR(CB560=1,CB560=2,CB560=3),N(INDEX(Parameter!$I$5:$I$7,CB560)),0),0)</f>
        <v>0</v>
      </c>
      <c r="CL560" s="52" t="n">
        <f aca="false">IF(AND(Parameter!$B$21="Ja",ISNUMBER(W560),N(X560)&gt;0),IFERROR(N(INDEX(Parameter!$L$5:$L$7,W560))*INDEX(Parameter!$E$5:$E$7,W560)*X560/SUMIFS($X$7:$X$1843,$W$7:$W$1843,W560),0),0)</f>
        <v>0</v>
      </c>
    </row>
    <row r="561" customFormat="false" ht="15" hidden="false" customHeight="false" outlineLevel="0" collapsed="false">
      <c r="A561" s="48" t="s">
        <v>1195</v>
      </c>
      <c r="B561" s="48" t="s">
        <v>499</v>
      </c>
      <c r="C561" s="48" t="s">
        <v>168</v>
      </c>
      <c r="D561" s="48" t="s">
        <v>188</v>
      </c>
      <c r="E561" s="48" t="s">
        <v>189</v>
      </c>
      <c r="F561" s="48" t="s">
        <v>222</v>
      </c>
      <c r="G561" s="49" t="n">
        <v>0.22</v>
      </c>
      <c r="H561" s="50" t="n">
        <f aca="false">MAX(0,IF(AND(Parameter!$B$21="Ja",ISNUMBER(Y561)),Y561,IF(Parameter!$B$20="Jahresanfang 2025 + Export",BO561+BN561,BN561)))</f>
        <v>313</v>
      </c>
      <c r="I561" s="50" t="n">
        <f aca="false">H561*G561</f>
        <v>68.86</v>
      </c>
      <c r="J561" s="50" t="n">
        <f aca="false">BQ561*Parameter!$B$18</f>
        <v>309</v>
      </c>
      <c r="K561" s="51" t="n">
        <v>143</v>
      </c>
      <c r="L561" s="52" t="n">
        <v>2.16083916083916</v>
      </c>
      <c r="M561" s="50" t="n">
        <v>18</v>
      </c>
      <c r="N561" s="50" t="n">
        <v>310</v>
      </c>
      <c r="O561" s="53" t="n">
        <v>21</v>
      </c>
      <c r="P561" s="48" t="s">
        <v>405</v>
      </c>
      <c r="Q561" s="50" t="n">
        <v>119</v>
      </c>
      <c r="R561" s="53" t="n">
        <f aca="false">IF(BW561=1,0,IFERROR(VLOOKUP(BU561,'Gebinde-Kategorie'!$A$5:$N$45,13,0)+0,0))</f>
        <v>280</v>
      </c>
      <c r="S561" s="54"/>
      <c r="T561" s="55"/>
      <c r="U561" s="55"/>
      <c r="V561" s="55"/>
      <c r="W561" s="48"/>
      <c r="X561" s="50"/>
      <c r="Y561" s="50"/>
      <c r="Z561" s="48" t="n">
        <f aca="false">IF(A561="","",IF(AND(Parameter!$B$21="Ja",ISNUMBER(W561)),W561,IF(BZ561="2+3",IF(ISNUMBER(SEARCH("grosser Artikel",BR561)),2,IFERROR(VLOOKUP(BU561,Parameter!$F$35:$G$64,2,0),2)),IF(OR(BZ561="Nein",BZ561=""),"-",BZ561))))</f>
        <v>3</v>
      </c>
      <c r="AA561" s="55"/>
      <c r="AB561" s="56"/>
      <c r="AC561" s="50" t="n">
        <f aca="false">AT561</f>
        <v>357</v>
      </c>
      <c r="AD561" s="50" t="n">
        <f aca="false">MAX(AT561,H561)</f>
        <v>357</v>
      </c>
      <c r="AE561" s="57"/>
      <c r="AF561" s="50" t="n">
        <f aca="false">IF(LEFT(Cockpit!$C$5,1)="A",H561,IF(CE561=1,CF561,IF(LEFT(Cockpit!$C$5,1)="B",AK561,MAX(AK561,H561))))</f>
        <v>313</v>
      </c>
      <c r="AG561" s="50" t="n">
        <f aca="false">IF(BW561=1,0,ROUNDUP(AF561/BV561,0))</f>
        <v>3</v>
      </c>
      <c r="AH561" s="52" t="n">
        <f aca="false">IF(CL561&gt;0,CL561*MAX(1,AF561/X561),IF(BW561=1,IF(AF561&lt;=0,0,CA561*MAX(1,IF(H561&gt;0,AF561/H561,1))),IF(R561&gt;0,AG561/R561,0))/MAX(0.1,N(Parameter!$M$21)))</f>
        <v>0.0107142857142857</v>
      </c>
      <c r="AI561" s="50" t="n">
        <f aca="false">AH561*BY561</f>
        <v>1.66071428571429</v>
      </c>
      <c r="AJ561" s="50" t="n">
        <f aca="false">AF561*G561</f>
        <v>68.86</v>
      </c>
      <c r="AK561" s="50" t="n">
        <f aca="false">ROUNDUP(MAX(J561/IF(CD561&gt;0,CD561,MAX(0.1,N(Cockpit!$C$6))),CG561)/BV561,0)*BV561</f>
        <v>357</v>
      </c>
      <c r="AL561" s="51" t="n">
        <f aca="false">IF(AI561&gt;0,J561/AI561,-1)</f>
        <v>186.064516129032</v>
      </c>
      <c r="AM561" s="51" t="n">
        <f aca="false">IF(AND(OR(CC561="L1",CC561="L23",CC561="LIFT"),AI561&gt;0),SUMIFS($AI$7:$AI$1843,$CC$7:$CC$1843,CC561,$AL$7:$AL$1843,"&gt;"&amp;AL561)+SUMIFS($AI$7:$AI$1843,$CC$7:$CC$1843,CC561,$AL$7:$AL$1843,AL561,$BT$7:$BT$1843,"&lt;="&amp;BT561),"")</f>
        <v>382.878205128205</v>
      </c>
      <c r="AN561" s="58" t="n">
        <f aca="false">IF(AM561="",0,MAX(0,MIN(1,(IF(CC561="L1",Parameter!$H$5,IF(CC561="L23",Parameter!$H$6+Parameter!$H$7,Parameter!$H$5+Parameter!$H$6+Parameter!$H$7))-(AM561-AI561))/AI561)))</f>
        <v>1</v>
      </c>
      <c r="AO561" s="50" t="n">
        <f aca="false">IF(LEFT(Cockpit!$I$5,1)="A",H561,IF(CE561=1,CF561,IF(LEFT(Cockpit!$I$5,1)="B",AT561,MAX(AT561,H561))))</f>
        <v>357</v>
      </c>
      <c r="AP561" s="50" t="n">
        <f aca="false">IF(BW561=1,0,ROUNDUP(AO561/BV561,0))</f>
        <v>3</v>
      </c>
      <c r="AQ561" s="52" t="n">
        <f aca="false">IF(CL561&gt;0,CL561*MAX(1,AO561/X561),IF(BW561=1,IF(AO561&lt;=0,0,CA561*MAX(1,IF(H561&gt;0,AO561/H561,1))),IF(R561&gt;0,AP561/R561,0))/MAX(0.1,N(Parameter!$M$21)))</f>
        <v>0.0107142857142857</v>
      </c>
      <c r="AR561" s="50" t="n">
        <f aca="false">AQ561*BY561</f>
        <v>1.66071428571429</v>
      </c>
      <c r="AS561" s="50" t="n">
        <f aca="false">AO561*G561</f>
        <v>78.54</v>
      </c>
      <c r="AT561" s="50" t="n">
        <f aca="false">ROUNDUP(MAX(J561/IF(CD561&gt;0,CD561,MAX(0.1,N(Cockpit!$I$6))),CG561)/BV561,0)*BV561</f>
        <v>357</v>
      </c>
      <c r="AU561" s="51" t="n">
        <f aca="false">IF(AR561&gt;0,J561/AR561,-1)</f>
        <v>186.064516129032</v>
      </c>
      <c r="AV561" s="51" t="n">
        <f aca="false">IF(AND(OR(CC561="L1",CC561="L23",CC561="LIFT"),AR561&gt;0),SUMIFS($AR$7:$AR$1843,$CC$7:$CC$1843,CC561,$AU$7:$AU$1843,"&gt;"&amp;AU561)+SUMIFS($AR$7:$AR$1843,$CC$7:$CC$1843,CC561,$AU$7:$AU$1843,AU561,$BT$7:$BT$1843,"&lt;="&amp;BT561),"")</f>
        <v>422.437271062271</v>
      </c>
      <c r="AW561" s="58" t="n">
        <f aca="false">IF(AV561="",0,MAX(0,MIN(1,(IF(CC561="L1",Parameter!$H$5,IF(CC561="L23",Parameter!$H$6+Parameter!$H$7,Parameter!$H$5+Parameter!$H$6+Parameter!$H$7))-(AV561-AR561))/AR561)))</f>
        <v>1</v>
      </c>
      <c r="AX561" s="50" t="n">
        <f aca="false">IF(LEFT(Cockpit!$O$5,1)="A",H561,IF(CE561=1,CF561,IF(LEFT(Cockpit!$O$5,1)="B",BC561,MAX(BC561,H561))))</f>
        <v>357</v>
      </c>
      <c r="AY561" s="50" t="n">
        <f aca="false">IF(BW561=1,0,ROUNDUP(AX561/BV561,0))</f>
        <v>3</v>
      </c>
      <c r="AZ561" s="52" t="n">
        <f aca="false">IF(CL561&gt;0,CL561*MAX(1,AX561/X561),IF(BW561=1,IF(AX561&lt;=0,0,CA561*MAX(1,IF(H561&gt;0,AX561/H561,1))),IF(R561&gt;0,AY561/R561,0))/MAX(0.1,N(Parameter!$M$21)))</f>
        <v>0.0107142857142857</v>
      </c>
      <c r="BA561" s="50" t="n">
        <f aca="false">AZ561*BY561</f>
        <v>1.66071428571429</v>
      </c>
      <c r="BB561" s="50" t="n">
        <f aca="false">AX561*G561</f>
        <v>78.54</v>
      </c>
      <c r="BC561" s="50" t="n">
        <f aca="false">ROUNDUP(MAX(J561/IF(CD561&gt;0,CD561,MAX(0.1,N(Cockpit!$O$6))),CG561)/BV561,0)*BV561</f>
        <v>357</v>
      </c>
      <c r="BD561" s="51" t="n">
        <f aca="false">IF(BA561&gt;0,J561/BA561,-1)</f>
        <v>186.064516129032</v>
      </c>
      <c r="BE561" s="51" t="n">
        <f aca="false">IF(AND(OR(CC561="L1",CC561="L23",CC561="LIFT"),BA561&gt;0),SUMIFS($BA$7:$BA$1843,$CC$7:$CC$1843,CC561,$BD$7:$BD$1843,"&gt;"&amp;BD561)+SUMIFS($BA$7:$BA$1843,$CC$7:$CC$1843,CC561,$BD$7:$BD$1843,BD561,$BT$7:$BT$1843,"&lt;="&amp;BT561),"")</f>
        <v>484.376373626374</v>
      </c>
      <c r="BF561" s="58" t="n">
        <f aca="false">IF(BE561="",0,MAX(0,MIN(1,(IF(CC561="L1",Parameter!$H$5,IF(CC561="L23",Parameter!$H$6+Parameter!$H$7,Parameter!$H$5+Parameter!$H$6+Parameter!$H$7))-(BE561-BA561))/BA561)))</f>
        <v>1</v>
      </c>
      <c r="BG561" s="48" t="str">
        <f aca="false">IF(AI561&lt;=0,"",IF(CC561="Aussen","Aussenlager",IF(CC561="-","Nicht im Lift",IF(AN561&gt;=1,"Lift",IF(AN561&lt;=0,"Aussenlager","teilweise")))))</f>
        <v>Lift</v>
      </c>
      <c r="BH561" s="48" t="str">
        <f aca="false">IF(AR561&lt;=0,"",IF(CC561="Aussen","Aussenlager",IF(CC561="-","Nicht im Lift",IF(AW561&gt;=1,"Lift",IF(AW561&lt;=0,"Aussenlager","teilweise")))))</f>
        <v>Lift</v>
      </c>
      <c r="BI561" s="48" t="str">
        <f aca="false">IF(BA561&lt;=0,"",IF(CC561="Aussen","Aussenlager",IF(CC561="-","Nicht im Lift",IF(BF561&gt;=1,"Lift",IF(BF561&lt;=0,"Aussenlager","teilweise")))))</f>
        <v>Lift</v>
      </c>
      <c r="BJ561" s="48" t="str">
        <f aca="false">IF(A561="","",IF(BS561=1,"Neu; ","")&amp;IF(AND(BS561=0,BN561&lt;0),"negativer Bestand (Export "&amp;BN561&amp;"); ","")&amp;IF(J561&lt;=0,"Kein Verbrauch; ","")&amp;IF(CL561&gt;0,"Lift "&amp;W561&amp;" lt. Liftbericht (Fach "&amp;X561&amp;" Stk); ",IF(BX561=1,"Gebinde geschätzt ("&amp;T561&amp;"); ",IF(BW561=1,"Lose – Tablare geschätzt; ","")))&amp;IF(H561&gt;AT561,"Überbestand "&amp;ROUND(H561-AT561,0)&amp;" Stk / CHF "&amp;ROUND((H561-AT561)*G561,0)&amp;"; ","")&amp;IF(AND(CE561=1,CF561&lt;CG561),"MAX &lt; MB+LG; ","")&amp;IF(AND(CK561&gt;0,CJ561*10&gt;CK561),"zu hoch für Tablar; ","")&amp;IF(AND(BS561=0,OR(CE561=1,AA561&lt;&gt;"",U561&lt;&gt;"",V561&lt;&gt;"",AB561&lt;&gt;"")),"manuell übersteuert; ","")&amp;IF(AND(BW561=0,R561=0),"Gebinde unbekannt / Stellmass fehlt; ","")&amp;IF(AND(BW561=0,N(V561)&lt;=0,N(Q561)&lt;=0),"Menge pro Gebinde fehlt (Ist = 1 Gebinde); ","")&amp;BR561)</f>
        <v/>
      </c>
      <c r="BK561" s="48"/>
      <c r="BL561" s="48"/>
      <c r="BM561" s="55"/>
      <c r="BN561" s="50" t="n">
        <v>165</v>
      </c>
      <c r="BO561" s="50" t="n">
        <v>148</v>
      </c>
      <c r="BP561" s="49" t="n">
        <v>14.1</v>
      </c>
      <c r="BQ561" s="50" t="n">
        <v>309</v>
      </c>
      <c r="BR561" s="48"/>
      <c r="BS561" s="53" t="n">
        <v>0</v>
      </c>
      <c r="BT561" s="53" t="n">
        <v>561</v>
      </c>
      <c r="BU561" s="48" t="str">
        <f aca="false">IF(U561&lt;&gt;"",UPPER(TRIM(U561)),IF(BX561=1,UPPER(VLOOKUP(T561,Parameter!$I$27:$K$29,2,0)),IF(P561="","LOSE",P561)))</f>
        <v>S21</v>
      </c>
      <c r="BV561" s="50" t="n">
        <f aca="false">IF(BU561="LOSE",1,IF(N(V561)&gt;0,V561,IF(BX561=1,MAX(1,N(VLOOKUP(T561,Parameter!$I$27:$K$29,3,0)),H561,N(N561)),IF(N(Q561)&gt;0,Q561,MAX(1,H561)))))</f>
        <v>119</v>
      </c>
      <c r="BW561" s="53" t="n">
        <f aca="false">IF(BU561="LOSE",1,0)</f>
        <v>0</v>
      </c>
      <c r="BX561" s="53" t="n">
        <f aca="false">IF(AND(U561="",OR(P561="",P561="LOSE"),T561&lt;&gt;"",N(S561)&lt;=0,ISNUMBER(MATCH(T561,Parameter!$I$27:$I$29,0))),1,0)</f>
        <v>0</v>
      </c>
      <c r="BY561" s="53" t="n">
        <f aca="false">IF(CL561&gt;0,INDEX(Parameter!$H$5:$H$7,W561)/INDEX(Parameter!$E$5:$E$7,W561),IF(AND(BW561=0,N(IFERROR(VLOOKUP(BU561,'Gebinde-Kategorie'!$A$5:$N$45,14,0),0))&gt;0),VLOOKUP(BU561,'Gebinde-Kategorie'!$A$5:$N$45,14,0)*10+Parameter!$M$23,Parameter!$M$24))</f>
        <v>155</v>
      </c>
      <c r="BZ561" s="48" t="str">
        <f aca="false">IF(AND(Parameter!$B$19="Ja",E561&lt;&gt;"",ISNUMBER(MATCH(E561,Parameter!$I$35:$I$52,0))),VLOOKUP(E561,Parameter!$I$35:$J$52,2,0),IFERROR(VLOOKUP(D561,Parameter!$A$35:$C$64,2,0),"Nein"))</f>
        <v>2+3</v>
      </c>
      <c r="CA561" s="52" t="n">
        <f aca="false">IF(BW561=0,0,IF(N(S561)&gt;0,S561,IFERROR(VLOOKUP(D561,Parameter!$A$35:$C$64,3,0)+0,0)))</f>
        <v>0</v>
      </c>
      <c r="CB561" s="48" t="n">
        <f aca="false">IF(AA561&lt;&gt;"",AA561,Z561)</f>
        <v>3</v>
      </c>
      <c r="CC561" s="48" t="str">
        <f aca="false">IF(OR(CB561=1,CB561=2,CB561=3),IF(Parameter!$E$27="Ja","LIFT",IF(CB561=1,"L1","L23")),IF(CB561="Aussen","Aussen","-"))</f>
        <v>LIFT</v>
      </c>
      <c r="CD561" s="59" t="n">
        <f aca="false">IF(N(AB561)&gt;0,AB561,0)</f>
        <v>0</v>
      </c>
      <c r="CE561" s="53" t="n">
        <f aca="false">IF(ISNUMBER(AE561),1,0)</f>
        <v>0</v>
      </c>
      <c r="CF561" s="50" t="n">
        <f aca="false">N(AE561)</f>
        <v>0</v>
      </c>
      <c r="CG561" s="50" t="n">
        <f aca="false">N(M561)+N(N561)</f>
        <v>328</v>
      </c>
      <c r="CH561" s="50" t="n">
        <f aca="false">ROUNDUP(H561/BV561,0)</f>
        <v>3</v>
      </c>
      <c r="CI561" s="50" t="n">
        <f aca="false">ROUNDUP(CF561/BV561,0)</f>
        <v>0</v>
      </c>
      <c r="CJ561" s="53" t="n">
        <f aca="false">IF(BW561=1,0,IFERROR(VLOOKUP(BU561,'Gebinde-Kategorie'!$A$5:$N$45,5,0)+0,0))</f>
        <v>8</v>
      </c>
      <c r="CK561" s="53" t="n">
        <f aca="false">IFERROR(IF(OR(CB561=1,CB561=2,CB561=3),N(INDEX(Parameter!$I$5:$I$7,CB561)),0),0)</f>
        <v>0</v>
      </c>
      <c r="CL561" s="52" t="n">
        <f aca="false">IF(AND(Parameter!$B$21="Ja",ISNUMBER(W561),N(X561)&gt;0),IFERROR(N(INDEX(Parameter!$L$5:$L$7,W561))*INDEX(Parameter!$E$5:$E$7,W561)*X561/SUMIFS($X$7:$X$1843,$W$7:$W$1843,W561),0),0)</f>
        <v>0</v>
      </c>
    </row>
    <row r="562" customFormat="false" ht="15" hidden="false" customHeight="false" outlineLevel="0" collapsed="false">
      <c r="A562" s="48" t="s">
        <v>1196</v>
      </c>
      <c r="B562" s="48" t="s">
        <v>1197</v>
      </c>
      <c r="C562" s="48" t="s">
        <v>168</v>
      </c>
      <c r="D562" s="48" t="s">
        <v>188</v>
      </c>
      <c r="E562" s="48" t="s">
        <v>189</v>
      </c>
      <c r="F562" s="48" t="s">
        <v>222</v>
      </c>
      <c r="G562" s="49" t="n">
        <v>1.4</v>
      </c>
      <c r="H562" s="50" t="n">
        <f aca="false">MAX(0,IF(AND(Parameter!$B$21="Ja",ISNUMBER(Y562)),Y562,IF(Parameter!$B$20="Jahresanfang 2025 + Export",BO562+BN562,BN562)))</f>
        <v>15</v>
      </c>
      <c r="I562" s="50" t="n">
        <f aca="false">H562*G562</f>
        <v>21</v>
      </c>
      <c r="J562" s="50" t="n">
        <f aca="false">BQ562*Parameter!$B$18</f>
        <v>15</v>
      </c>
      <c r="K562" s="51" t="n">
        <v>7.5</v>
      </c>
      <c r="L562" s="52" t="n">
        <v>2</v>
      </c>
      <c r="M562" s="50" t="n">
        <v>1</v>
      </c>
      <c r="N562" s="50" t="n">
        <v>15</v>
      </c>
      <c r="O562" s="53" t="n">
        <v>28</v>
      </c>
      <c r="P562" s="48" t="s">
        <v>425</v>
      </c>
      <c r="Q562" s="50" t="n">
        <v>27</v>
      </c>
      <c r="R562" s="53" t="n">
        <f aca="false">IF(BW562=1,0,IFERROR(VLOOKUP(BU562,'Gebinde-Kategorie'!$A$5:$N$45,13,0)+0,0))</f>
        <v>104</v>
      </c>
      <c r="S562" s="54"/>
      <c r="T562" s="55"/>
      <c r="U562" s="55"/>
      <c r="V562" s="55"/>
      <c r="W562" s="48"/>
      <c r="X562" s="50"/>
      <c r="Y562" s="50"/>
      <c r="Z562" s="48" t="n">
        <f aca="false">IF(A562="","",IF(AND(Parameter!$B$21="Ja",ISNUMBER(W562)),W562,IF(BZ562="2+3",IF(ISNUMBER(SEARCH("grosser Artikel",BR562)),2,IFERROR(VLOOKUP(BU562,Parameter!$F$35:$G$64,2,0),2)),IF(OR(BZ562="Nein",BZ562=""),"-",BZ562))))</f>
        <v>3</v>
      </c>
      <c r="AA562" s="55"/>
      <c r="AB562" s="56"/>
      <c r="AC562" s="50" t="n">
        <f aca="false">AT562</f>
        <v>27</v>
      </c>
      <c r="AD562" s="50" t="n">
        <f aca="false">MAX(AT562,H562)</f>
        <v>27</v>
      </c>
      <c r="AE562" s="57"/>
      <c r="AF562" s="50" t="n">
        <f aca="false">IF(LEFT(Cockpit!$C$5,1)="A",H562,IF(CE562=1,CF562,IF(LEFT(Cockpit!$C$5,1)="B",AK562,MAX(AK562,H562))))</f>
        <v>15</v>
      </c>
      <c r="AG562" s="50" t="n">
        <f aca="false">IF(BW562=1,0,ROUNDUP(AF562/BV562,0))</f>
        <v>1</v>
      </c>
      <c r="AH562" s="52" t="n">
        <f aca="false">IF(CL562&gt;0,CL562*MAX(1,AF562/X562),IF(BW562=1,IF(AF562&lt;=0,0,CA562*MAX(1,IF(H562&gt;0,AF562/H562,1))),IF(R562&gt;0,AG562/R562,0))/MAX(0.1,N(Parameter!$M$21)))</f>
        <v>0.00961538461538462</v>
      </c>
      <c r="AI562" s="50" t="n">
        <f aca="false">AH562*BY562</f>
        <v>1.49038461538462</v>
      </c>
      <c r="AJ562" s="50" t="n">
        <f aca="false">AF562*G562</f>
        <v>21</v>
      </c>
      <c r="AK562" s="50" t="n">
        <f aca="false">ROUNDUP(MAX(J562/IF(CD562&gt;0,CD562,MAX(0.1,N(Cockpit!$C$6))),CG562)/BV562,0)*BV562</f>
        <v>27</v>
      </c>
      <c r="AL562" s="51" t="n">
        <f aca="false">IF(AI562&gt;0,J562/AI562,-1)</f>
        <v>10.0645161290323</v>
      </c>
      <c r="AM562" s="51" t="n">
        <f aca="false">IF(AND(OR(CC562="L1",CC562="L23",CC562="LIFT"),AI562&gt;0),SUMIFS($AI$7:$AI$1843,$CC$7:$CC$1843,CC562,$AL$7:$AL$1843,"&gt;"&amp;AL562)+SUMIFS($AI$7:$AI$1843,$CC$7:$CC$1843,CC562,$AL$7:$AL$1843,AL562,$BT$7:$BT$1843,"&lt;="&amp;BT562),"")</f>
        <v>2602.13232600733</v>
      </c>
      <c r="AN562" s="58" t="n">
        <f aca="false">IF(AM562="",0,MAX(0,MIN(1,(IF(CC562="L1",Parameter!$H$5,IF(CC562="L23",Parameter!$H$6+Parameter!$H$7,Parameter!$H$5+Parameter!$H$6+Parameter!$H$7))-(AM562-AI562))/AI562)))</f>
        <v>1</v>
      </c>
      <c r="AO562" s="50" t="n">
        <f aca="false">IF(LEFT(Cockpit!$I$5,1)="A",H562,IF(CE562=1,CF562,IF(LEFT(Cockpit!$I$5,1)="B",AT562,MAX(AT562,H562))))</f>
        <v>27</v>
      </c>
      <c r="AP562" s="50" t="n">
        <f aca="false">IF(BW562=1,0,ROUNDUP(AO562/BV562,0))</f>
        <v>1</v>
      </c>
      <c r="AQ562" s="52" t="n">
        <f aca="false">IF(CL562&gt;0,CL562*MAX(1,AO562/X562),IF(BW562=1,IF(AO562&lt;=0,0,CA562*MAX(1,IF(H562&gt;0,AO562/H562,1))),IF(R562&gt;0,AP562/R562,0))/MAX(0.1,N(Parameter!$M$21)))</f>
        <v>0.00961538461538462</v>
      </c>
      <c r="AR562" s="50" t="n">
        <f aca="false">AQ562*BY562</f>
        <v>1.49038461538462</v>
      </c>
      <c r="AS562" s="50" t="n">
        <f aca="false">AO562*G562</f>
        <v>37.8</v>
      </c>
      <c r="AT562" s="50" t="n">
        <f aca="false">ROUNDUP(MAX(J562/IF(CD562&gt;0,CD562,MAX(0.1,N(Cockpit!$I$6))),CG562)/BV562,0)*BV562</f>
        <v>27</v>
      </c>
      <c r="AU562" s="51" t="n">
        <f aca="false">IF(AR562&gt;0,J562/AR562,-1)</f>
        <v>10.0645161290323</v>
      </c>
      <c r="AV562" s="51" t="n">
        <f aca="false">IF(AND(OR(CC562="L1",CC562="L23",CC562="LIFT"),AR562&gt;0),SUMIFS($AR$7:$AR$1843,$CC$7:$CC$1843,CC562,$AU$7:$AU$1843,"&gt;"&amp;AU562)+SUMIFS($AR$7:$AR$1843,$CC$7:$CC$1843,CC562,$AU$7:$AU$1843,AU562,$BT$7:$BT$1843,"&lt;="&amp;BT562),"")</f>
        <v>3800</v>
      </c>
      <c r="AW562" s="58" t="n">
        <f aca="false">IF(AV562="",0,MAX(0,MIN(1,(IF(CC562="L1",Parameter!$H$5,IF(CC562="L23",Parameter!$H$6+Parameter!$H$7,Parameter!$H$5+Parameter!$H$6+Parameter!$H$7))-(AV562-AR562))/AR562)))</f>
        <v>1</v>
      </c>
      <c r="AX562" s="50" t="n">
        <f aca="false">IF(LEFT(Cockpit!$O$5,1)="A",H562,IF(CE562=1,CF562,IF(LEFT(Cockpit!$O$5,1)="B",BC562,MAX(BC562,H562))))</f>
        <v>27</v>
      </c>
      <c r="AY562" s="50" t="n">
        <f aca="false">IF(BW562=1,0,ROUNDUP(AX562/BV562,0))</f>
        <v>1</v>
      </c>
      <c r="AZ562" s="52" t="n">
        <f aca="false">IF(CL562&gt;0,CL562*MAX(1,AX562/X562),IF(BW562=1,IF(AX562&lt;=0,0,CA562*MAX(1,IF(H562&gt;0,AX562/H562,1))),IF(R562&gt;0,AY562/R562,0))/MAX(0.1,N(Parameter!$M$21)))</f>
        <v>0.00961538461538462</v>
      </c>
      <c r="BA562" s="50" t="n">
        <f aca="false">AZ562*BY562</f>
        <v>1.49038461538462</v>
      </c>
      <c r="BB562" s="50" t="n">
        <f aca="false">AX562*G562</f>
        <v>37.8</v>
      </c>
      <c r="BC562" s="50" t="n">
        <f aca="false">ROUNDUP(MAX(J562/IF(CD562&gt;0,CD562,MAX(0.1,N(Cockpit!$O$6))),CG562)/BV562,0)*BV562</f>
        <v>27</v>
      </c>
      <c r="BD562" s="51" t="n">
        <f aca="false">IF(BA562&gt;0,J562/BA562,-1)</f>
        <v>10.0645161290323</v>
      </c>
      <c r="BE562" s="51" t="n">
        <f aca="false">IF(AND(OR(CC562="L1",CC562="L23",CC562="LIFT"),BA562&gt;0),SUMIFS($BA$7:$BA$1843,$CC$7:$CC$1843,CC562,$BD$7:$BD$1843,"&gt;"&amp;BD562)+SUMIFS($BA$7:$BA$1843,$CC$7:$CC$1843,CC562,$BD$7:$BD$1843,BD562,$BT$7:$BT$1843,"&lt;="&amp;BT562),"")</f>
        <v>3458.125</v>
      </c>
      <c r="BF562" s="58" t="n">
        <f aca="false">IF(BE562="",0,MAX(0,MIN(1,(IF(CC562="L1",Parameter!$H$5,IF(CC562="L23",Parameter!$H$6+Parameter!$H$7,Parameter!$H$5+Parameter!$H$6+Parameter!$H$7))-(BE562-BA562))/BA562)))</f>
        <v>1</v>
      </c>
      <c r="BG562" s="48" t="str">
        <f aca="false">IF(AI562&lt;=0,"",IF(CC562="Aussen","Aussenlager",IF(CC562="-","Nicht im Lift",IF(AN562&gt;=1,"Lift",IF(AN562&lt;=0,"Aussenlager","teilweise")))))</f>
        <v>Lift</v>
      </c>
      <c r="BH562" s="48" t="str">
        <f aca="false">IF(AR562&lt;=0,"",IF(CC562="Aussen","Aussenlager",IF(CC562="-","Nicht im Lift",IF(AW562&gt;=1,"Lift",IF(AW562&lt;=0,"Aussenlager","teilweise")))))</f>
        <v>Lift</v>
      </c>
      <c r="BI562" s="48" t="str">
        <f aca="false">IF(BA562&lt;=0,"",IF(CC562="Aussen","Aussenlager",IF(CC562="-","Nicht im Lift",IF(BF562&gt;=1,"Lift",IF(BF562&lt;=0,"Aussenlager","teilweise")))))</f>
        <v>Lift</v>
      </c>
      <c r="BJ562" s="48" t="str">
        <f aca="false">IF(A562="","",IF(BS562=1,"Neu; ","")&amp;IF(AND(BS562=0,BN562&lt;0),"negativer Bestand (Export "&amp;BN562&amp;"); ","")&amp;IF(J562&lt;=0,"Kein Verbrauch; ","")&amp;IF(CL562&gt;0,"Lift "&amp;W562&amp;" lt. Liftbericht (Fach "&amp;X562&amp;" Stk); ",IF(BX562=1,"Gebinde geschätzt ("&amp;T562&amp;"); ",IF(BW562=1,"Lose – Tablare geschätzt; ","")))&amp;IF(H562&gt;AT562,"Überbestand "&amp;ROUND(H562-AT562,0)&amp;" Stk / CHF "&amp;ROUND((H562-AT562)*G562,0)&amp;"; ","")&amp;IF(AND(CE562=1,CF562&lt;CG562),"MAX &lt; MB+LG; ","")&amp;IF(AND(CK562&gt;0,CJ562*10&gt;CK562),"zu hoch für Tablar; ","")&amp;IF(AND(BS562=0,OR(CE562=1,AA562&lt;&gt;"",U562&lt;&gt;"",V562&lt;&gt;"",AB562&lt;&gt;"")),"manuell übersteuert; ","")&amp;IF(AND(BW562=0,R562=0),"Gebinde unbekannt / Stellmass fehlt; ","")&amp;IF(AND(BW562=0,N(V562)&lt;=0,N(Q562)&lt;=0),"Menge pro Gebinde fehlt (Ist = 1 Gebinde); ","")&amp;BR562)</f>
        <v/>
      </c>
      <c r="BK562" s="48"/>
      <c r="BL562" s="48"/>
      <c r="BM562" s="55"/>
      <c r="BN562" s="50" t="n">
        <v>10</v>
      </c>
      <c r="BO562" s="50" t="n">
        <v>5</v>
      </c>
      <c r="BP562" s="49" t="n">
        <v>14.1</v>
      </c>
      <c r="BQ562" s="50" t="n">
        <v>15</v>
      </c>
      <c r="BR562" s="48"/>
      <c r="BS562" s="53" t="n">
        <v>0</v>
      </c>
      <c r="BT562" s="53" t="n">
        <v>562</v>
      </c>
      <c r="BU562" s="48" t="str">
        <f aca="false">IF(U562&lt;&gt;"",UPPER(TRIM(U562)),IF(BX562=1,UPPER(VLOOKUP(T562,Parameter!$I$27:$K$29,2,0)),IF(P562="","LOSE",P562)))</f>
        <v>S32</v>
      </c>
      <c r="BV562" s="50" t="n">
        <f aca="false">IF(BU562="LOSE",1,IF(N(V562)&gt;0,V562,IF(BX562=1,MAX(1,N(VLOOKUP(T562,Parameter!$I$27:$K$29,3,0)),H562,N(N562)),IF(N(Q562)&gt;0,Q562,MAX(1,H562)))))</f>
        <v>27</v>
      </c>
      <c r="BW562" s="53" t="n">
        <f aca="false">IF(BU562="LOSE",1,0)</f>
        <v>0</v>
      </c>
      <c r="BX562" s="53" t="n">
        <f aca="false">IF(AND(U562="",OR(P562="",P562="LOSE"),T562&lt;&gt;"",N(S562)&lt;=0,ISNUMBER(MATCH(T562,Parameter!$I$27:$I$29,0))),1,0)</f>
        <v>0</v>
      </c>
      <c r="BY562" s="53" t="n">
        <f aca="false">IF(CL562&gt;0,INDEX(Parameter!$H$5:$H$7,W562)/INDEX(Parameter!$E$5:$E$7,W562),IF(AND(BW562=0,N(IFERROR(VLOOKUP(BU562,'Gebinde-Kategorie'!$A$5:$N$45,14,0),0))&gt;0),VLOOKUP(BU562,'Gebinde-Kategorie'!$A$5:$N$45,14,0)*10+Parameter!$M$23,Parameter!$M$24))</f>
        <v>155</v>
      </c>
      <c r="BZ562" s="48" t="str">
        <f aca="false">IF(AND(Parameter!$B$19="Ja",E562&lt;&gt;"",ISNUMBER(MATCH(E562,Parameter!$I$35:$I$52,0))),VLOOKUP(E562,Parameter!$I$35:$J$52,2,0),IFERROR(VLOOKUP(D562,Parameter!$A$35:$C$64,2,0),"Nein"))</f>
        <v>2+3</v>
      </c>
      <c r="CA562" s="52" t="n">
        <f aca="false">IF(BW562=0,0,IF(N(S562)&gt;0,S562,IFERROR(VLOOKUP(D562,Parameter!$A$35:$C$64,3,0)+0,0)))</f>
        <v>0</v>
      </c>
      <c r="CB562" s="48" t="n">
        <f aca="false">IF(AA562&lt;&gt;"",AA562,Z562)</f>
        <v>3</v>
      </c>
      <c r="CC562" s="48" t="str">
        <f aca="false">IF(OR(CB562=1,CB562=2,CB562=3),IF(Parameter!$E$27="Ja","LIFT",IF(CB562=1,"L1","L23")),IF(CB562="Aussen","Aussen","-"))</f>
        <v>LIFT</v>
      </c>
      <c r="CD562" s="59" t="n">
        <f aca="false">IF(N(AB562)&gt;0,AB562,0)</f>
        <v>0</v>
      </c>
      <c r="CE562" s="53" t="n">
        <f aca="false">IF(ISNUMBER(AE562),1,0)</f>
        <v>0</v>
      </c>
      <c r="CF562" s="50" t="n">
        <f aca="false">N(AE562)</f>
        <v>0</v>
      </c>
      <c r="CG562" s="50" t="n">
        <f aca="false">N(M562)+N(N562)</f>
        <v>16</v>
      </c>
      <c r="CH562" s="50" t="n">
        <f aca="false">ROUNDUP(H562/BV562,0)</f>
        <v>1</v>
      </c>
      <c r="CI562" s="50" t="n">
        <f aca="false">ROUNDUP(CF562/BV562,0)</f>
        <v>0</v>
      </c>
      <c r="CJ562" s="53" t="n">
        <f aca="false">IF(BW562=1,0,IFERROR(VLOOKUP(BU562,'Gebinde-Kategorie'!$A$5:$N$45,5,0)+0,0))</f>
        <v>8</v>
      </c>
      <c r="CK562" s="53" t="n">
        <f aca="false">IFERROR(IF(OR(CB562=1,CB562=2,CB562=3),N(INDEX(Parameter!$I$5:$I$7,CB562)),0),0)</f>
        <v>0</v>
      </c>
      <c r="CL562" s="52" t="n">
        <f aca="false">IF(AND(Parameter!$B$21="Ja",ISNUMBER(W562),N(X562)&gt;0),IFERROR(N(INDEX(Parameter!$L$5:$L$7,W562))*INDEX(Parameter!$E$5:$E$7,W562)*X562/SUMIFS($X$7:$X$1843,$W$7:$W$1843,W562),0),0)</f>
        <v>0</v>
      </c>
    </row>
    <row r="563" customFormat="false" ht="15" hidden="false" customHeight="false" outlineLevel="0" collapsed="false">
      <c r="A563" s="48" t="s">
        <v>1198</v>
      </c>
      <c r="B563" s="48" t="s">
        <v>1199</v>
      </c>
      <c r="C563" s="48" t="s">
        <v>168</v>
      </c>
      <c r="D563" s="48" t="s">
        <v>188</v>
      </c>
      <c r="E563" s="48" t="s">
        <v>189</v>
      </c>
      <c r="F563" s="48" t="s">
        <v>222</v>
      </c>
      <c r="G563" s="49" t="n">
        <v>2</v>
      </c>
      <c r="H563" s="50" t="n">
        <f aca="false">MAX(0,IF(AND(Parameter!$B$21="Ja",ISNUMBER(Y563)),Y563,IF(Parameter!$B$20="Jahresanfang 2025 + Export",BO563+BN563,BN563)))</f>
        <v>11</v>
      </c>
      <c r="I563" s="50" t="n">
        <f aca="false">H563*G563</f>
        <v>22</v>
      </c>
      <c r="J563" s="50" t="n">
        <f aca="false">BQ563*Parameter!$B$18</f>
        <v>0</v>
      </c>
      <c r="K563" s="51" t="n">
        <v>7.5</v>
      </c>
      <c r="L563" s="52" t="n">
        <v>0</v>
      </c>
      <c r="M563" s="50" t="n">
        <v>0</v>
      </c>
      <c r="N563" s="50" t="n">
        <v>1</v>
      </c>
      <c r="O563" s="53" t="n">
        <v>28</v>
      </c>
      <c r="P563" s="48" t="s">
        <v>405</v>
      </c>
      <c r="Q563" s="50" t="n">
        <v>4</v>
      </c>
      <c r="R563" s="53" t="n">
        <f aca="false">IF(BW563=1,0,IFERROR(VLOOKUP(BU563,'Gebinde-Kategorie'!$A$5:$N$45,13,0)+0,0))</f>
        <v>280</v>
      </c>
      <c r="S563" s="54"/>
      <c r="T563" s="55"/>
      <c r="U563" s="55"/>
      <c r="V563" s="55"/>
      <c r="W563" s="48"/>
      <c r="X563" s="50"/>
      <c r="Y563" s="50"/>
      <c r="Z563" s="48" t="n">
        <f aca="false">IF(A563="","",IF(AND(Parameter!$B$21="Ja",ISNUMBER(W563)),W563,IF(BZ563="2+3",IF(ISNUMBER(SEARCH("grosser Artikel",BR563)),2,IFERROR(VLOOKUP(BU563,Parameter!$F$35:$G$64,2,0),2)),IF(OR(BZ563="Nein",BZ563=""),"-",BZ563))))</f>
        <v>3</v>
      </c>
      <c r="AA563" s="55"/>
      <c r="AB563" s="56"/>
      <c r="AC563" s="50" t="n">
        <f aca="false">AT563</f>
        <v>4</v>
      </c>
      <c r="AD563" s="50" t="n">
        <f aca="false">MAX(AT563,H563)</f>
        <v>11</v>
      </c>
      <c r="AE563" s="57"/>
      <c r="AF563" s="50" t="n">
        <f aca="false">IF(LEFT(Cockpit!$C$5,1)="A",H563,IF(CE563=1,CF563,IF(LEFT(Cockpit!$C$5,1)="B",AK563,MAX(AK563,H563))))</f>
        <v>11</v>
      </c>
      <c r="AG563" s="50" t="n">
        <f aca="false">IF(BW563=1,0,ROUNDUP(AF563/BV563,0))</f>
        <v>3</v>
      </c>
      <c r="AH563" s="52" t="n">
        <f aca="false">IF(CL563&gt;0,CL563*MAX(1,AF563/X563),IF(BW563=1,IF(AF563&lt;=0,0,CA563*MAX(1,IF(H563&gt;0,AF563/H563,1))),IF(R563&gt;0,AG563/R563,0))/MAX(0.1,N(Parameter!$M$21)))</f>
        <v>0.0107142857142857</v>
      </c>
      <c r="AI563" s="50" t="n">
        <f aca="false">AH563*BY563</f>
        <v>1.66071428571429</v>
      </c>
      <c r="AJ563" s="50" t="n">
        <f aca="false">AF563*G563</f>
        <v>22</v>
      </c>
      <c r="AK563" s="50" t="n">
        <f aca="false">ROUNDUP(MAX(J563/IF(CD563&gt;0,CD563,MAX(0.1,N(Cockpit!$C$6))),CG563)/BV563,0)*BV563</f>
        <v>4</v>
      </c>
      <c r="AL563" s="51" t="n">
        <f aca="false">IF(AI563&gt;0,J563/AI563,-1)</f>
        <v>0</v>
      </c>
      <c r="AM563" s="51" t="n">
        <f aca="false">IF(AND(OR(CC563="L1",CC563="L23",CC563="LIFT"),AI563&gt;0),SUMIFS($AI$7:$AI$1843,$CC$7:$CC$1843,CC563,$AL$7:$AL$1843,"&gt;"&amp;AL563)+SUMIFS($AI$7:$AI$1843,$CC$7:$CC$1843,CC563,$AL$7:$AL$1843,AL563,$BT$7:$BT$1843,"&lt;="&amp;BT563),"")</f>
        <v>28399.2900033112</v>
      </c>
      <c r="AN563" s="58" t="n">
        <f aca="false">IF(AM563="",0,MAX(0,MIN(1,(IF(CC563="L1",Parameter!$H$5,IF(CC563="L23",Parameter!$H$6+Parameter!$H$7,Parameter!$H$5+Parameter!$H$6+Parameter!$H$7))-(AM563-AI563))/AI563)))</f>
        <v>1</v>
      </c>
      <c r="AO563" s="50" t="n">
        <f aca="false">IF(LEFT(Cockpit!$I$5,1)="A",H563,IF(CE563=1,CF563,IF(LEFT(Cockpit!$I$5,1)="B",AT563,MAX(AT563,H563))))</f>
        <v>11</v>
      </c>
      <c r="AP563" s="50" t="n">
        <f aca="false">IF(BW563=1,0,ROUNDUP(AO563/BV563,0))</f>
        <v>3</v>
      </c>
      <c r="AQ563" s="52" t="n">
        <f aca="false">IF(CL563&gt;0,CL563*MAX(1,AO563/X563),IF(BW563=1,IF(AO563&lt;=0,0,CA563*MAX(1,IF(H563&gt;0,AO563/H563,1))),IF(R563&gt;0,AP563/R563,0))/MAX(0.1,N(Parameter!$M$21)))</f>
        <v>0.0107142857142857</v>
      </c>
      <c r="AR563" s="50" t="n">
        <f aca="false">AQ563*BY563</f>
        <v>1.66071428571429</v>
      </c>
      <c r="AS563" s="50" t="n">
        <f aca="false">AO563*G563</f>
        <v>22</v>
      </c>
      <c r="AT563" s="50" t="n">
        <f aca="false">ROUNDUP(MAX(J563/IF(CD563&gt;0,CD563,MAX(0.1,N(Cockpit!$I$6))),CG563)/BV563,0)*BV563</f>
        <v>4</v>
      </c>
      <c r="AU563" s="51" t="n">
        <f aca="false">IF(AR563&gt;0,J563/AR563,-1)</f>
        <v>0</v>
      </c>
      <c r="AV563" s="51" t="n">
        <f aca="false">IF(AND(OR(CC563="L1",CC563="L23",CC563="LIFT"),AR563&gt;0),SUMIFS($AR$7:$AR$1843,$CC$7:$CC$1843,CC563,$AU$7:$AU$1843,"&gt;"&amp;AU563)+SUMIFS($AR$7:$AR$1843,$CC$7:$CC$1843,CC563,$AU$7:$AU$1843,AU563,$BT$7:$BT$1843,"&lt;="&amp;BT563),"")</f>
        <v>39712.1955205811</v>
      </c>
      <c r="AW563" s="58" t="n">
        <f aca="false">IF(AV563="",0,MAX(0,MIN(1,(IF(CC563="L1",Parameter!$H$5,IF(CC563="L23",Parameter!$H$6+Parameter!$H$7,Parameter!$H$5+Parameter!$H$6+Parameter!$H$7))-(AV563-AR563))/AR563)))</f>
        <v>0</v>
      </c>
      <c r="AX563" s="50" t="n">
        <f aca="false">IF(LEFT(Cockpit!$O$5,1)="A",H563,IF(CE563=1,CF563,IF(LEFT(Cockpit!$O$5,1)="B",BC563,MAX(BC563,H563))))</f>
        <v>11</v>
      </c>
      <c r="AY563" s="50" t="n">
        <f aca="false">IF(BW563=1,0,ROUNDUP(AX563/BV563,0))</f>
        <v>3</v>
      </c>
      <c r="AZ563" s="52" t="n">
        <f aca="false">IF(CL563&gt;0,CL563*MAX(1,AX563/X563),IF(BW563=1,IF(AX563&lt;=0,0,CA563*MAX(1,IF(H563&gt;0,AX563/H563,1))),IF(R563&gt;0,AY563/R563,0))/MAX(0.1,N(Parameter!$M$21)))</f>
        <v>0.0107142857142857</v>
      </c>
      <c r="BA563" s="50" t="n">
        <f aca="false">AZ563*BY563</f>
        <v>1.66071428571429</v>
      </c>
      <c r="BB563" s="50" t="n">
        <f aca="false">AX563*G563</f>
        <v>22</v>
      </c>
      <c r="BC563" s="50" t="n">
        <f aca="false">ROUNDUP(MAX(J563/IF(CD563&gt;0,CD563,MAX(0.1,N(Cockpit!$O$6))),CG563)/BV563,0)*BV563</f>
        <v>4</v>
      </c>
      <c r="BD563" s="51" t="n">
        <f aca="false">IF(BA563&gt;0,J563/BA563,-1)</f>
        <v>0</v>
      </c>
      <c r="BE563" s="51" t="n">
        <f aca="false">IF(AND(OR(CC563="L1",CC563="L23",CC563="LIFT"),BA563&gt;0),SUMIFS($BA$7:$BA$1843,$CC$7:$CC$1843,CC563,$BD$7:$BD$1843,"&gt;"&amp;BD563)+SUMIFS($BA$7:$BA$1843,$CC$7:$CC$1843,CC563,$BD$7:$BD$1843,BD563,$BT$7:$BT$1843,"&lt;="&amp;BT563),"")</f>
        <v>36387.207562447</v>
      </c>
      <c r="BF563" s="58" t="n">
        <f aca="false">IF(BE563="",0,MAX(0,MIN(1,(IF(CC563="L1",Parameter!$H$5,IF(CC563="L23",Parameter!$H$6+Parameter!$H$7,Parameter!$H$5+Parameter!$H$6+Parameter!$H$7))-(BE563-BA563))/BA563)))</f>
        <v>0</v>
      </c>
      <c r="BG563" s="48" t="str">
        <f aca="false">IF(AI563&lt;=0,"",IF(CC563="Aussen","Aussenlager",IF(CC563="-","Nicht im Lift",IF(AN563&gt;=1,"Lift",IF(AN563&lt;=0,"Aussenlager","teilweise")))))</f>
        <v>Lift</v>
      </c>
      <c r="BH563" s="48" t="str">
        <f aca="false">IF(AR563&lt;=0,"",IF(CC563="Aussen","Aussenlager",IF(CC563="-","Nicht im Lift",IF(AW563&gt;=1,"Lift",IF(AW563&lt;=0,"Aussenlager","teilweise")))))</f>
        <v>Aussenlager</v>
      </c>
      <c r="BI563" s="48" t="str">
        <f aca="false">IF(BA563&lt;=0,"",IF(CC563="Aussen","Aussenlager",IF(CC563="-","Nicht im Lift",IF(BF563&gt;=1,"Lift",IF(BF563&lt;=0,"Aussenlager","teilweise")))))</f>
        <v>Aussenlager</v>
      </c>
      <c r="BJ563" s="48" t="str">
        <f aca="false">IF(A563="","",IF(BS563=1,"Neu; ","")&amp;IF(AND(BS563=0,BN563&lt;0),"negativer Bestand (Export "&amp;BN563&amp;"); ","")&amp;IF(J563&lt;=0,"Kein Verbrauch; ","")&amp;IF(CL563&gt;0,"Lift "&amp;W563&amp;" lt. Liftbericht (Fach "&amp;X563&amp;" Stk); ",IF(BX563=1,"Gebinde geschätzt ("&amp;T563&amp;"); ",IF(BW563=1,"Lose – Tablare geschätzt; ","")))&amp;IF(H563&gt;AT563,"Überbestand "&amp;ROUND(H563-AT563,0)&amp;" Stk / CHF "&amp;ROUND((H563-AT563)*G563,0)&amp;"; ","")&amp;IF(AND(CE563=1,CF563&lt;CG563),"MAX &lt; MB+LG; ","")&amp;IF(AND(CK563&gt;0,CJ563*10&gt;CK563),"zu hoch für Tablar; ","")&amp;IF(AND(BS563=0,OR(CE563=1,AA563&lt;&gt;"",U563&lt;&gt;"",V563&lt;&gt;"",AB563&lt;&gt;"")),"manuell übersteuert; ","")&amp;IF(AND(BW563=0,R563=0),"Gebinde unbekannt / Stellmass fehlt; ","")&amp;IF(AND(BW563=0,N(V563)&lt;=0,N(Q563)&lt;=0),"Menge pro Gebinde fehlt (Ist = 1 Gebinde); ","")&amp;BR563)</f>
        <v>Kein Verbrauch; Überbestand 7 Stk / CHF 14; </v>
      </c>
      <c r="BK563" s="48"/>
      <c r="BL563" s="48"/>
      <c r="BM563" s="55"/>
      <c r="BN563" s="50" t="n">
        <v>7</v>
      </c>
      <c r="BO563" s="50" t="n">
        <v>4</v>
      </c>
      <c r="BP563" s="49" t="n">
        <v>14</v>
      </c>
      <c r="BQ563" s="50" t="n">
        <v>0</v>
      </c>
      <c r="BR563" s="48"/>
      <c r="BS563" s="53" t="n">
        <v>0</v>
      </c>
      <c r="BT563" s="53" t="n">
        <v>563</v>
      </c>
      <c r="BU563" s="48" t="str">
        <f aca="false">IF(U563&lt;&gt;"",UPPER(TRIM(U563)),IF(BX563=1,UPPER(VLOOKUP(T563,Parameter!$I$27:$K$29,2,0)),IF(P563="","LOSE",P563)))</f>
        <v>S21</v>
      </c>
      <c r="BV563" s="50" t="n">
        <f aca="false">IF(BU563="LOSE",1,IF(N(V563)&gt;0,V563,IF(BX563=1,MAX(1,N(VLOOKUP(T563,Parameter!$I$27:$K$29,3,0)),H563,N(N563)),IF(N(Q563)&gt;0,Q563,MAX(1,H563)))))</f>
        <v>4</v>
      </c>
      <c r="BW563" s="53" t="n">
        <f aca="false">IF(BU563="LOSE",1,0)</f>
        <v>0</v>
      </c>
      <c r="BX563" s="53" t="n">
        <f aca="false">IF(AND(U563="",OR(P563="",P563="LOSE"),T563&lt;&gt;"",N(S563)&lt;=0,ISNUMBER(MATCH(T563,Parameter!$I$27:$I$29,0))),1,0)</f>
        <v>0</v>
      </c>
      <c r="BY563" s="53" t="n">
        <f aca="false">IF(CL563&gt;0,INDEX(Parameter!$H$5:$H$7,W563)/INDEX(Parameter!$E$5:$E$7,W563),IF(AND(BW563=0,N(IFERROR(VLOOKUP(BU563,'Gebinde-Kategorie'!$A$5:$N$45,14,0),0))&gt;0),VLOOKUP(BU563,'Gebinde-Kategorie'!$A$5:$N$45,14,0)*10+Parameter!$M$23,Parameter!$M$24))</f>
        <v>155</v>
      </c>
      <c r="BZ563" s="48" t="str">
        <f aca="false">IF(AND(Parameter!$B$19="Ja",E563&lt;&gt;"",ISNUMBER(MATCH(E563,Parameter!$I$35:$I$52,0))),VLOOKUP(E563,Parameter!$I$35:$J$52,2,0),IFERROR(VLOOKUP(D563,Parameter!$A$35:$C$64,2,0),"Nein"))</f>
        <v>2+3</v>
      </c>
      <c r="CA563" s="52" t="n">
        <f aca="false">IF(BW563=0,0,IF(N(S563)&gt;0,S563,IFERROR(VLOOKUP(D563,Parameter!$A$35:$C$64,3,0)+0,0)))</f>
        <v>0</v>
      </c>
      <c r="CB563" s="48" t="n">
        <f aca="false">IF(AA563&lt;&gt;"",AA563,Z563)</f>
        <v>3</v>
      </c>
      <c r="CC563" s="48" t="str">
        <f aca="false">IF(OR(CB563=1,CB563=2,CB563=3),IF(Parameter!$E$27="Ja","LIFT",IF(CB563=1,"L1","L23")),IF(CB563="Aussen","Aussen","-"))</f>
        <v>LIFT</v>
      </c>
      <c r="CD563" s="59" t="n">
        <f aca="false">IF(N(AB563)&gt;0,AB563,0)</f>
        <v>0</v>
      </c>
      <c r="CE563" s="53" t="n">
        <f aca="false">IF(ISNUMBER(AE563),1,0)</f>
        <v>0</v>
      </c>
      <c r="CF563" s="50" t="n">
        <f aca="false">N(AE563)</f>
        <v>0</v>
      </c>
      <c r="CG563" s="50" t="n">
        <f aca="false">N(M563)+N(N563)</f>
        <v>1</v>
      </c>
      <c r="CH563" s="50" t="n">
        <f aca="false">ROUNDUP(H563/BV563,0)</f>
        <v>3</v>
      </c>
      <c r="CI563" s="50" t="n">
        <f aca="false">ROUNDUP(CF563/BV563,0)</f>
        <v>0</v>
      </c>
      <c r="CJ563" s="53" t="n">
        <f aca="false">IF(BW563=1,0,IFERROR(VLOOKUP(BU563,'Gebinde-Kategorie'!$A$5:$N$45,5,0)+0,0))</f>
        <v>8</v>
      </c>
      <c r="CK563" s="53" t="n">
        <f aca="false">IFERROR(IF(OR(CB563=1,CB563=2,CB563=3),N(INDEX(Parameter!$I$5:$I$7,CB563)),0),0)</f>
        <v>0</v>
      </c>
      <c r="CL563" s="52" t="n">
        <f aca="false">IF(AND(Parameter!$B$21="Ja",ISNUMBER(W563),N(X563)&gt;0),IFERROR(N(INDEX(Parameter!$L$5:$L$7,W563))*INDEX(Parameter!$E$5:$E$7,W563)*X563/SUMIFS($X$7:$X$1843,$W$7:$W$1843,W563),0),0)</f>
        <v>0</v>
      </c>
    </row>
    <row r="564" customFormat="false" ht="15" hidden="false" customHeight="false" outlineLevel="0" collapsed="false">
      <c r="A564" s="48" t="s">
        <v>1200</v>
      </c>
      <c r="B564" s="48" t="s">
        <v>658</v>
      </c>
      <c r="C564" s="48" t="s">
        <v>168</v>
      </c>
      <c r="D564" s="48" t="s">
        <v>188</v>
      </c>
      <c r="E564" s="48" t="s">
        <v>189</v>
      </c>
      <c r="F564" s="48" t="s">
        <v>222</v>
      </c>
      <c r="G564" s="49" t="n">
        <v>0.06</v>
      </c>
      <c r="H564" s="50" t="n">
        <f aca="false">MAX(0,IF(AND(Parameter!$B$21="Ja",ISNUMBER(Y564)),Y564,IF(Parameter!$B$20="Jahresanfang 2025 + Export",BO564+BN564,BN564)))</f>
        <v>545</v>
      </c>
      <c r="I564" s="50" t="n">
        <f aca="false">H564*G564</f>
        <v>32.7</v>
      </c>
      <c r="J564" s="50" t="n">
        <f aca="false">BQ564*Parameter!$B$18</f>
        <v>382</v>
      </c>
      <c r="K564" s="51" t="n">
        <v>289</v>
      </c>
      <c r="L564" s="52" t="n">
        <v>1.32179930795848</v>
      </c>
      <c r="M564" s="50" t="n">
        <v>22</v>
      </c>
      <c r="N564" s="50" t="n">
        <v>500</v>
      </c>
      <c r="O564" s="53" t="n">
        <v>21</v>
      </c>
      <c r="P564" s="48" t="s">
        <v>306</v>
      </c>
      <c r="Q564" s="50" t="n">
        <v>437</v>
      </c>
      <c r="R564" s="53" t="n">
        <f aca="false">IF(BW564=1,0,IFERROR(VLOOKUP(BU564,'Gebinde-Kategorie'!$A$5:$N$45,13,0)+0,0))</f>
        <v>26</v>
      </c>
      <c r="S564" s="54"/>
      <c r="T564" s="55"/>
      <c r="U564" s="55"/>
      <c r="V564" s="55"/>
      <c r="W564" s="48"/>
      <c r="X564" s="50"/>
      <c r="Y564" s="50"/>
      <c r="Z564" s="48" t="n">
        <f aca="false">IF(A564="","",IF(AND(Parameter!$B$21="Ja",ISNUMBER(W564)),W564,IF(BZ564="2+3",IF(ISNUMBER(SEARCH("grosser Artikel",BR564)),2,IFERROR(VLOOKUP(BU564,Parameter!$F$35:$G$64,2,0),2)),IF(OR(BZ564="Nein",BZ564=""),"-",BZ564))))</f>
        <v>3</v>
      </c>
      <c r="AA564" s="55"/>
      <c r="AB564" s="56"/>
      <c r="AC564" s="50" t="n">
        <f aca="false">AT564</f>
        <v>874</v>
      </c>
      <c r="AD564" s="50" t="n">
        <f aca="false">MAX(AT564,H564)</f>
        <v>874</v>
      </c>
      <c r="AE564" s="57"/>
      <c r="AF564" s="50" t="n">
        <f aca="false">IF(LEFT(Cockpit!$C$5,1)="A",H564,IF(CE564=1,CF564,IF(LEFT(Cockpit!$C$5,1)="B",AK564,MAX(AK564,H564))))</f>
        <v>545</v>
      </c>
      <c r="AG564" s="50" t="n">
        <f aca="false">IF(BW564=1,0,ROUNDUP(AF564/BV564,0))</f>
        <v>2</v>
      </c>
      <c r="AH564" s="52" t="n">
        <f aca="false">IF(CL564&gt;0,CL564*MAX(1,AF564/X564),IF(BW564=1,IF(AF564&lt;=0,0,CA564*MAX(1,IF(H564&gt;0,AF564/H564,1))),IF(R564&gt;0,AG564/R564,0))/MAX(0.1,N(Parameter!$M$21)))</f>
        <v>0.0769230769230769</v>
      </c>
      <c r="AI564" s="50" t="n">
        <f aca="false">AH564*BY564</f>
        <v>11.9230769230769</v>
      </c>
      <c r="AJ564" s="50" t="n">
        <f aca="false">AF564*G564</f>
        <v>32.7</v>
      </c>
      <c r="AK564" s="50" t="n">
        <f aca="false">ROUNDUP(MAX(J564/IF(CD564&gt;0,CD564,MAX(0.1,N(Cockpit!$C$6))),CG564)/BV564,0)*BV564</f>
        <v>874</v>
      </c>
      <c r="AL564" s="51" t="n">
        <f aca="false">IF(AI564&gt;0,J564/AI564,-1)</f>
        <v>32.0387096774194</v>
      </c>
      <c r="AM564" s="51" t="n">
        <f aca="false">IF(AND(OR(CC564="L1",CC564="L23",CC564="LIFT"),AI564&gt;0),SUMIFS($AI$7:$AI$1843,$CC$7:$CC$1843,CC564,$AL$7:$AL$1843,"&gt;"&amp;AL564)+SUMIFS($AI$7:$AI$1843,$CC$7:$CC$1843,CC564,$AL$7:$AL$1843,AL564,$BT$7:$BT$1843,"&lt;="&amp;BT564),"")</f>
        <v>1367.10164835165</v>
      </c>
      <c r="AN564" s="58" t="n">
        <f aca="false">IF(AM564="",0,MAX(0,MIN(1,(IF(CC564="L1",Parameter!$H$5,IF(CC564="L23",Parameter!$H$6+Parameter!$H$7,Parameter!$H$5+Parameter!$H$6+Parameter!$H$7))-(AM564-AI564))/AI564)))</f>
        <v>1</v>
      </c>
      <c r="AO564" s="50" t="n">
        <f aca="false">IF(LEFT(Cockpit!$I$5,1)="A",H564,IF(CE564=1,CF564,IF(LEFT(Cockpit!$I$5,1)="B",AT564,MAX(AT564,H564))))</f>
        <v>874</v>
      </c>
      <c r="AP564" s="50" t="n">
        <f aca="false">IF(BW564=1,0,ROUNDUP(AO564/BV564,0))</f>
        <v>2</v>
      </c>
      <c r="AQ564" s="52" t="n">
        <f aca="false">IF(CL564&gt;0,CL564*MAX(1,AO564/X564),IF(BW564=1,IF(AO564&lt;=0,0,CA564*MAX(1,IF(H564&gt;0,AO564/H564,1))),IF(R564&gt;0,AP564/R564,0))/MAX(0.1,N(Parameter!$M$21)))</f>
        <v>0.0769230769230769</v>
      </c>
      <c r="AR564" s="50" t="n">
        <f aca="false">AQ564*BY564</f>
        <v>11.9230769230769</v>
      </c>
      <c r="AS564" s="50" t="n">
        <f aca="false">AO564*G564</f>
        <v>52.44</v>
      </c>
      <c r="AT564" s="50" t="n">
        <f aca="false">ROUNDUP(MAX(J564/IF(CD564&gt;0,CD564,MAX(0.1,N(Cockpit!$I$6))),CG564)/BV564,0)*BV564</f>
        <v>874</v>
      </c>
      <c r="AU564" s="51" t="n">
        <f aca="false">IF(AR564&gt;0,J564/AR564,-1)</f>
        <v>32.0387096774194</v>
      </c>
      <c r="AV564" s="51" t="n">
        <f aca="false">IF(AND(OR(CC564="L1",CC564="L23",CC564="LIFT"),AR564&gt;0),SUMIFS($AR$7:$AR$1843,$CC$7:$CC$1843,CC564,$AU$7:$AU$1843,"&gt;"&amp;AU564)+SUMIFS($AR$7:$AR$1843,$CC$7:$CC$1843,CC564,$AU$7:$AU$1843,AU564,$BT$7:$BT$1843,"&lt;="&amp;BT564),"")</f>
        <v>1863.29120879121</v>
      </c>
      <c r="AW564" s="58" t="n">
        <f aca="false">IF(AV564="",0,MAX(0,MIN(1,(IF(CC564="L1",Parameter!$H$5,IF(CC564="L23",Parameter!$H$6+Parameter!$H$7,Parameter!$H$5+Parameter!$H$6+Parameter!$H$7))-(AV564-AR564))/AR564)))</f>
        <v>1</v>
      </c>
      <c r="AX564" s="50" t="n">
        <f aca="false">IF(LEFT(Cockpit!$O$5,1)="A",H564,IF(CE564=1,CF564,IF(LEFT(Cockpit!$O$5,1)="B",BC564,MAX(BC564,H564))))</f>
        <v>874</v>
      </c>
      <c r="AY564" s="50" t="n">
        <f aca="false">IF(BW564=1,0,ROUNDUP(AX564/BV564,0))</f>
        <v>2</v>
      </c>
      <c r="AZ564" s="52" t="n">
        <f aca="false">IF(CL564&gt;0,CL564*MAX(1,AX564/X564),IF(BW564=1,IF(AX564&lt;=0,0,CA564*MAX(1,IF(H564&gt;0,AX564/H564,1))),IF(R564&gt;0,AY564/R564,0))/MAX(0.1,N(Parameter!$M$21)))</f>
        <v>0.0769230769230769</v>
      </c>
      <c r="BA564" s="50" t="n">
        <f aca="false">AZ564*BY564</f>
        <v>11.9230769230769</v>
      </c>
      <c r="BB564" s="50" t="n">
        <f aca="false">AX564*G564</f>
        <v>52.44</v>
      </c>
      <c r="BC564" s="50" t="n">
        <f aca="false">ROUNDUP(MAX(J564/IF(CD564&gt;0,CD564,MAX(0.1,N(Cockpit!$O$6))),CG564)/BV564,0)*BV564</f>
        <v>874</v>
      </c>
      <c r="BD564" s="51" t="n">
        <f aca="false">IF(BA564&gt;0,J564/BA564,-1)</f>
        <v>32.0387096774194</v>
      </c>
      <c r="BE564" s="51" t="n">
        <f aca="false">IF(AND(OR(CC564="L1",CC564="L23",CC564="LIFT"),BA564&gt;0),SUMIFS($BA$7:$BA$1843,$CC$7:$CC$1843,CC564,$BD$7:$BD$1843,"&gt;"&amp;BD564)+SUMIFS($BA$7:$BA$1843,$CC$7:$CC$1843,CC564,$BD$7:$BD$1843,BD564,$BT$7:$BT$1843,"&lt;="&amp;BT564),"")</f>
        <v>1771.48031135531</v>
      </c>
      <c r="BF564" s="58" t="n">
        <f aca="false">IF(BE564="",0,MAX(0,MIN(1,(IF(CC564="L1",Parameter!$H$5,IF(CC564="L23",Parameter!$H$6+Parameter!$H$7,Parameter!$H$5+Parameter!$H$6+Parameter!$H$7))-(BE564-BA564))/BA564)))</f>
        <v>1</v>
      </c>
      <c r="BG564" s="48" t="str">
        <f aca="false">IF(AI564&lt;=0,"",IF(CC564="Aussen","Aussenlager",IF(CC564="-","Nicht im Lift",IF(AN564&gt;=1,"Lift",IF(AN564&lt;=0,"Aussenlager","teilweise")))))</f>
        <v>Lift</v>
      </c>
      <c r="BH564" s="48" t="str">
        <f aca="false">IF(AR564&lt;=0,"",IF(CC564="Aussen","Aussenlager",IF(CC564="-","Nicht im Lift",IF(AW564&gt;=1,"Lift",IF(AW564&lt;=0,"Aussenlager","teilweise")))))</f>
        <v>Lift</v>
      </c>
      <c r="BI564" s="48" t="str">
        <f aca="false">IF(BA564&lt;=0,"",IF(CC564="Aussen","Aussenlager",IF(CC564="-","Nicht im Lift",IF(BF564&gt;=1,"Lift",IF(BF564&lt;=0,"Aussenlager","teilweise")))))</f>
        <v>Lift</v>
      </c>
      <c r="BJ564" s="48" t="str">
        <f aca="false">IF(A564="","",IF(BS564=1,"Neu; ","")&amp;IF(AND(BS564=0,BN564&lt;0),"negativer Bestand (Export "&amp;BN564&amp;"); ","")&amp;IF(J564&lt;=0,"Kein Verbrauch; ","")&amp;IF(CL564&gt;0,"Lift "&amp;W564&amp;" lt. Liftbericht (Fach "&amp;X564&amp;" Stk); ",IF(BX564=1,"Gebinde geschätzt ("&amp;T564&amp;"); ",IF(BW564=1,"Lose – Tablare geschätzt; ","")))&amp;IF(H564&gt;AT564,"Überbestand "&amp;ROUND(H564-AT564,0)&amp;" Stk / CHF "&amp;ROUND((H564-AT564)*G564,0)&amp;"; ","")&amp;IF(AND(CE564=1,CF564&lt;CG564),"MAX &lt; MB+LG; ","")&amp;IF(AND(CK564&gt;0,CJ564*10&gt;CK564),"zu hoch für Tablar; ","")&amp;IF(AND(BS564=0,OR(CE564=1,AA564&lt;&gt;"",U564&lt;&gt;"",V564&lt;&gt;"",AB564&lt;&gt;"")),"manuell übersteuert; ","")&amp;IF(AND(BW564=0,R564=0),"Gebinde unbekannt / Stellmass fehlt; ","")&amp;IF(AND(BW564=0,N(V564)&lt;=0,N(Q564)&lt;=0),"Menge pro Gebinde fehlt (Ist = 1 Gebinde); ","")&amp;BR564)</f>
        <v/>
      </c>
      <c r="BK564" s="48"/>
      <c r="BL564" s="48"/>
      <c r="BM564" s="55"/>
      <c r="BN564" s="50" t="n">
        <v>233</v>
      </c>
      <c r="BO564" s="50" t="n">
        <v>312</v>
      </c>
      <c r="BP564" s="49" t="n">
        <v>13.98</v>
      </c>
      <c r="BQ564" s="50" t="n">
        <v>382</v>
      </c>
      <c r="BR564" s="48"/>
      <c r="BS564" s="53" t="n">
        <v>0</v>
      </c>
      <c r="BT564" s="53" t="n">
        <v>564</v>
      </c>
      <c r="BU564" s="48" t="str">
        <f aca="false">IF(U564&lt;&gt;"",UPPER(TRIM(U564)),IF(BX564=1,UPPER(VLOOKUP(T564,Parameter!$I$27:$K$29,2,0)),IF(P564="","LOSE",P564)))</f>
        <v>S51</v>
      </c>
      <c r="BV564" s="50" t="n">
        <f aca="false">IF(BU564="LOSE",1,IF(N(V564)&gt;0,V564,IF(BX564=1,MAX(1,N(VLOOKUP(T564,Parameter!$I$27:$K$29,3,0)),H564,N(N564)),IF(N(Q564)&gt;0,Q564,MAX(1,H564)))))</f>
        <v>437</v>
      </c>
      <c r="BW564" s="53" t="n">
        <f aca="false">IF(BU564="LOSE",1,0)</f>
        <v>0</v>
      </c>
      <c r="BX564" s="53" t="n">
        <f aca="false">IF(AND(U564="",OR(P564="",P564="LOSE"),T564&lt;&gt;"",N(S564)&lt;=0,ISNUMBER(MATCH(T564,Parameter!$I$27:$I$29,0))),1,0)</f>
        <v>0</v>
      </c>
      <c r="BY564" s="53" t="n">
        <f aca="false">IF(CL564&gt;0,INDEX(Parameter!$H$5:$H$7,W564)/INDEX(Parameter!$E$5:$E$7,W564),IF(AND(BW564=0,N(IFERROR(VLOOKUP(BU564,'Gebinde-Kategorie'!$A$5:$N$45,14,0),0))&gt;0),VLOOKUP(BU564,'Gebinde-Kategorie'!$A$5:$N$45,14,0)*10+Parameter!$M$23,Parameter!$M$24))</f>
        <v>155</v>
      </c>
      <c r="BZ564" s="48" t="str">
        <f aca="false">IF(AND(Parameter!$B$19="Ja",E564&lt;&gt;"",ISNUMBER(MATCH(E564,Parameter!$I$35:$I$52,0))),VLOOKUP(E564,Parameter!$I$35:$J$52,2,0),IFERROR(VLOOKUP(D564,Parameter!$A$35:$C$64,2,0),"Nein"))</f>
        <v>2+3</v>
      </c>
      <c r="CA564" s="52" t="n">
        <f aca="false">IF(BW564=0,0,IF(N(S564)&gt;0,S564,IFERROR(VLOOKUP(D564,Parameter!$A$35:$C$64,3,0)+0,0)))</f>
        <v>0</v>
      </c>
      <c r="CB564" s="48" t="n">
        <f aca="false">IF(AA564&lt;&gt;"",AA564,Z564)</f>
        <v>3</v>
      </c>
      <c r="CC564" s="48" t="str">
        <f aca="false">IF(OR(CB564=1,CB564=2,CB564=3),IF(Parameter!$E$27="Ja","LIFT",IF(CB564=1,"L1","L23")),IF(CB564="Aussen","Aussen","-"))</f>
        <v>LIFT</v>
      </c>
      <c r="CD564" s="59" t="n">
        <f aca="false">IF(N(AB564)&gt;0,AB564,0)</f>
        <v>0</v>
      </c>
      <c r="CE564" s="53" t="n">
        <f aca="false">IF(ISNUMBER(AE564),1,0)</f>
        <v>0</v>
      </c>
      <c r="CF564" s="50" t="n">
        <f aca="false">N(AE564)</f>
        <v>0</v>
      </c>
      <c r="CG564" s="50" t="n">
        <f aca="false">N(M564)+N(N564)</f>
        <v>522</v>
      </c>
      <c r="CH564" s="50" t="n">
        <f aca="false">ROUNDUP(H564/BV564,0)</f>
        <v>2</v>
      </c>
      <c r="CI564" s="50" t="n">
        <f aca="false">ROUNDUP(CF564/BV564,0)</f>
        <v>0</v>
      </c>
      <c r="CJ564" s="53" t="n">
        <f aca="false">IF(BW564=1,0,IFERROR(VLOOKUP(BU564,'Gebinde-Kategorie'!$A$5:$N$45,5,0)+0,0))</f>
        <v>11</v>
      </c>
      <c r="CK564" s="53" t="n">
        <f aca="false">IFERROR(IF(OR(CB564=1,CB564=2,CB564=3),N(INDEX(Parameter!$I$5:$I$7,CB564)),0),0)</f>
        <v>0</v>
      </c>
      <c r="CL564" s="52" t="n">
        <f aca="false">IF(AND(Parameter!$B$21="Ja",ISNUMBER(W564),N(X564)&gt;0),IFERROR(N(INDEX(Parameter!$L$5:$L$7,W564))*INDEX(Parameter!$E$5:$E$7,W564)*X564/SUMIFS($X$7:$X$1843,$W$7:$W$1843,W564),0),0)</f>
        <v>0</v>
      </c>
    </row>
    <row r="565" customFormat="false" ht="15" hidden="false" customHeight="false" outlineLevel="0" collapsed="false">
      <c r="A565" s="48" t="s">
        <v>1201</v>
      </c>
      <c r="B565" s="48" t="s">
        <v>409</v>
      </c>
      <c r="C565" s="48" t="s">
        <v>168</v>
      </c>
      <c r="D565" s="48" t="s">
        <v>188</v>
      </c>
      <c r="E565" s="48" t="s">
        <v>189</v>
      </c>
      <c r="F565" s="48" t="s">
        <v>222</v>
      </c>
      <c r="G565" s="49" t="n">
        <v>0.06</v>
      </c>
      <c r="H565" s="50" t="n">
        <f aca="false">MAX(0,IF(AND(Parameter!$B$21="Ja",ISNUMBER(Y565)),Y565,IF(Parameter!$B$20="Jahresanfang 2025 + Export",BO565+BN565,BN565)))</f>
        <v>375</v>
      </c>
      <c r="I565" s="50" t="n">
        <f aca="false">H565*G565</f>
        <v>22.5</v>
      </c>
      <c r="J565" s="50" t="n">
        <f aca="false">BQ565*Parameter!$B$18</f>
        <v>295</v>
      </c>
      <c r="K565" s="51" t="n">
        <v>144.5</v>
      </c>
      <c r="L565" s="52" t="n">
        <v>2.04152249134948</v>
      </c>
      <c r="M565" s="50" t="n">
        <v>17</v>
      </c>
      <c r="N565" s="50" t="n">
        <v>400</v>
      </c>
      <c r="O565" s="53" t="n">
        <v>21</v>
      </c>
      <c r="P565" s="48" t="s">
        <v>425</v>
      </c>
      <c r="Q565" s="50" t="n">
        <v>150</v>
      </c>
      <c r="R565" s="53" t="n">
        <f aca="false">IF(BW565=1,0,IFERROR(VLOOKUP(BU565,'Gebinde-Kategorie'!$A$5:$N$45,13,0)+0,0))</f>
        <v>104</v>
      </c>
      <c r="S565" s="54"/>
      <c r="T565" s="55"/>
      <c r="U565" s="55"/>
      <c r="V565" s="55"/>
      <c r="W565" s="48"/>
      <c r="X565" s="50"/>
      <c r="Y565" s="50"/>
      <c r="Z565" s="48" t="n">
        <f aca="false">IF(A565="","",IF(AND(Parameter!$B$21="Ja",ISNUMBER(W565)),W565,IF(BZ565="2+3",IF(ISNUMBER(SEARCH("grosser Artikel",BR565)),2,IFERROR(VLOOKUP(BU565,Parameter!$F$35:$G$64,2,0),2)),IF(OR(BZ565="Nein",BZ565=""),"-",BZ565))))</f>
        <v>3</v>
      </c>
      <c r="AA565" s="55"/>
      <c r="AB565" s="56"/>
      <c r="AC565" s="50" t="n">
        <f aca="false">AT565</f>
        <v>450</v>
      </c>
      <c r="AD565" s="50" t="n">
        <f aca="false">MAX(AT565,H565)</f>
        <v>450</v>
      </c>
      <c r="AE565" s="57"/>
      <c r="AF565" s="50" t="n">
        <f aca="false">IF(LEFT(Cockpit!$C$5,1)="A",H565,IF(CE565=1,CF565,IF(LEFT(Cockpit!$C$5,1)="B",AK565,MAX(AK565,H565))))</f>
        <v>375</v>
      </c>
      <c r="AG565" s="50" t="n">
        <f aca="false">IF(BW565=1,0,ROUNDUP(AF565/BV565,0))</f>
        <v>3</v>
      </c>
      <c r="AH565" s="52" t="n">
        <f aca="false">IF(CL565&gt;0,CL565*MAX(1,AF565/X565),IF(BW565=1,IF(AF565&lt;=0,0,CA565*MAX(1,IF(H565&gt;0,AF565/H565,1))),IF(R565&gt;0,AG565/R565,0))/MAX(0.1,N(Parameter!$M$21)))</f>
        <v>0.0288461538461538</v>
      </c>
      <c r="AI565" s="50" t="n">
        <f aca="false">AH565*BY565</f>
        <v>4.47115384615385</v>
      </c>
      <c r="AJ565" s="50" t="n">
        <f aca="false">AF565*G565</f>
        <v>22.5</v>
      </c>
      <c r="AK565" s="50" t="n">
        <f aca="false">ROUNDUP(MAX(J565/IF(CD565&gt;0,CD565,MAX(0.1,N(Cockpit!$C$6))),CG565)/BV565,0)*BV565</f>
        <v>450</v>
      </c>
      <c r="AL565" s="51" t="n">
        <f aca="false">IF(AI565&gt;0,J565/AI565,-1)</f>
        <v>65.9784946236559</v>
      </c>
      <c r="AM565" s="51" t="n">
        <f aca="false">IF(AND(OR(CC565="L1",CC565="L23",CC565="LIFT"),AI565&gt;0),SUMIFS($AI$7:$AI$1843,$CC$7:$CC$1843,CC565,$AL$7:$AL$1843,"&gt;"&amp;AL565)+SUMIFS($AI$7:$AI$1843,$CC$7:$CC$1843,CC565,$AL$7:$AL$1843,AL565,$BT$7:$BT$1843,"&lt;="&amp;BT565),"")</f>
        <v>922.778846153846</v>
      </c>
      <c r="AN565" s="58" t="n">
        <f aca="false">IF(AM565="",0,MAX(0,MIN(1,(IF(CC565="L1",Parameter!$H$5,IF(CC565="L23",Parameter!$H$6+Parameter!$H$7,Parameter!$H$5+Parameter!$H$6+Parameter!$H$7))-(AM565-AI565))/AI565)))</f>
        <v>1</v>
      </c>
      <c r="AO565" s="50" t="n">
        <f aca="false">IF(LEFT(Cockpit!$I$5,1)="A",H565,IF(CE565=1,CF565,IF(LEFT(Cockpit!$I$5,1)="B",AT565,MAX(AT565,H565))))</f>
        <v>450</v>
      </c>
      <c r="AP565" s="50" t="n">
        <f aca="false">IF(BW565=1,0,ROUNDUP(AO565/BV565,0))</f>
        <v>3</v>
      </c>
      <c r="AQ565" s="52" t="n">
        <f aca="false">IF(CL565&gt;0,CL565*MAX(1,AO565/X565),IF(BW565=1,IF(AO565&lt;=0,0,CA565*MAX(1,IF(H565&gt;0,AO565/H565,1))),IF(R565&gt;0,AP565/R565,0))/MAX(0.1,N(Parameter!$M$21)))</f>
        <v>0.0288461538461538</v>
      </c>
      <c r="AR565" s="50" t="n">
        <f aca="false">AQ565*BY565</f>
        <v>4.47115384615385</v>
      </c>
      <c r="AS565" s="50" t="n">
        <f aca="false">AO565*G565</f>
        <v>27</v>
      </c>
      <c r="AT565" s="50" t="n">
        <f aca="false">ROUNDUP(MAX(J565/IF(CD565&gt;0,CD565,MAX(0.1,N(Cockpit!$I$6))),CG565)/BV565,0)*BV565</f>
        <v>450</v>
      </c>
      <c r="AU565" s="51" t="n">
        <f aca="false">IF(AR565&gt;0,J565/AR565,-1)</f>
        <v>65.9784946236559</v>
      </c>
      <c r="AV565" s="51" t="n">
        <f aca="false">IF(AND(OR(CC565="L1",CC565="L23",CC565="LIFT"),AR565&gt;0),SUMIFS($AR$7:$AR$1843,$CC$7:$CC$1843,CC565,$AU$7:$AU$1843,"&gt;"&amp;AU565)+SUMIFS($AR$7:$AR$1843,$CC$7:$CC$1843,CC565,$AU$7:$AU$1843,AU565,$BT$7:$BT$1843,"&lt;="&amp;BT565),"")</f>
        <v>1304.86721611722</v>
      </c>
      <c r="AW565" s="58" t="n">
        <f aca="false">IF(AV565="",0,MAX(0,MIN(1,(IF(CC565="L1",Parameter!$H$5,IF(CC565="L23",Parameter!$H$6+Parameter!$H$7,Parameter!$H$5+Parameter!$H$6+Parameter!$H$7))-(AV565-AR565))/AR565)))</f>
        <v>1</v>
      </c>
      <c r="AX565" s="50" t="n">
        <f aca="false">IF(LEFT(Cockpit!$O$5,1)="A",H565,IF(CE565=1,CF565,IF(LEFT(Cockpit!$O$5,1)="B",BC565,MAX(BC565,H565))))</f>
        <v>450</v>
      </c>
      <c r="AY565" s="50" t="n">
        <f aca="false">IF(BW565=1,0,ROUNDUP(AX565/BV565,0))</f>
        <v>3</v>
      </c>
      <c r="AZ565" s="52" t="n">
        <f aca="false">IF(CL565&gt;0,CL565*MAX(1,AX565/X565),IF(BW565=1,IF(AX565&lt;=0,0,CA565*MAX(1,IF(H565&gt;0,AX565/H565,1))),IF(R565&gt;0,AY565/R565,0))/MAX(0.1,N(Parameter!$M$21)))</f>
        <v>0.0288461538461538</v>
      </c>
      <c r="BA565" s="50" t="n">
        <f aca="false">AZ565*BY565</f>
        <v>4.47115384615385</v>
      </c>
      <c r="BB565" s="50" t="n">
        <f aca="false">AX565*G565</f>
        <v>27</v>
      </c>
      <c r="BC565" s="50" t="n">
        <f aca="false">ROUNDUP(MAX(J565/IF(CD565&gt;0,CD565,MAX(0.1,N(Cockpit!$O$6))),CG565)/BV565,0)*BV565</f>
        <v>450</v>
      </c>
      <c r="BD565" s="51" t="n">
        <f aca="false">IF(BA565&gt;0,J565/BA565,-1)</f>
        <v>65.9784946236559</v>
      </c>
      <c r="BE565" s="51" t="n">
        <f aca="false">IF(AND(OR(CC565="L1",CC565="L23",CC565="LIFT"),BA565&gt;0),SUMIFS($BA$7:$BA$1843,$CC$7:$CC$1843,CC565,$BD$7:$BD$1843,"&gt;"&amp;BD565)+SUMIFS($BA$7:$BA$1843,$CC$7:$CC$1843,CC565,$BD$7:$BD$1843,BD565,$BT$7:$BT$1843,"&lt;="&amp;BT565),"")</f>
        <v>1144.01785714286</v>
      </c>
      <c r="BF565" s="58" t="n">
        <f aca="false">IF(BE565="",0,MAX(0,MIN(1,(IF(CC565="L1",Parameter!$H$5,IF(CC565="L23",Parameter!$H$6+Parameter!$H$7,Parameter!$H$5+Parameter!$H$6+Parameter!$H$7))-(BE565-BA565))/BA565)))</f>
        <v>1</v>
      </c>
      <c r="BG565" s="48" t="str">
        <f aca="false">IF(AI565&lt;=0,"",IF(CC565="Aussen","Aussenlager",IF(CC565="-","Nicht im Lift",IF(AN565&gt;=1,"Lift",IF(AN565&lt;=0,"Aussenlager","teilweise")))))</f>
        <v>Lift</v>
      </c>
      <c r="BH565" s="48" t="str">
        <f aca="false">IF(AR565&lt;=0,"",IF(CC565="Aussen","Aussenlager",IF(CC565="-","Nicht im Lift",IF(AW565&gt;=1,"Lift",IF(AW565&lt;=0,"Aussenlager","teilweise")))))</f>
        <v>Lift</v>
      </c>
      <c r="BI565" s="48" t="str">
        <f aca="false">IF(BA565&lt;=0,"",IF(CC565="Aussen","Aussenlager",IF(CC565="-","Nicht im Lift",IF(BF565&gt;=1,"Lift",IF(BF565&lt;=0,"Aussenlager","teilweise")))))</f>
        <v>Lift</v>
      </c>
      <c r="BJ565" s="48" t="str">
        <f aca="false">IF(A565="","",IF(BS565=1,"Neu; ","")&amp;IF(AND(BS565=0,BN565&lt;0),"negativer Bestand (Export "&amp;BN565&amp;"); ","")&amp;IF(J565&lt;=0,"Kein Verbrauch; ","")&amp;IF(CL565&gt;0,"Lift "&amp;W565&amp;" lt. Liftbericht (Fach "&amp;X565&amp;" Stk); ",IF(BX565=1,"Gebinde geschätzt ("&amp;T565&amp;"); ",IF(BW565=1,"Lose – Tablare geschätzt; ","")))&amp;IF(H565&gt;AT565,"Überbestand "&amp;ROUND(H565-AT565,0)&amp;" Stk / CHF "&amp;ROUND((H565-AT565)*G565,0)&amp;"; ","")&amp;IF(AND(CE565=1,CF565&lt;CG565),"MAX &lt; MB+LG; ","")&amp;IF(AND(CK565&gt;0,CJ565*10&gt;CK565),"zu hoch für Tablar; ","")&amp;IF(AND(BS565=0,OR(CE565=1,AA565&lt;&gt;"",U565&lt;&gt;"",V565&lt;&gt;"",AB565&lt;&gt;"")),"manuell übersteuert; ","")&amp;IF(AND(BW565=0,R565=0),"Gebinde unbekannt / Stellmass fehlt; ","")&amp;IF(AND(BW565=0,N(V565)&lt;=0,N(Q565)&lt;=0),"Menge pro Gebinde fehlt (Ist = 1 Gebinde); ","")&amp;BR565)</f>
        <v>nicht im KTL vorhanden</v>
      </c>
      <c r="BK565" s="48"/>
      <c r="BL565" s="48"/>
      <c r="BM565" s="55"/>
      <c r="BN565" s="50" t="n">
        <v>259</v>
      </c>
      <c r="BO565" s="50" t="n">
        <v>116</v>
      </c>
      <c r="BP565" s="49" t="n">
        <v>13.22</v>
      </c>
      <c r="BQ565" s="50" t="n">
        <v>295</v>
      </c>
      <c r="BR565" s="48" t="s">
        <v>234</v>
      </c>
      <c r="BS565" s="53" t="n">
        <v>0</v>
      </c>
      <c r="BT565" s="53" t="n">
        <v>565</v>
      </c>
      <c r="BU565" s="48" t="str">
        <f aca="false">IF(U565&lt;&gt;"",UPPER(TRIM(U565)),IF(BX565=1,UPPER(VLOOKUP(T565,Parameter!$I$27:$K$29,2,0)),IF(P565="","LOSE",P565)))</f>
        <v>S32</v>
      </c>
      <c r="BV565" s="50" t="n">
        <f aca="false">IF(BU565="LOSE",1,IF(N(V565)&gt;0,V565,IF(BX565=1,MAX(1,N(VLOOKUP(T565,Parameter!$I$27:$K$29,3,0)),H565,N(N565)),IF(N(Q565)&gt;0,Q565,MAX(1,H565)))))</f>
        <v>150</v>
      </c>
      <c r="BW565" s="53" t="n">
        <f aca="false">IF(BU565="LOSE",1,0)</f>
        <v>0</v>
      </c>
      <c r="BX565" s="53" t="n">
        <f aca="false">IF(AND(U565="",OR(P565="",P565="LOSE"),T565&lt;&gt;"",N(S565)&lt;=0,ISNUMBER(MATCH(T565,Parameter!$I$27:$I$29,0))),1,0)</f>
        <v>0</v>
      </c>
      <c r="BY565" s="53" t="n">
        <f aca="false">IF(CL565&gt;0,INDEX(Parameter!$H$5:$H$7,W565)/INDEX(Parameter!$E$5:$E$7,W565),IF(AND(BW565=0,N(IFERROR(VLOOKUP(BU565,'Gebinde-Kategorie'!$A$5:$N$45,14,0),0))&gt;0),VLOOKUP(BU565,'Gebinde-Kategorie'!$A$5:$N$45,14,0)*10+Parameter!$M$23,Parameter!$M$24))</f>
        <v>155</v>
      </c>
      <c r="BZ565" s="48" t="str">
        <f aca="false">IF(AND(Parameter!$B$19="Ja",E565&lt;&gt;"",ISNUMBER(MATCH(E565,Parameter!$I$35:$I$52,0))),VLOOKUP(E565,Parameter!$I$35:$J$52,2,0),IFERROR(VLOOKUP(D565,Parameter!$A$35:$C$64,2,0),"Nein"))</f>
        <v>2+3</v>
      </c>
      <c r="CA565" s="52" t="n">
        <f aca="false">IF(BW565=0,0,IF(N(S565)&gt;0,S565,IFERROR(VLOOKUP(D565,Parameter!$A$35:$C$64,3,0)+0,0)))</f>
        <v>0</v>
      </c>
      <c r="CB565" s="48" t="n">
        <f aca="false">IF(AA565&lt;&gt;"",AA565,Z565)</f>
        <v>3</v>
      </c>
      <c r="CC565" s="48" t="str">
        <f aca="false">IF(OR(CB565=1,CB565=2,CB565=3),IF(Parameter!$E$27="Ja","LIFT",IF(CB565=1,"L1","L23")),IF(CB565="Aussen","Aussen","-"))</f>
        <v>LIFT</v>
      </c>
      <c r="CD565" s="59" t="n">
        <f aca="false">IF(N(AB565)&gt;0,AB565,0)</f>
        <v>0</v>
      </c>
      <c r="CE565" s="53" t="n">
        <f aca="false">IF(ISNUMBER(AE565),1,0)</f>
        <v>0</v>
      </c>
      <c r="CF565" s="50" t="n">
        <f aca="false">N(AE565)</f>
        <v>0</v>
      </c>
      <c r="CG565" s="50" t="n">
        <f aca="false">N(M565)+N(N565)</f>
        <v>417</v>
      </c>
      <c r="CH565" s="50" t="n">
        <f aca="false">ROUNDUP(H565/BV565,0)</f>
        <v>3</v>
      </c>
      <c r="CI565" s="50" t="n">
        <f aca="false">ROUNDUP(CF565/BV565,0)</f>
        <v>0</v>
      </c>
      <c r="CJ565" s="53" t="n">
        <f aca="false">IF(BW565=1,0,IFERROR(VLOOKUP(BU565,'Gebinde-Kategorie'!$A$5:$N$45,5,0)+0,0))</f>
        <v>8</v>
      </c>
      <c r="CK565" s="53" t="n">
        <f aca="false">IFERROR(IF(OR(CB565=1,CB565=2,CB565=3),N(INDEX(Parameter!$I$5:$I$7,CB565)),0),0)</f>
        <v>0</v>
      </c>
      <c r="CL565" s="52" t="n">
        <f aca="false">IF(AND(Parameter!$B$21="Ja",ISNUMBER(W565),N(X565)&gt;0),IFERROR(N(INDEX(Parameter!$L$5:$L$7,W565))*INDEX(Parameter!$E$5:$E$7,W565)*X565/SUMIFS($X$7:$X$1843,$W$7:$W$1843,W565),0),0)</f>
        <v>0</v>
      </c>
    </row>
    <row r="566" customFormat="false" ht="15" hidden="false" customHeight="false" outlineLevel="0" collapsed="false">
      <c r="A566" s="48" t="s">
        <v>1202</v>
      </c>
      <c r="B566" s="48" t="s">
        <v>409</v>
      </c>
      <c r="C566" s="48" t="s">
        <v>168</v>
      </c>
      <c r="D566" s="48" t="s">
        <v>188</v>
      </c>
      <c r="E566" s="48" t="s">
        <v>189</v>
      </c>
      <c r="F566" s="48" t="s">
        <v>222</v>
      </c>
      <c r="G566" s="49" t="n">
        <v>0.03</v>
      </c>
      <c r="H566" s="50" t="n">
        <f aca="false">MAX(0,IF(AND(Parameter!$B$21="Ja",ISNUMBER(Y566)),Y566,IF(Parameter!$B$20="Jahresanfang 2025 + Export",BO566+BN566,BN566)))</f>
        <v>1021</v>
      </c>
      <c r="I566" s="50" t="n">
        <f aca="false">H566*G566</f>
        <v>30.63</v>
      </c>
      <c r="J566" s="50" t="n">
        <f aca="false">BQ566*Parameter!$B$18</f>
        <v>604</v>
      </c>
      <c r="K566" s="51" t="n">
        <v>521.5</v>
      </c>
      <c r="L566" s="52" t="n">
        <v>1.1581975071908</v>
      </c>
      <c r="M566" s="50" t="n">
        <v>35</v>
      </c>
      <c r="N566" s="50" t="n">
        <v>500</v>
      </c>
      <c r="O566" s="53" t="n">
        <v>21</v>
      </c>
      <c r="P566" s="48" t="s">
        <v>425</v>
      </c>
      <c r="Q566" s="50" t="n">
        <v>504</v>
      </c>
      <c r="R566" s="53" t="n">
        <f aca="false">IF(BW566=1,0,IFERROR(VLOOKUP(BU566,'Gebinde-Kategorie'!$A$5:$N$45,13,0)+0,0))</f>
        <v>104</v>
      </c>
      <c r="S566" s="54"/>
      <c r="T566" s="55"/>
      <c r="U566" s="55"/>
      <c r="V566" s="55"/>
      <c r="W566" s="48"/>
      <c r="X566" s="50"/>
      <c r="Y566" s="50"/>
      <c r="Z566" s="48" t="n">
        <f aca="false">IF(A566="","",IF(AND(Parameter!$B$21="Ja",ISNUMBER(W566)),W566,IF(BZ566="2+3",IF(ISNUMBER(SEARCH("grosser Artikel",BR566)),2,IFERROR(VLOOKUP(BU566,Parameter!$F$35:$G$64,2,0),2)),IF(OR(BZ566="Nein",BZ566=""),"-",BZ566))))</f>
        <v>3</v>
      </c>
      <c r="AA566" s="55"/>
      <c r="AB566" s="56"/>
      <c r="AC566" s="50" t="n">
        <f aca="false">AT566</f>
        <v>1008</v>
      </c>
      <c r="AD566" s="50" t="n">
        <f aca="false">MAX(AT566,H566)</f>
        <v>1021</v>
      </c>
      <c r="AE566" s="57"/>
      <c r="AF566" s="50" t="n">
        <f aca="false">IF(LEFT(Cockpit!$C$5,1)="A",H566,IF(CE566=1,CF566,IF(LEFT(Cockpit!$C$5,1)="B",AK566,MAX(AK566,H566))))</f>
        <v>1021</v>
      </c>
      <c r="AG566" s="50" t="n">
        <f aca="false">IF(BW566=1,0,ROUNDUP(AF566/BV566,0))</f>
        <v>3</v>
      </c>
      <c r="AH566" s="52" t="n">
        <f aca="false">IF(CL566&gt;0,CL566*MAX(1,AF566/X566),IF(BW566=1,IF(AF566&lt;=0,0,CA566*MAX(1,IF(H566&gt;0,AF566/H566,1))),IF(R566&gt;0,AG566/R566,0))/MAX(0.1,N(Parameter!$M$21)))</f>
        <v>0.0288461538461538</v>
      </c>
      <c r="AI566" s="50" t="n">
        <f aca="false">AH566*BY566</f>
        <v>4.47115384615385</v>
      </c>
      <c r="AJ566" s="50" t="n">
        <f aca="false">AF566*G566</f>
        <v>30.63</v>
      </c>
      <c r="AK566" s="50" t="n">
        <f aca="false">ROUNDUP(MAX(J566/IF(CD566&gt;0,CD566,MAX(0.1,N(Cockpit!$C$6))),CG566)/BV566,0)*BV566</f>
        <v>1008</v>
      </c>
      <c r="AL566" s="51" t="n">
        <f aca="false">IF(AI566&gt;0,J566/AI566,-1)</f>
        <v>135.088172043011</v>
      </c>
      <c r="AM566" s="51" t="n">
        <f aca="false">IF(AND(OR(CC566="L1",CC566="L23",CC566="LIFT"),AI566&gt;0),SUMIFS($AI$7:$AI$1843,$CC$7:$CC$1843,CC566,$AL$7:$AL$1843,"&gt;"&amp;AL566)+SUMIFS($AI$7:$AI$1843,$CC$7:$CC$1843,CC566,$AL$7:$AL$1843,AL566,$BT$7:$BT$1843,"&lt;="&amp;BT566),"")</f>
        <v>544.327380952381</v>
      </c>
      <c r="AN566" s="58" t="n">
        <f aca="false">IF(AM566="",0,MAX(0,MIN(1,(IF(CC566="L1",Parameter!$H$5,IF(CC566="L23",Parameter!$H$6+Parameter!$H$7,Parameter!$H$5+Parameter!$H$6+Parameter!$H$7))-(AM566-AI566))/AI566)))</f>
        <v>1</v>
      </c>
      <c r="AO566" s="50" t="n">
        <f aca="false">IF(LEFT(Cockpit!$I$5,1)="A",H566,IF(CE566=1,CF566,IF(LEFT(Cockpit!$I$5,1)="B",AT566,MAX(AT566,H566))))</f>
        <v>1021</v>
      </c>
      <c r="AP566" s="50" t="n">
        <f aca="false">IF(BW566=1,0,ROUNDUP(AO566/BV566,0))</f>
        <v>3</v>
      </c>
      <c r="AQ566" s="52" t="n">
        <f aca="false">IF(CL566&gt;0,CL566*MAX(1,AO566/X566),IF(BW566=1,IF(AO566&lt;=0,0,CA566*MAX(1,IF(H566&gt;0,AO566/H566,1))),IF(R566&gt;0,AP566/R566,0))/MAX(0.1,N(Parameter!$M$21)))</f>
        <v>0.0288461538461538</v>
      </c>
      <c r="AR566" s="50" t="n">
        <f aca="false">AQ566*BY566</f>
        <v>4.47115384615385</v>
      </c>
      <c r="AS566" s="50" t="n">
        <f aca="false">AO566*G566</f>
        <v>30.63</v>
      </c>
      <c r="AT566" s="50" t="n">
        <f aca="false">ROUNDUP(MAX(J566/IF(CD566&gt;0,CD566,MAX(0.1,N(Cockpit!$I$6))),CG566)/BV566,0)*BV566</f>
        <v>1008</v>
      </c>
      <c r="AU566" s="51" t="n">
        <f aca="false">IF(AR566&gt;0,J566/AR566,-1)</f>
        <v>135.088172043011</v>
      </c>
      <c r="AV566" s="51" t="n">
        <f aca="false">IF(AND(OR(CC566="L1",CC566="L23",CC566="LIFT"),AR566&gt;0),SUMIFS($AR$7:$AR$1843,$CC$7:$CC$1843,CC566,$AU$7:$AU$1843,"&gt;"&amp;AU566)+SUMIFS($AR$7:$AR$1843,$CC$7:$CC$1843,CC566,$AU$7:$AU$1843,AU566,$BT$7:$BT$1843,"&lt;="&amp;BT566),"")</f>
        <v>704.452380952381</v>
      </c>
      <c r="AW566" s="58" t="n">
        <f aca="false">IF(AV566="",0,MAX(0,MIN(1,(IF(CC566="L1",Parameter!$H$5,IF(CC566="L23",Parameter!$H$6+Parameter!$H$7,Parameter!$H$5+Parameter!$H$6+Parameter!$H$7))-(AV566-AR566))/AR566)))</f>
        <v>1</v>
      </c>
      <c r="AX566" s="50" t="n">
        <f aca="false">IF(LEFT(Cockpit!$O$5,1)="A",H566,IF(CE566=1,CF566,IF(LEFT(Cockpit!$O$5,1)="B",BC566,MAX(BC566,H566))))</f>
        <v>1021</v>
      </c>
      <c r="AY566" s="50" t="n">
        <f aca="false">IF(BW566=1,0,ROUNDUP(AX566/BV566,0))</f>
        <v>3</v>
      </c>
      <c r="AZ566" s="52" t="n">
        <f aca="false">IF(CL566&gt;0,CL566*MAX(1,AX566/X566),IF(BW566=1,IF(AX566&lt;=0,0,CA566*MAX(1,IF(H566&gt;0,AX566/H566,1))),IF(R566&gt;0,AY566/R566,0))/MAX(0.1,N(Parameter!$M$21)))</f>
        <v>0.0288461538461538</v>
      </c>
      <c r="BA566" s="50" t="n">
        <f aca="false">AZ566*BY566</f>
        <v>4.47115384615385</v>
      </c>
      <c r="BB566" s="50" t="n">
        <f aca="false">AX566*G566</f>
        <v>30.63</v>
      </c>
      <c r="BC566" s="50" t="n">
        <f aca="false">ROUNDUP(MAX(J566/IF(CD566&gt;0,CD566,MAX(0.1,N(Cockpit!$O$6))),CG566)/BV566,0)*BV566</f>
        <v>1008</v>
      </c>
      <c r="BD566" s="51" t="n">
        <f aca="false">IF(BA566&gt;0,J566/BA566,-1)</f>
        <v>135.088172043011</v>
      </c>
      <c r="BE566" s="51" t="n">
        <f aca="false">IF(AND(OR(CC566="L1",CC566="L23",CC566="LIFT"),BA566&gt;0),SUMIFS($BA$7:$BA$1843,$CC$7:$CC$1843,CC566,$BD$7:$BD$1843,"&gt;"&amp;BD566)+SUMIFS($BA$7:$BA$1843,$CC$7:$CC$1843,CC566,$BD$7:$BD$1843,BD566,$BT$7:$BT$1843,"&lt;="&amp;BT566),"")</f>
        <v>648.891483516484</v>
      </c>
      <c r="BF566" s="58" t="n">
        <f aca="false">IF(BE566="",0,MAX(0,MIN(1,(IF(CC566="L1",Parameter!$H$5,IF(CC566="L23",Parameter!$H$6+Parameter!$H$7,Parameter!$H$5+Parameter!$H$6+Parameter!$H$7))-(BE566-BA566))/BA566)))</f>
        <v>1</v>
      </c>
      <c r="BG566" s="48" t="str">
        <f aca="false">IF(AI566&lt;=0,"",IF(CC566="Aussen","Aussenlager",IF(CC566="-","Nicht im Lift",IF(AN566&gt;=1,"Lift",IF(AN566&lt;=0,"Aussenlager","teilweise")))))</f>
        <v>Lift</v>
      </c>
      <c r="BH566" s="48" t="str">
        <f aca="false">IF(AR566&lt;=0,"",IF(CC566="Aussen","Aussenlager",IF(CC566="-","Nicht im Lift",IF(AW566&gt;=1,"Lift",IF(AW566&lt;=0,"Aussenlager","teilweise")))))</f>
        <v>Lift</v>
      </c>
      <c r="BI566" s="48" t="str">
        <f aca="false">IF(BA566&lt;=0,"",IF(CC566="Aussen","Aussenlager",IF(CC566="-","Nicht im Lift",IF(BF566&gt;=1,"Lift",IF(BF566&lt;=0,"Aussenlager","teilweise")))))</f>
        <v>Lift</v>
      </c>
      <c r="BJ566" s="48" t="str">
        <f aca="false">IF(A566="","",IF(BS566=1,"Neu; ","")&amp;IF(AND(BS566=0,BN566&lt;0),"negativer Bestand (Export "&amp;BN566&amp;"); ","")&amp;IF(J566&lt;=0,"Kein Verbrauch; ","")&amp;IF(CL566&gt;0,"Lift "&amp;W566&amp;" lt. Liftbericht (Fach "&amp;X566&amp;" Stk); ",IF(BX566=1,"Gebinde geschätzt ("&amp;T566&amp;"); ",IF(BW566=1,"Lose – Tablare geschätzt; ","")))&amp;IF(H566&gt;AT566,"Überbestand "&amp;ROUND(H566-AT566,0)&amp;" Stk / CHF "&amp;ROUND((H566-AT566)*G566,0)&amp;"; ","")&amp;IF(AND(CE566=1,CF566&lt;CG566),"MAX &lt; MB+LG; ","")&amp;IF(AND(CK566&gt;0,CJ566*10&gt;CK566),"zu hoch für Tablar; ","")&amp;IF(AND(BS566=0,OR(CE566=1,AA566&lt;&gt;"",U566&lt;&gt;"",V566&lt;&gt;"",AB566&lt;&gt;"")),"manuell übersteuert; ","")&amp;IF(AND(BW566=0,R566=0),"Gebinde unbekannt / Stellmass fehlt; ","")&amp;IF(AND(BW566=0,N(V566)&lt;=0,N(Q566)&lt;=0),"Menge pro Gebinde fehlt (Ist = 1 Gebinde); ","")&amp;BR566)</f>
        <v>Überbestand 13 Stk / CHF 0; </v>
      </c>
      <c r="BK566" s="48"/>
      <c r="BL566" s="48"/>
      <c r="BM566" s="55"/>
      <c r="BN566" s="50" t="n">
        <v>439</v>
      </c>
      <c r="BO566" s="50" t="n">
        <v>582</v>
      </c>
      <c r="BP566" s="49" t="n">
        <v>13.17</v>
      </c>
      <c r="BQ566" s="50" t="n">
        <v>604</v>
      </c>
      <c r="BR566" s="48"/>
      <c r="BS566" s="53" t="n">
        <v>0</v>
      </c>
      <c r="BT566" s="53" t="n">
        <v>566</v>
      </c>
      <c r="BU566" s="48" t="str">
        <f aca="false">IF(U566&lt;&gt;"",UPPER(TRIM(U566)),IF(BX566=1,UPPER(VLOOKUP(T566,Parameter!$I$27:$K$29,2,0)),IF(P566="","LOSE",P566)))</f>
        <v>S32</v>
      </c>
      <c r="BV566" s="50" t="n">
        <f aca="false">IF(BU566="LOSE",1,IF(N(V566)&gt;0,V566,IF(BX566=1,MAX(1,N(VLOOKUP(T566,Parameter!$I$27:$K$29,3,0)),H566,N(N566)),IF(N(Q566)&gt;0,Q566,MAX(1,H566)))))</f>
        <v>504</v>
      </c>
      <c r="BW566" s="53" t="n">
        <f aca="false">IF(BU566="LOSE",1,0)</f>
        <v>0</v>
      </c>
      <c r="BX566" s="53" t="n">
        <f aca="false">IF(AND(U566="",OR(P566="",P566="LOSE"),T566&lt;&gt;"",N(S566)&lt;=0,ISNUMBER(MATCH(T566,Parameter!$I$27:$I$29,0))),1,0)</f>
        <v>0</v>
      </c>
      <c r="BY566" s="53" t="n">
        <f aca="false">IF(CL566&gt;0,INDEX(Parameter!$H$5:$H$7,W566)/INDEX(Parameter!$E$5:$E$7,W566),IF(AND(BW566=0,N(IFERROR(VLOOKUP(BU566,'Gebinde-Kategorie'!$A$5:$N$45,14,0),0))&gt;0),VLOOKUP(BU566,'Gebinde-Kategorie'!$A$5:$N$45,14,0)*10+Parameter!$M$23,Parameter!$M$24))</f>
        <v>155</v>
      </c>
      <c r="BZ566" s="48" t="str">
        <f aca="false">IF(AND(Parameter!$B$19="Ja",E566&lt;&gt;"",ISNUMBER(MATCH(E566,Parameter!$I$35:$I$52,0))),VLOOKUP(E566,Parameter!$I$35:$J$52,2,0),IFERROR(VLOOKUP(D566,Parameter!$A$35:$C$64,2,0),"Nein"))</f>
        <v>2+3</v>
      </c>
      <c r="CA566" s="52" t="n">
        <f aca="false">IF(BW566=0,0,IF(N(S566)&gt;0,S566,IFERROR(VLOOKUP(D566,Parameter!$A$35:$C$64,3,0)+0,0)))</f>
        <v>0</v>
      </c>
      <c r="CB566" s="48" t="n">
        <f aca="false">IF(AA566&lt;&gt;"",AA566,Z566)</f>
        <v>3</v>
      </c>
      <c r="CC566" s="48" t="str">
        <f aca="false">IF(OR(CB566=1,CB566=2,CB566=3),IF(Parameter!$E$27="Ja","LIFT",IF(CB566=1,"L1","L23")),IF(CB566="Aussen","Aussen","-"))</f>
        <v>LIFT</v>
      </c>
      <c r="CD566" s="59" t="n">
        <f aca="false">IF(N(AB566)&gt;0,AB566,0)</f>
        <v>0</v>
      </c>
      <c r="CE566" s="53" t="n">
        <f aca="false">IF(ISNUMBER(AE566),1,0)</f>
        <v>0</v>
      </c>
      <c r="CF566" s="50" t="n">
        <f aca="false">N(AE566)</f>
        <v>0</v>
      </c>
      <c r="CG566" s="50" t="n">
        <f aca="false">N(M566)+N(N566)</f>
        <v>535</v>
      </c>
      <c r="CH566" s="50" t="n">
        <f aca="false">ROUNDUP(H566/BV566,0)</f>
        <v>3</v>
      </c>
      <c r="CI566" s="50" t="n">
        <f aca="false">ROUNDUP(CF566/BV566,0)</f>
        <v>0</v>
      </c>
      <c r="CJ566" s="53" t="n">
        <f aca="false">IF(BW566=1,0,IFERROR(VLOOKUP(BU566,'Gebinde-Kategorie'!$A$5:$N$45,5,0)+0,0))</f>
        <v>8</v>
      </c>
      <c r="CK566" s="53" t="n">
        <f aca="false">IFERROR(IF(OR(CB566=1,CB566=2,CB566=3),N(INDEX(Parameter!$I$5:$I$7,CB566)),0),0)</f>
        <v>0</v>
      </c>
      <c r="CL566" s="52" t="n">
        <f aca="false">IF(AND(Parameter!$B$21="Ja",ISNUMBER(W566),N(X566)&gt;0),IFERROR(N(INDEX(Parameter!$L$5:$L$7,W566))*INDEX(Parameter!$E$5:$E$7,W566)*X566/SUMIFS($X$7:$X$1843,$W$7:$W$1843,W566),0),0)</f>
        <v>0</v>
      </c>
    </row>
    <row r="567" customFormat="false" ht="15" hidden="false" customHeight="false" outlineLevel="0" collapsed="false">
      <c r="A567" s="48" t="s">
        <v>1203</v>
      </c>
      <c r="B567" s="48" t="s">
        <v>953</v>
      </c>
      <c r="C567" s="48" t="s">
        <v>168</v>
      </c>
      <c r="D567" s="48" t="s">
        <v>188</v>
      </c>
      <c r="E567" s="48" t="s">
        <v>189</v>
      </c>
      <c r="F567" s="48" t="s">
        <v>222</v>
      </c>
      <c r="G567" s="49" t="n">
        <v>3.84</v>
      </c>
      <c r="H567" s="50" t="n">
        <f aca="false">MAX(0,IF(AND(Parameter!$B$21="Ja",ISNUMBER(Y567)),Y567,IF(Parameter!$B$20="Jahresanfang 2025 + Export",BO567+BN567,BN567)))</f>
        <v>205</v>
      </c>
      <c r="I567" s="50" t="n">
        <f aca="false">H567*G567</f>
        <v>787.2</v>
      </c>
      <c r="J567" s="50" t="n">
        <f aca="false">BQ567*Parameter!$B$18</f>
        <v>106</v>
      </c>
      <c r="K567" s="51" t="n">
        <v>140.5</v>
      </c>
      <c r="L567" s="52" t="n">
        <v>0.754448398576513</v>
      </c>
      <c r="M567" s="50" t="n">
        <v>16</v>
      </c>
      <c r="N567" s="50" t="n">
        <v>105</v>
      </c>
      <c r="O567" s="53" t="n">
        <v>56</v>
      </c>
      <c r="P567" s="48" t="s">
        <v>425</v>
      </c>
      <c r="Q567" s="50" t="n">
        <v>88</v>
      </c>
      <c r="R567" s="53" t="n">
        <f aca="false">IF(BW567=1,0,IFERROR(VLOOKUP(BU567,'Gebinde-Kategorie'!$A$5:$N$45,13,0)+0,0))</f>
        <v>104</v>
      </c>
      <c r="S567" s="54"/>
      <c r="T567" s="55"/>
      <c r="U567" s="55"/>
      <c r="V567" s="55"/>
      <c r="W567" s="48"/>
      <c r="X567" s="50"/>
      <c r="Y567" s="50"/>
      <c r="Z567" s="48" t="n">
        <f aca="false">IF(A567="","",IF(AND(Parameter!$B$21="Ja",ISNUMBER(W567)),W567,IF(BZ567="2+3",IF(ISNUMBER(SEARCH("grosser Artikel",BR567)),2,IFERROR(VLOOKUP(BU567,Parameter!$F$35:$G$64,2,0),2)),IF(OR(BZ567="Nein",BZ567=""),"-",BZ567))))</f>
        <v>3</v>
      </c>
      <c r="AA567" s="55"/>
      <c r="AB567" s="56"/>
      <c r="AC567" s="50" t="n">
        <f aca="false">AT567</f>
        <v>176</v>
      </c>
      <c r="AD567" s="50" t="n">
        <f aca="false">MAX(AT567,H567)</f>
        <v>205</v>
      </c>
      <c r="AE567" s="57"/>
      <c r="AF567" s="50" t="n">
        <f aca="false">IF(LEFT(Cockpit!$C$5,1)="A",H567,IF(CE567=1,CF567,IF(LEFT(Cockpit!$C$5,1)="B",AK567,MAX(AK567,H567))))</f>
        <v>205</v>
      </c>
      <c r="AG567" s="50" t="n">
        <f aca="false">IF(BW567=1,0,ROUNDUP(AF567/BV567,0))</f>
        <v>3</v>
      </c>
      <c r="AH567" s="52" t="n">
        <f aca="false">IF(CL567&gt;0,CL567*MAX(1,AF567/X567),IF(BW567=1,IF(AF567&lt;=0,0,CA567*MAX(1,IF(H567&gt;0,AF567/H567,1))),IF(R567&gt;0,AG567/R567,0))/MAX(0.1,N(Parameter!$M$21)))</f>
        <v>0.0288461538461538</v>
      </c>
      <c r="AI567" s="50" t="n">
        <f aca="false">AH567*BY567</f>
        <v>4.47115384615385</v>
      </c>
      <c r="AJ567" s="50" t="n">
        <f aca="false">AF567*G567</f>
        <v>787.2</v>
      </c>
      <c r="AK567" s="50" t="n">
        <f aca="false">ROUNDUP(MAX(J567/IF(CD567&gt;0,CD567,MAX(0.1,N(Cockpit!$C$6))),CG567)/BV567,0)*BV567</f>
        <v>176</v>
      </c>
      <c r="AL567" s="51" t="n">
        <f aca="false">IF(AI567&gt;0,J567/AI567,-1)</f>
        <v>23.7075268817204</v>
      </c>
      <c r="AM567" s="51" t="n">
        <f aca="false">IF(AND(OR(CC567="L1",CC567="L23",CC567="LIFT"),AI567&gt;0),SUMIFS($AI$7:$AI$1843,$CC$7:$CC$1843,CC567,$AL$7:$AL$1843,"&gt;"&amp;AL567)+SUMIFS($AI$7:$AI$1843,$CC$7:$CC$1843,CC567,$AL$7:$AL$1843,AL567,$BT$7:$BT$1843,"&lt;="&amp;BT567),"")</f>
        <v>1563.97344322344</v>
      </c>
      <c r="AN567" s="58" t="n">
        <f aca="false">IF(AM567="",0,MAX(0,MIN(1,(IF(CC567="L1",Parameter!$H$5,IF(CC567="L23",Parameter!$H$6+Parameter!$H$7,Parameter!$H$5+Parameter!$H$6+Parameter!$H$7))-(AM567-AI567))/AI567)))</f>
        <v>1</v>
      </c>
      <c r="AO567" s="50" t="n">
        <f aca="false">IF(LEFT(Cockpit!$I$5,1)="A",H567,IF(CE567=1,CF567,IF(LEFT(Cockpit!$I$5,1)="B",AT567,MAX(AT567,H567))))</f>
        <v>205</v>
      </c>
      <c r="AP567" s="50" t="n">
        <f aca="false">IF(BW567=1,0,ROUNDUP(AO567/BV567,0))</f>
        <v>3</v>
      </c>
      <c r="AQ567" s="52" t="n">
        <f aca="false">IF(CL567&gt;0,CL567*MAX(1,AO567/X567),IF(BW567=1,IF(AO567&lt;=0,0,CA567*MAX(1,IF(H567&gt;0,AO567/H567,1))),IF(R567&gt;0,AP567/R567,0))/MAX(0.1,N(Parameter!$M$21)))</f>
        <v>0.0288461538461538</v>
      </c>
      <c r="AR567" s="50" t="n">
        <f aca="false">AQ567*BY567</f>
        <v>4.47115384615385</v>
      </c>
      <c r="AS567" s="50" t="n">
        <f aca="false">AO567*G567</f>
        <v>787.2</v>
      </c>
      <c r="AT567" s="50" t="n">
        <f aca="false">ROUNDUP(MAX(J567/IF(CD567&gt;0,CD567,MAX(0.1,N(Cockpit!$I$6))),CG567)/BV567,0)*BV567</f>
        <v>176</v>
      </c>
      <c r="AU567" s="51" t="n">
        <f aca="false">IF(AR567&gt;0,J567/AR567,-1)</f>
        <v>23.7075268817204</v>
      </c>
      <c r="AV567" s="51" t="n">
        <f aca="false">IF(AND(OR(CC567="L1",CC567="L23",CC567="LIFT"),AR567&gt;0),SUMIFS($AR$7:$AR$1843,$CC$7:$CC$1843,CC567,$AU$7:$AU$1843,"&gt;"&amp;AU567)+SUMIFS($AR$7:$AR$1843,$CC$7:$CC$1843,CC567,$AU$7:$AU$1843,AU567,$BT$7:$BT$1843,"&lt;="&amp;BT567),"")</f>
        <v>2201.6369047619</v>
      </c>
      <c r="AW567" s="58" t="n">
        <f aca="false">IF(AV567="",0,MAX(0,MIN(1,(IF(CC567="L1",Parameter!$H$5,IF(CC567="L23",Parameter!$H$6+Parameter!$H$7,Parameter!$H$5+Parameter!$H$6+Parameter!$H$7))-(AV567-AR567))/AR567)))</f>
        <v>1</v>
      </c>
      <c r="AX567" s="50" t="n">
        <f aca="false">IF(LEFT(Cockpit!$O$5,1)="A",H567,IF(CE567=1,CF567,IF(LEFT(Cockpit!$O$5,1)="B",BC567,MAX(BC567,H567))))</f>
        <v>205</v>
      </c>
      <c r="AY567" s="50" t="n">
        <f aca="false">IF(BW567=1,0,ROUNDUP(AX567/BV567,0))</f>
        <v>3</v>
      </c>
      <c r="AZ567" s="52" t="n">
        <f aca="false">IF(CL567&gt;0,CL567*MAX(1,AX567/X567),IF(BW567=1,IF(AX567&lt;=0,0,CA567*MAX(1,IF(H567&gt;0,AX567/H567,1))),IF(R567&gt;0,AY567/R567,0))/MAX(0.1,N(Parameter!$M$21)))</f>
        <v>0.0288461538461538</v>
      </c>
      <c r="BA567" s="50" t="n">
        <f aca="false">AZ567*BY567</f>
        <v>4.47115384615385</v>
      </c>
      <c r="BB567" s="50" t="n">
        <f aca="false">AX567*G567</f>
        <v>787.2</v>
      </c>
      <c r="BC567" s="50" t="n">
        <f aca="false">ROUNDUP(MAX(J567/IF(CD567&gt;0,CD567,MAX(0.1,N(Cockpit!$O$6))),CG567)/BV567,0)*BV567</f>
        <v>176</v>
      </c>
      <c r="BD567" s="51" t="n">
        <f aca="false">IF(BA567&gt;0,J567/BA567,-1)</f>
        <v>23.7075268817204</v>
      </c>
      <c r="BE567" s="51" t="n">
        <f aca="false">IF(AND(OR(CC567="L1",CC567="L23",CC567="LIFT"),BA567&gt;0),SUMIFS($BA$7:$BA$1843,$CC$7:$CC$1843,CC567,$BD$7:$BD$1843,"&gt;"&amp;BD567)+SUMIFS($BA$7:$BA$1843,$CC$7:$CC$1843,CC567,$BD$7:$BD$1843,BD567,$BT$7:$BT$1843,"&lt;="&amp;BT567),"")</f>
        <v>2296.65293040293</v>
      </c>
      <c r="BF567" s="58" t="n">
        <f aca="false">IF(BE567="",0,MAX(0,MIN(1,(IF(CC567="L1",Parameter!$H$5,IF(CC567="L23",Parameter!$H$6+Parameter!$H$7,Parameter!$H$5+Parameter!$H$6+Parameter!$H$7))-(BE567-BA567))/BA567)))</f>
        <v>1</v>
      </c>
      <c r="BG567" s="48" t="str">
        <f aca="false">IF(AI567&lt;=0,"",IF(CC567="Aussen","Aussenlager",IF(CC567="-","Nicht im Lift",IF(AN567&gt;=1,"Lift",IF(AN567&lt;=0,"Aussenlager","teilweise")))))</f>
        <v>Lift</v>
      </c>
      <c r="BH567" s="48" t="str">
        <f aca="false">IF(AR567&lt;=0,"",IF(CC567="Aussen","Aussenlager",IF(CC567="-","Nicht im Lift",IF(AW567&gt;=1,"Lift",IF(AW567&lt;=0,"Aussenlager","teilweise")))))</f>
        <v>Lift</v>
      </c>
      <c r="BI567" s="48" t="str">
        <f aca="false">IF(BA567&lt;=0,"",IF(CC567="Aussen","Aussenlager",IF(CC567="-","Nicht im Lift",IF(BF567&gt;=1,"Lift",IF(BF567&lt;=0,"Aussenlager","teilweise")))))</f>
        <v>Lift</v>
      </c>
      <c r="BJ567" s="48" t="str">
        <f aca="false">IF(A567="","",IF(BS567=1,"Neu; ","")&amp;IF(AND(BS567=0,BN567&lt;0),"negativer Bestand (Export "&amp;BN567&amp;"); ","")&amp;IF(J567&lt;=0,"Kein Verbrauch; ","")&amp;IF(CL567&gt;0,"Lift "&amp;W567&amp;" lt. Liftbericht (Fach "&amp;X567&amp;" Stk); ",IF(BX567=1,"Gebinde geschätzt ("&amp;T567&amp;"); ",IF(BW567=1,"Lose – Tablare geschätzt; ","")))&amp;IF(H567&gt;AT567,"Überbestand "&amp;ROUND(H567-AT567,0)&amp;" Stk / CHF "&amp;ROUND((H567-AT567)*G567,0)&amp;"; ","")&amp;IF(AND(CE567=1,CF567&lt;CG567),"MAX &lt; MB+LG; ","")&amp;IF(AND(CK567&gt;0,CJ567*10&gt;CK567),"zu hoch für Tablar; ","")&amp;IF(AND(BS567=0,OR(CE567=1,AA567&lt;&gt;"",U567&lt;&gt;"",V567&lt;&gt;"",AB567&lt;&gt;"")),"manuell übersteuert; ","")&amp;IF(AND(BW567=0,R567=0),"Gebinde unbekannt / Stellmass fehlt; ","")&amp;IF(AND(BW567=0,N(V567)&lt;=0,N(Q567)&lt;=0),"Menge pro Gebinde fehlt (Ist = 1 Gebinde); ","")&amp;BR567)</f>
        <v>Überbestand 29 Stk / CHF 111; </v>
      </c>
      <c r="BK567" s="48"/>
      <c r="BL567" s="48"/>
      <c r="BM567" s="55"/>
      <c r="BN567" s="50" t="n">
        <v>11</v>
      </c>
      <c r="BO567" s="50" t="n">
        <v>194</v>
      </c>
      <c r="BP567" s="49" t="n">
        <v>13.1399999999993</v>
      </c>
      <c r="BQ567" s="50" t="n">
        <v>106</v>
      </c>
      <c r="BR567" s="48"/>
      <c r="BS567" s="53" t="n">
        <v>0</v>
      </c>
      <c r="BT567" s="53" t="n">
        <v>567</v>
      </c>
      <c r="BU567" s="48" t="str">
        <f aca="false">IF(U567&lt;&gt;"",UPPER(TRIM(U567)),IF(BX567=1,UPPER(VLOOKUP(T567,Parameter!$I$27:$K$29,2,0)),IF(P567="","LOSE",P567)))</f>
        <v>S32</v>
      </c>
      <c r="BV567" s="50" t="n">
        <f aca="false">IF(BU567="LOSE",1,IF(N(V567)&gt;0,V567,IF(BX567=1,MAX(1,N(VLOOKUP(T567,Parameter!$I$27:$K$29,3,0)),H567,N(N567)),IF(N(Q567)&gt;0,Q567,MAX(1,H567)))))</f>
        <v>88</v>
      </c>
      <c r="BW567" s="53" t="n">
        <f aca="false">IF(BU567="LOSE",1,0)</f>
        <v>0</v>
      </c>
      <c r="BX567" s="53" t="n">
        <f aca="false">IF(AND(U567="",OR(P567="",P567="LOSE"),T567&lt;&gt;"",N(S567)&lt;=0,ISNUMBER(MATCH(T567,Parameter!$I$27:$I$29,0))),1,0)</f>
        <v>0</v>
      </c>
      <c r="BY567" s="53" t="n">
        <f aca="false">IF(CL567&gt;0,INDEX(Parameter!$H$5:$H$7,W567)/INDEX(Parameter!$E$5:$E$7,W567),IF(AND(BW567=0,N(IFERROR(VLOOKUP(BU567,'Gebinde-Kategorie'!$A$5:$N$45,14,0),0))&gt;0),VLOOKUP(BU567,'Gebinde-Kategorie'!$A$5:$N$45,14,0)*10+Parameter!$M$23,Parameter!$M$24))</f>
        <v>155</v>
      </c>
      <c r="BZ567" s="48" t="str">
        <f aca="false">IF(AND(Parameter!$B$19="Ja",E567&lt;&gt;"",ISNUMBER(MATCH(E567,Parameter!$I$35:$I$52,0))),VLOOKUP(E567,Parameter!$I$35:$J$52,2,0),IFERROR(VLOOKUP(D567,Parameter!$A$35:$C$64,2,0),"Nein"))</f>
        <v>2+3</v>
      </c>
      <c r="CA567" s="52" t="n">
        <f aca="false">IF(BW567=0,0,IF(N(S567)&gt;0,S567,IFERROR(VLOOKUP(D567,Parameter!$A$35:$C$64,3,0)+0,0)))</f>
        <v>0</v>
      </c>
      <c r="CB567" s="48" t="n">
        <f aca="false">IF(AA567&lt;&gt;"",AA567,Z567)</f>
        <v>3</v>
      </c>
      <c r="CC567" s="48" t="str">
        <f aca="false">IF(OR(CB567=1,CB567=2,CB567=3),IF(Parameter!$E$27="Ja","LIFT",IF(CB567=1,"L1","L23")),IF(CB567="Aussen","Aussen","-"))</f>
        <v>LIFT</v>
      </c>
      <c r="CD567" s="59" t="n">
        <f aca="false">IF(N(AB567)&gt;0,AB567,0)</f>
        <v>0</v>
      </c>
      <c r="CE567" s="53" t="n">
        <f aca="false">IF(ISNUMBER(AE567),1,0)</f>
        <v>0</v>
      </c>
      <c r="CF567" s="50" t="n">
        <f aca="false">N(AE567)</f>
        <v>0</v>
      </c>
      <c r="CG567" s="50" t="n">
        <f aca="false">N(M567)+N(N567)</f>
        <v>121</v>
      </c>
      <c r="CH567" s="50" t="n">
        <f aca="false">ROUNDUP(H567/BV567,0)</f>
        <v>3</v>
      </c>
      <c r="CI567" s="50" t="n">
        <f aca="false">ROUNDUP(CF567/BV567,0)</f>
        <v>0</v>
      </c>
      <c r="CJ567" s="53" t="n">
        <f aca="false">IF(BW567=1,0,IFERROR(VLOOKUP(BU567,'Gebinde-Kategorie'!$A$5:$N$45,5,0)+0,0))</f>
        <v>8</v>
      </c>
      <c r="CK567" s="53" t="n">
        <f aca="false">IFERROR(IF(OR(CB567=1,CB567=2,CB567=3),N(INDEX(Parameter!$I$5:$I$7,CB567)),0),0)</f>
        <v>0</v>
      </c>
      <c r="CL567" s="52" t="n">
        <f aca="false">IF(AND(Parameter!$B$21="Ja",ISNUMBER(W567),N(X567)&gt;0),IFERROR(N(INDEX(Parameter!$L$5:$L$7,W567))*INDEX(Parameter!$E$5:$E$7,W567)*X567/SUMIFS($X$7:$X$1843,$W$7:$W$1843,W567),0),0)</f>
        <v>0</v>
      </c>
    </row>
    <row r="568" customFormat="false" ht="15" hidden="false" customHeight="false" outlineLevel="0" collapsed="false">
      <c r="A568" s="48" t="s">
        <v>1204</v>
      </c>
      <c r="B568" s="48" t="s">
        <v>472</v>
      </c>
      <c r="C568" s="48" t="s">
        <v>168</v>
      </c>
      <c r="D568" s="48" t="s">
        <v>188</v>
      </c>
      <c r="E568" s="48" t="s">
        <v>189</v>
      </c>
      <c r="F568" s="48" t="s">
        <v>222</v>
      </c>
      <c r="G568" s="49" t="n">
        <v>0.14</v>
      </c>
      <c r="H568" s="50" t="n">
        <f aca="false">MAX(0,IF(AND(Parameter!$B$21="Ja",ISNUMBER(Y568)),Y568,IF(Parameter!$B$20="Jahresanfang 2025 + Export",BO568+BN568,BN568)))</f>
        <v>235</v>
      </c>
      <c r="I568" s="50" t="n">
        <f aca="false">H568*G568</f>
        <v>32.9</v>
      </c>
      <c r="J568" s="50" t="n">
        <f aca="false">BQ568*Parameter!$B$18</f>
        <v>222</v>
      </c>
      <c r="K568" s="51" t="n">
        <v>129.5</v>
      </c>
      <c r="L568" s="52" t="n">
        <v>1.71428571428571</v>
      </c>
      <c r="M568" s="50" t="n">
        <v>8</v>
      </c>
      <c r="N568" s="50" t="n">
        <v>220</v>
      </c>
      <c r="O568" s="53" t="n">
        <v>14</v>
      </c>
      <c r="P568" s="48" t="s">
        <v>405</v>
      </c>
      <c r="Q568" s="50" t="n">
        <v>210</v>
      </c>
      <c r="R568" s="53" t="n">
        <f aca="false">IF(BW568=1,0,IFERROR(VLOOKUP(BU568,'Gebinde-Kategorie'!$A$5:$N$45,13,0)+0,0))</f>
        <v>280</v>
      </c>
      <c r="S568" s="54"/>
      <c r="T568" s="55"/>
      <c r="U568" s="55"/>
      <c r="V568" s="55"/>
      <c r="W568" s="48"/>
      <c r="X568" s="50"/>
      <c r="Y568" s="50"/>
      <c r="Z568" s="48" t="n">
        <f aca="false">IF(A568="","",IF(AND(Parameter!$B$21="Ja",ISNUMBER(W568)),W568,IF(BZ568="2+3",IF(ISNUMBER(SEARCH("grosser Artikel",BR568)),2,IFERROR(VLOOKUP(BU568,Parameter!$F$35:$G$64,2,0),2)),IF(OR(BZ568="Nein",BZ568=""),"-",BZ568))))</f>
        <v>3</v>
      </c>
      <c r="AA568" s="55"/>
      <c r="AB568" s="56"/>
      <c r="AC568" s="50" t="n">
        <f aca="false">AT568</f>
        <v>420</v>
      </c>
      <c r="AD568" s="50" t="n">
        <f aca="false">MAX(AT568,H568)</f>
        <v>420</v>
      </c>
      <c r="AE568" s="57"/>
      <c r="AF568" s="50" t="n">
        <f aca="false">IF(LEFT(Cockpit!$C$5,1)="A",H568,IF(CE568=1,CF568,IF(LEFT(Cockpit!$C$5,1)="B",AK568,MAX(AK568,H568))))</f>
        <v>235</v>
      </c>
      <c r="AG568" s="50" t="n">
        <f aca="false">IF(BW568=1,0,ROUNDUP(AF568/BV568,0))</f>
        <v>2</v>
      </c>
      <c r="AH568" s="52" t="n">
        <f aca="false">IF(CL568&gt;0,CL568*MAX(1,AF568/X568),IF(BW568=1,IF(AF568&lt;=0,0,CA568*MAX(1,IF(H568&gt;0,AF568/H568,1))),IF(R568&gt;0,AG568/R568,0))/MAX(0.1,N(Parameter!$M$21)))</f>
        <v>0.00714285714285714</v>
      </c>
      <c r="AI568" s="50" t="n">
        <f aca="false">AH568*BY568</f>
        <v>1.10714285714286</v>
      </c>
      <c r="AJ568" s="50" t="n">
        <f aca="false">AF568*G568</f>
        <v>32.9</v>
      </c>
      <c r="AK568" s="50" t="n">
        <f aca="false">ROUNDUP(MAX(J568/IF(CD568&gt;0,CD568,MAX(0.1,N(Cockpit!$C$6))),CG568)/BV568,0)*BV568</f>
        <v>420</v>
      </c>
      <c r="AL568" s="51" t="n">
        <f aca="false">IF(AI568&gt;0,J568/AI568,-1)</f>
        <v>200.516129032258</v>
      </c>
      <c r="AM568" s="51" t="n">
        <f aca="false">IF(AND(OR(CC568="L1",CC568="L23",CC568="LIFT"),AI568&gt;0),SUMIFS($AI$7:$AI$1843,$CC$7:$CC$1843,CC568,$AL$7:$AL$1843,"&gt;"&amp;AL568)+SUMIFS($AI$7:$AI$1843,$CC$7:$CC$1843,CC568,$AL$7:$AL$1843,AL568,$BT$7:$BT$1843,"&lt;="&amp;BT568),"")</f>
        <v>345.466117216117</v>
      </c>
      <c r="AN568" s="58" t="n">
        <f aca="false">IF(AM568="",0,MAX(0,MIN(1,(IF(CC568="L1",Parameter!$H$5,IF(CC568="L23",Parameter!$H$6+Parameter!$H$7,Parameter!$H$5+Parameter!$H$6+Parameter!$H$7))-(AM568-AI568))/AI568)))</f>
        <v>1</v>
      </c>
      <c r="AO568" s="50" t="n">
        <f aca="false">IF(LEFT(Cockpit!$I$5,1)="A",H568,IF(CE568=1,CF568,IF(LEFT(Cockpit!$I$5,1)="B",AT568,MAX(AT568,H568))))</f>
        <v>420</v>
      </c>
      <c r="AP568" s="50" t="n">
        <f aca="false">IF(BW568=1,0,ROUNDUP(AO568/BV568,0))</f>
        <v>2</v>
      </c>
      <c r="AQ568" s="52" t="n">
        <f aca="false">IF(CL568&gt;0,CL568*MAX(1,AO568/X568),IF(BW568=1,IF(AO568&lt;=0,0,CA568*MAX(1,IF(H568&gt;0,AO568/H568,1))),IF(R568&gt;0,AP568/R568,0))/MAX(0.1,N(Parameter!$M$21)))</f>
        <v>0.00714285714285714</v>
      </c>
      <c r="AR568" s="50" t="n">
        <f aca="false">AQ568*BY568</f>
        <v>1.10714285714286</v>
      </c>
      <c r="AS568" s="50" t="n">
        <f aca="false">AO568*G568</f>
        <v>58.8</v>
      </c>
      <c r="AT568" s="50" t="n">
        <f aca="false">ROUNDUP(MAX(J568/IF(CD568&gt;0,CD568,MAX(0.1,N(Cockpit!$I$6))),CG568)/BV568,0)*BV568</f>
        <v>420</v>
      </c>
      <c r="AU568" s="51" t="n">
        <f aca="false">IF(AR568&gt;0,J568/AR568,-1)</f>
        <v>200.516129032258</v>
      </c>
      <c r="AV568" s="51" t="n">
        <f aca="false">IF(AND(OR(CC568="L1",CC568="L23",CC568="LIFT"),AR568&gt;0),SUMIFS($AR$7:$AR$1843,$CC$7:$CC$1843,CC568,$AU$7:$AU$1843,"&gt;"&amp;AU568)+SUMIFS($AR$7:$AR$1843,$CC$7:$CC$1843,CC568,$AU$7:$AU$1843,AU568,$BT$7:$BT$1843,"&lt;="&amp;BT568),"")</f>
        <v>366.641941391941</v>
      </c>
      <c r="AW568" s="58" t="n">
        <f aca="false">IF(AV568="",0,MAX(0,MIN(1,(IF(CC568="L1",Parameter!$H$5,IF(CC568="L23",Parameter!$H$6+Parameter!$H$7,Parameter!$H$5+Parameter!$H$6+Parameter!$H$7))-(AV568-AR568))/AR568)))</f>
        <v>1</v>
      </c>
      <c r="AX568" s="50" t="n">
        <f aca="false">IF(LEFT(Cockpit!$O$5,1)="A",H568,IF(CE568=1,CF568,IF(LEFT(Cockpit!$O$5,1)="B",BC568,MAX(BC568,H568))))</f>
        <v>420</v>
      </c>
      <c r="AY568" s="50" t="n">
        <f aca="false">IF(BW568=1,0,ROUNDUP(AX568/BV568,0))</f>
        <v>2</v>
      </c>
      <c r="AZ568" s="52" t="n">
        <f aca="false">IF(CL568&gt;0,CL568*MAX(1,AX568/X568),IF(BW568=1,IF(AX568&lt;=0,0,CA568*MAX(1,IF(H568&gt;0,AX568/H568,1))),IF(R568&gt;0,AY568/R568,0))/MAX(0.1,N(Parameter!$M$21)))</f>
        <v>0.00714285714285714</v>
      </c>
      <c r="BA568" s="50" t="n">
        <f aca="false">AZ568*BY568</f>
        <v>1.10714285714286</v>
      </c>
      <c r="BB568" s="50" t="n">
        <f aca="false">AX568*G568</f>
        <v>58.8</v>
      </c>
      <c r="BC568" s="50" t="n">
        <f aca="false">ROUNDUP(MAX(J568/IF(CD568&gt;0,CD568,MAX(0.1,N(Cockpit!$O$6))),CG568)/BV568,0)*BV568</f>
        <v>420</v>
      </c>
      <c r="BD568" s="51" t="n">
        <f aca="false">IF(BA568&gt;0,J568/BA568,-1)</f>
        <v>200.516129032258</v>
      </c>
      <c r="BE568" s="51" t="n">
        <f aca="false">IF(AND(OR(CC568="L1",CC568="L23",CC568="LIFT"),BA568&gt;0),SUMIFS($BA$7:$BA$1843,$CC$7:$CC$1843,CC568,$BD$7:$BD$1843,"&gt;"&amp;BD568)+SUMIFS($BA$7:$BA$1843,$CC$7:$CC$1843,CC568,$BD$7:$BD$1843,BD568,$BT$7:$BT$1843,"&lt;="&amp;BT568),"")</f>
        <v>437.523351648352</v>
      </c>
      <c r="BF568" s="58" t="n">
        <f aca="false">IF(BE568="",0,MAX(0,MIN(1,(IF(CC568="L1",Parameter!$H$5,IF(CC568="L23",Parameter!$H$6+Parameter!$H$7,Parameter!$H$5+Parameter!$H$6+Parameter!$H$7))-(BE568-BA568))/BA568)))</f>
        <v>1</v>
      </c>
      <c r="BG568" s="48" t="str">
        <f aca="false">IF(AI568&lt;=0,"",IF(CC568="Aussen","Aussenlager",IF(CC568="-","Nicht im Lift",IF(AN568&gt;=1,"Lift",IF(AN568&lt;=0,"Aussenlager","teilweise")))))</f>
        <v>Lift</v>
      </c>
      <c r="BH568" s="48" t="str">
        <f aca="false">IF(AR568&lt;=0,"",IF(CC568="Aussen","Aussenlager",IF(CC568="-","Nicht im Lift",IF(AW568&gt;=1,"Lift",IF(AW568&lt;=0,"Aussenlager","teilweise")))))</f>
        <v>Lift</v>
      </c>
      <c r="BI568" s="48" t="str">
        <f aca="false">IF(BA568&lt;=0,"",IF(CC568="Aussen","Aussenlager",IF(CC568="-","Nicht im Lift",IF(BF568&gt;=1,"Lift",IF(BF568&lt;=0,"Aussenlager","teilweise")))))</f>
        <v>Lift</v>
      </c>
      <c r="BJ568" s="48" t="str">
        <f aca="false">IF(A568="","",IF(BS568=1,"Neu; ","")&amp;IF(AND(BS568=0,BN568&lt;0),"negativer Bestand (Export "&amp;BN568&amp;"); ","")&amp;IF(J568&lt;=0,"Kein Verbrauch; ","")&amp;IF(CL568&gt;0,"Lift "&amp;W568&amp;" lt. Liftbericht (Fach "&amp;X568&amp;" Stk); ",IF(BX568=1,"Gebinde geschätzt ("&amp;T568&amp;"); ",IF(BW568=1,"Lose – Tablare geschätzt; ","")))&amp;IF(H568&gt;AT568,"Überbestand "&amp;ROUND(H568-AT568,0)&amp;" Stk / CHF "&amp;ROUND((H568-AT568)*G568,0)&amp;"; ","")&amp;IF(AND(CE568=1,CF568&lt;CG568),"MAX &lt; MB+LG; ","")&amp;IF(AND(CK568&gt;0,CJ568*10&gt;CK568),"zu hoch für Tablar; ","")&amp;IF(AND(BS568=0,OR(CE568=1,AA568&lt;&gt;"",U568&lt;&gt;"",V568&lt;&gt;"",AB568&lt;&gt;"")),"manuell übersteuert; ","")&amp;IF(AND(BW568=0,R568=0),"Gebinde unbekannt / Stellmass fehlt; ","")&amp;IF(AND(BW568=0,N(V568)&lt;=0,N(Q568)&lt;=0),"Menge pro Gebinde fehlt (Ist = 1 Gebinde); ","")&amp;BR568)</f>
        <v/>
      </c>
      <c r="BK568" s="48"/>
      <c r="BL568" s="48"/>
      <c r="BM568" s="55"/>
      <c r="BN568" s="50" t="n">
        <v>92</v>
      </c>
      <c r="BO568" s="50" t="n">
        <v>143</v>
      </c>
      <c r="BP568" s="49" t="n">
        <v>12.88</v>
      </c>
      <c r="BQ568" s="50" t="n">
        <v>222</v>
      </c>
      <c r="BR568" s="48"/>
      <c r="BS568" s="53" t="n">
        <v>0</v>
      </c>
      <c r="BT568" s="53" t="n">
        <v>568</v>
      </c>
      <c r="BU568" s="48" t="str">
        <f aca="false">IF(U568&lt;&gt;"",UPPER(TRIM(U568)),IF(BX568=1,UPPER(VLOOKUP(T568,Parameter!$I$27:$K$29,2,0)),IF(P568="","LOSE",P568)))</f>
        <v>S21</v>
      </c>
      <c r="BV568" s="50" t="n">
        <f aca="false">IF(BU568="LOSE",1,IF(N(V568)&gt;0,V568,IF(BX568=1,MAX(1,N(VLOOKUP(T568,Parameter!$I$27:$K$29,3,0)),H568,N(N568)),IF(N(Q568)&gt;0,Q568,MAX(1,H568)))))</f>
        <v>210</v>
      </c>
      <c r="BW568" s="53" t="n">
        <f aca="false">IF(BU568="LOSE",1,0)</f>
        <v>0</v>
      </c>
      <c r="BX568" s="53" t="n">
        <f aca="false">IF(AND(U568="",OR(P568="",P568="LOSE"),T568&lt;&gt;"",N(S568)&lt;=0,ISNUMBER(MATCH(T568,Parameter!$I$27:$I$29,0))),1,0)</f>
        <v>0</v>
      </c>
      <c r="BY568" s="53" t="n">
        <f aca="false">IF(CL568&gt;0,INDEX(Parameter!$H$5:$H$7,W568)/INDEX(Parameter!$E$5:$E$7,W568),IF(AND(BW568=0,N(IFERROR(VLOOKUP(BU568,'Gebinde-Kategorie'!$A$5:$N$45,14,0),0))&gt;0),VLOOKUP(BU568,'Gebinde-Kategorie'!$A$5:$N$45,14,0)*10+Parameter!$M$23,Parameter!$M$24))</f>
        <v>155</v>
      </c>
      <c r="BZ568" s="48" t="str">
        <f aca="false">IF(AND(Parameter!$B$19="Ja",E568&lt;&gt;"",ISNUMBER(MATCH(E568,Parameter!$I$35:$I$52,0))),VLOOKUP(E568,Parameter!$I$35:$J$52,2,0),IFERROR(VLOOKUP(D568,Parameter!$A$35:$C$64,2,0),"Nein"))</f>
        <v>2+3</v>
      </c>
      <c r="CA568" s="52" t="n">
        <f aca="false">IF(BW568=0,0,IF(N(S568)&gt;0,S568,IFERROR(VLOOKUP(D568,Parameter!$A$35:$C$64,3,0)+0,0)))</f>
        <v>0</v>
      </c>
      <c r="CB568" s="48" t="n">
        <f aca="false">IF(AA568&lt;&gt;"",AA568,Z568)</f>
        <v>3</v>
      </c>
      <c r="CC568" s="48" t="str">
        <f aca="false">IF(OR(CB568=1,CB568=2,CB568=3),IF(Parameter!$E$27="Ja","LIFT",IF(CB568=1,"L1","L23")),IF(CB568="Aussen","Aussen","-"))</f>
        <v>LIFT</v>
      </c>
      <c r="CD568" s="59" t="n">
        <f aca="false">IF(N(AB568)&gt;0,AB568,0)</f>
        <v>0</v>
      </c>
      <c r="CE568" s="53" t="n">
        <f aca="false">IF(ISNUMBER(AE568),1,0)</f>
        <v>0</v>
      </c>
      <c r="CF568" s="50" t="n">
        <f aca="false">N(AE568)</f>
        <v>0</v>
      </c>
      <c r="CG568" s="50" t="n">
        <f aca="false">N(M568)+N(N568)</f>
        <v>228</v>
      </c>
      <c r="CH568" s="50" t="n">
        <f aca="false">ROUNDUP(H568/BV568,0)</f>
        <v>2</v>
      </c>
      <c r="CI568" s="50" t="n">
        <f aca="false">ROUNDUP(CF568/BV568,0)</f>
        <v>0</v>
      </c>
      <c r="CJ568" s="53" t="n">
        <f aca="false">IF(BW568=1,0,IFERROR(VLOOKUP(BU568,'Gebinde-Kategorie'!$A$5:$N$45,5,0)+0,0))</f>
        <v>8</v>
      </c>
      <c r="CK568" s="53" t="n">
        <f aca="false">IFERROR(IF(OR(CB568=1,CB568=2,CB568=3),N(INDEX(Parameter!$I$5:$I$7,CB568)),0),0)</f>
        <v>0</v>
      </c>
      <c r="CL568" s="52" t="n">
        <f aca="false">IF(AND(Parameter!$B$21="Ja",ISNUMBER(W568),N(X568)&gt;0),IFERROR(N(INDEX(Parameter!$L$5:$L$7,W568))*INDEX(Parameter!$E$5:$E$7,W568)*X568/SUMIFS($X$7:$X$1843,$W$7:$W$1843,W568),0),0)</f>
        <v>0</v>
      </c>
    </row>
    <row r="569" customFormat="false" ht="15" hidden="false" customHeight="false" outlineLevel="0" collapsed="false">
      <c r="A569" s="48" t="s">
        <v>1205</v>
      </c>
      <c r="B569" s="48" t="s">
        <v>595</v>
      </c>
      <c r="C569" s="48" t="s">
        <v>168</v>
      </c>
      <c r="D569" s="48" t="s">
        <v>188</v>
      </c>
      <c r="E569" s="48" t="s">
        <v>189</v>
      </c>
      <c r="F569" s="48" t="s">
        <v>222</v>
      </c>
      <c r="G569" s="49" t="n">
        <v>27.68</v>
      </c>
      <c r="H569" s="50" t="n">
        <f aca="false">MAX(0,IF(AND(Parameter!$B$21="Ja",ISNUMBER(Y569)),Y569,IF(Parameter!$B$20="Jahresanfang 2025 + Export",BO569+BN569,BN569)))</f>
        <v>83</v>
      </c>
      <c r="I569" s="50" t="n">
        <f aca="false">H569*G569</f>
        <v>2297.44</v>
      </c>
      <c r="J569" s="50" t="n">
        <f aca="false">BQ569*Parameter!$B$18</f>
        <v>13</v>
      </c>
      <c r="K569" s="51" t="n">
        <v>88.5</v>
      </c>
      <c r="L569" s="52" t="n">
        <v>0.146892655367232</v>
      </c>
      <c r="M569" s="50" t="n">
        <v>2</v>
      </c>
      <c r="N569" s="50" t="n">
        <v>30</v>
      </c>
      <c r="O569" s="53" t="n">
        <v>21</v>
      </c>
      <c r="P569" s="48" t="s">
        <v>306</v>
      </c>
      <c r="Q569" s="50" t="n">
        <v>75</v>
      </c>
      <c r="R569" s="53" t="n">
        <f aca="false">IF(BW569=1,0,IFERROR(VLOOKUP(BU569,'Gebinde-Kategorie'!$A$5:$N$45,13,0)+0,0))</f>
        <v>26</v>
      </c>
      <c r="S569" s="54"/>
      <c r="T569" s="55"/>
      <c r="U569" s="55"/>
      <c r="V569" s="55"/>
      <c r="W569" s="48"/>
      <c r="X569" s="50"/>
      <c r="Y569" s="50"/>
      <c r="Z569" s="48" t="n">
        <f aca="false">IF(A569="","",IF(AND(Parameter!$B$21="Ja",ISNUMBER(W569)),W569,IF(BZ569="2+3",IF(ISNUMBER(SEARCH("grosser Artikel",BR569)),2,IFERROR(VLOOKUP(BU569,Parameter!$F$35:$G$64,2,0),2)),IF(OR(BZ569="Nein",BZ569=""),"-",BZ569))))</f>
        <v>3</v>
      </c>
      <c r="AA569" s="55"/>
      <c r="AB569" s="56"/>
      <c r="AC569" s="50" t="n">
        <f aca="false">AT569</f>
        <v>75</v>
      </c>
      <c r="AD569" s="50" t="n">
        <f aca="false">MAX(AT569,H569)</f>
        <v>83</v>
      </c>
      <c r="AE569" s="57"/>
      <c r="AF569" s="50" t="n">
        <f aca="false">IF(LEFT(Cockpit!$C$5,1)="A",H569,IF(CE569=1,CF569,IF(LEFT(Cockpit!$C$5,1)="B",AK569,MAX(AK569,H569))))</f>
        <v>83</v>
      </c>
      <c r="AG569" s="50" t="n">
        <f aca="false">IF(BW569=1,0,ROUNDUP(AF569/BV569,0))</f>
        <v>2</v>
      </c>
      <c r="AH569" s="52" t="n">
        <f aca="false">IF(CL569&gt;0,CL569*MAX(1,AF569/X569),IF(BW569=1,IF(AF569&lt;=0,0,CA569*MAX(1,IF(H569&gt;0,AF569/H569,1))),IF(R569&gt;0,AG569/R569,0))/MAX(0.1,N(Parameter!$M$21)))</f>
        <v>0.0769230769230769</v>
      </c>
      <c r="AI569" s="50" t="n">
        <f aca="false">AH569*BY569</f>
        <v>11.9230769230769</v>
      </c>
      <c r="AJ569" s="50" t="n">
        <f aca="false">AF569*G569</f>
        <v>2297.44</v>
      </c>
      <c r="AK569" s="50" t="n">
        <f aca="false">ROUNDUP(MAX(J569/IF(CD569&gt;0,CD569,MAX(0.1,N(Cockpit!$C$6))),CG569)/BV569,0)*BV569</f>
        <v>75</v>
      </c>
      <c r="AL569" s="51" t="n">
        <f aca="false">IF(AI569&gt;0,J569/AI569,-1)</f>
        <v>1.09032258064516</v>
      </c>
      <c r="AM569" s="51" t="n">
        <f aca="false">IF(AND(OR(CC569="L1",CC569="L23",CC569="LIFT"),AI569&gt;0),SUMIFS($AI$7:$AI$1843,$CC$7:$CC$1843,CC569,$AL$7:$AL$1843,"&gt;"&amp;AL569)+SUMIFS($AI$7:$AI$1843,$CC$7:$CC$1843,CC569,$AL$7:$AL$1843,AL569,$BT$7:$BT$1843,"&lt;="&amp;BT569),"")</f>
        <v>6853.96840659341</v>
      </c>
      <c r="AN569" s="58" t="n">
        <f aca="false">IF(AM569="",0,MAX(0,MIN(1,(IF(CC569="L1",Parameter!$H$5,IF(CC569="L23",Parameter!$H$6+Parameter!$H$7,Parameter!$H$5+Parameter!$H$6+Parameter!$H$7))-(AM569-AI569))/AI569)))</f>
        <v>1</v>
      </c>
      <c r="AO569" s="50" t="n">
        <f aca="false">IF(LEFT(Cockpit!$I$5,1)="A",H569,IF(CE569=1,CF569,IF(LEFT(Cockpit!$I$5,1)="B",AT569,MAX(AT569,H569))))</f>
        <v>83</v>
      </c>
      <c r="AP569" s="50" t="n">
        <f aca="false">IF(BW569=1,0,ROUNDUP(AO569/BV569,0))</f>
        <v>2</v>
      </c>
      <c r="AQ569" s="52" t="n">
        <f aca="false">IF(CL569&gt;0,CL569*MAX(1,AO569/X569),IF(BW569=1,IF(AO569&lt;=0,0,CA569*MAX(1,IF(H569&gt;0,AO569/H569,1))),IF(R569&gt;0,AP569/R569,0))/MAX(0.1,N(Parameter!$M$21)))</f>
        <v>0.0769230769230769</v>
      </c>
      <c r="AR569" s="50" t="n">
        <f aca="false">AQ569*BY569</f>
        <v>11.9230769230769</v>
      </c>
      <c r="AS569" s="50" t="n">
        <f aca="false">AO569*G569</f>
        <v>2297.44</v>
      </c>
      <c r="AT569" s="50" t="n">
        <f aca="false">ROUNDUP(MAX(J569/IF(CD569&gt;0,CD569,MAX(0.1,N(Cockpit!$I$6))),CG569)/BV569,0)*BV569</f>
        <v>75</v>
      </c>
      <c r="AU569" s="51" t="n">
        <f aca="false">IF(AR569&gt;0,J569/AR569,-1)</f>
        <v>1.09032258064516</v>
      </c>
      <c r="AV569" s="51" t="n">
        <f aca="false">IF(AND(OR(CC569="L1",CC569="L23",CC569="LIFT"),AR569&gt;0),SUMIFS($AR$7:$AR$1843,$CC$7:$CC$1843,CC569,$AU$7:$AU$1843,"&gt;"&amp;AU569)+SUMIFS($AR$7:$AR$1843,$CC$7:$CC$1843,CC569,$AU$7:$AU$1843,AU569,$BT$7:$BT$1843,"&lt;="&amp;BT569),"")</f>
        <v>9942.72527472527</v>
      </c>
      <c r="AW569" s="58" t="n">
        <f aca="false">IF(AV569="",0,MAX(0,MIN(1,(IF(CC569="L1",Parameter!$H$5,IF(CC569="L23",Parameter!$H$6+Parameter!$H$7,Parameter!$H$5+Parameter!$H$6+Parameter!$H$7))-(AV569-AR569))/AR569)))</f>
        <v>1</v>
      </c>
      <c r="AX569" s="50" t="n">
        <f aca="false">IF(LEFT(Cockpit!$O$5,1)="A",H569,IF(CE569=1,CF569,IF(LEFT(Cockpit!$O$5,1)="B",BC569,MAX(BC569,H569))))</f>
        <v>83</v>
      </c>
      <c r="AY569" s="50" t="n">
        <f aca="false">IF(BW569=1,0,ROUNDUP(AX569/BV569,0))</f>
        <v>2</v>
      </c>
      <c r="AZ569" s="52" t="n">
        <f aca="false">IF(CL569&gt;0,CL569*MAX(1,AX569/X569),IF(BW569=1,IF(AX569&lt;=0,0,CA569*MAX(1,IF(H569&gt;0,AX569/H569,1))),IF(R569&gt;0,AY569/R569,0))/MAX(0.1,N(Parameter!$M$21)))</f>
        <v>0.0769230769230769</v>
      </c>
      <c r="BA569" s="50" t="n">
        <f aca="false">AZ569*BY569</f>
        <v>11.9230769230769</v>
      </c>
      <c r="BB569" s="50" t="n">
        <f aca="false">AX569*G569</f>
        <v>2297.44</v>
      </c>
      <c r="BC569" s="50" t="n">
        <f aca="false">ROUNDUP(MAX(J569/IF(CD569&gt;0,CD569,MAX(0.1,N(Cockpit!$O$6))),CG569)/BV569,0)*BV569</f>
        <v>75</v>
      </c>
      <c r="BD569" s="51" t="n">
        <f aca="false">IF(BA569&gt;0,J569/BA569,-1)</f>
        <v>1.09032258064516</v>
      </c>
      <c r="BE569" s="51" t="n">
        <f aca="false">IF(AND(OR(CC569="L1",CC569="L23",CC569="LIFT"),BA569&gt;0),SUMIFS($BA$7:$BA$1843,$CC$7:$CC$1843,CC569,$BD$7:$BD$1843,"&gt;"&amp;BD569)+SUMIFS($BA$7:$BA$1843,$CC$7:$CC$1843,CC569,$BD$7:$BD$1843,BD569,$BT$7:$BT$1843,"&lt;="&amp;BT569),"")</f>
        <v>8953.38232600733</v>
      </c>
      <c r="BF569" s="58" t="n">
        <f aca="false">IF(BE569="",0,MAX(0,MIN(1,(IF(CC569="L1",Parameter!$H$5,IF(CC569="L23",Parameter!$H$6+Parameter!$H$7,Parameter!$H$5+Parameter!$H$6+Parameter!$H$7))-(BE569-BA569))/BA569)))</f>
        <v>1</v>
      </c>
      <c r="BG569" s="48" t="str">
        <f aca="false">IF(AI569&lt;=0,"",IF(CC569="Aussen","Aussenlager",IF(CC569="-","Nicht im Lift",IF(AN569&gt;=1,"Lift",IF(AN569&lt;=0,"Aussenlager","teilweise")))))</f>
        <v>Lift</v>
      </c>
      <c r="BH569" s="48" t="str">
        <f aca="false">IF(AR569&lt;=0,"",IF(CC569="Aussen","Aussenlager",IF(CC569="-","Nicht im Lift",IF(AW569&gt;=1,"Lift",IF(AW569&lt;=0,"Aussenlager","teilweise")))))</f>
        <v>Lift</v>
      </c>
      <c r="BI569" s="48" t="str">
        <f aca="false">IF(BA569&lt;=0,"",IF(CC569="Aussen","Aussenlager",IF(CC569="-","Nicht im Lift",IF(BF569&gt;=1,"Lift",IF(BF569&lt;=0,"Aussenlager","teilweise")))))</f>
        <v>Lift</v>
      </c>
      <c r="BJ569" s="48" t="str">
        <f aca="false">IF(A569="","",IF(BS569=1,"Neu; ","")&amp;IF(AND(BS569=0,BN569&lt;0),"negativer Bestand (Export "&amp;BN569&amp;"); ","")&amp;IF(J569&lt;=0,"Kein Verbrauch; ","")&amp;IF(CL569&gt;0,"Lift "&amp;W569&amp;" lt. Liftbericht (Fach "&amp;X569&amp;" Stk); ",IF(BX569=1,"Gebinde geschätzt ("&amp;T569&amp;"); ",IF(BW569=1,"Lose – Tablare geschätzt; ","")))&amp;IF(H569&gt;AT569,"Überbestand "&amp;ROUND(H569-AT569,0)&amp;" Stk / CHF "&amp;ROUND((H569-AT569)*G569,0)&amp;"; ","")&amp;IF(AND(CE569=1,CF569&lt;CG569),"MAX &lt; MB+LG; ","")&amp;IF(AND(CK569&gt;0,CJ569*10&gt;CK569),"zu hoch für Tablar; ","")&amp;IF(AND(BS569=0,OR(CE569=1,AA569&lt;&gt;"",U569&lt;&gt;"",V569&lt;&gt;"",AB569&lt;&gt;"")),"manuell übersteuert; ","")&amp;IF(AND(BW569=0,R569=0),"Gebinde unbekannt / Stellmass fehlt; ","")&amp;IF(AND(BW569=0,N(V569)&lt;=0,N(Q569)&lt;=0),"Menge pro Gebinde fehlt (Ist = 1 Gebinde); ","")&amp;BR569)</f>
        <v>Überbestand 8 Stk / CHF 221; Neu</v>
      </c>
      <c r="BK569" s="48"/>
      <c r="BL569" s="48"/>
      <c r="BM569" s="55"/>
      <c r="BN569" s="50" t="n">
        <v>3</v>
      </c>
      <c r="BO569" s="50" t="n">
        <v>80</v>
      </c>
      <c r="BP569" s="49" t="n">
        <v>12.64</v>
      </c>
      <c r="BQ569" s="50" t="n">
        <v>13</v>
      </c>
      <c r="BR569" s="48" t="s">
        <v>630</v>
      </c>
      <c r="BS569" s="53" t="n">
        <v>0</v>
      </c>
      <c r="BT569" s="53" t="n">
        <v>569</v>
      </c>
      <c r="BU569" s="48" t="str">
        <f aca="false">IF(U569&lt;&gt;"",UPPER(TRIM(U569)),IF(BX569=1,UPPER(VLOOKUP(T569,Parameter!$I$27:$K$29,2,0)),IF(P569="","LOSE",P569)))</f>
        <v>S51</v>
      </c>
      <c r="BV569" s="50" t="n">
        <f aca="false">IF(BU569="LOSE",1,IF(N(V569)&gt;0,V569,IF(BX569=1,MAX(1,N(VLOOKUP(T569,Parameter!$I$27:$K$29,3,0)),H569,N(N569)),IF(N(Q569)&gt;0,Q569,MAX(1,H569)))))</f>
        <v>75</v>
      </c>
      <c r="BW569" s="53" t="n">
        <f aca="false">IF(BU569="LOSE",1,0)</f>
        <v>0</v>
      </c>
      <c r="BX569" s="53" t="n">
        <f aca="false">IF(AND(U569="",OR(P569="",P569="LOSE"),T569&lt;&gt;"",N(S569)&lt;=0,ISNUMBER(MATCH(T569,Parameter!$I$27:$I$29,0))),1,0)</f>
        <v>0</v>
      </c>
      <c r="BY569" s="53" t="n">
        <f aca="false">IF(CL569&gt;0,INDEX(Parameter!$H$5:$H$7,W569)/INDEX(Parameter!$E$5:$E$7,W569),IF(AND(BW569=0,N(IFERROR(VLOOKUP(BU569,'Gebinde-Kategorie'!$A$5:$N$45,14,0),0))&gt;0),VLOOKUP(BU569,'Gebinde-Kategorie'!$A$5:$N$45,14,0)*10+Parameter!$M$23,Parameter!$M$24))</f>
        <v>155</v>
      </c>
      <c r="BZ569" s="48" t="str">
        <f aca="false">IF(AND(Parameter!$B$19="Ja",E569&lt;&gt;"",ISNUMBER(MATCH(E569,Parameter!$I$35:$I$52,0))),VLOOKUP(E569,Parameter!$I$35:$J$52,2,0),IFERROR(VLOOKUP(D569,Parameter!$A$35:$C$64,2,0),"Nein"))</f>
        <v>2+3</v>
      </c>
      <c r="CA569" s="52" t="n">
        <f aca="false">IF(BW569=0,0,IF(N(S569)&gt;0,S569,IFERROR(VLOOKUP(D569,Parameter!$A$35:$C$64,3,0)+0,0)))</f>
        <v>0</v>
      </c>
      <c r="CB569" s="48" t="n">
        <f aca="false">IF(AA569&lt;&gt;"",AA569,Z569)</f>
        <v>3</v>
      </c>
      <c r="CC569" s="48" t="str">
        <f aca="false">IF(OR(CB569=1,CB569=2,CB569=3),IF(Parameter!$E$27="Ja","LIFT",IF(CB569=1,"L1","L23")),IF(CB569="Aussen","Aussen","-"))</f>
        <v>LIFT</v>
      </c>
      <c r="CD569" s="59" t="n">
        <f aca="false">IF(N(AB569)&gt;0,AB569,0)</f>
        <v>0</v>
      </c>
      <c r="CE569" s="53" t="n">
        <f aca="false">IF(ISNUMBER(AE569),1,0)</f>
        <v>0</v>
      </c>
      <c r="CF569" s="50" t="n">
        <f aca="false">N(AE569)</f>
        <v>0</v>
      </c>
      <c r="CG569" s="50" t="n">
        <f aca="false">N(M569)+N(N569)</f>
        <v>32</v>
      </c>
      <c r="CH569" s="50" t="n">
        <f aca="false">ROUNDUP(H569/BV569,0)</f>
        <v>2</v>
      </c>
      <c r="CI569" s="50" t="n">
        <f aca="false">ROUNDUP(CF569/BV569,0)</f>
        <v>0</v>
      </c>
      <c r="CJ569" s="53" t="n">
        <f aca="false">IF(BW569=1,0,IFERROR(VLOOKUP(BU569,'Gebinde-Kategorie'!$A$5:$N$45,5,0)+0,0))</f>
        <v>11</v>
      </c>
      <c r="CK569" s="53" t="n">
        <f aca="false">IFERROR(IF(OR(CB569=1,CB569=2,CB569=3),N(INDEX(Parameter!$I$5:$I$7,CB569)),0),0)</f>
        <v>0</v>
      </c>
      <c r="CL569" s="52" t="n">
        <f aca="false">IF(AND(Parameter!$B$21="Ja",ISNUMBER(W569),N(X569)&gt;0),IFERROR(N(INDEX(Parameter!$L$5:$L$7,W569))*INDEX(Parameter!$E$5:$E$7,W569)*X569/SUMIFS($X$7:$X$1843,$W$7:$W$1843,W569),0),0)</f>
        <v>0</v>
      </c>
    </row>
    <row r="570" customFormat="false" ht="15" hidden="false" customHeight="false" outlineLevel="0" collapsed="false">
      <c r="A570" s="48" t="s">
        <v>1206</v>
      </c>
      <c r="B570" s="48" t="s">
        <v>409</v>
      </c>
      <c r="C570" s="48" t="s">
        <v>168</v>
      </c>
      <c r="D570" s="48" t="s">
        <v>188</v>
      </c>
      <c r="E570" s="48" t="s">
        <v>189</v>
      </c>
      <c r="F570" s="48" t="s">
        <v>222</v>
      </c>
      <c r="G570" s="49" t="n">
        <v>0.11</v>
      </c>
      <c r="H570" s="50" t="n">
        <f aca="false">MAX(0,IF(AND(Parameter!$B$21="Ja",ISNUMBER(Y570)),Y570,IF(Parameter!$B$20="Jahresanfang 2025 + Export",BO570+BN570,BN570)))</f>
        <v>194</v>
      </c>
      <c r="I570" s="50" t="n">
        <f aca="false">H570*G570</f>
        <v>21.34</v>
      </c>
      <c r="J570" s="50" t="n">
        <f aca="false">BQ570*Parameter!$B$18</f>
        <v>198</v>
      </c>
      <c r="K570" s="51" t="n">
        <v>164</v>
      </c>
      <c r="L570" s="52" t="n">
        <v>1.20731707317073</v>
      </c>
      <c r="M570" s="50" t="n">
        <v>11</v>
      </c>
      <c r="N570" s="50" t="n">
        <v>200</v>
      </c>
      <c r="O570" s="53" t="n">
        <v>21</v>
      </c>
      <c r="P570" s="48" t="s">
        <v>425</v>
      </c>
      <c r="Q570" s="50" t="n">
        <v>304</v>
      </c>
      <c r="R570" s="53" t="n">
        <f aca="false">IF(BW570=1,0,IFERROR(VLOOKUP(BU570,'Gebinde-Kategorie'!$A$5:$N$45,13,0)+0,0))</f>
        <v>104</v>
      </c>
      <c r="S570" s="54"/>
      <c r="T570" s="55"/>
      <c r="U570" s="55"/>
      <c r="V570" s="55"/>
      <c r="W570" s="48"/>
      <c r="X570" s="50"/>
      <c r="Y570" s="50"/>
      <c r="Z570" s="48" t="n">
        <f aca="false">IF(A570="","",IF(AND(Parameter!$B$21="Ja",ISNUMBER(W570)),W570,IF(BZ570="2+3",IF(ISNUMBER(SEARCH("grosser Artikel",BR570)),2,IFERROR(VLOOKUP(BU570,Parameter!$F$35:$G$64,2,0),2)),IF(OR(BZ570="Nein",BZ570=""),"-",BZ570))))</f>
        <v>3</v>
      </c>
      <c r="AA570" s="55"/>
      <c r="AB570" s="56"/>
      <c r="AC570" s="50" t="n">
        <f aca="false">AT570</f>
        <v>304</v>
      </c>
      <c r="AD570" s="50" t="n">
        <f aca="false">MAX(AT570,H570)</f>
        <v>304</v>
      </c>
      <c r="AE570" s="57"/>
      <c r="AF570" s="50" t="n">
        <f aca="false">IF(LEFT(Cockpit!$C$5,1)="A",H570,IF(CE570=1,CF570,IF(LEFT(Cockpit!$C$5,1)="B",AK570,MAX(AK570,H570))))</f>
        <v>194</v>
      </c>
      <c r="AG570" s="50" t="n">
        <f aca="false">IF(BW570=1,0,ROUNDUP(AF570/BV570,0))</f>
        <v>1</v>
      </c>
      <c r="AH570" s="52" t="n">
        <f aca="false">IF(CL570&gt;0,CL570*MAX(1,AF570/X570),IF(BW570=1,IF(AF570&lt;=0,0,CA570*MAX(1,IF(H570&gt;0,AF570/H570,1))),IF(R570&gt;0,AG570/R570,0))/MAX(0.1,N(Parameter!$M$21)))</f>
        <v>0.00961538461538462</v>
      </c>
      <c r="AI570" s="50" t="n">
        <f aca="false">AH570*BY570</f>
        <v>1.49038461538462</v>
      </c>
      <c r="AJ570" s="50" t="n">
        <f aca="false">AF570*G570</f>
        <v>21.34</v>
      </c>
      <c r="AK570" s="50" t="n">
        <f aca="false">ROUNDUP(MAX(J570/IF(CD570&gt;0,CD570,MAX(0.1,N(Cockpit!$C$6))),CG570)/BV570,0)*BV570</f>
        <v>304</v>
      </c>
      <c r="AL570" s="51" t="n">
        <f aca="false">IF(AI570&gt;0,J570/AI570,-1)</f>
        <v>132.851612903226</v>
      </c>
      <c r="AM570" s="51" t="n">
        <f aca="false">IF(AND(OR(CC570="L1",CC570="L23",CC570="LIFT"),AI570&gt;0),SUMIFS($AI$7:$AI$1843,$CC$7:$CC$1843,CC570,$AL$7:$AL$1843,"&gt;"&amp;AL570)+SUMIFS($AI$7:$AI$1843,$CC$7:$CC$1843,CC570,$AL$7:$AL$1843,AL570,$BT$7:$BT$1843,"&lt;="&amp;BT570),"")</f>
        <v>545.817765567766</v>
      </c>
      <c r="AN570" s="58" t="n">
        <f aca="false">IF(AM570="",0,MAX(0,MIN(1,(IF(CC570="L1",Parameter!$H$5,IF(CC570="L23",Parameter!$H$6+Parameter!$H$7,Parameter!$H$5+Parameter!$H$6+Parameter!$H$7))-(AM570-AI570))/AI570)))</f>
        <v>1</v>
      </c>
      <c r="AO570" s="50" t="n">
        <f aca="false">IF(LEFT(Cockpit!$I$5,1)="A",H570,IF(CE570=1,CF570,IF(LEFT(Cockpit!$I$5,1)="B",AT570,MAX(AT570,H570))))</f>
        <v>304</v>
      </c>
      <c r="AP570" s="50" t="n">
        <f aca="false">IF(BW570=1,0,ROUNDUP(AO570/BV570,0))</f>
        <v>1</v>
      </c>
      <c r="AQ570" s="52" t="n">
        <f aca="false">IF(CL570&gt;0,CL570*MAX(1,AO570/X570),IF(BW570=1,IF(AO570&lt;=0,0,CA570*MAX(1,IF(H570&gt;0,AO570/H570,1))),IF(R570&gt;0,AP570/R570,0))/MAX(0.1,N(Parameter!$M$21)))</f>
        <v>0.00961538461538462</v>
      </c>
      <c r="AR570" s="50" t="n">
        <f aca="false">AQ570*BY570</f>
        <v>1.49038461538462</v>
      </c>
      <c r="AS570" s="50" t="n">
        <f aca="false">AO570*G570</f>
        <v>33.44</v>
      </c>
      <c r="AT570" s="50" t="n">
        <f aca="false">ROUNDUP(MAX(J570/IF(CD570&gt;0,CD570,MAX(0.1,N(Cockpit!$I$6))),CG570)/BV570,0)*BV570</f>
        <v>304</v>
      </c>
      <c r="AU570" s="51" t="n">
        <f aca="false">IF(AR570&gt;0,J570/AR570,-1)</f>
        <v>132.851612903226</v>
      </c>
      <c r="AV570" s="51" t="n">
        <f aca="false">IF(AND(OR(CC570="L1",CC570="L23",CC570="LIFT"),AR570&gt;0),SUMIFS($AR$7:$AR$1843,$CC$7:$CC$1843,CC570,$AU$7:$AU$1843,"&gt;"&amp;AU570)+SUMIFS($AR$7:$AR$1843,$CC$7:$CC$1843,CC570,$AU$7:$AU$1843,AU570,$BT$7:$BT$1843,"&lt;="&amp;BT570),"")</f>
        <v>705.942765567766</v>
      </c>
      <c r="AW570" s="58" t="n">
        <f aca="false">IF(AV570="",0,MAX(0,MIN(1,(IF(CC570="L1",Parameter!$H$5,IF(CC570="L23",Parameter!$H$6+Parameter!$H$7,Parameter!$H$5+Parameter!$H$6+Parameter!$H$7))-(AV570-AR570))/AR570)))</f>
        <v>1</v>
      </c>
      <c r="AX570" s="50" t="n">
        <f aca="false">IF(LEFT(Cockpit!$O$5,1)="A",H570,IF(CE570=1,CF570,IF(LEFT(Cockpit!$O$5,1)="B",BC570,MAX(BC570,H570))))</f>
        <v>304</v>
      </c>
      <c r="AY570" s="50" t="n">
        <f aca="false">IF(BW570=1,0,ROUNDUP(AX570/BV570,0))</f>
        <v>1</v>
      </c>
      <c r="AZ570" s="52" t="n">
        <f aca="false">IF(CL570&gt;0,CL570*MAX(1,AX570/X570),IF(BW570=1,IF(AX570&lt;=0,0,CA570*MAX(1,IF(H570&gt;0,AX570/H570,1))),IF(R570&gt;0,AY570/R570,0))/MAX(0.1,N(Parameter!$M$21)))</f>
        <v>0.00961538461538462</v>
      </c>
      <c r="BA570" s="50" t="n">
        <f aca="false">AZ570*BY570</f>
        <v>1.49038461538462</v>
      </c>
      <c r="BB570" s="50" t="n">
        <f aca="false">AX570*G570</f>
        <v>33.44</v>
      </c>
      <c r="BC570" s="50" t="n">
        <f aca="false">ROUNDUP(MAX(J570/IF(CD570&gt;0,CD570,MAX(0.1,N(Cockpit!$O$6))),CG570)/BV570,0)*BV570</f>
        <v>304</v>
      </c>
      <c r="BD570" s="51" t="n">
        <f aca="false">IF(BA570&gt;0,J570/BA570,-1)</f>
        <v>132.851612903226</v>
      </c>
      <c r="BE570" s="51" t="n">
        <f aca="false">IF(AND(OR(CC570="L1",CC570="L23",CC570="LIFT"),BA570&gt;0),SUMIFS($BA$7:$BA$1843,$CC$7:$CC$1843,CC570,$BD$7:$BD$1843,"&gt;"&amp;BD570)+SUMIFS($BA$7:$BA$1843,$CC$7:$CC$1843,CC570,$BD$7:$BD$1843,BD570,$BT$7:$BT$1843,"&lt;="&amp;BT570),"")</f>
        <v>650.381868131868</v>
      </c>
      <c r="BF570" s="58" t="n">
        <f aca="false">IF(BE570="",0,MAX(0,MIN(1,(IF(CC570="L1",Parameter!$H$5,IF(CC570="L23",Parameter!$H$6+Parameter!$H$7,Parameter!$H$5+Parameter!$H$6+Parameter!$H$7))-(BE570-BA570))/BA570)))</f>
        <v>1</v>
      </c>
      <c r="BG570" s="48" t="str">
        <f aca="false">IF(AI570&lt;=0,"",IF(CC570="Aussen","Aussenlager",IF(CC570="-","Nicht im Lift",IF(AN570&gt;=1,"Lift",IF(AN570&lt;=0,"Aussenlager","teilweise")))))</f>
        <v>Lift</v>
      </c>
      <c r="BH570" s="48" t="str">
        <f aca="false">IF(AR570&lt;=0,"",IF(CC570="Aussen","Aussenlager",IF(CC570="-","Nicht im Lift",IF(AW570&gt;=1,"Lift",IF(AW570&lt;=0,"Aussenlager","teilweise")))))</f>
        <v>Lift</v>
      </c>
      <c r="BI570" s="48" t="str">
        <f aca="false">IF(BA570&lt;=0,"",IF(CC570="Aussen","Aussenlager",IF(CC570="-","Nicht im Lift",IF(BF570&gt;=1,"Lift",IF(BF570&lt;=0,"Aussenlager","teilweise")))))</f>
        <v>Lift</v>
      </c>
      <c r="BJ570" s="48" t="str">
        <f aca="false">IF(A570="","",IF(BS570=1,"Neu; ","")&amp;IF(AND(BS570=0,BN570&lt;0),"negativer Bestand (Export "&amp;BN570&amp;"); ","")&amp;IF(J570&lt;=0,"Kein Verbrauch; ","")&amp;IF(CL570&gt;0,"Lift "&amp;W570&amp;" lt. Liftbericht (Fach "&amp;X570&amp;" Stk); ",IF(BX570=1,"Gebinde geschätzt ("&amp;T570&amp;"); ",IF(BW570=1,"Lose – Tablare geschätzt; ","")))&amp;IF(H570&gt;AT570,"Überbestand "&amp;ROUND(H570-AT570,0)&amp;" Stk / CHF "&amp;ROUND((H570-AT570)*G570,0)&amp;"; ","")&amp;IF(AND(CE570=1,CF570&lt;CG570),"MAX &lt; MB+LG; ","")&amp;IF(AND(CK570&gt;0,CJ570*10&gt;CK570),"zu hoch für Tablar; ","")&amp;IF(AND(BS570=0,OR(CE570=1,AA570&lt;&gt;"",U570&lt;&gt;"",V570&lt;&gt;"",AB570&lt;&gt;"")),"manuell übersteuert; ","")&amp;IF(AND(BW570=0,R570=0),"Gebinde unbekannt / Stellmass fehlt; ","")&amp;IF(AND(BW570=0,N(V570)&lt;=0,N(Q570)&lt;=0),"Menge pro Gebinde fehlt (Ist = 1 Gebinde); ","")&amp;BR570)</f>
        <v/>
      </c>
      <c r="BK570" s="48"/>
      <c r="BL570" s="48"/>
      <c r="BM570" s="55"/>
      <c r="BN570" s="50" t="n">
        <v>34</v>
      </c>
      <c r="BO570" s="50" t="n">
        <v>160</v>
      </c>
      <c r="BP570" s="49" t="n">
        <v>11.74</v>
      </c>
      <c r="BQ570" s="50" t="n">
        <v>198</v>
      </c>
      <c r="BR570" s="48"/>
      <c r="BS570" s="53" t="n">
        <v>0</v>
      </c>
      <c r="BT570" s="53" t="n">
        <v>570</v>
      </c>
      <c r="BU570" s="48" t="str">
        <f aca="false">IF(U570&lt;&gt;"",UPPER(TRIM(U570)),IF(BX570=1,UPPER(VLOOKUP(T570,Parameter!$I$27:$K$29,2,0)),IF(P570="","LOSE",P570)))</f>
        <v>S32</v>
      </c>
      <c r="BV570" s="50" t="n">
        <f aca="false">IF(BU570="LOSE",1,IF(N(V570)&gt;0,V570,IF(BX570=1,MAX(1,N(VLOOKUP(T570,Parameter!$I$27:$K$29,3,0)),H570,N(N570)),IF(N(Q570)&gt;0,Q570,MAX(1,H570)))))</f>
        <v>304</v>
      </c>
      <c r="BW570" s="53" t="n">
        <f aca="false">IF(BU570="LOSE",1,0)</f>
        <v>0</v>
      </c>
      <c r="BX570" s="53" t="n">
        <f aca="false">IF(AND(U570="",OR(P570="",P570="LOSE"),T570&lt;&gt;"",N(S570)&lt;=0,ISNUMBER(MATCH(T570,Parameter!$I$27:$I$29,0))),1,0)</f>
        <v>0</v>
      </c>
      <c r="BY570" s="53" t="n">
        <f aca="false">IF(CL570&gt;0,INDEX(Parameter!$H$5:$H$7,W570)/INDEX(Parameter!$E$5:$E$7,W570),IF(AND(BW570=0,N(IFERROR(VLOOKUP(BU570,'Gebinde-Kategorie'!$A$5:$N$45,14,0),0))&gt;0),VLOOKUP(BU570,'Gebinde-Kategorie'!$A$5:$N$45,14,0)*10+Parameter!$M$23,Parameter!$M$24))</f>
        <v>155</v>
      </c>
      <c r="BZ570" s="48" t="str">
        <f aca="false">IF(AND(Parameter!$B$19="Ja",E570&lt;&gt;"",ISNUMBER(MATCH(E570,Parameter!$I$35:$I$52,0))),VLOOKUP(E570,Parameter!$I$35:$J$52,2,0),IFERROR(VLOOKUP(D570,Parameter!$A$35:$C$64,2,0),"Nein"))</f>
        <v>2+3</v>
      </c>
      <c r="CA570" s="52" t="n">
        <f aca="false">IF(BW570=0,0,IF(N(S570)&gt;0,S570,IFERROR(VLOOKUP(D570,Parameter!$A$35:$C$64,3,0)+0,0)))</f>
        <v>0</v>
      </c>
      <c r="CB570" s="48" t="n">
        <f aca="false">IF(AA570&lt;&gt;"",AA570,Z570)</f>
        <v>3</v>
      </c>
      <c r="CC570" s="48" t="str">
        <f aca="false">IF(OR(CB570=1,CB570=2,CB570=3),IF(Parameter!$E$27="Ja","LIFT",IF(CB570=1,"L1","L23")),IF(CB570="Aussen","Aussen","-"))</f>
        <v>LIFT</v>
      </c>
      <c r="CD570" s="59" t="n">
        <f aca="false">IF(N(AB570)&gt;0,AB570,0)</f>
        <v>0</v>
      </c>
      <c r="CE570" s="53" t="n">
        <f aca="false">IF(ISNUMBER(AE570),1,0)</f>
        <v>0</v>
      </c>
      <c r="CF570" s="50" t="n">
        <f aca="false">N(AE570)</f>
        <v>0</v>
      </c>
      <c r="CG570" s="50" t="n">
        <f aca="false">N(M570)+N(N570)</f>
        <v>211</v>
      </c>
      <c r="CH570" s="50" t="n">
        <f aca="false">ROUNDUP(H570/BV570,0)</f>
        <v>1</v>
      </c>
      <c r="CI570" s="50" t="n">
        <f aca="false">ROUNDUP(CF570/BV570,0)</f>
        <v>0</v>
      </c>
      <c r="CJ570" s="53" t="n">
        <f aca="false">IF(BW570=1,0,IFERROR(VLOOKUP(BU570,'Gebinde-Kategorie'!$A$5:$N$45,5,0)+0,0))</f>
        <v>8</v>
      </c>
      <c r="CK570" s="53" t="n">
        <f aca="false">IFERROR(IF(OR(CB570=1,CB570=2,CB570=3),N(INDEX(Parameter!$I$5:$I$7,CB570)),0),0)</f>
        <v>0</v>
      </c>
      <c r="CL570" s="52" t="n">
        <f aca="false">IF(AND(Parameter!$B$21="Ja",ISNUMBER(W570),N(X570)&gt;0),IFERROR(N(INDEX(Parameter!$L$5:$L$7,W570))*INDEX(Parameter!$E$5:$E$7,W570)*X570/SUMIFS($X$7:$X$1843,$W$7:$W$1843,W570),0),0)</f>
        <v>0</v>
      </c>
    </row>
    <row r="571" customFormat="false" ht="15" hidden="false" customHeight="false" outlineLevel="0" collapsed="false">
      <c r="A571" s="48" t="s">
        <v>1207</v>
      </c>
      <c r="B571" s="48" t="s">
        <v>409</v>
      </c>
      <c r="C571" s="48" t="s">
        <v>168</v>
      </c>
      <c r="D571" s="48" t="s">
        <v>188</v>
      </c>
      <c r="E571" s="48" t="s">
        <v>189</v>
      </c>
      <c r="F571" s="48" t="s">
        <v>222</v>
      </c>
      <c r="G571" s="49" t="n">
        <v>0.15</v>
      </c>
      <c r="H571" s="50" t="n">
        <f aca="false">MAX(0,IF(AND(Parameter!$B$21="Ja",ISNUMBER(Y571)),Y571,IF(Parameter!$B$20="Jahresanfang 2025 + Export",BO571+BN571,BN571)))</f>
        <v>378</v>
      </c>
      <c r="I571" s="50" t="n">
        <f aca="false">H571*G571</f>
        <v>56.7</v>
      </c>
      <c r="J571" s="50" t="n">
        <f aca="false">BQ571*Parameter!$B$18</f>
        <v>368</v>
      </c>
      <c r="K571" s="51" t="n">
        <v>177</v>
      </c>
      <c r="L571" s="52" t="n">
        <v>2.07909604519774</v>
      </c>
      <c r="M571" s="50" t="n">
        <v>14</v>
      </c>
      <c r="N571" s="50" t="n">
        <v>400</v>
      </c>
      <c r="O571" s="53" t="n">
        <v>14</v>
      </c>
      <c r="P571" s="48" t="s">
        <v>237</v>
      </c>
      <c r="Q571" s="50" t="n">
        <v>400</v>
      </c>
      <c r="R571" s="53" t="n">
        <f aca="false">IF(BW571=1,0,IFERROR(VLOOKUP(BU571,'Gebinde-Kategorie'!$A$5:$N$45,13,0)+0,0))</f>
        <v>26</v>
      </c>
      <c r="S571" s="54"/>
      <c r="T571" s="55"/>
      <c r="U571" s="55"/>
      <c r="V571" s="55"/>
      <c r="W571" s="48"/>
      <c r="X571" s="50"/>
      <c r="Y571" s="50"/>
      <c r="Z571" s="48" t="n">
        <f aca="false">IF(A571="","",IF(AND(Parameter!$B$21="Ja",ISNUMBER(W571)),W571,IF(BZ571="2+3",IF(ISNUMBER(SEARCH("grosser Artikel",BR571)),2,IFERROR(VLOOKUP(BU571,Parameter!$F$35:$G$64,2,0),2)),IF(OR(BZ571="Nein",BZ571=""),"-",BZ571))))</f>
        <v>3</v>
      </c>
      <c r="AA571" s="55"/>
      <c r="AB571" s="56"/>
      <c r="AC571" s="50" t="n">
        <f aca="false">AT571</f>
        <v>800</v>
      </c>
      <c r="AD571" s="50" t="n">
        <f aca="false">MAX(AT571,H571)</f>
        <v>800</v>
      </c>
      <c r="AE571" s="57"/>
      <c r="AF571" s="50" t="n">
        <f aca="false">IF(LEFT(Cockpit!$C$5,1)="A",H571,IF(CE571=1,CF571,IF(LEFT(Cockpit!$C$5,1)="B",AK571,MAX(AK571,H571))))</f>
        <v>378</v>
      </c>
      <c r="AG571" s="50" t="n">
        <f aca="false">IF(BW571=1,0,ROUNDUP(AF571/BV571,0))</f>
        <v>1</v>
      </c>
      <c r="AH571" s="52" t="n">
        <f aca="false">IF(CL571&gt;0,CL571*MAX(1,AF571/X571),IF(BW571=1,IF(AF571&lt;=0,0,CA571*MAX(1,IF(H571&gt;0,AF571/H571,1))),IF(R571&gt;0,AG571/R571,0))/MAX(0.1,N(Parameter!$M$21)))</f>
        <v>0.0384615384615385</v>
      </c>
      <c r="AI571" s="50" t="n">
        <f aca="false">AH571*BY571</f>
        <v>9.42307692307692</v>
      </c>
      <c r="AJ571" s="50" t="n">
        <f aca="false">AF571*G571</f>
        <v>56.7</v>
      </c>
      <c r="AK571" s="50" t="n">
        <f aca="false">ROUNDUP(MAX(J571/IF(CD571&gt;0,CD571,MAX(0.1,N(Cockpit!$C$6))),CG571)/BV571,0)*BV571</f>
        <v>800</v>
      </c>
      <c r="AL571" s="51" t="n">
        <f aca="false">IF(AI571&gt;0,J571/AI571,-1)</f>
        <v>39.0530612244898</v>
      </c>
      <c r="AM571" s="51" t="n">
        <f aca="false">IF(AND(OR(CC571="L1",CC571="L23",CC571="LIFT"),AI571&gt;0),SUMIFS($AI$7:$AI$1843,$CC$7:$CC$1843,CC571,$AL$7:$AL$1843,"&gt;"&amp;AL571)+SUMIFS($AI$7:$AI$1843,$CC$7:$CC$1843,CC571,$AL$7:$AL$1843,AL571,$BT$7:$BT$1843,"&lt;="&amp;BT571),"")</f>
        <v>1199.88461538462</v>
      </c>
      <c r="AN571" s="58" t="n">
        <f aca="false">IF(AM571="",0,MAX(0,MIN(1,(IF(CC571="L1",Parameter!$H$5,IF(CC571="L23",Parameter!$H$6+Parameter!$H$7,Parameter!$H$5+Parameter!$H$6+Parameter!$H$7))-(AM571-AI571))/AI571)))</f>
        <v>1</v>
      </c>
      <c r="AO571" s="50" t="n">
        <f aca="false">IF(LEFT(Cockpit!$I$5,1)="A",H571,IF(CE571=1,CF571,IF(LEFT(Cockpit!$I$5,1)="B",AT571,MAX(AT571,H571))))</f>
        <v>800</v>
      </c>
      <c r="AP571" s="50" t="n">
        <f aca="false">IF(BW571=1,0,ROUNDUP(AO571/BV571,0))</f>
        <v>2</v>
      </c>
      <c r="AQ571" s="52" t="n">
        <f aca="false">IF(CL571&gt;0,CL571*MAX(1,AO571/X571),IF(BW571=1,IF(AO571&lt;=0,0,CA571*MAX(1,IF(H571&gt;0,AO571/H571,1))),IF(R571&gt;0,AP571/R571,0))/MAX(0.1,N(Parameter!$M$21)))</f>
        <v>0.0769230769230769</v>
      </c>
      <c r="AR571" s="50" t="n">
        <f aca="false">AQ571*BY571</f>
        <v>18.8461538461538</v>
      </c>
      <c r="AS571" s="50" t="n">
        <f aca="false">AO571*G571</f>
        <v>120</v>
      </c>
      <c r="AT571" s="50" t="n">
        <f aca="false">ROUNDUP(MAX(J571/IF(CD571&gt;0,CD571,MAX(0.1,N(Cockpit!$I$6))),CG571)/BV571,0)*BV571</f>
        <v>800</v>
      </c>
      <c r="AU571" s="51" t="n">
        <f aca="false">IF(AR571&gt;0,J571/AR571,-1)</f>
        <v>19.5265306122449</v>
      </c>
      <c r="AV571" s="51" t="n">
        <f aca="false">IF(AND(OR(CC571="L1",CC571="L23",CC571="LIFT"),AR571&gt;0),SUMIFS($AR$7:$AR$1843,$CC$7:$CC$1843,CC571,$AU$7:$AU$1843,"&gt;"&amp;AU571)+SUMIFS($AR$7:$AR$1843,$CC$7:$CC$1843,CC571,$AU$7:$AU$1843,AU571,$BT$7:$BT$1843,"&lt;="&amp;BT571),"")</f>
        <v>2283.90064102564</v>
      </c>
      <c r="AW571" s="58" t="n">
        <f aca="false">IF(AV571="",0,MAX(0,MIN(1,(IF(CC571="L1",Parameter!$H$5,IF(CC571="L23",Parameter!$H$6+Parameter!$H$7,Parameter!$H$5+Parameter!$H$6+Parameter!$H$7))-(AV571-AR571))/AR571)))</f>
        <v>1</v>
      </c>
      <c r="AX571" s="50" t="n">
        <f aca="false">IF(LEFT(Cockpit!$O$5,1)="A",H571,IF(CE571=1,CF571,IF(LEFT(Cockpit!$O$5,1)="B",BC571,MAX(BC571,H571))))</f>
        <v>800</v>
      </c>
      <c r="AY571" s="50" t="n">
        <f aca="false">IF(BW571=1,0,ROUNDUP(AX571/BV571,0))</f>
        <v>2</v>
      </c>
      <c r="AZ571" s="52" t="n">
        <f aca="false">IF(CL571&gt;0,CL571*MAX(1,AX571/X571),IF(BW571=1,IF(AX571&lt;=0,0,CA571*MAX(1,IF(H571&gt;0,AX571/H571,1))),IF(R571&gt;0,AY571/R571,0))/MAX(0.1,N(Parameter!$M$21)))</f>
        <v>0.0769230769230769</v>
      </c>
      <c r="BA571" s="50" t="n">
        <f aca="false">AZ571*BY571</f>
        <v>18.8461538461538</v>
      </c>
      <c r="BB571" s="50" t="n">
        <f aca="false">AX571*G571</f>
        <v>120</v>
      </c>
      <c r="BC571" s="50" t="n">
        <f aca="false">ROUNDUP(MAX(J571/IF(CD571&gt;0,CD571,MAX(0.1,N(Cockpit!$O$6))),CG571)/BV571,0)*BV571</f>
        <v>800</v>
      </c>
      <c r="BD571" s="51" t="n">
        <f aca="false">IF(BA571&gt;0,J571/BA571,-1)</f>
        <v>19.5265306122449</v>
      </c>
      <c r="BE571" s="51" t="n">
        <f aca="false">IF(AND(OR(CC571="L1",CC571="L23",CC571="LIFT"),BA571&gt;0),SUMIFS($BA$7:$BA$1843,$CC$7:$CC$1843,CC571,$BD$7:$BD$1843,"&gt;"&amp;BD571)+SUMIFS($BA$7:$BA$1843,$CC$7:$CC$1843,CC571,$BD$7:$BD$1843,BD571,$BT$7:$BT$1843,"&lt;="&amp;BT571),"")</f>
        <v>2390.83974358974</v>
      </c>
      <c r="BF571" s="58" t="n">
        <f aca="false">IF(BE571="",0,MAX(0,MIN(1,(IF(CC571="L1",Parameter!$H$5,IF(CC571="L23",Parameter!$H$6+Parameter!$H$7,Parameter!$H$5+Parameter!$H$6+Parameter!$H$7))-(BE571-BA571))/BA571)))</f>
        <v>1</v>
      </c>
      <c r="BG571" s="48" t="str">
        <f aca="false">IF(AI571&lt;=0,"",IF(CC571="Aussen","Aussenlager",IF(CC571="-","Nicht im Lift",IF(AN571&gt;=1,"Lift",IF(AN571&lt;=0,"Aussenlager","teilweise")))))</f>
        <v>Lift</v>
      </c>
      <c r="BH571" s="48" t="str">
        <f aca="false">IF(AR571&lt;=0,"",IF(CC571="Aussen","Aussenlager",IF(CC571="-","Nicht im Lift",IF(AW571&gt;=1,"Lift",IF(AW571&lt;=0,"Aussenlager","teilweise")))))</f>
        <v>Lift</v>
      </c>
      <c r="BI571" s="48" t="str">
        <f aca="false">IF(BA571&lt;=0,"",IF(CC571="Aussen","Aussenlager",IF(CC571="-","Nicht im Lift",IF(BF571&gt;=1,"Lift",IF(BF571&lt;=0,"Aussenlager","teilweise")))))</f>
        <v>Lift</v>
      </c>
      <c r="BJ571" s="48" t="str">
        <f aca="false">IF(A571="","",IF(BS571=1,"Neu; ","")&amp;IF(AND(BS571=0,BN571&lt;0),"negativer Bestand (Export "&amp;BN571&amp;"); ","")&amp;IF(J571&lt;=0,"Kein Verbrauch; ","")&amp;IF(CL571&gt;0,"Lift "&amp;W571&amp;" lt. Liftbericht (Fach "&amp;X571&amp;" Stk); ",IF(BX571=1,"Gebinde geschätzt ("&amp;T571&amp;"); ",IF(BW571=1,"Lose – Tablare geschätzt; ","")))&amp;IF(H571&gt;AT571,"Überbestand "&amp;ROUND(H571-AT571,0)&amp;" Stk / CHF "&amp;ROUND((H571-AT571)*G571,0)&amp;"; ","")&amp;IF(AND(CE571=1,CF571&lt;CG571),"MAX &lt; MB+LG; ","")&amp;IF(AND(CK571&gt;0,CJ571*10&gt;CK571),"zu hoch für Tablar; ","")&amp;IF(AND(BS571=0,OR(CE571=1,AA571&lt;&gt;"",U571&lt;&gt;"",V571&lt;&gt;"",AB571&lt;&gt;"")),"manuell übersteuert; ","")&amp;IF(AND(BW571=0,R571=0),"Gebinde unbekannt / Stellmass fehlt; ","")&amp;IF(AND(BW571=0,N(V571)&lt;=0,N(Q571)&lt;=0),"Menge pro Gebinde fehlt (Ist = 1 Gebinde); ","")&amp;BR571)</f>
        <v>nicht im KTL vorhanden</v>
      </c>
      <c r="BK571" s="48"/>
      <c r="BL571" s="48"/>
      <c r="BM571" s="55"/>
      <c r="BN571" s="50" t="n">
        <v>77</v>
      </c>
      <c r="BO571" s="50" t="n">
        <v>301</v>
      </c>
      <c r="BP571" s="49" t="n">
        <v>11.55</v>
      </c>
      <c r="BQ571" s="50" t="n">
        <v>368</v>
      </c>
      <c r="BR571" s="48" t="s">
        <v>234</v>
      </c>
      <c r="BS571" s="53" t="n">
        <v>0</v>
      </c>
      <c r="BT571" s="53" t="n">
        <v>571</v>
      </c>
      <c r="BU571" s="48" t="str">
        <f aca="false">IF(U571&lt;&gt;"",UPPER(TRIM(U571)),IF(BX571=1,UPPER(VLOOKUP(T571,Parameter!$I$27:$K$29,2,0)),IF(P571="","LOSE",P571)))</f>
        <v>S52</v>
      </c>
      <c r="BV571" s="50" t="n">
        <f aca="false">IF(BU571="LOSE",1,IF(N(V571)&gt;0,V571,IF(BX571=1,MAX(1,N(VLOOKUP(T571,Parameter!$I$27:$K$29,3,0)),H571,N(N571)),IF(N(Q571)&gt;0,Q571,MAX(1,H571)))))</f>
        <v>400</v>
      </c>
      <c r="BW571" s="53" t="n">
        <f aca="false">IF(BU571="LOSE",1,0)</f>
        <v>0</v>
      </c>
      <c r="BX571" s="53" t="n">
        <f aca="false">IF(AND(U571="",OR(P571="",P571="LOSE"),T571&lt;&gt;"",N(S571)&lt;=0,ISNUMBER(MATCH(T571,Parameter!$I$27:$I$29,0))),1,0)</f>
        <v>0</v>
      </c>
      <c r="BY571" s="53" t="n">
        <f aca="false">IF(CL571&gt;0,INDEX(Parameter!$H$5:$H$7,W571)/INDEX(Parameter!$E$5:$E$7,W571),IF(AND(BW571=0,N(IFERROR(VLOOKUP(BU571,'Gebinde-Kategorie'!$A$5:$N$45,14,0),0))&gt;0),VLOOKUP(BU571,'Gebinde-Kategorie'!$A$5:$N$45,14,0)*10+Parameter!$M$23,Parameter!$M$24))</f>
        <v>245</v>
      </c>
      <c r="BZ571" s="48" t="str">
        <f aca="false">IF(AND(Parameter!$B$19="Ja",E571&lt;&gt;"",ISNUMBER(MATCH(E571,Parameter!$I$35:$I$52,0))),VLOOKUP(E571,Parameter!$I$35:$J$52,2,0),IFERROR(VLOOKUP(D571,Parameter!$A$35:$C$64,2,0),"Nein"))</f>
        <v>2+3</v>
      </c>
      <c r="CA571" s="52" t="n">
        <f aca="false">IF(BW571=0,0,IF(N(S571)&gt;0,S571,IFERROR(VLOOKUP(D571,Parameter!$A$35:$C$64,3,0)+0,0)))</f>
        <v>0</v>
      </c>
      <c r="CB571" s="48" t="n">
        <f aca="false">IF(AA571&lt;&gt;"",AA571,Z571)</f>
        <v>3</v>
      </c>
      <c r="CC571" s="48" t="str">
        <f aca="false">IF(OR(CB571=1,CB571=2,CB571=3),IF(Parameter!$E$27="Ja","LIFT",IF(CB571=1,"L1","L23")),IF(CB571="Aussen","Aussen","-"))</f>
        <v>LIFT</v>
      </c>
      <c r="CD571" s="59" t="n">
        <f aca="false">IF(N(AB571)&gt;0,AB571,0)</f>
        <v>0</v>
      </c>
      <c r="CE571" s="53" t="n">
        <f aca="false">IF(ISNUMBER(AE571),1,0)</f>
        <v>0</v>
      </c>
      <c r="CF571" s="50" t="n">
        <f aca="false">N(AE571)</f>
        <v>0</v>
      </c>
      <c r="CG571" s="50" t="n">
        <f aca="false">N(M571)+N(N571)</f>
        <v>414</v>
      </c>
      <c r="CH571" s="50" t="n">
        <f aca="false">ROUNDUP(H571/BV571,0)</f>
        <v>1</v>
      </c>
      <c r="CI571" s="50" t="n">
        <f aca="false">ROUNDUP(CF571/BV571,0)</f>
        <v>0</v>
      </c>
      <c r="CJ571" s="53" t="n">
        <f aca="false">IF(BW571=1,0,IFERROR(VLOOKUP(BU571,'Gebinde-Kategorie'!$A$5:$N$45,5,0)+0,0))</f>
        <v>21</v>
      </c>
      <c r="CK571" s="53" t="n">
        <f aca="false">IFERROR(IF(OR(CB571=1,CB571=2,CB571=3),N(INDEX(Parameter!$I$5:$I$7,CB571)),0),0)</f>
        <v>0</v>
      </c>
      <c r="CL571" s="52" t="n">
        <f aca="false">IF(AND(Parameter!$B$21="Ja",ISNUMBER(W571),N(X571)&gt;0),IFERROR(N(INDEX(Parameter!$L$5:$L$7,W571))*INDEX(Parameter!$E$5:$E$7,W571)*X571/SUMIFS($X$7:$X$1843,$W$7:$W$1843,W571),0),0)</f>
        <v>0</v>
      </c>
    </row>
    <row r="572" customFormat="false" ht="15" hidden="false" customHeight="false" outlineLevel="0" collapsed="false">
      <c r="A572" s="48" t="s">
        <v>1208</v>
      </c>
      <c r="B572" s="48" t="s">
        <v>1209</v>
      </c>
      <c r="C572" s="48" t="s">
        <v>168</v>
      </c>
      <c r="D572" s="48" t="s">
        <v>188</v>
      </c>
      <c r="E572" s="48" t="s">
        <v>189</v>
      </c>
      <c r="F572" s="48" t="s">
        <v>222</v>
      </c>
      <c r="G572" s="49" t="n">
        <v>0.05</v>
      </c>
      <c r="H572" s="50" t="n">
        <f aca="false">MAX(0,IF(AND(Parameter!$B$21="Ja",ISNUMBER(Y572)),Y572,IF(Parameter!$B$20="Jahresanfang 2025 + Export",BO572+BN572,BN572)))</f>
        <v>703</v>
      </c>
      <c r="I572" s="50" t="n">
        <f aca="false">H572*G572</f>
        <v>35.15</v>
      </c>
      <c r="J572" s="50" t="n">
        <f aca="false">BQ572*Parameter!$B$18</f>
        <v>500</v>
      </c>
      <c r="K572" s="51" t="n">
        <v>959.5</v>
      </c>
      <c r="L572" s="52" t="n">
        <v>0.521104742053153</v>
      </c>
      <c r="M572" s="50" t="n">
        <v>29</v>
      </c>
      <c r="N572" s="50" t="n">
        <v>500</v>
      </c>
      <c r="O572" s="53" t="n">
        <v>21</v>
      </c>
      <c r="P572" s="48" t="s">
        <v>430</v>
      </c>
      <c r="Q572" s="50" t="n">
        <v>415</v>
      </c>
      <c r="R572" s="53" t="n">
        <f aca="false">IF(BW572=1,0,IFERROR(VLOOKUP(BU572,'Gebinde-Kategorie'!$A$5:$N$45,13,0)+0,0))</f>
        <v>140</v>
      </c>
      <c r="S572" s="54"/>
      <c r="T572" s="55"/>
      <c r="U572" s="55"/>
      <c r="V572" s="55"/>
      <c r="W572" s="48"/>
      <c r="X572" s="50"/>
      <c r="Y572" s="50"/>
      <c r="Z572" s="48" t="n">
        <f aca="false">IF(A572="","",IF(AND(Parameter!$B$21="Ja",ISNUMBER(W572)),W572,IF(BZ572="2+3",IF(ISNUMBER(SEARCH("grosser Artikel",BR572)),2,IFERROR(VLOOKUP(BU572,Parameter!$F$35:$G$64,2,0),2)),IF(OR(BZ572="Nein",BZ572=""),"-",BZ572))))</f>
        <v>3</v>
      </c>
      <c r="AA572" s="55"/>
      <c r="AB572" s="56"/>
      <c r="AC572" s="50" t="n">
        <f aca="false">AT572</f>
        <v>830</v>
      </c>
      <c r="AD572" s="50" t="n">
        <f aca="false">MAX(AT572,H572)</f>
        <v>830</v>
      </c>
      <c r="AE572" s="57"/>
      <c r="AF572" s="50" t="n">
        <f aca="false">IF(LEFT(Cockpit!$C$5,1)="A",H572,IF(CE572=1,CF572,IF(LEFT(Cockpit!$C$5,1)="B",AK572,MAX(AK572,H572))))</f>
        <v>703</v>
      </c>
      <c r="AG572" s="50" t="n">
        <f aca="false">IF(BW572=1,0,ROUNDUP(AF572/BV572,0))</f>
        <v>2</v>
      </c>
      <c r="AH572" s="52" t="n">
        <f aca="false">IF(CL572&gt;0,CL572*MAX(1,AF572/X572),IF(BW572=1,IF(AF572&lt;=0,0,CA572*MAX(1,IF(H572&gt;0,AF572/H572,1))),IF(R572&gt;0,AG572/R572,0))/MAX(0.1,N(Parameter!$M$21)))</f>
        <v>0.0142857142857143</v>
      </c>
      <c r="AI572" s="50" t="n">
        <f aca="false">AH572*BY572</f>
        <v>2.21428571428571</v>
      </c>
      <c r="AJ572" s="50" t="n">
        <f aca="false">AF572*G572</f>
        <v>35.15</v>
      </c>
      <c r="AK572" s="50" t="n">
        <f aca="false">ROUNDUP(MAX(J572/IF(CD572&gt;0,CD572,MAX(0.1,N(Cockpit!$C$6))),CG572)/BV572,0)*BV572</f>
        <v>830</v>
      </c>
      <c r="AL572" s="51" t="n">
        <f aca="false">IF(AI572&gt;0,J572/AI572,-1)</f>
        <v>225.806451612903</v>
      </c>
      <c r="AM572" s="51" t="n">
        <f aca="false">IF(AND(OR(CC572="L1",CC572="L23",CC572="LIFT"),AI572&gt;0),SUMIFS($AI$7:$AI$1843,$CC$7:$CC$1843,CC572,$AL$7:$AL$1843,"&gt;"&amp;AL572)+SUMIFS($AI$7:$AI$1843,$CC$7:$CC$1843,CC572,$AL$7:$AL$1843,AL572,$BT$7:$BT$1843,"&lt;="&amp;BT572),"")</f>
        <v>308.705128205128</v>
      </c>
      <c r="AN572" s="58" t="n">
        <f aca="false">IF(AM572="",0,MAX(0,MIN(1,(IF(CC572="L1",Parameter!$H$5,IF(CC572="L23",Parameter!$H$6+Parameter!$H$7,Parameter!$H$5+Parameter!$H$6+Parameter!$H$7))-(AM572-AI572))/AI572)))</f>
        <v>1</v>
      </c>
      <c r="AO572" s="50" t="n">
        <f aca="false">IF(LEFT(Cockpit!$I$5,1)="A",H572,IF(CE572=1,CF572,IF(LEFT(Cockpit!$I$5,1)="B",AT572,MAX(AT572,H572))))</f>
        <v>830</v>
      </c>
      <c r="AP572" s="50" t="n">
        <f aca="false">IF(BW572=1,0,ROUNDUP(AO572/BV572,0))</f>
        <v>2</v>
      </c>
      <c r="AQ572" s="52" t="n">
        <f aca="false">IF(CL572&gt;0,CL572*MAX(1,AO572/X572),IF(BW572=1,IF(AO572&lt;=0,0,CA572*MAX(1,IF(H572&gt;0,AO572/H572,1))),IF(R572&gt;0,AP572/R572,0))/MAX(0.1,N(Parameter!$M$21)))</f>
        <v>0.0142857142857143</v>
      </c>
      <c r="AR572" s="50" t="n">
        <f aca="false">AQ572*BY572</f>
        <v>2.21428571428571</v>
      </c>
      <c r="AS572" s="50" t="n">
        <f aca="false">AO572*G572</f>
        <v>41.5</v>
      </c>
      <c r="AT572" s="50" t="n">
        <f aca="false">ROUNDUP(MAX(J572/IF(CD572&gt;0,CD572,MAX(0.1,N(Cockpit!$I$6))),CG572)/BV572,0)*BV572</f>
        <v>830</v>
      </c>
      <c r="AU572" s="51" t="n">
        <f aca="false">IF(AR572&gt;0,J572/AR572,-1)</f>
        <v>225.806451612903</v>
      </c>
      <c r="AV572" s="51" t="n">
        <f aca="false">IF(AND(OR(CC572="L1",CC572="L23",CC572="LIFT"),AR572&gt;0),SUMIFS($AR$7:$AR$1843,$CC$7:$CC$1843,CC572,$AU$7:$AU$1843,"&gt;"&amp;AU572)+SUMIFS($AR$7:$AR$1843,$CC$7:$CC$1843,CC572,$AU$7:$AU$1843,AU572,$BT$7:$BT$1843,"&lt;="&amp;BT572),"")</f>
        <v>237.513278388278</v>
      </c>
      <c r="AW572" s="58" t="n">
        <f aca="false">IF(AV572="",0,MAX(0,MIN(1,(IF(CC572="L1",Parameter!$H$5,IF(CC572="L23",Parameter!$H$6+Parameter!$H$7,Parameter!$H$5+Parameter!$H$6+Parameter!$H$7))-(AV572-AR572))/AR572)))</f>
        <v>1</v>
      </c>
      <c r="AX572" s="50" t="n">
        <f aca="false">IF(LEFT(Cockpit!$O$5,1)="A",H572,IF(CE572=1,CF572,IF(LEFT(Cockpit!$O$5,1)="B",BC572,MAX(BC572,H572))))</f>
        <v>830</v>
      </c>
      <c r="AY572" s="50" t="n">
        <f aca="false">IF(BW572=1,0,ROUNDUP(AX572/BV572,0))</f>
        <v>2</v>
      </c>
      <c r="AZ572" s="52" t="n">
        <f aca="false">IF(CL572&gt;0,CL572*MAX(1,AX572/X572),IF(BW572=1,IF(AX572&lt;=0,0,CA572*MAX(1,IF(H572&gt;0,AX572/H572,1))),IF(R572&gt;0,AY572/R572,0))/MAX(0.1,N(Parameter!$M$21)))</f>
        <v>0.0142857142857143</v>
      </c>
      <c r="BA572" s="50" t="n">
        <f aca="false">AZ572*BY572</f>
        <v>2.21428571428571</v>
      </c>
      <c r="BB572" s="50" t="n">
        <f aca="false">AX572*G572</f>
        <v>41.5</v>
      </c>
      <c r="BC572" s="50" t="n">
        <f aca="false">ROUNDUP(MAX(J572/IF(CD572&gt;0,CD572,MAX(0.1,N(Cockpit!$O$6))),CG572)/BV572,0)*BV572</f>
        <v>830</v>
      </c>
      <c r="BD572" s="51" t="n">
        <f aca="false">IF(BA572&gt;0,J572/BA572,-1)</f>
        <v>225.806451612903</v>
      </c>
      <c r="BE572" s="51" t="n">
        <f aca="false">IF(AND(OR(CC572="L1",CC572="L23",CC572="LIFT"),BA572&gt;0),SUMIFS($BA$7:$BA$1843,$CC$7:$CC$1843,CC572,$BD$7:$BD$1843,"&gt;"&amp;BD572)+SUMIFS($BA$7:$BA$1843,$CC$7:$CC$1843,CC572,$BD$7:$BD$1843,BD572,$BT$7:$BT$1843,"&lt;="&amp;BT572),"")</f>
        <v>328.731227106227</v>
      </c>
      <c r="BF572" s="58" t="n">
        <f aca="false">IF(BE572="",0,MAX(0,MIN(1,(IF(CC572="L1",Parameter!$H$5,IF(CC572="L23",Parameter!$H$6+Parameter!$H$7,Parameter!$H$5+Parameter!$H$6+Parameter!$H$7))-(BE572-BA572))/BA572)))</f>
        <v>1</v>
      </c>
      <c r="BG572" s="48" t="str">
        <f aca="false">IF(AI572&lt;=0,"",IF(CC572="Aussen","Aussenlager",IF(CC572="-","Nicht im Lift",IF(AN572&gt;=1,"Lift",IF(AN572&lt;=0,"Aussenlager","teilweise")))))</f>
        <v>Lift</v>
      </c>
      <c r="BH572" s="48" t="str">
        <f aca="false">IF(AR572&lt;=0,"",IF(CC572="Aussen","Aussenlager",IF(CC572="-","Nicht im Lift",IF(AW572&gt;=1,"Lift",IF(AW572&lt;=0,"Aussenlager","teilweise")))))</f>
        <v>Lift</v>
      </c>
      <c r="BI572" s="48" t="str">
        <f aca="false">IF(BA572&lt;=0,"",IF(CC572="Aussen","Aussenlager",IF(CC572="-","Nicht im Lift",IF(BF572&gt;=1,"Lift",IF(BF572&lt;=0,"Aussenlager","teilweise")))))</f>
        <v>Lift</v>
      </c>
      <c r="BJ572" s="48" t="str">
        <f aca="false">IF(A572="","",IF(BS572=1,"Neu; ","")&amp;IF(AND(BS572=0,BN572&lt;0),"negativer Bestand (Export "&amp;BN572&amp;"); ","")&amp;IF(J572&lt;=0,"Kein Verbrauch; ","")&amp;IF(CL572&gt;0,"Lift "&amp;W572&amp;" lt. Liftbericht (Fach "&amp;X572&amp;" Stk); ",IF(BX572=1,"Gebinde geschätzt ("&amp;T572&amp;"); ",IF(BW572=1,"Lose – Tablare geschätzt; ","")))&amp;IF(H572&gt;AT572,"Überbestand "&amp;ROUND(H572-AT572,0)&amp;" Stk / CHF "&amp;ROUND((H572-AT572)*G572,0)&amp;"; ","")&amp;IF(AND(CE572=1,CF572&lt;CG572),"MAX &lt; MB+LG; ","")&amp;IF(AND(CK572&gt;0,CJ572*10&gt;CK572),"zu hoch für Tablar; ","")&amp;IF(AND(BS572=0,OR(CE572=1,AA572&lt;&gt;"",U572&lt;&gt;"",V572&lt;&gt;"",AB572&lt;&gt;"")),"manuell übersteuert; ","")&amp;IF(AND(BW572=0,R572=0),"Gebinde unbekannt / Stellmass fehlt; ","")&amp;IF(AND(BW572=0,N(V572)&lt;=0,N(Q572)&lt;=0),"Menge pro Gebinde fehlt (Ist = 1 Gebinde); ","")&amp;BR572)</f>
        <v>negativer Bestand (Export -101); </v>
      </c>
      <c r="BK572" s="48"/>
      <c r="BL572" s="48"/>
      <c r="BM572" s="55"/>
      <c r="BN572" s="50" t="n">
        <v>-101</v>
      </c>
      <c r="BO572" s="50" t="n">
        <v>804</v>
      </c>
      <c r="BP572" s="49" t="n">
        <v>11.03</v>
      </c>
      <c r="BQ572" s="50" t="n">
        <v>500</v>
      </c>
      <c r="BR572" s="48"/>
      <c r="BS572" s="53" t="n">
        <v>0</v>
      </c>
      <c r="BT572" s="53" t="n">
        <v>572</v>
      </c>
      <c r="BU572" s="48" t="str">
        <f aca="false">IF(U572&lt;&gt;"",UPPER(TRIM(U572)),IF(BX572=1,UPPER(VLOOKUP(T572,Parameter!$I$27:$K$29,2,0)),IF(P572="","LOSE",P572)))</f>
        <v>S22</v>
      </c>
      <c r="BV572" s="50" t="n">
        <f aca="false">IF(BU572="LOSE",1,IF(N(V572)&gt;0,V572,IF(BX572=1,MAX(1,N(VLOOKUP(T572,Parameter!$I$27:$K$29,3,0)),H572,N(N572)),IF(N(Q572)&gt;0,Q572,MAX(1,H572)))))</f>
        <v>415</v>
      </c>
      <c r="BW572" s="53" t="n">
        <f aca="false">IF(BU572="LOSE",1,0)</f>
        <v>0</v>
      </c>
      <c r="BX572" s="53" t="n">
        <f aca="false">IF(AND(U572="",OR(P572="",P572="LOSE"),T572&lt;&gt;"",N(S572)&lt;=0,ISNUMBER(MATCH(T572,Parameter!$I$27:$I$29,0))),1,0)</f>
        <v>0</v>
      </c>
      <c r="BY572" s="53" t="n">
        <f aca="false">IF(CL572&gt;0,INDEX(Parameter!$H$5:$H$7,W572)/INDEX(Parameter!$E$5:$E$7,W572),IF(AND(BW572=0,N(IFERROR(VLOOKUP(BU572,'Gebinde-Kategorie'!$A$5:$N$45,14,0),0))&gt;0),VLOOKUP(BU572,'Gebinde-Kategorie'!$A$5:$N$45,14,0)*10+Parameter!$M$23,Parameter!$M$24))</f>
        <v>155</v>
      </c>
      <c r="BZ572" s="48" t="str">
        <f aca="false">IF(AND(Parameter!$B$19="Ja",E572&lt;&gt;"",ISNUMBER(MATCH(E572,Parameter!$I$35:$I$52,0))),VLOOKUP(E572,Parameter!$I$35:$J$52,2,0),IFERROR(VLOOKUP(D572,Parameter!$A$35:$C$64,2,0),"Nein"))</f>
        <v>2+3</v>
      </c>
      <c r="CA572" s="52" t="n">
        <f aca="false">IF(BW572=0,0,IF(N(S572)&gt;0,S572,IFERROR(VLOOKUP(D572,Parameter!$A$35:$C$64,3,0)+0,0)))</f>
        <v>0</v>
      </c>
      <c r="CB572" s="48" t="n">
        <f aca="false">IF(AA572&lt;&gt;"",AA572,Z572)</f>
        <v>3</v>
      </c>
      <c r="CC572" s="48" t="str">
        <f aca="false">IF(OR(CB572=1,CB572=2,CB572=3),IF(Parameter!$E$27="Ja","LIFT",IF(CB572=1,"L1","L23")),IF(CB572="Aussen","Aussen","-"))</f>
        <v>LIFT</v>
      </c>
      <c r="CD572" s="59" t="n">
        <f aca="false">IF(N(AB572)&gt;0,AB572,0)</f>
        <v>0</v>
      </c>
      <c r="CE572" s="53" t="n">
        <f aca="false">IF(ISNUMBER(AE572),1,0)</f>
        <v>0</v>
      </c>
      <c r="CF572" s="50" t="n">
        <f aca="false">N(AE572)</f>
        <v>0</v>
      </c>
      <c r="CG572" s="50" t="n">
        <f aca="false">N(M572)+N(N572)</f>
        <v>529</v>
      </c>
      <c r="CH572" s="50" t="n">
        <f aca="false">ROUNDUP(H572/BV572,0)</f>
        <v>2</v>
      </c>
      <c r="CI572" s="50" t="n">
        <f aca="false">ROUNDUP(CF572/BV572,0)</f>
        <v>0</v>
      </c>
      <c r="CJ572" s="53" t="n">
        <f aca="false">IF(BW572=1,0,IFERROR(VLOOKUP(BU572,'Gebinde-Kategorie'!$A$5:$N$45,5,0)+0,0))</f>
        <v>8</v>
      </c>
      <c r="CK572" s="53" t="n">
        <f aca="false">IFERROR(IF(OR(CB572=1,CB572=2,CB572=3),N(INDEX(Parameter!$I$5:$I$7,CB572)),0),0)</f>
        <v>0</v>
      </c>
      <c r="CL572" s="52" t="n">
        <f aca="false">IF(AND(Parameter!$B$21="Ja",ISNUMBER(W572),N(X572)&gt;0),IFERROR(N(INDEX(Parameter!$L$5:$L$7,W572))*INDEX(Parameter!$E$5:$E$7,W572)*X572/SUMIFS($X$7:$X$1843,$W$7:$W$1843,W572),0),0)</f>
        <v>0</v>
      </c>
    </row>
    <row r="573" customFormat="false" ht="15" hidden="false" customHeight="false" outlineLevel="0" collapsed="false">
      <c r="A573" s="48" t="s">
        <v>1210</v>
      </c>
      <c r="B573" s="48" t="s">
        <v>1211</v>
      </c>
      <c r="C573" s="48" t="s">
        <v>168</v>
      </c>
      <c r="D573" s="48" t="s">
        <v>177</v>
      </c>
      <c r="E573" s="48"/>
      <c r="F573" s="48" t="s">
        <v>222</v>
      </c>
      <c r="G573" s="49" t="n">
        <v>10.5</v>
      </c>
      <c r="H573" s="50" t="n">
        <f aca="false">MAX(0,IF(AND(Parameter!$B$21="Ja",ISNUMBER(Y573)),Y573,IF(Parameter!$B$20="Jahresanfang 2025 + Export",BO573+BN573,BN573)))</f>
        <v>1</v>
      </c>
      <c r="I573" s="50" t="n">
        <f aca="false">H573*G573</f>
        <v>10.5</v>
      </c>
      <c r="J573" s="50" t="n">
        <f aca="false">BQ573*Parameter!$B$18</f>
        <v>0</v>
      </c>
      <c r="K573" s="51" t="n">
        <v>0</v>
      </c>
      <c r="L573" s="52" t="n">
        <v>0</v>
      </c>
      <c r="M573" s="50" t="n">
        <v>0</v>
      </c>
      <c r="N573" s="50" t="n">
        <v>1</v>
      </c>
      <c r="O573" s="53" t="n">
        <v>21</v>
      </c>
      <c r="P573" s="48" t="s">
        <v>172</v>
      </c>
      <c r="Q573" s="50"/>
      <c r="R573" s="53" t="n">
        <f aca="false">IF(BW573=1,0,IFERROR(VLOOKUP(BU573,'Gebinde-Kategorie'!$A$5:$N$45,13,0)+0,0))</f>
        <v>4</v>
      </c>
      <c r="S573" s="54"/>
      <c r="T573" s="55" t="s">
        <v>193</v>
      </c>
      <c r="U573" s="55"/>
      <c r="V573" s="55"/>
      <c r="W573" s="48"/>
      <c r="X573" s="50"/>
      <c r="Y573" s="50"/>
      <c r="Z573" s="48" t="n">
        <f aca="false">IF(A573="","",IF(AND(Parameter!$B$21="Ja",ISNUMBER(W573)),W573,IF(BZ573="2+3",IF(ISNUMBER(SEARCH("grosser Artikel",BR573)),2,IFERROR(VLOOKUP(BU573,Parameter!$F$35:$G$64,2,0),2)),IF(OR(BZ573="Nein",BZ573=""),"-",BZ573))))</f>
        <v>2</v>
      </c>
      <c r="AA573" s="55"/>
      <c r="AB573" s="56"/>
      <c r="AC573" s="50" t="n">
        <f aca="false">AT573</f>
        <v>2</v>
      </c>
      <c r="AD573" s="50" t="n">
        <f aca="false">MAX(AT573,H573)</f>
        <v>2</v>
      </c>
      <c r="AE573" s="57"/>
      <c r="AF573" s="50" t="n">
        <f aca="false">IF(LEFT(Cockpit!$C$5,1)="A",H573,IF(CE573=1,CF573,IF(LEFT(Cockpit!$C$5,1)="B",AK573,MAX(AK573,H573))))</f>
        <v>1</v>
      </c>
      <c r="AG573" s="50" t="n">
        <f aca="false">IF(BW573=1,0,ROUNDUP(AF573/BV573,0))</f>
        <v>1</v>
      </c>
      <c r="AH573" s="52" t="n">
        <f aca="false">IF(CL573&gt;0,CL573*MAX(1,AF573/X573),IF(BW573=1,IF(AF573&lt;=0,0,CA573*MAX(1,IF(H573&gt;0,AF573/H573,1))),IF(R573&gt;0,AG573/R573,0))/MAX(0.1,N(Parameter!$M$21)))</f>
        <v>0.25</v>
      </c>
      <c r="AI573" s="50" t="n">
        <f aca="false">AH573*BY573</f>
        <v>58.75</v>
      </c>
      <c r="AJ573" s="50" t="n">
        <f aca="false">AF573*G573</f>
        <v>10.5</v>
      </c>
      <c r="AK573" s="50" t="n">
        <f aca="false">ROUNDUP(MAX(J573/IF(CD573&gt;0,CD573,MAX(0.1,N(Cockpit!$C$6))),CG573)/BV573,0)*BV573</f>
        <v>2</v>
      </c>
      <c r="AL573" s="51" t="n">
        <f aca="false">IF(AI573&gt;0,J573/AI573,-1)</f>
        <v>0</v>
      </c>
      <c r="AM573" s="51" t="n">
        <f aca="false">IF(AND(OR(CC573="L1",CC573="L23",CC573="LIFT"),AI573&gt;0),SUMIFS($AI$7:$AI$1843,$CC$7:$CC$1843,CC573,$AL$7:$AL$1843,"&gt;"&amp;AL573)+SUMIFS($AI$7:$AI$1843,$CC$7:$CC$1843,CC573,$AL$7:$AL$1843,AL573,$BT$7:$BT$1843,"&lt;="&amp;BT573),"")</f>
        <v>28458.0400033112</v>
      </c>
      <c r="AN573" s="58" t="n">
        <f aca="false">IF(AM573="",0,MAX(0,MIN(1,(IF(CC573="L1",Parameter!$H$5,IF(CC573="L23",Parameter!$H$6+Parameter!$H$7,Parameter!$H$5+Parameter!$H$6+Parameter!$H$7))-(AM573-AI573))/AI573)))</f>
        <v>1</v>
      </c>
      <c r="AO573" s="50" t="n">
        <f aca="false">IF(LEFT(Cockpit!$I$5,1)="A",H573,IF(CE573=1,CF573,IF(LEFT(Cockpit!$I$5,1)="B",AT573,MAX(AT573,H573))))</f>
        <v>2</v>
      </c>
      <c r="AP573" s="50" t="n">
        <f aca="false">IF(BW573=1,0,ROUNDUP(AO573/BV573,0))</f>
        <v>1</v>
      </c>
      <c r="AQ573" s="52" t="n">
        <f aca="false">IF(CL573&gt;0,CL573*MAX(1,AO573/X573),IF(BW573=1,IF(AO573&lt;=0,0,CA573*MAX(1,IF(H573&gt;0,AO573/H573,1))),IF(R573&gt;0,AP573/R573,0))/MAX(0.1,N(Parameter!$M$21)))</f>
        <v>0.25</v>
      </c>
      <c r="AR573" s="50" t="n">
        <f aca="false">AQ573*BY573</f>
        <v>58.75</v>
      </c>
      <c r="AS573" s="50" t="n">
        <f aca="false">AO573*G573</f>
        <v>21</v>
      </c>
      <c r="AT573" s="50" t="n">
        <f aca="false">ROUNDUP(MAX(J573/IF(CD573&gt;0,CD573,MAX(0.1,N(Cockpit!$I$6))),CG573)/BV573,0)*BV573</f>
        <v>2</v>
      </c>
      <c r="AU573" s="51" t="n">
        <f aca="false">IF(AR573&gt;0,J573/AR573,-1)</f>
        <v>0</v>
      </c>
      <c r="AV573" s="51" t="n">
        <f aca="false">IF(AND(OR(CC573="L1",CC573="L23",CC573="LIFT"),AR573&gt;0),SUMIFS($AR$7:$AR$1843,$CC$7:$CC$1843,CC573,$AU$7:$AU$1843,"&gt;"&amp;AU573)+SUMIFS($AR$7:$AR$1843,$CC$7:$CC$1843,CC573,$AU$7:$AU$1843,AU573,$BT$7:$BT$1843,"&lt;="&amp;BT573),"")</f>
        <v>39770.9455205811</v>
      </c>
      <c r="AW573" s="58" t="n">
        <f aca="false">IF(AV573="",0,MAX(0,MIN(1,(IF(CC573="L1",Parameter!$H$5,IF(CC573="L23",Parameter!$H$6+Parameter!$H$7,Parameter!$H$5+Parameter!$H$6+Parameter!$H$7))-(AV573-AR573))/AR573)))</f>
        <v>0</v>
      </c>
      <c r="AX573" s="50" t="n">
        <f aca="false">IF(LEFT(Cockpit!$O$5,1)="A",H573,IF(CE573=1,CF573,IF(LEFT(Cockpit!$O$5,1)="B",BC573,MAX(BC573,H573))))</f>
        <v>2</v>
      </c>
      <c r="AY573" s="50" t="n">
        <f aca="false">IF(BW573=1,0,ROUNDUP(AX573/BV573,0))</f>
        <v>1</v>
      </c>
      <c r="AZ573" s="52" t="n">
        <f aca="false">IF(CL573&gt;0,CL573*MAX(1,AX573/X573),IF(BW573=1,IF(AX573&lt;=0,0,CA573*MAX(1,IF(H573&gt;0,AX573/H573,1))),IF(R573&gt;0,AY573/R573,0))/MAX(0.1,N(Parameter!$M$21)))</f>
        <v>0.25</v>
      </c>
      <c r="BA573" s="50" t="n">
        <f aca="false">AZ573*BY573</f>
        <v>58.75</v>
      </c>
      <c r="BB573" s="50" t="n">
        <f aca="false">AX573*G573</f>
        <v>21</v>
      </c>
      <c r="BC573" s="50" t="n">
        <f aca="false">ROUNDUP(MAX(J573/IF(CD573&gt;0,CD573,MAX(0.1,N(Cockpit!$O$6))),CG573)/BV573,0)*BV573</f>
        <v>2</v>
      </c>
      <c r="BD573" s="51" t="n">
        <f aca="false">IF(BA573&gt;0,J573/BA573,-1)</f>
        <v>0</v>
      </c>
      <c r="BE573" s="51" t="n">
        <f aca="false">IF(AND(OR(CC573="L1",CC573="L23",CC573="LIFT"),BA573&gt;0),SUMIFS($BA$7:$BA$1843,$CC$7:$CC$1843,CC573,$BD$7:$BD$1843,"&gt;"&amp;BD573)+SUMIFS($BA$7:$BA$1843,$CC$7:$CC$1843,CC573,$BD$7:$BD$1843,BD573,$BT$7:$BT$1843,"&lt;="&amp;BT573),"")</f>
        <v>36445.957562447</v>
      </c>
      <c r="BF573" s="58" t="n">
        <f aca="false">IF(BE573="",0,MAX(0,MIN(1,(IF(CC573="L1",Parameter!$H$5,IF(CC573="L23",Parameter!$H$6+Parameter!$H$7,Parameter!$H$5+Parameter!$H$6+Parameter!$H$7))-(BE573-BA573))/BA573)))</f>
        <v>0</v>
      </c>
      <c r="BG573" s="48" t="str">
        <f aca="false">IF(AI573&lt;=0,"",IF(CC573="Aussen","Aussenlager",IF(CC573="-","Nicht im Lift",IF(AN573&gt;=1,"Lift",IF(AN573&lt;=0,"Aussenlager","teilweise")))))</f>
        <v>Lift</v>
      </c>
      <c r="BH573" s="48" t="str">
        <f aca="false">IF(AR573&lt;=0,"",IF(CC573="Aussen","Aussenlager",IF(CC573="-","Nicht im Lift",IF(AW573&gt;=1,"Lift",IF(AW573&lt;=0,"Aussenlager","teilweise")))))</f>
        <v>Aussenlager</v>
      </c>
      <c r="BI573" s="48" t="str">
        <f aca="false">IF(BA573&lt;=0,"",IF(CC573="Aussen","Aussenlager",IF(CC573="-","Nicht im Lift",IF(BF573&gt;=1,"Lift",IF(BF573&lt;=0,"Aussenlager","teilweise")))))</f>
        <v>Aussenlager</v>
      </c>
      <c r="BJ573" s="48" t="str">
        <f aca="false">IF(A573="","",IF(BS573=1,"Neu; ","")&amp;IF(AND(BS573=0,BN573&lt;0),"negativer Bestand (Export "&amp;BN573&amp;"); ","")&amp;IF(J573&lt;=0,"Kein Verbrauch; ","")&amp;IF(CL573&gt;0,"Lift "&amp;W573&amp;" lt. Liftbericht (Fach "&amp;X573&amp;" Stk); ",IF(BX573=1,"Gebinde geschätzt ("&amp;T573&amp;"); ",IF(BW573=1,"Lose – Tablare geschätzt; ","")))&amp;IF(H573&gt;AT573,"Überbestand "&amp;ROUND(H573-AT573,0)&amp;" Stk / CHF "&amp;ROUND((H573-AT573)*G573,0)&amp;"; ","")&amp;IF(AND(CE573=1,CF573&lt;CG573),"MAX &lt; MB+LG; ","")&amp;IF(AND(CK573&gt;0,CJ573*10&gt;CK573),"zu hoch für Tablar; ","")&amp;IF(AND(BS573=0,OR(CE573=1,AA573&lt;&gt;"",U573&lt;&gt;"",V573&lt;&gt;"",AB573&lt;&gt;"")),"manuell übersteuert; ","")&amp;IF(AND(BW573=0,R573=0),"Gebinde unbekannt / Stellmass fehlt; ","")&amp;IF(AND(BW573=0,N(V573)&lt;=0,N(Q573)&lt;=0),"Menge pro Gebinde fehlt (Ist = 1 Gebinde); ","")&amp;BR573)</f>
        <v>Kein Verbrauch; Gebinde geschätzt (Gross); Menge pro Gebinde fehlt (Ist = 1 Gebinde); </v>
      </c>
      <c r="BK573" s="48"/>
      <c r="BL573" s="48"/>
      <c r="BM573" s="55"/>
      <c r="BN573" s="50" t="n">
        <v>1</v>
      </c>
      <c r="BO573" s="50" t="n">
        <v>0</v>
      </c>
      <c r="BP573" s="49" t="n">
        <v>10.5</v>
      </c>
      <c r="BQ573" s="50" t="n">
        <v>0</v>
      </c>
      <c r="BR573" s="48"/>
      <c r="BS573" s="53" t="n">
        <v>0</v>
      </c>
      <c r="BT573" s="53" t="n">
        <v>573</v>
      </c>
      <c r="BU573" s="48" t="str">
        <f aca="false">IF(U573&lt;&gt;"",UPPER(TRIM(U573)),IF(BX573=1,UPPER(VLOOKUP(T573,Parameter!$I$27:$K$29,2,0)),IF(P573="","LOSE",P573)))</f>
        <v>S81</v>
      </c>
      <c r="BV573" s="50" t="n">
        <f aca="false">IF(BU573="LOSE",1,IF(N(V573)&gt;0,V573,IF(BX573=1,MAX(1,N(VLOOKUP(T573,Parameter!$I$27:$K$29,3,0)),H573,N(N573)),IF(N(Q573)&gt;0,Q573,MAX(1,H573)))))</f>
        <v>2</v>
      </c>
      <c r="BW573" s="53" t="n">
        <f aca="false">IF(BU573="LOSE",1,0)</f>
        <v>0</v>
      </c>
      <c r="BX573" s="53" t="n">
        <f aca="false">IF(AND(U573="",OR(P573="",P573="LOSE"),T573&lt;&gt;"",N(S573)&lt;=0,ISNUMBER(MATCH(T573,Parameter!$I$27:$I$29,0))),1,0)</f>
        <v>1</v>
      </c>
      <c r="BY573" s="53" t="n">
        <f aca="false">IF(CL573&gt;0,INDEX(Parameter!$H$5:$H$7,W573)/INDEX(Parameter!$E$5:$E$7,W573),IF(AND(BW573=0,N(IFERROR(VLOOKUP(BU573,'Gebinde-Kategorie'!$A$5:$N$45,14,0),0))&gt;0),VLOOKUP(BU573,'Gebinde-Kategorie'!$A$5:$N$45,14,0)*10+Parameter!$M$23,Parameter!$M$24))</f>
        <v>235</v>
      </c>
      <c r="BZ573" s="48" t="str">
        <f aca="false">IF(AND(Parameter!$B$19="Ja",E573&lt;&gt;"",ISNUMBER(MATCH(E573,Parameter!$I$35:$I$52,0))),VLOOKUP(E573,Parameter!$I$35:$J$52,2,0),IFERROR(VLOOKUP(D573,Parameter!$A$35:$C$64,2,0),"Nein"))</f>
        <v>2+3</v>
      </c>
      <c r="CA573" s="52" t="n">
        <f aca="false">IF(BW573=0,0,IF(N(S573)&gt;0,S573,IFERROR(VLOOKUP(D573,Parameter!$A$35:$C$64,3,0)+0,0)))</f>
        <v>0</v>
      </c>
      <c r="CB573" s="48" t="n">
        <f aca="false">IF(AA573&lt;&gt;"",AA573,Z573)</f>
        <v>2</v>
      </c>
      <c r="CC573" s="48" t="str">
        <f aca="false">IF(OR(CB573=1,CB573=2,CB573=3),IF(Parameter!$E$27="Ja","LIFT",IF(CB573=1,"L1","L23")),IF(CB573="Aussen","Aussen","-"))</f>
        <v>LIFT</v>
      </c>
      <c r="CD573" s="59" t="n">
        <f aca="false">IF(N(AB573)&gt;0,AB573,0)</f>
        <v>0</v>
      </c>
      <c r="CE573" s="53" t="n">
        <f aca="false">IF(ISNUMBER(AE573),1,0)</f>
        <v>0</v>
      </c>
      <c r="CF573" s="50" t="n">
        <f aca="false">N(AE573)</f>
        <v>0</v>
      </c>
      <c r="CG573" s="50" t="n">
        <f aca="false">N(M573)+N(N573)</f>
        <v>1</v>
      </c>
      <c r="CH573" s="50" t="n">
        <f aca="false">ROUNDUP(H573/BV573,0)</f>
        <v>1</v>
      </c>
      <c r="CI573" s="50" t="n">
        <f aca="false">ROUNDUP(CF573/BV573,0)</f>
        <v>0</v>
      </c>
      <c r="CJ573" s="53" t="n">
        <f aca="false">IF(BW573=1,0,IFERROR(VLOOKUP(BU573,'Gebinde-Kategorie'!$A$5:$N$45,5,0)+0,0))</f>
        <v>20</v>
      </c>
      <c r="CK573" s="53" t="n">
        <f aca="false">IFERROR(IF(OR(CB573=1,CB573=2,CB573=3),N(INDEX(Parameter!$I$5:$I$7,CB573)),0),0)</f>
        <v>0</v>
      </c>
      <c r="CL573" s="52" t="n">
        <f aca="false">IF(AND(Parameter!$B$21="Ja",ISNUMBER(W573),N(X573)&gt;0),IFERROR(N(INDEX(Parameter!$L$5:$L$7,W573))*INDEX(Parameter!$E$5:$E$7,W573)*X573/SUMIFS($X$7:$X$1843,$W$7:$W$1843,W573),0),0)</f>
        <v>0</v>
      </c>
    </row>
    <row r="574" customFormat="false" ht="15" hidden="false" customHeight="false" outlineLevel="0" collapsed="false">
      <c r="A574" s="48" t="s">
        <v>1212</v>
      </c>
      <c r="B574" s="48" t="s">
        <v>1213</v>
      </c>
      <c r="C574" s="48" t="s">
        <v>168</v>
      </c>
      <c r="D574" s="48" t="s">
        <v>188</v>
      </c>
      <c r="E574" s="48" t="s">
        <v>189</v>
      </c>
      <c r="F574" s="48" t="s">
        <v>222</v>
      </c>
      <c r="G574" s="49" t="n">
        <v>0.05</v>
      </c>
      <c r="H574" s="50" t="n">
        <f aca="false">MAX(0,IF(AND(Parameter!$B$21="Ja",ISNUMBER(Y574)),Y574,IF(Parameter!$B$20="Jahresanfang 2025 + Export",BO574+BN574,BN574)))</f>
        <v>810</v>
      </c>
      <c r="I574" s="50" t="n">
        <f aca="false">H574*G574</f>
        <v>40.5</v>
      </c>
      <c r="J574" s="50" t="n">
        <f aca="false">BQ574*Parameter!$B$18</f>
        <v>0</v>
      </c>
      <c r="K574" s="51" t="n">
        <v>705</v>
      </c>
      <c r="L574" s="52" t="n">
        <v>0</v>
      </c>
      <c r="M574" s="50" t="n">
        <v>0</v>
      </c>
      <c r="N574" s="50" t="n">
        <v>1</v>
      </c>
      <c r="O574" s="53" t="n">
        <v>14</v>
      </c>
      <c r="P574" s="48" t="s">
        <v>405</v>
      </c>
      <c r="Q574" s="50" t="n">
        <v>512</v>
      </c>
      <c r="R574" s="53" t="n">
        <f aca="false">IF(BW574=1,0,IFERROR(VLOOKUP(BU574,'Gebinde-Kategorie'!$A$5:$N$45,13,0)+0,0))</f>
        <v>280</v>
      </c>
      <c r="S574" s="54"/>
      <c r="T574" s="55"/>
      <c r="U574" s="55"/>
      <c r="V574" s="55"/>
      <c r="W574" s="48"/>
      <c r="X574" s="50"/>
      <c r="Y574" s="50"/>
      <c r="Z574" s="48" t="n">
        <f aca="false">IF(A574="","",IF(AND(Parameter!$B$21="Ja",ISNUMBER(W574)),W574,IF(BZ574="2+3",IF(ISNUMBER(SEARCH("grosser Artikel",BR574)),2,IFERROR(VLOOKUP(BU574,Parameter!$F$35:$G$64,2,0),2)),IF(OR(BZ574="Nein",BZ574=""),"-",BZ574))))</f>
        <v>3</v>
      </c>
      <c r="AA574" s="55"/>
      <c r="AB574" s="56"/>
      <c r="AC574" s="50" t="n">
        <f aca="false">AT574</f>
        <v>512</v>
      </c>
      <c r="AD574" s="50" t="n">
        <f aca="false">MAX(AT574,H574)</f>
        <v>810</v>
      </c>
      <c r="AE574" s="57"/>
      <c r="AF574" s="50" t="n">
        <f aca="false">IF(LEFT(Cockpit!$C$5,1)="A",H574,IF(CE574=1,CF574,IF(LEFT(Cockpit!$C$5,1)="B",AK574,MAX(AK574,H574))))</f>
        <v>810</v>
      </c>
      <c r="AG574" s="50" t="n">
        <f aca="false">IF(BW574=1,0,ROUNDUP(AF574/BV574,0))</f>
        <v>2</v>
      </c>
      <c r="AH574" s="52" t="n">
        <f aca="false">IF(CL574&gt;0,CL574*MAX(1,AF574/X574),IF(BW574=1,IF(AF574&lt;=0,0,CA574*MAX(1,IF(H574&gt;0,AF574/H574,1))),IF(R574&gt;0,AG574/R574,0))/MAX(0.1,N(Parameter!$M$21)))</f>
        <v>0.00714285714285714</v>
      </c>
      <c r="AI574" s="50" t="n">
        <f aca="false">AH574*BY574</f>
        <v>1.10714285714286</v>
      </c>
      <c r="AJ574" s="50" t="n">
        <f aca="false">AF574*G574</f>
        <v>40.5</v>
      </c>
      <c r="AK574" s="50" t="n">
        <f aca="false">ROUNDUP(MAX(J574/IF(CD574&gt;0,CD574,MAX(0.1,N(Cockpit!$C$6))),CG574)/BV574,0)*BV574</f>
        <v>512</v>
      </c>
      <c r="AL574" s="51" t="n">
        <f aca="false">IF(AI574&gt;0,J574/AI574,-1)</f>
        <v>0</v>
      </c>
      <c r="AM574" s="51" t="n">
        <f aca="false">IF(AND(OR(CC574="L1",CC574="L23",CC574="LIFT"),AI574&gt;0),SUMIFS($AI$7:$AI$1843,$CC$7:$CC$1843,CC574,$AL$7:$AL$1843,"&gt;"&amp;AL574)+SUMIFS($AI$7:$AI$1843,$CC$7:$CC$1843,CC574,$AL$7:$AL$1843,AL574,$BT$7:$BT$1843,"&lt;="&amp;BT574),"")</f>
        <v>28459.1471461683</v>
      </c>
      <c r="AN574" s="58" t="n">
        <f aca="false">IF(AM574="",0,MAX(0,MIN(1,(IF(CC574="L1",Parameter!$H$5,IF(CC574="L23",Parameter!$H$6+Parameter!$H$7,Parameter!$H$5+Parameter!$H$6+Parameter!$H$7))-(AM574-AI574))/AI574)))</f>
        <v>1</v>
      </c>
      <c r="AO574" s="50" t="n">
        <f aca="false">IF(LEFT(Cockpit!$I$5,1)="A",H574,IF(CE574=1,CF574,IF(LEFT(Cockpit!$I$5,1)="B",AT574,MAX(AT574,H574))))</f>
        <v>810</v>
      </c>
      <c r="AP574" s="50" t="n">
        <f aca="false">IF(BW574=1,0,ROUNDUP(AO574/BV574,0))</f>
        <v>2</v>
      </c>
      <c r="AQ574" s="52" t="n">
        <f aca="false">IF(CL574&gt;0,CL574*MAX(1,AO574/X574),IF(BW574=1,IF(AO574&lt;=0,0,CA574*MAX(1,IF(H574&gt;0,AO574/H574,1))),IF(R574&gt;0,AP574/R574,0))/MAX(0.1,N(Parameter!$M$21)))</f>
        <v>0.00714285714285714</v>
      </c>
      <c r="AR574" s="50" t="n">
        <f aca="false">AQ574*BY574</f>
        <v>1.10714285714286</v>
      </c>
      <c r="AS574" s="50" t="n">
        <f aca="false">AO574*G574</f>
        <v>40.5</v>
      </c>
      <c r="AT574" s="50" t="n">
        <f aca="false">ROUNDUP(MAX(J574/IF(CD574&gt;0,CD574,MAX(0.1,N(Cockpit!$I$6))),CG574)/BV574,0)*BV574</f>
        <v>512</v>
      </c>
      <c r="AU574" s="51" t="n">
        <f aca="false">IF(AR574&gt;0,J574/AR574,-1)</f>
        <v>0</v>
      </c>
      <c r="AV574" s="51" t="n">
        <f aca="false">IF(AND(OR(CC574="L1",CC574="L23",CC574="LIFT"),AR574&gt;0),SUMIFS($AR$7:$AR$1843,$CC$7:$CC$1843,CC574,$AU$7:$AU$1843,"&gt;"&amp;AU574)+SUMIFS($AR$7:$AR$1843,$CC$7:$CC$1843,CC574,$AU$7:$AU$1843,AU574,$BT$7:$BT$1843,"&lt;="&amp;BT574),"")</f>
        <v>39772.0526634383</v>
      </c>
      <c r="AW574" s="58" t="n">
        <f aca="false">IF(AV574="",0,MAX(0,MIN(1,(IF(CC574="L1",Parameter!$H$5,IF(CC574="L23",Parameter!$H$6+Parameter!$H$7,Parameter!$H$5+Parameter!$H$6+Parameter!$H$7))-(AV574-AR574))/AR574)))</f>
        <v>0</v>
      </c>
      <c r="AX574" s="50" t="n">
        <f aca="false">IF(LEFT(Cockpit!$O$5,1)="A",H574,IF(CE574=1,CF574,IF(LEFT(Cockpit!$O$5,1)="B",BC574,MAX(BC574,H574))))</f>
        <v>810</v>
      </c>
      <c r="AY574" s="50" t="n">
        <f aca="false">IF(BW574=1,0,ROUNDUP(AX574/BV574,0))</f>
        <v>2</v>
      </c>
      <c r="AZ574" s="52" t="n">
        <f aca="false">IF(CL574&gt;0,CL574*MAX(1,AX574/X574),IF(BW574=1,IF(AX574&lt;=0,0,CA574*MAX(1,IF(H574&gt;0,AX574/H574,1))),IF(R574&gt;0,AY574/R574,0))/MAX(0.1,N(Parameter!$M$21)))</f>
        <v>0.00714285714285714</v>
      </c>
      <c r="BA574" s="50" t="n">
        <f aca="false">AZ574*BY574</f>
        <v>1.10714285714286</v>
      </c>
      <c r="BB574" s="50" t="n">
        <f aca="false">AX574*G574</f>
        <v>40.5</v>
      </c>
      <c r="BC574" s="50" t="n">
        <f aca="false">ROUNDUP(MAX(J574/IF(CD574&gt;0,CD574,MAX(0.1,N(Cockpit!$O$6))),CG574)/BV574,0)*BV574</f>
        <v>512</v>
      </c>
      <c r="BD574" s="51" t="n">
        <f aca="false">IF(BA574&gt;0,J574/BA574,-1)</f>
        <v>0</v>
      </c>
      <c r="BE574" s="51" t="n">
        <f aca="false">IF(AND(OR(CC574="L1",CC574="L23",CC574="LIFT"),BA574&gt;0),SUMIFS($BA$7:$BA$1843,$CC$7:$CC$1843,CC574,$BD$7:$BD$1843,"&gt;"&amp;BD574)+SUMIFS($BA$7:$BA$1843,$CC$7:$CC$1843,CC574,$BD$7:$BD$1843,BD574,$BT$7:$BT$1843,"&lt;="&amp;BT574),"")</f>
        <v>36447.0647053041</v>
      </c>
      <c r="BF574" s="58" t="n">
        <f aca="false">IF(BE574="",0,MAX(0,MIN(1,(IF(CC574="L1",Parameter!$H$5,IF(CC574="L23",Parameter!$H$6+Parameter!$H$7,Parameter!$H$5+Parameter!$H$6+Parameter!$H$7))-(BE574-BA574))/BA574)))</f>
        <v>0</v>
      </c>
      <c r="BG574" s="48" t="str">
        <f aca="false">IF(AI574&lt;=0,"",IF(CC574="Aussen","Aussenlager",IF(CC574="-","Nicht im Lift",IF(AN574&gt;=1,"Lift",IF(AN574&lt;=0,"Aussenlager","teilweise")))))</f>
        <v>Lift</v>
      </c>
      <c r="BH574" s="48" t="str">
        <f aca="false">IF(AR574&lt;=0,"",IF(CC574="Aussen","Aussenlager",IF(CC574="-","Nicht im Lift",IF(AW574&gt;=1,"Lift",IF(AW574&lt;=0,"Aussenlager","teilweise")))))</f>
        <v>Aussenlager</v>
      </c>
      <c r="BI574" s="48" t="str">
        <f aca="false">IF(BA574&lt;=0,"",IF(CC574="Aussen","Aussenlager",IF(CC574="-","Nicht im Lift",IF(BF574&gt;=1,"Lift",IF(BF574&lt;=0,"Aussenlager","teilweise")))))</f>
        <v>Aussenlager</v>
      </c>
      <c r="BJ574" s="48" t="str">
        <f aca="false">IF(A574="","",IF(BS574=1,"Neu; ","")&amp;IF(AND(BS574=0,BN574&lt;0),"negativer Bestand (Export "&amp;BN574&amp;"); ","")&amp;IF(J574&lt;=0,"Kein Verbrauch; ","")&amp;IF(CL574&gt;0,"Lift "&amp;W574&amp;" lt. Liftbericht (Fach "&amp;X574&amp;" Stk); ",IF(BX574=1,"Gebinde geschätzt ("&amp;T574&amp;"); ",IF(BW574=1,"Lose – Tablare geschätzt; ","")))&amp;IF(H574&gt;AT574,"Überbestand "&amp;ROUND(H574-AT574,0)&amp;" Stk / CHF "&amp;ROUND((H574-AT574)*G574,0)&amp;"; ","")&amp;IF(AND(CE574=1,CF574&lt;CG574),"MAX &lt; MB+LG; ","")&amp;IF(AND(CK574&gt;0,CJ574*10&gt;CK574),"zu hoch für Tablar; ","")&amp;IF(AND(BS574=0,OR(CE574=1,AA574&lt;&gt;"",U574&lt;&gt;"",V574&lt;&gt;"",AB574&lt;&gt;"")),"manuell übersteuert; ","")&amp;IF(AND(BW574=0,R574=0),"Gebinde unbekannt / Stellmass fehlt; ","")&amp;IF(AND(BW574=0,N(V574)&lt;=0,N(Q574)&lt;=0),"Menge pro Gebinde fehlt (Ist = 1 Gebinde); ","")&amp;BR574)</f>
        <v>Kein Verbrauch; Überbestand 298 Stk / CHF 15; Handlager</v>
      </c>
      <c r="BK574" s="48"/>
      <c r="BL574" s="48"/>
      <c r="BM574" s="55"/>
      <c r="BN574" s="50" t="n">
        <v>210</v>
      </c>
      <c r="BO574" s="50" t="n">
        <v>600</v>
      </c>
      <c r="BP574" s="49" t="n">
        <v>10.5</v>
      </c>
      <c r="BQ574" s="50" t="n">
        <v>0</v>
      </c>
      <c r="BR574" s="48" t="s">
        <v>899</v>
      </c>
      <c r="BS574" s="53" t="n">
        <v>0</v>
      </c>
      <c r="BT574" s="53" t="n">
        <v>574</v>
      </c>
      <c r="BU574" s="48" t="str">
        <f aca="false">IF(U574&lt;&gt;"",UPPER(TRIM(U574)),IF(BX574=1,UPPER(VLOOKUP(T574,Parameter!$I$27:$K$29,2,0)),IF(P574="","LOSE",P574)))</f>
        <v>S21</v>
      </c>
      <c r="BV574" s="50" t="n">
        <f aca="false">IF(BU574="LOSE",1,IF(N(V574)&gt;0,V574,IF(BX574=1,MAX(1,N(VLOOKUP(T574,Parameter!$I$27:$K$29,3,0)),H574,N(N574)),IF(N(Q574)&gt;0,Q574,MAX(1,H574)))))</f>
        <v>512</v>
      </c>
      <c r="BW574" s="53" t="n">
        <f aca="false">IF(BU574="LOSE",1,0)</f>
        <v>0</v>
      </c>
      <c r="BX574" s="53" t="n">
        <f aca="false">IF(AND(U574="",OR(P574="",P574="LOSE"),T574&lt;&gt;"",N(S574)&lt;=0,ISNUMBER(MATCH(T574,Parameter!$I$27:$I$29,0))),1,0)</f>
        <v>0</v>
      </c>
      <c r="BY574" s="53" t="n">
        <f aca="false">IF(CL574&gt;0,INDEX(Parameter!$H$5:$H$7,W574)/INDEX(Parameter!$E$5:$E$7,W574),IF(AND(BW574=0,N(IFERROR(VLOOKUP(BU574,'Gebinde-Kategorie'!$A$5:$N$45,14,0),0))&gt;0),VLOOKUP(BU574,'Gebinde-Kategorie'!$A$5:$N$45,14,0)*10+Parameter!$M$23,Parameter!$M$24))</f>
        <v>155</v>
      </c>
      <c r="BZ574" s="48" t="str">
        <f aca="false">IF(AND(Parameter!$B$19="Ja",E574&lt;&gt;"",ISNUMBER(MATCH(E574,Parameter!$I$35:$I$52,0))),VLOOKUP(E574,Parameter!$I$35:$J$52,2,0),IFERROR(VLOOKUP(D574,Parameter!$A$35:$C$64,2,0),"Nein"))</f>
        <v>2+3</v>
      </c>
      <c r="CA574" s="52" t="n">
        <f aca="false">IF(BW574=0,0,IF(N(S574)&gt;0,S574,IFERROR(VLOOKUP(D574,Parameter!$A$35:$C$64,3,0)+0,0)))</f>
        <v>0</v>
      </c>
      <c r="CB574" s="48" t="n">
        <f aca="false">IF(AA574&lt;&gt;"",AA574,Z574)</f>
        <v>3</v>
      </c>
      <c r="CC574" s="48" t="str">
        <f aca="false">IF(OR(CB574=1,CB574=2,CB574=3),IF(Parameter!$E$27="Ja","LIFT",IF(CB574=1,"L1","L23")),IF(CB574="Aussen","Aussen","-"))</f>
        <v>LIFT</v>
      </c>
      <c r="CD574" s="59" t="n">
        <f aca="false">IF(N(AB574)&gt;0,AB574,0)</f>
        <v>0</v>
      </c>
      <c r="CE574" s="53" t="n">
        <f aca="false">IF(ISNUMBER(AE574),1,0)</f>
        <v>0</v>
      </c>
      <c r="CF574" s="50" t="n">
        <f aca="false">N(AE574)</f>
        <v>0</v>
      </c>
      <c r="CG574" s="50" t="n">
        <f aca="false">N(M574)+N(N574)</f>
        <v>1</v>
      </c>
      <c r="CH574" s="50" t="n">
        <f aca="false">ROUNDUP(H574/BV574,0)</f>
        <v>2</v>
      </c>
      <c r="CI574" s="50" t="n">
        <f aca="false">ROUNDUP(CF574/BV574,0)</f>
        <v>0</v>
      </c>
      <c r="CJ574" s="53" t="n">
        <f aca="false">IF(BW574=1,0,IFERROR(VLOOKUP(BU574,'Gebinde-Kategorie'!$A$5:$N$45,5,0)+0,0))</f>
        <v>8</v>
      </c>
      <c r="CK574" s="53" t="n">
        <f aca="false">IFERROR(IF(OR(CB574=1,CB574=2,CB574=3),N(INDEX(Parameter!$I$5:$I$7,CB574)),0),0)</f>
        <v>0</v>
      </c>
      <c r="CL574" s="52" t="n">
        <f aca="false">IF(AND(Parameter!$B$21="Ja",ISNUMBER(W574),N(X574)&gt;0),IFERROR(N(INDEX(Parameter!$L$5:$L$7,W574))*INDEX(Parameter!$E$5:$E$7,W574)*X574/SUMIFS($X$7:$X$1843,$W$7:$W$1843,W574),0),0)</f>
        <v>0</v>
      </c>
    </row>
    <row r="575" customFormat="false" ht="15" hidden="false" customHeight="false" outlineLevel="0" collapsed="false">
      <c r="A575" s="48" t="s">
        <v>1214</v>
      </c>
      <c r="B575" s="48" t="s">
        <v>1215</v>
      </c>
      <c r="C575" s="48" t="s">
        <v>168</v>
      </c>
      <c r="D575" s="48" t="s">
        <v>188</v>
      </c>
      <c r="E575" s="48" t="s">
        <v>189</v>
      </c>
      <c r="F575" s="48" t="s">
        <v>222</v>
      </c>
      <c r="G575" s="49" t="n">
        <v>2.8</v>
      </c>
      <c r="H575" s="50" t="n">
        <f aca="false">MAX(0,IF(AND(Parameter!$B$21="Ja",ISNUMBER(Y575)),Y575,IF(Parameter!$B$20="Jahresanfang 2025 + Export",BO575+BN575,BN575)))</f>
        <v>20</v>
      </c>
      <c r="I575" s="50" t="n">
        <f aca="false">H575*G575</f>
        <v>56</v>
      </c>
      <c r="J575" s="50" t="n">
        <f aca="false">BQ575*Parameter!$B$18</f>
        <v>0</v>
      </c>
      <c r="K575" s="51" t="n">
        <v>19</v>
      </c>
      <c r="L575" s="52" t="n">
        <v>0</v>
      </c>
      <c r="M575" s="50" t="n">
        <v>0</v>
      </c>
      <c r="N575" s="50" t="n">
        <v>1</v>
      </c>
      <c r="O575" s="53" t="n">
        <v>42</v>
      </c>
      <c r="P575" s="48" t="s">
        <v>425</v>
      </c>
      <c r="Q575" s="50" t="n">
        <v>18</v>
      </c>
      <c r="R575" s="53" t="n">
        <f aca="false">IF(BW575=1,0,IFERROR(VLOOKUP(BU575,'Gebinde-Kategorie'!$A$5:$N$45,13,0)+0,0))</f>
        <v>104</v>
      </c>
      <c r="S575" s="54"/>
      <c r="T575" s="55"/>
      <c r="U575" s="55"/>
      <c r="V575" s="55"/>
      <c r="W575" s="48"/>
      <c r="X575" s="50"/>
      <c r="Y575" s="50"/>
      <c r="Z575" s="48" t="n">
        <f aca="false">IF(A575="","",IF(AND(Parameter!$B$21="Ja",ISNUMBER(W575)),W575,IF(BZ575="2+3",IF(ISNUMBER(SEARCH("grosser Artikel",BR575)),2,IFERROR(VLOOKUP(BU575,Parameter!$F$35:$G$64,2,0),2)),IF(OR(BZ575="Nein",BZ575=""),"-",BZ575))))</f>
        <v>3</v>
      </c>
      <c r="AA575" s="55"/>
      <c r="AB575" s="56"/>
      <c r="AC575" s="50" t="n">
        <f aca="false">AT575</f>
        <v>18</v>
      </c>
      <c r="AD575" s="50" t="n">
        <f aca="false">MAX(AT575,H575)</f>
        <v>20</v>
      </c>
      <c r="AE575" s="57"/>
      <c r="AF575" s="50" t="n">
        <f aca="false">IF(LEFT(Cockpit!$C$5,1)="A",H575,IF(CE575=1,CF575,IF(LEFT(Cockpit!$C$5,1)="B",AK575,MAX(AK575,H575))))</f>
        <v>20</v>
      </c>
      <c r="AG575" s="50" t="n">
        <f aca="false">IF(BW575=1,0,ROUNDUP(AF575/BV575,0))</f>
        <v>2</v>
      </c>
      <c r="AH575" s="52" t="n">
        <f aca="false">IF(CL575&gt;0,CL575*MAX(1,AF575/X575),IF(BW575=1,IF(AF575&lt;=0,0,CA575*MAX(1,IF(H575&gt;0,AF575/H575,1))),IF(R575&gt;0,AG575/R575,0))/MAX(0.1,N(Parameter!$M$21)))</f>
        <v>0.0192307692307692</v>
      </c>
      <c r="AI575" s="50" t="n">
        <f aca="false">AH575*BY575</f>
        <v>2.98076923076923</v>
      </c>
      <c r="AJ575" s="50" t="n">
        <f aca="false">AF575*G575</f>
        <v>56</v>
      </c>
      <c r="AK575" s="50" t="n">
        <f aca="false">ROUNDUP(MAX(J575/IF(CD575&gt;0,CD575,MAX(0.1,N(Cockpit!$C$6))),CG575)/BV575,0)*BV575</f>
        <v>18</v>
      </c>
      <c r="AL575" s="51" t="n">
        <f aca="false">IF(AI575&gt;0,J575/AI575,-1)</f>
        <v>0</v>
      </c>
      <c r="AM575" s="51" t="n">
        <f aca="false">IF(AND(OR(CC575="L1",CC575="L23",CC575="LIFT"),AI575&gt;0),SUMIFS($AI$7:$AI$1843,$CC$7:$CC$1843,CC575,$AL$7:$AL$1843,"&gt;"&amp;AL575)+SUMIFS($AI$7:$AI$1843,$CC$7:$CC$1843,CC575,$AL$7:$AL$1843,AL575,$BT$7:$BT$1843,"&lt;="&amp;BT575),"")</f>
        <v>28462.1279153991</v>
      </c>
      <c r="AN575" s="58" t="n">
        <f aca="false">IF(AM575="",0,MAX(0,MIN(1,(IF(CC575="L1",Parameter!$H$5,IF(CC575="L23",Parameter!$H$6+Parameter!$H$7,Parameter!$H$5+Parameter!$H$6+Parameter!$H$7))-(AM575-AI575))/AI575)))</f>
        <v>1</v>
      </c>
      <c r="AO575" s="50" t="n">
        <f aca="false">IF(LEFT(Cockpit!$I$5,1)="A",H575,IF(CE575=1,CF575,IF(LEFT(Cockpit!$I$5,1)="B",AT575,MAX(AT575,H575))))</f>
        <v>20</v>
      </c>
      <c r="AP575" s="50" t="n">
        <f aca="false">IF(BW575=1,0,ROUNDUP(AO575/BV575,0))</f>
        <v>2</v>
      </c>
      <c r="AQ575" s="52" t="n">
        <f aca="false">IF(CL575&gt;0,CL575*MAX(1,AO575/X575),IF(BW575=1,IF(AO575&lt;=0,0,CA575*MAX(1,IF(H575&gt;0,AO575/H575,1))),IF(R575&gt;0,AP575/R575,0))/MAX(0.1,N(Parameter!$M$21)))</f>
        <v>0.0192307692307692</v>
      </c>
      <c r="AR575" s="50" t="n">
        <f aca="false">AQ575*BY575</f>
        <v>2.98076923076923</v>
      </c>
      <c r="AS575" s="50" t="n">
        <f aca="false">AO575*G575</f>
        <v>56</v>
      </c>
      <c r="AT575" s="50" t="n">
        <f aca="false">ROUNDUP(MAX(J575/IF(CD575&gt;0,CD575,MAX(0.1,N(Cockpit!$I$6))),CG575)/BV575,0)*BV575</f>
        <v>18</v>
      </c>
      <c r="AU575" s="51" t="n">
        <f aca="false">IF(AR575&gt;0,J575/AR575,-1)</f>
        <v>0</v>
      </c>
      <c r="AV575" s="51" t="n">
        <f aca="false">IF(AND(OR(CC575="L1",CC575="L23",CC575="LIFT"),AR575&gt;0),SUMIFS($AR$7:$AR$1843,$CC$7:$CC$1843,CC575,$AU$7:$AU$1843,"&gt;"&amp;AU575)+SUMIFS($AR$7:$AR$1843,$CC$7:$CC$1843,CC575,$AU$7:$AU$1843,AU575,$BT$7:$BT$1843,"&lt;="&amp;BT575),"")</f>
        <v>39775.033432669</v>
      </c>
      <c r="AW575" s="58" t="n">
        <f aca="false">IF(AV575="",0,MAX(0,MIN(1,(IF(CC575="L1",Parameter!$H$5,IF(CC575="L23",Parameter!$H$6+Parameter!$H$7,Parameter!$H$5+Parameter!$H$6+Parameter!$H$7))-(AV575-AR575))/AR575)))</f>
        <v>0</v>
      </c>
      <c r="AX575" s="50" t="n">
        <f aca="false">IF(LEFT(Cockpit!$O$5,1)="A",H575,IF(CE575=1,CF575,IF(LEFT(Cockpit!$O$5,1)="B",BC575,MAX(BC575,H575))))</f>
        <v>20</v>
      </c>
      <c r="AY575" s="50" t="n">
        <f aca="false">IF(BW575=1,0,ROUNDUP(AX575/BV575,0))</f>
        <v>2</v>
      </c>
      <c r="AZ575" s="52" t="n">
        <f aca="false">IF(CL575&gt;0,CL575*MAX(1,AX575/X575),IF(BW575=1,IF(AX575&lt;=0,0,CA575*MAX(1,IF(H575&gt;0,AX575/H575,1))),IF(R575&gt;0,AY575/R575,0))/MAX(0.1,N(Parameter!$M$21)))</f>
        <v>0.0192307692307692</v>
      </c>
      <c r="BA575" s="50" t="n">
        <f aca="false">AZ575*BY575</f>
        <v>2.98076923076923</v>
      </c>
      <c r="BB575" s="50" t="n">
        <f aca="false">AX575*G575</f>
        <v>56</v>
      </c>
      <c r="BC575" s="50" t="n">
        <f aca="false">ROUNDUP(MAX(J575/IF(CD575&gt;0,CD575,MAX(0.1,N(Cockpit!$O$6))),CG575)/BV575,0)*BV575</f>
        <v>18</v>
      </c>
      <c r="BD575" s="51" t="n">
        <f aca="false">IF(BA575&gt;0,J575/BA575,-1)</f>
        <v>0</v>
      </c>
      <c r="BE575" s="51" t="n">
        <f aca="false">IF(AND(OR(CC575="L1",CC575="L23",CC575="LIFT"),BA575&gt;0),SUMIFS($BA$7:$BA$1843,$CC$7:$CC$1843,CC575,$BD$7:$BD$1843,"&gt;"&amp;BD575)+SUMIFS($BA$7:$BA$1843,$CC$7:$CC$1843,CC575,$BD$7:$BD$1843,BD575,$BT$7:$BT$1843,"&lt;="&amp;BT575),"")</f>
        <v>36450.0454745349</v>
      </c>
      <c r="BF575" s="58" t="n">
        <f aca="false">IF(BE575="",0,MAX(0,MIN(1,(IF(CC575="L1",Parameter!$H$5,IF(CC575="L23",Parameter!$H$6+Parameter!$H$7,Parameter!$H$5+Parameter!$H$6+Parameter!$H$7))-(BE575-BA575))/BA575)))</f>
        <v>0</v>
      </c>
      <c r="BG575" s="48" t="str">
        <f aca="false">IF(AI575&lt;=0,"",IF(CC575="Aussen","Aussenlager",IF(CC575="-","Nicht im Lift",IF(AN575&gt;=1,"Lift",IF(AN575&lt;=0,"Aussenlager","teilweise")))))</f>
        <v>Lift</v>
      </c>
      <c r="BH575" s="48" t="str">
        <f aca="false">IF(AR575&lt;=0,"",IF(CC575="Aussen","Aussenlager",IF(CC575="-","Nicht im Lift",IF(AW575&gt;=1,"Lift",IF(AW575&lt;=0,"Aussenlager","teilweise")))))</f>
        <v>Aussenlager</v>
      </c>
      <c r="BI575" s="48" t="str">
        <f aca="false">IF(BA575&lt;=0,"",IF(CC575="Aussen","Aussenlager",IF(CC575="-","Nicht im Lift",IF(BF575&gt;=1,"Lift",IF(BF575&lt;=0,"Aussenlager","teilweise")))))</f>
        <v>Aussenlager</v>
      </c>
      <c r="BJ575" s="48" t="str">
        <f aca="false">IF(A575="","",IF(BS575=1,"Neu; ","")&amp;IF(AND(BS575=0,BN575&lt;0),"negativer Bestand (Export "&amp;BN575&amp;"); ","")&amp;IF(J575&lt;=0,"Kein Verbrauch; ","")&amp;IF(CL575&gt;0,"Lift "&amp;W575&amp;" lt. Liftbericht (Fach "&amp;X575&amp;" Stk); ",IF(BX575=1,"Gebinde geschätzt ("&amp;T575&amp;"); ",IF(BW575=1,"Lose – Tablare geschätzt; ","")))&amp;IF(H575&gt;AT575,"Überbestand "&amp;ROUND(H575-AT575,0)&amp;" Stk / CHF "&amp;ROUND((H575-AT575)*G575,0)&amp;"; ","")&amp;IF(AND(CE575=1,CF575&lt;CG575),"MAX &lt; MB+LG; ","")&amp;IF(AND(CK575&gt;0,CJ575*10&gt;CK575),"zu hoch für Tablar; ","")&amp;IF(AND(BS575=0,OR(CE575=1,AA575&lt;&gt;"",U575&lt;&gt;"",V575&lt;&gt;"",AB575&lt;&gt;"")),"manuell übersteuert; ","")&amp;IF(AND(BW575=0,R575=0),"Gebinde unbekannt / Stellmass fehlt; ","")&amp;IF(AND(BW575=0,N(V575)&lt;=0,N(Q575)&lt;=0),"Menge pro Gebinde fehlt (Ist = 1 Gebinde); ","")&amp;BR575)</f>
        <v>Kein Verbrauch; Überbestand 2 Stk / CHF 6; Überbestand</v>
      </c>
      <c r="BK575" s="48"/>
      <c r="BL575" s="48"/>
      <c r="BM575" s="55"/>
      <c r="BN575" s="50" t="n">
        <v>2</v>
      </c>
      <c r="BO575" s="50" t="n">
        <v>18</v>
      </c>
      <c r="BP575" s="49" t="n">
        <v>10.1</v>
      </c>
      <c r="BQ575" s="50" t="n">
        <v>0</v>
      </c>
      <c r="BR575" s="48" t="s">
        <v>396</v>
      </c>
      <c r="BS575" s="53" t="n">
        <v>0</v>
      </c>
      <c r="BT575" s="53" t="n">
        <v>575</v>
      </c>
      <c r="BU575" s="48" t="str">
        <f aca="false">IF(U575&lt;&gt;"",UPPER(TRIM(U575)),IF(BX575=1,UPPER(VLOOKUP(T575,Parameter!$I$27:$K$29,2,0)),IF(P575="","LOSE",P575)))</f>
        <v>S32</v>
      </c>
      <c r="BV575" s="50" t="n">
        <f aca="false">IF(BU575="LOSE",1,IF(N(V575)&gt;0,V575,IF(BX575=1,MAX(1,N(VLOOKUP(T575,Parameter!$I$27:$K$29,3,0)),H575,N(N575)),IF(N(Q575)&gt;0,Q575,MAX(1,H575)))))</f>
        <v>18</v>
      </c>
      <c r="BW575" s="53" t="n">
        <f aca="false">IF(BU575="LOSE",1,0)</f>
        <v>0</v>
      </c>
      <c r="BX575" s="53" t="n">
        <f aca="false">IF(AND(U575="",OR(P575="",P575="LOSE"),T575&lt;&gt;"",N(S575)&lt;=0,ISNUMBER(MATCH(T575,Parameter!$I$27:$I$29,0))),1,0)</f>
        <v>0</v>
      </c>
      <c r="BY575" s="53" t="n">
        <f aca="false">IF(CL575&gt;0,INDEX(Parameter!$H$5:$H$7,W575)/INDEX(Parameter!$E$5:$E$7,W575),IF(AND(BW575=0,N(IFERROR(VLOOKUP(BU575,'Gebinde-Kategorie'!$A$5:$N$45,14,0),0))&gt;0),VLOOKUP(BU575,'Gebinde-Kategorie'!$A$5:$N$45,14,0)*10+Parameter!$M$23,Parameter!$M$24))</f>
        <v>155</v>
      </c>
      <c r="BZ575" s="48" t="str">
        <f aca="false">IF(AND(Parameter!$B$19="Ja",E575&lt;&gt;"",ISNUMBER(MATCH(E575,Parameter!$I$35:$I$52,0))),VLOOKUP(E575,Parameter!$I$35:$J$52,2,0),IFERROR(VLOOKUP(D575,Parameter!$A$35:$C$64,2,0),"Nein"))</f>
        <v>2+3</v>
      </c>
      <c r="CA575" s="52" t="n">
        <f aca="false">IF(BW575=0,0,IF(N(S575)&gt;0,S575,IFERROR(VLOOKUP(D575,Parameter!$A$35:$C$64,3,0)+0,0)))</f>
        <v>0</v>
      </c>
      <c r="CB575" s="48" t="n">
        <f aca="false">IF(AA575&lt;&gt;"",AA575,Z575)</f>
        <v>3</v>
      </c>
      <c r="CC575" s="48" t="str">
        <f aca="false">IF(OR(CB575=1,CB575=2,CB575=3),IF(Parameter!$E$27="Ja","LIFT",IF(CB575=1,"L1","L23")),IF(CB575="Aussen","Aussen","-"))</f>
        <v>LIFT</v>
      </c>
      <c r="CD575" s="59" t="n">
        <f aca="false">IF(N(AB575)&gt;0,AB575,0)</f>
        <v>0</v>
      </c>
      <c r="CE575" s="53" t="n">
        <f aca="false">IF(ISNUMBER(AE575),1,0)</f>
        <v>0</v>
      </c>
      <c r="CF575" s="50" t="n">
        <f aca="false">N(AE575)</f>
        <v>0</v>
      </c>
      <c r="CG575" s="50" t="n">
        <f aca="false">N(M575)+N(N575)</f>
        <v>1</v>
      </c>
      <c r="CH575" s="50" t="n">
        <f aca="false">ROUNDUP(H575/BV575,0)</f>
        <v>2</v>
      </c>
      <c r="CI575" s="50" t="n">
        <f aca="false">ROUNDUP(CF575/BV575,0)</f>
        <v>0</v>
      </c>
      <c r="CJ575" s="53" t="n">
        <f aca="false">IF(BW575=1,0,IFERROR(VLOOKUP(BU575,'Gebinde-Kategorie'!$A$5:$N$45,5,0)+0,0))</f>
        <v>8</v>
      </c>
      <c r="CK575" s="53" t="n">
        <f aca="false">IFERROR(IF(OR(CB575=1,CB575=2,CB575=3),N(INDEX(Parameter!$I$5:$I$7,CB575)),0),0)</f>
        <v>0</v>
      </c>
      <c r="CL575" s="52" t="n">
        <f aca="false">IF(AND(Parameter!$B$21="Ja",ISNUMBER(W575),N(X575)&gt;0),IFERROR(N(INDEX(Parameter!$L$5:$L$7,W575))*INDEX(Parameter!$E$5:$E$7,W575)*X575/SUMIFS($X$7:$X$1843,$W$7:$W$1843,W575),0),0)</f>
        <v>0</v>
      </c>
    </row>
    <row r="576" customFormat="false" ht="15" hidden="false" customHeight="false" outlineLevel="0" collapsed="false">
      <c r="A576" s="48" t="s">
        <v>1216</v>
      </c>
      <c r="B576" s="48" t="s">
        <v>747</v>
      </c>
      <c r="C576" s="48" t="s">
        <v>168</v>
      </c>
      <c r="D576" s="48" t="s">
        <v>188</v>
      </c>
      <c r="E576" s="48" t="s">
        <v>189</v>
      </c>
      <c r="F576" s="48" t="s">
        <v>222</v>
      </c>
      <c r="G576" s="49" t="n">
        <v>35.51</v>
      </c>
      <c r="H576" s="50" t="n">
        <f aca="false">MAX(0,IF(AND(Parameter!$B$21="Ja",ISNUMBER(Y576)),Y576,IF(Parameter!$B$20="Jahresanfang 2025 + Export",BO576+BN576,BN576)))</f>
        <v>22</v>
      </c>
      <c r="I576" s="50" t="n">
        <f aca="false">H576*G576</f>
        <v>781.22</v>
      </c>
      <c r="J576" s="50" t="n">
        <f aca="false">BQ576*Parameter!$B$18</f>
        <v>29</v>
      </c>
      <c r="K576" s="51" t="n">
        <v>25.5</v>
      </c>
      <c r="L576" s="52" t="n">
        <v>1.13725490196078</v>
      </c>
      <c r="M576" s="50" t="n">
        <v>2</v>
      </c>
      <c r="N576" s="50" t="n">
        <v>30</v>
      </c>
      <c r="O576" s="53" t="n">
        <v>28</v>
      </c>
      <c r="P576" s="48" t="s">
        <v>237</v>
      </c>
      <c r="Q576" s="50" t="n">
        <v>30</v>
      </c>
      <c r="R576" s="53" t="n">
        <f aca="false">IF(BW576=1,0,IFERROR(VLOOKUP(BU576,'Gebinde-Kategorie'!$A$5:$N$45,13,0)+0,0))</f>
        <v>26</v>
      </c>
      <c r="S576" s="54"/>
      <c r="T576" s="55"/>
      <c r="U576" s="55"/>
      <c r="V576" s="55"/>
      <c r="W576" s="48"/>
      <c r="X576" s="50"/>
      <c r="Y576" s="50"/>
      <c r="Z576" s="48" t="n">
        <f aca="false">IF(A576="","",IF(AND(Parameter!$B$21="Ja",ISNUMBER(W576)),W576,IF(BZ576="2+3",IF(ISNUMBER(SEARCH("grosser Artikel",BR576)),2,IFERROR(VLOOKUP(BU576,Parameter!$F$35:$G$64,2,0),2)),IF(OR(BZ576="Nein",BZ576=""),"-",BZ576))))</f>
        <v>3</v>
      </c>
      <c r="AA576" s="55"/>
      <c r="AB576" s="56"/>
      <c r="AC576" s="50" t="n">
        <f aca="false">AT576</f>
        <v>60</v>
      </c>
      <c r="AD576" s="50" t="n">
        <f aca="false">MAX(AT576,H576)</f>
        <v>60</v>
      </c>
      <c r="AE576" s="57"/>
      <c r="AF576" s="50" t="n">
        <f aca="false">IF(LEFT(Cockpit!$C$5,1)="A",H576,IF(CE576=1,CF576,IF(LEFT(Cockpit!$C$5,1)="B",AK576,MAX(AK576,H576))))</f>
        <v>22</v>
      </c>
      <c r="AG576" s="50" t="n">
        <f aca="false">IF(BW576=1,0,ROUNDUP(AF576/BV576,0))</f>
        <v>1</v>
      </c>
      <c r="AH576" s="52" t="n">
        <f aca="false">IF(CL576&gt;0,CL576*MAX(1,AF576/X576),IF(BW576=1,IF(AF576&lt;=0,0,CA576*MAX(1,IF(H576&gt;0,AF576/H576,1))),IF(R576&gt;0,AG576/R576,0))/MAX(0.1,N(Parameter!$M$21)))</f>
        <v>0.0384615384615385</v>
      </c>
      <c r="AI576" s="50" t="n">
        <f aca="false">AH576*BY576</f>
        <v>9.42307692307692</v>
      </c>
      <c r="AJ576" s="50" t="n">
        <f aca="false">AF576*G576</f>
        <v>781.22</v>
      </c>
      <c r="AK576" s="50" t="n">
        <f aca="false">ROUNDUP(MAX(J576/IF(CD576&gt;0,CD576,MAX(0.1,N(Cockpit!$C$6))),CG576)/BV576,0)*BV576</f>
        <v>60</v>
      </c>
      <c r="AL576" s="51" t="n">
        <f aca="false">IF(AI576&gt;0,J576/AI576,-1)</f>
        <v>3.07755102040816</v>
      </c>
      <c r="AM576" s="51" t="n">
        <f aca="false">IF(AND(OR(CC576="L1",CC576="L23",CC576="LIFT"),AI576&gt;0),SUMIFS($AI$7:$AI$1843,$CC$7:$CC$1843,CC576,$AL$7:$AL$1843,"&gt;"&amp;AL576)+SUMIFS($AI$7:$AI$1843,$CC$7:$CC$1843,CC576,$AL$7:$AL$1843,AL576,$BT$7:$BT$1843,"&lt;="&amp;BT576),"")</f>
        <v>5003.3923992674</v>
      </c>
      <c r="AN576" s="58" t="n">
        <f aca="false">IF(AM576="",0,MAX(0,MIN(1,(IF(CC576="L1",Parameter!$H$5,IF(CC576="L23",Parameter!$H$6+Parameter!$H$7,Parameter!$H$5+Parameter!$H$6+Parameter!$H$7))-(AM576-AI576))/AI576)))</f>
        <v>1</v>
      </c>
      <c r="AO576" s="50" t="n">
        <f aca="false">IF(LEFT(Cockpit!$I$5,1)="A",H576,IF(CE576=1,CF576,IF(LEFT(Cockpit!$I$5,1)="B",AT576,MAX(AT576,H576))))</f>
        <v>60</v>
      </c>
      <c r="AP576" s="50" t="n">
        <f aca="false">IF(BW576=1,0,ROUNDUP(AO576/BV576,0))</f>
        <v>2</v>
      </c>
      <c r="AQ576" s="52" t="n">
        <f aca="false">IF(CL576&gt;0,CL576*MAX(1,AO576/X576),IF(BW576=1,IF(AO576&lt;=0,0,CA576*MAX(1,IF(H576&gt;0,AO576/H576,1))),IF(R576&gt;0,AP576/R576,0))/MAX(0.1,N(Parameter!$M$21)))</f>
        <v>0.0769230769230769</v>
      </c>
      <c r="AR576" s="50" t="n">
        <f aca="false">AQ576*BY576</f>
        <v>18.8461538461538</v>
      </c>
      <c r="AS576" s="50" t="n">
        <f aca="false">AO576*G576</f>
        <v>2130.6</v>
      </c>
      <c r="AT576" s="50" t="n">
        <f aca="false">ROUNDUP(MAX(J576/IF(CD576&gt;0,CD576,MAX(0.1,N(Cockpit!$I$6))),CG576)/BV576,0)*BV576</f>
        <v>60</v>
      </c>
      <c r="AU576" s="51" t="n">
        <f aca="false">IF(AR576&gt;0,J576/AR576,-1)</f>
        <v>1.53877551020408</v>
      </c>
      <c r="AV576" s="51" t="n">
        <f aca="false">IF(AND(OR(CC576="L1",CC576="L23",CC576="LIFT"),AR576&gt;0),SUMIFS($AR$7:$AR$1843,$CC$7:$CC$1843,CC576,$AU$7:$AU$1843,"&gt;"&amp;AU576)+SUMIFS($AR$7:$AR$1843,$CC$7:$CC$1843,CC576,$AU$7:$AU$1843,AU576,$BT$7:$BT$1843,"&lt;="&amp;BT576),"")</f>
        <v>8360.89835164835</v>
      </c>
      <c r="AW576" s="58" t="n">
        <f aca="false">IF(AV576="",0,MAX(0,MIN(1,(IF(CC576="L1",Parameter!$H$5,IF(CC576="L23",Parameter!$H$6+Parameter!$H$7,Parameter!$H$5+Parameter!$H$6+Parameter!$H$7))-(AV576-AR576))/AR576)))</f>
        <v>1</v>
      </c>
      <c r="AX576" s="50" t="n">
        <f aca="false">IF(LEFT(Cockpit!$O$5,1)="A",H576,IF(CE576=1,CF576,IF(LEFT(Cockpit!$O$5,1)="B",BC576,MAX(BC576,H576))))</f>
        <v>60</v>
      </c>
      <c r="AY576" s="50" t="n">
        <f aca="false">IF(BW576=1,0,ROUNDUP(AX576/BV576,0))</f>
        <v>2</v>
      </c>
      <c r="AZ576" s="52" t="n">
        <f aca="false">IF(CL576&gt;0,CL576*MAX(1,AX576/X576),IF(BW576=1,IF(AX576&lt;=0,0,CA576*MAX(1,IF(H576&gt;0,AX576/H576,1))),IF(R576&gt;0,AY576/R576,0))/MAX(0.1,N(Parameter!$M$21)))</f>
        <v>0.0769230769230769</v>
      </c>
      <c r="BA576" s="50" t="n">
        <f aca="false">AZ576*BY576</f>
        <v>18.8461538461538</v>
      </c>
      <c r="BB576" s="50" t="n">
        <f aca="false">AX576*G576</f>
        <v>2130.6</v>
      </c>
      <c r="BC576" s="50" t="n">
        <f aca="false">ROUNDUP(MAX(J576/IF(CD576&gt;0,CD576,MAX(0.1,N(Cockpit!$O$6))),CG576)/BV576,0)*BV576</f>
        <v>60</v>
      </c>
      <c r="BD576" s="51" t="n">
        <f aca="false">IF(BA576&gt;0,J576/BA576,-1)</f>
        <v>1.53877551020408</v>
      </c>
      <c r="BE576" s="51" t="n">
        <f aca="false">IF(AND(OR(CC576="L1",CC576="L23",CC576="LIFT"),BA576&gt;0),SUMIFS($BA$7:$BA$1843,$CC$7:$CC$1843,CC576,$BD$7:$BD$1843,"&gt;"&amp;BD576)+SUMIFS($BA$7:$BA$1843,$CC$7:$CC$1843,CC576,$BD$7:$BD$1843,BD576,$BT$7:$BT$1843,"&lt;="&amp;BT576),"")</f>
        <v>8275.3054029304</v>
      </c>
      <c r="BF576" s="58" t="n">
        <f aca="false">IF(BE576="",0,MAX(0,MIN(1,(IF(CC576="L1",Parameter!$H$5,IF(CC576="L23",Parameter!$H$6+Parameter!$H$7,Parameter!$H$5+Parameter!$H$6+Parameter!$H$7))-(BE576-BA576))/BA576)))</f>
        <v>1</v>
      </c>
      <c r="BG576" s="48" t="str">
        <f aca="false">IF(AI576&lt;=0,"",IF(CC576="Aussen","Aussenlager",IF(CC576="-","Nicht im Lift",IF(AN576&gt;=1,"Lift",IF(AN576&lt;=0,"Aussenlager","teilweise")))))</f>
        <v>Lift</v>
      </c>
      <c r="BH576" s="48" t="str">
        <f aca="false">IF(AR576&lt;=0,"",IF(CC576="Aussen","Aussenlager",IF(CC576="-","Nicht im Lift",IF(AW576&gt;=1,"Lift",IF(AW576&lt;=0,"Aussenlager","teilweise")))))</f>
        <v>Lift</v>
      </c>
      <c r="BI576" s="48" t="str">
        <f aca="false">IF(BA576&lt;=0,"",IF(CC576="Aussen","Aussenlager",IF(CC576="-","Nicht im Lift",IF(BF576&gt;=1,"Lift",IF(BF576&lt;=0,"Aussenlager","teilweise")))))</f>
        <v>Lift</v>
      </c>
      <c r="BJ576" s="48" t="str">
        <f aca="false">IF(A576="","",IF(BS576=1,"Neu; ","")&amp;IF(AND(BS576=0,BN576&lt;0),"negativer Bestand (Export "&amp;BN576&amp;"); ","")&amp;IF(J576&lt;=0,"Kein Verbrauch; ","")&amp;IF(CL576&gt;0,"Lift "&amp;W576&amp;" lt. Liftbericht (Fach "&amp;X576&amp;" Stk); ",IF(BX576=1,"Gebinde geschätzt ("&amp;T576&amp;"); ",IF(BW576=1,"Lose – Tablare geschätzt; ","")))&amp;IF(H576&gt;AT576,"Überbestand "&amp;ROUND(H576-AT576,0)&amp;" Stk / CHF "&amp;ROUND((H576-AT576)*G576,0)&amp;"; ","")&amp;IF(AND(CE576=1,CF576&lt;CG576),"MAX &lt; MB+LG; ","")&amp;IF(AND(CK576&gt;0,CJ576*10&gt;CK576),"zu hoch für Tablar; ","")&amp;IF(AND(BS576=0,OR(CE576=1,AA576&lt;&gt;"",U576&lt;&gt;"",V576&lt;&gt;"",AB576&lt;&gt;"")),"manuell übersteuert; ","")&amp;IF(AND(BW576=0,R576=0),"Gebinde unbekannt / Stellmass fehlt; ","")&amp;IF(AND(BW576=0,N(V576)&lt;=0,N(Q576)&lt;=0),"Menge pro Gebinde fehlt (Ist = 1 Gebinde); ","")&amp;BR576)</f>
        <v/>
      </c>
      <c r="BK576" s="48"/>
      <c r="BL576" s="48"/>
      <c r="BM576" s="55"/>
      <c r="BN576" s="50" t="n">
        <v>2</v>
      </c>
      <c r="BO576" s="50" t="n">
        <v>20</v>
      </c>
      <c r="BP576" s="49" t="n">
        <v>10.0200000000007</v>
      </c>
      <c r="BQ576" s="50" t="n">
        <v>29</v>
      </c>
      <c r="BR576" s="48"/>
      <c r="BS576" s="53" t="n">
        <v>0</v>
      </c>
      <c r="BT576" s="53" t="n">
        <v>576</v>
      </c>
      <c r="BU576" s="48" t="str">
        <f aca="false">IF(U576&lt;&gt;"",UPPER(TRIM(U576)),IF(BX576=1,UPPER(VLOOKUP(T576,Parameter!$I$27:$K$29,2,0)),IF(P576="","LOSE",P576)))</f>
        <v>S52</v>
      </c>
      <c r="BV576" s="50" t="n">
        <f aca="false">IF(BU576="LOSE",1,IF(N(V576)&gt;0,V576,IF(BX576=1,MAX(1,N(VLOOKUP(T576,Parameter!$I$27:$K$29,3,0)),H576,N(N576)),IF(N(Q576)&gt;0,Q576,MAX(1,H576)))))</f>
        <v>30</v>
      </c>
      <c r="BW576" s="53" t="n">
        <f aca="false">IF(BU576="LOSE",1,0)</f>
        <v>0</v>
      </c>
      <c r="BX576" s="53" t="n">
        <f aca="false">IF(AND(U576="",OR(P576="",P576="LOSE"),T576&lt;&gt;"",N(S576)&lt;=0,ISNUMBER(MATCH(T576,Parameter!$I$27:$I$29,0))),1,0)</f>
        <v>0</v>
      </c>
      <c r="BY576" s="53" t="n">
        <f aca="false">IF(CL576&gt;0,INDEX(Parameter!$H$5:$H$7,W576)/INDEX(Parameter!$E$5:$E$7,W576),IF(AND(BW576=0,N(IFERROR(VLOOKUP(BU576,'Gebinde-Kategorie'!$A$5:$N$45,14,0),0))&gt;0),VLOOKUP(BU576,'Gebinde-Kategorie'!$A$5:$N$45,14,0)*10+Parameter!$M$23,Parameter!$M$24))</f>
        <v>245</v>
      </c>
      <c r="BZ576" s="48" t="str">
        <f aca="false">IF(AND(Parameter!$B$19="Ja",E576&lt;&gt;"",ISNUMBER(MATCH(E576,Parameter!$I$35:$I$52,0))),VLOOKUP(E576,Parameter!$I$35:$J$52,2,0),IFERROR(VLOOKUP(D576,Parameter!$A$35:$C$64,2,0),"Nein"))</f>
        <v>2+3</v>
      </c>
      <c r="CA576" s="52" t="n">
        <f aca="false">IF(BW576=0,0,IF(N(S576)&gt;0,S576,IFERROR(VLOOKUP(D576,Parameter!$A$35:$C$64,3,0)+0,0)))</f>
        <v>0</v>
      </c>
      <c r="CB576" s="48" t="n">
        <f aca="false">IF(AA576&lt;&gt;"",AA576,Z576)</f>
        <v>3</v>
      </c>
      <c r="CC576" s="48" t="str">
        <f aca="false">IF(OR(CB576=1,CB576=2,CB576=3),IF(Parameter!$E$27="Ja","LIFT",IF(CB576=1,"L1","L23")),IF(CB576="Aussen","Aussen","-"))</f>
        <v>LIFT</v>
      </c>
      <c r="CD576" s="59" t="n">
        <f aca="false">IF(N(AB576)&gt;0,AB576,0)</f>
        <v>0</v>
      </c>
      <c r="CE576" s="53" t="n">
        <f aca="false">IF(ISNUMBER(AE576),1,0)</f>
        <v>0</v>
      </c>
      <c r="CF576" s="50" t="n">
        <f aca="false">N(AE576)</f>
        <v>0</v>
      </c>
      <c r="CG576" s="50" t="n">
        <f aca="false">N(M576)+N(N576)</f>
        <v>32</v>
      </c>
      <c r="CH576" s="50" t="n">
        <f aca="false">ROUNDUP(H576/BV576,0)</f>
        <v>1</v>
      </c>
      <c r="CI576" s="50" t="n">
        <f aca="false">ROUNDUP(CF576/BV576,0)</f>
        <v>0</v>
      </c>
      <c r="CJ576" s="53" t="n">
        <f aca="false">IF(BW576=1,0,IFERROR(VLOOKUP(BU576,'Gebinde-Kategorie'!$A$5:$N$45,5,0)+0,0))</f>
        <v>21</v>
      </c>
      <c r="CK576" s="53" t="n">
        <f aca="false">IFERROR(IF(OR(CB576=1,CB576=2,CB576=3),N(INDEX(Parameter!$I$5:$I$7,CB576)),0),0)</f>
        <v>0</v>
      </c>
      <c r="CL576" s="52" t="n">
        <f aca="false">IF(AND(Parameter!$B$21="Ja",ISNUMBER(W576),N(X576)&gt;0),IFERROR(N(INDEX(Parameter!$L$5:$L$7,W576))*INDEX(Parameter!$E$5:$E$7,W576)*X576/SUMIFS($X$7:$X$1843,$W$7:$W$1843,W576),0),0)</f>
        <v>0</v>
      </c>
    </row>
    <row r="577" customFormat="false" ht="15" hidden="false" customHeight="false" outlineLevel="0" collapsed="false">
      <c r="A577" s="48" t="s">
        <v>1217</v>
      </c>
      <c r="B577" s="48" t="s">
        <v>1218</v>
      </c>
      <c r="C577" s="48" t="s">
        <v>168</v>
      </c>
      <c r="D577" s="48" t="s">
        <v>188</v>
      </c>
      <c r="E577" s="48" t="s">
        <v>189</v>
      </c>
      <c r="F577" s="48" t="s">
        <v>222</v>
      </c>
      <c r="G577" s="49" t="n">
        <v>0.05</v>
      </c>
      <c r="H577" s="50" t="n">
        <f aca="false">MAX(0,IF(AND(Parameter!$B$21="Ja",ISNUMBER(Y577)),Y577,IF(Parameter!$B$20="Jahresanfang 2025 + Export",BO577+BN577,BN577)))</f>
        <v>791</v>
      </c>
      <c r="I577" s="50" t="n">
        <f aca="false">H577*G577</f>
        <v>39.55</v>
      </c>
      <c r="J577" s="50" t="n">
        <f aca="false">BQ577*Parameter!$B$18</f>
        <v>670</v>
      </c>
      <c r="K577" s="51" t="n">
        <v>867</v>
      </c>
      <c r="L577" s="52" t="n">
        <v>0.77277970011534</v>
      </c>
      <c r="M577" s="50" t="n">
        <v>52</v>
      </c>
      <c r="N577" s="50" t="n">
        <v>670</v>
      </c>
      <c r="O577" s="53" t="n">
        <v>28</v>
      </c>
      <c r="P577" s="48" t="s">
        <v>405</v>
      </c>
      <c r="Q577" s="50" t="n">
        <v>773</v>
      </c>
      <c r="R577" s="53" t="n">
        <f aca="false">IF(BW577=1,0,IFERROR(VLOOKUP(BU577,'Gebinde-Kategorie'!$A$5:$N$45,13,0)+0,0))</f>
        <v>280</v>
      </c>
      <c r="S577" s="54"/>
      <c r="T577" s="55"/>
      <c r="U577" s="55"/>
      <c r="V577" s="55"/>
      <c r="W577" s="48"/>
      <c r="X577" s="50"/>
      <c r="Y577" s="50"/>
      <c r="Z577" s="48" t="n">
        <f aca="false">IF(A577="","",IF(AND(Parameter!$B$21="Ja",ISNUMBER(W577)),W577,IF(BZ577="2+3",IF(ISNUMBER(SEARCH("grosser Artikel",BR577)),2,IFERROR(VLOOKUP(BU577,Parameter!$F$35:$G$64,2,0),2)),IF(OR(BZ577="Nein",BZ577=""),"-",BZ577))))</f>
        <v>3</v>
      </c>
      <c r="AA577" s="55"/>
      <c r="AB577" s="56"/>
      <c r="AC577" s="50" t="n">
        <f aca="false">AT577</f>
        <v>773</v>
      </c>
      <c r="AD577" s="50" t="n">
        <f aca="false">MAX(AT577,H577)</f>
        <v>791</v>
      </c>
      <c r="AE577" s="57"/>
      <c r="AF577" s="50" t="n">
        <f aca="false">IF(LEFT(Cockpit!$C$5,1)="A",H577,IF(CE577=1,CF577,IF(LEFT(Cockpit!$C$5,1)="B",AK577,MAX(AK577,H577))))</f>
        <v>791</v>
      </c>
      <c r="AG577" s="50" t="n">
        <f aca="false">IF(BW577=1,0,ROUNDUP(AF577/BV577,0))</f>
        <v>2</v>
      </c>
      <c r="AH577" s="52" t="n">
        <f aca="false">IF(CL577&gt;0,CL577*MAX(1,AF577/X577),IF(BW577=1,IF(AF577&lt;=0,0,CA577*MAX(1,IF(H577&gt;0,AF577/H577,1))),IF(R577&gt;0,AG577/R577,0))/MAX(0.1,N(Parameter!$M$21)))</f>
        <v>0.00714285714285714</v>
      </c>
      <c r="AI577" s="50" t="n">
        <f aca="false">AH577*BY577</f>
        <v>1.10714285714286</v>
      </c>
      <c r="AJ577" s="50" t="n">
        <f aca="false">AF577*G577</f>
        <v>39.55</v>
      </c>
      <c r="AK577" s="50" t="n">
        <f aca="false">ROUNDUP(MAX(J577/IF(CD577&gt;0,CD577,MAX(0.1,N(Cockpit!$C$6))),CG577)/BV577,0)*BV577</f>
        <v>773</v>
      </c>
      <c r="AL577" s="51" t="n">
        <f aca="false">IF(AI577&gt;0,J577/AI577,-1)</f>
        <v>605.161290322581</v>
      </c>
      <c r="AM577" s="51" t="n">
        <f aca="false">IF(AND(OR(CC577="L1",CC577="L23",CC577="LIFT"),AI577&gt;0),SUMIFS($AI$7:$AI$1843,$CC$7:$CC$1843,CC577,$AL$7:$AL$1843,"&gt;"&amp;AL577)+SUMIFS($AI$7:$AI$1843,$CC$7:$CC$1843,CC577,$AL$7:$AL$1843,AL577,$BT$7:$BT$1843,"&lt;="&amp;BT577),"")</f>
        <v>36.9739010989011</v>
      </c>
      <c r="AN577" s="58" t="n">
        <f aca="false">IF(AM577="",0,MAX(0,MIN(1,(IF(CC577="L1",Parameter!$H$5,IF(CC577="L23",Parameter!$H$6+Parameter!$H$7,Parameter!$H$5+Parameter!$H$6+Parameter!$H$7))-(AM577-AI577))/AI577)))</f>
        <v>1</v>
      </c>
      <c r="AO577" s="50" t="n">
        <f aca="false">IF(LEFT(Cockpit!$I$5,1)="A",H577,IF(CE577=1,CF577,IF(LEFT(Cockpit!$I$5,1)="B",AT577,MAX(AT577,H577))))</f>
        <v>791</v>
      </c>
      <c r="AP577" s="50" t="n">
        <f aca="false">IF(BW577=1,0,ROUNDUP(AO577/BV577,0))</f>
        <v>2</v>
      </c>
      <c r="AQ577" s="52" t="n">
        <f aca="false">IF(CL577&gt;0,CL577*MAX(1,AO577/X577),IF(BW577=1,IF(AO577&lt;=0,0,CA577*MAX(1,IF(H577&gt;0,AO577/H577,1))),IF(R577&gt;0,AP577/R577,0))/MAX(0.1,N(Parameter!$M$21)))</f>
        <v>0.00714285714285714</v>
      </c>
      <c r="AR577" s="50" t="n">
        <f aca="false">AQ577*BY577</f>
        <v>1.10714285714286</v>
      </c>
      <c r="AS577" s="50" t="n">
        <f aca="false">AO577*G577</f>
        <v>39.55</v>
      </c>
      <c r="AT577" s="50" t="n">
        <f aca="false">ROUNDUP(MAX(J577/IF(CD577&gt;0,CD577,MAX(0.1,N(Cockpit!$I$6))),CG577)/BV577,0)*BV577</f>
        <v>773</v>
      </c>
      <c r="AU577" s="51" t="n">
        <f aca="false">IF(AR577&gt;0,J577/AR577,-1)</f>
        <v>605.161290322581</v>
      </c>
      <c r="AV577" s="51" t="n">
        <f aca="false">IF(AND(OR(CC577="L1",CC577="L23",CC577="LIFT"),AR577&gt;0),SUMIFS($AR$7:$AR$1843,$CC$7:$CC$1843,CC577,$AU$7:$AU$1843,"&gt;"&amp;AU577)+SUMIFS($AR$7:$AR$1843,$CC$7:$CC$1843,CC577,$AU$7:$AU$1843,AU577,$BT$7:$BT$1843,"&lt;="&amp;BT577),"")</f>
        <v>18.0549450549451</v>
      </c>
      <c r="AW577" s="58" t="n">
        <f aca="false">IF(AV577="",0,MAX(0,MIN(1,(IF(CC577="L1",Parameter!$H$5,IF(CC577="L23",Parameter!$H$6+Parameter!$H$7,Parameter!$H$5+Parameter!$H$6+Parameter!$H$7))-(AV577-AR577))/AR577)))</f>
        <v>1</v>
      </c>
      <c r="AX577" s="50" t="n">
        <f aca="false">IF(LEFT(Cockpit!$O$5,1)="A",H577,IF(CE577=1,CF577,IF(LEFT(Cockpit!$O$5,1)="B",BC577,MAX(BC577,H577))))</f>
        <v>791</v>
      </c>
      <c r="AY577" s="50" t="n">
        <f aca="false">IF(BW577=1,0,ROUNDUP(AX577/BV577,0))</f>
        <v>2</v>
      </c>
      <c r="AZ577" s="52" t="n">
        <f aca="false">IF(CL577&gt;0,CL577*MAX(1,AX577/X577),IF(BW577=1,IF(AX577&lt;=0,0,CA577*MAX(1,IF(H577&gt;0,AX577/H577,1))),IF(R577&gt;0,AY577/R577,0))/MAX(0.1,N(Parameter!$M$21)))</f>
        <v>0.00714285714285714</v>
      </c>
      <c r="BA577" s="50" t="n">
        <f aca="false">AZ577*BY577</f>
        <v>1.10714285714286</v>
      </c>
      <c r="BB577" s="50" t="n">
        <f aca="false">AX577*G577</f>
        <v>39.55</v>
      </c>
      <c r="BC577" s="50" t="n">
        <f aca="false">ROUNDUP(MAX(J577/IF(CD577&gt;0,CD577,MAX(0.1,N(Cockpit!$O$6))),CG577)/BV577,0)*BV577</f>
        <v>773</v>
      </c>
      <c r="BD577" s="51" t="n">
        <f aca="false">IF(BA577&gt;0,J577/BA577,-1)</f>
        <v>605.161290322581</v>
      </c>
      <c r="BE577" s="51" t="n">
        <f aca="false">IF(AND(OR(CC577="L1",CC577="L23",CC577="LIFT"),BA577&gt;0),SUMIFS($BA$7:$BA$1843,$CC$7:$CC$1843,CC577,$BD$7:$BD$1843,"&gt;"&amp;BD577)+SUMIFS($BA$7:$BA$1843,$CC$7:$CC$1843,CC577,$BD$7:$BD$1843,BD577,$BT$7:$BT$1843,"&lt;="&amp;BT577),"")</f>
        <v>18.0549450549451</v>
      </c>
      <c r="BF577" s="58" t="n">
        <f aca="false">IF(BE577="",0,MAX(0,MIN(1,(IF(CC577="L1",Parameter!$H$5,IF(CC577="L23",Parameter!$H$6+Parameter!$H$7,Parameter!$H$5+Parameter!$H$6+Parameter!$H$7))-(BE577-BA577))/BA577)))</f>
        <v>1</v>
      </c>
      <c r="BG577" s="48" t="str">
        <f aca="false">IF(AI577&lt;=0,"",IF(CC577="Aussen","Aussenlager",IF(CC577="-","Nicht im Lift",IF(AN577&gt;=1,"Lift",IF(AN577&lt;=0,"Aussenlager","teilweise")))))</f>
        <v>Lift</v>
      </c>
      <c r="BH577" s="48" t="str">
        <f aca="false">IF(AR577&lt;=0,"",IF(CC577="Aussen","Aussenlager",IF(CC577="-","Nicht im Lift",IF(AW577&gt;=1,"Lift",IF(AW577&lt;=0,"Aussenlager","teilweise")))))</f>
        <v>Lift</v>
      </c>
      <c r="BI577" s="48" t="str">
        <f aca="false">IF(BA577&lt;=0,"",IF(CC577="Aussen","Aussenlager",IF(CC577="-","Nicht im Lift",IF(BF577&gt;=1,"Lift",IF(BF577&lt;=0,"Aussenlager","teilweise")))))</f>
        <v>Lift</v>
      </c>
      <c r="BJ577" s="48" t="str">
        <f aca="false">IF(A577="","",IF(BS577=1,"Neu; ","")&amp;IF(AND(BS577=0,BN577&lt;0),"negativer Bestand (Export "&amp;BN577&amp;"); ","")&amp;IF(J577&lt;=0,"Kein Verbrauch; ","")&amp;IF(CL577&gt;0,"Lift "&amp;W577&amp;" lt. Liftbericht (Fach "&amp;X577&amp;" Stk); ",IF(BX577=1,"Gebinde geschätzt ("&amp;T577&amp;"); ",IF(BW577=1,"Lose – Tablare geschätzt; ","")))&amp;IF(H577&gt;AT577,"Überbestand "&amp;ROUND(H577-AT577,0)&amp;" Stk / CHF "&amp;ROUND((H577-AT577)*G577,0)&amp;"; ","")&amp;IF(AND(CE577=1,CF577&lt;CG577),"MAX &lt; MB+LG; ","")&amp;IF(AND(CK577&gt;0,CJ577*10&gt;CK577),"zu hoch für Tablar; ","")&amp;IF(AND(BS577=0,OR(CE577=1,AA577&lt;&gt;"",U577&lt;&gt;"",V577&lt;&gt;"",AB577&lt;&gt;"")),"manuell übersteuert; ","")&amp;IF(AND(BW577=0,R577=0),"Gebinde unbekannt / Stellmass fehlt; ","")&amp;IF(AND(BW577=0,N(V577)&lt;=0,N(Q577)&lt;=0),"Menge pro Gebinde fehlt (Ist = 1 Gebinde); ","")&amp;BR577)</f>
        <v>Überbestand 18 Stk / CHF 1; Handlager</v>
      </c>
      <c r="BK577" s="48"/>
      <c r="BL577" s="48"/>
      <c r="BM577" s="55"/>
      <c r="BN577" s="50" t="n">
        <v>86</v>
      </c>
      <c r="BO577" s="50" t="n">
        <v>705</v>
      </c>
      <c r="BP577" s="49" t="n">
        <v>10</v>
      </c>
      <c r="BQ577" s="50" t="n">
        <v>670</v>
      </c>
      <c r="BR577" s="48" t="s">
        <v>899</v>
      </c>
      <c r="BS577" s="53" t="n">
        <v>0</v>
      </c>
      <c r="BT577" s="53" t="n">
        <v>577</v>
      </c>
      <c r="BU577" s="48" t="str">
        <f aca="false">IF(U577&lt;&gt;"",UPPER(TRIM(U577)),IF(BX577=1,UPPER(VLOOKUP(T577,Parameter!$I$27:$K$29,2,0)),IF(P577="","LOSE",P577)))</f>
        <v>S21</v>
      </c>
      <c r="BV577" s="50" t="n">
        <f aca="false">IF(BU577="LOSE",1,IF(N(V577)&gt;0,V577,IF(BX577=1,MAX(1,N(VLOOKUP(T577,Parameter!$I$27:$K$29,3,0)),H577,N(N577)),IF(N(Q577)&gt;0,Q577,MAX(1,H577)))))</f>
        <v>773</v>
      </c>
      <c r="BW577" s="53" t="n">
        <f aca="false">IF(BU577="LOSE",1,0)</f>
        <v>0</v>
      </c>
      <c r="BX577" s="53" t="n">
        <f aca="false">IF(AND(U577="",OR(P577="",P577="LOSE"),T577&lt;&gt;"",N(S577)&lt;=0,ISNUMBER(MATCH(T577,Parameter!$I$27:$I$29,0))),1,0)</f>
        <v>0</v>
      </c>
      <c r="BY577" s="53" t="n">
        <f aca="false">IF(CL577&gt;0,INDEX(Parameter!$H$5:$H$7,W577)/INDEX(Parameter!$E$5:$E$7,W577),IF(AND(BW577=0,N(IFERROR(VLOOKUP(BU577,'Gebinde-Kategorie'!$A$5:$N$45,14,0),0))&gt;0),VLOOKUP(BU577,'Gebinde-Kategorie'!$A$5:$N$45,14,0)*10+Parameter!$M$23,Parameter!$M$24))</f>
        <v>155</v>
      </c>
      <c r="BZ577" s="48" t="str">
        <f aca="false">IF(AND(Parameter!$B$19="Ja",E577&lt;&gt;"",ISNUMBER(MATCH(E577,Parameter!$I$35:$I$52,0))),VLOOKUP(E577,Parameter!$I$35:$J$52,2,0),IFERROR(VLOOKUP(D577,Parameter!$A$35:$C$64,2,0),"Nein"))</f>
        <v>2+3</v>
      </c>
      <c r="CA577" s="52" t="n">
        <f aca="false">IF(BW577=0,0,IF(N(S577)&gt;0,S577,IFERROR(VLOOKUP(D577,Parameter!$A$35:$C$64,3,0)+0,0)))</f>
        <v>0</v>
      </c>
      <c r="CB577" s="48" t="n">
        <f aca="false">IF(AA577&lt;&gt;"",AA577,Z577)</f>
        <v>3</v>
      </c>
      <c r="CC577" s="48" t="str">
        <f aca="false">IF(OR(CB577=1,CB577=2,CB577=3),IF(Parameter!$E$27="Ja","LIFT",IF(CB577=1,"L1","L23")),IF(CB577="Aussen","Aussen","-"))</f>
        <v>LIFT</v>
      </c>
      <c r="CD577" s="59" t="n">
        <f aca="false">IF(N(AB577)&gt;0,AB577,0)</f>
        <v>0</v>
      </c>
      <c r="CE577" s="53" t="n">
        <f aca="false">IF(ISNUMBER(AE577),1,0)</f>
        <v>0</v>
      </c>
      <c r="CF577" s="50" t="n">
        <f aca="false">N(AE577)</f>
        <v>0</v>
      </c>
      <c r="CG577" s="50" t="n">
        <f aca="false">N(M577)+N(N577)</f>
        <v>722</v>
      </c>
      <c r="CH577" s="50" t="n">
        <f aca="false">ROUNDUP(H577/BV577,0)</f>
        <v>2</v>
      </c>
      <c r="CI577" s="50" t="n">
        <f aca="false">ROUNDUP(CF577/BV577,0)</f>
        <v>0</v>
      </c>
      <c r="CJ577" s="53" t="n">
        <f aca="false">IF(BW577=1,0,IFERROR(VLOOKUP(BU577,'Gebinde-Kategorie'!$A$5:$N$45,5,0)+0,0))</f>
        <v>8</v>
      </c>
      <c r="CK577" s="53" t="n">
        <f aca="false">IFERROR(IF(OR(CB577=1,CB577=2,CB577=3),N(INDEX(Parameter!$I$5:$I$7,CB577)),0),0)</f>
        <v>0</v>
      </c>
      <c r="CL577" s="52" t="n">
        <f aca="false">IF(AND(Parameter!$B$21="Ja",ISNUMBER(W577),N(X577)&gt;0),IFERROR(N(INDEX(Parameter!$L$5:$L$7,W577))*INDEX(Parameter!$E$5:$E$7,W577)*X577/SUMIFS($X$7:$X$1843,$W$7:$W$1843,W577),0),0)</f>
        <v>0</v>
      </c>
    </row>
    <row r="578" customFormat="false" ht="15" hidden="false" customHeight="false" outlineLevel="0" collapsed="false">
      <c r="A578" s="48" t="s">
        <v>1219</v>
      </c>
      <c r="B578" s="48" t="s">
        <v>658</v>
      </c>
      <c r="C578" s="48" t="s">
        <v>168</v>
      </c>
      <c r="D578" s="48" t="s">
        <v>188</v>
      </c>
      <c r="E578" s="48"/>
      <c r="F578" s="48" t="s">
        <v>222</v>
      </c>
      <c r="G578" s="49" t="n">
        <v>0.07</v>
      </c>
      <c r="H578" s="50" t="n">
        <f aca="false">MAX(0,IF(AND(Parameter!$B$21="Ja",ISNUMBER(Y578)),Y578,IF(Parameter!$B$20="Jahresanfang 2025 + Export",BO578+BN578,BN578)))</f>
        <v>198</v>
      </c>
      <c r="I578" s="50" t="n">
        <f aca="false">H578*G578</f>
        <v>13.86</v>
      </c>
      <c r="J578" s="50" t="n">
        <f aca="false">BQ578*Parameter!$B$18</f>
        <v>140</v>
      </c>
      <c r="K578" s="51" t="n">
        <v>129.5</v>
      </c>
      <c r="L578" s="52" t="n">
        <v>1.08108108108108</v>
      </c>
      <c r="M578" s="50" t="n">
        <v>8</v>
      </c>
      <c r="N578" s="50" t="n">
        <v>200</v>
      </c>
      <c r="O578" s="53" t="n">
        <v>21</v>
      </c>
      <c r="P578" s="48" t="s">
        <v>405</v>
      </c>
      <c r="Q578" s="50" t="n">
        <v>250</v>
      </c>
      <c r="R578" s="53" t="n">
        <f aca="false">IF(BW578=1,0,IFERROR(VLOOKUP(BU578,'Gebinde-Kategorie'!$A$5:$N$45,13,0)+0,0))</f>
        <v>280</v>
      </c>
      <c r="S578" s="54"/>
      <c r="T578" s="55"/>
      <c r="U578" s="55"/>
      <c r="V578" s="55"/>
      <c r="W578" s="48"/>
      <c r="X578" s="50"/>
      <c r="Y578" s="50"/>
      <c r="Z578" s="48" t="n">
        <f aca="false">IF(A578="","",IF(AND(Parameter!$B$21="Ja",ISNUMBER(W578)),W578,IF(BZ578="2+3",IF(ISNUMBER(SEARCH("grosser Artikel",BR578)),2,IFERROR(VLOOKUP(BU578,Parameter!$F$35:$G$64,2,0),2)),IF(OR(BZ578="Nein",BZ578=""),"-",BZ578))))</f>
        <v>3</v>
      </c>
      <c r="AA578" s="55"/>
      <c r="AB578" s="56"/>
      <c r="AC578" s="50" t="n">
        <f aca="false">AT578</f>
        <v>250</v>
      </c>
      <c r="AD578" s="50" t="n">
        <f aca="false">MAX(AT578,H578)</f>
        <v>250</v>
      </c>
      <c r="AE578" s="57"/>
      <c r="AF578" s="50" t="n">
        <f aca="false">IF(LEFT(Cockpit!$C$5,1)="A",H578,IF(CE578=1,CF578,IF(LEFT(Cockpit!$C$5,1)="B",AK578,MAX(AK578,H578))))</f>
        <v>198</v>
      </c>
      <c r="AG578" s="50" t="n">
        <f aca="false">IF(BW578=1,0,ROUNDUP(AF578/BV578,0))</f>
        <v>1</v>
      </c>
      <c r="AH578" s="52" t="n">
        <f aca="false">IF(CL578&gt;0,CL578*MAX(1,AF578/X578),IF(BW578=1,IF(AF578&lt;=0,0,CA578*MAX(1,IF(H578&gt;0,AF578/H578,1))),IF(R578&gt;0,AG578/R578,0))/MAX(0.1,N(Parameter!$M$21)))</f>
        <v>0.00357142857142857</v>
      </c>
      <c r="AI578" s="50" t="n">
        <f aca="false">AH578*BY578</f>
        <v>0.553571428571429</v>
      </c>
      <c r="AJ578" s="50" t="n">
        <f aca="false">AF578*G578</f>
        <v>13.86</v>
      </c>
      <c r="AK578" s="50" t="n">
        <f aca="false">ROUNDUP(MAX(J578/IF(CD578&gt;0,CD578,MAX(0.1,N(Cockpit!$C$6))),CG578)/BV578,0)*BV578</f>
        <v>250</v>
      </c>
      <c r="AL578" s="51" t="n">
        <f aca="false">IF(AI578&gt;0,J578/AI578,-1)</f>
        <v>252.903225806452</v>
      </c>
      <c r="AM578" s="51" t="n">
        <f aca="false">IF(AND(OR(CC578="L1",CC578="L23",CC578="LIFT"),AI578&gt;0),SUMIFS($AI$7:$AI$1843,$CC$7:$CC$1843,CC578,$AL$7:$AL$1843,"&gt;"&amp;AL578)+SUMIFS($AI$7:$AI$1843,$CC$7:$CC$1843,CC578,$AL$7:$AL$1843,AL578,$BT$7:$BT$1843,"&lt;="&amp;BT578),"")</f>
        <v>273.677655677656</v>
      </c>
      <c r="AN578" s="58" t="n">
        <f aca="false">IF(AM578="",0,MAX(0,MIN(1,(IF(CC578="L1",Parameter!$H$5,IF(CC578="L23",Parameter!$H$6+Parameter!$H$7,Parameter!$H$5+Parameter!$H$6+Parameter!$H$7))-(AM578-AI578))/AI578)))</f>
        <v>1</v>
      </c>
      <c r="AO578" s="50" t="n">
        <f aca="false">IF(LEFT(Cockpit!$I$5,1)="A",H578,IF(CE578=1,CF578,IF(LEFT(Cockpit!$I$5,1)="B",AT578,MAX(AT578,H578))))</f>
        <v>250</v>
      </c>
      <c r="AP578" s="50" t="n">
        <f aca="false">IF(BW578=1,0,ROUNDUP(AO578/BV578,0))</f>
        <v>1</v>
      </c>
      <c r="AQ578" s="52" t="n">
        <f aca="false">IF(CL578&gt;0,CL578*MAX(1,AO578/X578),IF(BW578=1,IF(AO578&lt;=0,0,CA578*MAX(1,IF(H578&gt;0,AO578/H578,1))),IF(R578&gt;0,AP578/R578,0))/MAX(0.1,N(Parameter!$M$21)))</f>
        <v>0.00357142857142857</v>
      </c>
      <c r="AR578" s="50" t="n">
        <f aca="false">AQ578*BY578</f>
        <v>0.553571428571429</v>
      </c>
      <c r="AS578" s="50" t="n">
        <f aca="false">AO578*G578</f>
        <v>17.5</v>
      </c>
      <c r="AT578" s="50" t="n">
        <f aca="false">ROUNDUP(MAX(J578/IF(CD578&gt;0,CD578,MAX(0.1,N(Cockpit!$I$6))),CG578)/BV578,0)*BV578</f>
        <v>250</v>
      </c>
      <c r="AU578" s="51" t="n">
        <f aca="false">IF(AR578&gt;0,J578/AR578,-1)</f>
        <v>252.903225806452</v>
      </c>
      <c r="AV578" s="51" t="n">
        <f aca="false">IF(AND(OR(CC578="L1",CC578="L23",CC578="LIFT"),AR578&gt;0),SUMIFS($AR$7:$AR$1843,$CC$7:$CC$1843,CC578,$AU$7:$AU$1843,"&gt;"&amp;AU578)+SUMIFS($AR$7:$AR$1843,$CC$7:$CC$1843,CC578,$AU$7:$AU$1843,AU578,$BT$7:$BT$1843,"&lt;="&amp;BT578),"")</f>
        <v>200.27152014652</v>
      </c>
      <c r="AW578" s="58" t="n">
        <f aca="false">IF(AV578="",0,MAX(0,MIN(1,(IF(CC578="L1",Parameter!$H$5,IF(CC578="L23",Parameter!$H$6+Parameter!$H$7,Parameter!$H$5+Parameter!$H$6+Parameter!$H$7))-(AV578-AR578))/AR578)))</f>
        <v>1</v>
      </c>
      <c r="AX578" s="50" t="n">
        <f aca="false">IF(LEFT(Cockpit!$O$5,1)="A",H578,IF(CE578=1,CF578,IF(LEFT(Cockpit!$O$5,1)="B",BC578,MAX(BC578,H578))))</f>
        <v>250</v>
      </c>
      <c r="AY578" s="50" t="n">
        <f aca="false">IF(BW578=1,0,ROUNDUP(AX578/BV578,0))</f>
        <v>1</v>
      </c>
      <c r="AZ578" s="52" t="n">
        <f aca="false">IF(CL578&gt;0,CL578*MAX(1,AX578/X578),IF(BW578=1,IF(AX578&lt;=0,0,CA578*MAX(1,IF(H578&gt;0,AX578/H578,1))),IF(R578&gt;0,AY578/R578,0))/MAX(0.1,N(Parameter!$M$21)))</f>
        <v>0.00357142857142857</v>
      </c>
      <c r="BA578" s="50" t="n">
        <f aca="false">AZ578*BY578</f>
        <v>0.553571428571429</v>
      </c>
      <c r="BB578" s="50" t="n">
        <f aca="false">AX578*G578</f>
        <v>17.5</v>
      </c>
      <c r="BC578" s="50" t="n">
        <f aca="false">ROUNDUP(MAX(J578/IF(CD578&gt;0,CD578,MAX(0.1,N(Cockpit!$O$6))),CG578)/BV578,0)*BV578</f>
        <v>250</v>
      </c>
      <c r="BD578" s="51" t="n">
        <f aca="false">IF(BA578&gt;0,J578/BA578,-1)</f>
        <v>252.903225806452</v>
      </c>
      <c r="BE578" s="51" t="n">
        <f aca="false">IF(AND(OR(CC578="L1",CC578="L23",CC578="LIFT"),BA578&gt;0),SUMIFS($BA$7:$BA$1843,$CC$7:$CC$1843,CC578,$BD$7:$BD$1843,"&gt;"&amp;BD578)+SUMIFS($BA$7:$BA$1843,$CC$7:$CC$1843,CC578,$BD$7:$BD$1843,BD578,$BT$7:$BT$1843,"&lt;="&amp;BT578),"")</f>
        <v>213.156135531136</v>
      </c>
      <c r="BF578" s="58" t="n">
        <f aca="false">IF(BE578="",0,MAX(0,MIN(1,(IF(CC578="L1",Parameter!$H$5,IF(CC578="L23",Parameter!$H$6+Parameter!$H$7,Parameter!$H$5+Parameter!$H$6+Parameter!$H$7))-(BE578-BA578))/BA578)))</f>
        <v>1</v>
      </c>
      <c r="BG578" s="48" t="str">
        <f aca="false">IF(AI578&lt;=0,"",IF(CC578="Aussen","Aussenlager",IF(CC578="-","Nicht im Lift",IF(AN578&gt;=1,"Lift",IF(AN578&lt;=0,"Aussenlager","teilweise")))))</f>
        <v>Lift</v>
      </c>
      <c r="BH578" s="48" t="str">
        <f aca="false">IF(AR578&lt;=0,"",IF(CC578="Aussen","Aussenlager",IF(CC578="-","Nicht im Lift",IF(AW578&gt;=1,"Lift",IF(AW578&lt;=0,"Aussenlager","teilweise")))))</f>
        <v>Lift</v>
      </c>
      <c r="BI578" s="48" t="str">
        <f aca="false">IF(BA578&lt;=0,"",IF(CC578="Aussen","Aussenlager",IF(CC578="-","Nicht im Lift",IF(BF578&gt;=1,"Lift",IF(BF578&lt;=0,"Aussenlager","teilweise")))))</f>
        <v>Lift</v>
      </c>
      <c r="BJ578" s="48" t="str">
        <f aca="false">IF(A578="","",IF(BS578=1,"Neu; ","")&amp;IF(AND(BS578=0,BN578&lt;0),"negativer Bestand (Export "&amp;BN578&amp;"); ","")&amp;IF(J578&lt;=0,"Kein Verbrauch; ","")&amp;IF(CL578&gt;0,"Lift "&amp;W578&amp;" lt. Liftbericht (Fach "&amp;X578&amp;" Stk); ",IF(BX578=1,"Gebinde geschätzt ("&amp;T578&amp;"); ",IF(BW578=1,"Lose – Tablare geschätzt; ","")))&amp;IF(H578&gt;AT578,"Überbestand "&amp;ROUND(H578-AT578,0)&amp;" Stk / CHF "&amp;ROUND((H578-AT578)*G578,0)&amp;"; ","")&amp;IF(AND(CE578=1,CF578&lt;CG578),"MAX &lt; MB+LG; ","")&amp;IF(AND(CK578&gt;0,CJ578*10&gt;CK578),"zu hoch für Tablar; ","")&amp;IF(AND(BS578=0,OR(CE578=1,AA578&lt;&gt;"",U578&lt;&gt;"",V578&lt;&gt;"",AB578&lt;&gt;"")),"manuell übersteuert; ","")&amp;IF(AND(BW578=0,R578=0),"Gebinde unbekannt / Stellmass fehlt; ","")&amp;IF(AND(BW578=0,N(V578)&lt;=0,N(Q578)&lt;=0),"Menge pro Gebinde fehlt (Ist = 1 Gebinde); ","")&amp;BR578)</f>
        <v>negativer Bestand (Export -1); </v>
      </c>
      <c r="BK578" s="48"/>
      <c r="BL578" s="48"/>
      <c r="BM578" s="55"/>
      <c r="BN578" s="50" t="n">
        <v>-1</v>
      </c>
      <c r="BO578" s="50" t="n">
        <v>199</v>
      </c>
      <c r="BP578" s="49" t="n">
        <v>9.88</v>
      </c>
      <c r="BQ578" s="50" t="n">
        <v>140</v>
      </c>
      <c r="BR578" s="48"/>
      <c r="BS578" s="53" t="n">
        <v>0</v>
      </c>
      <c r="BT578" s="53" t="n">
        <v>578</v>
      </c>
      <c r="BU578" s="48" t="str">
        <f aca="false">IF(U578&lt;&gt;"",UPPER(TRIM(U578)),IF(BX578=1,UPPER(VLOOKUP(T578,Parameter!$I$27:$K$29,2,0)),IF(P578="","LOSE",P578)))</f>
        <v>S21</v>
      </c>
      <c r="BV578" s="50" t="n">
        <f aca="false">IF(BU578="LOSE",1,IF(N(V578)&gt;0,V578,IF(BX578=1,MAX(1,N(VLOOKUP(T578,Parameter!$I$27:$K$29,3,0)),H578,N(N578)),IF(N(Q578)&gt;0,Q578,MAX(1,H578)))))</f>
        <v>250</v>
      </c>
      <c r="BW578" s="53" t="n">
        <f aca="false">IF(BU578="LOSE",1,0)</f>
        <v>0</v>
      </c>
      <c r="BX578" s="53" t="n">
        <f aca="false">IF(AND(U578="",OR(P578="",P578="LOSE"),T578&lt;&gt;"",N(S578)&lt;=0,ISNUMBER(MATCH(T578,Parameter!$I$27:$I$29,0))),1,0)</f>
        <v>0</v>
      </c>
      <c r="BY578" s="53" t="n">
        <f aca="false">IF(CL578&gt;0,INDEX(Parameter!$H$5:$H$7,W578)/INDEX(Parameter!$E$5:$E$7,W578),IF(AND(BW578=0,N(IFERROR(VLOOKUP(BU578,'Gebinde-Kategorie'!$A$5:$N$45,14,0),0))&gt;0),VLOOKUP(BU578,'Gebinde-Kategorie'!$A$5:$N$45,14,0)*10+Parameter!$M$23,Parameter!$M$24))</f>
        <v>155</v>
      </c>
      <c r="BZ578" s="48" t="str">
        <f aca="false">IF(AND(Parameter!$B$19="Ja",E578&lt;&gt;"",ISNUMBER(MATCH(E578,Parameter!$I$35:$I$52,0))),VLOOKUP(E578,Parameter!$I$35:$J$52,2,0),IFERROR(VLOOKUP(D578,Parameter!$A$35:$C$64,2,0),"Nein"))</f>
        <v>2+3</v>
      </c>
      <c r="CA578" s="52" t="n">
        <f aca="false">IF(BW578=0,0,IF(N(S578)&gt;0,S578,IFERROR(VLOOKUP(D578,Parameter!$A$35:$C$64,3,0)+0,0)))</f>
        <v>0</v>
      </c>
      <c r="CB578" s="48" t="n">
        <f aca="false">IF(AA578&lt;&gt;"",AA578,Z578)</f>
        <v>3</v>
      </c>
      <c r="CC578" s="48" t="str">
        <f aca="false">IF(OR(CB578=1,CB578=2,CB578=3),IF(Parameter!$E$27="Ja","LIFT",IF(CB578=1,"L1","L23")),IF(CB578="Aussen","Aussen","-"))</f>
        <v>LIFT</v>
      </c>
      <c r="CD578" s="59" t="n">
        <f aca="false">IF(N(AB578)&gt;0,AB578,0)</f>
        <v>0</v>
      </c>
      <c r="CE578" s="53" t="n">
        <f aca="false">IF(ISNUMBER(AE578),1,0)</f>
        <v>0</v>
      </c>
      <c r="CF578" s="50" t="n">
        <f aca="false">N(AE578)</f>
        <v>0</v>
      </c>
      <c r="CG578" s="50" t="n">
        <f aca="false">N(M578)+N(N578)</f>
        <v>208</v>
      </c>
      <c r="CH578" s="50" t="n">
        <f aca="false">ROUNDUP(H578/BV578,0)</f>
        <v>1</v>
      </c>
      <c r="CI578" s="50" t="n">
        <f aca="false">ROUNDUP(CF578/BV578,0)</f>
        <v>0</v>
      </c>
      <c r="CJ578" s="53" t="n">
        <f aca="false">IF(BW578=1,0,IFERROR(VLOOKUP(BU578,'Gebinde-Kategorie'!$A$5:$N$45,5,0)+0,0))</f>
        <v>8</v>
      </c>
      <c r="CK578" s="53" t="n">
        <f aca="false">IFERROR(IF(OR(CB578=1,CB578=2,CB578=3),N(INDEX(Parameter!$I$5:$I$7,CB578)),0),0)</f>
        <v>0</v>
      </c>
      <c r="CL578" s="52" t="n">
        <f aca="false">IF(AND(Parameter!$B$21="Ja",ISNUMBER(W578),N(X578)&gt;0),IFERROR(N(INDEX(Parameter!$L$5:$L$7,W578))*INDEX(Parameter!$E$5:$E$7,W578)*X578/SUMIFS($X$7:$X$1843,$W$7:$W$1843,W578),0),0)</f>
        <v>0</v>
      </c>
    </row>
    <row r="579" customFormat="false" ht="15" hidden="false" customHeight="false" outlineLevel="0" collapsed="false">
      <c r="A579" s="48" t="s">
        <v>1220</v>
      </c>
      <c r="B579" s="48" t="s">
        <v>1221</v>
      </c>
      <c r="C579" s="48" t="s">
        <v>168</v>
      </c>
      <c r="D579" s="48" t="s">
        <v>177</v>
      </c>
      <c r="E579" s="48"/>
      <c r="F579" s="48" t="s">
        <v>222</v>
      </c>
      <c r="G579" s="49" t="n">
        <v>9.55</v>
      </c>
      <c r="H579" s="50" t="n">
        <f aca="false">MAX(0,IF(AND(Parameter!$B$21="Ja",ISNUMBER(Y579)),Y579,IF(Parameter!$B$20="Jahresanfang 2025 + Export",BO579+BN579,BN579)))</f>
        <v>1</v>
      </c>
      <c r="I579" s="50" t="n">
        <f aca="false">H579*G579</f>
        <v>9.55</v>
      </c>
      <c r="J579" s="50" t="n">
        <f aca="false">BQ579*Parameter!$B$18</f>
        <v>0</v>
      </c>
      <c r="K579" s="51" t="n">
        <v>0</v>
      </c>
      <c r="L579" s="52" t="n">
        <v>0</v>
      </c>
      <c r="M579" s="50" t="n">
        <v>0</v>
      </c>
      <c r="N579" s="50" t="n">
        <v>1</v>
      </c>
      <c r="O579" s="53" t="n">
        <v>21</v>
      </c>
      <c r="P579" s="48" t="s">
        <v>172</v>
      </c>
      <c r="Q579" s="50"/>
      <c r="R579" s="53" t="n">
        <f aca="false">IF(BW579=1,0,IFERROR(VLOOKUP(BU579,'Gebinde-Kategorie'!$A$5:$N$45,13,0)+0,0))</f>
        <v>12</v>
      </c>
      <c r="S579" s="54"/>
      <c r="T579" s="55" t="s">
        <v>183</v>
      </c>
      <c r="U579" s="55"/>
      <c r="V579" s="55"/>
      <c r="W579" s="48"/>
      <c r="X579" s="50"/>
      <c r="Y579" s="50"/>
      <c r="Z579" s="48" t="n">
        <f aca="false">IF(A579="","",IF(AND(Parameter!$B$21="Ja",ISNUMBER(W579)),W579,IF(BZ579="2+3",IF(ISNUMBER(SEARCH("grosser Artikel",BR579)),2,IFERROR(VLOOKUP(BU579,Parameter!$F$35:$G$64,2,0),2)),IF(OR(BZ579="Nein",BZ579=""),"-",BZ579))))</f>
        <v>2</v>
      </c>
      <c r="AA579" s="55"/>
      <c r="AB579" s="56"/>
      <c r="AC579" s="50" t="n">
        <f aca="false">AT579</f>
        <v>4</v>
      </c>
      <c r="AD579" s="50" t="n">
        <f aca="false">MAX(AT579,H579)</f>
        <v>4</v>
      </c>
      <c r="AE579" s="57"/>
      <c r="AF579" s="50" t="n">
        <f aca="false">IF(LEFT(Cockpit!$C$5,1)="A",H579,IF(CE579=1,CF579,IF(LEFT(Cockpit!$C$5,1)="B",AK579,MAX(AK579,H579))))</f>
        <v>1</v>
      </c>
      <c r="AG579" s="50" t="n">
        <f aca="false">IF(BW579=1,0,ROUNDUP(AF579/BV579,0))</f>
        <v>1</v>
      </c>
      <c r="AH579" s="52" t="n">
        <f aca="false">IF(CL579&gt;0,CL579*MAX(1,AF579/X579),IF(BW579=1,IF(AF579&lt;=0,0,CA579*MAX(1,IF(H579&gt;0,AF579/H579,1))),IF(R579&gt;0,AG579/R579,0))/MAX(0.1,N(Parameter!$M$21)))</f>
        <v>0.0833333333333333</v>
      </c>
      <c r="AI579" s="50" t="n">
        <f aca="false">AH579*BY579</f>
        <v>12.0833333333333</v>
      </c>
      <c r="AJ579" s="50" t="n">
        <f aca="false">AF579*G579</f>
        <v>9.55</v>
      </c>
      <c r="AK579" s="50" t="n">
        <f aca="false">ROUNDUP(MAX(J579/IF(CD579&gt;0,CD579,MAX(0.1,N(Cockpit!$C$6))),CG579)/BV579,0)*BV579</f>
        <v>4</v>
      </c>
      <c r="AL579" s="51" t="n">
        <f aca="false">IF(AI579&gt;0,J579/AI579,-1)</f>
        <v>0</v>
      </c>
      <c r="AM579" s="51" t="n">
        <f aca="false">IF(AND(OR(CC579="L1",CC579="L23",CC579="LIFT"),AI579&gt;0),SUMIFS($AI$7:$AI$1843,$CC$7:$CC$1843,CC579,$AL$7:$AL$1843,"&gt;"&amp;AL579)+SUMIFS($AI$7:$AI$1843,$CC$7:$CC$1843,CC579,$AL$7:$AL$1843,AL579,$BT$7:$BT$1843,"&lt;="&amp;BT579),"")</f>
        <v>28474.2112487324</v>
      </c>
      <c r="AN579" s="58" t="n">
        <f aca="false">IF(AM579="",0,MAX(0,MIN(1,(IF(CC579="L1",Parameter!$H$5,IF(CC579="L23",Parameter!$H$6+Parameter!$H$7,Parameter!$H$5+Parameter!$H$6+Parameter!$H$7))-(AM579-AI579))/AI579)))</f>
        <v>1</v>
      </c>
      <c r="AO579" s="50" t="n">
        <f aca="false">IF(LEFT(Cockpit!$I$5,1)="A",H579,IF(CE579=1,CF579,IF(LEFT(Cockpit!$I$5,1)="B",AT579,MAX(AT579,H579))))</f>
        <v>4</v>
      </c>
      <c r="AP579" s="50" t="n">
        <f aca="false">IF(BW579=1,0,ROUNDUP(AO579/BV579,0))</f>
        <v>1</v>
      </c>
      <c r="AQ579" s="52" t="n">
        <f aca="false">IF(CL579&gt;0,CL579*MAX(1,AO579/X579),IF(BW579=1,IF(AO579&lt;=0,0,CA579*MAX(1,IF(H579&gt;0,AO579/H579,1))),IF(R579&gt;0,AP579/R579,0))/MAX(0.1,N(Parameter!$M$21)))</f>
        <v>0.0833333333333333</v>
      </c>
      <c r="AR579" s="50" t="n">
        <f aca="false">AQ579*BY579</f>
        <v>12.0833333333333</v>
      </c>
      <c r="AS579" s="50" t="n">
        <f aca="false">AO579*G579</f>
        <v>38.2</v>
      </c>
      <c r="AT579" s="50" t="n">
        <f aca="false">ROUNDUP(MAX(J579/IF(CD579&gt;0,CD579,MAX(0.1,N(Cockpit!$I$6))),CG579)/BV579,0)*BV579</f>
        <v>4</v>
      </c>
      <c r="AU579" s="51" t="n">
        <f aca="false">IF(AR579&gt;0,J579/AR579,-1)</f>
        <v>0</v>
      </c>
      <c r="AV579" s="51" t="n">
        <f aca="false">IF(AND(OR(CC579="L1",CC579="L23",CC579="LIFT"),AR579&gt;0),SUMIFS($AR$7:$AR$1843,$CC$7:$CC$1843,CC579,$AU$7:$AU$1843,"&gt;"&amp;AU579)+SUMIFS($AR$7:$AR$1843,$CC$7:$CC$1843,CC579,$AU$7:$AU$1843,AU579,$BT$7:$BT$1843,"&lt;="&amp;BT579),"")</f>
        <v>39787.1167660024</v>
      </c>
      <c r="AW579" s="58" t="n">
        <f aca="false">IF(AV579="",0,MAX(0,MIN(1,(IF(CC579="L1",Parameter!$H$5,IF(CC579="L23",Parameter!$H$6+Parameter!$H$7,Parameter!$H$5+Parameter!$H$6+Parameter!$H$7))-(AV579-AR579))/AR579)))</f>
        <v>0</v>
      </c>
      <c r="AX579" s="50" t="n">
        <f aca="false">IF(LEFT(Cockpit!$O$5,1)="A",H579,IF(CE579=1,CF579,IF(LEFT(Cockpit!$O$5,1)="B",BC579,MAX(BC579,H579))))</f>
        <v>4</v>
      </c>
      <c r="AY579" s="50" t="n">
        <f aca="false">IF(BW579=1,0,ROUNDUP(AX579/BV579,0))</f>
        <v>1</v>
      </c>
      <c r="AZ579" s="52" t="n">
        <f aca="false">IF(CL579&gt;0,CL579*MAX(1,AX579/X579),IF(BW579=1,IF(AX579&lt;=0,0,CA579*MAX(1,IF(H579&gt;0,AX579/H579,1))),IF(R579&gt;0,AY579/R579,0))/MAX(0.1,N(Parameter!$M$21)))</f>
        <v>0.0833333333333333</v>
      </c>
      <c r="BA579" s="50" t="n">
        <f aca="false">AZ579*BY579</f>
        <v>12.0833333333333</v>
      </c>
      <c r="BB579" s="50" t="n">
        <f aca="false">AX579*G579</f>
        <v>38.2</v>
      </c>
      <c r="BC579" s="50" t="n">
        <f aca="false">ROUNDUP(MAX(J579/IF(CD579&gt;0,CD579,MAX(0.1,N(Cockpit!$O$6))),CG579)/BV579,0)*BV579</f>
        <v>4</v>
      </c>
      <c r="BD579" s="51" t="n">
        <f aca="false">IF(BA579&gt;0,J579/BA579,-1)</f>
        <v>0</v>
      </c>
      <c r="BE579" s="51" t="n">
        <f aca="false">IF(AND(OR(CC579="L1",CC579="L23",CC579="LIFT"),BA579&gt;0),SUMIFS($BA$7:$BA$1843,$CC$7:$CC$1843,CC579,$BD$7:$BD$1843,"&gt;"&amp;BD579)+SUMIFS($BA$7:$BA$1843,$CC$7:$CC$1843,CC579,$BD$7:$BD$1843,BD579,$BT$7:$BT$1843,"&lt;="&amp;BT579),"")</f>
        <v>36462.1288078682</v>
      </c>
      <c r="BF579" s="58" t="n">
        <f aca="false">IF(BE579="",0,MAX(0,MIN(1,(IF(CC579="L1",Parameter!$H$5,IF(CC579="L23",Parameter!$H$6+Parameter!$H$7,Parameter!$H$5+Parameter!$H$6+Parameter!$H$7))-(BE579-BA579))/BA579)))</f>
        <v>0</v>
      </c>
      <c r="BG579" s="48" t="str">
        <f aca="false">IF(AI579&lt;=0,"",IF(CC579="Aussen","Aussenlager",IF(CC579="-","Nicht im Lift",IF(AN579&gt;=1,"Lift",IF(AN579&lt;=0,"Aussenlager","teilweise")))))</f>
        <v>Lift</v>
      </c>
      <c r="BH579" s="48" t="str">
        <f aca="false">IF(AR579&lt;=0,"",IF(CC579="Aussen","Aussenlager",IF(CC579="-","Nicht im Lift",IF(AW579&gt;=1,"Lift",IF(AW579&lt;=0,"Aussenlager","teilweise")))))</f>
        <v>Aussenlager</v>
      </c>
      <c r="BI579" s="48" t="str">
        <f aca="false">IF(BA579&lt;=0,"",IF(CC579="Aussen","Aussenlager",IF(CC579="-","Nicht im Lift",IF(BF579&gt;=1,"Lift",IF(BF579&lt;=0,"Aussenlager","teilweise")))))</f>
        <v>Aussenlager</v>
      </c>
      <c r="BJ579" s="48" t="str">
        <f aca="false">IF(A579="","",IF(BS579=1,"Neu; ","")&amp;IF(AND(BS579=0,BN579&lt;0),"negativer Bestand (Export "&amp;BN579&amp;"); ","")&amp;IF(J579&lt;=0,"Kein Verbrauch; ","")&amp;IF(CL579&gt;0,"Lift "&amp;W579&amp;" lt. Liftbericht (Fach "&amp;X579&amp;" Stk); ",IF(BX579=1,"Gebinde geschätzt ("&amp;T579&amp;"); ",IF(BW579=1,"Lose – Tablare geschätzt; ","")))&amp;IF(H579&gt;AT579,"Überbestand "&amp;ROUND(H579-AT579,0)&amp;" Stk / CHF "&amp;ROUND((H579-AT579)*G579,0)&amp;"; ","")&amp;IF(AND(CE579=1,CF579&lt;CG579),"MAX &lt; MB+LG; ","")&amp;IF(AND(CK579&gt;0,CJ579*10&gt;CK579),"zu hoch für Tablar; ","")&amp;IF(AND(BS579=0,OR(CE579=1,AA579&lt;&gt;"",U579&lt;&gt;"",V579&lt;&gt;"",AB579&lt;&gt;"")),"manuell übersteuert; ","")&amp;IF(AND(BW579=0,R579=0),"Gebinde unbekannt / Stellmass fehlt; ","")&amp;IF(AND(BW579=0,N(V579)&lt;=0,N(Q579)&lt;=0),"Menge pro Gebinde fehlt (Ist = 1 Gebinde); ","")&amp;BR579)</f>
        <v>Kein Verbrauch; Gebinde geschätzt (Mittel); Menge pro Gebinde fehlt (Ist = 1 Gebinde); </v>
      </c>
      <c r="BK579" s="48"/>
      <c r="BL579" s="48"/>
      <c r="BM579" s="55"/>
      <c r="BN579" s="50" t="n">
        <v>1</v>
      </c>
      <c r="BO579" s="50" t="n">
        <v>0</v>
      </c>
      <c r="BP579" s="49" t="n">
        <v>9.55</v>
      </c>
      <c r="BQ579" s="50" t="n">
        <v>0</v>
      </c>
      <c r="BR579" s="48"/>
      <c r="BS579" s="53" t="n">
        <v>0</v>
      </c>
      <c r="BT579" s="53" t="n">
        <v>579</v>
      </c>
      <c r="BU579" s="48" t="str">
        <f aca="false">IF(U579&lt;&gt;"",UPPER(TRIM(U579)),IF(BX579=1,UPPER(VLOOKUP(T579,Parameter!$I$27:$K$29,2,0)),IF(P579="","LOSE",P579)))</f>
        <v>S61</v>
      </c>
      <c r="BV579" s="50" t="n">
        <f aca="false">IF(BU579="LOSE",1,IF(N(V579)&gt;0,V579,IF(BX579=1,MAX(1,N(VLOOKUP(T579,Parameter!$I$27:$K$29,3,0)),H579,N(N579)),IF(N(Q579)&gt;0,Q579,MAX(1,H579)))))</f>
        <v>4</v>
      </c>
      <c r="BW579" s="53" t="n">
        <f aca="false">IF(BU579="LOSE",1,0)</f>
        <v>0</v>
      </c>
      <c r="BX579" s="53" t="n">
        <f aca="false">IF(AND(U579="",OR(P579="",P579="LOSE"),T579&lt;&gt;"",N(S579)&lt;=0,ISNUMBER(MATCH(T579,Parameter!$I$27:$I$29,0))),1,0)</f>
        <v>1</v>
      </c>
      <c r="BY579" s="53" t="n">
        <f aca="false">IF(CL579&gt;0,INDEX(Parameter!$H$5:$H$7,W579)/INDEX(Parameter!$E$5:$E$7,W579),IF(AND(BW579=0,N(IFERROR(VLOOKUP(BU579,'Gebinde-Kategorie'!$A$5:$N$45,14,0),0))&gt;0),VLOOKUP(BU579,'Gebinde-Kategorie'!$A$5:$N$45,14,0)*10+Parameter!$M$23,Parameter!$M$24))</f>
        <v>145</v>
      </c>
      <c r="BZ579" s="48" t="str">
        <f aca="false">IF(AND(Parameter!$B$19="Ja",E579&lt;&gt;"",ISNUMBER(MATCH(E579,Parameter!$I$35:$I$52,0))),VLOOKUP(E579,Parameter!$I$35:$J$52,2,0),IFERROR(VLOOKUP(D579,Parameter!$A$35:$C$64,2,0),"Nein"))</f>
        <v>2+3</v>
      </c>
      <c r="CA579" s="52" t="n">
        <f aca="false">IF(BW579=0,0,IF(N(S579)&gt;0,S579,IFERROR(VLOOKUP(D579,Parameter!$A$35:$C$64,3,0)+0,0)))</f>
        <v>0</v>
      </c>
      <c r="CB579" s="48" t="n">
        <f aca="false">IF(AA579&lt;&gt;"",AA579,Z579)</f>
        <v>2</v>
      </c>
      <c r="CC579" s="48" t="str">
        <f aca="false">IF(OR(CB579=1,CB579=2,CB579=3),IF(Parameter!$E$27="Ja","LIFT",IF(CB579=1,"L1","L23")),IF(CB579="Aussen","Aussen","-"))</f>
        <v>LIFT</v>
      </c>
      <c r="CD579" s="59" t="n">
        <f aca="false">IF(N(AB579)&gt;0,AB579,0)</f>
        <v>0</v>
      </c>
      <c r="CE579" s="53" t="n">
        <f aca="false">IF(ISNUMBER(AE579),1,0)</f>
        <v>0</v>
      </c>
      <c r="CF579" s="50" t="n">
        <f aca="false">N(AE579)</f>
        <v>0</v>
      </c>
      <c r="CG579" s="50" t="n">
        <f aca="false">N(M579)+N(N579)</f>
        <v>1</v>
      </c>
      <c r="CH579" s="50" t="n">
        <f aca="false">ROUNDUP(H579/BV579,0)</f>
        <v>1</v>
      </c>
      <c r="CI579" s="50" t="n">
        <f aca="false">ROUNDUP(CF579/BV579,0)</f>
        <v>0</v>
      </c>
      <c r="CJ579" s="53" t="n">
        <f aca="false">IF(BW579=1,0,IFERROR(VLOOKUP(BU579,'Gebinde-Kategorie'!$A$5:$N$45,5,0)+0,0))</f>
        <v>11</v>
      </c>
      <c r="CK579" s="53" t="n">
        <f aca="false">IFERROR(IF(OR(CB579=1,CB579=2,CB579=3),N(INDEX(Parameter!$I$5:$I$7,CB579)),0),0)</f>
        <v>0</v>
      </c>
      <c r="CL579" s="52" t="n">
        <f aca="false">IF(AND(Parameter!$B$21="Ja",ISNUMBER(W579),N(X579)&gt;0),IFERROR(N(INDEX(Parameter!$L$5:$L$7,W579))*INDEX(Parameter!$E$5:$E$7,W579)*X579/SUMIFS($X$7:$X$1843,$W$7:$W$1843,W579),0),0)</f>
        <v>0</v>
      </c>
    </row>
    <row r="580" customFormat="false" ht="15" hidden="false" customHeight="false" outlineLevel="0" collapsed="false">
      <c r="A580" s="48" t="s">
        <v>1222</v>
      </c>
      <c r="B580" s="48" t="s">
        <v>1169</v>
      </c>
      <c r="C580" s="48" t="s">
        <v>168</v>
      </c>
      <c r="D580" s="48" t="s">
        <v>177</v>
      </c>
      <c r="E580" s="48"/>
      <c r="F580" s="48" t="s">
        <v>222</v>
      </c>
      <c r="G580" s="49" t="n">
        <v>9.5</v>
      </c>
      <c r="H580" s="50" t="n">
        <f aca="false">MAX(0,IF(AND(Parameter!$B$21="Ja",ISNUMBER(Y580)),Y580,IF(Parameter!$B$20="Jahresanfang 2025 + Export",BO580+BN580,BN580)))</f>
        <v>1</v>
      </c>
      <c r="I580" s="50" t="n">
        <f aca="false">H580*G580</f>
        <v>9.5</v>
      </c>
      <c r="J580" s="50" t="n">
        <f aca="false">BQ580*Parameter!$B$18</f>
        <v>0</v>
      </c>
      <c r="K580" s="51" t="n">
        <v>0</v>
      </c>
      <c r="L580" s="52" t="n">
        <v>0</v>
      </c>
      <c r="M580" s="50" t="n">
        <v>0</v>
      </c>
      <c r="N580" s="50" t="n">
        <v>1</v>
      </c>
      <c r="O580" s="53" t="n">
        <v>21</v>
      </c>
      <c r="P580" s="48" t="s">
        <v>172</v>
      </c>
      <c r="Q580" s="50"/>
      <c r="R580" s="53" t="n">
        <f aca="false">IF(BW580=1,0,IFERROR(VLOOKUP(BU580,'Gebinde-Kategorie'!$A$5:$N$45,13,0)+0,0))</f>
        <v>26</v>
      </c>
      <c r="S580" s="54"/>
      <c r="T580" s="55" t="s">
        <v>279</v>
      </c>
      <c r="U580" s="55"/>
      <c r="V580" s="55"/>
      <c r="W580" s="48"/>
      <c r="X580" s="50"/>
      <c r="Y580" s="50"/>
      <c r="Z580" s="48" t="n">
        <f aca="false">IF(A580="","",IF(AND(Parameter!$B$21="Ja",ISNUMBER(W580)),W580,IF(BZ580="2+3",IF(ISNUMBER(SEARCH("grosser Artikel",BR580)),2,IFERROR(VLOOKUP(BU580,Parameter!$F$35:$G$64,2,0),2)),IF(OR(BZ580="Nein",BZ580=""),"-",BZ580))))</f>
        <v>3</v>
      </c>
      <c r="AA580" s="55"/>
      <c r="AB580" s="56"/>
      <c r="AC580" s="50" t="n">
        <f aca="false">AT580</f>
        <v>20</v>
      </c>
      <c r="AD580" s="50" t="n">
        <f aca="false">MAX(AT580,H580)</f>
        <v>20</v>
      </c>
      <c r="AE580" s="57"/>
      <c r="AF580" s="50" t="n">
        <f aca="false">IF(LEFT(Cockpit!$C$5,1)="A",H580,IF(CE580=1,CF580,IF(LEFT(Cockpit!$C$5,1)="B",AK580,MAX(AK580,H580))))</f>
        <v>1</v>
      </c>
      <c r="AG580" s="50" t="n">
        <f aca="false">IF(BW580=1,0,ROUNDUP(AF580/BV580,0))</f>
        <v>1</v>
      </c>
      <c r="AH580" s="52" t="n">
        <f aca="false">IF(CL580&gt;0,CL580*MAX(1,AF580/X580),IF(BW580=1,IF(AF580&lt;=0,0,CA580*MAX(1,IF(H580&gt;0,AF580/H580,1))),IF(R580&gt;0,AG580/R580,0))/MAX(0.1,N(Parameter!$M$21)))</f>
        <v>0.0384615384615385</v>
      </c>
      <c r="AI580" s="50" t="n">
        <f aca="false">AH580*BY580</f>
        <v>5.96153846153846</v>
      </c>
      <c r="AJ580" s="50" t="n">
        <f aca="false">AF580*G580</f>
        <v>9.5</v>
      </c>
      <c r="AK580" s="50" t="n">
        <f aca="false">ROUNDUP(MAX(J580/IF(CD580&gt;0,CD580,MAX(0.1,N(Cockpit!$C$6))),CG580)/BV580,0)*BV580</f>
        <v>20</v>
      </c>
      <c r="AL580" s="51" t="n">
        <f aca="false">IF(AI580&gt;0,J580/AI580,-1)</f>
        <v>0</v>
      </c>
      <c r="AM580" s="51" t="n">
        <f aca="false">IF(AND(OR(CC580="L1",CC580="L23",CC580="LIFT"),AI580&gt;0),SUMIFS($AI$7:$AI$1843,$CC$7:$CC$1843,CC580,$AL$7:$AL$1843,"&gt;"&amp;AL580)+SUMIFS($AI$7:$AI$1843,$CC$7:$CC$1843,CC580,$AL$7:$AL$1843,AL580,$BT$7:$BT$1843,"&lt;="&amp;BT580),"")</f>
        <v>28480.172787194</v>
      </c>
      <c r="AN580" s="58" t="n">
        <f aca="false">IF(AM580="",0,MAX(0,MIN(1,(IF(CC580="L1",Parameter!$H$5,IF(CC580="L23",Parameter!$H$6+Parameter!$H$7,Parameter!$H$5+Parameter!$H$6+Parameter!$H$7))-(AM580-AI580))/AI580)))</f>
        <v>1</v>
      </c>
      <c r="AO580" s="50" t="n">
        <f aca="false">IF(LEFT(Cockpit!$I$5,1)="A",H580,IF(CE580=1,CF580,IF(LEFT(Cockpit!$I$5,1)="B",AT580,MAX(AT580,H580))))</f>
        <v>20</v>
      </c>
      <c r="AP580" s="50" t="n">
        <f aca="false">IF(BW580=1,0,ROUNDUP(AO580/BV580,0))</f>
        <v>1</v>
      </c>
      <c r="AQ580" s="52" t="n">
        <f aca="false">IF(CL580&gt;0,CL580*MAX(1,AO580/X580),IF(BW580=1,IF(AO580&lt;=0,0,CA580*MAX(1,IF(H580&gt;0,AO580/H580,1))),IF(R580&gt;0,AP580/R580,0))/MAX(0.1,N(Parameter!$M$21)))</f>
        <v>0.0384615384615385</v>
      </c>
      <c r="AR580" s="50" t="n">
        <f aca="false">AQ580*BY580</f>
        <v>5.96153846153846</v>
      </c>
      <c r="AS580" s="50" t="n">
        <f aca="false">AO580*G580</f>
        <v>190</v>
      </c>
      <c r="AT580" s="50" t="n">
        <f aca="false">ROUNDUP(MAX(J580/IF(CD580&gt;0,CD580,MAX(0.1,N(Cockpit!$I$6))),CG580)/BV580,0)*BV580</f>
        <v>20</v>
      </c>
      <c r="AU580" s="51" t="n">
        <f aca="false">IF(AR580&gt;0,J580/AR580,-1)</f>
        <v>0</v>
      </c>
      <c r="AV580" s="51" t="n">
        <f aca="false">IF(AND(OR(CC580="L1",CC580="L23",CC580="LIFT"),AR580&gt;0),SUMIFS($AR$7:$AR$1843,$CC$7:$CC$1843,CC580,$AU$7:$AU$1843,"&gt;"&amp;AU580)+SUMIFS($AR$7:$AR$1843,$CC$7:$CC$1843,CC580,$AU$7:$AU$1843,AU580,$BT$7:$BT$1843,"&lt;="&amp;BT580),"")</f>
        <v>39793.0783044639</v>
      </c>
      <c r="AW580" s="58" t="n">
        <f aca="false">IF(AV580="",0,MAX(0,MIN(1,(IF(CC580="L1",Parameter!$H$5,IF(CC580="L23",Parameter!$H$6+Parameter!$H$7,Parameter!$H$5+Parameter!$H$6+Parameter!$H$7))-(AV580-AR580))/AR580)))</f>
        <v>0</v>
      </c>
      <c r="AX580" s="50" t="n">
        <f aca="false">IF(LEFT(Cockpit!$O$5,1)="A",H580,IF(CE580=1,CF580,IF(LEFT(Cockpit!$O$5,1)="B",BC580,MAX(BC580,H580))))</f>
        <v>20</v>
      </c>
      <c r="AY580" s="50" t="n">
        <f aca="false">IF(BW580=1,0,ROUNDUP(AX580/BV580,0))</f>
        <v>1</v>
      </c>
      <c r="AZ580" s="52" t="n">
        <f aca="false">IF(CL580&gt;0,CL580*MAX(1,AX580/X580),IF(BW580=1,IF(AX580&lt;=0,0,CA580*MAX(1,IF(H580&gt;0,AX580/H580,1))),IF(R580&gt;0,AY580/R580,0))/MAX(0.1,N(Parameter!$M$21)))</f>
        <v>0.0384615384615385</v>
      </c>
      <c r="BA580" s="50" t="n">
        <f aca="false">AZ580*BY580</f>
        <v>5.96153846153846</v>
      </c>
      <c r="BB580" s="50" t="n">
        <f aca="false">AX580*G580</f>
        <v>190</v>
      </c>
      <c r="BC580" s="50" t="n">
        <f aca="false">ROUNDUP(MAX(J580/IF(CD580&gt;0,CD580,MAX(0.1,N(Cockpit!$O$6))),CG580)/BV580,0)*BV580</f>
        <v>20</v>
      </c>
      <c r="BD580" s="51" t="n">
        <f aca="false">IF(BA580&gt;0,J580/BA580,-1)</f>
        <v>0</v>
      </c>
      <c r="BE580" s="51" t="n">
        <f aca="false">IF(AND(OR(CC580="L1",CC580="L23",CC580="LIFT"),BA580&gt;0),SUMIFS($BA$7:$BA$1843,$CC$7:$CC$1843,CC580,$BD$7:$BD$1843,"&gt;"&amp;BD580)+SUMIFS($BA$7:$BA$1843,$CC$7:$CC$1843,CC580,$BD$7:$BD$1843,BD580,$BT$7:$BT$1843,"&lt;="&amp;BT580),"")</f>
        <v>36468.0903463298</v>
      </c>
      <c r="BF580" s="58" t="n">
        <f aca="false">IF(BE580="",0,MAX(0,MIN(1,(IF(CC580="L1",Parameter!$H$5,IF(CC580="L23",Parameter!$H$6+Parameter!$H$7,Parameter!$H$5+Parameter!$H$6+Parameter!$H$7))-(BE580-BA580))/BA580)))</f>
        <v>0</v>
      </c>
      <c r="BG580" s="48" t="str">
        <f aca="false">IF(AI580&lt;=0,"",IF(CC580="Aussen","Aussenlager",IF(CC580="-","Nicht im Lift",IF(AN580&gt;=1,"Lift",IF(AN580&lt;=0,"Aussenlager","teilweise")))))</f>
        <v>Lift</v>
      </c>
      <c r="BH580" s="48" t="str">
        <f aca="false">IF(AR580&lt;=0,"",IF(CC580="Aussen","Aussenlager",IF(CC580="-","Nicht im Lift",IF(AW580&gt;=1,"Lift",IF(AW580&lt;=0,"Aussenlager","teilweise")))))</f>
        <v>Aussenlager</v>
      </c>
      <c r="BI580" s="48" t="str">
        <f aca="false">IF(BA580&lt;=0,"",IF(CC580="Aussen","Aussenlager",IF(CC580="-","Nicht im Lift",IF(BF580&gt;=1,"Lift",IF(BF580&lt;=0,"Aussenlager","teilweise")))))</f>
        <v>Aussenlager</v>
      </c>
      <c r="BJ580" s="48" t="str">
        <f aca="false">IF(A580="","",IF(BS580=1,"Neu; ","")&amp;IF(AND(BS580=0,BN580&lt;0),"negativer Bestand (Export "&amp;BN580&amp;"); ","")&amp;IF(J580&lt;=0,"Kein Verbrauch; ","")&amp;IF(CL580&gt;0,"Lift "&amp;W580&amp;" lt. Liftbericht (Fach "&amp;X580&amp;" Stk); ",IF(BX580=1,"Gebinde geschätzt ("&amp;T580&amp;"); ",IF(BW580=1,"Lose – Tablare geschätzt; ","")))&amp;IF(H580&gt;AT580,"Überbestand "&amp;ROUND(H580-AT580,0)&amp;" Stk / CHF "&amp;ROUND((H580-AT580)*G580,0)&amp;"; ","")&amp;IF(AND(CE580=1,CF580&lt;CG580),"MAX &lt; MB+LG; ","")&amp;IF(AND(CK580&gt;0,CJ580*10&gt;CK580),"zu hoch für Tablar; ","")&amp;IF(AND(BS580=0,OR(CE580=1,AA580&lt;&gt;"",U580&lt;&gt;"",V580&lt;&gt;"",AB580&lt;&gt;"")),"manuell übersteuert; ","")&amp;IF(AND(BW580=0,R580=0),"Gebinde unbekannt / Stellmass fehlt; ","")&amp;IF(AND(BW580=0,N(V580)&lt;=0,N(Q580)&lt;=0),"Menge pro Gebinde fehlt (Ist = 1 Gebinde); ","")&amp;BR580)</f>
        <v>Kein Verbrauch; Gebinde geschätzt (Klein); Menge pro Gebinde fehlt (Ist = 1 Gebinde); </v>
      </c>
      <c r="BK580" s="48"/>
      <c r="BL580" s="48"/>
      <c r="BM580" s="55"/>
      <c r="BN580" s="50" t="n">
        <v>1</v>
      </c>
      <c r="BO580" s="50" t="n">
        <v>0</v>
      </c>
      <c r="BP580" s="49" t="n">
        <v>9.5</v>
      </c>
      <c r="BQ580" s="50" t="n">
        <v>0</v>
      </c>
      <c r="BR580" s="48"/>
      <c r="BS580" s="53" t="n">
        <v>0</v>
      </c>
      <c r="BT580" s="53" t="n">
        <v>580</v>
      </c>
      <c r="BU580" s="48" t="str">
        <f aca="false">IF(U580&lt;&gt;"",UPPER(TRIM(U580)),IF(BX580=1,UPPER(VLOOKUP(T580,Parameter!$I$27:$K$29,2,0)),IF(P580="","LOSE",P580)))</f>
        <v>S51</v>
      </c>
      <c r="BV580" s="50" t="n">
        <f aca="false">IF(BU580="LOSE",1,IF(N(V580)&gt;0,V580,IF(BX580=1,MAX(1,N(VLOOKUP(T580,Parameter!$I$27:$K$29,3,0)),H580,N(N580)),IF(N(Q580)&gt;0,Q580,MAX(1,H580)))))</f>
        <v>20</v>
      </c>
      <c r="BW580" s="53" t="n">
        <f aca="false">IF(BU580="LOSE",1,0)</f>
        <v>0</v>
      </c>
      <c r="BX580" s="53" t="n">
        <f aca="false">IF(AND(U580="",OR(P580="",P580="LOSE"),T580&lt;&gt;"",N(S580)&lt;=0,ISNUMBER(MATCH(T580,Parameter!$I$27:$I$29,0))),1,0)</f>
        <v>1</v>
      </c>
      <c r="BY580" s="53" t="n">
        <f aca="false">IF(CL580&gt;0,INDEX(Parameter!$H$5:$H$7,W580)/INDEX(Parameter!$E$5:$E$7,W580),IF(AND(BW580=0,N(IFERROR(VLOOKUP(BU580,'Gebinde-Kategorie'!$A$5:$N$45,14,0),0))&gt;0),VLOOKUP(BU580,'Gebinde-Kategorie'!$A$5:$N$45,14,0)*10+Parameter!$M$23,Parameter!$M$24))</f>
        <v>155</v>
      </c>
      <c r="BZ580" s="48" t="str">
        <f aca="false">IF(AND(Parameter!$B$19="Ja",E580&lt;&gt;"",ISNUMBER(MATCH(E580,Parameter!$I$35:$I$52,0))),VLOOKUP(E580,Parameter!$I$35:$J$52,2,0),IFERROR(VLOOKUP(D580,Parameter!$A$35:$C$64,2,0),"Nein"))</f>
        <v>2+3</v>
      </c>
      <c r="CA580" s="52" t="n">
        <f aca="false">IF(BW580=0,0,IF(N(S580)&gt;0,S580,IFERROR(VLOOKUP(D580,Parameter!$A$35:$C$64,3,0)+0,0)))</f>
        <v>0</v>
      </c>
      <c r="CB580" s="48" t="n">
        <f aca="false">IF(AA580&lt;&gt;"",AA580,Z580)</f>
        <v>3</v>
      </c>
      <c r="CC580" s="48" t="str">
        <f aca="false">IF(OR(CB580=1,CB580=2,CB580=3),IF(Parameter!$E$27="Ja","LIFT",IF(CB580=1,"L1","L23")),IF(CB580="Aussen","Aussen","-"))</f>
        <v>LIFT</v>
      </c>
      <c r="CD580" s="59" t="n">
        <f aca="false">IF(N(AB580)&gt;0,AB580,0)</f>
        <v>0</v>
      </c>
      <c r="CE580" s="53" t="n">
        <f aca="false">IF(ISNUMBER(AE580),1,0)</f>
        <v>0</v>
      </c>
      <c r="CF580" s="50" t="n">
        <f aca="false">N(AE580)</f>
        <v>0</v>
      </c>
      <c r="CG580" s="50" t="n">
        <f aca="false">N(M580)+N(N580)</f>
        <v>1</v>
      </c>
      <c r="CH580" s="50" t="n">
        <f aca="false">ROUNDUP(H580/BV580,0)</f>
        <v>1</v>
      </c>
      <c r="CI580" s="50" t="n">
        <f aca="false">ROUNDUP(CF580/BV580,0)</f>
        <v>0</v>
      </c>
      <c r="CJ580" s="53" t="n">
        <f aca="false">IF(BW580=1,0,IFERROR(VLOOKUP(BU580,'Gebinde-Kategorie'!$A$5:$N$45,5,0)+0,0))</f>
        <v>11</v>
      </c>
      <c r="CK580" s="53" t="n">
        <f aca="false">IFERROR(IF(OR(CB580=1,CB580=2,CB580=3),N(INDEX(Parameter!$I$5:$I$7,CB580)),0),0)</f>
        <v>0</v>
      </c>
      <c r="CL580" s="52" t="n">
        <f aca="false">IF(AND(Parameter!$B$21="Ja",ISNUMBER(W580),N(X580)&gt;0),IFERROR(N(INDEX(Parameter!$L$5:$L$7,W580))*INDEX(Parameter!$E$5:$E$7,W580)*X580/SUMIFS($X$7:$X$1843,$W$7:$W$1843,W580),0),0)</f>
        <v>0</v>
      </c>
    </row>
    <row r="581" customFormat="false" ht="15" hidden="false" customHeight="false" outlineLevel="0" collapsed="false">
      <c r="A581" s="48" t="s">
        <v>1223</v>
      </c>
      <c r="B581" s="48" t="s">
        <v>865</v>
      </c>
      <c r="C581" s="48" t="s">
        <v>168</v>
      </c>
      <c r="D581" s="48" t="s">
        <v>188</v>
      </c>
      <c r="E581" s="48"/>
      <c r="F581" s="48" t="s">
        <v>222</v>
      </c>
      <c r="G581" s="49" t="n">
        <v>3.15</v>
      </c>
      <c r="H581" s="50" t="n">
        <f aca="false">MAX(0,IF(AND(Parameter!$B$21="Ja",ISNUMBER(Y581)),Y581,IF(Parameter!$B$20="Jahresanfang 2025 + Export",BO581+BN581,BN581)))</f>
        <v>3</v>
      </c>
      <c r="I581" s="50" t="n">
        <f aca="false">H581*G581</f>
        <v>9.45</v>
      </c>
      <c r="J581" s="50" t="n">
        <f aca="false">BQ581*Parameter!$B$18</f>
        <v>4</v>
      </c>
      <c r="K581" s="51" t="n">
        <v>3</v>
      </c>
      <c r="L581" s="52" t="n">
        <v>1.33333333333333</v>
      </c>
      <c r="M581" s="50" t="n">
        <v>0</v>
      </c>
      <c r="N581" s="50" t="n">
        <v>5</v>
      </c>
      <c r="O581" s="53" t="n">
        <v>14</v>
      </c>
      <c r="P581" s="48" t="s">
        <v>405</v>
      </c>
      <c r="Q581" s="50" t="n">
        <v>3</v>
      </c>
      <c r="R581" s="53" t="n">
        <f aca="false">IF(BW581=1,0,IFERROR(VLOOKUP(BU581,'Gebinde-Kategorie'!$A$5:$N$45,13,0)+0,0))</f>
        <v>280</v>
      </c>
      <c r="S581" s="54"/>
      <c r="T581" s="55"/>
      <c r="U581" s="55"/>
      <c r="V581" s="55"/>
      <c r="W581" s="48"/>
      <c r="X581" s="50"/>
      <c r="Y581" s="50"/>
      <c r="Z581" s="48" t="n">
        <f aca="false">IF(A581="","",IF(AND(Parameter!$B$21="Ja",ISNUMBER(W581)),W581,IF(BZ581="2+3",IF(ISNUMBER(SEARCH("grosser Artikel",BR581)),2,IFERROR(VLOOKUP(BU581,Parameter!$F$35:$G$64,2,0),2)),IF(OR(BZ581="Nein",BZ581=""),"-",BZ581))))</f>
        <v>3</v>
      </c>
      <c r="AA581" s="55"/>
      <c r="AB581" s="56"/>
      <c r="AC581" s="50" t="n">
        <f aca="false">AT581</f>
        <v>6</v>
      </c>
      <c r="AD581" s="50" t="n">
        <f aca="false">MAX(AT581,H581)</f>
        <v>6</v>
      </c>
      <c r="AE581" s="57"/>
      <c r="AF581" s="50" t="n">
        <f aca="false">IF(LEFT(Cockpit!$C$5,1)="A",H581,IF(CE581=1,CF581,IF(LEFT(Cockpit!$C$5,1)="B",AK581,MAX(AK581,H581))))</f>
        <v>3</v>
      </c>
      <c r="AG581" s="50" t="n">
        <f aca="false">IF(BW581=1,0,ROUNDUP(AF581/BV581,0))</f>
        <v>1</v>
      </c>
      <c r="AH581" s="52" t="n">
        <f aca="false">IF(CL581&gt;0,CL581*MAX(1,AF581/X581),IF(BW581=1,IF(AF581&lt;=0,0,CA581*MAX(1,IF(H581&gt;0,AF581/H581,1))),IF(R581&gt;0,AG581/R581,0))/MAX(0.1,N(Parameter!$M$21)))</f>
        <v>0.00357142857142857</v>
      </c>
      <c r="AI581" s="50" t="n">
        <f aca="false">AH581*BY581</f>
        <v>0.553571428571429</v>
      </c>
      <c r="AJ581" s="50" t="n">
        <f aca="false">AF581*G581</f>
        <v>9.45</v>
      </c>
      <c r="AK581" s="50" t="n">
        <f aca="false">ROUNDUP(MAX(J581/IF(CD581&gt;0,CD581,MAX(0.1,N(Cockpit!$C$6))),CG581)/BV581,0)*BV581</f>
        <v>6</v>
      </c>
      <c r="AL581" s="51" t="n">
        <f aca="false">IF(AI581&gt;0,J581/AI581,-1)</f>
        <v>7.2258064516129</v>
      </c>
      <c r="AM581" s="51" t="n">
        <f aca="false">IF(AND(OR(CC581="L1",CC581="L23",CC581="LIFT"),AI581&gt;0),SUMIFS($AI$7:$AI$1843,$CC$7:$CC$1843,CC581,$AL$7:$AL$1843,"&gt;"&amp;AL581)+SUMIFS($AI$7:$AI$1843,$CC$7:$CC$1843,CC581,$AL$7:$AL$1843,AL581,$BT$7:$BT$1843,"&lt;="&amp;BT581),"")</f>
        <v>3156.13644688645</v>
      </c>
      <c r="AN581" s="58" t="n">
        <f aca="false">IF(AM581="",0,MAX(0,MIN(1,(IF(CC581="L1",Parameter!$H$5,IF(CC581="L23",Parameter!$H$6+Parameter!$H$7,Parameter!$H$5+Parameter!$H$6+Parameter!$H$7))-(AM581-AI581))/AI581)))</f>
        <v>1</v>
      </c>
      <c r="AO581" s="50" t="n">
        <f aca="false">IF(LEFT(Cockpit!$I$5,1)="A",H581,IF(CE581=1,CF581,IF(LEFT(Cockpit!$I$5,1)="B",AT581,MAX(AT581,H581))))</f>
        <v>6</v>
      </c>
      <c r="AP581" s="50" t="n">
        <f aca="false">IF(BW581=1,0,ROUNDUP(AO581/BV581,0))</f>
        <v>2</v>
      </c>
      <c r="AQ581" s="52" t="n">
        <f aca="false">IF(CL581&gt;0,CL581*MAX(1,AO581/X581),IF(BW581=1,IF(AO581&lt;=0,0,CA581*MAX(1,IF(H581&gt;0,AO581/H581,1))),IF(R581&gt;0,AP581/R581,0))/MAX(0.1,N(Parameter!$M$21)))</f>
        <v>0.00714285714285714</v>
      </c>
      <c r="AR581" s="50" t="n">
        <f aca="false">AQ581*BY581</f>
        <v>1.10714285714286</v>
      </c>
      <c r="AS581" s="50" t="n">
        <f aca="false">AO581*G581</f>
        <v>18.9</v>
      </c>
      <c r="AT581" s="50" t="n">
        <f aca="false">ROUNDUP(MAX(J581/IF(CD581&gt;0,CD581,MAX(0.1,N(Cockpit!$I$6))),CG581)/BV581,0)*BV581</f>
        <v>6</v>
      </c>
      <c r="AU581" s="51" t="n">
        <f aca="false">IF(AR581&gt;0,J581/AR581,-1)</f>
        <v>3.61290322580645</v>
      </c>
      <c r="AV581" s="51" t="n">
        <f aca="false">IF(AND(OR(CC581="L1",CC581="L23",CC581="LIFT"),AR581&gt;0),SUMIFS($AR$7:$AR$1843,$CC$7:$CC$1843,CC581,$AU$7:$AU$1843,"&gt;"&amp;AU581)+SUMIFS($AR$7:$AR$1843,$CC$7:$CC$1843,CC581,$AU$7:$AU$1843,AU581,$BT$7:$BT$1843,"&lt;="&amp;BT581),"")</f>
        <v>5954.83195970696</v>
      </c>
      <c r="AW581" s="58" t="n">
        <f aca="false">IF(AV581="",0,MAX(0,MIN(1,(IF(CC581="L1",Parameter!$H$5,IF(CC581="L23",Parameter!$H$6+Parameter!$H$7,Parameter!$H$5+Parameter!$H$6+Parameter!$H$7))-(AV581-AR581))/AR581)))</f>
        <v>1</v>
      </c>
      <c r="AX581" s="50" t="n">
        <f aca="false">IF(LEFT(Cockpit!$O$5,1)="A",H581,IF(CE581=1,CF581,IF(LEFT(Cockpit!$O$5,1)="B",BC581,MAX(BC581,H581))))</f>
        <v>6</v>
      </c>
      <c r="AY581" s="50" t="n">
        <f aca="false">IF(BW581=1,0,ROUNDUP(AX581/BV581,0))</f>
        <v>2</v>
      </c>
      <c r="AZ581" s="52" t="n">
        <f aca="false">IF(CL581&gt;0,CL581*MAX(1,AX581/X581),IF(BW581=1,IF(AX581&lt;=0,0,CA581*MAX(1,IF(H581&gt;0,AX581/H581,1))),IF(R581&gt;0,AY581/R581,0))/MAX(0.1,N(Parameter!$M$21)))</f>
        <v>0.00714285714285714</v>
      </c>
      <c r="BA581" s="50" t="n">
        <f aca="false">AZ581*BY581</f>
        <v>1.10714285714286</v>
      </c>
      <c r="BB581" s="50" t="n">
        <f aca="false">AX581*G581</f>
        <v>18.9</v>
      </c>
      <c r="BC581" s="50" t="n">
        <f aca="false">ROUNDUP(MAX(J581/IF(CD581&gt;0,CD581,MAX(0.1,N(Cockpit!$O$6))),CG581)/BV581,0)*BV581</f>
        <v>6</v>
      </c>
      <c r="BD581" s="51" t="n">
        <f aca="false">IF(BA581&gt;0,J581/BA581,-1)</f>
        <v>3.61290322580645</v>
      </c>
      <c r="BE581" s="51" t="n">
        <f aca="false">IF(AND(OR(CC581="L1",CC581="L23",CC581="LIFT"),BA581&gt;0),SUMIFS($BA$7:$BA$1843,$CC$7:$CC$1843,CC581,$BD$7:$BD$1843,"&gt;"&amp;BD581)+SUMIFS($BA$7:$BA$1843,$CC$7:$CC$1843,CC581,$BD$7:$BD$1843,BD581,$BT$7:$BT$1843,"&lt;="&amp;BT581),"")</f>
        <v>5856.4184981685</v>
      </c>
      <c r="BF581" s="58" t="n">
        <f aca="false">IF(BE581="",0,MAX(0,MIN(1,(IF(CC581="L1",Parameter!$H$5,IF(CC581="L23",Parameter!$H$6+Parameter!$H$7,Parameter!$H$5+Parameter!$H$6+Parameter!$H$7))-(BE581-BA581))/BA581)))</f>
        <v>1</v>
      </c>
      <c r="BG581" s="48" t="str">
        <f aca="false">IF(AI581&lt;=0,"",IF(CC581="Aussen","Aussenlager",IF(CC581="-","Nicht im Lift",IF(AN581&gt;=1,"Lift",IF(AN581&lt;=0,"Aussenlager","teilweise")))))</f>
        <v>Lift</v>
      </c>
      <c r="BH581" s="48" t="str">
        <f aca="false">IF(AR581&lt;=0,"",IF(CC581="Aussen","Aussenlager",IF(CC581="-","Nicht im Lift",IF(AW581&gt;=1,"Lift",IF(AW581&lt;=0,"Aussenlager","teilweise")))))</f>
        <v>Lift</v>
      </c>
      <c r="BI581" s="48" t="str">
        <f aca="false">IF(BA581&lt;=0,"",IF(CC581="Aussen","Aussenlager",IF(CC581="-","Nicht im Lift",IF(BF581&gt;=1,"Lift",IF(BF581&lt;=0,"Aussenlager","teilweise")))))</f>
        <v>Lift</v>
      </c>
      <c r="BJ581" s="48" t="str">
        <f aca="false">IF(A581="","",IF(BS581=1,"Neu; ","")&amp;IF(AND(BS581=0,BN581&lt;0),"negativer Bestand (Export "&amp;BN581&amp;"); ","")&amp;IF(J581&lt;=0,"Kein Verbrauch; ","")&amp;IF(CL581&gt;0,"Lift "&amp;W581&amp;" lt. Liftbericht (Fach "&amp;X581&amp;" Stk); ",IF(BX581=1,"Gebinde geschätzt ("&amp;T581&amp;"); ",IF(BW581=1,"Lose – Tablare geschätzt; ","")))&amp;IF(H581&gt;AT581,"Überbestand "&amp;ROUND(H581-AT581,0)&amp;" Stk / CHF "&amp;ROUND((H581-AT581)*G581,0)&amp;"; ","")&amp;IF(AND(CE581=1,CF581&lt;CG581),"MAX &lt; MB+LG; ","")&amp;IF(AND(CK581&gt;0,CJ581*10&gt;CK581),"zu hoch für Tablar; ","")&amp;IF(AND(BS581=0,OR(CE581=1,AA581&lt;&gt;"",U581&lt;&gt;"",V581&lt;&gt;"",AB581&lt;&gt;"")),"manuell übersteuert; ","")&amp;IF(AND(BW581=0,R581=0),"Gebinde unbekannt / Stellmass fehlt; ","")&amp;IF(AND(BW581=0,N(V581)&lt;=0,N(Q581)&lt;=0),"Menge pro Gebinde fehlt (Ist = 1 Gebinde); ","")&amp;BR581)</f>
        <v/>
      </c>
      <c r="BK581" s="48"/>
      <c r="BL581" s="48"/>
      <c r="BM581" s="55"/>
      <c r="BN581" s="50" t="n">
        <v>3</v>
      </c>
      <c r="BO581" s="50" t="n">
        <v>0</v>
      </c>
      <c r="BP581" s="49" t="n">
        <v>9.45</v>
      </c>
      <c r="BQ581" s="50" t="n">
        <v>4</v>
      </c>
      <c r="BR581" s="48"/>
      <c r="BS581" s="53" t="n">
        <v>0</v>
      </c>
      <c r="BT581" s="53" t="n">
        <v>581</v>
      </c>
      <c r="BU581" s="48" t="str">
        <f aca="false">IF(U581&lt;&gt;"",UPPER(TRIM(U581)),IF(BX581=1,UPPER(VLOOKUP(T581,Parameter!$I$27:$K$29,2,0)),IF(P581="","LOSE",P581)))</f>
        <v>S21</v>
      </c>
      <c r="BV581" s="50" t="n">
        <f aca="false">IF(BU581="LOSE",1,IF(N(V581)&gt;0,V581,IF(BX581=1,MAX(1,N(VLOOKUP(T581,Parameter!$I$27:$K$29,3,0)),H581,N(N581)),IF(N(Q581)&gt;0,Q581,MAX(1,H581)))))</f>
        <v>3</v>
      </c>
      <c r="BW581" s="53" t="n">
        <f aca="false">IF(BU581="LOSE",1,0)</f>
        <v>0</v>
      </c>
      <c r="BX581" s="53" t="n">
        <f aca="false">IF(AND(U581="",OR(P581="",P581="LOSE"),T581&lt;&gt;"",N(S581)&lt;=0,ISNUMBER(MATCH(T581,Parameter!$I$27:$I$29,0))),1,0)</f>
        <v>0</v>
      </c>
      <c r="BY581" s="53" t="n">
        <f aca="false">IF(CL581&gt;0,INDEX(Parameter!$H$5:$H$7,W581)/INDEX(Parameter!$E$5:$E$7,W581),IF(AND(BW581=0,N(IFERROR(VLOOKUP(BU581,'Gebinde-Kategorie'!$A$5:$N$45,14,0),0))&gt;0),VLOOKUP(BU581,'Gebinde-Kategorie'!$A$5:$N$45,14,0)*10+Parameter!$M$23,Parameter!$M$24))</f>
        <v>155</v>
      </c>
      <c r="BZ581" s="48" t="str">
        <f aca="false">IF(AND(Parameter!$B$19="Ja",E581&lt;&gt;"",ISNUMBER(MATCH(E581,Parameter!$I$35:$I$52,0))),VLOOKUP(E581,Parameter!$I$35:$J$52,2,0),IFERROR(VLOOKUP(D581,Parameter!$A$35:$C$64,2,0),"Nein"))</f>
        <v>2+3</v>
      </c>
      <c r="CA581" s="52" t="n">
        <f aca="false">IF(BW581=0,0,IF(N(S581)&gt;0,S581,IFERROR(VLOOKUP(D581,Parameter!$A$35:$C$64,3,0)+0,0)))</f>
        <v>0</v>
      </c>
      <c r="CB581" s="48" t="n">
        <f aca="false">IF(AA581&lt;&gt;"",AA581,Z581)</f>
        <v>3</v>
      </c>
      <c r="CC581" s="48" t="str">
        <f aca="false">IF(OR(CB581=1,CB581=2,CB581=3),IF(Parameter!$E$27="Ja","LIFT",IF(CB581=1,"L1","L23")),IF(CB581="Aussen","Aussen","-"))</f>
        <v>LIFT</v>
      </c>
      <c r="CD581" s="59" t="n">
        <f aca="false">IF(N(AB581)&gt;0,AB581,0)</f>
        <v>0</v>
      </c>
      <c r="CE581" s="53" t="n">
        <f aca="false">IF(ISNUMBER(AE581),1,0)</f>
        <v>0</v>
      </c>
      <c r="CF581" s="50" t="n">
        <f aca="false">N(AE581)</f>
        <v>0</v>
      </c>
      <c r="CG581" s="50" t="n">
        <f aca="false">N(M581)+N(N581)</f>
        <v>5</v>
      </c>
      <c r="CH581" s="50" t="n">
        <f aca="false">ROUNDUP(H581/BV581,0)</f>
        <v>1</v>
      </c>
      <c r="CI581" s="50" t="n">
        <f aca="false">ROUNDUP(CF581/BV581,0)</f>
        <v>0</v>
      </c>
      <c r="CJ581" s="53" t="n">
        <f aca="false">IF(BW581=1,0,IFERROR(VLOOKUP(BU581,'Gebinde-Kategorie'!$A$5:$N$45,5,0)+0,0))</f>
        <v>8</v>
      </c>
      <c r="CK581" s="53" t="n">
        <f aca="false">IFERROR(IF(OR(CB581=1,CB581=2,CB581=3),N(INDEX(Parameter!$I$5:$I$7,CB581)),0),0)</f>
        <v>0</v>
      </c>
      <c r="CL581" s="52" t="n">
        <f aca="false">IF(AND(Parameter!$B$21="Ja",ISNUMBER(W581),N(X581)&gt;0),IFERROR(N(INDEX(Parameter!$L$5:$L$7,W581))*INDEX(Parameter!$E$5:$E$7,W581)*X581/SUMIFS($X$7:$X$1843,$W$7:$W$1843,W581),0),0)</f>
        <v>0</v>
      </c>
    </row>
    <row r="582" customFormat="false" ht="15" hidden="false" customHeight="false" outlineLevel="0" collapsed="false">
      <c r="A582" s="48" t="s">
        <v>1224</v>
      </c>
      <c r="B582" s="48" t="s">
        <v>654</v>
      </c>
      <c r="C582" s="48" t="s">
        <v>168</v>
      </c>
      <c r="D582" s="48" t="s">
        <v>188</v>
      </c>
      <c r="E582" s="48" t="s">
        <v>189</v>
      </c>
      <c r="F582" s="48" t="s">
        <v>222</v>
      </c>
      <c r="G582" s="49" t="n">
        <v>9.27</v>
      </c>
      <c r="H582" s="50" t="n">
        <f aca="false">MAX(0,IF(AND(Parameter!$B$21="Ja",ISNUMBER(Y582)),Y582,IF(Parameter!$B$20="Jahresanfang 2025 + Export",BO582+BN582,BN582)))</f>
        <v>110</v>
      </c>
      <c r="I582" s="50" t="n">
        <f aca="false">H582*G582</f>
        <v>1019.7</v>
      </c>
      <c r="J582" s="50" t="n">
        <f aca="false">BQ582*Parameter!$B$18</f>
        <v>1</v>
      </c>
      <c r="K582" s="51" t="n">
        <v>110.5</v>
      </c>
      <c r="L582" s="52" t="n">
        <v>0.00904977375565611</v>
      </c>
      <c r="M582" s="50" t="n">
        <v>0</v>
      </c>
      <c r="N582" s="50" t="n">
        <v>1</v>
      </c>
      <c r="O582" s="53" t="n">
        <v>28</v>
      </c>
      <c r="P582" s="48" t="s">
        <v>306</v>
      </c>
      <c r="Q582" s="50" t="n">
        <v>23</v>
      </c>
      <c r="R582" s="53" t="n">
        <f aca="false">IF(BW582=1,0,IFERROR(VLOOKUP(BU582,'Gebinde-Kategorie'!$A$5:$N$45,13,0)+0,0))</f>
        <v>26</v>
      </c>
      <c r="S582" s="54"/>
      <c r="T582" s="55"/>
      <c r="U582" s="55"/>
      <c r="V582" s="55"/>
      <c r="W582" s="48"/>
      <c r="X582" s="50"/>
      <c r="Y582" s="50"/>
      <c r="Z582" s="48" t="n">
        <f aca="false">IF(A582="","",IF(AND(Parameter!$B$21="Ja",ISNUMBER(W582)),W582,IF(BZ582="2+3",IF(ISNUMBER(SEARCH("grosser Artikel",BR582)),2,IFERROR(VLOOKUP(BU582,Parameter!$F$35:$G$64,2,0),2)),IF(OR(BZ582="Nein",BZ582=""),"-",BZ582))))</f>
        <v>3</v>
      </c>
      <c r="AA582" s="55"/>
      <c r="AB582" s="56"/>
      <c r="AC582" s="50" t="n">
        <f aca="false">AT582</f>
        <v>23</v>
      </c>
      <c r="AD582" s="50" t="n">
        <f aca="false">MAX(AT582,H582)</f>
        <v>110</v>
      </c>
      <c r="AE582" s="57"/>
      <c r="AF582" s="50" t="n">
        <f aca="false">IF(LEFT(Cockpit!$C$5,1)="A",H582,IF(CE582=1,CF582,IF(LEFT(Cockpit!$C$5,1)="B",AK582,MAX(AK582,H582))))</f>
        <v>110</v>
      </c>
      <c r="AG582" s="50" t="n">
        <f aca="false">IF(BW582=1,0,ROUNDUP(AF582/BV582,0))</f>
        <v>5</v>
      </c>
      <c r="AH582" s="52" t="n">
        <f aca="false">IF(CL582&gt;0,CL582*MAX(1,AF582/X582),IF(BW582=1,IF(AF582&lt;=0,0,CA582*MAX(1,IF(H582&gt;0,AF582/H582,1))),IF(R582&gt;0,AG582/R582,0))/MAX(0.1,N(Parameter!$M$21)))</f>
        <v>0.192307692307692</v>
      </c>
      <c r="AI582" s="50" t="n">
        <f aca="false">AH582*BY582</f>
        <v>29.8076923076923</v>
      </c>
      <c r="AJ582" s="50" t="n">
        <f aca="false">AF582*G582</f>
        <v>1019.7</v>
      </c>
      <c r="AK582" s="50" t="n">
        <f aca="false">ROUNDUP(MAX(J582/IF(CD582&gt;0,CD582,MAX(0.1,N(Cockpit!$C$6))),CG582)/BV582,0)*BV582</f>
        <v>23</v>
      </c>
      <c r="AL582" s="51" t="n">
        <f aca="false">IF(AI582&gt;0,J582/AI582,-1)</f>
        <v>0.0335483870967742</v>
      </c>
      <c r="AM582" s="51" t="n">
        <f aca="false">IF(AND(OR(CC582="L1",CC582="L23",CC582="LIFT"),AI582&gt;0),SUMIFS($AI$7:$AI$1843,$CC$7:$CC$1843,CC582,$AL$7:$AL$1843,"&gt;"&amp;AL582)+SUMIFS($AI$7:$AI$1843,$CC$7:$CC$1843,CC582,$AL$7:$AL$1843,AL582,$BT$7:$BT$1843,"&lt;="&amp;BT582),"")</f>
        <v>20391.9079566855</v>
      </c>
      <c r="AN582" s="58" t="n">
        <f aca="false">IF(AM582="",0,MAX(0,MIN(1,(IF(CC582="L1",Parameter!$H$5,IF(CC582="L23",Parameter!$H$6+Parameter!$H$7,Parameter!$H$5+Parameter!$H$6+Parameter!$H$7))-(AM582-AI582))/AI582)))</f>
        <v>1</v>
      </c>
      <c r="AO582" s="50" t="n">
        <f aca="false">IF(LEFT(Cockpit!$I$5,1)="A",H582,IF(CE582=1,CF582,IF(LEFT(Cockpit!$I$5,1)="B",AT582,MAX(AT582,H582))))</f>
        <v>110</v>
      </c>
      <c r="AP582" s="50" t="n">
        <f aca="false">IF(BW582=1,0,ROUNDUP(AO582/BV582,0))</f>
        <v>5</v>
      </c>
      <c r="AQ582" s="52" t="n">
        <f aca="false">IF(CL582&gt;0,CL582*MAX(1,AO582/X582),IF(BW582=1,IF(AO582&lt;=0,0,CA582*MAX(1,IF(H582&gt;0,AO582/H582,1))),IF(R582&gt;0,AP582/R582,0))/MAX(0.1,N(Parameter!$M$21)))</f>
        <v>0.192307692307692</v>
      </c>
      <c r="AR582" s="50" t="n">
        <f aca="false">AQ582*BY582</f>
        <v>29.8076923076923</v>
      </c>
      <c r="AS582" s="50" t="n">
        <f aca="false">AO582*G582</f>
        <v>1019.7</v>
      </c>
      <c r="AT582" s="50" t="n">
        <f aca="false">ROUNDUP(MAX(J582/IF(CD582&gt;0,CD582,MAX(0.1,N(Cockpit!$I$6))),CG582)/BV582,0)*BV582</f>
        <v>23</v>
      </c>
      <c r="AU582" s="51" t="n">
        <f aca="false">IF(AR582&gt;0,J582/AR582,-1)</f>
        <v>0.0335483870967742</v>
      </c>
      <c r="AV582" s="51" t="n">
        <f aca="false">IF(AND(OR(CC582="L1",CC582="L23",CC582="LIFT"),AR582&gt;0),SUMIFS($AR$7:$AR$1843,$CC$7:$CC$1843,CC582,$AU$7:$AU$1843,"&gt;"&amp;AU582)+SUMIFS($AR$7:$AR$1843,$CC$7:$CC$1843,CC582,$AU$7:$AU$1843,AU582,$BT$7:$BT$1843,"&lt;="&amp;BT582),"")</f>
        <v>31285.4655455185</v>
      </c>
      <c r="AW582" s="58" t="n">
        <f aca="false">IF(AV582="",0,MAX(0,MIN(1,(IF(CC582="L1",Parameter!$H$5,IF(CC582="L23",Parameter!$H$6+Parameter!$H$7,Parameter!$H$5+Parameter!$H$6+Parameter!$H$7))-(AV582-AR582))/AR582)))</f>
        <v>1</v>
      </c>
      <c r="AX582" s="50" t="n">
        <f aca="false">IF(LEFT(Cockpit!$O$5,1)="A",H582,IF(CE582=1,CF582,IF(LEFT(Cockpit!$O$5,1)="B",BC582,MAX(BC582,H582))))</f>
        <v>110</v>
      </c>
      <c r="AY582" s="50" t="n">
        <f aca="false">IF(BW582=1,0,ROUNDUP(AX582/BV582,0))</f>
        <v>5</v>
      </c>
      <c r="AZ582" s="52" t="n">
        <f aca="false">IF(CL582&gt;0,CL582*MAX(1,AX582/X582),IF(BW582=1,IF(AX582&lt;=0,0,CA582*MAX(1,IF(H582&gt;0,AX582/H582,1))),IF(R582&gt;0,AY582/R582,0))/MAX(0.1,N(Parameter!$M$21)))</f>
        <v>0.192307692307692</v>
      </c>
      <c r="BA582" s="50" t="n">
        <f aca="false">AZ582*BY582</f>
        <v>29.8076923076923</v>
      </c>
      <c r="BB582" s="50" t="n">
        <f aca="false">AX582*G582</f>
        <v>1019.7</v>
      </c>
      <c r="BC582" s="50" t="n">
        <f aca="false">ROUNDUP(MAX(J582/IF(CD582&gt;0,CD582,MAX(0.1,N(Cockpit!$O$6))),CG582)/BV582,0)*BV582</f>
        <v>23</v>
      </c>
      <c r="BD582" s="51" t="n">
        <f aca="false">IF(BA582&gt;0,J582/BA582,-1)</f>
        <v>0.0335483870967742</v>
      </c>
      <c r="BE582" s="51" t="n">
        <f aca="false">IF(AND(OR(CC582="L1",CC582="L23",CC582="LIFT"),BA582&gt;0),SUMIFS($BA$7:$BA$1843,$CC$7:$CC$1843,CC582,$BD$7:$BD$1843,"&gt;"&amp;BD582)+SUMIFS($BA$7:$BA$1843,$CC$7:$CC$1843,CC582,$BD$7:$BD$1843,BD582,$BT$7:$BT$1843,"&lt;="&amp;BT582),"")</f>
        <v>27960.4775873844</v>
      </c>
      <c r="BF582" s="58" t="n">
        <f aca="false">IF(BE582="",0,MAX(0,MIN(1,(IF(CC582="L1",Parameter!$H$5,IF(CC582="L23",Parameter!$H$6+Parameter!$H$7,Parameter!$H$5+Parameter!$H$6+Parameter!$H$7))-(BE582-BA582))/BA582)))</f>
        <v>1</v>
      </c>
      <c r="BG582" s="48" t="str">
        <f aca="false">IF(AI582&lt;=0,"",IF(CC582="Aussen","Aussenlager",IF(CC582="-","Nicht im Lift",IF(AN582&gt;=1,"Lift",IF(AN582&lt;=0,"Aussenlager","teilweise")))))</f>
        <v>Lift</v>
      </c>
      <c r="BH582" s="48" t="str">
        <f aca="false">IF(AR582&lt;=0,"",IF(CC582="Aussen","Aussenlager",IF(CC582="-","Nicht im Lift",IF(AW582&gt;=1,"Lift",IF(AW582&lt;=0,"Aussenlager","teilweise")))))</f>
        <v>Lift</v>
      </c>
      <c r="BI582" s="48" t="str">
        <f aca="false">IF(BA582&lt;=0,"",IF(CC582="Aussen","Aussenlager",IF(CC582="-","Nicht im Lift",IF(BF582&gt;=1,"Lift",IF(BF582&lt;=0,"Aussenlager","teilweise")))))</f>
        <v>Lift</v>
      </c>
      <c r="BJ582" s="48" t="str">
        <f aca="false">IF(A582="","",IF(BS582=1,"Neu; ","")&amp;IF(AND(BS582=0,BN582&lt;0),"negativer Bestand (Export "&amp;BN582&amp;"); ","")&amp;IF(J582&lt;=0,"Kein Verbrauch; ","")&amp;IF(CL582&gt;0,"Lift "&amp;W582&amp;" lt. Liftbericht (Fach "&amp;X582&amp;" Stk); ",IF(BX582=1,"Gebinde geschätzt ("&amp;T582&amp;"); ",IF(BW582=1,"Lose – Tablare geschätzt; ","")))&amp;IF(H582&gt;AT582,"Überbestand "&amp;ROUND(H582-AT582,0)&amp;" Stk / CHF "&amp;ROUND((H582-AT582)*G582,0)&amp;"; ","")&amp;IF(AND(CE582=1,CF582&lt;CG582),"MAX &lt; MB+LG; ","")&amp;IF(AND(CK582&gt;0,CJ582*10&gt;CK582),"zu hoch für Tablar; ","")&amp;IF(AND(BS582=0,OR(CE582=1,AA582&lt;&gt;"",U582&lt;&gt;"",V582&lt;&gt;"",AB582&lt;&gt;"")),"manuell übersteuert; ","")&amp;IF(AND(BW582=0,R582=0),"Gebinde unbekannt / Stellmass fehlt; ","")&amp;IF(AND(BW582=0,N(V582)&lt;=0,N(Q582)&lt;=0),"Menge pro Gebinde fehlt (Ist = 1 Gebinde); ","")&amp;BR582)</f>
        <v>Überbestand 87 Stk / CHF 806; </v>
      </c>
      <c r="BK582" s="48"/>
      <c r="BL582" s="48"/>
      <c r="BM582" s="55"/>
      <c r="BN582" s="50" t="n">
        <v>1</v>
      </c>
      <c r="BO582" s="50" t="n">
        <v>109</v>
      </c>
      <c r="BP582" s="49" t="n">
        <v>9.27</v>
      </c>
      <c r="BQ582" s="50" t="n">
        <v>1</v>
      </c>
      <c r="BR582" s="48"/>
      <c r="BS582" s="53" t="n">
        <v>0</v>
      </c>
      <c r="BT582" s="53" t="n">
        <v>582</v>
      </c>
      <c r="BU582" s="48" t="str">
        <f aca="false">IF(U582&lt;&gt;"",UPPER(TRIM(U582)),IF(BX582=1,UPPER(VLOOKUP(T582,Parameter!$I$27:$K$29,2,0)),IF(P582="","LOSE",P582)))</f>
        <v>S51</v>
      </c>
      <c r="BV582" s="50" t="n">
        <f aca="false">IF(BU582="LOSE",1,IF(N(V582)&gt;0,V582,IF(BX582=1,MAX(1,N(VLOOKUP(T582,Parameter!$I$27:$K$29,3,0)),H582,N(N582)),IF(N(Q582)&gt;0,Q582,MAX(1,H582)))))</f>
        <v>23</v>
      </c>
      <c r="BW582" s="53" t="n">
        <f aca="false">IF(BU582="LOSE",1,0)</f>
        <v>0</v>
      </c>
      <c r="BX582" s="53" t="n">
        <f aca="false">IF(AND(U582="",OR(P582="",P582="LOSE"),T582&lt;&gt;"",N(S582)&lt;=0,ISNUMBER(MATCH(T582,Parameter!$I$27:$I$29,0))),1,0)</f>
        <v>0</v>
      </c>
      <c r="BY582" s="53" t="n">
        <f aca="false">IF(CL582&gt;0,INDEX(Parameter!$H$5:$H$7,W582)/INDEX(Parameter!$E$5:$E$7,W582),IF(AND(BW582=0,N(IFERROR(VLOOKUP(BU582,'Gebinde-Kategorie'!$A$5:$N$45,14,0),0))&gt;0),VLOOKUP(BU582,'Gebinde-Kategorie'!$A$5:$N$45,14,0)*10+Parameter!$M$23,Parameter!$M$24))</f>
        <v>155</v>
      </c>
      <c r="BZ582" s="48" t="str">
        <f aca="false">IF(AND(Parameter!$B$19="Ja",E582&lt;&gt;"",ISNUMBER(MATCH(E582,Parameter!$I$35:$I$52,0))),VLOOKUP(E582,Parameter!$I$35:$J$52,2,0),IFERROR(VLOOKUP(D582,Parameter!$A$35:$C$64,2,0),"Nein"))</f>
        <v>2+3</v>
      </c>
      <c r="CA582" s="52" t="n">
        <f aca="false">IF(BW582=0,0,IF(N(S582)&gt;0,S582,IFERROR(VLOOKUP(D582,Parameter!$A$35:$C$64,3,0)+0,0)))</f>
        <v>0</v>
      </c>
      <c r="CB582" s="48" t="n">
        <f aca="false">IF(AA582&lt;&gt;"",AA582,Z582)</f>
        <v>3</v>
      </c>
      <c r="CC582" s="48" t="str">
        <f aca="false">IF(OR(CB582=1,CB582=2,CB582=3),IF(Parameter!$E$27="Ja","LIFT",IF(CB582=1,"L1","L23")),IF(CB582="Aussen","Aussen","-"))</f>
        <v>LIFT</v>
      </c>
      <c r="CD582" s="59" t="n">
        <f aca="false">IF(N(AB582)&gt;0,AB582,0)</f>
        <v>0</v>
      </c>
      <c r="CE582" s="53" t="n">
        <f aca="false">IF(ISNUMBER(AE582),1,0)</f>
        <v>0</v>
      </c>
      <c r="CF582" s="50" t="n">
        <f aca="false">N(AE582)</f>
        <v>0</v>
      </c>
      <c r="CG582" s="50" t="n">
        <f aca="false">N(M582)+N(N582)</f>
        <v>1</v>
      </c>
      <c r="CH582" s="50" t="n">
        <f aca="false">ROUNDUP(H582/BV582,0)</f>
        <v>5</v>
      </c>
      <c r="CI582" s="50" t="n">
        <f aca="false">ROUNDUP(CF582/BV582,0)</f>
        <v>0</v>
      </c>
      <c r="CJ582" s="53" t="n">
        <f aca="false">IF(BW582=1,0,IFERROR(VLOOKUP(BU582,'Gebinde-Kategorie'!$A$5:$N$45,5,0)+0,0))</f>
        <v>11</v>
      </c>
      <c r="CK582" s="53" t="n">
        <f aca="false">IFERROR(IF(OR(CB582=1,CB582=2,CB582=3),N(INDEX(Parameter!$I$5:$I$7,CB582)),0),0)</f>
        <v>0</v>
      </c>
      <c r="CL582" s="52" t="n">
        <f aca="false">IF(AND(Parameter!$B$21="Ja",ISNUMBER(W582),N(X582)&gt;0),IFERROR(N(INDEX(Parameter!$L$5:$L$7,W582))*INDEX(Parameter!$E$5:$E$7,W582)*X582/SUMIFS($X$7:$X$1843,$W$7:$W$1843,W582),0),0)</f>
        <v>0</v>
      </c>
    </row>
    <row r="583" customFormat="false" ht="15" hidden="false" customHeight="false" outlineLevel="0" collapsed="false">
      <c r="A583" s="48" t="s">
        <v>1225</v>
      </c>
      <c r="B583" s="48" t="s">
        <v>1226</v>
      </c>
      <c r="C583" s="48" t="s">
        <v>168</v>
      </c>
      <c r="D583" s="48" t="s">
        <v>177</v>
      </c>
      <c r="E583" s="48"/>
      <c r="F583" s="48" t="s">
        <v>222</v>
      </c>
      <c r="G583" s="49" t="n">
        <v>0.53</v>
      </c>
      <c r="H583" s="50" t="n">
        <f aca="false">MAX(0,IF(AND(Parameter!$B$21="Ja",ISNUMBER(Y583)),Y583,IF(Parameter!$B$20="Jahresanfang 2025 + Export",BO583+BN583,BN583)))</f>
        <v>17</v>
      </c>
      <c r="I583" s="50" t="n">
        <f aca="false">H583*G583</f>
        <v>9.01</v>
      </c>
      <c r="J583" s="50" t="n">
        <f aca="false">BQ583*Parameter!$B$18</f>
        <v>2</v>
      </c>
      <c r="K583" s="51" t="n">
        <v>0</v>
      </c>
      <c r="L583" s="52" t="n">
        <v>0</v>
      </c>
      <c r="M583" s="50" t="n">
        <v>0</v>
      </c>
      <c r="N583" s="50" t="n">
        <v>1</v>
      </c>
      <c r="O583" s="53" t="n">
        <v>31</v>
      </c>
      <c r="P583" s="48" t="s">
        <v>172</v>
      </c>
      <c r="Q583" s="50"/>
      <c r="R583" s="53" t="n">
        <f aca="false">IF(BW583=1,0,IFERROR(VLOOKUP(BU583,'Gebinde-Kategorie'!$A$5:$N$45,13,0)+0,0))</f>
        <v>12</v>
      </c>
      <c r="S583" s="54"/>
      <c r="T583" s="55" t="s">
        <v>183</v>
      </c>
      <c r="U583" s="55"/>
      <c r="V583" s="55"/>
      <c r="W583" s="48"/>
      <c r="X583" s="50"/>
      <c r="Y583" s="50"/>
      <c r="Z583" s="48" t="n">
        <f aca="false">IF(A583="","",IF(AND(Parameter!$B$21="Ja",ISNUMBER(W583)),W583,IF(BZ583="2+3",IF(ISNUMBER(SEARCH("grosser Artikel",BR583)),2,IFERROR(VLOOKUP(BU583,Parameter!$F$35:$G$64,2,0),2)),IF(OR(BZ583="Nein",BZ583=""),"-",BZ583))))</f>
        <v>2</v>
      </c>
      <c r="AA583" s="55"/>
      <c r="AB583" s="56"/>
      <c r="AC583" s="50" t="n">
        <f aca="false">AT583</f>
        <v>17</v>
      </c>
      <c r="AD583" s="50" t="n">
        <f aca="false">MAX(AT583,H583)</f>
        <v>17</v>
      </c>
      <c r="AE583" s="57"/>
      <c r="AF583" s="50" t="n">
        <f aca="false">IF(LEFT(Cockpit!$C$5,1)="A",H583,IF(CE583=1,CF583,IF(LEFT(Cockpit!$C$5,1)="B",AK583,MAX(AK583,H583))))</f>
        <v>17</v>
      </c>
      <c r="AG583" s="50" t="n">
        <f aca="false">IF(BW583=1,0,ROUNDUP(AF583/BV583,0))</f>
        <v>1</v>
      </c>
      <c r="AH583" s="52" t="n">
        <f aca="false">IF(CL583&gt;0,CL583*MAX(1,AF583/X583),IF(BW583=1,IF(AF583&lt;=0,0,CA583*MAX(1,IF(H583&gt;0,AF583/H583,1))),IF(R583&gt;0,AG583/R583,0))/MAX(0.1,N(Parameter!$M$21)))</f>
        <v>0.0833333333333333</v>
      </c>
      <c r="AI583" s="50" t="n">
        <f aca="false">AH583*BY583</f>
        <v>12.0833333333333</v>
      </c>
      <c r="AJ583" s="50" t="n">
        <f aca="false">AF583*G583</f>
        <v>9.01</v>
      </c>
      <c r="AK583" s="50" t="n">
        <f aca="false">ROUNDUP(MAX(J583/IF(CD583&gt;0,CD583,MAX(0.1,N(Cockpit!$C$6))),CG583)/BV583,0)*BV583</f>
        <v>17</v>
      </c>
      <c r="AL583" s="51" t="n">
        <f aca="false">IF(AI583&gt;0,J583/AI583,-1)</f>
        <v>0.16551724137931</v>
      </c>
      <c r="AM583" s="51" t="n">
        <f aca="false">IF(AND(OR(CC583="L1",CC583="L23",CC583="LIFT"),AI583&gt;0),SUMIFS($AI$7:$AI$1843,$CC$7:$CC$1843,CC583,$AL$7:$AL$1843,"&gt;"&amp;AL583)+SUMIFS($AI$7:$AI$1843,$CC$7:$CC$1843,CC583,$AL$7:$AL$1843,AL583,$BT$7:$BT$1843,"&lt;="&amp;BT583),"")</f>
        <v>12817.4901311024</v>
      </c>
      <c r="AN583" s="58" t="n">
        <f aca="false">IF(AM583="",0,MAX(0,MIN(1,(IF(CC583="L1",Parameter!$H$5,IF(CC583="L23",Parameter!$H$6+Parameter!$H$7,Parameter!$H$5+Parameter!$H$6+Parameter!$H$7))-(AM583-AI583))/AI583)))</f>
        <v>1</v>
      </c>
      <c r="AO583" s="50" t="n">
        <f aca="false">IF(LEFT(Cockpit!$I$5,1)="A",H583,IF(CE583=1,CF583,IF(LEFT(Cockpit!$I$5,1)="B",AT583,MAX(AT583,H583))))</f>
        <v>17</v>
      </c>
      <c r="AP583" s="50" t="n">
        <f aca="false">IF(BW583=1,0,ROUNDUP(AO583/BV583,0))</f>
        <v>1</v>
      </c>
      <c r="AQ583" s="52" t="n">
        <f aca="false">IF(CL583&gt;0,CL583*MAX(1,AO583/X583),IF(BW583=1,IF(AO583&lt;=0,0,CA583*MAX(1,IF(H583&gt;0,AO583/H583,1))),IF(R583&gt;0,AP583/R583,0))/MAX(0.1,N(Parameter!$M$21)))</f>
        <v>0.0833333333333333</v>
      </c>
      <c r="AR583" s="50" t="n">
        <f aca="false">AQ583*BY583</f>
        <v>12.0833333333333</v>
      </c>
      <c r="AS583" s="50" t="n">
        <f aca="false">AO583*G583</f>
        <v>9.01</v>
      </c>
      <c r="AT583" s="50" t="n">
        <f aca="false">ROUNDUP(MAX(J583/IF(CD583&gt;0,CD583,MAX(0.1,N(Cockpit!$I$6))),CG583)/BV583,0)*BV583</f>
        <v>17</v>
      </c>
      <c r="AU583" s="51" t="n">
        <f aca="false">IF(AR583&gt;0,J583/AR583,-1)</f>
        <v>0.16551724137931</v>
      </c>
      <c r="AV583" s="51" t="n">
        <f aca="false">IF(AND(OR(CC583="L1",CC583="L23",CC583="LIFT"),AR583&gt;0),SUMIFS($AR$7:$AR$1843,$CC$7:$CC$1843,CC583,$AU$7:$AU$1843,"&gt;"&amp;AU583)+SUMIFS($AR$7:$AR$1843,$CC$7:$CC$1843,CC583,$AU$7:$AU$1843,AU583,$BT$7:$BT$1843,"&lt;="&amp;BT583),"")</f>
        <v>19398.5645604396</v>
      </c>
      <c r="AW583" s="58" t="n">
        <f aca="false">IF(AV583="",0,MAX(0,MIN(1,(IF(CC583="L1",Parameter!$H$5,IF(CC583="L23",Parameter!$H$6+Parameter!$H$7,Parameter!$H$5+Parameter!$H$6+Parameter!$H$7))-(AV583-AR583))/AR583)))</f>
        <v>1</v>
      </c>
      <c r="AX583" s="50" t="n">
        <f aca="false">IF(LEFT(Cockpit!$O$5,1)="A",H583,IF(CE583=1,CF583,IF(LEFT(Cockpit!$O$5,1)="B",BC583,MAX(BC583,H583))))</f>
        <v>17</v>
      </c>
      <c r="AY583" s="50" t="n">
        <f aca="false">IF(BW583=1,0,ROUNDUP(AX583/BV583,0))</f>
        <v>1</v>
      </c>
      <c r="AZ583" s="52" t="n">
        <f aca="false">IF(CL583&gt;0,CL583*MAX(1,AX583/X583),IF(BW583=1,IF(AX583&lt;=0,0,CA583*MAX(1,IF(H583&gt;0,AX583/H583,1))),IF(R583&gt;0,AY583/R583,0))/MAX(0.1,N(Parameter!$M$21)))</f>
        <v>0.0833333333333333</v>
      </c>
      <c r="BA583" s="50" t="n">
        <f aca="false">AZ583*BY583</f>
        <v>12.0833333333333</v>
      </c>
      <c r="BB583" s="50" t="n">
        <f aca="false">AX583*G583</f>
        <v>9.01</v>
      </c>
      <c r="BC583" s="50" t="n">
        <f aca="false">ROUNDUP(MAX(J583/IF(CD583&gt;0,CD583,MAX(0.1,N(Cockpit!$O$6))),CG583)/BV583,0)*BV583</f>
        <v>17</v>
      </c>
      <c r="BD583" s="51" t="n">
        <f aca="false">IF(BA583&gt;0,J583/BA583,-1)</f>
        <v>0.16551724137931</v>
      </c>
      <c r="BE583" s="51" t="n">
        <f aca="false">IF(AND(OR(CC583="L1",CC583="L23",CC583="LIFT"),BA583&gt;0),SUMIFS($BA$7:$BA$1843,$CC$7:$CC$1843,CC583,$BD$7:$BD$1843,"&gt;"&amp;BD583)+SUMIFS($BA$7:$BA$1843,$CC$7:$CC$1843,CC583,$BD$7:$BD$1843,BD583,$BT$7:$BT$1843,"&lt;="&amp;BT583),"")</f>
        <v>17424.6382783883</v>
      </c>
      <c r="BF583" s="58" t="n">
        <f aca="false">IF(BE583="",0,MAX(0,MIN(1,(IF(CC583="L1",Parameter!$H$5,IF(CC583="L23",Parameter!$H$6+Parameter!$H$7,Parameter!$H$5+Parameter!$H$6+Parameter!$H$7))-(BE583-BA583))/BA583)))</f>
        <v>1</v>
      </c>
      <c r="BG583" s="48" t="str">
        <f aca="false">IF(AI583&lt;=0,"",IF(CC583="Aussen","Aussenlager",IF(CC583="-","Nicht im Lift",IF(AN583&gt;=1,"Lift",IF(AN583&lt;=0,"Aussenlager","teilweise")))))</f>
        <v>Lift</v>
      </c>
      <c r="BH583" s="48" t="str">
        <f aca="false">IF(AR583&lt;=0,"",IF(CC583="Aussen","Aussenlager",IF(CC583="-","Nicht im Lift",IF(AW583&gt;=1,"Lift",IF(AW583&lt;=0,"Aussenlager","teilweise")))))</f>
        <v>Lift</v>
      </c>
      <c r="BI583" s="48" t="str">
        <f aca="false">IF(BA583&lt;=0,"",IF(CC583="Aussen","Aussenlager",IF(CC583="-","Nicht im Lift",IF(BF583&gt;=1,"Lift",IF(BF583&lt;=0,"Aussenlager","teilweise")))))</f>
        <v>Lift</v>
      </c>
      <c r="BJ583" s="48" t="str">
        <f aca="false">IF(A583="","",IF(BS583=1,"Neu; ","")&amp;IF(AND(BS583=0,BN583&lt;0),"negativer Bestand (Export "&amp;BN583&amp;"); ","")&amp;IF(J583&lt;=0,"Kein Verbrauch; ","")&amp;IF(CL583&gt;0,"Lift "&amp;W583&amp;" lt. Liftbericht (Fach "&amp;X583&amp;" Stk); ",IF(BX583=1,"Gebinde geschätzt ("&amp;T583&amp;"); ",IF(BW583=1,"Lose – Tablare geschätzt; ","")))&amp;IF(H583&gt;AT583,"Überbestand "&amp;ROUND(H583-AT583,0)&amp;" Stk / CHF "&amp;ROUND((H583-AT583)*G583,0)&amp;"; ","")&amp;IF(AND(CE583=1,CF583&lt;CG583),"MAX &lt; MB+LG; ","")&amp;IF(AND(CK583&gt;0,CJ583*10&gt;CK583),"zu hoch für Tablar; ","")&amp;IF(AND(BS583=0,OR(CE583=1,AA583&lt;&gt;"",U583&lt;&gt;"",V583&lt;&gt;"",AB583&lt;&gt;"")),"manuell übersteuert; ","")&amp;IF(AND(BW583=0,R583=0),"Gebinde unbekannt / Stellmass fehlt; ","")&amp;IF(AND(BW583=0,N(V583)&lt;=0,N(Q583)&lt;=0),"Menge pro Gebinde fehlt (Ist = 1 Gebinde); ","")&amp;BR583)</f>
        <v>Gebinde geschätzt (Mittel); Menge pro Gebinde fehlt (Ist = 1 Gebinde); </v>
      </c>
      <c r="BK583" s="48"/>
      <c r="BL583" s="48"/>
      <c r="BM583" s="55"/>
      <c r="BN583" s="50" t="n">
        <v>17</v>
      </c>
      <c r="BO583" s="50" t="n">
        <v>0</v>
      </c>
      <c r="BP583" s="49" t="n">
        <v>9.01</v>
      </c>
      <c r="BQ583" s="50" t="n">
        <v>2</v>
      </c>
      <c r="BR583" s="48"/>
      <c r="BS583" s="53" t="n">
        <v>0</v>
      </c>
      <c r="BT583" s="53" t="n">
        <v>583</v>
      </c>
      <c r="BU583" s="48" t="str">
        <f aca="false">IF(U583&lt;&gt;"",UPPER(TRIM(U583)),IF(BX583=1,UPPER(VLOOKUP(T583,Parameter!$I$27:$K$29,2,0)),IF(P583="","LOSE",P583)))</f>
        <v>S61</v>
      </c>
      <c r="BV583" s="50" t="n">
        <f aca="false">IF(BU583="LOSE",1,IF(N(V583)&gt;0,V583,IF(BX583=1,MAX(1,N(VLOOKUP(T583,Parameter!$I$27:$K$29,3,0)),H583,N(N583)),IF(N(Q583)&gt;0,Q583,MAX(1,H583)))))</f>
        <v>17</v>
      </c>
      <c r="BW583" s="53" t="n">
        <f aca="false">IF(BU583="LOSE",1,0)</f>
        <v>0</v>
      </c>
      <c r="BX583" s="53" t="n">
        <f aca="false">IF(AND(U583="",OR(P583="",P583="LOSE"),T583&lt;&gt;"",N(S583)&lt;=0,ISNUMBER(MATCH(T583,Parameter!$I$27:$I$29,0))),1,0)</f>
        <v>1</v>
      </c>
      <c r="BY583" s="53" t="n">
        <f aca="false">IF(CL583&gt;0,INDEX(Parameter!$H$5:$H$7,W583)/INDEX(Parameter!$E$5:$E$7,W583),IF(AND(BW583=0,N(IFERROR(VLOOKUP(BU583,'Gebinde-Kategorie'!$A$5:$N$45,14,0),0))&gt;0),VLOOKUP(BU583,'Gebinde-Kategorie'!$A$5:$N$45,14,0)*10+Parameter!$M$23,Parameter!$M$24))</f>
        <v>145</v>
      </c>
      <c r="BZ583" s="48" t="str">
        <f aca="false">IF(AND(Parameter!$B$19="Ja",E583&lt;&gt;"",ISNUMBER(MATCH(E583,Parameter!$I$35:$I$52,0))),VLOOKUP(E583,Parameter!$I$35:$J$52,2,0),IFERROR(VLOOKUP(D583,Parameter!$A$35:$C$64,2,0),"Nein"))</f>
        <v>2+3</v>
      </c>
      <c r="CA583" s="52" t="n">
        <f aca="false">IF(BW583=0,0,IF(N(S583)&gt;0,S583,IFERROR(VLOOKUP(D583,Parameter!$A$35:$C$64,3,0)+0,0)))</f>
        <v>0</v>
      </c>
      <c r="CB583" s="48" t="n">
        <f aca="false">IF(AA583&lt;&gt;"",AA583,Z583)</f>
        <v>2</v>
      </c>
      <c r="CC583" s="48" t="str">
        <f aca="false">IF(OR(CB583=1,CB583=2,CB583=3),IF(Parameter!$E$27="Ja","LIFT",IF(CB583=1,"L1","L23")),IF(CB583="Aussen","Aussen","-"))</f>
        <v>LIFT</v>
      </c>
      <c r="CD583" s="59" t="n">
        <f aca="false">IF(N(AB583)&gt;0,AB583,0)</f>
        <v>0</v>
      </c>
      <c r="CE583" s="53" t="n">
        <f aca="false">IF(ISNUMBER(AE583),1,0)</f>
        <v>0</v>
      </c>
      <c r="CF583" s="50" t="n">
        <f aca="false">N(AE583)</f>
        <v>0</v>
      </c>
      <c r="CG583" s="50" t="n">
        <f aca="false">N(M583)+N(N583)</f>
        <v>1</v>
      </c>
      <c r="CH583" s="50" t="n">
        <f aca="false">ROUNDUP(H583/BV583,0)</f>
        <v>1</v>
      </c>
      <c r="CI583" s="50" t="n">
        <f aca="false">ROUNDUP(CF583/BV583,0)</f>
        <v>0</v>
      </c>
      <c r="CJ583" s="53" t="n">
        <f aca="false">IF(BW583=1,0,IFERROR(VLOOKUP(BU583,'Gebinde-Kategorie'!$A$5:$N$45,5,0)+0,0))</f>
        <v>11</v>
      </c>
      <c r="CK583" s="53" t="n">
        <f aca="false">IFERROR(IF(OR(CB583=1,CB583=2,CB583=3),N(INDEX(Parameter!$I$5:$I$7,CB583)),0),0)</f>
        <v>0</v>
      </c>
      <c r="CL583" s="52" t="n">
        <f aca="false">IF(AND(Parameter!$B$21="Ja",ISNUMBER(W583),N(X583)&gt;0),IFERROR(N(INDEX(Parameter!$L$5:$L$7,W583))*INDEX(Parameter!$E$5:$E$7,W583)*X583/SUMIFS($X$7:$X$1843,$W$7:$W$1843,W583),0),0)</f>
        <v>0</v>
      </c>
    </row>
    <row r="584" customFormat="false" ht="15" hidden="false" customHeight="false" outlineLevel="0" collapsed="false">
      <c r="A584" s="48" t="s">
        <v>1227</v>
      </c>
      <c r="B584" s="48" t="s">
        <v>472</v>
      </c>
      <c r="C584" s="48" t="s">
        <v>168</v>
      </c>
      <c r="D584" s="48" t="s">
        <v>188</v>
      </c>
      <c r="E584" s="48" t="s">
        <v>189</v>
      </c>
      <c r="F584" s="48" t="s">
        <v>222</v>
      </c>
      <c r="G584" s="49" t="n">
        <v>0.1</v>
      </c>
      <c r="H584" s="50" t="n">
        <f aca="false">MAX(0,IF(AND(Parameter!$B$21="Ja",ISNUMBER(Y584)),Y584,IF(Parameter!$B$20="Jahresanfang 2025 + Export",BO584+BN584,BN584)))</f>
        <v>389</v>
      </c>
      <c r="I584" s="50" t="n">
        <f aca="false">H584*G584</f>
        <v>38.9</v>
      </c>
      <c r="J584" s="50" t="n">
        <f aca="false">BQ584*Parameter!$B$18</f>
        <v>620</v>
      </c>
      <c r="K584" s="51" t="n">
        <v>480.5</v>
      </c>
      <c r="L584" s="52" t="n">
        <v>1.29032258064516</v>
      </c>
      <c r="M584" s="50" t="n">
        <v>48</v>
      </c>
      <c r="N584" s="50" t="n">
        <v>620</v>
      </c>
      <c r="O584" s="53" t="n">
        <v>28</v>
      </c>
      <c r="P584" s="48" t="s">
        <v>430</v>
      </c>
      <c r="Q584" s="50" t="n">
        <v>177</v>
      </c>
      <c r="R584" s="53" t="n">
        <f aca="false">IF(BW584=1,0,IFERROR(VLOOKUP(BU584,'Gebinde-Kategorie'!$A$5:$N$45,13,0)+0,0))</f>
        <v>140</v>
      </c>
      <c r="S584" s="54"/>
      <c r="T584" s="55"/>
      <c r="U584" s="55"/>
      <c r="V584" s="55"/>
      <c r="W584" s="48"/>
      <c r="X584" s="50"/>
      <c r="Y584" s="50"/>
      <c r="Z584" s="48" t="n">
        <f aca="false">IF(A584="","",IF(AND(Parameter!$B$21="Ja",ISNUMBER(W584)),W584,IF(BZ584="2+3",IF(ISNUMBER(SEARCH("grosser Artikel",BR584)),2,IFERROR(VLOOKUP(BU584,Parameter!$F$35:$G$64,2,0),2)),IF(OR(BZ584="Nein",BZ584=""),"-",BZ584))))</f>
        <v>3</v>
      </c>
      <c r="AA584" s="55"/>
      <c r="AB584" s="56"/>
      <c r="AC584" s="50" t="n">
        <f aca="false">AT584</f>
        <v>708</v>
      </c>
      <c r="AD584" s="50" t="n">
        <f aca="false">MAX(AT584,H584)</f>
        <v>708</v>
      </c>
      <c r="AE584" s="57"/>
      <c r="AF584" s="50" t="n">
        <f aca="false">IF(LEFT(Cockpit!$C$5,1)="A",H584,IF(CE584=1,CF584,IF(LEFT(Cockpit!$C$5,1)="B",AK584,MAX(AK584,H584))))</f>
        <v>389</v>
      </c>
      <c r="AG584" s="50" t="n">
        <f aca="false">IF(BW584=1,0,ROUNDUP(AF584/BV584,0))</f>
        <v>3</v>
      </c>
      <c r="AH584" s="52" t="n">
        <f aca="false">IF(CL584&gt;0,CL584*MAX(1,AF584/X584),IF(BW584=1,IF(AF584&lt;=0,0,CA584*MAX(1,IF(H584&gt;0,AF584/H584,1))),IF(R584&gt;0,AG584/R584,0))/MAX(0.1,N(Parameter!$M$21)))</f>
        <v>0.0214285714285714</v>
      </c>
      <c r="AI584" s="50" t="n">
        <f aca="false">AH584*BY584</f>
        <v>3.32142857142857</v>
      </c>
      <c r="AJ584" s="50" t="n">
        <f aca="false">AF584*G584</f>
        <v>38.9</v>
      </c>
      <c r="AK584" s="50" t="n">
        <f aca="false">ROUNDUP(MAX(J584/IF(CD584&gt;0,CD584,MAX(0.1,N(Cockpit!$C$6))),CG584)/BV584,0)*BV584</f>
        <v>708</v>
      </c>
      <c r="AL584" s="51" t="n">
        <f aca="false">IF(AI584&gt;0,J584/AI584,-1)</f>
        <v>186.666666666667</v>
      </c>
      <c r="AM584" s="51" t="n">
        <f aca="false">IF(AND(OR(CC584="L1",CC584="L23",CC584="LIFT"),AI584&gt;0),SUMIFS($AI$7:$AI$1843,$CC$7:$CC$1843,CC584,$AL$7:$AL$1843,"&gt;"&amp;AL584)+SUMIFS($AI$7:$AI$1843,$CC$7:$CC$1843,CC584,$AL$7:$AL$1843,AL584,$BT$7:$BT$1843,"&lt;="&amp;BT584),"")</f>
        <v>379.556776556777</v>
      </c>
      <c r="AN584" s="58" t="n">
        <f aca="false">IF(AM584="",0,MAX(0,MIN(1,(IF(CC584="L1",Parameter!$H$5,IF(CC584="L23",Parameter!$H$6+Parameter!$H$7,Parameter!$H$5+Parameter!$H$6+Parameter!$H$7))-(AM584-AI584))/AI584)))</f>
        <v>1</v>
      </c>
      <c r="AO584" s="50" t="n">
        <f aca="false">IF(LEFT(Cockpit!$I$5,1)="A",H584,IF(CE584=1,CF584,IF(LEFT(Cockpit!$I$5,1)="B",AT584,MAX(AT584,H584))))</f>
        <v>708</v>
      </c>
      <c r="AP584" s="50" t="n">
        <f aca="false">IF(BW584=1,0,ROUNDUP(AO584/BV584,0))</f>
        <v>4</v>
      </c>
      <c r="AQ584" s="52" t="n">
        <f aca="false">IF(CL584&gt;0,CL584*MAX(1,AO584/X584),IF(BW584=1,IF(AO584&lt;=0,0,CA584*MAX(1,IF(H584&gt;0,AO584/H584,1))),IF(R584&gt;0,AP584/R584,0))/MAX(0.1,N(Parameter!$M$21)))</f>
        <v>0.0285714285714286</v>
      </c>
      <c r="AR584" s="50" t="n">
        <f aca="false">AQ584*BY584</f>
        <v>4.42857142857143</v>
      </c>
      <c r="AS584" s="50" t="n">
        <f aca="false">AO584*G584</f>
        <v>70.8</v>
      </c>
      <c r="AT584" s="50" t="n">
        <f aca="false">ROUNDUP(MAX(J584/IF(CD584&gt;0,CD584,MAX(0.1,N(Cockpit!$I$6))),CG584)/BV584,0)*BV584</f>
        <v>708</v>
      </c>
      <c r="AU584" s="51" t="n">
        <f aca="false">IF(AR584&gt;0,J584/AR584,-1)</f>
        <v>140</v>
      </c>
      <c r="AV584" s="51" t="n">
        <f aca="false">IF(AND(OR(CC584="L1",CC584="L23",CC584="LIFT"),AR584&gt;0),SUMIFS($AR$7:$AR$1843,$CC$7:$CC$1843,CC584,$AU$7:$AU$1843,"&gt;"&amp;AU584)+SUMIFS($AR$7:$AR$1843,$CC$7:$CC$1843,CC584,$AU$7:$AU$1843,AU584,$BT$7:$BT$1843,"&lt;="&amp;BT584),"")</f>
        <v>670.216117216117</v>
      </c>
      <c r="AW584" s="58" t="n">
        <f aca="false">IF(AV584="",0,MAX(0,MIN(1,(IF(CC584="L1",Parameter!$H$5,IF(CC584="L23",Parameter!$H$6+Parameter!$H$7,Parameter!$H$5+Parameter!$H$6+Parameter!$H$7))-(AV584-AR584))/AR584)))</f>
        <v>1</v>
      </c>
      <c r="AX584" s="50" t="n">
        <f aca="false">IF(LEFT(Cockpit!$O$5,1)="A",H584,IF(CE584=1,CF584,IF(LEFT(Cockpit!$O$5,1)="B",BC584,MAX(BC584,H584))))</f>
        <v>708</v>
      </c>
      <c r="AY584" s="50" t="n">
        <f aca="false">IF(BW584=1,0,ROUNDUP(AX584/BV584,0))</f>
        <v>4</v>
      </c>
      <c r="AZ584" s="52" t="n">
        <f aca="false">IF(CL584&gt;0,CL584*MAX(1,AX584/X584),IF(BW584=1,IF(AX584&lt;=0,0,CA584*MAX(1,IF(H584&gt;0,AX584/H584,1))),IF(R584&gt;0,AY584/R584,0))/MAX(0.1,N(Parameter!$M$21)))</f>
        <v>0.0285714285714286</v>
      </c>
      <c r="BA584" s="50" t="n">
        <f aca="false">AZ584*BY584</f>
        <v>4.42857142857143</v>
      </c>
      <c r="BB584" s="50" t="n">
        <f aca="false">AX584*G584</f>
        <v>70.8</v>
      </c>
      <c r="BC584" s="50" t="n">
        <f aca="false">ROUNDUP(MAX(J584/IF(CD584&gt;0,CD584,MAX(0.1,N(Cockpit!$O$6))),CG584)/BV584,0)*BV584</f>
        <v>708</v>
      </c>
      <c r="BD584" s="51" t="n">
        <f aca="false">IF(BA584&gt;0,J584/BA584,-1)</f>
        <v>140</v>
      </c>
      <c r="BE584" s="51" t="n">
        <f aca="false">IF(AND(OR(CC584="L1",CC584="L23",CC584="LIFT"),BA584&gt;0),SUMIFS($BA$7:$BA$1843,$CC$7:$CC$1843,CC584,$BD$7:$BD$1843,"&gt;"&amp;BD584)+SUMIFS($BA$7:$BA$1843,$CC$7:$CC$1843,CC584,$BD$7:$BD$1843,BD584,$BT$7:$BT$1843,"&lt;="&amp;BT584),"")</f>
        <v>614.65521978022</v>
      </c>
      <c r="BF584" s="58" t="n">
        <f aca="false">IF(BE584="",0,MAX(0,MIN(1,(IF(CC584="L1",Parameter!$H$5,IF(CC584="L23",Parameter!$H$6+Parameter!$H$7,Parameter!$H$5+Parameter!$H$6+Parameter!$H$7))-(BE584-BA584))/BA584)))</f>
        <v>1</v>
      </c>
      <c r="BG584" s="48" t="str">
        <f aca="false">IF(AI584&lt;=0,"",IF(CC584="Aussen","Aussenlager",IF(CC584="-","Nicht im Lift",IF(AN584&gt;=1,"Lift",IF(AN584&lt;=0,"Aussenlager","teilweise")))))</f>
        <v>Lift</v>
      </c>
      <c r="BH584" s="48" t="str">
        <f aca="false">IF(AR584&lt;=0,"",IF(CC584="Aussen","Aussenlager",IF(CC584="-","Nicht im Lift",IF(AW584&gt;=1,"Lift",IF(AW584&lt;=0,"Aussenlager","teilweise")))))</f>
        <v>Lift</v>
      </c>
      <c r="BI584" s="48" t="str">
        <f aca="false">IF(BA584&lt;=0,"",IF(CC584="Aussen","Aussenlager",IF(CC584="-","Nicht im Lift",IF(BF584&gt;=1,"Lift",IF(BF584&lt;=0,"Aussenlager","teilweise")))))</f>
        <v>Lift</v>
      </c>
      <c r="BJ584" s="48" t="str">
        <f aca="false">IF(A584="","",IF(BS584=1,"Neu; ","")&amp;IF(AND(BS584=0,BN584&lt;0),"negativer Bestand (Export "&amp;BN584&amp;"); ","")&amp;IF(J584&lt;=0,"Kein Verbrauch; ","")&amp;IF(CL584&gt;0,"Lift "&amp;W584&amp;" lt. Liftbericht (Fach "&amp;X584&amp;" Stk); ",IF(BX584=1,"Gebinde geschätzt ("&amp;T584&amp;"); ",IF(BW584=1,"Lose – Tablare geschätzt; ","")))&amp;IF(H584&gt;AT584,"Überbestand "&amp;ROUND(H584-AT584,0)&amp;" Stk / CHF "&amp;ROUND((H584-AT584)*G584,0)&amp;"; ","")&amp;IF(AND(CE584=1,CF584&lt;CG584),"MAX &lt; MB+LG; ","")&amp;IF(AND(CK584&gt;0,CJ584*10&gt;CK584),"zu hoch für Tablar; ","")&amp;IF(AND(BS584=0,OR(CE584=1,AA584&lt;&gt;"",U584&lt;&gt;"",V584&lt;&gt;"",AB584&lt;&gt;"")),"manuell übersteuert; ","")&amp;IF(AND(BW584=0,R584=0),"Gebinde unbekannt / Stellmass fehlt; ","")&amp;IF(AND(BW584=0,N(V584)&lt;=0,N(Q584)&lt;=0),"Menge pro Gebinde fehlt (Ist = 1 Gebinde); ","")&amp;BR584)</f>
        <v/>
      </c>
      <c r="BK584" s="48"/>
      <c r="BL584" s="48"/>
      <c r="BM584" s="55"/>
      <c r="BN584" s="50" t="n">
        <v>88</v>
      </c>
      <c r="BO584" s="50" t="n">
        <v>301</v>
      </c>
      <c r="BP584" s="49" t="n">
        <v>8.8</v>
      </c>
      <c r="BQ584" s="50" t="n">
        <v>620</v>
      </c>
      <c r="BR584" s="48"/>
      <c r="BS584" s="53" t="n">
        <v>0</v>
      </c>
      <c r="BT584" s="53" t="n">
        <v>584</v>
      </c>
      <c r="BU584" s="48" t="str">
        <f aca="false">IF(U584&lt;&gt;"",UPPER(TRIM(U584)),IF(BX584=1,UPPER(VLOOKUP(T584,Parameter!$I$27:$K$29,2,0)),IF(P584="","LOSE",P584)))</f>
        <v>S22</v>
      </c>
      <c r="BV584" s="50" t="n">
        <f aca="false">IF(BU584="LOSE",1,IF(N(V584)&gt;0,V584,IF(BX584=1,MAX(1,N(VLOOKUP(T584,Parameter!$I$27:$K$29,3,0)),H584,N(N584)),IF(N(Q584)&gt;0,Q584,MAX(1,H584)))))</f>
        <v>177</v>
      </c>
      <c r="BW584" s="53" t="n">
        <f aca="false">IF(BU584="LOSE",1,0)</f>
        <v>0</v>
      </c>
      <c r="BX584" s="53" t="n">
        <f aca="false">IF(AND(U584="",OR(P584="",P584="LOSE"),T584&lt;&gt;"",N(S584)&lt;=0,ISNUMBER(MATCH(T584,Parameter!$I$27:$I$29,0))),1,0)</f>
        <v>0</v>
      </c>
      <c r="BY584" s="53" t="n">
        <f aca="false">IF(CL584&gt;0,INDEX(Parameter!$H$5:$H$7,W584)/INDEX(Parameter!$E$5:$E$7,W584),IF(AND(BW584=0,N(IFERROR(VLOOKUP(BU584,'Gebinde-Kategorie'!$A$5:$N$45,14,0),0))&gt;0),VLOOKUP(BU584,'Gebinde-Kategorie'!$A$5:$N$45,14,0)*10+Parameter!$M$23,Parameter!$M$24))</f>
        <v>155</v>
      </c>
      <c r="BZ584" s="48" t="str">
        <f aca="false">IF(AND(Parameter!$B$19="Ja",E584&lt;&gt;"",ISNUMBER(MATCH(E584,Parameter!$I$35:$I$52,0))),VLOOKUP(E584,Parameter!$I$35:$J$52,2,0),IFERROR(VLOOKUP(D584,Parameter!$A$35:$C$64,2,0),"Nein"))</f>
        <v>2+3</v>
      </c>
      <c r="CA584" s="52" t="n">
        <f aca="false">IF(BW584=0,0,IF(N(S584)&gt;0,S584,IFERROR(VLOOKUP(D584,Parameter!$A$35:$C$64,3,0)+0,0)))</f>
        <v>0</v>
      </c>
      <c r="CB584" s="48" t="n">
        <f aca="false">IF(AA584&lt;&gt;"",AA584,Z584)</f>
        <v>3</v>
      </c>
      <c r="CC584" s="48" t="str">
        <f aca="false">IF(OR(CB584=1,CB584=2,CB584=3),IF(Parameter!$E$27="Ja","LIFT",IF(CB584=1,"L1","L23")),IF(CB584="Aussen","Aussen","-"))</f>
        <v>LIFT</v>
      </c>
      <c r="CD584" s="59" t="n">
        <f aca="false">IF(N(AB584)&gt;0,AB584,0)</f>
        <v>0</v>
      </c>
      <c r="CE584" s="53" t="n">
        <f aca="false">IF(ISNUMBER(AE584),1,0)</f>
        <v>0</v>
      </c>
      <c r="CF584" s="50" t="n">
        <f aca="false">N(AE584)</f>
        <v>0</v>
      </c>
      <c r="CG584" s="50" t="n">
        <f aca="false">N(M584)+N(N584)</f>
        <v>668</v>
      </c>
      <c r="CH584" s="50" t="n">
        <f aca="false">ROUNDUP(H584/BV584,0)</f>
        <v>3</v>
      </c>
      <c r="CI584" s="50" t="n">
        <f aca="false">ROUNDUP(CF584/BV584,0)</f>
        <v>0</v>
      </c>
      <c r="CJ584" s="53" t="n">
        <f aca="false">IF(BW584=1,0,IFERROR(VLOOKUP(BU584,'Gebinde-Kategorie'!$A$5:$N$45,5,0)+0,0))</f>
        <v>8</v>
      </c>
      <c r="CK584" s="53" t="n">
        <f aca="false">IFERROR(IF(OR(CB584=1,CB584=2,CB584=3),N(INDEX(Parameter!$I$5:$I$7,CB584)),0),0)</f>
        <v>0</v>
      </c>
      <c r="CL584" s="52" t="n">
        <f aca="false">IF(AND(Parameter!$B$21="Ja",ISNUMBER(W584),N(X584)&gt;0),IFERROR(N(INDEX(Parameter!$L$5:$L$7,W584))*INDEX(Parameter!$E$5:$E$7,W584)*X584/SUMIFS($X$7:$X$1843,$W$7:$W$1843,W584),0),0)</f>
        <v>0</v>
      </c>
    </row>
    <row r="585" customFormat="false" ht="15" hidden="false" customHeight="false" outlineLevel="0" collapsed="false">
      <c r="A585" s="48" t="s">
        <v>1228</v>
      </c>
      <c r="B585" s="48" t="s">
        <v>1229</v>
      </c>
      <c r="C585" s="48" t="s">
        <v>168</v>
      </c>
      <c r="D585" s="48" t="s">
        <v>188</v>
      </c>
      <c r="E585" s="48"/>
      <c r="F585" s="48" t="s">
        <v>222</v>
      </c>
      <c r="G585" s="49" t="n">
        <v>8.61</v>
      </c>
      <c r="H585" s="50" t="n">
        <f aca="false">MAX(0,IF(AND(Parameter!$B$21="Ja",ISNUMBER(Y585)),Y585,IF(Parameter!$B$20="Jahresanfang 2025 + Export",BO585+BN585,BN585)))</f>
        <v>39</v>
      </c>
      <c r="I585" s="50" t="n">
        <f aca="false">H585*G585</f>
        <v>335.79</v>
      </c>
      <c r="J585" s="50" t="n">
        <f aca="false">BQ585*Parameter!$B$18</f>
        <v>0</v>
      </c>
      <c r="K585" s="51" t="n">
        <v>39</v>
      </c>
      <c r="L585" s="52" t="n">
        <v>0</v>
      </c>
      <c r="M585" s="50" t="n">
        <v>0</v>
      </c>
      <c r="N585" s="50" t="n">
        <v>1</v>
      </c>
      <c r="O585" s="53" t="n">
        <v>28</v>
      </c>
      <c r="P585" s="48" t="s">
        <v>297</v>
      </c>
      <c r="Q585" s="50" t="n">
        <v>40</v>
      </c>
      <c r="R585" s="53" t="n">
        <f aca="false">IF(BW585=1,0,IFERROR(VLOOKUP(BU585,'Gebinde-Kategorie'!$A$5:$N$45,13,0)+0,0))</f>
        <v>12</v>
      </c>
      <c r="S585" s="54"/>
      <c r="T585" s="55"/>
      <c r="U585" s="55"/>
      <c r="V585" s="55"/>
      <c r="W585" s="48"/>
      <c r="X585" s="50"/>
      <c r="Y585" s="50"/>
      <c r="Z585" s="48" t="n">
        <f aca="false">IF(A585="","",IF(AND(Parameter!$B$21="Ja",ISNUMBER(W585)),W585,IF(BZ585="2+3",IF(ISNUMBER(SEARCH("grosser Artikel",BR585)),2,IFERROR(VLOOKUP(BU585,Parameter!$F$35:$G$64,2,0),2)),IF(OR(BZ585="Nein",BZ585=""),"-",BZ585))))</f>
        <v>2</v>
      </c>
      <c r="AA585" s="55"/>
      <c r="AB585" s="56"/>
      <c r="AC585" s="50" t="n">
        <f aca="false">AT585</f>
        <v>40</v>
      </c>
      <c r="AD585" s="50" t="n">
        <f aca="false">MAX(AT585,H585)</f>
        <v>40</v>
      </c>
      <c r="AE585" s="57"/>
      <c r="AF585" s="50" t="n">
        <f aca="false">IF(LEFT(Cockpit!$C$5,1)="A",H585,IF(CE585=1,CF585,IF(LEFT(Cockpit!$C$5,1)="B",AK585,MAX(AK585,H585))))</f>
        <v>39</v>
      </c>
      <c r="AG585" s="50" t="n">
        <f aca="false">IF(BW585=1,0,ROUNDUP(AF585/BV585,0))</f>
        <v>1</v>
      </c>
      <c r="AH585" s="52" t="n">
        <f aca="false">IF(CL585&gt;0,CL585*MAX(1,AF585/X585),IF(BW585=1,IF(AF585&lt;=0,0,CA585*MAX(1,IF(H585&gt;0,AF585/H585,1))),IF(R585&gt;0,AG585/R585,0))/MAX(0.1,N(Parameter!$M$21)))</f>
        <v>0.0833333333333333</v>
      </c>
      <c r="AI585" s="50" t="n">
        <f aca="false">AH585*BY585</f>
        <v>20.4166666666667</v>
      </c>
      <c r="AJ585" s="50" t="n">
        <f aca="false">AF585*G585</f>
        <v>335.79</v>
      </c>
      <c r="AK585" s="50" t="n">
        <f aca="false">ROUNDUP(MAX(J585/IF(CD585&gt;0,CD585,MAX(0.1,N(Cockpit!$C$6))),CG585)/BV585,0)*BV585</f>
        <v>40</v>
      </c>
      <c r="AL585" s="51" t="n">
        <f aca="false">IF(AI585&gt;0,J585/AI585,-1)</f>
        <v>0</v>
      </c>
      <c r="AM585" s="51" t="n">
        <f aca="false">IF(AND(OR(CC585="L1",CC585="L23",CC585="LIFT"),AI585&gt;0),SUMIFS($AI$7:$AI$1843,$CC$7:$CC$1843,CC585,$AL$7:$AL$1843,"&gt;"&amp;AL585)+SUMIFS($AI$7:$AI$1843,$CC$7:$CC$1843,CC585,$AL$7:$AL$1843,AL585,$BT$7:$BT$1843,"&lt;="&amp;BT585),"")</f>
        <v>28500.5894538606</v>
      </c>
      <c r="AN585" s="58" t="n">
        <f aca="false">IF(AM585="",0,MAX(0,MIN(1,(IF(CC585="L1",Parameter!$H$5,IF(CC585="L23",Parameter!$H$6+Parameter!$H$7,Parameter!$H$5+Parameter!$H$6+Parameter!$H$7))-(AM585-AI585))/AI585)))</f>
        <v>1</v>
      </c>
      <c r="AO585" s="50" t="n">
        <f aca="false">IF(LEFT(Cockpit!$I$5,1)="A",H585,IF(CE585=1,CF585,IF(LEFT(Cockpit!$I$5,1)="B",AT585,MAX(AT585,H585))))</f>
        <v>40</v>
      </c>
      <c r="AP585" s="50" t="n">
        <f aca="false">IF(BW585=1,0,ROUNDUP(AO585/BV585,0))</f>
        <v>1</v>
      </c>
      <c r="AQ585" s="52" t="n">
        <f aca="false">IF(CL585&gt;0,CL585*MAX(1,AO585/X585),IF(BW585=1,IF(AO585&lt;=0,0,CA585*MAX(1,IF(H585&gt;0,AO585/H585,1))),IF(R585&gt;0,AP585/R585,0))/MAX(0.1,N(Parameter!$M$21)))</f>
        <v>0.0833333333333333</v>
      </c>
      <c r="AR585" s="50" t="n">
        <f aca="false">AQ585*BY585</f>
        <v>20.4166666666667</v>
      </c>
      <c r="AS585" s="50" t="n">
        <f aca="false">AO585*G585</f>
        <v>344.4</v>
      </c>
      <c r="AT585" s="50" t="n">
        <f aca="false">ROUNDUP(MAX(J585/IF(CD585&gt;0,CD585,MAX(0.1,N(Cockpit!$I$6))),CG585)/BV585,0)*BV585</f>
        <v>40</v>
      </c>
      <c r="AU585" s="51" t="n">
        <f aca="false">IF(AR585&gt;0,J585/AR585,-1)</f>
        <v>0</v>
      </c>
      <c r="AV585" s="51" t="n">
        <f aca="false">IF(AND(OR(CC585="L1",CC585="L23",CC585="LIFT"),AR585&gt;0),SUMIFS($AR$7:$AR$1843,$CC$7:$CC$1843,CC585,$AU$7:$AU$1843,"&gt;"&amp;AU585)+SUMIFS($AR$7:$AR$1843,$CC$7:$CC$1843,CC585,$AU$7:$AU$1843,AU585,$BT$7:$BT$1843,"&lt;="&amp;BT585),"")</f>
        <v>39813.4949711306</v>
      </c>
      <c r="AW585" s="58" t="n">
        <f aca="false">IF(AV585="",0,MAX(0,MIN(1,(IF(CC585="L1",Parameter!$H$5,IF(CC585="L23",Parameter!$H$6+Parameter!$H$7,Parameter!$H$5+Parameter!$H$6+Parameter!$H$7))-(AV585-AR585))/AR585)))</f>
        <v>0</v>
      </c>
      <c r="AX585" s="50" t="n">
        <f aca="false">IF(LEFT(Cockpit!$O$5,1)="A",H585,IF(CE585=1,CF585,IF(LEFT(Cockpit!$O$5,1)="B",BC585,MAX(BC585,H585))))</f>
        <v>40</v>
      </c>
      <c r="AY585" s="50" t="n">
        <f aca="false">IF(BW585=1,0,ROUNDUP(AX585/BV585,0))</f>
        <v>1</v>
      </c>
      <c r="AZ585" s="52" t="n">
        <f aca="false">IF(CL585&gt;0,CL585*MAX(1,AX585/X585),IF(BW585=1,IF(AX585&lt;=0,0,CA585*MAX(1,IF(H585&gt;0,AX585/H585,1))),IF(R585&gt;0,AY585/R585,0))/MAX(0.1,N(Parameter!$M$21)))</f>
        <v>0.0833333333333333</v>
      </c>
      <c r="BA585" s="50" t="n">
        <f aca="false">AZ585*BY585</f>
        <v>20.4166666666667</v>
      </c>
      <c r="BB585" s="50" t="n">
        <f aca="false">AX585*G585</f>
        <v>344.4</v>
      </c>
      <c r="BC585" s="50" t="n">
        <f aca="false">ROUNDUP(MAX(J585/IF(CD585&gt;0,CD585,MAX(0.1,N(Cockpit!$O$6))),CG585)/BV585,0)*BV585</f>
        <v>40</v>
      </c>
      <c r="BD585" s="51" t="n">
        <f aca="false">IF(BA585&gt;0,J585/BA585,-1)</f>
        <v>0</v>
      </c>
      <c r="BE585" s="51" t="n">
        <f aca="false">IF(AND(OR(CC585="L1",CC585="L23",CC585="LIFT"),BA585&gt;0),SUMIFS($BA$7:$BA$1843,$CC$7:$CC$1843,CC585,$BD$7:$BD$1843,"&gt;"&amp;BD585)+SUMIFS($BA$7:$BA$1843,$CC$7:$CC$1843,CC585,$BD$7:$BD$1843,BD585,$BT$7:$BT$1843,"&lt;="&amp;BT585),"")</f>
        <v>36488.5070129964</v>
      </c>
      <c r="BF585" s="58" t="n">
        <f aca="false">IF(BE585="",0,MAX(0,MIN(1,(IF(CC585="L1",Parameter!$H$5,IF(CC585="L23",Parameter!$H$6+Parameter!$H$7,Parameter!$H$5+Parameter!$H$6+Parameter!$H$7))-(BE585-BA585))/BA585)))</f>
        <v>0</v>
      </c>
      <c r="BG585" s="48" t="str">
        <f aca="false">IF(AI585&lt;=0,"",IF(CC585="Aussen","Aussenlager",IF(CC585="-","Nicht im Lift",IF(AN585&gt;=1,"Lift",IF(AN585&lt;=0,"Aussenlager","teilweise")))))</f>
        <v>Lift</v>
      </c>
      <c r="BH585" s="48" t="str">
        <f aca="false">IF(AR585&lt;=0,"",IF(CC585="Aussen","Aussenlager",IF(CC585="-","Nicht im Lift",IF(AW585&gt;=1,"Lift",IF(AW585&lt;=0,"Aussenlager","teilweise")))))</f>
        <v>Aussenlager</v>
      </c>
      <c r="BI585" s="48" t="str">
        <f aca="false">IF(BA585&lt;=0,"",IF(CC585="Aussen","Aussenlager",IF(CC585="-","Nicht im Lift",IF(BF585&gt;=1,"Lift",IF(BF585&lt;=0,"Aussenlager","teilweise")))))</f>
        <v>Aussenlager</v>
      </c>
      <c r="BJ585" s="48" t="str">
        <f aca="false">IF(A585="","",IF(BS585=1,"Neu; ","")&amp;IF(AND(BS585=0,BN585&lt;0),"negativer Bestand (Export "&amp;BN585&amp;"); ","")&amp;IF(J585&lt;=0,"Kein Verbrauch; ","")&amp;IF(CL585&gt;0,"Lift "&amp;W585&amp;" lt. Liftbericht (Fach "&amp;X585&amp;" Stk); ",IF(BX585=1,"Gebinde geschätzt ("&amp;T585&amp;"); ",IF(BW585=1,"Lose – Tablare geschätzt; ","")))&amp;IF(H585&gt;AT585,"Überbestand "&amp;ROUND(H585-AT585,0)&amp;" Stk / CHF "&amp;ROUND((H585-AT585)*G585,0)&amp;"; ","")&amp;IF(AND(CE585=1,CF585&lt;CG585),"MAX &lt; MB+LG; ","")&amp;IF(AND(CK585&gt;0,CJ585*10&gt;CK585),"zu hoch für Tablar; ","")&amp;IF(AND(BS585=0,OR(CE585=1,AA585&lt;&gt;"",U585&lt;&gt;"",V585&lt;&gt;"",AB585&lt;&gt;"")),"manuell übersteuert; ","")&amp;IF(AND(BW585=0,R585=0),"Gebinde unbekannt / Stellmass fehlt; ","")&amp;IF(AND(BW585=0,N(V585)&lt;=0,N(Q585)&lt;=0),"Menge pro Gebinde fehlt (Ist = 1 Gebinde); ","")&amp;BR585)</f>
        <v>Kein Verbrauch; </v>
      </c>
      <c r="BK585" s="48"/>
      <c r="BL585" s="48"/>
      <c r="BM585" s="55"/>
      <c r="BN585" s="50" t="n">
        <v>1</v>
      </c>
      <c r="BO585" s="50" t="n">
        <v>38</v>
      </c>
      <c r="BP585" s="49" t="n">
        <v>8.61</v>
      </c>
      <c r="BQ585" s="50" t="n">
        <v>0</v>
      </c>
      <c r="BR585" s="48"/>
      <c r="BS585" s="53" t="n">
        <v>0</v>
      </c>
      <c r="BT585" s="53" t="n">
        <v>585</v>
      </c>
      <c r="BU585" s="48" t="str">
        <f aca="false">IF(U585&lt;&gt;"",UPPER(TRIM(U585)),IF(BX585=1,UPPER(VLOOKUP(T585,Parameter!$I$27:$K$29,2,0)),IF(P585="","LOSE",P585)))</f>
        <v>S62</v>
      </c>
      <c r="BV585" s="50" t="n">
        <f aca="false">IF(BU585="LOSE",1,IF(N(V585)&gt;0,V585,IF(BX585=1,MAX(1,N(VLOOKUP(T585,Parameter!$I$27:$K$29,3,0)),H585,N(N585)),IF(N(Q585)&gt;0,Q585,MAX(1,H585)))))</f>
        <v>40</v>
      </c>
      <c r="BW585" s="53" t="n">
        <f aca="false">IF(BU585="LOSE",1,0)</f>
        <v>0</v>
      </c>
      <c r="BX585" s="53" t="n">
        <f aca="false">IF(AND(U585="",OR(P585="",P585="LOSE"),T585&lt;&gt;"",N(S585)&lt;=0,ISNUMBER(MATCH(T585,Parameter!$I$27:$I$29,0))),1,0)</f>
        <v>0</v>
      </c>
      <c r="BY585" s="53" t="n">
        <f aca="false">IF(CL585&gt;0,INDEX(Parameter!$H$5:$H$7,W585)/INDEX(Parameter!$E$5:$E$7,W585),IF(AND(BW585=0,N(IFERROR(VLOOKUP(BU585,'Gebinde-Kategorie'!$A$5:$N$45,14,0),0))&gt;0),VLOOKUP(BU585,'Gebinde-Kategorie'!$A$5:$N$45,14,0)*10+Parameter!$M$23,Parameter!$M$24))</f>
        <v>245</v>
      </c>
      <c r="BZ585" s="48" t="str">
        <f aca="false">IF(AND(Parameter!$B$19="Ja",E585&lt;&gt;"",ISNUMBER(MATCH(E585,Parameter!$I$35:$I$52,0))),VLOOKUP(E585,Parameter!$I$35:$J$52,2,0),IFERROR(VLOOKUP(D585,Parameter!$A$35:$C$64,2,0),"Nein"))</f>
        <v>2+3</v>
      </c>
      <c r="CA585" s="52" t="n">
        <f aca="false">IF(BW585=0,0,IF(N(S585)&gt;0,S585,IFERROR(VLOOKUP(D585,Parameter!$A$35:$C$64,3,0)+0,0)))</f>
        <v>0</v>
      </c>
      <c r="CB585" s="48" t="n">
        <f aca="false">IF(AA585&lt;&gt;"",AA585,Z585)</f>
        <v>2</v>
      </c>
      <c r="CC585" s="48" t="str">
        <f aca="false">IF(OR(CB585=1,CB585=2,CB585=3),IF(Parameter!$E$27="Ja","LIFT",IF(CB585=1,"L1","L23")),IF(CB585="Aussen","Aussen","-"))</f>
        <v>LIFT</v>
      </c>
      <c r="CD585" s="59" t="n">
        <f aca="false">IF(N(AB585)&gt;0,AB585,0)</f>
        <v>0</v>
      </c>
      <c r="CE585" s="53" t="n">
        <f aca="false">IF(ISNUMBER(AE585),1,0)</f>
        <v>0</v>
      </c>
      <c r="CF585" s="50" t="n">
        <f aca="false">N(AE585)</f>
        <v>0</v>
      </c>
      <c r="CG585" s="50" t="n">
        <f aca="false">N(M585)+N(N585)</f>
        <v>1</v>
      </c>
      <c r="CH585" s="50" t="n">
        <f aca="false">ROUNDUP(H585/BV585,0)</f>
        <v>1</v>
      </c>
      <c r="CI585" s="50" t="n">
        <f aca="false">ROUNDUP(CF585/BV585,0)</f>
        <v>0</v>
      </c>
      <c r="CJ585" s="53" t="n">
        <f aca="false">IF(BW585=1,0,IFERROR(VLOOKUP(BU585,'Gebinde-Kategorie'!$A$5:$N$45,5,0)+0,0))</f>
        <v>21</v>
      </c>
      <c r="CK585" s="53" t="n">
        <f aca="false">IFERROR(IF(OR(CB585=1,CB585=2,CB585=3),N(INDEX(Parameter!$I$5:$I$7,CB585)),0),0)</f>
        <v>0</v>
      </c>
      <c r="CL585" s="52" t="n">
        <f aca="false">IF(AND(Parameter!$B$21="Ja",ISNUMBER(W585),N(X585)&gt;0),IFERROR(N(INDEX(Parameter!$L$5:$L$7,W585))*INDEX(Parameter!$E$5:$E$7,W585)*X585/SUMIFS($X$7:$X$1843,$W$7:$W$1843,W585),0),0)</f>
        <v>0</v>
      </c>
    </row>
    <row r="586" customFormat="false" ht="15" hidden="false" customHeight="false" outlineLevel="0" collapsed="false">
      <c r="A586" s="48" t="s">
        <v>1230</v>
      </c>
      <c r="B586" s="48" t="s">
        <v>953</v>
      </c>
      <c r="C586" s="48" t="s">
        <v>168</v>
      </c>
      <c r="D586" s="48" t="s">
        <v>188</v>
      </c>
      <c r="E586" s="48" t="s">
        <v>189</v>
      </c>
      <c r="F586" s="48" t="s">
        <v>222</v>
      </c>
      <c r="G586" s="49" t="n">
        <v>0.05</v>
      </c>
      <c r="H586" s="50" t="n">
        <f aca="false">MAX(0,IF(AND(Parameter!$B$21="Ja",ISNUMBER(Y586)),Y586,IF(Parameter!$B$20="Jahresanfang 2025 + Export",BO586+BN586,BN586)))</f>
        <v>440</v>
      </c>
      <c r="I586" s="50" t="n">
        <f aca="false">H586*G586</f>
        <v>22</v>
      </c>
      <c r="J586" s="50" t="n">
        <f aca="false">BQ586*Parameter!$B$18</f>
        <v>424</v>
      </c>
      <c r="K586" s="51" t="n">
        <v>206</v>
      </c>
      <c r="L586" s="52" t="n">
        <v>2.05825242718447</v>
      </c>
      <c r="M586" s="50" t="n">
        <v>24</v>
      </c>
      <c r="N586" s="50" t="n">
        <v>500</v>
      </c>
      <c r="O586" s="53" t="n">
        <v>21</v>
      </c>
      <c r="P586" s="48" t="s">
        <v>306</v>
      </c>
      <c r="Q586" s="50" t="n">
        <v>133</v>
      </c>
      <c r="R586" s="53" t="n">
        <f aca="false">IF(BW586=1,0,IFERROR(VLOOKUP(BU586,'Gebinde-Kategorie'!$A$5:$N$45,13,0)+0,0))</f>
        <v>26</v>
      </c>
      <c r="S586" s="54"/>
      <c r="T586" s="55"/>
      <c r="U586" s="55"/>
      <c r="V586" s="55"/>
      <c r="W586" s="48"/>
      <c r="X586" s="50"/>
      <c r="Y586" s="50"/>
      <c r="Z586" s="48" t="n">
        <f aca="false">IF(A586="","",IF(AND(Parameter!$B$21="Ja",ISNUMBER(W586)),W586,IF(BZ586="2+3",IF(ISNUMBER(SEARCH("grosser Artikel",BR586)),2,IFERROR(VLOOKUP(BU586,Parameter!$F$35:$G$64,2,0),2)),IF(OR(BZ586="Nein",BZ586=""),"-",BZ586))))</f>
        <v>3</v>
      </c>
      <c r="AA586" s="55"/>
      <c r="AB586" s="56"/>
      <c r="AC586" s="50" t="n">
        <f aca="false">AT586</f>
        <v>532</v>
      </c>
      <c r="AD586" s="50" t="n">
        <f aca="false">MAX(AT586,H586)</f>
        <v>532</v>
      </c>
      <c r="AE586" s="57"/>
      <c r="AF586" s="50" t="n">
        <f aca="false">IF(LEFT(Cockpit!$C$5,1)="A",H586,IF(CE586=1,CF586,IF(LEFT(Cockpit!$C$5,1)="B",AK586,MAX(AK586,H586))))</f>
        <v>440</v>
      </c>
      <c r="AG586" s="50" t="n">
        <f aca="false">IF(BW586=1,0,ROUNDUP(AF586/BV586,0))</f>
        <v>4</v>
      </c>
      <c r="AH586" s="52" t="n">
        <f aca="false">IF(CL586&gt;0,CL586*MAX(1,AF586/X586),IF(BW586=1,IF(AF586&lt;=0,0,CA586*MAX(1,IF(H586&gt;0,AF586/H586,1))),IF(R586&gt;0,AG586/R586,0))/MAX(0.1,N(Parameter!$M$21)))</f>
        <v>0.153846153846154</v>
      </c>
      <c r="AI586" s="50" t="n">
        <f aca="false">AH586*BY586</f>
        <v>23.8461538461538</v>
      </c>
      <c r="AJ586" s="50" t="n">
        <f aca="false">AF586*G586</f>
        <v>22</v>
      </c>
      <c r="AK586" s="50" t="n">
        <f aca="false">ROUNDUP(MAX(J586/IF(CD586&gt;0,CD586,MAX(0.1,N(Cockpit!$C$6))),CG586)/BV586,0)*BV586</f>
        <v>532</v>
      </c>
      <c r="AL586" s="51" t="n">
        <f aca="false">IF(AI586&gt;0,J586/AI586,-1)</f>
        <v>17.7806451612903</v>
      </c>
      <c r="AM586" s="51" t="n">
        <f aca="false">IF(AND(OR(CC586="L1",CC586="L23",CC586="LIFT"),AI586&gt;0),SUMIFS($AI$7:$AI$1843,$CC$7:$CC$1843,CC586,$AL$7:$AL$1843,"&gt;"&amp;AL586)+SUMIFS($AI$7:$AI$1843,$CC$7:$CC$1843,CC586,$AL$7:$AL$1843,AL586,$BT$7:$BT$1843,"&lt;="&amp;BT586),"")</f>
        <v>1940.58287545788</v>
      </c>
      <c r="AN586" s="58" t="n">
        <f aca="false">IF(AM586="",0,MAX(0,MIN(1,(IF(CC586="L1",Parameter!$H$5,IF(CC586="L23",Parameter!$H$6+Parameter!$H$7,Parameter!$H$5+Parameter!$H$6+Parameter!$H$7))-(AM586-AI586))/AI586)))</f>
        <v>1</v>
      </c>
      <c r="AO586" s="50" t="n">
        <f aca="false">IF(LEFT(Cockpit!$I$5,1)="A",H586,IF(CE586=1,CF586,IF(LEFT(Cockpit!$I$5,1)="B",AT586,MAX(AT586,H586))))</f>
        <v>532</v>
      </c>
      <c r="AP586" s="50" t="n">
        <f aca="false">IF(BW586=1,0,ROUNDUP(AO586/BV586,0))</f>
        <v>4</v>
      </c>
      <c r="AQ586" s="52" t="n">
        <f aca="false">IF(CL586&gt;0,CL586*MAX(1,AO586/X586),IF(BW586=1,IF(AO586&lt;=0,0,CA586*MAX(1,IF(H586&gt;0,AO586/H586,1))),IF(R586&gt;0,AP586/R586,0))/MAX(0.1,N(Parameter!$M$21)))</f>
        <v>0.153846153846154</v>
      </c>
      <c r="AR586" s="50" t="n">
        <f aca="false">AQ586*BY586</f>
        <v>23.8461538461538</v>
      </c>
      <c r="AS586" s="50" t="n">
        <f aca="false">AO586*G586</f>
        <v>26.6</v>
      </c>
      <c r="AT586" s="50" t="n">
        <f aca="false">ROUNDUP(MAX(J586/IF(CD586&gt;0,CD586,MAX(0.1,N(Cockpit!$I$6))),CG586)/BV586,0)*BV586</f>
        <v>532</v>
      </c>
      <c r="AU586" s="51" t="n">
        <f aca="false">IF(AR586&gt;0,J586/AR586,-1)</f>
        <v>17.7806451612903</v>
      </c>
      <c r="AV586" s="51" t="n">
        <f aca="false">IF(AND(OR(CC586="L1",CC586="L23",CC586="LIFT"),AR586&gt;0),SUMIFS($AR$7:$AR$1843,$CC$7:$CC$1843,CC586,$AU$7:$AU$1843,"&gt;"&amp;AU586)+SUMIFS($AR$7:$AR$1843,$CC$7:$CC$1843,CC586,$AU$7:$AU$1843,AU586,$BT$7:$BT$1843,"&lt;="&amp;BT586),"")</f>
        <v>2816.30586080586</v>
      </c>
      <c r="AW586" s="58" t="n">
        <f aca="false">IF(AV586="",0,MAX(0,MIN(1,(IF(CC586="L1",Parameter!$H$5,IF(CC586="L23",Parameter!$H$6+Parameter!$H$7,Parameter!$H$5+Parameter!$H$6+Parameter!$H$7))-(AV586-AR586))/AR586)))</f>
        <v>1</v>
      </c>
      <c r="AX586" s="50" t="n">
        <f aca="false">IF(LEFT(Cockpit!$O$5,1)="A",H586,IF(CE586=1,CF586,IF(LEFT(Cockpit!$O$5,1)="B",BC586,MAX(BC586,H586))))</f>
        <v>532</v>
      </c>
      <c r="AY586" s="50" t="n">
        <f aca="false">IF(BW586=1,0,ROUNDUP(AX586/BV586,0))</f>
        <v>4</v>
      </c>
      <c r="AZ586" s="52" t="n">
        <f aca="false">IF(CL586&gt;0,CL586*MAX(1,AX586/X586),IF(BW586=1,IF(AX586&lt;=0,0,CA586*MAX(1,IF(H586&gt;0,AX586/H586,1))),IF(R586&gt;0,AY586/R586,0))/MAX(0.1,N(Parameter!$M$21)))</f>
        <v>0.153846153846154</v>
      </c>
      <c r="BA586" s="50" t="n">
        <f aca="false">AZ586*BY586</f>
        <v>23.8461538461538</v>
      </c>
      <c r="BB586" s="50" t="n">
        <f aca="false">AX586*G586</f>
        <v>26.6</v>
      </c>
      <c r="BC586" s="50" t="n">
        <f aca="false">ROUNDUP(MAX(J586/IF(CD586&gt;0,CD586,MAX(0.1,N(Cockpit!$O$6))),CG586)/BV586,0)*BV586</f>
        <v>532</v>
      </c>
      <c r="BD586" s="51" t="n">
        <f aca="false">IF(BA586&gt;0,J586/BA586,-1)</f>
        <v>17.7806451612903</v>
      </c>
      <c r="BE586" s="51" t="n">
        <f aca="false">IF(AND(OR(CC586="L1",CC586="L23",CC586="LIFT"),BA586&gt;0),SUMIFS($BA$7:$BA$1843,$CC$7:$CC$1843,CC586,$BD$7:$BD$1843,"&gt;"&amp;BD586)+SUMIFS($BA$7:$BA$1843,$CC$7:$CC$1843,CC586,$BD$7:$BD$1843,BD586,$BT$7:$BT$1843,"&lt;="&amp;BT586),"")</f>
        <v>2635.74496336996</v>
      </c>
      <c r="BF586" s="58" t="n">
        <f aca="false">IF(BE586="",0,MAX(0,MIN(1,(IF(CC586="L1",Parameter!$H$5,IF(CC586="L23",Parameter!$H$6+Parameter!$H$7,Parameter!$H$5+Parameter!$H$6+Parameter!$H$7))-(BE586-BA586))/BA586)))</f>
        <v>1</v>
      </c>
      <c r="BG586" s="48" t="str">
        <f aca="false">IF(AI586&lt;=0,"",IF(CC586="Aussen","Aussenlager",IF(CC586="-","Nicht im Lift",IF(AN586&gt;=1,"Lift",IF(AN586&lt;=0,"Aussenlager","teilweise")))))</f>
        <v>Lift</v>
      </c>
      <c r="BH586" s="48" t="str">
        <f aca="false">IF(AR586&lt;=0,"",IF(CC586="Aussen","Aussenlager",IF(CC586="-","Nicht im Lift",IF(AW586&gt;=1,"Lift",IF(AW586&lt;=0,"Aussenlager","teilweise")))))</f>
        <v>Lift</v>
      </c>
      <c r="BI586" s="48" t="str">
        <f aca="false">IF(BA586&lt;=0,"",IF(CC586="Aussen","Aussenlager",IF(CC586="-","Nicht im Lift",IF(BF586&gt;=1,"Lift",IF(BF586&lt;=0,"Aussenlager","teilweise")))))</f>
        <v>Lift</v>
      </c>
      <c r="BJ586" s="48" t="str">
        <f aca="false">IF(A586="","",IF(BS586=1,"Neu; ","")&amp;IF(AND(BS586=0,BN586&lt;0),"negativer Bestand (Export "&amp;BN586&amp;"); ","")&amp;IF(J586&lt;=0,"Kein Verbrauch; ","")&amp;IF(CL586&gt;0,"Lift "&amp;W586&amp;" lt. Liftbericht (Fach "&amp;X586&amp;" Stk); ",IF(BX586=1,"Gebinde geschätzt ("&amp;T586&amp;"); ",IF(BW586=1,"Lose – Tablare geschätzt; ","")))&amp;IF(H586&gt;AT586,"Überbestand "&amp;ROUND(H586-AT586,0)&amp;" Stk / CHF "&amp;ROUND((H586-AT586)*G586,0)&amp;"; ","")&amp;IF(AND(CE586=1,CF586&lt;CG586),"MAX &lt; MB+LG; ","")&amp;IF(AND(CK586&gt;0,CJ586*10&gt;CK586),"zu hoch für Tablar; ","")&amp;IF(AND(BS586=0,OR(CE586=1,AA586&lt;&gt;"",U586&lt;&gt;"",V586&lt;&gt;"",AB586&lt;&gt;"")),"manuell übersteuert; ","")&amp;IF(AND(BW586=0,R586=0),"Gebinde unbekannt / Stellmass fehlt; ","")&amp;IF(AND(BW586=0,N(V586)&lt;=0,N(Q586)&lt;=0),"Menge pro Gebinde fehlt (Ist = 1 Gebinde); ","")&amp;BR586)</f>
        <v/>
      </c>
      <c r="BK586" s="48"/>
      <c r="BL586" s="48"/>
      <c r="BM586" s="55"/>
      <c r="BN586" s="50" t="n">
        <v>168</v>
      </c>
      <c r="BO586" s="50" t="n">
        <v>272</v>
      </c>
      <c r="BP586" s="49" t="n">
        <v>8.4</v>
      </c>
      <c r="BQ586" s="50" t="n">
        <v>424</v>
      </c>
      <c r="BR586" s="48"/>
      <c r="BS586" s="53" t="n">
        <v>0</v>
      </c>
      <c r="BT586" s="53" t="n">
        <v>586</v>
      </c>
      <c r="BU586" s="48" t="str">
        <f aca="false">IF(U586&lt;&gt;"",UPPER(TRIM(U586)),IF(BX586=1,UPPER(VLOOKUP(T586,Parameter!$I$27:$K$29,2,0)),IF(P586="","LOSE",P586)))</f>
        <v>S51</v>
      </c>
      <c r="BV586" s="50" t="n">
        <f aca="false">IF(BU586="LOSE",1,IF(N(V586)&gt;0,V586,IF(BX586=1,MAX(1,N(VLOOKUP(T586,Parameter!$I$27:$K$29,3,0)),H586,N(N586)),IF(N(Q586)&gt;0,Q586,MAX(1,H586)))))</f>
        <v>133</v>
      </c>
      <c r="BW586" s="53" t="n">
        <f aca="false">IF(BU586="LOSE",1,0)</f>
        <v>0</v>
      </c>
      <c r="BX586" s="53" t="n">
        <f aca="false">IF(AND(U586="",OR(P586="",P586="LOSE"),T586&lt;&gt;"",N(S586)&lt;=0,ISNUMBER(MATCH(T586,Parameter!$I$27:$I$29,0))),1,0)</f>
        <v>0</v>
      </c>
      <c r="BY586" s="53" t="n">
        <f aca="false">IF(CL586&gt;0,INDEX(Parameter!$H$5:$H$7,W586)/INDEX(Parameter!$E$5:$E$7,W586),IF(AND(BW586=0,N(IFERROR(VLOOKUP(BU586,'Gebinde-Kategorie'!$A$5:$N$45,14,0),0))&gt;0),VLOOKUP(BU586,'Gebinde-Kategorie'!$A$5:$N$45,14,0)*10+Parameter!$M$23,Parameter!$M$24))</f>
        <v>155</v>
      </c>
      <c r="BZ586" s="48" t="str">
        <f aca="false">IF(AND(Parameter!$B$19="Ja",E586&lt;&gt;"",ISNUMBER(MATCH(E586,Parameter!$I$35:$I$52,0))),VLOOKUP(E586,Parameter!$I$35:$J$52,2,0),IFERROR(VLOOKUP(D586,Parameter!$A$35:$C$64,2,0),"Nein"))</f>
        <v>2+3</v>
      </c>
      <c r="CA586" s="52" t="n">
        <f aca="false">IF(BW586=0,0,IF(N(S586)&gt;0,S586,IFERROR(VLOOKUP(D586,Parameter!$A$35:$C$64,3,0)+0,0)))</f>
        <v>0</v>
      </c>
      <c r="CB586" s="48" t="n">
        <f aca="false">IF(AA586&lt;&gt;"",AA586,Z586)</f>
        <v>3</v>
      </c>
      <c r="CC586" s="48" t="str">
        <f aca="false">IF(OR(CB586=1,CB586=2,CB586=3),IF(Parameter!$E$27="Ja","LIFT",IF(CB586=1,"L1","L23")),IF(CB586="Aussen","Aussen","-"))</f>
        <v>LIFT</v>
      </c>
      <c r="CD586" s="59" t="n">
        <f aca="false">IF(N(AB586)&gt;0,AB586,0)</f>
        <v>0</v>
      </c>
      <c r="CE586" s="53" t="n">
        <f aca="false">IF(ISNUMBER(AE586),1,0)</f>
        <v>0</v>
      </c>
      <c r="CF586" s="50" t="n">
        <f aca="false">N(AE586)</f>
        <v>0</v>
      </c>
      <c r="CG586" s="50" t="n">
        <f aca="false">N(M586)+N(N586)</f>
        <v>524</v>
      </c>
      <c r="CH586" s="50" t="n">
        <f aca="false">ROUNDUP(H586/BV586,0)</f>
        <v>4</v>
      </c>
      <c r="CI586" s="50" t="n">
        <f aca="false">ROUNDUP(CF586/BV586,0)</f>
        <v>0</v>
      </c>
      <c r="CJ586" s="53" t="n">
        <f aca="false">IF(BW586=1,0,IFERROR(VLOOKUP(BU586,'Gebinde-Kategorie'!$A$5:$N$45,5,0)+0,0))</f>
        <v>11</v>
      </c>
      <c r="CK586" s="53" t="n">
        <f aca="false">IFERROR(IF(OR(CB586=1,CB586=2,CB586=3),N(INDEX(Parameter!$I$5:$I$7,CB586)),0),0)</f>
        <v>0</v>
      </c>
      <c r="CL586" s="52" t="n">
        <f aca="false">IF(AND(Parameter!$B$21="Ja",ISNUMBER(W586),N(X586)&gt;0),IFERROR(N(INDEX(Parameter!$L$5:$L$7,W586))*INDEX(Parameter!$E$5:$E$7,W586)*X586/SUMIFS($X$7:$X$1843,$W$7:$W$1843,W586),0),0)</f>
        <v>0</v>
      </c>
    </row>
    <row r="587" customFormat="false" ht="15" hidden="false" customHeight="false" outlineLevel="0" collapsed="false">
      <c r="A587" s="48" t="s">
        <v>1231</v>
      </c>
      <c r="B587" s="48" t="s">
        <v>1096</v>
      </c>
      <c r="C587" s="48" t="s">
        <v>168</v>
      </c>
      <c r="D587" s="48" t="s">
        <v>177</v>
      </c>
      <c r="E587" s="48"/>
      <c r="F587" s="48" t="s">
        <v>222</v>
      </c>
      <c r="G587" s="49" t="n">
        <v>8.3</v>
      </c>
      <c r="H587" s="50" t="n">
        <f aca="false">MAX(0,IF(AND(Parameter!$B$21="Ja",ISNUMBER(Y587)),Y587,IF(Parameter!$B$20="Jahresanfang 2025 + Export",BO587+BN587,BN587)))</f>
        <v>1</v>
      </c>
      <c r="I587" s="50" t="n">
        <f aca="false">H587*G587</f>
        <v>8.3</v>
      </c>
      <c r="J587" s="50" t="n">
        <f aca="false">BQ587*Parameter!$B$18</f>
        <v>0</v>
      </c>
      <c r="K587" s="51" t="n">
        <v>0</v>
      </c>
      <c r="L587" s="52" t="n">
        <v>0</v>
      </c>
      <c r="M587" s="50" t="n">
        <v>0</v>
      </c>
      <c r="N587" s="50" t="n">
        <v>1</v>
      </c>
      <c r="O587" s="53" t="n">
        <v>21</v>
      </c>
      <c r="P587" s="48" t="s">
        <v>172</v>
      </c>
      <c r="Q587" s="50"/>
      <c r="R587" s="53" t="n">
        <f aca="false">IF(BW587=1,0,IFERROR(VLOOKUP(BU587,'Gebinde-Kategorie'!$A$5:$N$45,13,0)+0,0))</f>
        <v>26</v>
      </c>
      <c r="S587" s="54"/>
      <c r="T587" s="55" t="s">
        <v>279</v>
      </c>
      <c r="U587" s="55"/>
      <c r="V587" s="55"/>
      <c r="W587" s="48"/>
      <c r="X587" s="50"/>
      <c r="Y587" s="50"/>
      <c r="Z587" s="48" t="n">
        <f aca="false">IF(A587="","",IF(AND(Parameter!$B$21="Ja",ISNUMBER(W587)),W587,IF(BZ587="2+3",IF(ISNUMBER(SEARCH("grosser Artikel",BR587)),2,IFERROR(VLOOKUP(BU587,Parameter!$F$35:$G$64,2,0),2)),IF(OR(BZ587="Nein",BZ587=""),"-",BZ587))))</f>
        <v>3</v>
      </c>
      <c r="AA587" s="55"/>
      <c r="AB587" s="56"/>
      <c r="AC587" s="50" t="n">
        <f aca="false">AT587</f>
        <v>20</v>
      </c>
      <c r="AD587" s="50" t="n">
        <f aca="false">MAX(AT587,H587)</f>
        <v>20</v>
      </c>
      <c r="AE587" s="57"/>
      <c r="AF587" s="50" t="n">
        <f aca="false">IF(LEFT(Cockpit!$C$5,1)="A",H587,IF(CE587=1,CF587,IF(LEFT(Cockpit!$C$5,1)="B",AK587,MAX(AK587,H587))))</f>
        <v>1</v>
      </c>
      <c r="AG587" s="50" t="n">
        <f aca="false">IF(BW587=1,0,ROUNDUP(AF587/BV587,0))</f>
        <v>1</v>
      </c>
      <c r="AH587" s="52" t="n">
        <f aca="false">IF(CL587&gt;0,CL587*MAX(1,AF587/X587),IF(BW587=1,IF(AF587&lt;=0,0,CA587*MAX(1,IF(H587&gt;0,AF587/H587,1))),IF(R587&gt;0,AG587/R587,0))/MAX(0.1,N(Parameter!$M$21)))</f>
        <v>0.0384615384615385</v>
      </c>
      <c r="AI587" s="50" t="n">
        <f aca="false">AH587*BY587</f>
        <v>5.96153846153846</v>
      </c>
      <c r="AJ587" s="50" t="n">
        <f aca="false">AF587*G587</f>
        <v>8.3</v>
      </c>
      <c r="AK587" s="50" t="n">
        <f aca="false">ROUNDUP(MAX(J587/IF(CD587&gt;0,CD587,MAX(0.1,N(Cockpit!$C$6))),CG587)/BV587,0)*BV587</f>
        <v>20</v>
      </c>
      <c r="AL587" s="51" t="n">
        <f aca="false">IF(AI587&gt;0,J587/AI587,-1)</f>
        <v>0</v>
      </c>
      <c r="AM587" s="51" t="n">
        <f aca="false">IF(AND(OR(CC587="L1",CC587="L23",CC587="LIFT"),AI587&gt;0),SUMIFS($AI$7:$AI$1843,$CC$7:$CC$1843,CC587,$AL$7:$AL$1843,"&gt;"&amp;AL587)+SUMIFS($AI$7:$AI$1843,$CC$7:$CC$1843,CC587,$AL$7:$AL$1843,AL587,$BT$7:$BT$1843,"&lt;="&amp;BT587),"")</f>
        <v>28506.5509923222</v>
      </c>
      <c r="AN587" s="58" t="n">
        <f aca="false">IF(AM587="",0,MAX(0,MIN(1,(IF(CC587="L1",Parameter!$H$5,IF(CC587="L23",Parameter!$H$6+Parameter!$H$7,Parameter!$H$5+Parameter!$H$6+Parameter!$H$7))-(AM587-AI587))/AI587)))</f>
        <v>1</v>
      </c>
      <c r="AO587" s="50" t="n">
        <f aca="false">IF(LEFT(Cockpit!$I$5,1)="A",H587,IF(CE587=1,CF587,IF(LEFT(Cockpit!$I$5,1)="B",AT587,MAX(AT587,H587))))</f>
        <v>20</v>
      </c>
      <c r="AP587" s="50" t="n">
        <f aca="false">IF(BW587=1,0,ROUNDUP(AO587/BV587,0))</f>
        <v>1</v>
      </c>
      <c r="AQ587" s="52" t="n">
        <f aca="false">IF(CL587&gt;0,CL587*MAX(1,AO587/X587),IF(BW587=1,IF(AO587&lt;=0,0,CA587*MAX(1,IF(H587&gt;0,AO587/H587,1))),IF(R587&gt;0,AP587/R587,0))/MAX(0.1,N(Parameter!$M$21)))</f>
        <v>0.0384615384615385</v>
      </c>
      <c r="AR587" s="50" t="n">
        <f aca="false">AQ587*BY587</f>
        <v>5.96153846153846</v>
      </c>
      <c r="AS587" s="50" t="n">
        <f aca="false">AO587*G587</f>
        <v>166</v>
      </c>
      <c r="AT587" s="50" t="n">
        <f aca="false">ROUNDUP(MAX(J587/IF(CD587&gt;0,CD587,MAX(0.1,N(Cockpit!$I$6))),CG587)/BV587,0)*BV587</f>
        <v>20</v>
      </c>
      <c r="AU587" s="51" t="n">
        <f aca="false">IF(AR587&gt;0,J587/AR587,-1)</f>
        <v>0</v>
      </c>
      <c r="AV587" s="51" t="n">
        <f aca="false">IF(AND(OR(CC587="L1",CC587="L23",CC587="LIFT"),AR587&gt;0),SUMIFS($AR$7:$AR$1843,$CC$7:$CC$1843,CC587,$AU$7:$AU$1843,"&gt;"&amp;AU587)+SUMIFS($AR$7:$AR$1843,$CC$7:$CC$1843,CC587,$AU$7:$AU$1843,AU587,$BT$7:$BT$1843,"&lt;="&amp;BT587),"")</f>
        <v>39819.4565095921</v>
      </c>
      <c r="AW587" s="58" t="n">
        <f aca="false">IF(AV587="",0,MAX(0,MIN(1,(IF(CC587="L1",Parameter!$H$5,IF(CC587="L23",Parameter!$H$6+Parameter!$H$7,Parameter!$H$5+Parameter!$H$6+Parameter!$H$7))-(AV587-AR587))/AR587)))</f>
        <v>0</v>
      </c>
      <c r="AX587" s="50" t="n">
        <f aca="false">IF(LEFT(Cockpit!$O$5,1)="A",H587,IF(CE587=1,CF587,IF(LEFT(Cockpit!$O$5,1)="B",BC587,MAX(BC587,H587))))</f>
        <v>20</v>
      </c>
      <c r="AY587" s="50" t="n">
        <f aca="false">IF(BW587=1,0,ROUNDUP(AX587/BV587,0))</f>
        <v>1</v>
      </c>
      <c r="AZ587" s="52" t="n">
        <f aca="false">IF(CL587&gt;0,CL587*MAX(1,AX587/X587),IF(BW587=1,IF(AX587&lt;=0,0,CA587*MAX(1,IF(H587&gt;0,AX587/H587,1))),IF(R587&gt;0,AY587/R587,0))/MAX(0.1,N(Parameter!$M$21)))</f>
        <v>0.0384615384615385</v>
      </c>
      <c r="BA587" s="50" t="n">
        <f aca="false">AZ587*BY587</f>
        <v>5.96153846153846</v>
      </c>
      <c r="BB587" s="50" t="n">
        <f aca="false">AX587*G587</f>
        <v>166</v>
      </c>
      <c r="BC587" s="50" t="n">
        <f aca="false">ROUNDUP(MAX(J587/IF(CD587&gt;0,CD587,MAX(0.1,N(Cockpit!$O$6))),CG587)/BV587,0)*BV587</f>
        <v>20</v>
      </c>
      <c r="BD587" s="51" t="n">
        <f aca="false">IF(BA587&gt;0,J587/BA587,-1)</f>
        <v>0</v>
      </c>
      <c r="BE587" s="51" t="n">
        <f aca="false">IF(AND(OR(CC587="L1",CC587="L23",CC587="LIFT"),BA587&gt;0),SUMIFS($BA$7:$BA$1843,$CC$7:$CC$1843,CC587,$BD$7:$BD$1843,"&gt;"&amp;BD587)+SUMIFS($BA$7:$BA$1843,$CC$7:$CC$1843,CC587,$BD$7:$BD$1843,BD587,$BT$7:$BT$1843,"&lt;="&amp;BT587),"")</f>
        <v>36494.468551458</v>
      </c>
      <c r="BF587" s="58" t="n">
        <f aca="false">IF(BE587="",0,MAX(0,MIN(1,(IF(CC587="L1",Parameter!$H$5,IF(CC587="L23",Parameter!$H$6+Parameter!$H$7,Parameter!$H$5+Parameter!$H$6+Parameter!$H$7))-(BE587-BA587))/BA587)))</f>
        <v>0</v>
      </c>
      <c r="BG587" s="48" t="str">
        <f aca="false">IF(AI587&lt;=0,"",IF(CC587="Aussen","Aussenlager",IF(CC587="-","Nicht im Lift",IF(AN587&gt;=1,"Lift",IF(AN587&lt;=0,"Aussenlager","teilweise")))))</f>
        <v>Lift</v>
      </c>
      <c r="BH587" s="48" t="str">
        <f aca="false">IF(AR587&lt;=0,"",IF(CC587="Aussen","Aussenlager",IF(CC587="-","Nicht im Lift",IF(AW587&gt;=1,"Lift",IF(AW587&lt;=0,"Aussenlager","teilweise")))))</f>
        <v>Aussenlager</v>
      </c>
      <c r="BI587" s="48" t="str">
        <f aca="false">IF(BA587&lt;=0,"",IF(CC587="Aussen","Aussenlager",IF(CC587="-","Nicht im Lift",IF(BF587&gt;=1,"Lift",IF(BF587&lt;=0,"Aussenlager","teilweise")))))</f>
        <v>Aussenlager</v>
      </c>
      <c r="BJ587" s="48" t="str">
        <f aca="false">IF(A587="","",IF(BS587=1,"Neu; ","")&amp;IF(AND(BS587=0,BN587&lt;0),"negativer Bestand (Export "&amp;BN587&amp;"); ","")&amp;IF(J587&lt;=0,"Kein Verbrauch; ","")&amp;IF(CL587&gt;0,"Lift "&amp;W587&amp;" lt. Liftbericht (Fach "&amp;X587&amp;" Stk); ",IF(BX587=1,"Gebinde geschätzt ("&amp;T587&amp;"); ",IF(BW587=1,"Lose – Tablare geschätzt; ","")))&amp;IF(H587&gt;AT587,"Überbestand "&amp;ROUND(H587-AT587,0)&amp;" Stk / CHF "&amp;ROUND((H587-AT587)*G587,0)&amp;"; ","")&amp;IF(AND(CE587=1,CF587&lt;CG587),"MAX &lt; MB+LG; ","")&amp;IF(AND(CK587&gt;0,CJ587*10&gt;CK587),"zu hoch für Tablar; ","")&amp;IF(AND(BS587=0,OR(CE587=1,AA587&lt;&gt;"",U587&lt;&gt;"",V587&lt;&gt;"",AB587&lt;&gt;"")),"manuell übersteuert; ","")&amp;IF(AND(BW587=0,R587=0),"Gebinde unbekannt / Stellmass fehlt; ","")&amp;IF(AND(BW587=0,N(V587)&lt;=0,N(Q587)&lt;=0),"Menge pro Gebinde fehlt (Ist = 1 Gebinde); ","")&amp;BR587)</f>
        <v>Kein Verbrauch; Gebinde geschätzt (Klein); Menge pro Gebinde fehlt (Ist = 1 Gebinde); </v>
      </c>
      <c r="BK587" s="48"/>
      <c r="BL587" s="48"/>
      <c r="BM587" s="55"/>
      <c r="BN587" s="50" t="n">
        <v>1</v>
      </c>
      <c r="BO587" s="50" t="n">
        <v>0</v>
      </c>
      <c r="BP587" s="49" t="n">
        <v>8.3</v>
      </c>
      <c r="BQ587" s="50" t="n">
        <v>0</v>
      </c>
      <c r="BR587" s="48"/>
      <c r="BS587" s="53" t="n">
        <v>0</v>
      </c>
      <c r="BT587" s="53" t="n">
        <v>587</v>
      </c>
      <c r="BU587" s="48" t="str">
        <f aca="false">IF(U587&lt;&gt;"",UPPER(TRIM(U587)),IF(BX587=1,UPPER(VLOOKUP(T587,Parameter!$I$27:$K$29,2,0)),IF(P587="","LOSE",P587)))</f>
        <v>S51</v>
      </c>
      <c r="BV587" s="50" t="n">
        <f aca="false">IF(BU587="LOSE",1,IF(N(V587)&gt;0,V587,IF(BX587=1,MAX(1,N(VLOOKUP(T587,Parameter!$I$27:$K$29,3,0)),H587,N(N587)),IF(N(Q587)&gt;0,Q587,MAX(1,H587)))))</f>
        <v>20</v>
      </c>
      <c r="BW587" s="53" t="n">
        <f aca="false">IF(BU587="LOSE",1,0)</f>
        <v>0</v>
      </c>
      <c r="BX587" s="53" t="n">
        <f aca="false">IF(AND(U587="",OR(P587="",P587="LOSE"),T587&lt;&gt;"",N(S587)&lt;=0,ISNUMBER(MATCH(T587,Parameter!$I$27:$I$29,0))),1,0)</f>
        <v>1</v>
      </c>
      <c r="BY587" s="53" t="n">
        <f aca="false">IF(CL587&gt;0,INDEX(Parameter!$H$5:$H$7,W587)/INDEX(Parameter!$E$5:$E$7,W587),IF(AND(BW587=0,N(IFERROR(VLOOKUP(BU587,'Gebinde-Kategorie'!$A$5:$N$45,14,0),0))&gt;0),VLOOKUP(BU587,'Gebinde-Kategorie'!$A$5:$N$45,14,0)*10+Parameter!$M$23,Parameter!$M$24))</f>
        <v>155</v>
      </c>
      <c r="BZ587" s="48" t="str">
        <f aca="false">IF(AND(Parameter!$B$19="Ja",E587&lt;&gt;"",ISNUMBER(MATCH(E587,Parameter!$I$35:$I$52,0))),VLOOKUP(E587,Parameter!$I$35:$J$52,2,0),IFERROR(VLOOKUP(D587,Parameter!$A$35:$C$64,2,0),"Nein"))</f>
        <v>2+3</v>
      </c>
      <c r="CA587" s="52" t="n">
        <f aca="false">IF(BW587=0,0,IF(N(S587)&gt;0,S587,IFERROR(VLOOKUP(D587,Parameter!$A$35:$C$64,3,0)+0,0)))</f>
        <v>0</v>
      </c>
      <c r="CB587" s="48" t="n">
        <f aca="false">IF(AA587&lt;&gt;"",AA587,Z587)</f>
        <v>3</v>
      </c>
      <c r="CC587" s="48" t="str">
        <f aca="false">IF(OR(CB587=1,CB587=2,CB587=3),IF(Parameter!$E$27="Ja","LIFT",IF(CB587=1,"L1","L23")),IF(CB587="Aussen","Aussen","-"))</f>
        <v>LIFT</v>
      </c>
      <c r="CD587" s="59" t="n">
        <f aca="false">IF(N(AB587)&gt;0,AB587,0)</f>
        <v>0</v>
      </c>
      <c r="CE587" s="53" t="n">
        <f aca="false">IF(ISNUMBER(AE587),1,0)</f>
        <v>0</v>
      </c>
      <c r="CF587" s="50" t="n">
        <f aca="false">N(AE587)</f>
        <v>0</v>
      </c>
      <c r="CG587" s="50" t="n">
        <f aca="false">N(M587)+N(N587)</f>
        <v>1</v>
      </c>
      <c r="CH587" s="50" t="n">
        <f aca="false">ROUNDUP(H587/BV587,0)</f>
        <v>1</v>
      </c>
      <c r="CI587" s="50" t="n">
        <f aca="false">ROUNDUP(CF587/BV587,0)</f>
        <v>0</v>
      </c>
      <c r="CJ587" s="53" t="n">
        <f aca="false">IF(BW587=1,0,IFERROR(VLOOKUP(BU587,'Gebinde-Kategorie'!$A$5:$N$45,5,0)+0,0))</f>
        <v>11</v>
      </c>
      <c r="CK587" s="53" t="n">
        <f aca="false">IFERROR(IF(OR(CB587=1,CB587=2,CB587=3),N(INDEX(Parameter!$I$5:$I$7,CB587)),0),0)</f>
        <v>0</v>
      </c>
      <c r="CL587" s="52" t="n">
        <f aca="false">IF(AND(Parameter!$B$21="Ja",ISNUMBER(W587),N(X587)&gt;0),IFERROR(N(INDEX(Parameter!$L$5:$L$7,W587))*INDEX(Parameter!$E$5:$E$7,W587)*X587/SUMIFS($X$7:$X$1843,$W$7:$W$1843,W587),0),0)</f>
        <v>0</v>
      </c>
    </row>
    <row r="588" customFormat="false" ht="15" hidden="false" customHeight="false" outlineLevel="0" collapsed="false">
      <c r="A588" s="48" t="s">
        <v>1232</v>
      </c>
      <c r="B588" s="48" t="s">
        <v>1002</v>
      </c>
      <c r="C588" s="48" t="s">
        <v>168</v>
      </c>
      <c r="D588" s="48" t="s">
        <v>188</v>
      </c>
      <c r="E588" s="48"/>
      <c r="F588" s="48" t="s">
        <v>222</v>
      </c>
      <c r="G588" s="49" t="n">
        <v>0.68</v>
      </c>
      <c r="H588" s="50" t="n">
        <f aca="false">MAX(0,IF(AND(Parameter!$B$21="Ja",ISNUMBER(Y588)),Y588,IF(Parameter!$B$20="Jahresanfang 2025 + Export",BO588+BN588,BN588)))</f>
        <v>84</v>
      </c>
      <c r="I588" s="50" t="n">
        <f aca="false">H588*G588</f>
        <v>57.12</v>
      </c>
      <c r="J588" s="50" t="n">
        <f aca="false">BQ588*Parameter!$B$18</f>
        <v>0</v>
      </c>
      <c r="K588" s="51" t="n">
        <v>78</v>
      </c>
      <c r="L588" s="52" t="n">
        <v>0</v>
      </c>
      <c r="M588" s="50" t="n">
        <v>0</v>
      </c>
      <c r="N588" s="50" t="n">
        <v>1</v>
      </c>
      <c r="O588" s="53" t="n">
        <v>21</v>
      </c>
      <c r="P588" s="48" t="s">
        <v>405</v>
      </c>
      <c r="Q588" s="50" t="n">
        <v>100</v>
      </c>
      <c r="R588" s="53" t="n">
        <f aca="false">IF(BW588=1,0,IFERROR(VLOOKUP(BU588,'Gebinde-Kategorie'!$A$5:$N$45,13,0)+0,0))</f>
        <v>280</v>
      </c>
      <c r="S588" s="54"/>
      <c r="T588" s="55"/>
      <c r="U588" s="55"/>
      <c r="V588" s="55"/>
      <c r="W588" s="48"/>
      <c r="X588" s="50"/>
      <c r="Y588" s="50"/>
      <c r="Z588" s="48" t="n">
        <f aca="false">IF(A588="","",IF(AND(Parameter!$B$21="Ja",ISNUMBER(W588)),W588,IF(BZ588="2+3",IF(ISNUMBER(SEARCH("grosser Artikel",BR588)),2,IFERROR(VLOOKUP(BU588,Parameter!$F$35:$G$64,2,0),2)),IF(OR(BZ588="Nein",BZ588=""),"-",BZ588))))</f>
        <v>3</v>
      </c>
      <c r="AA588" s="55"/>
      <c r="AB588" s="56"/>
      <c r="AC588" s="50" t="n">
        <f aca="false">AT588</f>
        <v>100</v>
      </c>
      <c r="AD588" s="50" t="n">
        <f aca="false">MAX(AT588,H588)</f>
        <v>100</v>
      </c>
      <c r="AE588" s="57"/>
      <c r="AF588" s="50" t="n">
        <f aca="false">IF(LEFT(Cockpit!$C$5,1)="A",H588,IF(CE588=1,CF588,IF(LEFT(Cockpit!$C$5,1)="B",AK588,MAX(AK588,H588))))</f>
        <v>84</v>
      </c>
      <c r="AG588" s="50" t="n">
        <f aca="false">IF(BW588=1,0,ROUNDUP(AF588/BV588,0))</f>
        <v>1</v>
      </c>
      <c r="AH588" s="52" t="n">
        <f aca="false">IF(CL588&gt;0,CL588*MAX(1,AF588/X588),IF(BW588=1,IF(AF588&lt;=0,0,CA588*MAX(1,IF(H588&gt;0,AF588/H588,1))),IF(R588&gt;0,AG588/R588,0))/MAX(0.1,N(Parameter!$M$21)))</f>
        <v>0.00357142857142857</v>
      </c>
      <c r="AI588" s="50" t="n">
        <f aca="false">AH588*BY588</f>
        <v>0.553571428571429</v>
      </c>
      <c r="AJ588" s="50" t="n">
        <f aca="false">AF588*G588</f>
        <v>57.12</v>
      </c>
      <c r="AK588" s="50" t="n">
        <f aca="false">ROUNDUP(MAX(J588/IF(CD588&gt;0,CD588,MAX(0.1,N(Cockpit!$C$6))),CG588)/BV588,0)*BV588</f>
        <v>100</v>
      </c>
      <c r="AL588" s="51" t="n">
        <f aca="false">IF(AI588&gt;0,J588/AI588,-1)</f>
        <v>0</v>
      </c>
      <c r="AM588" s="51" t="n">
        <f aca="false">IF(AND(OR(CC588="L1",CC588="L23",CC588="LIFT"),AI588&gt;0),SUMIFS($AI$7:$AI$1843,$CC$7:$CC$1843,CC588,$AL$7:$AL$1843,"&gt;"&amp;AL588)+SUMIFS($AI$7:$AI$1843,$CC$7:$CC$1843,CC588,$AL$7:$AL$1843,AL588,$BT$7:$BT$1843,"&lt;="&amp;BT588),"")</f>
        <v>28507.1045637508</v>
      </c>
      <c r="AN588" s="58" t="n">
        <f aca="false">IF(AM588="",0,MAX(0,MIN(1,(IF(CC588="L1",Parameter!$H$5,IF(CC588="L23",Parameter!$H$6+Parameter!$H$7,Parameter!$H$5+Parameter!$H$6+Parameter!$H$7))-(AM588-AI588))/AI588)))</f>
        <v>1</v>
      </c>
      <c r="AO588" s="50" t="n">
        <f aca="false">IF(LEFT(Cockpit!$I$5,1)="A",H588,IF(CE588=1,CF588,IF(LEFT(Cockpit!$I$5,1)="B",AT588,MAX(AT588,H588))))</f>
        <v>100</v>
      </c>
      <c r="AP588" s="50" t="n">
        <f aca="false">IF(BW588=1,0,ROUNDUP(AO588/BV588,0))</f>
        <v>1</v>
      </c>
      <c r="AQ588" s="52" t="n">
        <f aca="false">IF(CL588&gt;0,CL588*MAX(1,AO588/X588),IF(BW588=1,IF(AO588&lt;=0,0,CA588*MAX(1,IF(H588&gt;0,AO588/H588,1))),IF(R588&gt;0,AP588/R588,0))/MAX(0.1,N(Parameter!$M$21)))</f>
        <v>0.00357142857142857</v>
      </c>
      <c r="AR588" s="50" t="n">
        <f aca="false">AQ588*BY588</f>
        <v>0.553571428571429</v>
      </c>
      <c r="AS588" s="50" t="n">
        <f aca="false">AO588*G588</f>
        <v>68</v>
      </c>
      <c r="AT588" s="50" t="n">
        <f aca="false">ROUNDUP(MAX(J588/IF(CD588&gt;0,CD588,MAX(0.1,N(Cockpit!$I$6))),CG588)/BV588,0)*BV588</f>
        <v>100</v>
      </c>
      <c r="AU588" s="51" t="n">
        <f aca="false">IF(AR588&gt;0,J588/AR588,-1)</f>
        <v>0</v>
      </c>
      <c r="AV588" s="51" t="n">
        <f aca="false">IF(AND(OR(CC588="L1",CC588="L23",CC588="LIFT"),AR588&gt;0),SUMIFS($AR$7:$AR$1843,$CC$7:$CC$1843,CC588,$AU$7:$AU$1843,"&gt;"&amp;AU588)+SUMIFS($AR$7:$AR$1843,$CC$7:$CC$1843,CC588,$AU$7:$AU$1843,AU588,$BT$7:$BT$1843,"&lt;="&amp;BT588),"")</f>
        <v>39820.0100810207</v>
      </c>
      <c r="AW588" s="58" t="n">
        <f aca="false">IF(AV588="",0,MAX(0,MIN(1,(IF(CC588="L1",Parameter!$H$5,IF(CC588="L23",Parameter!$H$6+Parameter!$H$7,Parameter!$H$5+Parameter!$H$6+Parameter!$H$7))-(AV588-AR588))/AR588)))</f>
        <v>0</v>
      </c>
      <c r="AX588" s="50" t="n">
        <f aca="false">IF(LEFT(Cockpit!$O$5,1)="A",H588,IF(CE588=1,CF588,IF(LEFT(Cockpit!$O$5,1)="B",BC588,MAX(BC588,H588))))</f>
        <v>100</v>
      </c>
      <c r="AY588" s="50" t="n">
        <f aca="false">IF(BW588=1,0,ROUNDUP(AX588/BV588,0))</f>
        <v>1</v>
      </c>
      <c r="AZ588" s="52" t="n">
        <f aca="false">IF(CL588&gt;0,CL588*MAX(1,AX588/X588),IF(BW588=1,IF(AX588&lt;=0,0,CA588*MAX(1,IF(H588&gt;0,AX588/H588,1))),IF(R588&gt;0,AY588/R588,0))/MAX(0.1,N(Parameter!$M$21)))</f>
        <v>0.00357142857142857</v>
      </c>
      <c r="BA588" s="50" t="n">
        <f aca="false">AZ588*BY588</f>
        <v>0.553571428571429</v>
      </c>
      <c r="BB588" s="50" t="n">
        <f aca="false">AX588*G588</f>
        <v>68</v>
      </c>
      <c r="BC588" s="50" t="n">
        <f aca="false">ROUNDUP(MAX(J588/IF(CD588&gt;0,CD588,MAX(0.1,N(Cockpit!$O$6))),CG588)/BV588,0)*BV588</f>
        <v>100</v>
      </c>
      <c r="BD588" s="51" t="n">
        <f aca="false">IF(BA588&gt;0,J588/BA588,-1)</f>
        <v>0</v>
      </c>
      <c r="BE588" s="51" t="n">
        <f aca="false">IF(AND(OR(CC588="L1",CC588="L23",CC588="LIFT"),BA588&gt;0),SUMIFS($BA$7:$BA$1843,$CC$7:$CC$1843,CC588,$BD$7:$BD$1843,"&gt;"&amp;BD588)+SUMIFS($BA$7:$BA$1843,$CC$7:$CC$1843,CC588,$BD$7:$BD$1843,BD588,$BT$7:$BT$1843,"&lt;="&amp;BT588),"")</f>
        <v>36495.0221228865</v>
      </c>
      <c r="BF588" s="58" t="n">
        <f aca="false">IF(BE588="",0,MAX(0,MIN(1,(IF(CC588="L1",Parameter!$H$5,IF(CC588="L23",Parameter!$H$6+Parameter!$H$7,Parameter!$H$5+Parameter!$H$6+Parameter!$H$7))-(BE588-BA588))/BA588)))</f>
        <v>0</v>
      </c>
      <c r="BG588" s="48" t="str">
        <f aca="false">IF(AI588&lt;=0,"",IF(CC588="Aussen","Aussenlager",IF(CC588="-","Nicht im Lift",IF(AN588&gt;=1,"Lift",IF(AN588&lt;=0,"Aussenlager","teilweise")))))</f>
        <v>Lift</v>
      </c>
      <c r="BH588" s="48" t="str">
        <f aca="false">IF(AR588&lt;=0,"",IF(CC588="Aussen","Aussenlager",IF(CC588="-","Nicht im Lift",IF(AW588&gt;=1,"Lift",IF(AW588&lt;=0,"Aussenlager","teilweise")))))</f>
        <v>Aussenlager</v>
      </c>
      <c r="BI588" s="48" t="str">
        <f aca="false">IF(BA588&lt;=0,"",IF(CC588="Aussen","Aussenlager",IF(CC588="-","Nicht im Lift",IF(BF588&gt;=1,"Lift",IF(BF588&lt;=0,"Aussenlager","teilweise")))))</f>
        <v>Aussenlager</v>
      </c>
      <c r="BJ588" s="48" t="str">
        <f aca="false">IF(A588="","",IF(BS588=1,"Neu; ","")&amp;IF(AND(BS588=0,BN588&lt;0),"negativer Bestand (Export "&amp;BN588&amp;"); ","")&amp;IF(J588&lt;=0,"Kein Verbrauch; ","")&amp;IF(CL588&gt;0,"Lift "&amp;W588&amp;" lt. Liftbericht (Fach "&amp;X588&amp;" Stk); ",IF(BX588=1,"Gebinde geschätzt ("&amp;T588&amp;"); ",IF(BW588=1,"Lose – Tablare geschätzt; ","")))&amp;IF(H588&gt;AT588,"Überbestand "&amp;ROUND(H588-AT588,0)&amp;" Stk / CHF "&amp;ROUND((H588-AT588)*G588,0)&amp;"; ","")&amp;IF(AND(CE588=1,CF588&lt;CG588),"MAX &lt; MB+LG; ","")&amp;IF(AND(CK588&gt;0,CJ588*10&gt;CK588),"zu hoch für Tablar; ","")&amp;IF(AND(BS588=0,OR(CE588=1,AA588&lt;&gt;"",U588&lt;&gt;"",V588&lt;&gt;"",AB588&lt;&gt;"")),"manuell übersteuert; ","")&amp;IF(AND(BW588=0,R588=0),"Gebinde unbekannt / Stellmass fehlt; ","")&amp;IF(AND(BW588=0,N(V588)&lt;=0,N(Q588)&lt;=0),"Menge pro Gebinde fehlt (Ist = 1 Gebinde); ","")&amp;BR588)</f>
        <v>Kein Verbrauch; Neuer Art.</v>
      </c>
      <c r="BK588" s="48"/>
      <c r="BL588" s="48"/>
      <c r="BM588" s="55"/>
      <c r="BN588" s="50" t="n">
        <v>12</v>
      </c>
      <c r="BO588" s="50" t="n">
        <v>72</v>
      </c>
      <c r="BP588" s="49" t="n">
        <v>8.16</v>
      </c>
      <c r="BQ588" s="50" t="n">
        <v>0</v>
      </c>
      <c r="BR588" s="48" t="s">
        <v>516</v>
      </c>
      <c r="BS588" s="53" t="n">
        <v>0</v>
      </c>
      <c r="BT588" s="53" t="n">
        <v>588</v>
      </c>
      <c r="BU588" s="48" t="str">
        <f aca="false">IF(U588&lt;&gt;"",UPPER(TRIM(U588)),IF(BX588=1,UPPER(VLOOKUP(T588,Parameter!$I$27:$K$29,2,0)),IF(P588="","LOSE",P588)))</f>
        <v>S21</v>
      </c>
      <c r="BV588" s="50" t="n">
        <f aca="false">IF(BU588="LOSE",1,IF(N(V588)&gt;0,V588,IF(BX588=1,MAX(1,N(VLOOKUP(T588,Parameter!$I$27:$K$29,3,0)),H588,N(N588)),IF(N(Q588)&gt;0,Q588,MAX(1,H588)))))</f>
        <v>100</v>
      </c>
      <c r="BW588" s="53" t="n">
        <f aca="false">IF(BU588="LOSE",1,0)</f>
        <v>0</v>
      </c>
      <c r="BX588" s="53" t="n">
        <f aca="false">IF(AND(U588="",OR(P588="",P588="LOSE"),T588&lt;&gt;"",N(S588)&lt;=0,ISNUMBER(MATCH(T588,Parameter!$I$27:$I$29,0))),1,0)</f>
        <v>0</v>
      </c>
      <c r="BY588" s="53" t="n">
        <f aca="false">IF(CL588&gt;0,INDEX(Parameter!$H$5:$H$7,W588)/INDEX(Parameter!$E$5:$E$7,W588),IF(AND(BW588=0,N(IFERROR(VLOOKUP(BU588,'Gebinde-Kategorie'!$A$5:$N$45,14,0),0))&gt;0),VLOOKUP(BU588,'Gebinde-Kategorie'!$A$5:$N$45,14,0)*10+Parameter!$M$23,Parameter!$M$24))</f>
        <v>155</v>
      </c>
      <c r="BZ588" s="48" t="str">
        <f aca="false">IF(AND(Parameter!$B$19="Ja",E588&lt;&gt;"",ISNUMBER(MATCH(E588,Parameter!$I$35:$I$52,0))),VLOOKUP(E588,Parameter!$I$35:$J$52,2,0),IFERROR(VLOOKUP(D588,Parameter!$A$35:$C$64,2,0),"Nein"))</f>
        <v>2+3</v>
      </c>
      <c r="CA588" s="52" t="n">
        <f aca="false">IF(BW588=0,0,IF(N(S588)&gt;0,S588,IFERROR(VLOOKUP(D588,Parameter!$A$35:$C$64,3,0)+0,0)))</f>
        <v>0</v>
      </c>
      <c r="CB588" s="48" t="n">
        <f aca="false">IF(AA588&lt;&gt;"",AA588,Z588)</f>
        <v>3</v>
      </c>
      <c r="CC588" s="48" t="str">
        <f aca="false">IF(OR(CB588=1,CB588=2,CB588=3),IF(Parameter!$E$27="Ja","LIFT",IF(CB588=1,"L1","L23")),IF(CB588="Aussen","Aussen","-"))</f>
        <v>LIFT</v>
      </c>
      <c r="CD588" s="59" t="n">
        <f aca="false">IF(N(AB588)&gt;0,AB588,0)</f>
        <v>0</v>
      </c>
      <c r="CE588" s="53" t="n">
        <f aca="false">IF(ISNUMBER(AE588),1,0)</f>
        <v>0</v>
      </c>
      <c r="CF588" s="50" t="n">
        <f aca="false">N(AE588)</f>
        <v>0</v>
      </c>
      <c r="CG588" s="50" t="n">
        <f aca="false">N(M588)+N(N588)</f>
        <v>1</v>
      </c>
      <c r="CH588" s="50" t="n">
        <f aca="false">ROUNDUP(H588/BV588,0)</f>
        <v>1</v>
      </c>
      <c r="CI588" s="50" t="n">
        <f aca="false">ROUNDUP(CF588/BV588,0)</f>
        <v>0</v>
      </c>
      <c r="CJ588" s="53" t="n">
        <f aca="false">IF(BW588=1,0,IFERROR(VLOOKUP(BU588,'Gebinde-Kategorie'!$A$5:$N$45,5,0)+0,0))</f>
        <v>8</v>
      </c>
      <c r="CK588" s="53" t="n">
        <f aca="false">IFERROR(IF(OR(CB588=1,CB588=2,CB588=3),N(INDEX(Parameter!$I$5:$I$7,CB588)),0),0)</f>
        <v>0</v>
      </c>
      <c r="CL588" s="52" t="n">
        <f aca="false">IF(AND(Parameter!$B$21="Ja",ISNUMBER(W588),N(X588)&gt;0),IFERROR(N(INDEX(Parameter!$L$5:$L$7,W588))*INDEX(Parameter!$E$5:$E$7,W588)*X588/SUMIFS($X$7:$X$1843,$W$7:$W$1843,W588),0),0)</f>
        <v>0</v>
      </c>
    </row>
    <row r="589" customFormat="false" ht="15" hidden="false" customHeight="false" outlineLevel="0" collapsed="false">
      <c r="A589" s="48" t="s">
        <v>1233</v>
      </c>
      <c r="B589" s="48" t="s">
        <v>602</v>
      </c>
      <c r="C589" s="48" t="s">
        <v>168</v>
      </c>
      <c r="D589" s="48" t="s">
        <v>188</v>
      </c>
      <c r="E589" s="48" t="s">
        <v>189</v>
      </c>
      <c r="F589" s="48" t="s">
        <v>222</v>
      </c>
      <c r="G589" s="49" t="n">
        <v>43.93</v>
      </c>
      <c r="H589" s="50" t="n">
        <f aca="false">MAX(0,IF(AND(Parameter!$B$21="Ja",ISNUMBER(Y589)),Y589,IF(Parameter!$B$20="Jahresanfang 2025 + Export",BO589+BN589,BN589)))</f>
        <v>8</v>
      </c>
      <c r="I589" s="50" t="n">
        <f aca="false">H589*G589</f>
        <v>351.44</v>
      </c>
      <c r="J589" s="50" t="n">
        <f aca="false">BQ589*Parameter!$B$18</f>
        <v>12</v>
      </c>
      <c r="K589" s="51" t="n">
        <v>7.5</v>
      </c>
      <c r="L589" s="52" t="n">
        <v>1.6</v>
      </c>
      <c r="M589" s="50" t="n">
        <v>1</v>
      </c>
      <c r="N589" s="50" t="n">
        <v>10</v>
      </c>
      <c r="O589" s="53" t="n">
        <v>35</v>
      </c>
      <c r="P589" s="48" t="s">
        <v>480</v>
      </c>
      <c r="Q589" s="50" t="n">
        <v>27</v>
      </c>
      <c r="R589" s="53" t="n">
        <f aca="false">IF(BW589=1,0,IFERROR(VLOOKUP(BU589,'Gebinde-Kategorie'!$A$5:$N$45,13,0)+0,0))</f>
        <v>52</v>
      </c>
      <c r="S589" s="54"/>
      <c r="T589" s="55"/>
      <c r="U589" s="55"/>
      <c r="V589" s="55"/>
      <c r="W589" s="48"/>
      <c r="X589" s="50"/>
      <c r="Y589" s="50"/>
      <c r="Z589" s="48" t="n">
        <f aca="false">IF(A589="","",IF(AND(Parameter!$B$21="Ja",ISNUMBER(W589)),W589,IF(BZ589="2+3",IF(ISNUMBER(SEARCH("grosser Artikel",BR589)),2,IFERROR(VLOOKUP(BU589,Parameter!$F$35:$G$64,2,0),2)),IF(OR(BZ589="Nein",BZ589=""),"-",BZ589))))</f>
        <v>3</v>
      </c>
      <c r="AA589" s="55"/>
      <c r="AB589" s="56"/>
      <c r="AC589" s="50" t="n">
        <f aca="false">AT589</f>
        <v>27</v>
      </c>
      <c r="AD589" s="50" t="n">
        <f aca="false">MAX(AT589,H589)</f>
        <v>27</v>
      </c>
      <c r="AE589" s="57"/>
      <c r="AF589" s="50" t="n">
        <f aca="false">IF(LEFT(Cockpit!$C$5,1)="A",H589,IF(CE589=1,CF589,IF(LEFT(Cockpit!$C$5,1)="B",AK589,MAX(AK589,H589))))</f>
        <v>8</v>
      </c>
      <c r="AG589" s="50" t="n">
        <f aca="false">IF(BW589=1,0,ROUNDUP(AF589/BV589,0))</f>
        <v>1</v>
      </c>
      <c r="AH589" s="52" t="n">
        <f aca="false">IF(CL589&gt;0,CL589*MAX(1,AF589/X589),IF(BW589=1,IF(AF589&lt;=0,0,CA589*MAX(1,IF(H589&gt;0,AF589/H589,1))),IF(R589&gt;0,AG589/R589,0))/MAX(0.1,N(Parameter!$M$21)))</f>
        <v>0.0192307692307692</v>
      </c>
      <c r="AI589" s="50" t="n">
        <f aca="false">AH589*BY589</f>
        <v>2.98076923076923</v>
      </c>
      <c r="AJ589" s="50" t="n">
        <f aca="false">AF589*G589</f>
        <v>351.44</v>
      </c>
      <c r="AK589" s="50" t="n">
        <f aca="false">ROUNDUP(MAX(J589/IF(CD589&gt;0,CD589,MAX(0.1,N(Cockpit!$C$6))),CG589)/BV589,0)*BV589</f>
        <v>27</v>
      </c>
      <c r="AL589" s="51" t="n">
        <f aca="false">IF(AI589&gt;0,J589/AI589,-1)</f>
        <v>4.0258064516129</v>
      </c>
      <c r="AM589" s="51" t="n">
        <f aca="false">IF(AND(OR(CC589="L1",CC589="L23",CC589="LIFT"),AI589&gt;0),SUMIFS($AI$7:$AI$1843,$CC$7:$CC$1843,CC589,$AL$7:$AL$1843,"&gt;"&amp;AL589)+SUMIFS($AI$7:$AI$1843,$CC$7:$CC$1843,CC589,$AL$7:$AL$1843,AL589,$BT$7:$BT$1843,"&lt;="&amp;BT589),"")</f>
        <v>4342.29487179487</v>
      </c>
      <c r="AN589" s="58" t="n">
        <f aca="false">IF(AM589="",0,MAX(0,MIN(1,(IF(CC589="L1",Parameter!$H$5,IF(CC589="L23",Parameter!$H$6+Parameter!$H$7,Parameter!$H$5+Parameter!$H$6+Parameter!$H$7))-(AM589-AI589))/AI589)))</f>
        <v>1</v>
      </c>
      <c r="AO589" s="50" t="n">
        <f aca="false">IF(LEFT(Cockpit!$I$5,1)="A",H589,IF(CE589=1,CF589,IF(LEFT(Cockpit!$I$5,1)="B",AT589,MAX(AT589,H589))))</f>
        <v>27</v>
      </c>
      <c r="AP589" s="50" t="n">
        <f aca="false">IF(BW589=1,0,ROUNDUP(AO589/BV589,0))</f>
        <v>1</v>
      </c>
      <c r="AQ589" s="52" t="n">
        <f aca="false">IF(CL589&gt;0,CL589*MAX(1,AO589/X589),IF(BW589=1,IF(AO589&lt;=0,0,CA589*MAX(1,IF(H589&gt;0,AO589/H589,1))),IF(R589&gt;0,AP589/R589,0))/MAX(0.1,N(Parameter!$M$21)))</f>
        <v>0.0192307692307692</v>
      </c>
      <c r="AR589" s="50" t="n">
        <f aca="false">AQ589*BY589</f>
        <v>2.98076923076923</v>
      </c>
      <c r="AS589" s="50" t="n">
        <f aca="false">AO589*G589</f>
        <v>1186.11</v>
      </c>
      <c r="AT589" s="50" t="n">
        <f aca="false">ROUNDUP(MAX(J589/IF(CD589&gt;0,CD589,MAX(0.1,N(Cockpit!$I$6))),CG589)/BV589,0)*BV589</f>
        <v>27</v>
      </c>
      <c r="AU589" s="51" t="n">
        <f aca="false">IF(AR589&gt;0,J589/AR589,-1)</f>
        <v>4.0258064516129</v>
      </c>
      <c r="AV589" s="51" t="n">
        <f aca="false">IF(AND(OR(CC589="L1",CC589="L23",CC589="LIFT"),AR589&gt;0),SUMIFS($AR$7:$AR$1843,$CC$7:$CC$1843,CC589,$AU$7:$AU$1843,"&gt;"&amp;AU589)+SUMIFS($AR$7:$AR$1843,$CC$7:$CC$1843,CC589,$AU$7:$AU$1843,AU589,$BT$7:$BT$1843,"&lt;="&amp;BT589),"")</f>
        <v>5572.91254578755</v>
      </c>
      <c r="AW589" s="58" t="n">
        <f aca="false">IF(AV589="",0,MAX(0,MIN(1,(IF(CC589="L1",Parameter!$H$5,IF(CC589="L23",Parameter!$H$6+Parameter!$H$7,Parameter!$H$5+Parameter!$H$6+Parameter!$H$7))-(AV589-AR589))/AR589)))</f>
        <v>1</v>
      </c>
      <c r="AX589" s="50" t="n">
        <f aca="false">IF(LEFT(Cockpit!$O$5,1)="A",H589,IF(CE589=1,CF589,IF(LEFT(Cockpit!$O$5,1)="B",BC589,MAX(BC589,H589))))</f>
        <v>27</v>
      </c>
      <c r="AY589" s="50" t="n">
        <f aca="false">IF(BW589=1,0,ROUNDUP(AX589/BV589,0))</f>
        <v>1</v>
      </c>
      <c r="AZ589" s="52" t="n">
        <f aca="false">IF(CL589&gt;0,CL589*MAX(1,AX589/X589),IF(BW589=1,IF(AX589&lt;=0,0,CA589*MAX(1,IF(H589&gt;0,AX589/H589,1))),IF(R589&gt;0,AY589/R589,0))/MAX(0.1,N(Parameter!$M$21)))</f>
        <v>0.0192307692307692</v>
      </c>
      <c r="BA589" s="50" t="n">
        <f aca="false">AZ589*BY589</f>
        <v>2.98076923076923</v>
      </c>
      <c r="BB589" s="50" t="n">
        <f aca="false">AX589*G589</f>
        <v>1186.11</v>
      </c>
      <c r="BC589" s="50" t="n">
        <f aca="false">ROUNDUP(MAX(J589/IF(CD589&gt;0,CD589,MAX(0.1,N(Cockpit!$O$6))),CG589)/BV589,0)*BV589</f>
        <v>27</v>
      </c>
      <c r="BD589" s="51" t="n">
        <f aca="false">IF(BA589&gt;0,J589/BA589,-1)</f>
        <v>4.0258064516129</v>
      </c>
      <c r="BE589" s="51" t="n">
        <f aca="false">IF(AND(OR(CC589="L1",CC589="L23",CC589="LIFT"),BA589&gt;0),SUMIFS($BA$7:$BA$1843,$CC$7:$CC$1843,CC589,$BD$7:$BD$1843,"&gt;"&amp;BD589)+SUMIFS($BA$7:$BA$1843,$CC$7:$CC$1843,CC589,$BD$7:$BD$1843,BD589,$BT$7:$BT$1843,"&lt;="&amp;BT589),"")</f>
        <v>5260.78113553114</v>
      </c>
      <c r="BF589" s="58" t="n">
        <f aca="false">IF(BE589="",0,MAX(0,MIN(1,(IF(CC589="L1",Parameter!$H$5,IF(CC589="L23",Parameter!$H$6+Parameter!$H$7,Parameter!$H$5+Parameter!$H$6+Parameter!$H$7))-(BE589-BA589))/BA589)))</f>
        <v>1</v>
      </c>
      <c r="BG589" s="48" t="str">
        <f aca="false">IF(AI589&lt;=0,"",IF(CC589="Aussen","Aussenlager",IF(CC589="-","Nicht im Lift",IF(AN589&gt;=1,"Lift",IF(AN589&lt;=0,"Aussenlager","teilweise")))))</f>
        <v>Lift</v>
      </c>
      <c r="BH589" s="48" t="str">
        <f aca="false">IF(AR589&lt;=0,"",IF(CC589="Aussen","Aussenlager",IF(CC589="-","Nicht im Lift",IF(AW589&gt;=1,"Lift",IF(AW589&lt;=0,"Aussenlager","teilweise")))))</f>
        <v>Lift</v>
      </c>
      <c r="BI589" s="48" t="str">
        <f aca="false">IF(BA589&lt;=0,"",IF(CC589="Aussen","Aussenlager",IF(CC589="-","Nicht im Lift",IF(BF589&gt;=1,"Lift",IF(BF589&lt;=0,"Aussenlager","teilweise")))))</f>
        <v>Lift</v>
      </c>
      <c r="BJ589" s="48" t="str">
        <f aca="false">IF(A589="","",IF(BS589=1,"Neu; ","")&amp;IF(AND(BS589=0,BN589&lt;0),"negativer Bestand (Export "&amp;BN589&amp;"); ","")&amp;IF(J589&lt;=0,"Kein Verbrauch; ","")&amp;IF(CL589&gt;0,"Lift "&amp;W589&amp;" lt. Liftbericht (Fach "&amp;X589&amp;" Stk); ",IF(BX589=1,"Gebinde geschätzt ("&amp;T589&amp;"); ",IF(BW589=1,"Lose – Tablare geschätzt; ","")))&amp;IF(H589&gt;AT589,"Überbestand "&amp;ROUND(H589-AT589,0)&amp;" Stk / CHF "&amp;ROUND((H589-AT589)*G589,0)&amp;"; ","")&amp;IF(AND(CE589=1,CF589&lt;CG589),"MAX &lt; MB+LG; ","")&amp;IF(AND(CK589&gt;0,CJ589*10&gt;CK589),"zu hoch für Tablar; ","")&amp;IF(AND(BS589=0,OR(CE589=1,AA589&lt;&gt;"",U589&lt;&gt;"",V589&lt;&gt;"",AB589&lt;&gt;"")),"manuell übersteuert; ","")&amp;IF(AND(BW589=0,R589=0),"Gebinde unbekannt / Stellmass fehlt; ","")&amp;IF(AND(BW589=0,N(V589)&lt;=0,N(Q589)&lt;=0),"Menge pro Gebinde fehlt (Ist = 1 Gebinde); ","")&amp;BR589)</f>
        <v/>
      </c>
      <c r="BK589" s="48"/>
      <c r="BL589" s="48"/>
      <c r="BM589" s="55"/>
      <c r="BN589" s="50" t="n">
        <v>0</v>
      </c>
      <c r="BO589" s="50" t="n">
        <v>8</v>
      </c>
      <c r="BP589" s="49" t="n">
        <v>8.15999999999988</v>
      </c>
      <c r="BQ589" s="50" t="n">
        <v>12</v>
      </c>
      <c r="BR589" s="48"/>
      <c r="BS589" s="53" t="n">
        <v>0</v>
      </c>
      <c r="BT589" s="53" t="n">
        <v>589</v>
      </c>
      <c r="BU589" s="48" t="str">
        <f aca="false">IF(U589&lt;&gt;"",UPPER(TRIM(U589)),IF(BX589=1,UPPER(VLOOKUP(T589,Parameter!$I$27:$K$29,2,0)),IF(P589="","LOSE",P589)))</f>
        <v>S33</v>
      </c>
      <c r="BV589" s="50" t="n">
        <f aca="false">IF(BU589="LOSE",1,IF(N(V589)&gt;0,V589,IF(BX589=1,MAX(1,N(VLOOKUP(T589,Parameter!$I$27:$K$29,3,0)),H589,N(N589)),IF(N(Q589)&gt;0,Q589,MAX(1,H589)))))</f>
        <v>27</v>
      </c>
      <c r="BW589" s="53" t="n">
        <f aca="false">IF(BU589="LOSE",1,0)</f>
        <v>0</v>
      </c>
      <c r="BX589" s="53" t="n">
        <f aca="false">IF(AND(U589="",OR(P589="",P589="LOSE"),T589&lt;&gt;"",N(S589)&lt;=0,ISNUMBER(MATCH(T589,Parameter!$I$27:$I$29,0))),1,0)</f>
        <v>0</v>
      </c>
      <c r="BY589" s="53" t="n">
        <f aca="false">IF(CL589&gt;0,INDEX(Parameter!$H$5:$H$7,W589)/INDEX(Parameter!$E$5:$E$7,W589),IF(AND(BW589=0,N(IFERROR(VLOOKUP(BU589,'Gebinde-Kategorie'!$A$5:$N$45,14,0),0))&gt;0),VLOOKUP(BU589,'Gebinde-Kategorie'!$A$5:$N$45,14,0)*10+Parameter!$M$23,Parameter!$M$24))</f>
        <v>155</v>
      </c>
      <c r="BZ589" s="48" t="str">
        <f aca="false">IF(AND(Parameter!$B$19="Ja",E589&lt;&gt;"",ISNUMBER(MATCH(E589,Parameter!$I$35:$I$52,0))),VLOOKUP(E589,Parameter!$I$35:$J$52,2,0),IFERROR(VLOOKUP(D589,Parameter!$A$35:$C$64,2,0),"Nein"))</f>
        <v>2+3</v>
      </c>
      <c r="CA589" s="52" t="n">
        <f aca="false">IF(BW589=0,0,IF(N(S589)&gt;0,S589,IFERROR(VLOOKUP(D589,Parameter!$A$35:$C$64,3,0)+0,0)))</f>
        <v>0</v>
      </c>
      <c r="CB589" s="48" t="n">
        <f aca="false">IF(AA589&lt;&gt;"",AA589,Z589)</f>
        <v>3</v>
      </c>
      <c r="CC589" s="48" t="str">
        <f aca="false">IF(OR(CB589=1,CB589=2,CB589=3),IF(Parameter!$E$27="Ja","LIFT",IF(CB589=1,"L1","L23")),IF(CB589="Aussen","Aussen","-"))</f>
        <v>LIFT</v>
      </c>
      <c r="CD589" s="59" t="n">
        <f aca="false">IF(N(AB589)&gt;0,AB589,0)</f>
        <v>0</v>
      </c>
      <c r="CE589" s="53" t="n">
        <f aca="false">IF(ISNUMBER(AE589),1,0)</f>
        <v>0</v>
      </c>
      <c r="CF589" s="50" t="n">
        <f aca="false">N(AE589)</f>
        <v>0</v>
      </c>
      <c r="CG589" s="50" t="n">
        <f aca="false">N(M589)+N(N589)</f>
        <v>11</v>
      </c>
      <c r="CH589" s="50" t="n">
        <f aca="false">ROUNDUP(H589/BV589,0)</f>
        <v>1</v>
      </c>
      <c r="CI589" s="50" t="n">
        <f aca="false">ROUNDUP(CF589/BV589,0)</f>
        <v>0</v>
      </c>
      <c r="CJ589" s="53" t="n">
        <f aca="false">IF(BW589=1,0,IFERROR(VLOOKUP(BU589,'Gebinde-Kategorie'!$A$5:$N$45,5,0)+0,0))</f>
        <v>8</v>
      </c>
      <c r="CK589" s="53" t="n">
        <f aca="false">IFERROR(IF(OR(CB589=1,CB589=2,CB589=3),N(INDEX(Parameter!$I$5:$I$7,CB589)),0),0)</f>
        <v>0</v>
      </c>
      <c r="CL589" s="52" t="n">
        <f aca="false">IF(AND(Parameter!$B$21="Ja",ISNUMBER(W589),N(X589)&gt;0),IFERROR(N(INDEX(Parameter!$L$5:$L$7,W589))*INDEX(Parameter!$E$5:$E$7,W589)*X589/SUMIFS($X$7:$X$1843,$W$7:$W$1843,W589),0),0)</f>
        <v>0</v>
      </c>
    </row>
    <row r="590" customFormat="false" ht="15" hidden="false" customHeight="false" outlineLevel="0" collapsed="false">
      <c r="A590" s="48" t="s">
        <v>1234</v>
      </c>
      <c r="B590" s="48" t="s">
        <v>635</v>
      </c>
      <c r="C590" s="48" t="s">
        <v>168</v>
      </c>
      <c r="D590" s="48" t="s">
        <v>188</v>
      </c>
      <c r="E590" s="48"/>
      <c r="F590" s="48" t="s">
        <v>222</v>
      </c>
      <c r="G590" s="49" t="n">
        <v>2.6</v>
      </c>
      <c r="H590" s="50" t="n">
        <f aca="false">MAX(0,IF(AND(Parameter!$B$21="Ja",ISNUMBER(Y590)),Y590,IF(Parameter!$B$20="Jahresanfang 2025 + Export",BO590+BN590,BN590)))</f>
        <v>70</v>
      </c>
      <c r="I590" s="50" t="n">
        <f aca="false">H590*G590</f>
        <v>182</v>
      </c>
      <c r="J590" s="50" t="n">
        <f aca="false">BQ590*Parameter!$B$18</f>
        <v>0</v>
      </c>
      <c r="K590" s="51" t="n">
        <v>68.5</v>
      </c>
      <c r="L590" s="52" t="n">
        <v>0</v>
      </c>
      <c r="M590" s="50" t="n">
        <v>0</v>
      </c>
      <c r="N590" s="50" t="n">
        <v>1</v>
      </c>
      <c r="O590" s="53" t="n">
        <v>28</v>
      </c>
      <c r="P590" s="48" t="s">
        <v>405</v>
      </c>
      <c r="Q590" s="50" t="n">
        <v>100</v>
      </c>
      <c r="R590" s="53" t="n">
        <f aca="false">IF(BW590=1,0,IFERROR(VLOOKUP(BU590,'Gebinde-Kategorie'!$A$5:$N$45,13,0)+0,0))</f>
        <v>280</v>
      </c>
      <c r="S590" s="54"/>
      <c r="T590" s="55"/>
      <c r="U590" s="55"/>
      <c r="V590" s="55"/>
      <c r="W590" s="48"/>
      <c r="X590" s="50"/>
      <c r="Y590" s="50"/>
      <c r="Z590" s="48" t="n">
        <f aca="false">IF(A590="","",IF(AND(Parameter!$B$21="Ja",ISNUMBER(W590)),W590,IF(BZ590="2+3",IF(ISNUMBER(SEARCH("grosser Artikel",BR590)),2,IFERROR(VLOOKUP(BU590,Parameter!$F$35:$G$64,2,0),2)),IF(OR(BZ590="Nein",BZ590=""),"-",BZ590))))</f>
        <v>3</v>
      </c>
      <c r="AA590" s="55"/>
      <c r="AB590" s="56"/>
      <c r="AC590" s="50" t="n">
        <f aca="false">AT590</f>
        <v>100</v>
      </c>
      <c r="AD590" s="50" t="n">
        <f aca="false">MAX(AT590,H590)</f>
        <v>100</v>
      </c>
      <c r="AE590" s="57"/>
      <c r="AF590" s="50" t="n">
        <f aca="false">IF(LEFT(Cockpit!$C$5,1)="A",H590,IF(CE590=1,CF590,IF(LEFT(Cockpit!$C$5,1)="B",AK590,MAX(AK590,H590))))</f>
        <v>70</v>
      </c>
      <c r="AG590" s="50" t="n">
        <f aca="false">IF(BW590=1,0,ROUNDUP(AF590/BV590,0))</f>
        <v>1</v>
      </c>
      <c r="AH590" s="52" t="n">
        <f aca="false">IF(CL590&gt;0,CL590*MAX(1,AF590/X590),IF(BW590=1,IF(AF590&lt;=0,0,CA590*MAX(1,IF(H590&gt;0,AF590/H590,1))),IF(R590&gt;0,AG590/R590,0))/MAX(0.1,N(Parameter!$M$21)))</f>
        <v>0.00357142857142857</v>
      </c>
      <c r="AI590" s="50" t="n">
        <f aca="false">AH590*BY590</f>
        <v>0.553571428571429</v>
      </c>
      <c r="AJ590" s="50" t="n">
        <f aca="false">AF590*G590</f>
        <v>182</v>
      </c>
      <c r="AK590" s="50" t="n">
        <f aca="false">ROUNDUP(MAX(J590/IF(CD590&gt;0,CD590,MAX(0.1,N(Cockpit!$C$6))),CG590)/BV590,0)*BV590</f>
        <v>100</v>
      </c>
      <c r="AL590" s="51" t="n">
        <f aca="false">IF(AI590&gt;0,J590/AI590,-1)</f>
        <v>0</v>
      </c>
      <c r="AM590" s="51" t="n">
        <f aca="false">IF(AND(OR(CC590="L1",CC590="L23",CC590="LIFT"),AI590&gt;0),SUMIFS($AI$7:$AI$1843,$CC$7:$CC$1843,CC590,$AL$7:$AL$1843,"&gt;"&amp;AL590)+SUMIFS($AI$7:$AI$1843,$CC$7:$CC$1843,CC590,$AL$7:$AL$1843,AL590,$BT$7:$BT$1843,"&lt;="&amp;BT590),"")</f>
        <v>28507.6581351793</v>
      </c>
      <c r="AN590" s="58" t="n">
        <f aca="false">IF(AM590="",0,MAX(0,MIN(1,(IF(CC590="L1",Parameter!$H$5,IF(CC590="L23",Parameter!$H$6+Parameter!$H$7,Parameter!$H$5+Parameter!$H$6+Parameter!$H$7))-(AM590-AI590))/AI590)))</f>
        <v>1</v>
      </c>
      <c r="AO590" s="50" t="n">
        <f aca="false">IF(LEFT(Cockpit!$I$5,1)="A",H590,IF(CE590=1,CF590,IF(LEFT(Cockpit!$I$5,1)="B",AT590,MAX(AT590,H590))))</f>
        <v>100</v>
      </c>
      <c r="AP590" s="50" t="n">
        <f aca="false">IF(BW590=1,0,ROUNDUP(AO590/BV590,0))</f>
        <v>1</v>
      </c>
      <c r="AQ590" s="52" t="n">
        <f aca="false">IF(CL590&gt;0,CL590*MAX(1,AO590/X590),IF(BW590=1,IF(AO590&lt;=0,0,CA590*MAX(1,IF(H590&gt;0,AO590/H590,1))),IF(R590&gt;0,AP590/R590,0))/MAX(0.1,N(Parameter!$M$21)))</f>
        <v>0.00357142857142857</v>
      </c>
      <c r="AR590" s="50" t="n">
        <f aca="false">AQ590*BY590</f>
        <v>0.553571428571429</v>
      </c>
      <c r="AS590" s="50" t="n">
        <f aca="false">AO590*G590</f>
        <v>260</v>
      </c>
      <c r="AT590" s="50" t="n">
        <f aca="false">ROUNDUP(MAX(J590/IF(CD590&gt;0,CD590,MAX(0.1,N(Cockpit!$I$6))),CG590)/BV590,0)*BV590</f>
        <v>100</v>
      </c>
      <c r="AU590" s="51" t="n">
        <f aca="false">IF(AR590&gt;0,J590/AR590,-1)</f>
        <v>0</v>
      </c>
      <c r="AV590" s="51" t="n">
        <f aca="false">IF(AND(OR(CC590="L1",CC590="L23",CC590="LIFT"),AR590&gt;0),SUMIFS($AR$7:$AR$1843,$CC$7:$CC$1843,CC590,$AU$7:$AU$1843,"&gt;"&amp;AU590)+SUMIFS($AR$7:$AR$1843,$CC$7:$CC$1843,CC590,$AU$7:$AU$1843,AU590,$BT$7:$BT$1843,"&lt;="&amp;BT590),"")</f>
        <v>39820.5636524493</v>
      </c>
      <c r="AW590" s="58" t="n">
        <f aca="false">IF(AV590="",0,MAX(0,MIN(1,(IF(CC590="L1",Parameter!$H$5,IF(CC590="L23",Parameter!$H$6+Parameter!$H$7,Parameter!$H$5+Parameter!$H$6+Parameter!$H$7))-(AV590-AR590))/AR590)))</f>
        <v>0</v>
      </c>
      <c r="AX590" s="50" t="n">
        <f aca="false">IF(LEFT(Cockpit!$O$5,1)="A",H590,IF(CE590=1,CF590,IF(LEFT(Cockpit!$O$5,1)="B",BC590,MAX(BC590,H590))))</f>
        <v>100</v>
      </c>
      <c r="AY590" s="50" t="n">
        <f aca="false">IF(BW590=1,0,ROUNDUP(AX590/BV590,0))</f>
        <v>1</v>
      </c>
      <c r="AZ590" s="52" t="n">
        <f aca="false">IF(CL590&gt;0,CL590*MAX(1,AX590/X590),IF(BW590=1,IF(AX590&lt;=0,0,CA590*MAX(1,IF(H590&gt;0,AX590/H590,1))),IF(R590&gt;0,AY590/R590,0))/MAX(0.1,N(Parameter!$M$21)))</f>
        <v>0.00357142857142857</v>
      </c>
      <c r="BA590" s="50" t="n">
        <f aca="false">AZ590*BY590</f>
        <v>0.553571428571429</v>
      </c>
      <c r="BB590" s="50" t="n">
        <f aca="false">AX590*G590</f>
        <v>260</v>
      </c>
      <c r="BC590" s="50" t="n">
        <f aca="false">ROUNDUP(MAX(J590/IF(CD590&gt;0,CD590,MAX(0.1,N(Cockpit!$O$6))),CG590)/BV590,0)*BV590</f>
        <v>100</v>
      </c>
      <c r="BD590" s="51" t="n">
        <f aca="false">IF(BA590&gt;0,J590/BA590,-1)</f>
        <v>0</v>
      </c>
      <c r="BE590" s="51" t="n">
        <f aca="false">IF(AND(OR(CC590="L1",CC590="L23",CC590="LIFT"),BA590&gt;0),SUMIFS($BA$7:$BA$1843,$CC$7:$CC$1843,CC590,$BD$7:$BD$1843,"&gt;"&amp;BD590)+SUMIFS($BA$7:$BA$1843,$CC$7:$CC$1843,CC590,$BD$7:$BD$1843,BD590,$BT$7:$BT$1843,"&lt;="&amp;BT590),"")</f>
        <v>36495.5756943151</v>
      </c>
      <c r="BF590" s="58" t="n">
        <f aca="false">IF(BE590="",0,MAX(0,MIN(1,(IF(CC590="L1",Parameter!$H$5,IF(CC590="L23",Parameter!$H$6+Parameter!$H$7,Parameter!$H$5+Parameter!$H$6+Parameter!$H$7))-(BE590-BA590))/BA590)))</f>
        <v>0</v>
      </c>
      <c r="BG590" s="48" t="str">
        <f aca="false">IF(AI590&lt;=0,"",IF(CC590="Aussen","Aussenlager",IF(CC590="-","Nicht im Lift",IF(AN590&gt;=1,"Lift",IF(AN590&lt;=0,"Aussenlager","teilweise")))))</f>
        <v>Lift</v>
      </c>
      <c r="BH590" s="48" t="str">
        <f aca="false">IF(AR590&lt;=0,"",IF(CC590="Aussen","Aussenlager",IF(CC590="-","Nicht im Lift",IF(AW590&gt;=1,"Lift",IF(AW590&lt;=0,"Aussenlager","teilweise")))))</f>
        <v>Aussenlager</v>
      </c>
      <c r="BI590" s="48" t="str">
        <f aca="false">IF(BA590&lt;=0,"",IF(CC590="Aussen","Aussenlager",IF(CC590="-","Nicht im Lift",IF(BF590&gt;=1,"Lift",IF(BF590&lt;=0,"Aussenlager","teilweise")))))</f>
        <v>Aussenlager</v>
      </c>
      <c r="BJ590" s="48" t="str">
        <f aca="false">IF(A590="","",IF(BS590=1,"Neu; ","")&amp;IF(AND(BS590=0,BN590&lt;0),"negativer Bestand (Export "&amp;BN590&amp;"); ","")&amp;IF(J590&lt;=0,"Kein Verbrauch; ","")&amp;IF(CL590&gt;0,"Lift "&amp;W590&amp;" lt. Liftbericht (Fach "&amp;X590&amp;" Stk); ",IF(BX590=1,"Gebinde geschätzt ("&amp;T590&amp;"); ",IF(BW590=1,"Lose – Tablare geschätzt; ","")))&amp;IF(H590&gt;AT590,"Überbestand "&amp;ROUND(H590-AT590,0)&amp;" Stk / CHF "&amp;ROUND((H590-AT590)*G590,0)&amp;"; ","")&amp;IF(AND(CE590=1,CF590&lt;CG590),"MAX &lt; MB+LG; ","")&amp;IF(AND(CK590&gt;0,CJ590*10&gt;CK590),"zu hoch für Tablar; ","")&amp;IF(AND(BS590=0,OR(CE590=1,AA590&lt;&gt;"",U590&lt;&gt;"",V590&lt;&gt;"",AB590&lt;&gt;"")),"manuell übersteuert; ","")&amp;IF(AND(BW590=0,R590=0),"Gebinde unbekannt / Stellmass fehlt; ","")&amp;IF(AND(BW590=0,N(V590)&lt;=0,N(Q590)&lt;=0),"Menge pro Gebinde fehlt (Ist = 1 Gebinde); ","")&amp;BR590)</f>
        <v>Kein Verbrauch; </v>
      </c>
      <c r="BK590" s="48"/>
      <c r="BL590" s="48"/>
      <c r="BM590" s="55"/>
      <c r="BN590" s="50" t="n">
        <v>3</v>
      </c>
      <c r="BO590" s="50" t="n">
        <v>67</v>
      </c>
      <c r="BP590" s="49" t="n">
        <v>7.8</v>
      </c>
      <c r="BQ590" s="50" t="n">
        <v>0</v>
      </c>
      <c r="BR590" s="48"/>
      <c r="BS590" s="53" t="n">
        <v>0</v>
      </c>
      <c r="BT590" s="53" t="n">
        <v>590</v>
      </c>
      <c r="BU590" s="48" t="str">
        <f aca="false">IF(U590&lt;&gt;"",UPPER(TRIM(U590)),IF(BX590=1,UPPER(VLOOKUP(T590,Parameter!$I$27:$K$29,2,0)),IF(P590="","LOSE",P590)))</f>
        <v>S21</v>
      </c>
      <c r="BV590" s="50" t="n">
        <f aca="false">IF(BU590="LOSE",1,IF(N(V590)&gt;0,V590,IF(BX590=1,MAX(1,N(VLOOKUP(T590,Parameter!$I$27:$K$29,3,0)),H590,N(N590)),IF(N(Q590)&gt;0,Q590,MAX(1,H590)))))</f>
        <v>100</v>
      </c>
      <c r="BW590" s="53" t="n">
        <f aca="false">IF(BU590="LOSE",1,0)</f>
        <v>0</v>
      </c>
      <c r="BX590" s="53" t="n">
        <f aca="false">IF(AND(U590="",OR(P590="",P590="LOSE"),T590&lt;&gt;"",N(S590)&lt;=0,ISNUMBER(MATCH(T590,Parameter!$I$27:$I$29,0))),1,0)</f>
        <v>0</v>
      </c>
      <c r="BY590" s="53" t="n">
        <f aca="false">IF(CL590&gt;0,INDEX(Parameter!$H$5:$H$7,W590)/INDEX(Parameter!$E$5:$E$7,W590),IF(AND(BW590=0,N(IFERROR(VLOOKUP(BU590,'Gebinde-Kategorie'!$A$5:$N$45,14,0),0))&gt;0),VLOOKUP(BU590,'Gebinde-Kategorie'!$A$5:$N$45,14,0)*10+Parameter!$M$23,Parameter!$M$24))</f>
        <v>155</v>
      </c>
      <c r="BZ590" s="48" t="str">
        <f aca="false">IF(AND(Parameter!$B$19="Ja",E590&lt;&gt;"",ISNUMBER(MATCH(E590,Parameter!$I$35:$I$52,0))),VLOOKUP(E590,Parameter!$I$35:$J$52,2,0),IFERROR(VLOOKUP(D590,Parameter!$A$35:$C$64,2,0),"Nein"))</f>
        <v>2+3</v>
      </c>
      <c r="CA590" s="52" t="n">
        <f aca="false">IF(BW590=0,0,IF(N(S590)&gt;0,S590,IFERROR(VLOOKUP(D590,Parameter!$A$35:$C$64,3,0)+0,0)))</f>
        <v>0</v>
      </c>
      <c r="CB590" s="48" t="n">
        <f aca="false">IF(AA590&lt;&gt;"",AA590,Z590)</f>
        <v>3</v>
      </c>
      <c r="CC590" s="48" t="str">
        <f aca="false">IF(OR(CB590=1,CB590=2,CB590=3),IF(Parameter!$E$27="Ja","LIFT",IF(CB590=1,"L1","L23")),IF(CB590="Aussen","Aussen","-"))</f>
        <v>LIFT</v>
      </c>
      <c r="CD590" s="59" t="n">
        <f aca="false">IF(N(AB590)&gt;0,AB590,0)</f>
        <v>0</v>
      </c>
      <c r="CE590" s="53" t="n">
        <f aca="false">IF(ISNUMBER(AE590),1,0)</f>
        <v>0</v>
      </c>
      <c r="CF590" s="50" t="n">
        <f aca="false">N(AE590)</f>
        <v>0</v>
      </c>
      <c r="CG590" s="50" t="n">
        <f aca="false">N(M590)+N(N590)</f>
        <v>1</v>
      </c>
      <c r="CH590" s="50" t="n">
        <f aca="false">ROUNDUP(H590/BV590,0)</f>
        <v>1</v>
      </c>
      <c r="CI590" s="50" t="n">
        <f aca="false">ROUNDUP(CF590/BV590,0)</f>
        <v>0</v>
      </c>
      <c r="CJ590" s="53" t="n">
        <f aca="false">IF(BW590=1,0,IFERROR(VLOOKUP(BU590,'Gebinde-Kategorie'!$A$5:$N$45,5,0)+0,0))</f>
        <v>8</v>
      </c>
      <c r="CK590" s="53" t="n">
        <f aca="false">IFERROR(IF(OR(CB590=1,CB590=2,CB590=3),N(INDEX(Parameter!$I$5:$I$7,CB590)),0),0)</f>
        <v>0</v>
      </c>
      <c r="CL590" s="52" t="n">
        <f aca="false">IF(AND(Parameter!$B$21="Ja",ISNUMBER(W590),N(X590)&gt;0),IFERROR(N(INDEX(Parameter!$L$5:$L$7,W590))*INDEX(Parameter!$E$5:$E$7,W590)*X590/SUMIFS($X$7:$X$1843,$W$7:$W$1843,W590),0),0)</f>
        <v>0</v>
      </c>
    </row>
    <row r="591" customFormat="false" ht="15" hidden="false" customHeight="false" outlineLevel="0" collapsed="false">
      <c r="A591" s="48" t="s">
        <v>1235</v>
      </c>
      <c r="B591" s="48" t="s">
        <v>593</v>
      </c>
      <c r="C591" s="48" t="s">
        <v>168</v>
      </c>
      <c r="D591" s="48" t="s">
        <v>188</v>
      </c>
      <c r="E591" s="48"/>
      <c r="F591" s="48" t="s">
        <v>222</v>
      </c>
      <c r="G591" s="49" t="n">
        <v>2.6</v>
      </c>
      <c r="H591" s="50" t="n">
        <f aca="false">MAX(0,IF(AND(Parameter!$B$21="Ja",ISNUMBER(Y591)),Y591,IF(Parameter!$B$20="Jahresanfang 2025 + Export",BO591+BN591,BN591)))</f>
        <v>3</v>
      </c>
      <c r="I591" s="50" t="n">
        <f aca="false">H591*G591</f>
        <v>7.8</v>
      </c>
      <c r="J591" s="50" t="n">
        <f aca="false">BQ591*Parameter!$B$18</f>
        <v>2</v>
      </c>
      <c r="K591" s="51" t="n">
        <v>9</v>
      </c>
      <c r="L591" s="52" t="n">
        <v>0.222222222222222</v>
      </c>
      <c r="M591" s="50" t="n">
        <v>0</v>
      </c>
      <c r="N591" s="50" t="n">
        <v>10</v>
      </c>
      <c r="O591" s="53" t="n">
        <v>14</v>
      </c>
      <c r="P591" s="48" t="s">
        <v>405</v>
      </c>
      <c r="Q591" s="50" t="n">
        <v>20</v>
      </c>
      <c r="R591" s="53" t="n">
        <f aca="false">IF(BW591=1,0,IFERROR(VLOOKUP(BU591,'Gebinde-Kategorie'!$A$5:$N$45,13,0)+0,0))</f>
        <v>280</v>
      </c>
      <c r="S591" s="54"/>
      <c r="T591" s="55"/>
      <c r="U591" s="55"/>
      <c r="V591" s="55"/>
      <c r="W591" s="48"/>
      <c r="X591" s="50"/>
      <c r="Y591" s="50"/>
      <c r="Z591" s="48" t="n">
        <f aca="false">IF(A591="","",IF(AND(Parameter!$B$21="Ja",ISNUMBER(W591)),W591,IF(BZ591="2+3",IF(ISNUMBER(SEARCH("grosser Artikel",BR591)),2,IFERROR(VLOOKUP(BU591,Parameter!$F$35:$G$64,2,0),2)),IF(OR(BZ591="Nein",BZ591=""),"-",BZ591))))</f>
        <v>3</v>
      </c>
      <c r="AA591" s="55"/>
      <c r="AB591" s="56"/>
      <c r="AC591" s="50" t="n">
        <f aca="false">AT591</f>
        <v>20</v>
      </c>
      <c r="AD591" s="50" t="n">
        <f aca="false">MAX(AT591,H591)</f>
        <v>20</v>
      </c>
      <c r="AE591" s="57"/>
      <c r="AF591" s="50" t="n">
        <f aca="false">IF(LEFT(Cockpit!$C$5,1)="A",H591,IF(CE591=1,CF591,IF(LEFT(Cockpit!$C$5,1)="B",AK591,MAX(AK591,H591))))</f>
        <v>3</v>
      </c>
      <c r="AG591" s="50" t="n">
        <f aca="false">IF(BW591=1,0,ROUNDUP(AF591/BV591,0))</f>
        <v>1</v>
      </c>
      <c r="AH591" s="52" t="n">
        <f aca="false">IF(CL591&gt;0,CL591*MAX(1,AF591/X591),IF(BW591=1,IF(AF591&lt;=0,0,CA591*MAX(1,IF(H591&gt;0,AF591/H591,1))),IF(R591&gt;0,AG591/R591,0))/MAX(0.1,N(Parameter!$M$21)))</f>
        <v>0.00357142857142857</v>
      </c>
      <c r="AI591" s="50" t="n">
        <f aca="false">AH591*BY591</f>
        <v>0.553571428571429</v>
      </c>
      <c r="AJ591" s="50" t="n">
        <f aca="false">AF591*G591</f>
        <v>7.8</v>
      </c>
      <c r="AK591" s="50" t="n">
        <f aca="false">ROUNDUP(MAX(J591/IF(CD591&gt;0,CD591,MAX(0.1,N(Cockpit!$C$6))),CG591)/BV591,0)*BV591</f>
        <v>20</v>
      </c>
      <c r="AL591" s="51" t="n">
        <f aca="false">IF(AI591&gt;0,J591/AI591,-1)</f>
        <v>3.61290322580645</v>
      </c>
      <c r="AM591" s="51" t="n">
        <f aca="false">IF(AND(OR(CC591="L1",CC591="L23",CC591="LIFT"),AI591&gt;0),SUMIFS($AI$7:$AI$1843,$CC$7:$CC$1843,CC591,$AL$7:$AL$1843,"&gt;"&amp;AL591)+SUMIFS($AI$7:$AI$1843,$CC$7:$CC$1843,CC591,$AL$7:$AL$1843,AL591,$BT$7:$BT$1843,"&lt;="&amp;BT591),"")</f>
        <v>4826.76694139194</v>
      </c>
      <c r="AN591" s="58" t="n">
        <f aca="false">IF(AM591="",0,MAX(0,MIN(1,(IF(CC591="L1",Parameter!$H$5,IF(CC591="L23",Parameter!$H$6+Parameter!$H$7,Parameter!$H$5+Parameter!$H$6+Parameter!$H$7))-(AM591-AI591))/AI591)))</f>
        <v>1</v>
      </c>
      <c r="AO591" s="50" t="n">
        <f aca="false">IF(LEFT(Cockpit!$I$5,1)="A",H591,IF(CE591=1,CF591,IF(LEFT(Cockpit!$I$5,1)="B",AT591,MAX(AT591,H591))))</f>
        <v>20</v>
      </c>
      <c r="AP591" s="50" t="n">
        <f aca="false">IF(BW591=1,0,ROUNDUP(AO591/BV591,0))</f>
        <v>1</v>
      </c>
      <c r="AQ591" s="52" t="n">
        <f aca="false">IF(CL591&gt;0,CL591*MAX(1,AO591/X591),IF(BW591=1,IF(AO591&lt;=0,0,CA591*MAX(1,IF(H591&gt;0,AO591/H591,1))),IF(R591&gt;0,AP591/R591,0))/MAX(0.1,N(Parameter!$M$21)))</f>
        <v>0.00357142857142857</v>
      </c>
      <c r="AR591" s="50" t="n">
        <f aca="false">AQ591*BY591</f>
        <v>0.553571428571429</v>
      </c>
      <c r="AS591" s="50" t="n">
        <f aca="false">AO591*G591</f>
        <v>52</v>
      </c>
      <c r="AT591" s="50" t="n">
        <f aca="false">ROUNDUP(MAX(J591/IF(CD591&gt;0,CD591,MAX(0.1,N(Cockpit!$I$6))),CG591)/BV591,0)*BV591</f>
        <v>20</v>
      </c>
      <c r="AU591" s="51" t="n">
        <f aca="false">IF(AR591&gt;0,J591/AR591,-1)</f>
        <v>3.61290322580645</v>
      </c>
      <c r="AV591" s="51" t="n">
        <f aca="false">IF(AND(OR(CC591="L1",CC591="L23",CC591="LIFT"),AR591&gt;0),SUMIFS($AR$7:$AR$1843,$CC$7:$CC$1843,CC591,$AU$7:$AU$1843,"&gt;"&amp;AU591)+SUMIFS($AR$7:$AR$1843,$CC$7:$CC$1843,CC591,$AU$7:$AU$1843,AU591,$BT$7:$BT$1843,"&lt;="&amp;BT591),"")</f>
        <v>5955.38553113553</v>
      </c>
      <c r="AW591" s="58" t="n">
        <f aca="false">IF(AV591="",0,MAX(0,MIN(1,(IF(CC591="L1",Parameter!$H$5,IF(CC591="L23",Parameter!$H$6+Parameter!$H$7,Parameter!$H$5+Parameter!$H$6+Parameter!$H$7))-(AV591-AR591))/AR591)))</f>
        <v>1</v>
      </c>
      <c r="AX591" s="50" t="n">
        <f aca="false">IF(LEFT(Cockpit!$O$5,1)="A",H591,IF(CE591=1,CF591,IF(LEFT(Cockpit!$O$5,1)="B",BC591,MAX(BC591,H591))))</f>
        <v>20</v>
      </c>
      <c r="AY591" s="50" t="n">
        <f aca="false">IF(BW591=1,0,ROUNDUP(AX591/BV591,0))</f>
        <v>1</v>
      </c>
      <c r="AZ591" s="52" t="n">
        <f aca="false">IF(CL591&gt;0,CL591*MAX(1,AX591/X591),IF(BW591=1,IF(AX591&lt;=0,0,CA591*MAX(1,IF(H591&gt;0,AX591/H591,1))),IF(R591&gt;0,AY591/R591,0))/MAX(0.1,N(Parameter!$M$21)))</f>
        <v>0.00357142857142857</v>
      </c>
      <c r="BA591" s="50" t="n">
        <f aca="false">AZ591*BY591</f>
        <v>0.553571428571429</v>
      </c>
      <c r="BB591" s="50" t="n">
        <f aca="false">AX591*G591</f>
        <v>52</v>
      </c>
      <c r="BC591" s="50" t="n">
        <f aca="false">ROUNDUP(MAX(J591/IF(CD591&gt;0,CD591,MAX(0.1,N(Cockpit!$O$6))),CG591)/BV591,0)*BV591</f>
        <v>20</v>
      </c>
      <c r="BD591" s="51" t="n">
        <f aca="false">IF(BA591&gt;0,J591/BA591,-1)</f>
        <v>3.61290322580645</v>
      </c>
      <c r="BE591" s="51" t="n">
        <f aca="false">IF(AND(OR(CC591="L1",CC591="L23",CC591="LIFT"),BA591&gt;0),SUMIFS($BA$7:$BA$1843,$CC$7:$CC$1843,CC591,$BD$7:$BD$1843,"&gt;"&amp;BD591)+SUMIFS($BA$7:$BA$1843,$CC$7:$CC$1843,CC591,$BD$7:$BD$1843,BD591,$BT$7:$BT$1843,"&lt;="&amp;BT591),"")</f>
        <v>5856.97206959707</v>
      </c>
      <c r="BF591" s="58" t="n">
        <f aca="false">IF(BE591="",0,MAX(0,MIN(1,(IF(CC591="L1",Parameter!$H$5,IF(CC591="L23",Parameter!$H$6+Parameter!$H$7,Parameter!$H$5+Parameter!$H$6+Parameter!$H$7))-(BE591-BA591))/BA591)))</f>
        <v>1</v>
      </c>
      <c r="BG591" s="48" t="str">
        <f aca="false">IF(AI591&lt;=0,"",IF(CC591="Aussen","Aussenlager",IF(CC591="-","Nicht im Lift",IF(AN591&gt;=1,"Lift",IF(AN591&lt;=0,"Aussenlager","teilweise")))))</f>
        <v>Lift</v>
      </c>
      <c r="BH591" s="48" t="str">
        <f aca="false">IF(AR591&lt;=0,"",IF(CC591="Aussen","Aussenlager",IF(CC591="-","Nicht im Lift",IF(AW591&gt;=1,"Lift",IF(AW591&lt;=0,"Aussenlager","teilweise")))))</f>
        <v>Lift</v>
      </c>
      <c r="BI591" s="48" t="str">
        <f aca="false">IF(BA591&lt;=0,"",IF(CC591="Aussen","Aussenlager",IF(CC591="-","Nicht im Lift",IF(BF591&gt;=1,"Lift",IF(BF591&lt;=0,"Aussenlager","teilweise")))))</f>
        <v>Lift</v>
      </c>
      <c r="BJ591" s="48" t="str">
        <f aca="false">IF(A591="","",IF(BS591=1,"Neu; ","")&amp;IF(AND(BS591=0,BN591&lt;0),"negativer Bestand (Export "&amp;BN591&amp;"); ","")&amp;IF(J591&lt;=0,"Kein Verbrauch; ","")&amp;IF(CL591&gt;0,"Lift "&amp;W591&amp;" lt. Liftbericht (Fach "&amp;X591&amp;" Stk); ",IF(BX591=1,"Gebinde geschätzt ("&amp;T591&amp;"); ",IF(BW591=1,"Lose – Tablare geschätzt; ","")))&amp;IF(H591&gt;AT591,"Überbestand "&amp;ROUND(H591-AT591,0)&amp;" Stk / CHF "&amp;ROUND((H591-AT591)*G591,0)&amp;"; ","")&amp;IF(AND(CE591=1,CF591&lt;CG591),"MAX &lt; MB+LG; ","")&amp;IF(AND(CK591&gt;0,CJ591*10&gt;CK591),"zu hoch für Tablar; ","")&amp;IF(AND(BS591=0,OR(CE591=1,AA591&lt;&gt;"",U591&lt;&gt;"",V591&lt;&gt;"",AB591&lt;&gt;"")),"manuell übersteuert; ","")&amp;IF(AND(BW591=0,R591=0),"Gebinde unbekannt / Stellmass fehlt; ","")&amp;IF(AND(BW591=0,N(V591)&lt;=0,N(Q591)&lt;=0),"Menge pro Gebinde fehlt (Ist = 1 Gebinde); ","")&amp;BR591)</f>
        <v/>
      </c>
      <c r="BK591" s="48"/>
      <c r="BL591" s="48"/>
      <c r="BM591" s="55"/>
      <c r="BN591" s="50" t="n">
        <v>3</v>
      </c>
      <c r="BO591" s="50" t="n">
        <v>0</v>
      </c>
      <c r="BP591" s="49" t="n">
        <v>7.8</v>
      </c>
      <c r="BQ591" s="50" t="n">
        <v>2</v>
      </c>
      <c r="BR591" s="48"/>
      <c r="BS591" s="53" t="n">
        <v>0</v>
      </c>
      <c r="BT591" s="53" t="n">
        <v>591</v>
      </c>
      <c r="BU591" s="48" t="str">
        <f aca="false">IF(U591&lt;&gt;"",UPPER(TRIM(U591)),IF(BX591=1,UPPER(VLOOKUP(T591,Parameter!$I$27:$K$29,2,0)),IF(P591="","LOSE",P591)))</f>
        <v>S21</v>
      </c>
      <c r="BV591" s="50" t="n">
        <f aca="false">IF(BU591="LOSE",1,IF(N(V591)&gt;0,V591,IF(BX591=1,MAX(1,N(VLOOKUP(T591,Parameter!$I$27:$K$29,3,0)),H591,N(N591)),IF(N(Q591)&gt;0,Q591,MAX(1,H591)))))</f>
        <v>20</v>
      </c>
      <c r="BW591" s="53" t="n">
        <f aca="false">IF(BU591="LOSE",1,0)</f>
        <v>0</v>
      </c>
      <c r="BX591" s="53" t="n">
        <f aca="false">IF(AND(U591="",OR(P591="",P591="LOSE"),T591&lt;&gt;"",N(S591)&lt;=0,ISNUMBER(MATCH(T591,Parameter!$I$27:$I$29,0))),1,0)</f>
        <v>0</v>
      </c>
      <c r="BY591" s="53" t="n">
        <f aca="false">IF(CL591&gt;0,INDEX(Parameter!$H$5:$H$7,W591)/INDEX(Parameter!$E$5:$E$7,W591),IF(AND(BW591=0,N(IFERROR(VLOOKUP(BU591,'Gebinde-Kategorie'!$A$5:$N$45,14,0),0))&gt;0),VLOOKUP(BU591,'Gebinde-Kategorie'!$A$5:$N$45,14,0)*10+Parameter!$M$23,Parameter!$M$24))</f>
        <v>155</v>
      </c>
      <c r="BZ591" s="48" t="str">
        <f aca="false">IF(AND(Parameter!$B$19="Ja",E591&lt;&gt;"",ISNUMBER(MATCH(E591,Parameter!$I$35:$I$52,0))),VLOOKUP(E591,Parameter!$I$35:$J$52,2,0),IFERROR(VLOOKUP(D591,Parameter!$A$35:$C$64,2,0),"Nein"))</f>
        <v>2+3</v>
      </c>
      <c r="CA591" s="52" t="n">
        <f aca="false">IF(BW591=0,0,IF(N(S591)&gt;0,S591,IFERROR(VLOOKUP(D591,Parameter!$A$35:$C$64,3,0)+0,0)))</f>
        <v>0</v>
      </c>
      <c r="CB591" s="48" t="n">
        <f aca="false">IF(AA591&lt;&gt;"",AA591,Z591)</f>
        <v>3</v>
      </c>
      <c r="CC591" s="48" t="str">
        <f aca="false">IF(OR(CB591=1,CB591=2,CB591=3),IF(Parameter!$E$27="Ja","LIFT",IF(CB591=1,"L1","L23")),IF(CB591="Aussen","Aussen","-"))</f>
        <v>LIFT</v>
      </c>
      <c r="CD591" s="59" t="n">
        <f aca="false">IF(N(AB591)&gt;0,AB591,0)</f>
        <v>0</v>
      </c>
      <c r="CE591" s="53" t="n">
        <f aca="false">IF(ISNUMBER(AE591),1,0)</f>
        <v>0</v>
      </c>
      <c r="CF591" s="50" t="n">
        <f aca="false">N(AE591)</f>
        <v>0</v>
      </c>
      <c r="CG591" s="50" t="n">
        <f aca="false">N(M591)+N(N591)</f>
        <v>10</v>
      </c>
      <c r="CH591" s="50" t="n">
        <f aca="false">ROUNDUP(H591/BV591,0)</f>
        <v>1</v>
      </c>
      <c r="CI591" s="50" t="n">
        <f aca="false">ROUNDUP(CF591/BV591,0)</f>
        <v>0</v>
      </c>
      <c r="CJ591" s="53" t="n">
        <f aca="false">IF(BW591=1,0,IFERROR(VLOOKUP(BU591,'Gebinde-Kategorie'!$A$5:$N$45,5,0)+0,0))</f>
        <v>8</v>
      </c>
      <c r="CK591" s="53" t="n">
        <f aca="false">IFERROR(IF(OR(CB591=1,CB591=2,CB591=3),N(INDEX(Parameter!$I$5:$I$7,CB591)),0),0)</f>
        <v>0</v>
      </c>
      <c r="CL591" s="52" t="n">
        <f aca="false">IF(AND(Parameter!$B$21="Ja",ISNUMBER(W591),N(X591)&gt;0),IFERROR(N(INDEX(Parameter!$L$5:$L$7,W591))*INDEX(Parameter!$E$5:$E$7,W591)*X591/SUMIFS($X$7:$X$1843,$W$7:$W$1843,W591),0),0)</f>
        <v>0</v>
      </c>
    </row>
    <row r="592" customFormat="false" ht="15" hidden="false" customHeight="false" outlineLevel="0" collapsed="false">
      <c r="A592" s="48" t="s">
        <v>1236</v>
      </c>
      <c r="B592" s="48" t="s">
        <v>1237</v>
      </c>
      <c r="C592" s="48" t="s">
        <v>168</v>
      </c>
      <c r="D592" s="48" t="s">
        <v>188</v>
      </c>
      <c r="E592" s="48"/>
      <c r="F592" s="48" t="s">
        <v>222</v>
      </c>
      <c r="G592" s="49" t="n">
        <v>7.76</v>
      </c>
      <c r="H592" s="50" t="n">
        <f aca="false">MAX(0,IF(AND(Parameter!$B$21="Ja",ISNUMBER(Y592)),Y592,IF(Parameter!$B$20="Jahresanfang 2025 + Export",BO592+BN592,BN592)))</f>
        <v>3</v>
      </c>
      <c r="I592" s="50" t="n">
        <f aca="false">H592*G592</f>
        <v>23.28</v>
      </c>
      <c r="J592" s="50" t="n">
        <f aca="false">BQ592*Parameter!$B$18</f>
        <v>0</v>
      </c>
      <c r="K592" s="51" t="n">
        <v>2.5</v>
      </c>
      <c r="L592" s="52" t="n">
        <v>0</v>
      </c>
      <c r="M592" s="50" t="n">
        <v>0</v>
      </c>
      <c r="N592" s="50" t="n">
        <v>1</v>
      </c>
      <c r="O592" s="53" t="n">
        <v>14</v>
      </c>
      <c r="P592" s="48" t="s">
        <v>480</v>
      </c>
      <c r="Q592" s="50" t="n">
        <v>30</v>
      </c>
      <c r="R592" s="53" t="n">
        <f aca="false">IF(BW592=1,0,IFERROR(VLOOKUP(BU592,'Gebinde-Kategorie'!$A$5:$N$45,13,0)+0,0))</f>
        <v>52</v>
      </c>
      <c r="S592" s="54"/>
      <c r="T592" s="55"/>
      <c r="U592" s="55"/>
      <c r="V592" s="55"/>
      <c r="W592" s="48"/>
      <c r="X592" s="50"/>
      <c r="Y592" s="50"/>
      <c r="Z592" s="48" t="n">
        <f aca="false">IF(A592="","",IF(AND(Parameter!$B$21="Ja",ISNUMBER(W592)),W592,IF(BZ592="2+3",IF(ISNUMBER(SEARCH("grosser Artikel",BR592)),2,IFERROR(VLOOKUP(BU592,Parameter!$F$35:$G$64,2,0),2)),IF(OR(BZ592="Nein",BZ592=""),"-",BZ592))))</f>
        <v>3</v>
      </c>
      <c r="AA592" s="55"/>
      <c r="AB592" s="56"/>
      <c r="AC592" s="50" t="n">
        <f aca="false">AT592</f>
        <v>30</v>
      </c>
      <c r="AD592" s="50" t="n">
        <f aca="false">MAX(AT592,H592)</f>
        <v>30</v>
      </c>
      <c r="AE592" s="57"/>
      <c r="AF592" s="50" t="n">
        <f aca="false">IF(LEFT(Cockpit!$C$5,1)="A",H592,IF(CE592=1,CF592,IF(LEFT(Cockpit!$C$5,1)="B",AK592,MAX(AK592,H592))))</f>
        <v>3</v>
      </c>
      <c r="AG592" s="50" t="n">
        <f aca="false">IF(BW592=1,0,ROUNDUP(AF592/BV592,0))</f>
        <v>1</v>
      </c>
      <c r="AH592" s="52" t="n">
        <f aca="false">IF(CL592&gt;0,CL592*MAX(1,AF592/X592),IF(BW592=1,IF(AF592&lt;=0,0,CA592*MAX(1,IF(H592&gt;0,AF592/H592,1))),IF(R592&gt;0,AG592/R592,0))/MAX(0.1,N(Parameter!$M$21)))</f>
        <v>0.0192307692307692</v>
      </c>
      <c r="AI592" s="50" t="n">
        <f aca="false">AH592*BY592</f>
        <v>2.98076923076923</v>
      </c>
      <c r="AJ592" s="50" t="n">
        <f aca="false">AF592*G592</f>
        <v>23.28</v>
      </c>
      <c r="AK592" s="50" t="n">
        <f aca="false">ROUNDUP(MAX(J592/IF(CD592&gt;0,CD592,MAX(0.1,N(Cockpit!$C$6))),CG592)/BV592,0)*BV592</f>
        <v>30</v>
      </c>
      <c r="AL592" s="51" t="n">
        <f aca="false">IF(AI592&gt;0,J592/AI592,-1)</f>
        <v>0</v>
      </c>
      <c r="AM592" s="51" t="n">
        <f aca="false">IF(AND(OR(CC592="L1",CC592="L23",CC592="LIFT"),AI592&gt;0),SUMIFS($AI$7:$AI$1843,$CC$7:$CC$1843,CC592,$AL$7:$AL$1843,"&gt;"&amp;AL592)+SUMIFS($AI$7:$AI$1843,$CC$7:$CC$1843,CC592,$AL$7:$AL$1843,AL592,$BT$7:$BT$1843,"&lt;="&amp;BT592),"")</f>
        <v>28510.6389044101</v>
      </c>
      <c r="AN592" s="58" t="n">
        <f aca="false">IF(AM592="",0,MAX(0,MIN(1,(IF(CC592="L1",Parameter!$H$5,IF(CC592="L23",Parameter!$H$6+Parameter!$H$7,Parameter!$H$5+Parameter!$H$6+Parameter!$H$7))-(AM592-AI592))/AI592)))</f>
        <v>1</v>
      </c>
      <c r="AO592" s="50" t="n">
        <f aca="false">IF(LEFT(Cockpit!$I$5,1)="A",H592,IF(CE592=1,CF592,IF(LEFT(Cockpit!$I$5,1)="B",AT592,MAX(AT592,H592))))</f>
        <v>30</v>
      </c>
      <c r="AP592" s="50" t="n">
        <f aca="false">IF(BW592=1,0,ROUNDUP(AO592/BV592,0))</f>
        <v>1</v>
      </c>
      <c r="AQ592" s="52" t="n">
        <f aca="false">IF(CL592&gt;0,CL592*MAX(1,AO592/X592),IF(BW592=1,IF(AO592&lt;=0,0,CA592*MAX(1,IF(H592&gt;0,AO592/H592,1))),IF(R592&gt;0,AP592/R592,0))/MAX(0.1,N(Parameter!$M$21)))</f>
        <v>0.0192307692307692</v>
      </c>
      <c r="AR592" s="50" t="n">
        <f aca="false">AQ592*BY592</f>
        <v>2.98076923076923</v>
      </c>
      <c r="AS592" s="50" t="n">
        <f aca="false">AO592*G592</f>
        <v>232.8</v>
      </c>
      <c r="AT592" s="50" t="n">
        <f aca="false">ROUNDUP(MAX(J592/IF(CD592&gt;0,CD592,MAX(0.1,N(Cockpit!$I$6))),CG592)/BV592,0)*BV592</f>
        <v>30</v>
      </c>
      <c r="AU592" s="51" t="n">
        <f aca="false">IF(AR592&gt;0,J592/AR592,-1)</f>
        <v>0</v>
      </c>
      <c r="AV592" s="51" t="n">
        <f aca="false">IF(AND(OR(CC592="L1",CC592="L23",CC592="LIFT"),AR592&gt;0),SUMIFS($AR$7:$AR$1843,$CC$7:$CC$1843,CC592,$AU$7:$AU$1843,"&gt;"&amp;AU592)+SUMIFS($AR$7:$AR$1843,$CC$7:$CC$1843,CC592,$AU$7:$AU$1843,AU592,$BT$7:$BT$1843,"&lt;="&amp;BT592),"")</f>
        <v>39823.54442168</v>
      </c>
      <c r="AW592" s="58" t="n">
        <f aca="false">IF(AV592="",0,MAX(0,MIN(1,(IF(CC592="L1",Parameter!$H$5,IF(CC592="L23",Parameter!$H$6+Parameter!$H$7,Parameter!$H$5+Parameter!$H$6+Parameter!$H$7))-(AV592-AR592))/AR592)))</f>
        <v>0</v>
      </c>
      <c r="AX592" s="50" t="n">
        <f aca="false">IF(LEFT(Cockpit!$O$5,1)="A",H592,IF(CE592=1,CF592,IF(LEFT(Cockpit!$O$5,1)="B",BC592,MAX(BC592,H592))))</f>
        <v>30</v>
      </c>
      <c r="AY592" s="50" t="n">
        <f aca="false">IF(BW592=1,0,ROUNDUP(AX592/BV592,0))</f>
        <v>1</v>
      </c>
      <c r="AZ592" s="52" t="n">
        <f aca="false">IF(CL592&gt;0,CL592*MAX(1,AX592/X592),IF(BW592=1,IF(AX592&lt;=0,0,CA592*MAX(1,IF(H592&gt;0,AX592/H592,1))),IF(R592&gt;0,AY592/R592,0))/MAX(0.1,N(Parameter!$M$21)))</f>
        <v>0.0192307692307692</v>
      </c>
      <c r="BA592" s="50" t="n">
        <f aca="false">AZ592*BY592</f>
        <v>2.98076923076923</v>
      </c>
      <c r="BB592" s="50" t="n">
        <f aca="false">AX592*G592</f>
        <v>232.8</v>
      </c>
      <c r="BC592" s="50" t="n">
        <f aca="false">ROUNDUP(MAX(J592/IF(CD592&gt;0,CD592,MAX(0.1,N(Cockpit!$O$6))),CG592)/BV592,0)*BV592</f>
        <v>30</v>
      </c>
      <c r="BD592" s="51" t="n">
        <f aca="false">IF(BA592&gt;0,J592/BA592,-1)</f>
        <v>0</v>
      </c>
      <c r="BE592" s="51" t="n">
        <f aca="false">IF(AND(OR(CC592="L1",CC592="L23",CC592="LIFT"),BA592&gt;0),SUMIFS($BA$7:$BA$1843,$CC$7:$CC$1843,CC592,$BD$7:$BD$1843,"&gt;"&amp;BD592)+SUMIFS($BA$7:$BA$1843,$CC$7:$CC$1843,CC592,$BD$7:$BD$1843,BD592,$BT$7:$BT$1843,"&lt;="&amp;BT592),"")</f>
        <v>36498.5564635459</v>
      </c>
      <c r="BF592" s="58" t="n">
        <f aca="false">IF(BE592="",0,MAX(0,MIN(1,(IF(CC592="L1",Parameter!$H$5,IF(CC592="L23",Parameter!$H$6+Parameter!$H$7,Parameter!$H$5+Parameter!$H$6+Parameter!$H$7))-(BE592-BA592))/BA592)))</f>
        <v>0</v>
      </c>
      <c r="BG592" s="48" t="str">
        <f aca="false">IF(AI592&lt;=0,"",IF(CC592="Aussen","Aussenlager",IF(CC592="-","Nicht im Lift",IF(AN592&gt;=1,"Lift",IF(AN592&lt;=0,"Aussenlager","teilweise")))))</f>
        <v>Lift</v>
      </c>
      <c r="BH592" s="48" t="str">
        <f aca="false">IF(AR592&lt;=0,"",IF(CC592="Aussen","Aussenlager",IF(CC592="-","Nicht im Lift",IF(AW592&gt;=1,"Lift",IF(AW592&lt;=0,"Aussenlager","teilweise")))))</f>
        <v>Aussenlager</v>
      </c>
      <c r="BI592" s="48" t="str">
        <f aca="false">IF(BA592&lt;=0,"",IF(CC592="Aussen","Aussenlager",IF(CC592="-","Nicht im Lift",IF(BF592&gt;=1,"Lift",IF(BF592&lt;=0,"Aussenlager","teilweise")))))</f>
        <v>Aussenlager</v>
      </c>
      <c r="BJ592" s="48" t="str">
        <f aca="false">IF(A592="","",IF(BS592=1,"Neu; ","")&amp;IF(AND(BS592=0,BN592&lt;0),"negativer Bestand (Export "&amp;BN592&amp;"); ","")&amp;IF(J592&lt;=0,"Kein Verbrauch; ","")&amp;IF(CL592&gt;0,"Lift "&amp;W592&amp;" lt. Liftbericht (Fach "&amp;X592&amp;" Stk); ",IF(BX592=1,"Gebinde geschätzt ("&amp;T592&amp;"); ",IF(BW592=1,"Lose – Tablare geschätzt; ","")))&amp;IF(H592&gt;AT592,"Überbestand "&amp;ROUND(H592-AT592,0)&amp;" Stk / CHF "&amp;ROUND((H592-AT592)*G592,0)&amp;"; ","")&amp;IF(AND(CE592=1,CF592&lt;CG592),"MAX &lt; MB+LG; ","")&amp;IF(AND(CK592&gt;0,CJ592*10&gt;CK592),"zu hoch für Tablar; ","")&amp;IF(AND(BS592=0,OR(CE592=1,AA592&lt;&gt;"",U592&lt;&gt;"",V592&lt;&gt;"",AB592&lt;&gt;"")),"manuell übersteuert; ","")&amp;IF(AND(BW592=0,R592=0),"Gebinde unbekannt / Stellmass fehlt; ","")&amp;IF(AND(BW592=0,N(V592)&lt;=0,N(Q592)&lt;=0),"Menge pro Gebinde fehlt (Ist = 1 Gebinde); ","")&amp;BR592)</f>
        <v>Kein Verbrauch; </v>
      </c>
      <c r="BK592" s="48"/>
      <c r="BL592" s="48"/>
      <c r="BM592" s="55"/>
      <c r="BN592" s="50" t="n">
        <v>1</v>
      </c>
      <c r="BO592" s="50" t="n">
        <v>2</v>
      </c>
      <c r="BP592" s="49" t="n">
        <v>7.76</v>
      </c>
      <c r="BQ592" s="50" t="n">
        <v>0</v>
      </c>
      <c r="BR592" s="48"/>
      <c r="BS592" s="53" t="n">
        <v>0</v>
      </c>
      <c r="BT592" s="53" t="n">
        <v>592</v>
      </c>
      <c r="BU592" s="48" t="str">
        <f aca="false">IF(U592&lt;&gt;"",UPPER(TRIM(U592)),IF(BX592=1,UPPER(VLOOKUP(T592,Parameter!$I$27:$K$29,2,0)),IF(P592="","LOSE",P592)))</f>
        <v>S33</v>
      </c>
      <c r="BV592" s="50" t="n">
        <f aca="false">IF(BU592="LOSE",1,IF(N(V592)&gt;0,V592,IF(BX592=1,MAX(1,N(VLOOKUP(T592,Parameter!$I$27:$K$29,3,0)),H592,N(N592)),IF(N(Q592)&gt;0,Q592,MAX(1,H592)))))</f>
        <v>30</v>
      </c>
      <c r="BW592" s="53" t="n">
        <f aca="false">IF(BU592="LOSE",1,0)</f>
        <v>0</v>
      </c>
      <c r="BX592" s="53" t="n">
        <f aca="false">IF(AND(U592="",OR(P592="",P592="LOSE"),T592&lt;&gt;"",N(S592)&lt;=0,ISNUMBER(MATCH(T592,Parameter!$I$27:$I$29,0))),1,0)</f>
        <v>0</v>
      </c>
      <c r="BY592" s="53" t="n">
        <f aca="false">IF(CL592&gt;0,INDEX(Parameter!$H$5:$H$7,W592)/INDEX(Parameter!$E$5:$E$7,W592),IF(AND(BW592=0,N(IFERROR(VLOOKUP(BU592,'Gebinde-Kategorie'!$A$5:$N$45,14,0),0))&gt;0),VLOOKUP(BU592,'Gebinde-Kategorie'!$A$5:$N$45,14,0)*10+Parameter!$M$23,Parameter!$M$24))</f>
        <v>155</v>
      </c>
      <c r="BZ592" s="48" t="str">
        <f aca="false">IF(AND(Parameter!$B$19="Ja",E592&lt;&gt;"",ISNUMBER(MATCH(E592,Parameter!$I$35:$I$52,0))),VLOOKUP(E592,Parameter!$I$35:$J$52,2,0),IFERROR(VLOOKUP(D592,Parameter!$A$35:$C$64,2,0),"Nein"))</f>
        <v>2+3</v>
      </c>
      <c r="CA592" s="52" t="n">
        <f aca="false">IF(BW592=0,0,IF(N(S592)&gt;0,S592,IFERROR(VLOOKUP(D592,Parameter!$A$35:$C$64,3,0)+0,0)))</f>
        <v>0</v>
      </c>
      <c r="CB592" s="48" t="n">
        <f aca="false">IF(AA592&lt;&gt;"",AA592,Z592)</f>
        <v>3</v>
      </c>
      <c r="CC592" s="48" t="str">
        <f aca="false">IF(OR(CB592=1,CB592=2,CB592=3),IF(Parameter!$E$27="Ja","LIFT",IF(CB592=1,"L1","L23")),IF(CB592="Aussen","Aussen","-"))</f>
        <v>LIFT</v>
      </c>
      <c r="CD592" s="59" t="n">
        <f aca="false">IF(N(AB592)&gt;0,AB592,0)</f>
        <v>0</v>
      </c>
      <c r="CE592" s="53" t="n">
        <f aca="false">IF(ISNUMBER(AE592),1,0)</f>
        <v>0</v>
      </c>
      <c r="CF592" s="50" t="n">
        <f aca="false">N(AE592)</f>
        <v>0</v>
      </c>
      <c r="CG592" s="50" t="n">
        <f aca="false">N(M592)+N(N592)</f>
        <v>1</v>
      </c>
      <c r="CH592" s="50" t="n">
        <f aca="false">ROUNDUP(H592/BV592,0)</f>
        <v>1</v>
      </c>
      <c r="CI592" s="50" t="n">
        <f aca="false">ROUNDUP(CF592/BV592,0)</f>
        <v>0</v>
      </c>
      <c r="CJ592" s="53" t="n">
        <f aca="false">IF(BW592=1,0,IFERROR(VLOOKUP(BU592,'Gebinde-Kategorie'!$A$5:$N$45,5,0)+0,0))</f>
        <v>8</v>
      </c>
      <c r="CK592" s="53" t="n">
        <f aca="false">IFERROR(IF(OR(CB592=1,CB592=2,CB592=3),N(INDEX(Parameter!$I$5:$I$7,CB592)),0),0)</f>
        <v>0</v>
      </c>
      <c r="CL592" s="52" t="n">
        <f aca="false">IF(AND(Parameter!$B$21="Ja",ISNUMBER(W592),N(X592)&gt;0),IFERROR(N(INDEX(Parameter!$L$5:$L$7,W592))*INDEX(Parameter!$E$5:$E$7,W592)*X592/SUMIFS($X$7:$X$1843,$W$7:$W$1843,W592),0),0)</f>
        <v>0</v>
      </c>
    </row>
    <row r="593" customFormat="false" ht="15" hidden="false" customHeight="false" outlineLevel="0" collapsed="false">
      <c r="A593" s="48" t="s">
        <v>1238</v>
      </c>
      <c r="B593" s="48" t="s">
        <v>409</v>
      </c>
      <c r="C593" s="48" t="s">
        <v>168</v>
      </c>
      <c r="D593" s="48" t="s">
        <v>188</v>
      </c>
      <c r="E593" s="48" t="s">
        <v>189</v>
      </c>
      <c r="F593" s="48" t="s">
        <v>222</v>
      </c>
      <c r="G593" s="49" t="n">
        <v>1.23</v>
      </c>
      <c r="H593" s="50" t="n">
        <f aca="false">MAX(0,IF(AND(Parameter!$B$21="Ja",ISNUMBER(Y593)),Y593,IF(Parameter!$B$20="Jahresanfang 2025 + Export",BO593+BN593,BN593)))</f>
        <v>266</v>
      </c>
      <c r="I593" s="50" t="n">
        <f aca="false">H593*G593</f>
        <v>327.18</v>
      </c>
      <c r="J593" s="50" t="n">
        <f aca="false">BQ593*Parameter!$B$18</f>
        <v>0</v>
      </c>
      <c r="K593" s="51" t="n">
        <v>263</v>
      </c>
      <c r="L593" s="52" t="n">
        <v>0</v>
      </c>
      <c r="M593" s="50" t="n">
        <v>0</v>
      </c>
      <c r="N593" s="50" t="n">
        <v>1</v>
      </c>
      <c r="O593" s="53" t="n">
        <v>21</v>
      </c>
      <c r="P593" s="48" t="s">
        <v>237</v>
      </c>
      <c r="Q593" s="50" t="n">
        <v>286</v>
      </c>
      <c r="R593" s="53" t="n">
        <f aca="false">IF(BW593=1,0,IFERROR(VLOOKUP(BU593,'Gebinde-Kategorie'!$A$5:$N$45,13,0)+0,0))</f>
        <v>26</v>
      </c>
      <c r="S593" s="54"/>
      <c r="T593" s="55"/>
      <c r="U593" s="55"/>
      <c r="V593" s="55"/>
      <c r="W593" s="48"/>
      <c r="X593" s="50"/>
      <c r="Y593" s="50"/>
      <c r="Z593" s="48" t="n">
        <f aca="false">IF(A593="","",IF(AND(Parameter!$B$21="Ja",ISNUMBER(W593)),W593,IF(BZ593="2+3",IF(ISNUMBER(SEARCH("grosser Artikel",BR593)),2,IFERROR(VLOOKUP(BU593,Parameter!$F$35:$G$64,2,0),2)),IF(OR(BZ593="Nein",BZ593=""),"-",BZ593))))</f>
        <v>3</v>
      </c>
      <c r="AA593" s="55"/>
      <c r="AB593" s="56"/>
      <c r="AC593" s="50" t="n">
        <f aca="false">AT593</f>
        <v>286</v>
      </c>
      <c r="AD593" s="50" t="n">
        <f aca="false">MAX(AT593,H593)</f>
        <v>286</v>
      </c>
      <c r="AE593" s="57"/>
      <c r="AF593" s="50" t="n">
        <f aca="false">IF(LEFT(Cockpit!$C$5,1)="A",H593,IF(CE593=1,CF593,IF(LEFT(Cockpit!$C$5,1)="B",AK593,MAX(AK593,H593))))</f>
        <v>266</v>
      </c>
      <c r="AG593" s="50" t="n">
        <f aca="false">IF(BW593=1,0,ROUNDUP(AF593/BV593,0))</f>
        <v>1</v>
      </c>
      <c r="AH593" s="52" t="n">
        <f aca="false">IF(CL593&gt;0,CL593*MAX(1,AF593/X593),IF(BW593=1,IF(AF593&lt;=0,0,CA593*MAX(1,IF(H593&gt;0,AF593/H593,1))),IF(R593&gt;0,AG593/R593,0))/MAX(0.1,N(Parameter!$M$21)))</f>
        <v>0.0384615384615385</v>
      </c>
      <c r="AI593" s="50" t="n">
        <f aca="false">AH593*BY593</f>
        <v>9.42307692307692</v>
      </c>
      <c r="AJ593" s="50" t="n">
        <f aca="false">AF593*G593</f>
        <v>327.18</v>
      </c>
      <c r="AK593" s="50" t="n">
        <f aca="false">ROUNDUP(MAX(J593/IF(CD593&gt;0,CD593,MAX(0.1,N(Cockpit!$C$6))),CG593)/BV593,0)*BV593</f>
        <v>286</v>
      </c>
      <c r="AL593" s="51" t="n">
        <f aca="false">IF(AI593&gt;0,J593/AI593,-1)</f>
        <v>0</v>
      </c>
      <c r="AM593" s="51" t="n">
        <f aca="false">IF(AND(OR(CC593="L1",CC593="L23",CC593="LIFT"),AI593&gt;0),SUMIFS($AI$7:$AI$1843,$CC$7:$CC$1843,CC593,$AL$7:$AL$1843,"&gt;"&amp;AL593)+SUMIFS($AI$7:$AI$1843,$CC$7:$CC$1843,CC593,$AL$7:$AL$1843,AL593,$BT$7:$BT$1843,"&lt;="&amp;BT593),"")</f>
        <v>28520.0619813332</v>
      </c>
      <c r="AN593" s="58" t="n">
        <f aca="false">IF(AM593="",0,MAX(0,MIN(1,(IF(CC593="L1",Parameter!$H$5,IF(CC593="L23",Parameter!$H$6+Parameter!$H$7,Parameter!$H$5+Parameter!$H$6+Parameter!$H$7))-(AM593-AI593))/AI593)))</f>
        <v>1</v>
      </c>
      <c r="AO593" s="50" t="n">
        <f aca="false">IF(LEFT(Cockpit!$I$5,1)="A",H593,IF(CE593=1,CF593,IF(LEFT(Cockpit!$I$5,1)="B",AT593,MAX(AT593,H593))))</f>
        <v>286</v>
      </c>
      <c r="AP593" s="50" t="n">
        <f aca="false">IF(BW593=1,0,ROUNDUP(AO593/BV593,0))</f>
        <v>1</v>
      </c>
      <c r="AQ593" s="52" t="n">
        <f aca="false">IF(CL593&gt;0,CL593*MAX(1,AO593/X593),IF(BW593=1,IF(AO593&lt;=0,0,CA593*MAX(1,IF(H593&gt;0,AO593/H593,1))),IF(R593&gt;0,AP593/R593,0))/MAX(0.1,N(Parameter!$M$21)))</f>
        <v>0.0384615384615385</v>
      </c>
      <c r="AR593" s="50" t="n">
        <f aca="false">AQ593*BY593</f>
        <v>9.42307692307692</v>
      </c>
      <c r="AS593" s="50" t="n">
        <f aca="false">AO593*G593</f>
        <v>351.78</v>
      </c>
      <c r="AT593" s="50" t="n">
        <f aca="false">ROUNDUP(MAX(J593/IF(CD593&gt;0,CD593,MAX(0.1,N(Cockpit!$I$6))),CG593)/BV593,0)*BV593</f>
        <v>286</v>
      </c>
      <c r="AU593" s="51" t="n">
        <f aca="false">IF(AR593&gt;0,J593/AR593,-1)</f>
        <v>0</v>
      </c>
      <c r="AV593" s="51" t="n">
        <f aca="false">IF(AND(OR(CC593="L1",CC593="L23",CC593="LIFT"),AR593&gt;0),SUMIFS($AR$7:$AR$1843,$CC$7:$CC$1843,CC593,$AU$7:$AU$1843,"&gt;"&amp;AU593)+SUMIFS($AR$7:$AR$1843,$CC$7:$CC$1843,CC593,$AU$7:$AU$1843,AU593,$BT$7:$BT$1843,"&lt;="&amp;BT593),"")</f>
        <v>39832.9674986031</v>
      </c>
      <c r="AW593" s="58" t="n">
        <f aca="false">IF(AV593="",0,MAX(0,MIN(1,(IF(CC593="L1",Parameter!$H$5,IF(CC593="L23",Parameter!$H$6+Parameter!$H$7,Parameter!$H$5+Parameter!$H$6+Parameter!$H$7))-(AV593-AR593))/AR593)))</f>
        <v>0</v>
      </c>
      <c r="AX593" s="50" t="n">
        <f aca="false">IF(LEFT(Cockpit!$O$5,1)="A",H593,IF(CE593=1,CF593,IF(LEFT(Cockpit!$O$5,1)="B",BC593,MAX(BC593,H593))))</f>
        <v>286</v>
      </c>
      <c r="AY593" s="50" t="n">
        <f aca="false">IF(BW593=1,0,ROUNDUP(AX593/BV593,0))</f>
        <v>1</v>
      </c>
      <c r="AZ593" s="52" t="n">
        <f aca="false">IF(CL593&gt;0,CL593*MAX(1,AX593/X593),IF(BW593=1,IF(AX593&lt;=0,0,CA593*MAX(1,IF(H593&gt;0,AX593/H593,1))),IF(R593&gt;0,AY593/R593,0))/MAX(0.1,N(Parameter!$M$21)))</f>
        <v>0.0384615384615385</v>
      </c>
      <c r="BA593" s="50" t="n">
        <f aca="false">AZ593*BY593</f>
        <v>9.42307692307692</v>
      </c>
      <c r="BB593" s="50" t="n">
        <f aca="false">AX593*G593</f>
        <v>351.78</v>
      </c>
      <c r="BC593" s="50" t="n">
        <f aca="false">ROUNDUP(MAX(J593/IF(CD593&gt;0,CD593,MAX(0.1,N(Cockpit!$O$6))),CG593)/BV593,0)*BV593</f>
        <v>286</v>
      </c>
      <c r="BD593" s="51" t="n">
        <f aca="false">IF(BA593&gt;0,J593/BA593,-1)</f>
        <v>0</v>
      </c>
      <c r="BE593" s="51" t="n">
        <f aca="false">IF(AND(OR(CC593="L1",CC593="L23",CC593="LIFT"),BA593&gt;0),SUMIFS($BA$7:$BA$1843,$CC$7:$CC$1843,CC593,$BD$7:$BD$1843,"&gt;"&amp;BD593)+SUMIFS($BA$7:$BA$1843,$CC$7:$CC$1843,CC593,$BD$7:$BD$1843,BD593,$BT$7:$BT$1843,"&lt;="&amp;BT593),"")</f>
        <v>36507.979540469</v>
      </c>
      <c r="BF593" s="58" t="n">
        <f aca="false">IF(BE593="",0,MAX(0,MIN(1,(IF(CC593="L1",Parameter!$H$5,IF(CC593="L23",Parameter!$H$6+Parameter!$H$7,Parameter!$H$5+Parameter!$H$6+Parameter!$H$7))-(BE593-BA593))/BA593)))</f>
        <v>0</v>
      </c>
      <c r="BG593" s="48" t="str">
        <f aca="false">IF(AI593&lt;=0,"",IF(CC593="Aussen","Aussenlager",IF(CC593="-","Nicht im Lift",IF(AN593&gt;=1,"Lift",IF(AN593&lt;=0,"Aussenlager","teilweise")))))</f>
        <v>Lift</v>
      </c>
      <c r="BH593" s="48" t="str">
        <f aca="false">IF(AR593&lt;=0,"",IF(CC593="Aussen","Aussenlager",IF(CC593="-","Nicht im Lift",IF(AW593&gt;=1,"Lift",IF(AW593&lt;=0,"Aussenlager","teilweise")))))</f>
        <v>Aussenlager</v>
      </c>
      <c r="BI593" s="48" t="str">
        <f aca="false">IF(BA593&lt;=0,"",IF(CC593="Aussen","Aussenlager",IF(CC593="-","Nicht im Lift",IF(BF593&gt;=1,"Lift",IF(BF593&lt;=0,"Aussenlager","teilweise")))))</f>
        <v>Aussenlager</v>
      </c>
      <c r="BJ593" s="48" t="str">
        <f aca="false">IF(A593="","",IF(BS593=1,"Neu; ","")&amp;IF(AND(BS593=0,BN593&lt;0),"negativer Bestand (Export "&amp;BN593&amp;"); ","")&amp;IF(J593&lt;=0,"Kein Verbrauch; ","")&amp;IF(CL593&gt;0,"Lift "&amp;W593&amp;" lt. Liftbericht (Fach "&amp;X593&amp;" Stk); ",IF(BX593=1,"Gebinde geschätzt ("&amp;T593&amp;"); ",IF(BW593=1,"Lose – Tablare geschätzt; ","")))&amp;IF(H593&gt;AT593,"Überbestand "&amp;ROUND(H593-AT593,0)&amp;" Stk / CHF "&amp;ROUND((H593-AT593)*G593,0)&amp;"; ","")&amp;IF(AND(CE593=1,CF593&lt;CG593),"MAX &lt; MB+LG; ","")&amp;IF(AND(CK593&gt;0,CJ593*10&gt;CK593),"zu hoch für Tablar; ","")&amp;IF(AND(BS593=0,OR(CE593=1,AA593&lt;&gt;"",U593&lt;&gt;"",V593&lt;&gt;"",AB593&lt;&gt;"")),"manuell übersteuert; ","")&amp;IF(AND(BW593=0,R593=0),"Gebinde unbekannt / Stellmass fehlt; ","")&amp;IF(AND(BW593=0,N(V593)&lt;=0,N(Q593)&lt;=0),"Menge pro Gebinde fehlt (Ist = 1 Gebinde); ","")&amp;BR593)</f>
        <v>Kein Verbrauch; Überbestand</v>
      </c>
      <c r="BK593" s="48"/>
      <c r="BL593" s="48"/>
      <c r="BM593" s="55"/>
      <c r="BN593" s="50" t="n">
        <v>6</v>
      </c>
      <c r="BO593" s="50" t="n">
        <v>260</v>
      </c>
      <c r="BP593" s="49" t="n">
        <v>7.38</v>
      </c>
      <c r="BQ593" s="50" t="n">
        <v>0</v>
      </c>
      <c r="BR593" s="48" t="s">
        <v>396</v>
      </c>
      <c r="BS593" s="53" t="n">
        <v>0</v>
      </c>
      <c r="BT593" s="53" t="n">
        <v>593</v>
      </c>
      <c r="BU593" s="48" t="str">
        <f aca="false">IF(U593&lt;&gt;"",UPPER(TRIM(U593)),IF(BX593=1,UPPER(VLOOKUP(T593,Parameter!$I$27:$K$29,2,0)),IF(P593="","LOSE",P593)))</f>
        <v>S52</v>
      </c>
      <c r="BV593" s="50" t="n">
        <f aca="false">IF(BU593="LOSE",1,IF(N(V593)&gt;0,V593,IF(BX593=1,MAX(1,N(VLOOKUP(T593,Parameter!$I$27:$K$29,3,0)),H593,N(N593)),IF(N(Q593)&gt;0,Q593,MAX(1,H593)))))</f>
        <v>286</v>
      </c>
      <c r="BW593" s="53" t="n">
        <f aca="false">IF(BU593="LOSE",1,0)</f>
        <v>0</v>
      </c>
      <c r="BX593" s="53" t="n">
        <f aca="false">IF(AND(U593="",OR(P593="",P593="LOSE"),T593&lt;&gt;"",N(S593)&lt;=0,ISNUMBER(MATCH(T593,Parameter!$I$27:$I$29,0))),1,0)</f>
        <v>0</v>
      </c>
      <c r="BY593" s="53" t="n">
        <f aca="false">IF(CL593&gt;0,INDEX(Parameter!$H$5:$H$7,W593)/INDEX(Parameter!$E$5:$E$7,W593),IF(AND(BW593=0,N(IFERROR(VLOOKUP(BU593,'Gebinde-Kategorie'!$A$5:$N$45,14,0),0))&gt;0),VLOOKUP(BU593,'Gebinde-Kategorie'!$A$5:$N$45,14,0)*10+Parameter!$M$23,Parameter!$M$24))</f>
        <v>245</v>
      </c>
      <c r="BZ593" s="48" t="str">
        <f aca="false">IF(AND(Parameter!$B$19="Ja",E593&lt;&gt;"",ISNUMBER(MATCH(E593,Parameter!$I$35:$I$52,0))),VLOOKUP(E593,Parameter!$I$35:$J$52,2,0),IFERROR(VLOOKUP(D593,Parameter!$A$35:$C$64,2,0),"Nein"))</f>
        <v>2+3</v>
      </c>
      <c r="CA593" s="52" t="n">
        <f aca="false">IF(BW593=0,0,IF(N(S593)&gt;0,S593,IFERROR(VLOOKUP(D593,Parameter!$A$35:$C$64,3,0)+0,0)))</f>
        <v>0</v>
      </c>
      <c r="CB593" s="48" t="n">
        <f aca="false">IF(AA593&lt;&gt;"",AA593,Z593)</f>
        <v>3</v>
      </c>
      <c r="CC593" s="48" t="str">
        <f aca="false">IF(OR(CB593=1,CB593=2,CB593=3),IF(Parameter!$E$27="Ja","LIFT",IF(CB593=1,"L1","L23")),IF(CB593="Aussen","Aussen","-"))</f>
        <v>LIFT</v>
      </c>
      <c r="CD593" s="59" t="n">
        <f aca="false">IF(N(AB593)&gt;0,AB593,0)</f>
        <v>0</v>
      </c>
      <c r="CE593" s="53" t="n">
        <f aca="false">IF(ISNUMBER(AE593),1,0)</f>
        <v>0</v>
      </c>
      <c r="CF593" s="50" t="n">
        <f aca="false">N(AE593)</f>
        <v>0</v>
      </c>
      <c r="CG593" s="50" t="n">
        <f aca="false">N(M593)+N(N593)</f>
        <v>1</v>
      </c>
      <c r="CH593" s="50" t="n">
        <f aca="false">ROUNDUP(H593/BV593,0)</f>
        <v>1</v>
      </c>
      <c r="CI593" s="50" t="n">
        <f aca="false">ROUNDUP(CF593/BV593,0)</f>
        <v>0</v>
      </c>
      <c r="CJ593" s="53" t="n">
        <f aca="false">IF(BW593=1,0,IFERROR(VLOOKUP(BU593,'Gebinde-Kategorie'!$A$5:$N$45,5,0)+0,0))</f>
        <v>21</v>
      </c>
      <c r="CK593" s="53" t="n">
        <f aca="false">IFERROR(IF(OR(CB593=1,CB593=2,CB593=3),N(INDEX(Parameter!$I$5:$I$7,CB593)),0),0)</f>
        <v>0</v>
      </c>
      <c r="CL593" s="52" t="n">
        <f aca="false">IF(AND(Parameter!$B$21="Ja",ISNUMBER(W593),N(X593)&gt;0),IFERROR(N(INDEX(Parameter!$L$5:$L$7,W593))*INDEX(Parameter!$E$5:$E$7,W593)*X593/SUMIFS($X$7:$X$1843,$W$7:$W$1843,W593),0),0)</f>
        <v>0</v>
      </c>
    </row>
    <row r="594" customFormat="false" ht="15" hidden="false" customHeight="false" outlineLevel="0" collapsed="false">
      <c r="A594" s="48" t="s">
        <v>1239</v>
      </c>
      <c r="B594" s="48" t="s">
        <v>1240</v>
      </c>
      <c r="C594" s="48" t="s">
        <v>168</v>
      </c>
      <c r="D594" s="48" t="s">
        <v>188</v>
      </c>
      <c r="E594" s="48" t="s">
        <v>189</v>
      </c>
      <c r="F594" s="48" t="s">
        <v>222</v>
      </c>
      <c r="G594" s="49" t="n">
        <v>0.01</v>
      </c>
      <c r="H594" s="50" t="n">
        <f aca="false">MAX(0,IF(AND(Parameter!$B$21="Ja",ISNUMBER(Y594)),Y594,IF(Parameter!$B$20="Jahresanfang 2025 + Export",BO594+BN594,BN594)))</f>
        <v>1954</v>
      </c>
      <c r="I594" s="50" t="n">
        <f aca="false">H594*G594</f>
        <v>19.54</v>
      </c>
      <c r="J594" s="50" t="n">
        <f aca="false">BQ594*Parameter!$B$18</f>
        <v>1359</v>
      </c>
      <c r="K594" s="51" t="n">
        <v>1235</v>
      </c>
      <c r="L594" s="52" t="n">
        <v>1.1004048582996</v>
      </c>
      <c r="M594" s="50" t="n">
        <v>79</v>
      </c>
      <c r="N594" s="50" t="n">
        <v>1000</v>
      </c>
      <c r="O594" s="53" t="n">
        <v>21</v>
      </c>
      <c r="P594" s="48" t="s">
        <v>425</v>
      </c>
      <c r="Q594" s="50" t="n">
        <v>326</v>
      </c>
      <c r="R594" s="53" t="n">
        <f aca="false">IF(BW594=1,0,IFERROR(VLOOKUP(BU594,'Gebinde-Kategorie'!$A$5:$N$45,13,0)+0,0))</f>
        <v>104</v>
      </c>
      <c r="S594" s="54"/>
      <c r="T594" s="55"/>
      <c r="U594" s="55"/>
      <c r="V594" s="55"/>
      <c r="W594" s="48"/>
      <c r="X594" s="50"/>
      <c r="Y594" s="50"/>
      <c r="Z594" s="48" t="n">
        <f aca="false">IF(A594="","",IF(AND(Parameter!$B$21="Ja",ISNUMBER(W594)),W594,IF(BZ594="2+3",IF(ISNUMBER(SEARCH("grosser Artikel",BR594)),2,IFERROR(VLOOKUP(BU594,Parameter!$F$35:$G$64,2,0),2)),IF(OR(BZ594="Nein",BZ594=""),"-",BZ594))))</f>
        <v>3</v>
      </c>
      <c r="AA594" s="55"/>
      <c r="AB594" s="56"/>
      <c r="AC594" s="50" t="n">
        <f aca="false">AT594</f>
        <v>1304</v>
      </c>
      <c r="AD594" s="50" t="n">
        <f aca="false">MAX(AT594,H594)</f>
        <v>1954</v>
      </c>
      <c r="AE594" s="57"/>
      <c r="AF594" s="50" t="n">
        <f aca="false">IF(LEFT(Cockpit!$C$5,1)="A",H594,IF(CE594=1,CF594,IF(LEFT(Cockpit!$C$5,1)="B",AK594,MAX(AK594,H594))))</f>
        <v>1954</v>
      </c>
      <c r="AG594" s="50" t="n">
        <f aca="false">IF(BW594=1,0,ROUNDUP(AF594/BV594,0))</f>
        <v>6</v>
      </c>
      <c r="AH594" s="52" t="n">
        <f aca="false">IF(CL594&gt;0,CL594*MAX(1,AF594/X594),IF(BW594=1,IF(AF594&lt;=0,0,CA594*MAX(1,IF(H594&gt;0,AF594/H594,1))),IF(R594&gt;0,AG594/R594,0))/MAX(0.1,N(Parameter!$M$21)))</f>
        <v>0.0576923076923077</v>
      </c>
      <c r="AI594" s="50" t="n">
        <f aca="false">AH594*BY594</f>
        <v>8.94230769230769</v>
      </c>
      <c r="AJ594" s="50" t="n">
        <f aca="false">AF594*G594</f>
        <v>19.54</v>
      </c>
      <c r="AK594" s="50" t="n">
        <f aca="false">ROUNDUP(MAX(J594/IF(CD594&gt;0,CD594,MAX(0.1,N(Cockpit!$C$6))),CG594)/BV594,0)*BV594</f>
        <v>1304</v>
      </c>
      <c r="AL594" s="51" t="n">
        <f aca="false">IF(AI594&gt;0,J594/AI594,-1)</f>
        <v>151.974193548387</v>
      </c>
      <c r="AM594" s="51" t="n">
        <f aca="false">IF(AND(OR(CC594="L1",CC594="L23",CC594="LIFT"),AI594&gt;0),SUMIFS($AI$7:$AI$1843,$CC$7:$CC$1843,CC594,$AL$7:$AL$1843,"&gt;"&amp;AL594)+SUMIFS($AI$7:$AI$1843,$CC$7:$CC$1843,CC594,$AL$7:$AL$1843,AL594,$BT$7:$BT$1843,"&lt;="&amp;BT594),"")</f>
        <v>466.126831501832</v>
      </c>
      <c r="AN594" s="58" t="n">
        <f aca="false">IF(AM594="",0,MAX(0,MIN(1,(IF(CC594="L1",Parameter!$H$5,IF(CC594="L23",Parameter!$H$6+Parameter!$H$7,Parameter!$H$5+Parameter!$H$6+Parameter!$H$7))-(AM594-AI594))/AI594)))</f>
        <v>1</v>
      </c>
      <c r="AO594" s="50" t="n">
        <f aca="false">IF(LEFT(Cockpit!$I$5,1)="A",H594,IF(CE594=1,CF594,IF(LEFT(Cockpit!$I$5,1)="B",AT594,MAX(AT594,H594))))</f>
        <v>1954</v>
      </c>
      <c r="AP594" s="50" t="n">
        <f aca="false">IF(BW594=1,0,ROUNDUP(AO594/BV594,0))</f>
        <v>6</v>
      </c>
      <c r="AQ594" s="52" t="n">
        <f aca="false">IF(CL594&gt;0,CL594*MAX(1,AO594/X594),IF(BW594=1,IF(AO594&lt;=0,0,CA594*MAX(1,IF(H594&gt;0,AO594/H594,1))),IF(R594&gt;0,AP594/R594,0))/MAX(0.1,N(Parameter!$M$21)))</f>
        <v>0.0576923076923077</v>
      </c>
      <c r="AR594" s="50" t="n">
        <f aca="false">AQ594*BY594</f>
        <v>8.94230769230769</v>
      </c>
      <c r="AS594" s="50" t="n">
        <f aca="false">AO594*G594</f>
        <v>19.54</v>
      </c>
      <c r="AT594" s="50" t="n">
        <f aca="false">ROUNDUP(MAX(J594/IF(CD594&gt;0,CD594,MAX(0.1,N(Cockpit!$I$6))),CG594)/BV594,0)*BV594</f>
        <v>1304</v>
      </c>
      <c r="AU594" s="51" t="n">
        <f aca="false">IF(AR594&gt;0,J594/AR594,-1)</f>
        <v>151.974193548387</v>
      </c>
      <c r="AV594" s="51" t="n">
        <f aca="false">IF(AND(OR(CC594="L1",CC594="L23",CC594="LIFT"),AR594&gt;0),SUMIFS($AR$7:$AR$1843,$CC$7:$CC$1843,CC594,$AU$7:$AU$1843,"&gt;"&amp;AU594)+SUMIFS($AR$7:$AR$1843,$CC$7:$CC$1843,CC594,$AU$7:$AU$1843,AU594,$BT$7:$BT$1843,"&lt;="&amp;BT594),"")</f>
        <v>604.705128205128</v>
      </c>
      <c r="AW594" s="58" t="n">
        <f aca="false">IF(AV594="",0,MAX(0,MIN(1,(IF(CC594="L1",Parameter!$H$5,IF(CC594="L23",Parameter!$H$6+Parameter!$H$7,Parameter!$H$5+Parameter!$H$6+Parameter!$H$7))-(AV594-AR594))/AR594)))</f>
        <v>1</v>
      </c>
      <c r="AX594" s="50" t="n">
        <f aca="false">IF(LEFT(Cockpit!$O$5,1)="A",H594,IF(CE594=1,CF594,IF(LEFT(Cockpit!$O$5,1)="B",BC594,MAX(BC594,H594))))</f>
        <v>1954</v>
      </c>
      <c r="AY594" s="50" t="n">
        <f aca="false">IF(BW594=1,0,ROUNDUP(AX594/BV594,0))</f>
        <v>6</v>
      </c>
      <c r="AZ594" s="52" t="n">
        <f aca="false">IF(CL594&gt;0,CL594*MAX(1,AX594/X594),IF(BW594=1,IF(AX594&lt;=0,0,CA594*MAX(1,IF(H594&gt;0,AX594/H594,1))),IF(R594&gt;0,AY594/R594,0))/MAX(0.1,N(Parameter!$M$21)))</f>
        <v>0.0576923076923077</v>
      </c>
      <c r="BA594" s="50" t="n">
        <f aca="false">AZ594*BY594</f>
        <v>8.94230769230769</v>
      </c>
      <c r="BB594" s="50" t="n">
        <f aca="false">AX594*G594</f>
        <v>19.54</v>
      </c>
      <c r="BC594" s="50" t="n">
        <f aca="false">ROUNDUP(MAX(J594/IF(CD594&gt;0,CD594,MAX(0.1,N(Cockpit!$O$6))),CG594)/BV594,0)*BV594</f>
        <v>1304</v>
      </c>
      <c r="BD594" s="51" t="n">
        <f aca="false">IF(BA594&gt;0,J594/BA594,-1)</f>
        <v>151.974193548387</v>
      </c>
      <c r="BE594" s="51" t="n">
        <f aca="false">IF(AND(OR(CC594="L1",CC594="L23",CC594="LIFT"),BA594&gt;0),SUMIFS($BA$7:$BA$1843,$CC$7:$CC$1843,CC594,$BD$7:$BD$1843,"&gt;"&amp;BD594)+SUMIFS($BA$7:$BA$1843,$CC$7:$CC$1843,CC594,$BD$7:$BD$1843,BD594,$BT$7:$BT$1843,"&lt;="&amp;BT594),"")</f>
        <v>549.144230769231</v>
      </c>
      <c r="BF594" s="58" t="n">
        <f aca="false">IF(BE594="",0,MAX(0,MIN(1,(IF(CC594="L1",Parameter!$H$5,IF(CC594="L23",Parameter!$H$6+Parameter!$H$7,Parameter!$H$5+Parameter!$H$6+Parameter!$H$7))-(BE594-BA594))/BA594)))</f>
        <v>1</v>
      </c>
      <c r="BG594" s="48" t="str">
        <f aca="false">IF(AI594&lt;=0,"",IF(CC594="Aussen","Aussenlager",IF(CC594="-","Nicht im Lift",IF(AN594&gt;=1,"Lift",IF(AN594&lt;=0,"Aussenlager","teilweise")))))</f>
        <v>Lift</v>
      </c>
      <c r="BH594" s="48" t="str">
        <f aca="false">IF(AR594&lt;=0,"",IF(CC594="Aussen","Aussenlager",IF(CC594="-","Nicht im Lift",IF(AW594&gt;=1,"Lift",IF(AW594&lt;=0,"Aussenlager","teilweise")))))</f>
        <v>Lift</v>
      </c>
      <c r="BI594" s="48" t="str">
        <f aca="false">IF(BA594&lt;=0,"",IF(CC594="Aussen","Aussenlager",IF(CC594="-","Nicht im Lift",IF(BF594&gt;=1,"Lift",IF(BF594&lt;=0,"Aussenlager","teilweise")))))</f>
        <v>Lift</v>
      </c>
      <c r="BJ594" s="48" t="str">
        <f aca="false">IF(A594="","",IF(BS594=1,"Neu; ","")&amp;IF(AND(BS594=0,BN594&lt;0),"negativer Bestand (Export "&amp;BN594&amp;"); ","")&amp;IF(J594&lt;=0,"Kein Verbrauch; ","")&amp;IF(CL594&gt;0,"Lift "&amp;W594&amp;" lt. Liftbericht (Fach "&amp;X594&amp;" Stk); ",IF(BX594=1,"Gebinde geschätzt ("&amp;T594&amp;"); ",IF(BW594=1,"Lose – Tablare geschätzt; ","")))&amp;IF(H594&gt;AT594,"Überbestand "&amp;ROUND(H594-AT594,0)&amp;" Stk / CHF "&amp;ROUND((H594-AT594)*G594,0)&amp;"; ","")&amp;IF(AND(CE594=1,CF594&lt;CG594),"MAX &lt; MB+LG; ","")&amp;IF(AND(CK594&gt;0,CJ594*10&gt;CK594),"zu hoch für Tablar; ","")&amp;IF(AND(BS594=0,OR(CE594=1,AA594&lt;&gt;"",U594&lt;&gt;"",V594&lt;&gt;"",AB594&lt;&gt;"")),"manuell übersteuert; ","")&amp;IF(AND(BW594=0,R594=0),"Gebinde unbekannt / Stellmass fehlt; ","")&amp;IF(AND(BW594=0,N(V594)&lt;=0,N(Q594)&lt;=0),"Menge pro Gebinde fehlt (Ist = 1 Gebinde); ","")&amp;BR594)</f>
        <v>Überbestand 650 Stk / CHF 7; </v>
      </c>
      <c r="BK594" s="48"/>
      <c r="BL594" s="48"/>
      <c r="BM594" s="55"/>
      <c r="BN594" s="50" t="n">
        <v>738</v>
      </c>
      <c r="BO594" s="50" t="n">
        <v>1216</v>
      </c>
      <c r="BP594" s="49" t="n">
        <v>7.37999999999999</v>
      </c>
      <c r="BQ594" s="50" t="n">
        <v>1359</v>
      </c>
      <c r="BR594" s="48"/>
      <c r="BS594" s="53" t="n">
        <v>0</v>
      </c>
      <c r="BT594" s="53" t="n">
        <v>594</v>
      </c>
      <c r="BU594" s="48" t="str">
        <f aca="false">IF(U594&lt;&gt;"",UPPER(TRIM(U594)),IF(BX594=1,UPPER(VLOOKUP(T594,Parameter!$I$27:$K$29,2,0)),IF(P594="","LOSE",P594)))</f>
        <v>S32</v>
      </c>
      <c r="BV594" s="50" t="n">
        <f aca="false">IF(BU594="LOSE",1,IF(N(V594)&gt;0,V594,IF(BX594=1,MAX(1,N(VLOOKUP(T594,Parameter!$I$27:$K$29,3,0)),H594,N(N594)),IF(N(Q594)&gt;0,Q594,MAX(1,H594)))))</f>
        <v>326</v>
      </c>
      <c r="BW594" s="53" t="n">
        <f aca="false">IF(BU594="LOSE",1,0)</f>
        <v>0</v>
      </c>
      <c r="BX594" s="53" t="n">
        <f aca="false">IF(AND(U594="",OR(P594="",P594="LOSE"),T594&lt;&gt;"",N(S594)&lt;=0,ISNUMBER(MATCH(T594,Parameter!$I$27:$I$29,0))),1,0)</f>
        <v>0</v>
      </c>
      <c r="BY594" s="53" t="n">
        <f aca="false">IF(CL594&gt;0,INDEX(Parameter!$H$5:$H$7,W594)/INDEX(Parameter!$E$5:$E$7,W594),IF(AND(BW594=0,N(IFERROR(VLOOKUP(BU594,'Gebinde-Kategorie'!$A$5:$N$45,14,0),0))&gt;0),VLOOKUP(BU594,'Gebinde-Kategorie'!$A$5:$N$45,14,0)*10+Parameter!$M$23,Parameter!$M$24))</f>
        <v>155</v>
      </c>
      <c r="BZ594" s="48" t="str">
        <f aca="false">IF(AND(Parameter!$B$19="Ja",E594&lt;&gt;"",ISNUMBER(MATCH(E594,Parameter!$I$35:$I$52,0))),VLOOKUP(E594,Parameter!$I$35:$J$52,2,0),IFERROR(VLOOKUP(D594,Parameter!$A$35:$C$64,2,0),"Nein"))</f>
        <v>2+3</v>
      </c>
      <c r="CA594" s="52" t="n">
        <f aca="false">IF(BW594=0,0,IF(N(S594)&gt;0,S594,IFERROR(VLOOKUP(D594,Parameter!$A$35:$C$64,3,0)+0,0)))</f>
        <v>0</v>
      </c>
      <c r="CB594" s="48" t="n">
        <f aca="false">IF(AA594&lt;&gt;"",AA594,Z594)</f>
        <v>3</v>
      </c>
      <c r="CC594" s="48" t="str">
        <f aca="false">IF(OR(CB594=1,CB594=2,CB594=3),IF(Parameter!$E$27="Ja","LIFT",IF(CB594=1,"L1","L23")),IF(CB594="Aussen","Aussen","-"))</f>
        <v>LIFT</v>
      </c>
      <c r="CD594" s="59" t="n">
        <f aca="false">IF(N(AB594)&gt;0,AB594,0)</f>
        <v>0</v>
      </c>
      <c r="CE594" s="53" t="n">
        <f aca="false">IF(ISNUMBER(AE594),1,0)</f>
        <v>0</v>
      </c>
      <c r="CF594" s="50" t="n">
        <f aca="false">N(AE594)</f>
        <v>0</v>
      </c>
      <c r="CG594" s="50" t="n">
        <f aca="false">N(M594)+N(N594)</f>
        <v>1079</v>
      </c>
      <c r="CH594" s="50" t="n">
        <f aca="false">ROUNDUP(H594/BV594,0)</f>
        <v>6</v>
      </c>
      <c r="CI594" s="50" t="n">
        <f aca="false">ROUNDUP(CF594/BV594,0)</f>
        <v>0</v>
      </c>
      <c r="CJ594" s="53" t="n">
        <f aca="false">IF(BW594=1,0,IFERROR(VLOOKUP(BU594,'Gebinde-Kategorie'!$A$5:$N$45,5,0)+0,0))</f>
        <v>8</v>
      </c>
      <c r="CK594" s="53" t="n">
        <f aca="false">IFERROR(IF(OR(CB594=1,CB594=2,CB594=3),N(INDEX(Parameter!$I$5:$I$7,CB594)),0),0)</f>
        <v>0</v>
      </c>
      <c r="CL594" s="52" t="n">
        <f aca="false">IF(AND(Parameter!$B$21="Ja",ISNUMBER(W594),N(X594)&gt;0),IFERROR(N(INDEX(Parameter!$L$5:$L$7,W594))*INDEX(Parameter!$E$5:$E$7,W594)*X594/SUMIFS($X$7:$X$1843,$W$7:$W$1843,W594),0),0)</f>
        <v>0</v>
      </c>
    </row>
    <row r="595" customFormat="false" ht="15" hidden="false" customHeight="false" outlineLevel="0" collapsed="false">
      <c r="A595" s="48" t="s">
        <v>1241</v>
      </c>
      <c r="B595" s="48" t="s">
        <v>1242</v>
      </c>
      <c r="C595" s="48" t="s">
        <v>168</v>
      </c>
      <c r="D595" s="48" t="s">
        <v>188</v>
      </c>
      <c r="E595" s="48" t="s">
        <v>189</v>
      </c>
      <c r="F595" s="48" t="s">
        <v>222</v>
      </c>
      <c r="G595" s="49" t="n">
        <v>0.17</v>
      </c>
      <c r="H595" s="50" t="n">
        <f aca="false">MAX(0,IF(AND(Parameter!$B$21="Ja",ISNUMBER(Y595)),Y595,IF(Parameter!$B$20="Jahresanfang 2025 + Export",BO595+BN595,BN595)))</f>
        <v>711</v>
      </c>
      <c r="I595" s="50" t="n">
        <f aca="false">H595*G595</f>
        <v>120.87</v>
      </c>
      <c r="J595" s="50" t="n">
        <f aca="false">BQ595*Parameter!$B$18</f>
        <v>1680</v>
      </c>
      <c r="K595" s="51" t="n">
        <v>832</v>
      </c>
      <c r="L595" s="52" t="n">
        <v>2.01923076923077</v>
      </c>
      <c r="M595" s="50" t="n">
        <v>65</v>
      </c>
      <c r="N595" s="50" t="n">
        <v>2000</v>
      </c>
      <c r="O595" s="53" t="n">
        <v>14</v>
      </c>
      <c r="P595" s="48" t="s">
        <v>306</v>
      </c>
      <c r="Q595" s="50" t="n">
        <v>2303</v>
      </c>
      <c r="R595" s="53" t="n">
        <f aca="false">IF(BW595=1,0,IFERROR(VLOOKUP(BU595,'Gebinde-Kategorie'!$A$5:$N$45,13,0)+0,0))</f>
        <v>26</v>
      </c>
      <c r="S595" s="54"/>
      <c r="T595" s="55"/>
      <c r="U595" s="55"/>
      <c r="V595" s="55"/>
      <c r="W595" s="48"/>
      <c r="X595" s="50"/>
      <c r="Y595" s="50"/>
      <c r="Z595" s="48" t="n">
        <f aca="false">IF(A595="","",IF(AND(Parameter!$B$21="Ja",ISNUMBER(W595)),W595,IF(BZ595="2+3",IF(ISNUMBER(SEARCH("grosser Artikel",BR595)),2,IFERROR(VLOOKUP(BU595,Parameter!$F$35:$G$64,2,0),2)),IF(OR(BZ595="Nein",BZ595=""),"-",BZ595))))</f>
        <v>3</v>
      </c>
      <c r="AA595" s="55"/>
      <c r="AB595" s="56"/>
      <c r="AC595" s="50" t="n">
        <f aca="false">AT595</f>
        <v>2303</v>
      </c>
      <c r="AD595" s="50" t="n">
        <f aca="false">MAX(AT595,H595)</f>
        <v>2303</v>
      </c>
      <c r="AE595" s="57"/>
      <c r="AF595" s="50" t="n">
        <f aca="false">IF(LEFT(Cockpit!$C$5,1)="A",H595,IF(CE595=1,CF595,IF(LEFT(Cockpit!$C$5,1)="B",AK595,MAX(AK595,H595))))</f>
        <v>711</v>
      </c>
      <c r="AG595" s="50" t="n">
        <f aca="false">IF(BW595=1,0,ROUNDUP(AF595/BV595,0))</f>
        <v>1</v>
      </c>
      <c r="AH595" s="52" t="n">
        <f aca="false">IF(CL595&gt;0,CL595*MAX(1,AF595/X595),IF(BW595=1,IF(AF595&lt;=0,0,CA595*MAX(1,IF(H595&gt;0,AF595/H595,1))),IF(R595&gt;0,AG595/R595,0))/MAX(0.1,N(Parameter!$M$21)))</f>
        <v>0.0384615384615385</v>
      </c>
      <c r="AI595" s="50" t="n">
        <f aca="false">AH595*BY595</f>
        <v>5.96153846153846</v>
      </c>
      <c r="AJ595" s="50" t="n">
        <f aca="false">AF595*G595</f>
        <v>120.87</v>
      </c>
      <c r="AK595" s="50" t="n">
        <f aca="false">ROUNDUP(MAX(J595/IF(CD595&gt;0,CD595,MAX(0.1,N(Cockpit!$C$6))),CG595)/BV595,0)*BV595</f>
        <v>2303</v>
      </c>
      <c r="AL595" s="51" t="n">
        <f aca="false">IF(AI595&gt;0,J595/AI595,-1)</f>
        <v>281.806451612903</v>
      </c>
      <c r="AM595" s="51" t="n">
        <f aca="false">IF(AND(OR(CC595="L1",CC595="L23",CC595="LIFT"),AI595&gt;0),SUMIFS($AI$7:$AI$1843,$CC$7:$CC$1843,CC595,$AL$7:$AL$1843,"&gt;"&amp;AL595)+SUMIFS($AI$7:$AI$1843,$CC$7:$CC$1843,CC595,$AL$7:$AL$1843,AL595,$BT$7:$BT$1843,"&lt;="&amp;BT595),"")</f>
        <v>270.356227106227</v>
      </c>
      <c r="AN595" s="58" t="n">
        <f aca="false">IF(AM595="",0,MAX(0,MIN(1,(IF(CC595="L1",Parameter!$H$5,IF(CC595="L23",Parameter!$H$6+Parameter!$H$7,Parameter!$H$5+Parameter!$H$6+Parameter!$H$7))-(AM595-AI595))/AI595)))</f>
        <v>1</v>
      </c>
      <c r="AO595" s="50" t="n">
        <f aca="false">IF(LEFT(Cockpit!$I$5,1)="A",H595,IF(CE595=1,CF595,IF(LEFT(Cockpit!$I$5,1)="B",AT595,MAX(AT595,H595))))</f>
        <v>2303</v>
      </c>
      <c r="AP595" s="50" t="n">
        <f aca="false">IF(BW595=1,0,ROUNDUP(AO595/BV595,0))</f>
        <v>1</v>
      </c>
      <c r="AQ595" s="52" t="n">
        <f aca="false">IF(CL595&gt;0,CL595*MAX(1,AO595/X595),IF(BW595=1,IF(AO595&lt;=0,0,CA595*MAX(1,IF(H595&gt;0,AO595/H595,1))),IF(R595&gt;0,AP595/R595,0))/MAX(0.1,N(Parameter!$M$21)))</f>
        <v>0.0384615384615385</v>
      </c>
      <c r="AR595" s="50" t="n">
        <f aca="false">AQ595*BY595</f>
        <v>5.96153846153846</v>
      </c>
      <c r="AS595" s="50" t="n">
        <f aca="false">AO595*G595</f>
        <v>391.51</v>
      </c>
      <c r="AT595" s="50" t="n">
        <f aca="false">ROUNDUP(MAX(J595/IF(CD595&gt;0,CD595,MAX(0.1,N(Cockpit!$I$6))),CG595)/BV595,0)*BV595</f>
        <v>2303</v>
      </c>
      <c r="AU595" s="51" t="n">
        <f aca="false">IF(AR595&gt;0,J595/AR595,-1)</f>
        <v>281.806451612903</v>
      </c>
      <c r="AV595" s="51" t="n">
        <f aca="false">IF(AND(OR(CC595="L1",CC595="L23",CC595="LIFT"),AR595&gt;0),SUMIFS($AR$7:$AR$1843,$CC$7:$CC$1843,CC595,$AU$7:$AU$1843,"&gt;"&amp;AU595)+SUMIFS($AR$7:$AR$1843,$CC$7:$CC$1843,CC595,$AU$7:$AU$1843,AU595,$BT$7:$BT$1843,"&lt;="&amp;BT595),"")</f>
        <v>196.950091575092</v>
      </c>
      <c r="AW595" s="58" t="n">
        <f aca="false">IF(AV595="",0,MAX(0,MIN(1,(IF(CC595="L1",Parameter!$H$5,IF(CC595="L23",Parameter!$H$6+Parameter!$H$7,Parameter!$H$5+Parameter!$H$6+Parameter!$H$7))-(AV595-AR595))/AR595)))</f>
        <v>1</v>
      </c>
      <c r="AX595" s="50" t="n">
        <f aca="false">IF(LEFT(Cockpit!$O$5,1)="A",H595,IF(CE595=1,CF595,IF(LEFT(Cockpit!$O$5,1)="B",BC595,MAX(BC595,H595))))</f>
        <v>2303</v>
      </c>
      <c r="AY595" s="50" t="n">
        <f aca="false">IF(BW595=1,0,ROUNDUP(AX595/BV595,0))</f>
        <v>1</v>
      </c>
      <c r="AZ595" s="52" t="n">
        <f aca="false">IF(CL595&gt;0,CL595*MAX(1,AX595/X595),IF(BW595=1,IF(AX595&lt;=0,0,CA595*MAX(1,IF(H595&gt;0,AX595/H595,1))),IF(R595&gt;0,AY595/R595,0))/MAX(0.1,N(Parameter!$M$21)))</f>
        <v>0.0384615384615385</v>
      </c>
      <c r="BA595" s="50" t="n">
        <f aca="false">AZ595*BY595</f>
        <v>5.96153846153846</v>
      </c>
      <c r="BB595" s="50" t="n">
        <f aca="false">AX595*G595</f>
        <v>391.51</v>
      </c>
      <c r="BC595" s="50" t="n">
        <f aca="false">ROUNDUP(MAX(J595/IF(CD595&gt;0,CD595,MAX(0.1,N(Cockpit!$O$6))),CG595)/BV595,0)*BV595</f>
        <v>2303</v>
      </c>
      <c r="BD595" s="51" t="n">
        <f aca="false">IF(BA595&gt;0,J595/BA595,-1)</f>
        <v>281.806451612903</v>
      </c>
      <c r="BE595" s="51" t="n">
        <f aca="false">IF(AND(OR(CC595="L1",CC595="L23",CC595="LIFT"),BA595&gt;0),SUMIFS($BA$7:$BA$1843,$CC$7:$CC$1843,CC595,$BD$7:$BD$1843,"&gt;"&amp;BD595)+SUMIFS($BA$7:$BA$1843,$CC$7:$CC$1843,CC595,$BD$7:$BD$1843,BD595,$BT$7:$BT$1843,"&lt;="&amp;BT595),"")</f>
        <v>209.834706959707</v>
      </c>
      <c r="BF595" s="58" t="n">
        <f aca="false">IF(BE595="",0,MAX(0,MIN(1,(IF(CC595="L1",Parameter!$H$5,IF(CC595="L23",Parameter!$H$6+Parameter!$H$7,Parameter!$H$5+Parameter!$H$6+Parameter!$H$7))-(BE595-BA595))/BA595)))</f>
        <v>1</v>
      </c>
      <c r="BG595" s="48" t="str">
        <f aca="false">IF(AI595&lt;=0,"",IF(CC595="Aussen","Aussenlager",IF(CC595="-","Nicht im Lift",IF(AN595&gt;=1,"Lift",IF(AN595&lt;=0,"Aussenlager","teilweise")))))</f>
        <v>Lift</v>
      </c>
      <c r="BH595" s="48" t="str">
        <f aca="false">IF(AR595&lt;=0,"",IF(CC595="Aussen","Aussenlager",IF(CC595="-","Nicht im Lift",IF(AW595&gt;=1,"Lift",IF(AW595&lt;=0,"Aussenlager","teilweise")))))</f>
        <v>Lift</v>
      </c>
      <c r="BI595" s="48" t="str">
        <f aca="false">IF(BA595&lt;=0,"",IF(CC595="Aussen","Aussenlager",IF(CC595="-","Nicht im Lift",IF(BF595&gt;=1,"Lift",IF(BF595&lt;=0,"Aussenlager","teilweise")))))</f>
        <v>Lift</v>
      </c>
      <c r="BJ595" s="48" t="str">
        <f aca="false">IF(A595="","",IF(BS595=1,"Neu; ","")&amp;IF(AND(BS595=0,BN595&lt;0),"negativer Bestand (Export "&amp;BN595&amp;"); ","")&amp;IF(J595&lt;=0,"Kein Verbrauch; ","")&amp;IF(CL595&gt;0,"Lift "&amp;W595&amp;" lt. Liftbericht (Fach "&amp;X595&amp;" Stk); ",IF(BX595=1,"Gebinde geschätzt ("&amp;T595&amp;"); ",IF(BW595=1,"Lose – Tablare geschätzt; ","")))&amp;IF(H595&gt;AT595,"Überbestand "&amp;ROUND(H595-AT595,0)&amp;" Stk / CHF "&amp;ROUND((H595-AT595)*G595,0)&amp;"; ","")&amp;IF(AND(CE595=1,CF595&lt;CG595),"MAX &lt; MB+LG; ","")&amp;IF(AND(CK595&gt;0,CJ595*10&gt;CK595),"zu hoch für Tablar; ","")&amp;IF(AND(BS595=0,OR(CE595=1,AA595&lt;&gt;"",U595&lt;&gt;"",V595&lt;&gt;"",AB595&lt;&gt;"")),"manuell übersteuert; ","")&amp;IF(AND(BW595=0,R595=0),"Gebinde unbekannt / Stellmass fehlt; ","")&amp;IF(AND(BW595=0,N(V595)&lt;=0,N(Q595)&lt;=0),"Menge pro Gebinde fehlt (Ist = 1 Gebinde); ","")&amp;BR595)</f>
        <v/>
      </c>
      <c r="BK595" s="48"/>
      <c r="BL595" s="48"/>
      <c r="BM595" s="55"/>
      <c r="BN595" s="50" t="n">
        <v>42</v>
      </c>
      <c r="BO595" s="50" t="n">
        <v>669</v>
      </c>
      <c r="BP595" s="49" t="n">
        <v>7.14</v>
      </c>
      <c r="BQ595" s="50" t="n">
        <v>1680</v>
      </c>
      <c r="BR595" s="48"/>
      <c r="BS595" s="53" t="n">
        <v>0</v>
      </c>
      <c r="BT595" s="53" t="n">
        <v>595</v>
      </c>
      <c r="BU595" s="48" t="str">
        <f aca="false">IF(U595&lt;&gt;"",UPPER(TRIM(U595)),IF(BX595=1,UPPER(VLOOKUP(T595,Parameter!$I$27:$K$29,2,0)),IF(P595="","LOSE",P595)))</f>
        <v>S51</v>
      </c>
      <c r="BV595" s="50" t="n">
        <f aca="false">IF(BU595="LOSE",1,IF(N(V595)&gt;0,V595,IF(BX595=1,MAX(1,N(VLOOKUP(T595,Parameter!$I$27:$K$29,3,0)),H595,N(N595)),IF(N(Q595)&gt;0,Q595,MAX(1,H595)))))</f>
        <v>2303</v>
      </c>
      <c r="BW595" s="53" t="n">
        <f aca="false">IF(BU595="LOSE",1,0)</f>
        <v>0</v>
      </c>
      <c r="BX595" s="53" t="n">
        <f aca="false">IF(AND(U595="",OR(P595="",P595="LOSE"),T595&lt;&gt;"",N(S595)&lt;=0,ISNUMBER(MATCH(T595,Parameter!$I$27:$I$29,0))),1,0)</f>
        <v>0</v>
      </c>
      <c r="BY595" s="53" t="n">
        <f aca="false">IF(CL595&gt;0,INDEX(Parameter!$H$5:$H$7,W595)/INDEX(Parameter!$E$5:$E$7,W595),IF(AND(BW595=0,N(IFERROR(VLOOKUP(BU595,'Gebinde-Kategorie'!$A$5:$N$45,14,0),0))&gt;0),VLOOKUP(BU595,'Gebinde-Kategorie'!$A$5:$N$45,14,0)*10+Parameter!$M$23,Parameter!$M$24))</f>
        <v>155</v>
      </c>
      <c r="BZ595" s="48" t="str">
        <f aca="false">IF(AND(Parameter!$B$19="Ja",E595&lt;&gt;"",ISNUMBER(MATCH(E595,Parameter!$I$35:$I$52,0))),VLOOKUP(E595,Parameter!$I$35:$J$52,2,0),IFERROR(VLOOKUP(D595,Parameter!$A$35:$C$64,2,0),"Nein"))</f>
        <v>2+3</v>
      </c>
      <c r="CA595" s="52" t="n">
        <f aca="false">IF(BW595=0,0,IF(N(S595)&gt;0,S595,IFERROR(VLOOKUP(D595,Parameter!$A$35:$C$64,3,0)+0,0)))</f>
        <v>0</v>
      </c>
      <c r="CB595" s="48" t="n">
        <f aca="false">IF(AA595&lt;&gt;"",AA595,Z595)</f>
        <v>3</v>
      </c>
      <c r="CC595" s="48" t="str">
        <f aca="false">IF(OR(CB595=1,CB595=2,CB595=3),IF(Parameter!$E$27="Ja","LIFT",IF(CB595=1,"L1","L23")),IF(CB595="Aussen","Aussen","-"))</f>
        <v>LIFT</v>
      </c>
      <c r="CD595" s="59" t="n">
        <f aca="false">IF(N(AB595)&gt;0,AB595,0)</f>
        <v>0</v>
      </c>
      <c r="CE595" s="53" t="n">
        <f aca="false">IF(ISNUMBER(AE595),1,0)</f>
        <v>0</v>
      </c>
      <c r="CF595" s="50" t="n">
        <f aca="false">N(AE595)</f>
        <v>0</v>
      </c>
      <c r="CG595" s="50" t="n">
        <f aca="false">N(M595)+N(N595)</f>
        <v>2065</v>
      </c>
      <c r="CH595" s="50" t="n">
        <f aca="false">ROUNDUP(H595/BV595,0)</f>
        <v>1</v>
      </c>
      <c r="CI595" s="50" t="n">
        <f aca="false">ROUNDUP(CF595/BV595,0)</f>
        <v>0</v>
      </c>
      <c r="CJ595" s="53" t="n">
        <f aca="false">IF(BW595=1,0,IFERROR(VLOOKUP(BU595,'Gebinde-Kategorie'!$A$5:$N$45,5,0)+0,0))</f>
        <v>11</v>
      </c>
      <c r="CK595" s="53" t="n">
        <f aca="false">IFERROR(IF(OR(CB595=1,CB595=2,CB595=3),N(INDEX(Parameter!$I$5:$I$7,CB595)),0),0)</f>
        <v>0</v>
      </c>
      <c r="CL595" s="52" t="n">
        <f aca="false">IF(AND(Parameter!$B$21="Ja",ISNUMBER(W595),N(X595)&gt;0),IFERROR(N(INDEX(Parameter!$L$5:$L$7,W595))*INDEX(Parameter!$E$5:$E$7,W595)*X595/SUMIFS($X$7:$X$1843,$W$7:$W$1843,W595),0),0)</f>
        <v>0</v>
      </c>
    </row>
    <row r="596" customFormat="false" ht="15" hidden="false" customHeight="false" outlineLevel="0" collapsed="false">
      <c r="A596" s="48" t="s">
        <v>1243</v>
      </c>
      <c r="B596" s="48" t="s">
        <v>378</v>
      </c>
      <c r="C596" s="48" t="s">
        <v>168</v>
      </c>
      <c r="D596" s="48" t="s">
        <v>188</v>
      </c>
      <c r="E596" s="48" t="s">
        <v>189</v>
      </c>
      <c r="F596" s="48" t="s">
        <v>222</v>
      </c>
      <c r="G596" s="49" t="n">
        <v>0.15</v>
      </c>
      <c r="H596" s="50" t="n">
        <f aca="false">MAX(0,IF(AND(Parameter!$B$21="Ja",ISNUMBER(Y596)),Y596,IF(Parameter!$B$20="Jahresanfang 2025 + Export",BO596+BN596,BN596)))</f>
        <v>446</v>
      </c>
      <c r="I596" s="50" t="n">
        <f aca="false">H596*G596</f>
        <v>66.9</v>
      </c>
      <c r="J596" s="50" t="n">
        <f aca="false">BQ596*Parameter!$B$18</f>
        <v>0</v>
      </c>
      <c r="K596" s="51" t="n">
        <v>423</v>
      </c>
      <c r="L596" s="52" t="n">
        <v>0</v>
      </c>
      <c r="M596" s="50" t="n">
        <v>0</v>
      </c>
      <c r="N596" s="50" t="n">
        <v>1</v>
      </c>
      <c r="O596" s="53" t="n">
        <v>21</v>
      </c>
      <c r="P596" s="48" t="s">
        <v>425</v>
      </c>
      <c r="Q596" s="50" t="n">
        <v>406</v>
      </c>
      <c r="R596" s="53" t="n">
        <f aca="false">IF(BW596=1,0,IFERROR(VLOOKUP(BU596,'Gebinde-Kategorie'!$A$5:$N$45,13,0)+0,0))</f>
        <v>104</v>
      </c>
      <c r="S596" s="54"/>
      <c r="T596" s="55"/>
      <c r="U596" s="55"/>
      <c r="V596" s="55"/>
      <c r="W596" s="48"/>
      <c r="X596" s="50"/>
      <c r="Y596" s="50"/>
      <c r="Z596" s="48" t="n">
        <f aca="false">IF(A596="","",IF(AND(Parameter!$B$21="Ja",ISNUMBER(W596)),W596,IF(BZ596="2+3",IF(ISNUMBER(SEARCH("grosser Artikel",BR596)),2,IFERROR(VLOOKUP(BU596,Parameter!$F$35:$G$64,2,0),2)),IF(OR(BZ596="Nein",BZ596=""),"-",BZ596))))</f>
        <v>3</v>
      </c>
      <c r="AA596" s="55"/>
      <c r="AB596" s="56"/>
      <c r="AC596" s="50" t="n">
        <f aca="false">AT596</f>
        <v>406</v>
      </c>
      <c r="AD596" s="50" t="n">
        <f aca="false">MAX(AT596,H596)</f>
        <v>446</v>
      </c>
      <c r="AE596" s="57"/>
      <c r="AF596" s="50" t="n">
        <f aca="false">IF(LEFT(Cockpit!$C$5,1)="A",H596,IF(CE596=1,CF596,IF(LEFT(Cockpit!$C$5,1)="B",AK596,MAX(AK596,H596))))</f>
        <v>446</v>
      </c>
      <c r="AG596" s="50" t="n">
        <f aca="false">IF(BW596=1,0,ROUNDUP(AF596/BV596,0))</f>
        <v>2</v>
      </c>
      <c r="AH596" s="52" t="n">
        <f aca="false">IF(CL596&gt;0,CL596*MAX(1,AF596/X596),IF(BW596=1,IF(AF596&lt;=0,0,CA596*MAX(1,IF(H596&gt;0,AF596/H596,1))),IF(R596&gt;0,AG596/R596,0))/MAX(0.1,N(Parameter!$M$21)))</f>
        <v>0.0192307692307692</v>
      </c>
      <c r="AI596" s="50" t="n">
        <f aca="false">AH596*BY596</f>
        <v>2.98076923076923</v>
      </c>
      <c r="AJ596" s="50" t="n">
        <f aca="false">AF596*G596</f>
        <v>66.9</v>
      </c>
      <c r="AK596" s="50" t="n">
        <f aca="false">ROUNDUP(MAX(J596/IF(CD596&gt;0,CD596,MAX(0.1,N(Cockpit!$C$6))),CG596)/BV596,0)*BV596</f>
        <v>406</v>
      </c>
      <c r="AL596" s="51" t="n">
        <f aca="false">IF(AI596&gt;0,J596/AI596,-1)</f>
        <v>0</v>
      </c>
      <c r="AM596" s="51" t="n">
        <f aca="false">IF(AND(OR(CC596="L1",CC596="L23",CC596="LIFT"),AI596&gt;0),SUMIFS($AI$7:$AI$1843,$CC$7:$CC$1843,CC596,$AL$7:$AL$1843,"&gt;"&amp;AL596)+SUMIFS($AI$7:$AI$1843,$CC$7:$CC$1843,CC596,$AL$7:$AL$1843,AL596,$BT$7:$BT$1843,"&lt;="&amp;BT596),"")</f>
        <v>28523.0427505639</v>
      </c>
      <c r="AN596" s="58" t="n">
        <f aca="false">IF(AM596="",0,MAX(0,MIN(1,(IF(CC596="L1",Parameter!$H$5,IF(CC596="L23",Parameter!$H$6+Parameter!$H$7,Parameter!$H$5+Parameter!$H$6+Parameter!$H$7))-(AM596-AI596))/AI596)))</f>
        <v>1</v>
      </c>
      <c r="AO596" s="50" t="n">
        <f aca="false">IF(LEFT(Cockpit!$I$5,1)="A",H596,IF(CE596=1,CF596,IF(LEFT(Cockpit!$I$5,1)="B",AT596,MAX(AT596,H596))))</f>
        <v>446</v>
      </c>
      <c r="AP596" s="50" t="n">
        <f aca="false">IF(BW596=1,0,ROUNDUP(AO596/BV596,0))</f>
        <v>2</v>
      </c>
      <c r="AQ596" s="52" t="n">
        <f aca="false">IF(CL596&gt;0,CL596*MAX(1,AO596/X596),IF(BW596=1,IF(AO596&lt;=0,0,CA596*MAX(1,IF(H596&gt;0,AO596/H596,1))),IF(R596&gt;0,AP596/R596,0))/MAX(0.1,N(Parameter!$M$21)))</f>
        <v>0.0192307692307692</v>
      </c>
      <c r="AR596" s="50" t="n">
        <f aca="false">AQ596*BY596</f>
        <v>2.98076923076923</v>
      </c>
      <c r="AS596" s="50" t="n">
        <f aca="false">AO596*G596</f>
        <v>66.9</v>
      </c>
      <c r="AT596" s="50" t="n">
        <f aca="false">ROUNDUP(MAX(J596/IF(CD596&gt;0,CD596,MAX(0.1,N(Cockpit!$I$6))),CG596)/BV596,0)*BV596</f>
        <v>406</v>
      </c>
      <c r="AU596" s="51" t="n">
        <f aca="false">IF(AR596&gt;0,J596/AR596,-1)</f>
        <v>0</v>
      </c>
      <c r="AV596" s="51" t="n">
        <f aca="false">IF(AND(OR(CC596="L1",CC596="L23",CC596="LIFT"),AR596&gt;0),SUMIFS($AR$7:$AR$1843,$CC$7:$CC$1843,CC596,$AU$7:$AU$1843,"&gt;"&amp;AU596)+SUMIFS($AR$7:$AR$1843,$CC$7:$CC$1843,CC596,$AU$7:$AU$1843,AU596,$BT$7:$BT$1843,"&lt;="&amp;BT596),"")</f>
        <v>39835.9482678339</v>
      </c>
      <c r="AW596" s="58" t="n">
        <f aca="false">IF(AV596="",0,MAX(0,MIN(1,(IF(CC596="L1",Parameter!$H$5,IF(CC596="L23",Parameter!$H$6+Parameter!$H$7,Parameter!$H$5+Parameter!$H$6+Parameter!$H$7))-(AV596-AR596))/AR596)))</f>
        <v>0</v>
      </c>
      <c r="AX596" s="50" t="n">
        <f aca="false">IF(LEFT(Cockpit!$O$5,1)="A",H596,IF(CE596=1,CF596,IF(LEFT(Cockpit!$O$5,1)="B",BC596,MAX(BC596,H596))))</f>
        <v>446</v>
      </c>
      <c r="AY596" s="50" t="n">
        <f aca="false">IF(BW596=1,0,ROUNDUP(AX596/BV596,0))</f>
        <v>2</v>
      </c>
      <c r="AZ596" s="52" t="n">
        <f aca="false">IF(CL596&gt;0,CL596*MAX(1,AX596/X596),IF(BW596=1,IF(AX596&lt;=0,0,CA596*MAX(1,IF(H596&gt;0,AX596/H596,1))),IF(R596&gt;0,AY596/R596,0))/MAX(0.1,N(Parameter!$M$21)))</f>
        <v>0.0192307692307692</v>
      </c>
      <c r="BA596" s="50" t="n">
        <f aca="false">AZ596*BY596</f>
        <v>2.98076923076923</v>
      </c>
      <c r="BB596" s="50" t="n">
        <f aca="false">AX596*G596</f>
        <v>66.9</v>
      </c>
      <c r="BC596" s="50" t="n">
        <f aca="false">ROUNDUP(MAX(J596/IF(CD596&gt;0,CD596,MAX(0.1,N(Cockpit!$O$6))),CG596)/BV596,0)*BV596</f>
        <v>406</v>
      </c>
      <c r="BD596" s="51" t="n">
        <f aca="false">IF(BA596&gt;0,J596/BA596,-1)</f>
        <v>0</v>
      </c>
      <c r="BE596" s="51" t="n">
        <f aca="false">IF(AND(OR(CC596="L1",CC596="L23",CC596="LIFT"),BA596&gt;0),SUMIFS($BA$7:$BA$1843,$CC$7:$CC$1843,CC596,$BD$7:$BD$1843,"&gt;"&amp;BD596)+SUMIFS($BA$7:$BA$1843,$CC$7:$CC$1843,CC596,$BD$7:$BD$1843,BD596,$BT$7:$BT$1843,"&lt;="&amp;BT596),"")</f>
        <v>36510.9603096997</v>
      </c>
      <c r="BF596" s="58" t="n">
        <f aca="false">IF(BE596="",0,MAX(0,MIN(1,(IF(CC596="L1",Parameter!$H$5,IF(CC596="L23",Parameter!$H$6+Parameter!$H$7,Parameter!$H$5+Parameter!$H$6+Parameter!$H$7))-(BE596-BA596))/BA596)))</f>
        <v>0</v>
      </c>
      <c r="BG596" s="48" t="str">
        <f aca="false">IF(AI596&lt;=0,"",IF(CC596="Aussen","Aussenlager",IF(CC596="-","Nicht im Lift",IF(AN596&gt;=1,"Lift",IF(AN596&lt;=0,"Aussenlager","teilweise")))))</f>
        <v>Lift</v>
      </c>
      <c r="BH596" s="48" t="str">
        <f aca="false">IF(AR596&lt;=0,"",IF(CC596="Aussen","Aussenlager",IF(CC596="-","Nicht im Lift",IF(AW596&gt;=1,"Lift",IF(AW596&lt;=0,"Aussenlager","teilweise")))))</f>
        <v>Aussenlager</v>
      </c>
      <c r="BI596" s="48" t="str">
        <f aca="false">IF(BA596&lt;=0,"",IF(CC596="Aussen","Aussenlager",IF(CC596="-","Nicht im Lift",IF(BF596&gt;=1,"Lift",IF(BF596&lt;=0,"Aussenlager","teilweise")))))</f>
        <v>Aussenlager</v>
      </c>
      <c r="BJ596" s="48" t="str">
        <f aca="false">IF(A596="","",IF(BS596=1,"Neu; ","")&amp;IF(AND(BS596=0,BN596&lt;0),"negativer Bestand (Export "&amp;BN596&amp;"); ","")&amp;IF(J596&lt;=0,"Kein Verbrauch; ","")&amp;IF(CL596&gt;0,"Lift "&amp;W596&amp;" lt. Liftbericht (Fach "&amp;X596&amp;" Stk); ",IF(BX596=1,"Gebinde geschätzt ("&amp;T596&amp;"); ",IF(BW596=1,"Lose – Tablare geschätzt; ","")))&amp;IF(H596&gt;AT596,"Überbestand "&amp;ROUND(H596-AT596,0)&amp;" Stk / CHF "&amp;ROUND((H596-AT596)*G596,0)&amp;"; ","")&amp;IF(AND(CE596=1,CF596&lt;CG596),"MAX &lt; MB+LG; ","")&amp;IF(AND(CK596&gt;0,CJ596*10&gt;CK596),"zu hoch für Tablar; ","")&amp;IF(AND(BS596=0,OR(CE596=1,AA596&lt;&gt;"",U596&lt;&gt;"",V596&lt;&gt;"",AB596&lt;&gt;"")),"manuell übersteuert; ","")&amp;IF(AND(BW596=0,R596=0),"Gebinde unbekannt / Stellmass fehlt; ","")&amp;IF(AND(BW596=0,N(V596)&lt;=0,N(Q596)&lt;=0),"Menge pro Gebinde fehlt (Ist = 1 Gebinde); ","")&amp;BR596)</f>
        <v>Kein Verbrauch; Überbestand 40 Stk / CHF 6; Neu</v>
      </c>
      <c r="BK596" s="48"/>
      <c r="BL596" s="48"/>
      <c r="BM596" s="55"/>
      <c r="BN596" s="50" t="n">
        <v>46</v>
      </c>
      <c r="BO596" s="50" t="n">
        <v>400</v>
      </c>
      <c r="BP596" s="49" t="n">
        <v>6.9</v>
      </c>
      <c r="BQ596" s="50" t="n">
        <v>0</v>
      </c>
      <c r="BR596" s="48" t="s">
        <v>630</v>
      </c>
      <c r="BS596" s="53" t="n">
        <v>0</v>
      </c>
      <c r="BT596" s="53" t="n">
        <v>596</v>
      </c>
      <c r="BU596" s="48" t="str">
        <f aca="false">IF(U596&lt;&gt;"",UPPER(TRIM(U596)),IF(BX596=1,UPPER(VLOOKUP(T596,Parameter!$I$27:$K$29,2,0)),IF(P596="","LOSE",P596)))</f>
        <v>S32</v>
      </c>
      <c r="BV596" s="50" t="n">
        <f aca="false">IF(BU596="LOSE",1,IF(N(V596)&gt;0,V596,IF(BX596=1,MAX(1,N(VLOOKUP(T596,Parameter!$I$27:$K$29,3,0)),H596,N(N596)),IF(N(Q596)&gt;0,Q596,MAX(1,H596)))))</f>
        <v>406</v>
      </c>
      <c r="BW596" s="53" t="n">
        <f aca="false">IF(BU596="LOSE",1,0)</f>
        <v>0</v>
      </c>
      <c r="BX596" s="53" t="n">
        <f aca="false">IF(AND(U596="",OR(P596="",P596="LOSE"),T596&lt;&gt;"",N(S596)&lt;=0,ISNUMBER(MATCH(T596,Parameter!$I$27:$I$29,0))),1,0)</f>
        <v>0</v>
      </c>
      <c r="BY596" s="53" t="n">
        <f aca="false">IF(CL596&gt;0,INDEX(Parameter!$H$5:$H$7,W596)/INDEX(Parameter!$E$5:$E$7,W596),IF(AND(BW596=0,N(IFERROR(VLOOKUP(BU596,'Gebinde-Kategorie'!$A$5:$N$45,14,0),0))&gt;0),VLOOKUP(BU596,'Gebinde-Kategorie'!$A$5:$N$45,14,0)*10+Parameter!$M$23,Parameter!$M$24))</f>
        <v>155</v>
      </c>
      <c r="BZ596" s="48" t="str">
        <f aca="false">IF(AND(Parameter!$B$19="Ja",E596&lt;&gt;"",ISNUMBER(MATCH(E596,Parameter!$I$35:$I$52,0))),VLOOKUP(E596,Parameter!$I$35:$J$52,2,0),IFERROR(VLOOKUP(D596,Parameter!$A$35:$C$64,2,0),"Nein"))</f>
        <v>2+3</v>
      </c>
      <c r="CA596" s="52" t="n">
        <f aca="false">IF(BW596=0,0,IF(N(S596)&gt;0,S596,IFERROR(VLOOKUP(D596,Parameter!$A$35:$C$64,3,0)+0,0)))</f>
        <v>0</v>
      </c>
      <c r="CB596" s="48" t="n">
        <f aca="false">IF(AA596&lt;&gt;"",AA596,Z596)</f>
        <v>3</v>
      </c>
      <c r="CC596" s="48" t="str">
        <f aca="false">IF(OR(CB596=1,CB596=2,CB596=3),IF(Parameter!$E$27="Ja","LIFT",IF(CB596=1,"L1","L23")),IF(CB596="Aussen","Aussen","-"))</f>
        <v>LIFT</v>
      </c>
      <c r="CD596" s="59" t="n">
        <f aca="false">IF(N(AB596)&gt;0,AB596,0)</f>
        <v>0</v>
      </c>
      <c r="CE596" s="53" t="n">
        <f aca="false">IF(ISNUMBER(AE596),1,0)</f>
        <v>0</v>
      </c>
      <c r="CF596" s="50" t="n">
        <f aca="false">N(AE596)</f>
        <v>0</v>
      </c>
      <c r="CG596" s="50" t="n">
        <f aca="false">N(M596)+N(N596)</f>
        <v>1</v>
      </c>
      <c r="CH596" s="50" t="n">
        <f aca="false">ROUNDUP(H596/BV596,0)</f>
        <v>2</v>
      </c>
      <c r="CI596" s="50" t="n">
        <f aca="false">ROUNDUP(CF596/BV596,0)</f>
        <v>0</v>
      </c>
      <c r="CJ596" s="53" t="n">
        <f aca="false">IF(BW596=1,0,IFERROR(VLOOKUP(BU596,'Gebinde-Kategorie'!$A$5:$N$45,5,0)+0,0))</f>
        <v>8</v>
      </c>
      <c r="CK596" s="53" t="n">
        <f aca="false">IFERROR(IF(OR(CB596=1,CB596=2,CB596=3),N(INDEX(Parameter!$I$5:$I$7,CB596)),0),0)</f>
        <v>0</v>
      </c>
      <c r="CL596" s="52" t="n">
        <f aca="false">IF(AND(Parameter!$B$21="Ja",ISNUMBER(W596),N(X596)&gt;0),IFERROR(N(INDEX(Parameter!$L$5:$L$7,W596))*INDEX(Parameter!$E$5:$E$7,W596)*X596/SUMIFS($X$7:$X$1843,$W$7:$W$1843,W596),0),0)</f>
        <v>0</v>
      </c>
    </row>
    <row r="597" customFormat="false" ht="15" hidden="false" customHeight="false" outlineLevel="0" collapsed="false">
      <c r="A597" s="48" t="s">
        <v>1244</v>
      </c>
      <c r="B597" s="48" t="s">
        <v>1169</v>
      </c>
      <c r="C597" s="48" t="s">
        <v>168</v>
      </c>
      <c r="D597" s="48" t="s">
        <v>177</v>
      </c>
      <c r="E597" s="48"/>
      <c r="F597" s="48" t="s">
        <v>222</v>
      </c>
      <c r="G597" s="49" t="n">
        <v>6.8</v>
      </c>
      <c r="H597" s="50" t="n">
        <f aca="false">MAX(0,IF(AND(Parameter!$B$21="Ja",ISNUMBER(Y597)),Y597,IF(Parameter!$B$20="Jahresanfang 2025 + Export",BO597+BN597,BN597)))</f>
        <v>1</v>
      </c>
      <c r="I597" s="50" t="n">
        <f aca="false">H597*G597</f>
        <v>6.8</v>
      </c>
      <c r="J597" s="50" t="n">
        <f aca="false">BQ597*Parameter!$B$18</f>
        <v>0</v>
      </c>
      <c r="K597" s="51" t="n">
        <v>0</v>
      </c>
      <c r="L597" s="52" t="n">
        <v>0</v>
      </c>
      <c r="M597" s="50" t="n">
        <v>0</v>
      </c>
      <c r="N597" s="50" t="n">
        <v>1</v>
      </c>
      <c r="O597" s="53" t="n">
        <v>21</v>
      </c>
      <c r="P597" s="48" t="s">
        <v>172</v>
      </c>
      <c r="Q597" s="50"/>
      <c r="R597" s="53" t="n">
        <f aca="false">IF(BW597=1,0,IFERROR(VLOOKUP(BU597,'Gebinde-Kategorie'!$A$5:$N$45,13,0)+0,0))</f>
        <v>26</v>
      </c>
      <c r="S597" s="54"/>
      <c r="T597" s="55" t="s">
        <v>279</v>
      </c>
      <c r="U597" s="55"/>
      <c r="V597" s="55"/>
      <c r="W597" s="48"/>
      <c r="X597" s="50"/>
      <c r="Y597" s="50"/>
      <c r="Z597" s="48" t="n">
        <f aca="false">IF(A597="","",IF(AND(Parameter!$B$21="Ja",ISNUMBER(W597)),W597,IF(BZ597="2+3",IF(ISNUMBER(SEARCH("grosser Artikel",BR597)),2,IFERROR(VLOOKUP(BU597,Parameter!$F$35:$G$64,2,0),2)),IF(OR(BZ597="Nein",BZ597=""),"-",BZ597))))</f>
        <v>3</v>
      </c>
      <c r="AA597" s="55"/>
      <c r="AB597" s="56"/>
      <c r="AC597" s="50" t="n">
        <f aca="false">AT597</f>
        <v>20</v>
      </c>
      <c r="AD597" s="50" t="n">
        <f aca="false">MAX(AT597,H597)</f>
        <v>20</v>
      </c>
      <c r="AE597" s="57"/>
      <c r="AF597" s="50" t="n">
        <f aca="false">IF(LEFT(Cockpit!$C$5,1)="A",H597,IF(CE597=1,CF597,IF(LEFT(Cockpit!$C$5,1)="B",AK597,MAX(AK597,H597))))</f>
        <v>1</v>
      </c>
      <c r="AG597" s="50" t="n">
        <f aca="false">IF(BW597=1,0,ROUNDUP(AF597/BV597,0))</f>
        <v>1</v>
      </c>
      <c r="AH597" s="52" t="n">
        <f aca="false">IF(CL597&gt;0,CL597*MAX(1,AF597/X597),IF(BW597=1,IF(AF597&lt;=0,0,CA597*MAX(1,IF(H597&gt;0,AF597/H597,1))),IF(R597&gt;0,AG597/R597,0))/MAX(0.1,N(Parameter!$M$21)))</f>
        <v>0.0384615384615385</v>
      </c>
      <c r="AI597" s="50" t="n">
        <f aca="false">AH597*BY597</f>
        <v>5.96153846153846</v>
      </c>
      <c r="AJ597" s="50" t="n">
        <f aca="false">AF597*G597</f>
        <v>6.8</v>
      </c>
      <c r="AK597" s="50" t="n">
        <f aca="false">ROUNDUP(MAX(J597/IF(CD597&gt;0,CD597,MAX(0.1,N(Cockpit!$C$6))),CG597)/BV597,0)*BV597</f>
        <v>20</v>
      </c>
      <c r="AL597" s="51" t="n">
        <f aca="false">IF(AI597&gt;0,J597/AI597,-1)</f>
        <v>0</v>
      </c>
      <c r="AM597" s="51" t="n">
        <f aca="false">IF(AND(OR(CC597="L1",CC597="L23",CC597="LIFT"),AI597&gt;0),SUMIFS($AI$7:$AI$1843,$CC$7:$CC$1843,CC597,$AL$7:$AL$1843,"&gt;"&amp;AL597)+SUMIFS($AI$7:$AI$1843,$CC$7:$CC$1843,CC597,$AL$7:$AL$1843,AL597,$BT$7:$BT$1843,"&lt;="&amp;BT597),"")</f>
        <v>28529.0042890255</v>
      </c>
      <c r="AN597" s="58" t="n">
        <f aca="false">IF(AM597="",0,MAX(0,MIN(1,(IF(CC597="L1",Parameter!$H$5,IF(CC597="L23",Parameter!$H$6+Parameter!$H$7,Parameter!$H$5+Parameter!$H$6+Parameter!$H$7))-(AM597-AI597))/AI597)))</f>
        <v>1</v>
      </c>
      <c r="AO597" s="50" t="n">
        <f aca="false">IF(LEFT(Cockpit!$I$5,1)="A",H597,IF(CE597=1,CF597,IF(LEFT(Cockpit!$I$5,1)="B",AT597,MAX(AT597,H597))))</f>
        <v>20</v>
      </c>
      <c r="AP597" s="50" t="n">
        <f aca="false">IF(BW597=1,0,ROUNDUP(AO597/BV597,0))</f>
        <v>1</v>
      </c>
      <c r="AQ597" s="52" t="n">
        <f aca="false">IF(CL597&gt;0,CL597*MAX(1,AO597/X597),IF(BW597=1,IF(AO597&lt;=0,0,CA597*MAX(1,IF(H597&gt;0,AO597/H597,1))),IF(R597&gt;0,AP597/R597,0))/MAX(0.1,N(Parameter!$M$21)))</f>
        <v>0.0384615384615385</v>
      </c>
      <c r="AR597" s="50" t="n">
        <f aca="false">AQ597*BY597</f>
        <v>5.96153846153846</v>
      </c>
      <c r="AS597" s="50" t="n">
        <f aca="false">AO597*G597</f>
        <v>136</v>
      </c>
      <c r="AT597" s="50" t="n">
        <f aca="false">ROUNDUP(MAX(J597/IF(CD597&gt;0,CD597,MAX(0.1,N(Cockpit!$I$6))),CG597)/BV597,0)*BV597</f>
        <v>20</v>
      </c>
      <c r="AU597" s="51" t="n">
        <f aca="false">IF(AR597&gt;0,J597/AR597,-1)</f>
        <v>0</v>
      </c>
      <c r="AV597" s="51" t="n">
        <f aca="false">IF(AND(OR(CC597="L1",CC597="L23",CC597="LIFT"),AR597&gt;0),SUMIFS($AR$7:$AR$1843,$CC$7:$CC$1843,CC597,$AU$7:$AU$1843,"&gt;"&amp;AU597)+SUMIFS($AR$7:$AR$1843,$CC$7:$CC$1843,CC597,$AU$7:$AU$1843,AU597,$BT$7:$BT$1843,"&lt;="&amp;BT597),"")</f>
        <v>39841.9098062954</v>
      </c>
      <c r="AW597" s="58" t="n">
        <f aca="false">IF(AV597="",0,MAX(0,MIN(1,(IF(CC597="L1",Parameter!$H$5,IF(CC597="L23",Parameter!$H$6+Parameter!$H$7,Parameter!$H$5+Parameter!$H$6+Parameter!$H$7))-(AV597-AR597))/AR597)))</f>
        <v>0</v>
      </c>
      <c r="AX597" s="50" t="n">
        <f aca="false">IF(LEFT(Cockpit!$O$5,1)="A",H597,IF(CE597=1,CF597,IF(LEFT(Cockpit!$O$5,1)="B",BC597,MAX(BC597,H597))))</f>
        <v>20</v>
      </c>
      <c r="AY597" s="50" t="n">
        <f aca="false">IF(BW597=1,0,ROUNDUP(AX597/BV597,0))</f>
        <v>1</v>
      </c>
      <c r="AZ597" s="52" t="n">
        <f aca="false">IF(CL597&gt;0,CL597*MAX(1,AX597/X597),IF(BW597=1,IF(AX597&lt;=0,0,CA597*MAX(1,IF(H597&gt;0,AX597/H597,1))),IF(R597&gt;0,AY597/R597,0))/MAX(0.1,N(Parameter!$M$21)))</f>
        <v>0.0384615384615385</v>
      </c>
      <c r="BA597" s="50" t="n">
        <f aca="false">AZ597*BY597</f>
        <v>5.96153846153846</v>
      </c>
      <c r="BB597" s="50" t="n">
        <f aca="false">AX597*G597</f>
        <v>136</v>
      </c>
      <c r="BC597" s="50" t="n">
        <f aca="false">ROUNDUP(MAX(J597/IF(CD597&gt;0,CD597,MAX(0.1,N(Cockpit!$O$6))),CG597)/BV597,0)*BV597</f>
        <v>20</v>
      </c>
      <c r="BD597" s="51" t="n">
        <f aca="false">IF(BA597&gt;0,J597/BA597,-1)</f>
        <v>0</v>
      </c>
      <c r="BE597" s="51" t="n">
        <f aca="false">IF(AND(OR(CC597="L1",CC597="L23",CC597="LIFT"),BA597&gt;0),SUMIFS($BA$7:$BA$1843,$CC$7:$CC$1843,CC597,$BD$7:$BD$1843,"&gt;"&amp;BD597)+SUMIFS($BA$7:$BA$1843,$CC$7:$CC$1843,CC597,$BD$7:$BD$1843,BD597,$BT$7:$BT$1843,"&lt;="&amp;BT597),"")</f>
        <v>36516.9218481613</v>
      </c>
      <c r="BF597" s="58" t="n">
        <f aca="false">IF(BE597="",0,MAX(0,MIN(1,(IF(CC597="L1",Parameter!$H$5,IF(CC597="L23",Parameter!$H$6+Parameter!$H$7,Parameter!$H$5+Parameter!$H$6+Parameter!$H$7))-(BE597-BA597))/BA597)))</f>
        <v>0</v>
      </c>
      <c r="BG597" s="48" t="str">
        <f aca="false">IF(AI597&lt;=0,"",IF(CC597="Aussen","Aussenlager",IF(CC597="-","Nicht im Lift",IF(AN597&gt;=1,"Lift",IF(AN597&lt;=0,"Aussenlager","teilweise")))))</f>
        <v>Lift</v>
      </c>
      <c r="BH597" s="48" t="str">
        <f aca="false">IF(AR597&lt;=0,"",IF(CC597="Aussen","Aussenlager",IF(CC597="-","Nicht im Lift",IF(AW597&gt;=1,"Lift",IF(AW597&lt;=0,"Aussenlager","teilweise")))))</f>
        <v>Aussenlager</v>
      </c>
      <c r="BI597" s="48" t="str">
        <f aca="false">IF(BA597&lt;=0,"",IF(CC597="Aussen","Aussenlager",IF(CC597="-","Nicht im Lift",IF(BF597&gt;=1,"Lift",IF(BF597&lt;=0,"Aussenlager","teilweise")))))</f>
        <v>Aussenlager</v>
      </c>
      <c r="BJ597" s="48" t="str">
        <f aca="false">IF(A597="","",IF(BS597=1,"Neu; ","")&amp;IF(AND(BS597=0,BN597&lt;0),"negativer Bestand (Export "&amp;BN597&amp;"); ","")&amp;IF(J597&lt;=0,"Kein Verbrauch; ","")&amp;IF(CL597&gt;0,"Lift "&amp;W597&amp;" lt. Liftbericht (Fach "&amp;X597&amp;" Stk); ",IF(BX597=1,"Gebinde geschätzt ("&amp;T597&amp;"); ",IF(BW597=1,"Lose – Tablare geschätzt; ","")))&amp;IF(H597&gt;AT597,"Überbestand "&amp;ROUND(H597-AT597,0)&amp;" Stk / CHF "&amp;ROUND((H597-AT597)*G597,0)&amp;"; ","")&amp;IF(AND(CE597=1,CF597&lt;CG597),"MAX &lt; MB+LG; ","")&amp;IF(AND(CK597&gt;0,CJ597*10&gt;CK597),"zu hoch für Tablar; ","")&amp;IF(AND(BS597=0,OR(CE597=1,AA597&lt;&gt;"",U597&lt;&gt;"",V597&lt;&gt;"",AB597&lt;&gt;"")),"manuell übersteuert; ","")&amp;IF(AND(BW597=0,R597=0),"Gebinde unbekannt / Stellmass fehlt; ","")&amp;IF(AND(BW597=0,N(V597)&lt;=0,N(Q597)&lt;=0),"Menge pro Gebinde fehlt (Ist = 1 Gebinde); ","")&amp;BR597)</f>
        <v>Kein Verbrauch; Gebinde geschätzt (Klein); Menge pro Gebinde fehlt (Ist = 1 Gebinde); </v>
      </c>
      <c r="BK597" s="48"/>
      <c r="BL597" s="48"/>
      <c r="BM597" s="55"/>
      <c r="BN597" s="50" t="n">
        <v>1</v>
      </c>
      <c r="BO597" s="50" t="n">
        <v>0</v>
      </c>
      <c r="BP597" s="49" t="n">
        <v>6.8</v>
      </c>
      <c r="BQ597" s="50" t="n">
        <v>0</v>
      </c>
      <c r="BR597" s="48"/>
      <c r="BS597" s="53" t="n">
        <v>0</v>
      </c>
      <c r="BT597" s="53" t="n">
        <v>597</v>
      </c>
      <c r="BU597" s="48" t="str">
        <f aca="false">IF(U597&lt;&gt;"",UPPER(TRIM(U597)),IF(BX597=1,UPPER(VLOOKUP(T597,Parameter!$I$27:$K$29,2,0)),IF(P597="","LOSE",P597)))</f>
        <v>S51</v>
      </c>
      <c r="BV597" s="50" t="n">
        <f aca="false">IF(BU597="LOSE",1,IF(N(V597)&gt;0,V597,IF(BX597=1,MAX(1,N(VLOOKUP(T597,Parameter!$I$27:$K$29,3,0)),H597,N(N597)),IF(N(Q597)&gt;0,Q597,MAX(1,H597)))))</f>
        <v>20</v>
      </c>
      <c r="BW597" s="53" t="n">
        <f aca="false">IF(BU597="LOSE",1,0)</f>
        <v>0</v>
      </c>
      <c r="BX597" s="53" t="n">
        <f aca="false">IF(AND(U597="",OR(P597="",P597="LOSE"),T597&lt;&gt;"",N(S597)&lt;=0,ISNUMBER(MATCH(T597,Parameter!$I$27:$I$29,0))),1,0)</f>
        <v>1</v>
      </c>
      <c r="BY597" s="53" t="n">
        <f aca="false">IF(CL597&gt;0,INDEX(Parameter!$H$5:$H$7,W597)/INDEX(Parameter!$E$5:$E$7,W597),IF(AND(BW597=0,N(IFERROR(VLOOKUP(BU597,'Gebinde-Kategorie'!$A$5:$N$45,14,0),0))&gt;0),VLOOKUP(BU597,'Gebinde-Kategorie'!$A$5:$N$45,14,0)*10+Parameter!$M$23,Parameter!$M$24))</f>
        <v>155</v>
      </c>
      <c r="BZ597" s="48" t="str">
        <f aca="false">IF(AND(Parameter!$B$19="Ja",E597&lt;&gt;"",ISNUMBER(MATCH(E597,Parameter!$I$35:$I$52,0))),VLOOKUP(E597,Parameter!$I$35:$J$52,2,0),IFERROR(VLOOKUP(D597,Parameter!$A$35:$C$64,2,0),"Nein"))</f>
        <v>2+3</v>
      </c>
      <c r="CA597" s="52" t="n">
        <f aca="false">IF(BW597=0,0,IF(N(S597)&gt;0,S597,IFERROR(VLOOKUP(D597,Parameter!$A$35:$C$64,3,0)+0,0)))</f>
        <v>0</v>
      </c>
      <c r="CB597" s="48" t="n">
        <f aca="false">IF(AA597&lt;&gt;"",AA597,Z597)</f>
        <v>3</v>
      </c>
      <c r="CC597" s="48" t="str">
        <f aca="false">IF(OR(CB597=1,CB597=2,CB597=3),IF(Parameter!$E$27="Ja","LIFT",IF(CB597=1,"L1","L23")),IF(CB597="Aussen","Aussen","-"))</f>
        <v>LIFT</v>
      </c>
      <c r="CD597" s="59" t="n">
        <f aca="false">IF(N(AB597)&gt;0,AB597,0)</f>
        <v>0</v>
      </c>
      <c r="CE597" s="53" t="n">
        <f aca="false">IF(ISNUMBER(AE597),1,0)</f>
        <v>0</v>
      </c>
      <c r="CF597" s="50" t="n">
        <f aca="false">N(AE597)</f>
        <v>0</v>
      </c>
      <c r="CG597" s="50" t="n">
        <f aca="false">N(M597)+N(N597)</f>
        <v>1</v>
      </c>
      <c r="CH597" s="50" t="n">
        <f aca="false">ROUNDUP(H597/BV597,0)</f>
        <v>1</v>
      </c>
      <c r="CI597" s="50" t="n">
        <f aca="false">ROUNDUP(CF597/BV597,0)</f>
        <v>0</v>
      </c>
      <c r="CJ597" s="53" t="n">
        <f aca="false">IF(BW597=1,0,IFERROR(VLOOKUP(BU597,'Gebinde-Kategorie'!$A$5:$N$45,5,0)+0,0))</f>
        <v>11</v>
      </c>
      <c r="CK597" s="53" t="n">
        <f aca="false">IFERROR(IF(OR(CB597=1,CB597=2,CB597=3),N(INDEX(Parameter!$I$5:$I$7,CB597)),0),0)</f>
        <v>0</v>
      </c>
      <c r="CL597" s="52" t="n">
        <f aca="false">IF(AND(Parameter!$B$21="Ja",ISNUMBER(W597),N(X597)&gt;0),IFERROR(N(INDEX(Parameter!$L$5:$L$7,W597))*INDEX(Parameter!$E$5:$E$7,W597)*X597/SUMIFS($X$7:$X$1843,$W$7:$W$1843,W597),0),0)</f>
        <v>0</v>
      </c>
    </row>
    <row r="598" customFormat="false" ht="15" hidden="false" customHeight="false" outlineLevel="0" collapsed="false">
      <c r="A598" s="48" t="s">
        <v>1245</v>
      </c>
      <c r="B598" s="48" t="s">
        <v>472</v>
      </c>
      <c r="C598" s="48" t="s">
        <v>168</v>
      </c>
      <c r="D598" s="48" t="s">
        <v>188</v>
      </c>
      <c r="E598" s="48"/>
      <c r="F598" s="48" t="s">
        <v>222</v>
      </c>
      <c r="G598" s="49" t="n">
        <v>0.37</v>
      </c>
      <c r="H598" s="50" t="n">
        <f aca="false">MAX(0,IF(AND(Parameter!$B$21="Ja",ISNUMBER(Y598)),Y598,IF(Parameter!$B$20="Jahresanfang 2025 + Export",BO598+BN598,BN598)))</f>
        <v>18</v>
      </c>
      <c r="I598" s="50" t="n">
        <f aca="false">H598*G598</f>
        <v>6.66</v>
      </c>
      <c r="J598" s="50" t="n">
        <f aca="false">BQ598*Parameter!$B$18</f>
        <v>20</v>
      </c>
      <c r="K598" s="51" t="n">
        <v>24</v>
      </c>
      <c r="L598" s="52" t="n">
        <v>0.833333333333333</v>
      </c>
      <c r="M598" s="50" t="n">
        <v>1</v>
      </c>
      <c r="N598" s="50" t="n">
        <v>20</v>
      </c>
      <c r="O598" s="53" t="n">
        <v>35</v>
      </c>
      <c r="P598" s="48" t="s">
        <v>405</v>
      </c>
      <c r="Q598" s="50" t="n">
        <v>30</v>
      </c>
      <c r="R598" s="53" t="n">
        <f aca="false">IF(BW598=1,0,IFERROR(VLOOKUP(BU598,'Gebinde-Kategorie'!$A$5:$N$45,13,0)+0,0))</f>
        <v>280</v>
      </c>
      <c r="S598" s="54"/>
      <c r="T598" s="55"/>
      <c r="U598" s="55"/>
      <c r="V598" s="55"/>
      <c r="W598" s="48"/>
      <c r="X598" s="50"/>
      <c r="Y598" s="50"/>
      <c r="Z598" s="48" t="n">
        <f aca="false">IF(A598="","",IF(AND(Parameter!$B$21="Ja",ISNUMBER(W598)),W598,IF(BZ598="2+3",IF(ISNUMBER(SEARCH("grosser Artikel",BR598)),2,IFERROR(VLOOKUP(BU598,Parameter!$F$35:$G$64,2,0),2)),IF(OR(BZ598="Nein",BZ598=""),"-",BZ598))))</f>
        <v>3</v>
      </c>
      <c r="AA598" s="55"/>
      <c r="AB598" s="56"/>
      <c r="AC598" s="50" t="n">
        <f aca="false">AT598</f>
        <v>30</v>
      </c>
      <c r="AD598" s="50" t="n">
        <f aca="false">MAX(AT598,H598)</f>
        <v>30</v>
      </c>
      <c r="AE598" s="57"/>
      <c r="AF598" s="50" t="n">
        <f aca="false">IF(LEFT(Cockpit!$C$5,1)="A",H598,IF(CE598=1,CF598,IF(LEFT(Cockpit!$C$5,1)="B",AK598,MAX(AK598,H598))))</f>
        <v>18</v>
      </c>
      <c r="AG598" s="50" t="n">
        <f aca="false">IF(BW598=1,0,ROUNDUP(AF598/BV598,0))</f>
        <v>1</v>
      </c>
      <c r="AH598" s="52" t="n">
        <f aca="false">IF(CL598&gt;0,CL598*MAX(1,AF598/X598),IF(BW598=1,IF(AF598&lt;=0,0,CA598*MAX(1,IF(H598&gt;0,AF598/H598,1))),IF(R598&gt;0,AG598/R598,0))/MAX(0.1,N(Parameter!$M$21)))</f>
        <v>0.00357142857142857</v>
      </c>
      <c r="AI598" s="50" t="n">
        <f aca="false">AH598*BY598</f>
        <v>0.553571428571429</v>
      </c>
      <c r="AJ598" s="50" t="n">
        <f aca="false">AF598*G598</f>
        <v>6.66</v>
      </c>
      <c r="AK598" s="50" t="n">
        <f aca="false">ROUNDUP(MAX(J598/IF(CD598&gt;0,CD598,MAX(0.1,N(Cockpit!$C$6))),CG598)/BV598,0)*BV598</f>
        <v>30</v>
      </c>
      <c r="AL598" s="51" t="n">
        <f aca="false">IF(AI598&gt;0,J598/AI598,-1)</f>
        <v>36.1290322580645</v>
      </c>
      <c r="AM598" s="51" t="n">
        <f aca="false">IF(AND(OR(CC598="L1",CC598="L23",CC598="LIFT"),AI598&gt;0),SUMIFS($AI$7:$AI$1843,$CC$7:$CC$1843,CC598,$AL$7:$AL$1843,"&gt;"&amp;AL598)+SUMIFS($AI$7:$AI$1843,$CC$7:$CC$1843,CC598,$AL$7:$AL$1843,AL598,$BT$7:$BT$1843,"&lt;="&amp;BT598),"")</f>
        <v>1283.85302197802</v>
      </c>
      <c r="AN598" s="58" t="n">
        <f aca="false">IF(AM598="",0,MAX(0,MIN(1,(IF(CC598="L1",Parameter!$H$5,IF(CC598="L23",Parameter!$H$6+Parameter!$H$7,Parameter!$H$5+Parameter!$H$6+Parameter!$H$7))-(AM598-AI598))/AI598)))</f>
        <v>1</v>
      </c>
      <c r="AO598" s="50" t="n">
        <f aca="false">IF(LEFT(Cockpit!$I$5,1)="A",H598,IF(CE598=1,CF598,IF(LEFT(Cockpit!$I$5,1)="B",AT598,MAX(AT598,H598))))</f>
        <v>30</v>
      </c>
      <c r="AP598" s="50" t="n">
        <f aca="false">IF(BW598=1,0,ROUNDUP(AO598/BV598,0))</f>
        <v>1</v>
      </c>
      <c r="AQ598" s="52" t="n">
        <f aca="false">IF(CL598&gt;0,CL598*MAX(1,AO598/X598),IF(BW598=1,IF(AO598&lt;=0,0,CA598*MAX(1,IF(H598&gt;0,AO598/H598,1))),IF(R598&gt;0,AP598/R598,0))/MAX(0.1,N(Parameter!$M$21)))</f>
        <v>0.00357142857142857</v>
      </c>
      <c r="AR598" s="50" t="n">
        <f aca="false">AQ598*BY598</f>
        <v>0.553571428571429</v>
      </c>
      <c r="AS598" s="50" t="n">
        <f aca="false">AO598*G598</f>
        <v>11.1</v>
      </c>
      <c r="AT598" s="50" t="n">
        <f aca="false">ROUNDUP(MAX(J598/IF(CD598&gt;0,CD598,MAX(0.1,N(Cockpit!$I$6))),CG598)/BV598,0)*BV598</f>
        <v>30</v>
      </c>
      <c r="AU598" s="51" t="n">
        <f aca="false">IF(AR598&gt;0,J598/AR598,-1)</f>
        <v>36.1290322580645</v>
      </c>
      <c r="AV598" s="51" t="n">
        <f aca="false">IF(AND(OR(CC598="L1",CC598="L23",CC598="LIFT"),AR598&gt;0),SUMIFS($AR$7:$AR$1843,$CC$7:$CC$1843,CC598,$AU$7:$AU$1843,"&gt;"&amp;AU598)+SUMIFS($AR$7:$AR$1843,$CC$7:$CC$1843,CC598,$AU$7:$AU$1843,AU598,$BT$7:$BT$1843,"&lt;="&amp;BT598),"")</f>
        <v>1777.06181318681</v>
      </c>
      <c r="AW598" s="58" t="n">
        <f aca="false">IF(AV598="",0,MAX(0,MIN(1,(IF(CC598="L1",Parameter!$H$5,IF(CC598="L23",Parameter!$H$6+Parameter!$H$7,Parameter!$H$5+Parameter!$H$6+Parameter!$H$7))-(AV598-AR598))/AR598)))</f>
        <v>1</v>
      </c>
      <c r="AX598" s="50" t="n">
        <f aca="false">IF(LEFT(Cockpit!$O$5,1)="A",H598,IF(CE598=1,CF598,IF(LEFT(Cockpit!$O$5,1)="B",BC598,MAX(BC598,H598))))</f>
        <v>30</v>
      </c>
      <c r="AY598" s="50" t="n">
        <f aca="false">IF(BW598=1,0,ROUNDUP(AX598/BV598,0))</f>
        <v>1</v>
      </c>
      <c r="AZ598" s="52" t="n">
        <f aca="false">IF(CL598&gt;0,CL598*MAX(1,AX598/X598),IF(BW598=1,IF(AX598&lt;=0,0,CA598*MAX(1,IF(H598&gt;0,AX598/H598,1))),IF(R598&gt;0,AY598/R598,0))/MAX(0.1,N(Parameter!$M$21)))</f>
        <v>0.00357142857142857</v>
      </c>
      <c r="BA598" s="50" t="n">
        <f aca="false">AZ598*BY598</f>
        <v>0.553571428571429</v>
      </c>
      <c r="BB598" s="50" t="n">
        <f aca="false">AX598*G598</f>
        <v>11.1</v>
      </c>
      <c r="BC598" s="50" t="n">
        <f aca="false">ROUNDUP(MAX(J598/IF(CD598&gt;0,CD598,MAX(0.1,N(Cockpit!$O$6))),CG598)/BV598,0)*BV598</f>
        <v>30</v>
      </c>
      <c r="BD598" s="51" t="n">
        <f aca="false">IF(BA598&gt;0,J598/BA598,-1)</f>
        <v>36.1290322580645</v>
      </c>
      <c r="BE598" s="51" t="n">
        <f aca="false">IF(AND(OR(CC598="L1",CC598="L23",CC598="LIFT"),BA598&gt;0),SUMIFS($BA$7:$BA$1843,$CC$7:$CC$1843,CC598,$BD$7:$BD$1843,"&gt;"&amp;BD598)+SUMIFS($BA$7:$BA$1843,$CC$7:$CC$1843,CC598,$BD$7:$BD$1843,BD598,$BT$7:$BT$1843,"&lt;="&amp;BT598),"")</f>
        <v>1612.75091575092</v>
      </c>
      <c r="BF598" s="58" t="n">
        <f aca="false">IF(BE598="",0,MAX(0,MIN(1,(IF(CC598="L1",Parameter!$H$5,IF(CC598="L23",Parameter!$H$6+Parameter!$H$7,Parameter!$H$5+Parameter!$H$6+Parameter!$H$7))-(BE598-BA598))/BA598)))</f>
        <v>1</v>
      </c>
      <c r="BG598" s="48" t="str">
        <f aca="false">IF(AI598&lt;=0,"",IF(CC598="Aussen","Aussenlager",IF(CC598="-","Nicht im Lift",IF(AN598&gt;=1,"Lift",IF(AN598&lt;=0,"Aussenlager","teilweise")))))</f>
        <v>Lift</v>
      </c>
      <c r="BH598" s="48" t="str">
        <f aca="false">IF(AR598&lt;=0,"",IF(CC598="Aussen","Aussenlager",IF(CC598="-","Nicht im Lift",IF(AW598&gt;=1,"Lift",IF(AW598&lt;=0,"Aussenlager","teilweise")))))</f>
        <v>Lift</v>
      </c>
      <c r="BI598" s="48" t="str">
        <f aca="false">IF(BA598&lt;=0,"",IF(CC598="Aussen","Aussenlager",IF(CC598="-","Nicht im Lift",IF(BF598&gt;=1,"Lift",IF(BF598&lt;=0,"Aussenlager","teilweise")))))</f>
        <v>Lift</v>
      </c>
      <c r="BJ598" s="48" t="str">
        <f aca="false">IF(A598="","",IF(BS598=1,"Neu; ","")&amp;IF(AND(BS598=0,BN598&lt;0),"negativer Bestand (Export "&amp;BN598&amp;"); ","")&amp;IF(J598&lt;=0,"Kein Verbrauch; ","")&amp;IF(CL598&gt;0,"Lift "&amp;W598&amp;" lt. Liftbericht (Fach "&amp;X598&amp;" Stk); ",IF(BX598=1,"Gebinde geschätzt ("&amp;T598&amp;"); ",IF(BW598=1,"Lose – Tablare geschätzt; ","")))&amp;IF(H598&gt;AT598,"Überbestand "&amp;ROUND(H598-AT598,0)&amp;" Stk / CHF "&amp;ROUND((H598-AT598)*G598,0)&amp;"; ","")&amp;IF(AND(CE598=1,CF598&lt;CG598),"MAX &lt; MB+LG; ","")&amp;IF(AND(CK598&gt;0,CJ598*10&gt;CK598),"zu hoch für Tablar; ","")&amp;IF(AND(BS598=0,OR(CE598=1,AA598&lt;&gt;"",U598&lt;&gt;"",V598&lt;&gt;"",AB598&lt;&gt;"")),"manuell übersteuert; ","")&amp;IF(AND(BW598=0,R598=0),"Gebinde unbekannt / Stellmass fehlt; ","")&amp;IF(AND(BW598=0,N(V598)&lt;=0,N(Q598)&lt;=0),"Menge pro Gebinde fehlt (Ist = 1 Gebinde); ","")&amp;BR598)</f>
        <v/>
      </c>
      <c r="BK598" s="48"/>
      <c r="BL598" s="48"/>
      <c r="BM598" s="55"/>
      <c r="BN598" s="50" t="n">
        <v>18</v>
      </c>
      <c r="BO598" s="50" t="n">
        <v>0</v>
      </c>
      <c r="BP598" s="49" t="n">
        <v>6.66</v>
      </c>
      <c r="BQ598" s="50" t="n">
        <v>20</v>
      </c>
      <c r="BR598" s="48"/>
      <c r="BS598" s="53" t="n">
        <v>0</v>
      </c>
      <c r="BT598" s="53" t="n">
        <v>598</v>
      </c>
      <c r="BU598" s="48" t="str">
        <f aca="false">IF(U598&lt;&gt;"",UPPER(TRIM(U598)),IF(BX598=1,UPPER(VLOOKUP(T598,Parameter!$I$27:$K$29,2,0)),IF(P598="","LOSE",P598)))</f>
        <v>S21</v>
      </c>
      <c r="BV598" s="50" t="n">
        <f aca="false">IF(BU598="LOSE",1,IF(N(V598)&gt;0,V598,IF(BX598=1,MAX(1,N(VLOOKUP(T598,Parameter!$I$27:$K$29,3,0)),H598,N(N598)),IF(N(Q598)&gt;0,Q598,MAX(1,H598)))))</f>
        <v>30</v>
      </c>
      <c r="BW598" s="53" t="n">
        <f aca="false">IF(BU598="LOSE",1,0)</f>
        <v>0</v>
      </c>
      <c r="BX598" s="53" t="n">
        <f aca="false">IF(AND(U598="",OR(P598="",P598="LOSE"),T598&lt;&gt;"",N(S598)&lt;=0,ISNUMBER(MATCH(T598,Parameter!$I$27:$I$29,0))),1,0)</f>
        <v>0</v>
      </c>
      <c r="BY598" s="53" t="n">
        <f aca="false">IF(CL598&gt;0,INDEX(Parameter!$H$5:$H$7,W598)/INDEX(Parameter!$E$5:$E$7,W598),IF(AND(BW598=0,N(IFERROR(VLOOKUP(BU598,'Gebinde-Kategorie'!$A$5:$N$45,14,0),0))&gt;0),VLOOKUP(BU598,'Gebinde-Kategorie'!$A$5:$N$45,14,0)*10+Parameter!$M$23,Parameter!$M$24))</f>
        <v>155</v>
      </c>
      <c r="BZ598" s="48" t="str">
        <f aca="false">IF(AND(Parameter!$B$19="Ja",E598&lt;&gt;"",ISNUMBER(MATCH(E598,Parameter!$I$35:$I$52,0))),VLOOKUP(E598,Parameter!$I$35:$J$52,2,0),IFERROR(VLOOKUP(D598,Parameter!$A$35:$C$64,2,0),"Nein"))</f>
        <v>2+3</v>
      </c>
      <c r="CA598" s="52" t="n">
        <f aca="false">IF(BW598=0,0,IF(N(S598)&gt;0,S598,IFERROR(VLOOKUP(D598,Parameter!$A$35:$C$64,3,0)+0,0)))</f>
        <v>0</v>
      </c>
      <c r="CB598" s="48" t="n">
        <f aca="false">IF(AA598&lt;&gt;"",AA598,Z598)</f>
        <v>3</v>
      </c>
      <c r="CC598" s="48" t="str">
        <f aca="false">IF(OR(CB598=1,CB598=2,CB598=3),IF(Parameter!$E$27="Ja","LIFT",IF(CB598=1,"L1","L23")),IF(CB598="Aussen","Aussen","-"))</f>
        <v>LIFT</v>
      </c>
      <c r="CD598" s="59" t="n">
        <f aca="false">IF(N(AB598)&gt;0,AB598,0)</f>
        <v>0</v>
      </c>
      <c r="CE598" s="53" t="n">
        <f aca="false">IF(ISNUMBER(AE598),1,0)</f>
        <v>0</v>
      </c>
      <c r="CF598" s="50" t="n">
        <f aca="false">N(AE598)</f>
        <v>0</v>
      </c>
      <c r="CG598" s="50" t="n">
        <f aca="false">N(M598)+N(N598)</f>
        <v>21</v>
      </c>
      <c r="CH598" s="50" t="n">
        <f aca="false">ROUNDUP(H598/BV598,0)</f>
        <v>1</v>
      </c>
      <c r="CI598" s="50" t="n">
        <f aca="false">ROUNDUP(CF598/BV598,0)</f>
        <v>0</v>
      </c>
      <c r="CJ598" s="53" t="n">
        <f aca="false">IF(BW598=1,0,IFERROR(VLOOKUP(BU598,'Gebinde-Kategorie'!$A$5:$N$45,5,0)+0,0))</f>
        <v>8</v>
      </c>
      <c r="CK598" s="53" t="n">
        <f aca="false">IFERROR(IF(OR(CB598=1,CB598=2,CB598=3),N(INDEX(Parameter!$I$5:$I$7,CB598)),0),0)</f>
        <v>0</v>
      </c>
      <c r="CL598" s="52" t="n">
        <f aca="false">IF(AND(Parameter!$B$21="Ja",ISNUMBER(W598),N(X598)&gt;0),IFERROR(N(INDEX(Parameter!$L$5:$L$7,W598))*INDEX(Parameter!$E$5:$E$7,W598)*X598/SUMIFS($X$7:$X$1843,$W$7:$W$1843,W598),0),0)</f>
        <v>0</v>
      </c>
    </row>
    <row r="599" customFormat="false" ht="15" hidden="false" customHeight="false" outlineLevel="0" collapsed="false">
      <c r="A599" s="48" t="s">
        <v>1246</v>
      </c>
      <c r="B599" s="48" t="s">
        <v>1013</v>
      </c>
      <c r="C599" s="48" t="s">
        <v>168</v>
      </c>
      <c r="D599" s="48" t="s">
        <v>188</v>
      </c>
      <c r="E599" s="48"/>
      <c r="F599" s="48" t="s">
        <v>222</v>
      </c>
      <c r="G599" s="49" t="n">
        <v>6.65</v>
      </c>
      <c r="H599" s="50" t="n">
        <f aca="false">MAX(0,IF(AND(Parameter!$B$21="Ja",ISNUMBER(Y599)),Y599,IF(Parameter!$B$20="Jahresanfang 2025 + Export",BO599+BN599,BN599)))</f>
        <v>51</v>
      </c>
      <c r="I599" s="50" t="n">
        <f aca="false">H599*G599</f>
        <v>339.15</v>
      </c>
      <c r="J599" s="50" t="n">
        <f aca="false">BQ599*Parameter!$B$18</f>
        <v>0</v>
      </c>
      <c r="K599" s="51" t="n">
        <v>50.5</v>
      </c>
      <c r="L599" s="52" t="n">
        <v>0</v>
      </c>
      <c r="M599" s="50" t="n">
        <v>0</v>
      </c>
      <c r="N599" s="50" t="n">
        <v>1</v>
      </c>
      <c r="O599" s="53" t="n">
        <v>70</v>
      </c>
      <c r="P599" s="48" t="s">
        <v>480</v>
      </c>
      <c r="Q599" s="50" t="n">
        <v>55</v>
      </c>
      <c r="R599" s="53" t="n">
        <f aca="false">IF(BW599=1,0,IFERROR(VLOOKUP(BU599,'Gebinde-Kategorie'!$A$5:$N$45,13,0)+0,0))</f>
        <v>52</v>
      </c>
      <c r="S599" s="54"/>
      <c r="T599" s="55"/>
      <c r="U599" s="55"/>
      <c r="V599" s="55"/>
      <c r="W599" s="48"/>
      <c r="X599" s="50"/>
      <c r="Y599" s="50"/>
      <c r="Z599" s="48" t="n">
        <f aca="false">IF(A599="","",IF(AND(Parameter!$B$21="Ja",ISNUMBER(W599)),W599,IF(BZ599="2+3",IF(ISNUMBER(SEARCH("grosser Artikel",BR599)),2,IFERROR(VLOOKUP(BU599,Parameter!$F$35:$G$64,2,0),2)),IF(OR(BZ599="Nein",BZ599=""),"-",BZ599))))</f>
        <v>3</v>
      </c>
      <c r="AA599" s="55"/>
      <c r="AB599" s="56"/>
      <c r="AC599" s="50" t="n">
        <f aca="false">AT599</f>
        <v>55</v>
      </c>
      <c r="AD599" s="50" t="n">
        <f aca="false">MAX(AT599,H599)</f>
        <v>55</v>
      </c>
      <c r="AE599" s="57"/>
      <c r="AF599" s="50" t="n">
        <f aca="false">IF(LEFT(Cockpit!$C$5,1)="A",H599,IF(CE599=1,CF599,IF(LEFT(Cockpit!$C$5,1)="B",AK599,MAX(AK599,H599))))</f>
        <v>51</v>
      </c>
      <c r="AG599" s="50" t="n">
        <f aca="false">IF(BW599=1,0,ROUNDUP(AF599/BV599,0))</f>
        <v>1</v>
      </c>
      <c r="AH599" s="52" t="n">
        <f aca="false">IF(CL599&gt;0,CL599*MAX(1,AF599/X599),IF(BW599=1,IF(AF599&lt;=0,0,CA599*MAX(1,IF(H599&gt;0,AF599/H599,1))),IF(R599&gt;0,AG599/R599,0))/MAX(0.1,N(Parameter!$M$21)))</f>
        <v>0.0192307692307692</v>
      </c>
      <c r="AI599" s="50" t="n">
        <f aca="false">AH599*BY599</f>
        <v>2.98076923076923</v>
      </c>
      <c r="AJ599" s="50" t="n">
        <f aca="false">AF599*G599</f>
        <v>339.15</v>
      </c>
      <c r="AK599" s="50" t="n">
        <f aca="false">ROUNDUP(MAX(J599/IF(CD599&gt;0,CD599,MAX(0.1,N(Cockpit!$C$6))),CG599)/BV599,0)*BV599</f>
        <v>55</v>
      </c>
      <c r="AL599" s="51" t="n">
        <f aca="false">IF(AI599&gt;0,J599/AI599,-1)</f>
        <v>0</v>
      </c>
      <c r="AM599" s="51" t="n">
        <f aca="false">IF(AND(OR(CC599="L1",CC599="L23",CC599="LIFT"),AI599&gt;0),SUMIFS($AI$7:$AI$1843,$CC$7:$CC$1843,CC599,$AL$7:$AL$1843,"&gt;"&amp;AL599)+SUMIFS($AI$7:$AI$1843,$CC$7:$CC$1843,CC599,$AL$7:$AL$1843,AL599,$BT$7:$BT$1843,"&lt;="&amp;BT599),"")</f>
        <v>28531.9850582562</v>
      </c>
      <c r="AN599" s="58" t="n">
        <f aca="false">IF(AM599="",0,MAX(0,MIN(1,(IF(CC599="L1",Parameter!$H$5,IF(CC599="L23",Parameter!$H$6+Parameter!$H$7,Parameter!$H$5+Parameter!$H$6+Parameter!$H$7))-(AM599-AI599))/AI599)))</f>
        <v>1</v>
      </c>
      <c r="AO599" s="50" t="n">
        <f aca="false">IF(LEFT(Cockpit!$I$5,1)="A",H599,IF(CE599=1,CF599,IF(LEFT(Cockpit!$I$5,1)="B",AT599,MAX(AT599,H599))))</f>
        <v>55</v>
      </c>
      <c r="AP599" s="50" t="n">
        <f aca="false">IF(BW599=1,0,ROUNDUP(AO599/BV599,0))</f>
        <v>1</v>
      </c>
      <c r="AQ599" s="52" t="n">
        <f aca="false">IF(CL599&gt;0,CL599*MAX(1,AO599/X599),IF(BW599=1,IF(AO599&lt;=0,0,CA599*MAX(1,IF(H599&gt;0,AO599/H599,1))),IF(R599&gt;0,AP599/R599,0))/MAX(0.1,N(Parameter!$M$21)))</f>
        <v>0.0192307692307692</v>
      </c>
      <c r="AR599" s="50" t="n">
        <f aca="false">AQ599*BY599</f>
        <v>2.98076923076923</v>
      </c>
      <c r="AS599" s="50" t="n">
        <f aca="false">AO599*G599</f>
        <v>365.75</v>
      </c>
      <c r="AT599" s="50" t="n">
        <f aca="false">ROUNDUP(MAX(J599/IF(CD599&gt;0,CD599,MAX(0.1,N(Cockpit!$I$6))),CG599)/BV599,0)*BV599</f>
        <v>55</v>
      </c>
      <c r="AU599" s="51" t="n">
        <f aca="false">IF(AR599&gt;0,J599/AR599,-1)</f>
        <v>0</v>
      </c>
      <c r="AV599" s="51" t="n">
        <f aca="false">IF(AND(OR(CC599="L1",CC599="L23",CC599="LIFT"),AR599&gt;0),SUMIFS($AR$7:$AR$1843,$CC$7:$CC$1843,CC599,$AU$7:$AU$1843,"&gt;"&amp;AU599)+SUMIFS($AR$7:$AR$1843,$CC$7:$CC$1843,CC599,$AU$7:$AU$1843,AU599,$BT$7:$BT$1843,"&lt;="&amp;BT599),"")</f>
        <v>39844.8905755262</v>
      </c>
      <c r="AW599" s="58" t="n">
        <f aca="false">IF(AV599="",0,MAX(0,MIN(1,(IF(CC599="L1",Parameter!$H$5,IF(CC599="L23",Parameter!$H$6+Parameter!$H$7,Parameter!$H$5+Parameter!$H$6+Parameter!$H$7))-(AV599-AR599))/AR599)))</f>
        <v>0</v>
      </c>
      <c r="AX599" s="50" t="n">
        <f aca="false">IF(LEFT(Cockpit!$O$5,1)="A",H599,IF(CE599=1,CF599,IF(LEFT(Cockpit!$O$5,1)="B",BC599,MAX(BC599,H599))))</f>
        <v>55</v>
      </c>
      <c r="AY599" s="50" t="n">
        <f aca="false">IF(BW599=1,0,ROUNDUP(AX599/BV599,0))</f>
        <v>1</v>
      </c>
      <c r="AZ599" s="52" t="n">
        <f aca="false">IF(CL599&gt;0,CL599*MAX(1,AX599/X599),IF(BW599=1,IF(AX599&lt;=0,0,CA599*MAX(1,IF(H599&gt;0,AX599/H599,1))),IF(R599&gt;0,AY599/R599,0))/MAX(0.1,N(Parameter!$M$21)))</f>
        <v>0.0192307692307692</v>
      </c>
      <c r="BA599" s="50" t="n">
        <f aca="false">AZ599*BY599</f>
        <v>2.98076923076923</v>
      </c>
      <c r="BB599" s="50" t="n">
        <f aca="false">AX599*G599</f>
        <v>365.75</v>
      </c>
      <c r="BC599" s="50" t="n">
        <f aca="false">ROUNDUP(MAX(J599/IF(CD599&gt;0,CD599,MAX(0.1,N(Cockpit!$O$6))),CG599)/BV599,0)*BV599</f>
        <v>55</v>
      </c>
      <c r="BD599" s="51" t="n">
        <f aca="false">IF(BA599&gt;0,J599/BA599,-1)</f>
        <v>0</v>
      </c>
      <c r="BE599" s="51" t="n">
        <f aca="false">IF(AND(OR(CC599="L1",CC599="L23",CC599="LIFT"),BA599&gt;0),SUMIFS($BA$7:$BA$1843,$CC$7:$CC$1843,CC599,$BD$7:$BD$1843,"&gt;"&amp;BD599)+SUMIFS($BA$7:$BA$1843,$CC$7:$CC$1843,CC599,$BD$7:$BD$1843,BD599,$BT$7:$BT$1843,"&lt;="&amp;BT599),"")</f>
        <v>36519.902617392</v>
      </c>
      <c r="BF599" s="58" t="n">
        <f aca="false">IF(BE599="",0,MAX(0,MIN(1,(IF(CC599="L1",Parameter!$H$5,IF(CC599="L23",Parameter!$H$6+Parameter!$H$7,Parameter!$H$5+Parameter!$H$6+Parameter!$H$7))-(BE599-BA599))/BA599)))</f>
        <v>0</v>
      </c>
      <c r="BG599" s="48" t="str">
        <f aca="false">IF(AI599&lt;=0,"",IF(CC599="Aussen","Aussenlager",IF(CC599="-","Nicht im Lift",IF(AN599&gt;=1,"Lift",IF(AN599&lt;=0,"Aussenlager","teilweise")))))</f>
        <v>Lift</v>
      </c>
      <c r="BH599" s="48" t="str">
        <f aca="false">IF(AR599&lt;=0,"",IF(CC599="Aussen","Aussenlager",IF(CC599="-","Nicht im Lift",IF(AW599&gt;=1,"Lift",IF(AW599&lt;=0,"Aussenlager","teilweise")))))</f>
        <v>Aussenlager</v>
      </c>
      <c r="BI599" s="48" t="str">
        <f aca="false">IF(BA599&lt;=0,"",IF(CC599="Aussen","Aussenlager",IF(CC599="-","Nicht im Lift",IF(BF599&gt;=1,"Lift",IF(BF599&lt;=0,"Aussenlager","teilweise")))))</f>
        <v>Aussenlager</v>
      </c>
      <c r="BJ599" s="48" t="str">
        <f aca="false">IF(A599="","",IF(BS599=1,"Neu; ","")&amp;IF(AND(BS599=0,BN599&lt;0),"negativer Bestand (Export "&amp;BN599&amp;"); ","")&amp;IF(J599&lt;=0,"Kein Verbrauch; ","")&amp;IF(CL599&gt;0,"Lift "&amp;W599&amp;" lt. Liftbericht (Fach "&amp;X599&amp;" Stk); ",IF(BX599=1,"Gebinde geschätzt ("&amp;T599&amp;"); ",IF(BW599=1,"Lose – Tablare geschätzt; ","")))&amp;IF(H599&gt;AT599,"Überbestand "&amp;ROUND(H599-AT599,0)&amp;" Stk / CHF "&amp;ROUND((H599-AT599)*G599,0)&amp;"; ","")&amp;IF(AND(CE599=1,CF599&lt;CG599),"MAX &lt; MB+LG; ","")&amp;IF(AND(CK599&gt;0,CJ599*10&gt;CK599),"zu hoch für Tablar; ","")&amp;IF(AND(BS599=0,OR(CE599=1,AA599&lt;&gt;"",U599&lt;&gt;"",V599&lt;&gt;"",AB599&lt;&gt;"")),"manuell übersteuert; ","")&amp;IF(AND(BW599=0,R599=0),"Gebinde unbekannt / Stellmass fehlt; ","")&amp;IF(AND(BW599=0,N(V599)&lt;=0,N(Q599)&lt;=0),"Menge pro Gebinde fehlt (Ist = 1 Gebinde); ","")&amp;BR599)</f>
        <v>Kein Verbrauch; </v>
      </c>
      <c r="BK599" s="48"/>
      <c r="BL599" s="48"/>
      <c r="BM599" s="55"/>
      <c r="BN599" s="50" t="n">
        <v>1</v>
      </c>
      <c r="BO599" s="50" t="n">
        <v>50</v>
      </c>
      <c r="BP599" s="49" t="n">
        <v>6.65</v>
      </c>
      <c r="BQ599" s="50" t="n">
        <v>0</v>
      </c>
      <c r="BR599" s="48"/>
      <c r="BS599" s="53" t="n">
        <v>0</v>
      </c>
      <c r="BT599" s="53" t="n">
        <v>599</v>
      </c>
      <c r="BU599" s="48" t="str">
        <f aca="false">IF(U599&lt;&gt;"",UPPER(TRIM(U599)),IF(BX599=1,UPPER(VLOOKUP(T599,Parameter!$I$27:$K$29,2,0)),IF(P599="","LOSE",P599)))</f>
        <v>S33</v>
      </c>
      <c r="BV599" s="50" t="n">
        <f aca="false">IF(BU599="LOSE",1,IF(N(V599)&gt;0,V599,IF(BX599=1,MAX(1,N(VLOOKUP(T599,Parameter!$I$27:$K$29,3,0)),H599,N(N599)),IF(N(Q599)&gt;0,Q599,MAX(1,H599)))))</f>
        <v>55</v>
      </c>
      <c r="BW599" s="53" t="n">
        <f aca="false">IF(BU599="LOSE",1,0)</f>
        <v>0</v>
      </c>
      <c r="BX599" s="53" t="n">
        <f aca="false">IF(AND(U599="",OR(P599="",P599="LOSE"),T599&lt;&gt;"",N(S599)&lt;=0,ISNUMBER(MATCH(T599,Parameter!$I$27:$I$29,0))),1,0)</f>
        <v>0</v>
      </c>
      <c r="BY599" s="53" t="n">
        <f aca="false">IF(CL599&gt;0,INDEX(Parameter!$H$5:$H$7,W599)/INDEX(Parameter!$E$5:$E$7,W599),IF(AND(BW599=0,N(IFERROR(VLOOKUP(BU599,'Gebinde-Kategorie'!$A$5:$N$45,14,0),0))&gt;0),VLOOKUP(BU599,'Gebinde-Kategorie'!$A$5:$N$45,14,0)*10+Parameter!$M$23,Parameter!$M$24))</f>
        <v>155</v>
      </c>
      <c r="BZ599" s="48" t="str">
        <f aca="false">IF(AND(Parameter!$B$19="Ja",E599&lt;&gt;"",ISNUMBER(MATCH(E599,Parameter!$I$35:$I$52,0))),VLOOKUP(E599,Parameter!$I$35:$J$52,2,0),IFERROR(VLOOKUP(D599,Parameter!$A$35:$C$64,2,0),"Nein"))</f>
        <v>2+3</v>
      </c>
      <c r="CA599" s="52" t="n">
        <f aca="false">IF(BW599=0,0,IF(N(S599)&gt;0,S599,IFERROR(VLOOKUP(D599,Parameter!$A$35:$C$64,3,0)+0,0)))</f>
        <v>0</v>
      </c>
      <c r="CB599" s="48" t="n">
        <f aca="false">IF(AA599&lt;&gt;"",AA599,Z599)</f>
        <v>3</v>
      </c>
      <c r="CC599" s="48" t="str">
        <f aca="false">IF(OR(CB599=1,CB599=2,CB599=3),IF(Parameter!$E$27="Ja","LIFT",IF(CB599=1,"L1","L23")),IF(CB599="Aussen","Aussen","-"))</f>
        <v>LIFT</v>
      </c>
      <c r="CD599" s="59" t="n">
        <f aca="false">IF(N(AB599)&gt;0,AB599,0)</f>
        <v>0</v>
      </c>
      <c r="CE599" s="53" t="n">
        <f aca="false">IF(ISNUMBER(AE599),1,0)</f>
        <v>0</v>
      </c>
      <c r="CF599" s="50" t="n">
        <f aca="false">N(AE599)</f>
        <v>0</v>
      </c>
      <c r="CG599" s="50" t="n">
        <f aca="false">N(M599)+N(N599)</f>
        <v>1</v>
      </c>
      <c r="CH599" s="50" t="n">
        <f aca="false">ROUNDUP(H599/BV599,0)</f>
        <v>1</v>
      </c>
      <c r="CI599" s="50" t="n">
        <f aca="false">ROUNDUP(CF599/BV599,0)</f>
        <v>0</v>
      </c>
      <c r="CJ599" s="53" t="n">
        <f aca="false">IF(BW599=1,0,IFERROR(VLOOKUP(BU599,'Gebinde-Kategorie'!$A$5:$N$45,5,0)+0,0))</f>
        <v>8</v>
      </c>
      <c r="CK599" s="53" t="n">
        <f aca="false">IFERROR(IF(OR(CB599=1,CB599=2,CB599=3),N(INDEX(Parameter!$I$5:$I$7,CB599)),0),0)</f>
        <v>0</v>
      </c>
      <c r="CL599" s="52" t="n">
        <f aca="false">IF(AND(Parameter!$B$21="Ja",ISNUMBER(W599),N(X599)&gt;0),IFERROR(N(INDEX(Parameter!$L$5:$L$7,W599))*INDEX(Parameter!$E$5:$E$7,W599)*X599/SUMIFS($X$7:$X$1843,$W$7:$W$1843,W599),0),0)</f>
        <v>0</v>
      </c>
    </row>
    <row r="600" customFormat="false" ht="15" hidden="false" customHeight="false" outlineLevel="0" collapsed="false">
      <c r="A600" s="48" t="s">
        <v>1247</v>
      </c>
      <c r="B600" s="48" t="s">
        <v>1248</v>
      </c>
      <c r="C600" s="48" t="s">
        <v>168</v>
      </c>
      <c r="D600" s="48" t="s">
        <v>188</v>
      </c>
      <c r="E600" s="48" t="s">
        <v>189</v>
      </c>
      <c r="F600" s="48" t="s">
        <v>222</v>
      </c>
      <c r="G600" s="49" t="n">
        <v>0.14</v>
      </c>
      <c r="H600" s="50" t="n">
        <f aca="false">MAX(0,IF(AND(Parameter!$B$21="Ja",ISNUMBER(Y600)),Y600,IF(Parameter!$B$20="Jahresanfang 2025 + Export",BO600+BN600,BN600)))</f>
        <v>150</v>
      </c>
      <c r="I600" s="50" t="n">
        <f aca="false">H600*G600</f>
        <v>21</v>
      </c>
      <c r="J600" s="50" t="n">
        <f aca="false">BQ600*Parameter!$B$18</f>
        <v>51</v>
      </c>
      <c r="K600" s="51" t="n">
        <v>200</v>
      </c>
      <c r="L600" s="52" t="n">
        <v>0.255</v>
      </c>
      <c r="M600" s="50" t="n">
        <v>2</v>
      </c>
      <c r="N600" s="50" t="n">
        <v>500</v>
      </c>
      <c r="O600" s="53" t="n">
        <v>21</v>
      </c>
      <c r="P600" s="48" t="s">
        <v>306</v>
      </c>
      <c r="Q600" s="50" t="n">
        <v>600</v>
      </c>
      <c r="R600" s="53" t="n">
        <f aca="false">IF(BW600=1,0,IFERROR(VLOOKUP(BU600,'Gebinde-Kategorie'!$A$5:$N$45,13,0)+0,0))</f>
        <v>26</v>
      </c>
      <c r="S600" s="54"/>
      <c r="T600" s="55"/>
      <c r="U600" s="55"/>
      <c r="V600" s="55"/>
      <c r="W600" s="48"/>
      <c r="X600" s="50"/>
      <c r="Y600" s="50"/>
      <c r="Z600" s="48" t="n">
        <f aca="false">IF(A600="","",IF(AND(Parameter!$B$21="Ja",ISNUMBER(W600)),W600,IF(BZ600="2+3",IF(ISNUMBER(SEARCH("grosser Artikel",BR600)),2,IFERROR(VLOOKUP(BU600,Parameter!$F$35:$G$64,2,0),2)),IF(OR(BZ600="Nein",BZ600=""),"-",BZ600))))</f>
        <v>3</v>
      </c>
      <c r="AA600" s="55"/>
      <c r="AB600" s="56"/>
      <c r="AC600" s="50" t="n">
        <f aca="false">AT600</f>
        <v>600</v>
      </c>
      <c r="AD600" s="50" t="n">
        <f aca="false">MAX(AT600,H600)</f>
        <v>600</v>
      </c>
      <c r="AE600" s="57"/>
      <c r="AF600" s="50" t="n">
        <f aca="false">IF(LEFT(Cockpit!$C$5,1)="A",H600,IF(CE600=1,CF600,IF(LEFT(Cockpit!$C$5,1)="B",AK600,MAX(AK600,H600))))</f>
        <v>150</v>
      </c>
      <c r="AG600" s="50" t="n">
        <f aca="false">IF(BW600=1,0,ROUNDUP(AF600/BV600,0))</f>
        <v>1</v>
      </c>
      <c r="AH600" s="52" t="n">
        <f aca="false">IF(CL600&gt;0,CL600*MAX(1,AF600/X600),IF(BW600=1,IF(AF600&lt;=0,0,CA600*MAX(1,IF(H600&gt;0,AF600/H600,1))),IF(R600&gt;0,AG600/R600,0))/MAX(0.1,N(Parameter!$M$21)))</f>
        <v>0.0384615384615385</v>
      </c>
      <c r="AI600" s="50" t="n">
        <f aca="false">AH600*BY600</f>
        <v>5.96153846153846</v>
      </c>
      <c r="AJ600" s="50" t="n">
        <f aca="false">AF600*G600</f>
        <v>21</v>
      </c>
      <c r="AK600" s="50" t="n">
        <f aca="false">ROUNDUP(MAX(J600/IF(CD600&gt;0,CD600,MAX(0.1,N(Cockpit!$C$6))),CG600)/BV600,0)*BV600</f>
        <v>600</v>
      </c>
      <c r="AL600" s="51" t="n">
        <f aca="false">IF(AI600&gt;0,J600/AI600,-1)</f>
        <v>8.55483870967742</v>
      </c>
      <c r="AM600" s="51" t="n">
        <f aca="false">IF(AND(OR(CC600="L1",CC600="L23",CC600="LIFT"),AI600&gt;0),SUMIFS($AI$7:$AI$1843,$CC$7:$CC$1843,CC600,$AL$7:$AL$1843,"&gt;"&amp;AL600)+SUMIFS($AI$7:$AI$1843,$CC$7:$CC$1843,CC600,$AL$7:$AL$1843,AL600,$BT$7:$BT$1843,"&lt;="&amp;BT600),"")</f>
        <v>2990.83653846154</v>
      </c>
      <c r="AN600" s="58" t="n">
        <f aca="false">IF(AM600="",0,MAX(0,MIN(1,(IF(CC600="L1",Parameter!$H$5,IF(CC600="L23",Parameter!$H$6+Parameter!$H$7,Parameter!$H$5+Parameter!$H$6+Parameter!$H$7))-(AM600-AI600))/AI600)))</f>
        <v>1</v>
      </c>
      <c r="AO600" s="50" t="n">
        <f aca="false">IF(LEFT(Cockpit!$I$5,1)="A",H600,IF(CE600=1,CF600,IF(LEFT(Cockpit!$I$5,1)="B",AT600,MAX(AT600,H600))))</f>
        <v>600</v>
      </c>
      <c r="AP600" s="50" t="n">
        <f aca="false">IF(BW600=1,0,ROUNDUP(AO600/BV600,0))</f>
        <v>1</v>
      </c>
      <c r="AQ600" s="52" t="n">
        <f aca="false">IF(CL600&gt;0,CL600*MAX(1,AO600/X600),IF(BW600=1,IF(AO600&lt;=0,0,CA600*MAX(1,IF(H600&gt;0,AO600/H600,1))),IF(R600&gt;0,AP600/R600,0))/MAX(0.1,N(Parameter!$M$21)))</f>
        <v>0.0384615384615385</v>
      </c>
      <c r="AR600" s="50" t="n">
        <f aca="false">AQ600*BY600</f>
        <v>5.96153846153846</v>
      </c>
      <c r="AS600" s="50" t="n">
        <f aca="false">AO600*G600</f>
        <v>84</v>
      </c>
      <c r="AT600" s="50" t="n">
        <f aca="false">ROUNDUP(MAX(J600/IF(CD600&gt;0,CD600,MAX(0.1,N(Cockpit!$I$6))),CG600)/BV600,0)*BV600</f>
        <v>600</v>
      </c>
      <c r="AU600" s="51" t="n">
        <f aca="false">IF(AR600&gt;0,J600/AR600,-1)</f>
        <v>8.55483870967742</v>
      </c>
      <c r="AV600" s="51" t="n">
        <f aca="false">IF(AND(OR(CC600="L1",CC600="L23",CC600="LIFT"),AR600&gt;0),SUMIFS($AR$7:$AR$1843,$CC$7:$CC$1843,CC600,$AU$7:$AU$1843,"&gt;"&amp;AU600)+SUMIFS($AR$7:$AR$1843,$CC$7:$CC$1843,CC600,$AU$7:$AU$1843,AU600,$BT$7:$BT$1843,"&lt;="&amp;BT600),"")</f>
        <v>4206.19688644689</v>
      </c>
      <c r="AW600" s="58" t="n">
        <f aca="false">IF(AV600="",0,MAX(0,MIN(1,(IF(CC600="L1",Parameter!$H$5,IF(CC600="L23",Parameter!$H$6+Parameter!$H$7,Parameter!$H$5+Parameter!$H$6+Parameter!$H$7))-(AV600-AR600))/AR600)))</f>
        <v>1</v>
      </c>
      <c r="AX600" s="50" t="n">
        <f aca="false">IF(LEFT(Cockpit!$O$5,1)="A",H600,IF(CE600=1,CF600,IF(LEFT(Cockpit!$O$5,1)="B",BC600,MAX(BC600,H600))))</f>
        <v>600</v>
      </c>
      <c r="AY600" s="50" t="n">
        <f aca="false">IF(BW600=1,0,ROUNDUP(AX600/BV600,0))</f>
        <v>1</v>
      </c>
      <c r="AZ600" s="52" t="n">
        <f aca="false">IF(CL600&gt;0,CL600*MAX(1,AX600/X600),IF(BW600=1,IF(AX600&lt;=0,0,CA600*MAX(1,IF(H600&gt;0,AX600/H600,1))),IF(R600&gt;0,AY600/R600,0))/MAX(0.1,N(Parameter!$M$21)))</f>
        <v>0.0384615384615385</v>
      </c>
      <c r="BA600" s="50" t="n">
        <f aca="false">AZ600*BY600</f>
        <v>5.96153846153846</v>
      </c>
      <c r="BB600" s="50" t="n">
        <f aca="false">AX600*G600</f>
        <v>84</v>
      </c>
      <c r="BC600" s="50" t="n">
        <f aca="false">ROUNDUP(MAX(J600/IF(CD600&gt;0,CD600,MAX(0.1,N(Cockpit!$O$6))),CG600)/BV600,0)*BV600</f>
        <v>600</v>
      </c>
      <c r="BD600" s="51" t="n">
        <f aca="false">IF(BA600&gt;0,J600/BA600,-1)</f>
        <v>8.55483870967742</v>
      </c>
      <c r="BE600" s="51" t="n">
        <f aca="false">IF(AND(OR(CC600="L1",CC600="L23",CC600="LIFT"),BA600&gt;0),SUMIFS($BA$7:$BA$1843,$CC$7:$CC$1843,CC600,$BD$7:$BD$1843,"&gt;"&amp;BD600)+SUMIFS($BA$7:$BA$1843,$CC$7:$CC$1843,CC600,$BD$7:$BD$1843,BD600,$BT$7:$BT$1843,"&lt;="&amp;BT600),"")</f>
        <v>3864.32188644689</v>
      </c>
      <c r="BF600" s="58" t="n">
        <f aca="false">IF(BE600="",0,MAX(0,MIN(1,(IF(CC600="L1",Parameter!$H$5,IF(CC600="L23",Parameter!$H$6+Parameter!$H$7,Parameter!$H$5+Parameter!$H$6+Parameter!$H$7))-(BE600-BA600))/BA600)))</f>
        <v>1</v>
      </c>
      <c r="BG600" s="48" t="str">
        <f aca="false">IF(AI600&lt;=0,"",IF(CC600="Aussen","Aussenlager",IF(CC600="-","Nicht im Lift",IF(AN600&gt;=1,"Lift",IF(AN600&lt;=0,"Aussenlager","teilweise")))))</f>
        <v>Lift</v>
      </c>
      <c r="BH600" s="48" t="str">
        <f aca="false">IF(AR600&lt;=0,"",IF(CC600="Aussen","Aussenlager",IF(CC600="-","Nicht im Lift",IF(AW600&gt;=1,"Lift",IF(AW600&lt;=0,"Aussenlager","teilweise")))))</f>
        <v>Lift</v>
      </c>
      <c r="BI600" s="48" t="str">
        <f aca="false">IF(BA600&lt;=0,"",IF(CC600="Aussen","Aussenlager",IF(CC600="-","Nicht im Lift",IF(BF600&gt;=1,"Lift",IF(BF600&lt;=0,"Aussenlager","teilweise")))))</f>
        <v>Lift</v>
      </c>
      <c r="BJ600" s="48" t="str">
        <f aca="false">IF(A600="","",IF(BS600=1,"Neu; ","")&amp;IF(AND(BS600=0,BN600&lt;0),"negativer Bestand (Export "&amp;BN600&amp;"); ","")&amp;IF(J600&lt;=0,"Kein Verbrauch; ","")&amp;IF(CL600&gt;0,"Lift "&amp;W600&amp;" lt. Liftbericht (Fach "&amp;X600&amp;" Stk); ",IF(BX600=1,"Gebinde geschätzt ("&amp;T600&amp;"); ",IF(BW600=1,"Lose – Tablare geschätzt; ","")))&amp;IF(H600&gt;AT600,"Überbestand "&amp;ROUND(H600-AT600,0)&amp;" Stk / CHF "&amp;ROUND((H600-AT600)*G600,0)&amp;"; ","")&amp;IF(AND(CE600=1,CF600&lt;CG600),"MAX &lt; MB+LG; ","")&amp;IF(AND(CK600&gt;0,CJ600*10&gt;CK600),"zu hoch für Tablar; ","")&amp;IF(AND(BS600=0,OR(CE600=1,AA600&lt;&gt;"",U600&lt;&gt;"",V600&lt;&gt;"",AB600&lt;&gt;"")),"manuell übersteuert; ","")&amp;IF(AND(BW600=0,R600=0),"Gebinde unbekannt / Stellmass fehlt; ","")&amp;IF(AND(BW600=0,N(V600)&lt;=0,N(Q600)&lt;=0),"Menge pro Gebinde fehlt (Ist = 1 Gebinde); ","")&amp;BR600)</f>
        <v/>
      </c>
      <c r="BK600" s="48"/>
      <c r="BL600" s="48"/>
      <c r="BM600" s="55"/>
      <c r="BN600" s="50" t="n">
        <v>50</v>
      </c>
      <c r="BO600" s="50" t="n">
        <v>100</v>
      </c>
      <c r="BP600" s="49" t="n">
        <v>5.99999999999999</v>
      </c>
      <c r="BQ600" s="50" t="n">
        <v>51</v>
      </c>
      <c r="BR600" s="48"/>
      <c r="BS600" s="53" t="n">
        <v>0</v>
      </c>
      <c r="BT600" s="53" t="n">
        <v>600</v>
      </c>
      <c r="BU600" s="48" t="str">
        <f aca="false">IF(U600&lt;&gt;"",UPPER(TRIM(U600)),IF(BX600=1,UPPER(VLOOKUP(T600,Parameter!$I$27:$K$29,2,0)),IF(P600="","LOSE",P600)))</f>
        <v>S51</v>
      </c>
      <c r="BV600" s="50" t="n">
        <f aca="false">IF(BU600="LOSE",1,IF(N(V600)&gt;0,V600,IF(BX600=1,MAX(1,N(VLOOKUP(T600,Parameter!$I$27:$K$29,3,0)),H600,N(N600)),IF(N(Q600)&gt;0,Q600,MAX(1,H600)))))</f>
        <v>600</v>
      </c>
      <c r="BW600" s="53" t="n">
        <f aca="false">IF(BU600="LOSE",1,0)</f>
        <v>0</v>
      </c>
      <c r="BX600" s="53" t="n">
        <f aca="false">IF(AND(U600="",OR(P600="",P600="LOSE"),T600&lt;&gt;"",N(S600)&lt;=0,ISNUMBER(MATCH(T600,Parameter!$I$27:$I$29,0))),1,0)</f>
        <v>0</v>
      </c>
      <c r="BY600" s="53" t="n">
        <f aca="false">IF(CL600&gt;0,INDEX(Parameter!$H$5:$H$7,W600)/INDEX(Parameter!$E$5:$E$7,W600),IF(AND(BW600=0,N(IFERROR(VLOOKUP(BU600,'Gebinde-Kategorie'!$A$5:$N$45,14,0),0))&gt;0),VLOOKUP(BU600,'Gebinde-Kategorie'!$A$5:$N$45,14,0)*10+Parameter!$M$23,Parameter!$M$24))</f>
        <v>155</v>
      </c>
      <c r="BZ600" s="48" t="str">
        <f aca="false">IF(AND(Parameter!$B$19="Ja",E600&lt;&gt;"",ISNUMBER(MATCH(E600,Parameter!$I$35:$I$52,0))),VLOOKUP(E600,Parameter!$I$35:$J$52,2,0),IFERROR(VLOOKUP(D600,Parameter!$A$35:$C$64,2,0),"Nein"))</f>
        <v>2+3</v>
      </c>
      <c r="CA600" s="52" t="n">
        <f aca="false">IF(BW600=0,0,IF(N(S600)&gt;0,S600,IFERROR(VLOOKUP(D600,Parameter!$A$35:$C$64,3,0)+0,0)))</f>
        <v>0</v>
      </c>
      <c r="CB600" s="48" t="n">
        <f aca="false">IF(AA600&lt;&gt;"",AA600,Z600)</f>
        <v>3</v>
      </c>
      <c r="CC600" s="48" t="str">
        <f aca="false">IF(OR(CB600=1,CB600=2,CB600=3),IF(Parameter!$E$27="Ja","LIFT",IF(CB600=1,"L1","L23")),IF(CB600="Aussen","Aussen","-"))</f>
        <v>LIFT</v>
      </c>
      <c r="CD600" s="59" t="n">
        <f aca="false">IF(N(AB600)&gt;0,AB600,0)</f>
        <v>0</v>
      </c>
      <c r="CE600" s="53" t="n">
        <f aca="false">IF(ISNUMBER(AE600),1,0)</f>
        <v>0</v>
      </c>
      <c r="CF600" s="50" t="n">
        <f aca="false">N(AE600)</f>
        <v>0</v>
      </c>
      <c r="CG600" s="50" t="n">
        <f aca="false">N(M600)+N(N600)</f>
        <v>502</v>
      </c>
      <c r="CH600" s="50" t="n">
        <f aca="false">ROUNDUP(H600/BV600,0)</f>
        <v>1</v>
      </c>
      <c r="CI600" s="50" t="n">
        <f aca="false">ROUNDUP(CF600/BV600,0)</f>
        <v>0</v>
      </c>
      <c r="CJ600" s="53" t="n">
        <f aca="false">IF(BW600=1,0,IFERROR(VLOOKUP(BU600,'Gebinde-Kategorie'!$A$5:$N$45,5,0)+0,0))</f>
        <v>11</v>
      </c>
      <c r="CK600" s="53" t="n">
        <f aca="false">IFERROR(IF(OR(CB600=1,CB600=2,CB600=3),N(INDEX(Parameter!$I$5:$I$7,CB600)),0),0)</f>
        <v>0</v>
      </c>
      <c r="CL600" s="52" t="n">
        <f aca="false">IF(AND(Parameter!$B$21="Ja",ISNUMBER(W600),N(X600)&gt;0),IFERROR(N(INDEX(Parameter!$L$5:$L$7,W600))*INDEX(Parameter!$E$5:$E$7,W600)*X600/SUMIFS($X$7:$X$1843,$W$7:$W$1843,W600),0),0)</f>
        <v>0</v>
      </c>
    </row>
    <row r="601" customFormat="false" ht="15" hidden="false" customHeight="false" outlineLevel="0" collapsed="false">
      <c r="A601" s="48" t="s">
        <v>1249</v>
      </c>
      <c r="B601" s="48" t="s">
        <v>1250</v>
      </c>
      <c r="C601" s="48" t="s">
        <v>168</v>
      </c>
      <c r="D601" s="48" t="s">
        <v>188</v>
      </c>
      <c r="E601" s="48" t="s">
        <v>189</v>
      </c>
      <c r="F601" s="48" t="s">
        <v>222</v>
      </c>
      <c r="G601" s="49" t="n">
        <v>4.65</v>
      </c>
      <c r="H601" s="50" t="n">
        <f aca="false">MAX(0,IF(AND(Parameter!$B$21="Ja",ISNUMBER(Y601)),Y601,IF(Parameter!$B$20="Jahresanfang 2025 + Export",BO601+BN601,BN601)))</f>
        <v>9</v>
      </c>
      <c r="I601" s="50" t="n">
        <f aca="false">H601*G601</f>
        <v>41.85</v>
      </c>
      <c r="J601" s="50" t="n">
        <f aca="false">BQ601*Parameter!$B$18</f>
        <v>8</v>
      </c>
      <c r="K601" s="51" t="n">
        <v>11.5</v>
      </c>
      <c r="L601" s="52" t="n">
        <v>0.695652173913044</v>
      </c>
      <c r="M601" s="50" t="n">
        <v>0</v>
      </c>
      <c r="N601" s="50" t="n">
        <v>10</v>
      </c>
      <c r="O601" s="53" t="n">
        <v>14</v>
      </c>
      <c r="P601" s="48" t="s">
        <v>425</v>
      </c>
      <c r="Q601" s="50" t="n">
        <v>7</v>
      </c>
      <c r="R601" s="53" t="n">
        <f aca="false">IF(BW601=1,0,IFERROR(VLOOKUP(BU601,'Gebinde-Kategorie'!$A$5:$N$45,13,0)+0,0))</f>
        <v>104</v>
      </c>
      <c r="S601" s="54"/>
      <c r="T601" s="55"/>
      <c r="U601" s="55"/>
      <c r="V601" s="55"/>
      <c r="W601" s="48"/>
      <c r="X601" s="50"/>
      <c r="Y601" s="50"/>
      <c r="Z601" s="48" t="n">
        <f aca="false">IF(A601="","",IF(AND(Parameter!$B$21="Ja",ISNUMBER(W601)),W601,IF(BZ601="2+3",IF(ISNUMBER(SEARCH("grosser Artikel",BR601)),2,IFERROR(VLOOKUP(BU601,Parameter!$F$35:$G$64,2,0),2)),IF(OR(BZ601="Nein",BZ601=""),"-",BZ601))))</f>
        <v>3</v>
      </c>
      <c r="AA601" s="55"/>
      <c r="AB601" s="56"/>
      <c r="AC601" s="50" t="n">
        <f aca="false">AT601</f>
        <v>14</v>
      </c>
      <c r="AD601" s="50" t="n">
        <f aca="false">MAX(AT601,H601)</f>
        <v>14</v>
      </c>
      <c r="AE601" s="57"/>
      <c r="AF601" s="50" t="n">
        <f aca="false">IF(LEFT(Cockpit!$C$5,1)="A",H601,IF(CE601=1,CF601,IF(LEFT(Cockpit!$C$5,1)="B",AK601,MAX(AK601,H601))))</f>
        <v>9</v>
      </c>
      <c r="AG601" s="50" t="n">
        <f aca="false">IF(BW601=1,0,ROUNDUP(AF601/BV601,0))</f>
        <v>2</v>
      </c>
      <c r="AH601" s="52" t="n">
        <f aca="false">IF(CL601&gt;0,CL601*MAX(1,AF601/X601),IF(BW601=1,IF(AF601&lt;=0,0,CA601*MAX(1,IF(H601&gt;0,AF601/H601,1))),IF(R601&gt;0,AG601/R601,0))/MAX(0.1,N(Parameter!$M$21)))</f>
        <v>0.0192307692307692</v>
      </c>
      <c r="AI601" s="50" t="n">
        <f aca="false">AH601*BY601</f>
        <v>2.98076923076923</v>
      </c>
      <c r="AJ601" s="50" t="n">
        <f aca="false">AF601*G601</f>
        <v>41.85</v>
      </c>
      <c r="AK601" s="50" t="n">
        <f aca="false">ROUNDUP(MAX(J601/IF(CD601&gt;0,CD601,MAX(0.1,N(Cockpit!$C$6))),CG601)/BV601,0)*BV601</f>
        <v>14</v>
      </c>
      <c r="AL601" s="51" t="n">
        <f aca="false">IF(AI601&gt;0,J601/AI601,-1)</f>
        <v>2.68387096774194</v>
      </c>
      <c r="AM601" s="51" t="n">
        <f aca="false">IF(AND(OR(CC601="L1",CC601="L23",CC601="LIFT"),AI601&gt;0),SUMIFS($AI$7:$AI$1843,$CC$7:$CC$1843,CC601,$AL$7:$AL$1843,"&gt;"&amp;AL601)+SUMIFS($AI$7:$AI$1843,$CC$7:$CC$1843,CC601,$AL$7:$AL$1843,AL601,$BT$7:$BT$1843,"&lt;="&amp;BT601),"")</f>
        <v>5324.94826007326</v>
      </c>
      <c r="AN601" s="58" t="n">
        <f aca="false">IF(AM601="",0,MAX(0,MIN(1,(IF(CC601="L1",Parameter!$H$5,IF(CC601="L23",Parameter!$H$6+Parameter!$H$7,Parameter!$H$5+Parameter!$H$6+Parameter!$H$7))-(AM601-AI601))/AI601)))</f>
        <v>1</v>
      </c>
      <c r="AO601" s="50" t="n">
        <f aca="false">IF(LEFT(Cockpit!$I$5,1)="A",H601,IF(CE601=1,CF601,IF(LEFT(Cockpit!$I$5,1)="B",AT601,MAX(AT601,H601))))</f>
        <v>14</v>
      </c>
      <c r="AP601" s="50" t="n">
        <f aca="false">IF(BW601=1,0,ROUNDUP(AO601/BV601,0))</f>
        <v>2</v>
      </c>
      <c r="AQ601" s="52" t="n">
        <f aca="false">IF(CL601&gt;0,CL601*MAX(1,AO601/X601),IF(BW601=1,IF(AO601&lt;=0,0,CA601*MAX(1,IF(H601&gt;0,AO601/H601,1))),IF(R601&gt;0,AP601/R601,0))/MAX(0.1,N(Parameter!$M$21)))</f>
        <v>0.0192307692307692</v>
      </c>
      <c r="AR601" s="50" t="n">
        <f aca="false">AQ601*BY601</f>
        <v>2.98076923076923</v>
      </c>
      <c r="AS601" s="50" t="n">
        <f aca="false">AO601*G601</f>
        <v>65.1</v>
      </c>
      <c r="AT601" s="50" t="n">
        <f aca="false">ROUNDUP(MAX(J601/IF(CD601&gt;0,CD601,MAX(0.1,N(Cockpit!$I$6))),CG601)/BV601,0)*BV601</f>
        <v>14</v>
      </c>
      <c r="AU601" s="51" t="n">
        <f aca="false">IF(AR601&gt;0,J601/AR601,-1)</f>
        <v>2.68387096774194</v>
      </c>
      <c r="AV601" s="51" t="n">
        <f aca="false">IF(AND(OR(CC601="L1",CC601="L23",CC601="LIFT"),AR601&gt;0),SUMIFS($AR$7:$AR$1843,$CC$7:$CC$1843,CC601,$AU$7:$AU$1843,"&gt;"&amp;AU601)+SUMIFS($AR$7:$AR$1843,$CC$7:$CC$1843,CC601,$AU$7:$AU$1843,AU601,$BT$7:$BT$1843,"&lt;="&amp;BT601),"")</f>
        <v>6704.65659340659</v>
      </c>
      <c r="AW601" s="58" t="n">
        <f aca="false">IF(AV601="",0,MAX(0,MIN(1,(IF(CC601="L1",Parameter!$H$5,IF(CC601="L23",Parameter!$H$6+Parameter!$H$7,Parameter!$H$5+Parameter!$H$6+Parameter!$H$7))-(AV601-AR601))/AR601)))</f>
        <v>1</v>
      </c>
      <c r="AX601" s="50" t="n">
        <f aca="false">IF(LEFT(Cockpit!$O$5,1)="A",H601,IF(CE601=1,CF601,IF(LEFT(Cockpit!$O$5,1)="B",BC601,MAX(BC601,H601))))</f>
        <v>14</v>
      </c>
      <c r="AY601" s="50" t="n">
        <f aca="false">IF(BW601=1,0,ROUNDUP(AX601/BV601,0))</f>
        <v>2</v>
      </c>
      <c r="AZ601" s="52" t="n">
        <f aca="false">IF(CL601&gt;0,CL601*MAX(1,AX601/X601),IF(BW601=1,IF(AX601&lt;=0,0,CA601*MAX(1,IF(H601&gt;0,AX601/H601,1))),IF(R601&gt;0,AY601/R601,0))/MAX(0.1,N(Parameter!$M$21)))</f>
        <v>0.0192307692307692</v>
      </c>
      <c r="BA601" s="50" t="n">
        <f aca="false">AZ601*BY601</f>
        <v>2.98076923076923</v>
      </c>
      <c r="BB601" s="50" t="n">
        <f aca="false">AX601*G601</f>
        <v>65.1</v>
      </c>
      <c r="BC601" s="50" t="n">
        <f aca="false">ROUNDUP(MAX(J601/IF(CD601&gt;0,CD601,MAX(0.1,N(Cockpit!$O$6))),CG601)/BV601,0)*BV601</f>
        <v>14</v>
      </c>
      <c r="BD601" s="51" t="n">
        <f aca="false">IF(BA601&gt;0,J601/BA601,-1)</f>
        <v>2.68387096774194</v>
      </c>
      <c r="BE601" s="51" t="n">
        <f aca="false">IF(AND(OR(CC601="L1",CC601="L23",CC601="LIFT"),BA601&gt;0),SUMIFS($BA$7:$BA$1843,$CC$7:$CC$1843,CC601,$BD$7:$BD$1843,"&gt;"&amp;BD601)+SUMIFS($BA$7:$BA$1843,$CC$7:$CC$1843,CC601,$BD$7:$BD$1843,BD601,$BT$7:$BT$1843,"&lt;="&amp;BT601),"")</f>
        <v>6487.81364468865</v>
      </c>
      <c r="BF601" s="58" t="n">
        <f aca="false">IF(BE601="",0,MAX(0,MIN(1,(IF(CC601="L1",Parameter!$H$5,IF(CC601="L23",Parameter!$H$6+Parameter!$H$7,Parameter!$H$5+Parameter!$H$6+Parameter!$H$7))-(BE601-BA601))/BA601)))</f>
        <v>1</v>
      </c>
      <c r="BG601" s="48" t="str">
        <f aca="false">IF(AI601&lt;=0,"",IF(CC601="Aussen","Aussenlager",IF(CC601="-","Nicht im Lift",IF(AN601&gt;=1,"Lift",IF(AN601&lt;=0,"Aussenlager","teilweise")))))</f>
        <v>Lift</v>
      </c>
      <c r="BH601" s="48" t="str">
        <f aca="false">IF(AR601&lt;=0,"",IF(CC601="Aussen","Aussenlager",IF(CC601="-","Nicht im Lift",IF(AW601&gt;=1,"Lift",IF(AW601&lt;=0,"Aussenlager","teilweise")))))</f>
        <v>Lift</v>
      </c>
      <c r="BI601" s="48" t="str">
        <f aca="false">IF(BA601&lt;=0,"",IF(CC601="Aussen","Aussenlager",IF(CC601="-","Nicht im Lift",IF(BF601&gt;=1,"Lift",IF(BF601&lt;=0,"Aussenlager","teilweise")))))</f>
        <v>Lift</v>
      </c>
      <c r="BJ601" s="48" t="str">
        <f aca="false">IF(A601="","",IF(BS601=1,"Neu; ","")&amp;IF(AND(BS601=0,BN601&lt;0),"negativer Bestand (Export "&amp;BN601&amp;"); ","")&amp;IF(J601&lt;=0,"Kein Verbrauch; ","")&amp;IF(CL601&gt;0,"Lift "&amp;W601&amp;" lt. Liftbericht (Fach "&amp;X601&amp;" Stk); ",IF(BX601=1,"Gebinde geschätzt ("&amp;T601&amp;"); ",IF(BW601=1,"Lose – Tablare geschätzt; ","")))&amp;IF(H601&gt;AT601,"Überbestand "&amp;ROUND(H601-AT601,0)&amp;" Stk / CHF "&amp;ROUND((H601-AT601)*G601,0)&amp;"; ","")&amp;IF(AND(CE601=1,CF601&lt;CG601),"MAX &lt; MB+LG; ","")&amp;IF(AND(CK601&gt;0,CJ601*10&gt;CK601),"zu hoch für Tablar; ","")&amp;IF(AND(BS601=0,OR(CE601=1,AA601&lt;&gt;"",U601&lt;&gt;"",V601&lt;&gt;"",AB601&lt;&gt;"")),"manuell übersteuert; ","")&amp;IF(AND(BW601=0,R601=0),"Gebinde unbekannt / Stellmass fehlt; ","")&amp;IF(AND(BW601=0,N(V601)&lt;=0,N(Q601)&lt;=0),"Menge pro Gebinde fehlt (Ist = 1 Gebinde); ","")&amp;BR601)</f>
        <v/>
      </c>
      <c r="BK601" s="48"/>
      <c r="BL601" s="48"/>
      <c r="BM601" s="55"/>
      <c r="BN601" s="50" t="n">
        <v>2</v>
      </c>
      <c r="BO601" s="50" t="n">
        <v>7</v>
      </c>
      <c r="BP601" s="49" t="n">
        <v>5.66</v>
      </c>
      <c r="BQ601" s="50" t="n">
        <v>8</v>
      </c>
      <c r="BR601" s="48"/>
      <c r="BS601" s="53" t="n">
        <v>0</v>
      </c>
      <c r="BT601" s="53" t="n">
        <v>601</v>
      </c>
      <c r="BU601" s="48" t="str">
        <f aca="false">IF(U601&lt;&gt;"",UPPER(TRIM(U601)),IF(BX601=1,UPPER(VLOOKUP(T601,Parameter!$I$27:$K$29,2,0)),IF(P601="","LOSE",P601)))</f>
        <v>S32</v>
      </c>
      <c r="BV601" s="50" t="n">
        <f aca="false">IF(BU601="LOSE",1,IF(N(V601)&gt;0,V601,IF(BX601=1,MAX(1,N(VLOOKUP(T601,Parameter!$I$27:$K$29,3,0)),H601,N(N601)),IF(N(Q601)&gt;0,Q601,MAX(1,H601)))))</f>
        <v>7</v>
      </c>
      <c r="BW601" s="53" t="n">
        <f aca="false">IF(BU601="LOSE",1,0)</f>
        <v>0</v>
      </c>
      <c r="BX601" s="53" t="n">
        <f aca="false">IF(AND(U601="",OR(P601="",P601="LOSE"),T601&lt;&gt;"",N(S601)&lt;=0,ISNUMBER(MATCH(T601,Parameter!$I$27:$I$29,0))),1,0)</f>
        <v>0</v>
      </c>
      <c r="BY601" s="53" t="n">
        <f aca="false">IF(CL601&gt;0,INDEX(Parameter!$H$5:$H$7,W601)/INDEX(Parameter!$E$5:$E$7,W601),IF(AND(BW601=0,N(IFERROR(VLOOKUP(BU601,'Gebinde-Kategorie'!$A$5:$N$45,14,0),0))&gt;0),VLOOKUP(BU601,'Gebinde-Kategorie'!$A$5:$N$45,14,0)*10+Parameter!$M$23,Parameter!$M$24))</f>
        <v>155</v>
      </c>
      <c r="BZ601" s="48" t="str">
        <f aca="false">IF(AND(Parameter!$B$19="Ja",E601&lt;&gt;"",ISNUMBER(MATCH(E601,Parameter!$I$35:$I$52,0))),VLOOKUP(E601,Parameter!$I$35:$J$52,2,0),IFERROR(VLOOKUP(D601,Parameter!$A$35:$C$64,2,0),"Nein"))</f>
        <v>2+3</v>
      </c>
      <c r="CA601" s="52" t="n">
        <f aca="false">IF(BW601=0,0,IF(N(S601)&gt;0,S601,IFERROR(VLOOKUP(D601,Parameter!$A$35:$C$64,3,0)+0,0)))</f>
        <v>0</v>
      </c>
      <c r="CB601" s="48" t="n">
        <f aca="false">IF(AA601&lt;&gt;"",AA601,Z601)</f>
        <v>3</v>
      </c>
      <c r="CC601" s="48" t="str">
        <f aca="false">IF(OR(CB601=1,CB601=2,CB601=3),IF(Parameter!$E$27="Ja","LIFT",IF(CB601=1,"L1","L23")),IF(CB601="Aussen","Aussen","-"))</f>
        <v>LIFT</v>
      </c>
      <c r="CD601" s="59" t="n">
        <f aca="false">IF(N(AB601)&gt;0,AB601,0)</f>
        <v>0</v>
      </c>
      <c r="CE601" s="53" t="n">
        <f aca="false">IF(ISNUMBER(AE601),1,0)</f>
        <v>0</v>
      </c>
      <c r="CF601" s="50" t="n">
        <f aca="false">N(AE601)</f>
        <v>0</v>
      </c>
      <c r="CG601" s="50" t="n">
        <f aca="false">N(M601)+N(N601)</f>
        <v>10</v>
      </c>
      <c r="CH601" s="50" t="n">
        <f aca="false">ROUNDUP(H601/BV601,0)</f>
        <v>2</v>
      </c>
      <c r="CI601" s="50" t="n">
        <f aca="false">ROUNDUP(CF601/BV601,0)</f>
        <v>0</v>
      </c>
      <c r="CJ601" s="53" t="n">
        <f aca="false">IF(BW601=1,0,IFERROR(VLOOKUP(BU601,'Gebinde-Kategorie'!$A$5:$N$45,5,0)+0,0))</f>
        <v>8</v>
      </c>
      <c r="CK601" s="53" t="n">
        <f aca="false">IFERROR(IF(OR(CB601=1,CB601=2,CB601=3),N(INDEX(Parameter!$I$5:$I$7,CB601)),0),0)</f>
        <v>0</v>
      </c>
      <c r="CL601" s="52" t="n">
        <f aca="false">IF(AND(Parameter!$B$21="Ja",ISNUMBER(W601),N(X601)&gt;0),IFERROR(N(INDEX(Parameter!$L$5:$L$7,W601))*INDEX(Parameter!$E$5:$E$7,W601)*X601/SUMIFS($X$7:$X$1843,$W$7:$W$1843,W601),0),0)</f>
        <v>0</v>
      </c>
    </row>
    <row r="602" customFormat="false" ht="15" hidden="false" customHeight="false" outlineLevel="0" collapsed="false">
      <c r="A602" s="48" t="s">
        <v>1251</v>
      </c>
      <c r="B602" s="48" t="s">
        <v>865</v>
      </c>
      <c r="C602" s="48" t="s">
        <v>168</v>
      </c>
      <c r="D602" s="48" t="s">
        <v>999</v>
      </c>
      <c r="E602" s="48"/>
      <c r="F602" s="48" t="s">
        <v>222</v>
      </c>
      <c r="G602" s="49" t="n">
        <v>2.8</v>
      </c>
      <c r="H602" s="50" t="n">
        <f aca="false">MAX(0,IF(AND(Parameter!$B$21="Ja",ISNUMBER(Y602)),Y602,IF(Parameter!$B$20="Jahresanfang 2025 + Export",BO602+BN602,BN602)))</f>
        <v>2</v>
      </c>
      <c r="I602" s="50" t="n">
        <f aca="false">H602*G602</f>
        <v>5.6</v>
      </c>
      <c r="J602" s="50" t="n">
        <f aca="false">BQ602*Parameter!$B$18</f>
        <v>23</v>
      </c>
      <c r="K602" s="51" t="n">
        <v>1</v>
      </c>
      <c r="L602" s="52" t="n">
        <v>23</v>
      </c>
      <c r="M602" s="50" t="n">
        <v>0</v>
      </c>
      <c r="N602" s="50" t="n">
        <v>10</v>
      </c>
      <c r="O602" s="53" t="n">
        <v>14</v>
      </c>
      <c r="P602" s="48" t="s">
        <v>172</v>
      </c>
      <c r="Q602" s="50"/>
      <c r="R602" s="53" t="n">
        <f aca="false">IF(BW602=1,0,IFERROR(VLOOKUP(BU602,'Gebinde-Kategorie'!$A$5:$N$45,13,0)+0,0))</f>
        <v>0</v>
      </c>
      <c r="S602" s="54"/>
      <c r="T602" s="55"/>
      <c r="U602" s="55"/>
      <c r="V602" s="55"/>
      <c r="W602" s="48"/>
      <c r="X602" s="50"/>
      <c r="Y602" s="50"/>
      <c r="Z602" s="48" t="str">
        <f aca="false">IF(A602="","",IF(AND(Parameter!$B$21="Ja",ISNUMBER(W602)),W602,IF(BZ602="2+3",IF(ISNUMBER(SEARCH("grosser Artikel",BR602)),2,IFERROR(VLOOKUP(BU602,Parameter!$F$35:$G$64,2,0),2)),IF(OR(BZ602="Nein",BZ602=""),"-",BZ602))))</f>
        <v>-</v>
      </c>
      <c r="AA602" s="55"/>
      <c r="AB602" s="56"/>
      <c r="AC602" s="50" t="n">
        <f aca="false">AT602</f>
        <v>12</v>
      </c>
      <c r="AD602" s="50" t="n">
        <f aca="false">MAX(AT602,H602)</f>
        <v>12</v>
      </c>
      <c r="AE602" s="57"/>
      <c r="AF602" s="50" t="n">
        <f aca="false">IF(LEFT(Cockpit!$C$5,1)="A",H602,IF(CE602=1,CF602,IF(LEFT(Cockpit!$C$5,1)="B",AK602,MAX(AK602,H602))))</f>
        <v>2</v>
      </c>
      <c r="AG602" s="50" t="n">
        <f aca="false">IF(BW602=1,0,ROUNDUP(AF602/BV602,0))</f>
        <v>0</v>
      </c>
      <c r="AH602" s="52" t="n">
        <f aca="false">IF(CL602&gt;0,CL602*MAX(1,AF602/X602),IF(BW602=1,IF(AF602&lt;=0,0,CA602*MAX(1,IF(H602&gt;0,AF602/H602,1))),IF(R602&gt;0,AG602/R602,0))/MAX(0.1,N(Parameter!$M$21)))</f>
        <v>0.15</v>
      </c>
      <c r="AI602" s="50" t="n">
        <f aca="false">AH602*BY602</f>
        <v>35.25</v>
      </c>
      <c r="AJ602" s="50" t="n">
        <f aca="false">AF602*G602</f>
        <v>5.6</v>
      </c>
      <c r="AK602" s="50" t="n">
        <f aca="false">ROUNDUP(MAX(J602/IF(CD602&gt;0,CD602,MAX(0.1,N(Cockpit!$C$6))),CG602)/BV602,0)*BV602</f>
        <v>12</v>
      </c>
      <c r="AL602" s="51" t="n">
        <f aca="false">IF(AI602&gt;0,J602/AI602,-1)</f>
        <v>0.652482269503546</v>
      </c>
      <c r="AM602" s="51" t="str">
        <f aca="false">IF(AND(OR(CC602="L1",CC602="L23",CC602="LIFT"),AI602&gt;0),SUMIFS($AI$7:$AI$1843,$CC$7:$CC$1843,CC602,$AL$7:$AL$1843,"&gt;"&amp;AL602)+SUMIFS($AI$7:$AI$1843,$CC$7:$CC$1843,CC602,$AL$7:$AL$1843,AL602,$BT$7:$BT$1843,"&lt;="&amp;BT602),"")</f>
        <v/>
      </c>
      <c r="AN602" s="58" t="n">
        <f aca="false">IF(AM602="",0,MAX(0,MIN(1,(IF(CC602="L1",Parameter!$H$5,IF(CC602="L23",Parameter!$H$6+Parameter!$H$7,Parameter!$H$5+Parameter!$H$6+Parameter!$H$7))-(AM602-AI602))/AI602)))</f>
        <v>0</v>
      </c>
      <c r="AO602" s="50" t="n">
        <f aca="false">IF(LEFT(Cockpit!$I$5,1)="A",H602,IF(CE602=1,CF602,IF(LEFT(Cockpit!$I$5,1)="B",AT602,MAX(AT602,H602))))</f>
        <v>12</v>
      </c>
      <c r="AP602" s="50" t="n">
        <f aca="false">IF(BW602=1,0,ROUNDUP(AO602/BV602,0))</f>
        <v>0</v>
      </c>
      <c r="AQ602" s="52" t="n">
        <f aca="false">IF(CL602&gt;0,CL602*MAX(1,AO602/X602),IF(BW602=1,IF(AO602&lt;=0,0,CA602*MAX(1,IF(H602&gt;0,AO602/H602,1))),IF(R602&gt;0,AP602/R602,0))/MAX(0.1,N(Parameter!$M$21)))</f>
        <v>0.9</v>
      </c>
      <c r="AR602" s="50" t="n">
        <f aca="false">AQ602*BY602</f>
        <v>211.5</v>
      </c>
      <c r="AS602" s="50" t="n">
        <f aca="false">AO602*G602</f>
        <v>33.6</v>
      </c>
      <c r="AT602" s="50" t="n">
        <f aca="false">ROUNDUP(MAX(J602/IF(CD602&gt;0,CD602,MAX(0.1,N(Cockpit!$I$6))),CG602)/BV602,0)*BV602</f>
        <v>12</v>
      </c>
      <c r="AU602" s="51" t="n">
        <f aca="false">IF(AR602&gt;0,J602/AR602,-1)</f>
        <v>0.108747044917258</v>
      </c>
      <c r="AV602" s="51" t="str">
        <f aca="false">IF(AND(OR(CC602="L1",CC602="L23",CC602="LIFT"),AR602&gt;0),SUMIFS($AR$7:$AR$1843,$CC$7:$CC$1843,CC602,$AU$7:$AU$1843,"&gt;"&amp;AU602)+SUMIFS($AR$7:$AR$1843,$CC$7:$CC$1843,CC602,$AU$7:$AU$1843,AU602,$BT$7:$BT$1843,"&lt;="&amp;BT602),"")</f>
        <v/>
      </c>
      <c r="AW602" s="58" t="n">
        <f aca="false">IF(AV602="",0,MAX(0,MIN(1,(IF(CC602="L1",Parameter!$H$5,IF(CC602="L23",Parameter!$H$6+Parameter!$H$7,Parameter!$H$5+Parameter!$H$6+Parameter!$H$7))-(AV602-AR602))/AR602)))</f>
        <v>0</v>
      </c>
      <c r="AX602" s="50" t="n">
        <f aca="false">IF(LEFT(Cockpit!$O$5,1)="A",H602,IF(CE602=1,CF602,IF(LEFT(Cockpit!$O$5,1)="B",BC602,MAX(BC602,H602))))</f>
        <v>10</v>
      </c>
      <c r="AY602" s="50" t="n">
        <f aca="false">IF(BW602=1,0,ROUNDUP(AX602/BV602,0))</f>
        <v>0</v>
      </c>
      <c r="AZ602" s="52" t="n">
        <f aca="false">IF(CL602&gt;0,CL602*MAX(1,AX602/X602),IF(BW602=1,IF(AX602&lt;=0,0,CA602*MAX(1,IF(H602&gt;0,AX602/H602,1))),IF(R602&gt;0,AY602/R602,0))/MAX(0.1,N(Parameter!$M$21)))</f>
        <v>0.75</v>
      </c>
      <c r="BA602" s="50" t="n">
        <f aca="false">AZ602*BY602</f>
        <v>176.25</v>
      </c>
      <c r="BB602" s="50" t="n">
        <f aca="false">AX602*G602</f>
        <v>28</v>
      </c>
      <c r="BC602" s="50" t="n">
        <f aca="false">ROUNDUP(MAX(J602/IF(CD602&gt;0,CD602,MAX(0.1,N(Cockpit!$O$6))),CG602)/BV602,0)*BV602</f>
        <v>10</v>
      </c>
      <c r="BD602" s="51" t="n">
        <f aca="false">IF(BA602&gt;0,J602/BA602,-1)</f>
        <v>0.130496453900709</v>
      </c>
      <c r="BE602" s="51" t="str">
        <f aca="false">IF(AND(OR(CC602="L1",CC602="L23",CC602="LIFT"),BA602&gt;0),SUMIFS($BA$7:$BA$1843,$CC$7:$CC$1843,CC602,$BD$7:$BD$1843,"&gt;"&amp;BD602)+SUMIFS($BA$7:$BA$1843,$CC$7:$CC$1843,CC602,$BD$7:$BD$1843,BD602,$BT$7:$BT$1843,"&lt;="&amp;BT602),"")</f>
        <v/>
      </c>
      <c r="BF602" s="58" t="n">
        <f aca="false">IF(BE602="",0,MAX(0,MIN(1,(IF(CC602="L1",Parameter!$H$5,IF(CC602="L23",Parameter!$H$6+Parameter!$H$7,Parameter!$H$5+Parameter!$H$6+Parameter!$H$7))-(BE602-BA602))/BA602)))</f>
        <v>0</v>
      </c>
      <c r="BG602" s="48" t="str">
        <f aca="false">IF(AI602&lt;=0,"",IF(CC602="Aussen","Aussenlager",IF(CC602="-","Nicht im Lift",IF(AN602&gt;=1,"Lift",IF(AN602&lt;=0,"Aussenlager","teilweise")))))</f>
        <v>Nicht im Lift</v>
      </c>
      <c r="BH602" s="48" t="str">
        <f aca="false">IF(AR602&lt;=0,"",IF(CC602="Aussen","Aussenlager",IF(CC602="-","Nicht im Lift",IF(AW602&gt;=1,"Lift",IF(AW602&lt;=0,"Aussenlager","teilweise")))))</f>
        <v>Nicht im Lift</v>
      </c>
      <c r="BI602" s="48" t="str">
        <f aca="false">IF(BA602&lt;=0,"",IF(CC602="Aussen","Aussenlager",IF(CC602="-","Nicht im Lift",IF(BF602&gt;=1,"Lift",IF(BF602&lt;=0,"Aussenlager","teilweise")))))</f>
        <v>Nicht im Lift</v>
      </c>
      <c r="BJ602" s="48" t="str">
        <f aca="false">IF(A602="","",IF(BS602=1,"Neu; ","")&amp;IF(AND(BS602=0,BN602&lt;0),"negativer Bestand (Export "&amp;BN602&amp;"); ","")&amp;IF(J602&lt;=0,"Kein Verbrauch; ","")&amp;IF(CL602&gt;0,"Lift "&amp;W602&amp;" lt. Liftbericht (Fach "&amp;X602&amp;" Stk); ",IF(BX602=1,"Gebinde geschätzt ("&amp;T602&amp;"); ",IF(BW602=1,"Lose – Tablare geschätzt; ","")))&amp;IF(H602&gt;AT602,"Überbestand "&amp;ROUND(H602-AT602,0)&amp;" Stk / CHF "&amp;ROUND((H602-AT602)*G602,0)&amp;"; ","")&amp;IF(AND(CE602=1,CF602&lt;CG602),"MAX &lt; MB+LG; ","")&amp;IF(AND(CK602&gt;0,CJ602*10&gt;CK602),"zu hoch für Tablar; ","")&amp;IF(AND(BS602=0,OR(CE602=1,AA602&lt;&gt;"",U602&lt;&gt;"",V602&lt;&gt;"",AB602&lt;&gt;"")),"manuell übersteuert; ","")&amp;IF(AND(BW602=0,R602=0),"Gebinde unbekannt / Stellmass fehlt; ","")&amp;IF(AND(BW602=0,N(V602)&lt;=0,N(Q602)&lt;=0),"Menge pro Gebinde fehlt (Ist = 1 Gebinde); ","")&amp;BR602)</f>
        <v>Lose – Tablare geschätzt; </v>
      </c>
      <c r="BK602" s="48"/>
      <c r="BL602" s="48"/>
      <c r="BM602" s="55"/>
      <c r="BN602" s="50" t="n">
        <v>2</v>
      </c>
      <c r="BO602" s="50" t="n">
        <v>0</v>
      </c>
      <c r="BP602" s="49" t="n">
        <v>5.59999999999999</v>
      </c>
      <c r="BQ602" s="50" t="n">
        <v>23</v>
      </c>
      <c r="BR602" s="48"/>
      <c r="BS602" s="53" t="n">
        <v>0</v>
      </c>
      <c r="BT602" s="53" t="n">
        <v>602</v>
      </c>
      <c r="BU602" s="48" t="str">
        <f aca="false">IF(U602&lt;&gt;"",UPPER(TRIM(U602)),IF(BX602=1,UPPER(VLOOKUP(T602,Parameter!$I$27:$K$29,2,0)),IF(P602="","LOSE",P602)))</f>
        <v>LOSE</v>
      </c>
      <c r="BV602" s="50" t="n">
        <f aca="false">IF(BU602="LOSE",1,IF(N(V602)&gt;0,V602,IF(BX602=1,MAX(1,N(VLOOKUP(T602,Parameter!$I$27:$K$29,3,0)),H602,N(N602)),IF(N(Q602)&gt;0,Q602,MAX(1,H602)))))</f>
        <v>1</v>
      </c>
      <c r="BW602" s="53" t="n">
        <f aca="false">IF(BU602="LOSE",1,0)</f>
        <v>1</v>
      </c>
      <c r="BX602" s="53" t="n">
        <f aca="false">IF(AND(U602="",OR(P602="",P602="LOSE"),T602&lt;&gt;"",N(S602)&lt;=0,ISNUMBER(MATCH(T602,Parameter!$I$27:$I$29,0))),1,0)</f>
        <v>0</v>
      </c>
      <c r="BY602" s="53" t="n">
        <f aca="false">IF(CL602&gt;0,INDEX(Parameter!$H$5:$H$7,W602)/INDEX(Parameter!$E$5:$E$7,W602),IF(AND(BW602=0,N(IFERROR(VLOOKUP(BU602,'Gebinde-Kategorie'!$A$5:$N$45,14,0),0))&gt;0),VLOOKUP(BU602,'Gebinde-Kategorie'!$A$5:$N$45,14,0)*10+Parameter!$M$23,Parameter!$M$24))</f>
        <v>235</v>
      </c>
      <c r="BZ602" s="48" t="str">
        <f aca="false">IF(AND(Parameter!$B$19="Ja",E602&lt;&gt;"",ISNUMBER(MATCH(E602,Parameter!$I$35:$I$52,0))),VLOOKUP(E602,Parameter!$I$35:$J$52,2,0),IFERROR(VLOOKUP(D602,Parameter!$A$35:$C$64,2,0),"Nein"))</f>
        <v>Nein</v>
      </c>
      <c r="CA602" s="52" t="n">
        <f aca="false">IF(BW602=0,0,IF(N(S602)&gt;0,S602,IFERROR(VLOOKUP(D602,Parameter!$A$35:$C$64,3,0)+0,0)))</f>
        <v>0.15</v>
      </c>
      <c r="CB602" s="48" t="str">
        <f aca="false">IF(AA602&lt;&gt;"",AA602,Z602)</f>
        <v>-</v>
      </c>
      <c r="CC602" s="48" t="str">
        <f aca="false">IF(OR(CB602=1,CB602=2,CB602=3),IF(Parameter!$E$27="Ja","LIFT",IF(CB602=1,"L1","L23")),IF(CB602="Aussen","Aussen","-"))</f>
        <v>-</v>
      </c>
      <c r="CD602" s="59" t="n">
        <f aca="false">IF(N(AB602)&gt;0,AB602,0)</f>
        <v>0</v>
      </c>
      <c r="CE602" s="53" t="n">
        <f aca="false">IF(ISNUMBER(AE602),1,0)</f>
        <v>0</v>
      </c>
      <c r="CF602" s="50" t="n">
        <f aca="false">N(AE602)</f>
        <v>0</v>
      </c>
      <c r="CG602" s="50" t="n">
        <f aca="false">N(M602)+N(N602)</f>
        <v>10</v>
      </c>
      <c r="CH602" s="50" t="n">
        <f aca="false">ROUNDUP(H602/BV602,0)</f>
        <v>2</v>
      </c>
      <c r="CI602" s="50" t="n">
        <f aca="false">ROUNDUP(CF602/BV602,0)</f>
        <v>0</v>
      </c>
      <c r="CJ602" s="53" t="n">
        <f aca="false">IF(BW602=1,0,IFERROR(VLOOKUP(BU602,'Gebinde-Kategorie'!$A$5:$N$45,5,0)+0,0))</f>
        <v>0</v>
      </c>
      <c r="CK602" s="53" t="n">
        <f aca="false">IFERROR(IF(OR(CB602=1,CB602=2,CB602=3),N(INDEX(Parameter!$I$5:$I$7,CB602)),0),0)</f>
        <v>0</v>
      </c>
      <c r="CL602" s="52" t="n">
        <f aca="false">IF(AND(Parameter!$B$21="Ja",ISNUMBER(W602),N(X602)&gt;0),IFERROR(N(INDEX(Parameter!$L$5:$L$7,W602))*INDEX(Parameter!$E$5:$E$7,W602)*X602/SUMIFS($X$7:$X$1843,$W$7:$W$1843,W602),0),0)</f>
        <v>0</v>
      </c>
    </row>
    <row r="603" customFormat="false" ht="15" hidden="false" customHeight="false" outlineLevel="0" collapsed="false">
      <c r="A603" s="48" t="s">
        <v>1252</v>
      </c>
      <c r="B603" s="48" t="s">
        <v>1253</v>
      </c>
      <c r="C603" s="48" t="s">
        <v>168</v>
      </c>
      <c r="D603" s="48" t="s">
        <v>188</v>
      </c>
      <c r="E603" s="48"/>
      <c r="F603" s="48" t="s">
        <v>222</v>
      </c>
      <c r="G603" s="49" t="n">
        <v>4.15</v>
      </c>
      <c r="H603" s="50" t="n">
        <f aca="false">MAX(0,IF(AND(Parameter!$B$21="Ja",ISNUMBER(Y603)),Y603,IF(Parameter!$B$20="Jahresanfang 2025 + Export",BO603+BN603,BN603)))</f>
        <v>8</v>
      </c>
      <c r="I603" s="50" t="n">
        <f aca="false">H603*G603</f>
        <v>33.2</v>
      </c>
      <c r="J603" s="50" t="n">
        <f aca="false">BQ603*Parameter!$B$18</f>
        <v>1</v>
      </c>
      <c r="K603" s="51" t="n">
        <v>8</v>
      </c>
      <c r="L603" s="52" t="n">
        <v>0.125</v>
      </c>
      <c r="M603" s="50" t="n">
        <v>0</v>
      </c>
      <c r="N603" s="50" t="n">
        <v>1</v>
      </c>
      <c r="O603" s="53" t="n">
        <v>14</v>
      </c>
      <c r="P603" s="48" t="s">
        <v>332</v>
      </c>
      <c r="Q603" s="50" t="n">
        <v>10</v>
      </c>
      <c r="R603" s="53" t="n">
        <f aca="false">IF(BW603=1,0,IFERROR(VLOOKUP(BU603,'Gebinde-Kategorie'!$A$5:$N$45,13,0)+0,0))</f>
        <v>52</v>
      </c>
      <c r="S603" s="54"/>
      <c r="T603" s="55"/>
      <c r="U603" s="55"/>
      <c r="V603" s="55"/>
      <c r="W603" s="48"/>
      <c r="X603" s="50"/>
      <c r="Y603" s="50"/>
      <c r="Z603" s="48" t="n">
        <f aca="false">IF(A603="","",IF(AND(Parameter!$B$21="Ja",ISNUMBER(W603)),W603,IF(BZ603="2+3",IF(ISNUMBER(SEARCH("grosser Artikel",BR603)),2,IFERROR(VLOOKUP(BU603,Parameter!$F$35:$G$64,2,0),2)),IF(OR(BZ603="Nein",BZ603=""),"-",BZ603))))</f>
        <v>3</v>
      </c>
      <c r="AA603" s="55"/>
      <c r="AB603" s="56"/>
      <c r="AC603" s="50" t="n">
        <f aca="false">AT603</f>
        <v>10</v>
      </c>
      <c r="AD603" s="50" t="n">
        <f aca="false">MAX(AT603,H603)</f>
        <v>10</v>
      </c>
      <c r="AE603" s="57"/>
      <c r="AF603" s="50" t="n">
        <f aca="false">IF(LEFT(Cockpit!$C$5,1)="A",H603,IF(CE603=1,CF603,IF(LEFT(Cockpit!$C$5,1)="B",AK603,MAX(AK603,H603))))</f>
        <v>8</v>
      </c>
      <c r="AG603" s="50" t="n">
        <f aca="false">IF(BW603=1,0,ROUNDUP(AF603/BV603,0))</f>
        <v>1</v>
      </c>
      <c r="AH603" s="52" t="n">
        <f aca="false">IF(CL603&gt;0,CL603*MAX(1,AF603/X603),IF(BW603=1,IF(AF603&lt;=0,0,CA603*MAX(1,IF(H603&gt;0,AF603/H603,1))),IF(R603&gt;0,AG603/R603,0))/MAX(0.1,N(Parameter!$M$21)))</f>
        <v>0.0192307692307692</v>
      </c>
      <c r="AI603" s="50" t="n">
        <f aca="false">AH603*BY603</f>
        <v>2.98076923076923</v>
      </c>
      <c r="AJ603" s="50" t="n">
        <f aca="false">AF603*G603</f>
        <v>33.2</v>
      </c>
      <c r="AK603" s="50" t="n">
        <f aca="false">ROUNDUP(MAX(J603/IF(CD603&gt;0,CD603,MAX(0.1,N(Cockpit!$C$6))),CG603)/BV603,0)*BV603</f>
        <v>10</v>
      </c>
      <c r="AL603" s="51" t="n">
        <f aca="false">IF(AI603&gt;0,J603/AI603,-1)</f>
        <v>0.335483870967742</v>
      </c>
      <c r="AM603" s="51" t="n">
        <f aca="false">IF(AND(OR(CC603="L1",CC603="L23",CC603="LIFT"),AI603&gt;0),SUMIFS($AI$7:$AI$1843,$CC$7:$CC$1843,CC603,$AL$7:$AL$1843,"&gt;"&amp;AL603)+SUMIFS($AI$7:$AI$1843,$CC$7:$CC$1843,CC603,$AL$7:$AL$1843,AL603,$BT$7:$BT$1843,"&lt;="&amp;BT603),"")</f>
        <v>11186.0193471782</v>
      </c>
      <c r="AN603" s="58" t="n">
        <f aca="false">IF(AM603="",0,MAX(0,MIN(1,(IF(CC603="L1",Parameter!$H$5,IF(CC603="L23",Parameter!$H$6+Parameter!$H$7,Parameter!$H$5+Parameter!$H$6+Parameter!$H$7))-(AM603-AI603))/AI603)))</f>
        <v>1</v>
      </c>
      <c r="AO603" s="50" t="n">
        <f aca="false">IF(LEFT(Cockpit!$I$5,1)="A",H603,IF(CE603=1,CF603,IF(LEFT(Cockpit!$I$5,1)="B",AT603,MAX(AT603,H603))))</f>
        <v>10</v>
      </c>
      <c r="AP603" s="50" t="n">
        <f aca="false">IF(BW603=1,0,ROUNDUP(AO603/BV603,0))</f>
        <v>1</v>
      </c>
      <c r="AQ603" s="52" t="n">
        <f aca="false">IF(CL603&gt;0,CL603*MAX(1,AO603/X603),IF(BW603=1,IF(AO603&lt;=0,0,CA603*MAX(1,IF(H603&gt;0,AO603/H603,1))),IF(R603&gt;0,AP603/R603,0))/MAX(0.1,N(Parameter!$M$21)))</f>
        <v>0.0192307692307692</v>
      </c>
      <c r="AR603" s="50" t="n">
        <f aca="false">AQ603*BY603</f>
        <v>2.98076923076923</v>
      </c>
      <c r="AS603" s="50" t="n">
        <f aca="false">AO603*G603</f>
        <v>41.5</v>
      </c>
      <c r="AT603" s="50" t="n">
        <f aca="false">ROUNDUP(MAX(J603/IF(CD603&gt;0,CD603,MAX(0.1,N(Cockpit!$I$6))),CG603)/BV603,0)*BV603</f>
        <v>10</v>
      </c>
      <c r="AU603" s="51" t="n">
        <f aca="false">IF(AR603&gt;0,J603/AR603,-1)</f>
        <v>0.335483870967742</v>
      </c>
      <c r="AV603" s="51" t="n">
        <f aca="false">IF(AND(OR(CC603="L1",CC603="L23",CC603="LIFT"),AR603&gt;0),SUMIFS($AR$7:$AR$1843,$CC$7:$CC$1843,CC603,$AU$7:$AU$1843,"&gt;"&amp;AU603)+SUMIFS($AR$7:$AR$1843,$CC$7:$CC$1843,CC603,$AU$7:$AU$1843,AU603,$BT$7:$BT$1843,"&lt;="&amp;BT603),"")</f>
        <v>16299.7944139194</v>
      </c>
      <c r="AW603" s="58" t="n">
        <f aca="false">IF(AV603="",0,MAX(0,MIN(1,(IF(CC603="L1",Parameter!$H$5,IF(CC603="L23",Parameter!$H$6+Parameter!$H$7,Parameter!$H$5+Parameter!$H$6+Parameter!$H$7))-(AV603-AR603))/AR603)))</f>
        <v>1</v>
      </c>
      <c r="AX603" s="50" t="n">
        <f aca="false">IF(LEFT(Cockpit!$O$5,1)="A",H603,IF(CE603=1,CF603,IF(LEFT(Cockpit!$O$5,1)="B",BC603,MAX(BC603,H603))))</f>
        <v>10</v>
      </c>
      <c r="AY603" s="50" t="n">
        <f aca="false">IF(BW603=1,0,ROUNDUP(AX603/BV603,0))</f>
        <v>1</v>
      </c>
      <c r="AZ603" s="52" t="n">
        <f aca="false">IF(CL603&gt;0,CL603*MAX(1,AX603/X603),IF(BW603=1,IF(AX603&lt;=0,0,CA603*MAX(1,IF(H603&gt;0,AX603/H603,1))),IF(R603&gt;0,AY603/R603,0))/MAX(0.1,N(Parameter!$M$21)))</f>
        <v>0.0192307692307692</v>
      </c>
      <c r="BA603" s="50" t="n">
        <f aca="false">AZ603*BY603</f>
        <v>2.98076923076923</v>
      </c>
      <c r="BB603" s="50" t="n">
        <f aca="false">AX603*G603</f>
        <v>41.5</v>
      </c>
      <c r="BC603" s="50" t="n">
        <f aca="false">ROUNDUP(MAX(J603/IF(CD603&gt;0,CD603,MAX(0.1,N(Cockpit!$O$6))),CG603)/BV603,0)*BV603</f>
        <v>10</v>
      </c>
      <c r="BD603" s="51" t="n">
        <f aca="false">IF(BA603&gt;0,J603/BA603,-1)</f>
        <v>0.335483870967742</v>
      </c>
      <c r="BE603" s="51" t="n">
        <f aca="false">IF(AND(OR(CC603="L1",CC603="L23",CC603="LIFT"),BA603&gt;0),SUMIFS($BA$7:$BA$1843,$CC$7:$CC$1843,CC603,$BD$7:$BD$1843,"&gt;"&amp;BD603)+SUMIFS($BA$7:$BA$1843,$CC$7:$CC$1843,CC603,$BD$7:$BD$1843,BD603,$BT$7:$BT$1843,"&lt;="&amp;BT603),"")</f>
        <v>15050.4514652015</v>
      </c>
      <c r="BF603" s="58" t="n">
        <f aca="false">IF(BE603="",0,MAX(0,MIN(1,(IF(CC603="L1",Parameter!$H$5,IF(CC603="L23",Parameter!$H$6+Parameter!$H$7,Parameter!$H$5+Parameter!$H$6+Parameter!$H$7))-(BE603-BA603))/BA603)))</f>
        <v>1</v>
      </c>
      <c r="BG603" s="48" t="str">
        <f aca="false">IF(AI603&lt;=0,"",IF(CC603="Aussen","Aussenlager",IF(CC603="-","Nicht im Lift",IF(AN603&gt;=1,"Lift",IF(AN603&lt;=0,"Aussenlager","teilweise")))))</f>
        <v>Lift</v>
      </c>
      <c r="BH603" s="48" t="str">
        <f aca="false">IF(AR603&lt;=0,"",IF(CC603="Aussen","Aussenlager",IF(CC603="-","Nicht im Lift",IF(AW603&gt;=1,"Lift",IF(AW603&lt;=0,"Aussenlager","teilweise")))))</f>
        <v>Lift</v>
      </c>
      <c r="BI603" s="48" t="str">
        <f aca="false">IF(BA603&lt;=0,"",IF(CC603="Aussen","Aussenlager",IF(CC603="-","Nicht im Lift",IF(BF603&gt;=1,"Lift",IF(BF603&lt;=0,"Aussenlager","teilweise")))))</f>
        <v>Lift</v>
      </c>
      <c r="BJ603" s="48" t="str">
        <f aca="false">IF(A603="","",IF(BS603=1,"Neu; ","")&amp;IF(AND(BS603=0,BN603&lt;0),"negativer Bestand (Export "&amp;BN603&amp;"); ","")&amp;IF(J603&lt;=0,"Kein Verbrauch; ","")&amp;IF(CL603&gt;0,"Lift "&amp;W603&amp;" lt. Liftbericht (Fach "&amp;X603&amp;" Stk); ",IF(BX603=1,"Gebinde geschätzt ("&amp;T603&amp;"); ",IF(BW603=1,"Lose – Tablare geschätzt; ","")))&amp;IF(H603&gt;AT603,"Überbestand "&amp;ROUND(H603-AT603,0)&amp;" Stk / CHF "&amp;ROUND((H603-AT603)*G603,0)&amp;"; ","")&amp;IF(AND(CE603=1,CF603&lt;CG603),"MAX &lt; MB+LG; ","")&amp;IF(AND(CK603&gt;0,CJ603*10&gt;CK603),"zu hoch für Tablar; ","")&amp;IF(AND(BS603=0,OR(CE603=1,AA603&lt;&gt;"",U603&lt;&gt;"",V603&lt;&gt;"",AB603&lt;&gt;"")),"manuell übersteuert; ","")&amp;IF(AND(BW603=0,R603=0),"Gebinde unbekannt / Stellmass fehlt; ","")&amp;IF(AND(BW603=0,N(V603)&lt;=0,N(Q603)&lt;=0),"Menge pro Gebinde fehlt (Ist = 1 Gebinde); ","")&amp;BR603)</f>
        <v>überbestand</v>
      </c>
      <c r="BK603" s="48"/>
      <c r="BL603" s="48"/>
      <c r="BM603" s="55"/>
      <c r="BN603" s="50" t="n">
        <v>1</v>
      </c>
      <c r="BO603" s="50" t="n">
        <v>7</v>
      </c>
      <c r="BP603" s="49" t="n">
        <v>5.48</v>
      </c>
      <c r="BQ603" s="50" t="n">
        <v>1</v>
      </c>
      <c r="BR603" s="48" t="s">
        <v>1254</v>
      </c>
      <c r="BS603" s="53" t="n">
        <v>0</v>
      </c>
      <c r="BT603" s="53" t="n">
        <v>603</v>
      </c>
      <c r="BU603" s="48" t="str">
        <f aca="false">IF(U603&lt;&gt;"",UPPER(TRIM(U603)),IF(BX603=1,UPPER(VLOOKUP(T603,Parameter!$I$27:$K$29,2,0)),IF(P603="","LOSE",P603)))</f>
        <v>S41</v>
      </c>
      <c r="BV603" s="50" t="n">
        <f aca="false">IF(BU603="LOSE",1,IF(N(V603)&gt;0,V603,IF(BX603=1,MAX(1,N(VLOOKUP(T603,Parameter!$I$27:$K$29,3,0)),H603,N(N603)),IF(N(Q603)&gt;0,Q603,MAX(1,H603)))))</f>
        <v>10</v>
      </c>
      <c r="BW603" s="53" t="n">
        <f aca="false">IF(BU603="LOSE",1,0)</f>
        <v>0</v>
      </c>
      <c r="BX603" s="53" t="n">
        <f aca="false">IF(AND(U603="",OR(P603="",P603="LOSE"),T603&lt;&gt;"",N(S603)&lt;=0,ISNUMBER(MATCH(T603,Parameter!$I$27:$I$29,0))),1,0)</f>
        <v>0</v>
      </c>
      <c r="BY603" s="53" t="n">
        <f aca="false">IF(CL603&gt;0,INDEX(Parameter!$H$5:$H$7,W603)/INDEX(Parameter!$E$5:$E$7,W603),IF(AND(BW603=0,N(IFERROR(VLOOKUP(BU603,'Gebinde-Kategorie'!$A$5:$N$45,14,0),0))&gt;0),VLOOKUP(BU603,'Gebinde-Kategorie'!$A$5:$N$45,14,0)*10+Parameter!$M$23,Parameter!$M$24))</f>
        <v>155</v>
      </c>
      <c r="BZ603" s="48" t="str">
        <f aca="false">IF(AND(Parameter!$B$19="Ja",E603&lt;&gt;"",ISNUMBER(MATCH(E603,Parameter!$I$35:$I$52,0))),VLOOKUP(E603,Parameter!$I$35:$J$52,2,0),IFERROR(VLOOKUP(D603,Parameter!$A$35:$C$64,2,0),"Nein"))</f>
        <v>2+3</v>
      </c>
      <c r="CA603" s="52" t="n">
        <f aca="false">IF(BW603=0,0,IF(N(S603)&gt;0,S603,IFERROR(VLOOKUP(D603,Parameter!$A$35:$C$64,3,0)+0,0)))</f>
        <v>0</v>
      </c>
      <c r="CB603" s="48" t="n">
        <f aca="false">IF(AA603&lt;&gt;"",AA603,Z603)</f>
        <v>3</v>
      </c>
      <c r="CC603" s="48" t="str">
        <f aca="false">IF(OR(CB603=1,CB603=2,CB603=3),IF(Parameter!$E$27="Ja","LIFT",IF(CB603=1,"L1","L23")),IF(CB603="Aussen","Aussen","-"))</f>
        <v>LIFT</v>
      </c>
      <c r="CD603" s="59" t="n">
        <f aca="false">IF(N(AB603)&gt;0,AB603,0)</f>
        <v>0</v>
      </c>
      <c r="CE603" s="53" t="n">
        <f aca="false">IF(ISNUMBER(AE603),1,0)</f>
        <v>0</v>
      </c>
      <c r="CF603" s="50" t="n">
        <f aca="false">N(AE603)</f>
        <v>0</v>
      </c>
      <c r="CG603" s="50" t="n">
        <f aca="false">N(M603)+N(N603)</f>
        <v>1</v>
      </c>
      <c r="CH603" s="50" t="n">
        <f aca="false">ROUNDUP(H603/BV603,0)</f>
        <v>1</v>
      </c>
      <c r="CI603" s="50" t="n">
        <f aca="false">ROUNDUP(CF603/BV603,0)</f>
        <v>0</v>
      </c>
      <c r="CJ603" s="53" t="n">
        <f aca="false">IF(BW603=1,0,IFERROR(VLOOKUP(BU603,'Gebinde-Kategorie'!$A$5:$N$45,5,0)+0,0))</f>
        <v>11</v>
      </c>
      <c r="CK603" s="53" t="n">
        <f aca="false">IFERROR(IF(OR(CB603=1,CB603=2,CB603=3),N(INDEX(Parameter!$I$5:$I$7,CB603)),0),0)</f>
        <v>0</v>
      </c>
      <c r="CL603" s="52" t="n">
        <f aca="false">IF(AND(Parameter!$B$21="Ja",ISNUMBER(W603),N(X603)&gt;0),IFERROR(N(INDEX(Parameter!$L$5:$L$7,W603))*INDEX(Parameter!$E$5:$E$7,W603)*X603/SUMIFS($X$7:$X$1843,$W$7:$W$1843,W603),0),0)</f>
        <v>0</v>
      </c>
    </row>
    <row r="604" customFormat="false" ht="15" hidden="false" customHeight="false" outlineLevel="0" collapsed="false">
      <c r="A604" s="48" t="s">
        <v>1255</v>
      </c>
      <c r="B604" s="48" t="s">
        <v>953</v>
      </c>
      <c r="C604" s="48" t="s">
        <v>168</v>
      </c>
      <c r="D604" s="48" t="s">
        <v>188</v>
      </c>
      <c r="E604" s="48" t="s">
        <v>189</v>
      </c>
      <c r="F604" s="48" t="s">
        <v>222</v>
      </c>
      <c r="G604" s="49" t="n">
        <v>0.01</v>
      </c>
      <c r="H604" s="50" t="n">
        <f aca="false">MAX(0,IF(AND(Parameter!$B$21="Ja",ISNUMBER(Y604)),Y604,IF(Parameter!$B$20="Jahresanfang 2025 + Export",BO604+BN604,BN604)))</f>
        <v>741</v>
      </c>
      <c r="I604" s="50" t="n">
        <f aca="false">H604*G604</f>
        <v>7.41</v>
      </c>
      <c r="J604" s="50" t="n">
        <f aca="false">BQ604*Parameter!$B$18</f>
        <v>110</v>
      </c>
      <c r="K604" s="51" t="n">
        <v>152.5</v>
      </c>
      <c r="L604" s="52" t="n">
        <v>0.721311475409836</v>
      </c>
      <c r="M604" s="50" t="n">
        <v>6</v>
      </c>
      <c r="N604" s="50" t="n">
        <v>110</v>
      </c>
      <c r="O604" s="53" t="n">
        <v>21</v>
      </c>
      <c r="P604" s="48" t="s">
        <v>480</v>
      </c>
      <c r="Q604" s="50" t="n">
        <v>1831</v>
      </c>
      <c r="R604" s="53" t="n">
        <f aca="false">IF(BW604=1,0,IFERROR(VLOOKUP(BU604,'Gebinde-Kategorie'!$A$5:$N$45,13,0)+0,0))</f>
        <v>52</v>
      </c>
      <c r="S604" s="54"/>
      <c r="T604" s="55"/>
      <c r="U604" s="55"/>
      <c r="V604" s="55"/>
      <c r="W604" s="48"/>
      <c r="X604" s="50"/>
      <c r="Y604" s="50"/>
      <c r="Z604" s="48" t="n">
        <f aca="false">IF(A604="","",IF(AND(Parameter!$B$21="Ja",ISNUMBER(W604)),W604,IF(BZ604="2+3",IF(ISNUMBER(SEARCH("grosser Artikel",BR604)),2,IFERROR(VLOOKUP(BU604,Parameter!$F$35:$G$64,2,0),2)),IF(OR(BZ604="Nein",BZ604=""),"-",BZ604))))</f>
        <v>3</v>
      </c>
      <c r="AA604" s="55"/>
      <c r="AB604" s="56"/>
      <c r="AC604" s="50" t="n">
        <f aca="false">AT604</f>
        <v>1831</v>
      </c>
      <c r="AD604" s="50" t="n">
        <f aca="false">MAX(AT604,H604)</f>
        <v>1831</v>
      </c>
      <c r="AE604" s="57"/>
      <c r="AF604" s="50" t="n">
        <f aca="false">IF(LEFT(Cockpit!$C$5,1)="A",H604,IF(CE604=1,CF604,IF(LEFT(Cockpit!$C$5,1)="B",AK604,MAX(AK604,H604))))</f>
        <v>741</v>
      </c>
      <c r="AG604" s="50" t="n">
        <f aca="false">IF(BW604=1,0,ROUNDUP(AF604/BV604,0))</f>
        <v>1</v>
      </c>
      <c r="AH604" s="52" t="n">
        <f aca="false">IF(CL604&gt;0,CL604*MAX(1,AF604/X604),IF(BW604=1,IF(AF604&lt;=0,0,CA604*MAX(1,IF(H604&gt;0,AF604/H604,1))),IF(R604&gt;0,AG604/R604,0))/MAX(0.1,N(Parameter!$M$21)))</f>
        <v>0.0192307692307692</v>
      </c>
      <c r="AI604" s="50" t="n">
        <f aca="false">AH604*BY604</f>
        <v>2.98076923076923</v>
      </c>
      <c r="AJ604" s="50" t="n">
        <f aca="false">AF604*G604</f>
        <v>7.41</v>
      </c>
      <c r="AK604" s="50" t="n">
        <f aca="false">ROUNDUP(MAX(J604/IF(CD604&gt;0,CD604,MAX(0.1,N(Cockpit!$C$6))),CG604)/BV604,0)*BV604</f>
        <v>1831</v>
      </c>
      <c r="AL604" s="51" t="n">
        <f aca="false">IF(AI604&gt;0,J604/AI604,-1)</f>
        <v>36.9032258064516</v>
      </c>
      <c r="AM604" s="51" t="n">
        <f aca="false">IF(AND(OR(CC604="L1",CC604="L23",CC604="LIFT"),AI604&gt;0),SUMIFS($AI$7:$AI$1843,$CC$7:$CC$1843,CC604,$AL$7:$AL$1843,"&gt;"&amp;AL604)+SUMIFS($AI$7:$AI$1843,$CC$7:$CC$1843,CC604,$AL$7:$AL$1843,AL604,$BT$7:$BT$1843,"&lt;="&amp;BT604),"")</f>
        <v>1260.36538461538</v>
      </c>
      <c r="AN604" s="58" t="n">
        <f aca="false">IF(AM604="",0,MAX(0,MIN(1,(IF(CC604="L1",Parameter!$H$5,IF(CC604="L23",Parameter!$H$6+Parameter!$H$7,Parameter!$H$5+Parameter!$H$6+Parameter!$H$7))-(AM604-AI604))/AI604)))</f>
        <v>1</v>
      </c>
      <c r="AO604" s="50" t="n">
        <f aca="false">IF(LEFT(Cockpit!$I$5,1)="A",H604,IF(CE604=1,CF604,IF(LEFT(Cockpit!$I$5,1)="B",AT604,MAX(AT604,H604))))</f>
        <v>1831</v>
      </c>
      <c r="AP604" s="50" t="n">
        <f aca="false">IF(BW604=1,0,ROUNDUP(AO604/BV604,0))</f>
        <v>1</v>
      </c>
      <c r="AQ604" s="52" t="n">
        <f aca="false">IF(CL604&gt;0,CL604*MAX(1,AO604/X604),IF(BW604=1,IF(AO604&lt;=0,0,CA604*MAX(1,IF(H604&gt;0,AO604/H604,1))),IF(R604&gt;0,AP604/R604,0))/MAX(0.1,N(Parameter!$M$21)))</f>
        <v>0.0192307692307692</v>
      </c>
      <c r="AR604" s="50" t="n">
        <f aca="false">AQ604*BY604</f>
        <v>2.98076923076923</v>
      </c>
      <c r="AS604" s="50" t="n">
        <f aca="false">AO604*G604</f>
        <v>18.31</v>
      </c>
      <c r="AT604" s="50" t="n">
        <f aca="false">ROUNDUP(MAX(J604/IF(CD604&gt;0,CD604,MAX(0.1,N(Cockpit!$I$6))),CG604)/BV604,0)*BV604</f>
        <v>1831</v>
      </c>
      <c r="AU604" s="51" t="n">
        <f aca="false">IF(AR604&gt;0,J604/AR604,-1)</f>
        <v>36.9032258064516</v>
      </c>
      <c r="AV604" s="51" t="n">
        <f aca="false">IF(AND(OR(CC604="L1",CC604="L23",CC604="LIFT"),AR604&gt;0),SUMIFS($AR$7:$AR$1843,$CC$7:$CC$1843,CC604,$AU$7:$AU$1843,"&gt;"&amp;AU604)+SUMIFS($AR$7:$AR$1843,$CC$7:$CC$1843,CC604,$AU$7:$AU$1843,AU604,$BT$7:$BT$1843,"&lt;="&amp;BT604),"")</f>
        <v>1773.91071428571</v>
      </c>
      <c r="AW604" s="58" t="n">
        <f aca="false">IF(AV604="",0,MAX(0,MIN(1,(IF(CC604="L1",Parameter!$H$5,IF(CC604="L23",Parameter!$H$6+Parameter!$H$7,Parameter!$H$5+Parameter!$H$6+Parameter!$H$7))-(AV604-AR604))/AR604)))</f>
        <v>1</v>
      </c>
      <c r="AX604" s="50" t="n">
        <f aca="false">IF(LEFT(Cockpit!$O$5,1)="A",H604,IF(CE604=1,CF604,IF(LEFT(Cockpit!$O$5,1)="B",BC604,MAX(BC604,H604))))</f>
        <v>1831</v>
      </c>
      <c r="AY604" s="50" t="n">
        <f aca="false">IF(BW604=1,0,ROUNDUP(AX604/BV604,0))</f>
        <v>1</v>
      </c>
      <c r="AZ604" s="52" t="n">
        <f aca="false">IF(CL604&gt;0,CL604*MAX(1,AX604/X604),IF(BW604=1,IF(AX604&lt;=0,0,CA604*MAX(1,IF(H604&gt;0,AX604/H604,1))),IF(R604&gt;0,AY604/R604,0))/MAX(0.1,N(Parameter!$M$21)))</f>
        <v>0.0192307692307692</v>
      </c>
      <c r="BA604" s="50" t="n">
        <f aca="false">AZ604*BY604</f>
        <v>2.98076923076923</v>
      </c>
      <c r="BB604" s="50" t="n">
        <f aca="false">AX604*G604</f>
        <v>18.31</v>
      </c>
      <c r="BC604" s="50" t="n">
        <f aca="false">ROUNDUP(MAX(J604/IF(CD604&gt;0,CD604,MAX(0.1,N(Cockpit!$O$6))),CG604)/BV604,0)*BV604</f>
        <v>1831</v>
      </c>
      <c r="BD604" s="51" t="n">
        <f aca="false">IF(BA604&gt;0,J604/BA604,-1)</f>
        <v>36.9032258064516</v>
      </c>
      <c r="BE604" s="51" t="n">
        <f aca="false">IF(AND(OR(CC604="L1",CC604="L23",CC604="LIFT"),BA604&gt;0),SUMIFS($BA$7:$BA$1843,$CC$7:$CC$1843,CC604,$BD$7:$BD$1843,"&gt;"&amp;BD604)+SUMIFS($BA$7:$BA$1843,$CC$7:$CC$1843,CC604,$BD$7:$BD$1843,BD604,$BT$7:$BT$1843,"&lt;="&amp;BT604),"")</f>
        <v>1609.59981684982</v>
      </c>
      <c r="BF604" s="58" t="n">
        <f aca="false">IF(BE604="",0,MAX(0,MIN(1,(IF(CC604="L1",Parameter!$H$5,IF(CC604="L23",Parameter!$H$6+Parameter!$H$7,Parameter!$H$5+Parameter!$H$6+Parameter!$H$7))-(BE604-BA604))/BA604)))</f>
        <v>1</v>
      </c>
      <c r="BG604" s="48" t="str">
        <f aca="false">IF(AI604&lt;=0,"",IF(CC604="Aussen","Aussenlager",IF(CC604="-","Nicht im Lift",IF(AN604&gt;=1,"Lift",IF(AN604&lt;=0,"Aussenlager","teilweise")))))</f>
        <v>Lift</v>
      </c>
      <c r="BH604" s="48" t="str">
        <f aca="false">IF(AR604&lt;=0,"",IF(CC604="Aussen","Aussenlager",IF(CC604="-","Nicht im Lift",IF(AW604&gt;=1,"Lift",IF(AW604&lt;=0,"Aussenlager","teilweise")))))</f>
        <v>Lift</v>
      </c>
      <c r="BI604" s="48" t="str">
        <f aca="false">IF(BA604&lt;=0,"",IF(CC604="Aussen","Aussenlager",IF(CC604="-","Nicht im Lift",IF(BF604&gt;=1,"Lift",IF(BF604&lt;=0,"Aussenlager","teilweise")))))</f>
        <v>Lift</v>
      </c>
      <c r="BJ604" s="48" t="str">
        <f aca="false">IF(A604="","",IF(BS604=1,"Neu; ","")&amp;IF(AND(BS604=0,BN604&lt;0),"negativer Bestand (Export "&amp;BN604&amp;"); ","")&amp;IF(J604&lt;=0,"Kein Verbrauch; ","")&amp;IF(CL604&gt;0,"Lift "&amp;W604&amp;" lt. Liftbericht (Fach "&amp;X604&amp;" Stk); ",IF(BX604=1,"Gebinde geschätzt ("&amp;T604&amp;"); ",IF(BW604=1,"Lose – Tablare geschätzt; ","")))&amp;IF(H604&gt;AT604,"Überbestand "&amp;ROUND(H604-AT604,0)&amp;" Stk / CHF "&amp;ROUND((H604-AT604)*G604,0)&amp;"; ","")&amp;IF(AND(CE604=1,CF604&lt;CG604),"MAX &lt; MB+LG; ","")&amp;IF(AND(CK604&gt;0,CJ604*10&gt;CK604),"zu hoch für Tablar; ","")&amp;IF(AND(BS604=0,OR(CE604=1,AA604&lt;&gt;"",U604&lt;&gt;"",V604&lt;&gt;"",AB604&lt;&gt;"")),"manuell übersteuert; ","")&amp;IF(AND(BW604=0,R604=0),"Gebinde unbekannt / Stellmass fehlt; ","")&amp;IF(AND(BW604=0,N(V604)&lt;=0,N(Q604)&lt;=0),"Menge pro Gebinde fehlt (Ist = 1 Gebinde); ","")&amp;BR604)</f>
        <v>Überbestand</v>
      </c>
      <c r="BK604" s="48"/>
      <c r="BL604" s="48"/>
      <c r="BM604" s="55"/>
      <c r="BN604" s="50" t="n">
        <v>534</v>
      </c>
      <c r="BO604" s="50" t="n">
        <v>207</v>
      </c>
      <c r="BP604" s="49" t="n">
        <v>5.34</v>
      </c>
      <c r="BQ604" s="50" t="n">
        <v>110</v>
      </c>
      <c r="BR604" s="48" t="s">
        <v>396</v>
      </c>
      <c r="BS604" s="53" t="n">
        <v>0</v>
      </c>
      <c r="BT604" s="53" t="n">
        <v>604</v>
      </c>
      <c r="BU604" s="48" t="str">
        <f aca="false">IF(U604&lt;&gt;"",UPPER(TRIM(U604)),IF(BX604=1,UPPER(VLOOKUP(T604,Parameter!$I$27:$K$29,2,0)),IF(P604="","LOSE",P604)))</f>
        <v>S33</v>
      </c>
      <c r="BV604" s="50" t="n">
        <f aca="false">IF(BU604="LOSE",1,IF(N(V604)&gt;0,V604,IF(BX604=1,MAX(1,N(VLOOKUP(T604,Parameter!$I$27:$K$29,3,0)),H604,N(N604)),IF(N(Q604)&gt;0,Q604,MAX(1,H604)))))</f>
        <v>1831</v>
      </c>
      <c r="BW604" s="53" t="n">
        <f aca="false">IF(BU604="LOSE",1,0)</f>
        <v>0</v>
      </c>
      <c r="BX604" s="53" t="n">
        <f aca="false">IF(AND(U604="",OR(P604="",P604="LOSE"),T604&lt;&gt;"",N(S604)&lt;=0,ISNUMBER(MATCH(T604,Parameter!$I$27:$I$29,0))),1,0)</f>
        <v>0</v>
      </c>
      <c r="BY604" s="53" t="n">
        <f aca="false">IF(CL604&gt;0,INDEX(Parameter!$H$5:$H$7,W604)/INDEX(Parameter!$E$5:$E$7,W604),IF(AND(BW604=0,N(IFERROR(VLOOKUP(BU604,'Gebinde-Kategorie'!$A$5:$N$45,14,0),0))&gt;0),VLOOKUP(BU604,'Gebinde-Kategorie'!$A$5:$N$45,14,0)*10+Parameter!$M$23,Parameter!$M$24))</f>
        <v>155</v>
      </c>
      <c r="BZ604" s="48" t="str">
        <f aca="false">IF(AND(Parameter!$B$19="Ja",E604&lt;&gt;"",ISNUMBER(MATCH(E604,Parameter!$I$35:$I$52,0))),VLOOKUP(E604,Parameter!$I$35:$J$52,2,0),IFERROR(VLOOKUP(D604,Parameter!$A$35:$C$64,2,0),"Nein"))</f>
        <v>2+3</v>
      </c>
      <c r="CA604" s="52" t="n">
        <f aca="false">IF(BW604=0,0,IF(N(S604)&gt;0,S604,IFERROR(VLOOKUP(D604,Parameter!$A$35:$C$64,3,0)+0,0)))</f>
        <v>0</v>
      </c>
      <c r="CB604" s="48" t="n">
        <f aca="false">IF(AA604&lt;&gt;"",AA604,Z604)</f>
        <v>3</v>
      </c>
      <c r="CC604" s="48" t="str">
        <f aca="false">IF(OR(CB604=1,CB604=2,CB604=3),IF(Parameter!$E$27="Ja","LIFT",IF(CB604=1,"L1","L23")),IF(CB604="Aussen","Aussen","-"))</f>
        <v>LIFT</v>
      </c>
      <c r="CD604" s="59" t="n">
        <f aca="false">IF(N(AB604)&gt;0,AB604,0)</f>
        <v>0</v>
      </c>
      <c r="CE604" s="53" t="n">
        <f aca="false">IF(ISNUMBER(AE604),1,0)</f>
        <v>0</v>
      </c>
      <c r="CF604" s="50" t="n">
        <f aca="false">N(AE604)</f>
        <v>0</v>
      </c>
      <c r="CG604" s="50" t="n">
        <f aca="false">N(M604)+N(N604)</f>
        <v>116</v>
      </c>
      <c r="CH604" s="50" t="n">
        <f aca="false">ROUNDUP(H604/BV604,0)</f>
        <v>1</v>
      </c>
      <c r="CI604" s="50" t="n">
        <f aca="false">ROUNDUP(CF604/BV604,0)</f>
        <v>0</v>
      </c>
      <c r="CJ604" s="53" t="n">
        <f aca="false">IF(BW604=1,0,IFERROR(VLOOKUP(BU604,'Gebinde-Kategorie'!$A$5:$N$45,5,0)+0,0))</f>
        <v>8</v>
      </c>
      <c r="CK604" s="53" t="n">
        <f aca="false">IFERROR(IF(OR(CB604=1,CB604=2,CB604=3),N(INDEX(Parameter!$I$5:$I$7,CB604)),0),0)</f>
        <v>0</v>
      </c>
      <c r="CL604" s="52" t="n">
        <f aca="false">IF(AND(Parameter!$B$21="Ja",ISNUMBER(W604),N(X604)&gt;0),IFERROR(N(INDEX(Parameter!$L$5:$L$7,W604))*INDEX(Parameter!$E$5:$E$7,W604)*X604/SUMIFS($X$7:$X$1843,$W$7:$W$1843,W604),0),0)</f>
        <v>0</v>
      </c>
    </row>
    <row r="605" customFormat="false" ht="15" hidden="false" customHeight="false" outlineLevel="0" collapsed="false">
      <c r="A605" s="48" t="s">
        <v>1256</v>
      </c>
      <c r="B605" s="48" t="s">
        <v>472</v>
      </c>
      <c r="C605" s="48" t="s">
        <v>168</v>
      </c>
      <c r="D605" s="48" t="s">
        <v>188</v>
      </c>
      <c r="E605" s="48" t="s">
        <v>189</v>
      </c>
      <c r="F605" s="48" t="s">
        <v>222</v>
      </c>
      <c r="G605" s="49" t="n">
        <v>0.09</v>
      </c>
      <c r="H605" s="50" t="n">
        <f aca="false">MAX(0,IF(AND(Parameter!$B$21="Ja",ISNUMBER(Y605)),Y605,IF(Parameter!$B$20="Jahresanfang 2025 + Export",BO605+BN605,BN605)))</f>
        <v>444</v>
      </c>
      <c r="I605" s="50" t="n">
        <f aca="false">H605*G605</f>
        <v>39.96</v>
      </c>
      <c r="J605" s="50" t="n">
        <f aca="false">BQ605*Parameter!$B$18</f>
        <v>466</v>
      </c>
      <c r="K605" s="51" t="n">
        <v>549</v>
      </c>
      <c r="L605" s="52" t="n">
        <v>0.848816029143898</v>
      </c>
      <c r="M605" s="50" t="n">
        <v>18</v>
      </c>
      <c r="N605" s="50" t="n">
        <v>465</v>
      </c>
      <c r="O605" s="53" t="n">
        <v>14</v>
      </c>
      <c r="P605" s="48" t="s">
        <v>430</v>
      </c>
      <c r="Q605" s="50" t="n">
        <v>783</v>
      </c>
      <c r="R605" s="53" t="n">
        <f aca="false">IF(BW605=1,0,IFERROR(VLOOKUP(BU605,'Gebinde-Kategorie'!$A$5:$N$45,13,0)+0,0))</f>
        <v>140</v>
      </c>
      <c r="S605" s="54"/>
      <c r="T605" s="55"/>
      <c r="U605" s="55"/>
      <c r="V605" s="55"/>
      <c r="W605" s="48"/>
      <c r="X605" s="50"/>
      <c r="Y605" s="50"/>
      <c r="Z605" s="48" t="n">
        <f aca="false">IF(A605="","",IF(AND(Parameter!$B$21="Ja",ISNUMBER(W605)),W605,IF(BZ605="2+3",IF(ISNUMBER(SEARCH("grosser Artikel",BR605)),2,IFERROR(VLOOKUP(BU605,Parameter!$F$35:$G$64,2,0),2)),IF(OR(BZ605="Nein",BZ605=""),"-",BZ605))))</f>
        <v>3</v>
      </c>
      <c r="AA605" s="55"/>
      <c r="AB605" s="56"/>
      <c r="AC605" s="50" t="n">
        <f aca="false">AT605</f>
        <v>783</v>
      </c>
      <c r="AD605" s="50" t="n">
        <f aca="false">MAX(AT605,H605)</f>
        <v>783</v>
      </c>
      <c r="AE605" s="57"/>
      <c r="AF605" s="50" t="n">
        <f aca="false">IF(LEFT(Cockpit!$C$5,1)="A",H605,IF(CE605=1,CF605,IF(LEFT(Cockpit!$C$5,1)="B",AK605,MAX(AK605,H605))))</f>
        <v>444</v>
      </c>
      <c r="AG605" s="50" t="n">
        <f aca="false">IF(BW605=1,0,ROUNDUP(AF605/BV605,0))</f>
        <v>1</v>
      </c>
      <c r="AH605" s="52" t="n">
        <f aca="false">IF(CL605&gt;0,CL605*MAX(1,AF605/X605),IF(BW605=1,IF(AF605&lt;=0,0,CA605*MAX(1,IF(H605&gt;0,AF605/H605,1))),IF(R605&gt;0,AG605/R605,0))/MAX(0.1,N(Parameter!$M$21)))</f>
        <v>0.00714285714285714</v>
      </c>
      <c r="AI605" s="50" t="n">
        <f aca="false">AH605*BY605</f>
        <v>1.10714285714286</v>
      </c>
      <c r="AJ605" s="50" t="n">
        <f aca="false">AF605*G605</f>
        <v>39.96</v>
      </c>
      <c r="AK605" s="50" t="n">
        <f aca="false">ROUNDUP(MAX(J605/IF(CD605&gt;0,CD605,MAX(0.1,N(Cockpit!$C$6))),CG605)/BV605,0)*BV605</f>
        <v>783</v>
      </c>
      <c r="AL605" s="51" t="n">
        <f aca="false">IF(AI605&gt;0,J605/AI605,-1)</f>
        <v>420.903225806452</v>
      </c>
      <c r="AM605" s="51" t="n">
        <f aca="false">IF(AND(OR(CC605="L1",CC605="L23",CC605="LIFT"),AI605&gt;0),SUMIFS($AI$7:$AI$1843,$CC$7:$CC$1843,CC605,$AL$7:$AL$1843,"&gt;"&amp;AL605)+SUMIFS($AI$7:$AI$1843,$CC$7:$CC$1843,CC605,$AL$7:$AL$1843,AL605,$BT$7:$BT$1843,"&lt;="&amp;BT605),"")</f>
        <v>170.075091575092</v>
      </c>
      <c r="AN605" s="58" t="n">
        <f aca="false">IF(AM605="",0,MAX(0,MIN(1,(IF(CC605="L1",Parameter!$H$5,IF(CC605="L23",Parameter!$H$6+Parameter!$H$7,Parameter!$H$5+Parameter!$H$6+Parameter!$H$7))-(AM605-AI605))/AI605)))</f>
        <v>1</v>
      </c>
      <c r="AO605" s="50" t="n">
        <f aca="false">IF(LEFT(Cockpit!$I$5,1)="A",H605,IF(CE605=1,CF605,IF(LEFT(Cockpit!$I$5,1)="B",AT605,MAX(AT605,H605))))</f>
        <v>783</v>
      </c>
      <c r="AP605" s="50" t="n">
        <f aca="false">IF(BW605=1,0,ROUNDUP(AO605/BV605,0))</f>
        <v>1</v>
      </c>
      <c r="AQ605" s="52" t="n">
        <f aca="false">IF(CL605&gt;0,CL605*MAX(1,AO605/X605),IF(BW605=1,IF(AO605&lt;=0,0,CA605*MAX(1,IF(H605&gt;0,AO605/H605,1))),IF(R605&gt;0,AP605/R605,0))/MAX(0.1,N(Parameter!$M$21)))</f>
        <v>0.00714285714285714</v>
      </c>
      <c r="AR605" s="50" t="n">
        <f aca="false">AQ605*BY605</f>
        <v>1.10714285714286</v>
      </c>
      <c r="AS605" s="50" t="n">
        <f aca="false">AO605*G605</f>
        <v>70.47</v>
      </c>
      <c r="AT605" s="50" t="n">
        <f aca="false">ROUNDUP(MAX(J605/IF(CD605&gt;0,CD605,MAX(0.1,N(Cockpit!$I$6))),CG605)/BV605,0)*BV605</f>
        <v>783</v>
      </c>
      <c r="AU605" s="51" t="n">
        <f aca="false">IF(AR605&gt;0,J605/AR605,-1)</f>
        <v>420.903225806452</v>
      </c>
      <c r="AV605" s="51" t="n">
        <f aca="false">IF(AND(OR(CC605="L1",CC605="L23",CC605="LIFT"),AR605&gt;0),SUMIFS($AR$7:$AR$1843,$CC$7:$CC$1843,CC605,$AU$7:$AU$1843,"&gt;"&amp;AU605)+SUMIFS($AR$7:$AR$1843,$CC$7:$CC$1843,CC605,$AU$7:$AU$1843,AU605,$BT$7:$BT$1843,"&lt;="&amp;BT605),"")</f>
        <v>70.6085164835165</v>
      </c>
      <c r="AW605" s="58" t="n">
        <f aca="false">IF(AV605="",0,MAX(0,MIN(1,(IF(CC605="L1",Parameter!$H$5,IF(CC605="L23",Parameter!$H$6+Parameter!$H$7,Parameter!$H$5+Parameter!$H$6+Parameter!$H$7))-(AV605-AR605))/AR605)))</f>
        <v>1</v>
      </c>
      <c r="AX605" s="50" t="n">
        <f aca="false">IF(LEFT(Cockpit!$O$5,1)="A",H605,IF(CE605=1,CF605,IF(LEFT(Cockpit!$O$5,1)="B",BC605,MAX(BC605,H605))))</f>
        <v>783</v>
      </c>
      <c r="AY605" s="50" t="n">
        <f aca="false">IF(BW605=1,0,ROUNDUP(AX605/BV605,0))</f>
        <v>1</v>
      </c>
      <c r="AZ605" s="52" t="n">
        <f aca="false">IF(CL605&gt;0,CL605*MAX(1,AX605/X605),IF(BW605=1,IF(AX605&lt;=0,0,CA605*MAX(1,IF(H605&gt;0,AX605/H605,1))),IF(R605&gt;0,AY605/R605,0))/MAX(0.1,N(Parameter!$M$21)))</f>
        <v>0.00714285714285714</v>
      </c>
      <c r="BA605" s="50" t="n">
        <f aca="false">AZ605*BY605</f>
        <v>1.10714285714286</v>
      </c>
      <c r="BB605" s="50" t="n">
        <f aca="false">AX605*G605</f>
        <v>70.47</v>
      </c>
      <c r="BC605" s="50" t="n">
        <f aca="false">ROUNDUP(MAX(J605/IF(CD605&gt;0,CD605,MAX(0.1,N(Cockpit!$O$6))),CG605)/BV605,0)*BV605</f>
        <v>783</v>
      </c>
      <c r="BD605" s="51" t="n">
        <f aca="false">IF(BA605&gt;0,J605/BA605,-1)</f>
        <v>420.903225806452</v>
      </c>
      <c r="BE605" s="51" t="n">
        <f aca="false">IF(AND(OR(CC605="L1",CC605="L23",CC605="LIFT"),BA605&gt;0),SUMIFS($BA$7:$BA$1843,$CC$7:$CC$1843,CC605,$BD$7:$BD$1843,"&gt;"&amp;BD605)+SUMIFS($BA$7:$BA$1843,$CC$7:$CC$1843,CC605,$BD$7:$BD$1843,BD605,$BT$7:$BT$1843,"&lt;="&amp;BT605),"")</f>
        <v>94.4546703296703</v>
      </c>
      <c r="BF605" s="58" t="n">
        <f aca="false">IF(BE605="",0,MAX(0,MIN(1,(IF(CC605="L1",Parameter!$H$5,IF(CC605="L23",Parameter!$H$6+Parameter!$H$7,Parameter!$H$5+Parameter!$H$6+Parameter!$H$7))-(BE605-BA605))/BA605)))</f>
        <v>1</v>
      </c>
      <c r="BG605" s="48" t="str">
        <f aca="false">IF(AI605&lt;=0,"",IF(CC605="Aussen","Aussenlager",IF(CC605="-","Nicht im Lift",IF(AN605&gt;=1,"Lift",IF(AN605&lt;=0,"Aussenlager","teilweise")))))</f>
        <v>Lift</v>
      </c>
      <c r="BH605" s="48" t="str">
        <f aca="false">IF(AR605&lt;=0,"",IF(CC605="Aussen","Aussenlager",IF(CC605="-","Nicht im Lift",IF(AW605&gt;=1,"Lift",IF(AW605&lt;=0,"Aussenlager","teilweise")))))</f>
        <v>Lift</v>
      </c>
      <c r="BI605" s="48" t="str">
        <f aca="false">IF(BA605&lt;=0,"",IF(CC605="Aussen","Aussenlager",IF(CC605="-","Nicht im Lift",IF(BF605&gt;=1,"Lift",IF(BF605&lt;=0,"Aussenlager","teilweise")))))</f>
        <v>Lift</v>
      </c>
      <c r="BJ605" s="48" t="str">
        <f aca="false">IF(A605="","",IF(BS605=1,"Neu; ","")&amp;IF(AND(BS605=0,BN605&lt;0),"negativer Bestand (Export "&amp;BN605&amp;"); ","")&amp;IF(J605&lt;=0,"Kein Verbrauch; ","")&amp;IF(CL605&gt;0,"Lift "&amp;W605&amp;" lt. Liftbericht (Fach "&amp;X605&amp;" Stk); ",IF(BX605=1,"Gebinde geschätzt ("&amp;T605&amp;"); ",IF(BW605=1,"Lose – Tablare geschätzt; ","")))&amp;IF(H605&gt;AT605,"Überbestand "&amp;ROUND(H605-AT605,0)&amp;" Stk / CHF "&amp;ROUND((H605-AT605)*G605,0)&amp;"; ","")&amp;IF(AND(CE605=1,CF605&lt;CG605),"MAX &lt; MB+LG; ","")&amp;IF(AND(CK605&gt;0,CJ605*10&gt;CK605),"zu hoch für Tablar; ","")&amp;IF(AND(BS605=0,OR(CE605=1,AA605&lt;&gt;"",U605&lt;&gt;"",V605&lt;&gt;"",AB605&lt;&gt;"")),"manuell übersteuert; ","")&amp;IF(AND(BW605=0,R605=0),"Gebinde unbekannt / Stellmass fehlt; ","")&amp;IF(AND(BW605=0,N(V605)&lt;=0,N(Q605)&lt;=0),"Menge pro Gebinde fehlt (Ist = 1 Gebinde); ","")&amp;BR605)</f>
        <v/>
      </c>
      <c r="BK605" s="48"/>
      <c r="BL605" s="48"/>
      <c r="BM605" s="55"/>
      <c r="BN605" s="50" t="n">
        <v>18</v>
      </c>
      <c r="BO605" s="50" t="n">
        <v>426</v>
      </c>
      <c r="BP605" s="49" t="n">
        <v>5.33999999999999</v>
      </c>
      <c r="BQ605" s="50" t="n">
        <v>466</v>
      </c>
      <c r="BR605" s="48"/>
      <c r="BS605" s="53" t="n">
        <v>0</v>
      </c>
      <c r="BT605" s="53" t="n">
        <v>605</v>
      </c>
      <c r="BU605" s="48" t="str">
        <f aca="false">IF(U605&lt;&gt;"",UPPER(TRIM(U605)),IF(BX605=1,UPPER(VLOOKUP(T605,Parameter!$I$27:$K$29,2,0)),IF(P605="","LOSE",P605)))</f>
        <v>S22</v>
      </c>
      <c r="BV605" s="50" t="n">
        <f aca="false">IF(BU605="LOSE",1,IF(N(V605)&gt;0,V605,IF(BX605=1,MAX(1,N(VLOOKUP(T605,Parameter!$I$27:$K$29,3,0)),H605,N(N605)),IF(N(Q605)&gt;0,Q605,MAX(1,H605)))))</f>
        <v>783</v>
      </c>
      <c r="BW605" s="53" t="n">
        <f aca="false">IF(BU605="LOSE",1,0)</f>
        <v>0</v>
      </c>
      <c r="BX605" s="53" t="n">
        <f aca="false">IF(AND(U605="",OR(P605="",P605="LOSE"),T605&lt;&gt;"",N(S605)&lt;=0,ISNUMBER(MATCH(T605,Parameter!$I$27:$I$29,0))),1,0)</f>
        <v>0</v>
      </c>
      <c r="BY605" s="53" t="n">
        <f aca="false">IF(CL605&gt;0,INDEX(Parameter!$H$5:$H$7,W605)/INDEX(Parameter!$E$5:$E$7,W605),IF(AND(BW605=0,N(IFERROR(VLOOKUP(BU605,'Gebinde-Kategorie'!$A$5:$N$45,14,0),0))&gt;0),VLOOKUP(BU605,'Gebinde-Kategorie'!$A$5:$N$45,14,0)*10+Parameter!$M$23,Parameter!$M$24))</f>
        <v>155</v>
      </c>
      <c r="BZ605" s="48" t="str">
        <f aca="false">IF(AND(Parameter!$B$19="Ja",E605&lt;&gt;"",ISNUMBER(MATCH(E605,Parameter!$I$35:$I$52,0))),VLOOKUP(E605,Parameter!$I$35:$J$52,2,0),IFERROR(VLOOKUP(D605,Parameter!$A$35:$C$64,2,0),"Nein"))</f>
        <v>2+3</v>
      </c>
      <c r="CA605" s="52" t="n">
        <f aca="false">IF(BW605=0,0,IF(N(S605)&gt;0,S605,IFERROR(VLOOKUP(D605,Parameter!$A$35:$C$64,3,0)+0,0)))</f>
        <v>0</v>
      </c>
      <c r="CB605" s="48" t="n">
        <f aca="false">IF(AA605&lt;&gt;"",AA605,Z605)</f>
        <v>3</v>
      </c>
      <c r="CC605" s="48" t="str">
        <f aca="false">IF(OR(CB605=1,CB605=2,CB605=3),IF(Parameter!$E$27="Ja","LIFT",IF(CB605=1,"L1","L23")),IF(CB605="Aussen","Aussen","-"))</f>
        <v>LIFT</v>
      </c>
      <c r="CD605" s="59" t="n">
        <f aca="false">IF(N(AB605)&gt;0,AB605,0)</f>
        <v>0</v>
      </c>
      <c r="CE605" s="53" t="n">
        <f aca="false">IF(ISNUMBER(AE605),1,0)</f>
        <v>0</v>
      </c>
      <c r="CF605" s="50" t="n">
        <f aca="false">N(AE605)</f>
        <v>0</v>
      </c>
      <c r="CG605" s="50" t="n">
        <f aca="false">N(M605)+N(N605)</f>
        <v>483</v>
      </c>
      <c r="CH605" s="50" t="n">
        <f aca="false">ROUNDUP(H605/BV605,0)</f>
        <v>1</v>
      </c>
      <c r="CI605" s="50" t="n">
        <f aca="false">ROUNDUP(CF605/BV605,0)</f>
        <v>0</v>
      </c>
      <c r="CJ605" s="53" t="n">
        <f aca="false">IF(BW605=1,0,IFERROR(VLOOKUP(BU605,'Gebinde-Kategorie'!$A$5:$N$45,5,0)+0,0))</f>
        <v>8</v>
      </c>
      <c r="CK605" s="53" t="n">
        <f aca="false">IFERROR(IF(OR(CB605=1,CB605=2,CB605=3),N(INDEX(Parameter!$I$5:$I$7,CB605)),0),0)</f>
        <v>0</v>
      </c>
      <c r="CL605" s="52" t="n">
        <f aca="false">IF(AND(Parameter!$B$21="Ja",ISNUMBER(W605),N(X605)&gt;0),IFERROR(N(INDEX(Parameter!$L$5:$L$7,W605))*INDEX(Parameter!$E$5:$E$7,W605)*X605/SUMIFS($X$7:$X$1843,$W$7:$W$1843,W605),0),0)</f>
        <v>0</v>
      </c>
    </row>
    <row r="606" customFormat="false" ht="15" hidden="false" customHeight="false" outlineLevel="0" collapsed="false">
      <c r="A606" s="48" t="s">
        <v>1257</v>
      </c>
      <c r="B606" s="48" t="s">
        <v>1258</v>
      </c>
      <c r="C606" s="48" t="s">
        <v>168</v>
      </c>
      <c r="D606" s="48" t="s">
        <v>188</v>
      </c>
      <c r="E606" s="48" t="s">
        <v>189</v>
      </c>
      <c r="F606" s="48" t="s">
        <v>222</v>
      </c>
      <c r="G606" s="49" t="n">
        <v>0.03</v>
      </c>
      <c r="H606" s="50" t="n">
        <f aca="false">MAX(0,IF(AND(Parameter!$B$21="Ja",ISNUMBER(Y606)),Y606,IF(Parameter!$B$20="Jahresanfang 2025 + Export",BO606+BN606,BN606)))</f>
        <v>448</v>
      </c>
      <c r="I606" s="50" t="n">
        <f aca="false">H606*G606</f>
        <v>13.44</v>
      </c>
      <c r="J606" s="50" t="n">
        <f aca="false">BQ606*Parameter!$B$18</f>
        <v>302</v>
      </c>
      <c r="K606" s="51" t="n">
        <v>220.5</v>
      </c>
      <c r="L606" s="52" t="n">
        <v>1.36961451247166</v>
      </c>
      <c r="M606" s="50" t="n">
        <v>17</v>
      </c>
      <c r="N606" s="50" t="n">
        <v>500</v>
      </c>
      <c r="O606" s="53" t="n">
        <v>21</v>
      </c>
      <c r="P606" s="48" t="s">
        <v>430</v>
      </c>
      <c r="Q606" s="50" t="n">
        <v>300</v>
      </c>
      <c r="R606" s="53" t="n">
        <f aca="false">IF(BW606=1,0,IFERROR(VLOOKUP(BU606,'Gebinde-Kategorie'!$A$5:$N$45,13,0)+0,0))</f>
        <v>140</v>
      </c>
      <c r="S606" s="54"/>
      <c r="T606" s="55"/>
      <c r="U606" s="55"/>
      <c r="V606" s="55"/>
      <c r="W606" s="48"/>
      <c r="X606" s="50"/>
      <c r="Y606" s="50"/>
      <c r="Z606" s="48" t="n">
        <f aca="false">IF(A606="","",IF(AND(Parameter!$B$21="Ja",ISNUMBER(W606)),W606,IF(BZ606="2+3",IF(ISNUMBER(SEARCH("grosser Artikel",BR606)),2,IFERROR(VLOOKUP(BU606,Parameter!$F$35:$G$64,2,0),2)),IF(OR(BZ606="Nein",BZ606=""),"-",BZ606))))</f>
        <v>3</v>
      </c>
      <c r="AA606" s="55"/>
      <c r="AB606" s="56"/>
      <c r="AC606" s="50" t="n">
        <f aca="false">AT606</f>
        <v>600</v>
      </c>
      <c r="AD606" s="50" t="n">
        <f aca="false">MAX(AT606,H606)</f>
        <v>600</v>
      </c>
      <c r="AE606" s="57"/>
      <c r="AF606" s="50" t="n">
        <f aca="false">IF(LEFT(Cockpit!$C$5,1)="A",H606,IF(CE606=1,CF606,IF(LEFT(Cockpit!$C$5,1)="B",AK606,MAX(AK606,H606))))</f>
        <v>448</v>
      </c>
      <c r="AG606" s="50" t="n">
        <f aca="false">IF(BW606=1,0,ROUNDUP(AF606/BV606,0))</f>
        <v>2</v>
      </c>
      <c r="AH606" s="52" t="n">
        <f aca="false">IF(CL606&gt;0,CL606*MAX(1,AF606/X606),IF(BW606=1,IF(AF606&lt;=0,0,CA606*MAX(1,IF(H606&gt;0,AF606/H606,1))),IF(R606&gt;0,AG606/R606,0))/MAX(0.1,N(Parameter!$M$21)))</f>
        <v>0.0142857142857143</v>
      </c>
      <c r="AI606" s="50" t="n">
        <f aca="false">AH606*BY606</f>
        <v>2.21428571428571</v>
      </c>
      <c r="AJ606" s="50" t="n">
        <f aca="false">AF606*G606</f>
        <v>13.44</v>
      </c>
      <c r="AK606" s="50" t="n">
        <f aca="false">ROUNDUP(MAX(J606/IF(CD606&gt;0,CD606,MAX(0.1,N(Cockpit!$C$6))),CG606)/BV606,0)*BV606</f>
        <v>600</v>
      </c>
      <c r="AL606" s="51" t="n">
        <f aca="false">IF(AI606&gt;0,J606/AI606,-1)</f>
        <v>136.387096774194</v>
      </c>
      <c r="AM606" s="51" t="n">
        <f aca="false">IF(AND(OR(CC606="L1",CC606="L23",CC606="LIFT"),AI606&gt;0),SUMIFS($AI$7:$AI$1843,$CC$7:$CC$1843,CC606,$AL$7:$AL$1843,"&gt;"&amp;AL606)+SUMIFS($AI$7:$AI$1843,$CC$7:$CC$1843,CC606,$AL$7:$AL$1843,AL606,$BT$7:$BT$1843,"&lt;="&amp;BT606),"")</f>
        <v>535.385073260073</v>
      </c>
      <c r="AN606" s="58" t="n">
        <f aca="false">IF(AM606="",0,MAX(0,MIN(1,(IF(CC606="L1",Parameter!$H$5,IF(CC606="L23",Parameter!$H$6+Parameter!$H$7,Parameter!$H$5+Parameter!$H$6+Parameter!$H$7))-(AM606-AI606))/AI606)))</f>
        <v>1</v>
      </c>
      <c r="AO606" s="50" t="n">
        <f aca="false">IF(LEFT(Cockpit!$I$5,1)="A",H606,IF(CE606=1,CF606,IF(LEFT(Cockpit!$I$5,1)="B",AT606,MAX(AT606,H606))))</f>
        <v>600</v>
      </c>
      <c r="AP606" s="50" t="n">
        <f aca="false">IF(BW606=1,0,ROUNDUP(AO606/BV606,0))</f>
        <v>2</v>
      </c>
      <c r="AQ606" s="52" t="n">
        <f aca="false">IF(CL606&gt;0,CL606*MAX(1,AO606/X606),IF(BW606=1,IF(AO606&lt;=0,0,CA606*MAX(1,IF(H606&gt;0,AO606/H606,1))),IF(R606&gt;0,AP606/R606,0))/MAX(0.1,N(Parameter!$M$21)))</f>
        <v>0.0142857142857143</v>
      </c>
      <c r="AR606" s="50" t="n">
        <f aca="false">AQ606*BY606</f>
        <v>2.21428571428571</v>
      </c>
      <c r="AS606" s="50" t="n">
        <f aca="false">AO606*G606</f>
        <v>18</v>
      </c>
      <c r="AT606" s="50" t="n">
        <f aca="false">ROUNDUP(MAX(J606/IF(CD606&gt;0,CD606,MAX(0.1,N(Cockpit!$I$6))),CG606)/BV606,0)*BV606</f>
        <v>600</v>
      </c>
      <c r="AU606" s="51" t="n">
        <f aca="false">IF(AR606&gt;0,J606/AR606,-1)</f>
        <v>136.387096774194</v>
      </c>
      <c r="AV606" s="51" t="n">
        <f aca="false">IF(AND(OR(CC606="L1",CC606="L23",CC606="LIFT"),AR606&gt;0),SUMIFS($AR$7:$AR$1843,$CC$7:$CC$1843,CC606,$AU$7:$AU$1843,"&gt;"&amp;AU606)+SUMIFS($AR$7:$AR$1843,$CC$7:$CC$1843,CC606,$AU$7:$AU$1843,AU606,$BT$7:$BT$1843,"&lt;="&amp;BT606),"")</f>
        <v>695.510073260073</v>
      </c>
      <c r="AW606" s="58" t="n">
        <f aca="false">IF(AV606="",0,MAX(0,MIN(1,(IF(CC606="L1",Parameter!$H$5,IF(CC606="L23",Parameter!$H$6+Parameter!$H$7,Parameter!$H$5+Parameter!$H$6+Parameter!$H$7))-(AV606-AR606))/AR606)))</f>
        <v>1</v>
      </c>
      <c r="AX606" s="50" t="n">
        <f aca="false">IF(LEFT(Cockpit!$O$5,1)="A",H606,IF(CE606=1,CF606,IF(LEFT(Cockpit!$O$5,1)="B",BC606,MAX(BC606,H606))))</f>
        <v>600</v>
      </c>
      <c r="AY606" s="50" t="n">
        <f aca="false">IF(BW606=1,0,ROUNDUP(AX606/BV606,0))</f>
        <v>2</v>
      </c>
      <c r="AZ606" s="52" t="n">
        <f aca="false">IF(CL606&gt;0,CL606*MAX(1,AX606/X606),IF(BW606=1,IF(AX606&lt;=0,0,CA606*MAX(1,IF(H606&gt;0,AX606/H606,1))),IF(R606&gt;0,AY606/R606,0))/MAX(0.1,N(Parameter!$M$21)))</f>
        <v>0.0142857142857143</v>
      </c>
      <c r="BA606" s="50" t="n">
        <f aca="false">AZ606*BY606</f>
        <v>2.21428571428571</v>
      </c>
      <c r="BB606" s="50" t="n">
        <f aca="false">AX606*G606</f>
        <v>18</v>
      </c>
      <c r="BC606" s="50" t="n">
        <f aca="false">ROUNDUP(MAX(J606/IF(CD606&gt;0,CD606,MAX(0.1,N(Cockpit!$O$6))),CG606)/BV606,0)*BV606</f>
        <v>600</v>
      </c>
      <c r="BD606" s="51" t="n">
        <f aca="false">IF(BA606&gt;0,J606/BA606,-1)</f>
        <v>136.387096774194</v>
      </c>
      <c r="BE606" s="51" t="n">
        <f aca="false">IF(AND(OR(CC606="L1",CC606="L23",CC606="LIFT"),BA606&gt;0),SUMIFS($BA$7:$BA$1843,$CC$7:$CC$1843,CC606,$BD$7:$BD$1843,"&gt;"&amp;BD606)+SUMIFS($BA$7:$BA$1843,$CC$7:$CC$1843,CC606,$BD$7:$BD$1843,BD606,$BT$7:$BT$1843,"&lt;="&amp;BT606),"")</f>
        <v>639.949175824176</v>
      </c>
      <c r="BF606" s="58" t="n">
        <f aca="false">IF(BE606="",0,MAX(0,MIN(1,(IF(CC606="L1",Parameter!$H$5,IF(CC606="L23",Parameter!$H$6+Parameter!$H$7,Parameter!$H$5+Parameter!$H$6+Parameter!$H$7))-(BE606-BA606))/BA606)))</f>
        <v>1</v>
      </c>
      <c r="BG606" s="48" t="str">
        <f aca="false">IF(AI606&lt;=0,"",IF(CC606="Aussen","Aussenlager",IF(CC606="-","Nicht im Lift",IF(AN606&gt;=1,"Lift",IF(AN606&lt;=0,"Aussenlager","teilweise")))))</f>
        <v>Lift</v>
      </c>
      <c r="BH606" s="48" t="str">
        <f aca="false">IF(AR606&lt;=0,"",IF(CC606="Aussen","Aussenlager",IF(CC606="-","Nicht im Lift",IF(AW606&gt;=1,"Lift",IF(AW606&lt;=0,"Aussenlager","teilweise")))))</f>
        <v>Lift</v>
      </c>
      <c r="BI606" s="48" t="str">
        <f aca="false">IF(BA606&lt;=0,"",IF(CC606="Aussen","Aussenlager",IF(CC606="-","Nicht im Lift",IF(BF606&gt;=1,"Lift",IF(BF606&lt;=0,"Aussenlager","teilweise")))))</f>
        <v>Lift</v>
      </c>
      <c r="BJ606" s="48" t="str">
        <f aca="false">IF(A606="","",IF(BS606=1,"Neu; ","")&amp;IF(AND(BS606=0,BN606&lt;0),"negativer Bestand (Export "&amp;BN606&amp;"); ","")&amp;IF(J606&lt;=0,"Kein Verbrauch; ","")&amp;IF(CL606&gt;0,"Lift "&amp;W606&amp;" lt. Liftbericht (Fach "&amp;X606&amp;" Stk); ",IF(BX606=1,"Gebinde geschätzt ("&amp;T606&amp;"); ",IF(BW606=1,"Lose – Tablare geschätzt; ","")))&amp;IF(H606&gt;AT606,"Überbestand "&amp;ROUND(H606-AT606,0)&amp;" Stk / CHF "&amp;ROUND((H606-AT606)*G606,0)&amp;"; ","")&amp;IF(AND(CE606=1,CF606&lt;CG606),"MAX &lt; MB+LG; ","")&amp;IF(AND(CK606&gt;0,CJ606*10&gt;CK606),"zu hoch für Tablar; ","")&amp;IF(AND(BS606=0,OR(CE606=1,AA606&lt;&gt;"",U606&lt;&gt;"",V606&lt;&gt;"",AB606&lt;&gt;"")),"manuell übersteuert; ","")&amp;IF(AND(BW606=0,R606=0),"Gebinde unbekannt / Stellmass fehlt; ","")&amp;IF(AND(BW606=0,N(V606)&lt;=0,N(Q606)&lt;=0),"Menge pro Gebinde fehlt (Ist = 1 Gebinde); ","")&amp;BR606)</f>
        <v>nicht im KTL vorhanden</v>
      </c>
      <c r="BK606" s="48"/>
      <c r="BL606" s="48"/>
      <c r="BM606" s="55"/>
      <c r="BN606" s="50" t="n">
        <v>175</v>
      </c>
      <c r="BO606" s="50" t="n">
        <v>273</v>
      </c>
      <c r="BP606" s="49" t="n">
        <v>5.25</v>
      </c>
      <c r="BQ606" s="50" t="n">
        <v>302</v>
      </c>
      <c r="BR606" s="48" t="s">
        <v>234</v>
      </c>
      <c r="BS606" s="53" t="n">
        <v>0</v>
      </c>
      <c r="BT606" s="53" t="n">
        <v>606</v>
      </c>
      <c r="BU606" s="48" t="str">
        <f aca="false">IF(U606&lt;&gt;"",UPPER(TRIM(U606)),IF(BX606=1,UPPER(VLOOKUP(T606,Parameter!$I$27:$K$29,2,0)),IF(P606="","LOSE",P606)))</f>
        <v>S22</v>
      </c>
      <c r="BV606" s="50" t="n">
        <f aca="false">IF(BU606="LOSE",1,IF(N(V606)&gt;0,V606,IF(BX606=1,MAX(1,N(VLOOKUP(T606,Parameter!$I$27:$K$29,3,0)),H606,N(N606)),IF(N(Q606)&gt;0,Q606,MAX(1,H606)))))</f>
        <v>300</v>
      </c>
      <c r="BW606" s="53" t="n">
        <f aca="false">IF(BU606="LOSE",1,0)</f>
        <v>0</v>
      </c>
      <c r="BX606" s="53" t="n">
        <f aca="false">IF(AND(U606="",OR(P606="",P606="LOSE"),T606&lt;&gt;"",N(S606)&lt;=0,ISNUMBER(MATCH(T606,Parameter!$I$27:$I$29,0))),1,0)</f>
        <v>0</v>
      </c>
      <c r="BY606" s="53" t="n">
        <f aca="false">IF(CL606&gt;0,INDEX(Parameter!$H$5:$H$7,W606)/INDEX(Parameter!$E$5:$E$7,W606),IF(AND(BW606=0,N(IFERROR(VLOOKUP(BU606,'Gebinde-Kategorie'!$A$5:$N$45,14,0),0))&gt;0),VLOOKUP(BU606,'Gebinde-Kategorie'!$A$5:$N$45,14,0)*10+Parameter!$M$23,Parameter!$M$24))</f>
        <v>155</v>
      </c>
      <c r="BZ606" s="48" t="str">
        <f aca="false">IF(AND(Parameter!$B$19="Ja",E606&lt;&gt;"",ISNUMBER(MATCH(E606,Parameter!$I$35:$I$52,0))),VLOOKUP(E606,Parameter!$I$35:$J$52,2,0),IFERROR(VLOOKUP(D606,Parameter!$A$35:$C$64,2,0),"Nein"))</f>
        <v>2+3</v>
      </c>
      <c r="CA606" s="52" t="n">
        <f aca="false">IF(BW606=0,0,IF(N(S606)&gt;0,S606,IFERROR(VLOOKUP(D606,Parameter!$A$35:$C$64,3,0)+0,0)))</f>
        <v>0</v>
      </c>
      <c r="CB606" s="48" t="n">
        <f aca="false">IF(AA606&lt;&gt;"",AA606,Z606)</f>
        <v>3</v>
      </c>
      <c r="CC606" s="48" t="str">
        <f aca="false">IF(OR(CB606=1,CB606=2,CB606=3),IF(Parameter!$E$27="Ja","LIFT",IF(CB606=1,"L1","L23")),IF(CB606="Aussen","Aussen","-"))</f>
        <v>LIFT</v>
      </c>
      <c r="CD606" s="59" t="n">
        <f aca="false">IF(N(AB606)&gt;0,AB606,0)</f>
        <v>0</v>
      </c>
      <c r="CE606" s="53" t="n">
        <f aca="false">IF(ISNUMBER(AE606),1,0)</f>
        <v>0</v>
      </c>
      <c r="CF606" s="50" t="n">
        <f aca="false">N(AE606)</f>
        <v>0</v>
      </c>
      <c r="CG606" s="50" t="n">
        <f aca="false">N(M606)+N(N606)</f>
        <v>517</v>
      </c>
      <c r="CH606" s="50" t="n">
        <f aca="false">ROUNDUP(H606/BV606,0)</f>
        <v>2</v>
      </c>
      <c r="CI606" s="50" t="n">
        <f aca="false">ROUNDUP(CF606/BV606,0)</f>
        <v>0</v>
      </c>
      <c r="CJ606" s="53" t="n">
        <f aca="false">IF(BW606=1,0,IFERROR(VLOOKUP(BU606,'Gebinde-Kategorie'!$A$5:$N$45,5,0)+0,0))</f>
        <v>8</v>
      </c>
      <c r="CK606" s="53" t="n">
        <f aca="false">IFERROR(IF(OR(CB606=1,CB606=2,CB606=3),N(INDEX(Parameter!$I$5:$I$7,CB606)),0),0)</f>
        <v>0</v>
      </c>
      <c r="CL606" s="52" t="n">
        <f aca="false">IF(AND(Parameter!$B$21="Ja",ISNUMBER(W606),N(X606)&gt;0),IFERROR(N(INDEX(Parameter!$L$5:$L$7,W606))*INDEX(Parameter!$E$5:$E$7,W606)*X606/SUMIFS($X$7:$X$1843,$W$7:$W$1843,W606),0),0)</f>
        <v>0</v>
      </c>
    </row>
    <row r="607" customFormat="false" ht="15" hidden="false" customHeight="false" outlineLevel="0" collapsed="false">
      <c r="A607" s="48" t="s">
        <v>1259</v>
      </c>
      <c r="B607" s="48" t="s">
        <v>472</v>
      </c>
      <c r="C607" s="48" t="s">
        <v>168</v>
      </c>
      <c r="D607" s="48" t="s">
        <v>188</v>
      </c>
      <c r="E607" s="48" t="s">
        <v>189</v>
      </c>
      <c r="F607" s="48" t="s">
        <v>222</v>
      </c>
      <c r="G607" s="49" t="n">
        <v>0.2</v>
      </c>
      <c r="H607" s="50" t="n">
        <f aca="false">MAX(0,IF(AND(Parameter!$B$21="Ja",ISNUMBER(Y607)),Y607,IF(Parameter!$B$20="Jahresanfang 2025 + Export",BO607+BN607,BN607)))</f>
        <v>155</v>
      </c>
      <c r="I607" s="50" t="n">
        <f aca="false">H607*G607</f>
        <v>31</v>
      </c>
      <c r="J607" s="50" t="n">
        <f aca="false">BQ607*Parameter!$B$18</f>
        <v>266</v>
      </c>
      <c r="K607" s="51" t="n">
        <v>114.5</v>
      </c>
      <c r="L607" s="52" t="n">
        <v>2.32314410480349</v>
      </c>
      <c r="M607" s="50" t="n">
        <v>10</v>
      </c>
      <c r="N607" s="50" t="n">
        <v>265</v>
      </c>
      <c r="O607" s="53" t="n">
        <v>14</v>
      </c>
      <c r="P607" s="48" t="s">
        <v>425</v>
      </c>
      <c r="Q607" s="50" t="n">
        <v>612</v>
      </c>
      <c r="R607" s="53" t="n">
        <f aca="false">IF(BW607=1,0,IFERROR(VLOOKUP(BU607,'Gebinde-Kategorie'!$A$5:$N$45,13,0)+0,0))</f>
        <v>104</v>
      </c>
      <c r="S607" s="54"/>
      <c r="T607" s="55"/>
      <c r="U607" s="55"/>
      <c r="V607" s="55"/>
      <c r="W607" s="48"/>
      <c r="X607" s="50"/>
      <c r="Y607" s="50"/>
      <c r="Z607" s="48" t="n">
        <f aca="false">IF(A607="","",IF(AND(Parameter!$B$21="Ja",ISNUMBER(W607)),W607,IF(BZ607="2+3",IF(ISNUMBER(SEARCH("grosser Artikel",BR607)),2,IFERROR(VLOOKUP(BU607,Parameter!$F$35:$G$64,2,0),2)),IF(OR(BZ607="Nein",BZ607=""),"-",BZ607))))</f>
        <v>3</v>
      </c>
      <c r="AA607" s="55"/>
      <c r="AB607" s="56"/>
      <c r="AC607" s="50" t="n">
        <f aca="false">AT607</f>
        <v>612</v>
      </c>
      <c r="AD607" s="50" t="n">
        <f aca="false">MAX(AT607,H607)</f>
        <v>612</v>
      </c>
      <c r="AE607" s="57"/>
      <c r="AF607" s="50" t="n">
        <f aca="false">IF(LEFT(Cockpit!$C$5,1)="A",H607,IF(CE607=1,CF607,IF(LEFT(Cockpit!$C$5,1)="B",AK607,MAX(AK607,H607))))</f>
        <v>155</v>
      </c>
      <c r="AG607" s="50" t="n">
        <f aca="false">IF(BW607=1,0,ROUNDUP(AF607/BV607,0))</f>
        <v>1</v>
      </c>
      <c r="AH607" s="52" t="n">
        <f aca="false">IF(CL607&gt;0,CL607*MAX(1,AF607/X607),IF(BW607=1,IF(AF607&lt;=0,0,CA607*MAX(1,IF(H607&gt;0,AF607/H607,1))),IF(R607&gt;0,AG607/R607,0))/MAX(0.1,N(Parameter!$M$21)))</f>
        <v>0.00961538461538462</v>
      </c>
      <c r="AI607" s="50" t="n">
        <f aca="false">AH607*BY607</f>
        <v>1.49038461538462</v>
      </c>
      <c r="AJ607" s="50" t="n">
        <f aca="false">AF607*G607</f>
        <v>31</v>
      </c>
      <c r="AK607" s="50" t="n">
        <f aca="false">ROUNDUP(MAX(J607/IF(CD607&gt;0,CD607,MAX(0.1,N(Cockpit!$C$6))),CG607)/BV607,0)*BV607</f>
        <v>612</v>
      </c>
      <c r="AL607" s="51" t="n">
        <f aca="false">IF(AI607&gt;0,J607/AI607,-1)</f>
        <v>178.477419354839</v>
      </c>
      <c r="AM607" s="51" t="n">
        <f aca="false">IF(AND(OR(CC607="L1",CC607="L23",CC607="LIFT"),AI607&gt;0),SUMIFS($AI$7:$AI$1843,$CC$7:$CC$1843,CC607,$AL$7:$AL$1843,"&gt;"&amp;AL607)+SUMIFS($AI$7:$AI$1843,$CC$7:$CC$1843,CC607,$AL$7:$AL$1843,AL607,$BT$7:$BT$1843,"&lt;="&amp;BT607),"")</f>
        <v>399.272435897436</v>
      </c>
      <c r="AN607" s="58" t="n">
        <f aca="false">IF(AM607="",0,MAX(0,MIN(1,(IF(CC607="L1",Parameter!$H$5,IF(CC607="L23",Parameter!$H$6+Parameter!$H$7,Parameter!$H$5+Parameter!$H$6+Parameter!$H$7))-(AM607-AI607))/AI607)))</f>
        <v>1</v>
      </c>
      <c r="AO607" s="50" t="n">
        <f aca="false">IF(LEFT(Cockpit!$I$5,1)="A",H607,IF(CE607=1,CF607,IF(LEFT(Cockpit!$I$5,1)="B",AT607,MAX(AT607,H607))))</f>
        <v>612</v>
      </c>
      <c r="AP607" s="50" t="n">
        <f aca="false">IF(BW607=1,0,ROUNDUP(AO607/BV607,0))</f>
        <v>1</v>
      </c>
      <c r="AQ607" s="52" t="n">
        <f aca="false">IF(CL607&gt;0,CL607*MAX(1,AO607/X607),IF(BW607=1,IF(AO607&lt;=0,0,CA607*MAX(1,IF(H607&gt;0,AO607/H607,1))),IF(R607&gt;0,AP607/R607,0))/MAX(0.1,N(Parameter!$M$21)))</f>
        <v>0.00961538461538462</v>
      </c>
      <c r="AR607" s="50" t="n">
        <f aca="false">AQ607*BY607</f>
        <v>1.49038461538462</v>
      </c>
      <c r="AS607" s="50" t="n">
        <f aca="false">AO607*G607</f>
        <v>122.4</v>
      </c>
      <c r="AT607" s="50" t="n">
        <f aca="false">ROUNDUP(MAX(J607/IF(CD607&gt;0,CD607,MAX(0.1,N(Cockpit!$I$6))),CG607)/BV607,0)*BV607</f>
        <v>612</v>
      </c>
      <c r="AU607" s="51" t="n">
        <f aca="false">IF(AR607&gt;0,J607/AR607,-1)</f>
        <v>178.477419354839</v>
      </c>
      <c r="AV607" s="51" t="n">
        <f aca="false">IF(AND(OR(CC607="L1",CC607="L23",CC607="LIFT"),AR607&gt;0),SUMIFS($AR$7:$AR$1843,$CC$7:$CC$1843,CC607,$AU$7:$AU$1843,"&gt;"&amp;AU607)+SUMIFS($AR$7:$AR$1843,$CC$7:$CC$1843,CC607,$AU$7:$AU$1843,AU607,$BT$7:$BT$1843,"&lt;="&amp;BT607),"")</f>
        <v>450.754578754579</v>
      </c>
      <c r="AW607" s="58" t="n">
        <f aca="false">IF(AV607="",0,MAX(0,MIN(1,(IF(CC607="L1",Parameter!$H$5,IF(CC607="L23",Parameter!$H$6+Parameter!$H$7,Parameter!$H$5+Parameter!$H$6+Parameter!$H$7))-(AV607-AR607))/AR607)))</f>
        <v>1</v>
      </c>
      <c r="AX607" s="50" t="n">
        <f aca="false">IF(LEFT(Cockpit!$O$5,1)="A",H607,IF(CE607=1,CF607,IF(LEFT(Cockpit!$O$5,1)="B",BC607,MAX(BC607,H607))))</f>
        <v>612</v>
      </c>
      <c r="AY607" s="50" t="n">
        <f aca="false">IF(BW607=1,0,ROUNDUP(AX607/BV607,0))</f>
        <v>1</v>
      </c>
      <c r="AZ607" s="52" t="n">
        <f aca="false">IF(CL607&gt;0,CL607*MAX(1,AX607/X607),IF(BW607=1,IF(AX607&lt;=0,0,CA607*MAX(1,IF(H607&gt;0,AX607/H607,1))),IF(R607&gt;0,AY607/R607,0))/MAX(0.1,N(Parameter!$M$21)))</f>
        <v>0.00961538461538462</v>
      </c>
      <c r="BA607" s="50" t="n">
        <f aca="false">AZ607*BY607</f>
        <v>1.49038461538462</v>
      </c>
      <c r="BB607" s="50" t="n">
        <f aca="false">AX607*G607</f>
        <v>122.4</v>
      </c>
      <c r="BC607" s="50" t="n">
        <f aca="false">ROUNDUP(MAX(J607/IF(CD607&gt;0,CD607,MAX(0.1,N(Cockpit!$O$6))),CG607)/BV607,0)*BV607</f>
        <v>612</v>
      </c>
      <c r="BD607" s="51" t="n">
        <f aca="false">IF(BA607&gt;0,J607/BA607,-1)</f>
        <v>178.477419354839</v>
      </c>
      <c r="BE607" s="51" t="n">
        <f aca="false">IF(AND(OR(CC607="L1",CC607="L23",CC607="LIFT"),BA607&gt;0),SUMIFS($BA$7:$BA$1843,$CC$7:$CC$1843,CC607,$BD$7:$BD$1843,"&gt;"&amp;BD607)+SUMIFS($BA$7:$BA$1843,$CC$7:$CC$1843,CC607,$BD$7:$BD$1843,BD607,$BT$7:$BT$1843,"&lt;="&amp;BT607),"")</f>
        <v>512.693681318681</v>
      </c>
      <c r="BF607" s="58" t="n">
        <f aca="false">IF(BE607="",0,MAX(0,MIN(1,(IF(CC607="L1",Parameter!$H$5,IF(CC607="L23",Parameter!$H$6+Parameter!$H$7,Parameter!$H$5+Parameter!$H$6+Parameter!$H$7))-(BE607-BA607))/BA607)))</f>
        <v>1</v>
      </c>
      <c r="BG607" s="48" t="str">
        <f aca="false">IF(AI607&lt;=0,"",IF(CC607="Aussen","Aussenlager",IF(CC607="-","Nicht im Lift",IF(AN607&gt;=1,"Lift",IF(AN607&lt;=0,"Aussenlager","teilweise")))))</f>
        <v>Lift</v>
      </c>
      <c r="BH607" s="48" t="str">
        <f aca="false">IF(AR607&lt;=0,"",IF(CC607="Aussen","Aussenlager",IF(CC607="-","Nicht im Lift",IF(AW607&gt;=1,"Lift",IF(AW607&lt;=0,"Aussenlager","teilweise")))))</f>
        <v>Lift</v>
      </c>
      <c r="BI607" s="48" t="str">
        <f aca="false">IF(BA607&lt;=0,"",IF(CC607="Aussen","Aussenlager",IF(CC607="-","Nicht im Lift",IF(BF607&gt;=1,"Lift",IF(BF607&lt;=0,"Aussenlager","teilweise")))))</f>
        <v>Lift</v>
      </c>
      <c r="BJ607" s="48" t="str">
        <f aca="false">IF(A607="","",IF(BS607=1,"Neu; ","")&amp;IF(AND(BS607=0,BN607&lt;0),"negativer Bestand (Export "&amp;BN607&amp;"); ","")&amp;IF(J607&lt;=0,"Kein Verbrauch; ","")&amp;IF(CL607&gt;0,"Lift "&amp;W607&amp;" lt. Liftbericht (Fach "&amp;X607&amp;" Stk); ",IF(BX607=1,"Gebinde geschätzt ("&amp;T607&amp;"); ",IF(BW607=1,"Lose – Tablare geschätzt; ","")))&amp;IF(H607&gt;AT607,"Überbestand "&amp;ROUND(H607-AT607,0)&amp;" Stk / CHF "&amp;ROUND((H607-AT607)*G607,0)&amp;"; ","")&amp;IF(AND(CE607=1,CF607&lt;CG607),"MAX &lt; MB+LG; ","")&amp;IF(AND(CK607&gt;0,CJ607*10&gt;CK607),"zu hoch für Tablar; ","")&amp;IF(AND(BS607=0,OR(CE607=1,AA607&lt;&gt;"",U607&lt;&gt;"",V607&lt;&gt;"",AB607&lt;&gt;"")),"manuell übersteuert; ","")&amp;IF(AND(BW607=0,R607=0),"Gebinde unbekannt / Stellmass fehlt; ","")&amp;IF(AND(BW607=0,N(V607)&lt;=0,N(Q607)&lt;=0),"Menge pro Gebinde fehlt (Ist = 1 Gebinde); ","")&amp;BR607)</f>
        <v/>
      </c>
      <c r="BK607" s="48"/>
      <c r="BL607" s="48"/>
      <c r="BM607" s="55"/>
      <c r="BN607" s="50" t="n">
        <v>26</v>
      </c>
      <c r="BO607" s="50" t="n">
        <v>129</v>
      </c>
      <c r="BP607" s="49" t="n">
        <v>5.19999999999998</v>
      </c>
      <c r="BQ607" s="50" t="n">
        <v>266</v>
      </c>
      <c r="BR607" s="48"/>
      <c r="BS607" s="53" t="n">
        <v>0</v>
      </c>
      <c r="BT607" s="53" t="n">
        <v>607</v>
      </c>
      <c r="BU607" s="48" t="str">
        <f aca="false">IF(U607&lt;&gt;"",UPPER(TRIM(U607)),IF(BX607=1,UPPER(VLOOKUP(T607,Parameter!$I$27:$K$29,2,0)),IF(P607="","LOSE",P607)))</f>
        <v>S32</v>
      </c>
      <c r="BV607" s="50" t="n">
        <f aca="false">IF(BU607="LOSE",1,IF(N(V607)&gt;0,V607,IF(BX607=1,MAX(1,N(VLOOKUP(T607,Parameter!$I$27:$K$29,3,0)),H607,N(N607)),IF(N(Q607)&gt;0,Q607,MAX(1,H607)))))</f>
        <v>612</v>
      </c>
      <c r="BW607" s="53" t="n">
        <f aca="false">IF(BU607="LOSE",1,0)</f>
        <v>0</v>
      </c>
      <c r="BX607" s="53" t="n">
        <f aca="false">IF(AND(U607="",OR(P607="",P607="LOSE"),T607&lt;&gt;"",N(S607)&lt;=0,ISNUMBER(MATCH(T607,Parameter!$I$27:$I$29,0))),1,0)</f>
        <v>0</v>
      </c>
      <c r="BY607" s="53" t="n">
        <f aca="false">IF(CL607&gt;0,INDEX(Parameter!$H$5:$H$7,W607)/INDEX(Parameter!$E$5:$E$7,W607),IF(AND(BW607=0,N(IFERROR(VLOOKUP(BU607,'Gebinde-Kategorie'!$A$5:$N$45,14,0),0))&gt;0),VLOOKUP(BU607,'Gebinde-Kategorie'!$A$5:$N$45,14,0)*10+Parameter!$M$23,Parameter!$M$24))</f>
        <v>155</v>
      </c>
      <c r="BZ607" s="48" t="str">
        <f aca="false">IF(AND(Parameter!$B$19="Ja",E607&lt;&gt;"",ISNUMBER(MATCH(E607,Parameter!$I$35:$I$52,0))),VLOOKUP(E607,Parameter!$I$35:$J$52,2,0),IFERROR(VLOOKUP(D607,Parameter!$A$35:$C$64,2,0),"Nein"))</f>
        <v>2+3</v>
      </c>
      <c r="CA607" s="52" t="n">
        <f aca="false">IF(BW607=0,0,IF(N(S607)&gt;0,S607,IFERROR(VLOOKUP(D607,Parameter!$A$35:$C$64,3,0)+0,0)))</f>
        <v>0</v>
      </c>
      <c r="CB607" s="48" t="n">
        <f aca="false">IF(AA607&lt;&gt;"",AA607,Z607)</f>
        <v>3</v>
      </c>
      <c r="CC607" s="48" t="str">
        <f aca="false">IF(OR(CB607=1,CB607=2,CB607=3),IF(Parameter!$E$27="Ja","LIFT",IF(CB607=1,"L1","L23")),IF(CB607="Aussen","Aussen","-"))</f>
        <v>LIFT</v>
      </c>
      <c r="CD607" s="59" t="n">
        <f aca="false">IF(N(AB607)&gt;0,AB607,0)</f>
        <v>0</v>
      </c>
      <c r="CE607" s="53" t="n">
        <f aca="false">IF(ISNUMBER(AE607),1,0)</f>
        <v>0</v>
      </c>
      <c r="CF607" s="50" t="n">
        <f aca="false">N(AE607)</f>
        <v>0</v>
      </c>
      <c r="CG607" s="50" t="n">
        <f aca="false">N(M607)+N(N607)</f>
        <v>275</v>
      </c>
      <c r="CH607" s="50" t="n">
        <f aca="false">ROUNDUP(H607/BV607,0)</f>
        <v>1</v>
      </c>
      <c r="CI607" s="50" t="n">
        <f aca="false">ROUNDUP(CF607/BV607,0)</f>
        <v>0</v>
      </c>
      <c r="CJ607" s="53" t="n">
        <f aca="false">IF(BW607=1,0,IFERROR(VLOOKUP(BU607,'Gebinde-Kategorie'!$A$5:$N$45,5,0)+0,0))</f>
        <v>8</v>
      </c>
      <c r="CK607" s="53" t="n">
        <f aca="false">IFERROR(IF(OR(CB607=1,CB607=2,CB607=3),N(INDEX(Parameter!$I$5:$I$7,CB607)),0),0)</f>
        <v>0</v>
      </c>
      <c r="CL607" s="52" t="n">
        <f aca="false">IF(AND(Parameter!$B$21="Ja",ISNUMBER(W607),N(X607)&gt;0),IFERROR(N(INDEX(Parameter!$L$5:$L$7,W607))*INDEX(Parameter!$E$5:$E$7,W607)*X607/SUMIFS($X$7:$X$1843,$W$7:$W$1843,W607),0),0)</f>
        <v>0</v>
      </c>
    </row>
    <row r="608" customFormat="false" ht="15" hidden="false" customHeight="false" outlineLevel="0" collapsed="false">
      <c r="A608" s="48" t="s">
        <v>1260</v>
      </c>
      <c r="B608" s="48" t="s">
        <v>1215</v>
      </c>
      <c r="C608" s="48" t="s">
        <v>168</v>
      </c>
      <c r="D608" s="48" t="s">
        <v>188</v>
      </c>
      <c r="E608" s="48" t="s">
        <v>189</v>
      </c>
      <c r="F608" s="48" t="s">
        <v>222</v>
      </c>
      <c r="G608" s="49" t="n">
        <v>0.85</v>
      </c>
      <c r="H608" s="50" t="n">
        <f aca="false">MAX(0,IF(AND(Parameter!$B$21="Ja",ISNUMBER(Y608)),Y608,IF(Parameter!$B$20="Jahresanfang 2025 + Export",BO608+BN608,BN608)))</f>
        <v>20</v>
      </c>
      <c r="I608" s="50" t="n">
        <f aca="false">H608*G608</f>
        <v>17</v>
      </c>
      <c r="J608" s="50" t="n">
        <f aca="false">BQ608*Parameter!$B$18</f>
        <v>0</v>
      </c>
      <c r="K608" s="51" t="n">
        <v>18</v>
      </c>
      <c r="L608" s="52" t="n">
        <v>0</v>
      </c>
      <c r="M608" s="50" t="n">
        <v>0</v>
      </c>
      <c r="N608" s="50" t="n">
        <v>1</v>
      </c>
      <c r="O608" s="53" t="n">
        <v>42</v>
      </c>
      <c r="P608" s="48" t="s">
        <v>425</v>
      </c>
      <c r="Q608" s="50" t="n">
        <v>16</v>
      </c>
      <c r="R608" s="53" t="n">
        <f aca="false">IF(BW608=1,0,IFERROR(VLOOKUP(BU608,'Gebinde-Kategorie'!$A$5:$N$45,13,0)+0,0))</f>
        <v>104</v>
      </c>
      <c r="S608" s="54"/>
      <c r="T608" s="55"/>
      <c r="U608" s="55"/>
      <c r="V608" s="55"/>
      <c r="W608" s="48"/>
      <c r="X608" s="50"/>
      <c r="Y608" s="50"/>
      <c r="Z608" s="48" t="n">
        <f aca="false">IF(A608="","",IF(AND(Parameter!$B$21="Ja",ISNUMBER(W608)),W608,IF(BZ608="2+3",IF(ISNUMBER(SEARCH("grosser Artikel",BR608)),2,IFERROR(VLOOKUP(BU608,Parameter!$F$35:$G$64,2,0),2)),IF(OR(BZ608="Nein",BZ608=""),"-",BZ608))))</f>
        <v>3</v>
      </c>
      <c r="AA608" s="55"/>
      <c r="AB608" s="56"/>
      <c r="AC608" s="50" t="n">
        <f aca="false">AT608</f>
        <v>16</v>
      </c>
      <c r="AD608" s="50" t="n">
        <f aca="false">MAX(AT608,H608)</f>
        <v>20</v>
      </c>
      <c r="AE608" s="57"/>
      <c r="AF608" s="50" t="n">
        <f aca="false">IF(LEFT(Cockpit!$C$5,1)="A",H608,IF(CE608=1,CF608,IF(LEFT(Cockpit!$C$5,1)="B",AK608,MAX(AK608,H608))))</f>
        <v>20</v>
      </c>
      <c r="AG608" s="50" t="n">
        <f aca="false">IF(BW608=1,0,ROUNDUP(AF608/BV608,0))</f>
        <v>2</v>
      </c>
      <c r="AH608" s="52" t="n">
        <f aca="false">IF(CL608&gt;0,CL608*MAX(1,AF608/X608),IF(BW608=1,IF(AF608&lt;=0,0,CA608*MAX(1,IF(H608&gt;0,AF608/H608,1))),IF(R608&gt;0,AG608/R608,0))/MAX(0.1,N(Parameter!$M$21)))</f>
        <v>0.0192307692307692</v>
      </c>
      <c r="AI608" s="50" t="n">
        <f aca="false">AH608*BY608</f>
        <v>2.98076923076923</v>
      </c>
      <c r="AJ608" s="50" t="n">
        <f aca="false">AF608*G608</f>
        <v>17</v>
      </c>
      <c r="AK608" s="50" t="n">
        <f aca="false">ROUNDUP(MAX(J608/IF(CD608&gt;0,CD608,MAX(0.1,N(Cockpit!$C$6))),CG608)/BV608,0)*BV608</f>
        <v>16</v>
      </c>
      <c r="AL608" s="51" t="n">
        <f aca="false">IF(AI608&gt;0,J608/AI608,-1)</f>
        <v>0</v>
      </c>
      <c r="AM608" s="51" t="n">
        <f aca="false">IF(AND(OR(CC608="L1",CC608="L23",CC608="LIFT"),AI608&gt;0),SUMIFS($AI$7:$AI$1843,$CC$7:$CC$1843,CC608,$AL$7:$AL$1843,"&gt;"&amp;AL608)+SUMIFS($AI$7:$AI$1843,$CC$7:$CC$1843,CC608,$AL$7:$AL$1843,AL608,$BT$7:$BT$1843,"&lt;="&amp;BT608),"")</f>
        <v>28534.965827487</v>
      </c>
      <c r="AN608" s="58" t="n">
        <f aca="false">IF(AM608="",0,MAX(0,MIN(1,(IF(CC608="L1",Parameter!$H$5,IF(CC608="L23",Parameter!$H$6+Parameter!$H$7,Parameter!$H$5+Parameter!$H$6+Parameter!$H$7))-(AM608-AI608))/AI608)))</f>
        <v>1</v>
      </c>
      <c r="AO608" s="50" t="n">
        <f aca="false">IF(LEFT(Cockpit!$I$5,1)="A",H608,IF(CE608=1,CF608,IF(LEFT(Cockpit!$I$5,1)="B",AT608,MAX(AT608,H608))))</f>
        <v>20</v>
      </c>
      <c r="AP608" s="50" t="n">
        <f aca="false">IF(BW608=1,0,ROUNDUP(AO608/BV608,0))</f>
        <v>2</v>
      </c>
      <c r="AQ608" s="52" t="n">
        <f aca="false">IF(CL608&gt;0,CL608*MAX(1,AO608/X608),IF(BW608=1,IF(AO608&lt;=0,0,CA608*MAX(1,IF(H608&gt;0,AO608/H608,1))),IF(R608&gt;0,AP608/R608,0))/MAX(0.1,N(Parameter!$M$21)))</f>
        <v>0.0192307692307692</v>
      </c>
      <c r="AR608" s="50" t="n">
        <f aca="false">AQ608*BY608</f>
        <v>2.98076923076923</v>
      </c>
      <c r="AS608" s="50" t="n">
        <f aca="false">AO608*G608</f>
        <v>17</v>
      </c>
      <c r="AT608" s="50" t="n">
        <f aca="false">ROUNDUP(MAX(J608/IF(CD608&gt;0,CD608,MAX(0.1,N(Cockpit!$I$6))),CG608)/BV608,0)*BV608</f>
        <v>16</v>
      </c>
      <c r="AU608" s="51" t="n">
        <f aca="false">IF(AR608&gt;0,J608/AR608,-1)</f>
        <v>0</v>
      </c>
      <c r="AV608" s="51" t="n">
        <f aca="false">IF(AND(OR(CC608="L1",CC608="L23",CC608="LIFT"),AR608&gt;0),SUMIFS($AR$7:$AR$1843,$CC$7:$CC$1843,CC608,$AU$7:$AU$1843,"&gt;"&amp;AU608)+SUMIFS($AR$7:$AR$1843,$CC$7:$CC$1843,CC608,$AU$7:$AU$1843,AU608,$BT$7:$BT$1843,"&lt;="&amp;BT608),"")</f>
        <v>39847.8713447569</v>
      </c>
      <c r="AW608" s="58" t="n">
        <f aca="false">IF(AV608="",0,MAX(0,MIN(1,(IF(CC608="L1",Parameter!$H$5,IF(CC608="L23",Parameter!$H$6+Parameter!$H$7,Parameter!$H$5+Parameter!$H$6+Parameter!$H$7))-(AV608-AR608))/AR608)))</f>
        <v>0</v>
      </c>
      <c r="AX608" s="50" t="n">
        <f aca="false">IF(LEFT(Cockpit!$O$5,1)="A",H608,IF(CE608=1,CF608,IF(LEFT(Cockpit!$O$5,1)="B",BC608,MAX(BC608,H608))))</f>
        <v>20</v>
      </c>
      <c r="AY608" s="50" t="n">
        <f aca="false">IF(BW608=1,0,ROUNDUP(AX608/BV608,0))</f>
        <v>2</v>
      </c>
      <c r="AZ608" s="52" t="n">
        <f aca="false">IF(CL608&gt;0,CL608*MAX(1,AX608/X608),IF(BW608=1,IF(AX608&lt;=0,0,CA608*MAX(1,IF(H608&gt;0,AX608/H608,1))),IF(R608&gt;0,AY608/R608,0))/MAX(0.1,N(Parameter!$M$21)))</f>
        <v>0.0192307692307692</v>
      </c>
      <c r="BA608" s="50" t="n">
        <f aca="false">AZ608*BY608</f>
        <v>2.98076923076923</v>
      </c>
      <c r="BB608" s="50" t="n">
        <f aca="false">AX608*G608</f>
        <v>17</v>
      </c>
      <c r="BC608" s="50" t="n">
        <f aca="false">ROUNDUP(MAX(J608/IF(CD608&gt;0,CD608,MAX(0.1,N(Cockpit!$O$6))),CG608)/BV608,0)*BV608</f>
        <v>16</v>
      </c>
      <c r="BD608" s="51" t="n">
        <f aca="false">IF(BA608&gt;0,J608/BA608,-1)</f>
        <v>0</v>
      </c>
      <c r="BE608" s="51" t="n">
        <f aca="false">IF(AND(OR(CC608="L1",CC608="L23",CC608="LIFT"),BA608&gt;0),SUMIFS($BA$7:$BA$1843,$CC$7:$CC$1843,CC608,$BD$7:$BD$1843,"&gt;"&amp;BD608)+SUMIFS($BA$7:$BA$1843,$CC$7:$CC$1843,CC608,$BD$7:$BD$1843,BD608,$BT$7:$BT$1843,"&lt;="&amp;BT608),"")</f>
        <v>36522.8833866228</v>
      </c>
      <c r="BF608" s="58" t="n">
        <f aca="false">IF(BE608="",0,MAX(0,MIN(1,(IF(CC608="L1",Parameter!$H$5,IF(CC608="L23",Parameter!$H$6+Parameter!$H$7,Parameter!$H$5+Parameter!$H$6+Parameter!$H$7))-(BE608-BA608))/BA608)))</f>
        <v>0</v>
      </c>
      <c r="BG608" s="48" t="str">
        <f aca="false">IF(AI608&lt;=0,"",IF(CC608="Aussen","Aussenlager",IF(CC608="-","Nicht im Lift",IF(AN608&gt;=1,"Lift",IF(AN608&lt;=0,"Aussenlager","teilweise")))))</f>
        <v>Lift</v>
      </c>
      <c r="BH608" s="48" t="str">
        <f aca="false">IF(AR608&lt;=0,"",IF(CC608="Aussen","Aussenlager",IF(CC608="-","Nicht im Lift",IF(AW608&gt;=1,"Lift",IF(AW608&lt;=0,"Aussenlager","teilweise")))))</f>
        <v>Aussenlager</v>
      </c>
      <c r="BI608" s="48" t="str">
        <f aca="false">IF(BA608&lt;=0,"",IF(CC608="Aussen","Aussenlager",IF(CC608="-","Nicht im Lift",IF(BF608&gt;=1,"Lift",IF(BF608&lt;=0,"Aussenlager","teilweise")))))</f>
        <v>Aussenlager</v>
      </c>
      <c r="BJ608" s="48" t="str">
        <f aca="false">IF(A608="","",IF(BS608=1,"Neu; ","")&amp;IF(AND(BS608=0,BN608&lt;0),"negativer Bestand (Export "&amp;BN608&amp;"); ","")&amp;IF(J608&lt;=0,"Kein Verbrauch; ","")&amp;IF(CL608&gt;0,"Lift "&amp;W608&amp;" lt. Liftbericht (Fach "&amp;X608&amp;" Stk); ",IF(BX608=1,"Gebinde geschätzt ("&amp;T608&amp;"); ",IF(BW608=1,"Lose – Tablare geschätzt; ","")))&amp;IF(H608&gt;AT608,"Überbestand "&amp;ROUND(H608-AT608,0)&amp;" Stk / CHF "&amp;ROUND((H608-AT608)*G608,0)&amp;"; ","")&amp;IF(AND(CE608=1,CF608&lt;CG608),"MAX &lt; MB+LG; ","")&amp;IF(AND(CK608&gt;0,CJ608*10&gt;CK608),"zu hoch für Tablar; ","")&amp;IF(AND(BS608=0,OR(CE608=1,AA608&lt;&gt;"",U608&lt;&gt;"",V608&lt;&gt;"",AB608&lt;&gt;"")),"manuell übersteuert; ","")&amp;IF(AND(BW608=0,R608=0),"Gebinde unbekannt / Stellmass fehlt; ","")&amp;IF(AND(BW608=0,N(V608)&lt;=0,N(Q608)&lt;=0),"Menge pro Gebinde fehlt (Ist = 1 Gebinde); ","")&amp;BR608)</f>
        <v>Kein Verbrauch; Überbestand 4 Stk / CHF 3; Überbestand</v>
      </c>
      <c r="BK608" s="48"/>
      <c r="BL608" s="48"/>
      <c r="BM608" s="55"/>
      <c r="BN608" s="50" t="n">
        <v>4</v>
      </c>
      <c r="BO608" s="50" t="n">
        <v>16</v>
      </c>
      <c r="BP608" s="49" t="n">
        <v>5</v>
      </c>
      <c r="BQ608" s="50" t="n">
        <v>0</v>
      </c>
      <c r="BR608" s="48" t="s">
        <v>396</v>
      </c>
      <c r="BS608" s="53" t="n">
        <v>0</v>
      </c>
      <c r="BT608" s="53" t="n">
        <v>608</v>
      </c>
      <c r="BU608" s="48" t="str">
        <f aca="false">IF(U608&lt;&gt;"",UPPER(TRIM(U608)),IF(BX608=1,UPPER(VLOOKUP(T608,Parameter!$I$27:$K$29,2,0)),IF(P608="","LOSE",P608)))</f>
        <v>S32</v>
      </c>
      <c r="BV608" s="50" t="n">
        <f aca="false">IF(BU608="LOSE",1,IF(N(V608)&gt;0,V608,IF(BX608=1,MAX(1,N(VLOOKUP(T608,Parameter!$I$27:$K$29,3,0)),H608,N(N608)),IF(N(Q608)&gt;0,Q608,MAX(1,H608)))))</f>
        <v>16</v>
      </c>
      <c r="BW608" s="53" t="n">
        <f aca="false">IF(BU608="LOSE",1,0)</f>
        <v>0</v>
      </c>
      <c r="BX608" s="53" t="n">
        <f aca="false">IF(AND(U608="",OR(P608="",P608="LOSE"),T608&lt;&gt;"",N(S608)&lt;=0,ISNUMBER(MATCH(T608,Parameter!$I$27:$I$29,0))),1,0)</f>
        <v>0</v>
      </c>
      <c r="BY608" s="53" t="n">
        <f aca="false">IF(CL608&gt;0,INDEX(Parameter!$H$5:$H$7,W608)/INDEX(Parameter!$E$5:$E$7,W608),IF(AND(BW608=0,N(IFERROR(VLOOKUP(BU608,'Gebinde-Kategorie'!$A$5:$N$45,14,0),0))&gt;0),VLOOKUP(BU608,'Gebinde-Kategorie'!$A$5:$N$45,14,0)*10+Parameter!$M$23,Parameter!$M$24))</f>
        <v>155</v>
      </c>
      <c r="BZ608" s="48" t="str">
        <f aca="false">IF(AND(Parameter!$B$19="Ja",E608&lt;&gt;"",ISNUMBER(MATCH(E608,Parameter!$I$35:$I$52,0))),VLOOKUP(E608,Parameter!$I$35:$J$52,2,0),IFERROR(VLOOKUP(D608,Parameter!$A$35:$C$64,2,0),"Nein"))</f>
        <v>2+3</v>
      </c>
      <c r="CA608" s="52" t="n">
        <f aca="false">IF(BW608=0,0,IF(N(S608)&gt;0,S608,IFERROR(VLOOKUP(D608,Parameter!$A$35:$C$64,3,0)+0,0)))</f>
        <v>0</v>
      </c>
      <c r="CB608" s="48" t="n">
        <f aca="false">IF(AA608&lt;&gt;"",AA608,Z608)</f>
        <v>3</v>
      </c>
      <c r="CC608" s="48" t="str">
        <f aca="false">IF(OR(CB608=1,CB608=2,CB608=3),IF(Parameter!$E$27="Ja","LIFT",IF(CB608=1,"L1","L23")),IF(CB608="Aussen","Aussen","-"))</f>
        <v>LIFT</v>
      </c>
      <c r="CD608" s="59" t="n">
        <f aca="false">IF(N(AB608)&gt;0,AB608,0)</f>
        <v>0</v>
      </c>
      <c r="CE608" s="53" t="n">
        <f aca="false">IF(ISNUMBER(AE608),1,0)</f>
        <v>0</v>
      </c>
      <c r="CF608" s="50" t="n">
        <f aca="false">N(AE608)</f>
        <v>0</v>
      </c>
      <c r="CG608" s="50" t="n">
        <f aca="false">N(M608)+N(N608)</f>
        <v>1</v>
      </c>
      <c r="CH608" s="50" t="n">
        <f aca="false">ROUNDUP(H608/BV608,0)</f>
        <v>2</v>
      </c>
      <c r="CI608" s="50" t="n">
        <f aca="false">ROUNDUP(CF608/BV608,0)</f>
        <v>0</v>
      </c>
      <c r="CJ608" s="53" t="n">
        <f aca="false">IF(BW608=1,0,IFERROR(VLOOKUP(BU608,'Gebinde-Kategorie'!$A$5:$N$45,5,0)+0,0))</f>
        <v>8</v>
      </c>
      <c r="CK608" s="53" t="n">
        <f aca="false">IFERROR(IF(OR(CB608=1,CB608=2,CB608=3),N(INDEX(Parameter!$I$5:$I$7,CB608)),0),0)</f>
        <v>0</v>
      </c>
      <c r="CL608" s="52" t="n">
        <f aca="false">IF(AND(Parameter!$B$21="Ja",ISNUMBER(W608),N(X608)&gt;0),IFERROR(N(INDEX(Parameter!$L$5:$L$7,W608))*INDEX(Parameter!$E$5:$E$7,W608)*X608/SUMIFS($X$7:$X$1843,$W$7:$W$1843,W608),0),0)</f>
        <v>0</v>
      </c>
    </row>
    <row r="609" customFormat="false" ht="15" hidden="false" customHeight="false" outlineLevel="0" collapsed="false">
      <c r="A609" s="48" t="s">
        <v>1261</v>
      </c>
      <c r="B609" s="48" t="s">
        <v>658</v>
      </c>
      <c r="C609" s="48" t="s">
        <v>168</v>
      </c>
      <c r="D609" s="48" t="s">
        <v>188</v>
      </c>
      <c r="E609" s="48" t="s">
        <v>189</v>
      </c>
      <c r="F609" s="48" t="s">
        <v>222</v>
      </c>
      <c r="G609" s="49" t="n">
        <v>0.01</v>
      </c>
      <c r="H609" s="50" t="n">
        <f aca="false">MAX(0,IF(AND(Parameter!$B$21="Ja",ISNUMBER(Y609)),Y609,IF(Parameter!$B$20="Jahresanfang 2025 + Export",BO609+BN609,BN609)))</f>
        <v>579</v>
      </c>
      <c r="I609" s="50" t="n">
        <f aca="false">H609*G609</f>
        <v>5.79</v>
      </c>
      <c r="J609" s="50" t="n">
        <f aca="false">BQ609*Parameter!$B$18</f>
        <v>530</v>
      </c>
      <c r="K609" s="51" t="n">
        <v>95.5</v>
      </c>
      <c r="L609" s="52" t="n">
        <v>5.54973821989529</v>
      </c>
      <c r="M609" s="50" t="n">
        <v>30</v>
      </c>
      <c r="N609" s="50" t="n">
        <v>600</v>
      </c>
      <c r="O609" s="53" t="n">
        <v>21</v>
      </c>
      <c r="P609" s="48" t="s">
        <v>480</v>
      </c>
      <c r="Q609" s="50" t="n">
        <v>885</v>
      </c>
      <c r="R609" s="53" t="n">
        <f aca="false">IF(BW609=1,0,IFERROR(VLOOKUP(BU609,'Gebinde-Kategorie'!$A$5:$N$45,13,0)+0,0))</f>
        <v>52</v>
      </c>
      <c r="S609" s="54"/>
      <c r="T609" s="55"/>
      <c r="U609" s="55"/>
      <c r="V609" s="55"/>
      <c r="W609" s="48"/>
      <c r="X609" s="50"/>
      <c r="Y609" s="50"/>
      <c r="Z609" s="48" t="n">
        <f aca="false">IF(A609="","",IF(AND(Parameter!$B$21="Ja",ISNUMBER(W609)),W609,IF(BZ609="2+3",IF(ISNUMBER(SEARCH("grosser Artikel",BR609)),2,IFERROR(VLOOKUP(BU609,Parameter!$F$35:$G$64,2,0),2)),IF(OR(BZ609="Nein",BZ609=""),"-",BZ609))))</f>
        <v>3</v>
      </c>
      <c r="AA609" s="55"/>
      <c r="AB609" s="56"/>
      <c r="AC609" s="50" t="n">
        <f aca="false">AT609</f>
        <v>885</v>
      </c>
      <c r="AD609" s="50" t="n">
        <f aca="false">MAX(AT609,H609)</f>
        <v>885</v>
      </c>
      <c r="AE609" s="57"/>
      <c r="AF609" s="50" t="n">
        <f aca="false">IF(LEFT(Cockpit!$C$5,1)="A",H609,IF(CE609=1,CF609,IF(LEFT(Cockpit!$C$5,1)="B",AK609,MAX(AK609,H609))))</f>
        <v>579</v>
      </c>
      <c r="AG609" s="50" t="n">
        <f aca="false">IF(BW609=1,0,ROUNDUP(AF609/BV609,0))</f>
        <v>1</v>
      </c>
      <c r="AH609" s="52" t="n">
        <f aca="false">IF(CL609&gt;0,CL609*MAX(1,AF609/X609),IF(BW609=1,IF(AF609&lt;=0,0,CA609*MAX(1,IF(H609&gt;0,AF609/H609,1))),IF(R609&gt;0,AG609/R609,0))/MAX(0.1,N(Parameter!$M$21)))</f>
        <v>0.0192307692307692</v>
      </c>
      <c r="AI609" s="50" t="n">
        <f aca="false">AH609*BY609</f>
        <v>2.98076923076923</v>
      </c>
      <c r="AJ609" s="50" t="n">
        <f aca="false">AF609*G609</f>
        <v>5.79</v>
      </c>
      <c r="AK609" s="50" t="n">
        <f aca="false">ROUNDUP(MAX(J609/IF(CD609&gt;0,CD609,MAX(0.1,N(Cockpit!$C$6))),CG609)/BV609,0)*BV609</f>
        <v>885</v>
      </c>
      <c r="AL609" s="51" t="n">
        <f aca="false">IF(AI609&gt;0,J609/AI609,-1)</f>
        <v>177.806451612903</v>
      </c>
      <c r="AM609" s="51" t="n">
        <f aca="false">IF(AND(OR(CC609="L1",CC609="L23",CC609="LIFT"),AI609&gt;0),SUMIFS($AI$7:$AI$1843,$CC$7:$CC$1843,CC609,$AL$7:$AL$1843,"&gt;"&amp;AL609)+SUMIFS($AI$7:$AI$1843,$CC$7:$CC$1843,CC609,$AL$7:$AL$1843,AL609,$BT$7:$BT$1843,"&lt;="&amp;BT609),"")</f>
        <v>402.253205128205</v>
      </c>
      <c r="AN609" s="58" t="n">
        <f aca="false">IF(AM609="",0,MAX(0,MIN(1,(IF(CC609="L1",Parameter!$H$5,IF(CC609="L23",Parameter!$H$6+Parameter!$H$7,Parameter!$H$5+Parameter!$H$6+Parameter!$H$7))-(AM609-AI609))/AI609)))</f>
        <v>1</v>
      </c>
      <c r="AO609" s="50" t="n">
        <f aca="false">IF(LEFT(Cockpit!$I$5,1)="A",H609,IF(CE609=1,CF609,IF(LEFT(Cockpit!$I$5,1)="B",AT609,MAX(AT609,H609))))</f>
        <v>885</v>
      </c>
      <c r="AP609" s="50" t="n">
        <f aca="false">IF(BW609=1,0,ROUNDUP(AO609/BV609,0))</f>
        <v>1</v>
      </c>
      <c r="AQ609" s="52" t="n">
        <f aca="false">IF(CL609&gt;0,CL609*MAX(1,AO609/X609),IF(BW609=1,IF(AO609&lt;=0,0,CA609*MAX(1,IF(H609&gt;0,AO609/H609,1))),IF(R609&gt;0,AP609/R609,0))/MAX(0.1,N(Parameter!$M$21)))</f>
        <v>0.0192307692307692</v>
      </c>
      <c r="AR609" s="50" t="n">
        <f aca="false">AQ609*BY609</f>
        <v>2.98076923076923</v>
      </c>
      <c r="AS609" s="50" t="n">
        <f aca="false">AO609*G609</f>
        <v>8.85</v>
      </c>
      <c r="AT609" s="50" t="n">
        <f aca="false">ROUNDUP(MAX(J609/IF(CD609&gt;0,CD609,MAX(0.1,N(Cockpit!$I$6))),CG609)/BV609,0)*BV609</f>
        <v>885</v>
      </c>
      <c r="AU609" s="51" t="n">
        <f aca="false">IF(AR609&gt;0,J609/AR609,-1)</f>
        <v>177.806451612903</v>
      </c>
      <c r="AV609" s="51" t="n">
        <f aca="false">IF(AND(OR(CC609="L1",CC609="L23",CC609="LIFT"),AR609&gt;0),SUMIFS($AR$7:$AR$1843,$CC$7:$CC$1843,CC609,$AU$7:$AU$1843,"&gt;"&amp;AU609)+SUMIFS($AR$7:$AR$1843,$CC$7:$CC$1843,CC609,$AU$7:$AU$1843,AU609,$BT$7:$BT$1843,"&lt;="&amp;BT609),"")</f>
        <v>453.735347985348</v>
      </c>
      <c r="AW609" s="58" t="n">
        <f aca="false">IF(AV609="",0,MAX(0,MIN(1,(IF(CC609="L1",Parameter!$H$5,IF(CC609="L23",Parameter!$H$6+Parameter!$H$7,Parameter!$H$5+Parameter!$H$6+Parameter!$H$7))-(AV609-AR609))/AR609)))</f>
        <v>1</v>
      </c>
      <c r="AX609" s="50" t="n">
        <f aca="false">IF(LEFT(Cockpit!$O$5,1)="A",H609,IF(CE609=1,CF609,IF(LEFT(Cockpit!$O$5,1)="B",BC609,MAX(BC609,H609))))</f>
        <v>885</v>
      </c>
      <c r="AY609" s="50" t="n">
        <f aca="false">IF(BW609=1,0,ROUNDUP(AX609/BV609,0))</f>
        <v>1</v>
      </c>
      <c r="AZ609" s="52" t="n">
        <f aca="false">IF(CL609&gt;0,CL609*MAX(1,AX609/X609),IF(BW609=1,IF(AX609&lt;=0,0,CA609*MAX(1,IF(H609&gt;0,AX609/H609,1))),IF(R609&gt;0,AY609/R609,0))/MAX(0.1,N(Parameter!$M$21)))</f>
        <v>0.0192307692307692</v>
      </c>
      <c r="BA609" s="50" t="n">
        <f aca="false">AZ609*BY609</f>
        <v>2.98076923076923</v>
      </c>
      <c r="BB609" s="50" t="n">
        <f aca="false">AX609*G609</f>
        <v>8.85</v>
      </c>
      <c r="BC609" s="50" t="n">
        <f aca="false">ROUNDUP(MAX(J609/IF(CD609&gt;0,CD609,MAX(0.1,N(Cockpit!$O$6))),CG609)/BV609,0)*BV609</f>
        <v>885</v>
      </c>
      <c r="BD609" s="51" t="n">
        <f aca="false">IF(BA609&gt;0,J609/BA609,-1)</f>
        <v>177.806451612903</v>
      </c>
      <c r="BE609" s="51" t="n">
        <f aca="false">IF(AND(OR(CC609="L1",CC609="L23",CC609="LIFT"),BA609&gt;0),SUMIFS($BA$7:$BA$1843,$CC$7:$CC$1843,CC609,$BD$7:$BD$1843,"&gt;"&amp;BD609)+SUMIFS($BA$7:$BA$1843,$CC$7:$CC$1843,CC609,$BD$7:$BD$1843,BD609,$BT$7:$BT$1843,"&lt;="&amp;BT609),"")</f>
        <v>515.674450549451</v>
      </c>
      <c r="BF609" s="58" t="n">
        <f aca="false">IF(BE609="",0,MAX(0,MIN(1,(IF(CC609="L1",Parameter!$H$5,IF(CC609="L23",Parameter!$H$6+Parameter!$H$7,Parameter!$H$5+Parameter!$H$6+Parameter!$H$7))-(BE609-BA609))/BA609)))</f>
        <v>1</v>
      </c>
      <c r="BG609" s="48" t="str">
        <f aca="false">IF(AI609&lt;=0,"",IF(CC609="Aussen","Aussenlager",IF(CC609="-","Nicht im Lift",IF(AN609&gt;=1,"Lift",IF(AN609&lt;=0,"Aussenlager","teilweise")))))</f>
        <v>Lift</v>
      </c>
      <c r="BH609" s="48" t="str">
        <f aca="false">IF(AR609&lt;=0,"",IF(CC609="Aussen","Aussenlager",IF(CC609="-","Nicht im Lift",IF(AW609&gt;=1,"Lift",IF(AW609&lt;=0,"Aussenlager","teilweise")))))</f>
        <v>Lift</v>
      </c>
      <c r="BI609" s="48" t="str">
        <f aca="false">IF(BA609&lt;=0,"",IF(CC609="Aussen","Aussenlager",IF(CC609="-","Nicht im Lift",IF(BF609&gt;=1,"Lift",IF(BF609&lt;=0,"Aussenlager","teilweise")))))</f>
        <v>Lift</v>
      </c>
      <c r="BJ609" s="48" t="str">
        <f aca="false">IF(A609="","",IF(BS609=1,"Neu; ","")&amp;IF(AND(BS609=0,BN609&lt;0),"negativer Bestand (Export "&amp;BN609&amp;"); ","")&amp;IF(J609&lt;=0,"Kein Verbrauch; ","")&amp;IF(CL609&gt;0,"Lift "&amp;W609&amp;" lt. Liftbericht (Fach "&amp;X609&amp;" Stk); ",IF(BX609=1,"Gebinde geschätzt ("&amp;T609&amp;"); ",IF(BW609=1,"Lose – Tablare geschätzt; ","")))&amp;IF(H609&gt;AT609,"Überbestand "&amp;ROUND(H609-AT609,0)&amp;" Stk / CHF "&amp;ROUND((H609-AT609)*G609,0)&amp;"; ","")&amp;IF(AND(CE609=1,CF609&lt;CG609),"MAX &lt; MB+LG; ","")&amp;IF(AND(CK609&gt;0,CJ609*10&gt;CK609),"zu hoch für Tablar; ","")&amp;IF(AND(BS609=0,OR(CE609=1,AA609&lt;&gt;"",U609&lt;&gt;"",V609&lt;&gt;"",AB609&lt;&gt;"")),"manuell übersteuert; ","")&amp;IF(AND(BW609=0,R609=0),"Gebinde unbekannt / Stellmass fehlt; ","")&amp;IF(AND(BW609=0,N(V609)&lt;=0,N(Q609)&lt;=0),"Menge pro Gebinde fehlt (Ist = 1 Gebinde); ","")&amp;BR609)</f>
        <v/>
      </c>
      <c r="BK609" s="48"/>
      <c r="BL609" s="48"/>
      <c r="BM609" s="55"/>
      <c r="BN609" s="50" t="n">
        <v>495</v>
      </c>
      <c r="BO609" s="50" t="n">
        <v>84</v>
      </c>
      <c r="BP609" s="49" t="n">
        <v>4.95</v>
      </c>
      <c r="BQ609" s="50" t="n">
        <v>530</v>
      </c>
      <c r="BR609" s="48"/>
      <c r="BS609" s="53" t="n">
        <v>0</v>
      </c>
      <c r="BT609" s="53" t="n">
        <v>609</v>
      </c>
      <c r="BU609" s="48" t="str">
        <f aca="false">IF(U609&lt;&gt;"",UPPER(TRIM(U609)),IF(BX609=1,UPPER(VLOOKUP(T609,Parameter!$I$27:$K$29,2,0)),IF(P609="","LOSE",P609)))</f>
        <v>S33</v>
      </c>
      <c r="BV609" s="50" t="n">
        <f aca="false">IF(BU609="LOSE",1,IF(N(V609)&gt;0,V609,IF(BX609=1,MAX(1,N(VLOOKUP(T609,Parameter!$I$27:$K$29,3,0)),H609,N(N609)),IF(N(Q609)&gt;0,Q609,MAX(1,H609)))))</f>
        <v>885</v>
      </c>
      <c r="BW609" s="53" t="n">
        <f aca="false">IF(BU609="LOSE",1,0)</f>
        <v>0</v>
      </c>
      <c r="BX609" s="53" t="n">
        <f aca="false">IF(AND(U609="",OR(P609="",P609="LOSE"),T609&lt;&gt;"",N(S609)&lt;=0,ISNUMBER(MATCH(T609,Parameter!$I$27:$I$29,0))),1,0)</f>
        <v>0</v>
      </c>
      <c r="BY609" s="53" t="n">
        <f aca="false">IF(CL609&gt;0,INDEX(Parameter!$H$5:$H$7,W609)/INDEX(Parameter!$E$5:$E$7,W609),IF(AND(BW609=0,N(IFERROR(VLOOKUP(BU609,'Gebinde-Kategorie'!$A$5:$N$45,14,0),0))&gt;0),VLOOKUP(BU609,'Gebinde-Kategorie'!$A$5:$N$45,14,0)*10+Parameter!$M$23,Parameter!$M$24))</f>
        <v>155</v>
      </c>
      <c r="BZ609" s="48" t="str">
        <f aca="false">IF(AND(Parameter!$B$19="Ja",E609&lt;&gt;"",ISNUMBER(MATCH(E609,Parameter!$I$35:$I$52,0))),VLOOKUP(E609,Parameter!$I$35:$J$52,2,0),IFERROR(VLOOKUP(D609,Parameter!$A$35:$C$64,2,0),"Nein"))</f>
        <v>2+3</v>
      </c>
      <c r="CA609" s="52" t="n">
        <f aca="false">IF(BW609=0,0,IF(N(S609)&gt;0,S609,IFERROR(VLOOKUP(D609,Parameter!$A$35:$C$64,3,0)+0,0)))</f>
        <v>0</v>
      </c>
      <c r="CB609" s="48" t="n">
        <f aca="false">IF(AA609&lt;&gt;"",AA609,Z609)</f>
        <v>3</v>
      </c>
      <c r="CC609" s="48" t="str">
        <f aca="false">IF(OR(CB609=1,CB609=2,CB609=3),IF(Parameter!$E$27="Ja","LIFT",IF(CB609=1,"L1","L23")),IF(CB609="Aussen","Aussen","-"))</f>
        <v>LIFT</v>
      </c>
      <c r="CD609" s="59" t="n">
        <f aca="false">IF(N(AB609)&gt;0,AB609,0)</f>
        <v>0</v>
      </c>
      <c r="CE609" s="53" t="n">
        <f aca="false">IF(ISNUMBER(AE609),1,0)</f>
        <v>0</v>
      </c>
      <c r="CF609" s="50" t="n">
        <f aca="false">N(AE609)</f>
        <v>0</v>
      </c>
      <c r="CG609" s="50" t="n">
        <f aca="false">N(M609)+N(N609)</f>
        <v>630</v>
      </c>
      <c r="CH609" s="50" t="n">
        <f aca="false">ROUNDUP(H609/BV609,0)</f>
        <v>1</v>
      </c>
      <c r="CI609" s="50" t="n">
        <f aca="false">ROUNDUP(CF609/BV609,0)</f>
        <v>0</v>
      </c>
      <c r="CJ609" s="53" t="n">
        <f aca="false">IF(BW609=1,0,IFERROR(VLOOKUP(BU609,'Gebinde-Kategorie'!$A$5:$N$45,5,0)+0,0))</f>
        <v>8</v>
      </c>
      <c r="CK609" s="53" t="n">
        <f aca="false">IFERROR(IF(OR(CB609=1,CB609=2,CB609=3),N(INDEX(Parameter!$I$5:$I$7,CB609)),0),0)</f>
        <v>0</v>
      </c>
      <c r="CL609" s="52" t="n">
        <f aca="false">IF(AND(Parameter!$B$21="Ja",ISNUMBER(W609),N(X609)&gt;0),IFERROR(N(INDEX(Parameter!$L$5:$L$7,W609))*INDEX(Parameter!$E$5:$E$7,W609)*X609/SUMIFS($X$7:$X$1843,$W$7:$W$1843,W609),0),0)</f>
        <v>0</v>
      </c>
    </row>
    <row r="610" customFormat="false" ht="15" hidden="false" customHeight="false" outlineLevel="0" collapsed="false">
      <c r="A610" s="48" t="s">
        <v>1262</v>
      </c>
      <c r="B610" s="48" t="s">
        <v>1263</v>
      </c>
      <c r="C610" s="48" t="s">
        <v>168</v>
      </c>
      <c r="D610" s="48" t="s">
        <v>177</v>
      </c>
      <c r="E610" s="48"/>
      <c r="F610" s="48" t="s">
        <v>222</v>
      </c>
      <c r="G610" s="49" t="n">
        <v>0.33</v>
      </c>
      <c r="H610" s="50" t="n">
        <f aca="false">MAX(0,IF(AND(Parameter!$B$21="Ja",ISNUMBER(Y610)),Y610,IF(Parameter!$B$20="Jahresanfang 2025 + Export",BO610+BN610,BN610)))</f>
        <v>15</v>
      </c>
      <c r="I610" s="50" t="n">
        <f aca="false">H610*G610</f>
        <v>4.95</v>
      </c>
      <c r="J610" s="50" t="n">
        <f aca="false">BQ610*Parameter!$B$18</f>
        <v>6</v>
      </c>
      <c r="K610" s="51" t="n">
        <v>0</v>
      </c>
      <c r="L610" s="52" t="n">
        <v>0</v>
      </c>
      <c r="M610" s="50" t="n">
        <v>0</v>
      </c>
      <c r="N610" s="50" t="n">
        <v>5</v>
      </c>
      <c r="O610" s="53" t="n">
        <v>21</v>
      </c>
      <c r="P610" s="48" t="s">
        <v>172</v>
      </c>
      <c r="Q610" s="50"/>
      <c r="R610" s="53" t="n">
        <f aca="false">IF(BW610=1,0,IFERROR(VLOOKUP(BU610,'Gebinde-Kategorie'!$A$5:$N$45,13,0)+0,0))</f>
        <v>12</v>
      </c>
      <c r="S610" s="54"/>
      <c r="T610" s="55" t="s">
        <v>183</v>
      </c>
      <c r="U610" s="55"/>
      <c r="V610" s="55"/>
      <c r="W610" s="48"/>
      <c r="X610" s="50"/>
      <c r="Y610" s="50"/>
      <c r="Z610" s="48" t="n">
        <f aca="false">IF(A610="","",IF(AND(Parameter!$B$21="Ja",ISNUMBER(W610)),W610,IF(BZ610="2+3",IF(ISNUMBER(SEARCH("grosser Artikel",BR610)),2,IFERROR(VLOOKUP(BU610,Parameter!$F$35:$G$64,2,0),2)),IF(OR(BZ610="Nein",BZ610=""),"-",BZ610))))</f>
        <v>2</v>
      </c>
      <c r="AA610" s="55"/>
      <c r="AB610" s="56"/>
      <c r="AC610" s="50" t="n">
        <f aca="false">AT610</f>
        <v>15</v>
      </c>
      <c r="AD610" s="50" t="n">
        <f aca="false">MAX(AT610,H610)</f>
        <v>15</v>
      </c>
      <c r="AE610" s="57"/>
      <c r="AF610" s="50" t="n">
        <f aca="false">IF(LEFT(Cockpit!$C$5,1)="A",H610,IF(CE610=1,CF610,IF(LEFT(Cockpit!$C$5,1)="B",AK610,MAX(AK610,H610))))</f>
        <v>15</v>
      </c>
      <c r="AG610" s="50" t="n">
        <f aca="false">IF(BW610=1,0,ROUNDUP(AF610/BV610,0))</f>
        <v>1</v>
      </c>
      <c r="AH610" s="52" t="n">
        <f aca="false">IF(CL610&gt;0,CL610*MAX(1,AF610/X610),IF(BW610=1,IF(AF610&lt;=0,0,CA610*MAX(1,IF(H610&gt;0,AF610/H610,1))),IF(R610&gt;0,AG610/R610,0))/MAX(0.1,N(Parameter!$M$21)))</f>
        <v>0.0833333333333333</v>
      </c>
      <c r="AI610" s="50" t="n">
        <f aca="false">AH610*BY610</f>
        <v>12.0833333333333</v>
      </c>
      <c r="AJ610" s="50" t="n">
        <f aca="false">AF610*G610</f>
        <v>4.95</v>
      </c>
      <c r="AK610" s="50" t="n">
        <f aca="false">ROUNDUP(MAX(J610/IF(CD610&gt;0,CD610,MAX(0.1,N(Cockpit!$C$6))),CG610)/BV610,0)*BV610</f>
        <v>15</v>
      </c>
      <c r="AL610" s="51" t="n">
        <f aca="false">IF(AI610&gt;0,J610/AI610,-1)</f>
        <v>0.496551724137931</v>
      </c>
      <c r="AM610" s="51" t="n">
        <f aca="false">IF(AND(OR(CC610="L1",CC610="L23",CC610="LIFT"),AI610&gt;0),SUMIFS($AI$7:$AI$1843,$CC$7:$CC$1843,CC610,$AL$7:$AL$1843,"&gt;"&amp;AL610)+SUMIFS($AI$7:$AI$1843,$CC$7:$CC$1843,CC610,$AL$7:$AL$1843,AL610,$BT$7:$BT$1843,"&lt;="&amp;BT610),"")</f>
        <v>9610.17716934666</v>
      </c>
      <c r="AN610" s="58" t="n">
        <f aca="false">IF(AM610="",0,MAX(0,MIN(1,(IF(CC610="L1",Parameter!$H$5,IF(CC610="L23",Parameter!$H$6+Parameter!$H$7,Parameter!$H$5+Parameter!$H$6+Parameter!$H$7))-(AM610-AI610))/AI610)))</f>
        <v>1</v>
      </c>
      <c r="AO610" s="50" t="n">
        <f aca="false">IF(LEFT(Cockpit!$I$5,1)="A",H610,IF(CE610=1,CF610,IF(LEFT(Cockpit!$I$5,1)="B",AT610,MAX(AT610,H610))))</f>
        <v>15</v>
      </c>
      <c r="AP610" s="50" t="n">
        <f aca="false">IF(BW610=1,0,ROUNDUP(AO610/BV610,0))</f>
        <v>1</v>
      </c>
      <c r="AQ610" s="52" t="n">
        <f aca="false">IF(CL610&gt;0,CL610*MAX(1,AO610/X610),IF(BW610=1,IF(AO610&lt;=0,0,CA610*MAX(1,IF(H610&gt;0,AO610/H610,1))),IF(R610&gt;0,AP610/R610,0))/MAX(0.1,N(Parameter!$M$21)))</f>
        <v>0.0833333333333333</v>
      </c>
      <c r="AR610" s="50" t="n">
        <f aca="false">AQ610*BY610</f>
        <v>12.0833333333333</v>
      </c>
      <c r="AS610" s="50" t="n">
        <f aca="false">AO610*G610</f>
        <v>4.95</v>
      </c>
      <c r="AT610" s="50" t="n">
        <f aca="false">ROUNDUP(MAX(J610/IF(CD610&gt;0,CD610,MAX(0.1,N(Cockpit!$I$6))),CG610)/BV610,0)*BV610</f>
        <v>15</v>
      </c>
      <c r="AU610" s="51" t="n">
        <f aca="false">IF(AR610&gt;0,J610/AR610,-1)</f>
        <v>0.496551724137931</v>
      </c>
      <c r="AV610" s="51" t="n">
        <f aca="false">IF(AND(OR(CC610="L1",CC610="L23",CC610="LIFT"),AR610&gt;0),SUMIFS($AR$7:$AR$1843,$CC$7:$CC$1843,CC610,$AU$7:$AU$1843,"&gt;"&amp;AU610)+SUMIFS($AR$7:$AR$1843,$CC$7:$CC$1843,CC610,$AU$7:$AU$1843,AU610,$BT$7:$BT$1843,"&lt;="&amp;BT610),"")</f>
        <v>14078.5068681319</v>
      </c>
      <c r="AW610" s="58" t="n">
        <f aca="false">IF(AV610="",0,MAX(0,MIN(1,(IF(CC610="L1",Parameter!$H$5,IF(CC610="L23",Parameter!$H$6+Parameter!$H$7,Parameter!$H$5+Parameter!$H$6+Parameter!$H$7))-(AV610-AR610))/AR610)))</f>
        <v>1</v>
      </c>
      <c r="AX610" s="50" t="n">
        <f aca="false">IF(LEFT(Cockpit!$O$5,1)="A",H610,IF(CE610=1,CF610,IF(LEFT(Cockpit!$O$5,1)="B",BC610,MAX(BC610,H610))))</f>
        <v>15</v>
      </c>
      <c r="AY610" s="50" t="n">
        <f aca="false">IF(BW610=1,0,ROUNDUP(AX610/BV610,0))</f>
        <v>1</v>
      </c>
      <c r="AZ610" s="52" t="n">
        <f aca="false">IF(CL610&gt;0,CL610*MAX(1,AX610/X610),IF(BW610=1,IF(AX610&lt;=0,0,CA610*MAX(1,IF(H610&gt;0,AX610/H610,1))),IF(R610&gt;0,AY610/R610,0))/MAX(0.1,N(Parameter!$M$21)))</f>
        <v>0.0833333333333333</v>
      </c>
      <c r="BA610" s="50" t="n">
        <f aca="false">AZ610*BY610</f>
        <v>12.0833333333333</v>
      </c>
      <c r="BB610" s="50" t="n">
        <f aca="false">AX610*G610</f>
        <v>4.95</v>
      </c>
      <c r="BC610" s="50" t="n">
        <f aca="false">ROUNDUP(MAX(J610/IF(CD610&gt;0,CD610,MAX(0.1,N(Cockpit!$O$6))),CG610)/BV610,0)*BV610</f>
        <v>15</v>
      </c>
      <c r="BD610" s="51" t="n">
        <f aca="false">IF(BA610&gt;0,J610/BA610,-1)</f>
        <v>0.496551724137931</v>
      </c>
      <c r="BE610" s="51" t="n">
        <f aca="false">IF(AND(OR(CC610="L1",CC610="L23",CC610="LIFT"),BA610&gt;0),SUMIFS($BA$7:$BA$1843,$CC$7:$CC$1843,CC610,$BD$7:$BD$1843,"&gt;"&amp;BD610)+SUMIFS($BA$7:$BA$1843,$CC$7:$CC$1843,CC610,$BD$7:$BD$1843,BD610,$BT$7:$BT$1843,"&lt;="&amp;BT610),"")</f>
        <v>13074.1639194139</v>
      </c>
      <c r="BF610" s="58" t="n">
        <f aca="false">IF(BE610="",0,MAX(0,MIN(1,(IF(CC610="L1",Parameter!$H$5,IF(CC610="L23",Parameter!$H$6+Parameter!$H$7,Parameter!$H$5+Parameter!$H$6+Parameter!$H$7))-(BE610-BA610))/BA610)))</f>
        <v>1</v>
      </c>
      <c r="BG610" s="48" t="str">
        <f aca="false">IF(AI610&lt;=0,"",IF(CC610="Aussen","Aussenlager",IF(CC610="-","Nicht im Lift",IF(AN610&gt;=1,"Lift",IF(AN610&lt;=0,"Aussenlager","teilweise")))))</f>
        <v>Lift</v>
      </c>
      <c r="BH610" s="48" t="str">
        <f aca="false">IF(AR610&lt;=0,"",IF(CC610="Aussen","Aussenlager",IF(CC610="-","Nicht im Lift",IF(AW610&gt;=1,"Lift",IF(AW610&lt;=0,"Aussenlager","teilweise")))))</f>
        <v>Lift</v>
      </c>
      <c r="BI610" s="48" t="str">
        <f aca="false">IF(BA610&lt;=0,"",IF(CC610="Aussen","Aussenlager",IF(CC610="-","Nicht im Lift",IF(BF610&gt;=1,"Lift",IF(BF610&lt;=0,"Aussenlager","teilweise")))))</f>
        <v>Lift</v>
      </c>
      <c r="BJ610" s="48" t="str">
        <f aca="false">IF(A610="","",IF(BS610=1,"Neu; ","")&amp;IF(AND(BS610=0,BN610&lt;0),"negativer Bestand (Export "&amp;BN610&amp;"); ","")&amp;IF(J610&lt;=0,"Kein Verbrauch; ","")&amp;IF(CL610&gt;0,"Lift "&amp;W610&amp;" lt. Liftbericht (Fach "&amp;X610&amp;" Stk); ",IF(BX610=1,"Gebinde geschätzt ("&amp;T610&amp;"); ",IF(BW610=1,"Lose – Tablare geschätzt; ","")))&amp;IF(H610&gt;AT610,"Überbestand "&amp;ROUND(H610-AT610,0)&amp;" Stk / CHF "&amp;ROUND((H610-AT610)*G610,0)&amp;"; ","")&amp;IF(AND(CE610=1,CF610&lt;CG610),"MAX &lt; MB+LG; ","")&amp;IF(AND(CK610&gt;0,CJ610*10&gt;CK610),"zu hoch für Tablar; ","")&amp;IF(AND(BS610=0,OR(CE610=1,AA610&lt;&gt;"",U610&lt;&gt;"",V610&lt;&gt;"",AB610&lt;&gt;"")),"manuell übersteuert; ","")&amp;IF(AND(BW610=0,R610=0),"Gebinde unbekannt / Stellmass fehlt; ","")&amp;IF(AND(BW610=0,N(V610)&lt;=0,N(Q610)&lt;=0),"Menge pro Gebinde fehlt (Ist = 1 Gebinde); ","")&amp;BR610)</f>
        <v>Gebinde geschätzt (Mittel); Menge pro Gebinde fehlt (Ist = 1 Gebinde); </v>
      </c>
      <c r="BK610" s="48"/>
      <c r="BL610" s="48"/>
      <c r="BM610" s="55"/>
      <c r="BN610" s="50" t="n">
        <v>15</v>
      </c>
      <c r="BO610" s="50" t="n">
        <v>0</v>
      </c>
      <c r="BP610" s="49" t="n">
        <v>4.95</v>
      </c>
      <c r="BQ610" s="50" t="n">
        <v>6</v>
      </c>
      <c r="BR610" s="48"/>
      <c r="BS610" s="53" t="n">
        <v>0</v>
      </c>
      <c r="BT610" s="53" t="n">
        <v>610</v>
      </c>
      <c r="BU610" s="48" t="str">
        <f aca="false">IF(U610&lt;&gt;"",UPPER(TRIM(U610)),IF(BX610=1,UPPER(VLOOKUP(T610,Parameter!$I$27:$K$29,2,0)),IF(P610="","LOSE",P610)))</f>
        <v>S61</v>
      </c>
      <c r="BV610" s="50" t="n">
        <f aca="false">IF(BU610="LOSE",1,IF(N(V610)&gt;0,V610,IF(BX610=1,MAX(1,N(VLOOKUP(T610,Parameter!$I$27:$K$29,3,0)),H610,N(N610)),IF(N(Q610)&gt;0,Q610,MAX(1,H610)))))</f>
        <v>15</v>
      </c>
      <c r="BW610" s="53" t="n">
        <f aca="false">IF(BU610="LOSE",1,0)</f>
        <v>0</v>
      </c>
      <c r="BX610" s="53" t="n">
        <f aca="false">IF(AND(U610="",OR(P610="",P610="LOSE"),T610&lt;&gt;"",N(S610)&lt;=0,ISNUMBER(MATCH(T610,Parameter!$I$27:$I$29,0))),1,0)</f>
        <v>1</v>
      </c>
      <c r="BY610" s="53" t="n">
        <f aca="false">IF(CL610&gt;0,INDEX(Parameter!$H$5:$H$7,W610)/INDEX(Parameter!$E$5:$E$7,W610),IF(AND(BW610=0,N(IFERROR(VLOOKUP(BU610,'Gebinde-Kategorie'!$A$5:$N$45,14,0),0))&gt;0),VLOOKUP(BU610,'Gebinde-Kategorie'!$A$5:$N$45,14,0)*10+Parameter!$M$23,Parameter!$M$24))</f>
        <v>145</v>
      </c>
      <c r="BZ610" s="48" t="str">
        <f aca="false">IF(AND(Parameter!$B$19="Ja",E610&lt;&gt;"",ISNUMBER(MATCH(E610,Parameter!$I$35:$I$52,0))),VLOOKUP(E610,Parameter!$I$35:$J$52,2,0),IFERROR(VLOOKUP(D610,Parameter!$A$35:$C$64,2,0),"Nein"))</f>
        <v>2+3</v>
      </c>
      <c r="CA610" s="52" t="n">
        <f aca="false">IF(BW610=0,0,IF(N(S610)&gt;0,S610,IFERROR(VLOOKUP(D610,Parameter!$A$35:$C$64,3,0)+0,0)))</f>
        <v>0</v>
      </c>
      <c r="CB610" s="48" t="n">
        <f aca="false">IF(AA610&lt;&gt;"",AA610,Z610)</f>
        <v>2</v>
      </c>
      <c r="CC610" s="48" t="str">
        <f aca="false">IF(OR(CB610=1,CB610=2,CB610=3),IF(Parameter!$E$27="Ja","LIFT",IF(CB610=1,"L1","L23")),IF(CB610="Aussen","Aussen","-"))</f>
        <v>LIFT</v>
      </c>
      <c r="CD610" s="59" t="n">
        <f aca="false">IF(N(AB610)&gt;0,AB610,0)</f>
        <v>0</v>
      </c>
      <c r="CE610" s="53" t="n">
        <f aca="false">IF(ISNUMBER(AE610),1,0)</f>
        <v>0</v>
      </c>
      <c r="CF610" s="50" t="n">
        <f aca="false">N(AE610)</f>
        <v>0</v>
      </c>
      <c r="CG610" s="50" t="n">
        <f aca="false">N(M610)+N(N610)</f>
        <v>5</v>
      </c>
      <c r="CH610" s="50" t="n">
        <f aca="false">ROUNDUP(H610/BV610,0)</f>
        <v>1</v>
      </c>
      <c r="CI610" s="50" t="n">
        <f aca="false">ROUNDUP(CF610/BV610,0)</f>
        <v>0</v>
      </c>
      <c r="CJ610" s="53" t="n">
        <f aca="false">IF(BW610=1,0,IFERROR(VLOOKUP(BU610,'Gebinde-Kategorie'!$A$5:$N$45,5,0)+0,0))</f>
        <v>11</v>
      </c>
      <c r="CK610" s="53" t="n">
        <f aca="false">IFERROR(IF(OR(CB610=1,CB610=2,CB610=3),N(INDEX(Parameter!$I$5:$I$7,CB610)),0),0)</f>
        <v>0</v>
      </c>
      <c r="CL610" s="52" t="n">
        <f aca="false">IF(AND(Parameter!$B$21="Ja",ISNUMBER(W610),N(X610)&gt;0),IFERROR(N(INDEX(Parameter!$L$5:$L$7,W610))*INDEX(Parameter!$E$5:$E$7,W610)*X610/SUMIFS($X$7:$X$1843,$W$7:$W$1843,W610),0),0)</f>
        <v>0</v>
      </c>
    </row>
    <row r="611" customFormat="false" ht="15" hidden="false" customHeight="false" outlineLevel="0" collapsed="false">
      <c r="A611" s="48" t="s">
        <v>1264</v>
      </c>
      <c r="B611" s="48" t="s">
        <v>409</v>
      </c>
      <c r="C611" s="48" t="s">
        <v>168</v>
      </c>
      <c r="D611" s="48" t="s">
        <v>188</v>
      </c>
      <c r="E611" s="48" t="s">
        <v>189</v>
      </c>
      <c r="F611" s="48" t="s">
        <v>222</v>
      </c>
      <c r="G611" s="49" t="n">
        <v>0.06</v>
      </c>
      <c r="H611" s="50" t="n">
        <f aca="false">MAX(0,IF(AND(Parameter!$B$21="Ja",ISNUMBER(Y611)),Y611,IF(Parameter!$B$20="Jahresanfang 2025 + Export",BO611+BN611,BN611)))</f>
        <v>277</v>
      </c>
      <c r="I611" s="50" t="n">
        <f aca="false">H611*G611</f>
        <v>16.62</v>
      </c>
      <c r="J611" s="50" t="n">
        <f aca="false">BQ611*Parameter!$B$18</f>
        <v>638</v>
      </c>
      <c r="K611" s="51" t="n">
        <v>267.5</v>
      </c>
      <c r="L611" s="52" t="n">
        <v>2.38504672897196</v>
      </c>
      <c r="M611" s="50" t="n">
        <v>37</v>
      </c>
      <c r="N611" s="50" t="n">
        <v>800</v>
      </c>
      <c r="O611" s="53" t="n">
        <v>21</v>
      </c>
      <c r="P611" s="48" t="s">
        <v>480</v>
      </c>
      <c r="Q611" s="50" t="n">
        <v>605</v>
      </c>
      <c r="R611" s="53" t="n">
        <f aca="false">IF(BW611=1,0,IFERROR(VLOOKUP(BU611,'Gebinde-Kategorie'!$A$5:$N$45,13,0)+0,0))</f>
        <v>52</v>
      </c>
      <c r="S611" s="54"/>
      <c r="T611" s="55"/>
      <c r="U611" s="55"/>
      <c r="V611" s="55"/>
      <c r="W611" s="48"/>
      <c r="X611" s="50"/>
      <c r="Y611" s="50"/>
      <c r="Z611" s="48" t="n">
        <f aca="false">IF(A611="","",IF(AND(Parameter!$B$21="Ja",ISNUMBER(W611)),W611,IF(BZ611="2+3",IF(ISNUMBER(SEARCH("grosser Artikel",BR611)),2,IFERROR(VLOOKUP(BU611,Parameter!$F$35:$G$64,2,0),2)),IF(OR(BZ611="Nein",BZ611=""),"-",BZ611))))</f>
        <v>3</v>
      </c>
      <c r="AA611" s="55"/>
      <c r="AB611" s="56"/>
      <c r="AC611" s="50" t="n">
        <f aca="false">AT611</f>
        <v>1210</v>
      </c>
      <c r="AD611" s="50" t="n">
        <f aca="false">MAX(AT611,H611)</f>
        <v>1210</v>
      </c>
      <c r="AE611" s="57"/>
      <c r="AF611" s="50" t="n">
        <f aca="false">IF(LEFT(Cockpit!$C$5,1)="A",H611,IF(CE611=1,CF611,IF(LEFT(Cockpit!$C$5,1)="B",AK611,MAX(AK611,H611))))</f>
        <v>277</v>
      </c>
      <c r="AG611" s="50" t="n">
        <f aca="false">IF(BW611=1,0,ROUNDUP(AF611/BV611,0))</f>
        <v>1</v>
      </c>
      <c r="AH611" s="52" t="n">
        <f aca="false">IF(CL611&gt;0,CL611*MAX(1,AF611/X611),IF(BW611=1,IF(AF611&lt;=0,0,CA611*MAX(1,IF(H611&gt;0,AF611/H611,1))),IF(R611&gt;0,AG611/R611,0))/MAX(0.1,N(Parameter!$M$21)))</f>
        <v>0.0192307692307692</v>
      </c>
      <c r="AI611" s="50" t="n">
        <f aca="false">AH611*BY611</f>
        <v>2.98076923076923</v>
      </c>
      <c r="AJ611" s="50" t="n">
        <f aca="false">AF611*G611</f>
        <v>16.62</v>
      </c>
      <c r="AK611" s="50" t="n">
        <f aca="false">ROUNDUP(MAX(J611/IF(CD611&gt;0,CD611,MAX(0.1,N(Cockpit!$C$6))),CG611)/BV611,0)*BV611</f>
        <v>1210</v>
      </c>
      <c r="AL611" s="51" t="n">
        <f aca="false">IF(AI611&gt;0,J611/AI611,-1)</f>
        <v>214.038709677419</v>
      </c>
      <c r="AM611" s="51" t="n">
        <f aca="false">IF(AND(OR(CC611="L1",CC611="L23",CC611="LIFT"),AI611&gt;0),SUMIFS($AI$7:$AI$1843,$CC$7:$CC$1843,CC611,$AL$7:$AL$1843,"&gt;"&amp;AL611)+SUMIFS($AI$7:$AI$1843,$CC$7:$CC$1843,CC611,$AL$7:$AL$1843,AL611,$BT$7:$BT$1843,"&lt;="&amp;BT611),"")</f>
        <v>322.459249084249</v>
      </c>
      <c r="AN611" s="58" t="n">
        <f aca="false">IF(AM611="",0,MAX(0,MIN(1,(IF(CC611="L1",Parameter!$H$5,IF(CC611="L23",Parameter!$H$6+Parameter!$H$7,Parameter!$H$5+Parameter!$H$6+Parameter!$H$7))-(AM611-AI611))/AI611)))</f>
        <v>1</v>
      </c>
      <c r="AO611" s="50" t="n">
        <f aca="false">IF(LEFT(Cockpit!$I$5,1)="A",H611,IF(CE611=1,CF611,IF(LEFT(Cockpit!$I$5,1)="B",AT611,MAX(AT611,H611))))</f>
        <v>1210</v>
      </c>
      <c r="AP611" s="50" t="n">
        <f aca="false">IF(BW611=1,0,ROUNDUP(AO611/BV611,0))</f>
        <v>2</v>
      </c>
      <c r="AQ611" s="52" t="n">
        <f aca="false">IF(CL611&gt;0,CL611*MAX(1,AO611/X611),IF(BW611=1,IF(AO611&lt;=0,0,CA611*MAX(1,IF(H611&gt;0,AO611/H611,1))),IF(R611&gt;0,AP611/R611,0))/MAX(0.1,N(Parameter!$M$21)))</f>
        <v>0.0384615384615385</v>
      </c>
      <c r="AR611" s="50" t="n">
        <f aca="false">AQ611*BY611</f>
        <v>5.96153846153846</v>
      </c>
      <c r="AS611" s="50" t="n">
        <f aca="false">AO611*G611</f>
        <v>72.6</v>
      </c>
      <c r="AT611" s="50" t="n">
        <f aca="false">ROUNDUP(MAX(J611/IF(CD611&gt;0,CD611,MAX(0.1,N(Cockpit!$I$6))),CG611)/BV611,0)*BV611</f>
        <v>1210</v>
      </c>
      <c r="AU611" s="51" t="n">
        <f aca="false">IF(AR611&gt;0,J611/AR611,-1)</f>
        <v>107.01935483871</v>
      </c>
      <c r="AV611" s="51" t="n">
        <f aca="false">IF(AND(OR(CC611="L1",CC611="L23",CC611="LIFT"),AR611&gt;0),SUMIFS($AR$7:$AR$1843,$CC$7:$CC$1843,CC611,$AU$7:$AU$1843,"&gt;"&amp;AU611)+SUMIFS($AR$7:$AR$1843,$CC$7:$CC$1843,CC611,$AU$7:$AU$1843,AU611,$BT$7:$BT$1843,"&lt;="&amp;BT611),"")</f>
        <v>872.320512820513</v>
      </c>
      <c r="AW611" s="58" t="n">
        <f aca="false">IF(AV611="",0,MAX(0,MIN(1,(IF(CC611="L1",Parameter!$H$5,IF(CC611="L23",Parameter!$H$6+Parameter!$H$7,Parameter!$H$5+Parameter!$H$6+Parameter!$H$7))-(AV611-AR611))/AR611)))</f>
        <v>1</v>
      </c>
      <c r="AX611" s="50" t="n">
        <f aca="false">IF(LEFT(Cockpit!$O$5,1)="A",H611,IF(CE611=1,CF611,IF(LEFT(Cockpit!$O$5,1)="B",BC611,MAX(BC611,H611))))</f>
        <v>1210</v>
      </c>
      <c r="AY611" s="50" t="n">
        <f aca="false">IF(BW611=1,0,ROUNDUP(AX611/BV611,0))</f>
        <v>2</v>
      </c>
      <c r="AZ611" s="52" t="n">
        <f aca="false">IF(CL611&gt;0,CL611*MAX(1,AX611/X611),IF(BW611=1,IF(AX611&lt;=0,0,CA611*MAX(1,IF(H611&gt;0,AX611/H611,1))),IF(R611&gt;0,AY611/R611,0))/MAX(0.1,N(Parameter!$M$21)))</f>
        <v>0.0384615384615385</v>
      </c>
      <c r="BA611" s="50" t="n">
        <f aca="false">AZ611*BY611</f>
        <v>5.96153846153846</v>
      </c>
      <c r="BB611" s="50" t="n">
        <f aca="false">AX611*G611</f>
        <v>72.6</v>
      </c>
      <c r="BC611" s="50" t="n">
        <f aca="false">ROUNDUP(MAX(J611/IF(CD611&gt;0,CD611,MAX(0.1,N(Cockpit!$O$6))),CG611)/BV611,0)*BV611</f>
        <v>1210</v>
      </c>
      <c r="BD611" s="51" t="n">
        <f aca="false">IF(BA611&gt;0,J611/BA611,-1)</f>
        <v>107.01935483871</v>
      </c>
      <c r="BE611" s="51" t="n">
        <f aca="false">IF(AND(OR(CC611="L1",CC611="L23",CC611="LIFT"),BA611&gt;0),SUMIFS($BA$7:$BA$1843,$CC$7:$CC$1843,CC611,$BD$7:$BD$1843,"&gt;"&amp;BD611)+SUMIFS($BA$7:$BA$1843,$CC$7:$CC$1843,CC611,$BD$7:$BD$1843,BD611,$BT$7:$BT$1843,"&lt;="&amp;BT611),"")</f>
        <v>819.740384615385</v>
      </c>
      <c r="BF611" s="58" t="n">
        <f aca="false">IF(BE611="",0,MAX(0,MIN(1,(IF(CC611="L1",Parameter!$H$5,IF(CC611="L23",Parameter!$H$6+Parameter!$H$7,Parameter!$H$5+Parameter!$H$6+Parameter!$H$7))-(BE611-BA611))/BA611)))</f>
        <v>1</v>
      </c>
      <c r="BG611" s="48" t="str">
        <f aca="false">IF(AI611&lt;=0,"",IF(CC611="Aussen","Aussenlager",IF(CC611="-","Nicht im Lift",IF(AN611&gt;=1,"Lift",IF(AN611&lt;=0,"Aussenlager","teilweise")))))</f>
        <v>Lift</v>
      </c>
      <c r="BH611" s="48" t="str">
        <f aca="false">IF(AR611&lt;=0,"",IF(CC611="Aussen","Aussenlager",IF(CC611="-","Nicht im Lift",IF(AW611&gt;=1,"Lift",IF(AW611&lt;=0,"Aussenlager","teilweise")))))</f>
        <v>Lift</v>
      </c>
      <c r="BI611" s="48" t="str">
        <f aca="false">IF(BA611&lt;=0,"",IF(CC611="Aussen","Aussenlager",IF(CC611="-","Nicht im Lift",IF(BF611&gt;=1,"Lift",IF(BF611&lt;=0,"Aussenlager","teilweise")))))</f>
        <v>Lift</v>
      </c>
      <c r="BJ611" s="48" t="str">
        <f aca="false">IF(A611="","",IF(BS611=1,"Neu; ","")&amp;IF(AND(BS611=0,BN611&lt;0),"negativer Bestand (Export "&amp;BN611&amp;"); ","")&amp;IF(J611&lt;=0,"Kein Verbrauch; ","")&amp;IF(CL611&gt;0,"Lift "&amp;W611&amp;" lt. Liftbericht (Fach "&amp;X611&amp;" Stk); ",IF(BX611=1,"Gebinde geschätzt ("&amp;T611&amp;"); ",IF(BW611=1,"Lose – Tablare geschätzt; ","")))&amp;IF(H611&gt;AT611,"Überbestand "&amp;ROUND(H611-AT611,0)&amp;" Stk / CHF "&amp;ROUND((H611-AT611)*G611,0)&amp;"; ","")&amp;IF(AND(CE611=1,CF611&lt;CG611),"MAX &lt; MB+LG; ","")&amp;IF(AND(CK611&gt;0,CJ611*10&gt;CK611),"zu hoch für Tablar; ","")&amp;IF(AND(BS611=0,OR(CE611=1,AA611&lt;&gt;"",U611&lt;&gt;"",V611&lt;&gt;"",AB611&lt;&gt;"")),"manuell übersteuert; ","")&amp;IF(AND(BW611=0,R611=0),"Gebinde unbekannt / Stellmass fehlt; ","")&amp;IF(AND(BW611=0,N(V611)&lt;=0,N(Q611)&lt;=0),"Menge pro Gebinde fehlt (Ist = 1 Gebinde); ","")&amp;BR611)</f>
        <v/>
      </c>
      <c r="BK611" s="48"/>
      <c r="BL611" s="48"/>
      <c r="BM611" s="55"/>
      <c r="BN611" s="50" t="n">
        <v>81</v>
      </c>
      <c r="BO611" s="50" t="n">
        <v>196</v>
      </c>
      <c r="BP611" s="49" t="n">
        <v>4.86000000000001</v>
      </c>
      <c r="BQ611" s="50" t="n">
        <v>638</v>
      </c>
      <c r="BR611" s="48"/>
      <c r="BS611" s="53" t="n">
        <v>0</v>
      </c>
      <c r="BT611" s="53" t="n">
        <v>611</v>
      </c>
      <c r="BU611" s="48" t="str">
        <f aca="false">IF(U611&lt;&gt;"",UPPER(TRIM(U611)),IF(BX611=1,UPPER(VLOOKUP(T611,Parameter!$I$27:$K$29,2,0)),IF(P611="","LOSE",P611)))</f>
        <v>S33</v>
      </c>
      <c r="BV611" s="50" t="n">
        <f aca="false">IF(BU611="LOSE",1,IF(N(V611)&gt;0,V611,IF(BX611=1,MAX(1,N(VLOOKUP(T611,Parameter!$I$27:$K$29,3,0)),H611,N(N611)),IF(N(Q611)&gt;0,Q611,MAX(1,H611)))))</f>
        <v>605</v>
      </c>
      <c r="BW611" s="53" t="n">
        <f aca="false">IF(BU611="LOSE",1,0)</f>
        <v>0</v>
      </c>
      <c r="BX611" s="53" t="n">
        <f aca="false">IF(AND(U611="",OR(P611="",P611="LOSE"),T611&lt;&gt;"",N(S611)&lt;=0,ISNUMBER(MATCH(T611,Parameter!$I$27:$I$29,0))),1,0)</f>
        <v>0</v>
      </c>
      <c r="BY611" s="53" t="n">
        <f aca="false">IF(CL611&gt;0,INDEX(Parameter!$H$5:$H$7,W611)/INDEX(Parameter!$E$5:$E$7,W611),IF(AND(BW611=0,N(IFERROR(VLOOKUP(BU611,'Gebinde-Kategorie'!$A$5:$N$45,14,0),0))&gt;0),VLOOKUP(BU611,'Gebinde-Kategorie'!$A$5:$N$45,14,0)*10+Parameter!$M$23,Parameter!$M$24))</f>
        <v>155</v>
      </c>
      <c r="BZ611" s="48" t="str">
        <f aca="false">IF(AND(Parameter!$B$19="Ja",E611&lt;&gt;"",ISNUMBER(MATCH(E611,Parameter!$I$35:$I$52,0))),VLOOKUP(E611,Parameter!$I$35:$J$52,2,0),IFERROR(VLOOKUP(D611,Parameter!$A$35:$C$64,2,0),"Nein"))</f>
        <v>2+3</v>
      </c>
      <c r="CA611" s="52" t="n">
        <f aca="false">IF(BW611=0,0,IF(N(S611)&gt;0,S611,IFERROR(VLOOKUP(D611,Parameter!$A$35:$C$64,3,0)+0,0)))</f>
        <v>0</v>
      </c>
      <c r="CB611" s="48" t="n">
        <f aca="false">IF(AA611&lt;&gt;"",AA611,Z611)</f>
        <v>3</v>
      </c>
      <c r="CC611" s="48" t="str">
        <f aca="false">IF(OR(CB611=1,CB611=2,CB611=3),IF(Parameter!$E$27="Ja","LIFT",IF(CB611=1,"L1","L23")),IF(CB611="Aussen","Aussen","-"))</f>
        <v>LIFT</v>
      </c>
      <c r="CD611" s="59" t="n">
        <f aca="false">IF(N(AB611)&gt;0,AB611,0)</f>
        <v>0</v>
      </c>
      <c r="CE611" s="53" t="n">
        <f aca="false">IF(ISNUMBER(AE611),1,0)</f>
        <v>0</v>
      </c>
      <c r="CF611" s="50" t="n">
        <f aca="false">N(AE611)</f>
        <v>0</v>
      </c>
      <c r="CG611" s="50" t="n">
        <f aca="false">N(M611)+N(N611)</f>
        <v>837</v>
      </c>
      <c r="CH611" s="50" t="n">
        <f aca="false">ROUNDUP(H611/BV611,0)</f>
        <v>1</v>
      </c>
      <c r="CI611" s="50" t="n">
        <f aca="false">ROUNDUP(CF611/BV611,0)</f>
        <v>0</v>
      </c>
      <c r="CJ611" s="53" t="n">
        <f aca="false">IF(BW611=1,0,IFERROR(VLOOKUP(BU611,'Gebinde-Kategorie'!$A$5:$N$45,5,0)+0,0))</f>
        <v>8</v>
      </c>
      <c r="CK611" s="53" t="n">
        <f aca="false">IFERROR(IF(OR(CB611=1,CB611=2,CB611=3),N(INDEX(Parameter!$I$5:$I$7,CB611)),0),0)</f>
        <v>0</v>
      </c>
      <c r="CL611" s="52" t="n">
        <f aca="false">IF(AND(Parameter!$B$21="Ja",ISNUMBER(W611),N(X611)&gt;0),IFERROR(N(INDEX(Parameter!$L$5:$L$7,W611))*INDEX(Parameter!$E$5:$E$7,W611)*X611/SUMIFS($X$7:$X$1843,$W$7:$W$1843,W611),0),0)</f>
        <v>0</v>
      </c>
    </row>
    <row r="612" customFormat="false" ht="15" hidden="false" customHeight="false" outlineLevel="0" collapsed="false">
      <c r="A612" s="48" t="s">
        <v>1265</v>
      </c>
      <c r="B612" s="48" t="s">
        <v>1266</v>
      </c>
      <c r="C612" s="48" t="s">
        <v>168</v>
      </c>
      <c r="D612" s="48" t="s">
        <v>188</v>
      </c>
      <c r="E612" s="48" t="s">
        <v>189</v>
      </c>
      <c r="F612" s="48" t="s">
        <v>222</v>
      </c>
      <c r="G612" s="49" t="n">
        <v>0.05</v>
      </c>
      <c r="H612" s="50" t="n">
        <f aca="false">MAX(0,IF(AND(Parameter!$B$21="Ja",ISNUMBER(Y612)),Y612,IF(Parameter!$B$20="Jahresanfang 2025 + Export",BO612+BN612,BN612)))</f>
        <v>100</v>
      </c>
      <c r="I612" s="50" t="n">
        <f aca="false">H612*G612</f>
        <v>5</v>
      </c>
      <c r="J612" s="50" t="n">
        <f aca="false">BQ612*Parameter!$B$18</f>
        <v>0</v>
      </c>
      <c r="K612" s="51" t="n">
        <v>52</v>
      </c>
      <c r="L612" s="52" t="n">
        <v>0</v>
      </c>
      <c r="M612" s="50" t="n">
        <v>0</v>
      </c>
      <c r="N612" s="50" t="n">
        <v>10</v>
      </c>
      <c r="O612" s="53" t="n">
        <v>14</v>
      </c>
      <c r="P612" s="48" t="s">
        <v>430</v>
      </c>
      <c r="Q612" s="50" t="n">
        <v>100</v>
      </c>
      <c r="R612" s="53" t="n">
        <f aca="false">IF(BW612=1,0,IFERROR(VLOOKUP(BU612,'Gebinde-Kategorie'!$A$5:$N$45,13,0)+0,0))</f>
        <v>140</v>
      </c>
      <c r="S612" s="54"/>
      <c r="T612" s="55"/>
      <c r="U612" s="55"/>
      <c r="V612" s="55"/>
      <c r="W612" s="48"/>
      <c r="X612" s="50"/>
      <c r="Y612" s="50"/>
      <c r="Z612" s="48" t="n">
        <f aca="false">IF(A612="","",IF(AND(Parameter!$B$21="Ja",ISNUMBER(W612)),W612,IF(BZ612="2+3",IF(ISNUMBER(SEARCH("grosser Artikel",BR612)),2,IFERROR(VLOOKUP(BU612,Parameter!$F$35:$G$64,2,0),2)),IF(OR(BZ612="Nein",BZ612=""),"-",BZ612))))</f>
        <v>3</v>
      </c>
      <c r="AA612" s="55"/>
      <c r="AB612" s="56"/>
      <c r="AC612" s="50" t="n">
        <f aca="false">AT612</f>
        <v>100</v>
      </c>
      <c r="AD612" s="50" t="n">
        <f aca="false">MAX(AT612,H612)</f>
        <v>100</v>
      </c>
      <c r="AE612" s="57"/>
      <c r="AF612" s="50" t="n">
        <f aca="false">IF(LEFT(Cockpit!$C$5,1)="A",H612,IF(CE612=1,CF612,IF(LEFT(Cockpit!$C$5,1)="B",AK612,MAX(AK612,H612))))</f>
        <v>100</v>
      </c>
      <c r="AG612" s="50" t="n">
        <f aca="false">IF(BW612=1,0,ROUNDUP(AF612/BV612,0))</f>
        <v>1</v>
      </c>
      <c r="AH612" s="52" t="n">
        <f aca="false">IF(CL612&gt;0,CL612*MAX(1,AF612/X612),IF(BW612=1,IF(AF612&lt;=0,0,CA612*MAX(1,IF(H612&gt;0,AF612/H612,1))),IF(R612&gt;0,AG612/R612,0))/MAX(0.1,N(Parameter!$M$21)))</f>
        <v>0.00714285714285714</v>
      </c>
      <c r="AI612" s="50" t="n">
        <f aca="false">AH612*BY612</f>
        <v>1.10714285714286</v>
      </c>
      <c r="AJ612" s="50" t="n">
        <f aca="false">AF612*G612</f>
        <v>5</v>
      </c>
      <c r="AK612" s="50" t="n">
        <f aca="false">ROUNDUP(MAX(J612/IF(CD612&gt;0,CD612,MAX(0.1,N(Cockpit!$C$6))),CG612)/BV612,0)*BV612</f>
        <v>100</v>
      </c>
      <c r="AL612" s="51" t="n">
        <f aca="false">IF(AI612&gt;0,J612/AI612,-1)</f>
        <v>0</v>
      </c>
      <c r="AM612" s="51" t="n">
        <f aca="false">IF(AND(OR(CC612="L1",CC612="L23",CC612="LIFT"),AI612&gt;0),SUMIFS($AI$7:$AI$1843,$CC$7:$CC$1843,CC612,$AL$7:$AL$1843,"&gt;"&amp;AL612)+SUMIFS($AI$7:$AI$1843,$CC$7:$CC$1843,CC612,$AL$7:$AL$1843,AL612,$BT$7:$BT$1843,"&lt;="&amp;BT612),"")</f>
        <v>28536.0729703442</v>
      </c>
      <c r="AN612" s="58" t="n">
        <f aca="false">IF(AM612="",0,MAX(0,MIN(1,(IF(CC612="L1",Parameter!$H$5,IF(CC612="L23",Parameter!$H$6+Parameter!$H$7,Parameter!$H$5+Parameter!$H$6+Parameter!$H$7))-(AM612-AI612))/AI612)))</f>
        <v>1</v>
      </c>
      <c r="AO612" s="50" t="n">
        <f aca="false">IF(LEFT(Cockpit!$I$5,1)="A",H612,IF(CE612=1,CF612,IF(LEFT(Cockpit!$I$5,1)="B",AT612,MAX(AT612,H612))))</f>
        <v>100</v>
      </c>
      <c r="AP612" s="50" t="n">
        <f aca="false">IF(BW612=1,0,ROUNDUP(AO612/BV612,0))</f>
        <v>1</v>
      </c>
      <c r="AQ612" s="52" t="n">
        <f aca="false">IF(CL612&gt;0,CL612*MAX(1,AO612/X612),IF(BW612=1,IF(AO612&lt;=0,0,CA612*MAX(1,IF(H612&gt;0,AO612/H612,1))),IF(R612&gt;0,AP612/R612,0))/MAX(0.1,N(Parameter!$M$21)))</f>
        <v>0.00714285714285714</v>
      </c>
      <c r="AR612" s="50" t="n">
        <f aca="false">AQ612*BY612</f>
        <v>1.10714285714286</v>
      </c>
      <c r="AS612" s="50" t="n">
        <f aca="false">AO612*G612</f>
        <v>5</v>
      </c>
      <c r="AT612" s="50" t="n">
        <f aca="false">ROUNDUP(MAX(J612/IF(CD612&gt;0,CD612,MAX(0.1,N(Cockpit!$I$6))),CG612)/BV612,0)*BV612</f>
        <v>100</v>
      </c>
      <c r="AU612" s="51" t="n">
        <f aca="false">IF(AR612&gt;0,J612/AR612,-1)</f>
        <v>0</v>
      </c>
      <c r="AV612" s="51" t="n">
        <f aca="false">IF(AND(OR(CC612="L1",CC612="L23",CC612="LIFT"),AR612&gt;0),SUMIFS($AR$7:$AR$1843,$CC$7:$CC$1843,CC612,$AU$7:$AU$1843,"&gt;"&amp;AU612)+SUMIFS($AR$7:$AR$1843,$CC$7:$CC$1843,CC612,$AU$7:$AU$1843,AU612,$BT$7:$BT$1843,"&lt;="&amp;BT612),"")</f>
        <v>39848.9784876141</v>
      </c>
      <c r="AW612" s="58" t="n">
        <f aca="false">IF(AV612="",0,MAX(0,MIN(1,(IF(CC612="L1",Parameter!$H$5,IF(CC612="L23",Parameter!$H$6+Parameter!$H$7,Parameter!$H$5+Parameter!$H$6+Parameter!$H$7))-(AV612-AR612))/AR612)))</f>
        <v>0</v>
      </c>
      <c r="AX612" s="50" t="n">
        <f aca="false">IF(LEFT(Cockpit!$O$5,1)="A",H612,IF(CE612=1,CF612,IF(LEFT(Cockpit!$O$5,1)="B",BC612,MAX(BC612,H612))))</f>
        <v>100</v>
      </c>
      <c r="AY612" s="50" t="n">
        <f aca="false">IF(BW612=1,0,ROUNDUP(AX612/BV612,0))</f>
        <v>1</v>
      </c>
      <c r="AZ612" s="52" t="n">
        <f aca="false">IF(CL612&gt;0,CL612*MAX(1,AX612/X612),IF(BW612=1,IF(AX612&lt;=0,0,CA612*MAX(1,IF(H612&gt;0,AX612/H612,1))),IF(R612&gt;0,AY612/R612,0))/MAX(0.1,N(Parameter!$M$21)))</f>
        <v>0.00714285714285714</v>
      </c>
      <c r="BA612" s="50" t="n">
        <f aca="false">AZ612*BY612</f>
        <v>1.10714285714286</v>
      </c>
      <c r="BB612" s="50" t="n">
        <f aca="false">AX612*G612</f>
        <v>5</v>
      </c>
      <c r="BC612" s="50" t="n">
        <f aca="false">ROUNDUP(MAX(J612/IF(CD612&gt;0,CD612,MAX(0.1,N(Cockpit!$O$6))),CG612)/BV612,0)*BV612</f>
        <v>100</v>
      </c>
      <c r="BD612" s="51" t="n">
        <f aca="false">IF(BA612&gt;0,J612/BA612,-1)</f>
        <v>0</v>
      </c>
      <c r="BE612" s="51" t="n">
        <f aca="false">IF(AND(OR(CC612="L1",CC612="L23",CC612="LIFT"),BA612&gt;0),SUMIFS($BA$7:$BA$1843,$CC$7:$CC$1843,CC612,$BD$7:$BD$1843,"&gt;"&amp;BD612)+SUMIFS($BA$7:$BA$1843,$CC$7:$CC$1843,CC612,$BD$7:$BD$1843,BD612,$BT$7:$BT$1843,"&lt;="&amp;BT612),"")</f>
        <v>36523.9905294799</v>
      </c>
      <c r="BF612" s="58" t="n">
        <f aca="false">IF(BE612="",0,MAX(0,MIN(1,(IF(CC612="L1",Parameter!$H$5,IF(CC612="L23",Parameter!$H$6+Parameter!$H$7,Parameter!$H$5+Parameter!$H$6+Parameter!$H$7))-(BE612-BA612))/BA612)))</f>
        <v>0</v>
      </c>
      <c r="BG612" s="48" t="str">
        <f aca="false">IF(AI612&lt;=0,"",IF(CC612="Aussen","Aussenlager",IF(CC612="-","Nicht im Lift",IF(AN612&gt;=1,"Lift",IF(AN612&lt;=0,"Aussenlager","teilweise")))))</f>
        <v>Lift</v>
      </c>
      <c r="BH612" s="48" t="str">
        <f aca="false">IF(AR612&lt;=0,"",IF(CC612="Aussen","Aussenlager",IF(CC612="-","Nicht im Lift",IF(AW612&gt;=1,"Lift",IF(AW612&lt;=0,"Aussenlager","teilweise")))))</f>
        <v>Aussenlager</v>
      </c>
      <c r="BI612" s="48" t="str">
        <f aca="false">IF(BA612&lt;=0,"",IF(CC612="Aussen","Aussenlager",IF(CC612="-","Nicht im Lift",IF(BF612&gt;=1,"Lift",IF(BF612&lt;=0,"Aussenlager","teilweise")))))</f>
        <v>Aussenlager</v>
      </c>
      <c r="BJ612" s="48" t="str">
        <f aca="false">IF(A612="","",IF(BS612=1,"Neu; ","")&amp;IF(AND(BS612=0,BN612&lt;0),"negativer Bestand (Export "&amp;BN612&amp;"); ","")&amp;IF(J612&lt;=0,"Kein Verbrauch; ","")&amp;IF(CL612&gt;0,"Lift "&amp;W612&amp;" lt. Liftbericht (Fach "&amp;X612&amp;" Stk); ",IF(BX612=1,"Gebinde geschätzt ("&amp;T612&amp;"); ",IF(BW612=1,"Lose – Tablare geschätzt; ","")))&amp;IF(H612&gt;AT612,"Überbestand "&amp;ROUND(H612-AT612,0)&amp;" Stk / CHF "&amp;ROUND((H612-AT612)*G612,0)&amp;"; ","")&amp;IF(AND(CE612=1,CF612&lt;CG612),"MAX &lt; MB+LG; ","")&amp;IF(AND(CK612&gt;0,CJ612*10&gt;CK612),"zu hoch für Tablar; ","")&amp;IF(AND(BS612=0,OR(CE612=1,AA612&lt;&gt;"",U612&lt;&gt;"",V612&lt;&gt;"",AB612&lt;&gt;"")),"manuell übersteuert; ","")&amp;IF(AND(BW612=0,R612=0),"Gebinde unbekannt / Stellmass fehlt; ","")&amp;IF(AND(BW612=0,N(V612)&lt;=0,N(Q612)&lt;=0),"Menge pro Gebinde fehlt (Ist = 1 Gebinde); ","")&amp;BR612)</f>
        <v>Kein Verbrauch; </v>
      </c>
      <c r="BK612" s="48"/>
      <c r="BL612" s="48"/>
      <c r="BM612" s="55"/>
      <c r="BN612" s="50" t="n">
        <v>96</v>
      </c>
      <c r="BO612" s="50" t="n">
        <v>4</v>
      </c>
      <c r="BP612" s="49" t="n">
        <v>4.8</v>
      </c>
      <c r="BQ612" s="50" t="n">
        <v>0</v>
      </c>
      <c r="BR612" s="48"/>
      <c r="BS612" s="53" t="n">
        <v>0</v>
      </c>
      <c r="BT612" s="53" t="n">
        <v>612</v>
      </c>
      <c r="BU612" s="48" t="str">
        <f aca="false">IF(U612&lt;&gt;"",UPPER(TRIM(U612)),IF(BX612=1,UPPER(VLOOKUP(T612,Parameter!$I$27:$K$29,2,0)),IF(P612="","LOSE",P612)))</f>
        <v>S22</v>
      </c>
      <c r="BV612" s="50" t="n">
        <f aca="false">IF(BU612="LOSE",1,IF(N(V612)&gt;0,V612,IF(BX612=1,MAX(1,N(VLOOKUP(T612,Parameter!$I$27:$K$29,3,0)),H612,N(N612)),IF(N(Q612)&gt;0,Q612,MAX(1,H612)))))</f>
        <v>100</v>
      </c>
      <c r="BW612" s="53" t="n">
        <f aca="false">IF(BU612="LOSE",1,0)</f>
        <v>0</v>
      </c>
      <c r="BX612" s="53" t="n">
        <f aca="false">IF(AND(U612="",OR(P612="",P612="LOSE"),T612&lt;&gt;"",N(S612)&lt;=0,ISNUMBER(MATCH(T612,Parameter!$I$27:$I$29,0))),1,0)</f>
        <v>0</v>
      </c>
      <c r="BY612" s="53" t="n">
        <f aca="false">IF(CL612&gt;0,INDEX(Parameter!$H$5:$H$7,W612)/INDEX(Parameter!$E$5:$E$7,W612),IF(AND(BW612=0,N(IFERROR(VLOOKUP(BU612,'Gebinde-Kategorie'!$A$5:$N$45,14,0),0))&gt;0),VLOOKUP(BU612,'Gebinde-Kategorie'!$A$5:$N$45,14,0)*10+Parameter!$M$23,Parameter!$M$24))</f>
        <v>155</v>
      </c>
      <c r="BZ612" s="48" t="str">
        <f aca="false">IF(AND(Parameter!$B$19="Ja",E612&lt;&gt;"",ISNUMBER(MATCH(E612,Parameter!$I$35:$I$52,0))),VLOOKUP(E612,Parameter!$I$35:$J$52,2,0),IFERROR(VLOOKUP(D612,Parameter!$A$35:$C$64,2,0),"Nein"))</f>
        <v>2+3</v>
      </c>
      <c r="CA612" s="52" t="n">
        <f aca="false">IF(BW612=0,0,IF(N(S612)&gt;0,S612,IFERROR(VLOOKUP(D612,Parameter!$A$35:$C$64,3,0)+0,0)))</f>
        <v>0</v>
      </c>
      <c r="CB612" s="48" t="n">
        <f aca="false">IF(AA612&lt;&gt;"",AA612,Z612)</f>
        <v>3</v>
      </c>
      <c r="CC612" s="48" t="str">
        <f aca="false">IF(OR(CB612=1,CB612=2,CB612=3),IF(Parameter!$E$27="Ja","LIFT",IF(CB612=1,"L1","L23")),IF(CB612="Aussen","Aussen","-"))</f>
        <v>LIFT</v>
      </c>
      <c r="CD612" s="59" t="n">
        <f aca="false">IF(N(AB612)&gt;0,AB612,0)</f>
        <v>0</v>
      </c>
      <c r="CE612" s="53" t="n">
        <f aca="false">IF(ISNUMBER(AE612),1,0)</f>
        <v>0</v>
      </c>
      <c r="CF612" s="50" t="n">
        <f aca="false">N(AE612)</f>
        <v>0</v>
      </c>
      <c r="CG612" s="50" t="n">
        <f aca="false">N(M612)+N(N612)</f>
        <v>10</v>
      </c>
      <c r="CH612" s="50" t="n">
        <f aca="false">ROUNDUP(H612/BV612,0)</f>
        <v>1</v>
      </c>
      <c r="CI612" s="50" t="n">
        <f aca="false">ROUNDUP(CF612/BV612,0)</f>
        <v>0</v>
      </c>
      <c r="CJ612" s="53" t="n">
        <f aca="false">IF(BW612=1,0,IFERROR(VLOOKUP(BU612,'Gebinde-Kategorie'!$A$5:$N$45,5,0)+0,0))</f>
        <v>8</v>
      </c>
      <c r="CK612" s="53" t="n">
        <f aca="false">IFERROR(IF(OR(CB612=1,CB612=2,CB612=3),N(INDEX(Parameter!$I$5:$I$7,CB612)),0),0)</f>
        <v>0</v>
      </c>
      <c r="CL612" s="52" t="n">
        <f aca="false">IF(AND(Parameter!$B$21="Ja",ISNUMBER(W612),N(X612)&gt;0),IFERROR(N(INDEX(Parameter!$L$5:$L$7,W612))*INDEX(Parameter!$E$5:$E$7,W612)*X612/SUMIFS($X$7:$X$1843,$W$7:$W$1843,W612),0),0)</f>
        <v>0</v>
      </c>
    </row>
    <row r="613" customFormat="false" ht="15" hidden="false" customHeight="false" outlineLevel="0" collapsed="false">
      <c r="A613" s="48" t="s">
        <v>1267</v>
      </c>
      <c r="B613" s="48" t="s">
        <v>1268</v>
      </c>
      <c r="C613" s="48" t="s">
        <v>168</v>
      </c>
      <c r="D613" s="48" t="s">
        <v>188</v>
      </c>
      <c r="E613" s="48"/>
      <c r="F613" s="48" t="s">
        <v>222</v>
      </c>
      <c r="G613" s="49" t="n">
        <v>2.38</v>
      </c>
      <c r="H613" s="50" t="n">
        <f aca="false">MAX(0,IF(AND(Parameter!$B$21="Ja",ISNUMBER(Y613)),Y613,IF(Parameter!$B$20="Jahresanfang 2025 + Export",BO613+BN613,BN613)))</f>
        <v>110</v>
      </c>
      <c r="I613" s="50" t="n">
        <f aca="false">H613*G613</f>
        <v>261.8</v>
      </c>
      <c r="J613" s="50" t="n">
        <f aca="false">BQ613*Parameter!$B$18</f>
        <v>0</v>
      </c>
      <c r="K613" s="51" t="n">
        <v>109</v>
      </c>
      <c r="L613" s="52" t="n">
        <v>0</v>
      </c>
      <c r="M613" s="50" t="n">
        <v>0</v>
      </c>
      <c r="N613" s="50" t="n">
        <v>50</v>
      </c>
      <c r="O613" s="53" t="n">
        <v>28</v>
      </c>
      <c r="P613" s="48" t="s">
        <v>480</v>
      </c>
      <c r="Q613" s="50" t="n">
        <v>110</v>
      </c>
      <c r="R613" s="53" t="n">
        <f aca="false">IF(BW613=1,0,IFERROR(VLOOKUP(BU613,'Gebinde-Kategorie'!$A$5:$N$45,13,0)+0,0))</f>
        <v>52</v>
      </c>
      <c r="S613" s="54"/>
      <c r="T613" s="55"/>
      <c r="U613" s="55"/>
      <c r="V613" s="55"/>
      <c r="W613" s="48"/>
      <c r="X613" s="50"/>
      <c r="Y613" s="50"/>
      <c r="Z613" s="48" t="n">
        <f aca="false">IF(A613="","",IF(AND(Parameter!$B$21="Ja",ISNUMBER(W613)),W613,IF(BZ613="2+3",IF(ISNUMBER(SEARCH("grosser Artikel",BR613)),2,IFERROR(VLOOKUP(BU613,Parameter!$F$35:$G$64,2,0),2)),IF(OR(BZ613="Nein",BZ613=""),"-",BZ613))))</f>
        <v>3</v>
      </c>
      <c r="AA613" s="55"/>
      <c r="AB613" s="56"/>
      <c r="AC613" s="50" t="n">
        <f aca="false">AT613</f>
        <v>110</v>
      </c>
      <c r="AD613" s="50" t="n">
        <f aca="false">MAX(AT613,H613)</f>
        <v>110</v>
      </c>
      <c r="AE613" s="57"/>
      <c r="AF613" s="50" t="n">
        <f aca="false">IF(LEFT(Cockpit!$C$5,1)="A",H613,IF(CE613=1,CF613,IF(LEFT(Cockpit!$C$5,1)="B",AK613,MAX(AK613,H613))))</f>
        <v>110</v>
      </c>
      <c r="AG613" s="50" t="n">
        <f aca="false">IF(BW613=1,0,ROUNDUP(AF613/BV613,0))</f>
        <v>1</v>
      </c>
      <c r="AH613" s="52" t="n">
        <f aca="false">IF(CL613&gt;0,CL613*MAX(1,AF613/X613),IF(BW613=1,IF(AF613&lt;=0,0,CA613*MAX(1,IF(H613&gt;0,AF613/H613,1))),IF(R613&gt;0,AG613/R613,0))/MAX(0.1,N(Parameter!$M$21)))</f>
        <v>0.0192307692307692</v>
      </c>
      <c r="AI613" s="50" t="n">
        <f aca="false">AH613*BY613</f>
        <v>2.98076923076923</v>
      </c>
      <c r="AJ613" s="50" t="n">
        <f aca="false">AF613*G613</f>
        <v>261.8</v>
      </c>
      <c r="AK613" s="50" t="n">
        <f aca="false">ROUNDUP(MAX(J613/IF(CD613&gt;0,CD613,MAX(0.1,N(Cockpit!$C$6))),CG613)/BV613,0)*BV613</f>
        <v>110</v>
      </c>
      <c r="AL613" s="51" t="n">
        <f aca="false">IF(AI613&gt;0,J613/AI613,-1)</f>
        <v>0</v>
      </c>
      <c r="AM613" s="51" t="n">
        <f aca="false">IF(AND(OR(CC613="L1",CC613="L23",CC613="LIFT"),AI613&gt;0),SUMIFS($AI$7:$AI$1843,$CC$7:$CC$1843,CC613,$AL$7:$AL$1843,"&gt;"&amp;AL613)+SUMIFS($AI$7:$AI$1843,$CC$7:$CC$1843,CC613,$AL$7:$AL$1843,AL613,$BT$7:$BT$1843,"&lt;="&amp;BT613),"")</f>
        <v>28539.0537395749</v>
      </c>
      <c r="AN613" s="58" t="n">
        <f aca="false">IF(AM613="",0,MAX(0,MIN(1,(IF(CC613="L1",Parameter!$H$5,IF(CC613="L23",Parameter!$H$6+Parameter!$H$7,Parameter!$H$5+Parameter!$H$6+Parameter!$H$7))-(AM613-AI613))/AI613)))</f>
        <v>1</v>
      </c>
      <c r="AO613" s="50" t="n">
        <f aca="false">IF(LEFT(Cockpit!$I$5,1)="A",H613,IF(CE613=1,CF613,IF(LEFT(Cockpit!$I$5,1)="B",AT613,MAX(AT613,H613))))</f>
        <v>110</v>
      </c>
      <c r="AP613" s="50" t="n">
        <f aca="false">IF(BW613=1,0,ROUNDUP(AO613/BV613,0))</f>
        <v>1</v>
      </c>
      <c r="AQ613" s="52" t="n">
        <f aca="false">IF(CL613&gt;0,CL613*MAX(1,AO613/X613),IF(BW613=1,IF(AO613&lt;=0,0,CA613*MAX(1,IF(H613&gt;0,AO613/H613,1))),IF(R613&gt;0,AP613/R613,0))/MAX(0.1,N(Parameter!$M$21)))</f>
        <v>0.0192307692307692</v>
      </c>
      <c r="AR613" s="50" t="n">
        <f aca="false">AQ613*BY613</f>
        <v>2.98076923076923</v>
      </c>
      <c r="AS613" s="50" t="n">
        <f aca="false">AO613*G613</f>
        <v>261.8</v>
      </c>
      <c r="AT613" s="50" t="n">
        <f aca="false">ROUNDUP(MAX(J613/IF(CD613&gt;0,CD613,MAX(0.1,N(Cockpit!$I$6))),CG613)/BV613,0)*BV613</f>
        <v>110</v>
      </c>
      <c r="AU613" s="51" t="n">
        <f aca="false">IF(AR613&gt;0,J613/AR613,-1)</f>
        <v>0</v>
      </c>
      <c r="AV613" s="51" t="n">
        <f aca="false">IF(AND(OR(CC613="L1",CC613="L23",CC613="LIFT"),AR613&gt;0),SUMIFS($AR$7:$AR$1843,$CC$7:$CC$1843,CC613,$AU$7:$AU$1843,"&gt;"&amp;AU613)+SUMIFS($AR$7:$AR$1843,$CC$7:$CC$1843,CC613,$AU$7:$AU$1843,AU613,$BT$7:$BT$1843,"&lt;="&amp;BT613),"")</f>
        <v>39851.9592568449</v>
      </c>
      <c r="AW613" s="58" t="n">
        <f aca="false">IF(AV613="",0,MAX(0,MIN(1,(IF(CC613="L1",Parameter!$H$5,IF(CC613="L23",Parameter!$H$6+Parameter!$H$7,Parameter!$H$5+Parameter!$H$6+Parameter!$H$7))-(AV613-AR613))/AR613)))</f>
        <v>0</v>
      </c>
      <c r="AX613" s="50" t="n">
        <f aca="false">IF(LEFT(Cockpit!$O$5,1)="A",H613,IF(CE613=1,CF613,IF(LEFT(Cockpit!$O$5,1)="B",BC613,MAX(BC613,H613))))</f>
        <v>110</v>
      </c>
      <c r="AY613" s="50" t="n">
        <f aca="false">IF(BW613=1,0,ROUNDUP(AX613/BV613,0))</f>
        <v>1</v>
      </c>
      <c r="AZ613" s="52" t="n">
        <f aca="false">IF(CL613&gt;0,CL613*MAX(1,AX613/X613),IF(BW613=1,IF(AX613&lt;=0,0,CA613*MAX(1,IF(H613&gt;0,AX613/H613,1))),IF(R613&gt;0,AY613/R613,0))/MAX(0.1,N(Parameter!$M$21)))</f>
        <v>0.0192307692307692</v>
      </c>
      <c r="BA613" s="50" t="n">
        <f aca="false">AZ613*BY613</f>
        <v>2.98076923076923</v>
      </c>
      <c r="BB613" s="50" t="n">
        <f aca="false">AX613*G613</f>
        <v>261.8</v>
      </c>
      <c r="BC613" s="50" t="n">
        <f aca="false">ROUNDUP(MAX(J613/IF(CD613&gt;0,CD613,MAX(0.1,N(Cockpit!$O$6))),CG613)/BV613,0)*BV613</f>
        <v>110</v>
      </c>
      <c r="BD613" s="51" t="n">
        <f aca="false">IF(BA613&gt;0,J613/BA613,-1)</f>
        <v>0</v>
      </c>
      <c r="BE613" s="51" t="n">
        <f aca="false">IF(AND(OR(CC613="L1",CC613="L23",CC613="LIFT"),BA613&gt;0),SUMIFS($BA$7:$BA$1843,$CC$7:$CC$1843,CC613,$BD$7:$BD$1843,"&gt;"&amp;BD613)+SUMIFS($BA$7:$BA$1843,$CC$7:$CC$1843,CC613,$BD$7:$BD$1843,BD613,$BT$7:$BT$1843,"&lt;="&amp;BT613),"")</f>
        <v>36526.9712987107</v>
      </c>
      <c r="BF613" s="58" t="n">
        <f aca="false">IF(BE613="",0,MAX(0,MIN(1,(IF(CC613="L1",Parameter!$H$5,IF(CC613="L23",Parameter!$H$6+Parameter!$H$7,Parameter!$H$5+Parameter!$H$6+Parameter!$H$7))-(BE613-BA613))/BA613)))</f>
        <v>0</v>
      </c>
      <c r="BG613" s="48" t="str">
        <f aca="false">IF(AI613&lt;=0,"",IF(CC613="Aussen","Aussenlager",IF(CC613="-","Nicht im Lift",IF(AN613&gt;=1,"Lift",IF(AN613&lt;=0,"Aussenlager","teilweise")))))</f>
        <v>Lift</v>
      </c>
      <c r="BH613" s="48" t="str">
        <f aca="false">IF(AR613&lt;=0,"",IF(CC613="Aussen","Aussenlager",IF(CC613="-","Nicht im Lift",IF(AW613&gt;=1,"Lift",IF(AW613&lt;=0,"Aussenlager","teilweise")))))</f>
        <v>Aussenlager</v>
      </c>
      <c r="BI613" s="48" t="str">
        <f aca="false">IF(BA613&lt;=0,"",IF(CC613="Aussen","Aussenlager",IF(CC613="-","Nicht im Lift",IF(BF613&gt;=1,"Lift",IF(BF613&lt;=0,"Aussenlager","teilweise")))))</f>
        <v>Aussenlager</v>
      </c>
      <c r="BJ613" s="48" t="str">
        <f aca="false">IF(A613="","",IF(BS613=1,"Neu; ","")&amp;IF(AND(BS613=0,BN613&lt;0),"negativer Bestand (Export "&amp;BN613&amp;"); ","")&amp;IF(J613&lt;=0,"Kein Verbrauch; ","")&amp;IF(CL613&gt;0,"Lift "&amp;W613&amp;" lt. Liftbericht (Fach "&amp;X613&amp;" Stk); ",IF(BX613=1,"Gebinde geschätzt ("&amp;T613&amp;"); ",IF(BW613=1,"Lose – Tablare geschätzt; ","")))&amp;IF(H613&gt;AT613,"Überbestand "&amp;ROUND(H613-AT613,0)&amp;" Stk / CHF "&amp;ROUND((H613-AT613)*G613,0)&amp;"; ","")&amp;IF(AND(CE613=1,CF613&lt;CG613),"MAX &lt; MB+LG; ","")&amp;IF(AND(CK613&gt;0,CJ613*10&gt;CK613),"zu hoch für Tablar; ","")&amp;IF(AND(BS613=0,OR(CE613=1,AA613&lt;&gt;"",U613&lt;&gt;"",V613&lt;&gt;"",AB613&lt;&gt;"")),"manuell übersteuert; ","")&amp;IF(AND(BW613=0,R613=0),"Gebinde unbekannt / Stellmass fehlt; ","")&amp;IF(AND(BW613=0,N(V613)&lt;=0,N(Q613)&lt;=0),"Menge pro Gebinde fehlt (Ist = 1 Gebinde); ","")&amp;BR613)</f>
        <v>Kein Verbrauch; </v>
      </c>
      <c r="BK613" s="48"/>
      <c r="BL613" s="48"/>
      <c r="BM613" s="55"/>
      <c r="BN613" s="50" t="n">
        <v>2</v>
      </c>
      <c r="BO613" s="50" t="n">
        <v>108</v>
      </c>
      <c r="BP613" s="49" t="n">
        <v>4.76</v>
      </c>
      <c r="BQ613" s="50" t="n">
        <v>0</v>
      </c>
      <c r="BR613" s="48"/>
      <c r="BS613" s="53" t="n">
        <v>0</v>
      </c>
      <c r="BT613" s="53" t="n">
        <v>613</v>
      </c>
      <c r="BU613" s="48" t="str">
        <f aca="false">IF(U613&lt;&gt;"",UPPER(TRIM(U613)),IF(BX613=1,UPPER(VLOOKUP(T613,Parameter!$I$27:$K$29,2,0)),IF(P613="","LOSE",P613)))</f>
        <v>S33</v>
      </c>
      <c r="BV613" s="50" t="n">
        <f aca="false">IF(BU613="LOSE",1,IF(N(V613)&gt;0,V613,IF(BX613=1,MAX(1,N(VLOOKUP(T613,Parameter!$I$27:$K$29,3,0)),H613,N(N613)),IF(N(Q613)&gt;0,Q613,MAX(1,H613)))))</f>
        <v>110</v>
      </c>
      <c r="BW613" s="53" t="n">
        <f aca="false">IF(BU613="LOSE",1,0)</f>
        <v>0</v>
      </c>
      <c r="BX613" s="53" t="n">
        <f aca="false">IF(AND(U613="",OR(P613="",P613="LOSE"),T613&lt;&gt;"",N(S613)&lt;=0,ISNUMBER(MATCH(T613,Parameter!$I$27:$I$29,0))),1,0)</f>
        <v>0</v>
      </c>
      <c r="BY613" s="53" t="n">
        <f aca="false">IF(CL613&gt;0,INDEX(Parameter!$H$5:$H$7,W613)/INDEX(Parameter!$E$5:$E$7,W613),IF(AND(BW613=0,N(IFERROR(VLOOKUP(BU613,'Gebinde-Kategorie'!$A$5:$N$45,14,0),0))&gt;0),VLOOKUP(BU613,'Gebinde-Kategorie'!$A$5:$N$45,14,0)*10+Parameter!$M$23,Parameter!$M$24))</f>
        <v>155</v>
      </c>
      <c r="BZ613" s="48" t="str">
        <f aca="false">IF(AND(Parameter!$B$19="Ja",E613&lt;&gt;"",ISNUMBER(MATCH(E613,Parameter!$I$35:$I$52,0))),VLOOKUP(E613,Parameter!$I$35:$J$52,2,0),IFERROR(VLOOKUP(D613,Parameter!$A$35:$C$64,2,0),"Nein"))</f>
        <v>2+3</v>
      </c>
      <c r="CA613" s="52" t="n">
        <f aca="false">IF(BW613=0,0,IF(N(S613)&gt;0,S613,IFERROR(VLOOKUP(D613,Parameter!$A$35:$C$64,3,0)+0,0)))</f>
        <v>0</v>
      </c>
      <c r="CB613" s="48" t="n">
        <f aca="false">IF(AA613&lt;&gt;"",AA613,Z613)</f>
        <v>3</v>
      </c>
      <c r="CC613" s="48" t="str">
        <f aca="false">IF(OR(CB613=1,CB613=2,CB613=3),IF(Parameter!$E$27="Ja","LIFT",IF(CB613=1,"L1","L23")),IF(CB613="Aussen","Aussen","-"))</f>
        <v>LIFT</v>
      </c>
      <c r="CD613" s="59" t="n">
        <f aca="false">IF(N(AB613)&gt;0,AB613,0)</f>
        <v>0</v>
      </c>
      <c r="CE613" s="53" t="n">
        <f aca="false">IF(ISNUMBER(AE613),1,0)</f>
        <v>0</v>
      </c>
      <c r="CF613" s="50" t="n">
        <f aca="false">N(AE613)</f>
        <v>0</v>
      </c>
      <c r="CG613" s="50" t="n">
        <f aca="false">N(M613)+N(N613)</f>
        <v>50</v>
      </c>
      <c r="CH613" s="50" t="n">
        <f aca="false">ROUNDUP(H613/BV613,0)</f>
        <v>1</v>
      </c>
      <c r="CI613" s="50" t="n">
        <f aca="false">ROUNDUP(CF613/BV613,0)</f>
        <v>0</v>
      </c>
      <c r="CJ613" s="53" t="n">
        <f aca="false">IF(BW613=1,0,IFERROR(VLOOKUP(BU613,'Gebinde-Kategorie'!$A$5:$N$45,5,0)+0,0))</f>
        <v>8</v>
      </c>
      <c r="CK613" s="53" t="n">
        <f aca="false">IFERROR(IF(OR(CB613=1,CB613=2,CB613=3),N(INDEX(Parameter!$I$5:$I$7,CB613)),0),0)</f>
        <v>0</v>
      </c>
      <c r="CL613" s="52" t="n">
        <f aca="false">IF(AND(Parameter!$B$21="Ja",ISNUMBER(W613),N(X613)&gt;0),IFERROR(N(INDEX(Parameter!$L$5:$L$7,W613))*INDEX(Parameter!$E$5:$E$7,W613)*X613/SUMIFS($X$7:$X$1843,$W$7:$W$1843,W613),0),0)</f>
        <v>0</v>
      </c>
    </row>
    <row r="614" customFormat="false" ht="15" hidden="false" customHeight="false" outlineLevel="0" collapsed="false">
      <c r="A614" s="48" t="s">
        <v>1269</v>
      </c>
      <c r="B614" s="48" t="s">
        <v>1270</v>
      </c>
      <c r="C614" s="48" t="s">
        <v>168</v>
      </c>
      <c r="D614" s="48" t="s">
        <v>999</v>
      </c>
      <c r="E614" s="48"/>
      <c r="F614" s="48" t="s">
        <v>222</v>
      </c>
      <c r="G614" s="49" t="n">
        <v>0.29</v>
      </c>
      <c r="H614" s="50" t="n">
        <f aca="false">MAX(0,IF(AND(Parameter!$B$21="Ja",ISNUMBER(Y614)),Y614,IF(Parameter!$B$20="Jahresanfang 2025 + Export",BO614+BN614,BN614)))</f>
        <v>16</v>
      </c>
      <c r="I614" s="50" t="n">
        <f aca="false">H614*G614</f>
        <v>4.64</v>
      </c>
      <c r="J614" s="50" t="n">
        <f aca="false">BQ614*Parameter!$B$18</f>
        <v>34</v>
      </c>
      <c r="K614" s="51" t="n">
        <v>8</v>
      </c>
      <c r="L614" s="52" t="n">
        <v>4.25</v>
      </c>
      <c r="M614" s="50" t="n">
        <v>0</v>
      </c>
      <c r="N614" s="50" t="n">
        <v>50</v>
      </c>
      <c r="O614" s="53" t="n">
        <v>21</v>
      </c>
      <c r="P614" s="48" t="s">
        <v>172</v>
      </c>
      <c r="Q614" s="50"/>
      <c r="R614" s="53" t="n">
        <f aca="false">IF(BW614=1,0,IFERROR(VLOOKUP(BU614,'Gebinde-Kategorie'!$A$5:$N$45,13,0)+0,0))</f>
        <v>0</v>
      </c>
      <c r="S614" s="54"/>
      <c r="T614" s="55"/>
      <c r="U614" s="55"/>
      <c r="V614" s="55"/>
      <c r="W614" s="48"/>
      <c r="X614" s="50"/>
      <c r="Y614" s="50"/>
      <c r="Z614" s="48" t="str">
        <f aca="false">IF(A614="","",IF(AND(Parameter!$B$21="Ja",ISNUMBER(W614)),W614,IF(BZ614="2+3",IF(ISNUMBER(SEARCH("grosser Artikel",BR614)),2,IFERROR(VLOOKUP(BU614,Parameter!$F$35:$G$64,2,0),2)),IF(OR(BZ614="Nein",BZ614=""),"-",BZ614))))</f>
        <v>-</v>
      </c>
      <c r="AA614" s="55"/>
      <c r="AB614" s="56"/>
      <c r="AC614" s="50" t="n">
        <f aca="false">AT614</f>
        <v>50</v>
      </c>
      <c r="AD614" s="50" t="n">
        <f aca="false">MAX(AT614,H614)</f>
        <v>50</v>
      </c>
      <c r="AE614" s="57"/>
      <c r="AF614" s="50" t="n">
        <f aca="false">IF(LEFT(Cockpit!$C$5,1)="A",H614,IF(CE614=1,CF614,IF(LEFT(Cockpit!$C$5,1)="B",AK614,MAX(AK614,H614))))</f>
        <v>16</v>
      </c>
      <c r="AG614" s="50" t="n">
        <f aca="false">IF(BW614=1,0,ROUNDUP(AF614/BV614,0))</f>
        <v>0</v>
      </c>
      <c r="AH614" s="52" t="n">
        <f aca="false">IF(CL614&gt;0,CL614*MAX(1,AF614/X614),IF(BW614=1,IF(AF614&lt;=0,0,CA614*MAX(1,IF(H614&gt;0,AF614/H614,1))),IF(R614&gt;0,AG614/R614,0))/MAX(0.1,N(Parameter!$M$21)))</f>
        <v>0.15</v>
      </c>
      <c r="AI614" s="50" t="n">
        <f aca="false">AH614*BY614</f>
        <v>35.25</v>
      </c>
      <c r="AJ614" s="50" t="n">
        <f aca="false">AF614*G614</f>
        <v>4.64</v>
      </c>
      <c r="AK614" s="50" t="n">
        <f aca="false">ROUNDUP(MAX(J614/IF(CD614&gt;0,CD614,MAX(0.1,N(Cockpit!$C$6))),CG614)/BV614,0)*BV614</f>
        <v>50</v>
      </c>
      <c r="AL614" s="51" t="n">
        <f aca="false">IF(AI614&gt;0,J614/AI614,-1)</f>
        <v>0.964539007092199</v>
      </c>
      <c r="AM614" s="51" t="str">
        <f aca="false">IF(AND(OR(CC614="L1",CC614="L23",CC614="LIFT"),AI614&gt;0),SUMIFS($AI$7:$AI$1843,$CC$7:$CC$1843,CC614,$AL$7:$AL$1843,"&gt;"&amp;AL614)+SUMIFS($AI$7:$AI$1843,$CC$7:$CC$1843,CC614,$AL$7:$AL$1843,AL614,$BT$7:$BT$1843,"&lt;="&amp;BT614),"")</f>
        <v/>
      </c>
      <c r="AN614" s="58" t="n">
        <f aca="false">IF(AM614="",0,MAX(0,MIN(1,(IF(CC614="L1",Parameter!$H$5,IF(CC614="L23",Parameter!$H$6+Parameter!$H$7,Parameter!$H$5+Parameter!$H$6+Parameter!$H$7))-(AM614-AI614))/AI614)))</f>
        <v>0</v>
      </c>
      <c r="AO614" s="50" t="n">
        <f aca="false">IF(LEFT(Cockpit!$I$5,1)="A",H614,IF(CE614=1,CF614,IF(LEFT(Cockpit!$I$5,1)="B",AT614,MAX(AT614,H614))))</f>
        <v>50</v>
      </c>
      <c r="AP614" s="50" t="n">
        <f aca="false">IF(BW614=1,0,ROUNDUP(AO614/BV614,0))</f>
        <v>0</v>
      </c>
      <c r="AQ614" s="52" t="n">
        <f aca="false">IF(CL614&gt;0,CL614*MAX(1,AO614/X614),IF(BW614=1,IF(AO614&lt;=0,0,CA614*MAX(1,IF(H614&gt;0,AO614/H614,1))),IF(R614&gt;0,AP614/R614,0))/MAX(0.1,N(Parameter!$M$21)))</f>
        <v>0.46875</v>
      </c>
      <c r="AR614" s="50" t="n">
        <f aca="false">AQ614*BY614</f>
        <v>110.15625</v>
      </c>
      <c r="AS614" s="50" t="n">
        <f aca="false">AO614*G614</f>
        <v>14.5</v>
      </c>
      <c r="AT614" s="50" t="n">
        <f aca="false">ROUNDUP(MAX(J614/IF(CD614&gt;0,CD614,MAX(0.1,N(Cockpit!$I$6))),CG614)/BV614,0)*BV614</f>
        <v>50</v>
      </c>
      <c r="AU614" s="51" t="n">
        <f aca="false">IF(AR614&gt;0,J614/AR614,-1)</f>
        <v>0.308652482269504</v>
      </c>
      <c r="AV614" s="51" t="str">
        <f aca="false">IF(AND(OR(CC614="L1",CC614="L23",CC614="LIFT"),AR614&gt;0),SUMIFS($AR$7:$AR$1843,$CC$7:$CC$1843,CC614,$AU$7:$AU$1843,"&gt;"&amp;AU614)+SUMIFS($AR$7:$AR$1843,$CC$7:$CC$1843,CC614,$AU$7:$AU$1843,AU614,$BT$7:$BT$1843,"&lt;="&amp;BT614),"")</f>
        <v/>
      </c>
      <c r="AW614" s="58" t="n">
        <f aca="false">IF(AV614="",0,MAX(0,MIN(1,(IF(CC614="L1",Parameter!$H$5,IF(CC614="L23",Parameter!$H$6+Parameter!$H$7,Parameter!$H$5+Parameter!$H$6+Parameter!$H$7))-(AV614-AR614))/AR614)))</f>
        <v>0</v>
      </c>
      <c r="AX614" s="50" t="n">
        <f aca="false">IF(LEFT(Cockpit!$O$5,1)="A",H614,IF(CE614=1,CF614,IF(LEFT(Cockpit!$O$5,1)="B",BC614,MAX(BC614,H614))))</f>
        <v>50</v>
      </c>
      <c r="AY614" s="50" t="n">
        <f aca="false">IF(BW614=1,0,ROUNDUP(AX614/BV614,0))</f>
        <v>0</v>
      </c>
      <c r="AZ614" s="52" t="n">
        <f aca="false">IF(CL614&gt;0,CL614*MAX(1,AX614/X614),IF(BW614=1,IF(AX614&lt;=0,0,CA614*MAX(1,IF(H614&gt;0,AX614/H614,1))),IF(R614&gt;0,AY614/R614,0))/MAX(0.1,N(Parameter!$M$21)))</f>
        <v>0.46875</v>
      </c>
      <c r="BA614" s="50" t="n">
        <f aca="false">AZ614*BY614</f>
        <v>110.15625</v>
      </c>
      <c r="BB614" s="50" t="n">
        <f aca="false">AX614*G614</f>
        <v>14.5</v>
      </c>
      <c r="BC614" s="50" t="n">
        <f aca="false">ROUNDUP(MAX(J614/IF(CD614&gt;0,CD614,MAX(0.1,N(Cockpit!$O$6))),CG614)/BV614,0)*BV614</f>
        <v>50</v>
      </c>
      <c r="BD614" s="51" t="n">
        <f aca="false">IF(BA614&gt;0,J614/BA614,-1)</f>
        <v>0.308652482269504</v>
      </c>
      <c r="BE614" s="51" t="str">
        <f aca="false">IF(AND(OR(CC614="L1",CC614="L23",CC614="LIFT"),BA614&gt;0),SUMIFS($BA$7:$BA$1843,$CC$7:$CC$1843,CC614,$BD$7:$BD$1843,"&gt;"&amp;BD614)+SUMIFS($BA$7:$BA$1843,$CC$7:$CC$1843,CC614,$BD$7:$BD$1843,BD614,$BT$7:$BT$1843,"&lt;="&amp;BT614),"")</f>
        <v/>
      </c>
      <c r="BF614" s="58" t="n">
        <f aca="false">IF(BE614="",0,MAX(0,MIN(1,(IF(CC614="L1",Parameter!$H$5,IF(CC614="L23",Parameter!$H$6+Parameter!$H$7,Parameter!$H$5+Parameter!$H$6+Parameter!$H$7))-(BE614-BA614))/BA614)))</f>
        <v>0</v>
      </c>
      <c r="BG614" s="48" t="str">
        <f aca="false">IF(AI614&lt;=0,"",IF(CC614="Aussen","Aussenlager",IF(CC614="-","Nicht im Lift",IF(AN614&gt;=1,"Lift",IF(AN614&lt;=0,"Aussenlager","teilweise")))))</f>
        <v>Nicht im Lift</v>
      </c>
      <c r="BH614" s="48" t="str">
        <f aca="false">IF(AR614&lt;=0,"",IF(CC614="Aussen","Aussenlager",IF(CC614="-","Nicht im Lift",IF(AW614&gt;=1,"Lift",IF(AW614&lt;=0,"Aussenlager","teilweise")))))</f>
        <v>Nicht im Lift</v>
      </c>
      <c r="BI614" s="48" t="str">
        <f aca="false">IF(BA614&lt;=0,"",IF(CC614="Aussen","Aussenlager",IF(CC614="-","Nicht im Lift",IF(BF614&gt;=1,"Lift",IF(BF614&lt;=0,"Aussenlager","teilweise")))))</f>
        <v>Nicht im Lift</v>
      </c>
      <c r="BJ614" s="48" t="str">
        <f aca="false">IF(A614="","",IF(BS614=1,"Neu; ","")&amp;IF(AND(BS614=0,BN614&lt;0),"negativer Bestand (Export "&amp;BN614&amp;"); ","")&amp;IF(J614&lt;=0,"Kein Verbrauch; ","")&amp;IF(CL614&gt;0,"Lift "&amp;W614&amp;" lt. Liftbericht (Fach "&amp;X614&amp;" Stk); ",IF(BX614=1,"Gebinde geschätzt ("&amp;T614&amp;"); ",IF(BW614=1,"Lose – Tablare geschätzt; ","")))&amp;IF(H614&gt;AT614,"Überbestand "&amp;ROUND(H614-AT614,0)&amp;" Stk / CHF "&amp;ROUND((H614-AT614)*G614,0)&amp;"; ","")&amp;IF(AND(CE614=1,CF614&lt;CG614),"MAX &lt; MB+LG; ","")&amp;IF(AND(CK614&gt;0,CJ614*10&gt;CK614),"zu hoch für Tablar; ","")&amp;IF(AND(BS614=0,OR(CE614=1,AA614&lt;&gt;"",U614&lt;&gt;"",V614&lt;&gt;"",AB614&lt;&gt;"")),"manuell übersteuert; ","")&amp;IF(AND(BW614=0,R614=0),"Gebinde unbekannt / Stellmass fehlt; ","")&amp;IF(AND(BW614=0,N(V614)&lt;=0,N(Q614)&lt;=0),"Menge pro Gebinde fehlt (Ist = 1 Gebinde); ","")&amp;BR614)</f>
        <v>Lose – Tablare geschätzt; </v>
      </c>
      <c r="BK614" s="48"/>
      <c r="BL614" s="48"/>
      <c r="BM614" s="55"/>
      <c r="BN614" s="50" t="n">
        <v>16</v>
      </c>
      <c r="BO614" s="50" t="n">
        <v>0</v>
      </c>
      <c r="BP614" s="49" t="n">
        <v>4.64</v>
      </c>
      <c r="BQ614" s="50" t="n">
        <v>34</v>
      </c>
      <c r="BR614" s="48"/>
      <c r="BS614" s="53" t="n">
        <v>0</v>
      </c>
      <c r="BT614" s="53" t="n">
        <v>614</v>
      </c>
      <c r="BU614" s="48" t="str">
        <f aca="false">IF(U614&lt;&gt;"",UPPER(TRIM(U614)),IF(BX614=1,UPPER(VLOOKUP(T614,Parameter!$I$27:$K$29,2,0)),IF(P614="","LOSE",P614)))</f>
        <v>LOSE</v>
      </c>
      <c r="BV614" s="50" t="n">
        <f aca="false">IF(BU614="LOSE",1,IF(N(V614)&gt;0,V614,IF(BX614=1,MAX(1,N(VLOOKUP(T614,Parameter!$I$27:$K$29,3,0)),H614,N(N614)),IF(N(Q614)&gt;0,Q614,MAX(1,H614)))))</f>
        <v>1</v>
      </c>
      <c r="BW614" s="53" t="n">
        <f aca="false">IF(BU614="LOSE",1,0)</f>
        <v>1</v>
      </c>
      <c r="BX614" s="53" t="n">
        <f aca="false">IF(AND(U614="",OR(P614="",P614="LOSE"),T614&lt;&gt;"",N(S614)&lt;=0,ISNUMBER(MATCH(T614,Parameter!$I$27:$I$29,0))),1,0)</f>
        <v>0</v>
      </c>
      <c r="BY614" s="53" t="n">
        <f aca="false">IF(CL614&gt;0,INDEX(Parameter!$H$5:$H$7,W614)/INDEX(Parameter!$E$5:$E$7,W614),IF(AND(BW614=0,N(IFERROR(VLOOKUP(BU614,'Gebinde-Kategorie'!$A$5:$N$45,14,0),0))&gt;0),VLOOKUP(BU614,'Gebinde-Kategorie'!$A$5:$N$45,14,0)*10+Parameter!$M$23,Parameter!$M$24))</f>
        <v>235</v>
      </c>
      <c r="BZ614" s="48" t="str">
        <f aca="false">IF(AND(Parameter!$B$19="Ja",E614&lt;&gt;"",ISNUMBER(MATCH(E614,Parameter!$I$35:$I$52,0))),VLOOKUP(E614,Parameter!$I$35:$J$52,2,0),IFERROR(VLOOKUP(D614,Parameter!$A$35:$C$64,2,0),"Nein"))</f>
        <v>Nein</v>
      </c>
      <c r="CA614" s="52" t="n">
        <f aca="false">IF(BW614=0,0,IF(N(S614)&gt;0,S614,IFERROR(VLOOKUP(D614,Parameter!$A$35:$C$64,3,0)+0,0)))</f>
        <v>0.15</v>
      </c>
      <c r="CB614" s="48" t="str">
        <f aca="false">IF(AA614&lt;&gt;"",AA614,Z614)</f>
        <v>-</v>
      </c>
      <c r="CC614" s="48" t="str">
        <f aca="false">IF(OR(CB614=1,CB614=2,CB614=3),IF(Parameter!$E$27="Ja","LIFT",IF(CB614=1,"L1","L23")),IF(CB614="Aussen","Aussen","-"))</f>
        <v>-</v>
      </c>
      <c r="CD614" s="59" t="n">
        <f aca="false">IF(N(AB614)&gt;0,AB614,0)</f>
        <v>0</v>
      </c>
      <c r="CE614" s="53" t="n">
        <f aca="false">IF(ISNUMBER(AE614),1,0)</f>
        <v>0</v>
      </c>
      <c r="CF614" s="50" t="n">
        <f aca="false">N(AE614)</f>
        <v>0</v>
      </c>
      <c r="CG614" s="50" t="n">
        <f aca="false">N(M614)+N(N614)</f>
        <v>50</v>
      </c>
      <c r="CH614" s="50" t="n">
        <f aca="false">ROUNDUP(H614/BV614,0)</f>
        <v>16</v>
      </c>
      <c r="CI614" s="50" t="n">
        <f aca="false">ROUNDUP(CF614/BV614,0)</f>
        <v>0</v>
      </c>
      <c r="CJ614" s="53" t="n">
        <f aca="false">IF(BW614=1,0,IFERROR(VLOOKUP(BU614,'Gebinde-Kategorie'!$A$5:$N$45,5,0)+0,0))</f>
        <v>0</v>
      </c>
      <c r="CK614" s="53" t="n">
        <f aca="false">IFERROR(IF(OR(CB614=1,CB614=2,CB614=3),N(INDEX(Parameter!$I$5:$I$7,CB614)),0),0)</f>
        <v>0</v>
      </c>
      <c r="CL614" s="52" t="n">
        <f aca="false">IF(AND(Parameter!$B$21="Ja",ISNUMBER(W614),N(X614)&gt;0),IFERROR(N(INDEX(Parameter!$L$5:$L$7,W614))*INDEX(Parameter!$E$5:$E$7,W614)*X614/SUMIFS($X$7:$X$1843,$W$7:$W$1843,W614),0),0)</f>
        <v>0</v>
      </c>
    </row>
    <row r="615" customFormat="false" ht="15" hidden="false" customHeight="false" outlineLevel="0" collapsed="false">
      <c r="A615" s="48" t="s">
        <v>1271</v>
      </c>
      <c r="B615" s="48" t="s">
        <v>1272</v>
      </c>
      <c r="C615" s="48" t="s">
        <v>168</v>
      </c>
      <c r="D615" s="48" t="s">
        <v>188</v>
      </c>
      <c r="E615" s="48" t="s">
        <v>189</v>
      </c>
      <c r="F615" s="48" t="s">
        <v>222</v>
      </c>
      <c r="G615" s="49" t="n">
        <v>0.58</v>
      </c>
      <c r="H615" s="50" t="n">
        <f aca="false">MAX(0,IF(AND(Parameter!$B$21="Ja",ISNUMBER(Y615)),Y615,IF(Parameter!$B$20="Jahresanfang 2025 + Export",BO615+BN615,BN615)))</f>
        <v>114</v>
      </c>
      <c r="I615" s="50" t="n">
        <f aca="false">H615*G615</f>
        <v>66.12</v>
      </c>
      <c r="J615" s="50" t="n">
        <f aca="false">BQ615*Parameter!$B$18</f>
        <v>0</v>
      </c>
      <c r="K615" s="51" t="n">
        <v>110.5</v>
      </c>
      <c r="L615" s="52" t="n">
        <v>0</v>
      </c>
      <c r="M615" s="50" t="n">
        <v>0</v>
      </c>
      <c r="N615" s="50" t="n">
        <v>1</v>
      </c>
      <c r="O615" s="53" t="n">
        <v>21</v>
      </c>
      <c r="P615" s="48" t="s">
        <v>425</v>
      </c>
      <c r="Q615" s="50" t="n">
        <v>123</v>
      </c>
      <c r="R615" s="53" t="n">
        <f aca="false">IF(BW615=1,0,IFERROR(VLOOKUP(BU615,'Gebinde-Kategorie'!$A$5:$N$45,13,0)+0,0))</f>
        <v>104</v>
      </c>
      <c r="S615" s="54"/>
      <c r="T615" s="55"/>
      <c r="U615" s="55"/>
      <c r="V615" s="55"/>
      <c r="W615" s="48"/>
      <c r="X615" s="50"/>
      <c r="Y615" s="50"/>
      <c r="Z615" s="48" t="n">
        <f aca="false">IF(A615="","",IF(AND(Parameter!$B$21="Ja",ISNUMBER(W615)),W615,IF(BZ615="2+3",IF(ISNUMBER(SEARCH("grosser Artikel",BR615)),2,IFERROR(VLOOKUP(BU615,Parameter!$F$35:$G$64,2,0),2)),IF(OR(BZ615="Nein",BZ615=""),"-",BZ615))))</f>
        <v>3</v>
      </c>
      <c r="AA615" s="55"/>
      <c r="AB615" s="56"/>
      <c r="AC615" s="50" t="n">
        <f aca="false">AT615</f>
        <v>123</v>
      </c>
      <c r="AD615" s="50" t="n">
        <f aca="false">MAX(AT615,H615)</f>
        <v>123</v>
      </c>
      <c r="AE615" s="57"/>
      <c r="AF615" s="50" t="n">
        <f aca="false">IF(LEFT(Cockpit!$C$5,1)="A",H615,IF(CE615=1,CF615,IF(LEFT(Cockpit!$C$5,1)="B",AK615,MAX(AK615,H615))))</f>
        <v>114</v>
      </c>
      <c r="AG615" s="50" t="n">
        <f aca="false">IF(BW615=1,0,ROUNDUP(AF615/BV615,0))</f>
        <v>1</v>
      </c>
      <c r="AH615" s="52" t="n">
        <f aca="false">IF(CL615&gt;0,CL615*MAX(1,AF615/X615),IF(BW615=1,IF(AF615&lt;=0,0,CA615*MAX(1,IF(H615&gt;0,AF615/H615,1))),IF(R615&gt;0,AG615/R615,0))/MAX(0.1,N(Parameter!$M$21)))</f>
        <v>0.00961538461538462</v>
      </c>
      <c r="AI615" s="50" t="n">
        <f aca="false">AH615*BY615</f>
        <v>1.49038461538462</v>
      </c>
      <c r="AJ615" s="50" t="n">
        <f aca="false">AF615*G615</f>
        <v>66.12</v>
      </c>
      <c r="AK615" s="50" t="n">
        <f aca="false">ROUNDUP(MAX(J615/IF(CD615&gt;0,CD615,MAX(0.1,N(Cockpit!$C$6))),CG615)/BV615,0)*BV615</f>
        <v>123</v>
      </c>
      <c r="AL615" s="51" t="n">
        <f aca="false">IF(AI615&gt;0,J615/AI615,-1)</f>
        <v>0</v>
      </c>
      <c r="AM615" s="51" t="n">
        <f aca="false">IF(AND(OR(CC615="L1",CC615="L23",CC615="LIFT"),AI615&gt;0),SUMIFS($AI$7:$AI$1843,$CC$7:$CC$1843,CC615,$AL$7:$AL$1843,"&gt;"&amp;AL615)+SUMIFS($AI$7:$AI$1843,$CC$7:$CC$1843,CC615,$AL$7:$AL$1843,AL615,$BT$7:$BT$1843,"&lt;="&amp;BT615),"")</f>
        <v>28540.5441241903</v>
      </c>
      <c r="AN615" s="58" t="n">
        <f aca="false">IF(AM615="",0,MAX(0,MIN(1,(IF(CC615="L1",Parameter!$H$5,IF(CC615="L23",Parameter!$H$6+Parameter!$H$7,Parameter!$H$5+Parameter!$H$6+Parameter!$H$7))-(AM615-AI615))/AI615)))</f>
        <v>1</v>
      </c>
      <c r="AO615" s="50" t="n">
        <f aca="false">IF(LEFT(Cockpit!$I$5,1)="A",H615,IF(CE615=1,CF615,IF(LEFT(Cockpit!$I$5,1)="B",AT615,MAX(AT615,H615))))</f>
        <v>123</v>
      </c>
      <c r="AP615" s="50" t="n">
        <f aca="false">IF(BW615=1,0,ROUNDUP(AO615/BV615,0))</f>
        <v>1</v>
      </c>
      <c r="AQ615" s="52" t="n">
        <f aca="false">IF(CL615&gt;0,CL615*MAX(1,AO615/X615),IF(BW615=1,IF(AO615&lt;=0,0,CA615*MAX(1,IF(H615&gt;0,AO615/H615,1))),IF(R615&gt;0,AP615/R615,0))/MAX(0.1,N(Parameter!$M$21)))</f>
        <v>0.00961538461538462</v>
      </c>
      <c r="AR615" s="50" t="n">
        <f aca="false">AQ615*BY615</f>
        <v>1.49038461538462</v>
      </c>
      <c r="AS615" s="50" t="n">
        <f aca="false">AO615*G615</f>
        <v>71.34</v>
      </c>
      <c r="AT615" s="50" t="n">
        <f aca="false">ROUNDUP(MAX(J615/IF(CD615&gt;0,CD615,MAX(0.1,N(Cockpit!$I$6))),CG615)/BV615,0)*BV615</f>
        <v>123</v>
      </c>
      <c r="AU615" s="51" t="n">
        <f aca="false">IF(AR615&gt;0,J615/AR615,-1)</f>
        <v>0</v>
      </c>
      <c r="AV615" s="51" t="n">
        <f aca="false">IF(AND(OR(CC615="L1",CC615="L23",CC615="LIFT"),AR615&gt;0),SUMIFS($AR$7:$AR$1843,$CC$7:$CC$1843,CC615,$AU$7:$AU$1843,"&gt;"&amp;AU615)+SUMIFS($AR$7:$AR$1843,$CC$7:$CC$1843,CC615,$AU$7:$AU$1843,AU615,$BT$7:$BT$1843,"&lt;="&amp;BT615),"")</f>
        <v>39853.4496414602</v>
      </c>
      <c r="AW615" s="58" t="n">
        <f aca="false">IF(AV615="",0,MAX(0,MIN(1,(IF(CC615="L1",Parameter!$H$5,IF(CC615="L23",Parameter!$H$6+Parameter!$H$7,Parameter!$H$5+Parameter!$H$6+Parameter!$H$7))-(AV615-AR615))/AR615)))</f>
        <v>0</v>
      </c>
      <c r="AX615" s="50" t="n">
        <f aca="false">IF(LEFT(Cockpit!$O$5,1)="A",H615,IF(CE615=1,CF615,IF(LEFT(Cockpit!$O$5,1)="B",BC615,MAX(BC615,H615))))</f>
        <v>123</v>
      </c>
      <c r="AY615" s="50" t="n">
        <f aca="false">IF(BW615=1,0,ROUNDUP(AX615/BV615,0))</f>
        <v>1</v>
      </c>
      <c r="AZ615" s="52" t="n">
        <f aca="false">IF(CL615&gt;0,CL615*MAX(1,AX615/X615),IF(BW615=1,IF(AX615&lt;=0,0,CA615*MAX(1,IF(H615&gt;0,AX615/H615,1))),IF(R615&gt;0,AY615/R615,0))/MAX(0.1,N(Parameter!$M$21)))</f>
        <v>0.00961538461538462</v>
      </c>
      <c r="BA615" s="50" t="n">
        <f aca="false">AZ615*BY615</f>
        <v>1.49038461538462</v>
      </c>
      <c r="BB615" s="50" t="n">
        <f aca="false">AX615*G615</f>
        <v>71.34</v>
      </c>
      <c r="BC615" s="50" t="n">
        <f aca="false">ROUNDUP(MAX(J615/IF(CD615&gt;0,CD615,MAX(0.1,N(Cockpit!$O$6))),CG615)/BV615,0)*BV615</f>
        <v>123</v>
      </c>
      <c r="BD615" s="51" t="n">
        <f aca="false">IF(BA615&gt;0,J615/BA615,-1)</f>
        <v>0</v>
      </c>
      <c r="BE615" s="51" t="n">
        <f aca="false">IF(AND(OR(CC615="L1",CC615="L23",CC615="LIFT"),BA615&gt;0),SUMIFS($BA$7:$BA$1843,$CC$7:$CC$1843,CC615,$BD$7:$BD$1843,"&gt;"&amp;BD615)+SUMIFS($BA$7:$BA$1843,$CC$7:$CC$1843,CC615,$BD$7:$BD$1843,BD615,$BT$7:$BT$1843,"&lt;="&amp;BT615),"")</f>
        <v>36528.4616833261</v>
      </c>
      <c r="BF615" s="58" t="n">
        <f aca="false">IF(BE615="",0,MAX(0,MIN(1,(IF(CC615="L1",Parameter!$H$5,IF(CC615="L23",Parameter!$H$6+Parameter!$H$7,Parameter!$H$5+Parameter!$H$6+Parameter!$H$7))-(BE615-BA615))/BA615)))</f>
        <v>0</v>
      </c>
      <c r="BG615" s="48" t="str">
        <f aca="false">IF(AI615&lt;=0,"",IF(CC615="Aussen","Aussenlager",IF(CC615="-","Nicht im Lift",IF(AN615&gt;=1,"Lift",IF(AN615&lt;=0,"Aussenlager","teilweise")))))</f>
        <v>Lift</v>
      </c>
      <c r="BH615" s="48" t="str">
        <f aca="false">IF(AR615&lt;=0,"",IF(CC615="Aussen","Aussenlager",IF(CC615="-","Nicht im Lift",IF(AW615&gt;=1,"Lift",IF(AW615&lt;=0,"Aussenlager","teilweise")))))</f>
        <v>Aussenlager</v>
      </c>
      <c r="BI615" s="48" t="str">
        <f aca="false">IF(BA615&lt;=0,"",IF(CC615="Aussen","Aussenlager",IF(CC615="-","Nicht im Lift",IF(BF615&gt;=1,"Lift",IF(BF615&lt;=0,"Aussenlager","teilweise")))))</f>
        <v>Aussenlager</v>
      </c>
      <c r="BJ615" s="48" t="str">
        <f aca="false">IF(A615="","",IF(BS615=1,"Neu; ","")&amp;IF(AND(BS615=0,BN615&lt;0),"negativer Bestand (Export "&amp;BN615&amp;"); ","")&amp;IF(J615&lt;=0,"Kein Verbrauch; ","")&amp;IF(CL615&gt;0,"Lift "&amp;W615&amp;" lt. Liftbericht (Fach "&amp;X615&amp;" Stk); ",IF(BX615=1,"Gebinde geschätzt ("&amp;T615&amp;"); ",IF(BW615=1,"Lose – Tablare geschätzt; ","")))&amp;IF(H615&gt;AT615,"Überbestand "&amp;ROUND(H615-AT615,0)&amp;" Stk / CHF "&amp;ROUND((H615-AT615)*G615,0)&amp;"; ","")&amp;IF(AND(CE615=1,CF615&lt;CG615),"MAX &lt; MB+LG; ","")&amp;IF(AND(CK615&gt;0,CJ615*10&gt;CK615),"zu hoch für Tablar; ","")&amp;IF(AND(BS615=0,OR(CE615=1,AA615&lt;&gt;"",U615&lt;&gt;"",V615&lt;&gt;"",AB615&lt;&gt;"")),"manuell übersteuert; ","")&amp;IF(AND(BW615=0,R615=0),"Gebinde unbekannt / Stellmass fehlt; ","")&amp;IF(AND(BW615=0,N(V615)&lt;=0,N(Q615)&lt;=0),"Menge pro Gebinde fehlt (Ist = 1 Gebinde); ","")&amp;BR615)</f>
        <v>Kein Verbrauch; Überbestand</v>
      </c>
      <c r="BK615" s="48"/>
      <c r="BL615" s="48"/>
      <c r="BM615" s="55"/>
      <c r="BN615" s="50" t="n">
        <v>8</v>
      </c>
      <c r="BO615" s="50" t="n">
        <v>106</v>
      </c>
      <c r="BP615" s="49" t="n">
        <v>4.64</v>
      </c>
      <c r="BQ615" s="50" t="n">
        <v>0</v>
      </c>
      <c r="BR615" s="48" t="s">
        <v>396</v>
      </c>
      <c r="BS615" s="53" t="n">
        <v>0</v>
      </c>
      <c r="BT615" s="53" t="n">
        <v>615</v>
      </c>
      <c r="BU615" s="48" t="str">
        <f aca="false">IF(U615&lt;&gt;"",UPPER(TRIM(U615)),IF(BX615=1,UPPER(VLOOKUP(T615,Parameter!$I$27:$K$29,2,0)),IF(P615="","LOSE",P615)))</f>
        <v>S32</v>
      </c>
      <c r="BV615" s="50" t="n">
        <f aca="false">IF(BU615="LOSE",1,IF(N(V615)&gt;0,V615,IF(BX615=1,MAX(1,N(VLOOKUP(T615,Parameter!$I$27:$K$29,3,0)),H615,N(N615)),IF(N(Q615)&gt;0,Q615,MAX(1,H615)))))</f>
        <v>123</v>
      </c>
      <c r="BW615" s="53" t="n">
        <f aca="false">IF(BU615="LOSE",1,0)</f>
        <v>0</v>
      </c>
      <c r="BX615" s="53" t="n">
        <f aca="false">IF(AND(U615="",OR(P615="",P615="LOSE"),T615&lt;&gt;"",N(S615)&lt;=0,ISNUMBER(MATCH(T615,Parameter!$I$27:$I$29,0))),1,0)</f>
        <v>0</v>
      </c>
      <c r="BY615" s="53" t="n">
        <f aca="false">IF(CL615&gt;0,INDEX(Parameter!$H$5:$H$7,W615)/INDEX(Parameter!$E$5:$E$7,W615),IF(AND(BW615=0,N(IFERROR(VLOOKUP(BU615,'Gebinde-Kategorie'!$A$5:$N$45,14,0),0))&gt;0),VLOOKUP(BU615,'Gebinde-Kategorie'!$A$5:$N$45,14,0)*10+Parameter!$M$23,Parameter!$M$24))</f>
        <v>155</v>
      </c>
      <c r="BZ615" s="48" t="str">
        <f aca="false">IF(AND(Parameter!$B$19="Ja",E615&lt;&gt;"",ISNUMBER(MATCH(E615,Parameter!$I$35:$I$52,0))),VLOOKUP(E615,Parameter!$I$35:$J$52,2,0),IFERROR(VLOOKUP(D615,Parameter!$A$35:$C$64,2,0),"Nein"))</f>
        <v>2+3</v>
      </c>
      <c r="CA615" s="52" t="n">
        <f aca="false">IF(BW615=0,0,IF(N(S615)&gt;0,S615,IFERROR(VLOOKUP(D615,Parameter!$A$35:$C$64,3,0)+0,0)))</f>
        <v>0</v>
      </c>
      <c r="CB615" s="48" t="n">
        <f aca="false">IF(AA615&lt;&gt;"",AA615,Z615)</f>
        <v>3</v>
      </c>
      <c r="CC615" s="48" t="str">
        <f aca="false">IF(OR(CB615=1,CB615=2,CB615=3),IF(Parameter!$E$27="Ja","LIFT",IF(CB615=1,"L1","L23")),IF(CB615="Aussen","Aussen","-"))</f>
        <v>LIFT</v>
      </c>
      <c r="CD615" s="59" t="n">
        <f aca="false">IF(N(AB615)&gt;0,AB615,0)</f>
        <v>0</v>
      </c>
      <c r="CE615" s="53" t="n">
        <f aca="false">IF(ISNUMBER(AE615),1,0)</f>
        <v>0</v>
      </c>
      <c r="CF615" s="50" t="n">
        <f aca="false">N(AE615)</f>
        <v>0</v>
      </c>
      <c r="CG615" s="50" t="n">
        <f aca="false">N(M615)+N(N615)</f>
        <v>1</v>
      </c>
      <c r="CH615" s="50" t="n">
        <f aca="false">ROUNDUP(H615/BV615,0)</f>
        <v>1</v>
      </c>
      <c r="CI615" s="50" t="n">
        <f aca="false">ROUNDUP(CF615/BV615,0)</f>
        <v>0</v>
      </c>
      <c r="CJ615" s="53" t="n">
        <f aca="false">IF(BW615=1,0,IFERROR(VLOOKUP(BU615,'Gebinde-Kategorie'!$A$5:$N$45,5,0)+0,0))</f>
        <v>8</v>
      </c>
      <c r="CK615" s="53" t="n">
        <f aca="false">IFERROR(IF(OR(CB615=1,CB615=2,CB615=3),N(INDEX(Parameter!$I$5:$I$7,CB615)),0),0)</f>
        <v>0</v>
      </c>
      <c r="CL615" s="52" t="n">
        <f aca="false">IF(AND(Parameter!$B$21="Ja",ISNUMBER(W615),N(X615)&gt;0),IFERROR(N(INDEX(Parameter!$L$5:$L$7,W615))*INDEX(Parameter!$E$5:$E$7,W615)*X615/SUMIFS($X$7:$X$1843,$W$7:$W$1843,W615),0),0)</f>
        <v>0</v>
      </c>
    </row>
    <row r="616" customFormat="false" ht="15" hidden="false" customHeight="false" outlineLevel="0" collapsed="false">
      <c r="A616" s="48" t="s">
        <v>1273</v>
      </c>
      <c r="B616" s="48" t="s">
        <v>409</v>
      </c>
      <c r="C616" s="48" t="s">
        <v>168</v>
      </c>
      <c r="D616" s="48" t="s">
        <v>177</v>
      </c>
      <c r="E616" s="48" t="s">
        <v>189</v>
      </c>
      <c r="F616" s="48" t="s">
        <v>222</v>
      </c>
      <c r="G616" s="49" t="n">
        <v>0.46</v>
      </c>
      <c r="H616" s="50" t="n">
        <f aca="false">MAX(0,IF(AND(Parameter!$B$21="Ja",ISNUMBER(Y616)),Y616,IF(Parameter!$B$20="Jahresanfang 2025 + Export",BO616+BN616,BN616)))</f>
        <v>3394</v>
      </c>
      <c r="I616" s="50" t="n">
        <f aca="false">H616*G616</f>
        <v>1561.24</v>
      </c>
      <c r="J616" s="50" t="n">
        <f aca="false">BQ616*Parameter!$B$18</f>
        <v>48</v>
      </c>
      <c r="K616" s="51" t="n">
        <v>3393</v>
      </c>
      <c r="L616" s="52" t="n">
        <v>0.0141467727674624</v>
      </c>
      <c r="M616" s="50" t="n">
        <v>2</v>
      </c>
      <c r="N616" s="50" t="n">
        <v>50</v>
      </c>
      <c r="O616" s="53" t="n">
        <v>21</v>
      </c>
      <c r="P616" s="48" t="s">
        <v>178</v>
      </c>
      <c r="Q616" s="50" t="n">
        <v>1000</v>
      </c>
      <c r="R616" s="53" t="n">
        <f aca="false">IF(BW616=1,0,IFERROR(VLOOKUP(BU616,'Gebinde-Kategorie'!$A$5:$N$45,13,0)+0,0))</f>
        <v>6</v>
      </c>
      <c r="S616" s="54"/>
      <c r="T616" s="55"/>
      <c r="U616" s="55"/>
      <c r="V616" s="55"/>
      <c r="W616" s="48"/>
      <c r="X616" s="50"/>
      <c r="Y616" s="50"/>
      <c r="Z616" s="48" t="n">
        <f aca="false">IF(A616="","",IF(AND(Parameter!$B$21="Ja",ISNUMBER(W616)),W616,IF(BZ616="2+3",IF(ISNUMBER(SEARCH("grosser Artikel",BR616)),2,IFERROR(VLOOKUP(BU616,Parameter!$F$35:$G$64,2,0),2)),IF(OR(BZ616="Nein",BZ616=""),"-",BZ616))))</f>
        <v>2</v>
      </c>
      <c r="AA616" s="55"/>
      <c r="AB616" s="56"/>
      <c r="AC616" s="50" t="n">
        <f aca="false">AT616</f>
        <v>1000</v>
      </c>
      <c r="AD616" s="50" t="n">
        <f aca="false">MAX(AT616,H616)</f>
        <v>3394</v>
      </c>
      <c r="AE616" s="57"/>
      <c r="AF616" s="50" t="n">
        <f aca="false">IF(LEFT(Cockpit!$C$5,1)="A",H616,IF(CE616=1,CF616,IF(LEFT(Cockpit!$C$5,1)="B",AK616,MAX(AK616,H616))))</f>
        <v>3394</v>
      </c>
      <c r="AG616" s="50" t="n">
        <f aca="false">IF(BW616=1,0,ROUNDUP(AF616/BV616,0))</f>
        <v>4</v>
      </c>
      <c r="AH616" s="52" t="n">
        <f aca="false">IF(CL616&gt;0,CL616*MAX(1,AF616/X616),IF(BW616=1,IF(AF616&lt;=0,0,CA616*MAX(1,IF(H616&gt;0,AF616/H616,1))),IF(R616&gt;0,AG616/R616,0))/MAX(0.1,N(Parameter!$M$21)))</f>
        <v>0.666666666666667</v>
      </c>
      <c r="AI616" s="50" t="n">
        <f aca="false">AH616*BY616</f>
        <v>156.666666666667</v>
      </c>
      <c r="AJ616" s="50" t="n">
        <f aca="false">AF616*G616</f>
        <v>1561.24</v>
      </c>
      <c r="AK616" s="50" t="n">
        <f aca="false">ROUNDUP(MAX(J616/IF(CD616&gt;0,CD616,MAX(0.1,N(Cockpit!$C$6))),CG616)/BV616,0)*BV616</f>
        <v>1000</v>
      </c>
      <c r="AL616" s="51" t="n">
        <f aca="false">IF(AI616&gt;0,J616/AI616,-1)</f>
        <v>0.306382978723404</v>
      </c>
      <c r="AM616" s="51" t="n">
        <f aca="false">IF(AND(OR(CC616="L1",CC616="L23",CC616="LIFT"),AI616&gt;0),SUMIFS($AI$7:$AI$1843,$CC$7:$CC$1843,CC616,$AL$7:$AL$1843,"&gt;"&amp;AL616)+SUMIFS($AI$7:$AI$1843,$CC$7:$CC$1843,CC616,$AL$7:$AL$1843,AL616,$BT$7:$BT$1843,"&lt;="&amp;BT616),"")</f>
        <v>11444.4488343577</v>
      </c>
      <c r="AN616" s="58" t="n">
        <f aca="false">IF(AM616="",0,MAX(0,MIN(1,(IF(CC616="L1",Parameter!$H$5,IF(CC616="L23",Parameter!$H$6+Parameter!$H$7,Parameter!$H$5+Parameter!$H$6+Parameter!$H$7))-(AM616-AI616))/AI616)))</f>
        <v>1</v>
      </c>
      <c r="AO616" s="50" t="n">
        <f aca="false">IF(LEFT(Cockpit!$I$5,1)="A",H616,IF(CE616=1,CF616,IF(LEFT(Cockpit!$I$5,1)="B",AT616,MAX(AT616,H616))))</f>
        <v>3394</v>
      </c>
      <c r="AP616" s="50" t="n">
        <f aca="false">IF(BW616=1,0,ROUNDUP(AO616/BV616,0))</f>
        <v>4</v>
      </c>
      <c r="AQ616" s="52" t="n">
        <f aca="false">IF(CL616&gt;0,CL616*MAX(1,AO616/X616),IF(BW616=1,IF(AO616&lt;=0,0,CA616*MAX(1,IF(H616&gt;0,AO616/H616,1))),IF(R616&gt;0,AP616/R616,0))/MAX(0.1,N(Parameter!$M$21)))</f>
        <v>0.666666666666667</v>
      </c>
      <c r="AR616" s="50" t="n">
        <f aca="false">AQ616*BY616</f>
        <v>156.666666666667</v>
      </c>
      <c r="AS616" s="50" t="n">
        <f aca="false">AO616*G616</f>
        <v>1561.24</v>
      </c>
      <c r="AT616" s="50" t="n">
        <f aca="false">ROUNDUP(MAX(J616/IF(CD616&gt;0,CD616,MAX(0.1,N(Cockpit!$I$6))),CG616)/BV616,0)*BV616</f>
        <v>1000</v>
      </c>
      <c r="AU616" s="51" t="n">
        <f aca="false">IF(AR616&gt;0,J616/AR616,-1)</f>
        <v>0.306382978723404</v>
      </c>
      <c r="AV616" s="51" t="n">
        <f aca="false">IF(AND(OR(CC616="L1",CC616="L23",CC616="LIFT"),AR616&gt;0),SUMIFS($AR$7:$AR$1843,$CC$7:$CC$1843,CC616,$AU$7:$AU$1843,"&gt;"&amp;AU616)+SUMIFS($AR$7:$AR$1843,$CC$7:$CC$1843,CC616,$AU$7:$AU$1843,AU616,$BT$7:$BT$1843,"&lt;="&amp;BT616),"")</f>
        <v>16790.146978022</v>
      </c>
      <c r="AW616" s="58" t="n">
        <f aca="false">IF(AV616="",0,MAX(0,MIN(1,(IF(CC616="L1",Parameter!$H$5,IF(CC616="L23",Parameter!$H$6+Parameter!$H$7,Parameter!$H$5+Parameter!$H$6+Parameter!$H$7))-(AV616-AR616))/AR616)))</f>
        <v>1</v>
      </c>
      <c r="AX616" s="50" t="n">
        <f aca="false">IF(LEFT(Cockpit!$O$5,1)="A",H616,IF(CE616=1,CF616,IF(LEFT(Cockpit!$O$5,1)="B",BC616,MAX(BC616,H616))))</f>
        <v>3394</v>
      </c>
      <c r="AY616" s="50" t="n">
        <f aca="false">IF(BW616=1,0,ROUNDUP(AX616/BV616,0))</f>
        <v>4</v>
      </c>
      <c r="AZ616" s="52" t="n">
        <f aca="false">IF(CL616&gt;0,CL616*MAX(1,AX616/X616),IF(BW616=1,IF(AX616&lt;=0,0,CA616*MAX(1,IF(H616&gt;0,AX616/H616,1))),IF(R616&gt;0,AY616/R616,0))/MAX(0.1,N(Parameter!$M$21)))</f>
        <v>0.666666666666667</v>
      </c>
      <c r="BA616" s="50" t="n">
        <f aca="false">AZ616*BY616</f>
        <v>156.666666666667</v>
      </c>
      <c r="BB616" s="50" t="n">
        <f aca="false">AX616*G616</f>
        <v>1561.24</v>
      </c>
      <c r="BC616" s="50" t="n">
        <f aca="false">ROUNDUP(MAX(J616/IF(CD616&gt;0,CD616,MAX(0.1,N(Cockpit!$O$6))),CG616)/BV616,0)*BV616</f>
        <v>1000</v>
      </c>
      <c r="BD616" s="51" t="n">
        <f aca="false">IF(BA616&gt;0,J616/BA616,-1)</f>
        <v>0.306382978723404</v>
      </c>
      <c r="BE616" s="51" t="n">
        <f aca="false">IF(AND(OR(CC616="L1",CC616="L23",CC616="LIFT"),BA616&gt;0),SUMIFS($BA$7:$BA$1843,$CC$7:$CC$1843,CC616,$BD$7:$BD$1843,"&gt;"&amp;BD616)+SUMIFS($BA$7:$BA$1843,$CC$7:$CC$1843,CC616,$BD$7:$BD$1843,BD616,$BT$7:$BT$1843,"&lt;="&amp;BT616),"")</f>
        <v>15305.804029304</v>
      </c>
      <c r="BF616" s="58" t="n">
        <f aca="false">IF(BE616="",0,MAX(0,MIN(1,(IF(CC616="L1",Parameter!$H$5,IF(CC616="L23",Parameter!$H$6+Parameter!$H$7,Parameter!$H$5+Parameter!$H$6+Parameter!$H$7))-(BE616-BA616))/BA616)))</f>
        <v>1</v>
      </c>
      <c r="BG616" s="48" t="str">
        <f aca="false">IF(AI616&lt;=0,"",IF(CC616="Aussen","Aussenlager",IF(CC616="-","Nicht im Lift",IF(AN616&gt;=1,"Lift",IF(AN616&lt;=0,"Aussenlager","teilweise")))))</f>
        <v>Lift</v>
      </c>
      <c r="BH616" s="48" t="str">
        <f aca="false">IF(AR616&lt;=0,"",IF(CC616="Aussen","Aussenlager",IF(CC616="-","Nicht im Lift",IF(AW616&gt;=1,"Lift",IF(AW616&lt;=0,"Aussenlager","teilweise")))))</f>
        <v>Lift</v>
      </c>
      <c r="BI616" s="48" t="str">
        <f aca="false">IF(BA616&lt;=0,"",IF(CC616="Aussen","Aussenlager",IF(CC616="-","Nicht im Lift",IF(BF616&gt;=1,"Lift",IF(BF616&lt;=0,"Aussenlager","teilweise")))))</f>
        <v>Lift</v>
      </c>
      <c r="BJ616" s="48" t="str">
        <f aca="false">IF(A616="","",IF(BS616=1,"Neu; ","")&amp;IF(AND(BS616=0,BN616&lt;0),"negativer Bestand (Export "&amp;BN616&amp;"); ","")&amp;IF(J616&lt;=0,"Kein Verbrauch; ","")&amp;IF(CL616&gt;0,"Lift "&amp;W616&amp;" lt. Liftbericht (Fach "&amp;X616&amp;" Stk); ",IF(BX616=1,"Gebinde geschätzt ("&amp;T616&amp;"); ",IF(BW616=1,"Lose – Tablare geschätzt; ","")))&amp;IF(H616&gt;AT616,"Überbestand "&amp;ROUND(H616-AT616,0)&amp;" Stk / CHF "&amp;ROUND((H616-AT616)*G616,0)&amp;"; ","")&amp;IF(AND(CE616=1,CF616&lt;CG616),"MAX &lt; MB+LG; ","")&amp;IF(AND(CK616&gt;0,CJ616*10&gt;CK616),"zu hoch für Tablar; ","")&amp;IF(AND(BS616=0,OR(CE616=1,AA616&lt;&gt;"",U616&lt;&gt;"",V616&lt;&gt;"",AB616&lt;&gt;"")),"manuell übersteuert; ","")&amp;IF(AND(BW616=0,R616=0),"Gebinde unbekannt / Stellmass fehlt; ","")&amp;IF(AND(BW616=0,N(V616)&lt;=0,N(Q616)&lt;=0),"Menge pro Gebinde fehlt (Ist = 1 Gebinde); ","")&amp;BR616)</f>
        <v>Überbestand 2394 Stk / CHF 1101; Twin; grosse  Artikelmenge</v>
      </c>
      <c r="BK616" s="48"/>
      <c r="BL616" s="48"/>
      <c r="BM616" s="55"/>
      <c r="BN616" s="50" t="n">
        <v>10</v>
      </c>
      <c r="BO616" s="50" t="n">
        <v>3384</v>
      </c>
      <c r="BP616" s="49" t="n">
        <v>4.6</v>
      </c>
      <c r="BQ616" s="50" t="n">
        <v>48</v>
      </c>
      <c r="BR616" s="48" t="s">
        <v>1274</v>
      </c>
      <c r="BS616" s="53" t="n">
        <v>0</v>
      </c>
      <c r="BT616" s="53" t="n">
        <v>616</v>
      </c>
      <c r="BU616" s="48" t="str">
        <f aca="false">IF(U616&lt;&gt;"",UPPER(TRIM(U616)),IF(BX616=1,UPPER(VLOOKUP(T616,Parameter!$I$27:$K$29,2,0)),IF(P616="","LOSE",P616)))</f>
        <v>S71</v>
      </c>
      <c r="BV616" s="50" t="n">
        <f aca="false">IF(BU616="LOSE",1,IF(N(V616)&gt;0,V616,IF(BX616=1,MAX(1,N(VLOOKUP(T616,Parameter!$I$27:$K$29,3,0)),H616,N(N616)),IF(N(Q616)&gt;0,Q616,MAX(1,H616)))))</f>
        <v>1000</v>
      </c>
      <c r="BW616" s="53" t="n">
        <f aca="false">IF(BU616="LOSE",1,0)</f>
        <v>0</v>
      </c>
      <c r="BX616" s="53" t="n">
        <f aca="false">IF(AND(U616="",OR(P616="",P616="LOSE"),T616&lt;&gt;"",N(S616)&lt;=0,ISNUMBER(MATCH(T616,Parameter!$I$27:$I$29,0))),1,0)</f>
        <v>0</v>
      </c>
      <c r="BY616" s="53" t="n">
        <f aca="false">IF(CL616&gt;0,INDEX(Parameter!$H$5:$H$7,W616)/INDEX(Parameter!$E$5:$E$7,W616),IF(AND(BW616=0,N(IFERROR(VLOOKUP(BU616,'Gebinde-Kategorie'!$A$5:$N$45,14,0),0))&gt;0),VLOOKUP(BU616,'Gebinde-Kategorie'!$A$5:$N$45,14,0)*10+Parameter!$M$23,Parameter!$M$24))</f>
        <v>235</v>
      </c>
      <c r="BZ616" s="48" t="str">
        <f aca="false">IF(AND(Parameter!$B$19="Ja",E616&lt;&gt;"",ISNUMBER(MATCH(E616,Parameter!$I$35:$I$52,0))),VLOOKUP(E616,Parameter!$I$35:$J$52,2,0),IFERROR(VLOOKUP(D616,Parameter!$A$35:$C$64,2,0),"Nein"))</f>
        <v>2+3</v>
      </c>
      <c r="CA616" s="52" t="n">
        <f aca="false">IF(BW616=0,0,IF(N(S616)&gt;0,S616,IFERROR(VLOOKUP(D616,Parameter!$A$35:$C$64,3,0)+0,0)))</f>
        <v>0</v>
      </c>
      <c r="CB616" s="48" t="n">
        <f aca="false">IF(AA616&lt;&gt;"",AA616,Z616)</f>
        <v>2</v>
      </c>
      <c r="CC616" s="48" t="str">
        <f aca="false">IF(OR(CB616=1,CB616=2,CB616=3),IF(Parameter!$E$27="Ja","LIFT",IF(CB616=1,"L1","L23")),IF(CB616="Aussen","Aussen","-"))</f>
        <v>LIFT</v>
      </c>
      <c r="CD616" s="59" t="n">
        <f aca="false">IF(N(AB616)&gt;0,AB616,0)</f>
        <v>0</v>
      </c>
      <c r="CE616" s="53" t="n">
        <f aca="false">IF(ISNUMBER(AE616),1,0)</f>
        <v>0</v>
      </c>
      <c r="CF616" s="50" t="n">
        <f aca="false">N(AE616)</f>
        <v>0</v>
      </c>
      <c r="CG616" s="50" t="n">
        <f aca="false">N(M616)+N(N616)</f>
        <v>52</v>
      </c>
      <c r="CH616" s="50" t="n">
        <f aca="false">ROUNDUP(H616/BV616,0)</f>
        <v>4</v>
      </c>
      <c r="CI616" s="50" t="n">
        <f aca="false">ROUNDUP(CF616/BV616,0)</f>
        <v>0</v>
      </c>
      <c r="CJ616" s="53" t="n">
        <f aca="false">IF(BW616=1,0,IFERROR(VLOOKUP(BU616,'Gebinde-Kategorie'!$A$5:$N$45,5,0)+0,0))</f>
        <v>20</v>
      </c>
      <c r="CK616" s="53" t="n">
        <f aca="false">IFERROR(IF(OR(CB616=1,CB616=2,CB616=3),N(INDEX(Parameter!$I$5:$I$7,CB616)),0),0)</f>
        <v>0</v>
      </c>
      <c r="CL616" s="52" t="n">
        <f aca="false">IF(AND(Parameter!$B$21="Ja",ISNUMBER(W616),N(X616)&gt;0),IFERROR(N(INDEX(Parameter!$L$5:$L$7,W616))*INDEX(Parameter!$E$5:$E$7,W616)*X616/SUMIFS($X$7:$X$1843,$W$7:$W$1843,W616),0),0)</f>
        <v>0</v>
      </c>
    </row>
    <row r="617" customFormat="false" ht="15" hidden="false" customHeight="false" outlineLevel="0" collapsed="false">
      <c r="A617" s="48" t="s">
        <v>1275</v>
      </c>
      <c r="B617" s="48" t="s">
        <v>1266</v>
      </c>
      <c r="C617" s="48" t="s">
        <v>168</v>
      </c>
      <c r="D617" s="48" t="s">
        <v>188</v>
      </c>
      <c r="E617" s="48" t="s">
        <v>189</v>
      </c>
      <c r="F617" s="48" t="s">
        <v>222</v>
      </c>
      <c r="G617" s="49" t="n">
        <v>0.05</v>
      </c>
      <c r="H617" s="50" t="n">
        <f aca="false">MAX(0,IF(AND(Parameter!$B$21="Ja",ISNUMBER(Y617)),Y617,IF(Parameter!$B$20="Jahresanfang 2025 + Export",BO617+BN617,BN617)))</f>
        <v>188</v>
      </c>
      <c r="I617" s="50" t="n">
        <f aca="false">H617*G617</f>
        <v>9.4</v>
      </c>
      <c r="J617" s="50" t="n">
        <f aca="false">BQ617*Parameter!$B$18</f>
        <v>38</v>
      </c>
      <c r="K617" s="51" t="n">
        <v>145.5</v>
      </c>
      <c r="L617" s="52" t="n">
        <v>0.261168384879725</v>
      </c>
      <c r="M617" s="50" t="n">
        <v>0</v>
      </c>
      <c r="N617" s="50" t="n">
        <v>40</v>
      </c>
      <c r="O617" s="53" t="n">
        <v>14</v>
      </c>
      <c r="P617" s="48" t="s">
        <v>405</v>
      </c>
      <c r="Q617" s="50" t="n">
        <v>190</v>
      </c>
      <c r="R617" s="53" t="n">
        <f aca="false">IF(BW617=1,0,IFERROR(VLOOKUP(BU617,'Gebinde-Kategorie'!$A$5:$N$45,13,0)+0,0))</f>
        <v>280</v>
      </c>
      <c r="S617" s="54"/>
      <c r="T617" s="55"/>
      <c r="U617" s="55"/>
      <c r="V617" s="55"/>
      <c r="W617" s="48"/>
      <c r="X617" s="50"/>
      <c r="Y617" s="50"/>
      <c r="Z617" s="48" t="n">
        <f aca="false">IF(A617="","",IF(AND(Parameter!$B$21="Ja",ISNUMBER(W617)),W617,IF(BZ617="2+3",IF(ISNUMBER(SEARCH("grosser Artikel",BR617)),2,IFERROR(VLOOKUP(BU617,Parameter!$F$35:$G$64,2,0),2)),IF(OR(BZ617="Nein",BZ617=""),"-",BZ617))))</f>
        <v>3</v>
      </c>
      <c r="AA617" s="55"/>
      <c r="AB617" s="56"/>
      <c r="AC617" s="50" t="n">
        <f aca="false">AT617</f>
        <v>190</v>
      </c>
      <c r="AD617" s="50" t="n">
        <f aca="false">MAX(AT617,H617)</f>
        <v>190</v>
      </c>
      <c r="AE617" s="57"/>
      <c r="AF617" s="50" t="n">
        <f aca="false">IF(LEFT(Cockpit!$C$5,1)="A",H617,IF(CE617=1,CF617,IF(LEFT(Cockpit!$C$5,1)="B",AK617,MAX(AK617,H617))))</f>
        <v>188</v>
      </c>
      <c r="AG617" s="50" t="n">
        <f aca="false">IF(BW617=1,0,ROUNDUP(AF617/BV617,0))</f>
        <v>1</v>
      </c>
      <c r="AH617" s="52" t="n">
        <f aca="false">IF(CL617&gt;0,CL617*MAX(1,AF617/X617),IF(BW617=1,IF(AF617&lt;=0,0,CA617*MAX(1,IF(H617&gt;0,AF617/H617,1))),IF(R617&gt;0,AG617/R617,0))/MAX(0.1,N(Parameter!$M$21)))</f>
        <v>0.00357142857142857</v>
      </c>
      <c r="AI617" s="50" t="n">
        <f aca="false">AH617*BY617</f>
        <v>0.553571428571429</v>
      </c>
      <c r="AJ617" s="50" t="n">
        <f aca="false">AF617*G617</f>
        <v>9.4</v>
      </c>
      <c r="AK617" s="50" t="n">
        <f aca="false">ROUNDUP(MAX(J617/IF(CD617&gt;0,CD617,MAX(0.1,N(Cockpit!$C$6))),CG617)/BV617,0)*BV617</f>
        <v>190</v>
      </c>
      <c r="AL617" s="51" t="n">
        <f aca="false">IF(AI617&gt;0,J617/AI617,-1)</f>
        <v>68.6451612903226</v>
      </c>
      <c r="AM617" s="51" t="n">
        <f aca="false">IF(AND(OR(CC617="L1",CC617="L23",CC617="LIFT"),AI617&gt;0),SUMIFS($AI$7:$AI$1843,$CC$7:$CC$1843,CC617,$AL$7:$AL$1843,"&gt;"&amp;AL617)+SUMIFS($AI$7:$AI$1843,$CC$7:$CC$1843,CC617,$AL$7:$AL$1843,AL617,$BT$7:$BT$1843,"&lt;="&amp;BT617),"")</f>
        <v>915.326923076923</v>
      </c>
      <c r="AN617" s="58" t="n">
        <f aca="false">IF(AM617="",0,MAX(0,MIN(1,(IF(CC617="L1",Parameter!$H$5,IF(CC617="L23",Parameter!$H$6+Parameter!$H$7,Parameter!$H$5+Parameter!$H$6+Parameter!$H$7))-(AM617-AI617))/AI617)))</f>
        <v>1</v>
      </c>
      <c r="AO617" s="50" t="n">
        <f aca="false">IF(LEFT(Cockpit!$I$5,1)="A",H617,IF(CE617=1,CF617,IF(LEFT(Cockpit!$I$5,1)="B",AT617,MAX(AT617,H617))))</f>
        <v>190</v>
      </c>
      <c r="AP617" s="50" t="n">
        <f aca="false">IF(BW617=1,0,ROUNDUP(AO617/BV617,0))</f>
        <v>1</v>
      </c>
      <c r="AQ617" s="52" t="n">
        <f aca="false">IF(CL617&gt;0,CL617*MAX(1,AO617/X617),IF(BW617=1,IF(AO617&lt;=0,0,CA617*MAX(1,IF(H617&gt;0,AO617/H617,1))),IF(R617&gt;0,AP617/R617,0))/MAX(0.1,N(Parameter!$M$21)))</f>
        <v>0.00357142857142857</v>
      </c>
      <c r="AR617" s="50" t="n">
        <f aca="false">AQ617*BY617</f>
        <v>0.553571428571429</v>
      </c>
      <c r="AS617" s="50" t="n">
        <f aca="false">AO617*G617</f>
        <v>9.5</v>
      </c>
      <c r="AT617" s="50" t="n">
        <f aca="false">ROUNDUP(MAX(J617/IF(CD617&gt;0,CD617,MAX(0.1,N(Cockpit!$I$6))),CG617)/BV617,0)*BV617</f>
        <v>190</v>
      </c>
      <c r="AU617" s="51" t="n">
        <f aca="false">IF(AR617&gt;0,J617/AR617,-1)</f>
        <v>68.6451612903226</v>
      </c>
      <c r="AV617" s="51" t="n">
        <f aca="false">IF(AND(OR(CC617="L1",CC617="L23",CC617="LIFT"),AR617&gt;0),SUMIFS($AR$7:$AR$1843,$CC$7:$CC$1843,CC617,$AU$7:$AU$1843,"&gt;"&amp;AU617)+SUMIFS($AR$7:$AR$1843,$CC$7:$CC$1843,CC617,$AU$7:$AU$1843,AU617,$BT$7:$BT$1843,"&lt;="&amp;BT617),"")</f>
        <v>1029.14606227106</v>
      </c>
      <c r="AW617" s="58" t="n">
        <f aca="false">IF(AV617="",0,MAX(0,MIN(1,(IF(CC617="L1",Parameter!$H$5,IF(CC617="L23",Parameter!$H$6+Parameter!$H$7,Parameter!$H$5+Parameter!$H$6+Parameter!$H$7))-(AV617-AR617))/AR617)))</f>
        <v>1</v>
      </c>
      <c r="AX617" s="50" t="n">
        <f aca="false">IF(LEFT(Cockpit!$O$5,1)="A",H617,IF(CE617=1,CF617,IF(LEFT(Cockpit!$O$5,1)="B",BC617,MAX(BC617,H617))))</f>
        <v>190</v>
      </c>
      <c r="AY617" s="50" t="n">
        <f aca="false">IF(BW617=1,0,ROUNDUP(AX617/BV617,0))</f>
        <v>1</v>
      </c>
      <c r="AZ617" s="52" t="n">
        <f aca="false">IF(CL617&gt;0,CL617*MAX(1,AX617/X617),IF(BW617=1,IF(AX617&lt;=0,0,CA617*MAX(1,IF(H617&gt;0,AX617/H617,1))),IF(R617&gt;0,AY617/R617,0))/MAX(0.1,N(Parameter!$M$21)))</f>
        <v>0.00357142857142857</v>
      </c>
      <c r="BA617" s="50" t="n">
        <f aca="false">AZ617*BY617</f>
        <v>0.553571428571429</v>
      </c>
      <c r="BB617" s="50" t="n">
        <f aca="false">AX617*G617</f>
        <v>9.5</v>
      </c>
      <c r="BC617" s="50" t="n">
        <f aca="false">ROUNDUP(MAX(J617/IF(CD617&gt;0,CD617,MAX(0.1,N(Cockpit!$O$6))),CG617)/BV617,0)*BV617</f>
        <v>190</v>
      </c>
      <c r="BD617" s="51" t="n">
        <f aca="false">IF(BA617&gt;0,J617/BA617,-1)</f>
        <v>68.6451612903226</v>
      </c>
      <c r="BE617" s="51" t="n">
        <f aca="false">IF(AND(OR(CC617="L1",CC617="L23",CC617="LIFT"),BA617&gt;0),SUMIFS($BA$7:$BA$1843,$CC$7:$CC$1843,CC617,$BD$7:$BD$1843,"&gt;"&amp;BD617)+SUMIFS($BA$7:$BA$1843,$CC$7:$CC$1843,CC617,$BD$7:$BD$1843,BD617,$BT$7:$BT$1843,"&lt;="&amp;BT617),"")</f>
        <v>1136.56593406593</v>
      </c>
      <c r="BF617" s="58" t="n">
        <f aca="false">IF(BE617="",0,MAX(0,MIN(1,(IF(CC617="L1",Parameter!$H$5,IF(CC617="L23",Parameter!$H$6+Parameter!$H$7,Parameter!$H$5+Parameter!$H$6+Parameter!$H$7))-(BE617-BA617))/BA617)))</f>
        <v>1</v>
      </c>
      <c r="BG617" s="48" t="str">
        <f aca="false">IF(AI617&lt;=0,"",IF(CC617="Aussen","Aussenlager",IF(CC617="-","Nicht im Lift",IF(AN617&gt;=1,"Lift",IF(AN617&lt;=0,"Aussenlager","teilweise")))))</f>
        <v>Lift</v>
      </c>
      <c r="BH617" s="48" t="str">
        <f aca="false">IF(AR617&lt;=0,"",IF(CC617="Aussen","Aussenlager",IF(CC617="-","Nicht im Lift",IF(AW617&gt;=1,"Lift",IF(AW617&lt;=0,"Aussenlager","teilweise")))))</f>
        <v>Lift</v>
      </c>
      <c r="BI617" s="48" t="str">
        <f aca="false">IF(BA617&lt;=0,"",IF(CC617="Aussen","Aussenlager",IF(CC617="-","Nicht im Lift",IF(BF617&gt;=1,"Lift",IF(BF617&lt;=0,"Aussenlager","teilweise")))))</f>
        <v>Lift</v>
      </c>
      <c r="BJ617" s="48" t="str">
        <f aca="false">IF(A617="","",IF(BS617=1,"Neu; ","")&amp;IF(AND(BS617=0,BN617&lt;0),"negativer Bestand (Export "&amp;BN617&amp;"); ","")&amp;IF(J617&lt;=0,"Kein Verbrauch; ","")&amp;IF(CL617&gt;0,"Lift "&amp;W617&amp;" lt. Liftbericht (Fach "&amp;X617&amp;" Stk); ",IF(BX617=1,"Gebinde geschätzt ("&amp;T617&amp;"); ",IF(BW617=1,"Lose – Tablare geschätzt; ","")))&amp;IF(H617&gt;AT617,"Überbestand "&amp;ROUND(H617-AT617,0)&amp;" Stk / CHF "&amp;ROUND((H617-AT617)*G617,0)&amp;"; ","")&amp;IF(AND(CE617=1,CF617&lt;CG617),"MAX &lt; MB+LG; ","")&amp;IF(AND(CK617&gt;0,CJ617*10&gt;CK617),"zu hoch für Tablar; ","")&amp;IF(AND(BS617=0,OR(CE617=1,AA617&lt;&gt;"",U617&lt;&gt;"",V617&lt;&gt;"",AB617&lt;&gt;"")),"manuell übersteuert; ","")&amp;IF(AND(BW617=0,R617=0),"Gebinde unbekannt / Stellmass fehlt; ","")&amp;IF(AND(BW617=0,N(V617)&lt;=0,N(Q617)&lt;=0),"Menge pro Gebinde fehlt (Ist = 1 Gebinde); ","")&amp;BR617)</f>
        <v/>
      </c>
      <c r="BK617" s="48"/>
      <c r="BL617" s="48"/>
      <c r="BM617" s="55"/>
      <c r="BN617" s="50" t="n">
        <v>91</v>
      </c>
      <c r="BO617" s="50" t="n">
        <v>97</v>
      </c>
      <c r="BP617" s="49" t="n">
        <v>4.55</v>
      </c>
      <c r="BQ617" s="50" t="n">
        <v>38</v>
      </c>
      <c r="BR617" s="48"/>
      <c r="BS617" s="53" t="n">
        <v>0</v>
      </c>
      <c r="BT617" s="53" t="n">
        <v>617</v>
      </c>
      <c r="BU617" s="48" t="str">
        <f aca="false">IF(U617&lt;&gt;"",UPPER(TRIM(U617)),IF(BX617=1,UPPER(VLOOKUP(T617,Parameter!$I$27:$K$29,2,0)),IF(P617="","LOSE",P617)))</f>
        <v>S21</v>
      </c>
      <c r="BV617" s="50" t="n">
        <f aca="false">IF(BU617="LOSE",1,IF(N(V617)&gt;0,V617,IF(BX617=1,MAX(1,N(VLOOKUP(T617,Parameter!$I$27:$K$29,3,0)),H617,N(N617)),IF(N(Q617)&gt;0,Q617,MAX(1,H617)))))</f>
        <v>190</v>
      </c>
      <c r="BW617" s="53" t="n">
        <f aca="false">IF(BU617="LOSE",1,0)</f>
        <v>0</v>
      </c>
      <c r="BX617" s="53" t="n">
        <f aca="false">IF(AND(U617="",OR(P617="",P617="LOSE"),T617&lt;&gt;"",N(S617)&lt;=0,ISNUMBER(MATCH(T617,Parameter!$I$27:$I$29,0))),1,0)</f>
        <v>0</v>
      </c>
      <c r="BY617" s="53" t="n">
        <f aca="false">IF(CL617&gt;0,INDEX(Parameter!$H$5:$H$7,W617)/INDEX(Parameter!$E$5:$E$7,W617),IF(AND(BW617=0,N(IFERROR(VLOOKUP(BU617,'Gebinde-Kategorie'!$A$5:$N$45,14,0),0))&gt;0),VLOOKUP(BU617,'Gebinde-Kategorie'!$A$5:$N$45,14,0)*10+Parameter!$M$23,Parameter!$M$24))</f>
        <v>155</v>
      </c>
      <c r="BZ617" s="48" t="str">
        <f aca="false">IF(AND(Parameter!$B$19="Ja",E617&lt;&gt;"",ISNUMBER(MATCH(E617,Parameter!$I$35:$I$52,0))),VLOOKUP(E617,Parameter!$I$35:$J$52,2,0),IFERROR(VLOOKUP(D617,Parameter!$A$35:$C$64,2,0),"Nein"))</f>
        <v>2+3</v>
      </c>
      <c r="CA617" s="52" t="n">
        <f aca="false">IF(BW617=0,0,IF(N(S617)&gt;0,S617,IFERROR(VLOOKUP(D617,Parameter!$A$35:$C$64,3,0)+0,0)))</f>
        <v>0</v>
      </c>
      <c r="CB617" s="48" t="n">
        <f aca="false">IF(AA617&lt;&gt;"",AA617,Z617)</f>
        <v>3</v>
      </c>
      <c r="CC617" s="48" t="str">
        <f aca="false">IF(OR(CB617=1,CB617=2,CB617=3),IF(Parameter!$E$27="Ja","LIFT",IF(CB617=1,"L1","L23")),IF(CB617="Aussen","Aussen","-"))</f>
        <v>LIFT</v>
      </c>
      <c r="CD617" s="59" t="n">
        <f aca="false">IF(N(AB617)&gt;0,AB617,0)</f>
        <v>0</v>
      </c>
      <c r="CE617" s="53" t="n">
        <f aca="false">IF(ISNUMBER(AE617),1,0)</f>
        <v>0</v>
      </c>
      <c r="CF617" s="50" t="n">
        <f aca="false">N(AE617)</f>
        <v>0</v>
      </c>
      <c r="CG617" s="50" t="n">
        <f aca="false">N(M617)+N(N617)</f>
        <v>40</v>
      </c>
      <c r="CH617" s="50" t="n">
        <f aca="false">ROUNDUP(H617/BV617,0)</f>
        <v>1</v>
      </c>
      <c r="CI617" s="50" t="n">
        <f aca="false">ROUNDUP(CF617/BV617,0)</f>
        <v>0</v>
      </c>
      <c r="CJ617" s="53" t="n">
        <f aca="false">IF(BW617=1,0,IFERROR(VLOOKUP(BU617,'Gebinde-Kategorie'!$A$5:$N$45,5,0)+0,0))</f>
        <v>8</v>
      </c>
      <c r="CK617" s="53" t="n">
        <f aca="false">IFERROR(IF(OR(CB617=1,CB617=2,CB617=3),N(INDEX(Parameter!$I$5:$I$7,CB617)),0),0)</f>
        <v>0</v>
      </c>
      <c r="CL617" s="52" t="n">
        <f aca="false">IF(AND(Parameter!$B$21="Ja",ISNUMBER(W617),N(X617)&gt;0),IFERROR(N(INDEX(Parameter!$L$5:$L$7,W617))*INDEX(Parameter!$E$5:$E$7,W617)*X617/SUMIFS($X$7:$X$1843,$W$7:$W$1843,W617),0),0)</f>
        <v>0</v>
      </c>
    </row>
    <row r="618" customFormat="false" ht="15" hidden="false" customHeight="false" outlineLevel="0" collapsed="false">
      <c r="A618" s="48" t="s">
        <v>1276</v>
      </c>
      <c r="B618" s="48" t="s">
        <v>1277</v>
      </c>
      <c r="C618" s="48" t="s">
        <v>168</v>
      </c>
      <c r="D618" s="48" t="s">
        <v>177</v>
      </c>
      <c r="E618" s="48"/>
      <c r="F618" s="48" t="s">
        <v>222</v>
      </c>
      <c r="G618" s="49" t="n">
        <v>0.05</v>
      </c>
      <c r="H618" s="50" t="n">
        <f aca="false">MAX(0,IF(AND(Parameter!$B$21="Ja",ISNUMBER(Y618)),Y618,IF(Parameter!$B$20="Jahresanfang 2025 + Export",BO618+BN618,BN618)))</f>
        <v>93</v>
      </c>
      <c r="I618" s="50" t="n">
        <f aca="false">H618*G618</f>
        <v>4.65</v>
      </c>
      <c r="J618" s="50" t="n">
        <f aca="false">BQ618*Parameter!$B$18</f>
        <v>0</v>
      </c>
      <c r="K618" s="51" t="n">
        <v>45.5</v>
      </c>
      <c r="L618" s="52" t="n">
        <v>0</v>
      </c>
      <c r="M618" s="50" t="n">
        <v>4</v>
      </c>
      <c r="N618" s="50" t="n">
        <v>125</v>
      </c>
      <c r="O618" s="53" t="n">
        <v>14</v>
      </c>
      <c r="P618" s="48" t="s">
        <v>172</v>
      </c>
      <c r="Q618" s="50"/>
      <c r="R618" s="53" t="n">
        <f aca="false">IF(BW618=1,0,IFERROR(VLOOKUP(BU618,'Gebinde-Kategorie'!$A$5:$N$45,13,0)+0,0))</f>
        <v>26</v>
      </c>
      <c r="S618" s="54"/>
      <c r="T618" s="55" t="s">
        <v>279</v>
      </c>
      <c r="U618" s="55"/>
      <c r="V618" s="55"/>
      <c r="W618" s="48"/>
      <c r="X618" s="50"/>
      <c r="Y618" s="50"/>
      <c r="Z618" s="48" t="n">
        <f aca="false">IF(A618="","",IF(AND(Parameter!$B$21="Ja",ISNUMBER(W618)),W618,IF(BZ618="2+3",IF(ISNUMBER(SEARCH("grosser Artikel",BR618)),2,IFERROR(VLOOKUP(BU618,Parameter!$F$35:$G$64,2,0),2)),IF(OR(BZ618="Nein",BZ618=""),"-",BZ618))))</f>
        <v>3</v>
      </c>
      <c r="AA618" s="55"/>
      <c r="AB618" s="56"/>
      <c r="AC618" s="50" t="n">
        <f aca="false">AT618</f>
        <v>250</v>
      </c>
      <c r="AD618" s="50" t="n">
        <f aca="false">MAX(AT618,H618)</f>
        <v>250</v>
      </c>
      <c r="AE618" s="57"/>
      <c r="AF618" s="50" t="n">
        <f aca="false">IF(LEFT(Cockpit!$C$5,1)="A",H618,IF(CE618=1,CF618,IF(LEFT(Cockpit!$C$5,1)="B",AK618,MAX(AK618,H618))))</f>
        <v>93</v>
      </c>
      <c r="AG618" s="50" t="n">
        <f aca="false">IF(BW618=1,0,ROUNDUP(AF618/BV618,0))</f>
        <v>1</v>
      </c>
      <c r="AH618" s="52" t="n">
        <f aca="false">IF(CL618&gt;0,CL618*MAX(1,AF618/X618),IF(BW618=1,IF(AF618&lt;=0,0,CA618*MAX(1,IF(H618&gt;0,AF618/H618,1))),IF(R618&gt;0,AG618/R618,0))/MAX(0.1,N(Parameter!$M$21)))</f>
        <v>0.0384615384615385</v>
      </c>
      <c r="AI618" s="50" t="n">
        <f aca="false">AH618*BY618</f>
        <v>5.96153846153846</v>
      </c>
      <c r="AJ618" s="50" t="n">
        <f aca="false">AF618*G618</f>
        <v>4.65</v>
      </c>
      <c r="AK618" s="50" t="n">
        <f aca="false">ROUNDUP(MAX(J618/IF(CD618&gt;0,CD618,MAX(0.1,N(Cockpit!$C$6))),CG618)/BV618,0)*BV618</f>
        <v>250</v>
      </c>
      <c r="AL618" s="51" t="n">
        <f aca="false">IF(AI618&gt;0,J618/AI618,-1)</f>
        <v>0</v>
      </c>
      <c r="AM618" s="51" t="n">
        <f aca="false">IF(AND(OR(CC618="L1",CC618="L23",CC618="LIFT"),AI618&gt;0),SUMIFS($AI$7:$AI$1843,$CC$7:$CC$1843,CC618,$AL$7:$AL$1843,"&gt;"&amp;AL618)+SUMIFS($AI$7:$AI$1843,$CC$7:$CC$1843,CC618,$AL$7:$AL$1843,AL618,$BT$7:$BT$1843,"&lt;="&amp;BT618),"")</f>
        <v>28546.5056626519</v>
      </c>
      <c r="AN618" s="58" t="n">
        <f aca="false">IF(AM618="",0,MAX(0,MIN(1,(IF(CC618="L1",Parameter!$H$5,IF(CC618="L23",Parameter!$H$6+Parameter!$H$7,Parameter!$H$5+Parameter!$H$6+Parameter!$H$7))-(AM618-AI618))/AI618)))</f>
        <v>1</v>
      </c>
      <c r="AO618" s="50" t="n">
        <f aca="false">IF(LEFT(Cockpit!$I$5,1)="A",H618,IF(CE618=1,CF618,IF(LEFT(Cockpit!$I$5,1)="B",AT618,MAX(AT618,H618))))</f>
        <v>250</v>
      </c>
      <c r="AP618" s="50" t="n">
        <f aca="false">IF(BW618=1,0,ROUNDUP(AO618/BV618,0))</f>
        <v>2</v>
      </c>
      <c r="AQ618" s="52" t="n">
        <f aca="false">IF(CL618&gt;0,CL618*MAX(1,AO618/X618),IF(BW618=1,IF(AO618&lt;=0,0,CA618*MAX(1,IF(H618&gt;0,AO618/H618,1))),IF(R618&gt;0,AP618/R618,0))/MAX(0.1,N(Parameter!$M$21)))</f>
        <v>0.0769230769230769</v>
      </c>
      <c r="AR618" s="50" t="n">
        <f aca="false">AQ618*BY618</f>
        <v>11.9230769230769</v>
      </c>
      <c r="AS618" s="50" t="n">
        <f aca="false">AO618*G618</f>
        <v>12.5</v>
      </c>
      <c r="AT618" s="50" t="n">
        <f aca="false">ROUNDUP(MAX(J618/IF(CD618&gt;0,CD618,MAX(0.1,N(Cockpit!$I$6))),CG618)/BV618,0)*BV618</f>
        <v>250</v>
      </c>
      <c r="AU618" s="51" t="n">
        <f aca="false">IF(AR618&gt;0,J618/AR618,-1)</f>
        <v>0</v>
      </c>
      <c r="AV618" s="51" t="n">
        <f aca="false">IF(AND(OR(CC618="L1",CC618="L23",CC618="LIFT"),AR618&gt;0),SUMIFS($AR$7:$AR$1843,$CC$7:$CC$1843,CC618,$AU$7:$AU$1843,"&gt;"&amp;AU618)+SUMIFS($AR$7:$AR$1843,$CC$7:$CC$1843,CC618,$AU$7:$AU$1843,AU618,$BT$7:$BT$1843,"&lt;="&amp;BT618),"")</f>
        <v>39865.3727183833</v>
      </c>
      <c r="AW618" s="58" t="n">
        <f aca="false">IF(AV618="",0,MAX(0,MIN(1,(IF(CC618="L1",Parameter!$H$5,IF(CC618="L23",Parameter!$H$6+Parameter!$H$7,Parameter!$H$5+Parameter!$H$6+Parameter!$H$7))-(AV618-AR618))/AR618)))</f>
        <v>0</v>
      </c>
      <c r="AX618" s="50" t="n">
        <f aca="false">IF(LEFT(Cockpit!$O$5,1)="A",H618,IF(CE618=1,CF618,IF(LEFT(Cockpit!$O$5,1)="B",BC618,MAX(BC618,H618))))</f>
        <v>250</v>
      </c>
      <c r="AY618" s="50" t="n">
        <f aca="false">IF(BW618=1,0,ROUNDUP(AX618/BV618,0))</f>
        <v>2</v>
      </c>
      <c r="AZ618" s="52" t="n">
        <f aca="false">IF(CL618&gt;0,CL618*MAX(1,AX618/X618),IF(BW618=1,IF(AX618&lt;=0,0,CA618*MAX(1,IF(H618&gt;0,AX618/H618,1))),IF(R618&gt;0,AY618/R618,0))/MAX(0.1,N(Parameter!$M$21)))</f>
        <v>0.0769230769230769</v>
      </c>
      <c r="BA618" s="50" t="n">
        <f aca="false">AZ618*BY618</f>
        <v>11.9230769230769</v>
      </c>
      <c r="BB618" s="50" t="n">
        <f aca="false">AX618*G618</f>
        <v>12.5</v>
      </c>
      <c r="BC618" s="50" t="n">
        <f aca="false">ROUNDUP(MAX(J618/IF(CD618&gt;0,CD618,MAX(0.1,N(Cockpit!$O$6))),CG618)/BV618,0)*BV618</f>
        <v>250</v>
      </c>
      <c r="BD618" s="51" t="n">
        <f aca="false">IF(BA618&gt;0,J618/BA618,-1)</f>
        <v>0</v>
      </c>
      <c r="BE618" s="51" t="n">
        <f aca="false">IF(AND(OR(CC618="L1",CC618="L23",CC618="LIFT"),BA618&gt;0),SUMIFS($BA$7:$BA$1843,$CC$7:$CC$1843,CC618,$BD$7:$BD$1843,"&gt;"&amp;BD618)+SUMIFS($BA$7:$BA$1843,$CC$7:$CC$1843,CC618,$BD$7:$BD$1843,BD618,$BT$7:$BT$1843,"&lt;="&amp;BT618),"")</f>
        <v>36540.3847602492</v>
      </c>
      <c r="BF618" s="58" t="n">
        <f aca="false">IF(BE618="",0,MAX(0,MIN(1,(IF(CC618="L1",Parameter!$H$5,IF(CC618="L23",Parameter!$H$6+Parameter!$H$7,Parameter!$H$5+Parameter!$H$6+Parameter!$H$7))-(BE618-BA618))/BA618)))</f>
        <v>0</v>
      </c>
      <c r="BG618" s="48" t="str">
        <f aca="false">IF(AI618&lt;=0,"",IF(CC618="Aussen","Aussenlager",IF(CC618="-","Nicht im Lift",IF(AN618&gt;=1,"Lift",IF(AN618&lt;=0,"Aussenlager","teilweise")))))</f>
        <v>Lift</v>
      </c>
      <c r="BH618" s="48" t="str">
        <f aca="false">IF(AR618&lt;=0,"",IF(CC618="Aussen","Aussenlager",IF(CC618="-","Nicht im Lift",IF(AW618&gt;=1,"Lift",IF(AW618&lt;=0,"Aussenlager","teilweise")))))</f>
        <v>Aussenlager</v>
      </c>
      <c r="BI618" s="48" t="str">
        <f aca="false">IF(BA618&lt;=0,"",IF(CC618="Aussen","Aussenlager",IF(CC618="-","Nicht im Lift",IF(BF618&gt;=1,"Lift",IF(BF618&lt;=0,"Aussenlager","teilweise")))))</f>
        <v>Aussenlager</v>
      </c>
      <c r="BJ618" s="48" t="str">
        <f aca="false">IF(A618="","",IF(BS618=1,"Neu; ","")&amp;IF(AND(BS618=0,BN618&lt;0),"negativer Bestand (Export "&amp;BN618&amp;"); ","")&amp;IF(J618&lt;=0,"Kein Verbrauch; ","")&amp;IF(CL618&gt;0,"Lift "&amp;W618&amp;" lt. Liftbericht (Fach "&amp;X618&amp;" Stk); ",IF(BX618=1,"Gebinde geschätzt ("&amp;T618&amp;"); ",IF(BW618=1,"Lose – Tablare geschätzt; ","")))&amp;IF(H618&gt;AT618,"Überbestand "&amp;ROUND(H618-AT618,0)&amp;" Stk / CHF "&amp;ROUND((H618-AT618)*G618,0)&amp;"; ","")&amp;IF(AND(CE618=1,CF618&lt;CG618),"MAX &lt; MB+LG; ","")&amp;IF(AND(CK618&gt;0,CJ618*10&gt;CK618),"zu hoch für Tablar; ","")&amp;IF(AND(BS618=0,OR(CE618=1,AA618&lt;&gt;"",U618&lt;&gt;"",V618&lt;&gt;"",AB618&lt;&gt;"")),"manuell übersteuert; ","")&amp;IF(AND(BW618=0,R618=0),"Gebinde unbekannt / Stellmass fehlt; ","")&amp;IF(AND(BW618=0,N(V618)&lt;=0,N(Q618)&lt;=0),"Menge pro Gebinde fehlt (Ist = 1 Gebinde); ","")&amp;BR618)</f>
        <v>Kein Verbrauch; Gebinde geschätzt (Klein); Menge pro Gebinde fehlt (Ist = 1 Gebinde); </v>
      </c>
      <c r="BK618" s="48"/>
      <c r="BL618" s="48"/>
      <c r="BM618" s="55"/>
      <c r="BN618" s="50" t="n">
        <v>88</v>
      </c>
      <c r="BO618" s="50" t="n">
        <v>5</v>
      </c>
      <c r="BP618" s="49" t="n">
        <v>4.4</v>
      </c>
      <c r="BQ618" s="50" t="n">
        <v>0</v>
      </c>
      <c r="BR618" s="48"/>
      <c r="BS618" s="53" t="n">
        <v>0</v>
      </c>
      <c r="BT618" s="53" t="n">
        <v>618</v>
      </c>
      <c r="BU618" s="48" t="str">
        <f aca="false">IF(U618&lt;&gt;"",UPPER(TRIM(U618)),IF(BX618=1,UPPER(VLOOKUP(T618,Parameter!$I$27:$K$29,2,0)),IF(P618="","LOSE",P618)))</f>
        <v>S51</v>
      </c>
      <c r="BV618" s="50" t="n">
        <f aca="false">IF(BU618="LOSE",1,IF(N(V618)&gt;0,V618,IF(BX618=1,MAX(1,N(VLOOKUP(T618,Parameter!$I$27:$K$29,3,0)),H618,N(N618)),IF(N(Q618)&gt;0,Q618,MAX(1,H618)))))</f>
        <v>125</v>
      </c>
      <c r="BW618" s="53" t="n">
        <f aca="false">IF(BU618="LOSE",1,0)</f>
        <v>0</v>
      </c>
      <c r="BX618" s="53" t="n">
        <f aca="false">IF(AND(U618="",OR(P618="",P618="LOSE"),T618&lt;&gt;"",N(S618)&lt;=0,ISNUMBER(MATCH(T618,Parameter!$I$27:$I$29,0))),1,0)</f>
        <v>1</v>
      </c>
      <c r="BY618" s="53" t="n">
        <f aca="false">IF(CL618&gt;0,INDEX(Parameter!$H$5:$H$7,W618)/INDEX(Parameter!$E$5:$E$7,W618),IF(AND(BW618=0,N(IFERROR(VLOOKUP(BU618,'Gebinde-Kategorie'!$A$5:$N$45,14,0),0))&gt;0),VLOOKUP(BU618,'Gebinde-Kategorie'!$A$5:$N$45,14,0)*10+Parameter!$M$23,Parameter!$M$24))</f>
        <v>155</v>
      </c>
      <c r="BZ618" s="48" t="str">
        <f aca="false">IF(AND(Parameter!$B$19="Ja",E618&lt;&gt;"",ISNUMBER(MATCH(E618,Parameter!$I$35:$I$52,0))),VLOOKUP(E618,Parameter!$I$35:$J$52,2,0),IFERROR(VLOOKUP(D618,Parameter!$A$35:$C$64,2,0),"Nein"))</f>
        <v>2+3</v>
      </c>
      <c r="CA618" s="52" t="n">
        <f aca="false">IF(BW618=0,0,IF(N(S618)&gt;0,S618,IFERROR(VLOOKUP(D618,Parameter!$A$35:$C$64,3,0)+0,0)))</f>
        <v>0</v>
      </c>
      <c r="CB618" s="48" t="n">
        <f aca="false">IF(AA618&lt;&gt;"",AA618,Z618)</f>
        <v>3</v>
      </c>
      <c r="CC618" s="48" t="str">
        <f aca="false">IF(OR(CB618=1,CB618=2,CB618=3),IF(Parameter!$E$27="Ja","LIFT",IF(CB618=1,"L1","L23")),IF(CB618="Aussen","Aussen","-"))</f>
        <v>LIFT</v>
      </c>
      <c r="CD618" s="59" t="n">
        <f aca="false">IF(N(AB618)&gt;0,AB618,0)</f>
        <v>0</v>
      </c>
      <c r="CE618" s="53" t="n">
        <f aca="false">IF(ISNUMBER(AE618),1,0)</f>
        <v>0</v>
      </c>
      <c r="CF618" s="50" t="n">
        <f aca="false">N(AE618)</f>
        <v>0</v>
      </c>
      <c r="CG618" s="50" t="n">
        <f aca="false">N(M618)+N(N618)</f>
        <v>129</v>
      </c>
      <c r="CH618" s="50" t="n">
        <f aca="false">ROUNDUP(H618/BV618,0)</f>
        <v>1</v>
      </c>
      <c r="CI618" s="50" t="n">
        <f aca="false">ROUNDUP(CF618/BV618,0)</f>
        <v>0</v>
      </c>
      <c r="CJ618" s="53" t="n">
        <f aca="false">IF(BW618=1,0,IFERROR(VLOOKUP(BU618,'Gebinde-Kategorie'!$A$5:$N$45,5,0)+0,0))</f>
        <v>11</v>
      </c>
      <c r="CK618" s="53" t="n">
        <f aca="false">IFERROR(IF(OR(CB618=1,CB618=2,CB618=3),N(INDEX(Parameter!$I$5:$I$7,CB618)),0),0)</f>
        <v>0</v>
      </c>
      <c r="CL618" s="52" t="n">
        <f aca="false">IF(AND(Parameter!$B$21="Ja",ISNUMBER(W618),N(X618)&gt;0),IFERROR(N(INDEX(Parameter!$L$5:$L$7,W618))*INDEX(Parameter!$E$5:$E$7,W618)*X618/SUMIFS($X$7:$X$1843,$W$7:$W$1843,W618),0),0)</f>
        <v>0</v>
      </c>
    </row>
    <row r="619" customFormat="false" ht="15" hidden="false" customHeight="false" outlineLevel="0" collapsed="false">
      <c r="A619" s="48" t="s">
        <v>1278</v>
      </c>
      <c r="B619" s="48" t="s">
        <v>411</v>
      </c>
      <c r="C619" s="48" t="s">
        <v>168</v>
      </c>
      <c r="D619" s="48" t="s">
        <v>999</v>
      </c>
      <c r="E619" s="48"/>
      <c r="F619" s="48" t="s">
        <v>222</v>
      </c>
      <c r="G619" s="49" t="n">
        <v>3.25</v>
      </c>
      <c r="H619" s="50" t="n">
        <f aca="false">MAX(0,IF(AND(Parameter!$B$21="Ja",ISNUMBER(Y619)),Y619,IF(Parameter!$B$20="Jahresanfang 2025 + Export",BO619+BN619,BN619)))</f>
        <v>1</v>
      </c>
      <c r="I619" s="50" t="n">
        <f aca="false">H619*G619</f>
        <v>3.25</v>
      </c>
      <c r="J619" s="50" t="n">
        <f aca="false">BQ619*Parameter!$B$18</f>
        <v>60</v>
      </c>
      <c r="K619" s="51" t="n">
        <v>0.5</v>
      </c>
      <c r="L619" s="52" t="n">
        <v>120</v>
      </c>
      <c r="M619" s="50" t="n">
        <v>0</v>
      </c>
      <c r="N619" s="50" t="n">
        <v>100</v>
      </c>
      <c r="O619" s="53" t="n">
        <v>28</v>
      </c>
      <c r="P619" s="48" t="s">
        <v>172</v>
      </c>
      <c r="Q619" s="50"/>
      <c r="R619" s="53" t="n">
        <f aca="false">IF(BW619=1,0,IFERROR(VLOOKUP(BU619,'Gebinde-Kategorie'!$A$5:$N$45,13,0)+0,0))</f>
        <v>0</v>
      </c>
      <c r="S619" s="54"/>
      <c r="T619" s="55"/>
      <c r="U619" s="55"/>
      <c r="V619" s="55"/>
      <c r="W619" s="48"/>
      <c r="X619" s="50"/>
      <c r="Y619" s="50"/>
      <c r="Z619" s="48" t="str">
        <f aca="false">IF(A619="","",IF(AND(Parameter!$B$21="Ja",ISNUMBER(W619)),W619,IF(BZ619="2+3",IF(ISNUMBER(SEARCH("grosser Artikel",BR619)),2,IFERROR(VLOOKUP(BU619,Parameter!$F$35:$G$64,2,0),2)),IF(OR(BZ619="Nein",BZ619=""),"-",BZ619))))</f>
        <v>-</v>
      </c>
      <c r="AA619" s="55"/>
      <c r="AB619" s="56"/>
      <c r="AC619" s="50" t="n">
        <f aca="false">AT619</f>
        <v>100</v>
      </c>
      <c r="AD619" s="50" t="n">
        <f aca="false">MAX(AT619,H619)</f>
        <v>100</v>
      </c>
      <c r="AE619" s="57"/>
      <c r="AF619" s="50" t="n">
        <f aca="false">IF(LEFT(Cockpit!$C$5,1)="A",H619,IF(CE619=1,CF619,IF(LEFT(Cockpit!$C$5,1)="B",AK619,MAX(AK619,H619))))</f>
        <v>1</v>
      </c>
      <c r="AG619" s="50" t="n">
        <f aca="false">IF(BW619=1,0,ROUNDUP(AF619/BV619,0))</f>
        <v>0</v>
      </c>
      <c r="AH619" s="52" t="n">
        <f aca="false">IF(CL619&gt;0,CL619*MAX(1,AF619/X619),IF(BW619=1,IF(AF619&lt;=0,0,CA619*MAX(1,IF(H619&gt;0,AF619/H619,1))),IF(R619&gt;0,AG619/R619,0))/MAX(0.1,N(Parameter!$M$21)))</f>
        <v>0.15</v>
      </c>
      <c r="AI619" s="50" t="n">
        <f aca="false">AH619*BY619</f>
        <v>35.25</v>
      </c>
      <c r="AJ619" s="50" t="n">
        <f aca="false">AF619*G619</f>
        <v>3.25</v>
      </c>
      <c r="AK619" s="50" t="n">
        <f aca="false">ROUNDUP(MAX(J619/IF(CD619&gt;0,CD619,MAX(0.1,N(Cockpit!$C$6))),CG619)/BV619,0)*BV619</f>
        <v>100</v>
      </c>
      <c r="AL619" s="51" t="n">
        <f aca="false">IF(AI619&gt;0,J619/AI619,-1)</f>
        <v>1.70212765957447</v>
      </c>
      <c r="AM619" s="51" t="str">
        <f aca="false">IF(AND(OR(CC619="L1",CC619="L23",CC619="LIFT"),AI619&gt;0),SUMIFS($AI$7:$AI$1843,$CC$7:$CC$1843,CC619,$AL$7:$AL$1843,"&gt;"&amp;AL619)+SUMIFS($AI$7:$AI$1843,$CC$7:$CC$1843,CC619,$AL$7:$AL$1843,AL619,$BT$7:$BT$1843,"&lt;="&amp;BT619),"")</f>
        <v/>
      </c>
      <c r="AN619" s="58" t="n">
        <f aca="false">IF(AM619="",0,MAX(0,MIN(1,(IF(CC619="L1",Parameter!$H$5,IF(CC619="L23",Parameter!$H$6+Parameter!$H$7,Parameter!$H$5+Parameter!$H$6+Parameter!$H$7))-(AM619-AI619))/AI619)))</f>
        <v>0</v>
      </c>
      <c r="AO619" s="50" t="n">
        <f aca="false">IF(LEFT(Cockpit!$I$5,1)="A",H619,IF(CE619=1,CF619,IF(LEFT(Cockpit!$I$5,1)="B",AT619,MAX(AT619,H619))))</f>
        <v>100</v>
      </c>
      <c r="AP619" s="50" t="n">
        <f aca="false">IF(BW619=1,0,ROUNDUP(AO619/BV619,0))</f>
        <v>0</v>
      </c>
      <c r="AQ619" s="52" t="n">
        <f aca="false">IF(CL619&gt;0,CL619*MAX(1,AO619/X619),IF(BW619=1,IF(AO619&lt;=0,0,CA619*MAX(1,IF(H619&gt;0,AO619/H619,1))),IF(R619&gt;0,AP619/R619,0))/MAX(0.1,N(Parameter!$M$21)))</f>
        <v>15</v>
      </c>
      <c r="AR619" s="50" t="n">
        <f aca="false">AQ619*BY619</f>
        <v>3525</v>
      </c>
      <c r="AS619" s="50" t="n">
        <f aca="false">AO619*G619</f>
        <v>325</v>
      </c>
      <c r="AT619" s="50" t="n">
        <f aca="false">ROUNDUP(MAX(J619/IF(CD619&gt;0,CD619,MAX(0.1,N(Cockpit!$I$6))),CG619)/BV619,0)*BV619</f>
        <v>100</v>
      </c>
      <c r="AU619" s="51" t="n">
        <f aca="false">IF(AR619&gt;0,J619/AR619,-1)</f>
        <v>0.0170212765957447</v>
      </c>
      <c r="AV619" s="51" t="str">
        <f aca="false">IF(AND(OR(CC619="L1",CC619="L23",CC619="LIFT"),AR619&gt;0),SUMIFS($AR$7:$AR$1843,$CC$7:$CC$1843,CC619,$AU$7:$AU$1843,"&gt;"&amp;AU619)+SUMIFS($AR$7:$AR$1843,$CC$7:$CC$1843,CC619,$AU$7:$AU$1843,AU619,$BT$7:$BT$1843,"&lt;="&amp;BT619),"")</f>
        <v/>
      </c>
      <c r="AW619" s="58" t="n">
        <f aca="false">IF(AV619="",0,MAX(0,MIN(1,(IF(CC619="L1",Parameter!$H$5,IF(CC619="L23",Parameter!$H$6+Parameter!$H$7,Parameter!$H$5+Parameter!$H$6+Parameter!$H$7))-(AV619-AR619))/AR619)))</f>
        <v>0</v>
      </c>
      <c r="AX619" s="50" t="n">
        <f aca="false">IF(LEFT(Cockpit!$O$5,1)="A",H619,IF(CE619=1,CF619,IF(LEFT(Cockpit!$O$5,1)="B",BC619,MAX(BC619,H619))))</f>
        <v>100</v>
      </c>
      <c r="AY619" s="50" t="n">
        <f aca="false">IF(BW619=1,0,ROUNDUP(AX619/BV619,0))</f>
        <v>0</v>
      </c>
      <c r="AZ619" s="52" t="n">
        <f aca="false">IF(CL619&gt;0,CL619*MAX(1,AX619/X619),IF(BW619=1,IF(AX619&lt;=0,0,CA619*MAX(1,IF(H619&gt;0,AX619/H619,1))),IF(R619&gt;0,AY619/R619,0))/MAX(0.1,N(Parameter!$M$21)))</f>
        <v>15</v>
      </c>
      <c r="BA619" s="50" t="n">
        <f aca="false">AZ619*BY619</f>
        <v>3525</v>
      </c>
      <c r="BB619" s="50" t="n">
        <f aca="false">AX619*G619</f>
        <v>325</v>
      </c>
      <c r="BC619" s="50" t="n">
        <f aca="false">ROUNDUP(MAX(J619/IF(CD619&gt;0,CD619,MAX(0.1,N(Cockpit!$O$6))),CG619)/BV619,0)*BV619</f>
        <v>100</v>
      </c>
      <c r="BD619" s="51" t="n">
        <f aca="false">IF(BA619&gt;0,J619/BA619,-1)</f>
        <v>0.0170212765957447</v>
      </c>
      <c r="BE619" s="51" t="str">
        <f aca="false">IF(AND(OR(CC619="L1",CC619="L23",CC619="LIFT"),BA619&gt;0),SUMIFS($BA$7:$BA$1843,$CC$7:$CC$1843,CC619,$BD$7:$BD$1843,"&gt;"&amp;BD619)+SUMIFS($BA$7:$BA$1843,$CC$7:$CC$1843,CC619,$BD$7:$BD$1843,BD619,$BT$7:$BT$1843,"&lt;="&amp;BT619),"")</f>
        <v/>
      </c>
      <c r="BF619" s="58" t="n">
        <f aca="false">IF(BE619="",0,MAX(0,MIN(1,(IF(CC619="L1",Parameter!$H$5,IF(CC619="L23",Parameter!$H$6+Parameter!$H$7,Parameter!$H$5+Parameter!$H$6+Parameter!$H$7))-(BE619-BA619))/BA619)))</f>
        <v>0</v>
      </c>
      <c r="BG619" s="48" t="str">
        <f aca="false">IF(AI619&lt;=0,"",IF(CC619="Aussen","Aussenlager",IF(CC619="-","Nicht im Lift",IF(AN619&gt;=1,"Lift",IF(AN619&lt;=0,"Aussenlager","teilweise")))))</f>
        <v>Nicht im Lift</v>
      </c>
      <c r="BH619" s="48" t="str">
        <f aca="false">IF(AR619&lt;=0,"",IF(CC619="Aussen","Aussenlager",IF(CC619="-","Nicht im Lift",IF(AW619&gt;=1,"Lift",IF(AW619&lt;=0,"Aussenlager","teilweise")))))</f>
        <v>Nicht im Lift</v>
      </c>
      <c r="BI619" s="48" t="str">
        <f aca="false">IF(BA619&lt;=0,"",IF(CC619="Aussen","Aussenlager",IF(CC619="-","Nicht im Lift",IF(BF619&gt;=1,"Lift",IF(BF619&lt;=0,"Aussenlager","teilweise")))))</f>
        <v>Nicht im Lift</v>
      </c>
      <c r="BJ619" s="48" t="str">
        <f aca="false">IF(A619="","",IF(BS619=1,"Neu; ","")&amp;IF(AND(BS619=0,BN619&lt;0),"negativer Bestand (Export "&amp;BN619&amp;"); ","")&amp;IF(J619&lt;=0,"Kein Verbrauch; ","")&amp;IF(CL619&gt;0,"Lift "&amp;W619&amp;" lt. Liftbericht (Fach "&amp;X619&amp;" Stk); ",IF(BX619=1,"Gebinde geschätzt ("&amp;T619&amp;"); ",IF(BW619=1,"Lose – Tablare geschätzt; ","")))&amp;IF(H619&gt;AT619,"Überbestand "&amp;ROUND(H619-AT619,0)&amp;" Stk / CHF "&amp;ROUND((H619-AT619)*G619,0)&amp;"; ","")&amp;IF(AND(CE619=1,CF619&lt;CG619),"MAX &lt; MB+LG; ","")&amp;IF(AND(CK619&gt;0,CJ619*10&gt;CK619),"zu hoch für Tablar; ","")&amp;IF(AND(BS619=0,OR(CE619=1,AA619&lt;&gt;"",U619&lt;&gt;"",V619&lt;&gt;"",AB619&lt;&gt;"")),"manuell übersteuert; ","")&amp;IF(AND(BW619=0,R619=0),"Gebinde unbekannt / Stellmass fehlt; ","")&amp;IF(AND(BW619=0,N(V619)&lt;=0,N(Q619)&lt;=0),"Menge pro Gebinde fehlt (Ist = 1 Gebinde); ","")&amp;BR619)</f>
        <v>Lose – Tablare geschätzt; </v>
      </c>
      <c r="BK619" s="48"/>
      <c r="BL619" s="48"/>
      <c r="BM619" s="55"/>
      <c r="BN619" s="50" t="n">
        <v>1</v>
      </c>
      <c r="BO619" s="50" t="n">
        <v>0</v>
      </c>
      <c r="BP619" s="49" t="n">
        <v>3.25</v>
      </c>
      <c r="BQ619" s="50" t="n">
        <v>60</v>
      </c>
      <c r="BR619" s="48"/>
      <c r="BS619" s="53" t="n">
        <v>0</v>
      </c>
      <c r="BT619" s="53" t="n">
        <v>619</v>
      </c>
      <c r="BU619" s="48" t="str">
        <f aca="false">IF(U619&lt;&gt;"",UPPER(TRIM(U619)),IF(BX619=1,UPPER(VLOOKUP(T619,Parameter!$I$27:$K$29,2,0)),IF(P619="","LOSE",P619)))</f>
        <v>LOSE</v>
      </c>
      <c r="BV619" s="50" t="n">
        <f aca="false">IF(BU619="LOSE",1,IF(N(V619)&gt;0,V619,IF(BX619=1,MAX(1,N(VLOOKUP(T619,Parameter!$I$27:$K$29,3,0)),H619,N(N619)),IF(N(Q619)&gt;0,Q619,MAX(1,H619)))))</f>
        <v>1</v>
      </c>
      <c r="BW619" s="53" t="n">
        <f aca="false">IF(BU619="LOSE",1,0)</f>
        <v>1</v>
      </c>
      <c r="BX619" s="53" t="n">
        <f aca="false">IF(AND(U619="",OR(P619="",P619="LOSE"),T619&lt;&gt;"",N(S619)&lt;=0,ISNUMBER(MATCH(T619,Parameter!$I$27:$I$29,0))),1,0)</f>
        <v>0</v>
      </c>
      <c r="BY619" s="53" t="n">
        <f aca="false">IF(CL619&gt;0,INDEX(Parameter!$H$5:$H$7,W619)/INDEX(Parameter!$E$5:$E$7,W619),IF(AND(BW619=0,N(IFERROR(VLOOKUP(BU619,'Gebinde-Kategorie'!$A$5:$N$45,14,0),0))&gt;0),VLOOKUP(BU619,'Gebinde-Kategorie'!$A$5:$N$45,14,0)*10+Parameter!$M$23,Parameter!$M$24))</f>
        <v>235</v>
      </c>
      <c r="BZ619" s="48" t="str">
        <f aca="false">IF(AND(Parameter!$B$19="Ja",E619&lt;&gt;"",ISNUMBER(MATCH(E619,Parameter!$I$35:$I$52,0))),VLOOKUP(E619,Parameter!$I$35:$J$52,2,0),IFERROR(VLOOKUP(D619,Parameter!$A$35:$C$64,2,0),"Nein"))</f>
        <v>Nein</v>
      </c>
      <c r="CA619" s="52" t="n">
        <f aca="false">IF(BW619=0,0,IF(N(S619)&gt;0,S619,IFERROR(VLOOKUP(D619,Parameter!$A$35:$C$64,3,0)+0,0)))</f>
        <v>0.15</v>
      </c>
      <c r="CB619" s="48" t="str">
        <f aca="false">IF(AA619&lt;&gt;"",AA619,Z619)</f>
        <v>-</v>
      </c>
      <c r="CC619" s="48" t="str">
        <f aca="false">IF(OR(CB619=1,CB619=2,CB619=3),IF(Parameter!$E$27="Ja","LIFT",IF(CB619=1,"L1","L23")),IF(CB619="Aussen","Aussen","-"))</f>
        <v>-</v>
      </c>
      <c r="CD619" s="59" t="n">
        <f aca="false">IF(N(AB619)&gt;0,AB619,0)</f>
        <v>0</v>
      </c>
      <c r="CE619" s="53" t="n">
        <f aca="false">IF(ISNUMBER(AE619),1,0)</f>
        <v>0</v>
      </c>
      <c r="CF619" s="50" t="n">
        <f aca="false">N(AE619)</f>
        <v>0</v>
      </c>
      <c r="CG619" s="50" t="n">
        <f aca="false">N(M619)+N(N619)</f>
        <v>100</v>
      </c>
      <c r="CH619" s="50" t="n">
        <f aca="false">ROUNDUP(H619/BV619,0)</f>
        <v>1</v>
      </c>
      <c r="CI619" s="50" t="n">
        <f aca="false">ROUNDUP(CF619/BV619,0)</f>
        <v>0</v>
      </c>
      <c r="CJ619" s="53" t="n">
        <f aca="false">IF(BW619=1,0,IFERROR(VLOOKUP(BU619,'Gebinde-Kategorie'!$A$5:$N$45,5,0)+0,0))</f>
        <v>0</v>
      </c>
      <c r="CK619" s="53" t="n">
        <f aca="false">IFERROR(IF(OR(CB619=1,CB619=2,CB619=3),N(INDEX(Parameter!$I$5:$I$7,CB619)),0),0)</f>
        <v>0</v>
      </c>
      <c r="CL619" s="52" t="n">
        <f aca="false">IF(AND(Parameter!$B$21="Ja",ISNUMBER(W619),N(X619)&gt;0),IFERROR(N(INDEX(Parameter!$L$5:$L$7,W619))*INDEX(Parameter!$E$5:$E$7,W619)*X619/SUMIFS($X$7:$X$1843,$W$7:$W$1843,W619),0),0)</f>
        <v>0</v>
      </c>
    </row>
    <row r="620" customFormat="false" ht="15" hidden="false" customHeight="false" outlineLevel="0" collapsed="false">
      <c r="A620" s="48" t="s">
        <v>1279</v>
      </c>
      <c r="B620" s="48" t="s">
        <v>1280</v>
      </c>
      <c r="C620" s="48" t="s">
        <v>168</v>
      </c>
      <c r="D620" s="48" t="s">
        <v>188</v>
      </c>
      <c r="E620" s="48"/>
      <c r="F620" s="48" t="s">
        <v>222</v>
      </c>
      <c r="G620" s="49" t="n">
        <v>1.52</v>
      </c>
      <c r="H620" s="50" t="n">
        <f aca="false">MAX(0,IF(AND(Parameter!$B$21="Ja",ISNUMBER(Y620)),Y620,IF(Parameter!$B$20="Jahresanfang 2025 + Export",BO620+BN620,BN620)))</f>
        <v>2</v>
      </c>
      <c r="I620" s="50" t="n">
        <f aca="false">H620*G620</f>
        <v>3.04</v>
      </c>
      <c r="J620" s="50" t="n">
        <f aca="false">BQ620*Parameter!$B$18</f>
        <v>0</v>
      </c>
      <c r="K620" s="51" t="n">
        <v>0</v>
      </c>
      <c r="L620" s="52" t="n">
        <v>0</v>
      </c>
      <c r="M620" s="50" t="n">
        <v>0</v>
      </c>
      <c r="N620" s="50" t="n">
        <v>1</v>
      </c>
      <c r="O620" s="53" t="n">
        <v>21</v>
      </c>
      <c r="P620" s="48" t="s">
        <v>430</v>
      </c>
      <c r="Q620" s="50" t="n">
        <v>10</v>
      </c>
      <c r="R620" s="53" t="n">
        <f aca="false">IF(BW620=1,0,IFERROR(VLOOKUP(BU620,'Gebinde-Kategorie'!$A$5:$N$45,13,0)+0,0))</f>
        <v>140</v>
      </c>
      <c r="S620" s="54"/>
      <c r="T620" s="55"/>
      <c r="U620" s="55"/>
      <c r="V620" s="55"/>
      <c r="W620" s="48"/>
      <c r="X620" s="50"/>
      <c r="Y620" s="50"/>
      <c r="Z620" s="48" t="n">
        <f aca="false">IF(A620="","",IF(AND(Parameter!$B$21="Ja",ISNUMBER(W620)),W620,IF(BZ620="2+3",IF(ISNUMBER(SEARCH("grosser Artikel",BR620)),2,IFERROR(VLOOKUP(BU620,Parameter!$F$35:$G$64,2,0),2)),IF(OR(BZ620="Nein",BZ620=""),"-",BZ620))))</f>
        <v>3</v>
      </c>
      <c r="AA620" s="55"/>
      <c r="AB620" s="56"/>
      <c r="AC620" s="50" t="n">
        <f aca="false">AT620</f>
        <v>10</v>
      </c>
      <c r="AD620" s="50" t="n">
        <f aca="false">MAX(AT620,H620)</f>
        <v>10</v>
      </c>
      <c r="AE620" s="57"/>
      <c r="AF620" s="50" t="n">
        <f aca="false">IF(LEFT(Cockpit!$C$5,1)="A",H620,IF(CE620=1,CF620,IF(LEFT(Cockpit!$C$5,1)="B",AK620,MAX(AK620,H620))))</f>
        <v>2</v>
      </c>
      <c r="AG620" s="50" t="n">
        <f aca="false">IF(BW620=1,0,ROUNDUP(AF620/BV620,0))</f>
        <v>1</v>
      </c>
      <c r="AH620" s="52" t="n">
        <f aca="false">IF(CL620&gt;0,CL620*MAX(1,AF620/X620),IF(BW620=1,IF(AF620&lt;=0,0,CA620*MAX(1,IF(H620&gt;0,AF620/H620,1))),IF(R620&gt;0,AG620/R620,0))/MAX(0.1,N(Parameter!$M$21)))</f>
        <v>0.00714285714285714</v>
      </c>
      <c r="AI620" s="50" t="n">
        <f aca="false">AH620*BY620</f>
        <v>1.10714285714286</v>
      </c>
      <c r="AJ620" s="50" t="n">
        <f aca="false">AF620*G620</f>
        <v>3.04</v>
      </c>
      <c r="AK620" s="50" t="n">
        <f aca="false">ROUNDUP(MAX(J620/IF(CD620&gt;0,CD620,MAX(0.1,N(Cockpit!$C$6))),CG620)/BV620,0)*BV620</f>
        <v>10</v>
      </c>
      <c r="AL620" s="51" t="n">
        <f aca="false">IF(AI620&gt;0,J620/AI620,-1)</f>
        <v>0</v>
      </c>
      <c r="AM620" s="51" t="n">
        <f aca="false">IF(AND(OR(CC620="L1",CC620="L23",CC620="LIFT"),AI620&gt;0),SUMIFS($AI$7:$AI$1843,$CC$7:$CC$1843,CC620,$AL$7:$AL$1843,"&gt;"&amp;AL620)+SUMIFS($AI$7:$AI$1843,$CC$7:$CC$1843,CC620,$AL$7:$AL$1843,AL620,$BT$7:$BT$1843,"&lt;="&amp;BT620),"")</f>
        <v>28547.612805509</v>
      </c>
      <c r="AN620" s="58" t="n">
        <f aca="false">IF(AM620="",0,MAX(0,MIN(1,(IF(CC620="L1",Parameter!$H$5,IF(CC620="L23",Parameter!$H$6+Parameter!$H$7,Parameter!$H$5+Parameter!$H$6+Parameter!$H$7))-(AM620-AI620))/AI620)))</f>
        <v>1</v>
      </c>
      <c r="AO620" s="50" t="n">
        <f aca="false">IF(LEFT(Cockpit!$I$5,1)="A",H620,IF(CE620=1,CF620,IF(LEFT(Cockpit!$I$5,1)="B",AT620,MAX(AT620,H620))))</f>
        <v>10</v>
      </c>
      <c r="AP620" s="50" t="n">
        <f aca="false">IF(BW620=1,0,ROUNDUP(AO620/BV620,0))</f>
        <v>1</v>
      </c>
      <c r="AQ620" s="52" t="n">
        <f aca="false">IF(CL620&gt;0,CL620*MAX(1,AO620/X620),IF(BW620=1,IF(AO620&lt;=0,0,CA620*MAX(1,IF(H620&gt;0,AO620/H620,1))),IF(R620&gt;0,AP620/R620,0))/MAX(0.1,N(Parameter!$M$21)))</f>
        <v>0.00714285714285714</v>
      </c>
      <c r="AR620" s="50" t="n">
        <f aca="false">AQ620*BY620</f>
        <v>1.10714285714286</v>
      </c>
      <c r="AS620" s="50" t="n">
        <f aca="false">AO620*G620</f>
        <v>15.2</v>
      </c>
      <c r="AT620" s="50" t="n">
        <f aca="false">ROUNDUP(MAX(J620/IF(CD620&gt;0,CD620,MAX(0.1,N(Cockpit!$I$6))),CG620)/BV620,0)*BV620</f>
        <v>10</v>
      </c>
      <c r="AU620" s="51" t="n">
        <f aca="false">IF(AR620&gt;0,J620/AR620,-1)</f>
        <v>0</v>
      </c>
      <c r="AV620" s="51" t="n">
        <f aca="false">IF(AND(OR(CC620="L1",CC620="L23",CC620="LIFT"),AR620&gt;0),SUMIFS($AR$7:$AR$1843,$CC$7:$CC$1843,CC620,$AU$7:$AU$1843,"&gt;"&amp;AU620)+SUMIFS($AR$7:$AR$1843,$CC$7:$CC$1843,CC620,$AU$7:$AU$1843,AU620,$BT$7:$BT$1843,"&lt;="&amp;BT620),"")</f>
        <v>39866.4798612405</v>
      </c>
      <c r="AW620" s="58" t="n">
        <f aca="false">IF(AV620="",0,MAX(0,MIN(1,(IF(CC620="L1",Parameter!$H$5,IF(CC620="L23",Parameter!$H$6+Parameter!$H$7,Parameter!$H$5+Parameter!$H$6+Parameter!$H$7))-(AV620-AR620))/AR620)))</f>
        <v>0</v>
      </c>
      <c r="AX620" s="50" t="n">
        <f aca="false">IF(LEFT(Cockpit!$O$5,1)="A",H620,IF(CE620=1,CF620,IF(LEFT(Cockpit!$O$5,1)="B",BC620,MAX(BC620,H620))))</f>
        <v>10</v>
      </c>
      <c r="AY620" s="50" t="n">
        <f aca="false">IF(BW620=1,0,ROUNDUP(AX620/BV620,0))</f>
        <v>1</v>
      </c>
      <c r="AZ620" s="52" t="n">
        <f aca="false">IF(CL620&gt;0,CL620*MAX(1,AX620/X620),IF(BW620=1,IF(AX620&lt;=0,0,CA620*MAX(1,IF(H620&gt;0,AX620/H620,1))),IF(R620&gt;0,AY620/R620,0))/MAX(0.1,N(Parameter!$M$21)))</f>
        <v>0.00714285714285714</v>
      </c>
      <c r="BA620" s="50" t="n">
        <f aca="false">AZ620*BY620</f>
        <v>1.10714285714286</v>
      </c>
      <c r="BB620" s="50" t="n">
        <f aca="false">AX620*G620</f>
        <v>15.2</v>
      </c>
      <c r="BC620" s="50" t="n">
        <f aca="false">ROUNDUP(MAX(J620/IF(CD620&gt;0,CD620,MAX(0.1,N(Cockpit!$O$6))),CG620)/BV620,0)*BV620</f>
        <v>10</v>
      </c>
      <c r="BD620" s="51" t="n">
        <f aca="false">IF(BA620&gt;0,J620/BA620,-1)</f>
        <v>0</v>
      </c>
      <c r="BE620" s="51" t="n">
        <f aca="false">IF(AND(OR(CC620="L1",CC620="L23",CC620="LIFT"),BA620&gt;0),SUMIFS($BA$7:$BA$1843,$CC$7:$CC$1843,CC620,$BD$7:$BD$1843,"&gt;"&amp;BD620)+SUMIFS($BA$7:$BA$1843,$CC$7:$CC$1843,CC620,$BD$7:$BD$1843,BD620,$BT$7:$BT$1843,"&lt;="&amp;BT620),"")</f>
        <v>36541.4919031063</v>
      </c>
      <c r="BF620" s="58" t="n">
        <f aca="false">IF(BE620="",0,MAX(0,MIN(1,(IF(CC620="L1",Parameter!$H$5,IF(CC620="L23",Parameter!$H$6+Parameter!$H$7,Parameter!$H$5+Parameter!$H$6+Parameter!$H$7))-(BE620-BA620))/BA620)))</f>
        <v>0</v>
      </c>
      <c r="BG620" s="48" t="str">
        <f aca="false">IF(AI620&lt;=0,"",IF(CC620="Aussen","Aussenlager",IF(CC620="-","Nicht im Lift",IF(AN620&gt;=1,"Lift",IF(AN620&lt;=0,"Aussenlager","teilweise")))))</f>
        <v>Lift</v>
      </c>
      <c r="BH620" s="48" t="str">
        <f aca="false">IF(AR620&lt;=0,"",IF(CC620="Aussen","Aussenlager",IF(CC620="-","Nicht im Lift",IF(AW620&gt;=1,"Lift",IF(AW620&lt;=0,"Aussenlager","teilweise")))))</f>
        <v>Aussenlager</v>
      </c>
      <c r="BI620" s="48" t="str">
        <f aca="false">IF(BA620&lt;=0,"",IF(CC620="Aussen","Aussenlager",IF(CC620="-","Nicht im Lift",IF(BF620&gt;=1,"Lift",IF(BF620&lt;=0,"Aussenlager","teilweise")))))</f>
        <v>Aussenlager</v>
      </c>
      <c r="BJ620" s="48" t="str">
        <f aca="false">IF(A620="","",IF(BS620=1,"Neu; ","")&amp;IF(AND(BS620=0,BN620&lt;0),"negativer Bestand (Export "&amp;BN620&amp;"); ","")&amp;IF(J620&lt;=0,"Kein Verbrauch; ","")&amp;IF(CL620&gt;0,"Lift "&amp;W620&amp;" lt. Liftbericht (Fach "&amp;X620&amp;" Stk); ",IF(BX620=1,"Gebinde geschätzt ("&amp;T620&amp;"); ",IF(BW620=1,"Lose – Tablare geschätzt; ","")))&amp;IF(H620&gt;AT620,"Überbestand "&amp;ROUND(H620-AT620,0)&amp;" Stk / CHF "&amp;ROUND((H620-AT620)*G620,0)&amp;"; ","")&amp;IF(AND(CE620=1,CF620&lt;CG620),"MAX &lt; MB+LG; ","")&amp;IF(AND(CK620&gt;0,CJ620*10&gt;CK620),"zu hoch für Tablar; ","")&amp;IF(AND(BS620=0,OR(CE620=1,AA620&lt;&gt;"",U620&lt;&gt;"",V620&lt;&gt;"",AB620&lt;&gt;"")),"manuell übersteuert; ","")&amp;IF(AND(BW620=0,R620=0),"Gebinde unbekannt / Stellmass fehlt; ","")&amp;IF(AND(BW620=0,N(V620)&lt;=0,N(Q620)&lt;=0),"Menge pro Gebinde fehlt (Ist = 1 Gebinde); ","")&amp;BR620)</f>
        <v>Kein Verbrauch; </v>
      </c>
      <c r="BK620" s="48"/>
      <c r="BL620" s="48"/>
      <c r="BM620" s="55"/>
      <c r="BN620" s="50" t="n">
        <v>2</v>
      </c>
      <c r="BO620" s="50" t="n">
        <v>0</v>
      </c>
      <c r="BP620" s="49" t="n">
        <v>3.04000000000001</v>
      </c>
      <c r="BQ620" s="50" t="n">
        <v>0</v>
      </c>
      <c r="BR620" s="48"/>
      <c r="BS620" s="53" t="n">
        <v>0</v>
      </c>
      <c r="BT620" s="53" t="n">
        <v>620</v>
      </c>
      <c r="BU620" s="48" t="str">
        <f aca="false">IF(U620&lt;&gt;"",UPPER(TRIM(U620)),IF(BX620=1,UPPER(VLOOKUP(T620,Parameter!$I$27:$K$29,2,0)),IF(P620="","LOSE",P620)))</f>
        <v>S22</v>
      </c>
      <c r="BV620" s="50" t="n">
        <f aca="false">IF(BU620="LOSE",1,IF(N(V620)&gt;0,V620,IF(BX620=1,MAX(1,N(VLOOKUP(T620,Parameter!$I$27:$K$29,3,0)),H620,N(N620)),IF(N(Q620)&gt;0,Q620,MAX(1,H620)))))</f>
        <v>10</v>
      </c>
      <c r="BW620" s="53" t="n">
        <f aca="false">IF(BU620="LOSE",1,0)</f>
        <v>0</v>
      </c>
      <c r="BX620" s="53" t="n">
        <f aca="false">IF(AND(U620="",OR(P620="",P620="LOSE"),T620&lt;&gt;"",N(S620)&lt;=0,ISNUMBER(MATCH(T620,Parameter!$I$27:$I$29,0))),1,0)</f>
        <v>0</v>
      </c>
      <c r="BY620" s="53" t="n">
        <f aca="false">IF(CL620&gt;0,INDEX(Parameter!$H$5:$H$7,W620)/INDEX(Parameter!$E$5:$E$7,W620),IF(AND(BW620=0,N(IFERROR(VLOOKUP(BU620,'Gebinde-Kategorie'!$A$5:$N$45,14,0),0))&gt;0),VLOOKUP(BU620,'Gebinde-Kategorie'!$A$5:$N$45,14,0)*10+Parameter!$M$23,Parameter!$M$24))</f>
        <v>155</v>
      </c>
      <c r="BZ620" s="48" t="str">
        <f aca="false">IF(AND(Parameter!$B$19="Ja",E620&lt;&gt;"",ISNUMBER(MATCH(E620,Parameter!$I$35:$I$52,0))),VLOOKUP(E620,Parameter!$I$35:$J$52,2,0),IFERROR(VLOOKUP(D620,Parameter!$A$35:$C$64,2,0),"Nein"))</f>
        <v>2+3</v>
      </c>
      <c r="CA620" s="52" t="n">
        <f aca="false">IF(BW620=0,0,IF(N(S620)&gt;0,S620,IFERROR(VLOOKUP(D620,Parameter!$A$35:$C$64,3,0)+0,0)))</f>
        <v>0</v>
      </c>
      <c r="CB620" s="48" t="n">
        <f aca="false">IF(AA620&lt;&gt;"",AA620,Z620)</f>
        <v>3</v>
      </c>
      <c r="CC620" s="48" t="str">
        <f aca="false">IF(OR(CB620=1,CB620=2,CB620=3),IF(Parameter!$E$27="Ja","LIFT",IF(CB620=1,"L1","L23")),IF(CB620="Aussen","Aussen","-"))</f>
        <v>LIFT</v>
      </c>
      <c r="CD620" s="59" t="n">
        <f aca="false">IF(N(AB620)&gt;0,AB620,0)</f>
        <v>0</v>
      </c>
      <c r="CE620" s="53" t="n">
        <f aca="false">IF(ISNUMBER(AE620),1,0)</f>
        <v>0</v>
      </c>
      <c r="CF620" s="50" t="n">
        <f aca="false">N(AE620)</f>
        <v>0</v>
      </c>
      <c r="CG620" s="50" t="n">
        <f aca="false">N(M620)+N(N620)</f>
        <v>1</v>
      </c>
      <c r="CH620" s="50" t="n">
        <f aca="false">ROUNDUP(H620/BV620,0)</f>
        <v>1</v>
      </c>
      <c r="CI620" s="50" t="n">
        <f aca="false">ROUNDUP(CF620/BV620,0)</f>
        <v>0</v>
      </c>
      <c r="CJ620" s="53" t="n">
        <f aca="false">IF(BW620=1,0,IFERROR(VLOOKUP(BU620,'Gebinde-Kategorie'!$A$5:$N$45,5,0)+0,0))</f>
        <v>8</v>
      </c>
      <c r="CK620" s="53" t="n">
        <f aca="false">IFERROR(IF(OR(CB620=1,CB620=2,CB620=3),N(INDEX(Parameter!$I$5:$I$7,CB620)),0),0)</f>
        <v>0</v>
      </c>
      <c r="CL620" s="52" t="n">
        <f aca="false">IF(AND(Parameter!$B$21="Ja",ISNUMBER(W620),N(X620)&gt;0),IFERROR(N(INDEX(Parameter!$L$5:$L$7,W620))*INDEX(Parameter!$E$5:$E$7,W620)*X620/SUMIFS($X$7:$X$1843,$W$7:$W$1843,W620),0),0)</f>
        <v>0</v>
      </c>
    </row>
    <row r="621" customFormat="false" ht="15" hidden="false" customHeight="false" outlineLevel="0" collapsed="false">
      <c r="A621" s="48" t="s">
        <v>1281</v>
      </c>
      <c r="B621" s="48" t="s">
        <v>1140</v>
      </c>
      <c r="C621" s="48" t="s">
        <v>168</v>
      </c>
      <c r="D621" s="48" t="s">
        <v>177</v>
      </c>
      <c r="E621" s="48"/>
      <c r="F621" s="48" t="s">
        <v>222</v>
      </c>
      <c r="G621" s="49" t="n">
        <v>3.02</v>
      </c>
      <c r="H621" s="50" t="n">
        <f aca="false">MAX(0,IF(AND(Parameter!$B$21="Ja",ISNUMBER(Y621)),Y621,IF(Parameter!$B$20="Jahresanfang 2025 + Export",BO621+BN621,BN621)))</f>
        <v>12</v>
      </c>
      <c r="I621" s="50" t="n">
        <f aca="false">H621*G621</f>
        <v>36.24</v>
      </c>
      <c r="J621" s="50" t="n">
        <f aca="false">BQ621*Parameter!$B$18</f>
        <v>0</v>
      </c>
      <c r="K621" s="51" t="n">
        <v>11.5</v>
      </c>
      <c r="L621" s="52" t="n">
        <v>0</v>
      </c>
      <c r="M621" s="50" t="n">
        <v>0</v>
      </c>
      <c r="N621" s="50" t="n">
        <v>1</v>
      </c>
      <c r="O621" s="53" t="n">
        <v>14</v>
      </c>
      <c r="P621" s="48" t="s">
        <v>172</v>
      </c>
      <c r="Q621" s="50"/>
      <c r="R621" s="53" t="n">
        <f aca="false">IF(BW621=1,0,IFERROR(VLOOKUP(BU621,'Gebinde-Kategorie'!$A$5:$N$45,13,0)+0,0))</f>
        <v>12</v>
      </c>
      <c r="S621" s="54"/>
      <c r="T621" s="55" t="s">
        <v>183</v>
      </c>
      <c r="U621" s="55"/>
      <c r="V621" s="55"/>
      <c r="W621" s="48"/>
      <c r="X621" s="50"/>
      <c r="Y621" s="50"/>
      <c r="Z621" s="48" t="n">
        <f aca="false">IF(A621="","",IF(AND(Parameter!$B$21="Ja",ISNUMBER(W621)),W621,IF(BZ621="2+3",IF(ISNUMBER(SEARCH("grosser Artikel",BR621)),2,IFERROR(VLOOKUP(BU621,Parameter!$F$35:$G$64,2,0),2)),IF(OR(BZ621="Nein",BZ621=""),"-",BZ621))))</f>
        <v>2</v>
      </c>
      <c r="AA621" s="55"/>
      <c r="AB621" s="56"/>
      <c r="AC621" s="50" t="n">
        <f aca="false">AT621</f>
        <v>12</v>
      </c>
      <c r="AD621" s="50" t="n">
        <f aca="false">MAX(AT621,H621)</f>
        <v>12</v>
      </c>
      <c r="AE621" s="57"/>
      <c r="AF621" s="50" t="n">
        <f aca="false">IF(LEFT(Cockpit!$C$5,1)="A",H621,IF(CE621=1,CF621,IF(LEFT(Cockpit!$C$5,1)="B",AK621,MAX(AK621,H621))))</f>
        <v>12</v>
      </c>
      <c r="AG621" s="50" t="n">
        <f aca="false">IF(BW621=1,0,ROUNDUP(AF621/BV621,0))</f>
        <v>1</v>
      </c>
      <c r="AH621" s="52" t="n">
        <f aca="false">IF(CL621&gt;0,CL621*MAX(1,AF621/X621),IF(BW621=1,IF(AF621&lt;=0,0,CA621*MAX(1,IF(H621&gt;0,AF621/H621,1))),IF(R621&gt;0,AG621/R621,0))/MAX(0.1,N(Parameter!$M$21)))</f>
        <v>0.0833333333333333</v>
      </c>
      <c r="AI621" s="50" t="n">
        <f aca="false">AH621*BY621</f>
        <v>12.0833333333333</v>
      </c>
      <c r="AJ621" s="50" t="n">
        <f aca="false">AF621*G621</f>
        <v>36.24</v>
      </c>
      <c r="AK621" s="50" t="n">
        <f aca="false">ROUNDUP(MAX(J621/IF(CD621&gt;0,CD621,MAX(0.1,N(Cockpit!$C$6))),CG621)/BV621,0)*BV621</f>
        <v>12</v>
      </c>
      <c r="AL621" s="51" t="n">
        <f aca="false">IF(AI621&gt;0,J621/AI621,-1)</f>
        <v>0</v>
      </c>
      <c r="AM621" s="51" t="n">
        <f aca="false">IF(AND(OR(CC621="L1",CC621="L23",CC621="LIFT"),AI621&gt;0),SUMIFS($AI$7:$AI$1843,$CC$7:$CC$1843,CC621,$AL$7:$AL$1843,"&gt;"&amp;AL621)+SUMIFS($AI$7:$AI$1843,$CC$7:$CC$1843,CC621,$AL$7:$AL$1843,AL621,$BT$7:$BT$1843,"&lt;="&amp;BT621),"")</f>
        <v>28559.6961388423</v>
      </c>
      <c r="AN621" s="58" t="n">
        <f aca="false">IF(AM621="",0,MAX(0,MIN(1,(IF(CC621="L1",Parameter!$H$5,IF(CC621="L23",Parameter!$H$6+Parameter!$H$7,Parameter!$H$5+Parameter!$H$6+Parameter!$H$7))-(AM621-AI621))/AI621)))</f>
        <v>1</v>
      </c>
      <c r="AO621" s="50" t="n">
        <f aca="false">IF(LEFT(Cockpit!$I$5,1)="A",H621,IF(CE621=1,CF621,IF(LEFT(Cockpit!$I$5,1)="B",AT621,MAX(AT621,H621))))</f>
        <v>12</v>
      </c>
      <c r="AP621" s="50" t="n">
        <f aca="false">IF(BW621=1,0,ROUNDUP(AO621/BV621,0))</f>
        <v>1</v>
      </c>
      <c r="AQ621" s="52" t="n">
        <f aca="false">IF(CL621&gt;0,CL621*MAX(1,AO621/X621),IF(BW621=1,IF(AO621&lt;=0,0,CA621*MAX(1,IF(H621&gt;0,AO621/H621,1))),IF(R621&gt;0,AP621/R621,0))/MAX(0.1,N(Parameter!$M$21)))</f>
        <v>0.0833333333333333</v>
      </c>
      <c r="AR621" s="50" t="n">
        <f aca="false">AQ621*BY621</f>
        <v>12.0833333333333</v>
      </c>
      <c r="AS621" s="50" t="n">
        <f aca="false">AO621*G621</f>
        <v>36.24</v>
      </c>
      <c r="AT621" s="50" t="n">
        <f aca="false">ROUNDUP(MAX(J621/IF(CD621&gt;0,CD621,MAX(0.1,N(Cockpit!$I$6))),CG621)/BV621,0)*BV621</f>
        <v>12</v>
      </c>
      <c r="AU621" s="51" t="n">
        <f aca="false">IF(AR621&gt;0,J621/AR621,-1)</f>
        <v>0</v>
      </c>
      <c r="AV621" s="51" t="n">
        <f aca="false">IF(AND(OR(CC621="L1",CC621="L23",CC621="LIFT"),AR621&gt;0),SUMIFS($AR$7:$AR$1843,$CC$7:$CC$1843,CC621,$AU$7:$AU$1843,"&gt;"&amp;AU621)+SUMIFS($AR$7:$AR$1843,$CC$7:$CC$1843,CC621,$AU$7:$AU$1843,AU621,$BT$7:$BT$1843,"&lt;="&amp;BT621),"")</f>
        <v>39878.5631945738</v>
      </c>
      <c r="AW621" s="58" t="n">
        <f aca="false">IF(AV621="",0,MAX(0,MIN(1,(IF(CC621="L1",Parameter!$H$5,IF(CC621="L23",Parameter!$H$6+Parameter!$H$7,Parameter!$H$5+Parameter!$H$6+Parameter!$H$7))-(AV621-AR621))/AR621)))</f>
        <v>0</v>
      </c>
      <c r="AX621" s="50" t="n">
        <f aca="false">IF(LEFT(Cockpit!$O$5,1)="A",H621,IF(CE621=1,CF621,IF(LEFT(Cockpit!$O$5,1)="B",BC621,MAX(BC621,H621))))</f>
        <v>12</v>
      </c>
      <c r="AY621" s="50" t="n">
        <f aca="false">IF(BW621=1,0,ROUNDUP(AX621/BV621,0))</f>
        <v>1</v>
      </c>
      <c r="AZ621" s="52" t="n">
        <f aca="false">IF(CL621&gt;0,CL621*MAX(1,AX621/X621),IF(BW621=1,IF(AX621&lt;=0,0,CA621*MAX(1,IF(H621&gt;0,AX621/H621,1))),IF(R621&gt;0,AY621/R621,0))/MAX(0.1,N(Parameter!$M$21)))</f>
        <v>0.0833333333333333</v>
      </c>
      <c r="BA621" s="50" t="n">
        <f aca="false">AZ621*BY621</f>
        <v>12.0833333333333</v>
      </c>
      <c r="BB621" s="50" t="n">
        <f aca="false">AX621*G621</f>
        <v>36.24</v>
      </c>
      <c r="BC621" s="50" t="n">
        <f aca="false">ROUNDUP(MAX(J621/IF(CD621&gt;0,CD621,MAX(0.1,N(Cockpit!$O$6))),CG621)/BV621,0)*BV621</f>
        <v>12</v>
      </c>
      <c r="BD621" s="51" t="n">
        <f aca="false">IF(BA621&gt;0,J621/BA621,-1)</f>
        <v>0</v>
      </c>
      <c r="BE621" s="51" t="n">
        <f aca="false">IF(AND(OR(CC621="L1",CC621="L23",CC621="LIFT"),BA621&gt;0),SUMIFS($BA$7:$BA$1843,$CC$7:$CC$1843,CC621,$BD$7:$BD$1843,"&gt;"&amp;BD621)+SUMIFS($BA$7:$BA$1843,$CC$7:$CC$1843,CC621,$BD$7:$BD$1843,BD621,$BT$7:$BT$1843,"&lt;="&amp;BT621),"")</f>
        <v>36553.5752364397</v>
      </c>
      <c r="BF621" s="58" t="n">
        <f aca="false">IF(BE621="",0,MAX(0,MIN(1,(IF(CC621="L1",Parameter!$H$5,IF(CC621="L23",Parameter!$H$6+Parameter!$H$7,Parameter!$H$5+Parameter!$H$6+Parameter!$H$7))-(BE621-BA621))/BA621)))</f>
        <v>0</v>
      </c>
      <c r="BG621" s="48" t="str">
        <f aca="false">IF(AI621&lt;=0,"",IF(CC621="Aussen","Aussenlager",IF(CC621="-","Nicht im Lift",IF(AN621&gt;=1,"Lift",IF(AN621&lt;=0,"Aussenlager","teilweise")))))</f>
        <v>Lift</v>
      </c>
      <c r="BH621" s="48" t="str">
        <f aca="false">IF(AR621&lt;=0,"",IF(CC621="Aussen","Aussenlager",IF(CC621="-","Nicht im Lift",IF(AW621&gt;=1,"Lift",IF(AW621&lt;=0,"Aussenlager","teilweise")))))</f>
        <v>Aussenlager</v>
      </c>
      <c r="BI621" s="48" t="str">
        <f aca="false">IF(BA621&lt;=0,"",IF(CC621="Aussen","Aussenlager",IF(CC621="-","Nicht im Lift",IF(BF621&gt;=1,"Lift",IF(BF621&lt;=0,"Aussenlager","teilweise")))))</f>
        <v>Aussenlager</v>
      </c>
      <c r="BJ621" s="48" t="str">
        <f aca="false">IF(A621="","",IF(BS621=1,"Neu; ","")&amp;IF(AND(BS621=0,BN621&lt;0),"negativer Bestand (Export "&amp;BN621&amp;"); ","")&amp;IF(J621&lt;=0,"Kein Verbrauch; ","")&amp;IF(CL621&gt;0,"Lift "&amp;W621&amp;" lt. Liftbericht (Fach "&amp;X621&amp;" Stk); ",IF(BX621=1,"Gebinde geschätzt ("&amp;T621&amp;"); ",IF(BW621=1,"Lose – Tablare geschätzt; ","")))&amp;IF(H621&gt;AT621,"Überbestand "&amp;ROUND(H621-AT621,0)&amp;" Stk / CHF "&amp;ROUND((H621-AT621)*G621,0)&amp;"; ","")&amp;IF(AND(CE621=1,CF621&lt;CG621),"MAX &lt; MB+LG; ","")&amp;IF(AND(CK621&gt;0,CJ621*10&gt;CK621),"zu hoch für Tablar; ","")&amp;IF(AND(BS621=0,OR(CE621=1,AA621&lt;&gt;"",U621&lt;&gt;"",V621&lt;&gt;"",AB621&lt;&gt;"")),"manuell übersteuert; ","")&amp;IF(AND(BW621=0,R621=0),"Gebinde unbekannt / Stellmass fehlt; ","")&amp;IF(AND(BW621=0,N(V621)&lt;=0,N(Q621)&lt;=0),"Menge pro Gebinde fehlt (Ist = 1 Gebinde); ","")&amp;BR621)</f>
        <v>Kein Verbrauch; Gebinde geschätzt (Mittel); Menge pro Gebinde fehlt (Ist = 1 Gebinde); Überbestand</v>
      </c>
      <c r="BK621" s="48"/>
      <c r="BL621" s="48"/>
      <c r="BM621" s="55"/>
      <c r="BN621" s="50" t="n">
        <v>1</v>
      </c>
      <c r="BO621" s="50" t="n">
        <v>11</v>
      </c>
      <c r="BP621" s="49" t="n">
        <v>3.02</v>
      </c>
      <c r="BQ621" s="50" t="n">
        <v>0</v>
      </c>
      <c r="BR621" s="48" t="s">
        <v>396</v>
      </c>
      <c r="BS621" s="53" t="n">
        <v>0</v>
      </c>
      <c r="BT621" s="53" t="n">
        <v>621</v>
      </c>
      <c r="BU621" s="48" t="str">
        <f aca="false">IF(U621&lt;&gt;"",UPPER(TRIM(U621)),IF(BX621=1,UPPER(VLOOKUP(T621,Parameter!$I$27:$K$29,2,0)),IF(P621="","LOSE",P621)))</f>
        <v>S61</v>
      </c>
      <c r="BV621" s="50" t="n">
        <f aca="false">IF(BU621="LOSE",1,IF(N(V621)&gt;0,V621,IF(BX621=1,MAX(1,N(VLOOKUP(T621,Parameter!$I$27:$K$29,3,0)),H621,N(N621)),IF(N(Q621)&gt;0,Q621,MAX(1,H621)))))</f>
        <v>12</v>
      </c>
      <c r="BW621" s="53" t="n">
        <f aca="false">IF(BU621="LOSE",1,0)</f>
        <v>0</v>
      </c>
      <c r="BX621" s="53" t="n">
        <f aca="false">IF(AND(U621="",OR(P621="",P621="LOSE"),T621&lt;&gt;"",N(S621)&lt;=0,ISNUMBER(MATCH(T621,Parameter!$I$27:$I$29,0))),1,0)</f>
        <v>1</v>
      </c>
      <c r="BY621" s="53" t="n">
        <f aca="false">IF(CL621&gt;0,INDEX(Parameter!$H$5:$H$7,W621)/INDEX(Parameter!$E$5:$E$7,W621),IF(AND(BW621=0,N(IFERROR(VLOOKUP(BU621,'Gebinde-Kategorie'!$A$5:$N$45,14,0),0))&gt;0),VLOOKUP(BU621,'Gebinde-Kategorie'!$A$5:$N$45,14,0)*10+Parameter!$M$23,Parameter!$M$24))</f>
        <v>145</v>
      </c>
      <c r="BZ621" s="48" t="str">
        <f aca="false">IF(AND(Parameter!$B$19="Ja",E621&lt;&gt;"",ISNUMBER(MATCH(E621,Parameter!$I$35:$I$52,0))),VLOOKUP(E621,Parameter!$I$35:$J$52,2,0),IFERROR(VLOOKUP(D621,Parameter!$A$35:$C$64,2,0),"Nein"))</f>
        <v>2+3</v>
      </c>
      <c r="CA621" s="52" t="n">
        <f aca="false">IF(BW621=0,0,IF(N(S621)&gt;0,S621,IFERROR(VLOOKUP(D621,Parameter!$A$35:$C$64,3,0)+0,0)))</f>
        <v>0</v>
      </c>
      <c r="CB621" s="48" t="n">
        <f aca="false">IF(AA621&lt;&gt;"",AA621,Z621)</f>
        <v>2</v>
      </c>
      <c r="CC621" s="48" t="str">
        <f aca="false">IF(OR(CB621=1,CB621=2,CB621=3),IF(Parameter!$E$27="Ja","LIFT",IF(CB621=1,"L1","L23")),IF(CB621="Aussen","Aussen","-"))</f>
        <v>LIFT</v>
      </c>
      <c r="CD621" s="59" t="n">
        <f aca="false">IF(N(AB621)&gt;0,AB621,0)</f>
        <v>0</v>
      </c>
      <c r="CE621" s="53" t="n">
        <f aca="false">IF(ISNUMBER(AE621),1,0)</f>
        <v>0</v>
      </c>
      <c r="CF621" s="50" t="n">
        <f aca="false">N(AE621)</f>
        <v>0</v>
      </c>
      <c r="CG621" s="50" t="n">
        <f aca="false">N(M621)+N(N621)</f>
        <v>1</v>
      </c>
      <c r="CH621" s="50" t="n">
        <f aca="false">ROUNDUP(H621/BV621,0)</f>
        <v>1</v>
      </c>
      <c r="CI621" s="50" t="n">
        <f aca="false">ROUNDUP(CF621/BV621,0)</f>
        <v>0</v>
      </c>
      <c r="CJ621" s="53" t="n">
        <f aca="false">IF(BW621=1,0,IFERROR(VLOOKUP(BU621,'Gebinde-Kategorie'!$A$5:$N$45,5,0)+0,0))</f>
        <v>11</v>
      </c>
      <c r="CK621" s="53" t="n">
        <f aca="false">IFERROR(IF(OR(CB621=1,CB621=2,CB621=3),N(INDEX(Parameter!$I$5:$I$7,CB621)),0),0)</f>
        <v>0</v>
      </c>
      <c r="CL621" s="52" t="n">
        <f aca="false">IF(AND(Parameter!$B$21="Ja",ISNUMBER(W621),N(X621)&gt;0),IFERROR(N(INDEX(Parameter!$L$5:$L$7,W621))*INDEX(Parameter!$E$5:$E$7,W621)*X621/SUMIFS($X$7:$X$1843,$W$7:$W$1843,W621),0),0)</f>
        <v>0</v>
      </c>
    </row>
    <row r="622" customFormat="false" ht="15" hidden="false" customHeight="false" outlineLevel="0" collapsed="false">
      <c r="A622" s="48" t="s">
        <v>1282</v>
      </c>
      <c r="B622" s="48" t="s">
        <v>1283</v>
      </c>
      <c r="C622" s="48" t="s">
        <v>168</v>
      </c>
      <c r="D622" s="48" t="s">
        <v>188</v>
      </c>
      <c r="E622" s="48" t="s">
        <v>189</v>
      </c>
      <c r="F622" s="48" t="s">
        <v>222</v>
      </c>
      <c r="G622" s="49" t="n">
        <v>2.97</v>
      </c>
      <c r="H622" s="50" t="n">
        <f aca="false">MAX(0,IF(AND(Parameter!$B$21="Ja",ISNUMBER(Y622)),Y622,IF(Parameter!$B$20="Jahresanfang 2025 + Export",BO622+BN622,BN622)))</f>
        <v>1</v>
      </c>
      <c r="I622" s="50" t="n">
        <f aca="false">H622*G622</f>
        <v>2.97</v>
      </c>
      <c r="J622" s="50" t="n">
        <f aca="false">BQ622*Parameter!$B$18</f>
        <v>0</v>
      </c>
      <c r="K622" s="51" t="n">
        <v>0.5</v>
      </c>
      <c r="L622" s="52" t="n">
        <v>0</v>
      </c>
      <c r="M622" s="50" t="n">
        <v>0</v>
      </c>
      <c r="N622" s="50" t="n">
        <v>1</v>
      </c>
      <c r="O622" s="53" t="n">
        <v>14</v>
      </c>
      <c r="P622" s="48" t="s">
        <v>405</v>
      </c>
      <c r="Q622" s="50" t="n">
        <v>20</v>
      </c>
      <c r="R622" s="53" t="n">
        <f aca="false">IF(BW622=1,0,IFERROR(VLOOKUP(BU622,'Gebinde-Kategorie'!$A$5:$N$45,13,0)+0,0))</f>
        <v>280</v>
      </c>
      <c r="S622" s="54"/>
      <c r="T622" s="55"/>
      <c r="U622" s="55"/>
      <c r="V622" s="55"/>
      <c r="W622" s="48"/>
      <c r="X622" s="50"/>
      <c r="Y622" s="50"/>
      <c r="Z622" s="48" t="n">
        <f aca="false">IF(A622="","",IF(AND(Parameter!$B$21="Ja",ISNUMBER(W622)),W622,IF(BZ622="2+3",IF(ISNUMBER(SEARCH("grosser Artikel",BR622)),2,IFERROR(VLOOKUP(BU622,Parameter!$F$35:$G$64,2,0),2)),IF(OR(BZ622="Nein",BZ622=""),"-",BZ622))))</f>
        <v>3</v>
      </c>
      <c r="AA622" s="55"/>
      <c r="AB622" s="56"/>
      <c r="AC622" s="50" t="n">
        <f aca="false">AT622</f>
        <v>20</v>
      </c>
      <c r="AD622" s="50" t="n">
        <f aca="false">MAX(AT622,H622)</f>
        <v>20</v>
      </c>
      <c r="AE622" s="57"/>
      <c r="AF622" s="50" t="n">
        <f aca="false">IF(LEFT(Cockpit!$C$5,1)="A",H622,IF(CE622=1,CF622,IF(LEFT(Cockpit!$C$5,1)="B",AK622,MAX(AK622,H622))))</f>
        <v>1</v>
      </c>
      <c r="AG622" s="50" t="n">
        <f aca="false">IF(BW622=1,0,ROUNDUP(AF622/BV622,0))</f>
        <v>1</v>
      </c>
      <c r="AH622" s="52" t="n">
        <f aca="false">IF(CL622&gt;0,CL622*MAX(1,AF622/X622),IF(BW622=1,IF(AF622&lt;=0,0,CA622*MAX(1,IF(H622&gt;0,AF622/H622,1))),IF(R622&gt;0,AG622/R622,0))/MAX(0.1,N(Parameter!$M$21)))</f>
        <v>0.00357142857142857</v>
      </c>
      <c r="AI622" s="50" t="n">
        <f aca="false">AH622*BY622</f>
        <v>0.553571428571429</v>
      </c>
      <c r="AJ622" s="50" t="n">
        <f aca="false">AF622*G622</f>
        <v>2.97</v>
      </c>
      <c r="AK622" s="50" t="n">
        <f aca="false">ROUNDUP(MAX(J622/IF(CD622&gt;0,CD622,MAX(0.1,N(Cockpit!$C$6))),CG622)/BV622,0)*BV622</f>
        <v>20</v>
      </c>
      <c r="AL622" s="51" t="n">
        <f aca="false">IF(AI622&gt;0,J622/AI622,-1)</f>
        <v>0</v>
      </c>
      <c r="AM622" s="51" t="n">
        <f aca="false">IF(AND(OR(CC622="L1",CC622="L23",CC622="LIFT"),AI622&gt;0),SUMIFS($AI$7:$AI$1843,$CC$7:$CC$1843,CC622,$AL$7:$AL$1843,"&gt;"&amp;AL622)+SUMIFS($AI$7:$AI$1843,$CC$7:$CC$1843,CC622,$AL$7:$AL$1843,AL622,$BT$7:$BT$1843,"&lt;="&amp;BT622),"")</f>
        <v>28560.2497102709</v>
      </c>
      <c r="AN622" s="58" t="n">
        <f aca="false">IF(AM622="",0,MAX(0,MIN(1,(IF(CC622="L1",Parameter!$H$5,IF(CC622="L23",Parameter!$H$6+Parameter!$H$7,Parameter!$H$5+Parameter!$H$6+Parameter!$H$7))-(AM622-AI622))/AI622)))</f>
        <v>1</v>
      </c>
      <c r="AO622" s="50" t="n">
        <f aca="false">IF(LEFT(Cockpit!$I$5,1)="A",H622,IF(CE622=1,CF622,IF(LEFT(Cockpit!$I$5,1)="B",AT622,MAX(AT622,H622))))</f>
        <v>20</v>
      </c>
      <c r="AP622" s="50" t="n">
        <f aca="false">IF(BW622=1,0,ROUNDUP(AO622/BV622,0))</f>
        <v>1</v>
      </c>
      <c r="AQ622" s="52" t="n">
        <f aca="false">IF(CL622&gt;0,CL622*MAX(1,AO622/X622),IF(BW622=1,IF(AO622&lt;=0,0,CA622*MAX(1,IF(H622&gt;0,AO622/H622,1))),IF(R622&gt;0,AP622/R622,0))/MAX(0.1,N(Parameter!$M$21)))</f>
        <v>0.00357142857142857</v>
      </c>
      <c r="AR622" s="50" t="n">
        <f aca="false">AQ622*BY622</f>
        <v>0.553571428571429</v>
      </c>
      <c r="AS622" s="50" t="n">
        <f aca="false">AO622*G622</f>
        <v>59.4</v>
      </c>
      <c r="AT622" s="50" t="n">
        <f aca="false">ROUNDUP(MAX(J622/IF(CD622&gt;0,CD622,MAX(0.1,N(Cockpit!$I$6))),CG622)/BV622,0)*BV622</f>
        <v>20</v>
      </c>
      <c r="AU622" s="51" t="n">
        <f aca="false">IF(AR622&gt;0,J622/AR622,-1)</f>
        <v>0</v>
      </c>
      <c r="AV622" s="51" t="n">
        <f aca="false">IF(AND(OR(CC622="L1",CC622="L23",CC622="LIFT"),AR622&gt;0),SUMIFS($AR$7:$AR$1843,$CC$7:$CC$1843,CC622,$AU$7:$AU$1843,"&gt;"&amp;AU622)+SUMIFS($AR$7:$AR$1843,$CC$7:$CC$1843,CC622,$AU$7:$AU$1843,AU622,$BT$7:$BT$1843,"&lt;="&amp;BT622),"")</f>
        <v>39879.1167660024</v>
      </c>
      <c r="AW622" s="58" t="n">
        <f aca="false">IF(AV622="",0,MAX(0,MIN(1,(IF(CC622="L1",Parameter!$H$5,IF(CC622="L23",Parameter!$H$6+Parameter!$H$7,Parameter!$H$5+Parameter!$H$6+Parameter!$H$7))-(AV622-AR622))/AR622)))</f>
        <v>0</v>
      </c>
      <c r="AX622" s="50" t="n">
        <f aca="false">IF(LEFT(Cockpit!$O$5,1)="A",H622,IF(CE622=1,CF622,IF(LEFT(Cockpit!$O$5,1)="B",BC622,MAX(BC622,H622))))</f>
        <v>20</v>
      </c>
      <c r="AY622" s="50" t="n">
        <f aca="false">IF(BW622=1,0,ROUNDUP(AX622/BV622,0))</f>
        <v>1</v>
      </c>
      <c r="AZ622" s="52" t="n">
        <f aca="false">IF(CL622&gt;0,CL622*MAX(1,AX622/X622),IF(BW622=1,IF(AX622&lt;=0,0,CA622*MAX(1,IF(H622&gt;0,AX622/H622,1))),IF(R622&gt;0,AY622/R622,0))/MAX(0.1,N(Parameter!$M$21)))</f>
        <v>0.00357142857142857</v>
      </c>
      <c r="BA622" s="50" t="n">
        <f aca="false">AZ622*BY622</f>
        <v>0.553571428571429</v>
      </c>
      <c r="BB622" s="50" t="n">
        <f aca="false">AX622*G622</f>
        <v>59.4</v>
      </c>
      <c r="BC622" s="50" t="n">
        <f aca="false">ROUNDUP(MAX(J622/IF(CD622&gt;0,CD622,MAX(0.1,N(Cockpit!$O$6))),CG622)/BV622,0)*BV622</f>
        <v>20</v>
      </c>
      <c r="BD622" s="51" t="n">
        <f aca="false">IF(BA622&gt;0,J622/BA622,-1)</f>
        <v>0</v>
      </c>
      <c r="BE622" s="51" t="n">
        <f aca="false">IF(AND(OR(CC622="L1",CC622="L23",CC622="LIFT"),BA622&gt;0),SUMIFS($BA$7:$BA$1843,$CC$7:$CC$1843,CC622,$BD$7:$BD$1843,"&gt;"&amp;BD622)+SUMIFS($BA$7:$BA$1843,$CC$7:$CC$1843,CC622,$BD$7:$BD$1843,BD622,$BT$7:$BT$1843,"&lt;="&amp;BT622),"")</f>
        <v>36554.1288078682</v>
      </c>
      <c r="BF622" s="58" t="n">
        <f aca="false">IF(BE622="",0,MAX(0,MIN(1,(IF(CC622="L1",Parameter!$H$5,IF(CC622="L23",Parameter!$H$6+Parameter!$H$7,Parameter!$H$5+Parameter!$H$6+Parameter!$H$7))-(BE622-BA622))/BA622)))</f>
        <v>0</v>
      </c>
      <c r="BG622" s="48" t="str">
        <f aca="false">IF(AI622&lt;=0,"",IF(CC622="Aussen","Aussenlager",IF(CC622="-","Nicht im Lift",IF(AN622&gt;=1,"Lift",IF(AN622&lt;=0,"Aussenlager","teilweise")))))</f>
        <v>Lift</v>
      </c>
      <c r="BH622" s="48" t="str">
        <f aca="false">IF(AR622&lt;=0,"",IF(CC622="Aussen","Aussenlager",IF(CC622="-","Nicht im Lift",IF(AW622&gt;=1,"Lift",IF(AW622&lt;=0,"Aussenlager","teilweise")))))</f>
        <v>Aussenlager</v>
      </c>
      <c r="BI622" s="48" t="str">
        <f aca="false">IF(BA622&lt;=0,"",IF(CC622="Aussen","Aussenlager",IF(CC622="-","Nicht im Lift",IF(BF622&gt;=1,"Lift",IF(BF622&lt;=0,"Aussenlager","teilweise")))))</f>
        <v>Aussenlager</v>
      </c>
      <c r="BJ622" s="48" t="str">
        <f aca="false">IF(A622="","",IF(BS622=1,"Neu; ","")&amp;IF(AND(BS622=0,BN622&lt;0),"negativer Bestand (Export "&amp;BN622&amp;"); ","")&amp;IF(J622&lt;=0,"Kein Verbrauch; ","")&amp;IF(CL622&gt;0,"Lift "&amp;W622&amp;" lt. Liftbericht (Fach "&amp;X622&amp;" Stk); ",IF(BX622=1,"Gebinde geschätzt ("&amp;T622&amp;"); ",IF(BW622=1,"Lose – Tablare geschätzt; ","")))&amp;IF(H622&gt;AT622,"Überbestand "&amp;ROUND(H622-AT622,0)&amp;" Stk / CHF "&amp;ROUND((H622-AT622)*G622,0)&amp;"; ","")&amp;IF(AND(CE622=1,CF622&lt;CG622),"MAX &lt; MB+LG; ","")&amp;IF(AND(CK622&gt;0,CJ622*10&gt;CK622),"zu hoch für Tablar; ","")&amp;IF(AND(BS622=0,OR(CE622=1,AA622&lt;&gt;"",U622&lt;&gt;"",V622&lt;&gt;"",AB622&lt;&gt;"")),"manuell übersteuert; ","")&amp;IF(AND(BW622=0,R622=0),"Gebinde unbekannt / Stellmass fehlt; ","")&amp;IF(AND(BW622=0,N(V622)&lt;=0,N(Q622)&lt;=0),"Menge pro Gebinde fehlt (Ist = 1 Gebinde); ","")&amp;BR622)</f>
        <v>Kein Verbrauch; Verb.Lager</v>
      </c>
      <c r="BK622" s="48"/>
      <c r="BL622" s="48"/>
      <c r="BM622" s="55"/>
      <c r="BN622" s="50" t="n">
        <v>1</v>
      </c>
      <c r="BO622" s="50" t="n">
        <v>0</v>
      </c>
      <c r="BP622" s="49" t="n">
        <v>2.97</v>
      </c>
      <c r="BQ622" s="50" t="n">
        <v>0</v>
      </c>
      <c r="BR622" s="48" t="s">
        <v>1034</v>
      </c>
      <c r="BS622" s="53" t="n">
        <v>0</v>
      </c>
      <c r="BT622" s="53" t="n">
        <v>622</v>
      </c>
      <c r="BU622" s="48" t="str">
        <f aca="false">IF(U622&lt;&gt;"",UPPER(TRIM(U622)),IF(BX622=1,UPPER(VLOOKUP(T622,Parameter!$I$27:$K$29,2,0)),IF(P622="","LOSE",P622)))</f>
        <v>S21</v>
      </c>
      <c r="BV622" s="50" t="n">
        <f aca="false">IF(BU622="LOSE",1,IF(N(V622)&gt;0,V622,IF(BX622=1,MAX(1,N(VLOOKUP(T622,Parameter!$I$27:$K$29,3,0)),H622,N(N622)),IF(N(Q622)&gt;0,Q622,MAX(1,H622)))))</f>
        <v>20</v>
      </c>
      <c r="BW622" s="53" t="n">
        <f aca="false">IF(BU622="LOSE",1,0)</f>
        <v>0</v>
      </c>
      <c r="BX622" s="53" t="n">
        <f aca="false">IF(AND(U622="",OR(P622="",P622="LOSE"),T622&lt;&gt;"",N(S622)&lt;=0,ISNUMBER(MATCH(T622,Parameter!$I$27:$I$29,0))),1,0)</f>
        <v>0</v>
      </c>
      <c r="BY622" s="53" t="n">
        <f aca="false">IF(CL622&gt;0,INDEX(Parameter!$H$5:$H$7,W622)/INDEX(Parameter!$E$5:$E$7,W622),IF(AND(BW622=0,N(IFERROR(VLOOKUP(BU622,'Gebinde-Kategorie'!$A$5:$N$45,14,0),0))&gt;0),VLOOKUP(BU622,'Gebinde-Kategorie'!$A$5:$N$45,14,0)*10+Parameter!$M$23,Parameter!$M$24))</f>
        <v>155</v>
      </c>
      <c r="BZ622" s="48" t="str">
        <f aca="false">IF(AND(Parameter!$B$19="Ja",E622&lt;&gt;"",ISNUMBER(MATCH(E622,Parameter!$I$35:$I$52,0))),VLOOKUP(E622,Parameter!$I$35:$J$52,2,0),IFERROR(VLOOKUP(D622,Parameter!$A$35:$C$64,2,0),"Nein"))</f>
        <v>2+3</v>
      </c>
      <c r="CA622" s="52" t="n">
        <f aca="false">IF(BW622=0,0,IF(N(S622)&gt;0,S622,IFERROR(VLOOKUP(D622,Parameter!$A$35:$C$64,3,0)+0,0)))</f>
        <v>0</v>
      </c>
      <c r="CB622" s="48" t="n">
        <f aca="false">IF(AA622&lt;&gt;"",AA622,Z622)</f>
        <v>3</v>
      </c>
      <c r="CC622" s="48" t="str">
        <f aca="false">IF(OR(CB622=1,CB622=2,CB622=3),IF(Parameter!$E$27="Ja","LIFT",IF(CB622=1,"L1","L23")),IF(CB622="Aussen","Aussen","-"))</f>
        <v>LIFT</v>
      </c>
      <c r="CD622" s="59" t="n">
        <f aca="false">IF(N(AB622)&gt;0,AB622,0)</f>
        <v>0</v>
      </c>
      <c r="CE622" s="53" t="n">
        <f aca="false">IF(ISNUMBER(AE622),1,0)</f>
        <v>0</v>
      </c>
      <c r="CF622" s="50" t="n">
        <f aca="false">N(AE622)</f>
        <v>0</v>
      </c>
      <c r="CG622" s="50" t="n">
        <f aca="false">N(M622)+N(N622)</f>
        <v>1</v>
      </c>
      <c r="CH622" s="50" t="n">
        <f aca="false">ROUNDUP(H622/BV622,0)</f>
        <v>1</v>
      </c>
      <c r="CI622" s="50" t="n">
        <f aca="false">ROUNDUP(CF622/BV622,0)</f>
        <v>0</v>
      </c>
      <c r="CJ622" s="53" t="n">
        <f aca="false">IF(BW622=1,0,IFERROR(VLOOKUP(BU622,'Gebinde-Kategorie'!$A$5:$N$45,5,0)+0,0))</f>
        <v>8</v>
      </c>
      <c r="CK622" s="53" t="n">
        <f aca="false">IFERROR(IF(OR(CB622=1,CB622=2,CB622=3),N(INDEX(Parameter!$I$5:$I$7,CB622)),0),0)</f>
        <v>0</v>
      </c>
      <c r="CL622" s="52" t="n">
        <f aca="false">IF(AND(Parameter!$B$21="Ja",ISNUMBER(W622),N(X622)&gt;0),IFERROR(N(INDEX(Parameter!$L$5:$L$7,W622))*INDEX(Parameter!$E$5:$E$7,W622)*X622/SUMIFS($X$7:$X$1843,$W$7:$W$1843,W622),0),0)</f>
        <v>0</v>
      </c>
    </row>
    <row r="623" customFormat="false" ht="15" hidden="false" customHeight="false" outlineLevel="0" collapsed="false">
      <c r="A623" s="48" t="s">
        <v>1284</v>
      </c>
      <c r="B623" s="48" t="s">
        <v>1285</v>
      </c>
      <c r="C623" s="48" t="s">
        <v>168</v>
      </c>
      <c r="D623" s="48" t="s">
        <v>188</v>
      </c>
      <c r="E623" s="48" t="s">
        <v>189</v>
      </c>
      <c r="F623" s="48" t="s">
        <v>222</v>
      </c>
      <c r="G623" s="49" t="n">
        <v>0.72</v>
      </c>
      <c r="H623" s="50" t="n">
        <f aca="false">MAX(0,IF(AND(Parameter!$B$21="Ja",ISNUMBER(Y623)),Y623,IF(Parameter!$B$20="Jahresanfang 2025 + Export",BO623+BN623,BN623)))</f>
        <v>119</v>
      </c>
      <c r="I623" s="50" t="n">
        <f aca="false">H623*G623</f>
        <v>85.68</v>
      </c>
      <c r="J623" s="50" t="n">
        <f aca="false">BQ623*Parameter!$B$18</f>
        <v>0</v>
      </c>
      <c r="K623" s="51" t="n">
        <v>117.5</v>
      </c>
      <c r="L623" s="52" t="n">
        <v>0</v>
      </c>
      <c r="M623" s="50" t="n">
        <v>0</v>
      </c>
      <c r="N623" s="50" t="n">
        <v>1</v>
      </c>
      <c r="O623" s="53" t="n">
        <v>21</v>
      </c>
      <c r="P623" s="48" t="s">
        <v>425</v>
      </c>
      <c r="Q623" s="50" t="n">
        <v>132</v>
      </c>
      <c r="R623" s="53" t="n">
        <f aca="false">IF(BW623=1,0,IFERROR(VLOOKUP(BU623,'Gebinde-Kategorie'!$A$5:$N$45,13,0)+0,0))</f>
        <v>104</v>
      </c>
      <c r="S623" s="54"/>
      <c r="T623" s="55"/>
      <c r="U623" s="55"/>
      <c r="V623" s="55"/>
      <c r="W623" s="48"/>
      <c r="X623" s="50"/>
      <c r="Y623" s="50"/>
      <c r="Z623" s="48" t="n">
        <f aca="false">IF(A623="","",IF(AND(Parameter!$B$21="Ja",ISNUMBER(W623)),W623,IF(BZ623="2+3",IF(ISNUMBER(SEARCH("grosser Artikel",BR623)),2,IFERROR(VLOOKUP(BU623,Parameter!$F$35:$G$64,2,0),2)),IF(OR(BZ623="Nein",BZ623=""),"-",BZ623))))</f>
        <v>3</v>
      </c>
      <c r="AA623" s="55"/>
      <c r="AB623" s="56"/>
      <c r="AC623" s="50" t="n">
        <f aca="false">AT623</f>
        <v>132</v>
      </c>
      <c r="AD623" s="50" t="n">
        <f aca="false">MAX(AT623,H623)</f>
        <v>132</v>
      </c>
      <c r="AE623" s="57"/>
      <c r="AF623" s="50" t="n">
        <f aca="false">IF(LEFT(Cockpit!$C$5,1)="A",H623,IF(CE623=1,CF623,IF(LEFT(Cockpit!$C$5,1)="B",AK623,MAX(AK623,H623))))</f>
        <v>119</v>
      </c>
      <c r="AG623" s="50" t="n">
        <f aca="false">IF(BW623=1,0,ROUNDUP(AF623/BV623,0))</f>
        <v>1</v>
      </c>
      <c r="AH623" s="52" t="n">
        <f aca="false">IF(CL623&gt;0,CL623*MAX(1,AF623/X623),IF(BW623=1,IF(AF623&lt;=0,0,CA623*MAX(1,IF(H623&gt;0,AF623/H623,1))),IF(R623&gt;0,AG623/R623,0))/MAX(0.1,N(Parameter!$M$21)))</f>
        <v>0.00961538461538462</v>
      </c>
      <c r="AI623" s="50" t="n">
        <f aca="false">AH623*BY623</f>
        <v>1.49038461538462</v>
      </c>
      <c r="AJ623" s="50" t="n">
        <f aca="false">AF623*G623</f>
        <v>85.68</v>
      </c>
      <c r="AK623" s="50" t="n">
        <f aca="false">ROUNDUP(MAX(J623/IF(CD623&gt;0,CD623,MAX(0.1,N(Cockpit!$C$6))),CG623)/BV623,0)*BV623</f>
        <v>132</v>
      </c>
      <c r="AL623" s="51" t="n">
        <f aca="false">IF(AI623&gt;0,J623/AI623,-1)</f>
        <v>0</v>
      </c>
      <c r="AM623" s="51" t="n">
        <f aca="false">IF(AND(OR(CC623="L1",CC623="L23",CC623="LIFT"),AI623&gt;0),SUMIFS($AI$7:$AI$1843,$CC$7:$CC$1843,CC623,$AL$7:$AL$1843,"&gt;"&amp;AL623)+SUMIFS($AI$7:$AI$1843,$CC$7:$CC$1843,CC623,$AL$7:$AL$1843,AL623,$BT$7:$BT$1843,"&lt;="&amp;BT623),"")</f>
        <v>28561.7400948863</v>
      </c>
      <c r="AN623" s="58" t="n">
        <f aca="false">IF(AM623="",0,MAX(0,MIN(1,(IF(CC623="L1",Parameter!$H$5,IF(CC623="L23",Parameter!$H$6+Parameter!$H$7,Parameter!$H$5+Parameter!$H$6+Parameter!$H$7))-(AM623-AI623))/AI623)))</f>
        <v>1</v>
      </c>
      <c r="AO623" s="50" t="n">
        <f aca="false">IF(LEFT(Cockpit!$I$5,1)="A",H623,IF(CE623=1,CF623,IF(LEFT(Cockpit!$I$5,1)="B",AT623,MAX(AT623,H623))))</f>
        <v>132</v>
      </c>
      <c r="AP623" s="50" t="n">
        <f aca="false">IF(BW623=1,0,ROUNDUP(AO623/BV623,0))</f>
        <v>1</v>
      </c>
      <c r="AQ623" s="52" t="n">
        <f aca="false">IF(CL623&gt;0,CL623*MAX(1,AO623/X623),IF(BW623=1,IF(AO623&lt;=0,0,CA623*MAX(1,IF(H623&gt;0,AO623/H623,1))),IF(R623&gt;0,AP623/R623,0))/MAX(0.1,N(Parameter!$M$21)))</f>
        <v>0.00961538461538462</v>
      </c>
      <c r="AR623" s="50" t="n">
        <f aca="false">AQ623*BY623</f>
        <v>1.49038461538462</v>
      </c>
      <c r="AS623" s="50" t="n">
        <f aca="false">AO623*G623</f>
        <v>95.04</v>
      </c>
      <c r="AT623" s="50" t="n">
        <f aca="false">ROUNDUP(MAX(J623/IF(CD623&gt;0,CD623,MAX(0.1,N(Cockpit!$I$6))),CG623)/BV623,0)*BV623</f>
        <v>132</v>
      </c>
      <c r="AU623" s="51" t="n">
        <f aca="false">IF(AR623&gt;0,J623/AR623,-1)</f>
        <v>0</v>
      </c>
      <c r="AV623" s="51" t="n">
        <f aca="false">IF(AND(OR(CC623="L1",CC623="L23",CC623="LIFT"),AR623&gt;0),SUMIFS($AR$7:$AR$1843,$CC$7:$CC$1843,CC623,$AU$7:$AU$1843,"&gt;"&amp;AU623)+SUMIFS($AR$7:$AR$1843,$CC$7:$CC$1843,CC623,$AU$7:$AU$1843,AU623,$BT$7:$BT$1843,"&lt;="&amp;BT623),"")</f>
        <v>39880.6071506178</v>
      </c>
      <c r="AW623" s="58" t="n">
        <f aca="false">IF(AV623="",0,MAX(0,MIN(1,(IF(CC623="L1",Parameter!$H$5,IF(CC623="L23",Parameter!$H$6+Parameter!$H$7,Parameter!$H$5+Parameter!$H$6+Parameter!$H$7))-(AV623-AR623))/AR623)))</f>
        <v>0</v>
      </c>
      <c r="AX623" s="50" t="n">
        <f aca="false">IF(LEFT(Cockpit!$O$5,1)="A",H623,IF(CE623=1,CF623,IF(LEFT(Cockpit!$O$5,1)="B",BC623,MAX(BC623,H623))))</f>
        <v>132</v>
      </c>
      <c r="AY623" s="50" t="n">
        <f aca="false">IF(BW623=1,0,ROUNDUP(AX623/BV623,0))</f>
        <v>1</v>
      </c>
      <c r="AZ623" s="52" t="n">
        <f aca="false">IF(CL623&gt;0,CL623*MAX(1,AX623/X623),IF(BW623=1,IF(AX623&lt;=0,0,CA623*MAX(1,IF(H623&gt;0,AX623/H623,1))),IF(R623&gt;0,AY623/R623,0))/MAX(0.1,N(Parameter!$M$21)))</f>
        <v>0.00961538461538462</v>
      </c>
      <c r="BA623" s="50" t="n">
        <f aca="false">AZ623*BY623</f>
        <v>1.49038461538462</v>
      </c>
      <c r="BB623" s="50" t="n">
        <f aca="false">AX623*G623</f>
        <v>95.04</v>
      </c>
      <c r="BC623" s="50" t="n">
        <f aca="false">ROUNDUP(MAX(J623/IF(CD623&gt;0,CD623,MAX(0.1,N(Cockpit!$O$6))),CG623)/BV623,0)*BV623</f>
        <v>132</v>
      </c>
      <c r="BD623" s="51" t="n">
        <f aca="false">IF(BA623&gt;0,J623/BA623,-1)</f>
        <v>0</v>
      </c>
      <c r="BE623" s="51" t="n">
        <f aca="false">IF(AND(OR(CC623="L1",CC623="L23",CC623="LIFT"),BA623&gt;0),SUMIFS($BA$7:$BA$1843,$CC$7:$CC$1843,CC623,$BD$7:$BD$1843,"&gt;"&amp;BD623)+SUMIFS($BA$7:$BA$1843,$CC$7:$CC$1843,CC623,$BD$7:$BD$1843,BD623,$BT$7:$BT$1843,"&lt;="&amp;BT623),"")</f>
        <v>36555.6191924836</v>
      </c>
      <c r="BF623" s="58" t="n">
        <f aca="false">IF(BE623="",0,MAX(0,MIN(1,(IF(CC623="L1",Parameter!$H$5,IF(CC623="L23",Parameter!$H$6+Parameter!$H$7,Parameter!$H$5+Parameter!$H$6+Parameter!$H$7))-(BE623-BA623))/BA623)))</f>
        <v>0</v>
      </c>
      <c r="BG623" s="48" t="str">
        <f aca="false">IF(AI623&lt;=0,"",IF(CC623="Aussen","Aussenlager",IF(CC623="-","Nicht im Lift",IF(AN623&gt;=1,"Lift",IF(AN623&lt;=0,"Aussenlager","teilweise")))))</f>
        <v>Lift</v>
      </c>
      <c r="BH623" s="48" t="str">
        <f aca="false">IF(AR623&lt;=0,"",IF(CC623="Aussen","Aussenlager",IF(CC623="-","Nicht im Lift",IF(AW623&gt;=1,"Lift",IF(AW623&lt;=0,"Aussenlager","teilweise")))))</f>
        <v>Aussenlager</v>
      </c>
      <c r="BI623" s="48" t="str">
        <f aca="false">IF(BA623&lt;=0,"",IF(CC623="Aussen","Aussenlager",IF(CC623="-","Nicht im Lift",IF(BF623&gt;=1,"Lift",IF(BF623&lt;=0,"Aussenlager","teilweise")))))</f>
        <v>Aussenlager</v>
      </c>
      <c r="BJ623" s="48" t="str">
        <f aca="false">IF(A623="","",IF(BS623=1,"Neu; ","")&amp;IF(AND(BS623=0,BN623&lt;0),"negativer Bestand (Export "&amp;BN623&amp;"); ","")&amp;IF(J623&lt;=0,"Kein Verbrauch; ","")&amp;IF(CL623&gt;0,"Lift "&amp;W623&amp;" lt. Liftbericht (Fach "&amp;X623&amp;" Stk); ",IF(BX623=1,"Gebinde geschätzt ("&amp;T623&amp;"); ",IF(BW623=1,"Lose – Tablare geschätzt; ","")))&amp;IF(H623&gt;AT623,"Überbestand "&amp;ROUND(H623-AT623,0)&amp;" Stk / CHF "&amp;ROUND((H623-AT623)*G623,0)&amp;"; ","")&amp;IF(AND(CE623=1,CF623&lt;CG623),"MAX &lt; MB+LG; ","")&amp;IF(AND(CK623&gt;0,CJ623*10&gt;CK623),"zu hoch für Tablar; ","")&amp;IF(AND(BS623=0,OR(CE623=1,AA623&lt;&gt;"",U623&lt;&gt;"",V623&lt;&gt;"",AB623&lt;&gt;"")),"manuell übersteuert; ","")&amp;IF(AND(BW623=0,R623=0),"Gebinde unbekannt / Stellmass fehlt; ","")&amp;IF(AND(BW623=0,N(V623)&lt;=0,N(Q623)&lt;=0),"Menge pro Gebinde fehlt (Ist = 1 Gebinde); ","")&amp;BR623)</f>
        <v>Kein Verbrauch; </v>
      </c>
      <c r="BK623" s="48"/>
      <c r="BL623" s="48"/>
      <c r="BM623" s="55"/>
      <c r="BN623" s="50" t="n">
        <v>4</v>
      </c>
      <c r="BO623" s="50" t="n">
        <v>115</v>
      </c>
      <c r="BP623" s="49" t="n">
        <v>2.88</v>
      </c>
      <c r="BQ623" s="50" t="n">
        <v>0</v>
      </c>
      <c r="BR623" s="48"/>
      <c r="BS623" s="53" t="n">
        <v>0</v>
      </c>
      <c r="BT623" s="53" t="n">
        <v>623</v>
      </c>
      <c r="BU623" s="48" t="str">
        <f aca="false">IF(U623&lt;&gt;"",UPPER(TRIM(U623)),IF(BX623=1,UPPER(VLOOKUP(T623,Parameter!$I$27:$K$29,2,0)),IF(P623="","LOSE",P623)))</f>
        <v>S32</v>
      </c>
      <c r="BV623" s="50" t="n">
        <f aca="false">IF(BU623="LOSE",1,IF(N(V623)&gt;0,V623,IF(BX623=1,MAX(1,N(VLOOKUP(T623,Parameter!$I$27:$K$29,3,0)),H623,N(N623)),IF(N(Q623)&gt;0,Q623,MAX(1,H623)))))</f>
        <v>132</v>
      </c>
      <c r="BW623" s="53" t="n">
        <f aca="false">IF(BU623="LOSE",1,0)</f>
        <v>0</v>
      </c>
      <c r="BX623" s="53" t="n">
        <f aca="false">IF(AND(U623="",OR(P623="",P623="LOSE"),T623&lt;&gt;"",N(S623)&lt;=0,ISNUMBER(MATCH(T623,Parameter!$I$27:$I$29,0))),1,0)</f>
        <v>0</v>
      </c>
      <c r="BY623" s="53" t="n">
        <f aca="false">IF(CL623&gt;0,INDEX(Parameter!$H$5:$H$7,W623)/INDEX(Parameter!$E$5:$E$7,W623),IF(AND(BW623=0,N(IFERROR(VLOOKUP(BU623,'Gebinde-Kategorie'!$A$5:$N$45,14,0),0))&gt;0),VLOOKUP(BU623,'Gebinde-Kategorie'!$A$5:$N$45,14,0)*10+Parameter!$M$23,Parameter!$M$24))</f>
        <v>155</v>
      </c>
      <c r="BZ623" s="48" t="str">
        <f aca="false">IF(AND(Parameter!$B$19="Ja",E623&lt;&gt;"",ISNUMBER(MATCH(E623,Parameter!$I$35:$I$52,0))),VLOOKUP(E623,Parameter!$I$35:$J$52,2,0),IFERROR(VLOOKUP(D623,Parameter!$A$35:$C$64,2,0),"Nein"))</f>
        <v>2+3</v>
      </c>
      <c r="CA623" s="52" t="n">
        <f aca="false">IF(BW623=0,0,IF(N(S623)&gt;0,S623,IFERROR(VLOOKUP(D623,Parameter!$A$35:$C$64,3,0)+0,0)))</f>
        <v>0</v>
      </c>
      <c r="CB623" s="48" t="n">
        <f aca="false">IF(AA623&lt;&gt;"",AA623,Z623)</f>
        <v>3</v>
      </c>
      <c r="CC623" s="48" t="str">
        <f aca="false">IF(OR(CB623=1,CB623=2,CB623=3),IF(Parameter!$E$27="Ja","LIFT",IF(CB623=1,"L1","L23")),IF(CB623="Aussen","Aussen","-"))</f>
        <v>LIFT</v>
      </c>
      <c r="CD623" s="59" t="n">
        <f aca="false">IF(N(AB623)&gt;0,AB623,0)</f>
        <v>0</v>
      </c>
      <c r="CE623" s="53" t="n">
        <f aca="false">IF(ISNUMBER(AE623),1,0)</f>
        <v>0</v>
      </c>
      <c r="CF623" s="50" t="n">
        <f aca="false">N(AE623)</f>
        <v>0</v>
      </c>
      <c r="CG623" s="50" t="n">
        <f aca="false">N(M623)+N(N623)</f>
        <v>1</v>
      </c>
      <c r="CH623" s="50" t="n">
        <f aca="false">ROUNDUP(H623/BV623,0)</f>
        <v>1</v>
      </c>
      <c r="CI623" s="50" t="n">
        <f aca="false">ROUNDUP(CF623/BV623,0)</f>
        <v>0</v>
      </c>
      <c r="CJ623" s="53" t="n">
        <f aca="false">IF(BW623=1,0,IFERROR(VLOOKUP(BU623,'Gebinde-Kategorie'!$A$5:$N$45,5,0)+0,0))</f>
        <v>8</v>
      </c>
      <c r="CK623" s="53" t="n">
        <f aca="false">IFERROR(IF(OR(CB623=1,CB623=2,CB623=3),N(INDEX(Parameter!$I$5:$I$7,CB623)),0),0)</f>
        <v>0</v>
      </c>
      <c r="CL623" s="52" t="n">
        <f aca="false">IF(AND(Parameter!$B$21="Ja",ISNUMBER(W623),N(X623)&gt;0),IFERROR(N(INDEX(Parameter!$L$5:$L$7,W623))*INDEX(Parameter!$E$5:$E$7,W623)*X623/SUMIFS($X$7:$X$1843,$W$7:$W$1843,W623),0),0)</f>
        <v>0</v>
      </c>
    </row>
    <row r="624" customFormat="false" ht="15" hidden="false" customHeight="false" outlineLevel="0" collapsed="false">
      <c r="A624" s="48" t="s">
        <v>1286</v>
      </c>
      <c r="B624" s="48" t="s">
        <v>1266</v>
      </c>
      <c r="C624" s="48" t="s">
        <v>168</v>
      </c>
      <c r="D624" s="48" t="s">
        <v>188</v>
      </c>
      <c r="E624" s="48"/>
      <c r="F624" s="48" t="s">
        <v>222</v>
      </c>
      <c r="G624" s="49" t="n">
        <v>0.05</v>
      </c>
      <c r="H624" s="50" t="n">
        <f aca="false">MAX(0,IF(AND(Parameter!$B$21="Ja",ISNUMBER(Y624)),Y624,IF(Parameter!$B$20="Jahresanfang 2025 + Export",BO624+BN624,BN624)))</f>
        <v>66</v>
      </c>
      <c r="I624" s="50" t="n">
        <f aca="false">H624*G624</f>
        <v>3.3</v>
      </c>
      <c r="J624" s="50" t="n">
        <f aca="false">BQ624*Parameter!$B$18</f>
        <v>0</v>
      </c>
      <c r="K624" s="51" t="n">
        <v>51.5</v>
      </c>
      <c r="L624" s="52" t="n">
        <v>0</v>
      </c>
      <c r="M624" s="50" t="n">
        <v>0</v>
      </c>
      <c r="N624" s="50" t="n">
        <v>25</v>
      </c>
      <c r="O624" s="53" t="n">
        <v>14</v>
      </c>
      <c r="P624" s="48" t="s">
        <v>405</v>
      </c>
      <c r="Q624" s="50" t="n">
        <v>100</v>
      </c>
      <c r="R624" s="53" t="n">
        <f aca="false">IF(BW624=1,0,IFERROR(VLOOKUP(BU624,'Gebinde-Kategorie'!$A$5:$N$45,13,0)+0,0))</f>
        <v>280</v>
      </c>
      <c r="S624" s="54"/>
      <c r="T624" s="55"/>
      <c r="U624" s="55"/>
      <c r="V624" s="55"/>
      <c r="W624" s="48"/>
      <c r="X624" s="50"/>
      <c r="Y624" s="50"/>
      <c r="Z624" s="48" t="n">
        <f aca="false">IF(A624="","",IF(AND(Parameter!$B$21="Ja",ISNUMBER(W624)),W624,IF(BZ624="2+3",IF(ISNUMBER(SEARCH("grosser Artikel",BR624)),2,IFERROR(VLOOKUP(BU624,Parameter!$F$35:$G$64,2,0),2)),IF(OR(BZ624="Nein",BZ624=""),"-",BZ624))))</f>
        <v>3</v>
      </c>
      <c r="AA624" s="55"/>
      <c r="AB624" s="56"/>
      <c r="AC624" s="50" t="n">
        <f aca="false">AT624</f>
        <v>100</v>
      </c>
      <c r="AD624" s="50" t="n">
        <f aca="false">MAX(AT624,H624)</f>
        <v>100</v>
      </c>
      <c r="AE624" s="57"/>
      <c r="AF624" s="50" t="n">
        <f aca="false">IF(LEFT(Cockpit!$C$5,1)="A",H624,IF(CE624=1,CF624,IF(LEFT(Cockpit!$C$5,1)="B",AK624,MAX(AK624,H624))))</f>
        <v>66</v>
      </c>
      <c r="AG624" s="50" t="n">
        <f aca="false">IF(BW624=1,0,ROUNDUP(AF624/BV624,0))</f>
        <v>1</v>
      </c>
      <c r="AH624" s="52" t="n">
        <f aca="false">IF(CL624&gt;0,CL624*MAX(1,AF624/X624),IF(BW624=1,IF(AF624&lt;=0,0,CA624*MAX(1,IF(H624&gt;0,AF624/H624,1))),IF(R624&gt;0,AG624/R624,0))/MAX(0.1,N(Parameter!$M$21)))</f>
        <v>0.00357142857142857</v>
      </c>
      <c r="AI624" s="50" t="n">
        <f aca="false">AH624*BY624</f>
        <v>0.553571428571429</v>
      </c>
      <c r="AJ624" s="50" t="n">
        <f aca="false">AF624*G624</f>
        <v>3.3</v>
      </c>
      <c r="AK624" s="50" t="n">
        <f aca="false">ROUNDUP(MAX(J624/IF(CD624&gt;0,CD624,MAX(0.1,N(Cockpit!$C$6))),CG624)/BV624,0)*BV624</f>
        <v>100</v>
      </c>
      <c r="AL624" s="51" t="n">
        <f aca="false">IF(AI624&gt;0,J624/AI624,-1)</f>
        <v>0</v>
      </c>
      <c r="AM624" s="51" t="n">
        <f aca="false">IF(AND(OR(CC624="L1",CC624="L23",CC624="LIFT"),AI624&gt;0),SUMIFS($AI$7:$AI$1843,$CC$7:$CC$1843,CC624,$AL$7:$AL$1843,"&gt;"&amp;AL624)+SUMIFS($AI$7:$AI$1843,$CC$7:$CC$1843,CC624,$AL$7:$AL$1843,AL624,$BT$7:$BT$1843,"&lt;="&amp;BT624),"")</f>
        <v>28562.2936663149</v>
      </c>
      <c r="AN624" s="58" t="n">
        <f aca="false">IF(AM624="",0,MAX(0,MIN(1,(IF(CC624="L1",Parameter!$H$5,IF(CC624="L23",Parameter!$H$6+Parameter!$H$7,Parameter!$H$5+Parameter!$H$6+Parameter!$H$7))-(AM624-AI624))/AI624)))</f>
        <v>1</v>
      </c>
      <c r="AO624" s="50" t="n">
        <f aca="false">IF(LEFT(Cockpit!$I$5,1)="A",H624,IF(CE624=1,CF624,IF(LEFT(Cockpit!$I$5,1)="B",AT624,MAX(AT624,H624))))</f>
        <v>100</v>
      </c>
      <c r="AP624" s="50" t="n">
        <f aca="false">IF(BW624=1,0,ROUNDUP(AO624/BV624,0))</f>
        <v>1</v>
      </c>
      <c r="AQ624" s="52" t="n">
        <f aca="false">IF(CL624&gt;0,CL624*MAX(1,AO624/X624),IF(BW624=1,IF(AO624&lt;=0,0,CA624*MAX(1,IF(H624&gt;0,AO624/H624,1))),IF(R624&gt;0,AP624/R624,0))/MAX(0.1,N(Parameter!$M$21)))</f>
        <v>0.00357142857142857</v>
      </c>
      <c r="AR624" s="50" t="n">
        <f aca="false">AQ624*BY624</f>
        <v>0.553571428571429</v>
      </c>
      <c r="AS624" s="50" t="n">
        <f aca="false">AO624*G624</f>
        <v>5</v>
      </c>
      <c r="AT624" s="50" t="n">
        <f aca="false">ROUNDUP(MAX(J624/IF(CD624&gt;0,CD624,MAX(0.1,N(Cockpit!$I$6))),CG624)/BV624,0)*BV624</f>
        <v>100</v>
      </c>
      <c r="AU624" s="51" t="n">
        <f aca="false">IF(AR624&gt;0,J624/AR624,-1)</f>
        <v>0</v>
      </c>
      <c r="AV624" s="51" t="n">
        <f aca="false">IF(AND(OR(CC624="L1",CC624="L23",CC624="LIFT"),AR624&gt;0),SUMIFS($AR$7:$AR$1843,$CC$7:$CC$1843,CC624,$AU$7:$AU$1843,"&gt;"&amp;AU624)+SUMIFS($AR$7:$AR$1843,$CC$7:$CC$1843,CC624,$AU$7:$AU$1843,AU624,$BT$7:$BT$1843,"&lt;="&amp;BT624),"")</f>
        <v>39881.1607220463</v>
      </c>
      <c r="AW624" s="58" t="n">
        <f aca="false">IF(AV624="",0,MAX(0,MIN(1,(IF(CC624="L1",Parameter!$H$5,IF(CC624="L23",Parameter!$H$6+Parameter!$H$7,Parameter!$H$5+Parameter!$H$6+Parameter!$H$7))-(AV624-AR624))/AR624)))</f>
        <v>0</v>
      </c>
      <c r="AX624" s="50" t="n">
        <f aca="false">IF(LEFT(Cockpit!$O$5,1)="A",H624,IF(CE624=1,CF624,IF(LEFT(Cockpit!$O$5,1)="B",BC624,MAX(BC624,H624))))</f>
        <v>100</v>
      </c>
      <c r="AY624" s="50" t="n">
        <f aca="false">IF(BW624=1,0,ROUNDUP(AX624/BV624,0))</f>
        <v>1</v>
      </c>
      <c r="AZ624" s="52" t="n">
        <f aca="false">IF(CL624&gt;0,CL624*MAX(1,AX624/X624),IF(BW624=1,IF(AX624&lt;=0,0,CA624*MAX(1,IF(H624&gt;0,AX624/H624,1))),IF(R624&gt;0,AY624/R624,0))/MAX(0.1,N(Parameter!$M$21)))</f>
        <v>0.00357142857142857</v>
      </c>
      <c r="BA624" s="50" t="n">
        <f aca="false">AZ624*BY624</f>
        <v>0.553571428571429</v>
      </c>
      <c r="BB624" s="50" t="n">
        <f aca="false">AX624*G624</f>
        <v>5</v>
      </c>
      <c r="BC624" s="50" t="n">
        <f aca="false">ROUNDUP(MAX(J624/IF(CD624&gt;0,CD624,MAX(0.1,N(Cockpit!$O$6))),CG624)/BV624,0)*BV624</f>
        <v>100</v>
      </c>
      <c r="BD624" s="51" t="n">
        <f aca="false">IF(BA624&gt;0,J624/BA624,-1)</f>
        <v>0</v>
      </c>
      <c r="BE624" s="51" t="n">
        <f aca="false">IF(AND(OR(CC624="L1",CC624="L23",CC624="LIFT"),BA624&gt;0),SUMIFS($BA$7:$BA$1843,$CC$7:$CC$1843,CC624,$BD$7:$BD$1843,"&gt;"&amp;BD624)+SUMIFS($BA$7:$BA$1843,$CC$7:$CC$1843,CC624,$BD$7:$BD$1843,BD624,$BT$7:$BT$1843,"&lt;="&amp;BT624),"")</f>
        <v>36556.1727639122</v>
      </c>
      <c r="BF624" s="58" t="n">
        <f aca="false">IF(BE624="",0,MAX(0,MIN(1,(IF(CC624="L1",Parameter!$H$5,IF(CC624="L23",Parameter!$H$6+Parameter!$H$7,Parameter!$H$5+Parameter!$H$6+Parameter!$H$7))-(BE624-BA624))/BA624)))</f>
        <v>0</v>
      </c>
      <c r="BG624" s="48" t="str">
        <f aca="false">IF(AI624&lt;=0,"",IF(CC624="Aussen","Aussenlager",IF(CC624="-","Nicht im Lift",IF(AN624&gt;=1,"Lift",IF(AN624&lt;=0,"Aussenlager","teilweise")))))</f>
        <v>Lift</v>
      </c>
      <c r="BH624" s="48" t="str">
        <f aca="false">IF(AR624&lt;=0,"",IF(CC624="Aussen","Aussenlager",IF(CC624="-","Nicht im Lift",IF(AW624&gt;=1,"Lift",IF(AW624&lt;=0,"Aussenlager","teilweise")))))</f>
        <v>Aussenlager</v>
      </c>
      <c r="BI624" s="48" t="str">
        <f aca="false">IF(BA624&lt;=0,"",IF(CC624="Aussen","Aussenlager",IF(CC624="-","Nicht im Lift",IF(BF624&gt;=1,"Lift",IF(BF624&lt;=0,"Aussenlager","teilweise")))))</f>
        <v>Aussenlager</v>
      </c>
      <c r="BJ624" s="48" t="str">
        <f aca="false">IF(A624="","",IF(BS624=1,"Neu; ","")&amp;IF(AND(BS624=0,BN624&lt;0),"negativer Bestand (Export "&amp;BN624&amp;"); ","")&amp;IF(J624&lt;=0,"Kein Verbrauch; ","")&amp;IF(CL624&gt;0,"Lift "&amp;W624&amp;" lt. Liftbericht (Fach "&amp;X624&amp;" Stk); ",IF(BX624=1,"Gebinde geschätzt ("&amp;T624&amp;"); ",IF(BW624=1,"Lose – Tablare geschätzt; ","")))&amp;IF(H624&gt;AT624,"Überbestand "&amp;ROUND(H624-AT624,0)&amp;" Stk / CHF "&amp;ROUND((H624-AT624)*G624,0)&amp;"; ","")&amp;IF(AND(CE624=1,CF624&lt;CG624),"MAX &lt; MB+LG; ","")&amp;IF(AND(CK624&gt;0,CJ624*10&gt;CK624),"zu hoch für Tablar; ","")&amp;IF(AND(BS624=0,OR(CE624=1,AA624&lt;&gt;"",U624&lt;&gt;"",V624&lt;&gt;"",AB624&lt;&gt;"")),"manuell übersteuert; ","")&amp;IF(AND(BW624=0,R624=0),"Gebinde unbekannt / Stellmass fehlt; ","")&amp;IF(AND(BW624=0,N(V624)&lt;=0,N(Q624)&lt;=0),"Menge pro Gebinde fehlt (Ist = 1 Gebinde); ","")&amp;BR624)</f>
        <v>Kein Verbrauch; </v>
      </c>
      <c r="BK624" s="48"/>
      <c r="BL624" s="48"/>
      <c r="BM624" s="55"/>
      <c r="BN624" s="50" t="n">
        <v>56</v>
      </c>
      <c r="BO624" s="50" t="n">
        <v>10</v>
      </c>
      <c r="BP624" s="49" t="n">
        <v>2.8</v>
      </c>
      <c r="BQ624" s="50" t="n">
        <v>0</v>
      </c>
      <c r="BR624" s="48"/>
      <c r="BS624" s="53" t="n">
        <v>0</v>
      </c>
      <c r="BT624" s="53" t="n">
        <v>624</v>
      </c>
      <c r="BU624" s="48" t="str">
        <f aca="false">IF(U624&lt;&gt;"",UPPER(TRIM(U624)),IF(BX624=1,UPPER(VLOOKUP(T624,Parameter!$I$27:$K$29,2,0)),IF(P624="","LOSE",P624)))</f>
        <v>S21</v>
      </c>
      <c r="BV624" s="50" t="n">
        <f aca="false">IF(BU624="LOSE",1,IF(N(V624)&gt;0,V624,IF(BX624=1,MAX(1,N(VLOOKUP(T624,Parameter!$I$27:$K$29,3,0)),H624,N(N624)),IF(N(Q624)&gt;0,Q624,MAX(1,H624)))))</f>
        <v>100</v>
      </c>
      <c r="BW624" s="53" t="n">
        <f aca="false">IF(BU624="LOSE",1,0)</f>
        <v>0</v>
      </c>
      <c r="BX624" s="53" t="n">
        <f aca="false">IF(AND(U624="",OR(P624="",P624="LOSE"),T624&lt;&gt;"",N(S624)&lt;=0,ISNUMBER(MATCH(T624,Parameter!$I$27:$I$29,0))),1,0)</f>
        <v>0</v>
      </c>
      <c r="BY624" s="53" t="n">
        <f aca="false">IF(CL624&gt;0,INDEX(Parameter!$H$5:$H$7,W624)/INDEX(Parameter!$E$5:$E$7,W624),IF(AND(BW624=0,N(IFERROR(VLOOKUP(BU624,'Gebinde-Kategorie'!$A$5:$N$45,14,0),0))&gt;0),VLOOKUP(BU624,'Gebinde-Kategorie'!$A$5:$N$45,14,0)*10+Parameter!$M$23,Parameter!$M$24))</f>
        <v>155</v>
      </c>
      <c r="BZ624" s="48" t="str">
        <f aca="false">IF(AND(Parameter!$B$19="Ja",E624&lt;&gt;"",ISNUMBER(MATCH(E624,Parameter!$I$35:$I$52,0))),VLOOKUP(E624,Parameter!$I$35:$J$52,2,0),IFERROR(VLOOKUP(D624,Parameter!$A$35:$C$64,2,0),"Nein"))</f>
        <v>2+3</v>
      </c>
      <c r="CA624" s="52" t="n">
        <f aca="false">IF(BW624=0,0,IF(N(S624)&gt;0,S624,IFERROR(VLOOKUP(D624,Parameter!$A$35:$C$64,3,0)+0,0)))</f>
        <v>0</v>
      </c>
      <c r="CB624" s="48" t="n">
        <f aca="false">IF(AA624&lt;&gt;"",AA624,Z624)</f>
        <v>3</v>
      </c>
      <c r="CC624" s="48" t="str">
        <f aca="false">IF(OR(CB624=1,CB624=2,CB624=3),IF(Parameter!$E$27="Ja","LIFT",IF(CB624=1,"L1","L23")),IF(CB624="Aussen","Aussen","-"))</f>
        <v>LIFT</v>
      </c>
      <c r="CD624" s="59" t="n">
        <f aca="false">IF(N(AB624)&gt;0,AB624,0)</f>
        <v>0</v>
      </c>
      <c r="CE624" s="53" t="n">
        <f aca="false">IF(ISNUMBER(AE624),1,0)</f>
        <v>0</v>
      </c>
      <c r="CF624" s="50" t="n">
        <f aca="false">N(AE624)</f>
        <v>0</v>
      </c>
      <c r="CG624" s="50" t="n">
        <f aca="false">N(M624)+N(N624)</f>
        <v>25</v>
      </c>
      <c r="CH624" s="50" t="n">
        <f aca="false">ROUNDUP(H624/BV624,0)</f>
        <v>1</v>
      </c>
      <c r="CI624" s="50" t="n">
        <f aca="false">ROUNDUP(CF624/BV624,0)</f>
        <v>0</v>
      </c>
      <c r="CJ624" s="53" t="n">
        <f aca="false">IF(BW624=1,0,IFERROR(VLOOKUP(BU624,'Gebinde-Kategorie'!$A$5:$N$45,5,0)+0,0))</f>
        <v>8</v>
      </c>
      <c r="CK624" s="53" t="n">
        <f aca="false">IFERROR(IF(OR(CB624=1,CB624=2,CB624=3),N(INDEX(Parameter!$I$5:$I$7,CB624)),0),0)</f>
        <v>0</v>
      </c>
      <c r="CL624" s="52" t="n">
        <f aca="false">IF(AND(Parameter!$B$21="Ja",ISNUMBER(W624),N(X624)&gt;0),IFERROR(N(INDEX(Parameter!$L$5:$L$7,W624))*INDEX(Parameter!$E$5:$E$7,W624)*X624/SUMIFS($X$7:$X$1843,$W$7:$W$1843,W624),0),0)</f>
        <v>0</v>
      </c>
    </row>
    <row r="625" customFormat="false" ht="15" hidden="false" customHeight="false" outlineLevel="0" collapsed="false">
      <c r="A625" s="48" t="s">
        <v>1287</v>
      </c>
      <c r="B625" s="48" t="s">
        <v>953</v>
      </c>
      <c r="C625" s="48" t="s">
        <v>168</v>
      </c>
      <c r="D625" s="48" t="s">
        <v>999</v>
      </c>
      <c r="E625" s="48"/>
      <c r="F625" s="48" t="s">
        <v>222</v>
      </c>
      <c r="G625" s="49" t="n">
        <v>0.54</v>
      </c>
      <c r="H625" s="50" t="n">
        <f aca="false">MAX(0,IF(AND(Parameter!$B$21="Ja",ISNUMBER(Y625)),Y625,IF(Parameter!$B$20="Jahresanfang 2025 + Export",BO625+BN625,BN625)))</f>
        <v>4</v>
      </c>
      <c r="I625" s="50" t="n">
        <f aca="false">H625*G625</f>
        <v>2.16</v>
      </c>
      <c r="J625" s="50" t="n">
        <f aca="false">BQ625*Parameter!$B$18</f>
        <v>96</v>
      </c>
      <c r="K625" s="51" t="n">
        <v>2</v>
      </c>
      <c r="L625" s="52" t="n">
        <v>48</v>
      </c>
      <c r="M625" s="50" t="n">
        <v>0</v>
      </c>
      <c r="N625" s="50" t="n">
        <v>100</v>
      </c>
      <c r="O625" s="53" t="n">
        <v>21</v>
      </c>
      <c r="P625" s="48" t="s">
        <v>172</v>
      </c>
      <c r="Q625" s="50"/>
      <c r="R625" s="53" t="n">
        <f aca="false">IF(BW625=1,0,IFERROR(VLOOKUP(BU625,'Gebinde-Kategorie'!$A$5:$N$45,13,0)+0,0))</f>
        <v>0</v>
      </c>
      <c r="S625" s="54"/>
      <c r="T625" s="55"/>
      <c r="U625" s="55"/>
      <c r="V625" s="55"/>
      <c r="W625" s="48"/>
      <c r="X625" s="50"/>
      <c r="Y625" s="50"/>
      <c r="Z625" s="48" t="str">
        <f aca="false">IF(A625="","",IF(AND(Parameter!$B$21="Ja",ISNUMBER(W625)),W625,IF(BZ625="2+3",IF(ISNUMBER(SEARCH("grosser Artikel",BR625)),2,IFERROR(VLOOKUP(BU625,Parameter!$F$35:$G$64,2,0),2)),IF(OR(BZ625="Nein",BZ625=""),"-",BZ625))))</f>
        <v>-</v>
      </c>
      <c r="AA625" s="55"/>
      <c r="AB625" s="56"/>
      <c r="AC625" s="50" t="n">
        <f aca="false">AT625</f>
        <v>100</v>
      </c>
      <c r="AD625" s="50" t="n">
        <f aca="false">MAX(AT625,H625)</f>
        <v>100</v>
      </c>
      <c r="AE625" s="57"/>
      <c r="AF625" s="50" t="n">
        <f aca="false">IF(LEFT(Cockpit!$C$5,1)="A",H625,IF(CE625=1,CF625,IF(LEFT(Cockpit!$C$5,1)="B",AK625,MAX(AK625,H625))))</f>
        <v>4</v>
      </c>
      <c r="AG625" s="50" t="n">
        <f aca="false">IF(BW625=1,0,ROUNDUP(AF625/BV625,0))</f>
        <v>0</v>
      </c>
      <c r="AH625" s="52" t="n">
        <f aca="false">IF(CL625&gt;0,CL625*MAX(1,AF625/X625),IF(BW625=1,IF(AF625&lt;=0,0,CA625*MAX(1,IF(H625&gt;0,AF625/H625,1))),IF(R625&gt;0,AG625/R625,0))/MAX(0.1,N(Parameter!$M$21)))</f>
        <v>0.15</v>
      </c>
      <c r="AI625" s="50" t="n">
        <f aca="false">AH625*BY625</f>
        <v>35.25</v>
      </c>
      <c r="AJ625" s="50" t="n">
        <f aca="false">AF625*G625</f>
        <v>2.16</v>
      </c>
      <c r="AK625" s="50" t="n">
        <f aca="false">ROUNDUP(MAX(J625/IF(CD625&gt;0,CD625,MAX(0.1,N(Cockpit!$C$6))),CG625)/BV625,0)*BV625</f>
        <v>100</v>
      </c>
      <c r="AL625" s="51" t="n">
        <f aca="false">IF(AI625&gt;0,J625/AI625,-1)</f>
        <v>2.72340425531915</v>
      </c>
      <c r="AM625" s="51" t="str">
        <f aca="false">IF(AND(OR(CC625="L1",CC625="L23",CC625="LIFT"),AI625&gt;0),SUMIFS($AI$7:$AI$1843,$CC$7:$CC$1843,CC625,$AL$7:$AL$1843,"&gt;"&amp;AL625)+SUMIFS($AI$7:$AI$1843,$CC$7:$CC$1843,CC625,$AL$7:$AL$1843,AL625,$BT$7:$BT$1843,"&lt;="&amp;BT625),"")</f>
        <v/>
      </c>
      <c r="AN625" s="58" t="n">
        <f aca="false">IF(AM625="",0,MAX(0,MIN(1,(IF(CC625="L1",Parameter!$H$5,IF(CC625="L23",Parameter!$H$6+Parameter!$H$7,Parameter!$H$5+Parameter!$H$6+Parameter!$H$7))-(AM625-AI625))/AI625)))</f>
        <v>0</v>
      </c>
      <c r="AO625" s="50" t="n">
        <f aca="false">IF(LEFT(Cockpit!$I$5,1)="A",H625,IF(CE625=1,CF625,IF(LEFT(Cockpit!$I$5,1)="B",AT625,MAX(AT625,H625))))</f>
        <v>100</v>
      </c>
      <c r="AP625" s="50" t="n">
        <f aca="false">IF(BW625=1,0,ROUNDUP(AO625/BV625,0))</f>
        <v>0</v>
      </c>
      <c r="AQ625" s="52" t="n">
        <f aca="false">IF(CL625&gt;0,CL625*MAX(1,AO625/X625),IF(BW625=1,IF(AO625&lt;=0,0,CA625*MAX(1,IF(H625&gt;0,AO625/H625,1))),IF(R625&gt;0,AP625/R625,0))/MAX(0.1,N(Parameter!$M$21)))</f>
        <v>3.75</v>
      </c>
      <c r="AR625" s="50" t="n">
        <f aca="false">AQ625*BY625</f>
        <v>881.25</v>
      </c>
      <c r="AS625" s="50" t="n">
        <f aca="false">AO625*G625</f>
        <v>54</v>
      </c>
      <c r="AT625" s="50" t="n">
        <f aca="false">ROUNDUP(MAX(J625/IF(CD625&gt;0,CD625,MAX(0.1,N(Cockpit!$I$6))),CG625)/BV625,0)*BV625</f>
        <v>100</v>
      </c>
      <c r="AU625" s="51" t="n">
        <f aca="false">IF(AR625&gt;0,J625/AR625,-1)</f>
        <v>0.108936170212766</v>
      </c>
      <c r="AV625" s="51" t="str">
        <f aca="false">IF(AND(OR(CC625="L1",CC625="L23",CC625="LIFT"),AR625&gt;0),SUMIFS($AR$7:$AR$1843,$CC$7:$CC$1843,CC625,$AU$7:$AU$1843,"&gt;"&amp;AU625)+SUMIFS($AR$7:$AR$1843,$CC$7:$CC$1843,CC625,$AU$7:$AU$1843,AU625,$BT$7:$BT$1843,"&lt;="&amp;BT625),"")</f>
        <v/>
      </c>
      <c r="AW625" s="58" t="n">
        <f aca="false">IF(AV625="",0,MAX(0,MIN(1,(IF(CC625="L1",Parameter!$H$5,IF(CC625="L23",Parameter!$H$6+Parameter!$H$7,Parameter!$H$5+Parameter!$H$6+Parameter!$H$7))-(AV625-AR625))/AR625)))</f>
        <v>0</v>
      </c>
      <c r="AX625" s="50" t="n">
        <f aca="false">IF(LEFT(Cockpit!$O$5,1)="A",H625,IF(CE625=1,CF625,IF(LEFT(Cockpit!$O$5,1)="B",BC625,MAX(BC625,H625))))</f>
        <v>100</v>
      </c>
      <c r="AY625" s="50" t="n">
        <f aca="false">IF(BW625=1,0,ROUNDUP(AX625/BV625,0))</f>
        <v>0</v>
      </c>
      <c r="AZ625" s="52" t="n">
        <f aca="false">IF(CL625&gt;0,CL625*MAX(1,AX625/X625),IF(BW625=1,IF(AX625&lt;=0,0,CA625*MAX(1,IF(H625&gt;0,AX625/H625,1))),IF(R625&gt;0,AY625/R625,0))/MAX(0.1,N(Parameter!$M$21)))</f>
        <v>3.75</v>
      </c>
      <c r="BA625" s="50" t="n">
        <f aca="false">AZ625*BY625</f>
        <v>881.25</v>
      </c>
      <c r="BB625" s="50" t="n">
        <f aca="false">AX625*G625</f>
        <v>54</v>
      </c>
      <c r="BC625" s="50" t="n">
        <f aca="false">ROUNDUP(MAX(J625/IF(CD625&gt;0,CD625,MAX(0.1,N(Cockpit!$O$6))),CG625)/BV625,0)*BV625</f>
        <v>100</v>
      </c>
      <c r="BD625" s="51" t="n">
        <f aca="false">IF(BA625&gt;0,J625/BA625,-1)</f>
        <v>0.108936170212766</v>
      </c>
      <c r="BE625" s="51" t="str">
        <f aca="false">IF(AND(OR(CC625="L1",CC625="L23",CC625="LIFT"),BA625&gt;0),SUMIFS($BA$7:$BA$1843,$CC$7:$CC$1843,CC625,$BD$7:$BD$1843,"&gt;"&amp;BD625)+SUMIFS($BA$7:$BA$1843,$CC$7:$CC$1843,CC625,$BD$7:$BD$1843,BD625,$BT$7:$BT$1843,"&lt;="&amp;BT625),"")</f>
        <v/>
      </c>
      <c r="BF625" s="58" t="n">
        <f aca="false">IF(BE625="",0,MAX(0,MIN(1,(IF(CC625="L1",Parameter!$H$5,IF(CC625="L23",Parameter!$H$6+Parameter!$H$7,Parameter!$H$5+Parameter!$H$6+Parameter!$H$7))-(BE625-BA625))/BA625)))</f>
        <v>0</v>
      </c>
      <c r="BG625" s="48" t="str">
        <f aca="false">IF(AI625&lt;=0,"",IF(CC625="Aussen","Aussenlager",IF(CC625="-","Nicht im Lift",IF(AN625&gt;=1,"Lift",IF(AN625&lt;=0,"Aussenlager","teilweise")))))</f>
        <v>Nicht im Lift</v>
      </c>
      <c r="BH625" s="48" t="str">
        <f aca="false">IF(AR625&lt;=0,"",IF(CC625="Aussen","Aussenlager",IF(CC625="-","Nicht im Lift",IF(AW625&gt;=1,"Lift",IF(AW625&lt;=0,"Aussenlager","teilweise")))))</f>
        <v>Nicht im Lift</v>
      </c>
      <c r="BI625" s="48" t="str">
        <f aca="false">IF(BA625&lt;=0,"",IF(CC625="Aussen","Aussenlager",IF(CC625="-","Nicht im Lift",IF(BF625&gt;=1,"Lift",IF(BF625&lt;=0,"Aussenlager","teilweise")))))</f>
        <v>Nicht im Lift</v>
      </c>
      <c r="BJ625" s="48" t="str">
        <f aca="false">IF(A625="","",IF(BS625=1,"Neu; ","")&amp;IF(AND(BS625=0,BN625&lt;0),"negativer Bestand (Export "&amp;BN625&amp;"); ","")&amp;IF(J625&lt;=0,"Kein Verbrauch; ","")&amp;IF(CL625&gt;0,"Lift "&amp;W625&amp;" lt. Liftbericht (Fach "&amp;X625&amp;" Stk); ",IF(BX625=1,"Gebinde geschätzt ("&amp;T625&amp;"); ",IF(BW625=1,"Lose – Tablare geschätzt; ","")))&amp;IF(H625&gt;AT625,"Überbestand "&amp;ROUND(H625-AT625,0)&amp;" Stk / CHF "&amp;ROUND((H625-AT625)*G625,0)&amp;"; ","")&amp;IF(AND(CE625=1,CF625&lt;CG625),"MAX &lt; MB+LG; ","")&amp;IF(AND(CK625&gt;0,CJ625*10&gt;CK625),"zu hoch für Tablar; ","")&amp;IF(AND(BS625=0,OR(CE625=1,AA625&lt;&gt;"",U625&lt;&gt;"",V625&lt;&gt;"",AB625&lt;&gt;"")),"manuell übersteuert; ","")&amp;IF(AND(BW625=0,R625=0),"Gebinde unbekannt / Stellmass fehlt; ","")&amp;IF(AND(BW625=0,N(V625)&lt;=0,N(Q625)&lt;=0),"Menge pro Gebinde fehlt (Ist = 1 Gebinde); ","")&amp;BR625)</f>
        <v>Lose – Tablare geschätzt; </v>
      </c>
      <c r="BK625" s="48"/>
      <c r="BL625" s="48"/>
      <c r="BM625" s="55"/>
      <c r="BN625" s="50" t="n">
        <v>4</v>
      </c>
      <c r="BO625" s="50" t="n">
        <v>0</v>
      </c>
      <c r="BP625" s="49" t="n">
        <v>2.16</v>
      </c>
      <c r="BQ625" s="50" t="n">
        <v>96</v>
      </c>
      <c r="BR625" s="48"/>
      <c r="BS625" s="53" t="n">
        <v>0</v>
      </c>
      <c r="BT625" s="53" t="n">
        <v>625</v>
      </c>
      <c r="BU625" s="48" t="str">
        <f aca="false">IF(U625&lt;&gt;"",UPPER(TRIM(U625)),IF(BX625=1,UPPER(VLOOKUP(T625,Parameter!$I$27:$K$29,2,0)),IF(P625="","LOSE",P625)))</f>
        <v>LOSE</v>
      </c>
      <c r="BV625" s="50" t="n">
        <f aca="false">IF(BU625="LOSE",1,IF(N(V625)&gt;0,V625,IF(BX625=1,MAX(1,N(VLOOKUP(T625,Parameter!$I$27:$K$29,3,0)),H625,N(N625)),IF(N(Q625)&gt;0,Q625,MAX(1,H625)))))</f>
        <v>1</v>
      </c>
      <c r="BW625" s="53" t="n">
        <f aca="false">IF(BU625="LOSE",1,0)</f>
        <v>1</v>
      </c>
      <c r="BX625" s="53" t="n">
        <f aca="false">IF(AND(U625="",OR(P625="",P625="LOSE"),T625&lt;&gt;"",N(S625)&lt;=0,ISNUMBER(MATCH(T625,Parameter!$I$27:$I$29,0))),1,0)</f>
        <v>0</v>
      </c>
      <c r="BY625" s="53" t="n">
        <f aca="false">IF(CL625&gt;0,INDEX(Parameter!$H$5:$H$7,W625)/INDEX(Parameter!$E$5:$E$7,W625),IF(AND(BW625=0,N(IFERROR(VLOOKUP(BU625,'Gebinde-Kategorie'!$A$5:$N$45,14,0),0))&gt;0),VLOOKUP(BU625,'Gebinde-Kategorie'!$A$5:$N$45,14,0)*10+Parameter!$M$23,Parameter!$M$24))</f>
        <v>235</v>
      </c>
      <c r="BZ625" s="48" t="str">
        <f aca="false">IF(AND(Parameter!$B$19="Ja",E625&lt;&gt;"",ISNUMBER(MATCH(E625,Parameter!$I$35:$I$52,0))),VLOOKUP(E625,Parameter!$I$35:$J$52,2,0),IFERROR(VLOOKUP(D625,Parameter!$A$35:$C$64,2,0),"Nein"))</f>
        <v>Nein</v>
      </c>
      <c r="CA625" s="52" t="n">
        <f aca="false">IF(BW625=0,0,IF(N(S625)&gt;0,S625,IFERROR(VLOOKUP(D625,Parameter!$A$35:$C$64,3,0)+0,0)))</f>
        <v>0.15</v>
      </c>
      <c r="CB625" s="48" t="str">
        <f aca="false">IF(AA625&lt;&gt;"",AA625,Z625)</f>
        <v>-</v>
      </c>
      <c r="CC625" s="48" t="str">
        <f aca="false">IF(OR(CB625=1,CB625=2,CB625=3),IF(Parameter!$E$27="Ja","LIFT",IF(CB625=1,"L1","L23")),IF(CB625="Aussen","Aussen","-"))</f>
        <v>-</v>
      </c>
      <c r="CD625" s="59" t="n">
        <f aca="false">IF(N(AB625)&gt;0,AB625,0)</f>
        <v>0</v>
      </c>
      <c r="CE625" s="53" t="n">
        <f aca="false">IF(ISNUMBER(AE625),1,0)</f>
        <v>0</v>
      </c>
      <c r="CF625" s="50" t="n">
        <f aca="false">N(AE625)</f>
        <v>0</v>
      </c>
      <c r="CG625" s="50" t="n">
        <f aca="false">N(M625)+N(N625)</f>
        <v>100</v>
      </c>
      <c r="CH625" s="50" t="n">
        <f aca="false">ROUNDUP(H625/BV625,0)</f>
        <v>4</v>
      </c>
      <c r="CI625" s="50" t="n">
        <f aca="false">ROUNDUP(CF625/BV625,0)</f>
        <v>0</v>
      </c>
      <c r="CJ625" s="53" t="n">
        <f aca="false">IF(BW625=1,0,IFERROR(VLOOKUP(BU625,'Gebinde-Kategorie'!$A$5:$N$45,5,0)+0,0))</f>
        <v>0</v>
      </c>
      <c r="CK625" s="53" t="n">
        <f aca="false">IFERROR(IF(OR(CB625=1,CB625=2,CB625=3),N(INDEX(Parameter!$I$5:$I$7,CB625)),0),0)</f>
        <v>0</v>
      </c>
      <c r="CL625" s="52" t="n">
        <f aca="false">IF(AND(Parameter!$B$21="Ja",ISNUMBER(W625),N(X625)&gt;0),IFERROR(N(INDEX(Parameter!$L$5:$L$7,W625))*INDEX(Parameter!$E$5:$E$7,W625)*X625/SUMIFS($X$7:$X$1843,$W$7:$W$1843,W625),0),0)</f>
        <v>0</v>
      </c>
    </row>
    <row r="626" customFormat="false" ht="15" hidden="false" customHeight="false" outlineLevel="0" collapsed="false">
      <c r="A626" s="48" t="s">
        <v>1288</v>
      </c>
      <c r="B626" s="48" t="s">
        <v>953</v>
      </c>
      <c r="C626" s="48" t="s">
        <v>168</v>
      </c>
      <c r="D626" s="48" t="s">
        <v>188</v>
      </c>
      <c r="E626" s="48" t="s">
        <v>189</v>
      </c>
      <c r="F626" s="48" t="s">
        <v>222</v>
      </c>
      <c r="G626" s="49" t="n">
        <v>0.01</v>
      </c>
      <c r="H626" s="50" t="n">
        <f aca="false">MAX(0,IF(AND(Parameter!$B$21="Ja",ISNUMBER(Y626)),Y626,IF(Parameter!$B$20="Jahresanfang 2025 + Export",BO626+BN626,BN626)))</f>
        <v>3584</v>
      </c>
      <c r="I626" s="50" t="n">
        <f aca="false">H626*G626</f>
        <v>35.84</v>
      </c>
      <c r="J626" s="50" t="n">
        <f aca="false">BQ626*Parameter!$B$18</f>
        <v>604</v>
      </c>
      <c r="K626" s="51" t="n">
        <v>3704</v>
      </c>
      <c r="L626" s="52" t="n">
        <v>0.163066954643629</v>
      </c>
      <c r="M626" s="50" t="n">
        <v>35</v>
      </c>
      <c r="N626" s="50" t="n">
        <v>605</v>
      </c>
      <c r="O626" s="53" t="n">
        <v>21</v>
      </c>
      <c r="P626" s="48" t="s">
        <v>480</v>
      </c>
      <c r="Q626" s="50" t="n">
        <v>6007</v>
      </c>
      <c r="R626" s="53" t="n">
        <f aca="false">IF(BW626=1,0,IFERROR(VLOOKUP(BU626,'Gebinde-Kategorie'!$A$5:$N$45,13,0)+0,0))</f>
        <v>52</v>
      </c>
      <c r="S626" s="54"/>
      <c r="T626" s="55"/>
      <c r="U626" s="55"/>
      <c r="V626" s="55"/>
      <c r="W626" s="48"/>
      <c r="X626" s="50"/>
      <c r="Y626" s="50"/>
      <c r="Z626" s="48" t="n">
        <f aca="false">IF(A626="","",IF(AND(Parameter!$B$21="Ja",ISNUMBER(W626)),W626,IF(BZ626="2+3",IF(ISNUMBER(SEARCH("grosser Artikel",BR626)),2,IFERROR(VLOOKUP(BU626,Parameter!$F$35:$G$64,2,0),2)),IF(OR(BZ626="Nein",BZ626=""),"-",BZ626))))</f>
        <v>3</v>
      </c>
      <c r="AA626" s="55"/>
      <c r="AB626" s="56"/>
      <c r="AC626" s="50" t="n">
        <f aca="false">AT626</f>
        <v>6007</v>
      </c>
      <c r="AD626" s="50" t="n">
        <f aca="false">MAX(AT626,H626)</f>
        <v>6007</v>
      </c>
      <c r="AE626" s="57"/>
      <c r="AF626" s="50" t="n">
        <f aca="false">IF(LEFT(Cockpit!$C$5,1)="A",H626,IF(CE626=1,CF626,IF(LEFT(Cockpit!$C$5,1)="B",AK626,MAX(AK626,H626))))</f>
        <v>3584</v>
      </c>
      <c r="AG626" s="50" t="n">
        <f aca="false">IF(BW626=1,0,ROUNDUP(AF626/BV626,0))</f>
        <v>1</v>
      </c>
      <c r="AH626" s="52" t="n">
        <f aca="false">IF(CL626&gt;0,CL626*MAX(1,AF626/X626),IF(BW626=1,IF(AF626&lt;=0,0,CA626*MAX(1,IF(H626&gt;0,AF626/H626,1))),IF(R626&gt;0,AG626/R626,0))/MAX(0.1,N(Parameter!$M$21)))</f>
        <v>0.0192307692307692</v>
      </c>
      <c r="AI626" s="50" t="n">
        <f aca="false">AH626*BY626</f>
        <v>2.98076923076923</v>
      </c>
      <c r="AJ626" s="50" t="n">
        <f aca="false">AF626*G626</f>
        <v>35.84</v>
      </c>
      <c r="AK626" s="50" t="n">
        <f aca="false">ROUNDUP(MAX(J626/IF(CD626&gt;0,CD626,MAX(0.1,N(Cockpit!$C$6))),CG626)/BV626,0)*BV626</f>
        <v>6007</v>
      </c>
      <c r="AL626" s="51" t="n">
        <f aca="false">IF(AI626&gt;0,J626/AI626,-1)</f>
        <v>202.632258064516</v>
      </c>
      <c r="AM626" s="51" t="n">
        <f aca="false">IF(AND(OR(CC626="L1",CC626="L23",CC626="LIFT"),AI626&gt;0),SUMIFS($AI$7:$AI$1843,$CC$7:$CC$1843,CC626,$AL$7:$AL$1843,"&gt;"&amp;AL626)+SUMIFS($AI$7:$AI$1843,$CC$7:$CC$1843,CC626,$AL$7:$AL$1843,AL626,$BT$7:$BT$1843,"&lt;="&amp;BT626),"")</f>
        <v>344.358974358974</v>
      </c>
      <c r="AN626" s="58" t="n">
        <f aca="false">IF(AM626="",0,MAX(0,MIN(1,(IF(CC626="L1",Parameter!$H$5,IF(CC626="L23",Parameter!$H$6+Parameter!$H$7,Parameter!$H$5+Parameter!$H$6+Parameter!$H$7))-(AM626-AI626))/AI626)))</f>
        <v>1</v>
      </c>
      <c r="AO626" s="50" t="n">
        <f aca="false">IF(LEFT(Cockpit!$I$5,1)="A",H626,IF(CE626=1,CF626,IF(LEFT(Cockpit!$I$5,1)="B",AT626,MAX(AT626,H626))))</f>
        <v>6007</v>
      </c>
      <c r="AP626" s="50" t="n">
        <f aca="false">IF(BW626=1,0,ROUNDUP(AO626/BV626,0))</f>
        <v>1</v>
      </c>
      <c r="AQ626" s="52" t="n">
        <f aca="false">IF(CL626&gt;0,CL626*MAX(1,AO626/X626),IF(BW626=1,IF(AO626&lt;=0,0,CA626*MAX(1,IF(H626&gt;0,AO626/H626,1))),IF(R626&gt;0,AP626/R626,0))/MAX(0.1,N(Parameter!$M$21)))</f>
        <v>0.0192307692307692</v>
      </c>
      <c r="AR626" s="50" t="n">
        <f aca="false">AQ626*BY626</f>
        <v>2.98076923076923</v>
      </c>
      <c r="AS626" s="50" t="n">
        <f aca="false">AO626*G626</f>
        <v>60.07</v>
      </c>
      <c r="AT626" s="50" t="n">
        <f aca="false">ROUNDUP(MAX(J626/IF(CD626&gt;0,CD626,MAX(0.1,N(Cockpit!$I$6))),CG626)/BV626,0)*BV626</f>
        <v>6007</v>
      </c>
      <c r="AU626" s="51" t="n">
        <f aca="false">IF(AR626&gt;0,J626/AR626,-1)</f>
        <v>202.632258064516</v>
      </c>
      <c r="AV626" s="51" t="n">
        <f aca="false">IF(AND(OR(CC626="L1",CC626="L23",CC626="LIFT"),AR626&gt;0),SUMIFS($AR$7:$AR$1843,$CC$7:$CC$1843,CC626,$AU$7:$AU$1843,"&gt;"&amp;AU626)+SUMIFS($AR$7:$AR$1843,$CC$7:$CC$1843,CC626,$AU$7:$AU$1843,AU626,$BT$7:$BT$1843,"&lt;="&amp;BT626),"")</f>
        <v>365.534798534799</v>
      </c>
      <c r="AW626" s="58" t="n">
        <f aca="false">IF(AV626="",0,MAX(0,MIN(1,(IF(CC626="L1",Parameter!$H$5,IF(CC626="L23",Parameter!$H$6+Parameter!$H$7,Parameter!$H$5+Parameter!$H$6+Parameter!$H$7))-(AV626-AR626))/AR626)))</f>
        <v>1</v>
      </c>
      <c r="AX626" s="50" t="n">
        <f aca="false">IF(LEFT(Cockpit!$O$5,1)="A",H626,IF(CE626=1,CF626,IF(LEFT(Cockpit!$O$5,1)="B",BC626,MAX(BC626,H626))))</f>
        <v>6007</v>
      </c>
      <c r="AY626" s="50" t="n">
        <f aca="false">IF(BW626=1,0,ROUNDUP(AX626/BV626,0))</f>
        <v>1</v>
      </c>
      <c r="AZ626" s="52" t="n">
        <f aca="false">IF(CL626&gt;0,CL626*MAX(1,AX626/X626),IF(BW626=1,IF(AX626&lt;=0,0,CA626*MAX(1,IF(H626&gt;0,AX626/H626,1))),IF(R626&gt;0,AY626/R626,0))/MAX(0.1,N(Parameter!$M$21)))</f>
        <v>0.0192307692307692</v>
      </c>
      <c r="BA626" s="50" t="n">
        <f aca="false">AZ626*BY626</f>
        <v>2.98076923076923</v>
      </c>
      <c r="BB626" s="50" t="n">
        <f aca="false">AX626*G626</f>
        <v>60.07</v>
      </c>
      <c r="BC626" s="50" t="n">
        <f aca="false">ROUNDUP(MAX(J626/IF(CD626&gt;0,CD626,MAX(0.1,N(Cockpit!$O$6))),CG626)/BV626,0)*BV626</f>
        <v>6007</v>
      </c>
      <c r="BD626" s="51" t="n">
        <f aca="false">IF(BA626&gt;0,J626/BA626,-1)</f>
        <v>202.632258064516</v>
      </c>
      <c r="BE626" s="51" t="n">
        <f aca="false">IF(AND(OR(CC626="L1",CC626="L23",CC626="LIFT"),BA626&gt;0),SUMIFS($BA$7:$BA$1843,$CC$7:$CC$1843,CC626,$BD$7:$BD$1843,"&gt;"&amp;BD626)+SUMIFS($BA$7:$BA$1843,$CC$7:$CC$1843,CC626,$BD$7:$BD$1843,BD626,$BT$7:$BT$1843,"&lt;="&amp;BT626),"")</f>
        <v>436.416208791209</v>
      </c>
      <c r="BF626" s="58" t="n">
        <f aca="false">IF(BE626="",0,MAX(0,MIN(1,(IF(CC626="L1",Parameter!$H$5,IF(CC626="L23",Parameter!$H$6+Parameter!$H$7,Parameter!$H$5+Parameter!$H$6+Parameter!$H$7))-(BE626-BA626))/BA626)))</f>
        <v>1</v>
      </c>
      <c r="BG626" s="48" t="str">
        <f aca="false">IF(AI626&lt;=0,"",IF(CC626="Aussen","Aussenlager",IF(CC626="-","Nicht im Lift",IF(AN626&gt;=1,"Lift",IF(AN626&lt;=0,"Aussenlager","teilweise")))))</f>
        <v>Lift</v>
      </c>
      <c r="BH626" s="48" t="str">
        <f aca="false">IF(AR626&lt;=0,"",IF(CC626="Aussen","Aussenlager",IF(CC626="-","Nicht im Lift",IF(AW626&gt;=1,"Lift",IF(AW626&lt;=0,"Aussenlager","teilweise")))))</f>
        <v>Lift</v>
      </c>
      <c r="BI626" s="48" t="str">
        <f aca="false">IF(BA626&lt;=0,"",IF(CC626="Aussen","Aussenlager",IF(CC626="-","Nicht im Lift",IF(BF626&gt;=1,"Lift",IF(BF626&lt;=0,"Aussenlager","teilweise")))))</f>
        <v>Lift</v>
      </c>
      <c r="BJ626" s="48" t="str">
        <f aca="false">IF(A626="","",IF(BS626=1,"Neu; ","")&amp;IF(AND(BS626=0,BN626&lt;0),"negativer Bestand (Export "&amp;BN626&amp;"); ","")&amp;IF(J626&lt;=0,"Kein Verbrauch; ","")&amp;IF(CL626&gt;0,"Lift "&amp;W626&amp;" lt. Liftbericht (Fach "&amp;X626&amp;" Stk); ",IF(BX626=1,"Gebinde geschätzt ("&amp;T626&amp;"); ",IF(BW626=1,"Lose – Tablare geschätzt; ","")))&amp;IF(H626&gt;AT626,"Überbestand "&amp;ROUND(H626-AT626,0)&amp;" Stk / CHF "&amp;ROUND((H626-AT626)*G626,0)&amp;"; ","")&amp;IF(AND(CE626=1,CF626&lt;CG626),"MAX &lt; MB+LG; ","")&amp;IF(AND(CK626&gt;0,CJ626*10&gt;CK626),"zu hoch für Tablar; ","")&amp;IF(AND(BS626=0,OR(CE626=1,AA626&lt;&gt;"",U626&lt;&gt;"",V626&lt;&gt;"",AB626&lt;&gt;"")),"manuell übersteuert; ","")&amp;IF(AND(BW626=0,R626=0),"Gebinde unbekannt / Stellmass fehlt; ","")&amp;IF(AND(BW626=0,N(V626)&lt;=0,N(Q626)&lt;=0),"Menge pro Gebinde fehlt (Ist = 1 Gebinde); ","")&amp;BR626)</f>
        <v>Überbestand</v>
      </c>
      <c r="BK626" s="48"/>
      <c r="BL626" s="48"/>
      <c r="BM626" s="55"/>
      <c r="BN626" s="50" t="n">
        <v>200</v>
      </c>
      <c r="BO626" s="50" t="n">
        <v>3384</v>
      </c>
      <c r="BP626" s="49" t="n">
        <v>2</v>
      </c>
      <c r="BQ626" s="50" t="n">
        <v>604</v>
      </c>
      <c r="BR626" s="48" t="s">
        <v>396</v>
      </c>
      <c r="BS626" s="53" t="n">
        <v>0</v>
      </c>
      <c r="BT626" s="53" t="n">
        <v>626</v>
      </c>
      <c r="BU626" s="48" t="str">
        <f aca="false">IF(U626&lt;&gt;"",UPPER(TRIM(U626)),IF(BX626=1,UPPER(VLOOKUP(T626,Parameter!$I$27:$K$29,2,0)),IF(P626="","LOSE",P626)))</f>
        <v>S33</v>
      </c>
      <c r="BV626" s="50" t="n">
        <f aca="false">IF(BU626="LOSE",1,IF(N(V626)&gt;0,V626,IF(BX626=1,MAX(1,N(VLOOKUP(T626,Parameter!$I$27:$K$29,3,0)),H626,N(N626)),IF(N(Q626)&gt;0,Q626,MAX(1,H626)))))</f>
        <v>6007</v>
      </c>
      <c r="BW626" s="53" t="n">
        <f aca="false">IF(BU626="LOSE",1,0)</f>
        <v>0</v>
      </c>
      <c r="BX626" s="53" t="n">
        <f aca="false">IF(AND(U626="",OR(P626="",P626="LOSE"),T626&lt;&gt;"",N(S626)&lt;=0,ISNUMBER(MATCH(T626,Parameter!$I$27:$I$29,0))),1,0)</f>
        <v>0</v>
      </c>
      <c r="BY626" s="53" t="n">
        <f aca="false">IF(CL626&gt;0,INDEX(Parameter!$H$5:$H$7,W626)/INDEX(Parameter!$E$5:$E$7,W626),IF(AND(BW626=0,N(IFERROR(VLOOKUP(BU626,'Gebinde-Kategorie'!$A$5:$N$45,14,0),0))&gt;0),VLOOKUP(BU626,'Gebinde-Kategorie'!$A$5:$N$45,14,0)*10+Parameter!$M$23,Parameter!$M$24))</f>
        <v>155</v>
      </c>
      <c r="BZ626" s="48" t="str">
        <f aca="false">IF(AND(Parameter!$B$19="Ja",E626&lt;&gt;"",ISNUMBER(MATCH(E626,Parameter!$I$35:$I$52,0))),VLOOKUP(E626,Parameter!$I$35:$J$52,2,0),IFERROR(VLOOKUP(D626,Parameter!$A$35:$C$64,2,0),"Nein"))</f>
        <v>2+3</v>
      </c>
      <c r="CA626" s="52" t="n">
        <f aca="false">IF(BW626=0,0,IF(N(S626)&gt;0,S626,IFERROR(VLOOKUP(D626,Parameter!$A$35:$C$64,3,0)+0,0)))</f>
        <v>0</v>
      </c>
      <c r="CB626" s="48" t="n">
        <f aca="false">IF(AA626&lt;&gt;"",AA626,Z626)</f>
        <v>3</v>
      </c>
      <c r="CC626" s="48" t="str">
        <f aca="false">IF(OR(CB626=1,CB626=2,CB626=3),IF(Parameter!$E$27="Ja","LIFT",IF(CB626=1,"L1","L23")),IF(CB626="Aussen","Aussen","-"))</f>
        <v>LIFT</v>
      </c>
      <c r="CD626" s="59" t="n">
        <f aca="false">IF(N(AB626)&gt;0,AB626,0)</f>
        <v>0</v>
      </c>
      <c r="CE626" s="53" t="n">
        <f aca="false">IF(ISNUMBER(AE626),1,0)</f>
        <v>0</v>
      </c>
      <c r="CF626" s="50" t="n">
        <f aca="false">N(AE626)</f>
        <v>0</v>
      </c>
      <c r="CG626" s="50" t="n">
        <f aca="false">N(M626)+N(N626)</f>
        <v>640</v>
      </c>
      <c r="CH626" s="50" t="n">
        <f aca="false">ROUNDUP(H626/BV626,0)</f>
        <v>1</v>
      </c>
      <c r="CI626" s="50" t="n">
        <f aca="false">ROUNDUP(CF626/BV626,0)</f>
        <v>0</v>
      </c>
      <c r="CJ626" s="53" t="n">
        <f aca="false">IF(BW626=1,0,IFERROR(VLOOKUP(BU626,'Gebinde-Kategorie'!$A$5:$N$45,5,0)+0,0))</f>
        <v>8</v>
      </c>
      <c r="CK626" s="53" t="n">
        <f aca="false">IFERROR(IF(OR(CB626=1,CB626=2,CB626=3),N(INDEX(Parameter!$I$5:$I$7,CB626)),0),0)</f>
        <v>0</v>
      </c>
      <c r="CL626" s="52" t="n">
        <f aca="false">IF(AND(Parameter!$B$21="Ja",ISNUMBER(W626),N(X626)&gt;0),IFERROR(N(INDEX(Parameter!$L$5:$L$7,W626))*INDEX(Parameter!$E$5:$E$7,W626)*X626/SUMIFS($X$7:$X$1843,$W$7:$W$1843,W626),0),0)</f>
        <v>0</v>
      </c>
    </row>
    <row r="627" customFormat="false" ht="15" hidden="false" customHeight="false" outlineLevel="0" collapsed="false">
      <c r="A627" s="48" t="s">
        <v>1289</v>
      </c>
      <c r="B627" s="48" t="s">
        <v>1266</v>
      </c>
      <c r="C627" s="48" t="s">
        <v>168</v>
      </c>
      <c r="D627" s="48" t="s">
        <v>188</v>
      </c>
      <c r="E627" s="48" t="s">
        <v>189</v>
      </c>
      <c r="F627" s="48" t="s">
        <v>222</v>
      </c>
      <c r="G627" s="49" t="n">
        <v>0.05</v>
      </c>
      <c r="H627" s="50" t="n">
        <f aca="false">MAX(0,IF(AND(Parameter!$B$21="Ja",ISNUMBER(Y627)),Y627,IF(Parameter!$B$20="Jahresanfang 2025 + Export",BO627+BN627,BN627)))</f>
        <v>85</v>
      </c>
      <c r="I627" s="50" t="n">
        <f aca="false">H627*G627</f>
        <v>4.25</v>
      </c>
      <c r="J627" s="50" t="n">
        <f aca="false">BQ627*Parameter!$B$18</f>
        <v>0</v>
      </c>
      <c r="K627" s="51" t="n">
        <v>67</v>
      </c>
      <c r="L627" s="52" t="n">
        <v>0</v>
      </c>
      <c r="M627" s="50" t="n">
        <v>0</v>
      </c>
      <c r="N627" s="50" t="n">
        <v>1</v>
      </c>
      <c r="O627" s="53" t="n">
        <v>14</v>
      </c>
      <c r="P627" s="48" t="s">
        <v>405</v>
      </c>
      <c r="Q627" s="50" t="n">
        <v>91</v>
      </c>
      <c r="R627" s="53" t="n">
        <f aca="false">IF(BW627=1,0,IFERROR(VLOOKUP(BU627,'Gebinde-Kategorie'!$A$5:$N$45,13,0)+0,0))</f>
        <v>280</v>
      </c>
      <c r="S627" s="54"/>
      <c r="T627" s="55"/>
      <c r="U627" s="55"/>
      <c r="V627" s="55"/>
      <c r="W627" s="48"/>
      <c r="X627" s="50"/>
      <c r="Y627" s="50"/>
      <c r="Z627" s="48" t="n">
        <f aca="false">IF(A627="","",IF(AND(Parameter!$B$21="Ja",ISNUMBER(W627)),W627,IF(BZ627="2+3",IF(ISNUMBER(SEARCH("grosser Artikel",BR627)),2,IFERROR(VLOOKUP(BU627,Parameter!$F$35:$G$64,2,0),2)),IF(OR(BZ627="Nein",BZ627=""),"-",BZ627))))</f>
        <v>3</v>
      </c>
      <c r="AA627" s="55"/>
      <c r="AB627" s="56"/>
      <c r="AC627" s="50" t="n">
        <f aca="false">AT627</f>
        <v>91</v>
      </c>
      <c r="AD627" s="50" t="n">
        <f aca="false">MAX(AT627,H627)</f>
        <v>91</v>
      </c>
      <c r="AE627" s="57"/>
      <c r="AF627" s="50" t="n">
        <f aca="false">IF(LEFT(Cockpit!$C$5,1)="A",H627,IF(CE627=1,CF627,IF(LEFT(Cockpit!$C$5,1)="B",AK627,MAX(AK627,H627))))</f>
        <v>85</v>
      </c>
      <c r="AG627" s="50" t="n">
        <f aca="false">IF(BW627=1,0,ROUNDUP(AF627/BV627,0))</f>
        <v>1</v>
      </c>
      <c r="AH627" s="52" t="n">
        <f aca="false">IF(CL627&gt;0,CL627*MAX(1,AF627/X627),IF(BW627=1,IF(AF627&lt;=0,0,CA627*MAX(1,IF(H627&gt;0,AF627/H627,1))),IF(R627&gt;0,AG627/R627,0))/MAX(0.1,N(Parameter!$M$21)))</f>
        <v>0.00357142857142857</v>
      </c>
      <c r="AI627" s="50" t="n">
        <f aca="false">AH627*BY627</f>
        <v>0.553571428571429</v>
      </c>
      <c r="AJ627" s="50" t="n">
        <f aca="false">AF627*G627</f>
        <v>4.25</v>
      </c>
      <c r="AK627" s="50" t="n">
        <f aca="false">ROUNDUP(MAX(J627/IF(CD627&gt;0,CD627,MAX(0.1,N(Cockpit!$C$6))),CG627)/BV627,0)*BV627</f>
        <v>91</v>
      </c>
      <c r="AL627" s="51" t="n">
        <f aca="false">IF(AI627&gt;0,J627/AI627,-1)</f>
        <v>0</v>
      </c>
      <c r="AM627" s="51" t="n">
        <f aca="false">IF(AND(OR(CC627="L1",CC627="L23",CC627="LIFT"),AI627&gt;0),SUMIFS($AI$7:$AI$1843,$CC$7:$CC$1843,CC627,$AL$7:$AL$1843,"&gt;"&amp;AL627)+SUMIFS($AI$7:$AI$1843,$CC$7:$CC$1843,CC627,$AL$7:$AL$1843,AL627,$BT$7:$BT$1843,"&lt;="&amp;BT627),"")</f>
        <v>28562.8472377434</v>
      </c>
      <c r="AN627" s="58" t="n">
        <f aca="false">IF(AM627="",0,MAX(0,MIN(1,(IF(CC627="L1",Parameter!$H$5,IF(CC627="L23",Parameter!$H$6+Parameter!$H$7,Parameter!$H$5+Parameter!$H$6+Parameter!$H$7))-(AM627-AI627))/AI627)))</f>
        <v>1</v>
      </c>
      <c r="AO627" s="50" t="n">
        <f aca="false">IF(LEFT(Cockpit!$I$5,1)="A",H627,IF(CE627=1,CF627,IF(LEFT(Cockpit!$I$5,1)="B",AT627,MAX(AT627,H627))))</f>
        <v>91</v>
      </c>
      <c r="AP627" s="50" t="n">
        <f aca="false">IF(BW627=1,0,ROUNDUP(AO627/BV627,0))</f>
        <v>1</v>
      </c>
      <c r="AQ627" s="52" t="n">
        <f aca="false">IF(CL627&gt;0,CL627*MAX(1,AO627/X627),IF(BW627=1,IF(AO627&lt;=0,0,CA627*MAX(1,IF(H627&gt;0,AO627/H627,1))),IF(R627&gt;0,AP627/R627,0))/MAX(0.1,N(Parameter!$M$21)))</f>
        <v>0.00357142857142857</v>
      </c>
      <c r="AR627" s="50" t="n">
        <f aca="false">AQ627*BY627</f>
        <v>0.553571428571429</v>
      </c>
      <c r="AS627" s="50" t="n">
        <f aca="false">AO627*G627</f>
        <v>4.55</v>
      </c>
      <c r="AT627" s="50" t="n">
        <f aca="false">ROUNDUP(MAX(J627/IF(CD627&gt;0,CD627,MAX(0.1,N(Cockpit!$I$6))),CG627)/BV627,0)*BV627</f>
        <v>91</v>
      </c>
      <c r="AU627" s="51" t="n">
        <f aca="false">IF(AR627&gt;0,J627/AR627,-1)</f>
        <v>0</v>
      </c>
      <c r="AV627" s="51" t="n">
        <f aca="false">IF(AND(OR(CC627="L1",CC627="L23",CC627="LIFT"),AR627&gt;0),SUMIFS($AR$7:$AR$1843,$CC$7:$CC$1843,CC627,$AU$7:$AU$1843,"&gt;"&amp;AU627)+SUMIFS($AR$7:$AR$1843,$CC$7:$CC$1843,CC627,$AU$7:$AU$1843,AU627,$BT$7:$BT$1843,"&lt;="&amp;BT627),"")</f>
        <v>39881.7142934749</v>
      </c>
      <c r="AW627" s="58" t="n">
        <f aca="false">IF(AV627="",0,MAX(0,MIN(1,(IF(CC627="L1",Parameter!$H$5,IF(CC627="L23",Parameter!$H$6+Parameter!$H$7,Parameter!$H$5+Parameter!$H$6+Parameter!$H$7))-(AV627-AR627))/AR627)))</f>
        <v>0</v>
      </c>
      <c r="AX627" s="50" t="n">
        <f aca="false">IF(LEFT(Cockpit!$O$5,1)="A",H627,IF(CE627=1,CF627,IF(LEFT(Cockpit!$O$5,1)="B",BC627,MAX(BC627,H627))))</f>
        <v>91</v>
      </c>
      <c r="AY627" s="50" t="n">
        <f aca="false">IF(BW627=1,0,ROUNDUP(AX627/BV627,0))</f>
        <v>1</v>
      </c>
      <c r="AZ627" s="52" t="n">
        <f aca="false">IF(CL627&gt;0,CL627*MAX(1,AX627/X627),IF(BW627=1,IF(AX627&lt;=0,0,CA627*MAX(1,IF(H627&gt;0,AX627/H627,1))),IF(R627&gt;0,AY627/R627,0))/MAX(0.1,N(Parameter!$M$21)))</f>
        <v>0.00357142857142857</v>
      </c>
      <c r="BA627" s="50" t="n">
        <f aca="false">AZ627*BY627</f>
        <v>0.553571428571429</v>
      </c>
      <c r="BB627" s="50" t="n">
        <f aca="false">AX627*G627</f>
        <v>4.55</v>
      </c>
      <c r="BC627" s="50" t="n">
        <f aca="false">ROUNDUP(MAX(J627/IF(CD627&gt;0,CD627,MAX(0.1,N(Cockpit!$O$6))),CG627)/BV627,0)*BV627</f>
        <v>91</v>
      </c>
      <c r="BD627" s="51" t="n">
        <f aca="false">IF(BA627&gt;0,J627/BA627,-1)</f>
        <v>0</v>
      </c>
      <c r="BE627" s="51" t="n">
        <f aca="false">IF(AND(OR(CC627="L1",CC627="L23",CC627="LIFT"),BA627&gt;0),SUMIFS($BA$7:$BA$1843,$CC$7:$CC$1843,CC627,$BD$7:$BD$1843,"&gt;"&amp;BD627)+SUMIFS($BA$7:$BA$1843,$CC$7:$CC$1843,CC627,$BD$7:$BD$1843,BD627,$BT$7:$BT$1843,"&lt;="&amp;BT627),"")</f>
        <v>36556.7263353408</v>
      </c>
      <c r="BF627" s="58" t="n">
        <f aca="false">IF(BE627="",0,MAX(0,MIN(1,(IF(CC627="L1",Parameter!$H$5,IF(CC627="L23",Parameter!$H$6+Parameter!$H$7,Parameter!$H$5+Parameter!$H$6+Parameter!$H$7))-(BE627-BA627))/BA627)))</f>
        <v>0</v>
      </c>
      <c r="BG627" s="48" t="str">
        <f aca="false">IF(AI627&lt;=0,"",IF(CC627="Aussen","Aussenlager",IF(CC627="-","Nicht im Lift",IF(AN627&gt;=1,"Lift",IF(AN627&lt;=0,"Aussenlager","teilweise")))))</f>
        <v>Lift</v>
      </c>
      <c r="BH627" s="48" t="str">
        <f aca="false">IF(AR627&lt;=0,"",IF(CC627="Aussen","Aussenlager",IF(CC627="-","Nicht im Lift",IF(AW627&gt;=1,"Lift",IF(AW627&lt;=0,"Aussenlager","teilweise")))))</f>
        <v>Aussenlager</v>
      </c>
      <c r="BI627" s="48" t="str">
        <f aca="false">IF(BA627&lt;=0,"",IF(CC627="Aussen","Aussenlager",IF(CC627="-","Nicht im Lift",IF(BF627&gt;=1,"Lift",IF(BF627&lt;=0,"Aussenlager","teilweise")))))</f>
        <v>Aussenlager</v>
      </c>
      <c r="BJ627" s="48" t="str">
        <f aca="false">IF(A627="","",IF(BS627=1,"Neu; ","")&amp;IF(AND(BS627=0,BN627&lt;0),"negativer Bestand (Export "&amp;BN627&amp;"); ","")&amp;IF(J627&lt;=0,"Kein Verbrauch; ","")&amp;IF(CL627&gt;0,"Lift "&amp;W627&amp;" lt. Liftbericht (Fach "&amp;X627&amp;" Stk); ",IF(BX627=1,"Gebinde geschätzt ("&amp;T627&amp;"); ",IF(BW627=1,"Lose – Tablare geschätzt; ","")))&amp;IF(H627&gt;AT627,"Überbestand "&amp;ROUND(H627-AT627,0)&amp;" Stk / CHF "&amp;ROUND((H627-AT627)*G627,0)&amp;"; ","")&amp;IF(AND(CE627=1,CF627&lt;CG627),"MAX &lt; MB+LG; ","")&amp;IF(AND(CK627&gt;0,CJ627*10&gt;CK627),"zu hoch für Tablar; ","")&amp;IF(AND(BS627=0,OR(CE627=1,AA627&lt;&gt;"",U627&lt;&gt;"",V627&lt;&gt;"",AB627&lt;&gt;"")),"manuell übersteuert; ","")&amp;IF(AND(BW627=0,R627=0),"Gebinde unbekannt / Stellmass fehlt; ","")&amp;IF(AND(BW627=0,N(V627)&lt;=0,N(Q627)&lt;=0),"Menge pro Gebinde fehlt (Ist = 1 Gebinde); ","")&amp;BR627)</f>
        <v>Kein Verbrauch; </v>
      </c>
      <c r="BK627" s="48"/>
      <c r="BL627" s="48"/>
      <c r="BM627" s="55"/>
      <c r="BN627" s="50" t="n">
        <v>36</v>
      </c>
      <c r="BO627" s="50" t="n">
        <v>49</v>
      </c>
      <c r="BP627" s="49" t="n">
        <v>1.8</v>
      </c>
      <c r="BQ627" s="50" t="n">
        <v>0</v>
      </c>
      <c r="BR627" s="48"/>
      <c r="BS627" s="53" t="n">
        <v>0</v>
      </c>
      <c r="BT627" s="53" t="n">
        <v>627</v>
      </c>
      <c r="BU627" s="48" t="str">
        <f aca="false">IF(U627&lt;&gt;"",UPPER(TRIM(U627)),IF(BX627=1,UPPER(VLOOKUP(T627,Parameter!$I$27:$K$29,2,0)),IF(P627="","LOSE",P627)))</f>
        <v>S21</v>
      </c>
      <c r="BV627" s="50" t="n">
        <f aca="false">IF(BU627="LOSE",1,IF(N(V627)&gt;0,V627,IF(BX627=1,MAX(1,N(VLOOKUP(T627,Parameter!$I$27:$K$29,3,0)),H627,N(N627)),IF(N(Q627)&gt;0,Q627,MAX(1,H627)))))</f>
        <v>91</v>
      </c>
      <c r="BW627" s="53" t="n">
        <f aca="false">IF(BU627="LOSE",1,0)</f>
        <v>0</v>
      </c>
      <c r="BX627" s="53" t="n">
        <f aca="false">IF(AND(U627="",OR(P627="",P627="LOSE"),T627&lt;&gt;"",N(S627)&lt;=0,ISNUMBER(MATCH(T627,Parameter!$I$27:$I$29,0))),1,0)</f>
        <v>0</v>
      </c>
      <c r="BY627" s="53" t="n">
        <f aca="false">IF(CL627&gt;0,INDEX(Parameter!$H$5:$H$7,W627)/INDEX(Parameter!$E$5:$E$7,W627),IF(AND(BW627=0,N(IFERROR(VLOOKUP(BU627,'Gebinde-Kategorie'!$A$5:$N$45,14,0),0))&gt;0),VLOOKUP(BU627,'Gebinde-Kategorie'!$A$5:$N$45,14,0)*10+Parameter!$M$23,Parameter!$M$24))</f>
        <v>155</v>
      </c>
      <c r="BZ627" s="48" t="str">
        <f aca="false">IF(AND(Parameter!$B$19="Ja",E627&lt;&gt;"",ISNUMBER(MATCH(E627,Parameter!$I$35:$I$52,0))),VLOOKUP(E627,Parameter!$I$35:$J$52,2,0),IFERROR(VLOOKUP(D627,Parameter!$A$35:$C$64,2,0),"Nein"))</f>
        <v>2+3</v>
      </c>
      <c r="CA627" s="52" t="n">
        <f aca="false">IF(BW627=0,0,IF(N(S627)&gt;0,S627,IFERROR(VLOOKUP(D627,Parameter!$A$35:$C$64,3,0)+0,0)))</f>
        <v>0</v>
      </c>
      <c r="CB627" s="48" t="n">
        <f aca="false">IF(AA627&lt;&gt;"",AA627,Z627)</f>
        <v>3</v>
      </c>
      <c r="CC627" s="48" t="str">
        <f aca="false">IF(OR(CB627=1,CB627=2,CB627=3),IF(Parameter!$E$27="Ja","LIFT",IF(CB627=1,"L1","L23")),IF(CB627="Aussen","Aussen","-"))</f>
        <v>LIFT</v>
      </c>
      <c r="CD627" s="59" t="n">
        <f aca="false">IF(N(AB627)&gt;0,AB627,0)</f>
        <v>0</v>
      </c>
      <c r="CE627" s="53" t="n">
        <f aca="false">IF(ISNUMBER(AE627),1,0)</f>
        <v>0</v>
      </c>
      <c r="CF627" s="50" t="n">
        <f aca="false">N(AE627)</f>
        <v>0</v>
      </c>
      <c r="CG627" s="50" t="n">
        <f aca="false">N(M627)+N(N627)</f>
        <v>1</v>
      </c>
      <c r="CH627" s="50" t="n">
        <f aca="false">ROUNDUP(H627/BV627,0)</f>
        <v>1</v>
      </c>
      <c r="CI627" s="50" t="n">
        <f aca="false">ROUNDUP(CF627/BV627,0)</f>
        <v>0</v>
      </c>
      <c r="CJ627" s="53" t="n">
        <f aca="false">IF(BW627=1,0,IFERROR(VLOOKUP(BU627,'Gebinde-Kategorie'!$A$5:$N$45,5,0)+0,0))</f>
        <v>8</v>
      </c>
      <c r="CK627" s="53" t="n">
        <f aca="false">IFERROR(IF(OR(CB627=1,CB627=2,CB627=3),N(INDEX(Parameter!$I$5:$I$7,CB627)),0),0)</f>
        <v>0</v>
      </c>
      <c r="CL627" s="52" t="n">
        <f aca="false">IF(AND(Parameter!$B$21="Ja",ISNUMBER(W627),N(X627)&gt;0),IFERROR(N(INDEX(Parameter!$L$5:$L$7,W627))*INDEX(Parameter!$E$5:$E$7,W627)*X627/SUMIFS($X$7:$X$1843,$W$7:$W$1843,W627),0),0)</f>
        <v>0</v>
      </c>
    </row>
    <row r="628" customFormat="false" ht="15" hidden="false" customHeight="false" outlineLevel="0" collapsed="false">
      <c r="A628" s="48" t="s">
        <v>1290</v>
      </c>
      <c r="B628" s="48" t="s">
        <v>1140</v>
      </c>
      <c r="C628" s="48" t="s">
        <v>168</v>
      </c>
      <c r="D628" s="48" t="s">
        <v>188</v>
      </c>
      <c r="E628" s="48" t="s">
        <v>189</v>
      </c>
      <c r="F628" s="48" t="s">
        <v>222</v>
      </c>
      <c r="G628" s="49" t="n">
        <v>8.01</v>
      </c>
      <c r="H628" s="50" t="n">
        <f aca="false">MAX(0,IF(AND(Parameter!$B$21="Ja",ISNUMBER(Y628)),Y628,IF(Parameter!$B$20="Jahresanfang 2025 + Export",BO628+BN628,BN628)))</f>
        <v>4</v>
      </c>
      <c r="I628" s="50" t="n">
        <f aca="false">H628*G628</f>
        <v>32.04</v>
      </c>
      <c r="J628" s="50" t="n">
        <f aca="false">BQ628*Parameter!$B$18</f>
        <v>2</v>
      </c>
      <c r="K628" s="51" t="n">
        <v>3.5</v>
      </c>
      <c r="L628" s="52" t="n">
        <v>0.571428571428571</v>
      </c>
      <c r="M628" s="50" t="n">
        <v>0</v>
      </c>
      <c r="N628" s="50" t="n">
        <v>1</v>
      </c>
      <c r="O628" s="53" t="n">
        <v>14</v>
      </c>
      <c r="P628" s="48" t="s">
        <v>332</v>
      </c>
      <c r="Q628" s="50" t="n">
        <v>1</v>
      </c>
      <c r="R628" s="53" t="n">
        <f aca="false">IF(BW628=1,0,IFERROR(VLOOKUP(BU628,'Gebinde-Kategorie'!$A$5:$N$45,13,0)+0,0))</f>
        <v>52</v>
      </c>
      <c r="S628" s="54"/>
      <c r="T628" s="55"/>
      <c r="U628" s="55"/>
      <c r="V628" s="55"/>
      <c r="W628" s="48"/>
      <c r="X628" s="50"/>
      <c r="Y628" s="50"/>
      <c r="Z628" s="48" t="n">
        <f aca="false">IF(A628="","",IF(AND(Parameter!$B$21="Ja",ISNUMBER(W628)),W628,IF(BZ628="2+3",IF(ISNUMBER(SEARCH("grosser Artikel",BR628)),2,IFERROR(VLOOKUP(BU628,Parameter!$F$35:$G$64,2,0),2)),IF(OR(BZ628="Nein",BZ628=""),"-",BZ628))))</f>
        <v>3</v>
      </c>
      <c r="AA628" s="55"/>
      <c r="AB628" s="56"/>
      <c r="AC628" s="50" t="n">
        <f aca="false">AT628</f>
        <v>1</v>
      </c>
      <c r="AD628" s="50" t="n">
        <f aca="false">MAX(AT628,H628)</f>
        <v>4</v>
      </c>
      <c r="AE628" s="57"/>
      <c r="AF628" s="50" t="n">
        <f aca="false">IF(LEFT(Cockpit!$C$5,1)="A",H628,IF(CE628=1,CF628,IF(LEFT(Cockpit!$C$5,1)="B",AK628,MAX(AK628,H628))))</f>
        <v>4</v>
      </c>
      <c r="AG628" s="50" t="n">
        <f aca="false">IF(BW628=1,0,ROUNDUP(AF628/BV628,0))</f>
        <v>4</v>
      </c>
      <c r="AH628" s="52" t="n">
        <f aca="false">IF(CL628&gt;0,CL628*MAX(1,AF628/X628),IF(BW628=1,IF(AF628&lt;=0,0,CA628*MAX(1,IF(H628&gt;0,AF628/H628,1))),IF(R628&gt;0,AG628/R628,0))/MAX(0.1,N(Parameter!$M$21)))</f>
        <v>0.0769230769230769</v>
      </c>
      <c r="AI628" s="50" t="n">
        <f aca="false">AH628*BY628</f>
        <v>11.9230769230769</v>
      </c>
      <c r="AJ628" s="50" t="n">
        <f aca="false">AF628*G628</f>
        <v>32.04</v>
      </c>
      <c r="AK628" s="50" t="n">
        <f aca="false">ROUNDUP(MAX(J628/IF(CD628&gt;0,CD628,MAX(0.1,N(Cockpit!$C$6))),CG628)/BV628,0)*BV628</f>
        <v>1</v>
      </c>
      <c r="AL628" s="51" t="n">
        <f aca="false">IF(AI628&gt;0,J628/AI628,-1)</f>
        <v>0.167741935483871</v>
      </c>
      <c r="AM628" s="51" t="n">
        <f aca="false">IF(AND(OR(CC628="L1",CC628="L23",CC628="LIFT"),AI628&gt;0),SUMIFS($AI$7:$AI$1843,$CC$7:$CC$1843,CC628,$AL$7:$AL$1843,"&gt;"&amp;AL628)+SUMIFS($AI$7:$AI$1843,$CC$7:$CC$1843,CC628,$AL$7:$AL$1843,AL628,$BT$7:$BT$1843,"&lt;="&amp;BT628),"")</f>
        <v>12709.5414131537</v>
      </c>
      <c r="AN628" s="58" t="n">
        <f aca="false">IF(AM628="",0,MAX(0,MIN(1,(IF(CC628="L1",Parameter!$H$5,IF(CC628="L23",Parameter!$H$6+Parameter!$H$7,Parameter!$H$5+Parameter!$H$6+Parameter!$H$7))-(AM628-AI628))/AI628)))</f>
        <v>1</v>
      </c>
      <c r="AO628" s="50" t="n">
        <f aca="false">IF(LEFT(Cockpit!$I$5,1)="A",H628,IF(CE628=1,CF628,IF(LEFT(Cockpit!$I$5,1)="B",AT628,MAX(AT628,H628))))</f>
        <v>4</v>
      </c>
      <c r="AP628" s="50" t="n">
        <f aca="false">IF(BW628=1,0,ROUNDUP(AO628/BV628,0))</f>
        <v>4</v>
      </c>
      <c r="AQ628" s="52" t="n">
        <f aca="false">IF(CL628&gt;0,CL628*MAX(1,AO628/X628),IF(BW628=1,IF(AO628&lt;=0,0,CA628*MAX(1,IF(H628&gt;0,AO628/H628,1))),IF(R628&gt;0,AP628/R628,0))/MAX(0.1,N(Parameter!$M$21)))</f>
        <v>0.0769230769230769</v>
      </c>
      <c r="AR628" s="50" t="n">
        <f aca="false">AQ628*BY628</f>
        <v>11.9230769230769</v>
      </c>
      <c r="AS628" s="50" t="n">
        <f aca="false">AO628*G628</f>
        <v>32.04</v>
      </c>
      <c r="AT628" s="50" t="n">
        <f aca="false">ROUNDUP(MAX(J628/IF(CD628&gt;0,CD628,MAX(0.1,N(Cockpit!$I$6))),CG628)/BV628,0)*BV628</f>
        <v>1</v>
      </c>
      <c r="AU628" s="51" t="n">
        <f aca="false">IF(AR628&gt;0,J628/AR628,-1)</f>
        <v>0.167741935483871</v>
      </c>
      <c r="AV628" s="51" t="n">
        <f aca="false">IF(AND(OR(CC628="L1",CC628="L23",CC628="LIFT"),AR628&gt;0),SUMIFS($AR$7:$AR$1843,$CC$7:$CC$1843,CC628,$AU$7:$AU$1843,"&gt;"&amp;AU628)+SUMIFS($AR$7:$AR$1843,$CC$7:$CC$1843,CC628,$AU$7:$AU$1843,AU628,$BT$7:$BT$1843,"&lt;="&amp;BT628),"")</f>
        <v>19278.6927655678</v>
      </c>
      <c r="AW628" s="58" t="n">
        <f aca="false">IF(AV628="",0,MAX(0,MIN(1,(IF(CC628="L1",Parameter!$H$5,IF(CC628="L23",Parameter!$H$6+Parameter!$H$7,Parameter!$H$5+Parameter!$H$6+Parameter!$H$7))-(AV628-AR628))/AR628)))</f>
        <v>1</v>
      </c>
      <c r="AX628" s="50" t="n">
        <f aca="false">IF(LEFT(Cockpit!$O$5,1)="A",H628,IF(CE628=1,CF628,IF(LEFT(Cockpit!$O$5,1)="B",BC628,MAX(BC628,H628))))</f>
        <v>4</v>
      </c>
      <c r="AY628" s="50" t="n">
        <f aca="false">IF(BW628=1,0,ROUNDUP(AX628/BV628,0))</f>
        <v>4</v>
      </c>
      <c r="AZ628" s="52" t="n">
        <f aca="false">IF(CL628&gt;0,CL628*MAX(1,AX628/X628),IF(BW628=1,IF(AX628&lt;=0,0,CA628*MAX(1,IF(H628&gt;0,AX628/H628,1))),IF(R628&gt;0,AY628/R628,0))/MAX(0.1,N(Parameter!$M$21)))</f>
        <v>0.0769230769230769</v>
      </c>
      <c r="BA628" s="50" t="n">
        <f aca="false">AZ628*BY628</f>
        <v>11.9230769230769</v>
      </c>
      <c r="BB628" s="50" t="n">
        <f aca="false">AX628*G628</f>
        <v>32.04</v>
      </c>
      <c r="BC628" s="50" t="n">
        <f aca="false">ROUNDUP(MAX(J628/IF(CD628&gt;0,CD628,MAX(0.1,N(Cockpit!$O$6))),CG628)/BV628,0)*BV628</f>
        <v>1</v>
      </c>
      <c r="BD628" s="51" t="n">
        <f aca="false">IF(BA628&gt;0,J628/BA628,-1)</f>
        <v>0.167741935483871</v>
      </c>
      <c r="BE628" s="51" t="n">
        <f aca="false">IF(AND(OR(CC628="L1",CC628="L23",CC628="LIFT"),BA628&gt;0),SUMIFS($BA$7:$BA$1843,$CC$7:$CC$1843,CC628,$BD$7:$BD$1843,"&gt;"&amp;BD628)+SUMIFS($BA$7:$BA$1843,$CC$7:$CC$1843,CC628,$BD$7:$BD$1843,BD628,$BT$7:$BT$1843,"&lt;="&amp;BT628),"")</f>
        <v>17304.7664835165</v>
      </c>
      <c r="BF628" s="58" t="n">
        <f aca="false">IF(BE628="",0,MAX(0,MIN(1,(IF(CC628="L1",Parameter!$H$5,IF(CC628="L23",Parameter!$H$6+Parameter!$H$7,Parameter!$H$5+Parameter!$H$6+Parameter!$H$7))-(BE628-BA628))/BA628)))</f>
        <v>1</v>
      </c>
      <c r="BG628" s="48" t="str">
        <f aca="false">IF(AI628&lt;=0,"",IF(CC628="Aussen","Aussenlager",IF(CC628="-","Nicht im Lift",IF(AN628&gt;=1,"Lift",IF(AN628&lt;=0,"Aussenlager","teilweise")))))</f>
        <v>Lift</v>
      </c>
      <c r="BH628" s="48" t="str">
        <f aca="false">IF(AR628&lt;=0,"",IF(CC628="Aussen","Aussenlager",IF(CC628="-","Nicht im Lift",IF(AW628&gt;=1,"Lift",IF(AW628&lt;=0,"Aussenlager","teilweise")))))</f>
        <v>Lift</v>
      </c>
      <c r="BI628" s="48" t="str">
        <f aca="false">IF(BA628&lt;=0,"",IF(CC628="Aussen","Aussenlager",IF(CC628="-","Nicht im Lift",IF(BF628&gt;=1,"Lift",IF(BF628&lt;=0,"Aussenlager","teilweise")))))</f>
        <v>Lift</v>
      </c>
      <c r="BJ628" s="48" t="str">
        <f aca="false">IF(A628="","",IF(BS628=1,"Neu; ","")&amp;IF(AND(BS628=0,BN628&lt;0),"negativer Bestand (Export "&amp;BN628&amp;"); ","")&amp;IF(J628&lt;=0,"Kein Verbrauch; ","")&amp;IF(CL628&gt;0,"Lift "&amp;W628&amp;" lt. Liftbericht (Fach "&amp;X628&amp;" Stk); ",IF(BX628=1,"Gebinde geschätzt ("&amp;T628&amp;"); ",IF(BW628=1,"Lose – Tablare geschätzt; ","")))&amp;IF(H628&gt;AT628,"Überbestand "&amp;ROUND(H628-AT628,0)&amp;" Stk / CHF "&amp;ROUND((H628-AT628)*G628,0)&amp;"; ","")&amp;IF(AND(CE628=1,CF628&lt;CG628),"MAX &lt; MB+LG; ","")&amp;IF(AND(CK628&gt;0,CJ628*10&gt;CK628),"zu hoch für Tablar; ","")&amp;IF(AND(BS628=0,OR(CE628=1,AA628&lt;&gt;"",U628&lt;&gt;"",V628&lt;&gt;"",AB628&lt;&gt;"")),"manuell übersteuert; ","")&amp;IF(AND(BW628=0,R628=0),"Gebinde unbekannt / Stellmass fehlt; ","")&amp;IF(AND(BW628=0,N(V628)&lt;=0,N(Q628)&lt;=0),"Menge pro Gebinde fehlt (Ist = 1 Gebinde); ","")&amp;BR628)</f>
        <v>Überbestand 3 Stk / CHF 24; </v>
      </c>
      <c r="BK628" s="48"/>
      <c r="BL628" s="48"/>
      <c r="BM628" s="55"/>
      <c r="BN628" s="50" t="n">
        <v>1</v>
      </c>
      <c r="BO628" s="50" t="n">
        <v>3</v>
      </c>
      <c r="BP628" s="49" t="n">
        <v>1.8</v>
      </c>
      <c r="BQ628" s="50" t="n">
        <v>2</v>
      </c>
      <c r="BR628" s="48"/>
      <c r="BS628" s="53" t="n">
        <v>0</v>
      </c>
      <c r="BT628" s="53" t="n">
        <v>628</v>
      </c>
      <c r="BU628" s="48" t="str">
        <f aca="false">IF(U628&lt;&gt;"",UPPER(TRIM(U628)),IF(BX628=1,UPPER(VLOOKUP(T628,Parameter!$I$27:$K$29,2,0)),IF(P628="","LOSE",P628)))</f>
        <v>S41</v>
      </c>
      <c r="BV628" s="50" t="n">
        <f aca="false">IF(BU628="LOSE",1,IF(N(V628)&gt;0,V628,IF(BX628=1,MAX(1,N(VLOOKUP(T628,Parameter!$I$27:$K$29,3,0)),H628,N(N628)),IF(N(Q628)&gt;0,Q628,MAX(1,H628)))))</f>
        <v>1</v>
      </c>
      <c r="BW628" s="53" t="n">
        <f aca="false">IF(BU628="LOSE",1,0)</f>
        <v>0</v>
      </c>
      <c r="BX628" s="53" t="n">
        <f aca="false">IF(AND(U628="",OR(P628="",P628="LOSE"),T628&lt;&gt;"",N(S628)&lt;=0,ISNUMBER(MATCH(T628,Parameter!$I$27:$I$29,0))),1,0)</f>
        <v>0</v>
      </c>
      <c r="BY628" s="53" t="n">
        <f aca="false">IF(CL628&gt;0,INDEX(Parameter!$H$5:$H$7,W628)/INDEX(Parameter!$E$5:$E$7,W628),IF(AND(BW628=0,N(IFERROR(VLOOKUP(BU628,'Gebinde-Kategorie'!$A$5:$N$45,14,0),0))&gt;0),VLOOKUP(BU628,'Gebinde-Kategorie'!$A$5:$N$45,14,0)*10+Parameter!$M$23,Parameter!$M$24))</f>
        <v>155</v>
      </c>
      <c r="BZ628" s="48" t="str">
        <f aca="false">IF(AND(Parameter!$B$19="Ja",E628&lt;&gt;"",ISNUMBER(MATCH(E628,Parameter!$I$35:$I$52,0))),VLOOKUP(E628,Parameter!$I$35:$J$52,2,0),IFERROR(VLOOKUP(D628,Parameter!$A$35:$C$64,2,0),"Nein"))</f>
        <v>2+3</v>
      </c>
      <c r="CA628" s="52" t="n">
        <f aca="false">IF(BW628=0,0,IF(N(S628)&gt;0,S628,IFERROR(VLOOKUP(D628,Parameter!$A$35:$C$64,3,0)+0,0)))</f>
        <v>0</v>
      </c>
      <c r="CB628" s="48" t="n">
        <f aca="false">IF(AA628&lt;&gt;"",AA628,Z628)</f>
        <v>3</v>
      </c>
      <c r="CC628" s="48" t="str">
        <f aca="false">IF(OR(CB628=1,CB628=2,CB628=3),IF(Parameter!$E$27="Ja","LIFT",IF(CB628=1,"L1","L23")),IF(CB628="Aussen","Aussen","-"))</f>
        <v>LIFT</v>
      </c>
      <c r="CD628" s="59" t="n">
        <f aca="false">IF(N(AB628)&gt;0,AB628,0)</f>
        <v>0</v>
      </c>
      <c r="CE628" s="53" t="n">
        <f aca="false">IF(ISNUMBER(AE628),1,0)</f>
        <v>0</v>
      </c>
      <c r="CF628" s="50" t="n">
        <f aca="false">N(AE628)</f>
        <v>0</v>
      </c>
      <c r="CG628" s="50" t="n">
        <f aca="false">N(M628)+N(N628)</f>
        <v>1</v>
      </c>
      <c r="CH628" s="50" t="n">
        <f aca="false">ROUNDUP(H628/BV628,0)</f>
        <v>4</v>
      </c>
      <c r="CI628" s="50" t="n">
        <f aca="false">ROUNDUP(CF628/BV628,0)</f>
        <v>0</v>
      </c>
      <c r="CJ628" s="53" t="n">
        <f aca="false">IF(BW628=1,0,IFERROR(VLOOKUP(BU628,'Gebinde-Kategorie'!$A$5:$N$45,5,0)+0,0))</f>
        <v>11</v>
      </c>
      <c r="CK628" s="53" t="n">
        <f aca="false">IFERROR(IF(OR(CB628=1,CB628=2,CB628=3),N(INDEX(Parameter!$I$5:$I$7,CB628)),0),0)</f>
        <v>0</v>
      </c>
      <c r="CL628" s="52" t="n">
        <f aca="false">IF(AND(Parameter!$B$21="Ja",ISNUMBER(W628),N(X628)&gt;0),IFERROR(N(INDEX(Parameter!$L$5:$L$7,W628))*INDEX(Parameter!$E$5:$E$7,W628)*X628/SUMIFS($X$7:$X$1843,$W$7:$W$1843,W628),0),0)</f>
        <v>0</v>
      </c>
    </row>
    <row r="629" customFormat="false" ht="15" hidden="false" customHeight="false" outlineLevel="0" collapsed="false">
      <c r="A629" s="48" t="s">
        <v>1291</v>
      </c>
      <c r="B629" s="48" t="s">
        <v>1292</v>
      </c>
      <c r="C629" s="48" t="s">
        <v>168</v>
      </c>
      <c r="D629" s="48" t="s">
        <v>188</v>
      </c>
      <c r="E629" s="48" t="s">
        <v>189</v>
      </c>
      <c r="F629" s="48" t="s">
        <v>222</v>
      </c>
      <c r="G629" s="49" t="n">
        <v>5.5</v>
      </c>
      <c r="H629" s="50" t="n">
        <f aca="false">MAX(0,IF(AND(Parameter!$B$21="Ja",ISNUMBER(Y629)),Y629,IF(Parameter!$B$20="Jahresanfang 2025 + Export",BO629+BN629,BN629)))</f>
        <v>3</v>
      </c>
      <c r="I629" s="50" t="n">
        <f aca="false">H629*G629</f>
        <v>16.5</v>
      </c>
      <c r="J629" s="50" t="n">
        <f aca="false">BQ629*Parameter!$B$18</f>
        <v>6</v>
      </c>
      <c r="K629" s="51" t="n">
        <v>4.5</v>
      </c>
      <c r="L629" s="52" t="n">
        <v>1.33333333333333</v>
      </c>
      <c r="M629" s="50" t="n">
        <v>0</v>
      </c>
      <c r="N629" s="50" t="n">
        <v>5</v>
      </c>
      <c r="O629" s="53" t="n">
        <v>14</v>
      </c>
      <c r="P629" s="48" t="s">
        <v>425</v>
      </c>
      <c r="Q629" s="50" t="n">
        <v>5</v>
      </c>
      <c r="R629" s="53" t="n">
        <f aca="false">IF(BW629=1,0,IFERROR(VLOOKUP(BU629,'Gebinde-Kategorie'!$A$5:$N$45,13,0)+0,0))</f>
        <v>104</v>
      </c>
      <c r="S629" s="54"/>
      <c r="T629" s="55"/>
      <c r="U629" s="55"/>
      <c r="V629" s="55"/>
      <c r="W629" s="48"/>
      <c r="X629" s="50"/>
      <c r="Y629" s="50"/>
      <c r="Z629" s="48" t="n">
        <f aca="false">IF(A629="","",IF(AND(Parameter!$B$21="Ja",ISNUMBER(W629)),W629,IF(BZ629="2+3",IF(ISNUMBER(SEARCH("grosser Artikel",BR629)),2,IFERROR(VLOOKUP(BU629,Parameter!$F$35:$G$64,2,0),2)),IF(OR(BZ629="Nein",BZ629=""),"-",BZ629))))</f>
        <v>3</v>
      </c>
      <c r="AA629" s="55"/>
      <c r="AB629" s="56"/>
      <c r="AC629" s="50" t="n">
        <f aca="false">AT629</f>
        <v>5</v>
      </c>
      <c r="AD629" s="50" t="n">
        <f aca="false">MAX(AT629,H629)</f>
        <v>5</v>
      </c>
      <c r="AE629" s="57"/>
      <c r="AF629" s="50" t="n">
        <f aca="false">IF(LEFT(Cockpit!$C$5,1)="A",H629,IF(CE629=1,CF629,IF(LEFT(Cockpit!$C$5,1)="B",AK629,MAX(AK629,H629))))</f>
        <v>3</v>
      </c>
      <c r="AG629" s="50" t="n">
        <f aca="false">IF(BW629=1,0,ROUNDUP(AF629/BV629,0))</f>
        <v>1</v>
      </c>
      <c r="AH629" s="52" t="n">
        <f aca="false">IF(CL629&gt;0,CL629*MAX(1,AF629/X629),IF(BW629=1,IF(AF629&lt;=0,0,CA629*MAX(1,IF(H629&gt;0,AF629/H629,1))),IF(R629&gt;0,AG629/R629,0))/MAX(0.1,N(Parameter!$M$21)))</f>
        <v>0.00961538461538462</v>
      </c>
      <c r="AI629" s="50" t="n">
        <f aca="false">AH629*BY629</f>
        <v>1.49038461538462</v>
      </c>
      <c r="AJ629" s="50" t="n">
        <f aca="false">AF629*G629</f>
        <v>16.5</v>
      </c>
      <c r="AK629" s="50" t="n">
        <f aca="false">ROUNDUP(MAX(J629/IF(CD629&gt;0,CD629,MAX(0.1,N(Cockpit!$C$6))),CG629)/BV629,0)*BV629</f>
        <v>5</v>
      </c>
      <c r="AL629" s="51" t="n">
        <f aca="false">IF(AI629&gt;0,J629/AI629,-1)</f>
        <v>4.0258064516129</v>
      </c>
      <c r="AM629" s="51" t="n">
        <f aca="false">IF(AND(OR(CC629="L1",CC629="L23",CC629="LIFT"),AI629&gt;0),SUMIFS($AI$7:$AI$1843,$CC$7:$CC$1843,CC629,$AL$7:$AL$1843,"&gt;"&amp;AL629)+SUMIFS($AI$7:$AI$1843,$CC$7:$CC$1843,CC629,$AL$7:$AL$1843,AL629,$BT$7:$BT$1843,"&lt;="&amp;BT629),"")</f>
        <v>4343.78525641026</v>
      </c>
      <c r="AN629" s="58" t="n">
        <f aca="false">IF(AM629="",0,MAX(0,MIN(1,(IF(CC629="L1",Parameter!$H$5,IF(CC629="L23",Parameter!$H$6+Parameter!$H$7,Parameter!$H$5+Parameter!$H$6+Parameter!$H$7))-(AM629-AI629))/AI629)))</f>
        <v>1</v>
      </c>
      <c r="AO629" s="50" t="n">
        <f aca="false">IF(LEFT(Cockpit!$I$5,1)="A",H629,IF(CE629=1,CF629,IF(LEFT(Cockpit!$I$5,1)="B",AT629,MAX(AT629,H629))))</f>
        <v>5</v>
      </c>
      <c r="AP629" s="50" t="n">
        <f aca="false">IF(BW629=1,0,ROUNDUP(AO629/BV629,0))</f>
        <v>1</v>
      </c>
      <c r="AQ629" s="52" t="n">
        <f aca="false">IF(CL629&gt;0,CL629*MAX(1,AO629/X629),IF(BW629=1,IF(AO629&lt;=0,0,CA629*MAX(1,IF(H629&gt;0,AO629/H629,1))),IF(R629&gt;0,AP629/R629,0))/MAX(0.1,N(Parameter!$M$21)))</f>
        <v>0.00961538461538462</v>
      </c>
      <c r="AR629" s="50" t="n">
        <f aca="false">AQ629*BY629</f>
        <v>1.49038461538462</v>
      </c>
      <c r="AS629" s="50" t="n">
        <f aca="false">AO629*G629</f>
        <v>27.5</v>
      </c>
      <c r="AT629" s="50" t="n">
        <f aca="false">ROUNDUP(MAX(J629/IF(CD629&gt;0,CD629,MAX(0.1,N(Cockpit!$I$6))),CG629)/BV629,0)*BV629</f>
        <v>5</v>
      </c>
      <c r="AU629" s="51" t="n">
        <f aca="false">IF(AR629&gt;0,J629/AR629,-1)</f>
        <v>4.0258064516129</v>
      </c>
      <c r="AV629" s="51" t="n">
        <f aca="false">IF(AND(OR(CC629="L1",CC629="L23",CC629="LIFT"),AR629&gt;0),SUMIFS($AR$7:$AR$1843,$CC$7:$CC$1843,CC629,$AU$7:$AU$1843,"&gt;"&amp;AU629)+SUMIFS($AR$7:$AR$1843,$CC$7:$CC$1843,CC629,$AU$7:$AU$1843,AU629,$BT$7:$BT$1843,"&lt;="&amp;BT629),"")</f>
        <v>5574.40293040293</v>
      </c>
      <c r="AW629" s="58" t="n">
        <f aca="false">IF(AV629="",0,MAX(0,MIN(1,(IF(CC629="L1",Parameter!$H$5,IF(CC629="L23",Parameter!$H$6+Parameter!$H$7,Parameter!$H$5+Parameter!$H$6+Parameter!$H$7))-(AV629-AR629))/AR629)))</f>
        <v>1</v>
      </c>
      <c r="AX629" s="50" t="n">
        <f aca="false">IF(LEFT(Cockpit!$O$5,1)="A",H629,IF(CE629=1,CF629,IF(LEFT(Cockpit!$O$5,1)="B",BC629,MAX(BC629,H629))))</f>
        <v>5</v>
      </c>
      <c r="AY629" s="50" t="n">
        <f aca="false">IF(BW629=1,0,ROUNDUP(AX629/BV629,0))</f>
        <v>1</v>
      </c>
      <c r="AZ629" s="52" t="n">
        <f aca="false">IF(CL629&gt;0,CL629*MAX(1,AX629/X629),IF(BW629=1,IF(AX629&lt;=0,0,CA629*MAX(1,IF(H629&gt;0,AX629/H629,1))),IF(R629&gt;0,AY629/R629,0))/MAX(0.1,N(Parameter!$M$21)))</f>
        <v>0.00961538461538462</v>
      </c>
      <c r="BA629" s="50" t="n">
        <f aca="false">AZ629*BY629</f>
        <v>1.49038461538462</v>
      </c>
      <c r="BB629" s="50" t="n">
        <f aca="false">AX629*G629</f>
        <v>27.5</v>
      </c>
      <c r="BC629" s="50" t="n">
        <f aca="false">ROUNDUP(MAX(J629/IF(CD629&gt;0,CD629,MAX(0.1,N(Cockpit!$O$6))),CG629)/BV629,0)*BV629</f>
        <v>5</v>
      </c>
      <c r="BD629" s="51" t="n">
        <f aca="false">IF(BA629&gt;0,J629/BA629,-1)</f>
        <v>4.0258064516129</v>
      </c>
      <c r="BE629" s="51" t="n">
        <f aca="false">IF(AND(OR(CC629="L1",CC629="L23",CC629="LIFT"),BA629&gt;0),SUMIFS($BA$7:$BA$1843,$CC$7:$CC$1843,CC629,$BD$7:$BD$1843,"&gt;"&amp;BD629)+SUMIFS($BA$7:$BA$1843,$CC$7:$CC$1843,CC629,$BD$7:$BD$1843,BD629,$BT$7:$BT$1843,"&lt;="&amp;BT629),"")</f>
        <v>5262.27152014652</v>
      </c>
      <c r="BF629" s="58" t="n">
        <f aca="false">IF(BE629="",0,MAX(0,MIN(1,(IF(CC629="L1",Parameter!$H$5,IF(CC629="L23",Parameter!$H$6+Parameter!$H$7,Parameter!$H$5+Parameter!$H$6+Parameter!$H$7))-(BE629-BA629))/BA629)))</f>
        <v>1</v>
      </c>
      <c r="BG629" s="48" t="str">
        <f aca="false">IF(AI629&lt;=0,"",IF(CC629="Aussen","Aussenlager",IF(CC629="-","Nicht im Lift",IF(AN629&gt;=1,"Lift",IF(AN629&lt;=0,"Aussenlager","teilweise")))))</f>
        <v>Lift</v>
      </c>
      <c r="BH629" s="48" t="str">
        <f aca="false">IF(AR629&lt;=0,"",IF(CC629="Aussen","Aussenlager",IF(CC629="-","Nicht im Lift",IF(AW629&gt;=1,"Lift",IF(AW629&lt;=0,"Aussenlager","teilweise")))))</f>
        <v>Lift</v>
      </c>
      <c r="BI629" s="48" t="str">
        <f aca="false">IF(BA629&lt;=0,"",IF(CC629="Aussen","Aussenlager",IF(CC629="-","Nicht im Lift",IF(BF629&gt;=1,"Lift",IF(BF629&lt;=0,"Aussenlager","teilweise")))))</f>
        <v>Lift</v>
      </c>
      <c r="BJ629" s="48" t="str">
        <f aca="false">IF(A629="","",IF(BS629=1,"Neu; ","")&amp;IF(AND(BS629=0,BN629&lt;0),"negativer Bestand (Export "&amp;BN629&amp;"); ","")&amp;IF(J629&lt;=0,"Kein Verbrauch; ","")&amp;IF(CL629&gt;0,"Lift "&amp;W629&amp;" lt. Liftbericht (Fach "&amp;X629&amp;" Stk); ",IF(BX629=1,"Gebinde geschätzt ("&amp;T629&amp;"); ",IF(BW629=1,"Lose – Tablare geschätzt; ","")))&amp;IF(H629&gt;AT629,"Überbestand "&amp;ROUND(H629-AT629,0)&amp;" Stk / CHF "&amp;ROUND((H629-AT629)*G629,0)&amp;"; ","")&amp;IF(AND(CE629=1,CF629&lt;CG629),"MAX &lt; MB+LG; ","")&amp;IF(AND(CK629&gt;0,CJ629*10&gt;CK629),"zu hoch für Tablar; ","")&amp;IF(AND(BS629=0,OR(CE629=1,AA629&lt;&gt;"",U629&lt;&gt;"",V629&lt;&gt;"",AB629&lt;&gt;"")),"manuell übersteuert; ","")&amp;IF(AND(BW629=0,R629=0),"Gebinde unbekannt / Stellmass fehlt; ","")&amp;IF(AND(BW629=0,N(V629)&lt;=0,N(Q629)&lt;=0),"Menge pro Gebinde fehlt (Ist = 1 Gebinde); ","")&amp;BR629)</f>
        <v/>
      </c>
      <c r="BK629" s="48"/>
      <c r="BL629" s="48"/>
      <c r="BM629" s="55"/>
      <c r="BN629" s="50" t="n">
        <v>0</v>
      </c>
      <c r="BO629" s="50" t="n">
        <v>3</v>
      </c>
      <c r="BP629" s="49" t="n">
        <v>1.70999999999999</v>
      </c>
      <c r="BQ629" s="50" t="n">
        <v>6</v>
      </c>
      <c r="BR629" s="48"/>
      <c r="BS629" s="53" t="n">
        <v>0</v>
      </c>
      <c r="BT629" s="53" t="n">
        <v>629</v>
      </c>
      <c r="BU629" s="48" t="str">
        <f aca="false">IF(U629&lt;&gt;"",UPPER(TRIM(U629)),IF(BX629=1,UPPER(VLOOKUP(T629,Parameter!$I$27:$K$29,2,0)),IF(P629="","LOSE",P629)))</f>
        <v>S32</v>
      </c>
      <c r="BV629" s="50" t="n">
        <f aca="false">IF(BU629="LOSE",1,IF(N(V629)&gt;0,V629,IF(BX629=1,MAX(1,N(VLOOKUP(T629,Parameter!$I$27:$K$29,3,0)),H629,N(N629)),IF(N(Q629)&gt;0,Q629,MAX(1,H629)))))</f>
        <v>5</v>
      </c>
      <c r="BW629" s="53" t="n">
        <f aca="false">IF(BU629="LOSE",1,0)</f>
        <v>0</v>
      </c>
      <c r="BX629" s="53" t="n">
        <f aca="false">IF(AND(U629="",OR(P629="",P629="LOSE"),T629&lt;&gt;"",N(S629)&lt;=0,ISNUMBER(MATCH(T629,Parameter!$I$27:$I$29,0))),1,0)</f>
        <v>0</v>
      </c>
      <c r="BY629" s="53" t="n">
        <f aca="false">IF(CL629&gt;0,INDEX(Parameter!$H$5:$H$7,W629)/INDEX(Parameter!$E$5:$E$7,W629),IF(AND(BW629=0,N(IFERROR(VLOOKUP(BU629,'Gebinde-Kategorie'!$A$5:$N$45,14,0),0))&gt;0),VLOOKUP(BU629,'Gebinde-Kategorie'!$A$5:$N$45,14,0)*10+Parameter!$M$23,Parameter!$M$24))</f>
        <v>155</v>
      </c>
      <c r="BZ629" s="48" t="str">
        <f aca="false">IF(AND(Parameter!$B$19="Ja",E629&lt;&gt;"",ISNUMBER(MATCH(E629,Parameter!$I$35:$I$52,0))),VLOOKUP(E629,Parameter!$I$35:$J$52,2,0),IFERROR(VLOOKUP(D629,Parameter!$A$35:$C$64,2,0),"Nein"))</f>
        <v>2+3</v>
      </c>
      <c r="CA629" s="52" t="n">
        <f aca="false">IF(BW629=0,0,IF(N(S629)&gt;0,S629,IFERROR(VLOOKUP(D629,Parameter!$A$35:$C$64,3,0)+0,0)))</f>
        <v>0</v>
      </c>
      <c r="CB629" s="48" t="n">
        <f aca="false">IF(AA629&lt;&gt;"",AA629,Z629)</f>
        <v>3</v>
      </c>
      <c r="CC629" s="48" t="str">
        <f aca="false">IF(OR(CB629=1,CB629=2,CB629=3),IF(Parameter!$E$27="Ja","LIFT",IF(CB629=1,"L1","L23")),IF(CB629="Aussen","Aussen","-"))</f>
        <v>LIFT</v>
      </c>
      <c r="CD629" s="59" t="n">
        <f aca="false">IF(N(AB629)&gt;0,AB629,0)</f>
        <v>0</v>
      </c>
      <c r="CE629" s="53" t="n">
        <f aca="false">IF(ISNUMBER(AE629),1,0)</f>
        <v>0</v>
      </c>
      <c r="CF629" s="50" t="n">
        <f aca="false">N(AE629)</f>
        <v>0</v>
      </c>
      <c r="CG629" s="50" t="n">
        <f aca="false">N(M629)+N(N629)</f>
        <v>5</v>
      </c>
      <c r="CH629" s="50" t="n">
        <f aca="false">ROUNDUP(H629/BV629,0)</f>
        <v>1</v>
      </c>
      <c r="CI629" s="50" t="n">
        <f aca="false">ROUNDUP(CF629/BV629,0)</f>
        <v>0</v>
      </c>
      <c r="CJ629" s="53" t="n">
        <f aca="false">IF(BW629=1,0,IFERROR(VLOOKUP(BU629,'Gebinde-Kategorie'!$A$5:$N$45,5,0)+0,0))</f>
        <v>8</v>
      </c>
      <c r="CK629" s="53" t="n">
        <f aca="false">IFERROR(IF(OR(CB629=1,CB629=2,CB629=3),N(INDEX(Parameter!$I$5:$I$7,CB629)),0),0)</f>
        <v>0</v>
      </c>
      <c r="CL629" s="52" t="n">
        <f aca="false">IF(AND(Parameter!$B$21="Ja",ISNUMBER(W629),N(X629)&gt;0),IFERROR(N(INDEX(Parameter!$L$5:$L$7,W629))*INDEX(Parameter!$E$5:$E$7,W629)*X629/SUMIFS($X$7:$X$1843,$W$7:$W$1843,W629),0),0)</f>
        <v>0</v>
      </c>
    </row>
    <row r="630" customFormat="false" ht="15" hidden="false" customHeight="false" outlineLevel="0" collapsed="false">
      <c r="A630" s="48" t="s">
        <v>1293</v>
      </c>
      <c r="B630" s="48" t="s">
        <v>1294</v>
      </c>
      <c r="C630" s="48" t="s">
        <v>168</v>
      </c>
      <c r="D630" s="48" t="s">
        <v>188</v>
      </c>
      <c r="E630" s="48" t="s">
        <v>189</v>
      </c>
      <c r="F630" s="48" t="s">
        <v>222</v>
      </c>
      <c r="G630" s="49" t="n">
        <v>0.34</v>
      </c>
      <c r="H630" s="50" t="n">
        <f aca="false">MAX(0,IF(AND(Parameter!$B$21="Ja",ISNUMBER(Y630)),Y630,IF(Parameter!$B$20="Jahresanfang 2025 + Export",BO630+BN630,BN630)))</f>
        <v>880</v>
      </c>
      <c r="I630" s="50" t="n">
        <f aca="false">H630*G630</f>
        <v>299.2</v>
      </c>
      <c r="J630" s="50" t="n">
        <f aca="false">BQ630*Parameter!$B$18</f>
        <v>0</v>
      </c>
      <c r="K630" s="51" t="n">
        <v>877.5</v>
      </c>
      <c r="L630" s="52" t="n">
        <v>0</v>
      </c>
      <c r="M630" s="50" t="n">
        <v>0</v>
      </c>
      <c r="N630" s="50" t="n">
        <v>1</v>
      </c>
      <c r="O630" s="53" t="n">
        <v>21</v>
      </c>
      <c r="P630" s="48" t="s">
        <v>306</v>
      </c>
      <c r="Q630" s="50" t="n">
        <v>827</v>
      </c>
      <c r="R630" s="53" t="n">
        <f aca="false">IF(BW630=1,0,IFERROR(VLOOKUP(BU630,'Gebinde-Kategorie'!$A$5:$N$45,13,0)+0,0))</f>
        <v>26</v>
      </c>
      <c r="S630" s="54"/>
      <c r="T630" s="55"/>
      <c r="U630" s="55"/>
      <c r="V630" s="55"/>
      <c r="W630" s="48"/>
      <c r="X630" s="50"/>
      <c r="Y630" s="50"/>
      <c r="Z630" s="48" t="n">
        <f aca="false">IF(A630="","",IF(AND(Parameter!$B$21="Ja",ISNUMBER(W630)),W630,IF(BZ630="2+3",IF(ISNUMBER(SEARCH("grosser Artikel",BR630)),2,IFERROR(VLOOKUP(BU630,Parameter!$F$35:$G$64,2,0),2)),IF(OR(BZ630="Nein",BZ630=""),"-",BZ630))))</f>
        <v>3</v>
      </c>
      <c r="AA630" s="55"/>
      <c r="AB630" s="56"/>
      <c r="AC630" s="50" t="n">
        <f aca="false">AT630</f>
        <v>827</v>
      </c>
      <c r="AD630" s="50" t="n">
        <f aca="false">MAX(AT630,H630)</f>
        <v>880</v>
      </c>
      <c r="AE630" s="57"/>
      <c r="AF630" s="50" t="n">
        <f aca="false">IF(LEFT(Cockpit!$C$5,1)="A",H630,IF(CE630=1,CF630,IF(LEFT(Cockpit!$C$5,1)="B",AK630,MAX(AK630,H630))))</f>
        <v>880</v>
      </c>
      <c r="AG630" s="50" t="n">
        <f aca="false">IF(BW630=1,0,ROUNDUP(AF630/BV630,0))</f>
        <v>2</v>
      </c>
      <c r="AH630" s="52" t="n">
        <f aca="false">IF(CL630&gt;0,CL630*MAX(1,AF630/X630),IF(BW630=1,IF(AF630&lt;=0,0,CA630*MAX(1,IF(H630&gt;0,AF630/H630,1))),IF(R630&gt;0,AG630/R630,0))/MAX(0.1,N(Parameter!$M$21)))</f>
        <v>0.0769230769230769</v>
      </c>
      <c r="AI630" s="50" t="n">
        <f aca="false">AH630*BY630</f>
        <v>11.9230769230769</v>
      </c>
      <c r="AJ630" s="50" t="n">
        <f aca="false">AF630*G630</f>
        <v>299.2</v>
      </c>
      <c r="AK630" s="50" t="n">
        <f aca="false">ROUNDUP(MAX(J630/IF(CD630&gt;0,CD630,MAX(0.1,N(Cockpit!$C$6))),CG630)/BV630,0)*BV630</f>
        <v>827</v>
      </c>
      <c r="AL630" s="51" t="n">
        <f aca="false">IF(AI630&gt;0,J630/AI630,-1)</f>
        <v>0</v>
      </c>
      <c r="AM630" s="51" t="n">
        <f aca="false">IF(AND(OR(CC630="L1",CC630="L23",CC630="LIFT"),AI630&gt;0),SUMIFS($AI$7:$AI$1843,$CC$7:$CC$1843,CC630,$AL$7:$AL$1843,"&gt;"&amp;AL630)+SUMIFS($AI$7:$AI$1843,$CC$7:$CC$1843,CC630,$AL$7:$AL$1843,AL630,$BT$7:$BT$1843,"&lt;="&amp;BT630),"")</f>
        <v>28574.7703146665</v>
      </c>
      <c r="AN630" s="58" t="n">
        <f aca="false">IF(AM630="",0,MAX(0,MIN(1,(IF(CC630="L1",Parameter!$H$5,IF(CC630="L23",Parameter!$H$6+Parameter!$H$7,Parameter!$H$5+Parameter!$H$6+Parameter!$H$7))-(AM630-AI630))/AI630)))</f>
        <v>1</v>
      </c>
      <c r="AO630" s="50" t="n">
        <f aca="false">IF(LEFT(Cockpit!$I$5,1)="A",H630,IF(CE630=1,CF630,IF(LEFT(Cockpit!$I$5,1)="B",AT630,MAX(AT630,H630))))</f>
        <v>880</v>
      </c>
      <c r="AP630" s="50" t="n">
        <f aca="false">IF(BW630=1,0,ROUNDUP(AO630/BV630,0))</f>
        <v>2</v>
      </c>
      <c r="AQ630" s="52" t="n">
        <f aca="false">IF(CL630&gt;0,CL630*MAX(1,AO630/X630),IF(BW630=1,IF(AO630&lt;=0,0,CA630*MAX(1,IF(H630&gt;0,AO630/H630,1))),IF(R630&gt;0,AP630/R630,0))/MAX(0.1,N(Parameter!$M$21)))</f>
        <v>0.0769230769230769</v>
      </c>
      <c r="AR630" s="50" t="n">
        <f aca="false">AQ630*BY630</f>
        <v>11.9230769230769</v>
      </c>
      <c r="AS630" s="50" t="n">
        <f aca="false">AO630*G630</f>
        <v>299.2</v>
      </c>
      <c r="AT630" s="50" t="n">
        <f aca="false">ROUNDUP(MAX(J630/IF(CD630&gt;0,CD630,MAX(0.1,N(Cockpit!$I$6))),CG630)/BV630,0)*BV630</f>
        <v>827</v>
      </c>
      <c r="AU630" s="51" t="n">
        <f aca="false">IF(AR630&gt;0,J630/AR630,-1)</f>
        <v>0</v>
      </c>
      <c r="AV630" s="51" t="n">
        <f aca="false">IF(AND(OR(CC630="L1",CC630="L23",CC630="LIFT"),AR630&gt;0),SUMIFS($AR$7:$AR$1843,$CC$7:$CC$1843,CC630,$AU$7:$AU$1843,"&gt;"&amp;AU630)+SUMIFS($AR$7:$AR$1843,$CC$7:$CC$1843,CC630,$AU$7:$AU$1843,AU630,$BT$7:$BT$1843,"&lt;="&amp;BT630),"")</f>
        <v>39893.637370398</v>
      </c>
      <c r="AW630" s="58" t="n">
        <f aca="false">IF(AV630="",0,MAX(0,MIN(1,(IF(CC630="L1",Parameter!$H$5,IF(CC630="L23",Parameter!$H$6+Parameter!$H$7,Parameter!$H$5+Parameter!$H$6+Parameter!$H$7))-(AV630-AR630))/AR630)))</f>
        <v>0</v>
      </c>
      <c r="AX630" s="50" t="n">
        <f aca="false">IF(LEFT(Cockpit!$O$5,1)="A",H630,IF(CE630=1,CF630,IF(LEFT(Cockpit!$O$5,1)="B",BC630,MAX(BC630,H630))))</f>
        <v>880</v>
      </c>
      <c r="AY630" s="50" t="n">
        <f aca="false">IF(BW630=1,0,ROUNDUP(AX630/BV630,0))</f>
        <v>2</v>
      </c>
      <c r="AZ630" s="52" t="n">
        <f aca="false">IF(CL630&gt;0,CL630*MAX(1,AX630/X630),IF(BW630=1,IF(AX630&lt;=0,0,CA630*MAX(1,IF(H630&gt;0,AX630/H630,1))),IF(R630&gt;0,AY630/R630,0))/MAX(0.1,N(Parameter!$M$21)))</f>
        <v>0.0769230769230769</v>
      </c>
      <c r="BA630" s="50" t="n">
        <f aca="false">AZ630*BY630</f>
        <v>11.9230769230769</v>
      </c>
      <c r="BB630" s="50" t="n">
        <f aca="false">AX630*G630</f>
        <v>299.2</v>
      </c>
      <c r="BC630" s="50" t="n">
        <f aca="false">ROUNDUP(MAX(J630/IF(CD630&gt;0,CD630,MAX(0.1,N(Cockpit!$O$6))),CG630)/BV630,0)*BV630</f>
        <v>827</v>
      </c>
      <c r="BD630" s="51" t="n">
        <f aca="false">IF(BA630&gt;0,J630/BA630,-1)</f>
        <v>0</v>
      </c>
      <c r="BE630" s="51" t="n">
        <f aca="false">IF(AND(OR(CC630="L1",CC630="L23",CC630="LIFT"),BA630&gt;0),SUMIFS($BA$7:$BA$1843,$CC$7:$CC$1843,CC630,$BD$7:$BD$1843,"&gt;"&amp;BD630)+SUMIFS($BA$7:$BA$1843,$CC$7:$CC$1843,CC630,$BD$7:$BD$1843,BD630,$BT$7:$BT$1843,"&lt;="&amp;BT630),"")</f>
        <v>36568.6494122638</v>
      </c>
      <c r="BF630" s="58" t="n">
        <f aca="false">IF(BE630="",0,MAX(0,MIN(1,(IF(CC630="L1",Parameter!$H$5,IF(CC630="L23",Parameter!$H$6+Parameter!$H$7,Parameter!$H$5+Parameter!$H$6+Parameter!$H$7))-(BE630-BA630))/BA630)))</f>
        <v>0</v>
      </c>
      <c r="BG630" s="48" t="str">
        <f aca="false">IF(AI630&lt;=0,"",IF(CC630="Aussen","Aussenlager",IF(CC630="-","Nicht im Lift",IF(AN630&gt;=1,"Lift",IF(AN630&lt;=0,"Aussenlager","teilweise")))))</f>
        <v>Lift</v>
      </c>
      <c r="BH630" s="48" t="str">
        <f aca="false">IF(AR630&lt;=0,"",IF(CC630="Aussen","Aussenlager",IF(CC630="-","Nicht im Lift",IF(AW630&gt;=1,"Lift",IF(AW630&lt;=0,"Aussenlager","teilweise")))))</f>
        <v>Aussenlager</v>
      </c>
      <c r="BI630" s="48" t="str">
        <f aca="false">IF(BA630&lt;=0,"",IF(CC630="Aussen","Aussenlager",IF(CC630="-","Nicht im Lift",IF(BF630&gt;=1,"Lift",IF(BF630&lt;=0,"Aussenlager","teilweise")))))</f>
        <v>Aussenlager</v>
      </c>
      <c r="BJ630" s="48" t="str">
        <f aca="false">IF(A630="","",IF(BS630=1,"Neu; ","")&amp;IF(AND(BS630=0,BN630&lt;0),"negativer Bestand (Export "&amp;BN630&amp;"); ","")&amp;IF(J630&lt;=0,"Kein Verbrauch; ","")&amp;IF(CL630&gt;0,"Lift "&amp;W630&amp;" lt. Liftbericht (Fach "&amp;X630&amp;" Stk); ",IF(BX630=1,"Gebinde geschätzt ("&amp;T630&amp;"); ",IF(BW630=1,"Lose – Tablare geschätzt; ","")))&amp;IF(H630&gt;AT630,"Überbestand "&amp;ROUND(H630-AT630,0)&amp;" Stk / CHF "&amp;ROUND((H630-AT630)*G630,0)&amp;"; ","")&amp;IF(AND(CE630=1,CF630&lt;CG630),"MAX &lt; MB+LG; ","")&amp;IF(AND(CK630&gt;0,CJ630*10&gt;CK630),"zu hoch für Tablar; ","")&amp;IF(AND(BS630=0,OR(CE630=1,AA630&lt;&gt;"",U630&lt;&gt;"",V630&lt;&gt;"",AB630&lt;&gt;"")),"manuell übersteuert; ","")&amp;IF(AND(BW630=0,R630=0),"Gebinde unbekannt / Stellmass fehlt; ","")&amp;IF(AND(BW630=0,N(V630)&lt;=0,N(Q630)&lt;=0),"Menge pro Gebinde fehlt (Ist = 1 Gebinde); ","")&amp;BR630)</f>
        <v>Kein Verbrauch; Überbestand 53 Stk / CHF 18; Handlager</v>
      </c>
      <c r="BK630" s="48"/>
      <c r="BL630" s="48"/>
      <c r="BM630" s="55"/>
      <c r="BN630" s="50" t="n">
        <v>5</v>
      </c>
      <c r="BO630" s="50" t="n">
        <v>875</v>
      </c>
      <c r="BP630" s="49" t="n">
        <v>1.7</v>
      </c>
      <c r="BQ630" s="50" t="n">
        <v>0</v>
      </c>
      <c r="BR630" s="48" t="s">
        <v>899</v>
      </c>
      <c r="BS630" s="53" t="n">
        <v>0</v>
      </c>
      <c r="BT630" s="53" t="n">
        <v>630</v>
      </c>
      <c r="BU630" s="48" t="str">
        <f aca="false">IF(U630&lt;&gt;"",UPPER(TRIM(U630)),IF(BX630=1,UPPER(VLOOKUP(T630,Parameter!$I$27:$K$29,2,0)),IF(P630="","LOSE",P630)))</f>
        <v>S51</v>
      </c>
      <c r="BV630" s="50" t="n">
        <f aca="false">IF(BU630="LOSE",1,IF(N(V630)&gt;0,V630,IF(BX630=1,MAX(1,N(VLOOKUP(T630,Parameter!$I$27:$K$29,3,0)),H630,N(N630)),IF(N(Q630)&gt;0,Q630,MAX(1,H630)))))</f>
        <v>827</v>
      </c>
      <c r="BW630" s="53" t="n">
        <f aca="false">IF(BU630="LOSE",1,0)</f>
        <v>0</v>
      </c>
      <c r="BX630" s="53" t="n">
        <f aca="false">IF(AND(U630="",OR(P630="",P630="LOSE"),T630&lt;&gt;"",N(S630)&lt;=0,ISNUMBER(MATCH(T630,Parameter!$I$27:$I$29,0))),1,0)</f>
        <v>0</v>
      </c>
      <c r="BY630" s="53" t="n">
        <f aca="false">IF(CL630&gt;0,INDEX(Parameter!$H$5:$H$7,W630)/INDEX(Parameter!$E$5:$E$7,W630),IF(AND(BW630=0,N(IFERROR(VLOOKUP(BU630,'Gebinde-Kategorie'!$A$5:$N$45,14,0),0))&gt;0),VLOOKUP(BU630,'Gebinde-Kategorie'!$A$5:$N$45,14,0)*10+Parameter!$M$23,Parameter!$M$24))</f>
        <v>155</v>
      </c>
      <c r="BZ630" s="48" t="str">
        <f aca="false">IF(AND(Parameter!$B$19="Ja",E630&lt;&gt;"",ISNUMBER(MATCH(E630,Parameter!$I$35:$I$52,0))),VLOOKUP(E630,Parameter!$I$35:$J$52,2,0),IFERROR(VLOOKUP(D630,Parameter!$A$35:$C$64,2,0),"Nein"))</f>
        <v>2+3</v>
      </c>
      <c r="CA630" s="52" t="n">
        <f aca="false">IF(BW630=0,0,IF(N(S630)&gt;0,S630,IFERROR(VLOOKUP(D630,Parameter!$A$35:$C$64,3,0)+0,0)))</f>
        <v>0</v>
      </c>
      <c r="CB630" s="48" t="n">
        <f aca="false">IF(AA630&lt;&gt;"",AA630,Z630)</f>
        <v>3</v>
      </c>
      <c r="CC630" s="48" t="str">
        <f aca="false">IF(OR(CB630=1,CB630=2,CB630=3),IF(Parameter!$E$27="Ja","LIFT",IF(CB630=1,"L1","L23")),IF(CB630="Aussen","Aussen","-"))</f>
        <v>LIFT</v>
      </c>
      <c r="CD630" s="59" t="n">
        <f aca="false">IF(N(AB630)&gt;0,AB630,0)</f>
        <v>0</v>
      </c>
      <c r="CE630" s="53" t="n">
        <f aca="false">IF(ISNUMBER(AE630),1,0)</f>
        <v>0</v>
      </c>
      <c r="CF630" s="50" t="n">
        <f aca="false">N(AE630)</f>
        <v>0</v>
      </c>
      <c r="CG630" s="50" t="n">
        <f aca="false">N(M630)+N(N630)</f>
        <v>1</v>
      </c>
      <c r="CH630" s="50" t="n">
        <f aca="false">ROUNDUP(H630/BV630,0)</f>
        <v>2</v>
      </c>
      <c r="CI630" s="50" t="n">
        <f aca="false">ROUNDUP(CF630/BV630,0)</f>
        <v>0</v>
      </c>
      <c r="CJ630" s="53" t="n">
        <f aca="false">IF(BW630=1,0,IFERROR(VLOOKUP(BU630,'Gebinde-Kategorie'!$A$5:$N$45,5,0)+0,0))</f>
        <v>11</v>
      </c>
      <c r="CK630" s="53" t="n">
        <f aca="false">IFERROR(IF(OR(CB630=1,CB630=2,CB630=3),N(INDEX(Parameter!$I$5:$I$7,CB630)),0),0)</f>
        <v>0</v>
      </c>
      <c r="CL630" s="52" t="n">
        <f aca="false">IF(AND(Parameter!$B$21="Ja",ISNUMBER(W630),N(X630)&gt;0),IFERROR(N(INDEX(Parameter!$L$5:$L$7,W630))*INDEX(Parameter!$E$5:$E$7,W630)*X630/SUMIFS($X$7:$X$1843,$W$7:$W$1843,W630),0),0)</f>
        <v>0</v>
      </c>
    </row>
    <row r="631" customFormat="false" ht="15" hidden="false" customHeight="false" outlineLevel="0" collapsed="false">
      <c r="A631" s="48" t="s">
        <v>1295</v>
      </c>
      <c r="B631" s="48" t="s">
        <v>407</v>
      </c>
      <c r="C631" s="48" t="s">
        <v>168</v>
      </c>
      <c r="D631" s="48" t="s">
        <v>999</v>
      </c>
      <c r="E631" s="48"/>
      <c r="F631" s="48" t="s">
        <v>222</v>
      </c>
      <c r="G631" s="49" t="n">
        <v>0.41</v>
      </c>
      <c r="H631" s="50" t="n">
        <f aca="false">MAX(0,IF(AND(Parameter!$B$21="Ja",ISNUMBER(Y631)),Y631,IF(Parameter!$B$20="Jahresanfang 2025 + Export",BO631+BN631,BN631)))</f>
        <v>4</v>
      </c>
      <c r="I631" s="50" t="n">
        <f aca="false">H631*G631</f>
        <v>1.64</v>
      </c>
      <c r="J631" s="50" t="n">
        <f aca="false">BQ631*Parameter!$B$18</f>
        <v>96</v>
      </c>
      <c r="K631" s="51" t="n">
        <v>2</v>
      </c>
      <c r="L631" s="52" t="n">
        <v>48</v>
      </c>
      <c r="M631" s="50" t="n">
        <v>0</v>
      </c>
      <c r="N631" s="50" t="n">
        <v>100</v>
      </c>
      <c r="O631" s="53" t="n">
        <v>21</v>
      </c>
      <c r="P631" s="48" t="s">
        <v>172</v>
      </c>
      <c r="Q631" s="50"/>
      <c r="R631" s="53" t="n">
        <f aca="false">IF(BW631=1,0,IFERROR(VLOOKUP(BU631,'Gebinde-Kategorie'!$A$5:$N$45,13,0)+0,0))</f>
        <v>0</v>
      </c>
      <c r="S631" s="54"/>
      <c r="T631" s="55"/>
      <c r="U631" s="55"/>
      <c r="V631" s="55"/>
      <c r="W631" s="48"/>
      <c r="X631" s="50"/>
      <c r="Y631" s="50"/>
      <c r="Z631" s="48" t="str">
        <f aca="false">IF(A631="","",IF(AND(Parameter!$B$21="Ja",ISNUMBER(W631)),W631,IF(BZ631="2+3",IF(ISNUMBER(SEARCH("grosser Artikel",BR631)),2,IFERROR(VLOOKUP(BU631,Parameter!$F$35:$G$64,2,0),2)),IF(OR(BZ631="Nein",BZ631=""),"-",BZ631))))</f>
        <v>-</v>
      </c>
      <c r="AA631" s="55"/>
      <c r="AB631" s="56"/>
      <c r="AC631" s="50" t="n">
        <f aca="false">AT631</f>
        <v>100</v>
      </c>
      <c r="AD631" s="50" t="n">
        <f aca="false">MAX(AT631,H631)</f>
        <v>100</v>
      </c>
      <c r="AE631" s="57"/>
      <c r="AF631" s="50" t="n">
        <f aca="false">IF(LEFT(Cockpit!$C$5,1)="A",H631,IF(CE631=1,CF631,IF(LEFT(Cockpit!$C$5,1)="B",AK631,MAX(AK631,H631))))</f>
        <v>4</v>
      </c>
      <c r="AG631" s="50" t="n">
        <f aca="false">IF(BW631=1,0,ROUNDUP(AF631/BV631,0))</f>
        <v>0</v>
      </c>
      <c r="AH631" s="52" t="n">
        <f aca="false">IF(CL631&gt;0,CL631*MAX(1,AF631/X631),IF(BW631=1,IF(AF631&lt;=0,0,CA631*MAX(1,IF(H631&gt;0,AF631/H631,1))),IF(R631&gt;0,AG631/R631,0))/MAX(0.1,N(Parameter!$M$21)))</f>
        <v>0.15</v>
      </c>
      <c r="AI631" s="50" t="n">
        <f aca="false">AH631*BY631</f>
        <v>35.25</v>
      </c>
      <c r="AJ631" s="50" t="n">
        <f aca="false">AF631*G631</f>
        <v>1.64</v>
      </c>
      <c r="AK631" s="50" t="n">
        <f aca="false">ROUNDUP(MAX(J631/IF(CD631&gt;0,CD631,MAX(0.1,N(Cockpit!$C$6))),CG631)/BV631,0)*BV631</f>
        <v>100</v>
      </c>
      <c r="AL631" s="51" t="n">
        <f aca="false">IF(AI631&gt;0,J631/AI631,-1)</f>
        <v>2.72340425531915</v>
      </c>
      <c r="AM631" s="51" t="str">
        <f aca="false">IF(AND(OR(CC631="L1",CC631="L23",CC631="LIFT"),AI631&gt;0),SUMIFS($AI$7:$AI$1843,$CC$7:$CC$1843,CC631,$AL$7:$AL$1843,"&gt;"&amp;AL631)+SUMIFS($AI$7:$AI$1843,$CC$7:$CC$1843,CC631,$AL$7:$AL$1843,AL631,$BT$7:$BT$1843,"&lt;="&amp;BT631),"")</f>
        <v/>
      </c>
      <c r="AN631" s="58" t="n">
        <f aca="false">IF(AM631="",0,MAX(0,MIN(1,(IF(CC631="L1",Parameter!$H$5,IF(CC631="L23",Parameter!$H$6+Parameter!$H$7,Parameter!$H$5+Parameter!$H$6+Parameter!$H$7))-(AM631-AI631))/AI631)))</f>
        <v>0</v>
      </c>
      <c r="AO631" s="50" t="n">
        <f aca="false">IF(LEFT(Cockpit!$I$5,1)="A",H631,IF(CE631=1,CF631,IF(LEFT(Cockpit!$I$5,1)="B",AT631,MAX(AT631,H631))))</f>
        <v>100</v>
      </c>
      <c r="AP631" s="50" t="n">
        <f aca="false">IF(BW631=1,0,ROUNDUP(AO631/BV631,0))</f>
        <v>0</v>
      </c>
      <c r="AQ631" s="52" t="n">
        <f aca="false">IF(CL631&gt;0,CL631*MAX(1,AO631/X631),IF(BW631=1,IF(AO631&lt;=0,0,CA631*MAX(1,IF(H631&gt;0,AO631/H631,1))),IF(R631&gt;0,AP631/R631,0))/MAX(0.1,N(Parameter!$M$21)))</f>
        <v>3.75</v>
      </c>
      <c r="AR631" s="50" t="n">
        <f aca="false">AQ631*BY631</f>
        <v>881.25</v>
      </c>
      <c r="AS631" s="50" t="n">
        <f aca="false">AO631*G631</f>
        <v>41</v>
      </c>
      <c r="AT631" s="50" t="n">
        <f aca="false">ROUNDUP(MAX(J631/IF(CD631&gt;0,CD631,MAX(0.1,N(Cockpit!$I$6))),CG631)/BV631,0)*BV631</f>
        <v>100</v>
      </c>
      <c r="AU631" s="51" t="n">
        <f aca="false">IF(AR631&gt;0,J631/AR631,-1)</f>
        <v>0.108936170212766</v>
      </c>
      <c r="AV631" s="51" t="str">
        <f aca="false">IF(AND(OR(CC631="L1",CC631="L23",CC631="LIFT"),AR631&gt;0),SUMIFS($AR$7:$AR$1843,$CC$7:$CC$1843,CC631,$AU$7:$AU$1843,"&gt;"&amp;AU631)+SUMIFS($AR$7:$AR$1843,$CC$7:$CC$1843,CC631,$AU$7:$AU$1843,AU631,$BT$7:$BT$1843,"&lt;="&amp;BT631),"")</f>
        <v/>
      </c>
      <c r="AW631" s="58" t="n">
        <f aca="false">IF(AV631="",0,MAX(0,MIN(1,(IF(CC631="L1",Parameter!$H$5,IF(CC631="L23",Parameter!$H$6+Parameter!$H$7,Parameter!$H$5+Parameter!$H$6+Parameter!$H$7))-(AV631-AR631))/AR631)))</f>
        <v>0</v>
      </c>
      <c r="AX631" s="50" t="n">
        <f aca="false">IF(LEFT(Cockpit!$O$5,1)="A",H631,IF(CE631=1,CF631,IF(LEFT(Cockpit!$O$5,1)="B",BC631,MAX(BC631,H631))))</f>
        <v>100</v>
      </c>
      <c r="AY631" s="50" t="n">
        <f aca="false">IF(BW631=1,0,ROUNDUP(AX631/BV631,0))</f>
        <v>0</v>
      </c>
      <c r="AZ631" s="52" t="n">
        <f aca="false">IF(CL631&gt;0,CL631*MAX(1,AX631/X631),IF(BW631=1,IF(AX631&lt;=0,0,CA631*MAX(1,IF(H631&gt;0,AX631/H631,1))),IF(R631&gt;0,AY631/R631,0))/MAX(0.1,N(Parameter!$M$21)))</f>
        <v>3.75</v>
      </c>
      <c r="BA631" s="50" t="n">
        <f aca="false">AZ631*BY631</f>
        <v>881.25</v>
      </c>
      <c r="BB631" s="50" t="n">
        <f aca="false">AX631*G631</f>
        <v>41</v>
      </c>
      <c r="BC631" s="50" t="n">
        <f aca="false">ROUNDUP(MAX(J631/IF(CD631&gt;0,CD631,MAX(0.1,N(Cockpit!$O$6))),CG631)/BV631,0)*BV631</f>
        <v>100</v>
      </c>
      <c r="BD631" s="51" t="n">
        <f aca="false">IF(BA631&gt;0,J631/BA631,-1)</f>
        <v>0.108936170212766</v>
      </c>
      <c r="BE631" s="51" t="str">
        <f aca="false">IF(AND(OR(CC631="L1",CC631="L23",CC631="LIFT"),BA631&gt;0),SUMIFS($BA$7:$BA$1843,$CC$7:$CC$1843,CC631,$BD$7:$BD$1843,"&gt;"&amp;BD631)+SUMIFS($BA$7:$BA$1843,$CC$7:$CC$1843,CC631,$BD$7:$BD$1843,BD631,$BT$7:$BT$1843,"&lt;="&amp;BT631),"")</f>
        <v/>
      </c>
      <c r="BF631" s="58" t="n">
        <f aca="false">IF(BE631="",0,MAX(0,MIN(1,(IF(CC631="L1",Parameter!$H$5,IF(CC631="L23",Parameter!$H$6+Parameter!$H$7,Parameter!$H$5+Parameter!$H$6+Parameter!$H$7))-(BE631-BA631))/BA631)))</f>
        <v>0</v>
      </c>
      <c r="BG631" s="48" t="str">
        <f aca="false">IF(AI631&lt;=0,"",IF(CC631="Aussen","Aussenlager",IF(CC631="-","Nicht im Lift",IF(AN631&gt;=1,"Lift",IF(AN631&lt;=0,"Aussenlager","teilweise")))))</f>
        <v>Nicht im Lift</v>
      </c>
      <c r="BH631" s="48" t="str">
        <f aca="false">IF(AR631&lt;=0,"",IF(CC631="Aussen","Aussenlager",IF(CC631="-","Nicht im Lift",IF(AW631&gt;=1,"Lift",IF(AW631&lt;=0,"Aussenlager","teilweise")))))</f>
        <v>Nicht im Lift</v>
      </c>
      <c r="BI631" s="48" t="str">
        <f aca="false">IF(BA631&lt;=0,"",IF(CC631="Aussen","Aussenlager",IF(CC631="-","Nicht im Lift",IF(BF631&gt;=1,"Lift",IF(BF631&lt;=0,"Aussenlager","teilweise")))))</f>
        <v>Nicht im Lift</v>
      </c>
      <c r="BJ631" s="48" t="str">
        <f aca="false">IF(A631="","",IF(BS631=1,"Neu; ","")&amp;IF(AND(BS631=0,BN631&lt;0),"negativer Bestand (Export "&amp;BN631&amp;"); ","")&amp;IF(J631&lt;=0,"Kein Verbrauch; ","")&amp;IF(CL631&gt;0,"Lift "&amp;W631&amp;" lt. Liftbericht (Fach "&amp;X631&amp;" Stk); ",IF(BX631=1,"Gebinde geschätzt ("&amp;T631&amp;"); ",IF(BW631=1,"Lose – Tablare geschätzt; ","")))&amp;IF(H631&gt;AT631,"Überbestand "&amp;ROUND(H631-AT631,0)&amp;" Stk / CHF "&amp;ROUND((H631-AT631)*G631,0)&amp;"; ","")&amp;IF(AND(CE631=1,CF631&lt;CG631),"MAX &lt; MB+LG; ","")&amp;IF(AND(CK631&gt;0,CJ631*10&gt;CK631),"zu hoch für Tablar; ","")&amp;IF(AND(BS631=0,OR(CE631=1,AA631&lt;&gt;"",U631&lt;&gt;"",V631&lt;&gt;"",AB631&lt;&gt;"")),"manuell übersteuert; ","")&amp;IF(AND(BW631=0,R631=0),"Gebinde unbekannt / Stellmass fehlt; ","")&amp;IF(AND(BW631=0,N(V631)&lt;=0,N(Q631)&lt;=0),"Menge pro Gebinde fehlt (Ist = 1 Gebinde); ","")&amp;BR631)</f>
        <v>Lose – Tablare geschätzt; </v>
      </c>
      <c r="BK631" s="48"/>
      <c r="BL631" s="48"/>
      <c r="BM631" s="55"/>
      <c r="BN631" s="50" t="n">
        <v>4</v>
      </c>
      <c r="BO631" s="50" t="n">
        <v>0</v>
      </c>
      <c r="BP631" s="49" t="n">
        <v>1.64</v>
      </c>
      <c r="BQ631" s="50" t="n">
        <v>96</v>
      </c>
      <c r="BR631" s="48"/>
      <c r="BS631" s="53" t="n">
        <v>0</v>
      </c>
      <c r="BT631" s="53" t="n">
        <v>631</v>
      </c>
      <c r="BU631" s="48" t="str">
        <f aca="false">IF(U631&lt;&gt;"",UPPER(TRIM(U631)),IF(BX631=1,UPPER(VLOOKUP(T631,Parameter!$I$27:$K$29,2,0)),IF(P631="","LOSE",P631)))</f>
        <v>LOSE</v>
      </c>
      <c r="BV631" s="50" t="n">
        <f aca="false">IF(BU631="LOSE",1,IF(N(V631)&gt;0,V631,IF(BX631=1,MAX(1,N(VLOOKUP(T631,Parameter!$I$27:$K$29,3,0)),H631,N(N631)),IF(N(Q631)&gt;0,Q631,MAX(1,H631)))))</f>
        <v>1</v>
      </c>
      <c r="BW631" s="53" t="n">
        <f aca="false">IF(BU631="LOSE",1,0)</f>
        <v>1</v>
      </c>
      <c r="BX631" s="53" t="n">
        <f aca="false">IF(AND(U631="",OR(P631="",P631="LOSE"),T631&lt;&gt;"",N(S631)&lt;=0,ISNUMBER(MATCH(T631,Parameter!$I$27:$I$29,0))),1,0)</f>
        <v>0</v>
      </c>
      <c r="BY631" s="53" t="n">
        <f aca="false">IF(CL631&gt;0,INDEX(Parameter!$H$5:$H$7,W631)/INDEX(Parameter!$E$5:$E$7,W631),IF(AND(BW631=0,N(IFERROR(VLOOKUP(BU631,'Gebinde-Kategorie'!$A$5:$N$45,14,0),0))&gt;0),VLOOKUP(BU631,'Gebinde-Kategorie'!$A$5:$N$45,14,0)*10+Parameter!$M$23,Parameter!$M$24))</f>
        <v>235</v>
      </c>
      <c r="BZ631" s="48" t="str">
        <f aca="false">IF(AND(Parameter!$B$19="Ja",E631&lt;&gt;"",ISNUMBER(MATCH(E631,Parameter!$I$35:$I$52,0))),VLOOKUP(E631,Parameter!$I$35:$J$52,2,0),IFERROR(VLOOKUP(D631,Parameter!$A$35:$C$64,2,0),"Nein"))</f>
        <v>Nein</v>
      </c>
      <c r="CA631" s="52" t="n">
        <f aca="false">IF(BW631=0,0,IF(N(S631)&gt;0,S631,IFERROR(VLOOKUP(D631,Parameter!$A$35:$C$64,3,0)+0,0)))</f>
        <v>0.15</v>
      </c>
      <c r="CB631" s="48" t="str">
        <f aca="false">IF(AA631&lt;&gt;"",AA631,Z631)</f>
        <v>-</v>
      </c>
      <c r="CC631" s="48" t="str">
        <f aca="false">IF(OR(CB631=1,CB631=2,CB631=3),IF(Parameter!$E$27="Ja","LIFT",IF(CB631=1,"L1","L23")),IF(CB631="Aussen","Aussen","-"))</f>
        <v>-</v>
      </c>
      <c r="CD631" s="59" t="n">
        <f aca="false">IF(N(AB631)&gt;0,AB631,0)</f>
        <v>0</v>
      </c>
      <c r="CE631" s="53" t="n">
        <f aca="false">IF(ISNUMBER(AE631),1,0)</f>
        <v>0</v>
      </c>
      <c r="CF631" s="50" t="n">
        <f aca="false">N(AE631)</f>
        <v>0</v>
      </c>
      <c r="CG631" s="50" t="n">
        <f aca="false">N(M631)+N(N631)</f>
        <v>100</v>
      </c>
      <c r="CH631" s="50" t="n">
        <f aca="false">ROUNDUP(H631/BV631,0)</f>
        <v>4</v>
      </c>
      <c r="CI631" s="50" t="n">
        <f aca="false">ROUNDUP(CF631/BV631,0)</f>
        <v>0</v>
      </c>
      <c r="CJ631" s="53" t="n">
        <f aca="false">IF(BW631=1,0,IFERROR(VLOOKUP(BU631,'Gebinde-Kategorie'!$A$5:$N$45,5,0)+0,0))</f>
        <v>0</v>
      </c>
      <c r="CK631" s="53" t="n">
        <f aca="false">IFERROR(IF(OR(CB631=1,CB631=2,CB631=3),N(INDEX(Parameter!$I$5:$I$7,CB631)),0),0)</f>
        <v>0</v>
      </c>
      <c r="CL631" s="52" t="n">
        <f aca="false">IF(AND(Parameter!$B$21="Ja",ISNUMBER(W631),N(X631)&gt;0),IFERROR(N(INDEX(Parameter!$L$5:$L$7,W631))*INDEX(Parameter!$E$5:$E$7,W631)*X631/SUMIFS($X$7:$X$1843,$W$7:$W$1843,W631),0),0)</f>
        <v>0</v>
      </c>
    </row>
    <row r="632" customFormat="false" ht="15" hidden="false" customHeight="false" outlineLevel="0" collapsed="false">
      <c r="A632" s="48" t="s">
        <v>1296</v>
      </c>
      <c r="B632" s="48" t="s">
        <v>1297</v>
      </c>
      <c r="C632" s="48" t="s">
        <v>168</v>
      </c>
      <c r="D632" s="48" t="s">
        <v>188</v>
      </c>
      <c r="E632" s="48"/>
      <c r="F632" s="48" t="s">
        <v>222</v>
      </c>
      <c r="G632" s="49" t="n">
        <v>1.25</v>
      </c>
      <c r="H632" s="50" t="n">
        <f aca="false">MAX(0,IF(AND(Parameter!$B$21="Ja",ISNUMBER(Y632)),Y632,IF(Parameter!$B$20="Jahresanfang 2025 + Export",BO632+BN632,BN632)))</f>
        <v>14</v>
      </c>
      <c r="I632" s="50" t="n">
        <f aca="false">H632*G632</f>
        <v>17.5</v>
      </c>
      <c r="J632" s="50" t="n">
        <f aca="false">BQ632*Parameter!$B$18</f>
        <v>22</v>
      </c>
      <c r="K632" s="51" t="n">
        <v>11.5</v>
      </c>
      <c r="L632" s="52" t="n">
        <v>1.91304347826087</v>
      </c>
      <c r="M632" s="50" t="n">
        <v>0</v>
      </c>
      <c r="N632" s="50" t="n">
        <v>20</v>
      </c>
      <c r="O632" s="53" t="n">
        <v>14</v>
      </c>
      <c r="P632" s="48" t="s">
        <v>430</v>
      </c>
      <c r="Q632" s="50" t="n">
        <v>22</v>
      </c>
      <c r="R632" s="53" t="n">
        <f aca="false">IF(BW632=1,0,IFERROR(VLOOKUP(BU632,'Gebinde-Kategorie'!$A$5:$N$45,13,0)+0,0))</f>
        <v>140</v>
      </c>
      <c r="S632" s="54"/>
      <c r="T632" s="55"/>
      <c r="U632" s="55"/>
      <c r="V632" s="55"/>
      <c r="W632" s="48"/>
      <c r="X632" s="50"/>
      <c r="Y632" s="50"/>
      <c r="Z632" s="48" t="n">
        <f aca="false">IF(A632="","",IF(AND(Parameter!$B$21="Ja",ISNUMBER(W632)),W632,IF(BZ632="2+3",IF(ISNUMBER(SEARCH("grosser Artikel",BR632)),2,IFERROR(VLOOKUP(BU632,Parameter!$F$35:$G$64,2,0),2)),IF(OR(BZ632="Nein",BZ632=""),"-",BZ632))))</f>
        <v>3</v>
      </c>
      <c r="AA632" s="55"/>
      <c r="AB632" s="56"/>
      <c r="AC632" s="50" t="n">
        <f aca="false">AT632</f>
        <v>22</v>
      </c>
      <c r="AD632" s="50" t="n">
        <f aca="false">MAX(AT632,H632)</f>
        <v>22</v>
      </c>
      <c r="AE632" s="57"/>
      <c r="AF632" s="50" t="n">
        <f aca="false">IF(LEFT(Cockpit!$C$5,1)="A",H632,IF(CE632=1,CF632,IF(LEFT(Cockpit!$C$5,1)="B",AK632,MAX(AK632,H632))))</f>
        <v>14</v>
      </c>
      <c r="AG632" s="50" t="n">
        <f aca="false">IF(BW632=1,0,ROUNDUP(AF632/BV632,0))</f>
        <v>1</v>
      </c>
      <c r="AH632" s="52" t="n">
        <f aca="false">IF(CL632&gt;0,CL632*MAX(1,AF632/X632),IF(BW632=1,IF(AF632&lt;=0,0,CA632*MAX(1,IF(H632&gt;0,AF632/H632,1))),IF(R632&gt;0,AG632/R632,0))/MAX(0.1,N(Parameter!$M$21)))</f>
        <v>0.00714285714285714</v>
      </c>
      <c r="AI632" s="50" t="n">
        <f aca="false">AH632*BY632</f>
        <v>1.10714285714286</v>
      </c>
      <c r="AJ632" s="50" t="n">
        <f aca="false">AF632*G632</f>
        <v>17.5</v>
      </c>
      <c r="AK632" s="50" t="n">
        <f aca="false">ROUNDUP(MAX(J632/IF(CD632&gt;0,CD632,MAX(0.1,N(Cockpit!$C$6))),CG632)/BV632,0)*BV632</f>
        <v>22</v>
      </c>
      <c r="AL632" s="51" t="n">
        <f aca="false">IF(AI632&gt;0,J632/AI632,-1)</f>
        <v>19.8709677419355</v>
      </c>
      <c r="AM632" s="51" t="n">
        <f aca="false">IF(AND(OR(CC632="L1",CC632="L23",CC632="LIFT"),AI632&gt;0),SUMIFS($AI$7:$AI$1843,$CC$7:$CC$1843,CC632,$AL$7:$AL$1843,"&gt;"&amp;AL632)+SUMIFS($AI$7:$AI$1843,$CC$7:$CC$1843,CC632,$AL$7:$AL$1843,AL632,$BT$7:$BT$1843,"&lt;="&amp;BT632),"")</f>
        <v>1657.83974358974</v>
      </c>
      <c r="AN632" s="58" t="n">
        <f aca="false">IF(AM632="",0,MAX(0,MIN(1,(IF(CC632="L1",Parameter!$H$5,IF(CC632="L23",Parameter!$H$6+Parameter!$H$7,Parameter!$H$5+Parameter!$H$6+Parameter!$H$7))-(AM632-AI632))/AI632)))</f>
        <v>1</v>
      </c>
      <c r="AO632" s="50" t="n">
        <f aca="false">IF(LEFT(Cockpit!$I$5,1)="A",H632,IF(CE632=1,CF632,IF(LEFT(Cockpit!$I$5,1)="B",AT632,MAX(AT632,H632))))</f>
        <v>22</v>
      </c>
      <c r="AP632" s="50" t="n">
        <f aca="false">IF(BW632=1,0,ROUNDUP(AO632/BV632,0))</f>
        <v>1</v>
      </c>
      <c r="AQ632" s="52" t="n">
        <f aca="false">IF(CL632&gt;0,CL632*MAX(1,AO632/X632),IF(BW632=1,IF(AO632&lt;=0,0,CA632*MAX(1,IF(H632&gt;0,AO632/H632,1))),IF(R632&gt;0,AP632/R632,0))/MAX(0.1,N(Parameter!$M$21)))</f>
        <v>0.00714285714285714</v>
      </c>
      <c r="AR632" s="50" t="n">
        <f aca="false">AQ632*BY632</f>
        <v>1.10714285714286</v>
      </c>
      <c r="AS632" s="50" t="n">
        <f aca="false">AO632*G632</f>
        <v>27.5</v>
      </c>
      <c r="AT632" s="50" t="n">
        <f aca="false">ROUNDUP(MAX(J632/IF(CD632&gt;0,CD632,MAX(0.1,N(Cockpit!$I$6))),CG632)/BV632,0)*BV632</f>
        <v>22</v>
      </c>
      <c r="AU632" s="51" t="n">
        <f aca="false">IF(AR632&gt;0,J632/AR632,-1)</f>
        <v>19.8709677419355</v>
      </c>
      <c r="AV632" s="51" t="n">
        <f aca="false">IF(AND(OR(CC632="L1",CC632="L23",CC632="LIFT"),AR632&gt;0),SUMIFS($AR$7:$AR$1843,$CC$7:$CC$1843,CC632,$AU$7:$AU$1843,"&gt;"&amp;AU632)+SUMIFS($AR$7:$AR$1843,$CC$7:$CC$1843,CC632,$AU$7:$AU$1843,AU632,$BT$7:$BT$1843,"&lt;="&amp;BT632),"")</f>
        <v>2265.05448717949</v>
      </c>
      <c r="AW632" s="58" t="n">
        <f aca="false">IF(AV632="",0,MAX(0,MIN(1,(IF(CC632="L1",Parameter!$H$5,IF(CC632="L23",Parameter!$H$6+Parameter!$H$7,Parameter!$H$5+Parameter!$H$6+Parameter!$H$7))-(AV632-AR632))/AR632)))</f>
        <v>1</v>
      </c>
      <c r="AX632" s="50" t="n">
        <f aca="false">IF(LEFT(Cockpit!$O$5,1)="A",H632,IF(CE632=1,CF632,IF(LEFT(Cockpit!$O$5,1)="B",BC632,MAX(BC632,H632))))</f>
        <v>22</v>
      </c>
      <c r="AY632" s="50" t="n">
        <f aca="false">IF(BW632=1,0,ROUNDUP(AX632/BV632,0))</f>
        <v>1</v>
      </c>
      <c r="AZ632" s="52" t="n">
        <f aca="false">IF(CL632&gt;0,CL632*MAX(1,AX632/X632),IF(BW632=1,IF(AX632&lt;=0,0,CA632*MAX(1,IF(H632&gt;0,AX632/H632,1))),IF(R632&gt;0,AY632/R632,0))/MAX(0.1,N(Parameter!$M$21)))</f>
        <v>0.00714285714285714</v>
      </c>
      <c r="BA632" s="50" t="n">
        <f aca="false">AZ632*BY632</f>
        <v>1.10714285714286</v>
      </c>
      <c r="BB632" s="50" t="n">
        <f aca="false">AX632*G632</f>
        <v>27.5</v>
      </c>
      <c r="BC632" s="50" t="n">
        <f aca="false">ROUNDUP(MAX(J632/IF(CD632&gt;0,CD632,MAX(0.1,N(Cockpit!$O$6))),CG632)/BV632,0)*BV632</f>
        <v>22</v>
      </c>
      <c r="BD632" s="51" t="n">
        <f aca="false">IF(BA632&gt;0,J632/BA632,-1)</f>
        <v>19.8709677419355</v>
      </c>
      <c r="BE632" s="51" t="n">
        <f aca="false">IF(AND(OR(CC632="L1",CC632="L23",CC632="LIFT"),BA632&gt;0),SUMIFS($BA$7:$BA$1843,$CC$7:$CC$1843,CC632,$BD$7:$BD$1843,"&gt;"&amp;BD632)+SUMIFS($BA$7:$BA$1843,$CC$7:$CC$1843,CC632,$BD$7:$BD$1843,BD632,$BT$7:$BT$1843,"&lt;="&amp;BT632),"")</f>
        <v>2371.99358974359</v>
      </c>
      <c r="BF632" s="58" t="n">
        <f aca="false">IF(BE632="",0,MAX(0,MIN(1,(IF(CC632="L1",Parameter!$H$5,IF(CC632="L23",Parameter!$H$6+Parameter!$H$7,Parameter!$H$5+Parameter!$H$6+Parameter!$H$7))-(BE632-BA632))/BA632)))</f>
        <v>1</v>
      </c>
      <c r="BG632" s="48" t="str">
        <f aca="false">IF(AI632&lt;=0,"",IF(CC632="Aussen","Aussenlager",IF(CC632="-","Nicht im Lift",IF(AN632&gt;=1,"Lift",IF(AN632&lt;=0,"Aussenlager","teilweise")))))</f>
        <v>Lift</v>
      </c>
      <c r="BH632" s="48" t="str">
        <f aca="false">IF(AR632&lt;=0,"",IF(CC632="Aussen","Aussenlager",IF(CC632="-","Nicht im Lift",IF(AW632&gt;=1,"Lift",IF(AW632&lt;=0,"Aussenlager","teilweise")))))</f>
        <v>Lift</v>
      </c>
      <c r="BI632" s="48" t="str">
        <f aca="false">IF(BA632&lt;=0,"",IF(CC632="Aussen","Aussenlager",IF(CC632="-","Nicht im Lift",IF(BF632&gt;=1,"Lift",IF(BF632&lt;=0,"Aussenlager","teilweise")))))</f>
        <v>Lift</v>
      </c>
      <c r="BJ632" s="48" t="str">
        <f aca="false">IF(A632="","",IF(BS632=1,"Neu; ","")&amp;IF(AND(BS632=0,BN632&lt;0),"negativer Bestand (Export "&amp;BN632&amp;"); ","")&amp;IF(J632&lt;=0,"Kein Verbrauch; ","")&amp;IF(CL632&gt;0,"Lift "&amp;W632&amp;" lt. Liftbericht (Fach "&amp;X632&amp;" Stk); ",IF(BX632=1,"Gebinde geschätzt ("&amp;T632&amp;"); ",IF(BW632=1,"Lose – Tablare geschätzt; ","")))&amp;IF(H632&gt;AT632,"Überbestand "&amp;ROUND(H632-AT632,0)&amp;" Stk / CHF "&amp;ROUND((H632-AT632)*G632,0)&amp;"; ","")&amp;IF(AND(CE632=1,CF632&lt;CG632),"MAX &lt; MB+LG; ","")&amp;IF(AND(CK632&gt;0,CJ632*10&gt;CK632),"zu hoch für Tablar; ","")&amp;IF(AND(BS632=0,OR(CE632=1,AA632&lt;&gt;"",U632&lt;&gt;"",V632&lt;&gt;"",AB632&lt;&gt;"")),"manuell übersteuert; ","")&amp;IF(AND(BW632=0,R632=0),"Gebinde unbekannt / Stellmass fehlt; ","")&amp;IF(AND(BW632=0,N(V632)&lt;=0,N(Q632)&lt;=0),"Menge pro Gebinde fehlt (Ist = 1 Gebinde); ","")&amp;BR632)</f>
        <v/>
      </c>
      <c r="BK632" s="48"/>
      <c r="BL632" s="48"/>
      <c r="BM632" s="55"/>
      <c r="BN632" s="50" t="n">
        <v>1</v>
      </c>
      <c r="BO632" s="50" t="n">
        <v>13</v>
      </c>
      <c r="BP632" s="49" t="n">
        <v>1.64</v>
      </c>
      <c r="BQ632" s="50" t="n">
        <v>22</v>
      </c>
      <c r="BR632" s="48"/>
      <c r="BS632" s="53" t="n">
        <v>0</v>
      </c>
      <c r="BT632" s="53" t="n">
        <v>632</v>
      </c>
      <c r="BU632" s="48" t="str">
        <f aca="false">IF(U632&lt;&gt;"",UPPER(TRIM(U632)),IF(BX632=1,UPPER(VLOOKUP(T632,Parameter!$I$27:$K$29,2,0)),IF(P632="","LOSE",P632)))</f>
        <v>S22</v>
      </c>
      <c r="BV632" s="50" t="n">
        <f aca="false">IF(BU632="LOSE",1,IF(N(V632)&gt;0,V632,IF(BX632=1,MAX(1,N(VLOOKUP(T632,Parameter!$I$27:$K$29,3,0)),H632,N(N632)),IF(N(Q632)&gt;0,Q632,MAX(1,H632)))))</f>
        <v>22</v>
      </c>
      <c r="BW632" s="53" t="n">
        <f aca="false">IF(BU632="LOSE",1,0)</f>
        <v>0</v>
      </c>
      <c r="BX632" s="53" t="n">
        <f aca="false">IF(AND(U632="",OR(P632="",P632="LOSE"),T632&lt;&gt;"",N(S632)&lt;=0,ISNUMBER(MATCH(T632,Parameter!$I$27:$I$29,0))),1,0)</f>
        <v>0</v>
      </c>
      <c r="BY632" s="53" t="n">
        <f aca="false">IF(CL632&gt;0,INDEX(Parameter!$H$5:$H$7,W632)/INDEX(Parameter!$E$5:$E$7,W632),IF(AND(BW632=0,N(IFERROR(VLOOKUP(BU632,'Gebinde-Kategorie'!$A$5:$N$45,14,0),0))&gt;0),VLOOKUP(BU632,'Gebinde-Kategorie'!$A$5:$N$45,14,0)*10+Parameter!$M$23,Parameter!$M$24))</f>
        <v>155</v>
      </c>
      <c r="BZ632" s="48" t="str">
        <f aca="false">IF(AND(Parameter!$B$19="Ja",E632&lt;&gt;"",ISNUMBER(MATCH(E632,Parameter!$I$35:$I$52,0))),VLOOKUP(E632,Parameter!$I$35:$J$52,2,0),IFERROR(VLOOKUP(D632,Parameter!$A$35:$C$64,2,0),"Nein"))</f>
        <v>2+3</v>
      </c>
      <c r="CA632" s="52" t="n">
        <f aca="false">IF(BW632=0,0,IF(N(S632)&gt;0,S632,IFERROR(VLOOKUP(D632,Parameter!$A$35:$C$64,3,0)+0,0)))</f>
        <v>0</v>
      </c>
      <c r="CB632" s="48" t="n">
        <f aca="false">IF(AA632&lt;&gt;"",AA632,Z632)</f>
        <v>3</v>
      </c>
      <c r="CC632" s="48" t="str">
        <f aca="false">IF(OR(CB632=1,CB632=2,CB632=3),IF(Parameter!$E$27="Ja","LIFT",IF(CB632=1,"L1","L23")),IF(CB632="Aussen","Aussen","-"))</f>
        <v>LIFT</v>
      </c>
      <c r="CD632" s="59" t="n">
        <f aca="false">IF(N(AB632)&gt;0,AB632,0)</f>
        <v>0</v>
      </c>
      <c r="CE632" s="53" t="n">
        <f aca="false">IF(ISNUMBER(AE632),1,0)</f>
        <v>0</v>
      </c>
      <c r="CF632" s="50" t="n">
        <f aca="false">N(AE632)</f>
        <v>0</v>
      </c>
      <c r="CG632" s="50" t="n">
        <f aca="false">N(M632)+N(N632)</f>
        <v>20</v>
      </c>
      <c r="CH632" s="50" t="n">
        <f aca="false">ROUNDUP(H632/BV632,0)</f>
        <v>1</v>
      </c>
      <c r="CI632" s="50" t="n">
        <f aca="false">ROUNDUP(CF632/BV632,0)</f>
        <v>0</v>
      </c>
      <c r="CJ632" s="53" t="n">
        <f aca="false">IF(BW632=1,0,IFERROR(VLOOKUP(BU632,'Gebinde-Kategorie'!$A$5:$N$45,5,0)+0,0))</f>
        <v>8</v>
      </c>
      <c r="CK632" s="53" t="n">
        <f aca="false">IFERROR(IF(OR(CB632=1,CB632=2,CB632=3),N(INDEX(Parameter!$I$5:$I$7,CB632)),0),0)</f>
        <v>0</v>
      </c>
      <c r="CL632" s="52" t="n">
        <f aca="false">IF(AND(Parameter!$B$21="Ja",ISNUMBER(W632),N(X632)&gt;0),IFERROR(N(INDEX(Parameter!$L$5:$L$7,W632))*INDEX(Parameter!$E$5:$E$7,W632)*X632/SUMIFS($X$7:$X$1843,$W$7:$W$1843,W632),0),0)</f>
        <v>0</v>
      </c>
    </row>
    <row r="633" customFormat="false" ht="15" hidden="false" customHeight="false" outlineLevel="0" collapsed="false">
      <c r="A633" s="48" t="s">
        <v>1298</v>
      </c>
      <c r="B633" s="48" t="s">
        <v>1294</v>
      </c>
      <c r="C633" s="48" t="s">
        <v>168</v>
      </c>
      <c r="D633" s="48" t="s">
        <v>188</v>
      </c>
      <c r="E633" s="48" t="s">
        <v>189</v>
      </c>
      <c r="F633" s="48" t="s">
        <v>222</v>
      </c>
      <c r="G633" s="49" t="n">
        <v>0.85</v>
      </c>
      <c r="H633" s="50" t="n">
        <f aca="false">MAX(0,IF(AND(Parameter!$B$21="Ja",ISNUMBER(Y633)),Y633,IF(Parameter!$B$20="Jahresanfang 2025 + Export",BO633+BN633,BN633)))</f>
        <v>23</v>
      </c>
      <c r="I633" s="50" t="n">
        <f aca="false">H633*G633</f>
        <v>19.55</v>
      </c>
      <c r="J633" s="50" t="n">
        <f aca="false">BQ633*Parameter!$B$18</f>
        <v>72</v>
      </c>
      <c r="K633" s="51" t="n">
        <v>40</v>
      </c>
      <c r="L633" s="52" t="n">
        <v>1.8</v>
      </c>
      <c r="M633" s="50" t="n">
        <v>2</v>
      </c>
      <c r="N633" s="50" t="n">
        <v>70</v>
      </c>
      <c r="O633" s="53" t="n">
        <v>14</v>
      </c>
      <c r="P633" s="48" t="s">
        <v>237</v>
      </c>
      <c r="Q633" s="50" t="n">
        <v>88</v>
      </c>
      <c r="R633" s="53" t="n">
        <f aca="false">IF(BW633=1,0,IFERROR(VLOOKUP(BU633,'Gebinde-Kategorie'!$A$5:$N$45,13,0)+0,0))</f>
        <v>26</v>
      </c>
      <c r="S633" s="54"/>
      <c r="T633" s="55"/>
      <c r="U633" s="55"/>
      <c r="V633" s="55"/>
      <c r="W633" s="48"/>
      <c r="X633" s="50"/>
      <c r="Y633" s="50"/>
      <c r="Z633" s="48" t="n">
        <f aca="false">IF(A633="","",IF(AND(Parameter!$B$21="Ja",ISNUMBER(W633)),W633,IF(BZ633="2+3",IF(ISNUMBER(SEARCH("grosser Artikel",BR633)),2,IFERROR(VLOOKUP(BU633,Parameter!$F$35:$G$64,2,0),2)),IF(OR(BZ633="Nein",BZ633=""),"-",BZ633))))</f>
        <v>3</v>
      </c>
      <c r="AA633" s="55"/>
      <c r="AB633" s="56"/>
      <c r="AC633" s="50" t="n">
        <f aca="false">AT633</f>
        <v>88</v>
      </c>
      <c r="AD633" s="50" t="n">
        <f aca="false">MAX(AT633,H633)</f>
        <v>88</v>
      </c>
      <c r="AE633" s="57"/>
      <c r="AF633" s="50" t="n">
        <f aca="false">IF(LEFT(Cockpit!$C$5,1)="A",H633,IF(CE633=1,CF633,IF(LEFT(Cockpit!$C$5,1)="B",AK633,MAX(AK633,H633))))</f>
        <v>23</v>
      </c>
      <c r="AG633" s="50" t="n">
        <f aca="false">IF(BW633=1,0,ROUNDUP(AF633/BV633,0))</f>
        <v>1</v>
      </c>
      <c r="AH633" s="52" t="n">
        <f aca="false">IF(CL633&gt;0,CL633*MAX(1,AF633/X633),IF(BW633=1,IF(AF633&lt;=0,0,CA633*MAX(1,IF(H633&gt;0,AF633/H633,1))),IF(R633&gt;0,AG633/R633,0))/MAX(0.1,N(Parameter!$M$21)))</f>
        <v>0.0384615384615385</v>
      </c>
      <c r="AI633" s="50" t="n">
        <f aca="false">AH633*BY633</f>
        <v>9.42307692307692</v>
      </c>
      <c r="AJ633" s="50" t="n">
        <f aca="false">AF633*G633</f>
        <v>19.55</v>
      </c>
      <c r="AK633" s="50" t="n">
        <f aca="false">ROUNDUP(MAX(J633/IF(CD633&gt;0,CD633,MAX(0.1,N(Cockpit!$C$6))),CG633)/BV633,0)*BV633</f>
        <v>88</v>
      </c>
      <c r="AL633" s="51" t="n">
        <f aca="false">IF(AI633&gt;0,J633/AI633,-1)</f>
        <v>7.64081632653061</v>
      </c>
      <c r="AM633" s="51" t="n">
        <f aca="false">IF(AND(OR(CC633="L1",CC633="L23",CC633="LIFT"),AI633&gt;0),SUMIFS($AI$7:$AI$1843,$CC$7:$CC$1843,CC633,$AL$7:$AL$1843,"&gt;"&amp;AL633)+SUMIFS($AI$7:$AI$1843,$CC$7:$CC$1843,CC633,$AL$7:$AL$1843,AL633,$BT$7:$BT$1843,"&lt;="&amp;BT633),"")</f>
        <v>3128.48076923077</v>
      </c>
      <c r="AN633" s="58" t="n">
        <f aca="false">IF(AM633="",0,MAX(0,MIN(1,(IF(CC633="L1",Parameter!$H$5,IF(CC633="L23",Parameter!$H$6+Parameter!$H$7,Parameter!$H$5+Parameter!$H$6+Parameter!$H$7))-(AM633-AI633))/AI633)))</f>
        <v>1</v>
      </c>
      <c r="AO633" s="50" t="n">
        <f aca="false">IF(LEFT(Cockpit!$I$5,1)="A",H633,IF(CE633=1,CF633,IF(LEFT(Cockpit!$I$5,1)="B",AT633,MAX(AT633,H633))))</f>
        <v>88</v>
      </c>
      <c r="AP633" s="50" t="n">
        <f aca="false">IF(BW633=1,0,ROUNDUP(AO633/BV633,0))</f>
        <v>1</v>
      </c>
      <c r="AQ633" s="52" t="n">
        <f aca="false">IF(CL633&gt;0,CL633*MAX(1,AO633/X633),IF(BW633=1,IF(AO633&lt;=0,0,CA633*MAX(1,IF(H633&gt;0,AO633/H633,1))),IF(R633&gt;0,AP633/R633,0))/MAX(0.1,N(Parameter!$M$21)))</f>
        <v>0.0384615384615385</v>
      </c>
      <c r="AR633" s="50" t="n">
        <f aca="false">AQ633*BY633</f>
        <v>9.42307692307692</v>
      </c>
      <c r="AS633" s="50" t="n">
        <f aca="false">AO633*G633</f>
        <v>74.8</v>
      </c>
      <c r="AT633" s="50" t="n">
        <f aca="false">ROUNDUP(MAX(J633/IF(CD633&gt;0,CD633,MAX(0.1,N(Cockpit!$I$6))),CG633)/BV633,0)*BV633</f>
        <v>88</v>
      </c>
      <c r="AU633" s="51" t="n">
        <f aca="false">IF(AR633&gt;0,J633/AR633,-1)</f>
        <v>7.64081632653061</v>
      </c>
      <c r="AV633" s="51" t="n">
        <f aca="false">IF(AND(OR(CC633="L1",CC633="L23",CC633="LIFT"),AR633&gt;0),SUMIFS($AR$7:$AR$1843,$CC$7:$CC$1843,CC633,$AU$7:$AU$1843,"&gt;"&amp;AU633)+SUMIFS($AR$7:$AR$1843,$CC$7:$CC$1843,CC633,$AU$7:$AU$1843,AU633,$BT$7:$BT$1843,"&lt;="&amp;BT633),"")</f>
        <v>4294.61034798535</v>
      </c>
      <c r="AW633" s="58" t="n">
        <f aca="false">IF(AV633="",0,MAX(0,MIN(1,(IF(CC633="L1",Parameter!$H$5,IF(CC633="L23",Parameter!$H$6+Parameter!$H$7,Parameter!$H$5+Parameter!$H$6+Parameter!$H$7))-(AV633-AR633))/AR633)))</f>
        <v>1</v>
      </c>
      <c r="AX633" s="50" t="n">
        <f aca="false">IF(LEFT(Cockpit!$O$5,1)="A",H633,IF(CE633=1,CF633,IF(LEFT(Cockpit!$O$5,1)="B",BC633,MAX(BC633,H633))))</f>
        <v>88</v>
      </c>
      <c r="AY633" s="50" t="n">
        <f aca="false">IF(BW633=1,0,ROUNDUP(AX633/BV633,0))</f>
        <v>1</v>
      </c>
      <c r="AZ633" s="52" t="n">
        <f aca="false">IF(CL633&gt;0,CL633*MAX(1,AX633/X633),IF(BW633=1,IF(AX633&lt;=0,0,CA633*MAX(1,IF(H633&gt;0,AX633/H633,1))),IF(R633&gt;0,AY633/R633,0))/MAX(0.1,N(Parameter!$M$21)))</f>
        <v>0.0384615384615385</v>
      </c>
      <c r="BA633" s="50" t="n">
        <f aca="false">AZ633*BY633</f>
        <v>9.42307692307692</v>
      </c>
      <c r="BB633" s="50" t="n">
        <f aca="false">AX633*G633</f>
        <v>74.8</v>
      </c>
      <c r="BC633" s="50" t="n">
        <f aca="false">ROUNDUP(MAX(J633/IF(CD633&gt;0,CD633,MAX(0.1,N(Cockpit!$O$6))),CG633)/BV633,0)*BV633</f>
        <v>88</v>
      </c>
      <c r="BD633" s="51" t="n">
        <f aca="false">IF(BA633&gt;0,J633/BA633,-1)</f>
        <v>7.64081632653061</v>
      </c>
      <c r="BE633" s="51" t="n">
        <f aca="false">IF(AND(OR(CC633="L1",CC633="L23",CC633="LIFT"),BA633&gt;0),SUMIFS($BA$7:$BA$1843,$CC$7:$CC$1843,CC633,$BD$7:$BD$1843,"&gt;"&amp;BD633)+SUMIFS($BA$7:$BA$1843,$CC$7:$CC$1843,CC633,$BD$7:$BD$1843,BD633,$BT$7:$BT$1843,"&lt;="&amp;BT633),"")</f>
        <v>4001.32509157509</v>
      </c>
      <c r="BF633" s="58" t="n">
        <f aca="false">IF(BE633="",0,MAX(0,MIN(1,(IF(CC633="L1",Parameter!$H$5,IF(CC633="L23",Parameter!$H$6+Parameter!$H$7,Parameter!$H$5+Parameter!$H$6+Parameter!$H$7))-(BE633-BA633))/BA633)))</f>
        <v>1</v>
      </c>
      <c r="BG633" s="48" t="str">
        <f aca="false">IF(AI633&lt;=0,"",IF(CC633="Aussen","Aussenlager",IF(CC633="-","Nicht im Lift",IF(AN633&gt;=1,"Lift",IF(AN633&lt;=0,"Aussenlager","teilweise")))))</f>
        <v>Lift</v>
      </c>
      <c r="BH633" s="48" t="str">
        <f aca="false">IF(AR633&lt;=0,"",IF(CC633="Aussen","Aussenlager",IF(CC633="-","Nicht im Lift",IF(AW633&gt;=1,"Lift",IF(AW633&lt;=0,"Aussenlager","teilweise")))))</f>
        <v>Lift</v>
      </c>
      <c r="BI633" s="48" t="str">
        <f aca="false">IF(BA633&lt;=0,"",IF(CC633="Aussen","Aussenlager",IF(CC633="-","Nicht im Lift",IF(BF633&gt;=1,"Lift",IF(BF633&lt;=0,"Aussenlager","teilweise")))))</f>
        <v>Lift</v>
      </c>
      <c r="BJ633" s="48" t="str">
        <f aca="false">IF(A633="","",IF(BS633=1,"Neu; ","")&amp;IF(AND(BS633=0,BN633&lt;0),"negativer Bestand (Export "&amp;BN633&amp;"); ","")&amp;IF(J633&lt;=0,"Kein Verbrauch; ","")&amp;IF(CL633&gt;0,"Lift "&amp;W633&amp;" lt. Liftbericht (Fach "&amp;X633&amp;" Stk); ",IF(BX633=1,"Gebinde geschätzt ("&amp;T633&amp;"); ",IF(BW633=1,"Lose – Tablare geschätzt; ","")))&amp;IF(H633&gt;AT633,"Überbestand "&amp;ROUND(H633-AT633,0)&amp;" Stk / CHF "&amp;ROUND((H633-AT633)*G633,0)&amp;"; ","")&amp;IF(AND(CE633=1,CF633&lt;CG633),"MAX &lt; MB+LG; ","")&amp;IF(AND(CK633&gt;0,CJ633*10&gt;CK633),"zu hoch für Tablar; ","")&amp;IF(AND(BS633=0,OR(CE633=1,AA633&lt;&gt;"",U633&lt;&gt;"",V633&lt;&gt;"",AB633&lt;&gt;"")),"manuell übersteuert; ","")&amp;IF(AND(BW633=0,R633=0),"Gebinde unbekannt / Stellmass fehlt; ","")&amp;IF(AND(BW633=0,N(V633)&lt;=0,N(Q633)&lt;=0),"Menge pro Gebinde fehlt (Ist = 1 Gebinde); ","")&amp;BR633)</f>
        <v/>
      </c>
      <c r="BK633" s="48"/>
      <c r="BL633" s="48"/>
      <c r="BM633" s="55"/>
      <c r="BN633" s="50" t="n">
        <v>1</v>
      </c>
      <c r="BO633" s="50" t="n">
        <v>22</v>
      </c>
      <c r="BP633" s="49" t="n">
        <v>1.50999999999997</v>
      </c>
      <c r="BQ633" s="50" t="n">
        <v>72</v>
      </c>
      <c r="BR633" s="48"/>
      <c r="BS633" s="53" t="n">
        <v>0</v>
      </c>
      <c r="BT633" s="53" t="n">
        <v>633</v>
      </c>
      <c r="BU633" s="48" t="str">
        <f aca="false">IF(U633&lt;&gt;"",UPPER(TRIM(U633)),IF(BX633=1,UPPER(VLOOKUP(T633,Parameter!$I$27:$K$29,2,0)),IF(P633="","LOSE",P633)))</f>
        <v>S52</v>
      </c>
      <c r="BV633" s="50" t="n">
        <f aca="false">IF(BU633="LOSE",1,IF(N(V633)&gt;0,V633,IF(BX633=1,MAX(1,N(VLOOKUP(T633,Parameter!$I$27:$K$29,3,0)),H633,N(N633)),IF(N(Q633)&gt;0,Q633,MAX(1,H633)))))</f>
        <v>88</v>
      </c>
      <c r="BW633" s="53" t="n">
        <f aca="false">IF(BU633="LOSE",1,0)</f>
        <v>0</v>
      </c>
      <c r="BX633" s="53" t="n">
        <f aca="false">IF(AND(U633="",OR(P633="",P633="LOSE"),T633&lt;&gt;"",N(S633)&lt;=0,ISNUMBER(MATCH(T633,Parameter!$I$27:$I$29,0))),1,0)</f>
        <v>0</v>
      </c>
      <c r="BY633" s="53" t="n">
        <f aca="false">IF(CL633&gt;0,INDEX(Parameter!$H$5:$H$7,W633)/INDEX(Parameter!$E$5:$E$7,W633),IF(AND(BW633=0,N(IFERROR(VLOOKUP(BU633,'Gebinde-Kategorie'!$A$5:$N$45,14,0),0))&gt;0),VLOOKUP(BU633,'Gebinde-Kategorie'!$A$5:$N$45,14,0)*10+Parameter!$M$23,Parameter!$M$24))</f>
        <v>245</v>
      </c>
      <c r="BZ633" s="48" t="str">
        <f aca="false">IF(AND(Parameter!$B$19="Ja",E633&lt;&gt;"",ISNUMBER(MATCH(E633,Parameter!$I$35:$I$52,0))),VLOOKUP(E633,Parameter!$I$35:$J$52,2,0),IFERROR(VLOOKUP(D633,Parameter!$A$35:$C$64,2,0),"Nein"))</f>
        <v>2+3</v>
      </c>
      <c r="CA633" s="52" t="n">
        <f aca="false">IF(BW633=0,0,IF(N(S633)&gt;0,S633,IFERROR(VLOOKUP(D633,Parameter!$A$35:$C$64,3,0)+0,0)))</f>
        <v>0</v>
      </c>
      <c r="CB633" s="48" t="n">
        <f aca="false">IF(AA633&lt;&gt;"",AA633,Z633)</f>
        <v>3</v>
      </c>
      <c r="CC633" s="48" t="str">
        <f aca="false">IF(OR(CB633=1,CB633=2,CB633=3),IF(Parameter!$E$27="Ja","LIFT",IF(CB633=1,"L1","L23")),IF(CB633="Aussen","Aussen","-"))</f>
        <v>LIFT</v>
      </c>
      <c r="CD633" s="59" t="n">
        <f aca="false">IF(N(AB633)&gt;0,AB633,0)</f>
        <v>0</v>
      </c>
      <c r="CE633" s="53" t="n">
        <f aca="false">IF(ISNUMBER(AE633),1,0)</f>
        <v>0</v>
      </c>
      <c r="CF633" s="50" t="n">
        <f aca="false">N(AE633)</f>
        <v>0</v>
      </c>
      <c r="CG633" s="50" t="n">
        <f aca="false">N(M633)+N(N633)</f>
        <v>72</v>
      </c>
      <c r="CH633" s="50" t="n">
        <f aca="false">ROUNDUP(H633/BV633,0)</f>
        <v>1</v>
      </c>
      <c r="CI633" s="50" t="n">
        <f aca="false">ROUNDUP(CF633/BV633,0)</f>
        <v>0</v>
      </c>
      <c r="CJ633" s="53" t="n">
        <f aca="false">IF(BW633=1,0,IFERROR(VLOOKUP(BU633,'Gebinde-Kategorie'!$A$5:$N$45,5,0)+0,0))</f>
        <v>21</v>
      </c>
      <c r="CK633" s="53" t="n">
        <f aca="false">IFERROR(IF(OR(CB633=1,CB633=2,CB633=3),N(INDEX(Parameter!$I$5:$I$7,CB633)),0),0)</f>
        <v>0</v>
      </c>
      <c r="CL633" s="52" t="n">
        <f aca="false">IF(AND(Parameter!$B$21="Ja",ISNUMBER(W633),N(X633)&gt;0),IFERROR(N(INDEX(Parameter!$L$5:$L$7,W633))*INDEX(Parameter!$E$5:$E$7,W633)*X633/SUMIFS($X$7:$X$1843,$W$7:$W$1843,W633),0),0)</f>
        <v>0</v>
      </c>
    </row>
    <row r="634" customFormat="false" ht="15" hidden="false" customHeight="false" outlineLevel="0" collapsed="false">
      <c r="A634" s="48" t="s">
        <v>1299</v>
      </c>
      <c r="B634" s="48" t="s">
        <v>896</v>
      </c>
      <c r="C634" s="48" t="s">
        <v>168</v>
      </c>
      <c r="D634" s="48" t="s">
        <v>188</v>
      </c>
      <c r="E634" s="48" t="s">
        <v>189</v>
      </c>
      <c r="F634" s="48" t="s">
        <v>222</v>
      </c>
      <c r="G634" s="49" t="n">
        <v>0.66</v>
      </c>
      <c r="H634" s="50" t="n">
        <f aca="false">MAX(0,IF(AND(Parameter!$B$21="Ja",ISNUMBER(Y634)),Y634,IF(Parameter!$B$20="Jahresanfang 2025 + Export",BO634+BN634,BN634)))</f>
        <v>23</v>
      </c>
      <c r="I634" s="50" t="n">
        <f aca="false">H634*G634</f>
        <v>15.18</v>
      </c>
      <c r="J634" s="50" t="n">
        <f aca="false">BQ634*Parameter!$B$18</f>
        <v>1</v>
      </c>
      <c r="K634" s="51" t="n">
        <v>15</v>
      </c>
      <c r="L634" s="52" t="n">
        <v>0.0666666666666667</v>
      </c>
      <c r="M634" s="50" t="n">
        <v>0</v>
      </c>
      <c r="N634" s="50" t="n">
        <v>1</v>
      </c>
      <c r="O634" s="53" t="n">
        <v>28</v>
      </c>
      <c r="P634" s="48" t="s">
        <v>430</v>
      </c>
      <c r="Q634" s="50" t="n">
        <v>11</v>
      </c>
      <c r="R634" s="53" t="n">
        <f aca="false">IF(BW634=1,0,IFERROR(VLOOKUP(BU634,'Gebinde-Kategorie'!$A$5:$N$45,13,0)+0,0))</f>
        <v>140</v>
      </c>
      <c r="S634" s="54"/>
      <c r="T634" s="55"/>
      <c r="U634" s="55"/>
      <c r="V634" s="55"/>
      <c r="W634" s="48"/>
      <c r="X634" s="50"/>
      <c r="Y634" s="50"/>
      <c r="Z634" s="48" t="n">
        <f aca="false">IF(A634="","",IF(AND(Parameter!$B$21="Ja",ISNUMBER(W634)),W634,IF(BZ634="2+3",IF(ISNUMBER(SEARCH("grosser Artikel",BR634)),2,IFERROR(VLOOKUP(BU634,Parameter!$F$35:$G$64,2,0),2)),IF(OR(BZ634="Nein",BZ634=""),"-",BZ634))))</f>
        <v>3</v>
      </c>
      <c r="AA634" s="55"/>
      <c r="AB634" s="56"/>
      <c r="AC634" s="50" t="n">
        <f aca="false">AT634</f>
        <v>11</v>
      </c>
      <c r="AD634" s="50" t="n">
        <f aca="false">MAX(AT634,H634)</f>
        <v>23</v>
      </c>
      <c r="AE634" s="57"/>
      <c r="AF634" s="50" t="n">
        <f aca="false">IF(LEFT(Cockpit!$C$5,1)="A",H634,IF(CE634=1,CF634,IF(LEFT(Cockpit!$C$5,1)="B",AK634,MAX(AK634,H634))))</f>
        <v>23</v>
      </c>
      <c r="AG634" s="50" t="n">
        <f aca="false">IF(BW634=1,0,ROUNDUP(AF634/BV634,0))</f>
        <v>3</v>
      </c>
      <c r="AH634" s="52" t="n">
        <f aca="false">IF(CL634&gt;0,CL634*MAX(1,AF634/X634),IF(BW634=1,IF(AF634&lt;=0,0,CA634*MAX(1,IF(H634&gt;0,AF634/H634,1))),IF(R634&gt;0,AG634/R634,0))/MAX(0.1,N(Parameter!$M$21)))</f>
        <v>0.0214285714285714</v>
      </c>
      <c r="AI634" s="50" t="n">
        <f aca="false">AH634*BY634</f>
        <v>3.32142857142857</v>
      </c>
      <c r="AJ634" s="50" t="n">
        <f aca="false">AF634*G634</f>
        <v>15.18</v>
      </c>
      <c r="AK634" s="50" t="n">
        <f aca="false">ROUNDUP(MAX(J634/IF(CD634&gt;0,CD634,MAX(0.1,N(Cockpit!$C$6))),CG634)/BV634,0)*BV634</f>
        <v>11</v>
      </c>
      <c r="AL634" s="51" t="n">
        <f aca="false">IF(AI634&gt;0,J634/AI634,-1)</f>
        <v>0.301075268817204</v>
      </c>
      <c r="AM634" s="51" t="n">
        <f aca="false">IF(AND(OR(CC634="L1",CC634="L23",CC634="LIFT"),AI634&gt;0),SUMIFS($AI$7:$AI$1843,$CC$7:$CC$1843,CC634,$AL$7:$AL$1843,"&gt;"&amp;AL634)+SUMIFS($AI$7:$AI$1843,$CC$7:$CC$1843,CC634,$AL$7:$AL$1843,AL634,$BT$7:$BT$1843,"&lt;="&amp;BT634),"")</f>
        <v>11447.7702629292</v>
      </c>
      <c r="AN634" s="58" t="n">
        <f aca="false">IF(AM634="",0,MAX(0,MIN(1,(IF(CC634="L1",Parameter!$H$5,IF(CC634="L23",Parameter!$H$6+Parameter!$H$7,Parameter!$H$5+Parameter!$H$6+Parameter!$H$7))-(AM634-AI634))/AI634)))</f>
        <v>1</v>
      </c>
      <c r="AO634" s="50" t="n">
        <f aca="false">IF(LEFT(Cockpit!$I$5,1)="A",H634,IF(CE634=1,CF634,IF(LEFT(Cockpit!$I$5,1)="B",AT634,MAX(AT634,H634))))</f>
        <v>23</v>
      </c>
      <c r="AP634" s="50" t="n">
        <f aca="false">IF(BW634=1,0,ROUNDUP(AO634/BV634,0))</f>
        <v>3</v>
      </c>
      <c r="AQ634" s="52" t="n">
        <f aca="false">IF(CL634&gt;0,CL634*MAX(1,AO634/X634),IF(BW634=1,IF(AO634&lt;=0,0,CA634*MAX(1,IF(H634&gt;0,AO634/H634,1))),IF(R634&gt;0,AP634/R634,0))/MAX(0.1,N(Parameter!$M$21)))</f>
        <v>0.0214285714285714</v>
      </c>
      <c r="AR634" s="50" t="n">
        <f aca="false">AQ634*BY634</f>
        <v>3.32142857142857</v>
      </c>
      <c r="AS634" s="50" t="n">
        <f aca="false">AO634*G634</f>
        <v>15.18</v>
      </c>
      <c r="AT634" s="50" t="n">
        <f aca="false">ROUNDUP(MAX(J634/IF(CD634&gt;0,CD634,MAX(0.1,N(Cockpit!$I$6))),CG634)/BV634,0)*BV634</f>
        <v>11</v>
      </c>
      <c r="AU634" s="51" t="n">
        <f aca="false">IF(AR634&gt;0,J634/AR634,-1)</f>
        <v>0.301075268817204</v>
      </c>
      <c r="AV634" s="51" t="n">
        <f aca="false">IF(AND(OR(CC634="L1",CC634="L23",CC634="LIFT"),AR634&gt;0),SUMIFS($AR$7:$AR$1843,$CC$7:$CC$1843,CC634,$AU$7:$AU$1843,"&gt;"&amp;AU634)+SUMIFS($AR$7:$AR$1843,$CC$7:$CC$1843,CC634,$AU$7:$AU$1843,AU634,$BT$7:$BT$1843,"&lt;="&amp;BT634),"")</f>
        <v>16871.8017399267</v>
      </c>
      <c r="AW634" s="58" t="n">
        <f aca="false">IF(AV634="",0,MAX(0,MIN(1,(IF(CC634="L1",Parameter!$H$5,IF(CC634="L23",Parameter!$H$6+Parameter!$H$7,Parameter!$H$5+Parameter!$H$6+Parameter!$H$7))-(AV634-AR634))/AR634)))</f>
        <v>1</v>
      </c>
      <c r="AX634" s="50" t="n">
        <f aca="false">IF(LEFT(Cockpit!$O$5,1)="A",H634,IF(CE634=1,CF634,IF(LEFT(Cockpit!$O$5,1)="B",BC634,MAX(BC634,H634))))</f>
        <v>23</v>
      </c>
      <c r="AY634" s="50" t="n">
        <f aca="false">IF(BW634=1,0,ROUNDUP(AX634/BV634,0))</f>
        <v>3</v>
      </c>
      <c r="AZ634" s="52" t="n">
        <f aca="false">IF(CL634&gt;0,CL634*MAX(1,AX634/X634),IF(BW634=1,IF(AX634&lt;=0,0,CA634*MAX(1,IF(H634&gt;0,AX634/H634,1))),IF(R634&gt;0,AY634/R634,0))/MAX(0.1,N(Parameter!$M$21)))</f>
        <v>0.0214285714285714</v>
      </c>
      <c r="BA634" s="50" t="n">
        <f aca="false">AZ634*BY634</f>
        <v>3.32142857142857</v>
      </c>
      <c r="BB634" s="50" t="n">
        <f aca="false">AX634*G634</f>
        <v>15.18</v>
      </c>
      <c r="BC634" s="50" t="n">
        <f aca="false">ROUNDUP(MAX(J634/IF(CD634&gt;0,CD634,MAX(0.1,N(Cockpit!$O$6))),CG634)/BV634,0)*BV634</f>
        <v>11</v>
      </c>
      <c r="BD634" s="51" t="n">
        <f aca="false">IF(BA634&gt;0,J634/BA634,-1)</f>
        <v>0.301075268817204</v>
      </c>
      <c r="BE634" s="51" t="n">
        <f aca="false">IF(AND(OR(CC634="L1",CC634="L23",CC634="LIFT"),BA634&gt;0),SUMIFS($BA$7:$BA$1843,$CC$7:$CC$1843,CC634,$BD$7:$BD$1843,"&gt;"&amp;BD634)+SUMIFS($BA$7:$BA$1843,$CC$7:$CC$1843,CC634,$BD$7:$BD$1843,BD634,$BT$7:$BT$1843,"&lt;="&amp;BT634),"")</f>
        <v>15387.4587912088</v>
      </c>
      <c r="BF634" s="58" t="n">
        <f aca="false">IF(BE634="",0,MAX(0,MIN(1,(IF(CC634="L1",Parameter!$H$5,IF(CC634="L23",Parameter!$H$6+Parameter!$H$7,Parameter!$H$5+Parameter!$H$6+Parameter!$H$7))-(BE634-BA634))/BA634)))</f>
        <v>1</v>
      </c>
      <c r="BG634" s="48" t="str">
        <f aca="false">IF(AI634&lt;=0,"",IF(CC634="Aussen","Aussenlager",IF(CC634="-","Nicht im Lift",IF(AN634&gt;=1,"Lift",IF(AN634&lt;=0,"Aussenlager","teilweise")))))</f>
        <v>Lift</v>
      </c>
      <c r="BH634" s="48" t="str">
        <f aca="false">IF(AR634&lt;=0,"",IF(CC634="Aussen","Aussenlager",IF(CC634="-","Nicht im Lift",IF(AW634&gt;=1,"Lift",IF(AW634&lt;=0,"Aussenlager","teilweise")))))</f>
        <v>Lift</v>
      </c>
      <c r="BI634" s="48" t="str">
        <f aca="false">IF(BA634&lt;=0,"",IF(CC634="Aussen","Aussenlager",IF(CC634="-","Nicht im Lift",IF(BF634&gt;=1,"Lift",IF(BF634&lt;=0,"Aussenlager","teilweise")))))</f>
        <v>Lift</v>
      </c>
      <c r="BJ634" s="48" t="str">
        <f aca="false">IF(A634="","",IF(BS634=1,"Neu; ","")&amp;IF(AND(BS634=0,BN634&lt;0),"negativer Bestand (Export "&amp;BN634&amp;"); ","")&amp;IF(J634&lt;=0,"Kein Verbrauch; ","")&amp;IF(CL634&gt;0,"Lift "&amp;W634&amp;" lt. Liftbericht (Fach "&amp;X634&amp;" Stk); ",IF(BX634=1,"Gebinde geschätzt ("&amp;T634&amp;"); ",IF(BW634=1,"Lose – Tablare geschätzt; ","")))&amp;IF(H634&gt;AT634,"Überbestand "&amp;ROUND(H634-AT634,0)&amp;" Stk / CHF "&amp;ROUND((H634-AT634)*G634,0)&amp;"; ","")&amp;IF(AND(CE634=1,CF634&lt;CG634),"MAX &lt; MB+LG; ","")&amp;IF(AND(CK634&gt;0,CJ634*10&gt;CK634),"zu hoch für Tablar; ","")&amp;IF(AND(BS634=0,OR(CE634=1,AA634&lt;&gt;"",U634&lt;&gt;"",V634&lt;&gt;"",AB634&lt;&gt;"")),"manuell übersteuert; ","")&amp;IF(AND(BW634=0,R634=0),"Gebinde unbekannt / Stellmass fehlt; ","")&amp;IF(AND(BW634=0,N(V634)&lt;=0,N(Q634)&lt;=0),"Menge pro Gebinde fehlt (Ist = 1 Gebinde); ","")&amp;BR634)</f>
        <v>Überbestand 12 Stk / CHF 8; </v>
      </c>
      <c r="BK634" s="48"/>
      <c r="BL634" s="48"/>
      <c r="BM634" s="55"/>
      <c r="BN634" s="50" t="n">
        <v>17</v>
      </c>
      <c r="BO634" s="50" t="n">
        <v>6</v>
      </c>
      <c r="BP634" s="49" t="n">
        <v>1.38</v>
      </c>
      <c r="BQ634" s="50" t="n">
        <v>1</v>
      </c>
      <c r="BR634" s="48"/>
      <c r="BS634" s="53" t="n">
        <v>0</v>
      </c>
      <c r="BT634" s="53" t="n">
        <v>634</v>
      </c>
      <c r="BU634" s="48" t="str">
        <f aca="false">IF(U634&lt;&gt;"",UPPER(TRIM(U634)),IF(BX634=1,UPPER(VLOOKUP(T634,Parameter!$I$27:$K$29,2,0)),IF(P634="","LOSE",P634)))</f>
        <v>S22</v>
      </c>
      <c r="BV634" s="50" t="n">
        <f aca="false">IF(BU634="LOSE",1,IF(N(V634)&gt;0,V634,IF(BX634=1,MAX(1,N(VLOOKUP(T634,Parameter!$I$27:$K$29,3,0)),H634,N(N634)),IF(N(Q634)&gt;0,Q634,MAX(1,H634)))))</f>
        <v>11</v>
      </c>
      <c r="BW634" s="53" t="n">
        <f aca="false">IF(BU634="LOSE",1,0)</f>
        <v>0</v>
      </c>
      <c r="BX634" s="53" t="n">
        <f aca="false">IF(AND(U634="",OR(P634="",P634="LOSE"),T634&lt;&gt;"",N(S634)&lt;=0,ISNUMBER(MATCH(T634,Parameter!$I$27:$I$29,0))),1,0)</f>
        <v>0</v>
      </c>
      <c r="BY634" s="53" t="n">
        <f aca="false">IF(CL634&gt;0,INDEX(Parameter!$H$5:$H$7,W634)/INDEX(Parameter!$E$5:$E$7,W634),IF(AND(BW634=0,N(IFERROR(VLOOKUP(BU634,'Gebinde-Kategorie'!$A$5:$N$45,14,0),0))&gt;0),VLOOKUP(BU634,'Gebinde-Kategorie'!$A$5:$N$45,14,0)*10+Parameter!$M$23,Parameter!$M$24))</f>
        <v>155</v>
      </c>
      <c r="BZ634" s="48" t="str">
        <f aca="false">IF(AND(Parameter!$B$19="Ja",E634&lt;&gt;"",ISNUMBER(MATCH(E634,Parameter!$I$35:$I$52,0))),VLOOKUP(E634,Parameter!$I$35:$J$52,2,0),IFERROR(VLOOKUP(D634,Parameter!$A$35:$C$64,2,0),"Nein"))</f>
        <v>2+3</v>
      </c>
      <c r="CA634" s="52" t="n">
        <f aca="false">IF(BW634=0,0,IF(N(S634)&gt;0,S634,IFERROR(VLOOKUP(D634,Parameter!$A$35:$C$64,3,0)+0,0)))</f>
        <v>0</v>
      </c>
      <c r="CB634" s="48" t="n">
        <f aca="false">IF(AA634&lt;&gt;"",AA634,Z634)</f>
        <v>3</v>
      </c>
      <c r="CC634" s="48" t="str">
        <f aca="false">IF(OR(CB634=1,CB634=2,CB634=3),IF(Parameter!$E$27="Ja","LIFT",IF(CB634=1,"L1","L23")),IF(CB634="Aussen","Aussen","-"))</f>
        <v>LIFT</v>
      </c>
      <c r="CD634" s="59" t="n">
        <f aca="false">IF(N(AB634)&gt;0,AB634,0)</f>
        <v>0</v>
      </c>
      <c r="CE634" s="53" t="n">
        <f aca="false">IF(ISNUMBER(AE634),1,0)</f>
        <v>0</v>
      </c>
      <c r="CF634" s="50" t="n">
        <f aca="false">N(AE634)</f>
        <v>0</v>
      </c>
      <c r="CG634" s="50" t="n">
        <f aca="false">N(M634)+N(N634)</f>
        <v>1</v>
      </c>
      <c r="CH634" s="50" t="n">
        <f aca="false">ROUNDUP(H634/BV634,0)</f>
        <v>3</v>
      </c>
      <c r="CI634" s="50" t="n">
        <f aca="false">ROUNDUP(CF634/BV634,0)</f>
        <v>0</v>
      </c>
      <c r="CJ634" s="53" t="n">
        <f aca="false">IF(BW634=1,0,IFERROR(VLOOKUP(BU634,'Gebinde-Kategorie'!$A$5:$N$45,5,0)+0,0))</f>
        <v>8</v>
      </c>
      <c r="CK634" s="53" t="n">
        <f aca="false">IFERROR(IF(OR(CB634=1,CB634=2,CB634=3),N(INDEX(Parameter!$I$5:$I$7,CB634)),0),0)</f>
        <v>0</v>
      </c>
      <c r="CL634" s="52" t="n">
        <f aca="false">IF(AND(Parameter!$B$21="Ja",ISNUMBER(W634),N(X634)&gt;0),IFERROR(N(INDEX(Parameter!$L$5:$L$7,W634))*INDEX(Parameter!$E$5:$E$7,W634)*X634/SUMIFS($X$7:$X$1843,$W$7:$W$1843,W634),0),0)</f>
        <v>0</v>
      </c>
    </row>
    <row r="635" customFormat="false" ht="15" hidden="false" customHeight="false" outlineLevel="0" collapsed="false">
      <c r="A635" s="48" t="s">
        <v>1300</v>
      </c>
      <c r="B635" s="48" t="s">
        <v>1266</v>
      </c>
      <c r="C635" s="48" t="s">
        <v>168</v>
      </c>
      <c r="D635" s="48" t="s">
        <v>188</v>
      </c>
      <c r="E635" s="48" t="s">
        <v>189</v>
      </c>
      <c r="F635" s="48" t="s">
        <v>222</v>
      </c>
      <c r="G635" s="49" t="n">
        <v>0.05</v>
      </c>
      <c r="H635" s="50" t="n">
        <f aca="false">MAX(0,IF(AND(Parameter!$B$21="Ja",ISNUMBER(Y635)),Y635,IF(Parameter!$B$20="Jahresanfang 2025 + Export",BO635+BN635,BN635)))</f>
        <v>29</v>
      </c>
      <c r="I635" s="50" t="n">
        <f aca="false">H635*G635</f>
        <v>1.45</v>
      </c>
      <c r="J635" s="50" t="n">
        <f aca="false">BQ635*Parameter!$B$18</f>
        <v>0</v>
      </c>
      <c r="K635" s="51" t="n">
        <v>30.5</v>
      </c>
      <c r="L635" s="52" t="n">
        <v>0</v>
      </c>
      <c r="M635" s="50" t="n">
        <v>1</v>
      </c>
      <c r="N635" s="50" t="n">
        <v>50</v>
      </c>
      <c r="O635" s="53" t="n">
        <v>14</v>
      </c>
      <c r="P635" s="48" t="s">
        <v>405</v>
      </c>
      <c r="Q635" s="50" t="n">
        <v>38</v>
      </c>
      <c r="R635" s="53" t="n">
        <f aca="false">IF(BW635=1,0,IFERROR(VLOOKUP(BU635,'Gebinde-Kategorie'!$A$5:$N$45,13,0)+0,0))</f>
        <v>280</v>
      </c>
      <c r="S635" s="54"/>
      <c r="T635" s="55"/>
      <c r="U635" s="55"/>
      <c r="V635" s="55"/>
      <c r="W635" s="48"/>
      <c r="X635" s="50"/>
      <c r="Y635" s="50"/>
      <c r="Z635" s="48" t="n">
        <f aca="false">IF(A635="","",IF(AND(Parameter!$B$21="Ja",ISNUMBER(W635)),W635,IF(BZ635="2+3",IF(ISNUMBER(SEARCH("grosser Artikel",BR635)),2,IFERROR(VLOOKUP(BU635,Parameter!$F$35:$G$64,2,0),2)),IF(OR(BZ635="Nein",BZ635=""),"-",BZ635))))</f>
        <v>3</v>
      </c>
      <c r="AA635" s="55"/>
      <c r="AB635" s="56"/>
      <c r="AC635" s="50" t="n">
        <f aca="false">AT635</f>
        <v>76</v>
      </c>
      <c r="AD635" s="50" t="n">
        <f aca="false">MAX(AT635,H635)</f>
        <v>76</v>
      </c>
      <c r="AE635" s="57"/>
      <c r="AF635" s="50" t="n">
        <f aca="false">IF(LEFT(Cockpit!$C$5,1)="A",H635,IF(CE635=1,CF635,IF(LEFT(Cockpit!$C$5,1)="B",AK635,MAX(AK635,H635))))</f>
        <v>29</v>
      </c>
      <c r="AG635" s="50" t="n">
        <f aca="false">IF(BW635=1,0,ROUNDUP(AF635/BV635,0))</f>
        <v>1</v>
      </c>
      <c r="AH635" s="52" t="n">
        <f aca="false">IF(CL635&gt;0,CL635*MAX(1,AF635/X635),IF(BW635=1,IF(AF635&lt;=0,0,CA635*MAX(1,IF(H635&gt;0,AF635/H635,1))),IF(R635&gt;0,AG635/R635,0))/MAX(0.1,N(Parameter!$M$21)))</f>
        <v>0.00357142857142857</v>
      </c>
      <c r="AI635" s="50" t="n">
        <f aca="false">AH635*BY635</f>
        <v>0.553571428571429</v>
      </c>
      <c r="AJ635" s="50" t="n">
        <f aca="false">AF635*G635</f>
        <v>1.45</v>
      </c>
      <c r="AK635" s="50" t="n">
        <f aca="false">ROUNDUP(MAX(J635/IF(CD635&gt;0,CD635,MAX(0.1,N(Cockpit!$C$6))),CG635)/BV635,0)*BV635</f>
        <v>76</v>
      </c>
      <c r="AL635" s="51" t="n">
        <f aca="false">IF(AI635&gt;0,J635/AI635,-1)</f>
        <v>0</v>
      </c>
      <c r="AM635" s="51" t="n">
        <f aca="false">IF(AND(OR(CC635="L1",CC635="L23",CC635="LIFT"),AI635&gt;0),SUMIFS($AI$7:$AI$1843,$CC$7:$CC$1843,CC635,$AL$7:$AL$1843,"&gt;"&amp;AL635)+SUMIFS($AI$7:$AI$1843,$CC$7:$CC$1843,CC635,$AL$7:$AL$1843,AL635,$BT$7:$BT$1843,"&lt;="&amp;BT635),"")</f>
        <v>28575.3238860951</v>
      </c>
      <c r="AN635" s="58" t="n">
        <f aca="false">IF(AM635="",0,MAX(0,MIN(1,(IF(CC635="L1",Parameter!$H$5,IF(CC635="L23",Parameter!$H$6+Parameter!$H$7,Parameter!$H$5+Parameter!$H$6+Parameter!$H$7))-(AM635-AI635))/AI635)))</f>
        <v>1</v>
      </c>
      <c r="AO635" s="50" t="n">
        <f aca="false">IF(LEFT(Cockpit!$I$5,1)="A",H635,IF(CE635=1,CF635,IF(LEFT(Cockpit!$I$5,1)="B",AT635,MAX(AT635,H635))))</f>
        <v>76</v>
      </c>
      <c r="AP635" s="50" t="n">
        <f aca="false">IF(BW635=1,0,ROUNDUP(AO635/BV635,0))</f>
        <v>2</v>
      </c>
      <c r="AQ635" s="52" t="n">
        <f aca="false">IF(CL635&gt;0,CL635*MAX(1,AO635/X635),IF(BW635=1,IF(AO635&lt;=0,0,CA635*MAX(1,IF(H635&gt;0,AO635/H635,1))),IF(R635&gt;0,AP635/R635,0))/MAX(0.1,N(Parameter!$M$21)))</f>
        <v>0.00714285714285714</v>
      </c>
      <c r="AR635" s="50" t="n">
        <f aca="false">AQ635*BY635</f>
        <v>1.10714285714286</v>
      </c>
      <c r="AS635" s="50" t="n">
        <f aca="false">AO635*G635</f>
        <v>3.8</v>
      </c>
      <c r="AT635" s="50" t="n">
        <f aca="false">ROUNDUP(MAX(J635/IF(CD635&gt;0,CD635,MAX(0.1,N(Cockpit!$I$6))),CG635)/BV635,0)*BV635</f>
        <v>76</v>
      </c>
      <c r="AU635" s="51" t="n">
        <f aca="false">IF(AR635&gt;0,J635/AR635,-1)</f>
        <v>0</v>
      </c>
      <c r="AV635" s="51" t="n">
        <f aca="false">IF(AND(OR(CC635="L1",CC635="L23",CC635="LIFT"),AR635&gt;0),SUMIFS($AR$7:$AR$1843,$CC$7:$CC$1843,CC635,$AU$7:$AU$1843,"&gt;"&amp;AU635)+SUMIFS($AR$7:$AR$1843,$CC$7:$CC$1843,CC635,$AU$7:$AU$1843,AU635,$BT$7:$BT$1843,"&lt;="&amp;BT635),"")</f>
        <v>39894.7445132551</v>
      </c>
      <c r="AW635" s="58" t="n">
        <f aca="false">IF(AV635="",0,MAX(0,MIN(1,(IF(CC635="L1",Parameter!$H$5,IF(CC635="L23",Parameter!$H$6+Parameter!$H$7,Parameter!$H$5+Parameter!$H$6+Parameter!$H$7))-(AV635-AR635))/AR635)))</f>
        <v>0</v>
      </c>
      <c r="AX635" s="50" t="n">
        <f aca="false">IF(LEFT(Cockpit!$O$5,1)="A",H635,IF(CE635=1,CF635,IF(LEFT(Cockpit!$O$5,1)="B",BC635,MAX(BC635,H635))))</f>
        <v>76</v>
      </c>
      <c r="AY635" s="50" t="n">
        <f aca="false">IF(BW635=1,0,ROUNDUP(AX635/BV635,0))</f>
        <v>2</v>
      </c>
      <c r="AZ635" s="52" t="n">
        <f aca="false">IF(CL635&gt;0,CL635*MAX(1,AX635/X635),IF(BW635=1,IF(AX635&lt;=0,0,CA635*MAX(1,IF(H635&gt;0,AX635/H635,1))),IF(R635&gt;0,AY635/R635,0))/MAX(0.1,N(Parameter!$M$21)))</f>
        <v>0.00714285714285714</v>
      </c>
      <c r="BA635" s="50" t="n">
        <f aca="false">AZ635*BY635</f>
        <v>1.10714285714286</v>
      </c>
      <c r="BB635" s="50" t="n">
        <f aca="false">AX635*G635</f>
        <v>3.8</v>
      </c>
      <c r="BC635" s="50" t="n">
        <f aca="false">ROUNDUP(MAX(J635/IF(CD635&gt;0,CD635,MAX(0.1,N(Cockpit!$O$6))),CG635)/BV635,0)*BV635</f>
        <v>76</v>
      </c>
      <c r="BD635" s="51" t="n">
        <f aca="false">IF(BA635&gt;0,J635/BA635,-1)</f>
        <v>0</v>
      </c>
      <c r="BE635" s="51" t="n">
        <f aca="false">IF(AND(OR(CC635="L1",CC635="L23",CC635="LIFT"),BA635&gt;0),SUMIFS($BA$7:$BA$1843,$CC$7:$CC$1843,CC635,$BD$7:$BD$1843,"&gt;"&amp;BD635)+SUMIFS($BA$7:$BA$1843,$CC$7:$CC$1843,CC635,$BD$7:$BD$1843,BD635,$BT$7:$BT$1843,"&lt;="&amp;BT635),"")</f>
        <v>36569.756555121</v>
      </c>
      <c r="BF635" s="58" t="n">
        <f aca="false">IF(BE635="",0,MAX(0,MIN(1,(IF(CC635="L1",Parameter!$H$5,IF(CC635="L23",Parameter!$H$6+Parameter!$H$7,Parameter!$H$5+Parameter!$H$6+Parameter!$H$7))-(BE635-BA635))/BA635)))</f>
        <v>0</v>
      </c>
      <c r="BG635" s="48" t="str">
        <f aca="false">IF(AI635&lt;=0,"",IF(CC635="Aussen","Aussenlager",IF(CC635="-","Nicht im Lift",IF(AN635&gt;=1,"Lift",IF(AN635&lt;=0,"Aussenlager","teilweise")))))</f>
        <v>Lift</v>
      </c>
      <c r="BH635" s="48" t="str">
        <f aca="false">IF(AR635&lt;=0,"",IF(CC635="Aussen","Aussenlager",IF(CC635="-","Nicht im Lift",IF(AW635&gt;=1,"Lift",IF(AW635&lt;=0,"Aussenlager","teilweise")))))</f>
        <v>Aussenlager</v>
      </c>
      <c r="BI635" s="48" t="str">
        <f aca="false">IF(BA635&lt;=0,"",IF(CC635="Aussen","Aussenlager",IF(CC635="-","Nicht im Lift",IF(BF635&gt;=1,"Lift",IF(BF635&lt;=0,"Aussenlager","teilweise")))))</f>
        <v>Aussenlager</v>
      </c>
      <c r="BJ635" s="48" t="str">
        <f aca="false">IF(A635="","",IF(BS635=1,"Neu; ","")&amp;IF(AND(BS635=0,BN635&lt;0),"negativer Bestand (Export "&amp;BN635&amp;"); ","")&amp;IF(J635&lt;=0,"Kein Verbrauch; ","")&amp;IF(CL635&gt;0,"Lift "&amp;W635&amp;" lt. Liftbericht (Fach "&amp;X635&amp;" Stk); ",IF(BX635=1,"Gebinde geschätzt ("&amp;T635&amp;"); ",IF(BW635=1,"Lose – Tablare geschätzt; ","")))&amp;IF(H635&gt;AT635,"Überbestand "&amp;ROUND(H635-AT635,0)&amp;" Stk / CHF "&amp;ROUND((H635-AT635)*G635,0)&amp;"; ","")&amp;IF(AND(CE635=1,CF635&lt;CG635),"MAX &lt; MB+LG; ","")&amp;IF(AND(CK635&gt;0,CJ635*10&gt;CK635),"zu hoch für Tablar; ","")&amp;IF(AND(BS635=0,OR(CE635=1,AA635&lt;&gt;"",U635&lt;&gt;"",V635&lt;&gt;"",AB635&lt;&gt;"")),"manuell übersteuert; ","")&amp;IF(AND(BW635=0,R635=0),"Gebinde unbekannt / Stellmass fehlt; ","")&amp;IF(AND(BW635=0,N(V635)&lt;=0,N(Q635)&lt;=0),"Menge pro Gebinde fehlt (Ist = 1 Gebinde); ","")&amp;BR635)</f>
        <v>Kein Verbrauch; </v>
      </c>
      <c r="BK635" s="48"/>
      <c r="BL635" s="48"/>
      <c r="BM635" s="55"/>
      <c r="BN635" s="50" t="n">
        <v>24</v>
      </c>
      <c r="BO635" s="50" t="n">
        <v>5</v>
      </c>
      <c r="BP635" s="49" t="n">
        <v>1.2</v>
      </c>
      <c r="BQ635" s="50" t="n">
        <v>0</v>
      </c>
      <c r="BR635" s="48"/>
      <c r="BS635" s="53" t="n">
        <v>0</v>
      </c>
      <c r="BT635" s="53" t="n">
        <v>635</v>
      </c>
      <c r="BU635" s="48" t="str">
        <f aca="false">IF(U635&lt;&gt;"",UPPER(TRIM(U635)),IF(BX635=1,UPPER(VLOOKUP(T635,Parameter!$I$27:$K$29,2,0)),IF(P635="","LOSE",P635)))</f>
        <v>S21</v>
      </c>
      <c r="BV635" s="50" t="n">
        <f aca="false">IF(BU635="LOSE",1,IF(N(V635)&gt;0,V635,IF(BX635=1,MAX(1,N(VLOOKUP(T635,Parameter!$I$27:$K$29,3,0)),H635,N(N635)),IF(N(Q635)&gt;0,Q635,MAX(1,H635)))))</f>
        <v>38</v>
      </c>
      <c r="BW635" s="53" t="n">
        <f aca="false">IF(BU635="LOSE",1,0)</f>
        <v>0</v>
      </c>
      <c r="BX635" s="53" t="n">
        <f aca="false">IF(AND(U635="",OR(P635="",P635="LOSE"),T635&lt;&gt;"",N(S635)&lt;=0,ISNUMBER(MATCH(T635,Parameter!$I$27:$I$29,0))),1,0)</f>
        <v>0</v>
      </c>
      <c r="BY635" s="53" t="n">
        <f aca="false">IF(CL635&gt;0,INDEX(Parameter!$H$5:$H$7,W635)/INDEX(Parameter!$E$5:$E$7,W635),IF(AND(BW635=0,N(IFERROR(VLOOKUP(BU635,'Gebinde-Kategorie'!$A$5:$N$45,14,0),0))&gt;0),VLOOKUP(BU635,'Gebinde-Kategorie'!$A$5:$N$45,14,0)*10+Parameter!$M$23,Parameter!$M$24))</f>
        <v>155</v>
      </c>
      <c r="BZ635" s="48" t="str">
        <f aca="false">IF(AND(Parameter!$B$19="Ja",E635&lt;&gt;"",ISNUMBER(MATCH(E635,Parameter!$I$35:$I$52,0))),VLOOKUP(E635,Parameter!$I$35:$J$52,2,0),IFERROR(VLOOKUP(D635,Parameter!$A$35:$C$64,2,0),"Nein"))</f>
        <v>2+3</v>
      </c>
      <c r="CA635" s="52" t="n">
        <f aca="false">IF(BW635=0,0,IF(N(S635)&gt;0,S635,IFERROR(VLOOKUP(D635,Parameter!$A$35:$C$64,3,0)+0,0)))</f>
        <v>0</v>
      </c>
      <c r="CB635" s="48" t="n">
        <f aca="false">IF(AA635&lt;&gt;"",AA635,Z635)</f>
        <v>3</v>
      </c>
      <c r="CC635" s="48" t="str">
        <f aca="false">IF(OR(CB635=1,CB635=2,CB635=3),IF(Parameter!$E$27="Ja","LIFT",IF(CB635=1,"L1","L23")),IF(CB635="Aussen","Aussen","-"))</f>
        <v>LIFT</v>
      </c>
      <c r="CD635" s="59" t="n">
        <f aca="false">IF(N(AB635)&gt;0,AB635,0)</f>
        <v>0</v>
      </c>
      <c r="CE635" s="53" t="n">
        <f aca="false">IF(ISNUMBER(AE635),1,0)</f>
        <v>0</v>
      </c>
      <c r="CF635" s="50" t="n">
        <f aca="false">N(AE635)</f>
        <v>0</v>
      </c>
      <c r="CG635" s="50" t="n">
        <f aca="false">N(M635)+N(N635)</f>
        <v>51</v>
      </c>
      <c r="CH635" s="50" t="n">
        <f aca="false">ROUNDUP(H635/BV635,0)</f>
        <v>1</v>
      </c>
      <c r="CI635" s="50" t="n">
        <f aca="false">ROUNDUP(CF635/BV635,0)</f>
        <v>0</v>
      </c>
      <c r="CJ635" s="53" t="n">
        <f aca="false">IF(BW635=1,0,IFERROR(VLOOKUP(BU635,'Gebinde-Kategorie'!$A$5:$N$45,5,0)+0,0))</f>
        <v>8</v>
      </c>
      <c r="CK635" s="53" t="n">
        <f aca="false">IFERROR(IF(OR(CB635=1,CB635=2,CB635=3),N(INDEX(Parameter!$I$5:$I$7,CB635)),0),0)</f>
        <v>0</v>
      </c>
      <c r="CL635" s="52" t="n">
        <f aca="false">IF(AND(Parameter!$B$21="Ja",ISNUMBER(W635),N(X635)&gt;0),IFERROR(N(INDEX(Parameter!$L$5:$L$7,W635))*INDEX(Parameter!$E$5:$E$7,W635)*X635/SUMIFS($X$7:$X$1843,$W$7:$W$1843,W635),0),0)</f>
        <v>0</v>
      </c>
    </row>
    <row r="636" customFormat="false" ht="15" hidden="false" customHeight="false" outlineLevel="0" collapsed="false">
      <c r="A636" s="48" t="s">
        <v>1301</v>
      </c>
      <c r="B636" s="48" t="s">
        <v>409</v>
      </c>
      <c r="C636" s="48" t="s">
        <v>168</v>
      </c>
      <c r="D636" s="48" t="s">
        <v>188</v>
      </c>
      <c r="E636" s="48" t="s">
        <v>189</v>
      </c>
      <c r="F636" s="48" t="s">
        <v>222</v>
      </c>
      <c r="G636" s="49" t="n">
        <v>0.12</v>
      </c>
      <c r="H636" s="50" t="n">
        <f aca="false">MAX(0,IF(AND(Parameter!$B$21="Ja",ISNUMBER(Y636)),Y636,IF(Parameter!$B$20="Jahresanfang 2025 + Export",BO636+BN636,BN636)))</f>
        <v>739</v>
      </c>
      <c r="I636" s="50" t="n">
        <f aca="false">H636*G636</f>
        <v>88.68</v>
      </c>
      <c r="J636" s="50" t="n">
        <f aca="false">BQ636*Parameter!$B$18</f>
        <v>1971</v>
      </c>
      <c r="K636" s="51" t="n">
        <v>593.5</v>
      </c>
      <c r="L636" s="52" t="n">
        <v>3.32097725358046</v>
      </c>
      <c r="M636" s="50" t="n">
        <v>114</v>
      </c>
      <c r="N636" s="50" t="n">
        <v>500</v>
      </c>
      <c r="O636" s="53" t="n">
        <v>21</v>
      </c>
      <c r="P636" s="48" t="s">
        <v>237</v>
      </c>
      <c r="Q636" s="50" t="n">
        <v>976</v>
      </c>
      <c r="R636" s="53" t="n">
        <f aca="false">IF(BW636=1,0,IFERROR(VLOOKUP(BU636,'Gebinde-Kategorie'!$A$5:$N$45,13,0)+0,0))</f>
        <v>26</v>
      </c>
      <c r="S636" s="54"/>
      <c r="T636" s="55"/>
      <c r="U636" s="55"/>
      <c r="V636" s="55"/>
      <c r="W636" s="48"/>
      <c r="X636" s="50"/>
      <c r="Y636" s="50"/>
      <c r="Z636" s="48" t="n">
        <f aca="false">IF(A636="","",IF(AND(Parameter!$B$21="Ja",ISNUMBER(W636)),W636,IF(BZ636="2+3",IF(ISNUMBER(SEARCH("grosser Artikel",BR636)),2,IFERROR(VLOOKUP(BU636,Parameter!$F$35:$G$64,2,0),2)),IF(OR(BZ636="Nein",BZ636=""),"-",BZ636))))</f>
        <v>3</v>
      </c>
      <c r="AA636" s="55"/>
      <c r="AB636" s="56"/>
      <c r="AC636" s="50" t="n">
        <f aca="false">AT636</f>
        <v>1952</v>
      </c>
      <c r="AD636" s="50" t="n">
        <f aca="false">MAX(AT636,H636)</f>
        <v>1952</v>
      </c>
      <c r="AE636" s="57"/>
      <c r="AF636" s="50" t="n">
        <f aca="false">IF(LEFT(Cockpit!$C$5,1)="A",H636,IF(CE636=1,CF636,IF(LEFT(Cockpit!$C$5,1)="B",AK636,MAX(AK636,H636))))</f>
        <v>739</v>
      </c>
      <c r="AG636" s="50" t="n">
        <f aca="false">IF(BW636=1,0,ROUNDUP(AF636/BV636,0))</f>
        <v>1</v>
      </c>
      <c r="AH636" s="52" t="n">
        <f aca="false">IF(CL636&gt;0,CL636*MAX(1,AF636/X636),IF(BW636=1,IF(AF636&lt;=0,0,CA636*MAX(1,IF(H636&gt;0,AF636/H636,1))),IF(R636&gt;0,AG636/R636,0))/MAX(0.1,N(Parameter!$M$21)))</f>
        <v>0.0384615384615385</v>
      </c>
      <c r="AI636" s="50" t="n">
        <f aca="false">AH636*BY636</f>
        <v>9.42307692307692</v>
      </c>
      <c r="AJ636" s="50" t="n">
        <f aca="false">AF636*G636</f>
        <v>88.68</v>
      </c>
      <c r="AK636" s="50" t="n">
        <f aca="false">ROUNDUP(MAX(J636/IF(CD636&gt;0,CD636,MAX(0.1,N(Cockpit!$C$6))),CG636)/BV636,0)*BV636</f>
        <v>1952</v>
      </c>
      <c r="AL636" s="51" t="n">
        <f aca="false">IF(AI636&gt;0,J636/AI636,-1)</f>
        <v>209.167346938776</v>
      </c>
      <c r="AM636" s="51" t="n">
        <f aca="false">IF(AND(OR(CC636="L1",CC636="L23",CC636="LIFT"),AI636&gt;0),SUMIFS($AI$7:$AI$1843,$CC$7:$CC$1843,CC636,$AL$7:$AL$1843,"&gt;"&amp;AL636)+SUMIFS($AI$7:$AI$1843,$CC$7:$CC$1843,CC636,$AL$7:$AL$1843,AL636,$BT$7:$BT$1843,"&lt;="&amp;BT636),"")</f>
        <v>338.397435897436</v>
      </c>
      <c r="AN636" s="58" t="n">
        <f aca="false">IF(AM636="",0,MAX(0,MIN(1,(IF(CC636="L1",Parameter!$H$5,IF(CC636="L23",Parameter!$H$6+Parameter!$H$7,Parameter!$H$5+Parameter!$H$6+Parameter!$H$7))-(AM636-AI636))/AI636)))</f>
        <v>1</v>
      </c>
      <c r="AO636" s="50" t="n">
        <f aca="false">IF(LEFT(Cockpit!$I$5,1)="A",H636,IF(CE636=1,CF636,IF(LEFT(Cockpit!$I$5,1)="B",AT636,MAX(AT636,H636))))</f>
        <v>1952</v>
      </c>
      <c r="AP636" s="50" t="n">
        <f aca="false">IF(BW636=1,0,ROUNDUP(AO636/BV636,0))</f>
        <v>2</v>
      </c>
      <c r="AQ636" s="52" t="n">
        <f aca="false">IF(CL636&gt;0,CL636*MAX(1,AO636/X636),IF(BW636=1,IF(AO636&lt;=0,0,CA636*MAX(1,IF(H636&gt;0,AO636/H636,1))),IF(R636&gt;0,AP636/R636,0))/MAX(0.1,N(Parameter!$M$21)))</f>
        <v>0.0769230769230769</v>
      </c>
      <c r="AR636" s="50" t="n">
        <f aca="false">AQ636*BY636</f>
        <v>18.8461538461538</v>
      </c>
      <c r="AS636" s="50" t="n">
        <f aca="false">AO636*G636</f>
        <v>234.24</v>
      </c>
      <c r="AT636" s="50" t="n">
        <f aca="false">ROUNDUP(MAX(J636/IF(CD636&gt;0,CD636,MAX(0.1,N(Cockpit!$I$6))),CG636)/BV636,0)*BV636</f>
        <v>1952</v>
      </c>
      <c r="AU636" s="51" t="n">
        <f aca="false">IF(AR636&gt;0,J636/AR636,-1)</f>
        <v>104.583673469388</v>
      </c>
      <c r="AV636" s="51" t="n">
        <f aca="false">IF(AND(OR(CC636="L1",CC636="L23",CC636="LIFT"),AR636&gt;0),SUMIFS($AR$7:$AR$1843,$CC$7:$CC$1843,CC636,$AU$7:$AU$1843,"&gt;"&amp;AU636)+SUMIFS($AR$7:$AR$1843,$CC$7:$CC$1843,CC636,$AU$7:$AU$1843,AU636,$BT$7:$BT$1843,"&lt;="&amp;BT636),"")</f>
        <v>891.166666666667</v>
      </c>
      <c r="AW636" s="58" t="n">
        <f aca="false">IF(AV636="",0,MAX(0,MIN(1,(IF(CC636="L1",Parameter!$H$5,IF(CC636="L23",Parameter!$H$6+Parameter!$H$7,Parameter!$H$5+Parameter!$H$6+Parameter!$H$7))-(AV636-AR636))/AR636)))</f>
        <v>1</v>
      </c>
      <c r="AX636" s="50" t="n">
        <f aca="false">IF(LEFT(Cockpit!$O$5,1)="A",H636,IF(CE636=1,CF636,IF(LEFT(Cockpit!$O$5,1)="B",BC636,MAX(BC636,H636))))</f>
        <v>976</v>
      </c>
      <c r="AY636" s="50" t="n">
        <f aca="false">IF(BW636=1,0,ROUNDUP(AX636/BV636,0))</f>
        <v>1</v>
      </c>
      <c r="AZ636" s="52" t="n">
        <f aca="false">IF(CL636&gt;0,CL636*MAX(1,AX636/X636),IF(BW636=1,IF(AX636&lt;=0,0,CA636*MAX(1,IF(H636&gt;0,AX636/H636,1))),IF(R636&gt;0,AY636/R636,0))/MAX(0.1,N(Parameter!$M$21)))</f>
        <v>0.0384615384615385</v>
      </c>
      <c r="BA636" s="50" t="n">
        <f aca="false">AZ636*BY636</f>
        <v>9.42307692307692</v>
      </c>
      <c r="BB636" s="50" t="n">
        <f aca="false">AX636*G636</f>
        <v>117.12</v>
      </c>
      <c r="BC636" s="50" t="n">
        <f aca="false">ROUNDUP(MAX(J636/IF(CD636&gt;0,CD636,MAX(0.1,N(Cockpit!$O$6))),CG636)/BV636,0)*BV636</f>
        <v>976</v>
      </c>
      <c r="BD636" s="51" t="n">
        <f aca="false">IF(BA636&gt;0,J636/BA636,-1)</f>
        <v>209.167346938776</v>
      </c>
      <c r="BE636" s="51" t="n">
        <f aca="false">IF(AND(OR(CC636="L1",CC636="L23",CC636="LIFT"),BA636&gt;0),SUMIFS($BA$7:$BA$1843,$CC$7:$CC$1843,CC636,$BD$7:$BD$1843,"&gt;"&amp;BD636)+SUMIFS($BA$7:$BA$1843,$CC$7:$CC$1843,CC636,$BD$7:$BD$1843,BD636,$BT$7:$BT$1843,"&lt;="&amp;BT636),"")</f>
        <v>430.45467032967</v>
      </c>
      <c r="BF636" s="58" t="n">
        <f aca="false">IF(BE636="",0,MAX(0,MIN(1,(IF(CC636="L1",Parameter!$H$5,IF(CC636="L23",Parameter!$H$6+Parameter!$H$7,Parameter!$H$5+Parameter!$H$6+Parameter!$H$7))-(BE636-BA636))/BA636)))</f>
        <v>1</v>
      </c>
      <c r="BG636" s="48" t="str">
        <f aca="false">IF(AI636&lt;=0,"",IF(CC636="Aussen","Aussenlager",IF(CC636="-","Nicht im Lift",IF(AN636&gt;=1,"Lift",IF(AN636&lt;=0,"Aussenlager","teilweise")))))</f>
        <v>Lift</v>
      </c>
      <c r="BH636" s="48" t="str">
        <f aca="false">IF(AR636&lt;=0,"",IF(CC636="Aussen","Aussenlager",IF(CC636="-","Nicht im Lift",IF(AW636&gt;=1,"Lift",IF(AW636&lt;=0,"Aussenlager","teilweise")))))</f>
        <v>Lift</v>
      </c>
      <c r="BI636" s="48" t="str">
        <f aca="false">IF(BA636&lt;=0,"",IF(CC636="Aussen","Aussenlager",IF(CC636="-","Nicht im Lift",IF(BF636&gt;=1,"Lift",IF(BF636&lt;=0,"Aussenlager","teilweise")))))</f>
        <v>Lift</v>
      </c>
      <c r="BJ636" s="48" t="str">
        <f aca="false">IF(A636="","",IF(BS636=1,"Neu; ","")&amp;IF(AND(BS636=0,BN636&lt;0),"negativer Bestand (Export "&amp;BN636&amp;"); ","")&amp;IF(J636&lt;=0,"Kein Verbrauch; ","")&amp;IF(CL636&gt;0,"Lift "&amp;W636&amp;" lt. Liftbericht (Fach "&amp;X636&amp;" Stk); ",IF(BX636=1,"Gebinde geschätzt ("&amp;T636&amp;"); ",IF(BW636=1,"Lose – Tablare geschätzt; ","")))&amp;IF(H636&gt;AT636,"Überbestand "&amp;ROUND(H636-AT636,0)&amp;" Stk / CHF "&amp;ROUND((H636-AT636)*G636,0)&amp;"; ","")&amp;IF(AND(CE636=1,CF636&lt;CG636),"MAX &lt; MB+LG; ","")&amp;IF(AND(CK636&gt;0,CJ636*10&gt;CK636),"zu hoch für Tablar; ","")&amp;IF(AND(BS636=0,OR(CE636=1,AA636&lt;&gt;"",U636&lt;&gt;"",V636&lt;&gt;"",AB636&lt;&gt;"")),"manuell übersteuert; ","")&amp;IF(AND(BW636=0,R636=0),"Gebinde unbekannt / Stellmass fehlt; ","")&amp;IF(AND(BW636=0,N(V636)&lt;=0,N(Q636)&lt;=0),"Menge pro Gebinde fehlt (Ist = 1 Gebinde); ","")&amp;BR636)</f>
        <v/>
      </c>
      <c r="BK636" s="48"/>
      <c r="BL636" s="48"/>
      <c r="BM636" s="55"/>
      <c r="BN636" s="50" t="n">
        <v>9</v>
      </c>
      <c r="BO636" s="50" t="n">
        <v>730</v>
      </c>
      <c r="BP636" s="49" t="n">
        <v>1.07999999999998</v>
      </c>
      <c r="BQ636" s="50" t="n">
        <v>1971</v>
      </c>
      <c r="BR636" s="48"/>
      <c r="BS636" s="53" t="n">
        <v>0</v>
      </c>
      <c r="BT636" s="53" t="n">
        <v>636</v>
      </c>
      <c r="BU636" s="48" t="str">
        <f aca="false">IF(U636&lt;&gt;"",UPPER(TRIM(U636)),IF(BX636=1,UPPER(VLOOKUP(T636,Parameter!$I$27:$K$29,2,0)),IF(P636="","LOSE",P636)))</f>
        <v>S52</v>
      </c>
      <c r="BV636" s="50" t="n">
        <f aca="false">IF(BU636="LOSE",1,IF(N(V636)&gt;0,V636,IF(BX636=1,MAX(1,N(VLOOKUP(T636,Parameter!$I$27:$K$29,3,0)),H636,N(N636)),IF(N(Q636)&gt;0,Q636,MAX(1,H636)))))</f>
        <v>976</v>
      </c>
      <c r="BW636" s="53" t="n">
        <f aca="false">IF(BU636="LOSE",1,0)</f>
        <v>0</v>
      </c>
      <c r="BX636" s="53" t="n">
        <f aca="false">IF(AND(U636="",OR(P636="",P636="LOSE"),T636&lt;&gt;"",N(S636)&lt;=0,ISNUMBER(MATCH(T636,Parameter!$I$27:$I$29,0))),1,0)</f>
        <v>0</v>
      </c>
      <c r="BY636" s="53" t="n">
        <f aca="false">IF(CL636&gt;0,INDEX(Parameter!$H$5:$H$7,W636)/INDEX(Parameter!$E$5:$E$7,W636),IF(AND(BW636=0,N(IFERROR(VLOOKUP(BU636,'Gebinde-Kategorie'!$A$5:$N$45,14,0),0))&gt;0),VLOOKUP(BU636,'Gebinde-Kategorie'!$A$5:$N$45,14,0)*10+Parameter!$M$23,Parameter!$M$24))</f>
        <v>245</v>
      </c>
      <c r="BZ636" s="48" t="str">
        <f aca="false">IF(AND(Parameter!$B$19="Ja",E636&lt;&gt;"",ISNUMBER(MATCH(E636,Parameter!$I$35:$I$52,0))),VLOOKUP(E636,Parameter!$I$35:$J$52,2,0),IFERROR(VLOOKUP(D636,Parameter!$A$35:$C$64,2,0),"Nein"))</f>
        <v>2+3</v>
      </c>
      <c r="CA636" s="52" t="n">
        <f aca="false">IF(BW636=0,0,IF(N(S636)&gt;0,S636,IFERROR(VLOOKUP(D636,Parameter!$A$35:$C$64,3,0)+0,0)))</f>
        <v>0</v>
      </c>
      <c r="CB636" s="48" t="n">
        <f aca="false">IF(AA636&lt;&gt;"",AA636,Z636)</f>
        <v>3</v>
      </c>
      <c r="CC636" s="48" t="str">
        <f aca="false">IF(OR(CB636=1,CB636=2,CB636=3),IF(Parameter!$E$27="Ja","LIFT",IF(CB636=1,"L1","L23")),IF(CB636="Aussen","Aussen","-"))</f>
        <v>LIFT</v>
      </c>
      <c r="CD636" s="59" t="n">
        <f aca="false">IF(N(AB636)&gt;0,AB636,0)</f>
        <v>0</v>
      </c>
      <c r="CE636" s="53" t="n">
        <f aca="false">IF(ISNUMBER(AE636),1,0)</f>
        <v>0</v>
      </c>
      <c r="CF636" s="50" t="n">
        <f aca="false">N(AE636)</f>
        <v>0</v>
      </c>
      <c r="CG636" s="50" t="n">
        <f aca="false">N(M636)+N(N636)</f>
        <v>614</v>
      </c>
      <c r="CH636" s="50" t="n">
        <f aca="false">ROUNDUP(H636/BV636,0)</f>
        <v>1</v>
      </c>
      <c r="CI636" s="50" t="n">
        <f aca="false">ROUNDUP(CF636/BV636,0)</f>
        <v>0</v>
      </c>
      <c r="CJ636" s="53" t="n">
        <f aca="false">IF(BW636=1,0,IFERROR(VLOOKUP(BU636,'Gebinde-Kategorie'!$A$5:$N$45,5,0)+0,0))</f>
        <v>21</v>
      </c>
      <c r="CK636" s="53" t="n">
        <f aca="false">IFERROR(IF(OR(CB636=1,CB636=2,CB636=3),N(INDEX(Parameter!$I$5:$I$7,CB636)),0),0)</f>
        <v>0</v>
      </c>
      <c r="CL636" s="52" t="n">
        <f aca="false">IF(AND(Parameter!$B$21="Ja",ISNUMBER(W636),N(X636)&gt;0),IFERROR(N(INDEX(Parameter!$L$5:$L$7,W636))*INDEX(Parameter!$E$5:$E$7,W636)*X636/SUMIFS($X$7:$X$1843,$W$7:$W$1843,W636),0),0)</f>
        <v>0</v>
      </c>
    </row>
    <row r="637" customFormat="false" ht="15" hidden="false" customHeight="false" outlineLevel="0" collapsed="false">
      <c r="A637" s="48" t="s">
        <v>1302</v>
      </c>
      <c r="B637" s="48" t="s">
        <v>1303</v>
      </c>
      <c r="C637" s="48" t="s">
        <v>168</v>
      </c>
      <c r="D637" s="48" t="s">
        <v>177</v>
      </c>
      <c r="E637" s="48"/>
      <c r="F637" s="48" t="s">
        <v>222</v>
      </c>
      <c r="G637" s="49" t="n">
        <v>0.01</v>
      </c>
      <c r="H637" s="50" t="n">
        <f aca="false">MAX(0,IF(AND(Parameter!$B$21="Ja",ISNUMBER(Y637)),Y637,IF(Parameter!$B$20="Jahresanfang 2025 + Export",BO637+BN637,BN637)))</f>
        <v>59</v>
      </c>
      <c r="I637" s="50" t="n">
        <f aca="false">H637*G637</f>
        <v>0.59</v>
      </c>
      <c r="J637" s="50" t="n">
        <f aca="false">BQ637*Parameter!$B$18</f>
        <v>0</v>
      </c>
      <c r="K637" s="51" t="n">
        <v>0</v>
      </c>
      <c r="L637" s="52" t="n">
        <v>0</v>
      </c>
      <c r="M637" s="50" t="n">
        <v>0</v>
      </c>
      <c r="N637" s="50" t="n">
        <v>1</v>
      </c>
      <c r="O637" s="53" t="n">
        <v>14</v>
      </c>
      <c r="P637" s="48" t="s">
        <v>172</v>
      </c>
      <c r="Q637" s="50"/>
      <c r="R637" s="53" t="n">
        <f aca="false">IF(BW637=1,0,IFERROR(VLOOKUP(BU637,'Gebinde-Kategorie'!$A$5:$N$45,13,0)+0,0))</f>
        <v>26</v>
      </c>
      <c r="S637" s="54"/>
      <c r="T637" s="55" t="s">
        <v>279</v>
      </c>
      <c r="U637" s="55"/>
      <c r="V637" s="55"/>
      <c r="W637" s="48"/>
      <c r="X637" s="50"/>
      <c r="Y637" s="50"/>
      <c r="Z637" s="48" t="n">
        <f aca="false">IF(A637="","",IF(AND(Parameter!$B$21="Ja",ISNUMBER(W637)),W637,IF(BZ637="2+3",IF(ISNUMBER(SEARCH("grosser Artikel",BR637)),2,IFERROR(VLOOKUP(BU637,Parameter!$F$35:$G$64,2,0),2)),IF(OR(BZ637="Nein",BZ637=""),"-",BZ637))))</f>
        <v>3</v>
      </c>
      <c r="AA637" s="55"/>
      <c r="AB637" s="56"/>
      <c r="AC637" s="50" t="n">
        <f aca="false">AT637</f>
        <v>59</v>
      </c>
      <c r="AD637" s="50" t="n">
        <f aca="false">MAX(AT637,H637)</f>
        <v>59</v>
      </c>
      <c r="AE637" s="57"/>
      <c r="AF637" s="50" t="n">
        <f aca="false">IF(LEFT(Cockpit!$C$5,1)="A",H637,IF(CE637=1,CF637,IF(LEFT(Cockpit!$C$5,1)="B",AK637,MAX(AK637,H637))))</f>
        <v>59</v>
      </c>
      <c r="AG637" s="50" t="n">
        <f aca="false">IF(BW637=1,0,ROUNDUP(AF637/BV637,0))</f>
        <v>1</v>
      </c>
      <c r="AH637" s="52" t="n">
        <f aca="false">IF(CL637&gt;0,CL637*MAX(1,AF637/X637),IF(BW637=1,IF(AF637&lt;=0,0,CA637*MAX(1,IF(H637&gt;0,AF637/H637,1))),IF(R637&gt;0,AG637/R637,0))/MAX(0.1,N(Parameter!$M$21)))</f>
        <v>0.0384615384615385</v>
      </c>
      <c r="AI637" s="50" t="n">
        <f aca="false">AH637*BY637</f>
        <v>5.96153846153846</v>
      </c>
      <c r="AJ637" s="50" t="n">
        <f aca="false">AF637*G637</f>
        <v>0.59</v>
      </c>
      <c r="AK637" s="50" t="n">
        <f aca="false">ROUNDUP(MAX(J637/IF(CD637&gt;0,CD637,MAX(0.1,N(Cockpit!$C$6))),CG637)/BV637,0)*BV637</f>
        <v>59</v>
      </c>
      <c r="AL637" s="51" t="n">
        <f aca="false">IF(AI637&gt;0,J637/AI637,-1)</f>
        <v>0</v>
      </c>
      <c r="AM637" s="51" t="n">
        <f aca="false">IF(AND(OR(CC637="L1",CC637="L23",CC637="LIFT"),AI637&gt;0),SUMIFS($AI$7:$AI$1843,$CC$7:$CC$1843,CC637,$AL$7:$AL$1843,"&gt;"&amp;AL637)+SUMIFS($AI$7:$AI$1843,$CC$7:$CC$1843,CC637,$AL$7:$AL$1843,AL637,$BT$7:$BT$1843,"&lt;="&amp;BT637),"")</f>
        <v>28581.2854245566</v>
      </c>
      <c r="AN637" s="58" t="n">
        <f aca="false">IF(AM637="",0,MAX(0,MIN(1,(IF(CC637="L1",Parameter!$H$5,IF(CC637="L23",Parameter!$H$6+Parameter!$H$7,Parameter!$H$5+Parameter!$H$6+Parameter!$H$7))-(AM637-AI637))/AI637)))</f>
        <v>1</v>
      </c>
      <c r="AO637" s="50" t="n">
        <f aca="false">IF(LEFT(Cockpit!$I$5,1)="A",H637,IF(CE637=1,CF637,IF(LEFT(Cockpit!$I$5,1)="B",AT637,MAX(AT637,H637))))</f>
        <v>59</v>
      </c>
      <c r="AP637" s="50" t="n">
        <f aca="false">IF(BW637=1,0,ROUNDUP(AO637/BV637,0))</f>
        <v>1</v>
      </c>
      <c r="AQ637" s="52" t="n">
        <f aca="false">IF(CL637&gt;0,CL637*MAX(1,AO637/X637),IF(BW637=1,IF(AO637&lt;=0,0,CA637*MAX(1,IF(H637&gt;0,AO637/H637,1))),IF(R637&gt;0,AP637/R637,0))/MAX(0.1,N(Parameter!$M$21)))</f>
        <v>0.0384615384615385</v>
      </c>
      <c r="AR637" s="50" t="n">
        <f aca="false">AQ637*BY637</f>
        <v>5.96153846153846</v>
      </c>
      <c r="AS637" s="50" t="n">
        <f aca="false">AO637*G637</f>
        <v>0.59</v>
      </c>
      <c r="AT637" s="50" t="n">
        <f aca="false">ROUNDUP(MAX(J637/IF(CD637&gt;0,CD637,MAX(0.1,N(Cockpit!$I$6))),CG637)/BV637,0)*BV637</f>
        <v>59</v>
      </c>
      <c r="AU637" s="51" t="n">
        <f aca="false">IF(AR637&gt;0,J637/AR637,-1)</f>
        <v>0</v>
      </c>
      <c r="AV637" s="51" t="n">
        <f aca="false">IF(AND(OR(CC637="L1",CC637="L23",CC637="LIFT"),AR637&gt;0),SUMIFS($AR$7:$AR$1843,$CC$7:$CC$1843,CC637,$AU$7:$AU$1843,"&gt;"&amp;AU637)+SUMIFS($AR$7:$AR$1843,$CC$7:$CC$1843,CC637,$AU$7:$AU$1843,AU637,$BT$7:$BT$1843,"&lt;="&amp;BT637),"")</f>
        <v>39900.7060517167</v>
      </c>
      <c r="AW637" s="58" t="n">
        <f aca="false">IF(AV637="",0,MAX(0,MIN(1,(IF(CC637="L1",Parameter!$H$5,IF(CC637="L23",Parameter!$H$6+Parameter!$H$7,Parameter!$H$5+Parameter!$H$6+Parameter!$H$7))-(AV637-AR637))/AR637)))</f>
        <v>0</v>
      </c>
      <c r="AX637" s="50" t="n">
        <f aca="false">IF(LEFT(Cockpit!$O$5,1)="A",H637,IF(CE637=1,CF637,IF(LEFT(Cockpit!$O$5,1)="B",BC637,MAX(BC637,H637))))</f>
        <v>59</v>
      </c>
      <c r="AY637" s="50" t="n">
        <f aca="false">IF(BW637=1,0,ROUNDUP(AX637/BV637,0))</f>
        <v>1</v>
      </c>
      <c r="AZ637" s="52" t="n">
        <f aca="false">IF(CL637&gt;0,CL637*MAX(1,AX637/X637),IF(BW637=1,IF(AX637&lt;=0,0,CA637*MAX(1,IF(H637&gt;0,AX637/H637,1))),IF(R637&gt;0,AY637/R637,0))/MAX(0.1,N(Parameter!$M$21)))</f>
        <v>0.0384615384615385</v>
      </c>
      <c r="BA637" s="50" t="n">
        <f aca="false">AZ637*BY637</f>
        <v>5.96153846153846</v>
      </c>
      <c r="BB637" s="50" t="n">
        <f aca="false">AX637*G637</f>
        <v>0.59</v>
      </c>
      <c r="BC637" s="50" t="n">
        <f aca="false">ROUNDUP(MAX(J637/IF(CD637&gt;0,CD637,MAX(0.1,N(Cockpit!$O$6))),CG637)/BV637,0)*BV637</f>
        <v>59</v>
      </c>
      <c r="BD637" s="51" t="n">
        <f aca="false">IF(BA637&gt;0,J637/BA637,-1)</f>
        <v>0</v>
      </c>
      <c r="BE637" s="51" t="n">
        <f aca="false">IF(AND(OR(CC637="L1",CC637="L23",CC637="LIFT"),BA637&gt;0),SUMIFS($BA$7:$BA$1843,$CC$7:$CC$1843,CC637,$BD$7:$BD$1843,"&gt;"&amp;BD637)+SUMIFS($BA$7:$BA$1843,$CC$7:$CC$1843,CC637,$BD$7:$BD$1843,BD637,$BT$7:$BT$1843,"&lt;="&amp;BT637),"")</f>
        <v>36575.7180935825</v>
      </c>
      <c r="BF637" s="58" t="n">
        <f aca="false">IF(BE637="",0,MAX(0,MIN(1,(IF(CC637="L1",Parameter!$H$5,IF(CC637="L23",Parameter!$H$6+Parameter!$H$7,Parameter!$H$5+Parameter!$H$6+Parameter!$H$7))-(BE637-BA637))/BA637)))</f>
        <v>0</v>
      </c>
      <c r="BG637" s="48" t="str">
        <f aca="false">IF(AI637&lt;=0,"",IF(CC637="Aussen","Aussenlager",IF(CC637="-","Nicht im Lift",IF(AN637&gt;=1,"Lift",IF(AN637&lt;=0,"Aussenlager","teilweise")))))</f>
        <v>Lift</v>
      </c>
      <c r="BH637" s="48" t="str">
        <f aca="false">IF(AR637&lt;=0,"",IF(CC637="Aussen","Aussenlager",IF(CC637="-","Nicht im Lift",IF(AW637&gt;=1,"Lift",IF(AW637&lt;=0,"Aussenlager","teilweise")))))</f>
        <v>Aussenlager</v>
      </c>
      <c r="BI637" s="48" t="str">
        <f aca="false">IF(BA637&lt;=0,"",IF(CC637="Aussen","Aussenlager",IF(CC637="-","Nicht im Lift",IF(BF637&gt;=1,"Lift",IF(BF637&lt;=0,"Aussenlager","teilweise")))))</f>
        <v>Aussenlager</v>
      </c>
      <c r="BJ637" s="48" t="str">
        <f aca="false">IF(A637="","",IF(BS637=1,"Neu; ","")&amp;IF(AND(BS637=0,BN637&lt;0),"negativer Bestand (Export "&amp;BN637&amp;"); ","")&amp;IF(J637&lt;=0,"Kein Verbrauch; ","")&amp;IF(CL637&gt;0,"Lift "&amp;W637&amp;" lt. Liftbericht (Fach "&amp;X637&amp;" Stk); ",IF(BX637=1,"Gebinde geschätzt ("&amp;T637&amp;"); ",IF(BW637=1,"Lose – Tablare geschätzt; ","")))&amp;IF(H637&gt;AT637,"Überbestand "&amp;ROUND(H637-AT637,0)&amp;" Stk / CHF "&amp;ROUND((H637-AT637)*G637,0)&amp;"; ","")&amp;IF(AND(CE637=1,CF637&lt;CG637),"MAX &lt; MB+LG; ","")&amp;IF(AND(CK637&gt;0,CJ637*10&gt;CK637),"zu hoch für Tablar; ","")&amp;IF(AND(BS637=0,OR(CE637=1,AA637&lt;&gt;"",U637&lt;&gt;"",V637&lt;&gt;"",AB637&lt;&gt;"")),"manuell übersteuert; ","")&amp;IF(AND(BW637=0,R637=0),"Gebinde unbekannt / Stellmass fehlt; ","")&amp;IF(AND(BW637=0,N(V637)&lt;=0,N(Q637)&lt;=0),"Menge pro Gebinde fehlt (Ist = 1 Gebinde); ","")&amp;BR637)</f>
        <v>Kein Verbrauch; Gebinde geschätzt (Klein); Menge pro Gebinde fehlt (Ist = 1 Gebinde); </v>
      </c>
      <c r="BK637" s="48"/>
      <c r="BL637" s="48"/>
      <c r="BM637" s="55"/>
      <c r="BN637" s="50" t="n">
        <v>59</v>
      </c>
      <c r="BO637" s="50" t="n">
        <v>0</v>
      </c>
      <c r="BP637" s="49" t="n">
        <v>0.59</v>
      </c>
      <c r="BQ637" s="50" t="n">
        <v>0</v>
      </c>
      <c r="BR637" s="48"/>
      <c r="BS637" s="53" t="n">
        <v>0</v>
      </c>
      <c r="BT637" s="53" t="n">
        <v>637</v>
      </c>
      <c r="BU637" s="48" t="str">
        <f aca="false">IF(U637&lt;&gt;"",UPPER(TRIM(U637)),IF(BX637=1,UPPER(VLOOKUP(T637,Parameter!$I$27:$K$29,2,0)),IF(P637="","LOSE",P637)))</f>
        <v>S51</v>
      </c>
      <c r="BV637" s="50" t="n">
        <f aca="false">IF(BU637="LOSE",1,IF(N(V637)&gt;0,V637,IF(BX637=1,MAX(1,N(VLOOKUP(T637,Parameter!$I$27:$K$29,3,0)),H637,N(N637)),IF(N(Q637)&gt;0,Q637,MAX(1,H637)))))</f>
        <v>59</v>
      </c>
      <c r="BW637" s="53" t="n">
        <f aca="false">IF(BU637="LOSE",1,0)</f>
        <v>0</v>
      </c>
      <c r="BX637" s="53" t="n">
        <f aca="false">IF(AND(U637="",OR(P637="",P637="LOSE"),T637&lt;&gt;"",N(S637)&lt;=0,ISNUMBER(MATCH(T637,Parameter!$I$27:$I$29,0))),1,0)</f>
        <v>1</v>
      </c>
      <c r="BY637" s="53" t="n">
        <f aca="false">IF(CL637&gt;0,INDEX(Parameter!$H$5:$H$7,W637)/INDEX(Parameter!$E$5:$E$7,W637),IF(AND(BW637=0,N(IFERROR(VLOOKUP(BU637,'Gebinde-Kategorie'!$A$5:$N$45,14,0),0))&gt;0),VLOOKUP(BU637,'Gebinde-Kategorie'!$A$5:$N$45,14,0)*10+Parameter!$M$23,Parameter!$M$24))</f>
        <v>155</v>
      </c>
      <c r="BZ637" s="48" t="str">
        <f aca="false">IF(AND(Parameter!$B$19="Ja",E637&lt;&gt;"",ISNUMBER(MATCH(E637,Parameter!$I$35:$I$52,0))),VLOOKUP(E637,Parameter!$I$35:$J$52,2,0),IFERROR(VLOOKUP(D637,Parameter!$A$35:$C$64,2,0),"Nein"))</f>
        <v>2+3</v>
      </c>
      <c r="CA637" s="52" t="n">
        <f aca="false">IF(BW637=0,0,IF(N(S637)&gt;0,S637,IFERROR(VLOOKUP(D637,Parameter!$A$35:$C$64,3,0)+0,0)))</f>
        <v>0</v>
      </c>
      <c r="CB637" s="48" t="n">
        <f aca="false">IF(AA637&lt;&gt;"",AA637,Z637)</f>
        <v>3</v>
      </c>
      <c r="CC637" s="48" t="str">
        <f aca="false">IF(OR(CB637=1,CB637=2,CB637=3),IF(Parameter!$E$27="Ja","LIFT",IF(CB637=1,"L1","L23")),IF(CB637="Aussen","Aussen","-"))</f>
        <v>LIFT</v>
      </c>
      <c r="CD637" s="59" t="n">
        <f aca="false">IF(N(AB637)&gt;0,AB637,0)</f>
        <v>0</v>
      </c>
      <c r="CE637" s="53" t="n">
        <f aca="false">IF(ISNUMBER(AE637),1,0)</f>
        <v>0</v>
      </c>
      <c r="CF637" s="50" t="n">
        <f aca="false">N(AE637)</f>
        <v>0</v>
      </c>
      <c r="CG637" s="50" t="n">
        <f aca="false">N(M637)+N(N637)</f>
        <v>1</v>
      </c>
      <c r="CH637" s="50" t="n">
        <f aca="false">ROUNDUP(H637/BV637,0)</f>
        <v>1</v>
      </c>
      <c r="CI637" s="50" t="n">
        <f aca="false">ROUNDUP(CF637/BV637,0)</f>
        <v>0</v>
      </c>
      <c r="CJ637" s="53" t="n">
        <f aca="false">IF(BW637=1,0,IFERROR(VLOOKUP(BU637,'Gebinde-Kategorie'!$A$5:$N$45,5,0)+0,0))</f>
        <v>11</v>
      </c>
      <c r="CK637" s="53" t="n">
        <f aca="false">IFERROR(IF(OR(CB637=1,CB637=2,CB637=3),N(INDEX(Parameter!$I$5:$I$7,CB637)),0),0)</f>
        <v>0</v>
      </c>
      <c r="CL637" s="52" t="n">
        <f aca="false">IF(AND(Parameter!$B$21="Ja",ISNUMBER(W637),N(X637)&gt;0),IFERROR(N(INDEX(Parameter!$L$5:$L$7,W637))*INDEX(Parameter!$E$5:$E$7,W637)*X637/SUMIFS($X$7:$X$1843,$W$7:$W$1843,W637),0),0)</f>
        <v>0</v>
      </c>
    </row>
    <row r="638" customFormat="false" ht="15" hidden="false" customHeight="false" outlineLevel="0" collapsed="false">
      <c r="A638" s="48" t="s">
        <v>1304</v>
      </c>
      <c r="B638" s="48" t="s">
        <v>1305</v>
      </c>
      <c r="C638" s="48" t="s">
        <v>168</v>
      </c>
      <c r="D638" s="48" t="s">
        <v>177</v>
      </c>
      <c r="E638" s="48"/>
      <c r="F638" s="48" t="s">
        <v>222</v>
      </c>
      <c r="G638" s="49" t="n">
        <v>0.01</v>
      </c>
      <c r="H638" s="50" t="n">
        <f aca="false">MAX(0,IF(AND(Parameter!$B$21="Ja",ISNUMBER(Y638)),Y638,IF(Parameter!$B$20="Jahresanfang 2025 + Export",BO638+BN638,BN638)))</f>
        <v>43</v>
      </c>
      <c r="I638" s="50" t="n">
        <f aca="false">H638*G638</f>
        <v>0.43</v>
      </c>
      <c r="J638" s="50" t="n">
        <f aca="false">BQ638*Parameter!$B$18</f>
        <v>0</v>
      </c>
      <c r="K638" s="51" t="n">
        <v>0</v>
      </c>
      <c r="L638" s="52" t="n">
        <v>0</v>
      </c>
      <c r="M638" s="50" t="n">
        <v>0</v>
      </c>
      <c r="N638" s="50" t="n">
        <v>1</v>
      </c>
      <c r="O638" s="53" t="n">
        <v>999</v>
      </c>
      <c r="P638" s="48" t="s">
        <v>172</v>
      </c>
      <c r="Q638" s="50"/>
      <c r="R638" s="53" t="n">
        <f aca="false">IF(BW638=1,0,IFERROR(VLOOKUP(BU638,'Gebinde-Kategorie'!$A$5:$N$45,13,0)+0,0))</f>
        <v>26</v>
      </c>
      <c r="S638" s="54"/>
      <c r="T638" s="55" t="s">
        <v>279</v>
      </c>
      <c r="U638" s="55"/>
      <c r="V638" s="55"/>
      <c r="W638" s="48"/>
      <c r="X638" s="50"/>
      <c r="Y638" s="50"/>
      <c r="Z638" s="48" t="n">
        <f aca="false">IF(A638="","",IF(AND(Parameter!$B$21="Ja",ISNUMBER(W638)),W638,IF(BZ638="2+3",IF(ISNUMBER(SEARCH("grosser Artikel",BR638)),2,IFERROR(VLOOKUP(BU638,Parameter!$F$35:$G$64,2,0),2)),IF(OR(BZ638="Nein",BZ638=""),"-",BZ638))))</f>
        <v>3</v>
      </c>
      <c r="AA638" s="55"/>
      <c r="AB638" s="56"/>
      <c r="AC638" s="50" t="n">
        <f aca="false">AT638</f>
        <v>43</v>
      </c>
      <c r="AD638" s="50" t="n">
        <f aca="false">MAX(AT638,H638)</f>
        <v>43</v>
      </c>
      <c r="AE638" s="57"/>
      <c r="AF638" s="50" t="n">
        <f aca="false">IF(LEFT(Cockpit!$C$5,1)="A",H638,IF(CE638=1,CF638,IF(LEFT(Cockpit!$C$5,1)="B",AK638,MAX(AK638,H638))))</f>
        <v>43</v>
      </c>
      <c r="AG638" s="50" t="n">
        <f aca="false">IF(BW638=1,0,ROUNDUP(AF638/BV638,0))</f>
        <v>1</v>
      </c>
      <c r="AH638" s="52" t="n">
        <f aca="false">IF(CL638&gt;0,CL638*MAX(1,AF638/X638),IF(BW638=1,IF(AF638&lt;=0,0,CA638*MAX(1,IF(H638&gt;0,AF638/H638,1))),IF(R638&gt;0,AG638/R638,0))/MAX(0.1,N(Parameter!$M$21)))</f>
        <v>0.0384615384615385</v>
      </c>
      <c r="AI638" s="50" t="n">
        <f aca="false">AH638*BY638</f>
        <v>5.96153846153846</v>
      </c>
      <c r="AJ638" s="50" t="n">
        <f aca="false">AF638*G638</f>
        <v>0.43</v>
      </c>
      <c r="AK638" s="50" t="n">
        <f aca="false">ROUNDUP(MAX(J638/IF(CD638&gt;0,CD638,MAX(0.1,N(Cockpit!$C$6))),CG638)/BV638,0)*BV638</f>
        <v>43</v>
      </c>
      <c r="AL638" s="51" t="n">
        <f aca="false">IF(AI638&gt;0,J638/AI638,-1)</f>
        <v>0</v>
      </c>
      <c r="AM638" s="51" t="n">
        <f aca="false">IF(AND(OR(CC638="L1",CC638="L23",CC638="LIFT"),AI638&gt;0),SUMIFS($AI$7:$AI$1843,$CC$7:$CC$1843,CC638,$AL$7:$AL$1843,"&gt;"&amp;AL638)+SUMIFS($AI$7:$AI$1843,$CC$7:$CC$1843,CC638,$AL$7:$AL$1843,AL638,$BT$7:$BT$1843,"&lt;="&amp;BT638),"")</f>
        <v>28587.2469630181</v>
      </c>
      <c r="AN638" s="58" t="n">
        <f aca="false">IF(AM638="",0,MAX(0,MIN(1,(IF(CC638="L1",Parameter!$H$5,IF(CC638="L23",Parameter!$H$6+Parameter!$H$7,Parameter!$H$5+Parameter!$H$6+Parameter!$H$7))-(AM638-AI638))/AI638)))</f>
        <v>1</v>
      </c>
      <c r="AO638" s="50" t="n">
        <f aca="false">IF(LEFT(Cockpit!$I$5,1)="A",H638,IF(CE638=1,CF638,IF(LEFT(Cockpit!$I$5,1)="B",AT638,MAX(AT638,H638))))</f>
        <v>43</v>
      </c>
      <c r="AP638" s="50" t="n">
        <f aca="false">IF(BW638=1,0,ROUNDUP(AO638/BV638,0))</f>
        <v>1</v>
      </c>
      <c r="AQ638" s="52" t="n">
        <f aca="false">IF(CL638&gt;0,CL638*MAX(1,AO638/X638),IF(BW638=1,IF(AO638&lt;=0,0,CA638*MAX(1,IF(H638&gt;0,AO638/H638,1))),IF(R638&gt;0,AP638/R638,0))/MAX(0.1,N(Parameter!$M$21)))</f>
        <v>0.0384615384615385</v>
      </c>
      <c r="AR638" s="50" t="n">
        <f aca="false">AQ638*BY638</f>
        <v>5.96153846153846</v>
      </c>
      <c r="AS638" s="50" t="n">
        <f aca="false">AO638*G638</f>
        <v>0.43</v>
      </c>
      <c r="AT638" s="50" t="n">
        <f aca="false">ROUNDUP(MAX(J638/IF(CD638&gt;0,CD638,MAX(0.1,N(Cockpit!$I$6))),CG638)/BV638,0)*BV638</f>
        <v>43</v>
      </c>
      <c r="AU638" s="51" t="n">
        <f aca="false">IF(AR638&gt;0,J638/AR638,-1)</f>
        <v>0</v>
      </c>
      <c r="AV638" s="51" t="n">
        <f aca="false">IF(AND(OR(CC638="L1",CC638="L23",CC638="LIFT"),AR638&gt;0),SUMIFS($AR$7:$AR$1843,$CC$7:$CC$1843,CC638,$AU$7:$AU$1843,"&gt;"&amp;AU638)+SUMIFS($AR$7:$AR$1843,$CC$7:$CC$1843,CC638,$AU$7:$AU$1843,AU638,$BT$7:$BT$1843,"&lt;="&amp;BT638),"")</f>
        <v>39906.6675901782</v>
      </c>
      <c r="AW638" s="58" t="n">
        <f aca="false">IF(AV638="",0,MAX(0,MIN(1,(IF(CC638="L1",Parameter!$H$5,IF(CC638="L23",Parameter!$H$6+Parameter!$H$7,Parameter!$H$5+Parameter!$H$6+Parameter!$H$7))-(AV638-AR638))/AR638)))</f>
        <v>0</v>
      </c>
      <c r="AX638" s="50" t="n">
        <f aca="false">IF(LEFT(Cockpit!$O$5,1)="A",H638,IF(CE638=1,CF638,IF(LEFT(Cockpit!$O$5,1)="B",BC638,MAX(BC638,H638))))</f>
        <v>43</v>
      </c>
      <c r="AY638" s="50" t="n">
        <f aca="false">IF(BW638=1,0,ROUNDUP(AX638/BV638,0))</f>
        <v>1</v>
      </c>
      <c r="AZ638" s="52" t="n">
        <f aca="false">IF(CL638&gt;0,CL638*MAX(1,AX638/X638),IF(BW638=1,IF(AX638&lt;=0,0,CA638*MAX(1,IF(H638&gt;0,AX638/H638,1))),IF(R638&gt;0,AY638/R638,0))/MAX(0.1,N(Parameter!$M$21)))</f>
        <v>0.0384615384615385</v>
      </c>
      <c r="BA638" s="50" t="n">
        <f aca="false">AZ638*BY638</f>
        <v>5.96153846153846</v>
      </c>
      <c r="BB638" s="50" t="n">
        <f aca="false">AX638*G638</f>
        <v>0.43</v>
      </c>
      <c r="BC638" s="50" t="n">
        <f aca="false">ROUNDUP(MAX(J638/IF(CD638&gt;0,CD638,MAX(0.1,N(Cockpit!$O$6))),CG638)/BV638,0)*BV638</f>
        <v>43</v>
      </c>
      <c r="BD638" s="51" t="n">
        <f aca="false">IF(BA638&gt;0,J638/BA638,-1)</f>
        <v>0</v>
      </c>
      <c r="BE638" s="51" t="n">
        <f aca="false">IF(AND(OR(CC638="L1",CC638="L23",CC638="LIFT"),BA638&gt;0),SUMIFS($BA$7:$BA$1843,$CC$7:$CC$1843,CC638,$BD$7:$BD$1843,"&gt;"&amp;BD638)+SUMIFS($BA$7:$BA$1843,$CC$7:$CC$1843,CC638,$BD$7:$BD$1843,BD638,$BT$7:$BT$1843,"&lt;="&amp;BT638),"")</f>
        <v>36581.679632044</v>
      </c>
      <c r="BF638" s="58" t="n">
        <f aca="false">IF(BE638="",0,MAX(0,MIN(1,(IF(CC638="L1",Parameter!$H$5,IF(CC638="L23",Parameter!$H$6+Parameter!$H$7,Parameter!$H$5+Parameter!$H$6+Parameter!$H$7))-(BE638-BA638))/BA638)))</f>
        <v>0</v>
      </c>
      <c r="BG638" s="48" t="str">
        <f aca="false">IF(AI638&lt;=0,"",IF(CC638="Aussen","Aussenlager",IF(CC638="-","Nicht im Lift",IF(AN638&gt;=1,"Lift",IF(AN638&lt;=0,"Aussenlager","teilweise")))))</f>
        <v>Lift</v>
      </c>
      <c r="BH638" s="48" t="str">
        <f aca="false">IF(AR638&lt;=0,"",IF(CC638="Aussen","Aussenlager",IF(CC638="-","Nicht im Lift",IF(AW638&gt;=1,"Lift",IF(AW638&lt;=0,"Aussenlager","teilweise")))))</f>
        <v>Aussenlager</v>
      </c>
      <c r="BI638" s="48" t="str">
        <f aca="false">IF(BA638&lt;=0,"",IF(CC638="Aussen","Aussenlager",IF(CC638="-","Nicht im Lift",IF(BF638&gt;=1,"Lift",IF(BF638&lt;=0,"Aussenlager","teilweise")))))</f>
        <v>Aussenlager</v>
      </c>
      <c r="BJ638" s="48" t="str">
        <f aca="false">IF(A638="","",IF(BS638=1,"Neu; ","")&amp;IF(AND(BS638=0,BN638&lt;0),"negativer Bestand (Export "&amp;BN638&amp;"); ","")&amp;IF(J638&lt;=0,"Kein Verbrauch; ","")&amp;IF(CL638&gt;0,"Lift "&amp;W638&amp;" lt. Liftbericht (Fach "&amp;X638&amp;" Stk); ",IF(BX638=1,"Gebinde geschätzt ("&amp;T638&amp;"); ",IF(BW638=1,"Lose – Tablare geschätzt; ","")))&amp;IF(H638&gt;AT638,"Überbestand "&amp;ROUND(H638-AT638,0)&amp;" Stk / CHF "&amp;ROUND((H638-AT638)*G638,0)&amp;"; ","")&amp;IF(AND(CE638=1,CF638&lt;CG638),"MAX &lt; MB+LG; ","")&amp;IF(AND(CK638&gt;0,CJ638*10&gt;CK638),"zu hoch für Tablar; ","")&amp;IF(AND(BS638=0,OR(CE638=1,AA638&lt;&gt;"",U638&lt;&gt;"",V638&lt;&gt;"",AB638&lt;&gt;"")),"manuell übersteuert; ","")&amp;IF(AND(BW638=0,R638=0),"Gebinde unbekannt / Stellmass fehlt; ","")&amp;IF(AND(BW638=0,N(V638)&lt;=0,N(Q638)&lt;=0),"Menge pro Gebinde fehlt (Ist = 1 Gebinde); ","")&amp;BR638)</f>
        <v>Kein Verbrauch; Gebinde geschätzt (Klein); Menge pro Gebinde fehlt (Ist = 1 Gebinde); </v>
      </c>
      <c r="BK638" s="48"/>
      <c r="BL638" s="48"/>
      <c r="BM638" s="55"/>
      <c r="BN638" s="50" t="n">
        <v>43</v>
      </c>
      <c r="BO638" s="50" t="n">
        <v>0</v>
      </c>
      <c r="BP638" s="49" t="n">
        <v>0.43</v>
      </c>
      <c r="BQ638" s="50" t="n">
        <v>0</v>
      </c>
      <c r="BR638" s="48"/>
      <c r="BS638" s="53" t="n">
        <v>0</v>
      </c>
      <c r="BT638" s="53" t="n">
        <v>638</v>
      </c>
      <c r="BU638" s="48" t="str">
        <f aca="false">IF(U638&lt;&gt;"",UPPER(TRIM(U638)),IF(BX638=1,UPPER(VLOOKUP(T638,Parameter!$I$27:$K$29,2,0)),IF(P638="","LOSE",P638)))</f>
        <v>S51</v>
      </c>
      <c r="BV638" s="50" t="n">
        <f aca="false">IF(BU638="LOSE",1,IF(N(V638)&gt;0,V638,IF(BX638=1,MAX(1,N(VLOOKUP(T638,Parameter!$I$27:$K$29,3,0)),H638,N(N638)),IF(N(Q638)&gt;0,Q638,MAX(1,H638)))))</f>
        <v>43</v>
      </c>
      <c r="BW638" s="53" t="n">
        <f aca="false">IF(BU638="LOSE",1,0)</f>
        <v>0</v>
      </c>
      <c r="BX638" s="53" t="n">
        <f aca="false">IF(AND(U638="",OR(P638="",P638="LOSE"),T638&lt;&gt;"",N(S638)&lt;=0,ISNUMBER(MATCH(T638,Parameter!$I$27:$I$29,0))),1,0)</f>
        <v>1</v>
      </c>
      <c r="BY638" s="53" t="n">
        <f aca="false">IF(CL638&gt;0,INDEX(Parameter!$H$5:$H$7,W638)/INDEX(Parameter!$E$5:$E$7,W638),IF(AND(BW638=0,N(IFERROR(VLOOKUP(BU638,'Gebinde-Kategorie'!$A$5:$N$45,14,0),0))&gt;0),VLOOKUP(BU638,'Gebinde-Kategorie'!$A$5:$N$45,14,0)*10+Parameter!$M$23,Parameter!$M$24))</f>
        <v>155</v>
      </c>
      <c r="BZ638" s="48" t="str">
        <f aca="false">IF(AND(Parameter!$B$19="Ja",E638&lt;&gt;"",ISNUMBER(MATCH(E638,Parameter!$I$35:$I$52,0))),VLOOKUP(E638,Parameter!$I$35:$J$52,2,0),IFERROR(VLOOKUP(D638,Parameter!$A$35:$C$64,2,0),"Nein"))</f>
        <v>2+3</v>
      </c>
      <c r="CA638" s="52" t="n">
        <f aca="false">IF(BW638=0,0,IF(N(S638)&gt;0,S638,IFERROR(VLOOKUP(D638,Parameter!$A$35:$C$64,3,0)+0,0)))</f>
        <v>0</v>
      </c>
      <c r="CB638" s="48" t="n">
        <f aca="false">IF(AA638&lt;&gt;"",AA638,Z638)</f>
        <v>3</v>
      </c>
      <c r="CC638" s="48" t="str">
        <f aca="false">IF(OR(CB638=1,CB638=2,CB638=3),IF(Parameter!$E$27="Ja","LIFT",IF(CB638=1,"L1","L23")),IF(CB638="Aussen","Aussen","-"))</f>
        <v>LIFT</v>
      </c>
      <c r="CD638" s="59" t="n">
        <f aca="false">IF(N(AB638)&gt;0,AB638,0)</f>
        <v>0</v>
      </c>
      <c r="CE638" s="53" t="n">
        <f aca="false">IF(ISNUMBER(AE638),1,0)</f>
        <v>0</v>
      </c>
      <c r="CF638" s="50" t="n">
        <f aca="false">N(AE638)</f>
        <v>0</v>
      </c>
      <c r="CG638" s="50" t="n">
        <f aca="false">N(M638)+N(N638)</f>
        <v>1</v>
      </c>
      <c r="CH638" s="50" t="n">
        <f aca="false">ROUNDUP(H638/BV638,0)</f>
        <v>1</v>
      </c>
      <c r="CI638" s="50" t="n">
        <f aca="false">ROUNDUP(CF638/BV638,0)</f>
        <v>0</v>
      </c>
      <c r="CJ638" s="53" t="n">
        <f aca="false">IF(BW638=1,0,IFERROR(VLOOKUP(BU638,'Gebinde-Kategorie'!$A$5:$N$45,5,0)+0,0))</f>
        <v>11</v>
      </c>
      <c r="CK638" s="53" t="n">
        <f aca="false">IFERROR(IF(OR(CB638=1,CB638=2,CB638=3),N(INDEX(Parameter!$I$5:$I$7,CB638)),0),0)</f>
        <v>0</v>
      </c>
      <c r="CL638" s="52" t="n">
        <f aca="false">IF(AND(Parameter!$B$21="Ja",ISNUMBER(W638),N(X638)&gt;0),IFERROR(N(INDEX(Parameter!$L$5:$L$7,W638))*INDEX(Parameter!$E$5:$E$7,W638)*X638/SUMIFS($X$7:$X$1843,$W$7:$W$1843,W638),0),0)</f>
        <v>0</v>
      </c>
    </row>
    <row r="639" customFormat="false" ht="15" hidden="false" customHeight="false" outlineLevel="0" collapsed="false">
      <c r="A639" s="48" t="s">
        <v>1306</v>
      </c>
      <c r="B639" s="48" t="s">
        <v>953</v>
      </c>
      <c r="C639" s="48" t="s">
        <v>168</v>
      </c>
      <c r="D639" s="48" t="s">
        <v>188</v>
      </c>
      <c r="E639" s="48" t="s">
        <v>189</v>
      </c>
      <c r="F639" s="48" t="s">
        <v>222</v>
      </c>
      <c r="G639" s="49" t="n">
        <v>0.38</v>
      </c>
      <c r="H639" s="50" t="n">
        <f aca="false">MAX(0,IF(AND(Parameter!$B$21="Ja",ISNUMBER(Y639)),Y639,IF(Parameter!$B$20="Jahresanfang 2025 + Export",BO639+BN639,BN639)))</f>
        <v>14</v>
      </c>
      <c r="I639" s="50" t="n">
        <f aca="false">H639*G639</f>
        <v>5.32</v>
      </c>
      <c r="J639" s="50" t="n">
        <f aca="false">BQ639*Parameter!$B$18</f>
        <v>2</v>
      </c>
      <c r="K639" s="51" t="n">
        <v>12.5</v>
      </c>
      <c r="L639" s="52" t="n">
        <v>0.16</v>
      </c>
      <c r="M639" s="50" t="n">
        <v>0</v>
      </c>
      <c r="N639" s="50" t="n">
        <v>1</v>
      </c>
      <c r="O639" s="53" t="n">
        <v>21</v>
      </c>
      <c r="P639" s="48" t="s">
        <v>430</v>
      </c>
      <c r="Q639" s="50" t="n">
        <v>36</v>
      </c>
      <c r="R639" s="53" t="n">
        <f aca="false">IF(BW639=1,0,IFERROR(VLOOKUP(BU639,'Gebinde-Kategorie'!$A$5:$N$45,13,0)+0,0))</f>
        <v>140</v>
      </c>
      <c r="S639" s="54"/>
      <c r="T639" s="55"/>
      <c r="U639" s="55"/>
      <c r="V639" s="55"/>
      <c r="W639" s="48"/>
      <c r="X639" s="50"/>
      <c r="Y639" s="50"/>
      <c r="Z639" s="48" t="n">
        <f aca="false">IF(A639="","",IF(AND(Parameter!$B$21="Ja",ISNUMBER(W639)),W639,IF(BZ639="2+3",IF(ISNUMBER(SEARCH("grosser Artikel",BR639)),2,IFERROR(VLOOKUP(BU639,Parameter!$F$35:$G$64,2,0),2)),IF(OR(BZ639="Nein",BZ639=""),"-",BZ639))))</f>
        <v>3</v>
      </c>
      <c r="AA639" s="55"/>
      <c r="AB639" s="56"/>
      <c r="AC639" s="50" t="n">
        <f aca="false">AT639</f>
        <v>36</v>
      </c>
      <c r="AD639" s="50" t="n">
        <f aca="false">MAX(AT639,H639)</f>
        <v>36</v>
      </c>
      <c r="AE639" s="57"/>
      <c r="AF639" s="50" t="n">
        <f aca="false">IF(LEFT(Cockpit!$C$5,1)="A",H639,IF(CE639=1,CF639,IF(LEFT(Cockpit!$C$5,1)="B",AK639,MAX(AK639,H639))))</f>
        <v>14</v>
      </c>
      <c r="AG639" s="50" t="n">
        <f aca="false">IF(BW639=1,0,ROUNDUP(AF639/BV639,0))</f>
        <v>1</v>
      </c>
      <c r="AH639" s="52" t="n">
        <f aca="false">IF(CL639&gt;0,CL639*MAX(1,AF639/X639),IF(BW639=1,IF(AF639&lt;=0,0,CA639*MAX(1,IF(H639&gt;0,AF639/H639,1))),IF(R639&gt;0,AG639/R639,0))/MAX(0.1,N(Parameter!$M$21)))</f>
        <v>0.00714285714285714</v>
      </c>
      <c r="AI639" s="50" t="n">
        <f aca="false">AH639*BY639</f>
        <v>1.10714285714286</v>
      </c>
      <c r="AJ639" s="50" t="n">
        <f aca="false">AF639*G639</f>
        <v>5.32</v>
      </c>
      <c r="AK639" s="50" t="n">
        <f aca="false">ROUNDUP(MAX(J639/IF(CD639&gt;0,CD639,MAX(0.1,N(Cockpit!$C$6))),CG639)/BV639,0)*BV639</f>
        <v>36</v>
      </c>
      <c r="AL639" s="51" t="n">
        <f aca="false">IF(AI639&gt;0,J639/AI639,-1)</f>
        <v>1.80645161290323</v>
      </c>
      <c r="AM639" s="51" t="n">
        <f aca="false">IF(AND(OR(CC639="L1",CC639="L23",CC639="LIFT"),AI639&gt;0),SUMIFS($AI$7:$AI$1843,$CC$7:$CC$1843,CC639,$AL$7:$AL$1843,"&gt;"&amp;AL639)+SUMIFS($AI$7:$AI$1843,$CC$7:$CC$1843,CC639,$AL$7:$AL$1843,AL639,$BT$7:$BT$1843,"&lt;="&amp;BT639),"")</f>
        <v>5964.23672161172</v>
      </c>
      <c r="AN639" s="58" t="n">
        <f aca="false">IF(AM639="",0,MAX(0,MIN(1,(IF(CC639="L1",Parameter!$H$5,IF(CC639="L23",Parameter!$H$6+Parameter!$H$7,Parameter!$H$5+Parameter!$H$6+Parameter!$H$7))-(AM639-AI639))/AI639)))</f>
        <v>1</v>
      </c>
      <c r="AO639" s="50" t="n">
        <f aca="false">IF(LEFT(Cockpit!$I$5,1)="A",H639,IF(CE639=1,CF639,IF(LEFT(Cockpit!$I$5,1)="B",AT639,MAX(AT639,H639))))</f>
        <v>36</v>
      </c>
      <c r="AP639" s="50" t="n">
        <f aca="false">IF(BW639=1,0,ROUNDUP(AO639/BV639,0))</f>
        <v>1</v>
      </c>
      <c r="AQ639" s="52" t="n">
        <f aca="false">IF(CL639&gt;0,CL639*MAX(1,AO639/X639),IF(BW639=1,IF(AO639&lt;=0,0,CA639*MAX(1,IF(H639&gt;0,AO639/H639,1))),IF(R639&gt;0,AP639/R639,0))/MAX(0.1,N(Parameter!$M$21)))</f>
        <v>0.00714285714285714</v>
      </c>
      <c r="AR639" s="50" t="n">
        <f aca="false">AQ639*BY639</f>
        <v>1.10714285714286</v>
      </c>
      <c r="AS639" s="50" t="n">
        <f aca="false">AO639*G639</f>
        <v>13.68</v>
      </c>
      <c r="AT639" s="50" t="n">
        <f aca="false">ROUNDUP(MAX(J639/IF(CD639&gt;0,CD639,MAX(0.1,N(Cockpit!$I$6))),CG639)/BV639,0)*BV639</f>
        <v>36</v>
      </c>
      <c r="AU639" s="51" t="n">
        <f aca="false">IF(AR639&gt;0,J639/AR639,-1)</f>
        <v>1.80645161290323</v>
      </c>
      <c r="AV639" s="51" t="n">
        <f aca="false">IF(AND(OR(CC639="L1",CC639="L23",CC639="LIFT"),AR639&gt;0),SUMIFS($AR$7:$AR$1843,$CC$7:$CC$1843,CC639,$AU$7:$AU$1843,"&gt;"&amp;AU639)+SUMIFS($AR$7:$AR$1843,$CC$7:$CC$1843,CC639,$AU$7:$AU$1843,AU639,$BT$7:$BT$1843,"&lt;="&amp;BT639),"")</f>
        <v>8074.60210622711</v>
      </c>
      <c r="AW639" s="58" t="n">
        <f aca="false">IF(AV639="",0,MAX(0,MIN(1,(IF(CC639="L1",Parameter!$H$5,IF(CC639="L23",Parameter!$H$6+Parameter!$H$7,Parameter!$H$5+Parameter!$H$6+Parameter!$H$7))-(AV639-AR639))/AR639)))</f>
        <v>1</v>
      </c>
      <c r="AX639" s="50" t="n">
        <f aca="false">IF(LEFT(Cockpit!$O$5,1)="A",H639,IF(CE639=1,CF639,IF(LEFT(Cockpit!$O$5,1)="B",BC639,MAX(BC639,H639))))</f>
        <v>36</v>
      </c>
      <c r="AY639" s="50" t="n">
        <f aca="false">IF(BW639=1,0,ROUNDUP(AX639/BV639,0))</f>
        <v>1</v>
      </c>
      <c r="AZ639" s="52" t="n">
        <f aca="false">IF(CL639&gt;0,CL639*MAX(1,AX639/X639),IF(BW639=1,IF(AX639&lt;=0,0,CA639*MAX(1,IF(H639&gt;0,AX639/H639,1))),IF(R639&gt;0,AY639/R639,0))/MAX(0.1,N(Parameter!$M$21)))</f>
        <v>0.00714285714285714</v>
      </c>
      <c r="BA639" s="50" t="n">
        <f aca="false">AZ639*BY639</f>
        <v>1.10714285714286</v>
      </c>
      <c r="BB639" s="50" t="n">
        <f aca="false">AX639*G639</f>
        <v>13.68</v>
      </c>
      <c r="BC639" s="50" t="n">
        <f aca="false">ROUNDUP(MAX(J639/IF(CD639&gt;0,CD639,MAX(0.1,N(Cockpit!$O$6))),CG639)/BV639,0)*BV639</f>
        <v>36</v>
      </c>
      <c r="BD639" s="51" t="n">
        <f aca="false">IF(BA639&gt;0,J639/BA639,-1)</f>
        <v>1.80645161290323</v>
      </c>
      <c r="BE639" s="51" t="n">
        <f aca="false">IF(AND(OR(CC639="L1",CC639="L23",CC639="LIFT"),BA639&gt;0),SUMIFS($BA$7:$BA$1843,$CC$7:$CC$1843,CC639,$BD$7:$BD$1843,"&gt;"&amp;BD639)+SUMIFS($BA$7:$BA$1843,$CC$7:$CC$1843,CC639,$BD$7:$BD$1843,BD639,$BT$7:$BT$1843,"&lt;="&amp;BT639),"")</f>
        <v>7976.92582417582</v>
      </c>
      <c r="BF639" s="58" t="n">
        <f aca="false">IF(BE639="",0,MAX(0,MIN(1,(IF(CC639="L1",Parameter!$H$5,IF(CC639="L23",Parameter!$H$6+Parameter!$H$7,Parameter!$H$5+Parameter!$H$6+Parameter!$H$7))-(BE639-BA639))/BA639)))</f>
        <v>1</v>
      </c>
      <c r="BG639" s="48" t="str">
        <f aca="false">IF(AI639&lt;=0,"",IF(CC639="Aussen","Aussenlager",IF(CC639="-","Nicht im Lift",IF(AN639&gt;=1,"Lift",IF(AN639&lt;=0,"Aussenlager","teilweise")))))</f>
        <v>Lift</v>
      </c>
      <c r="BH639" s="48" t="str">
        <f aca="false">IF(AR639&lt;=0,"",IF(CC639="Aussen","Aussenlager",IF(CC639="-","Nicht im Lift",IF(AW639&gt;=1,"Lift",IF(AW639&lt;=0,"Aussenlager","teilweise")))))</f>
        <v>Lift</v>
      </c>
      <c r="BI639" s="48" t="str">
        <f aca="false">IF(BA639&lt;=0,"",IF(CC639="Aussen","Aussenlager",IF(CC639="-","Nicht im Lift",IF(BF639&gt;=1,"Lift",IF(BF639&lt;=0,"Aussenlager","teilweise")))))</f>
        <v>Lift</v>
      </c>
      <c r="BJ639" s="48" t="str">
        <f aca="false">IF(A639="","",IF(BS639=1,"Neu; ","")&amp;IF(AND(BS639=0,BN639&lt;0),"negativer Bestand (Export "&amp;BN639&amp;"); ","")&amp;IF(J639&lt;=0,"Kein Verbrauch; ","")&amp;IF(CL639&gt;0,"Lift "&amp;W639&amp;" lt. Liftbericht (Fach "&amp;X639&amp;" Stk); ",IF(BX639=1,"Gebinde geschätzt ("&amp;T639&amp;"); ",IF(BW639=1,"Lose – Tablare geschätzt; ","")))&amp;IF(H639&gt;AT639,"Überbestand "&amp;ROUND(H639-AT639,0)&amp;" Stk / CHF "&amp;ROUND((H639-AT639)*G639,0)&amp;"; ","")&amp;IF(AND(CE639=1,CF639&lt;CG639),"MAX &lt; MB+LG; ","")&amp;IF(AND(CK639&gt;0,CJ639*10&gt;CK639),"zu hoch für Tablar; ","")&amp;IF(AND(BS639=0,OR(CE639=1,AA639&lt;&gt;"",U639&lt;&gt;"",V639&lt;&gt;"",AB639&lt;&gt;"")),"manuell übersteuert; ","")&amp;IF(AND(BW639=0,R639=0),"Gebinde unbekannt / Stellmass fehlt; ","")&amp;IF(AND(BW639=0,N(V639)&lt;=0,N(Q639)&lt;=0),"Menge pro Gebinde fehlt (Ist = 1 Gebinde); ","")&amp;BR639)</f>
        <v>Überbestand</v>
      </c>
      <c r="BK639" s="48"/>
      <c r="BL639" s="48"/>
      <c r="BM639" s="55"/>
      <c r="BN639" s="50" t="n">
        <v>1</v>
      </c>
      <c r="BO639" s="50" t="n">
        <v>13</v>
      </c>
      <c r="BP639" s="49" t="n">
        <v>0.38</v>
      </c>
      <c r="BQ639" s="50" t="n">
        <v>2</v>
      </c>
      <c r="BR639" s="48" t="s">
        <v>396</v>
      </c>
      <c r="BS639" s="53" t="n">
        <v>0</v>
      </c>
      <c r="BT639" s="53" t="n">
        <v>639</v>
      </c>
      <c r="BU639" s="48" t="str">
        <f aca="false">IF(U639&lt;&gt;"",UPPER(TRIM(U639)),IF(BX639=1,UPPER(VLOOKUP(T639,Parameter!$I$27:$K$29,2,0)),IF(P639="","LOSE",P639)))</f>
        <v>S22</v>
      </c>
      <c r="BV639" s="50" t="n">
        <f aca="false">IF(BU639="LOSE",1,IF(N(V639)&gt;0,V639,IF(BX639=1,MAX(1,N(VLOOKUP(T639,Parameter!$I$27:$K$29,3,0)),H639,N(N639)),IF(N(Q639)&gt;0,Q639,MAX(1,H639)))))</f>
        <v>36</v>
      </c>
      <c r="BW639" s="53" t="n">
        <f aca="false">IF(BU639="LOSE",1,0)</f>
        <v>0</v>
      </c>
      <c r="BX639" s="53" t="n">
        <f aca="false">IF(AND(U639="",OR(P639="",P639="LOSE"),T639&lt;&gt;"",N(S639)&lt;=0,ISNUMBER(MATCH(T639,Parameter!$I$27:$I$29,0))),1,0)</f>
        <v>0</v>
      </c>
      <c r="BY639" s="53" t="n">
        <f aca="false">IF(CL639&gt;0,INDEX(Parameter!$H$5:$H$7,W639)/INDEX(Parameter!$E$5:$E$7,W639),IF(AND(BW639=0,N(IFERROR(VLOOKUP(BU639,'Gebinde-Kategorie'!$A$5:$N$45,14,0),0))&gt;0),VLOOKUP(BU639,'Gebinde-Kategorie'!$A$5:$N$45,14,0)*10+Parameter!$M$23,Parameter!$M$24))</f>
        <v>155</v>
      </c>
      <c r="BZ639" s="48" t="str">
        <f aca="false">IF(AND(Parameter!$B$19="Ja",E639&lt;&gt;"",ISNUMBER(MATCH(E639,Parameter!$I$35:$I$52,0))),VLOOKUP(E639,Parameter!$I$35:$J$52,2,0),IFERROR(VLOOKUP(D639,Parameter!$A$35:$C$64,2,0),"Nein"))</f>
        <v>2+3</v>
      </c>
      <c r="CA639" s="52" t="n">
        <f aca="false">IF(BW639=0,0,IF(N(S639)&gt;0,S639,IFERROR(VLOOKUP(D639,Parameter!$A$35:$C$64,3,0)+0,0)))</f>
        <v>0</v>
      </c>
      <c r="CB639" s="48" t="n">
        <f aca="false">IF(AA639&lt;&gt;"",AA639,Z639)</f>
        <v>3</v>
      </c>
      <c r="CC639" s="48" t="str">
        <f aca="false">IF(OR(CB639=1,CB639=2,CB639=3),IF(Parameter!$E$27="Ja","LIFT",IF(CB639=1,"L1","L23")),IF(CB639="Aussen","Aussen","-"))</f>
        <v>LIFT</v>
      </c>
      <c r="CD639" s="59" t="n">
        <f aca="false">IF(N(AB639)&gt;0,AB639,0)</f>
        <v>0</v>
      </c>
      <c r="CE639" s="53" t="n">
        <f aca="false">IF(ISNUMBER(AE639),1,0)</f>
        <v>0</v>
      </c>
      <c r="CF639" s="50" t="n">
        <f aca="false">N(AE639)</f>
        <v>0</v>
      </c>
      <c r="CG639" s="50" t="n">
        <f aca="false">N(M639)+N(N639)</f>
        <v>1</v>
      </c>
      <c r="CH639" s="50" t="n">
        <f aca="false">ROUNDUP(H639/BV639,0)</f>
        <v>1</v>
      </c>
      <c r="CI639" s="50" t="n">
        <f aca="false">ROUNDUP(CF639/BV639,0)</f>
        <v>0</v>
      </c>
      <c r="CJ639" s="53" t="n">
        <f aca="false">IF(BW639=1,0,IFERROR(VLOOKUP(BU639,'Gebinde-Kategorie'!$A$5:$N$45,5,0)+0,0))</f>
        <v>8</v>
      </c>
      <c r="CK639" s="53" t="n">
        <f aca="false">IFERROR(IF(OR(CB639=1,CB639=2,CB639=3),N(INDEX(Parameter!$I$5:$I$7,CB639)),0),0)</f>
        <v>0</v>
      </c>
      <c r="CL639" s="52" t="n">
        <f aca="false">IF(AND(Parameter!$B$21="Ja",ISNUMBER(W639),N(X639)&gt;0),IFERROR(N(INDEX(Parameter!$L$5:$L$7,W639))*INDEX(Parameter!$E$5:$E$7,W639)*X639/SUMIFS($X$7:$X$1843,$W$7:$W$1843,W639),0),0)</f>
        <v>0</v>
      </c>
    </row>
    <row r="640" customFormat="false" ht="15" hidden="false" customHeight="false" outlineLevel="0" collapsed="false">
      <c r="A640" s="48" t="s">
        <v>1307</v>
      </c>
      <c r="B640" s="48" t="s">
        <v>1308</v>
      </c>
      <c r="C640" s="48" t="s">
        <v>168</v>
      </c>
      <c r="D640" s="48" t="s">
        <v>177</v>
      </c>
      <c r="E640" s="48"/>
      <c r="F640" s="48" t="s">
        <v>222</v>
      </c>
      <c r="G640" s="49" t="n">
        <v>0.01</v>
      </c>
      <c r="H640" s="50" t="n">
        <f aca="false">MAX(0,IF(AND(Parameter!$B$21="Ja",ISNUMBER(Y640)),Y640,IF(Parameter!$B$20="Jahresanfang 2025 + Export",BO640+BN640,BN640)))</f>
        <v>37</v>
      </c>
      <c r="I640" s="50" t="n">
        <f aca="false">H640*G640</f>
        <v>0.37</v>
      </c>
      <c r="J640" s="50" t="n">
        <f aca="false">BQ640*Parameter!$B$18</f>
        <v>0</v>
      </c>
      <c r="K640" s="51" t="n">
        <v>0</v>
      </c>
      <c r="L640" s="52" t="n">
        <v>0</v>
      </c>
      <c r="M640" s="50" t="n">
        <v>0</v>
      </c>
      <c r="N640" s="50" t="n">
        <v>1</v>
      </c>
      <c r="O640" s="53" t="n">
        <v>999</v>
      </c>
      <c r="P640" s="48" t="s">
        <v>172</v>
      </c>
      <c r="Q640" s="50"/>
      <c r="R640" s="53" t="n">
        <f aca="false">IF(BW640=1,0,IFERROR(VLOOKUP(BU640,'Gebinde-Kategorie'!$A$5:$N$45,13,0)+0,0))</f>
        <v>26</v>
      </c>
      <c r="S640" s="54"/>
      <c r="T640" s="55" t="s">
        <v>279</v>
      </c>
      <c r="U640" s="55"/>
      <c r="V640" s="55"/>
      <c r="W640" s="48"/>
      <c r="X640" s="50"/>
      <c r="Y640" s="50"/>
      <c r="Z640" s="48" t="n">
        <f aca="false">IF(A640="","",IF(AND(Parameter!$B$21="Ja",ISNUMBER(W640)),W640,IF(BZ640="2+3",IF(ISNUMBER(SEARCH("grosser Artikel",BR640)),2,IFERROR(VLOOKUP(BU640,Parameter!$F$35:$G$64,2,0),2)),IF(OR(BZ640="Nein",BZ640=""),"-",BZ640))))</f>
        <v>3</v>
      </c>
      <c r="AA640" s="55"/>
      <c r="AB640" s="56"/>
      <c r="AC640" s="50" t="n">
        <f aca="false">AT640</f>
        <v>37</v>
      </c>
      <c r="AD640" s="50" t="n">
        <f aca="false">MAX(AT640,H640)</f>
        <v>37</v>
      </c>
      <c r="AE640" s="57"/>
      <c r="AF640" s="50" t="n">
        <f aca="false">IF(LEFT(Cockpit!$C$5,1)="A",H640,IF(CE640=1,CF640,IF(LEFT(Cockpit!$C$5,1)="B",AK640,MAX(AK640,H640))))</f>
        <v>37</v>
      </c>
      <c r="AG640" s="50" t="n">
        <f aca="false">IF(BW640=1,0,ROUNDUP(AF640/BV640,0))</f>
        <v>1</v>
      </c>
      <c r="AH640" s="52" t="n">
        <f aca="false">IF(CL640&gt;0,CL640*MAX(1,AF640/X640),IF(BW640=1,IF(AF640&lt;=0,0,CA640*MAX(1,IF(H640&gt;0,AF640/H640,1))),IF(R640&gt;0,AG640/R640,0))/MAX(0.1,N(Parameter!$M$21)))</f>
        <v>0.0384615384615385</v>
      </c>
      <c r="AI640" s="50" t="n">
        <f aca="false">AH640*BY640</f>
        <v>5.96153846153846</v>
      </c>
      <c r="AJ640" s="50" t="n">
        <f aca="false">AF640*G640</f>
        <v>0.37</v>
      </c>
      <c r="AK640" s="50" t="n">
        <f aca="false">ROUNDUP(MAX(J640/IF(CD640&gt;0,CD640,MAX(0.1,N(Cockpit!$C$6))),CG640)/BV640,0)*BV640</f>
        <v>37</v>
      </c>
      <c r="AL640" s="51" t="n">
        <f aca="false">IF(AI640&gt;0,J640/AI640,-1)</f>
        <v>0</v>
      </c>
      <c r="AM640" s="51" t="n">
        <f aca="false">IF(AND(OR(CC640="L1",CC640="L23",CC640="LIFT"),AI640&gt;0),SUMIFS($AI$7:$AI$1843,$CC$7:$CC$1843,CC640,$AL$7:$AL$1843,"&gt;"&amp;AL640)+SUMIFS($AI$7:$AI$1843,$CC$7:$CC$1843,CC640,$AL$7:$AL$1843,AL640,$BT$7:$BT$1843,"&lt;="&amp;BT640),"")</f>
        <v>28593.2085014797</v>
      </c>
      <c r="AN640" s="58" t="n">
        <f aca="false">IF(AM640="",0,MAX(0,MIN(1,(IF(CC640="L1",Parameter!$H$5,IF(CC640="L23",Parameter!$H$6+Parameter!$H$7,Parameter!$H$5+Parameter!$H$6+Parameter!$H$7))-(AM640-AI640))/AI640)))</f>
        <v>1</v>
      </c>
      <c r="AO640" s="50" t="n">
        <f aca="false">IF(LEFT(Cockpit!$I$5,1)="A",H640,IF(CE640=1,CF640,IF(LEFT(Cockpit!$I$5,1)="B",AT640,MAX(AT640,H640))))</f>
        <v>37</v>
      </c>
      <c r="AP640" s="50" t="n">
        <f aca="false">IF(BW640=1,0,ROUNDUP(AO640/BV640,0))</f>
        <v>1</v>
      </c>
      <c r="AQ640" s="52" t="n">
        <f aca="false">IF(CL640&gt;0,CL640*MAX(1,AO640/X640),IF(BW640=1,IF(AO640&lt;=0,0,CA640*MAX(1,IF(H640&gt;0,AO640/H640,1))),IF(R640&gt;0,AP640/R640,0))/MAX(0.1,N(Parameter!$M$21)))</f>
        <v>0.0384615384615385</v>
      </c>
      <c r="AR640" s="50" t="n">
        <f aca="false">AQ640*BY640</f>
        <v>5.96153846153846</v>
      </c>
      <c r="AS640" s="50" t="n">
        <f aca="false">AO640*G640</f>
        <v>0.37</v>
      </c>
      <c r="AT640" s="50" t="n">
        <f aca="false">ROUNDUP(MAX(J640/IF(CD640&gt;0,CD640,MAX(0.1,N(Cockpit!$I$6))),CG640)/BV640,0)*BV640</f>
        <v>37</v>
      </c>
      <c r="AU640" s="51" t="n">
        <f aca="false">IF(AR640&gt;0,J640/AR640,-1)</f>
        <v>0</v>
      </c>
      <c r="AV640" s="51" t="n">
        <f aca="false">IF(AND(OR(CC640="L1",CC640="L23",CC640="LIFT"),AR640&gt;0),SUMIFS($AR$7:$AR$1843,$CC$7:$CC$1843,CC640,$AU$7:$AU$1843,"&gt;"&amp;AU640)+SUMIFS($AR$7:$AR$1843,$CC$7:$CC$1843,CC640,$AU$7:$AU$1843,AU640,$BT$7:$BT$1843,"&lt;="&amp;BT640),"")</f>
        <v>39912.6291286397</v>
      </c>
      <c r="AW640" s="58" t="n">
        <f aca="false">IF(AV640="",0,MAX(0,MIN(1,(IF(CC640="L1",Parameter!$H$5,IF(CC640="L23",Parameter!$H$6+Parameter!$H$7,Parameter!$H$5+Parameter!$H$6+Parameter!$H$7))-(AV640-AR640))/AR640)))</f>
        <v>0</v>
      </c>
      <c r="AX640" s="50" t="n">
        <f aca="false">IF(LEFT(Cockpit!$O$5,1)="A",H640,IF(CE640=1,CF640,IF(LEFT(Cockpit!$O$5,1)="B",BC640,MAX(BC640,H640))))</f>
        <v>37</v>
      </c>
      <c r="AY640" s="50" t="n">
        <f aca="false">IF(BW640=1,0,ROUNDUP(AX640/BV640,0))</f>
        <v>1</v>
      </c>
      <c r="AZ640" s="52" t="n">
        <f aca="false">IF(CL640&gt;0,CL640*MAX(1,AX640/X640),IF(BW640=1,IF(AX640&lt;=0,0,CA640*MAX(1,IF(H640&gt;0,AX640/H640,1))),IF(R640&gt;0,AY640/R640,0))/MAX(0.1,N(Parameter!$M$21)))</f>
        <v>0.0384615384615385</v>
      </c>
      <c r="BA640" s="50" t="n">
        <f aca="false">AZ640*BY640</f>
        <v>5.96153846153846</v>
      </c>
      <c r="BB640" s="50" t="n">
        <f aca="false">AX640*G640</f>
        <v>0.37</v>
      </c>
      <c r="BC640" s="50" t="n">
        <f aca="false">ROUNDUP(MAX(J640/IF(CD640&gt;0,CD640,MAX(0.1,N(Cockpit!$O$6))),CG640)/BV640,0)*BV640</f>
        <v>37</v>
      </c>
      <c r="BD640" s="51" t="n">
        <f aca="false">IF(BA640&gt;0,J640/BA640,-1)</f>
        <v>0</v>
      </c>
      <c r="BE640" s="51" t="n">
        <f aca="false">IF(AND(OR(CC640="L1",CC640="L23",CC640="LIFT"),BA640&gt;0),SUMIFS($BA$7:$BA$1843,$CC$7:$CC$1843,CC640,$BD$7:$BD$1843,"&gt;"&amp;BD640)+SUMIFS($BA$7:$BA$1843,$CC$7:$CC$1843,CC640,$BD$7:$BD$1843,BD640,$BT$7:$BT$1843,"&lt;="&amp;BT640),"")</f>
        <v>36587.6411705056</v>
      </c>
      <c r="BF640" s="58" t="n">
        <f aca="false">IF(BE640="",0,MAX(0,MIN(1,(IF(CC640="L1",Parameter!$H$5,IF(CC640="L23",Parameter!$H$6+Parameter!$H$7,Parameter!$H$5+Parameter!$H$6+Parameter!$H$7))-(BE640-BA640))/BA640)))</f>
        <v>0</v>
      </c>
      <c r="BG640" s="48" t="str">
        <f aca="false">IF(AI640&lt;=0,"",IF(CC640="Aussen","Aussenlager",IF(CC640="-","Nicht im Lift",IF(AN640&gt;=1,"Lift",IF(AN640&lt;=0,"Aussenlager","teilweise")))))</f>
        <v>Lift</v>
      </c>
      <c r="BH640" s="48" t="str">
        <f aca="false">IF(AR640&lt;=0,"",IF(CC640="Aussen","Aussenlager",IF(CC640="-","Nicht im Lift",IF(AW640&gt;=1,"Lift",IF(AW640&lt;=0,"Aussenlager","teilweise")))))</f>
        <v>Aussenlager</v>
      </c>
      <c r="BI640" s="48" t="str">
        <f aca="false">IF(BA640&lt;=0,"",IF(CC640="Aussen","Aussenlager",IF(CC640="-","Nicht im Lift",IF(BF640&gt;=1,"Lift",IF(BF640&lt;=0,"Aussenlager","teilweise")))))</f>
        <v>Aussenlager</v>
      </c>
      <c r="BJ640" s="48" t="str">
        <f aca="false">IF(A640="","",IF(BS640=1,"Neu; ","")&amp;IF(AND(BS640=0,BN640&lt;0),"negativer Bestand (Export "&amp;BN640&amp;"); ","")&amp;IF(J640&lt;=0,"Kein Verbrauch; ","")&amp;IF(CL640&gt;0,"Lift "&amp;W640&amp;" lt. Liftbericht (Fach "&amp;X640&amp;" Stk); ",IF(BX640=1,"Gebinde geschätzt ("&amp;T640&amp;"); ",IF(BW640=1,"Lose – Tablare geschätzt; ","")))&amp;IF(H640&gt;AT640,"Überbestand "&amp;ROUND(H640-AT640,0)&amp;" Stk / CHF "&amp;ROUND((H640-AT640)*G640,0)&amp;"; ","")&amp;IF(AND(CE640=1,CF640&lt;CG640),"MAX &lt; MB+LG; ","")&amp;IF(AND(CK640&gt;0,CJ640*10&gt;CK640),"zu hoch für Tablar; ","")&amp;IF(AND(BS640=0,OR(CE640=1,AA640&lt;&gt;"",U640&lt;&gt;"",V640&lt;&gt;"",AB640&lt;&gt;"")),"manuell übersteuert; ","")&amp;IF(AND(BW640=0,R640=0),"Gebinde unbekannt / Stellmass fehlt; ","")&amp;IF(AND(BW640=0,N(V640)&lt;=0,N(Q640)&lt;=0),"Menge pro Gebinde fehlt (Ist = 1 Gebinde); ","")&amp;BR640)</f>
        <v>Kein Verbrauch; Gebinde geschätzt (Klein); Menge pro Gebinde fehlt (Ist = 1 Gebinde); </v>
      </c>
      <c r="BK640" s="48"/>
      <c r="BL640" s="48"/>
      <c r="BM640" s="55"/>
      <c r="BN640" s="50" t="n">
        <v>37</v>
      </c>
      <c r="BO640" s="50" t="n">
        <v>0</v>
      </c>
      <c r="BP640" s="49" t="n">
        <v>0.37</v>
      </c>
      <c r="BQ640" s="50" t="n">
        <v>0</v>
      </c>
      <c r="BR640" s="48"/>
      <c r="BS640" s="53" t="n">
        <v>0</v>
      </c>
      <c r="BT640" s="53" t="n">
        <v>640</v>
      </c>
      <c r="BU640" s="48" t="str">
        <f aca="false">IF(U640&lt;&gt;"",UPPER(TRIM(U640)),IF(BX640=1,UPPER(VLOOKUP(T640,Parameter!$I$27:$K$29,2,0)),IF(P640="","LOSE",P640)))</f>
        <v>S51</v>
      </c>
      <c r="BV640" s="50" t="n">
        <f aca="false">IF(BU640="LOSE",1,IF(N(V640)&gt;0,V640,IF(BX640=1,MAX(1,N(VLOOKUP(T640,Parameter!$I$27:$K$29,3,0)),H640,N(N640)),IF(N(Q640)&gt;0,Q640,MAX(1,H640)))))</f>
        <v>37</v>
      </c>
      <c r="BW640" s="53" t="n">
        <f aca="false">IF(BU640="LOSE",1,0)</f>
        <v>0</v>
      </c>
      <c r="BX640" s="53" t="n">
        <f aca="false">IF(AND(U640="",OR(P640="",P640="LOSE"),T640&lt;&gt;"",N(S640)&lt;=0,ISNUMBER(MATCH(T640,Parameter!$I$27:$I$29,0))),1,0)</f>
        <v>1</v>
      </c>
      <c r="BY640" s="53" t="n">
        <f aca="false">IF(CL640&gt;0,INDEX(Parameter!$H$5:$H$7,W640)/INDEX(Parameter!$E$5:$E$7,W640),IF(AND(BW640=0,N(IFERROR(VLOOKUP(BU640,'Gebinde-Kategorie'!$A$5:$N$45,14,0),0))&gt;0),VLOOKUP(BU640,'Gebinde-Kategorie'!$A$5:$N$45,14,0)*10+Parameter!$M$23,Parameter!$M$24))</f>
        <v>155</v>
      </c>
      <c r="BZ640" s="48" t="str">
        <f aca="false">IF(AND(Parameter!$B$19="Ja",E640&lt;&gt;"",ISNUMBER(MATCH(E640,Parameter!$I$35:$I$52,0))),VLOOKUP(E640,Parameter!$I$35:$J$52,2,0),IFERROR(VLOOKUP(D640,Parameter!$A$35:$C$64,2,0),"Nein"))</f>
        <v>2+3</v>
      </c>
      <c r="CA640" s="52" t="n">
        <f aca="false">IF(BW640=0,0,IF(N(S640)&gt;0,S640,IFERROR(VLOOKUP(D640,Parameter!$A$35:$C$64,3,0)+0,0)))</f>
        <v>0</v>
      </c>
      <c r="CB640" s="48" t="n">
        <f aca="false">IF(AA640&lt;&gt;"",AA640,Z640)</f>
        <v>3</v>
      </c>
      <c r="CC640" s="48" t="str">
        <f aca="false">IF(OR(CB640=1,CB640=2,CB640=3),IF(Parameter!$E$27="Ja","LIFT",IF(CB640=1,"L1","L23")),IF(CB640="Aussen","Aussen","-"))</f>
        <v>LIFT</v>
      </c>
      <c r="CD640" s="59" t="n">
        <f aca="false">IF(N(AB640)&gt;0,AB640,0)</f>
        <v>0</v>
      </c>
      <c r="CE640" s="53" t="n">
        <f aca="false">IF(ISNUMBER(AE640),1,0)</f>
        <v>0</v>
      </c>
      <c r="CF640" s="50" t="n">
        <f aca="false">N(AE640)</f>
        <v>0</v>
      </c>
      <c r="CG640" s="50" t="n">
        <f aca="false">N(M640)+N(N640)</f>
        <v>1</v>
      </c>
      <c r="CH640" s="50" t="n">
        <f aca="false">ROUNDUP(H640/BV640,0)</f>
        <v>1</v>
      </c>
      <c r="CI640" s="50" t="n">
        <f aca="false">ROUNDUP(CF640/BV640,0)</f>
        <v>0</v>
      </c>
      <c r="CJ640" s="53" t="n">
        <f aca="false">IF(BW640=1,0,IFERROR(VLOOKUP(BU640,'Gebinde-Kategorie'!$A$5:$N$45,5,0)+0,0))</f>
        <v>11</v>
      </c>
      <c r="CK640" s="53" t="n">
        <f aca="false">IFERROR(IF(OR(CB640=1,CB640=2,CB640=3),N(INDEX(Parameter!$I$5:$I$7,CB640)),0),0)</f>
        <v>0</v>
      </c>
      <c r="CL640" s="52" t="n">
        <f aca="false">IF(AND(Parameter!$B$21="Ja",ISNUMBER(W640),N(X640)&gt;0),IFERROR(N(INDEX(Parameter!$L$5:$L$7,W640))*INDEX(Parameter!$E$5:$E$7,W640)*X640/SUMIFS($X$7:$X$1843,$W$7:$W$1843,W640),0),0)</f>
        <v>0</v>
      </c>
    </row>
    <row r="641" customFormat="false" ht="15" hidden="false" customHeight="false" outlineLevel="0" collapsed="false">
      <c r="A641" s="48" t="s">
        <v>1309</v>
      </c>
      <c r="B641" s="48" t="s">
        <v>1310</v>
      </c>
      <c r="C641" s="48" t="s">
        <v>168</v>
      </c>
      <c r="D641" s="48" t="s">
        <v>188</v>
      </c>
      <c r="E641" s="48" t="s">
        <v>189</v>
      </c>
      <c r="F641" s="48" t="s">
        <v>222</v>
      </c>
      <c r="G641" s="49" t="n">
        <v>0.01</v>
      </c>
      <c r="H641" s="50" t="n">
        <f aca="false">MAX(0,IF(AND(Parameter!$B$21="Ja",ISNUMBER(Y641)),Y641,IF(Parameter!$B$20="Jahresanfang 2025 + Export",BO641+BN641,BN641)))</f>
        <v>76</v>
      </c>
      <c r="I641" s="50" t="n">
        <f aca="false">H641*G641</f>
        <v>0.76</v>
      </c>
      <c r="J641" s="50" t="n">
        <f aca="false">BQ641*Parameter!$B$18</f>
        <v>56</v>
      </c>
      <c r="K641" s="51" t="n">
        <v>59</v>
      </c>
      <c r="L641" s="52" t="n">
        <v>0.949152542372881</v>
      </c>
      <c r="M641" s="50" t="n">
        <v>3</v>
      </c>
      <c r="N641" s="50" t="n">
        <v>100</v>
      </c>
      <c r="O641" s="53" t="n">
        <v>21</v>
      </c>
      <c r="P641" s="48" t="s">
        <v>430</v>
      </c>
      <c r="Q641" s="50" t="n">
        <v>161</v>
      </c>
      <c r="R641" s="53" t="n">
        <f aca="false">IF(BW641=1,0,IFERROR(VLOOKUP(BU641,'Gebinde-Kategorie'!$A$5:$N$45,13,0)+0,0))</f>
        <v>140</v>
      </c>
      <c r="S641" s="54"/>
      <c r="T641" s="55"/>
      <c r="U641" s="55"/>
      <c r="V641" s="55"/>
      <c r="W641" s="48"/>
      <c r="X641" s="50"/>
      <c r="Y641" s="50"/>
      <c r="Z641" s="48" t="n">
        <f aca="false">IF(A641="","",IF(AND(Parameter!$B$21="Ja",ISNUMBER(W641)),W641,IF(BZ641="2+3",IF(ISNUMBER(SEARCH("grosser Artikel",BR641)),2,IFERROR(VLOOKUP(BU641,Parameter!$F$35:$G$64,2,0),2)),IF(OR(BZ641="Nein",BZ641=""),"-",BZ641))))</f>
        <v>3</v>
      </c>
      <c r="AA641" s="55"/>
      <c r="AB641" s="56"/>
      <c r="AC641" s="50" t="n">
        <f aca="false">AT641</f>
        <v>161</v>
      </c>
      <c r="AD641" s="50" t="n">
        <f aca="false">MAX(AT641,H641)</f>
        <v>161</v>
      </c>
      <c r="AE641" s="57"/>
      <c r="AF641" s="50" t="n">
        <f aca="false">IF(LEFT(Cockpit!$C$5,1)="A",H641,IF(CE641=1,CF641,IF(LEFT(Cockpit!$C$5,1)="B",AK641,MAX(AK641,H641))))</f>
        <v>76</v>
      </c>
      <c r="AG641" s="50" t="n">
        <f aca="false">IF(BW641=1,0,ROUNDUP(AF641/BV641,0))</f>
        <v>1</v>
      </c>
      <c r="AH641" s="52" t="n">
        <f aca="false">IF(CL641&gt;0,CL641*MAX(1,AF641/X641),IF(BW641=1,IF(AF641&lt;=0,0,CA641*MAX(1,IF(H641&gt;0,AF641/H641,1))),IF(R641&gt;0,AG641/R641,0))/MAX(0.1,N(Parameter!$M$21)))</f>
        <v>0.00714285714285714</v>
      </c>
      <c r="AI641" s="50" t="n">
        <f aca="false">AH641*BY641</f>
        <v>1.10714285714286</v>
      </c>
      <c r="AJ641" s="50" t="n">
        <f aca="false">AF641*G641</f>
        <v>0.76</v>
      </c>
      <c r="AK641" s="50" t="n">
        <f aca="false">ROUNDUP(MAX(J641/IF(CD641&gt;0,CD641,MAX(0.1,N(Cockpit!$C$6))),CG641)/BV641,0)*BV641</f>
        <v>161</v>
      </c>
      <c r="AL641" s="51" t="n">
        <f aca="false">IF(AI641&gt;0,J641/AI641,-1)</f>
        <v>50.5806451612903</v>
      </c>
      <c r="AM641" s="51" t="n">
        <f aca="false">IF(AND(OR(CC641="L1",CC641="L23",CC641="LIFT"),AI641&gt;0),SUMIFS($AI$7:$AI$1843,$CC$7:$CC$1843,CC641,$AL$7:$AL$1843,"&gt;"&amp;AL641)+SUMIFS($AI$7:$AI$1843,$CC$7:$CC$1843,CC641,$AL$7:$AL$1843,AL641,$BT$7:$BT$1843,"&lt;="&amp;BT641),"")</f>
        <v>1027.98214285714</v>
      </c>
      <c r="AN641" s="58" t="n">
        <f aca="false">IF(AM641="",0,MAX(0,MIN(1,(IF(CC641="L1",Parameter!$H$5,IF(CC641="L23",Parameter!$H$6+Parameter!$H$7,Parameter!$H$5+Parameter!$H$6+Parameter!$H$7))-(AM641-AI641))/AI641)))</f>
        <v>1</v>
      </c>
      <c r="AO641" s="50" t="n">
        <f aca="false">IF(LEFT(Cockpit!$I$5,1)="A",H641,IF(CE641=1,CF641,IF(LEFT(Cockpit!$I$5,1)="B",AT641,MAX(AT641,H641))))</f>
        <v>161</v>
      </c>
      <c r="AP641" s="50" t="n">
        <f aca="false">IF(BW641=1,0,ROUNDUP(AO641/BV641,0))</f>
        <v>1</v>
      </c>
      <c r="AQ641" s="52" t="n">
        <f aca="false">IF(CL641&gt;0,CL641*MAX(1,AO641/X641),IF(BW641=1,IF(AO641&lt;=0,0,CA641*MAX(1,IF(H641&gt;0,AO641/H641,1))),IF(R641&gt;0,AP641/R641,0))/MAX(0.1,N(Parameter!$M$21)))</f>
        <v>0.00714285714285714</v>
      </c>
      <c r="AR641" s="50" t="n">
        <f aca="false">AQ641*BY641</f>
        <v>1.10714285714286</v>
      </c>
      <c r="AS641" s="50" t="n">
        <f aca="false">AO641*G641</f>
        <v>1.61</v>
      </c>
      <c r="AT641" s="50" t="n">
        <f aca="false">ROUNDUP(MAX(J641/IF(CD641&gt;0,CD641,MAX(0.1,N(Cockpit!$I$6))),CG641)/BV641,0)*BV641</f>
        <v>161</v>
      </c>
      <c r="AU641" s="51" t="n">
        <f aca="false">IF(AR641&gt;0,J641/AR641,-1)</f>
        <v>50.5806451612903</v>
      </c>
      <c r="AV641" s="51" t="n">
        <f aca="false">IF(AND(OR(CC641="L1",CC641="L23",CC641="LIFT"),AR641&gt;0),SUMIFS($AR$7:$AR$1843,$CC$7:$CC$1843,CC641,$AU$7:$AU$1843,"&gt;"&amp;AU641)+SUMIFS($AR$7:$AR$1843,$CC$7:$CC$1843,CC641,$AU$7:$AU$1843,AU641,$BT$7:$BT$1843,"&lt;="&amp;BT641),"")</f>
        <v>1525.95054945055</v>
      </c>
      <c r="AW641" s="58" t="n">
        <f aca="false">IF(AV641="",0,MAX(0,MIN(1,(IF(CC641="L1",Parameter!$H$5,IF(CC641="L23",Parameter!$H$6+Parameter!$H$7,Parameter!$H$5+Parameter!$H$6+Parameter!$H$7))-(AV641-AR641))/AR641)))</f>
        <v>1</v>
      </c>
      <c r="AX641" s="50" t="n">
        <f aca="false">IF(LEFT(Cockpit!$O$5,1)="A",H641,IF(CE641=1,CF641,IF(LEFT(Cockpit!$O$5,1)="B",BC641,MAX(BC641,H641))))</f>
        <v>161</v>
      </c>
      <c r="AY641" s="50" t="n">
        <f aca="false">IF(BW641=1,0,ROUNDUP(AX641/BV641,0))</f>
        <v>1</v>
      </c>
      <c r="AZ641" s="52" t="n">
        <f aca="false">IF(CL641&gt;0,CL641*MAX(1,AX641/X641),IF(BW641=1,IF(AX641&lt;=0,0,CA641*MAX(1,IF(H641&gt;0,AX641/H641,1))),IF(R641&gt;0,AY641/R641,0))/MAX(0.1,N(Parameter!$M$21)))</f>
        <v>0.00714285714285714</v>
      </c>
      <c r="BA641" s="50" t="n">
        <f aca="false">AZ641*BY641</f>
        <v>1.10714285714286</v>
      </c>
      <c r="BB641" s="50" t="n">
        <f aca="false">AX641*G641</f>
        <v>1.61</v>
      </c>
      <c r="BC641" s="50" t="n">
        <f aca="false">ROUNDUP(MAX(J641/IF(CD641&gt;0,CD641,MAX(0.1,N(Cockpit!$O$6))),CG641)/BV641,0)*BV641</f>
        <v>161</v>
      </c>
      <c r="BD641" s="51" t="n">
        <f aca="false">IF(BA641&gt;0,J641/BA641,-1)</f>
        <v>50.5806451612903</v>
      </c>
      <c r="BE641" s="51" t="n">
        <f aca="false">IF(AND(OR(CC641="L1",CC641="L23",CC641="LIFT"),BA641&gt;0),SUMIFS($BA$7:$BA$1843,$CC$7:$CC$1843,CC641,$BD$7:$BD$1843,"&gt;"&amp;BD641)+SUMIFS($BA$7:$BA$1843,$CC$7:$CC$1843,CC641,$BD$7:$BD$1843,BD641,$BT$7:$BT$1843,"&lt;="&amp;BT641),"")</f>
        <v>1353.17811355311</v>
      </c>
      <c r="BF641" s="58" t="n">
        <f aca="false">IF(BE641="",0,MAX(0,MIN(1,(IF(CC641="L1",Parameter!$H$5,IF(CC641="L23",Parameter!$H$6+Parameter!$H$7,Parameter!$H$5+Parameter!$H$6+Parameter!$H$7))-(BE641-BA641))/BA641)))</f>
        <v>1</v>
      </c>
      <c r="BG641" s="48" t="str">
        <f aca="false">IF(AI641&lt;=0,"",IF(CC641="Aussen","Aussenlager",IF(CC641="-","Nicht im Lift",IF(AN641&gt;=1,"Lift",IF(AN641&lt;=0,"Aussenlager","teilweise")))))</f>
        <v>Lift</v>
      </c>
      <c r="BH641" s="48" t="str">
        <f aca="false">IF(AR641&lt;=0,"",IF(CC641="Aussen","Aussenlager",IF(CC641="-","Nicht im Lift",IF(AW641&gt;=1,"Lift",IF(AW641&lt;=0,"Aussenlager","teilweise")))))</f>
        <v>Lift</v>
      </c>
      <c r="BI641" s="48" t="str">
        <f aca="false">IF(BA641&lt;=0,"",IF(CC641="Aussen","Aussenlager",IF(CC641="-","Nicht im Lift",IF(BF641&gt;=1,"Lift",IF(BF641&lt;=0,"Aussenlager","teilweise")))))</f>
        <v>Lift</v>
      </c>
      <c r="BJ641" s="48" t="str">
        <f aca="false">IF(A641="","",IF(BS641=1,"Neu; ","")&amp;IF(AND(BS641=0,BN641&lt;0),"negativer Bestand (Export "&amp;BN641&amp;"); ","")&amp;IF(J641&lt;=0,"Kein Verbrauch; ","")&amp;IF(CL641&gt;0,"Lift "&amp;W641&amp;" lt. Liftbericht (Fach "&amp;X641&amp;" Stk); ",IF(BX641=1,"Gebinde geschätzt ("&amp;T641&amp;"); ",IF(BW641=1,"Lose – Tablare geschätzt; ","")))&amp;IF(H641&gt;AT641,"Überbestand "&amp;ROUND(H641-AT641,0)&amp;" Stk / CHF "&amp;ROUND((H641-AT641)*G641,0)&amp;"; ","")&amp;IF(AND(CE641=1,CF641&lt;CG641),"MAX &lt; MB+LG; ","")&amp;IF(AND(CK641&gt;0,CJ641*10&gt;CK641),"zu hoch für Tablar; ","")&amp;IF(AND(BS641=0,OR(CE641=1,AA641&lt;&gt;"",U641&lt;&gt;"",V641&lt;&gt;"",AB641&lt;&gt;"")),"manuell übersteuert; ","")&amp;IF(AND(BW641=0,R641=0),"Gebinde unbekannt / Stellmass fehlt; ","")&amp;IF(AND(BW641=0,N(V641)&lt;=0,N(Q641)&lt;=0),"Menge pro Gebinde fehlt (Ist = 1 Gebinde); ","")&amp;BR641)</f>
        <v/>
      </c>
      <c r="BK641" s="48"/>
      <c r="BL641" s="48"/>
      <c r="BM641" s="55"/>
      <c r="BN641" s="50" t="n">
        <v>37</v>
      </c>
      <c r="BO641" s="50" t="n">
        <v>39</v>
      </c>
      <c r="BP641" s="49" t="n">
        <v>0.369999999999999</v>
      </c>
      <c r="BQ641" s="50" t="n">
        <v>56</v>
      </c>
      <c r="BR641" s="48"/>
      <c r="BS641" s="53" t="n">
        <v>0</v>
      </c>
      <c r="BT641" s="53" t="n">
        <v>641</v>
      </c>
      <c r="BU641" s="48" t="str">
        <f aca="false">IF(U641&lt;&gt;"",UPPER(TRIM(U641)),IF(BX641=1,UPPER(VLOOKUP(T641,Parameter!$I$27:$K$29,2,0)),IF(P641="","LOSE",P641)))</f>
        <v>S22</v>
      </c>
      <c r="BV641" s="50" t="n">
        <f aca="false">IF(BU641="LOSE",1,IF(N(V641)&gt;0,V641,IF(BX641=1,MAX(1,N(VLOOKUP(T641,Parameter!$I$27:$K$29,3,0)),H641,N(N641)),IF(N(Q641)&gt;0,Q641,MAX(1,H641)))))</f>
        <v>161</v>
      </c>
      <c r="BW641" s="53" t="n">
        <f aca="false">IF(BU641="LOSE",1,0)</f>
        <v>0</v>
      </c>
      <c r="BX641" s="53" t="n">
        <f aca="false">IF(AND(U641="",OR(P641="",P641="LOSE"),T641&lt;&gt;"",N(S641)&lt;=0,ISNUMBER(MATCH(T641,Parameter!$I$27:$I$29,0))),1,0)</f>
        <v>0</v>
      </c>
      <c r="BY641" s="53" t="n">
        <f aca="false">IF(CL641&gt;0,INDEX(Parameter!$H$5:$H$7,W641)/INDEX(Parameter!$E$5:$E$7,W641),IF(AND(BW641=0,N(IFERROR(VLOOKUP(BU641,'Gebinde-Kategorie'!$A$5:$N$45,14,0),0))&gt;0),VLOOKUP(BU641,'Gebinde-Kategorie'!$A$5:$N$45,14,0)*10+Parameter!$M$23,Parameter!$M$24))</f>
        <v>155</v>
      </c>
      <c r="BZ641" s="48" t="str">
        <f aca="false">IF(AND(Parameter!$B$19="Ja",E641&lt;&gt;"",ISNUMBER(MATCH(E641,Parameter!$I$35:$I$52,0))),VLOOKUP(E641,Parameter!$I$35:$J$52,2,0),IFERROR(VLOOKUP(D641,Parameter!$A$35:$C$64,2,0),"Nein"))</f>
        <v>2+3</v>
      </c>
      <c r="CA641" s="52" t="n">
        <f aca="false">IF(BW641=0,0,IF(N(S641)&gt;0,S641,IFERROR(VLOOKUP(D641,Parameter!$A$35:$C$64,3,0)+0,0)))</f>
        <v>0</v>
      </c>
      <c r="CB641" s="48" t="n">
        <f aca="false">IF(AA641&lt;&gt;"",AA641,Z641)</f>
        <v>3</v>
      </c>
      <c r="CC641" s="48" t="str">
        <f aca="false">IF(OR(CB641=1,CB641=2,CB641=3),IF(Parameter!$E$27="Ja","LIFT",IF(CB641=1,"L1","L23")),IF(CB641="Aussen","Aussen","-"))</f>
        <v>LIFT</v>
      </c>
      <c r="CD641" s="59" t="n">
        <f aca="false">IF(N(AB641)&gt;0,AB641,0)</f>
        <v>0</v>
      </c>
      <c r="CE641" s="53" t="n">
        <f aca="false">IF(ISNUMBER(AE641),1,0)</f>
        <v>0</v>
      </c>
      <c r="CF641" s="50" t="n">
        <f aca="false">N(AE641)</f>
        <v>0</v>
      </c>
      <c r="CG641" s="50" t="n">
        <f aca="false">N(M641)+N(N641)</f>
        <v>103</v>
      </c>
      <c r="CH641" s="50" t="n">
        <f aca="false">ROUNDUP(H641/BV641,0)</f>
        <v>1</v>
      </c>
      <c r="CI641" s="50" t="n">
        <f aca="false">ROUNDUP(CF641/BV641,0)</f>
        <v>0</v>
      </c>
      <c r="CJ641" s="53" t="n">
        <f aca="false">IF(BW641=1,0,IFERROR(VLOOKUP(BU641,'Gebinde-Kategorie'!$A$5:$N$45,5,0)+0,0))</f>
        <v>8</v>
      </c>
      <c r="CK641" s="53" t="n">
        <f aca="false">IFERROR(IF(OR(CB641=1,CB641=2,CB641=3),N(INDEX(Parameter!$I$5:$I$7,CB641)),0),0)</f>
        <v>0</v>
      </c>
      <c r="CL641" s="52" t="n">
        <f aca="false">IF(AND(Parameter!$B$21="Ja",ISNUMBER(W641),N(X641)&gt;0),IFERROR(N(INDEX(Parameter!$L$5:$L$7,W641))*INDEX(Parameter!$E$5:$E$7,W641)*X641/SUMIFS($X$7:$X$1843,$W$7:$W$1843,W641),0),0)</f>
        <v>0</v>
      </c>
    </row>
    <row r="642" customFormat="false" ht="15" hidden="false" customHeight="false" outlineLevel="0" collapsed="false">
      <c r="A642" s="48" t="s">
        <v>1311</v>
      </c>
      <c r="B642" s="48" t="s">
        <v>1312</v>
      </c>
      <c r="C642" s="48" t="s">
        <v>168</v>
      </c>
      <c r="D642" s="48" t="s">
        <v>177</v>
      </c>
      <c r="E642" s="48"/>
      <c r="F642" s="48" t="s">
        <v>222</v>
      </c>
      <c r="G642" s="49" t="n">
        <v>0.01</v>
      </c>
      <c r="H642" s="50" t="n">
        <f aca="false">MAX(0,IF(AND(Parameter!$B$21="Ja",ISNUMBER(Y642)),Y642,IF(Parameter!$B$20="Jahresanfang 2025 + Export",BO642+BN642,BN642)))</f>
        <v>36</v>
      </c>
      <c r="I642" s="50" t="n">
        <f aca="false">H642*G642</f>
        <v>0.36</v>
      </c>
      <c r="J642" s="50" t="n">
        <f aca="false">BQ642*Parameter!$B$18</f>
        <v>0</v>
      </c>
      <c r="K642" s="51" t="n">
        <v>0</v>
      </c>
      <c r="L642" s="52" t="n">
        <v>0</v>
      </c>
      <c r="M642" s="50" t="n">
        <v>0</v>
      </c>
      <c r="N642" s="50" t="n">
        <v>1</v>
      </c>
      <c r="O642" s="53" t="n">
        <v>0</v>
      </c>
      <c r="P642" s="48" t="s">
        <v>172</v>
      </c>
      <c r="Q642" s="50"/>
      <c r="R642" s="53" t="n">
        <f aca="false">IF(BW642=1,0,IFERROR(VLOOKUP(BU642,'Gebinde-Kategorie'!$A$5:$N$45,13,0)+0,0))</f>
        <v>26</v>
      </c>
      <c r="S642" s="54"/>
      <c r="T642" s="55" t="s">
        <v>279</v>
      </c>
      <c r="U642" s="55"/>
      <c r="V642" s="55"/>
      <c r="W642" s="48"/>
      <c r="X642" s="50"/>
      <c r="Y642" s="50"/>
      <c r="Z642" s="48" t="n">
        <f aca="false">IF(A642="","",IF(AND(Parameter!$B$21="Ja",ISNUMBER(W642)),W642,IF(BZ642="2+3",IF(ISNUMBER(SEARCH("grosser Artikel",BR642)),2,IFERROR(VLOOKUP(BU642,Parameter!$F$35:$G$64,2,0),2)),IF(OR(BZ642="Nein",BZ642=""),"-",BZ642))))</f>
        <v>3</v>
      </c>
      <c r="AA642" s="55"/>
      <c r="AB642" s="56"/>
      <c r="AC642" s="50" t="n">
        <f aca="false">AT642</f>
        <v>36</v>
      </c>
      <c r="AD642" s="50" t="n">
        <f aca="false">MAX(AT642,H642)</f>
        <v>36</v>
      </c>
      <c r="AE642" s="57"/>
      <c r="AF642" s="50" t="n">
        <f aca="false">IF(LEFT(Cockpit!$C$5,1)="A",H642,IF(CE642=1,CF642,IF(LEFT(Cockpit!$C$5,1)="B",AK642,MAX(AK642,H642))))</f>
        <v>36</v>
      </c>
      <c r="AG642" s="50" t="n">
        <f aca="false">IF(BW642=1,0,ROUNDUP(AF642/BV642,0))</f>
        <v>1</v>
      </c>
      <c r="AH642" s="52" t="n">
        <f aca="false">IF(CL642&gt;0,CL642*MAX(1,AF642/X642),IF(BW642=1,IF(AF642&lt;=0,0,CA642*MAX(1,IF(H642&gt;0,AF642/H642,1))),IF(R642&gt;0,AG642/R642,0))/MAX(0.1,N(Parameter!$M$21)))</f>
        <v>0.0384615384615385</v>
      </c>
      <c r="AI642" s="50" t="n">
        <f aca="false">AH642*BY642</f>
        <v>5.96153846153846</v>
      </c>
      <c r="AJ642" s="50" t="n">
        <f aca="false">AF642*G642</f>
        <v>0.36</v>
      </c>
      <c r="AK642" s="50" t="n">
        <f aca="false">ROUNDUP(MAX(J642/IF(CD642&gt;0,CD642,MAX(0.1,N(Cockpit!$C$6))),CG642)/BV642,0)*BV642</f>
        <v>36</v>
      </c>
      <c r="AL642" s="51" t="n">
        <f aca="false">IF(AI642&gt;0,J642/AI642,-1)</f>
        <v>0</v>
      </c>
      <c r="AM642" s="51" t="n">
        <f aca="false">IF(AND(OR(CC642="L1",CC642="L23",CC642="LIFT"),AI642&gt;0),SUMIFS($AI$7:$AI$1843,$CC$7:$CC$1843,CC642,$AL$7:$AL$1843,"&gt;"&amp;AL642)+SUMIFS($AI$7:$AI$1843,$CC$7:$CC$1843,CC642,$AL$7:$AL$1843,AL642,$BT$7:$BT$1843,"&lt;="&amp;BT642),"")</f>
        <v>28599.1700399412</v>
      </c>
      <c r="AN642" s="58" t="n">
        <f aca="false">IF(AM642="",0,MAX(0,MIN(1,(IF(CC642="L1",Parameter!$H$5,IF(CC642="L23",Parameter!$H$6+Parameter!$H$7,Parameter!$H$5+Parameter!$H$6+Parameter!$H$7))-(AM642-AI642))/AI642)))</f>
        <v>1</v>
      </c>
      <c r="AO642" s="50" t="n">
        <f aca="false">IF(LEFT(Cockpit!$I$5,1)="A",H642,IF(CE642=1,CF642,IF(LEFT(Cockpit!$I$5,1)="B",AT642,MAX(AT642,H642))))</f>
        <v>36</v>
      </c>
      <c r="AP642" s="50" t="n">
        <f aca="false">IF(BW642=1,0,ROUNDUP(AO642/BV642,0))</f>
        <v>1</v>
      </c>
      <c r="AQ642" s="52" t="n">
        <f aca="false">IF(CL642&gt;0,CL642*MAX(1,AO642/X642),IF(BW642=1,IF(AO642&lt;=0,0,CA642*MAX(1,IF(H642&gt;0,AO642/H642,1))),IF(R642&gt;0,AP642/R642,0))/MAX(0.1,N(Parameter!$M$21)))</f>
        <v>0.0384615384615385</v>
      </c>
      <c r="AR642" s="50" t="n">
        <f aca="false">AQ642*BY642</f>
        <v>5.96153846153846</v>
      </c>
      <c r="AS642" s="50" t="n">
        <f aca="false">AO642*G642</f>
        <v>0.36</v>
      </c>
      <c r="AT642" s="50" t="n">
        <f aca="false">ROUNDUP(MAX(J642/IF(CD642&gt;0,CD642,MAX(0.1,N(Cockpit!$I$6))),CG642)/BV642,0)*BV642</f>
        <v>36</v>
      </c>
      <c r="AU642" s="51" t="n">
        <f aca="false">IF(AR642&gt;0,J642/AR642,-1)</f>
        <v>0</v>
      </c>
      <c r="AV642" s="51" t="n">
        <f aca="false">IF(AND(OR(CC642="L1",CC642="L23",CC642="LIFT"),AR642&gt;0),SUMIFS($AR$7:$AR$1843,$CC$7:$CC$1843,CC642,$AU$7:$AU$1843,"&gt;"&amp;AU642)+SUMIFS($AR$7:$AR$1843,$CC$7:$CC$1843,CC642,$AU$7:$AU$1843,AU642,$BT$7:$BT$1843,"&lt;="&amp;BT642),"")</f>
        <v>39918.5906671013</v>
      </c>
      <c r="AW642" s="58" t="n">
        <f aca="false">IF(AV642="",0,MAX(0,MIN(1,(IF(CC642="L1",Parameter!$H$5,IF(CC642="L23",Parameter!$H$6+Parameter!$H$7,Parameter!$H$5+Parameter!$H$6+Parameter!$H$7))-(AV642-AR642))/AR642)))</f>
        <v>0</v>
      </c>
      <c r="AX642" s="50" t="n">
        <f aca="false">IF(LEFT(Cockpit!$O$5,1)="A",H642,IF(CE642=1,CF642,IF(LEFT(Cockpit!$O$5,1)="B",BC642,MAX(BC642,H642))))</f>
        <v>36</v>
      </c>
      <c r="AY642" s="50" t="n">
        <f aca="false">IF(BW642=1,0,ROUNDUP(AX642/BV642,0))</f>
        <v>1</v>
      </c>
      <c r="AZ642" s="52" t="n">
        <f aca="false">IF(CL642&gt;0,CL642*MAX(1,AX642/X642),IF(BW642=1,IF(AX642&lt;=0,0,CA642*MAX(1,IF(H642&gt;0,AX642/H642,1))),IF(R642&gt;0,AY642/R642,0))/MAX(0.1,N(Parameter!$M$21)))</f>
        <v>0.0384615384615385</v>
      </c>
      <c r="BA642" s="50" t="n">
        <f aca="false">AZ642*BY642</f>
        <v>5.96153846153846</v>
      </c>
      <c r="BB642" s="50" t="n">
        <f aca="false">AX642*G642</f>
        <v>0.36</v>
      </c>
      <c r="BC642" s="50" t="n">
        <f aca="false">ROUNDUP(MAX(J642/IF(CD642&gt;0,CD642,MAX(0.1,N(Cockpit!$O$6))),CG642)/BV642,0)*BV642</f>
        <v>36</v>
      </c>
      <c r="BD642" s="51" t="n">
        <f aca="false">IF(BA642&gt;0,J642/BA642,-1)</f>
        <v>0</v>
      </c>
      <c r="BE642" s="51" t="n">
        <f aca="false">IF(AND(OR(CC642="L1",CC642="L23",CC642="LIFT"),BA642&gt;0),SUMIFS($BA$7:$BA$1843,$CC$7:$CC$1843,CC642,$BD$7:$BD$1843,"&gt;"&amp;BD642)+SUMIFS($BA$7:$BA$1843,$CC$7:$CC$1843,CC642,$BD$7:$BD$1843,BD642,$BT$7:$BT$1843,"&lt;="&amp;BT642),"")</f>
        <v>36593.6027089671</v>
      </c>
      <c r="BF642" s="58" t="n">
        <f aca="false">IF(BE642="",0,MAX(0,MIN(1,(IF(CC642="L1",Parameter!$H$5,IF(CC642="L23",Parameter!$H$6+Parameter!$H$7,Parameter!$H$5+Parameter!$H$6+Parameter!$H$7))-(BE642-BA642))/BA642)))</f>
        <v>0</v>
      </c>
      <c r="BG642" s="48" t="str">
        <f aca="false">IF(AI642&lt;=0,"",IF(CC642="Aussen","Aussenlager",IF(CC642="-","Nicht im Lift",IF(AN642&gt;=1,"Lift",IF(AN642&lt;=0,"Aussenlager","teilweise")))))</f>
        <v>Lift</v>
      </c>
      <c r="BH642" s="48" t="str">
        <f aca="false">IF(AR642&lt;=0,"",IF(CC642="Aussen","Aussenlager",IF(CC642="-","Nicht im Lift",IF(AW642&gt;=1,"Lift",IF(AW642&lt;=0,"Aussenlager","teilweise")))))</f>
        <v>Aussenlager</v>
      </c>
      <c r="BI642" s="48" t="str">
        <f aca="false">IF(BA642&lt;=0,"",IF(CC642="Aussen","Aussenlager",IF(CC642="-","Nicht im Lift",IF(BF642&gt;=1,"Lift",IF(BF642&lt;=0,"Aussenlager","teilweise")))))</f>
        <v>Aussenlager</v>
      </c>
      <c r="BJ642" s="48" t="str">
        <f aca="false">IF(A642="","",IF(BS642=1,"Neu; ","")&amp;IF(AND(BS642=0,BN642&lt;0),"negativer Bestand (Export "&amp;BN642&amp;"); ","")&amp;IF(J642&lt;=0,"Kein Verbrauch; ","")&amp;IF(CL642&gt;0,"Lift "&amp;W642&amp;" lt. Liftbericht (Fach "&amp;X642&amp;" Stk); ",IF(BX642=1,"Gebinde geschätzt ("&amp;T642&amp;"); ",IF(BW642=1,"Lose – Tablare geschätzt; ","")))&amp;IF(H642&gt;AT642,"Überbestand "&amp;ROUND(H642-AT642,0)&amp;" Stk / CHF "&amp;ROUND((H642-AT642)*G642,0)&amp;"; ","")&amp;IF(AND(CE642=1,CF642&lt;CG642),"MAX &lt; MB+LG; ","")&amp;IF(AND(CK642&gt;0,CJ642*10&gt;CK642),"zu hoch für Tablar; ","")&amp;IF(AND(BS642=0,OR(CE642=1,AA642&lt;&gt;"",U642&lt;&gt;"",V642&lt;&gt;"",AB642&lt;&gt;"")),"manuell übersteuert; ","")&amp;IF(AND(BW642=0,R642=0),"Gebinde unbekannt / Stellmass fehlt; ","")&amp;IF(AND(BW642=0,N(V642)&lt;=0,N(Q642)&lt;=0),"Menge pro Gebinde fehlt (Ist = 1 Gebinde); ","")&amp;BR642)</f>
        <v>Kein Verbrauch; Gebinde geschätzt (Klein); Menge pro Gebinde fehlt (Ist = 1 Gebinde); </v>
      </c>
      <c r="BK642" s="48"/>
      <c r="BL642" s="48"/>
      <c r="BM642" s="55"/>
      <c r="BN642" s="50" t="n">
        <v>36</v>
      </c>
      <c r="BO642" s="50" t="n">
        <v>0</v>
      </c>
      <c r="BP642" s="49" t="n">
        <v>0.36</v>
      </c>
      <c r="BQ642" s="50" t="n">
        <v>0</v>
      </c>
      <c r="BR642" s="48"/>
      <c r="BS642" s="53" t="n">
        <v>0</v>
      </c>
      <c r="BT642" s="53" t="n">
        <v>642</v>
      </c>
      <c r="BU642" s="48" t="str">
        <f aca="false">IF(U642&lt;&gt;"",UPPER(TRIM(U642)),IF(BX642=1,UPPER(VLOOKUP(T642,Parameter!$I$27:$K$29,2,0)),IF(P642="","LOSE",P642)))</f>
        <v>S51</v>
      </c>
      <c r="BV642" s="50" t="n">
        <f aca="false">IF(BU642="LOSE",1,IF(N(V642)&gt;0,V642,IF(BX642=1,MAX(1,N(VLOOKUP(T642,Parameter!$I$27:$K$29,3,0)),H642,N(N642)),IF(N(Q642)&gt;0,Q642,MAX(1,H642)))))</f>
        <v>36</v>
      </c>
      <c r="BW642" s="53" t="n">
        <f aca="false">IF(BU642="LOSE",1,0)</f>
        <v>0</v>
      </c>
      <c r="BX642" s="53" t="n">
        <f aca="false">IF(AND(U642="",OR(P642="",P642="LOSE"),T642&lt;&gt;"",N(S642)&lt;=0,ISNUMBER(MATCH(T642,Parameter!$I$27:$I$29,0))),1,0)</f>
        <v>1</v>
      </c>
      <c r="BY642" s="53" t="n">
        <f aca="false">IF(CL642&gt;0,INDEX(Parameter!$H$5:$H$7,W642)/INDEX(Parameter!$E$5:$E$7,W642),IF(AND(BW642=0,N(IFERROR(VLOOKUP(BU642,'Gebinde-Kategorie'!$A$5:$N$45,14,0),0))&gt;0),VLOOKUP(BU642,'Gebinde-Kategorie'!$A$5:$N$45,14,0)*10+Parameter!$M$23,Parameter!$M$24))</f>
        <v>155</v>
      </c>
      <c r="BZ642" s="48" t="str">
        <f aca="false">IF(AND(Parameter!$B$19="Ja",E642&lt;&gt;"",ISNUMBER(MATCH(E642,Parameter!$I$35:$I$52,0))),VLOOKUP(E642,Parameter!$I$35:$J$52,2,0),IFERROR(VLOOKUP(D642,Parameter!$A$35:$C$64,2,0),"Nein"))</f>
        <v>2+3</v>
      </c>
      <c r="CA642" s="52" t="n">
        <f aca="false">IF(BW642=0,0,IF(N(S642)&gt;0,S642,IFERROR(VLOOKUP(D642,Parameter!$A$35:$C$64,3,0)+0,0)))</f>
        <v>0</v>
      </c>
      <c r="CB642" s="48" t="n">
        <f aca="false">IF(AA642&lt;&gt;"",AA642,Z642)</f>
        <v>3</v>
      </c>
      <c r="CC642" s="48" t="str">
        <f aca="false">IF(OR(CB642=1,CB642=2,CB642=3),IF(Parameter!$E$27="Ja","LIFT",IF(CB642=1,"L1","L23")),IF(CB642="Aussen","Aussen","-"))</f>
        <v>LIFT</v>
      </c>
      <c r="CD642" s="59" t="n">
        <f aca="false">IF(N(AB642)&gt;0,AB642,0)</f>
        <v>0</v>
      </c>
      <c r="CE642" s="53" t="n">
        <f aca="false">IF(ISNUMBER(AE642),1,0)</f>
        <v>0</v>
      </c>
      <c r="CF642" s="50" t="n">
        <f aca="false">N(AE642)</f>
        <v>0</v>
      </c>
      <c r="CG642" s="50" t="n">
        <f aca="false">N(M642)+N(N642)</f>
        <v>1</v>
      </c>
      <c r="CH642" s="50" t="n">
        <f aca="false">ROUNDUP(H642/BV642,0)</f>
        <v>1</v>
      </c>
      <c r="CI642" s="50" t="n">
        <f aca="false">ROUNDUP(CF642/BV642,0)</f>
        <v>0</v>
      </c>
      <c r="CJ642" s="53" t="n">
        <f aca="false">IF(BW642=1,0,IFERROR(VLOOKUP(BU642,'Gebinde-Kategorie'!$A$5:$N$45,5,0)+0,0))</f>
        <v>11</v>
      </c>
      <c r="CK642" s="53" t="n">
        <f aca="false">IFERROR(IF(OR(CB642=1,CB642=2,CB642=3),N(INDEX(Parameter!$I$5:$I$7,CB642)),0),0)</f>
        <v>0</v>
      </c>
      <c r="CL642" s="52" t="n">
        <f aca="false">IF(AND(Parameter!$B$21="Ja",ISNUMBER(W642),N(X642)&gt;0),IFERROR(N(INDEX(Parameter!$L$5:$L$7,W642))*INDEX(Parameter!$E$5:$E$7,W642)*X642/SUMIFS($X$7:$X$1843,$W$7:$W$1843,W642),0),0)</f>
        <v>0</v>
      </c>
    </row>
    <row r="643" customFormat="false" ht="15" hidden="false" customHeight="false" outlineLevel="0" collapsed="false">
      <c r="A643" s="48" t="s">
        <v>1313</v>
      </c>
      <c r="B643" s="48" t="s">
        <v>409</v>
      </c>
      <c r="C643" s="48" t="s">
        <v>168</v>
      </c>
      <c r="D643" s="48" t="s">
        <v>188</v>
      </c>
      <c r="E643" s="48" t="s">
        <v>189</v>
      </c>
      <c r="F643" s="48" t="s">
        <v>222</v>
      </c>
      <c r="G643" s="49" t="n">
        <v>0.09</v>
      </c>
      <c r="H643" s="50" t="n">
        <f aca="false">MAX(0,IF(AND(Parameter!$B$21="Ja",ISNUMBER(Y643)),Y643,IF(Parameter!$B$20="Jahresanfang 2025 + Export",BO643+BN643,BN643)))</f>
        <v>266</v>
      </c>
      <c r="I643" s="50" t="n">
        <f aca="false">H643*G643</f>
        <v>23.94</v>
      </c>
      <c r="J643" s="50" t="n">
        <f aca="false">BQ643*Parameter!$B$18</f>
        <v>0</v>
      </c>
      <c r="K643" s="51" t="n">
        <v>264</v>
      </c>
      <c r="L643" s="52" t="n">
        <v>0</v>
      </c>
      <c r="M643" s="50" t="n">
        <v>0</v>
      </c>
      <c r="N643" s="50" t="n">
        <v>1</v>
      </c>
      <c r="O643" s="53" t="n">
        <v>14</v>
      </c>
      <c r="P643" s="48" t="s">
        <v>405</v>
      </c>
      <c r="Q643" s="50" t="n">
        <v>94</v>
      </c>
      <c r="R643" s="53" t="n">
        <f aca="false">IF(BW643=1,0,IFERROR(VLOOKUP(BU643,'Gebinde-Kategorie'!$A$5:$N$45,13,0)+0,0))</f>
        <v>280</v>
      </c>
      <c r="S643" s="54"/>
      <c r="T643" s="55"/>
      <c r="U643" s="55"/>
      <c r="V643" s="55"/>
      <c r="W643" s="48"/>
      <c r="X643" s="50"/>
      <c r="Y643" s="50"/>
      <c r="Z643" s="48" t="n">
        <f aca="false">IF(A643="","",IF(AND(Parameter!$B$21="Ja",ISNUMBER(W643)),W643,IF(BZ643="2+3",IF(ISNUMBER(SEARCH("grosser Artikel",BR643)),2,IFERROR(VLOOKUP(BU643,Parameter!$F$35:$G$64,2,0),2)),IF(OR(BZ643="Nein",BZ643=""),"-",BZ643))))</f>
        <v>3</v>
      </c>
      <c r="AA643" s="55"/>
      <c r="AB643" s="56"/>
      <c r="AC643" s="50" t="n">
        <f aca="false">AT643</f>
        <v>94</v>
      </c>
      <c r="AD643" s="50" t="n">
        <f aca="false">MAX(AT643,H643)</f>
        <v>266</v>
      </c>
      <c r="AE643" s="57"/>
      <c r="AF643" s="50" t="n">
        <f aca="false">IF(LEFT(Cockpit!$C$5,1)="A",H643,IF(CE643=1,CF643,IF(LEFT(Cockpit!$C$5,1)="B",AK643,MAX(AK643,H643))))</f>
        <v>266</v>
      </c>
      <c r="AG643" s="50" t="n">
        <f aca="false">IF(BW643=1,0,ROUNDUP(AF643/BV643,0))</f>
        <v>3</v>
      </c>
      <c r="AH643" s="52" t="n">
        <f aca="false">IF(CL643&gt;0,CL643*MAX(1,AF643/X643),IF(BW643=1,IF(AF643&lt;=0,0,CA643*MAX(1,IF(H643&gt;0,AF643/H643,1))),IF(R643&gt;0,AG643/R643,0))/MAX(0.1,N(Parameter!$M$21)))</f>
        <v>0.0107142857142857</v>
      </c>
      <c r="AI643" s="50" t="n">
        <f aca="false">AH643*BY643</f>
        <v>1.66071428571429</v>
      </c>
      <c r="AJ643" s="50" t="n">
        <f aca="false">AF643*G643</f>
        <v>23.94</v>
      </c>
      <c r="AK643" s="50" t="n">
        <f aca="false">ROUNDUP(MAX(J643/IF(CD643&gt;0,CD643,MAX(0.1,N(Cockpit!$C$6))),CG643)/BV643,0)*BV643</f>
        <v>94</v>
      </c>
      <c r="AL643" s="51" t="n">
        <f aca="false">IF(AI643&gt;0,J643/AI643,-1)</f>
        <v>0</v>
      </c>
      <c r="AM643" s="51" t="n">
        <f aca="false">IF(AND(OR(CC643="L1",CC643="L23",CC643="LIFT"),AI643&gt;0),SUMIFS($AI$7:$AI$1843,$CC$7:$CC$1843,CC643,$AL$7:$AL$1843,"&gt;"&amp;AL643)+SUMIFS($AI$7:$AI$1843,$CC$7:$CC$1843,CC643,$AL$7:$AL$1843,AL643,$BT$7:$BT$1843,"&lt;="&amp;BT643),"")</f>
        <v>28600.8307542269</v>
      </c>
      <c r="AN643" s="58" t="n">
        <f aca="false">IF(AM643="",0,MAX(0,MIN(1,(IF(CC643="L1",Parameter!$H$5,IF(CC643="L23",Parameter!$H$6+Parameter!$H$7,Parameter!$H$5+Parameter!$H$6+Parameter!$H$7))-(AM643-AI643))/AI643)))</f>
        <v>1</v>
      </c>
      <c r="AO643" s="50" t="n">
        <f aca="false">IF(LEFT(Cockpit!$I$5,1)="A",H643,IF(CE643=1,CF643,IF(LEFT(Cockpit!$I$5,1)="B",AT643,MAX(AT643,H643))))</f>
        <v>266</v>
      </c>
      <c r="AP643" s="50" t="n">
        <f aca="false">IF(BW643=1,0,ROUNDUP(AO643/BV643,0))</f>
        <v>3</v>
      </c>
      <c r="AQ643" s="52" t="n">
        <f aca="false">IF(CL643&gt;0,CL643*MAX(1,AO643/X643),IF(BW643=1,IF(AO643&lt;=0,0,CA643*MAX(1,IF(H643&gt;0,AO643/H643,1))),IF(R643&gt;0,AP643/R643,0))/MAX(0.1,N(Parameter!$M$21)))</f>
        <v>0.0107142857142857</v>
      </c>
      <c r="AR643" s="50" t="n">
        <f aca="false">AQ643*BY643</f>
        <v>1.66071428571429</v>
      </c>
      <c r="AS643" s="50" t="n">
        <f aca="false">AO643*G643</f>
        <v>23.94</v>
      </c>
      <c r="AT643" s="50" t="n">
        <f aca="false">ROUNDUP(MAX(J643/IF(CD643&gt;0,CD643,MAX(0.1,N(Cockpit!$I$6))),CG643)/BV643,0)*BV643</f>
        <v>94</v>
      </c>
      <c r="AU643" s="51" t="n">
        <f aca="false">IF(AR643&gt;0,J643/AR643,-1)</f>
        <v>0</v>
      </c>
      <c r="AV643" s="51" t="n">
        <f aca="false">IF(AND(OR(CC643="L1",CC643="L23",CC643="LIFT"),AR643&gt;0),SUMIFS($AR$7:$AR$1843,$CC$7:$CC$1843,CC643,$AU$7:$AU$1843,"&gt;"&amp;AU643)+SUMIFS($AR$7:$AR$1843,$CC$7:$CC$1843,CC643,$AU$7:$AU$1843,AU643,$BT$7:$BT$1843,"&lt;="&amp;BT643),"")</f>
        <v>39920.251381387</v>
      </c>
      <c r="AW643" s="58" t="n">
        <f aca="false">IF(AV643="",0,MAX(0,MIN(1,(IF(CC643="L1",Parameter!$H$5,IF(CC643="L23",Parameter!$H$6+Parameter!$H$7,Parameter!$H$5+Parameter!$H$6+Parameter!$H$7))-(AV643-AR643))/AR643)))</f>
        <v>0</v>
      </c>
      <c r="AX643" s="50" t="n">
        <f aca="false">IF(LEFT(Cockpit!$O$5,1)="A",H643,IF(CE643=1,CF643,IF(LEFT(Cockpit!$O$5,1)="B",BC643,MAX(BC643,H643))))</f>
        <v>266</v>
      </c>
      <c r="AY643" s="50" t="n">
        <f aca="false">IF(BW643=1,0,ROUNDUP(AX643/BV643,0))</f>
        <v>3</v>
      </c>
      <c r="AZ643" s="52" t="n">
        <f aca="false">IF(CL643&gt;0,CL643*MAX(1,AX643/X643),IF(BW643=1,IF(AX643&lt;=0,0,CA643*MAX(1,IF(H643&gt;0,AX643/H643,1))),IF(R643&gt;0,AY643/R643,0))/MAX(0.1,N(Parameter!$M$21)))</f>
        <v>0.0107142857142857</v>
      </c>
      <c r="BA643" s="50" t="n">
        <f aca="false">AZ643*BY643</f>
        <v>1.66071428571429</v>
      </c>
      <c r="BB643" s="50" t="n">
        <f aca="false">AX643*G643</f>
        <v>23.94</v>
      </c>
      <c r="BC643" s="50" t="n">
        <f aca="false">ROUNDUP(MAX(J643/IF(CD643&gt;0,CD643,MAX(0.1,N(Cockpit!$O$6))),CG643)/BV643,0)*BV643</f>
        <v>94</v>
      </c>
      <c r="BD643" s="51" t="n">
        <f aca="false">IF(BA643&gt;0,J643/BA643,-1)</f>
        <v>0</v>
      </c>
      <c r="BE643" s="51" t="n">
        <f aca="false">IF(AND(OR(CC643="L1",CC643="L23",CC643="LIFT"),BA643&gt;0),SUMIFS($BA$7:$BA$1843,$CC$7:$CC$1843,CC643,$BD$7:$BD$1843,"&gt;"&amp;BD643)+SUMIFS($BA$7:$BA$1843,$CC$7:$CC$1843,CC643,$BD$7:$BD$1843,BD643,$BT$7:$BT$1843,"&lt;="&amp;BT643),"")</f>
        <v>36595.2634232528</v>
      </c>
      <c r="BF643" s="58" t="n">
        <f aca="false">IF(BE643="",0,MAX(0,MIN(1,(IF(CC643="L1",Parameter!$H$5,IF(CC643="L23",Parameter!$H$6+Parameter!$H$7,Parameter!$H$5+Parameter!$H$6+Parameter!$H$7))-(BE643-BA643))/BA643)))</f>
        <v>0</v>
      </c>
      <c r="BG643" s="48" t="str">
        <f aca="false">IF(AI643&lt;=0,"",IF(CC643="Aussen","Aussenlager",IF(CC643="-","Nicht im Lift",IF(AN643&gt;=1,"Lift",IF(AN643&lt;=0,"Aussenlager","teilweise")))))</f>
        <v>Lift</v>
      </c>
      <c r="BH643" s="48" t="str">
        <f aca="false">IF(AR643&lt;=0,"",IF(CC643="Aussen","Aussenlager",IF(CC643="-","Nicht im Lift",IF(AW643&gt;=1,"Lift",IF(AW643&lt;=0,"Aussenlager","teilweise")))))</f>
        <v>Aussenlager</v>
      </c>
      <c r="BI643" s="48" t="str">
        <f aca="false">IF(BA643&lt;=0,"",IF(CC643="Aussen","Aussenlager",IF(CC643="-","Nicht im Lift",IF(BF643&gt;=1,"Lift",IF(BF643&lt;=0,"Aussenlager","teilweise")))))</f>
        <v>Aussenlager</v>
      </c>
      <c r="BJ643" s="48" t="str">
        <f aca="false">IF(A643="","",IF(BS643=1,"Neu; ","")&amp;IF(AND(BS643=0,BN643&lt;0),"negativer Bestand (Export "&amp;BN643&amp;"); ","")&amp;IF(J643&lt;=0,"Kein Verbrauch; ","")&amp;IF(CL643&gt;0,"Lift "&amp;W643&amp;" lt. Liftbericht (Fach "&amp;X643&amp;" Stk); ",IF(BX643=1,"Gebinde geschätzt ("&amp;T643&amp;"); ",IF(BW643=1,"Lose – Tablare geschätzt; ","")))&amp;IF(H643&gt;AT643,"Überbestand "&amp;ROUND(H643-AT643,0)&amp;" Stk / CHF "&amp;ROUND((H643-AT643)*G643,0)&amp;"; ","")&amp;IF(AND(CE643=1,CF643&lt;CG643),"MAX &lt; MB+LG; ","")&amp;IF(AND(CK643&gt;0,CJ643*10&gt;CK643),"zu hoch für Tablar; ","")&amp;IF(AND(BS643=0,OR(CE643=1,AA643&lt;&gt;"",U643&lt;&gt;"",V643&lt;&gt;"",AB643&lt;&gt;"")),"manuell übersteuert; ","")&amp;IF(AND(BW643=0,R643=0),"Gebinde unbekannt / Stellmass fehlt; ","")&amp;IF(AND(BW643=0,N(V643)&lt;=0,N(Q643)&lt;=0),"Menge pro Gebinde fehlt (Ist = 1 Gebinde); ","")&amp;BR643)</f>
        <v>Kein Verbrauch; Überbestand 172 Stk / CHF 15; Überbestand</v>
      </c>
      <c r="BK643" s="48"/>
      <c r="BL643" s="48"/>
      <c r="BM643" s="55"/>
      <c r="BN643" s="50" t="n">
        <v>4</v>
      </c>
      <c r="BO643" s="50" t="n">
        <v>262</v>
      </c>
      <c r="BP643" s="49" t="n">
        <v>0.36</v>
      </c>
      <c r="BQ643" s="50" t="n">
        <v>0</v>
      </c>
      <c r="BR643" s="48" t="s">
        <v>396</v>
      </c>
      <c r="BS643" s="53" t="n">
        <v>0</v>
      </c>
      <c r="BT643" s="53" t="n">
        <v>643</v>
      </c>
      <c r="BU643" s="48" t="str">
        <f aca="false">IF(U643&lt;&gt;"",UPPER(TRIM(U643)),IF(BX643=1,UPPER(VLOOKUP(T643,Parameter!$I$27:$K$29,2,0)),IF(P643="","LOSE",P643)))</f>
        <v>S21</v>
      </c>
      <c r="BV643" s="50" t="n">
        <f aca="false">IF(BU643="LOSE",1,IF(N(V643)&gt;0,V643,IF(BX643=1,MAX(1,N(VLOOKUP(T643,Parameter!$I$27:$K$29,3,0)),H643,N(N643)),IF(N(Q643)&gt;0,Q643,MAX(1,H643)))))</f>
        <v>94</v>
      </c>
      <c r="BW643" s="53" t="n">
        <f aca="false">IF(BU643="LOSE",1,0)</f>
        <v>0</v>
      </c>
      <c r="BX643" s="53" t="n">
        <f aca="false">IF(AND(U643="",OR(P643="",P643="LOSE"),T643&lt;&gt;"",N(S643)&lt;=0,ISNUMBER(MATCH(T643,Parameter!$I$27:$I$29,0))),1,0)</f>
        <v>0</v>
      </c>
      <c r="BY643" s="53" t="n">
        <f aca="false">IF(CL643&gt;0,INDEX(Parameter!$H$5:$H$7,W643)/INDEX(Parameter!$E$5:$E$7,W643),IF(AND(BW643=0,N(IFERROR(VLOOKUP(BU643,'Gebinde-Kategorie'!$A$5:$N$45,14,0),0))&gt;0),VLOOKUP(BU643,'Gebinde-Kategorie'!$A$5:$N$45,14,0)*10+Parameter!$M$23,Parameter!$M$24))</f>
        <v>155</v>
      </c>
      <c r="BZ643" s="48" t="str">
        <f aca="false">IF(AND(Parameter!$B$19="Ja",E643&lt;&gt;"",ISNUMBER(MATCH(E643,Parameter!$I$35:$I$52,0))),VLOOKUP(E643,Parameter!$I$35:$J$52,2,0),IFERROR(VLOOKUP(D643,Parameter!$A$35:$C$64,2,0),"Nein"))</f>
        <v>2+3</v>
      </c>
      <c r="CA643" s="52" t="n">
        <f aca="false">IF(BW643=0,0,IF(N(S643)&gt;0,S643,IFERROR(VLOOKUP(D643,Parameter!$A$35:$C$64,3,0)+0,0)))</f>
        <v>0</v>
      </c>
      <c r="CB643" s="48" t="n">
        <f aca="false">IF(AA643&lt;&gt;"",AA643,Z643)</f>
        <v>3</v>
      </c>
      <c r="CC643" s="48" t="str">
        <f aca="false">IF(OR(CB643=1,CB643=2,CB643=3),IF(Parameter!$E$27="Ja","LIFT",IF(CB643=1,"L1","L23")),IF(CB643="Aussen","Aussen","-"))</f>
        <v>LIFT</v>
      </c>
      <c r="CD643" s="59" t="n">
        <f aca="false">IF(N(AB643)&gt;0,AB643,0)</f>
        <v>0</v>
      </c>
      <c r="CE643" s="53" t="n">
        <f aca="false">IF(ISNUMBER(AE643),1,0)</f>
        <v>0</v>
      </c>
      <c r="CF643" s="50" t="n">
        <f aca="false">N(AE643)</f>
        <v>0</v>
      </c>
      <c r="CG643" s="50" t="n">
        <f aca="false">N(M643)+N(N643)</f>
        <v>1</v>
      </c>
      <c r="CH643" s="50" t="n">
        <f aca="false">ROUNDUP(H643/BV643,0)</f>
        <v>3</v>
      </c>
      <c r="CI643" s="50" t="n">
        <f aca="false">ROUNDUP(CF643/BV643,0)</f>
        <v>0</v>
      </c>
      <c r="CJ643" s="53" t="n">
        <f aca="false">IF(BW643=1,0,IFERROR(VLOOKUP(BU643,'Gebinde-Kategorie'!$A$5:$N$45,5,0)+0,0))</f>
        <v>8</v>
      </c>
      <c r="CK643" s="53" t="n">
        <f aca="false">IFERROR(IF(OR(CB643=1,CB643=2,CB643=3),N(INDEX(Parameter!$I$5:$I$7,CB643)),0),0)</f>
        <v>0</v>
      </c>
      <c r="CL643" s="52" t="n">
        <f aca="false">IF(AND(Parameter!$B$21="Ja",ISNUMBER(W643),N(X643)&gt;0),IFERROR(N(INDEX(Parameter!$L$5:$L$7,W643))*INDEX(Parameter!$E$5:$E$7,W643)*X643/SUMIFS($X$7:$X$1843,$W$7:$W$1843,W643),0),0)</f>
        <v>0</v>
      </c>
    </row>
    <row r="644" customFormat="false" ht="15" hidden="false" customHeight="false" outlineLevel="0" collapsed="false">
      <c r="A644" s="48" t="s">
        <v>1314</v>
      </c>
      <c r="B644" s="48" t="s">
        <v>1240</v>
      </c>
      <c r="C644" s="48" t="s">
        <v>168</v>
      </c>
      <c r="D644" s="48" t="s">
        <v>188</v>
      </c>
      <c r="E644" s="48" t="s">
        <v>189</v>
      </c>
      <c r="F644" s="48" t="s">
        <v>222</v>
      </c>
      <c r="G644" s="49" t="n">
        <v>0.04</v>
      </c>
      <c r="H644" s="50" t="n">
        <f aca="false">MAX(0,IF(AND(Parameter!$B$21="Ja",ISNUMBER(Y644)),Y644,IF(Parameter!$B$20="Jahresanfang 2025 + Export",BO644+BN644,BN644)))</f>
        <v>166</v>
      </c>
      <c r="I644" s="50" t="n">
        <f aca="false">H644*G644</f>
        <v>6.64</v>
      </c>
      <c r="J644" s="50" t="n">
        <f aca="false">BQ644*Parameter!$B$18</f>
        <v>4</v>
      </c>
      <c r="K644" s="51" t="n">
        <v>162</v>
      </c>
      <c r="L644" s="52" t="n">
        <v>0.0246913580246914</v>
      </c>
      <c r="M644" s="50" t="n">
        <v>0</v>
      </c>
      <c r="N644" s="50" t="n">
        <v>5</v>
      </c>
      <c r="O644" s="53" t="n">
        <v>21</v>
      </c>
      <c r="P644" s="48" t="s">
        <v>405</v>
      </c>
      <c r="Q644" s="50" t="n">
        <v>169</v>
      </c>
      <c r="R644" s="53" t="n">
        <f aca="false">IF(BW644=1,0,IFERROR(VLOOKUP(BU644,'Gebinde-Kategorie'!$A$5:$N$45,13,0)+0,0))</f>
        <v>280</v>
      </c>
      <c r="S644" s="54"/>
      <c r="T644" s="55"/>
      <c r="U644" s="55"/>
      <c r="V644" s="55"/>
      <c r="W644" s="48"/>
      <c r="X644" s="50"/>
      <c r="Y644" s="50"/>
      <c r="Z644" s="48" t="n">
        <f aca="false">IF(A644="","",IF(AND(Parameter!$B$21="Ja",ISNUMBER(W644)),W644,IF(BZ644="2+3",IF(ISNUMBER(SEARCH("grosser Artikel",BR644)),2,IFERROR(VLOOKUP(BU644,Parameter!$F$35:$G$64,2,0),2)),IF(OR(BZ644="Nein",BZ644=""),"-",BZ644))))</f>
        <v>3</v>
      </c>
      <c r="AA644" s="55"/>
      <c r="AB644" s="56"/>
      <c r="AC644" s="50" t="n">
        <f aca="false">AT644</f>
        <v>169</v>
      </c>
      <c r="AD644" s="50" t="n">
        <f aca="false">MAX(AT644,H644)</f>
        <v>169</v>
      </c>
      <c r="AE644" s="57"/>
      <c r="AF644" s="50" t="n">
        <f aca="false">IF(LEFT(Cockpit!$C$5,1)="A",H644,IF(CE644=1,CF644,IF(LEFT(Cockpit!$C$5,1)="B",AK644,MAX(AK644,H644))))</f>
        <v>166</v>
      </c>
      <c r="AG644" s="50" t="n">
        <f aca="false">IF(BW644=1,0,ROUNDUP(AF644/BV644,0))</f>
        <v>1</v>
      </c>
      <c r="AH644" s="52" t="n">
        <f aca="false">IF(CL644&gt;0,CL644*MAX(1,AF644/X644),IF(BW644=1,IF(AF644&lt;=0,0,CA644*MAX(1,IF(H644&gt;0,AF644/H644,1))),IF(R644&gt;0,AG644/R644,0))/MAX(0.1,N(Parameter!$M$21)))</f>
        <v>0.00357142857142857</v>
      </c>
      <c r="AI644" s="50" t="n">
        <f aca="false">AH644*BY644</f>
        <v>0.553571428571429</v>
      </c>
      <c r="AJ644" s="50" t="n">
        <f aca="false">AF644*G644</f>
        <v>6.64</v>
      </c>
      <c r="AK644" s="50" t="n">
        <f aca="false">ROUNDUP(MAX(J644/IF(CD644&gt;0,CD644,MAX(0.1,N(Cockpit!$C$6))),CG644)/BV644,0)*BV644</f>
        <v>169</v>
      </c>
      <c r="AL644" s="51" t="n">
        <f aca="false">IF(AI644&gt;0,J644/AI644,-1)</f>
        <v>7.2258064516129</v>
      </c>
      <c r="AM644" s="51" t="n">
        <f aca="false">IF(AND(OR(CC644="L1",CC644="L23",CC644="LIFT"),AI644&gt;0),SUMIFS($AI$7:$AI$1843,$CC$7:$CC$1843,CC644,$AL$7:$AL$1843,"&gt;"&amp;AL644)+SUMIFS($AI$7:$AI$1843,$CC$7:$CC$1843,CC644,$AL$7:$AL$1843,AL644,$BT$7:$BT$1843,"&lt;="&amp;BT644),"")</f>
        <v>3156.69001831502</v>
      </c>
      <c r="AN644" s="58" t="n">
        <f aca="false">IF(AM644="",0,MAX(0,MIN(1,(IF(CC644="L1",Parameter!$H$5,IF(CC644="L23",Parameter!$H$6+Parameter!$H$7,Parameter!$H$5+Parameter!$H$6+Parameter!$H$7))-(AM644-AI644))/AI644)))</f>
        <v>1</v>
      </c>
      <c r="AO644" s="50" t="n">
        <f aca="false">IF(LEFT(Cockpit!$I$5,1)="A",H644,IF(CE644=1,CF644,IF(LEFT(Cockpit!$I$5,1)="B",AT644,MAX(AT644,H644))))</f>
        <v>169</v>
      </c>
      <c r="AP644" s="50" t="n">
        <f aca="false">IF(BW644=1,0,ROUNDUP(AO644/BV644,0))</f>
        <v>1</v>
      </c>
      <c r="AQ644" s="52" t="n">
        <f aca="false">IF(CL644&gt;0,CL644*MAX(1,AO644/X644),IF(BW644=1,IF(AO644&lt;=0,0,CA644*MAX(1,IF(H644&gt;0,AO644/H644,1))),IF(R644&gt;0,AP644/R644,0))/MAX(0.1,N(Parameter!$M$21)))</f>
        <v>0.00357142857142857</v>
      </c>
      <c r="AR644" s="50" t="n">
        <f aca="false">AQ644*BY644</f>
        <v>0.553571428571429</v>
      </c>
      <c r="AS644" s="50" t="n">
        <f aca="false">AO644*G644</f>
        <v>6.76</v>
      </c>
      <c r="AT644" s="50" t="n">
        <f aca="false">ROUNDUP(MAX(J644/IF(CD644&gt;0,CD644,MAX(0.1,N(Cockpit!$I$6))),CG644)/BV644,0)*BV644</f>
        <v>169</v>
      </c>
      <c r="AU644" s="51" t="n">
        <f aca="false">IF(AR644&gt;0,J644/AR644,-1)</f>
        <v>7.2258064516129</v>
      </c>
      <c r="AV644" s="51" t="n">
        <f aca="false">IF(AND(OR(CC644="L1",CC644="L23",CC644="LIFT"),AR644&gt;0),SUMIFS($AR$7:$AR$1843,$CC$7:$CC$1843,CC644,$AU$7:$AU$1843,"&gt;"&amp;AU644)+SUMIFS($AR$7:$AR$1843,$CC$7:$CC$1843,CC644,$AU$7:$AU$1843,AU644,$BT$7:$BT$1843,"&lt;="&amp;BT644),"")</f>
        <v>4339.0434981685</v>
      </c>
      <c r="AW644" s="58" t="n">
        <f aca="false">IF(AV644="",0,MAX(0,MIN(1,(IF(CC644="L1",Parameter!$H$5,IF(CC644="L23",Parameter!$H$6+Parameter!$H$7,Parameter!$H$5+Parameter!$H$6+Parameter!$H$7))-(AV644-AR644))/AR644)))</f>
        <v>1</v>
      </c>
      <c r="AX644" s="50" t="n">
        <f aca="false">IF(LEFT(Cockpit!$O$5,1)="A",H644,IF(CE644=1,CF644,IF(LEFT(Cockpit!$O$5,1)="B",BC644,MAX(BC644,H644))))</f>
        <v>169</v>
      </c>
      <c r="AY644" s="50" t="n">
        <f aca="false">IF(BW644=1,0,ROUNDUP(AX644/BV644,0))</f>
        <v>1</v>
      </c>
      <c r="AZ644" s="52" t="n">
        <f aca="false">IF(CL644&gt;0,CL644*MAX(1,AX644/X644),IF(BW644=1,IF(AX644&lt;=0,0,CA644*MAX(1,IF(H644&gt;0,AX644/H644,1))),IF(R644&gt;0,AY644/R644,0))/MAX(0.1,N(Parameter!$M$21)))</f>
        <v>0.00357142857142857</v>
      </c>
      <c r="BA644" s="50" t="n">
        <f aca="false">AZ644*BY644</f>
        <v>0.553571428571429</v>
      </c>
      <c r="BB644" s="50" t="n">
        <f aca="false">AX644*G644</f>
        <v>6.76</v>
      </c>
      <c r="BC644" s="50" t="n">
        <f aca="false">ROUNDUP(MAX(J644/IF(CD644&gt;0,CD644,MAX(0.1,N(Cockpit!$O$6))),CG644)/BV644,0)*BV644</f>
        <v>169</v>
      </c>
      <c r="BD644" s="51" t="n">
        <f aca="false">IF(BA644&gt;0,J644/BA644,-1)</f>
        <v>7.2258064516129</v>
      </c>
      <c r="BE644" s="51" t="n">
        <f aca="false">IF(AND(OR(CC644="L1",CC644="L23",CC644="LIFT"),BA644&gt;0),SUMIFS($BA$7:$BA$1843,$CC$7:$CC$1843,CC644,$BD$7:$BD$1843,"&gt;"&amp;BD644)+SUMIFS($BA$7:$BA$1843,$CC$7:$CC$1843,CC644,$BD$7:$BD$1843,BD644,$BT$7:$BT$1843,"&lt;="&amp;BT644),"")</f>
        <v>4082.00824175824</v>
      </c>
      <c r="BF644" s="58" t="n">
        <f aca="false">IF(BE644="",0,MAX(0,MIN(1,(IF(CC644="L1",Parameter!$H$5,IF(CC644="L23",Parameter!$H$6+Parameter!$H$7,Parameter!$H$5+Parameter!$H$6+Parameter!$H$7))-(BE644-BA644))/BA644)))</f>
        <v>1</v>
      </c>
      <c r="BG644" s="48" t="str">
        <f aca="false">IF(AI644&lt;=0,"",IF(CC644="Aussen","Aussenlager",IF(CC644="-","Nicht im Lift",IF(AN644&gt;=1,"Lift",IF(AN644&lt;=0,"Aussenlager","teilweise")))))</f>
        <v>Lift</v>
      </c>
      <c r="BH644" s="48" t="str">
        <f aca="false">IF(AR644&lt;=0,"",IF(CC644="Aussen","Aussenlager",IF(CC644="-","Nicht im Lift",IF(AW644&gt;=1,"Lift",IF(AW644&lt;=0,"Aussenlager","teilweise")))))</f>
        <v>Lift</v>
      </c>
      <c r="BI644" s="48" t="str">
        <f aca="false">IF(BA644&lt;=0,"",IF(CC644="Aussen","Aussenlager",IF(CC644="-","Nicht im Lift",IF(BF644&gt;=1,"Lift",IF(BF644&lt;=0,"Aussenlager","teilweise")))))</f>
        <v>Lift</v>
      </c>
      <c r="BJ644" s="48" t="str">
        <f aca="false">IF(A644="","",IF(BS644=1,"Neu; ","")&amp;IF(AND(BS644=0,BN644&lt;0),"negativer Bestand (Export "&amp;BN644&amp;"); ","")&amp;IF(J644&lt;=0,"Kein Verbrauch; ","")&amp;IF(CL644&gt;0,"Lift "&amp;W644&amp;" lt. Liftbericht (Fach "&amp;X644&amp;" Stk); ",IF(BX644=1,"Gebinde geschätzt ("&amp;T644&amp;"); ",IF(BW644=1,"Lose – Tablare geschätzt; ","")))&amp;IF(H644&gt;AT644,"Überbestand "&amp;ROUND(H644-AT644,0)&amp;" Stk / CHF "&amp;ROUND((H644-AT644)*G644,0)&amp;"; ","")&amp;IF(AND(CE644=1,CF644&lt;CG644),"MAX &lt; MB+LG; ","")&amp;IF(AND(CK644&gt;0,CJ644*10&gt;CK644),"zu hoch für Tablar; ","")&amp;IF(AND(BS644=0,OR(CE644=1,AA644&lt;&gt;"",U644&lt;&gt;"",V644&lt;&gt;"",AB644&lt;&gt;"")),"manuell übersteuert; ","")&amp;IF(AND(BW644=0,R644=0),"Gebinde unbekannt / Stellmass fehlt; ","")&amp;IF(AND(BW644=0,N(V644)&lt;=0,N(Q644)&lt;=0),"Menge pro Gebinde fehlt (Ist = 1 Gebinde); ","")&amp;BR644)</f>
        <v>Überbestand</v>
      </c>
      <c r="BK644" s="48"/>
      <c r="BL644" s="48"/>
      <c r="BM644" s="55"/>
      <c r="BN644" s="50" t="n">
        <v>7</v>
      </c>
      <c r="BO644" s="50" t="n">
        <v>159</v>
      </c>
      <c r="BP644" s="49" t="n">
        <v>0.28</v>
      </c>
      <c r="BQ644" s="50" t="n">
        <v>4</v>
      </c>
      <c r="BR644" s="48" t="s">
        <v>396</v>
      </c>
      <c r="BS644" s="53" t="n">
        <v>0</v>
      </c>
      <c r="BT644" s="53" t="n">
        <v>644</v>
      </c>
      <c r="BU644" s="48" t="str">
        <f aca="false">IF(U644&lt;&gt;"",UPPER(TRIM(U644)),IF(BX644=1,UPPER(VLOOKUP(T644,Parameter!$I$27:$K$29,2,0)),IF(P644="","LOSE",P644)))</f>
        <v>S21</v>
      </c>
      <c r="BV644" s="50" t="n">
        <f aca="false">IF(BU644="LOSE",1,IF(N(V644)&gt;0,V644,IF(BX644=1,MAX(1,N(VLOOKUP(T644,Parameter!$I$27:$K$29,3,0)),H644,N(N644)),IF(N(Q644)&gt;0,Q644,MAX(1,H644)))))</f>
        <v>169</v>
      </c>
      <c r="BW644" s="53" t="n">
        <f aca="false">IF(BU644="LOSE",1,0)</f>
        <v>0</v>
      </c>
      <c r="BX644" s="53" t="n">
        <f aca="false">IF(AND(U644="",OR(P644="",P644="LOSE"),T644&lt;&gt;"",N(S644)&lt;=0,ISNUMBER(MATCH(T644,Parameter!$I$27:$I$29,0))),1,0)</f>
        <v>0</v>
      </c>
      <c r="BY644" s="53" t="n">
        <f aca="false">IF(CL644&gt;0,INDEX(Parameter!$H$5:$H$7,W644)/INDEX(Parameter!$E$5:$E$7,W644),IF(AND(BW644=0,N(IFERROR(VLOOKUP(BU644,'Gebinde-Kategorie'!$A$5:$N$45,14,0),0))&gt;0),VLOOKUP(BU644,'Gebinde-Kategorie'!$A$5:$N$45,14,0)*10+Parameter!$M$23,Parameter!$M$24))</f>
        <v>155</v>
      </c>
      <c r="BZ644" s="48" t="str">
        <f aca="false">IF(AND(Parameter!$B$19="Ja",E644&lt;&gt;"",ISNUMBER(MATCH(E644,Parameter!$I$35:$I$52,0))),VLOOKUP(E644,Parameter!$I$35:$J$52,2,0),IFERROR(VLOOKUP(D644,Parameter!$A$35:$C$64,2,0),"Nein"))</f>
        <v>2+3</v>
      </c>
      <c r="CA644" s="52" t="n">
        <f aca="false">IF(BW644=0,0,IF(N(S644)&gt;0,S644,IFERROR(VLOOKUP(D644,Parameter!$A$35:$C$64,3,0)+0,0)))</f>
        <v>0</v>
      </c>
      <c r="CB644" s="48" t="n">
        <f aca="false">IF(AA644&lt;&gt;"",AA644,Z644)</f>
        <v>3</v>
      </c>
      <c r="CC644" s="48" t="str">
        <f aca="false">IF(OR(CB644=1,CB644=2,CB644=3),IF(Parameter!$E$27="Ja","LIFT",IF(CB644=1,"L1","L23")),IF(CB644="Aussen","Aussen","-"))</f>
        <v>LIFT</v>
      </c>
      <c r="CD644" s="59" t="n">
        <f aca="false">IF(N(AB644)&gt;0,AB644,0)</f>
        <v>0</v>
      </c>
      <c r="CE644" s="53" t="n">
        <f aca="false">IF(ISNUMBER(AE644),1,0)</f>
        <v>0</v>
      </c>
      <c r="CF644" s="50" t="n">
        <f aca="false">N(AE644)</f>
        <v>0</v>
      </c>
      <c r="CG644" s="50" t="n">
        <f aca="false">N(M644)+N(N644)</f>
        <v>5</v>
      </c>
      <c r="CH644" s="50" t="n">
        <f aca="false">ROUNDUP(H644/BV644,0)</f>
        <v>1</v>
      </c>
      <c r="CI644" s="50" t="n">
        <f aca="false">ROUNDUP(CF644/BV644,0)</f>
        <v>0</v>
      </c>
      <c r="CJ644" s="53" t="n">
        <f aca="false">IF(BW644=1,0,IFERROR(VLOOKUP(BU644,'Gebinde-Kategorie'!$A$5:$N$45,5,0)+0,0))</f>
        <v>8</v>
      </c>
      <c r="CK644" s="53" t="n">
        <f aca="false">IFERROR(IF(OR(CB644=1,CB644=2,CB644=3),N(INDEX(Parameter!$I$5:$I$7,CB644)),0),0)</f>
        <v>0</v>
      </c>
      <c r="CL644" s="52" t="n">
        <f aca="false">IF(AND(Parameter!$B$21="Ja",ISNUMBER(W644),N(X644)&gt;0),IFERROR(N(INDEX(Parameter!$L$5:$L$7,W644))*INDEX(Parameter!$E$5:$E$7,W644)*X644/SUMIFS($X$7:$X$1843,$W$7:$W$1843,W644),0),0)</f>
        <v>0</v>
      </c>
    </row>
    <row r="645" customFormat="false" ht="15" hidden="false" customHeight="false" outlineLevel="0" collapsed="false">
      <c r="A645" s="48" t="s">
        <v>1315</v>
      </c>
      <c r="B645" s="48" t="s">
        <v>953</v>
      </c>
      <c r="C645" s="48" t="s">
        <v>168</v>
      </c>
      <c r="D645" s="48" t="s">
        <v>999</v>
      </c>
      <c r="E645" s="48"/>
      <c r="F645" s="48" t="s">
        <v>222</v>
      </c>
      <c r="G645" s="49" t="n">
        <v>0.07</v>
      </c>
      <c r="H645" s="50" t="n">
        <f aca="false">MAX(0,IF(AND(Parameter!$B$21="Ja",ISNUMBER(Y645)),Y645,IF(Parameter!$B$20="Jahresanfang 2025 + Export",BO645+BN645,BN645)))</f>
        <v>3</v>
      </c>
      <c r="I645" s="50" t="n">
        <f aca="false">H645*G645</f>
        <v>0.21</v>
      </c>
      <c r="J645" s="50" t="n">
        <f aca="false">BQ645*Parameter!$B$18</f>
        <v>96</v>
      </c>
      <c r="K645" s="51" t="n">
        <v>1.5</v>
      </c>
      <c r="L645" s="52" t="n">
        <v>64</v>
      </c>
      <c r="M645" s="50" t="n">
        <v>0</v>
      </c>
      <c r="N645" s="50" t="n">
        <v>100</v>
      </c>
      <c r="O645" s="53" t="n">
        <v>21</v>
      </c>
      <c r="P645" s="48" t="s">
        <v>172</v>
      </c>
      <c r="Q645" s="50"/>
      <c r="R645" s="53" t="n">
        <f aca="false">IF(BW645=1,0,IFERROR(VLOOKUP(BU645,'Gebinde-Kategorie'!$A$5:$N$45,13,0)+0,0))</f>
        <v>0</v>
      </c>
      <c r="S645" s="54"/>
      <c r="T645" s="55"/>
      <c r="U645" s="55"/>
      <c r="V645" s="55"/>
      <c r="W645" s="48"/>
      <c r="X645" s="50"/>
      <c r="Y645" s="50"/>
      <c r="Z645" s="48" t="str">
        <f aca="false">IF(A645="","",IF(AND(Parameter!$B$21="Ja",ISNUMBER(W645)),W645,IF(BZ645="2+3",IF(ISNUMBER(SEARCH("grosser Artikel",BR645)),2,IFERROR(VLOOKUP(BU645,Parameter!$F$35:$G$64,2,0),2)),IF(OR(BZ645="Nein",BZ645=""),"-",BZ645))))</f>
        <v>-</v>
      </c>
      <c r="AA645" s="55"/>
      <c r="AB645" s="56"/>
      <c r="AC645" s="50" t="n">
        <f aca="false">AT645</f>
        <v>100</v>
      </c>
      <c r="AD645" s="50" t="n">
        <f aca="false">MAX(AT645,H645)</f>
        <v>100</v>
      </c>
      <c r="AE645" s="57"/>
      <c r="AF645" s="50" t="n">
        <f aca="false">IF(LEFT(Cockpit!$C$5,1)="A",H645,IF(CE645=1,CF645,IF(LEFT(Cockpit!$C$5,1)="B",AK645,MAX(AK645,H645))))</f>
        <v>3</v>
      </c>
      <c r="AG645" s="50" t="n">
        <f aca="false">IF(BW645=1,0,ROUNDUP(AF645/BV645,0))</f>
        <v>0</v>
      </c>
      <c r="AH645" s="52" t="n">
        <f aca="false">IF(CL645&gt;0,CL645*MAX(1,AF645/X645),IF(BW645=1,IF(AF645&lt;=0,0,CA645*MAX(1,IF(H645&gt;0,AF645/H645,1))),IF(R645&gt;0,AG645/R645,0))/MAX(0.1,N(Parameter!$M$21)))</f>
        <v>0.15</v>
      </c>
      <c r="AI645" s="50" t="n">
        <f aca="false">AH645*BY645</f>
        <v>35.25</v>
      </c>
      <c r="AJ645" s="50" t="n">
        <f aca="false">AF645*G645</f>
        <v>0.21</v>
      </c>
      <c r="AK645" s="50" t="n">
        <f aca="false">ROUNDUP(MAX(J645/IF(CD645&gt;0,CD645,MAX(0.1,N(Cockpit!$C$6))),CG645)/BV645,0)*BV645</f>
        <v>100</v>
      </c>
      <c r="AL645" s="51" t="n">
        <f aca="false">IF(AI645&gt;0,J645/AI645,-1)</f>
        <v>2.72340425531915</v>
      </c>
      <c r="AM645" s="51" t="str">
        <f aca="false">IF(AND(OR(CC645="L1",CC645="L23",CC645="LIFT"),AI645&gt;0),SUMIFS($AI$7:$AI$1843,$CC$7:$CC$1843,CC645,$AL$7:$AL$1843,"&gt;"&amp;AL645)+SUMIFS($AI$7:$AI$1843,$CC$7:$CC$1843,CC645,$AL$7:$AL$1843,AL645,$BT$7:$BT$1843,"&lt;="&amp;BT645),"")</f>
        <v/>
      </c>
      <c r="AN645" s="58" t="n">
        <f aca="false">IF(AM645="",0,MAX(0,MIN(1,(IF(CC645="L1",Parameter!$H$5,IF(CC645="L23",Parameter!$H$6+Parameter!$H$7,Parameter!$H$5+Parameter!$H$6+Parameter!$H$7))-(AM645-AI645))/AI645)))</f>
        <v>0</v>
      </c>
      <c r="AO645" s="50" t="n">
        <f aca="false">IF(LEFT(Cockpit!$I$5,1)="A",H645,IF(CE645=1,CF645,IF(LEFT(Cockpit!$I$5,1)="B",AT645,MAX(AT645,H645))))</f>
        <v>100</v>
      </c>
      <c r="AP645" s="50" t="n">
        <f aca="false">IF(BW645=1,0,ROUNDUP(AO645/BV645,0))</f>
        <v>0</v>
      </c>
      <c r="AQ645" s="52" t="n">
        <f aca="false">IF(CL645&gt;0,CL645*MAX(1,AO645/X645),IF(BW645=1,IF(AO645&lt;=0,0,CA645*MAX(1,IF(H645&gt;0,AO645/H645,1))),IF(R645&gt;0,AP645/R645,0))/MAX(0.1,N(Parameter!$M$21)))</f>
        <v>5</v>
      </c>
      <c r="AR645" s="50" t="n">
        <f aca="false">AQ645*BY645</f>
        <v>1175</v>
      </c>
      <c r="AS645" s="50" t="n">
        <f aca="false">AO645*G645</f>
        <v>7</v>
      </c>
      <c r="AT645" s="50" t="n">
        <f aca="false">ROUNDUP(MAX(J645/IF(CD645&gt;0,CD645,MAX(0.1,N(Cockpit!$I$6))),CG645)/BV645,0)*BV645</f>
        <v>100</v>
      </c>
      <c r="AU645" s="51" t="n">
        <f aca="false">IF(AR645&gt;0,J645/AR645,-1)</f>
        <v>0.0817021276595745</v>
      </c>
      <c r="AV645" s="51" t="str">
        <f aca="false">IF(AND(OR(CC645="L1",CC645="L23",CC645="LIFT"),AR645&gt;0),SUMIFS($AR$7:$AR$1843,$CC$7:$CC$1843,CC645,$AU$7:$AU$1843,"&gt;"&amp;AU645)+SUMIFS($AR$7:$AR$1843,$CC$7:$CC$1843,CC645,$AU$7:$AU$1843,AU645,$BT$7:$BT$1843,"&lt;="&amp;BT645),"")</f>
        <v/>
      </c>
      <c r="AW645" s="58" t="n">
        <f aca="false">IF(AV645="",0,MAX(0,MIN(1,(IF(CC645="L1",Parameter!$H$5,IF(CC645="L23",Parameter!$H$6+Parameter!$H$7,Parameter!$H$5+Parameter!$H$6+Parameter!$H$7))-(AV645-AR645))/AR645)))</f>
        <v>0</v>
      </c>
      <c r="AX645" s="50" t="n">
        <f aca="false">IF(LEFT(Cockpit!$O$5,1)="A",H645,IF(CE645=1,CF645,IF(LEFT(Cockpit!$O$5,1)="B",BC645,MAX(BC645,H645))))</f>
        <v>100</v>
      </c>
      <c r="AY645" s="50" t="n">
        <f aca="false">IF(BW645=1,0,ROUNDUP(AX645/BV645,0))</f>
        <v>0</v>
      </c>
      <c r="AZ645" s="52" t="n">
        <f aca="false">IF(CL645&gt;0,CL645*MAX(1,AX645/X645),IF(BW645=1,IF(AX645&lt;=0,0,CA645*MAX(1,IF(H645&gt;0,AX645/H645,1))),IF(R645&gt;0,AY645/R645,0))/MAX(0.1,N(Parameter!$M$21)))</f>
        <v>5</v>
      </c>
      <c r="BA645" s="50" t="n">
        <f aca="false">AZ645*BY645</f>
        <v>1175</v>
      </c>
      <c r="BB645" s="50" t="n">
        <f aca="false">AX645*G645</f>
        <v>7</v>
      </c>
      <c r="BC645" s="50" t="n">
        <f aca="false">ROUNDUP(MAX(J645/IF(CD645&gt;0,CD645,MAX(0.1,N(Cockpit!$O$6))),CG645)/BV645,0)*BV645</f>
        <v>100</v>
      </c>
      <c r="BD645" s="51" t="n">
        <f aca="false">IF(BA645&gt;0,J645/BA645,-1)</f>
        <v>0.0817021276595745</v>
      </c>
      <c r="BE645" s="51" t="str">
        <f aca="false">IF(AND(OR(CC645="L1",CC645="L23",CC645="LIFT"),BA645&gt;0),SUMIFS($BA$7:$BA$1843,$CC$7:$CC$1843,CC645,$BD$7:$BD$1843,"&gt;"&amp;BD645)+SUMIFS($BA$7:$BA$1843,$CC$7:$CC$1843,CC645,$BD$7:$BD$1843,BD645,$BT$7:$BT$1843,"&lt;="&amp;BT645),"")</f>
        <v/>
      </c>
      <c r="BF645" s="58" t="n">
        <f aca="false">IF(BE645="",0,MAX(0,MIN(1,(IF(CC645="L1",Parameter!$H$5,IF(CC645="L23",Parameter!$H$6+Parameter!$H$7,Parameter!$H$5+Parameter!$H$6+Parameter!$H$7))-(BE645-BA645))/BA645)))</f>
        <v>0</v>
      </c>
      <c r="BG645" s="48" t="str">
        <f aca="false">IF(AI645&lt;=0,"",IF(CC645="Aussen","Aussenlager",IF(CC645="-","Nicht im Lift",IF(AN645&gt;=1,"Lift",IF(AN645&lt;=0,"Aussenlager","teilweise")))))</f>
        <v>Nicht im Lift</v>
      </c>
      <c r="BH645" s="48" t="str">
        <f aca="false">IF(AR645&lt;=0,"",IF(CC645="Aussen","Aussenlager",IF(CC645="-","Nicht im Lift",IF(AW645&gt;=1,"Lift",IF(AW645&lt;=0,"Aussenlager","teilweise")))))</f>
        <v>Nicht im Lift</v>
      </c>
      <c r="BI645" s="48" t="str">
        <f aca="false">IF(BA645&lt;=0,"",IF(CC645="Aussen","Aussenlager",IF(CC645="-","Nicht im Lift",IF(BF645&gt;=1,"Lift",IF(BF645&lt;=0,"Aussenlager","teilweise")))))</f>
        <v>Nicht im Lift</v>
      </c>
      <c r="BJ645" s="48" t="str">
        <f aca="false">IF(A645="","",IF(BS645=1,"Neu; ","")&amp;IF(AND(BS645=0,BN645&lt;0),"negativer Bestand (Export "&amp;BN645&amp;"); ","")&amp;IF(J645&lt;=0,"Kein Verbrauch; ","")&amp;IF(CL645&gt;0,"Lift "&amp;W645&amp;" lt. Liftbericht (Fach "&amp;X645&amp;" Stk); ",IF(BX645=1,"Gebinde geschätzt ("&amp;T645&amp;"); ",IF(BW645=1,"Lose – Tablare geschätzt; ","")))&amp;IF(H645&gt;AT645,"Überbestand "&amp;ROUND(H645-AT645,0)&amp;" Stk / CHF "&amp;ROUND((H645-AT645)*G645,0)&amp;"; ","")&amp;IF(AND(CE645=1,CF645&lt;CG645),"MAX &lt; MB+LG; ","")&amp;IF(AND(CK645&gt;0,CJ645*10&gt;CK645),"zu hoch für Tablar; ","")&amp;IF(AND(BS645=0,OR(CE645=1,AA645&lt;&gt;"",U645&lt;&gt;"",V645&lt;&gt;"",AB645&lt;&gt;"")),"manuell übersteuert; ","")&amp;IF(AND(BW645=0,R645=0),"Gebinde unbekannt / Stellmass fehlt; ","")&amp;IF(AND(BW645=0,N(V645)&lt;=0,N(Q645)&lt;=0),"Menge pro Gebinde fehlt (Ist = 1 Gebinde); ","")&amp;BR645)</f>
        <v>Lose – Tablare geschätzt; </v>
      </c>
      <c r="BK645" s="48"/>
      <c r="BL645" s="48"/>
      <c r="BM645" s="55"/>
      <c r="BN645" s="50" t="n">
        <v>3</v>
      </c>
      <c r="BO645" s="50" t="n">
        <v>0</v>
      </c>
      <c r="BP645" s="49" t="n">
        <v>0.21</v>
      </c>
      <c r="BQ645" s="50" t="n">
        <v>96</v>
      </c>
      <c r="BR645" s="48"/>
      <c r="BS645" s="53" t="n">
        <v>0</v>
      </c>
      <c r="BT645" s="53" t="n">
        <v>645</v>
      </c>
      <c r="BU645" s="48" t="str">
        <f aca="false">IF(U645&lt;&gt;"",UPPER(TRIM(U645)),IF(BX645=1,UPPER(VLOOKUP(T645,Parameter!$I$27:$K$29,2,0)),IF(P645="","LOSE",P645)))</f>
        <v>LOSE</v>
      </c>
      <c r="BV645" s="50" t="n">
        <f aca="false">IF(BU645="LOSE",1,IF(N(V645)&gt;0,V645,IF(BX645=1,MAX(1,N(VLOOKUP(T645,Parameter!$I$27:$K$29,3,0)),H645,N(N645)),IF(N(Q645)&gt;0,Q645,MAX(1,H645)))))</f>
        <v>1</v>
      </c>
      <c r="BW645" s="53" t="n">
        <f aca="false">IF(BU645="LOSE",1,0)</f>
        <v>1</v>
      </c>
      <c r="BX645" s="53" t="n">
        <f aca="false">IF(AND(U645="",OR(P645="",P645="LOSE"),T645&lt;&gt;"",N(S645)&lt;=0,ISNUMBER(MATCH(T645,Parameter!$I$27:$I$29,0))),1,0)</f>
        <v>0</v>
      </c>
      <c r="BY645" s="53" t="n">
        <f aca="false">IF(CL645&gt;0,INDEX(Parameter!$H$5:$H$7,W645)/INDEX(Parameter!$E$5:$E$7,W645),IF(AND(BW645=0,N(IFERROR(VLOOKUP(BU645,'Gebinde-Kategorie'!$A$5:$N$45,14,0),0))&gt;0),VLOOKUP(BU645,'Gebinde-Kategorie'!$A$5:$N$45,14,0)*10+Parameter!$M$23,Parameter!$M$24))</f>
        <v>235</v>
      </c>
      <c r="BZ645" s="48" t="str">
        <f aca="false">IF(AND(Parameter!$B$19="Ja",E645&lt;&gt;"",ISNUMBER(MATCH(E645,Parameter!$I$35:$I$52,0))),VLOOKUP(E645,Parameter!$I$35:$J$52,2,0),IFERROR(VLOOKUP(D645,Parameter!$A$35:$C$64,2,0),"Nein"))</f>
        <v>Nein</v>
      </c>
      <c r="CA645" s="52" t="n">
        <f aca="false">IF(BW645=0,0,IF(N(S645)&gt;0,S645,IFERROR(VLOOKUP(D645,Parameter!$A$35:$C$64,3,0)+0,0)))</f>
        <v>0.15</v>
      </c>
      <c r="CB645" s="48" t="str">
        <f aca="false">IF(AA645&lt;&gt;"",AA645,Z645)</f>
        <v>-</v>
      </c>
      <c r="CC645" s="48" t="str">
        <f aca="false">IF(OR(CB645=1,CB645=2,CB645=3),IF(Parameter!$E$27="Ja","LIFT",IF(CB645=1,"L1","L23")),IF(CB645="Aussen","Aussen","-"))</f>
        <v>-</v>
      </c>
      <c r="CD645" s="59" t="n">
        <f aca="false">IF(N(AB645)&gt;0,AB645,0)</f>
        <v>0</v>
      </c>
      <c r="CE645" s="53" t="n">
        <f aca="false">IF(ISNUMBER(AE645),1,0)</f>
        <v>0</v>
      </c>
      <c r="CF645" s="50" t="n">
        <f aca="false">N(AE645)</f>
        <v>0</v>
      </c>
      <c r="CG645" s="50" t="n">
        <f aca="false">N(M645)+N(N645)</f>
        <v>100</v>
      </c>
      <c r="CH645" s="50" t="n">
        <f aca="false">ROUNDUP(H645/BV645,0)</f>
        <v>3</v>
      </c>
      <c r="CI645" s="50" t="n">
        <f aca="false">ROUNDUP(CF645/BV645,0)</f>
        <v>0</v>
      </c>
      <c r="CJ645" s="53" t="n">
        <f aca="false">IF(BW645=1,0,IFERROR(VLOOKUP(BU645,'Gebinde-Kategorie'!$A$5:$N$45,5,0)+0,0))</f>
        <v>0</v>
      </c>
      <c r="CK645" s="53" t="n">
        <f aca="false">IFERROR(IF(OR(CB645=1,CB645=2,CB645=3),N(INDEX(Parameter!$I$5:$I$7,CB645)),0),0)</f>
        <v>0</v>
      </c>
      <c r="CL645" s="52" t="n">
        <f aca="false">IF(AND(Parameter!$B$21="Ja",ISNUMBER(W645),N(X645)&gt;0),IFERROR(N(INDEX(Parameter!$L$5:$L$7,W645))*INDEX(Parameter!$E$5:$E$7,W645)*X645/SUMIFS($X$7:$X$1843,$W$7:$W$1843,W645),0),0)</f>
        <v>0</v>
      </c>
    </row>
    <row r="646" customFormat="false" ht="15" hidden="false" customHeight="false" outlineLevel="0" collapsed="false">
      <c r="A646" s="48" t="s">
        <v>1316</v>
      </c>
      <c r="B646" s="48" t="s">
        <v>1317</v>
      </c>
      <c r="C646" s="48" t="s">
        <v>168</v>
      </c>
      <c r="D646" s="48" t="s">
        <v>177</v>
      </c>
      <c r="E646" s="48"/>
      <c r="F646" s="48" t="s">
        <v>222</v>
      </c>
      <c r="G646" s="49" t="n">
        <v>0.01</v>
      </c>
      <c r="H646" s="50" t="n">
        <f aca="false">MAX(0,IF(AND(Parameter!$B$21="Ja",ISNUMBER(Y646)),Y646,IF(Parameter!$B$20="Jahresanfang 2025 + Export",BO646+BN646,BN646)))</f>
        <v>17</v>
      </c>
      <c r="I646" s="50" t="n">
        <f aca="false">H646*G646</f>
        <v>0.17</v>
      </c>
      <c r="J646" s="50" t="n">
        <f aca="false">BQ646*Parameter!$B$18</f>
        <v>0</v>
      </c>
      <c r="K646" s="51" t="n">
        <v>0</v>
      </c>
      <c r="L646" s="52" t="n">
        <v>0</v>
      </c>
      <c r="M646" s="50" t="n">
        <v>0</v>
      </c>
      <c r="N646" s="50" t="n">
        <v>1</v>
      </c>
      <c r="O646" s="53" t="n">
        <v>999</v>
      </c>
      <c r="P646" s="48" t="s">
        <v>172</v>
      </c>
      <c r="Q646" s="50"/>
      <c r="R646" s="53" t="n">
        <f aca="false">IF(BW646=1,0,IFERROR(VLOOKUP(BU646,'Gebinde-Kategorie'!$A$5:$N$45,13,0)+0,0))</f>
        <v>26</v>
      </c>
      <c r="S646" s="54"/>
      <c r="T646" s="55" t="s">
        <v>279</v>
      </c>
      <c r="U646" s="55"/>
      <c r="V646" s="55"/>
      <c r="W646" s="48"/>
      <c r="X646" s="50"/>
      <c r="Y646" s="50"/>
      <c r="Z646" s="48" t="n">
        <f aca="false">IF(A646="","",IF(AND(Parameter!$B$21="Ja",ISNUMBER(W646)),W646,IF(BZ646="2+3",IF(ISNUMBER(SEARCH("grosser Artikel",BR646)),2,IFERROR(VLOOKUP(BU646,Parameter!$F$35:$G$64,2,0),2)),IF(OR(BZ646="Nein",BZ646=""),"-",BZ646))))</f>
        <v>3</v>
      </c>
      <c r="AA646" s="55"/>
      <c r="AB646" s="56"/>
      <c r="AC646" s="50" t="n">
        <f aca="false">AT646</f>
        <v>20</v>
      </c>
      <c r="AD646" s="50" t="n">
        <f aca="false">MAX(AT646,H646)</f>
        <v>20</v>
      </c>
      <c r="AE646" s="57"/>
      <c r="AF646" s="50" t="n">
        <f aca="false">IF(LEFT(Cockpit!$C$5,1)="A",H646,IF(CE646=1,CF646,IF(LEFT(Cockpit!$C$5,1)="B",AK646,MAX(AK646,H646))))</f>
        <v>17</v>
      </c>
      <c r="AG646" s="50" t="n">
        <f aca="false">IF(BW646=1,0,ROUNDUP(AF646/BV646,0))</f>
        <v>1</v>
      </c>
      <c r="AH646" s="52" t="n">
        <f aca="false">IF(CL646&gt;0,CL646*MAX(1,AF646/X646),IF(BW646=1,IF(AF646&lt;=0,0,CA646*MAX(1,IF(H646&gt;0,AF646/H646,1))),IF(R646&gt;0,AG646/R646,0))/MAX(0.1,N(Parameter!$M$21)))</f>
        <v>0.0384615384615385</v>
      </c>
      <c r="AI646" s="50" t="n">
        <f aca="false">AH646*BY646</f>
        <v>5.96153846153846</v>
      </c>
      <c r="AJ646" s="50" t="n">
        <f aca="false">AF646*G646</f>
        <v>0.17</v>
      </c>
      <c r="AK646" s="50" t="n">
        <f aca="false">ROUNDUP(MAX(J646/IF(CD646&gt;0,CD646,MAX(0.1,N(Cockpit!$C$6))),CG646)/BV646,0)*BV646</f>
        <v>20</v>
      </c>
      <c r="AL646" s="51" t="n">
        <f aca="false">IF(AI646&gt;0,J646/AI646,-1)</f>
        <v>0</v>
      </c>
      <c r="AM646" s="51" t="n">
        <f aca="false">IF(AND(OR(CC646="L1",CC646="L23",CC646="LIFT"),AI646&gt;0),SUMIFS($AI$7:$AI$1843,$CC$7:$CC$1843,CC646,$AL$7:$AL$1843,"&gt;"&amp;AL646)+SUMIFS($AI$7:$AI$1843,$CC$7:$CC$1843,CC646,$AL$7:$AL$1843,AL646,$BT$7:$BT$1843,"&lt;="&amp;BT646),"")</f>
        <v>28606.7922926885</v>
      </c>
      <c r="AN646" s="58" t="n">
        <f aca="false">IF(AM646="",0,MAX(0,MIN(1,(IF(CC646="L1",Parameter!$H$5,IF(CC646="L23",Parameter!$H$6+Parameter!$H$7,Parameter!$H$5+Parameter!$H$6+Parameter!$H$7))-(AM646-AI646))/AI646)))</f>
        <v>1</v>
      </c>
      <c r="AO646" s="50" t="n">
        <f aca="false">IF(LEFT(Cockpit!$I$5,1)="A",H646,IF(CE646=1,CF646,IF(LEFT(Cockpit!$I$5,1)="B",AT646,MAX(AT646,H646))))</f>
        <v>20</v>
      </c>
      <c r="AP646" s="50" t="n">
        <f aca="false">IF(BW646=1,0,ROUNDUP(AO646/BV646,0))</f>
        <v>1</v>
      </c>
      <c r="AQ646" s="52" t="n">
        <f aca="false">IF(CL646&gt;0,CL646*MAX(1,AO646/X646),IF(BW646=1,IF(AO646&lt;=0,0,CA646*MAX(1,IF(H646&gt;0,AO646/H646,1))),IF(R646&gt;0,AP646/R646,0))/MAX(0.1,N(Parameter!$M$21)))</f>
        <v>0.0384615384615385</v>
      </c>
      <c r="AR646" s="50" t="n">
        <f aca="false">AQ646*BY646</f>
        <v>5.96153846153846</v>
      </c>
      <c r="AS646" s="50" t="n">
        <f aca="false">AO646*G646</f>
        <v>0.2</v>
      </c>
      <c r="AT646" s="50" t="n">
        <f aca="false">ROUNDUP(MAX(J646/IF(CD646&gt;0,CD646,MAX(0.1,N(Cockpit!$I$6))),CG646)/BV646,0)*BV646</f>
        <v>20</v>
      </c>
      <c r="AU646" s="51" t="n">
        <f aca="false">IF(AR646&gt;0,J646/AR646,-1)</f>
        <v>0</v>
      </c>
      <c r="AV646" s="51" t="n">
        <f aca="false">IF(AND(OR(CC646="L1",CC646="L23",CC646="LIFT"),AR646&gt;0),SUMIFS($AR$7:$AR$1843,$CC$7:$CC$1843,CC646,$AU$7:$AU$1843,"&gt;"&amp;AU646)+SUMIFS($AR$7:$AR$1843,$CC$7:$CC$1843,CC646,$AU$7:$AU$1843,AU646,$BT$7:$BT$1843,"&lt;="&amp;BT646),"")</f>
        <v>39926.2129198485</v>
      </c>
      <c r="AW646" s="58" t="n">
        <f aca="false">IF(AV646="",0,MAX(0,MIN(1,(IF(CC646="L1",Parameter!$H$5,IF(CC646="L23",Parameter!$H$6+Parameter!$H$7,Parameter!$H$5+Parameter!$H$6+Parameter!$H$7))-(AV646-AR646))/AR646)))</f>
        <v>0</v>
      </c>
      <c r="AX646" s="50" t="n">
        <f aca="false">IF(LEFT(Cockpit!$O$5,1)="A",H646,IF(CE646=1,CF646,IF(LEFT(Cockpit!$O$5,1)="B",BC646,MAX(BC646,H646))))</f>
        <v>20</v>
      </c>
      <c r="AY646" s="50" t="n">
        <f aca="false">IF(BW646=1,0,ROUNDUP(AX646/BV646,0))</f>
        <v>1</v>
      </c>
      <c r="AZ646" s="52" t="n">
        <f aca="false">IF(CL646&gt;0,CL646*MAX(1,AX646/X646),IF(BW646=1,IF(AX646&lt;=0,0,CA646*MAX(1,IF(H646&gt;0,AX646/H646,1))),IF(R646&gt;0,AY646/R646,0))/MAX(0.1,N(Parameter!$M$21)))</f>
        <v>0.0384615384615385</v>
      </c>
      <c r="BA646" s="50" t="n">
        <f aca="false">AZ646*BY646</f>
        <v>5.96153846153846</v>
      </c>
      <c r="BB646" s="50" t="n">
        <f aca="false">AX646*G646</f>
        <v>0.2</v>
      </c>
      <c r="BC646" s="50" t="n">
        <f aca="false">ROUNDUP(MAX(J646/IF(CD646&gt;0,CD646,MAX(0.1,N(Cockpit!$O$6))),CG646)/BV646,0)*BV646</f>
        <v>20</v>
      </c>
      <c r="BD646" s="51" t="n">
        <f aca="false">IF(BA646&gt;0,J646/BA646,-1)</f>
        <v>0</v>
      </c>
      <c r="BE646" s="51" t="n">
        <f aca="false">IF(AND(OR(CC646="L1",CC646="L23",CC646="LIFT"),BA646&gt;0),SUMIFS($BA$7:$BA$1843,$CC$7:$CC$1843,CC646,$BD$7:$BD$1843,"&gt;"&amp;BD646)+SUMIFS($BA$7:$BA$1843,$CC$7:$CC$1843,CC646,$BD$7:$BD$1843,BD646,$BT$7:$BT$1843,"&lt;="&amp;BT646),"")</f>
        <v>36601.2249617144</v>
      </c>
      <c r="BF646" s="58" t="n">
        <f aca="false">IF(BE646="",0,MAX(0,MIN(1,(IF(CC646="L1",Parameter!$H$5,IF(CC646="L23",Parameter!$H$6+Parameter!$H$7,Parameter!$H$5+Parameter!$H$6+Parameter!$H$7))-(BE646-BA646))/BA646)))</f>
        <v>0</v>
      </c>
      <c r="BG646" s="48" t="str">
        <f aca="false">IF(AI646&lt;=0,"",IF(CC646="Aussen","Aussenlager",IF(CC646="-","Nicht im Lift",IF(AN646&gt;=1,"Lift",IF(AN646&lt;=0,"Aussenlager","teilweise")))))</f>
        <v>Lift</v>
      </c>
      <c r="BH646" s="48" t="str">
        <f aca="false">IF(AR646&lt;=0,"",IF(CC646="Aussen","Aussenlager",IF(CC646="-","Nicht im Lift",IF(AW646&gt;=1,"Lift",IF(AW646&lt;=0,"Aussenlager","teilweise")))))</f>
        <v>Aussenlager</v>
      </c>
      <c r="BI646" s="48" t="str">
        <f aca="false">IF(BA646&lt;=0,"",IF(CC646="Aussen","Aussenlager",IF(CC646="-","Nicht im Lift",IF(BF646&gt;=1,"Lift",IF(BF646&lt;=0,"Aussenlager","teilweise")))))</f>
        <v>Aussenlager</v>
      </c>
      <c r="BJ646" s="48" t="str">
        <f aca="false">IF(A646="","",IF(BS646=1,"Neu; ","")&amp;IF(AND(BS646=0,BN646&lt;0),"negativer Bestand (Export "&amp;BN646&amp;"); ","")&amp;IF(J646&lt;=0,"Kein Verbrauch; ","")&amp;IF(CL646&gt;0,"Lift "&amp;W646&amp;" lt. Liftbericht (Fach "&amp;X646&amp;" Stk); ",IF(BX646=1,"Gebinde geschätzt ("&amp;T646&amp;"); ",IF(BW646=1,"Lose – Tablare geschätzt; ","")))&amp;IF(H646&gt;AT646,"Überbestand "&amp;ROUND(H646-AT646,0)&amp;" Stk / CHF "&amp;ROUND((H646-AT646)*G646,0)&amp;"; ","")&amp;IF(AND(CE646=1,CF646&lt;CG646),"MAX &lt; MB+LG; ","")&amp;IF(AND(CK646&gt;0,CJ646*10&gt;CK646),"zu hoch für Tablar; ","")&amp;IF(AND(BS646=0,OR(CE646=1,AA646&lt;&gt;"",U646&lt;&gt;"",V646&lt;&gt;"",AB646&lt;&gt;"")),"manuell übersteuert; ","")&amp;IF(AND(BW646=0,R646=0),"Gebinde unbekannt / Stellmass fehlt; ","")&amp;IF(AND(BW646=0,N(V646)&lt;=0,N(Q646)&lt;=0),"Menge pro Gebinde fehlt (Ist = 1 Gebinde); ","")&amp;BR646)</f>
        <v>Kein Verbrauch; Gebinde geschätzt (Klein); Menge pro Gebinde fehlt (Ist = 1 Gebinde); </v>
      </c>
      <c r="BK646" s="48"/>
      <c r="BL646" s="48"/>
      <c r="BM646" s="55"/>
      <c r="BN646" s="50" t="n">
        <v>17</v>
      </c>
      <c r="BO646" s="50" t="n">
        <v>0</v>
      </c>
      <c r="BP646" s="49" t="n">
        <v>0.17</v>
      </c>
      <c r="BQ646" s="50" t="n">
        <v>0</v>
      </c>
      <c r="BR646" s="48"/>
      <c r="BS646" s="53" t="n">
        <v>0</v>
      </c>
      <c r="BT646" s="53" t="n">
        <v>646</v>
      </c>
      <c r="BU646" s="48" t="str">
        <f aca="false">IF(U646&lt;&gt;"",UPPER(TRIM(U646)),IF(BX646=1,UPPER(VLOOKUP(T646,Parameter!$I$27:$K$29,2,0)),IF(P646="","LOSE",P646)))</f>
        <v>S51</v>
      </c>
      <c r="BV646" s="50" t="n">
        <f aca="false">IF(BU646="LOSE",1,IF(N(V646)&gt;0,V646,IF(BX646=1,MAX(1,N(VLOOKUP(T646,Parameter!$I$27:$K$29,3,0)),H646,N(N646)),IF(N(Q646)&gt;0,Q646,MAX(1,H646)))))</f>
        <v>20</v>
      </c>
      <c r="BW646" s="53" t="n">
        <f aca="false">IF(BU646="LOSE",1,0)</f>
        <v>0</v>
      </c>
      <c r="BX646" s="53" t="n">
        <f aca="false">IF(AND(U646="",OR(P646="",P646="LOSE"),T646&lt;&gt;"",N(S646)&lt;=0,ISNUMBER(MATCH(T646,Parameter!$I$27:$I$29,0))),1,0)</f>
        <v>1</v>
      </c>
      <c r="BY646" s="53" t="n">
        <f aca="false">IF(CL646&gt;0,INDEX(Parameter!$H$5:$H$7,W646)/INDEX(Parameter!$E$5:$E$7,W646),IF(AND(BW646=0,N(IFERROR(VLOOKUP(BU646,'Gebinde-Kategorie'!$A$5:$N$45,14,0),0))&gt;0),VLOOKUP(BU646,'Gebinde-Kategorie'!$A$5:$N$45,14,0)*10+Parameter!$M$23,Parameter!$M$24))</f>
        <v>155</v>
      </c>
      <c r="BZ646" s="48" t="str">
        <f aca="false">IF(AND(Parameter!$B$19="Ja",E646&lt;&gt;"",ISNUMBER(MATCH(E646,Parameter!$I$35:$I$52,0))),VLOOKUP(E646,Parameter!$I$35:$J$52,2,0),IFERROR(VLOOKUP(D646,Parameter!$A$35:$C$64,2,0),"Nein"))</f>
        <v>2+3</v>
      </c>
      <c r="CA646" s="52" t="n">
        <f aca="false">IF(BW646=0,0,IF(N(S646)&gt;0,S646,IFERROR(VLOOKUP(D646,Parameter!$A$35:$C$64,3,0)+0,0)))</f>
        <v>0</v>
      </c>
      <c r="CB646" s="48" t="n">
        <f aca="false">IF(AA646&lt;&gt;"",AA646,Z646)</f>
        <v>3</v>
      </c>
      <c r="CC646" s="48" t="str">
        <f aca="false">IF(OR(CB646=1,CB646=2,CB646=3),IF(Parameter!$E$27="Ja","LIFT",IF(CB646=1,"L1","L23")),IF(CB646="Aussen","Aussen","-"))</f>
        <v>LIFT</v>
      </c>
      <c r="CD646" s="59" t="n">
        <f aca="false">IF(N(AB646)&gt;0,AB646,0)</f>
        <v>0</v>
      </c>
      <c r="CE646" s="53" t="n">
        <f aca="false">IF(ISNUMBER(AE646),1,0)</f>
        <v>0</v>
      </c>
      <c r="CF646" s="50" t="n">
        <f aca="false">N(AE646)</f>
        <v>0</v>
      </c>
      <c r="CG646" s="50" t="n">
        <f aca="false">N(M646)+N(N646)</f>
        <v>1</v>
      </c>
      <c r="CH646" s="50" t="n">
        <f aca="false">ROUNDUP(H646/BV646,0)</f>
        <v>1</v>
      </c>
      <c r="CI646" s="50" t="n">
        <f aca="false">ROUNDUP(CF646/BV646,0)</f>
        <v>0</v>
      </c>
      <c r="CJ646" s="53" t="n">
        <f aca="false">IF(BW646=1,0,IFERROR(VLOOKUP(BU646,'Gebinde-Kategorie'!$A$5:$N$45,5,0)+0,0))</f>
        <v>11</v>
      </c>
      <c r="CK646" s="53" t="n">
        <f aca="false">IFERROR(IF(OR(CB646=1,CB646=2,CB646=3),N(INDEX(Parameter!$I$5:$I$7,CB646)),0),0)</f>
        <v>0</v>
      </c>
      <c r="CL646" s="52" t="n">
        <f aca="false">IF(AND(Parameter!$B$21="Ja",ISNUMBER(W646),N(X646)&gt;0),IFERROR(N(INDEX(Parameter!$L$5:$L$7,W646))*INDEX(Parameter!$E$5:$E$7,W646)*X646/SUMIFS($X$7:$X$1843,$W$7:$W$1843,W646),0),0)</f>
        <v>0</v>
      </c>
    </row>
    <row r="647" customFormat="false" ht="15" hidden="false" customHeight="false" outlineLevel="0" collapsed="false">
      <c r="A647" s="48" t="s">
        <v>1318</v>
      </c>
      <c r="B647" s="48" t="s">
        <v>409</v>
      </c>
      <c r="C647" s="48" t="s">
        <v>168</v>
      </c>
      <c r="D647" s="48" t="s">
        <v>188</v>
      </c>
      <c r="E647" s="48" t="s">
        <v>189</v>
      </c>
      <c r="F647" s="48" t="s">
        <v>222</v>
      </c>
      <c r="G647" s="49" t="n">
        <v>0.1</v>
      </c>
      <c r="H647" s="50" t="n">
        <f aca="false">MAX(0,IF(AND(Parameter!$B$21="Ja",ISNUMBER(Y647)),Y647,IF(Parameter!$B$20="Jahresanfang 2025 + Export",BO647+BN647,BN647)))</f>
        <v>184</v>
      </c>
      <c r="I647" s="50" t="n">
        <f aca="false">H647*G647</f>
        <v>18.4</v>
      </c>
      <c r="J647" s="50" t="n">
        <f aca="false">BQ647*Parameter!$B$18</f>
        <v>0</v>
      </c>
      <c r="K647" s="51" t="n">
        <v>183.5</v>
      </c>
      <c r="L647" s="52" t="n">
        <v>0</v>
      </c>
      <c r="M647" s="50" t="n">
        <v>0</v>
      </c>
      <c r="N647" s="50" t="n">
        <v>1</v>
      </c>
      <c r="O647" s="53" t="n">
        <v>21</v>
      </c>
      <c r="P647" s="48" t="s">
        <v>425</v>
      </c>
      <c r="Q647" s="50" t="n">
        <v>198</v>
      </c>
      <c r="R647" s="53" t="n">
        <f aca="false">IF(BW647=1,0,IFERROR(VLOOKUP(BU647,'Gebinde-Kategorie'!$A$5:$N$45,13,0)+0,0))</f>
        <v>104</v>
      </c>
      <c r="S647" s="54"/>
      <c r="T647" s="55"/>
      <c r="U647" s="55"/>
      <c r="V647" s="55"/>
      <c r="W647" s="48"/>
      <c r="X647" s="50"/>
      <c r="Y647" s="50"/>
      <c r="Z647" s="48" t="n">
        <f aca="false">IF(A647="","",IF(AND(Parameter!$B$21="Ja",ISNUMBER(W647)),W647,IF(BZ647="2+3",IF(ISNUMBER(SEARCH("grosser Artikel",BR647)),2,IFERROR(VLOOKUP(BU647,Parameter!$F$35:$G$64,2,0),2)),IF(OR(BZ647="Nein",BZ647=""),"-",BZ647))))</f>
        <v>3</v>
      </c>
      <c r="AA647" s="55"/>
      <c r="AB647" s="56"/>
      <c r="AC647" s="50" t="n">
        <f aca="false">AT647</f>
        <v>198</v>
      </c>
      <c r="AD647" s="50" t="n">
        <f aca="false">MAX(AT647,H647)</f>
        <v>198</v>
      </c>
      <c r="AE647" s="57"/>
      <c r="AF647" s="50" t="n">
        <f aca="false">IF(LEFT(Cockpit!$C$5,1)="A",H647,IF(CE647=1,CF647,IF(LEFT(Cockpit!$C$5,1)="B",AK647,MAX(AK647,H647))))</f>
        <v>184</v>
      </c>
      <c r="AG647" s="50" t="n">
        <f aca="false">IF(BW647=1,0,ROUNDUP(AF647/BV647,0))</f>
        <v>1</v>
      </c>
      <c r="AH647" s="52" t="n">
        <f aca="false">IF(CL647&gt;0,CL647*MAX(1,AF647/X647),IF(BW647=1,IF(AF647&lt;=0,0,CA647*MAX(1,IF(H647&gt;0,AF647/H647,1))),IF(R647&gt;0,AG647/R647,0))/MAX(0.1,N(Parameter!$M$21)))</f>
        <v>0.00961538461538462</v>
      </c>
      <c r="AI647" s="50" t="n">
        <f aca="false">AH647*BY647</f>
        <v>1.49038461538462</v>
      </c>
      <c r="AJ647" s="50" t="n">
        <f aca="false">AF647*G647</f>
        <v>18.4</v>
      </c>
      <c r="AK647" s="50" t="n">
        <f aca="false">ROUNDUP(MAX(J647/IF(CD647&gt;0,CD647,MAX(0.1,N(Cockpit!$C$6))),CG647)/BV647,0)*BV647</f>
        <v>198</v>
      </c>
      <c r="AL647" s="51" t="n">
        <f aca="false">IF(AI647&gt;0,J647/AI647,-1)</f>
        <v>0</v>
      </c>
      <c r="AM647" s="51" t="n">
        <f aca="false">IF(AND(OR(CC647="L1",CC647="L23",CC647="LIFT"),AI647&gt;0),SUMIFS($AI$7:$AI$1843,$CC$7:$CC$1843,CC647,$AL$7:$AL$1843,"&gt;"&amp;AL647)+SUMIFS($AI$7:$AI$1843,$CC$7:$CC$1843,CC647,$AL$7:$AL$1843,AL647,$BT$7:$BT$1843,"&lt;="&amp;BT647),"")</f>
        <v>28608.2826773039</v>
      </c>
      <c r="AN647" s="58" t="n">
        <f aca="false">IF(AM647="",0,MAX(0,MIN(1,(IF(CC647="L1",Parameter!$H$5,IF(CC647="L23",Parameter!$H$6+Parameter!$H$7,Parameter!$H$5+Parameter!$H$6+Parameter!$H$7))-(AM647-AI647))/AI647)))</f>
        <v>1</v>
      </c>
      <c r="AO647" s="50" t="n">
        <f aca="false">IF(LEFT(Cockpit!$I$5,1)="A",H647,IF(CE647=1,CF647,IF(LEFT(Cockpit!$I$5,1)="B",AT647,MAX(AT647,H647))))</f>
        <v>198</v>
      </c>
      <c r="AP647" s="50" t="n">
        <f aca="false">IF(BW647=1,0,ROUNDUP(AO647/BV647,0))</f>
        <v>1</v>
      </c>
      <c r="AQ647" s="52" t="n">
        <f aca="false">IF(CL647&gt;0,CL647*MAX(1,AO647/X647),IF(BW647=1,IF(AO647&lt;=0,0,CA647*MAX(1,IF(H647&gt;0,AO647/H647,1))),IF(R647&gt;0,AP647/R647,0))/MAX(0.1,N(Parameter!$M$21)))</f>
        <v>0.00961538461538462</v>
      </c>
      <c r="AR647" s="50" t="n">
        <f aca="false">AQ647*BY647</f>
        <v>1.49038461538462</v>
      </c>
      <c r="AS647" s="50" t="n">
        <f aca="false">AO647*G647</f>
        <v>19.8</v>
      </c>
      <c r="AT647" s="50" t="n">
        <f aca="false">ROUNDUP(MAX(J647/IF(CD647&gt;0,CD647,MAX(0.1,N(Cockpit!$I$6))),CG647)/BV647,0)*BV647</f>
        <v>198</v>
      </c>
      <c r="AU647" s="51" t="n">
        <f aca="false">IF(AR647&gt;0,J647/AR647,-1)</f>
        <v>0</v>
      </c>
      <c r="AV647" s="51" t="n">
        <f aca="false">IF(AND(OR(CC647="L1",CC647="L23",CC647="LIFT"),AR647&gt;0),SUMIFS($AR$7:$AR$1843,$CC$7:$CC$1843,CC647,$AU$7:$AU$1843,"&gt;"&amp;AU647)+SUMIFS($AR$7:$AR$1843,$CC$7:$CC$1843,CC647,$AU$7:$AU$1843,AU647,$BT$7:$BT$1843,"&lt;="&amp;BT647),"")</f>
        <v>39927.7033044639</v>
      </c>
      <c r="AW647" s="58" t="n">
        <f aca="false">IF(AV647="",0,MAX(0,MIN(1,(IF(CC647="L1",Parameter!$H$5,IF(CC647="L23",Parameter!$H$6+Parameter!$H$7,Parameter!$H$5+Parameter!$H$6+Parameter!$H$7))-(AV647-AR647))/AR647)))</f>
        <v>0</v>
      </c>
      <c r="AX647" s="50" t="n">
        <f aca="false">IF(LEFT(Cockpit!$O$5,1)="A",H647,IF(CE647=1,CF647,IF(LEFT(Cockpit!$O$5,1)="B",BC647,MAX(BC647,H647))))</f>
        <v>198</v>
      </c>
      <c r="AY647" s="50" t="n">
        <f aca="false">IF(BW647=1,0,ROUNDUP(AX647/BV647,0))</f>
        <v>1</v>
      </c>
      <c r="AZ647" s="52" t="n">
        <f aca="false">IF(CL647&gt;0,CL647*MAX(1,AX647/X647),IF(BW647=1,IF(AX647&lt;=0,0,CA647*MAX(1,IF(H647&gt;0,AX647/H647,1))),IF(R647&gt;0,AY647/R647,0))/MAX(0.1,N(Parameter!$M$21)))</f>
        <v>0.00961538461538462</v>
      </c>
      <c r="BA647" s="50" t="n">
        <f aca="false">AZ647*BY647</f>
        <v>1.49038461538462</v>
      </c>
      <c r="BB647" s="50" t="n">
        <f aca="false">AX647*G647</f>
        <v>19.8</v>
      </c>
      <c r="BC647" s="50" t="n">
        <f aca="false">ROUNDUP(MAX(J647/IF(CD647&gt;0,CD647,MAX(0.1,N(Cockpit!$O$6))),CG647)/BV647,0)*BV647</f>
        <v>198</v>
      </c>
      <c r="BD647" s="51" t="n">
        <f aca="false">IF(BA647&gt;0,J647/BA647,-1)</f>
        <v>0</v>
      </c>
      <c r="BE647" s="51" t="n">
        <f aca="false">IF(AND(OR(CC647="L1",CC647="L23",CC647="LIFT"),BA647&gt;0),SUMIFS($BA$7:$BA$1843,$CC$7:$CC$1843,CC647,$BD$7:$BD$1843,"&gt;"&amp;BD647)+SUMIFS($BA$7:$BA$1843,$CC$7:$CC$1843,CC647,$BD$7:$BD$1843,BD647,$BT$7:$BT$1843,"&lt;="&amp;BT647),"")</f>
        <v>36602.7153463298</v>
      </c>
      <c r="BF647" s="58" t="n">
        <f aca="false">IF(BE647="",0,MAX(0,MIN(1,(IF(CC647="L1",Parameter!$H$5,IF(CC647="L23",Parameter!$H$6+Parameter!$H$7,Parameter!$H$5+Parameter!$H$6+Parameter!$H$7))-(BE647-BA647))/BA647)))</f>
        <v>0</v>
      </c>
      <c r="BG647" s="48" t="str">
        <f aca="false">IF(AI647&lt;=0,"",IF(CC647="Aussen","Aussenlager",IF(CC647="-","Nicht im Lift",IF(AN647&gt;=1,"Lift",IF(AN647&lt;=0,"Aussenlager","teilweise")))))</f>
        <v>Lift</v>
      </c>
      <c r="BH647" s="48" t="str">
        <f aca="false">IF(AR647&lt;=0,"",IF(CC647="Aussen","Aussenlager",IF(CC647="-","Nicht im Lift",IF(AW647&gt;=1,"Lift",IF(AW647&lt;=0,"Aussenlager","teilweise")))))</f>
        <v>Aussenlager</v>
      </c>
      <c r="BI647" s="48" t="str">
        <f aca="false">IF(BA647&lt;=0,"",IF(CC647="Aussen","Aussenlager",IF(CC647="-","Nicht im Lift",IF(BF647&gt;=1,"Lift",IF(BF647&lt;=0,"Aussenlager","teilweise")))))</f>
        <v>Aussenlager</v>
      </c>
      <c r="BJ647" s="48" t="str">
        <f aca="false">IF(A647="","",IF(BS647=1,"Neu; ","")&amp;IF(AND(BS647=0,BN647&lt;0),"negativer Bestand (Export "&amp;BN647&amp;"); ","")&amp;IF(J647&lt;=0,"Kein Verbrauch; ","")&amp;IF(CL647&gt;0,"Lift "&amp;W647&amp;" lt. Liftbericht (Fach "&amp;X647&amp;" Stk); ",IF(BX647=1,"Gebinde geschätzt ("&amp;T647&amp;"); ",IF(BW647=1,"Lose – Tablare geschätzt; ","")))&amp;IF(H647&gt;AT647,"Überbestand "&amp;ROUND(H647-AT647,0)&amp;" Stk / CHF "&amp;ROUND((H647-AT647)*G647,0)&amp;"; ","")&amp;IF(AND(CE647=1,CF647&lt;CG647),"MAX &lt; MB+LG; ","")&amp;IF(AND(CK647&gt;0,CJ647*10&gt;CK647),"zu hoch für Tablar; ","")&amp;IF(AND(BS647=0,OR(CE647=1,AA647&lt;&gt;"",U647&lt;&gt;"",V647&lt;&gt;"",AB647&lt;&gt;"")),"manuell übersteuert; ","")&amp;IF(AND(BW647=0,R647=0),"Gebinde unbekannt / Stellmass fehlt; ","")&amp;IF(AND(BW647=0,N(V647)&lt;=0,N(Q647)&lt;=0),"Menge pro Gebinde fehlt (Ist = 1 Gebinde); ","")&amp;BR647)</f>
        <v>Kein Verbrauch; Neu</v>
      </c>
      <c r="BK647" s="48"/>
      <c r="BL647" s="48"/>
      <c r="BM647" s="55"/>
      <c r="BN647" s="50" t="n">
        <v>1</v>
      </c>
      <c r="BO647" s="50" t="n">
        <v>183</v>
      </c>
      <c r="BP647" s="49" t="n">
        <v>0.1</v>
      </c>
      <c r="BQ647" s="50" t="n">
        <v>0</v>
      </c>
      <c r="BR647" s="48" t="s">
        <v>630</v>
      </c>
      <c r="BS647" s="53" t="n">
        <v>0</v>
      </c>
      <c r="BT647" s="53" t="n">
        <v>647</v>
      </c>
      <c r="BU647" s="48" t="str">
        <f aca="false">IF(U647&lt;&gt;"",UPPER(TRIM(U647)),IF(BX647=1,UPPER(VLOOKUP(T647,Parameter!$I$27:$K$29,2,0)),IF(P647="","LOSE",P647)))</f>
        <v>S32</v>
      </c>
      <c r="BV647" s="50" t="n">
        <f aca="false">IF(BU647="LOSE",1,IF(N(V647)&gt;0,V647,IF(BX647=1,MAX(1,N(VLOOKUP(T647,Parameter!$I$27:$K$29,3,0)),H647,N(N647)),IF(N(Q647)&gt;0,Q647,MAX(1,H647)))))</f>
        <v>198</v>
      </c>
      <c r="BW647" s="53" t="n">
        <f aca="false">IF(BU647="LOSE",1,0)</f>
        <v>0</v>
      </c>
      <c r="BX647" s="53" t="n">
        <f aca="false">IF(AND(U647="",OR(P647="",P647="LOSE"),T647&lt;&gt;"",N(S647)&lt;=0,ISNUMBER(MATCH(T647,Parameter!$I$27:$I$29,0))),1,0)</f>
        <v>0</v>
      </c>
      <c r="BY647" s="53" t="n">
        <f aca="false">IF(CL647&gt;0,INDEX(Parameter!$H$5:$H$7,W647)/INDEX(Parameter!$E$5:$E$7,W647),IF(AND(BW647=0,N(IFERROR(VLOOKUP(BU647,'Gebinde-Kategorie'!$A$5:$N$45,14,0),0))&gt;0),VLOOKUP(BU647,'Gebinde-Kategorie'!$A$5:$N$45,14,0)*10+Parameter!$M$23,Parameter!$M$24))</f>
        <v>155</v>
      </c>
      <c r="BZ647" s="48" t="str">
        <f aca="false">IF(AND(Parameter!$B$19="Ja",E647&lt;&gt;"",ISNUMBER(MATCH(E647,Parameter!$I$35:$I$52,0))),VLOOKUP(E647,Parameter!$I$35:$J$52,2,0),IFERROR(VLOOKUP(D647,Parameter!$A$35:$C$64,2,0),"Nein"))</f>
        <v>2+3</v>
      </c>
      <c r="CA647" s="52" t="n">
        <f aca="false">IF(BW647=0,0,IF(N(S647)&gt;0,S647,IFERROR(VLOOKUP(D647,Parameter!$A$35:$C$64,3,0)+0,0)))</f>
        <v>0</v>
      </c>
      <c r="CB647" s="48" t="n">
        <f aca="false">IF(AA647&lt;&gt;"",AA647,Z647)</f>
        <v>3</v>
      </c>
      <c r="CC647" s="48" t="str">
        <f aca="false">IF(OR(CB647=1,CB647=2,CB647=3),IF(Parameter!$E$27="Ja","LIFT",IF(CB647=1,"L1","L23")),IF(CB647="Aussen","Aussen","-"))</f>
        <v>LIFT</v>
      </c>
      <c r="CD647" s="59" t="n">
        <f aca="false">IF(N(AB647)&gt;0,AB647,0)</f>
        <v>0</v>
      </c>
      <c r="CE647" s="53" t="n">
        <f aca="false">IF(ISNUMBER(AE647),1,0)</f>
        <v>0</v>
      </c>
      <c r="CF647" s="50" t="n">
        <f aca="false">N(AE647)</f>
        <v>0</v>
      </c>
      <c r="CG647" s="50" t="n">
        <f aca="false">N(M647)+N(N647)</f>
        <v>1</v>
      </c>
      <c r="CH647" s="50" t="n">
        <f aca="false">ROUNDUP(H647/BV647,0)</f>
        <v>1</v>
      </c>
      <c r="CI647" s="50" t="n">
        <f aca="false">ROUNDUP(CF647/BV647,0)</f>
        <v>0</v>
      </c>
      <c r="CJ647" s="53" t="n">
        <f aca="false">IF(BW647=1,0,IFERROR(VLOOKUP(BU647,'Gebinde-Kategorie'!$A$5:$N$45,5,0)+0,0))</f>
        <v>8</v>
      </c>
      <c r="CK647" s="53" t="n">
        <f aca="false">IFERROR(IF(OR(CB647=1,CB647=2,CB647=3),N(INDEX(Parameter!$I$5:$I$7,CB647)),0),0)</f>
        <v>0</v>
      </c>
      <c r="CL647" s="52" t="n">
        <f aca="false">IF(AND(Parameter!$B$21="Ja",ISNUMBER(W647),N(X647)&gt;0),IFERROR(N(INDEX(Parameter!$L$5:$L$7,W647))*INDEX(Parameter!$E$5:$E$7,W647)*X647/SUMIFS($X$7:$X$1843,$W$7:$W$1843,W647),0),0)</f>
        <v>0</v>
      </c>
    </row>
    <row r="648" customFormat="false" ht="15" hidden="false" customHeight="false" outlineLevel="0" collapsed="false">
      <c r="A648" s="48" t="s">
        <v>1319</v>
      </c>
      <c r="B648" s="48" t="s">
        <v>658</v>
      </c>
      <c r="C648" s="48" t="s">
        <v>168</v>
      </c>
      <c r="D648" s="48" t="s">
        <v>188</v>
      </c>
      <c r="E648" s="48" t="s">
        <v>189</v>
      </c>
      <c r="F648" s="48" t="s">
        <v>222</v>
      </c>
      <c r="G648" s="49" t="n">
        <v>0.01</v>
      </c>
      <c r="H648" s="50" t="n">
        <f aca="false">MAX(0,IF(AND(Parameter!$B$21="Ja",ISNUMBER(Y648)),Y648,IF(Parameter!$B$20="Jahresanfang 2025 + Export",BO648+BN648,BN648)))</f>
        <v>942</v>
      </c>
      <c r="I648" s="50" t="n">
        <f aca="false">H648*G648</f>
        <v>9.42</v>
      </c>
      <c r="J648" s="50" t="n">
        <f aca="false">BQ648*Parameter!$B$18</f>
        <v>2</v>
      </c>
      <c r="K648" s="51" t="n">
        <v>940.5</v>
      </c>
      <c r="L648" s="52" t="n">
        <v>0.00212652844231792</v>
      </c>
      <c r="M648" s="50" t="n">
        <v>0</v>
      </c>
      <c r="N648" s="50" t="n">
        <v>1</v>
      </c>
      <c r="O648" s="53" t="n">
        <v>21</v>
      </c>
      <c r="P648" s="48" t="s">
        <v>425</v>
      </c>
      <c r="Q648" s="50" t="n">
        <v>977</v>
      </c>
      <c r="R648" s="53" t="n">
        <f aca="false">IF(BW648=1,0,IFERROR(VLOOKUP(BU648,'Gebinde-Kategorie'!$A$5:$N$45,13,0)+0,0))</f>
        <v>104</v>
      </c>
      <c r="S648" s="54"/>
      <c r="T648" s="55"/>
      <c r="U648" s="55"/>
      <c r="V648" s="55"/>
      <c r="W648" s="48"/>
      <c r="X648" s="50"/>
      <c r="Y648" s="50"/>
      <c r="Z648" s="48" t="n">
        <f aca="false">IF(A648="","",IF(AND(Parameter!$B$21="Ja",ISNUMBER(W648)),W648,IF(BZ648="2+3",IF(ISNUMBER(SEARCH("grosser Artikel",BR648)),2,IFERROR(VLOOKUP(BU648,Parameter!$F$35:$G$64,2,0),2)),IF(OR(BZ648="Nein",BZ648=""),"-",BZ648))))</f>
        <v>3</v>
      </c>
      <c r="AA648" s="55"/>
      <c r="AB648" s="56"/>
      <c r="AC648" s="50" t="n">
        <f aca="false">AT648</f>
        <v>977</v>
      </c>
      <c r="AD648" s="50" t="n">
        <f aca="false">MAX(AT648,H648)</f>
        <v>977</v>
      </c>
      <c r="AE648" s="57"/>
      <c r="AF648" s="50" t="n">
        <f aca="false">IF(LEFT(Cockpit!$C$5,1)="A",H648,IF(CE648=1,CF648,IF(LEFT(Cockpit!$C$5,1)="B",AK648,MAX(AK648,H648))))</f>
        <v>942</v>
      </c>
      <c r="AG648" s="50" t="n">
        <f aca="false">IF(BW648=1,0,ROUNDUP(AF648/BV648,0))</f>
        <v>1</v>
      </c>
      <c r="AH648" s="52" t="n">
        <f aca="false">IF(CL648&gt;0,CL648*MAX(1,AF648/X648),IF(BW648=1,IF(AF648&lt;=0,0,CA648*MAX(1,IF(H648&gt;0,AF648/H648,1))),IF(R648&gt;0,AG648/R648,0))/MAX(0.1,N(Parameter!$M$21)))</f>
        <v>0.00961538461538462</v>
      </c>
      <c r="AI648" s="50" t="n">
        <f aca="false">AH648*BY648</f>
        <v>1.49038461538462</v>
      </c>
      <c r="AJ648" s="50" t="n">
        <f aca="false">AF648*G648</f>
        <v>9.42</v>
      </c>
      <c r="AK648" s="50" t="n">
        <f aca="false">ROUNDUP(MAX(J648/IF(CD648&gt;0,CD648,MAX(0.1,N(Cockpit!$C$6))),CG648)/BV648,0)*BV648</f>
        <v>977</v>
      </c>
      <c r="AL648" s="51" t="n">
        <f aca="false">IF(AI648&gt;0,J648/AI648,-1)</f>
        <v>1.34193548387097</v>
      </c>
      <c r="AM648" s="51" t="n">
        <f aca="false">IF(AND(OR(CC648="L1",CC648="L23",CC648="LIFT"),AI648&gt;0),SUMIFS($AI$7:$AI$1843,$CC$7:$CC$1843,CC648,$AL$7:$AL$1843,"&gt;"&amp;AL648)+SUMIFS($AI$7:$AI$1843,$CC$7:$CC$1843,CC648,$AL$7:$AL$1843,AL648,$BT$7:$BT$1843,"&lt;="&amp;BT648),"")</f>
        <v>6329.65750915751</v>
      </c>
      <c r="AN648" s="58" t="n">
        <f aca="false">IF(AM648="",0,MAX(0,MIN(1,(IF(CC648="L1",Parameter!$H$5,IF(CC648="L23",Parameter!$H$6+Parameter!$H$7,Parameter!$H$5+Parameter!$H$6+Parameter!$H$7))-(AM648-AI648))/AI648)))</f>
        <v>1</v>
      </c>
      <c r="AO648" s="50" t="n">
        <f aca="false">IF(LEFT(Cockpit!$I$5,1)="A",H648,IF(CE648=1,CF648,IF(LEFT(Cockpit!$I$5,1)="B",AT648,MAX(AT648,H648))))</f>
        <v>977</v>
      </c>
      <c r="AP648" s="50" t="n">
        <f aca="false">IF(BW648=1,0,ROUNDUP(AO648/BV648,0))</f>
        <v>1</v>
      </c>
      <c r="AQ648" s="52" t="n">
        <f aca="false">IF(CL648&gt;0,CL648*MAX(1,AO648/X648),IF(BW648=1,IF(AO648&lt;=0,0,CA648*MAX(1,IF(H648&gt;0,AO648/H648,1))),IF(R648&gt;0,AP648/R648,0))/MAX(0.1,N(Parameter!$M$21)))</f>
        <v>0.00961538461538462</v>
      </c>
      <c r="AR648" s="50" t="n">
        <f aca="false">AQ648*BY648</f>
        <v>1.49038461538462</v>
      </c>
      <c r="AS648" s="50" t="n">
        <f aca="false">AO648*G648</f>
        <v>9.77</v>
      </c>
      <c r="AT648" s="50" t="n">
        <f aca="false">ROUNDUP(MAX(J648/IF(CD648&gt;0,CD648,MAX(0.1,N(Cockpit!$I$6))),CG648)/BV648,0)*BV648</f>
        <v>977</v>
      </c>
      <c r="AU648" s="51" t="n">
        <f aca="false">IF(AR648&gt;0,J648/AR648,-1)</f>
        <v>1.34193548387097</v>
      </c>
      <c r="AV648" s="51" t="n">
        <f aca="false">IF(AND(OR(CC648="L1",CC648="L23",CC648="LIFT"),AR648&gt;0),SUMIFS($AR$7:$AR$1843,$CC$7:$CC$1843,CC648,$AU$7:$AU$1843,"&gt;"&amp;AU648)+SUMIFS($AR$7:$AR$1843,$CC$7:$CC$1843,CC648,$AU$7:$AU$1843,AU648,$BT$7:$BT$1843,"&lt;="&amp;BT648),"")</f>
        <v>9388.22206959707</v>
      </c>
      <c r="AW648" s="58" t="n">
        <f aca="false">IF(AV648="",0,MAX(0,MIN(1,(IF(CC648="L1",Parameter!$H$5,IF(CC648="L23",Parameter!$H$6+Parameter!$H$7,Parameter!$H$5+Parameter!$H$6+Parameter!$H$7))-(AV648-AR648))/AR648)))</f>
        <v>1</v>
      </c>
      <c r="AX648" s="50" t="n">
        <f aca="false">IF(LEFT(Cockpit!$O$5,1)="A",H648,IF(CE648=1,CF648,IF(LEFT(Cockpit!$O$5,1)="B",BC648,MAX(BC648,H648))))</f>
        <v>977</v>
      </c>
      <c r="AY648" s="50" t="n">
        <f aca="false">IF(BW648=1,0,ROUNDUP(AX648/BV648,0))</f>
        <v>1</v>
      </c>
      <c r="AZ648" s="52" t="n">
        <f aca="false">IF(CL648&gt;0,CL648*MAX(1,AX648/X648),IF(BW648=1,IF(AX648&lt;=0,0,CA648*MAX(1,IF(H648&gt;0,AX648/H648,1))),IF(R648&gt;0,AY648/R648,0))/MAX(0.1,N(Parameter!$M$21)))</f>
        <v>0.00961538461538462</v>
      </c>
      <c r="BA648" s="50" t="n">
        <f aca="false">AZ648*BY648</f>
        <v>1.49038461538462</v>
      </c>
      <c r="BB648" s="50" t="n">
        <f aca="false">AX648*G648</f>
        <v>9.77</v>
      </c>
      <c r="BC648" s="50" t="n">
        <f aca="false">ROUNDUP(MAX(J648/IF(CD648&gt;0,CD648,MAX(0.1,N(Cockpit!$O$6))),CG648)/BV648,0)*BV648</f>
        <v>977</v>
      </c>
      <c r="BD648" s="51" t="n">
        <f aca="false">IF(BA648&gt;0,J648/BA648,-1)</f>
        <v>1.34193548387097</v>
      </c>
      <c r="BE648" s="51" t="n">
        <f aca="false">IF(AND(OR(CC648="L1",CC648="L23",CC648="LIFT"),BA648&gt;0),SUMIFS($BA$7:$BA$1843,$CC$7:$CC$1843,CC648,$BD$7:$BD$1843,"&gt;"&amp;BD648)+SUMIFS($BA$7:$BA$1843,$CC$7:$CC$1843,CC648,$BD$7:$BD$1843,BD648,$BT$7:$BT$1843,"&lt;="&amp;BT648),"")</f>
        <v>8573.87912087912</v>
      </c>
      <c r="BF648" s="58" t="n">
        <f aca="false">IF(BE648="",0,MAX(0,MIN(1,(IF(CC648="L1",Parameter!$H$5,IF(CC648="L23",Parameter!$H$6+Parameter!$H$7,Parameter!$H$5+Parameter!$H$6+Parameter!$H$7))-(BE648-BA648))/BA648)))</f>
        <v>1</v>
      </c>
      <c r="BG648" s="48" t="str">
        <f aca="false">IF(AI648&lt;=0,"",IF(CC648="Aussen","Aussenlager",IF(CC648="-","Nicht im Lift",IF(AN648&gt;=1,"Lift",IF(AN648&lt;=0,"Aussenlager","teilweise")))))</f>
        <v>Lift</v>
      </c>
      <c r="BH648" s="48" t="str">
        <f aca="false">IF(AR648&lt;=0,"",IF(CC648="Aussen","Aussenlager",IF(CC648="-","Nicht im Lift",IF(AW648&gt;=1,"Lift",IF(AW648&lt;=0,"Aussenlager","teilweise")))))</f>
        <v>Lift</v>
      </c>
      <c r="BI648" s="48" t="str">
        <f aca="false">IF(BA648&lt;=0,"",IF(CC648="Aussen","Aussenlager",IF(CC648="-","Nicht im Lift",IF(BF648&gt;=1,"Lift",IF(BF648&lt;=0,"Aussenlager","teilweise")))))</f>
        <v>Lift</v>
      </c>
      <c r="BJ648" s="48" t="str">
        <f aca="false">IF(A648="","",IF(BS648=1,"Neu; ","")&amp;IF(AND(BS648=0,BN648&lt;0),"negativer Bestand (Export "&amp;BN648&amp;"); ","")&amp;IF(J648&lt;=0,"Kein Verbrauch; ","")&amp;IF(CL648&gt;0,"Lift "&amp;W648&amp;" lt. Liftbericht (Fach "&amp;X648&amp;" Stk); ",IF(BX648=1,"Gebinde geschätzt ("&amp;T648&amp;"); ",IF(BW648=1,"Lose – Tablare geschätzt; ","")))&amp;IF(H648&gt;AT648,"Überbestand "&amp;ROUND(H648-AT648,0)&amp;" Stk / CHF "&amp;ROUND((H648-AT648)*G648,0)&amp;"; ","")&amp;IF(AND(CE648=1,CF648&lt;CG648),"MAX &lt; MB+LG; ","")&amp;IF(AND(CK648&gt;0,CJ648*10&gt;CK648),"zu hoch für Tablar; ","")&amp;IF(AND(BS648=0,OR(CE648=1,AA648&lt;&gt;"",U648&lt;&gt;"",V648&lt;&gt;"",AB648&lt;&gt;"")),"manuell übersteuert; ","")&amp;IF(AND(BW648=0,R648=0),"Gebinde unbekannt / Stellmass fehlt; ","")&amp;IF(AND(BW648=0,N(V648)&lt;=0,N(Q648)&lt;=0),"Menge pro Gebinde fehlt (Ist = 1 Gebinde); ","")&amp;BR648)</f>
        <v>Überbestand</v>
      </c>
      <c r="BK648" s="48"/>
      <c r="BL648" s="48"/>
      <c r="BM648" s="55"/>
      <c r="BN648" s="50" t="n">
        <v>3</v>
      </c>
      <c r="BO648" s="50" t="n">
        <v>939</v>
      </c>
      <c r="BP648" s="49" t="n">
        <v>0.03</v>
      </c>
      <c r="BQ648" s="50" t="n">
        <v>2</v>
      </c>
      <c r="BR648" s="48" t="s">
        <v>396</v>
      </c>
      <c r="BS648" s="53" t="n">
        <v>0</v>
      </c>
      <c r="BT648" s="53" t="n">
        <v>648</v>
      </c>
      <c r="BU648" s="48" t="str">
        <f aca="false">IF(U648&lt;&gt;"",UPPER(TRIM(U648)),IF(BX648=1,UPPER(VLOOKUP(T648,Parameter!$I$27:$K$29,2,0)),IF(P648="","LOSE",P648)))</f>
        <v>S32</v>
      </c>
      <c r="BV648" s="50" t="n">
        <f aca="false">IF(BU648="LOSE",1,IF(N(V648)&gt;0,V648,IF(BX648=1,MAX(1,N(VLOOKUP(T648,Parameter!$I$27:$K$29,3,0)),H648,N(N648)),IF(N(Q648)&gt;0,Q648,MAX(1,H648)))))</f>
        <v>977</v>
      </c>
      <c r="BW648" s="53" t="n">
        <f aca="false">IF(BU648="LOSE",1,0)</f>
        <v>0</v>
      </c>
      <c r="BX648" s="53" t="n">
        <f aca="false">IF(AND(U648="",OR(P648="",P648="LOSE"),T648&lt;&gt;"",N(S648)&lt;=0,ISNUMBER(MATCH(T648,Parameter!$I$27:$I$29,0))),1,0)</f>
        <v>0</v>
      </c>
      <c r="BY648" s="53" t="n">
        <f aca="false">IF(CL648&gt;0,INDEX(Parameter!$H$5:$H$7,W648)/INDEX(Parameter!$E$5:$E$7,W648),IF(AND(BW648=0,N(IFERROR(VLOOKUP(BU648,'Gebinde-Kategorie'!$A$5:$N$45,14,0),0))&gt;0),VLOOKUP(BU648,'Gebinde-Kategorie'!$A$5:$N$45,14,0)*10+Parameter!$M$23,Parameter!$M$24))</f>
        <v>155</v>
      </c>
      <c r="BZ648" s="48" t="str">
        <f aca="false">IF(AND(Parameter!$B$19="Ja",E648&lt;&gt;"",ISNUMBER(MATCH(E648,Parameter!$I$35:$I$52,0))),VLOOKUP(E648,Parameter!$I$35:$J$52,2,0),IFERROR(VLOOKUP(D648,Parameter!$A$35:$C$64,2,0),"Nein"))</f>
        <v>2+3</v>
      </c>
      <c r="CA648" s="52" t="n">
        <f aca="false">IF(BW648=0,0,IF(N(S648)&gt;0,S648,IFERROR(VLOOKUP(D648,Parameter!$A$35:$C$64,3,0)+0,0)))</f>
        <v>0</v>
      </c>
      <c r="CB648" s="48" t="n">
        <f aca="false">IF(AA648&lt;&gt;"",AA648,Z648)</f>
        <v>3</v>
      </c>
      <c r="CC648" s="48" t="str">
        <f aca="false">IF(OR(CB648=1,CB648=2,CB648=3),IF(Parameter!$E$27="Ja","LIFT",IF(CB648=1,"L1","L23")),IF(CB648="Aussen","Aussen","-"))</f>
        <v>LIFT</v>
      </c>
      <c r="CD648" s="59" t="n">
        <f aca="false">IF(N(AB648)&gt;0,AB648,0)</f>
        <v>0</v>
      </c>
      <c r="CE648" s="53" t="n">
        <f aca="false">IF(ISNUMBER(AE648),1,0)</f>
        <v>0</v>
      </c>
      <c r="CF648" s="50" t="n">
        <f aca="false">N(AE648)</f>
        <v>0</v>
      </c>
      <c r="CG648" s="50" t="n">
        <f aca="false">N(M648)+N(N648)</f>
        <v>1</v>
      </c>
      <c r="CH648" s="50" t="n">
        <f aca="false">ROUNDUP(H648/BV648,0)</f>
        <v>1</v>
      </c>
      <c r="CI648" s="50" t="n">
        <f aca="false">ROUNDUP(CF648/BV648,0)</f>
        <v>0</v>
      </c>
      <c r="CJ648" s="53" t="n">
        <f aca="false">IF(BW648=1,0,IFERROR(VLOOKUP(BU648,'Gebinde-Kategorie'!$A$5:$N$45,5,0)+0,0))</f>
        <v>8</v>
      </c>
      <c r="CK648" s="53" t="n">
        <f aca="false">IFERROR(IF(OR(CB648=1,CB648=2,CB648=3),N(INDEX(Parameter!$I$5:$I$7,CB648)),0),0)</f>
        <v>0</v>
      </c>
      <c r="CL648" s="52" t="n">
        <f aca="false">IF(AND(Parameter!$B$21="Ja",ISNUMBER(W648),N(X648)&gt;0),IFERROR(N(INDEX(Parameter!$L$5:$L$7,W648))*INDEX(Parameter!$E$5:$E$7,W648)*X648/SUMIFS($X$7:$X$1843,$W$7:$W$1843,W648),0),0)</f>
        <v>0</v>
      </c>
    </row>
    <row r="649" customFormat="false" ht="15" hidden="false" customHeight="false" outlineLevel="0" collapsed="false">
      <c r="A649" s="48" t="s">
        <v>1320</v>
      </c>
      <c r="B649" s="48" t="s">
        <v>953</v>
      </c>
      <c r="C649" s="48" t="s">
        <v>168</v>
      </c>
      <c r="D649" s="48" t="s">
        <v>188</v>
      </c>
      <c r="E649" s="48"/>
      <c r="F649" s="48" t="s">
        <v>222</v>
      </c>
      <c r="G649" s="49" t="n">
        <v>0.01</v>
      </c>
      <c r="H649" s="50" t="n">
        <f aca="false">MAX(0,IF(AND(Parameter!$B$21="Ja",ISNUMBER(Y649)),Y649,IF(Parameter!$B$20="Jahresanfang 2025 + Export",BO649+BN649,BN649)))</f>
        <v>278</v>
      </c>
      <c r="I649" s="50" t="n">
        <f aca="false">H649*G649</f>
        <v>2.78</v>
      </c>
      <c r="J649" s="50" t="n">
        <f aca="false">BQ649*Parameter!$B$18</f>
        <v>0</v>
      </c>
      <c r="K649" s="51" t="n">
        <v>276.5</v>
      </c>
      <c r="L649" s="52" t="n">
        <v>0</v>
      </c>
      <c r="M649" s="50" t="n">
        <v>0</v>
      </c>
      <c r="N649" s="50" t="n">
        <v>1</v>
      </c>
      <c r="O649" s="53" t="n">
        <v>14</v>
      </c>
      <c r="P649" s="48" t="s">
        <v>405</v>
      </c>
      <c r="Q649" s="50" t="n">
        <v>280</v>
      </c>
      <c r="R649" s="53" t="n">
        <f aca="false">IF(BW649=1,0,IFERROR(VLOOKUP(BU649,'Gebinde-Kategorie'!$A$5:$N$45,13,0)+0,0))</f>
        <v>280</v>
      </c>
      <c r="S649" s="54"/>
      <c r="T649" s="55"/>
      <c r="U649" s="55"/>
      <c r="V649" s="55"/>
      <c r="W649" s="48"/>
      <c r="X649" s="50"/>
      <c r="Y649" s="50"/>
      <c r="Z649" s="48" t="n">
        <f aca="false">IF(A649="","",IF(AND(Parameter!$B$21="Ja",ISNUMBER(W649)),W649,IF(BZ649="2+3",IF(ISNUMBER(SEARCH("grosser Artikel",BR649)),2,IFERROR(VLOOKUP(BU649,Parameter!$F$35:$G$64,2,0),2)),IF(OR(BZ649="Nein",BZ649=""),"-",BZ649))))</f>
        <v>3</v>
      </c>
      <c r="AA649" s="55"/>
      <c r="AB649" s="56"/>
      <c r="AC649" s="50" t="n">
        <f aca="false">AT649</f>
        <v>280</v>
      </c>
      <c r="AD649" s="50" t="n">
        <f aca="false">MAX(AT649,H649)</f>
        <v>280</v>
      </c>
      <c r="AE649" s="57"/>
      <c r="AF649" s="50" t="n">
        <f aca="false">IF(LEFT(Cockpit!$C$5,1)="A",H649,IF(CE649=1,CF649,IF(LEFT(Cockpit!$C$5,1)="B",AK649,MAX(AK649,H649))))</f>
        <v>278</v>
      </c>
      <c r="AG649" s="50" t="n">
        <f aca="false">IF(BW649=1,0,ROUNDUP(AF649/BV649,0))</f>
        <v>1</v>
      </c>
      <c r="AH649" s="52" t="n">
        <f aca="false">IF(CL649&gt;0,CL649*MAX(1,AF649/X649),IF(BW649=1,IF(AF649&lt;=0,0,CA649*MAX(1,IF(H649&gt;0,AF649/H649,1))),IF(R649&gt;0,AG649/R649,0))/MAX(0.1,N(Parameter!$M$21)))</f>
        <v>0.00357142857142857</v>
      </c>
      <c r="AI649" s="50" t="n">
        <f aca="false">AH649*BY649</f>
        <v>0.553571428571429</v>
      </c>
      <c r="AJ649" s="50" t="n">
        <f aca="false">AF649*G649</f>
        <v>2.78</v>
      </c>
      <c r="AK649" s="50" t="n">
        <f aca="false">ROUNDUP(MAX(J649/IF(CD649&gt;0,CD649,MAX(0.1,N(Cockpit!$C$6))),CG649)/BV649,0)*BV649</f>
        <v>280</v>
      </c>
      <c r="AL649" s="51" t="n">
        <f aca="false">IF(AI649&gt;0,J649/AI649,-1)</f>
        <v>0</v>
      </c>
      <c r="AM649" s="51" t="n">
        <f aca="false">IF(AND(OR(CC649="L1",CC649="L23",CC649="LIFT"),AI649&gt;0),SUMIFS($AI$7:$AI$1843,$CC$7:$CC$1843,CC649,$AL$7:$AL$1843,"&gt;"&amp;AL649)+SUMIFS($AI$7:$AI$1843,$CC$7:$CC$1843,CC649,$AL$7:$AL$1843,AL649,$BT$7:$BT$1843,"&lt;="&amp;BT649),"")</f>
        <v>28608.8362487324</v>
      </c>
      <c r="AN649" s="58" t="n">
        <f aca="false">IF(AM649="",0,MAX(0,MIN(1,(IF(CC649="L1",Parameter!$H$5,IF(CC649="L23",Parameter!$H$6+Parameter!$H$7,Parameter!$H$5+Parameter!$H$6+Parameter!$H$7))-(AM649-AI649))/AI649)))</f>
        <v>1</v>
      </c>
      <c r="AO649" s="50" t="n">
        <f aca="false">IF(LEFT(Cockpit!$I$5,1)="A",H649,IF(CE649=1,CF649,IF(LEFT(Cockpit!$I$5,1)="B",AT649,MAX(AT649,H649))))</f>
        <v>280</v>
      </c>
      <c r="AP649" s="50" t="n">
        <f aca="false">IF(BW649=1,0,ROUNDUP(AO649/BV649,0))</f>
        <v>1</v>
      </c>
      <c r="AQ649" s="52" t="n">
        <f aca="false">IF(CL649&gt;0,CL649*MAX(1,AO649/X649),IF(BW649=1,IF(AO649&lt;=0,0,CA649*MAX(1,IF(H649&gt;0,AO649/H649,1))),IF(R649&gt;0,AP649/R649,0))/MAX(0.1,N(Parameter!$M$21)))</f>
        <v>0.00357142857142857</v>
      </c>
      <c r="AR649" s="50" t="n">
        <f aca="false">AQ649*BY649</f>
        <v>0.553571428571429</v>
      </c>
      <c r="AS649" s="50" t="n">
        <f aca="false">AO649*G649</f>
        <v>2.8</v>
      </c>
      <c r="AT649" s="50" t="n">
        <f aca="false">ROUNDUP(MAX(J649/IF(CD649&gt;0,CD649,MAX(0.1,N(Cockpit!$I$6))),CG649)/BV649,0)*BV649</f>
        <v>280</v>
      </c>
      <c r="AU649" s="51" t="n">
        <f aca="false">IF(AR649&gt;0,J649/AR649,-1)</f>
        <v>0</v>
      </c>
      <c r="AV649" s="51" t="n">
        <f aca="false">IF(AND(OR(CC649="L1",CC649="L23",CC649="LIFT"),AR649&gt;0),SUMIFS($AR$7:$AR$1843,$CC$7:$CC$1843,CC649,$AU$7:$AU$1843,"&gt;"&amp;AU649)+SUMIFS($AR$7:$AR$1843,$CC$7:$CC$1843,CC649,$AU$7:$AU$1843,AU649,$BT$7:$BT$1843,"&lt;="&amp;BT649),"")</f>
        <v>39928.2568758925</v>
      </c>
      <c r="AW649" s="58" t="n">
        <f aca="false">IF(AV649="",0,MAX(0,MIN(1,(IF(CC649="L1",Parameter!$H$5,IF(CC649="L23",Parameter!$H$6+Parameter!$H$7,Parameter!$H$5+Parameter!$H$6+Parameter!$H$7))-(AV649-AR649))/AR649)))</f>
        <v>0</v>
      </c>
      <c r="AX649" s="50" t="n">
        <f aca="false">IF(LEFT(Cockpit!$O$5,1)="A",H649,IF(CE649=1,CF649,IF(LEFT(Cockpit!$O$5,1)="B",BC649,MAX(BC649,H649))))</f>
        <v>280</v>
      </c>
      <c r="AY649" s="50" t="n">
        <f aca="false">IF(BW649=1,0,ROUNDUP(AX649/BV649,0))</f>
        <v>1</v>
      </c>
      <c r="AZ649" s="52" t="n">
        <f aca="false">IF(CL649&gt;0,CL649*MAX(1,AX649/X649),IF(BW649=1,IF(AX649&lt;=0,0,CA649*MAX(1,IF(H649&gt;0,AX649/H649,1))),IF(R649&gt;0,AY649/R649,0))/MAX(0.1,N(Parameter!$M$21)))</f>
        <v>0.00357142857142857</v>
      </c>
      <c r="BA649" s="50" t="n">
        <f aca="false">AZ649*BY649</f>
        <v>0.553571428571429</v>
      </c>
      <c r="BB649" s="50" t="n">
        <f aca="false">AX649*G649</f>
        <v>2.8</v>
      </c>
      <c r="BC649" s="50" t="n">
        <f aca="false">ROUNDUP(MAX(J649/IF(CD649&gt;0,CD649,MAX(0.1,N(Cockpit!$O$6))),CG649)/BV649,0)*BV649</f>
        <v>280</v>
      </c>
      <c r="BD649" s="51" t="n">
        <f aca="false">IF(BA649&gt;0,J649/BA649,-1)</f>
        <v>0</v>
      </c>
      <c r="BE649" s="51" t="n">
        <f aca="false">IF(AND(OR(CC649="L1",CC649="L23",CC649="LIFT"),BA649&gt;0),SUMIFS($BA$7:$BA$1843,$CC$7:$CC$1843,CC649,$BD$7:$BD$1843,"&gt;"&amp;BD649)+SUMIFS($BA$7:$BA$1843,$CC$7:$CC$1843,CC649,$BD$7:$BD$1843,BD649,$BT$7:$BT$1843,"&lt;="&amp;BT649),"")</f>
        <v>36603.2689177583</v>
      </c>
      <c r="BF649" s="58" t="n">
        <f aca="false">IF(BE649="",0,MAX(0,MIN(1,(IF(CC649="L1",Parameter!$H$5,IF(CC649="L23",Parameter!$H$6+Parameter!$H$7,Parameter!$H$5+Parameter!$H$6+Parameter!$H$7))-(BE649-BA649))/BA649)))</f>
        <v>0</v>
      </c>
      <c r="BG649" s="48" t="str">
        <f aca="false">IF(AI649&lt;=0,"",IF(CC649="Aussen","Aussenlager",IF(CC649="-","Nicht im Lift",IF(AN649&gt;=1,"Lift",IF(AN649&lt;=0,"Aussenlager","teilweise")))))</f>
        <v>Lift</v>
      </c>
      <c r="BH649" s="48" t="str">
        <f aca="false">IF(AR649&lt;=0,"",IF(CC649="Aussen","Aussenlager",IF(CC649="-","Nicht im Lift",IF(AW649&gt;=1,"Lift",IF(AW649&lt;=0,"Aussenlager","teilweise")))))</f>
        <v>Aussenlager</v>
      </c>
      <c r="BI649" s="48" t="str">
        <f aca="false">IF(BA649&lt;=0,"",IF(CC649="Aussen","Aussenlager",IF(CC649="-","Nicht im Lift",IF(BF649&gt;=1,"Lift",IF(BF649&lt;=0,"Aussenlager","teilweise")))))</f>
        <v>Aussenlager</v>
      </c>
      <c r="BJ649" s="48" t="str">
        <f aca="false">IF(A649="","",IF(BS649=1,"Neu; ","")&amp;IF(AND(BS649=0,BN649&lt;0),"negativer Bestand (Export "&amp;BN649&amp;"); ","")&amp;IF(J649&lt;=0,"Kein Verbrauch; ","")&amp;IF(CL649&gt;0,"Lift "&amp;W649&amp;" lt. Liftbericht (Fach "&amp;X649&amp;" Stk); ",IF(BX649=1,"Gebinde geschätzt ("&amp;T649&amp;"); ",IF(BW649=1,"Lose – Tablare geschätzt; ","")))&amp;IF(H649&gt;AT649,"Überbestand "&amp;ROUND(H649-AT649,0)&amp;" Stk / CHF "&amp;ROUND((H649-AT649)*G649,0)&amp;"; ","")&amp;IF(AND(CE649=1,CF649&lt;CG649),"MAX &lt; MB+LG; ","")&amp;IF(AND(CK649&gt;0,CJ649*10&gt;CK649),"zu hoch für Tablar; ","")&amp;IF(AND(BS649=0,OR(CE649=1,AA649&lt;&gt;"",U649&lt;&gt;"",V649&lt;&gt;"",AB649&lt;&gt;"")),"manuell übersteuert; ","")&amp;IF(AND(BW649=0,R649=0),"Gebinde unbekannt / Stellmass fehlt; ","")&amp;IF(AND(BW649=0,N(V649)&lt;=0,N(Q649)&lt;=0),"Menge pro Gebinde fehlt (Ist = 1 Gebinde); ","")&amp;BR649)</f>
        <v>Kein Verbrauch; </v>
      </c>
      <c r="BK649" s="48"/>
      <c r="BL649" s="48"/>
      <c r="BM649" s="55"/>
      <c r="BN649" s="50" t="n">
        <v>3</v>
      </c>
      <c r="BO649" s="50" t="n">
        <v>275</v>
      </c>
      <c r="BP649" s="49" t="n">
        <v>0.03</v>
      </c>
      <c r="BQ649" s="50" t="n">
        <v>0</v>
      </c>
      <c r="BR649" s="48"/>
      <c r="BS649" s="53" t="n">
        <v>0</v>
      </c>
      <c r="BT649" s="53" t="n">
        <v>649</v>
      </c>
      <c r="BU649" s="48" t="str">
        <f aca="false">IF(U649&lt;&gt;"",UPPER(TRIM(U649)),IF(BX649=1,UPPER(VLOOKUP(T649,Parameter!$I$27:$K$29,2,0)),IF(P649="","LOSE",P649)))</f>
        <v>S21</v>
      </c>
      <c r="BV649" s="50" t="n">
        <f aca="false">IF(BU649="LOSE",1,IF(N(V649)&gt;0,V649,IF(BX649=1,MAX(1,N(VLOOKUP(T649,Parameter!$I$27:$K$29,3,0)),H649,N(N649)),IF(N(Q649)&gt;0,Q649,MAX(1,H649)))))</f>
        <v>280</v>
      </c>
      <c r="BW649" s="53" t="n">
        <f aca="false">IF(BU649="LOSE",1,0)</f>
        <v>0</v>
      </c>
      <c r="BX649" s="53" t="n">
        <f aca="false">IF(AND(U649="",OR(P649="",P649="LOSE"),T649&lt;&gt;"",N(S649)&lt;=0,ISNUMBER(MATCH(T649,Parameter!$I$27:$I$29,0))),1,0)</f>
        <v>0</v>
      </c>
      <c r="BY649" s="53" t="n">
        <f aca="false">IF(CL649&gt;0,INDEX(Parameter!$H$5:$H$7,W649)/INDEX(Parameter!$E$5:$E$7,W649),IF(AND(BW649=0,N(IFERROR(VLOOKUP(BU649,'Gebinde-Kategorie'!$A$5:$N$45,14,0),0))&gt;0),VLOOKUP(BU649,'Gebinde-Kategorie'!$A$5:$N$45,14,0)*10+Parameter!$M$23,Parameter!$M$24))</f>
        <v>155</v>
      </c>
      <c r="BZ649" s="48" t="str">
        <f aca="false">IF(AND(Parameter!$B$19="Ja",E649&lt;&gt;"",ISNUMBER(MATCH(E649,Parameter!$I$35:$I$52,0))),VLOOKUP(E649,Parameter!$I$35:$J$52,2,0),IFERROR(VLOOKUP(D649,Parameter!$A$35:$C$64,2,0),"Nein"))</f>
        <v>2+3</v>
      </c>
      <c r="CA649" s="52" t="n">
        <f aca="false">IF(BW649=0,0,IF(N(S649)&gt;0,S649,IFERROR(VLOOKUP(D649,Parameter!$A$35:$C$64,3,0)+0,0)))</f>
        <v>0</v>
      </c>
      <c r="CB649" s="48" t="n">
        <f aca="false">IF(AA649&lt;&gt;"",AA649,Z649)</f>
        <v>3</v>
      </c>
      <c r="CC649" s="48" t="str">
        <f aca="false">IF(OR(CB649=1,CB649=2,CB649=3),IF(Parameter!$E$27="Ja","LIFT",IF(CB649=1,"L1","L23")),IF(CB649="Aussen","Aussen","-"))</f>
        <v>LIFT</v>
      </c>
      <c r="CD649" s="59" t="n">
        <f aca="false">IF(N(AB649)&gt;0,AB649,0)</f>
        <v>0</v>
      </c>
      <c r="CE649" s="53" t="n">
        <f aca="false">IF(ISNUMBER(AE649),1,0)</f>
        <v>0</v>
      </c>
      <c r="CF649" s="50" t="n">
        <f aca="false">N(AE649)</f>
        <v>0</v>
      </c>
      <c r="CG649" s="50" t="n">
        <f aca="false">N(M649)+N(N649)</f>
        <v>1</v>
      </c>
      <c r="CH649" s="50" t="n">
        <f aca="false">ROUNDUP(H649/BV649,0)</f>
        <v>1</v>
      </c>
      <c r="CI649" s="50" t="n">
        <f aca="false">ROUNDUP(CF649/BV649,0)</f>
        <v>0</v>
      </c>
      <c r="CJ649" s="53" t="n">
        <f aca="false">IF(BW649=1,0,IFERROR(VLOOKUP(BU649,'Gebinde-Kategorie'!$A$5:$N$45,5,0)+0,0))</f>
        <v>8</v>
      </c>
      <c r="CK649" s="53" t="n">
        <f aca="false">IFERROR(IF(OR(CB649=1,CB649=2,CB649=3),N(INDEX(Parameter!$I$5:$I$7,CB649)),0),0)</f>
        <v>0</v>
      </c>
      <c r="CL649" s="52" t="n">
        <f aca="false">IF(AND(Parameter!$B$21="Ja",ISNUMBER(W649),N(X649)&gt;0),IFERROR(N(INDEX(Parameter!$L$5:$L$7,W649))*INDEX(Parameter!$E$5:$E$7,W649)*X649/SUMIFS($X$7:$X$1843,$W$7:$W$1843,W649),0),0)</f>
        <v>0</v>
      </c>
    </row>
    <row r="650" customFormat="false" ht="15" hidden="false" customHeight="false" outlineLevel="0" collapsed="false">
      <c r="A650" s="48" t="s">
        <v>1321</v>
      </c>
      <c r="B650" s="48" t="s">
        <v>658</v>
      </c>
      <c r="C650" s="48" t="s">
        <v>168</v>
      </c>
      <c r="D650" s="48" t="s">
        <v>188</v>
      </c>
      <c r="E650" s="48"/>
      <c r="F650" s="48" t="s">
        <v>222</v>
      </c>
      <c r="G650" s="49" t="n">
        <v>0.02</v>
      </c>
      <c r="H650" s="50" t="n">
        <f aca="false">MAX(0,IF(AND(Parameter!$B$21="Ja",ISNUMBER(Y650)),Y650,IF(Parameter!$B$20="Jahresanfang 2025 + Export",BO650+BN650,BN650)))</f>
        <v>470</v>
      </c>
      <c r="I650" s="50" t="n">
        <f aca="false">H650*G650</f>
        <v>9.4</v>
      </c>
      <c r="J650" s="50" t="n">
        <f aca="false">BQ650*Parameter!$B$18</f>
        <v>0</v>
      </c>
      <c r="K650" s="51" t="n">
        <v>469.5</v>
      </c>
      <c r="L650" s="52" t="n">
        <v>0</v>
      </c>
      <c r="M650" s="50" t="n">
        <v>0</v>
      </c>
      <c r="N650" s="50" t="n">
        <v>1</v>
      </c>
      <c r="O650" s="53" t="n">
        <v>14</v>
      </c>
      <c r="P650" s="48" t="s">
        <v>430</v>
      </c>
      <c r="Q650" s="50" t="n">
        <v>300</v>
      </c>
      <c r="R650" s="53" t="n">
        <f aca="false">IF(BW650=1,0,IFERROR(VLOOKUP(BU650,'Gebinde-Kategorie'!$A$5:$N$45,13,0)+0,0))</f>
        <v>140</v>
      </c>
      <c r="S650" s="54"/>
      <c r="T650" s="55"/>
      <c r="U650" s="55"/>
      <c r="V650" s="55"/>
      <c r="W650" s="48"/>
      <c r="X650" s="50"/>
      <c r="Y650" s="50"/>
      <c r="Z650" s="48" t="n">
        <f aca="false">IF(A650="","",IF(AND(Parameter!$B$21="Ja",ISNUMBER(W650)),W650,IF(BZ650="2+3",IF(ISNUMBER(SEARCH("grosser Artikel",BR650)),2,IFERROR(VLOOKUP(BU650,Parameter!$F$35:$G$64,2,0),2)),IF(OR(BZ650="Nein",BZ650=""),"-",BZ650))))</f>
        <v>3</v>
      </c>
      <c r="AA650" s="55"/>
      <c r="AB650" s="56"/>
      <c r="AC650" s="50" t="n">
        <f aca="false">AT650</f>
        <v>300</v>
      </c>
      <c r="AD650" s="50" t="n">
        <f aca="false">MAX(AT650,H650)</f>
        <v>470</v>
      </c>
      <c r="AE650" s="57"/>
      <c r="AF650" s="50" t="n">
        <f aca="false">IF(LEFT(Cockpit!$C$5,1)="A",H650,IF(CE650=1,CF650,IF(LEFT(Cockpit!$C$5,1)="B",AK650,MAX(AK650,H650))))</f>
        <v>470</v>
      </c>
      <c r="AG650" s="50" t="n">
        <f aca="false">IF(BW650=1,0,ROUNDUP(AF650/BV650,0))</f>
        <v>2</v>
      </c>
      <c r="AH650" s="52" t="n">
        <f aca="false">IF(CL650&gt;0,CL650*MAX(1,AF650/X650),IF(BW650=1,IF(AF650&lt;=0,0,CA650*MAX(1,IF(H650&gt;0,AF650/H650,1))),IF(R650&gt;0,AG650/R650,0))/MAX(0.1,N(Parameter!$M$21)))</f>
        <v>0.0142857142857143</v>
      </c>
      <c r="AI650" s="50" t="n">
        <f aca="false">AH650*BY650</f>
        <v>2.21428571428571</v>
      </c>
      <c r="AJ650" s="50" t="n">
        <f aca="false">AF650*G650</f>
        <v>9.4</v>
      </c>
      <c r="AK650" s="50" t="n">
        <f aca="false">ROUNDUP(MAX(J650/IF(CD650&gt;0,CD650,MAX(0.1,N(Cockpit!$C$6))),CG650)/BV650,0)*BV650</f>
        <v>300</v>
      </c>
      <c r="AL650" s="51" t="n">
        <f aca="false">IF(AI650&gt;0,J650/AI650,-1)</f>
        <v>0</v>
      </c>
      <c r="AM650" s="51" t="n">
        <f aca="false">IF(AND(OR(CC650="L1",CC650="L23",CC650="LIFT"),AI650&gt;0),SUMIFS($AI$7:$AI$1843,$CC$7:$CC$1843,CC650,$AL$7:$AL$1843,"&gt;"&amp;AL650)+SUMIFS($AI$7:$AI$1843,$CC$7:$CC$1843,CC650,$AL$7:$AL$1843,AL650,$BT$7:$BT$1843,"&lt;="&amp;BT650),"")</f>
        <v>28611.0505344467</v>
      </c>
      <c r="AN650" s="58" t="n">
        <f aca="false">IF(AM650="",0,MAX(0,MIN(1,(IF(CC650="L1",Parameter!$H$5,IF(CC650="L23",Parameter!$H$6+Parameter!$H$7,Parameter!$H$5+Parameter!$H$6+Parameter!$H$7))-(AM650-AI650))/AI650)))</f>
        <v>1</v>
      </c>
      <c r="AO650" s="50" t="n">
        <f aca="false">IF(LEFT(Cockpit!$I$5,1)="A",H650,IF(CE650=1,CF650,IF(LEFT(Cockpit!$I$5,1)="B",AT650,MAX(AT650,H650))))</f>
        <v>470</v>
      </c>
      <c r="AP650" s="50" t="n">
        <f aca="false">IF(BW650=1,0,ROUNDUP(AO650/BV650,0))</f>
        <v>2</v>
      </c>
      <c r="AQ650" s="52" t="n">
        <f aca="false">IF(CL650&gt;0,CL650*MAX(1,AO650/X650),IF(BW650=1,IF(AO650&lt;=0,0,CA650*MAX(1,IF(H650&gt;0,AO650/H650,1))),IF(R650&gt;0,AP650/R650,0))/MAX(0.1,N(Parameter!$M$21)))</f>
        <v>0.0142857142857143</v>
      </c>
      <c r="AR650" s="50" t="n">
        <f aca="false">AQ650*BY650</f>
        <v>2.21428571428571</v>
      </c>
      <c r="AS650" s="50" t="n">
        <f aca="false">AO650*G650</f>
        <v>9.4</v>
      </c>
      <c r="AT650" s="50" t="n">
        <f aca="false">ROUNDUP(MAX(J650/IF(CD650&gt;0,CD650,MAX(0.1,N(Cockpit!$I$6))),CG650)/BV650,0)*BV650</f>
        <v>300</v>
      </c>
      <c r="AU650" s="51" t="n">
        <f aca="false">IF(AR650&gt;0,J650/AR650,-1)</f>
        <v>0</v>
      </c>
      <c r="AV650" s="51" t="n">
        <f aca="false">IF(AND(OR(CC650="L1",CC650="L23",CC650="LIFT"),AR650&gt;0),SUMIFS($AR$7:$AR$1843,$CC$7:$CC$1843,CC650,$AU$7:$AU$1843,"&gt;"&amp;AU650)+SUMIFS($AR$7:$AR$1843,$CC$7:$CC$1843,CC650,$AU$7:$AU$1843,AU650,$BT$7:$BT$1843,"&lt;="&amp;BT650),"")</f>
        <v>39930.4711616068</v>
      </c>
      <c r="AW650" s="58" t="n">
        <f aca="false">IF(AV650="",0,MAX(0,MIN(1,(IF(CC650="L1",Parameter!$H$5,IF(CC650="L23",Parameter!$H$6+Parameter!$H$7,Parameter!$H$5+Parameter!$H$6+Parameter!$H$7))-(AV650-AR650))/AR650)))</f>
        <v>0</v>
      </c>
      <c r="AX650" s="50" t="n">
        <f aca="false">IF(LEFT(Cockpit!$O$5,1)="A",H650,IF(CE650=1,CF650,IF(LEFT(Cockpit!$O$5,1)="B",BC650,MAX(BC650,H650))))</f>
        <v>470</v>
      </c>
      <c r="AY650" s="50" t="n">
        <f aca="false">IF(BW650=1,0,ROUNDUP(AX650/BV650,0))</f>
        <v>2</v>
      </c>
      <c r="AZ650" s="52" t="n">
        <f aca="false">IF(CL650&gt;0,CL650*MAX(1,AX650/X650),IF(BW650=1,IF(AX650&lt;=0,0,CA650*MAX(1,IF(H650&gt;0,AX650/H650,1))),IF(R650&gt;0,AY650/R650,0))/MAX(0.1,N(Parameter!$M$21)))</f>
        <v>0.0142857142857143</v>
      </c>
      <c r="BA650" s="50" t="n">
        <f aca="false">AZ650*BY650</f>
        <v>2.21428571428571</v>
      </c>
      <c r="BB650" s="50" t="n">
        <f aca="false">AX650*G650</f>
        <v>9.4</v>
      </c>
      <c r="BC650" s="50" t="n">
        <f aca="false">ROUNDUP(MAX(J650/IF(CD650&gt;0,CD650,MAX(0.1,N(Cockpit!$O$6))),CG650)/BV650,0)*BV650</f>
        <v>300</v>
      </c>
      <c r="BD650" s="51" t="n">
        <f aca="false">IF(BA650&gt;0,J650/BA650,-1)</f>
        <v>0</v>
      </c>
      <c r="BE650" s="51" t="n">
        <f aca="false">IF(AND(OR(CC650="L1",CC650="L23",CC650="LIFT"),BA650&gt;0),SUMIFS($BA$7:$BA$1843,$CC$7:$CC$1843,CC650,$BD$7:$BD$1843,"&gt;"&amp;BD650)+SUMIFS($BA$7:$BA$1843,$CC$7:$CC$1843,CC650,$BD$7:$BD$1843,BD650,$BT$7:$BT$1843,"&lt;="&amp;BT650),"")</f>
        <v>36605.4832034726</v>
      </c>
      <c r="BF650" s="58" t="n">
        <f aca="false">IF(BE650="",0,MAX(0,MIN(1,(IF(CC650="L1",Parameter!$H$5,IF(CC650="L23",Parameter!$H$6+Parameter!$H$7,Parameter!$H$5+Parameter!$H$6+Parameter!$H$7))-(BE650-BA650))/BA650)))</f>
        <v>0</v>
      </c>
      <c r="BG650" s="48" t="str">
        <f aca="false">IF(AI650&lt;=0,"",IF(CC650="Aussen","Aussenlager",IF(CC650="-","Nicht im Lift",IF(AN650&gt;=1,"Lift",IF(AN650&lt;=0,"Aussenlager","teilweise")))))</f>
        <v>Lift</v>
      </c>
      <c r="BH650" s="48" t="str">
        <f aca="false">IF(AR650&lt;=0,"",IF(CC650="Aussen","Aussenlager",IF(CC650="-","Nicht im Lift",IF(AW650&gt;=1,"Lift",IF(AW650&lt;=0,"Aussenlager","teilweise")))))</f>
        <v>Aussenlager</v>
      </c>
      <c r="BI650" s="48" t="str">
        <f aca="false">IF(BA650&lt;=0,"",IF(CC650="Aussen","Aussenlager",IF(CC650="-","Nicht im Lift",IF(BF650&gt;=1,"Lift",IF(BF650&lt;=0,"Aussenlager","teilweise")))))</f>
        <v>Aussenlager</v>
      </c>
      <c r="BJ650" s="48" t="str">
        <f aca="false">IF(A650="","",IF(BS650=1,"Neu; ","")&amp;IF(AND(BS650=0,BN650&lt;0),"negativer Bestand (Export "&amp;BN650&amp;"); ","")&amp;IF(J650&lt;=0,"Kein Verbrauch; ","")&amp;IF(CL650&gt;0,"Lift "&amp;W650&amp;" lt. Liftbericht (Fach "&amp;X650&amp;" Stk); ",IF(BX650=1,"Gebinde geschätzt ("&amp;T650&amp;"); ",IF(BW650=1,"Lose – Tablare geschätzt; ","")))&amp;IF(H650&gt;AT650,"Überbestand "&amp;ROUND(H650-AT650,0)&amp;" Stk / CHF "&amp;ROUND((H650-AT650)*G650,0)&amp;"; ","")&amp;IF(AND(CE650=1,CF650&lt;CG650),"MAX &lt; MB+LG; ","")&amp;IF(AND(CK650&gt;0,CJ650*10&gt;CK650),"zu hoch für Tablar; ","")&amp;IF(AND(BS650=0,OR(CE650=1,AA650&lt;&gt;"",U650&lt;&gt;"",V650&lt;&gt;"",AB650&lt;&gt;"")),"manuell übersteuert; ","")&amp;IF(AND(BW650=0,R650=0),"Gebinde unbekannt / Stellmass fehlt; ","")&amp;IF(AND(BW650=0,N(V650)&lt;=0,N(Q650)&lt;=0),"Menge pro Gebinde fehlt (Ist = 1 Gebinde); ","")&amp;BR650)</f>
        <v>Kein Verbrauch; Überbestand 170 Stk / CHF 3; Überbestand</v>
      </c>
      <c r="BK650" s="48"/>
      <c r="BL650" s="48"/>
      <c r="BM650" s="55"/>
      <c r="BN650" s="50" t="n">
        <v>1</v>
      </c>
      <c r="BO650" s="50" t="n">
        <v>469</v>
      </c>
      <c r="BP650" s="49" t="n">
        <v>0.02</v>
      </c>
      <c r="BQ650" s="50" t="n">
        <v>0</v>
      </c>
      <c r="BR650" s="48" t="s">
        <v>396</v>
      </c>
      <c r="BS650" s="53" t="n">
        <v>0</v>
      </c>
      <c r="BT650" s="53" t="n">
        <v>650</v>
      </c>
      <c r="BU650" s="48" t="str">
        <f aca="false">IF(U650&lt;&gt;"",UPPER(TRIM(U650)),IF(BX650=1,UPPER(VLOOKUP(T650,Parameter!$I$27:$K$29,2,0)),IF(P650="","LOSE",P650)))</f>
        <v>S22</v>
      </c>
      <c r="BV650" s="50" t="n">
        <f aca="false">IF(BU650="LOSE",1,IF(N(V650)&gt;0,V650,IF(BX650=1,MAX(1,N(VLOOKUP(T650,Parameter!$I$27:$K$29,3,0)),H650,N(N650)),IF(N(Q650)&gt;0,Q650,MAX(1,H650)))))</f>
        <v>300</v>
      </c>
      <c r="BW650" s="53" t="n">
        <f aca="false">IF(BU650="LOSE",1,0)</f>
        <v>0</v>
      </c>
      <c r="BX650" s="53" t="n">
        <f aca="false">IF(AND(U650="",OR(P650="",P650="LOSE"),T650&lt;&gt;"",N(S650)&lt;=0,ISNUMBER(MATCH(T650,Parameter!$I$27:$I$29,0))),1,0)</f>
        <v>0</v>
      </c>
      <c r="BY650" s="53" t="n">
        <f aca="false">IF(CL650&gt;0,INDEX(Parameter!$H$5:$H$7,W650)/INDEX(Parameter!$E$5:$E$7,W650),IF(AND(BW650=0,N(IFERROR(VLOOKUP(BU650,'Gebinde-Kategorie'!$A$5:$N$45,14,0),0))&gt;0),VLOOKUP(BU650,'Gebinde-Kategorie'!$A$5:$N$45,14,0)*10+Parameter!$M$23,Parameter!$M$24))</f>
        <v>155</v>
      </c>
      <c r="BZ650" s="48" t="str">
        <f aca="false">IF(AND(Parameter!$B$19="Ja",E650&lt;&gt;"",ISNUMBER(MATCH(E650,Parameter!$I$35:$I$52,0))),VLOOKUP(E650,Parameter!$I$35:$J$52,2,0),IFERROR(VLOOKUP(D650,Parameter!$A$35:$C$64,2,0),"Nein"))</f>
        <v>2+3</v>
      </c>
      <c r="CA650" s="52" t="n">
        <f aca="false">IF(BW650=0,0,IF(N(S650)&gt;0,S650,IFERROR(VLOOKUP(D650,Parameter!$A$35:$C$64,3,0)+0,0)))</f>
        <v>0</v>
      </c>
      <c r="CB650" s="48" t="n">
        <f aca="false">IF(AA650&lt;&gt;"",AA650,Z650)</f>
        <v>3</v>
      </c>
      <c r="CC650" s="48" t="str">
        <f aca="false">IF(OR(CB650=1,CB650=2,CB650=3),IF(Parameter!$E$27="Ja","LIFT",IF(CB650=1,"L1","L23")),IF(CB650="Aussen","Aussen","-"))</f>
        <v>LIFT</v>
      </c>
      <c r="CD650" s="59" t="n">
        <f aca="false">IF(N(AB650)&gt;0,AB650,0)</f>
        <v>0</v>
      </c>
      <c r="CE650" s="53" t="n">
        <f aca="false">IF(ISNUMBER(AE650),1,0)</f>
        <v>0</v>
      </c>
      <c r="CF650" s="50" t="n">
        <f aca="false">N(AE650)</f>
        <v>0</v>
      </c>
      <c r="CG650" s="50" t="n">
        <f aca="false">N(M650)+N(N650)</f>
        <v>1</v>
      </c>
      <c r="CH650" s="50" t="n">
        <f aca="false">ROUNDUP(H650/BV650,0)</f>
        <v>2</v>
      </c>
      <c r="CI650" s="50" t="n">
        <f aca="false">ROUNDUP(CF650/BV650,0)</f>
        <v>0</v>
      </c>
      <c r="CJ650" s="53" t="n">
        <f aca="false">IF(BW650=1,0,IFERROR(VLOOKUP(BU650,'Gebinde-Kategorie'!$A$5:$N$45,5,0)+0,0))</f>
        <v>8</v>
      </c>
      <c r="CK650" s="53" t="n">
        <f aca="false">IFERROR(IF(OR(CB650=1,CB650=2,CB650=3),N(INDEX(Parameter!$I$5:$I$7,CB650)),0),0)</f>
        <v>0</v>
      </c>
      <c r="CL650" s="52" t="n">
        <f aca="false">IF(AND(Parameter!$B$21="Ja",ISNUMBER(W650),N(X650)&gt;0),IFERROR(N(INDEX(Parameter!$L$5:$L$7,W650))*INDEX(Parameter!$E$5:$E$7,W650)*X650/SUMIFS($X$7:$X$1843,$W$7:$W$1843,W650),0),0)</f>
        <v>0</v>
      </c>
    </row>
    <row r="651" customFormat="false" ht="15" hidden="false" customHeight="false" outlineLevel="0" collapsed="false">
      <c r="A651" s="48" t="s">
        <v>1322</v>
      </c>
      <c r="B651" s="48" t="s">
        <v>953</v>
      </c>
      <c r="C651" s="48" t="s">
        <v>168</v>
      </c>
      <c r="D651" s="48" t="s">
        <v>188</v>
      </c>
      <c r="E651" s="48" t="s">
        <v>189</v>
      </c>
      <c r="F651" s="48" t="s">
        <v>222</v>
      </c>
      <c r="G651" s="49" t="n">
        <v>0.01</v>
      </c>
      <c r="H651" s="50" t="n">
        <f aca="false">MAX(0,IF(AND(Parameter!$B$21="Ja",ISNUMBER(Y651)),Y651,IF(Parameter!$B$20="Jahresanfang 2025 + Export",BO651+BN651,BN651)))</f>
        <v>179</v>
      </c>
      <c r="I651" s="50" t="n">
        <f aca="false">H651*G651</f>
        <v>1.79</v>
      </c>
      <c r="J651" s="50" t="n">
        <f aca="false">BQ651*Parameter!$B$18</f>
        <v>0</v>
      </c>
      <c r="K651" s="51" t="n">
        <v>178.5</v>
      </c>
      <c r="L651" s="52" t="n">
        <v>0</v>
      </c>
      <c r="M651" s="50" t="n">
        <v>0</v>
      </c>
      <c r="N651" s="50" t="n">
        <v>1</v>
      </c>
      <c r="O651" s="53" t="n">
        <v>14</v>
      </c>
      <c r="P651" s="48" t="s">
        <v>405</v>
      </c>
      <c r="Q651" s="50" t="n">
        <v>180</v>
      </c>
      <c r="R651" s="53" t="n">
        <f aca="false">IF(BW651=1,0,IFERROR(VLOOKUP(BU651,'Gebinde-Kategorie'!$A$5:$N$45,13,0)+0,0))</f>
        <v>280</v>
      </c>
      <c r="S651" s="54"/>
      <c r="T651" s="55"/>
      <c r="U651" s="55"/>
      <c r="V651" s="55"/>
      <c r="W651" s="48"/>
      <c r="X651" s="50"/>
      <c r="Y651" s="50"/>
      <c r="Z651" s="48" t="n">
        <f aca="false">IF(A651="","",IF(AND(Parameter!$B$21="Ja",ISNUMBER(W651)),W651,IF(BZ651="2+3",IF(ISNUMBER(SEARCH("grosser Artikel",BR651)),2,IFERROR(VLOOKUP(BU651,Parameter!$F$35:$G$64,2,0),2)),IF(OR(BZ651="Nein",BZ651=""),"-",BZ651))))</f>
        <v>3</v>
      </c>
      <c r="AA651" s="55"/>
      <c r="AB651" s="56"/>
      <c r="AC651" s="50" t="n">
        <f aca="false">AT651</f>
        <v>180</v>
      </c>
      <c r="AD651" s="50" t="n">
        <f aca="false">MAX(AT651,H651)</f>
        <v>180</v>
      </c>
      <c r="AE651" s="57"/>
      <c r="AF651" s="50" t="n">
        <f aca="false">IF(LEFT(Cockpit!$C$5,1)="A",H651,IF(CE651=1,CF651,IF(LEFT(Cockpit!$C$5,1)="B",AK651,MAX(AK651,H651))))</f>
        <v>179</v>
      </c>
      <c r="AG651" s="50" t="n">
        <f aca="false">IF(BW651=1,0,ROUNDUP(AF651/BV651,0))</f>
        <v>1</v>
      </c>
      <c r="AH651" s="52" t="n">
        <f aca="false">IF(CL651&gt;0,CL651*MAX(1,AF651/X651),IF(BW651=1,IF(AF651&lt;=0,0,CA651*MAX(1,IF(H651&gt;0,AF651/H651,1))),IF(R651&gt;0,AG651/R651,0))/MAX(0.1,N(Parameter!$M$21)))</f>
        <v>0.00357142857142857</v>
      </c>
      <c r="AI651" s="50" t="n">
        <f aca="false">AH651*BY651</f>
        <v>0.553571428571429</v>
      </c>
      <c r="AJ651" s="50" t="n">
        <f aca="false">AF651*G651</f>
        <v>1.79</v>
      </c>
      <c r="AK651" s="50" t="n">
        <f aca="false">ROUNDUP(MAX(J651/IF(CD651&gt;0,CD651,MAX(0.1,N(Cockpit!$C$6))),CG651)/BV651,0)*BV651</f>
        <v>180</v>
      </c>
      <c r="AL651" s="51" t="n">
        <f aca="false">IF(AI651&gt;0,J651/AI651,-1)</f>
        <v>0</v>
      </c>
      <c r="AM651" s="51" t="n">
        <f aca="false">IF(AND(OR(CC651="L1",CC651="L23",CC651="LIFT"),AI651&gt;0),SUMIFS($AI$7:$AI$1843,$CC$7:$CC$1843,CC651,$AL$7:$AL$1843,"&gt;"&amp;AL651)+SUMIFS($AI$7:$AI$1843,$CC$7:$CC$1843,CC651,$AL$7:$AL$1843,AL651,$BT$7:$BT$1843,"&lt;="&amp;BT651),"")</f>
        <v>28611.6041058753</v>
      </c>
      <c r="AN651" s="58" t="n">
        <f aca="false">IF(AM651="",0,MAX(0,MIN(1,(IF(CC651="L1",Parameter!$H$5,IF(CC651="L23",Parameter!$H$6+Parameter!$H$7,Parameter!$H$5+Parameter!$H$6+Parameter!$H$7))-(AM651-AI651))/AI651)))</f>
        <v>1</v>
      </c>
      <c r="AO651" s="50" t="n">
        <f aca="false">IF(LEFT(Cockpit!$I$5,1)="A",H651,IF(CE651=1,CF651,IF(LEFT(Cockpit!$I$5,1)="B",AT651,MAX(AT651,H651))))</f>
        <v>180</v>
      </c>
      <c r="AP651" s="50" t="n">
        <f aca="false">IF(BW651=1,0,ROUNDUP(AO651/BV651,0))</f>
        <v>1</v>
      </c>
      <c r="AQ651" s="52" t="n">
        <f aca="false">IF(CL651&gt;0,CL651*MAX(1,AO651/X651),IF(BW651=1,IF(AO651&lt;=0,0,CA651*MAX(1,IF(H651&gt;0,AO651/H651,1))),IF(R651&gt;0,AP651/R651,0))/MAX(0.1,N(Parameter!$M$21)))</f>
        <v>0.00357142857142857</v>
      </c>
      <c r="AR651" s="50" t="n">
        <f aca="false">AQ651*BY651</f>
        <v>0.553571428571429</v>
      </c>
      <c r="AS651" s="50" t="n">
        <f aca="false">AO651*G651</f>
        <v>1.8</v>
      </c>
      <c r="AT651" s="50" t="n">
        <f aca="false">ROUNDUP(MAX(J651/IF(CD651&gt;0,CD651,MAX(0.1,N(Cockpit!$I$6))),CG651)/BV651,0)*BV651</f>
        <v>180</v>
      </c>
      <c r="AU651" s="51" t="n">
        <f aca="false">IF(AR651&gt;0,J651/AR651,-1)</f>
        <v>0</v>
      </c>
      <c r="AV651" s="51" t="n">
        <f aca="false">IF(AND(OR(CC651="L1",CC651="L23",CC651="LIFT"),AR651&gt;0),SUMIFS($AR$7:$AR$1843,$CC$7:$CC$1843,CC651,$AU$7:$AU$1843,"&gt;"&amp;AU651)+SUMIFS($AR$7:$AR$1843,$CC$7:$CC$1843,CC651,$AU$7:$AU$1843,AU651,$BT$7:$BT$1843,"&lt;="&amp;BT651),"")</f>
        <v>39931.0247330353</v>
      </c>
      <c r="AW651" s="58" t="n">
        <f aca="false">IF(AV651="",0,MAX(0,MIN(1,(IF(CC651="L1",Parameter!$H$5,IF(CC651="L23",Parameter!$H$6+Parameter!$H$7,Parameter!$H$5+Parameter!$H$6+Parameter!$H$7))-(AV651-AR651))/AR651)))</f>
        <v>0</v>
      </c>
      <c r="AX651" s="50" t="n">
        <f aca="false">IF(LEFT(Cockpit!$O$5,1)="A",H651,IF(CE651=1,CF651,IF(LEFT(Cockpit!$O$5,1)="B",BC651,MAX(BC651,H651))))</f>
        <v>180</v>
      </c>
      <c r="AY651" s="50" t="n">
        <f aca="false">IF(BW651=1,0,ROUNDUP(AX651/BV651,0))</f>
        <v>1</v>
      </c>
      <c r="AZ651" s="52" t="n">
        <f aca="false">IF(CL651&gt;0,CL651*MAX(1,AX651/X651),IF(BW651=1,IF(AX651&lt;=0,0,CA651*MAX(1,IF(H651&gt;0,AX651/H651,1))),IF(R651&gt;0,AY651/R651,0))/MAX(0.1,N(Parameter!$M$21)))</f>
        <v>0.00357142857142857</v>
      </c>
      <c r="BA651" s="50" t="n">
        <f aca="false">AZ651*BY651</f>
        <v>0.553571428571429</v>
      </c>
      <c r="BB651" s="50" t="n">
        <f aca="false">AX651*G651</f>
        <v>1.8</v>
      </c>
      <c r="BC651" s="50" t="n">
        <f aca="false">ROUNDUP(MAX(J651/IF(CD651&gt;0,CD651,MAX(0.1,N(Cockpit!$O$6))),CG651)/BV651,0)*BV651</f>
        <v>180</v>
      </c>
      <c r="BD651" s="51" t="n">
        <f aca="false">IF(BA651&gt;0,J651/BA651,-1)</f>
        <v>0</v>
      </c>
      <c r="BE651" s="51" t="n">
        <f aca="false">IF(AND(OR(CC651="L1",CC651="L23",CC651="LIFT"),BA651&gt;0),SUMIFS($BA$7:$BA$1843,$CC$7:$CC$1843,CC651,$BD$7:$BD$1843,"&gt;"&amp;BD651)+SUMIFS($BA$7:$BA$1843,$CC$7:$CC$1843,CC651,$BD$7:$BD$1843,BD651,$BT$7:$BT$1843,"&lt;="&amp;BT651),"")</f>
        <v>36606.0367749012</v>
      </c>
      <c r="BF651" s="58" t="n">
        <f aca="false">IF(BE651="",0,MAX(0,MIN(1,(IF(CC651="L1",Parameter!$H$5,IF(CC651="L23",Parameter!$H$6+Parameter!$H$7,Parameter!$H$5+Parameter!$H$6+Parameter!$H$7))-(BE651-BA651))/BA651)))</f>
        <v>0</v>
      </c>
      <c r="BG651" s="48" t="str">
        <f aca="false">IF(AI651&lt;=0,"",IF(CC651="Aussen","Aussenlager",IF(CC651="-","Nicht im Lift",IF(AN651&gt;=1,"Lift",IF(AN651&lt;=0,"Aussenlager","teilweise")))))</f>
        <v>Lift</v>
      </c>
      <c r="BH651" s="48" t="str">
        <f aca="false">IF(AR651&lt;=0,"",IF(CC651="Aussen","Aussenlager",IF(CC651="-","Nicht im Lift",IF(AW651&gt;=1,"Lift",IF(AW651&lt;=0,"Aussenlager","teilweise")))))</f>
        <v>Aussenlager</v>
      </c>
      <c r="BI651" s="48" t="str">
        <f aca="false">IF(BA651&lt;=0,"",IF(CC651="Aussen","Aussenlager",IF(CC651="-","Nicht im Lift",IF(BF651&gt;=1,"Lift",IF(BF651&lt;=0,"Aussenlager","teilweise")))))</f>
        <v>Aussenlager</v>
      </c>
      <c r="BJ651" s="48" t="str">
        <f aca="false">IF(A651="","",IF(BS651=1,"Neu; ","")&amp;IF(AND(BS651=0,BN651&lt;0),"negativer Bestand (Export "&amp;BN651&amp;"); ","")&amp;IF(J651&lt;=0,"Kein Verbrauch; ","")&amp;IF(CL651&gt;0,"Lift "&amp;W651&amp;" lt. Liftbericht (Fach "&amp;X651&amp;" Stk); ",IF(BX651=1,"Gebinde geschätzt ("&amp;T651&amp;"); ",IF(BW651=1,"Lose – Tablare geschätzt; ","")))&amp;IF(H651&gt;AT651,"Überbestand "&amp;ROUND(H651-AT651,0)&amp;" Stk / CHF "&amp;ROUND((H651-AT651)*G651,0)&amp;"; ","")&amp;IF(AND(CE651=1,CF651&lt;CG651),"MAX &lt; MB+LG; ","")&amp;IF(AND(CK651&gt;0,CJ651*10&gt;CK651),"zu hoch für Tablar; ","")&amp;IF(AND(BS651=0,OR(CE651=1,AA651&lt;&gt;"",U651&lt;&gt;"",V651&lt;&gt;"",AB651&lt;&gt;"")),"manuell übersteuert; ","")&amp;IF(AND(BW651=0,R651=0),"Gebinde unbekannt / Stellmass fehlt; ","")&amp;IF(AND(BW651=0,N(V651)&lt;=0,N(Q651)&lt;=0),"Menge pro Gebinde fehlt (Ist = 1 Gebinde); ","")&amp;BR651)</f>
        <v>Kein Verbrauch; Überbestand</v>
      </c>
      <c r="BK651" s="48"/>
      <c r="BL651" s="48"/>
      <c r="BM651" s="55"/>
      <c r="BN651" s="50" t="n">
        <v>1</v>
      </c>
      <c r="BO651" s="50" t="n">
        <v>178</v>
      </c>
      <c r="BP651" s="49" t="n">
        <v>0.01</v>
      </c>
      <c r="BQ651" s="50" t="n">
        <v>0</v>
      </c>
      <c r="BR651" s="48" t="s">
        <v>396</v>
      </c>
      <c r="BS651" s="53" t="n">
        <v>0</v>
      </c>
      <c r="BT651" s="53" t="n">
        <v>651</v>
      </c>
      <c r="BU651" s="48" t="str">
        <f aca="false">IF(U651&lt;&gt;"",UPPER(TRIM(U651)),IF(BX651=1,UPPER(VLOOKUP(T651,Parameter!$I$27:$K$29,2,0)),IF(P651="","LOSE",P651)))</f>
        <v>S21</v>
      </c>
      <c r="BV651" s="50" t="n">
        <f aca="false">IF(BU651="LOSE",1,IF(N(V651)&gt;0,V651,IF(BX651=1,MAX(1,N(VLOOKUP(T651,Parameter!$I$27:$K$29,3,0)),H651,N(N651)),IF(N(Q651)&gt;0,Q651,MAX(1,H651)))))</f>
        <v>180</v>
      </c>
      <c r="BW651" s="53" t="n">
        <f aca="false">IF(BU651="LOSE",1,0)</f>
        <v>0</v>
      </c>
      <c r="BX651" s="53" t="n">
        <f aca="false">IF(AND(U651="",OR(P651="",P651="LOSE"),T651&lt;&gt;"",N(S651)&lt;=0,ISNUMBER(MATCH(T651,Parameter!$I$27:$I$29,0))),1,0)</f>
        <v>0</v>
      </c>
      <c r="BY651" s="53" t="n">
        <f aca="false">IF(CL651&gt;0,INDEX(Parameter!$H$5:$H$7,W651)/INDEX(Parameter!$E$5:$E$7,W651),IF(AND(BW651=0,N(IFERROR(VLOOKUP(BU651,'Gebinde-Kategorie'!$A$5:$N$45,14,0),0))&gt;0),VLOOKUP(BU651,'Gebinde-Kategorie'!$A$5:$N$45,14,0)*10+Parameter!$M$23,Parameter!$M$24))</f>
        <v>155</v>
      </c>
      <c r="BZ651" s="48" t="str">
        <f aca="false">IF(AND(Parameter!$B$19="Ja",E651&lt;&gt;"",ISNUMBER(MATCH(E651,Parameter!$I$35:$I$52,0))),VLOOKUP(E651,Parameter!$I$35:$J$52,2,0),IFERROR(VLOOKUP(D651,Parameter!$A$35:$C$64,2,0),"Nein"))</f>
        <v>2+3</v>
      </c>
      <c r="CA651" s="52" t="n">
        <f aca="false">IF(BW651=0,0,IF(N(S651)&gt;0,S651,IFERROR(VLOOKUP(D651,Parameter!$A$35:$C$64,3,0)+0,0)))</f>
        <v>0</v>
      </c>
      <c r="CB651" s="48" t="n">
        <f aca="false">IF(AA651&lt;&gt;"",AA651,Z651)</f>
        <v>3</v>
      </c>
      <c r="CC651" s="48" t="str">
        <f aca="false">IF(OR(CB651=1,CB651=2,CB651=3),IF(Parameter!$E$27="Ja","LIFT",IF(CB651=1,"L1","L23")),IF(CB651="Aussen","Aussen","-"))</f>
        <v>LIFT</v>
      </c>
      <c r="CD651" s="59" t="n">
        <f aca="false">IF(N(AB651)&gt;0,AB651,0)</f>
        <v>0</v>
      </c>
      <c r="CE651" s="53" t="n">
        <f aca="false">IF(ISNUMBER(AE651),1,0)</f>
        <v>0</v>
      </c>
      <c r="CF651" s="50" t="n">
        <f aca="false">N(AE651)</f>
        <v>0</v>
      </c>
      <c r="CG651" s="50" t="n">
        <f aca="false">N(M651)+N(N651)</f>
        <v>1</v>
      </c>
      <c r="CH651" s="50" t="n">
        <f aca="false">ROUNDUP(H651/BV651,0)</f>
        <v>1</v>
      </c>
      <c r="CI651" s="50" t="n">
        <f aca="false">ROUNDUP(CF651/BV651,0)</f>
        <v>0</v>
      </c>
      <c r="CJ651" s="53" t="n">
        <f aca="false">IF(BW651=1,0,IFERROR(VLOOKUP(BU651,'Gebinde-Kategorie'!$A$5:$N$45,5,0)+0,0))</f>
        <v>8</v>
      </c>
      <c r="CK651" s="53" t="n">
        <f aca="false">IFERROR(IF(OR(CB651=1,CB651=2,CB651=3),N(INDEX(Parameter!$I$5:$I$7,CB651)),0),0)</f>
        <v>0</v>
      </c>
      <c r="CL651" s="52" t="n">
        <f aca="false">IF(AND(Parameter!$B$21="Ja",ISNUMBER(W651),N(X651)&gt;0),IFERROR(N(INDEX(Parameter!$L$5:$L$7,W651))*INDEX(Parameter!$E$5:$E$7,W651)*X651/SUMIFS($X$7:$X$1843,$W$7:$W$1843,W651),0),0)</f>
        <v>0</v>
      </c>
    </row>
    <row r="652" customFormat="false" ht="15" hidden="false" customHeight="false" outlineLevel="0" collapsed="false">
      <c r="A652" s="48" t="s">
        <v>1323</v>
      </c>
      <c r="B652" s="48" t="s">
        <v>241</v>
      </c>
      <c r="C652" s="48" t="s">
        <v>168</v>
      </c>
      <c r="D652" s="48" t="s">
        <v>177</v>
      </c>
      <c r="E652" s="48"/>
      <c r="F652" s="48" t="s">
        <v>222</v>
      </c>
      <c r="G652" s="49" t="n">
        <v>162.29</v>
      </c>
      <c r="H652" s="50" t="n">
        <f aca="false">MAX(0,IF(AND(Parameter!$B$21="Ja",ISNUMBER(Y652)),Y652,IF(Parameter!$B$20="Jahresanfang 2025 + Export",BO652+BN652,BN652)))</f>
        <v>0</v>
      </c>
      <c r="I652" s="50" t="n">
        <f aca="false">H652*G652</f>
        <v>0</v>
      </c>
      <c r="J652" s="50" t="n">
        <f aca="false">BQ652*Parameter!$B$18</f>
        <v>14</v>
      </c>
      <c r="K652" s="51" t="n">
        <v>1</v>
      </c>
      <c r="L652" s="52" t="n">
        <v>14</v>
      </c>
      <c r="M652" s="50" t="n">
        <v>0</v>
      </c>
      <c r="N652" s="50" t="n">
        <v>15</v>
      </c>
      <c r="O652" s="53" t="n">
        <v>14</v>
      </c>
      <c r="P652" s="48" t="s">
        <v>172</v>
      </c>
      <c r="Q652" s="50"/>
      <c r="R652" s="53" t="n">
        <f aca="false">IF(BW652=1,0,IFERROR(VLOOKUP(BU652,'Gebinde-Kategorie'!$A$5:$N$45,13,0)+0,0))</f>
        <v>12</v>
      </c>
      <c r="S652" s="54"/>
      <c r="T652" s="55" t="s">
        <v>183</v>
      </c>
      <c r="U652" s="55"/>
      <c r="V652" s="55"/>
      <c r="W652" s="48"/>
      <c r="X652" s="50"/>
      <c r="Y652" s="50"/>
      <c r="Z652" s="48" t="n">
        <f aca="false">IF(A652="","",IF(AND(Parameter!$B$21="Ja",ISNUMBER(W652)),W652,IF(BZ652="2+3",IF(ISNUMBER(SEARCH("grosser Artikel",BR652)),2,IFERROR(VLOOKUP(BU652,Parameter!$F$35:$G$64,2,0),2)),IF(OR(BZ652="Nein",BZ652=""),"-",BZ652))))</f>
        <v>2</v>
      </c>
      <c r="AA652" s="55"/>
      <c r="AB652" s="56"/>
      <c r="AC652" s="50" t="n">
        <f aca="false">AT652</f>
        <v>15</v>
      </c>
      <c r="AD652" s="50" t="n">
        <f aca="false">MAX(AT652,H652)</f>
        <v>15</v>
      </c>
      <c r="AE652" s="57"/>
      <c r="AF652" s="50" t="n">
        <f aca="false">IF(LEFT(Cockpit!$C$5,1)="A",H652,IF(CE652=1,CF652,IF(LEFT(Cockpit!$C$5,1)="B",AK652,MAX(AK652,H652))))</f>
        <v>0</v>
      </c>
      <c r="AG652" s="50" t="n">
        <f aca="false">IF(BW652=1,0,ROUNDUP(AF652/BV652,0))</f>
        <v>0</v>
      </c>
      <c r="AH652" s="52" t="n">
        <f aca="false">IF(CL652&gt;0,CL652*MAX(1,AF652/X652),IF(BW652=1,IF(AF652&lt;=0,0,CA652*MAX(1,IF(H652&gt;0,AF652/H652,1))),IF(R652&gt;0,AG652/R652,0))/MAX(0.1,N(Parameter!$M$21)))</f>
        <v>0</v>
      </c>
      <c r="AI652" s="50" t="n">
        <f aca="false">AH652*BY652</f>
        <v>0</v>
      </c>
      <c r="AJ652" s="50" t="n">
        <f aca="false">AF652*G652</f>
        <v>0</v>
      </c>
      <c r="AK652" s="50" t="n">
        <f aca="false">ROUNDUP(MAX(J652/IF(CD652&gt;0,CD652,MAX(0.1,N(Cockpit!$C$6))),CG652)/BV652,0)*BV652</f>
        <v>15</v>
      </c>
      <c r="AL652" s="51" t="n">
        <f aca="false">IF(AI652&gt;0,J652/AI652,-1)</f>
        <v>-1</v>
      </c>
      <c r="AM652" s="51" t="str">
        <f aca="false">IF(AND(OR(CC652="L1",CC652="L23",CC652="LIFT"),AI652&gt;0),SUMIFS($AI$7:$AI$1843,$CC$7:$CC$1843,CC652,$AL$7:$AL$1843,"&gt;"&amp;AL652)+SUMIFS($AI$7:$AI$1843,$CC$7:$CC$1843,CC652,$AL$7:$AL$1843,AL652,$BT$7:$BT$1843,"&lt;="&amp;BT652),"")</f>
        <v/>
      </c>
      <c r="AN652" s="58" t="n">
        <f aca="false">IF(AM652="",0,MAX(0,MIN(1,(IF(CC652="L1",Parameter!$H$5,IF(CC652="L23",Parameter!$H$6+Parameter!$H$7,Parameter!$H$5+Parameter!$H$6+Parameter!$H$7))-(AM652-AI652))/AI652)))</f>
        <v>0</v>
      </c>
      <c r="AO652" s="50" t="n">
        <f aca="false">IF(LEFT(Cockpit!$I$5,1)="A",H652,IF(CE652=1,CF652,IF(LEFT(Cockpit!$I$5,1)="B",AT652,MAX(AT652,H652))))</f>
        <v>15</v>
      </c>
      <c r="AP652" s="50" t="n">
        <f aca="false">IF(BW652=1,0,ROUNDUP(AO652/BV652,0))</f>
        <v>1</v>
      </c>
      <c r="AQ652" s="52" t="n">
        <f aca="false">IF(CL652&gt;0,CL652*MAX(1,AO652/X652),IF(BW652=1,IF(AO652&lt;=0,0,CA652*MAX(1,IF(H652&gt;0,AO652/H652,1))),IF(R652&gt;0,AP652/R652,0))/MAX(0.1,N(Parameter!$M$21)))</f>
        <v>0.0833333333333333</v>
      </c>
      <c r="AR652" s="50" t="n">
        <f aca="false">AQ652*BY652</f>
        <v>12.0833333333333</v>
      </c>
      <c r="AS652" s="50" t="n">
        <f aca="false">AO652*G652</f>
        <v>2434.35</v>
      </c>
      <c r="AT652" s="50" t="n">
        <f aca="false">ROUNDUP(MAX(J652/IF(CD652&gt;0,CD652,MAX(0.1,N(Cockpit!$I$6))),CG652)/BV652,0)*BV652</f>
        <v>15</v>
      </c>
      <c r="AU652" s="51" t="n">
        <f aca="false">IF(AR652&gt;0,J652/AR652,-1)</f>
        <v>1.15862068965517</v>
      </c>
      <c r="AV652" s="51" t="n">
        <f aca="false">IF(AND(OR(CC652="L1",CC652="L23",CC652="LIFT"),AR652&gt;0),SUMIFS($AR$7:$AR$1843,$CC$7:$CC$1843,CC652,$AU$7:$AU$1843,"&gt;"&amp;AU652)+SUMIFS($AR$7:$AR$1843,$CC$7:$CC$1843,CC652,$AU$7:$AU$1843,AU652,$BT$7:$BT$1843,"&lt;="&amp;BT652),"")</f>
        <v>9885.60989010989</v>
      </c>
      <c r="AW652" s="58" t="n">
        <f aca="false">IF(AV652="",0,MAX(0,MIN(1,(IF(CC652="L1",Parameter!$H$5,IF(CC652="L23",Parameter!$H$6+Parameter!$H$7,Parameter!$H$5+Parameter!$H$6+Parameter!$H$7))-(AV652-AR652))/AR652)))</f>
        <v>1</v>
      </c>
      <c r="AX652" s="50" t="n">
        <f aca="false">IF(LEFT(Cockpit!$O$5,1)="A",H652,IF(CE652=1,CF652,IF(LEFT(Cockpit!$O$5,1)="B",BC652,MAX(BC652,H652))))</f>
        <v>15</v>
      </c>
      <c r="AY652" s="50" t="n">
        <f aca="false">IF(BW652=1,0,ROUNDUP(AX652/BV652,0))</f>
        <v>1</v>
      </c>
      <c r="AZ652" s="52" t="n">
        <f aca="false">IF(CL652&gt;0,CL652*MAX(1,AX652/X652),IF(BW652=1,IF(AX652&lt;=0,0,CA652*MAX(1,IF(H652&gt;0,AX652/H652,1))),IF(R652&gt;0,AY652/R652,0))/MAX(0.1,N(Parameter!$M$21)))</f>
        <v>0.0833333333333333</v>
      </c>
      <c r="BA652" s="50" t="n">
        <f aca="false">AZ652*BY652</f>
        <v>12.0833333333333</v>
      </c>
      <c r="BB652" s="50" t="n">
        <f aca="false">AX652*G652</f>
        <v>2434.35</v>
      </c>
      <c r="BC652" s="50" t="n">
        <f aca="false">ROUNDUP(MAX(J652/IF(CD652&gt;0,CD652,MAX(0.1,N(Cockpit!$O$6))),CG652)/BV652,0)*BV652</f>
        <v>15</v>
      </c>
      <c r="BD652" s="51" t="n">
        <f aca="false">IF(BA652&gt;0,J652/BA652,-1)</f>
        <v>1.15862068965517</v>
      </c>
      <c r="BE652" s="51" t="n">
        <f aca="false">IF(AND(OR(CC652="L1",CC652="L23",CC652="LIFT"),BA652&gt;0),SUMIFS($BA$7:$BA$1843,$CC$7:$CC$1843,CC652,$BD$7:$BD$1843,"&gt;"&amp;BD652)+SUMIFS($BA$7:$BA$1843,$CC$7:$CC$1843,CC652,$BD$7:$BD$1843,BD652,$BT$7:$BT$1843,"&lt;="&amp;BT652),"")</f>
        <v>8896.26694139194</v>
      </c>
      <c r="BF652" s="58" t="n">
        <f aca="false">IF(BE652="",0,MAX(0,MIN(1,(IF(CC652="L1",Parameter!$H$5,IF(CC652="L23",Parameter!$H$6+Parameter!$H$7,Parameter!$H$5+Parameter!$H$6+Parameter!$H$7))-(BE652-BA652))/BA652)))</f>
        <v>1</v>
      </c>
      <c r="BG652" s="48" t="str">
        <f aca="false">IF(AI652&lt;=0,"",IF(CC652="Aussen","Aussenlager",IF(CC652="-","Nicht im Lift",IF(AN652&gt;=1,"Lift",IF(AN652&lt;=0,"Aussenlager","teilweise")))))</f>
        <v/>
      </c>
      <c r="BH652" s="48" t="str">
        <f aca="false">IF(AR652&lt;=0,"",IF(CC652="Aussen","Aussenlager",IF(CC652="-","Nicht im Lift",IF(AW652&gt;=1,"Lift",IF(AW652&lt;=0,"Aussenlager","teilweise")))))</f>
        <v>Lift</v>
      </c>
      <c r="BI652" s="48" t="str">
        <f aca="false">IF(BA652&lt;=0,"",IF(CC652="Aussen","Aussenlager",IF(CC652="-","Nicht im Lift",IF(BF652&gt;=1,"Lift",IF(BF652&lt;=0,"Aussenlager","teilweise")))))</f>
        <v>Lift</v>
      </c>
      <c r="BJ652" s="48" t="str">
        <f aca="false">IF(A652="","",IF(BS652=1,"Neu; ","")&amp;IF(AND(BS652=0,BN652&lt;0),"negativer Bestand (Export "&amp;BN652&amp;"); ","")&amp;IF(J652&lt;=0,"Kein Verbrauch; ","")&amp;IF(CL652&gt;0,"Lift "&amp;W652&amp;" lt. Liftbericht (Fach "&amp;X652&amp;" Stk); ",IF(BX652=1,"Gebinde geschätzt ("&amp;T652&amp;"); ",IF(BW652=1,"Lose – Tablare geschätzt; ","")))&amp;IF(H652&gt;AT652,"Überbestand "&amp;ROUND(H652-AT652,0)&amp;" Stk / CHF "&amp;ROUND((H652-AT652)*G652,0)&amp;"; ","")&amp;IF(AND(CE652=1,CF652&lt;CG652),"MAX &lt; MB+LG; ","")&amp;IF(AND(CK652&gt;0,CJ652*10&gt;CK652),"zu hoch für Tablar; ","")&amp;IF(AND(BS652=0,OR(CE652=1,AA652&lt;&gt;"",U652&lt;&gt;"",V652&lt;&gt;"",AB652&lt;&gt;"")),"manuell übersteuert; ","")&amp;IF(AND(BW652=0,R652=0),"Gebinde unbekannt / Stellmass fehlt; ","")&amp;IF(AND(BW652=0,N(V652)&lt;=0,N(Q652)&lt;=0),"Menge pro Gebinde fehlt (Ist = 1 Gebinde); ","")&amp;BR652)</f>
        <v>Gebinde geschätzt (Mittel); Menge pro Gebinde fehlt (Ist = 1 Gebinde); </v>
      </c>
      <c r="BK652" s="48"/>
      <c r="BL652" s="48"/>
      <c r="BM652" s="55"/>
      <c r="BN652" s="50" t="n">
        <v>0</v>
      </c>
      <c r="BO652" s="50" t="n">
        <v>0</v>
      </c>
      <c r="BP652" s="49" t="n">
        <v>5.6843418860808E-013</v>
      </c>
      <c r="BQ652" s="50" t="n">
        <v>14</v>
      </c>
      <c r="BR652" s="48"/>
      <c r="BS652" s="53" t="n">
        <v>0</v>
      </c>
      <c r="BT652" s="53" t="n">
        <v>652</v>
      </c>
      <c r="BU652" s="48" t="str">
        <f aca="false">IF(U652&lt;&gt;"",UPPER(TRIM(U652)),IF(BX652=1,UPPER(VLOOKUP(T652,Parameter!$I$27:$K$29,2,0)),IF(P652="","LOSE",P652)))</f>
        <v>S61</v>
      </c>
      <c r="BV652" s="50" t="n">
        <f aca="false">IF(BU652="LOSE",1,IF(N(V652)&gt;0,V652,IF(BX652=1,MAX(1,N(VLOOKUP(T652,Parameter!$I$27:$K$29,3,0)),H652,N(N652)),IF(N(Q652)&gt;0,Q652,MAX(1,H652)))))</f>
        <v>15</v>
      </c>
      <c r="BW652" s="53" t="n">
        <f aca="false">IF(BU652="LOSE",1,0)</f>
        <v>0</v>
      </c>
      <c r="BX652" s="53" t="n">
        <f aca="false">IF(AND(U652="",OR(P652="",P652="LOSE"),T652&lt;&gt;"",N(S652)&lt;=0,ISNUMBER(MATCH(T652,Parameter!$I$27:$I$29,0))),1,0)</f>
        <v>1</v>
      </c>
      <c r="BY652" s="53" t="n">
        <f aca="false">IF(CL652&gt;0,INDEX(Parameter!$H$5:$H$7,W652)/INDEX(Parameter!$E$5:$E$7,W652),IF(AND(BW652=0,N(IFERROR(VLOOKUP(BU652,'Gebinde-Kategorie'!$A$5:$N$45,14,0),0))&gt;0),VLOOKUP(BU652,'Gebinde-Kategorie'!$A$5:$N$45,14,0)*10+Parameter!$M$23,Parameter!$M$24))</f>
        <v>145</v>
      </c>
      <c r="BZ652" s="48" t="str">
        <f aca="false">IF(AND(Parameter!$B$19="Ja",E652&lt;&gt;"",ISNUMBER(MATCH(E652,Parameter!$I$35:$I$52,0))),VLOOKUP(E652,Parameter!$I$35:$J$52,2,0),IFERROR(VLOOKUP(D652,Parameter!$A$35:$C$64,2,0),"Nein"))</f>
        <v>2+3</v>
      </c>
      <c r="CA652" s="52" t="n">
        <f aca="false">IF(BW652=0,0,IF(N(S652)&gt;0,S652,IFERROR(VLOOKUP(D652,Parameter!$A$35:$C$64,3,0)+0,0)))</f>
        <v>0</v>
      </c>
      <c r="CB652" s="48" t="n">
        <f aca="false">IF(AA652&lt;&gt;"",AA652,Z652)</f>
        <v>2</v>
      </c>
      <c r="CC652" s="48" t="str">
        <f aca="false">IF(OR(CB652=1,CB652=2,CB652=3),IF(Parameter!$E$27="Ja","LIFT",IF(CB652=1,"L1","L23")),IF(CB652="Aussen","Aussen","-"))</f>
        <v>LIFT</v>
      </c>
      <c r="CD652" s="59" t="n">
        <f aca="false">IF(N(AB652)&gt;0,AB652,0)</f>
        <v>0</v>
      </c>
      <c r="CE652" s="53" t="n">
        <f aca="false">IF(ISNUMBER(AE652),1,0)</f>
        <v>0</v>
      </c>
      <c r="CF652" s="50" t="n">
        <f aca="false">N(AE652)</f>
        <v>0</v>
      </c>
      <c r="CG652" s="50" t="n">
        <f aca="false">N(M652)+N(N652)</f>
        <v>15</v>
      </c>
      <c r="CH652" s="50" t="n">
        <f aca="false">ROUNDUP(H652/BV652,0)</f>
        <v>0</v>
      </c>
      <c r="CI652" s="50" t="n">
        <f aca="false">ROUNDUP(CF652/BV652,0)</f>
        <v>0</v>
      </c>
      <c r="CJ652" s="53" t="n">
        <f aca="false">IF(BW652=1,0,IFERROR(VLOOKUP(BU652,'Gebinde-Kategorie'!$A$5:$N$45,5,0)+0,0))</f>
        <v>11</v>
      </c>
      <c r="CK652" s="53" t="n">
        <f aca="false">IFERROR(IF(OR(CB652=1,CB652=2,CB652=3),N(INDEX(Parameter!$I$5:$I$7,CB652)),0),0)</f>
        <v>0</v>
      </c>
      <c r="CL652" s="52" t="n">
        <f aca="false">IF(AND(Parameter!$B$21="Ja",ISNUMBER(W652),N(X652)&gt;0),IFERROR(N(INDEX(Parameter!$L$5:$L$7,W652))*INDEX(Parameter!$E$5:$E$7,W652)*X652/SUMIFS($X$7:$X$1843,$W$7:$W$1843,W652),0),0)</f>
        <v>0</v>
      </c>
    </row>
    <row r="653" customFormat="false" ht="15" hidden="false" customHeight="false" outlineLevel="0" collapsed="false">
      <c r="A653" s="48" t="s">
        <v>1324</v>
      </c>
      <c r="B653" s="48" t="s">
        <v>1325</v>
      </c>
      <c r="C653" s="48" t="s">
        <v>168</v>
      </c>
      <c r="D653" s="48" t="s">
        <v>177</v>
      </c>
      <c r="E653" s="48"/>
      <c r="F653" s="48" t="s">
        <v>222</v>
      </c>
      <c r="G653" s="49" t="n">
        <v>14462.68</v>
      </c>
      <c r="H653" s="50" t="n">
        <f aca="false">MAX(0,IF(AND(Parameter!$B$21="Ja",ISNUMBER(Y653)),Y653,IF(Parameter!$B$20="Jahresanfang 2025 + Export",BO653+BN653,BN653)))</f>
        <v>0</v>
      </c>
      <c r="I653" s="50" t="n">
        <f aca="false">H653*G653</f>
        <v>0</v>
      </c>
      <c r="J653" s="50" t="n">
        <f aca="false">BQ653*Parameter!$B$18</f>
        <v>4</v>
      </c>
      <c r="K653" s="51" t="n">
        <v>0</v>
      </c>
      <c r="L653" s="52" t="n">
        <v>0</v>
      </c>
      <c r="M653" s="50" t="n">
        <v>0</v>
      </c>
      <c r="N653" s="50" t="n">
        <v>1</v>
      </c>
      <c r="O653" s="53" t="n">
        <v>90</v>
      </c>
      <c r="P653" s="48" t="s">
        <v>172</v>
      </c>
      <c r="Q653" s="50"/>
      <c r="R653" s="53" t="n">
        <f aca="false">IF(BW653=1,0,IFERROR(VLOOKUP(BU653,'Gebinde-Kategorie'!$A$5:$N$45,13,0)+0,0))</f>
        <v>12</v>
      </c>
      <c r="S653" s="54"/>
      <c r="T653" s="55" t="s">
        <v>183</v>
      </c>
      <c r="U653" s="55"/>
      <c r="V653" s="55"/>
      <c r="W653" s="48"/>
      <c r="X653" s="50"/>
      <c r="Y653" s="50"/>
      <c r="Z653" s="48" t="n">
        <f aca="false">IF(A653="","",IF(AND(Parameter!$B$21="Ja",ISNUMBER(W653)),W653,IF(BZ653="2+3",IF(ISNUMBER(SEARCH("grosser Artikel",BR653)),2,IFERROR(VLOOKUP(BU653,Parameter!$F$35:$G$64,2,0),2)),IF(OR(BZ653="Nein",BZ653=""),"-",BZ653))))</f>
        <v>2</v>
      </c>
      <c r="AA653" s="55"/>
      <c r="AB653" s="56"/>
      <c r="AC653" s="50" t="n">
        <f aca="false">AT653</f>
        <v>4</v>
      </c>
      <c r="AD653" s="50" t="n">
        <f aca="false">MAX(AT653,H653)</f>
        <v>4</v>
      </c>
      <c r="AE653" s="57"/>
      <c r="AF653" s="50" t="n">
        <f aca="false">IF(LEFT(Cockpit!$C$5,1)="A",H653,IF(CE653=1,CF653,IF(LEFT(Cockpit!$C$5,1)="B",AK653,MAX(AK653,H653))))</f>
        <v>0</v>
      </c>
      <c r="AG653" s="50" t="n">
        <f aca="false">IF(BW653=1,0,ROUNDUP(AF653/BV653,0))</f>
        <v>0</v>
      </c>
      <c r="AH653" s="52" t="n">
        <f aca="false">IF(CL653&gt;0,CL653*MAX(1,AF653/X653),IF(BW653=1,IF(AF653&lt;=0,0,CA653*MAX(1,IF(H653&gt;0,AF653/H653,1))),IF(R653&gt;0,AG653/R653,0))/MAX(0.1,N(Parameter!$M$21)))</f>
        <v>0</v>
      </c>
      <c r="AI653" s="50" t="n">
        <f aca="false">AH653*BY653</f>
        <v>0</v>
      </c>
      <c r="AJ653" s="50" t="n">
        <f aca="false">AF653*G653</f>
        <v>0</v>
      </c>
      <c r="AK653" s="50" t="n">
        <f aca="false">ROUNDUP(MAX(J653/IF(CD653&gt;0,CD653,MAX(0.1,N(Cockpit!$C$6))),CG653)/BV653,0)*BV653</f>
        <v>4</v>
      </c>
      <c r="AL653" s="51" t="n">
        <f aca="false">IF(AI653&gt;0,J653/AI653,-1)</f>
        <v>-1</v>
      </c>
      <c r="AM653" s="51" t="str">
        <f aca="false">IF(AND(OR(CC653="L1",CC653="L23",CC653="LIFT"),AI653&gt;0),SUMIFS($AI$7:$AI$1843,$CC$7:$CC$1843,CC653,$AL$7:$AL$1843,"&gt;"&amp;AL653)+SUMIFS($AI$7:$AI$1843,$CC$7:$CC$1843,CC653,$AL$7:$AL$1843,AL653,$BT$7:$BT$1843,"&lt;="&amp;BT653),"")</f>
        <v/>
      </c>
      <c r="AN653" s="58" t="n">
        <f aca="false">IF(AM653="",0,MAX(0,MIN(1,(IF(CC653="L1",Parameter!$H$5,IF(CC653="L23",Parameter!$H$6+Parameter!$H$7,Parameter!$H$5+Parameter!$H$6+Parameter!$H$7))-(AM653-AI653))/AI653)))</f>
        <v>0</v>
      </c>
      <c r="AO653" s="50" t="n">
        <f aca="false">IF(LEFT(Cockpit!$I$5,1)="A",H653,IF(CE653=1,CF653,IF(LEFT(Cockpit!$I$5,1)="B",AT653,MAX(AT653,H653))))</f>
        <v>4</v>
      </c>
      <c r="AP653" s="50" t="n">
        <f aca="false">IF(BW653=1,0,ROUNDUP(AO653/BV653,0))</f>
        <v>1</v>
      </c>
      <c r="AQ653" s="52" t="n">
        <f aca="false">IF(CL653&gt;0,CL653*MAX(1,AO653/X653),IF(BW653=1,IF(AO653&lt;=0,0,CA653*MAX(1,IF(H653&gt;0,AO653/H653,1))),IF(R653&gt;0,AP653/R653,0))/MAX(0.1,N(Parameter!$M$21)))</f>
        <v>0.0833333333333333</v>
      </c>
      <c r="AR653" s="50" t="n">
        <f aca="false">AQ653*BY653</f>
        <v>12.0833333333333</v>
      </c>
      <c r="AS653" s="50" t="n">
        <f aca="false">AO653*G653</f>
        <v>57850.72</v>
      </c>
      <c r="AT653" s="50" t="n">
        <f aca="false">ROUNDUP(MAX(J653/IF(CD653&gt;0,CD653,MAX(0.1,N(Cockpit!$I$6))),CG653)/BV653,0)*BV653</f>
        <v>4</v>
      </c>
      <c r="AU653" s="51" t="n">
        <f aca="false">IF(AR653&gt;0,J653/AR653,-1)</f>
        <v>0.331034482758621</v>
      </c>
      <c r="AV653" s="51" t="n">
        <f aca="false">IF(AND(OR(CC653="L1",CC653="L23",CC653="LIFT"),AR653&gt;0),SUMIFS($AR$7:$AR$1843,$CC$7:$CC$1843,CC653,$AU$7:$AU$1843,"&gt;"&amp;AU653)+SUMIFS($AR$7:$AR$1843,$CC$7:$CC$1843,CC653,$AU$7:$AU$1843,AU653,$BT$7:$BT$1843,"&lt;="&amp;BT653),"")</f>
        <v>16386.396978022</v>
      </c>
      <c r="AW653" s="58" t="n">
        <f aca="false">IF(AV653="",0,MAX(0,MIN(1,(IF(CC653="L1",Parameter!$H$5,IF(CC653="L23",Parameter!$H$6+Parameter!$H$7,Parameter!$H$5+Parameter!$H$6+Parameter!$H$7))-(AV653-AR653))/AR653)))</f>
        <v>1</v>
      </c>
      <c r="AX653" s="50" t="n">
        <f aca="false">IF(LEFT(Cockpit!$O$5,1)="A",H653,IF(CE653=1,CF653,IF(LEFT(Cockpit!$O$5,1)="B",BC653,MAX(BC653,H653))))</f>
        <v>4</v>
      </c>
      <c r="AY653" s="50" t="n">
        <f aca="false">IF(BW653=1,0,ROUNDUP(AX653/BV653,0))</f>
        <v>1</v>
      </c>
      <c r="AZ653" s="52" t="n">
        <f aca="false">IF(CL653&gt;0,CL653*MAX(1,AX653/X653),IF(BW653=1,IF(AX653&lt;=0,0,CA653*MAX(1,IF(H653&gt;0,AX653/H653,1))),IF(R653&gt;0,AY653/R653,0))/MAX(0.1,N(Parameter!$M$21)))</f>
        <v>0.0833333333333333</v>
      </c>
      <c r="BA653" s="50" t="n">
        <f aca="false">AZ653*BY653</f>
        <v>12.0833333333333</v>
      </c>
      <c r="BB653" s="50" t="n">
        <f aca="false">AX653*G653</f>
        <v>57850.72</v>
      </c>
      <c r="BC653" s="50" t="n">
        <f aca="false">ROUNDUP(MAX(J653/IF(CD653&gt;0,CD653,MAX(0.1,N(Cockpit!$O$6))),CG653)/BV653,0)*BV653</f>
        <v>4</v>
      </c>
      <c r="BD653" s="51" t="n">
        <f aca="false">IF(BA653&gt;0,J653/BA653,-1)</f>
        <v>0.331034482758621</v>
      </c>
      <c r="BE653" s="51" t="n">
        <f aca="false">IF(AND(OR(CC653="L1",CC653="L23",CC653="LIFT"),BA653&gt;0),SUMIFS($BA$7:$BA$1843,$CC$7:$CC$1843,CC653,$BD$7:$BD$1843,"&gt;"&amp;BD653)+SUMIFS($BA$7:$BA$1843,$CC$7:$CC$1843,CC653,$BD$7:$BD$1843,BD653,$BT$7:$BT$1843,"&lt;="&amp;BT653),"")</f>
        <v>15137.054029304</v>
      </c>
      <c r="BF653" s="58" t="n">
        <f aca="false">IF(BE653="",0,MAX(0,MIN(1,(IF(CC653="L1",Parameter!$H$5,IF(CC653="L23",Parameter!$H$6+Parameter!$H$7,Parameter!$H$5+Parameter!$H$6+Parameter!$H$7))-(BE653-BA653))/BA653)))</f>
        <v>1</v>
      </c>
      <c r="BG653" s="48" t="str">
        <f aca="false">IF(AI653&lt;=0,"",IF(CC653="Aussen","Aussenlager",IF(CC653="-","Nicht im Lift",IF(AN653&gt;=1,"Lift",IF(AN653&lt;=0,"Aussenlager","teilweise")))))</f>
        <v/>
      </c>
      <c r="BH653" s="48" t="str">
        <f aca="false">IF(AR653&lt;=0,"",IF(CC653="Aussen","Aussenlager",IF(CC653="-","Nicht im Lift",IF(AW653&gt;=1,"Lift",IF(AW653&lt;=0,"Aussenlager","teilweise")))))</f>
        <v>Lift</v>
      </c>
      <c r="BI653" s="48" t="str">
        <f aca="false">IF(BA653&lt;=0,"",IF(CC653="Aussen","Aussenlager",IF(CC653="-","Nicht im Lift",IF(BF653&gt;=1,"Lift",IF(BF653&lt;=0,"Aussenlager","teilweise")))))</f>
        <v>Lift</v>
      </c>
      <c r="BJ653" s="48" t="str">
        <f aca="false">IF(A653="","",IF(BS653=1,"Neu; ","")&amp;IF(AND(BS653=0,BN653&lt;0),"negativer Bestand (Export "&amp;BN653&amp;"); ","")&amp;IF(J653&lt;=0,"Kein Verbrauch; ","")&amp;IF(CL653&gt;0,"Lift "&amp;W653&amp;" lt. Liftbericht (Fach "&amp;X653&amp;" Stk); ",IF(BX653=1,"Gebinde geschätzt ("&amp;T653&amp;"); ",IF(BW653=1,"Lose – Tablare geschätzt; ","")))&amp;IF(H653&gt;AT653,"Überbestand "&amp;ROUND(H653-AT653,0)&amp;" Stk / CHF "&amp;ROUND((H653-AT653)*G653,0)&amp;"; ","")&amp;IF(AND(CE653=1,CF653&lt;CG653),"MAX &lt; MB+LG; ","")&amp;IF(AND(CK653&gt;0,CJ653*10&gt;CK653),"zu hoch für Tablar; ","")&amp;IF(AND(BS653=0,OR(CE653=1,AA653&lt;&gt;"",U653&lt;&gt;"",V653&lt;&gt;"",AB653&lt;&gt;"")),"manuell übersteuert; ","")&amp;IF(AND(BW653=0,R653=0),"Gebinde unbekannt / Stellmass fehlt; ","")&amp;IF(AND(BW653=0,N(V653)&lt;=0,N(Q653)&lt;=0),"Menge pro Gebinde fehlt (Ist = 1 Gebinde); ","")&amp;BR653)</f>
        <v>Gebinde geschätzt (Mittel); Menge pro Gebinde fehlt (Ist = 1 Gebinde); </v>
      </c>
      <c r="BK653" s="48"/>
      <c r="BL653" s="48"/>
      <c r="BM653" s="55"/>
      <c r="BN653" s="50" t="n">
        <v>0</v>
      </c>
      <c r="BO653" s="50" t="n">
        <v>0</v>
      </c>
      <c r="BP653" s="49" t="n">
        <v>4.36557040517371E-013</v>
      </c>
      <c r="BQ653" s="50" t="n">
        <v>4</v>
      </c>
      <c r="BR653" s="48"/>
      <c r="BS653" s="53" t="n">
        <v>0</v>
      </c>
      <c r="BT653" s="53" t="n">
        <v>653</v>
      </c>
      <c r="BU653" s="48" t="str">
        <f aca="false">IF(U653&lt;&gt;"",UPPER(TRIM(U653)),IF(BX653=1,UPPER(VLOOKUP(T653,Parameter!$I$27:$K$29,2,0)),IF(P653="","LOSE",P653)))</f>
        <v>S61</v>
      </c>
      <c r="BV653" s="50" t="n">
        <f aca="false">IF(BU653="LOSE",1,IF(N(V653)&gt;0,V653,IF(BX653=1,MAX(1,N(VLOOKUP(T653,Parameter!$I$27:$K$29,3,0)),H653,N(N653)),IF(N(Q653)&gt;0,Q653,MAX(1,H653)))))</f>
        <v>4</v>
      </c>
      <c r="BW653" s="53" t="n">
        <f aca="false">IF(BU653="LOSE",1,0)</f>
        <v>0</v>
      </c>
      <c r="BX653" s="53" t="n">
        <f aca="false">IF(AND(U653="",OR(P653="",P653="LOSE"),T653&lt;&gt;"",N(S653)&lt;=0,ISNUMBER(MATCH(T653,Parameter!$I$27:$I$29,0))),1,0)</f>
        <v>1</v>
      </c>
      <c r="BY653" s="53" t="n">
        <f aca="false">IF(CL653&gt;0,INDEX(Parameter!$H$5:$H$7,W653)/INDEX(Parameter!$E$5:$E$7,W653),IF(AND(BW653=0,N(IFERROR(VLOOKUP(BU653,'Gebinde-Kategorie'!$A$5:$N$45,14,0),0))&gt;0),VLOOKUP(BU653,'Gebinde-Kategorie'!$A$5:$N$45,14,0)*10+Parameter!$M$23,Parameter!$M$24))</f>
        <v>145</v>
      </c>
      <c r="BZ653" s="48" t="str">
        <f aca="false">IF(AND(Parameter!$B$19="Ja",E653&lt;&gt;"",ISNUMBER(MATCH(E653,Parameter!$I$35:$I$52,0))),VLOOKUP(E653,Parameter!$I$35:$J$52,2,0),IFERROR(VLOOKUP(D653,Parameter!$A$35:$C$64,2,0),"Nein"))</f>
        <v>2+3</v>
      </c>
      <c r="CA653" s="52" t="n">
        <f aca="false">IF(BW653=0,0,IF(N(S653)&gt;0,S653,IFERROR(VLOOKUP(D653,Parameter!$A$35:$C$64,3,0)+0,0)))</f>
        <v>0</v>
      </c>
      <c r="CB653" s="48" t="n">
        <f aca="false">IF(AA653&lt;&gt;"",AA653,Z653)</f>
        <v>2</v>
      </c>
      <c r="CC653" s="48" t="str">
        <f aca="false">IF(OR(CB653=1,CB653=2,CB653=3),IF(Parameter!$E$27="Ja","LIFT",IF(CB653=1,"L1","L23")),IF(CB653="Aussen","Aussen","-"))</f>
        <v>LIFT</v>
      </c>
      <c r="CD653" s="59" t="n">
        <f aca="false">IF(N(AB653)&gt;0,AB653,0)</f>
        <v>0</v>
      </c>
      <c r="CE653" s="53" t="n">
        <f aca="false">IF(ISNUMBER(AE653),1,0)</f>
        <v>0</v>
      </c>
      <c r="CF653" s="50" t="n">
        <f aca="false">N(AE653)</f>
        <v>0</v>
      </c>
      <c r="CG653" s="50" t="n">
        <f aca="false">N(M653)+N(N653)</f>
        <v>1</v>
      </c>
      <c r="CH653" s="50" t="n">
        <f aca="false">ROUNDUP(H653/BV653,0)</f>
        <v>0</v>
      </c>
      <c r="CI653" s="50" t="n">
        <f aca="false">ROUNDUP(CF653/BV653,0)</f>
        <v>0</v>
      </c>
      <c r="CJ653" s="53" t="n">
        <f aca="false">IF(BW653=1,0,IFERROR(VLOOKUP(BU653,'Gebinde-Kategorie'!$A$5:$N$45,5,0)+0,0))</f>
        <v>11</v>
      </c>
      <c r="CK653" s="53" t="n">
        <f aca="false">IFERROR(IF(OR(CB653=1,CB653=2,CB653=3),N(INDEX(Parameter!$I$5:$I$7,CB653)),0),0)</f>
        <v>0</v>
      </c>
      <c r="CL653" s="52" t="n">
        <f aca="false">IF(AND(Parameter!$B$21="Ja",ISNUMBER(W653),N(X653)&gt;0),IFERROR(N(INDEX(Parameter!$L$5:$L$7,W653))*INDEX(Parameter!$E$5:$E$7,W653)*X653/SUMIFS($X$7:$X$1843,$W$7:$W$1843,W653),0),0)</f>
        <v>0</v>
      </c>
    </row>
    <row r="654" customFormat="false" ht="15" hidden="false" customHeight="false" outlineLevel="0" collapsed="false">
      <c r="A654" s="48" t="s">
        <v>1326</v>
      </c>
      <c r="B654" s="48" t="s">
        <v>1002</v>
      </c>
      <c r="C654" s="48" t="s">
        <v>168</v>
      </c>
      <c r="D654" s="48" t="s">
        <v>999</v>
      </c>
      <c r="E654" s="48"/>
      <c r="F654" s="48" t="s">
        <v>222</v>
      </c>
      <c r="G654" s="49" t="n">
        <v>163.77</v>
      </c>
      <c r="H654" s="50" t="n">
        <f aca="false">MAX(0,IF(AND(Parameter!$B$21="Ja",ISNUMBER(Y654)),Y654,IF(Parameter!$B$20="Jahresanfang 2025 + Export",BO654+BN654,BN654)))</f>
        <v>0</v>
      </c>
      <c r="I654" s="50" t="n">
        <f aca="false">H654*G654</f>
        <v>0</v>
      </c>
      <c r="J654" s="50" t="n">
        <f aca="false">BQ654*Parameter!$B$18</f>
        <v>8</v>
      </c>
      <c r="K654" s="51" t="n">
        <v>0</v>
      </c>
      <c r="L654" s="52" t="n">
        <v>0</v>
      </c>
      <c r="M654" s="50" t="n">
        <v>0</v>
      </c>
      <c r="N654" s="50" t="n">
        <v>1</v>
      </c>
      <c r="O654" s="53" t="n">
        <v>105</v>
      </c>
      <c r="P654" s="48" t="s">
        <v>172</v>
      </c>
      <c r="Q654" s="50"/>
      <c r="R654" s="53" t="n">
        <f aca="false">IF(BW654=1,0,IFERROR(VLOOKUP(BU654,'Gebinde-Kategorie'!$A$5:$N$45,13,0)+0,0))</f>
        <v>0</v>
      </c>
      <c r="S654" s="54"/>
      <c r="T654" s="55"/>
      <c r="U654" s="55"/>
      <c r="V654" s="55"/>
      <c r="W654" s="48"/>
      <c r="X654" s="50"/>
      <c r="Y654" s="50"/>
      <c r="Z654" s="48" t="str">
        <f aca="false">IF(A654="","",IF(AND(Parameter!$B$21="Ja",ISNUMBER(W654)),W654,IF(BZ654="2+3",IF(ISNUMBER(SEARCH("grosser Artikel",BR654)),2,IFERROR(VLOOKUP(BU654,Parameter!$F$35:$G$64,2,0),2)),IF(OR(BZ654="Nein",BZ654=""),"-",BZ654))))</f>
        <v>-</v>
      </c>
      <c r="AA654" s="55"/>
      <c r="AB654" s="56"/>
      <c r="AC654" s="50" t="n">
        <f aca="false">AT654</f>
        <v>4</v>
      </c>
      <c r="AD654" s="50" t="n">
        <f aca="false">MAX(AT654,H654)</f>
        <v>4</v>
      </c>
      <c r="AE654" s="57"/>
      <c r="AF654" s="50" t="n">
        <f aca="false">IF(LEFT(Cockpit!$C$5,1)="A",H654,IF(CE654=1,CF654,IF(LEFT(Cockpit!$C$5,1)="B",AK654,MAX(AK654,H654))))</f>
        <v>0</v>
      </c>
      <c r="AG654" s="50" t="n">
        <f aca="false">IF(BW654=1,0,ROUNDUP(AF654/BV654,0))</f>
        <v>0</v>
      </c>
      <c r="AH654" s="52" t="n">
        <f aca="false">IF(CL654&gt;0,CL654*MAX(1,AF654/X654),IF(BW654=1,IF(AF654&lt;=0,0,CA654*MAX(1,IF(H654&gt;0,AF654/H654,1))),IF(R654&gt;0,AG654/R654,0))/MAX(0.1,N(Parameter!$M$21)))</f>
        <v>0</v>
      </c>
      <c r="AI654" s="50" t="n">
        <f aca="false">AH654*BY654</f>
        <v>0</v>
      </c>
      <c r="AJ654" s="50" t="n">
        <f aca="false">AF654*G654</f>
        <v>0</v>
      </c>
      <c r="AK654" s="50" t="n">
        <f aca="false">ROUNDUP(MAX(J654/IF(CD654&gt;0,CD654,MAX(0.1,N(Cockpit!$C$6))),CG654)/BV654,0)*BV654</f>
        <v>4</v>
      </c>
      <c r="AL654" s="51" t="n">
        <f aca="false">IF(AI654&gt;0,J654/AI654,-1)</f>
        <v>-1</v>
      </c>
      <c r="AM654" s="51" t="str">
        <f aca="false">IF(AND(OR(CC654="L1",CC654="L23",CC654="LIFT"),AI654&gt;0),SUMIFS($AI$7:$AI$1843,$CC$7:$CC$1843,CC654,$AL$7:$AL$1843,"&gt;"&amp;AL654)+SUMIFS($AI$7:$AI$1843,$CC$7:$CC$1843,CC654,$AL$7:$AL$1843,AL654,$BT$7:$BT$1843,"&lt;="&amp;BT654),"")</f>
        <v/>
      </c>
      <c r="AN654" s="58" t="n">
        <f aca="false">IF(AM654="",0,MAX(0,MIN(1,(IF(CC654="L1",Parameter!$H$5,IF(CC654="L23",Parameter!$H$6+Parameter!$H$7,Parameter!$H$5+Parameter!$H$6+Parameter!$H$7))-(AM654-AI654))/AI654)))</f>
        <v>0</v>
      </c>
      <c r="AO654" s="50" t="n">
        <f aca="false">IF(LEFT(Cockpit!$I$5,1)="A",H654,IF(CE654=1,CF654,IF(LEFT(Cockpit!$I$5,1)="B",AT654,MAX(AT654,H654))))</f>
        <v>4</v>
      </c>
      <c r="AP654" s="50" t="n">
        <f aca="false">IF(BW654=1,0,ROUNDUP(AO654/BV654,0))</f>
        <v>0</v>
      </c>
      <c r="AQ654" s="52" t="n">
        <f aca="false">IF(CL654&gt;0,CL654*MAX(1,AO654/X654),IF(BW654=1,IF(AO654&lt;=0,0,CA654*MAX(1,IF(H654&gt;0,AO654/H654,1))),IF(R654&gt;0,AP654/R654,0))/MAX(0.1,N(Parameter!$M$21)))</f>
        <v>0.15</v>
      </c>
      <c r="AR654" s="50" t="n">
        <f aca="false">AQ654*BY654</f>
        <v>35.25</v>
      </c>
      <c r="AS654" s="50" t="n">
        <f aca="false">AO654*G654</f>
        <v>655.08</v>
      </c>
      <c r="AT654" s="50" t="n">
        <f aca="false">ROUNDUP(MAX(J654/IF(CD654&gt;0,CD654,MAX(0.1,N(Cockpit!$I$6))),CG654)/BV654,0)*BV654</f>
        <v>4</v>
      </c>
      <c r="AU654" s="51" t="n">
        <f aca="false">IF(AR654&gt;0,J654/AR654,-1)</f>
        <v>0.226950354609929</v>
      </c>
      <c r="AV654" s="51" t="str">
        <f aca="false">IF(AND(OR(CC654="L1",CC654="L23",CC654="LIFT"),AR654&gt;0),SUMIFS($AR$7:$AR$1843,$CC$7:$CC$1843,CC654,$AU$7:$AU$1843,"&gt;"&amp;AU654)+SUMIFS($AR$7:$AR$1843,$CC$7:$CC$1843,CC654,$AU$7:$AU$1843,AU654,$BT$7:$BT$1843,"&lt;="&amp;BT654),"")</f>
        <v/>
      </c>
      <c r="AW654" s="58" t="n">
        <f aca="false">IF(AV654="",0,MAX(0,MIN(1,(IF(CC654="L1",Parameter!$H$5,IF(CC654="L23",Parameter!$H$6+Parameter!$H$7,Parameter!$H$5+Parameter!$H$6+Parameter!$H$7))-(AV654-AR654))/AR654)))</f>
        <v>0</v>
      </c>
      <c r="AX654" s="50" t="n">
        <f aca="false">IF(LEFT(Cockpit!$O$5,1)="A",H654,IF(CE654=1,CF654,IF(LEFT(Cockpit!$O$5,1)="B",BC654,MAX(BC654,H654))))</f>
        <v>3</v>
      </c>
      <c r="AY654" s="50" t="n">
        <f aca="false">IF(BW654=1,0,ROUNDUP(AX654/BV654,0))</f>
        <v>0</v>
      </c>
      <c r="AZ654" s="52" t="n">
        <f aca="false">IF(CL654&gt;0,CL654*MAX(1,AX654/X654),IF(BW654=1,IF(AX654&lt;=0,0,CA654*MAX(1,IF(H654&gt;0,AX654/H654,1))),IF(R654&gt;0,AY654/R654,0))/MAX(0.1,N(Parameter!$M$21)))</f>
        <v>0.15</v>
      </c>
      <c r="BA654" s="50" t="n">
        <f aca="false">AZ654*BY654</f>
        <v>35.25</v>
      </c>
      <c r="BB654" s="50" t="n">
        <f aca="false">AX654*G654</f>
        <v>491.31</v>
      </c>
      <c r="BC654" s="50" t="n">
        <f aca="false">ROUNDUP(MAX(J654/IF(CD654&gt;0,CD654,MAX(0.1,N(Cockpit!$O$6))),CG654)/BV654,0)*BV654</f>
        <v>3</v>
      </c>
      <c r="BD654" s="51" t="n">
        <f aca="false">IF(BA654&gt;0,J654/BA654,-1)</f>
        <v>0.226950354609929</v>
      </c>
      <c r="BE654" s="51" t="str">
        <f aca="false">IF(AND(OR(CC654="L1",CC654="L23",CC654="LIFT"),BA654&gt;0),SUMIFS($BA$7:$BA$1843,$CC$7:$CC$1843,CC654,$BD$7:$BD$1843,"&gt;"&amp;BD654)+SUMIFS($BA$7:$BA$1843,$CC$7:$CC$1843,CC654,$BD$7:$BD$1843,BD654,$BT$7:$BT$1843,"&lt;="&amp;BT654),"")</f>
        <v/>
      </c>
      <c r="BF654" s="58" t="n">
        <f aca="false">IF(BE654="",0,MAX(0,MIN(1,(IF(CC654="L1",Parameter!$H$5,IF(CC654="L23",Parameter!$H$6+Parameter!$H$7,Parameter!$H$5+Parameter!$H$6+Parameter!$H$7))-(BE654-BA654))/BA654)))</f>
        <v>0</v>
      </c>
      <c r="BG654" s="48" t="str">
        <f aca="false">IF(AI654&lt;=0,"",IF(CC654="Aussen","Aussenlager",IF(CC654="-","Nicht im Lift",IF(AN654&gt;=1,"Lift",IF(AN654&lt;=0,"Aussenlager","teilweise")))))</f>
        <v/>
      </c>
      <c r="BH654" s="48" t="str">
        <f aca="false">IF(AR654&lt;=0,"",IF(CC654="Aussen","Aussenlager",IF(CC654="-","Nicht im Lift",IF(AW654&gt;=1,"Lift",IF(AW654&lt;=0,"Aussenlager","teilweise")))))</f>
        <v>Nicht im Lift</v>
      </c>
      <c r="BI654" s="48" t="str">
        <f aca="false">IF(BA654&lt;=0,"",IF(CC654="Aussen","Aussenlager",IF(CC654="-","Nicht im Lift",IF(BF654&gt;=1,"Lift",IF(BF654&lt;=0,"Aussenlager","teilweise")))))</f>
        <v>Nicht im Lift</v>
      </c>
      <c r="BJ654" s="48" t="str">
        <f aca="false">IF(A654="","",IF(BS654=1,"Neu; ","")&amp;IF(AND(BS654=0,BN654&lt;0),"negativer Bestand (Export "&amp;BN654&amp;"); ","")&amp;IF(J654&lt;=0,"Kein Verbrauch; ","")&amp;IF(CL654&gt;0,"Lift "&amp;W654&amp;" lt. Liftbericht (Fach "&amp;X654&amp;" Stk); ",IF(BX654=1,"Gebinde geschätzt ("&amp;T654&amp;"); ",IF(BW654=1,"Lose – Tablare geschätzt; ","")))&amp;IF(H654&gt;AT654,"Überbestand "&amp;ROUND(H654-AT654,0)&amp;" Stk / CHF "&amp;ROUND((H654-AT654)*G654,0)&amp;"; ","")&amp;IF(AND(CE654=1,CF654&lt;CG654),"MAX &lt; MB+LG; ","")&amp;IF(AND(CK654&gt;0,CJ654*10&gt;CK654),"zu hoch für Tablar; ","")&amp;IF(AND(BS654=0,OR(CE654=1,AA654&lt;&gt;"",U654&lt;&gt;"",V654&lt;&gt;"",AB654&lt;&gt;"")),"manuell übersteuert; ","")&amp;IF(AND(BW654=0,R654=0),"Gebinde unbekannt / Stellmass fehlt; ","")&amp;IF(AND(BW654=0,N(V654)&lt;=0,N(Q654)&lt;=0),"Menge pro Gebinde fehlt (Ist = 1 Gebinde); ","")&amp;BR654)</f>
        <v>Lose – Tablare geschätzt; </v>
      </c>
      <c r="BK654" s="48"/>
      <c r="BL654" s="48"/>
      <c r="BM654" s="55"/>
      <c r="BN654" s="50" t="n">
        <v>0</v>
      </c>
      <c r="BO654" s="50" t="n">
        <v>0</v>
      </c>
      <c r="BP654" s="49" t="n">
        <v>1.31877148090709E-013</v>
      </c>
      <c r="BQ654" s="50" t="n">
        <v>8</v>
      </c>
      <c r="BR654" s="48"/>
      <c r="BS654" s="53" t="n">
        <v>0</v>
      </c>
      <c r="BT654" s="53" t="n">
        <v>654</v>
      </c>
      <c r="BU654" s="48" t="str">
        <f aca="false">IF(U654&lt;&gt;"",UPPER(TRIM(U654)),IF(BX654=1,UPPER(VLOOKUP(T654,Parameter!$I$27:$K$29,2,0)),IF(P654="","LOSE",P654)))</f>
        <v>LOSE</v>
      </c>
      <c r="BV654" s="50" t="n">
        <f aca="false">IF(BU654="LOSE",1,IF(N(V654)&gt;0,V654,IF(BX654=1,MAX(1,N(VLOOKUP(T654,Parameter!$I$27:$K$29,3,0)),H654,N(N654)),IF(N(Q654)&gt;0,Q654,MAX(1,H654)))))</f>
        <v>1</v>
      </c>
      <c r="BW654" s="53" t="n">
        <f aca="false">IF(BU654="LOSE",1,0)</f>
        <v>1</v>
      </c>
      <c r="BX654" s="53" t="n">
        <f aca="false">IF(AND(U654="",OR(P654="",P654="LOSE"),T654&lt;&gt;"",N(S654)&lt;=0,ISNUMBER(MATCH(T654,Parameter!$I$27:$I$29,0))),1,0)</f>
        <v>0</v>
      </c>
      <c r="BY654" s="53" t="n">
        <f aca="false">IF(CL654&gt;0,INDEX(Parameter!$H$5:$H$7,W654)/INDEX(Parameter!$E$5:$E$7,W654),IF(AND(BW654=0,N(IFERROR(VLOOKUP(BU654,'Gebinde-Kategorie'!$A$5:$N$45,14,0),0))&gt;0),VLOOKUP(BU654,'Gebinde-Kategorie'!$A$5:$N$45,14,0)*10+Parameter!$M$23,Parameter!$M$24))</f>
        <v>235</v>
      </c>
      <c r="BZ654" s="48" t="str">
        <f aca="false">IF(AND(Parameter!$B$19="Ja",E654&lt;&gt;"",ISNUMBER(MATCH(E654,Parameter!$I$35:$I$52,0))),VLOOKUP(E654,Parameter!$I$35:$J$52,2,0),IFERROR(VLOOKUP(D654,Parameter!$A$35:$C$64,2,0),"Nein"))</f>
        <v>Nein</v>
      </c>
      <c r="CA654" s="52" t="n">
        <f aca="false">IF(BW654=0,0,IF(N(S654)&gt;0,S654,IFERROR(VLOOKUP(D654,Parameter!$A$35:$C$64,3,0)+0,0)))</f>
        <v>0.15</v>
      </c>
      <c r="CB654" s="48" t="str">
        <f aca="false">IF(AA654&lt;&gt;"",AA654,Z654)</f>
        <v>-</v>
      </c>
      <c r="CC654" s="48" t="str">
        <f aca="false">IF(OR(CB654=1,CB654=2,CB654=3),IF(Parameter!$E$27="Ja","LIFT",IF(CB654=1,"L1","L23")),IF(CB654="Aussen","Aussen","-"))</f>
        <v>-</v>
      </c>
      <c r="CD654" s="59" t="n">
        <f aca="false">IF(N(AB654)&gt;0,AB654,0)</f>
        <v>0</v>
      </c>
      <c r="CE654" s="53" t="n">
        <f aca="false">IF(ISNUMBER(AE654),1,0)</f>
        <v>0</v>
      </c>
      <c r="CF654" s="50" t="n">
        <f aca="false">N(AE654)</f>
        <v>0</v>
      </c>
      <c r="CG654" s="50" t="n">
        <f aca="false">N(M654)+N(N654)</f>
        <v>1</v>
      </c>
      <c r="CH654" s="50" t="n">
        <f aca="false">ROUNDUP(H654/BV654,0)</f>
        <v>0</v>
      </c>
      <c r="CI654" s="50" t="n">
        <f aca="false">ROUNDUP(CF654/BV654,0)</f>
        <v>0</v>
      </c>
      <c r="CJ654" s="53" t="n">
        <f aca="false">IF(BW654=1,0,IFERROR(VLOOKUP(BU654,'Gebinde-Kategorie'!$A$5:$N$45,5,0)+0,0))</f>
        <v>0</v>
      </c>
      <c r="CK654" s="53" t="n">
        <f aca="false">IFERROR(IF(OR(CB654=1,CB654=2,CB654=3),N(INDEX(Parameter!$I$5:$I$7,CB654)),0),0)</f>
        <v>0</v>
      </c>
      <c r="CL654" s="52" t="n">
        <f aca="false">IF(AND(Parameter!$B$21="Ja",ISNUMBER(W654),N(X654)&gt;0),IFERROR(N(INDEX(Parameter!$L$5:$L$7,W654))*INDEX(Parameter!$E$5:$E$7,W654)*X654/SUMIFS($X$7:$X$1843,$W$7:$W$1843,W654),0),0)</f>
        <v>0</v>
      </c>
    </row>
    <row r="655" customFormat="false" ht="15" hidden="false" customHeight="false" outlineLevel="0" collapsed="false">
      <c r="A655" s="48" t="s">
        <v>1327</v>
      </c>
      <c r="B655" s="48" t="s">
        <v>1328</v>
      </c>
      <c r="C655" s="48" t="s">
        <v>168</v>
      </c>
      <c r="D655" s="48" t="s">
        <v>188</v>
      </c>
      <c r="E655" s="48"/>
      <c r="F655" s="48" t="s">
        <v>222</v>
      </c>
      <c r="G655" s="49" t="n">
        <v>42.14</v>
      </c>
      <c r="H655" s="50" t="n">
        <f aca="false">MAX(0,IF(AND(Parameter!$B$21="Ja",ISNUMBER(Y655)),Y655,IF(Parameter!$B$20="Jahresanfang 2025 + Export",BO655+BN655,BN655)))</f>
        <v>0</v>
      </c>
      <c r="I655" s="50" t="n">
        <f aca="false">H655*G655</f>
        <v>0</v>
      </c>
      <c r="J655" s="50" t="n">
        <f aca="false">BQ655*Parameter!$B$18</f>
        <v>2</v>
      </c>
      <c r="K655" s="51" t="n">
        <v>3</v>
      </c>
      <c r="L655" s="52" t="n">
        <v>0.666666666666667</v>
      </c>
      <c r="M655" s="50" t="n">
        <v>0</v>
      </c>
      <c r="N655" s="50" t="n">
        <v>1</v>
      </c>
      <c r="O655" s="53" t="n">
        <v>21</v>
      </c>
      <c r="P655" s="48" t="s">
        <v>172</v>
      </c>
      <c r="Q655" s="50"/>
      <c r="R655" s="53" t="n">
        <f aca="false">IF(BW655=1,0,IFERROR(VLOOKUP(BU655,'Gebinde-Kategorie'!$A$5:$N$45,13,0)+0,0))</f>
        <v>26</v>
      </c>
      <c r="S655" s="54"/>
      <c r="T655" s="55" t="s">
        <v>279</v>
      </c>
      <c r="U655" s="55"/>
      <c r="V655" s="55"/>
      <c r="W655" s="48"/>
      <c r="X655" s="50"/>
      <c r="Y655" s="50"/>
      <c r="Z655" s="48" t="n">
        <f aca="false">IF(A655="","",IF(AND(Parameter!$B$21="Ja",ISNUMBER(W655)),W655,IF(BZ655="2+3",IF(ISNUMBER(SEARCH("grosser Artikel",BR655)),2,IFERROR(VLOOKUP(BU655,Parameter!$F$35:$G$64,2,0),2)),IF(OR(BZ655="Nein",BZ655=""),"-",BZ655))))</f>
        <v>3</v>
      </c>
      <c r="AA655" s="55"/>
      <c r="AB655" s="56"/>
      <c r="AC655" s="50" t="n">
        <f aca="false">AT655</f>
        <v>20</v>
      </c>
      <c r="AD655" s="50" t="n">
        <f aca="false">MAX(AT655,H655)</f>
        <v>20</v>
      </c>
      <c r="AE655" s="57"/>
      <c r="AF655" s="50" t="n">
        <f aca="false">IF(LEFT(Cockpit!$C$5,1)="A",H655,IF(CE655=1,CF655,IF(LEFT(Cockpit!$C$5,1)="B",AK655,MAX(AK655,H655))))</f>
        <v>0</v>
      </c>
      <c r="AG655" s="50" t="n">
        <f aca="false">IF(BW655=1,0,ROUNDUP(AF655/BV655,0))</f>
        <v>0</v>
      </c>
      <c r="AH655" s="52" t="n">
        <f aca="false">IF(CL655&gt;0,CL655*MAX(1,AF655/X655),IF(BW655=1,IF(AF655&lt;=0,0,CA655*MAX(1,IF(H655&gt;0,AF655/H655,1))),IF(R655&gt;0,AG655/R655,0))/MAX(0.1,N(Parameter!$M$21)))</f>
        <v>0</v>
      </c>
      <c r="AI655" s="50" t="n">
        <f aca="false">AH655*BY655</f>
        <v>0</v>
      </c>
      <c r="AJ655" s="50" t="n">
        <f aca="false">AF655*G655</f>
        <v>0</v>
      </c>
      <c r="AK655" s="50" t="n">
        <f aca="false">ROUNDUP(MAX(J655/IF(CD655&gt;0,CD655,MAX(0.1,N(Cockpit!$C$6))),CG655)/BV655,0)*BV655</f>
        <v>20</v>
      </c>
      <c r="AL655" s="51" t="n">
        <f aca="false">IF(AI655&gt;0,J655/AI655,-1)</f>
        <v>-1</v>
      </c>
      <c r="AM655" s="51" t="str">
        <f aca="false">IF(AND(OR(CC655="L1",CC655="L23",CC655="LIFT"),AI655&gt;0),SUMIFS($AI$7:$AI$1843,$CC$7:$CC$1843,CC655,$AL$7:$AL$1843,"&gt;"&amp;AL655)+SUMIFS($AI$7:$AI$1843,$CC$7:$CC$1843,CC655,$AL$7:$AL$1843,AL655,$BT$7:$BT$1843,"&lt;="&amp;BT655),"")</f>
        <v/>
      </c>
      <c r="AN655" s="58" t="n">
        <f aca="false">IF(AM655="",0,MAX(0,MIN(1,(IF(CC655="L1",Parameter!$H$5,IF(CC655="L23",Parameter!$H$6+Parameter!$H$7,Parameter!$H$5+Parameter!$H$6+Parameter!$H$7))-(AM655-AI655))/AI655)))</f>
        <v>0</v>
      </c>
      <c r="AO655" s="50" t="n">
        <f aca="false">IF(LEFT(Cockpit!$I$5,1)="A",H655,IF(CE655=1,CF655,IF(LEFT(Cockpit!$I$5,1)="B",AT655,MAX(AT655,H655))))</f>
        <v>20</v>
      </c>
      <c r="AP655" s="50" t="n">
        <f aca="false">IF(BW655=1,0,ROUNDUP(AO655/BV655,0))</f>
        <v>1</v>
      </c>
      <c r="AQ655" s="52" t="n">
        <f aca="false">IF(CL655&gt;0,CL655*MAX(1,AO655/X655),IF(BW655=1,IF(AO655&lt;=0,0,CA655*MAX(1,IF(H655&gt;0,AO655/H655,1))),IF(R655&gt;0,AP655/R655,0))/MAX(0.1,N(Parameter!$M$21)))</f>
        <v>0.0384615384615385</v>
      </c>
      <c r="AR655" s="50" t="n">
        <f aca="false">AQ655*BY655</f>
        <v>5.96153846153846</v>
      </c>
      <c r="AS655" s="50" t="n">
        <f aca="false">AO655*G655</f>
        <v>842.8</v>
      </c>
      <c r="AT655" s="50" t="n">
        <f aca="false">ROUNDUP(MAX(J655/IF(CD655&gt;0,CD655,MAX(0.1,N(Cockpit!$I$6))),CG655)/BV655,0)*BV655</f>
        <v>20</v>
      </c>
      <c r="AU655" s="51" t="n">
        <f aca="false">IF(AR655&gt;0,J655/AR655,-1)</f>
        <v>0.335483870967742</v>
      </c>
      <c r="AV655" s="51" t="n">
        <f aca="false">IF(AND(OR(CC655="L1",CC655="L23",CC655="LIFT"),AR655&gt;0),SUMIFS($AR$7:$AR$1843,$CC$7:$CC$1843,CC655,$AU$7:$AU$1843,"&gt;"&amp;AU655)+SUMIFS($AR$7:$AR$1843,$CC$7:$CC$1843,CC655,$AU$7:$AU$1843,AU655,$BT$7:$BT$1843,"&lt;="&amp;BT655),"")</f>
        <v>16305.755952381</v>
      </c>
      <c r="AW655" s="58" t="n">
        <f aca="false">IF(AV655="",0,MAX(0,MIN(1,(IF(CC655="L1",Parameter!$H$5,IF(CC655="L23",Parameter!$H$6+Parameter!$H$7,Parameter!$H$5+Parameter!$H$6+Parameter!$H$7))-(AV655-AR655))/AR655)))</f>
        <v>1</v>
      </c>
      <c r="AX655" s="50" t="n">
        <f aca="false">IF(LEFT(Cockpit!$O$5,1)="A",H655,IF(CE655=1,CF655,IF(LEFT(Cockpit!$O$5,1)="B",BC655,MAX(BC655,H655))))</f>
        <v>20</v>
      </c>
      <c r="AY655" s="50" t="n">
        <f aca="false">IF(BW655=1,0,ROUNDUP(AX655/BV655,0))</f>
        <v>1</v>
      </c>
      <c r="AZ655" s="52" t="n">
        <f aca="false">IF(CL655&gt;0,CL655*MAX(1,AX655/X655),IF(BW655=1,IF(AX655&lt;=0,0,CA655*MAX(1,IF(H655&gt;0,AX655/H655,1))),IF(R655&gt;0,AY655/R655,0))/MAX(0.1,N(Parameter!$M$21)))</f>
        <v>0.0384615384615385</v>
      </c>
      <c r="BA655" s="50" t="n">
        <f aca="false">AZ655*BY655</f>
        <v>5.96153846153846</v>
      </c>
      <c r="BB655" s="50" t="n">
        <f aca="false">AX655*G655</f>
        <v>842.8</v>
      </c>
      <c r="BC655" s="50" t="n">
        <f aca="false">ROUNDUP(MAX(J655/IF(CD655&gt;0,CD655,MAX(0.1,N(Cockpit!$O$6))),CG655)/BV655,0)*BV655</f>
        <v>20</v>
      </c>
      <c r="BD655" s="51" t="n">
        <f aca="false">IF(BA655&gt;0,J655/BA655,-1)</f>
        <v>0.335483870967742</v>
      </c>
      <c r="BE655" s="51" t="n">
        <f aca="false">IF(AND(OR(CC655="L1",CC655="L23",CC655="LIFT"),BA655&gt;0),SUMIFS($BA$7:$BA$1843,$CC$7:$CC$1843,CC655,$BD$7:$BD$1843,"&gt;"&amp;BD655)+SUMIFS($BA$7:$BA$1843,$CC$7:$CC$1843,CC655,$BD$7:$BD$1843,BD655,$BT$7:$BT$1843,"&lt;="&amp;BT655),"")</f>
        <v>15056.413003663</v>
      </c>
      <c r="BF655" s="58" t="n">
        <f aca="false">IF(BE655="",0,MAX(0,MIN(1,(IF(CC655="L1",Parameter!$H$5,IF(CC655="L23",Parameter!$H$6+Parameter!$H$7,Parameter!$H$5+Parameter!$H$6+Parameter!$H$7))-(BE655-BA655))/BA655)))</f>
        <v>1</v>
      </c>
      <c r="BG655" s="48" t="str">
        <f aca="false">IF(AI655&lt;=0,"",IF(CC655="Aussen","Aussenlager",IF(CC655="-","Nicht im Lift",IF(AN655&gt;=1,"Lift",IF(AN655&lt;=0,"Aussenlager","teilweise")))))</f>
        <v/>
      </c>
      <c r="BH655" s="48" t="str">
        <f aca="false">IF(AR655&lt;=0,"",IF(CC655="Aussen","Aussenlager",IF(CC655="-","Nicht im Lift",IF(AW655&gt;=1,"Lift",IF(AW655&lt;=0,"Aussenlager","teilweise")))))</f>
        <v>Lift</v>
      </c>
      <c r="BI655" s="48" t="str">
        <f aca="false">IF(BA655&lt;=0,"",IF(CC655="Aussen","Aussenlager",IF(CC655="-","Nicht im Lift",IF(BF655&gt;=1,"Lift",IF(BF655&lt;=0,"Aussenlager","teilweise")))))</f>
        <v>Lift</v>
      </c>
      <c r="BJ655" s="48" t="str">
        <f aca="false">IF(A655="","",IF(BS655=1,"Neu; ","")&amp;IF(AND(BS655=0,BN655&lt;0),"negativer Bestand (Export "&amp;BN655&amp;"); ","")&amp;IF(J655&lt;=0,"Kein Verbrauch; ","")&amp;IF(CL655&gt;0,"Lift "&amp;W655&amp;" lt. Liftbericht (Fach "&amp;X655&amp;" Stk); ",IF(BX655=1,"Gebinde geschätzt ("&amp;T655&amp;"); ",IF(BW655=1,"Lose – Tablare geschätzt; ","")))&amp;IF(H655&gt;AT655,"Überbestand "&amp;ROUND(H655-AT655,0)&amp;" Stk / CHF "&amp;ROUND((H655-AT655)*G655,0)&amp;"; ","")&amp;IF(AND(CE655=1,CF655&lt;CG655),"MAX &lt; MB+LG; ","")&amp;IF(AND(CK655&gt;0,CJ655*10&gt;CK655),"zu hoch für Tablar; ","")&amp;IF(AND(BS655=0,OR(CE655=1,AA655&lt;&gt;"",U655&lt;&gt;"",V655&lt;&gt;"",AB655&lt;&gt;"")),"manuell übersteuert; ","")&amp;IF(AND(BW655=0,R655=0),"Gebinde unbekannt / Stellmass fehlt; ","")&amp;IF(AND(BW655=0,N(V655)&lt;=0,N(Q655)&lt;=0),"Menge pro Gebinde fehlt (Ist = 1 Gebinde); ","")&amp;BR655)</f>
        <v>Gebinde geschätzt (Klein); Menge pro Gebinde fehlt (Ist = 1 Gebinde); </v>
      </c>
      <c r="BK655" s="48"/>
      <c r="BL655" s="48"/>
      <c r="BM655" s="55"/>
      <c r="BN655" s="50" t="n">
        <v>0</v>
      </c>
      <c r="BO655" s="50" t="n">
        <v>0</v>
      </c>
      <c r="BP655" s="49" t="n">
        <v>1.13686837721616E-013</v>
      </c>
      <c r="BQ655" s="50" t="n">
        <v>2</v>
      </c>
      <c r="BR655" s="48"/>
      <c r="BS655" s="53" t="n">
        <v>0</v>
      </c>
      <c r="BT655" s="53" t="n">
        <v>655</v>
      </c>
      <c r="BU655" s="48" t="str">
        <f aca="false">IF(U655&lt;&gt;"",UPPER(TRIM(U655)),IF(BX655=1,UPPER(VLOOKUP(T655,Parameter!$I$27:$K$29,2,0)),IF(P655="","LOSE",P655)))</f>
        <v>S51</v>
      </c>
      <c r="BV655" s="50" t="n">
        <f aca="false">IF(BU655="LOSE",1,IF(N(V655)&gt;0,V655,IF(BX655=1,MAX(1,N(VLOOKUP(T655,Parameter!$I$27:$K$29,3,0)),H655,N(N655)),IF(N(Q655)&gt;0,Q655,MAX(1,H655)))))</f>
        <v>20</v>
      </c>
      <c r="BW655" s="53" t="n">
        <f aca="false">IF(BU655="LOSE",1,0)</f>
        <v>0</v>
      </c>
      <c r="BX655" s="53" t="n">
        <f aca="false">IF(AND(U655="",OR(P655="",P655="LOSE"),T655&lt;&gt;"",N(S655)&lt;=0,ISNUMBER(MATCH(T655,Parameter!$I$27:$I$29,0))),1,0)</f>
        <v>1</v>
      </c>
      <c r="BY655" s="53" t="n">
        <f aca="false">IF(CL655&gt;0,INDEX(Parameter!$H$5:$H$7,W655)/INDEX(Parameter!$E$5:$E$7,W655),IF(AND(BW655=0,N(IFERROR(VLOOKUP(BU655,'Gebinde-Kategorie'!$A$5:$N$45,14,0),0))&gt;0),VLOOKUP(BU655,'Gebinde-Kategorie'!$A$5:$N$45,14,0)*10+Parameter!$M$23,Parameter!$M$24))</f>
        <v>155</v>
      </c>
      <c r="BZ655" s="48" t="str">
        <f aca="false">IF(AND(Parameter!$B$19="Ja",E655&lt;&gt;"",ISNUMBER(MATCH(E655,Parameter!$I$35:$I$52,0))),VLOOKUP(E655,Parameter!$I$35:$J$52,2,0),IFERROR(VLOOKUP(D655,Parameter!$A$35:$C$64,2,0),"Nein"))</f>
        <v>2+3</v>
      </c>
      <c r="CA655" s="52" t="n">
        <f aca="false">IF(BW655=0,0,IF(N(S655)&gt;0,S655,IFERROR(VLOOKUP(D655,Parameter!$A$35:$C$64,3,0)+0,0)))</f>
        <v>0</v>
      </c>
      <c r="CB655" s="48" t="n">
        <f aca="false">IF(AA655&lt;&gt;"",AA655,Z655)</f>
        <v>3</v>
      </c>
      <c r="CC655" s="48" t="str">
        <f aca="false">IF(OR(CB655=1,CB655=2,CB655=3),IF(Parameter!$E$27="Ja","LIFT",IF(CB655=1,"L1","L23")),IF(CB655="Aussen","Aussen","-"))</f>
        <v>LIFT</v>
      </c>
      <c r="CD655" s="59" t="n">
        <f aca="false">IF(N(AB655)&gt;0,AB655,0)</f>
        <v>0</v>
      </c>
      <c r="CE655" s="53" t="n">
        <f aca="false">IF(ISNUMBER(AE655),1,0)</f>
        <v>0</v>
      </c>
      <c r="CF655" s="50" t="n">
        <f aca="false">N(AE655)</f>
        <v>0</v>
      </c>
      <c r="CG655" s="50" t="n">
        <f aca="false">N(M655)+N(N655)</f>
        <v>1</v>
      </c>
      <c r="CH655" s="50" t="n">
        <f aca="false">ROUNDUP(H655/BV655,0)</f>
        <v>0</v>
      </c>
      <c r="CI655" s="50" t="n">
        <f aca="false">ROUNDUP(CF655/BV655,0)</f>
        <v>0</v>
      </c>
      <c r="CJ655" s="53" t="n">
        <f aca="false">IF(BW655=1,0,IFERROR(VLOOKUP(BU655,'Gebinde-Kategorie'!$A$5:$N$45,5,0)+0,0))</f>
        <v>11</v>
      </c>
      <c r="CK655" s="53" t="n">
        <f aca="false">IFERROR(IF(OR(CB655=1,CB655=2,CB655=3),N(INDEX(Parameter!$I$5:$I$7,CB655)),0),0)</f>
        <v>0</v>
      </c>
      <c r="CL655" s="52" t="n">
        <f aca="false">IF(AND(Parameter!$B$21="Ja",ISNUMBER(W655),N(X655)&gt;0),IFERROR(N(INDEX(Parameter!$L$5:$L$7,W655))*INDEX(Parameter!$E$5:$E$7,W655)*X655/SUMIFS($X$7:$X$1843,$W$7:$W$1843,W655),0),0)</f>
        <v>0</v>
      </c>
    </row>
    <row r="656" customFormat="false" ht="15" hidden="false" customHeight="false" outlineLevel="0" collapsed="false">
      <c r="A656" s="48" t="s">
        <v>1329</v>
      </c>
      <c r="B656" s="48" t="s">
        <v>513</v>
      </c>
      <c r="C656" s="48" t="s">
        <v>168</v>
      </c>
      <c r="D656" s="48" t="s">
        <v>177</v>
      </c>
      <c r="E656" s="48" t="s">
        <v>177</v>
      </c>
      <c r="F656" s="48" t="s">
        <v>222</v>
      </c>
      <c r="G656" s="49" t="n">
        <v>444.6</v>
      </c>
      <c r="H656" s="50" t="n">
        <f aca="false">MAX(0,IF(AND(Parameter!$B$21="Ja",ISNUMBER(Y656)),Y656,IF(Parameter!$B$20="Jahresanfang 2025 + Export",BO656+BN656,BN656)))</f>
        <v>0</v>
      </c>
      <c r="I656" s="50" t="n">
        <f aca="false">H656*G656</f>
        <v>0</v>
      </c>
      <c r="J656" s="50" t="n">
        <f aca="false">BQ656*Parameter!$B$18</f>
        <v>2</v>
      </c>
      <c r="K656" s="51" t="n">
        <v>0</v>
      </c>
      <c r="L656" s="52" t="n">
        <v>0</v>
      </c>
      <c r="M656" s="50" t="n">
        <v>0</v>
      </c>
      <c r="N656" s="50" t="n">
        <v>1</v>
      </c>
      <c r="O656" s="53" t="n">
        <v>42</v>
      </c>
      <c r="P656" s="48" t="s">
        <v>172</v>
      </c>
      <c r="Q656" s="50"/>
      <c r="R656" s="53" t="n">
        <f aca="false">IF(BW656=1,0,IFERROR(VLOOKUP(BU656,'Gebinde-Kategorie'!$A$5:$N$45,13,0)+0,0))</f>
        <v>12</v>
      </c>
      <c r="S656" s="54"/>
      <c r="T656" s="55" t="s">
        <v>183</v>
      </c>
      <c r="U656" s="55"/>
      <c r="V656" s="55"/>
      <c r="W656" s="48"/>
      <c r="X656" s="50"/>
      <c r="Y656" s="50"/>
      <c r="Z656" s="48" t="str">
        <f aca="false">IF(A656="","",IF(AND(Parameter!$B$21="Ja",ISNUMBER(W656)),W656,IF(BZ656="2+3",IF(ISNUMBER(SEARCH("grosser Artikel",BR656)),2,IFERROR(VLOOKUP(BU656,Parameter!$F$35:$G$64,2,0),2)),IF(OR(BZ656="Nein",BZ656=""),"-",BZ656))))</f>
        <v>-</v>
      </c>
      <c r="AA656" s="55"/>
      <c r="AB656" s="56"/>
      <c r="AC656" s="50" t="n">
        <f aca="false">AT656</f>
        <v>4</v>
      </c>
      <c r="AD656" s="50" t="n">
        <f aca="false">MAX(AT656,H656)</f>
        <v>4</v>
      </c>
      <c r="AE656" s="57"/>
      <c r="AF656" s="50" t="n">
        <f aca="false">IF(LEFT(Cockpit!$C$5,1)="A",H656,IF(CE656=1,CF656,IF(LEFT(Cockpit!$C$5,1)="B",AK656,MAX(AK656,H656))))</f>
        <v>0</v>
      </c>
      <c r="AG656" s="50" t="n">
        <f aca="false">IF(BW656=1,0,ROUNDUP(AF656/BV656,0))</f>
        <v>0</v>
      </c>
      <c r="AH656" s="52" t="n">
        <f aca="false">IF(CL656&gt;0,CL656*MAX(1,AF656/X656),IF(BW656=1,IF(AF656&lt;=0,0,CA656*MAX(1,IF(H656&gt;0,AF656/H656,1))),IF(R656&gt;0,AG656/R656,0))/MAX(0.1,N(Parameter!$M$21)))</f>
        <v>0</v>
      </c>
      <c r="AI656" s="50" t="n">
        <f aca="false">AH656*BY656</f>
        <v>0</v>
      </c>
      <c r="AJ656" s="50" t="n">
        <f aca="false">AF656*G656</f>
        <v>0</v>
      </c>
      <c r="AK656" s="50" t="n">
        <f aca="false">ROUNDUP(MAX(J656/IF(CD656&gt;0,CD656,MAX(0.1,N(Cockpit!$C$6))),CG656)/BV656,0)*BV656</f>
        <v>4</v>
      </c>
      <c r="AL656" s="51" t="n">
        <f aca="false">IF(AI656&gt;0,J656/AI656,-1)</f>
        <v>-1</v>
      </c>
      <c r="AM656" s="51" t="str">
        <f aca="false">IF(AND(OR(CC656="L1",CC656="L23",CC656="LIFT"),AI656&gt;0),SUMIFS($AI$7:$AI$1843,$CC$7:$CC$1843,CC656,$AL$7:$AL$1843,"&gt;"&amp;AL656)+SUMIFS($AI$7:$AI$1843,$CC$7:$CC$1843,CC656,$AL$7:$AL$1843,AL656,$BT$7:$BT$1843,"&lt;="&amp;BT656),"")</f>
        <v/>
      </c>
      <c r="AN656" s="58" t="n">
        <f aca="false">IF(AM656="",0,MAX(0,MIN(1,(IF(CC656="L1",Parameter!$H$5,IF(CC656="L23",Parameter!$H$6+Parameter!$H$7,Parameter!$H$5+Parameter!$H$6+Parameter!$H$7))-(AM656-AI656))/AI656)))</f>
        <v>0</v>
      </c>
      <c r="AO656" s="50" t="n">
        <f aca="false">IF(LEFT(Cockpit!$I$5,1)="A",H656,IF(CE656=1,CF656,IF(LEFT(Cockpit!$I$5,1)="B",AT656,MAX(AT656,H656))))</f>
        <v>4</v>
      </c>
      <c r="AP656" s="50" t="n">
        <f aca="false">IF(BW656=1,0,ROUNDUP(AO656/BV656,0))</f>
        <v>1</v>
      </c>
      <c r="AQ656" s="52" t="n">
        <f aca="false">IF(CL656&gt;0,CL656*MAX(1,AO656/X656),IF(BW656=1,IF(AO656&lt;=0,0,CA656*MAX(1,IF(H656&gt;0,AO656/H656,1))),IF(R656&gt;0,AP656/R656,0))/MAX(0.1,N(Parameter!$M$21)))</f>
        <v>0.0833333333333333</v>
      </c>
      <c r="AR656" s="50" t="n">
        <f aca="false">AQ656*BY656</f>
        <v>12.0833333333333</v>
      </c>
      <c r="AS656" s="50" t="n">
        <f aca="false">AO656*G656</f>
        <v>1778.4</v>
      </c>
      <c r="AT656" s="50" t="n">
        <f aca="false">ROUNDUP(MAX(J656/IF(CD656&gt;0,CD656,MAX(0.1,N(Cockpit!$I$6))),CG656)/BV656,0)*BV656</f>
        <v>4</v>
      </c>
      <c r="AU656" s="51" t="n">
        <f aca="false">IF(AR656&gt;0,J656/AR656,-1)</f>
        <v>0.16551724137931</v>
      </c>
      <c r="AV656" s="51" t="str">
        <f aca="false">IF(AND(OR(CC656="L1",CC656="L23",CC656="LIFT"),AR656&gt;0),SUMIFS($AR$7:$AR$1843,$CC$7:$CC$1843,CC656,$AU$7:$AU$1843,"&gt;"&amp;AU656)+SUMIFS($AR$7:$AR$1843,$CC$7:$CC$1843,CC656,$AU$7:$AU$1843,AU656,$BT$7:$BT$1843,"&lt;="&amp;BT656),"")</f>
        <v/>
      </c>
      <c r="AW656" s="58" t="n">
        <f aca="false">IF(AV656="",0,MAX(0,MIN(1,(IF(CC656="L1",Parameter!$H$5,IF(CC656="L23",Parameter!$H$6+Parameter!$H$7,Parameter!$H$5+Parameter!$H$6+Parameter!$H$7))-(AV656-AR656))/AR656)))</f>
        <v>0</v>
      </c>
      <c r="AX656" s="50" t="n">
        <f aca="false">IF(LEFT(Cockpit!$O$5,1)="A",H656,IF(CE656=1,CF656,IF(LEFT(Cockpit!$O$5,1)="B",BC656,MAX(BC656,H656))))</f>
        <v>4</v>
      </c>
      <c r="AY656" s="50" t="n">
        <f aca="false">IF(BW656=1,0,ROUNDUP(AX656/BV656,0))</f>
        <v>1</v>
      </c>
      <c r="AZ656" s="52" t="n">
        <f aca="false">IF(CL656&gt;0,CL656*MAX(1,AX656/X656),IF(BW656=1,IF(AX656&lt;=0,0,CA656*MAX(1,IF(H656&gt;0,AX656/H656,1))),IF(R656&gt;0,AY656/R656,0))/MAX(0.1,N(Parameter!$M$21)))</f>
        <v>0.0833333333333333</v>
      </c>
      <c r="BA656" s="50" t="n">
        <f aca="false">AZ656*BY656</f>
        <v>12.0833333333333</v>
      </c>
      <c r="BB656" s="50" t="n">
        <f aca="false">AX656*G656</f>
        <v>1778.4</v>
      </c>
      <c r="BC656" s="50" t="n">
        <f aca="false">ROUNDUP(MAX(J656/IF(CD656&gt;0,CD656,MAX(0.1,N(Cockpit!$O$6))),CG656)/BV656,0)*BV656</f>
        <v>4</v>
      </c>
      <c r="BD656" s="51" t="n">
        <f aca="false">IF(BA656&gt;0,J656/BA656,-1)</f>
        <v>0.16551724137931</v>
      </c>
      <c r="BE656" s="51" t="str">
        <f aca="false">IF(AND(OR(CC656="L1",CC656="L23",CC656="LIFT"),BA656&gt;0),SUMIFS($BA$7:$BA$1843,$CC$7:$CC$1843,CC656,$BD$7:$BD$1843,"&gt;"&amp;BD656)+SUMIFS($BA$7:$BA$1843,$CC$7:$CC$1843,CC656,$BD$7:$BD$1843,BD656,$BT$7:$BT$1843,"&lt;="&amp;BT656),"")</f>
        <v/>
      </c>
      <c r="BF656" s="58" t="n">
        <f aca="false">IF(BE656="",0,MAX(0,MIN(1,(IF(CC656="L1",Parameter!$H$5,IF(CC656="L23",Parameter!$H$6+Parameter!$H$7,Parameter!$H$5+Parameter!$H$6+Parameter!$H$7))-(BE656-BA656))/BA656)))</f>
        <v>0</v>
      </c>
      <c r="BG656" s="48" t="str">
        <f aca="false">IF(AI656&lt;=0,"",IF(CC656="Aussen","Aussenlager",IF(CC656="-","Nicht im Lift",IF(AN656&gt;=1,"Lift",IF(AN656&lt;=0,"Aussenlager","teilweise")))))</f>
        <v/>
      </c>
      <c r="BH656" s="48" t="str">
        <f aca="false">IF(AR656&lt;=0,"",IF(CC656="Aussen","Aussenlager",IF(CC656="-","Nicht im Lift",IF(AW656&gt;=1,"Lift",IF(AW656&lt;=0,"Aussenlager","teilweise")))))</f>
        <v>Nicht im Lift</v>
      </c>
      <c r="BI656" s="48" t="str">
        <f aca="false">IF(BA656&lt;=0,"",IF(CC656="Aussen","Aussenlager",IF(CC656="-","Nicht im Lift",IF(BF656&gt;=1,"Lift",IF(BF656&lt;=0,"Aussenlager","teilweise")))))</f>
        <v>Nicht im Lift</v>
      </c>
      <c r="BJ656" s="48" t="str">
        <f aca="false">IF(A656="","",IF(BS656=1,"Neu; ","")&amp;IF(AND(BS656=0,BN656&lt;0),"negativer Bestand (Export "&amp;BN656&amp;"); ","")&amp;IF(J656&lt;=0,"Kein Verbrauch; ","")&amp;IF(CL656&gt;0,"Lift "&amp;W656&amp;" lt. Liftbericht (Fach "&amp;X656&amp;" Stk); ",IF(BX656=1,"Gebinde geschätzt ("&amp;T656&amp;"); ",IF(BW656=1,"Lose – Tablare geschätzt; ","")))&amp;IF(H656&gt;AT656,"Überbestand "&amp;ROUND(H656-AT656,0)&amp;" Stk / CHF "&amp;ROUND((H656-AT656)*G656,0)&amp;"; ","")&amp;IF(AND(CE656=1,CF656&lt;CG656),"MAX &lt; MB+LG; ","")&amp;IF(AND(CK656&gt;0,CJ656*10&gt;CK656),"zu hoch für Tablar; ","")&amp;IF(AND(BS656=0,OR(CE656=1,AA656&lt;&gt;"",U656&lt;&gt;"",V656&lt;&gt;"",AB656&lt;&gt;"")),"manuell übersteuert; ","")&amp;IF(AND(BW656=0,R656=0),"Gebinde unbekannt / Stellmass fehlt; ","")&amp;IF(AND(BW656=0,N(V656)&lt;=0,N(Q656)&lt;=0),"Menge pro Gebinde fehlt (Ist = 1 Gebinde); ","")&amp;BR656)</f>
        <v>Gebinde geschätzt (Mittel); Menge pro Gebinde fehlt (Ist = 1 Gebinde); </v>
      </c>
      <c r="BK656" s="48"/>
      <c r="BL656" s="48"/>
      <c r="BM656" s="55"/>
      <c r="BN656" s="50" t="n">
        <v>0</v>
      </c>
      <c r="BO656" s="50" t="n">
        <v>0</v>
      </c>
      <c r="BP656" s="49" t="n">
        <v>1.13686837721616E-013</v>
      </c>
      <c r="BQ656" s="50" t="n">
        <v>2</v>
      </c>
      <c r="BR656" s="48"/>
      <c r="BS656" s="53" t="n">
        <v>0</v>
      </c>
      <c r="BT656" s="53" t="n">
        <v>656</v>
      </c>
      <c r="BU656" s="48" t="str">
        <f aca="false">IF(U656&lt;&gt;"",UPPER(TRIM(U656)),IF(BX656=1,UPPER(VLOOKUP(T656,Parameter!$I$27:$K$29,2,0)),IF(P656="","LOSE",P656)))</f>
        <v>S61</v>
      </c>
      <c r="BV656" s="50" t="n">
        <f aca="false">IF(BU656="LOSE",1,IF(N(V656)&gt;0,V656,IF(BX656=1,MAX(1,N(VLOOKUP(T656,Parameter!$I$27:$K$29,3,0)),H656,N(N656)),IF(N(Q656)&gt;0,Q656,MAX(1,H656)))))</f>
        <v>4</v>
      </c>
      <c r="BW656" s="53" t="n">
        <f aca="false">IF(BU656="LOSE",1,0)</f>
        <v>0</v>
      </c>
      <c r="BX656" s="53" t="n">
        <f aca="false">IF(AND(U656="",OR(P656="",P656="LOSE"),T656&lt;&gt;"",N(S656)&lt;=0,ISNUMBER(MATCH(T656,Parameter!$I$27:$I$29,0))),1,0)</f>
        <v>1</v>
      </c>
      <c r="BY656" s="53" t="n">
        <f aca="false">IF(CL656&gt;0,INDEX(Parameter!$H$5:$H$7,W656)/INDEX(Parameter!$E$5:$E$7,W656),IF(AND(BW656=0,N(IFERROR(VLOOKUP(BU656,'Gebinde-Kategorie'!$A$5:$N$45,14,0),0))&gt;0),VLOOKUP(BU656,'Gebinde-Kategorie'!$A$5:$N$45,14,0)*10+Parameter!$M$23,Parameter!$M$24))</f>
        <v>145</v>
      </c>
      <c r="BZ656" s="48" t="str">
        <f aca="false">IF(AND(Parameter!$B$19="Ja",E656&lt;&gt;"",ISNUMBER(MATCH(E656,Parameter!$I$35:$I$52,0))),VLOOKUP(E656,Parameter!$I$35:$J$52,2,0),IFERROR(VLOOKUP(D656,Parameter!$A$35:$C$64,2,0),"Nein"))</f>
        <v>Nein</v>
      </c>
      <c r="CA656" s="52" t="n">
        <f aca="false">IF(BW656=0,0,IF(N(S656)&gt;0,S656,IFERROR(VLOOKUP(D656,Parameter!$A$35:$C$64,3,0)+0,0)))</f>
        <v>0</v>
      </c>
      <c r="CB656" s="48" t="str">
        <f aca="false">IF(AA656&lt;&gt;"",AA656,Z656)</f>
        <v>-</v>
      </c>
      <c r="CC656" s="48" t="str">
        <f aca="false">IF(OR(CB656=1,CB656=2,CB656=3),IF(Parameter!$E$27="Ja","LIFT",IF(CB656=1,"L1","L23")),IF(CB656="Aussen","Aussen","-"))</f>
        <v>-</v>
      </c>
      <c r="CD656" s="59" t="n">
        <f aca="false">IF(N(AB656)&gt;0,AB656,0)</f>
        <v>0</v>
      </c>
      <c r="CE656" s="53" t="n">
        <f aca="false">IF(ISNUMBER(AE656),1,0)</f>
        <v>0</v>
      </c>
      <c r="CF656" s="50" t="n">
        <f aca="false">N(AE656)</f>
        <v>0</v>
      </c>
      <c r="CG656" s="50" t="n">
        <f aca="false">N(M656)+N(N656)</f>
        <v>1</v>
      </c>
      <c r="CH656" s="50" t="n">
        <f aca="false">ROUNDUP(H656/BV656,0)</f>
        <v>0</v>
      </c>
      <c r="CI656" s="50" t="n">
        <f aca="false">ROUNDUP(CF656/BV656,0)</f>
        <v>0</v>
      </c>
      <c r="CJ656" s="53" t="n">
        <f aca="false">IF(BW656=1,0,IFERROR(VLOOKUP(BU656,'Gebinde-Kategorie'!$A$5:$N$45,5,0)+0,0))</f>
        <v>11</v>
      </c>
      <c r="CK656" s="53" t="n">
        <f aca="false">IFERROR(IF(OR(CB656=1,CB656=2,CB656=3),N(INDEX(Parameter!$I$5:$I$7,CB656)),0),0)</f>
        <v>0</v>
      </c>
      <c r="CL656" s="52" t="n">
        <f aca="false">IF(AND(Parameter!$B$21="Ja",ISNUMBER(W656),N(X656)&gt;0),IFERROR(N(INDEX(Parameter!$L$5:$L$7,W656))*INDEX(Parameter!$E$5:$E$7,W656)*X656/SUMIFS($X$7:$X$1843,$W$7:$W$1843,W656),0),0)</f>
        <v>0</v>
      </c>
    </row>
    <row r="657" customFormat="false" ht="15" hidden="false" customHeight="false" outlineLevel="0" collapsed="false">
      <c r="A657" s="48" t="s">
        <v>1330</v>
      </c>
      <c r="B657" s="48" t="s">
        <v>702</v>
      </c>
      <c r="C657" s="48" t="s">
        <v>168</v>
      </c>
      <c r="D657" s="48" t="s">
        <v>177</v>
      </c>
      <c r="E657" s="48" t="s">
        <v>177</v>
      </c>
      <c r="F657" s="48" t="s">
        <v>222</v>
      </c>
      <c r="G657" s="49" t="n">
        <v>444.6</v>
      </c>
      <c r="H657" s="50" t="n">
        <f aca="false">MAX(0,IF(AND(Parameter!$B$21="Ja",ISNUMBER(Y657)),Y657,IF(Parameter!$B$20="Jahresanfang 2025 + Export",BO657+BN657,BN657)))</f>
        <v>0</v>
      </c>
      <c r="I657" s="50" t="n">
        <f aca="false">H657*G657</f>
        <v>0</v>
      </c>
      <c r="J657" s="50" t="n">
        <f aca="false">BQ657*Parameter!$B$18</f>
        <v>2</v>
      </c>
      <c r="K657" s="51" t="n">
        <v>0</v>
      </c>
      <c r="L657" s="52" t="n">
        <v>0</v>
      </c>
      <c r="M657" s="50" t="n">
        <v>0</v>
      </c>
      <c r="N657" s="50" t="n">
        <v>1</v>
      </c>
      <c r="O657" s="53" t="n">
        <v>42</v>
      </c>
      <c r="P657" s="48" t="s">
        <v>172</v>
      </c>
      <c r="Q657" s="50"/>
      <c r="R657" s="53" t="n">
        <f aca="false">IF(BW657=1,0,IFERROR(VLOOKUP(BU657,'Gebinde-Kategorie'!$A$5:$N$45,13,0)+0,0))</f>
        <v>12</v>
      </c>
      <c r="S657" s="54"/>
      <c r="T657" s="55" t="s">
        <v>183</v>
      </c>
      <c r="U657" s="55"/>
      <c r="V657" s="55"/>
      <c r="W657" s="48"/>
      <c r="X657" s="50"/>
      <c r="Y657" s="50"/>
      <c r="Z657" s="48" t="str">
        <f aca="false">IF(A657="","",IF(AND(Parameter!$B$21="Ja",ISNUMBER(W657)),W657,IF(BZ657="2+3",IF(ISNUMBER(SEARCH("grosser Artikel",BR657)),2,IFERROR(VLOOKUP(BU657,Parameter!$F$35:$G$64,2,0),2)),IF(OR(BZ657="Nein",BZ657=""),"-",BZ657))))</f>
        <v>-</v>
      </c>
      <c r="AA657" s="55"/>
      <c r="AB657" s="56"/>
      <c r="AC657" s="50" t="n">
        <f aca="false">AT657</f>
        <v>4</v>
      </c>
      <c r="AD657" s="50" t="n">
        <f aca="false">MAX(AT657,H657)</f>
        <v>4</v>
      </c>
      <c r="AE657" s="57"/>
      <c r="AF657" s="50" t="n">
        <f aca="false">IF(LEFT(Cockpit!$C$5,1)="A",H657,IF(CE657=1,CF657,IF(LEFT(Cockpit!$C$5,1)="B",AK657,MAX(AK657,H657))))</f>
        <v>0</v>
      </c>
      <c r="AG657" s="50" t="n">
        <f aca="false">IF(BW657=1,0,ROUNDUP(AF657/BV657,0))</f>
        <v>0</v>
      </c>
      <c r="AH657" s="52" t="n">
        <f aca="false">IF(CL657&gt;0,CL657*MAX(1,AF657/X657),IF(BW657=1,IF(AF657&lt;=0,0,CA657*MAX(1,IF(H657&gt;0,AF657/H657,1))),IF(R657&gt;0,AG657/R657,0))/MAX(0.1,N(Parameter!$M$21)))</f>
        <v>0</v>
      </c>
      <c r="AI657" s="50" t="n">
        <f aca="false">AH657*BY657</f>
        <v>0</v>
      </c>
      <c r="AJ657" s="50" t="n">
        <f aca="false">AF657*G657</f>
        <v>0</v>
      </c>
      <c r="AK657" s="50" t="n">
        <f aca="false">ROUNDUP(MAX(J657/IF(CD657&gt;0,CD657,MAX(0.1,N(Cockpit!$C$6))),CG657)/BV657,0)*BV657</f>
        <v>4</v>
      </c>
      <c r="AL657" s="51" t="n">
        <f aca="false">IF(AI657&gt;0,J657/AI657,-1)</f>
        <v>-1</v>
      </c>
      <c r="AM657" s="51" t="str">
        <f aca="false">IF(AND(OR(CC657="L1",CC657="L23",CC657="LIFT"),AI657&gt;0),SUMIFS($AI$7:$AI$1843,$CC$7:$CC$1843,CC657,$AL$7:$AL$1843,"&gt;"&amp;AL657)+SUMIFS($AI$7:$AI$1843,$CC$7:$CC$1843,CC657,$AL$7:$AL$1843,AL657,$BT$7:$BT$1843,"&lt;="&amp;BT657),"")</f>
        <v/>
      </c>
      <c r="AN657" s="58" t="n">
        <f aca="false">IF(AM657="",0,MAX(0,MIN(1,(IF(CC657="L1",Parameter!$H$5,IF(CC657="L23",Parameter!$H$6+Parameter!$H$7,Parameter!$H$5+Parameter!$H$6+Parameter!$H$7))-(AM657-AI657))/AI657)))</f>
        <v>0</v>
      </c>
      <c r="AO657" s="50" t="n">
        <f aca="false">IF(LEFT(Cockpit!$I$5,1)="A",H657,IF(CE657=1,CF657,IF(LEFT(Cockpit!$I$5,1)="B",AT657,MAX(AT657,H657))))</f>
        <v>4</v>
      </c>
      <c r="AP657" s="50" t="n">
        <f aca="false">IF(BW657=1,0,ROUNDUP(AO657/BV657,0))</f>
        <v>1</v>
      </c>
      <c r="AQ657" s="52" t="n">
        <f aca="false">IF(CL657&gt;0,CL657*MAX(1,AO657/X657),IF(BW657=1,IF(AO657&lt;=0,0,CA657*MAX(1,IF(H657&gt;0,AO657/H657,1))),IF(R657&gt;0,AP657/R657,0))/MAX(0.1,N(Parameter!$M$21)))</f>
        <v>0.0833333333333333</v>
      </c>
      <c r="AR657" s="50" t="n">
        <f aca="false">AQ657*BY657</f>
        <v>12.0833333333333</v>
      </c>
      <c r="AS657" s="50" t="n">
        <f aca="false">AO657*G657</f>
        <v>1778.4</v>
      </c>
      <c r="AT657" s="50" t="n">
        <f aca="false">ROUNDUP(MAX(J657/IF(CD657&gt;0,CD657,MAX(0.1,N(Cockpit!$I$6))),CG657)/BV657,0)*BV657</f>
        <v>4</v>
      </c>
      <c r="AU657" s="51" t="n">
        <f aca="false">IF(AR657&gt;0,J657/AR657,-1)</f>
        <v>0.16551724137931</v>
      </c>
      <c r="AV657" s="51" t="str">
        <f aca="false">IF(AND(OR(CC657="L1",CC657="L23",CC657="LIFT"),AR657&gt;0),SUMIFS($AR$7:$AR$1843,$CC$7:$CC$1843,CC657,$AU$7:$AU$1843,"&gt;"&amp;AU657)+SUMIFS($AR$7:$AR$1843,$CC$7:$CC$1843,CC657,$AU$7:$AU$1843,AU657,$BT$7:$BT$1843,"&lt;="&amp;BT657),"")</f>
        <v/>
      </c>
      <c r="AW657" s="58" t="n">
        <f aca="false">IF(AV657="",0,MAX(0,MIN(1,(IF(CC657="L1",Parameter!$H$5,IF(CC657="L23",Parameter!$H$6+Parameter!$H$7,Parameter!$H$5+Parameter!$H$6+Parameter!$H$7))-(AV657-AR657))/AR657)))</f>
        <v>0</v>
      </c>
      <c r="AX657" s="50" t="n">
        <f aca="false">IF(LEFT(Cockpit!$O$5,1)="A",H657,IF(CE657=1,CF657,IF(LEFT(Cockpit!$O$5,1)="B",BC657,MAX(BC657,H657))))</f>
        <v>4</v>
      </c>
      <c r="AY657" s="50" t="n">
        <f aca="false">IF(BW657=1,0,ROUNDUP(AX657/BV657,0))</f>
        <v>1</v>
      </c>
      <c r="AZ657" s="52" t="n">
        <f aca="false">IF(CL657&gt;0,CL657*MAX(1,AX657/X657),IF(BW657=1,IF(AX657&lt;=0,0,CA657*MAX(1,IF(H657&gt;0,AX657/H657,1))),IF(R657&gt;0,AY657/R657,0))/MAX(0.1,N(Parameter!$M$21)))</f>
        <v>0.0833333333333333</v>
      </c>
      <c r="BA657" s="50" t="n">
        <f aca="false">AZ657*BY657</f>
        <v>12.0833333333333</v>
      </c>
      <c r="BB657" s="50" t="n">
        <f aca="false">AX657*G657</f>
        <v>1778.4</v>
      </c>
      <c r="BC657" s="50" t="n">
        <f aca="false">ROUNDUP(MAX(J657/IF(CD657&gt;0,CD657,MAX(0.1,N(Cockpit!$O$6))),CG657)/BV657,0)*BV657</f>
        <v>4</v>
      </c>
      <c r="BD657" s="51" t="n">
        <f aca="false">IF(BA657&gt;0,J657/BA657,-1)</f>
        <v>0.16551724137931</v>
      </c>
      <c r="BE657" s="51" t="str">
        <f aca="false">IF(AND(OR(CC657="L1",CC657="L23",CC657="LIFT"),BA657&gt;0),SUMIFS($BA$7:$BA$1843,$CC$7:$CC$1843,CC657,$BD$7:$BD$1843,"&gt;"&amp;BD657)+SUMIFS($BA$7:$BA$1843,$CC$7:$CC$1843,CC657,$BD$7:$BD$1843,BD657,$BT$7:$BT$1843,"&lt;="&amp;BT657),"")</f>
        <v/>
      </c>
      <c r="BF657" s="58" t="n">
        <f aca="false">IF(BE657="",0,MAX(0,MIN(1,(IF(CC657="L1",Parameter!$H$5,IF(CC657="L23",Parameter!$H$6+Parameter!$H$7,Parameter!$H$5+Parameter!$H$6+Parameter!$H$7))-(BE657-BA657))/BA657)))</f>
        <v>0</v>
      </c>
      <c r="BG657" s="48" t="str">
        <f aca="false">IF(AI657&lt;=0,"",IF(CC657="Aussen","Aussenlager",IF(CC657="-","Nicht im Lift",IF(AN657&gt;=1,"Lift",IF(AN657&lt;=0,"Aussenlager","teilweise")))))</f>
        <v/>
      </c>
      <c r="BH657" s="48" t="str">
        <f aca="false">IF(AR657&lt;=0,"",IF(CC657="Aussen","Aussenlager",IF(CC657="-","Nicht im Lift",IF(AW657&gt;=1,"Lift",IF(AW657&lt;=0,"Aussenlager","teilweise")))))</f>
        <v>Nicht im Lift</v>
      </c>
      <c r="BI657" s="48" t="str">
        <f aca="false">IF(BA657&lt;=0,"",IF(CC657="Aussen","Aussenlager",IF(CC657="-","Nicht im Lift",IF(BF657&gt;=1,"Lift",IF(BF657&lt;=0,"Aussenlager","teilweise")))))</f>
        <v>Nicht im Lift</v>
      </c>
      <c r="BJ657" s="48" t="str">
        <f aca="false">IF(A657="","",IF(BS657=1,"Neu; ","")&amp;IF(AND(BS657=0,BN657&lt;0),"negativer Bestand (Export "&amp;BN657&amp;"); ","")&amp;IF(J657&lt;=0,"Kein Verbrauch; ","")&amp;IF(CL657&gt;0,"Lift "&amp;W657&amp;" lt. Liftbericht (Fach "&amp;X657&amp;" Stk); ",IF(BX657=1,"Gebinde geschätzt ("&amp;T657&amp;"); ",IF(BW657=1,"Lose – Tablare geschätzt; ","")))&amp;IF(H657&gt;AT657,"Überbestand "&amp;ROUND(H657-AT657,0)&amp;" Stk / CHF "&amp;ROUND((H657-AT657)*G657,0)&amp;"; ","")&amp;IF(AND(CE657=1,CF657&lt;CG657),"MAX &lt; MB+LG; ","")&amp;IF(AND(CK657&gt;0,CJ657*10&gt;CK657),"zu hoch für Tablar; ","")&amp;IF(AND(BS657=0,OR(CE657=1,AA657&lt;&gt;"",U657&lt;&gt;"",V657&lt;&gt;"",AB657&lt;&gt;"")),"manuell übersteuert; ","")&amp;IF(AND(BW657=0,R657=0),"Gebinde unbekannt / Stellmass fehlt; ","")&amp;IF(AND(BW657=0,N(V657)&lt;=0,N(Q657)&lt;=0),"Menge pro Gebinde fehlt (Ist = 1 Gebinde); ","")&amp;BR657)</f>
        <v>Gebinde geschätzt (Mittel); Menge pro Gebinde fehlt (Ist = 1 Gebinde); </v>
      </c>
      <c r="BK657" s="48"/>
      <c r="BL657" s="48"/>
      <c r="BM657" s="55"/>
      <c r="BN657" s="50" t="n">
        <v>0</v>
      </c>
      <c r="BO657" s="50" t="n">
        <v>0</v>
      </c>
      <c r="BP657" s="49" t="n">
        <v>1.13686837721616E-013</v>
      </c>
      <c r="BQ657" s="50" t="n">
        <v>2</v>
      </c>
      <c r="BR657" s="48"/>
      <c r="BS657" s="53" t="n">
        <v>0</v>
      </c>
      <c r="BT657" s="53" t="n">
        <v>657</v>
      </c>
      <c r="BU657" s="48" t="str">
        <f aca="false">IF(U657&lt;&gt;"",UPPER(TRIM(U657)),IF(BX657=1,UPPER(VLOOKUP(T657,Parameter!$I$27:$K$29,2,0)),IF(P657="","LOSE",P657)))</f>
        <v>S61</v>
      </c>
      <c r="BV657" s="50" t="n">
        <f aca="false">IF(BU657="LOSE",1,IF(N(V657)&gt;0,V657,IF(BX657=1,MAX(1,N(VLOOKUP(T657,Parameter!$I$27:$K$29,3,0)),H657,N(N657)),IF(N(Q657)&gt;0,Q657,MAX(1,H657)))))</f>
        <v>4</v>
      </c>
      <c r="BW657" s="53" t="n">
        <f aca="false">IF(BU657="LOSE",1,0)</f>
        <v>0</v>
      </c>
      <c r="BX657" s="53" t="n">
        <f aca="false">IF(AND(U657="",OR(P657="",P657="LOSE"),T657&lt;&gt;"",N(S657)&lt;=0,ISNUMBER(MATCH(T657,Parameter!$I$27:$I$29,0))),1,0)</f>
        <v>1</v>
      </c>
      <c r="BY657" s="53" t="n">
        <f aca="false">IF(CL657&gt;0,INDEX(Parameter!$H$5:$H$7,W657)/INDEX(Parameter!$E$5:$E$7,W657),IF(AND(BW657=0,N(IFERROR(VLOOKUP(BU657,'Gebinde-Kategorie'!$A$5:$N$45,14,0),0))&gt;0),VLOOKUP(BU657,'Gebinde-Kategorie'!$A$5:$N$45,14,0)*10+Parameter!$M$23,Parameter!$M$24))</f>
        <v>145</v>
      </c>
      <c r="BZ657" s="48" t="str">
        <f aca="false">IF(AND(Parameter!$B$19="Ja",E657&lt;&gt;"",ISNUMBER(MATCH(E657,Parameter!$I$35:$I$52,0))),VLOOKUP(E657,Parameter!$I$35:$J$52,2,0),IFERROR(VLOOKUP(D657,Parameter!$A$35:$C$64,2,0),"Nein"))</f>
        <v>Nein</v>
      </c>
      <c r="CA657" s="52" t="n">
        <f aca="false">IF(BW657=0,0,IF(N(S657)&gt;0,S657,IFERROR(VLOOKUP(D657,Parameter!$A$35:$C$64,3,0)+0,0)))</f>
        <v>0</v>
      </c>
      <c r="CB657" s="48" t="str">
        <f aca="false">IF(AA657&lt;&gt;"",AA657,Z657)</f>
        <v>-</v>
      </c>
      <c r="CC657" s="48" t="str">
        <f aca="false">IF(OR(CB657=1,CB657=2,CB657=3),IF(Parameter!$E$27="Ja","LIFT",IF(CB657=1,"L1","L23")),IF(CB657="Aussen","Aussen","-"))</f>
        <v>-</v>
      </c>
      <c r="CD657" s="59" t="n">
        <f aca="false">IF(N(AB657)&gt;0,AB657,0)</f>
        <v>0</v>
      </c>
      <c r="CE657" s="53" t="n">
        <f aca="false">IF(ISNUMBER(AE657),1,0)</f>
        <v>0</v>
      </c>
      <c r="CF657" s="50" t="n">
        <f aca="false">N(AE657)</f>
        <v>0</v>
      </c>
      <c r="CG657" s="50" t="n">
        <f aca="false">N(M657)+N(N657)</f>
        <v>1</v>
      </c>
      <c r="CH657" s="50" t="n">
        <f aca="false">ROUNDUP(H657/BV657,0)</f>
        <v>0</v>
      </c>
      <c r="CI657" s="50" t="n">
        <f aca="false">ROUNDUP(CF657/BV657,0)</f>
        <v>0</v>
      </c>
      <c r="CJ657" s="53" t="n">
        <f aca="false">IF(BW657=1,0,IFERROR(VLOOKUP(BU657,'Gebinde-Kategorie'!$A$5:$N$45,5,0)+0,0))</f>
        <v>11</v>
      </c>
      <c r="CK657" s="53" t="n">
        <f aca="false">IFERROR(IF(OR(CB657=1,CB657=2,CB657=3),N(INDEX(Parameter!$I$5:$I$7,CB657)),0),0)</f>
        <v>0</v>
      </c>
      <c r="CL657" s="52" t="n">
        <f aca="false">IF(AND(Parameter!$B$21="Ja",ISNUMBER(W657),N(X657)&gt;0),IFERROR(N(INDEX(Parameter!$L$5:$L$7,W657))*INDEX(Parameter!$E$5:$E$7,W657)*X657/SUMIFS($X$7:$X$1843,$W$7:$W$1843,W657),0),0)</f>
        <v>0</v>
      </c>
    </row>
    <row r="658" customFormat="false" ht="15" hidden="false" customHeight="false" outlineLevel="0" collapsed="false">
      <c r="A658" s="48" t="s">
        <v>1331</v>
      </c>
      <c r="B658" s="48" t="s">
        <v>1332</v>
      </c>
      <c r="C658" s="48" t="s">
        <v>168</v>
      </c>
      <c r="D658" s="48" t="s">
        <v>999</v>
      </c>
      <c r="E658" s="48"/>
      <c r="F658" s="48" t="s">
        <v>222</v>
      </c>
      <c r="G658" s="49" t="n">
        <v>20.47</v>
      </c>
      <c r="H658" s="50" t="n">
        <f aca="false">MAX(0,IF(AND(Parameter!$B$21="Ja",ISNUMBER(Y658)),Y658,IF(Parameter!$B$20="Jahresanfang 2025 + Export",BO658+BN658,BN658)))</f>
        <v>0</v>
      </c>
      <c r="I658" s="50" t="n">
        <f aca="false">H658*G658</f>
        <v>0</v>
      </c>
      <c r="J658" s="50" t="n">
        <f aca="false">BQ658*Parameter!$B$18</f>
        <v>60</v>
      </c>
      <c r="K658" s="51" t="n">
        <v>0</v>
      </c>
      <c r="L658" s="52" t="n">
        <v>0</v>
      </c>
      <c r="M658" s="50" t="n">
        <v>0</v>
      </c>
      <c r="N658" s="50" t="n">
        <v>10</v>
      </c>
      <c r="O658" s="53" t="n">
        <v>28</v>
      </c>
      <c r="P658" s="48" t="s">
        <v>172</v>
      </c>
      <c r="Q658" s="50"/>
      <c r="R658" s="53" t="n">
        <f aca="false">IF(BW658=1,0,IFERROR(VLOOKUP(BU658,'Gebinde-Kategorie'!$A$5:$N$45,13,0)+0,0))</f>
        <v>0</v>
      </c>
      <c r="S658" s="54"/>
      <c r="T658" s="55"/>
      <c r="U658" s="55"/>
      <c r="V658" s="55"/>
      <c r="W658" s="48"/>
      <c r="X658" s="50"/>
      <c r="Y658" s="50"/>
      <c r="Z658" s="48" t="str">
        <f aca="false">IF(A658="","",IF(AND(Parameter!$B$21="Ja",ISNUMBER(W658)),W658,IF(BZ658="2+3",IF(ISNUMBER(SEARCH("grosser Artikel",BR658)),2,IFERROR(VLOOKUP(BU658,Parameter!$F$35:$G$64,2,0),2)),IF(OR(BZ658="Nein",BZ658=""),"-",BZ658))))</f>
        <v>-</v>
      </c>
      <c r="AA658" s="55"/>
      <c r="AB658" s="56"/>
      <c r="AC658" s="50" t="n">
        <f aca="false">AT658</f>
        <v>30</v>
      </c>
      <c r="AD658" s="50" t="n">
        <f aca="false">MAX(AT658,H658)</f>
        <v>30</v>
      </c>
      <c r="AE658" s="57"/>
      <c r="AF658" s="50" t="n">
        <f aca="false">IF(LEFT(Cockpit!$C$5,1)="A",H658,IF(CE658=1,CF658,IF(LEFT(Cockpit!$C$5,1)="B",AK658,MAX(AK658,H658))))</f>
        <v>0</v>
      </c>
      <c r="AG658" s="50" t="n">
        <f aca="false">IF(BW658=1,0,ROUNDUP(AF658/BV658,0))</f>
        <v>0</v>
      </c>
      <c r="AH658" s="52" t="n">
        <f aca="false">IF(CL658&gt;0,CL658*MAX(1,AF658/X658),IF(BW658=1,IF(AF658&lt;=0,0,CA658*MAX(1,IF(H658&gt;0,AF658/H658,1))),IF(R658&gt;0,AG658/R658,0))/MAX(0.1,N(Parameter!$M$21)))</f>
        <v>0</v>
      </c>
      <c r="AI658" s="50" t="n">
        <f aca="false">AH658*BY658</f>
        <v>0</v>
      </c>
      <c r="AJ658" s="50" t="n">
        <f aca="false">AF658*G658</f>
        <v>0</v>
      </c>
      <c r="AK658" s="50" t="n">
        <f aca="false">ROUNDUP(MAX(J658/IF(CD658&gt;0,CD658,MAX(0.1,N(Cockpit!$C$6))),CG658)/BV658,0)*BV658</f>
        <v>30</v>
      </c>
      <c r="AL658" s="51" t="n">
        <f aca="false">IF(AI658&gt;0,J658/AI658,-1)</f>
        <v>-1</v>
      </c>
      <c r="AM658" s="51" t="str">
        <f aca="false">IF(AND(OR(CC658="L1",CC658="L23",CC658="LIFT"),AI658&gt;0),SUMIFS($AI$7:$AI$1843,$CC$7:$CC$1843,CC658,$AL$7:$AL$1843,"&gt;"&amp;AL658)+SUMIFS($AI$7:$AI$1843,$CC$7:$CC$1843,CC658,$AL$7:$AL$1843,AL658,$BT$7:$BT$1843,"&lt;="&amp;BT658),"")</f>
        <v/>
      </c>
      <c r="AN658" s="58" t="n">
        <f aca="false">IF(AM658="",0,MAX(0,MIN(1,(IF(CC658="L1",Parameter!$H$5,IF(CC658="L23",Parameter!$H$6+Parameter!$H$7,Parameter!$H$5+Parameter!$H$6+Parameter!$H$7))-(AM658-AI658))/AI658)))</f>
        <v>0</v>
      </c>
      <c r="AO658" s="50" t="n">
        <f aca="false">IF(LEFT(Cockpit!$I$5,1)="A",H658,IF(CE658=1,CF658,IF(LEFT(Cockpit!$I$5,1)="B",AT658,MAX(AT658,H658))))</f>
        <v>30</v>
      </c>
      <c r="AP658" s="50" t="n">
        <f aca="false">IF(BW658=1,0,ROUNDUP(AO658/BV658,0))</f>
        <v>0</v>
      </c>
      <c r="AQ658" s="52" t="n">
        <f aca="false">IF(CL658&gt;0,CL658*MAX(1,AO658/X658),IF(BW658=1,IF(AO658&lt;=0,0,CA658*MAX(1,IF(H658&gt;0,AO658/H658,1))),IF(R658&gt;0,AP658/R658,0))/MAX(0.1,N(Parameter!$M$21)))</f>
        <v>0.15</v>
      </c>
      <c r="AR658" s="50" t="n">
        <f aca="false">AQ658*BY658</f>
        <v>35.25</v>
      </c>
      <c r="AS658" s="50" t="n">
        <f aca="false">AO658*G658</f>
        <v>614.1</v>
      </c>
      <c r="AT658" s="50" t="n">
        <f aca="false">ROUNDUP(MAX(J658/IF(CD658&gt;0,CD658,MAX(0.1,N(Cockpit!$I$6))),CG658)/BV658,0)*BV658</f>
        <v>30</v>
      </c>
      <c r="AU658" s="51" t="n">
        <f aca="false">IF(AR658&gt;0,J658/AR658,-1)</f>
        <v>1.70212765957447</v>
      </c>
      <c r="AV658" s="51" t="str">
        <f aca="false">IF(AND(OR(CC658="L1",CC658="L23",CC658="LIFT"),AR658&gt;0),SUMIFS($AR$7:$AR$1843,$CC$7:$CC$1843,CC658,$AU$7:$AU$1843,"&gt;"&amp;AU658)+SUMIFS($AR$7:$AR$1843,$CC$7:$CC$1843,CC658,$AU$7:$AU$1843,AU658,$BT$7:$BT$1843,"&lt;="&amp;BT658),"")</f>
        <v/>
      </c>
      <c r="AW658" s="58" t="n">
        <f aca="false">IF(AV658="",0,MAX(0,MIN(1,(IF(CC658="L1",Parameter!$H$5,IF(CC658="L23",Parameter!$H$6+Parameter!$H$7,Parameter!$H$5+Parameter!$H$6+Parameter!$H$7))-(AV658-AR658))/AR658)))</f>
        <v>0</v>
      </c>
      <c r="AX658" s="50" t="n">
        <f aca="false">IF(LEFT(Cockpit!$O$5,1)="A",H658,IF(CE658=1,CF658,IF(LEFT(Cockpit!$O$5,1)="B",BC658,MAX(BC658,H658))))</f>
        <v>20</v>
      </c>
      <c r="AY658" s="50" t="n">
        <f aca="false">IF(BW658=1,0,ROUNDUP(AX658/BV658,0))</f>
        <v>0</v>
      </c>
      <c r="AZ658" s="52" t="n">
        <f aca="false">IF(CL658&gt;0,CL658*MAX(1,AX658/X658),IF(BW658=1,IF(AX658&lt;=0,0,CA658*MAX(1,IF(H658&gt;0,AX658/H658,1))),IF(R658&gt;0,AY658/R658,0))/MAX(0.1,N(Parameter!$M$21)))</f>
        <v>0.15</v>
      </c>
      <c r="BA658" s="50" t="n">
        <f aca="false">AZ658*BY658</f>
        <v>35.25</v>
      </c>
      <c r="BB658" s="50" t="n">
        <f aca="false">AX658*G658</f>
        <v>409.4</v>
      </c>
      <c r="BC658" s="50" t="n">
        <f aca="false">ROUNDUP(MAX(J658/IF(CD658&gt;0,CD658,MAX(0.1,N(Cockpit!$O$6))),CG658)/BV658,0)*BV658</f>
        <v>20</v>
      </c>
      <c r="BD658" s="51" t="n">
        <f aca="false">IF(BA658&gt;0,J658/BA658,-1)</f>
        <v>1.70212765957447</v>
      </c>
      <c r="BE658" s="51" t="str">
        <f aca="false">IF(AND(OR(CC658="L1",CC658="L23",CC658="LIFT"),BA658&gt;0),SUMIFS($BA$7:$BA$1843,$CC$7:$CC$1843,CC658,$BD$7:$BD$1843,"&gt;"&amp;BD658)+SUMIFS($BA$7:$BA$1843,$CC$7:$CC$1843,CC658,$BD$7:$BD$1843,BD658,$BT$7:$BT$1843,"&lt;="&amp;BT658),"")</f>
        <v/>
      </c>
      <c r="BF658" s="58" t="n">
        <f aca="false">IF(BE658="",0,MAX(0,MIN(1,(IF(CC658="L1",Parameter!$H$5,IF(CC658="L23",Parameter!$H$6+Parameter!$H$7,Parameter!$H$5+Parameter!$H$6+Parameter!$H$7))-(BE658-BA658))/BA658)))</f>
        <v>0</v>
      </c>
      <c r="BG658" s="48" t="str">
        <f aca="false">IF(AI658&lt;=0,"",IF(CC658="Aussen","Aussenlager",IF(CC658="-","Nicht im Lift",IF(AN658&gt;=1,"Lift",IF(AN658&lt;=0,"Aussenlager","teilweise")))))</f>
        <v/>
      </c>
      <c r="BH658" s="48" t="str">
        <f aca="false">IF(AR658&lt;=0,"",IF(CC658="Aussen","Aussenlager",IF(CC658="-","Nicht im Lift",IF(AW658&gt;=1,"Lift",IF(AW658&lt;=0,"Aussenlager","teilweise")))))</f>
        <v>Nicht im Lift</v>
      </c>
      <c r="BI658" s="48" t="str">
        <f aca="false">IF(BA658&lt;=0,"",IF(CC658="Aussen","Aussenlager",IF(CC658="-","Nicht im Lift",IF(BF658&gt;=1,"Lift",IF(BF658&lt;=0,"Aussenlager","teilweise")))))</f>
        <v>Nicht im Lift</v>
      </c>
      <c r="BJ658" s="48" t="str">
        <f aca="false">IF(A658="","",IF(BS658=1,"Neu; ","")&amp;IF(AND(BS658=0,BN658&lt;0),"negativer Bestand (Export "&amp;BN658&amp;"); ","")&amp;IF(J658&lt;=0,"Kein Verbrauch; ","")&amp;IF(CL658&gt;0,"Lift "&amp;W658&amp;" lt. Liftbericht (Fach "&amp;X658&amp;" Stk); ",IF(BX658=1,"Gebinde geschätzt ("&amp;T658&amp;"); ",IF(BW658=1,"Lose – Tablare geschätzt; ","")))&amp;IF(H658&gt;AT658,"Überbestand "&amp;ROUND(H658-AT658,0)&amp;" Stk / CHF "&amp;ROUND((H658-AT658)*G658,0)&amp;"; ","")&amp;IF(AND(CE658=1,CF658&lt;CG658),"MAX &lt; MB+LG; ","")&amp;IF(AND(CK658&gt;0,CJ658*10&gt;CK658),"zu hoch für Tablar; ","")&amp;IF(AND(BS658=0,OR(CE658=1,AA658&lt;&gt;"",U658&lt;&gt;"",V658&lt;&gt;"",AB658&lt;&gt;"")),"manuell übersteuert; ","")&amp;IF(AND(BW658=0,R658=0),"Gebinde unbekannt / Stellmass fehlt; ","")&amp;IF(AND(BW658=0,N(V658)&lt;=0,N(Q658)&lt;=0),"Menge pro Gebinde fehlt (Ist = 1 Gebinde); ","")&amp;BR658)</f>
        <v>Lose – Tablare geschätzt; </v>
      </c>
      <c r="BK658" s="48"/>
      <c r="BL658" s="48"/>
      <c r="BM658" s="55"/>
      <c r="BN658" s="50" t="n">
        <v>0</v>
      </c>
      <c r="BO658" s="50" t="n">
        <v>0</v>
      </c>
      <c r="BP658" s="49" t="n">
        <v>5.6843418860808E-014</v>
      </c>
      <c r="BQ658" s="50" t="n">
        <v>60</v>
      </c>
      <c r="BR658" s="48"/>
      <c r="BS658" s="53" t="n">
        <v>0</v>
      </c>
      <c r="BT658" s="53" t="n">
        <v>658</v>
      </c>
      <c r="BU658" s="48" t="str">
        <f aca="false">IF(U658&lt;&gt;"",UPPER(TRIM(U658)),IF(BX658=1,UPPER(VLOOKUP(T658,Parameter!$I$27:$K$29,2,0)),IF(P658="","LOSE",P658)))</f>
        <v>LOSE</v>
      </c>
      <c r="BV658" s="50" t="n">
        <f aca="false">IF(BU658="LOSE",1,IF(N(V658)&gt;0,V658,IF(BX658=1,MAX(1,N(VLOOKUP(T658,Parameter!$I$27:$K$29,3,0)),H658,N(N658)),IF(N(Q658)&gt;0,Q658,MAX(1,H658)))))</f>
        <v>1</v>
      </c>
      <c r="BW658" s="53" t="n">
        <f aca="false">IF(BU658="LOSE",1,0)</f>
        <v>1</v>
      </c>
      <c r="BX658" s="53" t="n">
        <f aca="false">IF(AND(U658="",OR(P658="",P658="LOSE"),T658&lt;&gt;"",N(S658)&lt;=0,ISNUMBER(MATCH(T658,Parameter!$I$27:$I$29,0))),1,0)</f>
        <v>0</v>
      </c>
      <c r="BY658" s="53" t="n">
        <f aca="false">IF(CL658&gt;0,INDEX(Parameter!$H$5:$H$7,W658)/INDEX(Parameter!$E$5:$E$7,W658),IF(AND(BW658=0,N(IFERROR(VLOOKUP(BU658,'Gebinde-Kategorie'!$A$5:$N$45,14,0),0))&gt;0),VLOOKUP(BU658,'Gebinde-Kategorie'!$A$5:$N$45,14,0)*10+Parameter!$M$23,Parameter!$M$24))</f>
        <v>235</v>
      </c>
      <c r="BZ658" s="48" t="str">
        <f aca="false">IF(AND(Parameter!$B$19="Ja",E658&lt;&gt;"",ISNUMBER(MATCH(E658,Parameter!$I$35:$I$52,0))),VLOOKUP(E658,Parameter!$I$35:$J$52,2,0),IFERROR(VLOOKUP(D658,Parameter!$A$35:$C$64,2,0),"Nein"))</f>
        <v>Nein</v>
      </c>
      <c r="CA658" s="52" t="n">
        <f aca="false">IF(BW658=0,0,IF(N(S658)&gt;0,S658,IFERROR(VLOOKUP(D658,Parameter!$A$35:$C$64,3,0)+0,0)))</f>
        <v>0.15</v>
      </c>
      <c r="CB658" s="48" t="str">
        <f aca="false">IF(AA658&lt;&gt;"",AA658,Z658)</f>
        <v>-</v>
      </c>
      <c r="CC658" s="48" t="str">
        <f aca="false">IF(OR(CB658=1,CB658=2,CB658=3),IF(Parameter!$E$27="Ja","LIFT",IF(CB658=1,"L1","L23")),IF(CB658="Aussen","Aussen","-"))</f>
        <v>-</v>
      </c>
      <c r="CD658" s="59" t="n">
        <f aca="false">IF(N(AB658)&gt;0,AB658,0)</f>
        <v>0</v>
      </c>
      <c r="CE658" s="53" t="n">
        <f aca="false">IF(ISNUMBER(AE658),1,0)</f>
        <v>0</v>
      </c>
      <c r="CF658" s="50" t="n">
        <f aca="false">N(AE658)</f>
        <v>0</v>
      </c>
      <c r="CG658" s="50" t="n">
        <f aca="false">N(M658)+N(N658)</f>
        <v>10</v>
      </c>
      <c r="CH658" s="50" t="n">
        <f aca="false">ROUNDUP(H658/BV658,0)</f>
        <v>0</v>
      </c>
      <c r="CI658" s="50" t="n">
        <f aca="false">ROUNDUP(CF658/BV658,0)</f>
        <v>0</v>
      </c>
      <c r="CJ658" s="53" t="n">
        <f aca="false">IF(BW658=1,0,IFERROR(VLOOKUP(BU658,'Gebinde-Kategorie'!$A$5:$N$45,5,0)+0,0))</f>
        <v>0</v>
      </c>
      <c r="CK658" s="53" t="n">
        <f aca="false">IFERROR(IF(OR(CB658=1,CB658=2,CB658=3),N(INDEX(Parameter!$I$5:$I$7,CB658)),0),0)</f>
        <v>0</v>
      </c>
      <c r="CL658" s="52" t="n">
        <f aca="false">IF(AND(Parameter!$B$21="Ja",ISNUMBER(W658),N(X658)&gt;0),IFERROR(N(INDEX(Parameter!$L$5:$L$7,W658))*INDEX(Parameter!$E$5:$E$7,W658)*X658/SUMIFS($X$7:$X$1843,$W$7:$W$1843,W658),0),0)</f>
        <v>0</v>
      </c>
    </row>
    <row r="659" customFormat="false" ht="15" hidden="false" customHeight="false" outlineLevel="0" collapsed="false">
      <c r="A659" s="48" t="s">
        <v>1333</v>
      </c>
      <c r="B659" s="48" t="s">
        <v>1334</v>
      </c>
      <c r="C659" s="48" t="s">
        <v>168</v>
      </c>
      <c r="D659" s="48" t="s">
        <v>188</v>
      </c>
      <c r="E659" s="48"/>
      <c r="F659" s="48" t="s">
        <v>222</v>
      </c>
      <c r="G659" s="49" t="n">
        <v>10.02</v>
      </c>
      <c r="H659" s="50" t="n">
        <f aca="false">MAX(0,IF(AND(Parameter!$B$21="Ja",ISNUMBER(Y659)),Y659,IF(Parameter!$B$20="Jahresanfang 2025 + Export",BO659+BN659,BN659)))</f>
        <v>0</v>
      </c>
      <c r="I659" s="50" t="n">
        <f aca="false">H659*G659</f>
        <v>0</v>
      </c>
      <c r="J659" s="50" t="n">
        <f aca="false">BQ659*Parameter!$B$18</f>
        <v>2</v>
      </c>
      <c r="K659" s="51" t="n">
        <v>3</v>
      </c>
      <c r="L659" s="52" t="n">
        <v>0.666666666666667</v>
      </c>
      <c r="M659" s="50" t="n">
        <v>0</v>
      </c>
      <c r="N659" s="50" t="n">
        <v>1</v>
      </c>
      <c r="O659" s="53" t="n">
        <v>21</v>
      </c>
      <c r="P659" s="48" t="s">
        <v>332</v>
      </c>
      <c r="Q659" s="50" t="n">
        <v>5</v>
      </c>
      <c r="R659" s="53" t="n">
        <f aca="false">IF(BW659=1,0,IFERROR(VLOOKUP(BU659,'Gebinde-Kategorie'!$A$5:$N$45,13,0)+0,0))</f>
        <v>52</v>
      </c>
      <c r="S659" s="54"/>
      <c r="T659" s="55"/>
      <c r="U659" s="55"/>
      <c r="V659" s="55"/>
      <c r="W659" s="48"/>
      <c r="X659" s="50"/>
      <c r="Y659" s="50"/>
      <c r="Z659" s="48" t="n">
        <f aca="false">IF(A659="","",IF(AND(Parameter!$B$21="Ja",ISNUMBER(W659)),W659,IF(BZ659="2+3",IF(ISNUMBER(SEARCH("grosser Artikel",BR659)),2,IFERROR(VLOOKUP(BU659,Parameter!$F$35:$G$64,2,0),2)),IF(OR(BZ659="Nein",BZ659=""),"-",BZ659))))</f>
        <v>3</v>
      </c>
      <c r="AA659" s="55"/>
      <c r="AB659" s="56"/>
      <c r="AC659" s="50" t="n">
        <f aca="false">AT659</f>
        <v>5</v>
      </c>
      <c r="AD659" s="50" t="n">
        <f aca="false">MAX(AT659,H659)</f>
        <v>5</v>
      </c>
      <c r="AE659" s="57"/>
      <c r="AF659" s="50" t="n">
        <f aca="false">IF(LEFT(Cockpit!$C$5,1)="A",H659,IF(CE659=1,CF659,IF(LEFT(Cockpit!$C$5,1)="B",AK659,MAX(AK659,H659))))</f>
        <v>0</v>
      </c>
      <c r="AG659" s="50" t="n">
        <f aca="false">IF(BW659=1,0,ROUNDUP(AF659/BV659,0))</f>
        <v>0</v>
      </c>
      <c r="AH659" s="52" t="n">
        <f aca="false">IF(CL659&gt;0,CL659*MAX(1,AF659/X659),IF(BW659=1,IF(AF659&lt;=0,0,CA659*MAX(1,IF(H659&gt;0,AF659/H659,1))),IF(R659&gt;0,AG659/R659,0))/MAX(0.1,N(Parameter!$M$21)))</f>
        <v>0</v>
      </c>
      <c r="AI659" s="50" t="n">
        <f aca="false">AH659*BY659</f>
        <v>0</v>
      </c>
      <c r="AJ659" s="50" t="n">
        <f aca="false">AF659*G659</f>
        <v>0</v>
      </c>
      <c r="AK659" s="50" t="n">
        <f aca="false">ROUNDUP(MAX(J659/IF(CD659&gt;0,CD659,MAX(0.1,N(Cockpit!$C$6))),CG659)/BV659,0)*BV659</f>
        <v>5</v>
      </c>
      <c r="AL659" s="51" t="n">
        <f aca="false">IF(AI659&gt;0,J659/AI659,-1)</f>
        <v>-1</v>
      </c>
      <c r="AM659" s="51" t="str">
        <f aca="false">IF(AND(OR(CC659="L1",CC659="L23",CC659="LIFT"),AI659&gt;0),SUMIFS($AI$7:$AI$1843,$CC$7:$CC$1843,CC659,$AL$7:$AL$1843,"&gt;"&amp;AL659)+SUMIFS($AI$7:$AI$1843,$CC$7:$CC$1843,CC659,$AL$7:$AL$1843,AL659,$BT$7:$BT$1843,"&lt;="&amp;BT659),"")</f>
        <v/>
      </c>
      <c r="AN659" s="58" t="n">
        <f aca="false">IF(AM659="",0,MAX(0,MIN(1,(IF(CC659="L1",Parameter!$H$5,IF(CC659="L23",Parameter!$H$6+Parameter!$H$7,Parameter!$H$5+Parameter!$H$6+Parameter!$H$7))-(AM659-AI659))/AI659)))</f>
        <v>0</v>
      </c>
      <c r="AO659" s="50" t="n">
        <f aca="false">IF(LEFT(Cockpit!$I$5,1)="A",H659,IF(CE659=1,CF659,IF(LEFT(Cockpit!$I$5,1)="B",AT659,MAX(AT659,H659))))</f>
        <v>5</v>
      </c>
      <c r="AP659" s="50" t="n">
        <f aca="false">IF(BW659=1,0,ROUNDUP(AO659/BV659,0))</f>
        <v>1</v>
      </c>
      <c r="AQ659" s="52" t="n">
        <f aca="false">IF(CL659&gt;0,CL659*MAX(1,AO659/X659),IF(BW659=1,IF(AO659&lt;=0,0,CA659*MAX(1,IF(H659&gt;0,AO659/H659,1))),IF(R659&gt;0,AP659/R659,0))/MAX(0.1,N(Parameter!$M$21)))</f>
        <v>0.0192307692307692</v>
      </c>
      <c r="AR659" s="50" t="n">
        <f aca="false">AQ659*BY659</f>
        <v>2.98076923076923</v>
      </c>
      <c r="AS659" s="50" t="n">
        <f aca="false">AO659*G659</f>
        <v>50.1</v>
      </c>
      <c r="AT659" s="50" t="n">
        <f aca="false">ROUNDUP(MAX(J659/IF(CD659&gt;0,CD659,MAX(0.1,N(Cockpit!$I$6))),CG659)/BV659,0)*BV659</f>
        <v>5</v>
      </c>
      <c r="AU659" s="51" t="n">
        <f aca="false">IF(AR659&gt;0,J659/AR659,-1)</f>
        <v>0.670967741935484</v>
      </c>
      <c r="AV659" s="51" t="n">
        <f aca="false">IF(AND(OR(CC659="L1",CC659="L23",CC659="LIFT"),AR659&gt;0),SUMIFS($AR$7:$AR$1843,$CC$7:$CC$1843,CC659,$AU$7:$AU$1843,"&gt;"&amp;AU659)+SUMIFS($AR$7:$AR$1843,$CC$7:$CC$1843,CC659,$AU$7:$AU$1843,AU659,$BT$7:$BT$1843,"&lt;="&amp;BT659),"")</f>
        <v>11756.744047619</v>
      </c>
      <c r="AW659" s="58" t="n">
        <f aca="false">IF(AV659="",0,MAX(0,MIN(1,(IF(CC659="L1",Parameter!$H$5,IF(CC659="L23",Parameter!$H$6+Parameter!$H$7,Parameter!$H$5+Parameter!$H$6+Parameter!$H$7))-(AV659-AR659))/AR659)))</f>
        <v>1</v>
      </c>
      <c r="AX659" s="50" t="n">
        <f aca="false">IF(LEFT(Cockpit!$O$5,1)="A",H659,IF(CE659=1,CF659,IF(LEFT(Cockpit!$O$5,1)="B",BC659,MAX(BC659,H659))))</f>
        <v>5</v>
      </c>
      <c r="AY659" s="50" t="n">
        <f aca="false">IF(BW659=1,0,ROUNDUP(AX659/BV659,0))</f>
        <v>1</v>
      </c>
      <c r="AZ659" s="52" t="n">
        <f aca="false">IF(CL659&gt;0,CL659*MAX(1,AX659/X659),IF(BW659=1,IF(AX659&lt;=0,0,CA659*MAX(1,IF(H659&gt;0,AX659/H659,1))),IF(R659&gt;0,AY659/R659,0))/MAX(0.1,N(Parameter!$M$21)))</f>
        <v>0.0192307692307692</v>
      </c>
      <c r="BA659" s="50" t="n">
        <f aca="false">AZ659*BY659</f>
        <v>2.98076923076923</v>
      </c>
      <c r="BB659" s="50" t="n">
        <f aca="false">AX659*G659</f>
        <v>50.1</v>
      </c>
      <c r="BC659" s="50" t="n">
        <f aca="false">ROUNDUP(MAX(J659/IF(CD659&gt;0,CD659,MAX(0.1,N(Cockpit!$O$6))),CG659)/BV659,0)*BV659</f>
        <v>5</v>
      </c>
      <c r="BD659" s="51" t="n">
        <f aca="false">IF(BA659&gt;0,J659/BA659,-1)</f>
        <v>0.670967741935484</v>
      </c>
      <c r="BE659" s="51" t="n">
        <f aca="false">IF(AND(OR(CC659="L1",CC659="L23",CC659="LIFT"),BA659&gt;0),SUMIFS($BA$7:$BA$1843,$CC$7:$CC$1843,CC659,$BD$7:$BD$1843,"&gt;"&amp;BD659)+SUMIFS($BA$7:$BA$1843,$CC$7:$CC$1843,CC659,$BD$7:$BD$1843,BD659,$BT$7:$BT$1843,"&lt;="&amp;BT659),"")</f>
        <v>11356.5677655678</v>
      </c>
      <c r="BF659" s="58" t="n">
        <f aca="false">IF(BE659="",0,MAX(0,MIN(1,(IF(CC659="L1",Parameter!$H$5,IF(CC659="L23",Parameter!$H$6+Parameter!$H$7,Parameter!$H$5+Parameter!$H$6+Parameter!$H$7))-(BE659-BA659))/BA659)))</f>
        <v>1</v>
      </c>
      <c r="BG659" s="48" t="str">
        <f aca="false">IF(AI659&lt;=0,"",IF(CC659="Aussen","Aussenlager",IF(CC659="-","Nicht im Lift",IF(AN659&gt;=1,"Lift",IF(AN659&lt;=0,"Aussenlager","teilweise")))))</f>
        <v/>
      </c>
      <c r="BH659" s="48" t="str">
        <f aca="false">IF(AR659&lt;=0,"",IF(CC659="Aussen","Aussenlager",IF(CC659="-","Nicht im Lift",IF(AW659&gt;=1,"Lift",IF(AW659&lt;=0,"Aussenlager","teilweise")))))</f>
        <v>Lift</v>
      </c>
      <c r="BI659" s="48" t="str">
        <f aca="false">IF(BA659&lt;=0,"",IF(CC659="Aussen","Aussenlager",IF(CC659="-","Nicht im Lift",IF(BF659&gt;=1,"Lift",IF(BF659&lt;=0,"Aussenlager","teilweise")))))</f>
        <v>Lift</v>
      </c>
      <c r="BJ659" s="48" t="str">
        <f aca="false">IF(A659="","",IF(BS659=1,"Neu; ","")&amp;IF(AND(BS659=0,BN659&lt;0),"negativer Bestand (Export "&amp;BN659&amp;"); ","")&amp;IF(J659&lt;=0,"Kein Verbrauch; ","")&amp;IF(CL659&gt;0,"Lift "&amp;W659&amp;" lt. Liftbericht (Fach "&amp;X659&amp;" Stk); ",IF(BX659=1,"Gebinde geschätzt ("&amp;T659&amp;"); ",IF(BW659=1,"Lose – Tablare geschätzt; ","")))&amp;IF(H659&gt;AT659,"Überbestand "&amp;ROUND(H659-AT659,0)&amp;" Stk / CHF "&amp;ROUND((H659-AT659)*G659,0)&amp;"; ","")&amp;IF(AND(CE659=1,CF659&lt;CG659),"MAX &lt; MB+LG; ","")&amp;IF(AND(CK659&gt;0,CJ659*10&gt;CK659),"zu hoch für Tablar; ","")&amp;IF(AND(BS659=0,OR(CE659=1,AA659&lt;&gt;"",U659&lt;&gt;"",V659&lt;&gt;"",AB659&lt;&gt;"")),"manuell übersteuert; ","")&amp;IF(AND(BW659=0,R659=0),"Gebinde unbekannt / Stellmass fehlt; ","")&amp;IF(AND(BW659=0,N(V659)&lt;=0,N(Q659)&lt;=0),"Menge pro Gebinde fehlt (Ist = 1 Gebinde); ","")&amp;BR659)</f>
        <v/>
      </c>
      <c r="BK659" s="48"/>
      <c r="BL659" s="48"/>
      <c r="BM659" s="55"/>
      <c r="BN659" s="50" t="n">
        <v>0</v>
      </c>
      <c r="BO659" s="50" t="n">
        <v>0</v>
      </c>
      <c r="BP659" s="49" t="n">
        <v>2.8421709430404E-014</v>
      </c>
      <c r="BQ659" s="50" t="n">
        <v>2</v>
      </c>
      <c r="BR659" s="48"/>
      <c r="BS659" s="53" t="n">
        <v>0</v>
      </c>
      <c r="BT659" s="53" t="n">
        <v>659</v>
      </c>
      <c r="BU659" s="48" t="str">
        <f aca="false">IF(U659&lt;&gt;"",UPPER(TRIM(U659)),IF(BX659=1,UPPER(VLOOKUP(T659,Parameter!$I$27:$K$29,2,0)),IF(P659="","LOSE",P659)))</f>
        <v>S41</v>
      </c>
      <c r="BV659" s="50" t="n">
        <f aca="false">IF(BU659="LOSE",1,IF(N(V659)&gt;0,V659,IF(BX659=1,MAX(1,N(VLOOKUP(T659,Parameter!$I$27:$K$29,3,0)),H659,N(N659)),IF(N(Q659)&gt;0,Q659,MAX(1,H659)))))</f>
        <v>5</v>
      </c>
      <c r="BW659" s="53" t="n">
        <f aca="false">IF(BU659="LOSE",1,0)</f>
        <v>0</v>
      </c>
      <c r="BX659" s="53" t="n">
        <f aca="false">IF(AND(U659="",OR(P659="",P659="LOSE"),T659&lt;&gt;"",N(S659)&lt;=0,ISNUMBER(MATCH(T659,Parameter!$I$27:$I$29,0))),1,0)</f>
        <v>0</v>
      </c>
      <c r="BY659" s="53" t="n">
        <f aca="false">IF(CL659&gt;0,INDEX(Parameter!$H$5:$H$7,W659)/INDEX(Parameter!$E$5:$E$7,W659),IF(AND(BW659=0,N(IFERROR(VLOOKUP(BU659,'Gebinde-Kategorie'!$A$5:$N$45,14,0),0))&gt;0),VLOOKUP(BU659,'Gebinde-Kategorie'!$A$5:$N$45,14,0)*10+Parameter!$M$23,Parameter!$M$24))</f>
        <v>155</v>
      </c>
      <c r="BZ659" s="48" t="str">
        <f aca="false">IF(AND(Parameter!$B$19="Ja",E659&lt;&gt;"",ISNUMBER(MATCH(E659,Parameter!$I$35:$I$52,0))),VLOOKUP(E659,Parameter!$I$35:$J$52,2,0),IFERROR(VLOOKUP(D659,Parameter!$A$35:$C$64,2,0),"Nein"))</f>
        <v>2+3</v>
      </c>
      <c r="CA659" s="52" t="n">
        <f aca="false">IF(BW659=0,0,IF(N(S659)&gt;0,S659,IFERROR(VLOOKUP(D659,Parameter!$A$35:$C$64,3,0)+0,0)))</f>
        <v>0</v>
      </c>
      <c r="CB659" s="48" t="n">
        <f aca="false">IF(AA659&lt;&gt;"",AA659,Z659)</f>
        <v>3</v>
      </c>
      <c r="CC659" s="48" t="str">
        <f aca="false">IF(OR(CB659=1,CB659=2,CB659=3),IF(Parameter!$E$27="Ja","LIFT",IF(CB659=1,"L1","L23")),IF(CB659="Aussen","Aussen","-"))</f>
        <v>LIFT</v>
      </c>
      <c r="CD659" s="59" t="n">
        <f aca="false">IF(N(AB659)&gt;0,AB659,0)</f>
        <v>0</v>
      </c>
      <c r="CE659" s="53" t="n">
        <f aca="false">IF(ISNUMBER(AE659),1,0)</f>
        <v>0</v>
      </c>
      <c r="CF659" s="50" t="n">
        <f aca="false">N(AE659)</f>
        <v>0</v>
      </c>
      <c r="CG659" s="50" t="n">
        <f aca="false">N(M659)+N(N659)</f>
        <v>1</v>
      </c>
      <c r="CH659" s="50" t="n">
        <f aca="false">ROUNDUP(H659/BV659,0)</f>
        <v>0</v>
      </c>
      <c r="CI659" s="50" t="n">
        <f aca="false">ROUNDUP(CF659/BV659,0)</f>
        <v>0</v>
      </c>
      <c r="CJ659" s="53" t="n">
        <f aca="false">IF(BW659=1,0,IFERROR(VLOOKUP(BU659,'Gebinde-Kategorie'!$A$5:$N$45,5,0)+0,0))</f>
        <v>11</v>
      </c>
      <c r="CK659" s="53" t="n">
        <f aca="false">IFERROR(IF(OR(CB659=1,CB659=2,CB659=3),N(INDEX(Parameter!$I$5:$I$7,CB659)),0),0)</f>
        <v>0</v>
      </c>
      <c r="CL659" s="52" t="n">
        <f aca="false">IF(AND(Parameter!$B$21="Ja",ISNUMBER(W659),N(X659)&gt;0),IFERROR(N(INDEX(Parameter!$L$5:$L$7,W659))*INDEX(Parameter!$E$5:$E$7,W659)*X659/SUMIFS($X$7:$X$1843,$W$7:$W$1843,W659),0),0)</f>
        <v>0</v>
      </c>
    </row>
    <row r="660" customFormat="false" ht="15" hidden="false" customHeight="false" outlineLevel="0" collapsed="false">
      <c r="A660" s="48" t="s">
        <v>1335</v>
      </c>
      <c r="B660" s="48" t="s">
        <v>1334</v>
      </c>
      <c r="C660" s="48" t="s">
        <v>168</v>
      </c>
      <c r="D660" s="48" t="s">
        <v>188</v>
      </c>
      <c r="E660" s="48"/>
      <c r="F660" s="48" t="s">
        <v>222</v>
      </c>
      <c r="G660" s="49" t="n">
        <v>10.02</v>
      </c>
      <c r="H660" s="50" t="n">
        <f aca="false">MAX(0,IF(AND(Parameter!$B$21="Ja",ISNUMBER(Y660)),Y660,IF(Parameter!$B$20="Jahresanfang 2025 + Export",BO660+BN660,BN660)))</f>
        <v>0</v>
      </c>
      <c r="I660" s="50" t="n">
        <f aca="false">H660*G660</f>
        <v>0</v>
      </c>
      <c r="J660" s="50" t="n">
        <f aca="false">BQ660*Parameter!$B$18</f>
        <v>2</v>
      </c>
      <c r="K660" s="51" t="n">
        <v>3</v>
      </c>
      <c r="L660" s="52" t="n">
        <v>0.666666666666667</v>
      </c>
      <c r="M660" s="50" t="n">
        <v>0</v>
      </c>
      <c r="N660" s="50" t="n">
        <v>1</v>
      </c>
      <c r="O660" s="53" t="n">
        <v>21</v>
      </c>
      <c r="P660" s="48" t="s">
        <v>332</v>
      </c>
      <c r="Q660" s="50" t="n">
        <v>5</v>
      </c>
      <c r="R660" s="53" t="n">
        <f aca="false">IF(BW660=1,0,IFERROR(VLOOKUP(BU660,'Gebinde-Kategorie'!$A$5:$N$45,13,0)+0,0))</f>
        <v>52</v>
      </c>
      <c r="S660" s="54"/>
      <c r="T660" s="55"/>
      <c r="U660" s="55"/>
      <c r="V660" s="55"/>
      <c r="W660" s="48"/>
      <c r="X660" s="50"/>
      <c r="Y660" s="50"/>
      <c r="Z660" s="48" t="n">
        <f aca="false">IF(A660="","",IF(AND(Parameter!$B$21="Ja",ISNUMBER(W660)),W660,IF(BZ660="2+3",IF(ISNUMBER(SEARCH("grosser Artikel",BR660)),2,IFERROR(VLOOKUP(BU660,Parameter!$F$35:$G$64,2,0),2)),IF(OR(BZ660="Nein",BZ660=""),"-",BZ660))))</f>
        <v>3</v>
      </c>
      <c r="AA660" s="55"/>
      <c r="AB660" s="56"/>
      <c r="AC660" s="50" t="n">
        <f aca="false">AT660</f>
        <v>5</v>
      </c>
      <c r="AD660" s="50" t="n">
        <f aca="false">MAX(AT660,H660)</f>
        <v>5</v>
      </c>
      <c r="AE660" s="57"/>
      <c r="AF660" s="50" t="n">
        <f aca="false">IF(LEFT(Cockpit!$C$5,1)="A",H660,IF(CE660=1,CF660,IF(LEFT(Cockpit!$C$5,1)="B",AK660,MAX(AK660,H660))))</f>
        <v>0</v>
      </c>
      <c r="AG660" s="50" t="n">
        <f aca="false">IF(BW660=1,0,ROUNDUP(AF660/BV660,0))</f>
        <v>0</v>
      </c>
      <c r="AH660" s="52" t="n">
        <f aca="false">IF(CL660&gt;0,CL660*MAX(1,AF660/X660),IF(BW660=1,IF(AF660&lt;=0,0,CA660*MAX(1,IF(H660&gt;0,AF660/H660,1))),IF(R660&gt;0,AG660/R660,0))/MAX(0.1,N(Parameter!$M$21)))</f>
        <v>0</v>
      </c>
      <c r="AI660" s="50" t="n">
        <f aca="false">AH660*BY660</f>
        <v>0</v>
      </c>
      <c r="AJ660" s="50" t="n">
        <f aca="false">AF660*G660</f>
        <v>0</v>
      </c>
      <c r="AK660" s="50" t="n">
        <f aca="false">ROUNDUP(MAX(J660/IF(CD660&gt;0,CD660,MAX(0.1,N(Cockpit!$C$6))),CG660)/BV660,0)*BV660</f>
        <v>5</v>
      </c>
      <c r="AL660" s="51" t="n">
        <f aca="false">IF(AI660&gt;0,J660/AI660,-1)</f>
        <v>-1</v>
      </c>
      <c r="AM660" s="51" t="str">
        <f aca="false">IF(AND(OR(CC660="L1",CC660="L23",CC660="LIFT"),AI660&gt;0),SUMIFS($AI$7:$AI$1843,$CC$7:$CC$1843,CC660,$AL$7:$AL$1843,"&gt;"&amp;AL660)+SUMIFS($AI$7:$AI$1843,$CC$7:$CC$1843,CC660,$AL$7:$AL$1843,AL660,$BT$7:$BT$1843,"&lt;="&amp;BT660),"")</f>
        <v/>
      </c>
      <c r="AN660" s="58" t="n">
        <f aca="false">IF(AM660="",0,MAX(0,MIN(1,(IF(CC660="L1",Parameter!$H$5,IF(CC660="L23",Parameter!$H$6+Parameter!$H$7,Parameter!$H$5+Parameter!$H$6+Parameter!$H$7))-(AM660-AI660))/AI660)))</f>
        <v>0</v>
      </c>
      <c r="AO660" s="50" t="n">
        <f aca="false">IF(LEFT(Cockpit!$I$5,1)="A",H660,IF(CE660=1,CF660,IF(LEFT(Cockpit!$I$5,1)="B",AT660,MAX(AT660,H660))))</f>
        <v>5</v>
      </c>
      <c r="AP660" s="50" t="n">
        <f aca="false">IF(BW660=1,0,ROUNDUP(AO660/BV660,0))</f>
        <v>1</v>
      </c>
      <c r="AQ660" s="52" t="n">
        <f aca="false">IF(CL660&gt;0,CL660*MAX(1,AO660/X660),IF(BW660=1,IF(AO660&lt;=0,0,CA660*MAX(1,IF(H660&gt;0,AO660/H660,1))),IF(R660&gt;0,AP660/R660,0))/MAX(0.1,N(Parameter!$M$21)))</f>
        <v>0.0192307692307692</v>
      </c>
      <c r="AR660" s="50" t="n">
        <f aca="false">AQ660*BY660</f>
        <v>2.98076923076923</v>
      </c>
      <c r="AS660" s="50" t="n">
        <f aca="false">AO660*G660</f>
        <v>50.1</v>
      </c>
      <c r="AT660" s="50" t="n">
        <f aca="false">ROUNDUP(MAX(J660/IF(CD660&gt;0,CD660,MAX(0.1,N(Cockpit!$I$6))),CG660)/BV660,0)*BV660</f>
        <v>5</v>
      </c>
      <c r="AU660" s="51" t="n">
        <f aca="false">IF(AR660&gt;0,J660/AR660,-1)</f>
        <v>0.670967741935484</v>
      </c>
      <c r="AV660" s="51" t="n">
        <f aca="false">IF(AND(OR(CC660="L1",CC660="L23",CC660="LIFT"),AR660&gt;0),SUMIFS($AR$7:$AR$1843,$CC$7:$CC$1843,CC660,$AU$7:$AU$1843,"&gt;"&amp;AU660)+SUMIFS($AR$7:$AR$1843,$CC$7:$CC$1843,CC660,$AU$7:$AU$1843,AU660,$BT$7:$BT$1843,"&lt;="&amp;BT660),"")</f>
        <v>11759.7248168498</v>
      </c>
      <c r="AW660" s="58" t="n">
        <f aca="false">IF(AV660="",0,MAX(0,MIN(1,(IF(CC660="L1",Parameter!$H$5,IF(CC660="L23",Parameter!$H$6+Parameter!$H$7,Parameter!$H$5+Parameter!$H$6+Parameter!$H$7))-(AV660-AR660))/AR660)))</f>
        <v>1</v>
      </c>
      <c r="AX660" s="50" t="n">
        <f aca="false">IF(LEFT(Cockpit!$O$5,1)="A",H660,IF(CE660=1,CF660,IF(LEFT(Cockpit!$O$5,1)="B",BC660,MAX(BC660,H660))))</f>
        <v>5</v>
      </c>
      <c r="AY660" s="50" t="n">
        <f aca="false">IF(BW660=1,0,ROUNDUP(AX660/BV660,0))</f>
        <v>1</v>
      </c>
      <c r="AZ660" s="52" t="n">
        <f aca="false">IF(CL660&gt;0,CL660*MAX(1,AX660/X660),IF(BW660=1,IF(AX660&lt;=0,0,CA660*MAX(1,IF(H660&gt;0,AX660/H660,1))),IF(R660&gt;0,AY660/R660,0))/MAX(0.1,N(Parameter!$M$21)))</f>
        <v>0.0192307692307692</v>
      </c>
      <c r="BA660" s="50" t="n">
        <f aca="false">AZ660*BY660</f>
        <v>2.98076923076923</v>
      </c>
      <c r="BB660" s="50" t="n">
        <f aca="false">AX660*G660</f>
        <v>50.1</v>
      </c>
      <c r="BC660" s="50" t="n">
        <f aca="false">ROUNDUP(MAX(J660/IF(CD660&gt;0,CD660,MAX(0.1,N(Cockpit!$O$6))),CG660)/BV660,0)*BV660</f>
        <v>5</v>
      </c>
      <c r="BD660" s="51" t="n">
        <f aca="false">IF(BA660&gt;0,J660/BA660,-1)</f>
        <v>0.670967741935484</v>
      </c>
      <c r="BE660" s="51" t="n">
        <f aca="false">IF(AND(OR(CC660="L1",CC660="L23",CC660="LIFT"),BA660&gt;0),SUMIFS($BA$7:$BA$1843,$CC$7:$CC$1843,CC660,$BD$7:$BD$1843,"&gt;"&amp;BD660)+SUMIFS($BA$7:$BA$1843,$CC$7:$CC$1843,CC660,$BD$7:$BD$1843,BD660,$BT$7:$BT$1843,"&lt;="&amp;BT660),"")</f>
        <v>11359.5485347985</v>
      </c>
      <c r="BF660" s="58" t="n">
        <f aca="false">IF(BE660="",0,MAX(0,MIN(1,(IF(CC660="L1",Parameter!$H$5,IF(CC660="L23",Parameter!$H$6+Parameter!$H$7,Parameter!$H$5+Parameter!$H$6+Parameter!$H$7))-(BE660-BA660))/BA660)))</f>
        <v>1</v>
      </c>
      <c r="BG660" s="48" t="str">
        <f aca="false">IF(AI660&lt;=0,"",IF(CC660="Aussen","Aussenlager",IF(CC660="-","Nicht im Lift",IF(AN660&gt;=1,"Lift",IF(AN660&lt;=0,"Aussenlager","teilweise")))))</f>
        <v/>
      </c>
      <c r="BH660" s="48" t="str">
        <f aca="false">IF(AR660&lt;=0,"",IF(CC660="Aussen","Aussenlager",IF(CC660="-","Nicht im Lift",IF(AW660&gt;=1,"Lift",IF(AW660&lt;=0,"Aussenlager","teilweise")))))</f>
        <v>Lift</v>
      </c>
      <c r="BI660" s="48" t="str">
        <f aca="false">IF(BA660&lt;=0,"",IF(CC660="Aussen","Aussenlager",IF(CC660="-","Nicht im Lift",IF(BF660&gt;=1,"Lift",IF(BF660&lt;=0,"Aussenlager","teilweise")))))</f>
        <v>Lift</v>
      </c>
      <c r="BJ660" s="48" t="str">
        <f aca="false">IF(A660="","",IF(BS660=1,"Neu; ","")&amp;IF(AND(BS660=0,BN660&lt;0),"negativer Bestand (Export "&amp;BN660&amp;"); ","")&amp;IF(J660&lt;=0,"Kein Verbrauch; ","")&amp;IF(CL660&gt;0,"Lift "&amp;W660&amp;" lt. Liftbericht (Fach "&amp;X660&amp;" Stk); ",IF(BX660=1,"Gebinde geschätzt ("&amp;T660&amp;"); ",IF(BW660=1,"Lose – Tablare geschätzt; ","")))&amp;IF(H660&gt;AT660,"Überbestand "&amp;ROUND(H660-AT660,0)&amp;" Stk / CHF "&amp;ROUND((H660-AT660)*G660,0)&amp;"; ","")&amp;IF(AND(CE660=1,CF660&lt;CG660),"MAX &lt; MB+LG; ","")&amp;IF(AND(CK660&gt;0,CJ660*10&gt;CK660),"zu hoch für Tablar; ","")&amp;IF(AND(BS660=0,OR(CE660=1,AA660&lt;&gt;"",U660&lt;&gt;"",V660&lt;&gt;"",AB660&lt;&gt;"")),"manuell übersteuert; ","")&amp;IF(AND(BW660=0,R660=0),"Gebinde unbekannt / Stellmass fehlt; ","")&amp;IF(AND(BW660=0,N(V660)&lt;=0,N(Q660)&lt;=0),"Menge pro Gebinde fehlt (Ist = 1 Gebinde); ","")&amp;BR660)</f>
        <v/>
      </c>
      <c r="BK660" s="48"/>
      <c r="BL660" s="48"/>
      <c r="BM660" s="55"/>
      <c r="BN660" s="50" t="n">
        <v>0</v>
      </c>
      <c r="BO660" s="50" t="n">
        <v>0</v>
      </c>
      <c r="BP660" s="49" t="n">
        <v>2.8421709430404E-014</v>
      </c>
      <c r="BQ660" s="50" t="n">
        <v>2</v>
      </c>
      <c r="BR660" s="48"/>
      <c r="BS660" s="53" t="n">
        <v>0</v>
      </c>
      <c r="BT660" s="53" t="n">
        <v>660</v>
      </c>
      <c r="BU660" s="48" t="str">
        <f aca="false">IF(U660&lt;&gt;"",UPPER(TRIM(U660)),IF(BX660=1,UPPER(VLOOKUP(T660,Parameter!$I$27:$K$29,2,0)),IF(P660="","LOSE",P660)))</f>
        <v>S41</v>
      </c>
      <c r="BV660" s="50" t="n">
        <f aca="false">IF(BU660="LOSE",1,IF(N(V660)&gt;0,V660,IF(BX660=1,MAX(1,N(VLOOKUP(T660,Parameter!$I$27:$K$29,3,0)),H660,N(N660)),IF(N(Q660)&gt;0,Q660,MAX(1,H660)))))</f>
        <v>5</v>
      </c>
      <c r="BW660" s="53" t="n">
        <f aca="false">IF(BU660="LOSE",1,0)</f>
        <v>0</v>
      </c>
      <c r="BX660" s="53" t="n">
        <f aca="false">IF(AND(U660="",OR(P660="",P660="LOSE"),T660&lt;&gt;"",N(S660)&lt;=0,ISNUMBER(MATCH(T660,Parameter!$I$27:$I$29,0))),1,0)</f>
        <v>0</v>
      </c>
      <c r="BY660" s="53" t="n">
        <f aca="false">IF(CL660&gt;0,INDEX(Parameter!$H$5:$H$7,W660)/INDEX(Parameter!$E$5:$E$7,W660),IF(AND(BW660=0,N(IFERROR(VLOOKUP(BU660,'Gebinde-Kategorie'!$A$5:$N$45,14,0),0))&gt;0),VLOOKUP(BU660,'Gebinde-Kategorie'!$A$5:$N$45,14,0)*10+Parameter!$M$23,Parameter!$M$24))</f>
        <v>155</v>
      </c>
      <c r="BZ660" s="48" t="str">
        <f aca="false">IF(AND(Parameter!$B$19="Ja",E660&lt;&gt;"",ISNUMBER(MATCH(E660,Parameter!$I$35:$I$52,0))),VLOOKUP(E660,Parameter!$I$35:$J$52,2,0),IFERROR(VLOOKUP(D660,Parameter!$A$35:$C$64,2,0),"Nein"))</f>
        <v>2+3</v>
      </c>
      <c r="CA660" s="52" t="n">
        <f aca="false">IF(BW660=0,0,IF(N(S660)&gt;0,S660,IFERROR(VLOOKUP(D660,Parameter!$A$35:$C$64,3,0)+0,0)))</f>
        <v>0</v>
      </c>
      <c r="CB660" s="48" t="n">
        <f aca="false">IF(AA660&lt;&gt;"",AA660,Z660)</f>
        <v>3</v>
      </c>
      <c r="CC660" s="48" t="str">
        <f aca="false">IF(OR(CB660=1,CB660=2,CB660=3),IF(Parameter!$E$27="Ja","LIFT",IF(CB660=1,"L1","L23")),IF(CB660="Aussen","Aussen","-"))</f>
        <v>LIFT</v>
      </c>
      <c r="CD660" s="59" t="n">
        <f aca="false">IF(N(AB660)&gt;0,AB660,0)</f>
        <v>0</v>
      </c>
      <c r="CE660" s="53" t="n">
        <f aca="false">IF(ISNUMBER(AE660),1,0)</f>
        <v>0</v>
      </c>
      <c r="CF660" s="50" t="n">
        <f aca="false">N(AE660)</f>
        <v>0</v>
      </c>
      <c r="CG660" s="50" t="n">
        <f aca="false">N(M660)+N(N660)</f>
        <v>1</v>
      </c>
      <c r="CH660" s="50" t="n">
        <f aca="false">ROUNDUP(H660/BV660,0)</f>
        <v>0</v>
      </c>
      <c r="CI660" s="50" t="n">
        <f aca="false">ROUNDUP(CF660/BV660,0)</f>
        <v>0</v>
      </c>
      <c r="CJ660" s="53" t="n">
        <f aca="false">IF(BW660=1,0,IFERROR(VLOOKUP(BU660,'Gebinde-Kategorie'!$A$5:$N$45,5,0)+0,0))</f>
        <v>11</v>
      </c>
      <c r="CK660" s="53" t="n">
        <f aca="false">IFERROR(IF(OR(CB660=1,CB660=2,CB660=3),N(INDEX(Parameter!$I$5:$I$7,CB660)),0),0)</f>
        <v>0</v>
      </c>
      <c r="CL660" s="52" t="n">
        <f aca="false">IF(AND(Parameter!$B$21="Ja",ISNUMBER(W660),N(X660)&gt;0),IFERROR(N(INDEX(Parameter!$L$5:$L$7,W660))*INDEX(Parameter!$E$5:$E$7,W660)*X660/SUMIFS($X$7:$X$1843,$W$7:$W$1843,W660),0),0)</f>
        <v>0</v>
      </c>
    </row>
    <row r="661" customFormat="false" ht="15" hidden="false" customHeight="false" outlineLevel="0" collapsed="false">
      <c r="A661" s="48" t="s">
        <v>1336</v>
      </c>
      <c r="B661" s="48" t="s">
        <v>1002</v>
      </c>
      <c r="C661" s="48" t="s">
        <v>168</v>
      </c>
      <c r="D661" s="48" t="s">
        <v>999</v>
      </c>
      <c r="E661" s="48"/>
      <c r="F661" s="48" t="s">
        <v>222</v>
      </c>
      <c r="G661" s="49" t="n">
        <v>161.29</v>
      </c>
      <c r="H661" s="50" t="n">
        <f aca="false">MAX(0,IF(AND(Parameter!$B$21="Ja",ISNUMBER(Y661)),Y661,IF(Parameter!$B$20="Jahresanfang 2025 + Export",BO661+BN661,BN661)))</f>
        <v>0</v>
      </c>
      <c r="I661" s="50" t="n">
        <f aca="false">H661*G661</f>
        <v>0</v>
      </c>
      <c r="J661" s="50" t="n">
        <f aca="false">BQ661*Parameter!$B$18</f>
        <v>4</v>
      </c>
      <c r="K661" s="51" t="n">
        <v>0</v>
      </c>
      <c r="L661" s="52" t="n">
        <v>0</v>
      </c>
      <c r="M661" s="50" t="n">
        <v>0</v>
      </c>
      <c r="N661" s="50" t="n">
        <v>1</v>
      </c>
      <c r="O661" s="53" t="n">
        <v>105</v>
      </c>
      <c r="P661" s="48" t="s">
        <v>172</v>
      </c>
      <c r="Q661" s="50"/>
      <c r="R661" s="53" t="n">
        <f aca="false">IF(BW661=1,0,IFERROR(VLOOKUP(BU661,'Gebinde-Kategorie'!$A$5:$N$45,13,0)+0,0))</f>
        <v>0</v>
      </c>
      <c r="S661" s="54"/>
      <c r="T661" s="55"/>
      <c r="U661" s="55"/>
      <c r="V661" s="55"/>
      <c r="W661" s="48"/>
      <c r="X661" s="50"/>
      <c r="Y661" s="50"/>
      <c r="Z661" s="48" t="str">
        <f aca="false">IF(A661="","",IF(AND(Parameter!$B$21="Ja",ISNUMBER(W661)),W661,IF(BZ661="2+3",IF(ISNUMBER(SEARCH("grosser Artikel",BR661)),2,IFERROR(VLOOKUP(BU661,Parameter!$F$35:$G$64,2,0),2)),IF(OR(BZ661="Nein",BZ661=""),"-",BZ661))))</f>
        <v>-</v>
      </c>
      <c r="AA661" s="55"/>
      <c r="AB661" s="56"/>
      <c r="AC661" s="50" t="n">
        <f aca="false">AT661</f>
        <v>2</v>
      </c>
      <c r="AD661" s="50" t="n">
        <f aca="false">MAX(AT661,H661)</f>
        <v>2</v>
      </c>
      <c r="AE661" s="57"/>
      <c r="AF661" s="50" t="n">
        <f aca="false">IF(LEFT(Cockpit!$C$5,1)="A",H661,IF(CE661=1,CF661,IF(LEFT(Cockpit!$C$5,1)="B",AK661,MAX(AK661,H661))))</f>
        <v>0</v>
      </c>
      <c r="AG661" s="50" t="n">
        <f aca="false">IF(BW661=1,0,ROUNDUP(AF661/BV661,0))</f>
        <v>0</v>
      </c>
      <c r="AH661" s="52" t="n">
        <f aca="false">IF(CL661&gt;0,CL661*MAX(1,AF661/X661),IF(BW661=1,IF(AF661&lt;=0,0,CA661*MAX(1,IF(H661&gt;0,AF661/H661,1))),IF(R661&gt;0,AG661/R661,0))/MAX(0.1,N(Parameter!$M$21)))</f>
        <v>0</v>
      </c>
      <c r="AI661" s="50" t="n">
        <f aca="false">AH661*BY661</f>
        <v>0</v>
      </c>
      <c r="AJ661" s="50" t="n">
        <f aca="false">AF661*G661</f>
        <v>0</v>
      </c>
      <c r="AK661" s="50" t="n">
        <f aca="false">ROUNDUP(MAX(J661/IF(CD661&gt;0,CD661,MAX(0.1,N(Cockpit!$C$6))),CG661)/BV661,0)*BV661</f>
        <v>2</v>
      </c>
      <c r="AL661" s="51" t="n">
        <f aca="false">IF(AI661&gt;0,J661/AI661,-1)</f>
        <v>-1</v>
      </c>
      <c r="AM661" s="51" t="str">
        <f aca="false">IF(AND(OR(CC661="L1",CC661="L23",CC661="LIFT"),AI661&gt;0),SUMIFS($AI$7:$AI$1843,$CC$7:$CC$1843,CC661,$AL$7:$AL$1843,"&gt;"&amp;AL661)+SUMIFS($AI$7:$AI$1843,$CC$7:$CC$1843,CC661,$AL$7:$AL$1843,AL661,$BT$7:$BT$1843,"&lt;="&amp;BT661),"")</f>
        <v/>
      </c>
      <c r="AN661" s="58" t="n">
        <f aca="false">IF(AM661="",0,MAX(0,MIN(1,(IF(CC661="L1",Parameter!$H$5,IF(CC661="L23",Parameter!$H$6+Parameter!$H$7,Parameter!$H$5+Parameter!$H$6+Parameter!$H$7))-(AM661-AI661))/AI661)))</f>
        <v>0</v>
      </c>
      <c r="AO661" s="50" t="n">
        <f aca="false">IF(LEFT(Cockpit!$I$5,1)="A",H661,IF(CE661=1,CF661,IF(LEFT(Cockpit!$I$5,1)="B",AT661,MAX(AT661,H661))))</f>
        <v>2</v>
      </c>
      <c r="AP661" s="50" t="n">
        <f aca="false">IF(BW661=1,0,ROUNDUP(AO661/BV661,0))</f>
        <v>0</v>
      </c>
      <c r="AQ661" s="52" t="n">
        <f aca="false">IF(CL661&gt;0,CL661*MAX(1,AO661/X661),IF(BW661=1,IF(AO661&lt;=0,0,CA661*MAX(1,IF(H661&gt;0,AO661/H661,1))),IF(R661&gt;0,AP661/R661,0))/MAX(0.1,N(Parameter!$M$21)))</f>
        <v>0.15</v>
      </c>
      <c r="AR661" s="50" t="n">
        <f aca="false">AQ661*BY661</f>
        <v>35.25</v>
      </c>
      <c r="AS661" s="50" t="n">
        <f aca="false">AO661*G661</f>
        <v>322.58</v>
      </c>
      <c r="AT661" s="50" t="n">
        <f aca="false">ROUNDUP(MAX(J661/IF(CD661&gt;0,CD661,MAX(0.1,N(Cockpit!$I$6))),CG661)/BV661,0)*BV661</f>
        <v>2</v>
      </c>
      <c r="AU661" s="51" t="n">
        <f aca="false">IF(AR661&gt;0,J661/AR661,-1)</f>
        <v>0.113475177304965</v>
      </c>
      <c r="AV661" s="51" t="str">
        <f aca="false">IF(AND(OR(CC661="L1",CC661="L23",CC661="LIFT"),AR661&gt;0),SUMIFS($AR$7:$AR$1843,$CC$7:$CC$1843,CC661,$AU$7:$AU$1843,"&gt;"&amp;AU661)+SUMIFS($AR$7:$AR$1843,$CC$7:$CC$1843,CC661,$AU$7:$AU$1843,AU661,$BT$7:$BT$1843,"&lt;="&amp;BT661),"")</f>
        <v/>
      </c>
      <c r="AW661" s="58" t="n">
        <f aca="false">IF(AV661="",0,MAX(0,MIN(1,(IF(CC661="L1",Parameter!$H$5,IF(CC661="L23",Parameter!$H$6+Parameter!$H$7,Parameter!$H$5+Parameter!$H$6+Parameter!$H$7))-(AV661-AR661))/AR661)))</f>
        <v>0</v>
      </c>
      <c r="AX661" s="50" t="n">
        <f aca="false">IF(LEFT(Cockpit!$O$5,1)="A",H661,IF(CE661=1,CF661,IF(LEFT(Cockpit!$O$5,1)="B",BC661,MAX(BC661,H661))))</f>
        <v>2</v>
      </c>
      <c r="AY661" s="50" t="n">
        <f aca="false">IF(BW661=1,0,ROUNDUP(AX661/BV661,0))</f>
        <v>0</v>
      </c>
      <c r="AZ661" s="52" t="n">
        <f aca="false">IF(CL661&gt;0,CL661*MAX(1,AX661/X661),IF(BW661=1,IF(AX661&lt;=0,0,CA661*MAX(1,IF(H661&gt;0,AX661/H661,1))),IF(R661&gt;0,AY661/R661,0))/MAX(0.1,N(Parameter!$M$21)))</f>
        <v>0.15</v>
      </c>
      <c r="BA661" s="50" t="n">
        <f aca="false">AZ661*BY661</f>
        <v>35.25</v>
      </c>
      <c r="BB661" s="50" t="n">
        <f aca="false">AX661*G661</f>
        <v>322.58</v>
      </c>
      <c r="BC661" s="50" t="n">
        <f aca="false">ROUNDUP(MAX(J661/IF(CD661&gt;0,CD661,MAX(0.1,N(Cockpit!$O$6))),CG661)/BV661,0)*BV661</f>
        <v>2</v>
      </c>
      <c r="BD661" s="51" t="n">
        <f aca="false">IF(BA661&gt;0,J661/BA661,-1)</f>
        <v>0.113475177304965</v>
      </c>
      <c r="BE661" s="51" t="str">
        <f aca="false">IF(AND(OR(CC661="L1",CC661="L23",CC661="LIFT"),BA661&gt;0),SUMIFS($BA$7:$BA$1843,$CC$7:$CC$1843,CC661,$BD$7:$BD$1843,"&gt;"&amp;BD661)+SUMIFS($BA$7:$BA$1843,$CC$7:$CC$1843,CC661,$BD$7:$BD$1843,BD661,$BT$7:$BT$1843,"&lt;="&amp;BT661),"")</f>
        <v/>
      </c>
      <c r="BF661" s="58" t="n">
        <f aca="false">IF(BE661="",0,MAX(0,MIN(1,(IF(CC661="L1",Parameter!$H$5,IF(CC661="L23",Parameter!$H$6+Parameter!$H$7,Parameter!$H$5+Parameter!$H$6+Parameter!$H$7))-(BE661-BA661))/BA661)))</f>
        <v>0</v>
      </c>
      <c r="BG661" s="48" t="str">
        <f aca="false">IF(AI661&lt;=0,"",IF(CC661="Aussen","Aussenlager",IF(CC661="-","Nicht im Lift",IF(AN661&gt;=1,"Lift",IF(AN661&lt;=0,"Aussenlager","teilweise")))))</f>
        <v/>
      </c>
      <c r="BH661" s="48" t="str">
        <f aca="false">IF(AR661&lt;=0,"",IF(CC661="Aussen","Aussenlager",IF(CC661="-","Nicht im Lift",IF(AW661&gt;=1,"Lift",IF(AW661&lt;=0,"Aussenlager","teilweise")))))</f>
        <v>Nicht im Lift</v>
      </c>
      <c r="BI661" s="48" t="str">
        <f aca="false">IF(BA661&lt;=0,"",IF(CC661="Aussen","Aussenlager",IF(CC661="-","Nicht im Lift",IF(BF661&gt;=1,"Lift",IF(BF661&lt;=0,"Aussenlager","teilweise")))))</f>
        <v>Nicht im Lift</v>
      </c>
      <c r="BJ661" s="48" t="str">
        <f aca="false">IF(A661="","",IF(BS661=1,"Neu; ","")&amp;IF(AND(BS661=0,BN661&lt;0),"negativer Bestand (Export "&amp;BN661&amp;"); ","")&amp;IF(J661&lt;=0,"Kein Verbrauch; ","")&amp;IF(CL661&gt;0,"Lift "&amp;W661&amp;" lt. Liftbericht (Fach "&amp;X661&amp;" Stk); ",IF(BX661=1,"Gebinde geschätzt ("&amp;T661&amp;"); ",IF(BW661=1,"Lose – Tablare geschätzt; ","")))&amp;IF(H661&gt;AT661,"Überbestand "&amp;ROUND(H661-AT661,0)&amp;" Stk / CHF "&amp;ROUND((H661-AT661)*G661,0)&amp;"; ","")&amp;IF(AND(CE661=1,CF661&lt;CG661),"MAX &lt; MB+LG; ","")&amp;IF(AND(CK661&gt;0,CJ661*10&gt;CK661),"zu hoch für Tablar; ","")&amp;IF(AND(BS661=0,OR(CE661=1,AA661&lt;&gt;"",U661&lt;&gt;"",V661&lt;&gt;"",AB661&lt;&gt;"")),"manuell übersteuert; ","")&amp;IF(AND(BW661=0,R661=0),"Gebinde unbekannt / Stellmass fehlt; ","")&amp;IF(AND(BW661=0,N(V661)&lt;=0,N(Q661)&lt;=0),"Menge pro Gebinde fehlt (Ist = 1 Gebinde); ","")&amp;BR661)</f>
        <v>Lose – Tablare geschätzt; </v>
      </c>
      <c r="BK661" s="48"/>
      <c r="BL661" s="48"/>
      <c r="BM661" s="55"/>
      <c r="BN661" s="50" t="n">
        <v>0</v>
      </c>
      <c r="BO661" s="50" t="n">
        <v>0</v>
      </c>
      <c r="BP661" s="49" t="n">
        <v>1.81903103690928E-014</v>
      </c>
      <c r="BQ661" s="50" t="n">
        <v>4</v>
      </c>
      <c r="BR661" s="48"/>
      <c r="BS661" s="53" t="n">
        <v>0</v>
      </c>
      <c r="BT661" s="53" t="n">
        <v>661</v>
      </c>
      <c r="BU661" s="48" t="str">
        <f aca="false">IF(U661&lt;&gt;"",UPPER(TRIM(U661)),IF(BX661=1,UPPER(VLOOKUP(T661,Parameter!$I$27:$K$29,2,0)),IF(P661="","LOSE",P661)))</f>
        <v>LOSE</v>
      </c>
      <c r="BV661" s="50" t="n">
        <f aca="false">IF(BU661="LOSE",1,IF(N(V661)&gt;0,V661,IF(BX661=1,MAX(1,N(VLOOKUP(T661,Parameter!$I$27:$K$29,3,0)),H661,N(N661)),IF(N(Q661)&gt;0,Q661,MAX(1,H661)))))</f>
        <v>1</v>
      </c>
      <c r="BW661" s="53" t="n">
        <f aca="false">IF(BU661="LOSE",1,0)</f>
        <v>1</v>
      </c>
      <c r="BX661" s="53" t="n">
        <f aca="false">IF(AND(U661="",OR(P661="",P661="LOSE"),T661&lt;&gt;"",N(S661)&lt;=0,ISNUMBER(MATCH(T661,Parameter!$I$27:$I$29,0))),1,0)</f>
        <v>0</v>
      </c>
      <c r="BY661" s="53" t="n">
        <f aca="false">IF(CL661&gt;0,INDEX(Parameter!$H$5:$H$7,W661)/INDEX(Parameter!$E$5:$E$7,W661),IF(AND(BW661=0,N(IFERROR(VLOOKUP(BU661,'Gebinde-Kategorie'!$A$5:$N$45,14,0),0))&gt;0),VLOOKUP(BU661,'Gebinde-Kategorie'!$A$5:$N$45,14,0)*10+Parameter!$M$23,Parameter!$M$24))</f>
        <v>235</v>
      </c>
      <c r="BZ661" s="48" t="str">
        <f aca="false">IF(AND(Parameter!$B$19="Ja",E661&lt;&gt;"",ISNUMBER(MATCH(E661,Parameter!$I$35:$I$52,0))),VLOOKUP(E661,Parameter!$I$35:$J$52,2,0),IFERROR(VLOOKUP(D661,Parameter!$A$35:$C$64,2,0),"Nein"))</f>
        <v>Nein</v>
      </c>
      <c r="CA661" s="52" t="n">
        <f aca="false">IF(BW661=0,0,IF(N(S661)&gt;0,S661,IFERROR(VLOOKUP(D661,Parameter!$A$35:$C$64,3,0)+0,0)))</f>
        <v>0.15</v>
      </c>
      <c r="CB661" s="48" t="str">
        <f aca="false">IF(AA661&lt;&gt;"",AA661,Z661)</f>
        <v>-</v>
      </c>
      <c r="CC661" s="48" t="str">
        <f aca="false">IF(OR(CB661=1,CB661=2,CB661=3),IF(Parameter!$E$27="Ja","LIFT",IF(CB661=1,"L1","L23")),IF(CB661="Aussen","Aussen","-"))</f>
        <v>-</v>
      </c>
      <c r="CD661" s="59" t="n">
        <f aca="false">IF(N(AB661)&gt;0,AB661,0)</f>
        <v>0</v>
      </c>
      <c r="CE661" s="53" t="n">
        <f aca="false">IF(ISNUMBER(AE661),1,0)</f>
        <v>0</v>
      </c>
      <c r="CF661" s="50" t="n">
        <f aca="false">N(AE661)</f>
        <v>0</v>
      </c>
      <c r="CG661" s="50" t="n">
        <f aca="false">N(M661)+N(N661)</f>
        <v>1</v>
      </c>
      <c r="CH661" s="50" t="n">
        <f aca="false">ROUNDUP(H661/BV661,0)</f>
        <v>0</v>
      </c>
      <c r="CI661" s="50" t="n">
        <f aca="false">ROUNDUP(CF661/BV661,0)</f>
        <v>0</v>
      </c>
      <c r="CJ661" s="53" t="n">
        <f aca="false">IF(BW661=1,0,IFERROR(VLOOKUP(BU661,'Gebinde-Kategorie'!$A$5:$N$45,5,0)+0,0))</f>
        <v>0</v>
      </c>
      <c r="CK661" s="53" t="n">
        <f aca="false">IFERROR(IF(OR(CB661=1,CB661=2,CB661=3),N(INDEX(Parameter!$I$5:$I$7,CB661)),0),0)</f>
        <v>0</v>
      </c>
      <c r="CL661" s="52" t="n">
        <f aca="false">IF(AND(Parameter!$B$21="Ja",ISNUMBER(W661),N(X661)&gt;0),IFERROR(N(INDEX(Parameter!$L$5:$L$7,W661))*INDEX(Parameter!$E$5:$E$7,W661)*X661/SUMIFS($X$7:$X$1843,$W$7:$W$1843,W661),0),0)</f>
        <v>0</v>
      </c>
    </row>
    <row r="662" customFormat="false" ht="15" hidden="false" customHeight="false" outlineLevel="0" collapsed="false">
      <c r="A662" s="48" t="s">
        <v>1337</v>
      </c>
      <c r="B662" s="48" t="s">
        <v>658</v>
      </c>
      <c r="C662" s="48" t="s">
        <v>168</v>
      </c>
      <c r="D662" s="48" t="s">
        <v>999</v>
      </c>
      <c r="E662" s="48"/>
      <c r="F662" s="48" t="s">
        <v>222</v>
      </c>
      <c r="G662" s="49" t="n">
        <v>0.27</v>
      </c>
      <c r="H662" s="50" t="n">
        <f aca="false">MAX(0,IF(AND(Parameter!$B$21="Ja",ISNUMBER(Y662)),Y662,IF(Parameter!$B$20="Jahresanfang 2025 + Export",BO662+BN662,BN662)))</f>
        <v>0</v>
      </c>
      <c r="I662" s="50" t="n">
        <f aca="false">H662*G662</f>
        <v>0</v>
      </c>
      <c r="J662" s="50" t="n">
        <f aca="false">BQ662*Parameter!$B$18</f>
        <v>60</v>
      </c>
      <c r="K662" s="51" t="n">
        <v>0</v>
      </c>
      <c r="L662" s="52" t="n">
        <v>0</v>
      </c>
      <c r="M662" s="50" t="n">
        <v>0</v>
      </c>
      <c r="N662" s="50" t="n">
        <v>1</v>
      </c>
      <c r="O662" s="53" t="n">
        <v>28</v>
      </c>
      <c r="P662" s="48" t="s">
        <v>172</v>
      </c>
      <c r="Q662" s="50"/>
      <c r="R662" s="53" t="n">
        <f aca="false">IF(BW662=1,0,IFERROR(VLOOKUP(BU662,'Gebinde-Kategorie'!$A$5:$N$45,13,0)+0,0))</f>
        <v>0</v>
      </c>
      <c r="S662" s="54"/>
      <c r="T662" s="55"/>
      <c r="U662" s="55"/>
      <c r="V662" s="55"/>
      <c r="W662" s="48"/>
      <c r="X662" s="50"/>
      <c r="Y662" s="50"/>
      <c r="Z662" s="48" t="str">
        <f aca="false">IF(A662="","",IF(AND(Parameter!$B$21="Ja",ISNUMBER(W662)),W662,IF(BZ662="2+3",IF(ISNUMBER(SEARCH("grosser Artikel",BR662)),2,IFERROR(VLOOKUP(BU662,Parameter!$F$35:$G$64,2,0),2)),IF(OR(BZ662="Nein",BZ662=""),"-",BZ662))))</f>
        <v>-</v>
      </c>
      <c r="AA662" s="55"/>
      <c r="AB662" s="56"/>
      <c r="AC662" s="50" t="n">
        <f aca="false">AT662</f>
        <v>30</v>
      </c>
      <c r="AD662" s="50" t="n">
        <f aca="false">MAX(AT662,H662)</f>
        <v>30</v>
      </c>
      <c r="AE662" s="57"/>
      <c r="AF662" s="50" t="n">
        <f aca="false">IF(LEFT(Cockpit!$C$5,1)="A",H662,IF(CE662=1,CF662,IF(LEFT(Cockpit!$C$5,1)="B",AK662,MAX(AK662,H662))))</f>
        <v>0</v>
      </c>
      <c r="AG662" s="50" t="n">
        <f aca="false">IF(BW662=1,0,ROUNDUP(AF662/BV662,0))</f>
        <v>0</v>
      </c>
      <c r="AH662" s="52" t="n">
        <f aca="false">IF(CL662&gt;0,CL662*MAX(1,AF662/X662),IF(BW662=1,IF(AF662&lt;=0,0,CA662*MAX(1,IF(H662&gt;0,AF662/H662,1))),IF(R662&gt;0,AG662/R662,0))/MAX(0.1,N(Parameter!$M$21)))</f>
        <v>0</v>
      </c>
      <c r="AI662" s="50" t="n">
        <f aca="false">AH662*BY662</f>
        <v>0</v>
      </c>
      <c r="AJ662" s="50" t="n">
        <f aca="false">AF662*G662</f>
        <v>0</v>
      </c>
      <c r="AK662" s="50" t="n">
        <f aca="false">ROUNDUP(MAX(J662/IF(CD662&gt;0,CD662,MAX(0.1,N(Cockpit!$C$6))),CG662)/BV662,0)*BV662</f>
        <v>30</v>
      </c>
      <c r="AL662" s="51" t="n">
        <f aca="false">IF(AI662&gt;0,J662/AI662,-1)</f>
        <v>-1</v>
      </c>
      <c r="AM662" s="51" t="str">
        <f aca="false">IF(AND(OR(CC662="L1",CC662="L23",CC662="LIFT"),AI662&gt;0),SUMIFS($AI$7:$AI$1843,$CC$7:$CC$1843,CC662,$AL$7:$AL$1843,"&gt;"&amp;AL662)+SUMIFS($AI$7:$AI$1843,$CC$7:$CC$1843,CC662,$AL$7:$AL$1843,AL662,$BT$7:$BT$1843,"&lt;="&amp;BT662),"")</f>
        <v/>
      </c>
      <c r="AN662" s="58" t="n">
        <f aca="false">IF(AM662="",0,MAX(0,MIN(1,(IF(CC662="L1",Parameter!$H$5,IF(CC662="L23",Parameter!$H$6+Parameter!$H$7,Parameter!$H$5+Parameter!$H$6+Parameter!$H$7))-(AM662-AI662))/AI662)))</f>
        <v>0</v>
      </c>
      <c r="AO662" s="50" t="n">
        <f aca="false">IF(LEFT(Cockpit!$I$5,1)="A",H662,IF(CE662=1,CF662,IF(LEFT(Cockpit!$I$5,1)="B",AT662,MAX(AT662,H662))))</f>
        <v>30</v>
      </c>
      <c r="AP662" s="50" t="n">
        <f aca="false">IF(BW662=1,0,ROUNDUP(AO662/BV662,0))</f>
        <v>0</v>
      </c>
      <c r="AQ662" s="52" t="n">
        <f aca="false">IF(CL662&gt;0,CL662*MAX(1,AO662/X662),IF(BW662=1,IF(AO662&lt;=0,0,CA662*MAX(1,IF(H662&gt;0,AO662/H662,1))),IF(R662&gt;0,AP662/R662,0))/MAX(0.1,N(Parameter!$M$21)))</f>
        <v>0.15</v>
      </c>
      <c r="AR662" s="50" t="n">
        <f aca="false">AQ662*BY662</f>
        <v>35.25</v>
      </c>
      <c r="AS662" s="50" t="n">
        <f aca="false">AO662*G662</f>
        <v>8.1</v>
      </c>
      <c r="AT662" s="50" t="n">
        <f aca="false">ROUNDUP(MAX(J662/IF(CD662&gt;0,CD662,MAX(0.1,N(Cockpit!$I$6))),CG662)/BV662,0)*BV662</f>
        <v>30</v>
      </c>
      <c r="AU662" s="51" t="n">
        <f aca="false">IF(AR662&gt;0,J662/AR662,-1)</f>
        <v>1.70212765957447</v>
      </c>
      <c r="AV662" s="51" t="str">
        <f aca="false">IF(AND(OR(CC662="L1",CC662="L23",CC662="LIFT"),AR662&gt;0),SUMIFS($AR$7:$AR$1843,$CC$7:$CC$1843,CC662,$AU$7:$AU$1843,"&gt;"&amp;AU662)+SUMIFS($AR$7:$AR$1843,$CC$7:$CC$1843,CC662,$AU$7:$AU$1843,AU662,$BT$7:$BT$1843,"&lt;="&amp;BT662),"")</f>
        <v/>
      </c>
      <c r="AW662" s="58" t="n">
        <f aca="false">IF(AV662="",0,MAX(0,MIN(1,(IF(CC662="L1",Parameter!$H$5,IF(CC662="L23",Parameter!$H$6+Parameter!$H$7,Parameter!$H$5+Parameter!$H$6+Parameter!$H$7))-(AV662-AR662))/AR662)))</f>
        <v>0</v>
      </c>
      <c r="AX662" s="50" t="n">
        <f aca="false">IF(LEFT(Cockpit!$O$5,1)="A",H662,IF(CE662=1,CF662,IF(LEFT(Cockpit!$O$5,1)="B",BC662,MAX(BC662,H662))))</f>
        <v>20</v>
      </c>
      <c r="AY662" s="50" t="n">
        <f aca="false">IF(BW662=1,0,ROUNDUP(AX662/BV662,0))</f>
        <v>0</v>
      </c>
      <c r="AZ662" s="52" t="n">
        <f aca="false">IF(CL662&gt;0,CL662*MAX(1,AX662/X662),IF(BW662=1,IF(AX662&lt;=0,0,CA662*MAX(1,IF(H662&gt;0,AX662/H662,1))),IF(R662&gt;0,AY662/R662,0))/MAX(0.1,N(Parameter!$M$21)))</f>
        <v>0.15</v>
      </c>
      <c r="BA662" s="50" t="n">
        <f aca="false">AZ662*BY662</f>
        <v>35.25</v>
      </c>
      <c r="BB662" s="50" t="n">
        <f aca="false">AX662*G662</f>
        <v>5.4</v>
      </c>
      <c r="BC662" s="50" t="n">
        <f aca="false">ROUNDUP(MAX(J662/IF(CD662&gt;0,CD662,MAX(0.1,N(Cockpit!$O$6))),CG662)/BV662,0)*BV662</f>
        <v>20</v>
      </c>
      <c r="BD662" s="51" t="n">
        <f aca="false">IF(BA662&gt;0,J662/BA662,-1)</f>
        <v>1.70212765957447</v>
      </c>
      <c r="BE662" s="51" t="str">
        <f aca="false">IF(AND(OR(CC662="L1",CC662="L23",CC662="LIFT"),BA662&gt;0),SUMIFS($BA$7:$BA$1843,$CC$7:$CC$1843,CC662,$BD$7:$BD$1843,"&gt;"&amp;BD662)+SUMIFS($BA$7:$BA$1843,$CC$7:$CC$1843,CC662,$BD$7:$BD$1843,BD662,$BT$7:$BT$1843,"&lt;="&amp;BT662),"")</f>
        <v/>
      </c>
      <c r="BF662" s="58" t="n">
        <f aca="false">IF(BE662="",0,MAX(0,MIN(1,(IF(CC662="L1",Parameter!$H$5,IF(CC662="L23",Parameter!$H$6+Parameter!$H$7,Parameter!$H$5+Parameter!$H$6+Parameter!$H$7))-(BE662-BA662))/BA662)))</f>
        <v>0</v>
      </c>
      <c r="BG662" s="48" t="str">
        <f aca="false">IF(AI662&lt;=0,"",IF(CC662="Aussen","Aussenlager",IF(CC662="-","Nicht im Lift",IF(AN662&gt;=1,"Lift",IF(AN662&lt;=0,"Aussenlager","teilweise")))))</f>
        <v/>
      </c>
      <c r="BH662" s="48" t="str">
        <f aca="false">IF(AR662&lt;=0,"",IF(CC662="Aussen","Aussenlager",IF(CC662="-","Nicht im Lift",IF(AW662&gt;=1,"Lift",IF(AW662&lt;=0,"Aussenlager","teilweise")))))</f>
        <v>Nicht im Lift</v>
      </c>
      <c r="BI662" s="48" t="str">
        <f aca="false">IF(BA662&lt;=0,"",IF(CC662="Aussen","Aussenlager",IF(CC662="-","Nicht im Lift",IF(BF662&gt;=1,"Lift",IF(BF662&lt;=0,"Aussenlager","teilweise")))))</f>
        <v>Nicht im Lift</v>
      </c>
      <c r="BJ662" s="48" t="str">
        <f aca="false">IF(A662="","",IF(BS662=1,"Neu; ","")&amp;IF(AND(BS662=0,BN662&lt;0),"negativer Bestand (Export "&amp;BN662&amp;"); ","")&amp;IF(J662&lt;=0,"Kein Verbrauch; ","")&amp;IF(CL662&gt;0,"Lift "&amp;W662&amp;" lt. Liftbericht (Fach "&amp;X662&amp;" Stk); ",IF(BX662=1,"Gebinde geschätzt ("&amp;T662&amp;"); ",IF(BW662=1,"Lose – Tablare geschätzt; ","")))&amp;IF(H662&gt;AT662,"Überbestand "&amp;ROUND(H662-AT662,0)&amp;" Stk / CHF "&amp;ROUND((H662-AT662)*G662,0)&amp;"; ","")&amp;IF(AND(CE662=1,CF662&lt;CG662),"MAX &lt; MB+LG; ","")&amp;IF(AND(CK662&gt;0,CJ662*10&gt;CK662),"zu hoch für Tablar; ","")&amp;IF(AND(BS662=0,OR(CE662=1,AA662&lt;&gt;"",U662&lt;&gt;"",V662&lt;&gt;"",AB662&lt;&gt;"")),"manuell übersteuert; ","")&amp;IF(AND(BW662=0,R662=0),"Gebinde unbekannt / Stellmass fehlt; ","")&amp;IF(AND(BW662=0,N(V662)&lt;=0,N(Q662)&lt;=0),"Menge pro Gebinde fehlt (Ist = 1 Gebinde); ","")&amp;BR662)</f>
        <v>Lose – Tablare geschätzt; </v>
      </c>
      <c r="BK662" s="48"/>
      <c r="BL662" s="48"/>
      <c r="BM662" s="55"/>
      <c r="BN662" s="50" t="n">
        <v>0</v>
      </c>
      <c r="BO662" s="50" t="n">
        <v>0</v>
      </c>
      <c r="BP662" s="49" t="n">
        <v>8.88178419700125E-016</v>
      </c>
      <c r="BQ662" s="50" t="n">
        <v>60</v>
      </c>
      <c r="BR662" s="48"/>
      <c r="BS662" s="53" t="n">
        <v>0</v>
      </c>
      <c r="BT662" s="53" t="n">
        <v>662</v>
      </c>
      <c r="BU662" s="48" t="str">
        <f aca="false">IF(U662&lt;&gt;"",UPPER(TRIM(U662)),IF(BX662=1,UPPER(VLOOKUP(T662,Parameter!$I$27:$K$29,2,0)),IF(P662="","LOSE",P662)))</f>
        <v>LOSE</v>
      </c>
      <c r="BV662" s="50" t="n">
        <f aca="false">IF(BU662="LOSE",1,IF(N(V662)&gt;0,V662,IF(BX662=1,MAX(1,N(VLOOKUP(T662,Parameter!$I$27:$K$29,3,0)),H662,N(N662)),IF(N(Q662)&gt;0,Q662,MAX(1,H662)))))</f>
        <v>1</v>
      </c>
      <c r="BW662" s="53" t="n">
        <f aca="false">IF(BU662="LOSE",1,0)</f>
        <v>1</v>
      </c>
      <c r="BX662" s="53" t="n">
        <f aca="false">IF(AND(U662="",OR(P662="",P662="LOSE"),T662&lt;&gt;"",N(S662)&lt;=0,ISNUMBER(MATCH(T662,Parameter!$I$27:$I$29,0))),1,0)</f>
        <v>0</v>
      </c>
      <c r="BY662" s="53" t="n">
        <f aca="false">IF(CL662&gt;0,INDEX(Parameter!$H$5:$H$7,W662)/INDEX(Parameter!$E$5:$E$7,W662),IF(AND(BW662=0,N(IFERROR(VLOOKUP(BU662,'Gebinde-Kategorie'!$A$5:$N$45,14,0),0))&gt;0),VLOOKUP(BU662,'Gebinde-Kategorie'!$A$5:$N$45,14,0)*10+Parameter!$M$23,Parameter!$M$24))</f>
        <v>235</v>
      </c>
      <c r="BZ662" s="48" t="str">
        <f aca="false">IF(AND(Parameter!$B$19="Ja",E662&lt;&gt;"",ISNUMBER(MATCH(E662,Parameter!$I$35:$I$52,0))),VLOOKUP(E662,Parameter!$I$35:$J$52,2,0),IFERROR(VLOOKUP(D662,Parameter!$A$35:$C$64,2,0),"Nein"))</f>
        <v>Nein</v>
      </c>
      <c r="CA662" s="52" t="n">
        <f aca="false">IF(BW662=0,0,IF(N(S662)&gt;0,S662,IFERROR(VLOOKUP(D662,Parameter!$A$35:$C$64,3,0)+0,0)))</f>
        <v>0.15</v>
      </c>
      <c r="CB662" s="48" t="str">
        <f aca="false">IF(AA662&lt;&gt;"",AA662,Z662)</f>
        <v>-</v>
      </c>
      <c r="CC662" s="48" t="str">
        <f aca="false">IF(OR(CB662=1,CB662=2,CB662=3),IF(Parameter!$E$27="Ja","LIFT",IF(CB662=1,"L1","L23")),IF(CB662="Aussen","Aussen","-"))</f>
        <v>-</v>
      </c>
      <c r="CD662" s="59" t="n">
        <f aca="false">IF(N(AB662)&gt;0,AB662,0)</f>
        <v>0</v>
      </c>
      <c r="CE662" s="53" t="n">
        <f aca="false">IF(ISNUMBER(AE662),1,0)</f>
        <v>0</v>
      </c>
      <c r="CF662" s="50" t="n">
        <f aca="false">N(AE662)</f>
        <v>0</v>
      </c>
      <c r="CG662" s="50" t="n">
        <f aca="false">N(M662)+N(N662)</f>
        <v>1</v>
      </c>
      <c r="CH662" s="50" t="n">
        <f aca="false">ROUNDUP(H662/BV662,0)</f>
        <v>0</v>
      </c>
      <c r="CI662" s="50" t="n">
        <f aca="false">ROUNDUP(CF662/BV662,0)</f>
        <v>0</v>
      </c>
      <c r="CJ662" s="53" t="n">
        <f aca="false">IF(BW662=1,0,IFERROR(VLOOKUP(BU662,'Gebinde-Kategorie'!$A$5:$N$45,5,0)+0,0))</f>
        <v>0</v>
      </c>
      <c r="CK662" s="53" t="n">
        <f aca="false">IFERROR(IF(OR(CB662=1,CB662=2,CB662=3),N(INDEX(Parameter!$I$5:$I$7,CB662)),0),0)</f>
        <v>0</v>
      </c>
      <c r="CL662" s="52" t="n">
        <f aca="false">IF(AND(Parameter!$B$21="Ja",ISNUMBER(W662),N(X662)&gt;0),IFERROR(N(INDEX(Parameter!$L$5:$L$7,W662))*INDEX(Parameter!$E$5:$E$7,W662)*X662/SUMIFS($X$7:$X$1843,$W$7:$W$1843,W662),0),0)</f>
        <v>0</v>
      </c>
    </row>
    <row r="663" customFormat="false" ht="15" hidden="false" customHeight="false" outlineLevel="0" collapsed="false">
      <c r="A663" s="48" t="s">
        <v>1338</v>
      </c>
      <c r="B663" s="48" t="s">
        <v>1339</v>
      </c>
      <c r="C663" s="48" t="s">
        <v>168</v>
      </c>
      <c r="D663" s="48" t="s">
        <v>177</v>
      </c>
      <c r="E663" s="48"/>
      <c r="F663" s="48" t="s">
        <v>222</v>
      </c>
      <c r="G663" s="49" t="n">
        <v>0.01</v>
      </c>
      <c r="H663" s="50" t="n">
        <f aca="false">MAX(0,IF(AND(Parameter!$B$21="Ja",ISNUMBER(Y663)),Y663,IF(Parameter!$B$20="Jahresanfang 2025 + Export",BO663+BN663,BN663)))</f>
        <v>0</v>
      </c>
      <c r="I663" s="50" t="n">
        <f aca="false">H663*G663</f>
        <v>0</v>
      </c>
      <c r="J663" s="50" t="n">
        <f aca="false">BQ663*Parameter!$B$18</f>
        <v>31</v>
      </c>
      <c r="K663" s="51" t="n">
        <v>50</v>
      </c>
      <c r="L663" s="52" t="n">
        <v>0.62</v>
      </c>
      <c r="M663" s="50" t="n">
        <v>0</v>
      </c>
      <c r="N663" s="50" t="n">
        <v>1</v>
      </c>
      <c r="O663" s="53" t="n">
        <v>0</v>
      </c>
      <c r="P663" s="48" t="s">
        <v>172</v>
      </c>
      <c r="Q663" s="50"/>
      <c r="R663" s="53" t="n">
        <f aca="false">IF(BW663=1,0,IFERROR(VLOOKUP(BU663,'Gebinde-Kategorie'!$A$5:$N$45,13,0)+0,0))</f>
        <v>12</v>
      </c>
      <c r="S663" s="54"/>
      <c r="T663" s="55" t="s">
        <v>183</v>
      </c>
      <c r="U663" s="55"/>
      <c r="V663" s="55"/>
      <c r="W663" s="48"/>
      <c r="X663" s="50"/>
      <c r="Y663" s="50"/>
      <c r="Z663" s="48" t="n">
        <f aca="false">IF(A663="","",IF(AND(Parameter!$B$21="Ja",ISNUMBER(W663)),W663,IF(BZ663="2+3",IF(ISNUMBER(SEARCH("grosser Artikel",BR663)),2,IFERROR(VLOOKUP(BU663,Parameter!$F$35:$G$64,2,0),2)),IF(OR(BZ663="Nein",BZ663=""),"-",BZ663))))</f>
        <v>2</v>
      </c>
      <c r="AA663" s="55"/>
      <c r="AB663" s="56"/>
      <c r="AC663" s="50" t="n">
        <f aca="false">AT663</f>
        <v>16</v>
      </c>
      <c r="AD663" s="50" t="n">
        <f aca="false">MAX(AT663,H663)</f>
        <v>16</v>
      </c>
      <c r="AE663" s="57"/>
      <c r="AF663" s="50" t="n">
        <f aca="false">IF(LEFT(Cockpit!$C$5,1)="A",H663,IF(CE663=1,CF663,IF(LEFT(Cockpit!$C$5,1)="B",AK663,MAX(AK663,H663))))</f>
        <v>0</v>
      </c>
      <c r="AG663" s="50" t="n">
        <f aca="false">IF(BW663=1,0,ROUNDUP(AF663/BV663,0))</f>
        <v>0</v>
      </c>
      <c r="AH663" s="52" t="n">
        <f aca="false">IF(CL663&gt;0,CL663*MAX(1,AF663/X663),IF(BW663=1,IF(AF663&lt;=0,0,CA663*MAX(1,IF(H663&gt;0,AF663/H663,1))),IF(R663&gt;0,AG663/R663,0))/MAX(0.1,N(Parameter!$M$21)))</f>
        <v>0</v>
      </c>
      <c r="AI663" s="50" t="n">
        <f aca="false">AH663*BY663</f>
        <v>0</v>
      </c>
      <c r="AJ663" s="50" t="n">
        <f aca="false">AF663*G663</f>
        <v>0</v>
      </c>
      <c r="AK663" s="50" t="n">
        <f aca="false">ROUNDUP(MAX(J663/IF(CD663&gt;0,CD663,MAX(0.1,N(Cockpit!$C$6))),CG663)/BV663,0)*BV663</f>
        <v>16</v>
      </c>
      <c r="AL663" s="51" t="n">
        <f aca="false">IF(AI663&gt;0,J663/AI663,-1)</f>
        <v>-1</v>
      </c>
      <c r="AM663" s="51" t="str">
        <f aca="false">IF(AND(OR(CC663="L1",CC663="L23",CC663="LIFT"),AI663&gt;0),SUMIFS($AI$7:$AI$1843,$CC$7:$CC$1843,CC663,$AL$7:$AL$1843,"&gt;"&amp;AL663)+SUMIFS($AI$7:$AI$1843,$CC$7:$CC$1843,CC663,$AL$7:$AL$1843,AL663,$BT$7:$BT$1843,"&lt;="&amp;BT663),"")</f>
        <v/>
      </c>
      <c r="AN663" s="58" t="n">
        <f aca="false">IF(AM663="",0,MAX(0,MIN(1,(IF(CC663="L1",Parameter!$H$5,IF(CC663="L23",Parameter!$H$6+Parameter!$H$7,Parameter!$H$5+Parameter!$H$6+Parameter!$H$7))-(AM663-AI663))/AI663)))</f>
        <v>0</v>
      </c>
      <c r="AO663" s="50" t="n">
        <f aca="false">IF(LEFT(Cockpit!$I$5,1)="A",H663,IF(CE663=1,CF663,IF(LEFT(Cockpit!$I$5,1)="B",AT663,MAX(AT663,H663))))</f>
        <v>16</v>
      </c>
      <c r="AP663" s="50" t="n">
        <f aca="false">IF(BW663=1,0,ROUNDUP(AO663/BV663,0))</f>
        <v>4</v>
      </c>
      <c r="AQ663" s="52" t="n">
        <f aca="false">IF(CL663&gt;0,CL663*MAX(1,AO663/X663),IF(BW663=1,IF(AO663&lt;=0,0,CA663*MAX(1,IF(H663&gt;0,AO663/H663,1))),IF(R663&gt;0,AP663/R663,0))/MAX(0.1,N(Parameter!$M$21)))</f>
        <v>0.333333333333333</v>
      </c>
      <c r="AR663" s="50" t="n">
        <f aca="false">AQ663*BY663</f>
        <v>48.3333333333333</v>
      </c>
      <c r="AS663" s="50" t="n">
        <f aca="false">AO663*G663</f>
        <v>0.16</v>
      </c>
      <c r="AT663" s="50" t="n">
        <f aca="false">ROUNDUP(MAX(J663/IF(CD663&gt;0,CD663,MAX(0.1,N(Cockpit!$I$6))),CG663)/BV663,0)*BV663</f>
        <v>16</v>
      </c>
      <c r="AU663" s="51" t="n">
        <f aca="false">IF(AR663&gt;0,J663/AR663,-1)</f>
        <v>0.641379310344828</v>
      </c>
      <c r="AV663" s="51" t="n">
        <f aca="false">IF(AND(OR(CC663="L1",CC663="L23",CC663="LIFT"),AR663&gt;0),SUMIFS($AR$7:$AR$1843,$CC$7:$CC$1843,CC663,$AU$7:$AU$1843,"&gt;"&amp;AU663)+SUMIFS($AR$7:$AR$1843,$CC$7:$CC$1843,CC663,$AU$7:$AU$1843,AU663,$BT$7:$BT$1843,"&lt;="&amp;BT663),"")</f>
        <v>12195.6222527473</v>
      </c>
      <c r="AW663" s="58" t="n">
        <f aca="false">IF(AV663="",0,MAX(0,MIN(1,(IF(CC663="L1",Parameter!$H$5,IF(CC663="L23",Parameter!$H$6+Parameter!$H$7,Parameter!$H$5+Parameter!$H$6+Parameter!$H$7))-(AV663-AR663))/AR663)))</f>
        <v>1</v>
      </c>
      <c r="AX663" s="50" t="n">
        <f aca="false">IF(LEFT(Cockpit!$O$5,1)="A",H663,IF(CE663=1,CF663,IF(LEFT(Cockpit!$O$5,1)="B",BC663,MAX(BC663,H663))))</f>
        <v>12</v>
      </c>
      <c r="AY663" s="50" t="n">
        <f aca="false">IF(BW663=1,0,ROUNDUP(AX663/BV663,0))</f>
        <v>3</v>
      </c>
      <c r="AZ663" s="52" t="n">
        <f aca="false">IF(CL663&gt;0,CL663*MAX(1,AX663/X663),IF(BW663=1,IF(AX663&lt;=0,0,CA663*MAX(1,IF(H663&gt;0,AX663/H663,1))),IF(R663&gt;0,AY663/R663,0))/MAX(0.1,N(Parameter!$M$21)))</f>
        <v>0.25</v>
      </c>
      <c r="BA663" s="50" t="n">
        <f aca="false">AZ663*BY663</f>
        <v>36.25</v>
      </c>
      <c r="BB663" s="50" t="n">
        <f aca="false">AX663*G663</f>
        <v>0.12</v>
      </c>
      <c r="BC663" s="50" t="n">
        <f aca="false">ROUNDUP(MAX(J663/IF(CD663&gt;0,CD663,MAX(0.1,N(Cockpit!$O$6))),CG663)/BV663,0)*BV663</f>
        <v>12</v>
      </c>
      <c r="BD663" s="51" t="n">
        <f aca="false">IF(BA663&gt;0,J663/BA663,-1)</f>
        <v>0.855172413793104</v>
      </c>
      <c r="BE663" s="51" t="n">
        <f aca="false">IF(AND(OR(CC663="L1",CC663="L23",CC663="LIFT"),BA663&gt;0),SUMIFS($BA$7:$BA$1843,$CC$7:$CC$1843,CC663,$BD$7:$BD$1843,"&gt;"&amp;BD663)+SUMIFS($BA$7:$BA$1843,$CC$7:$CC$1843,CC663,$BD$7:$BD$1843,BD663,$BT$7:$BT$1843,"&lt;="&amp;BT663),"")</f>
        <v>10271.4235347985</v>
      </c>
      <c r="BF663" s="58" t="n">
        <f aca="false">IF(BE663="",0,MAX(0,MIN(1,(IF(CC663="L1",Parameter!$H$5,IF(CC663="L23",Parameter!$H$6+Parameter!$H$7,Parameter!$H$5+Parameter!$H$6+Parameter!$H$7))-(BE663-BA663))/BA663)))</f>
        <v>1</v>
      </c>
      <c r="BG663" s="48" t="str">
        <f aca="false">IF(AI663&lt;=0,"",IF(CC663="Aussen","Aussenlager",IF(CC663="-","Nicht im Lift",IF(AN663&gt;=1,"Lift",IF(AN663&lt;=0,"Aussenlager","teilweise")))))</f>
        <v/>
      </c>
      <c r="BH663" s="48" t="str">
        <f aca="false">IF(AR663&lt;=0,"",IF(CC663="Aussen","Aussenlager",IF(CC663="-","Nicht im Lift",IF(AW663&gt;=1,"Lift",IF(AW663&lt;=0,"Aussenlager","teilweise")))))</f>
        <v>Lift</v>
      </c>
      <c r="BI663" s="48" t="str">
        <f aca="false">IF(BA663&lt;=0,"",IF(CC663="Aussen","Aussenlager",IF(CC663="-","Nicht im Lift",IF(BF663&gt;=1,"Lift",IF(BF663&lt;=0,"Aussenlager","teilweise")))))</f>
        <v>Lift</v>
      </c>
      <c r="BJ663" s="48" t="str">
        <f aca="false">IF(A663="","",IF(BS663=1,"Neu; ","")&amp;IF(AND(BS663=0,BN663&lt;0),"negativer Bestand (Export "&amp;BN663&amp;"); ","")&amp;IF(J663&lt;=0,"Kein Verbrauch; ","")&amp;IF(CL663&gt;0,"Lift "&amp;W663&amp;" lt. Liftbericht (Fach "&amp;X663&amp;" Stk); ",IF(BX663=1,"Gebinde geschätzt ("&amp;T663&amp;"); ",IF(BW663=1,"Lose – Tablare geschätzt; ","")))&amp;IF(H663&gt;AT663,"Überbestand "&amp;ROUND(H663-AT663,0)&amp;" Stk / CHF "&amp;ROUND((H663-AT663)*G663,0)&amp;"; ","")&amp;IF(AND(CE663=1,CF663&lt;CG663),"MAX &lt; MB+LG; ","")&amp;IF(AND(CK663&gt;0,CJ663*10&gt;CK663),"zu hoch für Tablar; ","")&amp;IF(AND(BS663=0,OR(CE663=1,AA663&lt;&gt;"",U663&lt;&gt;"",V663&lt;&gt;"",AB663&lt;&gt;"")),"manuell übersteuert; ","")&amp;IF(AND(BW663=0,R663=0),"Gebinde unbekannt / Stellmass fehlt; ","")&amp;IF(AND(BW663=0,N(V663)&lt;=0,N(Q663)&lt;=0),"Menge pro Gebinde fehlt (Ist = 1 Gebinde); ","")&amp;BR663)</f>
        <v>negativer Bestand (Export -100); Gebinde geschätzt (Mittel); Menge pro Gebinde fehlt (Ist = 1 Gebinde); </v>
      </c>
      <c r="BK663" s="48"/>
      <c r="BL663" s="48"/>
      <c r="BM663" s="55"/>
      <c r="BN663" s="50" t="n">
        <v>-100</v>
      </c>
      <c r="BO663" s="50" t="n">
        <v>100</v>
      </c>
      <c r="BP663" s="49" t="n">
        <v>1.11022302462516E-016</v>
      </c>
      <c r="BQ663" s="50" t="n">
        <v>31</v>
      </c>
      <c r="BR663" s="48"/>
      <c r="BS663" s="53" t="n">
        <v>0</v>
      </c>
      <c r="BT663" s="53" t="n">
        <v>663</v>
      </c>
      <c r="BU663" s="48" t="str">
        <f aca="false">IF(U663&lt;&gt;"",UPPER(TRIM(U663)),IF(BX663=1,UPPER(VLOOKUP(T663,Parameter!$I$27:$K$29,2,0)),IF(P663="","LOSE",P663)))</f>
        <v>S61</v>
      </c>
      <c r="BV663" s="50" t="n">
        <f aca="false">IF(BU663="LOSE",1,IF(N(V663)&gt;0,V663,IF(BX663=1,MAX(1,N(VLOOKUP(T663,Parameter!$I$27:$K$29,3,0)),H663,N(N663)),IF(N(Q663)&gt;0,Q663,MAX(1,H663)))))</f>
        <v>4</v>
      </c>
      <c r="BW663" s="53" t="n">
        <f aca="false">IF(BU663="LOSE",1,0)</f>
        <v>0</v>
      </c>
      <c r="BX663" s="53" t="n">
        <f aca="false">IF(AND(U663="",OR(P663="",P663="LOSE"),T663&lt;&gt;"",N(S663)&lt;=0,ISNUMBER(MATCH(T663,Parameter!$I$27:$I$29,0))),1,0)</f>
        <v>1</v>
      </c>
      <c r="BY663" s="53" t="n">
        <f aca="false">IF(CL663&gt;0,INDEX(Parameter!$H$5:$H$7,W663)/INDEX(Parameter!$E$5:$E$7,W663),IF(AND(BW663=0,N(IFERROR(VLOOKUP(BU663,'Gebinde-Kategorie'!$A$5:$N$45,14,0),0))&gt;0),VLOOKUP(BU663,'Gebinde-Kategorie'!$A$5:$N$45,14,0)*10+Parameter!$M$23,Parameter!$M$24))</f>
        <v>145</v>
      </c>
      <c r="BZ663" s="48" t="str">
        <f aca="false">IF(AND(Parameter!$B$19="Ja",E663&lt;&gt;"",ISNUMBER(MATCH(E663,Parameter!$I$35:$I$52,0))),VLOOKUP(E663,Parameter!$I$35:$J$52,2,0),IFERROR(VLOOKUP(D663,Parameter!$A$35:$C$64,2,0),"Nein"))</f>
        <v>2+3</v>
      </c>
      <c r="CA663" s="52" t="n">
        <f aca="false">IF(BW663=0,0,IF(N(S663)&gt;0,S663,IFERROR(VLOOKUP(D663,Parameter!$A$35:$C$64,3,0)+0,0)))</f>
        <v>0</v>
      </c>
      <c r="CB663" s="48" t="n">
        <f aca="false">IF(AA663&lt;&gt;"",AA663,Z663)</f>
        <v>2</v>
      </c>
      <c r="CC663" s="48" t="str">
        <f aca="false">IF(OR(CB663=1,CB663=2,CB663=3),IF(Parameter!$E$27="Ja","LIFT",IF(CB663=1,"L1","L23")),IF(CB663="Aussen","Aussen","-"))</f>
        <v>LIFT</v>
      </c>
      <c r="CD663" s="59" t="n">
        <f aca="false">IF(N(AB663)&gt;0,AB663,0)</f>
        <v>0</v>
      </c>
      <c r="CE663" s="53" t="n">
        <f aca="false">IF(ISNUMBER(AE663),1,0)</f>
        <v>0</v>
      </c>
      <c r="CF663" s="50" t="n">
        <f aca="false">N(AE663)</f>
        <v>0</v>
      </c>
      <c r="CG663" s="50" t="n">
        <f aca="false">N(M663)+N(N663)</f>
        <v>1</v>
      </c>
      <c r="CH663" s="50" t="n">
        <f aca="false">ROUNDUP(H663/BV663,0)</f>
        <v>0</v>
      </c>
      <c r="CI663" s="50" t="n">
        <f aca="false">ROUNDUP(CF663/BV663,0)</f>
        <v>0</v>
      </c>
      <c r="CJ663" s="53" t="n">
        <f aca="false">IF(BW663=1,0,IFERROR(VLOOKUP(BU663,'Gebinde-Kategorie'!$A$5:$N$45,5,0)+0,0))</f>
        <v>11</v>
      </c>
      <c r="CK663" s="53" t="n">
        <f aca="false">IFERROR(IF(OR(CB663=1,CB663=2,CB663=3),N(INDEX(Parameter!$I$5:$I$7,CB663)),0),0)</f>
        <v>0</v>
      </c>
      <c r="CL663" s="52" t="n">
        <f aca="false">IF(AND(Parameter!$B$21="Ja",ISNUMBER(W663),N(X663)&gt;0),IFERROR(N(INDEX(Parameter!$L$5:$L$7,W663))*INDEX(Parameter!$E$5:$E$7,W663)*X663/SUMIFS($X$7:$X$1843,$W$7:$W$1843,W663),0),0)</f>
        <v>0</v>
      </c>
    </row>
    <row r="664" customFormat="false" ht="15" hidden="false" customHeight="false" outlineLevel="0" collapsed="false">
      <c r="A664" s="48" t="s">
        <v>1340</v>
      </c>
      <c r="B664" s="48" t="s">
        <v>1002</v>
      </c>
      <c r="C664" s="48" t="s">
        <v>168</v>
      </c>
      <c r="D664" s="48" t="s">
        <v>999</v>
      </c>
      <c r="E664" s="48"/>
      <c r="F664" s="48" t="s">
        <v>222</v>
      </c>
      <c r="G664" s="49" t="n">
        <v>144.62</v>
      </c>
      <c r="H664" s="50" t="n">
        <f aca="false">MAX(0,IF(AND(Parameter!$B$21="Ja",ISNUMBER(Y664)),Y664,IF(Parameter!$B$20="Jahresanfang 2025 + Export",BO664+BN664,BN664)))</f>
        <v>0</v>
      </c>
      <c r="I664" s="50" t="n">
        <f aca="false">H664*G664</f>
        <v>0</v>
      </c>
      <c r="J664" s="50" t="n">
        <f aca="false">BQ664*Parameter!$B$18</f>
        <v>8</v>
      </c>
      <c r="K664" s="51" t="n">
        <v>0</v>
      </c>
      <c r="L664" s="52" t="n">
        <v>0</v>
      </c>
      <c r="M664" s="50" t="n">
        <v>0</v>
      </c>
      <c r="N664" s="50" t="n">
        <v>1</v>
      </c>
      <c r="O664" s="53" t="n">
        <v>105</v>
      </c>
      <c r="P664" s="48" t="s">
        <v>172</v>
      </c>
      <c r="Q664" s="50"/>
      <c r="R664" s="53" t="n">
        <f aca="false">IF(BW664=1,0,IFERROR(VLOOKUP(BU664,'Gebinde-Kategorie'!$A$5:$N$45,13,0)+0,0))</f>
        <v>0</v>
      </c>
      <c r="S664" s="54"/>
      <c r="T664" s="55"/>
      <c r="U664" s="55"/>
      <c r="V664" s="55"/>
      <c r="W664" s="48"/>
      <c r="X664" s="50"/>
      <c r="Y664" s="50"/>
      <c r="Z664" s="48" t="str">
        <f aca="false">IF(A664="","",IF(AND(Parameter!$B$21="Ja",ISNUMBER(W664)),W664,IF(BZ664="2+3",IF(ISNUMBER(SEARCH("grosser Artikel",BR664)),2,IFERROR(VLOOKUP(BU664,Parameter!$F$35:$G$64,2,0),2)),IF(OR(BZ664="Nein",BZ664=""),"-",BZ664))))</f>
        <v>-</v>
      </c>
      <c r="AA664" s="55"/>
      <c r="AB664" s="56"/>
      <c r="AC664" s="50" t="n">
        <f aca="false">AT664</f>
        <v>4</v>
      </c>
      <c r="AD664" s="50" t="n">
        <f aca="false">MAX(AT664,H664)</f>
        <v>4</v>
      </c>
      <c r="AE664" s="57"/>
      <c r="AF664" s="50" t="n">
        <f aca="false">IF(LEFT(Cockpit!$C$5,1)="A",H664,IF(CE664=1,CF664,IF(LEFT(Cockpit!$C$5,1)="B",AK664,MAX(AK664,H664))))</f>
        <v>0</v>
      </c>
      <c r="AG664" s="50" t="n">
        <f aca="false">IF(BW664=1,0,ROUNDUP(AF664/BV664,0))</f>
        <v>0</v>
      </c>
      <c r="AH664" s="52" t="n">
        <f aca="false">IF(CL664&gt;0,CL664*MAX(1,AF664/X664),IF(BW664=1,IF(AF664&lt;=0,0,CA664*MAX(1,IF(H664&gt;0,AF664/H664,1))),IF(R664&gt;0,AG664/R664,0))/MAX(0.1,N(Parameter!$M$21)))</f>
        <v>0</v>
      </c>
      <c r="AI664" s="50" t="n">
        <f aca="false">AH664*BY664</f>
        <v>0</v>
      </c>
      <c r="AJ664" s="50" t="n">
        <f aca="false">AF664*G664</f>
        <v>0</v>
      </c>
      <c r="AK664" s="50" t="n">
        <f aca="false">ROUNDUP(MAX(J664/IF(CD664&gt;0,CD664,MAX(0.1,N(Cockpit!$C$6))),CG664)/BV664,0)*BV664</f>
        <v>4</v>
      </c>
      <c r="AL664" s="51" t="n">
        <f aca="false">IF(AI664&gt;0,J664/AI664,-1)</f>
        <v>-1</v>
      </c>
      <c r="AM664" s="51" t="str">
        <f aca="false">IF(AND(OR(CC664="L1",CC664="L23",CC664="LIFT"),AI664&gt;0),SUMIFS($AI$7:$AI$1843,$CC$7:$CC$1843,CC664,$AL$7:$AL$1843,"&gt;"&amp;AL664)+SUMIFS($AI$7:$AI$1843,$CC$7:$CC$1843,CC664,$AL$7:$AL$1843,AL664,$BT$7:$BT$1843,"&lt;="&amp;BT664),"")</f>
        <v/>
      </c>
      <c r="AN664" s="58" t="n">
        <f aca="false">IF(AM664="",0,MAX(0,MIN(1,(IF(CC664="L1",Parameter!$H$5,IF(CC664="L23",Parameter!$H$6+Parameter!$H$7,Parameter!$H$5+Parameter!$H$6+Parameter!$H$7))-(AM664-AI664))/AI664)))</f>
        <v>0</v>
      </c>
      <c r="AO664" s="50" t="n">
        <f aca="false">IF(LEFT(Cockpit!$I$5,1)="A",H664,IF(CE664=1,CF664,IF(LEFT(Cockpit!$I$5,1)="B",AT664,MAX(AT664,H664))))</f>
        <v>4</v>
      </c>
      <c r="AP664" s="50" t="n">
        <f aca="false">IF(BW664=1,0,ROUNDUP(AO664/BV664,0))</f>
        <v>0</v>
      </c>
      <c r="AQ664" s="52" t="n">
        <f aca="false">IF(CL664&gt;0,CL664*MAX(1,AO664/X664),IF(BW664=1,IF(AO664&lt;=0,0,CA664*MAX(1,IF(H664&gt;0,AO664/H664,1))),IF(R664&gt;0,AP664/R664,0))/MAX(0.1,N(Parameter!$M$21)))</f>
        <v>0.15</v>
      </c>
      <c r="AR664" s="50" t="n">
        <f aca="false">AQ664*BY664</f>
        <v>35.25</v>
      </c>
      <c r="AS664" s="50" t="n">
        <f aca="false">AO664*G664</f>
        <v>578.48</v>
      </c>
      <c r="AT664" s="50" t="n">
        <f aca="false">ROUNDUP(MAX(J664/IF(CD664&gt;0,CD664,MAX(0.1,N(Cockpit!$I$6))),CG664)/BV664,0)*BV664</f>
        <v>4</v>
      </c>
      <c r="AU664" s="51" t="n">
        <f aca="false">IF(AR664&gt;0,J664/AR664,-1)</f>
        <v>0.226950354609929</v>
      </c>
      <c r="AV664" s="51" t="str">
        <f aca="false">IF(AND(OR(CC664="L1",CC664="L23",CC664="LIFT"),AR664&gt;0),SUMIFS($AR$7:$AR$1843,$CC$7:$CC$1843,CC664,$AU$7:$AU$1843,"&gt;"&amp;AU664)+SUMIFS($AR$7:$AR$1843,$CC$7:$CC$1843,CC664,$AU$7:$AU$1843,AU664,$BT$7:$BT$1843,"&lt;="&amp;BT664),"")</f>
        <v/>
      </c>
      <c r="AW664" s="58" t="n">
        <f aca="false">IF(AV664="",0,MAX(0,MIN(1,(IF(CC664="L1",Parameter!$H$5,IF(CC664="L23",Parameter!$H$6+Parameter!$H$7,Parameter!$H$5+Parameter!$H$6+Parameter!$H$7))-(AV664-AR664))/AR664)))</f>
        <v>0</v>
      </c>
      <c r="AX664" s="50" t="n">
        <f aca="false">IF(LEFT(Cockpit!$O$5,1)="A",H664,IF(CE664=1,CF664,IF(LEFT(Cockpit!$O$5,1)="B",BC664,MAX(BC664,H664))))</f>
        <v>3</v>
      </c>
      <c r="AY664" s="50" t="n">
        <f aca="false">IF(BW664=1,0,ROUNDUP(AX664/BV664,0))</f>
        <v>0</v>
      </c>
      <c r="AZ664" s="52" t="n">
        <f aca="false">IF(CL664&gt;0,CL664*MAX(1,AX664/X664),IF(BW664=1,IF(AX664&lt;=0,0,CA664*MAX(1,IF(H664&gt;0,AX664/H664,1))),IF(R664&gt;0,AY664/R664,0))/MAX(0.1,N(Parameter!$M$21)))</f>
        <v>0.15</v>
      </c>
      <c r="BA664" s="50" t="n">
        <f aca="false">AZ664*BY664</f>
        <v>35.25</v>
      </c>
      <c r="BB664" s="50" t="n">
        <f aca="false">AX664*G664</f>
        <v>433.86</v>
      </c>
      <c r="BC664" s="50" t="n">
        <f aca="false">ROUNDUP(MAX(J664/IF(CD664&gt;0,CD664,MAX(0.1,N(Cockpit!$O$6))),CG664)/BV664,0)*BV664</f>
        <v>3</v>
      </c>
      <c r="BD664" s="51" t="n">
        <f aca="false">IF(BA664&gt;0,J664/BA664,-1)</f>
        <v>0.226950354609929</v>
      </c>
      <c r="BE664" s="51" t="str">
        <f aca="false">IF(AND(OR(CC664="L1",CC664="L23",CC664="LIFT"),BA664&gt;0),SUMIFS($BA$7:$BA$1843,$CC$7:$CC$1843,CC664,$BD$7:$BD$1843,"&gt;"&amp;BD664)+SUMIFS($BA$7:$BA$1843,$CC$7:$CC$1843,CC664,$BD$7:$BD$1843,BD664,$BT$7:$BT$1843,"&lt;="&amp;BT664),"")</f>
        <v/>
      </c>
      <c r="BF664" s="58" t="n">
        <f aca="false">IF(BE664="",0,MAX(0,MIN(1,(IF(CC664="L1",Parameter!$H$5,IF(CC664="L23",Parameter!$H$6+Parameter!$H$7,Parameter!$H$5+Parameter!$H$6+Parameter!$H$7))-(BE664-BA664))/BA664)))</f>
        <v>0</v>
      </c>
      <c r="BG664" s="48" t="str">
        <f aca="false">IF(AI664&lt;=0,"",IF(CC664="Aussen","Aussenlager",IF(CC664="-","Nicht im Lift",IF(AN664&gt;=1,"Lift",IF(AN664&lt;=0,"Aussenlager","teilweise")))))</f>
        <v/>
      </c>
      <c r="BH664" s="48" t="str">
        <f aca="false">IF(AR664&lt;=0,"",IF(CC664="Aussen","Aussenlager",IF(CC664="-","Nicht im Lift",IF(AW664&gt;=1,"Lift",IF(AW664&lt;=0,"Aussenlager","teilweise")))))</f>
        <v>Nicht im Lift</v>
      </c>
      <c r="BI664" s="48" t="str">
        <f aca="false">IF(BA664&lt;=0,"",IF(CC664="Aussen","Aussenlager",IF(CC664="-","Nicht im Lift",IF(BF664&gt;=1,"Lift",IF(BF664&lt;=0,"Aussenlager","teilweise")))))</f>
        <v>Nicht im Lift</v>
      </c>
      <c r="BJ664" s="48" t="str">
        <f aca="false">IF(A664="","",IF(BS664=1,"Neu; ","")&amp;IF(AND(BS664=0,BN664&lt;0),"negativer Bestand (Export "&amp;BN664&amp;"); ","")&amp;IF(J664&lt;=0,"Kein Verbrauch; ","")&amp;IF(CL664&gt;0,"Lift "&amp;W664&amp;" lt. Liftbericht (Fach "&amp;X664&amp;" Stk); ",IF(BX664=1,"Gebinde geschätzt ("&amp;T664&amp;"); ",IF(BW664=1,"Lose – Tablare geschätzt; ","")))&amp;IF(H664&gt;AT664,"Überbestand "&amp;ROUND(H664-AT664,0)&amp;" Stk / CHF "&amp;ROUND((H664-AT664)*G664,0)&amp;"; ","")&amp;IF(AND(CE664=1,CF664&lt;CG664),"MAX &lt; MB+LG; ","")&amp;IF(AND(CK664&gt;0,CJ664*10&gt;CK664),"zu hoch für Tablar; ","")&amp;IF(AND(BS664=0,OR(CE664=1,AA664&lt;&gt;"",U664&lt;&gt;"",V664&lt;&gt;"",AB664&lt;&gt;"")),"manuell übersteuert; ","")&amp;IF(AND(BW664=0,R664=0),"Gebinde unbekannt / Stellmass fehlt; ","")&amp;IF(AND(BW664=0,N(V664)&lt;=0,N(Q664)&lt;=0),"Menge pro Gebinde fehlt (Ist = 1 Gebinde); ","")&amp;BR664)</f>
        <v>Lose – Tablare geschätzt; </v>
      </c>
      <c r="BK664" s="48"/>
      <c r="BL664" s="48"/>
      <c r="BM664" s="55"/>
      <c r="BN664" s="50" t="n">
        <v>0</v>
      </c>
      <c r="BO664" s="50" t="n">
        <v>0</v>
      </c>
      <c r="BP664" s="49" t="n">
        <v>0</v>
      </c>
      <c r="BQ664" s="50" t="n">
        <v>8</v>
      </c>
      <c r="BR664" s="48"/>
      <c r="BS664" s="53" t="n">
        <v>0</v>
      </c>
      <c r="BT664" s="53" t="n">
        <v>664</v>
      </c>
      <c r="BU664" s="48" t="str">
        <f aca="false">IF(U664&lt;&gt;"",UPPER(TRIM(U664)),IF(BX664=1,UPPER(VLOOKUP(T664,Parameter!$I$27:$K$29,2,0)),IF(P664="","LOSE",P664)))</f>
        <v>LOSE</v>
      </c>
      <c r="BV664" s="50" t="n">
        <f aca="false">IF(BU664="LOSE",1,IF(N(V664)&gt;0,V664,IF(BX664=1,MAX(1,N(VLOOKUP(T664,Parameter!$I$27:$K$29,3,0)),H664,N(N664)),IF(N(Q664)&gt;0,Q664,MAX(1,H664)))))</f>
        <v>1</v>
      </c>
      <c r="BW664" s="53" t="n">
        <f aca="false">IF(BU664="LOSE",1,0)</f>
        <v>1</v>
      </c>
      <c r="BX664" s="53" t="n">
        <f aca="false">IF(AND(U664="",OR(P664="",P664="LOSE"),T664&lt;&gt;"",N(S664)&lt;=0,ISNUMBER(MATCH(T664,Parameter!$I$27:$I$29,0))),1,0)</f>
        <v>0</v>
      </c>
      <c r="BY664" s="53" t="n">
        <f aca="false">IF(CL664&gt;0,INDEX(Parameter!$H$5:$H$7,W664)/INDEX(Parameter!$E$5:$E$7,W664),IF(AND(BW664=0,N(IFERROR(VLOOKUP(BU664,'Gebinde-Kategorie'!$A$5:$N$45,14,0),0))&gt;0),VLOOKUP(BU664,'Gebinde-Kategorie'!$A$5:$N$45,14,0)*10+Parameter!$M$23,Parameter!$M$24))</f>
        <v>235</v>
      </c>
      <c r="BZ664" s="48" t="str">
        <f aca="false">IF(AND(Parameter!$B$19="Ja",E664&lt;&gt;"",ISNUMBER(MATCH(E664,Parameter!$I$35:$I$52,0))),VLOOKUP(E664,Parameter!$I$35:$J$52,2,0),IFERROR(VLOOKUP(D664,Parameter!$A$35:$C$64,2,0),"Nein"))</f>
        <v>Nein</v>
      </c>
      <c r="CA664" s="52" t="n">
        <f aca="false">IF(BW664=0,0,IF(N(S664)&gt;0,S664,IFERROR(VLOOKUP(D664,Parameter!$A$35:$C$64,3,0)+0,0)))</f>
        <v>0.15</v>
      </c>
      <c r="CB664" s="48" t="str">
        <f aca="false">IF(AA664&lt;&gt;"",AA664,Z664)</f>
        <v>-</v>
      </c>
      <c r="CC664" s="48" t="str">
        <f aca="false">IF(OR(CB664=1,CB664=2,CB664=3),IF(Parameter!$E$27="Ja","LIFT",IF(CB664=1,"L1","L23")),IF(CB664="Aussen","Aussen","-"))</f>
        <v>-</v>
      </c>
      <c r="CD664" s="59" t="n">
        <f aca="false">IF(N(AB664)&gt;0,AB664,0)</f>
        <v>0</v>
      </c>
      <c r="CE664" s="53" t="n">
        <f aca="false">IF(ISNUMBER(AE664),1,0)</f>
        <v>0</v>
      </c>
      <c r="CF664" s="50" t="n">
        <f aca="false">N(AE664)</f>
        <v>0</v>
      </c>
      <c r="CG664" s="50" t="n">
        <f aca="false">N(M664)+N(N664)</f>
        <v>1</v>
      </c>
      <c r="CH664" s="50" t="n">
        <f aca="false">ROUNDUP(H664/BV664,0)</f>
        <v>0</v>
      </c>
      <c r="CI664" s="50" t="n">
        <f aca="false">ROUNDUP(CF664/BV664,0)</f>
        <v>0</v>
      </c>
      <c r="CJ664" s="53" t="n">
        <f aca="false">IF(BW664=1,0,IFERROR(VLOOKUP(BU664,'Gebinde-Kategorie'!$A$5:$N$45,5,0)+0,0))</f>
        <v>0</v>
      </c>
      <c r="CK664" s="53" t="n">
        <f aca="false">IFERROR(IF(OR(CB664=1,CB664=2,CB664=3),N(INDEX(Parameter!$I$5:$I$7,CB664)),0),0)</f>
        <v>0</v>
      </c>
      <c r="CL664" s="52" t="n">
        <f aca="false">IF(AND(Parameter!$B$21="Ja",ISNUMBER(W664),N(X664)&gt;0),IFERROR(N(INDEX(Parameter!$L$5:$L$7,W664))*INDEX(Parameter!$E$5:$E$7,W664)*X664/SUMIFS($X$7:$X$1843,$W$7:$W$1843,W664),0),0)</f>
        <v>0</v>
      </c>
    </row>
    <row r="665" customFormat="false" ht="15" hidden="false" customHeight="false" outlineLevel="0" collapsed="false">
      <c r="A665" s="48" t="s">
        <v>1341</v>
      </c>
      <c r="B665" s="48" t="s">
        <v>1342</v>
      </c>
      <c r="C665" s="48" t="s">
        <v>168</v>
      </c>
      <c r="D665" s="48" t="s">
        <v>1343</v>
      </c>
      <c r="E665" s="48"/>
      <c r="F665" s="48" t="s">
        <v>222</v>
      </c>
      <c r="G665" s="49" t="n">
        <v>0.65</v>
      </c>
      <c r="H665" s="50" t="n">
        <f aca="false">MAX(0,IF(AND(Parameter!$B$21="Ja",ISNUMBER(Y665)),Y665,IF(Parameter!$B$20="Jahresanfang 2025 + Export",BO665+BN665,BN665)))</f>
        <v>0</v>
      </c>
      <c r="I665" s="50" t="n">
        <f aca="false">H665*G665</f>
        <v>0</v>
      </c>
      <c r="J665" s="50" t="n">
        <f aca="false">BQ665*Parameter!$B$18</f>
        <v>0</v>
      </c>
      <c r="K665" s="51" t="n">
        <v>0</v>
      </c>
      <c r="L665" s="52" t="n">
        <v>0</v>
      </c>
      <c r="M665" s="50" t="n">
        <v>0</v>
      </c>
      <c r="N665" s="50" t="n">
        <v>1050</v>
      </c>
      <c r="O665" s="53" t="n">
        <v>21</v>
      </c>
      <c r="P665" s="48" t="s">
        <v>172</v>
      </c>
      <c r="Q665" s="50"/>
      <c r="R665" s="53" t="n">
        <f aca="false">IF(BW665=1,0,IFERROR(VLOOKUP(BU665,'Gebinde-Kategorie'!$A$5:$N$45,13,0)+0,0))</f>
        <v>0</v>
      </c>
      <c r="S665" s="54"/>
      <c r="T665" s="55"/>
      <c r="U665" s="55"/>
      <c r="V665" s="55"/>
      <c r="W665" s="48"/>
      <c r="X665" s="50"/>
      <c r="Y665" s="50"/>
      <c r="Z665" s="48" t="str">
        <f aca="false">IF(A665="","",IF(AND(Parameter!$B$21="Ja",ISNUMBER(W665)),W665,IF(BZ665="2+3",IF(ISNUMBER(SEARCH("grosser Artikel",BR665)),2,IFERROR(VLOOKUP(BU665,Parameter!$F$35:$G$64,2,0),2)),IF(OR(BZ665="Nein",BZ665=""),"-",BZ665))))</f>
        <v>-</v>
      </c>
      <c r="AA665" s="55"/>
      <c r="AB665" s="56"/>
      <c r="AC665" s="50" t="n">
        <f aca="false">AT665</f>
        <v>1050</v>
      </c>
      <c r="AD665" s="50" t="n">
        <f aca="false">MAX(AT665,H665)</f>
        <v>1050</v>
      </c>
      <c r="AE665" s="57"/>
      <c r="AF665" s="50" t="n">
        <f aca="false">IF(LEFT(Cockpit!$C$5,1)="A",H665,IF(CE665=1,CF665,IF(LEFT(Cockpit!$C$5,1)="B",AK665,MAX(AK665,H665))))</f>
        <v>0</v>
      </c>
      <c r="AG665" s="50" t="n">
        <f aca="false">IF(BW665=1,0,ROUNDUP(AF665/BV665,0))</f>
        <v>0</v>
      </c>
      <c r="AH665" s="52" t="n">
        <f aca="false">IF(CL665&gt;0,CL665*MAX(1,AF665/X665),IF(BW665=1,IF(AF665&lt;=0,0,CA665*MAX(1,IF(H665&gt;0,AF665/H665,1))),IF(R665&gt;0,AG665/R665,0))/MAX(0.1,N(Parameter!$M$21)))</f>
        <v>0</v>
      </c>
      <c r="AI665" s="50" t="n">
        <f aca="false">AH665*BY665</f>
        <v>0</v>
      </c>
      <c r="AJ665" s="50" t="n">
        <f aca="false">AF665*G665</f>
        <v>0</v>
      </c>
      <c r="AK665" s="50" t="n">
        <f aca="false">ROUNDUP(MAX(J665/IF(CD665&gt;0,CD665,MAX(0.1,N(Cockpit!$C$6))),CG665)/BV665,0)*BV665</f>
        <v>1050</v>
      </c>
      <c r="AL665" s="51" t="n">
        <f aca="false">IF(AI665&gt;0,J665/AI665,-1)</f>
        <v>-1</v>
      </c>
      <c r="AM665" s="51" t="str">
        <f aca="false">IF(AND(OR(CC665="L1",CC665="L23",CC665="LIFT"),AI665&gt;0),SUMIFS($AI$7:$AI$1843,$CC$7:$CC$1843,CC665,$AL$7:$AL$1843,"&gt;"&amp;AL665)+SUMIFS($AI$7:$AI$1843,$CC$7:$CC$1843,CC665,$AL$7:$AL$1843,AL665,$BT$7:$BT$1843,"&lt;="&amp;BT665),"")</f>
        <v/>
      </c>
      <c r="AN665" s="58" t="n">
        <f aca="false">IF(AM665="",0,MAX(0,MIN(1,(IF(CC665="L1",Parameter!$H$5,IF(CC665="L23",Parameter!$H$6+Parameter!$H$7,Parameter!$H$5+Parameter!$H$6+Parameter!$H$7))-(AM665-AI665))/AI665)))</f>
        <v>0</v>
      </c>
      <c r="AO665" s="50" t="n">
        <f aca="false">IF(LEFT(Cockpit!$I$5,1)="A",H665,IF(CE665=1,CF665,IF(LEFT(Cockpit!$I$5,1)="B",AT665,MAX(AT665,H665))))</f>
        <v>1050</v>
      </c>
      <c r="AP665" s="50" t="n">
        <f aca="false">IF(BW665=1,0,ROUNDUP(AO665/BV665,0))</f>
        <v>0</v>
      </c>
      <c r="AQ665" s="52" t="n">
        <f aca="false">IF(CL665&gt;0,CL665*MAX(1,AO665/X665),IF(BW665=1,IF(AO665&lt;=0,0,CA665*MAX(1,IF(H665&gt;0,AO665/H665,1))),IF(R665&gt;0,AP665/R665,0))/MAX(0.1,N(Parameter!$M$21)))</f>
        <v>0.15</v>
      </c>
      <c r="AR665" s="50" t="n">
        <f aca="false">AQ665*BY665</f>
        <v>35.25</v>
      </c>
      <c r="AS665" s="50" t="n">
        <f aca="false">AO665*G665</f>
        <v>682.5</v>
      </c>
      <c r="AT665" s="50" t="n">
        <f aca="false">ROUNDUP(MAX(J665/IF(CD665&gt;0,CD665,MAX(0.1,N(Cockpit!$I$6))),CG665)/BV665,0)*BV665</f>
        <v>1050</v>
      </c>
      <c r="AU665" s="51" t="n">
        <f aca="false">IF(AR665&gt;0,J665/AR665,-1)</f>
        <v>0</v>
      </c>
      <c r="AV665" s="51" t="str">
        <f aca="false">IF(AND(OR(CC665="L1",CC665="L23",CC665="LIFT"),AR665&gt;0),SUMIFS($AR$7:$AR$1843,$CC$7:$CC$1843,CC665,$AU$7:$AU$1843,"&gt;"&amp;AU665)+SUMIFS($AR$7:$AR$1843,$CC$7:$CC$1843,CC665,$AU$7:$AU$1843,AU665,$BT$7:$BT$1843,"&lt;="&amp;BT665),"")</f>
        <v/>
      </c>
      <c r="AW665" s="58" t="n">
        <f aca="false">IF(AV665="",0,MAX(0,MIN(1,(IF(CC665="L1",Parameter!$H$5,IF(CC665="L23",Parameter!$H$6+Parameter!$H$7,Parameter!$H$5+Parameter!$H$6+Parameter!$H$7))-(AV665-AR665))/AR665)))</f>
        <v>0</v>
      </c>
      <c r="AX665" s="50" t="n">
        <f aca="false">IF(LEFT(Cockpit!$O$5,1)="A",H665,IF(CE665=1,CF665,IF(LEFT(Cockpit!$O$5,1)="B",BC665,MAX(BC665,H665))))</f>
        <v>1050</v>
      </c>
      <c r="AY665" s="50" t="n">
        <f aca="false">IF(BW665=1,0,ROUNDUP(AX665/BV665,0))</f>
        <v>0</v>
      </c>
      <c r="AZ665" s="52" t="n">
        <f aca="false">IF(CL665&gt;0,CL665*MAX(1,AX665/X665),IF(BW665=1,IF(AX665&lt;=0,0,CA665*MAX(1,IF(H665&gt;0,AX665/H665,1))),IF(R665&gt;0,AY665/R665,0))/MAX(0.1,N(Parameter!$M$21)))</f>
        <v>0.15</v>
      </c>
      <c r="BA665" s="50" t="n">
        <f aca="false">AZ665*BY665</f>
        <v>35.25</v>
      </c>
      <c r="BB665" s="50" t="n">
        <f aca="false">AX665*G665</f>
        <v>682.5</v>
      </c>
      <c r="BC665" s="50" t="n">
        <f aca="false">ROUNDUP(MAX(J665/IF(CD665&gt;0,CD665,MAX(0.1,N(Cockpit!$O$6))),CG665)/BV665,0)*BV665</f>
        <v>1050</v>
      </c>
      <c r="BD665" s="51" t="n">
        <f aca="false">IF(BA665&gt;0,J665/BA665,-1)</f>
        <v>0</v>
      </c>
      <c r="BE665" s="51" t="str">
        <f aca="false">IF(AND(OR(CC665="L1",CC665="L23",CC665="LIFT"),BA665&gt;0),SUMIFS($BA$7:$BA$1843,$CC$7:$CC$1843,CC665,$BD$7:$BD$1843,"&gt;"&amp;BD665)+SUMIFS($BA$7:$BA$1843,$CC$7:$CC$1843,CC665,$BD$7:$BD$1843,BD665,$BT$7:$BT$1843,"&lt;="&amp;BT665),"")</f>
        <v/>
      </c>
      <c r="BF665" s="58" t="n">
        <f aca="false">IF(BE665="",0,MAX(0,MIN(1,(IF(CC665="L1",Parameter!$H$5,IF(CC665="L23",Parameter!$H$6+Parameter!$H$7,Parameter!$H$5+Parameter!$H$6+Parameter!$H$7))-(BE665-BA665))/BA665)))</f>
        <v>0</v>
      </c>
      <c r="BG665" s="48" t="str">
        <f aca="false">IF(AI665&lt;=0,"",IF(CC665="Aussen","Aussenlager",IF(CC665="-","Nicht im Lift",IF(AN665&gt;=1,"Lift",IF(AN665&lt;=0,"Aussenlager","teilweise")))))</f>
        <v/>
      </c>
      <c r="BH665" s="48" t="str">
        <f aca="false">IF(AR665&lt;=0,"",IF(CC665="Aussen","Aussenlager",IF(CC665="-","Nicht im Lift",IF(AW665&gt;=1,"Lift",IF(AW665&lt;=0,"Aussenlager","teilweise")))))</f>
        <v>Nicht im Lift</v>
      </c>
      <c r="BI665" s="48" t="str">
        <f aca="false">IF(BA665&lt;=0,"",IF(CC665="Aussen","Aussenlager",IF(CC665="-","Nicht im Lift",IF(BF665&gt;=1,"Lift",IF(BF665&lt;=0,"Aussenlager","teilweise")))))</f>
        <v>Nicht im Lift</v>
      </c>
      <c r="BJ665" s="48" t="str">
        <f aca="false">IF(A665="","",IF(BS665=1,"Neu; ","")&amp;IF(AND(BS665=0,BN665&lt;0),"negativer Bestand (Export "&amp;BN665&amp;"); ","")&amp;IF(J665&lt;=0,"Kein Verbrauch; ","")&amp;IF(CL665&gt;0,"Lift "&amp;W665&amp;" lt. Liftbericht (Fach "&amp;X665&amp;" Stk); ",IF(BX665=1,"Gebinde geschätzt ("&amp;T665&amp;"); ",IF(BW665=1,"Lose – Tablare geschätzt; ","")))&amp;IF(H665&gt;AT665,"Überbestand "&amp;ROUND(H665-AT665,0)&amp;" Stk / CHF "&amp;ROUND((H665-AT665)*G665,0)&amp;"; ","")&amp;IF(AND(CE665=1,CF665&lt;CG665),"MAX &lt; MB+LG; ","")&amp;IF(AND(CK665&gt;0,CJ665*10&gt;CK665),"zu hoch für Tablar; ","")&amp;IF(AND(BS665=0,OR(CE665=1,AA665&lt;&gt;"",U665&lt;&gt;"",V665&lt;&gt;"",AB665&lt;&gt;"")),"manuell übersteuert; ","")&amp;IF(AND(BW665=0,R665=0),"Gebinde unbekannt / Stellmass fehlt; ","")&amp;IF(AND(BW665=0,N(V665)&lt;=0,N(Q665)&lt;=0),"Menge pro Gebinde fehlt (Ist = 1 Gebinde); ","")&amp;BR665)</f>
        <v>Kein Verbrauch; Lose – Tablare geschätzt; </v>
      </c>
      <c r="BK665" s="48"/>
      <c r="BL665" s="48"/>
      <c r="BM665" s="55"/>
      <c r="BN665" s="50" t="n">
        <v>0</v>
      </c>
      <c r="BO665" s="50" t="n">
        <v>0</v>
      </c>
      <c r="BP665" s="49" t="n">
        <v>0</v>
      </c>
      <c r="BQ665" s="50" t="n">
        <v>0</v>
      </c>
      <c r="BR665" s="48"/>
      <c r="BS665" s="53" t="n">
        <v>0</v>
      </c>
      <c r="BT665" s="53" t="n">
        <v>665</v>
      </c>
      <c r="BU665" s="48" t="str">
        <f aca="false">IF(U665&lt;&gt;"",UPPER(TRIM(U665)),IF(BX665=1,UPPER(VLOOKUP(T665,Parameter!$I$27:$K$29,2,0)),IF(P665="","LOSE",P665)))</f>
        <v>LOSE</v>
      </c>
      <c r="BV665" s="50" t="n">
        <f aca="false">IF(BU665="LOSE",1,IF(N(V665)&gt;0,V665,IF(BX665=1,MAX(1,N(VLOOKUP(T665,Parameter!$I$27:$K$29,3,0)),H665,N(N665)),IF(N(Q665)&gt;0,Q665,MAX(1,H665)))))</f>
        <v>1</v>
      </c>
      <c r="BW665" s="53" t="n">
        <f aca="false">IF(BU665="LOSE",1,0)</f>
        <v>1</v>
      </c>
      <c r="BX665" s="53" t="n">
        <f aca="false">IF(AND(U665="",OR(P665="",P665="LOSE"),T665&lt;&gt;"",N(S665)&lt;=0,ISNUMBER(MATCH(T665,Parameter!$I$27:$I$29,0))),1,0)</f>
        <v>0</v>
      </c>
      <c r="BY665" s="53" t="n">
        <f aca="false">IF(CL665&gt;0,INDEX(Parameter!$H$5:$H$7,W665)/INDEX(Parameter!$E$5:$E$7,W665),IF(AND(BW665=0,N(IFERROR(VLOOKUP(BU665,'Gebinde-Kategorie'!$A$5:$N$45,14,0),0))&gt;0),VLOOKUP(BU665,'Gebinde-Kategorie'!$A$5:$N$45,14,0)*10+Parameter!$M$23,Parameter!$M$24))</f>
        <v>235</v>
      </c>
      <c r="BZ665" s="48" t="str">
        <f aca="false">IF(AND(Parameter!$B$19="Ja",E665&lt;&gt;"",ISNUMBER(MATCH(E665,Parameter!$I$35:$I$52,0))),VLOOKUP(E665,Parameter!$I$35:$J$52,2,0),IFERROR(VLOOKUP(D665,Parameter!$A$35:$C$64,2,0),"Nein"))</f>
        <v>Nein</v>
      </c>
      <c r="CA665" s="52" t="n">
        <f aca="false">IF(BW665=0,0,IF(N(S665)&gt;0,S665,IFERROR(VLOOKUP(D665,Parameter!$A$35:$C$64,3,0)+0,0)))</f>
        <v>0.15</v>
      </c>
      <c r="CB665" s="48" t="str">
        <f aca="false">IF(AA665&lt;&gt;"",AA665,Z665)</f>
        <v>-</v>
      </c>
      <c r="CC665" s="48" t="str">
        <f aca="false">IF(OR(CB665=1,CB665=2,CB665=3),IF(Parameter!$E$27="Ja","LIFT",IF(CB665=1,"L1","L23")),IF(CB665="Aussen","Aussen","-"))</f>
        <v>-</v>
      </c>
      <c r="CD665" s="59" t="n">
        <f aca="false">IF(N(AB665)&gt;0,AB665,0)</f>
        <v>0</v>
      </c>
      <c r="CE665" s="53" t="n">
        <f aca="false">IF(ISNUMBER(AE665),1,0)</f>
        <v>0</v>
      </c>
      <c r="CF665" s="50" t="n">
        <f aca="false">N(AE665)</f>
        <v>0</v>
      </c>
      <c r="CG665" s="50" t="n">
        <f aca="false">N(M665)+N(N665)</f>
        <v>1050</v>
      </c>
      <c r="CH665" s="50" t="n">
        <f aca="false">ROUNDUP(H665/BV665,0)</f>
        <v>0</v>
      </c>
      <c r="CI665" s="50" t="n">
        <f aca="false">ROUNDUP(CF665/BV665,0)</f>
        <v>0</v>
      </c>
      <c r="CJ665" s="53" t="n">
        <f aca="false">IF(BW665=1,0,IFERROR(VLOOKUP(BU665,'Gebinde-Kategorie'!$A$5:$N$45,5,0)+0,0))</f>
        <v>0</v>
      </c>
      <c r="CK665" s="53" t="n">
        <f aca="false">IFERROR(IF(OR(CB665=1,CB665=2,CB665=3),N(INDEX(Parameter!$I$5:$I$7,CB665)),0),0)</f>
        <v>0</v>
      </c>
      <c r="CL665" s="52" t="n">
        <f aca="false">IF(AND(Parameter!$B$21="Ja",ISNUMBER(W665),N(X665)&gt;0),IFERROR(N(INDEX(Parameter!$L$5:$L$7,W665))*INDEX(Parameter!$E$5:$E$7,W665)*X665/SUMIFS($X$7:$X$1843,$W$7:$W$1843,W665),0),0)</f>
        <v>0</v>
      </c>
    </row>
    <row r="666" customFormat="false" ht="15" hidden="false" customHeight="false" outlineLevel="0" collapsed="false">
      <c r="A666" s="48" t="s">
        <v>1344</v>
      </c>
      <c r="B666" s="48" t="s">
        <v>1345</v>
      </c>
      <c r="C666" s="48" t="s">
        <v>168</v>
      </c>
      <c r="D666" s="48" t="s">
        <v>854</v>
      </c>
      <c r="E666" s="48"/>
      <c r="F666" s="48" t="s">
        <v>222</v>
      </c>
      <c r="G666" s="49" t="n">
        <v>5.8</v>
      </c>
      <c r="H666" s="50" t="n">
        <f aca="false">MAX(0,IF(AND(Parameter!$B$21="Ja",ISNUMBER(Y666)),Y666,IF(Parameter!$B$20="Jahresanfang 2025 + Export",BO666+BN666,BN666)))</f>
        <v>0</v>
      </c>
      <c r="I666" s="50" t="n">
        <f aca="false">H666*G666</f>
        <v>0</v>
      </c>
      <c r="J666" s="50" t="n">
        <f aca="false">BQ666*Parameter!$B$18</f>
        <v>0</v>
      </c>
      <c r="K666" s="51" t="n">
        <v>0</v>
      </c>
      <c r="L666" s="52" t="n">
        <v>0</v>
      </c>
      <c r="M666" s="50" t="n">
        <v>0</v>
      </c>
      <c r="N666" s="50" t="n">
        <v>1</v>
      </c>
      <c r="O666" s="53" t="n">
        <v>7</v>
      </c>
      <c r="P666" s="48" t="s">
        <v>172</v>
      </c>
      <c r="Q666" s="50"/>
      <c r="R666" s="53" t="n">
        <f aca="false">IF(BW666=1,0,IFERROR(VLOOKUP(BU666,'Gebinde-Kategorie'!$A$5:$N$45,13,0)+0,0))</f>
        <v>0</v>
      </c>
      <c r="S666" s="54"/>
      <c r="T666" s="55"/>
      <c r="U666" s="55"/>
      <c r="V666" s="55"/>
      <c r="W666" s="48"/>
      <c r="X666" s="50"/>
      <c r="Y666" s="50"/>
      <c r="Z666" s="48" t="str">
        <f aca="false">IF(A666="","",IF(AND(Parameter!$B$21="Ja",ISNUMBER(W666)),W666,IF(BZ666="2+3",IF(ISNUMBER(SEARCH("grosser Artikel",BR666)),2,IFERROR(VLOOKUP(BU666,Parameter!$F$35:$G$64,2,0),2)),IF(OR(BZ666="Nein",BZ666=""),"-",BZ666))))</f>
        <v>-</v>
      </c>
      <c r="AA666" s="55"/>
      <c r="AB666" s="56"/>
      <c r="AC666" s="50" t="n">
        <f aca="false">AT666</f>
        <v>1</v>
      </c>
      <c r="AD666" s="50" t="n">
        <f aca="false">MAX(AT666,H666)</f>
        <v>1</v>
      </c>
      <c r="AE666" s="57"/>
      <c r="AF666" s="50" t="n">
        <f aca="false">IF(LEFT(Cockpit!$C$5,1)="A",H666,IF(CE666=1,CF666,IF(LEFT(Cockpit!$C$5,1)="B",AK666,MAX(AK666,H666))))</f>
        <v>0</v>
      </c>
      <c r="AG666" s="50" t="n">
        <f aca="false">IF(BW666=1,0,ROUNDUP(AF666/BV666,0))</f>
        <v>0</v>
      </c>
      <c r="AH666" s="52" t="n">
        <f aca="false">IF(CL666&gt;0,CL666*MAX(1,AF666/X666),IF(BW666=1,IF(AF666&lt;=0,0,CA666*MAX(1,IF(H666&gt;0,AF666/H666,1))),IF(R666&gt;0,AG666/R666,0))/MAX(0.1,N(Parameter!$M$21)))</f>
        <v>0</v>
      </c>
      <c r="AI666" s="50" t="n">
        <f aca="false">AH666*BY666</f>
        <v>0</v>
      </c>
      <c r="AJ666" s="50" t="n">
        <f aca="false">AF666*G666</f>
        <v>0</v>
      </c>
      <c r="AK666" s="50" t="n">
        <f aca="false">ROUNDUP(MAX(J666/IF(CD666&gt;0,CD666,MAX(0.1,N(Cockpit!$C$6))),CG666)/BV666,0)*BV666</f>
        <v>1</v>
      </c>
      <c r="AL666" s="51" t="n">
        <f aca="false">IF(AI666&gt;0,J666/AI666,-1)</f>
        <v>-1</v>
      </c>
      <c r="AM666" s="51" t="str">
        <f aca="false">IF(AND(OR(CC666="L1",CC666="L23",CC666="LIFT"),AI666&gt;0),SUMIFS($AI$7:$AI$1843,$CC$7:$CC$1843,CC666,$AL$7:$AL$1843,"&gt;"&amp;AL666)+SUMIFS($AI$7:$AI$1843,$CC$7:$CC$1843,CC666,$AL$7:$AL$1843,AL666,$BT$7:$BT$1843,"&lt;="&amp;BT666),"")</f>
        <v/>
      </c>
      <c r="AN666" s="58" t="n">
        <f aca="false">IF(AM666="",0,MAX(0,MIN(1,(IF(CC666="L1",Parameter!$H$5,IF(CC666="L23",Parameter!$H$6+Parameter!$H$7,Parameter!$H$5+Parameter!$H$6+Parameter!$H$7))-(AM666-AI666))/AI666)))</f>
        <v>0</v>
      </c>
      <c r="AO666" s="50" t="n">
        <f aca="false">IF(LEFT(Cockpit!$I$5,1)="A",H666,IF(CE666=1,CF666,IF(LEFT(Cockpit!$I$5,1)="B",AT666,MAX(AT666,H666))))</f>
        <v>1</v>
      </c>
      <c r="AP666" s="50" t="n">
        <f aca="false">IF(BW666=1,0,ROUNDUP(AO666/BV666,0))</f>
        <v>0</v>
      </c>
      <c r="AQ666" s="52" t="n">
        <f aca="false">IF(CL666&gt;0,CL666*MAX(1,AO666/X666),IF(BW666=1,IF(AO666&lt;=0,0,CA666*MAX(1,IF(H666&gt;0,AO666/H666,1))),IF(R666&gt;0,AP666/R666,0))/MAX(0.1,N(Parameter!$M$21)))</f>
        <v>0.15</v>
      </c>
      <c r="AR666" s="50" t="n">
        <f aca="false">AQ666*BY666</f>
        <v>35.25</v>
      </c>
      <c r="AS666" s="50" t="n">
        <f aca="false">AO666*G666</f>
        <v>5.8</v>
      </c>
      <c r="AT666" s="50" t="n">
        <f aca="false">ROUNDUP(MAX(J666/IF(CD666&gt;0,CD666,MAX(0.1,N(Cockpit!$I$6))),CG666)/BV666,0)*BV666</f>
        <v>1</v>
      </c>
      <c r="AU666" s="51" t="n">
        <f aca="false">IF(AR666&gt;0,J666/AR666,-1)</f>
        <v>0</v>
      </c>
      <c r="AV666" s="51" t="str">
        <f aca="false">IF(AND(OR(CC666="L1",CC666="L23",CC666="LIFT"),AR666&gt;0),SUMIFS($AR$7:$AR$1843,$CC$7:$CC$1843,CC666,$AU$7:$AU$1843,"&gt;"&amp;AU666)+SUMIFS($AR$7:$AR$1843,$CC$7:$CC$1843,CC666,$AU$7:$AU$1843,AU666,$BT$7:$BT$1843,"&lt;="&amp;BT666),"")</f>
        <v/>
      </c>
      <c r="AW666" s="58" t="n">
        <f aca="false">IF(AV666="",0,MAX(0,MIN(1,(IF(CC666="L1",Parameter!$H$5,IF(CC666="L23",Parameter!$H$6+Parameter!$H$7,Parameter!$H$5+Parameter!$H$6+Parameter!$H$7))-(AV666-AR666))/AR666)))</f>
        <v>0</v>
      </c>
      <c r="AX666" s="50" t="n">
        <f aca="false">IF(LEFT(Cockpit!$O$5,1)="A",H666,IF(CE666=1,CF666,IF(LEFT(Cockpit!$O$5,1)="B",BC666,MAX(BC666,H666))))</f>
        <v>1</v>
      </c>
      <c r="AY666" s="50" t="n">
        <f aca="false">IF(BW666=1,0,ROUNDUP(AX666/BV666,0))</f>
        <v>0</v>
      </c>
      <c r="AZ666" s="52" t="n">
        <f aca="false">IF(CL666&gt;0,CL666*MAX(1,AX666/X666),IF(BW666=1,IF(AX666&lt;=0,0,CA666*MAX(1,IF(H666&gt;0,AX666/H666,1))),IF(R666&gt;0,AY666/R666,0))/MAX(0.1,N(Parameter!$M$21)))</f>
        <v>0.15</v>
      </c>
      <c r="BA666" s="50" t="n">
        <f aca="false">AZ666*BY666</f>
        <v>35.25</v>
      </c>
      <c r="BB666" s="50" t="n">
        <f aca="false">AX666*G666</f>
        <v>5.8</v>
      </c>
      <c r="BC666" s="50" t="n">
        <f aca="false">ROUNDUP(MAX(J666/IF(CD666&gt;0,CD666,MAX(0.1,N(Cockpit!$O$6))),CG666)/BV666,0)*BV666</f>
        <v>1</v>
      </c>
      <c r="BD666" s="51" t="n">
        <f aca="false">IF(BA666&gt;0,J666/BA666,-1)</f>
        <v>0</v>
      </c>
      <c r="BE666" s="51" t="str">
        <f aca="false">IF(AND(OR(CC666="L1",CC666="L23",CC666="LIFT"),BA666&gt;0),SUMIFS($BA$7:$BA$1843,$CC$7:$CC$1843,CC666,$BD$7:$BD$1843,"&gt;"&amp;BD666)+SUMIFS($BA$7:$BA$1843,$CC$7:$CC$1843,CC666,$BD$7:$BD$1843,BD666,$BT$7:$BT$1843,"&lt;="&amp;BT666),"")</f>
        <v/>
      </c>
      <c r="BF666" s="58" t="n">
        <f aca="false">IF(BE666="",0,MAX(0,MIN(1,(IF(CC666="L1",Parameter!$H$5,IF(CC666="L23",Parameter!$H$6+Parameter!$H$7,Parameter!$H$5+Parameter!$H$6+Parameter!$H$7))-(BE666-BA666))/BA666)))</f>
        <v>0</v>
      </c>
      <c r="BG666" s="48" t="str">
        <f aca="false">IF(AI666&lt;=0,"",IF(CC666="Aussen","Aussenlager",IF(CC666="-","Nicht im Lift",IF(AN666&gt;=1,"Lift",IF(AN666&lt;=0,"Aussenlager","teilweise")))))</f>
        <v/>
      </c>
      <c r="BH666" s="48" t="str">
        <f aca="false">IF(AR666&lt;=0,"",IF(CC666="Aussen","Aussenlager",IF(CC666="-","Nicht im Lift",IF(AW666&gt;=1,"Lift",IF(AW666&lt;=0,"Aussenlager","teilweise")))))</f>
        <v>Nicht im Lift</v>
      </c>
      <c r="BI666" s="48" t="str">
        <f aca="false">IF(BA666&lt;=0,"",IF(CC666="Aussen","Aussenlager",IF(CC666="-","Nicht im Lift",IF(BF666&gt;=1,"Lift",IF(BF666&lt;=0,"Aussenlager","teilweise")))))</f>
        <v>Nicht im Lift</v>
      </c>
      <c r="BJ666" s="48" t="str">
        <f aca="false">IF(A666="","",IF(BS666=1,"Neu; ","")&amp;IF(AND(BS666=0,BN666&lt;0),"negativer Bestand (Export "&amp;BN666&amp;"); ","")&amp;IF(J666&lt;=0,"Kein Verbrauch; ","")&amp;IF(CL666&gt;0,"Lift "&amp;W666&amp;" lt. Liftbericht (Fach "&amp;X666&amp;" Stk); ",IF(BX666=1,"Gebinde geschätzt ("&amp;T666&amp;"); ",IF(BW666=1,"Lose – Tablare geschätzt; ","")))&amp;IF(H666&gt;AT666,"Überbestand "&amp;ROUND(H666-AT666,0)&amp;" Stk / CHF "&amp;ROUND((H666-AT666)*G666,0)&amp;"; ","")&amp;IF(AND(CE666=1,CF666&lt;CG666),"MAX &lt; MB+LG; ","")&amp;IF(AND(CK666&gt;0,CJ666*10&gt;CK666),"zu hoch für Tablar; ","")&amp;IF(AND(BS666=0,OR(CE666=1,AA666&lt;&gt;"",U666&lt;&gt;"",V666&lt;&gt;"",AB666&lt;&gt;"")),"manuell übersteuert; ","")&amp;IF(AND(BW666=0,R666=0),"Gebinde unbekannt / Stellmass fehlt; ","")&amp;IF(AND(BW666=0,N(V666)&lt;=0,N(Q666)&lt;=0),"Menge pro Gebinde fehlt (Ist = 1 Gebinde); ","")&amp;BR666)</f>
        <v>Kein Verbrauch; Lose – Tablare geschätzt; </v>
      </c>
      <c r="BK666" s="48"/>
      <c r="BL666" s="48"/>
      <c r="BM666" s="55"/>
      <c r="BN666" s="50" t="n">
        <v>0</v>
      </c>
      <c r="BO666" s="50" t="n">
        <v>0</v>
      </c>
      <c r="BP666" s="49" t="n">
        <v>0</v>
      </c>
      <c r="BQ666" s="50" t="n">
        <v>0</v>
      </c>
      <c r="BR666" s="48"/>
      <c r="BS666" s="53" t="n">
        <v>0</v>
      </c>
      <c r="BT666" s="53" t="n">
        <v>666</v>
      </c>
      <c r="BU666" s="48" t="str">
        <f aca="false">IF(U666&lt;&gt;"",UPPER(TRIM(U666)),IF(BX666=1,UPPER(VLOOKUP(T666,Parameter!$I$27:$K$29,2,0)),IF(P666="","LOSE",P666)))</f>
        <v>LOSE</v>
      </c>
      <c r="BV666" s="50" t="n">
        <f aca="false">IF(BU666="LOSE",1,IF(N(V666)&gt;0,V666,IF(BX666=1,MAX(1,N(VLOOKUP(T666,Parameter!$I$27:$K$29,3,0)),H666,N(N666)),IF(N(Q666)&gt;0,Q666,MAX(1,H666)))))</f>
        <v>1</v>
      </c>
      <c r="BW666" s="53" t="n">
        <f aca="false">IF(BU666="LOSE",1,0)</f>
        <v>1</v>
      </c>
      <c r="BX666" s="53" t="n">
        <f aca="false">IF(AND(U666="",OR(P666="",P666="LOSE"),T666&lt;&gt;"",N(S666)&lt;=0,ISNUMBER(MATCH(T666,Parameter!$I$27:$I$29,0))),1,0)</f>
        <v>0</v>
      </c>
      <c r="BY666" s="53" t="n">
        <f aca="false">IF(CL666&gt;0,INDEX(Parameter!$H$5:$H$7,W666)/INDEX(Parameter!$E$5:$E$7,W666),IF(AND(BW666=0,N(IFERROR(VLOOKUP(BU666,'Gebinde-Kategorie'!$A$5:$N$45,14,0),0))&gt;0),VLOOKUP(BU666,'Gebinde-Kategorie'!$A$5:$N$45,14,0)*10+Parameter!$M$23,Parameter!$M$24))</f>
        <v>235</v>
      </c>
      <c r="BZ666" s="48" t="str">
        <f aca="false">IF(AND(Parameter!$B$19="Ja",E666&lt;&gt;"",ISNUMBER(MATCH(E666,Parameter!$I$35:$I$52,0))),VLOOKUP(E666,Parameter!$I$35:$J$52,2,0),IFERROR(VLOOKUP(D666,Parameter!$A$35:$C$64,2,0),"Nein"))</f>
        <v>Nein</v>
      </c>
      <c r="CA666" s="52" t="n">
        <f aca="false">IF(BW666=0,0,IF(N(S666)&gt;0,S666,IFERROR(VLOOKUP(D666,Parameter!$A$35:$C$64,3,0)+0,0)))</f>
        <v>0.15</v>
      </c>
      <c r="CB666" s="48" t="str">
        <f aca="false">IF(AA666&lt;&gt;"",AA666,Z666)</f>
        <v>-</v>
      </c>
      <c r="CC666" s="48" t="str">
        <f aca="false">IF(OR(CB666=1,CB666=2,CB666=3),IF(Parameter!$E$27="Ja","LIFT",IF(CB666=1,"L1","L23")),IF(CB666="Aussen","Aussen","-"))</f>
        <v>-</v>
      </c>
      <c r="CD666" s="59" t="n">
        <f aca="false">IF(N(AB666)&gt;0,AB666,0)</f>
        <v>0</v>
      </c>
      <c r="CE666" s="53" t="n">
        <f aca="false">IF(ISNUMBER(AE666),1,0)</f>
        <v>0</v>
      </c>
      <c r="CF666" s="50" t="n">
        <f aca="false">N(AE666)</f>
        <v>0</v>
      </c>
      <c r="CG666" s="50" t="n">
        <f aca="false">N(M666)+N(N666)</f>
        <v>1</v>
      </c>
      <c r="CH666" s="50" t="n">
        <f aca="false">ROUNDUP(H666/BV666,0)</f>
        <v>0</v>
      </c>
      <c r="CI666" s="50" t="n">
        <f aca="false">ROUNDUP(CF666/BV666,0)</f>
        <v>0</v>
      </c>
      <c r="CJ666" s="53" t="n">
        <f aca="false">IF(BW666=1,0,IFERROR(VLOOKUP(BU666,'Gebinde-Kategorie'!$A$5:$N$45,5,0)+0,0))</f>
        <v>0</v>
      </c>
      <c r="CK666" s="53" t="n">
        <f aca="false">IFERROR(IF(OR(CB666=1,CB666=2,CB666=3),N(INDEX(Parameter!$I$5:$I$7,CB666)),0),0)</f>
        <v>0</v>
      </c>
      <c r="CL666" s="52" t="n">
        <f aca="false">IF(AND(Parameter!$B$21="Ja",ISNUMBER(W666),N(X666)&gt;0),IFERROR(N(INDEX(Parameter!$L$5:$L$7,W666))*INDEX(Parameter!$E$5:$E$7,W666)*X666/SUMIFS($X$7:$X$1843,$W$7:$W$1843,W666),0),0)</f>
        <v>0</v>
      </c>
    </row>
    <row r="667" customFormat="false" ht="15" hidden="false" customHeight="false" outlineLevel="0" collapsed="false">
      <c r="A667" s="48" t="s">
        <v>1346</v>
      </c>
      <c r="B667" s="48" t="s">
        <v>658</v>
      </c>
      <c r="C667" s="48" t="s">
        <v>168</v>
      </c>
      <c r="D667" s="48" t="s">
        <v>999</v>
      </c>
      <c r="E667" s="48"/>
      <c r="F667" s="48" t="s">
        <v>222</v>
      </c>
      <c r="G667" s="49" t="n">
        <v>0.61</v>
      </c>
      <c r="H667" s="50" t="n">
        <f aca="false">MAX(0,IF(AND(Parameter!$B$21="Ja",ISNUMBER(Y667)),Y667,IF(Parameter!$B$20="Jahresanfang 2025 + Export",BO667+BN667,BN667)))</f>
        <v>0</v>
      </c>
      <c r="I667" s="50" t="n">
        <f aca="false">H667*G667</f>
        <v>0</v>
      </c>
      <c r="J667" s="50" t="n">
        <f aca="false">BQ667*Parameter!$B$18</f>
        <v>60</v>
      </c>
      <c r="K667" s="51" t="n">
        <v>0</v>
      </c>
      <c r="L667" s="52" t="n">
        <v>0</v>
      </c>
      <c r="M667" s="50" t="n">
        <v>0</v>
      </c>
      <c r="N667" s="50" t="n">
        <v>1</v>
      </c>
      <c r="O667" s="53" t="n">
        <v>28</v>
      </c>
      <c r="P667" s="48" t="s">
        <v>172</v>
      </c>
      <c r="Q667" s="50"/>
      <c r="R667" s="53" t="n">
        <f aca="false">IF(BW667=1,0,IFERROR(VLOOKUP(BU667,'Gebinde-Kategorie'!$A$5:$N$45,13,0)+0,0))</f>
        <v>0</v>
      </c>
      <c r="S667" s="54"/>
      <c r="T667" s="55"/>
      <c r="U667" s="55"/>
      <c r="V667" s="55"/>
      <c r="W667" s="48"/>
      <c r="X667" s="50"/>
      <c r="Y667" s="50"/>
      <c r="Z667" s="48" t="str">
        <f aca="false">IF(A667="","",IF(AND(Parameter!$B$21="Ja",ISNUMBER(W667)),W667,IF(BZ667="2+3",IF(ISNUMBER(SEARCH("grosser Artikel",BR667)),2,IFERROR(VLOOKUP(BU667,Parameter!$F$35:$G$64,2,0),2)),IF(OR(BZ667="Nein",BZ667=""),"-",BZ667))))</f>
        <v>-</v>
      </c>
      <c r="AA667" s="55"/>
      <c r="AB667" s="56"/>
      <c r="AC667" s="50" t="n">
        <f aca="false">AT667</f>
        <v>30</v>
      </c>
      <c r="AD667" s="50" t="n">
        <f aca="false">MAX(AT667,H667)</f>
        <v>30</v>
      </c>
      <c r="AE667" s="57"/>
      <c r="AF667" s="50" t="n">
        <f aca="false">IF(LEFT(Cockpit!$C$5,1)="A",H667,IF(CE667=1,CF667,IF(LEFT(Cockpit!$C$5,1)="B",AK667,MAX(AK667,H667))))</f>
        <v>0</v>
      </c>
      <c r="AG667" s="50" t="n">
        <f aca="false">IF(BW667=1,0,ROUNDUP(AF667/BV667,0))</f>
        <v>0</v>
      </c>
      <c r="AH667" s="52" t="n">
        <f aca="false">IF(CL667&gt;0,CL667*MAX(1,AF667/X667),IF(BW667=1,IF(AF667&lt;=0,0,CA667*MAX(1,IF(H667&gt;0,AF667/H667,1))),IF(R667&gt;0,AG667/R667,0))/MAX(0.1,N(Parameter!$M$21)))</f>
        <v>0</v>
      </c>
      <c r="AI667" s="50" t="n">
        <f aca="false">AH667*BY667</f>
        <v>0</v>
      </c>
      <c r="AJ667" s="50" t="n">
        <f aca="false">AF667*G667</f>
        <v>0</v>
      </c>
      <c r="AK667" s="50" t="n">
        <f aca="false">ROUNDUP(MAX(J667/IF(CD667&gt;0,CD667,MAX(0.1,N(Cockpit!$C$6))),CG667)/BV667,0)*BV667</f>
        <v>30</v>
      </c>
      <c r="AL667" s="51" t="n">
        <f aca="false">IF(AI667&gt;0,J667/AI667,-1)</f>
        <v>-1</v>
      </c>
      <c r="AM667" s="51" t="str">
        <f aca="false">IF(AND(OR(CC667="L1",CC667="L23",CC667="LIFT"),AI667&gt;0),SUMIFS($AI$7:$AI$1843,$CC$7:$CC$1843,CC667,$AL$7:$AL$1843,"&gt;"&amp;AL667)+SUMIFS($AI$7:$AI$1843,$CC$7:$CC$1843,CC667,$AL$7:$AL$1843,AL667,$BT$7:$BT$1843,"&lt;="&amp;BT667),"")</f>
        <v/>
      </c>
      <c r="AN667" s="58" t="n">
        <f aca="false">IF(AM667="",0,MAX(0,MIN(1,(IF(CC667="L1",Parameter!$H$5,IF(CC667="L23",Parameter!$H$6+Parameter!$H$7,Parameter!$H$5+Parameter!$H$6+Parameter!$H$7))-(AM667-AI667))/AI667)))</f>
        <v>0</v>
      </c>
      <c r="AO667" s="50" t="n">
        <f aca="false">IF(LEFT(Cockpit!$I$5,1)="A",H667,IF(CE667=1,CF667,IF(LEFT(Cockpit!$I$5,1)="B",AT667,MAX(AT667,H667))))</f>
        <v>30</v>
      </c>
      <c r="AP667" s="50" t="n">
        <f aca="false">IF(BW667=1,0,ROUNDUP(AO667/BV667,0))</f>
        <v>0</v>
      </c>
      <c r="AQ667" s="52" t="n">
        <f aca="false">IF(CL667&gt;0,CL667*MAX(1,AO667/X667),IF(BW667=1,IF(AO667&lt;=0,0,CA667*MAX(1,IF(H667&gt;0,AO667/H667,1))),IF(R667&gt;0,AP667/R667,0))/MAX(0.1,N(Parameter!$M$21)))</f>
        <v>0.15</v>
      </c>
      <c r="AR667" s="50" t="n">
        <f aca="false">AQ667*BY667</f>
        <v>35.25</v>
      </c>
      <c r="AS667" s="50" t="n">
        <f aca="false">AO667*G667</f>
        <v>18.3</v>
      </c>
      <c r="AT667" s="50" t="n">
        <f aca="false">ROUNDUP(MAX(J667/IF(CD667&gt;0,CD667,MAX(0.1,N(Cockpit!$I$6))),CG667)/BV667,0)*BV667</f>
        <v>30</v>
      </c>
      <c r="AU667" s="51" t="n">
        <f aca="false">IF(AR667&gt;0,J667/AR667,-1)</f>
        <v>1.70212765957447</v>
      </c>
      <c r="AV667" s="51" t="str">
        <f aca="false">IF(AND(OR(CC667="L1",CC667="L23",CC667="LIFT"),AR667&gt;0),SUMIFS($AR$7:$AR$1843,$CC$7:$CC$1843,CC667,$AU$7:$AU$1843,"&gt;"&amp;AU667)+SUMIFS($AR$7:$AR$1843,$CC$7:$CC$1843,CC667,$AU$7:$AU$1843,AU667,$BT$7:$BT$1843,"&lt;="&amp;BT667),"")</f>
        <v/>
      </c>
      <c r="AW667" s="58" t="n">
        <f aca="false">IF(AV667="",0,MAX(0,MIN(1,(IF(CC667="L1",Parameter!$H$5,IF(CC667="L23",Parameter!$H$6+Parameter!$H$7,Parameter!$H$5+Parameter!$H$6+Parameter!$H$7))-(AV667-AR667))/AR667)))</f>
        <v>0</v>
      </c>
      <c r="AX667" s="50" t="n">
        <f aca="false">IF(LEFT(Cockpit!$O$5,1)="A",H667,IF(CE667=1,CF667,IF(LEFT(Cockpit!$O$5,1)="B",BC667,MAX(BC667,H667))))</f>
        <v>20</v>
      </c>
      <c r="AY667" s="50" t="n">
        <f aca="false">IF(BW667=1,0,ROUNDUP(AX667/BV667,0))</f>
        <v>0</v>
      </c>
      <c r="AZ667" s="52" t="n">
        <f aca="false">IF(CL667&gt;0,CL667*MAX(1,AX667/X667),IF(BW667=1,IF(AX667&lt;=0,0,CA667*MAX(1,IF(H667&gt;0,AX667/H667,1))),IF(R667&gt;0,AY667/R667,0))/MAX(0.1,N(Parameter!$M$21)))</f>
        <v>0.15</v>
      </c>
      <c r="BA667" s="50" t="n">
        <f aca="false">AZ667*BY667</f>
        <v>35.25</v>
      </c>
      <c r="BB667" s="50" t="n">
        <f aca="false">AX667*G667</f>
        <v>12.2</v>
      </c>
      <c r="BC667" s="50" t="n">
        <f aca="false">ROUNDUP(MAX(J667/IF(CD667&gt;0,CD667,MAX(0.1,N(Cockpit!$O$6))),CG667)/BV667,0)*BV667</f>
        <v>20</v>
      </c>
      <c r="BD667" s="51" t="n">
        <f aca="false">IF(BA667&gt;0,J667/BA667,-1)</f>
        <v>1.70212765957447</v>
      </c>
      <c r="BE667" s="51" t="str">
        <f aca="false">IF(AND(OR(CC667="L1",CC667="L23",CC667="LIFT"),BA667&gt;0),SUMIFS($BA$7:$BA$1843,$CC$7:$CC$1843,CC667,$BD$7:$BD$1843,"&gt;"&amp;BD667)+SUMIFS($BA$7:$BA$1843,$CC$7:$CC$1843,CC667,$BD$7:$BD$1843,BD667,$BT$7:$BT$1843,"&lt;="&amp;BT667),"")</f>
        <v/>
      </c>
      <c r="BF667" s="58" t="n">
        <f aca="false">IF(BE667="",0,MAX(0,MIN(1,(IF(CC667="L1",Parameter!$H$5,IF(CC667="L23",Parameter!$H$6+Parameter!$H$7,Parameter!$H$5+Parameter!$H$6+Parameter!$H$7))-(BE667-BA667))/BA667)))</f>
        <v>0</v>
      </c>
      <c r="BG667" s="48" t="str">
        <f aca="false">IF(AI667&lt;=0,"",IF(CC667="Aussen","Aussenlager",IF(CC667="-","Nicht im Lift",IF(AN667&gt;=1,"Lift",IF(AN667&lt;=0,"Aussenlager","teilweise")))))</f>
        <v/>
      </c>
      <c r="BH667" s="48" t="str">
        <f aca="false">IF(AR667&lt;=0,"",IF(CC667="Aussen","Aussenlager",IF(CC667="-","Nicht im Lift",IF(AW667&gt;=1,"Lift",IF(AW667&lt;=0,"Aussenlager","teilweise")))))</f>
        <v>Nicht im Lift</v>
      </c>
      <c r="BI667" s="48" t="str">
        <f aca="false">IF(BA667&lt;=0,"",IF(CC667="Aussen","Aussenlager",IF(CC667="-","Nicht im Lift",IF(BF667&gt;=1,"Lift",IF(BF667&lt;=0,"Aussenlager","teilweise")))))</f>
        <v>Nicht im Lift</v>
      </c>
      <c r="BJ667" s="48" t="str">
        <f aca="false">IF(A667="","",IF(BS667=1,"Neu; ","")&amp;IF(AND(BS667=0,BN667&lt;0),"negativer Bestand (Export "&amp;BN667&amp;"); ","")&amp;IF(J667&lt;=0,"Kein Verbrauch; ","")&amp;IF(CL667&gt;0,"Lift "&amp;W667&amp;" lt. Liftbericht (Fach "&amp;X667&amp;" Stk); ",IF(BX667=1,"Gebinde geschätzt ("&amp;T667&amp;"); ",IF(BW667=1,"Lose – Tablare geschätzt; ","")))&amp;IF(H667&gt;AT667,"Überbestand "&amp;ROUND(H667-AT667,0)&amp;" Stk / CHF "&amp;ROUND((H667-AT667)*G667,0)&amp;"; ","")&amp;IF(AND(CE667=1,CF667&lt;CG667),"MAX &lt; MB+LG; ","")&amp;IF(AND(CK667&gt;0,CJ667*10&gt;CK667),"zu hoch für Tablar; ","")&amp;IF(AND(BS667=0,OR(CE667=1,AA667&lt;&gt;"",U667&lt;&gt;"",V667&lt;&gt;"",AB667&lt;&gt;"")),"manuell übersteuert; ","")&amp;IF(AND(BW667=0,R667=0),"Gebinde unbekannt / Stellmass fehlt; ","")&amp;IF(AND(BW667=0,N(V667)&lt;=0,N(Q667)&lt;=0),"Menge pro Gebinde fehlt (Ist = 1 Gebinde); ","")&amp;BR667)</f>
        <v>Lose – Tablare geschätzt; </v>
      </c>
      <c r="BK667" s="48"/>
      <c r="BL667" s="48"/>
      <c r="BM667" s="55"/>
      <c r="BN667" s="50" t="n">
        <v>0</v>
      </c>
      <c r="BO667" s="50" t="n">
        <v>0</v>
      </c>
      <c r="BP667" s="49" t="n">
        <v>0</v>
      </c>
      <c r="BQ667" s="50" t="n">
        <v>60</v>
      </c>
      <c r="BR667" s="48"/>
      <c r="BS667" s="53" t="n">
        <v>0</v>
      </c>
      <c r="BT667" s="53" t="n">
        <v>667</v>
      </c>
      <c r="BU667" s="48" t="str">
        <f aca="false">IF(U667&lt;&gt;"",UPPER(TRIM(U667)),IF(BX667=1,UPPER(VLOOKUP(T667,Parameter!$I$27:$K$29,2,0)),IF(P667="","LOSE",P667)))</f>
        <v>LOSE</v>
      </c>
      <c r="BV667" s="50" t="n">
        <f aca="false">IF(BU667="LOSE",1,IF(N(V667)&gt;0,V667,IF(BX667=1,MAX(1,N(VLOOKUP(T667,Parameter!$I$27:$K$29,3,0)),H667,N(N667)),IF(N(Q667)&gt;0,Q667,MAX(1,H667)))))</f>
        <v>1</v>
      </c>
      <c r="BW667" s="53" t="n">
        <f aca="false">IF(BU667="LOSE",1,0)</f>
        <v>1</v>
      </c>
      <c r="BX667" s="53" t="n">
        <f aca="false">IF(AND(U667="",OR(P667="",P667="LOSE"),T667&lt;&gt;"",N(S667)&lt;=0,ISNUMBER(MATCH(T667,Parameter!$I$27:$I$29,0))),1,0)</f>
        <v>0</v>
      </c>
      <c r="BY667" s="53" t="n">
        <f aca="false">IF(CL667&gt;0,INDEX(Parameter!$H$5:$H$7,W667)/INDEX(Parameter!$E$5:$E$7,W667),IF(AND(BW667=0,N(IFERROR(VLOOKUP(BU667,'Gebinde-Kategorie'!$A$5:$N$45,14,0),0))&gt;0),VLOOKUP(BU667,'Gebinde-Kategorie'!$A$5:$N$45,14,0)*10+Parameter!$M$23,Parameter!$M$24))</f>
        <v>235</v>
      </c>
      <c r="BZ667" s="48" t="str">
        <f aca="false">IF(AND(Parameter!$B$19="Ja",E667&lt;&gt;"",ISNUMBER(MATCH(E667,Parameter!$I$35:$I$52,0))),VLOOKUP(E667,Parameter!$I$35:$J$52,2,0),IFERROR(VLOOKUP(D667,Parameter!$A$35:$C$64,2,0),"Nein"))</f>
        <v>Nein</v>
      </c>
      <c r="CA667" s="52" t="n">
        <f aca="false">IF(BW667=0,0,IF(N(S667)&gt;0,S667,IFERROR(VLOOKUP(D667,Parameter!$A$35:$C$64,3,0)+0,0)))</f>
        <v>0.15</v>
      </c>
      <c r="CB667" s="48" t="str">
        <f aca="false">IF(AA667&lt;&gt;"",AA667,Z667)</f>
        <v>-</v>
      </c>
      <c r="CC667" s="48" t="str">
        <f aca="false">IF(OR(CB667=1,CB667=2,CB667=3),IF(Parameter!$E$27="Ja","LIFT",IF(CB667=1,"L1","L23")),IF(CB667="Aussen","Aussen","-"))</f>
        <v>-</v>
      </c>
      <c r="CD667" s="59" t="n">
        <f aca="false">IF(N(AB667)&gt;0,AB667,0)</f>
        <v>0</v>
      </c>
      <c r="CE667" s="53" t="n">
        <f aca="false">IF(ISNUMBER(AE667),1,0)</f>
        <v>0</v>
      </c>
      <c r="CF667" s="50" t="n">
        <f aca="false">N(AE667)</f>
        <v>0</v>
      </c>
      <c r="CG667" s="50" t="n">
        <f aca="false">N(M667)+N(N667)</f>
        <v>1</v>
      </c>
      <c r="CH667" s="50" t="n">
        <f aca="false">ROUNDUP(H667/BV667,0)</f>
        <v>0</v>
      </c>
      <c r="CI667" s="50" t="n">
        <f aca="false">ROUNDUP(CF667/BV667,0)</f>
        <v>0</v>
      </c>
      <c r="CJ667" s="53" t="n">
        <f aca="false">IF(BW667=1,0,IFERROR(VLOOKUP(BU667,'Gebinde-Kategorie'!$A$5:$N$45,5,0)+0,0))</f>
        <v>0</v>
      </c>
      <c r="CK667" s="53" t="n">
        <f aca="false">IFERROR(IF(OR(CB667=1,CB667=2,CB667=3),N(INDEX(Parameter!$I$5:$I$7,CB667)),0),0)</f>
        <v>0</v>
      </c>
      <c r="CL667" s="52" t="n">
        <f aca="false">IF(AND(Parameter!$B$21="Ja",ISNUMBER(W667),N(X667)&gt;0),IFERROR(N(INDEX(Parameter!$L$5:$L$7,W667))*INDEX(Parameter!$E$5:$E$7,W667)*X667/SUMIFS($X$7:$X$1843,$W$7:$W$1843,W667),0),0)</f>
        <v>0</v>
      </c>
    </row>
    <row r="668" customFormat="false" ht="15" hidden="false" customHeight="false" outlineLevel="0" collapsed="false">
      <c r="A668" s="48" t="s">
        <v>1347</v>
      </c>
      <c r="B668" s="48" t="s">
        <v>1348</v>
      </c>
      <c r="C668" s="48" t="s">
        <v>168</v>
      </c>
      <c r="D668" s="48" t="s">
        <v>999</v>
      </c>
      <c r="E668" s="48"/>
      <c r="F668" s="48" t="s">
        <v>222</v>
      </c>
      <c r="G668" s="49" t="n">
        <v>2344.22</v>
      </c>
      <c r="H668" s="50" t="n">
        <f aca="false">MAX(0,IF(AND(Parameter!$B$21="Ja",ISNUMBER(Y668)),Y668,IF(Parameter!$B$20="Jahresanfang 2025 + Export",BO668+BN668,BN668)))</f>
        <v>0</v>
      </c>
      <c r="I668" s="50" t="n">
        <f aca="false">H668*G668</f>
        <v>0</v>
      </c>
      <c r="J668" s="50" t="n">
        <f aca="false">BQ668*Parameter!$B$18</f>
        <v>4</v>
      </c>
      <c r="K668" s="51" t="n">
        <v>0</v>
      </c>
      <c r="L668" s="52" t="n">
        <v>0</v>
      </c>
      <c r="M668" s="50" t="n">
        <v>0</v>
      </c>
      <c r="N668" s="50" t="n">
        <v>1</v>
      </c>
      <c r="O668" s="53" t="n">
        <v>70</v>
      </c>
      <c r="P668" s="48" t="s">
        <v>172</v>
      </c>
      <c r="Q668" s="50"/>
      <c r="R668" s="53" t="n">
        <f aca="false">IF(BW668=1,0,IFERROR(VLOOKUP(BU668,'Gebinde-Kategorie'!$A$5:$N$45,13,0)+0,0))</f>
        <v>0</v>
      </c>
      <c r="S668" s="54"/>
      <c r="T668" s="55"/>
      <c r="U668" s="55"/>
      <c r="V668" s="55"/>
      <c r="W668" s="48"/>
      <c r="X668" s="50"/>
      <c r="Y668" s="50"/>
      <c r="Z668" s="48" t="str">
        <f aca="false">IF(A668="","",IF(AND(Parameter!$B$21="Ja",ISNUMBER(W668)),W668,IF(BZ668="2+3",IF(ISNUMBER(SEARCH("grosser Artikel",BR668)),2,IFERROR(VLOOKUP(BU668,Parameter!$F$35:$G$64,2,0),2)),IF(OR(BZ668="Nein",BZ668=""),"-",BZ668))))</f>
        <v>-</v>
      </c>
      <c r="AA668" s="55"/>
      <c r="AB668" s="56"/>
      <c r="AC668" s="50" t="n">
        <f aca="false">AT668</f>
        <v>2</v>
      </c>
      <c r="AD668" s="50" t="n">
        <f aca="false">MAX(AT668,H668)</f>
        <v>2</v>
      </c>
      <c r="AE668" s="57"/>
      <c r="AF668" s="50" t="n">
        <f aca="false">IF(LEFT(Cockpit!$C$5,1)="A",H668,IF(CE668=1,CF668,IF(LEFT(Cockpit!$C$5,1)="B",AK668,MAX(AK668,H668))))</f>
        <v>0</v>
      </c>
      <c r="AG668" s="50" t="n">
        <f aca="false">IF(BW668=1,0,ROUNDUP(AF668/BV668,0))</f>
        <v>0</v>
      </c>
      <c r="AH668" s="52" t="n">
        <f aca="false">IF(CL668&gt;0,CL668*MAX(1,AF668/X668),IF(BW668=1,IF(AF668&lt;=0,0,CA668*MAX(1,IF(H668&gt;0,AF668/H668,1))),IF(R668&gt;0,AG668/R668,0))/MAX(0.1,N(Parameter!$M$21)))</f>
        <v>0</v>
      </c>
      <c r="AI668" s="50" t="n">
        <f aca="false">AH668*BY668</f>
        <v>0</v>
      </c>
      <c r="AJ668" s="50" t="n">
        <f aca="false">AF668*G668</f>
        <v>0</v>
      </c>
      <c r="AK668" s="50" t="n">
        <f aca="false">ROUNDUP(MAX(J668/IF(CD668&gt;0,CD668,MAX(0.1,N(Cockpit!$C$6))),CG668)/BV668,0)*BV668</f>
        <v>2</v>
      </c>
      <c r="AL668" s="51" t="n">
        <f aca="false">IF(AI668&gt;0,J668/AI668,-1)</f>
        <v>-1</v>
      </c>
      <c r="AM668" s="51" t="str">
        <f aca="false">IF(AND(OR(CC668="L1",CC668="L23",CC668="LIFT"),AI668&gt;0),SUMIFS($AI$7:$AI$1843,$CC$7:$CC$1843,CC668,$AL$7:$AL$1843,"&gt;"&amp;AL668)+SUMIFS($AI$7:$AI$1843,$CC$7:$CC$1843,CC668,$AL$7:$AL$1843,AL668,$BT$7:$BT$1843,"&lt;="&amp;BT668),"")</f>
        <v/>
      </c>
      <c r="AN668" s="58" t="n">
        <f aca="false">IF(AM668="",0,MAX(0,MIN(1,(IF(CC668="L1",Parameter!$H$5,IF(CC668="L23",Parameter!$H$6+Parameter!$H$7,Parameter!$H$5+Parameter!$H$6+Parameter!$H$7))-(AM668-AI668))/AI668)))</f>
        <v>0</v>
      </c>
      <c r="AO668" s="50" t="n">
        <f aca="false">IF(LEFT(Cockpit!$I$5,1)="A",H668,IF(CE668=1,CF668,IF(LEFT(Cockpit!$I$5,1)="B",AT668,MAX(AT668,H668))))</f>
        <v>2</v>
      </c>
      <c r="AP668" s="50" t="n">
        <f aca="false">IF(BW668=1,0,ROUNDUP(AO668/BV668,0))</f>
        <v>0</v>
      </c>
      <c r="AQ668" s="52" t="n">
        <f aca="false">IF(CL668&gt;0,CL668*MAX(1,AO668/X668),IF(BW668=1,IF(AO668&lt;=0,0,CA668*MAX(1,IF(H668&gt;0,AO668/H668,1))),IF(R668&gt;0,AP668/R668,0))/MAX(0.1,N(Parameter!$M$21)))</f>
        <v>0.15</v>
      </c>
      <c r="AR668" s="50" t="n">
        <f aca="false">AQ668*BY668</f>
        <v>35.25</v>
      </c>
      <c r="AS668" s="50" t="n">
        <f aca="false">AO668*G668</f>
        <v>4688.44</v>
      </c>
      <c r="AT668" s="50" t="n">
        <f aca="false">ROUNDUP(MAX(J668/IF(CD668&gt;0,CD668,MAX(0.1,N(Cockpit!$I$6))),CG668)/BV668,0)*BV668</f>
        <v>2</v>
      </c>
      <c r="AU668" s="51" t="n">
        <f aca="false">IF(AR668&gt;0,J668/AR668,-1)</f>
        <v>0.113475177304965</v>
      </c>
      <c r="AV668" s="51" t="str">
        <f aca="false">IF(AND(OR(CC668="L1",CC668="L23",CC668="LIFT"),AR668&gt;0),SUMIFS($AR$7:$AR$1843,$CC$7:$CC$1843,CC668,$AU$7:$AU$1843,"&gt;"&amp;AU668)+SUMIFS($AR$7:$AR$1843,$CC$7:$CC$1843,CC668,$AU$7:$AU$1843,AU668,$BT$7:$BT$1843,"&lt;="&amp;BT668),"")</f>
        <v/>
      </c>
      <c r="AW668" s="58" t="n">
        <f aca="false">IF(AV668="",0,MAX(0,MIN(1,(IF(CC668="L1",Parameter!$H$5,IF(CC668="L23",Parameter!$H$6+Parameter!$H$7,Parameter!$H$5+Parameter!$H$6+Parameter!$H$7))-(AV668-AR668))/AR668)))</f>
        <v>0</v>
      </c>
      <c r="AX668" s="50" t="n">
        <f aca="false">IF(LEFT(Cockpit!$O$5,1)="A",H668,IF(CE668=1,CF668,IF(LEFT(Cockpit!$O$5,1)="B",BC668,MAX(BC668,H668))))</f>
        <v>2</v>
      </c>
      <c r="AY668" s="50" t="n">
        <f aca="false">IF(BW668=1,0,ROUNDUP(AX668/BV668,0))</f>
        <v>0</v>
      </c>
      <c r="AZ668" s="52" t="n">
        <f aca="false">IF(CL668&gt;0,CL668*MAX(1,AX668/X668),IF(BW668=1,IF(AX668&lt;=0,0,CA668*MAX(1,IF(H668&gt;0,AX668/H668,1))),IF(R668&gt;0,AY668/R668,0))/MAX(0.1,N(Parameter!$M$21)))</f>
        <v>0.15</v>
      </c>
      <c r="BA668" s="50" t="n">
        <f aca="false">AZ668*BY668</f>
        <v>35.25</v>
      </c>
      <c r="BB668" s="50" t="n">
        <f aca="false">AX668*G668</f>
        <v>4688.44</v>
      </c>
      <c r="BC668" s="50" t="n">
        <f aca="false">ROUNDUP(MAX(J668/IF(CD668&gt;0,CD668,MAX(0.1,N(Cockpit!$O$6))),CG668)/BV668,0)*BV668</f>
        <v>2</v>
      </c>
      <c r="BD668" s="51" t="n">
        <f aca="false">IF(BA668&gt;0,J668/BA668,-1)</f>
        <v>0.113475177304965</v>
      </c>
      <c r="BE668" s="51" t="str">
        <f aca="false">IF(AND(OR(CC668="L1",CC668="L23",CC668="LIFT"),BA668&gt;0),SUMIFS($BA$7:$BA$1843,$CC$7:$CC$1843,CC668,$BD$7:$BD$1843,"&gt;"&amp;BD668)+SUMIFS($BA$7:$BA$1843,$CC$7:$CC$1843,CC668,$BD$7:$BD$1843,BD668,$BT$7:$BT$1843,"&lt;="&amp;BT668),"")</f>
        <v/>
      </c>
      <c r="BF668" s="58" t="n">
        <f aca="false">IF(BE668="",0,MAX(0,MIN(1,(IF(CC668="L1",Parameter!$H$5,IF(CC668="L23",Parameter!$H$6+Parameter!$H$7,Parameter!$H$5+Parameter!$H$6+Parameter!$H$7))-(BE668-BA668))/BA668)))</f>
        <v>0</v>
      </c>
      <c r="BG668" s="48" t="str">
        <f aca="false">IF(AI668&lt;=0,"",IF(CC668="Aussen","Aussenlager",IF(CC668="-","Nicht im Lift",IF(AN668&gt;=1,"Lift",IF(AN668&lt;=0,"Aussenlager","teilweise")))))</f>
        <v/>
      </c>
      <c r="BH668" s="48" t="str">
        <f aca="false">IF(AR668&lt;=0,"",IF(CC668="Aussen","Aussenlager",IF(CC668="-","Nicht im Lift",IF(AW668&gt;=1,"Lift",IF(AW668&lt;=0,"Aussenlager","teilweise")))))</f>
        <v>Nicht im Lift</v>
      </c>
      <c r="BI668" s="48" t="str">
        <f aca="false">IF(BA668&lt;=0,"",IF(CC668="Aussen","Aussenlager",IF(CC668="-","Nicht im Lift",IF(BF668&gt;=1,"Lift",IF(BF668&lt;=0,"Aussenlager","teilweise")))))</f>
        <v>Nicht im Lift</v>
      </c>
      <c r="BJ668" s="48" t="str">
        <f aca="false">IF(A668="","",IF(BS668=1,"Neu; ","")&amp;IF(AND(BS668=0,BN668&lt;0),"negativer Bestand (Export "&amp;BN668&amp;"); ","")&amp;IF(J668&lt;=0,"Kein Verbrauch; ","")&amp;IF(CL668&gt;0,"Lift "&amp;W668&amp;" lt. Liftbericht (Fach "&amp;X668&amp;" Stk); ",IF(BX668=1,"Gebinde geschätzt ("&amp;T668&amp;"); ",IF(BW668=1,"Lose – Tablare geschätzt; ","")))&amp;IF(H668&gt;AT668,"Überbestand "&amp;ROUND(H668-AT668,0)&amp;" Stk / CHF "&amp;ROUND((H668-AT668)*G668,0)&amp;"; ","")&amp;IF(AND(CE668=1,CF668&lt;CG668),"MAX &lt; MB+LG; ","")&amp;IF(AND(CK668&gt;0,CJ668*10&gt;CK668),"zu hoch für Tablar; ","")&amp;IF(AND(BS668=0,OR(CE668=1,AA668&lt;&gt;"",U668&lt;&gt;"",V668&lt;&gt;"",AB668&lt;&gt;"")),"manuell übersteuert; ","")&amp;IF(AND(BW668=0,R668=0),"Gebinde unbekannt / Stellmass fehlt; ","")&amp;IF(AND(BW668=0,N(V668)&lt;=0,N(Q668)&lt;=0),"Menge pro Gebinde fehlt (Ist = 1 Gebinde); ","")&amp;BR668)</f>
        <v>Lose – Tablare geschätzt; </v>
      </c>
      <c r="BK668" s="48"/>
      <c r="BL668" s="48"/>
      <c r="BM668" s="55"/>
      <c r="BN668" s="50" t="n">
        <v>0</v>
      </c>
      <c r="BO668" s="50" t="n">
        <v>0</v>
      </c>
      <c r="BP668" s="49" t="n">
        <v>0</v>
      </c>
      <c r="BQ668" s="50" t="n">
        <v>4</v>
      </c>
      <c r="BR668" s="48"/>
      <c r="BS668" s="53" t="n">
        <v>0</v>
      </c>
      <c r="BT668" s="53" t="n">
        <v>668</v>
      </c>
      <c r="BU668" s="48" t="str">
        <f aca="false">IF(U668&lt;&gt;"",UPPER(TRIM(U668)),IF(BX668=1,UPPER(VLOOKUP(T668,Parameter!$I$27:$K$29,2,0)),IF(P668="","LOSE",P668)))</f>
        <v>LOSE</v>
      </c>
      <c r="BV668" s="50" t="n">
        <f aca="false">IF(BU668="LOSE",1,IF(N(V668)&gt;0,V668,IF(BX668=1,MAX(1,N(VLOOKUP(T668,Parameter!$I$27:$K$29,3,0)),H668,N(N668)),IF(N(Q668)&gt;0,Q668,MAX(1,H668)))))</f>
        <v>1</v>
      </c>
      <c r="BW668" s="53" t="n">
        <f aca="false">IF(BU668="LOSE",1,0)</f>
        <v>1</v>
      </c>
      <c r="BX668" s="53" t="n">
        <f aca="false">IF(AND(U668="",OR(P668="",P668="LOSE"),T668&lt;&gt;"",N(S668)&lt;=0,ISNUMBER(MATCH(T668,Parameter!$I$27:$I$29,0))),1,0)</f>
        <v>0</v>
      </c>
      <c r="BY668" s="53" t="n">
        <f aca="false">IF(CL668&gt;0,INDEX(Parameter!$H$5:$H$7,W668)/INDEX(Parameter!$E$5:$E$7,W668),IF(AND(BW668=0,N(IFERROR(VLOOKUP(BU668,'Gebinde-Kategorie'!$A$5:$N$45,14,0),0))&gt;0),VLOOKUP(BU668,'Gebinde-Kategorie'!$A$5:$N$45,14,0)*10+Parameter!$M$23,Parameter!$M$24))</f>
        <v>235</v>
      </c>
      <c r="BZ668" s="48" t="str">
        <f aca="false">IF(AND(Parameter!$B$19="Ja",E668&lt;&gt;"",ISNUMBER(MATCH(E668,Parameter!$I$35:$I$52,0))),VLOOKUP(E668,Parameter!$I$35:$J$52,2,0),IFERROR(VLOOKUP(D668,Parameter!$A$35:$C$64,2,0),"Nein"))</f>
        <v>Nein</v>
      </c>
      <c r="CA668" s="52" t="n">
        <f aca="false">IF(BW668=0,0,IF(N(S668)&gt;0,S668,IFERROR(VLOOKUP(D668,Parameter!$A$35:$C$64,3,0)+0,0)))</f>
        <v>0.15</v>
      </c>
      <c r="CB668" s="48" t="str">
        <f aca="false">IF(AA668&lt;&gt;"",AA668,Z668)</f>
        <v>-</v>
      </c>
      <c r="CC668" s="48" t="str">
        <f aca="false">IF(OR(CB668=1,CB668=2,CB668=3),IF(Parameter!$E$27="Ja","LIFT",IF(CB668=1,"L1","L23")),IF(CB668="Aussen","Aussen","-"))</f>
        <v>-</v>
      </c>
      <c r="CD668" s="59" t="n">
        <f aca="false">IF(N(AB668)&gt;0,AB668,0)</f>
        <v>0</v>
      </c>
      <c r="CE668" s="53" t="n">
        <f aca="false">IF(ISNUMBER(AE668),1,0)</f>
        <v>0</v>
      </c>
      <c r="CF668" s="50" t="n">
        <f aca="false">N(AE668)</f>
        <v>0</v>
      </c>
      <c r="CG668" s="50" t="n">
        <f aca="false">N(M668)+N(N668)</f>
        <v>1</v>
      </c>
      <c r="CH668" s="50" t="n">
        <f aca="false">ROUNDUP(H668/BV668,0)</f>
        <v>0</v>
      </c>
      <c r="CI668" s="50" t="n">
        <f aca="false">ROUNDUP(CF668/BV668,0)</f>
        <v>0</v>
      </c>
      <c r="CJ668" s="53" t="n">
        <f aca="false">IF(BW668=1,0,IFERROR(VLOOKUP(BU668,'Gebinde-Kategorie'!$A$5:$N$45,5,0)+0,0))</f>
        <v>0</v>
      </c>
      <c r="CK668" s="53" t="n">
        <f aca="false">IFERROR(IF(OR(CB668=1,CB668=2,CB668=3),N(INDEX(Parameter!$I$5:$I$7,CB668)),0),0)</f>
        <v>0</v>
      </c>
      <c r="CL668" s="52" t="n">
        <f aca="false">IF(AND(Parameter!$B$21="Ja",ISNUMBER(W668),N(X668)&gt;0),IFERROR(N(INDEX(Parameter!$L$5:$L$7,W668))*INDEX(Parameter!$E$5:$E$7,W668)*X668/SUMIFS($X$7:$X$1843,$W$7:$W$1843,W668),0),0)</f>
        <v>0</v>
      </c>
    </row>
    <row r="669" customFormat="false" ht="15" hidden="false" customHeight="false" outlineLevel="0" collapsed="false">
      <c r="A669" s="48" t="s">
        <v>1349</v>
      </c>
      <c r="B669" s="48" t="s">
        <v>210</v>
      </c>
      <c r="C669" s="48" t="s">
        <v>168</v>
      </c>
      <c r="D669" s="48" t="s">
        <v>999</v>
      </c>
      <c r="E669" s="48"/>
      <c r="F669" s="48" t="s">
        <v>222</v>
      </c>
      <c r="G669" s="49" t="n">
        <v>4681.1</v>
      </c>
      <c r="H669" s="50" t="n">
        <f aca="false">MAX(0,IF(AND(Parameter!$B$21="Ja",ISNUMBER(Y669)),Y669,IF(Parameter!$B$20="Jahresanfang 2025 + Export",BO669+BN669,BN669)))</f>
        <v>0</v>
      </c>
      <c r="I669" s="50" t="n">
        <f aca="false">H669*G669</f>
        <v>0</v>
      </c>
      <c r="J669" s="50" t="n">
        <f aca="false">BQ669*Parameter!$B$18</f>
        <v>3</v>
      </c>
      <c r="K669" s="51" t="n">
        <v>0</v>
      </c>
      <c r="L669" s="52" t="n">
        <v>0</v>
      </c>
      <c r="M669" s="50" t="n">
        <v>0</v>
      </c>
      <c r="N669" s="50" t="n">
        <v>1</v>
      </c>
      <c r="O669" s="53" t="n">
        <v>70</v>
      </c>
      <c r="P669" s="48" t="s">
        <v>172</v>
      </c>
      <c r="Q669" s="50"/>
      <c r="R669" s="53" t="n">
        <f aca="false">IF(BW669=1,0,IFERROR(VLOOKUP(BU669,'Gebinde-Kategorie'!$A$5:$N$45,13,0)+0,0))</f>
        <v>0</v>
      </c>
      <c r="S669" s="54"/>
      <c r="T669" s="55"/>
      <c r="U669" s="55"/>
      <c r="V669" s="55"/>
      <c r="W669" s="48"/>
      <c r="X669" s="50"/>
      <c r="Y669" s="50"/>
      <c r="Z669" s="48" t="str">
        <f aca="false">IF(A669="","",IF(AND(Parameter!$B$21="Ja",ISNUMBER(W669)),W669,IF(BZ669="2+3",IF(ISNUMBER(SEARCH("grosser Artikel",BR669)),2,IFERROR(VLOOKUP(BU669,Parameter!$F$35:$G$64,2,0),2)),IF(OR(BZ669="Nein",BZ669=""),"-",BZ669))))</f>
        <v>-</v>
      </c>
      <c r="AA669" s="55"/>
      <c r="AB669" s="56"/>
      <c r="AC669" s="50" t="n">
        <f aca="false">AT669</f>
        <v>2</v>
      </c>
      <c r="AD669" s="50" t="n">
        <f aca="false">MAX(AT669,H669)</f>
        <v>2</v>
      </c>
      <c r="AE669" s="57"/>
      <c r="AF669" s="50" t="n">
        <f aca="false">IF(LEFT(Cockpit!$C$5,1)="A",H669,IF(CE669=1,CF669,IF(LEFT(Cockpit!$C$5,1)="B",AK669,MAX(AK669,H669))))</f>
        <v>0</v>
      </c>
      <c r="AG669" s="50" t="n">
        <f aca="false">IF(BW669=1,0,ROUNDUP(AF669/BV669,0))</f>
        <v>0</v>
      </c>
      <c r="AH669" s="52" t="n">
        <f aca="false">IF(CL669&gt;0,CL669*MAX(1,AF669/X669),IF(BW669=1,IF(AF669&lt;=0,0,CA669*MAX(1,IF(H669&gt;0,AF669/H669,1))),IF(R669&gt;0,AG669/R669,0))/MAX(0.1,N(Parameter!$M$21)))</f>
        <v>0</v>
      </c>
      <c r="AI669" s="50" t="n">
        <f aca="false">AH669*BY669</f>
        <v>0</v>
      </c>
      <c r="AJ669" s="50" t="n">
        <f aca="false">AF669*G669</f>
        <v>0</v>
      </c>
      <c r="AK669" s="50" t="n">
        <f aca="false">ROUNDUP(MAX(J669/IF(CD669&gt;0,CD669,MAX(0.1,N(Cockpit!$C$6))),CG669)/BV669,0)*BV669</f>
        <v>2</v>
      </c>
      <c r="AL669" s="51" t="n">
        <f aca="false">IF(AI669&gt;0,J669/AI669,-1)</f>
        <v>-1</v>
      </c>
      <c r="AM669" s="51" t="str">
        <f aca="false">IF(AND(OR(CC669="L1",CC669="L23",CC669="LIFT"),AI669&gt;0),SUMIFS($AI$7:$AI$1843,$CC$7:$CC$1843,CC669,$AL$7:$AL$1843,"&gt;"&amp;AL669)+SUMIFS($AI$7:$AI$1843,$CC$7:$CC$1843,CC669,$AL$7:$AL$1843,AL669,$BT$7:$BT$1843,"&lt;="&amp;BT669),"")</f>
        <v/>
      </c>
      <c r="AN669" s="58" t="n">
        <f aca="false">IF(AM669="",0,MAX(0,MIN(1,(IF(CC669="L1",Parameter!$H$5,IF(CC669="L23",Parameter!$H$6+Parameter!$H$7,Parameter!$H$5+Parameter!$H$6+Parameter!$H$7))-(AM669-AI669))/AI669)))</f>
        <v>0</v>
      </c>
      <c r="AO669" s="50" t="n">
        <f aca="false">IF(LEFT(Cockpit!$I$5,1)="A",H669,IF(CE669=1,CF669,IF(LEFT(Cockpit!$I$5,1)="B",AT669,MAX(AT669,H669))))</f>
        <v>2</v>
      </c>
      <c r="AP669" s="50" t="n">
        <f aca="false">IF(BW669=1,0,ROUNDUP(AO669/BV669,0))</f>
        <v>0</v>
      </c>
      <c r="AQ669" s="52" t="n">
        <f aca="false">IF(CL669&gt;0,CL669*MAX(1,AO669/X669),IF(BW669=1,IF(AO669&lt;=0,0,CA669*MAX(1,IF(H669&gt;0,AO669/H669,1))),IF(R669&gt;0,AP669/R669,0))/MAX(0.1,N(Parameter!$M$21)))</f>
        <v>0.15</v>
      </c>
      <c r="AR669" s="50" t="n">
        <f aca="false">AQ669*BY669</f>
        <v>35.25</v>
      </c>
      <c r="AS669" s="50" t="n">
        <f aca="false">AO669*G669</f>
        <v>9362.2</v>
      </c>
      <c r="AT669" s="50" t="n">
        <f aca="false">ROUNDUP(MAX(J669/IF(CD669&gt;0,CD669,MAX(0.1,N(Cockpit!$I$6))),CG669)/BV669,0)*BV669</f>
        <v>2</v>
      </c>
      <c r="AU669" s="51" t="n">
        <f aca="false">IF(AR669&gt;0,J669/AR669,-1)</f>
        <v>0.0851063829787234</v>
      </c>
      <c r="AV669" s="51" t="str">
        <f aca="false">IF(AND(OR(CC669="L1",CC669="L23",CC669="LIFT"),AR669&gt;0),SUMIFS($AR$7:$AR$1843,$CC$7:$CC$1843,CC669,$AU$7:$AU$1843,"&gt;"&amp;AU669)+SUMIFS($AR$7:$AR$1843,$CC$7:$CC$1843,CC669,$AU$7:$AU$1843,AU669,$BT$7:$BT$1843,"&lt;="&amp;BT669),"")</f>
        <v/>
      </c>
      <c r="AW669" s="58" t="n">
        <f aca="false">IF(AV669="",0,MAX(0,MIN(1,(IF(CC669="L1",Parameter!$H$5,IF(CC669="L23",Parameter!$H$6+Parameter!$H$7,Parameter!$H$5+Parameter!$H$6+Parameter!$H$7))-(AV669-AR669))/AR669)))</f>
        <v>0</v>
      </c>
      <c r="AX669" s="50" t="n">
        <f aca="false">IF(LEFT(Cockpit!$O$5,1)="A",H669,IF(CE669=1,CF669,IF(LEFT(Cockpit!$O$5,1)="B",BC669,MAX(BC669,H669))))</f>
        <v>1</v>
      </c>
      <c r="AY669" s="50" t="n">
        <f aca="false">IF(BW669=1,0,ROUNDUP(AX669/BV669,0))</f>
        <v>0</v>
      </c>
      <c r="AZ669" s="52" t="n">
        <f aca="false">IF(CL669&gt;0,CL669*MAX(1,AX669/X669),IF(BW669=1,IF(AX669&lt;=0,0,CA669*MAX(1,IF(H669&gt;0,AX669/H669,1))),IF(R669&gt;0,AY669/R669,0))/MAX(0.1,N(Parameter!$M$21)))</f>
        <v>0.15</v>
      </c>
      <c r="BA669" s="50" t="n">
        <f aca="false">AZ669*BY669</f>
        <v>35.25</v>
      </c>
      <c r="BB669" s="50" t="n">
        <f aca="false">AX669*G669</f>
        <v>4681.1</v>
      </c>
      <c r="BC669" s="50" t="n">
        <f aca="false">ROUNDUP(MAX(J669/IF(CD669&gt;0,CD669,MAX(0.1,N(Cockpit!$O$6))),CG669)/BV669,0)*BV669</f>
        <v>1</v>
      </c>
      <c r="BD669" s="51" t="n">
        <f aca="false">IF(BA669&gt;0,J669/BA669,-1)</f>
        <v>0.0851063829787234</v>
      </c>
      <c r="BE669" s="51" t="str">
        <f aca="false">IF(AND(OR(CC669="L1",CC669="L23",CC669="LIFT"),BA669&gt;0),SUMIFS($BA$7:$BA$1843,$CC$7:$CC$1843,CC669,$BD$7:$BD$1843,"&gt;"&amp;BD669)+SUMIFS($BA$7:$BA$1843,$CC$7:$CC$1843,CC669,$BD$7:$BD$1843,BD669,$BT$7:$BT$1843,"&lt;="&amp;BT669),"")</f>
        <v/>
      </c>
      <c r="BF669" s="58" t="n">
        <f aca="false">IF(BE669="",0,MAX(0,MIN(1,(IF(CC669="L1",Parameter!$H$5,IF(CC669="L23",Parameter!$H$6+Parameter!$H$7,Parameter!$H$5+Parameter!$H$6+Parameter!$H$7))-(BE669-BA669))/BA669)))</f>
        <v>0</v>
      </c>
      <c r="BG669" s="48" t="str">
        <f aca="false">IF(AI669&lt;=0,"",IF(CC669="Aussen","Aussenlager",IF(CC669="-","Nicht im Lift",IF(AN669&gt;=1,"Lift",IF(AN669&lt;=0,"Aussenlager","teilweise")))))</f>
        <v/>
      </c>
      <c r="BH669" s="48" t="str">
        <f aca="false">IF(AR669&lt;=0,"",IF(CC669="Aussen","Aussenlager",IF(CC669="-","Nicht im Lift",IF(AW669&gt;=1,"Lift",IF(AW669&lt;=0,"Aussenlager","teilweise")))))</f>
        <v>Nicht im Lift</v>
      </c>
      <c r="BI669" s="48" t="str">
        <f aca="false">IF(BA669&lt;=0,"",IF(CC669="Aussen","Aussenlager",IF(CC669="-","Nicht im Lift",IF(BF669&gt;=1,"Lift",IF(BF669&lt;=0,"Aussenlager","teilweise")))))</f>
        <v>Nicht im Lift</v>
      </c>
      <c r="BJ669" s="48" t="str">
        <f aca="false">IF(A669="","",IF(BS669=1,"Neu; ","")&amp;IF(AND(BS669=0,BN669&lt;0),"negativer Bestand (Export "&amp;BN669&amp;"); ","")&amp;IF(J669&lt;=0,"Kein Verbrauch; ","")&amp;IF(CL669&gt;0,"Lift "&amp;W669&amp;" lt. Liftbericht (Fach "&amp;X669&amp;" Stk); ",IF(BX669=1,"Gebinde geschätzt ("&amp;T669&amp;"); ",IF(BW669=1,"Lose – Tablare geschätzt; ","")))&amp;IF(H669&gt;AT669,"Überbestand "&amp;ROUND(H669-AT669,0)&amp;" Stk / CHF "&amp;ROUND((H669-AT669)*G669,0)&amp;"; ","")&amp;IF(AND(CE669=1,CF669&lt;CG669),"MAX &lt; MB+LG; ","")&amp;IF(AND(CK669&gt;0,CJ669*10&gt;CK669),"zu hoch für Tablar; ","")&amp;IF(AND(BS669=0,OR(CE669=1,AA669&lt;&gt;"",U669&lt;&gt;"",V669&lt;&gt;"",AB669&lt;&gt;"")),"manuell übersteuert; ","")&amp;IF(AND(BW669=0,R669=0),"Gebinde unbekannt / Stellmass fehlt; ","")&amp;IF(AND(BW669=0,N(V669)&lt;=0,N(Q669)&lt;=0),"Menge pro Gebinde fehlt (Ist = 1 Gebinde); ","")&amp;BR669)</f>
        <v>Lose – Tablare geschätzt; </v>
      </c>
      <c r="BK669" s="48"/>
      <c r="BL669" s="48"/>
      <c r="BM669" s="55"/>
      <c r="BN669" s="50" t="n">
        <v>0</v>
      </c>
      <c r="BO669" s="50" t="n">
        <v>0</v>
      </c>
      <c r="BP669" s="49" t="n">
        <v>0</v>
      </c>
      <c r="BQ669" s="50" t="n">
        <v>3</v>
      </c>
      <c r="BR669" s="48"/>
      <c r="BS669" s="53" t="n">
        <v>0</v>
      </c>
      <c r="BT669" s="53" t="n">
        <v>669</v>
      </c>
      <c r="BU669" s="48" t="str">
        <f aca="false">IF(U669&lt;&gt;"",UPPER(TRIM(U669)),IF(BX669=1,UPPER(VLOOKUP(T669,Parameter!$I$27:$K$29,2,0)),IF(P669="","LOSE",P669)))</f>
        <v>LOSE</v>
      </c>
      <c r="BV669" s="50" t="n">
        <f aca="false">IF(BU669="LOSE",1,IF(N(V669)&gt;0,V669,IF(BX669=1,MAX(1,N(VLOOKUP(T669,Parameter!$I$27:$K$29,3,0)),H669,N(N669)),IF(N(Q669)&gt;0,Q669,MAX(1,H669)))))</f>
        <v>1</v>
      </c>
      <c r="BW669" s="53" t="n">
        <f aca="false">IF(BU669="LOSE",1,0)</f>
        <v>1</v>
      </c>
      <c r="BX669" s="53" t="n">
        <f aca="false">IF(AND(U669="",OR(P669="",P669="LOSE"),T669&lt;&gt;"",N(S669)&lt;=0,ISNUMBER(MATCH(T669,Parameter!$I$27:$I$29,0))),1,0)</f>
        <v>0</v>
      </c>
      <c r="BY669" s="53" t="n">
        <f aca="false">IF(CL669&gt;0,INDEX(Parameter!$H$5:$H$7,W669)/INDEX(Parameter!$E$5:$E$7,W669),IF(AND(BW669=0,N(IFERROR(VLOOKUP(BU669,'Gebinde-Kategorie'!$A$5:$N$45,14,0),0))&gt;0),VLOOKUP(BU669,'Gebinde-Kategorie'!$A$5:$N$45,14,0)*10+Parameter!$M$23,Parameter!$M$24))</f>
        <v>235</v>
      </c>
      <c r="BZ669" s="48" t="str">
        <f aca="false">IF(AND(Parameter!$B$19="Ja",E669&lt;&gt;"",ISNUMBER(MATCH(E669,Parameter!$I$35:$I$52,0))),VLOOKUP(E669,Parameter!$I$35:$J$52,2,0),IFERROR(VLOOKUP(D669,Parameter!$A$35:$C$64,2,0),"Nein"))</f>
        <v>Nein</v>
      </c>
      <c r="CA669" s="52" t="n">
        <f aca="false">IF(BW669=0,0,IF(N(S669)&gt;0,S669,IFERROR(VLOOKUP(D669,Parameter!$A$35:$C$64,3,0)+0,0)))</f>
        <v>0.15</v>
      </c>
      <c r="CB669" s="48" t="str">
        <f aca="false">IF(AA669&lt;&gt;"",AA669,Z669)</f>
        <v>-</v>
      </c>
      <c r="CC669" s="48" t="str">
        <f aca="false">IF(OR(CB669=1,CB669=2,CB669=3),IF(Parameter!$E$27="Ja","LIFT",IF(CB669=1,"L1","L23")),IF(CB669="Aussen","Aussen","-"))</f>
        <v>-</v>
      </c>
      <c r="CD669" s="59" t="n">
        <f aca="false">IF(N(AB669)&gt;0,AB669,0)</f>
        <v>0</v>
      </c>
      <c r="CE669" s="53" t="n">
        <f aca="false">IF(ISNUMBER(AE669),1,0)</f>
        <v>0</v>
      </c>
      <c r="CF669" s="50" t="n">
        <f aca="false">N(AE669)</f>
        <v>0</v>
      </c>
      <c r="CG669" s="50" t="n">
        <f aca="false">N(M669)+N(N669)</f>
        <v>1</v>
      </c>
      <c r="CH669" s="50" t="n">
        <f aca="false">ROUNDUP(H669/BV669,0)</f>
        <v>0</v>
      </c>
      <c r="CI669" s="50" t="n">
        <f aca="false">ROUNDUP(CF669/BV669,0)</f>
        <v>0</v>
      </c>
      <c r="CJ669" s="53" t="n">
        <f aca="false">IF(BW669=1,0,IFERROR(VLOOKUP(BU669,'Gebinde-Kategorie'!$A$5:$N$45,5,0)+0,0))</f>
        <v>0</v>
      </c>
      <c r="CK669" s="53" t="n">
        <f aca="false">IFERROR(IF(OR(CB669=1,CB669=2,CB669=3),N(INDEX(Parameter!$I$5:$I$7,CB669)),0),0)</f>
        <v>0</v>
      </c>
      <c r="CL669" s="52" t="n">
        <f aca="false">IF(AND(Parameter!$B$21="Ja",ISNUMBER(W669),N(X669)&gt;0),IFERROR(N(INDEX(Parameter!$L$5:$L$7,W669))*INDEX(Parameter!$E$5:$E$7,W669)*X669/SUMIFS($X$7:$X$1843,$W$7:$W$1843,W669),0),0)</f>
        <v>0</v>
      </c>
    </row>
    <row r="670" customFormat="false" ht="15" hidden="false" customHeight="false" outlineLevel="0" collapsed="false">
      <c r="A670" s="48" t="s">
        <v>1350</v>
      </c>
      <c r="B670" s="48" t="s">
        <v>1351</v>
      </c>
      <c r="C670" s="48" t="s">
        <v>168</v>
      </c>
      <c r="D670" s="48" t="s">
        <v>999</v>
      </c>
      <c r="E670" s="48"/>
      <c r="F670" s="48" t="s">
        <v>222</v>
      </c>
      <c r="G670" s="49" t="n">
        <v>171.76</v>
      </c>
      <c r="H670" s="50" t="n">
        <f aca="false">MAX(0,IF(AND(Parameter!$B$21="Ja",ISNUMBER(Y670)),Y670,IF(Parameter!$B$20="Jahresanfang 2025 + Export",BO670+BN670,BN670)))</f>
        <v>0</v>
      </c>
      <c r="I670" s="50" t="n">
        <f aca="false">H670*G670</f>
        <v>0</v>
      </c>
      <c r="J670" s="50" t="n">
        <f aca="false">BQ670*Parameter!$B$18</f>
        <v>1</v>
      </c>
      <c r="K670" s="51" t="n">
        <v>0</v>
      </c>
      <c r="L670" s="52" t="n">
        <v>0</v>
      </c>
      <c r="M670" s="50" t="n">
        <v>0</v>
      </c>
      <c r="N670" s="50" t="n">
        <v>1</v>
      </c>
      <c r="O670" s="53" t="n">
        <v>105</v>
      </c>
      <c r="P670" s="48" t="s">
        <v>172</v>
      </c>
      <c r="Q670" s="50"/>
      <c r="R670" s="53" t="n">
        <f aca="false">IF(BW670=1,0,IFERROR(VLOOKUP(BU670,'Gebinde-Kategorie'!$A$5:$N$45,13,0)+0,0))</f>
        <v>0</v>
      </c>
      <c r="S670" s="54"/>
      <c r="T670" s="55"/>
      <c r="U670" s="55"/>
      <c r="V670" s="55"/>
      <c r="W670" s="48"/>
      <c r="X670" s="50"/>
      <c r="Y670" s="50"/>
      <c r="Z670" s="48" t="str">
        <f aca="false">IF(A670="","",IF(AND(Parameter!$B$21="Ja",ISNUMBER(W670)),W670,IF(BZ670="2+3",IF(ISNUMBER(SEARCH("grosser Artikel",BR670)),2,IFERROR(VLOOKUP(BU670,Parameter!$F$35:$G$64,2,0),2)),IF(OR(BZ670="Nein",BZ670=""),"-",BZ670))))</f>
        <v>-</v>
      </c>
      <c r="AA670" s="55"/>
      <c r="AB670" s="56"/>
      <c r="AC670" s="50" t="n">
        <f aca="false">AT670</f>
        <v>1</v>
      </c>
      <c r="AD670" s="50" t="n">
        <f aca="false">MAX(AT670,H670)</f>
        <v>1</v>
      </c>
      <c r="AE670" s="57"/>
      <c r="AF670" s="50" t="n">
        <f aca="false">IF(LEFT(Cockpit!$C$5,1)="A",H670,IF(CE670=1,CF670,IF(LEFT(Cockpit!$C$5,1)="B",AK670,MAX(AK670,H670))))</f>
        <v>0</v>
      </c>
      <c r="AG670" s="50" t="n">
        <f aca="false">IF(BW670=1,0,ROUNDUP(AF670/BV670,0))</f>
        <v>0</v>
      </c>
      <c r="AH670" s="52" t="n">
        <f aca="false">IF(CL670&gt;0,CL670*MAX(1,AF670/X670),IF(BW670=1,IF(AF670&lt;=0,0,CA670*MAX(1,IF(H670&gt;0,AF670/H670,1))),IF(R670&gt;0,AG670/R670,0))/MAX(0.1,N(Parameter!$M$21)))</f>
        <v>0</v>
      </c>
      <c r="AI670" s="50" t="n">
        <f aca="false">AH670*BY670</f>
        <v>0</v>
      </c>
      <c r="AJ670" s="50" t="n">
        <f aca="false">AF670*G670</f>
        <v>0</v>
      </c>
      <c r="AK670" s="50" t="n">
        <f aca="false">ROUNDUP(MAX(J670/IF(CD670&gt;0,CD670,MAX(0.1,N(Cockpit!$C$6))),CG670)/BV670,0)*BV670</f>
        <v>1</v>
      </c>
      <c r="AL670" s="51" t="n">
        <f aca="false">IF(AI670&gt;0,J670/AI670,-1)</f>
        <v>-1</v>
      </c>
      <c r="AM670" s="51" t="str">
        <f aca="false">IF(AND(OR(CC670="L1",CC670="L23",CC670="LIFT"),AI670&gt;0),SUMIFS($AI$7:$AI$1843,$CC$7:$CC$1843,CC670,$AL$7:$AL$1843,"&gt;"&amp;AL670)+SUMIFS($AI$7:$AI$1843,$CC$7:$CC$1843,CC670,$AL$7:$AL$1843,AL670,$BT$7:$BT$1843,"&lt;="&amp;BT670),"")</f>
        <v/>
      </c>
      <c r="AN670" s="58" t="n">
        <f aca="false">IF(AM670="",0,MAX(0,MIN(1,(IF(CC670="L1",Parameter!$H$5,IF(CC670="L23",Parameter!$H$6+Parameter!$H$7,Parameter!$H$5+Parameter!$H$6+Parameter!$H$7))-(AM670-AI670))/AI670)))</f>
        <v>0</v>
      </c>
      <c r="AO670" s="50" t="n">
        <f aca="false">IF(LEFT(Cockpit!$I$5,1)="A",H670,IF(CE670=1,CF670,IF(LEFT(Cockpit!$I$5,1)="B",AT670,MAX(AT670,H670))))</f>
        <v>1</v>
      </c>
      <c r="AP670" s="50" t="n">
        <f aca="false">IF(BW670=1,0,ROUNDUP(AO670/BV670,0))</f>
        <v>0</v>
      </c>
      <c r="AQ670" s="52" t="n">
        <f aca="false">IF(CL670&gt;0,CL670*MAX(1,AO670/X670),IF(BW670=1,IF(AO670&lt;=0,0,CA670*MAX(1,IF(H670&gt;0,AO670/H670,1))),IF(R670&gt;0,AP670/R670,0))/MAX(0.1,N(Parameter!$M$21)))</f>
        <v>0.15</v>
      </c>
      <c r="AR670" s="50" t="n">
        <f aca="false">AQ670*BY670</f>
        <v>35.25</v>
      </c>
      <c r="AS670" s="50" t="n">
        <f aca="false">AO670*G670</f>
        <v>171.76</v>
      </c>
      <c r="AT670" s="50" t="n">
        <f aca="false">ROUNDUP(MAX(J670/IF(CD670&gt;0,CD670,MAX(0.1,N(Cockpit!$I$6))),CG670)/BV670,0)*BV670</f>
        <v>1</v>
      </c>
      <c r="AU670" s="51" t="n">
        <f aca="false">IF(AR670&gt;0,J670/AR670,-1)</f>
        <v>0.0283687943262411</v>
      </c>
      <c r="AV670" s="51" t="str">
        <f aca="false">IF(AND(OR(CC670="L1",CC670="L23",CC670="LIFT"),AR670&gt;0),SUMIFS($AR$7:$AR$1843,$CC$7:$CC$1843,CC670,$AU$7:$AU$1843,"&gt;"&amp;AU670)+SUMIFS($AR$7:$AR$1843,$CC$7:$CC$1843,CC670,$AU$7:$AU$1843,AU670,$BT$7:$BT$1843,"&lt;="&amp;BT670),"")</f>
        <v/>
      </c>
      <c r="AW670" s="58" t="n">
        <f aca="false">IF(AV670="",0,MAX(0,MIN(1,(IF(CC670="L1",Parameter!$H$5,IF(CC670="L23",Parameter!$H$6+Parameter!$H$7,Parameter!$H$5+Parameter!$H$6+Parameter!$H$7))-(AV670-AR670))/AR670)))</f>
        <v>0</v>
      </c>
      <c r="AX670" s="50" t="n">
        <f aca="false">IF(LEFT(Cockpit!$O$5,1)="A",H670,IF(CE670=1,CF670,IF(LEFT(Cockpit!$O$5,1)="B",BC670,MAX(BC670,H670))))</f>
        <v>1</v>
      </c>
      <c r="AY670" s="50" t="n">
        <f aca="false">IF(BW670=1,0,ROUNDUP(AX670/BV670,0))</f>
        <v>0</v>
      </c>
      <c r="AZ670" s="52" t="n">
        <f aca="false">IF(CL670&gt;0,CL670*MAX(1,AX670/X670),IF(BW670=1,IF(AX670&lt;=0,0,CA670*MAX(1,IF(H670&gt;0,AX670/H670,1))),IF(R670&gt;0,AY670/R670,0))/MAX(0.1,N(Parameter!$M$21)))</f>
        <v>0.15</v>
      </c>
      <c r="BA670" s="50" t="n">
        <f aca="false">AZ670*BY670</f>
        <v>35.25</v>
      </c>
      <c r="BB670" s="50" t="n">
        <f aca="false">AX670*G670</f>
        <v>171.76</v>
      </c>
      <c r="BC670" s="50" t="n">
        <f aca="false">ROUNDUP(MAX(J670/IF(CD670&gt;0,CD670,MAX(0.1,N(Cockpit!$O$6))),CG670)/BV670,0)*BV670</f>
        <v>1</v>
      </c>
      <c r="BD670" s="51" t="n">
        <f aca="false">IF(BA670&gt;0,J670/BA670,-1)</f>
        <v>0.0283687943262411</v>
      </c>
      <c r="BE670" s="51" t="str">
        <f aca="false">IF(AND(OR(CC670="L1",CC670="L23",CC670="LIFT"),BA670&gt;0),SUMIFS($BA$7:$BA$1843,$CC$7:$CC$1843,CC670,$BD$7:$BD$1843,"&gt;"&amp;BD670)+SUMIFS($BA$7:$BA$1843,$CC$7:$CC$1843,CC670,$BD$7:$BD$1843,BD670,$BT$7:$BT$1843,"&lt;="&amp;BT670),"")</f>
        <v/>
      </c>
      <c r="BF670" s="58" t="n">
        <f aca="false">IF(BE670="",0,MAX(0,MIN(1,(IF(CC670="L1",Parameter!$H$5,IF(CC670="L23",Parameter!$H$6+Parameter!$H$7,Parameter!$H$5+Parameter!$H$6+Parameter!$H$7))-(BE670-BA670))/BA670)))</f>
        <v>0</v>
      </c>
      <c r="BG670" s="48" t="str">
        <f aca="false">IF(AI670&lt;=0,"",IF(CC670="Aussen","Aussenlager",IF(CC670="-","Nicht im Lift",IF(AN670&gt;=1,"Lift",IF(AN670&lt;=0,"Aussenlager","teilweise")))))</f>
        <v/>
      </c>
      <c r="BH670" s="48" t="str">
        <f aca="false">IF(AR670&lt;=0,"",IF(CC670="Aussen","Aussenlager",IF(CC670="-","Nicht im Lift",IF(AW670&gt;=1,"Lift",IF(AW670&lt;=0,"Aussenlager","teilweise")))))</f>
        <v>Nicht im Lift</v>
      </c>
      <c r="BI670" s="48" t="str">
        <f aca="false">IF(BA670&lt;=0,"",IF(CC670="Aussen","Aussenlager",IF(CC670="-","Nicht im Lift",IF(BF670&gt;=1,"Lift",IF(BF670&lt;=0,"Aussenlager","teilweise")))))</f>
        <v>Nicht im Lift</v>
      </c>
      <c r="BJ670" s="48" t="str">
        <f aca="false">IF(A670="","",IF(BS670=1,"Neu; ","")&amp;IF(AND(BS670=0,BN670&lt;0),"negativer Bestand (Export "&amp;BN670&amp;"); ","")&amp;IF(J670&lt;=0,"Kein Verbrauch; ","")&amp;IF(CL670&gt;0,"Lift "&amp;W670&amp;" lt. Liftbericht (Fach "&amp;X670&amp;" Stk); ",IF(BX670=1,"Gebinde geschätzt ("&amp;T670&amp;"); ",IF(BW670=1,"Lose – Tablare geschätzt; ","")))&amp;IF(H670&gt;AT670,"Überbestand "&amp;ROUND(H670-AT670,0)&amp;" Stk / CHF "&amp;ROUND((H670-AT670)*G670,0)&amp;"; ","")&amp;IF(AND(CE670=1,CF670&lt;CG670),"MAX &lt; MB+LG; ","")&amp;IF(AND(CK670&gt;0,CJ670*10&gt;CK670),"zu hoch für Tablar; ","")&amp;IF(AND(BS670=0,OR(CE670=1,AA670&lt;&gt;"",U670&lt;&gt;"",V670&lt;&gt;"",AB670&lt;&gt;"")),"manuell übersteuert; ","")&amp;IF(AND(BW670=0,R670=0),"Gebinde unbekannt / Stellmass fehlt; ","")&amp;IF(AND(BW670=0,N(V670)&lt;=0,N(Q670)&lt;=0),"Menge pro Gebinde fehlt (Ist = 1 Gebinde); ","")&amp;BR670)</f>
        <v>Lose – Tablare geschätzt; </v>
      </c>
      <c r="BK670" s="48"/>
      <c r="BL670" s="48"/>
      <c r="BM670" s="55"/>
      <c r="BN670" s="50" t="n">
        <v>0</v>
      </c>
      <c r="BO670" s="50" t="n">
        <v>0</v>
      </c>
      <c r="BP670" s="49" t="n">
        <v>0</v>
      </c>
      <c r="BQ670" s="50" t="n">
        <v>1</v>
      </c>
      <c r="BR670" s="48"/>
      <c r="BS670" s="53" t="n">
        <v>0</v>
      </c>
      <c r="BT670" s="53" t="n">
        <v>670</v>
      </c>
      <c r="BU670" s="48" t="str">
        <f aca="false">IF(U670&lt;&gt;"",UPPER(TRIM(U670)),IF(BX670=1,UPPER(VLOOKUP(T670,Parameter!$I$27:$K$29,2,0)),IF(P670="","LOSE",P670)))</f>
        <v>LOSE</v>
      </c>
      <c r="BV670" s="50" t="n">
        <f aca="false">IF(BU670="LOSE",1,IF(N(V670)&gt;0,V670,IF(BX670=1,MAX(1,N(VLOOKUP(T670,Parameter!$I$27:$K$29,3,0)),H670,N(N670)),IF(N(Q670)&gt;0,Q670,MAX(1,H670)))))</f>
        <v>1</v>
      </c>
      <c r="BW670" s="53" t="n">
        <f aca="false">IF(BU670="LOSE",1,0)</f>
        <v>1</v>
      </c>
      <c r="BX670" s="53" t="n">
        <f aca="false">IF(AND(U670="",OR(P670="",P670="LOSE"),T670&lt;&gt;"",N(S670)&lt;=0,ISNUMBER(MATCH(T670,Parameter!$I$27:$I$29,0))),1,0)</f>
        <v>0</v>
      </c>
      <c r="BY670" s="53" t="n">
        <f aca="false">IF(CL670&gt;0,INDEX(Parameter!$H$5:$H$7,W670)/INDEX(Parameter!$E$5:$E$7,W670),IF(AND(BW670=0,N(IFERROR(VLOOKUP(BU670,'Gebinde-Kategorie'!$A$5:$N$45,14,0),0))&gt;0),VLOOKUP(BU670,'Gebinde-Kategorie'!$A$5:$N$45,14,0)*10+Parameter!$M$23,Parameter!$M$24))</f>
        <v>235</v>
      </c>
      <c r="BZ670" s="48" t="str">
        <f aca="false">IF(AND(Parameter!$B$19="Ja",E670&lt;&gt;"",ISNUMBER(MATCH(E670,Parameter!$I$35:$I$52,0))),VLOOKUP(E670,Parameter!$I$35:$J$52,2,0),IFERROR(VLOOKUP(D670,Parameter!$A$35:$C$64,2,0),"Nein"))</f>
        <v>Nein</v>
      </c>
      <c r="CA670" s="52" t="n">
        <f aca="false">IF(BW670=0,0,IF(N(S670)&gt;0,S670,IFERROR(VLOOKUP(D670,Parameter!$A$35:$C$64,3,0)+0,0)))</f>
        <v>0.15</v>
      </c>
      <c r="CB670" s="48" t="str">
        <f aca="false">IF(AA670&lt;&gt;"",AA670,Z670)</f>
        <v>-</v>
      </c>
      <c r="CC670" s="48" t="str">
        <f aca="false">IF(OR(CB670=1,CB670=2,CB670=3),IF(Parameter!$E$27="Ja","LIFT",IF(CB670=1,"L1","L23")),IF(CB670="Aussen","Aussen","-"))</f>
        <v>-</v>
      </c>
      <c r="CD670" s="59" t="n">
        <f aca="false">IF(N(AB670)&gt;0,AB670,0)</f>
        <v>0</v>
      </c>
      <c r="CE670" s="53" t="n">
        <f aca="false">IF(ISNUMBER(AE670),1,0)</f>
        <v>0</v>
      </c>
      <c r="CF670" s="50" t="n">
        <f aca="false">N(AE670)</f>
        <v>0</v>
      </c>
      <c r="CG670" s="50" t="n">
        <f aca="false">N(M670)+N(N670)</f>
        <v>1</v>
      </c>
      <c r="CH670" s="50" t="n">
        <f aca="false">ROUNDUP(H670/BV670,0)</f>
        <v>0</v>
      </c>
      <c r="CI670" s="50" t="n">
        <f aca="false">ROUNDUP(CF670/BV670,0)</f>
        <v>0</v>
      </c>
      <c r="CJ670" s="53" t="n">
        <f aca="false">IF(BW670=1,0,IFERROR(VLOOKUP(BU670,'Gebinde-Kategorie'!$A$5:$N$45,5,0)+0,0))</f>
        <v>0</v>
      </c>
      <c r="CK670" s="53" t="n">
        <f aca="false">IFERROR(IF(OR(CB670=1,CB670=2,CB670=3),N(INDEX(Parameter!$I$5:$I$7,CB670)),0),0)</f>
        <v>0</v>
      </c>
      <c r="CL670" s="52" t="n">
        <f aca="false">IF(AND(Parameter!$B$21="Ja",ISNUMBER(W670),N(X670)&gt;0),IFERROR(N(INDEX(Parameter!$L$5:$L$7,W670))*INDEX(Parameter!$E$5:$E$7,W670)*X670/SUMIFS($X$7:$X$1843,$W$7:$W$1843,W670),0),0)</f>
        <v>0</v>
      </c>
    </row>
    <row r="671" customFormat="false" ht="15" hidden="false" customHeight="false" outlineLevel="0" collapsed="false">
      <c r="A671" s="48" t="s">
        <v>1352</v>
      </c>
      <c r="B671" s="48" t="s">
        <v>1353</v>
      </c>
      <c r="C671" s="48" t="s">
        <v>168</v>
      </c>
      <c r="D671" s="48" t="s">
        <v>999</v>
      </c>
      <c r="E671" s="48"/>
      <c r="F671" s="48" t="s">
        <v>222</v>
      </c>
      <c r="G671" s="49" t="n">
        <v>154.75</v>
      </c>
      <c r="H671" s="50" t="n">
        <f aca="false">MAX(0,IF(AND(Parameter!$B$21="Ja",ISNUMBER(Y671)),Y671,IF(Parameter!$B$20="Jahresanfang 2025 + Export",BO671+BN671,BN671)))</f>
        <v>0</v>
      </c>
      <c r="I671" s="50" t="n">
        <f aca="false">H671*G671</f>
        <v>0</v>
      </c>
      <c r="J671" s="50" t="n">
        <f aca="false">BQ671*Parameter!$B$18</f>
        <v>4</v>
      </c>
      <c r="K671" s="51" t="n">
        <v>0</v>
      </c>
      <c r="L671" s="52" t="n">
        <v>0</v>
      </c>
      <c r="M671" s="50" t="n">
        <v>0</v>
      </c>
      <c r="N671" s="50" t="n">
        <v>1</v>
      </c>
      <c r="O671" s="53" t="n">
        <v>105</v>
      </c>
      <c r="P671" s="48" t="s">
        <v>172</v>
      </c>
      <c r="Q671" s="50"/>
      <c r="R671" s="53" t="n">
        <f aca="false">IF(BW671=1,0,IFERROR(VLOOKUP(BU671,'Gebinde-Kategorie'!$A$5:$N$45,13,0)+0,0))</f>
        <v>0</v>
      </c>
      <c r="S671" s="54"/>
      <c r="T671" s="55"/>
      <c r="U671" s="55"/>
      <c r="V671" s="55"/>
      <c r="W671" s="48"/>
      <c r="X671" s="50"/>
      <c r="Y671" s="50"/>
      <c r="Z671" s="48" t="str">
        <f aca="false">IF(A671="","",IF(AND(Parameter!$B$21="Ja",ISNUMBER(W671)),W671,IF(BZ671="2+3",IF(ISNUMBER(SEARCH("grosser Artikel",BR671)),2,IFERROR(VLOOKUP(BU671,Parameter!$F$35:$G$64,2,0),2)),IF(OR(BZ671="Nein",BZ671=""),"-",BZ671))))</f>
        <v>-</v>
      </c>
      <c r="AA671" s="55"/>
      <c r="AB671" s="56"/>
      <c r="AC671" s="50" t="n">
        <f aca="false">AT671</f>
        <v>2</v>
      </c>
      <c r="AD671" s="50" t="n">
        <f aca="false">MAX(AT671,H671)</f>
        <v>2</v>
      </c>
      <c r="AE671" s="57"/>
      <c r="AF671" s="50" t="n">
        <f aca="false">IF(LEFT(Cockpit!$C$5,1)="A",H671,IF(CE671=1,CF671,IF(LEFT(Cockpit!$C$5,1)="B",AK671,MAX(AK671,H671))))</f>
        <v>0</v>
      </c>
      <c r="AG671" s="50" t="n">
        <f aca="false">IF(BW671=1,0,ROUNDUP(AF671/BV671,0))</f>
        <v>0</v>
      </c>
      <c r="AH671" s="52" t="n">
        <f aca="false">IF(CL671&gt;0,CL671*MAX(1,AF671/X671),IF(BW671=1,IF(AF671&lt;=0,0,CA671*MAX(1,IF(H671&gt;0,AF671/H671,1))),IF(R671&gt;0,AG671/R671,0))/MAX(0.1,N(Parameter!$M$21)))</f>
        <v>0</v>
      </c>
      <c r="AI671" s="50" t="n">
        <f aca="false">AH671*BY671</f>
        <v>0</v>
      </c>
      <c r="AJ671" s="50" t="n">
        <f aca="false">AF671*G671</f>
        <v>0</v>
      </c>
      <c r="AK671" s="50" t="n">
        <f aca="false">ROUNDUP(MAX(J671/IF(CD671&gt;0,CD671,MAX(0.1,N(Cockpit!$C$6))),CG671)/BV671,0)*BV671</f>
        <v>2</v>
      </c>
      <c r="AL671" s="51" t="n">
        <f aca="false">IF(AI671&gt;0,J671/AI671,-1)</f>
        <v>-1</v>
      </c>
      <c r="AM671" s="51" t="str">
        <f aca="false">IF(AND(OR(CC671="L1",CC671="L23",CC671="LIFT"),AI671&gt;0),SUMIFS($AI$7:$AI$1843,$CC$7:$CC$1843,CC671,$AL$7:$AL$1843,"&gt;"&amp;AL671)+SUMIFS($AI$7:$AI$1843,$CC$7:$CC$1843,CC671,$AL$7:$AL$1843,AL671,$BT$7:$BT$1843,"&lt;="&amp;BT671),"")</f>
        <v/>
      </c>
      <c r="AN671" s="58" t="n">
        <f aca="false">IF(AM671="",0,MAX(0,MIN(1,(IF(CC671="L1",Parameter!$H$5,IF(CC671="L23",Parameter!$H$6+Parameter!$H$7,Parameter!$H$5+Parameter!$H$6+Parameter!$H$7))-(AM671-AI671))/AI671)))</f>
        <v>0</v>
      </c>
      <c r="AO671" s="50" t="n">
        <f aca="false">IF(LEFT(Cockpit!$I$5,1)="A",H671,IF(CE671=1,CF671,IF(LEFT(Cockpit!$I$5,1)="B",AT671,MAX(AT671,H671))))</f>
        <v>2</v>
      </c>
      <c r="AP671" s="50" t="n">
        <f aca="false">IF(BW671=1,0,ROUNDUP(AO671/BV671,0))</f>
        <v>0</v>
      </c>
      <c r="AQ671" s="52" t="n">
        <f aca="false">IF(CL671&gt;0,CL671*MAX(1,AO671/X671),IF(BW671=1,IF(AO671&lt;=0,0,CA671*MAX(1,IF(H671&gt;0,AO671/H671,1))),IF(R671&gt;0,AP671/R671,0))/MAX(0.1,N(Parameter!$M$21)))</f>
        <v>0.15</v>
      </c>
      <c r="AR671" s="50" t="n">
        <f aca="false">AQ671*BY671</f>
        <v>35.25</v>
      </c>
      <c r="AS671" s="50" t="n">
        <f aca="false">AO671*G671</f>
        <v>309.5</v>
      </c>
      <c r="AT671" s="50" t="n">
        <f aca="false">ROUNDUP(MAX(J671/IF(CD671&gt;0,CD671,MAX(0.1,N(Cockpit!$I$6))),CG671)/BV671,0)*BV671</f>
        <v>2</v>
      </c>
      <c r="AU671" s="51" t="n">
        <f aca="false">IF(AR671&gt;0,J671/AR671,-1)</f>
        <v>0.113475177304965</v>
      </c>
      <c r="AV671" s="51" t="str">
        <f aca="false">IF(AND(OR(CC671="L1",CC671="L23",CC671="LIFT"),AR671&gt;0),SUMIFS($AR$7:$AR$1843,$CC$7:$CC$1843,CC671,$AU$7:$AU$1843,"&gt;"&amp;AU671)+SUMIFS($AR$7:$AR$1843,$CC$7:$CC$1843,CC671,$AU$7:$AU$1843,AU671,$BT$7:$BT$1843,"&lt;="&amp;BT671),"")</f>
        <v/>
      </c>
      <c r="AW671" s="58" t="n">
        <f aca="false">IF(AV671="",0,MAX(0,MIN(1,(IF(CC671="L1",Parameter!$H$5,IF(CC671="L23",Parameter!$H$6+Parameter!$H$7,Parameter!$H$5+Parameter!$H$6+Parameter!$H$7))-(AV671-AR671))/AR671)))</f>
        <v>0</v>
      </c>
      <c r="AX671" s="50" t="n">
        <f aca="false">IF(LEFT(Cockpit!$O$5,1)="A",H671,IF(CE671=1,CF671,IF(LEFT(Cockpit!$O$5,1)="B",BC671,MAX(BC671,H671))))</f>
        <v>2</v>
      </c>
      <c r="AY671" s="50" t="n">
        <f aca="false">IF(BW671=1,0,ROUNDUP(AX671/BV671,0))</f>
        <v>0</v>
      </c>
      <c r="AZ671" s="52" t="n">
        <f aca="false">IF(CL671&gt;0,CL671*MAX(1,AX671/X671),IF(BW671=1,IF(AX671&lt;=0,0,CA671*MAX(1,IF(H671&gt;0,AX671/H671,1))),IF(R671&gt;0,AY671/R671,0))/MAX(0.1,N(Parameter!$M$21)))</f>
        <v>0.15</v>
      </c>
      <c r="BA671" s="50" t="n">
        <f aca="false">AZ671*BY671</f>
        <v>35.25</v>
      </c>
      <c r="BB671" s="50" t="n">
        <f aca="false">AX671*G671</f>
        <v>309.5</v>
      </c>
      <c r="BC671" s="50" t="n">
        <f aca="false">ROUNDUP(MAX(J671/IF(CD671&gt;0,CD671,MAX(0.1,N(Cockpit!$O$6))),CG671)/BV671,0)*BV671</f>
        <v>2</v>
      </c>
      <c r="BD671" s="51" t="n">
        <f aca="false">IF(BA671&gt;0,J671/BA671,-1)</f>
        <v>0.113475177304965</v>
      </c>
      <c r="BE671" s="51" t="str">
        <f aca="false">IF(AND(OR(CC671="L1",CC671="L23",CC671="LIFT"),BA671&gt;0),SUMIFS($BA$7:$BA$1843,$CC$7:$CC$1843,CC671,$BD$7:$BD$1843,"&gt;"&amp;BD671)+SUMIFS($BA$7:$BA$1843,$CC$7:$CC$1843,CC671,$BD$7:$BD$1843,BD671,$BT$7:$BT$1843,"&lt;="&amp;BT671),"")</f>
        <v/>
      </c>
      <c r="BF671" s="58" t="n">
        <f aca="false">IF(BE671="",0,MAX(0,MIN(1,(IF(CC671="L1",Parameter!$H$5,IF(CC671="L23",Parameter!$H$6+Parameter!$H$7,Parameter!$H$5+Parameter!$H$6+Parameter!$H$7))-(BE671-BA671))/BA671)))</f>
        <v>0</v>
      </c>
      <c r="BG671" s="48" t="str">
        <f aca="false">IF(AI671&lt;=0,"",IF(CC671="Aussen","Aussenlager",IF(CC671="-","Nicht im Lift",IF(AN671&gt;=1,"Lift",IF(AN671&lt;=0,"Aussenlager","teilweise")))))</f>
        <v/>
      </c>
      <c r="BH671" s="48" t="str">
        <f aca="false">IF(AR671&lt;=0,"",IF(CC671="Aussen","Aussenlager",IF(CC671="-","Nicht im Lift",IF(AW671&gt;=1,"Lift",IF(AW671&lt;=0,"Aussenlager","teilweise")))))</f>
        <v>Nicht im Lift</v>
      </c>
      <c r="BI671" s="48" t="str">
        <f aca="false">IF(BA671&lt;=0,"",IF(CC671="Aussen","Aussenlager",IF(CC671="-","Nicht im Lift",IF(BF671&gt;=1,"Lift",IF(BF671&lt;=0,"Aussenlager","teilweise")))))</f>
        <v>Nicht im Lift</v>
      </c>
      <c r="BJ671" s="48" t="str">
        <f aca="false">IF(A671="","",IF(BS671=1,"Neu; ","")&amp;IF(AND(BS671=0,BN671&lt;0),"negativer Bestand (Export "&amp;BN671&amp;"); ","")&amp;IF(J671&lt;=0,"Kein Verbrauch; ","")&amp;IF(CL671&gt;0,"Lift "&amp;W671&amp;" lt. Liftbericht (Fach "&amp;X671&amp;" Stk); ",IF(BX671=1,"Gebinde geschätzt ("&amp;T671&amp;"); ",IF(BW671=1,"Lose – Tablare geschätzt; ","")))&amp;IF(H671&gt;AT671,"Überbestand "&amp;ROUND(H671-AT671,0)&amp;" Stk / CHF "&amp;ROUND((H671-AT671)*G671,0)&amp;"; ","")&amp;IF(AND(CE671=1,CF671&lt;CG671),"MAX &lt; MB+LG; ","")&amp;IF(AND(CK671&gt;0,CJ671*10&gt;CK671),"zu hoch für Tablar; ","")&amp;IF(AND(BS671=0,OR(CE671=1,AA671&lt;&gt;"",U671&lt;&gt;"",V671&lt;&gt;"",AB671&lt;&gt;"")),"manuell übersteuert; ","")&amp;IF(AND(BW671=0,R671=0),"Gebinde unbekannt / Stellmass fehlt; ","")&amp;IF(AND(BW671=0,N(V671)&lt;=0,N(Q671)&lt;=0),"Menge pro Gebinde fehlt (Ist = 1 Gebinde); ","")&amp;BR671)</f>
        <v>Lose – Tablare geschätzt; </v>
      </c>
      <c r="BK671" s="48"/>
      <c r="BL671" s="48"/>
      <c r="BM671" s="55"/>
      <c r="BN671" s="50" t="n">
        <v>0</v>
      </c>
      <c r="BO671" s="50" t="n">
        <v>0</v>
      </c>
      <c r="BP671" s="49" t="n">
        <v>0</v>
      </c>
      <c r="BQ671" s="50" t="n">
        <v>4</v>
      </c>
      <c r="BR671" s="48"/>
      <c r="BS671" s="53" t="n">
        <v>0</v>
      </c>
      <c r="BT671" s="53" t="n">
        <v>671</v>
      </c>
      <c r="BU671" s="48" t="str">
        <f aca="false">IF(U671&lt;&gt;"",UPPER(TRIM(U671)),IF(BX671=1,UPPER(VLOOKUP(T671,Parameter!$I$27:$K$29,2,0)),IF(P671="","LOSE",P671)))</f>
        <v>LOSE</v>
      </c>
      <c r="BV671" s="50" t="n">
        <f aca="false">IF(BU671="LOSE",1,IF(N(V671)&gt;0,V671,IF(BX671=1,MAX(1,N(VLOOKUP(T671,Parameter!$I$27:$K$29,3,0)),H671,N(N671)),IF(N(Q671)&gt;0,Q671,MAX(1,H671)))))</f>
        <v>1</v>
      </c>
      <c r="BW671" s="53" t="n">
        <f aca="false">IF(BU671="LOSE",1,0)</f>
        <v>1</v>
      </c>
      <c r="BX671" s="53" t="n">
        <f aca="false">IF(AND(U671="",OR(P671="",P671="LOSE"),T671&lt;&gt;"",N(S671)&lt;=0,ISNUMBER(MATCH(T671,Parameter!$I$27:$I$29,0))),1,0)</f>
        <v>0</v>
      </c>
      <c r="BY671" s="53" t="n">
        <f aca="false">IF(CL671&gt;0,INDEX(Parameter!$H$5:$H$7,W671)/INDEX(Parameter!$E$5:$E$7,W671),IF(AND(BW671=0,N(IFERROR(VLOOKUP(BU671,'Gebinde-Kategorie'!$A$5:$N$45,14,0),0))&gt;0),VLOOKUP(BU671,'Gebinde-Kategorie'!$A$5:$N$45,14,0)*10+Parameter!$M$23,Parameter!$M$24))</f>
        <v>235</v>
      </c>
      <c r="BZ671" s="48" t="str">
        <f aca="false">IF(AND(Parameter!$B$19="Ja",E671&lt;&gt;"",ISNUMBER(MATCH(E671,Parameter!$I$35:$I$52,0))),VLOOKUP(E671,Parameter!$I$35:$J$52,2,0),IFERROR(VLOOKUP(D671,Parameter!$A$35:$C$64,2,0),"Nein"))</f>
        <v>Nein</v>
      </c>
      <c r="CA671" s="52" t="n">
        <f aca="false">IF(BW671=0,0,IF(N(S671)&gt;0,S671,IFERROR(VLOOKUP(D671,Parameter!$A$35:$C$64,3,0)+0,0)))</f>
        <v>0.15</v>
      </c>
      <c r="CB671" s="48" t="str">
        <f aca="false">IF(AA671&lt;&gt;"",AA671,Z671)</f>
        <v>-</v>
      </c>
      <c r="CC671" s="48" t="str">
        <f aca="false">IF(OR(CB671=1,CB671=2,CB671=3),IF(Parameter!$E$27="Ja","LIFT",IF(CB671=1,"L1","L23")),IF(CB671="Aussen","Aussen","-"))</f>
        <v>-</v>
      </c>
      <c r="CD671" s="59" t="n">
        <f aca="false">IF(N(AB671)&gt;0,AB671,0)</f>
        <v>0</v>
      </c>
      <c r="CE671" s="53" t="n">
        <f aca="false">IF(ISNUMBER(AE671),1,0)</f>
        <v>0</v>
      </c>
      <c r="CF671" s="50" t="n">
        <f aca="false">N(AE671)</f>
        <v>0</v>
      </c>
      <c r="CG671" s="50" t="n">
        <f aca="false">N(M671)+N(N671)</f>
        <v>1</v>
      </c>
      <c r="CH671" s="50" t="n">
        <f aca="false">ROUNDUP(H671/BV671,0)</f>
        <v>0</v>
      </c>
      <c r="CI671" s="50" t="n">
        <f aca="false">ROUNDUP(CF671/BV671,0)</f>
        <v>0</v>
      </c>
      <c r="CJ671" s="53" t="n">
        <f aca="false">IF(BW671=1,0,IFERROR(VLOOKUP(BU671,'Gebinde-Kategorie'!$A$5:$N$45,5,0)+0,0))</f>
        <v>0</v>
      </c>
      <c r="CK671" s="53" t="n">
        <f aca="false">IFERROR(IF(OR(CB671=1,CB671=2,CB671=3),N(INDEX(Parameter!$I$5:$I$7,CB671)),0),0)</f>
        <v>0</v>
      </c>
      <c r="CL671" s="52" t="n">
        <f aca="false">IF(AND(Parameter!$B$21="Ja",ISNUMBER(W671),N(X671)&gt;0),IFERROR(N(INDEX(Parameter!$L$5:$L$7,W671))*INDEX(Parameter!$E$5:$E$7,W671)*X671/SUMIFS($X$7:$X$1843,$W$7:$W$1843,W671),0),0)</f>
        <v>0</v>
      </c>
    </row>
    <row r="672" customFormat="false" ht="15" hidden="false" customHeight="false" outlineLevel="0" collapsed="false">
      <c r="A672" s="48" t="s">
        <v>1354</v>
      </c>
      <c r="B672" s="48" t="s">
        <v>185</v>
      </c>
      <c r="C672" s="48" t="s">
        <v>168</v>
      </c>
      <c r="D672" s="48" t="s">
        <v>177</v>
      </c>
      <c r="E672" s="48"/>
      <c r="F672" s="48" t="s">
        <v>222</v>
      </c>
      <c r="G672" s="49" t="n">
        <v>5409.17</v>
      </c>
      <c r="H672" s="50" t="n">
        <f aca="false">MAX(0,IF(AND(Parameter!$B$21="Ja",ISNUMBER(Y672)),Y672,IF(Parameter!$B$20="Jahresanfang 2025 + Export",BO672+BN672,BN672)))</f>
        <v>0</v>
      </c>
      <c r="I672" s="50" t="n">
        <f aca="false">H672*G672</f>
        <v>0</v>
      </c>
      <c r="J672" s="50" t="n">
        <f aca="false">BQ672*Parameter!$B$18</f>
        <v>1</v>
      </c>
      <c r="K672" s="51" t="n">
        <v>0</v>
      </c>
      <c r="L672" s="52" t="n">
        <v>0</v>
      </c>
      <c r="M672" s="50" t="n">
        <v>0</v>
      </c>
      <c r="N672" s="50" t="n">
        <v>1</v>
      </c>
      <c r="O672" s="53" t="n">
        <v>115</v>
      </c>
      <c r="P672" s="48" t="s">
        <v>172</v>
      </c>
      <c r="Q672" s="50"/>
      <c r="R672" s="53" t="n">
        <f aca="false">IF(BW672=1,0,IFERROR(VLOOKUP(BU672,'Gebinde-Kategorie'!$A$5:$N$45,13,0)+0,0))</f>
        <v>12</v>
      </c>
      <c r="S672" s="54"/>
      <c r="T672" s="55" t="s">
        <v>183</v>
      </c>
      <c r="U672" s="55"/>
      <c r="V672" s="55"/>
      <c r="W672" s="48"/>
      <c r="X672" s="50"/>
      <c r="Y672" s="50"/>
      <c r="Z672" s="48" t="n">
        <f aca="false">IF(A672="","",IF(AND(Parameter!$B$21="Ja",ISNUMBER(W672)),W672,IF(BZ672="2+3",IF(ISNUMBER(SEARCH("grosser Artikel",BR672)),2,IFERROR(VLOOKUP(BU672,Parameter!$F$35:$G$64,2,0),2)),IF(OR(BZ672="Nein",BZ672=""),"-",BZ672))))</f>
        <v>2</v>
      </c>
      <c r="AA672" s="55"/>
      <c r="AB672" s="56"/>
      <c r="AC672" s="50" t="n">
        <f aca="false">AT672</f>
        <v>4</v>
      </c>
      <c r="AD672" s="50" t="n">
        <f aca="false">MAX(AT672,H672)</f>
        <v>4</v>
      </c>
      <c r="AE672" s="57"/>
      <c r="AF672" s="50" t="n">
        <f aca="false">IF(LEFT(Cockpit!$C$5,1)="A",H672,IF(CE672=1,CF672,IF(LEFT(Cockpit!$C$5,1)="B",AK672,MAX(AK672,H672))))</f>
        <v>0</v>
      </c>
      <c r="AG672" s="50" t="n">
        <f aca="false">IF(BW672=1,0,ROUNDUP(AF672/BV672,0))</f>
        <v>0</v>
      </c>
      <c r="AH672" s="52" t="n">
        <f aca="false">IF(CL672&gt;0,CL672*MAX(1,AF672/X672),IF(BW672=1,IF(AF672&lt;=0,0,CA672*MAX(1,IF(H672&gt;0,AF672/H672,1))),IF(R672&gt;0,AG672/R672,0))/MAX(0.1,N(Parameter!$M$21)))</f>
        <v>0</v>
      </c>
      <c r="AI672" s="50" t="n">
        <f aca="false">AH672*BY672</f>
        <v>0</v>
      </c>
      <c r="AJ672" s="50" t="n">
        <f aca="false">AF672*G672</f>
        <v>0</v>
      </c>
      <c r="AK672" s="50" t="n">
        <f aca="false">ROUNDUP(MAX(J672/IF(CD672&gt;0,CD672,MAX(0.1,N(Cockpit!$C$6))),CG672)/BV672,0)*BV672</f>
        <v>4</v>
      </c>
      <c r="AL672" s="51" t="n">
        <f aca="false">IF(AI672&gt;0,J672/AI672,-1)</f>
        <v>-1</v>
      </c>
      <c r="AM672" s="51" t="str">
        <f aca="false">IF(AND(OR(CC672="L1",CC672="L23",CC672="LIFT"),AI672&gt;0),SUMIFS($AI$7:$AI$1843,$CC$7:$CC$1843,CC672,$AL$7:$AL$1843,"&gt;"&amp;AL672)+SUMIFS($AI$7:$AI$1843,$CC$7:$CC$1843,CC672,$AL$7:$AL$1843,AL672,$BT$7:$BT$1843,"&lt;="&amp;BT672),"")</f>
        <v/>
      </c>
      <c r="AN672" s="58" t="n">
        <f aca="false">IF(AM672="",0,MAX(0,MIN(1,(IF(CC672="L1",Parameter!$H$5,IF(CC672="L23",Parameter!$H$6+Parameter!$H$7,Parameter!$H$5+Parameter!$H$6+Parameter!$H$7))-(AM672-AI672))/AI672)))</f>
        <v>0</v>
      </c>
      <c r="AO672" s="50" t="n">
        <f aca="false">IF(LEFT(Cockpit!$I$5,1)="A",H672,IF(CE672=1,CF672,IF(LEFT(Cockpit!$I$5,1)="B",AT672,MAX(AT672,H672))))</f>
        <v>4</v>
      </c>
      <c r="AP672" s="50" t="n">
        <f aca="false">IF(BW672=1,0,ROUNDUP(AO672/BV672,0))</f>
        <v>1</v>
      </c>
      <c r="AQ672" s="52" t="n">
        <f aca="false">IF(CL672&gt;0,CL672*MAX(1,AO672/X672),IF(BW672=1,IF(AO672&lt;=0,0,CA672*MAX(1,IF(H672&gt;0,AO672/H672,1))),IF(R672&gt;0,AP672/R672,0))/MAX(0.1,N(Parameter!$M$21)))</f>
        <v>0.0833333333333333</v>
      </c>
      <c r="AR672" s="50" t="n">
        <f aca="false">AQ672*BY672</f>
        <v>12.0833333333333</v>
      </c>
      <c r="AS672" s="50" t="n">
        <f aca="false">AO672*G672</f>
        <v>21636.68</v>
      </c>
      <c r="AT672" s="50" t="n">
        <f aca="false">ROUNDUP(MAX(J672/IF(CD672&gt;0,CD672,MAX(0.1,N(Cockpit!$I$6))),CG672)/BV672,0)*BV672</f>
        <v>4</v>
      </c>
      <c r="AU672" s="51" t="n">
        <f aca="false">IF(AR672&gt;0,J672/AR672,-1)</f>
        <v>0.0827586206896552</v>
      </c>
      <c r="AV672" s="51" t="n">
        <f aca="false">IF(AND(OR(CC672="L1",CC672="L23",CC672="LIFT"),AR672&gt;0),SUMIFS($AR$7:$AR$1843,$CC$7:$CC$1843,CC672,$AU$7:$AU$1843,"&gt;"&amp;AU672)+SUMIFS($AR$7:$AR$1843,$CC$7:$CC$1843,CC672,$AU$7:$AU$1843,AU672,$BT$7:$BT$1843,"&lt;="&amp;BT672),"")</f>
        <v>25197.6711083173</v>
      </c>
      <c r="AW672" s="58" t="n">
        <f aca="false">IF(AV672="",0,MAX(0,MIN(1,(IF(CC672="L1",Parameter!$H$5,IF(CC672="L23",Parameter!$H$6+Parameter!$H$7,Parameter!$H$5+Parameter!$H$6+Parameter!$H$7))-(AV672-AR672))/AR672)))</f>
        <v>1</v>
      </c>
      <c r="AX672" s="50" t="n">
        <f aca="false">IF(LEFT(Cockpit!$O$5,1)="A",H672,IF(CE672=1,CF672,IF(LEFT(Cockpit!$O$5,1)="B",BC672,MAX(BC672,H672))))</f>
        <v>4</v>
      </c>
      <c r="AY672" s="50" t="n">
        <f aca="false">IF(BW672=1,0,ROUNDUP(AX672/BV672,0))</f>
        <v>1</v>
      </c>
      <c r="AZ672" s="52" t="n">
        <f aca="false">IF(CL672&gt;0,CL672*MAX(1,AX672/X672),IF(BW672=1,IF(AX672&lt;=0,0,CA672*MAX(1,IF(H672&gt;0,AX672/H672,1))),IF(R672&gt;0,AY672/R672,0))/MAX(0.1,N(Parameter!$M$21)))</f>
        <v>0.0833333333333333</v>
      </c>
      <c r="BA672" s="50" t="n">
        <f aca="false">AZ672*BY672</f>
        <v>12.0833333333333</v>
      </c>
      <c r="BB672" s="50" t="n">
        <f aca="false">AX672*G672</f>
        <v>21636.68</v>
      </c>
      <c r="BC672" s="50" t="n">
        <f aca="false">ROUNDUP(MAX(J672/IF(CD672&gt;0,CD672,MAX(0.1,N(Cockpit!$O$6))),CG672)/BV672,0)*BV672</f>
        <v>4</v>
      </c>
      <c r="BD672" s="51" t="n">
        <f aca="false">IF(BA672&gt;0,J672/BA672,-1)</f>
        <v>0.0827586206896552</v>
      </c>
      <c r="BE672" s="51" t="n">
        <f aca="false">IF(AND(OR(CC672="L1",CC672="L23",CC672="LIFT"),BA672&gt;0),SUMIFS($BA$7:$BA$1843,$CC$7:$CC$1843,CC672,$BD$7:$BD$1843,"&gt;"&amp;BD672)+SUMIFS($BA$7:$BA$1843,$CC$7:$CC$1843,CC672,$BD$7:$BD$1843,BD672,$BT$7:$BT$1843,"&lt;="&amp;BT672),"")</f>
        <v>23400.1831501832</v>
      </c>
      <c r="BF672" s="58" t="n">
        <f aca="false">IF(BE672="",0,MAX(0,MIN(1,(IF(CC672="L1",Parameter!$H$5,IF(CC672="L23",Parameter!$H$6+Parameter!$H$7,Parameter!$H$5+Parameter!$H$6+Parameter!$H$7))-(BE672-BA672))/BA672)))</f>
        <v>1</v>
      </c>
      <c r="BG672" s="48" t="str">
        <f aca="false">IF(AI672&lt;=0,"",IF(CC672="Aussen","Aussenlager",IF(CC672="-","Nicht im Lift",IF(AN672&gt;=1,"Lift",IF(AN672&lt;=0,"Aussenlager","teilweise")))))</f>
        <v/>
      </c>
      <c r="BH672" s="48" t="str">
        <f aca="false">IF(AR672&lt;=0,"",IF(CC672="Aussen","Aussenlager",IF(CC672="-","Nicht im Lift",IF(AW672&gt;=1,"Lift",IF(AW672&lt;=0,"Aussenlager","teilweise")))))</f>
        <v>Lift</v>
      </c>
      <c r="BI672" s="48" t="str">
        <f aca="false">IF(BA672&lt;=0,"",IF(CC672="Aussen","Aussenlager",IF(CC672="-","Nicht im Lift",IF(BF672&gt;=1,"Lift",IF(BF672&lt;=0,"Aussenlager","teilweise")))))</f>
        <v>Lift</v>
      </c>
      <c r="BJ672" s="48" t="str">
        <f aca="false">IF(A672="","",IF(BS672=1,"Neu; ","")&amp;IF(AND(BS672=0,BN672&lt;0),"negativer Bestand (Export "&amp;BN672&amp;"); ","")&amp;IF(J672&lt;=0,"Kein Verbrauch; ","")&amp;IF(CL672&gt;0,"Lift "&amp;W672&amp;" lt. Liftbericht (Fach "&amp;X672&amp;" Stk); ",IF(BX672=1,"Gebinde geschätzt ("&amp;T672&amp;"); ",IF(BW672=1,"Lose – Tablare geschätzt; ","")))&amp;IF(H672&gt;AT672,"Überbestand "&amp;ROUND(H672-AT672,0)&amp;" Stk / CHF "&amp;ROUND((H672-AT672)*G672,0)&amp;"; ","")&amp;IF(AND(CE672=1,CF672&lt;CG672),"MAX &lt; MB+LG; ","")&amp;IF(AND(CK672&gt;0,CJ672*10&gt;CK672),"zu hoch für Tablar; ","")&amp;IF(AND(BS672=0,OR(CE672=1,AA672&lt;&gt;"",U672&lt;&gt;"",V672&lt;&gt;"",AB672&lt;&gt;"")),"manuell übersteuert; ","")&amp;IF(AND(BW672=0,R672=0),"Gebinde unbekannt / Stellmass fehlt; ","")&amp;IF(AND(BW672=0,N(V672)&lt;=0,N(Q672)&lt;=0),"Menge pro Gebinde fehlt (Ist = 1 Gebinde); ","")&amp;BR672)</f>
        <v>Gebinde geschätzt (Mittel); Menge pro Gebinde fehlt (Ist = 1 Gebinde); </v>
      </c>
      <c r="BK672" s="48"/>
      <c r="BL672" s="48"/>
      <c r="BM672" s="55"/>
      <c r="BN672" s="50" t="n">
        <v>0</v>
      </c>
      <c r="BO672" s="50" t="n">
        <v>0</v>
      </c>
      <c r="BP672" s="49" t="n">
        <v>0</v>
      </c>
      <c r="BQ672" s="50" t="n">
        <v>1</v>
      </c>
      <c r="BR672" s="48"/>
      <c r="BS672" s="53" t="n">
        <v>0</v>
      </c>
      <c r="BT672" s="53" t="n">
        <v>672</v>
      </c>
      <c r="BU672" s="48" t="str">
        <f aca="false">IF(U672&lt;&gt;"",UPPER(TRIM(U672)),IF(BX672=1,UPPER(VLOOKUP(T672,Parameter!$I$27:$K$29,2,0)),IF(P672="","LOSE",P672)))</f>
        <v>S61</v>
      </c>
      <c r="BV672" s="50" t="n">
        <f aca="false">IF(BU672="LOSE",1,IF(N(V672)&gt;0,V672,IF(BX672=1,MAX(1,N(VLOOKUP(T672,Parameter!$I$27:$K$29,3,0)),H672,N(N672)),IF(N(Q672)&gt;0,Q672,MAX(1,H672)))))</f>
        <v>4</v>
      </c>
      <c r="BW672" s="53" t="n">
        <f aca="false">IF(BU672="LOSE",1,0)</f>
        <v>0</v>
      </c>
      <c r="BX672" s="53" t="n">
        <f aca="false">IF(AND(U672="",OR(P672="",P672="LOSE"),T672&lt;&gt;"",N(S672)&lt;=0,ISNUMBER(MATCH(T672,Parameter!$I$27:$I$29,0))),1,0)</f>
        <v>1</v>
      </c>
      <c r="BY672" s="53" t="n">
        <f aca="false">IF(CL672&gt;0,INDEX(Parameter!$H$5:$H$7,W672)/INDEX(Parameter!$E$5:$E$7,W672),IF(AND(BW672=0,N(IFERROR(VLOOKUP(BU672,'Gebinde-Kategorie'!$A$5:$N$45,14,0),0))&gt;0),VLOOKUP(BU672,'Gebinde-Kategorie'!$A$5:$N$45,14,0)*10+Parameter!$M$23,Parameter!$M$24))</f>
        <v>145</v>
      </c>
      <c r="BZ672" s="48" t="str">
        <f aca="false">IF(AND(Parameter!$B$19="Ja",E672&lt;&gt;"",ISNUMBER(MATCH(E672,Parameter!$I$35:$I$52,0))),VLOOKUP(E672,Parameter!$I$35:$J$52,2,0),IFERROR(VLOOKUP(D672,Parameter!$A$35:$C$64,2,0),"Nein"))</f>
        <v>2+3</v>
      </c>
      <c r="CA672" s="52" t="n">
        <f aca="false">IF(BW672=0,0,IF(N(S672)&gt;0,S672,IFERROR(VLOOKUP(D672,Parameter!$A$35:$C$64,3,0)+0,0)))</f>
        <v>0</v>
      </c>
      <c r="CB672" s="48" t="n">
        <f aca="false">IF(AA672&lt;&gt;"",AA672,Z672)</f>
        <v>2</v>
      </c>
      <c r="CC672" s="48" t="str">
        <f aca="false">IF(OR(CB672=1,CB672=2,CB672=3),IF(Parameter!$E$27="Ja","LIFT",IF(CB672=1,"L1","L23")),IF(CB672="Aussen","Aussen","-"))</f>
        <v>LIFT</v>
      </c>
      <c r="CD672" s="59" t="n">
        <f aca="false">IF(N(AB672)&gt;0,AB672,0)</f>
        <v>0</v>
      </c>
      <c r="CE672" s="53" t="n">
        <f aca="false">IF(ISNUMBER(AE672),1,0)</f>
        <v>0</v>
      </c>
      <c r="CF672" s="50" t="n">
        <f aca="false">N(AE672)</f>
        <v>0</v>
      </c>
      <c r="CG672" s="50" t="n">
        <f aca="false">N(M672)+N(N672)</f>
        <v>1</v>
      </c>
      <c r="CH672" s="50" t="n">
        <f aca="false">ROUNDUP(H672/BV672,0)</f>
        <v>0</v>
      </c>
      <c r="CI672" s="50" t="n">
        <f aca="false">ROUNDUP(CF672/BV672,0)</f>
        <v>0</v>
      </c>
      <c r="CJ672" s="53" t="n">
        <f aca="false">IF(BW672=1,0,IFERROR(VLOOKUP(BU672,'Gebinde-Kategorie'!$A$5:$N$45,5,0)+0,0))</f>
        <v>11</v>
      </c>
      <c r="CK672" s="53" t="n">
        <f aca="false">IFERROR(IF(OR(CB672=1,CB672=2,CB672=3),N(INDEX(Parameter!$I$5:$I$7,CB672)),0),0)</f>
        <v>0</v>
      </c>
      <c r="CL672" s="52" t="n">
        <f aca="false">IF(AND(Parameter!$B$21="Ja",ISNUMBER(W672),N(X672)&gt;0),IFERROR(N(INDEX(Parameter!$L$5:$L$7,W672))*INDEX(Parameter!$E$5:$E$7,W672)*X672/SUMIFS($X$7:$X$1843,$W$7:$W$1843,W672),0),0)</f>
        <v>0</v>
      </c>
    </row>
    <row r="673" customFormat="false" ht="15" hidden="false" customHeight="false" outlineLevel="0" collapsed="false">
      <c r="A673" s="48" t="s">
        <v>1355</v>
      </c>
      <c r="B673" s="48" t="s">
        <v>1356</v>
      </c>
      <c r="C673" s="48" t="s">
        <v>168</v>
      </c>
      <c r="D673" s="48" t="s">
        <v>999</v>
      </c>
      <c r="E673" s="48"/>
      <c r="F673" s="48" t="s">
        <v>222</v>
      </c>
      <c r="G673" s="49" t="n">
        <v>0</v>
      </c>
      <c r="H673" s="50" t="n">
        <f aca="false">MAX(0,IF(AND(Parameter!$B$21="Ja",ISNUMBER(Y673)),Y673,IF(Parameter!$B$20="Jahresanfang 2025 + Export",BO673+BN673,BN673)))</f>
        <v>0</v>
      </c>
      <c r="I673" s="50" t="n">
        <f aca="false">H673*G673</f>
        <v>0</v>
      </c>
      <c r="J673" s="50" t="n">
        <f aca="false">BQ673*Parameter!$B$18</f>
        <v>0</v>
      </c>
      <c r="K673" s="51" t="n">
        <v>0.5</v>
      </c>
      <c r="L673" s="52" t="n">
        <v>0</v>
      </c>
      <c r="M673" s="50" t="n">
        <v>0</v>
      </c>
      <c r="N673" s="50" t="n">
        <v>1</v>
      </c>
      <c r="O673" s="53" t="n">
        <v>28</v>
      </c>
      <c r="P673" s="48" t="s">
        <v>172</v>
      </c>
      <c r="Q673" s="50"/>
      <c r="R673" s="53" t="n">
        <f aca="false">IF(BW673=1,0,IFERROR(VLOOKUP(BU673,'Gebinde-Kategorie'!$A$5:$N$45,13,0)+0,0))</f>
        <v>0</v>
      </c>
      <c r="S673" s="54"/>
      <c r="T673" s="55"/>
      <c r="U673" s="55"/>
      <c r="V673" s="55"/>
      <c r="W673" s="48"/>
      <c r="X673" s="50"/>
      <c r="Y673" s="50"/>
      <c r="Z673" s="48" t="str">
        <f aca="false">IF(A673="","",IF(AND(Parameter!$B$21="Ja",ISNUMBER(W673)),W673,IF(BZ673="2+3",IF(ISNUMBER(SEARCH("grosser Artikel",BR673)),2,IFERROR(VLOOKUP(BU673,Parameter!$F$35:$G$64,2,0),2)),IF(OR(BZ673="Nein",BZ673=""),"-",BZ673))))</f>
        <v>-</v>
      </c>
      <c r="AA673" s="55"/>
      <c r="AB673" s="56"/>
      <c r="AC673" s="50" t="n">
        <f aca="false">AT673</f>
        <v>1</v>
      </c>
      <c r="AD673" s="50" t="n">
        <f aca="false">MAX(AT673,H673)</f>
        <v>1</v>
      </c>
      <c r="AE673" s="57"/>
      <c r="AF673" s="50" t="n">
        <f aca="false">IF(LEFT(Cockpit!$C$5,1)="A",H673,IF(CE673=1,CF673,IF(LEFT(Cockpit!$C$5,1)="B",AK673,MAX(AK673,H673))))</f>
        <v>0</v>
      </c>
      <c r="AG673" s="50" t="n">
        <f aca="false">IF(BW673=1,0,ROUNDUP(AF673/BV673,0))</f>
        <v>0</v>
      </c>
      <c r="AH673" s="52" t="n">
        <f aca="false">IF(CL673&gt;0,CL673*MAX(1,AF673/X673),IF(BW673=1,IF(AF673&lt;=0,0,CA673*MAX(1,IF(H673&gt;0,AF673/H673,1))),IF(R673&gt;0,AG673/R673,0))/MAX(0.1,N(Parameter!$M$21)))</f>
        <v>0</v>
      </c>
      <c r="AI673" s="50" t="n">
        <f aca="false">AH673*BY673</f>
        <v>0</v>
      </c>
      <c r="AJ673" s="50" t="n">
        <f aca="false">AF673*G673</f>
        <v>0</v>
      </c>
      <c r="AK673" s="50" t="n">
        <f aca="false">ROUNDUP(MAX(J673/IF(CD673&gt;0,CD673,MAX(0.1,N(Cockpit!$C$6))),CG673)/BV673,0)*BV673</f>
        <v>1</v>
      </c>
      <c r="AL673" s="51" t="n">
        <f aca="false">IF(AI673&gt;0,J673/AI673,-1)</f>
        <v>-1</v>
      </c>
      <c r="AM673" s="51" t="str">
        <f aca="false">IF(AND(OR(CC673="L1",CC673="L23",CC673="LIFT"),AI673&gt;0),SUMIFS($AI$7:$AI$1843,$CC$7:$CC$1843,CC673,$AL$7:$AL$1843,"&gt;"&amp;AL673)+SUMIFS($AI$7:$AI$1843,$CC$7:$CC$1843,CC673,$AL$7:$AL$1843,AL673,$BT$7:$BT$1843,"&lt;="&amp;BT673),"")</f>
        <v/>
      </c>
      <c r="AN673" s="58" t="n">
        <f aca="false">IF(AM673="",0,MAX(0,MIN(1,(IF(CC673="L1",Parameter!$H$5,IF(CC673="L23",Parameter!$H$6+Parameter!$H$7,Parameter!$H$5+Parameter!$H$6+Parameter!$H$7))-(AM673-AI673))/AI673)))</f>
        <v>0</v>
      </c>
      <c r="AO673" s="50" t="n">
        <f aca="false">IF(LEFT(Cockpit!$I$5,1)="A",H673,IF(CE673=1,CF673,IF(LEFT(Cockpit!$I$5,1)="B",AT673,MAX(AT673,H673))))</f>
        <v>1</v>
      </c>
      <c r="AP673" s="50" t="n">
        <f aca="false">IF(BW673=1,0,ROUNDUP(AO673/BV673,0))</f>
        <v>0</v>
      </c>
      <c r="AQ673" s="52" t="n">
        <f aca="false">IF(CL673&gt;0,CL673*MAX(1,AO673/X673),IF(BW673=1,IF(AO673&lt;=0,0,CA673*MAX(1,IF(H673&gt;0,AO673/H673,1))),IF(R673&gt;0,AP673/R673,0))/MAX(0.1,N(Parameter!$M$21)))</f>
        <v>0.15</v>
      </c>
      <c r="AR673" s="50" t="n">
        <f aca="false">AQ673*BY673</f>
        <v>35.25</v>
      </c>
      <c r="AS673" s="50" t="n">
        <f aca="false">AO673*G673</f>
        <v>0</v>
      </c>
      <c r="AT673" s="50" t="n">
        <f aca="false">ROUNDUP(MAX(J673/IF(CD673&gt;0,CD673,MAX(0.1,N(Cockpit!$I$6))),CG673)/BV673,0)*BV673</f>
        <v>1</v>
      </c>
      <c r="AU673" s="51" t="n">
        <f aca="false">IF(AR673&gt;0,J673/AR673,-1)</f>
        <v>0</v>
      </c>
      <c r="AV673" s="51" t="str">
        <f aca="false">IF(AND(OR(CC673="L1",CC673="L23",CC673="LIFT"),AR673&gt;0),SUMIFS($AR$7:$AR$1843,$CC$7:$CC$1843,CC673,$AU$7:$AU$1843,"&gt;"&amp;AU673)+SUMIFS($AR$7:$AR$1843,$CC$7:$CC$1843,CC673,$AU$7:$AU$1843,AU673,$BT$7:$BT$1843,"&lt;="&amp;BT673),"")</f>
        <v/>
      </c>
      <c r="AW673" s="58" t="n">
        <f aca="false">IF(AV673="",0,MAX(0,MIN(1,(IF(CC673="L1",Parameter!$H$5,IF(CC673="L23",Parameter!$H$6+Parameter!$H$7,Parameter!$H$5+Parameter!$H$6+Parameter!$H$7))-(AV673-AR673))/AR673)))</f>
        <v>0</v>
      </c>
      <c r="AX673" s="50" t="n">
        <f aca="false">IF(LEFT(Cockpit!$O$5,1)="A",H673,IF(CE673=1,CF673,IF(LEFT(Cockpit!$O$5,1)="B",BC673,MAX(BC673,H673))))</f>
        <v>1</v>
      </c>
      <c r="AY673" s="50" t="n">
        <f aca="false">IF(BW673=1,0,ROUNDUP(AX673/BV673,0))</f>
        <v>0</v>
      </c>
      <c r="AZ673" s="52" t="n">
        <f aca="false">IF(CL673&gt;0,CL673*MAX(1,AX673/X673),IF(BW673=1,IF(AX673&lt;=0,0,CA673*MAX(1,IF(H673&gt;0,AX673/H673,1))),IF(R673&gt;0,AY673/R673,0))/MAX(0.1,N(Parameter!$M$21)))</f>
        <v>0.15</v>
      </c>
      <c r="BA673" s="50" t="n">
        <f aca="false">AZ673*BY673</f>
        <v>35.25</v>
      </c>
      <c r="BB673" s="50" t="n">
        <f aca="false">AX673*G673</f>
        <v>0</v>
      </c>
      <c r="BC673" s="50" t="n">
        <f aca="false">ROUNDUP(MAX(J673/IF(CD673&gt;0,CD673,MAX(0.1,N(Cockpit!$O$6))),CG673)/BV673,0)*BV673</f>
        <v>1</v>
      </c>
      <c r="BD673" s="51" t="n">
        <f aca="false">IF(BA673&gt;0,J673/BA673,-1)</f>
        <v>0</v>
      </c>
      <c r="BE673" s="51" t="str">
        <f aca="false">IF(AND(OR(CC673="L1",CC673="L23",CC673="LIFT"),BA673&gt;0),SUMIFS($BA$7:$BA$1843,$CC$7:$CC$1843,CC673,$BD$7:$BD$1843,"&gt;"&amp;BD673)+SUMIFS($BA$7:$BA$1843,$CC$7:$CC$1843,CC673,$BD$7:$BD$1843,BD673,$BT$7:$BT$1843,"&lt;="&amp;BT673),"")</f>
        <v/>
      </c>
      <c r="BF673" s="58" t="n">
        <f aca="false">IF(BE673="",0,MAX(0,MIN(1,(IF(CC673="L1",Parameter!$H$5,IF(CC673="L23",Parameter!$H$6+Parameter!$H$7,Parameter!$H$5+Parameter!$H$6+Parameter!$H$7))-(BE673-BA673))/BA673)))</f>
        <v>0</v>
      </c>
      <c r="BG673" s="48" t="str">
        <f aca="false">IF(AI673&lt;=0,"",IF(CC673="Aussen","Aussenlager",IF(CC673="-","Nicht im Lift",IF(AN673&gt;=1,"Lift",IF(AN673&lt;=0,"Aussenlager","teilweise")))))</f>
        <v/>
      </c>
      <c r="BH673" s="48" t="str">
        <f aca="false">IF(AR673&lt;=0,"",IF(CC673="Aussen","Aussenlager",IF(CC673="-","Nicht im Lift",IF(AW673&gt;=1,"Lift",IF(AW673&lt;=0,"Aussenlager","teilweise")))))</f>
        <v>Nicht im Lift</v>
      </c>
      <c r="BI673" s="48" t="str">
        <f aca="false">IF(BA673&lt;=0,"",IF(CC673="Aussen","Aussenlager",IF(CC673="-","Nicht im Lift",IF(BF673&gt;=1,"Lift",IF(BF673&lt;=0,"Aussenlager","teilweise")))))</f>
        <v>Nicht im Lift</v>
      </c>
      <c r="BJ673" s="48" t="str">
        <f aca="false">IF(A673="","",IF(BS673=1,"Neu; ","")&amp;IF(AND(BS673=0,BN673&lt;0),"negativer Bestand (Export "&amp;BN673&amp;"); ","")&amp;IF(J673&lt;=0,"Kein Verbrauch; ","")&amp;IF(CL673&gt;0,"Lift "&amp;W673&amp;" lt. Liftbericht (Fach "&amp;X673&amp;" Stk); ",IF(BX673=1,"Gebinde geschätzt ("&amp;T673&amp;"); ",IF(BW673=1,"Lose – Tablare geschätzt; ","")))&amp;IF(H673&gt;AT673,"Überbestand "&amp;ROUND(H673-AT673,0)&amp;" Stk / CHF "&amp;ROUND((H673-AT673)*G673,0)&amp;"; ","")&amp;IF(AND(CE673=1,CF673&lt;CG673),"MAX &lt; MB+LG; ","")&amp;IF(AND(CK673&gt;0,CJ673*10&gt;CK673),"zu hoch für Tablar; ","")&amp;IF(AND(BS673=0,OR(CE673=1,AA673&lt;&gt;"",U673&lt;&gt;"",V673&lt;&gt;"",AB673&lt;&gt;"")),"manuell übersteuert; ","")&amp;IF(AND(BW673=0,R673=0),"Gebinde unbekannt / Stellmass fehlt; ","")&amp;IF(AND(BW673=0,N(V673)&lt;=0,N(Q673)&lt;=0),"Menge pro Gebinde fehlt (Ist = 1 Gebinde); ","")&amp;BR673)</f>
        <v>Kein Verbrauch; Lose – Tablare geschätzt; </v>
      </c>
      <c r="BK673" s="48"/>
      <c r="BL673" s="48"/>
      <c r="BM673" s="55"/>
      <c r="BN673" s="50" t="n">
        <v>0</v>
      </c>
      <c r="BO673" s="50" t="n">
        <v>0</v>
      </c>
      <c r="BP673" s="49" t="n">
        <v>0</v>
      </c>
      <c r="BQ673" s="50" t="n">
        <v>0</v>
      </c>
      <c r="BR673" s="48"/>
      <c r="BS673" s="53" t="n">
        <v>0</v>
      </c>
      <c r="BT673" s="53" t="n">
        <v>673</v>
      </c>
      <c r="BU673" s="48" t="str">
        <f aca="false">IF(U673&lt;&gt;"",UPPER(TRIM(U673)),IF(BX673=1,UPPER(VLOOKUP(T673,Parameter!$I$27:$K$29,2,0)),IF(P673="","LOSE",P673)))</f>
        <v>LOSE</v>
      </c>
      <c r="BV673" s="50" t="n">
        <f aca="false">IF(BU673="LOSE",1,IF(N(V673)&gt;0,V673,IF(BX673=1,MAX(1,N(VLOOKUP(T673,Parameter!$I$27:$K$29,3,0)),H673,N(N673)),IF(N(Q673)&gt;0,Q673,MAX(1,H673)))))</f>
        <v>1</v>
      </c>
      <c r="BW673" s="53" t="n">
        <f aca="false">IF(BU673="LOSE",1,0)</f>
        <v>1</v>
      </c>
      <c r="BX673" s="53" t="n">
        <f aca="false">IF(AND(U673="",OR(P673="",P673="LOSE"),T673&lt;&gt;"",N(S673)&lt;=0,ISNUMBER(MATCH(T673,Parameter!$I$27:$I$29,0))),1,0)</f>
        <v>0</v>
      </c>
      <c r="BY673" s="53" t="n">
        <f aca="false">IF(CL673&gt;0,INDEX(Parameter!$H$5:$H$7,W673)/INDEX(Parameter!$E$5:$E$7,W673),IF(AND(BW673=0,N(IFERROR(VLOOKUP(BU673,'Gebinde-Kategorie'!$A$5:$N$45,14,0),0))&gt;0),VLOOKUP(BU673,'Gebinde-Kategorie'!$A$5:$N$45,14,0)*10+Parameter!$M$23,Parameter!$M$24))</f>
        <v>235</v>
      </c>
      <c r="BZ673" s="48" t="str">
        <f aca="false">IF(AND(Parameter!$B$19="Ja",E673&lt;&gt;"",ISNUMBER(MATCH(E673,Parameter!$I$35:$I$52,0))),VLOOKUP(E673,Parameter!$I$35:$J$52,2,0),IFERROR(VLOOKUP(D673,Parameter!$A$35:$C$64,2,0),"Nein"))</f>
        <v>Nein</v>
      </c>
      <c r="CA673" s="52" t="n">
        <f aca="false">IF(BW673=0,0,IF(N(S673)&gt;0,S673,IFERROR(VLOOKUP(D673,Parameter!$A$35:$C$64,3,0)+0,0)))</f>
        <v>0.15</v>
      </c>
      <c r="CB673" s="48" t="str">
        <f aca="false">IF(AA673&lt;&gt;"",AA673,Z673)</f>
        <v>-</v>
      </c>
      <c r="CC673" s="48" t="str">
        <f aca="false">IF(OR(CB673=1,CB673=2,CB673=3),IF(Parameter!$E$27="Ja","LIFT",IF(CB673=1,"L1","L23")),IF(CB673="Aussen","Aussen","-"))</f>
        <v>-</v>
      </c>
      <c r="CD673" s="59" t="n">
        <f aca="false">IF(N(AB673)&gt;0,AB673,0)</f>
        <v>0</v>
      </c>
      <c r="CE673" s="53" t="n">
        <f aca="false">IF(ISNUMBER(AE673),1,0)</f>
        <v>0</v>
      </c>
      <c r="CF673" s="50" t="n">
        <f aca="false">N(AE673)</f>
        <v>0</v>
      </c>
      <c r="CG673" s="50" t="n">
        <f aca="false">N(M673)+N(N673)</f>
        <v>1</v>
      </c>
      <c r="CH673" s="50" t="n">
        <f aca="false">ROUNDUP(H673/BV673,0)</f>
        <v>0</v>
      </c>
      <c r="CI673" s="50" t="n">
        <f aca="false">ROUNDUP(CF673/BV673,0)</f>
        <v>0</v>
      </c>
      <c r="CJ673" s="53" t="n">
        <f aca="false">IF(BW673=1,0,IFERROR(VLOOKUP(BU673,'Gebinde-Kategorie'!$A$5:$N$45,5,0)+0,0))</f>
        <v>0</v>
      </c>
      <c r="CK673" s="53" t="n">
        <f aca="false">IFERROR(IF(OR(CB673=1,CB673=2,CB673=3),N(INDEX(Parameter!$I$5:$I$7,CB673)),0),0)</f>
        <v>0</v>
      </c>
      <c r="CL673" s="52" t="n">
        <f aca="false">IF(AND(Parameter!$B$21="Ja",ISNUMBER(W673),N(X673)&gt;0),IFERROR(N(INDEX(Parameter!$L$5:$L$7,W673))*INDEX(Parameter!$E$5:$E$7,W673)*X673/SUMIFS($X$7:$X$1843,$W$7:$W$1843,W673),0),0)</f>
        <v>0</v>
      </c>
    </row>
    <row r="674" customFormat="false" ht="15" hidden="false" customHeight="false" outlineLevel="0" collapsed="false">
      <c r="A674" s="48" t="s">
        <v>1357</v>
      </c>
      <c r="B674" s="48" t="s">
        <v>1002</v>
      </c>
      <c r="C674" s="48" t="s">
        <v>168</v>
      </c>
      <c r="D674" s="48" t="s">
        <v>999</v>
      </c>
      <c r="E674" s="48"/>
      <c r="F674" s="48" t="s">
        <v>222</v>
      </c>
      <c r="G674" s="49" t="n">
        <v>177.69</v>
      </c>
      <c r="H674" s="50" t="n">
        <f aca="false">MAX(0,IF(AND(Parameter!$B$21="Ja",ISNUMBER(Y674)),Y674,IF(Parameter!$B$20="Jahresanfang 2025 + Export",BO674+BN674,BN674)))</f>
        <v>0</v>
      </c>
      <c r="I674" s="50" t="n">
        <f aca="false">H674*G674</f>
        <v>0</v>
      </c>
      <c r="J674" s="50" t="n">
        <f aca="false">BQ674*Parameter!$B$18</f>
        <v>4</v>
      </c>
      <c r="K674" s="51" t="n">
        <v>0</v>
      </c>
      <c r="L674" s="52" t="n">
        <v>0</v>
      </c>
      <c r="M674" s="50" t="n">
        <v>0</v>
      </c>
      <c r="N674" s="50" t="n">
        <v>1</v>
      </c>
      <c r="O674" s="53" t="n">
        <v>105</v>
      </c>
      <c r="P674" s="48" t="s">
        <v>172</v>
      </c>
      <c r="Q674" s="50"/>
      <c r="R674" s="53" t="n">
        <f aca="false">IF(BW674=1,0,IFERROR(VLOOKUP(BU674,'Gebinde-Kategorie'!$A$5:$N$45,13,0)+0,0))</f>
        <v>0</v>
      </c>
      <c r="S674" s="54"/>
      <c r="T674" s="55"/>
      <c r="U674" s="55"/>
      <c r="V674" s="55"/>
      <c r="W674" s="48"/>
      <c r="X674" s="50"/>
      <c r="Y674" s="50"/>
      <c r="Z674" s="48" t="str">
        <f aca="false">IF(A674="","",IF(AND(Parameter!$B$21="Ja",ISNUMBER(W674)),W674,IF(BZ674="2+3",IF(ISNUMBER(SEARCH("grosser Artikel",BR674)),2,IFERROR(VLOOKUP(BU674,Parameter!$F$35:$G$64,2,0),2)),IF(OR(BZ674="Nein",BZ674=""),"-",BZ674))))</f>
        <v>-</v>
      </c>
      <c r="AA674" s="55"/>
      <c r="AB674" s="56"/>
      <c r="AC674" s="50" t="n">
        <f aca="false">AT674</f>
        <v>2</v>
      </c>
      <c r="AD674" s="50" t="n">
        <f aca="false">MAX(AT674,H674)</f>
        <v>2</v>
      </c>
      <c r="AE674" s="57"/>
      <c r="AF674" s="50" t="n">
        <f aca="false">IF(LEFT(Cockpit!$C$5,1)="A",H674,IF(CE674=1,CF674,IF(LEFT(Cockpit!$C$5,1)="B",AK674,MAX(AK674,H674))))</f>
        <v>0</v>
      </c>
      <c r="AG674" s="50" t="n">
        <f aca="false">IF(BW674=1,0,ROUNDUP(AF674/BV674,0))</f>
        <v>0</v>
      </c>
      <c r="AH674" s="52" t="n">
        <f aca="false">IF(CL674&gt;0,CL674*MAX(1,AF674/X674),IF(BW674=1,IF(AF674&lt;=0,0,CA674*MAX(1,IF(H674&gt;0,AF674/H674,1))),IF(R674&gt;0,AG674/R674,0))/MAX(0.1,N(Parameter!$M$21)))</f>
        <v>0</v>
      </c>
      <c r="AI674" s="50" t="n">
        <f aca="false">AH674*BY674</f>
        <v>0</v>
      </c>
      <c r="AJ674" s="50" t="n">
        <f aca="false">AF674*G674</f>
        <v>0</v>
      </c>
      <c r="AK674" s="50" t="n">
        <f aca="false">ROUNDUP(MAX(J674/IF(CD674&gt;0,CD674,MAX(0.1,N(Cockpit!$C$6))),CG674)/BV674,0)*BV674</f>
        <v>2</v>
      </c>
      <c r="AL674" s="51" t="n">
        <f aca="false">IF(AI674&gt;0,J674/AI674,-1)</f>
        <v>-1</v>
      </c>
      <c r="AM674" s="51" t="str">
        <f aca="false">IF(AND(OR(CC674="L1",CC674="L23",CC674="LIFT"),AI674&gt;0),SUMIFS($AI$7:$AI$1843,$CC$7:$CC$1843,CC674,$AL$7:$AL$1843,"&gt;"&amp;AL674)+SUMIFS($AI$7:$AI$1843,$CC$7:$CC$1843,CC674,$AL$7:$AL$1843,AL674,$BT$7:$BT$1843,"&lt;="&amp;BT674),"")</f>
        <v/>
      </c>
      <c r="AN674" s="58" t="n">
        <f aca="false">IF(AM674="",0,MAX(0,MIN(1,(IF(CC674="L1",Parameter!$H$5,IF(CC674="L23",Parameter!$H$6+Parameter!$H$7,Parameter!$H$5+Parameter!$H$6+Parameter!$H$7))-(AM674-AI674))/AI674)))</f>
        <v>0</v>
      </c>
      <c r="AO674" s="50" t="n">
        <f aca="false">IF(LEFT(Cockpit!$I$5,1)="A",H674,IF(CE674=1,CF674,IF(LEFT(Cockpit!$I$5,1)="B",AT674,MAX(AT674,H674))))</f>
        <v>2</v>
      </c>
      <c r="AP674" s="50" t="n">
        <f aca="false">IF(BW674=1,0,ROUNDUP(AO674/BV674,0))</f>
        <v>0</v>
      </c>
      <c r="AQ674" s="52" t="n">
        <f aca="false">IF(CL674&gt;0,CL674*MAX(1,AO674/X674),IF(BW674=1,IF(AO674&lt;=0,0,CA674*MAX(1,IF(H674&gt;0,AO674/H674,1))),IF(R674&gt;0,AP674/R674,0))/MAX(0.1,N(Parameter!$M$21)))</f>
        <v>0.15</v>
      </c>
      <c r="AR674" s="50" t="n">
        <f aca="false">AQ674*BY674</f>
        <v>35.25</v>
      </c>
      <c r="AS674" s="50" t="n">
        <f aca="false">AO674*G674</f>
        <v>355.38</v>
      </c>
      <c r="AT674" s="50" t="n">
        <f aca="false">ROUNDUP(MAX(J674/IF(CD674&gt;0,CD674,MAX(0.1,N(Cockpit!$I$6))),CG674)/BV674,0)*BV674</f>
        <v>2</v>
      </c>
      <c r="AU674" s="51" t="n">
        <f aca="false">IF(AR674&gt;0,J674/AR674,-1)</f>
        <v>0.113475177304965</v>
      </c>
      <c r="AV674" s="51" t="str">
        <f aca="false">IF(AND(OR(CC674="L1",CC674="L23",CC674="LIFT"),AR674&gt;0),SUMIFS($AR$7:$AR$1843,$CC$7:$CC$1843,CC674,$AU$7:$AU$1843,"&gt;"&amp;AU674)+SUMIFS($AR$7:$AR$1843,$CC$7:$CC$1843,CC674,$AU$7:$AU$1843,AU674,$BT$7:$BT$1843,"&lt;="&amp;BT674),"")</f>
        <v/>
      </c>
      <c r="AW674" s="58" t="n">
        <f aca="false">IF(AV674="",0,MAX(0,MIN(1,(IF(CC674="L1",Parameter!$H$5,IF(CC674="L23",Parameter!$H$6+Parameter!$H$7,Parameter!$H$5+Parameter!$H$6+Parameter!$H$7))-(AV674-AR674))/AR674)))</f>
        <v>0</v>
      </c>
      <c r="AX674" s="50" t="n">
        <f aca="false">IF(LEFT(Cockpit!$O$5,1)="A",H674,IF(CE674=1,CF674,IF(LEFT(Cockpit!$O$5,1)="B",BC674,MAX(BC674,H674))))</f>
        <v>2</v>
      </c>
      <c r="AY674" s="50" t="n">
        <f aca="false">IF(BW674=1,0,ROUNDUP(AX674/BV674,0))</f>
        <v>0</v>
      </c>
      <c r="AZ674" s="52" t="n">
        <f aca="false">IF(CL674&gt;0,CL674*MAX(1,AX674/X674),IF(BW674=1,IF(AX674&lt;=0,0,CA674*MAX(1,IF(H674&gt;0,AX674/H674,1))),IF(R674&gt;0,AY674/R674,0))/MAX(0.1,N(Parameter!$M$21)))</f>
        <v>0.15</v>
      </c>
      <c r="BA674" s="50" t="n">
        <f aca="false">AZ674*BY674</f>
        <v>35.25</v>
      </c>
      <c r="BB674" s="50" t="n">
        <f aca="false">AX674*G674</f>
        <v>355.38</v>
      </c>
      <c r="BC674" s="50" t="n">
        <f aca="false">ROUNDUP(MAX(J674/IF(CD674&gt;0,CD674,MAX(0.1,N(Cockpit!$O$6))),CG674)/BV674,0)*BV674</f>
        <v>2</v>
      </c>
      <c r="BD674" s="51" t="n">
        <f aca="false">IF(BA674&gt;0,J674/BA674,-1)</f>
        <v>0.113475177304965</v>
      </c>
      <c r="BE674" s="51" t="str">
        <f aca="false">IF(AND(OR(CC674="L1",CC674="L23",CC674="LIFT"),BA674&gt;0),SUMIFS($BA$7:$BA$1843,$CC$7:$CC$1843,CC674,$BD$7:$BD$1843,"&gt;"&amp;BD674)+SUMIFS($BA$7:$BA$1843,$CC$7:$CC$1843,CC674,$BD$7:$BD$1843,BD674,$BT$7:$BT$1843,"&lt;="&amp;BT674),"")</f>
        <v/>
      </c>
      <c r="BF674" s="58" t="n">
        <f aca="false">IF(BE674="",0,MAX(0,MIN(1,(IF(CC674="L1",Parameter!$H$5,IF(CC674="L23",Parameter!$H$6+Parameter!$H$7,Parameter!$H$5+Parameter!$H$6+Parameter!$H$7))-(BE674-BA674))/BA674)))</f>
        <v>0</v>
      </c>
      <c r="BG674" s="48" t="str">
        <f aca="false">IF(AI674&lt;=0,"",IF(CC674="Aussen","Aussenlager",IF(CC674="-","Nicht im Lift",IF(AN674&gt;=1,"Lift",IF(AN674&lt;=0,"Aussenlager","teilweise")))))</f>
        <v/>
      </c>
      <c r="BH674" s="48" t="str">
        <f aca="false">IF(AR674&lt;=0,"",IF(CC674="Aussen","Aussenlager",IF(CC674="-","Nicht im Lift",IF(AW674&gt;=1,"Lift",IF(AW674&lt;=0,"Aussenlager","teilweise")))))</f>
        <v>Nicht im Lift</v>
      </c>
      <c r="BI674" s="48" t="str">
        <f aca="false">IF(BA674&lt;=0,"",IF(CC674="Aussen","Aussenlager",IF(CC674="-","Nicht im Lift",IF(BF674&gt;=1,"Lift",IF(BF674&lt;=0,"Aussenlager","teilweise")))))</f>
        <v>Nicht im Lift</v>
      </c>
      <c r="BJ674" s="48" t="str">
        <f aca="false">IF(A674="","",IF(BS674=1,"Neu; ","")&amp;IF(AND(BS674=0,BN674&lt;0),"negativer Bestand (Export "&amp;BN674&amp;"); ","")&amp;IF(J674&lt;=0,"Kein Verbrauch; ","")&amp;IF(CL674&gt;0,"Lift "&amp;W674&amp;" lt. Liftbericht (Fach "&amp;X674&amp;" Stk); ",IF(BX674=1,"Gebinde geschätzt ("&amp;T674&amp;"); ",IF(BW674=1,"Lose – Tablare geschätzt; ","")))&amp;IF(H674&gt;AT674,"Überbestand "&amp;ROUND(H674-AT674,0)&amp;" Stk / CHF "&amp;ROUND((H674-AT674)*G674,0)&amp;"; ","")&amp;IF(AND(CE674=1,CF674&lt;CG674),"MAX &lt; MB+LG; ","")&amp;IF(AND(CK674&gt;0,CJ674*10&gt;CK674),"zu hoch für Tablar; ","")&amp;IF(AND(BS674=0,OR(CE674=1,AA674&lt;&gt;"",U674&lt;&gt;"",V674&lt;&gt;"",AB674&lt;&gt;"")),"manuell übersteuert; ","")&amp;IF(AND(BW674=0,R674=0),"Gebinde unbekannt / Stellmass fehlt; ","")&amp;IF(AND(BW674=0,N(V674)&lt;=0,N(Q674)&lt;=0),"Menge pro Gebinde fehlt (Ist = 1 Gebinde); ","")&amp;BR674)</f>
        <v>Lose – Tablare geschätzt; </v>
      </c>
      <c r="BK674" s="48"/>
      <c r="BL674" s="48"/>
      <c r="BM674" s="55"/>
      <c r="BN674" s="50" t="n">
        <v>0</v>
      </c>
      <c r="BO674" s="50" t="n">
        <v>0</v>
      </c>
      <c r="BP674" s="49" t="n">
        <v>0</v>
      </c>
      <c r="BQ674" s="50" t="n">
        <v>4</v>
      </c>
      <c r="BR674" s="48"/>
      <c r="BS674" s="53" t="n">
        <v>0</v>
      </c>
      <c r="BT674" s="53" t="n">
        <v>674</v>
      </c>
      <c r="BU674" s="48" t="str">
        <f aca="false">IF(U674&lt;&gt;"",UPPER(TRIM(U674)),IF(BX674=1,UPPER(VLOOKUP(T674,Parameter!$I$27:$K$29,2,0)),IF(P674="","LOSE",P674)))</f>
        <v>LOSE</v>
      </c>
      <c r="BV674" s="50" t="n">
        <f aca="false">IF(BU674="LOSE",1,IF(N(V674)&gt;0,V674,IF(BX674=1,MAX(1,N(VLOOKUP(T674,Parameter!$I$27:$K$29,3,0)),H674,N(N674)),IF(N(Q674)&gt;0,Q674,MAX(1,H674)))))</f>
        <v>1</v>
      </c>
      <c r="BW674" s="53" t="n">
        <f aca="false">IF(BU674="LOSE",1,0)</f>
        <v>1</v>
      </c>
      <c r="BX674" s="53" t="n">
        <f aca="false">IF(AND(U674="",OR(P674="",P674="LOSE"),T674&lt;&gt;"",N(S674)&lt;=0,ISNUMBER(MATCH(T674,Parameter!$I$27:$I$29,0))),1,0)</f>
        <v>0</v>
      </c>
      <c r="BY674" s="53" t="n">
        <f aca="false">IF(CL674&gt;0,INDEX(Parameter!$H$5:$H$7,W674)/INDEX(Parameter!$E$5:$E$7,W674),IF(AND(BW674=0,N(IFERROR(VLOOKUP(BU674,'Gebinde-Kategorie'!$A$5:$N$45,14,0),0))&gt;0),VLOOKUP(BU674,'Gebinde-Kategorie'!$A$5:$N$45,14,0)*10+Parameter!$M$23,Parameter!$M$24))</f>
        <v>235</v>
      </c>
      <c r="BZ674" s="48" t="str">
        <f aca="false">IF(AND(Parameter!$B$19="Ja",E674&lt;&gt;"",ISNUMBER(MATCH(E674,Parameter!$I$35:$I$52,0))),VLOOKUP(E674,Parameter!$I$35:$J$52,2,0),IFERROR(VLOOKUP(D674,Parameter!$A$35:$C$64,2,0),"Nein"))</f>
        <v>Nein</v>
      </c>
      <c r="CA674" s="52" t="n">
        <f aca="false">IF(BW674=0,0,IF(N(S674)&gt;0,S674,IFERROR(VLOOKUP(D674,Parameter!$A$35:$C$64,3,0)+0,0)))</f>
        <v>0.15</v>
      </c>
      <c r="CB674" s="48" t="str">
        <f aca="false">IF(AA674&lt;&gt;"",AA674,Z674)</f>
        <v>-</v>
      </c>
      <c r="CC674" s="48" t="str">
        <f aca="false">IF(OR(CB674=1,CB674=2,CB674=3),IF(Parameter!$E$27="Ja","LIFT",IF(CB674=1,"L1","L23")),IF(CB674="Aussen","Aussen","-"))</f>
        <v>-</v>
      </c>
      <c r="CD674" s="59" t="n">
        <f aca="false">IF(N(AB674)&gt;0,AB674,0)</f>
        <v>0</v>
      </c>
      <c r="CE674" s="53" t="n">
        <f aca="false">IF(ISNUMBER(AE674),1,0)</f>
        <v>0</v>
      </c>
      <c r="CF674" s="50" t="n">
        <f aca="false">N(AE674)</f>
        <v>0</v>
      </c>
      <c r="CG674" s="50" t="n">
        <f aca="false">N(M674)+N(N674)</f>
        <v>1</v>
      </c>
      <c r="CH674" s="50" t="n">
        <f aca="false">ROUNDUP(H674/BV674,0)</f>
        <v>0</v>
      </c>
      <c r="CI674" s="50" t="n">
        <f aca="false">ROUNDUP(CF674/BV674,0)</f>
        <v>0</v>
      </c>
      <c r="CJ674" s="53" t="n">
        <f aca="false">IF(BW674=1,0,IFERROR(VLOOKUP(BU674,'Gebinde-Kategorie'!$A$5:$N$45,5,0)+0,0))</f>
        <v>0</v>
      </c>
      <c r="CK674" s="53" t="n">
        <f aca="false">IFERROR(IF(OR(CB674=1,CB674=2,CB674=3),N(INDEX(Parameter!$I$5:$I$7,CB674)),0),0)</f>
        <v>0</v>
      </c>
      <c r="CL674" s="52" t="n">
        <f aca="false">IF(AND(Parameter!$B$21="Ja",ISNUMBER(W674),N(X674)&gt;0),IFERROR(N(INDEX(Parameter!$L$5:$L$7,W674))*INDEX(Parameter!$E$5:$E$7,W674)*X674/SUMIFS($X$7:$X$1843,$W$7:$W$1843,W674),0),0)</f>
        <v>0</v>
      </c>
    </row>
    <row r="675" customFormat="false" ht="15" hidden="false" customHeight="false" outlineLevel="0" collapsed="false">
      <c r="A675" s="48" t="s">
        <v>1358</v>
      </c>
      <c r="B675" s="48" t="s">
        <v>1359</v>
      </c>
      <c r="C675" s="48" t="s">
        <v>168</v>
      </c>
      <c r="D675" s="48" t="s">
        <v>177</v>
      </c>
      <c r="E675" s="48"/>
      <c r="F675" s="48" t="s">
        <v>222</v>
      </c>
      <c r="G675" s="49" t="n">
        <v>245</v>
      </c>
      <c r="H675" s="50" t="n">
        <f aca="false">MAX(0,IF(AND(Parameter!$B$21="Ja",ISNUMBER(Y675)),Y675,IF(Parameter!$B$20="Jahresanfang 2025 + Export",BO675+BN675,BN675)))</f>
        <v>0</v>
      </c>
      <c r="I675" s="50" t="n">
        <f aca="false">H675*G675</f>
        <v>0</v>
      </c>
      <c r="J675" s="50" t="n">
        <f aca="false">BQ675*Parameter!$B$18</f>
        <v>0</v>
      </c>
      <c r="K675" s="51" t="n">
        <v>0</v>
      </c>
      <c r="L675" s="52" t="n">
        <v>0</v>
      </c>
      <c r="M675" s="50" t="n">
        <v>0</v>
      </c>
      <c r="N675" s="50" t="n">
        <v>1</v>
      </c>
      <c r="O675" s="53" t="n">
        <v>999</v>
      </c>
      <c r="P675" s="48" t="s">
        <v>178</v>
      </c>
      <c r="Q675" s="50"/>
      <c r="R675" s="53" t="n">
        <f aca="false">IF(BW675=1,0,IFERROR(VLOOKUP(BU675,'Gebinde-Kategorie'!$A$5:$N$45,13,0)+0,0))</f>
        <v>6</v>
      </c>
      <c r="S675" s="54"/>
      <c r="T675" s="55"/>
      <c r="U675" s="55"/>
      <c r="V675" s="55"/>
      <c r="W675" s="48"/>
      <c r="X675" s="50"/>
      <c r="Y675" s="50"/>
      <c r="Z675" s="48" t="n">
        <f aca="false">IF(A675="","",IF(AND(Parameter!$B$21="Ja",ISNUMBER(W675)),W675,IF(BZ675="2+3",IF(ISNUMBER(SEARCH("grosser Artikel",BR675)),2,IFERROR(VLOOKUP(BU675,Parameter!$F$35:$G$64,2,0),2)),IF(OR(BZ675="Nein",BZ675=""),"-",BZ675))))</f>
        <v>2</v>
      </c>
      <c r="AA675" s="55"/>
      <c r="AB675" s="56"/>
      <c r="AC675" s="50" t="n">
        <f aca="false">AT675</f>
        <v>1</v>
      </c>
      <c r="AD675" s="50" t="n">
        <f aca="false">MAX(AT675,H675)</f>
        <v>1</v>
      </c>
      <c r="AE675" s="57"/>
      <c r="AF675" s="50" t="n">
        <f aca="false">IF(LEFT(Cockpit!$C$5,1)="A",H675,IF(CE675=1,CF675,IF(LEFT(Cockpit!$C$5,1)="B",AK675,MAX(AK675,H675))))</f>
        <v>0</v>
      </c>
      <c r="AG675" s="50" t="n">
        <f aca="false">IF(BW675=1,0,ROUNDUP(AF675/BV675,0))</f>
        <v>0</v>
      </c>
      <c r="AH675" s="52" t="n">
        <f aca="false">IF(CL675&gt;0,CL675*MAX(1,AF675/X675),IF(BW675=1,IF(AF675&lt;=0,0,CA675*MAX(1,IF(H675&gt;0,AF675/H675,1))),IF(R675&gt;0,AG675/R675,0))/MAX(0.1,N(Parameter!$M$21)))</f>
        <v>0</v>
      </c>
      <c r="AI675" s="50" t="n">
        <f aca="false">AH675*BY675</f>
        <v>0</v>
      </c>
      <c r="AJ675" s="50" t="n">
        <f aca="false">AF675*G675</f>
        <v>0</v>
      </c>
      <c r="AK675" s="50" t="n">
        <f aca="false">ROUNDUP(MAX(J675/IF(CD675&gt;0,CD675,MAX(0.1,N(Cockpit!$C$6))),CG675)/BV675,0)*BV675</f>
        <v>1</v>
      </c>
      <c r="AL675" s="51" t="n">
        <f aca="false">IF(AI675&gt;0,J675/AI675,-1)</f>
        <v>-1</v>
      </c>
      <c r="AM675" s="51" t="str">
        <f aca="false">IF(AND(OR(CC675="L1",CC675="L23",CC675="LIFT"),AI675&gt;0),SUMIFS($AI$7:$AI$1843,$CC$7:$CC$1843,CC675,$AL$7:$AL$1843,"&gt;"&amp;AL675)+SUMIFS($AI$7:$AI$1843,$CC$7:$CC$1843,CC675,$AL$7:$AL$1843,AL675,$BT$7:$BT$1843,"&lt;="&amp;BT675),"")</f>
        <v/>
      </c>
      <c r="AN675" s="58" t="n">
        <f aca="false">IF(AM675="",0,MAX(0,MIN(1,(IF(CC675="L1",Parameter!$H$5,IF(CC675="L23",Parameter!$H$6+Parameter!$H$7,Parameter!$H$5+Parameter!$H$6+Parameter!$H$7))-(AM675-AI675))/AI675)))</f>
        <v>0</v>
      </c>
      <c r="AO675" s="50" t="n">
        <f aca="false">IF(LEFT(Cockpit!$I$5,1)="A",H675,IF(CE675=1,CF675,IF(LEFT(Cockpit!$I$5,1)="B",AT675,MAX(AT675,H675))))</f>
        <v>1</v>
      </c>
      <c r="AP675" s="50" t="n">
        <f aca="false">IF(BW675=1,0,ROUNDUP(AO675/BV675,0))</f>
        <v>1</v>
      </c>
      <c r="AQ675" s="52" t="n">
        <f aca="false">IF(CL675&gt;0,CL675*MAX(1,AO675/X675),IF(BW675=1,IF(AO675&lt;=0,0,CA675*MAX(1,IF(H675&gt;0,AO675/H675,1))),IF(R675&gt;0,AP675/R675,0))/MAX(0.1,N(Parameter!$M$21)))</f>
        <v>0.166666666666667</v>
      </c>
      <c r="AR675" s="50" t="n">
        <f aca="false">AQ675*BY675</f>
        <v>39.1666666666667</v>
      </c>
      <c r="AS675" s="50" t="n">
        <f aca="false">AO675*G675</f>
        <v>245</v>
      </c>
      <c r="AT675" s="50" t="n">
        <f aca="false">ROUNDUP(MAX(J675/IF(CD675&gt;0,CD675,MAX(0.1,N(Cockpit!$I$6))),CG675)/BV675,0)*BV675</f>
        <v>1</v>
      </c>
      <c r="AU675" s="51" t="n">
        <f aca="false">IF(AR675&gt;0,J675/AR675,-1)</f>
        <v>0</v>
      </c>
      <c r="AV675" s="51" t="n">
        <f aca="false">IF(AND(OR(CC675="L1",CC675="L23",CC675="LIFT"),AR675&gt;0),SUMIFS($AR$7:$AR$1843,$CC$7:$CC$1843,CC675,$AU$7:$AU$1843,"&gt;"&amp;AU675)+SUMIFS($AR$7:$AR$1843,$CC$7:$CC$1843,CC675,$AU$7:$AU$1843,AU675,$BT$7:$BT$1843,"&lt;="&amp;BT675),"")</f>
        <v>39970.191399702</v>
      </c>
      <c r="AW675" s="58" t="n">
        <f aca="false">IF(AV675="",0,MAX(0,MIN(1,(IF(CC675="L1",Parameter!$H$5,IF(CC675="L23",Parameter!$H$6+Parameter!$H$7,Parameter!$H$5+Parameter!$H$6+Parameter!$H$7))-(AV675-AR675))/AR675)))</f>
        <v>0</v>
      </c>
      <c r="AX675" s="50" t="n">
        <f aca="false">IF(LEFT(Cockpit!$O$5,1)="A",H675,IF(CE675=1,CF675,IF(LEFT(Cockpit!$O$5,1)="B",BC675,MAX(BC675,H675))))</f>
        <v>1</v>
      </c>
      <c r="AY675" s="50" t="n">
        <f aca="false">IF(BW675=1,0,ROUNDUP(AX675/BV675,0))</f>
        <v>1</v>
      </c>
      <c r="AZ675" s="52" t="n">
        <f aca="false">IF(CL675&gt;0,CL675*MAX(1,AX675/X675),IF(BW675=1,IF(AX675&lt;=0,0,CA675*MAX(1,IF(H675&gt;0,AX675/H675,1))),IF(R675&gt;0,AY675/R675,0))/MAX(0.1,N(Parameter!$M$21)))</f>
        <v>0.166666666666667</v>
      </c>
      <c r="BA675" s="50" t="n">
        <f aca="false">AZ675*BY675</f>
        <v>39.1666666666667</v>
      </c>
      <c r="BB675" s="50" t="n">
        <f aca="false">AX675*G675</f>
        <v>245</v>
      </c>
      <c r="BC675" s="50" t="n">
        <f aca="false">ROUNDUP(MAX(J675/IF(CD675&gt;0,CD675,MAX(0.1,N(Cockpit!$O$6))),CG675)/BV675,0)*BV675</f>
        <v>1</v>
      </c>
      <c r="BD675" s="51" t="n">
        <f aca="false">IF(BA675&gt;0,J675/BA675,-1)</f>
        <v>0</v>
      </c>
      <c r="BE675" s="51" t="n">
        <f aca="false">IF(AND(OR(CC675="L1",CC675="L23",CC675="LIFT"),BA675&gt;0),SUMIFS($BA$7:$BA$1843,$CC$7:$CC$1843,CC675,$BD$7:$BD$1843,"&gt;"&amp;BD675)+SUMIFS($BA$7:$BA$1843,$CC$7:$CC$1843,CC675,$BD$7:$BD$1843,BD675,$BT$7:$BT$1843,"&lt;="&amp;BT675),"")</f>
        <v>36645.2034415679</v>
      </c>
      <c r="BF675" s="58" t="n">
        <f aca="false">IF(BE675="",0,MAX(0,MIN(1,(IF(CC675="L1",Parameter!$H$5,IF(CC675="L23",Parameter!$H$6+Parameter!$H$7,Parameter!$H$5+Parameter!$H$6+Parameter!$H$7))-(BE675-BA675))/BA675)))</f>
        <v>0</v>
      </c>
      <c r="BG675" s="48" t="str">
        <f aca="false">IF(AI675&lt;=0,"",IF(CC675="Aussen","Aussenlager",IF(CC675="-","Nicht im Lift",IF(AN675&gt;=1,"Lift",IF(AN675&lt;=0,"Aussenlager","teilweise")))))</f>
        <v/>
      </c>
      <c r="BH675" s="48" t="str">
        <f aca="false">IF(AR675&lt;=0,"",IF(CC675="Aussen","Aussenlager",IF(CC675="-","Nicht im Lift",IF(AW675&gt;=1,"Lift",IF(AW675&lt;=0,"Aussenlager","teilweise")))))</f>
        <v>Aussenlager</v>
      </c>
      <c r="BI675" s="48" t="str">
        <f aca="false">IF(BA675&lt;=0,"",IF(CC675="Aussen","Aussenlager",IF(CC675="-","Nicht im Lift",IF(BF675&gt;=1,"Lift",IF(BF675&lt;=0,"Aussenlager","teilweise")))))</f>
        <v>Aussenlager</v>
      </c>
      <c r="BJ675" s="48" t="str">
        <f aca="false">IF(A675="","",IF(BS675=1,"Neu; ","")&amp;IF(AND(BS675=0,BN675&lt;0),"negativer Bestand (Export "&amp;BN675&amp;"); ","")&amp;IF(J675&lt;=0,"Kein Verbrauch; ","")&amp;IF(CL675&gt;0,"Lift "&amp;W675&amp;" lt. Liftbericht (Fach "&amp;X675&amp;" Stk); ",IF(BX675=1,"Gebinde geschätzt ("&amp;T675&amp;"); ",IF(BW675=1,"Lose – Tablare geschätzt; ","")))&amp;IF(H675&gt;AT675,"Überbestand "&amp;ROUND(H675-AT675,0)&amp;" Stk / CHF "&amp;ROUND((H675-AT675)*G675,0)&amp;"; ","")&amp;IF(AND(CE675=1,CF675&lt;CG675),"MAX &lt; MB+LG; ","")&amp;IF(AND(CK675&gt;0,CJ675*10&gt;CK675),"zu hoch für Tablar; ","")&amp;IF(AND(BS675=0,OR(CE675=1,AA675&lt;&gt;"",U675&lt;&gt;"",V675&lt;&gt;"",AB675&lt;&gt;"")),"manuell übersteuert; ","")&amp;IF(AND(BW675=0,R675=0),"Gebinde unbekannt / Stellmass fehlt; ","")&amp;IF(AND(BW675=0,N(V675)&lt;=0,N(Q675)&lt;=0),"Menge pro Gebinde fehlt (Ist = 1 Gebinde); ","")&amp;BR675)</f>
        <v>Kein Verbrauch; Menge pro Gebinde fehlt (Ist = 1 Gebinde); </v>
      </c>
      <c r="BK675" s="48"/>
      <c r="BL675" s="48"/>
      <c r="BM675" s="55"/>
      <c r="BN675" s="50" t="n">
        <v>0</v>
      </c>
      <c r="BO675" s="50" t="n">
        <v>0</v>
      </c>
      <c r="BP675" s="49" t="n">
        <v>0</v>
      </c>
      <c r="BQ675" s="50" t="n">
        <v>0</v>
      </c>
      <c r="BR675" s="48"/>
      <c r="BS675" s="53" t="n">
        <v>0</v>
      </c>
      <c r="BT675" s="53" t="n">
        <v>675</v>
      </c>
      <c r="BU675" s="48" t="str">
        <f aca="false">IF(U675&lt;&gt;"",UPPER(TRIM(U675)),IF(BX675=1,UPPER(VLOOKUP(T675,Parameter!$I$27:$K$29,2,0)),IF(P675="","LOSE",P675)))</f>
        <v>S71</v>
      </c>
      <c r="BV675" s="50" t="n">
        <f aca="false">IF(BU675="LOSE",1,IF(N(V675)&gt;0,V675,IF(BX675=1,MAX(1,N(VLOOKUP(T675,Parameter!$I$27:$K$29,3,0)),H675,N(N675)),IF(N(Q675)&gt;0,Q675,MAX(1,H675)))))</f>
        <v>1</v>
      </c>
      <c r="BW675" s="53" t="n">
        <f aca="false">IF(BU675="LOSE",1,0)</f>
        <v>0</v>
      </c>
      <c r="BX675" s="53" t="n">
        <f aca="false">IF(AND(U675="",OR(P675="",P675="LOSE"),T675&lt;&gt;"",N(S675)&lt;=0,ISNUMBER(MATCH(T675,Parameter!$I$27:$I$29,0))),1,0)</f>
        <v>0</v>
      </c>
      <c r="BY675" s="53" t="n">
        <f aca="false">IF(CL675&gt;0,INDEX(Parameter!$H$5:$H$7,W675)/INDEX(Parameter!$E$5:$E$7,W675),IF(AND(BW675=0,N(IFERROR(VLOOKUP(BU675,'Gebinde-Kategorie'!$A$5:$N$45,14,0),0))&gt;0),VLOOKUP(BU675,'Gebinde-Kategorie'!$A$5:$N$45,14,0)*10+Parameter!$M$23,Parameter!$M$24))</f>
        <v>235</v>
      </c>
      <c r="BZ675" s="48" t="str">
        <f aca="false">IF(AND(Parameter!$B$19="Ja",E675&lt;&gt;"",ISNUMBER(MATCH(E675,Parameter!$I$35:$I$52,0))),VLOOKUP(E675,Parameter!$I$35:$J$52,2,0),IFERROR(VLOOKUP(D675,Parameter!$A$35:$C$64,2,0),"Nein"))</f>
        <v>2+3</v>
      </c>
      <c r="CA675" s="52" t="n">
        <f aca="false">IF(BW675=0,0,IF(N(S675)&gt;0,S675,IFERROR(VLOOKUP(D675,Parameter!$A$35:$C$64,3,0)+0,0)))</f>
        <v>0</v>
      </c>
      <c r="CB675" s="48" t="n">
        <f aca="false">IF(AA675&lt;&gt;"",AA675,Z675)</f>
        <v>2</v>
      </c>
      <c r="CC675" s="48" t="str">
        <f aca="false">IF(OR(CB675=1,CB675=2,CB675=3),IF(Parameter!$E$27="Ja","LIFT",IF(CB675=1,"L1","L23")),IF(CB675="Aussen","Aussen","-"))</f>
        <v>LIFT</v>
      </c>
      <c r="CD675" s="59" t="n">
        <f aca="false">IF(N(AB675)&gt;0,AB675,0)</f>
        <v>0</v>
      </c>
      <c r="CE675" s="53" t="n">
        <f aca="false">IF(ISNUMBER(AE675),1,0)</f>
        <v>0</v>
      </c>
      <c r="CF675" s="50" t="n">
        <f aca="false">N(AE675)</f>
        <v>0</v>
      </c>
      <c r="CG675" s="50" t="n">
        <f aca="false">N(M675)+N(N675)</f>
        <v>1</v>
      </c>
      <c r="CH675" s="50" t="n">
        <f aca="false">ROUNDUP(H675/BV675,0)</f>
        <v>0</v>
      </c>
      <c r="CI675" s="50" t="n">
        <f aca="false">ROUNDUP(CF675/BV675,0)</f>
        <v>0</v>
      </c>
      <c r="CJ675" s="53" t="n">
        <f aca="false">IF(BW675=1,0,IFERROR(VLOOKUP(BU675,'Gebinde-Kategorie'!$A$5:$N$45,5,0)+0,0))</f>
        <v>20</v>
      </c>
      <c r="CK675" s="53" t="n">
        <f aca="false">IFERROR(IF(OR(CB675=1,CB675=2,CB675=3),N(INDEX(Parameter!$I$5:$I$7,CB675)),0),0)</f>
        <v>0</v>
      </c>
      <c r="CL675" s="52" t="n">
        <f aca="false">IF(AND(Parameter!$B$21="Ja",ISNUMBER(W675),N(X675)&gt;0),IFERROR(N(INDEX(Parameter!$L$5:$L$7,W675))*INDEX(Parameter!$E$5:$E$7,W675)*X675/SUMIFS($X$7:$X$1843,$W$7:$W$1843,W675),0),0)</f>
        <v>0</v>
      </c>
    </row>
    <row r="676" customFormat="false" ht="15" hidden="false" customHeight="false" outlineLevel="0" collapsed="false">
      <c r="A676" s="48" t="s">
        <v>1360</v>
      </c>
      <c r="B676" s="48" t="s">
        <v>1361</v>
      </c>
      <c r="C676" s="48" t="s">
        <v>168</v>
      </c>
      <c r="D676" s="48" t="s">
        <v>999</v>
      </c>
      <c r="E676" s="48"/>
      <c r="F676" s="48" t="s">
        <v>222</v>
      </c>
      <c r="G676" s="49" t="n">
        <v>3157.44</v>
      </c>
      <c r="H676" s="50" t="n">
        <f aca="false">MAX(0,IF(AND(Parameter!$B$21="Ja",ISNUMBER(Y676)),Y676,IF(Parameter!$B$20="Jahresanfang 2025 + Export",BO676+BN676,BN676)))</f>
        <v>0</v>
      </c>
      <c r="I676" s="50" t="n">
        <f aca="false">H676*G676</f>
        <v>0</v>
      </c>
      <c r="J676" s="50" t="n">
        <f aca="false">BQ676*Parameter!$B$18</f>
        <v>4</v>
      </c>
      <c r="K676" s="51" t="n">
        <v>0</v>
      </c>
      <c r="L676" s="52" t="n">
        <v>0</v>
      </c>
      <c r="M676" s="50" t="n">
        <v>0</v>
      </c>
      <c r="N676" s="50" t="n">
        <v>1</v>
      </c>
      <c r="O676" s="53" t="n">
        <v>90</v>
      </c>
      <c r="P676" s="48" t="s">
        <v>172</v>
      </c>
      <c r="Q676" s="50"/>
      <c r="R676" s="53" t="n">
        <f aca="false">IF(BW676=1,0,IFERROR(VLOOKUP(BU676,'Gebinde-Kategorie'!$A$5:$N$45,13,0)+0,0))</f>
        <v>0</v>
      </c>
      <c r="S676" s="54"/>
      <c r="T676" s="55"/>
      <c r="U676" s="55"/>
      <c r="V676" s="55"/>
      <c r="W676" s="48"/>
      <c r="X676" s="50"/>
      <c r="Y676" s="50"/>
      <c r="Z676" s="48" t="str">
        <f aca="false">IF(A676="","",IF(AND(Parameter!$B$21="Ja",ISNUMBER(W676)),W676,IF(BZ676="2+3",IF(ISNUMBER(SEARCH("grosser Artikel",BR676)),2,IFERROR(VLOOKUP(BU676,Parameter!$F$35:$G$64,2,0),2)),IF(OR(BZ676="Nein",BZ676=""),"-",BZ676))))</f>
        <v>-</v>
      </c>
      <c r="AA676" s="55"/>
      <c r="AB676" s="56"/>
      <c r="AC676" s="50" t="n">
        <f aca="false">AT676</f>
        <v>2</v>
      </c>
      <c r="AD676" s="50" t="n">
        <f aca="false">MAX(AT676,H676)</f>
        <v>2</v>
      </c>
      <c r="AE676" s="57"/>
      <c r="AF676" s="50" t="n">
        <f aca="false">IF(LEFT(Cockpit!$C$5,1)="A",H676,IF(CE676=1,CF676,IF(LEFT(Cockpit!$C$5,1)="B",AK676,MAX(AK676,H676))))</f>
        <v>0</v>
      </c>
      <c r="AG676" s="50" t="n">
        <f aca="false">IF(BW676=1,0,ROUNDUP(AF676/BV676,0))</f>
        <v>0</v>
      </c>
      <c r="AH676" s="52" t="n">
        <f aca="false">IF(CL676&gt;0,CL676*MAX(1,AF676/X676),IF(BW676=1,IF(AF676&lt;=0,0,CA676*MAX(1,IF(H676&gt;0,AF676/H676,1))),IF(R676&gt;0,AG676/R676,0))/MAX(0.1,N(Parameter!$M$21)))</f>
        <v>0</v>
      </c>
      <c r="AI676" s="50" t="n">
        <f aca="false">AH676*BY676</f>
        <v>0</v>
      </c>
      <c r="AJ676" s="50" t="n">
        <f aca="false">AF676*G676</f>
        <v>0</v>
      </c>
      <c r="AK676" s="50" t="n">
        <f aca="false">ROUNDUP(MAX(J676/IF(CD676&gt;0,CD676,MAX(0.1,N(Cockpit!$C$6))),CG676)/BV676,0)*BV676</f>
        <v>2</v>
      </c>
      <c r="AL676" s="51" t="n">
        <f aca="false">IF(AI676&gt;0,J676/AI676,-1)</f>
        <v>-1</v>
      </c>
      <c r="AM676" s="51" t="str">
        <f aca="false">IF(AND(OR(CC676="L1",CC676="L23",CC676="LIFT"),AI676&gt;0),SUMIFS($AI$7:$AI$1843,$CC$7:$CC$1843,CC676,$AL$7:$AL$1843,"&gt;"&amp;AL676)+SUMIFS($AI$7:$AI$1843,$CC$7:$CC$1843,CC676,$AL$7:$AL$1843,AL676,$BT$7:$BT$1843,"&lt;="&amp;BT676),"")</f>
        <v/>
      </c>
      <c r="AN676" s="58" t="n">
        <f aca="false">IF(AM676="",0,MAX(0,MIN(1,(IF(CC676="L1",Parameter!$H$5,IF(CC676="L23",Parameter!$H$6+Parameter!$H$7,Parameter!$H$5+Parameter!$H$6+Parameter!$H$7))-(AM676-AI676))/AI676)))</f>
        <v>0</v>
      </c>
      <c r="AO676" s="50" t="n">
        <f aca="false">IF(LEFT(Cockpit!$I$5,1)="A",H676,IF(CE676=1,CF676,IF(LEFT(Cockpit!$I$5,1)="B",AT676,MAX(AT676,H676))))</f>
        <v>2</v>
      </c>
      <c r="AP676" s="50" t="n">
        <f aca="false">IF(BW676=1,0,ROUNDUP(AO676/BV676,0))</f>
        <v>0</v>
      </c>
      <c r="AQ676" s="52" t="n">
        <f aca="false">IF(CL676&gt;0,CL676*MAX(1,AO676/X676),IF(BW676=1,IF(AO676&lt;=0,0,CA676*MAX(1,IF(H676&gt;0,AO676/H676,1))),IF(R676&gt;0,AP676/R676,0))/MAX(0.1,N(Parameter!$M$21)))</f>
        <v>0.15</v>
      </c>
      <c r="AR676" s="50" t="n">
        <f aca="false">AQ676*BY676</f>
        <v>35.25</v>
      </c>
      <c r="AS676" s="50" t="n">
        <f aca="false">AO676*G676</f>
        <v>6314.88</v>
      </c>
      <c r="AT676" s="50" t="n">
        <f aca="false">ROUNDUP(MAX(J676/IF(CD676&gt;0,CD676,MAX(0.1,N(Cockpit!$I$6))),CG676)/BV676,0)*BV676</f>
        <v>2</v>
      </c>
      <c r="AU676" s="51" t="n">
        <f aca="false">IF(AR676&gt;0,J676/AR676,-1)</f>
        <v>0.113475177304965</v>
      </c>
      <c r="AV676" s="51" t="str">
        <f aca="false">IF(AND(OR(CC676="L1",CC676="L23",CC676="LIFT"),AR676&gt;0),SUMIFS($AR$7:$AR$1843,$CC$7:$CC$1843,CC676,$AU$7:$AU$1843,"&gt;"&amp;AU676)+SUMIFS($AR$7:$AR$1843,$CC$7:$CC$1843,CC676,$AU$7:$AU$1843,AU676,$BT$7:$BT$1843,"&lt;="&amp;BT676),"")</f>
        <v/>
      </c>
      <c r="AW676" s="58" t="n">
        <f aca="false">IF(AV676="",0,MAX(0,MIN(1,(IF(CC676="L1",Parameter!$H$5,IF(CC676="L23",Parameter!$H$6+Parameter!$H$7,Parameter!$H$5+Parameter!$H$6+Parameter!$H$7))-(AV676-AR676))/AR676)))</f>
        <v>0</v>
      </c>
      <c r="AX676" s="50" t="n">
        <f aca="false">IF(LEFT(Cockpit!$O$5,1)="A",H676,IF(CE676=1,CF676,IF(LEFT(Cockpit!$O$5,1)="B",BC676,MAX(BC676,H676))))</f>
        <v>2</v>
      </c>
      <c r="AY676" s="50" t="n">
        <f aca="false">IF(BW676=1,0,ROUNDUP(AX676/BV676,0))</f>
        <v>0</v>
      </c>
      <c r="AZ676" s="52" t="n">
        <f aca="false">IF(CL676&gt;0,CL676*MAX(1,AX676/X676),IF(BW676=1,IF(AX676&lt;=0,0,CA676*MAX(1,IF(H676&gt;0,AX676/H676,1))),IF(R676&gt;0,AY676/R676,0))/MAX(0.1,N(Parameter!$M$21)))</f>
        <v>0.15</v>
      </c>
      <c r="BA676" s="50" t="n">
        <f aca="false">AZ676*BY676</f>
        <v>35.25</v>
      </c>
      <c r="BB676" s="50" t="n">
        <f aca="false">AX676*G676</f>
        <v>6314.88</v>
      </c>
      <c r="BC676" s="50" t="n">
        <f aca="false">ROUNDUP(MAX(J676/IF(CD676&gt;0,CD676,MAX(0.1,N(Cockpit!$O$6))),CG676)/BV676,0)*BV676</f>
        <v>2</v>
      </c>
      <c r="BD676" s="51" t="n">
        <f aca="false">IF(BA676&gt;0,J676/BA676,-1)</f>
        <v>0.113475177304965</v>
      </c>
      <c r="BE676" s="51" t="str">
        <f aca="false">IF(AND(OR(CC676="L1",CC676="L23",CC676="LIFT"),BA676&gt;0),SUMIFS($BA$7:$BA$1843,$CC$7:$CC$1843,CC676,$BD$7:$BD$1843,"&gt;"&amp;BD676)+SUMIFS($BA$7:$BA$1843,$CC$7:$CC$1843,CC676,$BD$7:$BD$1843,BD676,$BT$7:$BT$1843,"&lt;="&amp;BT676),"")</f>
        <v/>
      </c>
      <c r="BF676" s="58" t="n">
        <f aca="false">IF(BE676="",0,MAX(0,MIN(1,(IF(CC676="L1",Parameter!$H$5,IF(CC676="L23",Parameter!$H$6+Parameter!$H$7,Parameter!$H$5+Parameter!$H$6+Parameter!$H$7))-(BE676-BA676))/BA676)))</f>
        <v>0</v>
      </c>
      <c r="BG676" s="48" t="str">
        <f aca="false">IF(AI676&lt;=0,"",IF(CC676="Aussen","Aussenlager",IF(CC676="-","Nicht im Lift",IF(AN676&gt;=1,"Lift",IF(AN676&lt;=0,"Aussenlager","teilweise")))))</f>
        <v/>
      </c>
      <c r="BH676" s="48" t="str">
        <f aca="false">IF(AR676&lt;=0,"",IF(CC676="Aussen","Aussenlager",IF(CC676="-","Nicht im Lift",IF(AW676&gt;=1,"Lift",IF(AW676&lt;=0,"Aussenlager","teilweise")))))</f>
        <v>Nicht im Lift</v>
      </c>
      <c r="BI676" s="48" t="str">
        <f aca="false">IF(BA676&lt;=0,"",IF(CC676="Aussen","Aussenlager",IF(CC676="-","Nicht im Lift",IF(BF676&gt;=1,"Lift",IF(BF676&lt;=0,"Aussenlager","teilweise")))))</f>
        <v>Nicht im Lift</v>
      </c>
      <c r="BJ676" s="48" t="str">
        <f aca="false">IF(A676="","",IF(BS676=1,"Neu; ","")&amp;IF(AND(BS676=0,BN676&lt;0),"negativer Bestand (Export "&amp;BN676&amp;"); ","")&amp;IF(J676&lt;=0,"Kein Verbrauch; ","")&amp;IF(CL676&gt;0,"Lift "&amp;W676&amp;" lt. Liftbericht (Fach "&amp;X676&amp;" Stk); ",IF(BX676=1,"Gebinde geschätzt ("&amp;T676&amp;"); ",IF(BW676=1,"Lose – Tablare geschätzt; ","")))&amp;IF(H676&gt;AT676,"Überbestand "&amp;ROUND(H676-AT676,0)&amp;" Stk / CHF "&amp;ROUND((H676-AT676)*G676,0)&amp;"; ","")&amp;IF(AND(CE676=1,CF676&lt;CG676),"MAX &lt; MB+LG; ","")&amp;IF(AND(CK676&gt;0,CJ676*10&gt;CK676),"zu hoch für Tablar; ","")&amp;IF(AND(BS676=0,OR(CE676=1,AA676&lt;&gt;"",U676&lt;&gt;"",V676&lt;&gt;"",AB676&lt;&gt;"")),"manuell übersteuert; ","")&amp;IF(AND(BW676=0,R676=0),"Gebinde unbekannt / Stellmass fehlt; ","")&amp;IF(AND(BW676=0,N(V676)&lt;=0,N(Q676)&lt;=0),"Menge pro Gebinde fehlt (Ist = 1 Gebinde); ","")&amp;BR676)</f>
        <v>Lose – Tablare geschätzt; </v>
      </c>
      <c r="BK676" s="48"/>
      <c r="BL676" s="48"/>
      <c r="BM676" s="55"/>
      <c r="BN676" s="50" t="n">
        <v>0</v>
      </c>
      <c r="BO676" s="50" t="n">
        <v>0</v>
      </c>
      <c r="BP676" s="49" t="n">
        <v>0</v>
      </c>
      <c r="BQ676" s="50" t="n">
        <v>4</v>
      </c>
      <c r="BR676" s="48"/>
      <c r="BS676" s="53" t="n">
        <v>0</v>
      </c>
      <c r="BT676" s="53" t="n">
        <v>676</v>
      </c>
      <c r="BU676" s="48" t="str">
        <f aca="false">IF(U676&lt;&gt;"",UPPER(TRIM(U676)),IF(BX676=1,UPPER(VLOOKUP(T676,Parameter!$I$27:$K$29,2,0)),IF(P676="","LOSE",P676)))</f>
        <v>LOSE</v>
      </c>
      <c r="BV676" s="50" t="n">
        <f aca="false">IF(BU676="LOSE",1,IF(N(V676)&gt;0,V676,IF(BX676=1,MAX(1,N(VLOOKUP(T676,Parameter!$I$27:$K$29,3,0)),H676,N(N676)),IF(N(Q676)&gt;0,Q676,MAX(1,H676)))))</f>
        <v>1</v>
      </c>
      <c r="BW676" s="53" t="n">
        <f aca="false">IF(BU676="LOSE",1,0)</f>
        <v>1</v>
      </c>
      <c r="BX676" s="53" t="n">
        <f aca="false">IF(AND(U676="",OR(P676="",P676="LOSE"),T676&lt;&gt;"",N(S676)&lt;=0,ISNUMBER(MATCH(T676,Parameter!$I$27:$I$29,0))),1,0)</f>
        <v>0</v>
      </c>
      <c r="BY676" s="53" t="n">
        <f aca="false">IF(CL676&gt;0,INDEX(Parameter!$H$5:$H$7,W676)/INDEX(Parameter!$E$5:$E$7,W676),IF(AND(BW676=0,N(IFERROR(VLOOKUP(BU676,'Gebinde-Kategorie'!$A$5:$N$45,14,0),0))&gt;0),VLOOKUP(BU676,'Gebinde-Kategorie'!$A$5:$N$45,14,0)*10+Parameter!$M$23,Parameter!$M$24))</f>
        <v>235</v>
      </c>
      <c r="BZ676" s="48" t="str">
        <f aca="false">IF(AND(Parameter!$B$19="Ja",E676&lt;&gt;"",ISNUMBER(MATCH(E676,Parameter!$I$35:$I$52,0))),VLOOKUP(E676,Parameter!$I$35:$J$52,2,0),IFERROR(VLOOKUP(D676,Parameter!$A$35:$C$64,2,0),"Nein"))</f>
        <v>Nein</v>
      </c>
      <c r="CA676" s="52" t="n">
        <f aca="false">IF(BW676=0,0,IF(N(S676)&gt;0,S676,IFERROR(VLOOKUP(D676,Parameter!$A$35:$C$64,3,0)+0,0)))</f>
        <v>0.15</v>
      </c>
      <c r="CB676" s="48" t="str">
        <f aca="false">IF(AA676&lt;&gt;"",AA676,Z676)</f>
        <v>-</v>
      </c>
      <c r="CC676" s="48" t="str">
        <f aca="false">IF(OR(CB676=1,CB676=2,CB676=3),IF(Parameter!$E$27="Ja","LIFT",IF(CB676=1,"L1","L23")),IF(CB676="Aussen","Aussen","-"))</f>
        <v>-</v>
      </c>
      <c r="CD676" s="59" t="n">
        <f aca="false">IF(N(AB676)&gt;0,AB676,0)</f>
        <v>0</v>
      </c>
      <c r="CE676" s="53" t="n">
        <f aca="false">IF(ISNUMBER(AE676),1,0)</f>
        <v>0</v>
      </c>
      <c r="CF676" s="50" t="n">
        <f aca="false">N(AE676)</f>
        <v>0</v>
      </c>
      <c r="CG676" s="50" t="n">
        <f aca="false">N(M676)+N(N676)</f>
        <v>1</v>
      </c>
      <c r="CH676" s="50" t="n">
        <f aca="false">ROUNDUP(H676/BV676,0)</f>
        <v>0</v>
      </c>
      <c r="CI676" s="50" t="n">
        <f aca="false">ROUNDUP(CF676/BV676,0)</f>
        <v>0</v>
      </c>
      <c r="CJ676" s="53" t="n">
        <f aca="false">IF(BW676=1,0,IFERROR(VLOOKUP(BU676,'Gebinde-Kategorie'!$A$5:$N$45,5,0)+0,0))</f>
        <v>0</v>
      </c>
      <c r="CK676" s="53" t="n">
        <f aca="false">IFERROR(IF(OR(CB676=1,CB676=2,CB676=3),N(INDEX(Parameter!$I$5:$I$7,CB676)),0),0)</f>
        <v>0</v>
      </c>
      <c r="CL676" s="52" t="n">
        <f aca="false">IF(AND(Parameter!$B$21="Ja",ISNUMBER(W676),N(X676)&gt;0),IFERROR(N(INDEX(Parameter!$L$5:$L$7,W676))*INDEX(Parameter!$E$5:$E$7,W676)*X676/SUMIFS($X$7:$X$1843,$W$7:$W$1843,W676),0),0)</f>
        <v>0</v>
      </c>
    </row>
    <row r="677" customFormat="false" ht="15" hidden="false" customHeight="false" outlineLevel="0" collapsed="false">
      <c r="A677" s="48" t="s">
        <v>1362</v>
      </c>
      <c r="B677" s="48" t="s">
        <v>1363</v>
      </c>
      <c r="C677" s="48" t="s">
        <v>168</v>
      </c>
      <c r="D677" s="48" t="s">
        <v>999</v>
      </c>
      <c r="E677" s="48"/>
      <c r="F677" s="48" t="s">
        <v>222</v>
      </c>
      <c r="G677" s="49" t="n">
        <v>12854.39</v>
      </c>
      <c r="H677" s="50" t="n">
        <f aca="false">MAX(0,IF(AND(Parameter!$B$21="Ja",ISNUMBER(Y677)),Y677,IF(Parameter!$B$20="Jahresanfang 2025 + Export",BO677+BN677,BN677)))</f>
        <v>0</v>
      </c>
      <c r="I677" s="50" t="n">
        <f aca="false">H677*G677</f>
        <v>0</v>
      </c>
      <c r="J677" s="50" t="n">
        <f aca="false">BQ677*Parameter!$B$18</f>
        <v>4</v>
      </c>
      <c r="K677" s="51" t="n">
        <v>0</v>
      </c>
      <c r="L677" s="52" t="n">
        <v>0</v>
      </c>
      <c r="M677" s="50" t="n">
        <v>0</v>
      </c>
      <c r="N677" s="50" t="n">
        <v>1</v>
      </c>
      <c r="O677" s="53" t="n">
        <v>90</v>
      </c>
      <c r="P677" s="48" t="s">
        <v>172</v>
      </c>
      <c r="Q677" s="50"/>
      <c r="R677" s="53" t="n">
        <f aca="false">IF(BW677=1,0,IFERROR(VLOOKUP(BU677,'Gebinde-Kategorie'!$A$5:$N$45,13,0)+0,0))</f>
        <v>0</v>
      </c>
      <c r="S677" s="54"/>
      <c r="T677" s="55"/>
      <c r="U677" s="55"/>
      <c r="V677" s="55"/>
      <c r="W677" s="48"/>
      <c r="X677" s="50"/>
      <c r="Y677" s="50"/>
      <c r="Z677" s="48" t="str">
        <f aca="false">IF(A677="","",IF(AND(Parameter!$B$21="Ja",ISNUMBER(W677)),W677,IF(BZ677="2+3",IF(ISNUMBER(SEARCH("grosser Artikel",BR677)),2,IFERROR(VLOOKUP(BU677,Parameter!$F$35:$G$64,2,0),2)),IF(OR(BZ677="Nein",BZ677=""),"-",BZ677))))</f>
        <v>-</v>
      </c>
      <c r="AA677" s="55"/>
      <c r="AB677" s="56"/>
      <c r="AC677" s="50" t="n">
        <f aca="false">AT677</f>
        <v>2</v>
      </c>
      <c r="AD677" s="50" t="n">
        <f aca="false">MAX(AT677,H677)</f>
        <v>2</v>
      </c>
      <c r="AE677" s="57"/>
      <c r="AF677" s="50" t="n">
        <f aca="false">IF(LEFT(Cockpit!$C$5,1)="A",H677,IF(CE677=1,CF677,IF(LEFT(Cockpit!$C$5,1)="B",AK677,MAX(AK677,H677))))</f>
        <v>0</v>
      </c>
      <c r="AG677" s="50" t="n">
        <f aca="false">IF(BW677=1,0,ROUNDUP(AF677/BV677,0))</f>
        <v>0</v>
      </c>
      <c r="AH677" s="52" t="n">
        <f aca="false">IF(CL677&gt;0,CL677*MAX(1,AF677/X677),IF(BW677=1,IF(AF677&lt;=0,0,CA677*MAX(1,IF(H677&gt;0,AF677/H677,1))),IF(R677&gt;0,AG677/R677,0))/MAX(0.1,N(Parameter!$M$21)))</f>
        <v>0</v>
      </c>
      <c r="AI677" s="50" t="n">
        <f aca="false">AH677*BY677</f>
        <v>0</v>
      </c>
      <c r="AJ677" s="50" t="n">
        <f aca="false">AF677*G677</f>
        <v>0</v>
      </c>
      <c r="AK677" s="50" t="n">
        <f aca="false">ROUNDUP(MAX(J677/IF(CD677&gt;0,CD677,MAX(0.1,N(Cockpit!$C$6))),CG677)/BV677,0)*BV677</f>
        <v>2</v>
      </c>
      <c r="AL677" s="51" t="n">
        <f aca="false">IF(AI677&gt;0,J677/AI677,-1)</f>
        <v>-1</v>
      </c>
      <c r="AM677" s="51" t="str">
        <f aca="false">IF(AND(OR(CC677="L1",CC677="L23",CC677="LIFT"),AI677&gt;0),SUMIFS($AI$7:$AI$1843,$CC$7:$CC$1843,CC677,$AL$7:$AL$1843,"&gt;"&amp;AL677)+SUMIFS($AI$7:$AI$1843,$CC$7:$CC$1843,CC677,$AL$7:$AL$1843,AL677,$BT$7:$BT$1843,"&lt;="&amp;BT677),"")</f>
        <v/>
      </c>
      <c r="AN677" s="58" t="n">
        <f aca="false">IF(AM677="",0,MAX(0,MIN(1,(IF(CC677="L1",Parameter!$H$5,IF(CC677="L23",Parameter!$H$6+Parameter!$H$7,Parameter!$H$5+Parameter!$H$6+Parameter!$H$7))-(AM677-AI677))/AI677)))</f>
        <v>0</v>
      </c>
      <c r="AO677" s="50" t="n">
        <f aca="false">IF(LEFT(Cockpit!$I$5,1)="A",H677,IF(CE677=1,CF677,IF(LEFT(Cockpit!$I$5,1)="B",AT677,MAX(AT677,H677))))</f>
        <v>2</v>
      </c>
      <c r="AP677" s="50" t="n">
        <f aca="false">IF(BW677=1,0,ROUNDUP(AO677/BV677,0))</f>
        <v>0</v>
      </c>
      <c r="AQ677" s="52" t="n">
        <f aca="false">IF(CL677&gt;0,CL677*MAX(1,AO677/X677),IF(BW677=1,IF(AO677&lt;=0,0,CA677*MAX(1,IF(H677&gt;0,AO677/H677,1))),IF(R677&gt;0,AP677/R677,0))/MAX(0.1,N(Parameter!$M$21)))</f>
        <v>0.15</v>
      </c>
      <c r="AR677" s="50" t="n">
        <f aca="false">AQ677*BY677</f>
        <v>35.25</v>
      </c>
      <c r="AS677" s="50" t="n">
        <f aca="false">AO677*G677</f>
        <v>25708.78</v>
      </c>
      <c r="AT677" s="50" t="n">
        <f aca="false">ROUNDUP(MAX(J677/IF(CD677&gt;0,CD677,MAX(0.1,N(Cockpit!$I$6))),CG677)/BV677,0)*BV677</f>
        <v>2</v>
      </c>
      <c r="AU677" s="51" t="n">
        <f aca="false">IF(AR677&gt;0,J677/AR677,-1)</f>
        <v>0.113475177304965</v>
      </c>
      <c r="AV677" s="51" t="str">
        <f aca="false">IF(AND(OR(CC677="L1",CC677="L23",CC677="LIFT"),AR677&gt;0),SUMIFS($AR$7:$AR$1843,$CC$7:$CC$1843,CC677,$AU$7:$AU$1843,"&gt;"&amp;AU677)+SUMIFS($AR$7:$AR$1843,$CC$7:$CC$1843,CC677,$AU$7:$AU$1843,AU677,$BT$7:$BT$1843,"&lt;="&amp;BT677),"")</f>
        <v/>
      </c>
      <c r="AW677" s="58" t="n">
        <f aca="false">IF(AV677="",0,MAX(0,MIN(1,(IF(CC677="L1",Parameter!$H$5,IF(CC677="L23",Parameter!$H$6+Parameter!$H$7,Parameter!$H$5+Parameter!$H$6+Parameter!$H$7))-(AV677-AR677))/AR677)))</f>
        <v>0</v>
      </c>
      <c r="AX677" s="50" t="n">
        <f aca="false">IF(LEFT(Cockpit!$O$5,1)="A",H677,IF(CE677=1,CF677,IF(LEFT(Cockpit!$O$5,1)="B",BC677,MAX(BC677,H677))))</f>
        <v>2</v>
      </c>
      <c r="AY677" s="50" t="n">
        <f aca="false">IF(BW677=1,0,ROUNDUP(AX677/BV677,0))</f>
        <v>0</v>
      </c>
      <c r="AZ677" s="52" t="n">
        <f aca="false">IF(CL677&gt;0,CL677*MAX(1,AX677/X677),IF(BW677=1,IF(AX677&lt;=0,0,CA677*MAX(1,IF(H677&gt;0,AX677/H677,1))),IF(R677&gt;0,AY677/R677,0))/MAX(0.1,N(Parameter!$M$21)))</f>
        <v>0.15</v>
      </c>
      <c r="BA677" s="50" t="n">
        <f aca="false">AZ677*BY677</f>
        <v>35.25</v>
      </c>
      <c r="BB677" s="50" t="n">
        <f aca="false">AX677*G677</f>
        <v>25708.78</v>
      </c>
      <c r="BC677" s="50" t="n">
        <f aca="false">ROUNDUP(MAX(J677/IF(CD677&gt;0,CD677,MAX(0.1,N(Cockpit!$O$6))),CG677)/BV677,0)*BV677</f>
        <v>2</v>
      </c>
      <c r="BD677" s="51" t="n">
        <f aca="false">IF(BA677&gt;0,J677/BA677,-1)</f>
        <v>0.113475177304965</v>
      </c>
      <c r="BE677" s="51" t="str">
        <f aca="false">IF(AND(OR(CC677="L1",CC677="L23",CC677="LIFT"),BA677&gt;0),SUMIFS($BA$7:$BA$1843,$CC$7:$CC$1843,CC677,$BD$7:$BD$1843,"&gt;"&amp;BD677)+SUMIFS($BA$7:$BA$1843,$CC$7:$CC$1843,CC677,$BD$7:$BD$1843,BD677,$BT$7:$BT$1843,"&lt;="&amp;BT677),"")</f>
        <v/>
      </c>
      <c r="BF677" s="58" t="n">
        <f aca="false">IF(BE677="",0,MAX(0,MIN(1,(IF(CC677="L1",Parameter!$H$5,IF(CC677="L23",Parameter!$H$6+Parameter!$H$7,Parameter!$H$5+Parameter!$H$6+Parameter!$H$7))-(BE677-BA677))/BA677)))</f>
        <v>0</v>
      </c>
      <c r="BG677" s="48" t="str">
        <f aca="false">IF(AI677&lt;=0,"",IF(CC677="Aussen","Aussenlager",IF(CC677="-","Nicht im Lift",IF(AN677&gt;=1,"Lift",IF(AN677&lt;=0,"Aussenlager","teilweise")))))</f>
        <v/>
      </c>
      <c r="BH677" s="48" t="str">
        <f aca="false">IF(AR677&lt;=0,"",IF(CC677="Aussen","Aussenlager",IF(CC677="-","Nicht im Lift",IF(AW677&gt;=1,"Lift",IF(AW677&lt;=0,"Aussenlager","teilweise")))))</f>
        <v>Nicht im Lift</v>
      </c>
      <c r="BI677" s="48" t="str">
        <f aca="false">IF(BA677&lt;=0,"",IF(CC677="Aussen","Aussenlager",IF(CC677="-","Nicht im Lift",IF(BF677&gt;=1,"Lift",IF(BF677&lt;=0,"Aussenlager","teilweise")))))</f>
        <v>Nicht im Lift</v>
      </c>
      <c r="BJ677" s="48" t="str">
        <f aca="false">IF(A677="","",IF(BS677=1,"Neu; ","")&amp;IF(AND(BS677=0,BN677&lt;0),"negativer Bestand (Export "&amp;BN677&amp;"); ","")&amp;IF(J677&lt;=0,"Kein Verbrauch; ","")&amp;IF(CL677&gt;0,"Lift "&amp;W677&amp;" lt. Liftbericht (Fach "&amp;X677&amp;" Stk); ",IF(BX677=1,"Gebinde geschätzt ("&amp;T677&amp;"); ",IF(BW677=1,"Lose – Tablare geschätzt; ","")))&amp;IF(H677&gt;AT677,"Überbestand "&amp;ROUND(H677-AT677,0)&amp;" Stk / CHF "&amp;ROUND((H677-AT677)*G677,0)&amp;"; ","")&amp;IF(AND(CE677=1,CF677&lt;CG677),"MAX &lt; MB+LG; ","")&amp;IF(AND(CK677&gt;0,CJ677*10&gt;CK677),"zu hoch für Tablar; ","")&amp;IF(AND(BS677=0,OR(CE677=1,AA677&lt;&gt;"",U677&lt;&gt;"",V677&lt;&gt;"",AB677&lt;&gt;"")),"manuell übersteuert; ","")&amp;IF(AND(BW677=0,R677=0),"Gebinde unbekannt / Stellmass fehlt; ","")&amp;IF(AND(BW677=0,N(V677)&lt;=0,N(Q677)&lt;=0),"Menge pro Gebinde fehlt (Ist = 1 Gebinde); ","")&amp;BR677)</f>
        <v>Lose – Tablare geschätzt; </v>
      </c>
      <c r="BK677" s="48"/>
      <c r="BL677" s="48"/>
      <c r="BM677" s="55"/>
      <c r="BN677" s="50" t="n">
        <v>0</v>
      </c>
      <c r="BO677" s="50" t="n">
        <v>0</v>
      </c>
      <c r="BP677" s="49" t="n">
        <v>0</v>
      </c>
      <c r="BQ677" s="50" t="n">
        <v>4</v>
      </c>
      <c r="BR677" s="48"/>
      <c r="BS677" s="53" t="n">
        <v>0</v>
      </c>
      <c r="BT677" s="53" t="n">
        <v>677</v>
      </c>
      <c r="BU677" s="48" t="str">
        <f aca="false">IF(U677&lt;&gt;"",UPPER(TRIM(U677)),IF(BX677=1,UPPER(VLOOKUP(T677,Parameter!$I$27:$K$29,2,0)),IF(P677="","LOSE",P677)))</f>
        <v>LOSE</v>
      </c>
      <c r="BV677" s="50" t="n">
        <f aca="false">IF(BU677="LOSE",1,IF(N(V677)&gt;0,V677,IF(BX677=1,MAX(1,N(VLOOKUP(T677,Parameter!$I$27:$K$29,3,0)),H677,N(N677)),IF(N(Q677)&gt;0,Q677,MAX(1,H677)))))</f>
        <v>1</v>
      </c>
      <c r="BW677" s="53" t="n">
        <f aca="false">IF(BU677="LOSE",1,0)</f>
        <v>1</v>
      </c>
      <c r="BX677" s="53" t="n">
        <f aca="false">IF(AND(U677="",OR(P677="",P677="LOSE"),T677&lt;&gt;"",N(S677)&lt;=0,ISNUMBER(MATCH(T677,Parameter!$I$27:$I$29,0))),1,0)</f>
        <v>0</v>
      </c>
      <c r="BY677" s="53" t="n">
        <f aca="false">IF(CL677&gt;0,INDEX(Parameter!$H$5:$H$7,W677)/INDEX(Parameter!$E$5:$E$7,W677),IF(AND(BW677=0,N(IFERROR(VLOOKUP(BU677,'Gebinde-Kategorie'!$A$5:$N$45,14,0),0))&gt;0),VLOOKUP(BU677,'Gebinde-Kategorie'!$A$5:$N$45,14,0)*10+Parameter!$M$23,Parameter!$M$24))</f>
        <v>235</v>
      </c>
      <c r="BZ677" s="48" t="str">
        <f aca="false">IF(AND(Parameter!$B$19="Ja",E677&lt;&gt;"",ISNUMBER(MATCH(E677,Parameter!$I$35:$I$52,0))),VLOOKUP(E677,Parameter!$I$35:$J$52,2,0),IFERROR(VLOOKUP(D677,Parameter!$A$35:$C$64,2,0),"Nein"))</f>
        <v>Nein</v>
      </c>
      <c r="CA677" s="52" t="n">
        <f aca="false">IF(BW677=0,0,IF(N(S677)&gt;0,S677,IFERROR(VLOOKUP(D677,Parameter!$A$35:$C$64,3,0)+0,0)))</f>
        <v>0.15</v>
      </c>
      <c r="CB677" s="48" t="str">
        <f aca="false">IF(AA677&lt;&gt;"",AA677,Z677)</f>
        <v>-</v>
      </c>
      <c r="CC677" s="48" t="str">
        <f aca="false">IF(OR(CB677=1,CB677=2,CB677=3),IF(Parameter!$E$27="Ja","LIFT",IF(CB677=1,"L1","L23")),IF(CB677="Aussen","Aussen","-"))</f>
        <v>-</v>
      </c>
      <c r="CD677" s="59" t="n">
        <f aca="false">IF(N(AB677)&gt;0,AB677,0)</f>
        <v>0</v>
      </c>
      <c r="CE677" s="53" t="n">
        <f aca="false">IF(ISNUMBER(AE677),1,0)</f>
        <v>0</v>
      </c>
      <c r="CF677" s="50" t="n">
        <f aca="false">N(AE677)</f>
        <v>0</v>
      </c>
      <c r="CG677" s="50" t="n">
        <f aca="false">N(M677)+N(N677)</f>
        <v>1</v>
      </c>
      <c r="CH677" s="50" t="n">
        <f aca="false">ROUNDUP(H677/BV677,0)</f>
        <v>0</v>
      </c>
      <c r="CI677" s="50" t="n">
        <f aca="false">ROUNDUP(CF677/BV677,0)</f>
        <v>0</v>
      </c>
      <c r="CJ677" s="53" t="n">
        <f aca="false">IF(BW677=1,0,IFERROR(VLOOKUP(BU677,'Gebinde-Kategorie'!$A$5:$N$45,5,0)+0,0))</f>
        <v>0</v>
      </c>
      <c r="CK677" s="53" t="n">
        <f aca="false">IFERROR(IF(OR(CB677=1,CB677=2,CB677=3),N(INDEX(Parameter!$I$5:$I$7,CB677)),0),0)</f>
        <v>0</v>
      </c>
      <c r="CL677" s="52" t="n">
        <f aca="false">IF(AND(Parameter!$B$21="Ja",ISNUMBER(W677),N(X677)&gt;0),IFERROR(N(INDEX(Parameter!$L$5:$L$7,W677))*INDEX(Parameter!$E$5:$E$7,W677)*X677/SUMIFS($X$7:$X$1843,$W$7:$W$1843,W677),0),0)</f>
        <v>0</v>
      </c>
    </row>
    <row r="678" customFormat="false" ht="15" hidden="false" customHeight="false" outlineLevel="0" collapsed="false">
      <c r="A678" s="48" t="s">
        <v>1364</v>
      </c>
      <c r="B678" s="48" t="s">
        <v>200</v>
      </c>
      <c r="C678" s="48" t="s">
        <v>168</v>
      </c>
      <c r="D678" s="48" t="s">
        <v>177</v>
      </c>
      <c r="E678" s="48"/>
      <c r="F678" s="48" t="s">
        <v>222</v>
      </c>
      <c r="G678" s="49" t="n">
        <v>5018.88</v>
      </c>
      <c r="H678" s="50" t="n">
        <f aca="false">MAX(0,IF(AND(Parameter!$B$21="Ja",ISNUMBER(Y678)),Y678,IF(Parameter!$B$20="Jahresanfang 2025 + Export",BO678+BN678,BN678)))</f>
        <v>0</v>
      </c>
      <c r="I678" s="50" t="n">
        <f aca="false">H678*G678</f>
        <v>0</v>
      </c>
      <c r="J678" s="50" t="n">
        <f aca="false">BQ678*Parameter!$B$18</f>
        <v>1</v>
      </c>
      <c r="K678" s="51" t="n">
        <v>0</v>
      </c>
      <c r="L678" s="52" t="n">
        <v>0</v>
      </c>
      <c r="M678" s="50" t="n">
        <v>0</v>
      </c>
      <c r="N678" s="50" t="n">
        <v>1</v>
      </c>
      <c r="O678" s="53" t="n">
        <v>115</v>
      </c>
      <c r="P678" s="48" t="s">
        <v>172</v>
      </c>
      <c r="Q678" s="50"/>
      <c r="R678" s="53" t="n">
        <f aca="false">IF(BW678=1,0,IFERROR(VLOOKUP(BU678,'Gebinde-Kategorie'!$A$5:$N$45,13,0)+0,0))</f>
        <v>12</v>
      </c>
      <c r="S678" s="54"/>
      <c r="T678" s="55" t="s">
        <v>183</v>
      </c>
      <c r="U678" s="55"/>
      <c r="V678" s="55"/>
      <c r="W678" s="48"/>
      <c r="X678" s="50"/>
      <c r="Y678" s="50"/>
      <c r="Z678" s="48" t="n">
        <f aca="false">IF(A678="","",IF(AND(Parameter!$B$21="Ja",ISNUMBER(W678)),W678,IF(BZ678="2+3",IF(ISNUMBER(SEARCH("grosser Artikel",BR678)),2,IFERROR(VLOOKUP(BU678,Parameter!$F$35:$G$64,2,0),2)),IF(OR(BZ678="Nein",BZ678=""),"-",BZ678))))</f>
        <v>2</v>
      </c>
      <c r="AA678" s="55"/>
      <c r="AB678" s="56"/>
      <c r="AC678" s="50" t="n">
        <f aca="false">AT678</f>
        <v>4</v>
      </c>
      <c r="AD678" s="50" t="n">
        <f aca="false">MAX(AT678,H678)</f>
        <v>4</v>
      </c>
      <c r="AE678" s="57"/>
      <c r="AF678" s="50" t="n">
        <f aca="false">IF(LEFT(Cockpit!$C$5,1)="A",H678,IF(CE678=1,CF678,IF(LEFT(Cockpit!$C$5,1)="B",AK678,MAX(AK678,H678))))</f>
        <v>0</v>
      </c>
      <c r="AG678" s="50" t="n">
        <f aca="false">IF(BW678=1,0,ROUNDUP(AF678/BV678,0))</f>
        <v>0</v>
      </c>
      <c r="AH678" s="52" t="n">
        <f aca="false">IF(CL678&gt;0,CL678*MAX(1,AF678/X678),IF(BW678=1,IF(AF678&lt;=0,0,CA678*MAX(1,IF(H678&gt;0,AF678/H678,1))),IF(R678&gt;0,AG678/R678,0))/MAX(0.1,N(Parameter!$M$21)))</f>
        <v>0</v>
      </c>
      <c r="AI678" s="50" t="n">
        <f aca="false">AH678*BY678</f>
        <v>0</v>
      </c>
      <c r="AJ678" s="50" t="n">
        <f aca="false">AF678*G678</f>
        <v>0</v>
      </c>
      <c r="AK678" s="50" t="n">
        <f aca="false">ROUNDUP(MAX(J678/IF(CD678&gt;0,CD678,MAX(0.1,N(Cockpit!$C$6))),CG678)/BV678,0)*BV678</f>
        <v>4</v>
      </c>
      <c r="AL678" s="51" t="n">
        <f aca="false">IF(AI678&gt;0,J678/AI678,-1)</f>
        <v>-1</v>
      </c>
      <c r="AM678" s="51" t="str">
        <f aca="false">IF(AND(OR(CC678="L1",CC678="L23",CC678="LIFT"),AI678&gt;0),SUMIFS($AI$7:$AI$1843,$CC$7:$CC$1843,CC678,$AL$7:$AL$1843,"&gt;"&amp;AL678)+SUMIFS($AI$7:$AI$1843,$CC$7:$CC$1843,CC678,$AL$7:$AL$1843,AL678,$BT$7:$BT$1843,"&lt;="&amp;BT678),"")</f>
        <v/>
      </c>
      <c r="AN678" s="58" t="n">
        <f aca="false">IF(AM678="",0,MAX(0,MIN(1,(IF(CC678="L1",Parameter!$H$5,IF(CC678="L23",Parameter!$H$6+Parameter!$H$7,Parameter!$H$5+Parameter!$H$6+Parameter!$H$7))-(AM678-AI678))/AI678)))</f>
        <v>0</v>
      </c>
      <c r="AO678" s="50" t="n">
        <f aca="false">IF(LEFT(Cockpit!$I$5,1)="A",H678,IF(CE678=1,CF678,IF(LEFT(Cockpit!$I$5,1)="B",AT678,MAX(AT678,H678))))</f>
        <v>4</v>
      </c>
      <c r="AP678" s="50" t="n">
        <f aca="false">IF(BW678=1,0,ROUNDUP(AO678/BV678,0))</f>
        <v>1</v>
      </c>
      <c r="AQ678" s="52" t="n">
        <f aca="false">IF(CL678&gt;0,CL678*MAX(1,AO678/X678),IF(BW678=1,IF(AO678&lt;=0,0,CA678*MAX(1,IF(H678&gt;0,AO678/H678,1))),IF(R678&gt;0,AP678/R678,0))/MAX(0.1,N(Parameter!$M$21)))</f>
        <v>0.0833333333333333</v>
      </c>
      <c r="AR678" s="50" t="n">
        <f aca="false">AQ678*BY678</f>
        <v>12.0833333333333</v>
      </c>
      <c r="AS678" s="50" t="n">
        <f aca="false">AO678*G678</f>
        <v>20075.52</v>
      </c>
      <c r="AT678" s="50" t="n">
        <f aca="false">ROUNDUP(MAX(J678/IF(CD678&gt;0,CD678,MAX(0.1,N(Cockpit!$I$6))),CG678)/BV678,0)*BV678</f>
        <v>4</v>
      </c>
      <c r="AU678" s="51" t="n">
        <f aca="false">IF(AR678&gt;0,J678/AR678,-1)</f>
        <v>0.0827586206896552</v>
      </c>
      <c r="AV678" s="51" t="n">
        <f aca="false">IF(AND(OR(CC678="L1",CC678="L23",CC678="LIFT"),AR678&gt;0),SUMIFS($AR$7:$AR$1843,$CC$7:$CC$1843,CC678,$AU$7:$AU$1843,"&gt;"&amp;AU678)+SUMIFS($AR$7:$AR$1843,$CC$7:$CC$1843,CC678,$AU$7:$AU$1843,AU678,$BT$7:$BT$1843,"&lt;="&amp;BT678),"")</f>
        <v>25209.7544416506</v>
      </c>
      <c r="AW678" s="58" t="n">
        <f aca="false">IF(AV678="",0,MAX(0,MIN(1,(IF(CC678="L1",Parameter!$H$5,IF(CC678="L23",Parameter!$H$6+Parameter!$H$7,Parameter!$H$5+Parameter!$H$6+Parameter!$H$7))-(AV678-AR678))/AR678)))</f>
        <v>1</v>
      </c>
      <c r="AX678" s="50" t="n">
        <f aca="false">IF(LEFT(Cockpit!$O$5,1)="A",H678,IF(CE678=1,CF678,IF(LEFT(Cockpit!$O$5,1)="B",BC678,MAX(BC678,H678))))</f>
        <v>4</v>
      </c>
      <c r="AY678" s="50" t="n">
        <f aca="false">IF(BW678=1,0,ROUNDUP(AX678/BV678,0))</f>
        <v>1</v>
      </c>
      <c r="AZ678" s="52" t="n">
        <f aca="false">IF(CL678&gt;0,CL678*MAX(1,AX678/X678),IF(BW678=1,IF(AX678&lt;=0,0,CA678*MAX(1,IF(H678&gt;0,AX678/H678,1))),IF(R678&gt;0,AY678/R678,0))/MAX(0.1,N(Parameter!$M$21)))</f>
        <v>0.0833333333333333</v>
      </c>
      <c r="BA678" s="50" t="n">
        <f aca="false">AZ678*BY678</f>
        <v>12.0833333333333</v>
      </c>
      <c r="BB678" s="50" t="n">
        <f aca="false">AX678*G678</f>
        <v>20075.52</v>
      </c>
      <c r="BC678" s="50" t="n">
        <f aca="false">ROUNDUP(MAX(J678/IF(CD678&gt;0,CD678,MAX(0.1,N(Cockpit!$O$6))),CG678)/BV678,0)*BV678</f>
        <v>4</v>
      </c>
      <c r="BD678" s="51" t="n">
        <f aca="false">IF(BA678&gt;0,J678/BA678,-1)</f>
        <v>0.0827586206896552</v>
      </c>
      <c r="BE678" s="51" t="n">
        <f aca="false">IF(AND(OR(CC678="L1",CC678="L23",CC678="LIFT"),BA678&gt;0),SUMIFS($BA$7:$BA$1843,$CC$7:$CC$1843,CC678,$BD$7:$BD$1843,"&gt;"&amp;BD678)+SUMIFS($BA$7:$BA$1843,$CC$7:$CC$1843,CC678,$BD$7:$BD$1843,BD678,$BT$7:$BT$1843,"&lt;="&amp;BT678),"")</f>
        <v>23412.2664835165</v>
      </c>
      <c r="BF678" s="58" t="n">
        <f aca="false">IF(BE678="",0,MAX(0,MIN(1,(IF(CC678="L1",Parameter!$H$5,IF(CC678="L23",Parameter!$H$6+Parameter!$H$7,Parameter!$H$5+Parameter!$H$6+Parameter!$H$7))-(BE678-BA678))/BA678)))</f>
        <v>1</v>
      </c>
      <c r="BG678" s="48" t="str">
        <f aca="false">IF(AI678&lt;=0,"",IF(CC678="Aussen","Aussenlager",IF(CC678="-","Nicht im Lift",IF(AN678&gt;=1,"Lift",IF(AN678&lt;=0,"Aussenlager","teilweise")))))</f>
        <v/>
      </c>
      <c r="BH678" s="48" t="str">
        <f aca="false">IF(AR678&lt;=0,"",IF(CC678="Aussen","Aussenlager",IF(CC678="-","Nicht im Lift",IF(AW678&gt;=1,"Lift",IF(AW678&lt;=0,"Aussenlager","teilweise")))))</f>
        <v>Lift</v>
      </c>
      <c r="BI678" s="48" t="str">
        <f aca="false">IF(BA678&lt;=0,"",IF(CC678="Aussen","Aussenlager",IF(CC678="-","Nicht im Lift",IF(BF678&gt;=1,"Lift",IF(BF678&lt;=0,"Aussenlager","teilweise")))))</f>
        <v>Lift</v>
      </c>
      <c r="BJ678" s="48" t="str">
        <f aca="false">IF(A678="","",IF(BS678=1,"Neu; ","")&amp;IF(AND(BS678=0,BN678&lt;0),"negativer Bestand (Export "&amp;BN678&amp;"); ","")&amp;IF(J678&lt;=0,"Kein Verbrauch; ","")&amp;IF(CL678&gt;0,"Lift "&amp;W678&amp;" lt. Liftbericht (Fach "&amp;X678&amp;" Stk); ",IF(BX678=1,"Gebinde geschätzt ("&amp;T678&amp;"); ",IF(BW678=1,"Lose – Tablare geschätzt; ","")))&amp;IF(H678&gt;AT678,"Überbestand "&amp;ROUND(H678-AT678,0)&amp;" Stk / CHF "&amp;ROUND((H678-AT678)*G678,0)&amp;"; ","")&amp;IF(AND(CE678=1,CF678&lt;CG678),"MAX &lt; MB+LG; ","")&amp;IF(AND(CK678&gt;0,CJ678*10&gt;CK678),"zu hoch für Tablar; ","")&amp;IF(AND(BS678=0,OR(CE678=1,AA678&lt;&gt;"",U678&lt;&gt;"",V678&lt;&gt;"",AB678&lt;&gt;"")),"manuell übersteuert; ","")&amp;IF(AND(BW678=0,R678=0),"Gebinde unbekannt / Stellmass fehlt; ","")&amp;IF(AND(BW678=0,N(V678)&lt;=0,N(Q678)&lt;=0),"Menge pro Gebinde fehlt (Ist = 1 Gebinde); ","")&amp;BR678)</f>
        <v>Gebinde geschätzt (Mittel); Menge pro Gebinde fehlt (Ist = 1 Gebinde); </v>
      </c>
      <c r="BK678" s="48"/>
      <c r="BL678" s="48"/>
      <c r="BM678" s="55"/>
      <c r="BN678" s="50" t="n">
        <v>0</v>
      </c>
      <c r="BO678" s="50" t="n">
        <v>0</v>
      </c>
      <c r="BP678" s="49" t="n">
        <v>0</v>
      </c>
      <c r="BQ678" s="50" t="n">
        <v>1</v>
      </c>
      <c r="BR678" s="48"/>
      <c r="BS678" s="53" t="n">
        <v>0</v>
      </c>
      <c r="BT678" s="53" t="n">
        <v>678</v>
      </c>
      <c r="BU678" s="48" t="str">
        <f aca="false">IF(U678&lt;&gt;"",UPPER(TRIM(U678)),IF(BX678=1,UPPER(VLOOKUP(T678,Parameter!$I$27:$K$29,2,0)),IF(P678="","LOSE",P678)))</f>
        <v>S61</v>
      </c>
      <c r="BV678" s="50" t="n">
        <f aca="false">IF(BU678="LOSE",1,IF(N(V678)&gt;0,V678,IF(BX678=1,MAX(1,N(VLOOKUP(T678,Parameter!$I$27:$K$29,3,0)),H678,N(N678)),IF(N(Q678)&gt;0,Q678,MAX(1,H678)))))</f>
        <v>4</v>
      </c>
      <c r="BW678" s="53" t="n">
        <f aca="false">IF(BU678="LOSE",1,0)</f>
        <v>0</v>
      </c>
      <c r="BX678" s="53" t="n">
        <f aca="false">IF(AND(U678="",OR(P678="",P678="LOSE"),T678&lt;&gt;"",N(S678)&lt;=0,ISNUMBER(MATCH(T678,Parameter!$I$27:$I$29,0))),1,0)</f>
        <v>1</v>
      </c>
      <c r="BY678" s="53" t="n">
        <f aca="false">IF(CL678&gt;0,INDEX(Parameter!$H$5:$H$7,W678)/INDEX(Parameter!$E$5:$E$7,W678),IF(AND(BW678=0,N(IFERROR(VLOOKUP(BU678,'Gebinde-Kategorie'!$A$5:$N$45,14,0),0))&gt;0),VLOOKUP(BU678,'Gebinde-Kategorie'!$A$5:$N$45,14,0)*10+Parameter!$M$23,Parameter!$M$24))</f>
        <v>145</v>
      </c>
      <c r="BZ678" s="48" t="str">
        <f aca="false">IF(AND(Parameter!$B$19="Ja",E678&lt;&gt;"",ISNUMBER(MATCH(E678,Parameter!$I$35:$I$52,0))),VLOOKUP(E678,Parameter!$I$35:$J$52,2,0),IFERROR(VLOOKUP(D678,Parameter!$A$35:$C$64,2,0),"Nein"))</f>
        <v>2+3</v>
      </c>
      <c r="CA678" s="52" t="n">
        <f aca="false">IF(BW678=0,0,IF(N(S678)&gt;0,S678,IFERROR(VLOOKUP(D678,Parameter!$A$35:$C$64,3,0)+0,0)))</f>
        <v>0</v>
      </c>
      <c r="CB678" s="48" t="n">
        <f aca="false">IF(AA678&lt;&gt;"",AA678,Z678)</f>
        <v>2</v>
      </c>
      <c r="CC678" s="48" t="str">
        <f aca="false">IF(OR(CB678=1,CB678=2,CB678=3),IF(Parameter!$E$27="Ja","LIFT",IF(CB678=1,"L1","L23")),IF(CB678="Aussen","Aussen","-"))</f>
        <v>LIFT</v>
      </c>
      <c r="CD678" s="59" t="n">
        <f aca="false">IF(N(AB678)&gt;0,AB678,0)</f>
        <v>0</v>
      </c>
      <c r="CE678" s="53" t="n">
        <f aca="false">IF(ISNUMBER(AE678),1,0)</f>
        <v>0</v>
      </c>
      <c r="CF678" s="50" t="n">
        <f aca="false">N(AE678)</f>
        <v>0</v>
      </c>
      <c r="CG678" s="50" t="n">
        <f aca="false">N(M678)+N(N678)</f>
        <v>1</v>
      </c>
      <c r="CH678" s="50" t="n">
        <f aca="false">ROUNDUP(H678/BV678,0)</f>
        <v>0</v>
      </c>
      <c r="CI678" s="50" t="n">
        <f aca="false">ROUNDUP(CF678/BV678,0)</f>
        <v>0</v>
      </c>
      <c r="CJ678" s="53" t="n">
        <f aca="false">IF(BW678=1,0,IFERROR(VLOOKUP(BU678,'Gebinde-Kategorie'!$A$5:$N$45,5,0)+0,0))</f>
        <v>11</v>
      </c>
      <c r="CK678" s="53" t="n">
        <f aca="false">IFERROR(IF(OR(CB678=1,CB678=2,CB678=3),N(INDEX(Parameter!$I$5:$I$7,CB678)),0),0)</f>
        <v>0</v>
      </c>
      <c r="CL678" s="52" t="n">
        <f aca="false">IF(AND(Parameter!$B$21="Ja",ISNUMBER(W678),N(X678)&gt;0),IFERROR(N(INDEX(Parameter!$L$5:$L$7,W678))*INDEX(Parameter!$E$5:$E$7,W678)*X678/SUMIFS($X$7:$X$1843,$W$7:$W$1843,W678),0),0)</f>
        <v>0</v>
      </c>
    </row>
    <row r="679" customFormat="false" ht="15" hidden="false" customHeight="false" outlineLevel="0" collapsed="false">
      <c r="A679" s="48" t="s">
        <v>1365</v>
      </c>
      <c r="B679" s="48" t="s">
        <v>1366</v>
      </c>
      <c r="C679" s="48" t="s">
        <v>168</v>
      </c>
      <c r="D679" s="48" t="s">
        <v>999</v>
      </c>
      <c r="E679" s="48"/>
      <c r="F679" s="48" t="s">
        <v>222</v>
      </c>
      <c r="G679" s="49" t="n">
        <v>3620.46</v>
      </c>
      <c r="H679" s="50" t="n">
        <f aca="false">MAX(0,IF(AND(Parameter!$B$21="Ja",ISNUMBER(Y679)),Y679,IF(Parameter!$B$20="Jahresanfang 2025 + Export",BO679+BN679,BN679)))</f>
        <v>0</v>
      </c>
      <c r="I679" s="50" t="n">
        <f aca="false">H679*G679</f>
        <v>0</v>
      </c>
      <c r="J679" s="50" t="n">
        <f aca="false">BQ679*Parameter!$B$18</f>
        <v>1</v>
      </c>
      <c r="K679" s="51" t="n">
        <v>0</v>
      </c>
      <c r="L679" s="52" t="n">
        <v>0</v>
      </c>
      <c r="M679" s="50" t="n">
        <v>0</v>
      </c>
      <c r="N679" s="50" t="n">
        <v>1</v>
      </c>
      <c r="O679" s="53" t="n">
        <v>70</v>
      </c>
      <c r="P679" s="48" t="s">
        <v>172</v>
      </c>
      <c r="Q679" s="50"/>
      <c r="R679" s="53" t="n">
        <f aca="false">IF(BW679=1,0,IFERROR(VLOOKUP(BU679,'Gebinde-Kategorie'!$A$5:$N$45,13,0)+0,0))</f>
        <v>0</v>
      </c>
      <c r="S679" s="54"/>
      <c r="T679" s="55"/>
      <c r="U679" s="55"/>
      <c r="V679" s="55"/>
      <c r="W679" s="48"/>
      <c r="X679" s="50"/>
      <c r="Y679" s="50"/>
      <c r="Z679" s="48" t="str">
        <f aca="false">IF(A679="","",IF(AND(Parameter!$B$21="Ja",ISNUMBER(W679)),W679,IF(BZ679="2+3",IF(ISNUMBER(SEARCH("grosser Artikel",BR679)),2,IFERROR(VLOOKUP(BU679,Parameter!$F$35:$G$64,2,0),2)),IF(OR(BZ679="Nein",BZ679=""),"-",BZ679))))</f>
        <v>-</v>
      </c>
      <c r="AA679" s="55"/>
      <c r="AB679" s="56"/>
      <c r="AC679" s="50" t="n">
        <f aca="false">AT679</f>
        <v>1</v>
      </c>
      <c r="AD679" s="50" t="n">
        <f aca="false">MAX(AT679,H679)</f>
        <v>1</v>
      </c>
      <c r="AE679" s="57"/>
      <c r="AF679" s="50" t="n">
        <f aca="false">IF(LEFT(Cockpit!$C$5,1)="A",H679,IF(CE679=1,CF679,IF(LEFT(Cockpit!$C$5,1)="B",AK679,MAX(AK679,H679))))</f>
        <v>0</v>
      </c>
      <c r="AG679" s="50" t="n">
        <f aca="false">IF(BW679=1,0,ROUNDUP(AF679/BV679,0))</f>
        <v>0</v>
      </c>
      <c r="AH679" s="52" t="n">
        <f aca="false">IF(CL679&gt;0,CL679*MAX(1,AF679/X679),IF(BW679=1,IF(AF679&lt;=0,0,CA679*MAX(1,IF(H679&gt;0,AF679/H679,1))),IF(R679&gt;0,AG679/R679,0))/MAX(0.1,N(Parameter!$M$21)))</f>
        <v>0</v>
      </c>
      <c r="AI679" s="50" t="n">
        <f aca="false">AH679*BY679</f>
        <v>0</v>
      </c>
      <c r="AJ679" s="50" t="n">
        <f aca="false">AF679*G679</f>
        <v>0</v>
      </c>
      <c r="AK679" s="50" t="n">
        <f aca="false">ROUNDUP(MAX(J679/IF(CD679&gt;0,CD679,MAX(0.1,N(Cockpit!$C$6))),CG679)/BV679,0)*BV679</f>
        <v>1</v>
      </c>
      <c r="AL679" s="51" t="n">
        <f aca="false">IF(AI679&gt;0,J679/AI679,-1)</f>
        <v>-1</v>
      </c>
      <c r="AM679" s="51" t="str">
        <f aca="false">IF(AND(OR(CC679="L1",CC679="L23",CC679="LIFT"),AI679&gt;0),SUMIFS($AI$7:$AI$1843,$CC$7:$CC$1843,CC679,$AL$7:$AL$1843,"&gt;"&amp;AL679)+SUMIFS($AI$7:$AI$1843,$CC$7:$CC$1843,CC679,$AL$7:$AL$1843,AL679,$BT$7:$BT$1843,"&lt;="&amp;BT679),"")</f>
        <v/>
      </c>
      <c r="AN679" s="58" t="n">
        <f aca="false">IF(AM679="",0,MAX(0,MIN(1,(IF(CC679="L1",Parameter!$H$5,IF(CC679="L23",Parameter!$H$6+Parameter!$H$7,Parameter!$H$5+Parameter!$H$6+Parameter!$H$7))-(AM679-AI679))/AI679)))</f>
        <v>0</v>
      </c>
      <c r="AO679" s="50" t="n">
        <f aca="false">IF(LEFT(Cockpit!$I$5,1)="A",H679,IF(CE679=1,CF679,IF(LEFT(Cockpit!$I$5,1)="B",AT679,MAX(AT679,H679))))</f>
        <v>1</v>
      </c>
      <c r="AP679" s="50" t="n">
        <f aca="false">IF(BW679=1,0,ROUNDUP(AO679/BV679,0))</f>
        <v>0</v>
      </c>
      <c r="AQ679" s="52" t="n">
        <f aca="false">IF(CL679&gt;0,CL679*MAX(1,AO679/X679),IF(BW679=1,IF(AO679&lt;=0,0,CA679*MAX(1,IF(H679&gt;0,AO679/H679,1))),IF(R679&gt;0,AP679/R679,0))/MAX(0.1,N(Parameter!$M$21)))</f>
        <v>0.15</v>
      </c>
      <c r="AR679" s="50" t="n">
        <f aca="false">AQ679*BY679</f>
        <v>35.25</v>
      </c>
      <c r="AS679" s="50" t="n">
        <f aca="false">AO679*G679</f>
        <v>3620.46</v>
      </c>
      <c r="AT679" s="50" t="n">
        <f aca="false">ROUNDUP(MAX(J679/IF(CD679&gt;0,CD679,MAX(0.1,N(Cockpit!$I$6))),CG679)/BV679,0)*BV679</f>
        <v>1</v>
      </c>
      <c r="AU679" s="51" t="n">
        <f aca="false">IF(AR679&gt;0,J679/AR679,-1)</f>
        <v>0.0283687943262411</v>
      </c>
      <c r="AV679" s="51" t="str">
        <f aca="false">IF(AND(OR(CC679="L1",CC679="L23",CC679="LIFT"),AR679&gt;0),SUMIFS($AR$7:$AR$1843,$CC$7:$CC$1843,CC679,$AU$7:$AU$1843,"&gt;"&amp;AU679)+SUMIFS($AR$7:$AR$1843,$CC$7:$CC$1843,CC679,$AU$7:$AU$1843,AU679,$BT$7:$BT$1843,"&lt;="&amp;BT679),"")</f>
        <v/>
      </c>
      <c r="AW679" s="58" t="n">
        <f aca="false">IF(AV679="",0,MAX(0,MIN(1,(IF(CC679="L1",Parameter!$H$5,IF(CC679="L23",Parameter!$H$6+Parameter!$H$7,Parameter!$H$5+Parameter!$H$6+Parameter!$H$7))-(AV679-AR679))/AR679)))</f>
        <v>0</v>
      </c>
      <c r="AX679" s="50" t="n">
        <f aca="false">IF(LEFT(Cockpit!$O$5,1)="A",H679,IF(CE679=1,CF679,IF(LEFT(Cockpit!$O$5,1)="B",BC679,MAX(BC679,H679))))</f>
        <v>1</v>
      </c>
      <c r="AY679" s="50" t="n">
        <f aca="false">IF(BW679=1,0,ROUNDUP(AX679/BV679,0))</f>
        <v>0</v>
      </c>
      <c r="AZ679" s="52" t="n">
        <f aca="false">IF(CL679&gt;0,CL679*MAX(1,AX679/X679),IF(BW679=1,IF(AX679&lt;=0,0,CA679*MAX(1,IF(H679&gt;0,AX679/H679,1))),IF(R679&gt;0,AY679/R679,0))/MAX(0.1,N(Parameter!$M$21)))</f>
        <v>0.15</v>
      </c>
      <c r="BA679" s="50" t="n">
        <f aca="false">AZ679*BY679</f>
        <v>35.25</v>
      </c>
      <c r="BB679" s="50" t="n">
        <f aca="false">AX679*G679</f>
        <v>3620.46</v>
      </c>
      <c r="BC679" s="50" t="n">
        <f aca="false">ROUNDUP(MAX(J679/IF(CD679&gt;0,CD679,MAX(0.1,N(Cockpit!$O$6))),CG679)/BV679,0)*BV679</f>
        <v>1</v>
      </c>
      <c r="BD679" s="51" t="n">
        <f aca="false">IF(BA679&gt;0,J679/BA679,-1)</f>
        <v>0.0283687943262411</v>
      </c>
      <c r="BE679" s="51" t="str">
        <f aca="false">IF(AND(OR(CC679="L1",CC679="L23",CC679="LIFT"),BA679&gt;0),SUMIFS($BA$7:$BA$1843,$CC$7:$CC$1843,CC679,$BD$7:$BD$1843,"&gt;"&amp;BD679)+SUMIFS($BA$7:$BA$1843,$CC$7:$CC$1843,CC679,$BD$7:$BD$1843,BD679,$BT$7:$BT$1843,"&lt;="&amp;BT679),"")</f>
        <v/>
      </c>
      <c r="BF679" s="58" t="n">
        <f aca="false">IF(BE679="",0,MAX(0,MIN(1,(IF(CC679="L1",Parameter!$H$5,IF(CC679="L23",Parameter!$H$6+Parameter!$H$7,Parameter!$H$5+Parameter!$H$6+Parameter!$H$7))-(BE679-BA679))/BA679)))</f>
        <v>0</v>
      </c>
      <c r="BG679" s="48" t="str">
        <f aca="false">IF(AI679&lt;=0,"",IF(CC679="Aussen","Aussenlager",IF(CC679="-","Nicht im Lift",IF(AN679&gt;=1,"Lift",IF(AN679&lt;=0,"Aussenlager","teilweise")))))</f>
        <v/>
      </c>
      <c r="BH679" s="48" t="str">
        <f aca="false">IF(AR679&lt;=0,"",IF(CC679="Aussen","Aussenlager",IF(CC679="-","Nicht im Lift",IF(AW679&gt;=1,"Lift",IF(AW679&lt;=0,"Aussenlager","teilweise")))))</f>
        <v>Nicht im Lift</v>
      </c>
      <c r="BI679" s="48" t="str">
        <f aca="false">IF(BA679&lt;=0,"",IF(CC679="Aussen","Aussenlager",IF(CC679="-","Nicht im Lift",IF(BF679&gt;=1,"Lift",IF(BF679&lt;=0,"Aussenlager","teilweise")))))</f>
        <v>Nicht im Lift</v>
      </c>
      <c r="BJ679" s="48" t="str">
        <f aca="false">IF(A679="","",IF(BS679=1,"Neu; ","")&amp;IF(AND(BS679=0,BN679&lt;0),"negativer Bestand (Export "&amp;BN679&amp;"); ","")&amp;IF(J679&lt;=0,"Kein Verbrauch; ","")&amp;IF(CL679&gt;0,"Lift "&amp;W679&amp;" lt. Liftbericht (Fach "&amp;X679&amp;" Stk); ",IF(BX679=1,"Gebinde geschätzt ("&amp;T679&amp;"); ",IF(BW679=1,"Lose – Tablare geschätzt; ","")))&amp;IF(H679&gt;AT679,"Überbestand "&amp;ROUND(H679-AT679,0)&amp;" Stk / CHF "&amp;ROUND((H679-AT679)*G679,0)&amp;"; ","")&amp;IF(AND(CE679=1,CF679&lt;CG679),"MAX &lt; MB+LG; ","")&amp;IF(AND(CK679&gt;0,CJ679*10&gt;CK679),"zu hoch für Tablar; ","")&amp;IF(AND(BS679=0,OR(CE679=1,AA679&lt;&gt;"",U679&lt;&gt;"",V679&lt;&gt;"",AB679&lt;&gt;"")),"manuell übersteuert; ","")&amp;IF(AND(BW679=0,R679=0),"Gebinde unbekannt / Stellmass fehlt; ","")&amp;IF(AND(BW679=0,N(V679)&lt;=0,N(Q679)&lt;=0),"Menge pro Gebinde fehlt (Ist = 1 Gebinde); ","")&amp;BR679)</f>
        <v>Lose – Tablare geschätzt; </v>
      </c>
      <c r="BK679" s="48"/>
      <c r="BL679" s="48"/>
      <c r="BM679" s="55"/>
      <c r="BN679" s="50" t="n">
        <v>0</v>
      </c>
      <c r="BO679" s="50" t="n">
        <v>0</v>
      </c>
      <c r="BP679" s="49" t="n">
        <v>0</v>
      </c>
      <c r="BQ679" s="50" t="n">
        <v>1</v>
      </c>
      <c r="BR679" s="48"/>
      <c r="BS679" s="53" t="n">
        <v>0</v>
      </c>
      <c r="BT679" s="53" t="n">
        <v>679</v>
      </c>
      <c r="BU679" s="48" t="str">
        <f aca="false">IF(U679&lt;&gt;"",UPPER(TRIM(U679)),IF(BX679=1,UPPER(VLOOKUP(T679,Parameter!$I$27:$K$29,2,0)),IF(P679="","LOSE",P679)))</f>
        <v>LOSE</v>
      </c>
      <c r="BV679" s="50" t="n">
        <f aca="false">IF(BU679="LOSE",1,IF(N(V679)&gt;0,V679,IF(BX679=1,MAX(1,N(VLOOKUP(T679,Parameter!$I$27:$K$29,3,0)),H679,N(N679)),IF(N(Q679)&gt;0,Q679,MAX(1,H679)))))</f>
        <v>1</v>
      </c>
      <c r="BW679" s="53" t="n">
        <f aca="false">IF(BU679="LOSE",1,0)</f>
        <v>1</v>
      </c>
      <c r="BX679" s="53" t="n">
        <f aca="false">IF(AND(U679="",OR(P679="",P679="LOSE"),T679&lt;&gt;"",N(S679)&lt;=0,ISNUMBER(MATCH(T679,Parameter!$I$27:$I$29,0))),1,0)</f>
        <v>0</v>
      </c>
      <c r="BY679" s="53" t="n">
        <f aca="false">IF(CL679&gt;0,INDEX(Parameter!$H$5:$H$7,W679)/INDEX(Parameter!$E$5:$E$7,W679),IF(AND(BW679=0,N(IFERROR(VLOOKUP(BU679,'Gebinde-Kategorie'!$A$5:$N$45,14,0),0))&gt;0),VLOOKUP(BU679,'Gebinde-Kategorie'!$A$5:$N$45,14,0)*10+Parameter!$M$23,Parameter!$M$24))</f>
        <v>235</v>
      </c>
      <c r="BZ679" s="48" t="str">
        <f aca="false">IF(AND(Parameter!$B$19="Ja",E679&lt;&gt;"",ISNUMBER(MATCH(E679,Parameter!$I$35:$I$52,0))),VLOOKUP(E679,Parameter!$I$35:$J$52,2,0),IFERROR(VLOOKUP(D679,Parameter!$A$35:$C$64,2,0),"Nein"))</f>
        <v>Nein</v>
      </c>
      <c r="CA679" s="52" t="n">
        <f aca="false">IF(BW679=0,0,IF(N(S679)&gt;0,S679,IFERROR(VLOOKUP(D679,Parameter!$A$35:$C$64,3,0)+0,0)))</f>
        <v>0.15</v>
      </c>
      <c r="CB679" s="48" t="str">
        <f aca="false">IF(AA679&lt;&gt;"",AA679,Z679)</f>
        <v>-</v>
      </c>
      <c r="CC679" s="48" t="str">
        <f aca="false">IF(OR(CB679=1,CB679=2,CB679=3),IF(Parameter!$E$27="Ja","LIFT",IF(CB679=1,"L1","L23")),IF(CB679="Aussen","Aussen","-"))</f>
        <v>-</v>
      </c>
      <c r="CD679" s="59" t="n">
        <f aca="false">IF(N(AB679)&gt;0,AB679,0)</f>
        <v>0</v>
      </c>
      <c r="CE679" s="53" t="n">
        <f aca="false">IF(ISNUMBER(AE679),1,0)</f>
        <v>0</v>
      </c>
      <c r="CF679" s="50" t="n">
        <f aca="false">N(AE679)</f>
        <v>0</v>
      </c>
      <c r="CG679" s="50" t="n">
        <f aca="false">N(M679)+N(N679)</f>
        <v>1</v>
      </c>
      <c r="CH679" s="50" t="n">
        <f aca="false">ROUNDUP(H679/BV679,0)</f>
        <v>0</v>
      </c>
      <c r="CI679" s="50" t="n">
        <f aca="false">ROUNDUP(CF679/BV679,0)</f>
        <v>0</v>
      </c>
      <c r="CJ679" s="53" t="n">
        <f aca="false">IF(BW679=1,0,IFERROR(VLOOKUP(BU679,'Gebinde-Kategorie'!$A$5:$N$45,5,0)+0,0))</f>
        <v>0</v>
      </c>
      <c r="CK679" s="53" t="n">
        <f aca="false">IFERROR(IF(OR(CB679=1,CB679=2,CB679=3),N(INDEX(Parameter!$I$5:$I$7,CB679)),0),0)</f>
        <v>0</v>
      </c>
      <c r="CL679" s="52" t="n">
        <f aca="false">IF(AND(Parameter!$B$21="Ja",ISNUMBER(W679),N(X679)&gt;0),IFERROR(N(INDEX(Parameter!$L$5:$L$7,W679))*INDEX(Parameter!$E$5:$E$7,W679)*X679/SUMIFS($X$7:$X$1843,$W$7:$W$1843,W679),0),0)</f>
        <v>0</v>
      </c>
    </row>
    <row r="680" customFormat="false" ht="15" hidden="false" customHeight="false" outlineLevel="0" collapsed="false">
      <c r="A680" s="48" t="s">
        <v>1367</v>
      </c>
      <c r="B680" s="48" t="s">
        <v>1351</v>
      </c>
      <c r="C680" s="48" t="s">
        <v>168</v>
      </c>
      <c r="D680" s="48" t="s">
        <v>999</v>
      </c>
      <c r="E680" s="48"/>
      <c r="F680" s="48" t="s">
        <v>222</v>
      </c>
      <c r="G680" s="49" t="n">
        <v>164.77</v>
      </c>
      <c r="H680" s="50" t="n">
        <f aca="false">MAX(0,IF(AND(Parameter!$B$21="Ja",ISNUMBER(Y680)),Y680,IF(Parameter!$B$20="Jahresanfang 2025 + Export",BO680+BN680,BN680)))</f>
        <v>0</v>
      </c>
      <c r="I680" s="50" t="n">
        <f aca="false">H680*G680</f>
        <v>0</v>
      </c>
      <c r="J680" s="50" t="n">
        <f aca="false">BQ680*Parameter!$B$18</f>
        <v>3</v>
      </c>
      <c r="K680" s="51" t="n">
        <v>0</v>
      </c>
      <c r="L680" s="52" t="n">
        <v>0</v>
      </c>
      <c r="M680" s="50" t="n">
        <v>0</v>
      </c>
      <c r="N680" s="50" t="n">
        <v>1</v>
      </c>
      <c r="O680" s="53" t="n">
        <v>105</v>
      </c>
      <c r="P680" s="48" t="s">
        <v>172</v>
      </c>
      <c r="Q680" s="50"/>
      <c r="R680" s="53" t="n">
        <f aca="false">IF(BW680=1,0,IFERROR(VLOOKUP(BU680,'Gebinde-Kategorie'!$A$5:$N$45,13,0)+0,0))</f>
        <v>0</v>
      </c>
      <c r="S680" s="54"/>
      <c r="T680" s="55"/>
      <c r="U680" s="55"/>
      <c r="V680" s="55"/>
      <c r="W680" s="48"/>
      <c r="X680" s="50"/>
      <c r="Y680" s="50"/>
      <c r="Z680" s="48" t="str">
        <f aca="false">IF(A680="","",IF(AND(Parameter!$B$21="Ja",ISNUMBER(W680)),W680,IF(BZ680="2+3",IF(ISNUMBER(SEARCH("grosser Artikel",BR680)),2,IFERROR(VLOOKUP(BU680,Parameter!$F$35:$G$64,2,0),2)),IF(OR(BZ680="Nein",BZ680=""),"-",BZ680))))</f>
        <v>-</v>
      </c>
      <c r="AA680" s="55"/>
      <c r="AB680" s="56"/>
      <c r="AC680" s="50" t="n">
        <f aca="false">AT680</f>
        <v>2</v>
      </c>
      <c r="AD680" s="50" t="n">
        <f aca="false">MAX(AT680,H680)</f>
        <v>2</v>
      </c>
      <c r="AE680" s="57"/>
      <c r="AF680" s="50" t="n">
        <f aca="false">IF(LEFT(Cockpit!$C$5,1)="A",H680,IF(CE680=1,CF680,IF(LEFT(Cockpit!$C$5,1)="B",AK680,MAX(AK680,H680))))</f>
        <v>0</v>
      </c>
      <c r="AG680" s="50" t="n">
        <f aca="false">IF(BW680=1,0,ROUNDUP(AF680/BV680,0))</f>
        <v>0</v>
      </c>
      <c r="AH680" s="52" t="n">
        <f aca="false">IF(CL680&gt;0,CL680*MAX(1,AF680/X680),IF(BW680=1,IF(AF680&lt;=0,0,CA680*MAX(1,IF(H680&gt;0,AF680/H680,1))),IF(R680&gt;0,AG680/R680,0))/MAX(0.1,N(Parameter!$M$21)))</f>
        <v>0</v>
      </c>
      <c r="AI680" s="50" t="n">
        <f aca="false">AH680*BY680</f>
        <v>0</v>
      </c>
      <c r="AJ680" s="50" t="n">
        <f aca="false">AF680*G680</f>
        <v>0</v>
      </c>
      <c r="AK680" s="50" t="n">
        <f aca="false">ROUNDUP(MAX(J680/IF(CD680&gt;0,CD680,MAX(0.1,N(Cockpit!$C$6))),CG680)/BV680,0)*BV680</f>
        <v>2</v>
      </c>
      <c r="AL680" s="51" t="n">
        <f aca="false">IF(AI680&gt;0,J680/AI680,-1)</f>
        <v>-1</v>
      </c>
      <c r="AM680" s="51" t="str">
        <f aca="false">IF(AND(OR(CC680="L1",CC680="L23",CC680="LIFT"),AI680&gt;0),SUMIFS($AI$7:$AI$1843,$CC$7:$CC$1843,CC680,$AL$7:$AL$1843,"&gt;"&amp;AL680)+SUMIFS($AI$7:$AI$1843,$CC$7:$CC$1843,CC680,$AL$7:$AL$1843,AL680,$BT$7:$BT$1843,"&lt;="&amp;BT680),"")</f>
        <v/>
      </c>
      <c r="AN680" s="58" t="n">
        <f aca="false">IF(AM680="",0,MAX(0,MIN(1,(IF(CC680="L1",Parameter!$H$5,IF(CC680="L23",Parameter!$H$6+Parameter!$H$7,Parameter!$H$5+Parameter!$H$6+Parameter!$H$7))-(AM680-AI680))/AI680)))</f>
        <v>0</v>
      </c>
      <c r="AO680" s="50" t="n">
        <f aca="false">IF(LEFT(Cockpit!$I$5,1)="A",H680,IF(CE680=1,CF680,IF(LEFT(Cockpit!$I$5,1)="B",AT680,MAX(AT680,H680))))</f>
        <v>2</v>
      </c>
      <c r="AP680" s="50" t="n">
        <f aca="false">IF(BW680=1,0,ROUNDUP(AO680/BV680,0))</f>
        <v>0</v>
      </c>
      <c r="AQ680" s="52" t="n">
        <f aca="false">IF(CL680&gt;0,CL680*MAX(1,AO680/X680),IF(BW680=1,IF(AO680&lt;=0,0,CA680*MAX(1,IF(H680&gt;0,AO680/H680,1))),IF(R680&gt;0,AP680/R680,0))/MAX(0.1,N(Parameter!$M$21)))</f>
        <v>0.15</v>
      </c>
      <c r="AR680" s="50" t="n">
        <f aca="false">AQ680*BY680</f>
        <v>35.25</v>
      </c>
      <c r="AS680" s="50" t="n">
        <f aca="false">AO680*G680</f>
        <v>329.54</v>
      </c>
      <c r="AT680" s="50" t="n">
        <f aca="false">ROUNDUP(MAX(J680/IF(CD680&gt;0,CD680,MAX(0.1,N(Cockpit!$I$6))),CG680)/BV680,0)*BV680</f>
        <v>2</v>
      </c>
      <c r="AU680" s="51" t="n">
        <f aca="false">IF(AR680&gt;0,J680/AR680,-1)</f>
        <v>0.0851063829787234</v>
      </c>
      <c r="AV680" s="51" t="str">
        <f aca="false">IF(AND(OR(CC680="L1",CC680="L23",CC680="LIFT"),AR680&gt;0),SUMIFS($AR$7:$AR$1843,$CC$7:$CC$1843,CC680,$AU$7:$AU$1843,"&gt;"&amp;AU680)+SUMIFS($AR$7:$AR$1843,$CC$7:$CC$1843,CC680,$AU$7:$AU$1843,AU680,$BT$7:$BT$1843,"&lt;="&amp;BT680),"")</f>
        <v/>
      </c>
      <c r="AW680" s="58" t="n">
        <f aca="false">IF(AV680="",0,MAX(0,MIN(1,(IF(CC680="L1",Parameter!$H$5,IF(CC680="L23",Parameter!$H$6+Parameter!$H$7,Parameter!$H$5+Parameter!$H$6+Parameter!$H$7))-(AV680-AR680))/AR680)))</f>
        <v>0</v>
      </c>
      <c r="AX680" s="50" t="n">
        <f aca="false">IF(LEFT(Cockpit!$O$5,1)="A",H680,IF(CE680=1,CF680,IF(LEFT(Cockpit!$O$5,1)="B",BC680,MAX(BC680,H680))))</f>
        <v>1</v>
      </c>
      <c r="AY680" s="50" t="n">
        <f aca="false">IF(BW680=1,0,ROUNDUP(AX680/BV680,0))</f>
        <v>0</v>
      </c>
      <c r="AZ680" s="52" t="n">
        <f aca="false">IF(CL680&gt;0,CL680*MAX(1,AX680/X680),IF(BW680=1,IF(AX680&lt;=0,0,CA680*MAX(1,IF(H680&gt;0,AX680/H680,1))),IF(R680&gt;0,AY680/R680,0))/MAX(0.1,N(Parameter!$M$21)))</f>
        <v>0.15</v>
      </c>
      <c r="BA680" s="50" t="n">
        <f aca="false">AZ680*BY680</f>
        <v>35.25</v>
      </c>
      <c r="BB680" s="50" t="n">
        <f aca="false">AX680*G680</f>
        <v>164.77</v>
      </c>
      <c r="BC680" s="50" t="n">
        <f aca="false">ROUNDUP(MAX(J680/IF(CD680&gt;0,CD680,MAX(0.1,N(Cockpit!$O$6))),CG680)/BV680,0)*BV680</f>
        <v>1</v>
      </c>
      <c r="BD680" s="51" t="n">
        <f aca="false">IF(BA680&gt;0,J680/BA680,-1)</f>
        <v>0.0851063829787234</v>
      </c>
      <c r="BE680" s="51" t="str">
        <f aca="false">IF(AND(OR(CC680="L1",CC680="L23",CC680="LIFT"),BA680&gt;0),SUMIFS($BA$7:$BA$1843,$CC$7:$CC$1843,CC680,$BD$7:$BD$1843,"&gt;"&amp;BD680)+SUMIFS($BA$7:$BA$1843,$CC$7:$CC$1843,CC680,$BD$7:$BD$1843,BD680,$BT$7:$BT$1843,"&lt;="&amp;BT680),"")</f>
        <v/>
      </c>
      <c r="BF680" s="58" t="n">
        <f aca="false">IF(BE680="",0,MAX(0,MIN(1,(IF(CC680="L1",Parameter!$H$5,IF(CC680="L23",Parameter!$H$6+Parameter!$H$7,Parameter!$H$5+Parameter!$H$6+Parameter!$H$7))-(BE680-BA680))/BA680)))</f>
        <v>0</v>
      </c>
      <c r="BG680" s="48" t="str">
        <f aca="false">IF(AI680&lt;=0,"",IF(CC680="Aussen","Aussenlager",IF(CC680="-","Nicht im Lift",IF(AN680&gt;=1,"Lift",IF(AN680&lt;=0,"Aussenlager","teilweise")))))</f>
        <v/>
      </c>
      <c r="BH680" s="48" t="str">
        <f aca="false">IF(AR680&lt;=0,"",IF(CC680="Aussen","Aussenlager",IF(CC680="-","Nicht im Lift",IF(AW680&gt;=1,"Lift",IF(AW680&lt;=0,"Aussenlager","teilweise")))))</f>
        <v>Nicht im Lift</v>
      </c>
      <c r="BI680" s="48" t="str">
        <f aca="false">IF(BA680&lt;=0,"",IF(CC680="Aussen","Aussenlager",IF(CC680="-","Nicht im Lift",IF(BF680&gt;=1,"Lift",IF(BF680&lt;=0,"Aussenlager","teilweise")))))</f>
        <v>Nicht im Lift</v>
      </c>
      <c r="BJ680" s="48" t="str">
        <f aca="false">IF(A680="","",IF(BS680=1,"Neu; ","")&amp;IF(AND(BS680=0,BN680&lt;0),"negativer Bestand (Export "&amp;BN680&amp;"); ","")&amp;IF(J680&lt;=0,"Kein Verbrauch; ","")&amp;IF(CL680&gt;0,"Lift "&amp;W680&amp;" lt. Liftbericht (Fach "&amp;X680&amp;" Stk); ",IF(BX680=1,"Gebinde geschätzt ("&amp;T680&amp;"); ",IF(BW680=1,"Lose – Tablare geschätzt; ","")))&amp;IF(H680&gt;AT680,"Überbestand "&amp;ROUND(H680-AT680,0)&amp;" Stk / CHF "&amp;ROUND((H680-AT680)*G680,0)&amp;"; ","")&amp;IF(AND(CE680=1,CF680&lt;CG680),"MAX &lt; MB+LG; ","")&amp;IF(AND(CK680&gt;0,CJ680*10&gt;CK680),"zu hoch für Tablar; ","")&amp;IF(AND(BS680=0,OR(CE680=1,AA680&lt;&gt;"",U680&lt;&gt;"",V680&lt;&gt;"",AB680&lt;&gt;"")),"manuell übersteuert; ","")&amp;IF(AND(BW680=0,R680=0),"Gebinde unbekannt / Stellmass fehlt; ","")&amp;IF(AND(BW680=0,N(V680)&lt;=0,N(Q680)&lt;=0),"Menge pro Gebinde fehlt (Ist = 1 Gebinde); ","")&amp;BR680)</f>
        <v>Lose – Tablare geschätzt; </v>
      </c>
      <c r="BK680" s="48"/>
      <c r="BL680" s="48"/>
      <c r="BM680" s="55"/>
      <c r="BN680" s="50" t="n">
        <v>0</v>
      </c>
      <c r="BO680" s="50" t="n">
        <v>0</v>
      </c>
      <c r="BP680" s="49" t="n">
        <v>0</v>
      </c>
      <c r="BQ680" s="50" t="n">
        <v>3</v>
      </c>
      <c r="BR680" s="48"/>
      <c r="BS680" s="53" t="n">
        <v>0</v>
      </c>
      <c r="BT680" s="53" t="n">
        <v>680</v>
      </c>
      <c r="BU680" s="48" t="str">
        <f aca="false">IF(U680&lt;&gt;"",UPPER(TRIM(U680)),IF(BX680=1,UPPER(VLOOKUP(T680,Parameter!$I$27:$K$29,2,0)),IF(P680="","LOSE",P680)))</f>
        <v>LOSE</v>
      </c>
      <c r="BV680" s="50" t="n">
        <f aca="false">IF(BU680="LOSE",1,IF(N(V680)&gt;0,V680,IF(BX680=1,MAX(1,N(VLOOKUP(T680,Parameter!$I$27:$K$29,3,0)),H680,N(N680)),IF(N(Q680)&gt;0,Q680,MAX(1,H680)))))</f>
        <v>1</v>
      </c>
      <c r="BW680" s="53" t="n">
        <f aca="false">IF(BU680="LOSE",1,0)</f>
        <v>1</v>
      </c>
      <c r="BX680" s="53" t="n">
        <f aca="false">IF(AND(U680="",OR(P680="",P680="LOSE"),T680&lt;&gt;"",N(S680)&lt;=0,ISNUMBER(MATCH(T680,Parameter!$I$27:$I$29,0))),1,0)</f>
        <v>0</v>
      </c>
      <c r="BY680" s="53" t="n">
        <f aca="false">IF(CL680&gt;0,INDEX(Parameter!$H$5:$H$7,W680)/INDEX(Parameter!$E$5:$E$7,W680),IF(AND(BW680=0,N(IFERROR(VLOOKUP(BU680,'Gebinde-Kategorie'!$A$5:$N$45,14,0),0))&gt;0),VLOOKUP(BU680,'Gebinde-Kategorie'!$A$5:$N$45,14,0)*10+Parameter!$M$23,Parameter!$M$24))</f>
        <v>235</v>
      </c>
      <c r="BZ680" s="48" t="str">
        <f aca="false">IF(AND(Parameter!$B$19="Ja",E680&lt;&gt;"",ISNUMBER(MATCH(E680,Parameter!$I$35:$I$52,0))),VLOOKUP(E680,Parameter!$I$35:$J$52,2,0),IFERROR(VLOOKUP(D680,Parameter!$A$35:$C$64,2,0),"Nein"))</f>
        <v>Nein</v>
      </c>
      <c r="CA680" s="52" t="n">
        <f aca="false">IF(BW680=0,0,IF(N(S680)&gt;0,S680,IFERROR(VLOOKUP(D680,Parameter!$A$35:$C$64,3,0)+0,0)))</f>
        <v>0.15</v>
      </c>
      <c r="CB680" s="48" t="str">
        <f aca="false">IF(AA680&lt;&gt;"",AA680,Z680)</f>
        <v>-</v>
      </c>
      <c r="CC680" s="48" t="str">
        <f aca="false">IF(OR(CB680=1,CB680=2,CB680=3),IF(Parameter!$E$27="Ja","LIFT",IF(CB680=1,"L1","L23")),IF(CB680="Aussen","Aussen","-"))</f>
        <v>-</v>
      </c>
      <c r="CD680" s="59" t="n">
        <f aca="false">IF(N(AB680)&gt;0,AB680,0)</f>
        <v>0</v>
      </c>
      <c r="CE680" s="53" t="n">
        <f aca="false">IF(ISNUMBER(AE680),1,0)</f>
        <v>0</v>
      </c>
      <c r="CF680" s="50" t="n">
        <f aca="false">N(AE680)</f>
        <v>0</v>
      </c>
      <c r="CG680" s="50" t="n">
        <f aca="false">N(M680)+N(N680)</f>
        <v>1</v>
      </c>
      <c r="CH680" s="50" t="n">
        <f aca="false">ROUNDUP(H680/BV680,0)</f>
        <v>0</v>
      </c>
      <c r="CI680" s="50" t="n">
        <f aca="false">ROUNDUP(CF680/BV680,0)</f>
        <v>0</v>
      </c>
      <c r="CJ680" s="53" t="n">
        <f aca="false">IF(BW680=1,0,IFERROR(VLOOKUP(BU680,'Gebinde-Kategorie'!$A$5:$N$45,5,0)+0,0))</f>
        <v>0</v>
      </c>
      <c r="CK680" s="53" t="n">
        <f aca="false">IFERROR(IF(OR(CB680=1,CB680=2,CB680=3),N(INDEX(Parameter!$I$5:$I$7,CB680)),0),0)</f>
        <v>0</v>
      </c>
      <c r="CL680" s="52" t="n">
        <f aca="false">IF(AND(Parameter!$B$21="Ja",ISNUMBER(W680),N(X680)&gt;0),IFERROR(N(INDEX(Parameter!$L$5:$L$7,W680))*INDEX(Parameter!$E$5:$E$7,W680)*X680/SUMIFS($X$7:$X$1843,$W$7:$W$1843,W680),0),0)</f>
        <v>0</v>
      </c>
    </row>
    <row r="681" customFormat="false" ht="15" hidden="false" customHeight="false" outlineLevel="0" collapsed="false">
      <c r="A681" s="48" t="s">
        <v>1368</v>
      </c>
      <c r="B681" s="48" t="s">
        <v>1369</v>
      </c>
      <c r="C681" s="48" t="s">
        <v>168</v>
      </c>
      <c r="D681" s="48" t="s">
        <v>188</v>
      </c>
      <c r="E681" s="48"/>
      <c r="F681" s="48" t="s">
        <v>222</v>
      </c>
      <c r="G681" s="49" t="n">
        <v>106.32</v>
      </c>
      <c r="H681" s="50" t="n">
        <f aca="false">MAX(0,IF(AND(Parameter!$B$21="Ja",ISNUMBER(Y681)),Y681,IF(Parameter!$B$20="Jahresanfang 2025 + Export",BO681+BN681,BN681)))</f>
        <v>0</v>
      </c>
      <c r="I681" s="50" t="n">
        <f aca="false">H681*G681</f>
        <v>0</v>
      </c>
      <c r="J681" s="50" t="n">
        <f aca="false">BQ681*Parameter!$B$18</f>
        <v>2</v>
      </c>
      <c r="K681" s="51" t="n">
        <v>0</v>
      </c>
      <c r="L681" s="52" t="n">
        <v>0</v>
      </c>
      <c r="M681" s="50" t="n">
        <v>0</v>
      </c>
      <c r="N681" s="50" t="n">
        <v>1</v>
      </c>
      <c r="O681" s="53" t="n">
        <v>28</v>
      </c>
      <c r="P681" s="48" t="s">
        <v>172</v>
      </c>
      <c r="Q681" s="50"/>
      <c r="R681" s="53" t="n">
        <f aca="false">IF(BW681=1,0,IFERROR(VLOOKUP(BU681,'Gebinde-Kategorie'!$A$5:$N$45,13,0)+0,0))</f>
        <v>26</v>
      </c>
      <c r="S681" s="54"/>
      <c r="T681" s="55" t="s">
        <v>279</v>
      </c>
      <c r="U681" s="55"/>
      <c r="V681" s="55"/>
      <c r="W681" s="48"/>
      <c r="X681" s="50"/>
      <c r="Y681" s="50"/>
      <c r="Z681" s="48" t="n">
        <f aca="false">IF(A681="","",IF(AND(Parameter!$B$21="Ja",ISNUMBER(W681)),W681,IF(BZ681="2+3",IF(ISNUMBER(SEARCH("grosser Artikel",BR681)),2,IFERROR(VLOOKUP(BU681,Parameter!$F$35:$G$64,2,0),2)),IF(OR(BZ681="Nein",BZ681=""),"-",BZ681))))</f>
        <v>3</v>
      </c>
      <c r="AA681" s="55"/>
      <c r="AB681" s="56"/>
      <c r="AC681" s="50" t="n">
        <f aca="false">AT681</f>
        <v>20</v>
      </c>
      <c r="AD681" s="50" t="n">
        <f aca="false">MAX(AT681,H681)</f>
        <v>20</v>
      </c>
      <c r="AE681" s="57"/>
      <c r="AF681" s="50" t="n">
        <f aca="false">IF(LEFT(Cockpit!$C$5,1)="A",H681,IF(CE681=1,CF681,IF(LEFT(Cockpit!$C$5,1)="B",AK681,MAX(AK681,H681))))</f>
        <v>0</v>
      </c>
      <c r="AG681" s="50" t="n">
        <f aca="false">IF(BW681=1,0,ROUNDUP(AF681/BV681,0))</f>
        <v>0</v>
      </c>
      <c r="AH681" s="52" t="n">
        <f aca="false">IF(CL681&gt;0,CL681*MAX(1,AF681/X681),IF(BW681=1,IF(AF681&lt;=0,0,CA681*MAX(1,IF(H681&gt;0,AF681/H681,1))),IF(R681&gt;0,AG681/R681,0))/MAX(0.1,N(Parameter!$M$21)))</f>
        <v>0</v>
      </c>
      <c r="AI681" s="50" t="n">
        <f aca="false">AH681*BY681</f>
        <v>0</v>
      </c>
      <c r="AJ681" s="50" t="n">
        <f aca="false">AF681*G681</f>
        <v>0</v>
      </c>
      <c r="AK681" s="50" t="n">
        <f aca="false">ROUNDUP(MAX(J681/IF(CD681&gt;0,CD681,MAX(0.1,N(Cockpit!$C$6))),CG681)/BV681,0)*BV681</f>
        <v>20</v>
      </c>
      <c r="AL681" s="51" t="n">
        <f aca="false">IF(AI681&gt;0,J681/AI681,-1)</f>
        <v>-1</v>
      </c>
      <c r="AM681" s="51" t="str">
        <f aca="false">IF(AND(OR(CC681="L1",CC681="L23",CC681="LIFT"),AI681&gt;0),SUMIFS($AI$7:$AI$1843,$CC$7:$CC$1843,CC681,$AL$7:$AL$1843,"&gt;"&amp;AL681)+SUMIFS($AI$7:$AI$1843,$CC$7:$CC$1843,CC681,$AL$7:$AL$1843,AL681,$BT$7:$BT$1843,"&lt;="&amp;BT681),"")</f>
        <v/>
      </c>
      <c r="AN681" s="58" t="n">
        <f aca="false">IF(AM681="",0,MAX(0,MIN(1,(IF(CC681="L1",Parameter!$H$5,IF(CC681="L23",Parameter!$H$6+Parameter!$H$7,Parameter!$H$5+Parameter!$H$6+Parameter!$H$7))-(AM681-AI681))/AI681)))</f>
        <v>0</v>
      </c>
      <c r="AO681" s="50" t="n">
        <f aca="false">IF(LEFT(Cockpit!$I$5,1)="A",H681,IF(CE681=1,CF681,IF(LEFT(Cockpit!$I$5,1)="B",AT681,MAX(AT681,H681))))</f>
        <v>20</v>
      </c>
      <c r="AP681" s="50" t="n">
        <f aca="false">IF(BW681=1,0,ROUNDUP(AO681/BV681,0))</f>
        <v>1</v>
      </c>
      <c r="AQ681" s="52" t="n">
        <f aca="false">IF(CL681&gt;0,CL681*MAX(1,AO681/X681),IF(BW681=1,IF(AO681&lt;=0,0,CA681*MAX(1,IF(H681&gt;0,AO681/H681,1))),IF(R681&gt;0,AP681/R681,0))/MAX(0.1,N(Parameter!$M$21)))</f>
        <v>0.0384615384615385</v>
      </c>
      <c r="AR681" s="50" t="n">
        <f aca="false">AQ681*BY681</f>
        <v>5.96153846153846</v>
      </c>
      <c r="AS681" s="50" t="n">
        <f aca="false">AO681*G681</f>
        <v>2126.4</v>
      </c>
      <c r="AT681" s="50" t="n">
        <f aca="false">ROUNDUP(MAX(J681/IF(CD681&gt;0,CD681,MAX(0.1,N(Cockpit!$I$6))),CG681)/BV681,0)*BV681</f>
        <v>20</v>
      </c>
      <c r="AU681" s="51" t="n">
        <f aca="false">IF(AR681&gt;0,J681/AR681,-1)</f>
        <v>0.335483870967742</v>
      </c>
      <c r="AV681" s="51" t="n">
        <f aca="false">IF(AND(OR(CC681="L1",CC681="L23",CC681="LIFT"),AR681&gt;0),SUMIFS($AR$7:$AR$1843,$CC$7:$CC$1843,CC681,$AU$7:$AU$1843,"&gt;"&amp;AU681)+SUMIFS($AR$7:$AR$1843,$CC$7:$CC$1843,CC681,$AU$7:$AU$1843,AU681,$BT$7:$BT$1843,"&lt;="&amp;BT681),"")</f>
        <v>16311.7174908425</v>
      </c>
      <c r="AW681" s="58" t="n">
        <f aca="false">IF(AV681="",0,MAX(0,MIN(1,(IF(CC681="L1",Parameter!$H$5,IF(CC681="L23",Parameter!$H$6+Parameter!$H$7,Parameter!$H$5+Parameter!$H$6+Parameter!$H$7))-(AV681-AR681))/AR681)))</f>
        <v>1</v>
      </c>
      <c r="AX681" s="50" t="n">
        <f aca="false">IF(LEFT(Cockpit!$O$5,1)="A",H681,IF(CE681=1,CF681,IF(LEFT(Cockpit!$O$5,1)="B",BC681,MAX(BC681,H681))))</f>
        <v>20</v>
      </c>
      <c r="AY681" s="50" t="n">
        <f aca="false">IF(BW681=1,0,ROUNDUP(AX681/BV681,0))</f>
        <v>1</v>
      </c>
      <c r="AZ681" s="52" t="n">
        <f aca="false">IF(CL681&gt;0,CL681*MAX(1,AX681/X681),IF(BW681=1,IF(AX681&lt;=0,0,CA681*MAX(1,IF(H681&gt;0,AX681/H681,1))),IF(R681&gt;0,AY681/R681,0))/MAX(0.1,N(Parameter!$M$21)))</f>
        <v>0.0384615384615385</v>
      </c>
      <c r="BA681" s="50" t="n">
        <f aca="false">AZ681*BY681</f>
        <v>5.96153846153846</v>
      </c>
      <c r="BB681" s="50" t="n">
        <f aca="false">AX681*G681</f>
        <v>2126.4</v>
      </c>
      <c r="BC681" s="50" t="n">
        <f aca="false">ROUNDUP(MAX(J681/IF(CD681&gt;0,CD681,MAX(0.1,N(Cockpit!$O$6))),CG681)/BV681,0)*BV681</f>
        <v>20</v>
      </c>
      <c r="BD681" s="51" t="n">
        <f aca="false">IF(BA681&gt;0,J681/BA681,-1)</f>
        <v>0.335483870967742</v>
      </c>
      <c r="BE681" s="51" t="n">
        <f aca="false">IF(AND(OR(CC681="L1",CC681="L23",CC681="LIFT"),BA681&gt;0),SUMIFS($BA$7:$BA$1843,$CC$7:$CC$1843,CC681,$BD$7:$BD$1843,"&gt;"&amp;BD681)+SUMIFS($BA$7:$BA$1843,$CC$7:$CC$1843,CC681,$BD$7:$BD$1843,BD681,$BT$7:$BT$1843,"&lt;="&amp;BT681),"")</f>
        <v>15062.3745421245</v>
      </c>
      <c r="BF681" s="58" t="n">
        <f aca="false">IF(BE681="",0,MAX(0,MIN(1,(IF(CC681="L1",Parameter!$H$5,IF(CC681="L23",Parameter!$H$6+Parameter!$H$7,Parameter!$H$5+Parameter!$H$6+Parameter!$H$7))-(BE681-BA681))/BA681)))</f>
        <v>1</v>
      </c>
      <c r="BG681" s="48" t="str">
        <f aca="false">IF(AI681&lt;=0,"",IF(CC681="Aussen","Aussenlager",IF(CC681="-","Nicht im Lift",IF(AN681&gt;=1,"Lift",IF(AN681&lt;=0,"Aussenlager","teilweise")))))</f>
        <v/>
      </c>
      <c r="BH681" s="48" t="str">
        <f aca="false">IF(AR681&lt;=0,"",IF(CC681="Aussen","Aussenlager",IF(CC681="-","Nicht im Lift",IF(AW681&gt;=1,"Lift",IF(AW681&lt;=0,"Aussenlager","teilweise")))))</f>
        <v>Lift</v>
      </c>
      <c r="BI681" s="48" t="str">
        <f aca="false">IF(BA681&lt;=0,"",IF(CC681="Aussen","Aussenlager",IF(CC681="-","Nicht im Lift",IF(BF681&gt;=1,"Lift",IF(BF681&lt;=0,"Aussenlager","teilweise")))))</f>
        <v>Lift</v>
      </c>
      <c r="BJ681" s="48" t="str">
        <f aca="false">IF(A681="","",IF(BS681=1,"Neu; ","")&amp;IF(AND(BS681=0,BN681&lt;0),"negativer Bestand (Export "&amp;BN681&amp;"); ","")&amp;IF(J681&lt;=0,"Kein Verbrauch; ","")&amp;IF(CL681&gt;0,"Lift "&amp;W681&amp;" lt. Liftbericht (Fach "&amp;X681&amp;" Stk); ",IF(BX681=1,"Gebinde geschätzt ("&amp;T681&amp;"); ",IF(BW681=1,"Lose – Tablare geschätzt; ","")))&amp;IF(H681&gt;AT681,"Überbestand "&amp;ROUND(H681-AT681,0)&amp;" Stk / CHF "&amp;ROUND((H681-AT681)*G681,0)&amp;"; ","")&amp;IF(AND(CE681=1,CF681&lt;CG681),"MAX &lt; MB+LG; ","")&amp;IF(AND(CK681&gt;0,CJ681*10&gt;CK681),"zu hoch für Tablar; ","")&amp;IF(AND(BS681=0,OR(CE681=1,AA681&lt;&gt;"",U681&lt;&gt;"",V681&lt;&gt;"",AB681&lt;&gt;"")),"manuell übersteuert; ","")&amp;IF(AND(BW681=0,R681=0),"Gebinde unbekannt / Stellmass fehlt; ","")&amp;IF(AND(BW681=0,N(V681)&lt;=0,N(Q681)&lt;=0),"Menge pro Gebinde fehlt (Ist = 1 Gebinde); ","")&amp;BR681)</f>
        <v>Gebinde geschätzt (Klein); Menge pro Gebinde fehlt (Ist = 1 Gebinde); </v>
      </c>
      <c r="BK681" s="48"/>
      <c r="BL681" s="48"/>
      <c r="BM681" s="55"/>
      <c r="BN681" s="50" t="n">
        <v>0</v>
      </c>
      <c r="BO681" s="50" t="n">
        <v>0</v>
      </c>
      <c r="BP681" s="49" t="n">
        <v>0</v>
      </c>
      <c r="BQ681" s="50" t="n">
        <v>2</v>
      </c>
      <c r="BR681" s="48"/>
      <c r="BS681" s="53" t="n">
        <v>0</v>
      </c>
      <c r="BT681" s="53" t="n">
        <v>681</v>
      </c>
      <c r="BU681" s="48" t="str">
        <f aca="false">IF(U681&lt;&gt;"",UPPER(TRIM(U681)),IF(BX681=1,UPPER(VLOOKUP(T681,Parameter!$I$27:$K$29,2,0)),IF(P681="","LOSE",P681)))</f>
        <v>S51</v>
      </c>
      <c r="BV681" s="50" t="n">
        <f aca="false">IF(BU681="LOSE",1,IF(N(V681)&gt;0,V681,IF(BX681=1,MAX(1,N(VLOOKUP(T681,Parameter!$I$27:$K$29,3,0)),H681,N(N681)),IF(N(Q681)&gt;0,Q681,MAX(1,H681)))))</f>
        <v>20</v>
      </c>
      <c r="BW681" s="53" t="n">
        <f aca="false">IF(BU681="LOSE",1,0)</f>
        <v>0</v>
      </c>
      <c r="BX681" s="53" t="n">
        <f aca="false">IF(AND(U681="",OR(P681="",P681="LOSE"),T681&lt;&gt;"",N(S681)&lt;=0,ISNUMBER(MATCH(T681,Parameter!$I$27:$I$29,0))),1,0)</f>
        <v>1</v>
      </c>
      <c r="BY681" s="53" t="n">
        <f aca="false">IF(CL681&gt;0,INDEX(Parameter!$H$5:$H$7,W681)/INDEX(Parameter!$E$5:$E$7,W681),IF(AND(BW681=0,N(IFERROR(VLOOKUP(BU681,'Gebinde-Kategorie'!$A$5:$N$45,14,0),0))&gt;0),VLOOKUP(BU681,'Gebinde-Kategorie'!$A$5:$N$45,14,0)*10+Parameter!$M$23,Parameter!$M$24))</f>
        <v>155</v>
      </c>
      <c r="BZ681" s="48" t="str">
        <f aca="false">IF(AND(Parameter!$B$19="Ja",E681&lt;&gt;"",ISNUMBER(MATCH(E681,Parameter!$I$35:$I$52,0))),VLOOKUP(E681,Parameter!$I$35:$J$52,2,0),IFERROR(VLOOKUP(D681,Parameter!$A$35:$C$64,2,0),"Nein"))</f>
        <v>2+3</v>
      </c>
      <c r="CA681" s="52" t="n">
        <f aca="false">IF(BW681=0,0,IF(N(S681)&gt;0,S681,IFERROR(VLOOKUP(D681,Parameter!$A$35:$C$64,3,0)+0,0)))</f>
        <v>0</v>
      </c>
      <c r="CB681" s="48" t="n">
        <f aca="false">IF(AA681&lt;&gt;"",AA681,Z681)</f>
        <v>3</v>
      </c>
      <c r="CC681" s="48" t="str">
        <f aca="false">IF(OR(CB681=1,CB681=2,CB681=3),IF(Parameter!$E$27="Ja","LIFT",IF(CB681=1,"L1","L23")),IF(CB681="Aussen","Aussen","-"))</f>
        <v>LIFT</v>
      </c>
      <c r="CD681" s="59" t="n">
        <f aca="false">IF(N(AB681)&gt;0,AB681,0)</f>
        <v>0</v>
      </c>
      <c r="CE681" s="53" t="n">
        <f aca="false">IF(ISNUMBER(AE681),1,0)</f>
        <v>0</v>
      </c>
      <c r="CF681" s="50" t="n">
        <f aca="false">N(AE681)</f>
        <v>0</v>
      </c>
      <c r="CG681" s="50" t="n">
        <f aca="false">N(M681)+N(N681)</f>
        <v>1</v>
      </c>
      <c r="CH681" s="50" t="n">
        <f aca="false">ROUNDUP(H681/BV681,0)</f>
        <v>0</v>
      </c>
      <c r="CI681" s="50" t="n">
        <f aca="false">ROUNDUP(CF681/BV681,0)</f>
        <v>0</v>
      </c>
      <c r="CJ681" s="53" t="n">
        <f aca="false">IF(BW681=1,0,IFERROR(VLOOKUP(BU681,'Gebinde-Kategorie'!$A$5:$N$45,5,0)+0,0))</f>
        <v>11</v>
      </c>
      <c r="CK681" s="53" t="n">
        <f aca="false">IFERROR(IF(OR(CB681=1,CB681=2,CB681=3),N(INDEX(Parameter!$I$5:$I$7,CB681)),0),0)</f>
        <v>0</v>
      </c>
      <c r="CL681" s="52" t="n">
        <f aca="false">IF(AND(Parameter!$B$21="Ja",ISNUMBER(W681),N(X681)&gt;0),IFERROR(N(INDEX(Parameter!$L$5:$L$7,W681))*INDEX(Parameter!$E$5:$E$7,W681)*X681/SUMIFS($X$7:$X$1843,$W$7:$W$1843,W681),0),0)</f>
        <v>0</v>
      </c>
    </row>
    <row r="682" customFormat="false" ht="15" hidden="false" customHeight="false" outlineLevel="0" collapsed="false">
      <c r="A682" s="48" t="s">
        <v>1370</v>
      </c>
      <c r="B682" s="48" t="s">
        <v>1371</v>
      </c>
      <c r="C682" s="48" t="s">
        <v>168</v>
      </c>
      <c r="D682" s="48" t="s">
        <v>357</v>
      </c>
      <c r="E682" s="48"/>
      <c r="F682" s="48" t="s">
        <v>222</v>
      </c>
      <c r="G682" s="49" t="n">
        <v>1</v>
      </c>
      <c r="H682" s="50" t="n">
        <f aca="false">MAX(0,IF(AND(Parameter!$B$21="Ja",ISNUMBER(Y682)),Y682,IF(Parameter!$B$20="Jahresanfang 2025 + Export",BO682+BN682,BN682)))</f>
        <v>0</v>
      </c>
      <c r="I682" s="50" t="n">
        <f aca="false">H682*G682</f>
        <v>0</v>
      </c>
      <c r="J682" s="50" t="n">
        <f aca="false">BQ682*Parameter!$B$18</f>
        <v>1</v>
      </c>
      <c r="K682" s="51" t="n">
        <v>0.5</v>
      </c>
      <c r="L682" s="52" t="n">
        <v>2</v>
      </c>
      <c r="M682" s="50" t="n">
        <v>0</v>
      </c>
      <c r="N682" s="50" t="n">
        <v>1</v>
      </c>
      <c r="O682" s="53" t="n">
        <v>0</v>
      </c>
      <c r="P682" s="48" t="s">
        <v>172</v>
      </c>
      <c r="Q682" s="50"/>
      <c r="R682" s="53" t="n">
        <f aca="false">IF(BW682=1,0,IFERROR(VLOOKUP(BU682,'Gebinde-Kategorie'!$A$5:$N$45,13,0)+0,0))</f>
        <v>0</v>
      </c>
      <c r="S682" s="54"/>
      <c r="T682" s="55"/>
      <c r="U682" s="55"/>
      <c r="V682" s="55"/>
      <c r="W682" s="48"/>
      <c r="X682" s="50"/>
      <c r="Y682" s="50"/>
      <c r="Z682" s="48" t="str">
        <f aca="false">IF(A682="","",IF(AND(Parameter!$B$21="Ja",ISNUMBER(W682)),W682,IF(BZ682="2+3",IF(ISNUMBER(SEARCH("grosser Artikel",BR682)),2,IFERROR(VLOOKUP(BU682,Parameter!$F$35:$G$64,2,0),2)),IF(OR(BZ682="Nein",BZ682=""),"-",BZ682))))</f>
        <v>-</v>
      </c>
      <c r="AA682" s="55"/>
      <c r="AB682" s="56"/>
      <c r="AC682" s="50" t="n">
        <f aca="false">AT682</f>
        <v>1</v>
      </c>
      <c r="AD682" s="50" t="n">
        <f aca="false">MAX(AT682,H682)</f>
        <v>1</v>
      </c>
      <c r="AE682" s="57"/>
      <c r="AF682" s="50" t="n">
        <f aca="false">IF(LEFT(Cockpit!$C$5,1)="A",H682,IF(CE682=1,CF682,IF(LEFT(Cockpit!$C$5,1)="B",AK682,MAX(AK682,H682))))</f>
        <v>0</v>
      </c>
      <c r="AG682" s="50" t="n">
        <f aca="false">IF(BW682=1,0,ROUNDUP(AF682/BV682,0))</f>
        <v>0</v>
      </c>
      <c r="AH682" s="52" t="n">
        <f aca="false">IF(CL682&gt;0,CL682*MAX(1,AF682/X682),IF(BW682=1,IF(AF682&lt;=0,0,CA682*MAX(1,IF(H682&gt;0,AF682/H682,1))),IF(R682&gt;0,AG682/R682,0))/MAX(0.1,N(Parameter!$M$21)))</f>
        <v>0</v>
      </c>
      <c r="AI682" s="50" t="n">
        <f aca="false">AH682*BY682</f>
        <v>0</v>
      </c>
      <c r="AJ682" s="50" t="n">
        <f aca="false">AF682*G682</f>
        <v>0</v>
      </c>
      <c r="AK682" s="50" t="n">
        <f aca="false">ROUNDUP(MAX(J682/IF(CD682&gt;0,CD682,MAX(0.1,N(Cockpit!$C$6))),CG682)/BV682,0)*BV682</f>
        <v>1</v>
      </c>
      <c r="AL682" s="51" t="n">
        <f aca="false">IF(AI682&gt;0,J682/AI682,-1)</f>
        <v>-1</v>
      </c>
      <c r="AM682" s="51" t="str">
        <f aca="false">IF(AND(OR(CC682="L1",CC682="L23",CC682="LIFT"),AI682&gt;0),SUMIFS($AI$7:$AI$1843,$CC$7:$CC$1843,CC682,$AL$7:$AL$1843,"&gt;"&amp;AL682)+SUMIFS($AI$7:$AI$1843,$CC$7:$CC$1843,CC682,$AL$7:$AL$1843,AL682,$BT$7:$BT$1843,"&lt;="&amp;BT682),"")</f>
        <v/>
      </c>
      <c r="AN682" s="58" t="n">
        <f aca="false">IF(AM682="",0,MAX(0,MIN(1,(IF(CC682="L1",Parameter!$H$5,IF(CC682="L23",Parameter!$H$6+Parameter!$H$7,Parameter!$H$5+Parameter!$H$6+Parameter!$H$7))-(AM682-AI682))/AI682)))</f>
        <v>0</v>
      </c>
      <c r="AO682" s="50" t="n">
        <f aca="false">IF(LEFT(Cockpit!$I$5,1)="A",H682,IF(CE682=1,CF682,IF(LEFT(Cockpit!$I$5,1)="B",AT682,MAX(AT682,H682))))</f>
        <v>1</v>
      </c>
      <c r="AP682" s="50" t="n">
        <f aca="false">IF(BW682=1,0,ROUNDUP(AO682/BV682,0))</f>
        <v>0</v>
      </c>
      <c r="AQ682" s="52" t="n">
        <f aca="false">IF(CL682&gt;0,CL682*MAX(1,AO682/X682),IF(BW682=1,IF(AO682&lt;=0,0,CA682*MAX(1,IF(H682&gt;0,AO682/H682,1))),IF(R682&gt;0,AP682/R682,0))/MAX(0.1,N(Parameter!$M$21)))</f>
        <v>0.15</v>
      </c>
      <c r="AR682" s="50" t="n">
        <f aca="false">AQ682*BY682</f>
        <v>35.25</v>
      </c>
      <c r="AS682" s="50" t="n">
        <f aca="false">AO682*G682</f>
        <v>1</v>
      </c>
      <c r="AT682" s="50" t="n">
        <f aca="false">ROUNDUP(MAX(J682/IF(CD682&gt;0,CD682,MAX(0.1,N(Cockpit!$I$6))),CG682)/BV682,0)*BV682</f>
        <v>1</v>
      </c>
      <c r="AU682" s="51" t="n">
        <f aca="false">IF(AR682&gt;0,J682/AR682,-1)</f>
        <v>0.0283687943262411</v>
      </c>
      <c r="AV682" s="51" t="str">
        <f aca="false">IF(AND(OR(CC682="L1",CC682="L23",CC682="LIFT"),AR682&gt;0),SUMIFS($AR$7:$AR$1843,$CC$7:$CC$1843,CC682,$AU$7:$AU$1843,"&gt;"&amp;AU682)+SUMIFS($AR$7:$AR$1843,$CC$7:$CC$1843,CC682,$AU$7:$AU$1843,AU682,$BT$7:$BT$1843,"&lt;="&amp;BT682),"")</f>
        <v/>
      </c>
      <c r="AW682" s="58" t="n">
        <f aca="false">IF(AV682="",0,MAX(0,MIN(1,(IF(CC682="L1",Parameter!$H$5,IF(CC682="L23",Parameter!$H$6+Parameter!$H$7,Parameter!$H$5+Parameter!$H$6+Parameter!$H$7))-(AV682-AR682))/AR682)))</f>
        <v>0</v>
      </c>
      <c r="AX682" s="50" t="n">
        <f aca="false">IF(LEFT(Cockpit!$O$5,1)="A",H682,IF(CE682=1,CF682,IF(LEFT(Cockpit!$O$5,1)="B",BC682,MAX(BC682,H682))))</f>
        <v>1</v>
      </c>
      <c r="AY682" s="50" t="n">
        <f aca="false">IF(BW682=1,0,ROUNDUP(AX682/BV682,0))</f>
        <v>0</v>
      </c>
      <c r="AZ682" s="52" t="n">
        <f aca="false">IF(CL682&gt;0,CL682*MAX(1,AX682/X682),IF(BW682=1,IF(AX682&lt;=0,0,CA682*MAX(1,IF(H682&gt;0,AX682/H682,1))),IF(R682&gt;0,AY682/R682,0))/MAX(0.1,N(Parameter!$M$21)))</f>
        <v>0.15</v>
      </c>
      <c r="BA682" s="50" t="n">
        <f aca="false">AZ682*BY682</f>
        <v>35.25</v>
      </c>
      <c r="BB682" s="50" t="n">
        <f aca="false">AX682*G682</f>
        <v>1</v>
      </c>
      <c r="BC682" s="50" t="n">
        <f aca="false">ROUNDUP(MAX(J682/IF(CD682&gt;0,CD682,MAX(0.1,N(Cockpit!$O$6))),CG682)/BV682,0)*BV682</f>
        <v>1</v>
      </c>
      <c r="BD682" s="51" t="n">
        <f aca="false">IF(BA682&gt;0,J682/BA682,-1)</f>
        <v>0.0283687943262411</v>
      </c>
      <c r="BE682" s="51" t="str">
        <f aca="false">IF(AND(OR(CC682="L1",CC682="L23",CC682="LIFT"),BA682&gt;0),SUMIFS($BA$7:$BA$1843,$CC$7:$CC$1843,CC682,$BD$7:$BD$1843,"&gt;"&amp;BD682)+SUMIFS($BA$7:$BA$1843,$CC$7:$CC$1843,CC682,$BD$7:$BD$1843,BD682,$BT$7:$BT$1843,"&lt;="&amp;BT682),"")</f>
        <v/>
      </c>
      <c r="BF682" s="58" t="n">
        <f aca="false">IF(BE682="",0,MAX(0,MIN(1,(IF(CC682="L1",Parameter!$H$5,IF(CC682="L23",Parameter!$H$6+Parameter!$H$7,Parameter!$H$5+Parameter!$H$6+Parameter!$H$7))-(BE682-BA682))/BA682)))</f>
        <v>0</v>
      </c>
      <c r="BG682" s="48" t="str">
        <f aca="false">IF(AI682&lt;=0,"",IF(CC682="Aussen","Aussenlager",IF(CC682="-","Nicht im Lift",IF(AN682&gt;=1,"Lift",IF(AN682&lt;=0,"Aussenlager","teilweise")))))</f>
        <v/>
      </c>
      <c r="BH682" s="48" t="str">
        <f aca="false">IF(AR682&lt;=0,"",IF(CC682="Aussen","Aussenlager",IF(CC682="-","Nicht im Lift",IF(AW682&gt;=1,"Lift",IF(AW682&lt;=0,"Aussenlager","teilweise")))))</f>
        <v>Nicht im Lift</v>
      </c>
      <c r="BI682" s="48" t="str">
        <f aca="false">IF(BA682&lt;=0,"",IF(CC682="Aussen","Aussenlager",IF(CC682="-","Nicht im Lift",IF(BF682&gt;=1,"Lift",IF(BF682&lt;=0,"Aussenlager","teilweise")))))</f>
        <v>Nicht im Lift</v>
      </c>
      <c r="BJ682" s="48" t="str">
        <f aca="false">IF(A682="","",IF(BS682=1,"Neu; ","")&amp;IF(AND(BS682=0,BN682&lt;0),"negativer Bestand (Export "&amp;BN682&amp;"); ","")&amp;IF(J682&lt;=0,"Kein Verbrauch; ","")&amp;IF(CL682&gt;0,"Lift "&amp;W682&amp;" lt. Liftbericht (Fach "&amp;X682&amp;" Stk); ",IF(BX682=1,"Gebinde geschätzt ("&amp;T682&amp;"); ",IF(BW682=1,"Lose – Tablare geschätzt; ","")))&amp;IF(H682&gt;AT682,"Überbestand "&amp;ROUND(H682-AT682,0)&amp;" Stk / CHF "&amp;ROUND((H682-AT682)*G682,0)&amp;"; ","")&amp;IF(AND(CE682=1,CF682&lt;CG682),"MAX &lt; MB+LG; ","")&amp;IF(AND(CK682&gt;0,CJ682*10&gt;CK682),"zu hoch für Tablar; ","")&amp;IF(AND(BS682=0,OR(CE682=1,AA682&lt;&gt;"",U682&lt;&gt;"",V682&lt;&gt;"",AB682&lt;&gt;"")),"manuell übersteuert; ","")&amp;IF(AND(BW682=0,R682=0),"Gebinde unbekannt / Stellmass fehlt; ","")&amp;IF(AND(BW682=0,N(V682)&lt;=0,N(Q682)&lt;=0),"Menge pro Gebinde fehlt (Ist = 1 Gebinde); ","")&amp;BR682)</f>
        <v>negativer Bestand (Export -1); Lose – Tablare geschätzt; </v>
      </c>
      <c r="BK682" s="48"/>
      <c r="BL682" s="48"/>
      <c r="BM682" s="55"/>
      <c r="BN682" s="50" t="n">
        <v>-1</v>
      </c>
      <c r="BO682" s="50" t="n">
        <v>1</v>
      </c>
      <c r="BP682" s="49" t="n">
        <v>0</v>
      </c>
      <c r="BQ682" s="50" t="n">
        <v>1</v>
      </c>
      <c r="BR682" s="48"/>
      <c r="BS682" s="53" t="n">
        <v>0</v>
      </c>
      <c r="BT682" s="53" t="n">
        <v>682</v>
      </c>
      <c r="BU682" s="48" t="str">
        <f aca="false">IF(U682&lt;&gt;"",UPPER(TRIM(U682)),IF(BX682=1,UPPER(VLOOKUP(T682,Parameter!$I$27:$K$29,2,0)),IF(P682="","LOSE",P682)))</f>
        <v>LOSE</v>
      </c>
      <c r="BV682" s="50" t="n">
        <f aca="false">IF(BU682="LOSE",1,IF(N(V682)&gt;0,V682,IF(BX682=1,MAX(1,N(VLOOKUP(T682,Parameter!$I$27:$K$29,3,0)),H682,N(N682)),IF(N(Q682)&gt;0,Q682,MAX(1,H682)))))</f>
        <v>1</v>
      </c>
      <c r="BW682" s="53" t="n">
        <f aca="false">IF(BU682="LOSE",1,0)</f>
        <v>1</v>
      </c>
      <c r="BX682" s="53" t="n">
        <f aca="false">IF(AND(U682="",OR(P682="",P682="LOSE"),T682&lt;&gt;"",N(S682)&lt;=0,ISNUMBER(MATCH(T682,Parameter!$I$27:$I$29,0))),1,0)</f>
        <v>0</v>
      </c>
      <c r="BY682" s="53" t="n">
        <f aca="false">IF(CL682&gt;0,INDEX(Parameter!$H$5:$H$7,W682)/INDEX(Parameter!$E$5:$E$7,W682),IF(AND(BW682=0,N(IFERROR(VLOOKUP(BU682,'Gebinde-Kategorie'!$A$5:$N$45,14,0),0))&gt;0),VLOOKUP(BU682,'Gebinde-Kategorie'!$A$5:$N$45,14,0)*10+Parameter!$M$23,Parameter!$M$24))</f>
        <v>235</v>
      </c>
      <c r="BZ682" s="48" t="str">
        <f aca="false">IF(AND(Parameter!$B$19="Ja",E682&lt;&gt;"",ISNUMBER(MATCH(E682,Parameter!$I$35:$I$52,0))),VLOOKUP(E682,Parameter!$I$35:$J$52,2,0),IFERROR(VLOOKUP(D682,Parameter!$A$35:$C$64,2,0),"Nein"))</f>
        <v>Nein</v>
      </c>
      <c r="CA682" s="52" t="n">
        <f aca="false">IF(BW682=0,0,IF(N(S682)&gt;0,S682,IFERROR(VLOOKUP(D682,Parameter!$A$35:$C$64,3,0)+0,0)))</f>
        <v>0.15</v>
      </c>
      <c r="CB682" s="48" t="str">
        <f aca="false">IF(AA682&lt;&gt;"",AA682,Z682)</f>
        <v>-</v>
      </c>
      <c r="CC682" s="48" t="str">
        <f aca="false">IF(OR(CB682=1,CB682=2,CB682=3),IF(Parameter!$E$27="Ja","LIFT",IF(CB682=1,"L1","L23")),IF(CB682="Aussen","Aussen","-"))</f>
        <v>-</v>
      </c>
      <c r="CD682" s="59" t="n">
        <f aca="false">IF(N(AB682)&gt;0,AB682,0)</f>
        <v>0</v>
      </c>
      <c r="CE682" s="53" t="n">
        <f aca="false">IF(ISNUMBER(AE682),1,0)</f>
        <v>0</v>
      </c>
      <c r="CF682" s="50" t="n">
        <f aca="false">N(AE682)</f>
        <v>0</v>
      </c>
      <c r="CG682" s="50" t="n">
        <f aca="false">N(M682)+N(N682)</f>
        <v>1</v>
      </c>
      <c r="CH682" s="50" t="n">
        <f aca="false">ROUNDUP(H682/BV682,0)</f>
        <v>0</v>
      </c>
      <c r="CI682" s="50" t="n">
        <f aca="false">ROUNDUP(CF682/BV682,0)</f>
        <v>0</v>
      </c>
      <c r="CJ682" s="53" t="n">
        <f aca="false">IF(BW682=1,0,IFERROR(VLOOKUP(BU682,'Gebinde-Kategorie'!$A$5:$N$45,5,0)+0,0))</f>
        <v>0</v>
      </c>
      <c r="CK682" s="53" t="n">
        <f aca="false">IFERROR(IF(OR(CB682=1,CB682=2,CB682=3),N(INDEX(Parameter!$I$5:$I$7,CB682)),0),0)</f>
        <v>0</v>
      </c>
      <c r="CL682" s="52" t="n">
        <f aca="false">IF(AND(Parameter!$B$21="Ja",ISNUMBER(W682),N(X682)&gt;0),IFERROR(N(INDEX(Parameter!$L$5:$L$7,W682))*INDEX(Parameter!$E$5:$E$7,W682)*X682/SUMIFS($X$7:$X$1843,$W$7:$W$1843,W682),0),0)</f>
        <v>0</v>
      </c>
    </row>
    <row r="683" customFormat="false" ht="15" hidden="false" customHeight="false" outlineLevel="0" collapsed="false">
      <c r="A683" s="48" t="s">
        <v>1372</v>
      </c>
      <c r="B683" s="48" t="s">
        <v>1373</v>
      </c>
      <c r="C683" s="48" t="s">
        <v>168</v>
      </c>
      <c r="D683" s="48" t="s">
        <v>177</v>
      </c>
      <c r="E683" s="48"/>
      <c r="F683" s="48" t="s">
        <v>222</v>
      </c>
      <c r="G683" s="49" t="n">
        <v>4509.47</v>
      </c>
      <c r="H683" s="50" t="n">
        <f aca="false">MAX(0,IF(AND(Parameter!$B$21="Ja",ISNUMBER(Y683)),Y683,IF(Parameter!$B$20="Jahresanfang 2025 + Export",BO683+BN683,BN683)))</f>
        <v>0</v>
      </c>
      <c r="I683" s="50" t="n">
        <f aca="false">H683*G683</f>
        <v>0</v>
      </c>
      <c r="J683" s="50" t="n">
        <f aca="false">BQ683*Parameter!$B$18</f>
        <v>5</v>
      </c>
      <c r="K683" s="51" t="n">
        <v>0</v>
      </c>
      <c r="L683" s="52" t="n">
        <v>0</v>
      </c>
      <c r="M683" s="50" t="n">
        <v>0</v>
      </c>
      <c r="N683" s="50" t="n">
        <v>1</v>
      </c>
      <c r="O683" s="53" t="n">
        <v>70</v>
      </c>
      <c r="P683" s="48" t="s">
        <v>172</v>
      </c>
      <c r="Q683" s="50"/>
      <c r="R683" s="53" t="n">
        <f aca="false">IF(BW683=1,0,IFERROR(VLOOKUP(BU683,'Gebinde-Kategorie'!$A$5:$N$45,13,0)+0,0))</f>
        <v>12</v>
      </c>
      <c r="S683" s="54"/>
      <c r="T683" s="55" t="s">
        <v>183</v>
      </c>
      <c r="U683" s="55"/>
      <c r="V683" s="55"/>
      <c r="W683" s="48"/>
      <c r="X683" s="50"/>
      <c r="Y683" s="50"/>
      <c r="Z683" s="48" t="n">
        <f aca="false">IF(A683="","",IF(AND(Parameter!$B$21="Ja",ISNUMBER(W683)),W683,IF(BZ683="2+3",IF(ISNUMBER(SEARCH("grosser Artikel",BR683)),2,IFERROR(VLOOKUP(BU683,Parameter!$F$35:$G$64,2,0),2)),IF(OR(BZ683="Nein",BZ683=""),"-",BZ683))))</f>
        <v>2</v>
      </c>
      <c r="AA683" s="55"/>
      <c r="AB683" s="56"/>
      <c r="AC683" s="50" t="n">
        <f aca="false">AT683</f>
        <v>4</v>
      </c>
      <c r="AD683" s="50" t="n">
        <f aca="false">MAX(AT683,H683)</f>
        <v>4</v>
      </c>
      <c r="AE683" s="57"/>
      <c r="AF683" s="50" t="n">
        <f aca="false">IF(LEFT(Cockpit!$C$5,1)="A",H683,IF(CE683=1,CF683,IF(LEFT(Cockpit!$C$5,1)="B",AK683,MAX(AK683,H683))))</f>
        <v>0</v>
      </c>
      <c r="AG683" s="50" t="n">
        <f aca="false">IF(BW683=1,0,ROUNDUP(AF683/BV683,0))</f>
        <v>0</v>
      </c>
      <c r="AH683" s="52" t="n">
        <f aca="false">IF(CL683&gt;0,CL683*MAX(1,AF683/X683),IF(BW683=1,IF(AF683&lt;=0,0,CA683*MAX(1,IF(H683&gt;0,AF683/H683,1))),IF(R683&gt;0,AG683/R683,0))/MAX(0.1,N(Parameter!$M$21)))</f>
        <v>0</v>
      </c>
      <c r="AI683" s="50" t="n">
        <f aca="false">AH683*BY683</f>
        <v>0</v>
      </c>
      <c r="AJ683" s="50" t="n">
        <f aca="false">AF683*G683</f>
        <v>0</v>
      </c>
      <c r="AK683" s="50" t="n">
        <f aca="false">ROUNDUP(MAX(J683/IF(CD683&gt;0,CD683,MAX(0.1,N(Cockpit!$C$6))),CG683)/BV683,0)*BV683</f>
        <v>4</v>
      </c>
      <c r="AL683" s="51" t="n">
        <f aca="false">IF(AI683&gt;0,J683/AI683,-1)</f>
        <v>-1</v>
      </c>
      <c r="AM683" s="51" t="str">
        <f aca="false">IF(AND(OR(CC683="L1",CC683="L23",CC683="LIFT"),AI683&gt;0),SUMIFS($AI$7:$AI$1843,$CC$7:$CC$1843,CC683,$AL$7:$AL$1843,"&gt;"&amp;AL683)+SUMIFS($AI$7:$AI$1843,$CC$7:$CC$1843,CC683,$AL$7:$AL$1843,AL683,$BT$7:$BT$1843,"&lt;="&amp;BT683),"")</f>
        <v/>
      </c>
      <c r="AN683" s="58" t="n">
        <f aca="false">IF(AM683="",0,MAX(0,MIN(1,(IF(CC683="L1",Parameter!$H$5,IF(CC683="L23",Parameter!$H$6+Parameter!$H$7,Parameter!$H$5+Parameter!$H$6+Parameter!$H$7))-(AM683-AI683))/AI683)))</f>
        <v>0</v>
      </c>
      <c r="AO683" s="50" t="n">
        <f aca="false">IF(LEFT(Cockpit!$I$5,1)="A",H683,IF(CE683=1,CF683,IF(LEFT(Cockpit!$I$5,1)="B",AT683,MAX(AT683,H683))))</f>
        <v>4</v>
      </c>
      <c r="AP683" s="50" t="n">
        <f aca="false">IF(BW683=1,0,ROUNDUP(AO683/BV683,0))</f>
        <v>1</v>
      </c>
      <c r="AQ683" s="52" t="n">
        <f aca="false">IF(CL683&gt;0,CL683*MAX(1,AO683/X683),IF(BW683=1,IF(AO683&lt;=0,0,CA683*MAX(1,IF(H683&gt;0,AO683/H683,1))),IF(R683&gt;0,AP683/R683,0))/MAX(0.1,N(Parameter!$M$21)))</f>
        <v>0.0833333333333333</v>
      </c>
      <c r="AR683" s="50" t="n">
        <f aca="false">AQ683*BY683</f>
        <v>12.0833333333333</v>
      </c>
      <c r="AS683" s="50" t="n">
        <f aca="false">AO683*G683</f>
        <v>18037.88</v>
      </c>
      <c r="AT683" s="50" t="n">
        <f aca="false">ROUNDUP(MAX(J683/IF(CD683&gt;0,CD683,MAX(0.1,N(Cockpit!$I$6))),CG683)/BV683,0)*BV683</f>
        <v>4</v>
      </c>
      <c r="AU683" s="51" t="n">
        <f aca="false">IF(AR683&gt;0,J683/AR683,-1)</f>
        <v>0.413793103448276</v>
      </c>
      <c r="AV683" s="51" t="n">
        <f aca="false">IF(AND(OR(CC683="L1",CC683="L23",CC683="LIFT"),AR683&gt;0),SUMIFS($AR$7:$AR$1843,$CC$7:$CC$1843,CC683,$AU$7:$AU$1843,"&gt;"&amp;AU683)+SUMIFS($AR$7:$AR$1843,$CC$7:$CC$1843,CC683,$AU$7:$AU$1843,AU683,$BT$7:$BT$1843,"&lt;="&amp;BT683),"")</f>
        <v>14990.2591575092</v>
      </c>
      <c r="AW683" s="58" t="n">
        <f aca="false">IF(AV683="",0,MAX(0,MIN(1,(IF(CC683="L1",Parameter!$H$5,IF(CC683="L23",Parameter!$H$6+Parameter!$H$7,Parameter!$H$5+Parameter!$H$6+Parameter!$H$7))-(AV683-AR683))/AR683)))</f>
        <v>1</v>
      </c>
      <c r="AX683" s="50" t="n">
        <f aca="false">IF(LEFT(Cockpit!$O$5,1)="A",H683,IF(CE683=1,CF683,IF(LEFT(Cockpit!$O$5,1)="B",BC683,MAX(BC683,H683))))</f>
        <v>4</v>
      </c>
      <c r="AY683" s="50" t="n">
        <f aca="false">IF(BW683=1,0,ROUNDUP(AX683/BV683,0))</f>
        <v>1</v>
      </c>
      <c r="AZ683" s="52" t="n">
        <f aca="false">IF(CL683&gt;0,CL683*MAX(1,AX683/X683),IF(BW683=1,IF(AX683&lt;=0,0,CA683*MAX(1,IF(H683&gt;0,AX683/H683,1))),IF(R683&gt;0,AY683/R683,0))/MAX(0.1,N(Parameter!$M$21)))</f>
        <v>0.0833333333333333</v>
      </c>
      <c r="BA683" s="50" t="n">
        <f aca="false">AZ683*BY683</f>
        <v>12.0833333333333</v>
      </c>
      <c r="BB683" s="50" t="n">
        <f aca="false">AX683*G683</f>
        <v>18037.88</v>
      </c>
      <c r="BC683" s="50" t="n">
        <f aca="false">ROUNDUP(MAX(J683/IF(CD683&gt;0,CD683,MAX(0.1,N(Cockpit!$O$6))),CG683)/BV683,0)*BV683</f>
        <v>4</v>
      </c>
      <c r="BD683" s="51" t="n">
        <f aca="false">IF(BA683&gt;0,J683/BA683,-1)</f>
        <v>0.413793103448276</v>
      </c>
      <c r="BE683" s="51" t="n">
        <f aca="false">IF(AND(OR(CC683="L1",CC683="L23",CC683="LIFT"),BA683&gt;0),SUMIFS($BA$7:$BA$1843,$CC$7:$CC$1843,CC683,$BD$7:$BD$1843,"&gt;"&amp;BD683)+SUMIFS($BA$7:$BA$1843,$CC$7:$CC$1843,CC683,$BD$7:$BD$1843,BD683,$BT$7:$BT$1843,"&lt;="&amp;BT683),"")</f>
        <v>13623.4162087912</v>
      </c>
      <c r="BF683" s="58" t="n">
        <f aca="false">IF(BE683="",0,MAX(0,MIN(1,(IF(CC683="L1",Parameter!$H$5,IF(CC683="L23",Parameter!$H$6+Parameter!$H$7,Parameter!$H$5+Parameter!$H$6+Parameter!$H$7))-(BE683-BA683))/BA683)))</f>
        <v>1</v>
      </c>
      <c r="BG683" s="48" t="str">
        <f aca="false">IF(AI683&lt;=0,"",IF(CC683="Aussen","Aussenlager",IF(CC683="-","Nicht im Lift",IF(AN683&gt;=1,"Lift",IF(AN683&lt;=0,"Aussenlager","teilweise")))))</f>
        <v/>
      </c>
      <c r="BH683" s="48" t="str">
        <f aca="false">IF(AR683&lt;=0,"",IF(CC683="Aussen","Aussenlager",IF(CC683="-","Nicht im Lift",IF(AW683&gt;=1,"Lift",IF(AW683&lt;=0,"Aussenlager","teilweise")))))</f>
        <v>Lift</v>
      </c>
      <c r="BI683" s="48" t="str">
        <f aca="false">IF(BA683&lt;=0,"",IF(CC683="Aussen","Aussenlager",IF(CC683="-","Nicht im Lift",IF(BF683&gt;=1,"Lift",IF(BF683&lt;=0,"Aussenlager","teilweise")))))</f>
        <v>Lift</v>
      </c>
      <c r="BJ683" s="48" t="str">
        <f aca="false">IF(A683="","",IF(BS683=1,"Neu; ","")&amp;IF(AND(BS683=0,BN683&lt;0),"negativer Bestand (Export "&amp;BN683&amp;"); ","")&amp;IF(J683&lt;=0,"Kein Verbrauch; ","")&amp;IF(CL683&gt;0,"Lift "&amp;W683&amp;" lt. Liftbericht (Fach "&amp;X683&amp;" Stk); ",IF(BX683=1,"Gebinde geschätzt ("&amp;T683&amp;"); ",IF(BW683=1,"Lose – Tablare geschätzt; ","")))&amp;IF(H683&gt;AT683,"Überbestand "&amp;ROUND(H683-AT683,0)&amp;" Stk / CHF "&amp;ROUND((H683-AT683)*G683,0)&amp;"; ","")&amp;IF(AND(CE683=1,CF683&lt;CG683),"MAX &lt; MB+LG; ","")&amp;IF(AND(CK683&gt;0,CJ683*10&gt;CK683),"zu hoch für Tablar; ","")&amp;IF(AND(BS683=0,OR(CE683=1,AA683&lt;&gt;"",U683&lt;&gt;"",V683&lt;&gt;"",AB683&lt;&gt;"")),"manuell übersteuert; ","")&amp;IF(AND(BW683=0,R683=0),"Gebinde unbekannt / Stellmass fehlt; ","")&amp;IF(AND(BW683=0,N(V683)&lt;=0,N(Q683)&lt;=0),"Menge pro Gebinde fehlt (Ist = 1 Gebinde); ","")&amp;BR683)</f>
        <v>Gebinde geschätzt (Mittel); Menge pro Gebinde fehlt (Ist = 1 Gebinde); </v>
      </c>
      <c r="BK683" s="48"/>
      <c r="BL683" s="48"/>
      <c r="BM683" s="55"/>
      <c r="BN683" s="50" t="n">
        <v>0</v>
      </c>
      <c r="BO683" s="50" t="n">
        <v>0</v>
      </c>
      <c r="BP683" s="49" t="n">
        <v>0</v>
      </c>
      <c r="BQ683" s="50" t="n">
        <v>5</v>
      </c>
      <c r="BR683" s="48"/>
      <c r="BS683" s="53" t="n">
        <v>0</v>
      </c>
      <c r="BT683" s="53" t="n">
        <v>683</v>
      </c>
      <c r="BU683" s="48" t="str">
        <f aca="false">IF(U683&lt;&gt;"",UPPER(TRIM(U683)),IF(BX683=1,UPPER(VLOOKUP(T683,Parameter!$I$27:$K$29,2,0)),IF(P683="","LOSE",P683)))</f>
        <v>S61</v>
      </c>
      <c r="BV683" s="50" t="n">
        <f aca="false">IF(BU683="LOSE",1,IF(N(V683)&gt;0,V683,IF(BX683=1,MAX(1,N(VLOOKUP(T683,Parameter!$I$27:$K$29,3,0)),H683,N(N683)),IF(N(Q683)&gt;0,Q683,MAX(1,H683)))))</f>
        <v>4</v>
      </c>
      <c r="BW683" s="53" t="n">
        <f aca="false">IF(BU683="LOSE",1,0)</f>
        <v>0</v>
      </c>
      <c r="BX683" s="53" t="n">
        <f aca="false">IF(AND(U683="",OR(P683="",P683="LOSE"),T683&lt;&gt;"",N(S683)&lt;=0,ISNUMBER(MATCH(T683,Parameter!$I$27:$I$29,0))),1,0)</f>
        <v>1</v>
      </c>
      <c r="BY683" s="53" t="n">
        <f aca="false">IF(CL683&gt;0,INDEX(Parameter!$H$5:$H$7,W683)/INDEX(Parameter!$E$5:$E$7,W683),IF(AND(BW683=0,N(IFERROR(VLOOKUP(BU683,'Gebinde-Kategorie'!$A$5:$N$45,14,0),0))&gt;0),VLOOKUP(BU683,'Gebinde-Kategorie'!$A$5:$N$45,14,0)*10+Parameter!$M$23,Parameter!$M$24))</f>
        <v>145</v>
      </c>
      <c r="BZ683" s="48" t="str">
        <f aca="false">IF(AND(Parameter!$B$19="Ja",E683&lt;&gt;"",ISNUMBER(MATCH(E683,Parameter!$I$35:$I$52,0))),VLOOKUP(E683,Parameter!$I$35:$J$52,2,0),IFERROR(VLOOKUP(D683,Parameter!$A$35:$C$64,2,0),"Nein"))</f>
        <v>2+3</v>
      </c>
      <c r="CA683" s="52" t="n">
        <f aca="false">IF(BW683=0,0,IF(N(S683)&gt;0,S683,IFERROR(VLOOKUP(D683,Parameter!$A$35:$C$64,3,0)+0,0)))</f>
        <v>0</v>
      </c>
      <c r="CB683" s="48" t="n">
        <f aca="false">IF(AA683&lt;&gt;"",AA683,Z683)</f>
        <v>2</v>
      </c>
      <c r="CC683" s="48" t="str">
        <f aca="false">IF(OR(CB683=1,CB683=2,CB683=3),IF(Parameter!$E$27="Ja","LIFT",IF(CB683=1,"L1","L23")),IF(CB683="Aussen","Aussen","-"))</f>
        <v>LIFT</v>
      </c>
      <c r="CD683" s="59" t="n">
        <f aca="false">IF(N(AB683)&gt;0,AB683,0)</f>
        <v>0</v>
      </c>
      <c r="CE683" s="53" t="n">
        <f aca="false">IF(ISNUMBER(AE683),1,0)</f>
        <v>0</v>
      </c>
      <c r="CF683" s="50" t="n">
        <f aca="false">N(AE683)</f>
        <v>0</v>
      </c>
      <c r="CG683" s="50" t="n">
        <f aca="false">N(M683)+N(N683)</f>
        <v>1</v>
      </c>
      <c r="CH683" s="50" t="n">
        <f aca="false">ROUNDUP(H683/BV683,0)</f>
        <v>0</v>
      </c>
      <c r="CI683" s="50" t="n">
        <f aca="false">ROUNDUP(CF683/BV683,0)</f>
        <v>0</v>
      </c>
      <c r="CJ683" s="53" t="n">
        <f aca="false">IF(BW683=1,0,IFERROR(VLOOKUP(BU683,'Gebinde-Kategorie'!$A$5:$N$45,5,0)+0,0))</f>
        <v>11</v>
      </c>
      <c r="CK683" s="53" t="n">
        <f aca="false">IFERROR(IF(OR(CB683=1,CB683=2,CB683=3),N(INDEX(Parameter!$I$5:$I$7,CB683)),0),0)</f>
        <v>0</v>
      </c>
      <c r="CL683" s="52" t="n">
        <f aca="false">IF(AND(Parameter!$B$21="Ja",ISNUMBER(W683),N(X683)&gt;0),IFERROR(N(INDEX(Parameter!$L$5:$L$7,W683))*INDEX(Parameter!$E$5:$E$7,W683)*X683/SUMIFS($X$7:$X$1843,$W$7:$W$1843,W683),0),0)</f>
        <v>0</v>
      </c>
    </row>
    <row r="684" customFormat="false" ht="15" hidden="false" customHeight="false" outlineLevel="0" collapsed="false">
      <c r="A684" s="48" t="s">
        <v>1374</v>
      </c>
      <c r="B684" s="48" t="s">
        <v>1375</v>
      </c>
      <c r="C684" s="48" t="s">
        <v>168</v>
      </c>
      <c r="D684" s="48" t="s">
        <v>854</v>
      </c>
      <c r="E684" s="48"/>
      <c r="F684" s="48" t="s">
        <v>222</v>
      </c>
      <c r="G684" s="49" t="n">
        <v>159</v>
      </c>
      <c r="H684" s="50" t="n">
        <f aca="false">MAX(0,IF(AND(Parameter!$B$21="Ja",ISNUMBER(Y684)),Y684,IF(Parameter!$B$20="Jahresanfang 2025 + Export",BO684+BN684,BN684)))</f>
        <v>0</v>
      </c>
      <c r="I684" s="50" t="n">
        <f aca="false">H684*G684</f>
        <v>0</v>
      </c>
      <c r="J684" s="50" t="n">
        <f aca="false">BQ684*Parameter!$B$18</f>
        <v>0</v>
      </c>
      <c r="K684" s="51" t="n">
        <v>0</v>
      </c>
      <c r="L684" s="52" t="n">
        <v>0</v>
      </c>
      <c r="M684" s="50" t="n">
        <v>0</v>
      </c>
      <c r="N684" s="50" t="n">
        <v>1</v>
      </c>
      <c r="O684" s="53" t="n">
        <v>0</v>
      </c>
      <c r="P684" s="48" t="s">
        <v>172</v>
      </c>
      <c r="Q684" s="50"/>
      <c r="R684" s="53" t="n">
        <f aca="false">IF(BW684=1,0,IFERROR(VLOOKUP(BU684,'Gebinde-Kategorie'!$A$5:$N$45,13,0)+0,0))</f>
        <v>0</v>
      </c>
      <c r="S684" s="54"/>
      <c r="T684" s="55"/>
      <c r="U684" s="55"/>
      <c r="V684" s="55"/>
      <c r="W684" s="48"/>
      <c r="X684" s="50"/>
      <c r="Y684" s="50"/>
      <c r="Z684" s="48" t="str">
        <f aca="false">IF(A684="","",IF(AND(Parameter!$B$21="Ja",ISNUMBER(W684)),W684,IF(BZ684="2+3",IF(ISNUMBER(SEARCH("grosser Artikel",BR684)),2,IFERROR(VLOOKUP(BU684,Parameter!$F$35:$G$64,2,0),2)),IF(OR(BZ684="Nein",BZ684=""),"-",BZ684))))</f>
        <v>-</v>
      </c>
      <c r="AA684" s="55"/>
      <c r="AB684" s="56"/>
      <c r="AC684" s="50" t="n">
        <f aca="false">AT684</f>
        <v>1</v>
      </c>
      <c r="AD684" s="50" t="n">
        <f aca="false">MAX(AT684,H684)</f>
        <v>1</v>
      </c>
      <c r="AE684" s="57"/>
      <c r="AF684" s="50" t="n">
        <f aca="false">IF(LEFT(Cockpit!$C$5,1)="A",H684,IF(CE684=1,CF684,IF(LEFT(Cockpit!$C$5,1)="B",AK684,MAX(AK684,H684))))</f>
        <v>0</v>
      </c>
      <c r="AG684" s="50" t="n">
        <f aca="false">IF(BW684=1,0,ROUNDUP(AF684/BV684,0))</f>
        <v>0</v>
      </c>
      <c r="AH684" s="52" t="n">
        <f aca="false">IF(CL684&gt;0,CL684*MAX(1,AF684/X684),IF(BW684=1,IF(AF684&lt;=0,0,CA684*MAX(1,IF(H684&gt;0,AF684/H684,1))),IF(R684&gt;0,AG684/R684,0))/MAX(0.1,N(Parameter!$M$21)))</f>
        <v>0</v>
      </c>
      <c r="AI684" s="50" t="n">
        <f aca="false">AH684*BY684</f>
        <v>0</v>
      </c>
      <c r="AJ684" s="50" t="n">
        <f aca="false">AF684*G684</f>
        <v>0</v>
      </c>
      <c r="AK684" s="50" t="n">
        <f aca="false">ROUNDUP(MAX(J684/IF(CD684&gt;0,CD684,MAX(0.1,N(Cockpit!$C$6))),CG684)/BV684,0)*BV684</f>
        <v>1</v>
      </c>
      <c r="AL684" s="51" t="n">
        <f aca="false">IF(AI684&gt;0,J684/AI684,-1)</f>
        <v>-1</v>
      </c>
      <c r="AM684" s="51" t="str">
        <f aca="false">IF(AND(OR(CC684="L1",CC684="L23",CC684="LIFT"),AI684&gt;0),SUMIFS($AI$7:$AI$1843,$CC$7:$CC$1843,CC684,$AL$7:$AL$1843,"&gt;"&amp;AL684)+SUMIFS($AI$7:$AI$1843,$CC$7:$CC$1843,CC684,$AL$7:$AL$1843,AL684,$BT$7:$BT$1843,"&lt;="&amp;BT684),"")</f>
        <v/>
      </c>
      <c r="AN684" s="58" t="n">
        <f aca="false">IF(AM684="",0,MAX(0,MIN(1,(IF(CC684="L1",Parameter!$H$5,IF(CC684="L23",Parameter!$H$6+Parameter!$H$7,Parameter!$H$5+Parameter!$H$6+Parameter!$H$7))-(AM684-AI684))/AI684)))</f>
        <v>0</v>
      </c>
      <c r="AO684" s="50" t="n">
        <f aca="false">IF(LEFT(Cockpit!$I$5,1)="A",H684,IF(CE684=1,CF684,IF(LEFT(Cockpit!$I$5,1)="B",AT684,MAX(AT684,H684))))</f>
        <v>1</v>
      </c>
      <c r="AP684" s="50" t="n">
        <f aca="false">IF(BW684=1,0,ROUNDUP(AO684/BV684,0))</f>
        <v>0</v>
      </c>
      <c r="AQ684" s="52" t="n">
        <f aca="false">IF(CL684&gt;0,CL684*MAX(1,AO684/X684),IF(BW684=1,IF(AO684&lt;=0,0,CA684*MAX(1,IF(H684&gt;0,AO684/H684,1))),IF(R684&gt;0,AP684/R684,0))/MAX(0.1,N(Parameter!$M$21)))</f>
        <v>0.15</v>
      </c>
      <c r="AR684" s="50" t="n">
        <f aca="false">AQ684*BY684</f>
        <v>35.25</v>
      </c>
      <c r="AS684" s="50" t="n">
        <f aca="false">AO684*G684</f>
        <v>159</v>
      </c>
      <c r="AT684" s="50" t="n">
        <f aca="false">ROUNDUP(MAX(J684/IF(CD684&gt;0,CD684,MAX(0.1,N(Cockpit!$I$6))),CG684)/BV684,0)*BV684</f>
        <v>1</v>
      </c>
      <c r="AU684" s="51" t="n">
        <f aca="false">IF(AR684&gt;0,J684/AR684,-1)</f>
        <v>0</v>
      </c>
      <c r="AV684" s="51" t="str">
        <f aca="false">IF(AND(OR(CC684="L1",CC684="L23",CC684="LIFT"),AR684&gt;0),SUMIFS($AR$7:$AR$1843,$CC$7:$CC$1843,CC684,$AU$7:$AU$1843,"&gt;"&amp;AU684)+SUMIFS($AR$7:$AR$1843,$CC$7:$CC$1843,CC684,$AU$7:$AU$1843,AU684,$BT$7:$BT$1843,"&lt;="&amp;BT684),"")</f>
        <v/>
      </c>
      <c r="AW684" s="58" t="n">
        <f aca="false">IF(AV684="",0,MAX(0,MIN(1,(IF(CC684="L1",Parameter!$H$5,IF(CC684="L23",Parameter!$H$6+Parameter!$H$7,Parameter!$H$5+Parameter!$H$6+Parameter!$H$7))-(AV684-AR684))/AR684)))</f>
        <v>0</v>
      </c>
      <c r="AX684" s="50" t="n">
        <f aca="false">IF(LEFT(Cockpit!$O$5,1)="A",H684,IF(CE684=1,CF684,IF(LEFT(Cockpit!$O$5,1)="B",BC684,MAX(BC684,H684))))</f>
        <v>1</v>
      </c>
      <c r="AY684" s="50" t="n">
        <f aca="false">IF(BW684=1,0,ROUNDUP(AX684/BV684,0))</f>
        <v>0</v>
      </c>
      <c r="AZ684" s="52" t="n">
        <f aca="false">IF(CL684&gt;0,CL684*MAX(1,AX684/X684),IF(BW684=1,IF(AX684&lt;=0,0,CA684*MAX(1,IF(H684&gt;0,AX684/H684,1))),IF(R684&gt;0,AY684/R684,0))/MAX(0.1,N(Parameter!$M$21)))</f>
        <v>0.15</v>
      </c>
      <c r="BA684" s="50" t="n">
        <f aca="false">AZ684*BY684</f>
        <v>35.25</v>
      </c>
      <c r="BB684" s="50" t="n">
        <f aca="false">AX684*G684</f>
        <v>159</v>
      </c>
      <c r="BC684" s="50" t="n">
        <f aca="false">ROUNDUP(MAX(J684/IF(CD684&gt;0,CD684,MAX(0.1,N(Cockpit!$O$6))),CG684)/BV684,0)*BV684</f>
        <v>1</v>
      </c>
      <c r="BD684" s="51" t="n">
        <f aca="false">IF(BA684&gt;0,J684/BA684,-1)</f>
        <v>0</v>
      </c>
      <c r="BE684" s="51" t="str">
        <f aca="false">IF(AND(OR(CC684="L1",CC684="L23",CC684="LIFT"),BA684&gt;0),SUMIFS($BA$7:$BA$1843,$CC$7:$CC$1843,CC684,$BD$7:$BD$1843,"&gt;"&amp;BD684)+SUMIFS($BA$7:$BA$1843,$CC$7:$CC$1843,CC684,$BD$7:$BD$1843,BD684,$BT$7:$BT$1843,"&lt;="&amp;BT684),"")</f>
        <v/>
      </c>
      <c r="BF684" s="58" t="n">
        <f aca="false">IF(BE684="",0,MAX(0,MIN(1,(IF(CC684="L1",Parameter!$H$5,IF(CC684="L23",Parameter!$H$6+Parameter!$H$7,Parameter!$H$5+Parameter!$H$6+Parameter!$H$7))-(BE684-BA684))/BA684)))</f>
        <v>0</v>
      </c>
      <c r="BG684" s="48" t="str">
        <f aca="false">IF(AI684&lt;=0,"",IF(CC684="Aussen","Aussenlager",IF(CC684="-","Nicht im Lift",IF(AN684&gt;=1,"Lift",IF(AN684&lt;=0,"Aussenlager","teilweise")))))</f>
        <v/>
      </c>
      <c r="BH684" s="48" t="str">
        <f aca="false">IF(AR684&lt;=0,"",IF(CC684="Aussen","Aussenlager",IF(CC684="-","Nicht im Lift",IF(AW684&gt;=1,"Lift",IF(AW684&lt;=0,"Aussenlager","teilweise")))))</f>
        <v>Nicht im Lift</v>
      </c>
      <c r="BI684" s="48" t="str">
        <f aca="false">IF(BA684&lt;=0,"",IF(CC684="Aussen","Aussenlager",IF(CC684="-","Nicht im Lift",IF(BF684&gt;=1,"Lift",IF(BF684&lt;=0,"Aussenlager","teilweise")))))</f>
        <v>Nicht im Lift</v>
      </c>
      <c r="BJ684" s="48" t="str">
        <f aca="false">IF(A684="","",IF(BS684=1,"Neu; ","")&amp;IF(AND(BS684=0,BN684&lt;0),"negativer Bestand (Export "&amp;BN684&amp;"); ","")&amp;IF(J684&lt;=0,"Kein Verbrauch; ","")&amp;IF(CL684&gt;0,"Lift "&amp;W684&amp;" lt. Liftbericht (Fach "&amp;X684&amp;" Stk); ",IF(BX684=1,"Gebinde geschätzt ("&amp;T684&amp;"); ",IF(BW684=1,"Lose – Tablare geschätzt; ","")))&amp;IF(H684&gt;AT684,"Überbestand "&amp;ROUND(H684-AT684,0)&amp;" Stk / CHF "&amp;ROUND((H684-AT684)*G684,0)&amp;"; ","")&amp;IF(AND(CE684=1,CF684&lt;CG684),"MAX &lt; MB+LG; ","")&amp;IF(AND(CK684&gt;0,CJ684*10&gt;CK684),"zu hoch für Tablar; ","")&amp;IF(AND(BS684=0,OR(CE684=1,AA684&lt;&gt;"",U684&lt;&gt;"",V684&lt;&gt;"",AB684&lt;&gt;"")),"manuell übersteuert; ","")&amp;IF(AND(BW684=0,R684=0),"Gebinde unbekannt / Stellmass fehlt; ","")&amp;IF(AND(BW684=0,N(V684)&lt;=0,N(Q684)&lt;=0),"Menge pro Gebinde fehlt (Ist = 1 Gebinde); ","")&amp;BR684)</f>
        <v>Kein Verbrauch; Lose – Tablare geschätzt; </v>
      </c>
      <c r="BK684" s="48"/>
      <c r="BL684" s="48"/>
      <c r="BM684" s="55"/>
      <c r="BN684" s="50" t="n">
        <v>0</v>
      </c>
      <c r="BO684" s="50" t="n">
        <v>0</v>
      </c>
      <c r="BP684" s="49" t="n">
        <v>0</v>
      </c>
      <c r="BQ684" s="50" t="n">
        <v>0</v>
      </c>
      <c r="BR684" s="48"/>
      <c r="BS684" s="53" t="n">
        <v>0</v>
      </c>
      <c r="BT684" s="53" t="n">
        <v>684</v>
      </c>
      <c r="BU684" s="48" t="str">
        <f aca="false">IF(U684&lt;&gt;"",UPPER(TRIM(U684)),IF(BX684=1,UPPER(VLOOKUP(T684,Parameter!$I$27:$K$29,2,0)),IF(P684="","LOSE",P684)))</f>
        <v>LOSE</v>
      </c>
      <c r="BV684" s="50" t="n">
        <f aca="false">IF(BU684="LOSE",1,IF(N(V684)&gt;0,V684,IF(BX684=1,MAX(1,N(VLOOKUP(T684,Parameter!$I$27:$K$29,3,0)),H684,N(N684)),IF(N(Q684)&gt;0,Q684,MAX(1,H684)))))</f>
        <v>1</v>
      </c>
      <c r="BW684" s="53" t="n">
        <f aca="false">IF(BU684="LOSE",1,0)</f>
        <v>1</v>
      </c>
      <c r="BX684" s="53" t="n">
        <f aca="false">IF(AND(U684="",OR(P684="",P684="LOSE"),T684&lt;&gt;"",N(S684)&lt;=0,ISNUMBER(MATCH(T684,Parameter!$I$27:$I$29,0))),1,0)</f>
        <v>0</v>
      </c>
      <c r="BY684" s="53" t="n">
        <f aca="false">IF(CL684&gt;0,INDEX(Parameter!$H$5:$H$7,W684)/INDEX(Parameter!$E$5:$E$7,W684),IF(AND(BW684=0,N(IFERROR(VLOOKUP(BU684,'Gebinde-Kategorie'!$A$5:$N$45,14,0),0))&gt;0),VLOOKUP(BU684,'Gebinde-Kategorie'!$A$5:$N$45,14,0)*10+Parameter!$M$23,Parameter!$M$24))</f>
        <v>235</v>
      </c>
      <c r="BZ684" s="48" t="str">
        <f aca="false">IF(AND(Parameter!$B$19="Ja",E684&lt;&gt;"",ISNUMBER(MATCH(E684,Parameter!$I$35:$I$52,0))),VLOOKUP(E684,Parameter!$I$35:$J$52,2,0),IFERROR(VLOOKUP(D684,Parameter!$A$35:$C$64,2,0),"Nein"))</f>
        <v>Nein</v>
      </c>
      <c r="CA684" s="52" t="n">
        <f aca="false">IF(BW684=0,0,IF(N(S684)&gt;0,S684,IFERROR(VLOOKUP(D684,Parameter!$A$35:$C$64,3,0)+0,0)))</f>
        <v>0.15</v>
      </c>
      <c r="CB684" s="48" t="str">
        <f aca="false">IF(AA684&lt;&gt;"",AA684,Z684)</f>
        <v>-</v>
      </c>
      <c r="CC684" s="48" t="str">
        <f aca="false">IF(OR(CB684=1,CB684=2,CB684=3),IF(Parameter!$E$27="Ja","LIFT",IF(CB684=1,"L1","L23")),IF(CB684="Aussen","Aussen","-"))</f>
        <v>-</v>
      </c>
      <c r="CD684" s="59" t="n">
        <f aca="false">IF(N(AB684)&gt;0,AB684,0)</f>
        <v>0</v>
      </c>
      <c r="CE684" s="53" t="n">
        <f aca="false">IF(ISNUMBER(AE684),1,0)</f>
        <v>0</v>
      </c>
      <c r="CF684" s="50" t="n">
        <f aca="false">N(AE684)</f>
        <v>0</v>
      </c>
      <c r="CG684" s="50" t="n">
        <f aca="false">N(M684)+N(N684)</f>
        <v>1</v>
      </c>
      <c r="CH684" s="50" t="n">
        <f aca="false">ROUNDUP(H684/BV684,0)</f>
        <v>0</v>
      </c>
      <c r="CI684" s="50" t="n">
        <f aca="false">ROUNDUP(CF684/BV684,0)</f>
        <v>0</v>
      </c>
      <c r="CJ684" s="53" t="n">
        <f aca="false">IF(BW684=1,0,IFERROR(VLOOKUP(BU684,'Gebinde-Kategorie'!$A$5:$N$45,5,0)+0,0))</f>
        <v>0</v>
      </c>
      <c r="CK684" s="53" t="n">
        <f aca="false">IFERROR(IF(OR(CB684=1,CB684=2,CB684=3),N(INDEX(Parameter!$I$5:$I$7,CB684)),0),0)</f>
        <v>0</v>
      </c>
      <c r="CL684" s="52" t="n">
        <f aca="false">IF(AND(Parameter!$B$21="Ja",ISNUMBER(W684),N(X684)&gt;0),IFERROR(N(INDEX(Parameter!$L$5:$L$7,W684))*INDEX(Parameter!$E$5:$E$7,W684)*X684/SUMIFS($X$7:$X$1843,$W$7:$W$1843,W684),0),0)</f>
        <v>0</v>
      </c>
    </row>
    <row r="685" customFormat="false" ht="15" hidden="false" customHeight="false" outlineLevel="0" collapsed="false">
      <c r="A685" s="48" t="s">
        <v>1376</v>
      </c>
      <c r="B685" s="48" t="s">
        <v>1377</v>
      </c>
      <c r="C685" s="48" t="s">
        <v>168</v>
      </c>
      <c r="D685" s="48" t="s">
        <v>999</v>
      </c>
      <c r="E685" s="48"/>
      <c r="F685" s="48" t="s">
        <v>222</v>
      </c>
      <c r="G685" s="49" t="n">
        <v>3157.32</v>
      </c>
      <c r="H685" s="50" t="n">
        <f aca="false">MAX(0,IF(AND(Parameter!$B$21="Ja",ISNUMBER(Y685)),Y685,IF(Parameter!$B$20="Jahresanfang 2025 + Export",BO685+BN685,BN685)))</f>
        <v>0</v>
      </c>
      <c r="I685" s="50" t="n">
        <f aca="false">H685*G685</f>
        <v>0</v>
      </c>
      <c r="J685" s="50" t="n">
        <f aca="false">BQ685*Parameter!$B$18</f>
        <v>3</v>
      </c>
      <c r="K685" s="51" t="n">
        <v>0</v>
      </c>
      <c r="L685" s="52" t="n">
        <v>0</v>
      </c>
      <c r="M685" s="50" t="n">
        <v>0</v>
      </c>
      <c r="N685" s="50" t="n">
        <v>1</v>
      </c>
      <c r="O685" s="53" t="n">
        <v>70</v>
      </c>
      <c r="P685" s="48" t="s">
        <v>172</v>
      </c>
      <c r="Q685" s="50"/>
      <c r="R685" s="53" t="n">
        <f aca="false">IF(BW685=1,0,IFERROR(VLOOKUP(BU685,'Gebinde-Kategorie'!$A$5:$N$45,13,0)+0,0))</f>
        <v>0</v>
      </c>
      <c r="S685" s="54"/>
      <c r="T685" s="55"/>
      <c r="U685" s="55"/>
      <c r="V685" s="55"/>
      <c r="W685" s="48"/>
      <c r="X685" s="50"/>
      <c r="Y685" s="50"/>
      <c r="Z685" s="48" t="str">
        <f aca="false">IF(A685="","",IF(AND(Parameter!$B$21="Ja",ISNUMBER(W685)),W685,IF(BZ685="2+3",IF(ISNUMBER(SEARCH("grosser Artikel",BR685)),2,IFERROR(VLOOKUP(BU685,Parameter!$F$35:$G$64,2,0),2)),IF(OR(BZ685="Nein",BZ685=""),"-",BZ685))))</f>
        <v>-</v>
      </c>
      <c r="AA685" s="55"/>
      <c r="AB685" s="56"/>
      <c r="AC685" s="50" t="n">
        <f aca="false">AT685</f>
        <v>2</v>
      </c>
      <c r="AD685" s="50" t="n">
        <f aca="false">MAX(AT685,H685)</f>
        <v>2</v>
      </c>
      <c r="AE685" s="57"/>
      <c r="AF685" s="50" t="n">
        <f aca="false">IF(LEFT(Cockpit!$C$5,1)="A",H685,IF(CE685=1,CF685,IF(LEFT(Cockpit!$C$5,1)="B",AK685,MAX(AK685,H685))))</f>
        <v>0</v>
      </c>
      <c r="AG685" s="50" t="n">
        <f aca="false">IF(BW685=1,0,ROUNDUP(AF685/BV685,0))</f>
        <v>0</v>
      </c>
      <c r="AH685" s="52" t="n">
        <f aca="false">IF(CL685&gt;0,CL685*MAX(1,AF685/X685),IF(BW685=1,IF(AF685&lt;=0,0,CA685*MAX(1,IF(H685&gt;0,AF685/H685,1))),IF(R685&gt;0,AG685/R685,0))/MAX(0.1,N(Parameter!$M$21)))</f>
        <v>0</v>
      </c>
      <c r="AI685" s="50" t="n">
        <f aca="false">AH685*BY685</f>
        <v>0</v>
      </c>
      <c r="AJ685" s="50" t="n">
        <f aca="false">AF685*G685</f>
        <v>0</v>
      </c>
      <c r="AK685" s="50" t="n">
        <f aca="false">ROUNDUP(MAX(J685/IF(CD685&gt;0,CD685,MAX(0.1,N(Cockpit!$C$6))),CG685)/BV685,0)*BV685</f>
        <v>2</v>
      </c>
      <c r="AL685" s="51" t="n">
        <f aca="false">IF(AI685&gt;0,J685/AI685,-1)</f>
        <v>-1</v>
      </c>
      <c r="AM685" s="51" t="str">
        <f aca="false">IF(AND(OR(CC685="L1",CC685="L23",CC685="LIFT"),AI685&gt;0),SUMIFS($AI$7:$AI$1843,$CC$7:$CC$1843,CC685,$AL$7:$AL$1843,"&gt;"&amp;AL685)+SUMIFS($AI$7:$AI$1843,$CC$7:$CC$1843,CC685,$AL$7:$AL$1843,AL685,$BT$7:$BT$1843,"&lt;="&amp;BT685),"")</f>
        <v/>
      </c>
      <c r="AN685" s="58" t="n">
        <f aca="false">IF(AM685="",0,MAX(0,MIN(1,(IF(CC685="L1",Parameter!$H$5,IF(CC685="L23",Parameter!$H$6+Parameter!$H$7,Parameter!$H$5+Parameter!$H$6+Parameter!$H$7))-(AM685-AI685))/AI685)))</f>
        <v>0</v>
      </c>
      <c r="AO685" s="50" t="n">
        <f aca="false">IF(LEFT(Cockpit!$I$5,1)="A",H685,IF(CE685=1,CF685,IF(LEFT(Cockpit!$I$5,1)="B",AT685,MAX(AT685,H685))))</f>
        <v>2</v>
      </c>
      <c r="AP685" s="50" t="n">
        <f aca="false">IF(BW685=1,0,ROUNDUP(AO685/BV685,0))</f>
        <v>0</v>
      </c>
      <c r="AQ685" s="52" t="n">
        <f aca="false">IF(CL685&gt;0,CL685*MAX(1,AO685/X685),IF(BW685=1,IF(AO685&lt;=0,0,CA685*MAX(1,IF(H685&gt;0,AO685/H685,1))),IF(R685&gt;0,AP685/R685,0))/MAX(0.1,N(Parameter!$M$21)))</f>
        <v>0.15</v>
      </c>
      <c r="AR685" s="50" t="n">
        <f aca="false">AQ685*BY685</f>
        <v>35.25</v>
      </c>
      <c r="AS685" s="50" t="n">
        <f aca="false">AO685*G685</f>
        <v>6314.64</v>
      </c>
      <c r="AT685" s="50" t="n">
        <f aca="false">ROUNDUP(MAX(J685/IF(CD685&gt;0,CD685,MAX(0.1,N(Cockpit!$I$6))),CG685)/BV685,0)*BV685</f>
        <v>2</v>
      </c>
      <c r="AU685" s="51" t="n">
        <f aca="false">IF(AR685&gt;0,J685/AR685,-1)</f>
        <v>0.0851063829787234</v>
      </c>
      <c r="AV685" s="51" t="str">
        <f aca="false">IF(AND(OR(CC685="L1",CC685="L23",CC685="LIFT"),AR685&gt;0),SUMIFS($AR$7:$AR$1843,$CC$7:$CC$1843,CC685,$AU$7:$AU$1843,"&gt;"&amp;AU685)+SUMIFS($AR$7:$AR$1843,$CC$7:$CC$1843,CC685,$AU$7:$AU$1843,AU685,$BT$7:$BT$1843,"&lt;="&amp;BT685),"")</f>
        <v/>
      </c>
      <c r="AW685" s="58" t="n">
        <f aca="false">IF(AV685="",0,MAX(0,MIN(1,(IF(CC685="L1",Parameter!$H$5,IF(CC685="L23",Parameter!$H$6+Parameter!$H$7,Parameter!$H$5+Parameter!$H$6+Parameter!$H$7))-(AV685-AR685))/AR685)))</f>
        <v>0</v>
      </c>
      <c r="AX685" s="50" t="n">
        <f aca="false">IF(LEFT(Cockpit!$O$5,1)="A",H685,IF(CE685=1,CF685,IF(LEFT(Cockpit!$O$5,1)="B",BC685,MAX(BC685,H685))))</f>
        <v>1</v>
      </c>
      <c r="AY685" s="50" t="n">
        <f aca="false">IF(BW685=1,0,ROUNDUP(AX685/BV685,0))</f>
        <v>0</v>
      </c>
      <c r="AZ685" s="52" t="n">
        <f aca="false">IF(CL685&gt;0,CL685*MAX(1,AX685/X685),IF(BW685=1,IF(AX685&lt;=0,0,CA685*MAX(1,IF(H685&gt;0,AX685/H685,1))),IF(R685&gt;0,AY685/R685,0))/MAX(0.1,N(Parameter!$M$21)))</f>
        <v>0.15</v>
      </c>
      <c r="BA685" s="50" t="n">
        <f aca="false">AZ685*BY685</f>
        <v>35.25</v>
      </c>
      <c r="BB685" s="50" t="n">
        <f aca="false">AX685*G685</f>
        <v>3157.32</v>
      </c>
      <c r="BC685" s="50" t="n">
        <f aca="false">ROUNDUP(MAX(J685/IF(CD685&gt;0,CD685,MAX(0.1,N(Cockpit!$O$6))),CG685)/BV685,0)*BV685</f>
        <v>1</v>
      </c>
      <c r="BD685" s="51" t="n">
        <f aca="false">IF(BA685&gt;0,J685/BA685,-1)</f>
        <v>0.0851063829787234</v>
      </c>
      <c r="BE685" s="51" t="str">
        <f aca="false">IF(AND(OR(CC685="L1",CC685="L23",CC685="LIFT"),BA685&gt;0),SUMIFS($BA$7:$BA$1843,$CC$7:$CC$1843,CC685,$BD$7:$BD$1843,"&gt;"&amp;BD685)+SUMIFS($BA$7:$BA$1843,$CC$7:$CC$1843,CC685,$BD$7:$BD$1843,BD685,$BT$7:$BT$1843,"&lt;="&amp;BT685),"")</f>
        <v/>
      </c>
      <c r="BF685" s="58" t="n">
        <f aca="false">IF(BE685="",0,MAX(0,MIN(1,(IF(CC685="L1",Parameter!$H$5,IF(CC685="L23",Parameter!$H$6+Parameter!$H$7,Parameter!$H$5+Parameter!$H$6+Parameter!$H$7))-(BE685-BA685))/BA685)))</f>
        <v>0</v>
      </c>
      <c r="BG685" s="48" t="str">
        <f aca="false">IF(AI685&lt;=0,"",IF(CC685="Aussen","Aussenlager",IF(CC685="-","Nicht im Lift",IF(AN685&gt;=1,"Lift",IF(AN685&lt;=0,"Aussenlager","teilweise")))))</f>
        <v/>
      </c>
      <c r="BH685" s="48" t="str">
        <f aca="false">IF(AR685&lt;=0,"",IF(CC685="Aussen","Aussenlager",IF(CC685="-","Nicht im Lift",IF(AW685&gt;=1,"Lift",IF(AW685&lt;=0,"Aussenlager","teilweise")))))</f>
        <v>Nicht im Lift</v>
      </c>
      <c r="BI685" s="48" t="str">
        <f aca="false">IF(BA685&lt;=0,"",IF(CC685="Aussen","Aussenlager",IF(CC685="-","Nicht im Lift",IF(BF685&gt;=1,"Lift",IF(BF685&lt;=0,"Aussenlager","teilweise")))))</f>
        <v>Nicht im Lift</v>
      </c>
      <c r="BJ685" s="48" t="str">
        <f aca="false">IF(A685="","",IF(BS685=1,"Neu; ","")&amp;IF(AND(BS685=0,BN685&lt;0),"negativer Bestand (Export "&amp;BN685&amp;"); ","")&amp;IF(J685&lt;=0,"Kein Verbrauch; ","")&amp;IF(CL685&gt;0,"Lift "&amp;W685&amp;" lt. Liftbericht (Fach "&amp;X685&amp;" Stk); ",IF(BX685=1,"Gebinde geschätzt ("&amp;T685&amp;"); ",IF(BW685=1,"Lose – Tablare geschätzt; ","")))&amp;IF(H685&gt;AT685,"Überbestand "&amp;ROUND(H685-AT685,0)&amp;" Stk / CHF "&amp;ROUND((H685-AT685)*G685,0)&amp;"; ","")&amp;IF(AND(CE685=1,CF685&lt;CG685),"MAX &lt; MB+LG; ","")&amp;IF(AND(CK685&gt;0,CJ685*10&gt;CK685),"zu hoch für Tablar; ","")&amp;IF(AND(BS685=0,OR(CE685=1,AA685&lt;&gt;"",U685&lt;&gt;"",V685&lt;&gt;"",AB685&lt;&gt;"")),"manuell übersteuert; ","")&amp;IF(AND(BW685=0,R685=0),"Gebinde unbekannt / Stellmass fehlt; ","")&amp;IF(AND(BW685=0,N(V685)&lt;=0,N(Q685)&lt;=0),"Menge pro Gebinde fehlt (Ist = 1 Gebinde); ","")&amp;BR685)</f>
        <v>Lose – Tablare geschätzt; </v>
      </c>
      <c r="BK685" s="48"/>
      <c r="BL685" s="48"/>
      <c r="BM685" s="55"/>
      <c r="BN685" s="50" t="n">
        <v>0</v>
      </c>
      <c r="BO685" s="50" t="n">
        <v>0</v>
      </c>
      <c r="BP685" s="49" t="n">
        <v>0</v>
      </c>
      <c r="BQ685" s="50" t="n">
        <v>3</v>
      </c>
      <c r="BR685" s="48"/>
      <c r="BS685" s="53" t="n">
        <v>0</v>
      </c>
      <c r="BT685" s="53" t="n">
        <v>685</v>
      </c>
      <c r="BU685" s="48" t="str">
        <f aca="false">IF(U685&lt;&gt;"",UPPER(TRIM(U685)),IF(BX685=1,UPPER(VLOOKUP(T685,Parameter!$I$27:$K$29,2,0)),IF(P685="","LOSE",P685)))</f>
        <v>LOSE</v>
      </c>
      <c r="BV685" s="50" t="n">
        <f aca="false">IF(BU685="LOSE",1,IF(N(V685)&gt;0,V685,IF(BX685=1,MAX(1,N(VLOOKUP(T685,Parameter!$I$27:$K$29,3,0)),H685,N(N685)),IF(N(Q685)&gt;0,Q685,MAX(1,H685)))))</f>
        <v>1</v>
      </c>
      <c r="BW685" s="53" t="n">
        <f aca="false">IF(BU685="LOSE",1,0)</f>
        <v>1</v>
      </c>
      <c r="BX685" s="53" t="n">
        <f aca="false">IF(AND(U685="",OR(P685="",P685="LOSE"),T685&lt;&gt;"",N(S685)&lt;=0,ISNUMBER(MATCH(T685,Parameter!$I$27:$I$29,0))),1,0)</f>
        <v>0</v>
      </c>
      <c r="BY685" s="53" t="n">
        <f aca="false">IF(CL685&gt;0,INDEX(Parameter!$H$5:$H$7,W685)/INDEX(Parameter!$E$5:$E$7,W685),IF(AND(BW685=0,N(IFERROR(VLOOKUP(BU685,'Gebinde-Kategorie'!$A$5:$N$45,14,0),0))&gt;0),VLOOKUP(BU685,'Gebinde-Kategorie'!$A$5:$N$45,14,0)*10+Parameter!$M$23,Parameter!$M$24))</f>
        <v>235</v>
      </c>
      <c r="BZ685" s="48" t="str">
        <f aca="false">IF(AND(Parameter!$B$19="Ja",E685&lt;&gt;"",ISNUMBER(MATCH(E685,Parameter!$I$35:$I$52,0))),VLOOKUP(E685,Parameter!$I$35:$J$52,2,0),IFERROR(VLOOKUP(D685,Parameter!$A$35:$C$64,2,0),"Nein"))</f>
        <v>Nein</v>
      </c>
      <c r="CA685" s="52" t="n">
        <f aca="false">IF(BW685=0,0,IF(N(S685)&gt;0,S685,IFERROR(VLOOKUP(D685,Parameter!$A$35:$C$64,3,0)+0,0)))</f>
        <v>0.15</v>
      </c>
      <c r="CB685" s="48" t="str">
        <f aca="false">IF(AA685&lt;&gt;"",AA685,Z685)</f>
        <v>-</v>
      </c>
      <c r="CC685" s="48" t="str">
        <f aca="false">IF(OR(CB685=1,CB685=2,CB685=3),IF(Parameter!$E$27="Ja","LIFT",IF(CB685=1,"L1","L23")),IF(CB685="Aussen","Aussen","-"))</f>
        <v>-</v>
      </c>
      <c r="CD685" s="59" t="n">
        <f aca="false">IF(N(AB685)&gt;0,AB685,0)</f>
        <v>0</v>
      </c>
      <c r="CE685" s="53" t="n">
        <f aca="false">IF(ISNUMBER(AE685),1,0)</f>
        <v>0</v>
      </c>
      <c r="CF685" s="50" t="n">
        <f aca="false">N(AE685)</f>
        <v>0</v>
      </c>
      <c r="CG685" s="50" t="n">
        <f aca="false">N(M685)+N(N685)</f>
        <v>1</v>
      </c>
      <c r="CH685" s="50" t="n">
        <f aca="false">ROUNDUP(H685/BV685,0)</f>
        <v>0</v>
      </c>
      <c r="CI685" s="50" t="n">
        <f aca="false">ROUNDUP(CF685/BV685,0)</f>
        <v>0</v>
      </c>
      <c r="CJ685" s="53" t="n">
        <f aca="false">IF(BW685=1,0,IFERROR(VLOOKUP(BU685,'Gebinde-Kategorie'!$A$5:$N$45,5,0)+0,0))</f>
        <v>0</v>
      </c>
      <c r="CK685" s="53" t="n">
        <f aca="false">IFERROR(IF(OR(CB685=1,CB685=2,CB685=3),N(INDEX(Parameter!$I$5:$I$7,CB685)),0),0)</f>
        <v>0</v>
      </c>
      <c r="CL685" s="52" t="n">
        <f aca="false">IF(AND(Parameter!$B$21="Ja",ISNUMBER(W685),N(X685)&gt;0),IFERROR(N(INDEX(Parameter!$L$5:$L$7,W685))*INDEX(Parameter!$E$5:$E$7,W685)*X685/SUMIFS($X$7:$X$1843,$W$7:$W$1843,W685),0),0)</f>
        <v>0</v>
      </c>
    </row>
    <row r="686" customFormat="false" ht="15" hidden="false" customHeight="false" outlineLevel="0" collapsed="false">
      <c r="A686" s="48" t="s">
        <v>1378</v>
      </c>
      <c r="B686" s="48" t="s">
        <v>1342</v>
      </c>
      <c r="C686" s="48" t="s">
        <v>168</v>
      </c>
      <c r="D686" s="48" t="s">
        <v>1343</v>
      </c>
      <c r="E686" s="48"/>
      <c r="F686" s="48" t="s">
        <v>222</v>
      </c>
      <c r="G686" s="49" t="n">
        <v>0.65</v>
      </c>
      <c r="H686" s="50" t="n">
        <f aca="false">MAX(0,IF(AND(Parameter!$B$21="Ja",ISNUMBER(Y686)),Y686,IF(Parameter!$B$20="Jahresanfang 2025 + Export",BO686+BN686,BN686)))</f>
        <v>0</v>
      </c>
      <c r="I686" s="50" t="n">
        <f aca="false">H686*G686</f>
        <v>0</v>
      </c>
      <c r="J686" s="50" t="n">
        <f aca="false">BQ686*Parameter!$B$18</f>
        <v>0</v>
      </c>
      <c r="K686" s="51" t="n">
        <v>0</v>
      </c>
      <c r="L686" s="52" t="n">
        <v>0</v>
      </c>
      <c r="M686" s="50" t="n">
        <v>0</v>
      </c>
      <c r="N686" s="50" t="n">
        <v>1000</v>
      </c>
      <c r="O686" s="53" t="n">
        <v>21</v>
      </c>
      <c r="P686" s="48" t="s">
        <v>172</v>
      </c>
      <c r="Q686" s="50"/>
      <c r="R686" s="53" t="n">
        <f aca="false">IF(BW686=1,0,IFERROR(VLOOKUP(BU686,'Gebinde-Kategorie'!$A$5:$N$45,13,0)+0,0))</f>
        <v>0</v>
      </c>
      <c r="S686" s="54"/>
      <c r="T686" s="55"/>
      <c r="U686" s="55"/>
      <c r="V686" s="55"/>
      <c r="W686" s="48"/>
      <c r="X686" s="50"/>
      <c r="Y686" s="50"/>
      <c r="Z686" s="48" t="str">
        <f aca="false">IF(A686="","",IF(AND(Parameter!$B$21="Ja",ISNUMBER(W686)),W686,IF(BZ686="2+3",IF(ISNUMBER(SEARCH("grosser Artikel",BR686)),2,IFERROR(VLOOKUP(BU686,Parameter!$F$35:$G$64,2,0),2)),IF(OR(BZ686="Nein",BZ686=""),"-",BZ686))))</f>
        <v>-</v>
      </c>
      <c r="AA686" s="55"/>
      <c r="AB686" s="56"/>
      <c r="AC686" s="50" t="n">
        <f aca="false">AT686</f>
        <v>1000</v>
      </c>
      <c r="AD686" s="50" t="n">
        <f aca="false">MAX(AT686,H686)</f>
        <v>1000</v>
      </c>
      <c r="AE686" s="57"/>
      <c r="AF686" s="50" t="n">
        <f aca="false">IF(LEFT(Cockpit!$C$5,1)="A",H686,IF(CE686=1,CF686,IF(LEFT(Cockpit!$C$5,1)="B",AK686,MAX(AK686,H686))))</f>
        <v>0</v>
      </c>
      <c r="AG686" s="50" t="n">
        <f aca="false">IF(BW686=1,0,ROUNDUP(AF686/BV686,0))</f>
        <v>0</v>
      </c>
      <c r="AH686" s="52" t="n">
        <f aca="false">IF(CL686&gt;0,CL686*MAX(1,AF686/X686),IF(BW686=1,IF(AF686&lt;=0,0,CA686*MAX(1,IF(H686&gt;0,AF686/H686,1))),IF(R686&gt;0,AG686/R686,0))/MAX(0.1,N(Parameter!$M$21)))</f>
        <v>0</v>
      </c>
      <c r="AI686" s="50" t="n">
        <f aca="false">AH686*BY686</f>
        <v>0</v>
      </c>
      <c r="AJ686" s="50" t="n">
        <f aca="false">AF686*G686</f>
        <v>0</v>
      </c>
      <c r="AK686" s="50" t="n">
        <f aca="false">ROUNDUP(MAX(J686/IF(CD686&gt;0,CD686,MAX(0.1,N(Cockpit!$C$6))),CG686)/BV686,0)*BV686</f>
        <v>1000</v>
      </c>
      <c r="AL686" s="51" t="n">
        <f aca="false">IF(AI686&gt;0,J686/AI686,-1)</f>
        <v>-1</v>
      </c>
      <c r="AM686" s="51" t="str">
        <f aca="false">IF(AND(OR(CC686="L1",CC686="L23",CC686="LIFT"),AI686&gt;0),SUMIFS($AI$7:$AI$1843,$CC$7:$CC$1843,CC686,$AL$7:$AL$1843,"&gt;"&amp;AL686)+SUMIFS($AI$7:$AI$1843,$CC$7:$CC$1843,CC686,$AL$7:$AL$1843,AL686,$BT$7:$BT$1843,"&lt;="&amp;BT686),"")</f>
        <v/>
      </c>
      <c r="AN686" s="58" t="n">
        <f aca="false">IF(AM686="",0,MAX(0,MIN(1,(IF(CC686="L1",Parameter!$H$5,IF(CC686="L23",Parameter!$H$6+Parameter!$H$7,Parameter!$H$5+Parameter!$H$6+Parameter!$H$7))-(AM686-AI686))/AI686)))</f>
        <v>0</v>
      </c>
      <c r="AO686" s="50" t="n">
        <f aca="false">IF(LEFT(Cockpit!$I$5,1)="A",H686,IF(CE686=1,CF686,IF(LEFT(Cockpit!$I$5,1)="B",AT686,MAX(AT686,H686))))</f>
        <v>1000</v>
      </c>
      <c r="AP686" s="50" t="n">
        <f aca="false">IF(BW686=1,0,ROUNDUP(AO686/BV686,0))</f>
        <v>0</v>
      </c>
      <c r="AQ686" s="52" t="n">
        <f aca="false">IF(CL686&gt;0,CL686*MAX(1,AO686/X686),IF(BW686=1,IF(AO686&lt;=0,0,CA686*MAX(1,IF(H686&gt;0,AO686/H686,1))),IF(R686&gt;0,AP686/R686,0))/MAX(0.1,N(Parameter!$M$21)))</f>
        <v>0.15</v>
      </c>
      <c r="AR686" s="50" t="n">
        <f aca="false">AQ686*BY686</f>
        <v>35.25</v>
      </c>
      <c r="AS686" s="50" t="n">
        <f aca="false">AO686*G686</f>
        <v>650</v>
      </c>
      <c r="AT686" s="50" t="n">
        <f aca="false">ROUNDUP(MAX(J686/IF(CD686&gt;0,CD686,MAX(0.1,N(Cockpit!$I$6))),CG686)/BV686,0)*BV686</f>
        <v>1000</v>
      </c>
      <c r="AU686" s="51" t="n">
        <f aca="false">IF(AR686&gt;0,J686/AR686,-1)</f>
        <v>0</v>
      </c>
      <c r="AV686" s="51" t="str">
        <f aca="false">IF(AND(OR(CC686="L1",CC686="L23",CC686="LIFT"),AR686&gt;0),SUMIFS($AR$7:$AR$1843,$CC$7:$CC$1843,CC686,$AU$7:$AU$1843,"&gt;"&amp;AU686)+SUMIFS($AR$7:$AR$1843,$CC$7:$CC$1843,CC686,$AU$7:$AU$1843,AU686,$BT$7:$BT$1843,"&lt;="&amp;BT686),"")</f>
        <v/>
      </c>
      <c r="AW686" s="58" t="n">
        <f aca="false">IF(AV686="",0,MAX(0,MIN(1,(IF(CC686="L1",Parameter!$H$5,IF(CC686="L23",Parameter!$H$6+Parameter!$H$7,Parameter!$H$5+Parameter!$H$6+Parameter!$H$7))-(AV686-AR686))/AR686)))</f>
        <v>0</v>
      </c>
      <c r="AX686" s="50" t="n">
        <f aca="false">IF(LEFT(Cockpit!$O$5,1)="A",H686,IF(CE686=1,CF686,IF(LEFT(Cockpit!$O$5,1)="B",BC686,MAX(BC686,H686))))</f>
        <v>1000</v>
      </c>
      <c r="AY686" s="50" t="n">
        <f aca="false">IF(BW686=1,0,ROUNDUP(AX686/BV686,0))</f>
        <v>0</v>
      </c>
      <c r="AZ686" s="52" t="n">
        <f aca="false">IF(CL686&gt;0,CL686*MAX(1,AX686/X686),IF(BW686=1,IF(AX686&lt;=0,0,CA686*MAX(1,IF(H686&gt;0,AX686/H686,1))),IF(R686&gt;0,AY686/R686,0))/MAX(0.1,N(Parameter!$M$21)))</f>
        <v>0.15</v>
      </c>
      <c r="BA686" s="50" t="n">
        <f aca="false">AZ686*BY686</f>
        <v>35.25</v>
      </c>
      <c r="BB686" s="50" t="n">
        <f aca="false">AX686*G686</f>
        <v>650</v>
      </c>
      <c r="BC686" s="50" t="n">
        <f aca="false">ROUNDUP(MAX(J686/IF(CD686&gt;0,CD686,MAX(0.1,N(Cockpit!$O$6))),CG686)/BV686,0)*BV686</f>
        <v>1000</v>
      </c>
      <c r="BD686" s="51" t="n">
        <f aca="false">IF(BA686&gt;0,J686/BA686,-1)</f>
        <v>0</v>
      </c>
      <c r="BE686" s="51" t="str">
        <f aca="false">IF(AND(OR(CC686="L1",CC686="L23",CC686="LIFT"),BA686&gt;0),SUMIFS($BA$7:$BA$1843,$CC$7:$CC$1843,CC686,$BD$7:$BD$1843,"&gt;"&amp;BD686)+SUMIFS($BA$7:$BA$1843,$CC$7:$CC$1843,CC686,$BD$7:$BD$1843,BD686,$BT$7:$BT$1843,"&lt;="&amp;BT686),"")</f>
        <v/>
      </c>
      <c r="BF686" s="58" t="n">
        <f aca="false">IF(BE686="",0,MAX(0,MIN(1,(IF(CC686="L1",Parameter!$H$5,IF(CC686="L23",Parameter!$H$6+Parameter!$H$7,Parameter!$H$5+Parameter!$H$6+Parameter!$H$7))-(BE686-BA686))/BA686)))</f>
        <v>0</v>
      </c>
      <c r="BG686" s="48" t="str">
        <f aca="false">IF(AI686&lt;=0,"",IF(CC686="Aussen","Aussenlager",IF(CC686="-","Nicht im Lift",IF(AN686&gt;=1,"Lift",IF(AN686&lt;=0,"Aussenlager","teilweise")))))</f>
        <v/>
      </c>
      <c r="BH686" s="48" t="str">
        <f aca="false">IF(AR686&lt;=0,"",IF(CC686="Aussen","Aussenlager",IF(CC686="-","Nicht im Lift",IF(AW686&gt;=1,"Lift",IF(AW686&lt;=0,"Aussenlager","teilweise")))))</f>
        <v>Nicht im Lift</v>
      </c>
      <c r="BI686" s="48" t="str">
        <f aca="false">IF(BA686&lt;=0,"",IF(CC686="Aussen","Aussenlager",IF(CC686="-","Nicht im Lift",IF(BF686&gt;=1,"Lift",IF(BF686&lt;=0,"Aussenlager","teilweise")))))</f>
        <v>Nicht im Lift</v>
      </c>
      <c r="BJ686" s="48" t="str">
        <f aca="false">IF(A686="","",IF(BS686=1,"Neu; ","")&amp;IF(AND(BS686=0,BN686&lt;0),"negativer Bestand (Export "&amp;BN686&amp;"); ","")&amp;IF(J686&lt;=0,"Kein Verbrauch; ","")&amp;IF(CL686&gt;0,"Lift "&amp;W686&amp;" lt. Liftbericht (Fach "&amp;X686&amp;" Stk); ",IF(BX686=1,"Gebinde geschätzt ("&amp;T686&amp;"); ",IF(BW686=1,"Lose – Tablare geschätzt; ","")))&amp;IF(H686&gt;AT686,"Überbestand "&amp;ROUND(H686-AT686,0)&amp;" Stk / CHF "&amp;ROUND((H686-AT686)*G686,0)&amp;"; ","")&amp;IF(AND(CE686=1,CF686&lt;CG686),"MAX &lt; MB+LG; ","")&amp;IF(AND(CK686&gt;0,CJ686*10&gt;CK686),"zu hoch für Tablar; ","")&amp;IF(AND(BS686=0,OR(CE686=1,AA686&lt;&gt;"",U686&lt;&gt;"",V686&lt;&gt;"",AB686&lt;&gt;"")),"manuell übersteuert; ","")&amp;IF(AND(BW686=0,R686=0),"Gebinde unbekannt / Stellmass fehlt; ","")&amp;IF(AND(BW686=0,N(V686)&lt;=0,N(Q686)&lt;=0),"Menge pro Gebinde fehlt (Ist = 1 Gebinde); ","")&amp;BR686)</f>
        <v>Kein Verbrauch; Lose – Tablare geschätzt; </v>
      </c>
      <c r="BK686" s="48"/>
      <c r="BL686" s="48"/>
      <c r="BM686" s="55"/>
      <c r="BN686" s="50" t="n">
        <v>0</v>
      </c>
      <c r="BO686" s="50" t="n">
        <v>0</v>
      </c>
      <c r="BP686" s="49" t="n">
        <v>0</v>
      </c>
      <c r="BQ686" s="50" t="n">
        <v>0</v>
      </c>
      <c r="BR686" s="48"/>
      <c r="BS686" s="53" t="n">
        <v>0</v>
      </c>
      <c r="BT686" s="53" t="n">
        <v>686</v>
      </c>
      <c r="BU686" s="48" t="str">
        <f aca="false">IF(U686&lt;&gt;"",UPPER(TRIM(U686)),IF(BX686=1,UPPER(VLOOKUP(T686,Parameter!$I$27:$K$29,2,0)),IF(P686="","LOSE",P686)))</f>
        <v>LOSE</v>
      </c>
      <c r="BV686" s="50" t="n">
        <f aca="false">IF(BU686="LOSE",1,IF(N(V686)&gt;0,V686,IF(BX686=1,MAX(1,N(VLOOKUP(T686,Parameter!$I$27:$K$29,3,0)),H686,N(N686)),IF(N(Q686)&gt;0,Q686,MAX(1,H686)))))</f>
        <v>1</v>
      </c>
      <c r="BW686" s="53" t="n">
        <f aca="false">IF(BU686="LOSE",1,0)</f>
        <v>1</v>
      </c>
      <c r="BX686" s="53" t="n">
        <f aca="false">IF(AND(U686="",OR(P686="",P686="LOSE"),T686&lt;&gt;"",N(S686)&lt;=0,ISNUMBER(MATCH(T686,Parameter!$I$27:$I$29,0))),1,0)</f>
        <v>0</v>
      </c>
      <c r="BY686" s="53" t="n">
        <f aca="false">IF(CL686&gt;0,INDEX(Parameter!$H$5:$H$7,W686)/INDEX(Parameter!$E$5:$E$7,W686),IF(AND(BW686=0,N(IFERROR(VLOOKUP(BU686,'Gebinde-Kategorie'!$A$5:$N$45,14,0),0))&gt;0),VLOOKUP(BU686,'Gebinde-Kategorie'!$A$5:$N$45,14,0)*10+Parameter!$M$23,Parameter!$M$24))</f>
        <v>235</v>
      </c>
      <c r="BZ686" s="48" t="str">
        <f aca="false">IF(AND(Parameter!$B$19="Ja",E686&lt;&gt;"",ISNUMBER(MATCH(E686,Parameter!$I$35:$I$52,0))),VLOOKUP(E686,Parameter!$I$35:$J$52,2,0),IFERROR(VLOOKUP(D686,Parameter!$A$35:$C$64,2,0),"Nein"))</f>
        <v>Nein</v>
      </c>
      <c r="CA686" s="52" t="n">
        <f aca="false">IF(BW686=0,0,IF(N(S686)&gt;0,S686,IFERROR(VLOOKUP(D686,Parameter!$A$35:$C$64,3,0)+0,0)))</f>
        <v>0.15</v>
      </c>
      <c r="CB686" s="48" t="str">
        <f aca="false">IF(AA686&lt;&gt;"",AA686,Z686)</f>
        <v>-</v>
      </c>
      <c r="CC686" s="48" t="str">
        <f aca="false">IF(OR(CB686=1,CB686=2,CB686=3),IF(Parameter!$E$27="Ja","LIFT",IF(CB686=1,"L1","L23")),IF(CB686="Aussen","Aussen","-"))</f>
        <v>-</v>
      </c>
      <c r="CD686" s="59" t="n">
        <f aca="false">IF(N(AB686)&gt;0,AB686,0)</f>
        <v>0</v>
      </c>
      <c r="CE686" s="53" t="n">
        <f aca="false">IF(ISNUMBER(AE686),1,0)</f>
        <v>0</v>
      </c>
      <c r="CF686" s="50" t="n">
        <f aca="false">N(AE686)</f>
        <v>0</v>
      </c>
      <c r="CG686" s="50" t="n">
        <f aca="false">N(M686)+N(N686)</f>
        <v>1000</v>
      </c>
      <c r="CH686" s="50" t="n">
        <f aca="false">ROUNDUP(H686/BV686,0)</f>
        <v>0</v>
      </c>
      <c r="CI686" s="50" t="n">
        <f aca="false">ROUNDUP(CF686/BV686,0)</f>
        <v>0</v>
      </c>
      <c r="CJ686" s="53" t="n">
        <f aca="false">IF(BW686=1,0,IFERROR(VLOOKUP(BU686,'Gebinde-Kategorie'!$A$5:$N$45,5,0)+0,0))</f>
        <v>0</v>
      </c>
      <c r="CK686" s="53" t="n">
        <f aca="false">IFERROR(IF(OR(CB686=1,CB686=2,CB686=3),N(INDEX(Parameter!$I$5:$I$7,CB686)),0),0)</f>
        <v>0</v>
      </c>
      <c r="CL686" s="52" t="n">
        <f aca="false">IF(AND(Parameter!$B$21="Ja",ISNUMBER(W686),N(X686)&gt;0),IFERROR(N(INDEX(Parameter!$L$5:$L$7,W686))*INDEX(Parameter!$E$5:$E$7,W686)*X686/SUMIFS($X$7:$X$1843,$W$7:$W$1843,W686),0),0)</f>
        <v>0</v>
      </c>
    </row>
    <row r="687" customFormat="false" ht="15" hidden="false" customHeight="false" outlineLevel="0" collapsed="false">
      <c r="A687" s="48" t="s">
        <v>1379</v>
      </c>
      <c r="B687" s="48" t="s">
        <v>1366</v>
      </c>
      <c r="C687" s="48" t="s">
        <v>168</v>
      </c>
      <c r="D687" s="48" t="s">
        <v>999</v>
      </c>
      <c r="E687" s="48"/>
      <c r="F687" s="48" t="s">
        <v>222</v>
      </c>
      <c r="G687" s="49" t="n">
        <v>2743.64</v>
      </c>
      <c r="H687" s="50" t="n">
        <f aca="false">MAX(0,IF(AND(Parameter!$B$21="Ja",ISNUMBER(Y687)),Y687,IF(Parameter!$B$20="Jahresanfang 2025 + Export",BO687+BN687,BN687)))</f>
        <v>0</v>
      </c>
      <c r="I687" s="50" t="n">
        <f aca="false">H687*G687</f>
        <v>0</v>
      </c>
      <c r="J687" s="50" t="n">
        <f aca="false">BQ687*Parameter!$B$18</f>
        <v>3</v>
      </c>
      <c r="K687" s="51" t="n">
        <v>0</v>
      </c>
      <c r="L687" s="52" t="n">
        <v>0</v>
      </c>
      <c r="M687" s="50" t="n">
        <v>0</v>
      </c>
      <c r="N687" s="50" t="n">
        <v>1</v>
      </c>
      <c r="O687" s="53" t="n">
        <v>70</v>
      </c>
      <c r="P687" s="48" t="s">
        <v>172</v>
      </c>
      <c r="Q687" s="50"/>
      <c r="R687" s="53" t="n">
        <f aca="false">IF(BW687=1,0,IFERROR(VLOOKUP(BU687,'Gebinde-Kategorie'!$A$5:$N$45,13,0)+0,0))</f>
        <v>0</v>
      </c>
      <c r="S687" s="54"/>
      <c r="T687" s="55"/>
      <c r="U687" s="55"/>
      <c r="V687" s="55"/>
      <c r="W687" s="48"/>
      <c r="X687" s="50"/>
      <c r="Y687" s="50"/>
      <c r="Z687" s="48" t="str">
        <f aca="false">IF(A687="","",IF(AND(Parameter!$B$21="Ja",ISNUMBER(W687)),W687,IF(BZ687="2+3",IF(ISNUMBER(SEARCH("grosser Artikel",BR687)),2,IFERROR(VLOOKUP(BU687,Parameter!$F$35:$G$64,2,0),2)),IF(OR(BZ687="Nein",BZ687=""),"-",BZ687))))</f>
        <v>-</v>
      </c>
      <c r="AA687" s="55"/>
      <c r="AB687" s="56"/>
      <c r="AC687" s="50" t="n">
        <f aca="false">AT687</f>
        <v>2</v>
      </c>
      <c r="AD687" s="50" t="n">
        <f aca="false">MAX(AT687,H687)</f>
        <v>2</v>
      </c>
      <c r="AE687" s="57"/>
      <c r="AF687" s="50" t="n">
        <f aca="false">IF(LEFT(Cockpit!$C$5,1)="A",H687,IF(CE687=1,CF687,IF(LEFT(Cockpit!$C$5,1)="B",AK687,MAX(AK687,H687))))</f>
        <v>0</v>
      </c>
      <c r="AG687" s="50" t="n">
        <f aca="false">IF(BW687=1,0,ROUNDUP(AF687/BV687,0))</f>
        <v>0</v>
      </c>
      <c r="AH687" s="52" t="n">
        <f aca="false">IF(CL687&gt;0,CL687*MAX(1,AF687/X687),IF(BW687=1,IF(AF687&lt;=0,0,CA687*MAX(1,IF(H687&gt;0,AF687/H687,1))),IF(R687&gt;0,AG687/R687,0))/MAX(0.1,N(Parameter!$M$21)))</f>
        <v>0</v>
      </c>
      <c r="AI687" s="50" t="n">
        <f aca="false">AH687*BY687</f>
        <v>0</v>
      </c>
      <c r="AJ687" s="50" t="n">
        <f aca="false">AF687*G687</f>
        <v>0</v>
      </c>
      <c r="AK687" s="50" t="n">
        <f aca="false">ROUNDUP(MAX(J687/IF(CD687&gt;0,CD687,MAX(0.1,N(Cockpit!$C$6))),CG687)/BV687,0)*BV687</f>
        <v>2</v>
      </c>
      <c r="AL687" s="51" t="n">
        <f aca="false">IF(AI687&gt;0,J687/AI687,-1)</f>
        <v>-1</v>
      </c>
      <c r="AM687" s="51" t="str">
        <f aca="false">IF(AND(OR(CC687="L1",CC687="L23",CC687="LIFT"),AI687&gt;0),SUMIFS($AI$7:$AI$1843,$CC$7:$CC$1843,CC687,$AL$7:$AL$1843,"&gt;"&amp;AL687)+SUMIFS($AI$7:$AI$1843,$CC$7:$CC$1843,CC687,$AL$7:$AL$1843,AL687,$BT$7:$BT$1843,"&lt;="&amp;BT687),"")</f>
        <v/>
      </c>
      <c r="AN687" s="58" t="n">
        <f aca="false">IF(AM687="",0,MAX(0,MIN(1,(IF(CC687="L1",Parameter!$H$5,IF(CC687="L23",Parameter!$H$6+Parameter!$H$7,Parameter!$H$5+Parameter!$H$6+Parameter!$H$7))-(AM687-AI687))/AI687)))</f>
        <v>0</v>
      </c>
      <c r="AO687" s="50" t="n">
        <f aca="false">IF(LEFT(Cockpit!$I$5,1)="A",H687,IF(CE687=1,CF687,IF(LEFT(Cockpit!$I$5,1)="B",AT687,MAX(AT687,H687))))</f>
        <v>2</v>
      </c>
      <c r="AP687" s="50" t="n">
        <f aca="false">IF(BW687=1,0,ROUNDUP(AO687/BV687,0))</f>
        <v>0</v>
      </c>
      <c r="AQ687" s="52" t="n">
        <f aca="false">IF(CL687&gt;0,CL687*MAX(1,AO687/X687),IF(BW687=1,IF(AO687&lt;=0,0,CA687*MAX(1,IF(H687&gt;0,AO687/H687,1))),IF(R687&gt;0,AP687/R687,0))/MAX(0.1,N(Parameter!$M$21)))</f>
        <v>0.15</v>
      </c>
      <c r="AR687" s="50" t="n">
        <f aca="false">AQ687*BY687</f>
        <v>35.25</v>
      </c>
      <c r="AS687" s="50" t="n">
        <f aca="false">AO687*G687</f>
        <v>5487.28</v>
      </c>
      <c r="AT687" s="50" t="n">
        <f aca="false">ROUNDUP(MAX(J687/IF(CD687&gt;0,CD687,MAX(0.1,N(Cockpit!$I$6))),CG687)/BV687,0)*BV687</f>
        <v>2</v>
      </c>
      <c r="AU687" s="51" t="n">
        <f aca="false">IF(AR687&gt;0,J687/AR687,-1)</f>
        <v>0.0851063829787234</v>
      </c>
      <c r="AV687" s="51" t="str">
        <f aca="false">IF(AND(OR(CC687="L1",CC687="L23",CC687="LIFT"),AR687&gt;0),SUMIFS($AR$7:$AR$1843,$CC$7:$CC$1843,CC687,$AU$7:$AU$1843,"&gt;"&amp;AU687)+SUMIFS($AR$7:$AR$1843,$CC$7:$CC$1843,CC687,$AU$7:$AU$1843,AU687,$BT$7:$BT$1843,"&lt;="&amp;BT687),"")</f>
        <v/>
      </c>
      <c r="AW687" s="58" t="n">
        <f aca="false">IF(AV687="",0,MAX(0,MIN(1,(IF(CC687="L1",Parameter!$H$5,IF(CC687="L23",Parameter!$H$6+Parameter!$H$7,Parameter!$H$5+Parameter!$H$6+Parameter!$H$7))-(AV687-AR687))/AR687)))</f>
        <v>0</v>
      </c>
      <c r="AX687" s="50" t="n">
        <f aca="false">IF(LEFT(Cockpit!$O$5,1)="A",H687,IF(CE687=1,CF687,IF(LEFT(Cockpit!$O$5,1)="B",BC687,MAX(BC687,H687))))</f>
        <v>1</v>
      </c>
      <c r="AY687" s="50" t="n">
        <f aca="false">IF(BW687=1,0,ROUNDUP(AX687/BV687,0))</f>
        <v>0</v>
      </c>
      <c r="AZ687" s="52" t="n">
        <f aca="false">IF(CL687&gt;0,CL687*MAX(1,AX687/X687),IF(BW687=1,IF(AX687&lt;=0,0,CA687*MAX(1,IF(H687&gt;0,AX687/H687,1))),IF(R687&gt;0,AY687/R687,0))/MAX(0.1,N(Parameter!$M$21)))</f>
        <v>0.15</v>
      </c>
      <c r="BA687" s="50" t="n">
        <f aca="false">AZ687*BY687</f>
        <v>35.25</v>
      </c>
      <c r="BB687" s="50" t="n">
        <f aca="false">AX687*G687</f>
        <v>2743.64</v>
      </c>
      <c r="BC687" s="50" t="n">
        <f aca="false">ROUNDUP(MAX(J687/IF(CD687&gt;0,CD687,MAX(0.1,N(Cockpit!$O$6))),CG687)/BV687,0)*BV687</f>
        <v>1</v>
      </c>
      <c r="BD687" s="51" t="n">
        <f aca="false">IF(BA687&gt;0,J687/BA687,-1)</f>
        <v>0.0851063829787234</v>
      </c>
      <c r="BE687" s="51" t="str">
        <f aca="false">IF(AND(OR(CC687="L1",CC687="L23",CC687="LIFT"),BA687&gt;0),SUMIFS($BA$7:$BA$1843,$CC$7:$CC$1843,CC687,$BD$7:$BD$1843,"&gt;"&amp;BD687)+SUMIFS($BA$7:$BA$1843,$CC$7:$CC$1843,CC687,$BD$7:$BD$1843,BD687,$BT$7:$BT$1843,"&lt;="&amp;BT687),"")</f>
        <v/>
      </c>
      <c r="BF687" s="58" t="n">
        <f aca="false">IF(BE687="",0,MAX(0,MIN(1,(IF(CC687="L1",Parameter!$H$5,IF(CC687="L23",Parameter!$H$6+Parameter!$H$7,Parameter!$H$5+Parameter!$H$6+Parameter!$H$7))-(BE687-BA687))/BA687)))</f>
        <v>0</v>
      </c>
      <c r="BG687" s="48" t="str">
        <f aca="false">IF(AI687&lt;=0,"",IF(CC687="Aussen","Aussenlager",IF(CC687="-","Nicht im Lift",IF(AN687&gt;=1,"Lift",IF(AN687&lt;=0,"Aussenlager","teilweise")))))</f>
        <v/>
      </c>
      <c r="BH687" s="48" t="str">
        <f aca="false">IF(AR687&lt;=0,"",IF(CC687="Aussen","Aussenlager",IF(CC687="-","Nicht im Lift",IF(AW687&gt;=1,"Lift",IF(AW687&lt;=0,"Aussenlager","teilweise")))))</f>
        <v>Nicht im Lift</v>
      </c>
      <c r="BI687" s="48" t="str">
        <f aca="false">IF(BA687&lt;=0,"",IF(CC687="Aussen","Aussenlager",IF(CC687="-","Nicht im Lift",IF(BF687&gt;=1,"Lift",IF(BF687&lt;=0,"Aussenlager","teilweise")))))</f>
        <v>Nicht im Lift</v>
      </c>
      <c r="BJ687" s="48" t="str">
        <f aca="false">IF(A687="","",IF(BS687=1,"Neu; ","")&amp;IF(AND(BS687=0,BN687&lt;0),"negativer Bestand (Export "&amp;BN687&amp;"); ","")&amp;IF(J687&lt;=0,"Kein Verbrauch; ","")&amp;IF(CL687&gt;0,"Lift "&amp;W687&amp;" lt. Liftbericht (Fach "&amp;X687&amp;" Stk); ",IF(BX687=1,"Gebinde geschätzt ("&amp;T687&amp;"); ",IF(BW687=1,"Lose – Tablare geschätzt; ","")))&amp;IF(H687&gt;AT687,"Überbestand "&amp;ROUND(H687-AT687,0)&amp;" Stk / CHF "&amp;ROUND((H687-AT687)*G687,0)&amp;"; ","")&amp;IF(AND(CE687=1,CF687&lt;CG687),"MAX &lt; MB+LG; ","")&amp;IF(AND(CK687&gt;0,CJ687*10&gt;CK687),"zu hoch für Tablar; ","")&amp;IF(AND(BS687=0,OR(CE687=1,AA687&lt;&gt;"",U687&lt;&gt;"",V687&lt;&gt;"",AB687&lt;&gt;"")),"manuell übersteuert; ","")&amp;IF(AND(BW687=0,R687=0),"Gebinde unbekannt / Stellmass fehlt; ","")&amp;IF(AND(BW687=0,N(V687)&lt;=0,N(Q687)&lt;=0),"Menge pro Gebinde fehlt (Ist = 1 Gebinde); ","")&amp;BR687)</f>
        <v>Lose – Tablare geschätzt; </v>
      </c>
      <c r="BK687" s="48"/>
      <c r="BL687" s="48"/>
      <c r="BM687" s="55"/>
      <c r="BN687" s="50" t="n">
        <v>0</v>
      </c>
      <c r="BO687" s="50" t="n">
        <v>0</v>
      </c>
      <c r="BP687" s="49" t="n">
        <v>0</v>
      </c>
      <c r="BQ687" s="50" t="n">
        <v>3</v>
      </c>
      <c r="BR687" s="48"/>
      <c r="BS687" s="53" t="n">
        <v>0</v>
      </c>
      <c r="BT687" s="53" t="n">
        <v>687</v>
      </c>
      <c r="BU687" s="48" t="str">
        <f aca="false">IF(U687&lt;&gt;"",UPPER(TRIM(U687)),IF(BX687=1,UPPER(VLOOKUP(T687,Parameter!$I$27:$K$29,2,0)),IF(P687="","LOSE",P687)))</f>
        <v>LOSE</v>
      </c>
      <c r="BV687" s="50" t="n">
        <f aca="false">IF(BU687="LOSE",1,IF(N(V687)&gt;0,V687,IF(BX687=1,MAX(1,N(VLOOKUP(T687,Parameter!$I$27:$K$29,3,0)),H687,N(N687)),IF(N(Q687)&gt;0,Q687,MAX(1,H687)))))</f>
        <v>1</v>
      </c>
      <c r="BW687" s="53" t="n">
        <f aca="false">IF(BU687="LOSE",1,0)</f>
        <v>1</v>
      </c>
      <c r="BX687" s="53" t="n">
        <f aca="false">IF(AND(U687="",OR(P687="",P687="LOSE"),T687&lt;&gt;"",N(S687)&lt;=0,ISNUMBER(MATCH(T687,Parameter!$I$27:$I$29,0))),1,0)</f>
        <v>0</v>
      </c>
      <c r="BY687" s="53" t="n">
        <f aca="false">IF(CL687&gt;0,INDEX(Parameter!$H$5:$H$7,W687)/INDEX(Parameter!$E$5:$E$7,W687),IF(AND(BW687=0,N(IFERROR(VLOOKUP(BU687,'Gebinde-Kategorie'!$A$5:$N$45,14,0),0))&gt;0),VLOOKUP(BU687,'Gebinde-Kategorie'!$A$5:$N$45,14,0)*10+Parameter!$M$23,Parameter!$M$24))</f>
        <v>235</v>
      </c>
      <c r="BZ687" s="48" t="str">
        <f aca="false">IF(AND(Parameter!$B$19="Ja",E687&lt;&gt;"",ISNUMBER(MATCH(E687,Parameter!$I$35:$I$52,0))),VLOOKUP(E687,Parameter!$I$35:$J$52,2,0),IFERROR(VLOOKUP(D687,Parameter!$A$35:$C$64,2,0),"Nein"))</f>
        <v>Nein</v>
      </c>
      <c r="CA687" s="52" t="n">
        <f aca="false">IF(BW687=0,0,IF(N(S687)&gt;0,S687,IFERROR(VLOOKUP(D687,Parameter!$A$35:$C$64,3,0)+0,0)))</f>
        <v>0.15</v>
      </c>
      <c r="CB687" s="48" t="str">
        <f aca="false">IF(AA687&lt;&gt;"",AA687,Z687)</f>
        <v>-</v>
      </c>
      <c r="CC687" s="48" t="str">
        <f aca="false">IF(OR(CB687=1,CB687=2,CB687=3),IF(Parameter!$E$27="Ja","LIFT",IF(CB687=1,"L1","L23")),IF(CB687="Aussen","Aussen","-"))</f>
        <v>-</v>
      </c>
      <c r="CD687" s="59" t="n">
        <f aca="false">IF(N(AB687)&gt;0,AB687,0)</f>
        <v>0</v>
      </c>
      <c r="CE687" s="53" t="n">
        <f aca="false">IF(ISNUMBER(AE687),1,0)</f>
        <v>0</v>
      </c>
      <c r="CF687" s="50" t="n">
        <f aca="false">N(AE687)</f>
        <v>0</v>
      </c>
      <c r="CG687" s="50" t="n">
        <f aca="false">N(M687)+N(N687)</f>
        <v>1</v>
      </c>
      <c r="CH687" s="50" t="n">
        <f aca="false">ROUNDUP(H687/BV687,0)</f>
        <v>0</v>
      </c>
      <c r="CI687" s="50" t="n">
        <f aca="false">ROUNDUP(CF687/BV687,0)</f>
        <v>0</v>
      </c>
      <c r="CJ687" s="53" t="n">
        <f aca="false">IF(BW687=1,0,IFERROR(VLOOKUP(BU687,'Gebinde-Kategorie'!$A$5:$N$45,5,0)+0,0))</f>
        <v>0</v>
      </c>
      <c r="CK687" s="53" t="n">
        <f aca="false">IFERROR(IF(OR(CB687=1,CB687=2,CB687=3),N(INDEX(Parameter!$I$5:$I$7,CB687)),0),0)</f>
        <v>0</v>
      </c>
      <c r="CL687" s="52" t="n">
        <f aca="false">IF(AND(Parameter!$B$21="Ja",ISNUMBER(W687),N(X687)&gt;0),IFERROR(N(INDEX(Parameter!$L$5:$L$7,W687))*INDEX(Parameter!$E$5:$E$7,W687)*X687/SUMIFS($X$7:$X$1843,$W$7:$W$1843,W687),0),0)</f>
        <v>0</v>
      </c>
    </row>
    <row r="688" customFormat="false" ht="15" hidden="false" customHeight="false" outlineLevel="0" collapsed="false">
      <c r="A688" s="48" t="s">
        <v>1380</v>
      </c>
      <c r="B688" s="48" t="s">
        <v>1381</v>
      </c>
      <c r="C688" s="48" t="s">
        <v>168</v>
      </c>
      <c r="D688" s="48" t="s">
        <v>999</v>
      </c>
      <c r="E688" s="48"/>
      <c r="F688" s="48" t="s">
        <v>222</v>
      </c>
      <c r="G688" s="49" t="n">
        <v>3703.81</v>
      </c>
      <c r="H688" s="50" t="n">
        <f aca="false">MAX(0,IF(AND(Parameter!$B$21="Ja",ISNUMBER(Y688)),Y688,IF(Parameter!$B$20="Jahresanfang 2025 + Export",BO688+BN688,BN688)))</f>
        <v>0</v>
      </c>
      <c r="I688" s="50" t="n">
        <f aca="false">H688*G688</f>
        <v>0</v>
      </c>
      <c r="J688" s="50" t="n">
        <f aca="false">BQ688*Parameter!$B$18</f>
        <v>4</v>
      </c>
      <c r="K688" s="51" t="n">
        <v>0</v>
      </c>
      <c r="L688" s="52" t="n">
        <v>0</v>
      </c>
      <c r="M688" s="50" t="n">
        <v>0</v>
      </c>
      <c r="N688" s="50" t="n">
        <v>1</v>
      </c>
      <c r="O688" s="53" t="n">
        <v>90</v>
      </c>
      <c r="P688" s="48" t="s">
        <v>172</v>
      </c>
      <c r="Q688" s="50"/>
      <c r="R688" s="53" t="n">
        <f aca="false">IF(BW688=1,0,IFERROR(VLOOKUP(BU688,'Gebinde-Kategorie'!$A$5:$N$45,13,0)+0,0))</f>
        <v>0</v>
      </c>
      <c r="S688" s="54"/>
      <c r="T688" s="55"/>
      <c r="U688" s="55"/>
      <c r="V688" s="55"/>
      <c r="W688" s="48"/>
      <c r="X688" s="50"/>
      <c r="Y688" s="50"/>
      <c r="Z688" s="48" t="str">
        <f aca="false">IF(A688="","",IF(AND(Parameter!$B$21="Ja",ISNUMBER(W688)),W688,IF(BZ688="2+3",IF(ISNUMBER(SEARCH("grosser Artikel",BR688)),2,IFERROR(VLOOKUP(BU688,Parameter!$F$35:$G$64,2,0),2)),IF(OR(BZ688="Nein",BZ688=""),"-",BZ688))))</f>
        <v>-</v>
      </c>
      <c r="AA688" s="55"/>
      <c r="AB688" s="56"/>
      <c r="AC688" s="50" t="n">
        <f aca="false">AT688</f>
        <v>2</v>
      </c>
      <c r="AD688" s="50" t="n">
        <f aca="false">MAX(AT688,H688)</f>
        <v>2</v>
      </c>
      <c r="AE688" s="57"/>
      <c r="AF688" s="50" t="n">
        <f aca="false">IF(LEFT(Cockpit!$C$5,1)="A",H688,IF(CE688=1,CF688,IF(LEFT(Cockpit!$C$5,1)="B",AK688,MAX(AK688,H688))))</f>
        <v>0</v>
      </c>
      <c r="AG688" s="50" t="n">
        <f aca="false">IF(BW688=1,0,ROUNDUP(AF688/BV688,0))</f>
        <v>0</v>
      </c>
      <c r="AH688" s="52" t="n">
        <f aca="false">IF(CL688&gt;0,CL688*MAX(1,AF688/X688),IF(BW688=1,IF(AF688&lt;=0,0,CA688*MAX(1,IF(H688&gt;0,AF688/H688,1))),IF(R688&gt;0,AG688/R688,0))/MAX(0.1,N(Parameter!$M$21)))</f>
        <v>0</v>
      </c>
      <c r="AI688" s="50" t="n">
        <f aca="false">AH688*BY688</f>
        <v>0</v>
      </c>
      <c r="AJ688" s="50" t="n">
        <f aca="false">AF688*G688</f>
        <v>0</v>
      </c>
      <c r="AK688" s="50" t="n">
        <f aca="false">ROUNDUP(MAX(J688/IF(CD688&gt;0,CD688,MAX(0.1,N(Cockpit!$C$6))),CG688)/BV688,0)*BV688</f>
        <v>2</v>
      </c>
      <c r="AL688" s="51" t="n">
        <f aca="false">IF(AI688&gt;0,J688/AI688,-1)</f>
        <v>-1</v>
      </c>
      <c r="AM688" s="51" t="str">
        <f aca="false">IF(AND(OR(CC688="L1",CC688="L23",CC688="LIFT"),AI688&gt;0),SUMIFS($AI$7:$AI$1843,$CC$7:$CC$1843,CC688,$AL$7:$AL$1843,"&gt;"&amp;AL688)+SUMIFS($AI$7:$AI$1843,$CC$7:$CC$1843,CC688,$AL$7:$AL$1843,AL688,$BT$7:$BT$1843,"&lt;="&amp;BT688),"")</f>
        <v/>
      </c>
      <c r="AN688" s="58" t="n">
        <f aca="false">IF(AM688="",0,MAX(0,MIN(1,(IF(CC688="L1",Parameter!$H$5,IF(CC688="L23",Parameter!$H$6+Parameter!$H$7,Parameter!$H$5+Parameter!$H$6+Parameter!$H$7))-(AM688-AI688))/AI688)))</f>
        <v>0</v>
      </c>
      <c r="AO688" s="50" t="n">
        <f aca="false">IF(LEFT(Cockpit!$I$5,1)="A",H688,IF(CE688=1,CF688,IF(LEFT(Cockpit!$I$5,1)="B",AT688,MAX(AT688,H688))))</f>
        <v>2</v>
      </c>
      <c r="AP688" s="50" t="n">
        <f aca="false">IF(BW688=1,0,ROUNDUP(AO688/BV688,0))</f>
        <v>0</v>
      </c>
      <c r="AQ688" s="52" t="n">
        <f aca="false">IF(CL688&gt;0,CL688*MAX(1,AO688/X688),IF(BW688=1,IF(AO688&lt;=0,0,CA688*MAX(1,IF(H688&gt;0,AO688/H688,1))),IF(R688&gt;0,AP688/R688,0))/MAX(0.1,N(Parameter!$M$21)))</f>
        <v>0.15</v>
      </c>
      <c r="AR688" s="50" t="n">
        <f aca="false">AQ688*BY688</f>
        <v>35.25</v>
      </c>
      <c r="AS688" s="50" t="n">
        <f aca="false">AO688*G688</f>
        <v>7407.62</v>
      </c>
      <c r="AT688" s="50" t="n">
        <f aca="false">ROUNDUP(MAX(J688/IF(CD688&gt;0,CD688,MAX(0.1,N(Cockpit!$I$6))),CG688)/BV688,0)*BV688</f>
        <v>2</v>
      </c>
      <c r="AU688" s="51" t="n">
        <f aca="false">IF(AR688&gt;0,J688/AR688,-1)</f>
        <v>0.113475177304965</v>
      </c>
      <c r="AV688" s="51" t="str">
        <f aca="false">IF(AND(OR(CC688="L1",CC688="L23",CC688="LIFT"),AR688&gt;0),SUMIFS($AR$7:$AR$1843,$CC$7:$CC$1843,CC688,$AU$7:$AU$1843,"&gt;"&amp;AU688)+SUMIFS($AR$7:$AR$1843,$CC$7:$CC$1843,CC688,$AU$7:$AU$1843,AU688,$BT$7:$BT$1843,"&lt;="&amp;BT688),"")</f>
        <v/>
      </c>
      <c r="AW688" s="58" t="n">
        <f aca="false">IF(AV688="",0,MAX(0,MIN(1,(IF(CC688="L1",Parameter!$H$5,IF(CC688="L23",Parameter!$H$6+Parameter!$H$7,Parameter!$H$5+Parameter!$H$6+Parameter!$H$7))-(AV688-AR688))/AR688)))</f>
        <v>0</v>
      </c>
      <c r="AX688" s="50" t="n">
        <f aca="false">IF(LEFT(Cockpit!$O$5,1)="A",H688,IF(CE688=1,CF688,IF(LEFT(Cockpit!$O$5,1)="B",BC688,MAX(BC688,H688))))</f>
        <v>2</v>
      </c>
      <c r="AY688" s="50" t="n">
        <f aca="false">IF(BW688=1,0,ROUNDUP(AX688/BV688,0))</f>
        <v>0</v>
      </c>
      <c r="AZ688" s="52" t="n">
        <f aca="false">IF(CL688&gt;0,CL688*MAX(1,AX688/X688),IF(BW688=1,IF(AX688&lt;=0,0,CA688*MAX(1,IF(H688&gt;0,AX688/H688,1))),IF(R688&gt;0,AY688/R688,0))/MAX(0.1,N(Parameter!$M$21)))</f>
        <v>0.15</v>
      </c>
      <c r="BA688" s="50" t="n">
        <f aca="false">AZ688*BY688</f>
        <v>35.25</v>
      </c>
      <c r="BB688" s="50" t="n">
        <f aca="false">AX688*G688</f>
        <v>7407.62</v>
      </c>
      <c r="BC688" s="50" t="n">
        <f aca="false">ROUNDUP(MAX(J688/IF(CD688&gt;0,CD688,MAX(0.1,N(Cockpit!$O$6))),CG688)/BV688,0)*BV688</f>
        <v>2</v>
      </c>
      <c r="BD688" s="51" t="n">
        <f aca="false">IF(BA688&gt;0,J688/BA688,-1)</f>
        <v>0.113475177304965</v>
      </c>
      <c r="BE688" s="51" t="str">
        <f aca="false">IF(AND(OR(CC688="L1",CC688="L23",CC688="LIFT"),BA688&gt;0),SUMIFS($BA$7:$BA$1843,$CC$7:$CC$1843,CC688,$BD$7:$BD$1843,"&gt;"&amp;BD688)+SUMIFS($BA$7:$BA$1843,$CC$7:$CC$1843,CC688,$BD$7:$BD$1843,BD688,$BT$7:$BT$1843,"&lt;="&amp;BT688),"")</f>
        <v/>
      </c>
      <c r="BF688" s="58" t="n">
        <f aca="false">IF(BE688="",0,MAX(0,MIN(1,(IF(CC688="L1",Parameter!$H$5,IF(CC688="L23",Parameter!$H$6+Parameter!$H$7,Parameter!$H$5+Parameter!$H$6+Parameter!$H$7))-(BE688-BA688))/BA688)))</f>
        <v>0</v>
      </c>
      <c r="BG688" s="48" t="str">
        <f aca="false">IF(AI688&lt;=0,"",IF(CC688="Aussen","Aussenlager",IF(CC688="-","Nicht im Lift",IF(AN688&gt;=1,"Lift",IF(AN688&lt;=0,"Aussenlager","teilweise")))))</f>
        <v/>
      </c>
      <c r="BH688" s="48" t="str">
        <f aca="false">IF(AR688&lt;=0,"",IF(CC688="Aussen","Aussenlager",IF(CC688="-","Nicht im Lift",IF(AW688&gt;=1,"Lift",IF(AW688&lt;=0,"Aussenlager","teilweise")))))</f>
        <v>Nicht im Lift</v>
      </c>
      <c r="BI688" s="48" t="str">
        <f aca="false">IF(BA688&lt;=0,"",IF(CC688="Aussen","Aussenlager",IF(CC688="-","Nicht im Lift",IF(BF688&gt;=1,"Lift",IF(BF688&lt;=0,"Aussenlager","teilweise")))))</f>
        <v>Nicht im Lift</v>
      </c>
      <c r="BJ688" s="48" t="str">
        <f aca="false">IF(A688="","",IF(BS688=1,"Neu; ","")&amp;IF(AND(BS688=0,BN688&lt;0),"negativer Bestand (Export "&amp;BN688&amp;"); ","")&amp;IF(J688&lt;=0,"Kein Verbrauch; ","")&amp;IF(CL688&gt;0,"Lift "&amp;W688&amp;" lt. Liftbericht (Fach "&amp;X688&amp;" Stk); ",IF(BX688=1,"Gebinde geschätzt ("&amp;T688&amp;"); ",IF(BW688=1,"Lose – Tablare geschätzt; ","")))&amp;IF(H688&gt;AT688,"Überbestand "&amp;ROUND(H688-AT688,0)&amp;" Stk / CHF "&amp;ROUND((H688-AT688)*G688,0)&amp;"; ","")&amp;IF(AND(CE688=1,CF688&lt;CG688),"MAX &lt; MB+LG; ","")&amp;IF(AND(CK688&gt;0,CJ688*10&gt;CK688),"zu hoch für Tablar; ","")&amp;IF(AND(BS688=0,OR(CE688=1,AA688&lt;&gt;"",U688&lt;&gt;"",V688&lt;&gt;"",AB688&lt;&gt;"")),"manuell übersteuert; ","")&amp;IF(AND(BW688=0,R688=0),"Gebinde unbekannt / Stellmass fehlt; ","")&amp;IF(AND(BW688=0,N(V688)&lt;=0,N(Q688)&lt;=0),"Menge pro Gebinde fehlt (Ist = 1 Gebinde); ","")&amp;BR688)</f>
        <v>Lose – Tablare geschätzt; </v>
      </c>
      <c r="BK688" s="48"/>
      <c r="BL688" s="48"/>
      <c r="BM688" s="55"/>
      <c r="BN688" s="50" t="n">
        <v>0</v>
      </c>
      <c r="BO688" s="50" t="n">
        <v>0</v>
      </c>
      <c r="BP688" s="49" t="n">
        <v>0</v>
      </c>
      <c r="BQ688" s="50" t="n">
        <v>4</v>
      </c>
      <c r="BR688" s="48"/>
      <c r="BS688" s="53" t="n">
        <v>0</v>
      </c>
      <c r="BT688" s="53" t="n">
        <v>688</v>
      </c>
      <c r="BU688" s="48" t="str">
        <f aca="false">IF(U688&lt;&gt;"",UPPER(TRIM(U688)),IF(BX688=1,UPPER(VLOOKUP(T688,Parameter!$I$27:$K$29,2,0)),IF(P688="","LOSE",P688)))</f>
        <v>LOSE</v>
      </c>
      <c r="BV688" s="50" t="n">
        <f aca="false">IF(BU688="LOSE",1,IF(N(V688)&gt;0,V688,IF(BX688=1,MAX(1,N(VLOOKUP(T688,Parameter!$I$27:$K$29,3,0)),H688,N(N688)),IF(N(Q688)&gt;0,Q688,MAX(1,H688)))))</f>
        <v>1</v>
      </c>
      <c r="BW688" s="53" t="n">
        <f aca="false">IF(BU688="LOSE",1,0)</f>
        <v>1</v>
      </c>
      <c r="BX688" s="53" t="n">
        <f aca="false">IF(AND(U688="",OR(P688="",P688="LOSE"),T688&lt;&gt;"",N(S688)&lt;=0,ISNUMBER(MATCH(T688,Parameter!$I$27:$I$29,0))),1,0)</f>
        <v>0</v>
      </c>
      <c r="BY688" s="53" t="n">
        <f aca="false">IF(CL688&gt;0,INDEX(Parameter!$H$5:$H$7,W688)/INDEX(Parameter!$E$5:$E$7,W688),IF(AND(BW688=0,N(IFERROR(VLOOKUP(BU688,'Gebinde-Kategorie'!$A$5:$N$45,14,0),0))&gt;0),VLOOKUP(BU688,'Gebinde-Kategorie'!$A$5:$N$45,14,0)*10+Parameter!$M$23,Parameter!$M$24))</f>
        <v>235</v>
      </c>
      <c r="BZ688" s="48" t="str">
        <f aca="false">IF(AND(Parameter!$B$19="Ja",E688&lt;&gt;"",ISNUMBER(MATCH(E688,Parameter!$I$35:$I$52,0))),VLOOKUP(E688,Parameter!$I$35:$J$52,2,0),IFERROR(VLOOKUP(D688,Parameter!$A$35:$C$64,2,0),"Nein"))</f>
        <v>Nein</v>
      </c>
      <c r="CA688" s="52" t="n">
        <f aca="false">IF(BW688=0,0,IF(N(S688)&gt;0,S688,IFERROR(VLOOKUP(D688,Parameter!$A$35:$C$64,3,0)+0,0)))</f>
        <v>0.15</v>
      </c>
      <c r="CB688" s="48" t="str">
        <f aca="false">IF(AA688&lt;&gt;"",AA688,Z688)</f>
        <v>-</v>
      </c>
      <c r="CC688" s="48" t="str">
        <f aca="false">IF(OR(CB688=1,CB688=2,CB688=3),IF(Parameter!$E$27="Ja","LIFT",IF(CB688=1,"L1","L23")),IF(CB688="Aussen","Aussen","-"))</f>
        <v>-</v>
      </c>
      <c r="CD688" s="59" t="n">
        <f aca="false">IF(N(AB688)&gt;0,AB688,0)</f>
        <v>0</v>
      </c>
      <c r="CE688" s="53" t="n">
        <f aca="false">IF(ISNUMBER(AE688),1,0)</f>
        <v>0</v>
      </c>
      <c r="CF688" s="50" t="n">
        <f aca="false">N(AE688)</f>
        <v>0</v>
      </c>
      <c r="CG688" s="50" t="n">
        <f aca="false">N(M688)+N(N688)</f>
        <v>1</v>
      </c>
      <c r="CH688" s="50" t="n">
        <f aca="false">ROUNDUP(H688/BV688,0)</f>
        <v>0</v>
      </c>
      <c r="CI688" s="50" t="n">
        <f aca="false">ROUNDUP(CF688/BV688,0)</f>
        <v>0</v>
      </c>
      <c r="CJ688" s="53" t="n">
        <f aca="false">IF(BW688=1,0,IFERROR(VLOOKUP(BU688,'Gebinde-Kategorie'!$A$5:$N$45,5,0)+0,0))</f>
        <v>0</v>
      </c>
      <c r="CK688" s="53" t="n">
        <f aca="false">IFERROR(IF(OR(CB688=1,CB688=2,CB688=3),N(INDEX(Parameter!$I$5:$I$7,CB688)),0),0)</f>
        <v>0</v>
      </c>
      <c r="CL688" s="52" t="n">
        <f aca="false">IF(AND(Parameter!$B$21="Ja",ISNUMBER(W688),N(X688)&gt;0),IFERROR(N(INDEX(Parameter!$L$5:$L$7,W688))*INDEX(Parameter!$E$5:$E$7,W688)*X688/SUMIFS($X$7:$X$1843,$W$7:$W$1843,W688),0),0)</f>
        <v>0</v>
      </c>
    </row>
    <row r="689" customFormat="false" ht="15" hidden="false" customHeight="false" outlineLevel="0" collapsed="false">
      <c r="A689" s="48" t="s">
        <v>1382</v>
      </c>
      <c r="B689" s="48" t="s">
        <v>1383</v>
      </c>
      <c r="C689" s="48" t="s">
        <v>168</v>
      </c>
      <c r="D689" s="48" t="s">
        <v>188</v>
      </c>
      <c r="E689" s="48"/>
      <c r="F689" s="48" t="s">
        <v>222</v>
      </c>
      <c r="G689" s="49" t="n">
        <v>8.97</v>
      </c>
      <c r="H689" s="50" t="n">
        <f aca="false">MAX(0,IF(AND(Parameter!$B$21="Ja",ISNUMBER(Y689)),Y689,IF(Parameter!$B$20="Jahresanfang 2025 + Export",BO689+BN689,BN689)))</f>
        <v>22</v>
      </c>
      <c r="I689" s="50" t="n">
        <f aca="false">H689*G689</f>
        <v>197.34</v>
      </c>
      <c r="J689" s="50" t="n">
        <f aca="false">BQ689*Parameter!$B$18</f>
        <v>0</v>
      </c>
      <c r="K689" s="51" t="n">
        <v>22.5</v>
      </c>
      <c r="L689" s="52" t="n">
        <v>0</v>
      </c>
      <c r="M689" s="50" t="n">
        <v>0</v>
      </c>
      <c r="N689" s="50" t="n">
        <v>1</v>
      </c>
      <c r="O689" s="53" t="n">
        <v>21</v>
      </c>
      <c r="P689" s="48" t="s">
        <v>425</v>
      </c>
      <c r="Q689" s="50" t="n">
        <v>25</v>
      </c>
      <c r="R689" s="53" t="n">
        <f aca="false">IF(BW689=1,0,IFERROR(VLOOKUP(BU689,'Gebinde-Kategorie'!$A$5:$N$45,13,0)+0,0))</f>
        <v>104</v>
      </c>
      <c r="S689" s="54"/>
      <c r="T689" s="55"/>
      <c r="U689" s="55"/>
      <c r="V689" s="55"/>
      <c r="W689" s="48"/>
      <c r="X689" s="50"/>
      <c r="Y689" s="50"/>
      <c r="Z689" s="48" t="n">
        <f aca="false">IF(A689="","",IF(AND(Parameter!$B$21="Ja",ISNUMBER(W689)),W689,IF(BZ689="2+3",IF(ISNUMBER(SEARCH("grosser Artikel",BR689)),2,IFERROR(VLOOKUP(BU689,Parameter!$F$35:$G$64,2,0),2)),IF(OR(BZ689="Nein",BZ689=""),"-",BZ689))))</f>
        <v>3</v>
      </c>
      <c r="AA689" s="55"/>
      <c r="AB689" s="56"/>
      <c r="AC689" s="50" t="n">
        <f aca="false">AT689</f>
        <v>25</v>
      </c>
      <c r="AD689" s="50" t="n">
        <f aca="false">MAX(AT689,H689)</f>
        <v>25</v>
      </c>
      <c r="AE689" s="57"/>
      <c r="AF689" s="50" t="n">
        <f aca="false">IF(LEFT(Cockpit!$C$5,1)="A",H689,IF(CE689=1,CF689,IF(LEFT(Cockpit!$C$5,1)="B",AK689,MAX(AK689,H689))))</f>
        <v>22</v>
      </c>
      <c r="AG689" s="50" t="n">
        <f aca="false">IF(BW689=1,0,ROUNDUP(AF689/BV689,0))</f>
        <v>1</v>
      </c>
      <c r="AH689" s="52" t="n">
        <f aca="false">IF(CL689&gt;0,CL689*MAX(1,AF689/X689),IF(BW689=1,IF(AF689&lt;=0,0,CA689*MAX(1,IF(H689&gt;0,AF689/H689,1))),IF(R689&gt;0,AG689/R689,0))/MAX(0.1,N(Parameter!$M$21)))</f>
        <v>0.00961538461538462</v>
      </c>
      <c r="AI689" s="50" t="n">
        <f aca="false">AH689*BY689</f>
        <v>1.49038461538462</v>
      </c>
      <c r="AJ689" s="50" t="n">
        <f aca="false">AF689*G689</f>
        <v>197.34</v>
      </c>
      <c r="AK689" s="50" t="n">
        <f aca="false">ROUNDUP(MAX(J689/IF(CD689&gt;0,CD689,MAX(0.1,N(Cockpit!$C$6))),CG689)/BV689,0)*BV689</f>
        <v>25</v>
      </c>
      <c r="AL689" s="51" t="n">
        <f aca="false">IF(AI689&gt;0,J689/AI689,-1)</f>
        <v>0</v>
      </c>
      <c r="AM689" s="51" t="n">
        <f aca="false">IF(AND(OR(CC689="L1",CC689="L23",CC689="LIFT"),AI689&gt;0),SUMIFS($AI$7:$AI$1843,$CC$7:$CC$1843,CC689,$AL$7:$AL$1843,"&gt;"&amp;AL689)+SUMIFS($AI$7:$AI$1843,$CC$7:$CC$1843,CC689,$AL$7:$AL$1843,AL689,$BT$7:$BT$1843,"&lt;="&amp;BT689),"")</f>
        <v>28613.0944904907</v>
      </c>
      <c r="AN689" s="58" t="n">
        <f aca="false">IF(AM689="",0,MAX(0,MIN(1,(IF(CC689="L1",Parameter!$H$5,IF(CC689="L23",Parameter!$H$6+Parameter!$H$7,Parameter!$H$5+Parameter!$H$6+Parameter!$H$7))-(AM689-AI689))/AI689)))</f>
        <v>1</v>
      </c>
      <c r="AO689" s="50" t="n">
        <f aca="false">IF(LEFT(Cockpit!$I$5,1)="A",H689,IF(CE689=1,CF689,IF(LEFT(Cockpit!$I$5,1)="B",AT689,MAX(AT689,H689))))</f>
        <v>25</v>
      </c>
      <c r="AP689" s="50" t="n">
        <f aca="false">IF(BW689=1,0,ROUNDUP(AO689/BV689,0))</f>
        <v>1</v>
      </c>
      <c r="AQ689" s="52" t="n">
        <f aca="false">IF(CL689&gt;0,CL689*MAX(1,AO689/X689),IF(BW689=1,IF(AO689&lt;=0,0,CA689*MAX(1,IF(H689&gt;0,AO689/H689,1))),IF(R689&gt;0,AP689/R689,0))/MAX(0.1,N(Parameter!$M$21)))</f>
        <v>0.00961538461538462</v>
      </c>
      <c r="AR689" s="50" t="n">
        <f aca="false">AQ689*BY689</f>
        <v>1.49038461538462</v>
      </c>
      <c r="AS689" s="50" t="n">
        <f aca="false">AO689*G689</f>
        <v>224.25</v>
      </c>
      <c r="AT689" s="50" t="n">
        <f aca="false">ROUNDUP(MAX(J689/IF(CD689&gt;0,CD689,MAX(0.1,N(Cockpit!$I$6))),CG689)/BV689,0)*BV689</f>
        <v>25</v>
      </c>
      <c r="AU689" s="51" t="n">
        <f aca="false">IF(AR689&gt;0,J689/AR689,-1)</f>
        <v>0</v>
      </c>
      <c r="AV689" s="51" t="n">
        <f aca="false">IF(AND(OR(CC689="L1",CC689="L23",CC689="LIFT"),AR689&gt;0),SUMIFS($AR$7:$AR$1843,$CC$7:$CC$1843,CC689,$AU$7:$AU$1843,"&gt;"&amp;AU689)+SUMIFS($AR$7:$AR$1843,$CC$7:$CC$1843,CC689,$AU$7:$AU$1843,AU689,$BT$7:$BT$1843,"&lt;="&amp;BT689),"")</f>
        <v>39971.6817843174</v>
      </c>
      <c r="AW689" s="58" t="n">
        <f aca="false">IF(AV689="",0,MAX(0,MIN(1,(IF(CC689="L1",Parameter!$H$5,IF(CC689="L23",Parameter!$H$6+Parameter!$H$7,Parameter!$H$5+Parameter!$H$6+Parameter!$H$7))-(AV689-AR689))/AR689)))</f>
        <v>0</v>
      </c>
      <c r="AX689" s="50" t="n">
        <f aca="false">IF(LEFT(Cockpit!$O$5,1)="A",H689,IF(CE689=1,CF689,IF(LEFT(Cockpit!$O$5,1)="B",BC689,MAX(BC689,H689))))</f>
        <v>25</v>
      </c>
      <c r="AY689" s="50" t="n">
        <f aca="false">IF(BW689=1,0,ROUNDUP(AX689/BV689,0))</f>
        <v>1</v>
      </c>
      <c r="AZ689" s="52" t="n">
        <f aca="false">IF(CL689&gt;0,CL689*MAX(1,AX689/X689),IF(BW689=1,IF(AX689&lt;=0,0,CA689*MAX(1,IF(H689&gt;0,AX689/H689,1))),IF(R689&gt;0,AY689/R689,0))/MAX(0.1,N(Parameter!$M$21)))</f>
        <v>0.00961538461538462</v>
      </c>
      <c r="BA689" s="50" t="n">
        <f aca="false">AZ689*BY689</f>
        <v>1.49038461538462</v>
      </c>
      <c r="BB689" s="50" t="n">
        <f aca="false">AX689*G689</f>
        <v>224.25</v>
      </c>
      <c r="BC689" s="50" t="n">
        <f aca="false">ROUNDUP(MAX(J689/IF(CD689&gt;0,CD689,MAX(0.1,N(Cockpit!$O$6))),CG689)/BV689,0)*BV689</f>
        <v>25</v>
      </c>
      <c r="BD689" s="51" t="n">
        <f aca="false">IF(BA689&gt;0,J689/BA689,-1)</f>
        <v>0</v>
      </c>
      <c r="BE689" s="51" t="n">
        <f aca="false">IF(AND(OR(CC689="L1",CC689="L23",CC689="LIFT"),BA689&gt;0),SUMIFS($BA$7:$BA$1843,$CC$7:$CC$1843,CC689,$BD$7:$BD$1843,"&gt;"&amp;BD689)+SUMIFS($BA$7:$BA$1843,$CC$7:$CC$1843,CC689,$BD$7:$BD$1843,BD689,$BT$7:$BT$1843,"&lt;="&amp;BT689),"")</f>
        <v>36646.6938261832</v>
      </c>
      <c r="BF689" s="58" t="n">
        <f aca="false">IF(BE689="",0,MAX(0,MIN(1,(IF(CC689="L1",Parameter!$H$5,IF(CC689="L23",Parameter!$H$6+Parameter!$H$7,Parameter!$H$5+Parameter!$H$6+Parameter!$H$7))-(BE689-BA689))/BA689)))</f>
        <v>0</v>
      </c>
      <c r="BG689" s="48" t="str">
        <f aca="false">IF(AI689&lt;=0,"",IF(CC689="Aussen","Aussenlager",IF(CC689="-","Nicht im Lift",IF(AN689&gt;=1,"Lift",IF(AN689&lt;=0,"Aussenlager","teilweise")))))</f>
        <v>Lift</v>
      </c>
      <c r="BH689" s="48" t="str">
        <f aca="false">IF(AR689&lt;=0,"",IF(CC689="Aussen","Aussenlager",IF(CC689="-","Nicht im Lift",IF(AW689&gt;=1,"Lift",IF(AW689&lt;=0,"Aussenlager","teilweise")))))</f>
        <v>Aussenlager</v>
      </c>
      <c r="BI689" s="48" t="str">
        <f aca="false">IF(BA689&lt;=0,"",IF(CC689="Aussen","Aussenlager",IF(CC689="-","Nicht im Lift",IF(BF689&gt;=1,"Lift",IF(BF689&lt;=0,"Aussenlager","teilweise")))))</f>
        <v>Aussenlager</v>
      </c>
      <c r="BJ689" s="48" t="str">
        <f aca="false">IF(A689="","",IF(BS689=1,"Neu; ","")&amp;IF(AND(BS689=0,BN689&lt;0),"negativer Bestand (Export "&amp;BN689&amp;"); ","")&amp;IF(J689&lt;=0,"Kein Verbrauch; ","")&amp;IF(CL689&gt;0,"Lift "&amp;W689&amp;" lt. Liftbericht (Fach "&amp;X689&amp;" Stk); ",IF(BX689=1,"Gebinde geschätzt ("&amp;T689&amp;"); ",IF(BW689=1,"Lose – Tablare geschätzt; ","")))&amp;IF(H689&gt;AT689,"Überbestand "&amp;ROUND(H689-AT689,0)&amp;" Stk / CHF "&amp;ROUND((H689-AT689)*G689,0)&amp;"; ","")&amp;IF(AND(CE689=1,CF689&lt;CG689),"MAX &lt; MB+LG; ","")&amp;IF(AND(CK689&gt;0,CJ689*10&gt;CK689),"zu hoch für Tablar; ","")&amp;IF(AND(BS689=0,OR(CE689=1,AA689&lt;&gt;"",U689&lt;&gt;"",V689&lt;&gt;"",AB689&lt;&gt;"")),"manuell übersteuert; ","")&amp;IF(AND(BW689=0,R689=0),"Gebinde unbekannt / Stellmass fehlt; ","")&amp;IF(AND(BW689=0,N(V689)&lt;=0,N(Q689)&lt;=0),"Menge pro Gebinde fehlt (Ist = 1 Gebinde); ","")&amp;BR689)</f>
        <v>Kein Verbrauch; </v>
      </c>
      <c r="BK689" s="48"/>
      <c r="BL689" s="48"/>
      <c r="BM689" s="55"/>
      <c r="BN689" s="50" t="n">
        <v>0</v>
      </c>
      <c r="BO689" s="50" t="n">
        <v>22</v>
      </c>
      <c r="BP689" s="49" t="n">
        <v>0</v>
      </c>
      <c r="BQ689" s="50" t="n">
        <v>0</v>
      </c>
      <c r="BR689" s="48"/>
      <c r="BS689" s="53" t="n">
        <v>0</v>
      </c>
      <c r="BT689" s="53" t="n">
        <v>689</v>
      </c>
      <c r="BU689" s="48" t="str">
        <f aca="false">IF(U689&lt;&gt;"",UPPER(TRIM(U689)),IF(BX689=1,UPPER(VLOOKUP(T689,Parameter!$I$27:$K$29,2,0)),IF(P689="","LOSE",P689)))</f>
        <v>S32</v>
      </c>
      <c r="BV689" s="50" t="n">
        <f aca="false">IF(BU689="LOSE",1,IF(N(V689)&gt;0,V689,IF(BX689=1,MAX(1,N(VLOOKUP(T689,Parameter!$I$27:$K$29,3,0)),H689,N(N689)),IF(N(Q689)&gt;0,Q689,MAX(1,H689)))))</f>
        <v>25</v>
      </c>
      <c r="BW689" s="53" t="n">
        <f aca="false">IF(BU689="LOSE",1,0)</f>
        <v>0</v>
      </c>
      <c r="BX689" s="53" t="n">
        <f aca="false">IF(AND(U689="",OR(P689="",P689="LOSE"),T689&lt;&gt;"",N(S689)&lt;=0,ISNUMBER(MATCH(T689,Parameter!$I$27:$I$29,0))),1,0)</f>
        <v>0</v>
      </c>
      <c r="BY689" s="53" t="n">
        <f aca="false">IF(CL689&gt;0,INDEX(Parameter!$H$5:$H$7,W689)/INDEX(Parameter!$E$5:$E$7,W689),IF(AND(BW689=0,N(IFERROR(VLOOKUP(BU689,'Gebinde-Kategorie'!$A$5:$N$45,14,0),0))&gt;0),VLOOKUP(BU689,'Gebinde-Kategorie'!$A$5:$N$45,14,0)*10+Parameter!$M$23,Parameter!$M$24))</f>
        <v>155</v>
      </c>
      <c r="BZ689" s="48" t="str">
        <f aca="false">IF(AND(Parameter!$B$19="Ja",E689&lt;&gt;"",ISNUMBER(MATCH(E689,Parameter!$I$35:$I$52,0))),VLOOKUP(E689,Parameter!$I$35:$J$52,2,0),IFERROR(VLOOKUP(D689,Parameter!$A$35:$C$64,2,0),"Nein"))</f>
        <v>2+3</v>
      </c>
      <c r="CA689" s="52" t="n">
        <f aca="false">IF(BW689=0,0,IF(N(S689)&gt;0,S689,IFERROR(VLOOKUP(D689,Parameter!$A$35:$C$64,3,0)+0,0)))</f>
        <v>0</v>
      </c>
      <c r="CB689" s="48" t="n">
        <f aca="false">IF(AA689&lt;&gt;"",AA689,Z689)</f>
        <v>3</v>
      </c>
      <c r="CC689" s="48" t="str">
        <f aca="false">IF(OR(CB689=1,CB689=2,CB689=3),IF(Parameter!$E$27="Ja","LIFT",IF(CB689=1,"L1","L23")),IF(CB689="Aussen","Aussen","-"))</f>
        <v>LIFT</v>
      </c>
      <c r="CD689" s="59" t="n">
        <f aca="false">IF(N(AB689)&gt;0,AB689,0)</f>
        <v>0</v>
      </c>
      <c r="CE689" s="53" t="n">
        <f aca="false">IF(ISNUMBER(AE689),1,0)</f>
        <v>0</v>
      </c>
      <c r="CF689" s="50" t="n">
        <f aca="false">N(AE689)</f>
        <v>0</v>
      </c>
      <c r="CG689" s="50" t="n">
        <f aca="false">N(M689)+N(N689)</f>
        <v>1</v>
      </c>
      <c r="CH689" s="50" t="n">
        <f aca="false">ROUNDUP(H689/BV689,0)</f>
        <v>1</v>
      </c>
      <c r="CI689" s="50" t="n">
        <f aca="false">ROUNDUP(CF689/BV689,0)</f>
        <v>0</v>
      </c>
      <c r="CJ689" s="53" t="n">
        <f aca="false">IF(BW689=1,0,IFERROR(VLOOKUP(BU689,'Gebinde-Kategorie'!$A$5:$N$45,5,0)+0,0))</f>
        <v>8</v>
      </c>
      <c r="CK689" s="53" t="n">
        <f aca="false">IFERROR(IF(OR(CB689=1,CB689=2,CB689=3),N(INDEX(Parameter!$I$5:$I$7,CB689)),0),0)</f>
        <v>0</v>
      </c>
      <c r="CL689" s="52" t="n">
        <f aca="false">IF(AND(Parameter!$B$21="Ja",ISNUMBER(W689),N(X689)&gt;0),IFERROR(N(INDEX(Parameter!$L$5:$L$7,W689))*INDEX(Parameter!$E$5:$E$7,W689)*X689/SUMIFS($X$7:$X$1843,$W$7:$W$1843,W689),0),0)</f>
        <v>0</v>
      </c>
    </row>
    <row r="690" customFormat="false" ht="15" hidden="false" customHeight="false" outlineLevel="0" collapsed="false">
      <c r="A690" s="48" t="s">
        <v>1384</v>
      </c>
      <c r="B690" s="48" t="s">
        <v>580</v>
      </c>
      <c r="C690" s="48" t="s">
        <v>168</v>
      </c>
      <c r="D690" s="48" t="s">
        <v>188</v>
      </c>
      <c r="E690" s="48"/>
      <c r="F690" s="48" t="s">
        <v>222</v>
      </c>
      <c r="G690" s="49" t="n">
        <v>703.81</v>
      </c>
      <c r="H690" s="50" t="n">
        <f aca="false">MAX(0,IF(AND(Parameter!$B$21="Ja",ISNUMBER(Y690)),Y690,IF(Parameter!$B$20="Jahresanfang 2025 + Export",BO690+BN690,BN690)))</f>
        <v>17</v>
      </c>
      <c r="I690" s="50" t="n">
        <f aca="false">H690*G690</f>
        <v>11964.77</v>
      </c>
      <c r="J690" s="50" t="n">
        <f aca="false">BQ690*Parameter!$B$18</f>
        <v>0</v>
      </c>
      <c r="K690" s="51" t="n">
        <v>17</v>
      </c>
      <c r="L690" s="52" t="n">
        <v>0</v>
      </c>
      <c r="M690" s="50" t="n">
        <v>0</v>
      </c>
      <c r="N690" s="50" t="n">
        <v>1</v>
      </c>
      <c r="O690" s="53" t="n">
        <v>35</v>
      </c>
      <c r="P690" s="48" t="s">
        <v>172</v>
      </c>
      <c r="Q690" s="50"/>
      <c r="R690" s="53" t="n">
        <f aca="false">IF(BW690=1,0,IFERROR(VLOOKUP(BU690,'Gebinde-Kategorie'!$A$5:$N$45,13,0)+0,0))</f>
        <v>26</v>
      </c>
      <c r="S690" s="54"/>
      <c r="T690" s="55" t="s">
        <v>279</v>
      </c>
      <c r="U690" s="55"/>
      <c r="V690" s="55"/>
      <c r="W690" s="48"/>
      <c r="X690" s="50"/>
      <c r="Y690" s="50"/>
      <c r="Z690" s="48" t="n">
        <f aca="false">IF(A690="","",IF(AND(Parameter!$B$21="Ja",ISNUMBER(W690)),W690,IF(BZ690="2+3",IF(ISNUMBER(SEARCH("grosser Artikel",BR690)),2,IFERROR(VLOOKUP(BU690,Parameter!$F$35:$G$64,2,0),2)),IF(OR(BZ690="Nein",BZ690=""),"-",BZ690))))</f>
        <v>3</v>
      </c>
      <c r="AA690" s="55"/>
      <c r="AB690" s="56"/>
      <c r="AC690" s="50" t="n">
        <f aca="false">AT690</f>
        <v>20</v>
      </c>
      <c r="AD690" s="50" t="n">
        <f aca="false">MAX(AT690,H690)</f>
        <v>20</v>
      </c>
      <c r="AE690" s="57"/>
      <c r="AF690" s="50" t="n">
        <f aca="false">IF(LEFT(Cockpit!$C$5,1)="A",H690,IF(CE690=1,CF690,IF(LEFT(Cockpit!$C$5,1)="B",AK690,MAX(AK690,H690))))</f>
        <v>17</v>
      </c>
      <c r="AG690" s="50" t="n">
        <f aca="false">IF(BW690=1,0,ROUNDUP(AF690/BV690,0))</f>
        <v>1</v>
      </c>
      <c r="AH690" s="52" t="n">
        <f aca="false">IF(CL690&gt;0,CL690*MAX(1,AF690/X690),IF(BW690=1,IF(AF690&lt;=0,0,CA690*MAX(1,IF(H690&gt;0,AF690/H690,1))),IF(R690&gt;0,AG690/R690,0))/MAX(0.1,N(Parameter!$M$21)))</f>
        <v>0.0384615384615385</v>
      </c>
      <c r="AI690" s="50" t="n">
        <f aca="false">AH690*BY690</f>
        <v>5.96153846153846</v>
      </c>
      <c r="AJ690" s="50" t="n">
        <f aca="false">AF690*G690</f>
        <v>11964.77</v>
      </c>
      <c r="AK690" s="50" t="n">
        <f aca="false">ROUNDUP(MAX(J690/IF(CD690&gt;0,CD690,MAX(0.1,N(Cockpit!$C$6))),CG690)/BV690,0)*BV690</f>
        <v>20</v>
      </c>
      <c r="AL690" s="51" t="n">
        <f aca="false">IF(AI690&gt;0,J690/AI690,-1)</f>
        <v>0</v>
      </c>
      <c r="AM690" s="51" t="n">
        <f aca="false">IF(AND(OR(CC690="L1",CC690="L23",CC690="LIFT"),AI690&gt;0),SUMIFS($AI$7:$AI$1843,$CC$7:$CC$1843,CC690,$AL$7:$AL$1843,"&gt;"&amp;AL690)+SUMIFS($AI$7:$AI$1843,$CC$7:$CC$1843,CC690,$AL$7:$AL$1843,AL690,$BT$7:$BT$1843,"&lt;="&amp;BT690),"")</f>
        <v>28619.0560289522</v>
      </c>
      <c r="AN690" s="58" t="n">
        <f aca="false">IF(AM690="",0,MAX(0,MIN(1,(IF(CC690="L1",Parameter!$H$5,IF(CC690="L23",Parameter!$H$6+Parameter!$H$7,Parameter!$H$5+Parameter!$H$6+Parameter!$H$7))-(AM690-AI690))/AI690)))</f>
        <v>1</v>
      </c>
      <c r="AO690" s="50" t="n">
        <f aca="false">IF(LEFT(Cockpit!$I$5,1)="A",H690,IF(CE690=1,CF690,IF(LEFT(Cockpit!$I$5,1)="B",AT690,MAX(AT690,H690))))</f>
        <v>20</v>
      </c>
      <c r="AP690" s="50" t="n">
        <f aca="false">IF(BW690=1,0,ROUNDUP(AO690/BV690,0))</f>
        <v>1</v>
      </c>
      <c r="AQ690" s="52" t="n">
        <f aca="false">IF(CL690&gt;0,CL690*MAX(1,AO690/X690),IF(BW690=1,IF(AO690&lt;=0,0,CA690*MAX(1,IF(H690&gt;0,AO690/H690,1))),IF(R690&gt;0,AP690/R690,0))/MAX(0.1,N(Parameter!$M$21)))</f>
        <v>0.0384615384615385</v>
      </c>
      <c r="AR690" s="50" t="n">
        <f aca="false">AQ690*BY690</f>
        <v>5.96153846153846</v>
      </c>
      <c r="AS690" s="50" t="n">
        <f aca="false">AO690*G690</f>
        <v>14076.2</v>
      </c>
      <c r="AT690" s="50" t="n">
        <f aca="false">ROUNDUP(MAX(J690/IF(CD690&gt;0,CD690,MAX(0.1,N(Cockpit!$I$6))),CG690)/BV690,0)*BV690</f>
        <v>20</v>
      </c>
      <c r="AU690" s="51" t="n">
        <f aca="false">IF(AR690&gt;0,J690/AR690,-1)</f>
        <v>0</v>
      </c>
      <c r="AV690" s="51" t="n">
        <f aca="false">IF(AND(OR(CC690="L1",CC690="L23",CC690="LIFT"),AR690&gt;0),SUMIFS($AR$7:$AR$1843,$CC$7:$CC$1843,CC690,$AU$7:$AU$1843,"&gt;"&amp;AU690)+SUMIFS($AR$7:$AR$1843,$CC$7:$CC$1843,CC690,$AU$7:$AU$1843,AU690,$BT$7:$BT$1843,"&lt;="&amp;BT690),"")</f>
        <v>39977.6433227789</v>
      </c>
      <c r="AW690" s="58" t="n">
        <f aca="false">IF(AV690="",0,MAX(0,MIN(1,(IF(CC690="L1",Parameter!$H$5,IF(CC690="L23",Parameter!$H$6+Parameter!$H$7,Parameter!$H$5+Parameter!$H$6+Parameter!$H$7))-(AV690-AR690))/AR690)))</f>
        <v>0</v>
      </c>
      <c r="AX690" s="50" t="n">
        <f aca="false">IF(LEFT(Cockpit!$O$5,1)="A",H690,IF(CE690=1,CF690,IF(LEFT(Cockpit!$O$5,1)="B",BC690,MAX(BC690,H690))))</f>
        <v>20</v>
      </c>
      <c r="AY690" s="50" t="n">
        <f aca="false">IF(BW690=1,0,ROUNDUP(AX690/BV690,0))</f>
        <v>1</v>
      </c>
      <c r="AZ690" s="52" t="n">
        <f aca="false">IF(CL690&gt;0,CL690*MAX(1,AX690/X690),IF(BW690=1,IF(AX690&lt;=0,0,CA690*MAX(1,IF(H690&gt;0,AX690/H690,1))),IF(R690&gt;0,AY690/R690,0))/MAX(0.1,N(Parameter!$M$21)))</f>
        <v>0.0384615384615385</v>
      </c>
      <c r="BA690" s="50" t="n">
        <f aca="false">AZ690*BY690</f>
        <v>5.96153846153846</v>
      </c>
      <c r="BB690" s="50" t="n">
        <f aca="false">AX690*G690</f>
        <v>14076.2</v>
      </c>
      <c r="BC690" s="50" t="n">
        <f aca="false">ROUNDUP(MAX(J690/IF(CD690&gt;0,CD690,MAX(0.1,N(Cockpit!$O$6))),CG690)/BV690,0)*BV690</f>
        <v>20</v>
      </c>
      <c r="BD690" s="51" t="n">
        <f aca="false">IF(BA690&gt;0,J690/BA690,-1)</f>
        <v>0</v>
      </c>
      <c r="BE690" s="51" t="n">
        <f aca="false">IF(AND(OR(CC690="L1",CC690="L23",CC690="LIFT"),BA690&gt;0),SUMIFS($BA$7:$BA$1843,$CC$7:$CC$1843,CC690,$BD$7:$BD$1843,"&gt;"&amp;BD690)+SUMIFS($BA$7:$BA$1843,$CC$7:$CC$1843,CC690,$BD$7:$BD$1843,BD690,$BT$7:$BT$1843,"&lt;="&amp;BT690),"")</f>
        <v>36652.6553646448</v>
      </c>
      <c r="BF690" s="58" t="n">
        <f aca="false">IF(BE690="",0,MAX(0,MIN(1,(IF(CC690="L1",Parameter!$H$5,IF(CC690="L23",Parameter!$H$6+Parameter!$H$7,Parameter!$H$5+Parameter!$H$6+Parameter!$H$7))-(BE690-BA690))/BA690)))</f>
        <v>0</v>
      </c>
      <c r="BG690" s="48" t="str">
        <f aca="false">IF(AI690&lt;=0,"",IF(CC690="Aussen","Aussenlager",IF(CC690="-","Nicht im Lift",IF(AN690&gt;=1,"Lift",IF(AN690&lt;=0,"Aussenlager","teilweise")))))</f>
        <v>Lift</v>
      </c>
      <c r="BH690" s="48" t="str">
        <f aca="false">IF(AR690&lt;=0,"",IF(CC690="Aussen","Aussenlager",IF(CC690="-","Nicht im Lift",IF(AW690&gt;=1,"Lift",IF(AW690&lt;=0,"Aussenlager","teilweise")))))</f>
        <v>Aussenlager</v>
      </c>
      <c r="BI690" s="48" t="str">
        <f aca="false">IF(BA690&lt;=0,"",IF(CC690="Aussen","Aussenlager",IF(CC690="-","Nicht im Lift",IF(BF690&gt;=1,"Lift",IF(BF690&lt;=0,"Aussenlager","teilweise")))))</f>
        <v>Aussenlager</v>
      </c>
      <c r="BJ690" s="48" t="str">
        <f aca="false">IF(A690="","",IF(BS690=1,"Neu; ","")&amp;IF(AND(BS690=0,BN690&lt;0),"negativer Bestand (Export "&amp;BN690&amp;"); ","")&amp;IF(J690&lt;=0,"Kein Verbrauch; ","")&amp;IF(CL690&gt;0,"Lift "&amp;W690&amp;" lt. Liftbericht (Fach "&amp;X690&amp;" Stk); ",IF(BX690=1,"Gebinde geschätzt ("&amp;T690&amp;"); ",IF(BW690=1,"Lose – Tablare geschätzt; ","")))&amp;IF(H690&gt;AT690,"Überbestand "&amp;ROUND(H690-AT690,0)&amp;" Stk / CHF "&amp;ROUND((H690-AT690)*G690,0)&amp;"; ","")&amp;IF(AND(CE690=1,CF690&lt;CG690),"MAX &lt; MB+LG; ","")&amp;IF(AND(CK690&gt;0,CJ690*10&gt;CK690),"zu hoch für Tablar; ","")&amp;IF(AND(BS690=0,OR(CE690=1,AA690&lt;&gt;"",U690&lt;&gt;"",V690&lt;&gt;"",AB690&lt;&gt;"")),"manuell übersteuert; ","")&amp;IF(AND(BW690=0,R690=0),"Gebinde unbekannt / Stellmass fehlt; ","")&amp;IF(AND(BW690=0,N(V690)&lt;=0,N(Q690)&lt;=0),"Menge pro Gebinde fehlt (Ist = 1 Gebinde); ","")&amp;BR690)</f>
        <v>Kein Verbrauch; Gebinde geschätzt (Klein); Menge pro Gebinde fehlt (Ist = 1 Gebinde); </v>
      </c>
      <c r="BK690" s="48"/>
      <c r="BL690" s="48"/>
      <c r="BM690" s="55"/>
      <c r="BN690" s="50" t="n">
        <v>0</v>
      </c>
      <c r="BO690" s="50" t="n">
        <v>17</v>
      </c>
      <c r="BP690" s="49" t="n">
        <v>0</v>
      </c>
      <c r="BQ690" s="50" t="n">
        <v>0</v>
      </c>
      <c r="BR690" s="48"/>
      <c r="BS690" s="53" t="n">
        <v>0</v>
      </c>
      <c r="BT690" s="53" t="n">
        <v>690</v>
      </c>
      <c r="BU690" s="48" t="str">
        <f aca="false">IF(U690&lt;&gt;"",UPPER(TRIM(U690)),IF(BX690=1,UPPER(VLOOKUP(T690,Parameter!$I$27:$K$29,2,0)),IF(P690="","LOSE",P690)))</f>
        <v>S51</v>
      </c>
      <c r="BV690" s="50" t="n">
        <f aca="false">IF(BU690="LOSE",1,IF(N(V690)&gt;0,V690,IF(BX690=1,MAX(1,N(VLOOKUP(T690,Parameter!$I$27:$K$29,3,0)),H690,N(N690)),IF(N(Q690)&gt;0,Q690,MAX(1,H690)))))</f>
        <v>20</v>
      </c>
      <c r="BW690" s="53" t="n">
        <f aca="false">IF(BU690="LOSE",1,0)</f>
        <v>0</v>
      </c>
      <c r="BX690" s="53" t="n">
        <f aca="false">IF(AND(U690="",OR(P690="",P690="LOSE"),T690&lt;&gt;"",N(S690)&lt;=0,ISNUMBER(MATCH(T690,Parameter!$I$27:$I$29,0))),1,0)</f>
        <v>1</v>
      </c>
      <c r="BY690" s="53" t="n">
        <f aca="false">IF(CL690&gt;0,INDEX(Parameter!$H$5:$H$7,W690)/INDEX(Parameter!$E$5:$E$7,W690),IF(AND(BW690=0,N(IFERROR(VLOOKUP(BU690,'Gebinde-Kategorie'!$A$5:$N$45,14,0),0))&gt;0),VLOOKUP(BU690,'Gebinde-Kategorie'!$A$5:$N$45,14,0)*10+Parameter!$M$23,Parameter!$M$24))</f>
        <v>155</v>
      </c>
      <c r="BZ690" s="48" t="str">
        <f aca="false">IF(AND(Parameter!$B$19="Ja",E690&lt;&gt;"",ISNUMBER(MATCH(E690,Parameter!$I$35:$I$52,0))),VLOOKUP(E690,Parameter!$I$35:$J$52,2,0),IFERROR(VLOOKUP(D690,Parameter!$A$35:$C$64,2,0),"Nein"))</f>
        <v>2+3</v>
      </c>
      <c r="CA690" s="52" t="n">
        <f aca="false">IF(BW690=0,0,IF(N(S690)&gt;0,S690,IFERROR(VLOOKUP(D690,Parameter!$A$35:$C$64,3,0)+0,0)))</f>
        <v>0</v>
      </c>
      <c r="CB690" s="48" t="n">
        <f aca="false">IF(AA690&lt;&gt;"",AA690,Z690)</f>
        <v>3</v>
      </c>
      <c r="CC690" s="48" t="str">
        <f aca="false">IF(OR(CB690=1,CB690=2,CB690=3),IF(Parameter!$E$27="Ja","LIFT",IF(CB690=1,"L1","L23")),IF(CB690="Aussen","Aussen","-"))</f>
        <v>LIFT</v>
      </c>
      <c r="CD690" s="59" t="n">
        <f aca="false">IF(N(AB690)&gt;0,AB690,0)</f>
        <v>0</v>
      </c>
      <c r="CE690" s="53" t="n">
        <f aca="false">IF(ISNUMBER(AE690),1,0)</f>
        <v>0</v>
      </c>
      <c r="CF690" s="50" t="n">
        <f aca="false">N(AE690)</f>
        <v>0</v>
      </c>
      <c r="CG690" s="50" t="n">
        <f aca="false">N(M690)+N(N690)</f>
        <v>1</v>
      </c>
      <c r="CH690" s="50" t="n">
        <f aca="false">ROUNDUP(H690/BV690,0)</f>
        <v>1</v>
      </c>
      <c r="CI690" s="50" t="n">
        <f aca="false">ROUNDUP(CF690/BV690,0)</f>
        <v>0</v>
      </c>
      <c r="CJ690" s="53" t="n">
        <f aca="false">IF(BW690=1,0,IFERROR(VLOOKUP(BU690,'Gebinde-Kategorie'!$A$5:$N$45,5,0)+0,0))</f>
        <v>11</v>
      </c>
      <c r="CK690" s="53" t="n">
        <f aca="false">IFERROR(IF(OR(CB690=1,CB690=2,CB690=3),N(INDEX(Parameter!$I$5:$I$7,CB690)),0),0)</f>
        <v>0</v>
      </c>
      <c r="CL690" s="52" t="n">
        <f aca="false">IF(AND(Parameter!$B$21="Ja",ISNUMBER(W690),N(X690)&gt;0),IFERROR(N(INDEX(Parameter!$L$5:$L$7,W690))*INDEX(Parameter!$E$5:$E$7,W690)*X690/SUMIFS($X$7:$X$1843,$W$7:$W$1843,W690),0),0)</f>
        <v>0</v>
      </c>
    </row>
    <row r="691" customFormat="false" ht="15" hidden="false" customHeight="false" outlineLevel="0" collapsed="false">
      <c r="A691" s="48" t="s">
        <v>1385</v>
      </c>
      <c r="B691" s="48" t="s">
        <v>435</v>
      </c>
      <c r="C691" s="48" t="s">
        <v>168</v>
      </c>
      <c r="D691" s="48" t="s">
        <v>188</v>
      </c>
      <c r="E691" s="48" t="s">
        <v>189</v>
      </c>
      <c r="F691" s="48" t="s">
        <v>222</v>
      </c>
      <c r="G691" s="49" t="n">
        <v>137.1</v>
      </c>
      <c r="H691" s="50" t="n">
        <f aca="false">MAX(0,IF(AND(Parameter!$B$21="Ja",ISNUMBER(Y691)),Y691,IF(Parameter!$B$20="Jahresanfang 2025 + Export",BO691+BN691,BN691)))</f>
        <v>1</v>
      </c>
      <c r="I691" s="50" t="n">
        <f aca="false">H691*G691</f>
        <v>137.1</v>
      </c>
      <c r="J691" s="50" t="n">
        <f aca="false">BQ691*Parameter!$B$18</f>
        <v>1</v>
      </c>
      <c r="K691" s="51" t="n">
        <v>1</v>
      </c>
      <c r="L691" s="52" t="n">
        <v>1</v>
      </c>
      <c r="M691" s="50" t="n">
        <v>0</v>
      </c>
      <c r="N691" s="50" t="n">
        <v>1</v>
      </c>
      <c r="O691" s="53" t="n">
        <v>70</v>
      </c>
      <c r="P691" s="48" t="s">
        <v>405</v>
      </c>
      <c r="Q691" s="50" t="n">
        <v>1</v>
      </c>
      <c r="R691" s="53" t="n">
        <f aca="false">IF(BW691=1,0,IFERROR(VLOOKUP(BU691,'Gebinde-Kategorie'!$A$5:$N$45,13,0)+0,0))</f>
        <v>280</v>
      </c>
      <c r="S691" s="54"/>
      <c r="T691" s="55"/>
      <c r="U691" s="55"/>
      <c r="V691" s="55"/>
      <c r="W691" s="48"/>
      <c r="X691" s="50"/>
      <c r="Y691" s="50"/>
      <c r="Z691" s="48" t="n">
        <f aca="false">IF(A691="","",IF(AND(Parameter!$B$21="Ja",ISNUMBER(W691)),W691,IF(BZ691="2+3",IF(ISNUMBER(SEARCH("grosser Artikel",BR691)),2,IFERROR(VLOOKUP(BU691,Parameter!$F$35:$G$64,2,0),2)),IF(OR(BZ691="Nein",BZ691=""),"-",BZ691))))</f>
        <v>3</v>
      </c>
      <c r="AA691" s="55"/>
      <c r="AB691" s="56"/>
      <c r="AC691" s="50" t="n">
        <f aca="false">AT691</f>
        <v>1</v>
      </c>
      <c r="AD691" s="50" t="n">
        <f aca="false">MAX(AT691,H691)</f>
        <v>1</v>
      </c>
      <c r="AE691" s="57"/>
      <c r="AF691" s="50" t="n">
        <f aca="false">IF(LEFT(Cockpit!$C$5,1)="A",H691,IF(CE691=1,CF691,IF(LEFT(Cockpit!$C$5,1)="B",AK691,MAX(AK691,H691))))</f>
        <v>1</v>
      </c>
      <c r="AG691" s="50" t="n">
        <f aca="false">IF(BW691=1,0,ROUNDUP(AF691/BV691,0))</f>
        <v>1</v>
      </c>
      <c r="AH691" s="52" t="n">
        <f aca="false">IF(CL691&gt;0,CL691*MAX(1,AF691/X691),IF(BW691=1,IF(AF691&lt;=0,0,CA691*MAX(1,IF(H691&gt;0,AF691/H691,1))),IF(R691&gt;0,AG691/R691,0))/MAX(0.1,N(Parameter!$M$21)))</f>
        <v>0.00357142857142857</v>
      </c>
      <c r="AI691" s="50" t="n">
        <f aca="false">AH691*BY691</f>
        <v>0.553571428571429</v>
      </c>
      <c r="AJ691" s="50" t="n">
        <f aca="false">AF691*G691</f>
        <v>137.1</v>
      </c>
      <c r="AK691" s="50" t="n">
        <f aca="false">ROUNDUP(MAX(J691/IF(CD691&gt;0,CD691,MAX(0.1,N(Cockpit!$C$6))),CG691)/BV691,0)*BV691</f>
        <v>1</v>
      </c>
      <c r="AL691" s="51" t="n">
        <f aca="false">IF(AI691&gt;0,J691/AI691,-1)</f>
        <v>1.80645161290323</v>
      </c>
      <c r="AM691" s="51" t="n">
        <f aca="false">IF(AND(OR(CC691="L1",CC691="L23",CC691="LIFT"),AI691&gt;0),SUMIFS($AI$7:$AI$1843,$CC$7:$CC$1843,CC691,$AL$7:$AL$1843,"&gt;"&amp;AL691)+SUMIFS($AI$7:$AI$1843,$CC$7:$CC$1843,CC691,$AL$7:$AL$1843,AL691,$BT$7:$BT$1843,"&lt;="&amp;BT691),"")</f>
        <v>5964.79029304029</v>
      </c>
      <c r="AN691" s="58" t="n">
        <f aca="false">IF(AM691="",0,MAX(0,MIN(1,(IF(CC691="L1",Parameter!$H$5,IF(CC691="L23",Parameter!$H$6+Parameter!$H$7,Parameter!$H$5+Parameter!$H$6+Parameter!$H$7))-(AM691-AI691))/AI691)))</f>
        <v>1</v>
      </c>
      <c r="AO691" s="50" t="n">
        <f aca="false">IF(LEFT(Cockpit!$I$5,1)="A",H691,IF(CE691=1,CF691,IF(LEFT(Cockpit!$I$5,1)="B",AT691,MAX(AT691,H691))))</f>
        <v>1</v>
      </c>
      <c r="AP691" s="50" t="n">
        <f aca="false">IF(BW691=1,0,ROUNDUP(AO691/BV691,0))</f>
        <v>1</v>
      </c>
      <c r="AQ691" s="52" t="n">
        <f aca="false">IF(CL691&gt;0,CL691*MAX(1,AO691/X691),IF(BW691=1,IF(AO691&lt;=0,0,CA691*MAX(1,IF(H691&gt;0,AO691/H691,1))),IF(R691&gt;0,AP691/R691,0))/MAX(0.1,N(Parameter!$M$21)))</f>
        <v>0.00357142857142857</v>
      </c>
      <c r="AR691" s="50" t="n">
        <f aca="false">AQ691*BY691</f>
        <v>0.553571428571429</v>
      </c>
      <c r="AS691" s="50" t="n">
        <f aca="false">AO691*G691</f>
        <v>137.1</v>
      </c>
      <c r="AT691" s="50" t="n">
        <f aca="false">ROUNDUP(MAX(J691/IF(CD691&gt;0,CD691,MAX(0.1,N(Cockpit!$I$6))),CG691)/BV691,0)*BV691</f>
        <v>1</v>
      </c>
      <c r="AU691" s="51" t="n">
        <f aca="false">IF(AR691&gt;0,J691/AR691,-1)</f>
        <v>1.80645161290323</v>
      </c>
      <c r="AV691" s="51" t="n">
        <f aca="false">IF(AND(OR(CC691="L1",CC691="L23",CC691="LIFT"),AR691&gt;0),SUMIFS($AR$7:$AR$1843,$CC$7:$CC$1843,CC691,$AU$7:$AU$1843,"&gt;"&amp;AU691)+SUMIFS($AR$7:$AR$1843,$CC$7:$CC$1843,CC691,$AU$7:$AU$1843,AU691,$BT$7:$BT$1843,"&lt;="&amp;BT691),"")</f>
        <v>8075.15567765568</v>
      </c>
      <c r="AW691" s="58" t="n">
        <f aca="false">IF(AV691="",0,MAX(0,MIN(1,(IF(CC691="L1",Parameter!$H$5,IF(CC691="L23",Parameter!$H$6+Parameter!$H$7,Parameter!$H$5+Parameter!$H$6+Parameter!$H$7))-(AV691-AR691))/AR691)))</f>
        <v>1</v>
      </c>
      <c r="AX691" s="50" t="n">
        <f aca="false">IF(LEFT(Cockpit!$O$5,1)="A",H691,IF(CE691=1,CF691,IF(LEFT(Cockpit!$O$5,1)="B",BC691,MAX(BC691,H691))))</f>
        <v>1</v>
      </c>
      <c r="AY691" s="50" t="n">
        <f aca="false">IF(BW691=1,0,ROUNDUP(AX691/BV691,0))</f>
        <v>1</v>
      </c>
      <c r="AZ691" s="52" t="n">
        <f aca="false">IF(CL691&gt;0,CL691*MAX(1,AX691/X691),IF(BW691=1,IF(AX691&lt;=0,0,CA691*MAX(1,IF(H691&gt;0,AX691/H691,1))),IF(R691&gt;0,AY691/R691,0))/MAX(0.1,N(Parameter!$M$21)))</f>
        <v>0.00357142857142857</v>
      </c>
      <c r="BA691" s="50" t="n">
        <f aca="false">AZ691*BY691</f>
        <v>0.553571428571429</v>
      </c>
      <c r="BB691" s="50" t="n">
        <f aca="false">AX691*G691</f>
        <v>137.1</v>
      </c>
      <c r="BC691" s="50" t="n">
        <f aca="false">ROUNDUP(MAX(J691/IF(CD691&gt;0,CD691,MAX(0.1,N(Cockpit!$O$6))),CG691)/BV691,0)*BV691</f>
        <v>1</v>
      </c>
      <c r="BD691" s="51" t="n">
        <f aca="false">IF(BA691&gt;0,J691/BA691,-1)</f>
        <v>1.80645161290323</v>
      </c>
      <c r="BE691" s="51" t="n">
        <f aca="false">IF(AND(OR(CC691="L1",CC691="L23",CC691="LIFT"),BA691&gt;0),SUMIFS($BA$7:$BA$1843,$CC$7:$CC$1843,CC691,$BD$7:$BD$1843,"&gt;"&amp;BD691)+SUMIFS($BA$7:$BA$1843,$CC$7:$CC$1843,CC691,$BD$7:$BD$1843,BD691,$BT$7:$BT$1843,"&lt;="&amp;BT691),"")</f>
        <v>7977.4793956044</v>
      </c>
      <c r="BF691" s="58" t="n">
        <f aca="false">IF(BE691="",0,MAX(0,MIN(1,(IF(CC691="L1",Parameter!$H$5,IF(CC691="L23",Parameter!$H$6+Parameter!$H$7,Parameter!$H$5+Parameter!$H$6+Parameter!$H$7))-(BE691-BA691))/BA691)))</f>
        <v>1</v>
      </c>
      <c r="BG691" s="48" t="str">
        <f aca="false">IF(AI691&lt;=0,"",IF(CC691="Aussen","Aussenlager",IF(CC691="-","Nicht im Lift",IF(AN691&gt;=1,"Lift",IF(AN691&lt;=0,"Aussenlager","teilweise")))))</f>
        <v>Lift</v>
      </c>
      <c r="BH691" s="48" t="str">
        <f aca="false">IF(AR691&lt;=0,"",IF(CC691="Aussen","Aussenlager",IF(CC691="-","Nicht im Lift",IF(AW691&gt;=1,"Lift",IF(AW691&lt;=0,"Aussenlager","teilweise")))))</f>
        <v>Lift</v>
      </c>
      <c r="BI691" s="48" t="str">
        <f aca="false">IF(BA691&lt;=0,"",IF(CC691="Aussen","Aussenlager",IF(CC691="-","Nicht im Lift",IF(BF691&gt;=1,"Lift",IF(BF691&lt;=0,"Aussenlager","teilweise")))))</f>
        <v>Lift</v>
      </c>
      <c r="BJ691" s="48" t="str">
        <f aca="false">IF(A691="","",IF(BS691=1,"Neu; ","")&amp;IF(AND(BS691=0,BN691&lt;0),"negativer Bestand (Export "&amp;BN691&amp;"); ","")&amp;IF(J691&lt;=0,"Kein Verbrauch; ","")&amp;IF(CL691&gt;0,"Lift "&amp;W691&amp;" lt. Liftbericht (Fach "&amp;X691&amp;" Stk); ",IF(BX691=1,"Gebinde geschätzt ("&amp;T691&amp;"); ",IF(BW691=1,"Lose – Tablare geschätzt; ","")))&amp;IF(H691&gt;AT691,"Überbestand "&amp;ROUND(H691-AT691,0)&amp;" Stk / CHF "&amp;ROUND((H691-AT691)*G691,0)&amp;"; ","")&amp;IF(AND(CE691=1,CF691&lt;CG691),"MAX &lt; MB+LG; ","")&amp;IF(AND(CK691&gt;0,CJ691*10&gt;CK691),"zu hoch für Tablar; ","")&amp;IF(AND(BS691=0,OR(CE691=1,AA691&lt;&gt;"",U691&lt;&gt;"",V691&lt;&gt;"",AB691&lt;&gt;"")),"manuell übersteuert; ","")&amp;IF(AND(BW691=0,R691=0),"Gebinde unbekannt / Stellmass fehlt; ","")&amp;IF(AND(BW691=0,N(V691)&lt;=0,N(Q691)&lt;=0),"Menge pro Gebinde fehlt (Ist = 1 Gebinde); ","")&amp;BR691)</f>
        <v/>
      </c>
      <c r="BK691" s="48"/>
      <c r="BL691" s="48"/>
      <c r="BM691" s="55"/>
      <c r="BN691" s="50" t="n">
        <v>0</v>
      </c>
      <c r="BO691" s="50" t="n">
        <v>1</v>
      </c>
      <c r="BP691" s="49" t="n">
        <v>0</v>
      </c>
      <c r="BQ691" s="50" t="n">
        <v>1</v>
      </c>
      <c r="BR691" s="48"/>
      <c r="BS691" s="53" t="n">
        <v>0</v>
      </c>
      <c r="BT691" s="53" t="n">
        <v>691</v>
      </c>
      <c r="BU691" s="48" t="str">
        <f aca="false">IF(U691&lt;&gt;"",UPPER(TRIM(U691)),IF(BX691=1,UPPER(VLOOKUP(T691,Parameter!$I$27:$K$29,2,0)),IF(P691="","LOSE",P691)))</f>
        <v>S21</v>
      </c>
      <c r="BV691" s="50" t="n">
        <f aca="false">IF(BU691="LOSE",1,IF(N(V691)&gt;0,V691,IF(BX691=1,MAX(1,N(VLOOKUP(T691,Parameter!$I$27:$K$29,3,0)),H691,N(N691)),IF(N(Q691)&gt;0,Q691,MAX(1,H691)))))</f>
        <v>1</v>
      </c>
      <c r="BW691" s="53" t="n">
        <f aca="false">IF(BU691="LOSE",1,0)</f>
        <v>0</v>
      </c>
      <c r="BX691" s="53" t="n">
        <f aca="false">IF(AND(U691="",OR(P691="",P691="LOSE"),T691&lt;&gt;"",N(S691)&lt;=0,ISNUMBER(MATCH(T691,Parameter!$I$27:$I$29,0))),1,0)</f>
        <v>0</v>
      </c>
      <c r="BY691" s="53" t="n">
        <f aca="false">IF(CL691&gt;0,INDEX(Parameter!$H$5:$H$7,W691)/INDEX(Parameter!$E$5:$E$7,W691),IF(AND(BW691=0,N(IFERROR(VLOOKUP(BU691,'Gebinde-Kategorie'!$A$5:$N$45,14,0),0))&gt;0),VLOOKUP(BU691,'Gebinde-Kategorie'!$A$5:$N$45,14,0)*10+Parameter!$M$23,Parameter!$M$24))</f>
        <v>155</v>
      </c>
      <c r="BZ691" s="48" t="str">
        <f aca="false">IF(AND(Parameter!$B$19="Ja",E691&lt;&gt;"",ISNUMBER(MATCH(E691,Parameter!$I$35:$I$52,0))),VLOOKUP(E691,Parameter!$I$35:$J$52,2,0),IFERROR(VLOOKUP(D691,Parameter!$A$35:$C$64,2,0),"Nein"))</f>
        <v>2+3</v>
      </c>
      <c r="CA691" s="52" t="n">
        <f aca="false">IF(BW691=0,0,IF(N(S691)&gt;0,S691,IFERROR(VLOOKUP(D691,Parameter!$A$35:$C$64,3,0)+0,0)))</f>
        <v>0</v>
      </c>
      <c r="CB691" s="48" t="n">
        <f aca="false">IF(AA691&lt;&gt;"",AA691,Z691)</f>
        <v>3</v>
      </c>
      <c r="CC691" s="48" t="str">
        <f aca="false">IF(OR(CB691=1,CB691=2,CB691=3),IF(Parameter!$E$27="Ja","LIFT",IF(CB691=1,"L1","L23")),IF(CB691="Aussen","Aussen","-"))</f>
        <v>LIFT</v>
      </c>
      <c r="CD691" s="59" t="n">
        <f aca="false">IF(N(AB691)&gt;0,AB691,0)</f>
        <v>0</v>
      </c>
      <c r="CE691" s="53" t="n">
        <f aca="false">IF(ISNUMBER(AE691),1,0)</f>
        <v>0</v>
      </c>
      <c r="CF691" s="50" t="n">
        <f aca="false">N(AE691)</f>
        <v>0</v>
      </c>
      <c r="CG691" s="50" t="n">
        <f aca="false">N(M691)+N(N691)</f>
        <v>1</v>
      </c>
      <c r="CH691" s="50" t="n">
        <f aca="false">ROUNDUP(H691/BV691,0)</f>
        <v>1</v>
      </c>
      <c r="CI691" s="50" t="n">
        <f aca="false">ROUNDUP(CF691/BV691,0)</f>
        <v>0</v>
      </c>
      <c r="CJ691" s="53" t="n">
        <f aca="false">IF(BW691=1,0,IFERROR(VLOOKUP(BU691,'Gebinde-Kategorie'!$A$5:$N$45,5,0)+0,0))</f>
        <v>8</v>
      </c>
      <c r="CK691" s="53" t="n">
        <f aca="false">IFERROR(IF(OR(CB691=1,CB691=2,CB691=3),N(INDEX(Parameter!$I$5:$I$7,CB691)),0),0)</f>
        <v>0</v>
      </c>
      <c r="CL691" s="52" t="n">
        <f aca="false">IF(AND(Parameter!$B$21="Ja",ISNUMBER(W691),N(X691)&gt;0),IFERROR(N(INDEX(Parameter!$L$5:$L$7,W691))*INDEX(Parameter!$E$5:$E$7,W691)*X691/SUMIFS($X$7:$X$1843,$W$7:$W$1843,W691),0),0)</f>
        <v>0</v>
      </c>
    </row>
    <row r="692" customFormat="false" ht="15" hidden="false" customHeight="false" outlineLevel="0" collapsed="false">
      <c r="A692" s="48" t="s">
        <v>1386</v>
      </c>
      <c r="B692" s="48" t="s">
        <v>1387</v>
      </c>
      <c r="C692" s="48" t="s">
        <v>168</v>
      </c>
      <c r="D692" s="48" t="s">
        <v>177</v>
      </c>
      <c r="E692" s="48"/>
      <c r="F692" s="48" t="s">
        <v>222</v>
      </c>
      <c r="G692" s="49" t="n">
        <v>11045.16</v>
      </c>
      <c r="H692" s="50" t="n">
        <f aca="false">MAX(0,IF(AND(Parameter!$B$21="Ja",ISNUMBER(Y692)),Y692,IF(Parameter!$B$20="Jahresanfang 2025 + Export",BO692+BN692,BN692)))</f>
        <v>0</v>
      </c>
      <c r="I692" s="50" t="n">
        <f aca="false">H692*G692</f>
        <v>0</v>
      </c>
      <c r="J692" s="50" t="n">
        <f aca="false">BQ692*Parameter!$B$18</f>
        <v>2</v>
      </c>
      <c r="K692" s="51" t="n">
        <v>0</v>
      </c>
      <c r="L692" s="52" t="n">
        <v>0</v>
      </c>
      <c r="M692" s="50" t="n">
        <v>0</v>
      </c>
      <c r="N692" s="50" t="n">
        <v>1</v>
      </c>
      <c r="O692" s="53" t="n">
        <v>170</v>
      </c>
      <c r="P692" s="48" t="s">
        <v>172</v>
      </c>
      <c r="Q692" s="50"/>
      <c r="R692" s="53" t="n">
        <f aca="false">IF(BW692=1,0,IFERROR(VLOOKUP(BU692,'Gebinde-Kategorie'!$A$5:$N$45,13,0)+0,0))</f>
        <v>4</v>
      </c>
      <c r="S692" s="54"/>
      <c r="T692" s="55" t="s">
        <v>193</v>
      </c>
      <c r="U692" s="55"/>
      <c r="V692" s="55"/>
      <c r="W692" s="48"/>
      <c r="X692" s="50"/>
      <c r="Y692" s="50"/>
      <c r="Z692" s="48" t="n">
        <f aca="false">IF(A692="","",IF(AND(Parameter!$B$21="Ja",ISNUMBER(W692)),W692,IF(BZ692="2+3",IF(ISNUMBER(SEARCH("grosser Artikel",BR692)),2,IFERROR(VLOOKUP(BU692,Parameter!$F$35:$G$64,2,0),2)),IF(OR(BZ692="Nein",BZ692=""),"-",BZ692))))</f>
        <v>2</v>
      </c>
      <c r="AA692" s="55"/>
      <c r="AB692" s="56"/>
      <c r="AC692" s="50" t="n">
        <f aca="false">AT692</f>
        <v>2</v>
      </c>
      <c r="AD692" s="50" t="n">
        <f aca="false">MAX(AT692,H692)</f>
        <v>2</v>
      </c>
      <c r="AE692" s="57"/>
      <c r="AF692" s="50" t="n">
        <f aca="false">IF(LEFT(Cockpit!$C$5,1)="A",H692,IF(CE692=1,CF692,IF(LEFT(Cockpit!$C$5,1)="B",AK692,MAX(AK692,H692))))</f>
        <v>0</v>
      </c>
      <c r="AG692" s="50" t="n">
        <f aca="false">IF(BW692=1,0,ROUNDUP(AF692/BV692,0))</f>
        <v>0</v>
      </c>
      <c r="AH692" s="52" t="n">
        <f aca="false">IF(CL692&gt;0,CL692*MAX(1,AF692/X692),IF(BW692=1,IF(AF692&lt;=0,0,CA692*MAX(1,IF(H692&gt;0,AF692/H692,1))),IF(R692&gt;0,AG692/R692,0))/MAX(0.1,N(Parameter!$M$21)))</f>
        <v>0</v>
      </c>
      <c r="AI692" s="50" t="n">
        <f aca="false">AH692*BY692</f>
        <v>0</v>
      </c>
      <c r="AJ692" s="50" t="n">
        <f aca="false">AF692*G692</f>
        <v>0</v>
      </c>
      <c r="AK692" s="50" t="n">
        <f aca="false">ROUNDUP(MAX(J692/IF(CD692&gt;0,CD692,MAX(0.1,N(Cockpit!$C$6))),CG692)/BV692,0)*BV692</f>
        <v>2</v>
      </c>
      <c r="AL692" s="51" t="n">
        <f aca="false">IF(AI692&gt;0,J692/AI692,-1)</f>
        <v>-1</v>
      </c>
      <c r="AM692" s="51" t="str">
        <f aca="false">IF(AND(OR(CC692="L1",CC692="L23",CC692="LIFT"),AI692&gt;0),SUMIFS($AI$7:$AI$1843,$CC$7:$CC$1843,CC692,$AL$7:$AL$1843,"&gt;"&amp;AL692)+SUMIFS($AI$7:$AI$1843,$CC$7:$CC$1843,CC692,$AL$7:$AL$1843,AL692,$BT$7:$BT$1843,"&lt;="&amp;BT692),"")</f>
        <v/>
      </c>
      <c r="AN692" s="58" t="n">
        <f aca="false">IF(AM692="",0,MAX(0,MIN(1,(IF(CC692="L1",Parameter!$H$5,IF(CC692="L23",Parameter!$H$6+Parameter!$H$7,Parameter!$H$5+Parameter!$H$6+Parameter!$H$7))-(AM692-AI692))/AI692)))</f>
        <v>0</v>
      </c>
      <c r="AO692" s="50" t="n">
        <f aca="false">IF(LEFT(Cockpit!$I$5,1)="A",H692,IF(CE692=1,CF692,IF(LEFT(Cockpit!$I$5,1)="B",AT692,MAX(AT692,H692))))</f>
        <v>2</v>
      </c>
      <c r="AP692" s="50" t="n">
        <f aca="false">IF(BW692=1,0,ROUNDUP(AO692/BV692,0))</f>
        <v>1</v>
      </c>
      <c r="AQ692" s="52" t="n">
        <f aca="false">IF(CL692&gt;0,CL692*MAX(1,AO692/X692),IF(BW692=1,IF(AO692&lt;=0,0,CA692*MAX(1,IF(H692&gt;0,AO692/H692,1))),IF(R692&gt;0,AP692/R692,0))/MAX(0.1,N(Parameter!$M$21)))</f>
        <v>0.25</v>
      </c>
      <c r="AR692" s="50" t="n">
        <f aca="false">AQ692*BY692</f>
        <v>58.75</v>
      </c>
      <c r="AS692" s="50" t="n">
        <f aca="false">AO692*G692</f>
        <v>22090.32</v>
      </c>
      <c r="AT692" s="50" t="n">
        <f aca="false">ROUNDUP(MAX(J692/IF(CD692&gt;0,CD692,MAX(0.1,N(Cockpit!$I$6))),CG692)/BV692,0)*BV692</f>
        <v>2</v>
      </c>
      <c r="AU692" s="51" t="n">
        <f aca="false">IF(AR692&gt;0,J692/AR692,-1)</f>
        <v>0.0340425531914894</v>
      </c>
      <c r="AV692" s="51" t="n">
        <f aca="false">IF(AND(OR(CC692="L1",CC692="L23",CC692="LIFT"),AR692&gt;0),SUMIFS($AR$7:$AR$1843,$CC$7:$CC$1843,CC692,$AU$7:$AU$1843,"&gt;"&amp;AU692)+SUMIFS($AR$7:$AR$1843,$CC$7:$CC$1843,CC692,$AU$7:$AU$1843,AU692,$BT$7:$BT$1843,"&lt;="&amp;BT692),"")</f>
        <v>31255.6578532108</v>
      </c>
      <c r="AW692" s="58" t="n">
        <f aca="false">IF(AV692="",0,MAX(0,MIN(1,(IF(CC692="L1",Parameter!$H$5,IF(CC692="L23",Parameter!$H$6+Parameter!$H$7,Parameter!$H$5+Parameter!$H$6+Parameter!$H$7))-(AV692-AR692))/AR692)))</f>
        <v>1</v>
      </c>
      <c r="AX692" s="50" t="n">
        <f aca="false">IF(LEFT(Cockpit!$O$5,1)="A",H692,IF(CE692=1,CF692,IF(LEFT(Cockpit!$O$5,1)="B",BC692,MAX(BC692,H692))))</f>
        <v>2</v>
      </c>
      <c r="AY692" s="50" t="n">
        <f aca="false">IF(BW692=1,0,ROUNDUP(AX692/BV692,0))</f>
        <v>1</v>
      </c>
      <c r="AZ692" s="52" t="n">
        <f aca="false">IF(CL692&gt;0,CL692*MAX(1,AX692/X692),IF(BW692=1,IF(AX692&lt;=0,0,CA692*MAX(1,IF(H692&gt;0,AX692/H692,1))),IF(R692&gt;0,AY692/R692,0))/MAX(0.1,N(Parameter!$M$21)))</f>
        <v>0.25</v>
      </c>
      <c r="BA692" s="50" t="n">
        <f aca="false">AZ692*BY692</f>
        <v>58.75</v>
      </c>
      <c r="BB692" s="50" t="n">
        <f aca="false">AX692*G692</f>
        <v>22090.32</v>
      </c>
      <c r="BC692" s="50" t="n">
        <f aca="false">ROUNDUP(MAX(J692/IF(CD692&gt;0,CD692,MAX(0.1,N(Cockpit!$O$6))),CG692)/BV692,0)*BV692</f>
        <v>2</v>
      </c>
      <c r="BD692" s="51" t="n">
        <f aca="false">IF(BA692&gt;0,J692/BA692,-1)</f>
        <v>0.0340425531914894</v>
      </c>
      <c r="BE692" s="51" t="n">
        <f aca="false">IF(AND(OR(CC692="L1",CC692="L23",CC692="LIFT"),BA692&gt;0),SUMIFS($BA$7:$BA$1843,$CC$7:$CC$1843,CC692,$BD$7:$BD$1843,"&gt;"&amp;BD692)+SUMIFS($BA$7:$BA$1843,$CC$7:$CC$1843,CC692,$BD$7:$BD$1843,BD692,$BT$7:$BT$1843,"&lt;="&amp;BT692),"")</f>
        <v>27930.6698950767</v>
      </c>
      <c r="BF692" s="58" t="n">
        <f aca="false">IF(BE692="",0,MAX(0,MIN(1,(IF(CC692="L1",Parameter!$H$5,IF(CC692="L23",Parameter!$H$6+Parameter!$H$7,Parameter!$H$5+Parameter!$H$6+Parameter!$H$7))-(BE692-BA692))/BA692)))</f>
        <v>1</v>
      </c>
      <c r="BG692" s="48" t="str">
        <f aca="false">IF(AI692&lt;=0,"",IF(CC692="Aussen","Aussenlager",IF(CC692="-","Nicht im Lift",IF(AN692&gt;=1,"Lift",IF(AN692&lt;=0,"Aussenlager","teilweise")))))</f>
        <v/>
      </c>
      <c r="BH692" s="48" t="str">
        <f aca="false">IF(AR692&lt;=0,"",IF(CC692="Aussen","Aussenlager",IF(CC692="-","Nicht im Lift",IF(AW692&gt;=1,"Lift",IF(AW692&lt;=0,"Aussenlager","teilweise")))))</f>
        <v>Lift</v>
      </c>
      <c r="BI692" s="48" t="str">
        <f aca="false">IF(BA692&lt;=0,"",IF(CC692="Aussen","Aussenlager",IF(CC692="-","Nicht im Lift",IF(BF692&gt;=1,"Lift",IF(BF692&lt;=0,"Aussenlager","teilweise")))))</f>
        <v>Lift</v>
      </c>
      <c r="BJ692" s="48" t="str">
        <f aca="false">IF(A692="","",IF(BS692=1,"Neu; ","")&amp;IF(AND(BS692=0,BN692&lt;0),"negativer Bestand (Export "&amp;BN692&amp;"); ","")&amp;IF(J692&lt;=0,"Kein Verbrauch; ","")&amp;IF(CL692&gt;0,"Lift "&amp;W692&amp;" lt. Liftbericht (Fach "&amp;X692&amp;" Stk); ",IF(BX692=1,"Gebinde geschätzt ("&amp;T692&amp;"); ",IF(BW692=1,"Lose – Tablare geschätzt; ","")))&amp;IF(H692&gt;AT692,"Überbestand "&amp;ROUND(H692-AT692,0)&amp;" Stk / CHF "&amp;ROUND((H692-AT692)*G692,0)&amp;"; ","")&amp;IF(AND(CE692=1,CF692&lt;CG692),"MAX &lt; MB+LG; ","")&amp;IF(AND(CK692&gt;0,CJ692*10&gt;CK692),"zu hoch für Tablar; ","")&amp;IF(AND(BS692=0,OR(CE692=1,AA692&lt;&gt;"",U692&lt;&gt;"",V692&lt;&gt;"",AB692&lt;&gt;"")),"manuell übersteuert; ","")&amp;IF(AND(BW692=0,R692=0),"Gebinde unbekannt / Stellmass fehlt; ","")&amp;IF(AND(BW692=0,N(V692)&lt;=0,N(Q692)&lt;=0),"Menge pro Gebinde fehlt (Ist = 1 Gebinde); ","")&amp;BR692)</f>
        <v>Gebinde geschätzt (Gross); Menge pro Gebinde fehlt (Ist = 1 Gebinde); </v>
      </c>
      <c r="BK692" s="48"/>
      <c r="BL692" s="48"/>
      <c r="BM692" s="55"/>
      <c r="BN692" s="50" t="n">
        <v>0</v>
      </c>
      <c r="BO692" s="50" t="n">
        <v>0</v>
      </c>
      <c r="BP692" s="49" t="n">
        <v>0</v>
      </c>
      <c r="BQ692" s="50" t="n">
        <v>2</v>
      </c>
      <c r="BR692" s="48"/>
      <c r="BS692" s="53" t="n">
        <v>0</v>
      </c>
      <c r="BT692" s="53" t="n">
        <v>692</v>
      </c>
      <c r="BU692" s="48" t="str">
        <f aca="false">IF(U692&lt;&gt;"",UPPER(TRIM(U692)),IF(BX692=1,UPPER(VLOOKUP(T692,Parameter!$I$27:$K$29,2,0)),IF(P692="","LOSE",P692)))</f>
        <v>S81</v>
      </c>
      <c r="BV692" s="50" t="n">
        <f aca="false">IF(BU692="LOSE",1,IF(N(V692)&gt;0,V692,IF(BX692=1,MAX(1,N(VLOOKUP(T692,Parameter!$I$27:$K$29,3,0)),H692,N(N692)),IF(N(Q692)&gt;0,Q692,MAX(1,H692)))))</f>
        <v>2</v>
      </c>
      <c r="BW692" s="53" t="n">
        <f aca="false">IF(BU692="LOSE",1,0)</f>
        <v>0</v>
      </c>
      <c r="BX692" s="53" t="n">
        <f aca="false">IF(AND(U692="",OR(P692="",P692="LOSE"),T692&lt;&gt;"",N(S692)&lt;=0,ISNUMBER(MATCH(T692,Parameter!$I$27:$I$29,0))),1,0)</f>
        <v>1</v>
      </c>
      <c r="BY692" s="53" t="n">
        <f aca="false">IF(CL692&gt;0,INDEX(Parameter!$H$5:$H$7,W692)/INDEX(Parameter!$E$5:$E$7,W692),IF(AND(BW692=0,N(IFERROR(VLOOKUP(BU692,'Gebinde-Kategorie'!$A$5:$N$45,14,0),0))&gt;0),VLOOKUP(BU692,'Gebinde-Kategorie'!$A$5:$N$45,14,0)*10+Parameter!$M$23,Parameter!$M$24))</f>
        <v>235</v>
      </c>
      <c r="BZ692" s="48" t="str">
        <f aca="false">IF(AND(Parameter!$B$19="Ja",E692&lt;&gt;"",ISNUMBER(MATCH(E692,Parameter!$I$35:$I$52,0))),VLOOKUP(E692,Parameter!$I$35:$J$52,2,0),IFERROR(VLOOKUP(D692,Parameter!$A$35:$C$64,2,0),"Nein"))</f>
        <v>2+3</v>
      </c>
      <c r="CA692" s="52" t="n">
        <f aca="false">IF(BW692=0,0,IF(N(S692)&gt;0,S692,IFERROR(VLOOKUP(D692,Parameter!$A$35:$C$64,3,0)+0,0)))</f>
        <v>0</v>
      </c>
      <c r="CB692" s="48" t="n">
        <f aca="false">IF(AA692&lt;&gt;"",AA692,Z692)</f>
        <v>2</v>
      </c>
      <c r="CC692" s="48" t="str">
        <f aca="false">IF(OR(CB692=1,CB692=2,CB692=3),IF(Parameter!$E$27="Ja","LIFT",IF(CB692=1,"L1","L23")),IF(CB692="Aussen","Aussen","-"))</f>
        <v>LIFT</v>
      </c>
      <c r="CD692" s="59" t="n">
        <f aca="false">IF(N(AB692)&gt;0,AB692,0)</f>
        <v>0</v>
      </c>
      <c r="CE692" s="53" t="n">
        <f aca="false">IF(ISNUMBER(AE692),1,0)</f>
        <v>0</v>
      </c>
      <c r="CF692" s="50" t="n">
        <f aca="false">N(AE692)</f>
        <v>0</v>
      </c>
      <c r="CG692" s="50" t="n">
        <f aca="false">N(M692)+N(N692)</f>
        <v>1</v>
      </c>
      <c r="CH692" s="50" t="n">
        <f aca="false">ROUNDUP(H692/BV692,0)</f>
        <v>0</v>
      </c>
      <c r="CI692" s="50" t="n">
        <f aca="false">ROUNDUP(CF692/BV692,0)</f>
        <v>0</v>
      </c>
      <c r="CJ692" s="53" t="n">
        <f aca="false">IF(BW692=1,0,IFERROR(VLOOKUP(BU692,'Gebinde-Kategorie'!$A$5:$N$45,5,0)+0,0))</f>
        <v>20</v>
      </c>
      <c r="CK692" s="53" t="n">
        <f aca="false">IFERROR(IF(OR(CB692=1,CB692=2,CB692=3),N(INDEX(Parameter!$I$5:$I$7,CB692)),0),0)</f>
        <v>0</v>
      </c>
      <c r="CL692" s="52" t="n">
        <f aca="false">IF(AND(Parameter!$B$21="Ja",ISNUMBER(W692),N(X692)&gt;0),IFERROR(N(INDEX(Parameter!$L$5:$L$7,W692))*INDEX(Parameter!$E$5:$E$7,W692)*X692/SUMIFS($X$7:$X$1843,$W$7:$W$1843,W692),0),0)</f>
        <v>0</v>
      </c>
    </row>
    <row r="693" customFormat="false" ht="15" hidden="false" customHeight="false" outlineLevel="0" collapsed="false">
      <c r="A693" s="48" t="s">
        <v>1388</v>
      </c>
      <c r="B693" s="48" t="s">
        <v>1389</v>
      </c>
      <c r="C693" s="48" t="s">
        <v>168</v>
      </c>
      <c r="D693" s="48" t="s">
        <v>188</v>
      </c>
      <c r="E693" s="48" t="s">
        <v>189</v>
      </c>
      <c r="F693" s="48" t="s">
        <v>222</v>
      </c>
      <c r="G693" s="49" t="n">
        <v>480</v>
      </c>
      <c r="H693" s="50" t="n">
        <f aca="false">MAX(0,IF(AND(Parameter!$B$21="Ja",ISNUMBER(Y693)),Y693,IF(Parameter!$B$20="Jahresanfang 2025 + Export",BO693+BN693,BN693)))</f>
        <v>4</v>
      </c>
      <c r="I693" s="50" t="n">
        <f aca="false">H693*G693</f>
        <v>1920</v>
      </c>
      <c r="J693" s="50" t="n">
        <f aca="false">BQ693*Parameter!$B$18</f>
        <v>5</v>
      </c>
      <c r="K693" s="51" t="n">
        <v>2.5</v>
      </c>
      <c r="L693" s="52" t="n">
        <v>2</v>
      </c>
      <c r="M693" s="50" t="n">
        <v>0</v>
      </c>
      <c r="N693" s="50" t="n">
        <v>5</v>
      </c>
      <c r="O693" s="53" t="n">
        <v>35</v>
      </c>
      <c r="P693" s="48" t="s">
        <v>178</v>
      </c>
      <c r="Q693" s="50" t="n">
        <v>1</v>
      </c>
      <c r="R693" s="53" t="n">
        <f aca="false">IF(BW693=1,0,IFERROR(VLOOKUP(BU693,'Gebinde-Kategorie'!$A$5:$N$45,13,0)+0,0))</f>
        <v>6</v>
      </c>
      <c r="S693" s="54"/>
      <c r="T693" s="55"/>
      <c r="U693" s="55"/>
      <c r="V693" s="55"/>
      <c r="W693" s="48"/>
      <c r="X693" s="50"/>
      <c r="Y693" s="50"/>
      <c r="Z693" s="48" t="n">
        <f aca="false">IF(A693="","",IF(AND(Parameter!$B$21="Ja",ISNUMBER(W693)),W693,IF(BZ693="2+3",IF(ISNUMBER(SEARCH("grosser Artikel",BR693)),2,IFERROR(VLOOKUP(BU693,Parameter!$F$35:$G$64,2,0),2)),IF(OR(BZ693="Nein",BZ693=""),"-",BZ693))))</f>
        <v>2</v>
      </c>
      <c r="AA693" s="55"/>
      <c r="AB693" s="56"/>
      <c r="AC693" s="50" t="n">
        <f aca="false">AT693</f>
        <v>5</v>
      </c>
      <c r="AD693" s="50" t="n">
        <f aca="false">MAX(AT693,H693)</f>
        <v>5</v>
      </c>
      <c r="AE693" s="57"/>
      <c r="AF693" s="50" t="n">
        <f aca="false">IF(LEFT(Cockpit!$C$5,1)="A",H693,IF(CE693=1,CF693,IF(LEFT(Cockpit!$C$5,1)="B",AK693,MAX(AK693,H693))))</f>
        <v>4</v>
      </c>
      <c r="AG693" s="50" t="n">
        <f aca="false">IF(BW693=1,0,ROUNDUP(AF693/BV693,0))</f>
        <v>4</v>
      </c>
      <c r="AH693" s="52" t="n">
        <f aca="false">IF(CL693&gt;0,CL693*MAX(1,AF693/X693),IF(BW693=1,IF(AF693&lt;=0,0,CA693*MAX(1,IF(H693&gt;0,AF693/H693,1))),IF(R693&gt;0,AG693/R693,0))/MAX(0.1,N(Parameter!$M$21)))</f>
        <v>0.666666666666667</v>
      </c>
      <c r="AI693" s="50" t="n">
        <f aca="false">AH693*BY693</f>
        <v>156.666666666667</v>
      </c>
      <c r="AJ693" s="50" t="n">
        <f aca="false">AF693*G693</f>
        <v>1920</v>
      </c>
      <c r="AK693" s="50" t="n">
        <f aca="false">ROUNDUP(MAX(J693/IF(CD693&gt;0,CD693,MAX(0.1,N(Cockpit!$C$6))),CG693)/BV693,0)*BV693</f>
        <v>5</v>
      </c>
      <c r="AL693" s="51" t="n">
        <f aca="false">IF(AI693&gt;0,J693/AI693,-1)</f>
        <v>0.0319148936170213</v>
      </c>
      <c r="AM693" s="51" t="n">
        <f aca="false">IF(AND(OR(CC693="L1",CC693="L23",CC693="LIFT"),AI693&gt;0),SUMIFS($AI$7:$AI$1843,$CC$7:$CC$1843,CC693,$AL$7:$AL$1843,"&gt;"&amp;AL693)+SUMIFS($AI$7:$AI$1843,$CC$7:$CC$1843,CC693,$AL$7:$AL$1843,AL693,$BT$7:$BT$1843,"&lt;="&amp;BT693),"")</f>
        <v>20967.6518361582</v>
      </c>
      <c r="AN693" s="58" t="n">
        <f aca="false">IF(AM693="",0,MAX(0,MIN(1,(IF(CC693="L1",Parameter!$H$5,IF(CC693="L23",Parameter!$H$6+Parameter!$H$7,Parameter!$H$5+Parameter!$H$6+Parameter!$H$7))-(AM693-AI693))/AI693)))</f>
        <v>1</v>
      </c>
      <c r="AO693" s="50" t="n">
        <f aca="false">IF(LEFT(Cockpit!$I$5,1)="A",H693,IF(CE693=1,CF693,IF(LEFT(Cockpit!$I$5,1)="B",AT693,MAX(AT693,H693))))</f>
        <v>5</v>
      </c>
      <c r="AP693" s="50" t="n">
        <f aca="false">IF(BW693=1,0,ROUNDUP(AO693/BV693,0))</f>
        <v>5</v>
      </c>
      <c r="AQ693" s="52" t="n">
        <f aca="false">IF(CL693&gt;0,CL693*MAX(1,AO693/X693),IF(BW693=1,IF(AO693&lt;=0,0,CA693*MAX(1,IF(H693&gt;0,AO693/H693,1))),IF(R693&gt;0,AP693/R693,0))/MAX(0.1,N(Parameter!$M$21)))</f>
        <v>0.833333333333333</v>
      </c>
      <c r="AR693" s="50" t="n">
        <f aca="false">AQ693*BY693</f>
        <v>195.833333333333</v>
      </c>
      <c r="AS693" s="50" t="n">
        <f aca="false">AO693*G693</f>
        <v>2400</v>
      </c>
      <c r="AT693" s="50" t="n">
        <f aca="false">ROUNDUP(MAX(J693/IF(CD693&gt;0,CD693,MAX(0.1,N(Cockpit!$I$6))),CG693)/BV693,0)*BV693</f>
        <v>5</v>
      </c>
      <c r="AU693" s="51" t="n">
        <f aca="false">IF(AR693&gt;0,J693/AR693,-1)</f>
        <v>0.025531914893617</v>
      </c>
      <c r="AV693" s="51" t="n">
        <f aca="false">IF(AND(OR(CC693="L1",CC693="L23",CC693="LIFT"),AR693&gt;0),SUMIFS($AR$7:$AR$1843,$CC$7:$CC$1843,CC693,$AU$7:$AU$1843,"&gt;"&amp;AU693)+SUMIFS($AR$7:$AR$1843,$CC$7:$CC$1843,CC693,$AU$7:$AU$1843,AU693,$BT$7:$BT$1843,"&lt;="&amp;BT693),"")</f>
        <v>32662.3346603961</v>
      </c>
      <c r="AW693" s="58" t="n">
        <f aca="false">IF(AV693="",0,MAX(0,MIN(1,(IF(CC693="L1",Parameter!$H$5,IF(CC693="L23",Parameter!$H$6+Parameter!$H$7,Parameter!$H$5+Parameter!$H$6+Parameter!$H$7))-(AV693-AR693))/AR693)))</f>
        <v>1</v>
      </c>
      <c r="AX693" s="50" t="n">
        <f aca="false">IF(LEFT(Cockpit!$O$5,1)="A",H693,IF(CE693=1,CF693,IF(LEFT(Cockpit!$O$5,1)="B",BC693,MAX(BC693,H693))))</f>
        <v>5</v>
      </c>
      <c r="AY693" s="50" t="n">
        <f aca="false">IF(BW693=1,0,ROUNDUP(AX693/BV693,0))</f>
        <v>5</v>
      </c>
      <c r="AZ693" s="52" t="n">
        <f aca="false">IF(CL693&gt;0,CL693*MAX(1,AX693/X693),IF(BW693=1,IF(AX693&lt;=0,0,CA693*MAX(1,IF(H693&gt;0,AX693/H693,1))),IF(R693&gt;0,AY693/R693,0))/MAX(0.1,N(Parameter!$M$21)))</f>
        <v>0.833333333333333</v>
      </c>
      <c r="BA693" s="50" t="n">
        <f aca="false">AZ693*BY693</f>
        <v>195.833333333333</v>
      </c>
      <c r="BB693" s="50" t="n">
        <f aca="false">AX693*G693</f>
        <v>2400</v>
      </c>
      <c r="BC693" s="50" t="n">
        <f aca="false">ROUNDUP(MAX(J693/IF(CD693&gt;0,CD693,MAX(0.1,N(Cockpit!$O$6))),CG693)/BV693,0)*BV693</f>
        <v>5</v>
      </c>
      <c r="BD693" s="51" t="n">
        <f aca="false">IF(BA693&gt;0,J693/BA693,-1)</f>
        <v>0.025531914893617</v>
      </c>
      <c r="BE693" s="51" t="n">
        <f aca="false">IF(AND(OR(CC693="L1",CC693="L23",CC693="LIFT"),BA693&gt;0),SUMIFS($BA$7:$BA$1843,$CC$7:$CC$1843,CC693,$BD$7:$BD$1843,"&gt;"&amp;BD693)+SUMIFS($BA$7:$BA$1843,$CC$7:$CC$1843,CC693,$BD$7:$BD$1843,BD693,$BT$7:$BT$1843,"&lt;="&amp;BT693),"")</f>
        <v>29337.346702262</v>
      </c>
      <c r="BF693" s="58" t="n">
        <f aca="false">IF(BE693="",0,MAX(0,MIN(1,(IF(CC693="L1",Parameter!$H$5,IF(CC693="L23",Parameter!$H$6+Parameter!$H$7,Parameter!$H$5+Parameter!$H$6+Parameter!$H$7))-(BE693-BA693))/BA693)))</f>
        <v>1</v>
      </c>
      <c r="BG693" s="48" t="str">
        <f aca="false">IF(AI693&lt;=0,"",IF(CC693="Aussen","Aussenlager",IF(CC693="-","Nicht im Lift",IF(AN693&gt;=1,"Lift",IF(AN693&lt;=0,"Aussenlager","teilweise")))))</f>
        <v>Lift</v>
      </c>
      <c r="BH693" s="48" t="str">
        <f aca="false">IF(AR693&lt;=0,"",IF(CC693="Aussen","Aussenlager",IF(CC693="-","Nicht im Lift",IF(AW693&gt;=1,"Lift",IF(AW693&lt;=0,"Aussenlager","teilweise")))))</f>
        <v>Lift</v>
      </c>
      <c r="BI693" s="48" t="str">
        <f aca="false">IF(BA693&lt;=0,"",IF(CC693="Aussen","Aussenlager",IF(CC693="-","Nicht im Lift",IF(BF693&gt;=1,"Lift",IF(BF693&lt;=0,"Aussenlager","teilweise")))))</f>
        <v>Lift</v>
      </c>
      <c r="BJ693" s="48" t="str">
        <f aca="false">IF(A693="","",IF(BS693=1,"Neu; ","")&amp;IF(AND(BS693=0,BN693&lt;0),"negativer Bestand (Export "&amp;BN693&amp;"); ","")&amp;IF(J693&lt;=0,"Kein Verbrauch; ","")&amp;IF(CL693&gt;0,"Lift "&amp;W693&amp;" lt. Liftbericht (Fach "&amp;X693&amp;" Stk); ",IF(BX693=1,"Gebinde geschätzt ("&amp;T693&amp;"); ",IF(BW693=1,"Lose – Tablare geschätzt; ","")))&amp;IF(H693&gt;AT693,"Überbestand "&amp;ROUND(H693-AT693,0)&amp;" Stk / CHF "&amp;ROUND((H693-AT693)*G693,0)&amp;"; ","")&amp;IF(AND(CE693=1,CF693&lt;CG693),"MAX &lt; MB+LG; ","")&amp;IF(AND(CK693&gt;0,CJ693*10&gt;CK693),"zu hoch für Tablar; ","")&amp;IF(AND(BS693=0,OR(CE693=1,AA693&lt;&gt;"",U693&lt;&gt;"",V693&lt;&gt;"",AB693&lt;&gt;"")),"manuell übersteuert; ","")&amp;IF(AND(BW693=0,R693=0),"Gebinde unbekannt / Stellmass fehlt; ","")&amp;IF(AND(BW693=0,N(V693)&lt;=0,N(Q693)&lt;=0),"Menge pro Gebinde fehlt (Ist = 1 Gebinde); ","")&amp;BR693)</f>
        <v>grosser Artikel &amp; nicht im KTL</v>
      </c>
      <c r="BK693" s="48"/>
      <c r="BL693" s="48"/>
      <c r="BM693" s="55"/>
      <c r="BN693" s="50" t="n">
        <v>0</v>
      </c>
      <c r="BO693" s="50" t="n">
        <v>4</v>
      </c>
      <c r="BP693" s="49" t="n">
        <v>0</v>
      </c>
      <c r="BQ693" s="50" t="n">
        <v>5</v>
      </c>
      <c r="BR693" s="48" t="s">
        <v>265</v>
      </c>
      <c r="BS693" s="53" t="n">
        <v>0</v>
      </c>
      <c r="BT693" s="53" t="n">
        <v>693</v>
      </c>
      <c r="BU693" s="48" t="str">
        <f aca="false">IF(U693&lt;&gt;"",UPPER(TRIM(U693)),IF(BX693=1,UPPER(VLOOKUP(T693,Parameter!$I$27:$K$29,2,0)),IF(P693="","LOSE",P693)))</f>
        <v>S71</v>
      </c>
      <c r="BV693" s="50" t="n">
        <f aca="false">IF(BU693="LOSE",1,IF(N(V693)&gt;0,V693,IF(BX693=1,MAX(1,N(VLOOKUP(T693,Parameter!$I$27:$K$29,3,0)),H693,N(N693)),IF(N(Q693)&gt;0,Q693,MAX(1,H693)))))</f>
        <v>1</v>
      </c>
      <c r="BW693" s="53" t="n">
        <f aca="false">IF(BU693="LOSE",1,0)</f>
        <v>0</v>
      </c>
      <c r="BX693" s="53" t="n">
        <f aca="false">IF(AND(U693="",OR(P693="",P693="LOSE"),T693&lt;&gt;"",N(S693)&lt;=0,ISNUMBER(MATCH(T693,Parameter!$I$27:$I$29,0))),1,0)</f>
        <v>0</v>
      </c>
      <c r="BY693" s="53" t="n">
        <f aca="false">IF(CL693&gt;0,INDEX(Parameter!$H$5:$H$7,W693)/INDEX(Parameter!$E$5:$E$7,W693),IF(AND(BW693=0,N(IFERROR(VLOOKUP(BU693,'Gebinde-Kategorie'!$A$5:$N$45,14,0),0))&gt;0),VLOOKUP(BU693,'Gebinde-Kategorie'!$A$5:$N$45,14,0)*10+Parameter!$M$23,Parameter!$M$24))</f>
        <v>235</v>
      </c>
      <c r="BZ693" s="48" t="str">
        <f aca="false">IF(AND(Parameter!$B$19="Ja",E693&lt;&gt;"",ISNUMBER(MATCH(E693,Parameter!$I$35:$I$52,0))),VLOOKUP(E693,Parameter!$I$35:$J$52,2,0),IFERROR(VLOOKUP(D693,Parameter!$A$35:$C$64,2,0),"Nein"))</f>
        <v>2+3</v>
      </c>
      <c r="CA693" s="52" t="n">
        <f aca="false">IF(BW693=0,0,IF(N(S693)&gt;0,S693,IFERROR(VLOOKUP(D693,Parameter!$A$35:$C$64,3,0)+0,0)))</f>
        <v>0</v>
      </c>
      <c r="CB693" s="48" t="n">
        <f aca="false">IF(AA693&lt;&gt;"",AA693,Z693)</f>
        <v>2</v>
      </c>
      <c r="CC693" s="48" t="str">
        <f aca="false">IF(OR(CB693=1,CB693=2,CB693=3),IF(Parameter!$E$27="Ja","LIFT",IF(CB693=1,"L1","L23")),IF(CB693="Aussen","Aussen","-"))</f>
        <v>LIFT</v>
      </c>
      <c r="CD693" s="59" t="n">
        <f aca="false">IF(N(AB693)&gt;0,AB693,0)</f>
        <v>0</v>
      </c>
      <c r="CE693" s="53" t="n">
        <f aca="false">IF(ISNUMBER(AE693),1,0)</f>
        <v>0</v>
      </c>
      <c r="CF693" s="50" t="n">
        <f aca="false">N(AE693)</f>
        <v>0</v>
      </c>
      <c r="CG693" s="50" t="n">
        <f aca="false">N(M693)+N(N693)</f>
        <v>5</v>
      </c>
      <c r="CH693" s="50" t="n">
        <f aca="false">ROUNDUP(H693/BV693,0)</f>
        <v>4</v>
      </c>
      <c r="CI693" s="50" t="n">
        <f aca="false">ROUNDUP(CF693/BV693,0)</f>
        <v>0</v>
      </c>
      <c r="CJ693" s="53" t="n">
        <f aca="false">IF(BW693=1,0,IFERROR(VLOOKUP(BU693,'Gebinde-Kategorie'!$A$5:$N$45,5,0)+0,0))</f>
        <v>20</v>
      </c>
      <c r="CK693" s="53" t="n">
        <f aca="false">IFERROR(IF(OR(CB693=1,CB693=2,CB693=3),N(INDEX(Parameter!$I$5:$I$7,CB693)),0),0)</f>
        <v>0</v>
      </c>
      <c r="CL693" s="52" t="n">
        <f aca="false">IF(AND(Parameter!$B$21="Ja",ISNUMBER(W693),N(X693)&gt;0),IFERROR(N(INDEX(Parameter!$L$5:$L$7,W693))*INDEX(Parameter!$E$5:$E$7,W693)*X693/SUMIFS($X$7:$X$1843,$W$7:$W$1843,W693),0),0)</f>
        <v>0</v>
      </c>
    </row>
    <row r="694" customFormat="false" ht="15" hidden="false" customHeight="false" outlineLevel="0" collapsed="false">
      <c r="A694" s="48" t="s">
        <v>1390</v>
      </c>
      <c r="B694" s="48" t="s">
        <v>1391</v>
      </c>
      <c r="C694" s="48" t="s">
        <v>168</v>
      </c>
      <c r="D694" s="48" t="s">
        <v>1392</v>
      </c>
      <c r="E694" s="48"/>
      <c r="F694" s="48" t="s">
        <v>222</v>
      </c>
      <c r="G694" s="49" t="n">
        <v>930</v>
      </c>
      <c r="H694" s="50" t="n">
        <f aca="false">MAX(0,IF(AND(Parameter!$B$21="Ja",ISNUMBER(Y694)),Y694,IF(Parameter!$B$20="Jahresanfang 2025 + Export",BO694+BN694,BN694)))</f>
        <v>0</v>
      </c>
      <c r="I694" s="50" t="n">
        <f aca="false">H694*G694</f>
        <v>0</v>
      </c>
      <c r="J694" s="50" t="n">
        <f aca="false">BQ694*Parameter!$B$18</f>
        <v>4</v>
      </c>
      <c r="K694" s="51" t="n">
        <v>3</v>
      </c>
      <c r="L694" s="52" t="n">
        <v>1.33333333333333</v>
      </c>
      <c r="M694" s="50" t="n">
        <v>0</v>
      </c>
      <c r="N694" s="50" t="n">
        <v>1</v>
      </c>
      <c r="O694" s="53" t="n">
        <v>0</v>
      </c>
      <c r="P694" s="48" t="s">
        <v>172</v>
      </c>
      <c r="Q694" s="50"/>
      <c r="R694" s="53" t="n">
        <f aca="false">IF(BW694=1,0,IFERROR(VLOOKUP(BU694,'Gebinde-Kategorie'!$A$5:$N$45,13,0)+0,0))</f>
        <v>0</v>
      </c>
      <c r="S694" s="54"/>
      <c r="T694" s="55"/>
      <c r="U694" s="55"/>
      <c r="V694" s="55"/>
      <c r="W694" s="48"/>
      <c r="X694" s="50"/>
      <c r="Y694" s="50"/>
      <c r="Z694" s="48" t="str">
        <f aca="false">IF(A694="","",IF(AND(Parameter!$B$21="Ja",ISNUMBER(W694)),W694,IF(BZ694="2+3",IF(ISNUMBER(SEARCH("grosser Artikel",BR694)),2,IFERROR(VLOOKUP(BU694,Parameter!$F$35:$G$64,2,0),2)),IF(OR(BZ694="Nein",BZ694=""),"-",BZ694))))</f>
        <v>-</v>
      </c>
      <c r="AA694" s="55"/>
      <c r="AB694" s="56"/>
      <c r="AC694" s="50" t="n">
        <f aca="false">AT694</f>
        <v>2</v>
      </c>
      <c r="AD694" s="50" t="n">
        <f aca="false">MAX(AT694,H694)</f>
        <v>2</v>
      </c>
      <c r="AE694" s="57"/>
      <c r="AF694" s="50" t="n">
        <f aca="false">IF(LEFT(Cockpit!$C$5,1)="A",H694,IF(CE694=1,CF694,IF(LEFT(Cockpit!$C$5,1)="B",AK694,MAX(AK694,H694))))</f>
        <v>0</v>
      </c>
      <c r="AG694" s="50" t="n">
        <f aca="false">IF(BW694=1,0,ROUNDUP(AF694/BV694,0))</f>
        <v>0</v>
      </c>
      <c r="AH694" s="52" t="n">
        <f aca="false">IF(CL694&gt;0,CL694*MAX(1,AF694/X694),IF(BW694=1,IF(AF694&lt;=0,0,CA694*MAX(1,IF(H694&gt;0,AF694/H694,1))),IF(R694&gt;0,AG694/R694,0))/MAX(0.1,N(Parameter!$M$21)))</f>
        <v>0</v>
      </c>
      <c r="AI694" s="50" t="n">
        <f aca="false">AH694*BY694</f>
        <v>0</v>
      </c>
      <c r="AJ694" s="50" t="n">
        <f aca="false">AF694*G694</f>
        <v>0</v>
      </c>
      <c r="AK694" s="50" t="n">
        <f aca="false">ROUNDUP(MAX(J694/IF(CD694&gt;0,CD694,MAX(0.1,N(Cockpit!$C$6))),CG694)/BV694,0)*BV694</f>
        <v>2</v>
      </c>
      <c r="AL694" s="51" t="n">
        <f aca="false">IF(AI694&gt;0,J694/AI694,-1)</f>
        <v>-1</v>
      </c>
      <c r="AM694" s="51" t="str">
        <f aca="false">IF(AND(OR(CC694="L1",CC694="L23",CC694="LIFT"),AI694&gt;0),SUMIFS($AI$7:$AI$1843,$CC$7:$CC$1843,CC694,$AL$7:$AL$1843,"&gt;"&amp;AL694)+SUMIFS($AI$7:$AI$1843,$CC$7:$CC$1843,CC694,$AL$7:$AL$1843,AL694,$BT$7:$BT$1843,"&lt;="&amp;BT694),"")</f>
        <v/>
      </c>
      <c r="AN694" s="58" t="n">
        <f aca="false">IF(AM694="",0,MAX(0,MIN(1,(IF(CC694="L1",Parameter!$H$5,IF(CC694="L23",Parameter!$H$6+Parameter!$H$7,Parameter!$H$5+Parameter!$H$6+Parameter!$H$7))-(AM694-AI694))/AI694)))</f>
        <v>0</v>
      </c>
      <c r="AO694" s="50" t="n">
        <f aca="false">IF(LEFT(Cockpit!$I$5,1)="A",H694,IF(CE694=1,CF694,IF(LEFT(Cockpit!$I$5,1)="B",AT694,MAX(AT694,H694))))</f>
        <v>2</v>
      </c>
      <c r="AP694" s="50" t="n">
        <f aca="false">IF(BW694=1,0,ROUNDUP(AO694/BV694,0))</f>
        <v>0</v>
      </c>
      <c r="AQ694" s="52" t="n">
        <f aca="false">IF(CL694&gt;0,CL694*MAX(1,AO694/X694),IF(BW694=1,IF(AO694&lt;=0,0,CA694*MAX(1,IF(H694&gt;0,AO694/H694,1))),IF(R694&gt;0,AP694/R694,0))/MAX(0.1,N(Parameter!$M$21)))</f>
        <v>0.15</v>
      </c>
      <c r="AR694" s="50" t="n">
        <f aca="false">AQ694*BY694</f>
        <v>35.25</v>
      </c>
      <c r="AS694" s="50" t="n">
        <f aca="false">AO694*G694</f>
        <v>1860</v>
      </c>
      <c r="AT694" s="50" t="n">
        <f aca="false">ROUNDUP(MAX(J694/IF(CD694&gt;0,CD694,MAX(0.1,N(Cockpit!$I$6))),CG694)/BV694,0)*BV694</f>
        <v>2</v>
      </c>
      <c r="AU694" s="51" t="n">
        <f aca="false">IF(AR694&gt;0,J694/AR694,-1)</f>
        <v>0.113475177304965</v>
      </c>
      <c r="AV694" s="51" t="str">
        <f aca="false">IF(AND(OR(CC694="L1",CC694="L23",CC694="LIFT"),AR694&gt;0),SUMIFS($AR$7:$AR$1843,$CC$7:$CC$1843,CC694,$AU$7:$AU$1843,"&gt;"&amp;AU694)+SUMIFS($AR$7:$AR$1843,$CC$7:$CC$1843,CC694,$AU$7:$AU$1843,AU694,$BT$7:$BT$1843,"&lt;="&amp;BT694),"")</f>
        <v/>
      </c>
      <c r="AW694" s="58" t="n">
        <f aca="false">IF(AV694="",0,MAX(0,MIN(1,(IF(CC694="L1",Parameter!$H$5,IF(CC694="L23",Parameter!$H$6+Parameter!$H$7,Parameter!$H$5+Parameter!$H$6+Parameter!$H$7))-(AV694-AR694))/AR694)))</f>
        <v>0</v>
      </c>
      <c r="AX694" s="50" t="n">
        <f aca="false">IF(LEFT(Cockpit!$O$5,1)="A",H694,IF(CE694=1,CF694,IF(LEFT(Cockpit!$O$5,1)="B",BC694,MAX(BC694,H694))))</f>
        <v>2</v>
      </c>
      <c r="AY694" s="50" t="n">
        <f aca="false">IF(BW694=1,0,ROUNDUP(AX694/BV694,0))</f>
        <v>0</v>
      </c>
      <c r="AZ694" s="52" t="n">
        <f aca="false">IF(CL694&gt;0,CL694*MAX(1,AX694/X694),IF(BW694=1,IF(AX694&lt;=0,0,CA694*MAX(1,IF(H694&gt;0,AX694/H694,1))),IF(R694&gt;0,AY694/R694,0))/MAX(0.1,N(Parameter!$M$21)))</f>
        <v>0.15</v>
      </c>
      <c r="BA694" s="50" t="n">
        <f aca="false">AZ694*BY694</f>
        <v>35.25</v>
      </c>
      <c r="BB694" s="50" t="n">
        <f aca="false">AX694*G694</f>
        <v>1860</v>
      </c>
      <c r="BC694" s="50" t="n">
        <f aca="false">ROUNDUP(MAX(J694/IF(CD694&gt;0,CD694,MAX(0.1,N(Cockpit!$O$6))),CG694)/BV694,0)*BV694</f>
        <v>2</v>
      </c>
      <c r="BD694" s="51" t="n">
        <f aca="false">IF(BA694&gt;0,J694/BA694,-1)</f>
        <v>0.113475177304965</v>
      </c>
      <c r="BE694" s="51" t="str">
        <f aca="false">IF(AND(OR(CC694="L1",CC694="L23",CC694="LIFT"),BA694&gt;0),SUMIFS($BA$7:$BA$1843,$CC$7:$CC$1843,CC694,$BD$7:$BD$1843,"&gt;"&amp;BD694)+SUMIFS($BA$7:$BA$1843,$CC$7:$CC$1843,CC694,$BD$7:$BD$1843,BD694,$BT$7:$BT$1843,"&lt;="&amp;BT694),"")</f>
        <v/>
      </c>
      <c r="BF694" s="58" t="n">
        <f aca="false">IF(BE694="",0,MAX(0,MIN(1,(IF(CC694="L1",Parameter!$H$5,IF(CC694="L23",Parameter!$H$6+Parameter!$H$7,Parameter!$H$5+Parameter!$H$6+Parameter!$H$7))-(BE694-BA694))/BA694)))</f>
        <v>0</v>
      </c>
      <c r="BG694" s="48" t="str">
        <f aca="false">IF(AI694&lt;=0,"",IF(CC694="Aussen","Aussenlager",IF(CC694="-","Nicht im Lift",IF(AN694&gt;=1,"Lift",IF(AN694&lt;=0,"Aussenlager","teilweise")))))</f>
        <v/>
      </c>
      <c r="BH694" s="48" t="str">
        <f aca="false">IF(AR694&lt;=0,"",IF(CC694="Aussen","Aussenlager",IF(CC694="-","Nicht im Lift",IF(AW694&gt;=1,"Lift",IF(AW694&lt;=0,"Aussenlager","teilweise")))))</f>
        <v>Nicht im Lift</v>
      </c>
      <c r="BI694" s="48" t="str">
        <f aca="false">IF(BA694&lt;=0,"",IF(CC694="Aussen","Aussenlager",IF(CC694="-","Nicht im Lift",IF(BF694&gt;=1,"Lift",IF(BF694&lt;=0,"Aussenlager","teilweise")))))</f>
        <v>Nicht im Lift</v>
      </c>
      <c r="BJ694" s="48" t="str">
        <f aca="false">IF(A694="","",IF(BS694=1,"Neu; ","")&amp;IF(AND(BS694=0,BN694&lt;0),"negativer Bestand (Export "&amp;BN694&amp;"); ","")&amp;IF(J694&lt;=0,"Kein Verbrauch; ","")&amp;IF(CL694&gt;0,"Lift "&amp;W694&amp;" lt. Liftbericht (Fach "&amp;X694&amp;" Stk); ",IF(BX694=1,"Gebinde geschätzt ("&amp;T694&amp;"); ",IF(BW694=1,"Lose – Tablare geschätzt; ","")))&amp;IF(H694&gt;AT694,"Überbestand "&amp;ROUND(H694-AT694,0)&amp;" Stk / CHF "&amp;ROUND((H694-AT694)*G694,0)&amp;"; ","")&amp;IF(AND(CE694=1,CF694&lt;CG694),"MAX &lt; MB+LG; ","")&amp;IF(AND(CK694&gt;0,CJ694*10&gt;CK694),"zu hoch für Tablar; ","")&amp;IF(AND(BS694=0,OR(CE694=1,AA694&lt;&gt;"",U694&lt;&gt;"",V694&lt;&gt;"",AB694&lt;&gt;"")),"manuell übersteuert; ","")&amp;IF(AND(BW694=0,R694=0),"Gebinde unbekannt / Stellmass fehlt; ","")&amp;IF(AND(BW694=0,N(V694)&lt;=0,N(Q694)&lt;=0),"Menge pro Gebinde fehlt (Ist = 1 Gebinde); ","")&amp;BR694)</f>
        <v>Lose – Tablare geschätzt; </v>
      </c>
      <c r="BK694" s="48"/>
      <c r="BL694" s="48"/>
      <c r="BM694" s="55"/>
      <c r="BN694" s="50" t="n">
        <v>0</v>
      </c>
      <c r="BO694" s="50" t="n">
        <v>0</v>
      </c>
      <c r="BP694" s="49" t="n">
        <v>0</v>
      </c>
      <c r="BQ694" s="50" t="n">
        <v>4</v>
      </c>
      <c r="BR694" s="48"/>
      <c r="BS694" s="53" t="n">
        <v>0</v>
      </c>
      <c r="BT694" s="53" t="n">
        <v>694</v>
      </c>
      <c r="BU694" s="48" t="str">
        <f aca="false">IF(U694&lt;&gt;"",UPPER(TRIM(U694)),IF(BX694=1,UPPER(VLOOKUP(T694,Parameter!$I$27:$K$29,2,0)),IF(P694="","LOSE",P694)))</f>
        <v>LOSE</v>
      </c>
      <c r="BV694" s="50" t="n">
        <f aca="false">IF(BU694="LOSE",1,IF(N(V694)&gt;0,V694,IF(BX694=1,MAX(1,N(VLOOKUP(T694,Parameter!$I$27:$K$29,3,0)),H694,N(N694)),IF(N(Q694)&gt;0,Q694,MAX(1,H694)))))</f>
        <v>1</v>
      </c>
      <c r="BW694" s="53" t="n">
        <f aca="false">IF(BU694="LOSE",1,0)</f>
        <v>1</v>
      </c>
      <c r="BX694" s="53" t="n">
        <f aca="false">IF(AND(U694="",OR(P694="",P694="LOSE"),T694&lt;&gt;"",N(S694)&lt;=0,ISNUMBER(MATCH(T694,Parameter!$I$27:$I$29,0))),1,0)</f>
        <v>0</v>
      </c>
      <c r="BY694" s="53" t="n">
        <f aca="false">IF(CL694&gt;0,INDEX(Parameter!$H$5:$H$7,W694)/INDEX(Parameter!$E$5:$E$7,W694),IF(AND(BW694=0,N(IFERROR(VLOOKUP(BU694,'Gebinde-Kategorie'!$A$5:$N$45,14,0),0))&gt;0),VLOOKUP(BU694,'Gebinde-Kategorie'!$A$5:$N$45,14,0)*10+Parameter!$M$23,Parameter!$M$24))</f>
        <v>235</v>
      </c>
      <c r="BZ694" s="48" t="str">
        <f aca="false">IF(AND(Parameter!$B$19="Ja",E694&lt;&gt;"",ISNUMBER(MATCH(E694,Parameter!$I$35:$I$52,0))),VLOOKUP(E694,Parameter!$I$35:$J$52,2,0),IFERROR(VLOOKUP(D694,Parameter!$A$35:$C$64,2,0),"Nein"))</f>
        <v>Nein</v>
      </c>
      <c r="CA694" s="52" t="n">
        <f aca="false">IF(BW694=0,0,IF(N(S694)&gt;0,S694,IFERROR(VLOOKUP(D694,Parameter!$A$35:$C$64,3,0)+0,0)))</f>
        <v>0.15</v>
      </c>
      <c r="CB694" s="48" t="str">
        <f aca="false">IF(AA694&lt;&gt;"",AA694,Z694)</f>
        <v>-</v>
      </c>
      <c r="CC694" s="48" t="str">
        <f aca="false">IF(OR(CB694=1,CB694=2,CB694=3),IF(Parameter!$E$27="Ja","LIFT",IF(CB694=1,"L1","L23")),IF(CB694="Aussen","Aussen","-"))</f>
        <v>-</v>
      </c>
      <c r="CD694" s="59" t="n">
        <f aca="false">IF(N(AB694)&gt;0,AB694,0)</f>
        <v>0</v>
      </c>
      <c r="CE694" s="53" t="n">
        <f aca="false">IF(ISNUMBER(AE694),1,0)</f>
        <v>0</v>
      </c>
      <c r="CF694" s="50" t="n">
        <f aca="false">N(AE694)</f>
        <v>0</v>
      </c>
      <c r="CG694" s="50" t="n">
        <f aca="false">N(M694)+N(N694)</f>
        <v>1</v>
      </c>
      <c r="CH694" s="50" t="n">
        <f aca="false">ROUNDUP(H694/BV694,0)</f>
        <v>0</v>
      </c>
      <c r="CI694" s="50" t="n">
        <f aca="false">ROUNDUP(CF694/BV694,0)</f>
        <v>0</v>
      </c>
      <c r="CJ694" s="53" t="n">
        <f aca="false">IF(BW694=1,0,IFERROR(VLOOKUP(BU694,'Gebinde-Kategorie'!$A$5:$N$45,5,0)+0,0))</f>
        <v>0</v>
      </c>
      <c r="CK694" s="53" t="n">
        <f aca="false">IFERROR(IF(OR(CB694=1,CB694=2,CB694=3),N(INDEX(Parameter!$I$5:$I$7,CB694)),0),0)</f>
        <v>0</v>
      </c>
      <c r="CL694" s="52" t="n">
        <f aca="false">IF(AND(Parameter!$B$21="Ja",ISNUMBER(W694),N(X694)&gt;0),IFERROR(N(INDEX(Parameter!$L$5:$L$7,W694))*INDEX(Parameter!$E$5:$E$7,W694)*X694/SUMIFS($X$7:$X$1843,$W$7:$W$1843,W694),0),0)</f>
        <v>0</v>
      </c>
    </row>
    <row r="695" customFormat="false" ht="15" hidden="false" customHeight="false" outlineLevel="0" collapsed="false">
      <c r="A695" s="48" t="s">
        <v>1393</v>
      </c>
      <c r="B695" s="48" t="s">
        <v>548</v>
      </c>
      <c r="C695" s="48" t="s">
        <v>168</v>
      </c>
      <c r="D695" s="48" t="s">
        <v>999</v>
      </c>
      <c r="E695" s="48"/>
      <c r="F695" s="48" t="s">
        <v>222</v>
      </c>
      <c r="G695" s="49" t="n">
        <v>27.23</v>
      </c>
      <c r="H695" s="50" t="n">
        <f aca="false">MAX(0,IF(AND(Parameter!$B$21="Ja",ISNUMBER(Y695)),Y695,IF(Parameter!$B$20="Jahresanfang 2025 + Export",BO695+BN695,BN695)))</f>
        <v>4</v>
      </c>
      <c r="I695" s="50" t="n">
        <f aca="false">H695*G695</f>
        <v>108.92</v>
      </c>
      <c r="J695" s="50" t="n">
        <f aca="false">BQ695*Parameter!$B$18</f>
        <v>0</v>
      </c>
      <c r="K695" s="51" t="n">
        <v>3.5</v>
      </c>
      <c r="L695" s="52" t="n">
        <v>0</v>
      </c>
      <c r="M695" s="50" t="n">
        <v>0</v>
      </c>
      <c r="N695" s="50" t="n">
        <v>1</v>
      </c>
      <c r="O695" s="53" t="n">
        <v>21</v>
      </c>
      <c r="P695" s="48" t="s">
        <v>172</v>
      </c>
      <c r="Q695" s="50"/>
      <c r="R695" s="53" t="n">
        <f aca="false">IF(BW695=1,0,IFERROR(VLOOKUP(BU695,'Gebinde-Kategorie'!$A$5:$N$45,13,0)+0,0))</f>
        <v>0</v>
      </c>
      <c r="S695" s="54"/>
      <c r="T695" s="55"/>
      <c r="U695" s="55"/>
      <c r="V695" s="55"/>
      <c r="W695" s="48"/>
      <c r="X695" s="50"/>
      <c r="Y695" s="50"/>
      <c r="Z695" s="48" t="str">
        <f aca="false">IF(A695="","",IF(AND(Parameter!$B$21="Ja",ISNUMBER(W695)),W695,IF(BZ695="2+3",IF(ISNUMBER(SEARCH("grosser Artikel",BR695)),2,IFERROR(VLOOKUP(BU695,Parameter!$F$35:$G$64,2,0),2)),IF(OR(BZ695="Nein",BZ695=""),"-",BZ695))))</f>
        <v>-</v>
      </c>
      <c r="AA695" s="55"/>
      <c r="AB695" s="56"/>
      <c r="AC695" s="50" t="n">
        <f aca="false">AT695</f>
        <v>1</v>
      </c>
      <c r="AD695" s="50" t="n">
        <f aca="false">MAX(AT695,H695)</f>
        <v>4</v>
      </c>
      <c r="AE695" s="57"/>
      <c r="AF695" s="50" t="n">
        <f aca="false">IF(LEFT(Cockpit!$C$5,1)="A",H695,IF(CE695=1,CF695,IF(LEFT(Cockpit!$C$5,1)="B",AK695,MAX(AK695,H695))))</f>
        <v>4</v>
      </c>
      <c r="AG695" s="50" t="n">
        <f aca="false">IF(BW695=1,0,ROUNDUP(AF695/BV695,0))</f>
        <v>0</v>
      </c>
      <c r="AH695" s="52" t="n">
        <f aca="false">IF(CL695&gt;0,CL695*MAX(1,AF695/X695),IF(BW695=1,IF(AF695&lt;=0,0,CA695*MAX(1,IF(H695&gt;0,AF695/H695,1))),IF(R695&gt;0,AG695/R695,0))/MAX(0.1,N(Parameter!$M$21)))</f>
        <v>0.15</v>
      </c>
      <c r="AI695" s="50" t="n">
        <f aca="false">AH695*BY695</f>
        <v>35.25</v>
      </c>
      <c r="AJ695" s="50" t="n">
        <f aca="false">AF695*G695</f>
        <v>108.92</v>
      </c>
      <c r="AK695" s="50" t="n">
        <f aca="false">ROUNDUP(MAX(J695/IF(CD695&gt;0,CD695,MAX(0.1,N(Cockpit!$C$6))),CG695)/BV695,0)*BV695</f>
        <v>1</v>
      </c>
      <c r="AL695" s="51" t="n">
        <f aca="false">IF(AI695&gt;0,J695/AI695,-1)</f>
        <v>0</v>
      </c>
      <c r="AM695" s="51" t="str">
        <f aca="false">IF(AND(OR(CC695="L1",CC695="L23",CC695="LIFT"),AI695&gt;0),SUMIFS($AI$7:$AI$1843,$CC$7:$CC$1843,CC695,$AL$7:$AL$1843,"&gt;"&amp;AL695)+SUMIFS($AI$7:$AI$1843,$CC$7:$CC$1843,CC695,$AL$7:$AL$1843,AL695,$BT$7:$BT$1843,"&lt;="&amp;BT695),"")</f>
        <v/>
      </c>
      <c r="AN695" s="58" t="n">
        <f aca="false">IF(AM695="",0,MAX(0,MIN(1,(IF(CC695="L1",Parameter!$H$5,IF(CC695="L23",Parameter!$H$6+Parameter!$H$7,Parameter!$H$5+Parameter!$H$6+Parameter!$H$7))-(AM695-AI695))/AI695)))</f>
        <v>0</v>
      </c>
      <c r="AO695" s="50" t="n">
        <f aca="false">IF(LEFT(Cockpit!$I$5,1)="A",H695,IF(CE695=1,CF695,IF(LEFT(Cockpit!$I$5,1)="B",AT695,MAX(AT695,H695))))</f>
        <v>4</v>
      </c>
      <c r="AP695" s="50" t="n">
        <f aca="false">IF(BW695=1,0,ROUNDUP(AO695/BV695,0))</f>
        <v>0</v>
      </c>
      <c r="AQ695" s="52" t="n">
        <f aca="false">IF(CL695&gt;0,CL695*MAX(1,AO695/X695),IF(BW695=1,IF(AO695&lt;=0,0,CA695*MAX(1,IF(H695&gt;0,AO695/H695,1))),IF(R695&gt;0,AP695/R695,0))/MAX(0.1,N(Parameter!$M$21)))</f>
        <v>0.15</v>
      </c>
      <c r="AR695" s="50" t="n">
        <f aca="false">AQ695*BY695</f>
        <v>35.25</v>
      </c>
      <c r="AS695" s="50" t="n">
        <f aca="false">AO695*G695</f>
        <v>108.92</v>
      </c>
      <c r="AT695" s="50" t="n">
        <f aca="false">ROUNDUP(MAX(J695/IF(CD695&gt;0,CD695,MAX(0.1,N(Cockpit!$I$6))),CG695)/BV695,0)*BV695</f>
        <v>1</v>
      </c>
      <c r="AU695" s="51" t="n">
        <f aca="false">IF(AR695&gt;0,J695/AR695,-1)</f>
        <v>0</v>
      </c>
      <c r="AV695" s="51" t="str">
        <f aca="false">IF(AND(OR(CC695="L1",CC695="L23",CC695="LIFT"),AR695&gt;0),SUMIFS($AR$7:$AR$1843,$CC$7:$CC$1843,CC695,$AU$7:$AU$1843,"&gt;"&amp;AU695)+SUMIFS($AR$7:$AR$1843,$CC$7:$CC$1843,CC695,$AU$7:$AU$1843,AU695,$BT$7:$BT$1843,"&lt;="&amp;BT695),"")</f>
        <v/>
      </c>
      <c r="AW695" s="58" t="n">
        <f aca="false">IF(AV695="",0,MAX(0,MIN(1,(IF(CC695="L1",Parameter!$H$5,IF(CC695="L23",Parameter!$H$6+Parameter!$H$7,Parameter!$H$5+Parameter!$H$6+Parameter!$H$7))-(AV695-AR695))/AR695)))</f>
        <v>0</v>
      </c>
      <c r="AX695" s="50" t="n">
        <f aca="false">IF(LEFT(Cockpit!$O$5,1)="A",H695,IF(CE695=1,CF695,IF(LEFT(Cockpit!$O$5,1)="B",BC695,MAX(BC695,H695))))</f>
        <v>4</v>
      </c>
      <c r="AY695" s="50" t="n">
        <f aca="false">IF(BW695=1,0,ROUNDUP(AX695/BV695,0))</f>
        <v>0</v>
      </c>
      <c r="AZ695" s="52" t="n">
        <f aca="false">IF(CL695&gt;0,CL695*MAX(1,AX695/X695),IF(BW695=1,IF(AX695&lt;=0,0,CA695*MAX(1,IF(H695&gt;0,AX695/H695,1))),IF(R695&gt;0,AY695/R695,0))/MAX(0.1,N(Parameter!$M$21)))</f>
        <v>0.15</v>
      </c>
      <c r="BA695" s="50" t="n">
        <f aca="false">AZ695*BY695</f>
        <v>35.25</v>
      </c>
      <c r="BB695" s="50" t="n">
        <f aca="false">AX695*G695</f>
        <v>108.92</v>
      </c>
      <c r="BC695" s="50" t="n">
        <f aca="false">ROUNDUP(MAX(J695/IF(CD695&gt;0,CD695,MAX(0.1,N(Cockpit!$O$6))),CG695)/BV695,0)*BV695</f>
        <v>1</v>
      </c>
      <c r="BD695" s="51" t="n">
        <f aca="false">IF(BA695&gt;0,J695/BA695,-1)</f>
        <v>0</v>
      </c>
      <c r="BE695" s="51" t="str">
        <f aca="false">IF(AND(OR(CC695="L1",CC695="L23",CC695="LIFT"),BA695&gt;0),SUMIFS($BA$7:$BA$1843,$CC$7:$CC$1843,CC695,$BD$7:$BD$1843,"&gt;"&amp;BD695)+SUMIFS($BA$7:$BA$1843,$CC$7:$CC$1843,CC695,$BD$7:$BD$1843,BD695,$BT$7:$BT$1843,"&lt;="&amp;BT695),"")</f>
        <v/>
      </c>
      <c r="BF695" s="58" t="n">
        <f aca="false">IF(BE695="",0,MAX(0,MIN(1,(IF(CC695="L1",Parameter!$H$5,IF(CC695="L23",Parameter!$H$6+Parameter!$H$7,Parameter!$H$5+Parameter!$H$6+Parameter!$H$7))-(BE695-BA695))/BA695)))</f>
        <v>0</v>
      </c>
      <c r="BG695" s="48" t="str">
        <f aca="false">IF(AI695&lt;=0,"",IF(CC695="Aussen","Aussenlager",IF(CC695="-","Nicht im Lift",IF(AN695&gt;=1,"Lift",IF(AN695&lt;=0,"Aussenlager","teilweise")))))</f>
        <v>Nicht im Lift</v>
      </c>
      <c r="BH695" s="48" t="str">
        <f aca="false">IF(AR695&lt;=0,"",IF(CC695="Aussen","Aussenlager",IF(CC695="-","Nicht im Lift",IF(AW695&gt;=1,"Lift",IF(AW695&lt;=0,"Aussenlager","teilweise")))))</f>
        <v>Nicht im Lift</v>
      </c>
      <c r="BI695" s="48" t="str">
        <f aca="false">IF(BA695&lt;=0,"",IF(CC695="Aussen","Aussenlager",IF(CC695="-","Nicht im Lift",IF(BF695&gt;=1,"Lift",IF(BF695&lt;=0,"Aussenlager","teilweise")))))</f>
        <v>Nicht im Lift</v>
      </c>
      <c r="BJ695" s="48" t="str">
        <f aca="false">IF(A695="","",IF(BS695=1,"Neu; ","")&amp;IF(AND(BS695=0,BN695&lt;0),"negativer Bestand (Export "&amp;BN695&amp;"); ","")&amp;IF(J695&lt;=0,"Kein Verbrauch; ","")&amp;IF(CL695&gt;0,"Lift "&amp;W695&amp;" lt. Liftbericht (Fach "&amp;X695&amp;" Stk); ",IF(BX695=1,"Gebinde geschätzt ("&amp;T695&amp;"); ",IF(BW695=1,"Lose – Tablare geschätzt; ","")))&amp;IF(H695&gt;AT695,"Überbestand "&amp;ROUND(H695-AT695,0)&amp;" Stk / CHF "&amp;ROUND((H695-AT695)*G695,0)&amp;"; ","")&amp;IF(AND(CE695=1,CF695&lt;CG695),"MAX &lt; MB+LG; ","")&amp;IF(AND(CK695&gt;0,CJ695*10&gt;CK695),"zu hoch für Tablar; ","")&amp;IF(AND(BS695=0,OR(CE695=1,AA695&lt;&gt;"",U695&lt;&gt;"",V695&lt;&gt;"",AB695&lt;&gt;"")),"manuell übersteuert; ","")&amp;IF(AND(BW695=0,R695=0),"Gebinde unbekannt / Stellmass fehlt; ","")&amp;IF(AND(BW695=0,N(V695)&lt;=0,N(Q695)&lt;=0),"Menge pro Gebinde fehlt (Ist = 1 Gebinde); ","")&amp;BR695)</f>
        <v>Kein Verbrauch; Lose – Tablare geschätzt; Überbestand 3 Stk / CHF 82; </v>
      </c>
      <c r="BK695" s="48"/>
      <c r="BL695" s="48"/>
      <c r="BM695" s="55"/>
      <c r="BN695" s="50" t="n">
        <v>0</v>
      </c>
      <c r="BO695" s="50" t="n">
        <v>4</v>
      </c>
      <c r="BP695" s="49" t="n">
        <v>0</v>
      </c>
      <c r="BQ695" s="50" t="n">
        <v>0</v>
      </c>
      <c r="BR695" s="48"/>
      <c r="BS695" s="53" t="n">
        <v>0</v>
      </c>
      <c r="BT695" s="53" t="n">
        <v>695</v>
      </c>
      <c r="BU695" s="48" t="str">
        <f aca="false">IF(U695&lt;&gt;"",UPPER(TRIM(U695)),IF(BX695=1,UPPER(VLOOKUP(T695,Parameter!$I$27:$K$29,2,0)),IF(P695="","LOSE",P695)))</f>
        <v>LOSE</v>
      </c>
      <c r="BV695" s="50" t="n">
        <f aca="false">IF(BU695="LOSE",1,IF(N(V695)&gt;0,V695,IF(BX695=1,MAX(1,N(VLOOKUP(T695,Parameter!$I$27:$K$29,3,0)),H695,N(N695)),IF(N(Q695)&gt;0,Q695,MAX(1,H695)))))</f>
        <v>1</v>
      </c>
      <c r="BW695" s="53" t="n">
        <f aca="false">IF(BU695="LOSE",1,0)</f>
        <v>1</v>
      </c>
      <c r="BX695" s="53" t="n">
        <f aca="false">IF(AND(U695="",OR(P695="",P695="LOSE"),T695&lt;&gt;"",N(S695)&lt;=0,ISNUMBER(MATCH(T695,Parameter!$I$27:$I$29,0))),1,0)</f>
        <v>0</v>
      </c>
      <c r="BY695" s="53" t="n">
        <f aca="false">IF(CL695&gt;0,INDEX(Parameter!$H$5:$H$7,W695)/INDEX(Parameter!$E$5:$E$7,W695),IF(AND(BW695=0,N(IFERROR(VLOOKUP(BU695,'Gebinde-Kategorie'!$A$5:$N$45,14,0),0))&gt;0),VLOOKUP(BU695,'Gebinde-Kategorie'!$A$5:$N$45,14,0)*10+Parameter!$M$23,Parameter!$M$24))</f>
        <v>235</v>
      </c>
      <c r="BZ695" s="48" t="str">
        <f aca="false">IF(AND(Parameter!$B$19="Ja",E695&lt;&gt;"",ISNUMBER(MATCH(E695,Parameter!$I$35:$I$52,0))),VLOOKUP(E695,Parameter!$I$35:$J$52,2,0),IFERROR(VLOOKUP(D695,Parameter!$A$35:$C$64,2,0),"Nein"))</f>
        <v>Nein</v>
      </c>
      <c r="CA695" s="52" t="n">
        <f aca="false">IF(BW695=0,0,IF(N(S695)&gt;0,S695,IFERROR(VLOOKUP(D695,Parameter!$A$35:$C$64,3,0)+0,0)))</f>
        <v>0.15</v>
      </c>
      <c r="CB695" s="48" t="str">
        <f aca="false">IF(AA695&lt;&gt;"",AA695,Z695)</f>
        <v>-</v>
      </c>
      <c r="CC695" s="48" t="str">
        <f aca="false">IF(OR(CB695=1,CB695=2,CB695=3),IF(Parameter!$E$27="Ja","LIFT",IF(CB695=1,"L1","L23")),IF(CB695="Aussen","Aussen","-"))</f>
        <v>-</v>
      </c>
      <c r="CD695" s="59" t="n">
        <f aca="false">IF(N(AB695)&gt;0,AB695,0)</f>
        <v>0</v>
      </c>
      <c r="CE695" s="53" t="n">
        <f aca="false">IF(ISNUMBER(AE695),1,0)</f>
        <v>0</v>
      </c>
      <c r="CF695" s="50" t="n">
        <f aca="false">N(AE695)</f>
        <v>0</v>
      </c>
      <c r="CG695" s="50" t="n">
        <f aca="false">N(M695)+N(N695)</f>
        <v>1</v>
      </c>
      <c r="CH695" s="50" t="n">
        <f aca="false">ROUNDUP(H695/BV695,0)</f>
        <v>4</v>
      </c>
      <c r="CI695" s="50" t="n">
        <f aca="false">ROUNDUP(CF695/BV695,0)</f>
        <v>0</v>
      </c>
      <c r="CJ695" s="53" t="n">
        <f aca="false">IF(BW695=1,0,IFERROR(VLOOKUP(BU695,'Gebinde-Kategorie'!$A$5:$N$45,5,0)+0,0))</f>
        <v>0</v>
      </c>
      <c r="CK695" s="53" t="n">
        <f aca="false">IFERROR(IF(OR(CB695=1,CB695=2,CB695=3),N(INDEX(Parameter!$I$5:$I$7,CB695)),0),0)</f>
        <v>0</v>
      </c>
      <c r="CL695" s="52" t="n">
        <f aca="false">IF(AND(Parameter!$B$21="Ja",ISNUMBER(W695),N(X695)&gt;0),IFERROR(N(INDEX(Parameter!$L$5:$L$7,W695))*INDEX(Parameter!$E$5:$E$7,W695)*X695/SUMIFS($X$7:$X$1843,$W$7:$W$1843,W695),0),0)</f>
        <v>0</v>
      </c>
    </row>
    <row r="696" customFormat="false" ht="15" hidden="false" customHeight="false" outlineLevel="0" collapsed="false">
      <c r="A696" s="48" t="s">
        <v>1394</v>
      </c>
      <c r="B696" s="48" t="s">
        <v>1395</v>
      </c>
      <c r="C696" s="48" t="s">
        <v>460</v>
      </c>
      <c r="D696" s="48" t="s">
        <v>188</v>
      </c>
      <c r="E696" s="48" t="s">
        <v>189</v>
      </c>
      <c r="F696" s="48" t="s">
        <v>222</v>
      </c>
      <c r="G696" s="49" t="n">
        <v>139.35</v>
      </c>
      <c r="H696" s="50" t="n">
        <f aca="false">MAX(0,IF(AND(Parameter!$B$21="Ja",ISNUMBER(Y696)),Y696,IF(Parameter!$B$20="Jahresanfang 2025 + Export",BO696+BN696,BN696)))</f>
        <v>0</v>
      </c>
      <c r="I696" s="50" t="n">
        <f aca="false">H696*G696</f>
        <v>0</v>
      </c>
      <c r="J696" s="50" t="n">
        <f aca="false">BQ696*Parameter!$B$18</f>
        <v>0</v>
      </c>
      <c r="K696" s="51" t="n">
        <v>0</v>
      </c>
      <c r="L696" s="52" t="n">
        <v>0</v>
      </c>
      <c r="M696" s="50" t="n">
        <v>0</v>
      </c>
      <c r="N696" s="50" t="n">
        <v>1</v>
      </c>
      <c r="O696" s="53" t="n">
        <v>56</v>
      </c>
      <c r="P696" s="48" t="s">
        <v>230</v>
      </c>
      <c r="Q696" s="50" t="n">
        <v>140</v>
      </c>
      <c r="R696" s="53" t="n">
        <f aca="false">IF(BW696=1,0,IFERROR(VLOOKUP(BU696,'Gebinde-Kategorie'!$A$5:$N$45,13,0)+0,0))</f>
        <v>12</v>
      </c>
      <c r="S696" s="54"/>
      <c r="T696" s="55"/>
      <c r="U696" s="55"/>
      <c r="V696" s="55"/>
      <c r="W696" s="48"/>
      <c r="X696" s="50"/>
      <c r="Y696" s="50"/>
      <c r="Z696" s="48" t="n">
        <f aca="false">IF(A696="","",IF(AND(Parameter!$B$21="Ja",ISNUMBER(W696)),W696,IF(BZ696="2+3",IF(ISNUMBER(SEARCH("grosser Artikel",BR696)),2,IFERROR(VLOOKUP(BU696,Parameter!$F$35:$G$64,2,0),2)),IF(OR(BZ696="Nein",BZ696=""),"-",BZ696))))</f>
        <v>2</v>
      </c>
      <c r="AA696" s="55"/>
      <c r="AB696" s="56"/>
      <c r="AC696" s="50" t="n">
        <f aca="false">AT696</f>
        <v>140</v>
      </c>
      <c r="AD696" s="50" t="n">
        <f aca="false">MAX(AT696,H696)</f>
        <v>140</v>
      </c>
      <c r="AE696" s="57"/>
      <c r="AF696" s="50" t="n">
        <f aca="false">IF(LEFT(Cockpit!$C$5,1)="A",H696,IF(CE696=1,CF696,IF(LEFT(Cockpit!$C$5,1)="B",AK696,MAX(AK696,H696))))</f>
        <v>0</v>
      </c>
      <c r="AG696" s="50" t="n">
        <f aca="false">IF(BW696=1,0,ROUNDUP(AF696/BV696,0))</f>
        <v>0</v>
      </c>
      <c r="AH696" s="52" t="n">
        <f aca="false">IF(CL696&gt;0,CL696*MAX(1,AF696/X696),IF(BW696=1,IF(AF696&lt;=0,0,CA696*MAX(1,IF(H696&gt;0,AF696/H696,1))),IF(R696&gt;0,AG696/R696,0))/MAX(0.1,N(Parameter!$M$21)))</f>
        <v>0</v>
      </c>
      <c r="AI696" s="50" t="n">
        <f aca="false">AH696*BY696</f>
        <v>0</v>
      </c>
      <c r="AJ696" s="50" t="n">
        <f aca="false">AF696*G696</f>
        <v>0</v>
      </c>
      <c r="AK696" s="50" t="n">
        <f aca="false">ROUNDUP(MAX(J696/IF(CD696&gt;0,CD696,MAX(0.1,N(Cockpit!$C$6))),CG696)/BV696,0)*BV696</f>
        <v>140</v>
      </c>
      <c r="AL696" s="51" t="n">
        <f aca="false">IF(AI696&gt;0,J696/AI696,-1)</f>
        <v>-1</v>
      </c>
      <c r="AM696" s="51" t="str">
        <f aca="false">IF(AND(OR(CC696="L1",CC696="L23",CC696="LIFT"),AI696&gt;0),SUMIFS($AI$7:$AI$1843,$CC$7:$CC$1843,CC696,$AL$7:$AL$1843,"&gt;"&amp;AL696)+SUMIFS($AI$7:$AI$1843,$CC$7:$CC$1843,CC696,$AL$7:$AL$1843,AL696,$BT$7:$BT$1843,"&lt;="&amp;BT696),"")</f>
        <v/>
      </c>
      <c r="AN696" s="58" t="n">
        <f aca="false">IF(AM696="",0,MAX(0,MIN(1,(IF(CC696="L1",Parameter!$H$5,IF(CC696="L23",Parameter!$H$6+Parameter!$H$7,Parameter!$H$5+Parameter!$H$6+Parameter!$H$7))-(AM696-AI696))/AI696)))</f>
        <v>0</v>
      </c>
      <c r="AO696" s="50" t="n">
        <f aca="false">IF(LEFT(Cockpit!$I$5,1)="A",H696,IF(CE696=1,CF696,IF(LEFT(Cockpit!$I$5,1)="B",AT696,MAX(AT696,H696))))</f>
        <v>140</v>
      </c>
      <c r="AP696" s="50" t="n">
        <f aca="false">IF(BW696=1,0,ROUNDUP(AO696/BV696,0))</f>
        <v>1</v>
      </c>
      <c r="AQ696" s="52" t="n">
        <f aca="false">IF(CL696&gt;0,CL696*MAX(1,AO696/X696),IF(BW696=1,IF(AO696&lt;=0,0,CA696*MAX(1,IF(H696&gt;0,AO696/H696,1))),IF(R696&gt;0,AP696/R696,0))/MAX(0.1,N(Parameter!$M$21)))</f>
        <v>0.0833333333333333</v>
      </c>
      <c r="AR696" s="50" t="n">
        <f aca="false">AQ696*BY696</f>
        <v>28.75</v>
      </c>
      <c r="AS696" s="50" t="n">
        <f aca="false">AO696*G696</f>
        <v>19509</v>
      </c>
      <c r="AT696" s="50" t="n">
        <f aca="false">ROUNDUP(MAX(J696/IF(CD696&gt;0,CD696,MAX(0.1,N(Cockpit!$I$6))),CG696)/BV696,0)*BV696</f>
        <v>140</v>
      </c>
      <c r="AU696" s="51" t="n">
        <f aca="false">IF(AR696&gt;0,J696/AR696,-1)</f>
        <v>0</v>
      </c>
      <c r="AV696" s="51" t="n">
        <f aca="false">IF(AND(OR(CC696="L1",CC696="L23",CC696="LIFT"),AR696&gt;0),SUMIFS($AR$7:$AR$1843,$CC$7:$CC$1843,CC696,$AU$7:$AU$1843,"&gt;"&amp;AU696)+SUMIFS($AR$7:$AR$1843,$CC$7:$CC$1843,CC696,$AU$7:$AU$1843,AU696,$BT$7:$BT$1843,"&lt;="&amp;BT696),"")</f>
        <v>40006.3933227789</v>
      </c>
      <c r="AW696" s="58" t="n">
        <f aca="false">IF(AV696="",0,MAX(0,MIN(1,(IF(CC696="L1",Parameter!$H$5,IF(CC696="L23",Parameter!$H$6+Parameter!$H$7,Parameter!$H$5+Parameter!$H$6+Parameter!$H$7))-(AV696-AR696))/AR696)))</f>
        <v>0</v>
      </c>
      <c r="AX696" s="50" t="n">
        <f aca="false">IF(LEFT(Cockpit!$O$5,1)="A",H696,IF(CE696=1,CF696,IF(LEFT(Cockpit!$O$5,1)="B",BC696,MAX(BC696,H696))))</f>
        <v>140</v>
      </c>
      <c r="AY696" s="50" t="n">
        <f aca="false">IF(BW696=1,0,ROUNDUP(AX696/BV696,0))</f>
        <v>1</v>
      </c>
      <c r="AZ696" s="52" t="n">
        <f aca="false">IF(CL696&gt;0,CL696*MAX(1,AX696/X696),IF(BW696=1,IF(AX696&lt;=0,0,CA696*MAX(1,IF(H696&gt;0,AX696/H696,1))),IF(R696&gt;0,AY696/R696,0))/MAX(0.1,N(Parameter!$M$21)))</f>
        <v>0.0833333333333333</v>
      </c>
      <c r="BA696" s="50" t="n">
        <f aca="false">AZ696*BY696</f>
        <v>28.75</v>
      </c>
      <c r="BB696" s="50" t="n">
        <f aca="false">AX696*G696</f>
        <v>19509</v>
      </c>
      <c r="BC696" s="50" t="n">
        <f aca="false">ROUNDUP(MAX(J696/IF(CD696&gt;0,CD696,MAX(0.1,N(Cockpit!$O$6))),CG696)/BV696,0)*BV696</f>
        <v>140</v>
      </c>
      <c r="BD696" s="51" t="n">
        <f aca="false">IF(BA696&gt;0,J696/BA696,-1)</f>
        <v>0</v>
      </c>
      <c r="BE696" s="51" t="n">
        <f aca="false">IF(AND(OR(CC696="L1",CC696="L23",CC696="LIFT"),BA696&gt;0),SUMIFS($BA$7:$BA$1843,$CC$7:$CC$1843,CC696,$BD$7:$BD$1843,"&gt;"&amp;BD696)+SUMIFS($BA$7:$BA$1843,$CC$7:$CC$1843,CC696,$BD$7:$BD$1843,BD696,$BT$7:$BT$1843,"&lt;="&amp;BT696),"")</f>
        <v>36681.4053646448</v>
      </c>
      <c r="BF696" s="58" t="n">
        <f aca="false">IF(BE696="",0,MAX(0,MIN(1,(IF(CC696="L1",Parameter!$H$5,IF(CC696="L23",Parameter!$H$6+Parameter!$H$7,Parameter!$H$5+Parameter!$H$6+Parameter!$H$7))-(BE696-BA696))/BA696)))</f>
        <v>0</v>
      </c>
      <c r="BG696" s="48" t="str">
        <f aca="false">IF(AI696&lt;=0,"",IF(CC696="Aussen","Aussenlager",IF(CC696="-","Nicht im Lift",IF(AN696&gt;=1,"Lift",IF(AN696&lt;=0,"Aussenlager","teilweise")))))</f>
        <v/>
      </c>
      <c r="BH696" s="48" t="str">
        <f aca="false">IF(AR696&lt;=0,"",IF(CC696="Aussen","Aussenlager",IF(CC696="-","Nicht im Lift",IF(AW696&gt;=1,"Lift",IF(AW696&lt;=0,"Aussenlager","teilweise")))))</f>
        <v>Aussenlager</v>
      </c>
      <c r="BI696" s="48" t="str">
        <f aca="false">IF(BA696&lt;=0,"",IF(CC696="Aussen","Aussenlager",IF(CC696="-","Nicht im Lift",IF(BF696&gt;=1,"Lift",IF(BF696&lt;=0,"Aussenlager","teilweise")))))</f>
        <v>Aussenlager</v>
      </c>
      <c r="BJ696" s="48" t="str">
        <f aca="false">IF(A696="","",IF(BS696=1,"Neu; ","")&amp;IF(AND(BS696=0,BN696&lt;0),"negativer Bestand (Export "&amp;BN696&amp;"); ","")&amp;IF(J696&lt;=0,"Kein Verbrauch; ","")&amp;IF(CL696&gt;0,"Lift "&amp;W696&amp;" lt. Liftbericht (Fach "&amp;X696&amp;" Stk); ",IF(BX696=1,"Gebinde geschätzt ("&amp;T696&amp;"); ",IF(BW696=1,"Lose – Tablare geschätzt; ","")))&amp;IF(H696&gt;AT696,"Überbestand "&amp;ROUND(H696-AT696,0)&amp;" Stk / CHF "&amp;ROUND((H696-AT696)*G696,0)&amp;"; ","")&amp;IF(AND(CE696=1,CF696&lt;CG696),"MAX &lt; MB+LG; ","")&amp;IF(AND(CK696&gt;0,CJ696*10&gt;CK696),"zu hoch für Tablar; ","")&amp;IF(AND(BS696=0,OR(CE696=1,AA696&lt;&gt;"",U696&lt;&gt;"",V696&lt;&gt;"",AB696&lt;&gt;"")),"manuell übersteuert; ","")&amp;IF(AND(BW696=0,R696=0),"Gebinde unbekannt / Stellmass fehlt; ","")&amp;IF(AND(BW696=0,N(V696)&lt;=0,N(Q696)&lt;=0),"Menge pro Gebinde fehlt (Ist = 1 Gebinde); ","")&amp;BR696)</f>
        <v>Kein Verbrauch; </v>
      </c>
      <c r="BK696" s="48"/>
      <c r="BL696" s="48"/>
      <c r="BM696" s="55"/>
      <c r="BN696" s="50" t="n">
        <v>0</v>
      </c>
      <c r="BO696" s="50" t="n">
        <v>0</v>
      </c>
      <c r="BP696" s="49" t="n">
        <v>0</v>
      </c>
      <c r="BQ696" s="50" t="n">
        <v>0</v>
      </c>
      <c r="BR696" s="48"/>
      <c r="BS696" s="53" t="n">
        <v>0</v>
      </c>
      <c r="BT696" s="53" t="n">
        <v>696</v>
      </c>
      <c r="BU696" s="48" t="str">
        <f aca="false">IF(U696&lt;&gt;"",UPPER(TRIM(U696)),IF(BX696=1,UPPER(VLOOKUP(T696,Parameter!$I$27:$K$29,2,0)),IF(P696="","LOSE",P696)))</f>
        <v>S63</v>
      </c>
      <c r="BV696" s="50" t="n">
        <f aca="false">IF(BU696="LOSE",1,IF(N(V696)&gt;0,V696,IF(BX696=1,MAX(1,N(VLOOKUP(T696,Parameter!$I$27:$K$29,3,0)),H696,N(N696)),IF(N(Q696)&gt;0,Q696,MAX(1,H696)))))</f>
        <v>140</v>
      </c>
      <c r="BW696" s="53" t="n">
        <f aca="false">IF(BU696="LOSE",1,0)</f>
        <v>0</v>
      </c>
      <c r="BX696" s="53" t="n">
        <f aca="false">IF(AND(U696="",OR(P696="",P696="LOSE"),T696&lt;&gt;"",N(S696)&lt;=0,ISNUMBER(MATCH(T696,Parameter!$I$27:$I$29,0))),1,0)</f>
        <v>0</v>
      </c>
      <c r="BY696" s="53" t="n">
        <f aca="false">IF(CL696&gt;0,INDEX(Parameter!$H$5:$H$7,W696)/INDEX(Parameter!$E$5:$E$7,W696),IF(AND(BW696=0,N(IFERROR(VLOOKUP(BU696,'Gebinde-Kategorie'!$A$5:$N$45,14,0),0))&gt;0),VLOOKUP(BU696,'Gebinde-Kategorie'!$A$5:$N$45,14,0)*10+Parameter!$M$23,Parameter!$M$24))</f>
        <v>345</v>
      </c>
      <c r="BZ696" s="48" t="str">
        <f aca="false">IF(AND(Parameter!$B$19="Ja",E696&lt;&gt;"",ISNUMBER(MATCH(E696,Parameter!$I$35:$I$52,0))),VLOOKUP(E696,Parameter!$I$35:$J$52,2,0),IFERROR(VLOOKUP(D696,Parameter!$A$35:$C$64,2,0),"Nein"))</f>
        <v>2+3</v>
      </c>
      <c r="CA696" s="52" t="n">
        <f aca="false">IF(BW696=0,0,IF(N(S696)&gt;0,S696,IFERROR(VLOOKUP(D696,Parameter!$A$35:$C$64,3,0)+0,0)))</f>
        <v>0</v>
      </c>
      <c r="CB696" s="48" t="n">
        <f aca="false">IF(AA696&lt;&gt;"",AA696,Z696)</f>
        <v>2</v>
      </c>
      <c r="CC696" s="48" t="str">
        <f aca="false">IF(OR(CB696=1,CB696=2,CB696=3),IF(Parameter!$E$27="Ja","LIFT",IF(CB696=1,"L1","L23")),IF(CB696="Aussen","Aussen","-"))</f>
        <v>LIFT</v>
      </c>
      <c r="CD696" s="59" t="n">
        <f aca="false">IF(N(AB696)&gt;0,AB696,0)</f>
        <v>0</v>
      </c>
      <c r="CE696" s="53" t="n">
        <f aca="false">IF(ISNUMBER(AE696),1,0)</f>
        <v>0</v>
      </c>
      <c r="CF696" s="50" t="n">
        <f aca="false">N(AE696)</f>
        <v>0</v>
      </c>
      <c r="CG696" s="50" t="n">
        <f aca="false">N(M696)+N(N696)</f>
        <v>1</v>
      </c>
      <c r="CH696" s="50" t="n">
        <f aca="false">ROUNDUP(H696/BV696,0)</f>
        <v>0</v>
      </c>
      <c r="CI696" s="50" t="n">
        <f aca="false">ROUNDUP(CF696/BV696,0)</f>
        <v>0</v>
      </c>
      <c r="CJ696" s="53" t="n">
        <f aca="false">IF(BW696=1,0,IFERROR(VLOOKUP(BU696,'Gebinde-Kategorie'!$A$5:$N$45,5,0)+0,0))</f>
        <v>31</v>
      </c>
      <c r="CK696" s="53" t="n">
        <f aca="false">IFERROR(IF(OR(CB696=1,CB696=2,CB696=3),N(INDEX(Parameter!$I$5:$I$7,CB696)),0),0)</f>
        <v>0</v>
      </c>
      <c r="CL696" s="52" t="n">
        <f aca="false">IF(AND(Parameter!$B$21="Ja",ISNUMBER(W696),N(X696)&gt;0),IFERROR(N(INDEX(Parameter!$L$5:$L$7,W696))*INDEX(Parameter!$E$5:$E$7,W696)*X696/SUMIFS($X$7:$X$1843,$W$7:$W$1843,W696),0),0)</f>
        <v>0</v>
      </c>
    </row>
    <row r="697" customFormat="false" ht="15" hidden="false" customHeight="false" outlineLevel="0" collapsed="false">
      <c r="A697" s="48" t="s">
        <v>1396</v>
      </c>
      <c r="B697" s="48" t="s">
        <v>1397</v>
      </c>
      <c r="C697" s="48" t="s">
        <v>168</v>
      </c>
      <c r="D697" s="48" t="s">
        <v>188</v>
      </c>
      <c r="E697" s="48"/>
      <c r="F697" s="48" t="s">
        <v>222</v>
      </c>
      <c r="G697" s="49" t="n">
        <v>51.81</v>
      </c>
      <c r="H697" s="50" t="n">
        <f aca="false">MAX(0,IF(AND(Parameter!$B$21="Ja",ISNUMBER(Y697)),Y697,IF(Parameter!$B$20="Jahresanfang 2025 + Export",BO697+BN697,BN697)))</f>
        <v>7</v>
      </c>
      <c r="I697" s="50" t="n">
        <f aca="false">H697*G697</f>
        <v>362.67</v>
      </c>
      <c r="J697" s="50" t="n">
        <f aca="false">BQ697*Parameter!$B$18</f>
        <v>1</v>
      </c>
      <c r="K697" s="51" t="n">
        <v>7</v>
      </c>
      <c r="L697" s="52" t="n">
        <v>0.142857142857143</v>
      </c>
      <c r="M697" s="50" t="n">
        <v>0</v>
      </c>
      <c r="N697" s="50" t="n">
        <v>1</v>
      </c>
      <c r="O697" s="53" t="n">
        <v>42</v>
      </c>
      <c r="P697" s="48" t="s">
        <v>425</v>
      </c>
      <c r="Q697" s="50" t="n">
        <v>4</v>
      </c>
      <c r="R697" s="53" t="n">
        <f aca="false">IF(BW697=1,0,IFERROR(VLOOKUP(BU697,'Gebinde-Kategorie'!$A$5:$N$45,13,0)+0,0))</f>
        <v>104</v>
      </c>
      <c r="S697" s="54"/>
      <c r="T697" s="55"/>
      <c r="U697" s="55"/>
      <c r="V697" s="55"/>
      <c r="W697" s="48"/>
      <c r="X697" s="50"/>
      <c r="Y697" s="50"/>
      <c r="Z697" s="48" t="n">
        <f aca="false">IF(A697="","",IF(AND(Parameter!$B$21="Ja",ISNUMBER(W697)),W697,IF(BZ697="2+3",IF(ISNUMBER(SEARCH("grosser Artikel",BR697)),2,IFERROR(VLOOKUP(BU697,Parameter!$F$35:$G$64,2,0),2)),IF(OR(BZ697="Nein",BZ697=""),"-",BZ697))))</f>
        <v>3</v>
      </c>
      <c r="AA697" s="55"/>
      <c r="AB697" s="56"/>
      <c r="AC697" s="50" t="n">
        <f aca="false">AT697</f>
        <v>4</v>
      </c>
      <c r="AD697" s="50" t="n">
        <f aca="false">MAX(AT697,H697)</f>
        <v>7</v>
      </c>
      <c r="AE697" s="57"/>
      <c r="AF697" s="50" t="n">
        <f aca="false">IF(LEFT(Cockpit!$C$5,1)="A",H697,IF(CE697=1,CF697,IF(LEFT(Cockpit!$C$5,1)="B",AK697,MAX(AK697,H697))))</f>
        <v>7</v>
      </c>
      <c r="AG697" s="50" t="n">
        <f aca="false">IF(BW697=1,0,ROUNDUP(AF697/BV697,0))</f>
        <v>2</v>
      </c>
      <c r="AH697" s="52" t="n">
        <f aca="false">IF(CL697&gt;0,CL697*MAX(1,AF697/X697),IF(BW697=1,IF(AF697&lt;=0,0,CA697*MAX(1,IF(H697&gt;0,AF697/H697,1))),IF(R697&gt;0,AG697/R697,0))/MAX(0.1,N(Parameter!$M$21)))</f>
        <v>0.0192307692307692</v>
      </c>
      <c r="AI697" s="50" t="n">
        <f aca="false">AH697*BY697</f>
        <v>2.98076923076923</v>
      </c>
      <c r="AJ697" s="50" t="n">
        <f aca="false">AF697*G697</f>
        <v>362.67</v>
      </c>
      <c r="AK697" s="50" t="n">
        <f aca="false">ROUNDUP(MAX(J697/IF(CD697&gt;0,CD697,MAX(0.1,N(Cockpit!$C$6))),CG697)/BV697,0)*BV697</f>
        <v>4</v>
      </c>
      <c r="AL697" s="51" t="n">
        <f aca="false">IF(AI697&gt;0,J697/AI697,-1)</f>
        <v>0.335483870967742</v>
      </c>
      <c r="AM697" s="51" t="n">
        <f aca="false">IF(AND(OR(CC697="L1",CC697="L23",CC697="LIFT"),AI697&gt;0),SUMIFS($AI$7:$AI$1843,$CC$7:$CC$1843,CC697,$AL$7:$AL$1843,"&gt;"&amp;AL697)+SUMIFS($AI$7:$AI$1843,$CC$7:$CC$1843,CC697,$AL$7:$AL$1843,AL697,$BT$7:$BT$1843,"&lt;="&amp;BT697),"")</f>
        <v>11189.000116409</v>
      </c>
      <c r="AN697" s="58" t="n">
        <f aca="false">IF(AM697="",0,MAX(0,MIN(1,(IF(CC697="L1",Parameter!$H$5,IF(CC697="L23",Parameter!$H$6+Parameter!$H$7,Parameter!$H$5+Parameter!$H$6+Parameter!$H$7))-(AM697-AI697))/AI697)))</f>
        <v>1</v>
      </c>
      <c r="AO697" s="50" t="n">
        <f aca="false">IF(LEFT(Cockpit!$I$5,1)="A",H697,IF(CE697=1,CF697,IF(LEFT(Cockpit!$I$5,1)="B",AT697,MAX(AT697,H697))))</f>
        <v>7</v>
      </c>
      <c r="AP697" s="50" t="n">
        <f aca="false">IF(BW697=1,0,ROUNDUP(AO697/BV697,0))</f>
        <v>2</v>
      </c>
      <c r="AQ697" s="52" t="n">
        <f aca="false">IF(CL697&gt;0,CL697*MAX(1,AO697/X697),IF(BW697=1,IF(AO697&lt;=0,0,CA697*MAX(1,IF(H697&gt;0,AO697/H697,1))),IF(R697&gt;0,AP697/R697,0))/MAX(0.1,N(Parameter!$M$21)))</f>
        <v>0.0192307692307692</v>
      </c>
      <c r="AR697" s="50" t="n">
        <f aca="false">AQ697*BY697</f>
        <v>2.98076923076923</v>
      </c>
      <c r="AS697" s="50" t="n">
        <f aca="false">AO697*G697</f>
        <v>362.67</v>
      </c>
      <c r="AT697" s="50" t="n">
        <f aca="false">ROUNDUP(MAX(J697/IF(CD697&gt;0,CD697,MAX(0.1,N(Cockpit!$I$6))),CG697)/BV697,0)*BV697</f>
        <v>4</v>
      </c>
      <c r="AU697" s="51" t="n">
        <f aca="false">IF(AR697&gt;0,J697/AR697,-1)</f>
        <v>0.335483870967742</v>
      </c>
      <c r="AV697" s="51" t="n">
        <f aca="false">IF(AND(OR(CC697="L1",CC697="L23",CC697="LIFT"),AR697&gt;0),SUMIFS($AR$7:$AR$1843,$CC$7:$CC$1843,CC697,$AU$7:$AU$1843,"&gt;"&amp;AU697)+SUMIFS($AR$7:$AR$1843,$CC$7:$CC$1843,CC697,$AU$7:$AU$1843,AU697,$BT$7:$BT$1843,"&lt;="&amp;BT697),"")</f>
        <v>16314.6982600733</v>
      </c>
      <c r="AW697" s="58" t="n">
        <f aca="false">IF(AV697="",0,MAX(0,MIN(1,(IF(CC697="L1",Parameter!$H$5,IF(CC697="L23",Parameter!$H$6+Parameter!$H$7,Parameter!$H$5+Parameter!$H$6+Parameter!$H$7))-(AV697-AR697))/AR697)))</f>
        <v>1</v>
      </c>
      <c r="AX697" s="50" t="n">
        <f aca="false">IF(LEFT(Cockpit!$O$5,1)="A",H697,IF(CE697=1,CF697,IF(LEFT(Cockpit!$O$5,1)="B",BC697,MAX(BC697,H697))))</f>
        <v>7</v>
      </c>
      <c r="AY697" s="50" t="n">
        <f aca="false">IF(BW697=1,0,ROUNDUP(AX697/BV697,0))</f>
        <v>2</v>
      </c>
      <c r="AZ697" s="52" t="n">
        <f aca="false">IF(CL697&gt;0,CL697*MAX(1,AX697/X697),IF(BW697=1,IF(AX697&lt;=0,0,CA697*MAX(1,IF(H697&gt;0,AX697/H697,1))),IF(R697&gt;0,AY697/R697,0))/MAX(0.1,N(Parameter!$M$21)))</f>
        <v>0.0192307692307692</v>
      </c>
      <c r="BA697" s="50" t="n">
        <f aca="false">AZ697*BY697</f>
        <v>2.98076923076923</v>
      </c>
      <c r="BB697" s="50" t="n">
        <f aca="false">AX697*G697</f>
        <v>362.67</v>
      </c>
      <c r="BC697" s="50" t="n">
        <f aca="false">ROUNDUP(MAX(J697/IF(CD697&gt;0,CD697,MAX(0.1,N(Cockpit!$O$6))),CG697)/BV697,0)*BV697</f>
        <v>4</v>
      </c>
      <c r="BD697" s="51" t="n">
        <f aca="false">IF(BA697&gt;0,J697/BA697,-1)</f>
        <v>0.335483870967742</v>
      </c>
      <c r="BE697" s="51" t="n">
        <f aca="false">IF(AND(OR(CC697="L1",CC697="L23",CC697="LIFT"),BA697&gt;0),SUMIFS($BA$7:$BA$1843,$CC$7:$CC$1843,CC697,$BD$7:$BD$1843,"&gt;"&amp;BD697)+SUMIFS($BA$7:$BA$1843,$CC$7:$CC$1843,CC697,$BD$7:$BD$1843,BD697,$BT$7:$BT$1843,"&lt;="&amp;BT697),"")</f>
        <v>15065.3553113553</v>
      </c>
      <c r="BF697" s="58" t="n">
        <f aca="false">IF(BE697="",0,MAX(0,MIN(1,(IF(CC697="L1",Parameter!$H$5,IF(CC697="L23",Parameter!$H$6+Parameter!$H$7,Parameter!$H$5+Parameter!$H$6+Parameter!$H$7))-(BE697-BA697))/BA697)))</f>
        <v>1</v>
      </c>
      <c r="BG697" s="48" t="str">
        <f aca="false">IF(AI697&lt;=0,"",IF(CC697="Aussen","Aussenlager",IF(CC697="-","Nicht im Lift",IF(AN697&gt;=1,"Lift",IF(AN697&lt;=0,"Aussenlager","teilweise")))))</f>
        <v>Lift</v>
      </c>
      <c r="BH697" s="48" t="str">
        <f aca="false">IF(AR697&lt;=0,"",IF(CC697="Aussen","Aussenlager",IF(CC697="-","Nicht im Lift",IF(AW697&gt;=1,"Lift",IF(AW697&lt;=0,"Aussenlager","teilweise")))))</f>
        <v>Lift</v>
      </c>
      <c r="BI697" s="48" t="str">
        <f aca="false">IF(BA697&lt;=0,"",IF(CC697="Aussen","Aussenlager",IF(CC697="-","Nicht im Lift",IF(BF697&gt;=1,"Lift",IF(BF697&lt;=0,"Aussenlager","teilweise")))))</f>
        <v>Lift</v>
      </c>
      <c r="BJ697" s="48" t="str">
        <f aca="false">IF(A697="","",IF(BS697=1,"Neu; ","")&amp;IF(AND(BS697=0,BN697&lt;0),"negativer Bestand (Export "&amp;BN697&amp;"); ","")&amp;IF(J697&lt;=0,"Kein Verbrauch; ","")&amp;IF(CL697&gt;0,"Lift "&amp;W697&amp;" lt. Liftbericht (Fach "&amp;X697&amp;" Stk); ",IF(BX697=1,"Gebinde geschätzt ("&amp;T697&amp;"); ",IF(BW697=1,"Lose – Tablare geschätzt; ","")))&amp;IF(H697&gt;AT697,"Überbestand "&amp;ROUND(H697-AT697,0)&amp;" Stk / CHF "&amp;ROUND((H697-AT697)*G697,0)&amp;"; ","")&amp;IF(AND(CE697=1,CF697&lt;CG697),"MAX &lt; MB+LG; ","")&amp;IF(AND(CK697&gt;0,CJ697*10&gt;CK697),"zu hoch für Tablar; ","")&amp;IF(AND(BS697=0,OR(CE697=1,AA697&lt;&gt;"",U697&lt;&gt;"",V697&lt;&gt;"",AB697&lt;&gt;"")),"manuell übersteuert; ","")&amp;IF(AND(BW697=0,R697=0),"Gebinde unbekannt / Stellmass fehlt; ","")&amp;IF(AND(BW697=0,N(V697)&lt;=0,N(Q697)&lt;=0),"Menge pro Gebinde fehlt (Ist = 1 Gebinde); ","")&amp;BR697)</f>
        <v>Überbestand 3 Stk / CHF 155; </v>
      </c>
      <c r="BK697" s="48"/>
      <c r="BL697" s="48"/>
      <c r="BM697" s="55"/>
      <c r="BN697" s="50" t="n">
        <v>0</v>
      </c>
      <c r="BO697" s="50" t="n">
        <v>7</v>
      </c>
      <c r="BP697" s="49" t="n">
        <v>0</v>
      </c>
      <c r="BQ697" s="50" t="n">
        <v>1</v>
      </c>
      <c r="BR697" s="48"/>
      <c r="BS697" s="53" t="n">
        <v>0</v>
      </c>
      <c r="BT697" s="53" t="n">
        <v>697</v>
      </c>
      <c r="BU697" s="48" t="str">
        <f aca="false">IF(U697&lt;&gt;"",UPPER(TRIM(U697)),IF(BX697=1,UPPER(VLOOKUP(T697,Parameter!$I$27:$K$29,2,0)),IF(P697="","LOSE",P697)))</f>
        <v>S32</v>
      </c>
      <c r="BV697" s="50" t="n">
        <f aca="false">IF(BU697="LOSE",1,IF(N(V697)&gt;0,V697,IF(BX697=1,MAX(1,N(VLOOKUP(T697,Parameter!$I$27:$K$29,3,0)),H697,N(N697)),IF(N(Q697)&gt;0,Q697,MAX(1,H697)))))</f>
        <v>4</v>
      </c>
      <c r="BW697" s="53" t="n">
        <f aca="false">IF(BU697="LOSE",1,0)</f>
        <v>0</v>
      </c>
      <c r="BX697" s="53" t="n">
        <f aca="false">IF(AND(U697="",OR(P697="",P697="LOSE"),T697&lt;&gt;"",N(S697)&lt;=0,ISNUMBER(MATCH(T697,Parameter!$I$27:$I$29,0))),1,0)</f>
        <v>0</v>
      </c>
      <c r="BY697" s="53" t="n">
        <f aca="false">IF(CL697&gt;0,INDEX(Parameter!$H$5:$H$7,W697)/INDEX(Parameter!$E$5:$E$7,W697),IF(AND(BW697=0,N(IFERROR(VLOOKUP(BU697,'Gebinde-Kategorie'!$A$5:$N$45,14,0),0))&gt;0),VLOOKUP(BU697,'Gebinde-Kategorie'!$A$5:$N$45,14,0)*10+Parameter!$M$23,Parameter!$M$24))</f>
        <v>155</v>
      </c>
      <c r="BZ697" s="48" t="str">
        <f aca="false">IF(AND(Parameter!$B$19="Ja",E697&lt;&gt;"",ISNUMBER(MATCH(E697,Parameter!$I$35:$I$52,0))),VLOOKUP(E697,Parameter!$I$35:$J$52,2,0),IFERROR(VLOOKUP(D697,Parameter!$A$35:$C$64,2,0),"Nein"))</f>
        <v>2+3</v>
      </c>
      <c r="CA697" s="52" t="n">
        <f aca="false">IF(BW697=0,0,IF(N(S697)&gt;0,S697,IFERROR(VLOOKUP(D697,Parameter!$A$35:$C$64,3,0)+0,0)))</f>
        <v>0</v>
      </c>
      <c r="CB697" s="48" t="n">
        <f aca="false">IF(AA697&lt;&gt;"",AA697,Z697)</f>
        <v>3</v>
      </c>
      <c r="CC697" s="48" t="str">
        <f aca="false">IF(OR(CB697=1,CB697=2,CB697=3),IF(Parameter!$E$27="Ja","LIFT",IF(CB697=1,"L1","L23")),IF(CB697="Aussen","Aussen","-"))</f>
        <v>LIFT</v>
      </c>
      <c r="CD697" s="59" t="n">
        <f aca="false">IF(N(AB697)&gt;0,AB697,0)</f>
        <v>0</v>
      </c>
      <c r="CE697" s="53" t="n">
        <f aca="false">IF(ISNUMBER(AE697),1,0)</f>
        <v>0</v>
      </c>
      <c r="CF697" s="50" t="n">
        <f aca="false">N(AE697)</f>
        <v>0</v>
      </c>
      <c r="CG697" s="50" t="n">
        <f aca="false">N(M697)+N(N697)</f>
        <v>1</v>
      </c>
      <c r="CH697" s="50" t="n">
        <f aca="false">ROUNDUP(H697/BV697,0)</f>
        <v>2</v>
      </c>
      <c r="CI697" s="50" t="n">
        <f aca="false">ROUNDUP(CF697/BV697,0)</f>
        <v>0</v>
      </c>
      <c r="CJ697" s="53" t="n">
        <f aca="false">IF(BW697=1,0,IFERROR(VLOOKUP(BU697,'Gebinde-Kategorie'!$A$5:$N$45,5,0)+0,0))</f>
        <v>8</v>
      </c>
      <c r="CK697" s="53" t="n">
        <f aca="false">IFERROR(IF(OR(CB697=1,CB697=2,CB697=3),N(INDEX(Parameter!$I$5:$I$7,CB697)),0),0)</f>
        <v>0</v>
      </c>
      <c r="CL697" s="52" t="n">
        <f aca="false">IF(AND(Parameter!$B$21="Ja",ISNUMBER(W697),N(X697)&gt;0),IFERROR(N(INDEX(Parameter!$L$5:$L$7,W697))*INDEX(Parameter!$E$5:$E$7,W697)*X697/SUMIFS($X$7:$X$1843,$W$7:$W$1843,W697),0),0)</f>
        <v>0</v>
      </c>
    </row>
    <row r="698" customFormat="false" ht="15" hidden="false" customHeight="false" outlineLevel="0" collapsed="false">
      <c r="A698" s="48" t="s">
        <v>1398</v>
      </c>
      <c r="B698" s="48" t="s">
        <v>1399</v>
      </c>
      <c r="C698" s="48" t="s">
        <v>168</v>
      </c>
      <c r="D698" s="48" t="s">
        <v>177</v>
      </c>
      <c r="E698" s="48"/>
      <c r="F698" s="48" t="s">
        <v>222</v>
      </c>
      <c r="G698" s="49" t="n">
        <v>544.15</v>
      </c>
      <c r="H698" s="50" t="n">
        <f aca="false">MAX(0,IF(AND(Parameter!$B$21="Ja",ISNUMBER(Y698)),Y698,IF(Parameter!$B$20="Jahresanfang 2025 + Export",BO698+BN698,BN698)))</f>
        <v>0</v>
      </c>
      <c r="I698" s="50" t="n">
        <f aca="false">H698*G698</f>
        <v>0</v>
      </c>
      <c r="J698" s="50" t="n">
        <f aca="false">BQ698*Parameter!$B$18</f>
        <v>1</v>
      </c>
      <c r="K698" s="51" t="n">
        <v>0</v>
      </c>
      <c r="L698" s="52" t="n">
        <v>0</v>
      </c>
      <c r="M698" s="50" t="n">
        <v>0</v>
      </c>
      <c r="N698" s="50" t="n">
        <v>1</v>
      </c>
      <c r="O698" s="53" t="n">
        <v>21</v>
      </c>
      <c r="P698" s="48" t="s">
        <v>172</v>
      </c>
      <c r="Q698" s="50"/>
      <c r="R698" s="53" t="n">
        <f aca="false">IF(BW698=1,0,IFERROR(VLOOKUP(BU698,'Gebinde-Kategorie'!$A$5:$N$45,13,0)+0,0))</f>
        <v>4</v>
      </c>
      <c r="S698" s="54"/>
      <c r="T698" s="55" t="s">
        <v>193</v>
      </c>
      <c r="U698" s="55"/>
      <c r="V698" s="55"/>
      <c r="W698" s="48"/>
      <c r="X698" s="50"/>
      <c r="Y698" s="50"/>
      <c r="Z698" s="48" t="n">
        <f aca="false">IF(A698="","",IF(AND(Parameter!$B$21="Ja",ISNUMBER(W698)),W698,IF(BZ698="2+3",IF(ISNUMBER(SEARCH("grosser Artikel",BR698)),2,IFERROR(VLOOKUP(BU698,Parameter!$F$35:$G$64,2,0),2)),IF(OR(BZ698="Nein",BZ698=""),"-",BZ698))))</f>
        <v>2</v>
      </c>
      <c r="AA698" s="55"/>
      <c r="AB698" s="56"/>
      <c r="AC698" s="50" t="n">
        <f aca="false">AT698</f>
        <v>2</v>
      </c>
      <c r="AD698" s="50" t="n">
        <f aca="false">MAX(AT698,H698)</f>
        <v>2</v>
      </c>
      <c r="AE698" s="57"/>
      <c r="AF698" s="50" t="n">
        <f aca="false">IF(LEFT(Cockpit!$C$5,1)="A",H698,IF(CE698=1,CF698,IF(LEFT(Cockpit!$C$5,1)="B",AK698,MAX(AK698,H698))))</f>
        <v>0</v>
      </c>
      <c r="AG698" s="50" t="n">
        <f aca="false">IF(BW698=1,0,ROUNDUP(AF698/BV698,0))</f>
        <v>0</v>
      </c>
      <c r="AH698" s="52" t="n">
        <f aca="false">IF(CL698&gt;0,CL698*MAX(1,AF698/X698),IF(BW698=1,IF(AF698&lt;=0,0,CA698*MAX(1,IF(H698&gt;0,AF698/H698,1))),IF(R698&gt;0,AG698/R698,0))/MAX(0.1,N(Parameter!$M$21)))</f>
        <v>0</v>
      </c>
      <c r="AI698" s="50" t="n">
        <f aca="false">AH698*BY698</f>
        <v>0</v>
      </c>
      <c r="AJ698" s="50" t="n">
        <f aca="false">AF698*G698</f>
        <v>0</v>
      </c>
      <c r="AK698" s="50" t="n">
        <f aca="false">ROUNDUP(MAX(J698/IF(CD698&gt;0,CD698,MAX(0.1,N(Cockpit!$C$6))),CG698)/BV698,0)*BV698</f>
        <v>2</v>
      </c>
      <c r="AL698" s="51" t="n">
        <f aca="false">IF(AI698&gt;0,J698/AI698,-1)</f>
        <v>-1</v>
      </c>
      <c r="AM698" s="51" t="str">
        <f aca="false">IF(AND(OR(CC698="L1",CC698="L23",CC698="LIFT"),AI698&gt;0),SUMIFS($AI$7:$AI$1843,$CC$7:$CC$1843,CC698,$AL$7:$AL$1843,"&gt;"&amp;AL698)+SUMIFS($AI$7:$AI$1843,$CC$7:$CC$1843,CC698,$AL$7:$AL$1843,AL698,$BT$7:$BT$1843,"&lt;="&amp;BT698),"")</f>
        <v/>
      </c>
      <c r="AN698" s="58" t="n">
        <f aca="false">IF(AM698="",0,MAX(0,MIN(1,(IF(CC698="L1",Parameter!$H$5,IF(CC698="L23",Parameter!$H$6+Parameter!$H$7,Parameter!$H$5+Parameter!$H$6+Parameter!$H$7))-(AM698-AI698))/AI698)))</f>
        <v>0</v>
      </c>
      <c r="AO698" s="50" t="n">
        <f aca="false">IF(LEFT(Cockpit!$I$5,1)="A",H698,IF(CE698=1,CF698,IF(LEFT(Cockpit!$I$5,1)="B",AT698,MAX(AT698,H698))))</f>
        <v>2</v>
      </c>
      <c r="AP698" s="50" t="n">
        <f aca="false">IF(BW698=1,0,ROUNDUP(AO698/BV698,0))</f>
        <v>1</v>
      </c>
      <c r="AQ698" s="52" t="n">
        <f aca="false">IF(CL698&gt;0,CL698*MAX(1,AO698/X698),IF(BW698=1,IF(AO698&lt;=0,0,CA698*MAX(1,IF(H698&gt;0,AO698/H698,1))),IF(R698&gt;0,AP698/R698,0))/MAX(0.1,N(Parameter!$M$21)))</f>
        <v>0.25</v>
      </c>
      <c r="AR698" s="50" t="n">
        <f aca="false">AQ698*BY698</f>
        <v>58.75</v>
      </c>
      <c r="AS698" s="50" t="n">
        <f aca="false">AO698*G698</f>
        <v>1088.3</v>
      </c>
      <c r="AT698" s="50" t="n">
        <f aca="false">ROUNDUP(MAX(J698/IF(CD698&gt;0,CD698,MAX(0.1,N(Cockpit!$I$6))),CG698)/BV698,0)*BV698</f>
        <v>2</v>
      </c>
      <c r="AU698" s="51" t="n">
        <f aca="false">IF(AR698&gt;0,J698/AR698,-1)</f>
        <v>0.0170212765957447</v>
      </c>
      <c r="AV698" s="51" t="n">
        <f aca="false">IF(AND(OR(CC698="L1",CC698="L23",CC698="LIFT"),AR698&gt;0),SUMIFS($AR$7:$AR$1843,$CC$7:$CC$1843,CC698,$AU$7:$AU$1843,"&gt;"&amp;AU698)+SUMIFS($AR$7:$AR$1843,$CC$7:$CC$1843,CC698,$AU$7:$AU$1843,AU698,$BT$7:$BT$1843,"&lt;="&amp;BT698),"")</f>
        <v>34523.1013560357</v>
      </c>
      <c r="AW698" s="58" t="n">
        <f aca="false">IF(AV698="",0,MAX(0,MIN(1,(IF(CC698="L1",Parameter!$H$5,IF(CC698="L23",Parameter!$H$6+Parameter!$H$7,Parameter!$H$5+Parameter!$H$6+Parameter!$H$7))-(AV698-AR698))/AR698)))</f>
        <v>1</v>
      </c>
      <c r="AX698" s="50" t="n">
        <f aca="false">IF(LEFT(Cockpit!$O$5,1)="A",H698,IF(CE698=1,CF698,IF(LEFT(Cockpit!$O$5,1)="B",BC698,MAX(BC698,H698))))</f>
        <v>2</v>
      </c>
      <c r="AY698" s="50" t="n">
        <f aca="false">IF(BW698=1,0,ROUNDUP(AX698/BV698,0))</f>
        <v>1</v>
      </c>
      <c r="AZ698" s="52" t="n">
        <f aca="false">IF(CL698&gt;0,CL698*MAX(1,AX698/X698),IF(BW698=1,IF(AX698&lt;=0,0,CA698*MAX(1,IF(H698&gt;0,AX698/H698,1))),IF(R698&gt;0,AY698/R698,0))/MAX(0.1,N(Parameter!$M$21)))</f>
        <v>0.25</v>
      </c>
      <c r="BA698" s="50" t="n">
        <f aca="false">AZ698*BY698</f>
        <v>58.75</v>
      </c>
      <c r="BB698" s="50" t="n">
        <f aca="false">AX698*G698</f>
        <v>1088.3</v>
      </c>
      <c r="BC698" s="50" t="n">
        <f aca="false">ROUNDUP(MAX(J698/IF(CD698&gt;0,CD698,MAX(0.1,N(Cockpit!$O$6))),CG698)/BV698,0)*BV698</f>
        <v>2</v>
      </c>
      <c r="BD698" s="51" t="n">
        <f aca="false">IF(BA698&gt;0,J698/BA698,-1)</f>
        <v>0.0170212765957447</v>
      </c>
      <c r="BE698" s="51" t="n">
        <f aca="false">IF(AND(OR(CC698="L1",CC698="L23",CC698="LIFT"),BA698&gt;0),SUMIFS($BA$7:$BA$1843,$CC$7:$CC$1843,CC698,$BD$7:$BD$1843,"&gt;"&amp;BD698)+SUMIFS($BA$7:$BA$1843,$CC$7:$CC$1843,CC698,$BD$7:$BD$1843,BD698,$BT$7:$BT$1843,"&lt;="&amp;BT698),"")</f>
        <v>31198.1133979015</v>
      </c>
      <c r="BF698" s="58" t="n">
        <f aca="false">IF(BE698="",0,MAX(0,MIN(1,(IF(CC698="L1",Parameter!$H$5,IF(CC698="L23",Parameter!$H$6+Parameter!$H$7,Parameter!$H$5+Parameter!$H$6+Parameter!$H$7))-(BE698-BA698))/BA698)))</f>
        <v>1</v>
      </c>
      <c r="BG698" s="48" t="str">
        <f aca="false">IF(AI698&lt;=0,"",IF(CC698="Aussen","Aussenlager",IF(CC698="-","Nicht im Lift",IF(AN698&gt;=1,"Lift",IF(AN698&lt;=0,"Aussenlager","teilweise")))))</f>
        <v/>
      </c>
      <c r="BH698" s="48" t="str">
        <f aca="false">IF(AR698&lt;=0,"",IF(CC698="Aussen","Aussenlager",IF(CC698="-","Nicht im Lift",IF(AW698&gt;=1,"Lift",IF(AW698&lt;=0,"Aussenlager","teilweise")))))</f>
        <v>Lift</v>
      </c>
      <c r="BI698" s="48" t="str">
        <f aca="false">IF(BA698&lt;=0,"",IF(CC698="Aussen","Aussenlager",IF(CC698="-","Nicht im Lift",IF(BF698&gt;=1,"Lift",IF(BF698&lt;=0,"Aussenlager","teilweise")))))</f>
        <v>Lift</v>
      </c>
      <c r="BJ698" s="48" t="str">
        <f aca="false">IF(A698="","",IF(BS698=1,"Neu; ","")&amp;IF(AND(BS698=0,BN698&lt;0),"negativer Bestand (Export "&amp;BN698&amp;"); ","")&amp;IF(J698&lt;=0,"Kein Verbrauch; ","")&amp;IF(CL698&gt;0,"Lift "&amp;W698&amp;" lt. Liftbericht (Fach "&amp;X698&amp;" Stk); ",IF(BX698=1,"Gebinde geschätzt ("&amp;T698&amp;"); ",IF(BW698=1,"Lose – Tablare geschätzt; ","")))&amp;IF(H698&gt;AT698,"Überbestand "&amp;ROUND(H698-AT698,0)&amp;" Stk / CHF "&amp;ROUND((H698-AT698)*G698,0)&amp;"; ","")&amp;IF(AND(CE698=1,CF698&lt;CG698),"MAX &lt; MB+LG; ","")&amp;IF(AND(CK698&gt;0,CJ698*10&gt;CK698),"zu hoch für Tablar; ","")&amp;IF(AND(BS698=0,OR(CE698=1,AA698&lt;&gt;"",U698&lt;&gt;"",V698&lt;&gt;"",AB698&lt;&gt;"")),"manuell übersteuert; ","")&amp;IF(AND(BW698=0,R698=0),"Gebinde unbekannt / Stellmass fehlt; ","")&amp;IF(AND(BW698=0,N(V698)&lt;=0,N(Q698)&lt;=0),"Menge pro Gebinde fehlt (Ist = 1 Gebinde); ","")&amp;BR698)</f>
        <v>Gebinde geschätzt (Gross); Menge pro Gebinde fehlt (Ist = 1 Gebinde); </v>
      </c>
      <c r="BK698" s="48"/>
      <c r="BL698" s="48"/>
      <c r="BM698" s="55"/>
      <c r="BN698" s="50" t="n">
        <v>0</v>
      </c>
      <c r="BO698" s="50" t="n">
        <v>0</v>
      </c>
      <c r="BP698" s="49" t="n">
        <v>0</v>
      </c>
      <c r="BQ698" s="50" t="n">
        <v>1</v>
      </c>
      <c r="BR698" s="48"/>
      <c r="BS698" s="53" t="n">
        <v>0</v>
      </c>
      <c r="BT698" s="53" t="n">
        <v>698</v>
      </c>
      <c r="BU698" s="48" t="str">
        <f aca="false">IF(U698&lt;&gt;"",UPPER(TRIM(U698)),IF(BX698=1,UPPER(VLOOKUP(T698,Parameter!$I$27:$K$29,2,0)),IF(P698="","LOSE",P698)))</f>
        <v>S81</v>
      </c>
      <c r="BV698" s="50" t="n">
        <f aca="false">IF(BU698="LOSE",1,IF(N(V698)&gt;0,V698,IF(BX698=1,MAX(1,N(VLOOKUP(T698,Parameter!$I$27:$K$29,3,0)),H698,N(N698)),IF(N(Q698)&gt;0,Q698,MAX(1,H698)))))</f>
        <v>2</v>
      </c>
      <c r="BW698" s="53" t="n">
        <f aca="false">IF(BU698="LOSE",1,0)</f>
        <v>0</v>
      </c>
      <c r="BX698" s="53" t="n">
        <f aca="false">IF(AND(U698="",OR(P698="",P698="LOSE"),T698&lt;&gt;"",N(S698)&lt;=0,ISNUMBER(MATCH(T698,Parameter!$I$27:$I$29,0))),1,0)</f>
        <v>1</v>
      </c>
      <c r="BY698" s="53" t="n">
        <f aca="false">IF(CL698&gt;0,INDEX(Parameter!$H$5:$H$7,W698)/INDEX(Parameter!$E$5:$E$7,W698),IF(AND(BW698=0,N(IFERROR(VLOOKUP(BU698,'Gebinde-Kategorie'!$A$5:$N$45,14,0),0))&gt;0),VLOOKUP(BU698,'Gebinde-Kategorie'!$A$5:$N$45,14,0)*10+Parameter!$M$23,Parameter!$M$24))</f>
        <v>235</v>
      </c>
      <c r="BZ698" s="48" t="str">
        <f aca="false">IF(AND(Parameter!$B$19="Ja",E698&lt;&gt;"",ISNUMBER(MATCH(E698,Parameter!$I$35:$I$52,0))),VLOOKUP(E698,Parameter!$I$35:$J$52,2,0),IFERROR(VLOOKUP(D698,Parameter!$A$35:$C$64,2,0),"Nein"))</f>
        <v>2+3</v>
      </c>
      <c r="CA698" s="52" t="n">
        <f aca="false">IF(BW698=0,0,IF(N(S698)&gt;0,S698,IFERROR(VLOOKUP(D698,Parameter!$A$35:$C$64,3,0)+0,0)))</f>
        <v>0</v>
      </c>
      <c r="CB698" s="48" t="n">
        <f aca="false">IF(AA698&lt;&gt;"",AA698,Z698)</f>
        <v>2</v>
      </c>
      <c r="CC698" s="48" t="str">
        <f aca="false">IF(OR(CB698=1,CB698=2,CB698=3),IF(Parameter!$E$27="Ja","LIFT",IF(CB698=1,"L1","L23")),IF(CB698="Aussen","Aussen","-"))</f>
        <v>LIFT</v>
      </c>
      <c r="CD698" s="59" t="n">
        <f aca="false">IF(N(AB698)&gt;0,AB698,0)</f>
        <v>0</v>
      </c>
      <c r="CE698" s="53" t="n">
        <f aca="false">IF(ISNUMBER(AE698),1,0)</f>
        <v>0</v>
      </c>
      <c r="CF698" s="50" t="n">
        <f aca="false">N(AE698)</f>
        <v>0</v>
      </c>
      <c r="CG698" s="50" t="n">
        <f aca="false">N(M698)+N(N698)</f>
        <v>1</v>
      </c>
      <c r="CH698" s="50" t="n">
        <f aca="false">ROUNDUP(H698/BV698,0)</f>
        <v>0</v>
      </c>
      <c r="CI698" s="50" t="n">
        <f aca="false">ROUNDUP(CF698/BV698,0)</f>
        <v>0</v>
      </c>
      <c r="CJ698" s="53" t="n">
        <f aca="false">IF(BW698=1,0,IFERROR(VLOOKUP(BU698,'Gebinde-Kategorie'!$A$5:$N$45,5,0)+0,0))</f>
        <v>20</v>
      </c>
      <c r="CK698" s="53" t="n">
        <f aca="false">IFERROR(IF(OR(CB698=1,CB698=2,CB698=3),N(INDEX(Parameter!$I$5:$I$7,CB698)),0),0)</f>
        <v>0</v>
      </c>
      <c r="CL698" s="52" t="n">
        <f aca="false">IF(AND(Parameter!$B$21="Ja",ISNUMBER(W698),N(X698)&gt;0),IFERROR(N(INDEX(Parameter!$L$5:$L$7,W698))*INDEX(Parameter!$E$5:$E$7,W698)*X698/SUMIFS($X$7:$X$1843,$W$7:$W$1843,W698),0),0)</f>
        <v>0</v>
      </c>
    </row>
    <row r="699" customFormat="false" ht="15" hidden="false" customHeight="false" outlineLevel="0" collapsed="false">
      <c r="A699" s="48" t="s">
        <v>1400</v>
      </c>
      <c r="B699" s="48" t="s">
        <v>1401</v>
      </c>
      <c r="C699" s="48" t="s">
        <v>168</v>
      </c>
      <c r="D699" s="48" t="s">
        <v>999</v>
      </c>
      <c r="E699" s="48"/>
      <c r="F699" s="48" t="s">
        <v>222</v>
      </c>
      <c r="G699" s="49" t="n">
        <v>1635.8</v>
      </c>
      <c r="H699" s="50" t="n">
        <f aca="false">MAX(0,IF(AND(Parameter!$B$21="Ja",ISNUMBER(Y699)),Y699,IF(Parameter!$B$20="Jahresanfang 2025 + Export",BO699+BN699,BN699)))</f>
        <v>0</v>
      </c>
      <c r="I699" s="50" t="n">
        <f aca="false">H699*G699</f>
        <v>0</v>
      </c>
      <c r="J699" s="50" t="n">
        <f aca="false">BQ699*Parameter!$B$18</f>
        <v>0</v>
      </c>
      <c r="K699" s="51" t="n">
        <v>0.5</v>
      </c>
      <c r="L699" s="52" t="n">
        <v>0</v>
      </c>
      <c r="M699" s="50" t="n">
        <v>0</v>
      </c>
      <c r="N699" s="50" t="n">
        <v>1</v>
      </c>
      <c r="O699" s="53" t="n">
        <v>7</v>
      </c>
      <c r="P699" s="48" t="s">
        <v>172</v>
      </c>
      <c r="Q699" s="50"/>
      <c r="R699" s="53" t="n">
        <f aca="false">IF(BW699=1,0,IFERROR(VLOOKUP(BU699,'Gebinde-Kategorie'!$A$5:$N$45,13,0)+0,0))</f>
        <v>0</v>
      </c>
      <c r="S699" s="54"/>
      <c r="T699" s="55"/>
      <c r="U699" s="55"/>
      <c r="V699" s="55"/>
      <c r="W699" s="48"/>
      <c r="X699" s="50"/>
      <c r="Y699" s="50"/>
      <c r="Z699" s="48" t="str">
        <f aca="false">IF(A699="","",IF(AND(Parameter!$B$21="Ja",ISNUMBER(W699)),W699,IF(BZ699="2+3",IF(ISNUMBER(SEARCH("grosser Artikel",BR699)),2,IFERROR(VLOOKUP(BU699,Parameter!$F$35:$G$64,2,0),2)),IF(OR(BZ699="Nein",BZ699=""),"-",BZ699))))</f>
        <v>-</v>
      </c>
      <c r="AA699" s="55"/>
      <c r="AB699" s="56"/>
      <c r="AC699" s="50" t="n">
        <f aca="false">AT699</f>
        <v>1</v>
      </c>
      <c r="AD699" s="50" t="n">
        <f aca="false">MAX(AT699,H699)</f>
        <v>1</v>
      </c>
      <c r="AE699" s="57"/>
      <c r="AF699" s="50" t="n">
        <f aca="false">IF(LEFT(Cockpit!$C$5,1)="A",H699,IF(CE699=1,CF699,IF(LEFT(Cockpit!$C$5,1)="B",AK699,MAX(AK699,H699))))</f>
        <v>0</v>
      </c>
      <c r="AG699" s="50" t="n">
        <f aca="false">IF(BW699=1,0,ROUNDUP(AF699/BV699,0))</f>
        <v>0</v>
      </c>
      <c r="AH699" s="52" t="n">
        <f aca="false">IF(CL699&gt;0,CL699*MAX(1,AF699/X699),IF(BW699=1,IF(AF699&lt;=0,0,CA699*MAX(1,IF(H699&gt;0,AF699/H699,1))),IF(R699&gt;0,AG699/R699,0))/MAX(0.1,N(Parameter!$M$21)))</f>
        <v>0</v>
      </c>
      <c r="AI699" s="50" t="n">
        <f aca="false">AH699*BY699</f>
        <v>0</v>
      </c>
      <c r="AJ699" s="50" t="n">
        <f aca="false">AF699*G699</f>
        <v>0</v>
      </c>
      <c r="AK699" s="50" t="n">
        <f aca="false">ROUNDUP(MAX(J699/IF(CD699&gt;0,CD699,MAX(0.1,N(Cockpit!$C$6))),CG699)/BV699,0)*BV699</f>
        <v>1</v>
      </c>
      <c r="AL699" s="51" t="n">
        <f aca="false">IF(AI699&gt;0,J699/AI699,-1)</f>
        <v>-1</v>
      </c>
      <c r="AM699" s="51" t="str">
        <f aca="false">IF(AND(OR(CC699="L1",CC699="L23",CC699="LIFT"),AI699&gt;0),SUMIFS($AI$7:$AI$1843,$CC$7:$CC$1843,CC699,$AL$7:$AL$1843,"&gt;"&amp;AL699)+SUMIFS($AI$7:$AI$1843,$CC$7:$CC$1843,CC699,$AL$7:$AL$1843,AL699,$BT$7:$BT$1843,"&lt;="&amp;BT699),"")</f>
        <v/>
      </c>
      <c r="AN699" s="58" t="n">
        <f aca="false">IF(AM699="",0,MAX(0,MIN(1,(IF(CC699="L1",Parameter!$H$5,IF(CC699="L23",Parameter!$H$6+Parameter!$H$7,Parameter!$H$5+Parameter!$H$6+Parameter!$H$7))-(AM699-AI699))/AI699)))</f>
        <v>0</v>
      </c>
      <c r="AO699" s="50" t="n">
        <f aca="false">IF(LEFT(Cockpit!$I$5,1)="A",H699,IF(CE699=1,CF699,IF(LEFT(Cockpit!$I$5,1)="B",AT699,MAX(AT699,H699))))</f>
        <v>1</v>
      </c>
      <c r="AP699" s="50" t="n">
        <f aca="false">IF(BW699=1,0,ROUNDUP(AO699/BV699,0))</f>
        <v>0</v>
      </c>
      <c r="AQ699" s="52" t="n">
        <f aca="false">IF(CL699&gt;0,CL699*MAX(1,AO699/X699),IF(BW699=1,IF(AO699&lt;=0,0,CA699*MAX(1,IF(H699&gt;0,AO699/H699,1))),IF(R699&gt;0,AP699/R699,0))/MAX(0.1,N(Parameter!$M$21)))</f>
        <v>0.15</v>
      </c>
      <c r="AR699" s="50" t="n">
        <f aca="false">AQ699*BY699</f>
        <v>35.25</v>
      </c>
      <c r="AS699" s="50" t="n">
        <f aca="false">AO699*G699</f>
        <v>1635.8</v>
      </c>
      <c r="AT699" s="50" t="n">
        <f aca="false">ROUNDUP(MAX(J699/IF(CD699&gt;0,CD699,MAX(0.1,N(Cockpit!$I$6))),CG699)/BV699,0)*BV699</f>
        <v>1</v>
      </c>
      <c r="AU699" s="51" t="n">
        <f aca="false">IF(AR699&gt;0,J699/AR699,-1)</f>
        <v>0</v>
      </c>
      <c r="AV699" s="51" t="str">
        <f aca="false">IF(AND(OR(CC699="L1",CC699="L23",CC699="LIFT"),AR699&gt;0),SUMIFS($AR$7:$AR$1843,$CC$7:$CC$1843,CC699,$AU$7:$AU$1843,"&gt;"&amp;AU699)+SUMIFS($AR$7:$AR$1843,$CC$7:$CC$1843,CC699,$AU$7:$AU$1843,AU699,$BT$7:$BT$1843,"&lt;="&amp;BT699),"")</f>
        <v/>
      </c>
      <c r="AW699" s="58" t="n">
        <f aca="false">IF(AV699="",0,MAX(0,MIN(1,(IF(CC699="L1",Parameter!$H$5,IF(CC699="L23",Parameter!$H$6+Parameter!$H$7,Parameter!$H$5+Parameter!$H$6+Parameter!$H$7))-(AV699-AR699))/AR699)))</f>
        <v>0</v>
      </c>
      <c r="AX699" s="50" t="n">
        <f aca="false">IF(LEFT(Cockpit!$O$5,1)="A",H699,IF(CE699=1,CF699,IF(LEFT(Cockpit!$O$5,1)="B",BC699,MAX(BC699,H699))))</f>
        <v>1</v>
      </c>
      <c r="AY699" s="50" t="n">
        <f aca="false">IF(BW699=1,0,ROUNDUP(AX699/BV699,0))</f>
        <v>0</v>
      </c>
      <c r="AZ699" s="52" t="n">
        <f aca="false">IF(CL699&gt;0,CL699*MAX(1,AX699/X699),IF(BW699=1,IF(AX699&lt;=0,0,CA699*MAX(1,IF(H699&gt;0,AX699/H699,1))),IF(R699&gt;0,AY699/R699,0))/MAX(0.1,N(Parameter!$M$21)))</f>
        <v>0.15</v>
      </c>
      <c r="BA699" s="50" t="n">
        <f aca="false">AZ699*BY699</f>
        <v>35.25</v>
      </c>
      <c r="BB699" s="50" t="n">
        <f aca="false">AX699*G699</f>
        <v>1635.8</v>
      </c>
      <c r="BC699" s="50" t="n">
        <f aca="false">ROUNDUP(MAX(J699/IF(CD699&gt;0,CD699,MAX(0.1,N(Cockpit!$O$6))),CG699)/BV699,0)*BV699</f>
        <v>1</v>
      </c>
      <c r="BD699" s="51" t="n">
        <f aca="false">IF(BA699&gt;0,J699/BA699,-1)</f>
        <v>0</v>
      </c>
      <c r="BE699" s="51" t="str">
        <f aca="false">IF(AND(OR(CC699="L1",CC699="L23",CC699="LIFT"),BA699&gt;0),SUMIFS($BA$7:$BA$1843,$CC$7:$CC$1843,CC699,$BD$7:$BD$1843,"&gt;"&amp;BD699)+SUMIFS($BA$7:$BA$1843,$CC$7:$CC$1843,CC699,$BD$7:$BD$1843,BD699,$BT$7:$BT$1843,"&lt;="&amp;BT699),"")</f>
        <v/>
      </c>
      <c r="BF699" s="58" t="n">
        <f aca="false">IF(BE699="",0,MAX(0,MIN(1,(IF(CC699="L1",Parameter!$H$5,IF(CC699="L23",Parameter!$H$6+Parameter!$H$7,Parameter!$H$5+Parameter!$H$6+Parameter!$H$7))-(BE699-BA699))/BA699)))</f>
        <v>0</v>
      </c>
      <c r="BG699" s="48" t="str">
        <f aca="false">IF(AI699&lt;=0,"",IF(CC699="Aussen","Aussenlager",IF(CC699="-","Nicht im Lift",IF(AN699&gt;=1,"Lift",IF(AN699&lt;=0,"Aussenlager","teilweise")))))</f>
        <v/>
      </c>
      <c r="BH699" s="48" t="str">
        <f aca="false">IF(AR699&lt;=0,"",IF(CC699="Aussen","Aussenlager",IF(CC699="-","Nicht im Lift",IF(AW699&gt;=1,"Lift",IF(AW699&lt;=0,"Aussenlager","teilweise")))))</f>
        <v>Nicht im Lift</v>
      </c>
      <c r="BI699" s="48" t="str">
        <f aca="false">IF(BA699&lt;=0,"",IF(CC699="Aussen","Aussenlager",IF(CC699="-","Nicht im Lift",IF(BF699&gt;=1,"Lift",IF(BF699&lt;=0,"Aussenlager","teilweise")))))</f>
        <v>Nicht im Lift</v>
      </c>
      <c r="BJ699" s="48" t="str">
        <f aca="false">IF(A699="","",IF(BS699=1,"Neu; ","")&amp;IF(AND(BS699=0,BN699&lt;0),"negativer Bestand (Export "&amp;BN699&amp;"); ","")&amp;IF(J699&lt;=0,"Kein Verbrauch; ","")&amp;IF(CL699&gt;0,"Lift "&amp;W699&amp;" lt. Liftbericht (Fach "&amp;X699&amp;" Stk); ",IF(BX699=1,"Gebinde geschätzt ("&amp;T699&amp;"); ",IF(BW699=1,"Lose – Tablare geschätzt; ","")))&amp;IF(H699&gt;AT699,"Überbestand "&amp;ROUND(H699-AT699,0)&amp;" Stk / CHF "&amp;ROUND((H699-AT699)*G699,0)&amp;"; ","")&amp;IF(AND(CE699=1,CF699&lt;CG699),"MAX &lt; MB+LG; ","")&amp;IF(AND(CK699&gt;0,CJ699*10&gt;CK699),"zu hoch für Tablar; ","")&amp;IF(AND(BS699=0,OR(CE699=1,AA699&lt;&gt;"",U699&lt;&gt;"",V699&lt;&gt;"",AB699&lt;&gt;"")),"manuell übersteuert; ","")&amp;IF(AND(BW699=0,R699=0),"Gebinde unbekannt / Stellmass fehlt; ","")&amp;IF(AND(BW699=0,N(V699)&lt;=0,N(Q699)&lt;=0),"Menge pro Gebinde fehlt (Ist = 1 Gebinde); ","")&amp;BR699)</f>
        <v>Kein Verbrauch; Lose – Tablare geschätzt; </v>
      </c>
      <c r="BK699" s="48"/>
      <c r="BL699" s="48"/>
      <c r="BM699" s="55"/>
      <c r="BN699" s="50" t="n">
        <v>0</v>
      </c>
      <c r="BO699" s="50" t="n">
        <v>0</v>
      </c>
      <c r="BP699" s="49" t="n">
        <v>0</v>
      </c>
      <c r="BQ699" s="50" t="n">
        <v>0</v>
      </c>
      <c r="BR699" s="48"/>
      <c r="BS699" s="53" t="n">
        <v>0</v>
      </c>
      <c r="BT699" s="53" t="n">
        <v>699</v>
      </c>
      <c r="BU699" s="48" t="str">
        <f aca="false">IF(U699&lt;&gt;"",UPPER(TRIM(U699)),IF(BX699=1,UPPER(VLOOKUP(T699,Parameter!$I$27:$K$29,2,0)),IF(P699="","LOSE",P699)))</f>
        <v>LOSE</v>
      </c>
      <c r="BV699" s="50" t="n">
        <f aca="false">IF(BU699="LOSE",1,IF(N(V699)&gt;0,V699,IF(BX699=1,MAX(1,N(VLOOKUP(T699,Parameter!$I$27:$K$29,3,0)),H699,N(N699)),IF(N(Q699)&gt;0,Q699,MAX(1,H699)))))</f>
        <v>1</v>
      </c>
      <c r="BW699" s="53" t="n">
        <f aca="false">IF(BU699="LOSE",1,0)</f>
        <v>1</v>
      </c>
      <c r="BX699" s="53" t="n">
        <f aca="false">IF(AND(U699="",OR(P699="",P699="LOSE"),T699&lt;&gt;"",N(S699)&lt;=0,ISNUMBER(MATCH(T699,Parameter!$I$27:$I$29,0))),1,0)</f>
        <v>0</v>
      </c>
      <c r="BY699" s="53" t="n">
        <f aca="false">IF(CL699&gt;0,INDEX(Parameter!$H$5:$H$7,W699)/INDEX(Parameter!$E$5:$E$7,W699),IF(AND(BW699=0,N(IFERROR(VLOOKUP(BU699,'Gebinde-Kategorie'!$A$5:$N$45,14,0),0))&gt;0),VLOOKUP(BU699,'Gebinde-Kategorie'!$A$5:$N$45,14,0)*10+Parameter!$M$23,Parameter!$M$24))</f>
        <v>235</v>
      </c>
      <c r="BZ699" s="48" t="str">
        <f aca="false">IF(AND(Parameter!$B$19="Ja",E699&lt;&gt;"",ISNUMBER(MATCH(E699,Parameter!$I$35:$I$52,0))),VLOOKUP(E699,Parameter!$I$35:$J$52,2,0),IFERROR(VLOOKUP(D699,Parameter!$A$35:$C$64,2,0),"Nein"))</f>
        <v>Nein</v>
      </c>
      <c r="CA699" s="52" t="n">
        <f aca="false">IF(BW699=0,0,IF(N(S699)&gt;0,S699,IFERROR(VLOOKUP(D699,Parameter!$A$35:$C$64,3,0)+0,0)))</f>
        <v>0.15</v>
      </c>
      <c r="CB699" s="48" t="str">
        <f aca="false">IF(AA699&lt;&gt;"",AA699,Z699)</f>
        <v>-</v>
      </c>
      <c r="CC699" s="48" t="str">
        <f aca="false">IF(OR(CB699=1,CB699=2,CB699=3),IF(Parameter!$E$27="Ja","LIFT",IF(CB699=1,"L1","L23")),IF(CB699="Aussen","Aussen","-"))</f>
        <v>-</v>
      </c>
      <c r="CD699" s="59" t="n">
        <f aca="false">IF(N(AB699)&gt;0,AB699,0)</f>
        <v>0</v>
      </c>
      <c r="CE699" s="53" t="n">
        <f aca="false">IF(ISNUMBER(AE699),1,0)</f>
        <v>0</v>
      </c>
      <c r="CF699" s="50" t="n">
        <f aca="false">N(AE699)</f>
        <v>0</v>
      </c>
      <c r="CG699" s="50" t="n">
        <f aca="false">N(M699)+N(N699)</f>
        <v>1</v>
      </c>
      <c r="CH699" s="50" t="n">
        <f aca="false">ROUNDUP(H699/BV699,0)</f>
        <v>0</v>
      </c>
      <c r="CI699" s="50" t="n">
        <f aca="false">ROUNDUP(CF699/BV699,0)</f>
        <v>0</v>
      </c>
      <c r="CJ699" s="53" t="n">
        <f aca="false">IF(BW699=1,0,IFERROR(VLOOKUP(BU699,'Gebinde-Kategorie'!$A$5:$N$45,5,0)+0,0))</f>
        <v>0</v>
      </c>
      <c r="CK699" s="53" t="n">
        <f aca="false">IFERROR(IF(OR(CB699=1,CB699=2,CB699=3),N(INDEX(Parameter!$I$5:$I$7,CB699)),0),0)</f>
        <v>0</v>
      </c>
      <c r="CL699" s="52" t="n">
        <f aca="false">IF(AND(Parameter!$B$21="Ja",ISNUMBER(W699),N(X699)&gt;0),IFERROR(N(INDEX(Parameter!$L$5:$L$7,W699))*INDEX(Parameter!$E$5:$E$7,W699)*X699/SUMIFS($X$7:$X$1843,$W$7:$W$1843,W699),0),0)</f>
        <v>0</v>
      </c>
    </row>
    <row r="700" customFormat="false" ht="15" hidden="false" customHeight="false" outlineLevel="0" collapsed="false">
      <c r="A700" s="48" t="s">
        <v>1402</v>
      </c>
      <c r="B700" s="48" t="s">
        <v>1403</v>
      </c>
      <c r="C700" s="48" t="s">
        <v>168</v>
      </c>
      <c r="D700" s="48" t="s">
        <v>188</v>
      </c>
      <c r="E700" s="48"/>
      <c r="F700" s="48" t="s">
        <v>222</v>
      </c>
      <c r="G700" s="49" t="n">
        <v>956</v>
      </c>
      <c r="H700" s="50" t="n">
        <f aca="false">MAX(0,IF(AND(Parameter!$B$21="Ja",ISNUMBER(Y700)),Y700,IF(Parameter!$B$20="Jahresanfang 2025 + Export",BO700+BN700,BN700)))</f>
        <v>0</v>
      </c>
      <c r="I700" s="50" t="n">
        <f aca="false">H700*G700</f>
        <v>0</v>
      </c>
      <c r="J700" s="50" t="n">
        <f aca="false">BQ700*Parameter!$B$18</f>
        <v>1</v>
      </c>
      <c r="K700" s="51" t="n">
        <v>0</v>
      </c>
      <c r="L700" s="52" t="n">
        <v>0</v>
      </c>
      <c r="M700" s="50" t="n">
        <v>0</v>
      </c>
      <c r="N700" s="50" t="n">
        <v>1</v>
      </c>
      <c r="O700" s="53" t="n">
        <v>100</v>
      </c>
      <c r="P700" s="48" t="s">
        <v>172</v>
      </c>
      <c r="Q700" s="50"/>
      <c r="R700" s="53" t="n">
        <f aca="false">IF(BW700=1,0,IFERROR(VLOOKUP(BU700,'Gebinde-Kategorie'!$A$5:$N$45,13,0)+0,0))</f>
        <v>26</v>
      </c>
      <c r="S700" s="54"/>
      <c r="T700" s="55" t="s">
        <v>279</v>
      </c>
      <c r="U700" s="55"/>
      <c r="V700" s="55"/>
      <c r="W700" s="48"/>
      <c r="X700" s="50"/>
      <c r="Y700" s="50"/>
      <c r="Z700" s="48" t="n">
        <f aca="false">IF(A700="","",IF(AND(Parameter!$B$21="Ja",ISNUMBER(W700)),W700,IF(BZ700="2+3",IF(ISNUMBER(SEARCH("grosser Artikel",BR700)),2,IFERROR(VLOOKUP(BU700,Parameter!$F$35:$G$64,2,0),2)),IF(OR(BZ700="Nein",BZ700=""),"-",BZ700))))</f>
        <v>3</v>
      </c>
      <c r="AA700" s="55"/>
      <c r="AB700" s="56"/>
      <c r="AC700" s="50" t="n">
        <f aca="false">AT700</f>
        <v>20</v>
      </c>
      <c r="AD700" s="50" t="n">
        <f aca="false">MAX(AT700,H700)</f>
        <v>20</v>
      </c>
      <c r="AE700" s="57"/>
      <c r="AF700" s="50" t="n">
        <f aca="false">IF(LEFT(Cockpit!$C$5,1)="A",H700,IF(CE700=1,CF700,IF(LEFT(Cockpit!$C$5,1)="B",AK700,MAX(AK700,H700))))</f>
        <v>0</v>
      </c>
      <c r="AG700" s="50" t="n">
        <f aca="false">IF(BW700=1,0,ROUNDUP(AF700/BV700,0))</f>
        <v>0</v>
      </c>
      <c r="AH700" s="52" t="n">
        <f aca="false">IF(CL700&gt;0,CL700*MAX(1,AF700/X700),IF(BW700=1,IF(AF700&lt;=0,0,CA700*MAX(1,IF(H700&gt;0,AF700/H700,1))),IF(R700&gt;0,AG700/R700,0))/MAX(0.1,N(Parameter!$M$21)))</f>
        <v>0</v>
      </c>
      <c r="AI700" s="50" t="n">
        <f aca="false">AH700*BY700</f>
        <v>0</v>
      </c>
      <c r="AJ700" s="50" t="n">
        <f aca="false">AF700*G700</f>
        <v>0</v>
      </c>
      <c r="AK700" s="50" t="n">
        <f aca="false">ROUNDUP(MAX(J700/IF(CD700&gt;0,CD700,MAX(0.1,N(Cockpit!$C$6))),CG700)/BV700,0)*BV700</f>
        <v>20</v>
      </c>
      <c r="AL700" s="51" t="n">
        <f aca="false">IF(AI700&gt;0,J700/AI700,-1)</f>
        <v>-1</v>
      </c>
      <c r="AM700" s="51" t="str">
        <f aca="false">IF(AND(OR(CC700="L1",CC700="L23",CC700="LIFT"),AI700&gt;0),SUMIFS($AI$7:$AI$1843,$CC$7:$CC$1843,CC700,$AL$7:$AL$1843,"&gt;"&amp;AL700)+SUMIFS($AI$7:$AI$1843,$CC$7:$CC$1843,CC700,$AL$7:$AL$1843,AL700,$BT$7:$BT$1843,"&lt;="&amp;BT700),"")</f>
        <v/>
      </c>
      <c r="AN700" s="58" t="n">
        <f aca="false">IF(AM700="",0,MAX(0,MIN(1,(IF(CC700="L1",Parameter!$H$5,IF(CC700="L23",Parameter!$H$6+Parameter!$H$7,Parameter!$H$5+Parameter!$H$6+Parameter!$H$7))-(AM700-AI700))/AI700)))</f>
        <v>0</v>
      </c>
      <c r="AO700" s="50" t="n">
        <f aca="false">IF(LEFT(Cockpit!$I$5,1)="A",H700,IF(CE700=1,CF700,IF(LEFT(Cockpit!$I$5,1)="B",AT700,MAX(AT700,H700))))</f>
        <v>20</v>
      </c>
      <c r="AP700" s="50" t="n">
        <f aca="false">IF(BW700=1,0,ROUNDUP(AO700/BV700,0))</f>
        <v>1</v>
      </c>
      <c r="AQ700" s="52" t="n">
        <f aca="false">IF(CL700&gt;0,CL700*MAX(1,AO700/X700),IF(BW700=1,IF(AO700&lt;=0,0,CA700*MAX(1,IF(H700&gt;0,AO700/H700,1))),IF(R700&gt;0,AP700/R700,0))/MAX(0.1,N(Parameter!$M$21)))</f>
        <v>0.0384615384615385</v>
      </c>
      <c r="AR700" s="50" t="n">
        <f aca="false">AQ700*BY700</f>
        <v>5.96153846153846</v>
      </c>
      <c r="AS700" s="50" t="n">
        <f aca="false">AO700*G700</f>
        <v>19120</v>
      </c>
      <c r="AT700" s="50" t="n">
        <f aca="false">ROUNDUP(MAX(J700/IF(CD700&gt;0,CD700,MAX(0.1,N(Cockpit!$I$6))),CG700)/BV700,0)*BV700</f>
        <v>20</v>
      </c>
      <c r="AU700" s="51" t="n">
        <f aca="false">IF(AR700&gt;0,J700/AR700,-1)</f>
        <v>0.167741935483871</v>
      </c>
      <c r="AV700" s="51" t="n">
        <f aca="false">IF(AND(OR(CC700="L1",CC700="L23",CC700="LIFT"),AR700&gt;0),SUMIFS($AR$7:$AR$1843,$CC$7:$CC$1843,CC700,$AU$7:$AU$1843,"&gt;"&amp;AU700)+SUMIFS($AR$7:$AR$1843,$CC$7:$CC$1843,CC700,$AU$7:$AU$1843,AU700,$BT$7:$BT$1843,"&lt;="&amp;BT700),"")</f>
        <v>19284.6543040293</v>
      </c>
      <c r="AW700" s="58" t="n">
        <f aca="false">IF(AV700="",0,MAX(0,MIN(1,(IF(CC700="L1",Parameter!$H$5,IF(CC700="L23",Parameter!$H$6+Parameter!$H$7,Parameter!$H$5+Parameter!$H$6+Parameter!$H$7))-(AV700-AR700))/AR700)))</f>
        <v>1</v>
      </c>
      <c r="AX700" s="50" t="n">
        <f aca="false">IF(LEFT(Cockpit!$O$5,1)="A",H700,IF(CE700=1,CF700,IF(LEFT(Cockpit!$O$5,1)="B",BC700,MAX(BC700,H700))))</f>
        <v>20</v>
      </c>
      <c r="AY700" s="50" t="n">
        <f aca="false">IF(BW700=1,0,ROUNDUP(AX700/BV700,0))</f>
        <v>1</v>
      </c>
      <c r="AZ700" s="52" t="n">
        <f aca="false">IF(CL700&gt;0,CL700*MAX(1,AX700/X700),IF(BW700=1,IF(AX700&lt;=0,0,CA700*MAX(1,IF(H700&gt;0,AX700/H700,1))),IF(R700&gt;0,AY700/R700,0))/MAX(0.1,N(Parameter!$M$21)))</f>
        <v>0.0384615384615385</v>
      </c>
      <c r="BA700" s="50" t="n">
        <f aca="false">AZ700*BY700</f>
        <v>5.96153846153846</v>
      </c>
      <c r="BB700" s="50" t="n">
        <f aca="false">AX700*G700</f>
        <v>19120</v>
      </c>
      <c r="BC700" s="50" t="n">
        <f aca="false">ROUNDUP(MAX(J700/IF(CD700&gt;0,CD700,MAX(0.1,N(Cockpit!$O$6))),CG700)/BV700,0)*BV700</f>
        <v>20</v>
      </c>
      <c r="BD700" s="51" t="n">
        <f aca="false">IF(BA700&gt;0,J700/BA700,-1)</f>
        <v>0.167741935483871</v>
      </c>
      <c r="BE700" s="51" t="n">
        <f aca="false">IF(AND(OR(CC700="L1",CC700="L23",CC700="LIFT"),BA700&gt;0),SUMIFS($BA$7:$BA$1843,$CC$7:$CC$1843,CC700,$BD$7:$BD$1843,"&gt;"&amp;BD700)+SUMIFS($BA$7:$BA$1843,$CC$7:$CC$1843,CC700,$BD$7:$BD$1843,BD700,$BT$7:$BT$1843,"&lt;="&amp;BT700),"")</f>
        <v>17310.728021978</v>
      </c>
      <c r="BF700" s="58" t="n">
        <f aca="false">IF(BE700="",0,MAX(0,MIN(1,(IF(CC700="L1",Parameter!$H$5,IF(CC700="L23",Parameter!$H$6+Parameter!$H$7,Parameter!$H$5+Parameter!$H$6+Parameter!$H$7))-(BE700-BA700))/BA700)))</f>
        <v>1</v>
      </c>
      <c r="BG700" s="48" t="str">
        <f aca="false">IF(AI700&lt;=0,"",IF(CC700="Aussen","Aussenlager",IF(CC700="-","Nicht im Lift",IF(AN700&gt;=1,"Lift",IF(AN700&lt;=0,"Aussenlager","teilweise")))))</f>
        <v/>
      </c>
      <c r="BH700" s="48" t="str">
        <f aca="false">IF(AR700&lt;=0,"",IF(CC700="Aussen","Aussenlager",IF(CC700="-","Nicht im Lift",IF(AW700&gt;=1,"Lift",IF(AW700&lt;=0,"Aussenlager","teilweise")))))</f>
        <v>Lift</v>
      </c>
      <c r="BI700" s="48" t="str">
        <f aca="false">IF(BA700&lt;=0,"",IF(CC700="Aussen","Aussenlager",IF(CC700="-","Nicht im Lift",IF(BF700&gt;=1,"Lift",IF(BF700&lt;=0,"Aussenlager","teilweise")))))</f>
        <v>Lift</v>
      </c>
      <c r="BJ700" s="48" t="str">
        <f aca="false">IF(A700="","",IF(BS700=1,"Neu; ","")&amp;IF(AND(BS700=0,BN700&lt;0),"negativer Bestand (Export "&amp;BN700&amp;"); ","")&amp;IF(J700&lt;=0,"Kein Verbrauch; ","")&amp;IF(CL700&gt;0,"Lift "&amp;W700&amp;" lt. Liftbericht (Fach "&amp;X700&amp;" Stk); ",IF(BX700=1,"Gebinde geschätzt ("&amp;T700&amp;"); ",IF(BW700=1,"Lose – Tablare geschätzt; ","")))&amp;IF(H700&gt;AT700,"Überbestand "&amp;ROUND(H700-AT700,0)&amp;" Stk / CHF "&amp;ROUND((H700-AT700)*G700,0)&amp;"; ","")&amp;IF(AND(CE700=1,CF700&lt;CG700),"MAX &lt; MB+LG; ","")&amp;IF(AND(CK700&gt;0,CJ700*10&gt;CK700),"zu hoch für Tablar; ","")&amp;IF(AND(BS700=0,OR(CE700=1,AA700&lt;&gt;"",U700&lt;&gt;"",V700&lt;&gt;"",AB700&lt;&gt;"")),"manuell übersteuert; ","")&amp;IF(AND(BW700=0,R700=0),"Gebinde unbekannt / Stellmass fehlt; ","")&amp;IF(AND(BW700=0,N(V700)&lt;=0,N(Q700)&lt;=0),"Menge pro Gebinde fehlt (Ist = 1 Gebinde); ","")&amp;BR700)</f>
        <v>Gebinde geschätzt (Klein); Menge pro Gebinde fehlt (Ist = 1 Gebinde); </v>
      </c>
      <c r="BK700" s="48"/>
      <c r="BL700" s="48"/>
      <c r="BM700" s="55"/>
      <c r="BN700" s="50" t="n">
        <v>0</v>
      </c>
      <c r="BO700" s="50" t="n">
        <v>0</v>
      </c>
      <c r="BP700" s="49" t="n">
        <v>0</v>
      </c>
      <c r="BQ700" s="50" t="n">
        <v>1</v>
      </c>
      <c r="BR700" s="48"/>
      <c r="BS700" s="53" t="n">
        <v>0</v>
      </c>
      <c r="BT700" s="53" t="n">
        <v>700</v>
      </c>
      <c r="BU700" s="48" t="str">
        <f aca="false">IF(U700&lt;&gt;"",UPPER(TRIM(U700)),IF(BX700=1,UPPER(VLOOKUP(T700,Parameter!$I$27:$K$29,2,0)),IF(P700="","LOSE",P700)))</f>
        <v>S51</v>
      </c>
      <c r="BV700" s="50" t="n">
        <f aca="false">IF(BU700="LOSE",1,IF(N(V700)&gt;0,V700,IF(BX700=1,MAX(1,N(VLOOKUP(T700,Parameter!$I$27:$K$29,3,0)),H700,N(N700)),IF(N(Q700)&gt;0,Q700,MAX(1,H700)))))</f>
        <v>20</v>
      </c>
      <c r="BW700" s="53" t="n">
        <f aca="false">IF(BU700="LOSE",1,0)</f>
        <v>0</v>
      </c>
      <c r="BX700" s="53" t="n">
        <f aca="false">IF(AND(U700="",OR(P700="",P700="LOSE"),T700&lt;&gt;"",N(S700)&lt;=0,ISNUMBER(MATCH(T700,Parameter!$I$27:$I$29,0))),1,0)</f>
        <v>1</v>
      </c>
      <c r="BY700" s="53" t="n">
        <f aca="false">IF(CL700&gt;0,INDEX(Parameter!$H$5:$H$7,W700)/INDEX(Parameter!$E$5:$E$7,W700),IF(AND(BW700=0,N(IFERROR(VLOOKUP(BU700,'Gebinde-Kategorie'!$A$5:$N$45,14,0),0))&gt;0),VLOOKUP(BU700,'Gebinde-Kategorie'!$A$5:$N$45,14,0)*10+Parameter!$M$23,Parameter!$M$24))</f>
        <v>155</v>
      </c>
      <c r="BZ700" s="48" t="str">
        <f aca="false">IF(AND(Parameter!$B$19="Ja",E700&lt;&gt;"",ISNUMBER(MATCH(E700,Parameter!$I$35:$I$52,0))),VLOOKUP(E700,Parameter!$I$35:$J$52,2,0),IFERROR(VLOOKUP(D700,Parameter!$A$35:$C$64,2,0),"Nein"))</f>
        <v>2+3</v>
      </c>
      <c r="CA700" s="52" t="n">
        <f aca="false">IF(BW700=0,0,IF(N(S700)&gt;0,S700,IFERROR(VLOOKUP(D700,Parameter!$A$35:$C$64,3,0)+0,0)))</f>
        <v>0</v>
      </c>
      <c r="CB700" s="48" t="n">
        <f aca="false">IF(AA700&lt;&gt;"",AA700,Z700)</f>
        <v>3</v>
      </c>
      <c r="CC700" s="48" t="str">
        <f aca="false">IF(OR(CB700=1,CB700=2,CB700=3),IF(Parameter!$E$27="Ja","LIFT",IF(CB700=1,"L1","L23")),IF(CB700="Aussen","Aussen","-"))</f>
        <v>LIFT</v>
      </c>
      <c r="CD700" s="59" t="n">
        <f aca="false">IF(N(AB700)&gt;0,AB700,0)</f>
        <v>0</v>
      </c>
      <c r="CE700" s="53" t="n">
        <f aca="false">IF(ISNUMBER(AE700),1,0)</f>
        <v>0</v>
      </c>
      <c r="CF700" s="50" t="n">
        <f aca="false">N(AE700)</f>
        <v>0</v>
      </c>
      <c r="CG700" s="50" t="n">
        <f aca="false">N(M700)+N(N700)</f>
        <v>1</v>
      </c>
      <c r="CH700" s="50" t="n">
        <f aca="false">ROUNDUP(H700/BV700,0)</f>
        <v>0</v>
      </c>
      <c r="CI700" s="50" t="n">
        <f aca="false">ROUNDUP(CF700/BV700,0)</f>
        <v>0</v>
      </c>
      <c r="CJ700" s="53" t="n">
        <f aca="false">IF(BW700=1,0,IFERROR(VLOOKUP(BU700,'Gebinde-Kategorie'!$A$5:$N$45,5,0)+0,0))</f>
        <v>11</v>
      </c>
      <c r="CK700" s="53" t="n">
        <f aca="false">IFERROR(IF(OR(CB700=1,CB700=2,CB700=3),N(INDEX(Parameter!$I$5:$I$7,CB700)),0),0)</f>
        <v>0</v>
      </c>
      <c r="CL700" s="52" t="n">
        <f aca="false">IF(AND(Parameter!$B$21="Ja",ISNUMBER(W700),N(X700)&gt;0),IFERROR(N(INDEX(Parameter!$L$5:$L$7,W700))*INDEX(Parameter!$E$5:$E$7,W700)*X700/SUMIFS($X$7:$X$1843,$W$7:$W$1843,W700),0),0)</f>
        <v>0</v>
      </c>
    </row>
    <row r="701" customFormat="false" ht="15" hidden="false" customHeight="false" outlineLevel="0" collapsed="false">
      <c r="A701" s="48" t="s">
        <v>1404</v>
      </c>
      <c r="B701" s="48" t="s">
        <v>1405</v>
      </c>
      <c r="C701" s="48" t="s">
        <v>168</v>
      </c>
      <c r="D701" s="48" t="s">
        <v>177</v>
      </c>
      <c r="E701" s="48" t="s">
        <v>189</v>
      </c>
      <c r="F701" s="48" t="s">
        <v>222</v>
      </c>
      <c r="G701" s="49" t="n">
        <v>79.13</v>
      </c>
      <c r="H701" s="50" t="n">
        <f aca="false">MAX(0,IF(AND(Parameter!$B$21="Ja",ISNUMBER(Y701)),Y701,IF(Parameter!$B$20="Jahresanfang 2025 + Export",BO701+BN701,BN701)))</f>
        <v>13</v>
      </c>
      <c r="I701" s="50" t="n">
        <f aca="false">H701*G701</f>
        <v>1028.69</v>
      </c>
      <c r="J701" s="50" t="n">
        <f aca="false">BQ701*Parameter!$B$18</f>
        <v>1</v>
      </c>
      <c r="K701" s="51" t="n">
        <v>12.5</v>
      </c>
      <c r="L701" s="52" t="n">
        <v>0.08</v>
      </c>
      <c r="M701" s="50" t="n">
        <v>0</v>
      </c>
      <c r="N701" s="50" t="n">
        <v>1</v>
      </c>
      <c r="O701" s="53" t="n">
        <v>14</v>
      </c>
      <c r="P701" s="48" t="s">
        <v>178</v>
      </c>
      <c r="Q701" s="50" t="n">
        <v>4</v>
      </c>
      <c r="R701" s="53" t="n">
        <f aca="false">IF(BW701=1,0,IFERROR(VLOOKUP(BU701,'Gebinde-Kategorie'!$A$5:$N$45,13,0)+0,0))</f>
        <v>6</v>
      </c>
      <c r="S701" s="54"/>
      <c r="T701" s="55"/>
      <c r="U701" s="55"/>
      <c r="V701" s="55"/>
      <c r="W701" s="48"/>
      <c r="X701" s="50"/>
      <c r="Y701" s="50"/>
      <c r="Z701" s="48" t="n">
        <f aca="false">IF(A701="","",IF(AND(Parameter!$B$21="Ja",ISNUMBER(W701)),W701,IF(BZ701="2+3",IF(ISNUMBER(SEARCH("grosser Artikel",BR701)),2,IFERROR(VLOOKUP(BU701,Parameter!$F$35:$G$64,2,0),2)),IF(OR(BZ701="Nein",BZ701=""),"-",BZ701))))</f>
        <v>2</v>
      </c>
      <c r="AA701" s="55"/>
      <c r="AB701" s="56"/>
      <c r="AC701" s="50" t="n">
        <f aca="false">AT701</f>
        <v>4</v>
      </c>
      <c r="AD701" s="50" t="n">
        <f aca="false">MAX(AT701,H701)</f>
        <v>13</v>
      </c>
      <c r="AE701" s="57"/>
      <c r="AF701" s="50" t="n">
        <f aca="false">IF(LEFT(Cockpit!$C$5,1)="A",H701,IF(CE701=1,CF701,IF(LEFT(Cockpit!$C$5,1)="B",AK701,MAX(AK701,H701))))</f>
        <v>13</v>
      </c>
      <c r="AG701" s="50" t="n">
        <f aca="false">IF(BW701=1,0,ROUNDUP(AF701/BV701,0))</f>
        <v>4</v>
      </c>
      <c r="AH701" s="52" t="n">
        <f aca="false">IF(CL701&gt;0,CL701*MAX(1,AF701/X701),IF(BW701=1,IF(AF701&lt;=0,0,CA701*MAX(1,IF(H701&gt;0,AF701/H701,1))),IF(R701&gt;0,AG701/R701,0))/MAX(0.1,N(Parameter!$M$21)))</f>
        <v>0.666666666666667</v>
      </c>
      <c r="AI701" s="50" t="n">
        <f aca="false">AH701*BY701</f>
        <v>156.666666666667</v>
      </c>
      <c r="AJ701" s="50" t="n">
        <f aca="false">AF701*G701</f>
        <v>1028.69</v>
      </c>
      <c r="AK701" s="50" t="n">
        <f aca="false">ROUNDUP(MAX(J701/IF(CD701&gt;0,CD701,MAX(0.1,N(Cockpit!$C$6))),CG701)/BV701,0)*BV701</f>
        <v>4</v>
      </c>
      <c r="AL701" s="51" t="n">
        <f aca="false">IF(AI701&gt;0,J701/AI701,-1)</f>
        <v>0.00638297872340426</v>
      </c>
      <c r="AM701" s="51" t="n">
        <f aca="false">IF(AND(OR(CC701="L1",CC701="L23",CC701="LIFT"),AI701&gt;0),SUMIFS($AI$7:$AI$1843,$CC$7:$CC$1843,CC701,$AL$7:$AL$1843,"&gt;"&amp;AL701)+SUMIFS($AI$7:$AI$1843,$CC$7:$CC$1843,CC701,$AL$7:$AL$1843,AL701,$BT$7:$BT$1843,"&lt;="&amp;BT701),"")</f>
        <v>24568.3314319861</v>
      </c>
      <c r="AN701" s="58" t="n">
        <f aca="false">IF(AM701="",0,MAX(0,MIN(1,(IF(CC701="L1",Parameter!$H$5,IF(CC701="L23",Parameter!$H$6+Parameter!$H$7,Parameter!$H$5+Parameter!$H$6+Parameter!$H$7))-(AM701-AI701))/AI701)))</f>
        <v>1</v>
      </c>
      <c r="AO701" s="50" t="n">
        <f aca="false">IF(LEFT(Cockpit!$I$5,1)="A",H701,IF(CE701=1,CF701,IF(LEFT(Cockpit!$I$5,1)="B",AT701,MAX(AT701,H701))))</f>
        <v>13</v>
      </c>
      <c r="AP701" s="50" t="n">
        <f aca="false">IF(BW701=1,0,ROUNDUP(AO701/BV701,0))</f>
        <v>4</v>
      </c>
      <c r="AQ701" s="52" t="n">
        <f aca="false">IF(CL701&gt;0,CL701*MAX(1,AO701/X701),IF(BW701=1,IF(AO701&lt;=0,0,CA701*MAX(1,IF(H701&gt;0,AO701/H701,1))),IF(R701&gt;0,AP701/R701,0))/MAX(0.1,N(Parameter!$M$21)))</f>
        <v>0.666666666666667</v>
      </c>
      <c r="AR701" s="50" t="n">
        <f aca="false">AQ701*BY701</f>
        <v>156.666666666667</v>
      </c>
      <c r="AS701" s="50" t="n">
        <f aca="false">AO701*G701</f>
        <v>1028.69</v>
      </c>
      <c r="AT701" s="50" t="n">
        <f aca="false">ROUNDUP(MAX(J701/IF(CD701&gt;0,CD701,MAX(0.1,N(Cockpit!$I$6))),CG701)/BV701,0)*BV701</f>
        <v>4</v>
      </c>
      <c r="AU701" s="51" t="n">
        <f aca="false">IF(AR701&gt;0,J701/AR701,-1)</f>
        <v>0.00638297872340426</v>
      </c>
      <c r="AV701" s="51" t="n">
        <f aca="false">IF(AND(OR(CC701="L1",CC701="L23",CC701="LIFT"),AR701&gt;0),SUMIFS($AR$7:$AR$1843,$CC$7:$CC$1843,CC701,$AU$7:$AU$1843,"&gt;"&amp;AU701)+SUMIFS($AR$7:$AR$1843,$CC$7:$CC$1843,CC701,$AU$7:$AU$1843,AU701,$BT$7:$BT$1843,"&lt;="&amp;BT701),"")</f>
        <v>35813.8546517042</v>
      </c>
      <c r="AW701" s="58" t="n">
        <f aca="false">IF(AV701="",0,MAX(0,MIN(1,(IF(CC701="L1",Parameter!$H$5,IF(CC701="L23",Parameter!$H$6+Parameter!$H$7,Parameter!$H$5+Parameter!$H$6+Parameter!$H$7))-(AV701-AR701))/AR701)))</f>
        <v>0.273268180611303</v>
      </c>
      <c r="AX701" s="50" t="n">
        <f aca="false">IF(LEFT(Cockpit!$O$5,1)="A",H701,IF(CE701=1,CF701,IF(LEFT(Cockpit!$O$5,1)="B",BC701,MAX(BC701,H701))))</f>
        <v>13</v>
      </c>
      <c r="AY701" s="50" t="n">
        <f aca="false">IF(BW701=1,0,ROUNDUP(AX701/BV701,0))</f>
        <v>4</v>
      </c>
      <c r="AZ701" s="52" t="n">
        <f aca="false">IF(CL701&gt;0,CL701*MAX(1,AX701/X701),IF(BW701=1,IF(AX701&lt;=0,0,CA701*MAX(1,IF(H701&gt;0,AX701/H701,1))),IF(R701&gt;0,AY701/R701,0))/MAX(0.1,N(Parameter!$M$21)))</f>
        <v>0.666666666666667</v>
      </c>
      <c r="BA701" s="50" t="n">
        <f aca="false">AZ701*BY701</f>
        <v>156.666666666667</v>
      </c>
      <c r="BB701" s="50" t="n">
        <f aca="false">AX701*G701</f>
        <v>1028.69</v>
      </c>
      <c r="BC701" s="50" t="n">
        <f aca="false">ROUNDUP(MAX(J701/IF(CD701&gt;0,CD701,MAX(0.1,N(Cockpit!$O$6))),CG701)/BV701,0)*BV701</f>
        <v>4</v>
      </c>
      <c r="BD701" s="51" t="n">
        <f aca="false">IF(BA701&gt;0,J701/BA701,-1)</f>
        <v>0.00638297872340426</v>
      </c>
      <c r="BE701" s="51" t="n">
        <f aca="false">IF(AND(OR(CC701="L1",CC701="L23",CC701="LIFT"),BA701&gt;0),SUMIFS($BA$7:$BA$1843,$CC$7:$CC$1843,CC701,$BD$7:$BD$1843,"&gt;"&amp;BD701)+SUMIFS($BA$7:$BA$1843,$CC$7:$CC$1843,CC701,$BD$7:$BD$1843,BD701,$BT$7:$BT$1843,"&lt;="&amp;BT701),"")</f>
        <v>32488.8666935701</v>
      </c>
      <c r="BF701" s="58" t="n">
        <f aca="false">IF(BE701="",0,MAX(0,MIN(1,(IF(CC701="L1",Parameter!$H$5,IF(CC701="L23",Parameter!$H$6+Parameter!$H$7,Parameter!$H$5+Parameter!$H$6+Parameter!$H$7))-(BE701-BA701))/BA701)))</f>
        <v>1</v>
      </c>
      <c r="BG701" s="48" t="str">
        <f aca="false">IF(AI701&lt;=0,"",IF(CC701="Aussen","Aussenlager",IF(CC701="-","Nicht im Lift",IF(AN701&gt;=1,"Lift",IF(AN701&lt;=0,"Aussenlager","teilweise")))))</f>
        <v>Lift</v>
      </c>
      <c r="BH701" s="48" t="str">
        <f aca="false">IF(AR701&lt;=0,"",IF(CC701="Aussen","Aussenlager",IF(CC701="-","Nicht im Lift",IF(AW701&gt;=1,"Lift",IF(AW701&lt;=0,"Aussenlager","teilweise")))))</f>
        <v>teilweise</v>
      </c>
      <c r="BI701" s="48" t="str">
        <f aca="false">IF(BA701&lt;=0,"",IF(CC701="Aussen","Aussenlager",IF(CC701="-","Nicht im Lift",IF(BF701&gt;=1,"Lift",IF(BF701&lt;=0,"Aussenlager","teilweise")))))</f>
        <v>Lift</v>
      </c>
      <c r="BJ701" s="48" t="str">
        <f aca="false">IF(A701="","",IF(BS701=1,"Neu; ","")&amp;IF(AND(BS701=0,BN701&lt;0),"negativer Bestand (Export "&amp;BN701&amp;"); ","")&amp;IF(J701&lt;=0,"Kein Verbrauch; ","")&amp;IF(CL701&gt;0,"Lift "&amp;W701&amp;" lt. Liftbericht (Fach "&amp;X701&amp;" Stk); ",IF(BX701=1,"Gebinde geschätzt ("&amp;T701&amp;"); ",IF(BW701=1,"Lose – Tablare geschätzt; ","")))&amp;IF(H701&gt;AT701,"Überbestand "&amp;ROUND(H701-AT701,0)&amp;" Stk / CHF "&amp;ROUND((H701-AT701)*G701,0)&amp;"; ","")&amp;IF(AND(CE701=1,CF701&lt;CG701),"MAX &lt; MB+LG; ","")&amp;IF(AND(CK701&gt;0,CJ701*10&gt;CK701),"zu hoch für Tablar; ","")&amp;IF(AND(BS701=0,OR(CE701=1,AA701&lt;&gt;"",U701&lt;&gt;"",V701&lt;&gt;"",AB701&lt;&gt;"")),"manuell übersteuert; ","")&amp;IF(AND(BW701=0,R701=0),"Gebinde unbekannt / Stellmass fehlt; ","")&amp;IF(AND(BW701=0,N(V701)&lt;=0,N(Q701)&lt;=0),"Menge pro Gebinde fehlt (Ist = 1 Gebinde); ","")&amp;BR701)</f>
        <v>Überbestand 9 Stk / CHF 712; grosser Artikel &amp; nicht im KTL</v>
      </c>
      <c r="BK701" s="48"/>
      <c r="BL701" s="48"/>
      <c r="BM701" s="55"/>
      <c r="BN701" s="50" t="n">
        <v>0</v>
      </c>
      <c r="BO701" s="50" t="n">
        <v>13</v>
      </c>
      <c r="BP701" s="49" t="n">
        <v>0</v>
      </c>
      <c r="BQ701" s="50" t="n">
        <v>1</v>
      </c>
      <c r="BR701" s="48" t="s">
        <v>265</v>
      </c>
      <c r="BS701" s="53" t="n">
        <v>0</v>
      </c>
      <c r="BT701" s="53" t="n">
        <v>701</v>
      </c>
      <c r="BU701" s="48" t="str">
        <f aca="false">IF(U701&lt;&gt;"",UPPER(TRIM(U701)),IF(BX701=1,UPPER(VLOOKUP(T701,Parameter!$I$27:$K$29,2,0)),IF(P701="","LOSE",P701)))</f>
        <v>S71</v>
      </c>
      <c r="BV701" s="50" t="n">
        <f aca="false">IF(BU701="LOSE",1,IF(N(V701)&gt;0,V701,IF(BX701=1,MAX(1,N(VLOOKUP(T701,Parameter!$I$27:$K$29,3,0)),H701,N(N701)),IF(N(Q701)&gt;0,Q701,MAX(1,H701)))))</f>
        <v>4</v>
      </c>
      <c r="BW701" s="53" t="n">
        <f aca="false">IF(BU701="LOSE",1,0)</f>
        <v>0</v>
      </c>
      <c r="BX701" s="53" t="n">
        <f aca="false">IF(AND(U701="",OR(P701="",P701="LOSE"),T701&lt;&gt;"",N(S701)&lt;=0,ISNUMBER(MATCH(T701,Parameter!$I$27:$I$29,0))),1,0)</f>
        <v>0</v>
      </c>
      <c r="BY701" s="53" t="n">
        <f aca="false">IF(CL701&gt;0,INDEX(Parameter!$H$5:$H$7,W701)/INDEX(Parameter!$E$5:$E$7,W701),IF(AND(BW701=0,N(IFERROR(VLOOKUP(BU701,'Gebinde-Kategorie'!$A$5:$N$45,14,0),0))&gt;0),VLOOKUP(BU701,'Gebinde-Kategorie'!$A$5:$N$45,14,0)*10+Parameter!$M$23,Parameter!$M$24))</f>
        <v>235</v>
      </c>
      <c r="BZ701" s="48" t="str">
        <f aca="false">IF(AND(Parameter!$B$19="Ja",E701&lt;&gt;"",ISNUMBER(MATCH(E701,Parameter!$I$35:$I$52,0))),VLOOKUP(E701,Parameter!$I$35:$J$52,2,0),IFERROR(VLOOKUP(D701,Parameter!$A$35:$C$64,2,0),"Nein"))</f>
        <v>2+3</v>
      </c>
      <c r="CA701" s="52" t="n">
        <f aca="false">IF(BW701=0,0,IF(N(S701)&gt;0,S701,IFERROR(VLOOKUP(D701,Parameter!$A$35:$C$64,3,0)+0,0)))</f>
        <v>0</v>
      </c>
      <c r="CB701" s="48" t="n">
        <f aca="false">IF(AA701&lt;&gt;"",AA701,Z701)</f>
        <v>2</v>
      </c>
      <c r="CC701" s="48" t="str">
        <f aca="false">IF(OR(CB701=1,CB701=2,CB701=3),IF(Parameter!$E$27="Ja","LIFT",IF(CB701=1,"L1","L23")),IF(CB701="Aussen","Aussen","-"))</f>
        <v>LIFT</v>
      </c>
      <c r="CD701" s="59" t="n">
        <f aca="false">IF(N(AB701)&gt;0,AB701,0)</f>
        <v>0</v>
      </c>
      <c r="CE701" s="53" t="n">
        <f aca="false">IF(ISNUMBER(AE701),1,0)</f>
        <v>0</v>
      </c>
      <c r="CF701" s="50" t="n">
        <f aca="false">N(AE701)</f>
        <v>0</v>
      </c>
      <c r="CG701" s="50" t="n">
        <f aca="false">N(M701)+N(N701)</f>
        <v>1</v>
      </c>
      <c r="CH701" s="50" t="n">
        <f aca="false">ROUNDUP(H701/BV701,0)</f>
        <v>4</v>
      </c>
      <c r="CI701" s="50" t="n">
        <f aca="false">ROUNDUP(CF701/BV701,0)</f>
        <v>0</v>
      </c>
      <c r="CJ701" s="53" t="n">
        <f aca="false">IF(BW701=1,0,IFERROR(VLOOKUP(BU701,'Gebinde-Kategorie'!$A$5:$N$45,5,0)+0,0))</f>
        <v>20</v>
      </c>
      <c r="CK701" s="53" t="n">
        <f aca="false">IFERROR(IF(OR(CB701=1,CB701=2,CB701=3),N(INDEX(Parameter!$I$5:$I$7,CB701)),0),0)</f>
        <v>0</v>
      </c>
      <c r="CL701" s="52" t="n">
        <f aca="false">IF(AND(Parameter!$B$21="Ja",ISNUMBER(W701),N(X701)&gt;0),IFERROR(N(INDEX(Parameter!$L$5:$L$7,W701))*INDEX(Parameter!$E$5:$E$7,W701)*X701/SUMIFS($X$7:$X$1843,$W$7:$W$1843,W701),0),0)</f>
        <v>0</v>
      </c>
    </row>
    <row r="702" customFormat="false" ht="15" hidden="false" customHeight="false" outlineLevel="0" collapsed="false">
      <c r="A702" s="48" t="s">
        <v>1406</v>
      </c>
      <c r="B702" s="48" t="s">
        <v>1407</v>
      </c>
      <c r="C702" s="48" t="s">
        <v>168</v>
      </c>
      <c r="D702" s="48" t="s">
        <v>188</v>
      </c>
      <c r="E702" s="48"/>
      <c r="F702" s="48" t="s">
        <v>222</v>
      </c>
      <c r="G702" s="49" t="n">
        <v>293</v>
      </c>
      <c r="H702" s="50" t="n">
        <f aca="false">MAX(0,IF(AND(Parameter!$B$21="Ja",ISNUMBER(Y702)),Y702,IF(Parameter!$B$20="Jahresanfang 2025 + Export",BO702+BN702,BN702)))</f>
        <v>0</v>
      </c>
      <c r="I702" s="50" t="n">
        <f aca="false">H702*G702</f>
        <v>0</v>
      </c>
      <c r="J702" s="50" t="n">
        <f aca="false">BQ702*Parameter!$B$18</f>
        <v>3</v>
      </c>
      <c r="K702" s="51" t="n">
        <v>0</v>
      </c>
      <c r="L702" s="52" t="n">
        <v>0</v>
      </c>
      <c r="M702" s="50" t="n">
        <v>0</v>
      </c>
      <c r="N702" s="50" t="n">
        <v>5</v>
      </c>
      <c r="O702" s="53" t="n">
        <v>112</v>
      </c>
      <c r="P702" s="48" t="s">
        <v>172</v>
      </c>
      <c r="Q702" s="50"/>
      <c r="R702" s="53" t="n">
        <f aca="false">IF(BW702=1,0,IFERROR(VLOOKUP(BU702,'Gebinde-Kategorie'!$A$5:$N$45,13,0)+0,0))</f>
        <v>26</v>
      </c>
      <c r="S702" s="54"/>
      <c r="T702" s="55" t="s">
        <v>279</v>
      </c>
      <c r="U702" s="55"/>
      <c r="V702" s="55"/>
      <c r="W702" s="48"/>
      <c r="X702" s="50"/>
      <c r="Y702" s="50"/>
      <c r="Z702" s="48" t="n">
        <f aca="false">IF(A702="","",IF(AND(Parameter!$B$21="Ja",ISNUMBER(W702)),W702,IF(BZ702="2+3",IF(ISNUMBER(SEARCH("grosser Artikel",BR702)),2,IFERROR(VLOOKUP(BU702,Parameter!$F$35:$G$64,2,0),2)),IF(OR(BZ702="Nein",BZ702=""),"-",BZ702))))</f>
        <v>3</v>
      </c>
      <c r="AA702" s="55"/>
      <c r="AB702" s="56"/>
      <c r="AC702" s="50" t="n">
        <f aca="false">AT702</f>
        <v>20</v>
      </c>
      <c r="AD702" s="50" t="n">
        <f aca="false">MAX(AT702,H702)</f>
        <v>20</v>
      </c>
      <c r="AE702" s="57"/>
      <c r="AF702" s="50" t="n">
        <f aca="false">IF(LEFT(Cockpit!$C$5,1)="A",H702,IF(CE702=1,CF702,IF(LEFT(Cockpit!$C$5,1)="B",AK702,MAX(AK702,H702))))</f>
        <v>0</v>
      </c>
      <c r="AG702" s="50" t="n">
        <f aca="false">IF(BW702=1,0,ROUNDUP(AF702/BV702,0))</f>
        <v>0</v>
      </c>
      <c r="AH702" s="52" t="n">
        <f aca="false">IF(CL702&gt;0,CL702*MAX(1,AF702/X702),IF(BW702=1,IF(AF702&lt;=0,0,CA702*MAX(1,IF(H702&gt;0,AF702/H702,1))),IF(R702&gt;0,AG702/R702,0))/MAX(0.1,N(Parameter!$M$21)))</f>
        <v>0</v>
      </c>
      <c r="AI702" s="50" t="n">
        <f aca="false">AH702*BY702</f>
        <v>0</v>
      </c>
      <c r="AJ702" s="50" t="n">
        <f aca="false">AF702*G702</f>
        <v>0</v>
      </c>
      <c r="AK702" s="50" t="n">
        <f aca="false">ROUNDUP(MAX(J702/IF(CD702&gt;0,CD702,MAX(0.1,N(Cockpit!$C$6))),CG702)/BV702,0)*BV702</f>
        <v>20</v>
      </c>
      <c r="AL702" s="51" t="n">
        <f aca="false">IF(AI702&gt;0,J702/AI702,-1)</f>
        <v>-1</v>
      </c>
      <c r="AM702" s="51" t="str">
        <f aca="false">IF(AND(OR(CC702="L1",CC702="L23",CC702="LIFT"),AI702&gt;0),SUMIFS($AI$7:$AI$1843,$CC$7:$CC$1843,CC702,$AL$7:$AL$1843,"&gt;"&amp;AL702)+SUMIFS($AI$7:$AI$1843,$CC$7:$CC$1843,CC702,$AL$7:$AL$1843,AL702,$BT$7:$BT$1843,"&lt;="&amp;BT702),"")</f>
        <v/>
      </c>
      <c r="AN702" s="58" t="n">
        <f aca="false">IF(AM702="",0,MAX(0,MIN(1,(IF(CC702="L1",Parameter!$H$5,IF(CC702="L23",Parameter!$H$6+Parameter!$H$7,Parameter!$H$5+Parameter!$H$6+Parameter!$H$7))-(AM702-AI702))/AI702)))</f>
        <v>0</v>
      </c>
      <c r="AO702" s="50" t="n">
        <f aca="false">IF(LEFT(Cockpit!$I$5,1)="A",H702,IF(CE702=1,CF702,IF(LEFT(Cockpit!$I$5,1)="B",AT702,MAX(AT702,H702))))</f>
        <v>20</v>
      </c>
      <c r="AP702" s="50" t="n">
        <f aca="false">IF(BW702=1,0,ROUNDUP(AO702/BV702,0))</f>
        <v>1</v>
      </c>
      <c r="AQ702" s="52" t="n">
        <f aca="false">IF(CL702&gt;0,CL702*MAX(1,AO702/X702),IF(BW702=1,IF(AO702&lt;=0,0,CA702*MAX(1,IF(H702&gt;0,AO702/H702,1))),IF(R702&gt;0,AP702/R702,0))/MAX(0.1,N(Parameter!$M$21)))</f>
        <v>0.0384615384615385</v>
      </c>
      <c r="AR702" s="50" t="n">
        <f aca="false">AQ702*BY702</f>
        <v>5.96153846153846</v>
      </c>
      <c r="AS702" s="50" t="n">
        <f aca="false">AO702*G702</f>
        <v>5860</v>
      </c>
      <c r="AT702" s="50" t="n">
        <f aca="false">ROUNDUP(MAX(J702/IF(CD702&gt;0,CD702,MAX(0.1,N(Cockpit!$I$6))),CG702)/BV702,0)*BV702</f>
        <v>20</v>
      </c>
      <c r="AU702" s="51" t="n">
        <f aca="false">IF(AR702&gt;0,J702/AR702,-1)</f>
        <v>0.503225806451613</v>
      </c>
      <c r="AV702" s="51" t="n">
        <f aca="false">IF(AND(OR(CC702="L1",CC702="L23",CC702="LIFT"),AR702&gt;0),SUMIFS($AR$7:$AR$1843,$CC$7:$CC$1843,CC702,$AU$7:$AU$1843,"&gt;"&amp;AU702)+SUMIFS($AR$7:$AR$1843,$CC$7:$CC$1843,CC702,$AU$7:$AU$1843,AU702,$BT$7:$BT$1843,"&lt;="&amp;BT702),"")</f>
        <v>14012.2889194139</v>
      </c>
      <c r="AW702" s="58" t="n">
        <f aca="false">IF(AV702="",0,MAX(0,MIN(1,(IF(CC702="L1",Parameter!$H$5,IF(CC702="L23",Parameter!$H$6+Parameter!$H$7,Parameter!$H$5+Parameter!$H$6+Parameter!$H$7))-(AV702-AR702))/AR702)))</f>
        <v>1</v>
      </c>
      <c r="AX702" s="50" t="n">
        <f aca="false">IF(LEFT(Cockpit!$O$5,1)="A",H702,IF(CE702=1,CF702,IF(LEFT(Cockpit!$O$5,1)="B",BC702,MAX(BC702,H702))))</f>
        <v>20</v>
      </c>
      <c r="AY702" s="50" t="n">
        <f aca="false">IF(BW702=1,0,ROUNDUP(AX702/BV702,0))</f>
        <v>1</v>
      </c>
      <c r="AZ702" s="52" t="n">
        <f aca="false">IF(CL702&gt;0,CL702*MAX(1,AX702/X702),IF(BW702=1,IF(AX702&lt;=0,0,CA702*MAX(1,IF(H702&gt;0,AX702/H702,1))),IF(R702&gt;0,AY702/R702,0))/MAX(0.1,N(Parameter!$M$21)))</f>
        <v>0.0384615384615385</v>
      </c>
      <c r="BA702" s="50" t="n">
        <f aca="false">AZ702*BY702</f>
        <v>5.96153846153846</v>
      </c>
      <c r="BB702" s="50" t="n">
        <f aca="false">AX702*G702</f>
        <v>5860</v>
      </c>
      <c r="BC702" s="50" t="n">
        <f aca="false">ROUNDUP(MAX(J702/IF(CD702&gt;0,CD702,MAX(0.1,N(Cockpit!$O$6))),CG702)/BV702,0)*BV702</f>
        <v>20</v>
      </c>
      <c r="BD702" s="51" t="n">
        <f aca="false">IF(BA702&gt;0,J702/BA702,-1)</f>
        <v>0.503225806451613</v>
      </c>
      <c r="BE702" s="51" t="n">
        <f aca="false">IF(AND(OR(CC702="L1",CC702="L23",CC702="LIFT"),BA702&gt;0),SUMIFS($BA$7:$BA$1843,$CC$7:$CC$1843,CC702,$BD$7:$BD$1843,"&gt;"&amp;BD702)+SUMIFS($BA$7:$BA$1843,$CC$7:$CC$1843,CC702,$BD$7:$BD$1843,BD702,$BT$7:$BT$1843,"&lt;="&amp;BT702),"")</f>
        <v>13007.945970696</v>
      </c>
      <c r="BF702" s="58" t="n">
        <f aca="false">IF(BE702="",0,MAX(0,MIN(1,(IF(CC702="L1",Parameter!$H$5,IF(CC702="L23",Parameter!$H$6+Parameter!$H$7,Parameter!$H$5+Parameter!$H$6+Parameter!$H$7))-(BE702-BA702))/BA702)))</f>
        <v>1</v>
      </c>
      <c r="BG702" s="48" t="str">
        <f aca="false">IF(AI702&lt;=0,"",IF(CC702="Aussen","Aussenlager",IF(CC702="-","Nicht im Lift",IF(AN702&gt;=1,"Lift",IF(AN702&lt;=0,"Aussenlager","teilweise")))))</f>
        <v/>
      </c>
      <c r="BH702" s="48" t="str">
        <f aca="false">IF(AR702&lt;=0,"",IF(CC702="Aussen","Aussenlager",IF(CC702="-","Nicht im Lift",IF(AW702&gt;=1,"Lift",IF(AW702&lt;=0,"Aussenlager","teilweise")))))</f>
        <v>Lift</v>
      </c>
      <c r="BI702" s="48" t="str">
        <f aca="false">IF(BA702&lt;=0,"",IF(CC702="Aussen","Aussenlager",IF(CC702="-","Nicht im Lift",IF(BF702&gt;=1,"Lift",IF(BF702&lt;=0,"Aussenlager","teilweise")))))</f>
        <v>Lift</v>
      </c>
      <c r="BJ702" s="48" t="str">
        <f aca="false">IF(A702="","",IF(BS702=1,"Neu; ","")&amp;IF(AND(BS702=0,BN702&lt;0),"negativer Bestand (Export "&amp;BN702&amp;"); ","")&amp;IF(J702&lt;=0,"Kein Verbrauch; ","")&amp;IF(CL702&gt;0,"Lift "&amp;W702&amp;" lt. Liftbericht (Fach "&amp;X702&amp;" Stk); ",IF(BX702=1,"Gebinde geschätzt ("&amp;T702&amp;"); ",IF(BW702=1,"Lose – Tablare geschätzt; ","")))&amp;IF(H702&gt;AT702,"Überbestand "&amp;ROUND(H702-AT702,0)&amp;" Stk / CHF "&amp;ROUND((H702-AT702)*G702,0)&amp;"; ","")&amp;IF(AND(CE702=1,CF702&lt;CG702),"MAX &lt; MB+LG; ","")&amp;IF(AND(CK702&gt;0,CJ702*10&gt;CK702),"zu hoch für Tablar; ","")&amp;IF(AND(BS702=0,OR(CE702=1,AA702&lt;&gt;"",U702&lt;&gt;"",V702&lt;&gt;"",AB702&lt;&gt;"")),"manuell übersteuert; ","")&amp;IF(AND(BW702=0,R702=0),"Gebinde unbekannt / Stellmass fehlt; ","")&amp;IF(AND(BW702=0,N(V702)&lt;=0,N(Q702)&lt;=0),"Menge pro Gebinde fehlt (Ist = 1 Gebinde); ","")&amp;BR702)</f>
        <v>Gebinde geschätzt (Klein); Menge pro Gebinde fehlt (Ist = 1 Gebinde); </v>
      </c>
      <c r="BK702" s="48"/>
      <c r="BL702" s="48"/>
      <c r="BM702" s="55"/>
      <c r="BN702" s="50" t="n">
        <v>0</v>
      </c>
      <c r="BO702" s="50" t="n">
        <v>0</v>
      </c>
      <c r="BP702" s="49" t="n">
        <v>0</v>
      </c>
      <c r="BQ702" s="50" t="n">
        <v>3</v>
      </c>
      <c r="BR702" s="48"/>
      <c r="BS702" s="53" t="n">
        <v>0</v>
      </c>
      <c r="BT702" s="53" t="n">
        <v>702</v>
      </c>
      <c r="BU702" s="48" t="str">
        <f aca="false">IF(U702&lt;&gt;"",UPPER(TRIM(U702)),IF(BX702=1,UPPER(VLOOKUP(T702,Parameter!$I$27:$K$29,2,0)),IF(P702="","LOSE",P702)))</f>
        <v>S51</v>
      </c>
      <c r="BV702" s="50" t="n">
        <f aca="false">IF(BU702="LOSE",1,IF(N(V702)&gt;0,V702,IF(BX702=1,MAX(1,N(VLOOKUP(T702,Parameter!$I$27:$K$29,3,0)),H702,N(N702)),IF(N(Q702)&gt;0,Q702,MAX(1,H702)))))</f>
        <v>20</v>
      </c>
      <c r="BW702" s="53" t="n">
        <f aca="false">IF(BU702="LOSE",1,0)</f>
        <v>0</v>
      </c>
      <c r="BX702" s="53" t="n">
        <f aca="false">IF(AND(U702="",OR(P702="",P702="LOSE"),T702&lt;&gt;"",N(S702)&lt;=0,ISNUMBER(MATCH(T702,Parameter!$I$27:$I$29,0))),1,0)</f>
        <v>1</v>
      </c>
      <c r="BY702" s="53" t="n">
        <f aca="false">IF(CL702&gt;0,INDEX(Parameter!$H$5:$H$7,W702)/INDEX(Parameter!$E$5:$E$7,W702),IF(AND(BW702=0,N(IFERROR(VLOOKUP(BU702,'Gebinde-Kategorie'!$A$5:$N$45,14,0),0))&gt;0),VLOOKUP(BU702,'Gebinde-Kategorie'!$A$5:$N$45,14,0)*10+Parameter!$M$23,Parameter!$M$24))</f>
        <v>155</v>
      </c>
      <c r="BZ702" s="48" t="str">
        <f aca="false">IF(AND(Parameter!$B$19="Ja",E702&lt;&gt;"",ISNUMBER(MATCH(E702,Parameter!$I$35:$I$52,0))),VLOOKUP(E702,Parameter!$I$35:$J$52,2,0),IFERROR(VLOOKUP(D702,Parameter!$A$35:$C$64,2,0),"Nein"))</f>
        <v>2+3</v>
      </c>
      <c r="CA702" s="52" t="n">
        <f aca="false">IF(BW702=0,0,IF(N(S702)&gt;0,S702,IFERROR(VLOOKUP(D702,Parameter!$A$35:$C$64,3,0)+0,0)))</f>
        <v>0</v>
      </c>
      <c r="CB702" s="48" t="n">
        <f aca="false">IF(AA702&lt;&gt;"",AA702,Z702)</f>
        <v>3</v>
      </c>
      <c r="CC702" s="48" t="str">
        <f aca="false">IF(OR(CB702=1,CB702=2,CB702=3),IF(Parameter!$E$27="Ja","LIFT",IF(CB702=1,"L1","L23")),IF(CB702="Aussen","Aussen","-"))</f>
        <v>LIFT</v>
      </c>
      <c r="CD702" s="59" t="n">
        <f aca="false">IF(N(AB702)&gt;0,AB702,0)</f>
        <v>0</v>
      </c>
      <c r="CE702" s="53" t="n">
        <f aca="false">IF(ISNUMBER(AE702),1,0)</f>
        <v>0</v>
      </c>
      <c r="CF702" s="50" t="n">
        <f aca="false">N(AE702)</f>
        <v>0</v>
      </c>
      <c r="CG702" s="50" t="n">
        <f aca="false">N(M702)+N(N702)</f>
        <v>5</v>
      </c>
      <c r="CH702" s="50" t="n">
        <f aca="false">ROUNDUP(H702/BV702,0)</f>
        <v>0</v>
      </c>
      <c r="CI702" s="50" t="n">
        <f aca="false">ROUNDUP(CF702/BV702,0)</f>
        <v>0</v>
      </c>
      <c r="CJ702" s="53" t="n">
        <f aca="false">IF(BW702=1,0,IFERROR(VLOOKUP(BU702,'Gebinde-Kategorie'!$A$5:$N$45,5,0)+0,0))</f>
        <v>11</v>
      </c>
      <c r="CK702" s="53" t="n">
        <f aca="false">IFERROR(IF(OR(CB702=1,CB702=2,CB702=3),N(INDEX(Parameter!$I$5:$I$7,CB702)),0),0)</f>
        <v>0</v>
      </c>
      <c r="CL702" s="52" t="n">
        <f aca="false">IF(AND(Parameter!$B$21="Ja",ISNUMBER(W702),N(X702)&gt;0),IFERROR(N(INDEX(Parameter!$L$5:$L$7,W702))*INDEX(Parameter!$E$5:$E$7,W702)*X702/SUMIFS($X$7:$X$1843,$W$7:$W$1843,W702),0),0)</f>
        <v>0</v>
      </c>
    </row>
    <row r="703" customFormat="false" ht="15" hidden="false" customHeight="false" outlineLevel="0" collapsed="false">
      <c r="A703" s="48" t="s">
        <v>1408</v>
      </c>
      <c r="B703" s="48" t="s">
        <v>548</v>
      </c>
      <c r="C703" s="48" t="s">
        <v>168</v>
      </c>
      <c r="D703" s="48" t="s">
        <v>999</v>
      </c>
      <c r="E703" s="48" t="s">
        <v>189</v>
      </c>
      <c r="F703" s="48" t="s">
        <v>222</v>
      </c>
      <c r="G703" s="49" t="n">
        <v>27.2</v>
      </c>
      <c r="H703" s="50" t="n">
        <f aca="false">MAX(0,IF(AND(Parameter!$B$21="Ja",ISNUMBER(Y703)),Y703,IF(Parameter!$B$20="Jahresanfang 2025 + Export",BO703+BN703,BN703)))</f>
        <v>14</v>
      </c>
      <c r="I703" s="50" t="n">
        <f aca="false">H703*G703</f>
        <v>380.8</v>
      </c>
      <c r="J703" s="50" t="n">
        <f aca="false">BQ703*Parameter!$B$18</f>
        <v>0</v>
      </c>
      <c r="K703" s="51" t="n">
        <v>17</v>
      </c>
      <c r="L703" s="52" t="n">
        <v>0</v>
      </c>
      <c r="M703" s="50" t="n">
        <v>0</v>
      </c>
      <c r="N703" s="50" t="n">
        <v>1</v>
      </c>
      <c r="O703" s="53" t="n">
        <v>21</v>
      </c>
      <c r="P703" s="48" t="s">
        <v>172</v>
      </c>
      <c r="Q703" s="50"/>
      <c r="R703" s="53" t="n">
        <f aca="false">IF(BW703=1,0,IFERROR(VLOOKUP(BU703,'Gebinde-Kategorie'!$A$5:$N$45,13,0)+0,0))</f>
        <v>12</v>
      </c>
      <c r="S703" s="54"/>
      <c r="T703" s="55" t="s">
        <v>183</v>
      </c>
      <c r="U703" s="55"/>
      <c r="V703" s="55"/>
      <c r="W703" s="48"/>
      <c r="X703" s="50"/>
      <c r="Y703" s="50"/>
      <c r="Z703" s="48" t="n">
        <f aca="false">IF(A703="","",IF(AND(Parameter!$B$21="Ja",ISNUMBER(W703)),W703,IF(BZ703="2+3",IF(ISNUMBER(SEARCH("grosser Artikel",BR703)),2,IFERROR(VLOOKUP(BU703,Parameter!$F$35:$G$64,2,0),2)),IF(OR(BZ703="Nein",BZ703=""),"-",BZ703))))</f>
        <v>2</v>
      </c>
      <c r="AA703" s="55"/>
      <c r="AB703" s="56"/>
      <c r="AC703" s="50" t="n">
        <f aca="false">AT703</f>
        <v>14</v>
      </c>
      <c r="AD703" s="50" t="n">
        <f aca="false">MAX(AT703,H703)</f>
        <v>14</v>
      </c>
      <c r="AE703" s="57"/>
      <c r="AF703" s="50" t="n">
        <f aca="false">IF(LEFT(Cockpit!$C$5,1)="A",H703,IF(CE703=1,CF703,IF(LEFT(Cockpit!$C$5,1)="B",AK703,MAX(AK703,H703))))</f>
        <v>14</v>
      </c>
      <c r="AG703" s="50" t="n">
        <f aca="false">IF(BW703=1,0,ROUNDUP(AF703/BV703,0))</f>
        <v>1</v>
      </c>
      <c r="AH703" s="52" t="n">
        <f aca="false">IF(CL703&gt;0,CL703*MAX(1,AF703/X703),IF(BW703=1,IF(AF703&lt;=0,0,CA703*MAX(1,IF(H703&gt;0,AF703/H703,1))),IF(R703&gt;0,AG703/R703,0))/MAX(0.1,N(Parameter!$M$21)))</f>
        <v>0.0833333333333333</v>
      </c>
      <c r="AI703" s="50" t="n">
        <f aca="false">AH703*BY703</f>
        <v>12.0833333333333</v>
      </c>
      <c r="AJ703" s="50" t="n">
        <f aca="false">AF703*G703</f>
        <v>380.8</v>
      </c>
      <c r="AK703" s="50" t="n">
        <f aca="false">ROUNDUP(MAX(J703/IF(CD703&gt;0,CD703,MAX(0.1,N(Cockpit!$C$6))),CG703)/BV703,0)*BV703</f>
        <v>14</v>
      </c>
      <c r="AL703" s="51" t="n">
        <f aca="false">IF(AI703&gt;0,J703/AI703,-1)</f>
        <v>0</v>
      </c>
      <c r="AM703" s="51" t="n">
        <f aca="false">IF(AND(OR(CC703="L1",CC703="L23",CC703="LIFT"),AI703&gt;0),SUMIFS($AI$7:$AI$1843,$CC$7:$CC$1843,CC703,$AL$7:$AL$1843,"&gt;"&amp;AL703)+SUMIFS($AI$7:$AI$1843,$CC$7:$CC$1843,CC703,$AL$7:$AL$1843,AL703,$BT$7:$BT$1843,"&lt;="&amp;BT703),"")</f>
        <v>28631.1393622855</v>
      </c>
      <c r="AN703" s="58" t="n">
        <f aca="false">IF(AM703="",0,MAX(0,MIN(1,(IF(CC703="L1",Parameter!$H$5,IF(CC703="L23",Parameter!$H$6+Parameter!$H$7,Parameter!$H$5+Parameter!$H$6+Parameter!$H$7))-(AM703-AI703))/AI703)))</f>
        <v>1</v>
      </c>
      <c r="AO703" s="50" t="n">
        <f aca="false">IF(LEFT(Cockpit!$I$5,1)="A",H703,IF(CE703=1,CF703,IF(LEFT(Cockpit!$I$5,1)="B",AT703,MAX(AT703,H703))))</f>
        <v>14</v>
      </c>
      <c r="AP703" s="50" t="n">
        <f aca="false">IF(BW703=1,0,ROUNDUP(AO703/BV703,0))</f>
        <v>1</v>
      </c>
      <c r="AQ703" s="52" t="n">
        <f aca="false">IF(CL703&gt;0,CL703*MAX(1,AO703/X703),IF(BW703=1,IF(AO703&lt;=0,0,CA703*MAX(1,IF(H703&gt;0,AO703/H703,1))),IF(R703&gt;0,AP703/R703,0))/MAX(0.1,N(Parameter!$M$21)))</f>
        <v>0.0833333333333333</v>
      </c>
      <c r="AR703" s="50" t="n">
        <f aca="false">AQ703*BY703</f>
        <v>12.0833333333333</v>
      </c>
      <c r="AS703" s="50" t="n">
        <f aca="false">AO703*G703</f>
        <v>380.8</v>
      </c>
      <c r="AT703" s="50" t="n">
        <f aca="false">ROUNDUP(MAX(J703/IF(CD703&gt;0,CD703,MAX(0.1,N(Cockpit!$I$6))),CG703)/BV703,0)*BV703</f>
        <v>14</v>
      </c>
      <c r="AU703" s="51" t="n">
        <f aca="false">IF(AR703&gt;0,J703/AR703,-1)</f>
        <v>0</v>
      </c>
      <c r="AV703" s="51" t="n">
        <f aca="false">IF(AND(OR(CC703="L1",CC703="L23",CC703="LIFT"),AR703&gt;0),SUMIFS($AR$7:$AR$1843,$CC$7:$CC$1843,CC703,$AU$7:$AU$1843,"&gt;"&amp;AU703)+SUMIFS($AR$7:$AR$1843,$CC$7:$CC$1843,CC703,$AU$7:$AU$1843,AU703,$BT$7:$BT$1843,"&lt;="&amp;BT703),"")</f>
        <v>40018.4766561123</v>
      </c>
      <c r="AW703" s="58" t="n">
        <f aca="false">IF(AV703="",0,MAX(0,MIN(1,(IF(CC703="L1",Parameter!$H$5,IF(CC703="L23",Parameter!$H$6+Parameter!$H$7,Parameter!$H$5+Parameter!$H$6+Parameter!$H$7))-(AV703-AR703))/AR703)))</f>
        <v>0</v>
      </c>
      <c r="AX703" s="50" t="n">
        <f aca="false">IF(LEFT(Cockpit!$O$5,1)="A",H703,IF(CE703=1,CF703,IF(LEFT(Cockpit!$O$5,1)="B",BC703,MAX(BC703,H703))))</f>
        <v>14</v>
      </c>
      <c r="AY703" s="50" t="n">
        <f aca="false">IF(BW703=1,0,ROUNDUP(AX703/BV703,0))</f>
        <v>1</v>
      </c>
      <c r="AZ703" s="52" t="n">
        <f aca="false">IF(CL703&gt;0,CL703*MAX(1,AX703/X703),IF(BW703=1,IF(AX703&lt;=0,0,CA703*MAX(1,IF(H703&gt;0,AX703/H703,1))),IF(R703&gt;0,AY703/R703,0))/MAX(0.1,N(Parameter!$M$21)))</f>
        <v>0.0833333333333333</v>
      </c>
      <c r="BA703" s="50" t="n">
        <f aca="false">AZ703*BY703</f>
        <v>12.0833333333333</v>
      </c>
      <c r="BB703" s="50" t="n">
        <f aca="false">AX703*G703</f>
        <v>380.8</v>
      </c>
      <c r="BC703" s="50" t="n">
        <f aca="false">ROUNDUP(MAX(J703/IF(CD703&gt;0,CD703,MAX(0.1,N(Cockpit!$O$6))),CG703)/BV703,0)*BV703</f>
        <v>14</v>
      </c>
      <c r="BD703" s="51" t="n">
        <f aca="false">IF(BA703&gt;0,J703/BA703,-1)</f>
        <v>0</v>
      </c>
      <c r="BE703" s="51" t="n">
        <f aca="false">IF(AND(OR(CC703="L1",CC703="L23",CC703="LIFT"),BA703&gt;0),SUMIFS($BA$7:$BA$1843,$CC$7:$CC$1843,CC703,$BD$7:$BD$1843,"&gt;"&amp;BD703)+SUMIFS($BA$7:$BA$1843,$CC$7:$CC$1843,CC703,$BD$7:$BD$1843,BD703,$BT$7:$BT$1843,"&lt;="&amp;BT703),"")</f>
        <v>36693.4886979781</v>
      </c>
      <c r="BF703" s="58" t="n">
        <f aca="false">IF(BE703="",0,MAX(0,MIN(1,(IF(CC703="L1",Parameter!$H$5,IF(CC703="L23",Parameter!$H$6+Parameter!$H$7,Parameter!$H$5+Parameter!$H$6+Parameter!$H$7))-(BE703-BA703))/BA703)))</f>
        <v>0</v>
      </c>
      <c r="BG703" s="48" t="str">
        <f aca="false">IF(AI703&lt;=0,"",IF(CC703="Aussen","Aussenlager",IF(CC703="-","Nicht im Lift",IF(AN703&gt;=1,"Lift",IF(AN703&lt;=0,"Aussenlager","teilweise")))))</f>
        <v>Lift</v>
      </c>
      <c r="BH703" s="48" t="str">
        <f aca="false">IF(AR703&lt;=0,"",IF(CC703="Aussen","Aussenlager",IF(CC703="-","Nicht im Lift",IF(AW703&gt;=1,"Lift",IF(AW703&lt;=0,"Aussenlager","teilweise")))))</f>
        <v>Aussenlager</v>
      </c>
      <c r="BI703" s="48" t="str">
        <f aca="false">IF(BA703&lt;=0,"",IF(CC703="Aussen","Aussenlager",IF(CC703="-","Nicht im Lift",IF(BF703&gt;=1,"Lift",IF(BF703&lt;=0,"Aussenlager","teilweise")))))</f>
        <v>Aussenlager</v>
      </c>
      <c r="BJ703" s="48" t="str">
        <f aca="false">IF(A703="","",IF(BS703=1,"Neu; ","")&amp;IF(AND(BS703=0,BN703&lt;0),"negativer Bestand (Export "&amp;BN703&amp;"); ","")&amp;IF(J703&lt;=0,"Kein Verbrauch; ","")&amp;IF(CL703&gt;0,"Lift "&amp;W703&amp;" lt. Liftbericht (Fach "&amp;X703&amp;" Stk); ",IF(BX703=1,"Gebinde geschätzt ("&amp;T703&amp;"); ",IF(BW703=1,"Lose – Tablare geschätzt; ","")))&amp;IF(H703&gt;AT703,"Überbestand "&amp;ROUND(H703-AT703,0)&amp;" Stk / CHF "&amp;ROUND((H703-AT703)*G703,0)&amp;"; ","")&amp;IF(AND(CE703=1,CF703&lt;CG703),"MAX &lt; MB+LG; ","")&amp;IF(AND(CK703&gt;0,CJ703*10&gt;CK703),"zu hoch für Tablar; ","")&amp;IF(AND(BS703=0,OR(CE703=1,AA703&lt;&gt;"",U703&lt;&gt;"",V703&lt;&gt;"",AB703&lt;&gt;"")),"manuell übersteuert; ","")&amp;IF(AND(BW703=0,R703=0),"Gebinde unbekannt / Stellmass fehlt; ","")&amp;IF(AND(BW703=0,N(V703)&lt;=0,N(Q703)&lt;=0),"Menge pro Gebinde fehlt (Ist = 1 Gebinde); ","")&amp;BR703)</f>
        <v>Kein Verbrauch; Gebinde geschätzt (Mittel); Menge pro Gebinde fehlt (Ist = 1 Gebinde); Neu; gehört nicht ins KTL</v>
      </c>
      <c r="BK703" s="48"/>
      <c r="BL703" s="48"/>
      <c r="BM703" s="55"/>
      <c r="BN703" s="50" t="n">
        <v>0</v>
      </c>
      <c r="BO703" s="50" t="n">
        <v>14</v>
      </c>
      <c r="BP703" s="49" t="n">
        <v>0</v>
      </c>
      <c r="BQ703" s="50" t="n">
        <v>0</v>
      </c>
      <c r="BR703" s="48" t="s">
        <v>1409</v>
      </c>
      <c r="BS703" s="53" t="n">
        <v>0</v>
      </c>
      <c r="BT703" s="53" t="n">
        <v>703</v>
      </c>
      <c r="BU703" s="48" t="str">
        <f aca="false">IF(U703&lt;&gt;"",UPPER(TRIM(U703)),IF(BX703=1,UPPER(VLOOKUP(T703,Parameter!$I$27:$K$29,2,0)),IF(P703="","LOSE",P703)))</f>
        <v>S61</v>
      </c>
      <c r="BV703" s="50" t="n">
        <f aca="false">IF(BU703="LOSE",1,IF(N(V703)&gt;0,V703,IF(BX703=1,MAX(1,N(VLOOKUP(T703,Parameter!$I$27:$K$29,3,0)),H703,N(N703)),IF(N(Q703)&gt;0,Q703,MAX(1,H703)))))</f>
        <v>14</v>
      </c>
      <c r="BW703" s="53" t="n">
        <f aca="false">IF(BU703="LOSE",1,0)</f>
        <v>0</v>
      </c>
      <c r="BX703" s="53" t="n">
        <f aca="false">IF(AND(U703="",OR(P703="",P703="LOSE"),T703&lt;&gt;"",N(S703)&lt;=0,ISNUMBER(MATCH(T703,Parameter!$I$27:$I$29,0))),1,0)</f>
        <v>1</v>
      </c>
      <c r="BY703" s="53" t="n">
        <f aca="false">IF(CL703&gt;0,INDEX(Parameter!$H$5:$H$7,W703)/INDEX(Parameter!$E$5:$E$7,W703),IF(AND(BW703=0,N(IFERROR(VLOOKUP(BU703,'Gebinde-Kategorie'!$A$5:$N$45,14,0),0))&gt;0),VLOOKUP(BU703,'Gebinde-Kategorie'!$A$5:$N$45,14,0)*10+Parameter!$M$23,Parameter!$M$24))</f>
        <v>145</v>
      </c>
      <c r="BZ703" s="48" t="str">
        <f aca="false">IF(AND(Parameter!$B$19="Ja",E703&lt;&gt;"",ISNUMBER(MATCH(E703,Parameter!$I$35:$I$52,0))),VLOOKUP(E703,Parameter!$I$35:$J$52,2,0),IFERROR(VLOOKUP(D703,Parameter!$A$35:$C$64,2,0),"Nein"))</f>
        <v>2+3</v>
      </c>
      <c r="CA703" s="52" t="n">
        <f aca="false">IF(BW703=0,0,IF(N(S703)&gt;0,S703,IFERROR(VLOOKUP(D703,Parameter!$A$35:$C$64,3,0)+0,0)))</f>
        <v>0</v>
      </c>
      <c r="CB703" s="48" t="n">
        <f aca="false">IF(AA703&lt;&gt;"",AA703,Z703)</f>
        <v>2</v>
      </c>
      <c r="CC703" s="48" t="str">
        <f aca="false">IF(OR(CB703=1,CB703=2,CB703=3),IF(Parameter!$E$27="Ja","LIFT",IF(CB703=1,"L1","L23")),IF(CB703="Aussen","Aussen","-"))</f>
        <v>LIFT</v>
      </c>
      <c r="CD703" s="59" t="n">
        <f aca="false">IF(N(AB703)&gt;0,AB703,0)</f>
        <v>0</v>
      </c>
      <c r="CE703" s="53" t="n">
        <f aca="false">IF(ISNUMBER(AE703),1,0)</f>
        <v>0</v>
      </c>
      <c r="CF703" s="50" t="n">
        <f aca="false">N(AE703)</f>
        <v>0</v>
      </c>
      <c r="CG703" s="50" t="n">
        <f aca="false">N(M703)+N(N703)</f>
        <v>1</v>
      </c>
      <c r="CH703" s="50" t="n">
        <f aca="false">ROUNDUP(H703/BV703,0)</f>
        <v>1</v>
      </c>
      <c r="CI703" s="50" t="n">
        <f aca="false">ROUNDUP(CF703/BV703,0)</f>
        <v>0</v>
      </c>
      <c r="CJ703" s="53" t="n">
        <f aca="false">IF(BW703=1,0,IFERROR(VLOOKUP(BU703,'Gebinde-Kategorie'!$A$5:$N$45,5,0)+0,0))</f>
        <v>11</v>
      </c>
      <c r="CK703" s="53" t="n">
        <f aca="false">IFERROR(IF(OR(CB703=1,CB703=2,CB703=3),N(INDEX(Parameter!$I$5:$I$7,CB703)),0),0)</f>
        <v>0</v>
      </c>
      <c r="CL703" s="52" t="n">
        <f aca="false">IF(AND(Parameter!$B$21="Ja",ISNUMBER(W703),N(X703)&gt;0),IFERROR(N(INDEX(Parameter!$L$5:$L$7,W703))*INDEX(Parameter!$E$5:$E$7,W703)*X703/SUMIFS($X$7:$X$1843,$W$7:$W$1843,W703),0),0)</f>
        <v>0</v>
      </c>
    </row>
    <row r="704" customFormat="false" ht="15" hidden="false" customHeight="false" outlineLevel="0" collapsed="false">
      <c r="A704" s="48" t="s">
        <v>1410</v>
      </c>
      <c r="B704" s="48" t="s">
        <v>1411</v>
      </c>
      <c r="C704" s="48" t="s">
        <v>168</v>
      </c>
      <c r="D704" s="48" t="s">
        <v>177</v>
      </c>
      <c r="E704" s="48" t="s">
        <v>1412</v>
      </c>
      <c r="F704" s="48" t="s">
        <v>222</v>
      </c>
      <c r="G704" s="49" t="n">
        <v>629.85</v>
      </c>
      <c r="H704" s="50" t="n">
        <f aca="false">MAX(0,IF(AND(Parameter!$B$21="Ja",ISNUMBER(Y704)),Y704,IF(Parameter!$B$20="Jahresanfang 2025 + Export",BO704+BN704,BN704)))</f>
        <v>0</v>
      </c>
      <c r="I704" s="50" t="n">
        <f aca="false">H704*G704</f>
        <v>0</v>
      </c>
      <c r="J704" s="50" t="n">
        <f aca="false">BQ704*Parameter!$B$18</f>
        <v>0</v>
      </c>
      <c r="K704" s="51" t="n">
        <v>0</v>
      </c>
      <c r="L704" s="52" t="n">
        <v>0</v>
      </c>
      <c r="M704" s="50" t="n">
        <v>0</v>
      </c>
      <c r="N704" s="50" t="n">
        <v>1</v>
      </c>
      <c r="O704" s="53" t="n">
        <v>14</v>
      </c>
      <c r="P704" s="48" t="s">
        <v>172</v>
      </c>
      <c r="Q704" s="50"/>
      <c r="R704" s="53" t="n">
        <f aca="false">IF(BW704=1,0,IFERROR(VLOOKUP(BU704,'Gebinde-Kategorie'!$A$5:$N$45,13,0)+0,0))</f>
        <v>4</v>
      </c>
      <c r="S704" s="54"/>
      <c r="T704" s="55" t="s">
        <v>193</v>
      </c>
      <c r="U704" s="55"/>
      <c r="V704" s="55"/>
      <c r="W704" s="48"/>
      <c r="X704" s="50"/>
      <c r="Y704" s="50"/>
      <c r="Z704" s="48" t="str">
        <f aca="false">IF(A704="","",IF(AND(Parameter!$B$21="Ja",ISNUMBER(W704)),W704,IF(BZ704="2+3",IF(ISNUMBER(SEARCH("grosser Artikel",BR704)),2,IFERROR(VLOOKUP(BU704,Parameter!$F$35:$G$64,2,0),2)),IF(OR(BZ704="Nein",BZ704=""),"-",BZ704))))</f>
        <v>-</v>
      </c>
      <c r="AA704" s="55"/>
      <c r="AB704" s="56"/>
      <c r="AC704" s="50" t="n">
        <f aca="false">AT704</f>
        <v>2</v>
      </c>
      <c r="AD704" s="50" t="n">
        <f aca="false">MAX(AT704,H704)</f>
        <v>2</v>
      </c>
      <c r="AE704" s="57"/>
      <c r="AF704" s="50" t="n">
        <f aca="false">IF(LEFT(Cockpit!$C$5,1)="A",H704,IF(CE704=1,CF704,IF(LEFT(Cockpit!$C$5,1)="B",AK704,MAX(AK704,H704))))</f>
        <v>0</v>
      </c>
      <c r="AG704" s="50" t="n">
        <f aca="false">IF(BW704=1,0,ROUNDUP(AF704/BV704,0))</f>
        <v>0</v>
      </c>
      <c r="AH704" s="52" t="n">
        <f aca="false">IF(CL704&gt;0,CL704*MAX(1,AF704/X704),IF(BW704=1,IF(AF704&lt;=0,0,CA704*MAX(1,IF(H704&gt;0,AF704/H704,1))),IF(R704&gt;0,AG704/R704,0))/MAX(0.1,N(Parameter!$M$21)))</f>
        <v>0</v>
      </c>
      <c r="AI704" s="50" t="n">
        <f aca="false">AH704*BY704</f>
        <v>0</v>
      </c>
      <c r="AJ704" s="50" t="n">
        <f aca="false">AF704*G704</f>
        <v>0</v>
      </c>
      <c r="AK704" s="50" t="n">
        <f aca="false">ROUNDUP(MAX(J704/IF(CD704&gt;0,CD704,MAX(0.1,N(Cockpit!$C$6))),CG704)/BV704,0)*BV704</f>
        <v>2</v>
      </c>
      <c r="AL704" s="51" t="n">
        <f aca="false">IF(AI704&gt;0,J704/AI704,-1)</f>
        <v>-1</v>
      </c>
      <c r="AM704" s="51" t="str">
        <f aca="false">IF(AND(OR(CC704="L1",CC704="L23",CC704="LIFT"),AI704&gt;0),SUMIFS($AI$7:$AI$1843,$CC$7:$CC$1843,CC704,$AL$7:$AL$1843,"&gt;"&amp;AL704)+SUMIFS($AI$7:$AI$1843,$CC$7:$CC$1843,CC704,$AL$7:$AL$1843,AL704,$BT$7:$BT$1843,"&lt;="&amp;BT704),"")</f>
        <v/>
      </c>
      <c r="AN704" s="58" t="n">
        <f aca="false">IF(AM704="",0,MAX(0,MIN(1,(IF(CC704="L1",Parameter!$H$5,IF(CC704="L23",Parameter!$H$6+Parameter!$H$7,Parameter!$H$5+Parameter!$H$6+Parameter!$H$7))-(AM704-AI704))/AI704)))</f>
        <v>0</v>
      </c>
      <c r="AO704" s="50" t="n">
        <f aca="false">IF(LEFT(Cockpit!$I$5,1)="A",H704,IF(CE704=1,CF704,IF(LEFT(Cockpit!$I$5,1)="B",AT704,MAX(AT704,H704))))</f>
        <v>2</v>
      </c>
      <c r="AP704" s="50" t="n">
        <f aca="false">IF(BW704=1,0,ROUNDUP(AO704/BV704,0))</f>
        <v>1</v>
      </c>
      <c r="AQ704" s="52" t="n">
        <f aca="false">IF(CL704&gt;0,CL704*MAX(1,AO704/X704),IF(BW704=1,IF(AO704&lt;=0,0,CA704*MAX(1,IF(H704&gt;0,AO704/H704,1))),IF(R704&gt;0,AP704/R704,0))/MAX(0.1,N(Parameter!$M$21)))</f>
        <v>0.25</v>
      </c>
      <c r="AR704" s="50" t="n">
        <f aca="false">AQ704*BY704</f>
        <v>58.75</v>
      </c>
      <c r="AS704" s="50" t="n">
        <f aca="false">AO704*G704</f>
        <v>1259.7</v>
      </c>
      <c r="AT704" s="50" t="n">
        <f aca="false">ROUNDUP(MAX(J704/IF(CD704&gt;0,CD704,MAX(0.1,N(Cockpit!$I$6))),CG704)/BV704,0)*BV704</f>
        <v>2</v>
      </c>
      <c r="AU704" s="51" t="n">
        <f aca="false">IF(AR704&gt;0,J704/AR704,-1)</f>
        <v>0</v>
      </c>
      <c r="AV704" s="51" t="str">
        <f aca="false">IF(AND(OR(CC704="L1",CC704="L23",CC704="LIFT"),AR704&gt;0),SUMIFS($AR$7:$AR$1843,$CC$7:$CC$1843,CC704,$AU$7:$AU$1843,"&gt;"&amp;AU704)+SUMIFS($AR$7:$AR$1843,$CC$7:$CC$1843,CC704,$AU$7:$AU$1843,AU704,$BT$7:$BT$1843,"&lt;="&amp;BT704),"")</f>
        <v/>
      </c>
      <c r="AW704" s="58" t="n">
        <f aca="false">IF(AV704="",0,MAX(0,MIN(1,(IF(CC704="L1",Parameter!$H$5,IF(CC704="L23",Parameter!$H$6+Parameter!$H$7,Parameter!$H$5+Parameter!$H$6+Parameter!$H$7))-(AV704-AR704))/AR704)))</f>
        <v>0</v>
      </c>
      <c r="AX704" s="50" t="n">
        <f aca="false">IF(LEFT(Cockpit!$O$5,1)="A",H704,IF(CE704=1,CF704,IF(LEFT(Cockpit!$O$5,1)="B",BC704,MAX(BC704,H704))))</f>
        <v>2</v>
      </c>
      <c r="AY704" s="50" t="n">
        <f aca="false">IF(BW704=1,0,ROUNDUP(AX704/BV704,0))</f>
        <v>1</v>
      </c>
      <c r="AZ704" s="52" t="n">
        <f aca="false">IF(CL704&gt;0,CL704*MAX(1,AX704/X704),IF(BW704=1,IF(AX704&lt;=0,0,CA704*MAX(1,IF(H704&gt;0,AX704/H704,1))),IF(R704&gt;0,AY704/R704,0))/MAX(0.1,N(Parameter!$M$21)))</f>
        <v>0.25</v>
      </c>
      <c r="BA704" s="50" t="n">
        <f aca="false">AZ704*BY704</f>
        <v>58.75</v>
      </c>
      <c r="BB704" s="50" t="n">
        <f aca="false">AX704*G704</f>
        <v>1259.7</v>
      </c>
      <c r="BC704" s="50" t="n">
        <f aca="false">ROUNDUP(MAX(J704/IF(CD704&gt;0,CD704,MAX(0.1,N(Cockpit!$O$6))),CG704)/BV704,0)*BV704</f>
        <v>2</v>
      </c>
      <c r="BD704" s="51" t="n">
        <f aca="false">IF(BA704&gt;0,J704/BA704,-1)</f>
        <v>0</v>
      </c>
      <c r="BE704" s="51" t="str">
        <f aca="false">IF(AND(OR(CC704="L1",CC704="L23",CC704="LIFT"),BA704&gt;0),SUMIFS($BA$7:$BA$1843,$CC$7:$CC$1843,CC704,$BD$7:$BD$1843,"&gt;"&amp;BD704)+SUMIFS($BA$7:$BA$1843,$CC$7:$CC$1843,CC704,$BD$7:$BD$1843,BD704,$BT$7:$BT$1843,"&lt;="&amp;BT704),"")</f>
        <v/>
      </c>
      <c r="BF704" s="58" t="n">
        <f aca="false">IF(BE704="",0,MAX(0,MIN(1,(IF(CC704="L1",Parameter!$H$5,IF(CC704="L23",Parameter!$H$6+Parameter!$H$7,Parameter!$H$5+Parameter!$H$6+Parameter!$H$7))-(BE704-BA704))/BA704)))</f>
        <v>0</v>
      </c>
      <c r="BG704" s="48" t="str">
        <f aca="false">IF(AI704&lt;=0,"",IF(CC704="Aussen","Aussenlager",IF(CC704="-","Nicht im Lift",IF(AN704&gt;=1,"Lift",IF(AN704&lt;=0,"Aussenlager","teilweise")))))</f>
        <v/>
      </c>
      <c r="BH704" s="48" t="str">
        <f aca="false">IF(AR704&lt;=0,"",IF(CC704="Aussen","Aussenlager",IF(CC704="-","Nicht im Lift",IF(AW704&gt;=1,"Lift",IF(AW704&lt;=0,"Aussenlager","teilweise")))))</f>
        <v>Nicht im Lift</v>
      </c>
      <c r="BI704" s="48" t="str">
        <f aca="false">IF(BA704&lt;=0,"",IF(CC704="Aussen","Aussenlager",IF(CC704="-","Nicht im Lift",IF(BF704&gt;=1,"Lift",IF(BF704&lt;=0,"Aussenlager","teilweise")))))</f>
        <v>Nicht im Lift</v>
      </c>
      <c r="BJ704" s="48" t="str">
        <f aca="false">IF(A704="","",IF(BS704=1,"Neu; ","")&amp;IF(AND(BS704=0,BN704&lt;0),"negativer Bestand (Export "&amp;BN704&amp;"); ","")&amp;IF(J704&lt;=0,"Kein Verbrauch; ","")&amp;IF(CL704&gt;0,"Lift "&amp;W704&amp;" lt. Liftbericht (Fach "&amp;X704&amp;" Stk); ",IF(BX704=1,"Gebinde geschätzt ("&amp;T704&amp;"); ",IF(BW704=1,"Lose – Tablare geschätzt; ","")))&amp;IF(H704&gt;AT704,"Überbestand "&amp;ROUND(H704-AT704,0)&amp;" Stk / CHF "&amp;ROUND((H704-AT704)*G704,0)&amp;"; ","")&amp;IF(AND(CE704=1,CF704&lt;CG704),"MAX &lt; MB+LG; ","")&amp;IF(AND(CK704&gt;0,CJ704*10&gt;CK704),"zu hoch für Tablar; ","")&amp;IF(AND(BS704=0,OR(CE704=1,AA704&lt;&gt;"",U704&lt;&gt;"",V704&lt;&gt;"",AB704&lt;&gt;"")),"manuell übersteuert; ","")&amp;IF(AND(BW704=0,R704=0),"Gebinde unbekannt / Stellmass fehlt; ","")&amp;IF(AND(BW704=0,N(V704)&lt;=0,N(Q704)&lt;=0),"Menge pro Gebinde fehlt (Ist = 1 Gebinde); ","")&amp;BR704)</f>
        <v>Kein Verbrauch; Gebinde geschätzt (Gross); Menge pro Gebinde fehlt (Ist = 1 Gebinde); </v>
      </c>
      <c r="BK704" s="48"/>
      <c r="BL704" s="48"/>
      <c r="BM704" s="55"/>
      <c r="BN704" s="50" t="n">
        <v>0</v>
      </c>
      <c r="BO704" s="50" t="n">
        <v>0</v>
      </c>
      <c r="BP704" s="49" t="n">
        <v>0</v>
      </c>
      <c r="BQ704" s="50" t="n">
        <v>0</v>
      </c>
      <c r="BR704" s="48"/>
      <c r="BS704" s="53" t="n">
        <v>0</v>
      </c>
      <c r="BT704" s="53" t="n">
        <v>704</v>
      </c>
      <c r="BU704" s="48" t="str">
        <f aca="false">IF(U704&lt;&gt;"",UPPER(TRIM(U704)),IF(BX704=1,UPPER(VLOOKUP(T704,Parameter!$I$27:$K$29,2,0)),IF(P704="","LOSE",P704)))</f>
        <v>S81</v>
      </c>
      <c r="BV704" s="50" t="n">
        <f aca="false">IF(BU704="LOSE",1,IF(N(V704)&gt;0,V704,IF(BX704=1,MAX(1,N(VLOOKUP(T704,Parameter!$I$27:$K$29,3,0)),H704,N(N704)),IF(N(Q704)&gt;0,Q704,MAX(1,H704)))))</f>
        <v>2</v>
      </c>
      <c r="BW704" s="53" t="n">
        <f aca="false">IF(BU704="LOSE",1,0)</f>
        <v>0</v>
      </c>
      <c r="BX704" s="53" t="n">
        <f aca="false">IF(AND(U704="",OR(P704="",P704="LOSE"),T704&lt;&gt;"",N(S704)&lt;=0,ISNUMBER(MATCH(T704,Parameter!$I$27:$I$29,0))),1,0)</f>
        <v>1</v>
      </c>
      <c r="BY704" s="53" t="n">
        <f aca="false">IF(CL704&gt;0,INDEX(Parameter!$H$5:$H$7,W704)/INDEX(Parameter!$E$5:$E$7,W704),IF(AND(BW704=0,N(IFERROR(VLOOKUP(BU704,'Gebinde-Kategorie'!$A$5:$N$45,14,0),0))&gt;0),VLOOKUP(BU704,'Gebinde-Kategorie'!$A$5:$N$45,14,0)*10+Parameter!$M$23,Parameter!$M$24))</f>
        <v>235</v>
      </c>
      <c r="BZ704" s="48" t="str">
        <f aca="false">IF(AND(Parameter!$B$19="Ja",E704&lt;&gt;"",ISNUMBER(MATCH(E704,Parameter!$I$35:$I$52,0))),VLOOKUP(E704,Parameter!$I$35:$J$52,2,0),IFERROR(VLOOKUP(D704,Parameter!$A$35:$C$64,2,0),"Nein"))</f>
        <v>Nein</v>
      </c>
      <c r="CA704" s="52" t="n">
        <f aca="false">IF(BW704=0,0,IF(N(S704)&gt;0,S704,IFERROR(VLOOKUP(D704,Parameter!$A$35:$C$64,3,0)+0,0)))</f>
        <v>0</v>
      </c>
      <c r="CB704" s="48" t="str">
        <f aca="false">IF(AA704&lt;&gt;"",AA704,Z704)</f>
        <v>-</v>
      </c>
      <c r="CC704" s="48" t="str">
        <f aca="false">IF(OR(CB704=1,CB704=2,CB704=3),IF(Parameter!$E$27="Ja","LIFT",IF(CB704=1,"L1","L23")),IF(CB704="Aussen","Aussen","-"))</f>
        <v>-</v>
      </c>
      <c r="CD704" s="59" t="n">
        <f aca="false">IF(N(AB704)&gt;0,AB704,0)</f>
        <v>0</v>
      </c>
      <c r="CE704" s="53" t="n">
        <f aca="false">IF(ISNUMBER(AE704),1,0)</f>
        <v>0</v>
      </c>
      <c r="CF704" s="50" t="n">
        <f aca="false">N(AE704)</f>
        <v>0</v>
      </c>
      <c r="CG704" s="50" t="n">
        <f aca="false">N(M704)+N(N704)</f>
        <v>1</v>
      </c>
      <c r="CH704" s="50" t="n">
        <f aca="false">ROUNDUP(H704/BV704,0)</f>
        <v>0</v>
      </c>
      <c r="CI704" s="50" t="n">
        <f aca="false">ROUNDUP(CF704/BV704,0)</f>
        <v>0</v>
      </c>
      <c r="CJ704" s="53" t="n">
        <f aca="false">IF(BW704=1,0,IFERROR(VLOOKUP(BU704,'Gebinde-Kategorie'!$A$5:$N$45,5,0)+0,0))</f>
        <v>20</v>
      </c>
      <c r="CK704" s="53" t="n">
        <f aca="false">IFERROR(IF(OR(CB704=1,CB704=2,CB704=3),N(INDEX(Parameter!$I$5:$I$7,CB704)),0),0)</f>
        <v>0</v>
      </c>
      <c r="CL704" s="52" t="n">
        <f aca="false">IF(AND(Parameter!$B$21="Ja",ISNUMBER(W704),N(X704)&gt;0),IFERROR(N(INDEX(Parameter!$L$5:$L$7,W704))*INDEX(Parameter!$E$5:$E$7,W704)*X704/SUMIFS($X$7:$X$1843,$W$7:$W$1843,W704),0),0)</f>
        <v>0</v>
      </c>
    </row>
    <row r="705" customFormat="false" ht="15" hidden="false" customHeight="false" outlineLevel="0" collapsed="false">
      <c r="A705" s="48" t="s">
        <v>1413</v>
      </c>
      <c r="B705" s="48" t="s">
        <v>1414</v>
      </c>
      <c r="C705" s="48" t="s">
        <v>168</v>
      </c>
      <c r="D705" s="48" t="s">
        <v>999</v>
      </c>
      <c r="E705" s="48" t="s">
        <v>1412</v>
      </c>
      <c r="F705" s="48" t="s">
        <v>222</v>
      </c>
      <c r="G705" s="49" t="n">
        <v>12657.45</v>
      </c>
      <c r="H705" s="50" t="n">
        <f aca="false">MAX(0,IF(AND(Parameter!$B$21="Ja",ISNUMBER(Y705)),Y705,IF(Parameter!$B$20="Jahresanfang 2025 + Export",BO705+BN705,BN705)))</f>
        <v>0</v>
      </c>
      <c r="I705" s="50" t="n">
        <f aca="false">H705*G705</f>
        <v>0</v>
      </c>
      <c r="J705" s="50" t="n">
        <f aca="false">BQ705*Parameter!$B$18</f>
        <v>0</v>
      </c>
      <c r="K705" s="51" t="n">
        <v>1</v>
      </c>
      <c r="L705" s="52" t="n">
        <v>0</v>
      </c>
      <c r="M705" s="50" t="n">
        <v>0</v>
      </c>
      <c r="N705" s="50" t="n">
        <v>1</v>
      </c>
      <c r="O705" s="53" t="n">
        <v>35</v>
      </c>
      <c r="P705" s="48" t="s">
        <v>172</v>
      </c>
      <c r="Q705" s="50"/>
      <c r="R705" s="53" t="n">
        <f aca="false">IF(BW705=1,0,IFERROR(VLOOKUP(BU705,'Gebinde-Kategorie'!$A$5:$N$45,13,0)+0,0))</f>
        <v>0</v>
      </c>
      <c r="S705" s="54"/>
      <c r="T705" s="55"/>
      <c r="U705" s="55"/>
      <c r="V705" s="55"/>
      <c r="W705" s="48"/>
      <c r="X705" s="50"/>
      <c r="Y705" s="50"/>
      <c r="Z705" s="48" t="str">
        <f aca="false">IF(A705="","",IF(AND(Parameter!$B$21="Ja",ISNUMBER(W705)),W705,IF(BZ705="2+3",IF(ISNUMBER(SEARCH("grosser Artikel",BR705)),2,IFERROR(VLOOKUP(BU705,Parameter!$F$35:$G$64,2,0),2)),IF(OR(BZ705="Nein",BZ705=""),"-",BZ705))))</f>
        <v>-</v>
      </c>
      <c r="AA705" s="55"/>
      <c r="AB705" s="56"/>
      <c r="AC705" s="50" t="n">
        <f aca="false">AT705</f>
        <v>1</v>
      </c>
      <c r="AD705" s="50" t="n">
        <f aca="false">MAX(AT705,H705)</f>
        <v>1</v>
      </c>
      <c r="AE705" s="57"/>
      <c r="AF705" s="50" t="n">
        <f aca="false">IF(LEFT(Cockpit!$C$5,1)="A",H705,IF(CE705=1,CF705,IF(LEFT(Cockpit!$C$5,1)="B",AK705,MAX(AK705,H705))))</f>
        <v>0</v>
      </c>
      <c r="AG705" s="50" t="n">
        <f aca="false">IF(BW705=1,0,ROUNDUP(AF705/BV705,0))</f>
        <v>0</v>
      </c>
      <c r="AH705" s="52" t="n">
        <f aca="false">IF(CL705&gt;0,CL705*MAX(1,AF705/X705),IF(BW705=1,IF(AF705&lt;=0,0,CA705*MAX(1,IF(H705&gt;0,AF705/H705,1))),IF(R705&gt;0,AG705/R705,0))/MAX(0.1,N(Parameter!$M$21)))</f>
        <v>0</v>
      </c>
      <c r="AI705" s="50" t="n">
        <f aca="false">AH705*BY705</f>
        <v>0</v>
      </c>
      <c r="AJ705" s="50" t="n">
        <f aca="false">AF705*G705</f>
        <v>0</v>
      </c>
      <c r="AK705" s="50" t="n">
        <f aca="false">ROUNDUP(MAX(J705/IF(CD705&gt;0,CD705,MAX(0.1,N(Cockpit!$C$6))),CG705)/BV705,0)*BV705</f>
        <v>1</v>
      </c>
      <c r="AL705" s="51" t="n">
        <f aca="false">IF(AI705&gt;0,J705/AI705,-1)</f>
        <v>-1</v>
      </c>
      <c r="AM705" s="51" t="str">
        <f aca="false">IF(AND(OR(CC705="L1",CC705="L23",CC705="LIFT"),AI705&gt;0),SUMIFS($AI$7:$AI$1843,$CC$7:$CC$1843,CC705,$AL$7:$AL$1843,"&gt;"&amp;AL705)+SUMIFS($AI$7:$AI$1843,$CC$7:$CC$1843,CC705,$AL$7:$AL$1843,AL705,$BT$7:$BT$1843,"&lt;="&amp;BT705),"")</f>
        <v/>
      </c>
      <c r="AN705" s="58" t="n">
        <f aca="false">IF(AM705="",0,MAX(0,MIN(1,(IF(CC705="L1",Parameter!$H$5,IF(CC705="L23",Parameter!$H$6+Parameter!$H$7,Parameter!$H$5+Parameter!$H$6+Parameter!$H$7))-(AM705-AI705))/AI705)))</f>
        <v>0</v>
      </c>
      <c r="AO705" s="50" t="n">
        <f aca="false">IF(LEFT(Cockpit!$I$5,1)="A",H705,IF(CE705=1,CF705,IF(LEFT(Cockpit!$I$5,1)="B",AT705,MAX(AT705,H705))))</f>
        <v>1</v>
      </c>
      <c r="AP705" s="50" t="n">
        <f aca="false">IF(BW705=1,0,ROUNDUP(AO705/BV705,0))</f>
        <v>0</v>
      </c>
      <c r="AQ705" s="52" t="n">
        <f aca="false">IF(CL705&gt;0,CL705*MAX(1,AO705/X705),IF(BW705=1,IF(AO705&lt;=0,0,CA705*MAX(1,IF(H705&gt;0,AO705/H705,1))),IF(R705&gt;0,AP705/R705,0))/MAX(0.1,N(Parameter!$M$21)))</f>
        <v>0.15</v>
      </c>
      <c r="AR705" s="50" t="n">
        <f aca="false">AQ705*BY705</f>
        <v>35.25</v>
      </c>
      <c r="AS705" s="50" t="n">
        <f aca="false">AO705*G705</f>
        <v>12657.45</v>
      </c>
      <c r="AT705" s="50" t="n">
        <f aca="false">ROUNDUP(MAX(J705/IF(CD705&gt;0,CD705,MAX(0.1,N(Cockpit!$I$6))),CG705)/BV705,0)*BV705</f>
        <v>1</v>
      </c>
      <c r="AU705" s="51" t="n">
        <f aca="false">IF(AR705&gt;0,J705/AR705,-1)</f>
        <v>0</v>
      </c>
      <c r="AV705" s="51" t="str">
        <f aca="false">IF(AND(OR(CC705="L1",CC705="L23",CC705="LIFT"),AR705&gt;0),SUMIFS($AR$7:$AR$1843,$CC$7:$CC$1843,CC705,$AU$7:$AU$1843,"&gt;"&amp;AU705)+SUMIFS($AR$7:$AR$1843,$CC$7:$CC$1843,CC705,$AU$7:$AU$1843,AU705,$BT$7:$BT$1843,"&lt;="&amp;BT705),"")</f>
        <v/>
      </c>
      <c r="AW705" s="58" t="n">
        <f aca="false">IF(AV705="",0,MAX(0,MIN(1,(IF(CC705="L1",Parameter!$H$5,IF(CC705="L23",Parameter!$H$6+Parameter!$H$7,Parameter!$H$5+Parameter!$H$6+Parameter!$H$7))-(AV705-AR705))/AR705)))</f>
        <v>0</v>
      </c>
      <c r="AX705" s="50" t="n">
        <f aca="false">IF(LEFT(Cockpit!$O$5,1)="A",H705,IF(CE705=1,CF705,IF(LEFT(Cockpit!$O$5,1)="B",BC705,MAX(BC705,H705))))</f>
        <v>1</v>
      </c>
      <c r="AY705" s="50" t="n">
        <f aca="false">IF(BW705=1,0,ROUNDUP(AX705/BV705,0))</f>
        <v>0</v>
      </c>
      <c r="AZ705" s="52" t="n">
        <f aca="false">IF(CL705&gt;0,CL705*MAX(1,AX705/X705),IF(BW705=1,IF(AX705&lt;=0,0,CA705*MAX(1,IF(H705&gt;0,AX705/H705,1))),IF(R705&gt;0,AY705/R705,0))/MAX(0.1,N(Parameter!$M$21)))</f>
        <v>0.15</v>
      </c>
      <c r="BA705" s="50" t="n">
        <f aca="false">AZ705*BY705</f>
        <v>35.25</v>
      </c>
      <c r="BB705" s="50" t="n">
        <f aca="false">AX705*G705</f>
        <v>12657.45</v>
      </c>
      <c r="BC705" s="50" t="n">
        <f aca="false">ROUNDUP(MAX(J705/IF(CD705&gt;0,CD705,MAX(0.1,N(Cockpit!$O$6))),CG705)/BV705,0)*BV705</f>
        <v>1</v>
      </c>
      <c r="BD705" s="51" t="n">
        <f aca="false">IF(BA705&gt;0,J705/BA705,-1)</f>
        <v>0</v>
      </c>
      <c r="BE705" s="51" t="str">
        <f aca="false">IF(AND(OR(CC705="L1",CC705="L23",CC705="LIFT"),BA705&gt;0),SUMIFS($BA$7:$BA$1843,$CC$7:$CC$1843,CC705,$BD$7:$BD$1843,"&gt;"&amp;BD705)+SUMIFS($BA$7:$BA$1843,$CC$7:$CC$1843,CC705,$BD$7:$BD$1843,BD705,$BT$7:$BT$1843,"&lt;="&amp;BT705),"")</f>
        <v/>
      </c>
      <c r="BF705" s="58" t="n">
        <f aca="false">IF(BE705="",0,MAX(0,MIN(1,(IF(CC705="L1",Parameter!$H$5,IF(CC705="L23",Parameter!$H$6+Parameter!$H$7,Parameter!$H$5+Parameter!$H$6+Parameter!$H$7))-(BE705-BA705))/BA705)))</f>
        <v>0</v>
      </c>
      <c r="BG705" s="48" t="str">
        <f aca="false">IF(AI705&lt;=0,"",IF(CC705="Aussen","Aussenlager",IF(CC705="-","Nicht im Lift",IF(AN705&gt;=1,"Lift",IF(AN705&lt;=0,"Aussenlager","teilweise")))))</f>
        <v/>
      </c>
      <c r="BH705" s="48" t="str">
        <f aca="false">IF(AR705&lt;=0,"",IF(CC705="Aussen","Aussenlager",IF(CC705="-","Nicht im Lift",IF(AW705&gt;=1,"Lift",IF(AW705&lt;=0,"Aussenlager","teilweise")))))</f>
        <v>Nicht im Lift</v>
      </c>
      <c r="BI705" s="48" t="str">
        <f aca="false">IF(BA705&lt;=0,"",IF(CC705="Aussen","Aussenlager",IF(CC705="-","Nicht im Lift",IF(BF705&gt;=1,"Lift",IF(BF705&lt;=0,"Aussenlager","teilweise")))))</f>
        <v>Nicht im Lift</v>
      </c>
      <c r="BJ705" s="48" t="str">
        <f aca="false">IF(A705="","",IF(BS705=1,"Neu; ","")&amp;IF(AND(BS705=0,BN705&lt;0),"negativer Bestand (Export "&amp;BN705&amp;"); ","")&amp;IF(J705&lt;=0,"Kein Verbrauch; ","")&amp;IF(CL705&gt;0,"Lift "&amp;W705&amp;" lt. Liftbericht (Fach "&amp;X705&amp;" Stk); ",IF(BX705=1,"Gebinde geschätzt ("&amp;T705&amp;"); ",IF(BW705=1,"Lose – Tablare geschätzt; ","")))&amp;IF(H705&gt;AT705,"Überbestand "&amp;ROUND(H705-AT705,0)&amp;" Stk / CHF "&amp;ROUND((H705-AT705)*G705,0)&amp;"; ","")&amp;IF(AND(CE705=1,CF705&lt;CG705),"MAX &lt; MB+LG; ","")&amp;IF(AND(CK705&gt;0,CJ705*10&gt;CK705),"zu hoch für Tablar; ","")&amp;IF(AND(BS705=0,OR(CE705=1,AA705&lt;&gt;"",U705&lt;&gt;"",V705&lt;&gt;"",AB705&lt;&gt;"")),"manuell übersteuert; ","")&amp;IF(AND(BW705=0,R705=0),"Gebinde unbekannt / Stellmass fehlt; ","")&amp;IF(AND(BW705=0,N(V705)&lt;=0,N(Q705)&lt;=0),"Menge pro Gebinde fehlt (Ist = 1 Gebinde); ","")&amp;BR705)</f>
        <v>Kein Verbrauch; Lose – Tablare geschätzt; </v>
      </c>
      <c r="BK705" s="48"/>
      <c r="BL705" s="48"/>
      <c r="BM705" s="55"/>
      <c r="BN705" s="50" t="n">
        <v>0</v>
      </c>
      <c r="BO705" s="50" t="n">
        <v>0</v>
      </c>
      <c r="BP705" s="49" t="n">
        <v>0</v>
      </c>
      <c r="BQ705" s="50" t="n">
        <v>0</v>
      </c>
      <c r="BR705" s="48"/>
      <c r="BS705" s="53" t="n">
        <v>0</v>
      </c>
      <c r="BT705" s="53" t="n">
        <v>705</v>
      </c>
      <c r="BU705" s="48" t="str">
        <f aca="false">IF(U705&lt;&gt;"",UPPER(TRIM(U705)),IF(BX705=1,UPPER(VLOOKUP(T705,Parameter!$I$27:$K$29,2,0)),IF(P705="","LOSE",P705)))</f>
        <v>LOSE</v>
      </c>
      <c r="BV705" s="50" t="n">
        <f aca="false">IF(BU705="LOSE",1,IF(N(V705)&gt;0,V705,IF(BX705=1,MAX(1,N(VLOOKUP(T705,Parameter!$I$27:$K$29,3,0)),H705,N(N705)),IF(N(Q705)&gt;0,Q705,MAX(1,H705)))))</f>
        <v>1</v>
      </c>
      <c r="BW705" s="53" t="n">
        <f aca="false">IF(BU705="LOSE",1,0)</f>
        <v>1</v>
      </c>
      <c r="BX705" s="53" t="n">
        <f aca="false">IF(AND(U705="",OR(P705="",P705="LOSE"),T705&lt;&gt;"",N(S705)&lt;=0,ISNUMBER(MATCH(T705,Parameter!$I$27:$I$29,0))),1,0)</f>
        <v>0</v>
      </c>
      <c r="BY705" s="53" t="n">
        <f aca="false">IF(CL705&gt;0,INDEX(Parameter!$H$5:$H$7,W705)/INDEX(Parameter!$E$5:$E$7,W705),IF(AND(BW705=0,N(IFERROR(VLOOKUP(BU705,'Gebinde-Kategorie'!$A$5:$N$45,14,0),0))&gt;0),VLOOKUP(BU705,'Gebinde-Kategorie'!$A$5:$N$45,14,0)*10+Parameter!$M$23,Parameter!$M$24))</f>
        <v>235</v>
      </c>
      <c r="BZ705" s="48" t="str">
        <f aca="false">IF(AND(Parameter!$B$19="Ja",E705&lt;&gt;"",ISNUMBER(MATCH(E705,Parameter!$I$35:$I$52,0))),VLOOKUP(E705,Parameter!$I$35:$J$52,2,0),IFERROR(VLOOKUP(D705,Parameter!$A$35:$C$64,2,0),"Nein"))</f>
        <v>Nein</v>
      </c>
      <c r="CA705" s="52" t="n">
        <f aca="false">IF(BW705=0,0,IF(N(S705)&gt;0,S705,IFERROR(VLOOKUP(D705,Parameter!$A$35:$C$64,3,0)+0,0)))</f>
        <v>0.15</v>
      </c>
      <c r="CB705" s="48" t="str">
        <f aca="false">IF(AA705&lt;&gt;"",AA705,Z705)</f>
        <v>-</v>
      </c>
      <c r="CC705" s="48" t="str">
        <f aca="false">IF(OR(CB705=1,CB705=2,CB705=3),IF(Parameter!$E$27="Ja","LIFT",IF(CB705=1,"L1","L23")),IF(CB705="Aussen","Aussen","-"))</f>
        <v>-</v>
      </c>
      <c r="CD705" s="59" t="n">
        <f aca="false">IF(N(AB705)&gt;0,AB705,0)</f>
        <v>0</v>
      </c>
      <c r="CE705" s="53" t="n">
        <f aca="false">IF(ISNUMBER(AE705),1,0)</f>
        <v>0</v>
      </c>
      <c r="CF705" s="50" t="n">
        <f aca="false">N(AE705)</f>
        <v>0</v>
      </c>
      <c r="CG705" s="50" t="n">
        <f aca="false">N(M705)+N(N705)</f>
        <v>1</v>
      </c>
      <c r="CH705" s="50" t="n">
        <f aca="false">ROUNDUP(H705/BV705,0)</f>
        <v>0</v>
      </c>
      <c r="CI705" s="50" t="n">
        <f aca="false">ROUNDUP(CF705/BV705,0)</f>
        <v>0</v>
      </c>
      <c r="CJ705" s="53" t="n">
        <f aca="false">IF(BW705=1,0,IFERROR(VLOOKUP(BU705,'Gebinde-Kategorie'!$A$5:$N$45,5,0)+0,0))</f>
        <v>0</v>
      </c>
      <c r="CK705" s="53" t="n">
        <f aca="false">IFERROR(IF(OR(CB705=1,CB705=2,CB705=3),N(INDEX(Parameter!$I$5:$I$7,CB705)),0),0)</f>
        <v>0</v>
      </c>
      <c r="CL705" s="52" t="n">
        <f aca="false">IF(AND(Parameter!$B$21="Ja",ISNUMBER(W705),N(X705)&gt;0),IFERROR(N(INDEX(Parameter!$L$5:$L$7,W705))*INDEX(Parameter!$E$5:$E$7,W705)*X705/SUMIFS($X$7:$X$1843,$W$7:$W$1843,W705),0),0)</f>
        <v>0</v>
      </c>
    </row>
    <row r="706" customFormat="false" ht="15" hidden="false" customHeight="false" outlineLevel="0" collapsed="false">
      <c r="A706" s="48" t="s">
        <v>1415</v>
      </c>
      <c r="B706" s="48" t="s">
        <v>637</v>
      </c>
      <c r="C706" s="48" t="s">
        <v>168</v>
      </c>
      <c r="D706" s="48" t="s">
        <v>177</v>
      </c>
      <c r="E706" s="48" t="s">
        <v>1412</v>
      </c>
      <c r="F706" s="48" t="s">
        <v>222</v>
      </c>
      <c r="G706" s="49" t="n">
        <v>798.3</v>
      </c>
      <c r="H706" s="50" t="n">
        <f aca="false">MAX(0,IF(AND(Parameter!$B$21="Ja",ISNUMBER(Y706)),Y706,IF(Parameter!$B$20="Jahresanfang 2025 + Export",BO706+BN706,BN706)))</f>
        <v>0</v>
      </c>
      <c r="I706" s="50" t="n">
        <f aca="false">H706*G706</f>
        <v>0</v>
      </c>
      <c r="J706" s="50" t="n">
        <f aca="false">BQ706*Parameter!$B$18</f>
        <v>2</v>
      </c>
      <c r="K706" s="51" t="n">
        <v>5.5</v>
      </c>
      <c r="L706" s="52" t="n">
        <v>0.363636363636364</v>
      </c>
      <c r="M706" s="50" t="n">
        <v>0</v>
      </c>
      <c r="N706" s="50" t="n">
        <v>1</v>
      </c>
      <c r="O706" s="53" t="n">
        <v>14</v>
      </c>
      <c r="P706" s="48" t="s">
        <v>172</v>
      </c>
      <c r="Q706" s="50"/>
      <c r="R706" s="53" t="n">
        <f aca="false">IF(BW706=1,0,IFERROR(VLOOKUP(BU706,'Gebinde-Kategorie'!$A$5:$N$45,13,0)+0,0))</f>
        <v>4</v>
      </c>
      <c r="S706" s="54"/>
      <c r="T706" s="55" t="s">
        <v>193</v>
      </c>
      <c r="U706" s="55"/>
      <c r="V706" s="55"/>
      <c r="W706" s="48"/>
      <c r="X706" s="50"/>
      <c r="Y706" s="50"/>
      <c r="Z706" s="48" t="str">
        <f aca="false">IF(A706="","",IF(AND(Parameter!$B$21="Ja",ISNUMBER(W706)),W706,IF(BZ706="2+3",IF(ISNUMBER(SEARCH("grosser Artikel",BR706)),2,IFERROR(VLOOKUP(BU706,Parameter!$F$35:$G$64,2,0),2)),IF(OR(BZ706="Nein",BZ706=""),"-",BZ706))))</f>
        <v>-</v>
      </c>
      <c r="AA706" s="55"/>
      <c r="AB706" s="56"/>
      <c r="AC706" s="50" t="n">
        <f aca="false">AT706</f>
        <v>2</v>
      </c>
      <c r="AD706" s="50" t="n">
        <f aca="false">MAX(AT706,H706)</f>
        <v>2</v>
      </c>
      <c r="AE706" s="57"/>
      <c r="AF706" s="50" t="n">
        <f aca="false">IF(LEFT(Cockpit!$C$5,1)="A",H706,IF(CE706=1,CF706,IF(LEFT(Cockpit!$C$5,1)="B",AK706,MAX(AK706,H706))))</f>
        <v>0</v>
      </c>
      <c r="AG706" s="50" t="n">
        <f aca="false">IF(BW706=1,0,ROUNDUP(AF706/BV706,0))</f>
        <v>0</v>
      </c>
      <c r="AH706" s="52" t="n">
        <f aca="false">IF(CL706&gt;0,CL706*MAX(1,AF706/X706),IF(BW706=1,IF(AF706&lt;=0,0,CA706*MAX(1,IF(H706&gt;0,AF706/H706,1))),IF(R706&gt;0,AG706/R706,0))/MAX(0.1,N(Parameter!$M$21)))</f>
        <v>0</v>
      </c>
      <c r="AI706" s="50" t="n">
        <f aca="false">AH706*BY706</f>
        <v>0</v>
      </c>
      <c r="AJ706" s="50" t="n">
        <f aca="false">AF706*G706</f>
        <v>0</v>
      </c>
      <c r="AK706" s="50" t="n">
        <f aca="false">ROUNDUP(MAX(J706/IF(CD706&gt;0,CD706,MAX(0.1,N(Cockpit!$C$6))),CG706)/BV706,0)*BV706</f>
        <v>2</v>
      </c>
      <c r="AL706" s="51" t="n">
        <f aca="false">IF(AI706&gt;0,J706/AI706,-1)</f>
        <v>-1</v>
      </c>
      <c r="AM706" s="51" t="str">
        <f aca="false">IF(AND(OR(CC706="L1",CC706="L23",CC706="LIFT"),AI706&gt;0),SUMIFS($AI$7:$AI$1843,$CC$7:$CC$1843,CC706,$AL$7:$AL$1843,"&gt;"&amp;AL706)+SUMIFS($AI$7:$AI$1843,$CC$7:$CC$1843,CC706,$AL$7:$AL$1843,AL706,$BT$7:$BT$1843,"&lt;="&amp;BT706),"")</f>
        <v/>
      </c>
      <c r="AN706" s="58" t="n">
        <f aca="false">IF(AM706="",0,MAX(0,MIN(1,(IF(CC706="L1",Parameter!$H$5,IF(CC706="L23",Parameter!$H$6+Parameter!$H$7,Parameter!$H$5+Parameter!$H$6+Parameter!$H$7))-(AM706-AI706))/AI706)))</f>
        <v>0</v>
      </c>
      <c r="AO706" s="50" t="n">
        <f aca="false">IF(LEFT(Cockpit!$I$5,1)="A",H706,IF(CE706=1,CF706,IF(LEFT(Cockpit!$I$5,1)="B",AT706,MAX(AT706,H706))))</f>
        <v>2</v>
      </c>
      <c r="AP706" s="50" t="n">
        <f aca="false">IF(BW706=1,0,ROUNDUP(AO706/BV706,0))</f>
        <v>1</v>
      </c>
      <c r="AQ706" s="52" t="n">
        <f aca="false">IF(CL706&gt;0,CL706*MAX(1,AO706/X706),IF(BW706=1,IF(AO706&lt;=0,0,CA706*MAX(1,IF(H706&gt;0,AO706/H706,1))),IF(R706&gt;0,AP706/R706,0))/MAX(0.1,N(Parameter!$M$21)))</f>
        <v>0.25</v>
      </c>
      <c r="AR706" s="50" t="n">
        <f aca="false">AQ706*BY706</f>
        <v>58.75</v>
      </c>
      <c r="AS706" s="50" t="n">
        <f aca="false">AO706*G706</f>
        <v>1596.6</v>
      </c>
      <c r="AT706" s="50" t="n">
        <f aca="false">ROUNDUP(MAX(J706/IF(CD706&gt;0,CD706,MAX(0.1,N(Cockpit!$I$6))),CG706)/BV706,0)*BV706</f>
        <v>2</v>
      </c>
      <c r="AU706" s="51" t="n">
        <f aca="false">IF(AR706&gt;0,J706/AR706,-1)</f>
        <v>0.0340425531914894</v>
      </c>
      <c r="AV706" s="51" t="str">
        <f aca="false">IF(AND(OR(CC706="L1",CC706="L23",CC706="LIFT"),AR706&gt;0),SUMIFS($AR$7:$AR$1843,$CC$7:$CC$1843,CC706,$AU$7:$AU$1843,"&gt;"&amp;AU706)+SUMIFS($AR$7:$AR$1843,$CC$7:$CC$1843,CC706,$AU$7:$AU$1843,AU706,$BT$7:$BT$1843,"&lt;="&amp;BT706),"")</f>
        <v/>
      </c>
      <c r="AW706" s="58" t="n">
        <f aca="false">IF(AV706="",0,MAX(0,MIN(1,(IF(CC706="L1",Parameter!$H$5,IF(CC706="L23",Parameter!$H$6+Parameter!$H$7,Parameter!$H$5+Parameter!$H$6+Parameter!$H$7))-(AV706-AR706))/AR706)))</f>
        <v>0</v>
      </c>
      <c r="AX706" s="50" t="n">
        <f aca="false">IF(LEFT(Cockpit!$O$5,1)="A",H706,IF(CE706=1,CF706,IF(LEFT(Cockpit!$O$5,1)="B",BC706,MAX(BC706,H706))))</f>
        <v>2</v>
      </c>
      <c r="AY706" s="50" t="n">
        <f aca="false">IF(BW706=1,0,ROUNDUP(AX706/BV706,0))</f>
        <v>1</v>
      </c>
      <c r="AZ706" s="52" t="n">
        <f aca="false">IF(CL706&gt;0,CL706*MAX(1,AX706/X706),IF(BW706=1,IF(AX706&lt;=0,0,CA706*MAX(1,IF(H706&gt;0,AX706/H706,1))),IF(R706&gt;0,AY706/R706,0))/MAX(0.1,N(Parameter!$M$21)))</f>
        <v>0.25</v>
      </c>
      <c r="BA706" s="50" t="n">
        <f aca="false">AZ706*BY706</f>
        <v>58.75</v>
      </c>
      <c r="BB706" s="50" t="n">
        <f aca="false">AX706*G706</f>
        <v>1596.6</v>
      </c>
      <c r="BC706" s="50" t="n">
        <f aca="false">ROUNDUP(MAX(J706/IF(CD706&gt;0,CD706,MAX(0.1,N(Cockpit!$O$6))),CG706)/BV706,0)*BV706</f>
        <v>2</v>
      </c>
      <c r="BD706" s="51" t="n">
        <f aca="false">IF(BA706&gt;0,J706/BA706,-1)</f>
        <v>0.0340425531914894</v>
      </c>
      <c r="BE706" s="51" t="str">
        <f aca="false">IF(AND(OR(CC706="L1",CC706="L23",CC706="LIFT"),BA706&gt;0),SUMIFS($BA$7:$BA$1843,$CC$7:$CC$1843,CC706,$BD$7:$BD$1843,"&gt;"&amp;BD706)+SUMIFS($BA$7:$BA$1843,$CC$7:$CC$1843,CC706,$BD$7:$BD$1843,BD706,$BT$7:$BT$1843,"&lt;="&amp;BT706),"")</f>
        <v/>
      </c>
      <c r="BF706" s="58" t="n">
        <f aca="false">IF(BE706="",0,MAX(0,MIN(1,(IF(CC706="L1",Parameter!$H$5,IF(CC706="L23",Parameter!$H$6+Parameter!$H$7,Parameter!$H$5+Parameter!$H$6+Parameter!$H$7))-(BE706-BA706))/BA706)))</f>
        <v>0</v>
      </c>
      <c r="BG706" s="48" t="str">
        <f aca="false">IF(AI706&lt;=0,"",IF(CC706="Aussen","Aussenlager",IF(CC706="-","Nicht im Lift",IF(AN706&gt;=1,"Lift",IF(AN706&lt;=0,"Aussenlager","teilweise")))))</f>
        <v/>
      </c>
      <c r="BH706" s="48" t="str">
        <f aca="false">IF(AR706&lt;=0,"",IF(CC706="Aussen","Aussenlager",IF(CC706="-","Nicht im Lift",IF(AW706&gt;=1,"Lift",IF(AW706&lt;=0,"Aussenlager","teilweise")))))</f>
        <v>Nicht im Lift</v>
      </c>
      <c r="BI706" s="48" t="str">
        <f aca="false">IF(BA706&lt;=0,"",IF(CC706="Aussen","Aussenlager",IF(CC706="-","Nicht im Lift",IF(BF706&gt;=1,"Lift",IF(BF706&lt;=0,"Aussenlager","teilweise")))))</f>
        <v>Nicht im Lift</v>
      </c>
      <c r="BJ706" s="48" t="str">
        <f aca="false">IF(A706="","",IF(BS706=1,"Neu; ","")&amp;IF(AND(BS706=0,BN706&lt;0),"negativer Bestand (Export "&amp;BN706&amp;"); ","")&amp;IF(J706&lt;=0,"Kein Verbrauch; ","")&amp;IF(CL706&gt;0,"Lift "&amp;W706&amp;" lt. Liftbericht (Fach "&amp;X706&amp;" Stk); ",IF(BX706=1,"Gebinde geschätzt ("&amp;T706&amp;"); ",IF(BW706=1,"Lose – Tablare geschätzt; ","")))&amp;IF(H706&gt;AT706,"Überbestand "&amp;ROUND(H706-AT706,0)&amp;" Stk / CHF "&amp;ROUND((H706-AT706)*G706,0)&amp;"; ","")&amp;IF(AND(CE706=1,CF706&lt;CG706),"MAX &lt; MB+LG; ","")&amp;IF(AND(CK706&gt;0,CJ706*10&gt;CK706),"zu hoch für Tablar; ","")&amp;IF(AND(BS706=0,OR(CE706=1,AA706&lt;&gt;"",U706&lt;&gt;"",V706&lt;&gt;"",AB706&lt;&gt;"")),"manuell übersteuert; ","")&amp;IF(AND(BW706=0,R706=0),"Gebinde unbekannt / Stellmass fehlt; ","")&amp;IF(AND(BW706=0,N(V706)&lt;=0,N(Q706)&lt;=0),"Menge pro Gebinde fehlt (Ist = 1 Gebinde); ","")&amp;BR706)</f>
        <v>Gebinde geschätzt (Gross); Menge pro Gebinde fehlt (Ist = 1 Gebinde); </v>
      </c>
      <c r="BK706" s="48"/>
      <c r="BL706" s="48"/>
      <c r="BM706" s="55"/>
      <c r="BN706" s="50" t="n">
        <v>0</v>
      </c>
      <c r="BO706" s="50" t="n">
        <v>0</v>
      </c>
      <c r="BP706" s="49" t="n">
        <v>0</v>
      </c>
      <c r="BQ706" s="50" t="n">
        <v>2</v>
      </c>
      <c r="BR706" s="48"/>
      <c r="BS706" s="53" t="n">
        <v>0</v>
      </c>
      <c r="BT706" s="53" t="n">
        <v>706</v>
      </c>
      <c r="BU706" s="48" t="str">
        <f aca="false">IF(U706&lt;&gt;"",UPPER(TRIM(U706)),IF(BX706=1,UPPER(VLOOKUP(T706,Parameter!$I$27:$K$29,2,0)),IF(P706="","LOSE",P706)))</f>
        <v>S81</v>
      </c>
      <c r="BV706" s="50" t="n">
        <f aca="false">IF(BU706="LOSE",1,IF(N(V706)&gt;0,V706,IF(BX706=1,MAX(1,N(VLOOKUP(T706,Parameter!$I$27:$K$29,3,0)),H706,N(N706)),IF(N(Q706)&gt;0,Q706,MAX(1,H706)))))</f>
        <v>2</v>
      </c>
      <c r="BW706" s="53" t="n">
        <f aca="false">IF(BU706="LOSE",1,0)</f>
        <v>0</v>
      </c>
      <c r="BX706" s="53" t="n">
        <f aca="false">IF(AND(U706="",OR(P706="",P706="LOSE"),T706&lt;&gt;"",N(S706)&lt;=0,ISNUMBER(MATCH(T706,Parameter!$I$27:$I$29,0))),1,0)</f>
        <v>1</v>
      </c>
      <c r="BY706" s="53" t="n">
        <f aca="false">IF(CL706&gt;0,INDEX(Parameter!$H$5:$H$7,W706)/INDEX(Parameter!$E$5:$E$7,W706),IF(AND(BW706=0,N(IFERROR(VLOOKUP(BU706,'Gebinde-Kategorie'!$A$5:$N$45,14,0),0))&gt;0),VLOOKUP(BU706,'Gebinde-Kategorie'!$A$5:$N$45,14,0)*10+Parameter!$M$23,Parameter!$M$24))</f>
        <v>235</v>
      </c>
      <c r="BZ706" s="48" t="str">
        <f aca="false">IF(AND(Parameter!$B$19="Ja",E706&lt;&gt;"",ISNUMBER(MATCH(E706,Parameter!$I$35:$I$52,0))),VLOOKUP(E706,Parameter!$I$35:$J$52,2,0),IFERROR(VLOOKUP(D706,Parameter!$A$35:$C$64,2,0),"Nein"))</f>
        <v>Nein</v>
      </c>
      <c r="CA706" s="52" t="n">
        <f aca="false">IF(BW706=0,0,IF(N(S706)&gt;0,S706,IFERROR(VLOOKUP(D706,Parameter!$A$35:$C$64,3,0)+0,0)))</f>
        <v>0</v>
      </c>
      <c r="CB706" s="48" t="str">
        <f aca="false">IF(AA706&lt;&gt;"",AA706,Z706)</f>
        <v>-</v>
      </c>
      <c r="CC706" s="48" t="str">
        <f aca="false">IF(OR(CB706=1,CB706=2,CB706=3),IF(Parameter!$E$27="Ja","LIFT",IF(CB706=1,"L1","L23")),IF(CB706="Aussen","Aussen","-"))</f>
        <v>-</v>
      </c>
      <c r="CD706" s="59" t="n">
        <f aca="false">IF(N(AB706)&gt;0,AB706,0)</f>
        <v>0</v>
      </c>
      <c r="CE706" s="53" t="n">
        <f aca="false">IF(ISNUMBER(AE706),1,0)</f>
        <v>0</v>
      </c>
      <c r="CF706" s="50" t="n">
        <f aca="false">N(AE706)</f>
        <v>0</v>
      </c>
      <c r="CG706" s="50" t="n">
        <f aca="false">N(M706)+N(N706)</f>
        <v>1</v>
      </c>
      <c r="CH706" s="50" t="n">
        <f aca="false">ROUNDUP(H706/BV706,0)</f>
        <v>0</v>
      </c>
      <c r="CI706" s="50" t="n">
        <f aca="false">ROUNDUP(CF706/BV706,0)</f>
        <v>0</v>
      </c>
      <c r="CJ706" s="53" t="n">
        <f aca="false">IF(BW706=1,0,IFERROR(VLOOKUP(BU706,'Gebinde-Kategorie'!$A$5:$N$45,5,0)+0,0))</f>
        <v>20</v>
      </c>
      <c r="CK706" s="53" t="n">
        <f aca="false">IFERROR(IF(OR(CB706=1,CB706=2,CB706=3),N(INDEX(Parameter!$I$5:$I$7,CB706)),0),0)</f>
        <v>0</v>
      </c>
      <c r="CL706" s="52" t="n">
        <f aca="false">IF(AND(Parameter!$B$21="Ja",ISNUMBER(W706),N(X706)&gt;0),IFERROR(N(INDEX(Parameter!$L$5:$L$7,W706))*INDEX(Parameter!$E$5:$E$7,W706)*X706/SUMIFS($X$7:$X$1843,$W$7:$W$1843,W706),0),0)</f>
        <v>0</v>
      </c>
    </row>
    <row r="707" customFormat="false" ht="15" hidden="false" customHeight="false" outlineLevel="0" collapsed="false">
      <c r="A707" s="48" t="s">
        <v>1416</v>
      </c>
      <c r="B707" s="48" t="s">
        <v>1417</v>
      </c>
      <c r="C707" s="48" t="s">
        <v>168</v>
      </c>
      <c r="D707" s="48" t="s">
        <v>999</v>
      </c>
      <c r="E707" s="48"/>
      <c r="F707" s="48" t="s">
        <v>222</v>
      </c>
      <c r="G707" s="49" t="n">
        <v>4993.1</v>
      </c>
      <c r="H707" s="50" t="n">
        <f aca="false">MAX(0,IF(AND(Parameter!$B$21="Ja",ISNUMBER(Y707)),Y707,IF(Parameter!$B$20="Jahresanfang 2025 + Export",BO707+BN707,BN707)))</f>
        <v>0</v>
      </c>
      <c r="I707" s="50" t="n">
        <f aca="false">H707*G707</f>
        <v>0</v>
      </c>
      <c r="J707" s="50" t="n">
        <f aca="false">BQ707*Parameter!$B$18</f>
        <v>0</v>
      </c>
      <c r="K707" s="51" t="n">
        <v>1</v>
      </c>
      <c r="L707" s="52" t="n">
        <v>0</v>
      </c>
      <c r="M707" s="50" t="n">
        <v>0</v>
      </c>
      <c r="N707" s="50" t="n">
        <v>1</v>
      </c>
      <c r="O707" s="53" t="n">
        <v>35</v>
      </c>
      <c r="P707" s="48" t="s">
        <v>172</v>
      </c>
      <c r="Q707" s="50"/>
      <c r="R707" s="53" t="n">
        <f aca="false">IF(BW707=1,0,IFERROR(VLOOKUP(BU707,'Gebinde-Kategorie'!$A$5:$N$45,13,0)+0,0))</f>
        <v>0</v>
      </c>
      <c r="S707" s="54"/>
      <c r="T707" s="55"/>
      <c r="U707" s="55"/>
      <c r="V707" s="55"/>
      <c r="W707" s="48"/>
      <c r="X707" s="50"/>
      <c r="Y707" s="50"/>
      <c r="Z707" s="48" t="str">
        <f aca="false">IF(A707="","",IF(AND(Parameter!$B$21="Ja",ISNUMBER(W707)),W707,IF(BZ707="2+3",IF(ISNUMBER(SEARCH("grosser Artikel",BR707)),2,IFERROR(VLOOKUP(BU707,Parameter!$F$35:$G$64,2,0),2)),IF(OR(BZ707="Nein",BZ707=""),"-",BZ707))))</f>
        <v>-</v>
      </c>
      <c r="AA707" s="55"/>
      <c r="AB707" s="56"/>
      <c r="AC707" s="50" t="n">
        <f aca="false">AT707</f>
        <v>1</v>
      </c>
      <c r="AD707" s="50" t="n">
        <f aca="false">MAX(AT707,H707)</f>
        <v>1</v>
      </c>
      <c r="AE707" s="57"/>
      <c r="AF707" s="50" t="n">
        <f aca="false">IF(LEFT(Cockpit!$C$5,1)="A",H707,IF(CE707=1,CF707,IF(LEFT(Cockpit!$C$5,1)="B",AK707,MAX(AK707,H707))))</f>
        <v>0</v>
      </c>
      <c r="AG707" s="50" t="n">
        <f aca="false">IF(BW707=1,0,ROUNDUP(AF707/BV707,0))</f>
        <v>0</v>
      </c>
      <c r="AH707" s="52" t="n">
        <f aca="false">IF(CL707&gt;0,CL707*MAX(1,AF707/X707),IF(BW707=1,IF(AF707&lt;=0,0,CA707*MAX(1,IF(H707&gt;0,AF707/H707,1))),IF(R707&gt;0,AG707/R707,0))/MAX(0.1,N(Parameter!$M$21)))</f>
        <v>0</v>
      </c>
      <c r="AI707" s="50" t="n">
        <f aca="false">AH707*BY707</f>
        <v>0</v>
      </c>
      <c r="AJ707" s="50" t="n">
        <f aca="false">AF707*G707</f>
        <v>0</v>
      </c>
      <c r="AK707" s="50" t="n">
        <f aca="false">ROUNDUP(MAX(J707/IF(CD707&gt;0,CD707,MAX(0.1,N(Cockpit!$C$6))),CG707)/BV707,0)*BV707</f>
        <v>1</v>
      </c>
      <c r="AL707" s="51" t="n">
        <f aca="false">IF(AI707&gt;0,J707/AI707,-1)</f>
        <v>-1</v>
      </c>
      <c r="AM707" s="51" t="str">
        <f aca="false">IF(AND(OR(CC707="L1",CC707="L23",CC707="LIFT"),AI707&gt;0),SUMIFS($AI$7:$AI$1843,$CC$7:$CC$1843,CC707,$AL$7:$AL$1843,"&gt;"&amp;AL707)+SUMIFS($AI$7:$AI$1843,$CC$7:$CC$1843,CC707,$AL$7:$AL$1843,AL707,$BT$7:$BT$1843,"&lt;="&amp;BT707),"")</f>
        <v/>
      </c>
      <c r="AN707" s="58" t="n">
        <f aca="false">IF(AM707="",0,MAX(0,MIN(1,(IF(CC707="L1",Parameter!$H$5,IF(CC707="L23",Parameter!$H$6+Parameter!$H$7,Parameter!$H$5+Parameter!$H$6+Parameter!$H$7))-(AM707-AI707))/AI707)))</f>
        <v>0</v>
      </c>
      <c r="AO707" s="50" t="n">
        <f aca="false">IF(LEFT(Cockpit!$I$5,1)="A",H707,IF(CE707=1,CF707,IF(LEFT(Cockpit!$I$5,1)="B",AT707,MAX(AT707,H707))))</f>
        <v>1</v>
      </c>
      <c r="AP707" s="50" t="n">
        <f aca="false">IF(BW707=1,0,ROUNDUP(AO707/BV707,0))</f>
        <v>0</v>
      </c>
      <c r="AQ707" s="52" t="n">
        <f aca="false">IF(CL707&gt;0,CL707*MAX(1,AO707/X707),IF(BW707=1,IF(AO707&lt;=0,0,CA707*MAX(1,IF(H707&gt;0,AO707/H707,1))),IF(R707&gt;0,AP707/R707,0))/MAX(0.1,N(Parameter!$M$21)))</f>
        <v>0.15</v>
      </c>
      <c r="AR707" s="50" t="n">
        <f aca="false">AQ707*BY707</f>
        <v>35.25</v>
      </c>
      <c r="AS707" s="50" t="n">
        <f aca="false">AO707*G707</f>
        <v>4993.1</v>
      </c>
      <c r="AT707" s="50" t="n">
        <f aca="false">ROUNDUP(MAX(J707/IF(CD707&gt;0,CD707,MAX(0.1,N(Cockpit!$I$6))),CG707)/BV707,0)*BV707</f>
        <v>1</v>
      </c>
      <c r="AU707" s="51" t="n">
        <f aca="false">IF(AR707&gt;0,J707/AR707,-1)</f>
        <v>0</v>
      </c>
      <c r="AV707" s="51" t="str">
        <f aca="false">IF(AND(OR(CC707="L1",CC707="L23",CC707="LIFT"),AR707&gt;0),SUMIFS($AR$7:$AR$1843,$CC$7:$CC$1843,CC707,$AU$7:$AU$1843,"&gt;"&amp;AU707)+SUMIFS($AR$7:$AR$1843,$CC$7:$CC$1843,CC707,$AU$7:$AU$1843,AU707,$BT$7:$BT$1843,"&lt;="&amp;BT707),"")</f>
        <v/>
      </c>
      <c r="AW707" s="58" t="n">
        <f aca="false">IF(AV707="",0,MAX(0,MIN(1,(IF(CC707="L1",Parameter!$H$5,IF(CC707="L23",Parameter!$H$6+Parameter!$H$7,Parameter!$H$5+Parameter!$H$6+Parameter!$H$7))-(AV707-AR707))/AR707)))</f>
        <v>0</v>
      </c>
      <c r="AX707" s="50" t="n">
        <f aca="false">IF(LEFT(Cockpit!$O$5,1)="A",H707,IF(CE707=1,CF707,IF(LEFT(Cockpit!$O$5,1)="B",BC707,MAX(BC707,H707))))</f>
        <v>1</v>
      </c>
      <c r="AY707" s="50" t="n">
        <f aca="false">IF(BW707=1,0,ROUNDUP(AX707/BV707,0))</f>
        <v>0</v>
      </c>
      <c r="AZ707" s="52" t="n">
        <f aca="false">IF(CL707&gt;0,CL707*MAX(1,AX707/X707),IF(BW707=1,IF(AX707&lt;=0,0,CA707*MAX(1,IF(H707&gt;0,AX707/H707,1))),IF(R707&gt;0,AY707/R707,0))/MAX(0.1,N(Parameter!$M$21)))</f>
        <v>0.15</v>
      </c>
      <c r="BA707" s="50" t="n">
        <f aca="false">AZ707*BY707</f>
        <v>35.25</v>
      </c>
      <c r="BB707" s="50" t="n">
        <f aca="false">AX707*G707</f>
        <v>4993.1</v>
      </c>
      <c r="BC707" s="50" t="n">
        <f aca="false">ROUNDUP(MAX(J707/IF(CD707&gt;0,CD707,MAX(0.1,N(Cockpit!$O$6))),CG707)/BV707,0)*BV707</f>
        <v>1</v>
      </c>
      <c r="BD707" s="51" t="n">
        <f aca="false">IF(BA707&gt;0,J707/BA707,-1)</f>
        <v>0</v>
      </c>
      <c r="BE707" s="51" t="str">
        <f aca="false">IF(AND(OR(CC707="L1",CC707="L23",CC707="LIFT"),BA707&gt;0),SUMIFS($BA$7:$BA$1843,$CC$7:$CC$1843,CC707,$BD$7:$BD$1843,"&gt;"&amp;BD707)+SUMIFS($BA$7:$BA$1843,$CC$7:$CC$1843,CC707,$BD$7:$BD$1843,BD707,$BT$7:$BT$1843,"&lt;="&amp;BT707),"")</f>
        <v/>
      </c>
      <c r="BF707" s="58" t="n">
        <f aca="false">IF(BE707="",0,MAX(0,MIN(1,(IF(CC707="L1",Parameter!$H$5,IF(CC707="L23",Parameter!$H$6+Parameter!$H$7,Parameter!$H$5+Parameter!$H$6+Parameter!$H$7))-(BE707-BA707))/BA707)))</f>
        <v>0</v>
      </c>
      <c r="BG707" s="48" t="str">
        <f aca="false">IF(AI707&lt;=0,"",IF(CC707="Aussen","Aussenlager",IF(CC707="-","Nicht im Lift",IF(AN707&gt;=1,"Lift",IF(AN707&lt;=0,"Aussenlager","teilweise")))))</f>
        <v/>
      </c>
      <c r="BH707" s="48" t="str">
        <f aca="false">IF(AR707&lt;=0,"",IF(CC707="Aussen","Aussenlager",IF(CC707="-","Nicht im Lift",IF(AW707&gt;=1,"Lift",IF(AW707&lt;=0,"Aussenlager","teilweise")))))</f>
        <v>Nicht im Lift</v>
      </c>
      <c r="BI707" s="48" t="str">
        <f aca="false">IF(BA707&lt;=0,"",IF(CC707="Aussen","Aussenlager",IF(CC707="-","Nicht im Lift",IF(BF707&gt;=1,"Lift",IF(BF707&lt;=0,"Aussenlager","teilweise")))))</f>
        <v>Nicht im Lift</v>
      </c>
      <c r="BJ707" s="48" t="str">
        <f aca="false">IF(A707="","",IF(BS707=1,"Neu; ","")&amp;IF(AND(BS707=0,BN707&lt;0),"negativer Bestand (Export "&amp;BN707&amp;"); ","")&amp;IF(J707&lt;=0,"Kein Verbrauch; ","")&amp;IF(CL707&gt;0,"Lift "&amp;W707&amp;" lt. Liftbericht (Fach "&amp;X707&amp;" Stk); ",IF(BX707=1,"Gebinde geschätzt ("&amp;T707&amp;"); ",IF(BW707=1,"Lose – Tablare geschätzt; ","")))&amp;IF(H707&gt;AT707,"Überbestand "&amp;ROUND(H707-AT707,0)&amp;" Stk / CHF "&amp;ROUND((H707-AT707)*G707,0)&amp;"; ","")&amp;IF(AND(CE707=1,CF707&lt;CG707),"MAX &lt; MB+LG; ","")&amp;IF(AND(CK707&gt;0,CJ707*10&gt;CK707),"zu hoch für Tablar; ","")&amp;IF(AND(BS707=0,OR(CE707=1,AA707&lt;&gt;"",U707&lt;&gt;"",V707&lt;&gt;"",AB707&lt;&gt;"")),"manuell übersteuert; ","")&amp;IF(AND(BW707=0,R707=0),"Gebinde unbekannt / Stellmass fehlt; ","")&amp;IF(AND(BW707=0,N(V707)&lt;=0,N(Q707)&lt;=0),"Menge pro Gebinde fehlt (Ist = 1 Gebinde); ","")&amp;BR707)</f>
        <v>Kein Verbrauch; Lose – Tablare geschätzt; </v>
      </c>
      <c r="BK707" s="48"/>
      <c r="BL707" s="48"/>
      <c r="BM707" s="55"/>
      <c r="BN707" s="50" t="n">
        <v>0</v>
      </c>
      <c r="BO707" s="50" t="n">
        <v>0</v>
      </c>
      <c r="BP707" s="49" t="n">
        <v>0</v>
      </c>
      <c r="BQ707" s="50" t="n">
        <v>0</v>
      </c>
      <c r="BR707" s="48"/>
      <c r="BS707" s="53" t="n">
        <v>0</v>
      </c>
      <c r="BT707" s="53" t="n">
        <v>707</v>
      </c>
      <c r="BU707" s="48" t="str">
        <f aca="false">IF(U707&lt;&gt;"",UPPER(TRIM(U707)),IF(BX707=1,UPPER(VLOOKUP(T707,Parameter!$I$27:$K$29,2,0)),IF(P707="","LOSE",P707)))</f>
        <v>LOSE</v>
      </c>
      <c r="BV707" s="50" t="n">
        <f aca="false">IF(BU707="LOSE",1,IF(N(V707)&gt;0,V707,IF(BX707=1,MAX(1,N(VLOOKUP(T707,Parameter!$I$27:$K$29,3,0)),H707,N(N707)),IF(N(Q707)&gt;0,Q707,MAX(1,H707)))))</f>
        <v>1</v>
      </c>
      <c r="BW707" s="53" t="n">
        <f aca="false">IF(BU707="LOSE",1,0)</f>
        <v>1</v>
      </c>
      <c r="BX707" s="53" t="n">
        <f aca="false">IF(AND(U707="",OR(P707="",P707="LOSE"),T707&lt;&gt;"",N(S707)&lt;=0,ISNUMBER(MATCH(T707,Parameter!$I$27:$I$29,0))),1,0)</f>
        <v>0</v>
      </c>
      <c r="BY707" s="53" t="n">
        <f aca="false">IF(CL707&gt;0,INDEX(Parameter!$H$5:$H$7,W707)/INDEX(Parameter!$E$5:$E$7,W707),IF(AND(BW707=0,N(IFERROR(VLOOKUP(BU707,'Gebinde-Kategorie'!$A$5:$N$45,14,0),0))&gt;0),VLOOKUP(BU707,'Gebinde-Kategorie'!$A$5:$N$45,14,0)*10+Parameter!$M$23,Parameter!$M$24))</f>
        <v>235</v>
      </c>
      <c r="BZ707" s="48" t="str">
        <f aca="false">IF(AND(Parameter!$B$19="Ja",E707&lt;&gt;"",ISNUMBER(MATCH(E707,Parameter!$I$35:$I$52,0))),VLOOKUP(E707,Parameter!$I$35:$J$52,2,0),IFERROR(VLOOKUP(D707,Parameter!$A$35:$C$64,2,0),"Nein"))</f>
        <v>Nein</v>
      </c>
      <c r="CA707" s="52" t="n">
        <f aca="false">IF(BW707=0,0,IF(N(S707)&gt;0,S707,IFERROR(VLOOKUP(D707,Parameter!$A$35:$C$64,3,0)+0,0)))</f>
        <v>0.15</v>
      </c>
      <c r="CB707" s="48" t="str">
        <f aca="false">IF(AA707&lt;&gt;"",AA707,Z707)</f>
        <v>-</v>
      </c>
      <c r="CC707" s="48" t="str">
        <f aca="false">IF(OR(CB707=1,CB707=2,CB707=3),IF(Parameter!$E$27="Ja","LIFT",IF(CB707=1,"L1","L23")),IF(CB707="Aussen","Aussen","-"))</f>
        <v>-</v>
      </c>
      <c r="CD707" s="59" t="n">
        <f aca="false">IF(N(AB707)&gt;0,AB707,0)</f>
        <v>0</v>
      </c>
      <c r="CE707" s="53" t="n">
        <f aca="false">IF(ISNUMBER(AE707),1,0)</f>
        <v>0</v>
      </c>
      <c r="CF707" s="50" t="n">
        <f aca="false">N(AE707)</f>
        <v>0</v>
      </c>
      <c r="CG707" s="50" t="n">
        <f aca="false">N(M707)+N(N707)</f>
        <v>1</v>
      </c>
      <c r="CH707" s="50" t="n">
        <f aca="false">ROUNDUP(H707/BV707,0)</f>
        <v>0</v>
      </c>
      <c r="CI707" s="50" t="n">
        <f aca="false">ROUNDUP(CF707/BV707,0)</f>
        <v>0</v>
      </c>
      <c r="CJ707" s="53" t="n">
        <f aca="false">IF(BW707=1,0,IFERROR(VLOOKUP(BU707,'Gebinde-Kategorie'!$A$5:$N$45,5,0)+0,0))</f>
        <v>0</v>
      </c>
      <c r="CK707" s="53" t="n">
        <f aca="false">IFERROR(IF(OR(CB707=1,CB707=2,CB707=3),N(INDEX(Parameter!$I$5:$I$7,CB707)),0),0)</f>
        <v>0</v>
      </c>
      <c r="CL707" s="52" t="n">
        <f aca="false">IF(AND(Parameter!$B$21="Ja",ISNUMBER(W707),N(X707)&gt;0),IFERROR(N(INDEX(Parameter!$L$5:$L$7,W707))*INDEX(Parameter!$E$5:$E$7,W707)*X707/SUMIFS($X$7:$X$1843,$W$7:$W$1843,W707),0),0)</f>
        <v>0</v>
      </c>
    </row>
    <row r="708" customFormat="false" ht="15" hidden="false" customHeight="false" outlineLevel="0" collapsed="false">
      <c r="A708" s="48" t="s">
        <v>1418</v>
      </c>
      <c r="B708" s="48" t="s">
        <v>371</v>
      </c>
      <c r="C708" s="48" t="s">
        <v>168</v>
      </c>
      <c r="D708" s="48" t="s">
        <v>188</v>
      </c>
      <c r="E708" s="48"/>
      <c r="F708" s="48" t="s">
        <v>222</v>
      </c>
      <c r="G708" s="49" t="n">
        <v>5.85</v>
      </c>
      <c r="H708" s="50" t="n">
        <f aca="false">MAX(0,IF(AND(Parameter!$B$21="Ja",ISNUMBER(Y708)),Y708,IF(Parameter!$B$20="Jahresanfang 2025 + Export",BO708+BN708,BN708)))</f>
        <v>43</v>
      </c>
      <c r="I708" s="50" t="n">
        <f aca="false">H708*G708</f>
        <v>251.55</v>
      </c>
      <c r="J708" s="50" t="n">
        <f aca="false">BQ708*Parameter!$B$18</f>
        <v>0</v>
      </c>
      <c r="K708" s="51" t="n">
        <v>43.5</v>
      </c>
      <c r="L708" s="52" t="n">
        <v>0</v>
      </c>
      <c r="M708" s="50" t="n">
        <v>0</v>
      </c>
      <c r="N708" s="50" t="n">
        <v>1</v>
      </c>
      <c r="O708" s="53" t="n">
        <v>21</v>
      </c>
      <c r="P708" s="48" t="s">
        <v>405</v>
      </c>
      <c r="Q708" s="50" t="n">
        <v>50</v>
      </c>
      <c r="R708" s="53" t="n">
        <f aca="false">IF(BW708=1,0,IFERROR(VLOOKUP(BU708,'Gebinde-Kategorie'!$A$5:$N$45,13,0)+0,0))</f>
        <v>280</v>
      </c>
      <c r="S708" s="54"/>
      <c r="T708" s="55"/>
      <c r="U708" s="55"/>
      <c r="V708" s="55"/>
      <c r="W708" s="48"/>
      <c r="X708" s="50"/>
      <c r="Y708" s="50"/>
      <c r="Z708" s="48" t="n">
        <f aca="false">IF(A708="","",IF(AND(Parameter!$B$21="Ja",ISNUMBER(W708)),W708,IF(BZ708="2+3",IF(ISNUMBER(SEARCH("grosser Artikel",BR708)),2,IFERROR(VLOOKUP(BU708,Parameter!$F$35:$G$64,2,0),2)),IF(OR(BZ708="Nein",BZ708=""),"-",BZ708))))</f>
        <v>3</v>
      </c>
      <c r="AA708" s="55"/>
      <c r="AB708" s="56"/>
      <c r="AC708" s="50" t="n">
        <f aca="false">AT708</f>
        <v>50</v>
      </c>
      <c r="AD708" s="50" t="n">
        <f aca="false">MAX(AT708,H708)</f>
        <v>50</v>
      </c>
      <c r="AE708" s="57"/>
      <c r="AF708" s="50" t="n">
        <f aca="false">IF(LEFT(Cockpit!$C$5,1)="A",H708,IF(CE708=1,CF708,IF(LEFT(Cockpit!$C$5,1)="B",AK708,MAX(AK708,H708))))</f>
        <v>43</v>
      </c>
      <c r="AG708" s="50" t="n">
        <f aca="false">IF(BW708=1,0,ROUNDUP(AF708/BV708,0))</f>
        <v>1</v>
      </c>
      <c r="AH708" s="52" t="n">
        <f aca="false">IF(CL708&gt;0,CL708*MAX(1,AF708/X708),IF(BW708=1,IF(AF708&lt;=0,0,CA708*MAX(1,IF(H708&gt;0,AF708/H708,1))),IF(R708&gt;0,AG708/R708,0))/MAX(0.1,N(Parameter!$M$21)))</f>
        <v>0.00357142857142857</v>
      </c>
      <c r="AI708" s="50" t="n">
        <f aca="false">AH708*BY708</f>
        <v>0.553571428571429</v>
      </c>
      <c r="AJ708" s="50" t="n">
        <f aca="false">AF708*G708</f>
        <v>251.55</v>
      </c>
      <c r="AK708" s="50" t="n">
        <f aca="false">ROUNDUP(MAX(J708/IF(CD708&gt;0,CD708,MAX(0.1,N(Cockpit!$C$6))),CG708)/BV708,0)*BV708</f>
        <v>50</v>
      </c>
      <c r="AL708" s="51" t="n">
        <f aca="false">IF(AI708&gt;0,J708/AI708,-1)</f>
        <v>0</v>
      </c>
      <c r="AM708" s="51" t="n">
        <f aca="false">IF(AND(OR(CC708="L1",CC708="L23",CC708="LIFT"),AI708&gt;0),SUMIFS($AI$7:$AI$1843,$CC$7:$CC$1843,CC708,$AL$7:$AL$1843,"&gt;"&amp;AL708)+SUMIFS($AI$7:$AI$1843,$CC$7:$CC$1843,CC708,$AL$7:$AL$1843,AL708,$BT$7:$BT$1843,"&lt;="&amp;BT708),"")</f>
        <v>28631.6929337141</v>
      </c>
      <c r="AN708" s="58" t="n">
        <f aca="false">IF(AM708="",0,MAX(0,MIN(1,(IF(CC708="L1",Parameter!$H$5,IF(CC708="L23",Parameter!$H$6+Parameter!$H$7,Parameter!$H$5+Parameter!$H$6+Parameter!$H$7))-(AM708-AI708))/AI708)))</f>
        <v>1</v>
      </c>
      <c r="AO708" s="50" t="n">
        <f aca="false">IF(LEFT(Cockpit!$I$5,1)="A",H708,IF(CE708=1,CF708,IF(LEFT(Cockpit!$I$5,1)="B",AT708,MAX(AT708,H708))))</f>
        <v>50</v>
      </c>
      <c r="AP708" s="50" t="n">
        <f aca="false">IF(BW708=1,0,ROUNDUP(AO708/BV708,0))</f>
        <v>1</v>
      </c>
      <c r="AQ708" s="52" t="n">
        <f aca="false">IF(CL708&gt;0,CL708*MAX(1,AO708/X708),IF(BW708=1,IF(AO708&lt;=0,0,CA708*MAX(1,IF(H708&gt;0,AO708/H708,1))),IF(R708&gt;0,AP708/R708,0))/MAX(0.1,N(Parameter!$M$21)))</f>
        <v>0.00357142857142857</v>
      </c>
      <c r="AR708" s="50" t="n">
        <f aca="false">AQ708*BY708</f>
        <v>0.553571428571429</v>
      </c>
      <c r="AS708" s="50" t="n">
        <f aca="false">AO708*G708</f>
        <v>292.5</v>
      </c>
      <c r="AT708" s="50" t="n">
        <f aca="false">ROUNDUP(MAX(J708/IF(CD708&gt;0,CD708,MAX(0.1,N(Cockpit!$I$6))),CG708)/BV708,0)*BV708</f>
        <v>50</v>
      </c>
      <c r="AU708" s="51" t="n">
        <f aca="false">IF(AR708&gt;0,J708/AR708,-1)</f>
        <v>0</v>
      </c>
      <c r="AV708" s="51" t="n">
        <f aca="false">IF(AND(OR(CC708="L1",CC708="L23",CC708="LIFT"),AR708&gt;0),SUMIFS($AR$7:$AR$1843,$CC$7:$CC$1843,CC708,$AU$7:$AU$1843,"&gt;"&amp;AU708)+SUMIFS($AR$7:$AR$1843,$CC$7:$CC$1843,CC708,$AU$7:$AU$1843,AU708,$BT$7:$BT$1843,"&lt;="&amp;BT708),"")</f>
        <v>40019.0302275408</v>
      </c>
      <c r="AW708" s="58" t="n">
        <f aca="false">IF(AV708="",0,MAX(0,MIN(1,(IF(CC708="L1",Parameter!$H$5,IF(CC708="L23",Parameter!$H$6+Parameter!$H$7,Parameter!$H$5+Parameter!$H$6+Parameter!$H$7))-(AV708-AR708))/AR708)))</f>
        <v>0</v>
      </c>
      <c r="AX708" s="50" t="n">
        <f aca="false">IF(LEFT(Cockpit!$O$5,1)="A",H708,IF(CE708=1,CF708,IF(LEFT(Cockpit!$O$5,1)="B",BC708,MAX(BC708,H708))))</f>
        <v>50</v>
      </c>
      <c r="AY708" s="50" t="n">
        <f aca="false">IF(BW708=1,0,ROUNDUP(AX708/BV708,0))</f>
        <v>1</v>
      </c>
      <c r="AZ708" s="52" t="n">
        <f aca="false">IF(CL708&gt;0,CL708*MAX(1,AX708/X708),IF(BW708=1,IF(AX708&lt;=0,0,CA708*MAX(1,IF(H708&gt;0,AX708/H708,1))),IF(R708&gt;0,AY708/R708,0))/MAX(0.1,N(Parameter!$M$21)))</f>
        <v>0.00357142857142857</v>
      </c>
      <c r="BA708" s="50" t="n">
        <f aca="false">AZ708*BY708</f>
        <v>0.553571428571429</v>
      </c>
      <c r="BB708" s="50" t="n">
        <f aca="false">AX708*G708</f>
        <v>292.5</v>
      </c>
      <c r="BC708" s="50" t="n">
        <f aca="false">ROUNDUP(MAX(J708/IF(CD708&gt;0,CD708,MAX(0.1,N(Cockpit!$O$6))),CG708)/BV708,0)*BV708</f>
        <v>50</v>
      </c>
      <c r="BD708" s="51" t="n">
        <f aca="false">IF(BA708&gt;0,J708/BA708,-1)</f>
        <v>0</v>
      </c>
      <c r="BE708" s="51" t="n">
        <f aca="false">IF(AND(OR(CC708="L1",CC708="L23",CC708="LIFT"),BA708&gt;0),SUMIFS($BA$7:$BA$1843,$CC$7:$CC$1843,CC708,$BD$7:$BD$1843,"&gt;"&amp;BD708)+SUMIFS($BA$7:$BA$1843,$CC$7:$CC$1843,CC708,$BD$7:$BD$1843,BD708,$BT$7:$BT$1843,"&lt;="&amp;BT708),"")</f>
        <v>36694.0422694067</v>
      </c>
      <c r="BF708" s="58" t="n">
        <f aca="false">IF(BE708="",0,MAX(0,MIN(1,(IF(CC708="L1",Parameter!$H$5,IF(CC708="L23",Parameter!$H$6+Parameter!$H$7,Parameter!$H$5+Parameter!$H$6+Parameter!$H$7))-(BE708-BA708))/BA708)))</f>
        <v>0</v>
      </c>
      <c r="BG708" s="48" t="str">
        <f aca="false">IF(AI708&lt;=0,"",IF(CC708="Aussen","Aussenlager",IF(CC708="-","Nicht im Lift",IF(AN708&gt;=1,"Lift",IF(AN708&lt;=0,"Aussenlager","teilweise")))))</f>
        <v>Lift</v>
      </c>
      <c r="BH708" s="48" t="str">
        <f aca="false">IF(AR708&lt;=0,"",IF(CC708="Aussen","Aussenlager",IF(CC708="-","Nicht im Lift",IF(AW708&gt;=1,"Lift",IF(AW708&lt;=0,"Aussenlager","teilweise")))))</f>
        <v>Aussenlager</v>
      </c>
      <c r="BI708" s="48" t="str">
        <f aca="false">IF(BA708&lt;=0,"",IF(CC708="Aussen","Aussenlager",IF(CC708="-","Nicht im Lift",IF(BF708&gt;=1,"Lift",IF(BF708&lt;=0,"Aussenlager","teilweise")))))</f>
        <v>Aussenlager</v>
      </c>
      <c r="BJ708" s="48" t="str">
        <f aca="false">IF(A708="","",IF(BS708=1,"Neu; ","")&amp;IF(AND(BS708=0,BN708&lt;0),"negativer Bestand (Export "&amp;BN708&amp;"); ","")&amp;IF(J708&lt;=0,"Kein Verbrauch; ","")&amp;IF(CL708&gt;0,"Lift "&amp;W708&amp;" lt. Liftbericht (Fach "&amp;X708&amp;" Stk); ",IF(BX708=1,"Gebinde geschätzt ("&amp;T708&amp;"); ",IF(BW708=1,"Lose – Tablare geschätzt; ","")))&amp;IF(H708&gt;AT708,"Überbestand "&amp;ROUND(H708-AT708,0)&amp;" Stk / CHF "&amp;ROUND((H708-AT708)*G708,0)&amp;"; ","")&amp;IF(AND(CE708=1,CF708&lt;CG708),"MAX &lt; MB+LG; ","")&amp;IF(AND(CK708&gt;0,CJ708*10&gt;CK708),"zu hoch für Tablar; ","")&amp;IF(AND(BS708=0,OR(CE708=1,AA708&lt;&gt;"",U708&lt;&gt;"",V708&lt;&gt;"",AB708&lt;&gt;"")),"manuell übersteuert; ","")&amp;IF(AND(BW708=0,R708=0),"Gebinde unbekannt / Stellmass fehlt; ","")&amp;IF(AND(BW708=0,N(V708)&lt;=0,N(Q708)&lt;=0),"Menge pro Gebinde fehlt (Ist = 1 Gebinde); ","")&amp;BR708)</f>
        <v>Kein Verbrauch; </v>
      </c>
      <c r="BK708" s="48"/>
      <c r="BL708" s="48"/>
      <c r="BM708" s="55"/>
      <c r="BN708" s="50" t="n">
        <v>0</v>
      </c>
      <c r="BO708" s="50" t="n">
        <v>43</v>
      </c>
      <c r="BP708" s="49" t="n">
        <v>0</v>
      </c>
      <c r="BQ708" s="50" t="n">
        <v>0</v>
      </c>
      <c r="BR708" s="48"/>
      <c r="BS708" s="53" t="n">
        <v>0</v>
      </c>
      <c r="BT708" s="53" t="n">
        <v>708</v>
      </c>
      <c r="BU708" s="48" t="str">
        <f aca="false">IF(U708&lt;&gt;"",UPPER(TRIM(U708)),IF(BX708=1,UPPER(VLOOKUP(T708,Parameter!$I$27:$K$29,2,0)),IF(P708="","LOSE",P708)))</f>
        <v>S21</v>
      </c>
      <c r="BV708" s="50" t="n">
        <f aca="false">IF(BU708="LOSE",1,IF(N(V708)&gt;0,V708,IF(BX708=1,MAX(1,N(VLOOKUP(T708,Parameter!$I$27:$K$29,3,0)),H708,N(N708)),IF(N(Q708)&gt;0,Q708,MAX(1,H708)))))</f>
        <v>50</v>
      </c>
      <c r="BW708" s="53" t="n">
        <f aca="false">IF(BU708="LOSE",1,0)</f>
        <v>0</v>
      </c>
      <c r="BX708" s="53" t="n">
        <f aca="false">IF(AND(U708="",OR(P708="",P708="LOSE"),T708&lt;&gt;"",N(S708)&lt;=0,ISNUMBER(MATCH(T708,Parameter!$I$27:$I$29,0))),1,0)</f>
        <v>0</v>
      </c>
      <c r="BY708" s="53" t="n">
        <f aca="false">IF(CL708&gt;0,INDEX(Parameter!$H$5:$H$7,W708)/INDEX(Parameter!$E$5:$E$7,W708),IF(AND(BW708=0,N(IFERROR(VLOOKUP(BU708,'Gebinde-Kategorie'!$A$5:$N$45,14,0),0))&gt;0),VLOOKUP(BU708,'Gebinde-Kategorie'!$A$5:$N$45,14,0)*10+Parameter!$M$23,Parameter!$M$24))</f>
        <v>155</v>
      </c>
      <c r="BZ708" s="48" t="str">
        <f aca="false">IF(AND(Parameter!$B$19="Ja",E708&lt;&gt;"",ISNUMBER(MATCH(E708,Parameter!$I$35:$I$52,0))),VLOOKUP(E708,Parameter!$I$35:$J$52,2,0),IFERROR(VLOOKUP(D708,Parameter!$A$35:$C$64,2,0),"Nein"))</f>
        <v>2+3</v>
      </c>
      <c r="CA708" s="52" t="n">
        <f aca="false">IF(BW708=0,0,IF(N(S708)&gt;0,S708,IFERROR(VLOOKUP(D708,Parameter!$A$35:$C$64,3,0)+0,0)))</f>
        <v>0</v>
      </c>
      <c r="CB708" s="48" t="n">
        <f aca="false">IF(AA708&lt;&gt;"",AA708,Z708)</f>
        <v>3</v>
      </c>
      <c r="CC708" s="48" t="str">
        <f aca="false">IF(OR(CB708=1,CB708=2,CB708=3),IF(Parameter!$E$27="Ja","LIFT",IF(CB708=1,"L1","L23")),IF(CB708="Aussen","Aussen","-"))</f>
        <v>LIFT</v>
      </c>
      <c r="CD708" s="59" t="n">
        <f aca="false">IF(N(AB708)&gt;0,AB708,0)</f>
        <v>0</v>
      </c>
      <c r="CE708" s="53" t="n">
        <f aca="false">IF(ISNUMBER(AE708),1,0)</f>
        <v>0</v>
      </c>
      <c r="CF708" s="50" t="n">
        <f aca="false">N(AE708)</f>
        <v>0</v>
      </c>
      <c r="CG708" s="50" t="n">
        <f aca="false">N(M708)+N(N708)</f>
        <v>1</v>
      </c>
      <c r="CH708" s="50" t="n">
        <f aca="false">ROUNDUP(H708/BV708,0)</f>
        <v>1</v>
      </c>
      <c r="CI708" s="50" t="n">
        <f aca="false">ROUNDUP(CF708/BV708,0)</f>
        <v>0</v>
      </c>
      <c r="CJ708" s="53" t="n">
        <f aca="false">IF(BW708=1,0,IFERROR(VLOOKUP(BU708,'Gebinde-Kategorie'!$A$5:$N$45,5,0)+0,0))</f>
        <v>8</v>
      </c>
      <c r="CK708" s="53" t="n">
        <f aca="false">IFERROR(IF(OR(CB708=1,CB708=2,CB708=3),N(INDEX(Parameter!$I$5:$I$7,CB708)),0),0)</f>
        <v>0</v>
      </c>
      <c r="CL708" s="52" t="n">
        <f aca="false">IF(AND(Parameter!$B$21="Ja",ISNUMBER(W708),N(X708)&gt;0),IFERROR(N(INDEX(Parameter!$L$5:$L$7,W708))*INDEX(Parameter!$E$5:$E$7,W708)*X708/SUMIFS($X$7:$X$1843,$W$7:$W$1843,W708),0),0)</f>
        <v>0</v>
      </c>
    </row>
    <row r="709" customFormat="false" ht="15" hidden="false" customHeight="false" outlineLevel="0" collapsed="false">
      <c r="A709" s="48" t="s">
        <v>1419</v>
      </c>
      <c r="B709" s="48" t="s">
        <v>1332</v>
      </c>
      <c r="C709" s="48" t="s">
        <v>168</v>
      </c>
      <c r="D709" s="48" t="s">
        <v>188</v>
      </c>
      <c r="E709" s="48" t="s">
        <v>189</v>
      </c>
      <c r="F709" s="48" t="s">
        <v>222</v>
      </c>
      <c r="G709" s="49" t="n">
        <v>55.5</v>
      </c>
      <c r="H709" s="50" t="n">
        <f aca="false">MAX(0,IF(AND(Parameter!$B$21="Ja",ISNUMBER(Y709)),Y709,IF(Parameter!$B$20="Jahresanfang 2025 + Export",BO709+BN709,BN709)))</f>
        <v>4</v>
      </c>
      <c r="I709" s="50" t="n">
        <f aca="false">H709*G709</f>
        <v>222</v>
      </c>
      <c r="J709" s="50" t="n">
        <f aca="false">BQ709*Parameter!$B$18</f>
        <v>2</v>
      </c>
      <c r="K709" s="51" t="n">
        <v>3</v>
      </c>
      <c r="L709" s="52" t="n">
        <v>0.666666666666667</v>
      </c>
      <c r="M709" s="50" t="n">
        <v>0</v>
      </c>
      <c r="N709" s="50" t="n">
        <v>1</v>
      </c>
      <c r="O709" s="53" t="n">
        <v>28</v>
      </c>
      <c r="P709" s="48" t="s">
        <v>306</v>
      </c>
      <c r="Q709" s="50" t="n">
        <v>6</v>
      </c>
      <c r="R709" s="53" t="n">
        <f aca="false">IF(BW709=1,0,IFERROR(VLOOKUP(BU709,'Gebinde-Kategorie'!$A$5:$N$45,13,0)+0,0))</f>
        <v>26</v>
      </c>
      <c r="S709" s="54"/>
      <c r="T709" s="55"/>
      <c r="U709" s="55"/>
      <c r="V709" s="55"/>
      <c r="W709" s="48"/>
      <c r="X709" s="50"/>
      <c r="Y709" s="50"/>
      <c r="Z709" s="48" t="n">
        <f aca="false">IF(A709="","",IF(AND(Parameter!$B$21="Ja",ISNUMBER(W709)),W709,IF(BZ709="2+3",IF(ISNUMBER(SEARCH("grosser Artikel",BR709)),2,IFERROR(VLOOKUP(BU709,Parameter!$F$35:$G$64,2,0),2)),IF(OR(BZ709="Nein",BZ709=""),"-",BZ709))))</f>
        <v>3</v>
      </c>
      <c r="AA709" s="55"/>
      <c r="AB709" s="56"/>
      <c r="AC709" s="50" t="n">
        <f aca="false">AT709</f>
        <v>6</v>
      </c>
      <c r="AD709" s="50" t="n">
        <f aca="false">MAX(AT709,H709)</f>
        <v>6</v>
      </c>
      <c r="AE709" s="57"/>
      <c r="AF709" s="50" t="n">
        <f aca="false">IF(LEFT(Cockpit!$C$5,1)="A",H709,IF(CE709=1,CF709,IF(LEFT(Cockpit!$C$5,1)="B",AK709,MAX(AK709,H709))))</f>
        <v>4</v>
      </c>
      <c r="AG709" s="50" t="n">
        <f aca="false">IF(BW709=1,0,ROUNDUP(AF709/BV709,0))</f>
        <v>1</v>
      </c>
      <c r="AH709" s="52" t="n">
        <f aca="false">IF(CL709&gt;0,CL709*MAX(1,AF709/X709),IF(BW709=1,IF(AF709&lt;=0,0,CA709*MAX(1,IF(H709&gt;0,AF709/H709,1))),IF(R709&gt;0,AG709/R709,0))/MAX(0.1,N(Parameter!$M$21)))</f>
        <v>0.0384615384615385</v>
      </c>
      <c r="AI709" s="50" t="n">
        <f aca="false">AH709*BY709</f>
        <v>5.96153846153846</v>
      </c>
      <c r="AJ709" s="50" t="n">
        <f aca="false">AF709*G709</f>
        <v>222</v>
      </c>
      <c r="AK709" s="50" t="n">
        <f aca="false">ROUNDUP(MAX(J709/IF(CD709&gt;0,CD709,MAX(0.1,N(Cockpit!$C$6))),CG709)/BV709,0)*BV709</f>
        <v>6</v>
      </c>
      <c r="AL709" s="51" t="n">
        <f aca="false">IF(AI709&gt;0,J709/AI709,-1)</f>
        <v>0.335483870967742</v>
      </c>
      <c r="AM709" s="51" t="n">
        <f aca="false">IF(AND(OR(CC709="L1",CC709="L23",CC709="LIFT"),AI709&gt;0),SUMIFS($AI$7:$AI$1843,$CC$7:$CC$1843,CC709,$AL$7:$AL$1843,"&gt;"&amp;AL709)+SUMIFS($AI$7:$AI$1843,$CC$7:$CC$1843,CC709,$AL$7:$AL$1843,AL709,$BT$7:$BT$1843,"&lt;="&amp;BT709),"")</f>
        <v>11194.9616548706</v>
      </c>
      <c r="AN709" s="58" t="n">
        <f aca="false">IF(AM709="",0,MAX(0,MIN(1,(IF(CC709="L1",Parameter!$H$5,IF(CC709="L23",Parameter!$H$6+Parameter!$H$7,Parameter!$H$5+Parameter!$H$6+Parameter!$H$7))-(AM709-AI709))/AI709)))</f>
        <v>1</v>
      </c>
      <c r="AO709" s="50" t="n">
        <f aca="false">IF(LEFT(Cockpit!$I$5,1)="A",H709,IF(CE709=1,CF709,IF(LEFT(Cockpit!$I$5,1)="B",AT709,MAX(AT709,H709))))</f>
        <v>6</v>
      </c>
      <c r="AP709" s="50" t="n">
        <f aca="false">IF(BW709=1,0,ROUNDUP(AO709/BV709,0))</f>
        <v>1</v>
      </c>
      <c r="AQ709" s="52" t="n">
        <f aca="false">IF(CL709&gt;0,CL709*MAX(1,AO709/X709),IF(BW709=1,IF(AO709&lt;=0,0,CA709*MAX(1,IF(H709&gt;0,AO709/H709,1))),IF(R709&gt;0,AP709/R709,0))/MAX(0.1,N(Parameter!$M$21)))</f>
        <v>0.0384615384615385</v>
      </c>
      <c r="AR709" s="50" t="n">
        <f aca="false">AQ709*BY709</f>
        <v>5.96153846153846</v>
      </c>
      <c r="AS709" s="50" t="n">
        <f aca="false">AO709*G709</f>
        <v>333</v>
      </c>
      <c r="AT709" s="50" t="n">
        <f aca="false">ROUNDUP(MAX(J709/IF(CD709&gt;0,CD709,MAX(0.1,N(Cockpit!$I$6))),CG709)/BV709,0)*BV709</f>
        <v>6</v>
      </c>
      <c r="AU709" s="51" t="n">
        <f aca="false">IF(AR709&gt;0,J709/AR709,-1)</f>
        <v>0.335483870967742</v>
      </c>
      <c r="AV709" s="51" t="n">
        <f aca="false">IF(AND(OR(CC709="L1",CC709="L23",CC709="LIFT"),AR709&gt;0),SUMIFS($AR$7:$AR$1843,$CC$7:$CC$1843,CC709,$AU$7:$AU$1843,"&gt;"&amp;AU709)+SUMIFS($AR$7:$AR$1843,$CC$7:$CC$1843,CC709,$AU$7:$AU$1843,AU709,$BT$7:$BT$1843,"&lt;="&amp;BT709),"")</f>
        <v>16320.6597985348</v>
      </c>
      <c r="AW709" s="58" t="n">
        <f aca="false">IF(AV709="",0,MAX(0,MIN(1,(IF(CC709="L1",Parameter!$H$5,IF(CC709="L23",Parameter!$H$6+Parameter!$H$7,Parameter!$H$5+Parameter!$H$6+Parameter!$H$7))-(AV709-AR709))/AR709)))</f>
        <v>1</v>
      </c>
      <c r="AX709" s="50" t="n">
        <f aca="false">IF(LEFT(Cockpit!$O$5,1)="A",H709,IF(CE709=1,CF709,IF(LEFT(Cockpit!$O$5,1)="B",BC709,MAX(BC709,H709))))</f>
        <v>6</v>
      </c>
      <c r="AY709" s="50" t="n">
        <f aca="false">IF(BW709=1,0,ROUNDUP(AX709/BV709,0))</f>
        <v>1</v>
      </c>
      <c r="AZ709" s="52" t="n">
        <f aca="false">IF(CL709&gt;0,CL709*MAX(1,AX709/X709),IF(BW709=1,IF(AX709&lt;=0,0,CA709*MAX(1,IF(H709&gt;0,AX709/H709,1))),IF(R709&gt;0,AY709/R709,0))/MAX(0.1,N(Parameter!$M$21)))</f>
        <v>0.0384615384615385</v>
      </c>
      <c r="BA709" s="50" t="n">
        <f aca="false">AZ709*BY709</f>
        <v>5.96153846153846</v>
      </c>
      <c r="BB709" s="50" t="n">
        <f aca="false">AX709*G709</f>
        <v>333</v>
      </c>
      <c r="BC709" s="50" t="n">
        <f aca="false">ROUNDUP(MAX(J709/IF(CD709&gt;0,CD709,MAX(0.1,N(Cockpit!$O$6))),CG709)/BV709,0)*BV709</f>
        <v>6</v>
      </c>
      <c r="BD709" s="51" t="n">
        <f aca="false">IF(BA709&gt;0,J709/BA709,-1)</f>
        <v>0.335483870967742</v>
      </c>
      <c r="BE709" s="51" t="n">
        <f aca="false">IF(AND(OR(CC709="L1",CC709="L23",CC709="LIFT"),BA709&gt;0),SUMIFS($BA$7:$BA$1843,$CC$7:$CC$1843,CC709,$BD$7:$BD$1843,"&gt;"&amp;BD709)+SUMIFS($BA$7:$BA$1843,$CC$7:$CC$1843,CC709,$BD$7:$BD$1843,BD709,$BT$7:$BT$1843,"&lt;="&amp;BT709),"")</f>
        <v>15071.3168498168</v>
      </c>
      <c r="BF709" s="58" t="n">
        <f aca="false">IF(BE709="",0,MAX(0,MIN(1,(IF(CC709="L1",Parameter!$H$5,IF(CC709="L23",Parameter!$H$6+Parameter!$H$7,Parameter!$H$5+Parameter!$H$6+Parameter!$H$7))-(BE709-BA709))/BA709)))</f>
        <v>1</v>
      </c>
      <c r="BG709" s="48" t="str">
        <f aca="false">IF(AI709&lt;=0,"",IF(CC709="Aussen","Aussenlager",IF(CC709="-","Nicht im Lift",IF(AN709&gt;=1,"Lift",IF(AN709&lt;=0,"Aussenlager","teilweise")))))</f>
        <v>Lift</v>
      </c>
      <c r="BH709" s="48" t="str">
        <f aca="false">IF(AR709&lt;=0,"",IF(CC709="Aussen","Aussenlager",IF(CC709="-","Nicht im Lift",IF(AW709&gt;=1,"Lift",IF(AW709&lt;=0,"Aussenlager","teilweise")))))</f>
        <v>Lift</v>
      </c>
      <c r="BI709" s="48" t="str">
        <f aca="false">IF(BA709&lt;=0,"",IF(CC709="Aussen","Aussenlager",IF(CC709="-","Nicht im Lift",IF(BF709&gt;=1,"Lift",IF(BF709&lt;=0,"Aussenlager","teilweise")))))</f>
        <v>Lift</v>
      </c>
      <c r="BJ709" s="48" t="str">
        <f aca="false">IF(A709="","",IF(BS709=1,"Neu; ","")&amp;IF(AND(BS709=0,BN709&lt;0),"negativer Bestand (Export "&amp;BN709&amp;"); ","")&amp;IF(J709&lt;=0,"Kein Verbrauch; ","")&amp;IF(CL709&gt;0,"Lift "&amp;W709&amp;" lt. Liftbericht (Fach "&amp;X709&amp;" Stk); ",IF(BX709=1,"Gebinde geschätzt ("&amp;T709&amp;"); ",IF(BW709=1,"Lose – Tablare geschätzt; ","")))&amp;IF(H709&gt;AT709,"Überbestand "&amp;ROUND(H709-AT709,0)&amp;" Stk / CHF "&amp;ROUND((H709-AT709)*G709,0)&amp;"; ","")&amp;IF(AND(CE709=1,CF709&lt;CG709),"MAX &lt; MB+LG; ","")&amp;IF(AND(CK709&gt;0,CJ709*10&gt;CK709),"zu hoch für Tablar; ","")&amp;IF(AND(BS709=0,OR(CE709=1,AA709&lt;&gt;"",U709&lt;&gt;"",V709&lt;&gt;"",AB709&lt;&gt;"")),"manuell übersteuert; ","")&amp;IF(AND(BW709=0,R709=0),"Gebinde unbekannt / Stellmass fehlt; ","")&amp;IF(AND(BW709=0,N(V709)&lt;=0,N(Q709)&lt;=0),"Menge pro Gebinde fehlt (Ist = 1 Gebinde); ","")&amp;BR709)</f>
        <v/>
      </c>
      <c r="BK709" s="48"/>
      <c r="BL709" s="48"/>
      <c r="BM709" s="55"/>
      <c r="BN709" s="50" t="n">
        <v>0</v>
      </c>
      <c r="BO709" s="50" t="n">
        <v>4</v>
      </c>
      <c r="BP709" s="49" t="n">
        <v>0</v>
      </c>
      <c r="BQ709" s="50" t="n">
        <v>2</v>
      </c>
      <c r="BR709" s="48"/>
      <c r="BS709" s="53" t="n">
        <v>0</v>
      </c>
      <c r="BT709" s="53" t="n">
        <v>709</v>
      </c>
      <c r="BU709" s="48" t="str">
        <f aca="false">IF(U709&lt;&gt;"",UPPER(TRIM(U709)),IF(BX709=1,UPPER(VLOOKUP(T709,Parameter!$I$27:$K$29,2,0)),IF(P709="","LOSE",P709)))</f>
        <v>S51</v>
      </c>
      <c r="BV709" s="50" t="n">
        <f aca="false">IF(BU709="LOSE",1,IF(N(V709)&gt;0,V709,IF(BX709=1,MAX(1,N(VLOOKUP(T709,Parameter!$I$27:$K$29,3,0)),H709,N(N709)),IF(N(Q709)&gt;0,Q709,MAX(1,H709)))))</f>
        <v>6</v>
      </c>
      <c r="BW709" s="53" t="n">
        <f aca="false">IF(BU709="LOSE",1,0)</f>
        <v>0</v>
      </c>
      <c r="BX709" s="53" t="n">
        <f aca="false">IF(AND(U709="",OR(P709="",P709="LOSE"),T709&lt;&gt;"",N(S709)&lt;=0,ISNUMBER(MATCH(T709,Parameter!$I$27:$I$29,0))),1,0)</f>
        <v>0</v>
      </c>
      <c r="BY709" s="53" t="n">
        <f aca="false">IF(CL709&gt;0,INDEX(Parameter!$H$5:$H$7,W709)/INDEX(Parameter!$E$5:$E$7,W709),IF(AND(BW709=0,N(IFERROR(VLOOKUP(BU709,'Gebinde-Kategorie'!$A$5:$N$45,14,0),0))&gt;0),VLOOKUP(BU709,'Gebinde-Kategorie'!$A$5:$N$45,14,0)*10+Parameter!$M$23,Parameter!$M$24))</f>
        <v>155</v>
      </c>
      <c r="BZ709" s="48" t="str">
        <f aca="false">IF(AND(Parameter!$B$19="Ja",E709&lt;&gt;"",ISNUMBER(MATCH(E709,Parameter!$I$35:$I$52,0))),VLOOKUP(E709,Parameter!$I$35:$J$52,2,0),IFERROR(VLOOKUP(D709,Parameter!$A$35:$C$64,2,0),"Nein"))</f>
        <v>2+3</v>
      </c>
      <c r="CA709" s="52" t="n">
        <f aca="false">IF(BW709=0,0,IF(N(S709)&gt;0,S709,IFERROR(VLOOKUP(D709,Parameter!$A$35:$C$64,3,0)+0,0)))</f>
        <v>0</v>
      </c>
      <c r="CB709" s="48" t="n">
        <f aca="false">IF(AA709&lt;&gt;"",AA709,Z709)</f>
        <v>3</v>
      </c>
      <c r="CC709" s="48" t="str">
        <f aca="false">IF(OR(CB709=1,CB709=2,CB709=3),IF(Parameter!$E$27="Ja","LIFT",IF(CB709=1,"L1","L23")),IF(CB709="Aussen","Aussen","-"))</f>
        <v>LIFT</v>
      </c>
      <c r="CD709" s="59" t="n">
        <f aca="false">IF(N(AB709)&gt;0,AB709,0)</f>
        <v>0</v>
      </c>
      <c r="CE709" s="53" t="n">
        <f aca="false">IF(ISNUMBER(AE709),1,0)</f>
        <v>0</v>
      </c>
      <c r="CF709" s="50" t="n">
        <f aca="false">N(AE709)</f>
        <v>0</v>
      </c>
      <c r="CG709" s="50" t="n">
        <f aca="false">N(M709)+N(N709)</f>
        <v>1</v>
      </c>
      <c r="CH709" s="50" t="n">
        <f aca="false">ROUNDUP(H709/BV709,0)</f>
        <v>1</v>
      </c>
      <c r="CI709" s="50" t="n">
        <f aca="false">ROUNDUP(CF709/BV709,0)</f>
        <v>0</v>
      </c>
      <c r="CJ709" s="53" t="n">
        <f aca="false">IF(BW709=1,0,IFERROR(VLOOKUP(BU709,'Gebinde-Kategorie'!$A$5:$N$45,5,0)+0,0))</f>
        <v>11</v>
      </c>
      <c r="CK709" s="53" t="n">
        <f aca="false">IFERROR(IF(OR(CB709=1,CB709=2,CB709=3),N(INDEX(Parameter!$I$5:$I$7,CB709)),0),0)</f>
        <v>0</v>
      </c>
      <c r="CL709" s="52" t="n">
        <f aca="false">IF(AND(Parameter!$B$21="Ja",ISNUMBER(W709),N(X709)&gt;0),IFERROR(N(INDEX(Parameter!$L$5:$L$7,W709))*INDEX(Parameter!$E$5:$E$7,W709)*X709/SUMIFS($X$7:$X$1843,$W$7:$W$1843,W709),0),0)</f>
        <v>0</v>
      </c>
    </row>
    <row r="710" customFormat="false" ht="15" hidden="false" customHeight="false" outlineLevel="0" collapsed="false">
      <c r="A710" s="48" t="s">
        <v>1420</v>
      </c>
      <c r="B710" s="48" t="s">
        <v>1421</v>
      </c>
      <c r="C710" s="48" t="s">
        <v>168</v>
      </c>
      <c r="D710" s="48" t="s">
        <v>188</v>
      </c>
      <c r="E710" s="48"/>
      <c r="F710" s="48" t="s">
        <v>222</v>
      </c>
      <c r="G710" s="49" t="n">
        <v>268</v>
      </c>
      <c r="H710" s="50" t="n">
        <f aca="false">MAX(0,IF(AND(Parameter!$B$21="Ja",ISNUMBER(Y710)),Y710,IF(Parameter!$B$20="Jahresanfang 2025 + Export",BO710+BN710,BN710)))</f>
        <v>0</v>
      </c>
      <c r="I710" s="50" t="n">
        <f aca="false">H710*G710</f>
        <v>0</v>
      </c>
      <c r="J710" s="50" t="n">
        <f aca="false">BQ710*Parameter!$B$18</f>
        <v>0</v>
      </c>
      <c r="K710" s="51" t="n">
        <v>0</v>
      </c>
      <c r="L710" s="52" t="n">
        <v>0</v>
      </c>
      <c r="M710" s="50" t="n">
        <v>0</v>
      </c>
      <c r="N710" s="50" t="n">
        <v>1</v>
      </c>
      <c r="O710" s="53" t="n">
        <v>90</v>
      </c>
      <c r="P710" s="48" t="s">
        <v>172</v>
      </c>
      <c r="Q710" s="50"/>
      <c r="R710" s="53" t="n">
        <f aca="false">IF(BW710=1,0,IFERROR(VLOOKUP(BU710,'Gebinde-Kategorie'!$A$5:$N$45,13,0)+0,0))</f>
        <v>26</v>
      </c>
      <c r="S710" s="54"/>
      <c r="T710" s="55" t="s">
        <v>279</v>
      </c>
      <c r="U710" s="55"/>
      <c r="V710" s="55"/>
      <c r="W710" s="48"/>
      <c r="X710" s="50"/>
      <c r="Y710" s="50"/>
      <c r="Z710" s="48" t="n">
        <f aca="false">IF(A710="","",IF(AND(Parameter!$B$21="Ja",ISNUMBER(W710)),W710,IF(BZ710="2+3",IF(ISNUMBER(SEARCH("grosser Artikel",BR710)),2,IFERROR(VLOOKUP(BU710,Parameter!$F$35:$G$64,2,0),2)),IF(OR(BZ710="Nein",BZ710=""),"-",BZ710))))</f>
        <v>3</v>
      </c>
      <c r="AA710" s="55"/>
      <c r="AB710" s="56"/>
      <c r="AC710" s="50" t="n">
        <f aca="false">AT710</f>
        <v>20</v>
      </c>
      <c r="AD710" s="50" t="n">
        <f aca="false">MAX(AT710,H710)</f>
        <v>20</v>
      </c>
      <c r="AE710" s="57"/>
      <c r="AF710" s="50" t="n">
        <f aca="false">IF(LEFT(Cockpit!$C$5,1)="A",H710,IF(CE710=1,CF710,IF(LEFT(Cockpit!$C$5,1)="B",AK710,MAX(AK710,H710))))</f>
        <v>0</v>
      </c>
      <c r="AG710" s="50" t="n">
        <f aca="false">IF(BW710=1,0,ROUNDUP(AF710/BV710,0))</f>
        <v>0</v>
      </c>
      <c r="AH710" s="52" t="n">
        <f aca="false">IF(CL710&gt;0,CL710*MAX(1,AF710/X710),IF(BW710=1,IF(AF710&lt;=0,0,CA710*MAX(1,IF(H710&gt;0,AF710/H710,1))),IF(R710&gt;0,AG710/R710,0))/MAX(0.1,N(Parameter!$M$21)))</f>
        <v>0</v>
      </c>
      <c r="AI710" s="50" t="n">
        <f aca="false">AH710*BY710</f>
        <v>0</v>
      </c>
      <c r="AJ710" s="50" t="n">
        <f aca="false">AF710*G710</f>
        <v>0</v>
      </c>
      <c r="AK710" s="50" t="n">
        <f aca="false">ROUNDUP(MAX(J710/IF(CD710&gt;0,CD710,MAX(0.1,N(Cockpit!$C$6))),CG710)/BV710,0)*BV710</f>
        <v>20</v>
      </c>
      <c r="AL710" s="51" t="n">
        <f aca="false">IF(AI710&gt;0,J710/AI710,-1)</f>
        <v>-1</v>
      </c>
      <c r="AM710" s="51" t="str">
        <f aca="false">IF(AND(OR(CC710="L1",CC710="L23",CC710="LIFT"),AI710&gt;0),SUMIFS($AI$7:$AI$1843,$CC$7:$CC$1843,CC710,$AL$7:$AL$1843,"&gt;"&amp;AL710)+SUMIFS($AI$7:$AI$1843,$CC$7:$CC$1843,CC710,$AL$7:$AL$1843,AL710,$BT$7:$BT$1843,"&lt;="&amp;BT710),"")</f>
        <v/>
      </c>
      <c r="AN710" s="58" t="n">
        <f aca="false">IF(AM710="",0,MAX(0,MIN(1,(IF(CC710="L1",Parameter!$H$5,IF(CC710="L23",Parameter!$H$6+Parameter!$H$7,Parameter!$H$5+Parameter!$H$6+Parameter!$H$7))-(AM710-AI710))/AI710)))</f>
        <v>0</v>
      </c>
      <c r="AO710" s="50" t="n">
        <f aca="false">IF(LEFT(Cockpit!$I$5,1)="A",H710,IF(CE710=1,CF710,IF(LEFT(Cockpit!$I$5,1)="B",AT710,MAX(AT710,H710))))</f>
        <v>20</v>
      </c>
      <c r="AP710" s="50" t="n">
        <f aca="false">IF(BW710=1,0,ROUNDUP(AO710/BV710,0))</f>
        <v>1</v>
      </c>
      <c r="AQ710" s="52" t="n">
        <f aca="false">IF(CL710&gt;0,CL710*MAX(1,AO710/X710),IF(BW710=1,IF(AO710&lt;=0,0,CA710*MAX(1,IF(H710&gt;0,AO710/H710,1))),IF(R710&gt;0,AP710/R710,0))/MAX(0.1,N(Parameter!$M$21)))</f>
        <v>0.0384615384615385</v>
      </c>
      <c r="AR710" s="50" t="n">
        <f aca="false">AQ710*BY710</f>
        <v>5.96153846153846</v>
      </c>
      <c r="AS710" s="50" t="n">
        <f aca="false">AO710*G710</f>
        <v>5360</v>
      </c>
      <c r="AT710" s="50" t="n">
        <f aca="false">ROUNDUP(MAX(J710/IF(CD710&gt;0,CD710,MAX(0.1,N(Cockpit!$I$6))),CG710)/BV710,0)*BV710</f>
        <v>20</v>
      </c>
      <c r="AU710" s="51" t="n">
        <f aca="false">IF(AR710&gt;0,J710/AR710,-1)</f>
        <v>0</v>
      </c>
      <c r="AV710" s="51" t="n">
        <f aca="false">IF(AND(OR(CC710="L1",CC710="L23",CC710="LIFT"),AR710&gt;0),SUMIFS($AR$7:$AR$1843,$CC$7:$CC$1843,CC710,$AU$7:$AU$1843,"&gt;"&amp;AU710)+SUMIFS($AR$7:$AR$1843,$CC$7:$CC$1843,CC710,$AU$7:$AU$1843,AU710,$BT$7:$BT$1843,"&lt;="&amp;BT710),"")</f>
        <v>40024.9917660024</v>
      </c>
      <c r="AW710" s="58" t="n">
        <f aca="false">IF(AV710="",0,MAX(0,MIN(1,(IF(CC710="L1",Parameter!$H$5,IF(CC710="L23",Parameter!$H$6+Parameter!$H$7,Parameter!$H$5+Parameter!$H$6+Parameter!$H$7))-(AV710-AR710))/AR710)))</f>
        <v>0</v>
      </c>
      <c r="AX710" s="50" t="n">
        <f aca="false">IF(LEFT(Cockpit!$O$5,1)="A",H710,IF(CE710=1,CF710,IF(LEFT(Cockpit!$O$5,1)="B",BC710,MAX(BC710,H710))))</f>
        <v>20</v>
      </c>
      <c r="AY710" s="50" t="n">
        <f aca="false">IF(BW710=1,0,ROUNDUP(AX710/BV710,0))</f>
        <v>1</v>
      </c>
      <c r="AZ710" s="52" t="n">
        <f aca="false">IF(CL710&gt;0,CL710*MAX(1,AX710/X710),IF(BW710=1,IF(AX710&lt;=0,0,CA710*MAX(1,IF(H710&gt;0,AX710/H710,1))),IF(R710&gt;0,AY710/R710,0))/MAX(0.1,N(Parameter!$M$21)))</f>
        <v>0.0384615384615385</v>
      </c>
      <c r="BA710" s="50" t="n">
        <f aca="false">AZ710*BY710</f>
        <v>5.96153846153846</v>
      </c>
      <c r="BB710" s="50" t="n">
        <f aca="false">AX710*G710</f>
        <v>5360</v>
      </c>
      <c r="BC710" s="50" t="n">
        <f aca="false">ROUNDUP(MAX(J710/IF(CD710&gt;0,CD710,MAX(0.1,N(Cockpit!$O$6))),CG710)/BV710,0)*BV710</f>
        <v>20</v>
      </c>
      <c r="BD710" s="51" t="n">
        <f aca="false">IF(BA710&gt;0,J710/BA710,-1)</f>
        <v>0</v>
      </c>
      <c r="BE710" s="51" t="n">
        <f aca="false">IF(AND(OR(CC710="L1",CC710="L23",CC710="LIFT"),BA710&gt;0),SUMIFS($BA$7:$BA$1843,$CC$7:$CC$1843,CC710,$BD$7:$BD$1843,"&gt;"&amp;BD710)+SUMIFS($BA$7:$BA$1843,$CC$7:$CC$1843,CC710,$BD$7:$BD$1843,BD710,$BT$7:$BT$1843,"&lt;="&amp;BT710),"")</f>
        <v>36700.0038078682</v>
      </c>
      <c r="BF710" s="58" t="n">
        <f aca="false">IF(BE710="",0,MAX(0,MIN(1,(IF(CC710="L1",Parameter!$H$5,IF(CC710="L23",Parameter!$H$6+Parameter!$H$7,Parameter!$H$5+Parameter!$H$6+Parameter!$H$7))-(BE710-BA710))/BA710)))</f>
        <v>0</v>
      </c>
      <c r="BG710" s="48" t="str">
        <f aca="false">IF(AI710&lt;=0,"",IF(CC710="Aussen","Aussenlager",IF(CC710="-","Nicht im Lift",IF(AN710&gt;=1,"Lift",IF(AN710&lt;=0,"Aussenlager","teilweise")))))</f>
        <v/>
      </c>
      <c r="BH710" s="48" t="str">
        <f aca="false">IF(AR710&lt;=0,"",IF(CC710="Aussen","Aussenlager",IF(CC710="-","Nicht im Lift",IF(AW710&gt;=1,"Lift",IF(AW710&lt;=0,"Aussenlager","teilweise")))))</f>
        <v>Aussenlager</v>
      </c>
      <c r="BI710" s="48" t="str">
        <f aca="false">IF(BA710&lt;=0,"",IF(CC710="Aussen","Aussenlager",IF(CC710="-","Nicht im Lift",IF(BF710&gt;=1,"Lift",IF(BF710&lt;=0,"Aussenlager","teilweise")))))</f>
        <v>Aussenlager</v>
      </c>
      <c r="BJ710" s="48" t="str">
        <f aca="false">IF(A710="","",IF(BS710=1,"Neu; ","")&amp;IF(AND(BS710=0,BN710&lt;0),"negativer Bestand (Export "&amp;BN710&amp;"); ","")&amp;IF(J710&lt;=0,"Kein Verbrauch; ","")&amp;IF(CL710&gt;0,"Lift "&amp;W710&amp;" lt. Liftbericht (Fach "&amp;X710&amp;" Stk); ",IF(BX710=1,"Gebinde geschätzt ("&amp;T710&amp;"); ",IF(BW710=1,"Lose – Tablare geschätzt; ","")))&amp;IF(H710&gt;AT710,"Überbestand "&amp;ROUND(H710-AT710,0)&amp;" Stk / CHF "&amp;ROUND((H710-AT710)*G710,0)&amp;"; ","")&amp;IF(AND(CE710=1,CF710&lt;CG710),"MAX &lt; MB+LG; ","")&amp;IF(AND(CK710&gt;0,CJ710*10&gt;CK710),"zu hoch für Tablar; ","")&amp;IF(AND(BS710=0,OR(CE710=1,AA710&lt;&gt;"",U710&lt;&gt;"",V710&lt;&gt;"",AB710&lt;&gt;"")),"manuell übersteuert; ","")&amp;IF(AND(BW710=0,R710=0),"Gebinde unbekannt / Stellmass fehlt; ","")&amp;IF(AND(BW710=0,N(V710)&lt;=0,N(Q710)&lt;=0),"Menge pro Gebinde fehlt (Ist = 1 Gebinde); ","")&amp;BR710)</f>
        <v>Kein Verbrauch; Gebinde geschätzt (Klein); Menge pro Gebinde fehlt (Ist = 1 Gebinde); </v>
      </c>
      <c r="BK710" s="48"/>
      <c r="BL710" s="48"/>
      <c r="BM710" s="55"/>
      <c r="BN710" s="50" t="n">
        <v>0</v>
      </c>
      <c r="BO710" s="50" t="n">
        <v>0</v>
      </c>
      <c r="BP710" s="49" t="n">
        <v>0</v>
      </c>
      <c r="BQ710" s="50" t="n">
        <v>0</v>
      </c>
      <c r="BR710" s="48"/>
      <c r="BS710" s="53" t="n">
        <v>0</v>
      </c>
      <c r="BT710" s="53" t="n">
        <v>710</v>
      </c>
      <c r="BU710" s="48" t="str">
        <f aca="false">IF(U710&lt;&gt;"",UPPER(TRIM(U710)),IF(BX710=1,UPPER(VLOOKUP(T710,Parameter!$I$27:$K$29,2,0)),IF(P710="","LOSE",P710)))</f>
        <v>S51</v>
      </c>
      <c r="BV710" s="50" t="n">
        <f aca="false">IF(BU710="LOSE",1,IF(N(V710)&gt;0,V710,IF(BX710=1,MAX(1,N(VLOOKUP(T710,Parameter!$I$27:$K$29,3,0)),H710,N(N710)),IF(N(Q710)&gt;0,Q710,MAX(1,H710)))))</f>
        <v>20</v>
      </c>
      <c r="BW710" s="53" t="n">
        <f aca="false">IF(BU710="LOSE",1,0)</f>
        <v>0</v>
      </c>
      <c r="BX710" s="53" t="n">
        <f aca="false">IF(AND(U710="",OR(P710="",P710="LOSE"),T710&lt;&gt;"",N(S710)&lt;=0,ISNUMBER(MATCH(T710,Parameter!$I$27:$I$29,0))),1,0)</f>
        <v>1</v>
      </c>
      <c r="BY710" s="53" t="n">
        <f aca="false">IF(CL710&gt;0,INDEX(Parameter!$H$5:$H$7,W710)/INDEX(Parameter!$E$5:$E$7,W710),IF(AND(BW710=0,N(IFERROR(VLOOKUP(BU710,'Gebinde-Kategorie'!$A$5:$N$45,14,0),0))&gt;0),VLOOKUP(BU710,'Gebinde-Kategorie'!$A$5:$N$45,14,0)*10+Parameter!$M$23,Parameter!$M$24))</f>
        <v>155</v>
      </c>
      <c r="BZ710" s="48" t="str">
        <f aca="false">IF(AND(Parameter!$B$19="Ja",E710&lt;&gt;"",ISNUMBER(MATCH(E710,Parameter!$I$35:$I$52,0))),VLOOKUP(E710,Parameter!$I$35:$J$52,2,0),IFERROR(VLOOKUP(D710,Parameter!$A$35:$C$64,2,0),"Nein"))</f>
        <v>2+3</v>
      </c>
      <c r="CA710" s="52" t="n">
        <f aca="false">IF(BW710=0,0,IF(N(S710)&gt;0,S710,IFERROR(VLOOKUP(D710,Parameter!$A$35:$C$64,3,0)+0,0)))</f>
        <v>0</v>
      </c>
      <c r="CB710" s="48" t="n">
        <f aca="false">IF(AA710&lt;&gt;"",AA710,Z710)</f>
        <v>3</v>
      </c>
      <c r="CC710" s="48" t="str">
        <f aca="false">IF(OR(CB710=1,CB710=2,CB710=3),IF(Parameter!$E$27="Ja","LIFT",IF(CB710=1,"L1","L23")),IF(CB710="Aussen","Aussen","-"))</f>
        <v>LIFT</v>
      </c>
      <c r="CD710" s="59" t="n">
        <f aca="false">IF(N(AB710)&gt;0,AB710,0)</f>
        <v>0</v>
      </c>
      <c r="CE710" s="53" t="n">
        <f aca="false">IF(ISNUMBER(AE710),1,0)</f>
        <v>0</v>
      </c>
      <c r="CF710" s="50" t="n">
        <f aca="false">N(AE710)</f>
        <v>0</v>
      </c>
      <c r="CG710" s="50" t="n">
        <f aca="false">N(M710)+N(N710)</f>
        <v>1</v>
      </c>
      <c r="CH710" s="50" t="n">
        <f aca="false">ROUNDUP(H710/BV710,0)</f>
        <v>0</v>
      </c>
      <c r="CI710" s="50" t="n">
        <f aca="false">ROUNDUP(CF710/BV710,0)</f>
        <v>0</v>
      </c>
      <c r="CJ710" s="53" t="n">
        <f aca="false">IF(BW710=1,0,IFERROR(VLOOKUP(BU710,'Gebinde-Kategorie'!$A$5:$N$45,5,0)+0,0))</f>
        <v>11</v>
      </c>
      <c r="CK710" s="53" t="n">
        <f aca="false">IFERROR(IF(OR(CB710=1,CB710=2,CB710=3),N(INDEX(Parameter!$I$5:$I$7,CB710)),0),0)</f>
        <v>0</v>
      </c>
      <c r="CL710" s="52" t="n">
        <f aca="false">IF(AND(Parameter!$B$21="Ja",ISNUMBER(W710),N(X710)&gt;0),IFERROR(N(INDEX(Parameter!$L$5:$L$7,W710))*INDEX(Parameter!$E$5:$E$7,W710)*X710/SUMIFS($X$7:$X$1843,$W$7:$W$1843,W710),0),0)</f>
        <v>0</v>
      </c>
    </row>
    <row r="711" customFormat="false" ht="15" hidden="false" customHeight="false" outlineLevel="0" collapsed="false">
      <c r="A711" s="48" t="s">
        <v>1422</v>
      </c>
      <c r="B711" s="48" t="s">
        <v>1423</v>
      </c>
      <c r="C711" s="48" t="s">
        <v>168</v>
      </c>
      <c r="D711" s="48" t="s">
        <v>188</v>
      </c>
      <c r="E711" s="48"/>
      <c r="F711" s="48" t="s">
        <v>222</v>
      </c>
      <c r="G711" s="49" t="n">
        <v>644</v>
      </c>
      <c r="H711" s="50" t="n">
        <f aca="false">MAX(0,IF(AND(Parameter!$B$21="Ja",ISNUMBER(Y711)),Y711,IF(Parameter!$B$20="Jahresanfang 2025 + Export",BO711+BN711,BN711)))</f>
        <v>0</v>
      </c>
      <c r="I711" s="50" t="n">
        <f aca="false">H711*G711</f>
        <v>0</v>
      </c>
      <c r="J711" s="50" t="n">
        <f aca="false">BQ711*Parameter!$B$18</f>
        <v>1</v>
      </c>
      <c r="K711" s="51" t="n">
        <v>0</v>
      </c>
      <c r="L711" s="52" t="n">
        <v>0</v>
      </c>
      <c r="M711" s="50" t="n">
        <v>0</v>
      </c>
      <c r="N711" s="50" t="n">
        <v>1</v>
      </c>
      <c r="O711" s="53" t="n">
        <v>28</v>
      </c>
      <c r="P711" s="48" t="s">
        <v>172</v>
      </c>
      <c r="Q711" s="50"/>
      <c r="R711" s="53" t="n">
        <f aca="false">IF(BW711=1,0,IFERROR(VLOOKUP(BU711,'Gebinde-Kategorie'!$A$5:$N$45,13,0)+0,0))</f>
        <v>26</v>
      </c>
      <c r="S711" s="54"/>
      <c r="T711" s="55" t="s">
        <v>279</v>
      </c>
      <c r="U711" s="55"/>
      <c r="V711" s="55"/>
      <c r="W711" s="48"/>
      <c r="X711" s="50"/>
      <c r="Y711" s="50"/>
      <c r="Z711" s="48" t="n">
        <f aca="false">IF(A711="","",IF(AND(Parameter!$B$21="Ja",ISNUMBER(W711)),W711,IF(BZ711="2+3",IF(ISNUMBER(SEARCH("grosser Artikel",BR711)),2,IFERROR(VLOOKUP(BU711,Parameter!$F$35:$G$64,2,0),2)),IF(OR(BZ711="Nein",BZ711=""),"-",BZ711))))</f>
        <v>3</v>
      </c>
      <c r="AA711" s="55"/>
      <c r="AB711" s="56"/>
      <c r="AC711" s="50" t="n">
        <f aca="false">AT711</f>
        <v>20</v>
      </c>
      <c r="AD711" s="50" t="n">
        <f aca="false">MAX(AT711,H711)</f>
        <v>20</v>
      </c>
      <c r="AE711" s="57"/>
      <c r="AF711" s="50" t="n">
        <f aca="false">IF(LEFT(Cockpit!$C$5,1)="A",H711,IF(CE711=1,CF711,IF(LEFT(Cockpit!$C$5,1)="B",AK711,MAX(AK711,H711))))</f>
        <v>0</v>
      </c>
      <c r="AG711" s="50" t="n">
        <f aca="false">IF(BW711=1,0,ROUNDUP(AF711/BV711,0))</f>
        <v>0</v>
      </c>
      <c r="AH711" s="52" t="n">
        <f aca="false">IF(CL711&gt;0,CL711*MAX(1,AF711/X711),IF(BW711=1,IF(AF711&lt;=0,0,CA711*MAX(1,IF(H711&gt;0,AF711/H711,1))),IF(R711&gt;0,AG711/R711,0))/MAX(0.1,N(Parameter!$M$21)))</f>
        <v>0</v>
      </c>
      <c r="AI711" s="50" t="n">
        <f aca="false">AH711*BY711</f>
        <v>0</v>
      </c>
      <c r="AJ711" s="50" t="n">
        <f aca="false">AF711*G711</f>
        <v>0</v>
      </c>
      <c r="AK711" s="50" t="n">
        <f aca="false">ROUNDUP(MAX(J711/IF(CD711&gt;0,CD711,MAX(0.1,N(Cockpit!$C$6))),CG711)/BV711,0)*BV711</f>
        <v>20</v>
      </c>
      <c r="AL711" s="51" t="n">
        <f aca="false">IF(AI711&gt;0,J711/AI711,-1)</f>
        <v>-1</v>
      </c>
      <c r="AM711" s="51" t="str">
        <f aca="false">IF(AND(OR(CC711="L1",CC711="L23",CC711="LIFT"),AI711&gt;0),SUMIFS($AI$7:$AI$1843,$CC$7:$CC$1843,CC711,$AL$7:$AL$1843,"&gt;"&amp;AL711)+SUMIFS($AI$7:$AI$1843,$CC$7:$CC$1843,CC711,$AL$7:$AL$1843,AL711,$BT$7:$BT$1843,"&lt;="&amp;BT711),"")</f>
        <v/>
      </c>
      <c r="AN711" s="58" t="n">
        <f aca="false">IF(AM711="",0,MAX(0,MIN(1,(IF(CC711="L1",Parameter!$H$5,IF(CC711="L23",Parameter!$H$6+Parameter!$H$7,Parameter!$H$5+Parameter!$H$6+Parameter!$H$7))-(AM711-AI711))/AI711)))</f>
        <v>0</v>
      </c>
      <c r="AO711" s="50" t="n">
        <f aca="false">IF(LEFT(Cockpit!$I$5,1)="A",H711,IF(CE711=1,CF711,IF(LEFT(Cockpit!$I$5,1)="B",AT711,MAX(AT711,H711))))</f>
        <v>20</v>
      </c>
      <c r="AP711" s="50" t="n">
        <f aca="false">IF(BW711=1,0,ROUNDUP(AO711/BV711,0))</f>
        <v>1</v>
      </c>
      <c r="AQ711" s="52" t="n">
        <f aca="false">IF(CL711&gt;0,CL711*MAX(1,AO711/X711),IF(BW711=1,IF(AO711&lt;=0,0,CA711*MAX(1,IF(H711&gt;0,AO711/H711,1))),IF(R711&gt;0,AP711/R711,0))/MAX(0.1,N(Parameter!$M$21)))</f>
        <v>0.0384615384615385</v>
      </c>
      <c r="AR711" s="50" t="n">
        <f aca="false">AQ711*BY711</f>
        <v>5.96153846153846</v>
      </c>
      <c r="AS711" s="50" t="n">
        <f aca="false">AO711*G711</f>
        <v>12880</v>
      </c>
      <c r="AT711" s="50" t="n">
        <f aca="false">ROUNDUP(MAX(J711/IF(CD711&gt;0,CD711,MAX(0.1,N(Cockpit!$I$6))),CG711)/BV711,0)*BV711</f>
        <v>20</v>
      </c>
      <c r="AU711" s="51" t="n">
        <f aca="false">IF(AR711&gt;0,J711/AR711,-1)</f>
        <v>0.167741935483871</v>
      </c>
      <c r="AV711" s="51" t="n">
        <f aca="false">IF(AND(OR(CC711="L1",CC711="L23",CC711="LIFT"),AR711&gt;0),SUMIFS($AR$7:$AR$1843,$CC$7:$CC$1843,CC711,$AU$7:$AU$1843,"&gt;"&amp;AU711)+SUMIFS($AR$7:$AR$1843,$CC$7:$CC$1843,CC711,$AU$7:$AU$1843,AU711,$BT$7:$BT$1843,"&lt;="&amp;BT711),"")</f>
        <v>19290.6158424908</v>
      </c>
      <c r="AW711" s="58" t="n">
        <f aca="false">IF(AV711="",0,MAX(0,MIN(1,(IF(CC711="L1",Parameter!$H$5,IF(CC711="L23",Parameter!$H$6+Parameter!$H$7,Parameter!$H$5+Parameter!$H$6+Parameter!$H$7))-(AV711-AR711))/AR711)))</f>
        <v>1</v>
      </c>
      <c r="AX711" s="50" t="n">
        <f aca="false">IF(LEFT(Cockpit!$O$5,1)="A",H711,IF(CE711=1,CF711,IF(LEFT(Cockpit!$O$5,1)="B",BC711,MAX(BC711,H711))))</f>
        <v>20</v>
      </c>
      <c r="AY711" s="50" t="n">
        <f aca="false">IF(BW711=1,0,ROUNDUP(AX711/BV711,0))</f>
        <v>1</v>
      </c>
      <c r="AZ711" s="52" t="n">
        <f aca="false">IF(CL711&gt;0,CL711*MAX(1,AX711/X711),IF(BW711=1,IF(AX711&lt;=0,0,CA711*MAX(1,IF(H711&gt;0,AX711/H711,1))),IF(R711&gt;0,AY711/R711,0))/MAX(0.1,N(Parameter!$M$21)))</f>
        <v>0.0384615384615385</v>
      </c>
      <c r="BA711" s="50" t="n">
        <f aca="false">AZ711*BY711</f>
        <v>5.96153846153846</v>
      </c>
      <c r="BB711" s="50" t="n">
        <f aca="false">AX711*G711</f>
        <v>12880</v>
      </c>
      <c r="BC711" s="50" t="n">
        <f aca="false">ROUNDUP(MAX(J711/IF(CD711&gt;0,CD711,MAX(0.1,N(Cockpit!$O$6))),CG711)/BV711,0)*BV711</f>
        <v>20</v>
      </c>
      <c r="BD711" s="51" t="n">
        <f aca="false">IF(BA711&gt;0,J711/BA711,-1)</f>
        <v>0.167741935483871</v>
      </c>
      <c r="BE711" s="51" t="n">
        <f aca="false">IF(AND(OR(CC711="L1",CC711="L23",CC711="LIFT"),BA711&gt;0),SUMIFS($BA$7:$BA$1843,$CC$7:$CC$1843,CC711,$BD$7:$BD$1843,"&gt;"&amp;BD711)+SUMIFS($BA$7:$BA$1843,$CC$7:$CC$1843,CC711,$BD$7:$BD$1843,BD711,$BT$7:$BT$1843,"&lt;="&amp;BT711),"")</f>
        <v>17316.6895604396</v>
      </c>
      <c r="BF711" s="58" t="n">
        <f aca="false">IF(BE711="",0,MAX(0,MIN(1,(IF(CC711="L1",Parameter!$H$5,IF(CC711="L23",Parameter!$H$6+Parameter!$H$7,Parameter!$H$5+Parameter!$H$6+Parameter!$H$7))-(BE711-BA711))/BA711)))</f>
        <v>1</v>
      </c>
      <c r="BG711" s="48" t="str">
        <f aca="false">IF(AI711&lt;=0,"",IF(CC711="Aussen","Aussenlager",IF(CC711="-","Nicht im Lift",IF(AN711&gt;=1,"Lift",IF(AN711&lt;=0,"Aussenlager","teilweise")))))</f>
        <v/>
      </c>
      <c r="BH711" s="48" t="str">
        <f aca="false">IF(AR711&lt;=0,"",IF(CC711="Aussen","Aussenlager",IF(CC711="-","Nicht im Lift",IF(AW711&gt;=1,"Lift",IF(AW711&lt;=0,"Aussenlager","teilweise")))))</f>
        <v>Lift</v>
      </c>
      <c r="BI711" s="48" t="str">
        <f aca="false">IF(BA711&lt;=0,"",IF(CC711="Aussen","Aussenlager",IF(CC711="-","Nicht im Lift",IF(BF711&gt;=1,"Lift",IF(BF711&lt;=0,"Aussenlager","teilweise")))))</f>
        <v>Lift</v>
      </c>
      <c r="BJ711" s="48" t="str">
        <f aca="false">IF(A711="","",IF(BS711=1,"Neu; ","")&amp;IF(AND(BS711=0,BN711&lt;0),"negativer Bestand (Export "&amp;BN711&amp;"); ","")&amp;IF(J711&lt;=0,"Kein Verbrauch; ","")&amp;IF(CL711&gt;0,"Lift "&amp;W711&amp;" lt. Liftbericht (Fach "&amp;X711&amp;" Stk); ",IF(BX711=1,"Gebinde geschätzt ("&amp;T711&amp;"); ",IF(BW711=1,"Lose – Tablare geschätzt; ","")))&amp;IF(H711&gt;AT711,"Überbestand "&amp;ROUND(H711-AT711,0)&amp;" Stk / CHF "&amp;ROUND((H711-AT711)*G711,0)&amp;"; ","")&amp;IF(AND(CE711=1,CF711&lt;CG711),"MAX &lt; MB+LG; ","")&amp;IF(AND(CK711&gt;0,CJ711*10&gt;CK711),"zu hoch für Tablar; ","")&amp;IF(AND(BS711=0,OR(CE711=1,AA711&lt;&gt;"",U711&lt;&gt;"",V711&lt;&gt;"",AB711&lt;&gt;"")),"manuell übersteuert; ","")&amp;IF(AND(BW711=0,R711=0),"Gebinde unbekannt / Stellmass fehlt; ","")&amp;IF(AND(BW711=0,N(V711)&lt;=0,N(Q711)&lt;=0),"Menge pro Gebinde fehlt (Ist = 1 Gebinde); ","")&amp;BR711)</f>
        <v>Gebinde geschätzt (Klein); Menge pro Gebinde fehlt (Ist = 1 Gebinde); </v>
      </c>
      <c r="BK711" s="48"/>
      <c r="BL711" s="48"/>
      <c r="BM711" s="55"/>
      <c r="BN711" s="50" t="n">
        <v>0</v>
      </c>
      <c r="BO711" s="50" t="n">
        <v>0</v>
      </c>
      <c r="BP711" s="49" t="n">
        <v>0</v>
      </c>
      <c r="BQ711" s="50" t="n">
        <v>1</v>
      </c>
      <c r="BR711" s="48"/>
      <c r="BS711" s="53" t="n">
        <v>0</v>
      </c>
      <c r="BT711" s="53" t="n">
        <v>711</v>
      </c>
      <c r="BU711" s="48" t="str">
        <f aca="false">IF(U711&lt;&gt;"",UPPER(TRIM(U711)),IF(BX711=1,UPPER(VLOOKUP(T711,Parameter!$I$27:$K$29,2,0)),IF(P711="","LOSE",P711)))</f>
        <v>S51</v>
      </c>
      <c r="BV711" s="50" t="n">
        <f aca="false">IF(BU711="LOSE",1,IF(N(V711)&gt;0,V711,IF(BX711=1,MAX(1,N(VLOOKUP(T711,Parameter!$I$27:$K$29,3,0)),H711,N(N711)),IF(N(Q711)&gt;0,Q711,MAX(1,H711)))))</f>
        <v>20</v>
      </c>
      <c r="BW711" s="53" t="n">
        <f aca="false">IF(BU711="LOSE",1,0)</f>
        <v>0</v>
      </c>
      <c r="BX711" s="53" t="n">
        <f aca="false">IF(AND(U711="",OR(P711="",P711="LOSE"),T711&lt;&gt;"",N(S711)&lt;=0,ISNUMBER(MATCH(T711,Parameter!$I$27:$I$29,0))),1,0)</f>
        <v>1</v>
      </c>
      <c r="BY711" s="53" t="n">
        <f aca="false">IF(CL711&gt;0,INDEX(Parameter!$H$5:$H$7,W711)/INDEX(Parameter!$E$5:$E$7,W711),IF(AND(BW711=0,N(IFERROR(VLOOKUP(BU711,'Gebinde-Kategorie'!$A$5:$N$45,14,0),0))&gt;0),VLOOKUP(BU711,'Gebinde-Kategorie'!$A$5:$N$45,14,0)*10+Parameter!$M$23,Parameter!$M$24))</f>
        <v>155</v>
      </c>
      <c r="BZ711" s="48" t="str">
        <f aca="false">IF(AND(Parameter!$B$19="Ja",E711&lt;&gt;"",ISNUMBER(MATCH(E711,Parameter!$I$35:$I$52,0))),VLOOKUP(E711,Parameter!$I$35:$J$52,2,0),IFERROR(VLOOKUP(D711,Parameter!$A$35:$C$64,2,0),"Nein"))</f>
        <v>2+3</v>
      </c>
      <c r="CA711" s="52" t="n">
        <f aca="false">IF(BW711=0,0,IF(N(S711)&gt;0,S711,IFERROR(VLOOKUP(D711,Parameter!$A$35:$C$64,3,0)+0,0)))</f>
        <v>0</v>
      </c>
      <c r="CB711" s="48" t="n">
        <f aca="false">IF(AA711&lt;&gt;"",AA711,Z711)</f>
        <v>3</v>
      </c>
      <c r="CC711" s="48" t="str">
        <f aca="false">IF(OR(CB711=1,CB711=2,CB711=3),IF(Parameter!$E$27="Ja","LIFT",IF(CB711=1,"L1","L23")),IF(CB711="Aussen","Aussen","-"))</f>
        <v>LIFT</v>
      </c>
      <c r="CD711" s="59" t="n">
        <f aca="false">IF(N(AB711)&gt;0,AB711,0)</f>
        <v>0</v>
      </c>
      <c r="CE711" s="53" t="n">
        <f aca="false">IF(ISNUMBER(AE711),1,0)</f>
        <v>0</v>
      </c>
      <c r="CF711" s="50" t="n">
        <f aca="false">N(AE711)</f>
        <v>0</v>
      </c>
      <c r="CG711" s="50" t="n">
        <f aca="false">N(M711)+N(N711)</f>
        <v>1</v>
      </c>
      <c r="CH711" s="50" t="n">
        <f aca="false">ROUNDUP(H711/BV711,0)</f>
        <v>0</v>
      </c>
      <c r="CI711" s="50" t="n">
        <f aca="false">ROUNDUP(CF711/BV711,0)</f>
        <v>0</v>
      </c>
      <c r="CJ711" s="53" t="n">
        <f aca="false">IF(BW711=1,0,IFERROR(VLOOKUP(BU711,'Gebinde-Kategorie'!$A$5:$N$45,5,0)+0,0))</f>
        <v>11</v>
      </c>
      <c r="CK711" s="53" t="n">
        <f aca="false">IFERROR(IF(OR(CB711=1,CB711=2,CB711=3),N(INDEX(Parameter!$I$5:$I$7,CB711)),0),0)</f>
        <v>0</v>
      </c>
      <c r="CL711" s="52" t="n">
        <f aca="false">IF(AND(Parameter!$B$21="Ja",ISNUMBER(W711),N(X711)&gt;0),IFERROR(N(INDEX(Parameter!$L$5:$L$7,W711))*INDEX(Parameter!$E$5:$E$7,W711)*X711/SUMIFS($X$7:$X$1843,$W$7:$W$1843,W711),0),0)</f>
        <v>0</v>
      </c>
    </row>
    <row r="712" customFormat="false" ht="15" hidden="false" customHeight="false" outlineLevel="0" collapsed="false">
      <c r="A712" s="48" t="s">
        <v>1424</v>
      </c>
      <c r="B712" s="48" t="s">
        <v>466</v>
      </c>
      <c r="C712" s="48" t="s">
        <v>168</v>
      </c>
      <c r="D712" s="48" t="s">
        <v>177</v>
      </c>
      <c r="E712" s="48"/>
      <c r="F712" s="48" t="s">
        <v>222</v>
      </c>
      <c r="G712" s="49" t="n">
        <v>531.26</v>
      </c>
      <c r="H712" s="50" t="n">
        <f aca="false">MAX(0,IF(AND(Parameter!$B$21="Ja",ISNUMBER(Y712)),Y712,IF(Parameter!$B$20="Jahresanfang 2025 + Export",BO712+BN712,BN712)))</f>
        <v>0</v>
      </c>
      <c r="I712" s="50" t="n">
        <f aca="false">H712*G712</f>
        <v>0</v>
      </c>
      <c r="J712" s="50" t="n">
        <f aca="false">BQ712*Parameter!$B$18</f>
        <v>0</v>
      </c>
      <c r="K712" s="51" t="n">
        <v>0</v>
      </c>
      <c r="L712" s="52" t="n">
        <v>0</v>
      </c>
      <c r="M712" s="50" t="n">
        <v>0</v>
      </c>
      <c r="N712" s="50" t="n">
        <v>1</v>
      </c>
      <c r="O712" s="53" t="n">
        <v>28</v>
      </c>
      <c r="P712" s="48" t="s">
        <v>172</v>
      </c>
      <c r="Q712" s="50"/>
      <c r="R712" s="53" t="n">
        <f aca="false">IF(BW712=1,0,IFERROR(VLOOKUP(BU712,'Gebinde-Kategorie'!$A$5:$N$45,13,0)+0,0))</f>
        <v>4</v>
      </c>
      <c r="S712" s="54"/>
      <c r="T712" s="55" t="s">
        <v>193</v>
      </c>
      <c r="U712" s="55"/>
      <c r="V712" s="55"/>
      <c r="W712" s="48"/>
      <c r="X712" s="50"/>
      <c r="Y712" s="50"/>
      <c r="Z712" s="48" t="n">
        <f aca="false">IF(A712="","",IF(AND(Parameter!$B$21="Ja",ISNUMBER(W712)),W712,IF(BZ712="2+3",IF(ISNUMBER(SEARCH("grosser Artikel",BR712)),2,IFERROR(VLOOKUP(BU712,Parameter!$F$35:$G$64,2,0),2)),IF(OR(BZ712="Nein",BZ712=""),"-",BZ712))))</f>
        <v>2</v>
      </c>
      <c r="AA712" s="55"/>
      <c r="AB712" s="56"/>
      <c r="AC712" s="50" t="n">
        <f aca="false">AT712</f>
        <v>2</v>
      </c>
      <c r="AD712" s="50" t="n">
        <f aca="false">MAX(AT712,H712)</f>
        <v>2</v>
      </c>
      <c r="AE712" s="57"/>
      <c r="AF712" s="50" t="n">
        <f aca="false">IF(LEFT(Cockpit!$C$5,1)="A",H712,IF(CE712=1,CF712,IF(LEFT(Cockpit!$C$5,1)="B",AK712,MAX(AK712,H712))))</f>
        <v>0</v>
      </c>
      <c r="AG712" s="50" t="n">
        <f aca="false">IF(BW712=1,0,ROUNDUP(AF712/BV712,0))</f>
        <v>0</v>
      </c>
      <c r="AH712" s="52" t="n">
        <f aca="false">IF(CL712&gt;0,CL712*MAX(1,AF712/X712),IF(BW712=1,IF(AF712&lt;=0,0,CA712*MAX(1,IF(H712&gt;0,AF712/H712,1))),IF(R712&gt;0,AG712/R712,0))/MAX(0.1,N(Parameter!$M$21)))</f>
        <v>0</v>
      </c>
      <c r="AI712" s="50" t="n">
        <f aca="false">AH712*BY712</f>
        <v>0</v>
      </c>
      <c r="AJ712" s="50" t="n">
        <f aca="false">AF712*G712</f>
        <v>0</v>
      </c>
      <c r="AK712" s="50" t="n">
        <f aca="false">ROUNDUP(MAX(J712/IF(CD712&gt;0,CD712,MAX(0.1,N(Cockpit!$C$6))),CG712)/BV712,0)*BV712</f>
        <v>2</v>
      </c>
      <c r="AL712" s="51" t="n">
        <f aca="false">IF(AI712&gt;0,J712/AI712,-1)</f>
        <v>-1</v>
      </c>
      <c r="AM712" s="51" t="str">
        <f aca="false">IF(AND(OR(CC712="L1",CC712="L23",CC712="LIFT"),AI712&gt;0),SUMIFS($AI$7:$AI$1843,$CC$7:$CC$1843,CC712,$AL$7:$AL$1843,"&gt;"&amp;AL712)+SUMIFS($AI$7:$AI$1843,$CC$7:$CC$1843,CC712,$AL$7:$AL$1843,AL712,$BT$7:$BT$1843,"&lt;="&amp;BT712),"")</f>
        <v/>
      </c>
      <c r="AN712" s="58" t="n">
        <f aca="false">IF(AM712="",0,MAX(0,MIN(1,(IF(CC712="L1",Parameter!$H$5,IF(CC712="L23",Parameter!$H$6+Parameter!$H$7,Parameter!$H$5+Parameter!$H$6+Parameter!$H$7))-(AM712-AI712))/AI712)))</f>
        <v>0</v>
      </c>
      <c r="AO712" s="50" t="n">
        <f aca="false">IF(LEFT(Cockpit!$I$5,1)="A",H712,IF(CE712=1,CF712,IF(LEFT(Cockpit!$I$5,1)="B",AT712,MAX(AT712,H712))))</f>
        <v>2</v>
      </c>
      <c r="AP712" s="50" t="n">
        <f aca="false">IF(BW712=1,0,ROUNDUP(AO712/BV712,0))</f>
        <v>1</v>
      </c>
      <c r="AQ712" s="52" t="n">
        <f aca="false">IF(CL712&gt;0,CL712*MAX(1,AO712/X712),IF(BW712=1,IF(AO712&lt;=0,0,CA712*MAX(1,IF(H712&gt;0,AO712/H712,1))),IF(R712&gt;0,AP712/R712,0))/MAX(0.1,N(Parameter!$M$21)))</f>
        <v>0.25</v>
      </c>
      <c r="AR712" s="50" t="n">
        <f aca="false">AQ712*BY712</f>
        <v>58.75</v>
      </c>
      <c r="AS712" s="50" t="n">
        <f aca="false">AO712*G712</f>
        <v>1062.52</v>
      </c>
      <c r="AT712" s="50" t="n">
        <f aca="false">ROUNDUP(MAX(J712/IF(CD712&gt;0,CD712,MAX(0.1,N(Cockpit!$I$6))),CG712)/BV712,0)*BV712</f>
        <v>2</v>
      </c>
      <c r="AU712" s="51" t="n">
        <f aca="false">IF(AR712&gt;0,J712/AR712,-1)</f>
        <v>0</v>
      </c>
      <c r="AV712" s="51" t="n">
        <f aca="false">IF(AND(OR(CC712="L1",CC712="L23",CC712="LIFT"),AR712&gt;0),SUMIFS($AR$7:$AR$1843,$CC$7:$CC$1843,CC712,$AU$7:$AU$1843,"&gt;"&amp;AU712)+SUMIFS($AR$7:$AR$1843,$CC$7:$CC$1843,CC712,$AU$7:$AU$1843,AU712,$BT$7:$BT$1843,"&lt;="&amp;BT712),"")</f>
        <v>40083.7417660024</v>
      </c>
      <c r="AW712" s="58" t="n">
        <f aca="false">IF(AV712="",0,MAX(0,MIN(1,(IF(CC712="L1",Parameter!$H$5,IF(CC712="L23",Parameter!$H$6+Parameter!$H$7,Parameter!$H$5+Parameter!$H$6+Parameter!$H$7))-(AV712-AR712))/AR712)))</f>
        <v>0</v>
      </c>
      <c r="AX712" s="50" t="n">
        <f aca="false">IF(LEFT(Cockpit!$O$5,1)="A",H712,IF(CE712=1,CF712,IF(LEFT(Cockpit!$O$5,1)="B",BC712,MAX(BC712,H712))))</f>
        <v>2</v>
      </c>
      <c r="AY712" s="50" t="n">
        <f aca="false">IF(BW712=1,0,ROUNDUP(AX712/BV712,0))</f>
        <v>1</v>
      </c>
      <c r="AZ712" s="52" t="n">
        <f aca="false">IF(CL712&gt;0,CL712*MAX(1,AX712/X712),IF(BW712=1,IF(AX712&lt;=0,0,CA712*MAX(1,IF(H712&gt;0,AX712/H712,1))),IF(R712&gt;0,AY712/R712,0))/MAX(0.1,N(Parameter!$M$21)))</f>
        <v>0.25</v>
      </c>
      <c r="BA712" s="50" t="n">
        <f aca="false">AZ712*BY712</f>
        <v>58.75</v>
      </c>
      <c r="BB712" s="50" t="n">
        <f aca="false">AX712*G712</f>
        <v>1062.52</v>
      </c>
      <c r="BC712" s="50" t="n">
        <f aca="false">ROUNDUP(MAX(J712/IF(CD712&gt;0,CD712,MAX(0.1,N(Cockpit!$O$6))),CG712)/BV712,0)*BV712</f>
        <v>2</v>
      </c>
      <c r="BD712" s="51" t="n">
        <f aca="false">IF(BA712&gt;0,J712/BA712,-1)</f>
        <v>0</v>
      </c>
      <c r="BE712" s="51" t="n">
        <f aca="false">IF(AND(OR(CC712="L1",CC712="L23",CC712="LIFT"),BA712&gt;0),SUMIFS($BA$7:$BA$1843,$CC$7:$CC$1843,CC712,$BD$7:$BD$1843,"&gt;"&amp;BD712)+SUMIFS($BA$7:$BA$1843,$CC$7:$CC$1843,CC712,$BD$7:$BD$1843,BD712,$BT$7:$BT$1843,"&lt;="&amp;BT712),"")</f>
        <v>36758.7538078682</v>
      </c>
      <c r="BF712" s="58" t="n">
        <f aca="false">IF(BE712="",0,MAX(0,MIN(1,(IF(CC712="L1",Parameter!$H$5,IF(CC712="L23",Parameter!$H$6+Parameter!$H$7,Parameter!$H$5+Parameter!$H$6+Parameter!$H$7))-(BE712-BA712))/BA712)))</f>
        <v>0</v>
      </c>
      <c r="BG712" s="48" t="str">
        <f aca="false">IF(AI712&lt;=0,"",IF(CC712="Aussen","Aussenlager",IF(CC712="-","Nicht im Lift",IF(AN712&gt;=1,"Lift",IF(AN712&lt;=0,"Aussenlager","teilweise")))))</f>
        <v/>
      </c>
      <c r="BH712" s="48" t="str">
        <f aca="false">IF(AR712&lt;=0,"",IF(CC712="Aussen","Aussenlager",IF(CC712="-","Nicht im Lift",IF(AW712&gt;=1,"Lift",IF(AW712&lt;=0,"Aussenlager","teilweise")))))</f>
        <v>Aussenlager</v>
      </c>
      <c r="BI712" s="48" t="str">
        <f aca="false">IF(BA712&lt;=0,"",IF(CC712="Aussen","Aussenlager",IF(CC712="-","Nicht im Lift",IF(BF712&gt;=1,"Lift",IF(BF712&lt;=0,"Aussenlager","teilweise")))))</f>
        <v>Aussenlager</v>
      </c>
      <c r="BJ712" s="48" t="str">
        <f aca="false">IF(A712="","",IF(BS712=1,"Neu; ","")&amp;IF(AND(BS712=0,BN712&lt;0),"negativer Bestand (Export "&amp;BN712&amp;"); ","")&amp;IF(J712&lt;=0,"Kein Verbrauch; ","")&amp;IF(CL712&gt;0,"Lift "&amp;W712&amp;" lt. Liftbericht (Fach "&amp;X712&amp;" Stk); ",IF(BX712=1,"Gebinde geschätzt ("&amp;T712&amp;"); ",IF(BW712=1,"Lose – Tablare geschätzt; ","")))&amp;IF(H712&gt;AT712,"Überbestand "&amp;ROUND(H712-AT712,0)&amp;" Stk / CHF "&amp;ROUND((H712-AT712)*G712,0)&amp;"; ","")&amp;IF(AND(CE712=1,CF712&lt;CG712),"MAX &lt; MB+LG; ","")&amp;IF(AND(CK712&gt;0,CJ712*10&gt;CK712),"zu hoch für Tablar; ","")&amp;IF(AND(BS712=0,OR(CE712=1,AA712&lt;&gt;"",U712&lt;&gt;"",V712&lt;&gt;"",AB712&lt;&gt;"")),"manuell übersteuert; ","")&amp;IF(AND(BW712=0,R712=0),"Gebinde unbekannt / Stellmass fehlt; ","")&amp;IF(AND(BW712=0,N(V712)&lt;=0,N(Q712)&lt;=0),"Menge pro Gebinde fehlt (Ist = 1 Gebinde); ","")&amp;BR712)</f>
        <v>Kein Verbrauch; Gebinde geschätzt (Gross); Menge pro Gebinde fehlt (Ist = 1 Gebinde); </v>
      </c>
      <c r="BK712" s="48"/>
      <c r="BL712" s="48"/>
      <c r="BM712" s="55"/>
      <c r="BN712" s="50" t="n">
        <v>0</v>
      </c>
      <c r="BO712" s="50" t="n">
        <v>0</v>
      </c>
      <c r="BP712" s="49" t="n">
        <v>0</v>
      </c>
      <c r="BQ712" s="50" t="n">
        <v>0</v>
      </c>
      <c r="BR712" s="48"/>
      <c r="BS712" s="53" t="n">
        <v>0</v>
      </c>
      <c r="BT712" s="53" t="n">
        <v>712</v>
      </c>
      <c r="BU712" s="48" t="str">
        <f aca="false">IF(U712&lt;&gt;"",UPPER(TRIM(U712)),IF(BX712=1,UPPER(VLOOKUP(T712,Parameter!$I$27:$K$29,2,0)),IF(P712="","LOSE",P712)))</f>
        <v>S81</v>
      </c>
      <c r="BV712" s="50" t="n">
        <f aca="false">IF(BU712="LOSE",1,IF(N(V712)&gt;0,V712,IF(BX712=1,MAX(1,N(VLOOKUP(T712,Parameter!$I$27:$K$29,3,0)),H712,N(N712)),IF(N(Q712)&gt;0,Q712,MAX(1,H712)))))</f>
        <v>2</v>
      </c>
      <c r="BW712" s="53" t="n">
        <f aca="false">IF(BU712="LOSE",1,0)</f>
        <v>0</v>
      </c>
      <c r="BX712" s="53" t="n">
        <f aca="false">IF(AND(U712="",OR(P712="",P712="LOSE"),T712&lt;&gt;"",N(S712)&lt;=0,ISNUMBER(MATCH(T712,Parameter!$I$27:$I$29,0))),1,0)</f>
        <v>1</v>
      </c>
      <c r="BY712" s="53" t="n">
        <f aca="false">IF(CL712&gt;0,INDEX(Parameter!$H$5:$H$7,W712)/INDEX(Parameter!$E$5:$E$7,W712),IF(AND(BW712=0,N(IFERROR(VLOOKUP(BU712,'Gebinde-Kategorie'!$A$5:$N$45,14,0),0))&gt;0),VLOOKUP(BU712,'Gebinde-Kategorie'!$A$5:$N$45,14,0)*10+Parameter!$M$23,Parameter!$M$24))</f>
        <v>235</v>
      </c>
      <c r="BZ712" s="48" t="str">
        <f aca="false">IF(AND(Parameter!$B$19="Ja",E712&lt;&gt;"",ISNUMBER(MATCH(E712,Parameter!$I$35:$I$52,0))),VLOOKUP(E712,Parameter!$I$35:$J$52,2,0),IFERROR(VLOOKUP(D712,Parameter!$A$35:$C$64,2,0),"Nein"))</f>
        <v>2+3</v>
      </c>
      <c r="CA712" s="52" t="n">
        <f aca="false">IF(BW712=0,0,IF(N(S712)&gt;0,S712,IFERROR(VLOOKUP(D712,Parameter!$A$35:$C$64,3,0)+0,0)))</f>
        <v>0</v>
      </c>
      <c r="CB712" s="48" t="n">
        <f aca="false">IF(AA712&lt;&gt;"",AA712,Z712)</f>
        <v>2</v>
      </c>
      <c r="CC712" s="48" t="str">
        <f aca="false">IF(OR(CB712=1,CB712=2,CB712=3),IF(Parameter!$E$27="Ja","LIFT",IF(CB712=1,"L1","L23")),IF(CB712="Aussen","Aussen","-"))</f>
        <v>LIFT</v>
      </c>
      <c r="CD712" s="59" t="n">
        <f aca="false">IF(N(AB712)&gt;0,AB712,0)</f>
        <v>0</v>
      </c>
      <c r="CE712" s="53" t="n">
        <f aca="false">IF(ISNUMBER(AE712),1,0)</f>
        <v>0</v>
      </c>
      <c r="CF712" s="50" t="n">
        <f aca="false">N(AE712)</f>
        <v>0</v>
      </c>
      <c r="CG712" s="50" t="n">
        <f aca="false">N(M712)+N(N712)</f>
        <v>1</v>
      </c>
      <c r="CH712" s="50" t="n">
        <f aca="false">ROUNDUP(H712/BV712,0)</f>
        <v>0</v>
      </c>
      <c r="CI712" s="50" t="n">
        <f aca="false">ROUNDUP(CF712/BV712,0)</f>
        <v>0</v>
      </c>
      <c r="CJ712" s="53" t="n">
        <f aca="false">IF(BW712=1,0,IFERROR(VLOOKUP(BU712,'Gebinde-Kategorie'!$A$5:$N$45,5,0)+0,0))</f>
        <v>20</v>
      </c>
      <c r="CK712" s="53" t="n">
        <f aca="false">IFERROR(IF(OR(CB712=1,CB712=2,CB712=3),N(INDEX(Parameter!$I$5:$I$7,CB712)),0),0)</f>
        <v>0</v>
      </c>
      <c r="CL712" s="52" t="n">
        <f aca="false">IF(AND(Parameter!$B$21="Ja",ISNUMBER(W712),N(X712)&gt;0),IFERROR(N(INDEX(Parameter!$L$5:$L$7,W712))*INDEX(Parameter!$E$5:$E$7,W712)*X712/SUMIFS($X$7:$X$1843,$W$7:$W$1843,W712),0),0)</f>
        <v>0</v>
      </c>
    </row>
    <row r="713" customFormat="false" ht="15" hidden="false" customHeight="false" outlineLevel="0" collapsed="false">
      <c r="A713" s="48" t="s">
        <v>1425</v>
      </c>
      <c r="B713" s="48" t="s">
        <v>1426</v>
      </c>
      <c r="C713" s="48" t="s">
        <v>168</v>
      </c>
      <c r="D713" s="48" t="s">
        <v>177</v>
      </c>
      <c r="E713" s="48" t="s">
        <v>170</v>
      </c>
      <c r="F713" s="48" t="s">
        <v>222</v>
      </c>
      <c r="G713" s="49" t="n">
        <v>700</v>
      </c>
      <c r="H713" s="50" t="n">
        <f aca="false">MAX(0,IF(AND(Parameter!$B$21="Ja",ISNUMBER(Y713)),Y713,IF(Parameter!$B$20="Jahresanfang 2025 + Export",BO713+BN713,BN713)))</f>
        <v>0</v>
      </c>
      <c r="I713" s="50" t="n">
        <f aca="false">H713*G713</f>
        <v>0</v>
      </c>
      <c r="J713" s="50" t="n">
        <f aca="false">BQ713*Parameter!$B$18</f>
        <v>4</v>
      </c>
      <c r="K713" s="51" t="n">
        <v>0</v>
      </c>
      <c r="L713" s="52" t="n">
        <v>0</v>
      </c>
      <c r="M713" s="50" t="n">
        <v>0</v>
      </c>
      <c r="N713" s="50" t="n">
        <v>5</v>
      </c>
      <c r="O713" s="53" t="n">
        <v>21</v>
      </c>
      <c r="P713" s="48" t="s">
        <v>172</v>
      </c>
      <c r="Q713" s="50"/>
      <c r="R713" s="53" t="n">
        <f aca="false">IF(BW713=1,0,IFERROR(VLOOKUP(BU713,'Gebinde-Kategorie'!$A$5:$N$45,13,0)+0,0))</f>
        <v>4</v>
      </c>
      <c r="S713" s="54"/>
      <c r="T713" s="55" t="s">
        <v>193</v>
      </c>
      <c r="U713" s="55"/>
      <c r="V713" s="55"/>
      <c r="W713" s="48"/>
      <c r="X713" s="50"/>
      <c r="Y713" s="50"/>
      <c r="Z713" s="48" t="n">
        <f aca="false">IF(A713="","",IF(AND(Parameter!$B$21="Ja",ISNUMBER(W713)),W713,IF(BZ713="2+3",IF(ISNUMBER(SEARCH("grosser Artikel",BR713)),2,IFERROR(VLOOKUP(BU713,Parameter!$F$35:$G$64,2,0),2)),IF(OR(BZ713="Nein",BZ713=""),"-",BZ713))))</f>
        <v>1</v>
      </c>
      <c r="AA713" s="55"/>
      <c r="AB713" s="56"/>
      <c r="AC713" s="50" t="n">
        <f aca="false">AT713</f>
        <v>5</v>
      </c>
      <c r="AD713" s="50" t="n">
        <f aca="false">MAX(AT713,H713)</f>
        <v>5</v>
      </c>
      <c r="AE713" s="57"/>
      <c r="AF713" s="50" t="n">
        <f aca="false">IF(LEFT(Cockpit!$C$5,1)="A",H713,IF(CE713=1,CF713,IF(LEFT(Cockpit!$C$5,1)="B",AK713,MAX(AK713,H713))))</f>
        <v>0</v>
      </c>
      <c r="AG713" s="50" t="n">
        <f aca="false">IF(BW713=1,0,ROUNDUP(AF713/BV713,0))</f>
        <v>0</v>
      </c>
      <c r="AH713" s="52" t="n">
        <f aca="false">IF(CL713&gt;0,CL713*MAX(1,AF713/X713),IF(BW713=1,IF(AF713&lt;=0,0,CA713*MAX(1,IF(H713&gt;0,AF713/H713,1))),IF(R713&gt;0,AG713/R713,0))/MAX(0.1,N(Parameter!$M$21)))</f>
        <v>0</v>
      </c>
      <c r="AI713" s="50" t="n">
        <f aca="false">AH713*BY713</f>
        <v>0</v>
      </c>
      <c r="AJ713" s="50" t="n">
        <f aca="false">AF713*G713</f>
        <v>0</v>
      </c>
      <c r="AK713" s="50" t="n">
        <f aca="false">ROUNDUP(MAX(J713/IF(CD713&gt;0,CD713,MAX(0.1,N(Cockpit!$C$6))),CG713)/BV713,0)*BV713</f>
        <v>5</v>
      </c>
      <c r="AL713" s="51" t="n">
        <f aca="false">IF(AI713&gt;0,J713/AI713,-1)</f>
        <v>-1</v>
      </c>
      <c r="AM713" s="51" t="str">
        <f aca="false">IF(AND(OR(CC713="L1",CC713="L23",CC713="LIFT"),AI713&gt;0),SUMIFS($AI$7:$AI$1843,$CC$7:$CC$1843,CC713,$AL$7:$AL$1843,"&gt;"&amp;AL713)+SUMIFS($AI$7:$AI$1843,$CC$7:$CC$1843,CC713,$AL$7:$AL$1843,AL713,$BT$7:$BT$1843,"&lt;="&amp;BT713),"")</f>
        <v/>
      </c>
      <c r="AN713" s="58" t="n">
        <f aca="false">IF(AM713="",0,MAX(0,MIN(1,(IF(CC713="L1",Parameter!$H$5,IF(CC713="L23",Parameter!$H$6+Parameter!$H$7,Parameter!$H$5+Parameter!$H$6+Parameter!$H$7))-(AM713-AI713))/AI713)))</f>
        <v>0</v>
      </c>
      <c r="AO713" s="50" t="n">
        <f aca="false">IF(LEFT(Cockpit!$I$5,1)="A",H713,IF(CE713=1,CF713,IF(LEFT(Cockpit!$I$5,1)="B",AT713,MAX(AT713,H713))))</f>
        <v>5</v>
      </c>
      <c r="AP713" s="50" t="n">
        <f aca="false">IF(BW713=1,0,ROUNDUP(AO713/BV713,0))</f>
        <v>1</v>
      </c>
      <c r="AQ713" s="52" t="n">
        <f aca="false">IF(CL713&gt;0,CL713*MAX(1,AO713/X713),IF(BW713=1,IF(AO713&lt;=0,0,CA713*MAX(1,IF(H713&gt;0,AO713/H713,1))),IF(R713&gt;0,AP713/R713,0))/MAX(0.1,N(Parameter!$M$21)))</f>
        <v>0.25</v>
      </c>
      <c r="AR713" s="50" t="n">
        <f aca="false">AQ713*BY713</f>
        <v>58.75</v>
      </c>
      <c r="AS713" s="50" t="n">
        <f aca="false">AO713*G713</f>
        <v>3500</v>
      </c>
      <c r="AT713" s="50" t="n">
        <f aca="false">ROUNDUP(MAX(J713/IF(CD713&gt;0,CD713,MAX(0.1,N(Cockpit!$I$6))),CG713)/BV713,0)*BV713</f>
        <v>5</v>
      </c>
      <c r="AU713" s="51" t="n">
        <f aca="false">IF(AR713&gt;0,J713/AR713,-1)</f>
        <v>0.0680851063829787</v>
      </c>
      <c r="AV713" s="51" t="n">
        <f aca="false">IF(AND(OR(CC713="L1",CC713="L23",CC713="LIFT"),AR713&gt;0),SUMIFS($AR$7:$AR$1843,$CC$7:$CC$1843,CC713,$AU$7:$AU$1843,"&gt;"&amp;AU713)+SUMIFS($AR$7:$AR$1843,$CC$7:$CC$1843,CC713,$AU$7:$AU$1843,AU713,$BT$7:$BT$1843,"&lt;="&amp;BT713),"")</f>
        <v>27928.1654585998</v>
      </c>
      <c r="AW713" s="58" t="n">
        <f aca="false">IF(AV713="",0,MAX(0,MIN(1,(IF(CC713="L1",Parameter!$H$5,IF(CC713="L23",Parameter!$H$6+Parameter!$H$7,Parameter!$H$5+Parameter!$H$6+Parameter!$H$7))-(AV713-AR713))/AR713)))</f>
        <v>1</v>
      </c>
      <c r="AX713" s="50" t="n">
        <f aca="false">IF(LEFT(Cockpit!$O$5,1)="A",H713,IF(CE713=1,CF713,IF(LEFT(Cockpit!$O$5,1)="B",BC713,MAX(BC713,H713))))</f>
        <v>5</v>
      </c>
      <c r="AY713" s="50" t="n">
        <f aca="false">IF(BW713=1,0,ROUNDUP(AX713/BV713,0))</f>
        <v>1</v>
      </c>
      <c r="AZ713" s="52" t="n">
        <f aca="false">IF(CL713&gt;0,CL713*MAX(1,AX713/X713),IF(BW713=1,IF(AX713&lt;=0,0,CA713*MAX(1,IF(H713&gt;0,AX713/H713,1))),IF(R713&gt;0,AY713/R713,0))/MAX(0.1,N(Parameter!$M$21)))</f>
        <v>0.25</v>
      </c>
      <c r="BA713" s="50" t="n">
        <f aca="false">AZ713*BY713</f>
        <v>58.75</v>
      </c>
      <c r="BB713" s="50" t="n">
        <f aca="false">AX713*G713</f>
        <v>3500</v>
      </c>
      <c r="BC713" s="50" t="n">
        <f aca="false">ROUNDUP(MAX(J713/IF(CD713&gt;0,CD713,MAX(0.1,N(Cockpit!$O$6))),CG713)/BV713,0)*BV713</f>
        <v>5</v>
      </c>
      <c r="BD713" s="51" t="n">
        <f aca="false">IF(BA713&gt;0,J713/BA713,-1)</f>
        <v>0.0680851063829787</v>
      </c>
      <c r="BE713" s="51" t="n">
        <f aca="false">IF(AND(OR(CC713="L1",CC713="L23",CC713="LIFT"),BA713&gt;0),SUMIFS($BA$7:$BA$1843,$CC$7:$CC$1843,CC713,$BD$7:$BD$1843,"&gt;"&amp;BD713)+SUMIFS($BA$7:$BA$1843,$CC$7:$CC$1843,CC713,$BD$7:$BD$1843,BD713,$BT$7:$BT$1843,"&lt;="&amp;BT713),"")</f>
        <v>26130.6775004656</v>
      </c>
      <c r="BF713" s="58" t="n">
        <f aca="false">IF(BE713="",0,MAX(0,MIN(1,(IF(CC713="L1",Parameter!$H$5,IF(CC713="L23",Parameter!$H$6+Parameter!$H$7,Parameter!$H$5+Parameter!$H$6+Parameter!$H$7))-(BE713-BA713))/BA713)))</f>
        <v>1</v>
      </c>
      <c r="BG713" s="48" t="str">
        <f aca="false">IF(AI713&lt;=0,"",IF(CC713="Aussen","Aussenlager",IF(CC713="-","Nicht im Lift",IF(AN713&gt;=1,"Lift",IF(AN713&lt;=0,"Aussenlager","teilweise")))))</f>
        <v/>
      </c>
      <c r="BH713" s="48" t="str">
        <f aca="false">IF(AR713&lt;=0,"",IF(CC713="Aussen","Aussenlager",IF(CC713="-","Nicht im Lift",IF(AW713&gt;=1,"Lift",IF(AW713&lt;=0,"Aussenlager","teilweise")))))</f>
        <v>Lift</v>
      </c>
      <c r="BI713" s="48" t="str">
        <f aca="false">IF(BA713&lt;=0,"",IF(CC713="Aussen","Aussenlager",IF(CC713="-","Nicht im Lift",IF(BF713&gt;=1,"Lift",IF(BF713&lt;=0,"Aussenlager","teilweise")))))</f>
        <v>Lift</v>
      </c>
      <c r="BJ713" s="48" t="str">
        <f aca="false">IF(A713="","",IF(BS713=1,"Neu; ","")&amp;IF(AND(BS713=0,BN713&lt;0),"negativer Bestand (Export "&amp;BN713&amp;"); ","")&amp;IF(J713&lt;=0,"Kein Verbrauch; ","")&amp;IF(CL713&gt;0,"Lift "&amp;W713&amp;" lt. Liftbericht (Fach "&amp;X713&amp;" Stk); ",IF(BX713=1,"Gebinde geschätzt ("&amp;T713&amp;"); ",IF(BW713=1,"Lose – Tablare geschätzt; ","")))&amp;IF(H713&gt;AT713,"Überbestand "&amp;ROUND(H713-AT713,0)&amp;" Stk / CHF "&amp;ROUND((H713-AT713)*G713,0)&amp;"; ","")&amp;IF(AND(CE713=1,CF713&lt;CG713),"MAX &lt; MB+LG; ","")&amp;IF(AND(CK713&gt;0,CJ713*10&gt;CK713),"zu hoch für Tablar; ","")&amp;IF(AND(BS713=0,OR(CE713=1,AA713&lt;&gt;"",U713&lt;&gt;"",V713&lt;&gt;"",AB713&lt;&gt;"")),"manuell übersteuert; ","")&amp;IF(AND(BW713=0,R713=0),"Gebinde unbekannt / Stellmass fehlt; ","")&amp;IF(AND(BW713=0,N(V713)&lt;=0,N(Q713)&lt;=0),"Menge pro Gebinde fehlt (Ist = 1 Gebinde); ","")&amp;BR713)</f>
        <v>Gebinde geschätzt (Gross); Menge pro Gebinde fehlt (Ist = 1 Gebinde); </v>
      </c>
      <c r="BK713" s="48"/>
      <c r="BL713" s="48"/>
      <c r="BM713" s="55"/>
      <c r="BN713" s="50" t="n">
        <v>0</v>
      </c>
      <c r="BO713" s="50" t="n">
        <v>0</v>
      </c>
      <c r="BP713" s="49" t="n">
        <v>0</v>
      </c>
      <c r="BQ713" s="50" t="n">
        <v>4</v>
      </c>
      <c r="BR713" s="48"/>
      <c r="BS713" s="53" t="n">
        <v>0</v>
      </c>
      <c r="BT713" s="53" t="n">
        <v>713</v>
      </c>
      <c r="BU713" s="48" t="str">
        <f aca="false">IF(U713&lt;&gt;"",UPPER(TRIM(U713)),IF(BX713=1,UPPER(VLOOKUP(T713,Parameter!$I$27:$K$29,2,0)),IF(P713="","LOSE",P713)))</f>
        <v>S81</v>
      </c>
      <c r="BV713" s="50" t="n">
        <f aca="false">IF(BU713="LOSE",1,IF(N(V713)&gt;0,V713,IF(BX713=1,MAX(1,N(VLOOKUP(T713,Parameter!$I$27:$K$29,3,0)),H713,N(N713)),IF(N(Q713)&gt;0,Q713,MAX(1,H713)))))</f>
        <v>5</v>
      </c>
      <c r="BW713" s="53" t="n">
        <f aca="false">IF(BU713="LOSE",1,0)</f>
        <v>0</v>
      </c>
      <c r="BX713" s="53" t="n">
        <f aca="false">IF(AND(U713="",OR(P713="",P713="LOSE"),T713&lt;&gt;"",N(S713)&lt;=0,ISNUMBER(MATCH(T713,Parameter!$I$27:$I$29,0))),1,0)</f>
        <v>1</v>
      </c>
      <c r="BY713" s="53" t="n">
        <f aca="false">IF(CL713&gt;0,INDEX(Parameter!$H$5:$H$7,W713)/INDEX(Parameter!$E$5:$E$7,W713),IF(AND(BW713=0,N(IFERROR(VLOOKUP(BU713,'Gebinde-Kategorie'!$A$5:$N$45,14,0),0))&gt;0),VLOOKUP(BU713,'Gebinde-Kategorie'!$A$5:$N$45,14,0)*10+Parameter!$M$23,Parameter!$M$24))</f>
        <v>235</v>
      </c>
      <c r="BZ713" s="48" t="n">
        <f aca="false">IF(AND(Parameter!$B$19="Ja",E713&lt;&gt;"",ISNUMBER(MATCH(E713,Parameter!$I$35:$I$52,0))),VLOOKUP(E713,Parameter!$I$35:$J$52,2,0),IFERROR(VLOOKUP(D713,Parameter!$A$35:$C$64,2,0),"Nein"))</f>
        <v>1</v>
      </c>
      <c r="CA713" s="52" t="n">
        <f aca="false">IF(BW713=0,0,IF(N(S713)&gt;0,S713,IFERROR(VLOOKUP(D713,Parameter!$A$35:$C$64,3,0)+0,0)))</f>
        <v>0</v>
      </c>
      <c r="CB713" s="48" t="n">
        <f aca="false">IF(AA713&lt;&gt;"",AA713,Z713)</f>
        <v>1</v>
      </c>
      <c r="CC713" s="48" t="str">
        <f aca="false">IF(OR(CB713=1,CB713=2,CB713=3),IF(Parameter!$E$27="Ja","LIFT",IF(CB713=1,"L1","L23")),IF(CB713="Aussen","Aussen","-"))</f>
        <v>LIFT</v>
      </c>
      <c r="CD713" s="59" t="n">
        <f aca="false">IF(N(AB713)&gt;0,AB713,0)</f>
        <v>0</v>
      </c>
      <c r="CE713" s="53" t="n">
        <f aca="false">IF(ISNUMBER(AE713),1,0)</f>
        <v>0</v>
      </c>
      <c r="CF713" s="50" t="n">
        <f aca="false">N(AE713)</f>
        <v>0</v>
      </c>
      <c r="CG713" s="50" t="n">
        <f aca="false">N(M713)+N(N713)</f>
        <v>5</v>
      </c>
      <c r="CH713" s="50" t="n">
        <f aca="false">ROUNDUP(H713/BV713,0)</f>
        <v>0</v>
      </c>
      <c r="CI713" s="50" t="n">
        <f aca="false">ROUNDUP(CF713/BV713,0)</f>
        <v>0</v>
      </c>
      <c r="CJ713" s="53" t="n">
        <f aca="false">IF(BW713=1,0,IFERROR(VLOOKUP(BU713,'Gebinde-Kategorie'!$A$5:$N$45,5,0)+0,0))</f>
        <v>20</v>
      </c>
      <c r="CK713" s="53" t="n">
        <f aca="false">IFERROR(IF(OR(CB713=1,CB713=2,CB713=3),N(INDEX(Parameter!$I$5:$I$7,CB713)),0),0)</f>
        <v>0</v>
      </c>
      <c r="CL713" s="52" t="n">
        <f aca="false">IF(AND(Parameter!$B$21="Ja",ISNUMBER(W713),N(X713)&gt;0),IFERROR(N(INDEX(Parameter!$L$5:$L$7,W713))*INDEX(Parameter!$E$5:$E$7,W713)*X713/SUMIFS($X$7:$X$1843,$W$7:$W$1843,W713),0),0)</f>
        <v>0</v>
      </c>
    </row>
    <row r="714" customFormat="false" ht="15" hidden="false" customHeight="false" outlineLevel="0" collapsed="false">
      <c r="A714" s="48" t="s">
        <v>1427</v>
      </c>
      <c r="B714" s="48" t="s">
        <v>608</v>
      </c>
      <c r="C714" s="48" t="s">
        <v>168</v>
      </c>
      <c r="D714" s="48" t="s">
        <v>177</v>
      </c>
      <c r="E714" s="48" t="s">
        <v>189</v>
      </c>
      <c r="F714" s="48" t="s">
        <v>222</v>
      </c>
      <c r="G714" s="49" t="n">
        <v>144.5</v>
      </c>
      <c r="H714" s="50" t="n">
        <f aca="false">MAX(0,IF(AND(Parameter!$B$21="Ja",ISNUMBER(Y714)),Y714,IF(Parameter!$B$20="Jahresanfang 2025 + Export",BO714+BN714,BN714)))</f>
        <v>13</v>
      </c>
      <c r="I714" s="50" t="n">
        <f aca="false">H714*G714</f>
        <v>1878.5</v>
      </c>
      <c r="J714" s="50" t="n">
        <f aca="false">BQ714*Parameter!$B$18</f>
        <v>0</v>
      </c>
      <c r="K714" s="51" t="n">
        <v>13.5</v>
      </c>
      <c r="L714" s="52" t="n">
        <v>0</v>
      </c>
      <c r="M714" s="50" t="n">
        <v>0</v>
      </c>
      <c r="N714" s="50" t="n">
        <v>1</v>
      </c>
      <c r="O714" s="53" t="n">
        <v>49</v>
      </c>
      <c r="P714" s="48" t="s">
        <v>178</v>
      </c>
      <c r="Q714" s="50" t="n">
        <v>15</v>
      </c>
      <c r="R714" s="53" t="n">
        <f aca="false">IF(BW714=1,0,IFERROR(VLOOKUP(BU714,'Gebinde-Kategorie'!$A$5:$N$45,13,0)+0,0))</f>
        <v>6</v>
      </c>
      <c r="S714" s="54"/>
      <c r="T714" s="55"/>
      <c r="U714" s="55"/>
      <c r="V714" s="55"/>
      <c r="W714" s="48"/>
      <c r="X714" s="50"/>
      <c r="Y714" s="50"/>
      <c r="Z714" s="48" t="n">
        <f aca="false">IF(A714="","",IF(AND(Parameter!$B$21="Ja",ISNUMBER(W714)),W714,IF(BZ714="2+3",IF(ISNUMBER(SEARCH("grosser Artikel",BR714)),2,IFERROR(VLOOKUP(BU714,Parameter!$F$35:$G$64,2,0),2)),IF(OR(BZ714="Nein",BZ714=""),"-",BZ714))))</f>
        <v>2</v>
      </c>
      <c r="AA714" s="55"/>
      <c r="AB714" s="56"/>
      <c r="AC714" s="50" t="n">
        <f aca="false">AT714</f>
        <v>15</v>
      </c>
      <c r="AD714" s="50" t="n">
        <f aca="false">MAX(AT714,H714)</f>
        <v>15</v>
      </c>
      <c r="AE714" s="57"/>
      <c r="AF714" s="50" t="n">
        <f aca="false">IF(LEFT(Cockpit!$C$5,1)="A",H714,IF(CE714=1,CF714,IF(LEFT(Cockpit!$C$5,1)="B",AK714,MAX(AK714,H714))))</f>
        <v>13</v>
      </c>
      <c r="AG714" s="50" t="n">
        <f aca="false">IF(BW714=1,0,ROUNDUP(AF714/BV714,0))</f>
        <v>1</v>
      </c>
      <c r="AH714" s="52" t="n">
        <f aca="false">IF(CL714&gt;0,CL714*MAX(1,AF714/X714),IF(BW714=1,IF(AF714&lt;=0,0,CA714*MAX(1,IF(H714&gt;0,AF714/H714,1))),IF(R714&gt;0,AG714/R714,0))/MAX(0.1,N(Parameter!$M$21)))</f>
        <v>0.166666666666667</v>
      </c>
      <c r="AI714" s="50" t="n">
        <f aca="false">AH714*BY714</f>
        <v>39.1666666666667</v>
      </c>
      <c r="AJ714" s="50" t="n">
        <f aca="false">AF714*G714</f>
        <v>1878.5</v>
      </c>
      <c r="AK714" s="50" t="n">
        <f aca="false">ROUNDUP(MAX(J714/IF(CD714&gt;0,CD714,MAX(0.1,N(Cockpit!$C$6))),CG714)/BV714,0)*BV714</f>
        <v>15</v>
      </c>
      <c r="AL714" s="51" t="n">
        <f aca="false">IF(AI714&gt;0,J714/AI714,-1)</f>
        <v>0</v>
      </c>
      <c r="AM714" s="51" t="n">
        <f aca="false">IF(AND(OR(CC714="L1",CC714="L23",CC714="LIFT"),AI714&gt;0),SUMIFS($AI$7:$AI$1843,$CC$7:$CC$1843,CC714,$AL$7:$AL$1843,"&gt;"&amp;AL714)+SUMIFS($AI$7:$AI$1843,$CC$7:$CC$1843,CC714,$AL$7:$AL$1843,AL714,$BT$7:$BT$1843,"&lt;="&amp;BT714),"")</f>
        <v>28670.8596003808</v>
      </c>
      <c r="AN714" s="58" t="n">
        <f aca="false">IF(AM714="",0,MAX(0,MIN(1,(IF(CC714="L1",Parameter!$H$5,IF(CC714="L23",Parameter!$H$6+Parameter!$H$7,Parameter!$H$5+Parameter!$H$6+Parameter!$H$7))-(AM714-AI714))/AI714)))</f>
        <v>1</v>
      </c>
      <c r="AO714" s="50" t="n">
        <f aca="false">IF(LEFT(Cockpit!$I$5,1)="A",H714,IF(CE714=1,CF714,IF(LEFT(Cockpit!$I$5,1)="B",AT714,MAX(AT714,H714))))</f>
        <v>15</v>
      </c>
      <c r="AP714" s="50" t="n">
        <f aca="false">IF(BW714=1,0,ROUNDUP(AO714/BV714,0))</f>
        <v>1</v>
      </c>
      <c r="AQ714" s="52" t="n">
        <f aca="false">IF(CL714&gt;0,CL714*MAX(1,AO714/X714),IF(BW714=1,IF(AO714&lt;=0,0,CA714*MAX(1,IF(H714&gt;0,AO714/H714,1))),IF(R714&gt;0,AP714/R714,0))/MAX(0.1,N(Parameter!$M$21)))</f>
        <v>0.166666666666667</v>
      </c>
      <c r="AR714" s="50" t="n">
        <f aca="false">AQ714*BY714</f>
        <v>39.1666666666667</v>
      </c>
      <c r="AS714" s="50" t="n">
        <f aca="false">AO714*G714</f>
        <v>2167.5</v>
      </c>
      <c r="AT714" s="50" t="n">
        <f aca="false">ROUNDUP(MAX(J714/IF(CD714&gt;0,CD714,MAX(0.1,N(Cockpit!$I$6))),CG714)/BV714,0)*BV714</f>
        <v>15</v>
      </c>
      <c r="AU714" s="51" t="n">
        <f aca="false">IF(AR714&gt;0,J714/AR714,-1)</f>
        <v>0</v>
      </c>
      <c r="AV714" s="51" t="n">
        <f aca="false">IF(AND(OR(CC714="L1",CC714="L23",CC714="LIFT"),AR714&gt;0),SUMIFS($AR$7:$AR$1843,$CC$7:$CC$1843,CC714,$AU$7:$AU$1843,"&gt;"&amp;AU714)+SUMIFS($AR$7:$AR$1843,$CC$7:$CC$1843,CC714,$AU$7:$AU$1843,AU714,$BT$7:$BT$1843,"&lt;="&amp;BT714),"")</f>
        <v>40122.908432669</v>
      </c>
      <c r="AW714" s="58" t="n">
        <f aca="false">IF(AV714="",0,MAX(0,MIN(1,(IF(CC714="L1",Parameter!$H$5,IF(CC714="L23",Parameter!$H$6+Parameter!$H$7,Parameter!$H$5+Parameter!$H$6+Parameter!$H$7))-(AV714-AR714))/AR714)))</f>
        <v>0</v>
      </c>
      <c r="AX714" s="50" t="n">
        <f aca="false">IF(LEFT(Cockpit!$O$5,1)="A",H714,IF(CE714=1,CF714,IF(LEFT(Cockpit!$O$5,1)="B",BC714,MAX(BC714,H714))))</f>
        <v>15</v>
      </c>
      <c r="AY714" s="50" t="n">
        <f aca="false">IF(BW714=1,0,ROUNDUP(AX714/BV714,0))</f>
        <v>1</v>
      </c>
      <c r="AZ714" s="52" t="n">
        <f aca="false">IF(CL714&gt;0,CL714*MAX(1,AX714/X714),IF(BW714=1,IF(AX714&lt;=0,0,CA714*MAX(1,IF(H714&gt;0,AX714/H714,1))),IF(R714&gt;0,AY714/R714,0))/MAX(0.1,N(Parameter!$M$21)))</f>
        <v>0.166666666666667</v>
      </c>
      <c r="BA714" s="50" t="n">
        <f aca="false">AZ714*BY714</f>
        <v>39.1666666666667</v>
      </c>
      <c r="BB714" s="50" t="n">
        <f aca="false">AX714*G714</f>
        <v>2167.5</v>
      </c>
      <c r="BC714" s="50" t="n">
        <f aca="false">ROUNDUP(MAX(J714/IF(CD714&gt;0,CD714,MAX(0.1,N(Cockpit!$O$6))),CG714)/BV714,0)*BV714</f>
        <v>15</v>
      </c>
      <c r="BD714" s="51" t="n">
        <f aca="false">IF(BA714&gt;0,J714/BA714,-1)</f>
        <v>0</v>
      </c>
      <c r="BE714" s="51" t="n">
        <f aca="false">IF(AND(OR(CC714="L1",CC714="L23",CC714="LIFT"),BA714&gt;0),SUMIFS($BA$7:$BA$1843,$CC$7:$CC$1843,CC714,$BD$7:$BD$1843,"&gt;"&amp;BD714)+SUMIFS($BA$7:$BA$1843,$CC$7:$CC$1843,CC714,$BD$7:$BD$1843,BD714,$BT$7:$BT$1843,"&lt;="&amp;BT714),"")</f>
        <v>36797.9204745349</v>
      </c>
      <c r="BF714" s="58" t="n">
        <f aca="false">IF(BE714="",0,MAX(0,MIN(1,(IF(CC714="L1",Parameter!$H$5,IF(CC714="L23",Parameter!$H$6+Parameter!$H$7,Parameter!$H$5+Parameter!$H$6+Parameter!$H$7))-(BE714-BA714))/BA714)))</f>
        <v>0</v>
      </c>
      <c r="BG714" s="48" t="str">
        <f aca="false">IF(AI714&lt;=0,"",IF(CC714="Aussen","Aussenlager",IF(CC714="-","Nicht im Lift",IF(AN714&gt;=1,"Lift",IF(AN714&lt;=0,"Aussenlager","teilweise")))))</f>
        <v>Lift</v>
      </c>
      <c r="BH714" s="48" t="str">
        <f aca="false">IF(AR714&lt;=0,"",IF(CC714="Aussen","Aussenlager",IF(CC714="-","Nicht im Lift",IF(AW714&gt;=1,"Lift",IF(AW714&lt;=0,"Aussenlager","teilweise")))))</f>
        <v>Aussenlager</v>
      </c>
      <c r="BI714" s="48" t="str">
        <f aca="false">IF(BA714&lt;=0,"",IF(CC714="Aussen","Aussenlager",IF(CC714="-","Nicht im Lift",IF(BF714&gt;=1,"Lift",IF(BF714&lt;=0,"Aussenlager","teilweise")))))</f>
        <v>Aussenlager</v>
      </c>
      <c r="BJ714" s="48" t="str">
        <f aca="false">IF(A714="","",IF(BS714=1,"Neu; ","")&amp;IF(AND(BS714=0,BN714&lt;0),"negativer Bestand (Export "&amp;BN714&amp;"); ","")&amp;IF(J714&lt;=0,"Kein Verbrauch; ","")&amp;IF(CL714&gt;0,"Lift "&amp;W714&amp;" lt. Liftbericht (Fach "&amp;X714&amp;" Stk); ",IF(BX714=1,"Gebinde geschätzt ("&amp;T714&amp;"); ",IF(BW714=1,"Lose – Tablare geschätzt; ","")))&amp;IF(H714&gt;AT714,"Überbestand "&amp;ROUND(H714-AT714,0)&amp;" Stk / CHF "&amp;ROUND((H714-AT714)*G714,0)&amp;"; ","")&amp;IF(AND(CE714=1,CF714&lt;CG714),"MAX &lt; MB+LG; ","")&amp;IF(AND(CK714&gt;0,CJ714*10&gt;CK714),"zu hoch für Tablar; ","")&amp;IF(AND(BS714=0,OR(CE714=1,AA714&lt;&gt;"",U714&lt;&gt;"",V714&lt;&gt;"",AB714&lt;&gt;"")),"manuell übersteuert; ","")&amp;IF(AND(BW714=0,R714=0),"Gebinde unbekannt / Stellmass fehlt; ","")&amp;IF(AND(BW714=0,N(V714)&lt;=0,N(Q714)&lt;=0),"Menge pro Gebinde fehlt (Ist = 1 Gebinde); ","")&amp;BR714)</f>
        <v>Kein Verbrauch; Überbestand; grosser Artikel &amp; nicht im KTL</v>
      </c>
      <c r="BK714" s="48"/>
      <c r="BL714" s="48"/>
      <c r="BM714" s="55"/>
      <c r="BN714" s="50" t="n">
        <v>0</v>
      </c>
      <c r="BO714" s="50" t="n">
        <v>13</v>
      </c>
      <c r="BP714" s="49" t="n">
        <v>0</v>
      </c>
      <c r="BQ714" s="50" t="n">
        <v>0</v>
      </c>
      <c r="BR714" s="48" t="s">
        <v>363</v>
      </c>
      <c r="BS714" s="53" t="n">
        <v>0</v>
      </c>
      <c r="BT714" s="53" t="n">
        <v>714</v>
      </c>
      <c r="BU714" s="48" t="str">
        <f aca="false">IF(U714&lt;&gt;"",UPPER(TRIM(U714)),IF(BX714=1,UPPER(VLOOKUP(T714,Parameter!$I$27:$K$29,2,0)),IF(P714="","LOSE",P714)))</f>
        <v>S71</v>
      </c>
      <c r="BV714" s="50" t="n">
        <f aca="false">IF(BU714="LOSE",1,IF(N(V714)&gt;0,V714,IF(BX714=1,MAX(1,N(VLOOKUP(T714,Parameter!$I$27:$K$29,3,0)),H714,N(N714)),IF(N(Q714)&gt;0,Q714,MAX(1,H714)))))</f>
        <v>15</v>
      </c>
      <c r="BW714" s="53" t="n">
        <f aca="false">IF(BU714="LOSE",1,0)</f>
        <v>0</v>
      </c>
      <c r="BX714" s="53" t="n">
        <f aca="false">IF(AND(U714="",OR(P714="",P714="LOSE"),T714&lt;&gt;"",N(S714)&lt;=0,ISNUMBER(MATCH(T714,Parameter!$I$27:$I$29,0))),1,0)</f>
        <v>0</v>
      </c>
      <c r="BY714" s="53" t="n">
        <f aca="false">IF(CL714&gt;0,INDEX(Parameter!$H$5:$H$7,W714)/INDEX(Parameter!$E$5:$E$7,W714),IF(AND(BW714=0,N(IFERROR(VLOOKUP(BU714,'Gebinde-Kategorie'!$A$5:$N$45,14,0),0))&gt;0),VLOOKUP(BU714,'Gebinde-Kategorie'!$A$5:$N$45,14,0)*10+Parameter!$M$23,Parameter!$M$24))</f>
        <v>235</v>
      </c>
      <c r="BZ714" s="48" t="str">
        <f aca="false">IF(AND(Parameter!$B$19="Ja",E714&lt;&gt;"",ISNUMBER(MATCH(E714,Parameter!$I$35:$I$52,0))),VLOOKUP(E714,Parameter!$I$35:$J$52,2,0),IFERROR(VLOOKUP(D714,Parameter!$A$35:$C$64,2,0),"Nein"))</f>
        <v>2+3</v>
      </c>
      <c r="CA714" s="52" t="n">
        <f aca="false">IF(BW714=0,0,IF(N(S714)&gt;0,S714,IFERROR(VLOOKUP(D714,Parameter!$A$35:$C$64,3,0)+0,0)))</f>
        <v>0</v>
      </c>
      <c r="CB714" s="48" t="n">
        <f aca="false">IF(AA714&lt;&gt;"",AA714,Z714)</f>
        <v>2</v>
      </c>
      <c r="CC714" s="48" t="str">
        <f aca="false">IF(OR(CB714=1,CB714=2,CB714=3),IF(Parameter!$E$27="Ja","LIFT",IF(CB714=1,"L1","L23")),IF(CB714="Aussen","Aussen","-"))</f>
        <v>LIFT</v>
      </c>
      <c r="CD714" s="59" t="n">
        <f aca="false">IF(N(AB714)&gt;0,AB714,0)</f>
        <v>0</v>
      </c>
      <c r="CE714" s="53" t="n">
        <f aca="false">IF(ISNUMBER(AE714),1,0)</f>
        <v>0</v>
      </c>
      <c r="CF714" s="50" t="n">
        <f aca="false">N(AE714)</f>
        <v>0</v>
      </c>
      <c r="CG714" s="50" t="n">
        <f aca="false">N(M714)+N(N714)</f>
        <v>1</v>
      </c>
      <c r="CH714" s="50" t="n">
        <f aca="false">ROUNDUP(H714/BV714,0)</f>
        <v>1</v>
      </c>
      <c r="CI714" s="50" t="n">
        <f aca="false">ROUNDUP(CF714/BV714,0)</f>
        <v>0</v>
      </c>
      <c r="CJ714" s="53" t="n">
        <f aca="false">IF(BW714=1,0,IFERROR(VLOOKUP(BU714,'Gebinde-Kategorie'!$A$5:$N$45,5,0)+0,0))</f>
        <v>20</v>
      </c>
      <c r="CK714" s="53" t="n">
        <f aca="false">IFERROR(IF(OR(CB714=1,CB714=2,CB714=3),N(INDEX(Parameter!$I$5:$I$7,CB714)),0),0)</f>
        <v>0</v>
      </c>
      <c r="CL714" s="52" t="n">
        <f aca="false">IF(AND(Parameter!$B$21="Ja",ISNUMBER(W714),N(X714)&gt;0),IFERROR(N(INDEX(Parameter!$L$5:$L$7,W714))*INDEX(Parameter!$E$5:$E$7,W714)*X714/SUMIFS($X$7:$X$1843,$W$7:$W$1843,W714),0),0)</f>
        <v>0</v>
      </c>
    </row>
    <row r="715" customFormat="false" ht="15" hidden="false" customHeight="false" outlineLevel="0" collapsed="false">
      <c r="A715" s="48" t="s">
        <v>1428</v>
      </c>
      <c r="B715" s="48" t="s">
        <v>1429</v>
      </c>
      <c r="C715" s="48" t="s">
        <v>168</v>
      </c>
      <c r="D715" s="48" t="s">
        <v>999</v>
      </c>
      <c r="E715" s="48"/>
      <c r="F715" s="48" t="s">
        <v>222</v>
      </c>
      <c r="G715" s="49" t="n">
        <v>5572.64</v>
      </c>
      <c r="H715" s="50" t="n">
        <f aca="false">MAX(0,IF(AND(Parameter!$B$21="Ja",ISNUMBER(Y715)),Y715,IF(Parameter!$B$20="Jahresanfang 2025 + Export",BO715+BN715,BN715)))</f>
        <v>5</v>
      </c>
      <c r="I715" s="50" t="n">
        <f aca="false">H715*G715</f>
        <v>27863.2</v>
      </c>
      <c r="J715" s="50" t="n">
        <f aca="false">BQ715*Parameter!$B$18</f>
        <v>0</v>
      </c>
      <c r="K715" s="51" t="n">
        <v>0.5</v>
      </c>
      <c r="L715" s="52" t="n">
        <v>0</v>
      </c>
      <c r="M715" s="50" t="n">
        <v>0</v>
      </c>
      <c r="N715" s="50" t="n">
        <v>1</v>
      </c>
      <c r="O715" s="53" t="n">
        <v>28</v>
      </c>
      <c r="P715" s="48" t="s">
        <v>172</v>
      </c>
      <c r="Q715" s="50"/>
      <c r="R715" s="53" t="n">
        <f aca="false">IF(BW715=1,0,IFERROR(VLOOKUP(BU715,'Gebinde-Kategorie'!$A$5:$N$45,13,0)+0,0))</f>
        <v>0</v>
      </c>
      <c r="S715" s="54"/>
      <c r="T715" s="55"/>
      <c r="U715" s="55"/>
      <c r="V715" s="55"/>
      <c r="W715" s="48"/>
      <c r="X715" s="50"/>
      <c r="Y715" s="50"/>
      <c r="Z715" s="48" t="str">
        <f aca="false">IF(A715="","",IF(AND(Parameter!$B$21="Ja",ISNUMBER(W715)),W715,IF(BZ715="2+3",IF(ISNUMBER(SEARCH("grosser Artikel",BR715)),2,IFERROR(VLOOKUP(BU715,Parameter!$F$35:$G$64,2,0),2)),IF(OR(BZ715="Nein",BZ715=""),"-",BZ715))))</f>
        <v>-</v>
      </c>
      <c r="AA715" s="55"/>
      <c r="AB715" s="56"/>
      <c r="AC715" s="50" t="n">
        <f aca="false">AT715</f>
        <v>1</v>
      </c>
      <c r="AD715" s="50" t="n">
        <f aca="false">MAX(AT715,H715)</f>
        <v>5</v>
      </c>
      <c r="AE715" s="57"/>
      <c r="AF715" s="50" t="n">
        <f aca="false">IF(LEFT(Cockpit!$C$5,1)="A",H715,IF(CE715=1,CF715,IF(LEFT(Cockpit!$C$5,1)="B",AK715,MAX(AK715,H715))))</f>
        <v>5</v>
      </c>
      <c r="AG715" s="50" t="n">
        <f aca="false">IF(BW715=1,0,ROUNDUP(AF715/BV715,0))</f>
        <v>0</v>
      </c>
      <c r="AH715" s="52" t="n">
        <f aca="false">IF(CL715&gt;0,CL715*MAX(1,AF715/X715),IF(BW715=1,IF(AF715&lt;=0,0,CA715*MAX(1,IF(H715&gt;0,AF715/H715,1))),IF(R715&gt;0,AG715/R715,0))/MAX(0.1,N(Parameter!$M$21)))</f>
        <v>0.15</v>
      </c>
      <c r="AI715" s="50" t="n">
        <f aca="false">AH715*BY715</f>
        <v>35.25</v>
      </c>
      <c r="AJ715" s="50" t="n">
        <f aca="false">AF715*G715</f>
        <v>27863.2</v>
      </c>
      <c r="AK715" s="50" t="n">
        <f aca="false">ROUNDUP(MAX(J715/IF(CD715&gt;0,CD715,MAX(0.1,N(Cockpit!$C$6))),CG715)/BV715,0)*BV715</f>
        <v>1</v>
      </c>
      <c r="AL715" s="51" t="n">
        <f aca="false">IF(AI715&gt;0,J715/AI715,-1)</f>
        <v>0</v>
      </c>
      <c r="AM715" s="51" t="str">
        <f aca="false">IF(AND(OR(CC715="L1",CC715="L23",CC715="LIFT"),AI715&gt;0),SUMIFS($AI$7:$AI$1843,$CC$7:$CC$1843,CC715,$AL$7:$AL$1843,"&gt;"&amp;AL715)+SUMIFS($AI$7:$AI$1843,$CC$7:$CC$1843,CC715,$AL$7:$AL$1843,AL715,$BT$7:$BT$1843,"&lt;="&amp;BT715),"")</f>
        <v/>
      </c>
      <c r="AN715" s="58" t="n">
        <f aca="false">IF(AM715="",0,MAX(0,MIN(1,(IF(CC715="L1",Parameter!$H$5,IF(CC715="L23",Parameter!$H$6+Parameter!$H$7,Parameter!$H$5+Parameter!$H$6+Parameter!$H$7))-(AM715-AI715))/AI715)))</f>
        <v>0</v>
      </c>
      <c r="AO715" s="50" t="n">
        <f aca="false">IF(LEFT(Cockpit!$I$5,1)="A",H715,IF(CE715=1,CF715,IF(LEFT(Cockpit!$I$5,1)="B",AT715,MAX(AT715,H715))))</f>
        <v>5</v>
      </c>
      <c r="AP715" s="50" t="n">
        <f aca="false">IF(BW715=1,0,ROUNDUP(AO715/BV715,0))</f>
        <v>0</v>
      </c>
      <c r="AQ715" s="52" t="n">
        <f aca="false">IF(CL715&gt;0,CL715*MAX(1,AO715/X715),IF(BW715=1,IF(AO715&lt;=0,0,CA715*MAX(1,IF(H715&gt;0,AO715/H715,1))),IF(R715&gt;0,AP715/R715,0))/MAX(0.1,N(Parameter!$M$21)))</f>
        <v>0.15</v>
      </c>
      <c r="AR715" s="50" t="n">
        <f aca="false">AQ715*BY715</f>
        <v>35.25</v>
      </c>
      <c r="AS715" s="50" t="n">
        <f aca="false">AO715*G715</f>
        <v>27863.2</v>
      </c>
      <c r="AT715" s="50" t="n">
        <f aca="false">ROUNDUP(MAX(J715/IF(CD715&gt;0,CD715,MAX(0.1,N(Cockpit!$I$6))),CG715)/BV715,0)*BV715</f>
        <v>1</v>
      </c>
      <c r="AU715" s="51" t="n">
        <f aca="false">IF(AR715&gt;0,J715/AR715,-1)</f>
        <v>0</v>
      </c>
      <c r="AV715" s="51" t="str">
        <f aca="false">IF(AND(OR(CC715="L1",CC715="L23",CC715="LIFT"),AR715&gt;0),SUMIFS($AR$7:$AR$1843,$CC$7:$CC$1843,CC715,$AU$7:$AU$1843,"&gt;"&amp;AU715)+SUMIFS($AR$7:$AR$1843,$CC$7:$CC$1843,CC715,$AU$7:$AU$1843,AU715,$BT$7:$BT$1843,"&lt;="&amp;BT715),"")</f>
        <v/>
      </c>
      <c r="AW715" s="58" t="n">
        <f aca="false">IF(AV715="",0,MAX(0,MIN(1,(IF(CC715="L1",Parameter!$H$5,IF(CC715="L23",Parameter!$H$6+Parameter!$H$7,Parameter!$H$5+Parameter!$H$6+Parameter!$H$7))-(AV715-AR715))/AR715)))</f>
        <v>0</v>
      </c>
      <c r="AX715" s="50" t="n">
        <f aca="false">IF(LEFT(Cockpit!$O$5,1)="A",H715,IF(CE715=1,CF715,IF(LEFT(Cockpit!$O$5,1)="B",BC715,MAX(BC715,H715))))</f>
        <v>5</v>
      </c>
      <c r="AY715" s="50" t="n">
        <f aca="false">IF(BW715=1,0,ROUNDUP(AX715/BV715,0))</f>
        <v>0</v>
      </c>
      <c r="AZ715" s="52" t="n">
        <f aca="false">IF(CL715&gt;0,CL715*MAX(1,AX715/X715),IF(BW715=1,IF(AX715&lt;=0,0,CA715*MAX(1,IF(H715&gt;0,AX715/H715,1))),IF(R715&gt;0,AY715/R715,0))/MAX(0.1,N(Parameter!$M$21)))</f>
        <v>0.15</v>
      </c>
      <c r="BA715" s="50" t="n">
        <f aca="false">AZ715*BY715</f>
        <v>35.25</v>
      </c>
      <c r="BB715" s="50" t="n">
        <f aca="false">AX715*G715</f>
        <v>27863.2</v>
      </c>
      <c r="BC715" s="50" t="n">
        <f aca="false">ROUNDUP(MAX(J715/IF(CD715&gt;0,CD715,MAX(0.1,N(Cockpit!$O$6))),CG715)/BV715,0)*BV715</f>
        <v>1</v>
      </c>
      <c r="BD715" s="51" t="n">
        <f aca="false">IF(BA715&gt;0,J715/BA715,-1)</f>
        <v>0</v>
      </c>
      <c r="BE715" s="51" t="str">
        <f aca="false">IF(AND(OR(CC715="L1",CC715="L23",CC715="LIFT"),BA715&gt;0),SUMIFS($BA$7:$BA$1843,$CC$7:$CC$1843,CC715,$BD$7:$BD$1843,"&gt;"&amp;BD715)+SUMIFS($BA$7:$BA$1843,$CC$7:$CC$1843,CC715,$BD$7:$BD$1843,BD715,$BT$7:$BT$1843,"&lt;="&amp;BT715),"")</f>
        <v/>
      </c>
      <c r="BF715" s="58" t="n">
        <f aca="false">IF(BE715="",0,MAX(0,MIN(1,(IF(CC715="L1",Parameter!$H$5,IF(CC715="L23",Parameter!$H$6+Parameter!$H$7,Parameter!$H$5+Parameter!$H$6+Parameter!$H$7))-(BE715-BA715))/BA715)))</f>
        <v>0</v>
      </c>
      <c r="BG715" s="48" t="str">
        <f aca="false">IF(AI715&lt;=0,"",IF(CC715="Aussen","Aussenlager",IF(CC715="-","Nicht im Lift",IF(AN715&gt;=1,"Lift",IF(AN715&lt;=0,"Aussenlager","teilweise")))))</f>
        <v>Nicht im Lift</v>
      </c>
      <c r="BH715" s="48" t="str">
        <f aca="false">IF(AR715&lt;=0,"",IF(CC715="Aussen","Aussenlager",IF(CC715="-","Nicht im Lift",IF(AW715&gt;=1,"Lift",IF(AW715&lt;=0,"Aussenlager","teilweise")))))</f>
        <v>Nicht im Lift</v>
      </c>
      <c r="BI715" s="48" t="str">
        <f aca="false">IF(BA715&lt;=0,"",IF(CC715="Aussen","Aussenlager",IF(CC715="-","Nicht im Lift",IF(BF715&gt;=1,"Lift",IF(BF715&lt;=0,"Aussenlager","teilweise")))))</f>
        <v>Nicht im Lift</v>
      </c>
      <c r="BJ715" s="48" t="str">
        <f aca="false">IF(A715="","",IF(BS715=1,"Neu; ","")&amp;IF(AND(BS715=0,BN715&lt;0),"negativer Bestand (Export "&amp;BN715&amp;"); ","")&amp;IF(J715&lt;=0,"Kein Verbrauch; ","")&amp;IF(CL715&gt;0,"Lift "&amp;W715&amp;" lt. Liftbericht (Fach "&amp;X715&amp;" Stk); ",IF(BX715=1,"Gebinde geschätzt ("&amp;T715&amp;"); ",IF(BW715=1,"Lose – Tablare geschätzt; ","")))&amp;IF(H715&gt;AT715,"Überbestand "&amp;ROUND(H715-AT715,0)&amp;" Stk / CHF "&amp;ROUND((H715-AT715)*G715,0)&amp;"; ","")&amp;IF(AND(CE715=1,CF715&lt;CG715),"MAX &lt; MB+LG; ","")&amp;IF(AND(CK715&gt;0,CJ715*10&gt;CK715),"zu hoch für Tablar; ","")&amp;IF(AND(BS715=0,OR(CE715=1,AA715&lt;&gt;"",U715&lt;&gt;"",V715&lt;&gt;"",AB715&lt;&gt;"")),"manuell übersteuert; ","")&amp;IF(AND(BW715=0,R715=0),"Gebinde unbekannt / Stellmass fehlt; ","")&amp;IF(AND(BW715=0,N(V715)&lt;=0,N(Q715)&lt;=0),"Menge pro Gebinde fehlt (Ist = 1 Gebinde); ","")&amp;BR715)</f>
        <v>Kein Verbrauch; Lose – Tablare geschätzt; Überbestand 4 Stk / CHF 22291; </v>
      </c>
      <c r="BK715" s="48"/>
      <c r="BL715" s="48"/>
      <c r="BM715" s="55"/>
      <c r="BN715" s="50" t="n">
        <v>5</v>
      </c>
      <c r="BO715" s="50" t="n">
        <v>0</v>
      </c>
      <c r="BP715" s="49" t="n">
        <v>0</v>
      </c>
      <c r="BQ715" s="50" t="n">
        <v>0</v>
      </c>
      <c r="BR715" s="48"/>
      <c r="BS715" s="53" t="n">
        <v>0</v>
      </c>
      <c r="BT715" s="53" t="n">
        <v>715</v>
      </c>
      <c r="BU715" s="48" t="str">
        <f aca="false">IF(U715&lt;&gt;"",UPPER(TRIM(U715)),IF(BX715=1,UPPER(VLOOKUP(T715,Parameter!$I$27:$K$29,2,0)),IF(P715="","LOSE",P715)))</f>
        <v>LOSE</v>
      </c>
      <c r="BV715" s="50" t="n">
        <f aca="false">IF(BU715="LOSE",1,IF(N(V715)&gt;0,V715,IF(BX715=1,MAX(1,N(VLOOKUP(T715,Parameter!$I$27:$K$29,3,0)),H715,N(N715)),IF(N(Q715)&gt;0,Q715,MAX(1,H715)))))</f>
        <v>1</v>
      </c>
      <c r="BW715" s="53" t="n">
        <f aca="false">IF(BU715="LOSE",1,0)</f>
        <v>1</v>
      </c>
      <c r="BX715" s="53" t="n">
        <f aca="false">IF(AND(U715="",OR(P715="",P715="LOSE"),T715&lt;&gt;"",N(S715)&lt;=0,ISNUMBER(MATCH(T715,Parameter!$I$27:$I$29,0))),1,0)</f>
        <v>0</v>
      </c>
      <c r="BY715" s="53" t="n">
        <f aca="false">IF(CL715&gt;0,INDEX(Parameter!$H$5:$H$7,W715)/INDEX(Parameter!$E$5:$E$7,W715),IF(AND(BW715=0,N(IFERROR(VLOOKUP(BU715,'Gebinde-Kategorie'!$A$5:$N$45,14,0),0))&gt;0),VLOOKUP(BU715,'Gebinde-Kategorie'!$A$5:$N$45,14,0)*10+Parameter!$M$23,Parameter!$M$24))</f>
        <v>235</v>
      </c>
      <c r="BZ715" s="48" t="str">
        <f aca="false">IF(AND(Parameter!$B$19="Ja",E715&lt;&gt;"",ISNUMBER(MATCH(E715,Parameter!$I$35:$I$52,0))),VLOOKUP(E715,Parameter!$I$35:$J$52,2,0),IFERROR(VLOOKUP(D715,Parameter!$A$35:$C$64,2,0),"Nein"))</f>
        <v>Nein</v>
      </c>
      <c r="CA715" s="52" t="n">
        <f aca="false">IF(BW715=0,0,IF(N(S715)&gt;0,S715,IFERROR(VLOOKUP(D715,Parameter!$A$35:$C$64,3,0)+0,0)))</f>
        <v>0.15</v>
      </c>
      <c r="CB715" s="48" t="str">
        <f aca="false">IF(AA715&lt;&gt;"",AA715,Z715)</f>
        <v>-</v>
      </c>
      <c r="CC715" s="48" t="str">
        <f aca="false">IF(OR(CB715=1,CB715=2,CB715=3),IF(Parameter!$E$27="Ja","LIFT",IF(CB715=1,"L1","L23")),IF(CB715="Aussen","Aussen","-"))</f>
        <v>-</v>
      </c>
      <c r="CD715" s="59" t="n">
        <f aca="false">IF(N(AB715)&gt;0,AB715,0)</f>
        <v>0</v>
      </c>
      <c r="CE715" s="53" t="n">
        <f aca="false">IF(ISNUMBER(AE715),1,0)</f>
        <v>0</v>
      </c>
      <c r="CF715" s="50" t="n">
        <f aca="false">N(AE715)</f>
        <v>0</v>
      </c>
      <c r="CG715" s="50" t="n">
        <f aca="false">N(M715)+N(N715)</f>
        <v>1</v>
      </c>
      <c r="CH715" s="50" t="n">
        <f aca="false">ROUNDUP(H715/BV715,0)</f>
        <v>5</v>
      </c>
      <c r="CI715" s="50" t="n">
        <f aca="false">ROUNDUP(CF715/BV715,0)</f>
        <v>0</v>
      </c>
      <c r="CJ715" s="53" t="n">
        <f aca="false">IF(BW715=1,0,IFERROR(VLOOKUP(BU715,'Gebinde-Kategorie'!$A$5:$N$45,5,0)+0,0))</f>
        <v>0</v>
      </c>
      <c r="CK715" s="53" t="n">
        <f aca="false">IFERROR(IF(OR(CB715=1,CB715=2,CB715=3),N(INDEX(Parameter!$I$5:$I$7,CB715)),0),0)</f>
        <v>0</v>
      </c>
      <c r="CL715" s="52" t="n">
        <f aca="false">IF(AND(Parameter!$B$21="Ja",ISNUMBER(W715),N(X715)&gt;0),IFERROR(N(INDEX(Parameter!$L$5:$L$7,W715))*INDEX(Parameter!$E$5:$E$7,W715)*X715/SUMIFS($X$7:$X$1843,$W$7:$W$1843,W715),0),0)</f>
        <v>0</v>
      </c>
    </row>
    <row r="716" customFormat="false" ht="15" hidden="false" customHeight="false" outlineLevel="0" collapsed="false">
      <c r="A716" s="48" t="s">
        <v>1430</v>
      </c>
      <c r="B716" s="48" t="s">
        <v>548</v>
      </c>
      <c r="C716" s="48" t="s">
        <v>168</v>
      </c>
      <c r="D716" s="48" t="s">
        <v>999</v>
      </c>
      <c r="E716" s="48"/>
      <c r="F716" s="48" t="s">
        <v>222</v>
      </c>
      <c r="G716" s="49" t="n">
        <v>27.64</v>
      </c>
      <c r="H716" s="50" t="n">
        <f aca="false">MAX(0,IF(AND(Parameter!$B$21="Ja",ISNUMBER(Y716)),Y716,IF(Parameter!$B$20="Jahresanfang 2025 + Export",BO716+BN716,BN716)))</f>
        <v>0</v>
      </c>
      <c r="I716" s="50" t="n">
        <f aca="false">H716*G716</f>
        <v>0</v>
      </c>
      <c r="J716" s="50" t="n">
        <f aca="false">BQ716*Parameter!$B$18</f>
        <v>0</v>
      </c>
      <c r="K716" s="51" t="n">
        <v>0</v>
      </c>
      <c r="L716" s="52" t="n">
        <v>0</v>
      </c>
      <c r="M716" s="50" t="n">
        <v>0</v>
      </c>
      <c r="N716" s="50" t="n">
        <v>10</v>
      </c>
      <c r="O716" s="53" t="n">
        <v>28</v>
      </c>
      <c r="P716" s="48" t="s">
        <v>172</v>
      </c>
      <c r="Q716" s="50"/>
      <c r="R716" s="53" t="n">
        <f aca="false">IF(BW716=1,0,IFERROR(VLOOKUP(BU716,'Gebinde-Kategorie'!$A$5:$N$45,13,0)+0,0))</f>
        <v>0</v>
      </c>
      <c r="S716" s="54"/>
      <c r="T716" s="55"/>
      <c r="U716" s="55"/>
      <c r="V716" s="55"/>
      <c r="W716" s="48"/>
      <c r="X716" s="50"/>
      <c r="Y716" s="50"/>
      <c r="Z716" s="48" t="str">
        <f aca="false">IF(A716="","",IF(AND(Parameter!$B$21="Ja",ISNUMBER(W716)),W716,IF(BZ716="2+3",IF(ISNUMBER(SEARCH("grosser Artikel",BR716)),2,IFERROR(VLOOKUP(BU716,Parameter!$F$35:$G$64,2,0),2)),IF(OR(BZ716="Nein",BZ716=""),"-",BZ716))))</f>
        <v>-</v>
      </c>
      <c r="AA716" s="55"/>
      <c r="AB716" s="56"/>
      <c r="AC716" s="50" t="n">
        <f aca="false">AT716</f>
        <v>10</v>
      </c>
      <c r="AD716" s="50" t="n">
        <f aca="false">MAX(AT716,H716)</f>
        <v>10</v>
      </c>
      <c r="AE716" s="57"/>
      <c r="AF716" s="50" t="n">
        <f aca="false">IF(LEFT(Cockpit!$C$5,1)="A",H716,IF(CE716=1,CF716,IF(LEFT(Cockpit!$C$5,1)="B",AK716,MAX(AK716,H716))))</f>
        <v>0</v>
      </c>
      <c r="AG716" s="50" t="n">
        <f aca="false">IF(BW716=1,0,ROUNDUP(AF716/BV716,0))</f>
        <v>0</v>
      </c>
      <c r="AH716" s="52" t="n">
        <f aca="false">IF(CL716&gt;0,CL716*MAX(1,AF716/X716),IF(BW716=1,IF(AF716&lt;=0,0,CA716*MAX(1,IF(H716&gt;0,AF716/H716,1))),IF(R716&gt;0,AG716/R716,0))/MAX(0.1,N(Parameter!$M$21)))</f>
        <v>0</v>
      </c>
      <c r="AI716" s="50" t="n">
        <f aca="false">AH716*BY716</f>
        <v>0</v>
      </c>
      <c r="AJ716" s="50" t="n">
        <f aca="false">AF716*G716</f>
        <v>0</v>
      </c>
      <c r="AK716" s="50" t="n">
        <f aca="false">ROUNDUP(MAX(J716/IF(CD716&gt;0,CD716,MAX(0.1,N(Cockpit!$C$6))),CG716)/BV716,0)*BV716</f>
        <v>10</v>
      </c>
      <c r="AL716" s="51" t="n">
        <f aca="false">IF(AI716&gt;0,J716/AI716,-1)</f>
        <v>-1</v>
      </c>
      <c r="AM716" s="51" t="str">
        <f aca="false">IF(AND(OR(CC716="L1",CC716="L23",CC716="LIFT"),AI716&gt;0),SUMIFS($AI$7:$AI$1843,$CC$7:$CC$1843,CC716,$AL$7:$AL$1843,"&gt;"&amp;AL716)+SUMIFS($AI$7:$AI$1843,$CC$7:$CC$1843,CC716,$AL$7:$AL$1843,AL716,$BT$7:$BT$1843,"&lt;="&amp;BT716),"")</f>
        <v/>
      </c>
      <c r="AN716" s="58" t="n">
        <f aca="false">IF(AM716="",0,MAX(0,MIN(1,(IF(CC716="L1",Parameter!$H$5,IF(CC716="L23",Parameter!$H$6+Parameter!$H$7,Parameter!$H$5+Parameter!$H$6+Parameter!$H$7))-(AM716-AI716))/AI716)))</f>
        <v>0</v>
      </c>
      <c r="AO716" s="50" t="n">
        <f aca="false">IF(LEFT(Cockpit!$I$5,1)="A",H716,IF(CE716=1,CF716,IF(LEFT(Cockpit!$I$5,1)="B",AT716,MAX(AT716,H716))))</f>
        <v>10</v>
      </c>
      <c r="AP716" s="50" t="n">
        <f aca="false">IF(BW716=1,0,ROUNDUP(AO716/BV716,0))</f>
        <v>0</v>
      </c>
      <c r="AQ716" s="52" t="n">
        <f aca="false">IF(CL716&gt;0,CL716*MAX(1,AO716/X716),IF(BW716=1,IF(AO716&lt;=0,0,CA716*MAX(1,IF(H716&gt;0,AO716/H716,1))),IF(R716&gt;0,AP716/R716,0))/MAX(0.1,N(Parameter!$M$21)))</f>
        <v>0.15</v>
      </c>
      <c r="AR716" s="50" t="n">
        <f aca="false">AQ716*BY716</f>
        <v>35.25</v>
      </c>
      <c r="AS716" s="50" t="n">
        <f aca="false">AO716*G716</f>
        <v>276.4</v>
      </c>
      <c r="AT716" s="50" t="n">
        <f aca="false">ROUNDUP(MAX(J716/IF(CD716&gt;0,CD716,MAX(0.1,N(Cockpit!$I$6))),CG716)/BV716,0)*BV716</f>
        <v>10</v>
      </c>
      <c r="AU716" s="51" t="n">
        <f aca="false">IF(AR716&gt;0,J716/AR716,-1)</f>
        <v>0</v>
      </c>
      <c r="AV716" s="51" t="str">
        <f aca="false">IF(AND(OR(CC716="L1",CC716="L23",CC716="LIFT"),AR716&gt;0),SUMIFS($AR$7:$AR$1843,$CC$7:$CC$1843,CC716,$AU$7:$AU$1843,"&gt;"&amp;AU716)+SUMIFS($AR$7:$AR$1843,$CC$7:$CC$1843,CC716,$AU$7:$AU$1843,AU716,$BT$7:$BT$1843,"&lt;="&amp;BT716),"")</f>
        <v/>
      </c>
      <c r="AW716" s="58" t="n">
        <f aca="false">IF(AV716="",0,MAX(0,MIN(1,(IF(CC716="L1",Parameter!$H$5,IF(CC716="L23",Parameter!$H$6+Parameter!$H$7,Parameter!$H$5+Parameter!$H$6+Parameter!$H$7))-(AV716-AR716))/AR716)))</f>
        <v>0</v>
      </c>
      <c r="AX716" s="50" t="n">
        <f aca="false">IF(LEFT(Cockpit!$O$5,1)="A",H716,IF(CE716=1,CF716,IF(LEFT(Cockpit!$O$5,1)="B",BC716,MAX(BC716,H716))))</f>
        <v>10</v>
      </c>
      <c r="AY716" s="50" t="n">
        <f aca="false">IF(BW716=1,0,ROUNDUP(AX716/BV716,0))</f>
        <v>0</v>
      </c>
      <c r="AZ716" s="52" t="n">
        <f aca="false">IF(CL716&gt;0,CL716*MAX(1,AX716/X716),IF(BW716=1,IF(AX716&lt;=0,0,CA716*MAX(1,IF(H716&gt;0,AX716/H716,1))),IF(R716&gt;0,AY716/R716,0))/MAX(0.1,N(Parameter!$M$21)))</f>
        <v>0.15</v>
      </c>
      <c r="BA716" s="50" t="n">
        <f aca="false">AZ716*BY716</f>
        <v>35.25</v>
      </c>
      <c r="BB716" s="50" t="n">
        <f aca="false">AX716*G716</f>
        <v>276.4</v>
      </c>
      <c r="BC716" s="50" t="n">
        <f aca="false">ROUNDUP(MAX(J716/IF(CD716&gt;0,CD716,MAX(0.1,N(Cockpit!$O$6))),CG716)/BV716,0)*BV716</f>
        <v>10</v>
      </c>
      <c r="BD716" s="51" t="n">
        <f aca="false">IF(BA716&gt;0,J716/BA716,-1)</f>
        <v>0</v>
      </c>
      <c r="BE716" s="51" t="str">
        <f aca="false">IF(AND(OR(CC716="L1",CC716="L23",CC716="LIFT"),BA716&gt;0),SUMIFS($BA$7:$BA$1843,$CC$7:$CC$1843,CC716,$BD$7:$BD$1843,"&gt;"&amp;BD716)+SUMIFS($BA$7:$BA$1843,$CC$7:$CC$1843,CC716,$BD$7:$BD$1843,BD716,$BT$7:$BT$1843,"&lt;="&amp;BT716),"")</f>
        <v/>
      </c>
      <c r="BF716" s="58" t="n">
        <f aca="false">IF(BE716="",0,MAX(0,MIN(1,(IF(CC716="L1",Parameter!$H$5,IF(CC716="L23",Parameter!$H$6+Parameter!$H$7,Parameter!$H$5+Parameter!$H$6+Parameter!$H$7))-(BE716-BA716))/BA716)))</f>
        <v>0</v>
      </c>
      <c r="BG716" s="48" t="str">
        <f aca="false">IF(AI716&lt;=0,"",IF(CC716="Aussen","Aussenlager",IF(CC716="-","Nicht im Lift",IF(AN716&gt;=1,"Lift",IF(AN716&lt;=0,"Aussenlager","teilweise")))))</f>
        <v/>
      </c>
      <c r="BH716" s="48" t="str">
        <f aca="false">IF(AR716&lt;=0,"",IF(CC716="Aussen","Aussenlager",IF(CC716="-","Nicht im Lift",IF(AW716&gt;=1,"Lift",IF(AW716&lt;=0,"Aussenlager","teilweise")))))</f>
        <v>Nicht im Lift</v>
      </c>
      <c r="BI716" s="48" t="str">
        <f aca="false">IF(BA716&lt;=0,"",IF(CC716="Aussen","Aussenlager",IF(CC716="-","Nicht im Lift",IF(BF716&gt;=1,"Lift",IF(BF716&lt;=0,"Aussenlager","teilweise")))))</f>
        <v>Nicht im Lift</v>
      </c>
      <c r="BJ716" s="48" t="str">
        <f aca="false">IF(A716="","",IF(BS716=1,"Neu; ","")&amp;IF(AND(BS716=0,BN716&lt;0),"negativer Bestand (Export "&amp;BN716&amp;"); ","")&amp;IF(J716&lt;=0,"Kein Verbrauch; ","")&amp;IF(CL716&gt;0,"Lift "&amp;W716&amp;" lt. Liftbericht (Fach "&amp;X716&amp;" Stk); ",IF(BX716=1,"Gebinde geschätzt ("&amp;T716&amp;"); ",IF(BW716=1,"Lose – Tablare geschätzt; ","")))&amp;IF(H716&gt;AT716,"Überbestand "&amp;ROUND(H716-AT716,0)&amp;" Stk / CHF "&amp;ROUND((H716-AT716)*G716,0)&amp;"; ","")&amp;IF(AND(CE716=1,CF716&lt;CG716),"MAX &lt; MB+LG; ","")&amp;IF(AND(CK716&gt;0,CJ716*10&gt;CK716),"zu hoch für Tablar; ","")&amp;IF(AND(BS716=0,OR(CE716=1,AA716&lt;&gt;"",U716&lt;&gt;"",V716&lt;&gt;"",AB716&lt;&gt;"")),"manuell übersteuert; ","")&amp;IF(AND(BW716=0,R716=0),"Gebinde unbekannt / Stellmass fehlt; ","")&amp;IF(AND(BW716=0,N(V716)&lt;=0,N(Q716)&lt;=0),"Menge pro Gebinde fehlt (Ist = 1 Gebinde); ","")&amp;BR716)</f>
        <v>Kein Verbrauch; Lose – Tablare geschätzt; </v>
      </c>
      <c r="BK716" s="48"/>
      <c r="BL716" s="48"/>
      <c r="BM716" s="55"/>
      <c r="BN716" s="50" t="n">
        <v>0</v>
      </c>
      <c r="BO716" s="50" t="n">
        <v>0</v>
      </c>
      <c r="BP716" s="49" t="n">
        <v>0</v>
      </c>
      <c r="BQ716" s="50" t="n">
        <v>0</v>
      </c>
      <c r="BR716" s="48"/>
      <c r="BS716" s="53" t="n">
        <v>0</v>
      </c>
      <c r="BT716" s="53" t="n">
        <v>716</v>
      </c>
      <c r="BU716" s="48" t="str">
        <f aca="false">IF(U716&lt;&gt;"",UPPER(TRIM(U716)),IF(BX716=1,UPPER(VLOOKUP(T716,Parameter!$I$27:$K$29,2,0)),IF(P716="","LOSE",P716)))</f>
        <v>LOSE</v>
      </c>
      <c r="BV716" s="50" t="n">
        <f aca="false">IF(BU716="LOSE",1,IF(N(V716)&gt;0,V716,IF(BX716=1,MAX(1,N(VLOOKUP(T716,Parameter!$I$27:$K$29,3,0)),H716,N(N716)),IF(N(Q716)&gt;0,Q716,MAX(1,H716)))))</f>
        <v>1</v>
      </c>
      <c r="BW716" s="53" t="n">
        <f aca="false">IF(BU716="LOSE",1,0)</f>
        <v>1</v>
      </c>
      <c r="BX716" s="53" t="n">
        <f aca="false">IF(AND(U716="",OR(P716="",P716="LOSE"),T716&lt;&gt;"",N(S716)&lt;=0,ISNUMBER(MATCH(T716,Parameter!$I$27:$I$29,0))),1,0)</f>
        <v>0</v>
      </c>
      <c r="BY716" s="53" t="n">
        <f aca="false">IF(CL716&gt;0,INDEX(Parameter!$H$5:$H$7,W716)/INDEX(Parameter!$E$5:$E$7,W716),IF(AND(BW716=0,N(IFERROR(VLOOKUP(BU716,'Gebinde-Kategorie'!$A$5:$N$45,14,0),0))&gt;0),VLOOKUP(BU716,'Gebinde-Kategorie'!$A$5:$N$45,14,0)*10+Parameter!$M$23,Parameter!$M$24))</f>
        <v>235</v>
      </c>
      <c r="BZ716" s="48" t="str">
        <f aca="false">IF(AND(Parameter!$B$19="Ja",E716&lt;&gt;"",ISNUMBER(MATCH(E716,Parameter!$I$35:$I$52,0))),VLOOKUP(E716,Parameter!$I$35:$J$52,2,0),IFERROR(VLOOKUP(D716,Parameter!$A$35:$C$64,2,0),"Nein"))</f>
        <v>Nein</v>
      </c>
      <c r="CA716" s="52" t="n">
        <f aca="false">IF(BW716=0,0,IF(N(S716)&gt;0,S716,IFERROR(VLOOKUP(D716,Parameter!$A$35:$C$64,3,0)+0,0)))</f>
        <v>0.15</v>
      </c>
      <c r="CB716" s="48" t="str">
        <f aca="false">IF(AA716&lt;&gt;"",AA716,Z716)</f>
        <v>-</v>
      </c>
      <c r="CC716" s="48" t="str">
        <f aca="false">IF(OR(CB716=1,CB716=2,CB716=3),IF(Parameter!$E$27="Ja","LIFT",IF(CB716=1,"L1","L23")),IF(CB716="Aussen","Aussen","-"))</f>
        <v>-</v>
      </c>
      <c r="CD716" s="59" t="n">
        <f aca="false">IF(N(AB716)&gt;0,AB716,0)</f>
        <v>0</v>
      </c>
      <c r="CE716" s="53" t="n">
        <f aca="false">IF(ISNUMBER(AE716),1,0)</f>
        <v>0</v>
      </c>
      <c r="CF716" s="50" t="n">
        <f aca="false">N(AE716)</f>
        <v>0</v>
      </c>
      <c r="CG716" s="50" t="n">
        <f aca="false">N(M716)+N(N716)</f>
        <v>10</v>
      </c>
      <c r="CH716" s="50" t="n">
        <f aca="false">ROUNDUP(H716/BV716,0)</f>
        <v>0</v>
      </c>
      <c r="CI716" s="50" t="n">
        <f aca="false">ROUNDUP(CF716/BV716,0)</f>
        <v>0</v>
      </c>
      <c r="CJ716" s="53" t="n">
        <f aca="false">IF(BW716=1,0,IFERROR(VLOOKUP(BU716,'Gebinde-Kategorie'!$A$5:$N$45,5,0)+0,0))</f>
        <v>0</v>
      </c>
      <c r="CK716" s="53" t="n">
        <f aca="false">IFERROR(IF(OR(CB716=1,CB716=2,CB716=3),N(INDEX(Parameter!$I$5:$I$7,CB716)),0),0)</f>
        <v>0</v>
      </c>
      <c r="CL716" s="52" t="n">
        <f aca="false">IF(AND(Parameter!$B$21="Ja",ISNUMBER(W716),N(X716)&gt;0),IFERROR(N(INDEX(Parameter!$L$5:$L$7,W716))*INDEX(Parameter!$E$5:$E$7,W716)*X716/SUMIFS($X$7:$X$1843,$W$7:$W$1843,W716),0),0)</f>
        <v>0</v>
      </c>
    </row>
    <row r="717" customFormat="false" ht="15" hidden="false" customHeight="false" outlineLevel="0" collapsed="false">
      <c r="A717" s="48" t="s">
        <v>1431</v>
      </c>
      <c r="B717" s="48" t="s">
        <v>1432</v>
      </c>
      <c r="C717" s="48" t="s">
        <v>168</v>
      </c>
      <c r="D717" s="48" t="s">
        <v>999</v>
      </c>
      <c r="E717" s="48"/>
      <c r="F717" s="48" t="s">
        <v>222</v>
      </c>
      <c r="G717" s="49" t="n">
        <v>161.1</v>
      </c>
      <c r="H717" s="50" t="n">
        <f aca="false">MAX(0,IF(AND(Parameter!$B$21="Ja",ISNUMBER(Y717)),Y717,IF(Parameter!$B$20="Jahresanfang 2025 + Export",BO717+BN717,BN717)))</f>
        <v>0</v>
      </c>
      <c r="I717" s="50" t="n">
        <f aca="false">H717*G717</f>
        <v>0</v>
      </c>
      <c r="J717" s="50" t="n">
        <f aca="false">BQ717*Parameter!$B$18</f>
        <v>0</v>
      </c>
      <c r="K717" s="51" t="n">
        <v>0.5</v>
      </c>
      <c r="L717" s="52" t="n">
        <v>0</v>
      </c>
      <c r="M717" s="50" t="n">
        <v>0</v>
      </c>
      <c r="N717" s="50" t="n">
        <v>1</v>
      </c>
      <c r="O717" s="53" t="n">
        <v>7</v>
      </c>
      <c r="P717" s="48" t="s">
        <v>172</v>
      </c>
      <c r="Q717" s="50"/>
      <c r="R717" s="53" t="n">
        <f aca="false">IF(BW717=1,0,IFERROR(VLOOKUP(BU717,'Gebinde-Kategorie'!$A$5:$N$45,13,0)+0,0))</f>
        <v>0</v>
      </c>
      <c r="S717" s="54"/>
      <c r="T717" s="55"/>
      <c r="U717" s="55"/>
      <c r="V717" s="55"/>
      <c r="W717" s="48"/>
      <c r="X717" s="50"/>
      <c r="Y717" s="50"/>
      <c r="Z717" s="48" t="str">
        <f aca="false">IF(A717="","",IF(AND(Parameter!$B$21="Ja",ISNUMBER(W717)),W717,IF(BZ717="2+3",IF(ISNUMBER(SEARCH("grosser Artikel",BR717)),2,IFERROR(VLOOKUP(BU717,Parameter!$F$35:$G$64,2,0),2)),IF(OR(BZ717="Nein",BZ717=""),"-",BZ717))))</f>
        <v>-</v>
      </c>
      <c r="AA717" s="55"/>
      <c r="AB717" s="56"/>
      <c r="AC717" s="50" t="n">
        <f aca="false">AT717</f>
        <v>1</v>
      </c>
      <c r="AD717" s="50" t="n">
        <f aca="false">MAX(AT717,H717)</f>
        <v>1</v>
      </c>
      <c r="AE717" s="57"/>
      <c r="AF717" s="50" t="n">
        <f aca="false">IF(LEFT(Cockpit!$C$5,1)="A",H717,IF(CE717=1,CF717,IF(LEFT(Cockpit!$C$5,1)="B",AK717,MAX(AK717,H717))))</f>
        <v>0</v>
      </c>
      <c r="AG717" s="50" t="n">
        <f aca="false">IF(BW717=1,0,ROUNDUP(AF717/BV717,0))</f>
        <v>0</v>
      </c>
      <c r="AH717" s="52" t="n">
        <f aca="false">IF(CL717&gt;0,CL717*MAX(1,AF717/X717),IF(BW717=1,IF(AF717&lt;=0,0,CA717*MAX(1,IF(H717&gt;0,AF717/H717,1))),IF(R717&gt;0,AG717/R717,0))/MAX(0.1,N(Parameter!$M$21)))</f>
        <v>0</v>
      </c>
      <c r="AI717" s="50" t="n">
        <f aca="false">AH717*BY717</f>
        <v>0</v>
      </c>
      <c r="AJ717" s="50" t="n">
        <f aca="false">AF717*G717</f>
        <v>0</v>
      </c>
      <c r="AK717" s="50" t="n">
        <f aca="false">ROUNDUP(MAX(J717/IF(CD717&gt;0,CD717,MAX(0.1,N(Cockpit!$C$6))),CG717)/BV717,0)*BV717</f>
        <v>1</v>
      </c>
      <c r="AL717" s="51" t="n">
        <f aca="false">IF(AI717&gt;0,J717/AI717,-1)</f>
        <v>-1</v>
      </c>
      <c r="AM717" s="51" t="str">
        <f aca="false">IF(AND(OR(CC717="L1",CC717="L23",CC717="LIFT"),AI717&gt;0),SUMIFS($AI$7:$AI$1843,$CC$7:$CC$1843,CC717,$AL$7:$AL$1843,"&gt;"&amp;AL717)+SUMIFS($AI$7:$AI$1843,$CC$7:$CC$1843,CC717,$AL$7:$AL$1843,AL717,$BT$7:$BT$1843,"&lt;="&amp;BT717),"")</f>
        <v/>
      </c>
      <c r="AN717" s="58" t="n">
        <f aca="false">IF(AM717="",0,MAX(0,MIN(1,(IF(CC717="L1",Parameter!$H$5,IF(CC717="L23",Parameter!$H$6+Parameter!$H$7,Parameter!$H$5+Parameter!$H$6+Parameter!$H$7))-(AM717-AI717))/AI717)))</f>
        <v>0</v>
      </c>
      <c r="AO717" s="50" t="n">
        <f aca="false">IF(LEFT(Cockpit!$I$5,1)="A",H717,IF(CE717=1,CF717,IF(LEFT(Cockpit!$I$5,1)="B",AT717,MAX(AT717,H717))))</f>
        <v>1</v>
      </c>
      <c r="AP717" s="50" t="n">
        <f aca="false">IF(BW717=1,0,ROUNDUP(AO717/BV717,0))</f>
        <v>0</v>
      </c>
      <c r="AQ717" s="52" t="n">
        <f aca="false">IF(CL717&gt;0,CL717*MAX(1,AO717/X717),IF(BW717=1,IF(AO717&lt;=0,0,CA717*MAX(1,IF(H717&gt;0,AO717/H717,1))),IF(R717&gt;0,AP717/R717,0))/MAX(0.1,N(Parameter!$M$21)))</f>
        <v>0.15</v>
      </c>
      <c r="AR717" s="50" t="n">
        <f aca="false">AQ717*BY717</f>
        <v>35.25</v>
      </c>
      <c r="AS717" s="50" t="n">
        <f aca="false">AO717*G717</f>
        <v>161.1</v>
      </c>
      <c r="AT717" s="50" t="n">
        <f aca="false">ROUNDUP(MAX(J717/IF(CD717&gt;0,CD717,MAX(0.1,N(Cockpit!$I$6))),CG717)/BV717,0)*BV717</f>
        <v>1</v>
      </c>
      <c r="AU717" s="51" t="n">
        <f aca="false">IF(AR717&gt;0,J717/AR717,-1)</f>
        <v>0</v>
      </c>
      <c r="AV717" s="51" t="str">
        <f aca="false">IF(AND(OR(CC717="L1",CC717="L23",CC717="LIFT"),AR717&gt;0),SUMIFS($AR$7:$AR$1843,$CC$7:$CC$1843,CC717,$AU$7:$AU$1843,"&gt;"&amp;AU717)+SUMIFS($AR$7:$AR$1843,$CC$7:$CC$1843,CC717,$AU$7:$AU$1843,AU717,$BT$7:$BT$1843,"&lt;="&amp;BT717),"")</f>
        <v/>
      </c>
      <c r="AW717" s="58" t="n">
        <f aca="false">IF(AV717="",0,MAX(0,MIN(1,(IF(CC717="L1",Parameter!$H$5,IF(CC717="L23",Parameter!$H$6+Parameter!$H$7,Parameter!$H$5+Parameter!$H$6+Parameter!$H$7))-(AV717-AR717))/AR717)))</f>
        <v>0</v>
      </c>
      <c r="AX717" s="50" t="n">
        <f aca="false">IF(LEFT(Cockpit!$O$5,1)="A",H717,IF(CE717=1,CF717,IF(LEFT(Cockpit!$O$5,1)="B",BC717,MAX(BC717,H717))))</f>
        <v>1</v>
      </c>
      <c r="AY717" s="50" t="n">
        <f aca="false">IF(BW717=1,0,ROUNDUP(AX717/BV717,0))</f>
        <v>0</v>
      </c>
      <c r="AZ717" s="52" t="n">
        <f aca="false">IF(CL717&gt;0,CL717*MAX(1,AX717/X717),IF(BW717=1,IF(AX717&lt;=0,0,CA717*MAX(1,IF(H717&gt;0,AX717/H717,1))),IF(R717&gt;0,AY717/R717,0))/MAX(0.1,N(Parameter!$M$21)))</f>
        <v>0.15</v>
      </c>
      <c r="BA717" s="50" t="n">
        <f aca="false">AZ717*BY717</f>
        <v>35.25</v>
      </c>
      <c r="BB717" s="50" t="n">
        <f aca="false">AX717*G717</f>
        <v>161.1</v>
      </c>
      <c r="BC717" s="50" t="n">
        <f aca="false">ROUNDUP(MAX(J717/IF(CD717&gt;0,CD717,MAX(0.1,N(Cockpit!$O$6))),CG717)/BV717,0)*BV717</f>
        <v>1</v>
      </c>
      <c r="BD717" s="51" t="n">
        <f aca="false">IF(BA717&gt;0,J717/BA717,-1)</f>
        <v>0</v>
      </c>
      <c r="BE717" s="51" t="str">
        <f aca="false">IF(AND(OR(CC717="L1",CC717="L23",CC717="LIFT"),BA717&gt;0),SUMIFS($BA$7:$BA$1843,$CC$7:$CC$1843,CC717,$BD$7:$BD$1843,"&gt;"&amp;BD717)+SUMIFS($BA$7:$BA$1843,$CC$7:$CC$1843,CC717,$BD$7:$BD$1843,BD717,$BT$7:$BT$1843,"&lt;="&amp;BT717),"")</f>
        <v/>
      </c>
      <c r="BF717" s="58" t="n">
        <f aca="false">IF(BE717="",0,MAX(0,MIN(1,(IF(CC717="L1",Parameter!$H$5,IF(CC717="L23",Parameter!$H$6+Parameter!$H$7,Parameter!$H$5+Parameter!$H$6+Parameter!$H$7))-(BE717-BA717))/BA717)))</f>
        <v>0</v>
      </c>
      <c r="BG717" s="48" t="str">
        <f aca="false">IF(AI717&lt;=0,"",IF(CC717="Aussen","Aussenlager",IF(CC717="-","Nicht im Lift",IF(AN717&gt;=1,"Lift",IF(AN717&lt;=0,"Aussenlager","teilweise")))))</f>
        <v/>
      </c>
      <c r="BH717" s="48" t="str">
        <f aca="false">IF(AR717&lt;=0,"",IF(CC717="Aussen","Aussenlager",IF(CC717="-","Nicht im Lift",IF(AW717&gt;=1,"Lift",IF(AW717&lt;=0,"Aussenlager","teilweise")))))</f>
        <v>Nicht im Lift</v>
      </c>
      <c r="BI717" s="48" t="str">
        <f aca="false">IF(BA717&lt;=0,"",IF(CC717="Aussen","Aussenlager",IF(CC717="-","Nicht im Lift",IF(BF717&gt;=1,"Lift",IF(BF717&lt;=0,"Aussenlager","teilweise")))))</f>
        <v>Nicht im Lift</v>
      </c>
      <c r="BJ717" s="48" t="str">
        <f aca="false">IF(A717="","",IF(BS717=1,"Neu; ","")&amp;IF(AND(BS717=0,BN717&lt;0),"negativer Bestand (Export "&amp;BN717&amp;"); ","")&amp;IF(J717&lt;=0,"Kein Verbrauch; ","")&amp;IF(CL717&gt;0,"Lift "&amp;W717&amp;" lt. Liftbericht (Fach "&amp;X717&amp;" Stk); ",IF(BX717=1,"Gebinde geschätzt ("&amp;T717&amp;"); ",IF(BW717=1,"Lose – Tablare geschätzt; ","")))&amp;IF(H717&gt;AT717,"Überbestand "&amp;ROUND(H717-AT717,0)&amp;" Stk / CHF "&amp;ROUND((H717-AT717)*G717,0)&amp;"; ","")&amp;IF(AND(CE717=1,CF717&lt;CG717),"MAX &lt; MB+LG; ","")&amp;IF(AND(CK717&gt;0,CJ717*10&gt;CK717),"zu hoch für Tablar; ","")&amp;IF(AND(BS717=0,OR(CE717=1,AA717&lt;&gt;"",U717&lt;&gt;"",V717&lt;&gt;"",AB717&lt;&gt;"")),"manuell übersteuert; ","")&amp;IF(AND(BW717=0,R717=0),"Gebinde unbekannt / Stellmass fehlt; ","")&amp;IF(AND(BW717=0,N(V717)&lt;=0,N(Q717)&lt;=0),"Menge pro Gebinde fehlt (Ist = 1 Gebinde); ","")&amp;BR717)</f>
        <v>Kein Verbrauch; Lose – Tablare geschätzt; </v>
      </c>
      <c r="BK717" s="48"/>
      <c r="BL717" s="48"/>
      <c r="BM717" s="55"/>
      <c r="BN717" s="50" t="n">
        <v>0</v>
      </c>
      <c r="BO717" s="50" t="n">
        <v>0</v>
      </c>
      <c r="BP717" s="49" t="n">
        <v>0</v>
      </c>
      <c r="BQ717" s="50" t="n">
        <v>0</v>
      </c>
      <c r="BR717" s="48"/>
      <c r="BS717" s="53" t="n">
        <v>0</v>
      </c>
      <c r="BT717" s="53" t="n">
        <v>717</v>
      </c>
      <c r="BU717" s="48" t="str">
        <f aca="false">IF(U717&lt;&gt;"",UPPER(TRIM(U717)),IF(BX717=1,UPPER(VLOOKUP(T717,Parameter!$I$27:$K$29,2,0)),IF(P717="","LOSE",P717)))</f>
        <v>LOSE</v>
      </c>
      <c r="BV717" s="50" t="n">
        <f aca="false">IF(BU717="LOSE",1,IF(N(V717)&gt;0,V717,IF(BX717=1,MAX(1,N(VLOOKUP(T717,Parameter!$I$27:$K$29,3,0)),H717,N(N717)),IF(N(Q717)&gt;0,Q717,MAX(1,H717)))))</f>
        <v>1</v>
      </c>
      <c r="BW717" s="53" t="n">
        <f aca="false">IF(BU717="LOSE",1,0)</f>
        <v>1</v>
      </c>
      <c r="BX717" s="53" t="n">
        <f aca="false">IF(AND(U717="",OR(P717="",P717="LOSE"),T717&lt;&gt;"",N(S717)&lt;=0,ISNUMBER(MATCH(T717,Parameter!$I$27:$I$29,0))),1,0)</f>
        <v>0</v>
      </c>
      <c r="BY717" s="53" t="n">
        <f aca="false">IF(CL717&gt;0,INDEX(Parameter!$H$5:$H$7,W717)/INDEX(Parameter!$E$5:$E$7,W717),IF(AND(BW717=0,N(IFERROR(VLOOKUP(BU717,'Gebinde-Kategorie'!$A$5:$N$45,14,0),0))&gt;0),VLOOKUP(BU717,'Gebinde-Kategorie'!$A$5:$N$45,14,0)*10+Parameter!$M$23,Parameter!$M$24))</f>
        <v>235</v>
      </c>
      <c r="BZ717" s="48" t="str">
        <f aca="false">IF(AND(Parameter!$B$19="Ja",E717&lt;&gt;"",ISNUMBER(MATCH(E717,Parameter!$I$35:$I$52,0))),VLOOKUP(E717,Parameter!$I$35:$J$52,2,0),IFERROR(VLOOKUP(D717,Parameter!$A$35:$C$64,2,0),"Nein"))</f>
        <v>Nein</v>
      </c>
      <c r="CA717" s="52" t="n">
        <f aca="false">IF(BW717=0,0,IF(N(S717)&gt;0,S717,IFERROR(VLOOKUP(D717,Parameter!$A$35:$C$64,3,0)+0,0)))</f>
        <v>0.15</v>
      </c>
      <c r="CB717" s="48" t="str">
        <f aca="false">IF(AA717&lt;&gt;"",AA717,Z717)</f>
        <v>-</v>
      </c>
      <c r="CC717" s="48" t="str">
        <f aca="false">IF(OR(CB717=1,CB717=2,CB717=3),IF(Parameter!$E$27="Ja","LIFT",IF(CB717=1,"L1","L23")),IF(CB717="Aussen","Aussen","-"))</f>
        <v>-</v>
      </c>
      <c r="CD717" s="59" t="n">
        <f aca="false">IF(N(AB717)&gt;0,AB717,0)</f>
        <v>0</v>
      </c>
      <c r="CE717" s="53" t="n">
        <f aca="false">IF(ISNUMBER(AE717),1,0)</f>
        <v>0</v>
      </c>
      <c r="CF717" s="50" t="n">
        <f aca="false">N(AE717)</f>
        <v>0</v>
      </c>
      <c r="CG717" s="50" t="n">
        <f aca="false">N(M717)+N(N717)</f>
        <v>1</v>
      </c>
      <c r="CH717" s="50" t="n">
        <f aca="false">ROUNDUP(H717/BV717,0)</f>
        <v>0</v>
      </c>
      <c r="CI717" s="50" t="n">
        <f aca="false">ROUNDUP(CF717/BV717,0)</f>
        <v>0</v>
      </c>
      <c r="CJ717" s="53" t="n">
        <f aca="false">IF(BW717=1,0,IFERROR(VLOOKUP(BU717,'Gebinde-Kategorie'!$A$5:$N$45,5,0)+0,0))</f>
        <v>0</v>
      </c>
      <c r="CK717" s="53" t="n">
        <f aca="false">IFERROR(IF(OR(CB717=1,CB717=2,CB717=3),N(INDEX(Parameter!$I$5:$I$7,CB717)),0),0)</f>
        <v>0</v>
      </c>
      <c r="CL717" s="52" t="n">
        <f aca="false">IF(AND(Parameter!$B$21="Ja",ISNUMBER(W717),N(X717)&gt;0),IFERROR(N(INDEX(Parameter!$L$5:$L$7,W717))*INDEX(Parameter!$E$5:$E$7,W717)*X717/SUMIFS($X$7:$X$1843,$W$7:$W$1843,W717),0),0)</f>
        <v>0</v>
      </c>
    </row>
    <row r="718" customFormat="false" ht="15" hidden="false" customHeight="false" outlineLevel="0" collapsed="false">
      <c r="A718" s="48" t="s">
        <v>1433</v>
      </c>
      <c r="B718" s="48" t="s">
        <v>548</v>
      </c>
      <c r="C718" s="48" t="s">
        <v>168</v>
      </c>
      <c r="D718" s="48" t="s">
        <v>999</v>
      </c>
      <c r="E718" s="48"/>
      <c r="F718" s="48" t="s">
        <v>222</v>
      </c>
      <c r="G718" s="49" t="n">
        <v>27.2</v>
      </c>
      <c r="H718" s="50" t="n">
        <f aca="false">MAX(0,IF(AND(Parameter!$B$21="Ja",ISNUMBER(Y718)),Y718,IF(Parameter!$B$20="Jahresanfang 2025 + Export",BO718+BN718,BN718)))</f>
        <v>1</v>
      </c>
      <c r="I718" s="50" t="n">
        <f aca="false">H718*G718</f>
        <v>27.2</v>
      </c>
      <c r="J718" s="50" t="n">
        <f aca="false">BQ718*Parameter!$B$18</f>
        <v>0</v>
      </c>
      <c r="K718" s="51" t="n">
        <v>0.5</v>
      </c>
      <c r="L718" s="52" t="n">
        <v>0</v>
      </c>
      <c r="M718" s="50" t="n">
        <v>0</v>
      </c>
      <c r="N718" s="50" t="n">
        <v>10</v>
      </c>
      <c r="O718" s="53" t="n">
        <v>28</v>
      </c>
      <c r="P718" s="48" t="s">
        <v>172</v>
      </c>
      <c r="Q718" s="50"/>
      <c r="R718" s="53" t="n">
        <f aca="false">IF(BW718=1,0,IFERROR(VLOOKUP(BU718,'Gebinde-Kategorie'!$A$5:$N$45,13,0)+0,0))</f>
        <v>0</v>
      </c>
      <c r="S718" s="54"/>
      <c r="T718" s="55"/>
      <c r="U718" s="55"/>
      <c r="V718" s="55"/>
      <c r="W718" s="48"/>
      <c r="X718" s="50"/>
      <c r="Y718" s="50"/>
      <c r="Z718" s="48" t="str">
        <f aca="false">IF(A718="","",IF(AND(Parameter!$B$21="Ja",ISNUMBER(W718)),W718,IF(BZ718="2+3",IF(ISNUMBER(SEARCH("grosser Artikel",BR718)),2,IFERROR(VLOOKUP(BU718,Parameter!$F$35:$G$64,2,0),2)),IF(OR(BZ718="Nein",BZ718=""),"-",BZ718))))</f>
        <v>-</v>
      </c>
      <c r="AA718" s="55"/>
      <c r="AB718" s="56"/>
      <c r="AC718" s="50" t="n">
        <f aca="false">AT718</f>
        <v>10</v>
      </c>
      <c r="AD718" s="50" t="n">
        <f aca="false">MAX(AT718,H718)</f>
        <v>10</v>
      </c>
      <c r="AE718" s="57"/>
      <c r="AF718" s="50" t="n">
        <f aca="false">IF(LEFT(Cockpit!$C$5,1)="A",H718,IF(CE718=1,CF718,IF(LEFT(Cockpit!$C$5,1)="B",AK718,MAX(AK718,H718))))</f>
        <v>1</v>
      </c>
      <c r="AG718" s="50" t="n">
        <f aca="false">IF(BW718=1,0,ROUNDUP(AF718/BV718,0))</f>
        <v>0</v>
      </c>
      <c r="AH718" s="52" t="n">
        <f aca="false">IF(CL718&gt;0,CL718*MAX(1,AF718/X718),IF(BW718=1,IF(AF718&lt;=0,0,CA718*MAX(1,IF(H718&gt;0,AF718/H718,1))),IF(R718&gt;0,AG718/R718,0))/MAX(0.1,N(Parameter!$M$21)))</f>
        <v>0.15</v>
      </c>
      <c r="AI718" s="50" t="n">
        <f aca="false">AH718*BY718</f>
        <v>35.25</v>
      </c>
      <c r="AJ718" s="50" t="n">
        <f aca="false">AF718*G718</f>
        <v>27.2</v>
      </c>
      <c r="AK718" s="50" t="n">
        <f aca="false">ROUNDUP(MAX(J718/IF(CD718&gt;0,CD718,MAX(0.1,N(Cockpit!$C$6))),CG718)/BV718,0)*BV718</f>
        <v>10</v>
      </c>
      <c r="AL718" s="51" t="n">
        <f aca="false">IF(AI718&gt;0,J718/AI718,-1)</f>
        <v>0</v>
      </c>
      <c r="AM718" s="51" t="str">
        <f aca="false">IF(AND(OR(CC718="L1",CC718="L23",CC718="LIFT"),AI718&gt;0),SUMIFS($AI$7:$AI$1843,$CC$7:$CC$1843,CC718,$AL$7:$AL$1843,"&gt;"&amp;AL718)+SUMIFS($AI$7:$AI$1843,$CC$7:$CC$1843,CC718,$AL$7:$AL$1843,AL718,$BT$7:$BT$1843,"&lt;="&amp;BT718),"")</f>
        <v/>
      </c>
      <c r="AN718" s="58" t="n">
        <f aca="false">IF(AM718="",0,MAX(0,MIN(1,(IF(CC718="L1",Parameter!$H$5,IF(CC718="L23",Parameter!$H$6+Parameter!$H$7,Parameter!$H$5+Parameter!$H$6+Parameter!$H$7))-(AM718-AI718))/AI718)))</f>
        <v>0</v>
      </c>
      <c r="AO718" s="50" t="n">
        <f aca="false">IF(LEFT(Cockpit!$I$5,1)="A",H718,IF(CE718=1,CF718,IF(LEFT(Cockpit!$I$5,1)="B",AT718,MAX(AT718,H718))))</f>
        <v>10</v>
      </c>
      <c r="AP718" s="50" t="n">
        <f aca="false">IF(BW718=1,0,ROUNDUP(AO718/BV718,0))</f>
        <v>0</v>
      </c>
      <c r="AQ718" s="52" t="n">
        <f aca="false">IF(CL718&gt;0,CL718*MAX(1,AO718/X718),IF(BW718=1,IF(AO718&lt;=0,0,CA718*MAX(1,IF(H718&gt;0,AO718/H718,1))),IF(R718&gt;0,AP718/R718,0))/MAX(0.1,N(Parameter!$M$21)))</f>
        <v>1.5</v>
      </c>
      <c r="AR718" s="50" t="n">
        <f aca="false">AQ718*BY718</f>
        <v>352.5</v>
      </c>
      <c r="AS718" s="50" t="n">
        <f aca="false">AO718*G718</f>
        <v>272</v>
      </c>
      <c r="AT718" s="50" t="n">
        <f aca="false">ROUNDUP(MAX(J718/IF(CD718&gt;0,CD718,MAX(0.1,N(Cockpit!$I$6))),CG718)/BV718,0)*BV718</f>
        <v>10</v>
      </c>
      <c r="AU718" s="51" t="n">
        <f aca="false">IF(AR718&gt;0,J718/AR718,-1)</f>
        <v>0</v>
      </c>
      <c r="AV718" s="51" t="str">
        <f aca="false">IF(AND(OR(CC718="L1",CC718="L23",CC718="LIFT"),AR718&gt;0),SUMIFS($AR$7:$AR$1843,$CC$7:$CC$1843,CC718,$AU$7:$AU$1843,"&gt;"&amp;AU718)+SUMIFS($AR$7:$AR$1843,$CC$7:$CC$1843,CC718,$AU$7:$AU$1843,AU718,$BT$7:$BT$1843,"&lt;="&amp;BT718),"")</f>
        <v/>
      </c>
      <c r="AW718" s="58" t="n">
        <f aca="false">IF(AV718="",0,MAX(0,MIN(1,(IF(CC718="L1",Parameter!$H$5,IF(CC718="L23",Parameter!$H$6+Parameter!$H$7,Parameter!$H$5+Parameter!$H$6+Parameter!$H$7))-(AV718-AR718))/AR718)))</f>
        <v>0</v>
      </c>
      <c r="AX718" s="50" t="n">
        <f aca="false">IF(LEFT(Cockpit!$O$5,1)="A",H718,IF(CE718=1,CF718,IF(LEFT(Cockpit!$O$5,1)="B",BC718,MAX(BC718,H718))))</f>
        <v>10</v>
      </c>
      <c r="AY718" s="50" t="n">
        <f aca="false">IF(BW718=1,0,ROUNDUP(AX718/BV718,0))</f>
        <v>0</v>
      </c>
      <c r="AZ718" s="52" t="n">
        <f aca="false">IF(CL718&gt;0,CL718*MAX(1,AX718/X718),IF(BW718=1,IF(AX718&lt;=0,0,CA718*MAX(1,IF(H718&gt;0,AX718/H718,1))),IF(R718&gt;0,AY718/R718,0))/MAX(0.1,N(Parameter!$M$21)))</f>
        <v>1.5</v>
      </c>
      <c r="BA718" s="50" t="n">
        <f aca="false">AZ718*BY718</f>
        <v>352.5</v>
      </c>
      <c r="BB718" s="50" t="n">
        <f aca="false">AX718*G718</f>
        <v>272</v>
      </c>
      <c r="BC718" s="50" t="n">
        <f aca="false">ROUNDUP(MAX(J718/IF(CD718&gt;0,CD718,MAX(0.1,N(Cockpit!$O$6))),CG718)/BV718,0)*BV718</f>
        <v>10</v>
      </c>
      <c r="BD718" s="51" t="n">
        <f aca="false">IF(BA718&gt;0,J718/BA718,-1)</f>
        <v>0</v>
      </c>
      <c r="BE718" s="51" t="str">
        <f aca="false">IF(AND(OR(CC718="L1",CC718="L23",CC718="LIFT"),BA718&gt;0),SUMIFS($BA$7:$BA$1843,$CC$7:$CC$1843,CC718,$BD$7:$BD$1843,"&gt;"&amp;BD718)+SUMIFS($BA$7:$BA$1843,$CC$7:$CC$1843,CC718,$BD$7:$BD$1843,BD718,$BT$7:$BT$1843,"&lt;="&amp;BT718),"")</f>
        <v/>
      </c>
      <c r="BF718" s="58" t="n">
        <f aca="false">IF(BE718="",0,MAX(0,MIN(1,(IF(CC718="L1",Parameter!$H$5,IF(CC718="L23",Parameter!$H$6+Parameter!$H$7,Parameter!$H$5+Parameter!$H$6+Parameter!$H$7))-(BE718-BA718))/BA718)))</f>
        <v>0</v>
      </c>
      <c r="BG718" s="48" t="str">
        <f aca="false">IF(AI718&lt;=0,"",IF(CC718="Aussen","Aussenlager",IF(CC718="-","Nicht im Lift",IF(AN718&gt;=1,"Lift",IF(AN718&lt;=0,"Aussenlager","teilweise")))))</f>
        <v>Nicht im Lift</v>
      </c>
      <c r="BH718" s="48" t="str">
        <f aca="false">IF(AR718&lt;=0,"",IF(CC718="Aussen","Aussenlager",IF(CC718="-","Nicht im Lift",IF(AW718&gt;=1,"Lift",IF(AW718&lt;=0,"Aussenlager","teilweise")))))</f>
        <v>Nicht im Lift</v>
      </c>
      <c r="BI718" s="48" t="str">
        <f aca="false">IF(BA718&lt;=0,"",IF(CC718="Aussen","Aussenlager",IF(CC718="-","Nicht im Lift",IF(BF718&gt;=1,"Lift",IF(BF718&lt;=0,"Aussenlager","teilweise")))))</f>
        <v>Nicht im Lift</v>
      </c>
      <c r="BJ718" s="48" t="str">
        <f aca="false">IF(A718="","",IF(BS718=1,"Neu; ","")&amp;IF(AND(BS718=0,BN718&lt;0),"negativer Bestand (Export "&amp;BN718&amp;"); ","")&amp;IF(J718&lt;=0,"Kein Verbrauch; ","")&amp;IF(CL718&gt;0,"Lift "&amp;W718&amp;" lt. Liftbericht (Fach "&amp;X718&amp;" Stk); ",IF(BX718=1,"Gebinde geschätzt ("&amp;T718&amp;"); ",IF(BW718=1,"Lose – Tablare geschätzt; ","")))&amp;IF(H718&gt;AT718,"Überbestand "&amp;ROUND(H718-AT718,0)&amp;" Stk / CHF "&amp;ROUND((H718-AT718)*G718,0)&amp;"; ","")&amp;IF(AND(CE718=1,CF718&lt;CG718),"MAX &lt; MB+LG; ","")&amp;IF(AND(CK718&gt;0,CJ718*10&gt;CK718),"zu hoch für Tablar; ","")&amp;IF(AND(BS718=0,OR(CE718=1,AA718&lt;&gt;"",U718&lt;&gt;"",V718&lt;&gt;"",AB718&lt;&gt;"")),"manuell übersteuert; ","")&amp;IF(AND(BW718=0,R718=0),"Gebinde unbekannt / Stellmass fehlt; ","")&amp;IF(AND(BW718=0,N(V718)&lt;=0,N(Q718)&lt;=0),"Menge pro Gebinde fehlt (Ist = 1 Gebinde); ","")&amp;BR718)</f>
        <v>Kein Verbrauch; Lose – Tablare geschätzt; </v>
      </c>
      <c r="BK718" s="48"/>
      <c r="BL718" s="48"/>
      <c r="BM718" s="55"/>
      <c r="BN718" s="50" t="n">
        <v>1</v>
      </c>
      <c r="BO718" s="50" t="n">
        <v>0</v>
      </c>
      <c r="BP718" s="49" t="n">
        <v>0</v>
      </c>
      <c r="BQ718" s="50" t="n">
        <v>0</v>
      </c>
      <c r="BR718" s="48"/>
      <c r="BS718" s="53" t="n">
        <v>0</v>
      </c>
      <c r="BT718" s="53" t="n">
        <v>718</v>
      </c>
      <c r="BU718" s="48" t="str">
        <f aca="false">IF(U718&lt;&gt;"",UPPER(TRIM(U718)),IF(BX718=1,UPPER(VLOOKUP(T718,Parameter!$I$27:$K$29,2,0)),IF(P718="","LOSE",P718)))</f>
        <v>LOSE</v>
      </c>
      <c r="BV718" s="50" t="n">
        <f aca="false">IF(BU718="LOSE",1,IF(N(V718)&gt;0,V718,IF(BX718=1,MAX(1,N(VLOOKUP(T718,Parameter!$I$27:$K$29,3,0)),H718,N(N718)),IF(N(Q718)&gt;0,Q718,MAX(1,H718)))))</f>
        <v>1</v>
      </c>
      <c r="BW718" s="53" t="n">
        <f aca="false">IF(BU718="LOSE",1,0)</f>
        <v>1</v>
      </c>
      <c r="BX718" s="53" t="n">
        <f aca="false">IF(AND(U718="",OR(P718="",P718="LOSE"),T718&lt;&gt;"",N(S718)&lt;=0,ISNUMBER(MATCH(T718,Parameter!$I$27:$I$29,0))),1,0)</f>
        <v>0</v>
      </c>
      <c r="BY718" s="53" t="n">
        <f aca="false">IF(CL718&gt;0,INDEX(Parameter!$H$5:$H$7,W718)/INDEX(Parameter!$E$5:$E$7,W718),IF(AND(BW718=0,N(IFERROR(VLOOKUP(BU718,'Gebinde-Kategorie'!$A$5:$N$45,14,0),0))&gt;0),VLOOKUP(BU718,'Gebinde-Kategorie'!$A$5:$N$45,14,0)*10+Parameter!$M$23,Parameter!$M$24))</f>
        <v>235</v>
      </c>
      <c r="BZ718" s="48" t="str">
        <f aca="false">IF(AND(Parameter!$B$19="Ja",E718&lt;&gt;"",ISNUMBER(MATCH(E718,Parameter!$I$35:$I$52,0))),VLOOKUP(E718,Parameter!$I$35:$J$52,2,0),IFERROR(VLOOKUP(D718,Parameter!$A$35:$C$64,2,0),"Nein"))</f>
        <v>Nein</v>
      </c>
      <c r="CA718" s="52" t="n">
        <f aca="false">IF(BW718=0,0,IF(N(S718)&gt;0,S718,IFERROR(VLOOKUP(D718,Parameter!$A$35:$C$64,3,0)+0,0)))</f>
        <v>0.15</v>
      </c>
      <c r="CB718" s="48" t="str">
        <f aca="false">IF(AA718&lt;&gt;"",AA718,Z718)</f>
        <v>-</v>
      </c>
      <c r="CC718" s="48" t="str">
        <f aca="false">IF(OR(CB718=1,CB718=2,CB718=3),IF(Parameter!$E$27="Ja","LIFT",IF(CB718=1,"L1","L23")),IF(CB718="Aussen","Aussen","-"))</f>
        <v>-</v>
      </c>
      <c r="CD718" s="59" t="n">
        <f aca="false">IF(N(AB718)&gt;0,AB718,0)</f>
        <v>0</v>
      </c>
      <c r="CE718" s="53" t="n">
        <f aca="false">IF(ISNUMBER(AE718),1,0)</f>
        <v>0</v>
      </c>
      <c r="CF718" s="50" t="n">
        <f aca="false">N(AE718)</f>
        <v>0</v>
      </c>
      <c r="CG718" s="50" t="n">
        <f aca="false">N(M718)+N(N718)</f>
        <v>10</v>
      </c>
      <c r="CH718" s="50" t="n">
        <f aca="false">ROUNDUP(H718/BV718,0)</f>
        <v>1</v>
      </c>
      <c r="CI718" s="50" t="n">
        <f aca="false">ROUNDUP(CF718/BV718,0)</f>
        <v>0</v>
      </c>
      <c r="CJ718" s="53" t="n">
        <f aca="false">IF(BW718=1,0,IFERROR(VLOOKUP(BU718,'Gebinde-Kategorie'!$A$5:$N$45,5,0)+0,0))</f>
        <v>0</v>
      </c>
      <c r="CK718" s="53" t="n">
        <f aca="false">IFERROR(IF(OR(CB718=1,CB718=2,CB718=3),N(INDEX(Parameter!$I$5:$I$7,CB718)),0),0)</f>
        <v>0</v>
      </c>
      <c r="CL718" s="52" t="n">
        <f aca="false">IF(AND(Parameter!$B$21="Ja",ISNUMBER(W718),N(X718)&gt;0),IFERROR(N(INDEX(Parameter!$L$5:$L$7,W718))*INDEX(Parameter!$E$5:$E$7,W718)*X718/SUMIFS($X$7:$X$1843,$W$7:$W$1843,W718),0),0)</f>
        <v>0</v>
      </c>
    </row>
    <row r="719" customFormat="false" ht="15" hidden="false" customHeight="false" outlineLevel="0" collapsed="false">
      <c r="A719" s="48" t="s">
        <v>1434</v>
      </c>
      <c r="B719" s="48" t="s">
        <v>658</v>
      </c>
      <c r="C719" s="48" t="s">
        <v>168</v>
      </c>
      <c r="D719" s="48" t="s">
        <v>188</v>
      </c>
      <c r="E719" s="48" t="s">
        <v>189</v>
      </c>
      <c r="F719" s="48" t="s">
        <v>222</v>
      </c>
      <c r="G719" s="49" t="n">
        <v>0.39</v>
      </c>
      <c r="H719" s="50" t="n">
        <f aca="false">MAX(0,IF(AND(Parameter!$B$21="Ja",ISNUMBER(Y719)),Y719,IF(Parameter!$B$20="Jahresanfang 2025 + Export",BO719+BN719,BN719)))</f>
        <v>22</v>
      </c>
      <c r="I719" s="50" t="n">
        <f aca="false">H719*G719</f>
        <v>8.58</v>
      </c>
      <c r="J719" s="50" t="n">
        <f aca="false">BQ719*Parameter!$B$18</f>
        <v>2</v>
      </c>
      <c r="K719" s="51" t="n">
        <v>21</v>
      </c>
      <c r="L719" s="52" t="n">
        <v>0.0952380952380952</v>
      </c>
      <c r="M719" s="50" t="n">
        <v>0</v>
      </c>
      <c r="N719" s="50" t="n">
        <v>1</v>
      </c>
      <c r="O719" s="53" t="n">
        <v>21</v>
      </c>
      <c r="P719" s="48" t="s">
        <v>405</v>
      </c>
      <c r="Q719" s="50" t="n">
        <v>36</v>
      </c>
      <c r="R719" s="53" t="n">
        <f aca="false">IF(BW719=1,0,IFERROR(VLOOKUP(BU719,'Gebinde-Kategorie'!$A$5:$N$45,13,0)+0,0))</f>
        <v>280</v>
      </c>
      <c r="S719" s="54"/>
      <c r="T719" s="55"/>
      <c r="U719" s="55"/>
      <c r="V719" s="55"/>
      <c r="W719" s="48"/>
      <c r="X719" s="50"/>
      <c r="Y719" s="50"/>
      <c r="Z719" s="48" t="n">
        <f aca="false">IF(A719="","",IF(AND(Parameter!$B$21="Ja",ISNUMBER(W719)),W719,IF(BZ719="2+3",IF(ISNUMBER(SEARCH("grosser Artikel",BR719)),2,IFERROR(VLOOKUP(BU719,Parameter!$F$35:$G$64,2,0),2)),IF(OR(BZ719="Nein",BZ719=""),"-",BZ719))))</f>
        <v>3</v>
      </c>
      <c r="AA719" s="55"/>
      <c r="AB719" s="56"/>
      <c r="AC719" s="50" t="n">
        <f aca="false">AT719</f>
        <v>36</v>
      </c>
      <c r="AD719" s="50" t="n">
        <f aca="false">MAX(AT719,H719)</f>
        <v>36</v>
      </c>
      <c r="AE719" s="57"/>
      <c r="AF719" s="50" t="n">
        <f aca="false">IF(LEFT(Cockpit!$C$5,1)="A",H719,IF(CE719=1,CF719,IF(LEFT(Cockpit!$C$5,1)="B",AK719,MAX(AK719,H719))))</f>
        <v>22</v>
      </c>
      <c r="AG719" s="50" t="n">
        <f aca="false">IF(BW719=1,0,ROUNDUP(AF719/BV719,0))</f>
        <v>1</v>
      </c>
      <c r="AH719" s="52" t="n">
        <f aca="false">IF(CL719&gt;0,CL719*MAX(1,AF719/X719),IF(BW719=1,IF(AF719&lt;=0,0,CA719*MAX(1,IF(H719&gt;0,AF719/H719,1))),IF(R719&gt;0,AG719/R719,0))/MAX(0.1,N(Parameter!$M$21)))</f>
        <v>0.00357142857142857</v>
      </c>
      <c r="AI719" s="50" t="n">
        <f aca="false">AH719*BY719</f>
        <v>0.553571428571429</v>
      </c>
      <c r="AJ719" s="50" t="n">
        <f aca="false">AF719*G719</f>
        <v>8.58</v>
      </c>
      <c r="AK719" s="50" t="n">
        <f aca="false">ROUNDUP(MAX(J719/IF(CD719&gt;0,CD719,MAX(0.1,N(Cockpit!$C$6))),CG719)/BV719,0)*BV719</f>
        <v>36</v>
      </c>
      <c r="AL719" s="51" t="n">
        <f aca="false">IF(AI719&gt;0,J719/AI719,-1)</f>
        <v>3.61290322580645</v>
      </c>
      <c r="AM719" s="51" t="n">
        <f aca="false">IF(AND(OR(CC719="L1",CC719="L23",CC719="LIFT"),AI719&gt;0),SUMIFS($AI$7:$AI$1843,$CC$7:$CC$1843,CC719,$AL$7:$AL$1843,"&gt;"&amp;AL719)+SUMIFS($AI$7:$AI$1843,$CC$7:$CC$1843,CC719,$AL$7:$AL$1843,AL719,$BT$7:$BT$1843,"&lt;="&amp;BT719),"")</f>
        <v>4827.32051282051</v>
      </c>
      <c r="AN719" s="58" t="n">
        <f aca="false">IF(AM719="",0,MAX(0,MIN(1,(IF(CC719="L1",Parameter!$H$5,IF(CC719="L23",Parameter!$H$6+Parameter!$H$7,Parameter!$H$5+Parameter!$H$6+Parameter!$H$7))-(AM719-AI719))/AI719)))</f>
        <v>1</v>
      </c>
      <c r="AO719" s="50" t="n">
        <f aca="false">IF(LEFT(Cockpit!$I$5,1)="A",H719,IF(CE719=1,CF719,IF(LEFT(Cockpit!$I$5,1)="B",AT719,MAX(AT719,H719))))</f>
        <v>36</v>
      </c>
      <c r="AP719" s="50" t="n">
        <f aca="false">IF(BW719=1,0,ROUNDUP(AO719/BV719,0))</f>
        <v>1</v>
      </c>
      <c r="AQ719" s="52" t="n">
        <f aca="false">IF(CL719&gt;0,CL719*MAX(1,AO719/X719),IF(BW719=1,IF(AO719&lt;=0,0,CA719*MAX(1,IF(H719&gt;0,AO719/H719,1))),IF(R719&gt;0,AP719/R719,0))/MAX(0.1,N(Parameter!$M$21)))</f>
        <v>0.00357142857142857</v>
      </c>
      <c r="AR719" s="50" t="n">
        <f aca="false">AQ719*BY719</f>
        <v>0.553571428571429</v>
      </c>
      <c r="AS719" s="50" t="n">
        <f aca="false">AO719*G719</f>
        <v>14.04</v>
      </c>
      <c r="AT719" s="50" t="n">
        <f aca="false">ROUNDUP(MAX(J719/IF(CD719&gt;0,CD719,MAX(0.1,N(Cockpit!$I$6))),CG719)/BV719,0)*BV719</f>
        <v>36</v>
      </c>
      <c r="AU719" s="51" t="n">
        <f aca="false">IF(AR719&gt;0,J719/AR719,-1)</f>
        <v>3.61290322580645</v>
      </c>
      <c r="AV719" s="51" t="n">
        <f aca="false">IF(AND(OR(CC719="L1",CC719="L23",CC719="LIFT"),AR719&gt;0),SUMIFS($AR$7:$AR$1843,$CC$7:$CC$1843,CC719,$AU$7:$AU$1843,"&gt;"&amp;AU719)+SUMIFS($AR$7:$AR$1843,$CC$7:$CC$1843,CC719,$AU$7:$AU$1843,AU719,$BT$7:$BT$1843,"&lt;="&amp;BT719),"")</f>
        <v>5955.9391025641</v>
      </c>
      <c r="AW719" s="58" t="n">
        <f aca="false">IF(AV719="",0,MAX(0,MIN(1,(IF(CC719="L1",Parameter!$H$5,IF(CC719="L23",Parameter!$H$6+Parameter!$H$7,Parameter!$H$5+Parameter!$H$6+Parameter!$H$7))-(AV719-AR719))/AR719)))</f>
        <v>1</v>
      </c>
      <c r="AX719" s="50" t="n">
        <f aca="false">IF(LEFT(Cockpit!$O$5,1)="A",H719,IF(CE719=1,CF719,IF(LEFT(Cockpit!$O$5,1)="B",BC719,MAX(BC719,H719))))</f>
        <v>36</v>
      </c>
      <c r="AY719" s="50" t="n">
        <f aca="false">IF(BW719=1,0,ROUNDUP(AX719/BV719,0))</f>
        <v>1</v>
      </c>
      <c r="AZ719" s="52" t="n">
        <f aca="false">IF(CL719&gt;0,CL719*MAX(1,AX719/X719),IF(BW719=1,IF(AX719&lt;=0,0,CA719*MAX(1,IF(H719&gt;0,AX719/H719,1))),IF(R719&gt;0,AY719/R719,0))/MAX(0.1,N(Parameter!$M$21)))</f>
        <v>0.00357142857142857</v>
      </c>
      <c r="BA719" s="50" t="n">
        <f aca="false">AZ719*BY719</f>
        <v>0.553571428571429</v>
      </c>
      <c r="BB719" s="50" t="n">
        <f aca="false">AX719*G719</f>
        <v>14.04</v>
      </c>
      <c r="BC719" s="50" t="n">
        <f aca="false">ROUNDUP(MAX(J719/IF(CD719&gt;0,CD719,MAX(0.1,N(Cockpit!$O$6))),CG719)/BV719,0)*BV719</f>
        <v>36</v>
      </c>
      <c r="BD719" s="51" t="n">
        <f aca="false">IF(BA719&gt;0,J719/BA719,-1)</f>
        <v>3.61290322580645</v>
      </c>
      <c r="BE719" s="51" t="n">
        <f aca="false">IF(AND(OR(CC719="L1",CC719="L23",CC719="LIFT"),BA719&gt;0),SUMIFS($BA$7:$BA$1843,$CC$7:$CC$1843,CC719,$BD$7:$BD$1843,"&gt;"&amp;BD719)+SUMIFS($BA$7:$BA$1843,$CC$7:$CC$1843,CC719,$BD$7:$BD$1843,BD719,$BT$7:$BT$1843,"&lt;="&amp;BT719),"")</f>
        <v>5857.52564102564</v>
      </c>
      <c r="BF719" s="58" t="n">
        <f aca="false">IF(BE719="",0,MAX(0,MIN(1,(IF(CC719="L1",Parameter!$H$5,IF(CC719="L23",Parameter!$H$6+Parameter!$H$7,Parameter!$H$5+Parameter!$H$6+Parameter!$H$7))-(BE719-BA719))/BA719)))</f>
        <v>1</v>
      </c>
      <c r="BG719" s="48" t="str">
        <f aca="false">IF(AI719&lt;=0,"",IF(CC719="Aussen","Aussenlager",IF(CC719="-","Nicht im Lift",IF(AN719&gt;=1,"Lift",IF(AN719&lt;=0,"Aussenlager","teilweise")))))</f>
        <v>Lift</v>
      </c>
      <c r="BH719" s="48" t="str">
        <f aca="false">IF(AR719&lt;=0,"",IF(CC719="Aussen","Aussenlager",IF(CC719="-","Nicht im Lift",IF(AW719&gt;=1,"Lift",IF(AW719&lt;=0,"Aussenlager","teilweise")))))</f>
        <v>Lift</v>
      </c>
      <c r="BI719" s="48" t="str">
        <f aca="false">IF(BA719&lt;=0,"",IF(CC719="Aussen","Aussenlager",IF(CC719="-","Nicht im Lift",IF(BF719&gt;=1,"Lift",IF(BF719&lt;=0,"Aussenlager","teilweise")))))</f>
        <v>Lift</v>
      </c>
      <c r="BJ719" s="48" t="str">
        <f aca="false">IF(A719="","",IF(BS719=1,"Neu; ","")&amp;IF(AND(BS719=0,BN719&lt;0),"negativer Bestand (Export "&amp;BN719&amp;"); ","")&amp;IF(J719&lt;=0,"Kein Verbrauch; ","")&amp;IF(CL719&gt;0,"Lift "&amp;W719&amp;" lt. Liftbericht (Fach "&amp;X719&amp;" Stk); ",IF(BX719=1,"Gebinde geschätzt ("&amp;T719&amp;"); ",IF(BW719=1,"Lose – Tablare geschätzt; ","")))&amp;IF(H719&gt;AT719,"Überbestand "&amp;ROUND(H719-AT719,0)&amp;" Stk / CHF "&amp;ROUND((H719-AT719)*G719,0)&amp;"; ","")&amp;IF(AND(CE719=1,CF719&lt;CG719),"MAX &lt; MB+LG; ","")&amp;IF(AND(CK719&gt;0,CJ719*10&gt;CK719),"zu hoch für Tablar; ","")&amp;IF(AND(BS719=0,OR(CE719=1,AA719&lt;&gt;"",U719&lt;&gt;"",V719&lt;&gt;"",AB719&lt;&gt;"")),"manuell übersteuert; ","")&amp;IF(AND(BW719=0,R719=0),"Gebinde unbekannt / Stellmass fehlt; ","")&amp;IF(AND(BW719=0,N(V719)&lt;=0,N(Q719)&lt;=0),"Menge pro Gebinde fehlt (Ist = 1 Gebinde); ","")&amp;BR719)</f>
        <v>Überbestand</v>
      </c>
      <c r="BK719" s="48"/>
      <c r="BL719" s="48"/>
      <c r="BM719" s="55"/>
      <c r="BN719" s="50" t="n">
        <v>0</v>
      </c>
      <c r="BO719" s="50" t="n">
        <v>22</v>
      </c>
      <c r="BP719" s="49" t="n">
        <v>0</v>
      </c>
      <c r="BQ719" s="50" t="n">
        <v>2</v>
      </c>
      <c r="BR719" s="48" t="s">
        <v>396</v>
      </c>
      <c r="BS719" s="53" t="n">
        <v>0</v>
      </c>
      <c r="BT719" s="53" t="n">
        <v>719</v>
      </c>
      <c r="BU719" s="48" t="str">
        <f aca="false">IF(U719&lt;&gt;"",UPPER(TRIM(U719)),IF(BX719=1,UPPER(VLOOKUP(T719,Parameter!$I$27:$K$29,2,0)),IF(P719="","LOSE",P719)))</f>
        <v>S21</v>
      </c>
      <c r="BV719" s="50" t="n">
        <f aca="false">IF(BU719="LOSE",1,IF(N(V719)&gt;0,V719,IF(BX719=1,MAX(1,N(VLOOKUP(T719,Parameter!$I$27:$K$29,3,0)),H719,N(N719)),IF(N(Q719)&gt;0,Q719,MAX(1,H719)))))</f>
        <v>36</v>
      </c>
      <c r="BW719" s="53" t="n">
        <f aca="false">IF(BU719="LOSE",1,0)</f>
        <v>0</v>
      </c>
      <c r="BX719" s="53" t="n">
        <f aca="false">IF(AND(U719="",OR(P719="",P719="LOSE"),T719&lt;&gt;"",N(S719)&lt;=0,ISNUMBER(MATCH(T719,Parameter!$I$27:$I$29,0))),1,0)</f>
        <v>0</v>
      </c>
      <c r="BY719" s="53" t="n">
        <f aca="false">IF(CL719&gt;0,INDEX(Parameter!$H$5:$H$7,W719)/INDEX(Parameter!$E$5:$E$7,W719),IF(AND(BW719=0,N(IFERROR(VLOOKUP(BU719,'Gebinde-Kategorie'!$A$5:$N$45,14,0),0))&gt;0),VLOOKUP(BU719,'Gebinde-Kategorie'!$A$5:$N$45,14,0)*10+Parameter!$M$23,Parameter!$M$24))</f>
        <v>155</v>
      </c>
      <c r="BZ719" s="48" t="str">
        <f aca="false">IF(AND(Parameter!$B$19="Ja",E719&lt;&gt;"",ISNUMBER(MATCH(E719,Parameter!$I$35:$I$52,0))),VLOOKUP(E719,Parameter!$I$35:$J$52,2,0),IFERROR(VLOOKUP(D719,Parameter!$A$35:$C$64,2,0),"Nein"))</f>
        <v>2+3</v>
      </c>
      <c r="CA719" s="52" t="n">
        <f aca="false">IF(BW719=0,0,IF(N(S719)&gt;0,S719,IFERROR(VLOOKUP(D719,Parameter!$A$35:$C$64,3,0)+0,0)))</f>
        <v>0</v>
      </c>
      <c r="CB719" s="48" t="n">
        <f aca="false">IF(AA719&lt;&gt;"",AA719,Z719)</f>
        <v>3</v>
      </c>
      <c r="CC719" s="48" t="str">
        <f aca="false">IF(OR(CB719=1,CB719=2,CB719=3),IF(Parameter!$E$27="Ja","LIFT",IF(CB719=1,"L1","L23")),IF(CB719="Aussen","Aussen","-"))</f>
        <v>LIFT</v>
      </c>
      <c r="CD719" s="59" t="n">
        <f aca="false">IF(N(AB719)&gt;0,AB719,0)</f>
        <v>0</v>
      </c>
      <c r="CE719" s="53" t="n">
        <f aca="false">IF(ISNUMBER(AE719),1,0)</f>
        <v>0</v>
      </c>
      <c r="CF719" s="50" t="n">
        <f aca="false">N(AE719)</f>
        <v>0</v>
      </c>
      <c r="CG719" s="50" t="n">
        <f aca="false">N(M719)+N(N719)</f>
        <v>1</v>
      </c>
      <c r="CH719" s="50" t="n">
        <f aca="false">ROUNDUP(H719/BV719,0)</f>
        <v>1</v>
      </c>
      <c r="CI719" s="50" t="n">
        <f aca="false">ROUNDUP(CF719/BV719,0)</f>
        <v>0</v>
      </c>
      <c r="CJ719" s="53" t="n">
        <f aca="false">IF(BW719=1,0,IFERROR(VLOOKUP(BU719,'Gebinde-Kategorie'!$A$5:$N$45,5,0)+0,0))</f>
        <v>8</v>
      </c>
      <c r="CK719" s="53" t="n">
        <f aca="false">IFERROR(IF(OR(CB719=1,CB719=2,CB719=3),N(INDEX(Parameter!$I$5:$I$7,CB719)),0),0)</f>
        <v>0</v>
      </c>
      <c r="CL719" s="52" t="n">
        <f aca="false">IF(AND(Parameter!$B$21="Ja",ISNUMBER(W719),N(X719)&gt;0),IFERROR(N(INDEX(Parameter!$L$5:$L$7,W719))*INDEX(Parameter!$E$5:$E$7,W719)*X719/SUMIFS($X$7:$X$1843,$W$7:$W$1843,W719),0),0)</f>
        <v>0</v>
      </c>
    </row>
    <row r="720" customFormat="false" ht="15" hidden="false" customHeight="false" outlineLevel="0" collapsed="false">
      <c r="A720" s="48" t="s">
        <v>1435</v>
      </c>
      <c r="B720" s="48" t="s">
        <v>548</v>
      </c>
      <c r="C720" s="48" t="s">
        <v>168</v>
      </c>
      <c r="D720" s="48" t="s">
        <v>999</v>
      </c>
      <c r="E720" s="48"/>
      <c r="F720" s="48" t="s">
        <v>222</v>
      </c>
      <c r="G720" s="49" t="n">
        <v>32.17</v>
      </c>
      <c r="H720" s="50" t="n">
        <f aca="false">MAX(0,IF(AND(Parameter!$B$21="Ja",ISNUMBER(Y720)),Y720,IF(Parameter!$B$20="Jahresanfang 2025 + Export",BO720+BN720,BN720)))</f>
        <v>6</v>
      </c>
      <c r="I720" s="50" t="n">
        <f aca="false">H720*G720</f>
        <v>193.02</v>
      </c>
      <c r="J720" s="50" t="n">
        <f aca="false">BQ720*Parameter!$B$18</f>
        <v>0</v>
      </c>
      <c r="K720" s="51" t="n">
        <v>2.5</v>
      </c>
      <c r="L720" s="52" t="n">
        <v>0</v>
      </c>
      <c r="M720" s="50" t="n">
        <v>0</v>
      </c>
      <c r="N720" s="50" t="n">
        <v>10</v>
      </c>
      <c r="O720" s="53" t="n">
        <v>28</v>
      </c>
      <c r="P720" s="48" t="s">
        <v>172</v>
      </c>
      <c r="Q720" s="50"/>
      <c r="R720" s="53" t="n">
        <f aca="false">IF(BW720=1,0,IFERROR(VLOOKUP(BU720,'Gebinde-Kategorie'!$A$5:$N$45,13,0)+0,0))</f>
        <v>0</v>
      </c>
      <c r="S720" s="54"/>
      <c r="T720" s="55"/>
      <c r="U720" s="55"/>
      <c r="V720" s="55"/>
      <c r="W720" s="48"/>
      <c r="X720" s="50"/>
      <c r="Y720" s="50"/>
      <c r="Z720" s="48" t="str">
        <f aca="false">IF(A720="","",IF(AND(Parameter!$B$21="Ja",ISNUMBER(W720)),W720,IF(BZ720="2+3",IF(ISNUMBER(SEARCH("grosser Artikel",BR720)),2,IFERROR(VLOOKUP(BU720,Parameter!$F$35:$G$64,2,0),2)),IF(OR(BZ720="Nein",BZ720=""),"-",BZ720))))</f>
        <v>-</v>
      </c>
      <c r="AA720" s="55"/>
      <c r="AB720" s="56"/>
      <c r="AC720" s="50" t="n">
        <f aca="false">AT720</f>
        <v>10</v>
      </c>
      <c r="AD720" s="50" t="n">
        <f aca="false">MAX(AT720,H720)</f>
        <v>10</v>
      </c>
      <c r="AE720" s="57"/>
      <c r="AF720" s="50" t="n">
        <f aca="false">IF(LEFT(Cockpit!$C$5,1)="A",H720,IF(CE720=1,CF720,IF(LEFT(Cockpit!$C$5,1)="B",AK720,MAX(AK720,H720))))</f>
        <v>6</v>
      </c>
      <c r="AG720" s="50" t="n">
        <f aca="false">IF(BW720=1,0,ROUNDUP(AF720/BV720,0))</f>
        <v>0</v>
      </c>
      <c r="AH720" s="52" t="n">
        <f aca="false">IF(CL720&gt;0,CL720*MAX(1,AF720/X720),IF(BW720=1,IF(AF720&lt;=0,0,CA720*MAX(1,IF(H720&gt;0,AF720/H720,1))),IF(R720&gt;0,AG720/R720,0))/MAX(0.1,N(Parameter!$M$21)))</f>
        <v>0.15</v>
      </c>
      <c r="AI720" s="50" t="n">
        <f aca="false">AH720*BY720</f>
        <v>35.25</v>
      </c>
      <c r="AJ720" s="50" t="n">
        <f aca="false">AF720*G720</f>
        <v>193.02</v>
      </c>
      <c r="AK720" s="50" t="n">
        <f aca="false">ROUNDUP(MAX(J720/IF(CD720&gt;0,CD720,MAX(0.1,N(Cockpit!$C$6))),CG720)/BV720,0)*BV720</f>
        <v>10</v>
      </c>
      <c r="AL720" s="51" t="n">
        <f aca="false">IF(AI720&gt;0,J720/AI720,-1)</f>
        <v>0</v>
      </c>
      <c r="AM720" s="51" t="str">
        <f aca="false">IF(AND(OR(CC720="L1",CC720="L23",CC720="LIFT"),AI720&gt;0),SUMIFS($AI$7:$AI$1843,$CC$7:$CC$1843,CC720,$AL$7:$AL$1843,"&gt;"&amp;AL720)+SUMIFS($AI$7:$AI$1843,$CC$7:$CC$1843,CC720,$AL$7:$AL$1843,AL720,$BT$7:$BT$1843,"&lt;="&amp;BT720),"")</f>
        <v/>
      </c>
      <c r="AN720" s="58" t="n">
        <f aca="false">IF(AM720="",0,MAX(0,MIN(1,(IF(CC720="L1",Parameter!$H$5,IF(CC720="L23",Parameter!$H$6+Parameter!$H$7,Parameter!$H$5+Parameter!$H$6+Parameter!$H$7))-(AM720-AI720))/AI720)))</f>
        <v>0</v>
      </c>
      <c r="AO720" s="50" t="n">
        <f aca="false">IF(LEFT(Cockpit!$I$5,1)="A",H720,IF(CE720=1,CF720,IF(LEFT(Cockpit!$I$5,1)="B",AT720,MAX(AT720,H720))))</f>
        <v>10</v>
      </c>
      <c r="AP720" s="50" t="n">
        <f aca="false">IF(BW720=1,0,ROUNDUP(AO720/BV720,0))</f>
        <v>0</v>
      </c>
      <c r="AQ720" s="52" t="n">
        <f aca="false">IF(CL720&gt;0,CL720*MAX(1,AO720/X720),IF(BW720=1,IF(AO720&lt;=0,0,CA720*MAX(1,IF(H720&gt;0,AO720/H720,1))),IF(R720&gt;0,AP720/R720,0))/MAX(0.1,N(Parameter!$M$21)))</f>
        <v>0.25</v>
      </c>
      <c r="AR720" s="50" t="n">
        <f aca="false">AQ720*BY720</f>
        <v>58.75</v>
      </c>
      <c r="AS720" s="50" t="n">
        <f aca="false">AO720*G720</f>
        <v>321.7</v>
      </c>
      <c r="AT720" s="50" t="n">
        <f aca="false">ROUNDUP(MAX(J720/IF(CD720&gt;0,CD720,MAX(0.1,N(Cockpit!$I$6))),CG720)/BV720,0)*BV720</f>
        <v>10</v>
      </c>
      <c r="AU720" s="51" t="n">
        <f aca="false">IF(AR720&gt;0,J720/AR720,-1)</f>
        <v>0</v>
      </c>
      <c r="AV720" s="51" t="str">
        <f aca="false">IF(AND(OR(CC720="L1",CC720="L23",CC720="LIFT"),AR720&gt;0),SUMIFS($AR$7:$AR$1843,$CC$7:$CC$1843,CC720,$AU$7:$AU$1843,"&gt;"&amp;AU720)+SUMIFS($AR$7:$AR$1843,$CC$7:$CC$1843,CC720,$AU$7:$AU$1843,AU720,$BT$7:$BT$1843,"&lt;="&amp;BT720),"")</f>
        <v/>
      </c>
      <c r="AW720" s="58" t="n">
        <f aca="false">IF(AV720="",0,MAX(0,MIN(1,(IF(CC720="L1",Parameter!$H$5,IF(CC720="L23",Parameter!$H$6+Parameter!$H$7,Parameter!$H$5+Parameter!$H$6+Parameter!$H$7))-(AV720-AR720))/AR720)))</f>
        <v>0</v>
      </c>
      <c r="AX720" s="50" t="n">
        <f aca="false">IF(LEFT(Cockpit!$O$5,1)="A",H720,IF(CE720=1,CF720,IF(LEFT(Cockpit!$O$5,1)="B",BC720,MAX(BC720,H720))))</f>
        <v>10</v>
      </c>
      <c r="AY720" s="50" t="n">
        <f aca="false">IF(BW720=1,0,ROUNDUP(AX720/BV720,0))</f>
        <v>0</v>
      </c>
      <c r="AZ720" s="52" t="n">
        <f aca="false">IF(CL720&gt;0,CL720*MAX(1,AX720/X720),IF(BW720=1,IF(AX720&lt;=0,0,CA720*MAX(1,IF(H720&gt;0,AX720/H720,1))),IF(R720&gt;0,AY720/R720,0))/MAX(0.1,N(Parameter!$M$21)))</f>
        <v>0.25</v>
      </c>
      <c r="BA720" s="50" t="n">
        <f aca="false">AZ720*BY720</f>
        <v>58.75</v>
      </c>
      <c r="BB720" s="50" t="n">
        <f aca="false">AX720*G720</f>
        <v>321.7</v>
      </c>
      <c r="BC720" s="50" t="n">
        <f aca="false">ROUNDUP(MAX(J720/IF(CD720&gt;0,CD720,MAX(0.1,N(Cockpit!$O$6))),CG720)/BV720,0)*BV720</f>
        <v>10</v>
      </c>
      <c r="BD720" s="51" t="n">
        <f aca="false">IF(BA720&gt;0,J720/BA720,-1)</f>
        <v>0</v>
      </c>
      <c r="BE720" s="51" t="str">
        <f aca="false">IF(AND(OR(CC720="L1",CC720="L23",CC720="LIFT"),BA720&gt;0),SUMIFS($BA$7:$BA$1843,$CC$7:$CC$1843,CC720,$BD$7:$BD$1843,"&gt;"&amp;BD720)+SUMIFS($BA$7:$BA$1843,$CC$7:$CC$1843,CC720,$BD$7:$BD$1843,BD720,$BT$7:$BT$1843,"&lt;="&amp;BT720),"")</f>
        <v/>
      </c>
      <c r="BF720" s="58" t="n">
        <f aca="false">IF(BE720="",0,MAX(0,MIN(1,(IF(CC720="L1",Parameter!$H$5,IF(CC720="L23",Parameter!$H$6+Parameter!$H$7,Parameter!$H$5+Parameter!$H$6+Parameter!$H$7))-(BE720-BA720))/BA720)))</f>
        <v>0</v>
      </c>
      <c r="BG720" s="48" t="str">
        <f aca="false">IF(AI720&lt;=0,"",IF(CC720="Aussen","Aussenlager",IF(CC720="-","Nicht im Lift",IF(AN720&gt;=1,"Lift",IF(AN720&lt;=0,"Aussenlager","teilweise")))))</f>
        <v>Nicht im Lift</v>
      </c>
      <c r="BH720" s="48" t="str">
        <f aca="false">IF(AR720&lt;=0,"",IF(CC720="Aussen","Aussenlager",IF(CC720="-","Nicht im Lift",IF(AW720&gt;=1,"Lift",IF(AW720&lt;=0,"Aussenlager","teilweise")))))</f>
        <v>Nicht im Lift</v>
      </c>
      <c r="BI720" s="48" t="str">
        <f aca="false">IF(BA720&lt;=0,"",IF(CC720="Aussen","Aussenlager",IF(CC720="-","Nicht im Lift",IF(BF720&gt;=1,"Lift",IF(BF720&lt;=0,"Aussenlager","teilweise")))))</f>
        <v>Nicht im Lift</v>
      </c>
      <c r="BJ720" s="48" t="str">
        <f aca="false">IF(A720="","",IF(BS720=1,"Neu; ","")&amp;IF(AND(BS720=0,BN720&lt;0),"negativer Bestand (Export "&amp;BN720&amp;"); ","")&amp;IF(J720&lt;=0,"Kein Verbrauch; ","")&amp;IF(CL720&gt;0,"Lift "&amp;W720&amp;" lt. Liftbericht (Fach "&amp;X720&amp;" Stk); ",IF(BX720=1,"Gebinde geschätzt ("&amp;T720&amp;"); ",IF(BW720=1,"Lose – Tablare geschätzt; ","")))&amp;IF(H720&gt;AT720,"Überbestand "&amp;ROUND(H720-AT720,0)&amp;" Stk / CHF "&amp;ROUND((H720-AT720)*G720,0)&amp;"; ","")&amp;IF(AND(CE720=1,CF720&lt;CG720),"MAX &lt; MB+LG; ","")&amp;IF(AND(CK720&gt;0,CJ720*10&gt;CK720),"zu hoch für Tablar; ","")&amp;IF(AND(BS720=0,OR(CE720=1,AA720&lt;&gt;"",U720&lt;&gt;"",V720&lt;&gt;"",AB720&lt;&gt;"")),"manuell übersteuert; ","")&amp;IF(AND(BW720=0,R720=0),"Gebinde unbekannt / Stellmass fehlt; ","")&amp;IF(AND(BW720=0,N(V720)&lt;=0,N(Q720)&lt;=0),"Menge pro Gebinde fehlt (Ist = 1 Gebinde); ","")&amp;BR720)</f>
        <v>Kein Verbrauch; Lose – Tablare geschätzt; </v>
      </c>
      <c r="BK720" s="48"/>
      <c r="BL720" s="48"/>
      <c r="BM720" s="55"/>
      <c r="BN720" s="50" t="n">
        <v>4</v>
      </c>
      <c r="BO720" s="50" t="n">
        <v>2</v>
      </c>
      <c r="BP720" s="49" t="n">
        <v>0</v>
      </c>
      <c r="BQ720" s="50" t="n">
        <v>0</v>
      </c>
      <c r="BR720" s="48"/>
      <c r="BS720" s="53" t="n">
        <v>0</v>
      </c>
      <c r="BT720" s="53" t="n">
        <v>720</v>
      </c>
      <c r="BU720" s="48" t="str">
        <f aca="false">IF(U720&lt;&gt;"",UPPER(TRIM(U720)),IF(BX720=1,UPPER(VLOOKUP(T720,Parameter!$I$27:$K$29,2,0)),IF(P720="","LOSE",P720)))</f>
        <v>LOSE</v>
      </c>
      <c r="BV720" s="50" t="n">
        <f aca="false">IF(BU720="LOSE",1,IF(N(V720)&gt;0,V720,IF(BX720=1,MAX(1,N(VLOOKUP(T720,Parameter!$I$27:$K$29,3,0)),H720,N(N720)),IF(N(Q720)&gt;0,Q720,MAX(1,H720)))))</f>
        <v>1</v>
      </c>
      <c r="BW720" s="53" t="n">
        <f aca="false">IF(BU720="LOSE",1,0)</f>
        <v>1</v>
      </c>
      <c r="BX720" s="53" t="n">
        <f aca="false">IF(AND(U720="",OR(P720="",P720="LOSE"),T720&lt;&gt;"",N(S720)&lt;=0,ISNUMBER(MATCH(T720,Parameter!$I$27:$I$29,0))),1,0)</f>
        <v>0</v>
      </c>
      <c r="BY720" s="53" t="n">
        <f aca="false">IF(CL720&gt;0,INDEX(Parameter!$H$5:$H$7,W720)/INDEX(Parameter!$E$5:$E$7,W720),IF(AND(BW720=0,N(IFERROR(VLOOKUP(BU720,'Gebinde-Kategorie'!$A$5:$N$45,14,0),0))&gt;0),VLOOKUP(BU720,'Gebinde-Kategorie'!$A$5:$N$45,14,0)*10+Parameter!$M$23,Parameter!$M$24))</f>
        <v>235</v>
      </c>
      <c r="BZ720" s="48" t="str">
        <f aca="false">IF(AND(Parameter!$B$19="Ja",E720&lt;&gt;"",ISNUMBER(MATCH(E720,Parameter!$I$35:$I$52,0))),VLOOKUP(E720,Parameter!$I$35:$J$52,2,0),IFERROR(VLOOKUP(D720,Parameter!$A$35:$C$64,2,0),"Nein"))</f>
        <v>Nein</v>
      </c>
      <c r="CA720" s="52" t="n">
        <f aca="false">IF(BW720=0,0,IF(N(S720)&gt;0,S720,IFERROR(VLOOKUP(D720,Parameter!$A$35:$C$64,3,0)+0,0)))</f>
        <v>0.15</v>
      </c>
      <c r="CB720" s="48" t="str">
        <f aca="false">IF(AA720&lt;&gt;"",AA720,Z720)</f>
        <v>-</v>
      </c>
      <c r="CC720" s="48" t="str">
        <f aca="false">IF(OR(CB720=1,CB720=2,CB720=3),IF(Parameter!$E$27="Ja","LIFT",IF(CB720=1,"L1","L23")),IF(CB720="Aussen","Aussen","-"))</f>
        <v>-</v>
      </c>
      <c r="CD720" s="59" t="n">
        <f aca="false">IF(N(AB720)&gt;0,AB720,0)</f>
        <v>0</v>
      </c>
      <c r="CE720" s="53" t="n">
        <f aca="false">IF(ISNUMBER(AE720),1,0)</f>
        <v>0</v>
      </c>
      <c r="CF720" s="50" t="n">
        <f aca="false">N(AE720)</f>
        <v>0</v>
      </c>
      <c r="CG720" s="50" t="n">
        <f aca="false">N(M720)+N(N720)</f>
        <v>10</v>
      </c>
      <c r="CH720" s="50" t="n">
        <f aca="false">ROUNDUP(H720/BV720,0)</f>
        <v>6</v>
      </c>
      <c r="CI720" s="50" t="n">
        <f aca="false">ROUNDUP(CF720/BV720,0)</f>
        <v>0</v>
      </c>
      <c r="CJ720" s="53" t="n">
        <f aca="false">IF(BW720=1,0,IFERROR(VLOOKUP(BU720,'Gebinde-Kategorie'!$A$5:$N$45,5,0)+0,0))</f>
        <v>0</v>
      </c>
      <c r="CK720" s="53" t="n">
        <f aca="false">IFERROR(IF(OR(CB720=1,CB720=2,CB720=3),N(INDEX(Parameter!$I$5:$I$7,CB720)),0),0)</f>
        <v>0</v>
      </c>
      <c r="CL720" s="52" t="n">
        <f aca="false">IF(AND(Parameter!$B$21="Ja",ISNUMBER(W720),N(X720)&gt;0),IFERROR(N(INDEX(Parameter!$L$5:$L$7,W720))*INDEX(Parameter!$E$5:$E$7,W720)*X720/SUMIFS($X$7:$X$1843,$W$7:$W$1843,W720),0),0)</f>
        <v>0</v>
      </c>
    </row>
    <row r="721" customFormat="false" ht="15" hidden="false" customHeight="false" outlineLevel="0" collapsed="false">
      <c r="A721" s="48" t="s">
        <v>1436</v>
      </c>
      <c r="B721" s="48" t="s">
        <v>1437</v>
      </c>
      <c r="C721" s="48" t="s">
        <v>168</v>
      </c>
      <c r="D721" s="48" t="s">
        <v>177</v>
      </c>
      <c r="E721" s="48" t="s">
        <v>189</v>
      </c>
      <c r="F721" s="48" t="s">
        <v>222</v>
      </c>
      <c r="G721" s="49" t="n">
        <v>299</v>
      </c>
      <c r="H721" s="50" t="n">
        <f aca="false">MAX(0,IF(AND(Parameter!$B$21="Ja",ISNUMBER(Y721)),Y721,IF(Parameter!$B$20="Jahresanfang 2025 + Export",BO721+BN721,BN721)))</f>
        <v>0</v>
      </c>
      <c r="I721" s="50" t="n">
        <f aca="false">H721*G721</f>
        <v>0</v>
      </c>
      <c r="J721" s="50" t="n">
        <f aca="false">BQ721*Parameter!$B$18</f>
        <v>0</v>
      </c>
      <c r="K721" s="51" t="n">
        <v>0</v>
      </c>
      <c r="L721" s="52" t="n">
        <v>0</v>
      </c>
      <c r="M721" s="50" t="n">
        <v>0</v>
      </c>
      <c r="N721" s="50" t="n">
        <v>1</v>
      </c>
      <c r="O721" s="53" t="n">
        <v>28</v>
      </c>
      <c r="P721" s="48" t="s">
        <v>190</v>
      </c>
      <c r="Q721" s="50" t="n">
        <v>1</v>
      </c>
      <c r="R721" s="53" t="n">
        <f aca="false">IF(BW721=1,0,IFERROR(VLOOKUP(BU721,'Gebinde-Kategorie'!$A$5:$N$45,13,0)+0,0))</f>
        <v>12</v>
      </c>
      <c r="S721" s="54"/>
      <c r="T721" s="55"/>
      <c r="U721" s="55"/>
      <c r="V721" s="55"/>
      <c r="W721" s="48"/>
      <c r="X721" s="50"/>
      <c r="Y721" s="50"/>
      <c r="Z721" s="48" t="n">
        <f aca="false">IF(A721="","",IF(AND(Parameter!$B$21="Ja",ISNUMBER(W721)),W721,IF(BZ721="2+3",IF(ISNUMBER(SEARCH("grosser Artikel",BR721)),2,IFERROR(VLOOKUP(BU721,Parameter!$F$35:$G$64,2,0),2)),IF(OR(BZ721="Nein",BZ721=""),"-",BZ721))))</f>
        <v>2</v>
      </c>
      <c r="AA721" s="55"/>
      <c r="AB721" s="56"/>
      <c r="AC721" s="50" t="n">
        <f aca="false">AT721</f>
        <v>1</v>
      </c>
      <c r="AD721" s="50" t="n">
        <f aca="false">MAX(AT721,H721)</f>
        <v>1</v>
      </c>
      <c r="AE721" s="57"/>
      <c r="AF721" s="50" t="n">
        <f aca="false">IF(LEFT(Cockpit!$C$5,1)="A",H721,IF(CE721=1,CF721,IF(LEFT(Cockpit!$C$5,1)="B",AK721,MAX(AK721,H721))))</f>
        <v>0</v>
      </c>
      <c r="AG721" s="50" t="n">
        <f aca="false">IF(BW721=1,0,ROUNDUP(AF721/BV721,0))</f>
        <v>0</v>
      </c>
      <c r="AH721" s="52" t="n">
        <f aca="false">IF(CL721&gt;0,CL721*MAX(1,AF721/X721),IF(BW721=1,IF(AF721&lt;=0,0,CA721*MAX(1,IF(H721&gt;0,AF721/H721,1))),IF(R721&gt;0,AG721/R721,0))/MAX(0.1,N(Parameter!$M$21)))</f>
        <v>0</v>
      </c>
      <c r="AI721" s="50" t="n">
        <f aca="false">AH721*BY721</f>
        <v>0</v>
      </c>
      <c r="AJ721" s="50" t="n">
        <f aca="false">AF721*G721</f>
        <v>0</v>
      </c>
      <c r="AK721" s="50" t="n">
        <f aca="false">ROUNDUP(MAX(J721/IF(CD721&gt;0,CD721,MAX(0.1,N(Cockpit!$C$6))),CG721)/BV721,0)*BV721</f>
        <v>1</v>
      </c>
      <c r="AL721" s="51" t="n">
        <f aca="false">IF(AI721&gt;0,J721/AI721,-1)</f>
        <v>-1</v>
      </c>
      <c r="AM721" s="51" t="str">
        <f aca="false">IF(AND(OR(CC721="L1",CC721="L23",CC721="LIFT"),AI721&gt;0),SUMIFS($AI$7:$AI$1843,$CC$7:$CC$1843,CC721,$AL$7:$AL$1843,"&gt;"&amp;AL721)+SUMIFS($AI$7:$AI$1843,$CC$7:$CC$1843,CC721,$AL$7:$AL$1843,AL721,$BT$7:$BT$1843,"&lt;="&amp;BT721),"")</f>
        <v/>
      </c>
      <c r="AN721" s="58" t="n">
        <f aca="false">IF(AM721="",0,MAX(0,MIN(1,(IF(CC721="L1",Parameter!$H$5,IF(CC721="L23",Parameter!$H$6+Parameter!$H$7,Parameter!$H$5+Parameter!$H$6+Parameter!$H$7))-(AM721-AI721))/AI721)))</f>
        <v>0</v>
      </c>
      <c r="AO721" s="50" t="n">
        <f aca="false">IF(LEFT(Cockpit!$I$5,1)="A",H721,IF(CE721=1,CF721,IF(LEFT(Cockpit!$I$5,1)="B",AT721,MAX(AT721,H721))))</f>
        <v>1</v>
      </c>
      <c r="AP721" s="50" t="n">
        <f aca="false">IF(BW721=1,0,ROUNDUP(AO721/BV721,0))</f>
        <v>1</v>
      </c>
      <c r="AQ721" s="52" t="n">
        <f aca="false">IF(CL721&gt;0,CL721*MAX(1,AO721/X721),IF(BW721=1,IF(AO721&lt;=0,0,CA721*MAX(1,IF(H721&gt;0,AO721/H721,1))),IF(R721&gt;0,AP721/R721,0))/MAX(0.1,N(Parameter!$M$21)))</f>
        <v>0.0833333333333333</v>
      </c>
      <c r="AR721" s="50" t="n">
        <f aca="false">AQ721*BY721</f>
        <v>12.0833333333333</v>
      </c>
      <c r="AS721" s="50" t="n">
        <f aca="false">AO721*G721</f>
        <v>299</v>
      </c>
      <c r="AT721" s="50" t="n">
        <f aca="false">ROUNDUP(MAX(J721/IF(CD721&gt;0,CD721,MAX(0.1,N(Cockpit!$I$6))),CG721)/BV721,0)*BV721</f>
        <v>1</v>
      </c>
      <c r="AU721" s="51" t="n">
        <f aca="false">IF(AR721&gt;0,J721/AR721,-1)</f>
        <v>0</v>
      </c>
      <c r="AV721" s="51" t="n">
        <f aca="false">IF(AND(OR(CC721="L1",CC721="L23",CC721="LIFT"),AR721&gt;0),SUMIFS($AR$7:$AR$1843,$CC$7:$CC$1843,CC721,$AU$7:$AU$1843,"&gt;"&amp;AU721)+SUMIFS($AR$7:$AR$1843,$CC$7:$CC$1843,CC721,$AU$7:$AU$1843,AU721,$BT$7:$BT$1843,"&lt;="&amp;BT721),"")</f>
        <v>40134.9917660024</v>
      </c>
      <c r="AW721" s="58" t="n">
        <f aca="false">IF(AV721="",0,MAX(0,MIN(1,(IF(CC721="L1",Parameter!$H$5,IF(CC721="L23",Parameter!$H$6+Parameter!$H$7,Parameter!$H$5+Parameter!$H$6+Parameter!$H$7))-(AV721-AR721))/AR721)))</f>
        <v>0</v>
      </c>
      <c r="AX721" s="50" t="n">
        <f aca="false">IF(LEFT(Cockpit!$O$5,1)="A",H721,IF(CE721=1,CF721,IF(LEFT(Cockpit!$O$5,1)="B",BC721,MAX(BC721,H721))))</f>
        <v>1</v>
      </c>
      <c r="AY721" s="50" t="n">
        <f aca="false">IF(BW721=1,0,ROUNDUP(AX721/BV721,0))</f>
        <v>1</v>
      </c>
      <c r="AZ721" s="52" t="n">
        <f aca="false">IF(CL721&gt;0,CL721*MAX(1,AX721/X721),IF(BW721=1,IF(AX721&lt;=0,0,CA721*MAX(1,IF(H721&gt;0,AX721/H721,1))),IF(R721&gt;0,AY721/R721,0))/MAX(0.1,N(Parameter!$M$21)))</f>
        <v>0.0833333333333333</v>
      </c>
      <c r="BA721" s="50" t="n">
        <f aca="false">AZ721*BY721</f>
        <v>12.0833333333333</v>
      </c>
      <c r="BB721" s="50" t="n">
        <f aca="false">AX721*G721</f>
        <v>299</v>
      </c>
      <c r="BC721" s="50" t="n">
        <f aca="false">ROUNDUP(MAX(J721/IF(CD721&gt;0,CD721,MAX(0.1,N(Cockpit!$O$6))),CG721)/BV721,0)*BV721</f>
        <v>1</v>
      </c>
      <c r="BD721" s="51" t="n">
        <f aca="false">IF(BA721&gt;0,J721/BA721,-1)</f>
        <v>0</v>
      </c>
      <c r="BE721" s="51" t="n">
        <f aca="false">IF(AND(OR(CC721="L1",CC721="L23",CC721="LIFT"),BA721&gt;0),SUMIFS($BA$7:$BA$1843,$CC$7:$CC$1843,CC721,$BD$7:$BD$1843,"&gt;"&amp;BD721)+SUMIFS($BA$7:$BA$1843,$CC$7:$CC$1843,CC721,$BD$7:$BD$1843,BD721,$BT$7:$BT$1843,"&lt;="&amp;BT721),"")</f>
        <v>36810.0038078682</v>
      </c>
      <c r="BF721" s="58" t="n">
        <f aca="false">IF(BE721="",0,MAX(0,MIN(1,(IF(CC721="L1",Parameter!$H$5,IF(CC721="L23",Parameter!$H$6+Parameter!$H$7,Parameter!$H$5+Parameter!$H$6+Parameter!$H$7))-(BE721-BA721))/BA721)))</f>
        <v>0</v>
      </c>
      <c r="BG721" s="48" t="str">
        <f aca="false">IF(AI721&lt;=0,"",IF(CC721="Aussen","Aussenlager",IF(CC721="-","Nicht im Lift",IF(AN721&gt;=1,"Lift",IF(AN721&lt;=0,"Aussenlager","teilweise")))))</f>
        <v/>
      </c>
      <c r="BH721" s="48" t="str">
        <f aca="false">IF(AR721&lt;=0,"",IF(CC721="Aussen","Aussenlager",IF(CC721="-","Nicht im Lift",IF(AW721&gt;=1,"Lift",IF(AW721&lt;=0,"Aussenlager","teilweise")))))</f>
        <v>Aussenlager</v>
      </c>
      <c r="BI721" s="48" t="str">
        <f aca="false">IF(BA721&lt;=0,"",IF(CC721="Aussen","Aussenlager",IF(CC721="-","Nicht im Lift",IF(BF721&gt;=1,"Lift",IF(BF721&lt;=0,"Aussenlager","teilweise")))))</f>
        <v>Aussenlager</v>
      </c>
      <c r="BJ721" s="48" t="str">
        <f aca="false">IF(A721="","",IF(BS721=1,"Neu; ","")&amp;IF(AND(BS721=0,BN721&lt;0),"negativer Bestand (Export "&amp;BN721&amp;"); ","")&amp;IF(J721&lt;=0,"Kein Verbrauch; ","")&amp;IF(CL721&gt;0,"Lift "&amp;W721&amp;" lt. Liftbericht (Fach "&amp;X721&amp;" Stk); ",IF(BX721=1,"Gebinde geschätzt ("&amp;T721&amp;"); ",IF(BW721=1,"Lose – Tablare geschätzt; ","")))&amp;IF(H721&gt;AT721,"Überbestand "&amp;ROUND(H721-AT721,0)&amp;" Stk / CHF "&amp;ROUND((H721-AT721)*G721,0)&amp;"; ","")&amp;IF(AND(CE721=1,CF721&lt;CG721),"MAX &lt; MB+LG; ","")&amp;IF(AND(CK721&gt;0,CJ721*10&gt;CK721),"zu hoch für Tablar; ","")&amp;IF(AND(BS721=0,OR(CE721=1,AA721&lt;&gt;"",U721&lt;&gt;"",V721&lt;&gt;"",AB721&lt;&gt;"")),"manuell übersteuert; ","")&amp;IF(AND(BW721=0,R721=0),"Gebinde unbekannt / Stellmass fehlt; ","")&amp;IF(AND(BW721=0,N(V721)&lt;=0,N(Q721)&lt;=0),"Menge pro Gebinde fehlt (Ist = 1 Gebinde); ","")&amp;BR721)</f>
        <v>Kein Verbrauch; </v>
      </c>
      <c r="BK721" s="48"/>
      <c r="BL721" s="48"/>
      <c r="BM721" s="55"/>
      <c r="BN721" s="50" t="n">
        <v>0</v>
      </c>
      <c r="BO721" s="50" t="n">
        <v>0</v>
      </c>
      <c r="BP721" s="49" t="n">
        <v>0</v>
      </c>
      <c r="BQ721" s="50" t="n">
        <v>0</v>
      </c>
      <c r="BR721" s="48"/>
      <c r="BS721" s="53" t="n">
        <v>0</v>
      </c>
      <c r="BT721" s="53" t="n">
        <v>721</v>
      </c>
      <c r="BU721" s="48" t="str">
        <f aca="false">IF(U721&lt;&gt;"",UPPER(TRIM(U721)),IF(BX721=1,UPPER(VLOOKUP(T721,Parameter!$I$27:$K$29,2,0)),IF(P721="","LOSE",P721)))</f>
        <v>S61</v>
      </c>
      <c r="BV721" s="50" t="n">
        <f aca="false">IF(BU721="LOSE",1,IF(N(V721)&gt;0,V721,IF(BX721=1,MAX(1,N(VLOOKUP(T721,Parameter!$I$27:$K$29,3,0)),H721,N(N721)),IF(N(Q721)&gt;0,Q721,MAX(1,H721)))))</f>
        <v>1</v>
      </c>
      <c r="BW721" s="53" t="n">
        <f aca="false">IF(BU721="LOSE",1,0)</f>
        <v>0</v>
      </c>
      <c r="BX721" s="53" t="n">
        <f aca="false">IF(AND(U721="",OR(P721="",P721="LOSE"),T721&lt;&gt;"",N(S721)&lt;=0,ISNUMBER(MATCH(T721,Parameter!$I$27:$I$29,0))),1,0)</f>
        <v>0</v>
      </c>
      <c r="BY721" s="53" t="n">
        <f aca="false">IF(CL721&gt;0,INDEX(Parameter!$H$5:$H$7,W721)/INDEX(Parameter!$E$5:$E$7,W721),IF(AND(BW721=0,N(IFERROR(VLOOKUP(BU721,'Gebinde-Kategorie'!$A$5:$N$45,14,0),0))&gt;0),VLOOKUP(BU721,'Gebinde-Kategorie'!$A$5:$N$45,14,0)*10+Parameter!$M$23,Parameter!$M$24))</f>
        <v>145</v>
      </c>
      <c r="BZ721" s="48" t="str">
        <f aca="false">IF(AND(Parameter!$B$19="Ja",E721&lt;&gt;"",ISNUMBER(MATCH(E721,Parameter!$I$35:$I$52,0))),VLOOKUP(E721,Parameter!$I$35:$J$52,2,0),IFERROR(VLOOKUP(D721,Parameter!$A$35:$C$64,2,0),"Nein"))</f>
        <v>2+3</v>
      </c>
      <c r="CA721" s="52" t="n">
        <f aca="false">IF(BW721=0,0,IF(N(S721)&gt;0,S721,IFERROR(VLOOKUP(D721,Parameter!$A$35:$C$64,3,0)+0,0)))</f>
        <v>0</v>
      </c>
      <c r="CB721" s="48" t="n">
        <f aca="false">IF(AA721&lt;&gt;"",AA721,Z721)</f>
        <v>2</v>
      </c>
      <c r="CC721" s="48" t="str">
        <f aca="false">IF(OR(CB721=1,CB721=2,CB721=3),IF(Parameter!$E$27="Ja","LIFT",IF(CB721=1,"L1","L23")),IF(CB721="Aussen","Aussen","-"))</f>
        <v>LIFT</v>
      </c>
      <c r="CD721" s="59" t="n">
        <f aca="false">IF(N(AB721)&gt;0,AB721,0)</f>
        <v>0</v>
      </c>
      <c r="CE721" s="53" t="n">
        <f aca="false">IF(ISNUMBER(AE721),1,0)</f>
        <v>0</v>
      </c>
      <c r="CF721" s="50" t="n">
        <f aca="false">N(AE721)</f>
        <v>0</v>
      </c>
      <c r="CG721" s="50" t="n">
        <f aca="false">N(M721)+N(N721)</f>
        <v>1</v>
      </c>
      <c r="CH721" s="50" t="n">
        <f aca="false">ROUNDUP(H721/BV721,0)</f>
        <v>0</v>
      </c>
      <c r="CI721" s="50" t="n">
        <f aca="false">ROUNDUP(CF721/BV721,0)</f>
        <v>0</v>
      </c>
      <c r="CJ721" s="53" t="n">
        <f aca="false">IF(BW721=1,0,IFERROR(VLOOKUP(BU721,'Gebinde-Kategorie'!$A$5:$N$45,5,0)+0,0))</f>
        <v>11</v>
      </c>
      <c r="CK721" s="53" t="n">
        <f aca="false">IFERROR(IF(OR(CB721=1,CB721=2,CB721=3),N(INDEX(Parameter!$I$5:$I$7,CB721)),0),0)</f>
        <v>0</v>
      </c>
      <c r="CL721" s="52" t="n">
        <f aca="false">IF(AND(Parameter!$B$21="Ja",ISNUMBER(W721),N(X721)&gt;0),IFERROR(N(INDEX(Parameter!$L$5:$L$7,W721))*INDEX(Parameter!$E$5:$E$7,W721)*X721/SUMIFS($X$7:$X$1843,$W$7:$W$1843,W721),0),0)</f>
        <v>0</v>
      </c>
    </row>
    <row r="722" customFormat="false" ht="15" hidden="false" customHeight="false" outlineLevel="0" collapsed="false">
      <c r="A722" s="48" t="s">
        <v>1438</v>
      </c>
      <c r="B722" s="48" t="s">
        <v>548</v>
      </c>
      <c r="C722" s="48" t="s">
        <v>168</v>
      </c>
      <c r="D722" s="48" t="s">
        <v>999</v>
      </c>
      <c r="E722" s="48"/>
      <c r="F722" s="48" t="s">
        <v>222</v>
      </c>
      <c r="G722" s="49" t="n">
        <v>28.69</v>
      </c>
      <c r="H722" s="50" t="n">
        <f aca="false">MAX(0,IF(AND(Parameter!$B$21="Ja",ISNUMBER(Y722)),Y722,IF(Parameter!$B$20="Jahresanfang 2025 + Export",BO722+BN722,BN722)))</f>
        <v>15</v>
      </c>
      <c r="I722" s="50" t="n">
        <f aca="false">H722*G722</f>
        <v>430.35</v>
      </c>
      <c r="J722" s="50" t="n">
        <f aca="false">BQ722*Parameter!$B$18</f>
        <v>0</v>
      </c>
      <c r="K722" s="51" t="n">
        <v>12</v>
      </c>
      <c r="L722" s="52" t="n">
        <v>0</v>
      </c>
      <c r="M722" s="50" t="n">
        <v>0</v>
      </c>
      <c r="N722" s="50" t="n">
        <v>10</v>
      </c>
      <c r="O722" s="53" t="n">
        <v>28</v>
      </c>
      <c r="P722" s="48" t="s">
        <v>172</v>
      </c>
      <c r="Q722" s="50"/>
      <c r="R722" s="53" t="n">
        <f aca="false">IF(BW722=1,0,IFERROR(VLOOKUP(BU722,'Gebinde-Kategorie'!$A$5:$N$45,13,0)+0,0))</f>
        <v>0</v>
      </c>
      <c r="S722" s="54"/>
      <c r="T722" s="55"/>
      <c r="U722" s="55"/>
      <c r="V722" s="55"/>
      <c r="W722" s="48"/>
      <c r="X722" s="50"/>
      <c r="Y722" s="50"/>
      <c r="Z722" s="48" t="str">
        <f aca="false">IF(A722="","",IF(AND(Parameter!$B$21="Ja",ISNUMBER(W722)),W722,IF(BZ722="2+3",IF(ISNUMBER(SEARCH("grosser Artikel",BR722)),2,IFERROR(VLOOKUP(BU722,Parameter!$F$35:$G$64,2,0),2)),IF(OR(BZ722="Nein",BZ722=""),"-",BZ722))))</f>
        <v>-</v>
      </c>
      <c r="AA722" s="55"/>
      <c r="AB722" s="56"/>
      <c r="AC722" s="50" t="n">
        <f aca="false">AT722</f>
        <v>10</v>
      </c>
      <c r="AD722" s="50" t="n">
        <f aca="false">MAX(AT722,H722)</f>
        <v>15</v>
      </c>
      <c r="AE722" s="57"/>
      <c r="AF722" s="50" t="n">
        <f aca="false">IF(LEFT(Cockpit!$C$5,1)="A",H722,IF(CE722=1,CF722,IF(LEFT(Cockpit!$C$5,1)="B",AK722,MAX(AK722,H722))))</f>
        <v>15</v>
      </c>
      <c r="AG722" s="50" t="n">
        <f aca="false">IF(BW722=1,0,ROUNDUP(AF722/BV722,0))</f>
        <v>0</v>
      </c>
      <c r="AH722" s="52" t="n">
        <f aca="false">IF(CL722&gt;0,CL722*MAX(1,AF722/X722),IF(BW722=1,IF(AF722&lt;=0,0,CA722*MAX(1,IF(H722&gt;0,AF722/H722,1))),IF(R722&gt;0,AG722/R722,0))/MAX(0.1,N(Parameter!$M$21)))</f>
        <v>0.15</v>
      </c>
      <c r="AI722" s="50" t="n">
        <f aca="false">AH722*BY722</f>
        <v>35.25</v>
      </c>
      <c r="AJ722" s="50" t="n">
        <f aca="false">AF722*G722</f>
        <v>430.35</v>
      </c>
      <c r="AK722" s="50" t="n">
        <f aca="false">ROUNDUP(MAX(J722/IF(CD722&gt;0,CD722,MAX(0.1,N(Cockpit!$C$6))),CG722)/BV722,0)*BV722</f>
        <v>10</v>
      </c>
      <c r="AL722" s="51" t="n">
        <f aca="false">IF(AI722&gt;0,J722/AI722,-1)</f>
        <v>0</v>
      </c>
      <c r="AM722" s="51" t="str">
        <f aca="false">IF(AND(OR(CC722="L1",CC722="L23",CC722="LIFT"),AI722&gt;0),SUMIFS($AI$7:$AI$1843,$CC$7:$CC$1843,CC722,$AL$7:$AL$1843,"&gt;"&amp;AL722)+SUMIFS($AI$7:$AI$1843,$CC$7:$CC$1843,CC722,$AL$7:$AL$1843,AL722,$BT$7:$BT$1843,"&lt;="&amp;BT722),"")</f>
        <v/>
      </c>
      <c r="AN722" s="58" t="n">
        <f aca="false">IF(AM722="",0,MAX(0,MIN(1,(IF(CC722="L1",Parameter!$H$5,IF(CC722="L23",Parameter!$H$6+Parameter!$H$7,Parameter!$H$5+Parameter!$H$6+Parameter!$H$7))-(AM722-AI722))/AI722)))</f>
        <v>0</v>
      </c>
      <c r="AO722" s="50" t="n">
        <f aca="false">IF(LEFT(Cockpit!$I$5,1)="A",H722,IF(CE722=1,CF722,IF(LEFT(Cockpit!$I$5,1)="B",AT722,MAX(AT722,H722))))</f>
        <v>15</v>
      </c>
      <c r="AP722" s="50" t="n">
        <f aca="false">IF(BW722=1,0,ROUNDUP(AO722/BV722,0))</f>
        <v>0</v>
      </c>
      <c r="AQ722" s="52" t="n">
        <f aca="false">IF(CL722&gt;0,CL722*MAX(1,AO722/X722),IF(BW722=1,IF(AO722&lt;=0,0,CA722*MAX(1,IF(H722&gt;0,AO722/H722,1))),IF(R722&gt;0,AP722/R722,0))/MAX(0.1,N(Parameter!$M$21)))</f>
        <v>0.15</v>
      </c>
      <c r="AR722" s="50" t="n">
        <f aca="false">AQ722*BY722</f>
        <v>35.25</v>
      </c>
      <c r="AS722" s="50" t="n">
        <f aca="false">AO722*G722</f>
        <v>430.35</v>
      </c>
      <c r="AT722" s="50" t="n">
        <f aca="false">ROUNDUP(MAX(J722/IF(CD722&gt;0,CD722,MAX(0.1,N(Cockpit!$I$6))),CG722)/BV722,0)*BV722</f>
        <v>10</v>
      </c>
      <c r="AU722" s="51" t="n">
        <f aca="false">IF(AR722&gt;0,J722/AR722,-1)</f>
        <v>0</v>
      </c>
      <c r="AV722" s="51" t="str">
        <f aca="false">IF(AND(OR(CC722="L1",CC722="L23",CC722="LIFT"),AR722&gt;0),SUMIFS($AR$7:$AR$1843,$CC$7:$CC$1843,CC722,$AU$7:$AU$1843,"&gt;"&amp;AU722)+SUMIFS($AR$7:$AR$1843,$CC$7:$CC$1843,CC722,$AU$7:$AU$1843,AU722,$BT$7:$BT$1843,"&lt;="&amp;BT722),"")</f>
        <v/>
      </c>
      <c r="AW722" s="58" t="n">
        <f aca="false">IF(AV722="",0,MAX(0,MIN(1,(IF(CC722="L1",Parameter!$H$5,IF(CC722="L23",Parameter!$H$6+Parameter!$H$7,Parameter!$H$5+Parameter!$H$6+Parameter!$H$7))-(AV722-AR722))/AR722)))</f>
        <v>0</v>
      </c>
      <c r="AX722" s="50" t="n">
        <f aca="false">IF(LEFT(Cockpit!$O$5,1)="A",H722,IF(CE722=1,CF722,IF(LEFT(Cockpit!$O$5,1)="B",BC722,MAX(BC722,H722))))</f>
        <v>15</v>
      </c>
      <c r="AY722" s="50" t="n">
        <f aca="false">IF(BW722=1,0,ROUNDUP(AX722/BV722,0))</f>
        <v>0</v>
      </c>
      <c r="AZ722" s="52" t="n">
        <f aca="false">IF(CL722&gt;0,CL722*MAX(1,AX722/X722),IF(BW722=1,IF(AX722&lt;=0,0,CA722*MAX(1,IF(H722&gt;0,AX722/H722,1))),IF(R722&gt;0,AY722/R722,0))/MAX(0.1,N(Parameter!$M$21)))</f>
        <v>0.15</v>
      </c>
      <c r="BA722" s="50" t="n">
        <f aca="false">AZ722*BY722</f>
        <v>35.25</v>
      </c>
      <c r="BB722" s="50" t="n">
        <f aca="false">AX722*G722</f>
        <v>430.35</v>
      </c>
      <c r="BC722" s="50" t="n">
        <f aca="false">ROUNDUP(MAX(J722/IF(CD722&gt;0,CD722,MAX(0.1,N(Cockpit!$O$6))),CG722)/BV722,0)*BV722</f>
        <v>10</v>
      </c>
      <c r="BD722" s="51" t="n">
        <f aca="false">IF(BA722&gt;0,J722/BA722,-1)</f>
        <v>0</v>
      </c>
      <c r="BE722" s="51" t="str">
        <f aca="false">IF(AND(OR(CC722="L1",CC722="L23",CC722="LIFT"),BA722&gt;0),SUMIFS($BA$7:$BA$1843,$CC$7:$CC$1843,CC722,$BD$7:$BD$1843,"&gt;"&amp;BD722)+SUMIFS($BA$7:$BA$1843,$CC$7:$CC$1843,CC722,$BD$7:$BD$1843,BD722,$BT$7:$BT$1843,"&lt;="&amp;BT722),"")</f>
        <v/>
      </c>
      <c r="BF722" s="58" t="n">
        <f aca="false">IF(BE722="",0,MAX(0,MIN(1,(IF(CC722="L1",Parameter!$H$5,IF(CC722="L23",Parameter!$H$6+Parameter!$H$7,Parameter!$H$5+Parameter!$H$6+Parameter!$H$7))-(BE722-BA722))/BA722)))</f>
        <v>0</v>
      </c>
      <c r="BG722" s="48" t="str">
        <f aca="false">IF(AI722&lt;=0,"",IF(CC722="Aussen","Aussenlager",IF(CC722="-","Nicht im Lift",IF(AN722&gt;=1,"Lift",IF(AN722&lt;=0,"Aussenlager","teilweise")))))</f>
        <v>Nicht im Lift</v>
      </c>
      <c r="BH722" s="48" t="str">
        <f aca="false">IF(AR722&lt;=0,"",IF(CC722="Aussen","Aussenlager",IF(CC722="-","Nicht im Lift",IF(AW722&gt;=1,"Lift",IF(AW722&lt;=0,"Aussenlager","teilweise")))))</f>
        <v>Nicht im Lift</v>
      </c>
      <c r="BI722" s="48" t="str">
        <f aca="false">IF(BA722&lt;=0,"",IF(CC722="Aussen","Aussenlager",IF(CC722="-","Nicht im Lift",IF(BF722&gt;=1,"Lift",IF(BF722&lt;=0,"Aussenlager","teilweise")))))</f>
        <v>Nicht im Lift</v>
      </c>
      <c r="BJ722" s="48" t="str">
        <f aca="false">IF(A722="","",IF(BS722=1,"Neu; ","")&amp;IF(AND(BS722=0,BN722&lt;0),"negativer Bestand (Export "&amp;BN722&amp;"); ","")&amp;IF(J722&lt;=0,"Kein Verbrauch; ","")&amp;IF(CL722&gt;0,"Lift "&amp;W722&amp;" lt. Liftbericht (Fach "&amp;X722&amp;" Stk); ",IF(BX722=1,"Gebinde geschätzt ("&amp;T722&amp;"); ",IF(BW722=1,"Lose – Tablare geschätzt; ","")))&amp;IF(H722&gt;AT722,"Überbestand "&amp;ROUND(H722-AT722,0)&amp;" Stk / CHF "&amp;ROUND((H722-AT722)*G722,0)&amp;"; ","")&amp;IF(AND(CE722=1,CF722&lt;CG722),"MAX &lt; MB+LG; ","")&amp;IF(AND(CK722&gt;0,CJ722*10&gt;CK722),"zu hoch für Tablar; ","")&amp;IF(AND(BS722=0,OR(CE722=1,AA722&lt;&gt;"",U722&lt;&gt;"",V722&lt;&gt;"",AB722&lt;&gt;"")),"manuell übersteuert; ","")&amp;IF(AND(BW722=0,R722=0),"Gebinde unbekannt / Stellmass fehlt; ","")&amp;IF(AND(BW722=0,N(V722)&lt;=0,N(Q722)&lt;=0),"Menge pro Gebinde fehlt (Ist = 1 Gebinde); ","")&amp;BR722)</f>
        <v>Kein Verbrauch; Lose – Tablare geschätzt; Überbestand 5 Stk / CHF 143; </v>
      </c>
      <c r="BK722" s="48"/>
      <c r="BL722" s="48"/>
      <c r="BM722" s="55"/>
      <c r="BN722" s="50" t="n">
        <v>3</v>
      </c>
      <c r="BO722" s="50" t="n">
        <v>12</v>
      </c>
      <c r="BP722" s="49" t="n">
        <v>0</v>
      </c>
      <c r="BQ722" s="50" t="n">
        <v>0</v>
      </c>
      <c r="BR722" s="48"/>
      <c r="BS722" s="53" t="n">
        <v>0</v>
      </c>
      <c r="BT722" s="53" t="n">
        <v>722</v>
      </c>
      <c r="BU722" s="48" t="str">
        <f aca="false">IF(U722&lt;&gt;"",UPPER(TRIM(U722)),IF(BX722=1,UPPER(VLOOKUP(T722,Parameter!$I$27:$K$29,2,0)),IF(P722="","LOSE",P722)))</f>
        <v>LOSE</v>
      </c>
      <c r="BV722" s="50" t="n">
        <f aca="false">IF(BU722="LOSE",1,IF(N(V722)&gt;0,V722,IF(BX722=1,MAX(1,N(VLOOKUP(T722,Parameter!$I$27:$K$29,3,0)),H722,N(N722)),IF(N(Q722)&gt;0,Q722,MAX(1,H722)))))</f>
        <v>1</v>
      </c>
      <c r="BW722" s="53" t="n">
        <f aca="false">IF(BU722="LOSE",1,0)</f>
        <v>1</v>
      </c>
      <c r="BX722" s="53" t="n">
        <f aca="false">IF(AND(U722="",OR(P722="",P722="LOSE"),T722&lt;&gt;"",N(S722)&lt;=0,ISNUMBER(MATCH(T722,Parameter!$I$27:$I$29,0))),1,0)</f>
        <v>0</v>
      </c>
      <c r="BY722" s="53" t="n">
        <f aca="false">IF(CL722&gt;0,INDEX(Parameter!$H$5:$H$7,W722)/INDEX(Parameter!$E$5:$E$7,W722),IF(AND(BW722=0,N(IFERROR(VLOOKUP(BU722,'Gebinde-Kategorie'!$A$5:$N$45,14,0),0))&gt;0),VLOOKUP(BU722,'Gebinde-Kategorie'!$A$5:$N$45,14,0)*10+Parameter!$M$23,Parameter!$M$24))</f>
        <v>235</v>
      </c>
      <c r="BZ722" s="48" t="str">
        <f aca="false">IF(AND(Parameter!$B$19="Ja",E722&lt;&gt;"",ISNUMBER(MATCH(E722,Parameter!$I$35:$I$52,0))),VLOOKUP(E722,Parameter!$I$35:$J$52,2,0),IFERROR(VLOOKUP(D722,Parameter!$A$35:$C$64,2,0),"Nein"))</f>
        <v>Nein</v>
      </c>
      <c r="CA722" s="52" t="n">
        <f aca="false">IF(BW722=0,0,IF(N(S722)&gt;0,S722,IFERROR(VLOOKUP(D722,Parameter!$A$35:$C$64,3,0)+0,0)))</f>
        <v>0.15</v>
      </c>
      <c r="CB722" s="48" t="str">
        <f aca="false">IF(AA722&lt;&gt;"",AA722,Z722)</f>
        <v>-</v>
      </c>
      <c r="CC722" s="48" t="str">
        <f aca="false">IF(OR(CB722=1,CB722=2,CB722=3),IF(Parameter!$E$27="Ja","LIFT",IF(CB722=1,"L1","L23")),IF(CB722="Aussen","Aussen","-"))</f>
        <v>-</v>
      </c>
      <c r="CD722" s="59" t="n">
        <f aca="false">IF(N(AB722)&gt;0,AB722,0)</f>
        <v>0</v>
      </c>
      <c r="CE722" s="53" t="n">
        <f aca="false">IF(ISNUMBER(AE722),1,0)</f>
        <v>0</v>
      </c>
      <c r="CF722" s="50" t="n">
        <f aca="false">N(AE722)</f>
        <v>0</v>
      </c>
      <c r="CG722" s="50" t="n">
        <f aca="false">N(M722)+N(N722)</f>
        <v>10</v>
      </c>
      <c r="CH722" s="50" t="n">
        <f aca="false">ROUNDUP(H722/BV722,0)</f>
        <v>15</v>
      </c>
      <c r="CI722" s="50" t="n">
        <f aca="false">ROUNDUP(CF722/BV722,0)</f>
        <v>0</v>
      </c>
      <c r="CJ722" s="53" t="n">
        <f aca="false">IF(BW722=1,0,IFERROR(VLOOKUP(BU722,'Gebinde-Kategorie'!$A$5:$N$45,5,0)+0,0))</f>
        <v>0</v>
      </c>
      <c r="CK722" s="53" t="n">
        <f aca="false">IFERROR(IF(OR(CB722=1,CB722=2,CB722=3),N(INDEX(Parameter!$I$5:$I$7,CB722)),0),0)</f>
        <v>0</v>
      </c>
      <c r="CL722" s="52" t="n">
        <f aca="false">IF(AND(Parameter!$B$21="Ja",ISNUMBER(W722),N(X722)&gt;0),IFERROR(N(INDEX(Parameter!$L$5:$L$7,W722))*INDEX(Parameter!$E$5:$E$7,W722)*X722/SUMIFS($X$7:$X$1843,$W$7:$W$1843,W722),0),0)</f>
        <v>0</v>
      </c>
    </row>
    <row r="723" customFormat="false" ht="15" hidden="false" customHeight="false" outlineLevel="0" collapsed="false">
      <c r="A723" s="48" t="s">
        <v>1439</v>
      </c>
      <c r="B723" s="48" t="s">
        <v>1058</v>
      </c>
      <c r="C723" s="48" t="s">
        <v>168</v>
      </c>
      <c r="D723" s="48" t="s">
        <v>854</v>
      </c>
      <c r="E723" s="48" t="s">
        <v>189</v>
      </c>
      <c r="F723" s="48" t="s">
        <v>222</v>
      </c>
      <c r="G723" s="49" t="n">
        <v>4.4</v>
      </c>
      <c r="H723" s="50" t="n">
        <f aca="false">MAX(0,IF(AND(Parameter!$B$21="Ja",ISNUMBER(Y723)),Y723,IF(Parameter!$B$20="Jahresanfang 2025 + Export",BO723+BN723,BN723)))</f>
        <v>0</v>
      </c>
      <c r="I723" s="50" t="n">
        <f aca="false">H723*G723</f>
        <v>0</v>
      </c>
      <c r="J723" s="50" t="n">
        <f aca="false">BQ723*Parameter!$B$18</f>
        <v>24</v>
      </c>
      <c r="K723" s="51" t="n">
        <v>0</v>
      </c>
      <c r="L723" s="52" t="n">
        <v>0</v>
      </c>
      <c r="M723" s="50" t="n">
        <v>0</v>
      </c>
      <c r="N723" s="50" t="n">
        <v>12</v>
      </c>
      <c r="O723" s="53" t="n">
        <v>14</v>
      </c>
      <c r="P723" s="48" t="s">
        <v>306</v>
      </c>
      <c r="Q723" s="50" t="n">
        <v>50</v>
      </c>
      <c r="R723" s="53" t="n">
        <f aca="false">IF(BW723=1,0,IFERROR(VLOOKUP(BU723,'Gebinde-Kategorie'!$A$5:$N$45,13,0)+0,0))</f>
        <v>26</v>
      </c>
      <c r="S723" s="54"/>
      <c r="T723" s="55"/>
      <c r="U723" s="55"/>
      <c r="V723" s="55"/>
      <c r="W723" s="48"/>
      <c r="X723" s="50"/>
      <c r="Y723" s="50"/>
      <c r="Z723" s="48" t="n">
        <f aca="false">IF(A723="","",IF(AND(Parameter!$B$21="Ja",ISNUMBER(W723)),W723,IF(BZ723="2+3",IF(ISNUMBER(SEARCH("grosser Artikel",BR723)),2,IFERROR(VLOOKUP(BU723,Parameter!$F$35:$G$64,2,0),2)),IF(OR(BZ723="Nein",BZ723=""),"-",BZ723))))</f>
        <v>3</v>
      </c>
      <c r="AA723" s="55"/>
      <c r="AB723" s="56"/>
      <c r="AC723" s="50" t="n">
        <f aca="false">AT723</f>
        <v>50</v>
      </c>
      <c r="AD723" s="50" t="n">
        <f aca="false">MAX(AT723,H723)</f>
        <v>50</v>
      </c>
      <c r="AE723" s="57"/>
      <c r="AF723" s="50" t="n">
        <f aca="false">IF(LEFT(Cockpit!$C$5,1)="A",H723,IF(CE723=1,CF723,IF(LEFT(Cockpit!$C$5,1)="B",AK723,MAX(AK723,H723))))</f>
        <v>0</v>
      </c>
      <c r="AG723" s="50" t="n">
        <f aca="false">IF(BW723=1,0,ROUNDUP(AF723/BV723,0))</f>
        <v>0</v>
      </c>
      <c r="AH723" s="52" t="n">
        <f aca="false">IF(CL723&gt;0,CL723*MAX(1,AF723/X723),IF(BW723=1,IF(AF723&lt;=0,0,CA723*MAX(1,IF(H723&gt;0,AF723/H723,1))),IF(R723&gt;0,AG723/R723,0))/MAX(0.1,N(Parameter!$M$21)))</f>
        <v>0</v>
      </c>
      <c r="AI723" s="50" t="n">
        <f aca="false">AH723*BY723</f>
        <v>0</v>
      </c>
      <c r="AJ723" s="50" t="n">
        <f aca="false">AF723*G723</f>
        <v>0</v>
      </c>
      <c r="AK723" s="50" t="n">
        <f aca="false">ROUNDUP(MAX(J723/IF(CD723&gt;0,CD723,MAX(0.1,N(Cockpit!$C$6))),CG723)/BV723,0)*BV723</f>
        <v>50</v>
      </c>
      <c r="AL723" s="51" t="n">
        <f aca="false">IF(AI723&gt;0,J723/AI723,-1)</f>
        <v>-1</v>
      </c>
      <c r="AM723" s="51" t="str">
        <f aca="false">IF(AND(OR(CC723="L1",CC723="L23",CC723="LIFT"),AI723&gt;0),SUMIFS($AI$7:$AI$1843,$CC$7:$CC$1843,CC723,$AL$7:$AL$1843,"&gt;"&amp;AL723)+SUMIFS($AI$7:$AI$1843,$CC$7:$CC$1843,CC723,$AL$7:$AL$1843,AL723,$BT$7:$BT$1843,"&lt;="&amp;BT723),"")</f>
        <v/>
      </c>
      <c r="AN723" s="58" t="n">
        <f aca="false">IF(AM723="",0,MAX(0,MIN(1,(IF(CC723="L1",Parameter!$H$5,IF(CC723="L23",Parameter!$H$6+Parameter!$H$7,Parameter!$H$5+Parameter!$H$6+Parameter!$H$7))-(AM723-AI723))/AI723)))</f>
        <v>0</v>
      </c>
      <c r="AO723" s="50" t="n">
        <f aca="false">IF(LEFT(Cockpit!$I$5,1)="A",H723,IF(CE723=1,CF723,IF(LEFT(Cockpit!$I$5,1)="B",AT723,MAX(AT723,H723))))</f>
        <v>50</v>
      </c>
      <c r="AP723" s="50" t="n">
        <f aca="false">IF(BW723=1,0,ROUNDUP(AO723/BV723,0))</f>
        <v>1</v>
      </c>
      <c r="AQ723" s="52" t="n">
        <f aca="false">IF(CL723&gt;0,CL723*MAX(1,AO723/X723),IF(BW723=1,IF(AO723&lt;=0,0,CA723*MAX(1,IF(H723&gt;0,AO723/H723,1))),IF(R723&gt;0,AP723/R723,0))/MAX(0.1,N(Parameter!$M$21)))</f>
        <v>0.0384615384615385</v>
      </c>
      <c r="AR723" s="50" t="n">
        <f aca="false">AQ723*BY723</f>
        <v>5.96153846153846</v>
      </c>
      <c r="AS723" s="50" t="n">
        <f aca="false">AO723*G723</f>
        <v>220</v>
      </c>
      <c r="AT723" s="50" t="n">
        <f aca="false">ROUNDUP(MAX(J723/IF(CD723&gt;0,CD723,MAX(0.1,N(Cockpit!$I$6))),CG723)/BV723,0)*BV723</f>
        <v>50</v>
      </c>
      <c r="AU723" s="51" t="n">
        <f aca="false">IF(AR723&gt;0,J723/AR723,-1)</f>
        <v>4.0258064516129</v>
      </c>
      <c r="AV723" s="51" t="n">
        <f aca="false">IF(AND(OR(CC723="L1",CC723="L23",CC723="LIFT"),AR723&gt;0),SUMIFS($AR$7:$AR$1843,$CC$7:$CC$1843,CC723,$AU$7:$AU$1843,"&gt;"&amp;AU723)+SUMIFS($AR$7:$AR$1843,$CC$7:$CC$1843,CC723,$AU$7:$AU$1843,AU723,$BT$7:$BT$1843,"&lt;="&amp;BT723),"")</f>
        <v>5580.36446886447</v>
      </c>
      <c r="AW723" s="58" t="n">
        <f aca="false">IF(AV723="",0,MAX(0,MIN(1,(IF(CC723="L1",Parameter!$H$5,IF(CC723="L23",Parameter!$H$6+Parameter!$H$7,Parameter!$H$5+Parameter!$H$6+Parameter!$H$7))-(AV723-AR723))/AR723)))</f>
        <v>1</v>
      </c>
      <c r="AX723" s="50" t="n">
        <f aca="false">IF(LEFT(Cockpit!$O$5,1)="A",H723,IF(CE723=1,CF723,IF(LEFT(Cockpit!$O$5,1)="B",BC723,MAX(BC723,H723))))</f>
        <v>50</v>
      </c>
      <c r="AY723" s="50" t="n">
        <f aca="false">IF(BW723=1,0,ROUNDUP(AX723/BV723,0))</f>
        <v>1</v>
      </c>
      <c r="AZ723" s="52" t="n">
        <f aca="false">IF(CL723&gt;0,CL723*MAX(1,AX723/X723),IF(BW723=1,IF(AX723&lt;=0,0,CA723*MAX(1,IF(H723&gt;0,AX723/H723,1))),IF(R723&gt;0,AY723/R723,0))/MAX(0.1,N(Parameter!$M$21)))</f>
        <v>0.0384615384615385</v>
      </c>
      <c r="BA723" s="50" t="n">
        <f aca="false">AZ723*BY723</f>
        <v>5.96153846153846</v>
      </c>
      <c r="BB723" s="50" t="n">
        <f aca="false">AX723*G723</f>
        <v>220</v>
      </c>
      <c r="BC723" s="50" t="n">
        <f aca="false">ROUNDUP(MAX(J723/IF(CD723&gt;0,CD723,MAX(0.1,N(Cockpit!$O$6))),CG723)/BV723,0)*BV723</f>
        <v>50</v>
      </c>
      <c r="BD723" s="51" t="n">
        <f aca="false">IF(BA723&gt;0,J723/BA723,-1)</f>
        <v>4.0258064516129</v>
      </c>
      <c r="BE723" s="51" t="n">
        <f aca="false">IF(AND(OR(CC723="L1",CC723="L23",CC723="LIFT"),BA723&gt;0),SUMIFS($BA$7:$BA$1843,$CC$7:$CC$1843,CC723,$BD$7:$BD$1843,"&gt;"&amp;BD723)+SUMIFS($BA$7:$BA$1843,$CC$7:$CC$1843,CC723,$BD$7:$BD$1843,BD723,$BT$7:$BT$1843,"&lt;="&amp;BT723),"")</f>
        <v>5268.23305860806</v>
      </c>
      <c r="BF723" s="58" t="n">
        <f aca="false">IF(BE723="",0,MAX(0,MIN(1,(IF(CC723="L1",Parameter!$H$5,IF(CC723="L23",Parameter!$H$6+Parameter!$H$7,Parameter!$H$5+Parameter!$H$6+Parameter!$H$7))-(BE723-BA723))/BA723)))</f>
        <v>1</v>
      </c>
      <c r="BG723" s="48" t="str">
        <f aca="false">IF(AI723&lt;=0,"",IF(CC723="Aussen","Aussenlager",IF(CC723="-","Nicht im Lift",IF(AN723&gt;=1,"Lift",IF(AN723&lt;=0,"Aussenlager","teilweise")))))</f>
        <v/>
      </c>
      <c r="BH723" s="48" t="str">
        <f aca="false">IF(AR723&lt;=0,"",IF(CC723="Aussen","Aussenlager",IF(CC723="-","Nicht im Lift",IF(AW723&gt;=1,"Lift",IF(AW723&lt;=0,"Aussenlager","teilweise")))))</f>
        <v>Lift</v>
      </c>
      <c r="BI723" s="48" t="str">
        <f aca="false">IF(BA723&lt;=0,"",IF(CC723="Aussen","Aussenlager",IF(CC723="-","Nicht im Lift",IF(BF723&gt;=1,"Lift",IF(BF723&lt;=0,"Aussenlager","teilweise")))))</f>
        <v>Lift</v>
      </c>
      <c r="BJ723" s="48" t="str">
        <f aca="false">IF(A723="","",IF(BS723=1,"Neu; ","")&amp;IF(AND(BS723=0,BN723&lt;0),"negativer Bestand (Export "&amp;BN723&amp;"); ","")&amp;IF(J723&lt;=0,"Kein Verbrauch; ","")&amp;IF(CL723&gt;0,"Lift "&amp;W723&amp;" lt. Liftbericht (Fach "&amp;X723&amp;" Stk); ",IF(BX723=1,"Gebinde geschätzt ("&amp;T723&amp;"); ",IF(BW723=1,"Lose – Tablare geschätzt; ","")))&amp;IF(H723&gt;AT723,"Überbestand "&amp;ROUND(H723-AT723,0)&amp;" Stk / CHF "&amp;ROUND((H723-AT723)*G723,0)&amp;"; ","")&amp;IF(AND(CE723=1,CF723&lt;CG723),"MAX &lt; MB+LG; ","")&amp;IF(AND(CK723&gt;0,CJ723*10&gt;CK723),"zu hoch für Tablar; ","")&amp;IF(AND(BS723=0,OR(CE723=1,AA723&lt;&gt;"",U723&lt;&gt;"",V723&lt;&gt;"",AB723&lt;&gt;"")),"manuell übersteuert; ","")&amp;IF(AND(BW723=0,R723=0),"Gebinde unbekannt / Stellmass fehlt; ","")&amp;IF(AND(BW723=0,N(V723)&lt;=0,N(Q723)&lt;=0),"Menge pro Gebinde fehlt (Ist = 1 Gebinde); ","")&amp;BR723)</f>
        <v/>
      </c>
      <c r="BK723" s="48"/>
      <c r="BL723" s="48"/>
      <c r="BM723" s="55"/>
      <c r="BN723" s="50" t="n">
        <v>0</v>
      </c>
      <c r="BO723" s="50" t="n">
        <v>0</v>
      </c>
      <c r="BP723" s="49" t="n">
        <v>0</v>
      </c>
      <c r="BQ723" s="50" t="n">
        <v>24</v>
      </c>
      <c r="BR723" s="48"/>
      <c r="BS723" s="53" t="n">
        <v>0</v>
      </c>
      <c r="BT723" s="53" t="n">
        <v>723</v>
      </c>
      <c r="BU723" s="48" t="str">
        <f aca="false">IF(U723&lt;&gt;"",UPPER(TRIM(U723)),IF(BX723=1,UPPER(VLOOKUP(T723,Parameter!$I$27:$K$29,2,0)),IF(P723="","LOSE",P723)))</f>
        <v>S51</v>
      </c>
      <c r="BV723" s="50" t="n">
        <f aca="false">IF(BU723="LOSE",1,IF(N(V723)&gt;0,V723,IF(BX723=1,MAX(1,N(VLOOKUP(T723,Parameter!$I$27:$K$29,3,0)),H723,N(N723)),IF(N(Q723)&gt;0,Q723,MAX(1,H723)))))</f>
        <v>50</v>
      </c>
      <c r="BW723" s="53" t="n">
        <f aca="false">IF(BU723="LOSE",1,0)</f>
        <v>0</v>
      </c>
      <c r="BX723" s="53" t="n">
        <f aca="false">IF(AND(U723="",OR(P723="",P723="LOSE"),T723&lt;&gt;"",N(S723)&lt;=0,ISNUMBER(MATCH(T723,Parameter!$I$27:$I$29,0))),1,0)</f>
        <v>0</v>
      </c>
      <c r="BY723" s="53" t="n">
        <f aca="false">IF(CL723&gt;0,INDEX(Parameter!$H$5:$H$7,W723)/INDEX(Parameter!$E$5:$E$7,W723),IF(AND(BW723=0,N(IFERROR(VLOOKUP(BU723,'Gebinde-Kategorie'!$A$5:$N$45,14,0),0))&gt;0),VLOOKUP(BU723,'Gebinde-Kategorie'!$A$5:$N$45,14,0)*10+Parameter!$M$23,Parameter!$M$24))</f>
        <v>155</v>
      </c>
      <c r="BZ723" s="48" t="str">
        <f aca="false">IF(AND(Parameter!$B$19="Ja",E723&lt;&gt;"",ISNUMBER(MATCH(E723,Parameter!$I$35:$I$52,0))),VLOOKUP(E723,Parameter!$I$35:$J$52,2,0),IFERROR(VLOOKUP(D723,Parameter!$A$35:$C$64,2,0),"Nein"))</f>
        <v>2+3</v>
      </c>
      <c r="CA723" s="52" t="n">
        <f aca="false">IF(BW723=0,0,IF(N(S723)&gt;0,S723,IFERROR(VLOOKUP(D723,Parameter!$A$35:$C$64,3,0)+0,0)))</f>
        <v>0</v>
      </c>
      <c r="CB723" s="48" t="n">
        <f aca="false">IF(AA723&lt;&gt;"",AA723,Z723)</f>
        <v>3</v>
      </c>
      <c r="CC723" s="48" t="str">
        <f aca="false">IF(OR(CB723=1,CB723=2,CB723=3),IF(Parameter!$E$27="Ja","LIFT",IF(CB723=1,"L1","L23")),IF(CB723="Aussen","Aussen","-"))</f>
        <v>LIFT</v>
      </c>
      <c r="CD723" s="59" t="n">
        <f aca="false">IF(N(AB723)&gt;0,AB723,0)</f>
        <v>0</v>
      </c>
      <c r="CE723" s="53" t="n">
        <f aca="false">IF(ISNUMBER(AE723),1,0)</f>
        <v>0</v>
      </c>
      <c r="CF723" s="50" t="n">
        <f aca="false">N(AE723)</f>
        <v>0</v>
      </c>
      <c r="CG723" s="50" t="n">
        <f aca="false">N(M723)+N(N723)</f>
        <v>12</v>
      </c>
      <c r="CH723" s="50" t="n">
        <f aca="false">ROUNDUP(H723/BV723,0)</f>
        <v>0</v>
      </c>
      <c r="CI723" s="50" t="n">
        <f aca="false">ROUNDUP(CF723/BV723,0)</f>
        <v>0</v>
      </c>
      <c r="CJ723" s="53" t="n">
        <f aca="false">IF(BW723=1,0,IFERROR(VLOOKUP(BU723,'Gebinde-Kategorie'!$A$5:$N$45,5,0)+0,0))</f>
        <v>11</v>
      </c>
      <c r="CK723" s="53" t="n">
        <f aca="false">IFERROR(IF(OR(CB723=1,CB723=2,CB723=3),N(INDEX(Parameter!$I$5:$I$7,CB723)),0),0)</f>
        <v>0</v>
      </c>
      <c r="CL723" s="52" t="n">
        <f aca="false">IF(AND(Parameter!$B$21="Ja",ISNUMBER(W723),N(X723)&gt;0),IFERROR(N(INDEX(Parameter!$L$5:$L$7,W723))*INDEX(Parameter!$E$5:$E$7,W723)*X723/SUMIFS($X$7:$X$1843,$W$7:$W$1843,W723),0),0)</f>
        <v>0</v>
      </c>
    </row>
    <row r="724" customFormat="false" ht="15" hidden="false" customHeight="false" outlineLevel="0" collapsed="false">
      <c r="A724" s="48" t="s">
        <v>1440</v>
      </c>
      <c r="B724" s="48" t="s">
        <v>1441</v>
      </c>
      <c r="C724" s="48" t="s">
        <v>168</v>
      </c>
      <c r="D724" s="48" t="s">
        <v>177</v>
      </c>
      <c r="E724" s="48" t="s">
        <v>374</v>
      </c>
      <c r="F724" s="48" t="s">
        <v>222</v>
      </c>
      <c r="G724" s="49" t="n">
        <v>658.54</v>
      </c>
      <c r="H724" s="50" t="n">
        <f aca="false">MAX(0,IF(AND(Parameter!$B$21="Ja",ISNUMBER(Y724)),Y724,IF(Parameter!$B$20="Jahresanfang 2025 + Export",BO724+BN724,BN724)))</f>
        <v>0</v>
      </c>
      <c r="I724" s="50" t="n">
        <f aca="false">H724*G724</f>
        <v>0</v>
      </c>
      <c r="J724" s="50" t="n">
        <f aca="false">BQ724*Parameter!$B$18</f>
        <v>3</v>
      </c>
      <c r="K724" s="51" t="n">
        <v>4</v>
      </c>
      <c r="L724" s="52" t="n">
        <v>0.75</v>
      </c>
      <c r="M724" s="50" t="n">
        <v>0</v>
      </c>
      <c r="N724" s="50" t="n">
        <v>1</v>
      </c>
      <c r="O724" s="53" t="n">
        <v>14</v>
      </c>
      <c r="P724" s="48" t="s">
        <v>172</v>
      </c>
      <c r="Q724" s="50"/>
      <c r="R724" s="53" t="n">
        <f aca="false">IF(BW724=1,0,IFERROR(VLOOKUP(BU724,'Gebinde-Kategorie'!$A$5:$N$45,13,0)+0,0))</f>
        <v>4</v>
      </c>
      <c r="S724" s="54"/>
      <c r="T724" s="55" t="s">
        <v>193</v>
      </c>
      <c r="U724" s="55"/>
      <c r="V724" s="55"/>
      <c r="W724" s="48"/>
      <c r="X724" s="50"/>
      <c r="Y724" s="50"/>
      <c r="Z724" s="48" t="str">
        <f aca="false">IF(A724="","",IF(AND(Parameter!$B$21="Ja",ISNUMBER(W724)),W724,IF(BZ724="2+3",IF(ISNUMBER(SEARCH("grosser Artikel",BR724)),2,IFERROR(VLOOKUP(BU724,Parameter!$F$35:$G$64,2,0),2)),IF(OR(BZ724="Nein",BZ724=""),"-",BZ724))))</f>
        <v>-</v>
      </c>
      <c r="AA724" s="55"/>
      <c r="AB724" s="56"/>
      <c r="AC724" s="50" t="n">
        <f aca="false">AT724</f>
        <v>2</v>
      </c>
      <c r="AD724" s="50" t="n">
        <f aca="false">MAX(AT724,H724)</f>
        <v>2</v>
      </c>
      <c r="AE724" s="57"/>
      <c r="AF724" s="50" t="n">
        <f aca="false">IF(LEFT(Cockpit!$C$5,1)="A",H724,IF(CE724=1,CF724,IF(LEFT(Cockpit!$C$5,1)="B",AK724,MAX(AK724,H724))))</f>
        <v>0</v>
      </c>
      <c r="AG724" s="50" t="n">
        <f aca="false">IF(BW724=1,0,ROUNDUP(AF724/BV724,0))</f>
        <v>0</v>
      </c>
      <c r="AH724" s="52" t="n">
        <f aca="false">IF(CL724&gt;0,CL724*MAX(1,AF724/X724),IF(BW724=1,IF(AF724&lt;=0,0,CA724*MAX(1,IF(H724&gt;0,AF724/H724,1))),IF(R724&gt;0,AG724/R724,0))/MAX(0.1,N(Parameter!$M$21)))</f>
        <v>0</v>
      </c>
      <c r="AI724" s="50" t="n">
        <f aca="false">AH724*BY724</f>
        <v>0</v>
      </c>
      <c r="AJ724" s="50" t="n">
        <f aca="false">AF724*G724</f>
        <v>0</v>
      </c>
      <c r="AK724" s="50" t="n">
        <f aca="false">ROUNDUP(MAX(J724/IF(CD724&gt;0,CD724,MAX(0.1,N(Cockpit!$C$6))),CG724)/BV724,0)*BV724</f>
        <v>2</v>
      </c>
      <c r="AL724" s="51" t="n">
        <f aca="false">IF(AI724&gt;0,J724/AI724,-1)</f>
        <v>-1</v>
      </c>
      <c r="AM724" s="51" t="str">
        <f aca="false">IF(AND(OR(CC724="L1",CC724="L23",CC724="LIFT"),AI724&gt;0),SUMIFS($AI$7:$AI$1843,$CC$7:$CC$1843,CC724,$AL$7:$AL$1843,"&gt;"&amp;AL724)+SUMIFS($AI$7:$AI$1843,$CC$7:$CC$1843,CC724,$AL$7:$AL$1843,AL724,$BT$7:$BT$1843,"&lt;="&amp;BT724),"")</f>
        <v/>
      </c>
      <c r="AN724" s="58" t="n">
        <f aca="false">IF(AM724="",0,MAX(0,MIN(1,(IF(CC724="L1",Parameter!$H$5,IF(CC724="L23",Parameter!$H$6+Parameter!$H$7,Parameter!$H$5+Parameter!$H$6+Parameter!$H$7))-(AM724-AI724))/AI724)))</f>
        <v>0</v>
      </c>
      <c r="AO724" s="50" t="n">
        <f aca="false">IF(LEFT(Cockpit!$I$5,1)="A",H724,IF(CE724=1,CF724,IF(LEFT(Cockpit!$I$5,1)="B",AT724,MAX(AT724,H724))))</f>
        <v>2</v>
      </c>
      <c r="AP724" s="50" t="n">
        <f aca="false">IF(BW724=1,0,ROUNDUP(AO724/BV724,0))</f>
        <v>1</v>
      </c>
      <c r="AQ724" s="52" t="n">
        <f aca="false">IF(CL724&gt;0,CL724*MAX(1,AO724/X724),IF(BW724=1,IF(AO724&lt;=0,0,CA724*MAX(1,IF(H724&gt;0,AO724/H724,1))),IF(R724&gt;0,AP724/R724,0))/MAX(0.1,N(Parameter!$M$21)))</f>
        <v>0.25</v>
      </c>
      <c r="AR724" s="50" t="n">
        <f aca="false">AQ724*BY724</f>
        <v>58.75</v>
      </c>
      <c r="AS724" s="50" t="n">
        <f aca="false">AO724*G724</f>
        <v>1317.08</v>
      </c>
      <c r="AT724" s="50" t="n">
        <f aca="false">ROUNDUP(MAX(J724/IF(CD724&gt;0,CD724,MAX(0.1,N(Cockpit!$I$6))),CG724)/BV724,0)*BV724</f>
        <v>2</v>
      </c>
      <c r="AU724" s="51" t="n">
        <f aca="false">IF(AR724&gt;0,J724/AR724,-1)</f>
        <v>0.051063829787234</v>
      </c>
      <c r="AV724" s="51" t="str">
        <f aca="false">IF(AND(OR(CC724="L1",CC724="L23",CC724="LIFT"),AR724&gt;0),SUMIFS($AR$7:$AR$1843,$CC$7:$CC$1843,CC724,$AU$7:$AU$1843,"&gt;"&amp;AU724)+SUMIFS($AR$7:$AR$1843,$CC$7:$CC$1843,CC724,$AU$7:$AU$1843,AU724,$BT$7:$BT$1843,"&lt;="&amp;BT724),"")</f>
        <v/>
      </c>
      <c r="AW724" s="58" t="n">
        <f aca="false">IF(AV724="",0,MAX(0,MIN(1,(IF(CC724="L1",Parameter!$H$5,IF(CC724="L23",Parameter!$H$6+Parameter!$H$7,Parameter!$H$5+Parameter!$H$6+Parameter!$H$7))-(AV724-AR724))/AR724)))</f>
        <v>0</v>
      </c>
      <c r="AX724" s="50" t="n">
        <f aca="false">IF(LEFT(Cockpit!$O$5,1)="A",H724,IF(CE724=1,CF724,IF(LEFT(Cockpit!$O$5,1)="B",BC724,MAX(BC724,H724))))</f>
        <v>2</v>
      </c>
      <c r="AY724" s="50" t="n">
        <f aca="false">IF(BW724=1,0,ROUNDUP(AX724/BV724,0))</f>
        <v>1</v>
      </c>
      <c r="AZ724" s="52" t="n">
        <f aca="false">IF(CL724&gt;0,CL724*MAX(1,AX724/X724),IF(BW724=1,IF(AX724&lt;=0,0,CA724*MAX(1,IF(H724&gt;0,AX724/H724,1))),IF(R724&gt;0,AY724/R724,0))/MAX(0.1,N(Parameter!$M$21)))</f>
        <v>0.25</v>
      </c>
      <c r="BA724" s="50" t="n">
        <f aca="false">AZ724*BY724</f>
        <v>58.75</v>
      </c>
      <c r="BB724" s="50" t="n">
        <f aca="false">AX724*G724</f>
        <v>1317.08</v>
      </c>
      <c r="BC724" s="50" t="n">
        <f aca="false">ROUNDUP(MAX(J724/IF(CD724&gt;0,CD724,MAX(0.1,N(Cockpit!$O$6))),CG724)/BV724,0)*BV724</f>
        <v>2</v>
      </c>
      <c r="BD724" s="51" t="n">
        <f aca="false">IF(BA724&gt;0,J724/BA724,-1)</f>
        <v>0.051063829787234</v>
      </c>
      <c r="BE724" s="51" t="str">
        <f aca="false">IF(AND(OR(CC724="L1",CC724="L23",CC724="LIFT"),BA724&gt;0),SUMIFS($BA$7:$BA$1843,$CC$7:$CC$1843,CC724,$BD$7:$BD$1843,"&gt;"&amp;BD724)+SUMIFS($BA$7:$BA$1843,$CC$7:$CC$1843,CC724,$BD$7:$BD$1843,BD724,$BT$7:$BT$1843,"&lt;="&amp;BT724),"")</f>
        <v/>
      </c>
      <c r="BF724" s="58" t="n">
        <f aca="false">IF(BE724="",0,MAX(0,MIN(1,(IF(CC724="L1",Parameter!$H$5,IF(CC724="L23",Parameter!$H$6+Parameter!$H$7,Parameter!$H$5+Parameter!$H$6+Parameter!$H$7))-(BE724-BA724))/BA724)))</f>
        <v>0</v>
      </c>
      <c r="BG724" s="48" t="str">
        <f aca="false">IF(AI724&lt;=0,"",IF(CC724="Aussen","Aussenlager",IF(CC724="-","Nicht im Lift",IF(AN724&gt;=1,"Lift",IF(AN724&lt;=0,"Aussenlager","teilweise")))))</f>
        <v/>
      </c>
      <c r="BH724" s="48" t="str">
        <f aca="false">IF(AR724&lt;=0,"",IF(CC724="Aussen","Aussenlager",IF(CC724="-","Nicht im Lift",IF(AW724&gt;=1,"Lift",IF(AW724&lt;=0,"Aussenlager","teilweise")))))</f>
        <v>Nicht im Lift</v>
      </c>
      <c r="BI724" s="48" t="str">
        <f aca="false">IF(BA724&lt;=0,"",IF(CC724="Aussen","Aussenlager",IF(CC724="-","Nicht im Lift",IF(BF724&gt;=1,"Lift",IF(BF724&lt;=0,"Aussenlager","teilweise")))))</f>
        <v>Nicht im Lift</v>
      </c>
      <c r="BJ724" s="48" t="str">
        <f aca="false">IF(A724="","",IF(BS724=1,"Neu; ","")&amp;IF(AND(BS724=0,BN724&lt;0),"negativer Bestand (Export "&amp;BN724&amp;"); ","")&amp;IF(J724&lt;=0,"Kein Verbrauch; ","")&amp;IF(CL724&gt;0,"Lift "&amp;W724&amp;" lt. Liftbericht (Fach "&amp;X724&amp;" Stk); ",IF(BX724=1,"Gebinde geschätzt ("&amp;T724&amp;"); ",IF(BW724=1,"Lose – Tablare geschätzt; ","")))&amp;IF(H724&gt;AT724,"Überbestand "&amp;ROUND(H724-AT724,0)&amp;" Stk / CHF "&amp;ROUND((H724-AT724)*G724,0)&amp;"; ","")&amp;IF(AND(CE724=1,CF724&lt;CG724),"MAX &lt; MB+LG; ","")&amp;IF(AND(CK724&gt;0,CJ724*10&gt;CK724),"zu hoch für Tablar; ","")&amp;IF(AND(BS724=0,OR(CE724=1,AA724&lt;&gt;"",U724&lt;&gt;"",V724&lt;&gt;"",AB724&lt;&gt;"")),"manuell übersteuert; ","")&amp;IF(AND(BW724=0,R724=0),"Gebinde unbekannt / Stellmass fehlt; ","")&amp;IF(AND(BW724=0,N(V724)&lt;=0,N(Q724)&lt;=0),"Menge pro Gebinde fehlt (Ist = 1 Gebinde); ","")&amp;BR724)</f>
        <v>Gebinde geschätzt (Gross); Menge pro Gebinde fehlt (Ist = 1 Gebinde); </v>
      </c>
      <c r="BK724" s="48"/>
      <c r="BL724" s="48"/>
      <c r="BM724" s="55"/>
      <c r="BN724" s="50" t="n">
        <v>0</v>
      </c>
      <c r="BO724" s="50" t="n">
        <v>0</v>
      </c>
      <c r="BP724" s="49" t="n">
        <v>0</v>
      </c>
      <c r="BQ724" s="50" t="n">
        <v>3</v>
      </c>
      <c r="BR724" s="48"/>
      <c r="BS724" s="53" t="n">
        <v>0</v>
      </c>
      <c r="BT724" s="53" t="n">
        <v>724</v>
      </c>
      <c r="BU724" s="48" t="str">
        <f aca="false">IF(U724&lt;&gt;"",UPPER(TRIM(U724)),IF(BX724=1,UPPER(VLOOKUP(T724,Parameter!$I$27:$K$29,2,0)),IF(P724="","LOSE",P724)))</f>
        <v>S81</v>
      </c>
      <c r="BV724" s="50" t="n">
        <f aca="false">IF(BU724="LOSE",1,IF(N(V724)&gt;0,V724,IF(BX724=1,MAX(1,N(VLOOKUP(T724,Parameter!$I$27:$K$29,3,0)),H724,N(N724)),IF(N(Q724)&gt;0,Q724,MAX(1,H724)))))</f>
        <v>2</v>
      </c>
      <c r="BW724" s="53" t="n">
        <f aca="false">IF(BU724="LOSE",1,0)</f>
        <v>0</v>
      </c>
      <c r="BX724" s="53" t="n">
        <f aca="false">IF(AND(U724="",OR(P724="",P724="LOSE"),T724&lt;&gt;"",N(S724)&lt;=0,ISNUMBER(MATCH(T724,Parameter!$I$27:$I$29,0))),1,0)</f>
        <v>1</v>
      </c>
      <c r="BY724" s="53" t="n">
        <f aca="false">IF(CL724&gt;0,INDEX(Parameter!$H$5:$H$7,W724)/INDEX(Parameter!$E$5:$E$7,W724),IF(AND(BW724=0,N(IFERROR(VLOOKUP(BU724,'Gebinde-Kategorie'!$A$5:$N$45,14,0),0))&gt;0),VLOOKUP(BU724,'Gebinde-Kategorie'!$A$5:$N$45,14,0)*10+Parameter!$M$23,Parameter!$M$24))</f>
        <v>235</v>
      </c>
      <c r="BZ724" s="48" t="str">
        <f aca="false">IF(AND(Parameter!$B$19="Ja",E724&lt;&gt;"",ISNUMBER(MATCH(E724,Parameter!$I$35:$I$52,0))),VLOOKUP(E724,Parameter!$I$35:$J$52,2,0),IFERROR(VLOOKUP(D724,Parameter!$A$35:$C$64,2,0),"Nein"))</f>
        <v>Nein</v>
      </c>
      <c r="CA724" s="52" t="n">
        <f aca="false">IF(BW724=0,0,IF(N(S724)&gt;0,S724,IFERROR(VLOOKUP(D724,Parameter!$A$35:$C$64,3,0)+0,0)))</f>
        <v>0</v>
      </c>
      <c r="CB724" s="48" t="str">
        <f aca="false">IF(AA724&lt;&gt;"",AA724,Z724)</f>
        <v>-</v>
      </c>
      <c r="CC724" s="48" t="str">
        <f aca="false">IF(OR(CB724=1,CB724=2,CB724=3),IF(Parameter!$E$27="Ja","LIFT",IF(CB724=1,"L1","L23")),IF(CB724="Aussen","Aussen","-"))</f>
        <v>-</v>
      </c>
      <c r="CD724" s="59" t="n">
        <f aca="false">IF(N(AB724)&gt;0,AB724,0)</f>
        <v>0</v>
      </c>
      <c r="CE724" s="53" t="n">
        <f aca="false">IF(ISNUMBER(AE724),1,0)</f>
        <v>0</v>
      </c>
      <c r="CF724" s="50" t="n">
        <f aca="false">N(AE724)</f>
        <v>0</v>
      </c>
      <c r="CG724" s="50" t="n">
        <f aca="false">N(M724)+N(N724)</f>
        <v>1</v>
      </c>
      <c r="CH724" s="50" t="n">
        <f aca="false">ROUNDUP(H724/BV724,0)</f>
        <v>0</v>
      </c>
      <c r="CI724" s="50" t="n">
        <f aca="false">ROUNDUP(CF724/BV724,0)</f>
        <v>0</v>
      </c>
      <c r="CJ724" s="53" t="n">
        <f aca="false">IF(BW724=1,0,IFERROR(VLOOKUP(BU724,'Gebinde-Kategorie'!$A$5:$N$45,5,0)+0,0))</f>
        <v>20</v>
      </c>
      <c r="CK724" s="53" t="n">
        <f aca="false">IFERROR(IF(OR(CB724=1,CB724=2,CB724=3),N(INDEX(Parameter!$I$5:$I$7,CB724)),0),0)</f>
        <v>0</v>
      </c>
      <c r="CL724" s="52" t="n">
        <f aca="false">IF(AND(Parameter!$B$21="Ja",ISNUMBER(W724),N(X724)&gt;0),IFERROR(N(INDEX(Parameter!$L$5:$L$7,W724))*INDEX(Parameter!$E$5:$E$7,W724)*X724/SUMIFS($X$7:$X$1843,$W$7:$W$1843,W724),0),0)</f>
        <v>0</v>
      </c>
    </row>
    <row r="725" customFormat="false" ht="15" hidden="false" customHeight="false" outlineLevel="0" collapsed="false">
      <c r="A725" s="48" t="s">
        <v>1442</v>
      </c>
      <c r="B725" s="48" t="s">
        <v>1443</v>
      </c>
      <c r="C725" s="48" t="s">
        <v>460</v>
      </c>
      <c r="D725" s="48" t="s">
        <v>177</v>
      </c>
      <c r="E725" s="48"/>
      <c r="F725" s="48" t="s">
        <v>222</v>
      </c>
      <c r="G725" s="49" t="n">
        <v>100.23</v>
      </c>
      <c r="H725" s="50" t="n">
        <f aca="false">MAX(0,IF(AND(Parameter!$B$21="Ja",ISNUMBER(Y725)),Y725,IF(Parameter!$B$20="Jahresanfang 2025 + Export",BO725+BN725,BN725)))</f>
        <v>0</v>
      </c>
      <c r="I725" s="50" t="n">
        <f aca="false">H725*G725</f>
        <v>0</v>
      </c>
      <c r="J725" s="50" t="n">
        <f aca="false">BQ725*Parameter!$B$18</f>
        <v>0</v>
      </c>
      <c r="K725" s="51" t="n">
        <v>0</v>
      </c>
      <c r="L725" s="52" t="n">
        <v>0</v>
      </c>
      <c r="M725" s="50" t="n">
        <v>0</v>
      </c>
      <c r="N725" s="50" t="n">
        <v>1</v>
      </c>
      <c r="O725" s="53" t="n">
        <v>21</v>
      </c>
      <c r="P725" s="48" t="s">
        <v>172</v>
      </c>
      <c r="Q725" s="50"/>
      <c r="R725" s="53" t="n">
        <f aca="false">IF(BW725=1,0,IFERROR(VLOOKUP(BU725,'Gebinde-Kategorie'!$A$5:$N$45,13,0)+0,0))</f>
        <v>12</v>
      </c>
      <c r="S725" s="54"/>
      <c r="T725" s="55" t="s">
        <v>183</v>
      </c>
      <c r="U725" s="55"/>
      <c r="V725" s="55"/>
      <c r="W725" s="48"/>
      <c r="X725" s="50"/>
      <c r="Y725" s="50"/>
      <c r="Z725" s="48" t="n">
        <f aca="false">IF(A725="","",IF(AND(Parameter!$B$21="Ja",ISNUMBER(W725)),W725,IF(BZ725="2+3",IF(ISNUMBER(SEARCH("grosser Artikel",BR725)),2,IFERROR(VLOOKUP(BU725,Parameter!$F$35:$G$64,2,0),2)),IF(OR(BZ725="Nein",BZ725=""),"-",BZ725))))</f>
        <v>2</v>
      </c>
      <c r="AA725" s="55"/>
      <c r="AB725" s="56"/>
      <c r="AC725" s="50" t="n">
        <f aca="false">AT725</f>
        <v>4</v>
      </c>
      <c r="AD725" s="50" t="n">
        <f aca="false">MAX(AT725,H725)</f>
        <v>4</v>
      </c>
      <c r="AE725" s="57"/>
      <c r="AF725" s="50" t="n">
        <f aca="false">IF(LEFT(Cockpit!$C$5,1)="A",H725,IF(CE725=1,CF725,IF(LEFT(Cockpit!$C$5,1)="B",AK725,MAX(AK725,H725))))</f>
        <v>0</v>
      </c>
      <c r="AG725" s="50" t="n">
        <f aca="false">IF(BW725=1,0,ROUNDUP(AF725/BV725,0))</f>
        <v>0</v>
      </c>
      <c r="AH725" s="52" t="n">
        <f aca="false">IF(CL725&gt;0,CL725*MAX(1,AF725/X725),IF(BW725=1,IF(AF725&lt;=0,0,CA725*MAX(1,IF(H725&gt;0,AF725/H725,1))),IF(R725&gt;0,AG725/R725,0))/MAX(0.1,N(Parameter!$M$21)))</f>
        <v>0</v>
      </c>
      <c r="AI725" s="50" t="n">
        <f aca="false">AH725*BY725</f>
        <v>0</v>
      </c>
      <c r="AJ725" s="50" t="n">
        <f aca="false">AF725*G725</f>
        <v>0</v>
      </c>
      <c r="AK725" s="50" t="n">
        <f aca="false">ROUNDUP(MAX(J725/IF(CD725&gt;0,CD725,MAX(0.1,N(Cockpit!$C$6))),CG725)/BV725,0)*BV725</f>
        <v>4</v>
      </c>
      <c r="AL725" s="51" t="n">
        <f aca="false">IF(AI725&gt;0,J725/AI725,-1)</f>
        <v>-1</v>
      </c>
      <c r="AM725" s="51" t="str">
        <f aca="false">IF(AND(OR(CC725="L1",CC725="L23",CC725="LIFT"),AI725&gt;0),SUMIFS($AI$7:$AI$1843,$CC$7:$CC$1843,CC725,$AL$7:$AL$1843,"&gt;"&amp;AL725)+SUMIFS($AI$7:$AI$1843,$CC$7:$CC$1843,CC725,$AL$7:$AL$1843,AL725,$BT$7:$BT$1843,"&lt;="&amp;BT725),"")</f>
        <v/>
      </c>
      <c r="AN725" s="58" t="n">
        <f aca="false">IF(AM725="",0,MAX(0,MIN(1,(IF(CC725="L1",Parameter!$H$5,IF(CC725="L23",Parameter!$H$6+Parameter!$H$7,Parameter!$H$5+Parameter!$H$6+Parameter!$H$7))-(AM725-AI725))/AI725)))</f>
        <v>0</v>
      </c>
      <c r="AO725" s="50" t="n">
        <f aca="false">IF(LEFT(Cockpit!$I$5,1)="A",H725,IF(CE725=1,CF725,IF(LEFT(Cockpit!$I$5,1)="B",AT725,MAX(AT725,H725))))</f>
        <v>4</v>
      </c>
      <c r="AP725" s="50" t="n">
        <f aca="false">IF(BW725=1,0,ROUNDUP(AO725/BV725,0))</f>
        <v>1</v>
      </c>
      <c r="AQ725" s="52" t="n">
        <f aca="false">IF(CL725&gt;0,CL725*MAX(1,AO725/X725),IF(BW725=1,IF(AO725&lt;=0,0,CA725*MAX(1,IF(H725&gt;0,AO725/H725,1))),IF(R725&gt;0,AP725/R725,0))/MAX(0.1,N(Parameter!$M$21)))</f>
        <v>0.0833333333333333</v>
      </c>
      <c r="AR725" s="50" t="n">
        <f aca="false">AQ725*BY725</f>
        <v>12.0833333333333</v>
      </c>
      <c r="AS725" s="50" t="n">
        <f aca="false">AO725*G725</f>
        <v>400.92</v>
      </c>
      <c r="AT725" s="50" t="n">
        <f aca="false">ROUNDUP(MAX(J725/IF(CD725&gt;0,CD725,MAX(0.1,N(Cockpit!$I$6))),CG725)/BV725,0)*BV725</f>
        <v>4</v>
      </c>
      <c r="AU725" s="51" t="n">
        <f aca="false">IF(AR725&gt;0,J725/AR725,-1)</f>
        <v>0</v>
      </c>
      <c r="AV725" s="51" t="n">
        <f aca="false">IF(AND(OR(CC725="L1",CC725="L23",CC725="LIFT"),AR725&gt;0),SUMIFS($AR$7:$AR$1843,$CC$7:$CC$1843,CC725,$AU$7:$AU$1843,"&gt;"&amp;AU725)+SUMIFS($AR$7:$AR$1843,$CC$7:$CC$1843,CC725,$AU$7:$AU$1843,AU725,$BT$7:$BT$1843,"&lt;="&amp;BT725),"")</f>
        <v>40147.0750993357</v>
      </c>
      <c r="AW725" s="58" t="n">
        <f aca="false">IF(AV725="",0,MAX(0,MIN(1,(IF(CC725="L1",Parameter!$H$5,IF(CC725="L23",Parameter!$H$6+Parameter!$H$7,Parameter!$H$5+Parameter!$H$6+Parameter!$H$7))-(AV725-AR725))/AR725)))</f>
        <v>0</v>
      </c>
      <c r="AX725" s="50" t="n">
        <f aca="false">IF(LEFT(Cockpit!$O$5,1)="A",H725,IF(CE725=1,CF725,IF(LEFT(Cockpit!$O$5,1)="B",BC725,MAX(BC725,H725))))</f>
        <v>4</v>
      </c>
      <c r="AY725" s="50" t="n">
        <f aca="false">IF(BW725=1,0,ROUNDUP(AX725/BV725,0))</f>
        <v>1</v>
      </c>
      <c r="AZ725" s="52" t="n">
        <f aca="false">IF(CL725&gt;0,CL725*MAX(1,AX725/X725),IF(BW725=1,IF(AX725&lt;=0,0,CA725*MAX(1,IF(H725&gt;0,AX725/H725,1))),IF(R725&gt;0,AY725/R725,0))/MAX(0.1,N(Parameter!$M$21)))</f>
        <v>0.0833333333333333</v>
      </c>
      <c r="BA725" s="50" t="n">
        <f aca="false">AZ725*BY725</f>
        <v>12.0833333333333</v>
      </c>
      <c r="BB725" s="50" t="n">
        <f aca="false">AX725*G725</f>
        <v>400.92</v>
      </c>
      <c r="BC725" s="50" t="n">
        <f aca="false">ROUNDUP(MAX(J725/IF(CD725&gt;0,CD725,MAX(0.1,N(Cockpit!$O$6))),CG725)/BV725,0)*BV725</f>
        <v>4</v>
      </c>
      <c r="BD725" s="51" t="n">
        <f aca="false">IF(BA725&gt;0,J725/BA725,-1)</f>
        <v>0</v>
      </c>
      <c r="BE725" s="51" t="n">
        <f aca="false">IF(AND(OR(CC725="L1",CC725="L23",CC725="LIFT"),BA725&gt;0),SUMIFS($BA$7:$BA$1843,$CC$7:$CC$1843,CC725,$BD$7:$BD$1843,"&gt;"&amp;BD725)+SUMIFS($BA$7:$BA$1843,$CC$7:$CC$1843,CC725,$BD$7:$BD$1843,BD725,$BT$7:$BT$1843,"&lt;="&amp;BT725),"")</f>
        <v>36822.0871412016</v>
      </c>
      <c r="BF725" s="58" t="n">
        <f aca="false">IF(BE725="",0,MAX(0,MIN(1,(IF(CC725="L1",Parameter!$H$5,IF(CC725="L23",Parameter!$H$6+Parameter!$H$7,Parameter!$H$5+Parameter!$H$6+Parameter!$H$7))-(BE725-BA725))/BA725)))</f>
        <v>0</v>
      </c>
      <c r="BG725" s="48" t="str">
        <f aca="false">IF(AI725&lt;=0,"",IF(CC725="Aussen","Aussenlager",IF(CC725="-","Nicht im Lift",IF(AN725&gt;=1,"Lift",IF(AN725&lt;=0,"Aussenlager","teilweise")))))</f>
        <v/>
      </c>
      <c r="BH725" s="48" t="str">
        <f aca="false">IF(AR725&lt;=0,"",IF(CC725="Aussen","Aussenlager",IF(CC725="-","Nicht im Lift",IF(AW725&gt;=1,"Lift",IF(AW725&lt;=0,"Aussenlager","teilweise")))))</f>
        <v>Aussenlager</v>
      </c>
      <c r="BI725" s="48" t="str">
        <f aca="false">IF(BA725&lt;=0,"",IF(CC725="Aussen","Aussenlager",IF(CC725="-","Nicht im Lift",IF(BF725&gt;=1,"Lift",IF(BF725&lt;=0,"Aussenlager","teilweise")))))</f>
        <v>Aussenlager</v>
      </c>
      <c r="BJ725" s="48" t="str">
        <f aca="false">IF(A725="","",IF(BS725=1,"Neu; ","")&amp;IF(AND(BS725=0,BN725&lt;0),"negativer Bestand (Export "&amp;BN725&amp;"); ","")&amp;IF(J725&lt;=0,"Kein Verbrauch; ","")&amp;IF(CL725&gt;0,"Lift "&amp;W725&amp;" lt. Liftbericht (Fach "&amp;X725&amp;" Stk); ",IF(BX725=1,"Gebinde geschätzt ("&amp;T725&amp;"); ",IF(BW725=1,"Lose – Tablare geschätzt; ","")))&amp;IF(H725&gt;AT725,"Überbestand "&amp;ROUND(H725-AT725,0)&amp;" Stk / CHF "&amp;ROUND((H725-AT725)*G725,0)&amp;"; ","")&amp;IF(AND(CE725=1,CF725&lt;CG725),"MAX &lt; MB+LG; ","")&amp;IF(AND(CK725&gt;0,CJ725*10&gt;CK725),"zu hoch für Tablar; ","")&amp;IF(AND(BS725=0,OR(CE725=1,AA725&lt;&gt;"",U725&lt;&gt;"",V725&lt;&gt;"",AB725&lt;&gt;"")),"manuell übersteuert; ","")&amp;IF(AND(BW725=0,R725=0),"Gebinde unbekannt / Stellmass fehlt; ","")&amp;IF(AND(BW725=0,N(V725)&lt;=0,N(Q725)&lt;=0),"Menge pro Gebinde fehlt (Ist = 1 Gebinde); ","")&amp;BR725)</f>
        <v>Kein Verbrauch; Gebinde geschätzt (Mittel); Menge pro Gebinde fehlt (Ist = 1 Gebinde); </v>
      </c>
      <c r="BK725" s="48"/>
      <c r="BL725" s="48"/>
      <c r="BM725" s="55"/>
      <c r="BN725" s="50" t="n">
        <v>0</v>
      </c>
      <c r="BO725" s="50" t="n">
        <v>0</v>
      </c>
      <c r="BP725" s="49" t="n">
        <v>0</v>
      </c>
      <c r="BQ725" s="50" t="n">
        <v>0</v>
      </c>
      <c r="BR725" s="48"/>
      <c r="BS725" s="53" t="n">
        <v>0</v>
      </c>
      <c r="BT725" s="53" t="n">
        <v>725</v>
      </c>
      <c r="BU725" s="48" t="str">
        <f aca="false">IF(U725&lt;&gt;"",UPPER(TRIM(U725)),IF(BX725=1,UPPER(VLOOKUP(T725,Parameter!$I$27:$K$29,2,0)),IF(P725="","LOSE",P725)))</f>
        <v>S61</v>
      </c>
      <c r="BV725" s="50" t="n">
        <f aca="false">IF(BU725="LOSE",1,IF(N(V725)&gt;0,V725,IF(BX725=1,MAX(1,N(VLOOKUP(T725,Parameter!$I$27:$K$29,3,0)),H725,N(N725)),IF(N(Q725)&gt;0,Q725,MAX(1,H725)))))</f>
        <v>4</v>
      </c>
      <c r="BW725" s="53" t="n">
        <f aca="false">IF(BU725="LOSE",1,0)</f>
        <v>0</v>
      </c>
      <c r="BX725" s="53" t="n">
        <f aca="false">IF(AND(U725="",OR(P725="",P725="LOSE"),T725&lt;&gt;"",N(S725)&lt;=0,ISNUMBER(MATCH(T725,Parameter!$I$27:$I$29,0))),1,0)</f>
        <v>1</v>
      </c>
      <c r="BY725" s="53" t="n">
        <f aca="false">IF(CL725&gt;0,INDEX(Parameter!$H$5:$H$7,W725)/INDEX(Parameter!$E$5:$E$7,W725),IF(AND(BW725=0,N(IFERROR(VLOOKUP(BU725,'Gebinde-Kategorie'!$A$5:$N$45,14,0),0))&gt;0),VLOOKUP(BU725,'Gebinde-Kategorie'!$A$5:$N$45,14,0)*10+Parameter!$M$23,Parameter!$M$24))</f>
        <v>145</v>
      </c>
      <c r="BZ725" s="48" t="str">
        <f aca="false">IF(AND(Parameter!$B$19="Ja",E725&lt;&gt;"",ISNUMBER(MATCH(E725,Parameter!$I$35:$I$52,0))),VLOOKUP(E725,Parameter!$I$35:$J$52,2,0),IFERROR(VLOOKUP(D725,Parameter!$A$35:$C$64,2,0),"Nein"))</f>
        <v>2+3</v>
      </c>
      <c r="CA725" s="52" t="n">
        <f aca="false">IF(BW725=0,0,IF(N(S725)&gt;0,S725,IFERROR(VLOOKUP(D725,Parameter!$A$35:$C$64,3,0)+0,0)))</f>
        <v>0</v>
      </c>
      <c r="CB725" s="48" t="n">
        <f aca="false">IF(AA725&lt;&gt;"",AA725,Z725)</f>
        <v>2</v>
      </c>
      <c r="CC725" s="48" t="str">
        <f aca="false">IF(OR(CB725=1,CB725=2,CB725=3),IF(Parameter!$E$27="Ja","LIFT",IF(CB725=1,"L1","L23")),IF(CB725="Aussen","Aussen","-"))</f>
        <v>LIFT</v>
      </c>
      <c r="CD725" s="59" t="n">
        <f aca="false">IF(N(AB725)&gt;0,AB725,0)</f>
        <v>0</v>
      </c>
      <c r="CE725" s="53" t="n">
        <f aca="false">IF(ISNUMBER(AE725),1,0)</f>
        <v>0</v>
      </c>
      <c r="CF725" s="50" t="n">
        <f aca="false">N(AE725)</f>
        <v>0</v>
      </c>
      <c r="CG725" s="50" t="n">
        <f aca="false">N(M725)+N(N725)</f>
        <v>1</v>
      </c>
      <c r="CH725" s="50" t="n">
        <f aca="false">ROUNDUP(H725/BV725,0)</f>
        <v>0</v>
      </c>
      <c r="CI725" s="50" t="n">
        <f aca="false">ROUNDUP(CF725/BV725,0)</f>
        <v>0</v>
      </c>
      <c r="CJ725" s="53" t="n">
        <f aca="false">IF(BW725=1,0,IFERROR(VLOOKUP(BU725,'Gebinde-Kategorie'!$A$5:$N$45,5,0)+0,0))</f>
        <v>11</v>
      </c>
      <c r="CK725" s="53" t="n">
        <f aca="false">IFERROR(IF(OR(CB725=1,CB725=2,CB725=3),N(INDEX(Parameter!$I$5:$I$7,CB725)),0),0)</f>
        <v>0</v>
      </c>
      <c r="CL725" s="52" t="n">
        <f aca="false">IF(AND(Parameter!$B$21="Ja",ISNUMBER(W725),N(X725)&gt;0),IFERROR(N(INDEX(Parameter!$L$5:$L$7,W725))*INDEX(Parameter!$E$5:$E$7,W725)*X725/SUMIFS($X$7:$X$1843,$W$7:$W$1843,W725),0),0)</f>
        <v>0</v>
      </c>
    </row>
    <row r="726" customFormat="false" ht="15" hidden="false" customHeight="false" outlineLevel="0" collapsed="false">
      <c r="A726" s="48" t="s">
        <v>1444</v>
      </c>
      <c r="B726" s="48" t="s">
        <v>1445</v>
      </c>
      <c r="C726" s="48" t="s">
        <v>168</v>
      </c>
      <c r="D726" s="48" t="s">
        <v>177</v>
      </c>
      <c r="E726" s="48"/>
      <c r="F726" s="48" t="s">
        <v>222</v>
      </c>
      <c r="G726" s="49" t="n">
        <v>467.1</v>
      </c>
      <c r="H726" s="50" t="n">
        <f aca="false">MAX(0,IF(AND(Parameter!$B$21="Ja",ISNUMBER(Y726)),Y726,IF(Parameter!$B$20="Jahresanfang 2025 + Export",BO726+BN726,BN726)))</f>
        <v>0</v>
      </c>
      <c r="I726" s="50" t="n">
        <f aca="false">H726*G726</f>
        <v>0</v>
      </c>
      <c r="J726" s="50" t="n">
        <f aca="false">BQ726*Parameter!$B$18</f>
        <v>1</v>
      </c>
      <c r="K726" s="51" t="n">
        <v>0</v>
      </c>
      <c r="L726" s="52" t="n">
        <v>0</v>
      </c>
      <c r="M726" s="50" t="n">
        <v>0</v>
      </c>
      <c r="N726" s="50" t="n">
        <v>1</v>
      </c>
      <c r="O726" s="53" t="n">
        <v>28</v>
      </c>
      <c r="P726" s="48" t="s">
        <v>172</v>
      </c>
      <c r="Q726" s="50"/>
      <c r="R726" s="53" t="n">
        <f aca="false">IF(BW726=1,0,IFERROR(VLOOKUP(BU726,'Gebinde-Kategorie'!$A$5:$N$45,13,0)+0,0))</f>
        <v>12</v>
      </c>
      <c r="S726" s="54"/>
      <c r="T726" s="55" t="s">
        <v>183</v>
      </c>
      <c r="U726" s="55"/>
      <c r="V726" s="55"/>
      <c r="W726" s="48"/>
      <c r="X726" s="50"/>
      <c r="Y726" s="50"/>
      <c r="Z726" s="48" t="n">
        <f aca="false">IF(A726="","",IF(AND(Parameter!$B$21="Ja",ISNUMBER(W726)),W726,IF(BZ726="2+3",IF(ISNUMBER(SEARCH("grosser Artikel",BR726)),2,IFERROR(VLOOKUP(BU726,Parameter!$F$35:$G$64,2,0),2)),IF(OR(BZ726="Nein",BZ726=""),"-",BZ726))))</f>
        <v>2</v>
      </c>
      <c r="AA726" s="55"/>
      <c r="AB726" s="56"/>
      <c r="AC726" s="50" t="n">
        <f aca="false">AT726</f>
        <v>4</v>
      </c>
      <c r="AD726" s="50" t="n">
        <f aca="false">MAX(AT726,H726)</f>
        <v>4</v>
      </c>
      <c r="AE726" s="57"/>
      <c r="AF726" s="50" t="n">
        <f aca="false">IF(LEFT(Cockpit!$C$5,1)="A",H726,IF(CE726=1,CF726,IF(LEFT(Cockpit!$C$5,1)="B",AK726,MAX(AK726,H726))))</f>
        <v>0</v>
      </c>
      <c r="AG726" s="50" t="n">
        <f aca="false">IF(BW726=1,0,ROUNDUP(AF726/BV726,0))</f>
        <v>0</v>
      </c>
      <c r="AH726" s="52" t="n">
        <f aca="false">IF(CL726&gt;0,CL726*MAX(1,AF726/X726),IF(BW726=1,IF(AF726&lt;=0,0,CA726*MAX(1,IF(H726&gt;0,AF726/H726,1))),IF(R726&gt;0,AG726/R726,0))/MAX(0.1,N(Parameter!$M$21)))</f>
        <v>0</v>
      </c>
      <c r="AI726" s="50" t="n">
        <f aca="false">AH726*BY726</f>
        <v>0</v>
      </c>
      <c r="AJ726" s="50" t="n">
        <f aca="false">AF726*G726</f>
        <v>0</v>
      </c>
      <c r="AK726" s="50" t="n">
        <f aca="false">ROUNDUP(MAX(J726/IF(CD726&gt;0,CD726,MAX(0.1,N(Cockpit!$C$6))),CG726)/BV726,0)*BV726</f>
        <v>4</v>
      </c>
      <c r="AL726" s="51" t="n">
        <f aca="false">IF(AI726&gt;0,J726/AI726,-1)</f>
        <v>-1</v>
      </c>
      <c r="AM726" s="51" t="str">
        <f aca="false">IF(AND(OR(CC726="L1",CC726="L23",CC726="LIFT"),AI726&gt;0),SUMIFS($AI$7:$AI$1843,$CC$7:$CC$1843,CC726,$AL$7:$AL$1843,"&gt;"&amp;AL726)+SUMIFS($AI$7:$AI$1843,$CC$7:$CC$1843,CC726,$AL$7:$AL$1843,AL726,$BT$7:$BT$1843,"&lt;="&amp;BT726),"")</f>
        <v/>
      </c>
      <c r="AN726" s="58" t="n">
        <f aca="false">IF(AM726="",0,MAX(0,MIN(1,(IF(CC726="L1",Parameter!$H$5,IF(CC726="L23",Parameter!$H$6+Parameter!$H$7,Parameter!$H$5+Parameter!$H$6+Parameter!$H$7))-(AM726-AI726))/AI726)))</f>
        <v>0</v>
      </c>
      <c r="AO726" s="50" t="n">
        <f aca="false">IF(LEFT(Cockpit!$I$5,1)="A",H726,IF(CE726=1,CF726,IF(LEFT(Cockpit!$I$5,1)="B",AT726,MAX(AT726,H726))))</f>
        <v>4</v>
      </c>
      <c r="AP726" s="50" t="n">
        <f aca="false">IF(BW726=1,0,ROUNDUP(AO726/BV726,0))</f>
        <v>1</v>
      </c>
      <c r="AQ726" s="52" t="n">
        <f aca="false">IF(CL726&gt;0,CL726*MAX(1,AO726/X726),IF(BW726=1,IF(AO726&lt;=0,0,CA726*MAX(1,IF(H726&gt;0,AO726/H726,1))),IF(R726&gt;0,AP726/R726,0))/MAX(0.1,N(Parameter!$M$21)))</f>
        <v>0.0833333333333333</v>
      </c>
      <c r="AR726" s="50" t="n">
        <f aca="false">AQ726*BY726</f>
        <v>12.0833333333333</v>
      </c>
      <c r="AS726" s="50" t="n">
        <f aca="false">AO726*G726</f>
        <v>1868.4</v>
      </c>
      <c r="AT726" s="50" t="n">
        <f aca="false">ROUNDUP(MAX(J726/IF(CD726&gt;0,CD726,MAX(0.1,N(Cockpit!$I$6))),CG726)/BV726,0)*BV726</f>
        <v>4</v>
      </c>
      <c r="AU726" s="51" t="n">
        <f aca="false">IF(AR726&gt;0,J726/AR726,-1)</f>
        <v>0.0827586206896552</v>
      </c>
      <c r="AV726" s="51" t="n">
        <f aca="false">IF(AND(OR(CC726="L1",CC726="L23",CC726="LIFT"),AR726&gt;0),SUMIFS($AR$7:$AR$1843,$CC$7:$CC$1843,CC726,$AU$7:$AU$1843,"&gt;"&amp;AU726)+SUMIFS($AR$7:$AR$1843,$CC$7:$CC$1843,CC726,$AU$7:$AU$1843,AU726,$BT$7:$BT$1843,"&lt;="&amp;BT726),"")</f>
        <v>25221.837774984</v>
      </c>
      <c r="AW726" s="58" t="n">
        <f aca="false">IF(AV726="",0,MAX(0,MIN(1,(IF(CC726="L1",Parameter!$H$5,IF(CC726="L23",Parameter!$H$6+Parameter!$H$7,Parameter!$H$5+Parameter!$H$6+Parameter!$H$7))-(AV726-AR726))/AR726)))</f>
        <v>1</v>
      </c>
      <c r="AX726" s="50" t="n">
        <f aca="false">IF(LEFT(Cockpit!$O$5,1)="A",H726,IF(CE726=1,CF726,IF(LEFT(Cockpit!$O$5,1)="B",BC726,MAX(BC726,H726))))</f>
        <v>4</v>
      </c>
      <c r="AY726" s="50" t="n">
        <f aca="false">IF(BW726=1,0,ROUNDUP(AX726/BV726,0))</f>
        <v>1</v>
      </c>
      <c r="AZ726" s="52" t="n">
        <f aca="false">IF(CL726&gt;0,CL726*MAX(1,AX726/X726),IF(BW726=1,IF(AX726&lt;=0,0,CA726*MAX(1,IF(H726&gt;0,AX726/H726,1))),IF(R726&gt;0,AY726/R726,0))/MAX(0.1,N(Parameter!$M$21)))</f>
        <v>0.0833333333333333</v>
      </c>
      <c r="BA726" s="50" t="n">
        <f aca="false">AZ726*BY726</f>
        <v>12.0833333333333</v>
      </c>
      <c r="BB726" s="50" t="n">
        <f aca="false">AX726*G726</f>
        <v>1868.4</v>
      </c>
      <c r="BC726" s="50" t="n">
        <f aca="false">ROUNDUP(MAX(J726/IF(CD726&gt;0,CD726,MAX(0.1,N(Cockpit!$O$6))),CG726)/BV726,0)*BV726</f>
        <v>4</v>
      </c>
      <c r="BD726" s="51" t="n">
        <f aca="false">IF(BA726&gt;0,J726/BA726,-1)</f>
        <v>0.0827586206896552</v>
      </c>
      <c r="BE726" s="51" t="n">
        <f aca="false">IF(AND(OR(CC726="L1",CC726="L23",CC726="LIFT"),BA726&gt;0),SUMIFS($BA$7:$BA$1843,$CC$7:$CC$1843,CC726,$BD$7:$BD$1843,"&gt;"&amp;BD726)+SUMIFS($BA$7:$BA$1843,$CC$7:$CC$1843,CC726,$BD$7:$BD$1843,BD726,$BT$7:$BT$1843,"&lt;="&amp;BT726),"")</f>
        <v>23424.3498168498</v>
      </c>
      <c r="BF726" s="58" t="n">
        <f aca="false">IF(BE726="",0,MAX(0,MIN(1,(IF(CC726="L1",Parameter!$H$5,IF(CC726="L23",Parameter!$H$6+Parameter!$H$7,Parameter!$H$5+Parameter!$H$6+Parameter!$H$7))-(BE726-BA726))/BA726)))</f>
        <v>1</v>
      </c>
      <c r="BG726" s="48" t="str">
        <f aca="false">IF(AI726&lt;=0,"",IF(CC726="Aussen","Aussenlager",IF(CC726="-","Nicht im Lift",IF(AN726&gt;=1,"Lift",IF(AN726&lt;=0,"Aussenlager","teilweise")))))</f>
        <v/>
      </c>
      <c r="BH726" s="48" t="str">
        <f aca="false">IF(AR726&lt;=0,"",IF(CC726="Aussen","Aussenlager",IF(CC726="-","Nicht im Lift",IF(AW726&gt;=1,"Lift",IF(AW726&lt;=0,"Aussenlager","teilweise")))))</f>
        <v>Lift</v>
      </c>
      <c r="BI726" s="48" t="str">
        <f aca="false">IF(BA726&lt;=0,"",IF(CC726="Aussen","Aussenlager",IF(CC726="-","Nicht im Lift",IF(BF726&gt;=1,"Lift",IF(BF726&lt;=0,"Aussenlager","teilweise")))))</f>
        <v>Lift</v>
      </c>
      <c r="BJ726" s="48" t="str">
        <f aca="false">IF(A726="","",IF(BS726=1,"Neu; ","")&amp;IF(AND(BS726=0,BN726&lt;0),"negativer Bestand (Export "&amp;BN726&amp;"); ","")&amp;IF(J726&lt;=0,"Kein Verbrauch; ","")&amp;IF(CL726&gt;0,"Lift "&amp;W726&amp;" lt. Liftbericht (Fach "&amp;X726&amp;" Stk); ",IF(BX726=1,"Gebinde geschätzt ("&amp;T726&amp;"); ",IF(BW726=1,"Lose – Tablare geschätzt; ","")))&amp;IF(H726&gt;AT726,"Überbestand "&amp;ROUND(H726-AT726,0)&amp;" Stk / CHF "&amp;ROUND((H726-AT726)*G726,0)&amp;"; ","")&amp;IF(AND(CE726=1,CF726&lt;CG726),"MAX &lt; MB+LG; ","")&amp;IF(AND(CK726&gt;0,CJ726*10&gt;CK726),"zu hoch für Tablar; ","")&amp;IF(AND(BS726=0,OR(CE726=1,AA726&lt;&gt;"",U726&lt;&gt;"",V726&lt;&gt;"",AB726&lt;&gt;"")),"manuell übersteuert; ","")&amp;IF(AND(BW726=0,R726=0),"Gebinde unbekannt / Stellmass fehlt; ","")&amp;IF(AND(BW726=0,N(V726)&lt;=0,N(Q726)&lt;=0),"Menge pro Gebinde fehlt (Ist = 1 Gebinde); ","")&amp;BR726)</f>
        <v>Gebinde geschätzt (Mittel); Menge pro Gebinde fehlt (Ist = 1 Gebinde); </v>
      </c>
      <c r="BK726" s="48"/>
      <c r="BL726" s="48"/>
      <c r="BM726" s="55"/>
      <c r="BN726" s="50" t="n">
        <v>0</v>
      </c>
      <c r="BO726" s="50" t="n">
        <v>0</v>
      </c>
      <c r="BP726" s="49" t="n">
        <v>0</v>
      </c>
      <c r="BQ726" s="50" t="n">
        <v>1</v>
      </c>
      <c r="BR726" s="48"/>
      <c r="BS726" s="53" t="n">
        <v>0</v>
      </c>
      <c r="BT726" s="53" t="n">
        <v>726</v>
      </c>
      <c r="BU726" s="48" t="str">
        <f aca="false">IF(U726&lt;&gt;"",UPPER(TRIM(U726)),IF(BX726=1,UPPER(VLOOKUP(T726,Parameter!$I$27:$K$29,2,0)),IF(P726="","LOSE",P726)))</f>
        <v>S61</v>
      </c>
      <c r="BV726" s="50" t="n">
        <f aca="false">IF(BU726="LOSE",1,IF(N(V726)&gt;0,V726,IF(BX726=1,MAX(1,N(VLOOKUP(T726,Parameter!$I$27:$K$29,3,0)),H726,N(N726)),IF(N(Q726)&gt;0,Q726,MAX(1,H726)))))</f>
        <v>4</v>
      </c>
      <c r="BW726" s="53" t="n">
        <f aca="false">IF(BU726="LOSE",1,0)</f>
        <v>0</v>
      </c>
      <c r="BX726" s="53" t="n">
        <f aca="false">IF(AND(U726="",OR(P726="",P726="LOSE"),T726&lt;&gt;"",N(S726)&lt;=0,ISNUMBER(MATCH(T726,Parameter!$I$27:$I$29,0))),1,0)</f>
        <v>1</v>
      </c>
      <c r="BY726" s="53" t="n">
        <f aca="false">IF(CL726&gt;0,INDEX(Parameter!$H$5:$H$7,W726)/INDEX(Parameter!$E$5:$E$7,W726),IF(AND(BW726=0,N(IFERROR(VLOOKUP(BU726,'Gebinde-Kategorie'!$A$5:$N$45,14,0),0))&gt;0),VLOOKUP(BU726,'Gebinde-Kategorie'!$A$5:$N$45,14,0)*10+Parameter!$M$23,Parameter!$M$24))</f>
        <v>145</v>
      </c>
      <c r="BZ726" s="48" t="str">
        <f aca="false">IF(AND(Parameter!$B$19="Ja",E726&lt;&gt;"",ISNUMBER(MATCH(E726,Parameter!$I$35:$I$52,0))),VLOOKUP(E726,Parameter!$I$35:$J$52,2,0),IFERROR(VLOOKUP(D726,Parameter!$A$35:$C$64,2,0),"Nein"))</f>
        <v>2+3</v>
      </c>
      <c r="CA726" s="52" t="n">
        <f aca="false">IF(BW726=0,0,IF(N(S726)&gt;0,S726,IFERROR(VLOOKUP(D726,Parameter!$A$35:$C$64,3,0)+0,0)))</f>
        <v>0</v>
      </c>
      <c r="CB726" s="48" t="n">
        <f aca="false">IF(AA726&lt;&gt;"",AA726,Z726)</f>
        <v>2</v>
      </c>
      <c r="CC726" s="48" t="str">
        <f aca="false">IF(OR(CB726=1,CB726=2,CB726=3),IF(Parameter!$E$27="Ja","LIFT",IF(CB726=1,"L1","L23")),IF(CB726="Aussen","Aussen","-"))</f>
        <v>LIFT</v>
      </c>
      <c r="CD726" s="59" t="n">
        <f aca="false">IF(N(AB726)&gt;0,AB726,0)</f>
        <v>0</v>
      </c>
      <c r="CE726" s="53" t="n">
        <f aca="false">IF(ISNUMBER(AE726),1,0)</f>
        <v>0</v>
      </c>
      <c r="CF726" s="50" t="n">
        <f aca="false">N(AE726)</f>
        <v>0</v>
      </c>
      <c r="CG726" s="50" t="n">
        <f aca="false">N(M726)+N(N726)</f>
        <v>1</v>
      </c>
      <c r="CH726" s="50" t="n">
        <f aca="false">ROUNDUP(H726/BV726,0)</f>
        <v>0</v>
      </c>
      <c r="CI726" s="50" t="n">
        <f aca="false">ROUNDUP(CF726/BV726,0)</f>
        <v>0</v>
      </c>
      <c r="CJ726" s="53" t="n">
        <f aca="false">IF(BW726=1,0,IFERROR(VLOOKUP(BU726,'Gebinde-Kategorie'!$A$5:$N$45,5,0)+0,0))</f>
        <v>11</v>
      </c>
      <c r="CK726" s="53" t="n">
        <f aca="false">IFERROR(IF(OR(CB726=1,CB726=2,CB726=3),N(INDEX(Parameter!$I$5:$I$7,CB726)),0),0)</f>
        <v>0</v>
      </c>
      <c r="CL726" s="52" t="n">
        <f aca="false">IF(AND(Parameter!$B$21="Ja",ISNUMBER(W726),N(X726)&gt;0),IFERROR(N(INDEX(Parameter!$L$5:$L$7,W726))*INDEX(Parameter!$E$5:$E$7,W726)*X726/SUMIFS($X$7:$X$1843,$W$7:$W$1843,W726),0),0)</f>
        <v>0</v>
      </c>
    </row>
    <row r="727" customFormat="false" ht="15" hidden="false" customHeight="false" outlineLevel="0" collapsed="false">
      <c r="A727" s="48" t="s">
        <v>1446</v>
      </c>
      <c r="B727" s="48" t="s">
        <v>1447</v>
      </c>
      <c r="C727" s="48" t="s">
        <v>168</v>
      </c>
      <c r="D727" s="48" t="s">
        <v>188</v>
      </c>
      <c r="E727" s="48" t="s">
        <v>189</v>
      </c>
      <c r="F727" s="48" t="s">
        <v>222</v>
      </c>
      <c r="G727" s="49" t="n">
        <v>141.03</v>
      </c>
      <c r="H727" s="50" t="n">
        <f aca="false">MAX(0,IF(AND(Parameter!$B$21="Ja",ISNUMBER(Y727)),Y727,IF(Parameter!$B$20="Jahresanfang 2025 + Export",BO727+BN727,BN727)))</f>
        <v>12</v>
      </c>
      <c r="I727" s="50" t="n">
        <f aca="false">H727*G727</f>
        <v>1692.36</v>
      </c>
      <c r="J727" s="50" t="n">
        <f aca="false">BQ727*Parameter!$B$18</f>
        <v>1</v>
      </c>
      <c r="K727" s="51" t="n">
        <v>11.5</v>
      </c>
      <c r="L727" s="52" t="n">
        <v>0.0869565217391304</v>
      </c>
      <c r="M727" s="50" t="n">
        <v>0</v>
      </c>
      <c r="N727" s="50" t="n">
        <v>1</v>
      </c>
      <c r="O727" s="53" t="n">
        <v>28</v>
      </c>
      <c r="P727" s="48" t="s">
        <v>306</v>
      </c>
      <c r="Q727" s="50" t="n">
        <v>15</v>
      </c>
      <c r="R727" s="53" t="n">
        <f aca="false">IF(BW727=1,0,IFERROR(VLOOKUP(BU727,'Gebinde-Kategorie'!$A$5:$N$45,13,0)+0,0))</f>
        <v>26</v>
      </c>
      <c r="S727" s="54"/>
      <c r="T727" s="55"/>
      <c r="U727" s="55"/>
      <c r="V727" s="55"/>
      <c r="W727" s="48"/>
      <c r="X727" s="50"/>
      <c r="Y727" s="50"/>
      <c r="Z727" s="48" t="n">
        <f aca="false">IF(A727="","",IF(AND(Parameter!$B$21="Ja",ISNUMBER(W727)),W727,IF(BZ727="2+3",IF(ISNUMBER(SEARCH("grosser Artikel",BR727)),2,IFERROR(VLOOKUP(BU727,Parameter!$F$35:$G$64,2,0),2)),IF(OR(BZ727="Nein",BZ727=""),"-",BZ727))))</f>
        <v>3</v>
      </c>
      <c r="AA727" s="55"/>
      <c r="AB727" s="56"/>
      <c r="AC727" s="50" t="n">
        <f aca="false">AT727</f>
        <v>15</v>
      </c>
      <c r="AD727" s="50" t="n">
        <f aca="false">MAX(AT727,H727)</f>
        <v>15</v>
      </c>
      <c r="AE727" s="57"/>
      <c r="AF727" s="50" t="n">
        <f aca="false">IF(LEFT(Cockpit!$C$5,1)="A",H727,IF(CE727=1,CF727,IF(LEFT(Cockpit!$C$5,1)="B",AK727,MAX(AK727,H727))))</f>
        <v>12</v>
      </c>
      <c r="AG727" s="50" t="n">
        <f aca="false">IF(BW727=1,0,ROUNDUP(AF727/BV727,0))</f>
        <v>1</v>
      </c>
      <c r="AH727" s="52" t="n">
        <f aca="false">IF(CL727&gt;0,CL727*MAX(1,AF727/X727),IF(BW727=1,IF(AF727&lt;=0,0,CA727*MAX(1,IF(H727&gt;0,AF727/H727,1))),IF(R727&gt;0,AG727/R727,0))/MAX(0.1,N(Parameter!$M$21)))</f>
        <v>0.0384615384615385</v>
      </c>
      <c r="AI727" s="50" t="n">
        <f aca="false">AH727*BY727</f>
        <v>5.96153846153846</v>
      </c>
      <c r="AJ727" s="50" t="n">
        <f aca="false">AF727*G727</f>
        <v>1692.36</v>
      </c>
      <c r="AK727" s="50" t="n">
        <f aca="false">ROUNDUP(MAX(J727/IF(CD727&gt;0,CD727,MAX(0.1,N(Cockpit!$C$6))),CG727)/BV727,0)*BV727</f>
        <v>15</v>
      </c>
      <c r="AL727" s="51" t="n">
        <f aca="false">IF(AI727&gt;0,J727/AI727,-1)</f>
        <v>0.167741935483871</v>
      </c>
      <c r="AM727" s="51" t="n">
        <f aca="false">IF(AND(OR(CC727="L1",CC727="L23",CC727="LIFT"),AI727&gt;0),SUMIFS($AI$7:$AI$1843,$CC$7:$CC$1843,CC727,$AL$7:$AL$1843,"&gt;"&amp;AL727)+SUMIFS($AI$7:$AI$1843,$CC$7:$CC$1843,CC727,$AL$7:$AL$1843,AL727,$BT$7:$BT$1843,"&lt;="&amp;BT727),"")</f>
        <v>12715.5029516152</v>
      </c>
      <c r="AN727" s="58" t="n">
        <f aca="false">IF(AM727="",0,MAX(0,MIN(1,(IF(CC727="L1",Parameter!$H$5,IF(CC727="L23",Parameter!$H$6+Parameter!$H$7,Parameter!$H$5+Parameter!$H$6+Parameter!$H$7))-(AM727-AI727))/AI727)))</f>
        <v>1</v>
      </c>
      <c r="AO727" s="50" t="n">
        <f aca="false">IF(LEFT(Cockpit!$I$5,1)="A",H727,IF(CE727=1,CF727,IF(LEFT(Cockpit!$I$5,1)="B",AT727,MAX(AT727,H727))))</f>
        <v>15</v>
      </c>
      <c r="AP727" s="50" t="n">
        <f aca="false">IF(BW727=1,0,ROUNDUP(AO727/BV727,0))</f>
        <v>1</v>
      </c>
      <c r="AQ727" s="52" t="n">
        <f aca="false">IF(CL727&gt;0,CL727*MAX(1,AO727/X727),IF(BW727=1,IF(AO727&lt;=0,0,CA727*MAX(1,IF(H727&gt;0,AO727/H727,1))),IF(R727&gt;0,AP727/R727,0))/MAX(0.1,N(Parameter!$M$21)))</f>
        <v>0.0384615384615385</v>
      </c>
      <c r="AR727" s="50" t="n">
        <f aca="false">AQ727*BY727</f>
        <v>5.96153846153846</v>
      </c>
      <c r="AS727" s="50" t="n">
        <f aca="false">AO727*G727</f>
        <v>2115.45</v>
      </c>
      <c r="AT727" s="50" t="n">
        <f aca="false">ROUNDUP(MAX(J727/IF(CD727&gt;0,CD727,MAX(0.1,N(Cockpit!$I$6))),CG727)/BV727,0)*BV727</f>
        <v>15</v>
      </c>
      <c r="AU727" s="51" t="n">
        <f aca="false">IF(AR727&gt;0,J727/AR727,-1)</f>
        <v>0.167741935483871</v>
      </c>
      <c r="AV727" s="51" t="n">
        <f aca="false">IF(AND(OR(CC727="L1",CC727="L23",CC727="LIFT"),AR727&gt;0),SUMIFS($AR$7:$AR$1843,$CC$7:$CC$1843,CC727,$AU$7:$AU$1843,"&gt;"&amp;AU727)+SUMIFS($AR$7:$AR$1843,$CC$7:$CC$1843,CC727,$AU$7:$AU$1843,AU727,$BT$7:$BT$1843,"&lt;="&amp;BT727),"")</f>
        <v>19296.5773809524</v>
      </c>
      <c r="AW727" s="58" t="n">
        <f aca="false">IF(AV727="",0,MAX(0,MIN(1,(IF(CC727="L1",Parameter!$H$5,IF(CC727="L23",Parameter!$H$6+Parameter!$H$7,Parameter!$H$5+Parameter!$H$6+Parameter!$H$7))-(AV727-AR727))/AR727)))</f>
        <v>1</v>
      </c>
      <c r="AX727" s="50" t="n">
        <f aca="false">IF(LEFT(Cockpit!$O$5,1)="A",H727,IF(CE727=1,CF727,IF(LEFT(Cockpit!$O$5,1)="B",BC727,MAX(BC727,H727))))</f>
        <v>15</v>
      </c>
      <c r="AY727" s="50" t="n">
        <f aca="false">IF(BW727=1,0,ROUNDUP(AX727/BV727,0))</f>
        <v>1</v>
      </c>
      <c r="AZ727" s="52" t="n">
        <f aca="false">IF(CL727&gt;0,CL727*MAX(1,AX727/X727),IF(BW727=1,IF(AX727&lt;=0,0,CA727*MAX(1,IF(H727&gt;0,AX727/H727,1))),IF(R727&gt;0,AY727/R727,0))/MAX(0.1,N(Parameter!$M$21)))</f>
        <v>0.0384615384615385</v>
      </c>
      <c r="BA727" s="50" t="n">
        <f aca="false">AZ727*BY727</f>
        <v>5.96153846153846</v>
      </c>
      <c r="BB727" s="50" t="n">
        <f aca="false">AX727*G727</f>
        <v>2115.45</v>
      </c>
      <c r="BC727" s="50" t="n">
        <f aca="false">ROUNDUP(MAX(J727/IF(CD727&gt;0,CD727,MAX(0.1,N(Cockpit!$O$6))),CG727)/BV727,0)*BV727</f>
        <v>15</v>
      </c>
      <c r="BD727" s="51" t="n">
        <f aca="false">IF(BA727&gt;0,J727/BA727,-1)</f>
        <v>0.167741935483871</v>
      </c>
      <c r="BE727" s="51" t="n">
        <f aca="false">IF(AND(OR(CC727="L1",CC727="L23",CC727="LIFT"),BA727&gt;0),SUMIFS($BA$7:$BA$1843,$CC$7:$CC$1843,CC727,$BD$7:$BD$1843,"&gt;"&amp;BD727)+SUMIFS($BA$7:$BA$1843,$CC$7:$CC$1843,CC727,$BD$7:$BD$1843,BD727,$BT$7:$BT$1843,"&lt;="&amp;BT727),"")</f>
        <v>17322.6510989011</v>
      </c>
      <c r="BF727" s="58" t="n">
        <f aca="false">IF(BE727="",0,MAX(0,MIN(1,(IF(CC727="L1",Parameter!$H$5,IF(CC727="L23",Parameter!$H$6+Parameter!$H$7,Parameter!$H$5+Parameter!$H$6+Parameter!$H$7))-(BE727-BA727))/BA727)))</f>
        <v>1</v>
      </c>
      <c r="BG727" s="48" t="str">
        <f aca="false">IF(AI727&lt;=0,"",IF(CC727="Aussen","Aussenlager",IF(CC727="-","Nicht im Lift",IF(AN727&gt;=1,"Lift",IF(AN727&lt;=0,"Aussenlager","teilweise")))))</f>
        <v>Lift</v>
      </c>
      <c r="BH727" s="48" t="str">
        <f aca="false">IF(AR727&lt;=0,"",IF(CC727="Aussen","Aussenlager",IF(CC727="-","Nicht im Lift",IF(AW727&gt;=1,"Lift",IF(AW727&lt;=0,"Aussenlager","teilweise")))))</f>
        <v>Lift</v>
      </c>
      <c r="BI727" s="48" t="str">
        <f aca="false">IF(BA727&lt;=0,"",IF(CC727="Aussen","Aussenlager",IF(CC727="-","Nicht im Lift",IF(BF727&gt;=1,"Lift",IF(BF727&lt;=0,"Aussenlager","teilweise")))))</f>
        <v>Lift</v>
      </c>
      <c r="BJ727" s="48" t="str">
        <f aca="false">IF(A727="","",IF(BS727=1,"Neu; ","")&amp;IF(AND(BS727=0,BN727&lt;0),"negativer Bestand (Export "&amp;BN727&amp;"); ","")&amp;IF(J727&lt;=0,"Kein Verbrauch; ","")&amp;IF(CL727&gt;0,"Lift "&amp;W727&amp;" lt. Liftbericht (Fach "&amp;X727&amp;" Stk); ",IF(BX727=1,"Gebinde geschätzt ("&amp;T727&amp;"); ",IF(BW727=1,"Lose – Tablare geschätzt; ","")))&amp;IF(H727&gt;AT727,"Überbestand "&amp;ROUND(H727-AT727,0)&amp;" Stk / CHF "&amp;ROUND((H727-AT727)*G727,0)&amp;"; ","")&amp;IF(AND(CE727=1,CF727&lt;CG727),"MAX &lt; MB+LG; ","")&amp;IF(AND(CK727&gt;0,CJ727*10&gt;CK727),"zu hoch für Tablar; ","")&amp;IF(AND(BS727=0,OR(CE727=1,AA727&lt;&gt;"",U727&lt;&gt;"",V727&lt;&gt;"",AB727&lt;&gt;"")),"manuell übersteuert; ","")&amp;IF(AND(BW727=0,R727=0),"Gebinde unbekannt / Stellmass fehlt; ","")&amp;IF(AND(BW727=0,N(V727)&lt;=0,N(Q727)&lt;=0),"Menge pro Gebinde fehlt (Ist = 1 Gebinde); ","")&amp;BR727)</f>
        <v/>
      </c>
      <c r="BK727" s="48"/>
      <c r="BL727" s="48"/>
      <c r="BM727" s="55"/>
      <c r="BN727" s="50" t="n">
        <v>0</v>
      </c>
      <c r="BO727" s="50" t="n">
        <v>12</v>
      </c>
      <c r="BP727" s="49" t="n">
        <v>0</v>
      </c>
      <c r="BQ727" s="50" t="n">
        <v>1</v>
      </c>
      <c r="BR727" s="48"/>
      <c r="BS727" s="53" t="n">
        <v>0</v>
      </c>
      <c r="BT727" s="53" t="n">
        <v>727</v>
      </c>
      <c r="BU727" s="48" t="str">
        <f aca="false">IF(U727&lt;&gt;"",UPPER(TRIM(U727)),IF(BX727=1,UPPER(VLOOKUP(T727,Parameter!$I$27:$K$29,2,0)),IF(P727="","LOSE",P727)))</f>
        <v>S51</v>
      </c>
      <c r="BV727" s="50" t="n">
        <f aca="false">IF(BU727="LOSE",1,IF(N(V727)&gt;0,V727,IF(BX727=1,MAX(1,N(VLOOKUP(T727,Parameter!$I$27:$K$29,3,0)),H727,N(N727)),IF(N(Q727)&gt;0,Q727,MAX(1,H727)))))</f>
        <v>15</v>
      </c>
      <c r="BW727" s="53" t="n">
        <f aca="false">IF(BU727="LOSE",1,0)</f>
        <v>0</v>
      </c>
      <c r="BX727" s="53" t="n">
        <f aca="false">IF(AND(U727="",OR(P727="",P727="LOSE"),T727&lt;&gt;"",N(S727)&lt;=0,ISNUMBER(MATCH(T727,Parameter!$I$27:$I$29,0))),1,0)</f>
        <v>0</v>
      </c>
      <c r="BY727" s="53" t="n">
        <f aca="false">IF(CL727&gt;0,INDEX(Parameter!$H$5:$H$7,W727)/INDEX(Parameter!$E$5:$E$7,W727),IF(AND(BW727=0,N(IFERROR(VLOOKUP(BU727,'Gebinde-Kategorie'!$A$5:$N$45,14,0),0))&gt;0),VLOOKUP(BU727,'Gebinde-Kategorie'!$A$5:$N$45,14,0)*10+Parameter!$M$23,Parameter!$M$24))</f>
        <v>155</v>
      </c>
      <c r="BZ727" s="48" t="str">
        <f aca="false">IF(AND(Parameter!$B$19="Ja",E727&lt;&gt;"",ISNUMBER(MATCH(E727,Parameter!$I$35:$I$52,0))),VLOOKUP(E727,Parameter!$I$35:$J$52,2,0),IFERROR(VLOOKUP(D727,Parameter!$A$35:$C$64,2,0),"Nein"))</f>
        <v>2+3</v>
      </c>
      <c r="CA727" s="52" t="n">
        <f aca="false">IF(BW727=0,0,IF(N(S727)&gt;0,S727,IFERROR(VLOOKUP(D727,Parameter!$A$35:$C$64,3,0)+0,0)))</f>
        <v>0</v>
      </c>
      <c r="CB727" s="48" t="n">
        <f aca="false">IF(AA727&lt;&gt;"",AA727,Z727)</f>
        <v>3</v>
      </c>
      <c r="CC727" s="48" t="str">
        <f aca="false">IF(OR(CB727=1,CB727=2,CB727=3),IF(Parameter!$E$27="Ja","LIFT",IF(CB727=1,"L1","L23")),IF(CB727="Aussen","Aussen","-"))</f>
        <v>LIFT</v>
      </c>
      <c r="CD727" s="59" t="n">
        <f aca="false">IF(N(AB727)&gt;0,AB727,0)</f>
        <v>0</v>
      </c>
      <c r="CE727" s="53" t="n">
        <f aca="false">IF(ISNUMBER(AE727),1,0)</f>
        <v>0</v>
      </c>
      <c r="CF727" s="50" t="n">
        <f aca="false">N(AE727)</f>
        <v>0</v>
      </c>
      <c r="CG727" s="50" t="n">
        <f aca="false">N(M727)+N(N727)</f>
        <v>1</v>
      </c>
      <c r="CH727" s="50" t="n">
        <f aca="false">ROUNDUP(H727/BV727,0)</f>
        <v>1</v>
      </c>
      <c r="CI727" s="50" t="n">
        <f aca="false">ROUNDUP(CF727/BV727,0)</f>
        <v>0</v>
      </c>
      <c r="CJ727" s="53" t="n">
        <f aca="false">IF(BW727=1,0,IFERROR(VLOOKUP(BU727,'Gebinde-Kategorie'!$A$5:$N$45,5,0)+0,0))</f>
        <v>11</v>
      </c>
      <c r="CK727" s="53" t="n">
        <f aca="false">IFERROR(IF(OR(CB727=1,CB727=2,CB727=3),N(INDEX(Parameter!$I$5:$I$7,CB727)),0),0)</f>
        <v>0</v>
      </c>
      <c r="CL727" s="52" t="n">
        <f aca="false">IF(AND(Parameter!$B$21="Ja",ISNUMBER(W727),N(X727)&gt;0),IFERROR(N(INDEX(Parameter!$L$5:$L$7,W727))*INDEX(Parameter!$E$5:$E$7,W727)*X727/SUMIFS($X$7:$X$1843,$W$7:$W$1843,W727),0),0)</f>
        <v>0</v>
      </c>
    </row>
    <row r="728" customFormat="false" ht="15" hidden="false" customHeight="false" outlineLevel="0" collapsed="false">
      <c r="A728" s="48" t="s">
        <v>1448</v>
      </c>
      <c r="B728" s="48" t="s">
        <v>1449</v>
      </c>
      <c r="C728" s="48" t="s">
        <v>168</v>
      </c>
      <c r="D728" s="48" t="s">
        <v>188</v>
      </c>
      <c r="E728" s="48"/>
      <c r="F728" s="48" t="s">
        <v>222</v>
      </c>
      <c r="G728" s="49" t="n">
        <v>0</v>
      </c>
      <c r="H728" s="50" t="n">
        <f aca="false">MAX(0,IF(AND(Parameter!$B$21="Ja",ISNUMBER(Y728)),Y728,IF(Parameter!$B$20="Jahresanfang 2025 + Export",BO728+BN728,BN728)))</f>
        <v>0</v>
      </c>
      <c r="I728" s="50" t="n">
        <f aca="false">H728*G728</f>
        <v>0</v>
      </c>
      <c r="J728" s="50" t="n">
        <f aca="false">BQ728*Parameter!$B$18</f>
        <v>0</v>
      </c>
      <c r="K728" s="51" t="n">
        <v>0.5</v>
      </c>
      <c r="L728" s="52" t="n">
        <v>0</v>
      </c>
      <c r="M728" s="50" t="n">
        <v>0</v>
      </c>
      <c r="N728" s="50" t="n">
        <v>1</v>
      </c>
      <c r="O728" s="53" t="n">
        <v>14</v>
      </c>
      <c r="P728" s="48" t="s">
        <v>172</v>
      </c>
      <c r="Q728" s="50"/>
      <c r="R728" s="53" t="n">
        <f aca="false">IF(BW728=1,0,IFERROR(VLOOKUP(BU728,'Gebinde-Kategorie'!$A$5:$N$45,13,0)+0,0))</f>
        <v>26</v>
      </c>
      <c r="S728" s="54"/>
      <c r="T728" s="55" t="s">
        <v>279</v>
      </c>
      <c r="U728" s="55"/>
      <c r="V728" s="55"/>
      <c r="W728" s="48"/>
      <c r="X728" s="50"/>
      <c r="Y728" s="50"/>
      <c r="Z728" s="48" t="n">
        <f aca="false">IF(A728="","",IF(AND(Parameter!$B$21="Ja",ISNUMBER(W728)),W728,IF(BZ728="2+3",IF(ISNUMBER(SEARCH("grosser Artikel",BR728)),2,IFERROR(VLOOKUP(BU728,Parameter!$F$35:$G$64,2,0),2)),IF(OR(BZ728="Nein",BZ728=""),"-",BZ728))))</f>
        <v>3</v>
      </c>
      <c r="AA728" s="55"/>
      <c r="AB728" s="56"/>
      <c r="AC728" s="50" t="n">
        <f aca="false">AT728</f>
        <v>20</v>
      </c>
      <c r="AD728" s="50" t="n">
        <f aca="false">MAX(AT728,H728)</f>
        <v>20</v>
      </c>
      <c r="AE728" s="57"/>
      <c r="AF728" s="50" t="n">
        <f aca="false">IF(LEFT(Cockpit!$C$5,1)="A",H728,IF(CE728=1,CF728,IF(LEFT(Cockpit!$C$5,1)="B",AK728,MAX(AK728,H728))))</f>
        <v>0</v>
      </c>
      <c r="AG728" s="50" t="n">
        <f aca="false">IF(BW728=1,0,ROUNDUP(AF728/BV728,0))</f>
        <v>0</v>
      </c>
      <c r="AH728" s="52" t="n">
        <f aca="false">IF(CL728&gt;0,CL728*MAX(1,AF728/X728),IF(BW728=1,IF(AF728&lt;=0,0,CA728*MAX(1,IF(H728&gt;0,AF728/H728,1))),IF(R728&gt;0,AG728/R728,0))/MAX(0.1,N(Parameter!$M$21)))</f>
        <v>0</v>
      </c>
      <c r="AI728" s="50" t="n">
        <f aca="false">AH728*BY728</f>
        <v>0</v>
      </c>
      <c r="AJ728" s="50" t="n">
        <f aca="false">AF728*G728</f>
        <v>0</v>
      </c>
      <c r="AK728" s="50" t="n">
        <f aca="false">ROUNDUP(MAX(J728/IF(CD728&gt;0,CD728,MAX(0.1,N(Cockpit!$C$6))),CG728)/BV728,0)*BV728</f>
        <v>20</v>
      </c>
      <c r="AL728" s="51" t="n">
        <f aca="false">IF(AI728&gt;0,J728/AI728,-1)</f>
        <v>-1</v>
      </c>
      <c r="AM728" s="51" t="str">
        <f aca="false">IF(AND(OR(CC728="L1",CC728="L23",CC728="LIFT"),AI728&gt;0),SUMIFS($AI$7:$AI$1843,$CC$7:$CC$1843,CC728,$AL$7:$AL$1843,"&gt;"&amp;AL728)+SUMIFS($AI$7:$AI$1843,$CC$7:$CC$1843,CC728,$AL$7:$AL$1843,AL728,$BT$7:$BT$1843,"&lt;="&amp;BT728),"")</f>
        <v/>
      </c>
      <c r="AN728" s="58" t="n">
        <f aca="false">IF(AM728="",0,MAX(0,MIN(1,(IF(CC728="L1",Parameter!$H$5,IF(CC728="L23",Parameter!$H$6+Parameter!$H$7,Parameter!$H$5+Parameter!$H$6+Parameter!$H$7))-(AM728-AI728))/AI728)))</f>
        <v>0</v>
      </c>
      <c r="AO728" s="50" t="n">
        <f aca="false">IF(LEFT(Cockpit!$I$5,1)="A",H728,IF(CE728=1,CF728,IF(LEFT(Cockpit!$I$5,1)="B",AT728,MAX(AT728,H728))))</f>
        <v>20</v>
      </c>
      <c r="AP728" s="50" t="n">
        <f aca="false">IF(BW728=1,0,ROUNDUP(AO728/BV728,0))</f>
        <v>1</v>
      </c>
      <c r="AQ728" s="52" t="n">
        <f aca="false">IF(CL728&gt;0,CL728*MAX(1,AO728/X728),IF(BW728=1,IF(AO728&lt;=0,0,CA728*MAX(1,IF(H728&gt;0,AO728/H728,1))),IF(R728&gt;0,AP728/R728,0))/MAX(0.1,N(Parameter!$M$21)))</f>
        <v>0.0384615384615385</v>
      </c>
      <c r="AR728" s="50" t="n">
        <f aca="false">AQ728*BY728</f>
        <v>5.96153846153846</v>
      </c>
      <c r="AS728" s="50" t="n">
        <f aca="false">AO728*G728</f>
        <v>0</v>
      </c>
      <c r="AT728" s="50" t="n">
        <f aca="false">ROUNDUP(MAX(J728/IF(CD728&gt;0,CD728,MAX(0.1,N(Cockpit!$I$6))),CG728)/BV728,0)*BV728</f>
        <v>20</v>
      </c>
      <c r="AU728" s="51" t="n">
        <f aca="false">IF(AR728&gt;0,J728/AR728,-1)</f>
        <v>0</v>
      </c>
      <c r="AV728" s="51" t="n">
        <f aca="false">IF(AND(OR(CC728="L1",CC728="L23",CC728="LIFT"),AR728&gt;0),SUMIFS($AR$7:$AR$1843,$CC$7:$CC$1843,CC728,$AU$7:$AU$1843,"&gt;"&amp;AU728)+SUMIFS($AR$7:$AR$1843,$CC$7:$CC$1843,CC728,$AU$7:$AU$1843,AU728,$BT$7:$BT$1843,"&lt;="&amp;BT728),"")</f>
        <v>40153.0366377972</v>
      </c>
      <c r="AW728" s="58" t="n">
        <f aca="false">IF(AV728="",0,MAX(0,MIN(1,(IF(CC728="L1",Parameter!$H$5,IF(CC728="L23",Parameter!$H$6+Parameter!$H$7,Parameter!$H$5+Parameter!$H$6+Parameter!$H$7))-(AV728-AR728))/AR728)))</f>
        <v>0</v>
      </c>
      <c r="AX728" s="50" t="n">
        <f aca="false">IF(LEFT(Cockpit!$O$5,1)="A",H728,IF(CE728=1,CF728,IF(LEFT(Cockpit!$O$5,1)="B",BC728,MAX(BC728,H728))))</f>
        <v>20</v>
      </c>
      <c r="AY728" s="50" t="n">
        <f aca="false">IF(BW728=1,0,ROUNDUP(AX728/BV728,0))</f>
        <v>1</v>
      </c>
      <c r="AZ728" s="52" t="n">
        <f aca="false">IF(CL728&gt;0,CL728*MAX(1,AX728/X728),IF(BW728=1,IF(AX728&lt;=0,0,CA728*MAX(1,IF(H728&gt;0,AX728/H728,1))),IF(R728&gt;0,AY728/R728,0))/MAX(0.1,N(Parameter!$M$21)))</f>
        <v>0.0384615384615385</v>
      </c>
      <c r="BA728" s="50" t="n">
        <f aca="false">AZ728*BY728</f>
        <v>5.96153846153846</v>
      </c>
      <c r="BB728" s="50" t="n">
        <f aca="false">AX728*G728</f>
        <v>0</v>
      </c>
      <c r="BC728" s="50" t="n">
        <f aca="false">ROUNDUP(MAX(J728/IF(CD728&gt;0,CD728,MAX(0.1,N(Cockpit!$O$6))),CG728)/BV728,0)*BV728</f>
        <v>20</v>
      </c>
      <c r="BD728" s="51" t="n">
        <f aca="false">IF(BA728&gt;0,J728/BA728,-1)</f>
        <v>0</v>
      </c>
      <c r="BE728" s="51" t="n">
        <f aca="false">IF(AND(OR(CC728="L1",CC728="L23",CC728="LIFT"),BA728&gt;0),SUMIFS($BA$7:$BA$1843,$CC$7:$CC$1843,CC728,$BD$7:$BD$1843,"&gt;"&amp;BD728)+SUMIFS($BA$7:$BA$1843,$CC$7:$CC$1843,CC728,$BD$7:$BD$1843,BD728,$BT$7:$BT$1843,"&lt;="&amp;BT728),"")</f>
        <v>36828.0486796631</v>
      </c>
      <c r="BF728" s="58" t="n">
        <f aca="false">IF(BE728="",0,MAX(0,MIN(1,(IF(CC728="L1",Parameter!$H$5,IF(CC728="L23",Parameter!$H$6+Parameter!$H$7,Parameter!$H$5+Parameter!$H$6+Parameter!$H$7))-(BE728-BA728))/BA728)))</f>
        <v>0</v>
      </c>
      <c r="BG728" s="48" t="str">
        <f aca="false">IF(AI728&lt;=0,"",IF(CC728="Aussen","Aussenlager",IF(CC728="-","Nicht im Lift",IF(AN728&gt;=1,"Lift",IF(AN728&lt;=0,"Aussenlager","teilweise")))))</f>
        <v/>
      </c>
      <c r="BH728" s="48" t="str">
        <f aca="false">IF(AR728&lt;=0,"",IF(CC728="Aussen","Aussenlager",IF(CC728="-","Nicht im Lift",IF(AW728&gt;=1,"Lift",IF(AW728&lt;=0,"Aussenlager","teilweise")))))</f>
        <v>Aussenlager</v>
      </c>
      <c r="BI728" s="48" t="str">
        <f aca="false">IF(BA728&lt;=0,"",IF(CC728="Aussen","Aussenlager",IF(CC728="-","Nicht im Lift",IF(BF728&gt;=1,"Lift",IF(BF728&lt;=0,"Aussenlager","teilweise")))))</f>
        <v>Aussenlager</v>
      </c>
      <c r="BJ728" s="48" t="str">
        <f aca="false">IF(A728="","",IF(BS728=1,"Neu; ","")&amp;IF(AND(BS728=0,BN728&lt;0),"negativer Bestand (Export "&amp;BN728&amp;"); ","")&amp;IF(J728&lt;=0,"Kein Verbrauch; ","")&amp;IF(CL728&gt;0,"Lift "&amp;W728&amp;" lt. Liftbericht (Fach "&amp;X728&amp;" Stk); ",IF(BX728=1,"Gebinde geschätzt ("&amp;T728&amp;"); ",IF(BW728=1,"Lose – Tablare geschätzt; ","")))&amp;IF(H728&gt;AT728,"Überbestand "&amp;ROUND(H728-AT728,0)&amp;" Stk / CHF "&amp;ROUND((H728-AT728)*G728,0)&amp;"; ","")&amp;IF(AND(CE728=1,CF728&lt;CG728),"MAX &lt; MB+LG; ","")&amp;IF(AND(CK728&gt;0,CJ728*10&gt;CK728),"zu hoch für Tablar; ","")&amp;IF(AND(BS728=0,OR(CE728=1,AA728&lt;&gt;"",U728&lt;&gt;"",V728&lt;&gt;"",AB728&lt;&gt;"")),"manuell übersteuert; ","")&amp;IF(AND(BW728=0,R728=0),"Gebinde unbekannt / Stellmass fehlt; ","")&amp;IF(AND(BW728=0,N(V728)&lt;=0,N(Q728)&lt;=0),"Menge pro Gebinde fehlt (Ist = 1 Gebinde); ","")&amp;BR728)</f>
        <v>negativer Bestand (Export -1); Kein Verbrauch; Gebinde geschätzt (Klein); Menge pro Gebinde fehlt (Ist = 1 Gebinde); </v>
      </c>
      <c r="BK728" s="48"/>
      <c r="BL728" s="48"/>
      <c r="BM728" s="55"/>
      <c r="BN728" s="50" t="n">
        <v>-1</v>
      </c>
      <c r="BO728" s="50" t="n">
        <v>1</v>
      </c>
      <c r="BP728" s="49" t="n">
        <v>0</v>
      </c>
      <c r="BQ728" s="50" t="n">
        <v>0</v>
      </c>
      <c r="BR728" s="48"/>
      <c r="BS728" s="53" t="n">
        <v>0</v>
      </c>
      <c r="BT728" s="53" t="n">
        <v>728</v>
      </c>
      <c r="BU728" s="48" t="str">
        <f aca="false">IF(U728&lt;&gt;"",UPPER(TRIM(U728)),IF(BX728=1,UPPER(VLOOKUP(T728,Parameter!$I$27:$K$29,2,0)),IF(P728="","LOSE",P728)))</f>
        <v>S51</v>
      </c>
      <c r="BV728" s="50" t="n">
        <f aca="false">IF(BU728="LOSE",1,IF(N(V728)&gt;0,V728,IF(BX728=1,MAX(1,N(VLOOKUP(T728,Parameter!$I$27:$K$29,3,0)),H728,N(N728)),IF(N(Q728)&gt;0,Q728,MAX(1,H728)))))</f>
        <v>20</v>
      </c>
      <c r="BW728" s="53" t="n">
        <f aca="false">IF(BU728="LOSE",1,0)</f>
        <v>0</v>
      </c>
      <c r="BX728" s="53" t="n">
        <f aca="false">IF(AND(U728="",OR(P728="",P728="LOSE"),T728&lt;&gt;"",N(S728)&lt;=0,ISNUMBER(MATCH(T728,Parameter!$I$27:$I$29,0))),1,0)</f>
        <v>1</v>
      </c>
      <c r="BY728" s="53" t="n">
        <f aca="false">IF(CL728&gt;0,INDEX(Parameter!$H$5:$H$7,W728)/INDEX(Parameter!$E$5:$E$7,W728),IF(AND(BW728=0,N(IFERROR(VLOOKUP(BU728,'Gebinde-Kategorie'!$A$5:$N$45,14,0),0))&gt;0),VLOOKUP(BU728,'Gebinde-Kategorie'!$A$5:$N$45,14,0)*10+Parameter!$M$23,Parameter!$M$24))</f>
        <v>155</v>
      </c>
      <c r="BZ728" s="48" t="str">
        <f aca="false">IF(AND(Parameter!$B$19="Ja",E728&lt;&gt;"",ISNUMBER(MATCH(E728,Parameter!$I$35:$I$52,0))),VLOOKUP(E728,Parameter!$I$35:$J$52,2,0),IFERROR(VLOOKUP(D728,Parameter!$A$35:$C$64,2,0),"Nein"))</f>
        <v>2+3</v>
      </c>
      <c r="CA728" s="52" t="n">
        <f aca="false">IF(BW728=0,0,IF(N(S728)&gt;0,S728,IFERROR(VLOOKUP(D728,Parameter!$A$35:$C$64,3,0)+0,0)))</f>
        <v>0</v>
      </c>
      <c r="CB728" s="48" t="n">
        <f aca="false">IF(AA728&lt;&gt;"",AA728,Z728)</f>
        <v>3</v>
      </c>
      <c r="CC728" s="48" t="str">
        <f aca="false">IF(OR(CB728=1,CB728=2,CB728=3),IF(Parameter!$E$27="Ja","LIFT",IF(CB728=1,"L1","L23")),IF(CB728="Aussen","Aussen","-"))</f>
        <v>LIFT</v>
      </c>
      <c r="CD728" s="59" t="n">
        <f aca="false">IF(N(AB728)&gt;0,AB728,0)</f>
        <v>0</v>
      </c>
      <c r="CE728" s="53" t="n">
        <f aca="false">IF(ISNUMBER(AE728),1,0)</f>
        <v>0</v>
      </c>
      <c r="CF728" s="50" t="n">
        <f aca="false">N(AE728)</f>
        <v>0</v>
      </c>
      <c r="CG728" s="50" t="n">
        <f aca="false">N(M728)+N(N728)</f>
        <v>1</v>
      </c>
      <c r="CH728" s="50" t="n">
        <f aca="false">ROUNDUP(H728/BV728,0)</f>
        <v>0</v>
      </c>
      <c r="CI728" s="50" t="n">
        <f aca="false">ROUNDUP(CF728/BV728,0)</f>
        <v>0</v>
      </c>
      <c r="CJ728" s="53" t="n">
        <f aca="false">IF(BW728=1,0,IFERROR(VLOOKUP(BU728,'Gebinde-Kategorie'!$A$5:$N$45,5,0)+0,0))</f>
        <v>11</v>
      </c>
      <c r="CK728" s="53" t="n">
        <f aca="false">IFERROR(IF(OR(CB728=1,CB728=2,CB728=3),N(INDEX(Parameter!$I$5:$I$7,CB728)),0),0)</f>
        <v>0</v>
      </c>
      <c r="CL728" s="52" t="n">
        <f aca="false">IF(AND(Parameter!$B$21="Ja",ISNUMBER(W728),N(X728)&gt;0),IFERROR(N(INDEX(Parameter!$L$5:$L$7,W728))*INDEX(Parameter!$E$5:$E$7,W728)*X728/SUMIFS($X$7:$X$1843,$W$7:$W$1843,W728),0),0)</f>
        <v>0</v>
      </c>
    </row>
    <row r="729" customFormat="false" ht="15" hidden="false" customHeight="false" outlineLevel="0" collapsed="false">
      <c r="A729" s="48" t="s">
        <v>1450</v>
      </c>
      <c r="B729" s="48" t="s">
        <v>1058</v>
      </c>
      <c r="C729" s="48" t="s">
        <v>168</v>
      </c>
      <c r="D729" s="48" t="s">
        <v>854</v>
      </c>
      <c r="E729" s="48" t="s">
        <v>189</v>
      </c>
      <c r="F729" s="48" t="s">
        <v>222</v>
      </c>
      <c r="G729" s="49" t="n">
        <v>4.4</v>
      </c>
      <c r="H729" s="50" t="n">
        <f aca="false">MAX(0,IF(AND(Parameter!$B$21="Ja",ISNUMBER(Y729)),Y729,IF(Parameter!$B$20="Jahresanfang 2025 + Export",BO729+BN729,BN729)))</f>
        <v>0</v>
      </c>
      <c r="I729" s="50" t="n">
        <f aca="false">H729*G729</f>
        <v>0</v>
      </c>
      <c r="J729" s="50" t="n">
        <f aca="false">BQ729*Parameter!$B$18</f>
        <v>24</v>
      </c>
      <c r="K729" s="51" t="n">
        <v>0</v>
      </c>
      <c r="L729" s="52" t="n">
        <v>0</v>
      </c>
      <c r="M729" s="50" t="n">
        <v>0</v>
      </c>
      <c r="N729" s="50" t="n">
        <v>12</v>
      </c>
      <c r="O729" s="53" t="n">
        <v>14</v>
      </c>
      <c r="P729" s="48" t="s">
        <v>306</v>
      </c>
      <c r="Q729" s="50" t="n">
        <v>24</v>
      </c>
      <c r="R729" s="53" t="n">
        <f aca="false">IF(BW729=1,0,IFERROR(VLOOKUP(BU729,'Gebinde-Kategorie'!$A$5:$N$45,13,0)+0,0))</f>
        <v>26</v>
      </c>
      <c r="S729" s="54"/>
      <c r="T729" s="55"/>
      <c r="U729" s="55"/>
      <c r="V729" s="55"/>
      <c r="W729" s="48"/>
      <c r="X729" s="50"/>
      <c r="Y729" s="50"/>
      <c r="Z729" s="48" t="n">
        <f aca="false">IF(A729="","",IF(AND(Parameter!$B$21="Ja",ISNUMBER(W729)),W729,IF(BZ729="2+3",IF(ISNUMBER(SEARCH("grosser Artikel",BR729)),2,IFERROR(VLOOKUP(BU729,Parameter!$F$35:$G$64,2,0),2)),IF(OR(BZ729="Nein",BZ729=""),"-",BZ729))))</f>
        <v>3</v>
      </c>
      <c r="AA729" s="55"/>
      <c r="AB729" s="56"/>
      <c r="AC729" s="50" t="n">
        <f aca="false">AT729</f>
        <v>24</v>
      </c>
      <c r="AD729" s="50" t="n">
        <f aca="false">MAX(AT729,H729)</f>
        <v>24</v>
      </c>
      <c r="AE729" s="57"/>
      <c r="AF729" s="50" t="n">
        <f aca="false">IF(LEFT(Cockpit!$C$5,1)="A",H729,IF(CE729=1,CF729,IF(LEFT(Cockpit!$C$5,1)="B",AK729,MAX(AK729,H729))))</f>
        <v>0</v>
      </c>
      <c r="AG729" s="50" t="n">
        <f aca="false">IF(BW729=1,0,ROUNDUP(AF729/BV729,0))</f>
        <v>0</v>
      </c>
      <c r="AH729" s="52" t="n">
        <f aca="false">IF(CL729&gt;0,CL729*MAX(1,AF729/X729),IF(BW729=1,IF(AF729&lt;=0,0,CA729*MAX(1,IF(H729&gt;0,AF729/H729,1))),IF(R729&gt;0,AG729/R729,0))/MAX(0.1,N(Parameter!$M$21)))</f>
        <v>0</v>
      </c>
      <c r="AI729" s="50" t="n">
        <f aca="false">AH729*BY729</f>
        <v>0</v>
      </c>
      <c r="AJ729" s="50" t="n">
        <f aca="false">AF729*G729</f>
        <v>0</v>
      </c>
      <c r="AK729" s="50" t="n">
        <f aca="false">ROUNDUP(MAX(J729/IF(CD729&gt;0,CD729,MAX(0.1,N(Cockpit!$C$6))),CG729)/BV729,0)*BV729</f>
        <v>24</v>
      </c>
      <c r="AL729" s="51" t="n">
        <f aca="false">IF(AI729&gt;0,J729/AI729,-1)</f>
        <v>-1</v>
      </c>
      <c r="AM729" s="51" t="str">
        <f aca="false">IF(AND(OR(CC729="L1",CC729="L23",CC729="LIFT"),AI729&gt;0),SUMIFS($AI$7:$AI$1843,$CC$7:$CC$1843,CC729,$AL$7:$AL$1843,"&gt;"&amp;AL729)+SUMIFS($AI$7:$AI$1843,$CC$7:$CC$1843,CC729,$AL$7:$AL$1843,AL729,$BT$7:$BT$1843,"&lt;="&amp;BT729),"")</f>
        <v/>
      </c>
      <c r="AN729" s="58" t="n">
        <f aca="false">IF(AM729="",0,MAX(0,MIN(1,(IF(CC729="L1",Parameter!$H$5,IF(CC729="L23",Parameter!$H$6+Parameter!$H$7,Parameter!$H$5+Parameter!$H$6+Parameter!$H$7))-(AM729-AI729))/AI729)))</f>
        <v>0</v>
      </c>
      <c r="AO729" s="50" t="n">
        <f aca="false">IF(LEFT(Cockpit!$I$5,1)="A",H729,IF(CE729=1,CF729,IF(LEFT(Cockpit!$I$5,1)="B",AT729,MAX(AT729,H729))))</f>
        <v>24</v>
      </c>
      <c r="AP729" s="50" t="n">
        <f aca="false">IF(BW729=1,0,ROUNDUP(AO729/BV729,0))</f>
        <v>1</v>
      </c>
      <c r="AQ729" s="52" t="n">
        <f aca="false">IF(CL729&gt;0,CL729*MAX(1,AO729/X729),IF(BW729=1,IF(AO729&lt;=0,0,CA729*MAX(1,IF(H729&gt;0,AO729/H729,1))),IF(R729&gt;0,AP729/R729,0))/MAX(0.1,N(Parameter!$M$21)))</f>
        <v>0.0384615384615385</v>
      </c>
      <c r="AR729" s="50" t="n">
        <f aca="false">AQ729*BY729</f>
        <v>5.96153846153846</v>
      </c>
      <c r="AS729" s="50" t="n">
        <f aca="false">AO729*G729</f>
        <v>105.6</v>
      </c>
      <c r="AT729" s="50" t="n">
        <f aca="false">ROUNDUP(MAX(J729/IF(CD729&gt;0,CD729,MAX(0.1,N(Cockpit!$I$6))),CG729)/BV729,0)*BV729</f>
        <v>24</v>
      </c>
      <c r="AU729" s="51" t="n">
        <f aca="false">IF(AR729&gt;0,J729/AR729,-1)</f>
        <v>4.0258064516129</v>
      </c>
      <c r="AV729" s="51" t="n">
        <f aca="false">IF(AND(OR(CC729="L1",CC729="L23",CC729="LIFT"),AR729&gt;0),SUMIFS($AR$7:$AR$1843,$CC$7:$CC$1843,CC729,$AU$7:$AU$1843,"&gt;"&amp;AU729)+SUMIFS($AR$7:$AR$1843,$CC$7:$CC$1843,CC729,$AU$7:$AU$1843,AU729,$BT$7:$BT$1843,"&lt;="&amp;BT729),"")</f>
        <v>5586.32600732601</v>
      </c>
      <c r="AW729" s="58" t="n">
        <f aca="false">IF(AV729="",0,MAX(0,MIN(1,(IF(CC729="L1",Parameter!$H$5,IF(CC729="L23",Parameter!$H$6+Parameter!$H$7,Parameter!$H$5+Parameter!$H$6+Parameter!$H$7))-(AV729-AR729))/AR729)))</f>
        <v>1</v>
      </c>
      <c r="AX729" s="50" t="n">
        <f aca="false">IF(LEFT(Cockpit!$O$5,1)="A",H729,IF(CE729=1,CF729,IF(LEFT(Cockpit!$O$5,1)="B",BC729,MAX(BC729,H729))))</f>
        <v>24</v>
      </c>
      <c r="AY729" s="50" t="n">
        <f aca="false">IF(BW729=1,0,ROUNDUP(AX729/BV729,0))</f>
        <v>1</v>
      </c>
      <c r="AZ729" s="52" t="n">
        <f aca="false">IF(CL729&gt;0,CL729*MAX(1,AX729/X729),IF(BW729=1,IF(AX729&lt;=0,0,CA729*MAX(1,IF(H729&gt;0,AX729/H729,1))),IF(R729&gt;0,AY729/R729,0))/MAX(0.1,N(Parameter!$M$21)))</f>
        <v>0.0384615384615385</v>
      </c>
      <c r="BA729" s="50" t="n">
        <f aca="false">AZ729*BY729</f>
        <v>5.96153846153846</v>
      </c>
      <c r="BB729" s="50" t="n">
        <f aca="false">AX729*G729</f>
        <v>105.6</v>
      </c>
      <c r="BC729" s="50" t="n">
        <f aca="false">ROUNDUP(MAX(J729/IF(CD729&gt;0,CD729,MAX(0.1,N(Cockpit!$O$6))),CG729)/BV729,0)*BV729</f>
        <v>24</v>
      </c>
      <c r="BD729" s="51" t="n">
        <f aca="false">IF(BA729&gt;0,J729/BA729,-1)</f>
        <v>4.0258064516129</v>
      </c>
      <c r="BE729" s="51" t="n">
        <f aca="false">IF(AND(OR(CC729="L1",CC729="L23",CC729="LIFT"),BA729&gt;0),SUMIFS($BA$7:$BA$1843,$CC$7:$CC$1843,CC729,$BD$7:$BD$1843,"&gt;"&amp;BD729)+SUMIFS($BA$7:$BA$1843,$CC$7:$CC$1843,CC729,$BD$7:$BD$1843,BD729,$BT$7:$BT$1843,"&lt;="&amp;BT729),"")</f>
        <v>5274.1945970696</v>
      </c>
      <c r="BF729" s="58" t="n">
        <f aca="false">IF(BE729="",0,MAX(0,MIN(1,(IF(CC729="L1",Parameter!$H$5,IF(CC729="L23",Parameter!$H$6+Parameter!$H$7,Parameter!$H$5+Parameter!$H$6+Parameter!$H$7))-(BE729-BA729))/BA729)))</f>
        <v>1</v>
      </c>
      <c r="BG729" s="48" t="str">
        <f aca="false">IF(AI729&lt;=0,"",IF(CC729="Aussen","Aussenlager",IF(CC729="-","Nicht im Lift",IF(AN729&gt;=1,"Lift",IF(AN729&lt;=0,"Aussenlager","teilweise")))))</f>
        <v/>
      </c>
      <c r="BH729" s="48" t="str">
        <f aca="false">IF(AR729&lt;=0,"",IF(CC729="Aussen","Aussenlager",IF(CC729="-","Nicht im Lift",IF(AW729&gt;=1,"Lift",IF(AW729&lt;=0,"Aussenlager","teilweise")))))</f>
        <v>Lift</v>
      </c>
      <c r="BI729" s="48" t="str">
        <f aca="false">IF(BA729&lt;=0,"",IF(CC729="Aussen","Aussenlager",IF(CC729="-","Nicht im Lift",IF(BF729&gt;=1,"Lift",IF(BF729&lt;=0,"Aussenlager","teilweise")))))</f>
        <v>Lift</v>
      </c>
      <c r="BJ729" s="48" t="str">
        <f aca="false">IF(A729="","",IF(BS729=1,"Neu; ","")&amp;IF(AND(BS729=0,BN729&lt;0),"negativer Bestand (Export "&amp;BN729&amp;"); ","")&amp;IF(J729&lt;=0,"Kein Verbrauch; ","")&amp;IF(CL729&gt;0,"Lift "&amp;W729&amp;" lt. Liftbericht (Fach "&amp;X729&amp;" Stk); ",IF(BX729=1,"Gebinde geschätzt ("&amp;T729&amp;"); ",IF(BW729=1,"Lose – Tablare geschätzt; ","")))&amp;IF(H729&gt;AT729,"Überbestand "&amp;ROUND(H729-AT729,0)&amp;" Stk / CHF "&amp;ROUND((H729-AT729)*G729,0)&amp;"; ","")&amp;IF(AND(CE729=1,CF729&lt;CG729),"MAX &lt; MB+LG; ","")&amp;IF(AND(CK729&gt;0,CJ729*10&gt;CK729),"zu hoch für Tablar; ","")&amp;IF(AND(BS729=0,OR(CE729=1,AA729&lt;&gt;"",U729&lt;&gt;"",V729&lt;&gt;"",AB729&lt;&gt;"")),"manuell übersteuert; ","")&amp;IF(AND(BW729=0,R729=0),"Gebinde unbekannt / Stellmass fehlt; ","")&amp;IF(AND(BW729=0,N(V729)&lt;=0,N(Q729)&lt;=0),"Menge pro Gebinde fehlt (Ist = 1 Gebinde); ","")&amp;BR729)</f>
        <v/>
      </c>
      <c r="BK729" s="48"/>
      <c r="BL729" s="48"/>
      <c r="BM729" s="55"/>
      <c r="BN729" s="50" t="n">
        <v>0</v>
      </c>
      <c r="BO729" s="50" t="n">
        <v>0</v>
      </c>
      <c r="BP729" s="49" t="n">
        <v>0</v>
      </c>
      <c r="BQ729" s="50" t="n">
        <v>24</v>
      </c>
      <c r="BR729" s="48"/>
      <c r="BS729" s="53" t="n">
        <v>0</v>
      </c>
      <c r="BT729" s="53" t="n">
        <v>729</v>
      </c>
      <c r="BU729" s="48" t="str">
        <f aca="false">IF(U729&lt;&gt;"",UPPER(TRIM(U729)),IF(BX729=1,UPPER(VLOOKUP(T729,Parameter!$I$27:$K$29,2,0)),IF(P729="","LOSE",P729)))</f>
        <v>S51</v>
      </c>
      <c r="BV729" s="50" t="n">
        <f aca="false">IF(BU729="LOSE",1,IF(N(V729)&gt;0,V729,IF(BX729=1,MAX(1,N(VLOOKUP(T729,Parameter!$I$27:$K$29,3,0)),H729,N(N729)),IF(N(Q729)&gt;0,Q729,MAX(1,H729)))))</f>
        <v>24</v>
      </c>
      <c r="BW729" s="53" t="n">
        <f aca="false">IF(BU729="LOSE",1,0)</f>
        <v>0</v>
      </c>
      <c r="BX729" s="53" t="n">
        <f aca="false">IF(AND(U729="",OR(P729="",P729="LOSE"),T729&lt;&gt;"",N(S729)&lt;=0,ISNUMBER(MATCH(T729,Parameter!$I$27:$I$29,0))),1,0)</f>
        <v>0</v>
      </c>
      <c r="BY729" s="53" t="n">
        <f aca="false">IF(CL729&gt;0,INDEX(Parameter!$H$5:$H$7,W729)/INDEX(Parameter!$E$5:$E$7,W729),IF(AND(BW729=0,N(IFERROR(VLOOKUP(BU729,'Gebinde-Kategorie'!$A$5:$N$45,14,0),0))&gt;0),VLOOKUP(BU729,'Gebinde-Kategorie'!$A$5:$N$45,14,0)*10+Parameter!$M$23,Parameter!$M$24))</f>
        <v>155</v>
      </c>
      <c r="BZ729" s="48" t="str">
        <f aca="false">IF(AND(Parameter!$B$19="Ja",E729&lt;&gt;"",ISNUMBER(MATCH(E729,Parameter!$I$35:$I$52,0))),VLOOKUP(E729,Parameter!$I$35:$J$52,2,0),IFERROR(VLOOKUP(D729,Parameter!$A$35:$C$64,2,0),"Nein"))</f>
        <v>2+3</v>
      </c>
      <c r="CA729" s="52" t="n">
        <f aca="false">IF(BW729=0,0,IF(N(S729)&gt;0,S729,IFERROR(VLOOKUP(D729,Parameter!$A$35:$C$64,3,0)+0,0)))</f>
        <v>0</v>
      </c>
      <c r="CB729" s="48" t="n">
        <f aca="false">IF(AA729&lt;&gt;"",AA729,Z729)</f>
        <v>3</v>
      </c>
      <c r="CC729" s="48" t="str">
        <f aca="false">IF(OR(CB729=1,CB729=2,CB729=3),IF(Parameter!$E$27="Ja","LIFT",IF(CB729=1,"L1","L23")),IF(CB729="Aussen","Aussen","-"))</f>
        <v>LIFT</v>
      </c>
      <c r="CD729" s="59" t="n">
        <f aca="false">IF(N(AB729)&gt;0,AB729,0)</f>
        <v>0</v>
      </c>
      <c r="CE729" s="53" t="n">
        <f aca="false">IF(ISNUMBER(AE729),1,0)</f>
        <v>0</v>
      </c>
      <c r="CF729" s="50" t="n">
        <f aca="false">N(AE729)</f>
        <v>0</v>
      </c>
      <c r="CG729" s="50" t="n">
        <f aca="false">N(M729)+N(N729)</f>
        <v>12</v>
      </c>
      <c r="CH729" s="50" t="n">
        <f aca="false">ROUNDUP(H729/BV729,0)</f>
        <v>0</v>
      </c>
      <c r="CI729" s="50" t="n">
        <f aca="false">ROUNDUP(CF729/BV729,0)</f>
        <v>0</v>
      </c>
      <c r="CJ729" s="53" t="n">
        <f aca="false">IF(BW729=1,0,IFERROR(VLOOKUP(BU729,'Gebinde-Kategorie'!$A$5:$N$45,5,0)+0,0))</f>
        <v>11</v>
      </c>
      <c r="CK729" s="53" t="n">
        <f aca="false">IFERROR(IF(OR(CB729=1,CB729=2,CB729=3),N(INDEX(Parameter!$I$5:$I$7,CB729)),0),0)</f>
        <v>0</v>
      </c>
      <c r="CL729" s="52" t="n">
        <f aca="false">IF(AND(Parameter!$B$21="Ja",ISNUMBER(W729),N(X729)&gt;0),IFERROR(N(INDEX(Parameter!$L$5:$L$7,W729))*INDEX(Parameter!$E$5:$E$7,W729)*X729/SUMIFS($X$7:$X$1843,$W$7:$W$1843,W729),0),0)</f>
        <v>0</v>
      </c>
    </row>
    <row r="730" customFormat="false" ht="15" hidden="false" customHeight="false" outlineLevel="0" collapsed="false">
      <c r="A730" s="48" t="s">
        <v>1451</v>
      </c>
      <c r="B730" s="48" t="s">
        <v>1452</v>
      </c>
      <c r="C730" s="48" t="s">
        <v>168</v>
      </c>
      <c r="D730" s="48" t="s">
        <v>188</v>
      </c>
      <c r="E730" s="48" t="s">
        <v>189</v>
      </c>
      <c r="F730" s="48" t="s">
        <v>222</v>
      </c>
      <c r="G730" s="49" t="n">
        <v>70.7</v>
      </c>
      <c r="H730" s="50" t="n">
        <f aca="false">MAX(0,IF(AND(Parameter!$B$21="Ja",ISNUMBER(Y730)),Y730,IF(Parameter!$B$20="Jahresanfang 2025 + Export",BO730+BN730,BN730)))</f>
        <v>172</v>
      </c>
      <c r="I730" s="50" t="n">
        <f aca="false">H730*G730</f>
        <v>12160.4</v>
      </c>
      <c r="J730" s="50" t="n">
        <f aca="false">BQ730*Parameter!$B$18</f>
        <v>1</v>
      </c>
      <c r="K730" s="51" t="n">
        <v>172</v>
      </c>
      <c r="L730" s="52" t="n">
        <v>0.00581395348837209</v>
      </c>
      <c r="M730" s="50" t="n">
        <v>0</v>
      </c>
      <c r="N730" s="50" t="n">
        <v>10</v>
      </c>
      <c r="O730" s="53" t="n">
        <v>105</v>
      </c>
      <c r="P730" s="48" t="s">
        <v>306</v>
      </c>
      <c r="Q730" s="50" t="n">
        <v>181</v>
      </c>
      <c r="R730" s="53" t="n">
        <f aca="false">IF(BW730=1,0,IFERROR(VLOOKUP(BU730,'Gebinde-Kategorie'!$A$5:$N$45,13,0)+0,0))</f>
        <v>26</v>
      </c>
      <c r="S730" s="54"/>
      <c r="T730" s="55"/>
      <c r="U730" s="55"/>
      <c r="V730" s="55"/>
      <c r="W730" s="48"/>
      <c r="X730" s="50"/>
      <c r="Y730" s="50"/>
      <c r="Z730" s="48" t="n">
        <f aca="false">IF(A730="","",IF(AND(Parameter!$B$21="Ja",ISNUMBER(W730)),W730,IF(BZ730="2+3",IF(ISNUMBER(SEARCH("grosser Artikel",BR730)),2,IFERROR(VLOOKUP(BU730,Parameter!$F$35:$G$64,2,0),2)),IF(OR(BZ730="Nein",BZ730=""),"-",BZ730))))</f>
        <v>3</v>
      </c>
      <c r="AA730" s="55"/>
      <c r="AB730" s="56"/>
      <c r="AC730" s="50" t="n">
        <f aca="false">AT730</f>
        <v>181</v>
      </c>
      <c r="AD730" s="50" t="n">
        <f aca="false">MAX(AT730,H730)</f>
        <v>181</v>
      </c>
      <c r="AE730" s="57"/>
      <c r="AF730" s="50" t="n">
        <f aca="false">IF(LEFT(Cockpit!$C$5,1)="A",H730,IF(CE730=1,CF730,IF(LEFT(Cockpit!$C$5,1)="B",AK730,MAX(AK730,H730))))</f>
        <v>172</v>
      </c>
      <c r="AG730" s="50" t="n">
        <f aca="false">IF(BW730=1,0,ROUNDUP(AF730/BV730,0))</f>
        <v>1</v>
      </c>
      <c r="AH730" s="52" t="n">
        <f aca="false">IF(CL730&gt;0,CL730*MAX(1,AF730/X730),IF(BW730=1,IF(AF730&lt;=0,0,CA730*MAX(1,IF(H730&gt;0,AF730/H730,1))),IF(R730&gt;0,AG730/R730,0))/MAX(0.1,N(Parameter!$M$21)))</f>
        <v>0.0384615384615385</v>
      </c>
      <c r="AI730" s="50" t="n">
        <f aca="false">AH730*BY730</f>
        <v>5.96153846153846</v>
      </c>
      <c r="AJ730" s="50" t="n">
        <f aca="false">AF730*G730</f>
        <v>12160.4</v>
      </c>
      <c r="AK730" s="50" t="n">
        <f aca="false">ROUNDUP(MAX(J730/IF(CD730&gt;0,CD730,MAX(0.1,N(Cockpit!$C$6))),CG730)/BV730,0)*BV730</f>
        <v>181</v>
      </c>
      <c r="AL730" s="51" t="n">
        <f aca="false">IF(AI730&gt;0,J730/AI730,-1)</f>
        <v>0.167741935483871</v>
      </c>
      <c r="AM730" s="51" t="n">
        <f aca="false">IF(AND(OR(CC730="L1",CC730="L23",CC730="LIFT"),AI730&gt;0),SUMIFS($AI$7:$AI$1843,$CC$7:$CC$1843,CC730,$AL$7:$AL$1843,"&gt;"&amp;AL730)+SUMIFS($AI$7:$AI$1843,$CC$7:$CC$1843,CC730,$AL$7:$AL$1843,AL730,$BT$7:$BT$1843,"&lt;="&amp;BT730),"")</f>
        <v>12721.4644900768</v>
      </c>
      <c r="AN730" s="58" t="n">
        <f aca="false">IF(AM730="",0,MAX(0,MIN(1,(IF(CC730="L1",Parameter!$H$5,IF(CC730="L23",Parameter!$H$6+Parameter!$H$7,Parameter!$H$5+Parameter!$H$6+Parameter!$H$7))-(AM730-AI730))/AI730)))</f>
        <v>1</v>
      </c>
      <c r="AO730" s="50" t="n">
        <f aca="false">IF(LEFT(Cockpit!$I$5,1)="A",H730,IF(CE730=1,CF730,IF(LEFT(Cockpit!$I$5,1)="B",AT730,MAX(AT730,H730))))</f>
        <v>181</v>
      </c>
      <c r="AP730" s="50" t="n">
        <f aca="false">IF(BW730=1,0,ROUNDUP(AO730/BV730,0))</f>
        <v>1</v>
      </c>
      <c r="AQ730" s="52" t="n">
        <f aca="false">IF(CL730&gt;0,CL730*MAX(1,AO730/X730),IF(BW730=1,IF(AO730&lt;=0,0,CA730*MAX(1,IF(H730&gt;0,AO730/H730,1))),IF(R730&gt;0,AP730/R730,0))/MAX(0.1,N(Parameter!$M$21)))</f>
        <v>0.0384615384615385</v>
      </c>
      <c r="AR730" s="50" t="n">
        <f aca="false">AQ730*BY730</f>
        <v>5.96153846153846</v>
      </c>
      <c r="AS730" s="50" t="n">
        <f aca="false">AO730*G730</f>
        <v>12796.7</v>
      </c>
      <c r="AT730" s="50" t="n">
        <f aca="false">ROUNDUP(MAX(J730/IF(CD730&gt;0,CD730,MAX(0.1,N(Cockpit!$I$6))),CG730)/BV730,0)*BV730</f>
        <v>181</v>
      </c>
      <c r="AU730" s="51" t="n">
        <f aca="false">IF(AR730&gt;0,J730/AR730,-1)</f>
        <v>0.167741935483871</v>
      </c>
      <c r="AV730" s="51" t="n">
        <f aca="false">IF(AND(OR(CC730="L1",CC730="L23",CC730="LIFT"),AR730&gt;0),SUMIFS($AR$7:$AR$1843,$CC$7:$CC$1843,CC730,$AU$7:$AU$1843,"&gt;"&amp;AU730)+SUMIFS($AR$7:$AR$1843,$CC$7:$CC$1843,CC730,$AU$7:$AU$1843,AU730,$BT$7:$BT$1843,"&lt;="&amp;BT730),"")</f>
        <v>19302.5389194139</v>
      </c>
      <c r="AW730" s="58" t="n">
        <f aca="false">IF(AV730="",0,MAX(0,MIN(1,(IF(CC730="L1",Parameter!$H$5,IF(CC730="L23",Parameter!$H$6+Parameter!$H$7,Parameter!$H$5+Parameter!$H$6+Parameter!$H$7))-(AV730-AR730))/AR730)))</f>
        <v>1</v>
      </c>
      <c r="AX730" s="50" t="n">
        <f aca="false">IF(LEFT(Cockpit!$O$5,1)="A",H730,IF(CE730=1,CF730,IF(LEFT(Cockpit!$O$5,1)="B",BC730,MAX(BC730,H730))))</f>
        <v>181</v>
      </c>
      <c r="AY730" s="50" t="n">
        <f aca="false">IF(BW730=1,0,ROUNDUP(AX730/BV730,0))</f>
        <v>1</v>
      </c>
      <c r="AZ730" s="52" t="n">
        <f aca="false">IF(CL730&gt;0,CL730*MAX(1,AX730/X730),IF(BW730=1,IF(AX730&lt;=0,0,CA730*MAX(1,IF(H730&gt;0,AX730/H730,1))),IF(R730&gt;0,AY730/R730,0))/MAX(0.1,N(Parameter!$M$21)))</f>
        <v>0.0384615384615385</v>
      </c>
      <c r="BA730" s="50" t="n">
        <f aca="false">AZ730*BY730</f>
        <v>5.96153846153846</v>
      </c>
      <c r="BB730" s="50" t="n">
        <f aca="false">AX730*G730</f>
        <v>12796.7</v>
      </c>
      <c r="BC730" s="50" t="n">
        <f aca="false">ROUNDUP(MAX(J730/IF(CD730&gt;0,CD730,MAX(0.1,N(Cockpit!$O$6))),CG730)/BV730,0)*BV730</f>
        <v>181</v>
      </c>
      <c r="BD730" s="51" t="n">
        <f aca="false">IF(BA730&gt;0,J730/BA730,-1)</f>
        <v>0.167741935483871</v>
      </c>
      <c r="BE730" s="51" t="n">
        <f aca="false">IF(AND(OR(CC730="L1",CC730="L23",CC730="LIFT"),BA730&gt;0),SUMIFS($BA$7:$BA$1843,$CC$7:$CC$1843,CC730,$BD$7:$BD$1843,"&gt;"&amp;BD730)+SUMIFS($BA$7:$BA$1843,$CC$7:$CC$1843,CC730,$BD$7:$BD$1843,BD730,$BT$7:$BT$1843,"&lt;="&amp;BT730),"")</f>
        <v>17328.6126373626</v>
      </c>
      <c r="BF730" s="58" t="n">
        <f aca="false">IF(BE730="",0,MAX(0,MIN(1,(IF(CC730="L1",Parameter!$H$5,IF(CC730="L23",Parameter!$H$6+Parameter!$H$7,Parameter!$H$5+Parameter!$H$6+Parameter!$H$7))-(BE730-BA730))/BA730)))</f>
        <v>1</v>
      </c>
      <c r="BG730" s="48" t="str">
        <f aca="false">IF(AI730&lt;=0,"",IF(CC730="Aussen","Aussenlager",IF(CC730="-","Nicht im Lift",IF(AN730&gt;=1,"Lift",IF(AN730&lt;=0,"Aussenlager","teilweise")))))</f>
        <v>Lift</v>
      </c>
      <c r="BH730" s="48" t="str">
        <f aca="false">IF(AR730&lt;=0,"",IF(CC730="Aussen","Aussenlager",IF(CC730="-","Nicht im Lift",IF(AW730&gt;=1,"Lift",IF(AW730&lt;=0,"Aussenlager","teilweise")))))</f>
        <v>Lift</v>
      </c>
      <c r="BI730" s="48" t="str">
        <f aca="false">IF(BA730&lt;=0,"",IF(CC730="Aussen","Aussenlager",IF(CC730="-","Nicht im Lift",IF(BF730&gt;=1,"Lift",IF(BF730&lt;=0,"Aussenlager","teilweise")))))</f>
        <v>Lift</v>
      </c>
      <c r="BJ730" s="48" t="str">
        <f aca="false">IF(A730="","",IF(BS730=1,"Neu; ","")&amp;IF(AND(BS730=0,BN730&lt;0),"negativer Bestand (Export "&amp;BN730&amp;"); ","")&amp;IF(J730&lt;=0,"Kein Verbrauch; ","")&amp;IF(CL730&gt;0,"Lift "&amp;W730&amp;" lt. Liftbericht (Fach "&amp;X730&amp;" Stk); ",IF(BX730=1,"Gebinde geschätzt ("&amp;T730&amp;"); ",IF(BW730=1,"Lose – Tablare geschätzt; ","")))&amp;IF(H730&gt;AT730,"Überbestand "&amp;ROUND(H730-AT730,0)&amp;" Stk / CHF "&amp;ROUND((H730-AT730)*G730,0)&amp;"; ","")&amp;IF(AND(CE730=1,CF730&lt;CG730),"MAX &lt; MB+LG; ","")&amp;IF(AND(CK730&gt;0,CJ730*10&gt;CK730),"zu hoch für Tablar; ","")&amp;IF(AND(BS730=0,OR(CE730=1,AA730&lt;&gt;"",U730&lt;&gt;"",V730&lt;&gt;"",AB730&lt;&gt;"")),"manuell übersteuert; ","")&amp;IF(AND(BW730=0,R730=0),"Gebinde unbekannt / Stellmass fehlt; ","")&amp;IF(AND(BW730=0,N(V730)&lt;=0,N(Q730)&lt;=0),"Menge pro Gebinde fehlt (Ist = 1 Gebinde); ","")&amp;BR730)</f>
        <v>Überbestand</v>
      </c>
      <c r="BK730" s="48"/>
      <c r="BL730" s="48"/>
      <c r="BM730" s="55"/>
      <c r="BN730" s="50" t="n">
        <v>0</v>
      </c>
      <c r="BO730" s="50" t="n">
        <v>172</v>
      </c>
      <c r="BP730" s="49" t="n">
        <v>0</v>
      </c>
      <c r="BQ730" s="50" t="n">
        <v>1</v>
      </c>
      <c r="BR730" s="48" t="s">
        <v>396</v>
      </c>
      <c r="BS730" s="53" t="n">
        <v>0</v>
      </c>
      <c r="BT730" s="53" t="n">
        <v>730</v>
      </c>
      <c r="BU730" s="48" t="str">
        <f aca="false">IF(U730&lt;&gt;"",UPPER(TRIM(U730)),IF(BX730=1,UPPER(VLOOKUP(T730,Parameter!$I$27:$K$29,2,0)),IF(P730="","LOSE",P730)))</f>
        <v>S51</v>
      </c>
      <c r="BV730" s="50" t="n">
        <f aca="false">IF(BU730="LOSE",1,IF(N(V730)&gt;0,V730,IF(BX730=1,MAX(1,N(VLOOKUP(T730,Parameter!$I$27:$K$29,3,0)),H730,N(N730)),IF(N(Q730)&gt;0,Q730,MAX(1,H730)))))</f>
        <v>181</v>
      </c>
      <c r="BW730" s="53" t="n">
        <f aca="false">IF(BU730="LOSE",1,0)</f>
        <v>0</v>
      </c>
      <c r="BX730" s="53" t="n">
        <f aca="false">IF(AND(U730="",OR(P730="",P730="LOSE"),T730&lt;&gt;"",N(S730)&lt;=0,ISNUMBER(MATCH(T730,Parameter!$I$27:$I$29,0))),1,0)</f>
        <v>0</v>
      </c>
      <c r="BY730" s="53" t="n">
        <f aca="false">IF(CL730&gt;0,INDEX(Parameter!$H$5:$H$7,W730)/INDEX(Parameter!$E$5:$E$7,W730),IF(AND(BW730=0,N(IFERROR(VLOOKUP(BU730,'Gebinde-Kategorie'!$A$5:$N$45,14,0),0))&gt;0),VLOOKUP(BU730,'Gebinde-Kategorie'!$A$5:$N$45,14,0)*10+Parameter!$M$23,Parameter!$M$24))</f>
        <v>155</v>
      </c>
      <c r="BZ730" s="48" t="str">
        <f aca="false">IF(AND(Parameter!$B$19="Ja",E730&lt;&gt;"",ISNUMBER(MATCH(E730,Parameter!$I$35:$I$52,0))),VLOOKUP(E730,Parameter!$I$35:$J$52,2,0),IFERROR(VLOOKUP(D730,Parameter!$A$35:$C$64,2,0),"Nein"))</f>
        <v>2+3</v>
      </c>
      <c r="CA730" s="52" t="n">
        <f aca="false">IF(BW730=0,0,IF(N(S730)&gt;0,S730,IFERROR(VLOOKUP(D730,Parameter!$A$35:$C$64,3,0)+0,0)))</f>
        <v>0</v>
      </c>
      <c r="CB730" s="48" t="n">
        <f aca="false">IF(AA730&lt;&gt;"",AA730,Z730)</f>
        <v>3</v>
      </c>
      <c r="CC730" s="48" t="str">
        <f aca="false">IF(OR(CB730=1,CB730=2,CB730=3),IF(Parameter!$E$27="Ja","LIFT",IF(CB730=1,"L1","L23")),IF(CB730="Aussen","Aussen","-"))</f>
        <v>LIFT</v>
      </c>
      <c r="CD730" s="59" t="n">
        <f aca="false">IF(N(AB730)&gt;0,AB730,0)</f>
        <v>0</v>
      </c>
      <c r="CE730" s="53" t="n">
        <f aca="false">IF(ISNUMBER(AE730),1,0)</f>
        <v>0</v>
      </c>
      <c r="CF730" s="50" t="n">
        <f aca="false">N(AE730)</f>
        <v>0</v>
      </c>
      <c r="CG730" s="50" t="n">
        <f aca="false">N(M730)+N(N730)</f>
        <v>10</v>
      </c>
      <c r="CH730" s="50" t="n">
        <f aca="false">ROUNDUP(H730/BV730,0)</f>
        <v>1</v>
      </c>
      <c r="CI730" s="50" t="n">
        <f aca="false">ROUNDUP(CF730/BV730,0)</f>
        <v>0</v>
      </c>
      <c r="CJ730" s="53" t="n">
        <f aca="false">IF(BW730=1,0,IFERROR(VLOOKUP(BU730,'Gebinde-Kategorie'!$A$5:$N$45,5,0)+0,0))</f>
        <v>11</v>
      </c>
      <c r="CK730" s="53" t="n">
        <f aca="false">IFERROR(IF(OR(CB730=1,CB730=2,CB730=3),N(INDEX(Parameter!$I$5:$I$7,CB730)),0),0)</f>
        <v>0</v>
      </c>
      <c r="CL730" s="52" t="n">
        <f aca="false">IF(AND(Parameter!$B$21="Ja",ISNUMBER(W730),N(X730)&gt;0),IFERROR(N(INDEX(Parameter!$L$5:$L$7,W730))*INDEX(Parameter!$E$5:$E$7,W730)*X730/SUMIFS($X$7:$X$1843,$W$7:$W$1843,W730),0),0)</f>
        <v>0</v>
      </c>
    </row>
    <row r="731" customFormat="false" ht="15" hidden="false" customHeight="false" outlineLevel="0" collapsed="false">
      <c r="A731" s="48" t="s">
        <v>1453</v>
      </c>
      <c r="B731" s="48" t="s">
        <v>1454</v>
      </c>
      <c r="C731" s="48" t="s">
        <v>168</v>
      </c>
      <c r="D731" s="48" t="s">
        <v>177</v>
      </c>
      <c r="E731" s="48"/>
      <c r="F731" s="48" t="s">
        <v>222</v>
      </c>
      <c r="G731" s="49" t="n">
        <v>0</v>
      </c>
      <c r="H731" s="50" t="n">
        <f aca="false">MAX(0,IF(AND(Parameter!$B$21="Ja",ISNUMBER(Y731)),Y731,IF(Parameter!$B$20="Jahresanfang 2025 + Export",BO731+BN731,BN731)))</f>
        <v>0</v>
      </c>
      <c r="I731" s="50" t="n">
        <f aca="false">H731*G731</f>
        <v>0</v>
      </c>
      <c r="J731" s="50" t="n">
        <f aca="false">BQ731*Parameter!$B$18</f>
        <v>0</v>
      </c>
      <c r="K731" s="51" t="n">
        <v>0.5</v>
      </c>
      <c r="L731" s="52" t="n">
        <v>0</v>
      </c>
      <c r="M731" s="50" t="n">
        <v>0</v>
      </c>
      <c r="N731" s="50" t="n">
        <v>1</v>
      </c>
      <c r="O731" s="53" t="n">
        <v>90</v>
      </c>
      <c r="P731" s="48" t="s">
        <v>172</v>
      </c>
      <c r="Q731" s="50"/>
      <c r="R731" s="53" t="n">
        <f aca="false">IF(BW731=1,0,IFERROR(VLOOKUP(BU731,'Gebinde-Kategorie'!$A$5:$N$45,13,0)+0,0))</f>
        <v>4</v>
      </c>
      <c r="S731" s="54"/>
      <c r="T731" s="55" t="s">
        <v>193</v>
      </c>
      <c r="U731" s="55"/>
      <c r="V731" s="55"/>
      <c r="W731" s="48"/>
      <c r="X731" s="50"/>
      <c r="Y731" s="50"/>
      <c r="Z731" s="48" t="n">
        <f aca="false">IF(A731="","",IF(AND(Parameter!$B$21="Ja",ISNUMBER(W731)),W731,IF(BZ731="2+3",IF(ISNUMBER(SEARCH("grosser Artikel",BR731)),2,IFERROR(VLOOKUP(BU731,Parameter!$F$35:$G$64,2,0),2)),IF(OR(BZ731="Nein",BZ731=""),"-",BZ731))))</f>
        <v>2</v>
      </c>
      <c r="AA731" s="55"/>
      <c r="AB731" s="56"/>
      <c r="AC731" s="50" t="n">
        <f aca="false">AT731</f>
        <v>2</v>
      </c>
      <c r="AD731" s="50" t="n">
        <f aca="false">MAX(AT731,H731)</f>
        <v>2</v>
      </c>
      <c r="AE731" s="57"/>
      <c r="AF731" s="50" t="n">
        <f aca="false">IF(LEFT(Cockpit!$C$5,1)="A",H731,IF(CE731=1,CF731,IF(LEFT(Cockpit!$C$5,1)="B",AK731,MAX(AK731,H731))))</f>
        <v>0</v>
      </c>
      <c r="AG731" s="50" t="n">
        <f aca="false">IF(BW731=1,0,ROUNDUP(AF731/BV731,0))</f>
        <v>0</v>
      </c>
      <c r="AH731" s="52" t="n">
        <f aca="false">IF(CL731&gt;0,CL731*MAX(1,AF731/X731),IF(BW731=1,IF(AF731&lt;=0,0,CA731*MAX(1,IF(H731&gt;0,AF731/H731,1))),IF(R731&gt;0,AG731/R731,0))/MAX(0.1,N(Parameter!$M$21)))</f>
        <v>0</v>
      </c>
      <c r="AI731" s="50" t="n">
        <f aca="false">AH731*BY731</f>
        <v>0</v>
      </c>
      <c r="AJ731" s="50" t="n">
        <f aca="false">AF731*G731</f>
        <v>0</v>
      </c>
      <c r="AK731" s="50" t="n">
        <f aca="false">ROUNDUP(MAX(J731/IF(CD731&gt;0,CD731,MAX(0.1,N(Cockpit!$C$6))),CG731)/BV731,0)*BV731</f>
        <v>2</v>
      </c>
      <c r="AL731" s="51" t="n">
        <f aca="false">IF(AI731&gt;0,J731/AI731,-1)</f>
        <v>-1</v>
      </c>
      <c r="AM731" s="51" t="str">
        <f aca="false">IF(AND(OR(CC731="L1",CC731="L23",CC731="LIFT"),AI731&gt;0),SUMIFS($AI$7:$AI$1843,$CC$7:$CC$1843,CC731,$AL$7:$AL$1843,"&gt;"&amp;AL731)+SUMIFS($AI$7:$AI$1843,$CC$7:$CC$1843,CC731,$AL$7:$AL$1843,AL731,$BT$7:$BT$1843,"&lt;="&amp;BT731),"")</f>
        <v/>
      </c>
      <c r="AN731" s="58" t="n">
        <f aca="false">IF(AM731="",0,MAX(0,MIN(1,(IF(CC731="L1",Parameter!$H$5,IF(CC731="L23",Parameter!$H$6+Parameter!$H$7,Parameter!$H$5+Parameter!$H$6+Parameter!$H$7))-(AM731-AI731))/AI731)))</f>
        <v>0</v>
      </c>
      <c r="AO731" s="50" t="n">
        <f aca="false">IF(LEFT(Cockpit!$I$5,1)="A",H731,IF(CE731=1,CF731,IF(LEFT(Cockpit!$I$5,1)="B",AT731,MAX(AT731,H731))))</f>
        <v>2</v>
      </c>
      <c r="AP731" s="50" t="n">
        <f aca="false">IF(BW731=1,0,ROUNDUP(AO731/BV731,0))</f>
        <v>1</v>
      </c>
      <c r="AQ731" s="52" t="n">
        <f aca="false">IF(CL731&gt;0,CL731*MAX(1,AO731/X731),IF(BW731=1,IF(AO731&lt;=0,0,CA731*MAX(1,IF(H731&gt;0,AO731/H731,1))),IF(R731&gt;0,AP731/R731,0))/MAX(0.1,N(Parameter!$M$21)))</f>
        <v>0.25</v>
      </c>
      <c r="AR731" s="50" t="n">
        <f aca="false">AQ731*BY731</f>
        <v>58.75</v>
      </c>
      <c r="AS731" s="50" t="n">
        <f aca="false">AO731*G731</f>
        <v>0</v>
      </c>
      <c r="AT731" s="50" t="n">
        <f aca="false">ROUNDUP(MAX(J731/IF(CD731&gt;0,CD731,MAX(0.1,N(Cockpit!$I$6))),CG731)/BV731,0)*BV731</f>
        <v>2</v>
      </c>
      <c r="AU731" s="51" t="n">
        <f aca="false">IF(AR731&gt;0,J731/AR731,-1)</f>
        <v>0</v>
      </c>
      <c r="AV731" s="51" t="n">
        <f aca="false">IF(AND(OR(CC731="L1",CC731="L23",CC731="LIFT"),AR731&gt;0),SUMIFS($AR$7:$AR$1843,$CC$7:$CC$1843,CC731,$AU$7:$AU$1843,"&gt;"&amp;AU731)+SUMIFS($AR$7:$AR$1843,$CC$7:$CC$1843,CC731,$AU$7:$AU$1843,AU731,$BT$7:$BT$1843,"&lt;="&amp;BT731),"")</f>
        <v>40211.7866377972</v>
      </c>
      <c r="AW731" s="58" t="n">
        <f aca="false">IF(AV731="",0,MAX(0,MIN(1,(IF(CC731="L1",Parameter!$H$5,IF(CC731="L23",Parameter!$H$6+Parameter!$H$7,Parameter!$H$5+Parameter!$H$6+Parameter!$H$7))-(AV731-AR731))/AR731)))</f>
        <v>0</v>
      </c>
      <c r="AX731" s="50" t="n">
        <f aca="false">IF(LEFT(Cockpit!$O$5,1)="A",H731,IF(CE731=1,CF731,IF(LEFT(Cockpit!$O$5,1)="B",BC731,MAX(BC731,H731))))</f>
        <v>2</v>
      </c>
      <c r="AY731" s="50" t="n">
        <f aca="false">IF(BW731=1,0,ROUNDUP(AX731/BV731,0))</f>
        <v>1</v>
      </c>
      <c r="AZ731" s="52" t="n">
        <f aca="false">IF(CL731&gt;0,CL731*MAX(1,AX731/X731),IF(BW731=1,IF(AX731&lt;=0,0,CA731*MAX(1,IF(H731&gt;0,AX731/H731,1))),IF(R731&gt;0,AY731/R731,0))/MAX(0.1,N(Parameter!$M$21)))</f>
        <v>0.25</v>
      </c>
      <c r="BA731" s="50" t="n">
        <f aca="false">AZ731*BY731</f>
        <v>58.75</v>
      </c>
      <c r="BB731" s="50" t="n">
        <f aca="false">AX731*G731</f>
        <v>0</v>
      </c>
      <c r="BC731" s="50" t="n">
        <f aca="false">ROUNDUP(MAX(J731/IF(CD731&gt;0,CD731,MAX(0.1,N(Cockpit!$O$6))),CG731)/BV731,0)*BV731</f>
        <v>2</v>
      </c>
      <c r="BD731" s="51" t="n">
        <f aca="false">IF(BA731&gt;0,J731/BA731,-1)</f>
        <v>0</v>
      </c>
      <c r="BE731" s="51" t="n">
        <f aca="false">IF(AND(OR(CC731="L1",CC731="L23",CC731="LIFT"),BA731&gt;0),SUMIFS($BA$7:$BA$1843,$CC$7:$CC$1843,CC731,$BD$7:$BD$1843,"&gt;"&amp;BD731)+SUMIFS($BA$7:$BA$1843,$CC$7:$CC$1843,CC731,$BD$7:$BD$1843,BD731,$BT$7:$BT$1843,"&lt;="&amp;BT731),"")</f>
        <v>36886.7986796631</v>
      </c>
      <c r="BF731" s="58" t="n">
        <f aca="false">IF(BE731="",0,MAX(0,MIN(1,(IF(CC731="L1",Parameter!$H$5,IF(CC731="L23",Parameter!$H$6+Parameter!$H$7,Parameter!$H$5+Parameter!$H$6+Parameter!$H$7))-(BE731-BA731))/BA731)))</f>
        <v>0</v>
      </c>
      <c r="BG731" s="48" t="str">
        <f aca="false">IF(AI731&lt;=0,"",IF(CC731="Aussen","Aussenlager",IF(CC731="-","Nicht im Lift",IF(AN731&gt;=1,"Lift",IF(AN731&lt;=0,"Aussenlager","teilweise")))))</f>
        <v/>
      </c>
      <c r="BH731" s="48" t="str">
        <f aca="false">IF(AR731&lt;=0,"",IF(CC731="Aussen","Aussenlager",IF(CC731="-","Nicht im Lift",IF(AW731&gt;=1,"Lift",IF(AW731&lt;=0,"Aussenlager","teilweise")))))</f>
        <v>Aussenlager</v>
      </c>
      <c r="BI731" s="48" t="str">
        <f aca="false">IF(BA731&lt;=0,"",IF(CC731="Aussen","Aussenlager",IF(CC731="-","Nicht im Lift",IF(BF731&gt;=1,"Lift",IF(BF731&lt;=0,"Aussenlager","teilweise")))))</f>
        <v>Aussenlager</v>
      </c>
      <c r="BJ731" s="48" t="str">
        <f aca="false">IF(A731="","",IF(BS731=1,"Neu; ","")&amp;IF(AND(BS731=0,BN731&lt;0),"negativer Bestand (Export "&amp;BN731&amp;"); ","")&amp;IF(J731&lt;=0,"Kein Verbrauch; ","")&amp;IF(CL731&gt;0,"Lift "&amp;W731&amp;" lt. Liftbericht (Fach "&amp;X731&amp;" Stk); ",IF(BX731=1,"Gebinde geschätzt ("&amp;T731&amp;"); ",IF(BW731=1,"Lose – Tablare geschätzt; ","")))&amp;IF(H731&gt;AT731,"Überbestand "&amp;ROUND(H731-AT731,0)&amp;" Stk / CHF "&amp;ROUND((H731-AT731)*G731,0)&amp;"; ","")&amp;IF(AND(CE731=1,CF731&lt;CG731),"MAX &lt; MB+LG; ","")&amp;IF(AND(CK731&gt;0,CJ731*10&gt;CK731),"zu hoch für Tablar; ","")&amp;IF(AND(BS731=0,OR(CE731=1,AA731&lt;&gt;"",U731&lt;&gt;"",V731&lt;&gt;"",AB731&lt;&gt;"")),"manuell übersteuert; ","")&amp;IF(AND(BW731=0,R731=0),"Gebinde unbekannt / Stellmass fehlt; ","")&amp;IF(AND(BW731=0,N(V731)&lt;=0,N(Q731)&lt;=0),"Menge pro Gebinde fehlt (Ist = 1 Gebinde); ","")&amp;BR731)</f>
        <v>negativer Bestand (Export -1); Kein Verbrauch; Gebinde geschätzt (Gross); Menge pro Gebinde fehlt (Ist = 1 Gebinde); </v>
      </c>
      <c r="BK731" s="48"/>
      <c r="BL731" s="48"/>
      <c r="BM731" s="55"/>
      <c r="BN731" s="50" t="n">
        <v>-1</v>
      </c>
      <c r="BO731" s="50" t="n">
        <v>1</v>
      </c>
      <c r="BP731" s="49" t="n">
        <v>0</v>
      </c>
      <c r="BQ731" s="50" t="n">
        <v>0</v>
      </c>
      <c r="BR731" s="48"/>
      <c r="BS731" s="53" t="n">
        <v>0</v>
      </c>
      <c r="BT731" s="53" t="n">
        <v>731</v>
      </c>
      <c r="BU731" s="48" t="str">
        <f aca="false">IF(U731&lt;&gt;"",UPPER(TRIM(U731)),IF(BX731=1,UPPER(VLOOKUP(T731,Parameter!$I$27:$K$29,2,0)),IF(P731="","LOSE",P731)))</f>
        <v>S81</v>
      </c>
      <c r="BV731" s="50" t="n">
        <f aca="false">IF(BU731="LOSE",1,IF(N(V731)&gt;0,V731,IF(BX731=1,MAX(1,N(VLOOKUP(T731,Parameter!$I$27:$K$29,3,0)),H731,N(N731)),IF(N(Q731)&gt;0,Q731,MAX(1,H731)))))</f>
        <v>2</v>
      </c>
      <c r="BW731" s="53" t="n">
        <f aca="false">IF(BU731="LOSE",1,0)</f>
        <v>0</v>
      </c>
      <c r="BX731" s="53" t="n">
        <f aca="false">IF(AND(U731="",OR(P731="",P731="LOSE"),T731&lt;&gt;"",N(S731)&lt;=0,ISNUMBER(MATCH(T731,Parameter!$I$27:$I$29,0))),1,0)</f>
        <v>1</v>
      </c>
      <c r="BY731" s="53" t="n">
        <f aca="false">IF(CL731&gt;0,INDEX(Parameter!$H$5:$H$7,W731)/INDEX(Parameter!$E$5:$E$7,W731),IF(AND(BW731=0,N(IFERROR(VLOOKUP(BU731,'Gebinde-Kategorie'!$A$5:$N$45,14,0),0))&gt;0),VLOOKUP(BU731,'Gebinde-Kategorie'!$A$5:$N$45,14,0)*10+Parameter!$M$23,Parameter!$M$24))</f>
        <v>235</v>
      </c>
      <c r="BZ731" s="48" t="str">
        <f aca="false">IF(AND(Parameter!$B$19="Ja",E731&lt;&gt;"",ISNUMBER(MATCH(E731,Parameter!$I$35:$I$52,0))),VLOOKUP(E731,Parameter!$I$35:$J$52,2,0),IFERROR(VLOOKUP(D731,Parameter!$A$35:$C$64,2,0),"Nein"))</f>
        <v>2+3</v>
      </c>
      <c r="CA731" s="52" t="n">
        <f aca="false">IF(BW731=0,0,IF(N(S731)&gt;0,S731,IFERROR(VLOOKUP(D731,Parameter!$A$35:$C$64,3,0)+0,0)))</f>
        <v>0</v>
      </c>
      <c r="CB731" s="48" t="n">
        <f aca="false">IF(AA731&lt;&gt;"",AA731,Z731)</f>
        <v>2</v>
      </c>
      <c r="CC731" s="48" t="str">
        <f aca="false">IF(OR(CB731=1,CB731=2,CB731=3),IF(Parameter!$E$27="Ja","LIFT",IF(CB731=1,"L1","L23")),IF(CB731="Aussen","Aussen","-"))</f>
        <v>LIFT</v>
      </c>
      <c r="CD731" s="59" t="n">
        <f aca="false">IF(N(AB731)&gt;0,AB731,0)</f>
        <v>0</v>
      </c>
      <c r="CE731" s="53" t="n">
        <f aca="false">IF(ISNUMBER(AE731),1,0)</f>
        <v>0</v>
      </c>
      <c r="CF731" s="50" t="n">
        <f aca="false">N(AE731)</f>
        <v>0</v>
      </c>
      <c r="CG731" s="50" t="n">
        <f aca="false">N(M731)+N(N731)</f>
        <v>1</v>
      </c>
      <c r="CH731" s="50" t="n">
        <f aca="false">ROUNDUP(H731/BV731,0)</f>
        <v>0</v>
      </c>
      <c r="CI731" s="50" t="n">
        <f aca="false">ROUNDUP(CF731/BV731,0)</f>
        <v>0</v>
      </c>
      <c r="CJ731" s="53" t="n">
        <f aca="false">IF(BW731=1,0,IFERROR(VLOOKUP(BU731,'Gebinde-Kategorie'!$A$5:$N$45,5,0)+0,0))</f>
        <v>20</v>
      </c>
      <c r="CK731" s="53" t="n">
        <f aca="false">IFERROR(IF(OR(CB731=1,CB731=2,CB731=3),N(INDEX(Parameter!$I$5:$I$7,CB731)),0),0)</f>
        <v>0</v>
      </c>
      <c r="CL731" s="52" t="n">
        <f aca="false">IF(AND(Parameter!$B$21="Ja",ISNUMBER(W731),N(X731)&gt;0),IFERROR(N(INDEX(Parameter!$L$5:$L$7,W731))*INDEX(Parameter!$E$5:$E$7,W731)*X731/SUMIFS($X$7:$X$1843,$W$7:$W$1843,W731),0),0)</f>
        <v>0</v>
      </c>
    </row>
    <row r="732" customFormat="false" ht="15" hidden="false" customHeight="false" outlineLevel="0" collapsed="false">
      <c r="A732" s="48" t="s">
        <v>1455</v>
      </c>
      <c r="B732" s="48" t="s">
        <v>896</v>
      </c>
      <c r="C732" s="48" t="s">
        <v>168</v>
      </c>
      <c r="D732" s="48" t="s">
        <v>188</v>
      </c>
      <c r="E732" s="48" t="s">
        <v>189</v>
      </c>
      <c r="F732" s="48" t="s">
        <v>222</v>
      </c>
      <c r="G732" s="49" t="n">
        <v>22.27</v>
      </c>
      <c r="H732" s="50" t="n">
        <f aca="false">MAX(0,IF(AND(Parameter!$B$21="Ja",ISNUMBER(Y732)),Y732,IF(Parameter!$B$20="Jahresanfang 2025 + Export",BO732+BN732,BN732)))</f>
        <v>13</v>
      </c>
      <c r="I732" s="50" t="n">
        <f aca="false">H732*G732</f>
        <v>289.51</v>
      </c>
      <c r="J732" s="50" t="n">
        <f aca="false">BQ732*Parameter!$B$18</f>
        <v>1</v>
      </c>
      <c r="K732" s="51" t="n">
        <v>12.5</v>
      </c>
      <c r="L732" s="52" t="n">
        <v>0.08</v>
      </c>
      <c r="M732" s="50" t="n">
        <v>0</v>
      </c>
      <c r="N732" s="50" t="n">
        <v>1</v>
      </c>
      <c r="O732" s="53" t="n">
        <v>14</v>
      </c>
      <c r="P732" s="48" t="s">
        <v>480</v>
      </c>
      <c r="Q732" s="50" t="n">
        <v>16</v>
      </c>
      <c r="R732" s="53" t="n">
        <f aca="false">IF(BW732=1,0,IFERROR(VLOOKUP(BU732,'Gebinde-Kategorie'!$A$5:$N$45,13,0)+0,0))</f>
        <v>52</v>
      </c>
      <c r="S732" s="54"/>
      <c r="T732" s="55"/>
      <c r="U732" s="55"/>
      <c r="V732" s="55"/>
      <c r="W732" s="48"/>
      <c r="X732" s="50"/>
      <c r="Y732" s="50"/>
      <c r="Z732" s="48" t="n">
        <f aca="false">IF(A732="","",IF(AND(Parameter!$B$21="Ja",ISNUMBER(W732)),W732,IF(BZ732="2+3",IF(ISNUMBER(SEARCH("grosser Artikel",BR732)),2,IFERROR(VLOOKUP(BU732,Parameter!$F$35:$G$64,2,0),2)),IF(OR(BZ732="Nein",BZ732=""),"-",BZ732))))</f>
        <v>3</v>
      </c>
      <c r="AA732" s="55"/>
      <c r="AB732" s="56"/>
      <c r="AC732" s="50" t="n">
        <f aca="false">AT732</f>
        <v>16</v>
      </c>
      <c r="AD732" s="50" t="n">
        <f aca="false">MAX(AT732,H732)</f>
        <v>16</v>
      </c>
      <c r="AE732" s="57"/>
      <c r="AF732" s="50" t="n">
        <f aca="false">IF(LEFT(Cockpit!$C$5,1)="A",H732,IF(CE732=1,CF732,IF(LEFT(Cockpit!$C$5,1)="B",AK732,MAX(AK732,H732))))</f>
        <v>13</v>
      </c>
      <c r="AG732" s="50" t="n">
        <f aca="false">IF(BW732=1,0,ROUNDUP(AF732/BV732,0))</f>
        <v>1</v>
      </c>
      <c r="AH732" s="52" t="n">
        <f aca="false">IF(CL732&gt;0,CL732*MAX(1,AF732/X732),IF(BW732=1,IF(AF732&lt;=0,0,CA732*MAX(1,IF(H732&gt;0,AF732/H732,1))),IF(R732&gt;0,AG732/R732,0))/MAX(0.1,N(Parameter!$M$21)))</f>
        <v>0.0192307692307692</v>
      </c>
      <c r="AI732" s="50" t="n">
        <f aca="false">AH732*BY732</f>
        <v>2.98076923076923</v>
      </c>
      <c r="AJ732" s="50" t="n">
        <f aca="false">AF732*G732</f>
        <v>289.51</v>
      </c>
      <c r="AK732" s="50" t="n">
        <f aca="false">ROUNDUP(MAX(J732/IF(CD732&gt;0,CD732,MAX(0.1,N(Cockpit!$C$6))),CG732)/BV732,0)*BV732</f>
        <v>16</v>
      </c>
      <c r="AL732" s="51" t="n">
        <f aca="false">IF(AI732&gt;0,J732/AI732,-1)</f>
        <v>0.335483870967742</v>
      </c>
      <c r="AM732" s="51" t="n">
        <f aca="false">IF(AND(OR(CC732="L1",CC732="L23",CC732="LIFT"),AI732&gt;0),SUMIFS($AI$7:$AI$1843,$CC$7:$CC$1843,CC732,$AL$7:$AL$1843,"&gt;"&amp;AL732)+SUMIFS($AI$7:$AI$1843,$CC$7:$CC$1843,CC732,$AL$7:$AL$1843,AL732,$BT$7:$BT$1843,"&lt;="&amp;BT732),"")</f>
        <v>11197.9424241013</v>
      </c>
      <c r="AN732" s="58" t="n">
        <f aca="false">IF(AM732="",0,MAX(0,MIN(1,(IF(CC732="L1",Parameter!$H$5,IF(CC732="L23",Parameter!$H$6+Parameter!$H$7,Parameter!$H$5+Parameter!$H$6+Parameter!$H$7))-(AM732-AI732))/AI732)))</f>
        <v>1</v>
      </c>
      <c r="AO732" s="50" t="n">
        <f aca="false">IF(LEFT(Cockpit!$I$5,1)="A",H732,IF(CE732=1,CF732,IF(LEFT(Cockpit!$I$5,1)="B",AT732,MAX(AT732,H732))))</f>
        <v>16</v>
      </c>
      <c r="AP732" s="50" t="n">
        <f aca="false">IF(BW732=1,0,ROUNDUP(AO732/BV732,0))</f>
        <v>1</v>
      </c>
      <c r="AQ732" s="52" t="n">
        <f aca="false">IF(CL732&gt;0,CL732*MAX(1,AO732/X732),IF(BW732=1,IF(AO732&lt;=0,0,CA732*MAX(1,IF(H732&gt;0,AO732/H732,1))),IF(R732&gt;0,AP732/R732,0))/MAX(0.1,N(Parameter!$M$21)))</f>
        <v>0.0192307692307692</v>
      </c>
      <c r="AR732" s="50" t="n">
        <f aca="false">AQ732*BY732</f>
        <v>2.98076923076923</v>
      </c>
      <c r="AS732" s="50" t="n">
        <f aca="false">AO732*G732</f>
        <v>356.32</v>
      </c>
      <c r="AT732" s="50" t="n">
        <f aca="false">ROUNDUP(MAX(J732/IF(CD732&gt;0,CD732,MAX(0.1,N(Cockpit!$I$6))),CG732)/BV732,0)*BV732</f>
        <v>16</v>
      </c>
      <c r="AU732" s="51" t="n">
        <f aca="false">IF(AR732&gt;0,J732/AR732,-1)</f>
        <v>0.335483870967742</v>
      </c>
      <c r="AV732" s="51" t="n">
        <f aca="false">IF(AND(OR(CC732="L1",CC732="L23",CC732="LIFT"),AR732&gt;0),SUMIFS($AR$7:$AR$1843,$CC$7:$CC$1843,CC732,$AU$7:$AU$1843,"&gt;"&amp;AU732)+SUMIFS($AR$7:$AR$1843,$CC$7:$CC$1843,CC732,$AU$7:$AU$1843,AU732,$BT$7:$BT$1843,"&lt;="&amp;BT732),"")</f>
        <v>16323.6405677656</v>
      </c>
      <c r="AW732" s="58" t="n">
        <f aca="false">IF(AV732="",0,MAX(0,MIN(1,(IF(CC732="L1",Parameter!$H$5,IF(CC732="L23",Parameter!$H$6+Parameter!$H$7,Parameter!$H$5+Parameter!$H$6+Parameter!$H$7))-(AV732-AR732))/AR732)))</f>
        <v>1</v>
      </c>
      <c r="AX732" s="50" t="n">
        <f aca="false">IF(LEFT(Cockpit!$O$5,1)="A",H732,IF(CE732=1,CF732,IF(LEFT(Cockpit!$O$5,1)="B",BC732,MAX(BC732,H732))))</f>
        <v>16</v>
      </c>
      <c r="AY732" s="50" t="n">
        <f aca="false">IF(BW732=1,0,ROUNDUP(AX732/BV732,0))</f>
        <v>1</v>
      </c>
      <c r="AZ732" s="52" t="n">
        <f aca="false">IF(CL732&gt;0,CL732*MAX(1,AX732/X732),IF(BW732=1,IF(AX732&lt;=0,0,CA732*MAX(1,IF(H732&gt;0,AX732/H732,1))),IF(R732&gt;0,AY732/R732,0))/MAX(0.1,N(Parameter!$M$21)))</f>
        <v>0.0192307692307692</v>
      </c>
      <c r="BA732" s="50" t="n">
        <f aca="false">AZ732*BY732</f>
        <v>2.98076923076923</v>
      </c>
      <c r="BB732" s="50" t="n">
        <f aca="false">AX732*G732</f>
        <v>356.32</v>
      </c>
      <c r="BC732" s="50" t="n">
        <f aca="false">ROUNDUP(MAX(J732/IF(CD732&gt;0,CD732,MAX(0.1,N(Cockpit!$O$6))),CG732)/BV732,0)*BV732</f>
        <v>16</v>
      </c>
      <c r="BD732" s="51" t="n">
        <f aca="false">IF(BA732&gt;0,J732/BA732,-1)</f>
        <v>0.335483870967742</v>
      </c>
      <c r="BE732" s="51" t="n">
        <f aca="false">IF(AND(OR(CC732="L1",CC732="L23",CC732="LIFT"),BA732&gt;0),SUMIFS($BA$7:$BA$1843,$CC$7:$CC$1843,CC732,$BD$7:$BD$1843,"&gt;"&amp;BD732)+SUMIFS($BA$7:$BA$1843,$CC$7:$CC$1843,CC732,$BD$7:$BD$1843,BD732,$BT$7:$BT$1843,"&lt;="&amp;BT732),"")</f>
        <v>15074.2976190476</v>
      </c>
      <c r="BF732" s="58" t="n">
        <f aca="false">IF(BE732="",0,MAX(0,MIN(1,(IF(CC732="L1",Parameter!$H$5,IF(CC732="L23",Parameter!$H$6+Parameter!$H$7,Parameter!$H$5+Parameter!$H$6+Parameter!$H$7))-(BE732-BA732))/BA732)))</f>
        <v>1</v>
      </c>
      <c r="BG732" s="48" t="str">
        <f aca="false">IF(AI732&lt;=0,"",IF(CC732="Aussen","Aussenlager",IF(CC732="-","Nicht im Lift",IF(AN732&gt;=1,"Lift",IF(AN732&lt;=0,"Aussenlager","teilweise")))))</f>
        <v>Lift</v>
      </c>
      <c r="BH732" s="48" t="str">
        <f aca="false">IF(AR732&lt;=0,"",IF(CC732="Aussen","Aussenlager",IF(CC732="-","Nicht im Lift",IF(AW732&gt;=1,"Lift",IF(AW732&lt;=0,"Aussenlager","teilweise")))))</f>
        <v>Lift</v>
      </c>
      <c r="BI732" s="48" t="str">
        <f aca="false">IF(BA732&lt;=0,"",IF(CC732="Aussen","Aussenlager",IF(CC732="-","Nicht im Lift",IF(BF732&gt;=1,"Lift",IF(BF732&lt;=0,"Aussenlager","teilweise")))))</f>
        <v>Lift</v>
      </c>
      <c r="BJ732" s="48" t="str">
        <f aca="false">IF(A732="","",IF(BS732=1,"Neu; ","")&amp;IF(AND(BS732=0,BN732&lt;0),"negativer Bestand (Export "&amp;BN732&amp;"); ","")&amp;IF(J732&lt;=0,"Kein Verbrauch; ","")&amp;IF(CL732&gt;0,"Lift "&amp;W732&amp;" lt. Liftbericht (Fach "&amp;X732&amp;" Stk); ",IF(BX732=1,"Gebinde geschätzt ("&amp;T732&amp;"); ",IF(BW732=1,"Lose – Tablare geschätzt; ","")))&amp;IF(H732&gt;AT732,"Überbestand "&amp;ROUND(H732-AT732,0)&amp;" Stk / CHF "&amp;ROUND((H732-AT732)*G732,0)&amp;"; ","")&amp;IF(AND(CE732=1,CF732&lt;CG732),"MAX &lt; MB+LG; ","")&amp;IF(AND(CK732&gt;0,CJ732*10&gt;CK732),"zu hoch für Tablar; ","")&amp;IF(AND(BS732=0,OR(CE732=1,AA732&lt;&gt;"",U732&lt;&gt;"",V732&lt;&gt;"",AB732&lt;&gt;"")),"manuell übersteuert; ","")&amp;IF(AND(BW732=0,R732=0),"Gebinde unbekannt / Stellmass fehlt; ","")&amp;IF(AND(BW732=0,N(V732)&lt;=0,N(Q732)&lt;=0),"Menge pro Gebinde fehlt (Ist = 1 Gebinde); ","")&amp;BR732)</f>
        <v/>
      </c>
      <c r="BK732" s="48"/>
      <c r="BL732" s="48"/>
      <c r="BM732" s="55"/>
      <c r="BN732" s="50" t="n">
        <v>0</v>
      </c>
      <c r="BO732" s="50" t="n">
        <v>13</v>
      </c>
      <c r="BP732" s="49" t="n">
        <v>0</v>
      </c>
      <c r="BQ732" s="50" t="n">
        <v>1</v>
      </c>
      <c r="BR732" s="48"/>
      <c r="BS732" s="53" t="n">
        <v>0</v>
      </c>
      <c r="BT732" s="53" t="n">
        <v>732</v>
      </c>
      <c r="BU732" s="48" t="str">
        <f aca="false">IF(U732&lt;&gt;"",UPPER(TRIM(U732)),IF(BX732=1,UPPER(VLOOKUP(T732,Parameter!$I$27:$K$29,2,0)),IF(P732="","LOSE",P732)))</f>
        <v>S33</v>
      </c>
      <c r="BV732" s="50" t="n">
        <f aca="false">IF(BU732="LOSE",1,IF(N(V732)&gt;0,V732,IF(BX732=1,MAX(1,N(VLOOKUP(T732,Parameter!$I$27:$K$29,3,0)),H732,N(N732)),IF(N(Q732)&gt;0,Q732,MAX(1,H732)))))</f>
        <v>16</v>
      </c>
      <c r="BW732" s="53" t="n">
        <f aca="false">IF(BU732="LOSE",1,0)</f>
        <v>0</v>
      </c>
      <c r="BX732" s="53" t="n">
        <f aca="false">IF(AND(U732="",OR(P732="",P732="LOSE"),T732&lt;&gt;"",N(S732)&lt;=0,ISNUMBER(MATCH(T732,Parameter!$I$27:$I$29,0))),1,0)</f>
        <v>0</v>
      </c>
      <c r="BY732" s="53" t="n">
        <f aca="false">IF(CL732&gt;0,INDEX(Parameter!$H$5:$H$7,W732)/INDEX(Parameter!$E$5:$E$7,W732),IF(AND(BW732=0,N(IFERROR(VLOOKUP(BU732,'Gebinde-Kategorie'!$A$5:$N$45,14,0),0))&gt;0),VLOOKUP(BU732,'Gebinde-Kategorie'!$A$5:$N$45,14,0)*10+Parameter!$M$23,Parameter!$M$24))</f>
        <v>155</v>
      </c>
      <c r="BZ732" s="48" t="str">
        <f aca="false">IF(AND(Parameter!$B$19="Ja",E732&lt;&gt;"",ISNUMBER(MATCH(E732,Parameter!$I$35:$I$52,0))),VLOOKUP(E732,Parameter!$I$35:$J$52,2,0),IFERROR(VLOOKUP(D732,Parameter!$A$35:$C$64,2,0),"Nein"))</f>
        <v>2+3</v>
      </c>
      <c r="CA732" s="52" t="n">
        <f aca="false">IF(BW732=0,0,IF(N(S732)&gt;0,S732,IFERROR(VLOOKUP(D732,Parameter!$A$35:$C$64,3,0)+0,0)))</f>
        <v>0</v>
      </c>
      <c r="CB732" s="48" t="n">
        <f aca="false">IF(AA732&lt;&gt;"",AA732,Z732)</f>
        <v>3</v>
      </c>
      <c r="CC732" s="48" t="str">
        <f aca="false">IF(OR(CB732=1,CB732=2,CB732=3),IF(Parameter!$E$27="Ja","LIFT",IF(CB732=1,"L1","L23")),IF(CB732="Aussen","Aussen","-"))</f>
        <v>LIFT</v>
      </c>
      <c r="CD732" s="59" t="n">
        <f aca="false">IF(N(AB732)&gt;0,AB732,0)</f>
        <v>0</v>
      </c>
      <c r="CE732" s="53" t="n">
        <f aca="false">IF(ISNUMBER(AE732),1,0)</f>
        <v>0</v>
      </c>
      <c r="CF732" s="50" t="n">
        <f aca="false">N(AE732)</f>
        <v>0</v>
      </c>
      <c r="CG732" s="50" t="n">
        <f aca="false">N(M732)+N(N732)</f>
        <v>1</v>
      </c>
      <c r="CH732" s="50" t="n">
        <f aca="false">ROUNDUP(H732/BV732,0)</f>
        <v>1</v>
      </c>
      <c r="CI732" s="50" t="n">
        <f aca="false">ROUNDUP(CF732/BV732,0)</f>
        <v>0</v>
      </c>
      <c r="CJ732" s="53" t="n">
        <f aca="false">IF(BW732=1,0,IFERROR(VLOOKUP(BU732,'Gebinde-Kategorie'!$A$5:$N$45,5,0)+0,0))</f>
        <v>8</v>
      </c>
      <c r="CK732" s="53" t="n">
        <f aca="false">IFERROR(IF(OR(CB732=1,CB732=2,CB732=3),N(INDEX(Parameter!$I$5:$I$7,CB732)),0),0)</f>
        <v>0</v>
      </c>
      <c r="CL732" s="52" t="n">
        <f aca="false">IF(AND(Parameter!$B$21="Ja",ISNUMBER(W732),N(X732)&gt;0),IFERROR(N(INDEX(Parameter!$L$5:$L$7,W732))*INDEX(Parameter!$E$5:$E$7,W732)*X732/SUMIFS($X$7:$X$1843,$W$7:$W$1843,W732),0),0)</f>
        <v>0</v>
      </c>
    </row>
    <row r="733" customFormat="false" ht="15" hidden="false" customHeight="false" outlineLevel="0" collapsed="false">
      <c r="A733" s="48" t="s">
        <v>1456</v>
      </c>
      <c r="B733" s="48" t="s">
        <v>1457</v>
      </c>
      <c r="C733" s="48" t="s">
        <v>168</v>
      </c>
      <c r="D733" s="48" t="s">
        <v>188</v>
      </c>
      <c r="E733" s="48"/>
      <c r="F733" s="48" t="s">
        <v>222</v>
      </c>
      <c r="G733" s="49" t="n">
        <v>20.37</v>
      </c>
      <c r="H733" s="50" t="n">
        <f aca="false">MAX(0,IF(AND(Parameter!$B$21="Ja",ISNUMBER(Y733)),Y733,IF(Parameter!$B$20="Jahresanfang 2025 + Export",BO733+BN733,BN733)))</f>
        <v>17</v>
      </c>
      <c r="I733" s="50" t="n">
        <f aca="false">H733*G733</f>
        <v>346.29</v>
      </c>
      <c r="J733" s="50" t="n">
        <f aca="false">BQ733*Parameter!$B$18</f>
        <v>0</v>
      </c>
      <c r="K733" s="51" t="n">
        <v>17</v>
      </c>
      <c r="L733" s="52" t="n">
        <v>0</v>
      </c>
      <c r="M733" s="50" t="n">
        <v>0</v>
      </c>
      <c r="N733" s="50" t="n">
        <v>1</v>
      </c>
      <c r="O733" s="53" t="n">
        <v>28</v>
      </c>
      <c r="P733" s="48" t="s">
        <v>430</v>
      </c>
      <c r="Q733" s="50" t="n">
        <v>7</v>
      </c>
      <c r="R733" s="53" t="n">
        <f aca="false">IF(BW733=1,0,IFERROR(VLOOKUP(BU733,'Gebinde-Kategorie'!$A$5:$N$45,13,0)+0,0))</f>
        <v>140</v>
      </c>
      <c r="S733" s="54"/>
      <c r="T733" s="55"/>
      <c r="U733" s="55"/>
      <c r="V733" s="55"/>
      <c r="W733" s="48"/>
      <c r="X733" s="50"/>
      <c r="Y733" s="50"/>
      <c r="Z733" s="48" t="n">
        <f aca="false">IF(A733="","",IF(AND(Parameter!$B$21="Ja",ISNUMBER(W733)),W733,IF(BZ733="2+3",IF(ISNUMBER(SEARCH("grosser Artikel",BR733)),2,IFERROR(VLOOKUP(BU733,Parameter!$F$35:$G$64,2,0),2)),IF(OR(BZ733="Nein",BZ733=""),"-",BZ733))))</f>
        <v>3</v>
      </c>
      <c r="AA733" s="55"/>
      <c r="AB733" s="56"/>
      <c r="AC733" s="50" t="n">
        <f aca="false">AT733</f>
        <v>7</v>
      </c>
      <c r="AD733" s="50" t="n">
        <f aca="false">MAX(AT733,H733)</f>
        <v>17</v>
      </c>
      <c r="AE733" s="57"/>
      <c r="AF733" s="50" t="n">
        <f aca="false">IF(LEFT(Cockpit!$C$5,1)="A",H733,IF(CE733=1,CF733,IF(LEFT(Cockpit!$C$5,1)="B",AK733,MAX(AK733,H733))))</f>
        <v>17</v>
      </c>
      <c r="AG733" s="50" t="n">
        <f aca="false">IF(BW733=1,0,ROUNDUP(AF733/BV733,0))</f>
        <v>3</v>
      </c>
      <c r="AH733" s="52" t="n">
        <f aca="false">IF(CL733&gt;0,CL733*MAX(1,AF733/X733),IF(BW733=1,IF(AF733&lt;=0,0,CA733*MAX(1,IF(H733&gt;0,AF733/H733,1))),IF(R733&gt;0,AG733/R733,0))/MAX(0.1,N(Parameter!$M$21)))</f>
        <v>0.0214285714285714</v>
      </c>
      <c r="AI733" s="50" t="n">
        <f aca="false">AH733*BY733</f>
        <v>3.32142857142857</v>
      </c>
      <c r="AJ733" s="50" t="n">
        <f aca="false">AF733*G733</f>
        <v>346.29</v>
      </c>
      <c r="AK733" s="50" t="n">
        <f aca="false">ROUNDUP(MAX(J733/IF(CD733&gt;0,CD733,MAX(0.1,N(Cockpit!$C$6))),CG733)/BV733,0)*BV733</f>
        <v>7</v>
      </c>
      <c r="AL733" s="51" t="n">
        <f aca="false">IF(AI733&gt;0,J733/AI733,-1)</f>
        <v>0</v>
      </c>
      <c r="AM733" s="51" t="n">
        <f aca="false">IF(AND(OR(CC733="L1",CC733="L23",CC733="LIFT"),AI733&gt;0),SUMIFS($AI$7:$AI$1843,$CC$7:$CC$1843,CC733,$AL$7:$AL$1843,"&gt;"&amp;AL733)+SUMIFS($AI$7:$AI$1843,$CC$7:$CC$1843,CC733,$AL$7:$AL$1843,AL733,$BT$7:$BT$1843,"&lt;="&amp;BT733),"")</f>
        <v>28674.1810289522</v>
      </c>
      <c r="AN733" s="58" t="n">
        <f aca="false">IF(AM733="",0,MAX(0,MIN(1,(IF(CC733="L1",Parameter!$H$5,IF(CC733="L23",Parameter!$H$6+Parameter!$H$7,Parameter!$H$5+Parameter!$H$6+Parameter!$H$7))-(AM733-AI733))/AI733)))</f>
        <v>1</v>
      </c>
      <c r="AO733" s="50" t="n">
        <f aca="false">IF(LEFT(Cockpit!$I$5,1)="A",H733,IF(CE733=1,CF733,IF(LEFT(Cockpit!$I$5,1)="B",AT733,MAX(AT733,H733))))</f>
        <v>17</v>
      </c>
      <c r="AP733" s="50" t="n">
        <f aca="false">IF(BW733=1,0,ROUNDUP(AO733/BV733,0))</f>
        <v>3</v>
      </c>
      <c r="AQ733" s="52" t="n">
        <f aca="false">IF(CL733&gt;0,CL733*MAX(1,AO733/X733),IF(BW733=1,IF(AO733&lt;=0,0,CA733*MAX(1,IF(H733&gt;0,AO733/H733,1))),IF(R733&gt;0,AP733/R733,0))/MAX(0.1,N(Parameter!$M$21)))</f>
        <v>0.0214285714285714</v>
      </c>
      <c r="AR733" s="50" t="n">
        <f aca="false">AQ733*BY733</f>
        <v>3.32142857142857</v>
      </c>
      <c r="AS733" s="50" t="n">
        <f aca="false">AO733*G733</f>
        <v>346.29</v>
      </c>
      <c r="AT733" s="50" t="n">
        <f aca="false">ROUNDUP(MAX(J733/IF(CD733&gt;0,CD733,MAX(0.1,N(Cockpit!$I$6))),CG733)/BV733,0)*BV733</f>
        <v>7</v>
      </c>
      <c r="AU733" s="51" t="n">
        <f aca="false">IF(AR733&gt;0,J733/AR733,-1)</f>
        <v>0</v>
      </c>
      <c r="AV733" s="51" t="n">
        <f aca="false">IF(AND(OR(CC733="L1",CC733="L23",CC733="LIFT"),AR733&gt;0),SUMIFS($AR$7:$AR$1843,$CC$7:$CC$1843,CC733,$AU$7:$AU$1843,"&gt;"&amp;AU733)+SUMIFS($AR$7:$AR$1843,$CC$7:$CC$1843,CC733,$AU$7:$AU$1843,AU733,$BT$7:$BT$1843,"&lt;="&amp;BT733),"")</f>
        <v>40215.1080663687</v>
      </c>
      <c r="AW733" s="58" t="n">
        <f aca="false">IF(AV733="",0,MAX(0,MIN(1,(IF(CC733="L1",Parameter!$H$5,IF(CC733="L23",Parameter!$H$6+Parameter!$H$7,Parameter!$H$5+Parameter!$H$6+Parameter!$H$7))-(AV733-AR733))/AR733)))</f>
        <v>0</v>
      </c>
      <c r="AX733" s="50" t="n">
        <f aca="false">IF(LEFT(Cockpit!$O$5,1)="A",H733,IF(CE733=1,CF733,IF(LEFT(Cockpit!$O$5,1)="B",BC733,MAX(BC733,H733))))</f>
        <v>17</v>
      </c>
      <c r="AY733" s="50" t="n">
        <f aca="false">IF(BW733=1,0,ROUNDUP(AX733/BV733,0))</f>
        <v>3</v>
      </c>
      <c r="AZ733" s="52" t="n">
        <f aca="false">IF(CL733&gt;0,CL733*MAX(1,AX733/X733),IF(BW733=1,IF(AX733&lt;=0,0,CA733*MAX(1,IF(H733&gt;0,AX733/H733,1))),IF(R733&gt;0,AY733/R733,0))/MAX(0.1,N(Parameter!$M$21)))</f>
        <v>0.0214285714285714</v>
      </c>
      <c r="BA733" s="50" t="n">
        <f aca="false">AZ733*BY733</f>
        <v>3.32142857142857</v>
      </c>
      <c r="BB733" s="50" t="n">
        <f aca="false">AX733*G733</f>
        <v>346.29</v>
      </c>
      <c r="BC733" s="50" t="n">
        <f aca="false">ROUNDUP(MAX(J733/IF(CD733&gt;0,CD733,MAX(0.1,N(Cockpit!$O$6))),CG733)/BV733,0)*BV733</f>
        <v>7</v>
      </c>
      <c r="BD733" s="51" t="n">
        <f aca="false">IF(BA733&gt;0,J733/BA733,-1)</f>
        <v>0</v>
      </c>
      <c r="BE733" s="51" t="n">
        <f aca="false">IF(AND(OR(CC733="L1",CC733="L23",CC733="LIFT"),BA733&gt;0),SUMIFS($BA$7:$BA$1843,$CC$7:$CC$1843,CC733,$BD$7:$BD$1843,"&gt;"&amp;BD733)+SUMIFS($BA$7:$BA$1843,$CC$7:$CC$1843,CC733,$BD$7:$BD$1843,BD733,$BT$7:$BT$1843,"&lt;="&amp;BT733),"")</f>
        <v>36890.1201082345</v>
      </c>
      <c r="BF733" s="58" t="n">
        <f aca="false">IF(BE733="",0,MAX(0,MIN(1,(IF(CC733="L1",Parameter!$H$5,IF(CC733="L23",Parameter!$H$6+Parameter!$H$7,Parameter!$H$5+Parameter!$H$6+Parameter!$H$7))-(BE733-BA733))/BA733)))</f>
        <v>0</v>
      </c>
      <c r="BG733" s="48" t="str">
        <f aca="false">IF(AI733&lt;=0,"",IF(CC733="Aussen","Aussenlager",IF(CC733="-","Nicht im Lift",IF(AN733&gt;=1,"Lift",IF(AN733&lt;=0,"Aussenlager","teilweise")))))</f>
        <v>Lift</v>
      </c>
      <c r="BH733" s="48" t="str">
        <f aca="false">IF(AR733&lt;=0,"",IF(CC733="Aussen","Aussenlager",IF(CC733="-","Nicht im Lift",IF(AW733&gt;=1,"Lift",IF(AW733&lt;=0,"Aussenlager","teilweise")))))</f>
        <v>Aussenlager</v>
      </c>
      <c r="BI733" s="48" t="str">
        <f aca="false">IF(BA733&lt;=0,"",IF(CC733="Aussen","Aussenlager",IF(CC733="-","Nicht im Lift",IF(BF733&gt;=1,"Lift",IF(BF733&lt;=0,"Aussenlager","teilweise")))))</f>
        <v>Aussenlager</v>
      </c>
      <c r="BJ733" s="48" t="str">
        <f aca="false">IF(A733="","",IF(BS733=1,"Neu; ","")&amp;IF(AND(BS733=0,BN733&lt;0),"negativer Bestand (Export "&amp;BN733&amp;"); ","")&amp;IF(J733&lt;=0,"Kein Verbrauch; ","")&amp;IF(CL733&gt;0,"Lift "&amp;W733&amp;" lt. Liftbericht (Fach "&amp;X733&amp;" Stk); ",IF(BX733=1,"Gebinde geschätzt ("&amp;T733&amp;"); ",IF(BW733=1,"Lose – Tablare geschätzt; ","")))&amp;IF(H733&gt;AT733,"Überbestand "&amp;ROUND(H733-AT733,0)&amp;" Stk / CHF "&amp;ROUND((H733-AT733)*G733,0)&amp;"; ","")&amp;IF(AND(CE733=1,CF733&lt;CG733),"MAX &lt; MB+LG; ","")&amp;IF(AND(CK733&gt;0,CJ733*10&gt;CK733),"zu hoch für Tablar; ","")&amp;IF(AND(BS733=0,OR(CE733=1,AA733&lt;&gt;"",U733&lt;&gt;"",V733&lt;&gt;"",AB733&lt;&gt;"")),"manuell übersteuert; ","")&amp;IF(AND(BW733=0,R733=0),"Gebinde unbekannt / Stellmass fehlt; ","")&amp;IF(AND(BW733=0,N(V733)&lt;=0,N(Q733)&lt;=0),"Menge pro Gebinde fehlt (Ist = 1 Gebinde); ","")&amp;BR733)</f>
        <v>Kein Verbrauch; Überbestand 10 Stk / CHF 204; Überbestand</v>
      </c>
      <c r="BK733" s="48"/>
      <c r="BL733" s="48"/>
      <c r="BM733" s="55"/>
      <c r="BN733" s="50" t="n">
        <v>0</v>
      </c>
      <c r="BO733" s="50" t="n">
        <v>17</v>
      </c>
      <c r="BP733" s="49" t="n">
        <v>0</v>
      </c>
      <c r="BQ733" s="50" t="n">
        <v>0</v>
      </c>
      <c r="BR733" s="48" t="s">
        <v>396</v>
      </c>
      <c r="BS733" s="53" t="n">
        <v>0</v>
      </c>
      <c r="BT733" s="53" t="n">
        <v>733</v>
      </c>
      <c r="BU733" s="48" t="str">
        <f aca="false">IF(U733&lt;&gt;"",UPPER(TRIM(U733)),IF(BX733=1,UPPER(VLOOKUP(T733,Parameter!$I$27:$K$29,2,0)),IF(P733="","LOSE",P733)))</f>
        <v>S22</v>
      </c>
      <c r="BV733" s="50" t="n">
        <f aca="false">IF(BU733="LOSE",1,IF(N(V733)&gt;0,V733,IF(BX733=1,MAX(1,N(VLOOKUP(T733,Parameter!$I$27:$K$29,3,0)),H733,N(N733)),IF(N(Q733)&gt;0,Q733,MAX(1,H733)))))</f>
        <v>7</v>
      </c>
      <c r="BW733" s="53" t="n">
        <f aca="false">IF(BU733="LOSE",1,0)</f>
        <v>0</v>
      </c>
      <c r="BX733" s="53" t="n">
        <f aca="false">IF(AND(U733="",OR(P733="",P733="LOSE"),T733&lt;&gt;"",N(S733)&lt;=0,ISNUMBER(MATCH(T733,Parameter!$I$27:$I$29,0))),1,0)</f>
        <v>0</v>
      </c>
      <c r="BY733" s="53" t="n">
        <f aca="false">IF(CL733&gt;0,INDEX(Parameter!$H$5:$H$7,W733)/INDEX(Parameter!$E$5:$E$7,W733),IF(AND(BW733=0,N(IFERROR(VLOOKUP(BU733,'Gebinde-Kategorie'!$A$5:$N$45,14,0),0))&gt;0),VLOOKUP(BU733,'Gebinde-Kategorie'!$A$5:$N$45,14,0)*10+Parameter!$M$23,Parameter!$M$24))</f>
        <v>155</v>
      </c>
      <c r="BZ733" s="48" t="str">
        <f aca="false">IF(AND(Parameter!$B$19="Ja",E733&lt;&gt;"",ISNUMBER(MATCH(E733,Parameter!$I$35:$I$52,0))),VLOOKUP(E733,Parameter!$I$35:$J$52,2,0),IFERROR(VLOOKUP(D733,Parameter!$A$35:$C$64,2,0),"Nein"))</f>
        <v>2+3</v>
      </c>
      <c r="CA733" s="52" t="n">
        <f aca="false">IF(BW733=0,0,IF(N(S733)&gt;0,S733,IFERROR(VLOOKUP(D733,Parameter!$A$35:$C$64,3,0)+0,0)))</f>
        <v>0</v>
      </c>
      <c r="CB733" s="48" t="n">
        <f aca="false">IF(AA733&lt;&gt;"",AA733,Z733)</f>
        <v>3</v>
      </c>
      <c r="CC733" s="48" t="str">
        <f aca="false">IF(OR(CB733=1,CB733=2,CB733=3),IF(Parameter!$E$27="Ja","LIFT",IF(CB733=1,"L1","L23")),IF(CB733="Aussen","Aussen","-"))</f>
        <v>LIFT</v>
      </c>
      <c r="CD733" s="59" t="n">
        <f aca="false">IF(N(AB733)&gt;0,AB733,0)</f>
        <v>0</v>
      </c>
      <c r="CE733" s="53" t="n">
        <f aca="false">IF(ISNUMBER(AE733),1,0)</f>
        <v>0</v>
      </c>
      <c r="CF733" s="50" t="n">
        <f aca="false">N(AE733)</f>
        <v>0</v>
      </c>
      <c r="CG733" s="50" t="n">
        <f aca="false">N(M733)+N(N733)</f>
        <v>1</v>
      </c>
      <c r="CH733" s="50" t="n">
        <f aca="false">ROUNDUP(H733/BV733,0)</f>
        <v>3</v>
      </c>
      <c r="CI733" s="50" t="n">
        <f aca="false">ROUNDUP(CF733/BV733,0)</f>
        <v>0</v>
      </c>
      <c r="CJ733" s="53" t="n">
        <f aca="false">IF(BW733=1,0,IFERROR(VLOOKUP(BU733,'Gebinde-Kategorie'!$A$5:$N$45,5,0)+0,0))</f>
        <v>8</v>
      </c>
      <c r="CK733" s="53" t="n">
        <f aca="false">IFERROR(IF(OR(CB733=1,CB733=2,CB733=3),N(INDEX(Parameter!$I$5:$I$7,CB733)),0),0)</f>
        <v>0</v>
      </c>
      <c r="CL733" s="52" t="n">
        <f aca="false">IF(AND(Parameter!$B$21="Ja",ISNUMBER(W733),N(X733)&gt;0),IFERROR(N(INDEX(Parameter!$L$5:$L$7,W733))*INDEX(Parameter!$E$5:$E$7,W733)*X733/SUMIFS($X$7:$X$1843,$W$7:$W$1843,W733),0),0)</f>
        <v>0</v>
      </c>
    </row>
    <row r="734" customFormat="false" ht="15" hidden="false" customHeight="false" outlineLevel="0" collapsed="false">
      <c r="A734" s="48" t="s">
        <v>1458</v>
      </c>
      <c r="B734" s="48" t="s">
        <v>1445</v>
      </c>
      <c r="C734" s="48" t="s">
        <v>168</v>
      </c>
      <c r="D734" s="48" t="s">
        <v>177</v>
      </c>
      <c r="E734" s="48" t="s">
        <v>177</v>
      </c>
      <c r="F734" s="48" t="s">
        <v>222</v>
      </c>
      <c r="G734" s="49" t="n">
        <v>490.5</v>
      </c>
      <c r="H734" s="50" t="n">
        <f aca="false">MAX(0,IF(AND(Parameter!$B$21="Ja",ISNUMBER(Y734)),Y734,IF(Parameter!$B$20="Jahresanfang 2025 + Export",BO734+BN734,BN734)))</f>
        <v>0</v>
      </c>
      <c r="I734" s="50" t="n">
        <f aca="false">H734*G734</f>
        <v>0</v>
      </c>
      <c r="J734" s="50" t="n">
        <f aca="false">BQ734*Parameter!$B$18</f>
        <v>2</v>
      </c>
      <c r="K734" s="51" t="n">
        <v>0</v>
      </c>
      <c r="L734" s="52" t="n">
        <v>0</v>
      </c>
      <c r="M734" s="50" t="n">
        <v>0</v>
      </c>
      <c r="N734" s="50" t="n">
        <v>1</v>
      </c>
      <c r="O734" s="53" t="n">
        <v>42</v>
      </c>
      <c r="P734" s="48" t="s">
        <v>172</v>
      </c>
      <c r="Q734" s="50"/>
      <c r="R734" s="53" t="n">
        <f aca="false">IF(BW734=1,0,IFERROR(VLOOKUP(BU734,'Gebinde-Kategorie'!$A$5:$N$45,13,0)+0,0))</f>
        <v>12</v>
      </c>
      <c r="S734" s="54"/>
      <c r="T734" s="55" t="s">
        <v>183</v>
      </c>
      <c r="U734" s="55"/>
      <c r="V734" s="55"/>
      <c r="W734" s="48"/>
      <c r="X734" s="50"/>
      <c r="Y734" s="50"/>
      <c r="Z734" s="48" t="str">
        <f aca="false">IF(A734="","",IF(AND(Parameter!$B$21="Ja",ISNUMBER(W734)),W734,IF(BZ734="2+3",IF(ISNUMBER(SEARCH("grosser Artikel",BR734)),2,IFERROR(VLOOKUP(BU734,Parameter!$F$35:$G$64,2,0),2)),IF(OR(BZ734="Nein",BZ734=""),"-",BZ734))))</f>
        <v>-</v>
      </c>
      <c r="AA734" s="55"/>
      <c r="AB734" s="56"/>
      <c r="AC734" s="50" t="n">
        <f aca="false">AT734</f>
        <v>4</v>
      </c>
      <c r="AD734" s="50" t="n">
        <f aca="false">MAX(AT734,H734)</f>
        <v>4</v>
      </c>
      <c r="AE734" s="57"/>
      <c r="AF734" s="50" t="n">
        <f aca="false">IF(LEFT(Cockpit!$C$5,1)="A",H734,IF(CE734=1,CF734,IF(LEFT(Cockpit!$C$5,1)="B",AK734,MAX(AK734,H734))))</f>
        <v>0</v>
      </c>
      <c r="AG734" s="50" t="n">
        <f aca="false">IF(BW734=1,0,ROUNDUP(AF734/BV734,0))</f>
        <v>0</v>
      </c>
      <c r="AH734" s="52" t="n">
        <f aca="false">IF(CL734&gt;0,CL734*MAX(1,AF734/X734),IF(BW734=1,IF(AF734&lt;=0,0,CA734*MAX(1,IF(H734&gt;0,AF734/H734,1))),IF(R734&gt;0,AG734/R734,0))/MAX(0.1,N(Parameter!$M$21)))</f>
        <v>0</v>
      </c>
      <c r="AI734" s="50" t="n">
        <f aca="false">AH734*BY734</f>
        <v>0</v>
      </c>
      <c r="AJ734" s="50" t="n">
        <f aca="false">AF734*G734</f>
        <v>0</v>
      </c>
      <c r="AK734" s="50" t="n">
        <f aca="false">ROUNDUP(MAX(J734/IF(CD734&gt;0,CD734,MAX(0.1,N(Cockpit!$C$6))),CG734)/BV734,0)*BV734</f>
        <v>4</v>
      </c>
      <c r="AL734" s="51" t="n">
        <f aca="false">IF(AI734&gt;0,J734/AI734,-1)</f>
        <v>-1</v>
      </c>
      <c r="AM734" s="51" t="str">
        <f aca="false">IF(AND(OR(CC734="L1",CC734="L23",CC734="LIFT"),AI734&gt;0),SUMIFS($AI$7:$AI$1843,$CC$7:$CC$1843,CC734,$AL$7:$AL$1843,"&gt;"&amp;AL734)+SUMIFS($AI$7:$AI$1843,$CC$7:$CC$1843,CC734,$AL$7:$AL$1843,AL734,$BT$7:$BT$1843,"&lt;="&amp;BT734),"")</f>
        <v/>
      </c>
      <c r="AN734" s="58" t="n">
        <f aca="false">IF(AM734="",0,MAX(0,MIN(1,(IF(CC734="L1",Parameter!$H$5,IF(CC734="L23",Parameter!$H$6+Parameter!$H$7,Parameter!$H$5+Parameter!$H$6+Parameter!$H$7))-(AM734-AI734))/AI734)))</f>
        <v>0</v>
      </c>
      <c r="AO734" s="50" t="n">
        <f aca="false">IF(LEFT(Cockpit!$I$5,1)="A",H734,IF(CE734=1,CF734,IF(LEFT(Cockpit!$I$5,1)="B",AT734,MAX(AT734,H734))))</f>
        <v>4</v>
      </c>
      <c r="AP734" s="50" t="n">
        <f aca="false">IF(BW734=1,0,ROUNDUP(AO734/BV734,0))</f>
        <v>1</v>
      </c>
      <c r="AQ734" s="52" t="n">
        <f aca="false">IF(CL734&gt;0,CL734*MAX(1,AO734/X734),IF(BW734=1,IF(AO734&lt;=0,0,CA734*MAX(1,IF(H734&gt;0,AO734/H734,1))),IF(R734&gt;0,AP734/R734,0))/MAX(0.1,N(Parameter!$M$21)))</f>
        <v>0.0833333333333333</v>
      </c>
      <c r="AR734" s="50" t="n">
        <f aca="false">AQ734*BY734</f>
        <v>12.0833333333333</v>
      </c>
      <c r="AS734" s="50" t="n">
        <f aca="false">AO734*G734</f>
        <v>1962</v>
      </c>
      <c r="AT734" s="50" t="n">
        <f aca="false">ROUNDUP(MAX(J734/IF(CD734&gt;0,CD734,MAX(0.1,N(Cockpit!$I$6))),CG734)/BV734,0)*BV734</f>
        <v>4</v>
      </c>
      <c r="AU734" s="51" t="n">
        <f aca="false">IF(AR734&gt;0,J734/AR734,-1)</f>
        <v>0.16551724137931</v>
      </c>
      <c r="AV734" s="51" t="str">
        <f aca="false">IF(AND(OR(CC734="L1",CC734="L23",CC734="LIFT"),AR734&gt;0),SUMIFS($AR$7:$AR$1843,$CC$7:$CC$1843,CC734,$AU$7:$AU$1843,"&gt;"&amp;AU734)+SUMIFS($AR$7:$AR$1843,$CC$7:$CC$1843,CC734,$AU$7:$AU$1843,AU734,$BT$7:$BT$1843,"&lt;="&amp;BT734),"")</f>
        <v/>
      </c>
      <c r="AW734" s="58" t="n">
        <f aca="false">IF(AV734="",0,MAX(0,MIN(1,(IF(CC734="L1",Parameter!$H$5,IF(CC734="L23",Parameter!$H$6+Parameter!$H$7,Parameter!$H$5+Parameter!$H$6+Parameter!$H$7))-(AV734-AR734))/AR734)))</f>
        <v>0</v>
      </c>
      <c r="AX734" s="50" t="n">
        <f aca="false">IF(LEFT(Cockpit!$O$5,1)="A",H734,IF(CE734=1,CF734,IF(LEFT(Cockpit!$O$5,1)="B",BC734,MAX(BC734,H734))))</f>
        <v>4</v>
      </c>
      <c r="AY734" s="50" t="n">
        <f aca="false">IF(BW734=1,0,ROUNDUP(AX734/BV734,0))</f>
        <v>1</v>
      </c>
      <c r="AZ734" s="52" t="n">
        <f aca="false">IF(CL734&gt;0,CL734*MAX(1,AX734/X734),IF(BW734=1,IF(AX734&lt;=0,0,CA734*MAX(1,IF(H734&gt;0,AX734/H734,1))),IF(R734&gt;0,AY734/R734,0))/MAX(0.1,N(Parameter!$M$21)))</f>
        <v>0.0833333333333333</v>
      </c>
      <c r="BA734" s="50" t="n">
        <f aca="false">AZ734*BY734</f>
        <v>12.0833333333333</v>
      </c>
      <c r="BB734" s="50" t="n">
        <f aca="false">AX734*G734</f>
        <v>1962</v>
      </c>
      <c r="BC734" s="50" t="n">
        <f aca="false">ROUNDUP(MAX(J734/IF(CD734&gt;0,CD734,MAX(0.1,N(Cockpit!$O$6))),CG734)/BV734,0)*BV734</f>
        <v>4</v>
      </c>
      <c r="BD734" s="51" t="n">
        <f aca="false">IF(BA734&gt;0,J734/BA734,-1)</f>
        <v>0.16551724137931</v>
      </c>
      <c r="BE734" s="51" t="str">
        <f aca="false">IF(AND(OR(CC734="L1",CC734="L23",CC734="LIFT"),BA734&gt;0),SUMIFS($BA$7:$BA$1843,$CC$7:$CC$1843,CC734,$BD$7:$BD$1843,"&gt;"&amp;BD734)+SUMIFS($BA$7:$BA$1843,$CC$7:$CC$1843,CC734,$BD$7:$BD$1843,BD734,$BT$7:$BT$1843,"&lt;="&amp;BT734),"")</f>
        <v/>
      </c>
      <c r="BF734" s="58" t="n">
        <f aca="false">IF(BE734="",0,MAX(0,MIN(1,(IF(CC734="L1",Parameter!$H$5,IF(CC734="L23",Parameter!$H$6+Parameter!$H$7,Parameter!$H$5+Parameter!$H$6+Parameter!$H$7))-(BE734-BA734))/BA734)))</f>
        <v>0</v>
      </c>
      <c r="BG734" s="48" t="str">
        <f aca="false">IF(AI734&lt;=0,"",IF(CC734="Aussen","Aussenlager",IF(CC734="-","Nicht im Lift",IF(AN734&gt;=1,"Lift",IF(AN734&lt;=0,"Aussenlager","teilweise")))))</f>
        <v/>
      </c>
      <c r="BH734" s="48" t="str">
        <f aca="false">IF(AR734&lt;=0,"",IF(CC734="Aussen","Aussenlager",IF(CC734="-","Nicht im Lift",IF(AW734&gt;=1,"Lift",IF(AW734&lt;=0,"Aussenlager","teilweise")))))</f>
        <v>Nicht im Lift</v>
      </c>
      <c r="BI734" s="48" t="str">
        <f aca="false">IF(BA734&lt;=0,"",IF(CC734="Aussen","Aussenlager",IF(CC734="-","Nicht im Lift",IF(BF734&gt;=1,"Lift",IF(BF734&lt;=0,"Aussenlager","teilweise")))))</f>
        <v>Nicht im Lift</v>
      </c>
      <c r="BJ734" s="48" t="str">
        <f aca="false">IF(A734="","",IF(BS734=1,"Neu; ","")&amp;IF(AND(BS734=0,BN734&lt;0),"negativer Bestand (Export "&amp;BN734&amp;"); ","")&amp;IF(J734&lt;=0,"Kein Verbrauch; ","")&amp;IF(CL734&gt;0,"Lift "&amp;W734&amp;" lt. Liftbericht (Fach "&amp;X734&amp;" Stk); ",IF(BX734=1,"Gebinde geschätzt ("&amp;T734&amp;"); ",IF(BW734=1,"Lose – Tablare geschätzt; ","")))&amp;IF(H734&gt;AT734,"Überbestand "&amp;ROUND(H734-AT734,0)&amp;" Stk / CHF "&amp;ROUND((H734-AT734)*G734,0)&amp;"; ","")&amp;IF(AND(CE734=1,CF734&lt;CG734),"MAX &lt; MB+LG; ","")&amp;IF(AND(CK734&gt;0,CJ734*10&gt;CK734),"zu hoch für Tablar; ","")&amp;IF(AND(BS734=0,OR(CE734=1,AA734&lt;&gt;"",U734&lt;&gt;"",V734&lt;&gt;"",AB734&lt;&gt;"")),"manuell übersteuert; ","")&amp;IF(AND(BW734=0,R734=0),"Gebinde unbekannt / Stellmass fehlt; ","")&amp;IF(AND(BW734=0,N(V734)&lt;=0,N(Q734)&lt;=0),"Menge pro Gebinde fehlt (Ist = 1 Gebinde); ","")&amp;BR734)</f>
        <v>Gebinde geschätzt (Mittel); Menge pro Gebinde fehlt (Ist = 1 Gebinde); </v>
      </c>
      <c r="BK734" s="48"/>
      <c r="BL734" s="48"/>
      <c r="BM734" s="55"/>
      <c r="BN734" s="50" t="n">
        <v>0</v>
      </c>
      <c r="BO734" s="50" t="n">
        <v>0</v>
      </c>
      <c r="BP734" s="49" t="n">
        <v>0</v>
      </c>
      <c r="BQ734" s="50" t="n">
        <v>2</v>
      </c>
      <c r="BR734" s="48"/>
      <c r="BS734" s="53" t="n">
        <v>0</v>
      </c>
      <c r="BT734" s="53" t="n">
        <v>734</v>
      </c>
      <c r="BU734" s="48" t="str">
        <f aca="false">IF(U734&lt;&gt;"",UPPER(TRIM(U734)),IF(BX734=1,UPPER(VLOOKUP(T734,Parameter!$I$27:$K$29,2,0)),IF(P734="","LOSE",P734)))</f>
        <v>S61</v>
      </c>
      <c r="BV734" s="50" t="n">
        <f aca="false">IF(BU734="LOSE",1,IF(N(V734)&gt;0,V734,IF(BX734=1,MAX(1,N(VLOOKUP(T734,Parameter!$I$27:$K$29,3,0)),H734,N(N734)),IF(N(Q734)&gt;0,Q734,MAX(1,H734)))))</f>
        <v>4</v>
      </c>
      <c r="BW734" s="53" t="n">
        <f aca="false">IF(BU734="LOSE",1,0)</f>
        <v>0</v>
      </c>
      <c r="BX734" s="53" t="n">
        <f aca="false">IF(AND(U734="",OR(P734="",P734="LOSE"),T734&lt;&gt;"",N(S734)&lt;=0,ISNUMBER(MATCH(T734,Parameter!$I$27:$I$29,0))),1,0)</f>
        <v>1</v>
      </c>
      <c r="BY734" s="53" t="n">
        <f aca="false">IF(CL734&gt;0,INDEX(Parameter!$H$5:$H$7,W734)/INDEX(Parameter!$E$5:$E$7,W734),IF(AND(BW734=0,N(IFERROR(VLOOKUP(BU734,'Gebinde-Kategorie'!$A$5:$N$45,14,0),0))&gt;0),VLOOKUP(BU734,'Gebinde-Kategorie'!$A$5:$N$45,14,0)*10+Parameter!$M$23,Parameter!$M$24))</f>
        <v>145</v>
      </c>
      <c r="BZ734" s="48" t="str">
        <f aca="false">IF(AND(Parameter!$B$19="Ja",E734&lt;&gt;"",ISNUMBER(MATCH(E734,Parameter!$I$35:$I$52,0))),VLOOKUP(E734,Parameter!$I$35:$J$52,2,0),IFERROR(VLOOKUP(D734,Parameter!$A$35:$C$64,2,0),"Nein"))</f>
        <v>Nein</v>
      </c>
      <c r="CA734" s="52" t="n">
        <f aca="false">IF(BW734=0,0,IF(N(S734)&gt;0,S734,IFERROR(VLOOKUP(D734,Parameter!$A$35:$C$64,3,0)+0,0)))</f>
        <v>0</v>
      </c>
      <c r="CB734" s="48" t="str">
        <f aca="false">IF(AA734&lt;&gt;"",AA734,Z734)</f>
        <v>-</v>
      </c>
      <c r="CC734" s="48" t="str">
        <f aca="false">IF(OR(CB734=1,CB734=2,CB734=3),IF(Parameter!$E$27="Ja","LIFT",IF(CB734=1,"L1","L23")),IF(CB734="Aussen","Aussen","-"))</f>
        <v>-</v>
      </c>
      <c r="CD734" s="59" t="n">
        <f aca="false">IF(N(AB734)&gt;0,AB734,0)</f>
        <v>0</v>
      </c>
      <c r="CE734" s="53" t="n">
        <f aca="false">IF(ISNUMBER(AE734),1,0)</f>
        <v>0</v>
      </c>
      <c r="CF734" s="50" t="n">
        <f aca="false">N(AE734)</f>
        <v>0</v>
      </c>
      <c r="CG734" s="50" t="n">
        <f aca="false">N(M734)+N(N734)</f>
        <v>1</v>
      </c>
      <c r="CH734" s="50" t="n">
        <f aca="false">ROUNDUP(H734/BV734,0)</f>
        <v>0</v>
      </c>
      <c r="CI734" s="50" t="n">
        <f aca="false">ROUNDUP(CF734/BV734,0)</f>
        <v>0</v>
      </c>
      <c r="CJ734" s="53" t="n">
        <f aca="false">IF(BW734=1,0,IFERROR(VLOOKUP(BU734,'Gebinde-Kategorie'!$A$5:$N$45,5,0)+0,0))</f>
        <v>11</v>
      </c>
      <c r="CK734" s="53" t="n">
        <f aca="false">IFERROR(IF(OR(CB734=1,CB734=2,CB734=3),N(INDEX(Parameter!$I$5:$I$7,CB734)),0),0)</f>
        <v>0</v>
      </c>
      <c r="CL734" s="52" t="n">
        <f aca="false">IF(AND(Parameter!$B$21="Ja",ISNUMBER(W734),N(X734)&gt;0),IFERROR(N(INDEX(Parameter!$L$5:$L$7,W734))*INDEX(Parameter!$E$5:$E$7,W734)*X734/SUMIFS($X$7:$X$1843,$W$7:$W$1843,W734),0),0)</f>
        <v>0</v>
      </c>
    </row>
    <row r="735" customFormat="false" ht="15" hidden="false" customHeight="false" outlineLevel="0" collapsed="false">
      <c r="A735" s="48" t="s">
        <v>1459</v>
      </c>
      <c r="B735" s="48" t="s">
        <v>1460</v>
      </c>
      <c r="C735" s="48" t="s">
        <v>168</v>
      </c>
      <c r="D735" s="48" t="s">
        <v>188</v>
      </c>
      <c r="E735" s="48"/>
      <c r="F735" s="48" t="s">
        <v>222</v>
      </c>
      <c r="G735" s="49" t="n">
        <v>0</v>
      </c>
      <c r="H735" s="50" t="n">
        <f aca="false">MAX(0,IF(AND(Parameter!$B$21="Ja",ISNUMBER(Y735)),Y735,IF(Parameter!$B$20="Jahresanfang 2025 + Export",BO735+BN735,BN735)))</f>
        <v>0</v>
      </c>
      <c r="I735" s="50" t="n">
        <f aca="false">H735*G735</f>
        <v>0</v>
      </c>
      <c r="J735" s="50" t="n">
        <f aca="false">BQ735*Parameter!$B$18</f>
        <v>0</v>
      </c>
      <c r="K735" s="51" t="n">
        <v>0.5</v>
      </c>
      <c r="L735" s="52" t="n">
        <v>0</v>
      </c>
      <c r="M735" s="50" t="n">
        <v>0</v>
      </c>
      <c r="N735" s="50" t="n">
        <v>1</v>
      </c>
      <c r="O735" s="53" t="n">
        <v>14</v>
      </c>
      <c r="P735" s="48" t="s">
        <v>172</v>
      </c>
      <c r="Q735" s="50"/>
      <c r="R735" s="53" t="n">
        <f aca="false">IF(BW735=1,0,IFERROR(VLOOKUP(BU735,'Gebinde-Kategorie'!$A$5:$N$45,13,0)+0,0))</f>
        <v>26</v>
      </c>
      <c r="S735" s="54"/>
      <c r="T735" s="55" t="s">
        <v>279</v>
      </c>
      <c r="U735" s="55"/>
      <c r="V735" s="55"/>
      <c r="W735" s="48"/>
      <c r="X735" s="50"/>
      <c r="Y735" s="50"/>
      <c r="Z735" s="48" t="n">
        <f aca="false">IF(A735="","",IF(AND(Parameter!$B$21="Ja",ISNUMBER(W735)),W735,IF(BZ735="2+3",IF(ISNUMBER(SEARCH("grosser Artikel",BR735)),2,IFERROR(VLOOKUP(BU735,Parameter!$F$35:$G$64,2,0),2)),IF(OR(BZ735="Nein",BZ735=""),"-",BZ735))))</f>
        <v>3</v>
      </c>
      <c r="AA735" s="55"/>
      <c r="AB735" s="56"/>
      <c r="AC735" s="50" t="n">
        <f aca="false">AT735</f>
        <v>20</v>
      </c>
      <c r="AD735" s="50" t="n">
        <f aca="false">MAX(AT735,H735)</f>
        <v>20</v>
      </c>
      <c r="AE735" s="57"/>
      <c r="AF735" s="50" t="n">
        <f aca="false">IF(LEFT(Cockpit!$C$5,1)="A",H735,IF(CE735=1,CF735,IF(LEFT(Cockpit!$C$5,1)="B",AK735,MAX(AK735,H735))))</f>
        <v>0</v>
      </c>
      <c r="AG735" s="50" t="n">
        <f aca="false">IF(BW735=1,0,ROUNDUP(AF735/BV735,0))</f>
        <v>0</v>
      </c>
      <c r="AH735" s="52" t="n">
        <f aca="false">IF(CL735&gt;0,CL735*MAX(1,AF735/X735),IF(BW735=1,IF(AF735&lt;=0,0,CA735*MAX(1,IF(H735&gt;0,AF735/H735,1))),IF(R735&gt;0,AG735/R735,0))/MAX(0.1,N(Parameter!$M$21)))</f>
        <v>0</v>
      </c>
      <c r="AI735" s="50" t="n">
        <f aca="false">AH735*BY735</f>
        <v>0</v>
      </c>
      <c r="AJ735" s="50" t="n">
        <f aca="false">AF735*G735</f>
        <v>0</v>
      </c>
      <c r="AK735" s="50" t="n">
        <f aca="false">ROUNDUP(MAX(J735/IF(CD735&gt;0,CD735,MAX(0.1,N(Cockpit!$C$6))),CG735)/BV735,0)*BV735</f>
        <v>20</v>
      </c>
      <c r="AL735" s="51" t="n">
        <f aca="false">IF(AI735&gt;0,J735/AI735,-1)</f>
        <v>-1</v>
      </c>
      <c r="AM735" s="51" t="str">
        <f aca="false">IF(AND(OR(CC735="L1",CC735="L23",CC735="LIFT"),AI735&gt;0),SUMIFS($AI$7:$AI$1843,$CC$7:$CC$1843,CC735,$AL$7:$AL$1843,"&gt;"&amp;AL735)+SUMIFS($AI$7:$AI$1843,$CC$7:$CC$1843,CC735,$AL$7:$AL$1843,AL735,$BT$7:$BT$1843,"&lt;="&amp;BT735),"")</f>
        <v/>
      </c>
      <c r="AN735" s="58" t="n">
        <f aca="false">IF(AM735="",0,MAX(0,MIN(1,(IF(CC735="L1",Parameter!$H$5,IF(CC735="L23",Parameter!$H$6+Parameter!$H$7,Parameter!$H$5+Parameter!$H$6+Parameter!$H$7))-(AM735-AI735))/AI735)))</f>
        <v>0</v>
      </c>
      <c r="AO735" s="50" t="n">
        <f aca="false">IF(LEFT(Cockpit!$I$5,1)="A",H735,IF(CE735=1,CF735,IF(LEFT(Cockpit!$I$5,1)="B",AT735,MAX(AT735,H735))))</f>
        <v>20</v>
      </c>
      <c r="AP735" s="50" t="n">
        <f aca="false">IF(BW735=1,0,ROUNDUP(AO735/BV735,0))</f>
        <v>1</v>
      </c>
      <c r="AQ735" s="52" t="n">
        <f aca="false">IF(CL735&gt;0,CL735*MAX(1,AO735/X735),IF(BW735=1,IF(AO735&lt;=0,0,CA735*MAX(1,IF(H735&gt;0,AO735/H735,1))),IF(R735&gt;0,AP735/R735,0))/MAX(0.1,N(Parameter!$M$21)))</f>
        <v>0.0384615384615385</v>
      </c>
      <c r="AR735" s="50" t="n">
        <f aca="false">AQ735*BY735</f>
        <v>5.96153846153846</v>
      </c>
      <c r="AS735" s="50" t="n">
        <f aca="false">AO735*G735</f>
        <v>0</v>
      </c>
      <c r="AT735" s="50" t="n">
        <f aca="false">ROUNDUP(MAX(J735/IF(CD735&gt;0,CD735,MAX(0.1,N(Cockpit!$I$6))),CG735)/BV735,0)*BV735</f>
        <v>20</v>
      </c>
      <c r="AU735" s="51" t="n">
        <f aca="false">IF(AR735&gt;0,J735/AR735,-1)</f>
        <v>0</v>
      </c>
      <c r="AV735" s="51" t="n">
        <f aca="false">IF(AND(OR(CC735="L1",CC735="L23",CC735="LIFT"),AR735&gt;0),SUMIFS($AR$7:$AR$1843,$CC$7:$CC$1843,CC735,$AU$7:$AU$1843,"&gt;"&amp;AU735)+SUMIFS($AR$7:$AR$1843,$CC$7:$CC$1843,CC735,$AU$7:$AU$1843,AU735,$BT$7:$BT$1843,"&lt;="&amp;BT735),"")</f>
        <v>40221.0696048302</v>
      </c>
      <c r="AW735" s="58" t="n">
        <f aca="false">IF(AV735="",0,MAX(0,MIN(1,(IF(CC735="L1",Parameter!$H$5,IF(CC735="L23",Parameter!$H$6+Parameter!$H$7,Parameter!$H$5+Parameter!$H$6+Parameter!$H$7))-(AV735-AR735))/AR735)))</f>
        <v>0</v>
      </c>
      <c r="AX735" s="50" t="n">
        <f aca="false">IF(LEFT(Cockpit!$O$5,1)="A",H735,IF(CE735=1,CF735,IF(LEFT(Cockpit!$O$5,1)="B",BC735,MAX(BC735,H735))))</f>
        <v>20</v>
      </c>
      <c r="AY735" s="50" t="n">
        <f aca="false">IF(BW735=1,0,ROUNDUP(AX735/BV735,0))</f>
        <v>1</v>
      </c>
      <c r="AZ735" s="52" t="n">
        <f aca="false">IF(CL735&gt;0,CL735*MAX(1,AX735/X735),IF(BW735=1,IF(AX735&lt;=0,0,CA735*MAX(1,IF(H735&gt;0,AX735/H735,1))),IF(R735&gt;0,AY735/R735,0))/MAX(0.1,N(Parameter!$M$21)))</f>
        <v>0.0384615384615385</v>
      </c>
      <c r="BA735" s="50" t="n">
        <f aca="false">AZ735*BY735</f>
        <v>5.96153846153846</v>
      </c>
      <c r="BB735" s="50" t="n">
        <f aca="false">AX735*G735</f>
        <v>0</v>
      </c>
      <c r="BC735" s="50" t="n">
        <f aca="false">ROUNDUP(MAX(J735/IF(CD735&gt;0,CD735,MAX(0.1,N(Cockpit!$O$6))),CG735)/BV735,0)*BV735</f>
        <v>20</v>
      </c>
      <c r="BD735" s="51" t="n">
        <f aca="false">IF(BA735&gt;0,J735/BA735,-1)</f>
        <v>0</v>
      </c>
      <c r="BE735" s="51" t="n">
        <f aca="false">IF(AND(OR(CC735="L1",CC735="L23",CC735="LIFT"),BA735&gt;0),SUMIFS($BA$7:$BA$1843,$CC$7:$CC$1843,CC735,$BD$7:$BD$1843,"&gt;"&amp;BD735)+SUMIFS($BA$7:$BA$1843,$CC$7:$CC$1843,CC735,$BD$7:$BD$1843,BD735,$BT$7:$BT$1843,"&lt;="&amp;BT735),"")</f>
        <v>36896.0816466961</v>
      </c>
      <c r="BF735" s="58" t="n">
        <f aca="false">IF(BE735="",0,MAX(0,MIN(1,(IF(CC735="L1",Parameter!$H$5,IF(CC735="L23",Parameter!$H$6+Parameter!$H$7,Parameter!$H$5+Parameter!$H$6+Parameter!$H$7))-(BE735-BA735))/BA735)))</f>
        <v>0</v>
      </c>
      <c r="BG735" s="48" t="str">
        <f aca="false">IF(AI735&lt;=0,"",IF(CC735="Aussen","Aussenlager",IF(CC735="-","Nicht im Lift",IF(AN735&gt;=1,"Lift",IF(AN735&lt;=0,"Aussenlager","teilweise")))))</f>
        <v/>
      </c>
      <c r="BH735" s="48" t="str">
        <f aca="false">IF(AR735&lt;=0,"",IF(CC735="Aussen","Aussenlager",IF(CC735="-","Nicht im Lift",IF(AW735&gt;=1,"Lift",IF(AW735&lt;=0,"Aussenlager","teilweise")))))</f>
        <v>Aussenlager</v>
      </c>
      <c r="BI735" s="48" t="str">
        <f aca="false">IF(BA735&lt;=0,"",IF(CC735="Aussen","Aussenlager",IF(CC735="-","Nicht im Lift",IF(BF735&gt;=1,"Lift",IF(BF735&lt;=0,"Aussenlager","teilweise")))))</f>
        <v>Aussenlager</v>
      </c>
      <c r="BJ735" s="48" t="str">
        <f aca="false">IF(A735="","",IF(BS735=1,"Neu; ","")&amp;IF(AND(BS735=0,BN735&lt;0),"negativer Bestand (Export "&amp;BN735&amp;"); ","")&amp;IF(J735&lt;=0,"Kein Verbrauch; ","")&amp;IF(CL735&gt;0,"Lift "&amp;W735&amp;" lt. Liftbericht (Fach "&amp;X735&amp;" Stk); ",IF(BX735=1,"Gebinde geschätzt ("&amp;T735&amp;"); ",IF(BW735=1,"Lose – Tablare geschätzt; ","")))&amp;IF(H735&gt;AT735,"Überbestand "&amp;ROUND(H735-AT735,0)&amp;" Stk / CHF "&amp;ROUND((H735-AT735)*G735,0)&amp;"; ","")&amp;IF(AND(CE735=1,CF735&lt;CG735),"MAX &lt; MB+LG; ","")&amp;IF(AND(CK735&gt;0,CJ735*10&gt;CK735),"zu hoch für Tablar; ","")&amp;IF(AND(BS735=0,OR(CE735=1,AA735&lt;&gt;"",U735&lt;&gt;"",V735&lt;&gt;"",AB735&lt;&gt;"")),"manuell übersteuert; ","")&amp;IF(AND(BW735=0,R735=0),"Gebinde unbekannt / Stellmass fehlt; ","")&amp;IF(AND(BW735=0,N(V735)&lt;=0,N(Q735)&lt;=0),"Menge pro Gebinde fehlt (Ist = 1 Gebinde); ","")&amp;BR735)</f>
        <v>negativer Bestand (Export -1); Kein Verbrauch; Gebinde geschätzt (Klein); Menge pro Gebinde fehlt (Ist = 1 Gebinde); </v>
      </c>
      <c r="BK735" s="48"/>
      <c r="BL735" s="48"/>
      <c r="BM735" s="55"/>
      <c r="BN735" s="50" t="n">
        <v>-1</v>
      </c>
      <c r="BO735" s="50" t="n">
        <v>1</v>
      </c>
      <c r="BP735" s="49" t="n">
        <v>0</v>
      </c>
      <c r="BQ735" s="50" t="n">
        <v>0</v>
      </c>
      <c r="BR735" s="48"/>
      <c r="BS735" s="53" t="n">
        <v>0</v>
      </c>
      <c r="BT735" s="53" t="n">
        <v>735</v>
      </c>
      <c r="BU735" s="48" t="str">
        <f aca="false">IF(U735&lt;&gt;"",UPPER(TRIM(U735)),IF(BX735=1,UPPER(VLOOKUP(T735,Parameter!$I$27:$K$29,2,0)),IF(P735="","LOSE",P735)))</f>
        <v>S51</v>
      </c>
      <c r="BV735" s="50" t="n">
        <f aca="false">IF(BU735="LOSE",1,IF(N(V735)&gt;0,V735,IF(BX735=1,MAX(1,N(VLOOKUP(T735,Parameter!$I$27:$K$29,3,0)),H735,N(N735)),IF(N(Q735)&gt;0,Q735,MAX(1,H735)))))</f>
        <v>20</v>
      </c>
      <c r="BW735" s="53" t="n">
        <f aca="false">IF(BU735="LOSE",1,0)</f>
        <v>0</v>
      </c>
      <c r="BX735" s="53" t="n">
        <f aca="false">IF(AND(U735="",OR(P735="",P735="LOSE"),T735&lt;&gt;"",N(S735)&lt;=0,ISNUMBER(MATCH(T735,Parameter!$I$27:$I$29,0))),1,0)</f>
        <v>1</v>
      </c>
      <c r="BY735" s="53" t="n">
        <f aca="false">IF(CL735&gt;0,INDEX(Parameter!$H$5:$H$7,W735)/INDEX(Parameter!$E$5:$E$7,W735),IF(AND(BW735=0,N(IFERROR(VLOOKUP(BU735,'Gebinde-Kategorie'!$A$5:$N$45,14,0),0))&gt;0),VLOOKUP(BU735,'Gebinde-Kategorie'!$A$5:$N$45,14,0)*10+Parameter!$M$23,Parameter!$M$24))</f>
        <v>155</v>
      </c>
      <c r="BZ735" s="48" t="str">
        <f aca="false">IF(AND(Parameter!$B$19="Ja",E735&lt;&gt;"",ISNUMBER(MATCH(E735,Parameter!$I$35:$I$52,0))),VLOOKUP(E735,Parameter!$I$35:$J$52,2,0),IFERROR(VLOOKUP(D735,Parameter!$A$35:$C$64,2,0),"Nein"))</f>
        <v>2+3</v>
      </c>
      <c r="CA735" s="52" t="n">
        <f aca="false">IF(BW735=0,0,IF(N(S735)&gt;0,S735,IFERROR(VLOOKUP(D735,Parameter!$A$35:$C$64,3,0)+0,0)))</f>
        <v>0</v>
      </c>
      <c r="CB735" s="48" t="n">
        <f aca="false">IF(AA735&lt;&gt;"",AA735,Z735)</f>
        <v>3</v>
      </c>
      <c r="CC735" s="48" t="str">
        <f aca="false">IF(OR(CB735=1,CB735=2,CB735=3),IF(Parameter!$E$27="Ja","LIFT",IF(CB735=1,"L1","L23")),IF(CB735="Aussen","Aussen","-"))</f>
        <v>LIFT</v>
      </c>
      <c r="CD735" s="59" t="n">
        <f aca="false">IF(N(AB735)&gt;0,AB735,0)</f>
        <v>0</v>
      </c>
      <c r="CE735" s="53" t="n">
        <f aca="false">IF(ISNUMBER(AE735),1,0)</f>
        <v>0</v>
      </c>
      <c r="CF735" s="50" t="n">
        <f aca="false">N(AE735)</f>
        <v>0</v>
      </c>
      <c r="CG735" s="50" t="n">
        <f aca="false">N(M735)+N(N735)</f>
        <v>1</v>
      </c>
      <c r="CH735" s="50" t="n">
        <f aca="false">ROUNDUP(H735/BV735,0)</f>
        <v>0</v>
      </c>
      <c r="CI735" s="50" t="n">
        <f aca="false">ROUNDUP(CF735/BV735,0)</f>
        <v>0</v>
      </c>
      <c r="CJ735" s="53" t="n">
        <f aca="false">IF(BW735=1,0,IFERROR(VLOOKUP(BU735,'Gebinde-Kategorie'!$A$5:$N$45,5,0)+0,0))</f>
        <v>11</v>
      </c>
      <c r="CK735" s="53" t="n">
        <f aca="false">IFERROR(IF(OR(CB735=1,CB735=2,CB735=3),N(INDEX(Parameter!$I$5:$I$7,CB735)),0),0)</f>
        <v>0</v>
      </c>
      <c r="CL735" s="52" t="n">
        <f aca="false">IF(AND(Parameter!$B$21="Ja",ISNUMBER(W735),N(X735)&gt;0),IFERROR(N(INDEX(Parameter!$L$5:$L$7,W735))*INDEX(Parameter!$E$5:$E$7,W735)*X735/SUMIFS($X$7:$X$1843,$W$7:$W$1843,W735),0),0)</f>
        <v>0</v>
      </c>
    </row>
    <row r="736" customFormat="false" ht="15" hidden="false" customHeight="false" outlineLevel="0" collapsed="false">
      <c r="A736" s="48" t="s">
        <v>1461</v>
      </c>
      <c r="B736" s="48" t="s">
        <v>1462</v>
      </c>
      <c r="C736" s="48" t="s">
        <v>168</v>
      </c>
      <c r="D736" s="48" t="s">
        <v>188</v>
      </c>
      <c r="E736" s="48"/>
      <c r="F736" s="48" t="s">
        <v>222</v>
      </c>
      <c r="G736" s="49" t="n">
        <v>16.35</v>
      </c>
      <c r="H736" s="50" t="n">
        <f aca="false">MAX(0,IF(AND(Parameter!$B$21="Ja",ISNUMBER(Y736)),Y736,IF(Parameter!$B$20="Jahresanfang 2025 + Export",BO736+BN736,BN736)))</f>
        <v>0</v>
      </c>
      <c r="I736" s="50" t="n">
        <f aca="false">H736*G736</f>
        <v>0</v>
      </c>
      <c r="J736" s="50" t="n">
        <f aca="false">BQ736*Parameter!$B$18</f>
        <v>72</v>
      </c>
      <c r="K736" s="51" t="n">
        <v>0</v>
      </c>
      <c r="L736" s="52" t="n">
        <v>0</v>
      </c>
      <c r="M736" s="50" t="n">
        <v>0</v>
      </c>
      <c r="N736" s="50" t="n">
        <v>0</v>
      </c>
      <c r="O736" s="53" t="n">
        <v>21</v>
      </c>
      <c r="P736" s="48" t="s">
        <v>172</v>
      </c>
      <c r="Q736" s="50"/>
      <c r="R736" s="53" t="n">
        <f aca="false">IF(BW736=1,0,IFERROR(VLOOKUP(BU736,'Gebinde-Kategorie'!$A$5:$N$45,13,0)+0,0))</f>
        <v>4</v>
      </c>
      <c r="S736" s="54"/>
      <c r="T736" s="55" t="s">
        <v>193</v>
      </c>
      <c r="U736" s="55"/>
      <c r="V736" s="55"/>
      <c r="W736" s="48"/>
      <c r="X736" s="50"/>
      <c r="Y736" s="50"/>
      <c r="Z736" s="48" t="n">
        <f aca="false">IF(A736="","",IF(AND(Parameter!$B$21="Ja",ISNUMBER(W736)),W736,IF(BZ736="2+3",IF(ISNUMBER(SEARCH("grosser Artikel",BR736)),2,IFERROR(VLOOKUP(BU736,Parameter!$F$35:$G$64,2,0),2)),IF(OR(BZ736="Nein",BZ736=""),"-",BZ736))))</f>
        <v>2</v>
      </c>
      <c r="AA736" s="55"/>
      <c r="AB736" s="56"/>
      <c r="AC736" s="50" t="n">
        <f aca="false">AT736</f>
        <v>36</v>
      </c>
      <c r="AD736" s="50" t="n">
        <f aca="false">MAX(AT736,H736)</f>
        <v>36</v>
      </c>
      <c r="AE736" s="57"/>
      <c r="AF736" s="50" t="n">
        <f aca="false">IF(LEFT(Cockpit!$C$5,1)="A",H736,IF(CE736=1,CF736,IF(LEFT(Cockpit!$C$5,1)="B",AK736,MAX(AK736,H736))))</f>
        <v>0</v>
      </c>
      <c r="AG736" s="50" t="n">
        <f aca="false">IF(BW736=1,0,ROUNDUP(AF736/BV736,0))</f>
        <v>0</v>
      </c>
      <c r="AH736" s="52" t="n">
        <f aca="false">IF(CL736&gt;0,CL736*MAX(1,AF736/X736),IF(BW736=1,IF(AF736&lt;=0,0,CA736*MAX(1,IF(H736&gt;0,AF736/H736,1))),IF(R736&gt;0,AG736/R736,0))/MAX(0.1,N(Parameter!$M$21)))</f>
        <v>0</v>
      </c>
      <c r="AI736" s="50" t="n">
        <f aca="false">AH736*BY736</f>
        <v>0</v>
      </c>
      <c r="AJ736" s="50" t="n">
        <f aca="false">AF736*G736</f>
        <v>0</v>
      </c>
      <c r="AK736" s="50" t="n">
        <f aca="false">ROUNDUP(MAX(J736/IF(CD736&gt;0,CD736,MAX(0.1,N(Cockpit!$C$6))),CG736)/BV736,0)*BV736</f>
        <v>36</v>
      </c>
      <c r="AL736" s="51" t="n">
        <f aca="false">IF(AI736&gt;0,J736/AI736,-1)</f>
        <v>-1</v>
      </c>
      <c r="AM736" s="51" t="str">
        <f aca="false">IF(AND(OR(CC736="L1",CC736="L23",CC736="LIFT"),AI736&gt;0),SUMIFS($AI$7:$AI$1843,$CC$7:$CC$1843,CC736,$AL$7:$AL$1843,"&gt;"&amp;AL736)+SUMIFS($AI$7:$AI$1843,$CC$7:$CC$1843,CC736,$AL$7:$AL$1843,AL736,$BT$7:$BT$1843,"&lt;="&amp;BT736),"")</f>
        <v/>
      </c>
      <c r="AN736" s="58" t="n">
        <f aca="false">IF(AM736="",0,MAX(0,MIN(1,(IF(CC736="L1",Parameter!$H$5,IF(CC736="L23",Parameter!$H$6+Parameter!$H$7,Parameter!$H$5+Parameter!$H$6+Parameter!$H$7))-(AM736-AI736))/AI736)))</f>
        <v>0</v>
      </c>
      <c r="AO736" s="50" t="n">
        <f aca="false">IF(LEFT(Cockpit!$I$5,1)="A",H736,IF(CE736=1,CF736,IF(LEFT(Cockpit!$I$5,1)="B",AT736,MAX(AT736,H736))))</f>
        <v>36</v>
      </c>
      <c r="AP736" s="50" t="n">
        <f aca="false">IF(BW736=1,0,ROUNDUP(AO736/BV736,0))</f>
        <v>18</v>
      </c>
      <c r="AQ736" s="52" t="n">
        <f aca="false">IF(CL736&gt;0,CL736*MAX(1,AO736/X736),IF(BW736=1,IF(AO736&lt;=0,0,CA736*MAX(1,IF(H736&gt;0,AO736/H736,1))),IF(R736&gt;0,AP736/R736,0))/MAX(0.1,N(Parameter!$M$21)))</f>
        <v>4.5</v>
      </c>
      <c r="AR736" s="50" t="n">
        <f aca="false">AQ736*BY736</f>
        <v>1057.5</v>
      </c>
      <c r="AS736" s="50" t="n">
        <f aca="false">AO736*G736</f>
        <v>588.6</v>
      </c>
      <c r="AT736" s="50" t="n">
        <f aca="false">ROUNDUP(MAX(J736/IF(CD736&gt;0,CD736,MAX(0.1,N(Cockpit!$I$6))),CG736)/BV736,0)*BV736</f>
        <v>36</v>
      </c>
      <c r="AU736" s="51" t="n">
        <f aca="false">IF(AR736&gt;0,J736/AR736,-1)</f>
        <v>0.0680851063829787</v>
      </c>
      <c r="AV736" s="51" t="n">
        <f aca="false">IF(AND(OR(CC736="L1",CC736="L23",CC736="LIFT"),AR736&gt;0),SUMIFS($AR$7:$AR$1843,$CC$7:$CC$1843,CC736,$AU$7:$AU$1843,"&gt;"&amp;AU736)+SUMIFS($AR$7:$AR$1843,$CC$7:$CC$1843,CC736,$AU$7:$AU$1843,AU736,$BT$7:$BT$1843,"&lt;="&amp;BT736),"")</f>
        <v>28985.6654585998</v>
      </c>
      <c r="AW736" s="58" t="n">
        <f aca="false">IF(AV736="",0,MAX(0,MIN(1,(IF(CC736="L1",Parameter!$H$5,IF(CC736="L23",Parameter!$H$6+Parameter!$H$7,Parameter!$H$5+Parameter!$H$6+Parameter!$H$7))-(AV736-AR736))/AR736)))</f>
        <v>1</v>
      </c>
      <c r="AX736" s="50" t="n">
        <f aca="false">IF(LEFT(Cockpit!$O$5,1)="A",H736,IF(CE736=1,CF736,IF(LEFT(Cockpit!$O$5,1)="B",BC736,MAX(BC736,H736))))</f>
        <v>24</v>
      </c>
      <c r="AY736" s="50" t="n">
        <f aca="false">IF(BW736=1,0,ROUNDUP(AX736/BV736,0))</f>
        <v>12</v>
      </c>
      <c r="AZ736" s="52" t="n">
        <f aca="false">IF(CL736&gt;0,CL736*MAX(1,AX736/X736),IF(BW736=1,IF(AX736&lt;=0,0,CA736*MAX(1,IF(H736&gt;0,AX736/H736,1))),IF(R736&gt;0,AY736/R736,0))/MAX(0.1,N(Parameter!$M$21)))</f>
        <v>3</v>
      </c>
      <c r="BA736" s="50" t="n">
        <f aca="false">AZ736*BY736</f>
        <v>705</v>
      </c>
      <c r="BB736" s="50" t="n">
        <f aca="false">AX736*G736</f>
        <v>392.4</v>
      </c>
      <c r="BC736" s="50" t="n">
        <f aca="false">ROUNDUP(MAX(J736/IF(CD736&gt;0,CD736,MAX(0.1,N(Cockpit!$O$6))),CG736)/BV736,0)*BV736</f>
        <v>24</v>
      </c>
      <c r="BD736" s="51" t="n">
        <f aca="false">IF(BA736&gt;0,J736/BA736,-1)</f>
        <v>0.102127659574468</v>
      </c>
      <c r="BE736" s="51" t="n">
        <f aca="false">IF(AND(OR(CC736="L1",CC736="L23",CC736="LIFT"),BA736&gt;0),SUMIFS($BA$7:$BA$1843,$CC$7:$CC$1843,CC736,$BD$7:$BD$1843,"&gt;"&amp;BD736)+SUMIFS($BA$7:$BA$1843,$CC$7:$CC$1843,CC736,$BD$7:$BD$1843,BD736,$BT$7:$BT$1843,"&lt;="&amp;BT736),"")</f>
        <v>22175.9268485752</v>
      </c>
      <c r="BF736" s="58" t="n">
        <f aca="false">IF(BE736="",0,MAX(0,MIN(1,(IF(CC736="L1",Parameter!$H$5,IF(CC736="L23",Parameter!$H$6+Parameter!$H$7,Parameter!$H$5+Parameter!$H$6+Parameter!$H$7))-(BE736-BA736))/BA736)))</f>
        <v>1</v>
      </c>
      <c r="BG736" s="48" t="str">
        <f aca="false">IF(AI736&lt;=0,"",IF(CC736="Aussen","Aussenlager",IF(CC736="-","Nicht im Lift",IF(AN736&gt;=1,"Lift",IF(AN736&lt;=0,"Aussenlager","teilweise")))))</f>
        <v/>
      </c>
      <c r="BH736" s="48" t="str">
        <f aca="false">IF(AR736&lt;=0,"",IF(CC736="Aussen","Aussenlager",IF(CC736="-","Nicht im Lift",IF(AW736&gt;=1,"Lift",IF(AW736&lt;=0,"Aussenlager","teilweise")))))</f>
        <v>Lift</v>
      </c>
      <c r="BI736" s="48" t="str">
        <f aca="false">IF(BA736&lt;=0,"",IF(CC736="Aussen","Aussenlager",IF(CC736="-","Nicht im Lift",IF(BF736&gt;=1,"Lift",IF(BF736&lt;=0,"Aussenlager","teilweise")))))</f>
        <v>Lift</v>
      </c>
      <c r="BJ736" s="48" t="str">
        <f aca="false">IF(A736="","",IF(BS736=1,"Neu; ","")&amp;IF(AND(BS736=0,BN736&lt;0),"negativer Bestand (Export "&amp;BN736&amp;"); ","")&amp;IF(J736&lt;=0,"Kein Verbrauch; ","")&amp;IF(CL736&gt;0,"Lift "&amp;W736&amp;" lt. Liftbericht (Fach "&amp;X736&amp;" Stk); ",IF(BX736=1,"Gebinde geschätzt ("&amp;T736&amp;"); ",IF(BW736=1,"Lose – Tablare geschätzt; ","")))&amp;IF(H736&gt;AT736,"Überbestand "&amp;ROUND(H736-AT736,0)&amp;" Stk / CHF "&amp;ROUND((H736-AT736)*G736,0)&amp;"; ","")&amp;IF(AND(CE736=1,CF736&lt;CG736),"MAX &lt; MB+LG; ","")&amp;IF(AND(CK736&gt;0,CJ736*10&gt;CK736),"zu hoch für Tablar; ","")&amp;IF(AND(BS736=0,OR(CE736=1,AA736&lt;&gt;"",U736&lt;&gt;"",V736&lt;&gt;"",AB736&lt;&gt;"")),"manuell übersteuert; ","")&amp;IF(AND(BW736=0,R736=0),"Gebinde unbekannt / Stellmass fehlt; ","")&amp;IF(AND(BW736=0,N(V736)&lt;=0,N(Q736)&lt;=0),"Menge pro Gebinde fehlt (Ist = 1 Gebinde); ","")&amp;BR736)</f>
        <v>Gebinde geschätzt (Gross); Menge pro Gebinde fehlt (Ist = 1 Gebinde); </v>
      </c>
      <c r="BK736" s="48"/>
      <c r="BL736" s="48"/>
      <c r="BM736" s="55"/>
      <c r="BN736" s="50" t="n">
        <v>0</v>
      </c>
      <c r="BO736" s="50" t="n">
        <v>0</v>
      </c>
      <c r="BP736" s="49" t="n">
        <v>0</v>
      </c>
      <c r="BQ736" s="50" t="n">
        <v>72</v>
      </c>
      <c r="BR736" s="48"/>
      <c r="BS736" s="53" t="n">
        <v>0</v>
      </c>
      <c r="BT736" s="53" t="n">
        <v>736</v>
      </c>
      <c r="BU736" s="48" t="str">
        <f aca="false">IF(U736&lt;&gt;"",UPPER(TRIM(U736)),IF(BX736=1,UPPER(VLOOKUP(T736,Parameter!$I$27:$K$29,2,0)),IF(P736="","LOSE",P736)))</f>
        <v>S81</v>
      </c>
      <c r="BV736" s="50" t="n">
        <f aca="false">IF(BU736="LOSE",1,IF(N(V736)&gt;0,V736,IF(BX736=1,MAX(1,N(VLOOKUP(T736,Parameter!$I$27:$K$29,3,0)),H736,N(N736)),IF(N(Q736)&gt;0,Q736,MAX(1,H736)))))</f>
        <v>2</v>
      </c>
      <c r="BW736" s="53" t="n">
        <f aca="false">IF(BU736="LOSE",1,0)</f>
        <v>0</v>
      </c>
      <c r="BX736" s="53" t="n">
        <f aca="false">IF(AND(U736="",OR(P736="",P736="LOSE"),T736&lt;&gt;"",N(S736)&lt;=0,ISNUMBER(MATCH(T736,Parameter!$I$27:$I$29,0))),1,0)</f>
        <v>1</v>
      </c>
      <c r="BY736" s="53" t="n">
        <f aca="false">IF(CL736&gt;0,INDEX(Parameter!$H$5:$H$7,W736)/INDEX(Parameter!$E$5:$E$7,W736),IF(AND(BW736=0,N(IFERROR(VLOOKUP(BU736,'Gebinde-Kategorie'!$A$5:$N$45,14,0),0))&gt;0),VLOOKUP(BU736,'Gebinde-Kategorie'!$A$5:$N$45,14,0)*10+Parameter!$M$23,Parameter!$M$24))</f>
        <v>235</v>
      </c>
      <c r="BZ736" s="48" t="str">
        <f aca="false">IF(AND(Parameter!$B$19="Ja",E736&lt;&gt;"",ISNUMBER(MATCH(E736,Parameter!$I$35:$I$52,0))),VLOOKUP(E736,Parameter!$I$35:$J$52,2,0),IFERROR(VLOOKUP(D736,Parameter!$A$35:$C$64,2,0),"Nein"))</f>
        <v>2+3</v>
      </c>
      <c r="CA736" s="52" t="n">
        <f aca="false">IF(BW736=0,0,IF(N(S736)&gt;0,S736,IFERROR(VLOOKUP(D736,Parameter!$A$35:$C$64,3,0)+0,0)))</f>
        <v>0</v>
      </c>
      <c r="CB736" s="48" t="n">
        <f aca="false">IF(AA736&lt;&gt;"",AA736,Z736)</f>
        <v>2</v>
      </c>
      <c r="CC736" s="48" t="str">
        <f aca="false">IF(OR(CB736=1,CB736=2,CB736=3),IF(Parameter!$E$27="Ja","LIFT",IF(CB736=1,"L1","L23")),IF(CB736="Aussen","Aussen","-"))</f>
        <v>LIFT</v>
      </c>
      <c r="CD736" s="59" t="n">
        <f aca="false">IF(N(AB736)&gt;0,AB736,0)</f>
        <v>0</v>
      </c>
      <c r="CE736" s="53" t="n">
        <f aca="false">IF(ISNUMBER(AE736),1,0)</f>
        <v>0</v>
      </c>
      <c r="CF736" s="50" t="n">
        <f aca="false">N(AE736)</f>
        <v>0</v>
      </c>
      <c r="CG736" s="50" t="n">
        <f aca="false">N(M736)+N(N736)</f>
        <v>0</v>
      </c>
      <c r="CH736" s="50" t="n">
        <f aca="false">ROUNDUP(H736/BV736,0)</f>
        <v>0</v>
      </c>
      <c r="CI736" s="50" t="n">
        <f aca="false">ROUNDUP(CF736/BV736,0)</f>
        <v>0</v>
      </c>
      <c r="CJ736" s="53" t="n">
        <f aca="false">IF(BW736=1,0,IFERROR(VLOOKUP(BU736,'Gebinde-Kategorie'!$A$5:$N$45,5,0)+0,0))</f>
        <v>20</v>
      </c>
      <c r="CK736" s="53" t="n">
        <f aca="false">IFERROR(IF(OR(CB736=1,CB736=2,CB736=3),N(INDEX(Parameter!$I$5:$I$7,CB736)),0),0)</f>
        <v>0</v>
      </c>
      <c r="CL736" s="52" t="n">
        <f aca="false">IF(AND(Parameter!$B$21="Ja",ISNUMBER(W736),N(X736)&gt;0),IFERROR(N(INDEX(Parameter!$L$5:$L$7,W736))*INDEX(Parameter!$E$5:$E$7,W736)*X736/SUMIFS($X$7:$X$1843,$W$7:$W$1843,W736),0),0)</f>
        <v>0</v>
      </c>
    </row>
    <row r="737" customFormat="false" ht="15" hidden="false" customHeight="false" outlineLevel="0" collapsed="false">
      <c r="A737" s="48" t="s">
        <v>1463</v>
      </c>
      <c r="B737" s="48" t="s">
        <v>1464</v>
      </c>
      <c r="C737" s="48" t="s">
        <v>168</v>
      </c>
      <c r="D737" s="48" t="s">
        <v>188</v>
      </c>
      <c r="E737" s="48" t="s">
        <v>189</v>
      </c>
      <c r="F737" s="48" t="s">
        <v>222</v>
      </c>
      <c r="G737" s="49" t="n">
        <v>914.73</v>
      </c>
      <c r="H737" s="50" t="n">
        <f aca="false">MAX(0,IF(AND(Parameter!$B$21="Ja",ISNUMBER(Y737)),Y737,IF(Parameter!$B$20="Jahresanfang 2025 + Export",BO737+BN737,BN737)))</f>
        <v>5</v>
      </c>
      <c r="I737" s="50" t="n">
        <f aca="false">H737*G737</f>
        <v>4573.65</v>
      </c>
      <c r="J737" s="50" t="n">
        <f aca="false">BQ737*Parameter!$B$18</f>
        <v>0</v>
      </c>
      <c r="K737" s="51" t="n">
        <v>5</v>
      </c>
      <c r="L737" s="52" t="n">
        <v>0</v>
      </c>
      <c r="M737" s="50" t="n">
        <v>0</v>
      </c>
      <c r="N737" s="50" t="n">
        <v>1</v>
      </c>
      <c r="O737" s="53" t="n">
        <v>14</v>
      </c>
      <c r="P737" s="48" t="s">
        <v>190</v>
      </c>
      <c r="Q737" s="50" t="n">
        <v>3</v>
      </c>
      <c r="R737" s="53" t="n">
        <f aca="false">IF(BW737=1,0,IFERROR(VLOOKUP(BU737,'Gebinde-Kategorie'!$A$5:$N$45,13,0)+0,0))</f>
        <v>12</v>
      </c>
      <c r="S737" s="54"/>
      <c r="T737" s="55"/>
      <c r="U737" s="55"/>
      <c r="V737" s="55"/>
      <c r="W737" s="48"/>
      <c r="X737" s="50"/>
      <c r="Y737" s="50"/>
      <c r="Z737" s="48" t="n">
        <f aca="false">IF(A737="","",IF(AND(Parameter!$B$21="Ja",ISNUMBER(W737)),W737,IF(BZ737="2+3",IF(ISNUMBER(SEARCH("grosser Artikel",BR737)),2,IFERROR(VLOOKUP(BU737,Parameter!$F$35:$G$64,2,0),2)),IF(OR(BZ737="Nein",BZ737=""),"-",BZ737))))</f>
        <v>2</v>
      </c>
      <c r="AA737" s="55"/>
      <c r="AB737" s="56"/>
      <c r="AC737" s="50" t="n">
        <f aca="false">AT737</f>
        <v>3</v>
      </c>
      <c r="AD737" s="50" t="n">
        <f aca="false">MAX(AT737,H737)</f>
        <v>5</v>
      </c>
      <c r="AE737" s="57"/>
      <c r="AF737" s="50" t="n">
        <f aca="false">IF(LEFT(Cockpit!$C$5,1)="A",H737,IF(CE737=1,CF737,IF(LEFT(Cockpit!$C$5,1)="B",AK737,MAX(AK737,H737))))</f>
        <v>5</v>
      </c>
      <c r="AG737" s="50" t="n">
        <f aca="false">IF(BW737=1,0,ROUNDUP(AF737/BV737,0))</f>
        <v>2</v>
      </c>
      <c r="AH737" s="52" t="n">
        <f aca="false">IF(CL737&gt;0,CL737*MAX(1,AF737/X737),IF(BW737=1,IF(AF737&lt;=0,0,CA737*MAX(1,IF(H737&gt;0,AF737/H737,1))),IF(R737&gt;0,AG737/R737,0))/MAX(0.1,N(Parameter!$M$21)))</f>
        <v>0.166666666666667</v>
      </c>
      <c r="AI737" s="50" t="n">
        <f aca="false">AH737*BY737</f>
        <v>24.1666666666667</v>
      </c>
      <c r="AJ737" s="50" t="n">
        <f aca="false">AF737*G737</f>
        <v>4573.65</v>
      </c>
      <c r="AK737" s="50" t="n">
        <f aca="false">ROUNDUP(MAX(J737/IF(CD737&gt;0,CD737,MAX(0.1,N(Cockpit!$C$6))),CG737)/BV737,0)*BV737</f>
        <v>3</v>
      </c>
      <c r="AL737" s="51" t="n">
        <f aca="false">IF(AI737&gt;0,J737/AI737,-1)</f>
        <v>0</v>
      </c>
      <c r="AM737" s="51" t="n">
        <f aca="false">IF(AND(OR(CC737="L1",CC737="L23",CC737="LIFT"),AI737&gt;0),SUMIFS($AI$7:$AI$1843,$CC$7:$CC$1843,CC737,$AL$7:$AL$1843,"&gt;"&amp;AL737)+SUMIFS($AI$7:$AI$1843,$CC$7:$CC$1843,CC737,$AL$7:$AL$1843,AL737,$BT$7:$BT$1843,"&lt;="&amp;BT737),"")</f>
        <v>28698.3476956189</v>
      </c>
      <c r="AN737" s="58" t="n">
        <f aca="false">IF(AM737="",0,MAX(0,MIN(1,(IF(CC737="L1",Parameter!$H$5,IF(CC737="L23",Parameter!$H$6+Parameter!$H$7,Parameter!$H$5+Parameter!$H$6+Parameter!$H$7))-(AM737-AI737))/AI737)))</f>
        <v>1</v>
      </c>
      <c r="AO737" s="50" t="n">
        <f aca="false">IF(LEFT(Cockpit!$I$5,1)="A",H737,IF(CE737=1,CF737,IF(LEFT(Cockpit!$I$5,1)="B",AT737,MAX(AT737,H737))))</f>
        <v>5</v>
      </c>
      <c r="AP737" s="50" t="n">
        <f aca="false">IF(BW737=1,0,ROUNDUP(AO737/BV737,0))</f>
        <v>2</v>
      </c>
      <c r="AQ737" s="52" t="n">
        <f aca="false">IF(CL737&gt;0,CL737*MAX(1,AO737/X737),IF(BW737=1,IF(AO737&lt;=0,0,CA737*MAX(1,IF(H737&gt;0,AO737/H737,1))),IF(R737&gt;0,AP737/R737,0))/MAX(0.1,N(Parameter!$M$21)))</f>
        <v>0.166666666666667</v>
      </c>
      <c r="AR737" s="50" t="n">
        <f aca="false">AQ737*BY737</f>
        <v>24.1666666666667</v>
      </c>
      <c r="AS737" s="50" t="n">
        <f aca="false">AO737*G737</f>
        <v>4573.65</v>
      </c>
      <c r="AT737" s="50" t="n">
        <f aca="false">ROUNDUP(MAX(J737/IF(CD737&gt;0,CD737,MAX(0.1,N(Cockpit!$I$6))),CG737)/BV737,0)*BV737</f>
        <v>3</v>
      </c>
      <c r="AU737" s="51" t="n">
        <f aca="false">IF(AR737&gt;0,J737/AR737,-1)</f>
        <v>0</v>
      </c>
      <c r="AV737" s="51" t="n">
        <f aca="false">IF(AND(OR(CC737="L1",CC737="L23",CC737="LIFT"),AR737&gt;0),SUMIFS($AR$7:$AR$1843,$CC$7:$CC$1843,CC737,$AU$7:$AU$1843,"&gt;"&amp;AU737)+SUMIFS($AR$7:$AR$1843,$CC$7:$CC$1843,CC737,$AU$7:$AU$1843,AU737,$BT$7:$BT$1843,"&lt;="&amp;BT737),"")</f>
        <v>40245.2362714969</v>
      </c>
      <c r="AW737" s="58" t="n">
        <f aca="false">IF(AV737="",0,MAX(0,MIN(1,(IF(CC737="L1",Parameter!$H$5,IF(CC737="L23",Parameter!$H$6+Parameter!$H$7,Parameter!$H$5+Parameter!$H$6+Parameter!$H$7))-(AV737-AR737))/AR737)))</f>
        <v>0</v>
      </c>
      <c r="AX737" s="50" t="n">
        <f aca="false">IF(LEFT(Cockpit!$O$5,1)="A",H737,IF(CE737=1,CF737,IF(LEFT(Cockpit!$O$5,1)="B",BC737,MAX(BC737,H737))))</f>
        <v>5</v>
      </c>
      <c r="AY737" s="50" t="n">
        <f aca="false">IF(BW737=1,0,ROUNDUP(AX737/BV737,0))</f>
        <v>2</v>
      </c>
      <c r="AZ737" s="52" t="n">
        <f aca="false">IF(CL737&gt;0,CL737*MAX(1,AX737/X737),IF(BW737=1,IF(AX737&lt;=0,0,CA737*MAX(1,IF(H737&gt;0,AX737/H737,1))),IF(R737&gt;0,AY737/R737,0))/MAX(0.1,N(Parameter!$M$21)))</f>
        <v>0.166666666666667</v>
      </c>
      <c r="BA737" s="50" t="n">
        <f aca="false">AZ737*BY737</f>
        <v>24.1666666666667</v>
      </c>
      <c r="BB737" s="50" t="n">
        <f aca="false">AX737*G737</f>
        <v>4573.65</v>
      </c>
      <c r="BC737" s="50" t="n">
        <f aca="false">ROUNDUP(MAX(J737/IF(CD737&gt;0,CD737,MAX(0.1,N(Cockpit!$O$6))),CG737)/BV737,0)*BV737</f>
        <v>3</v>
      </c>
      <c r="BD737" s="51" t="n">
        <f aca="false">IF(BA737&gt;0,J737/BA737,-1)</f>
        <v>0</v>
      </c>
      <c r="BE737" s="51" t="n">
        <f aca="false">IF(AND(OR(CC737="L1",CC737="L23",CC737="LIFT"),BA737&gt;0),SUMIFS($BA$7:$BA$1843,$CC$7:$CC$1843,CC737,$BD$7:$BD$1843,"&gt;"&amp;BD737)+SUMIFS($BA$7:$BA$1843,$CC$7:$CC$1843,CC737,$BD$7:$BD$1843,BD737,$BT$7:$BT$1843,"&lt;="&amp;BT737),"")</f>
        <v>36920.2483133627</v>
      </c>
      <c r="BF737" s="58" t="n">
        <f aca="false">IF(BE737="",0,MAX(0,MIN(1,(IF(CC737="L1",Parameter!$H$5,IF(CC737="L23",Parameter!$H$6+Parameter!$H$7,Parameter!$H$5+Parameter!$H$6+Parameter!$H$7))-(BE737-BA737))/BA737)))</f>
        <v>0</v>
      </c>
      <c r="BG737" s="48" t="str">
        <f aca="false">IF(AI737&lt;=0,"",IF(CC737="Aussen","Aussenlager",IF(CC737="-","Nicht im Lift",IF(AN737&gt;=1,"Lift",IF(AN737&lt;=0,"Aussenlager","teilweise")))))</f>
        <v>Lift</v>
      </c>
      <c r="BH737" s="48" t="str">
        <f aca="false">IF(AR737&lt;=0,"",IF(CC737="Aussen","Aussenlager",IF(CC737="-","Nicht im Lift",IF(AW737&gt;=1,"Lift",IF(AW737&lt;=0,"Aussenlager","teilweise")))))</f>
        <v>Aussenlager</v>
      </c>
      <c r="BI737" s="48" t="str">
        <f aca="false">IF(BA737&lt;=0,"",IF(CC737="Aussen","Aussenlager",IF(CC737="-","Nicht im Lift",IF(BF737&gt;=1,"Lift",IF(BF737&lt;=0,"Aussenlager","teilweise")))))</f>
        <v>Aussenlager</v>
      </c>
      <c r="BJ737" s="48" t="str">
        <f aca="false">IF(A737="","",IF(BS737=1,"Neu; ","")&amp;IF(AND(BS737=0,BN737&lt;0),"negativer Bestand (Export "&amp;BN737&amp;"); ","")&amp;IF(J737&lt;=0,"Kein Verbrauch; ","")&amp;IF(CL737&gt;0,"Lift "&amp;W737&amp;" lt. Liftbericht (Fach "&amp;X737&amp;" Stk); ",IF(BX737=1,"Gebinde geschätzt ("&amp;T737&amp;"); ",IF(BW737=1,"Lose – Tablare geschätzt; ","")))&amp;IF(H737&gt;AT737,"Überbestand "&amp;ROUND(H737-AT737,0)&amp;" Stk / CHF "&amp;ROUND((H737-AT737)*G737,0)&amp;"; ","")&amp;IF(AND(CE737=1,CF737&lt;CG737),"MAX &lt; MB+LG; ","")&amp;IF(AND(CK737&gt;0,CJ737*10&gt;CK737),"zu hoch für Tablar; ","")&amp;IF(AND(BS737=0,OR(CE737=1,AA737&lt;&gt;"",U737&lt;&gt;"",V737&lt;&gt;"",AB737&lt;&gt;"")),"manuell übersteuert; ","")&amp;IF(AND(BW737=0,R737=0),"Gebinde unbekannt / Stellmass fehlt; ","")&amp;IF(AND(BW737=0,N(V737)&lt;=0,N(Q737)&lt;=0),"Menge pro Gebinde fehlt (Ist = 1 Gebinde); ","")&amp;BR737)</f>
        <v>Kein Verbrauch; Überbestand 2 Stk / CHF 1829; Ohne Fuss</v>
      </c>
      <c r="BK737" s="48"/>
      <c r="BL737" s="48"/>
      <c r="BM737" s="55"/>
      <c r="BN737" s="50" t="n">
        <v>0</v>
      </c>
      <c r="BO737" s="50" t="n">
        <v>5</v>
      </c>
      <c r="BP737" s="49" t="n">
        <v>0</v>
      </c>
      <c r="BQ737" s="50" t="n">
        <v>0</v>
      </c>
      <c r="BR737" s="48" t="s">
        <v>1465</v>
      </c>
      <c r="BS737" s="53" t="n">
        <v>0</v>
      </c>
      <c r="BT737" s="53" t="n">
        <v>737</v>
      </c>
      <c r="BU737" s="48" t="str">
        <f aca="false">IF(U737&lt;&gt;"",UPPER(TRIM(U737)),IF(BX737=1,UPPER(VLOOKUP(T737,Parameter!$I$27:$K$29,2,0)),IF(P737="","LOSE",P737)))</f>
        <v>S61</v>
      </c>
      <c r="BV737" s="50" t="n">
        <f aca="false">IF(BU737="LOSE",1,IF(N(V737)&gt;0,V737,IF(BX737=1,MAX(1,N(VLOOKUP(T737,Parameter!$I$27:$K$29,3,0)),H737,N(N737)),IF(N(Q737)&gt;0,Q737,MAX(1,H737)))))</f>
        <v>3</v>
      </c>
      <c r="BW737" s="53" t="n">
        <f aca="false">IF(BU737="LOSE",1,0)</f>
        <v>0</v>
      </c>
      <c r="BX737" s="53" t="n">
        <f aca="false">IF(AND(U737="",OR(P737="",P737="LOSE"),T737&lt;&gt;"",N(S737)&lt;=0,ISNUMBER(MATCH(T737,Parameter!$I$27:$I$29,0))),1,0)</f>
        <v>0</v>
      </c>
      <c r="BY737" s="53" t="n">
        <f aca="false">IF(CL737&gt;0,INDEX(Parameter!$H$5:$H$7,W737)/INDEX(Parameter!$E$5:$E$7,W737),IF(AND(BW737=0,N(IFERROR(VLOOKUP(BU737,'Gebinde-Kategorie'!$A$5:$N$45,14,0),0))&gt;0),VLOOKUP(BU737,'Gebinde-Kategorie'!$A$5:$N$45,14,0)*10+Parameter!$M$23,Parameter!$M$24))</f>
        <v>145</v>
      </c>
      <c r="BZ737" s="48" t="str">
        <f aca="false">IF(AND(Parameter!$B$19="Ja",E737&lt;&gt;"",ISNUMBER(MATCH(E737,Parameter!$I$35:$I$52,0))),VLOOKUP(E737,Parameter!$I$35:$J$52,2,0),IFERROR(VLOOKUP(D737,Parameter!$A$35:$C$64,2,0),"Nein"))</f>
        <v>2+3</v>
      </c>
      <c r="CA737" s="52" t="n">
        <f aca="false">IF(BW737=0,0,IF(N(S737)&gt;0,S737,IFERROR(VLOOKUP(D737,Parameter!$A$35:$C$64,3,0)+0,0)))</f>
        <v>0</v>
      </c>
      <c r="CB737" s="48" t="n">
        <f aca="false">IF(AA737&lt;&gt;"",AA737,Z737)</f>
        <v>2</v>
      </c>
      <c r="CC737" s="48" t="str">
        <f aca="false">IF(OR(CB737=1,CB737=2,CB737=3),IF(Parameter!$E$27="Ja","LIFT",IF(CB737=1,"L1","L23")),IF(CB737="Aussen","Aussen","-"))</f>
        <v>LIFT</v>
      </c>
      <c r="CD737" s="59" t="n">
        <f aca="false">IF(N(AB737)&gt;0,AB737,0)</f>
        <v>0</v>
      </c>
      <c r="CE737" s="53" t="n">
        <f aca="false">IF(ISNUMBER(AE737),1,0)</f>
        <v>0</v>
      </c>
      <c r="CF737" s="50" t="n">
        <f aca="false">N(AE737)</f>
        <v>0</v>
      </c>
      <c r="CG737" s="50" t="n">
        <f aca="false">N(M737)+N(N737)</f>
        <v>1</v>
      </c>
      <c r="CH737" s="50" t="n">
        <f aca="false">ROUNDUP(H737/BV737,0)</f>
        <v>2</v>
      </c>
      <c r="CI737" s="50" t="n">
        <f aca="false">ROUNDUP(CF737/BV737,0)</f>
        <v>0</v>
      </c>
      <c r="CJ737" s="53" t="n">
        <f aca="false">IF(BW737=1,0,IFERROR(VLOOKUP(BU737,'Gebinde-Kategorie'!$A$5:$N$45,5,0)+0,0))</f>
        <v>11</v>
      </c>
      <c r="CK737" s="53" t="n">
        <f aca="false">IFERROR(IF(OR(CB737=1,CB737=2,CB737=3),N(INDEX(Parameter!$I$5:$I$7,CB737)),0),0)</f>
        <v>0</v>
      </c>
      <c r="CL737" s="52" t="n">
        <f aca="false">IF(AND(Parameter!$B$21="Ja",ISNUMBER(W737),N(X737)&gt;0),IFERROR(N(INDEX(Parameter!$L$5:$L$7,W737))*INDEX(Parameter!$E$5:$E$7,W737)*X737/SUMIFS($X$7:$X$1843,$W$7:$W$1843,W737),0),0)</f>
        <v>0</v>
      </c>
    </row>
    <row r="738" customFormat="false" ht="15" hidden="false" customHeight="false" outlineLevel="0" collapsed="false">
      <c r="A738" s="48" t="s">
        <v>1466</v>
      </c>
      <c r="B738" s="48" t="s">
        <v>1467</v>
      </c>
      <c r="C738" s="48" t="s">
        <v>168</v>
      </c>
      <c r="D738" s="48" t="s">
        <v>188</v>
      </c>
      <c r="E738" s="48" t="s">
        <v>189</v>
      </c>
      <c r="F738" s="48" t="s">
        <v>222</v>
      </c>
      <c r="G738" s="49" t="n">
        <v>170.05</v>
      </c>
      <c r="H738" s="50" t="n">
        <f aca="false">MAX(0,IF(AND(Parameter!$B$21="Ja",ISNUMBER(Y738)),Y738,IF(Parameter!$B$20="Jahresanfang 2025 + Export",BO738+BN738,BN738)))</f>
        <v>8</v>
      </c>
      <c r="I738" s="50" t="n">
        <f aca="false">H738*G738</f>
        <v>1360.4</v>
      </c>
      <c r="J738" s="50" t="n">
        <f aca="false">BQ738*Parameter!$B$18</f>
        <v>0</v>
      </c>
      <c r="K738" s="51" t="n">
        <v>8</v>
      </c>
      <c r="L738" s="52" t="n">
        <v>0</v>
      </c>
      <c r="M738" s="50" t="n">
        <v>0</v>
      </c>
      <c r="N738" s="50" t="n">
        <v>1</v>
      </c>
      <c r="O738" s="53" t="n">
        <v>28</v>
      </c>
      <c r="P738" s="48" t="s">
        <v>332</v>
      </c>
      <c r="Q738" s="50" t="n">
        <v>15</v>
      </c>
      <c r="R738" s="53" t="n">
        <f aca="false">IF(BW738=1,0,IFERROR(VLOOKUP(BU738,'Gebinde-Kategorie'!$A$5:$N$45,13,0)+0,0))</f>
        <v>52</v>
      </c>
      <c r="S738" s="54"/>
      <c r="T738" s="55"/>
      <c r="U738" s="55"/>
      <c r="V738" s="55"/>
      <c r="W738" s="48"/>
      <c r="X738" s="50"/>
      <c r="Y738" s="50"/>
      <c r="Z738" s="48" t="n">
        <f aca="false">IF(A738="","",IF(AND(Parameter!$B$21="Ja",ISNUMBER(W738)),W738,IF(BZ738="2+3",IF(ISNUMBER(SEARCH("grosser Artikel",BR738)),2,IFERROR(VLOOKUP(BU738,Parameter!$F$35:$G$64,2,0),2)),IF(OR(BZ738="Nein",BZ738=""),"-",BZ738))))</f>
        <v>3</v>
      </c>
      <c r="AA738" s="55"/>
      <c r="AB738" s="56"/>
      <c r="AC738" s="50" t="n">
        <f aca="false">AT738</f>
        <v>15</v>
      </c>
      <c r="AD738" s="50" t="n">
        <f aca="false">MAX(AT738,H738)</f>
        <v>15</v>
      </c>
      <c r="AE738" s="57"/>
      <c r="AF738" s="50" t="n">
        <f aca="false">IF(LEFT(Cockpit!$C$5,1)="A",H738,IF(CE738=1,CF738,IF(LEFT(Cockpit!$C$5,1)="B",AK738,MAX(AK738,H738))))</f>
        <v>8</v>
      </c>
      <c r="AG738" s="50" t="n">
        <f aca="false">IF(BW738=1,0,ROUNDUP(AF738/BV738,0))</f>
        <v>1</v>
      </c>
      <c r="AH738" s="52" t="n">
        <f aca="false">IF(CL738&gt;0,CL738*MAX(1,AF738/X738),IF(BW738=1,IF(AF738&lt;=0,0,CA738*MAX(1,IF(H738&gt;0,AF738/H738,1))),IF(R738&gt;0,AG738/R738,0))/MAX(0.1,N(Parameter!$M$21)))</f>
        <v>0.0192307692307692</v>
      </c>
      <c r="AI738" s="50" t="n">
        <f aca="false">AH738*BY738</f>
        <v>2.98076923076923</v>
      </c>
      <c r="AJ738" s="50" t="n">
        <f aca="false">AF738*G738</f>
        <v>1360.4</v>
      </c>
      <c r="AK738" s="50" t="n">
        <f aca="false">ROUNDUP(MAX(J738/IF(CD738&gt;0,CD738,MAX(0.1,N(Cockpit!$C$6))),CG738)/BV738,0)*BV738</f>
        <v>15</v>
      </c>
      <c r="AL738" s="51" t="n">
        <f aca="false">IF(AI738&gt;0,J738/AI738,-1)</f>
        <v>0</v>
      </c>
      <c r="AM738" s="51" t="n">
        <f aca="false">IF(AND(OR(CC738="L1",CC738="L23",CC738="LIFT"),AI738&gt;0),SUMIFS($AI$7:$AI$1843,$CC$7:$CC$1843,CC738,$AL$7:$AL$1843,"&gt;"&amp;AL738)+SUMIFS($AI$7:$AI$1843,$CC$7:$CC$1843,CC738,$AL$7:$AL$1843,AL738,$BT$7:$BT$1843,"&lt;="&amp;BT738),"")</f>
        <v>28701.3284648497</v>
      </c>
      <c r="AN738" s="58" t="n">
        <f aca="false">IF(AM738="",0,MAX(0,MIN(1,(IF(CC738="L1",Parameter!$H$5,IF(CC738="L23",Parameter!$H$6+Parameter!$H$7,Parameter!$H$5+Parameter!$H$6+Parameter!$H$7))-(AM738-AI738))/AI738)))</f>
        <v>1</v>
      </c>
      <c r="AO738" s="50" t="n">
        <f aca="false">IF(LEFT(Cockpit!$I$5,1)="A",H738,IF(CE738=1,CF738,IF(LEFT(Cockpit!$I$5,1)="B",AT738,MAX(AT738,H738))))</f>
        <v>15</v>
      </c>
      <c r="AP738" s="50" t="n">
        <f aca="false">IF(BW738=1,0,ROUNDUP(AO738/BV738,0))</f>
        <v>1</v>
      </c>
      <c r="AQ738" s="52" t="n">
        <f aca="false">IF(CL738&gt;0,CL738*MAX(1,AO738/X738),IF(BW738=1,IF(AO738&lt;=0,0,CA738*MAX(1,IF(H738&gt;0,AO738/H738,1))),IF(R738&gt;0,AP738/R738,0))/MAX(0.1,N(Parameter!$M$21)))</f>
        <v>0.0192307692307692</v>
      </c>
      <c r="AR738" s="50" t="n">
        <f aca="false">AQ738*BY738</f>
        <v>2.98076923076923</v>
      </c>
      <c r="AS738" s="50" t="n">
        <f aca="false">AO738*G738</f>
        <v>2550.75</v>
      </c>
      <c r="AT738" s="50" t="n">
        <f aca="false">ROUNDUP(MAX(J738/IF(CD738&gt;0,CD738,MAX(0.1,N(Cockpit!$I$6))),CG738)/BV738,0)*BV738</f>
        <v>15</v>
      </c>
      <c r="AU738" s="51" t="n">
        <f aca="false">IF(AR738&gt;0,J738/AR738,-1)</f>
        <v>0</v>
      </c>
      <c r="AV738" s="51" t="n">
        <f aca="false">IF(AND(OR(CC738="L1",CC738="L23",CC738="LIFT"),AR738&gt;0),SUMIFS($AR$7:$AR$1843,$CC$7:$CC$1843,CC738,$AU$7:$AU$1843,"&gt;"&amp;AU738)+SUMIFS($AR$7:$AR$1843,$CC$7:$CC$1843,CC738,$AU$7:$AU$1843,AU738,$BT$7:$BT$1843,"&lt;="&amp;BT738),"")</f>
        <v>40248.2170407276</v>
      </c>
      <c r="AW738" s="58" t="n">
        <f aca="false">IF(AV738="",0,MAX(0,MIN(1,(IF(CC738="L1",Parameter!$H$5,IF(CC738="L23",Parameter!$H$6+Parameter!$H$7,Parameter!$H$5+Parameter!$H$6+Parameter!$H$7))-(AV738-AR738))/AR738)))</f>
        <v>0</v>
      </c>
      <c r="AX738" s="50" t="n">
        <f aca="false">IF(LEFT(Cockpit!$O$5,1)="A",H738,IF(CE738=1,CF738,IF(LEFT(Cockpit!$O$5,1)="B",BC738,MAX(BC738,H738))))</f>
        <v>15</v>
      </c>
      <c r="AY738" s="50" t="n">
        <f aca="false">IF(BW738=1,0,ROUNDUP(AX738/BV738,0))</f>
        <v>1</v>
      </c>
      <c r="AZ738" s="52" t="n">
        <f aca="false">IF(CL738&gt;0,CL738*MAX(1,AX738/X738),IF(BW738=1,IF(AX738&lt;=0,0,CA738*MAX(1,IF(H738&gt;0,AX738/H738,1))),IF(R738&gt;0,AY738/R738,0))/MAX(0.1,N(Parameter!$M$21)))</f>
        <v>0.0192307692307692</v>
      </c>
      <c r="BA738" s="50" t="n">
        <f aca="false">AZ738*BY738</f>
        <v>2.98076923076923</v>
      </c>
      <c r="BB738" s="50" t="n">
        <f aca="false">AX738*G738</f>
        <v>2550.75</v>
      </c>
      <c r="BC738" s="50" t="n">
        <f aca="false">ROUNDUP(MAX(J738/IF(CD738&gt;0,CD738,MAX(0.1,N(Cockpit!$O$6))),CG738)/BV738,0)*BV738</f>
        <v>15</v>
      </c>
      <c r="BD738" s="51" t="n">
        <f aca="false">IF(BA738&gt;0,J738/BA738,-1)</f>
        <v>0</v>
      </c>
      <c r="BE738" s="51" t="n">
        <f aca="false">IF(AND(OR(CC738="L1",CC738="L23",CC738="LIFT"),BA738&gt;0),SUMIFS($BA$7:$BA$1843,$CC$7:$CC$1843,CC738,$BD$7:$BD$1843,"&gt;"&amp;BD738)+SUMIFS($BA$7:$BA$1843,$CC$7:$CC$1843,CC738,$BD$7:$BD$1843,BD738,$BT$7:$BT$1843,"&lt;="&amp;BT738),"")</f>
        <v>36923.2290825935</v>
      </c>
      <c r="BF738" s="58" t="n">
        <f aca="false">IF(BE738="",0,MAX(0,MIN(1,(IF(CC738="L1",Parameter!$H$5,IF(CC738="L23",Parameter!$H$6+Parameter!$H$7,Parameter!$H$5+Parameter!$H$6+Parameter!$H$7))-(BE738-BA738))/BA738)))</f>
        <v>0</v>
      </c>
      <c r="BG738" s="48" t="str">
        <f aca="false">IF(AI738&lt;=0,"",IF(CC738="Aussen","Aussenlager",IF(CC738="-","Nicht im Lift",IF(AN738&gt;=1,"Lift",IF(AN738&lt;=0,"Aussenlager","teilweise")))))</f>
        <v>Lift</v>
      </c>
      <c r="BH738" s="48" t="str">
        <f aca="false">IF(AR738&lt;=0,"",IF(CC738="Aussen","Aussenlager",IF(CC738="-","Nicht im Lift",IF(AW738&gt;=1,"Lift",IF(AW738&lt;=0,"Aussenlager","teilweise")))))</f>
        <v>Aussenlager</v>
      </c>
      <c r="BI738" s="48" t="str">
        <f aca="false">IF(BA738&lt;=0,"",IF(CC738="Aussen","Aussenlager",IF(CC738="-","Nicht im Lift",IF(BF738&gt;=1,"Lift",IF(BF738&lt;=0,"Aussenlager","teilweise")))))</f>
        <v>Aussenlager</v>
      </c>
      <c r="BJ738" s="48" t="str">
        <f aca="false">IF(A738="","",IF(BS738=1,"Neu; ","")&amp;IF(AND(BS738=0,BN738&lt;0),"negativer Bestand (Export "&amp;BN738&amp;"); ","")&amp;IF(J738&lt;=0,"Kein Verbrauch; ","")&amp;IF(CL738&gt;0,"Lift "&amp;W738&amp;" lt. Liftbericht (Fach "&amp;X738&amp;" Stk); ",IF(BX738=1,"Gebinde geschätzt ("&amp;T738&amp;"); ",IF(BW738=1,"Lose – Tablare geschätzt; ","")))&amp;IF(H738&gt;AT738,"Überbestand "&amp;ROUND(H738-AT738,0)&amp;" Stk / CHF "&amp;ROUND((H738-AT738)*G738,0)&amp;"; ","")&amp;IF(AND(CE738=1,CF738&lt;CG738),"MAX &lt; MB+LG; ","")&amp;IF(AND(CK738&gt;0,CJ738*10&gt;CK738),"zu hoch für Tablar; ","")&amp;IF(AND(BS738=0,OR(CE738=1,AA738&lt;&gt;"",U738&lt;&gt;"",V738&lt;&gt;"",AB738&lt;&gt;"")),"manuell übersteuert; ","")&amp;IF(AND(BW738=0,R738=0),"Gebinde unbekannt / Stellmass fehlt; ","")&amp;IF(AND(BW738=0,N(V738)&lt;=0,N(Q738)&lt;=0),"Menge pro Gebinde fehlt (Ist = 1 Gebinde); ","")&amp;BR738)</f>
        <v>Kein Verbrauch; </v>
      </c>
      <c r="BK738" s="48"/>
      <c r="BL738" s="48"/>
      <c r="BM738" s="55"/>
      <c r="BN738" s="50" t="n">
        <v>0</v>
      </c>
      <c r="BO738" s="50" t="n">
        <v>8</v>
      </c>
      <c r="BP738" s="49" t="n">
        <v>0</v>
      </c>
      <c r="BQ738" s="50" t="n">
        <v>0</v>
      </c>
      <c r="BR738" s="48"/>
      <c r="BS738" s="53" t="n">
        <v>0</v>
      </c>
      <c r="BT738" s="53" t="n">
        <v>738</v>
      </c>
      <c r="BU738" s="48" t="str">
        <f aca="false">IF(U738&lt;&gt;"",UPPER(TRIM(U738)),IF(BX738=1,UPPER(VLOOKUP(T738,Parameter!$I$27:$K$29,2,0)),IF(P738="","LOSE",P738)))</f>
        <v>S41</v>
      </c>
      <c r="BV738" s="50" t="n">
        <f aca="false">IF(BU738="LOSE",1,IF(N(V738)&gt;0,V738,IF(BX738=1,MAX(1,N(VLOOKUP(T738,Parameter!$I$27:$K$29,3,0)),H738,N(N738)),IF(N(Q738)&gt;0,Q738,MAX(1,H738)))))</f>
        <v>15</v>
      </c>
      <c r="BW738" s="53" t="n">
        <f aca="false">IF(BU738="LOSE",1,0)</f>
        <v>0</v>
      </c>
      <c r="BX738" s="53" t="n">
        <f aca="false">IF(AND(U738="",OR(P738="",P738="LOSE"),T738&lt;&gt;"",N(S738)&lt;=0,ISNUMBER(MATCH(T738,Parameter!$I$27:$I$29,0))),1,0)</f>
        <v>0</v>
      </c>
      <c r="BY738" s="53" t="n">
        <f aca="false">IF(CL738&gt;0,INDEX(Parameter!$H$5:$H$7,W738)/INDEX(Parameter!$E$5:$E$7,W738),IF(AND(BW738=0,N(IFERROR(VLOOKUP(BU738,'Gebinde-Kategorie'!$A$5:$N$45,14,0),0))&gt;0),VLOOKUP(BU738,'Gebinde-Kategorie'!$A$5:$N$45,14,0)*10+Parameter!$M$23,Parameter!$M$24))</f>
        <v>155</v>
      </c>
      <c r="BZ738" s="48" t="str">
        <f aca="false">IF(AND(Parameter!$B$19="Ja",E738&lt;&gt;"",ISNUMBER(MATCH(E738,Parameter!$I$35:$I$52,0))),VLOOKUP(E738,Parameter!$I$35:$J$52,2,0),IFERROR(VLOOKUP(D738,Parameter!$A$35:$C$64,2,0),"Nein"))</f>
        <v>2+3</v>
      </c>
      <c r="CA738" s="52" t="n">
        <f aca="false">IF(BW738=0,0,IF(N(S738)&gt;0,S738,IFERROR(VLOOKUP(D738,Parameter!$A$35:$C$64,3,0)+0,0)))</f>
        <v>0</v>
      </c>
      <c r="CB738" s="48" t="n">
        <f aca="false">IF(AA738&lt;&gt;"",AA738,Z738)</f>
        <v>3</v>
      </c>
      <c r="CC738" s="48" t="str">
        <f aca="false">IF(OR(CB738=1,CB738=2,CB738=3),IF(Parameter!$E$27="Ja","LIFT",IF(CB738=1,"L1","L23")),IF(CB738="Aussen","Aussen","-"))</f>
        <v>LIFT</v>
      </c>
      <c r="CD738" s="59" t="n">
        <f aca="false">IF(N(AB738)&gt;0,AB738,0)</f>
        <v>0</v>
      </c>
      <c r="CE738" s="53" t="n">
        <f aca="false">IF(ISNUMBER(AE738),1,0)</f>
        <v>0</v>
      </c>
      <c r="CF738" s="50" t="n">
        <f aca="false">N(AE738)</f>
        <v>0</v>
      </c>
      <c r="CG738" s="50" t="n">
        <f aca="false">N(M738)+N(N738)</f>
        <v>1</v>
      </c>
      <c r="CH738" s="50" t="n">
        <f aca="false">ROUNDUP(H738/BV738,0)</f>
        <v>1</v>
      </c>
      <c r="CI738" s="50" t="n">
        <f aca="false">ROUNDUP(CF738/BV738,0)</f>
        <v>0</v>
      </c>
      <c r="CJ738" s="53" t="n">
        <f aca="false">IF(BW738=1,0,IFERROR(VLOOKUP(BU738,'Gebinde-Kategorie'!$A$5:$N$45,5,0)+0,0))</f>
        <v>11</v>
      </c>
      <c r="CK738" s="53" t="n">
        <f aca="false">IFERROR(IF(OR(CB738=1,CB738=2,CB738=3),N(INDEX(Parameter!$I$5:$I$7,CB738)),0),0)</f>
        <v>0</v>
      </c>
      <c r="CL738" s="52" t="n">
        <f aca="false">IF(AND(Parameter!$B$21="Ja",ISNUMBER(W738),N(X738)&gt;0),IFERROR(N(INDEX(Parameter!$L$5:$L$7,W738))*INDEX(Parameter!$E$5:$E$7,W738)*X738/SUMIFS($X$7:$X$1843,$W$7:$W$1843,W738),0),0)</f>
        <v>0</v>
      </c>
    </row>
    <row r="739" customFormat="false" ht="15" hidden="false" customHeight="false" outlineLevel="0" collapsed="false">
      <c r="A739" s="48" t="s">
        <v>1468</v>
      </c>
      <c r="B739" s="48" t="s">
        <v>1469</v>
      </c>
      <c r="C739" s="48" t="s">
        <v>168</v>
      </c>
      <c r="D739" s="48" t="s">
        <v>999</v>
      </c>
      <c r="E739" s="48"/>
      <c r="F739" s="48" t="s">
        <v>222</v>
      </c>
      <c r="G739" s="49" t="n">
        <v>1088.02</v>
      </c>
      <c r="H739" s="50" t="n">
        <f aca="false">MAX(0,IF(AND(Parameter!$B$21="Ja",ISNUMBER(Y739)),Y739,IF(Parameter!$B$20="Jahresanfang 2025 + Export",BO739+BN739,BN739)))</f>
        <v>0</v>
      </c>
      <c r="I739" s="50" t="n">
        <f aca="false">H739*G739</f>
        <v>0</v>
      </c>
      <c r="J739" s="50" t="n">
        <f aca="false">BQ739*Parameter!$B$18</f>
        <v>0</v>
      </c>
      <c r="K739" s="51" t="n">
        <v>0</v>
      </c>
      <c r="L739" s="52" t="n">
        <v>0</v>
      </c>
      <c r="M739" s="50" t="n">
        <v>0</v>
      </c>
      <c r="N739" s="50" t="n">
        <v>1</v>
      </c>
      <c r="O739" s="53" t="n">
        <v>42</v>
      </c>
      <c r="P739" s="48" t="s">
        <v>172</v>
      </c>
      <c r="Q739" s="50"/>
      <c r="R739" s="53" t="n">
        <f aca="false">IF(BW739=1,0,IFERROR(VLOOKUP(BU739,'Gebinde-Kategorie'!$A$5:$N$45,13,0)+0,0))</f>
        <v>0</v>
      </c>
      <c r="S739" s="54"/>
      <c r="T739" s="55"/>
      <c r="U739" s="55"/>
      <c r="V739" s="55"/>
      <c r="W739" s="48"/>
      <c r="X739" s="50"/>
      <c r="Y739" s="50"/>
      <c r="Z739" s="48" t="str">
        <f aca="false">IF(A739="","",IF(AND(Parameter!$B$21="Ja",ISNUMBER(W739)),W739,IF(BZ739="2+3",IF(ISNUMBER(SEARCH("grosser Artikel",BR739)),2,IFERROR(VLOOKUP(BU739,Parameter!$F$35:$G$64,2,0),2)),IF(OR(BZ739="Nein",BZ739=""),"-",BZ739))))</f>
        <v>-</v>
      </c>
      <c r="AA739" s="55"/>
      <c r="AB739" s="56"/>
      <c r="AC739" s="50" t="n">
        <f aca="false">AT739</f>
        <v>1</v>
      </c>
      <c r="AD739" s="50" t="n">
        <f aca="false">MAX(AT739,H739)</f>
        <v>1</v>
      </c>
      <c r="AE739" s="57"/>
      <c r="AF739" s="50" t="n">
        <f aca="false">IF(LEFT(Cockpit!$C$5,1)="A",H739,IF(CE739=1,CF739,IF(LEFT(Cockpit!$C$5,1)="B",AK739,MAX(AK739,H739))))</f>
        <v>0</v>
      </c>
      <c r="AG739" s="50" t="n">
        <f aca="false">IF(BW739=1,0,ROUNDUP(AF739/BV739,0))</f>
        <v>0</v>
      </c>
      <c r="AH739" s="52" t="n">
        <f aca="false">IF(CL739&gt;0,CL739*MAX(1,AF739/X739),IF(BW739=1,IF(AF739&lt;=0,0,CA739*MAX(1,IF(H739&gt;0,AF739/H739,1))),IF(R739&gt;0,AG739/R739,0))/MAX(0.1,N(Parameter!$M$21)))</f>
        <v>0</v>
      </c>
      <c r="AI739" s="50" t="n">
        <f aca="false">AH739*BY739</f>
        <v>0</v>
      </c>
      <c r="AJ739" s="50" t="n">
        <f aca="false">AF739*G739</f>
        <v>0</v>
      </c>
      <c r="AK739" s="50" t="n">
        <f aca="false">ROUNDUP(MAX(J739/IF(CD739&gt;0,CD739,MAX(0.1,N(Cockpit!$C$6))),CG739)/BV739,0)*BV739</f>
        <v>1</v>
      </c>
      <c r="AL739" s="51" t="n">
        <f aca="false">IF(AI739&gt;0,J739/AI739,-1)</f>
        <v>-1</v>
      </c>
      <c r="AM739" s="51" t="str">
        <f aca="false">IF(AND(OR(CC739="L1",CC739="L23",CC739="LIFT"),AI739&gt;0),SUMIFS($AI$7:$AI$1843,$CC$7:$CC$1843,CC739,$AL$7:$AL$1843,"&gt;"&amp;AL739)+SUMIFS($AI$7:$AI$1843,$CC$7:$CC$1843,CC739,$AL$7:$AL$1843,AL739,$BT$7:$BT$1843,"&lt;="&amp;BT739),"")</f>
        <v/>
      </c>
      <c r="AN739" s="58" t="n">
        <f aca="false">IF(AM739="",0,MAX(0,MIN(1,(IF(CC739="L1",Parameter!$H$5,IF(CC739="L23",Parameter!$H$6+Parameter!$H$7,Parameter!$H$5+Parameter!$H$6+Parameter!$H$7))-(AM739-AI739))/AI739)))</f>
        <v>0</v>
      </c>
      <c r="AO739" s="50" t="n">
        <f aca="false">IF(LEFT(Cockpit!$I$5,1)="A",H739,IF(CE739=1,CF739,IF(LEFT(Cockpit!$I$5,1)="B",AT739,MAX(AT739,H739))))</f>
        <v>1</v>
      </c>
      <c r="AP739" s="50" t="n">
        <f aca="false">IF(BW739=1,0,ROUNDUP(AO739/BV739,0))</f>
        <v>0</v>
      </c>
      <c r="AQ739" s="52" t="n">
        <f aca="false">IF(CL739&gt;0,CL739*MAX(1,AO739/X739),IF(BW739=1,IF(AO739&lt;=0,0,CA739*MAX(1,IF(H739&gt;0,AO739/H739,1))),IF(R739&gt;0,AP739/R739,0))/MAX(0.1,N(Parameter!$M$21)))</f>
        <v>0.15</v>
      </c>
      <c r="AR739" s="50" t="n">
        <f aca="false">AQ739*BY739</f>
        <v>35.25</v>
      </c>
      <c r="AS739" s="50" t="n">
        <f aca="false">AO739*G739</f>
        <v>1088.02</v>
      </c>
      <c r="AT739" s="50" t="n">
        <f aca="false">ROUNDUP(MAX(J739/IF(CD739&gt;0,CD739,MAX(0.1,N(Cockpit!$I$6))),CG739)/BV739,0)*BV739</f>
        <v>1</v>
      </c>
      <c r="AU739" s="51" t="n">
        <f aca="false">IF(AR739&gt;0,J739/AR739,-1)</f>
        <v>0</v>
      </c>
      <c r="AV739" s="51" t="str">
        <f aca="false">IF(AND(OR(CC739="L1",CC739="L23",CC739="LIFT"),AR739&gt;0),SUMIFS($AR$7:$AR$1843,$CC$7:$CC$1843,CC739,$AU$7:$AU$1843,"&gt;"&amp;AU739)+SUMIFS($AR$7:$AR$1843,$CC$7:$CC$1843,CC739,$AU$7:$AU$1843,AU739,$BT$7:$BT$1843,"&lt;="&amp;BT739),"")</f>
        <v/>
      </c>
      <c r="AW739" s="58" t="n">
        <f aca="false">IF(AV739="",0,MAX(0,MIN(1,(IF(CC739="L1",Parameter!$H$5,IF(CC739="L23",Parameter!$H$6+Parameter!$H$7,Parameter!$H$5+Parameter!$H$6+Parameter!$H$7))-(AV739-AR739))/AR739)))</f>
        <v>0</v>
      </c>
      <c r="AX739" s="50" t="n">
        <f aca="false">IF(LEFT(Cockpit!$O$5,1)="A",H739,IF(CE739=1,CF739,IF(LEFT(Cockpit!$O$5,1)="B",BC739,MAX(BC739,H739))))</f>
        <v>1</v>
      </c>
      <c r="AY739" s="50" t="n">
        <f aca="false">IF(BW739=1,0,ROUNDUP(AX739/BV739,0))</f>
        <v>0</v>
      </c>
      <c r="AZ739" s="52" t="n">
        <f aca="false">IF(CL739&gt;0,CL739*MAX(1,AX739/X739),IF(BW739=1,IF(AX739&lt;=0,0,CA739*MAX(1,IF(H739&gt;0,AX739/H739,1))),IF(R739&gt;0,AY739/R739,0))/MAX(0.1,N(Parameter!$M$21)))</f>
        <v>0.15</v>
      </c>
      <c r="BA739" s="50" t="n">
        <f aca="false">AZ739*BY739</f>
        <v>35.25</v>
      </c>
      <c r="BB739" s="50" t="n">
        <f aca="false">AX739*G739</f>
        <v>1088.02</v>
      </c>
      <c r="BC739" s="50" t="n">
        <f aca="false">ROUNDUP(MAX(J739/IF(CD739&gt;0,CD739,MAX(0.1,N(Cockpit!$O$6))),CG739)/BV739,0)*BV739</f>
        <v>1</v>
      </c>
      <c r="BD739" s="51" t="n">
        <f aca="false">IF(BA739&gt;0,J739/BA739,-1)</f>
        <v>0</v>
      </c>
      <c r="BE739" s="51" t="str">
        <f aca="false">IF(AND(OR(CC739="L1",CC739="L23",CC739="LIFT"),BA739&gt;0),SUMIFS($BA$7:$BA$1843,$CC$7:$CC$1843,CC739,$BD$7:$BD$1843,"&gt;"&amp;BD739)+SUMIFS($BA$7:$BA$1843,$CC$7:$CC$1843,CC739,$BD$7:$BD$1843,BD739,$BT$7:$BT$1843,"&lt;="&amp;BT739),"")</f>
        <v/>
      </c>
      <c r="BF739" s="58" t="n">
        <f aca="false">IF(BE739="",0,MAX(0,MIN(1,(IF(CC739="L1",Parameter!$H$5,IF(CC739="L23",Parameter!$H$6+Parameter!$H$7,Parameter!$H$5+Parameter!$H$6+Parameter!$H$7))-(BE739-BA739))/BA739)))</f>
        <v>0</v>
      </c>
      <c r="BG739" s="48" t="str">
        <f aca="false">IF(AI739&lt;=0,"",IF(CC739="Aussen","Aussenlager",IF(CC739="-","Nicht im Lift",IF(AN739&gt;=1,"Lift",IF(AN739&lt;=0,"Aussenlager","teilweise")))))</f>
        <v/>
      </c>
      <c r="BH739" s="48" t="str">
        <f aca="false">IF(AR739&lt;=0,"",IF(CC739="Aussen","Aussenlager",IF(CC739="-","Nicht im Lift",IF(AW739&gt;=1,"Lift",IF(AW739&lt;=0,"Aussenlager","teilweise")))))</f>
        <v>Nicht im Lift</v>
      </c>
      <c r="BI739" s="48" t="str">
        <f aca="false">IF(BA739&lt;=0,"",IF(CC739="Aussen","Aussenlager",IF(CC739="-","Nicht im Lift",IF(BF739&gt;=1,"Lift",IF(BF739&lt;=0,"Aussenlager","teilweise")))))</f>
        <v>Nicht im Lift</v>
      </c>
      <c r="BJ739" s="48" t="str">
        <f aca="false">IF(A739="","",IF(BS739=1,"Neu; ","")&amp;IF(AND(BS739=0,BN739&lt;0),"negativer Bestand (Export "&amp;BN739&amp;"); ","")&amp;IF(J739&lt;=0,"Kein Verbrauch; ","")&amp;IF(CL739&gt;0,"Lift "&amp;W739&amp;" lt. Liftbericht (Fach "&amp;X739&amp;" Stk); ",IF(BX739=1,"Gebinde geschätzt ("&amp;T739&amp;"); ",IF(BW739=1,"Lose – Tablare geschätzt; ","")))&amp;IF(H739&gt;AT739,"Überbestand "&amp;ROUND(H739-AT739,0)&amp;" Stk / CHF "&amp;ROUND((H739-AT739)*G739,0)&amp;"; ","")&amp;IF(AND(CE739=1,CF739&lt;CG739),"MAX &lt; MB+LG; ","")&amp;IF(AND(CK739&gt;0,CJ739*10&gt;CK739),"zu hoch für Tablar; ","")&amp;IF(AND(BS739=0,OR(CE739=1,AA739&lt;&gt;"",U739&lt;&gt;"",V739&lt;&gt;"",AB739&lt;&gt;"")),"manuell übersteuert; ","")&amp;IF(AND(BW739=0,R739=0),"Gebinde unbekannt / Stellmass fehlt; ","")&amp;IF(AND(BW739=0,N(V739)&lt;=0,N(Q739)&lt;=0),"Menge pro Gebinde fehlt (Ist = 1 Gebinde); ","")&amp;BR739)</f>
        <v>Kein Verbrauch; Lose – Tablare geschätzt; </v>
      </c>
      <c r="BK739" s="48"/>
      <c r="BL739" s="48"/>
      <c r="BM739" s="55"/>
      <c r="BN739" s="50" t="n">
        <v>0</v>
      </c>
      <c r="BO739" s="50" t="n">
        <v>0</v>
      </c>
      <c r="BP739" s="49" t="n">
        <v>0</v>
      </c>
      <c r="BQ739" s="50" t="n">
        <v>0</v>
      </c>
      <c r="BR739" s="48"/>
      <c r="BS739" s="53" t="n">
        <v>0</v>
      </c>
      <c r="BT739" s="53" t="n">
        <v>739</v>
      </c>
      <c r="BU739" s="48" t="str">
        <f aca="false">IF(U739&lt;&gt;"",UPPER(TRIM(U739)),IF(BX739=1,UPPER(VLOOKUP(T739,Parameter!$I$27:$K$29,2,0)),IF(P739="","LOSE",P739)))</f>
        <v>LOSE</v>
      </c>
      <c r="BV739" s="50" t="n">
        <f aca="false">IF(BU739="LOSE",1,IF(N(V739)&gt;0,V739,IF(BX739=1,MAX(1,N(VLOOKUP(T739,Parameter!$I$27:$K$29,3,0)),H739,N(N739)),IF(N(Q739)&gt;0,Q739,MAX(1,H739)))))</f>
        <v>1</v>
      </c>
      <c r="BW739" s="53" t="n">
        <f aca="false">IF(BU739="LOSE",1,0)</f>
        <v>1</v>
      </c>
      <c r="BX739" s="53" t="n">
        <f aca="false">IF(AND(U739="",OR(P739="",P739="LOSE"),T739&lt;&gt;"",N(S739)&lt;=0,ISNUMBER(MATCH(T739,Parameter!$I$27:$I$29,0))),1,0)</f>
        <v>0</v>
      </c>
      <c r="BY739" s="53" t="n">
        <f aca="false">IF(CL739&gt;0,INDEX(Parameter!$H$5:$H$7,W739)/INDEX(Parameter!$E$5:$E$7,W739),IF(AND(BW739=0,N(IFERROR(VLOOKUP(BU739,'Gebinde-Kategorie'!$A$5:$N$45,14,0),0))&gt;0),VLOOKUP(BU739,'Gebinde-Kategorie'!$A$5:$N$45,14,0)*10+Parameter!$M$23,Parameter!$M$24))</f>
        <v>235</v>
      </c>
      <c r="BZ739" s="48" t="str">
        <f aca="false">IF(AND(Parameter!$B$19="Ja",E739&lt;&gt;"",ISNUMBER(MATCH(E739,Parameter!$I$35:$I$52,0))),VLOOKUP(E739,Parameter!$I$35:$J$52,2,0),IFERROR(VLOOKUP(D739,Parameter!$A$35:$C$64,2,0),"Nein"))</f>
        <v>Nein</v>
      </c>
      <c r="CA739" s="52" t="n">
        <f aca="false">IF(BW739=0,0,IF(N(S739)&gt;0,S739,IFERROR(VLOOKUP(D739,Parameter!$A$35:$C$64,3,0)+0,0)))</f>
        <v>0.15</v>
      </c>
      <c r="CB739" s="48" t="str">
        <f aca="false">IF(AA739&lt;&gt;"",AA739,Z739)</f>
        <v>-</v>
      </c>
      <c r="CC739" s="48" t="str">
        <f aca="false">IF(OR(CB739=1,CB739=2,CB739=3),IF(Parameter!$E$27="Ja","LIFT",IF(CB739=1,"L1","L23")),IF(CB739="Aussen","Aussen","-"))</f>
        <v>-</v>
      </c>
      <c r="CD739" s="59" t="n">
        <f aca="false">IF(N(AB739)&gt;0,AB739,0)</f>
        <v>0</v>
      </c>
      <c r="CE739" s="53" t="n">
        <f aca="false">IF(ISNUMBER(AE739),1,0)</f>
        <v>0</v>
      </c>
      <c r="CF739" s="50" t="n">
        <f aca="false">N(AE739)</f>
        <v>0</v>
      </c>
      <c r="CG739" s="50" t="n">
        <f aca="false">N(M739)+N(N739)</f>
        <v>1</v>
      </c>
      <c r="CH739" s="50" t="n">
        <f aca="false">ROUNDUP(H739/BV739,0)</f>
        <v>0</v>
      </c>
      <c r="CI739" s="50" t="n">
        <f aca="false">ROUNDUP(CF739/BV739,0)</f>
        <v>0</v>
      </c>
      <c r="CJ739" s="53" t="n">
        <f aca="false">IF(BW739=1,0,IFERROR(VLOOKUP(BU739,'Gebinde-Kategorie'!$A$5:$N$45,5,0)+0,0))</f>
        <v>0</v>
      </c>
      <c r="CK739" s="53" t="n">
        <f aca="false">IFERROR(IF(OR(CB739=1,CB739=2,CB739=3),N(INDEX(Parameter!$I$5:$I$7,CB739)),0),0)</f>
        <v>0</v>
      </c>
      <c r="CL739" s="52" t="n">
        <f aca="false">IF(AND(Parameter!$B$21="Ja",ISNUMBER(W739),N(X739)&gt;0),IFERROR(N(INDEX(Parameter!$L$5:$L$7,W739))*INDEX(Parameter!$E$5:$E$7,W739)*X739/SUMIFS($X$7:$X$1843,$W$7:$W$1843,W739),0),0)</f>
        <v>0</v>
      </c>
    </row>
    <row r="740" customFormat="false" ht="15" hidden="false" customHeight="false" outlineLevel="0" collapsed="false">
      <c r="A740" s="48" t="s">
        <v>1470</v>
      </c>
      <c r="B740" s="48" t="s">
        <v>1471</v>
      </c>
      <c r="C740" s="48" t="s">
        <v>460</v>
      </c>
      <c r="D740" s="48" t="s">
        <v>177</v>
      </c>
      <c r="E740" s="48"/>
      <c r="F740" s="48" t="s">
        <v>222</v>
      </c>
      <c r="G740" s="49" t="n">
        <v>0.01</v>
      </c>
      <c r="H740" s="50" t="n">
        <f aca="false">MAX(0,IF(AND(Parameter!$B$21="Ja",ISNUMBER(Y740)),Y740,IF(Parameter!$B$20="Jahresanfang 2025 + Export",BO740+BN740,BN740)))</f>
        <v>0</v>
      </c>
      <c r="I740" s="50" t="n">
        <f aca="false">H740*G740</f>
        <v>0</v>
      </c>
      <c r="J740" s="50" t="n">
        <f aca="false">BQ740*Parameter!$B$18</f>
        <v>0</v>
      </c>
      <c r="K740" s="51" t="n">
        <v>49.5</v>
      </c>
      <c r="L740" s="52" t="n">
        <v>0</v>
      </c>
      <c r="M740" s="50" t="n">
        <v>0</v>
      </c>
      <c r="N740" s="50" t="n">
        <v>10</v>
      </c>
      <c r="O740" s="53" t="n">
        <v>90</v>
      </c>
      <c r="P740" s="48" t="s">
        <v>172</v>
      </c>
      <c r="Q740" s="50"/>
      <c r="R740" s="53" t="n">
        <f aca="false">IF(BW740=1,0,IFERROR(VLOOKUP(BU740,'Gebinde-Kategorie'!$A$5:$N$45,13,0)+0,0))</f>
        <v>12</v>
      </c>
      <c r="S740" s="54"/>
      <c r="T740" s="55" t="s">
        <v>183</v>
      </c>
      <c r="U740" s="55"/>
      <c r="V740" s="55"/>
      <c r="W740" s="48"/>
      <c r="X740" s="50"/>
      <c r="Y740" s="50"/>
      <c r="Z740" s="48" t="n">
        <f aca="false">IF(A740="","",IF(AND(Parameter!$B$21="Ja",ISNUMBER(W740)),W740,IF(BZ740="2+3",IF(ISNUMBER(SEARCH("grosser Artikel",BR740)),2,IFERROR(VLOOKUP(BU740,Parameter!$F$35:$G$64,2,0),2)),IF(OR(BZ740="Nein",BZ740=""),"-",BZ740))))</f>
        <v>2</v>
      </c>
      <c r="AA740" s="55"/>
      <c r="AB740" s="56"/>
      <c r="AC740" s="50" t="n">
        <f aca="false">AT740</f>
        <v>10</v>
      </c>
      <c r="AD740" s="50" t="n">
        <f aca="false">MAX(AT740,H740)</f>
        <v>10</v>
      </c>
      <c r="AE740" s="57"/>
      <c r="AF740" s="50" t="n">
        <f aca="false">IF(LEFT(Cockpit!$C$5,1)="A",H740,IF(CE740=1,CF740,IF(LEFT(Cockpit!$C$5,1)="B",AK740,MAX(AK740,H740))))</f>
        <v>0</v>
      </c>
      <c r="AG740" s="50" t="n">
        <f aca="false">IF(BW740=1,0,ROUNDUP(AF740/BV740,0))</f>
        <v>0</v>
      </c>
      <c r="AH740" s="52" t="n">
        <f aca="false">IF(CL740&gt;0,CL740*MAX(1,AF740/X740),IF(BW740=1,IF(AF740&lt;=0,0,CA740*MAX(1,IF(H740&gt;0,AF740/H740,1))),IF(R740&gt;0,AG740/R740,0))/MAX(0.1,N(Parameter!$M$21)))</f>
        <v>0</v>
      </c>
      <c r="AI740" s="50" t="n">
        <f aca="false">AH740*BY740</f>
        <v>0</v>
      </c>
      <c r="AJ740" s="50" t="n">
        <f aca="false">AF740*G740</f>
        <v>0</v>
      </c>
      <c r="AK740" s="50" t="n">
        <f aca="false">ROUNDUP(MAX(J740/IF(CD740&gt;0,CD740,MAX(0.1,N(Cockpit!$C$6))),CG740)/BV740,0)*BV740</f>
        <v>10</v>
      </c>
      <c r="AL740" s="51" t="n">
        <f aca="false">IF(AI740&gt;0,J740/AI740,-1)</f>
        <v>-1</v>
      </c>
      <c r="AM740" s="51" t="str">
        <f aca="false">IF(AND(OR(CC740="L1",CC740="L23",CC740="LIFT"),AI740&gt;0),SUMIFS($AI$7:$AI$1843,$CC$7:$CC$1843,CC740,$AL$7:$AL$1843,"&gt;"&amp;AL740)+SUMIFS($AI$7:$AI$1843,$CC$7:$CC$1843,CC740,$AL$7:$AL$1843,AL740,$BT$7:$BT$1843,"&lt;="&amp;BT740),"")</f>
        <v/>
      </c>
      <c r="AN740" s="58" t="n">
        <f aca="false">IF(AM740="",0,MAX(0,MIN(1,(IF(CC740="L1",Parameter!$H$5,IF(CC740="L23",Parameter!$H$6+Parameter!$H$7,Parameter!$H$5+Parameter!$H$6+Parameter!$H$7))-(AM740-AI740))/AI740)))</f>
        <v>0</v>
      </c>
      <c r="AO740" s="50" t="n">
        <f aca="false">IF(LEFT(Cockpit!$I$5,1)="A",H740,IF(CE740=1,CF740,IF(LEFT(Cockpit!$I$5,1)="B",AT740,MAX(AT740,H740))))</f>
        <v>10</v>
      </c>
      <c r="AP740" s="50" t="n">
        <f aca="false">IF(BW740=1,0,ROUNDUP(AO740/BV740,0))</f>
        <v>1</v>
      </c>
      <c r="AQ740" s="52" t="n">
        <f aca="false">IF(CL740&gt;0,CL740*MAX(1,AO740/X740),IF(BW740=1,IF(AO740&lt;=0,0,CA740*MAX(1,IF(H740&gt;0,AO740/H740,1))),IF(R740&gt;0,AP740/R740,0))/MAX(0.1,N(Parameter!$M$21)))</f>
        <v>0.0833333333333333</v>
      </c>
      <c r="AR740" s="50" t="n">
        <f aca="false">AQ740*BY740</f>
        <v>12.0833333333333</v>
      </c>
      <c r="AS740" s="50" t="n">
        <f aca="false">AO740*G740</f>
        <v>0.1</v>
      </c>
      <c r="AT740" s="50" t="n">
        <f aca="false">ROUNDUP(MAX(J740/IF(CD740&gt;0,CD740,MAX(0.1,N(Cockpit!$I$6))),CG740)/BV740,0)*BV740</f>
        <v>10</v>
      </c>
      <c r="AU740" s="51" t="n">
        <f aca="false">IF(AR740&gt;0,J740/AR740,-1)</f>
        <v>0</v>
      </c>
      <c r="AV740" s="51" t="n">
        <f aca="false">IF(AND(OR(CC740="L1",CC740="L23",CC740="LIFT"),AR740&gt;0),SUMIFS($AR$7:$AR$1843,$CC$7:$CC$1843,CC740,$AU$7:$AU$1843,"&gt;"&amp;AU740)+SUMIFS($AR$7:$AR$1843,$CC$7:$CC$1843,CC740,$AU$7:$AU$1843,AU740,$BT$7:$BT$1843,"&lt;="&amp;BT740),"")</f>
        <v>40260.300374061</v>
      </c>
      <c r="AW740" s="58" t="n">
        <f aca="false">IF(AV740="",0,MAX(0,MIN(1,(IF(CC740="L1",Parameter!$H$5,IF(CC740="L23",Parameter!$H$6+Parameter!$H$7,Parameter!$H$5+Parameter!$H$6+Parameter!$H$7))-(AV740-AR740))/AR740)))</f>
        <v>0</v>
      </c>
      <c r="AX740" s="50" t="n">
        <f aca="false">IF(LEFT(Cockpit!$O$5,1)="A",H740,IF(CE740=1,CF740,IF(LEFT(Cockpit!$O$5,1)="B",BC740,MAX(BC740,H740))))</f>
        <v>10</v>
      </c>
      <c r="AY740" s="50" t="n">
        <f aca="false">IF(BW740=1,0,ROUNDUP(AX740/BV740,0))</f>
        <v>1</v>
      </c>
      <c r="AZ740" s="52" t="n">
        <f aca="false">IF(CL740&gt;0,CL740*MAX(1,AX740/X740),IF(BW740=1,IF(AX740&lt;=0,0,CA740*MAX(1,IF(H740&gt;0,AX740/H740,1))),IF(R740&gt;0,AY740/R740,0))/MAX(0.1,N(Parameter!$M$21)))</f>
        <v>0.0833333333333333</v>
      </c>
      <c r="BA740" s="50" t="n">
        <f aca="false">AZ740*BY740</f>
        <v>12.0833333333333</v>
      </c>
      <c r="BB740" s="50" t="n">
        <f aca="false">AX740*G740</f>
        <v>0.1</v>
      </c>
      <c r="BC740" s="50" t="n">
        <f aca="false">ROUNDUP(MAX(J740/IF(CD740&gt;0,CD740,MAX(0.1,N(Cockpit!$O$6))),CG740)/BV740,0)*BV740</f>
        <v>10</v>
      </c>
      <c r="BD740" s="51" t="n">
        <f aca="false">IF(BA740&gt;0,J740/BA740,-1)</f>
        <v>0</v>
      </c>
      <c r="BE740" s="51" t="n">
        <f aca="false">IF(AND(OR(CC740="L1",CC740="L23",CC740="LIFT"),BA740&gt;0),SUMIFS($BA$7:$BA$1843,$CC$7:$CC$1843,CC740,$BD$7:$BD$1843,"&gt;"&amp;BD740)+SUMIFS($BA$7:$BA$1843,$CC$7:$CC$1843,CC740,$BD$7:$BD$1843,BD740,$BT$7:$BT$1843,"&lt;="&amp;BT740),"")</f>
        <v>36935.3124159268</v>
      </c>
      <c r="BF740" s="58" t="n">
        <f aca="false">IF(BE740="",0,MAX(0,MIN(1,(IF(CC740="L1",Parameter!$H$5,IF(CC740="L23",Parameter!$H$6+Parameter!$H$7,Parameter!$H$5+Parameter!$H$6+Parameter!$H$7))-(BE740-BA740))/BA740)))</f>
        <v>0</v>
      </c>
      <c r="BG740" s="48" t="str">
        <f aca="false">IF(AI740&lt;=0,"",IF(CC740="Aussen","Aussenlager",IF(CC740="-","Nicht im Lift",IF(AN740&gt;=1,"Lift",IF(AN740&lt;=0,"Aussenlager","teilweise")))))</f>
        <v/>
      </c>
      <c r="BH740" s="48" t="str">
        <f aca="false">IF(AR740&lt;=0,"",IF(CC740="Aussen","Aussenlager",IF(CC740="-","Nicht im Lift",IF(AW740&gt;=1,"Lift",IF(AW740&lt;=0,"Aussenlager","teilweise")))))</f>
        <v>Aussenlager</v>
      </c>
      <c r="BI740" s="48" t="str">
        <f aca="false">IF(BA740&lt;=0,"",IF(CC740="Aussen","Aussenlager",IF(CC740="-","Nicht im Lift",IF(BF740&gt;=1,"Lift",IF(BF740&lt;=0,"Aussenlager","teilweise")))))</f>
        <v>Aussenlager</v>
      </c>
      <c r="BJ740" s="48" t="str">
        <f aca="false">IF(A740="","",IF(BS740=1,"Neu; ","")&amp;IF(AND(BS740=0,BN740&lt;0),"negativer Bestand (Export "&amp;BN740&amp;"); ","")&amp;IF(J740&lt;=0,"Kein Verbrauch; ","")&amp;IF(CL740&gt;0,"Lift "&amp;W740&amp;" lt. Liftbericht (Fach "&amp;X740&amp;" Stk); ",IF(BX740=1,"Gebinde geschätzt ("&amp;T740&amp;"); ",IF(BW740=1,"Lose – Tablare geschätzt; ","")))&amp;IF(H740&gt;AT740,"Überbestand "&amp;ROUND(H740-AT740,0)&amp;" Stk / CHF "&amp;ROUND((H740-AT740)*G740,0)&amp;"; ","")&amp;IF(AND(CE740=1,CF740&lt;CG740),"MAX &lt; MB+LG; ","")&amp;IF(AND(CK740&gt;0,CJ740*10&gt;CK740),"zu hoch für Tablar; ","")&amp;IF(AND(BS740=0,OR(CE740=1,AA740&lt;&gt;"",U740&lt;&gt;"",V740&lt;&gt;"",AB740&lt;&gt;"")),"manuell übersteuert; ","")&amp;IF(AND(BW740=0,R740=0),"Gebinde unbekannt / Stellmass fehlt; ","")&amp;IF(AND(BW740=0,N(V740)&lt;=0,N(Q740)&lt;=0),"Menge pro Gebinde fehlt (Ist = 1 Gebinde); ","")&amp;BR740)</f>
        <v>Kein Verbrauch; Gebinde geschätzt (Mittel); Menge pro Gebinde fehlt (Ist = 1 Gebinde); </v>
      </c>
      <c r="BK740" s="48"/>
      <c r="BL740" s="48"/>
      <c r="BM740" s="55"/>
      <c r="BN740" s="50" t="n">
        <v>0</v>
      </c>
      <c r="BO740" s="50" t="n">
        <v>0</v>
      </c>
      <c r="BP740" s="49" t="n">
        <v>-1.11022302462516E-016</v>
      </c>
      <c r="BQ740" s="50" t="n">
        <v>0</v>
      </c>
      <c r="BR740" s="48"/>
      <c r="BS740" s="53" t="n">
        <v>0</v>
      </c>
      <c r="BT740" s="53" t="n">
        <v>740</v>
      </c>
      <c r="BU740" s="48" t="str">
        <f aca="false">IF(U740&lt;&gt;"",UPPER(TRIM(U740)),IF(BX740=1,UPPER(VLOOKUP(T740,Parameter!$I$27:$K$29,2,0)),IF(P740="","LOSE",P740)))</f>
        <v>S61</v>
      </c>
      <c r="BV740" s="50" t="n">
        <f aca="false">IF(BU740="LOSE",1,IF(N(V740)&gt;0,V740,IF(BX740=1,MAX(1,N(VLOOKUP(T740,Parameter!$I$27:$K$29,3,0)),H740,N(N740)),IF(N(Q740)&gt;0,Q740,MAX(1,H740)))))</f>
        <v>10</v>
      </c>
      <c r="BW740" s="53" t="n">
        <f aca="false">IF(BU740="LOSE",1,0)</f>
        <v>0</v>
      </c>
      <c r="BX740" s="53" t="n">
        <f aca="false">IF(AND(U740="",OR(P740="",P740="LOSE"),T740&lt;&gt;"",N(S740)&lt;=0,ISNUMBER(MATCH(T740,Parameter!$I$27:$I$29,0))),1,0)</f>
        <v>1</v>
      </c>
      <c r="BY740" s="53" t="n">
        <f aca="false">IF(CL740&gt;0,INDEX(Parameter!$H$5:$H$7,W740)/INDEX(Parameter!$E$5:$E$7,W740),IF(AND(BW740=0,N(IFERROR(VLOOKUP(BU740,'Gebinde-Kategorie'!$A$5:$N$45,14,0),0))&gt;0),VLOOKUP(BU740,'Gebinde-Kategorie'!$A$5:$N$45,14,0)*10+Parameter!$M$23,Parameter!$M$24))</f>
        <v>145</v>
      </c>
      <c r="BZ740" s="48" t="str">
        <f aca="false">IF(AND(Parameter!$B$19="Ja",E740&lt;&gt;"",ISNUMBER(MATCH(E740,Parameter!$I$35:$I$52,0))),VLOOKUP(E740,Parameter!$I$35:$J$52,2,0),IFERROR(VLOOKUP(D740,Parameter!$A$35:$C$64,2,0),"Nein"))</f>
        <v>2+3</v>
      </c>
      <c r="CA740" s="52" t="n">
        <f aca="false">IF(BW740=0,0,IF(N(S740)&gt;0,S740,IFERROR(VLOOKUP(D740,Parameter!$A$35:$C$64,3,0)+0,0)))</f>
        <v>0</v>
      </c>
      <c r="CB740" s="48" t="n">
        <f aca="false">IF(AA740&lt;&gt;"",AA740,Z740)</f>
        <v>2</v>
      </c>
      <c r="CC740" s="48" t="str">
        <f aca="false">IF(OR(CB740=1,CB740=2,CB740=3),IF(Parameter!$E$27="Ja","LIFT",IF(CB740=1,"L1","L23")),IF(CB740="Aussen","Aussen","-"))</f>
        <v>LIFT</v>
      </c>
      <c r="CD740" s="59" t="n">
        <f aca="false">IF(N(AB740)&gt;0,AB740,0)</f>
        <v>0</v>
      </c>
      <c r="CE740" s="53" t="n">
        <f aca="false">IF(ISNUMBER(AE740),1,0)</f>
        <v>0</v>
      </c>
      <c r="CF740" s="50" t="n">
        <f aca="false">N(AE740)</f>
        <v>0</v>
      </c>
      <c r="CG740" s="50" t="n">
        <f aca="false">N(M740)+N(N740)</f>
        <v>10</v>
      </c>
      <c r="CH740" s="50" t="n">
        <f aca="false">ROUNDUP(H740/BV740,0)</f>
        <v>0</v>
      </c>
      <c r="CI740" s="50" t="n">
        <f aca="false">ROUNDUP(CF740/BV740,0)</f>
        <v>0</v>
      </c>
      <c r="CJ740" s="53" t="n">
        <f aca="false">IF(BW740=1,0,IFERROR(VLOOKUP(BU740,'Gebinde-Kategorie'!$A$5:$N$45,5,0)+0,0))</f>
        <v>11</v>
      </c>
      <c r="CK740" s="53" t="n">
        <f aca="false">IFERROR(IF(OR(CB740=1,CB740=2,CB740=3),N(INDEX(Parameter!$I$5:$I$7,CB740)),0),0)</f>
        <v>0</v>
      </c>
      <c r="CL740" s="52" t="n">
        <f aca="false">IF(AND(Parameter!$B$21="Ja",ISNUMBER(W740),N(X740)&gt;0),IFERROR(N(INDEX(Parameter!$L$5:$L$7,W740))*INDEX(Parameter!$E$5:$E$7,W740)*X740/SUMIFS($X$7:$X$1843,$W$7:$W$1843,W740),0),0)</f>
        <v>0</v>
      </c>
    </row>
    <row r="741" customFormat="false" ht="15" hidden="false" customHeight="false" outlineLevel="0" collapsed="false">
      <c r="A741" s="48" t="s">
        <v>1472</v>
      </c>
      <c r="B741" s="48" t="s">
        <v>548</v>
      </c>
      <c r="C741" s="48" t="s">
        <v>168</v>
      </c>
      <c r="D741" s="48" t="s">
        <v>999</v>
      </c>
      <c r="E741" s="48" t="s">
        <v>189</v>
      </c>
      <c r="F741" s="48" t="s">
        <v>222</v>
      </c>
      <c r="G741" s="49" t="n">
        <v>32.3</v>
      </c>
      <c r="H741" s="50" t="n">
        <f aca="false">MAX(0,IF(AND(Parameter!$B$21="Ja",ISNUMBER(Y741)),Y741,IF(Parameter!$B$20="Jahresanfang 2025 + Export",BO741+BN741,BN741)))</f>
        <v>7</v>
      </c>
      <c r="I741" s="50" t="n">
        <f aca="false">H741*G741</f>
        <v>226.1</v>
      </c>
      <c r="J741" s="50" t="n">
        <f aca="false">BQ741*Parameter!$B$18</f>
        <v>3</v>
      </c>
      <c r="K741" s="51" t="n">
        <v>7.5</v>
      </c>
      <c r="L741" s="52" t="n">
        <v>0.4</v>
      </c>
      <c r="M741" s="50" t="n">
        <v>0</v>
      </c>
      <c r="N741" s="50" t="n">
        <v>0</v>
      </c>
      <c r="O741" s="53" t="n">
        <v>28</v>
      </c>
      <c r="P741" s="48" t="s">
        <v>172</v>
      </c>
      <c r="Q741" s="50"/>
      <c r="R741" s="53" t="n">
        <f aca="false">IF(BW741=1,0,IFERROR(VLOOKUP(BU741,'Gebinde-Kategorie'!$A$5:$N$45,13,0)+0,0))</f>
        <v>12</v>
      </c>
      <c r="S741" s="54"/>
      <c r="T741" s="55" t="s">
        <v>183</v>
      </c>
      <c r="U741" s="55"/>
      <c r="V741" s="55"/>
      <c r="W741" s="48"/>
      <c r="X741" s="50"/>
      <c r="Y741" s="50"/>
      <c r="Z741" s="48" t="n">
        <f aca="false">IF(A741="","",IF(AND(Parameter!$B$21="Ja",ISNUMBER(W741)),W741,IF(BZ741="2+3",IF(ISNUMBER(SEARCH("grosser Artikel",BR741)),2,IFERROR(VLOOKUP(BU741,Parameter!$F$35:$G$64,2,0),2)),IF(OR(BZ741="Nein",BZ741=""),"-",BZ741))))</f>
        <v>2</v>
      </c>
      <c r="AA741" s="55"/>
      <c r="AB741" s="56"/>
      <c r="AC741" s="50" t="n">
        <f aca="false">AT741</f>
        <v>7</v>
      </c>
      <c r="AD741" s="50" t="n">
        <f aca="false">MAX(AT741,H741)</f>
        <v>7</v>
      </c>
      <c r="AE741" s="57"/>
      <c r="AF741" s="50" t="n">
        <f aca="false">IF(LEFT(Cockpit!$C$5,1)="A",H741,IF(CE741=1,CF741,IF(LEFT(Cockpit!$C$5,1)="B",AK741,MAX(AK741,H741))))</f>
        <v>7</v>
      </c>
      <c r="AG741" s="50" t="n">
        <f aca="false">IF(BW741=1,0,ROUNDUP(AF741/BV741,0))</f>
        <v>1</v>
      </c>
      <c r="AH741" s="52" t="n">
        <f aca="false">IF(CL741&gt;0,CL741*MAX(1,AF741/X741),IF(BW741=1,IF(AF741&lt;=0,0,CA741*MAX(1,IF(H741&gt;0,AF741/H741,1))),IF(R741&gt;0,AG741/R741,0))/MAX(0.1,N(Parameter!$M$21)))</f>
        <v>0.0833333333333333</v>
      </c>
      <c r="AI741" s="50" t="n">
        <f aca="false">AH741*BY741</f>
        <v>12.0833333333333</v>
      </c>
      <c r="AJ741" s="50" t="n">
        <f aca="false">AF741*G741</f>
        <v>226.1</v>
      </c>
      <c r="AK741" s="50" t="n">
        <f aca="false">ROUNDUP(MAX(J741/IF(CD741&gt;0,CD741,MAX(0.1,N(Cockpit!$C$6))),CG741)/BV741,0)*BV741</f>
        <v>7</v>
      </c>
      <c r="AL741" s="51" t="n">
        <f aca="false">IF(AI741&gt;0,J741/AI741,-1)</f>
        <v>0.248275862068966</v>
      </c>
      <c r="AM741" s="51" t="n">
        <f aca="false">IF(AND(OR(CC741="L1",CC741="L23",CC741="LIFT"),AI741&gt;0),SUMIFS($AI$7:$AI$1843,$CC$7:$CC$1843,CC741,$AL$7:$AL$1843,"&gt;"&amp;AL741)+SUMIFS($AI$7:$AI$1843,$CC$7:$CC$1843,CC741,$AL$7:$AL$1843,AL741,$BT$7:$BT$1843,"&lt;="&amp;BT741),"")</f>
        <v>11864.8535962625</v>
      </c>
      <c r="AN741" s="58" t="n">
        <f aca="false">IF(AM741="",0,MAX(0,MIN(1,(IF(CC741="L1",Parameter!$H$5,IF(CC741="L23",Parameter!$H$6+Parameter!$H$7,Parameter!$H$5+Parameter!$H$6+Parameter!$H$7))-(AM741-AI741))/AI741)))</f>
        <v>1</v>
      </c>
      <c r="AO741" s="50" t="n">
        <f aca="false">IF(LEFT(Cockpit!$I$5,1)="A",H741,IF(CE741=1,CF741,IF(LEFT(Cockpit!$I$5,1)="B",AT741,MAX(AT741,H741))))</f>
        <v>7</v>
      </c>
      <c r="AP741" s="50" t="n">
        <f aca="false">IF(BW741=1,0,ROUNDUP(AO741/BV741,0))</f>
        <v>1</v>
      </c>
      <c r="AQ741" s="52" t="n">
        <f aca="false">IF(CL741&gt;0,CL741*MAX(1,AO741/X741),IF(BW741=1,IF(AO741&lt;=0,0,CA741*MAX(1,IF(H741&gt;0,AO741/H741,1))),IF(R741&gt;0,AP741/R741,0))/MAX(0.1,N(Parameter!$M$21)))</f>
        <v>0.0833333333333333</v>
      </c>
      <c r="AR741" s="50" t="n">
        <f aca="false">AQ741*BY741</f>
        <v>12.0833333333333</v>
      </c>
      <c r="AS741" s="50" t="n">
        <f aca="false">AO741*G741</f>
        <v>226.1</v>
      </c>
      <c r="AT741" s="50" t="n">
        <f aca="false">ROUNDUP(MAX(J741/IF(CD741&gt;0,CD741,MAX(0.1,N(Cockpit!$I$6))),CG741)/BV741,0)*BV741</f>
        <v>7</v>
      </c>
      <c r="AU741" s="51" t="n">
        <f aca="false">IF(AR741&gt;0,J741/AR741,-1)</f>
        <v>0.248275862068966</v>
      </c>
      <c r="AV741" s="51" t="n">
        <f aca="false">IF(AND(OR(CC741="L1",CC741="L23",CC741="LIFT"),AR741&gt;0),SUMIFS($AR$7:$AR$1843,$CC$7:$CC$1843,CC741,$AU$7:$AU$1843,"&gt;"&amp;AU741)+SUMIFS($AR$7:$AR$1843,$CC$7:$CC$1843,CC741,$AU$7:$AU$1843,AU741,$BT$7:$BT$1843,"&lt;="&amp;BT741),"")</f>
        <v>17693.3081501831</v>
      </c>
      <c r="AW741" s="58" t="n">
        <f aca="false">IF(AV741="",0,MAX(0,MIN(1,(IF(CC741="L1",Parameter!$H$5,IF(CC741="L23",Parameter!$H$6+Parameter!$H$7,Parameter!$H$5+Parameter!$H$6+Parameter!$H$7))-(AV741-AR741))/AR741)))</f>
        <v>1</v>
      </c>
      <c r="AX741" s="50" t="n">
        <f aca="false">IF(LEFT(Cockpit!$O$5,1)="A",H741,IF(CE741=1,CF741,IF(LEFT(Cockpit!$O$5,1)="B",BC741,MAX(BC741,H741))))</f>
        <v>7</v>
      </c>
      <c r="AY741" s="50" t="n">
        <f aca="false">IF(BW741=1,0,ROUNDUP(AX741/BV741,0))</f>
        <v>1</v>
      </c>
      <c r="AZ741" s="52" t="n">
        <f aca="false">IF(CL741&gt;0,CL741*MAX(1,AX741/X741),IF(BW741=1,IF(AX741&lt;=0,0,CA741*MAX(1,IF(H741&gt;0,AX741/H741,1))),IF(R741&gt;0,AY741/R741,0))/MAX(0.1,N(Parameter!$M$21)))</f>
        <v>0.0833333333333333</v>
      </c>
      <c r="BA741" s="50" t="n">
        <f aca="false">AZ741*BY741</f>
        <v>12.0833333333333</v>
      </c>
      <c r="BB741" s="50" t="n">
        <f aca="false">AX741*G741</f>
        <v>226.1</v>
      </c>
      <c r="BC741" s="50" t="n">
        <f aca="false">ROUNDUP(MAX(J741/IF(CD741&gt;0,CD741,MAX(0.1,N(Cockpit!$O$6))),CG741)/BV741,0)*BV741</f>
        <v>7</v>
      </c>
      <c r="BD741" s="51" t="n">
        <f aca="false">IF(BA741&gt;0,J741/BA741,-1)</f>
        <v>0.248275862068966</v>
      </c>
      <c r="BE741" s="51" t="n">
        <f aca="false">IF(AND(OR(CC741="L1",CC741="L23",CC741="LIFT"),BA741&gt;0),SUMIFS($BA$7:$BA$1843,$CC$7:$CC$1843,CC741,$BD$7:$BD$1843,"&gt;"&amp;BD741)+SUMIFS($BA$7:$BA$1843,$CC$7:$CC$1843,CC741,$BD$7:$BD$1843,BD741,$BT$7:$BT$1843,"&lt;="&amp;BT741),"")</f>
        <v>16639.7985347985</v>
      </c>
      <c r="BF741" s="58" t="n">
        <f aca="false">IF(BE741="",0,MAX(0,MIN(1,(IF(CC741="L1",Parameter!$H$5,IF(CC741="L23",Parameter!$H$6+Parameter!$H$7,Parameter!$H$5+Parameter!$H$6+Parameter!$H$7))-(BE741-BA741))/BA741)))</f>
        <v>1</v>
      </c>
      <c r="BG741" s="48" t="str">
        <f aca="false">IF(AI741&lt;=0,"",IF(CC741="Aussen","Aussenlager",IF(CC741="-","Nicht im Lift",IF(AN741&gt;=1,"Lift",IF(AN741&lt;=0,"Aussenlager","teilweise")))))</f>
        <v>Lift</v>
      </c>
      <c r="BH741" s="48" t="str">
        <f aca="false">IF(AR741&lt;=0,"",IF(CC741="Aussen","Aussenlager",IF(CC741="-","Nicht im Lift",IF(AW741&gt;=1,"Lift",IF(AW741&lt;=0,"Aussenlager","teilweise")))))</f>
        <v>Lift</v>
      </c>
      <c r="BI741" s="48" t="str">
        <f aca="false">IF(BA741&lt;=0,"",IF(CC741="Aussen","Aussenlager",IF(CC741="-","Nicht im Lift",IF(BF741&gt;=1,"Lift",IF(BF741&lt;=0,"Aussenlager","teilweise")))))</f>
        <v>Lift</v>
      </c>
      <c r="BJ741" s="48" t="str">
        <f aca="false">IF(A741="","",IF(BS741=1,"Neu; ","")&amp;IF(AND(BS741=0,BN741&lt;0),"negativer Bestand (Export "&amp;BN741&amp;"); ","")&amp;IF(J741&lt;=0,"Kein Verbrauch; ","")&amp;IF(CL741&gt;0,"Lift "&amp;W741&amp;" lt. Liftbericht (Fach "&amp;X741&amp;" Stk); ",IF(BX741=1,"Gebinde geschätzt ("&amp;T741&amp;"); ",IF(BW741=1,"Lose – Tablare geschätzt; ","")))&amp;IF(H741&gt;AT741,"Überbestand "&amp;ROUND(H741-AT741,0)&amp;" Stk / CHF "&amp;ROUND((H741-AT741)*G741,0)&amp;"; ","")&amp;IF(AND(CE741=1,CF741&lt;CG741),"MAX &lt; MB+LG; ","")&amp;IF(AND(CK741&gt;0,CJ741*10&gt;CK741),"zu hoch für Tablar; ","")&amp;IF(AND(BS741=0,OR(CE741=1,AA741&lt;&gt;"",U741&lt;&gt;"",V741&lt;&gt;"",AB741&lt;&gt;"")),"manuell übersteuert; ","")&amp;IF(AND(BW741=0,R741=0),"Gebinde unbekannt / Stellmass fehlt; ","")&amp;IF(AND(BW741=0,N(V741)&lt;=0,N(Q741)&lt;=0),"Menge pro Gebinde fehlt (Ist = 1 Gebinde); ","")&amp;BR741)</f>
        <v>Gebinde geschätzt (Mittel); Menge pro Gebinde fehlt (Ist = 1 Gebinde); gehört nicht ins KTL</v>
      </c>
      <c r="BK741" s="48"/>
      <c r="BL741" s="48"/>
      <c r="BM741" s="55"/>
      <c r="BN741" s="50" t="n">
        <v>0</v>
      </c>
      <c r="BO741" s="50" t="n">
        <v>7</v>
      </c>
      <c r="BP741" s="49" t="n">
        <v>-1.4210854715202E-014</v>
      </c>
      <c r="BQ741" s="50" t="n">
        <v>3</v>
      </c>
      <c r="BR741" s="48" t="s">
        <v>1473</v>
      </c>
      <c r="BS741" s="53" t="n">
        <v>0</v>
      </c>
      <c r="BT741" s="53" t="n">
        <v>741</v>
      </c>
      <c r="BU741" s="48" t="str">
        <f aca="false">IF(U741&lt;&gt;"",UPPER(TRIM(U741)),IF(BX741=1,UPPER(VLOOKUP(T741,Parameter!$I$27:$K$29,2,0)),IF(P741="","LOSE",P741)))</f>
        <v>S61</v>
      </c>
      <c r="BV741" s="50" t="n">
        <f aca="false">IF(BU741="LOSE",1,IF(N(V741)&gt;0,V741,IF(BX741=1,MAX(1,N(VLOOKUP(T741,Parameter!$I$27:$K$29,3,0)),H741,N(N741)),IF(N(Q741)&gt;0,Q741,MAX(1,H741)))))</f>
        <v>7</v>
      </c>
      <c r="BW741" s="53" t="n">
        <f aca="false">IF(BU741="LOSE",1,0)</f>
        <v>0</v>
      </c>
      <c r="BX741" s="53" t="n">
        <f aca="false">IF(AND(U741="",OR(P741="",P741="LOSE"),T741&lt;&gt;"",N(S741)&lt;=0,ISNUMBER(MATCH(T741,Parameter!$I$27:$I$29,0))),1,0)</f>
        <v>1</v>
      </c>
      <c r="BY741" s="53" t="n">
        <f aca="false">IF(CL741&gt;0,INDEX(Parameter!$H$5:$H$7,W741)/INDEX(Parameter!$E$5:$E$7,W741),IF(AND(BW741=0,N(IFERROR(VLOOKUP(BU741,'Gebinde-Kategorie'!$A$5:$N$45,14,0),0))&gt;0),VLOOKUP(BU741,'Gebinde-Kategorie'!$A$5:$N$45,14,0)*10+Parameter!$M$23,Parameter!$M$24))</f>
        <v>145</v>
      </c>
      <c r="BZ741" s="48" t="str">
        <f aca="false">IF(AND(Parameter!$B$19="Ja",E741&lt;&gt;"",ISNUMBER(MATCH(E741,Parameter!$I$35:$I$52,0))),VLOOKUP(E741,Parameter!$I$35:$J$52,2,0),IFERROR(VLOOKUP(D741,Parameter!$A$35:$C$64,2,0),"Nein"))</f>
        <v>2+3</v>
      </c>
      <c r="CA741" s="52" t="n">
        <f aca="false">IF(BW741=0,0,IF(N(S741)&gt;0,S741,IFERROR(VLOOKUP(D741,Parameter!$A$35:$C$64,3,0)+0,0)))</f>
        <v>0</v>
      </c>
      <c r="CB741" s="48" t="n">
        <f aca="false">IF(AA741&lt;&gt;"",AA741,Z741)</f>
        <v>2</v>
      </c>
      <c r="CC741" s="48" t="str">
        <f aca="false">IF(OR(CB741=1,CB741=2,CB741=3),IF(Parameter!$E$27="Ja","LIFT",IF(CB741=1,"L1","L23")),IF(CB741="Aussen","Aussen","-"))</f>
        <v>LIFT</v>
      </c>
      <c r="CD741" s="59" t="n">
        <f aca="false">IF(N(AB741)&gt;0,AB741,0)</f>
        <v>0</v>
      </c>
      <c r="CE741" s="53" t="n">
        <f aca="false">IF(ISNUMBER(AE741),1,0)</f>
        <v>0</v>
      </c>
      <c r="CF741" s="50" t="n">
        <f aca="false">N(AE741)</f>
        <v>0</v>
      </c>
      <c r="CG741" s="50" t="n">
        <f aca="false">N(M741)+N(N741)</f>
        <v>0</v>
      </c>
      <c r="CH741" s="50" t="n">
        <f aca="false">ROUNDUP(H741/BV741,0)</f>
        <v>1</v>
      </c>
      <c r="CI741" s="50" t="n">
        <f aca="false">ROUNDUP(CF741/BV741,0)</f>
        <v>0</v>
      </c>
      <c r="CJ741" s="53" t="n">
        <f aca="false">IF(BW741=1,0,IFERROR(VLOOKUP(BU741,'Gebinde-Kategorie'!$A$5:$N$45,5,0)+0,0))</f>
        <v>11</v>
      </c>
      <c r="CK741" s="53" t="n">
        <f aca="false">IFERROR(IF(OR(CB741=1,CB741=2,CB741=3),N(INDEX(Parameter!$I$5:$I$7,CB741)),0),0)</f>
        <v>0</v>
      </c>
      <c r="CL741" s="52" t="n">
        <f aca="false">IF(AND(Parameter!$B$21="Ja",ISNUMBER(W741),N(X741)&gt;0),IFERROR(N(INDEX(Parameter!$L$5:$L$7,W741))*INDEX(Parameter!$E$5:$E$7,W741)*X741/SUMIFS($X$7:$X$1843,$W$7:$W$1843,W741),0),0)</f>
        <v>0</v>
      </c>
    </row>
    <row r="742" customFormat="false" ht="15" hidden="false" customHeight="false" outlineLevel="0" collapsed="false">
      <c r="A742" s="48" t="s">
        <v>1474</v>
      </c>
      <c r="B742" s="48" t="s">
        <v>1475</v>
      </c>
      <c r="C742" s="48" t="s">
        <v>168</v>
      </c>
      <c r="D742" s="48" t="s">
        <v>1476</v>
      </c>
      <c r="E742" s="48"/>
      <c r="F742" s="48" t="s">
        <v>222</v>
      </c>
      <c r="G742" s="49" t="n">
        <v>79.34</v>
      </c>
      <c r="H742" s="50" t="n">
        <f aca="false">MAX(0,IF(AND(Parameter!$B$21="Ja",ISNUMBER(Y742)),Y742,IF(Parameter!$B$20="Jahresanfang 2025 + Export",BO742+BN742,BN742)))</f>
        <v>1</v>
      </c>
      <c r="I742" s="50" t="n">
        <f aca="false">H742*G742</f>
        <v>79.34</v>
      </c>
      <c r="J742" s="50" t="n">
        <f aca="false">BQ742*Parameter!$B$18</f>
        <v>2</v>
      </c>
      <c r="K742" s="51" t="n">
        <v>3</v>
      </c>
      <c r="L742" s="52" t="n">
        <v>0.666666666666667</v>
      </c>
      <c r="M742" s="50" t="n">
        <v>0</v>
      </c>
      <c r="N742" s="50" t="n">
        <v>2</v>
      </c>
      <c r="O742" s="53" t="n">
        <v>21</v>
      </c>
      <c r="P742" s="48" t="s">
        <v>172</v>
      </c>
      <c r="Q742" s="50"/>
      <c r="R742" s="53" t="n">
        <f aca="false">IF(BW742=1,0,IFERROR(VLOOKUP(BU742,'Gebinde-Kategorie'!$A$5:$N$45,13,0)+0,0))</f>
        <v>0</v>
      </c>
      <c r="S742" s="54"/>
      <c r="T742" s="55"/>
      <c r="U742" s="55"/>
      <c r="V742" s="55"/>
      <c r="W742" s="48"/>
      <c r="X742" s="50"/>
      <c r="Y742" s="50"/>
      <c r="Z742" s="48" t="str">
        <f aca="false">IF(A742="","",IF(AND(Parameter!$B$21="Ja",ISNUMBER(W742)),W742,IF(BZ742="2+3",IF(ISNUMBER(SEARCH("grosser Artikel",BR742)),2,IFERROR(VLOOKUP(BU742,Parameter!$F$35:$G$64,2,0),2)),IF(OR(BZ742="Nein",BZ742=""),"-",BZ742))))</f>
        <v>-</v>
      </c>
      <c r="AA742" s="55"/>
      <c r="AB742" s="56"/>
      <c r="AC742" s="50" t="n">
        <f aca="false">AT742</f>
        <v>2</v>
      </c>
      <c r="AD742" s="50" t="n">
        <f aca="false">MAX(AT742,H742)</f>
        <v>2</v>
      </c>
      <c r="AE742" s="57"/>
      <c r="AF742" s="50" t="n">
        <f aca="false">IF(LEFT(Cockpit!$C$5,1)="A",H742,IF(CE742=1,CF742,IF(LEFT(Cockpit!$C$5,1)="B",AK742,MAX(AK742,H742))))</f>
        <v>1</v>
      </c>
      <c r="AG742" s="50" t="n">
        <f aca="false">IF(BW742=1,0,ROUNDUP(AF742/BV742,0))</f>
        <v>0</v>
      </c>
      <c r="AH742" s="52" t="n">
        <f aca="false">IF(CL742&gt;0,CL742*MAX(1,AF742/X742),IF(BW742=1,IF(AF742&lt;=0,0,CA742*MAX(1,IF(H742&gt;0,AF742/H742,1))),IF(R742&gt;0,AG742/R742,0))/MAX(0.1,N(Parameter!$M$21)))</f>
        <v>0.15</v>
      </c>
      <c r="AI742" s="50" t="n">
        <f aca="false">AH742*BY742</f>
        <v>35.25</v>
      </c>
      <c r="AJ742" s="50" t="n">
        <f aca="false">AF742*G742</f>
        <v>79.34</v>
      </c>
      <c r="AK742" s="50" t="n">
        <f aca="false">ROUNDUP(MAX(J742/IF(CD742&gt;0,CD742,MAX(0.1,N(Cockpit!$C$6))),CG742)/BV742,0)*BV742</f>
        <v>2</v>
      </c>
      <c r="AL742" s="51" t="n">
        <f aca="false">IF(AI742&gt;0,J742/AI742,-1)</f>
        <v>0.0567375886524823</v>
      </c>
      <c r="AM742" s="51" t="str">
        <f aca="false">IF(AND(OR(CC742="L1",CC742="L23",CC742="LIFT"),AI742&gt;0),SUMIFS($AI$7:$AI$1843,$CC$7:$CC$1843,CC742,$AL$7:$AL$1843,"&gt;"&amp;AL742)+SUMIFS($AI$7:$AI$1843,$CC$7:$CC$1843,CC742,$AL$7:$AL$1843,AL742,$BT$7:$BT$1843,"&lt;="&amp;BT742),"")</f>
        <v/>
      </c>
      <c r="AN742" s="58" t="n">
        <f aca="false">IF(AM742="",0,MAX(0,MIN(1,(IF(CC742="L1",Parameter!$H$5,IF(CC742="L23",Parameter!$H$6+Parameter!$H$7,Parameter!$H$5+Parameter!$H$6+Parameter!$H$7))-(AM742-AI742))/AI742)))</f>
        <v>0</v>
      </c>
      <c r="AO742" s="50" t="n">
        <f aca="false">IF(LEFT(Cockpit!$I$5,1)="A",H742,IF(CE742=1,CF742,IF(LEFT(Cockpit!$I$5,1)="B",AT742,MAX(AT742,H742))))</f>
        <v>2</v>
      </c>
      <c r="AP742" s="50" t="n">
        <f aca="false">IF(BW742=1,0,ROUNDUP(AO742/BV742,0))</f>
        <v>0</v>
      </c>
      <c r="AQ742" s="52" t="n">
        <f aca="false">IF(CL742&gt;0,CL742*MAX(1,AO742/X742),IF(BW742=1,IF(AO742&lt;=0,0,CA742*MAX(1,IF(H742&gt;0,AO742/H742,1))),IF(R742&gt;0,AP742/R742,0))/MAX(0.1,N(Parameter!$M$21)))</f>
        <v>0.3</v>
      </c>
      <c r="AR742" s="50" t="n">
        <f aca="false">AQ742*BY742</f>
        <v>70.5</v>
      </c>
      <c r="AS742" s="50" t="n">
        <f aca="false">AO742*G742</f>
        <v>158.68</v>
      </c>
      <c r="AT742" s="50" t="n">
        <f aca="false">ROUNDUP(MAX(J742/IF(CD742&gt;0,CD742,MAX(0.1,N(Cockpit!$I$6))),CG742)/BV742,0)*BV742</f>
        <v>2</v>
      </c>
      <c r="AU742" s="51" t="n">
        <f aca="false">IF(AR742&gt;0,J742/AR742,-1)</f>
        <v>0.0283687943262411</v>
      </c>
      <c r="AV742" s="51" t="str">
        <f aca="false">IF(AND(OR(CC742="L1",CC742="L23",CC742="LIFT"),AR742&gt;0),SUMIFS($AR$7:$AR$1843,$CC$7:$CC$1843,CC742,$AU$7:$AU$1843,"&gt;"&amp;AU742)+SUMIFS($AR$7:$AR$1843,$CC$7:$CC$1843,CC742,$AU$7:$AU$1843,AU742,$BT$7:$BT$1843,"&lt;="&amp;BT742),"")</f>
        <v/>
      </c>
      <c r="AW742" s="58" t="n">
        <f aca="false">IF(AV742="",0,MAX(0,MIN(1,(IF(CC742="L1",Parameter!$H$5,IF(CC742="L23",Parameter!$H$6+Parameter!$H$7,Parameter!$H$5+Parameter!$H$6+Parameter!$H$7))-(AV742-AR742))/AR742)))</f>
        <v>0</v>
      </c>
      <c r="AX742" s="50" t="n">
        <f aca="false">IF(LEFT(Cockpit!$O$5,1)="A",H742,IF(CE742=1,CF742,IF(LEFT(Cockpit!$O$5,1)="B",BC742,MAX(BC742,H742))))</f>
        <v>2</v>
      </c>
      <c r="AY742" s="50" t="n">
        <f aca="false">IF(BW742=1,0,ROUNDUP(AX742/BV742,0))</f>
        <v>0</v>
      </c>
      <c r="AZ742" s="52" t="n">
        <f aca="false">IF(CL742&gt;0,CL742*MAX(1,AX742/X742),IF(BW742=1,IF(AX742&lt;=0,0,CA742*MAX(1,IF(H742&gt;0,AX742/H742,1))),IF(R742&gt;0,AY742/R742,0))/MAX(0.1,N(Parameter!$M$21)))</f>
        <v>0.3</v>
      </c>
      <c r="BA742" s="50" t="n">
        <f aca="false">AZ742*BY742</f>
        <v>70.5</v>
      </c>
      <c r="BB742" s="50" t="n">
        <f aca="false">AX742*G742</f>
        <v>158.68</v>
      </c>
      <c r="BC742" s="50" t="n">
        <f aca="false">ROUNDUP(MAX(J742/IF(CD742&gt;0,CD742,MAX(0.1,N(Cockpit!$O$6))),CG742)/BV742,0)*BV742</f>
        <v>2</v>
      </c>
      <c r="BD742" s="51" t="n">
        <f aca="false">IF(BA742&gt;0,J742/BA742,-1)</f>
        <v>0.0283687943262411</v>
      </c>
      <c r="BE742" s="51" t="str">
        <f aca="false">IF(AND(OR(CC742="L1",CC742="L23",CC742="LIFT"),BA742&gt;0),SUMIFS($BA$7:$BA$1843,$CC$7:$CC$1843,CC742,$BD$7:$BD$1843,"&gt;"&amp;BD742)+SUMIFS($BA$7:$BA$1843,$CC$7:$CC$1843,CC742,$BD$7:$BD$1843,BD742,$BT$7:$BT$1843,"&lt;="&amp;BT742),"")</f>
        <v/>
      </c>
      <c r="BF742" s="58" t="n">
        <f aca="false">IF(BE742="",0,MAX(0,MIN(1,(IF(CC742="L1",Parameter!$H$5,IF(CC742="L23",Parameter!$H$6+Parameter!$H$7,Parameter!$H$5+Parameter!$H$6+Parameter!$H$7))-(BE742-BA742))/BA742)))</f>
        <v>0</v>
      </c>
      <c r="BG742" s="48" t="str">
        <f aca="false">IF(AI742&lt;=0,"",IF(CC742="Aussen","Aussenlager",IF(CC742="-","Nicht im Lift",IF(AN742&gt;=1,"Lift",IF(AN742&lt;=0,"Aussenlager","teilweise")))))</f>
        <v>Nicht im Lift</v>
      </c>
      <c r="BH742" s="48" t="str">
        <f aca="false">IF(AR742&lt;=0,"",IF(CC742="Aussen","Aussenlager",IF(CC742="-","Nicht im Lift",IF(AW742&gt;=1,"Lift",IF(AW742&lt;=0,"Aussenlager","teilweise")))))</f>
        <v>Nicht im Lift</v>
      </c>
      <c r="BI742" s="48" t="str">
        <f aca="false">IF(BA742&lt;=0,"",IF(CC742="Aussen","Aussenlager",IF(CC742="-","Nicht im Lift",IF(BF742&gt;=1,"Lift",IF(BF742&lt;=0,"Aussenlager","teilweise")))))</f>
        <v>Nicht im Lift</v>
      </c>
      <c r="BJ742" s="48" t="str">
        <f aca="false">IF(A742="","",IF(BS742=1,"Neu; ","")&amp;IF(AND(BS742=0,BN742&lt;0),"negativer Bestand (Export "&amp;BN742&amp;"); ","")&amp;IF(J742&lt;=0,"Kein Verbrauch; ","")&amp;IF(CL742&gt;0,"Lift "&amp;W742&amp;" lt. Liftbericht (Fach "&amp;X742&amp;" Stk); ",IF(BX742=1,"Gebinde geschätzt ("&amp;T742&amp;"); ",IF(BW742=1,"Lose – Tablare geschätzt; ","")))&amp;IF(H742&gt;AT742,"Überbestand "&amp;ROUND(H742-AT742,0)&amp;" Stk / CHF "&amp;ROUND((H742-AT742)*G742,0)&amp;"; ","")&amp;IF(AND(CE742=1,CF742&lt;CG742),"MAX &lt; MB+LG; ","")&amp;IF(AND(CK742&gt;0,CJ742*10&gt;CK742),"zu hoch für Tablar; ","")&amp;IF(AND(BS742=0,OR(CE742=1,AA742&lt;&gt;"",U742&lt;&gt;"",V742&lt;&gt;"",AB742&lt;&gt;"")),"manuell übersteuert; ","")&amp;IF(AND(BW742=0,R742=0),"Gebinde unbekannt / Stellmass fehlt; ","")&amp;IF(AND(BW742=0,N(V742)&lt;=0,N(Q742)&lt;=0),"Menge pro Gebinde fehlt (Ist = 1 Gebinde); ","")&amp;BR742)</f>
        <v>Lose – Tablare geschätzt; Kleidung</v>
      </c>
      <c r="BK742" s="48"/>
      <c r="BL742" s="48"/>
      <c r="BM742" s="55"/>
      <c r="BN742" s="50" t="n">
        <v>0</v>
      </c>
      <c r="BO742" s="50" t="n">
        <v>1</v>
      </c>
      <c r="BP742" s="49" t="n">
        <v>-1.4210854715202E-014</v>
      </c>
      <c r="BQ742" s="50" t="n">
        <v>2</v>
      </c>
      <c r="BR742" s="48" t="s">
        <v>1477</v>
      </c>
      <c r="BS742" s="53" t="n">
        <v>0</v>
      </c>
      <c r="BT742" s="53" t="n">
        <v>742</v>
      </c>
      <c r="BU742" s="48" t="str">
        <f aca="false">IF(U742&lt;&gt;"",UPPER(TRIM(U742)),IF(BX742=1,UPPER(VLOOKUP(T742,Parameter!$I$27:$K$29,2,0)),IF(P742="","LOSE",P742)))</f>
        <v>LOSE</v>
      </c>
      <c r="BV742" s="50" t="n">
        <f aca="false">IF(BU742="LOSE",1,IF(N(V742)&gt;0,V742,IF(BX742=1,MAX(1,N(VLOOKUP(T742,Parameter!$I$27:$K$29,3,0)),H742,N(N742)),IF(N(Q742)&gt;0,Q742,MAX(1,H742)))))</f>
        <v>1</v>
      </c>
      <c r="BW742" s="53" t="n">
        <f aca="false">IF(BU742="LOSE",1,0)</f>
        <v>1</v>
      </c>
      <c r="BX742" s="53" t="n">
        <f aca="false">IF(AND(U742="",OR(P742="",P742="LOSE"),T742&lt;&gt;"",N(S742)&lt;=0,ISNUMBER(MATCH(T742,Parameter!$I$27:$I$29,0))),1,0)</f>
        <v>0</v>
      </c>
      <c r="BY742" s="53" t="n">
        <f aca="false">IF(CL742&gt;0,INDEX(Parameter!$H$5:$H$7,W742)/INDEX(Parameter!$E$5:$E$7,W742),IF(AND(BW742=0,N(IFERROR(VLOOKUP(BU742,'Gebinde-Kategorie'!$A$5:$N$45,14,0),0))&gt;0),VLOOKUP(BU742,'Gebinde-Kategorie'!$A$5:$N$45,14,0)*10+Parameter!$M$23,Parameter!$M$24))</f>
        <v>235</v>
      </c>
      <c r="BZ742" s="48" t="str">
        <f aca="false">IF(AND(Parameter!$B$19="Ja",E742&lt;&gt;"",ISNUMBER(MATCH(E742,Parameter!$I$35:$I$52,0))),VLOOKUP(E742,Parameter!$I$35:$J$52,2,0),IFERROR(VLOOKUP(D742,Parameter!$A$35:$C$64,2,0),"Nein"))</f>
        <v>Nein</v>
      </c>
      <c r="CA742" s="52" t="n">
        <f aca="false">IF(BW742=0,0,IF(N(S742)&gt;0,S742,IFERROR(VLOOKUP(D742,Parameter!$A$35:$C$64,3,0)+0,0)))</f>
        <v>0.15</v>
      </c>
      <c r="CB742" s="48" t="str">
        <f aca="false">IF(AA742&lt;&gt;"",AA742,Z742)</f>
        <v>-</v>
      </c>
      <c r="CC742" s="48" t="str">
        <f aca="false">IF(OR(CB742=1,CB742=2,CB742=3),IF(Parameter!$E$27="Ja","LIFT",IF(CB742=1,"L1","L23")),IF(CB742="Aussen","Aussen","-"))</f>
        <v>-</v>
      </c>
      <c r="CD742" s="59" t="n">
        <f aca="false">IF(N(AB742)&gt;0,AB742,0)</f>
        <v>0</v>
      </c>
      <c r="CE742" s="53" t="n">
        <f aca="false">IF(ISNUMBER(AE742),1,0)</f>
        <v>0</v>
      </c>
      <c r="CF742" s="50" t="n">
        <f aca="false">N(AE742)</f>
        <v>0</v>
      </c>
      <c r="CG742" s="50" t="n">
        <f aca="false">N(M742)+N(N742)</f>
        <v>2</v>
      </c>
      <c r="CH742" s="50" t="n">
        <f aca="false">ROUNDUP(H742/BV742,0)</f>
        <v>1</v>
      </c>
      <c r="CI742" s="50" t="n">
        <f aca="false">ROUNDUP(CF742/BV742,0)</f>
        <v>0</v>
      </c>
      <c r="CJ742" s="53" t="n">
        <f aca="false">IF(BW742=1,0,IFERROR(VLOOKUP(BU742,'Gebinde-Kategorie'!$A$5:$N$45,5,0)+0,0))</f>
        <v>0</v>
      </c>
      <c r="CK742" s="53" t="n">
        <f aca="false">IFERROR(IF(OR(CB742=1,CB742=2,CB742=3),N(INDEX(Parameter!$I$5:$I$7,CB742)),0),0)</f>
        <v>0</v>
      </c>
      <c r="CL742" s="52" t="n">
        <f aca="false">IF(AND(Parameter!$B$21="Ja",ISNUMBER(W742),N(X742)&gt;0),IFERROR(N(INDEX(Parameter!$L$5:$L$7,W742))*INDEX(Parameter!$E$5:$E$7,W742)*X742/SUMIFS($X$7:$X$1843,$W$7:$W$1843,W742),0),0)</f>
        <v>0</v>
      </c>
    </row>
    <row r="743" customFormat="false" ht="15" hidden="false" customHeight="false" outlineLevel="0" collapsed="false">
      <c r="A743" s="48" t="s">
        <v>1478</v>
      </c>
      <c r="B743" s="48" t="s">
        <v>1332</v>
      </c>
      <c r="C743" s="48" t="s">
        <v>168</v>
      </c>
      <c r="D743" s="48" t="s">
        <v>999</v>
      </c>
      <c r="E743" s="48"/>
      <c r="F743" s="48" t="s">
        <v>222</v>
      </c>
      <c r="G743" s="49" t="n">
        <v>19.76</v>
      </c>
      <c r="H743" s="50" t="n">
        <f aca="false">MAX(0,IF(AND(Parameter!$B$21="Ja",ISNUMBER(Y743)),Y743,IF(Parameter!$B$20="Jahresanfang 2025 + Export",BO743+BN743,BN743)))</f>
        <v>0</v>
      </c>
      <c r="I743" s="50" t="n">
        <f aca="false">H743*G743</f>
        <v>0</v>
      </c>
      <c r="J743" s="50" t="n">
        <f aca="false">BQ743*Parameter!$B$18</f>
        <v>60</v>
      </c>
      <c r="K743" s="51" t="n">
        <v>0</v>
      </c>
      <c r="L743" s="52" t="n">
        <v>0</v>
      </c>
      <c r="M743" s="50" t="n">
        <v>0</v>
      </c>
      <c r="N743" s="50" t="n">
        <v>10</v>
      </c>
      <c r="O743" s="53" t="n">
        <v>28</v>
      </c>
      <c r="P743" s="48" t="s">
        <v>172</v>
      </c>
      <c r="Q743" s="50"/>
      <c r="R743" s="53" t="n">
        <f aca="false">IF(BW743=1,0,IFERROR(VLOOKUP(BU743,'Gebinde-Kategorie'!$A$5:$N$45,13,0)+0,0))</f>
        <v>0</v>
      </c>
      <c r="S743" s="54"/>
      <c r="T743" s="55"/>
      <c r="U743" s="55"/>
      <c r="V743" s="55"/>
      <c r="W743" s="48"/>
      <c r="X743" s="50"/>
      <c r="Y743" s="50"/>
      <c r="Z743" s="48" t="str">
        <f aca="false">IF(A743="","",IF(AND(Parameter!$B$21="Ja",ISNUMBER(W743)),W743,IF(BZ743="2+3",IF(ISNUMBER(SEARCH("grosser Artikel",BR743)),2,IFERROR(VLOOKUP(BU743,Parameter!$F$35:$G$64,2,0),2)),IF(OR(BZ743="Nein",BZ743=""),"-",BZ743))))</f>
        <v>-</v>
      </c>
      <c r="AA743" s="55"/>
      <c r="AB743" s="56"/>
      <c r="AC743" s="50" t="n">
        <f aca="false">AT743</f>
        <v>30</v>
      </c>
      <c r="AD743" s="50" t="n">
        <f aca="false">MAX(AT743,H743)</f>
        <v>30</v>
      </c>
      <c r="AE743" s="57"/>
      <c r="AF743" s="50" t="n">
        <f aca="false">IF(LEFT(Cockpit!$C$5,1)="A",H743,IF(CE743=1,CF743,IF(LEFT(Cockpit!$C$5,1)="B",AK743,MAX(AK743,H743))))</f>
        <v>0</v>
      </c>
      <c r="AG743" s="50" t="n">
        <f aca="false">IF(BW743=1,0,ROUNDUP(AF743/BV743,0))</f>
        <v>0</v>
      </c>
      <c r="AH743" s="52" t="n">
        <f aca="false">IF(CL743&gt;0,CL743*MAX(1,AF743/X743),IF(BW743=1,IF(AF743&lt;=0,0,CA743*MAX(1,IF(H743&gt;0,AF743/H743,1))),IF(R743&gt;0,AG743/R743,0))/MAX(0.1,N(Parameter!$M$21)))</f>
        <v>0</v>
      </c>
      <c r="AI743" s="50" t="n">
        <f aca="false">AH743*BY743</f>
        <v>0</v>
      </c>
      <c r="AJ743" s="50" t="n">
        <f aca="false">AF743*G743</f>
        <v>0</v>
      </c>
      <c r="AK743" s="50" t="n">
        <f aca="false">ROUNDUP(MAX(J743/IF(CD743&gt;0,CD743,MAX(0.1,N(Cockpit!$C$6))),CG743)/BV743,0)*BV743</f>
        <v>30</v>
      </c>
      <c r="AL743" s="51" t="n">
        <f aca="false">IF(AI743&gt;0,J743/AI743,-1)</f>
        <v>-1</v>
      </c>
      <c r="AM743" s="51" t="str">
        <f aca="false">IF(AND(OR(CC743="L1",CC743="L23",CC743="LIFT"),AI743&gt;0),SUMIFS($AI$7:$AI$1843,$CC$7:$CC$1843,CC743,$AL$7:$AL$1843,"&gt;"&amp;AL743)+SUMIFS($AI$7:$AI$1843,$CC$7:$CC$1843,CC743,$AL$7:$AL$1843,AL743,$BT$7:$BT$1843,"&lt;="&amp;BT743),"")</f>
        <v/>
      </c>
      <c r="AN743" s="58" t="n">
        <f aca="false">IF(AM743="",0,MAX(0,MIN(1,(IF(CC743="L1",Parameter!$H$5,IF(CC743="L23",Parameter!$H$6+Parameter!$H$7,Parameter!$H$5+Parameter!$H$6+Parameter!$H$7))-(AM743-AI743))/AI743)))</f>
        <v>0</v>
      </c>
      <c r="AO743" s="50" t="n">
        <f aca="false">IF(LEFT(Cockpit!$I$5,1)="A",H743,IF(CE743=1,CF743,IF(LEFT(Cockpit!$I$5,1)="B",AT743,MAX(AT743,H743))))</f>
        <v>30</v>
      </c>
      <c r="AP743" s="50" t="n">
        <f aca="false">IF(BW743=1,0,ROUNDUP(AO743/BV743,0))</f>
        <v>0</v>
      </c>
      <c r="AQ743" s="52" t="n">
        <f aca="false">IF(CL743&gt;0,CL743*MAX(1,AO743/X743),IF(BW743=1,IF(AO743&lt;=0,0,CA743*MAX(1,IF(H743&gt;0,AO743/H743,1))),IF(R743&gt;0,AP743/R743,0))/MAX(0.1,N(Parameter!$M$21)))</f>
        <v>0.15</v>
      </c>
      <c r="AR743" s="50" t="n">
        <f aca="false">AQ743*BY743</f>
        <v>35.25</v>
      </c>
      <c r="AS743" s="50" t="n">
        <f aca="false">AO743*G743</f>
        <v>592.8</v>
      </c>
      <c r="AT743" s="50" t="n">
        <f aca="false">ROUNDUP(MAX(J743/IF(CD743&gt;0,CD743,MAX(0.1,N(Cockpit!$I$6))),CG743)/BV743,0)*BV743</f>
        <v>30</v>
      </c>
      <c r="AU743" s="51" t="n">
        <f aca="false">IF(AR743&gt;0,J743/AR743,-1)</f>
        <v>1.70212765957447</v>
      </c>
      <c r="AV743" s="51" t="str">
        <f aca="false">IF(AND(OR(CC743="L1",CC743="L23",CC743="LIFT"),AR743&gt;0),SUMIFS($AR$7:$AR$1843,$CC$7:$CC$1843,CC743,$AU$7:$AU$1843,"&gt;"&amp;AU743)+SUMIFS($AR$7:$AR$1843,$CC$7:$CC$1843,CC743,$AU$7:$AU$1843,AU743,$BT$7:$BT$1843,"&lt;="&amp;BT743),"")</f>
        <v/>
      </c>
      <c r="AW743" s="58" t="n">
        <f aca="false">IF(AV743="",0,MAX(0,MIN(1,(IF(CC743="L1",Parameter!$H$5,IF(CC743="L23",Parameter!$H$6+Parameter!$H$7,Parameter!$H$5+Parameter!$H$6+Parameter!$H$7))-(AV743-AR743))/AR743)))</f>
        <v>0</v>
      </c>
      <c r="AX743" s="50" t="n">
        <f aca="false">IF(LEFT(Cockpit!$O$5,1)="A",H743,IF(CE743=1,CF743,IF(LEFT(Cockpit!$O$5,1)="B",BC743,MAX(BC743,H743))))</f>
        <v>20</v>
      </c>
      <c r="AY743" s="50" t="n">
        <f aca="false">IF(BW743=1,0,ROUNDUP(AX743/BV743,0))</f>
        <v>0</v>
      </c>
      <c r="AZ743" s="52" t="n">
        <f aca="false">IF(CL743&gt;0,CL743*MAX(1,AX743/X743),IF(BW743=1,IF(AX743&lt;=0,0,CA743*MAX(1,IF(H743&gt;0,AX743/H743,1))),IF(R743&gt;0,AY743/R743,0))/MAX(0.1,N(Parameter!$M$21)))</f>
        <v>0.15</v>
      </c>
      <c r="BA743" s="50" t="n">
        <f aca="false">AZ743*BY743</f>
        <v>35.25</v>
      </c>
      <c r="BB743" s="50" t="n">
        <f aca="false">AX743*G743</f>
        <v>395.2</v>
      </c>
      <c r="BC743" s="50" t="n">
        <f aca="false">ROUNDUP(MAX(J743/IF(CD743&gt;0,CD743,MAX(0.1,N(Cockpit!$O$6))),CG743)/BV743,0)*BV743</f>
        <v>20</v>
      </c>
      <c r="BD743" s="51" t="n">
        <f aca="false">IF(BA743&gt;0,J743/BA743,-1)</f>
        <v>1.70212765957447</v>
      </c>
      <c r="BE743" s="51" t="str">
        <f aca="false">IF(AND(OR(CC743="L1",CC743="L23",CC743="LIFT"),BA743&gt;0),SUMIFS($BA$7:$BA$1843,$CC$7:$CC$1843,CC743,$BD$7:$BD$1843,"&gt;"&amp;BD743)+SUMIFS($BA$7:$BA$1843,$CC$7:$CC$1843,CC743,$BD$7:$BD$1843,BD743,$BT$7:$BT$1843,"&lt;="&amp;BT743),"")</f>
        <v/>
      </c>
      <c r="BF743" s="58" t="n">
        <f aca="false">IF(BE743="",0,MAX(0,MIN(1,(IF(CC743="L1",Parameter!$H$5,IF(CC743="L23",Parameter!$H$6+Parameter!$H$7,Parameter!$H$5+Parameter!$H$6+Parameter!$H$7))-(BE743-BA743))/BA743)))</f>
        <v>0</v>
      </c>
      <c r="BG743" s="48" t="str">
        <f aca="false">IF(AI743&lt;=0,"",IF(CC743="Aussen","Aussenlager",IF(CC743="-","Nicht im Lift",IF(AN743&gt;=1,"Lift",IF(AN743&lt;=0,"Aussenlager","teilweise")))))</f>
        <v/>
      </c>
      <c r="BH743" s="48" t="str">
        <f aca="false">IF(AR743&lt;=0,"",IF(CC743="Aussen","Aussenlager",IF(CC743="-","Nicht im Lift",IF(AW743&gt;=1,"Lift",IF(AW743&lt;=0,"Aussenlager","teilweise")))))</f>
        <v>Nicht im Lift</v>
      </c>
      <c r="BI743" s="48" t="str">
        <f aca="false">IF(BA743&lt;=0,"",IF(CC743="Aussen","Aussenlager",IF(CC743="-","Nicht im Lift",IF(BF743&gt;=1,"Lift",IF(BF743&lt;=0,"Aussenlager","teilweise")))))</f>
        <v>Nicht im Lift</v>
      </c>
      <c r="BJ743" s="48" t="str">
        <f aca="false">IF(A743="","",IF(BS743=1,"Neu; ","")&amp;IF(AND(BS743=0,BN743&lt;0),"negativer Bestand (Export "&amp;BN743&amp;"); ","")&amp;IF(J743&lt;=0,"Kein Verbrauch; ","")&amp;IF(CL743&gt;0,"Lift "&amp;W743&amp;" lt. Liftbericht (Fach "&amp;X743&amp;" Stk); ",IF(BX743=1,"Gebinde geschätzt ("&amp;T743&amp;"); ",IF(BW743=1,"Lose – Tablare geschätzt; ","")))&amp;IF(H743&gt;AT743,"Überbestand "&amp;ROUND(H743-AT743,0)&amp;" Stk / CHF "&amp;ROUND((H743-AT743)*G743,0)&amp;"; ","")&amp;IF(AND(CE743=1,CF743&lt;CG743),"MAX &lt; MB+LG; ","")&amp;IF(AND(CK743&gt;0,CJ743*10&gt;CK743),"zu hoch für Tablar; ","")&amp;IF(AND(BS743=0,OR(CE743=1,AA743&lt;&gt;"",U743&lt;&gt;"",V743&lt;&gt;"",AB743&lt;&gt;"")),"manuell übersteuert; ","")&amp;IF(AND(BW743=0,R743=0),"Gebinde unbekannt / Stellmass fehlt; ","")&amp;IF(AND(BW743=0,N(V743)&lt;=0,N(Q743)&lt;=0),"Menge pro Gebinde fehlt (Ist = 1 Gebinde); ","")&amp;BR743)</f>
        <v>Lose – Tablare geschätzt; </v>
      </c>
      <c r="BK743" s="48"/>
      <c r="BL743" s="48"/>
      <c r="BM743" s="55"/>
      <c r="BN743" s="50" t="n">
        <v>0</v>
      </c>
      <c r="BO743" s="50" t="n">
        <v>0</v>
      </c>
      <c r="BP743" s="49" t="n">
        <v>-2.1316282072803E-014</v>
      </c>
      <c r="BQ743" s="50" t="n">
        <v>60</v>
      </c>
      <c r="BR743" s="48"/>
      <c r="BS743" s="53" t="n">
        <v>0</v>
      </c>
      <c r="BT743" s="53" t="n">
        <v>743</v>
      </c>
      <c r="BU743" s="48" t="str">
        <f aca="false">IF(U743&lt;&gt;"",UPPER(TRIM(U743)),IF(BX743=1,UPPER(VLOOKUP(T743,Parameter!$I$27:$K$29,2,0)),IF(P743="","LOSE",P743)))</f>
        <v>LOSE</v>
      </c>
      <c r="BV743" s="50" t="n">
        <f aca="false">IF(BU743="LOSE",1,IF(N(V743)&gt;0,V743,IF(BX743=1,MAX(1,N(VLOOKUP(T743,Parameter!$I$27:$K$29,3,0)),H743,N(N743)),IF(N(Q743)&gt;0,Q743,MAX(1,H743)))))</f>
        <v>1</v>
      </c>
      <c r="BW743" s="53" t="n">
        <f aca="false">IF(BU743="LOSE",1,0)</f>
        <v>1</v>
      </c>
      <c r="BX743" s="53" t="n">
        <f aca="false">IF(AND(U743="",OR(P743="",P743="LOSE"),T743&lt;&gt;"",N(S743)&lt;=0,ISNUMBER(MATCH(T743,Parameter!$I$27:$I$29,0))),1,0)</f>
        <v>0</v>
      </c>
      <c r="BY743" s="53" t="n">
        <f aca="false">IF(CL743&gt;0,INDEX(Parameter!$H$5:$H$7,W743)/INDEX(Parameter!$E$5:$E$7,W743),IF(AND(BW743=0,N(IFERROR(VLOOKUP(BU743,'Gebinde-Kategorie'!$A$5:$N$45,14,0),0))&gt;0),VLOOKUP(BU743,'Gebinde-Kategorie'!$A$5:$N$45,14,0)*10+Parameter!$M$23,Parameter!$M$24))</f>
        <v>235</v>
      </c>
      <c r="BZ743" s="48" t="str">
        <f aca="false">IF(AND(Parameter!$B$19="Ja",E743&lt;&gt;"",ISNUMBER(MATCH(E743,Parameter!$I$35:$I$52,0))),VLOOKUP(E743,Parameter!$I$35:$J$52,2,0),IFERROR(VLOOKUP(D743,Parameter!$A$35:$C$64,2,0),"Nein"))</f>
        <v>Nein</v>
      </c>
      <c r="CA743" s="52" t="n">
        <f aca="false">IF(BW743=0,0,IF(N(S743)&gt;0,S743,IFERROR(VLOOKUP(D743,Parameter!$A$35:$C$64,3,0)+0,0)))</f>
        <v>0.15</v>
      </c>
      <c r="CB743" s="48" t="str">
        <f aca="false">IF(AA743&lt;&gt;"",AA743,Z743)</f>
        <v>-</v>
      </c>
      <c r="CC743" s="48" t="str">
        <f aca="false">IF(OR(CB743=1,CB743=2,CB743=3),IF(Parameter!$E$27="Ja","LIFT",IF(CB743=1,"L1","L23")),IF(CB743="Aussen","Aussen","-"))</f>
        <v>-</v>
      </c>
      <c r="CD743" s="59" t="n">
        <f aca="false">IF(N(AB743)&gt;0,AB743,0)</f>
        <v>0</v>
      </c>
      <c r="CE743" s="53" t="n">
        <f aca="false">IF(ISNUMBER(AE743),1,0)</f>
        <v>0</v>
      </c>
      <c r="CF743" s="50" t="n">
        <f aca="false">N(AE743)</f>
        <v>0</v>
      </c>
      <c r="CG743" s="50" t="n">
        <f aca="false">N(M743)+N(N743)</f>
        <v>10</v>
      </c>
      <c r="CH743" s="50" t="n">
        <f aca="false">ROUNDUP(H743/BV743,0)</f>
        <v>0</v>
      </c>
      <c r="CI743" s="50" t="n">
        <f aca="false">ROUNDUP(CF743/BV743,0)</f>
        <v>0</v>
      </c>
      <c r="CJ743" s="53" t="n">
        <f aca="false">IF(BW743=1,0,IFERROR(VLOOKUP(BU743,'Gebinde-Kategorie'!$A$5:$N$45,5,0)+0,0))</f>
        <v>0</v>
      </c>
      <c r="CK743" s="53" t="n">
        <f aca="false">IFERROR(IF(OR(CB743=1,CB743=2,CB743=3),N(INDEX(Parameter!$I$5:$I$7,CB743)),0),0)</f>
        <v>0</v>
      </c>
      <c r="CL743" s="52" t="n">
        <f aca="false">IF(AND(Parameter!$B$21="Ja",ISNUMBER(W743),N(X743)&gt;0),IFERROR(N(INDEX(Parameter!$L$5:$L$7,W743))*INDEX(Parameter!$E$5:$E$7,W743)*X743/SUMIFS($X$7:$X$1843,$W$7:$W$1843,W743),0),0)</f>
        <v>0</v>
      </c>
    </row>
    <row r="744" customFormat="false" ht="15" hidden="false" customHeight="false" outlineLevel="0" collapsed="false">
      <c r="A744" s="48" t="s">
        <v>1479</v>
      </c>
      <c r="B744" s="48" t="s">
        <v>593</v>
      </c>
      <c r="C744" s="48" t="s">
        <v>168</v>
      </c>
      <c r="D744" s="48" t="s">
        <v>188</v>
      </c>
      <c r="E744" s="48" t="s">
        <v>189</v>
      </c>
      <c r="F744" s="48" t="s">
        <v>222</v>
      </c>
      <c r="G744" s="49" t="n">
        <v>1.7</v>
      </c>
      <c r="H744" s="50" t="n">
        <f aca="false">MAX(0,IF(AND(Parameter!$B$21="Ja",ISNUMBER(Y744)),Y744,IF(Parameter!$B$20="Jahresanfang 2025 + Export",BO744+BN744,BN744)))</f>
        <v>78</v>
      </c>
      <c r="I744" s="50" t="n">
        <f aca="false">H744*G744</f>
        <v>132.6</v>
      </c>
      <c r="J744" s="50" t="n">
        <f aca="false">BQ744*Parameter!$B$18</f>
        <v>80</v>
      </c>
      <c r="K744" s="51" t="n">
        <v>74</v>
      </c>
      <c r="L744" s="52" t="n">
        <v>1.08108108108108</v>
      </c>
      <c r="M744" s="50" t="n">
        <v>4</v>
      </c>
      <c r="N744" s="50" t="n">
        <v>80</v>
      </c>
      <c r="O744" s="53" t="n">
        <v>21</v>
      </c>
      <c r="P744" s="48" t="s">
        <v>430</v>
      </c>
      <c r="Q744" s="50" t="n">
        <v>157</v>
      </c>
      <c r="R744" s="53" t="n">
        <f aca="false">IF(BW744=1,0,IFERROR(VLOOKUP(BU744,'Gebinde-Kategorie'!$A$5:$N$45,13,0)+0,0))</f>
        <v>140</v>
      </c>
      <c r="S744" s="54"/>
      <c r="T744" s="55"/>
      <c r="U744" s="55"/>
      <c r="V744" s="55"/>
      <c r="W744" s="48"/>
      <c r="X744" s="50"/>
      <c r="Y744" s="50"/>
      <c r="Z744" s="48" t="n">
        <f aca="false">IF(A744="","",IF(AND(Parameter!$B$21="Ja",ISNUMBER(W744)),W744,IF(BZ744="2+3",IF(ISNUMBER(SEARCH("grosser Artikel",BR744)),2,IFERROR(VLOOKUP(BU744,Parameter!$F$35:$G$64,2,0),2)),IF(OR(BZ744="Nein",BZ744=""),"-",BZ744))))</f>
        <v>3</v>
      </c>
      <c r="AA744" s="55"/>
      <c r="AB744" s="56"/>
      <c r="AC744" s="50" t="n">
        <f aca="false">AT744</f>
        <v>157</v>
      </c>
      <c r="AD744" s="50" t="n">
        <f aca="false">MAX(AT744,H744)</f>
        <v>157</v>
      </c>
      <c r="AE744" s="57"/>
      <c r="AF744" s="50" t="n">
        <f aca="false">IF(LEFT(Cockpit!$C$5,1)="A",H744,IF(CE744=1,CF744,IF(LEFT(Cockpit!$C$5,1)="B",AK744,MAX(AK744,H744))))</f>
        <v>78</v>
      </c>
      <c r="AG744" s="50" t="n">
        <f aca="false">IF(BW744=1,0,ROUNDUP(AF744/BV744,0))</f>
        <v>1</v>
      </c>
      <c r="AH744" s="52" t="n">
        <f aca="false">IF(CL744&gt;0,CL744*MAX(1,AF744/X744),IF(BW744=1,IF(AF744&lt;=0,0,CA744*MAX(1,IF(H744&gt;0,AF744/H744,1))),IF(R744&gt;0,AG744/R744,0))/MAX(0.1,N(Parameter!$M$21)))</f>
        <v>0.00714285714285714</v>
      </c>
      <c r="AI744" s="50" t="n">
        <f aca="false">AH744*BY744</f>
        <v>1.10714285714286</v>
      </c>
      <c r="AJ744" s="50" t="n">
        <f aca="false">AF744*G744</f>
        <v>132.6</v>
      </c>
      <c r="AK744" s="50" t="n">
        <f aca="false">ROUNDUP(MAX(J744/IF(CD744&gt;0,CD744,MAX(0.1,N(Cockpit!$C$6))),CG744)/BV744,0)*BV744</f>
        <v>157</v>
      </c>
      <c r="AL744" s="51" t="n">
        <f aca="false">IF(AI744&gt;0,J744/AI744,-1)</f>
        <v>72.258064516129</v>
      </c>
      <c r="AM744" s="51" t="n">
        <f aca="false">IF(AND(OR(CC744="L1",CC744="L23",CC744="LIFT"),AI744&gt;0),SUMIFS($AI$7:$AI$1843,$CC$7:$CC$1843,CC744,$AL$7:$AL$1843,"&gt;"&amp;AL744)+SUMIFS($AI$7:$AI$1843,$CC$7:$CC$1843,CC744,$AL$7:$AL$1843,AL744,$BT$7:$BT$1843,"&lt;="&amp;BT744),"")</f>
        <v>879.429945054945</v>
      </c>
      <c r="AN744" s="58" t="n">
        <f aca="false">IF(AM744="",0,MAX(0,MIN(1,(IF(CC744="L1",Parameter!$H$5,IF(CC744="L23",Parameter!$H$6+Parameter!$H$7,Parameter!$H$5+Parameter!$H$6+Parameter!$H$7))-(AM744-AI744))/AI744)))</f>
        <v>1</v>
      </c>
      <c r="AO744" s="50" t="n">
        <f aca="false">IF(LEFT(Cockpit!$I$5,1)="A",H744,IF(CE744=1,CF744,IF(LEFT(Cockpit!$I$5,1)="B",AT744,MAX(AT744,H744))))</f>
        <v>157</v>
      </c>
      <c r="AP744" s="50" t="n">
        <f aca="false">IF(BW744=1,0,ROUNDUP(AO744/BV744,0))</f>
        <v>1</v>
      </c>
      <c r="AQ744" s="52" t="n">
        <f aca="false">IF(CL744&gt;0,CL744*MAX(1,AO744/X744),IF(BW744=1,IF(AO744&lt;=0,0,CA744*MAX(1,IF(H744&gt;0,AO744/H744,1))),IF(R744&gt;0,AP744/R744,0))/MAX(0.1,N(Parameter!$M$21)))</f>
        <v>0.00714285714285714</v>
      </c>
      <c r="AR744" s="50" t="n">
        <f aca="false">AQ744*BY744</f>
        <v>1.10714285714286</v>
      </c>
      <c r="AS744" s="50" t="n">
        <f aca="false">AO744*G744</f>
        <v>266.9</v>
      </c>
      <c r="AT744" s="50" t="n">
        <f aca="false">ROUNDUP(MAX(J744/IF(CD744&gt;0,CD744,MAX(0.1,N(Cockpit!$I$6))),CG744)/BV744,0)*BV744</f>
        <v>157</v>
      </c>
      <c r="AU744" s="51" t="n">
        <f aca="false">IF(AR744&gt;0,J744/AR744,-1)</f>
        <v>72.258064516129</v>
      </c>
      <c r="AV744" s="51" t="n">
        <f aca="false">IF(AND(OR(CC744="L1",CC744="L23",CC744="LIFT"),AR744&gt;0),SUMIFS($AR$7:$AR$1843,$CC$7:$CC$1843,CC744,$AU$7:$AU$1843,"&gt;"&amp;AU744)+SUMIFS($AR$7:$AR$1843,$CC$7:$CC$1843,CC744,$AU$7:$AU$1843,AU744,$BT$7:$BT$1843,"&lt;="&amp;BT744),"")</f>
        <v>1000.31776556777</v>
      </c>
      <c r="AW744" s="58" t="n">
        <f aca="false">IF(AV744="",0,MAX(0,MIN(1,(IF(CC744="L1",Parameter!$H$5,IF(CC744="L23",Parameter!$H$6+Parameter!$H$7,Parameter!$H$5+Parameter!$H$6+Parameter!$H$7))-(AV744-AR744))/AR744)))</f>
        <v>1</v>
      </c>
      <c r="AX744" s="50" t="n">
        <f aca="false">IF(LEFT(Cockpit!$O$5,1)="A",H744,IF(CE744=1,CF744,IF(LEFT(Cockpit!$O$5,1)="B",BC744,MAX(BC744,H744))))</f>
        <v>157</v>
      </c>
      <c r="AY744" s="50" t="n">
        <f aca="false">IF(BW744=1,0,ROUNDUP(AX744/BV744,0))</f>
        <v>1</v>
      </c>
      <c r="AZ744" s="52" t="n">
        <f aca="false">IF(CL744&gt;0,CL744*MAX(1,AX744/X744),IF(BW744=1,IF(AX744&lt;=0,0,CA744*MAX(1,IF(H744&gt;0,AX744/H744,1))),IF(R744&gt;0,AY744/R744,0))/MAX(0.1,N(Parameter!$M$21)))</f>
        <v>0.00714285714285714</v>
      </c>
      <c r="BA744" s="50" t="n">
        <f aca="false">AZ744*BY744</f>
        <v>1.10714285714286</v>
      </c>
      <c r="BB744" s="50" t="n">
        <f aca="false">AX744*G744</f>
        <v>266.9</v>
      </c>
      <c r="BC744" s="50" t="n">
        <f aca="false">ROUNDUP(MAX(J744/IF(CD744&gt;0,CD744,MAX(0.1,N(Cockpit!$O$6))),CG744)/BV744,0)*BV744</f>
        <v>157</v>
      </c>
      <c r="BD744" s="51" t="n">
        <f aca="false">IF(BA744&gt;0,J744/BA744,-1)</f>
        <v>72.258064516129</v>
      </c>
      <c r="BE744" s="51" t="n">
        <f aca="false">IF(AND(OR(CC744="L1",CC744="L23",CC744="LIFT"),BA744&gt;0),SUMIFS($BA$7:$BA$1843,$CC$7:$CC$1843,CC744,$BD$7:$BD$1843,"&gt;"&amp;BD744)+SUMIFS($BA$7:$BA$1843,$CC$7:$CC$1843,CC744,$BD$7:$BD$1843,BD744,$BT$7:$BT$1843,"&lt;="&amp;BT744),"")</f>
        <v>1107.73763736264</v>
      </c>
      <c r="BF744" s="58" t="n">
        <f aca="false">IF(BE744="",0,MAX(0,MIN(1,(IF(CC744="L1",Parameter!$H$5,IF(CC744="L23",Parameter!$H$6+Parameter!$H$7,Parameter!$H$5+Parameter!$H$6+Parameter!$H$7))-(BE744-BA744))/BA744)))</f>
        <v>1</v>
      </c>
      <c r="BG744" s="48" t="str">
        <f aca="false">IF(AI744&lt;=0,"",IF(CC744="Aussen","Aussenlager",IF(CC744="-","Nicht im Lift",IF(AN744&gt;=1,"Lift",IF(AN744&lt;=0,"Aussenlager","teilweise")))))</f>
        <v>Lift</v>
      </c>
      <c r="BH744" s="48" t="str">
        <f aca="false">IF(AR744&lt;=0,"",IF(CC744="Aussen","Aussenlager",IF(CC744="-","Nicht im Lift",IF(AW744&gt;=1,"Lift",IF(AW744&lt;=0,"Aussenlager","teilweise")))))</f>
        <v>Lift</v>
      </c>
      <c r="BI744" s="48" t="str">
        <f aca="false">IF(BA744&lt;=0,"",IF(CC744="Aussen","Aussenlager",IF(CC744="-","Nicht im Lift",IF(BF744&gt;=1,"Lift",IF(BF744&lt;=0,"Aussenlager","teilweise")))))</f>
        <v>Lift</v>
      </c>
      <c r="BJ744" s="48" t="str">
        <f aca="false">IF(A744="","",IF(BS744=1,"Neu; ","")&amp;IF(AND(BS744=0,BN744&lt;0),"negativer Bestand (Export "&amp;BN744&amp;"); ","")&amp;IF(J744&lt;=0,"Kein Verbrauch; ","")&amp;IF(CL744&gt;0,"Lift "&amp;W744&amp;" lt. Liftbericht (Fach "&amp;X744&amp;" Stk); ",IF(BX744=1,"Gebinde geschätzt ("&amp;T744&amp;"); ",IF(BW744=1,"Lose – Tablare geschätzt; ","")))&amp;IF(H744&gt;AT744,"Überbestand "&amp;ROUND(H744-AT744,0)&amp;" Stk / CHF "&amp;ROUND((H744-AT744)*G744,0)&amp;"; ","")&amp;IF(AND(CE744=1,CF744&lt;CG744),"MAX &lt; MB+LG; ","")&amp;IF(AND(CK744&gt;0,CJ744*10&gt;CK744),"zu hoch für Tablar; ","")&amp;IF(AND(BS744=0,OR(CE744=1,AA744&lt;&gt;"",U744&lt;&gt;"",V744&lt;&gt;"",AB744&lt;&gt;"")),"manuell übersteuert; ","")&amp;IF(AND(BW744=0,R744=0),"Gebinde unbekannt / Stellmass fehlt; ","")&amp;IF(AND(BW744=0,N(V744)&lt;=0,N(Q744)&lt;=0),"Menge pro Gebinde fehlt (Ist = 1 Gebinde); ","")&amp;BR744)</f>
        <v/>
      </c>
      <c r="BK744" s="48"/>
      <c r="BL744" s="48"/>
      <c r="BM744" s="55"/>
      <c r="BN744" s="50" t="n">
        <v>0</v>
      </c>
      <c r="BO744" s="50" t="n">
        <v>78</v>
      </c>
      <c r="BP744" s="49" t="n">
        <v>-2.1316282072803E-014</v>
      </c>
      <c r="BQ744" s="50" t="n">
        <v>80</v>
      </c>
      <c r="BR744" s="48"/>
      <c r="BS744" s="53" t="n">
        <v>0</v>
      </c>
      <c r="BT744" s="53" t="n">
        <v>744</v>
      </c>
      <c r="BU744" s="48" t="str">
        <f aca="false">IF(U744&lt;&gt;"",UPPER(TRIM(U744)),IF(BX744=1,UPPER(VLOOKUP(T744,Parameter!$I$27:$K$29,2,0)),IF(P744="","LOSE",P744)))</f>
        <v>S22</v>
      </c>
      <c r="BV744" s="50" t="n">
        <f aca="false">IF(BU744="LOSE",1,IF(N(V744)&gt;0,V744,IF(BX744=1,MAX(1,N(VLOOKUP(T744,Parameter!$I$27:$K$29,3,0)),H744,N(N744)),IF(N(Q744)&gt;0,Q744,MAX(1,H744)))))</f>
        <v>157</v>
      </c>
      <c r="BW744" s="53" t="n">
        <f aca="false">IF(BU744="LOSE",1,0)</f>
        <v>0</v>
      </c>
      <c r="BX744" s="53" t="n">
        <f aca="false">IF(AND(U744="",OR(P744="",P744="LOSE"),T744&lt;&gt;"",N(S744)&lt;=0,ISNUMBER(MATCH(T744,Parameter!$I$27:$I$29,0))),1,0)</f>
        <v>0</v>
      </c>
      <c r="BY744" s="53" t="n">
        <f aca="false">IF(CL744&gt;0,INDEX(Parameter!$H$5:$H$7,W744)/INDEX(Parameter!$E$5:$E$7,W744),IF(AND(BW744=0,N(IFERROR(VLOOKUP(BU744,'Gebinde-Kategorie'!$A$5:$N$45,14,0),0))&gt;0),VLOOKUP(BU744,'Gebinde-Kategorie'!$A$5:$N$45,14,0)*10+Parameter!$M$23,Parameter!$M$24))</f>
        <v>155</v>
      </c>
      <c r="BZ744" s="48" t="str">
        <f aca="false">IF(AND(Parameter!$B$19="Ja",E744&lt;&gt;"",ISNUMBER(MATCH(E744,Parameter!$I$35:$I$52,0))),VLOOKUP(E744,Parameter!$I$35:$J$52,2,0),IFERROR(VLOOKUP(D744,Parameter!$A$35:$C$64,2,0),"Nein"))</f>
        <v>2+3</v>
      </c>
      <c r="CA744" s="52" t="n">
        <f aca="false">IF(BW744=0,0,IF(N(S744)&gt;0,S744,IFERROR(VLOOKUP(D744,Parameter!$A$35:$C$64,3,0)+0,0)))</f>
        <v>0</v>
      </c>
      <c r="CB744" s="48" t="n">
        <f aca="false">IF(AA744&lt;&gt;"",AA744,Z744)</f>
        <v>3</v>
      </c>
      <c r="CC744" s="48" t="str">
        <f aca="false">IF(OR(CB744=1,CB744=2,CB744=3),IF(Parameter!$E$27="Ja","LIFT",IF(CB744=1,"L1","L23")),IF(CB744="Aussen","Aussen","-"))</f>
        <v>LIFT</v>
      </c>
      <c r="CD744" s="59" t="n">
        <f aca="false">IF(N(AB744)&gt;0,AB744,0)</f>
        <v>0</v>
      </c>
      <c r="CE744" s="53" t="n">
        <f aca="false">IF(ISNUMBER(AE744),1,0)</f>
        <v>0</v>
      </c>
      <c r="CF744" s="50" t="n">
        <f aca="false">N(AE744)</f>
        <v>0</v>
      </c>
      <c r="CG744" s="50" t="n">
        <f aca="false">N(M744)+N(N744)</f>
        <v>84</v>
      </c>
      <c r="CH744" s="50" t="n">
        <f aca="false">ROUNDUP(H744/BV744,0)</f>
        <v>1</v>
      </c>
      <c r="CI744" s="50" t="n">
        <f aca="false">ROUNDUP(CF744/BV744,0)</f>
        <v>0</v>
      </c>
      <c r="CJ744" s="53" t="n">
        <f aca="false">IF(BW744=1,0,IFERROR(VLOOKUP(BU744,'Gebinde-Kategorie'!$A$5:$N$45,5,0)+0,0))</f>
        <v>8</v>
      </c>
      <c r="CK744" s="53" t="n">
        <f aca="false">IFERROR(IF(OR(CB744=1,CB744=2,CB744=3),N(INDEX(Parameter!$I$5:$I$7,CB744)),0),0)</f>
        <v>0</v>
      </c>
      <c r="CL744" s="52" t="n">
        <f aca="false">IF(AND(Parameter!$B$21="Ja",ISNUMBER(W744),N(X744)&gt;0),IFERROR(N(INDEX(Parameter!$L$5:$L$7,W744))*INDEX(Parameter!$E$5:$E$7,W744)*X744/SUMIFS($X$7:$X$1843,$W$7:$W$1843,W744),0),0)</f>
        <v>0</v>
      </c>
    </row>
    <row r="745" customFormat="false" ht="15" hidden="false" customHeight="false" outlineLevel="0" collapsed="false">
      <c r="A745" s="48" t="s">
        <v>1480</v>
      </c>
      <c r="B745" s="48" t="s">
        <v>1387</v>
      </c>
      <c r="C745" s="48" t="s">
        <v>168</v>
      </c>
      <c r="D745" s="48" t="s">
        <v>177</v>
      </c>
      <c r="E745" s="48"/>
      <c r="F745" s="48" t="s">
        <v>222</v>
      </c>
      <c r="G745" s="49" t="n">
        <v>11075.32</v>
      </c>
      <c r="H745" s="50" t="n">
        <f aca="false">MAX(0,IF(AND(Parameter!$B$21="Ja",ISNUMBER(Y745)),Y745,IF(Parameter!$B$20="Jahresanfang 2025 + Export",BO745+BN745,BN745)))</f>
        <v>0</v>
      </c>
      <c r="I745" s="50" t="n">
        <f aca="false">H745*G745</f>
        <v>0</v>
      </c>
      <c r="J745" s="50" t="n">
        <f aca="false">BQ745*Parameter!$B$18</f>
        <v>1</v>
      </c>
      <c r="K745" s="51" t="n">
        <v>0</v>
      </c>
      <c r="L745" s="52" t="n">
        <v>0</v>
      </c>
      <c r="M745" s="50" t="n">
        <v>0</v>
      </c>
      <c r="N745" s="50" t="n">
        <v>1</v>
      </c>
      <c r="O745" s="53" t="n">
        <v>170</v>
      </c>
      <c r="P745" s="48" t="s">
        <v>172</v>
      </c>
      <c r="Q745" s="50"/>
      <c r="R745" s="53" t="n">
        <f aca="false">IF(BW745=1,0,IFERROR(VLOOKUP(BU745,'Gebinde-Kategorie'!$A$5:$N$45,13,0)+0,0))</f>
        <v>4</v>
      </c>
      <c r="S745" s="54"/>
      <c r="T745" s="55" t="s">
        <v>193</v>
      </c>
      <c r="U745" s="55"/>
      <c r="V745" s="55"/>
      <c r="W745" s="48"/>
      <c r="X745" s="50"/>
      <c r="Y745" s="50"/>
      <c r="Z745" s="48" t="n">
        <f aca="false">IF(A745="","",IF(AND(Parameter!$B$21="Ja",ISNUMBER(W745)),W745,IF(BZ745="2+3",IF(ISNUMBER(SEARCH("grosser Artikel",BR745)),2,IFERROR(VLOOKUP(BU745,Parameter!$F$35:$G$64,2,0),2)),IF(OR(BZ745="Nein",BZ745=""),"-",BZ745))))</f>
        <v>2</v>
      </c>
      <c r="AA745" s="55"/>
      <c r="AB745" s="56"/>
      <c r="AC745" s="50" t="n">
        <f aca="false">AT745</f>
        <v>2</v>
      </c>
      <c r="AD745" s="50" t="n">
        <f aca="false">MAX(AT745,H745)</f>
        <v>2</v>
      </c>
      <c r="AE745" s="57"/>
      <c r="AF745" s="50" t="n">
        <f aca="false">IF(LEFT(Cockpit!$C$5,1)="A",H745,IF(CE745=1,CF745,IF(LEFT(Cockpit!$C$5,1)="B",AK745,MAX(AK745,H745))))</f>
        <v>0</v>
      </c>
      <c r="AG745" s="50" t="n">
        <f aca="false">IF(BW745=1,0,ROUNDUP(AF745/BV745,0))</f>
        <v>0</v>
      </c>
      <c r="AH745" s="52" t="n">
        <f aca="false">IF(CL745&gt;0,CL745*MAX(1,AF745/X745),IF(BW745=1,IF(AF745&lt;=0,0,CA745*MAX(1,IF(H745&gt;0,AF745/H745,1))),IF(R745&gt;0,AG745/R745,0))/MAX(0.1,N(Parameter!$M$21)))</f>
        <v>0</v>
      </c>
      <c r="AI745" s="50" t="n">
        <f aca="false">AH745*BY745</f>
        <v>0</v>
      </c>
      <c r="AJ745" s="50" t="n">
        <f aca="false">AF745*G745</f>
        <v>0</v>
      </c>
      <c r="AK745" s="50" t="n">
        <f aca="false">ROUNDUP(MAX(J745/IF(CD745&gt;0,CD745,MAX(0.1,N(Cockpit!$C$6))),CG745)/BV745,0)*BV745</f>
        <v>2</v>
      </c>
      <c r="AL745" s="51" t="n">
        <f aca="false">IF(AI745&gt;0,J745/AI745,-1)</f>
        <v>-1</v>
      </c>
      <c r="AM745" s="51" t="str">
        <f aca="false">IF(AND(OR(CC745="L1",CC745="L23",CC745="LIFT"),AI745&gt;0),SUMIFS($AI$7:$AI$1843,$CC$7:$CC$1843,CC745,$AL$7:$AL$1843,"&gt;"&amp;AL745)+SUMIFS($AI$7:$AI$1843,$CC$7:$CC$1843,CC745,$AL$7:$AL$1843,AL745,$BT$7:$BT$1843,"&lt;="&amp;BT745),"")</f>
        <v/>
      </c>
      <c r="AN745" s="58" t="n">
        <f aca="false">IF(AM745="",0,MAX(0,MIN(1,(IF(CC745="L1",Parameter!$H$5,IF(CC745="L23",Parameter!$H$6+Parameter!$H$7,Parameter!$H$5+Parameter!$H$6+Parameter!$H$7))-(AM745-AI745))/AI745)))</f>
        <v>0</v>
      </c>
      <c r="AO745" s="50" t="n">
        <f aca="false">IF(LEFT(Cockpit!$I$5,1)="A",H745,IF(CE745=1,CF745,IF(LEFT(Cockpit!$I$5,1)="B",AT745,MAX(AT745,H745))))</f>
        <v>2</v>
      </c>
      <c r="AP745" s="50" t="n">
        <f aca="false">IF(BW745=1,0,ROUNDUP(AO745/BV745,0))</f>
        <v>1</v>
      </c>
      <c r="AQ745" s="52" t="n">
        <f aca="false">IF(CL745&gt;0,CL745*MAX(1,AO745/X745),IF(BW745=1,IF(AO745&lt;=0,0,CA745*MAX(1,IF(H745&gt;0,AO745/H745,1))),IF(R745&gt;0,AP745/R745,0))/MAX(0.1,N(Parameter!$M$21)))</f>
        <v>0.25</v>
      </c>
      <c r="AR745" s="50" t="n">
        <f aca="false">AQ745*BY745</f>
        <v>58.75</v>
      </c>
      <c r="AS745" s="50" t="n">
        <f aca="false">AO745*G745</f>
        <v>22150.64</v>
      </c>
      <c r="AT745" s="50" t="n">
        <f aca="false">ROUNDUP(MAX(J745/IF(CD745&gt;0,CD745,MAX(0.1,N(Cockpit!$I$6))),CG745)/BV745,0)*BV745</f>
        <v>2</v>
      </c>
      <c r="AU745" s="51" t="n">
        <f aca="false">IF(AR745&gt;0,J745/AR745,-1)</f>
        <v>0.0170212765957447</v>
      </c>
      <c r="AV745" s="51" t="n">
        <f aca="false">IF(AND(OR(CC745="L1",CC745="L23",CC745="LIFT"),AR745&gt;0),SUMIFS($AR$7:$AR$1843,$CC$7:$CC$1843,CC745,$AU$7:$AU$1843,"&gt;"&amp;AU745)+SUMIFS($AR$7:$AR$1843,$CC$7:$CC$1843,CC745,$AU$7:$AU$1843,AU745,$BT$7:$BT$1843,"&lt;="&amp;BT745),"")</f>
        <v>34581.8513560357</v>
      </c>
      <c r="AW745" s="58" t="n">
        <f aca="false">IF(AV745="",0,MAX(0,MIN(1,(IF(CC745="L1",Parameter!$H$5,IF(CC745="L23",Parameter!$H$6+Parameter!$H$7,Parameter!$H$5+Parameter!$H$6+Parameter!$H$7))-(AV745-AR745))/AR745)))</f>
        <v>1</v>
      </c>
      <c r="AX745" s="50" t="n">
        <f aca="false">IF(LEFT(Cockpit!$O$5,1)="A",H745,IF(CE745=1,CF745,IF(LEFT(Cockpit!$O$5,1)="B",BC745,MAX(BC745,H745))))</f>
        <v>2</v>
      </c>
      <c r="AY745" s="50" t="n">
        <f aca="false">IF(BW745=1,0,ROUNDUP(AX745/BV745,0))</f>
        <v>1</v>
      </c>
      <c r="AZ745" s="52" t="n">
        <f aca="false">IF(CL745&gt;0,CL745*MAX(1,AX745/X745),IF(BW745=1,IF(AX745&lt;=0,0,CA745*MAX(1,IF(H745&gt;0,AX745/H745,1))),IF(R745&gt;0,AY745/R745,0))/MAX(0.1,N(Parameter!$M$21)))</f>
        <v>0.25</v>
      </c>
      <c r="BA745" s="50" t="n">
        <f aca="false">AZ745*BY745</f>
        <v>58.75</v>
      </c>
      <c r="BB745" s="50" t="n">
        <f aca="false">AX745*G745</f>
        <v>22150.64</v>
      </c>
      <c r="BC745" s="50" t="n">
        <f aca="false">ROUNDUP(MAX(J745/IF(CD745&gt;0,CD745,MAX(0.1,N(Cockpit!$O$6))),CG745)/BV745,0)*BV745</f>
        <v>2</v>
      </c>
      <c r="BD745" s="51" t="n">
        <f aca="false">IF(BA745&gt;0,J745/BA745,-1)</f>
        <v>0.0170212765957447</v>
      </c>
      <c r="BE745" s="51" t="n">
        <f aca="false">IF(AND(OR(CC745="L1",CC745="L23",CC745="LIFT"),BA745&gt;0),SUMIFS($BA$7:$BA$1843,$CC$7:$CC$1843,CC745,$BD$7:$BD$1843,"&gt;"&amp;BD745)+SUMIFS($BA$7:$BA$1843,$CC$7:$CC$1843,CC745,$BD$7:$BD$1843,BD745,$BT$7:$BT$1843,"&lt;="&amp;BT745),"")</f>
        <v>31256.8633979015</v>
      </c>
      <c r="BF745" s="58" t="n">
        <f aca="false">IF(BE745="",0,MAX(0,MIN(1,(IF(CC745="L1",Parameter!$H$5,IF(CC745="L23",Parameter!$H$6+Parameter!$H$7,Parameter!$H$5+Parameter!$H$6+Parameter!$H$7))-(BE745-BA745))/BA745)))</f>
        <v>1</v>
      </c>
      <c r="BG745" s="48" t="str">
        <f aca="false">IF(AI745&lt;=0,"",IF(CC745="Aussen","Aussenlager",IF(CC745="-","Nicht im Lift",IF(AN745&gt;=1,"Lift",IF(AN745&lt;=0,"Aussenlager","teilweise")))))</f>
        <v/>
      </c>
      <c r="BH745" s="48" t="str">
        <f aca="false">IF(AR745&lt;=0,"",IF(CC745="Aussen","Aussenlager",IF(CC745="-","Nicht im Lift",IF(AW745&gt;=1,"Lift",IF(AW745&lt;=0,"Aussenlager","teilweise")))))</f>
        <v>Lift</v>
      </c>
      <c r="BI745" s="48" t="str">
        <f aca="false">IF(BA745&lt;=0,"",IF(CC745="Aussen","Aussenlager",IF(CC745="-","Nicht im Lift",IF(BF745&gt;=1,"Lift",IF(BF745&lt;=0,"Aussenlager","teilweise")))))</f>
        <v>Lift</v>
      </c>
      <c r="BJ745" s="48" t="str">
        <f aca="false">IF(A745="","",IF(BS745=1,"Neu; ","")&amp;IF(AND(BS745=0,BN745&lt;0),"negativer Bestand (Export "&amp;BN745&amp;"); ","")&amp;IF(J745&lt;=0,"Kein Verbrauch; ","")&amp;IF(CL745&gt;0,"Lift "&amp;W745&amp;" lt. Liftbericht (Fach "&amp;X745&amp;" Stk); ",IF(BX745=1,"Gebinde geschätzt ("&amp;T745&amp;"); ",IF(BW745=1,"Lose – Tablare geschätzt; ","")))&amp;IF(H745&gt;AT745,"Überbestand "&amp;ROUND(H745-AT745,0)&amp;" Stk / CHF "&amp;ROUND((H745-AT745)*G745,0)&amp;"; ","")&amp;IF(AND(CE745=1,CF745&lt;CG745),"MAX &lt; MB+LG; ","")&amp;IF(AND(CK745&gt;0,CJ745*10&gt;CK745),"zu hoch für Tablar; ","")&amp;IF(AND(BS745=0,OR(CE745=1,AA745&lt;&gt;"",U745&lt;&gt;"",V745&lt;&gt;"",AB745&lt;&gt;"")),"manuell übersteuert; ","")&amp;IF(AND(BW745=0,R745=0),"Gebinde unbekannt / Stellmass fehlt; ","")&amp;IF(AND(BW745=0,N(V745)&lt;=0,N(Q745)&lt;=0),"Menge pro Gebinde fehlt (Ist = 1 Gebinde); ","")&amp;BR745)</f>
        <v>Gebinde geschätzt (Gross); Menge pro Gebinde fehlt (Ist = 1 Gebinde); </v>
      </c>
      <c r="BK745" s="48"/>
      <c r="BL745" s="48"/>
      <c r="BM745" s="55"/>
      <c r="BN745" s="50" t="n">
        <v>0</v>
      </c>
      <c r="BO745" s="50" t="n">
        <v>0</v>
      </c>
      <c r="BP745" s="49" t="n">
        <v>-1.70530256582424E-013</v>
      </c>
      <c r="BQ745" s="50" t="n">
        <v>1</v>
      </c>
      <c r="BR745" s="48"/>
      <c r="BS745" s="53" t="n">
        <v>0</v>
      </c>
      <c r="BT745" s="53" t="n">
        <v>745</v>
      </c>
      <c r="BU745" s="48" t="str">
        <f aca="false">IF(U745&lt;&gt;"",UPPER(TRIM(U745)),IF(BX745=1,UPPER(VLOOKUP(T745,Parameter!$I$27:$K$29,2,0)),IF(P745="","LOSE",P745)))</f>
        <v>S81</v>
      </c>
      <c r="BV745" s="50" t="n">
        <f aca="false">IF(BU745="LOSE",1,IF(N(V745)&gt;0,V745,IF(BX745=1,MAX(1,N(VLOOKUP(T745,Parameter!$I$27:$K$29,3,0)),H745,N(N745)),IF(N(Q745)&gt;0,Q745,MAX(1,H745)))))</f>
        <v>2</v>
      </c>
      <c r="BW745" s="53" t="n">
        <f aca="false">IF(BU745="LOSE",1,0)</f>
        <v>0</v>
      </c>
      <c r="BX745" s="53" t="n">
        <f aca="false">IF(AND(U745="",OR(P745="",P745="LOSE"),T745&lt;&gt;"",N(S745)&lt;=0,ISNUMBER(MATCH(T745,Parameter!$I$27:$I$29,0))),1,0)</f>
        <v>1</v>
      </c>
      <c r="BY745" s="53" t="n">
        <f aca="false">IF(CL745&gt;0,INDEX(Parameter!$H$5:$H$7,W745)/INDEX(Parameter!$E$5:$E$7,W745),IF(AND(BW745=0,N(IFERROR(VLOOKUP(BU745,'Gebinde-Kategorie'!$A$5:$N$45,14,0),0))&gt;0),VLOOKUP(BU745,'Gebinde-Kategorie'!$A$5:$N$45,14,0)*10+Parameter!$M$23,Parameter!$M$24))</f>
        <v>235</v>
      </c>
      <c r="BZ745" s="48" t="str">
        <f aca="false">IF(AND(Parameter!$B$19="Ja",E745&lt;&gt;"",ISNUMBER(MATCH(E745,Parameter!$I$35:$I$52,0))),VLOOKUP(E745,Parameter!$I$35:$J$52,2,0),IFERROR(VLOOKUP(D745,Parameter!$A$35:$C$64,2,0),"Nein"))</f>
        <v>2+3</v>
      </c>
      <c r="CA745" s="52" t="n">
        <f aca="false">IF(BW745=0,0,IF(N(S745)&gt;0,S745,IFERROR(VLOOKUP(D745,Parameter!$A$35:$C$64,3,0)+0,0)))</f>
        <v>0</v>
      </c>
      <c r="CB745" s="48" t="n">
        <f aca="false">IF(AA745&lt;&gt;"",AA745,Z745)</f>
        <v>2</v>
      </c>
      <c r="CC745" s="48" t="str">
        <f aca="false">IF(OR(CB745=1,CB745=2,CB745=3),IF(Parameter!$E$27="Ja","LIFT",IF(CB745=1,"L1","L23")),IF(CB745="Aussen","Aussen","-"))</f>
        <v>LIFT</v>
      </c>
      <c r="CD745" s="59" t="n">
        <f aca="false">IF(N(AB745)&gt;0,AB745,0)</f>
        <v>0</v>
      </c>
      <c r="CE745" s="53" t="n">
        <f aca="false">IF(ISNUMBER(AE745),1,0)</f>
        <v>0</v>
      </c>
      <c r="CF745" s="50" t="n">
        <f aca="false">N(AE745)</f>
        <v>0</v>
      </c>
      <c r="CG745" s="50" t="n">
        <f aca="false">N(M745)+N(N745)</f>
        <v>1</v>
      </c>
      <c r="CH745" s="50" t="n">
        <f aca="false">ROUNDUP(H745/BV745,0)</f>
        <v>0</v>
      </c>
      <c r="CI745" s="50" t="n">
        <f aca="false">ROUNDUP(CF745/BV745,0)</f>
        <v>0</v>
      </c>
      <c r="CJ745" s="53" t="n">
        <f aca="false">IF(BW745=1,0,IFERROR(VLOOKUP(BU745,'Gebinde-Kategorie'!$A$5:$N$45,5,0)+0,0))</f>
        <v>20</v>
      </c>
      <c r="CK745" s="53" t="n">
        <f aca="false">IFERROR(IF(OR(CB745=1,CB745=2,CB745=3),N(INDEX(Parameter!$I$5:$I$7,CB745)),0),0)</f>
        <v>0</v>
      </c>
      <c r="CL745" s="52" t="n">
        <f aca="false">IF(AND(Parameter!$B$21="Ja",ISNUMBER(W745),N(X745)&gt;0),IFERROR(N(INDEX(Parameter!$L$5:$L$7,W745))*INDEX(Parameter!$E$5:$E$7,W745)*X745/SUMIFS($X$7:$X$1843,$W$7:$W$1843,W745),0),0)</f>
        <v>0</v>
      </c>
    </row>
    <row r="746" customFormat="false" ht="15" hidden="false" customHeight="false" outlineLevel="0" collapsed="false">
      <c r="A746" s="48" t="s">
        <v>1481</v>
      </c>
      <c r="B746" s="48" t="s">
        <v>1482</v>
      </c>
      <c r="C746" s="48" t="s">
        <v>171</v>
      </c>
      <c r="D746" s="48" t="s">
        <v>1392</v>
      </c>
      <c r="E746" s="48" t="s">
        <v>1483</v>
      </c>
      <c r="F746" s="48" t="s">
        <v>222</v>
      </c>
      <c r="G746" s="49" t="n">
        <v>2567.23</v>
      </c>
      <c r="H746" s="50" t="n">
        <f aca="false">MAX(0,IF(AND(Parameter!$B$21="Ja",ISNUMBER(Y746)),Y746,IF(Parameter!$B$20="Jahresanfang 2025 + Export",BO746+BN746,BN746)))</f>
        <v>0</v>
      </c>
      <c r="I746" s="50" t="n">
        <f aca="false">H746*G746</f>
        <v>0</v>
      </c>
      <c r="J746" s="50" t="n">
        <f aca="false">BQ746*Parameter!$B$18</f>
        <v>44</v>
      </c>
      <c r="K746" s="51" t="n">
        <v>0</v>
      </c>
      <c r="L746" s="52" t="n">
        <v>0</v>
      </c>
      <c r="M746" s="50" t="n">
        <v>0</v>
      </c>
      <c r="N746" s="50" t="n">
        <v>1</v>
      </c>
      <c r="O746" s="53" t="n">
        <v>7</v>
      </c>
      <c r="P746" s="48" t="s">
        <v>172</v>
      </c>
      <c r="Q746" s="50"/>
      <c r="R746" s="53" t="n">
        <f aca="false">IF(BW746=1,0,IFERROR(VLOOKUP(BU746,'Gebinde-Kategorie'!$A$5:$N$45,13,0)+0,0))</f>
        <v>0</v>
      </c>
      <c r="S746" s="54"/>
      <c r="T746" s="55"/>
      <c r="U746" s="55"/>
      <c r="V746" s="55"/>
      <c r="W746" s="48"/>
      <c r="X746" s="50"/>
      <c r="Y746" s="50"/>
      <c r="Z746" s="48" t="str">
        <f aca="false">IF(A746="","",IF(AND(Parameter!$B$21="Ja",ISNUMBER(W746)),W746,IF(BZ746="2+3",IF(ISNUMBER(SEARCH("grosser Artikel",BR746)),2,IFERROR(VLOOKUP(BU746,Parameter!$F$35:$G$64,2,0),2)),IF(OR(BZ746="Nein",BZ746=""),"-",BZ746))))</f>
        <v>-</v>
      </c>
      <c r="AA746" s="55"/>
      <c r="AB746" s="56"/>
      <c r="AC746" s="50" t="n">
        <f aca="false">AT746</f>
        <v>22</v>
      </c>
      <c r="AD746" s="50" t="n">
        <f aca="false">MAX(AT746,H746)</f>
        <v>22</v>
      </c>
      <c r="AE746" s="57"/>
      <c r="AF746" s="50" t="n">
        <f aca="false">IF(LEFT(Cockpit!$C$5,1)="A",H746,IF(CE746=1,CF746,IF(LEFT(Cockpit!$C$5,1)="B",AK746,MAX(AK746,H746))))</f>
        <v>0</v>
      </c>
      <c r="AG746" s="50" t="n">
        <f aca="false">IF(BW746=1,0,ROUNDUP(AF746/BV746,0))</f>
        <v>0</v>
      </c>
      <c r="AH746" s="52" t="n">
        <f aca="false">IF(CL746&gt;0,CL746*MAX(1,AF746/X746),IF(BW746=1,IF(AF746&lt;=0,0,CA746*MAX(1,IF(H746&gt;0,AF746/H746,1))),IF(R746&gt;0,AG746/R746,0))/MAX(0.1,N(Parameter!$M$21)))</f>
        <v>0</v>
      </c>
      <c r="AI746" s="50" t="n">
        <f aca="false">AH746*BY746</f>
        <v>0</v>
      </c>
      <c r="AJ746" s="50" t="n">
        <f aca="false">AF746*G746</f>
        <v>0</v>
      </c>
      <c r="AK746" s="50" t="n">
        <f aca="false">ROUNDUP(MAX(J746/IF(CD746&gt;0,CD746,MAX(0.1,N(Cockpit!$C$6))),CG746)/BV746,0)*BV746</f>
        <v>22</v>
      </c>
      <c r="AL746" s="51" t="n">
        <f aca="false">IF(AI746&gt;0,J746/AI746,-1)</f>
        <v>-1</v>
      </c>
      <c r="AM746" s="51" t="str">
        <f aca="false">IF(AND(OR(CC746="L1",CC746="L23",CC746="LIFT"),AI746&gt;0),SUMIFS($AI$7:$AI$1843,$CC$7:$CC$1843,CC746,$AL$7:$AL$1843,"&gt;"&amp;AL746)+SUMIFS($AI$7:$AI$1843,$CC$7:$CC$1843,CC746,$AL$7:$AL$1843,AL746,$BT$7:$BT$1843,"&lt;="&amp;BT746),"")</f>
        <v/>
      </c>
      <c r="AN746" s="58" t="n">
        <f aca="false">IF(AM746="",0,MAX(0,MIN(1,(IF(CC746="L1",Parameter!$H$5,IF(CC746="L23",Parameter!$H$6+Parameter!$H$7,Parameter!$H$5+Parameter!$H$6+Parameter!$H$7))-(AM746-AI746))/AI746)))</f>
        <v>0</v>
      </c>
      <c r="AO746" s="50" t="n">
        <f aca="false">IF(LEFT(Cockpit!$I$5,1)="A",H746,IF(CE746=1,CF746,IF(LEFT(Cockpit!$I$5,1)="B",AT746,MAX(AT746,H746))))</f>
        <v>22</v>
      </c>
      <c r="AP746" s="50" t="n">
        <f aca="false">IF(BW746=1,0,ROUNDUP(AO746/BV746,0))</f>
        <v>0</v>
      </c>
      <c r="AQ746" s="52" t="n">
        <f aca="false">IF(CL746&gt;0,CL746*MAX(1,AO746/X746),IF(BW746=1,IF(AO746&lt;=0,0,CA746*MAX(1,IF(H746&gt;0,AO746/H746,1))),IF(R746&gt;0,AP746/R746,0))/MAX(0.1,N(Parameter!$M$21)))</f>
        <v>0.15</v>
      </c>
      <c r="AR746" s="50" t="n">
        <f aca="false">AQ746*BY746</f>
        <v>35.25</v>
      </c>
      <c r="AS746" s="50" t="n">
        <f aca="false">AO746*G746</f>
        <v>56479.06</v>
      </c>
      <c r="AT746" s="50" t="n">
        <f aca="false">ROUNDUP(MAX(J746/IF(CD746&gt;0,CD746,MAX(0.1,N(Cockpit!$I$6))),CG746)/BV746,0)*BV746</f>
        <v>22</v>
      </c>
      <c r="AU746" s="51" t="n">
        <f aca="false">IF(AR746&gt;0,J746/AR746,-1)</f>
        <v>1.24822695035461</v>
      </c>
      <c r="AV746" s="51" t="str">
        <f aca="false">IF(AND(OR(CC746="L1",CC746="L23",CC746="LIFT"),AR746&gt;0),SUMIFS($AR$7:$AR$1843,$CC$7:$CC$1843,CC746,$AU$7:$AU$1843,"&gt;"&amp;AU746)+SUMIFS($AR$7:$AR$1843,$CC$7:$CC$1843,CC746,$AU$7:$AU$1843,AU746,$BT$7:$BT$1843,"&lt;="&amp;BT746),"")</f>
        <v/>
      </c>
      <c r="AW746" s="58" t="n">
        <f aca="false">IF(AV746="",0,MAX(0,MIN(1,(IF(CC746="L1",Parameter!$H$5,IF(CC746="L23",Parameter!$H$6+Parameter!$H$7,Parameter!$H$5+Parameter!$H$6+Parameter!$H$7))-(AV746-AR746))/AR746)))</f>
        <v>0</v>
      </c>
      <c r="AX746" s="50" t="n">
        <f aca="false">IF(LEFT(Cockpit!$O$5,1)="A",H746,IF(CE746=1,CF746,IF(LEFT(Cockpit!$O$5,1)="B",BC746,MAX(BC746,H746))))</f>
        <v>15</v>
      </c>
      <c r="AY746" s="50" t="n">
        <f aca="false">IF(BW746=1,0,ROUNDUP(AX746/BV746,0))</f>
        <v>0</v>
      </c>
      <c r="AZ746" s="52" t="n">
        <f aca="false">IF(CL746&gt;0,CL746*MAX(1,AX746/X746),IF(BW746=1,IF(AX746&lt;=0,0,CA746*MAX(1,IF(H746&gt;0,AX746/H746,1))),IF(R746&gt;0,AY746/R746,0))/MAX(0.1,N(Parameter!$M$21)))</f>
        <v>0.15</v>
      </c>
      <c r="BA746" s="50" t="n">
        <f aca="false">AZ746*BY746</f>
        <v>35.25</v>
      </c>
      <c r="BB746" s="50" t="n">
        <f aca="false">AX746*G746</f>
        <v>38508.45</v>
      </c>
      <c r="BC746" s="50" t="n">
        <f aca="false">ROUNDUP(MAX(J746/IF(CD746&gt;0,CD746,MAX(0.1,N(Cockpit!$O$6))),CG746)/BV746,0)*BV746</f>
        <v>15</v>
      </c>
      <c r="BD746" s="51" t="n">
        <f aca="false">IF(BA746&gt;0,J746/BA746,-1)</f>
        <v>1.24822695035461</v>
      </c>
      <c r="BE746" s="51" t="str">
        <f aca="false">IF(AND(OR(CC746="L1",CC746="L23",CC746="LIFT"),BA746&gt;0),SUMIFS($BA$7:$BA$1843,$CC$7:$CC$1843,CC746,$BD$7:$BD$1843,"&gt;"&amp;BD746)+SUMIFS($BA$7:$BA$1843,$CC$7:$CC$1843,CC746,$BD$7:$BD$1843,BD746,$BT$7:$BT$1843,"&lt;="&amp;BT746),"")</f>
        <v/>
      </c>
      <c r="BF746" s="58" t="n">
        <f aca="false">IF(BE746="",0,MAX(0,MIN(1,(IF(CC746="L1",Parameter!$H$5,IF(CC746="L23",Parameter!$H$6+Parameter!$H$7,Parameter!$H$5+Parameter!$H$6+Parameter!$H$7))-(BE746-BA746))/BA746)))</f>
        <v>0</v>
      </c>
      <c r="BG746" s="48" t="str">
        <f aca="false">IF(AI746&lt;=0,"",IF(CC746="Aussen","Aussenlager",IF(CC746="-","Nicht im Lift",IF(AN746&gt;=1,"Lift",IF(AN746&lt;=0,"Aussenlager","teilweise")))))</f>
        <v/>
      </c>
      <c r="BH746" s="48" t="str">
        <f aca="false">IF(AR746&lt;=0,"",IF(CC746="Aussen","Aussenlager",IF(CC746="-","Nicht im Lift",IF(AW746&gt;=1,"Lift",IF(AW746&lt;=0,"Aussenlager","teilweise")))))</f>
        <v>Nicht im Lift</v>
      </c>
      <c r="BI746" s="48" t="str">
        <f aca="false">IF(BA746&lt;=0,"",IF(CC746="Aussen","Aussenlager",IF(CC746="-","Nicht im Lift",IF(BF746&gt;=1,"Lift",IF(BF746&lt;=0,"Aussenlager","teilweise")))))</f>
        <v>Nicht im Lift</v>
      </c>
      <c r="BJ746" s="48" t="str">
        <f aca="false">IF(A746="","",IF(BS746=1,"Neu; ","")&amp;IF(AND(BS746=0,BN746&lt;0),"negativer Bestand (Export "&amp;BN746&amp;"); ","")&amp;IF(J746&lt;=0,"Kein Verbrauch; ","")&amp;IF(CL746&gt;0,"Lift "&amp;W746&amp;" lt. Liftbericht (Fach "&amp;X746&amp;" Stk); ",IF(BX746=1,"Gebinde geschätzt ("&amp;T746&amp;"); ",IF(BW746=1,"Lose – Tablare geschätzt; ","")))&amp;IF(H746&gt;AT746,"Überbestand "&amp;ROUND(H746-AT746,0)&amp;" Stk / CHF "&amp;ROUND((H746-AT746)*G746,0)&amp;"; ","")&amp;IF(AND(CE746=1,CF746&lt;CG746),"MAX &lt; MB+LG; ","")&amp;IF(AND(CK746&gt;0,CJ746*10&gt;CK746),"zu hoch für Tablar; ","")&amp;IF(AND(BS746=0,OR(CE746=1,AA746&lt;&gt;"",U746&lt;&gt;"",V746&lt;&gt;"",AB746&lt;&gt;"")),"manuell übersteuert; ","")&amp;IF(AND(BW746=0,R746=0),"Gebinde unbekannt / Stellmass fehlt; ","")&amp;IF(AND(BW746=0,N(V746)&lt;=0,N(Q746)&lt;=0),"Menge pro Gebinde fehlt (Ist = 1 Gebinde); ","")&amp;BR746)</f>
        <v>Lose – Tablare geschätzt; </v>
      </c>
      <c r="BK746" s="48"/>
      <c r="BL746" s="48"/>
      <c r="BM746" s="55"/>
      <c r="BN746" s="50" t="n">
        <v>0</v>
      </c>
      <c r="BO746" s="50" t="n">
        <v>0</v>
      </c>
      <c r="BP746" s="49" t="n">
        <v>-7.27595761418343E-012</v>
      </c>
      <c r="BQ746" s="50" t="n">
        <v>44</v>
      </c>
      <c r="BR746" s="48"/>
      <c r="BS746" s="53" t="n">
        <v>0</v>
      </c>
      <c r="BT746" s="53" t="n">
        <v>746</v>
      </c>
      <c r="BU746" s="48" t="str">
        <f aca="false">IF(U746&lt;&gt;"",UPPER(TRIM(U746)),IF(BX746=1,UPPER(VLOOKUP(T746,Parameter!$I$27:$K$29,2,0)),IF(P746="","LOSE",P746)))</f>
        <v>LOSE</v>
      </c>
      <c r="BV746" s="50" t="n">
        <f aca="false">IF(BU746="LOSE",1,IF(N(V746)&gt;0,V746,IF(BX746=1,MAX(1,N(VLOOKUP(T746,Parameter!$I$27:$K$29,3,0)),H746,N(N746)),IF(N(Q746)&gt;0,Q746,MAX(1,H746)))))</f>
        <v>1</v>
      </c>
      <c r="BW746" s="53" t="n">
        <f aca="false">IF(BU746="LOSE",1,0)</f>
        <v>1</v>
      </c>
      <c r="BX746" s="53" t="n">
        <f aca="false">IF(AND(U746="",OR(P746="",P746="LOSE"),T746&lt;&gt;"",N(S746)&lt;=0,ISNUMBER(MATCH(T746,Parameter!$I$27:$I$29,0))),1,0)</f>
        <v>0</v>
      </c>
      <c r="BY746" s="53" t="n">
        <f aca="false">IF(CL746&gt;0,INDEX(Parameter!$H$5:$H$7,W746)/INDEX(Parameter!$E$5:$E$7,W746),IF(AND(BW746=0,N(IFERROR(VLOOKUP(BU746,'Gebinde-Kategorie'!$A$5:$N$45,14,0),0))&gt;0),VLOOKUP(BU746,'Gebinde-Kategorie'!$A$5:$N$45,14,0)*10+Parameter!$M$23,Parameter!$M$24))</f>
        <v>235</v>
      </c>
      <c r="BZ746" s="48" t="str">
        <f aca="false">IF(AND(Parameter!$B$19="Ja",E746&lt;&gt;"",ISNUMBER(MATCH(E746,Parameter!$I$35:$I$52,0))),VLOOKUP(E746,Parameter!$I$35:$J$52,2,0),IFERROR(VLOOKUP(D746,Parameter!$A$35:$C$64,2,0),"Nein"))</f>
        <v>Nein</v>
      </c>
      <c r="CA746" s="52" t="n">
        <f aca="false">IF(BW746=0,0,IF(N(S746)&gt;0,S746,IFERROR(VLOOKUP(D746,Parameter!$A$35:$C$64,3,0)+0,0)))</f>
        <v>0.15</v>
      </c>
      <c r="CB746" s="48" t="str">
        <f aca="false">IF(AA746&lt;&gt;"",AA746,Z746)</f>
        <v>-</v>
      </c>
      <c r="CC746" s="48" t="str">
        <f aca="false">IF(OR(CB746=1,CB746=2,CB746=3),IF(Parameter!$E$27="Ja","LIFT",IF(CB746=1,"L1","L23")),IF(CB746="Aussen","Aussen","-"))</f>
        <v>-</v>
      </c>
      <c r="CD746" s="59" t="n">
        <f aca="false">IF(N(AB746)&gt;0,AB746,0)</f>
        <v>0</v>
      </c>
      <c r="CE746" s="53" t="n">
        <f aca="false">IF(ISNUMBER(AE746),1,0)</f>
        <v>0</v>
      </c>
      <c r="CF746" s="50" t="n">
        <f aca="false">N(AE746)</f>
        <v>0</v>
      </c>
      <c r="CG746" s="50" t="n">
        <f aca="false">N(M746)+N(N746)</f>
        <v>1</v>
      </c>
      <c r="CH746" s="50" t="n">
        <f aca="false">ROUNDUP(H746/BV746,0)</f>
        <v>0</v>
      </c>
      <c r="CI746" s="50" t="n">
        <f aca="false">ROUNDUP(CF746/BV746,0)</f>
        <v>0</v>
      </c>
      <c r="CJ746" s="53" t="n">
        <f aca="false">IF(BW746=1,0,IFERROR(VLOOKUP(BU746,'Gebinde-Kategorie'!$A$5:$N$45,5,0)+0,0))</f>
        <v>0</v>
      </c>
      <c r="CK746" s="53" t="n">
        <f aca="false">IFERROR(IF(OR(CB746=1,CB746=2,CB746=3),N(INDEX(Parameter!$I$5:$I$7,CB746)),0),0)</f>
        <v>0</v>
      </c>
      <c r="CL746" s="52" t="n">
        <f aca="false">IF(AND(Parameter!$B$21="Ja",ISNUMBER(W746),N(X746)&gt;0),IFERROR(N(INDEX(Parameter!$L$5:$L$7,W746))*INDEX(Parameter!$E$5:$E$7,W746)*X746/SUMIFS($X$7:$X$1843,$W$7:$W$1843,W746),0),0)</f>
        <v>0</v>
      </c>
    </row>
    <row r="747" customFormat="false" ht="15" hidden="false" customHeight="false" outlineLevel="0" collapsed="false">
      <c r="A747" s="48" t="s">
        <v>1484</v>
      </c>
      <c r="B747" s="48" t="s">
        <v>1485</v>
      </c>
      <c r="C747" s="48" t="s">
        <v>171</v>
      </c>
      <c r="D747" s="48" t="s">
        <v>1392</v>
      </c>
      <c r="E747" s="48" t="s">
        <v>1483</v>
      </c>
      <c r="F747" s="48" t="s">
        <v>222</v>
      </c>
      <c r="G747" s="49" t="n">
        <v>2080.97</v>
      </c>
      <c r="H747" s="50" t="n">
        <f aca="false">MAX(0,IF(AND(Parameter!$B$21="Ja",ISNUMBER(Y747)),Y747,IF(Parameter!$B$20="Jahresanfang 2025 + Export",BO747+BN747,BN747)))</f>
        <v>0</v>
      </c>
      <c r="I747" s="50" t="n">
        <f aca="false">H747*G747</f>
        <v>0</v>
      </c>
      <c r="J747" s="50" t="n">
        <f aca="false">BQ747*Parameter!$B$18</f>
        <v>115</v>
      </c>
      <c r="K747" s="51" t="n">
        <v>0</v>
      </c>
      <c r="L747" s="52" t="n">
        <v>0</v>
      </c>
      <c r="M747" s="50" t="n">
        <v>0</v>
      </c>
      <c r="N747" s="50" t="n">
        <v>1</v>
      </c>
      <c r="O747" s="53" t="n">
        <v>7</v>
      </c>
      <c r="P747" s="48" t="s">
        <v>172</v>
      </c>
      <c r="Q747" s="50"/>
      <c r="R747" s="53" t="n">
        <f aca="false">IF(BW747=1,0,IFERROR(VLOOKUP(BU747,'Gebinde-Kategorie'!$A$5:$N$45,13,0)+0,0))</f>
        <v>0</v>
      </c>
      <c r="S747" s="54"/>
      <c r="T747" s="55"/>
      <c r="U747" s="55"/>
      <c r="V747" s="55"/>
      <c r="W747" s="48"/>
      <c r="X747" s="50"/>
      <c r="Y747" s="50"/>
      <c r="Z747" s="48" t="str">
        <f aca="false">IF(A747="","",IF(AND(Parameter!$B$21="Ja",ISNUMBER(W747)),W747,IF(BZ747="2+3",IF(ISNUMBER(SEARCH("grosser Artikel",BR747)),2,IFERROR(VLOOKUP(BU747,Parameter!$F$35:$G$64,2,0),2)),IF(OR(BZ747="Nein",BZ747=""),"-",BZ747))))</f>
        <v>-</v>
      </c>
      <c r="AA747" s="55"/>
      <c r="AB747" s="56"/>
      <c r="AC747" s="50" t="n">
        <f aca="false">AT747</f>
        <v>58</v>
      </c>
      <c r="AD747" s="50" t="n">
        <f aca="false">MAX(AT747,H747)</f>
        <v>58</v>
      </c>
      <c r="AE747" s="57"/>
      <c r="AF747" s="50" t="n">
        <f aca="false">IF(LEFT(Cockpit!$C$5,1)="A",H747,IF(CE747=1,CF747,IF(LEFT(Cockpit!$C$5,1)="B",AK747,MAX(AK747,H747))))</f>
        <v>0</v>
      </c>
      <c r="AG747" s="50" t="n">
        <f aca="false">IF(BW747=1,0,ROUNDUP(AF747/BV747,0))</f>
        <v>0</v>
      </c>
      <c r="AH747" s="52" t="n">
        <f aca="false">IF(CL747&gt;0,CL747*MAX(1,AF747/X747),IF(BW747=1,IF(AF747&lt;=0,0,CA747*MAX(1,IF(H747&gt;0,AF747/H747,1))),IF(R747&gt;0,AG747/R747,0))/MAX(0.1,N(Parameter!$M$21)))</f>
        <v>0</v>
      </c>
      <c r="AI747" s="50" t="n">
        <f aca="false">AH747*BY747</f>
        <v>0</v>
      </c>
      <c r="AJ747" s="50" t="n">
        <f aca="false">AF747*G747</f>
        <v>0</v>
      </c>
      <c r="AK747" s="50" t="n">
        <f aca="false">ROUNDUP(MAX(J747/IF(CD747&gt;0,CD747,MAX(0.1,N(Cockpit!$C$6))),CG747)/BV747,0)*BV747</f>
        <v>58</v>
      </c>
      <c r="AL747" s="51" t="n">
        <f aca="false">IF(AI747&gt;0,J747/AI747,-1)</f>
        <v>-1</v>
      </c>
      <c r="AM747" s="51" t="str">
        <f aca="false">IF(AND(OR(CC747="L1",CC747="L23",CC747="LIFT"),AI747&gt;0),SUMIFS($AI$7:$AI$1843,$CC$7:$CC$1843,CC747,$AL$7:$AL$1843,"&gt;"&amp;AL747)+SUMIFS($AI$7:$AI$1843,$CC$7:$CC$1843,CC747,$AL$7:$AL$1843,AL747,$BT$7:$BT$1843,"&lt;="&amp;BT747),"")</f>
        <v/>
      </c>
      <c r="AN747" s="58" t="n">
        <f aca="false">IF(AM747="",0,MAX(0,MIN(1,(IF(CC747="L1",Parameter!$H$5,IF(CC747="L23",Parameter!$H$6+Parameter!$H$7,Parameter!$H$5+Parameter!$H$6+Parameter!$H$7))-(AM747-AI747))/AI747)))</f>
        <v>0</v>
      </c>
      <c r="AO747" s="50" t="n">
        <f aca="false">IF(LEFT(Cockpit!$I$5,1)="A",H747,IF(CE747=1,CF747,IF(LEFT(Cockpit!$I$5,1)="B",AT747,MAX(AT747,H747))))</f>
        <v>58</v>
      </c>
      <c r="AP747" s="50" t="n">
        <f aca="false">IF(BW747=1,0,ROUNDUP(AO747/BV747,0))</f>
        <v>0</v>
      </c>
      <c r="AQ747" s="52" t="n">
        <f aca="false">IF(CL747&gt;0,CL747*MAX(1,AO747/X747),IF(BW747=1,IF(AO747&lt;=0,0,CA747*MAX(1,IF(H747&gt;0,AO747/H747,1))),IF(R747&gt;0,AP747/R747,0))/MAX(0.1,N(Parameter!$M$21)))</f>
        <v>0.15</v>
      </c>
      <c r="AR747" s="50" t="n">
        <f aca="false">AQ747*BY747</f>
        <v>35.25</v>
      </c>
      <c r="AS747" s="50" t="n">
        <f aca="false">AO747*G747</f>
        <v>120696.26</v>
      </c>
      <c r="AT747" s="50" t="n">
        <f aca="false">ROUNDUP(MAX(J747/IF(CD747&gt;0,CD747,MAX(0.1,N(Cockpit!$I$6))),CG747)/BV747,0)*BV747</f>
        <v>58</v>
      </c>
      <c r="AU747" s="51" t="n">
        <f aca="false">IF(AR747&gt;0,J747/AR747,-1)</f>
        <v>3.26241134751773</v>
      </c>
      <c r="AV747" s="51" t="str">
        <f aca="false">IF(AND(OR(CC747="L1",CC747="L23",CC747="LIFT"),AR747&gt;0),SUMIFS($AR$7:$AR$1843,$CC$7:$CC$1843,CC747,$AU$7:$AU$1843,"&gt;"&amp;AU747)+SUMIFS($AR$7:$AR$1843,$CC$7:$CC$1843,CC747,$AU$7:$AU$1843,AU747,$BT$7:$BT$1843,"&lt;="&amp;BT747),"")</f>
        <v/>
      </c>
      <c r="AW747" s="58" t="n">
        <f aca="false">IF(AV747="",0,MAX(0,MIN(1,(IF(CC747="L1",Parameter!$H$5,IF(CC747="L23",Parameter!$H$6+Parameter!$H$7,Parameter!$H$5+Parameter!$H$6+Parameter!$H$7))-(AV747-AR747))/AR747)))</f>
        <v>0</v>
      </c>
      <c r="AX747" s="50" t="n">
        <f aca="false">IF(LEFT(Cockpit!$O$5,1)="A",H747,IF(CE747=1,CF747,IF(LEFT(Cockpit!$O$5,1)="B",BC747,MAX(BC747,H747))))</f>
        <v>39</v>
      </c>
      <c r="AY747" s="50" t="n">
        <f aca="false">IF(BW747=1,0,ROUNDUP(AX747/BV747,0))</f>
        <v>0</v>
      </c>
      <c r="AZ747" s="52" t="n">
        <f aca="false">IF(CL747&gt;0,CL747*MAX(1,AX747/X747),IF(BW747=1,IF(AX747&lt;=0,0,CA747*MAX(1,IF(H747&gt;0,AX747/H747,1))),IF(R747&gt;0,AY747/R747,0))/MAX(0.1,N(Parameter!$M$21)))</f>
        <v>0.15</v>
      </c>
      <c r="BA747" s="50" t="n">
        <f aca="false">AZ747*BY747</f>
        <v>35.25</v>
      </c>
      <c r="BB747" s="50" t="n">
        <f aca="false">AX747*G747</f>
        <v>81157.83</v>
      </c>
      <c r="BC747" s="50" t="n">
        <f aca="false">ROUNDUP(MAX(J747/IF(CD747&gt;0,CD747,MAX(0.1,N(Cockpit!$O$6))),CG747)/BV747,0)*BV747</f>
        <v>39</v>
      </c>
      <c r="BD747" s="51" t="n">
        <f aca="false">IF(BA747&gt;0,J747/BA747,-1)</f>
        <v>3.26241134751773</v>
      </c>
      <c r="BE747" s="51" t="str">
        <f aca="false">IF(AND(OR(CC747="L1",CC747="L23",CC747="LIFT"),BA747&gt;0),SUMIFS($BA$7:$BA$1843,$CC$7:$CC$1843,CC747,$BD$7:$BD$1843,"&gt;"&amp;BD747)+SUMIFS($BA$7:$BA$1843,$CC$7:$CC$1843,CC747,$BD$7:$BD$1843,BD747,$BT$7:$BT$1843,"&lt;="&amp;BT747),"")</f>
        <v/>
      </c>
      <c r="BF747" s="58" t="n">
        <f aca="false">IF(BE747="",0,MAX(0,MIN(1,(IF(CC747="L1",Parameter!$H$5,IF(CC747="L23",Parameter!$H$6+Parameter!$H$7,Parameter!$H$5+Parameter!$H$6+Parameter!$H$7))-(BE747-BA747))/BA747)))</f>
        <v>0</v>
      </c>
      <c r="BG747" s="48" t="str">
        <f aca="false">IF(AI747&lt;=0,"",IF(CC747="Aussen","Aussenlager",IF(CC747="-","Nicht im Lift",IF(AN747&gt;=1,"Lift",IF(AN747&lt;=0,"Aussenlager","teilweise")))))</f>
        <v/>
      </c>
      <c r="BH747" s="48" t="str">
        <f aca="false">IF(AR747&lt;=0,"",IF(CC747="Aussen","Aussenlager",IF(CC747="-","Nicht im Lift",IF(AW747&gt;=1,"Lift",IF(AW747&lt;=0,"Aussenlager","teilweise")))))</f>
        <v>Nicht im Lift</v>
      </c>
      <c r="BI747" s="48" t="str">
        <f aca="false">IF(BA747&lt;=0,"",IF(CC747="Aussen","Aussenlager",IF(CC747="-","Nicht im Lift",IF(BF747&gt;=1,"Lift",IF(BF747&lt;=0,"Aussenlager","teilweise")))))</f>
        <v>Nicht im Lift</v>
      </c>
      <c r="BJ747" s="48" t="str">
        <f aca="false">IF(A747="","",IF(BS747=1,"Neu; ","")&amp;IF(AND(BS747=0,BN747&lt;0),"negativer Bestand (Export "&amp;BN747&amp;"); ","")&amp;IF(J747&lt;=0,"Kein Verbrauch; ","")&amp;IF(CL747&gt;0,"Lift "&amp;W747&amp;" lt. Liftbericht (Fach "&amp;X747&amp;" Stk); ",IF(BX747=1,"Gebinde geschätzt ("&amp;T747&amp;"); ",IF(BW747=1,"Lose – Tablare geschätzt; ","")))&amp;IF(H747&gt;AT747,"Überbestand "&amp;ROUND(H747-AT747,0)&amp;" Stk / CHF "&amp;ROUND((H747-AT747)*G747,0)&amp;"; ","")&amp;IF(AND(CE747=1,CF747&lt;CG747),"MAX &lt; MB+LG; ","")&amp;IF(AND(CK747&gt;0,CJ747*10&gt;CK747),"zu hoch für Tablar; ","")&amp;IF(AND(BS747=0,OR(CE747=1,AA747&lt;&gt;"",U747&lt;&gt;"",V747&lt;&gt;"",AB747&lt;&gt;"")),"manuell übersteuert; ","")&amp;IF(AND(BW747=0,R747=0),"Gebinde unbekannt / Stellmass fehlt; ","")&amp;IF(AND(BW747=0,N(V747)&lt;=0,N(Q747)&lt;=0),"Menge pro Gebinde fehlt (Ist = 1 Gebinde); ","")&amp;BR747)</f>
        <v>Lose – Tablare geschätzt; </v>
      </c>
      <c r="BK747" s="48"/>
      <c r="BL747" s="48"/>
      <c r="BM747" s="55"/>
      <c r="BN747" s="50" t="n">
        <v>0</v>
      </c>
      <c r="BO747" s="50" t="n">
        <v>0</v>
      </c>
      <c r="BP747" s="49" t="n">
        <v>-1.45519152283669E-011</v>
      </c>
      <c r="BQ747" s="50" t="n">
        <v>115</v>
      </c>
      <c r="BR747" s="48"/>
      <c r="BS747" s="53" t="n">
        <v>0</v>
      </c>
      <c r="BT747" s="53" t="n">
        <v>747</v>
      </c>
      <c r="BU747" s="48" t="str">
        <f aca="false">IF(U747&lt;&gt;"",UPPER(TRIM(U747)),IF(BX747=1,UPPER(VLOOKUP(T747,Parameter!$I$27:$K$29,2,0)),IF(P747="","LOSE",P747)))</f>
        <v>LOSE</v>
      </c>
      <c r="BV747" s="50" t="n">
        <f aca="false">IF(BU747="LOSE",1,IF(N(V747)&gt;0,V747,IF(BX747=1,MAX(1,N(VLOOKUP(T747,Parameter!$I$27:$K$29,3,0)),H747,N(N747)),IF(N(Q747)&gt;0,Q747,MAX(1,H747)))))</f>
        <v>1</v>
      </c>
      <c r="BW747" s="53" t="n">
        <f aca="false">IF(BU747="LOSE",1,0)</f>
        <v>1</v>
      </c>
      <c r="BX747" s="53" t="n">
        <f aca="false">IF(AND(U747="",OR(P747="",P747="LOSE"),T747&lt;&gt;"",N(S747)&lt;=0,ISNUMBER(MATCH(T747,Parameter!$I$27:$I$29,0))),1,0)</f>
        <v>0</v>
      </c>
      <c r="BY747" s="53" t="n">
        <f aca="false">IF(CL747&gt;0,INDEX(Parameter!$H$5:$H$7,W747)/INDEX(Parameter!$E$5:$E$7,W747),IF(AND(BW747=0,N(IFERROR(VLOOKUP(BU747,'Gebinde-Kategorie'!$A$5:$N$45,14,0),0))&gt;0),VLOOKUP(BU747,'Gebinde-Kategorie'!$A$5:$N$45,14,0)*10+Parameter!$M$23,Parameter!$M$24))</f>
        <v>235</v>
      </c>
      <c r="BZ747" s="48" t="str">
        <f aca="false">IF(AND(Parameter!$B$19="Ja",E747&lt;&gt;"",ISNUMBER(MATCH(E747,Parameter!$I$35:$I$52,0))),VLOOKUP(E747,Parameter!$I$35:$J$52,2,0),IFERROR(VLOOKUP(D747,Parameter!$A$35:$C$64,2,0),"Nein"))</f>
        <v>Nein</v>
      </c>
      <c r="CA747" s="52" t="n">
        <f aca="false">IF(BW747=0,0,IF(N(S747)&gt;0,S747,IFERROR(VLOOKUP(D747,Parameter!$A$35:$C$64,3,0)+0,0)))</f>
        <v>0.15</v>
      </c>
      <c r="CB747" s="48" t="str">
        <f aca="false">IF(AA747&lt;&gt;"",AA747,Z747)</f>
        <v>-</v>
      </c>
      <c r="CC747" s="48" t="str">
        <f aca="false">IF(OR(CB747=1,CB747=2,CB747=3),IF(Parameter!$E$27="Ja","LIFT",IF(CB747=1,"L1","L23")),IF(CB747="Aussen","Aussen","-"))</f>
        <v>-</v>
      </c>
      <c r="CD747" s="59" t="n">
        <f aca="false">IF(N(AB747)&gt;0,AB747,0)</f>
        <v>0</v>
      </c>
      <c r="CE747" s="53" t="n">
        <f aca="false">IF(ISNUMBER(AE747),1,0)</f>
        <v>0</v>
      </c>
      <c r="CF747" s="50" t="n">
        <f aca="false">N(AE747)</f>
        <v>0</v>
      </c>
      <c r="CG747" s="50" t="n">
        <f aca="false">N(M747)+N(N747)</f>
        <v>1</v>
      </c>
      <c r="CH747" s="50" t="n">
        <f aca="false">ROUNDUP(H747/BV747,0)</f>
        <v>0</v>
      </c>
      <c r="CI747" s="50" t="n">
        <f aca="false">ROUNDUP(CF747/BV747,0)</f>
        <v>0</v>
      </c>
      <c r="CJ747" s="53" t="n">
        <f aca="false">IF(BW747=1,0,IFERROR(VLOOKUP(BU747,'Gebinde-Kategorie'!$A$5:$N$45,5,0)+0,0))</f>
        <v>0</v>
      </c>
      <c r="CK747" s="53" t="n">
        <f aca="false">IFERROR(IF(OR(CB747=1,CB747=2,CB747=3),N(INDEX(Parameter!$I$5:$I$7,CB747)),0),0)</f>
        <v>0</v>
      </c>
      <c r="CL747" s="52" t="n">
        <f aca="false">IF(AND(Parameter!$B$21="Ja",ISNUMBER(W747),N(X747)&gt;0),IFERROR(N(INDEX(Parameter!$L$5:$L$7,W747))*INDEX(Parameter!$E$5:$E$7,W747)*X747/SUMIFS($X$7:$X$1843,$W$7:$W$1843,W747),0),0)</f>
        <v>0</v>
      </c>
    </row>
    <row r="748" customFormat="false" ht="15" hidden="false" customHeight="false" outlineLevel="0" collapsed="false">
      <c r="A748" s="48" t="s">
        <v>1486</v>
      </c>
      <c r="B748" s="48" t="s">
        <v>953</v>
      </c>
      <c r="C748" s="48" t="s">
        <v>168</v>
      </c>
      <c r="D748" s="48" t="s">
        <v>188</v>
      </c>
      <c r="E748" s="48"/>
      <c r="F748" s="48" t="s">
        <v>222</v>
      </c>
      <c r="G748" s="49" t="n">
        <v>0.02</v>
      </c>
      <c r="H748" s="50" t="n">
        <f aca="false">MAX(0,IF(AND(Parameter!$B$21="Ja",ISNUMBER(Y748)),Y748,IF(Parameter!$B$20="Jahresanfang 2025 + Export",BO748+BN748,BN748)))</f>
        <v>94</v>
      </c>
      <c r="I748" s="50" t="n">
        <f aca="false">H748*G748</f>
        <v>1.88</v>
      </c>
      <c r="J748" s="50" t="n">
        <f aca="false">BQ748*Parameter!$B$18</f>
        <v>0</v>
      </c>
      <c r="K748" s="51" t="n">
        <v>94.5</v>
      </c>
      <c r="L748" s="52" t="n">
        <v>0</v>
      </c>
      <c r="M748" s="50" t="n">
        <v>0</v>
      </c>
      <c r="N748" s="50" t="n">
        <v>1</v>
      </c>
      <c r="O748" s="53" t="n">
        <v>14</v>
      </c>
      <c r="P748" s="48" t="s">
        <v>172</v>
      </c>
      <c r="Q748" s="50"/>
      <c r="R748" s="53" t="n">
        <f aca="false">IF(BW748=1,0,IFERROR(VLOOKUP(BU748,'Gebinde-Kategorie'!$A$5:$N$45,13,0)+0,0))</f>
        <v>26</v>
      </c>
      <c r="S748" s="54"/>
      <c r="T748" s="55" t="s">
        <v>279</v>
      </c>
      <c r="U748" s="55"/>
      <c r="V748" s="55"/>
      <c r="W748" s="48"/>
      <c r="X748" s="50"/>
      <c r="Y748" s="50"/>
      <c r="Z748" s="48" t="n">
        <f aca="false">IF(A748="","",IF(AND(Parameter!$B$21="Ja",ISNUMBER(W748)),W748,IF(BZ748="2+3",IF(ISNUMBER(SEARCH("grosser Artikel",BR748)),2,IFERROR(VLOOKUP(BU748,Parameter!$F$35:$G$64,2,0),2)),IF(OR(BZ748="Nein",BZ748=""),"-",BZ748))))</f>
        <v>3</v>
      </c>
      <c r="AA748" s="55"/>
      <c r="AB748" s="56"/>
      <c r="AC748" s="50" t="n">
        <f aca="false">AT748</f>
        <v>94</v>
      </c>
      <c r="AD748" s="50" t="n">
        <f aca="false">MAX(AT748,H748)</f>
        <v>94</v>
      </c>
      <c r="AE748" s="57"/>
      <c r="AF748" s="50" t="n">
        <f aca="false">IF(LEFT(Cockpit!$C$5,1)="A",H748,IF(CE748=1,CF748,IF(LEFT(Cockpit!$C$5,1)="B",AK748,MAX(AK748,H748))))</f>
        <v>94</v>
      </c>
      <c r="AG748" s="50" t="n">
        <f aca="false">IF(BW748=1,0,ROUNDUP(AF748/BV748,0))</f>
        <v>1</v>
      </c>
      <c r="AH748" s="52" t="n">
        <f aca="false">IF(CL748&gt;0,CL748*MAX(1,AF748/X748),IF(BW748=1,IF(AF748&lt;=0,0,CA748*MAX(1,IF(H748&gt;0,AF748/H748,1))),IF(R748&gt;0,AG748/R748,0))/MAX(0.1,N(Parameter!$M$21)))</f>
        <v>0.0384615384615385</v>
      </c>
      <c r="AI748" s="50" t="n">
        <f aca="false">AH748*BY748</f>
        <v>5.96153846153846</v>
      </c>
      <c r="AJ748" s="50" t="n">
        <f aca="false">AF748*G748</f>
        <v>1.88</v>
      </c>
      <c r="AK748" s="50" t="n">
        <f aca="false">ROUNDUP(MAX(J748/IF(CD748&gt;0,CD748,MAX(0.1,N(Cockpit!$C$6))),CG748)/BV748,0)*BV748</f>
        <v>94</v>
      </c>
      <c r="AL748" s="51" t="n">
        <f aca="false">IF(AI748&gt;0,J748/AI748,-1)</f>
        <v>0</v>
      </c>
      <c r="AM748" s="51" t="n">
        <f aca="false">IF(AND(OR(CC748="L1",CC748="L23",CC748="LIFT"),AI748&gt;0),SUMIFS($AI$7:$AI$1843,$CC$7:$CC$1843,CC748,$AL$7:$AL$1843,"&gt;"&amp;AL748)+SUMIFS($AI$7:$AI$1843,$CC$7:$CC$1843,CC748,$AL$7:$AL$1843,AL748,$BT$7:$BT$1843,"&lt;="&amp;BT748),"")</f>
        <v>28707.2900033112</v>
      </c>
      <c r="AN748" s="58" t="n">
        <f aca="false">IF(AM748="",0,MAX(0,MIN(1,(IF(CC748="L1",Parameter!$H$5,IF(CC748="L23",Parameter!$H$6+Parameter!$H$7,Parameter!$H$5+Parameter!$H$6+Parameter!$H$7))-(AM748-AI748))/AI748)))</f>
        <v>1</v>
      </c>
      <c r="AO748" s="50" t="n">
        <f aca="false">IF(LEFT(Cockpit!$I$5,1)="A",H748,IF(CE748=1,CF748,IF(LEFT(Cockpit!$I$5,1)="B",AT748,MAX(AT748,H748))))</f>
        <v>94</v>
      </c>
      <c r="AP748" s="50" t="n">
        <f aca="false">IF(BW748=1,0,ROUNDUP(AO748/BV748,0))</f>
        <v>1</v>
      </c>
      <c r="AQ748" s="52" t="n">
        <f aca="false">IF(CL748&gt;0,CL748*MAX(1,AO748/X748),IF(BW748=1,IF(AO748&lt;=0,0,CA748*MAX(1,IF(H748&gt;0,AO748/H748,1))),IF(R748&gt;0,AP748/R748,0))/MAX(0.1,N(Parameter!$M$21)))</f>
        <v>0.0384615384615385</v>
      </c>
      <c r="AR748" s="50" t="n">
        <f aca="false">AQ748*BY748</f>
        <v>5.96153846153846</v>
      </c>
      <c r="AS748" s="50" t="n">
        <f aca="false">AO748*G748</f>
        <v>1.88</v>
      </c>
      <c r="AT748" s="50" t="n">
        <f aca="false">ROUNDUP(MAX(J748/IF(CD748&gt;0,CD748,MAX(0.1,N(Cockpit!$I$6))),CG748)/BV748,0)*BV748</f>
        <v>94</v>
      </c>
      <c r="AU748" s="51" t="n">
        <f aca="false">IF(AR748&gt;0,J748/AR748,-1)</f>
        <v>0</v>
      </c>
      <c r="AV748" s="51" t="n">
        <f aca="false">IF(AND(OR(CC748="L1",CC748="L23",CC748="LIFT"),AR748&gt;0),SUMIFS($AR$7:$AR$1843,$CC$7:$CC$1843,CC748,$AU$7:$AU$1843,"&gt;"&amp;AU748)+SUMIFS($AR$7:$AR$1843,$CC$7:$CC$1843,CC748,$AU$7:$AU$1843,AU748,$BT$7:$BT$1843,"&lt;="&amp;BT748),"")</f>
        <v>40266.2619125225</v>
      </c>
      <c r="AW748" s="58" t="n">
        <f aca="false">IF(AV748="",0,MAX(0,MIN(1,(IF(CC748="L1",Parameter!$H$5,IF(CC748="L23",Parameter!$H$6+Parameter!$H$7,Parameter!$H$5+Parameter!$H$6+Parameter!$H$7))-(AV748-AR748))/AR748)))</f>
        <v>0</v>
      </c>
      <c r="AX748" s="50" t="n">
        <f aca="false">IF(LEFT(Cockpit!$O$5,1)="A",H748,IF(CE748=1,CF748,IF(LEFT(Cockpit!$O$5,1)="B",BC748,MAX(BC748,H748))))</f>
        <v>94</v>
      </c>
      <c r="AY748" s="50" t="n">
        <f aca="false">IF(BW748=1,0,ROUNDUP(AX748/BV748,0))</f>
        <v>1</v>
      </c>
      <c r="AZ748" s="52" t="n">
        <f aca="false">IF(CL748&gt;0,CL748*MAX(1,AX748/X748),IF(BW748=1,IF(AX748&lt;=0,0,CA748*MAX(1,IF(H748&gt;0,AX748/H748,1))),IF(R748&gt;0,AY748/R748,0))/MAX(0.1,N(Parameter!$M$21)))</f>
        <v>0.0384615384615385</v>
      </c>
      <c r="BA748" s="50" t="n">
        <f aca="false">AZ748*BY748</f>
        <v>5.96153846153846</v>
      </c>
      <c r="BB748" s="50" t="n">
        <f aca="false">AX748*G748</f>
        <v>1.88</v>
      </c>
      <c r="BC748" s="50" t="n">
        <f aca="false">ROUNDUP(MAX(J748/IF(CD748&gt;0,CD748,MAX(0.1,N(Cockpit!$O$6))),CG748)/BV748,0)*BV748</f>
        <v>94</v>
      </c>
      <c r="BD748" s="51" t="n">
        <f aca="false">IF(BA748&gt;0,J748/BA748,-1)</f>
        <v>0</v>
      </c>
      <c r="BE748" s="51" t="n">
        <f aca="false">IF(AND(OR(CC748="L1",CC748="L23",CC748="LIFT"),BA748&gt;0),SUMIFS($BA$7:$BA$1843,$CC$7:$CC$1843,CC748,$BD$7:$BD$1843,"&gt;"&amp;BD748)+SUMIFS($BA$7:$BA$1843,$CC$7:$CC$1843,CC748,$BD$7:$BD$1843,BD748,$BT$7:$BT$1843,"&lt;="&amp;BT748),"")</f>
        <v>36941.2739543884</v>
      </c>
      <c r="BF748" s="58" t="n">
        <f aca="false">IF(BE748="",0,MAX(0,MIN(1,(IF(CC748="L1",Parameter!$H$5,IF(CC748="L23",Parameter!$H$6+Parameter!$H$7,Parameter!$H$5+Parameter!$H$6+Parameter!$H$7))-(BE748-BA748))/BA748)))</f>
        <v>0</v>
      </c>
      <c r="BG748" s="48" t="str">
        <f aca="false">IF(AI748&lt;=0,"",IF(CC748="Aussen","Aussenlager",IF(CC748="-","Nicht im Lift",IF(AN748&gt;=1,"Lift",IF(AN748&lt;=0,"Aussenlager","teilweise")))))</f>
        <v>Lift</v>
      </c>
      <c r="BH748" s="48" t="str">
        <f aca="false">IF(AR748&lt;=0,"",IF(CC748="Aussen","Aussenlager",IF(CC748="-","Nicht im Lift",IF(AW748&gt;=1,"Lift",IF(AW748&lt;=0,"Aussenlager","teilweise")))))</f>
        <v>Aussenlager</v>
      </c>
      <c r="BI748" s="48" t="str">
        <f aca="false">IF(BA748&lt;=0,"",IF(CC748="Aussen","Aussenlager",IF(CC748="-","Nicht im Lift",IF(BF748&gt;=1,"Lift",IF(BF748&lt;=0,"Aussenlager","teilweise")))))</f>
        <v>Aussenlager</v>
      </c>
      <c r="BJ748" s="48" t="str">
        <f aca="false">IF(A748="","",IF(BS748=1,"Neu; ","")&amp;IF(AND(BS748=0,BN748&lt;0),"negativer Bestand (Export "&amp;BN748&amp;"); ","")&amp;IF(J748&lt;=0,"Kein Verbrauch; ","")&amp;IF(CL748&gt;0,"Lift "&amp;W748&amp;" lt. Liftbericht (Fach "&amp;X748&amp;" Stk); ",IF(BX748=1,"Gebinde geschätzt ("&amp;T748&amp;"); ",IF(BW748=1,"Lose – Tablare geschätzt; ","")))&amp;IF(H748&gt;AT748,"Überbestand "&amp;ROUND(H748-AT748,0)&amp;" Stk / CHF "&amp;ROUND((H748-AT748)*G748,0)&amp;"; ","")&amp;IF(AND(CE748=1,CF748&lt;CG748),"MAX &lt; MB+LG; ","")&amp;IF(AND(CK748&gt;0,CJ748*10&gt;CK748),"zu hoch für Tablar; ","")&amp;IF(AND(BS748=0,OR(CE748=1,AA748&lt;&gt;"",U748&lt;&gt;"",V748&lt;&gt;"",AB748&lt;&gt;"")),"manuell übersteuert; ","")&amp;IF(AND(BW748=0,R748=0),"Gebinde unbekannt / Stellmass fehlt; ","")&amp;IF(AND(BW748=0,N(V748)&lt;=0,N(Q748)&lt;=0),"Menge pro Gebinde fehlt (Ist = 1 Gebinde); ","")&amp;BR748)</f>
        <v>negativer Bestand (Export -1); Kein Verbrauch; Gebinde geschätzt (Klein); Menge pro Gebinde fehlt (Ist = 1 Gebinde); </v>
      </c>
      <c r="BK748" s="48"/>
      <c r="BL748" s="48"/>
      <c r="BM748" s="55"/>
      <c r="BN748" s="50" t="n">
        <v>-1</v>
      </c>
      <c r="BO748" s="50" t="n">
        <v>95</v>
      </c>
      <c r="BP748" s="49" t="n">
        <v>-0.02</v>
      </c>
      <c r="BQ748" s="50" t="n">
        <v>0</v>
      </c>
      <c r="BR748" s="48"/>
      <c r="BS748" s="53" t="n">
        <v>0</v>
      </c>
      <c r="BT748" s="53" t="n">
        <v>748</v>
      </c>
      <c r="BU748" s="48" t="str">
        <f aca="false">IF(U748&lt;&gt;"",UPPER(TRIM(U748)),IF(BX748=1,UPPER(VLOOKUP(T748,Parameter!$I$27:$K$29,2,0)),IF(P748="","LOSE",P748)))</f>
        <v>S51</v>
      </c>
      <c r="BV748" s="50" t="n">
        <f aca="false">IF(BU748="LOSE",1,IF(N(V748)&gt;0,V748,IF(BX748=1,MAX(1,N(VLOOKUP(T748,Parameter!$I$27:$K$29,3,0)),H748,N(N748)),IF(N(Q748)&gt;0,Q748,MAX(1,H748)))))</f>
        <v>94</v>
      </c>
      <c r="BW748" s="53" t="n">
        <f aca="false">IF(BU748="LOSE",1,0)</f>
        <v>0</v>
      </c>
      <c r="BX748" s="53" t="n">
        <f aca="false">IF(AND(U748="",OR(P748="",P748="LOSE"),T748&lt;&gt;"",N(S748)&lt;=0,ISNUMBER(MATCH(T748,Parameter!$I$27:$I$29,0))),1,0)</f>
        <v>1</v>
      </c>
      <c r="BY748" s="53" t="n">
        <f aca="false">IF(CL748&gt;0,INDEX(Parameter!$H$5:$H$7,W748)/INDEX(Parameter!$E$5:$E$7,W748),IF(AND(BW748=0,N(IFERROR(VLOOKUP(BU748,'Gebinde-Kategorie'!$A$5:$N$45,14,0),0))&gt;0),VLOOKUP(BU748,'Gebinde-Kategorie'!$A$5:$N$45,14,0)*10+Parameter!$M$23,Parameter!$M$24))</f>
        <v>155</v>
      </c>
      <c r="BZ748" s="48" t="str">
        <f aca="false">IF(AND(Parameter!$B$19="Ja",E748&lt;&gt;"",ISNUMBER(MATCH(E748,Parameter!$I$35:$I$52,0))),VLOOKUP(E748,Parameter!$I$35:$J$52,2,0),IFERROR(VLOOKUP(D748,Parameter!$A$35:$C$64,2,0),"Nein"))</f>
        <v>2+3</v>
      </c>
      <c r="CA748" s="52" t="n">
        <f aca="false">IF(BW748=0,0,IF(N(S748)&gt;0,S748,IFERROR(VLOOKUP(D748,Parameter!$A$35:$C$64,3,0)+0,0)))</f>
        <v>0</v>
      </c>
      <c r="CB748" s="48" t="n">
        <f aca="false">IF(AA748&lt;&gt;"",AA748,Z748)</f>
        <v>3</v>
      </c>
      <c r="CC748" s="48" t="str">
        <f aca="false">IF(OR(CB748=1,CB748=2,CB748=3),IF(Parameter!$E$27="Ja","LIFT",IF(CB748=1,"L1","L23")),IF(CB748="Aussen","Aussen","-"))</f>
        <v>LIFT</v>
      </c>
      <c r="CD748" s="59" t="n">
        <f aca="false">IF(N(AB748)&gt;0,AB748,0)</f>
        <v>0</v>
      </c>
      <c r="CE748" s="53" t="n">
        <f aca="false">IF(ISNUMBER(AE748),1,0)</f>
        <v>0</v>
      </c>
      <c r="CF748" s="50" t="n">
        <f aca="false">N(AE748)</f>
        <v>0</v>
      </c>
      <c r="CG748" s="50" t="n">
        <f aca="false">N(M748)+N(N748)</f>
        <v>1</v>
      </c>
      <c r="CH748" s="50" t="n">
        <f aca="false">ROUNDUP(H748/BV748,0)</f>
        <v>1</v>
      </c>
      <c r="CI748" s="50" t="n">
        <f aca="false">ROUNDUP(CF748/BV748,0)</f>
        <v>0</v>
      </c>
      <c r="CJ748" s="53" t="n">
        <f aca="false">IF(BW748=1,0,IFERROR(VLOOKUP(BU748,'Gebinde-Kategorie'!$A$5:$N$45,5,0)+0,0))</f>
        <v>11</v>
      </c>
      <c r="CK748" s="53" t="n">
        <f aca="false">IFERROR(IF(OR(CB748=1,CB748=2,CB748=3),N(INDEX(Parameter!$I$5:$I$7,CB748)),0),0)</f>
        <v>0</v>
      </c>
      <c r="CL748" s="52" t="n">
        <f aca="false">IF(AND(Parameter!$B$21="Ja",ISNUMBER(W748),N(X748)&gt;0),IFERROR(N(INDEX(Parameter!$L$5:$L$7,W748))*INDEX(Parameter!$E$5:$E$7,W748)*X748/SUMIFS($X$7:$X$1843,$W$7:$W$1843,W748),0),0)</f>
        <v>0</v>
      </c>
    </row>
    <row r="749" customFormat="false" ht="15" hidden="false" customHeight="false" outlineLevel="0" collapsed="false">
      <c r="A749" s="48" t="s">
        <v>1487</v>
      </c>
      <c r="B749" s="48" t="s">
        <v>1488</v>
      </c>
      <c r="C749" s="48" t="s">
        <v>460</v>
      </c>
      <c r="D749" s="48" t="s">
        <v>177</v>
      </c>
      <c r="E749" s="48"/>
      <c r="F749" s="48" t="s">
        <v>222</v>
      </c>
      <c r="G749" s="49" t="n">
        <v>0.01</v>
      </c>
      <c r="H749" s="50" t="n">
        <f aca="false">MAX(0,IF(AND(Parameter!$B$21="Ja",ISNUMBER(Y749)),Y749,IF(Parameter!$B$20="Jahresanfang 2025 + Export",BO749+BN749,BN749)))</f>
        <v>7</v>
      </c>
      <c r="I749" s="50" t="n">
        <f aca="false">H749*G749</f>
        <v>0.07</v>
      </c>
      <c r="J749" s="50" t="n">
        <f aca="false">BQ749*Parameter!$B$18</f>
        <v>7</v>
      </c>
      <c r="K749" s="51" t="n">
        <v>7</v>
      </c>
      <c r="L749" s="52" t="n">
        <v>1</v>
      </c>
      <c r="M749" s="50" t="n">
        <v>0</v>
      </c>
      <c r="N749" s="50" t="n">
        <v>5</v>
      </c>
      <c r="O749" s="53" t="n">
        <v>90</v>
      </c>
      <c r="P749" s="48" t="s">
        <v>172</v>
      </c>
      <c r="Q749" s="50"/>
      <c r="R749" s="53" t="n">
        <f aca="false">IF(BW749=1,0,IFERROR(VLOOKUP(BU749,'Gebinde-Kategorie'!$A$5:$N$45,13,0)+0,0))</f>
        <v>26</v>
      </c>
      <c r="S749" s="54"/>
      <c r="T749" s="55" t="s">
        <v>279</v>
      </c>
      <c r="U749" s="55"/>
      <c r="V749" s="55"/>
      <c r="W749" s="48"/>
      <c r="X749" s="50"/>
      <c r="Y749" s="50"/>
      <c r="Z749" s="48" t="n">
        <f aca="false">IF(A749="","",IF(AND(Parameter!$B$21="Ja",ISNUMBER(W749)),W749,IF(BZ749="2+3",IF(ISNUMBER(SEARCH("grosser Artikel",BR749)),2,IFERROR(VLOOKUP(BU749,Parameter!$F$35:$G$64,2,0),2)),IF(OR(BZ749="Nein",BZ749=""),"-",BZ749))))</f>
        <v>3</v>
      </c>
      <c r="AA749" s="55"/>
      <c r="AB749" s="56"/>
      <c r="AC749" s="50" t="n">
        <f aca="false">AT749</f>
        <v>20</v>
      </c>
      <c r="AD749" s="50" t="n">
        <f aca="false">MAX(AT749,H749)</f>
        <v>20</v>
      </c>
      <c r="AE749" s="57"/>
      <c r="AF749" s="50" t="n">
        <f aca="false">IF(LEFT(Cockpit!$C$5,1)="A",H749,IF(CE749=1,CF749,IF(LEFT(Cockpit!$C$5,1)="B",AK749,MAX(AK749,H749))))</f>
        <v>7</v>
      </c>
      <c r="AG749" s="50" t="n">
        <f aca="false">IF(BW749=1,0,ROUNDUP(AF749/BV749,0))</f>
        <v>1</v>
      </c>
      <c r="AH749" s="52" t="n">
        <f aca="false">IF(CL749&gt;0,CL749*MAX(1,AF749/X749),IF(BW749=1,IF(AF749&lt;=0,0,CA749*MAX(1,IF(H749&gt;0,AF749/H749,1))),IF(R749&gt;0,AG749/R749,0))/MAX(0.1,N(Parameter!$M$21)))</f>
        <v>0.0384615384615385</v>
      </c>
      <c r="AI749" s="50" t="n">
        <f aca="false">AH749*BY749</f>
        <v>5.96153846153846</v>
      </c>
      <c r="AJ749" s="50" t="n">
        <f aca="false">AF749*G749</f>
        <v>0.07</v>
      </c>
      <c r="AK749" s="50" t="n">
        <f aca="false">ROUNDUP(MAX(J749/IF(CD749&gt;0,CD749,MAX(0.1,N(Cockpit!$C$6))),CG749)/BV749,0)*BV749</f>
        <v>20</v>
      </c>
      <c r="AL749" s="51" t="n">
        <f aca="false">IF(AI749&gt;0,J749/AI749,-1)</f>
        <v>1.1741935483871</v>
      </c>
      <c r="AM749" s="51" t="n">
        <f aca="false">IF(AND(OR(CC749="L1",CC749="L23",CC749="LIFT"),AI749&gt;0),SUMIFS($AI$7:$AI$1843,$CC$7:$CC$1843,CC749,$AL$7:$AL$1843,"&gt;"&amp;AL749)+SUMIFS($AI$7:$AI$1843,$CC$7:$CC$1843,CC749,$AL$7:$AL$1843,AL749,$BT$7:$BT$1843,"&lt;="&amp;BT749),"")</f>
        <v>6697.55815018315</v>
      </c>
      <c r="AN749" s="58" t="n">
        <f aca="false">IF(AM749="",0,MAX(0,MIN(1,(IF(CC749="L1",Parameter!$H$5,IF(CC749="L23",Parameter!$H$6+Parameter!$H$7,Parameter!$H$5+Parameter!$H$6+Parameter!$H$7))-(AM749-AI749))/AI749)))</f>
        <v>1</v>
      </c>
      <c r="AO749" s="50" t="n">
        <f aca="false">IF(LEFT(Cockpit!$I$5,1)="A",H749,IF(CE749=1,CF749,IF(LEFT(Cockpit!$I$5,1)="B",AT749,MAX(AT749,H749))))</f>
        <v>20</v>
      </c>
      <c r="AP749" s="50" t="n">
        <f aca="false">IF(BW749=1,0,ROUNDUP(AO749/BV749,0))</f>
        <v>1</v>
      </c>
      <c r="AQ749" s="52" t="n">
        <f aca="false">IF(CL749&gt;0,CL749*MAX(1,AO749/X749),IF(BW749=1,IF(AO749&lt;=0,0,CA749*MAX(1,IF(H749&gt;0,AO749/H749,1))),IF(R749&gt;0,AP749/R749,0))/MAX(0.1,N(Parameter!$M$21)))</f>
        <v>0.0384615384615385</v>
      </c>
      <c r="AR749" s="50" t="n">
        <f aca="false">AQ749*BY749</f>
        <v>5.96153846153846</v>
      </c>
      <c r="AS749" s="50" t="n">
        <f aca="false">AO749*G749</f>
        <v>0.2</v>
      </c>
      <c r="AT749" s="50" t="n">
        <f aca="false">ROUNDUP(MAX(J749/IF(CD749&gt;0,CD749,MAX(0.1,N(Cockpit!$I$6))),CG749)/BV749,0)*BV749</f>
        <v>20</v>
      </c>
      <c r="AU749" s="51" t="n">
        <f aca="false">IF(AR749&gt;0,J749/AR749,-1)</f>
        <v>1.1741935483871</v>
      </c>
      <c r="AV749" s="51" t="n">
        <f aca="false">IF(AND(OR(CC749="L1",CC749="L23",CC749="LIFT"),AR749&gt;0),SUMIFS($AR$7:$AR$1843,$CC$7:$CC$1843,CC749,$AU$7:$AU$1843,"&gt;"&amp;AU749)+SUMIFS($AR$7:$AR$1843,$CC$7:$CC$1843,CC749,$AU$7:$AU$1843,AU749,$BT$7:$BT$1843,"&lt;="&amp;BT749),"")</f>
        <v>9839.29578754579</v>
      </c>
      <c r="AW749" s="58" t="n">
        <f aca="false">IF(AV749="",0,MAX(0,MIN(1,(IF(CC749="L1",Parameter!$H$5,IF(CC749="L23",Parameter!$H$6+Parameter!$H$7,Parameter!$H$5+Parameter!$H$6+Parameter!$H$7))-(AV749-AR749))/AR749)))</f>
        <v>1</v>
      </c>
      <c r="AX749" s="50" t="n">
        <f aca="false">IF(LEFT(Cockpit!$O$5,1)="A",H749,IF(CE749=1,CF749,IF(LEFT(Cockpit!$O$5,1)="B",BC749,MAX(BC749,H749))))</f>
        <v>20</v>
      </c>
      <c r="AY749" s="50" t="n">
        <f aca="false">IF(BW749=1,0,ROUNDUP(AX749/BV749,0))</f>
        <v>1</v>
      </c>
      <c r="AZ749" s="52" t="n">
        <f aca="false">IF(CL749&gt;0,CL749*MAX(1,AX749/X749),IF(BW749=1,IF(AX749&lt;=0,0,CA749*MAX(1,IF(H749&gt;0,AX749/H749,1))),IF(R749&gt;0,AY749/R749,0))/MAX(0.1,N(Parameter!$M$21)))</f>
        <v>0.0384615384615385</v>
      </c>
      <c r="BA749" s="50" t="n">
        <f aca="false">AZ749*BY749</f>
        <v>5.96153846153846</v>
      </c>
      <c r="BB749" s="50" t="n">
        <f aca="false">AX749*G749</f>
        <v>0.2</v>
      </c>
      <c r="BC749" s="50" t="n">
        <f aca="false">ROUNDUP(MAX(J749/IF(CD749&gt;0,CD749,MAX(0.1,N(Cockpit!$O$6))),CG749)/BV749,0)*BV749</f>
        <v>20</v>
      </c>
      <c r="BD749" s="51" t="n">
        <f aca="false">IF(BA749&gt;0,J749/BA749,-1)</f>
        <v>1.1741935483871</v>
      </c>
      <c r="BE749" s="51" t="n">
        <f aca="false">IF(AND(OR(CC749="L1",CC749="L23",CC749="LIFT"),BA749&gt;0),SUMIFS($BA$7:$BA$1843,$CC$7:$CC$1843,CC749,$BD$7:$BD$1843,"&gt;"&amp;BD749)+SUMIFS($BA$7:$BA$1843,$CC$7:$CC$1843,CC749,$BD$7:$BD$1843,BD749,$BT$7:$BT$1843,"&lt;="&amp;BT749),"")</f>
        <v>8849.95283882784</v>
      </c>
      <c r="BF749" s="58" t="n">
        <f aca="false">IF(BE749="",0,MAX(0,MIN(1,(IF(CC749="L1",Parameter!$H$5,IF(CC749="L23",Parameter!$H$6+Parameter!$H$7,Parameter!$H$5+Parameter!$H$6+Parameter!$H$7))-(BE749-BA749))/BA749)))</f>
        <v>1</v>
      </c>
      <c r="BG749" s="48" t="str">
        <f aca="false">IF(AI749&lt;=0,"",IF(CC749="Aussen","Aussenlager",IF(CC749="-","Nicht im Lift",IF(AN749&gt;=1,"Lift",IF(AN749&lt;=0,"Aussenlager","teilweise")))))</f>
        <v>Lift</v>
      </c>
      <c r="BH749" s="48" t="str">
        <f aca="false">IF(AR749&lt;=0,"",IF(CC749="Aussen","Aussenlager",IF(CC749="-","Nicht im Lift",IF(AW749&gt;=1,"Lift",IF(AW749&lt;=0,"Aussenlager","teilweise")))))</f>
        <v>Lift</v>
      </c>
      <c r="BI749" s="48" t="str">
        <f aca="false">IF(BA749&lt;=0,"",IF(CC749="Aussen","Aussenlager",IF(CC749="-","Nicht im Lift",IF(BF749&gt;=1,"Lift",IF(BF749&lt;=0,"Aussenlager","teilweise")))))</f>
        <v>Lift</v>
      </c>
      <c r="BJ749" s="48" t="str">
        <f aca="false">IF(A749="","",IF(BS749=1,"Neu; ","")&amp;IF(AND(BS749=0,BN749&lt;0),"negativer Bestand (Export "&amp;BN749&amp;"); ","")&amp;IF(J749&lt;=0,"Kein Verbrauch; ","")&amp;IF(CL749&gt;0,"Lift "&amp;W749&amp;" lt. Liftbericht (Fach "&amp;X749&amp;" Stk); ",IF(BX749=1,"Gebinde geschätzt ("&amp;T749&amp;"); ",IF(BW749=1,"Lose – Tablare geschätzt; ","")))&amp;IF(H749&gt;AT749,"Überbestand "&amp;ROUND(H749-AT749,0)&amp;" Stk / CHF "&amp;ROUND((H749-AT749)*G749,0)&amp;"; ","")&amp;IF(AND(CE749=1,CF749&lt;CG749),"MAX &lt; MB+LG; ","")&amp;IF(AND(CK749&gt;0,CJ749*10&gt;CK749),"zu hoch für Tablar; ","")&amp;IF(AND(BS749=0,OR(CE749=1,AA749&lt;&gt;"",U749&lt;&gt;"",V749&lt;&gt;"",AB749&lt;&gt;"")),"manuell übersteuert; ","")&amp;IF(AND(BW749=0,R749=0),"Gebinde unbekannt / Stellmass fehlt; ","")&amp;IF(AND(BW749=0,N(V749)&lt;=0,N(Q749)&lt;=0),"Menge pro Gebinde fehlt (Ist = 1 Gebinde); ","")&amp;BR749)</f>
        <v>negativer Bestand (Export -7); Gebinde geschätzt (Klein); Menge pro Gebinde fehlt (Ist = 1 Gebinde); </v>
      </c>
      <c r="BK749" s="48"/>
      <c r="BL749" s="48"/>
      <c r="BM749" s="55"/>
      <c r="BN749" s="50" t="n">
        <v>-7</v>
      </c>
      <c r="BO749" s="50" t="n">
        <v>14</v>
      </c>
      <c r="BP749" s="49" t="n">
        <v>-0.07</v>
      </c>
      <c r="BQ749" s="50" t="n">
        <v>7</v>
      </c>
      <c r="BR749" s="48"/>
      <c r="BS749" s="53" t="n">
        <v>0</v>
      </c>
      <c r="BT749" s="53" t="n">
        <v>749</v>
      </c>
      <c r="BU749" s="48" t="str">
        <f aca="false">IF(U749&lt;&gt;"",UPPER(TRIM(U749)),IF(BX749=1,UPPER(VLOOKUP(T749,Parameter!$I$27:$K$29,2,0)),IF(P749="","LOSE",P749)))</f>
        <v>S51</v>
      </c>
      <c r="BV749" s="50" t="n">
        <f aca="false">IF(BU749="LOSE",1,IF(N(V749)&gt;0,V749,IF(BX749=1,MAX(1,N(VLOOKUP(T749,Parameter!$I$27:$K$29,3,0)),H749,N(N749)),IF(N(Q749)&gt;0,Q749,MAX(1,H749)))))</f>
        <v>20</v>
      </c>
      <c r="BW749" s="53" t="n">
        <f aca="false">IF(BU749="LOSE",1,0)</f>
        <v>0</v>
      </c>
      <c r="BX749" s="53" t="n">
        <f aca="false">IF(AND(U749="",OR(P749="",P749="LOSE"),T749&lt;&gt;"",N(S749)&lt;=0,ISNUMBER(MATCH(T749,Parameter!$I$27:$I$29,0))),1,0)</f>
        <v>1</v>
      </c>
      <c r="BY749" s="53" t="n">
        <f aca="false">IF(CL749&gt;0,INDEX(Parameter!$H$5:$H$7,W749)/INDEX(Parameter!$E$5:$E$7,W749),IF(AND(BW749=0,N(IFERROR(VLOOKUP(BU749,'Gebinde-Kategorie'!$A$5:$N$45,14,0),0))&gt;0),VLOOKUP(BU749,'Gebinde-Kategorie'!$A$5:$N$45,14,0)*10+Parameter!$M$23,Parameter!$M$24))</f>
        <v>155</v>
      </c>
      <c r="BZ749" s="48" t="str">
        <f aca="false">IF(AND(Parameter!$B$19="Ja",E749&lt;&gt;"",ISNUMBER(MATCH(E749,Parameter!$I$35:$I$52,0))),VLOOKUP(E749,Parameter!$I$35:$J$52,2,0),IFERROR(VLOOKUP(D749,Parameter!$A$35:$C$64,2,0),"Nein"))</f>
        <v>2+3</v>
      </c>
      <c r="CA749" s="52" t="n">
        <f aca="false">IF(BW749=0,0,IF(N(S749)&gt;0,S749,IFERROR(VLOOKUP(D749,Parameter!$A$35:$C$64,3,0)+0,0)))</f>
        <v>0</v>
      </c>
      <c r="CB749" s="48" t="n">
        <f aca="false">IF(AA749&lt;&gt;"",AA749,Z749)</f>
        <v>3</v>
      </c>
      <c r="CC749" s="48" t="str">
        <f aca="false">IF(OR(CB749=1,CB749=2,CB749=3),IF(Parameter!$E$27="Ja","LIFT",IF(CB749=1,"L1","L23")),IF(CB749="Aussen","Aussen","-"))</f>
        <v>LIFT</v>
      </c>
      <c r="CD749" s="59" t="n">
        <f aca="false">IF(N(AB749)&gt;0,AB749,0)</f>
        <v>0</v>
      </c>
      <c r="CE749" s="53" t="n">
        <f aca="false">IF(ISNUMBER(AE749),1,0)</f>
        <v>0</v>
      </c>
      <c r="CF749" s="50" t="n">
        <f aca="false">N(AE749)</f>
        <v>0</v>
      </c>
      <c r="CG749" s="50" t="n">
        <f aca="false">N(M749)+N(N749)</f>
        <v>5</v>
      </c>
      <c r="CH749" s="50" t="n">
        <f aca="false">ROUNDUP(H749/BV749,0)</f>
        <v>1</v>
      </c>
      <c r="CI749" s="50" t="n">
        <f aca="false">ROUNDUP(CF749/BV749,0)</f>
        <v>0</v>
      </c>
      <c r="CJ749" s="53" t="n">
        <f aca="false">IF(BW749=1,0,IFERROR(VLOOKUP(BU749,'Gebinde-Kategorie'!$A$5:$N$45,5,0)+0,0))</f>
        <v>11</v>
      </c>
      <c r="CK749" s="53" t="n">
        <f aca="false">IFERROR(IF(OR(CB749=1,CB749=2,CB749=3),N(INDEX(Parameter!$I$5:$I$7,CB749)),0),0)</f>
        <v>0</v>
      </c>
      <c r="CL749" s="52" t="n">
        <f aca="false">IF(AND(Parameter!$B$21="Ja",ISNUMBER(W749),N(X749)&gt;0),IFERROR(N(INDEX(Parameter!$L$5:$L$7,W749))*INDEX(Parameter!$E$5:$E$7,W749)*X749/SUMIFS($X$7:$X$1843,$W$7:$W$1843,W749),0),0)</f>
        <v>0</v>
      </c>
    </row>
    <row r="750" customFormat="false" ht="15" hidden="false" customHeight="false" outlineLevel="0" collapsed="false">
      <c r="A750" s="48" t="s">
        <v>1489</v>
      </c>
      <c r="B750" s="48" t="s">
        <v>1490</v>
      </c>
      <c r="C750" s="48" t="s">
        <v>460</v>
      </c>
      <c r="D750" s="48" t="s">
        <v>177</v>
      </c>
      <c r="E750" s="48"/>
      <c r="F750" s="48" t="s">
        <v>222</v>
      </c>
      <c r="G750" s="49" t="n">
        <v>0.01</v>
      </c>
      <c r="H750" s="50" t="n">
        <f aca="false">MAX(0,IF(AND(Parameter!$B$21="Ja",ISNUMBER(Y750)),Y750,IF(Parameter!$B$20="Jahresanfang 2025 + Export",BO750+BN750,BN750)))</f>
        <v>0</v>
      </c>
      <c r="I750" s="50" t="n">
        <f aca="false">H750*G750</f>
        <v>0</v>
      </c>
      <c r="J750" s="50" t="n">
        <f aca="false">BQ750*Parameter!$B$18</f>
        <v>0</v>
      </c>
      <c r="K750" s="51" t="n">
        <v>53.5</v>
      </c>
      <c r="L750" s="52" t="n">
        <v>0</v>
      </c>
      <c r="M750" s="50" t="n">
        <v>0</v>
      </c>
      <c r="N750" s="50" t="n">
        <v>20</v>
      </c>
      <c r="O750" s="53" t="n">
        <v>90</v>
      </c>
      <c r="P750" s="48" t="s">
        <v>172</v>
      </c>
      <c r="Q750" s="50"/>
      <c r="R750" s="53" t="n">
        <f aca="false">IF(BW750=1,0,IFERROR(VLOOKUP(BU750,'Gebinde-Kategorie'!$A$5:$N$45,13,0)+0,0))</f>
        <v>12</v>
      </c>
      <c r="S750" s="54"/>
      <c r="T750" s="55" t="s">
        <v>183</v>
      </c>
      <c r="U750" s="55"/>
      <c r="V750" s="55"/>
      <c r="W750" s="48"/>
      <c r="X750" s="50"/>
      <c r="Y750" s="50"/>
      <c r="Z750" s="48" t="n">
        <f aca="false">IF(A750="","",IF(AND(Parameter!$B$21="Ja",ISNUMBER(W750)),W750,IF(BZ750="2+3",IF(ISNUMBER(SEARCH("grosser Artikel",BR750)),2,IFERROR(VLOOKUP(BU750,Parameter!$F$35:$G$64,2,0),2)),IF(OR(BZ750="Nein",BZ750=""),"-",BZ750))))</f>
        <v>2</v>
      </c>
      <c r="AA750" s="55"/>
      <c r="AB750" s="56"/>
      <c r="AC750" s="50" t="n">
        <f aca="false">AT750</f>
        <v>20</v>
      </c>
      <c r="AD750" s="50" t="n">
        <f aca="false">MAX(AT750,H750)</f>
        <v>20</v>
      </c>
      <c r="AE750" s="57"/>
      <c r="AF750" s="50" t="n">
        <f aca="false">IF(LEFT(Cockpit!$C$5,1)="A",H750,IF(CE750=1,CF750,IF(LEFT(Cockpit!$C$5,1)="B",AK750,MAX(AK750,H750))))</f>
        <v>0</v>
      </c>
      <c r="AG750" s="50" t="n">
        <f aca="false">IF(BW750=1,0,ROUNDUP(AF750/BV750,0))</f>
        <v>0</v>
      </c>
      <c r="AH750" s="52" t="n">
        <f aca="false">IF(CL750&gt;0,CL750*MAX(1,AF750/X750),IF(BW750=1,IF(AF750&lt;=0,0,CA750*MAX(1,IF(H750&gt;0,AF750/H750,1))),IF(R750&gt;0,AG750/R750,0))/MAX(0.1,N(Parameter!$M$21)))</f>
        <v>0</v>
      </c>
      <c r="AI750" s="50" t="n">
        <f aca="false">AH750*BY750</f>
        <v>0</v>
      </c>
      <c r="AJ750" s="50" t="n">
        <f aca="false">AF750*G750</f>
        <v>0</v>
      </c>
      <c r="AK750" s="50" t="n">
        <f aca="false">ROUNDUP(MAX(J750/IF(CD750&gt;0,CD750,MAX(0.1,N(Cockpit!$C$6))),CG750)/BV750,0)*BV750</f>
        <v>20</v>
      </c>
      <c r="AL750" s="51" t="n">
        <f aca="false">IF(AI750&gt;0,J750/AI750,-1)</f>
        <v>-1</v>
      </c>
      <c r="AM750" s="51" t="str">
        <f aca="false">IF(AND(OR(CC750="L1",CC750="L23",CC750="LIFT"),AI750&gt;0),SUMIFS($AI$7:$AI$1843,$CC$7:$CC$1843,CC750,$AL$7:$AL$1843,"&gt;"&amp;AL750)+SUMIFS($AI$7:$AI$1843,$CC$7:$CC$1843,CC750,$AL$7:$AL$1843,AL750,$BT$7:$BT$1843,"&lt;="&amp;BT750),"")</f>
        <v/>
      </c>
      <c r="AN750" s="58" t="n">
        <f aca="false">IF(AM750="",0,MAX(0,MIN(1,(IF(CC750="L1",Parameter!$H$5,IF(CC750="L23",Parameter!$H$6+Parameter!$H$7,Parameter!$H$5+Parameter!$H$6+Parameter!$H$7))-(AM750-AI750))/AI750)))</f>
        <v>0</v>
      </c>
      <c r="AO750" s="50" t="n">
        <f aca="false">IF(LEFT(Cockpit!$I$5,1)="A",H750,IF(CE750=1,CF750,IF(LEFT(Cockpit!$I$5,1)="B",AT750,MAX(AT750,H750))))</f>
        <v>20</v>
      </c>
      <c r="AP750" s="50" t="n">
        <f aca="false">IF(BW750=1,0,ROUNDUP(AO750/BV750,0))</f>
        <v>1</v>
      </c>
      <c r="AQ750" s="52" t="n">
        <f aca="false">IF(CL750&gt;0,CL750*MAX(1,AO750/X750),IF(BW750=1,IF(AO750&lt;=0,0,CA750*MAX(1,IF(H750&gt;0,AO750/H750,1))),IF(R750&gt;0,AP750/R750,0))/MAX(0.1,N(Parameter!$M$21)))</f>
        <v>0.0833333333333333</v>
      </c>
      <c r="AR750" s="50" t="n">
        <f aca="false">AQ750*BY750</f>
        <v>12.0833333333333</v>
      </c>
      <c r="AS750" s="50" t="n">
        <f aca="false">AO750*G750</f>
        <v>0.2</v>
      </c>
      <c r="AT750" s="50" t="n">
        <f aca="false">ROUNDUP(MAX(J750/IF(CD750&gt;0,CD750,MAX(0.1,N(Cockpit!$I$6))),CG750)/BV750,0)*BV750</f>
        <v>20</v>
      </c>
      <c r="AU750" s="51" t="n">
        <f aca="false">IF(AR750&gt;0,J750/AR750,-1)</f>
        <v>0</v>
      </c>
      <c r="AV750" s="51" t="n">
        <f aca="false">IF(AND(OR(CC750="L1",CC750="L23",CC750="LIFT"),AR750&gt;0),SUMIFS($AR$7:$AR$1843,$CC$7:$CC$1843,CC750,$AU$7:$AU$1843,"&gt;"&amp;AU750)+SUMIFS($AR$7:$AR$1843,$CC$7:$CC$1843,CC750,$AU$7:$AU$1843,AU750,$BT$7:$BT$1843,"&lt;="&amp;BT750),"")</f>
        <v>40278.3452458558</v>
      </c>
      <c r="AW750" s="58" t="n">
        <f aca="false">IF(AV750="",0,MAX(0,MIN(1,(IF(CC750="L1",Parameter!$H$5,IF(CC750="L23",Parameter!$H$6+Parameter!$H$7,Parameter!$H$5+Parameter!$H$6+Parameter!$H$7))-(AV750-AR750))/AR750)))</f>
        <v>0</v>
      </c>
      <c r="AX750" s="50" t="n">
        <f aca="false">IF(LEFT(Cockpit!$O$5,1)="A",H750,IF(CE750=1,CF750,IF(LEFT(Cockpit!$O$5,1)="B",BC750,MAX(BC750,H750))))</f>
        <v>20</v>
      </c>
      <c r="AY750" s="50" t="n">
        <f aca="false">IF(BW750=1,0,ROUNDUP(AX750/BV750,0))</f>
        <v>1</v>
      </c>
      <c r="AZ750" s="52" t="n">
        <f aca="false">IF(CL750&gt;0,CL750*MAX(1,AX750/X750),IF(BW750=1,IF(AX750&lt;=0,0,CA750*MAX(1,IF(H750&gt;0,AX750/H750,1))),IF(R750&gt;0,AY750/R750,0))/MAX(0.1,N(Parameter!$M$21)))</f>
        <v>0.0833333333333333</v>
      </c>
      <c r="BA750" s="50" t="n">
        <f aca="false">AZ750*BY750</f>
        <v>12.0833333333333</v>
      </c>
      <c r="BB750" s="50" t="n">
        <f aca="false">AX750*G750</f>
        <v>0.2</v>
      </c>
      <c r="BC750" s="50" t="n">
        <f aca="false">ROUNDUP(MAX(J750/IF(CD750&gt;0,CD750,MAX(0.1,N(Cockpit!$O$6))),CG750)/BV750,0)*BV750</f>
        <v>20</v>
      </c>
      <c r="BD750" s="51" t="n">
        <f aca="false">IF(BA750&gt;0,J750/BA750,-1)</f>
        <v>0</v>
      </c>
      <c r="BE750" s="51" t="n">
        <f aca="false">IF(AND(OR(CC750="L1",CC750="L23",CC750="LIFT"),BA750&gt;0),SUMIFS($BA$7:$BA$1843,$CC$7:$CC$1843,CC750,$BD$7:$BD$1843,"&gt;"&amp;BD750)+SUMIFS($BA$7:$BA$1843,$CC$7:$CC$1843,CC750,$BD$7:$BD$1843,BD750,$BT$7:$BT$1843,"&lt;="&amp;BT750),"")</f>
        <v>36953.3572877217</v>
      </c>
      <c r="BF750" s="58" t="n">
        <f aca="false">IF(BE750="",0,MAX(0,MIN(1,(IF(CC750="L1",Parameter!$H$5,IF(CC750="L23",Parameter!$H$6+Parameter!$H$7,Parameter!$H$5+Parameter!$H$6+Parameter!$H$7))-(BE750-BA750))/BA750)))</f>
        <v>0</v>
      </c>
      <c r="BG750" s="48" t="str">
        <f aca="false">IF(AI750&lt;=0,"",IF(CC750="Aussen","Aussenlager",IF(CC750="-","Nicht im Lift",IF(AN750&gt;=1,"Lift",IF(AN750&lt;=0,"Aussenlager","teilweise")))))</f>
        <v/>
      </c>
      <c r="BH750" s="48" t="str">
        <f aca="false">IF(AR750&lt;=0,"",IF(CC750="Aussen","Aussenlager",IF(CC750="-","Nicht im Lift",IF(AW750&gt;=1,"Lift",IF(AW750&lt;=0,"Aussenlager","teilweise")))))</f>
        <v>Aussenlager</v>
      </c>
      <c r="BI750" s="48" t="str">
        <f aca="false">IF(BA750&lt;=0,"",IF(CC750="Aussen","Aussenlager",IF(CC750="-","Nicht im Lift",IF(BF750&gt;=1,"Lift",IF(BF750&lt;=0,"Aussenlager","teilweise")))))</f>
        <v>Aussenlager</v>
      </c>
      <c r="BJ750" s="48" t="str">
        <f aca="false">IF(A750="","",IF(BS750=1,"Neu; ","")&amp;IF(AND(BS750=0,BN750&lt;0),"negativer Bestand (Export "&amp;BN750&amp;"); ","")&amp;IF(J750&lt;=0,"Kein Verbrauch; ","")&amp;IF(CL750&gt;0,"Lift "&amp;W750&amp;" lt. Liftbericht (Fach "&amp;X750&amp;" Stk); ",IF(BX750=1,"Gebinde geschätzt ("&amp;T750&amp;"); ",IF(BW750=1,"Lose – Tablare geschätzt; ","")))&amp;IF(H750&gt;AT750,"Überbestand "&amp;ROUND(H750-AT750,0)&amp;" Stk / CHF "&amp;ROUND((H750-AT750)*G750,0)&amp;"; ","")&amp;IF(AND(CE750=1,CF750&lt;CG750),"MAX &lt; MB+LG; ","")&amp;IF(AND(CK750&gt;0,CJ750*10&gt;CK750),"zu hoch für Tablar; ","")&amp;IF(AND(BS750=0,OR(CE750=1,AA750&lt;&gt;"",U750&lt;&gt;"",V750&lt;&gt;"",AB750&lt;&gt;"")),"manuell übersteuert; ","")&amp;IF(AND(BW750=0,R750=0),"Gebinde unbekannt / Stellmass fehlt; ","")&amp;IF(AND(BW750=0,N(V750)&lt;=0,N(Q750)&lt;=0),"Menge pro Gebinde fehlt (Ist = 1 Gebinde); ","")&amp;BR750)</f>
        <v>negativer Bestand (Export -7); Kein Verbrauch; Gebinde geschätzt (Mittel); Menge pro Gebinde fehlt (Ist = 1 Gebinde); </v>
      </c>
      <c r="BK750" s="48"/>
      <c r="BL750" s="48"/>
      <c r="BM750" s="55"/>
      <c r="BN750" s="50" t="n">
        <v>-7</v>
      </c>
      <c r="BO750" s="50" t="n">
        <v>7</v>
      </c>
      <c r="BP750" s="49" t="n">
        <v>-0.0700000000000001</v>
      </c>
      <c r="BQ750" s="50" t="n">
        <v>0</v>
      </c>
      <c r="BR750" s="48"/>
      <c r="BS750" s="53" t="n">
        <v>0</v>
      </c>
      <c r="BT750" s="53" t="n">
        <v>750</v>
      </c>
      <c r="BU750" s="48" t="str">
        <f aca="false">IF(U750&lt;&gt;"",UPPER(TRIM(U750)),IF(BX750=1,UPPER(VLOOKUP(T750,Parameter!$I$27:$K$29,2,0)),IF(P750="","LOSE",P750)))</f>
        <v>S61</v>
      </c>
      <c r="BV750" s="50" t="n">
        <f aca="false">IF(BU750="LOSE",1,IF(N(V750)&gt;0,V750,IF(BX750=1,MAX(1,N(VLOOKUP(T750,Parameter!$I$27:$K$29,3,0)),H750,N(N750)),IF(N(Q750)&gt;0,Q750,MAX(1,H750)))))</f>
        <v>20</v>
      </c>
      <c r="BW750" s="53" t="n">
        <f aca="false">IF(BU750="LOSE",1,0)</f>
        <v>0</v>
      </c>
      <c r="BX750" s="53" t="n">
        <f aca="false">IF(AND(U750="",OR(P750="",P750="LOSE"),T750&lt;&gt;"",N(S750)&lt;=0,ISNUMBER(MATCH(T750,Parameter!$I$27:$I$29,0))),1,0)</f>
        <v>1</v>
      </c>
      <c r="BY750" s="53" t="n">
        <f aca="false">IF(CL750&gt;0,INDEX(Parameter!$H$5:$H$7,W750)/INDEX(Parameter!$E$5:$E$7,W750),IF(AND(BW750=0,N(IFERROR(VLOOKUP(BU750,'Gebinde-Kategorie'!$A$5:$N$45,14,0),0))&gt;0),VLOOKUP(BU750,'Gebinde-Kategorie'!$A$5:$N$45,14,0)*10+Parameter!$M$23,Parameter!$M$24))</f>
        <v>145</v>
      </c>
      <c r="BZ750" s="48" t="str">
        <f aca="false">IF(AND(Parameter!$B$19="Ja",E750&lt;&gt;"",ISNUMBER(MATCH(E750,Parameter!$I$35:$I$52,0))),VLOOKUP(E750,Parameter!$I$35:$J$52,2,0),IFERROR(VLOOKUP(D750,Parameter!$A$35:$C$64,2,0),"Nein"))</f>
        <v>2+3</v>
      </c>
      <c r="CA750" s="52" t="n">
        <f aca="false">IF(BW750=0,0,IF(N(S750)&gt;0,S750,IFERROR(VLOOKUP(D750,Parameter!$A$35:$C$64,3,0)+0,0)))</f>
        <v>0</v>
      </c>
      <c r="CB750" s="48" t="n">
        <f aca="false">IF(AA750&lt;&gt;"",AA750,Z750)</f>
        <v>2</v>
      </c>
      <c r="CC750" s="48" t="str">
        <f aca="false">IF(OR(CB750=1,CB750=2,CB750=3),IF(Parameter!$E$27="Ja","LIFT",IF(CB750=1,"L1","L23")),IF(CB750="Aussen","Aussen","-"))</f>
        <v>LIFT</v>
      </c>
      <c r="CD750" s="59" t="n">
        <f aca="false">IF(N(AB750)&gt;0,AB750,0)</f>
        <v>0</v>
      </c>
      <c r="CE750" s="53" t="n">
        <f aca="false">IF(ISNUMBER(AE750),1,0)</f>
        <v>0</v>
      </c>
      <c r="CF750" s="50" t="n">
        <f aca="false">N(AE750)</f>
        <v>0</v>
      </c>
      <c r="CG750" s="50" t="n">
        <f aca="false">N(M750)+N(N750)</f>
        <v>20</v>
      </c>
      <c r="CH750" s="50" t="n">
        <f aca="false">ROUNDUP(H750/BV750,0)</f>
        <v>0</v>
      </c>
      <c r="CI750" s="50" t="n">
        <f aca="false">ROUNDUP(CF750/BV750,0)</f>
        <v>0</v>
      </c>
      <c r="CJ750" s="53" t="n">
        <f aca="false">IF(BW750=1,0,IFERROR(VLOOKUP(BU750,'Gebinde-Kategorie'!$A$5:$N$45,5,0)+0,0))</f>
        <v>11</v>
      </c>
      <c r="CK750" s="53" t="n">
        <f aca="false">IFERROR(IF(OR(CB750=1,CB750=2,CB750=3),N(INDEX(Parameter!$I$5:$I$7,CB750)),0),0)</f>
        <v>0</v>
      </c>
      <c r="CL750" s="52" t="n">
        <f aca="false">IF(AND(Parameter!$B$21="Ja",ISNUMBER(W750),N(X750)&gt;0),IFERROR(N(INDEX(Parameter!$L$5:$L$7,W750))*INDEX(Parameter!$E$5:$E$7,W750)*X750/SUMIFS($X$7:$X$1843,$W$7:$W$1843,W750),0),0)</f>
        <v>0</v>
      </c>
    </row>
    <row r="751" customFormat="false" ht="15" hidden="false" customHeight="false" outlineLevel="0" collapsed="false">
      <c r="A751" s="48" t="s">
        <v>1491</v>
      </c>
      <c r="B751" s="48" t="s">
        <v>1492</v>
      </c>
      <c r="C751" s="48" t="s">
        <v>460</v>
      </c>
      <c r="D751" s="48" t="s">
        <v>177</v>
      </c>
      <c r="E751" s="48"/>
      <c r="F751" s="48" t="s">
        <v>222</v>
      </c>
      <c r="G751" s="49" t="n">
        <v>0.01</v>
      </c>
      <c r="H751" s="50" t="n">
        <f aca="false">MAX(0,IF(AND(Parameter!$B$21="Ja",ISNUMBER(Y751)),Y751,IF(Parameter!$B$20="Jahresanfang 2025 + Export",BO751+BN751,BN751)))</f>
        <v>9</v>
      </c>
      <c r="I751" s="50" t="n">
        <f aca="false">H751*G751</f>
        <v>0.09</v>
      </c>
      <c r="J751" s="50" t="n">
        <f aca="false">BQ751*Parameter!$B$18</f>
        <v>9</v>
      </c>
      <c r="K751" s="51" t="n">
        <v>9</v>
      </c>
      <c r="L751" s="52" t="n">
        <v>1</v>
      </c>
      <c r="M751" s="50" t="n">
        <v>0</v>
      </c>
      <c r="N751" s="50" t="n">
        <v>10</v>
      </c>
      <c r="O751" s="53" t="n">
        <v>90</v>
      </c>
      <c r="P751" s="48" t="s">
        <v>172</v>
      </c>
      <c r="Q751" s="50"/>
      <c r="R751" s="53" t="n">
        <f aca="false">IF(BW751=1,0,IFERROR(VLOOKUP(BU751,'Gebinde-Kategorie'!$A$5:$N$45,13,0)+0,0))</f>
        <v>26</v>
      </c>
      <c r="S751" s="54"/>
      <c r="T751" s="55" t="s">
        <v>279</v>
      </c>
      <c r="U751" s="55"/>
      <c r="V751" s="55"/>
      <c r="W751" s="48"/>
      <c r="X751" s="50"/>
      <c r="Y751" s="50"/>
      <c r="Z751" s="48" t="n">
        <f aca="false">IF(A751="","",IF(AND(Parameter!$B$21="Ja",ISNUMBER(W751)),W751,IF(BZ751="2+3",IF(ISNUMBER(SEARCH("grosser Artikel",BR751)),2,IFERROR(VLOOKUP(BU751,Parameter!$F$35:$G$64,2,0),2)),IF(OR(BZ751="Nein",BZ751=""),"-",BZ751))))</f>
        <v>3</v>
      </c>
      <c r="AA751" s="55"/>
      <c r="AB751" s="56"/>
      <c r="AC751" s="50" t="n">
        <f aca="false">AT751</f>
        <v>20</v>
      </c>
      <c r="AD751" s="50" t="n">
        <f aca="false">MAX(AT751,H751)</f>
        <v>20</v>
      </c>
      <c r="AE751" s="57"/>
      <c r="AF751" s="50" t="n">
        <f aca="false">IF(LEFT(Cockpit!$C$5,1)="A",H751,IF(CE751=1,CF751,IF(LEFT(Cockpit!$C$5,1)="B",AK751,MAX(AK751,H751))))</f>
        <v>9</v>
      </c>
      <c r="AG751" s="50" t="n">
        <f aca="false">IF(BW751=1,0,ROUNDUP(AF751/BV751,0))</f>
        <v>1</v>
      </c>
      <c r="AH751" s="52" t="n">
        <f aca="false">IF(CL751&gt;0,CL751*MAX(1,AF751/X751),IF(BW751=1,IF(AF751&lt;=0,0,CA751*MAX(1,IF(H751&gt;0,AF751/H751,1))),IF(R751&gt;0,AG751/R751,0))/MAX(0.1,N(Parameter!$M$21)))</f>
        <v>0.0384615384615385</v>
      </c>
      <c r="AI751" s="50" t="n">
        <f aca="false">AH751*BY751</f>
        <v>5.96153846153846</v>
      </c>
      <c r="AJ751" s="50" t="n">
        <f aca="false">AF751*G751</f>
        <v>0.09</v>
      </c>
      <c r="AK751" s="50" t="n">
        <f aca="false">ROUNDUP(MAX(J751/IF(CD751&gt;0,CD751,MAX(0.1,N(Cockpit!$C$6))),CG751)/BV751,0)*BV751</f>
        <v>20</v>
      </c>
      <c r="AL751" s="51" t="n">
        <f aca="false">IF(AI751&gt;0,J751/AI751,-1)</f>
        <v>1.50967741935484</v>
      </c>
      <c r="AM751" s="51" t="n">
        <f aca="false">IF(AND(OR(CC751="L1",CC751="L23",CC751="LIFT"),AI751&gt;0),SUMIFS($AI$7:$AI$1843,$CC$7:$CC$1843,CC751,$AL$7:$AL$1843,"&gt;"&amp;AL751)+SUMIFS($AI$7:$AI$1843,$CC$7:$CC$1843,CC751,$AL$7:$AL$1843,AL751,$BT$7:$BT$1843,"&lt;="&amp;BT751),"")</f>
        <v>6215.89148351648</v>
      </c>
      <c r="AN751" s="58" t="n">
        <f aca="false">IF(AM751="",0,MAX(0,MIN(1,(IF(CC751="L1",Parameter!$H$5,IF(CC751="L23",Parameter!$H$6+Parameter!$H$7,Parameter!$H$5+Parameter!$H$6+Parameter!$H$7))-(AM751-AI751))/AI751)))</f>
        <v>1</v>
      </c>
      <c r="AO751" s="50" t="n">
        <f aca="false">IF(LEFT(Cockpit!$I$5,1)="A",H751,IF(CE751=1,CF751,IF(LEFT(Cockpit!$I$5,1)="B",AT751,MAX(AT751,H751))))</f>
        <v>20</v>
      </c>
      <c r="AP751" s="50" t="n">
        <f aca="false">IF(BW751=1,0,ROUNDUP(AO751/BV751,0))</f>
        <v>1</v>
      </c>
      <c r="AQ751" s="52" t="n">
        <f aca="false">IF(CL751&gt;0,CL751*MAX(1,AO751/X751),IF(BW751=1,IF(AO751&lt;=0,0,CA751*MAX(1,IF(H751&gt;0,AO751/H751,1))),IF(R751&gt;0,AP751/R751,0))/MAX(0.1,N(Parameter!$M$21)))</f>
        <v>0.0384615384615385</v>
      </c>
      <c r="AR751" s="50" t="n">
        <f aca="false">AQ751*BY751</f>
        <v>5.96153846153846</v>
      </c>
      <c r="AS751" s="50" t="n">
        <f aca="false">AO751*G751</f>
        <v>0.2</v>
      </c>
      <c r="AT751" s="50" t="n">
        <f aca="false">ROUNDUP(MAX(J751/IF(CD751&gt;0,CD751,MAX(0.1,N(Cockpit!$I$6))),CG751)/BV751,0)*BV751</f>
        <v>20</v>
      </c>
      <c r="AU751" s="51" t="n">
        <f aca="false">IF(AR751&gt;0,J751/AR751,-1)</f>
        <v>1.50967741935484</v>
      </c>
      <c r="AV751" s="51" t="n">
        <f aca="false">IF(AND(OR(CC751="L1",CC751="L23",CC751="LIFT"),AR751&gt;0),SUMIFS($AR$7:$AR$1843,$CC$7:$CC$1843,CC751,$AU$7:$AU$1843,"&gt;"&amp;AU751)+SUMIFS($AR$7:$AR$1843,$CC$7:$CC$1843,CC751,$AU$7:$AU$1843,AU751,$BT$7:$BT$1843,"&lt;="&amp;BT751),"")</f>
        <v>8378.78296703297</v>
      </c>
      <c r="AW751" s="58" t="n">
        <f aca="false">IF(AV751="",0,MAX(0,MIN(1,(IF(CC751="L1",Parameter!$H$5,IF(CC751="L23",Parameter!$H$6+Parameter!$H$7,Parameter!$H$5+Parameter!$H$6+Parameter!$H$7))-(AV751-AR751))/AR751)))</f>
        <v>1</v>
      </c>
      <c r="AX751" s="50" t="n">
        <f aca="false">IF(LEFT(Cockpit!$O$5,1)="A",H751,IF(CE751=1,CF751,IF(LEFT(Cockpit!$O$5,1)="B",BC751,MAX(BC751,H751))))</f>
        <v>20</v>
      </c>
      <c r="AY751" s="50" t="n">
        <f aca="false">IF(BW751=1,0,ROUNDUP(AX751/BV751,0))</f>
        <v>1</v>
      </c>
      <c r="AZ751" s="52" t="n">
        <f aca="false">IF(CL751&gt;0,CL751*MAX(1,AX751/X751),IF(BW751=1,IF(AX751&lt;=0,0,CA751*MAX(1,IF(H751&gt;0,AX751/H751,1))),IF(R751&gt;0,AY751/R751,0))/MAX(0.1,N(Parameter!$M$21)))</f>
        <v>0.0384615384615385</v>
      </c>
      <c r="BA751" s="50" t="n">
        <f aca="false">AZ751*BY751</f>
        <v>5.96153846153846</v>
      </c>
      <c r="BB751" s="50" t="n">
        <f aca="false">AX751*G751</f>
        <v>0.2</v>
      </c>
      <c r="BC751" s="50" t="n">
        <f aca="false">ROUNDUP(MAX(J751/IF(CD751&gt;0,CD751,MAX(0.1,N(Cockpit!$O$6))),CG751)/BV751,0)*BV751</f>
        <v>20</v>
      </c>
      <c r="BD751" s="51" t="n">
        <f aca="false">IF(BA751&gt;0,J751/BA751,-1)</f>
        <v>1.50967741935484</v>
      </c>
      <c r="BE751" s="51" t="n">
        <f aca="false">IF(AND(OR(CC751="L1",CC751="L23",CC751="LIFT"),BA751&gt;0),SUMIFS($BA$7:$BA$1843,$CC$7:$CC$1843,CC751,$BD$7:$BD$1843,"&gt;"&amp;BD751)+SUMIFS($BA$7:$BA$1843,$CC$7:$CC$1843,CC751,$BD$7:$BD$1843,BD751,$BT$7:$BT$1843,"&lt;="&amp;BT751),"")</f>
        <v>8293.19001831502</v>
      </c>
      <c r="BF751" s="58" t="n">
        <f aca="false">IF(BE751="",0,MAX(0,MIN(1,(IF(CC751="L1",Parameter!$H$5,IF(CC751="L23",Parameter!$H$6+Parameter!$H$7,Parameter!$H$5+Parameter!$H$6+Parameter!$H$7))-(BE751-BA751))/BA751)))</f>
        <v>1</v>
      </c>
      <c r="BG751" s="48" t="str">
        <f aca="false">IF(AI751&lt;=0,"",IF(CC751="Aussen","Aussenlager",IF(CC751="-","Nicht im Lift",IF(AN751&gt;=1,"Lift",IF(AN751&lt;=0,"Aussenlager","teilweise")))))</f>
        <v>Lift</v>
      </c>
      <c r="BH751" s="48" t="str">
        <f aca="false">IF(AR751&lt;=0,"",IF(CC751="Aussen","Aussenlager",IF(CC751="-","Nicht im Lift",IF(AW751&gt;=1,"Lift",IF(AW751&lt;=0,"Aussenlager","teilweise")))))</f>
        <v>Lift</v>
      </c>
      <c r="BI751" s="48" t="str">
        <f aca="false">IF(BA751&lt;=0,"",IF(CC751="Aussen","Aussenlager",IF(CC751="-","Nicht im Lift",IF(BF751&gt;=1,"Lift",IF(BF751&lt;=0,"Aussenlager","teilweise")))))</f>
        <v>Lift</v>
      </c>
      <c r="BJ751" s="48" t="str">
        <f aca="false">IF(A751="","",IF(BS751=1,"Neu; ","")&amp;IF(AND(BS751=0,BN751&lt;0),"negativer Bestand (Export "&amp;BN751&amp;"); ","")&amp;IF(J751&lt;=0,"Kein Verbrauch; ","")&amp;IF(CL751&gt;0,"Lift "&amp;W751&amp;" lt. Liftbericht (Fach "&amp;X751&amp;" Stk); ",IF(BX751=1,"Gebinde geschätzt ("&amp;T751&amp;"); ",IF(BW751=1,"Lose – Tablare geschätzt; ","")))&amp;IF(H751&gt;AT751,"Überbestand "&amp;ROUND(H751-AT751,0)&amp;" Stk / CHF "&amp;ROUND((H751-AT751)*G751,0)&amp;"; ","")&amp;IF(AND(CE751=1,CF751&lt;CG751),"MAX &lt; MB+LG; ","")&amp;IF(AND(CK751&gt;0,CJ751*10&gt;CK751),"zu hoch für Tablar; ","")&amp;IF(AND(BS751=0,OR(CE751=1,AA751&lt;&gt;"",U751&lt;&gt;"",V751&lt;&gt;"",AB751&lt;&gt;"")),"manuell übersteuert; ","")&amp;IF(AND(BW751=0,R751=0),"Gebinde unbekannt / Stellmass fehlt; ","")&amp;IF(AND(BW751=0,N(V751)&lt;=0,N(Q751)&lt;=0),"Menge pro Gebinde fehlt (Ist = 1 Gebinde); ","")&amp;BR751)</f>
        <v>negativer Bestand (Export -9); Gebinde geschätzt (Klein); Menge pro Gebinde fehlt (Ist = 1 Gebinde); </v>
      </c>
      <c r="BK751" s="48"/>
      <c r="BL751" s="48"/>
      <c r="BM751" s="55"/>
      <c r="BN751" s="50" t="n">
        <v>-9</v>
      </c>
      <c r="BO751" s="50" t="n">
        <v>18</v>
      </c>
      <c r="BP751" s="49" t="n">
        <v>-0.09</v>
      </c>
      <c r="BQ751" s="50" t="n">
        <v>9</v>
      </c>
      <c r="BR751" s="48"/>
      <c r="BS751" s="53" t="n">
        <v>0</v>
      </c>
      <c r="BT751" s="53" t="n">
        <v>751</v>
      </c>
      <c r="BU751" s="48" t="str">
        <f aca="false">IF(U751&lt;&gt;"",UPPER(TRIM(U751)),IF(BX751=1,UPPER(VLOOKUP(T751,Parameter!$I$27:$K$29,2,0)),IF(P751="","LOSE",P751)))</f>
        <v>S51</v>
      </c>
      <c r="BV751" s="50" t="n">
        <f aca="false">IF(BU751="LOSE",1,IF(N(V751)&gt;0,V751,IF(BX751=1,MAX(1,N(VLOOKUP(T751,Parameter!$I$27:$K$29,3,0)),H751,N(N751)),IF(N(Q751)&gt;0,Q751,MAX(1,H751)))))</f>
        <v>20</v>
      </c>
      <c r="BW751" s="53" t="n">
        <f aca="false">IF(BU751="LOSE",1,0)</f>
        <v>0</v>
      </c>
      <c r="BX751" s="53" t="n">
        <f aca="false">IF(AND(U751="",OR(P751="",P751="LOSE"),T751&lt;&gt;"",N(S751)&lt;=0,ISNUMBER(MATCH(T751,Parameter!$I$27:$I$29,0))),1,0)</f>
        <v>1</v>
      </c>
      <c r="BY751" s="53" t="n">
        <f aca="false">IF(CL751&gt;0,INDEX(Parameter!$H$5:$H$7,W751)/INDEX(Parameter!$E$5:$E$7,W751),IF(AND(BW751=0,N(IFERROR(VLOOKUP(BU751,'Gebinde-Kategorie'!$A$5:$N$45,14,0),0))&gt;0),VLOOKUP(BU751,'Gebinde-Kategorie'!$A$5:$N$45,14,0)*10+Parameter!$M$23,Parameter!$M$24))</f>
        <v>155</v>
      </c>
      <c r="BZ751" s="48" t="str">
        <f aca="false">IF(AND(Parameter!$B$19="Ja",E751&lt;&gt;"",ISNUMBER(MATCH(E751,Parameter!$I$35:$I$52,0))),VLOOKUP(E751,Parameter!$I$35:$J$52,2,0),IFERROR(VLOOKUP(D751,Parameter!$A$35:$C$64,2,0),"Nein"))</f>
        <v>2+3</v>
      </c>
      <c r="CA751" s="52" t="n">
        <f aca="false">IF(BW751=0,0,IF(N(S751)&gt;0,S751,IFERROR(VLOOKUP(D751,Parameter!$A$35:$C$64,3,0)+0,0)))</f>
        <v>0</v>
      </c>
      <c r="CB751" s="48" t="n">
        <f aca="false">IF(AA751&lt;&gt;"",AA751,Z751)</f>
        <v>3</v>
      </c>
      <c r="CC751" s="48" t="str">
        <f aca="false">IF(OR(CB751=1,CB751=2,CB751=3),IF(Parameter!$E$27="Ja","LIFT",IF(CB751=1,"L1","L23")),IF(CB751="Aussen","Aussen","-"))</f>
        <v>LIFT</v>
      </c>
      <c r="CD751" s="59" t="n">
        <f aca="false">IF(N(AB751)&gt;0,AB751,0)</f>
        <v>0</v>
      </c>
      <c r="CE751" s="53" t="n">
        <f aca="false">IF(ISNUMBER(AE751),1,0)</f>
        <v>0</v>
      </c>
      <c r="CF751" s="50" t="n">
        <f aca="false">N(AE751)</f>
        <v>0</v>
      </c>
      <c r="CG751" s="50" t="n">
        <f aca="false">N(M751)+N(N751)</f>
        <v>10</v>
      </c>
      <c r="CH751" s="50" t="n">
        <f aca="false">ROUNDUP(H751/BV751,0)</f>
        <v>1</v>
      </c>
      <c r="CI751" s="50" t="n">
        <f aca="false">ROUNDUP(CF751/BV751,0)</f>
        <v>0</v>
      </c>
      <c r="CJ751" s="53" t="n">
        <f aca="false">IF(BW751=1,0,IFERROR(VLOOKUP(BU751,'Gebinde-Kategorie'!$A$5:$N$45,5,0)+0,0))</f>
        <v>11</v>
      </c>
      <c r="CK751" s="53" t="n">
        <f aca="false">IFERROR(IF(OR(CB751=1,CB751=2,CB751=3),N(INDEX(Parameter!$I$5:$I$7,CB751)),0),0)</f>
        <v>0</v>
      </c>
      <c r="CL751" s="52" t="n">
        <f aca="false">IF(AND(Parameter!$B$21="Ja",ISNUMBER(W751),N(X751)&gt;0),IFERROR(N(INDEX(Parameter!$L$5:$L$7,W751))*INDEX(Parameter!$E$5:$E$7,W751)*X751/SUMIFS($X$7:$X$1843,$W$7:$W$1843,W751),0),0)</f>
        <v>0</v>
      </c>
    </row>
    <row r="752" customFormat="false" ht="15" hidden="false" customHeight="false" outlineLevel="0" collapsed="false">
      <c r="A752" s="48" t="s">
        <v>1493</v>
      </c>
      <c r="B752" s="48" t="s">
        <v>1494</v>
      </c>
      <c r="C752" s="48" t="s">
        <v>460</v>
      </c>
      <c r="D752" s="48" t="s">
        <v>177</v>
      </c>
      <c r="E752" s="48"/>
      <c r="F752" s="48" t="s">
        <v>222</v>
      </c>
      <c r="G752" s="49" t="n">
        <v>0.01</v>
      </c>
      <c r="H752" s="50" t="n">
        <f aca="false">MAX(0,IF(AND(Parameter!$B$21="Ja",ISNUMBER(Y752)),Y752,IF(Parameter!$B$20="Jahresanfang 2025 + Export",BO752+BN752,BN752)))</f>
        <v>0</v>
      </c>
      <c r="I752" s="50" t="n">
        <f aca="false">H752*G752</f>
        <v>0</v>
      </c>
      <c r="J752" s="50" t="n">
        <f aca="false">BQ752*Parameter!$B$18</f>
        <v>8</v>
      </c>
      <c r="K752" s="51" t="n">
        <v>8</v>
      </c>
      <c r="L752" s="52" t="n">
        <v>1</v>
      </c>
      <c r="M752" s="50" t="n">
        <v>0</v>
      </c>
      <c r="N752" s="50" t="n">
        <v>10</v>
      </c>
      <c r="O752" s="53" t="n">
        <v>90</v>
      </c>
      <c r="P752" s="48" t="s">
        <v>172</v>
      </c>
      <c r="Q752" s="50"/>
      <c r="R752" s="53" t="n">
        <f aca="false">IF(BW752=1,0,IFERROR(VLOOKUP(BU752,'Gebinde-Kategorie'!$A$5:$N$45,13,0)+0,0))</f>
        <v>26</v>
      </c>
      <c r="S752" s="54"/>
      <c r="T752" s="55" t="s">
        <v>279</v>
      </c>
      <c r="U752" s="55"/>
      <c r="V752" s="55"/>
      <c r="W752" s="48"/>
      <c r="X752" s="50"/>
      <c r="Y752" s="50"/>
      <c r="Z752" s="48" t="n">
        <f aca="false">IF(A752="","",IF(AND(Parameter!$B$21="Ja",ISNUMBER(W752)),W752,IF(BZ752="2+3",IF(ISNUMBER(SEARCH("grosser Artikel",BR752)),2,IFERROR(VLOOKUP(BU752,Parameter!$F$35:$G$64,2,0),2)),IF(OR(BZ752="Nein",BZ752=""),"-",BZ752))))</f>
        <v>3</v>
      </c>
      <c r="AA752" s="55"/>
      <c r="AB752" s="56"/>
      <c r="AC752" s="50" t="n">
        <f aca="false">AT752</f>
        <v>20</v>
      </c>
      <c r="AD752" s="50" t="n">
        <f aca="false">MAX(AT752,H752)</f>
        <v>20</v>
      </c>
      <c r="AE752" s="57"/>
      <c r="AF752" s="50" t="n">
        <f aca="false">IF(LEFT(Cockpit!$C$5,1)="A",H752,IF(CE752=1,CF752,IF(LEFT(Cockpit!$C$5,1)="B",AK752,MAX(AK752,H752))))</f>
        <v>0</v>
      </c>
      <c r="AG752" s="50" t="n">
        <f aca="false">IF(BW752=1,0,ROUNDUP(AF752/BV752,0))</f>
        <v>0</v>
      </c>
      <c r="AH752" s="52" t="n">
        <f aca="false">IF(CL752&gt;0,CL752*MAX(1,AF752/X752),IF(BW752=1,IF(AF752&lt;=0,0,CA752*MAX(1,IF(H752&gt;0,AF752/H752,1))),IF(R752&gt;0,AG752/R752,0))/MAX(0.1,N(Parameter!$M$21)))</f>
        <v>0</v>
      </c>
      <c r="AI752" s="50" t="n">
        <f aca="false">AH752*BY752</f>
        <v>0</v>
      </c>
      <c r="AJ752" s="50" t="n">
        <f aca="false">AF752*G752</f>
        <v>0</v>
      </c>
      <c r="AK752" s="50" t="n">
        <f aca="false">ROUNDUP(MAX(J752/IF(CD752&gt;0,CD752,MAX(0.1,N(Cockpit!$C$6))),CG752)/BV752,0)*BV752</f>
        <v>20</v>
      </c>
      <c r="AL752" s="51" t="n">
        <f aca="false">IF(AI752&gt;0,J752/AI752,-1)</f>
        <v>-1</v>
      </c>
      <c r="AM752" s="51" t="str">
        <f aca="false">IF(AND(OR(CC752="L1",CC752="L23",CC752="LIFT"),AI752&gt;0),SUMIFS($AI$7:$AI$1843,$CC$7:$CC$1843,CC752,$AL$7:$AL$1843,"&gt;"&amp;AL752)+SUMIFS($AI$7:$AI$1843,$CC$7:$CC$1843,CC752,$AL$7:$AL$1843,AL752,$BT$7:$BT$1843,"&lt;="&amp;BT752),"")</f>
        <v/>
      </c>
      <c r="AN752" s="58" t="n">
        <f aca="false">IF(AM752="",0,MAX(0,MIN(1,(IF(CC752="L1",Parameter!$H$5,IF(CC752="L23",Parameter!$H$6+Parameter!$H$7,Parameter!$H$5+Parameter!$H$6+Parameter!$H$7))-(AM752-AI752))/AI752)))</f>
        <v>0</v>
      </c>
      <c r="AO752" s="50" t="n">
        <f aca="false">IF(LEFT(Cockpit!$I$5,1)="A",H752,IF(CE752=1,CF752,IF(LEFT(Cockpit!$I$5,1)="B",AT752,MAX(AT752,H752))))</f>
        <v>20</v>
      </c>
      <c r="AP752" s="50" t="n">
        <f aca="false">IF(BW752=1,0,ROUNDUP(AO752/BV752,0))</f>
        <v>1</v>
      </c>
      <c r="AQ752" s="52" t="n">
        <f aca="false">IF(CL752&gt;0,CL752*MAX(1,AO752/X752),IF(BW752=1,IF(AO752&lt;=0,0,CA752*MAX(1,IF(H752&gt;0,AO752/H752,1))),IF(R752&gt;0,AP752/R752,0))/MAX(0.1,N(Parameter!$M$21)))</f>
        <v>0.0384615384615385</v>
      </c>
      <c r="AR752" s="50" t="n">
        <f aca="false">AQ752*BY752</f>
        <v>5.96153846153846</v>
      </c>
      <c r="AS752" s="50" t="n">
        <f aca="false">AO752*G752</f>
        <v>0.2</v>
      </c>
      <c r="AT752" s="50" t="n">
        <f aca="false">ROUNDUP(MAX(J752/IF(CD752&gt;0,CD752,MAX(0.1,N(Cockpit!$I$6))),CG752)/BV752,0)*BV752</f>
        <v>20</v>
      </c>
      <c r="AU752" s="51" t="n">
        <f aca="false">IF(AR752&gt;0,J752/AR752,-1)</f>
        <v>1.34193548387097</v>
      </c>
      <c r="AV752" s="51" t="n">
        <f aca="false">IF(AND(OR(CC752="L1",CC752="L23",CC752="LIFT"),AR752&gt;0),SUMIFS($AR$7:$AR$1843,$CC$7:$CC$1843,CC752,$AU$7:$AU$1843,"&gt;"&amp;AU752)+SUMIFS($AR$7:$AR$1843,$CC$7:$CC$1843,CC752,$AU$7:$AU$1843,AU752,$BT$7:$BT$1843,"&lt;="&amp;BT752),"")</f>
        <v>9394.18360805861</v>
      </c>
      <c r="AW752" s="58" t="n">
        <f aca="false">IF(AV752="",0,MAX(0,MIN(1,(IF(CC752="L1",Parameter!$H$5,IF(CC752="L23",Parameter!$H$6+Parameter!$H$7,Parameter!$H$5+Parameter!$H$6+Parameter!$H$7))-(AV752-AR752))/AR752)))</f>
        <v>1</v>
      </c>
      <c r="AX752" s="50" t="n">
        <f aca="false">IF(LEFT(Cockpit!$O$5,1)="A",H752,IF(CE752=1,CF752,IF(LEFT(Cockpit!$O$5,1)="B",BC752,MAX(BC752,H752))))</f>
        <v>20</v>
      </c>
      <c r="AY752" s="50" t="n">
        <f aca="false">IF(BW752=1,0,ROUNDUP(AX752/BV752,0))</f>
        <v>1</v>
      </c>
      <c r="AZ752" s="52" t="n">
        <f aca="false">IF(CL752&gt;0,CL752*MAX(1,AX752/X752),IF(BW752=1,IF(AX752&lt;=0,0,CA752*MAX(1,IF(H752&gt;0,AX752/H752,1))),IF(R752&gt;0,AY752/R752,0))/MAX(0.1,N(Parameter!$M$21)))</f>
        <v>0.0384615384615385</v>
      </c>
      <c r="BA752" s="50" t="n">
        <f aca="false">AZ752*BY752</f>
        <v>5.96153846153846</v>
      </c>
      <c r="BB752" s="50" t="n">
        <f aca="false">AX752*G752</f>
        <v>0.2</v>
      </c>
      <c r="BC752" s="50" t="n">
        <f aca="false">ROUNDUP(MAX(J752/IF(CD752&gt;0,CD752,MAX(0.1,N(Cockpit!$O$6))),CG752)/BV752,0)*BV752</f>
        <v>20</v>
      </c>
      <c r="BD752" s="51" t="n">
        <f aca="false">IF(BA752&gt;0,J752/BA752,-1)</f>
        <v>1.34193548387097</v>
      </c>
      <c r="BE752" s="51" t="n">
        <f aca="false">IF(AND(OR(CC752="L1",CC752="L23",CC752="LIFT"),BA752&gt;0),SUMIFS($BA$7:$BA$1843,$CC$7:$CC$1843,CC752,$BD$7:$BD$1843,"&gt;"&amp;BD752)+SUMIFS($BA$7:$BA$1843,$CC$7:$CC$1843,CC752,$BD$7:$BD$1843,BD752,$BT$7:$BT$1843,"&lt;="&amp;BT752),"")</f>
        <v>8579.84065934066</v>
      </c>
      <c r="BF752" s="58" t="n">
        <f aca="false">IF(BE752="",0,MAX(0,MIN(1,(IF(CC752="L1",Parameter!$H$5,IF(CC752="L23",Parameter!$H$6+Parameter!$H$7,Parameter!$H$5+Parameter!$H$6+Parameter!$H$7))-(BE752-BA752))/BA752)))</f>
        <v>1</v>
      </c>
      <c r="BG752" s="48" t="str">
        <f aca="false">IF(AI752&lt;=0,"",IF(CC752="Aussen","Aussenlager",IF(CC752="-","Nicht im Lift",IF(AN752&gt;=1,"Lift",IF(AN752&lt;=0,"Aussenlager","teilweise")))))</f>
        <v/>
      </c>
      <c r="BH752" s="48" t="str">
        <f aca="false">IF(AR752&lt;=0,"",IF(CC752="Aussen","Aussenlager",IF(CC752="-","Nicht im Lift",IF(AW752&gt;=1,"Lift",IF(AW752&lt;=0,"Aussenlager","teilweise")))))</f>
        <v>Lift</v>
      </c>
      <c r="BI752" s="48" t="str">
        <f aca="false">IF(BA752&lt;=0,"",IF(CC752="Aussen","Aussenlager",IF(CC752="-","Nicht im Lift",IF(BF752&gt;=1,"Lift",IF(BF752&lt;=0,"Aussenlager","teilweise")))))</f>
        <v>Lift</v>
      </c>
      <c r="BJ752" s="48" t="str">
        <f aca="false">IF(A752="","",IF(BS752=1,"Neu; ","")&amp;IF(AND(BS752=0,BN752&lt;0),"negativer Bestand (Export "&amp;BN752&amp;"); ","")&amp;IF(J752&lt;=0,"Kein Verbrauch; ","")&amp;IF(CL752&gt;0,"Lift "&amp;W752&amp;" lt. Liftbericht (Fach "&amp;X752&amp;" Stk); ",IF(BX752=1,"Gebinde geschätzt ("&amp;T752&amp;"); ",IF(BW752=1,"Lose – Tablare geschätzt; ","")))&amp;IF(H752&gt;AT752,"Überbestand "&amp;ROUND(H752-AT752,0)&amp;" Stk / CHF "&amp;ROUND((H752-AT752)*G752,0)&amp;"; ","")&amp;IF(AND(CE752=1,CF752&lt;CG752),"MAX &lt; MB+LG; ","")&amp;IF(AND(CK752&gt;0,CJ752*10&gt;CK752),"zu hoch für Tablar; ","")&amp;IF(AND(BS752=0,OR(CE752=1,AA752&lt;&gt;"",U752&lt;&gt;"",V752&lt;&gt;"",AB752&lt;&gt;"")),"manuell übersteuert; ","")&amp;IF(AND(BW752=0,R752=0),"Gebinde unbekannt / Stellmass fehlt; ","")&amp;IF(AND(BW752=0,N(V752)&lt;=0,N(Q752)&lt;=0),"Menge pro Gebinde fehlt (Ist = 1 Gebinde); ","")&amp;BR752)</f>
        <v>negativer Bestand (Export -16); Gebinde geschätzt (Klein); Menge pro Gebinde fehlt (Ist = 1 Gebinde); </v>
      </c>
      <c r="BK752" s="48"/>
      <c r="BL752" s="48"/>
      <c r="BM752" s="55"/>
      <c r="BN752" s="50" t="n">
        <v>-16</v>
      </c>
      <c r="BO752" s="50" t="n">
        <v>16</v>
      </c>
      <c r="BP752" s="49" t="n">
        <v>-0.16</v>
      </c>
      <c r="BQ752" s="50" t="n">
        <v>8</v>
      </c>
      <c r="BR752" s="48"/>
      <c r="BS752" s="53" t="n">
        <v>0</v>
      </c>
      <c r="BT752" s="53" t="n">
        <v>752</v>
      </c>
      <c r="BU752" s="48" t="str">
        <f aca="false">IF(U752&lt;&gt;"",UPPER(TRIM(U752)),IF(BX752=1,UPPER(VLOOKUP(T752,Parameter!$I$27:$K$29,2,0)),IF(P752="","LOSE",P752)))</f>
        <v>S51</v>
      </c>
      <c r="BV752" s="50" t="n">
        <f aca="false">IF(BU752="LOSE",1,IF(N(V752)&gt;0,V752,IF(BX752=1,MAX(1,N(VLOOKUP(T752,Parameter!$I$27:$K$29,3,0)),H752,N(N752)),IF(N(Q752)&gt;0,Q752,MAX(1,H752)))))</f>
        <v>20</v>
      </c>
      <c r="BW752" s="53" t="n">
        <f aca="false">IF(BU752="LOSE",1,0)</f>
        <v>0</v>
      </c>
      <c r="BX752" s="53" t="n">
        <f aca="false">IF(AND(U752="",OR(P752="",P752="LOSE"),T752&lt;&gt;"",N(S752)&lt;=0,ISNUMBER(MATCH(T752,Parameter!$I$27:$I$29,0))),1,0)</f>
        <v>1</v>
      </c>
      <c r="BY752" s="53" t="n">
        <f aca="false">IF(CL752&gt;0,INDEX(Parameter!$H$5:$H$7,W752)/INDEX(Parameter!$E$5:$E$7,W752),IF(AND(BW752=0,N(IFERROR(VLOOKUP(BU752,'Gebinde-Kategorie'!$A$5:$N$45,14,0),0))&gt;0),VLOOKUP(BU752,'Gebinde-Kategorie'!$A$5:$N$45,14,0)*10+Parameter!$M$23,Parameter!$M$24))</f>
        <v>155</v>
      </c>
      <c r="BZ752" s="48" t="str">
        <f aca="false">IF(AND(Parameter!$B$19="Ja",E752&lt;&gt;"",ISNUMBER(MATCH(E752,Parameter!$I$35:$I$52,0))),VLOOKUP(E752,Parameter!$I$35:$J$52,2,0),IFERROR(VLOOKUP(D752,Parameter!$A$35:$C$64,2,0),"Nein"))</f>
        <v>2+3</v>
      </c>
      <c r="CA752" s="52" t="n">
        <f aca="false">IF(BW752=0,0,IF(N(S752)&gt;0,S752,IFERROR(VLOOKUP(D752,Parameter!$A$35:$C$64,3,0)+0,0)))</f>
        <v>0</v>
      </c>
      <c r="CB752" s="48" t="n">
        <f aca="false">IF(AA752&lt;&gt;"",AA752,Z752)</f>
        <v>3</v>
      </c>
      <c r="CC752" s="48" t="str">
        <f aca="false">IF(OR(CB752=1,CB752=2,CB752=3),IF(Parameter!$E$27="Ja","LIFT",IF(CB752=1,"L1","L23")),IF(CB752="Aussen","Aussen","-"))</f>
        <v>LIFT</v>
      </c>
      <c r="CD752" s="59" t="n">
        <f aca="false">IF(N(AB752)&gt;0,AB752,0)</f>
        <v>0</v>
      </c>
      <c r="CE752" s="53" t="n">
        <f aca="false">IF(ISNUMBER(AE752),1,0)</f>
        <v>0</v>
      </c>
      <c r="CF752" s="50" t="n">
        <f aca="false">N(AE752)</f>
        <v>0</v>
      </c>
      <c r="CG752" s="50" t="n">
        <f aca="false">N(M752)+N(N752)</f>
        <v>10</v>
      </c>
      <c r="CH752" s="50" t="n">
        <f aca="false">ROUNDUP(H752/BV752,0)</f>
        <v>0</v>
      </c>
      <c r="CI752" s="50" t="n">
        <f aca="false">ROUNDUP(CF752/BV752,0)</f>
        <v>0</v>
      </c>
      <c r="CJ752" s="53" t="n">
        <f aca="false">IF(BW752=1,0,IFERROR(VLOOKUP(BU752,'Gebinde-Kategorie'!$A$5:$N$45,5,0)+0,0))</f>
        <v>11</v>
      </c>
      <c r="CK752" s="53" t="n">
        <f aca="false">IFERROR(IF(OR(CB752=1,CB752=2,CB752=3),N(INDEX(Parameter!$I$5:$I$7,CB752)),0),0)</f>
        <v>0</v>
      </c>
      <c r="CL752" s="52" t="n">
        <f aca="false">IF(AND(Parameter!$B$21="Ja",ISNUMBER(W752),N(X752)&gt;0),IFERROR(N(INDEX(Parameter!$L$5:$L$7,W752))*INDEX(Parameter!$E$5:$E$7,W752)*X752/SUMIFS($X$7:$X$1843,$W$7:$W$1843,W752),0),0)</f>
        <v>0</v>
      </c>
    </row>
    <row r="753" customFormat="false" ht="15" hidden="false" customHeight="false" outlineLevel="0" collapsed="false">
      <c r="A753" s="48" t="s">
        <v>1495</v>
      </c>
      <c r="B753" s="48" t="s">
        <v>472</v>
      </c>
      <c r="C753" s="48" t="s">
        <v>168</v>
      </c>
      <c r="D753" s="48" t="s">
        <v>188</v>
      </c>
      <c r="E753" s="48" t="s">
        <v>189</v>
      </c>
      <c r="F753" s="48" t="s">
        <v>222</v>
      </c>
      <c r="G753" s="49" t="n">
        <v>0.2</v>
      </c>
      <c r="H753" s="50" t="n">
        <f aca="false">MAX(0,IF(AND(Parameter!$B$21="Ja",ISNUMBER(Y753)),Y753,IF(Parameter!$B$20="Jahresanfang 2025 + Export",BO753+BN753,BN753)))</f>
        <v>20</v>
      </c>
      <c r="I753" s="50" t="n">
        <f aca="false">H753*G753</f>
        <v>4</v>
      </c>
      <c r="J753" s="50" t="n">
        <f aca="false">BQ753*Parameter!$B$18</f>
        <v>0</v>
      </c>
      <c r="K753" s="51" t="n">
        <v>20.5</v>
      </c>
      <c r="L753" s="52" t="n">
        <v>0</v>
      </c>
      <c r="M753" s="50" t="n">
        <v>0</v>
      </c>
      <c r="N753" s="50" t="n">
        <v>1</v>
      </c>
      <c r="O753" s="53" t="n">
        <v>28</v>
      </c>
      <c r="P753" s="48" t="s">
        <v>405</v>
      </c>
      <c r="Q753" s="50" t="n">
        <v>39</v>
      </c>
      <c r="R753" s="53" t="n">
        <f aca="false">IF(BW753=1,0,IFERROR(VLOOKUP(BU753,'Gebinde-Kategorie'!$A$5:$N$45,13,0)+0,0))</f>
        <v>280</v>
      </c>
      <c r="S753" s="54"/>
      <c r="T753" s="55"/>
      <c r="U753" s="55"/>
      <c r="V753" s="55"/>
      <c r="W753" s="48"/>
      <c r="X753" s="50"/>
      <c r="Y753" s="50"/>
      <c r="Z753" s="48" t="n">
        <f aca="false">IF(A753="","",IF(AND(Parameter!$B$21="Ja",ISNUMBER(W753)),W753,IF(BZ753="2+3",IF(ISNUMBER(SEARCH("grosser Artikel",BR753)),2,IFERROR(VLOOKUP(BU753,Parameter!$F$35:$G$64,2,0),2)),IF(OR(BZ753="Nein",BZ753=""),"-",BZ753))))</f>
        <v>3</v>
      </c>
      <c r="AA753" s="55"/>
      <c r="AB753" s="56"/>
      <c r="AC753" s="50" t="n">
        <f aca="false">AT753</f>
        <v>39</v>
      </c>
      <c r="AD753" s="50" t="n">
        <f aca="false">MAX(AT753,H753)</f>
        <v>39</v>
      </c>
      <c r="AE753" s="57"/>
      <c r="AF753" s="50" t="n">
        <f aca="false">IF(LEFT(Cockpit!$C$5,1)="A",H753,IF(CE753=1,CF753,IF(LEFT(Cockpit!$C$5,1)="B",AK753,MAX(AK753,H753))))</f>
        <v>20</v>
      </c>
      <c r="AG753" s="50" t="n">
        <f aca="false">IF(BW753=1,0,ROUNDUP(AF753/BV753,0))</f>
        <v>1</v>
      </c>
      <c r="AH753" s="52" t="n">
        <f aca="false">IF(CL753&gt;0,CL753*MAX(1,AF753/X753),IF(BW753=1,IF(AF753&lt;=0,0,CA753*MAX(1,IF(H753&gt;0,AF753/H753,1))),IF(R753&gt;0,AG753/R753,0))/MAX(0.1,N(Parameter!$M$21)))</f>
        <v>0.00357142857142857</v>
      </c>
      <c r="AI753" s="50" t="n">
        <f aca="false">AH753*BY753</f>
        <v>0.553571428571429</v>
      </c>
      <c r="AJ753" s="50" t="n">
        <f aca="false">AF753*G753</f>
        <v>4</v>
      </c>
      <c r="AK753" s="50" t="n">
        <f aca="false">ROUNDUP(MAX(J753/IF(CD753&gt;0,CD753,MAX(0.1,N(Cockpit!$C$6))),CG753)/BV753,0)*BV753</f>
        <v>39</v>
      </c>
      <c r="AL753" s="51" t="n">
        <f aca="false">IF(AI753&gt;0,J753/AI753,-1)</f>
        <v>0</v>
      </c>
      <c r="AM753" s="51" t="n">
        <f aca="false">IF(AND(OR(CC753="L1",CC753="L23",CC753="LIFT"),AI753&gt;0),SUMIFS($AI$7:$AI$1843,$CC$7:$CC$1843,CC753,$AL$7:$AL$1843,"&gt;"&amp;AL753)+SUMIFS($AI$7:$AI$1843,$CC$7:$CC$1843,CC753,$AL$7:$AL$1843,AL753,$BT$7:$BT$1843,"&lt;="&amp;BT753),"")</f>
        <v>28707.8435747398</v>
      </c>
      <c r="AN753" s="58" t="n">
        <f aca="false">IF(AM753="",0,MAX(0,MIN(1,(IF(CC753="L1",Parameter!$H$5,IF(CC753="L23",Parameter!$H$6+Parameter!$H$7,Parameter!$H$5+Parameter!$H$6+Parameter!$H$7))-(AM753-AI753))/AI753)))</f>
        <v>1</v>
      </c>
      <c r="AO753" s="50" t="n">
        <f aca="false">IF(LEFT(Cockpit!$I$5,1)="A",H753,IF(CE753=1,CF753,IF(LEFT(Cockpit!$I$5,1)="B",AT753,MAX(AT753,H753))))</f>
        <v>39</v>
      </c>
      <c r="AP753" s="50" t="n">
        <f aca="false">IF(BW753=1,0,ROUNDUP(AO753/BV753,0))</f>
        <v>1</v>
      </c>
      <c r="AQ753" s="52" t="n">
        <f aca="false">IF(CL753&gt;0,CL753*MAX(1,AO753/X753),IF(BW753=1,IF(AO753&lt;=0,0,CA753*MAX(1,IF(H753&gt;0,AO753/H753,1))),IF(R753&gt;0,AP753/R753,0))/MAX(0.1,N(Parameter!$M$21)))</f>
        <v>0.00357142857142857</v>
      </c>
      <c r="AR753" s="50" t="n">
        <f aca="false">AQ753*BY753</f>
        <v>0.553571428571429</v>
      </c>
      <c r="AS753" s="50" t="n">
        <f aca="false">AO753*G753</f>
        <v>7.8</v>
      </c>
      <c r="AT753" s="50" t="n">
        <f aca="false">ROUNDUP(MAX(J753/IF(CD753&gt;0,CD753,MAX(0.1,N(Cockpit!$I$6))),CG753)/BV753,0)*BV753</f>
        <v>39</v>
      </c>
      <c r="AU753" s="51" t="n">
        <f aca="false">IF(AR753&gt;0,J753/AR753,-1)</f>
        <v>0</v>
      </c>
      <c r="AV753" s="51" t="n">
        <f aca="false">IF(AND(OR(CC753="L1",CC753="L23",CC753="LIFT"),AR753&gt;0),SUMIFS($AR$7:$AR$1843,$CC$7:$CC$1843,CC753,$AU$7:$AU$1843,"&gt;"&amp;AU753)+SUMIFS($AR$7:$AR$1843,$CC$7:$CC$1843,CC753,$AU$7:$AU$1843,AU753,$BT$7:$BT$1843,"&lt;="&amp;BT753),"")</f>
        <v>40278.8988172844</v>
      </c>
      <c r="AW753" s="58" t="n">
        <f aca="false">IF(AV753="",0,MAX(0,MIN(1,(IF(CC753="L1",Parameter!$H$5,IF(CC753="L23",Parameter!$H$6+Parameter!$H$7,Parameter!$H$5+Parameter!$H$6+Parameter!$H$7))-(AV753-AR753))/AR753)))</f>
        <v>0</v>
      </c>
      <c r="AX753" s="50" t="n">
        <f aca="false">IF(LEFT(Cockpit!$O$5,1)="A",H753,IF(CE753=1,CF753,IF(LEFT(Cockpit!$O$5,1)="B",BC753,MAX(BC753,H753))))</f>
        <v>39</v>
      </c>
      <c r="AY753" s="50" t="n">
        <f aca="false">IF(BW753=1,0,ROUNDUP(AX753/BV753,0))</f>
        <v>1</v>
      </c>
      <c r="AZ753" s="52" t="n">
        <f aca="false">IF(CL753&gt;0,CL753*MAX(1,AX753/X753),IF(BW753=1,IF(AX753&lt;=0,0,CA753*MAX(1,IF(H753&gt;0,AX753/H753,1))),IF(R753&gt;0,AY753/R753,0))/MAX(0.1,N(Parameter!$M$21)))</f>
        <v>0.00357142857142857</v>
      </c>
      <c r="BA753" s="50" t="n">
        <f aca="false">AZ753*BY753</f>
        <v>0.553571428571429</v>
      </c>
      <c r="BB753" s="50" t="n">
        <f aca="false">AX753*G753</f>
        <v>7.8</v>
      </c>
      <c r="BC753" s="50" t="n">
        <f aca="false">ROUNDUP(MAX(J753/IF(CD753&gt;0,CD753,MAX(0.1,N(Cockpit!$O$6))),CG753)/BV753,0)*BV753</f>
        <v>39</v>
      </c>
      <c r="BD753" s="51" t="n">
        <f aca="false">IF(BA753&gt;0,J753/BA753,-1)</f>
        <v>0</v>
      </c>
      <c r="BE753" s="51" t="n">
        <f aca="false">IF(AND(OR(CC753="L1",CC753="L23",CC753="LIFT"),BA753&gt;0),SUMIFS($BA$7:$BA$1843,$CC$7:$CC$1843,CC753,$BD$7:$BD$1843,"&gt;"&amp;BD753)+SUMIFS($BA$7:$BA$1843,$CC$7:$CC$1843,CC753,$BD$7:$BD$1843,BD753,$BT$7:$BT$1843,"&lt;="&amp;BT753),"")</f>
        <v>36953.9108591503</v>
      </c>
      <c r="BF753" s="58" t="n">
        <f aca="false">IF(BE753="",0,MAX(0,MIN(1,(IF(CC753="L1",Parameter!$H$5,IF(CC753="L23",Parameter!$H$6+Parameter!$H$7,Parameter!$H$5+Parameter!$H$6+Parameter!$H$7))-(BE753-BA753))/BA753)))</f>
        <v>0</v>
      </c>
      <c r="BG753" s="48" t="str">
        <f aca="false">IF(AI753&lt;=0,"",IF(CC753="Aussen","Aussenlager",IF(CC753="-","Nicht im Lift",IF(AN753&gt;=1,"Lift",IF(AN753&lt;=0,"Aussenlager","teilweise")))))</f>
        <v>Lift</v>
      </c>
      <c r="BH753" s="48" t="str">
        <f aca="false">IF(AR753&lt;=0,"",IF(CC753="Aussen","Aussenlager",IF(CC753="-","Nicht im Lift",IF(AW753&gt;=1,"Lift",IF(AW753&lt;=0,"Aussenlager","teilweise")))))</f>
        <v>Aussenlager</v>
      </c>
      <c r="BI753" s="48" t="str">
        <f aca="false">IF(BA753&lt;=0,"",IF(CC753="Aussen","Aussenlager",IF(CC753="-","Nicht im Lift",IF(BF753&gt;=1,"Lift",IF(BF753&lt;=0,"Aussenlager","teilweise")))))</f>
        <v>Aussenlager</v>
      </c>
      <c r="BJ753" s="48" t="str">
        <f aca="false">IF(A753="","",IF(BS753=1,"Neu; ","")&amp;IF(AND(BS753=0,BN753&lt;0),"negativer Bestand (Export "&amp;BN753&amp;"); ","")&amp;IF(J753&lt;=0,"Kein Verbrauch; ","")&amp;IF(CL753&gt;0,"Lift "&amp;W753&amp;" lt. Liftbericht (Fach "&amp;X753&amp;" Stk); ",IF(BX753=1,"Gebinde geschätzt ("&amp;T753&amp;"); ",IF(BW753=1,"Lose – Tablare geschätzt; ","")))&amp;IF(H753&gt;AT753,"Überbestand "&amp;ROUND(H753-AT753,0)&amp;" Stk / CHF "&amp;ROUND((H753-AT753)*G753,0)&amp;"; ","")&amp;IF(AND(CE753=1,CF753&lt;CG753),"MAX &lt; MB+LG; ","")&amp;IF(AND(CK753&gt;0,CJ753*10&gt;CK753),"zu hoch für Tablar; ","")&amp;IF(AND(BS753=0,OR(CE753=1,AA753&lt;&gt;"",U753&lt;&gt;"",V753&lt;&gt;"",AB753&lt;&gt;"")),"manuell übersteuert; ","")&amp;IF(AND(BW753=0,R753=0),"Gebinde unbekannt / Stellmass fehlt; ","")&amp;IF(AND(BW753=0,N(V753)&lt;=0,N(Q753)&lt;=0),"Menge pro Gebinde fehlt (Ist = 1 Gebinde); ","")&amp;BR753)</f>
        <v>negativer Bestand (Export -1); Kein Verbrauch; Überbestand</v>
      </c>
      <c r="BK753" s="48"/>
      <c r="BL753" s="48"/>
      <c r="BM753" s="55"/>
      <c r="BN753" s="50" t="n">
        <v>-1</v>
      </c>
      <c r="BO753" s="50" t="n">
        <v>21</v>
      </c>
      <c r="BP753" s="49" t="n">
        <v>-0.2</v>
      </c>
      <c r="BQ753" s="50" t="n">
        <v>0</v>
      </c>
      <c r="BR753" s="48" t="s">
        <v>396</v>
      </c>
      <c r="BS753" s="53" t="n">
        <v>0</v>
      </c>
      <c r="BT753" s="53" t="n">
        <v>753</v>
      </c>
      <c r="BU753" s="48" t="str">
        <f aca="false">IF(U753&lt;&gt;"",UPPER(TRIM(U753)),IF(BX753=1,UPPER(VLOOKUP(T753,Parameter!$I$27:$K$29,2,0)),IF(P753="","LOSE",P753)))</f>
        <v>S21</v>
      </c>
      <c r="BV753" s="50" t="n">
        <f aca="false">IF(BU753="LOSE",1,IF(N(V753)&gt;0,V753,IF(BX753=1,MAX(1,N(VLOOKUP(T753,Parameter!$I$27:$K$29,3,0)),H753,N(N753)),IF(N(Q753)&gt;0,Q753,MAX(1,H753)))))</f>
        <v>39</v>
      </c>
      <c r="BW753" s="53" t="n">
        <f aca="false">IF(BU753="LOSE",1,0)</f>
        <v>0</v>
      </c>
      <c r="BX753" s="53" t="n">
        <f aca="false">IF(AND(U753="",OR(P753="",P753="LOSE"),T753&lt;&gt;"",N(S753)&lt;=0,ISNUMBER(MATCH(T753,Parameter!$I$27:$I$29,0))),1,0)</f>
        <v>0</v>
      </c>
      <c r="BY753" s="53" t="n">
        <f aca="false">IF(CL753&gt;0,INDEX(Parameter!$H$5:$H$7,W753)/INDEX(Parameter!$E$5:$E$7,W753),IF(AND(BW753=0,N(IFERROR(VLOOKUP(BU753,'Gebinde-Kategorie'!$A$5:$N$45,14,0),0))&gt;0),VLOOKUP(BU753,'Gebinde-Kategorie'!$A$5:$N$45,14,0)*10+Parameter!$M$23,Parameter!$M$24))</f>
        <v>155</v>
      </c>
      <c r="BZ753" s="48" t="str">
        <f aca="false">IF(AND(Parameter!$B$19="Ja",E753&lt;&gt;"",ISNUMBER(MATCH(E753,Parameter!$I$35:$I$52,0))),VLOOKUP(E753,Parameter!$I$35:$J$52,2,0),IFERROR(VLOOKUP(D753,Parameter!$A$35:$C$64,2,0),"Nein"))</f>
        <v>2+3</v>
      </c>
      <c r="CA753" s="52" t="n">
        <f aca="false">IF(BW753=0,0,IF(N(S753)&gt;0,S753,IFERROR(VLOOKUP(D753,Parameter!$A$35:$C$64,3,0)+0,0)))</f>
        <v>0</v>
      </c>
      <c r="CB753" s="48" t="n">
        <f aca="false">IF(AA753&lt;&gt;"",AA753,Z753)</f>
        <v>3</v>
      </c>
      <c r="CC753" s="48" t="str">
        <f aca="false">IF(OR(CB753=1,CB753=2,CB753=3),IF(Parameter!$E$27="Ja","LIFT",IF(CB753=1,"L1","L23")),IF(CB753="Aussen","Aussen","-"))</f>
        <v>LIFT</v>
      </c>
      <c r="CD753" s="59" t="n">
        <f aca="false">IF(N(AB753)&gt;0,AB753,0)</f>
        <v>0</v>
      </c>
      <c r="CE753" s="53" t="n">
        <f aca="false">IF(ISNUMBER(AE753),1,0)</f>
        <v>0</v>
      </c>
      <c r="CF753" s="50" t="n">
        <f aca="false">N(AE753)</f>
        <v>0</v>
      </c>
      <c r="CG753" s="50" t="n">
        <f aca="false">N(M753)+N(N753)</f>
        <v>1</v>
      </c>
      <c r="CH753" s="50" t="n">
        <f aca="false">ROUNDUP(H753/BV753,0)</f>
        <v>1</v>
      </c>
      <c r="CI753" s="50" t="n">
        <f aca="false">ROUNDUP(CF753/BV753,0)</f>
        <v>0</v>
      </c>
      <c r="CJ753" s="53" t="n">
        <f aca="false">IF(BW753=1,0,IFERROR(VLOOKUP(BU753,'Gebinde-Kategorie'!$A$5:$N$45,5,0)+0,0))</f>
        <v>8</v>
      </c>
      <c r="CK753" s="53" t="n">
        <f aca="false">IFERROR(IF(OR(CB753=1,CB753=2,CB753=3),N(INDEX(Parameter!$I$5:$I$7,CB753)),0),0)</f>
        <v>0</v>
      </c>
      <c r="CL753" s="52" t="n">
        <f aca="false">IF(AND(Parameter!$B$21="Ja",ISNUMBER(W753),N(X753)&gt;0),IFERROR(N(INDEX(Parameter!$L$5:$L$7,W753))*INDEX(Parameter!$E$5:$E$7,W753)*X753/SUMIFS($X$7:$X$1843,$W$7:$W$1843,W753),0),0)</f>
        <v>0</v>
      </c>
    </row>
    <row r="754" customFormat="false" ht="15" hidden="false" customHeight="false" outlineLevel="0" collapsed="false">
      <c r="A754" s="48" t="s">
        <v>1496</v>
      </c>
      <c r="B754" s="48" t="s">
        <v>1270</v>
      </c>
      <c r="C754" s="48" t="s">
        <v>168</v>
      </c>
      <c r="D754" s="48" t="s">
        <v>188</v>
      </c>
      <c r="E754" s="48"/>
      <c r="F754" s="48" t="s">
        <v>222</v>
      </c>
      <c r="G754" s="49" t="n">
        <v>0.04</v>
      </c>
      <c r="H754" s="50" t="n">
        <f aca="false">MAX(0,IF(AND(Parameter!$B$21="Ja",ISNUMBER(Y754)),Y754,IF(Parameter!$B$20="Jahresanfang 2025 + Export",BO754+BN754,BN754)))</f>
        <v>349</v>
      </c>
      <c r="I754" s="50" t="n">
        <f aca="false">H754*G754</f>
        <v>13.96</v>
      </c>
      <c r="J754" s="50" t="n">
        <f aca="false">BQ754*Parameter!$B$18</f>
        <v>0</v>
      </c>
      <c r="K754" s="51" t="n">
        <v>352</v>
      </c>
      <c r="L754" s="52" t="n">
        <v>0</v>
      </c>
      <c r="M754" s="50" t="n">
        <v>0</v>
      </c>
      <c r="N754" s="50" t="n">
        <v>1</v>
      </c>
      <c r="O754" s="53" t="n">
        <v>21</v>
      </c>
      <c r="P754" s="48" t="s">
        <v>172</v>
      </c>
      <c r="Q754" s="50"/>
      <c r="R754" s="53" t="n">
        <f aca="false">IF(BW754=1,0,IFERROR(VLOOKUP(BU754,'Gebinde-Kategorie'!$A$5:$N$45,13,0)+0,0))</f>
        <v>26</v>
      </c>
      <c r="S754" s="54"/>
      <c r="T754" s="55" t="s">
        <v>279</v>
      </c>
      <c r="U754" s="55"/>
      <c r="V754" s="55"/>
      <c r="W754" s="48"/>
      <c r="X754" s="50"/>
      <c r="Y754" s="50"/>
      <c r="Z754" s="48" t="n">
        <f aca="false">IF(A754="","",IF(AND(Parameter!$B$21="Ja",ISNUMBER(W754)),W754,IF(BZ754="2+3",IF(ISNUMBER(SEARCH("grosser Artikel",BR754)),2,IFERROR(VLOOKUP(BU754,Parameter!$F$35:$G$64,2,0),2)),IF(OR(BZ754="Nein",BZ754=""),"-",BZ754))))</f>
        <v>3</v>
      </c>
      <c r="AA754" s="55"/>
      <c r="AB754" s="56"/>
      <c r="AC754" s="50" t="n">
        <f aca="false">AT754</f>
        <v>349</v>
      </c>
      <c r="AD754" s="50" t="n">
        <f aca="false">MAX(AT754,H754)</f>
        <v>349</v>
      </c>
      <c r="AE754" s="57"/>
      <c r="AF754" s="50" t="n">
        <f aca="false">IF(LEFT(Cockpit!$C$5,1)="A",H754,IF(CE754=1,CF754,IF(LEFT(Cockpit!$C$5,1)="B",AK754,MAX(AK754,H754))))</f>
        <v>349</v>
      </c>
      <c r="AG754" s="50" t="n">
        <f aca="false">IF(BW754=1,0,ROUNDUP(AF754/BV754,0))</f>
        <v>1</v>
      </c>
      <c r="AH754" s="52" t="n">
        <f aca="false">IF(CL754&gt;0,CL754*MAX(1,AF754/X754),IF(BW754=1,IF(AF754&lt;=0,0,CA754*MAX(1,IF(H754&gt;0,AF754/H754,1))),IF(R754&gt;0,AG754/R754,0))/MAX(0.1,N(Parameter!$M$21)))</f>
        <v>0.0384615384615385</v>
      </c>
      <c r="AI754" s="50" t="n">
        <f aca="false">AH754*BY754</f>
        <v>5.96153846153846</v>
      </c>
      <c r="AJ754" s="50" t="n">
        <f aca="false">AF754*G754</f>
        <v>13.96</v>
      </c>
      <c r="AK754" s="50" t="n">
        <f aca="false">ROUNDUP(MAX(J754/IF(CD754&gt;0,CD754,MAX(0.1,N(Cockpit!$C$6))),CG754)/BV754,0)*BV754</f>
        <v>349</v>
      </c>
      <c r="AL754" s="51" t="n">
        <f aca="false">IF(AI754&gt;0,J754/AI754,-1)</f>
        <v>0</v>
      </c>
      <c r="AM754" s="51" t="n">
        <f aca="false">IF(AND(OR(CC754="L1",CC754="L23",CC754="LIFT"),AI754&gt;0),SUMIFS($AI$7:$AI$1843,$CC$7:$CC$1843,CC754,$AL$7:$AL$1843,"&gt;"&amp;AL754)+SUMIFS($AI$7:$AI$1843,$CC$7:$CC$1843,CC754,$AL$7:$AL$1843,AL754,$BT$7:$BT$1843,"&lt;="&amp;BT754),"")</f>
        <v>28713.8051132013</v>
      </c>
      <c r="AN754" s="58" t="n">
        <f aca="false">IF(AM754="",0,MAX(0,MIN(1,(IF(CC754="L1",Parameter!$H$5,IF(CC754="L23",Parameter!$H$6+Parameter!$H$7,Parameter!$H$5+Parameter!$H$6+Parameter!$H$7))-(AM754-AI754))/AI754)))</f>
        <v>1</v>
      </c>
      <c r="AO754" s="50" t="n">
        <f aca="false">IF(LEFT(Cockpit!$I$5,1)="A",H754,IF(CE754=1,CF754,IF(LEFT(Cockpit!$I$5,1)="B",AT754,MAX(AT754,H754))))</f>
        <v>349</v>
      </c>
      <c r="AP754" s="50" t="n">
        <f aca="false">IF(BW754=1,0,ROUNDUP(AO754/BV754,0))</f>
        <v>1</v>
      </c>
      <c r="AQ754" s="52" t="n">
        <f aca="false">IF(CL754&gt;0,CL754*MAX(1,AO754/X754),IF(BW754=1,IF(AO754&lt;=0,0,CA754*MAX(1,IF(H754&gt;0,AO754/H754,1))),IF(R754&gt;0,AP754/R754,0))/MAX(0.1,N(Parameter!$M$21)))</f>
        <v>0.0384615384615385</v>
      </c>
      <c r="AR754" s="50" t="n">
        <f aca="false">AQ754*BY754</f>
        <v>5.96153846153846</v>
      </c>
      <c r="AS754" s="50" t="n">
        <f aca="false">AO754*G754</f>
        <v>13.96</v>
      </c>
      <c r="AT754" s="50" t="n">
        <f aca="false">ROUNDUP(MAX(J754/IF(CD754&gt;0,CD754,MAX(0.1,N(Cockpit!$I$6))),CG754)/BV754,0)*BV754</f>
        <v>349</v>
      </c>
      <c r="AU754" s="51" t="n">
        <f aca="false">IF(AR754&gt;0,J754/AR754,-1)</f>
        <v>0</v>
      </c>
      <c r="AV754" s="51" t="n">
        <f aca="false">IF(AND(OR(CC754="L1",CC754="L23",CC754="LIFT"),AR754&gt;0),SUMIFS($AR$7:$AR$1843,$CC$7:$CC$1843,CC754,$AU$7:$AU$1843,"&gt;"&amp;AU754)+SUMIFS($AR$7:$AR$1843,$CC$7:$CC$1843,CC754,$AU$7:$AU$1843,AU754,$BT$7:$BT$1843,"&lt;="&amp;BT754),"")</f>
        <v>40284.860355746</v>
      </c>
      <c r="AW754" s="58" t="n">
        <f aca="false">IF(AV754="",0,MAX(0,MIN(1,(IF(CC754="L1",Parameter!$H$5,IF(CC754="L23",Parameter!$H$6+Parameter!$H$7,Parameter!$H$5+Parameter!$H$6+Parameter!$H$7))-(AV754-AR754))/AR754)))</f>
        <v>0</v>
      </c>
      <c r="AX754" s="50" t="n">
        <f aca="false">IF(LEFT(Cockpit!$O$5,1)="A",H754,IF(CE754=1,CF754,IF(LEFT(Cockpit!$O$5,1)="B",BC754,MAX(BC754,H754))))</f>
        <v>349</v>
      </c>
      <c r="AY754" s="50" t="n">
        <f aca="false">IF(BW754=1,0,ROUNDUP(AX754/BV754,0))</f>
        <v>1</v>
      </c>
      <c r="AZ754" s="52" t="n">
        <f aca="false">IF(CL754&gt;0,CL754*MAX(1,AX754/X754),IF(BW754=1,IF(AX754&lt;=0,0,CA754*MAX(1,IF(H754&gt;0,AX754/H754,1))),IF(R754&gt;0,AY754/R754,0))/MAX(0.1,N(Parameter!$M$21)))</f>
        <v>0.0384615384615385</v>
      </c>
      <c r="BA754" s="50" t="n">
        <f aca="false">AZ754*BY754</f>
        <v>5.96153846153846</v>
      </c>
      <c r="BB754" s="50" t="n">
        <f aca="false">AX754*G754</f>
        <v>13.96</v>
      </c>
      <c r="BC754" s="50" t="n">
        <f aca="false">ROUNDUP(MAX(J754/IF(CD754&gt;0,CD754,MAX(0.1,N(Cockpit!$O$6))),CG754)/BV754,0)*BV754</f>
        <v>349</v>
      </c>
      <c r="BD754" s="51" t="n">
        <f aca="false">IF(BA754&gt;0,J754/BA754,-1)</f>
        <v>0</v>
      </c>
      <c r="BE754" s="51" t="n">
        <f aca="false">IF(AND(OR(CC754="L1",CC754="L23",CC754="LIFT"),BA754&gt;0),SUMIFS($BA$7:$BA$1843,$CC$7:$CC$1843,CC754,$BD$7:$BD$1843,"&gt;"&amp;BD754)+SUMIFS($BA$7:$BA$1843,$CC$7:$CC$1843,CC754,$BD$7:$BD$1843,BD754,$BT$7:$BT$1843,"&lt;="&amp;BT754),"")</f>
        <v>36959.8723976118</v>
      </c>
      <c r="BF754" s="58" t="n">
        <f aca="false">IF(BE754="",0,MAX(0,MIN(1,(IF(CC754="L1",Parameter!$H$5,IF(CC754="L23",Parameter!$H$6+Parameter!$H$7,Parameter!$H$5+Parameter!$H$6+Parameter!$H$7))-(BE754-BA754))/BA754)))</f>
        <v>0</v>
      </c>
      <c r="BG754" s="48" t="str">
        <f aca="false">IF(AI754&lt;=0,"",IF(CC754="Aussen","Aussenlager",IF(CC754="-","Nicht im Lift",IF(AN754&gt;=1,"Lift",IF(AN754&lt;=0,"Aussenlager","teilweise")))))</f>
        <v>Lift</v>
      </c>
      <c r="BH754" s="48" t="str">
        <f aca="false">IF(AR754&lt;=0,"",IF(CC754="Aussen","Aussenlager",IF(CC754="-","Nicht im Lift",IF(AW754&gt;=1,"Lift",IF(AW754&lt;=0,"Aussenlager","teilweise")))))</f>
        <v>Aussenlager</v>
      </c>
      <c r="BI754" s="48" t="str">
        <f aca="false">IF(BA754&lt;=0,"",IF(CC754="Aussen","Aussenlager",IF(CC754="-","Nicht im Lift",IF(BF754&gt;=1,"Lift",IF(BF754&lt;=0,"Aussenlager","teilweise")))))</f>
        <v>Aussenlager</v>
      </c>
      <c r="BJ754" s="48" t="str">
        <f aca="false">IF(A754="","",IF(BS754=1,"Neu; ","")&amp;IF(AND(BS754=0,BN754&lt;0),"negativer Bestand (Export "&amp;BN754&amp;"); ","")&amp;IF(J754&lt;=0,"Kein Verbrauch; ","")&amp;IF(CL754&gt;0,"Lift "&amp;W754&amp;" lt. Liftbericht (Fach "&amp;X754&amp;" Stk); ",IF(BX754=1,"Gebinde geschätzt ("&amp;T754&amp;"); ",IF(BW754=1,"Lose – Tablare geschätzt; ","")))&amp;IF(H754&gt;AT754,"Überbestand "&amp;ROUND(H754-AT754,0)&amp;" Stk / CHF "&amp;ROUND((H754-AT754)*G754,0)&amp;"; ","")&amp;IF(AND(CE754=1,CF754&lt;CG754),"MAX &lt; MB+LG; ","")&amp;IF(AND(CK754&gt;0,CJ754*10&gt;CK754),"zu hoch für Tablar; ","")&amp;IF(AND(BS754=0,OR(CE754=1,AA754&lt;&gt;"",U754&lt;&gt;"",V754&lt;&gt;"",AB754&lt;&gt;"")),"manuell übersteuert; ","")&amp;IF(AND(BW754=0,R754=0),"Gebinde unbekannt / Stellmass fehlt; ","")&amp;IF(AND(BW754=0,N(V754)&lt;=0,N(Q754)&lt;=0),"Menge pro Gebinde fehlt (Ist = 1 Gebinde); ","")&amp;BR754)</f>
        <v>negativer Bestand (Export -6); Kein Verbrauch; Gebinde geschätzt (Klein); Menge pro Gebinde fehlt (Ist = 1 Gebinde); </v>
      </c>
      <c r="BK754" s="48"/>
      <c r="BL754" s="48"/>
      <c r="BM754" s="55"/>
      <c r="BN754" s="50" t="n">
        <v>-6</v>
      </c>
      <c r="BO754" s="50" t="n">
        <v>355</v>
      </c>
      <c r="BP754" s="49" t="n">
        <v>-0.24</v>
      </c>
      <c r="BQ754" s="50" t="n">
        <v>0</v>
      </c>
      <c r="BR754" s="48"/>
      <c r="BS754" s="53" t="n">
        <v>0</v>
      </c>
      <c r="BT754" s="53" t="n">
        <v>754</v>
      </c>
      <c r="BU754" s="48" t="str">
        <f aca="false">IF(U754&lt;&gt;"",UPPER(TRIM(U754)),IF(BX754=1,UPPER(VLOOKUP(T754,Parameter!$I$27:$K$29,2,0)),IF(P754="","LOSE",P754)))</f>
        <v>S51</v>
      </c>
      <c r="BV754" s="50" t="n">
        <f aca="false">IF(BU754="LOSE",1,IF(N(V754)&gt;0,V754,IF(BX754=1,MAX(1,N(VLOOKUP(T754,Parameter!$I$27:$K$29,3,0)),H754,N(N754)),IF(N(Q754)&gt;0,Q754,MAX(1,H754)))))</f>
        <v>349</v>
      </c>
      <c r="BW754" s="53" t="n">
        <f aca="false">IF(BU754="LOSE",1,0)</f>
        <v>0</v>
      </c>
      <c r="BX754" s="53" t="n">
        <f aca="false">IF(AND(U754="",OR(P754="",P754="LOSE"),T754&lt;&gt;"",N(S754)&lt;=0,ISNUMBER(MATCH(T754,Parameter!$I$27:$I$29,0))),1,0)</f>
        <v>1</v>
      </c>
      <c r="BY754" s="53" t="n">
        <f aca="false">IF(CL754&gt;0,INDEX(Parameter!$H$5:$H$7,W754)/INDEX(Parameter!$E$5:$E$7,W754),IF(AND(BW754=0,N(IFERROR(VLOOKUP(BU754,'Gebinde-Kategorie'!$A$5:$N$45,14,0),0))&gt;0),VLOOKUP(BU754,'Gebinde-Kategorie'!$A$5:$N$45,14,0)*10+Parameter!$M$23,Parameter!$M$24))</f>
        <v>155</v>
      </c>
      <c r="BZ754" s="48" t="str">
        <f aca="false">IF(AND(Parameter!$B$19="Ja",E754&lt;&gt;"",ISNUMBER(MATCH(E754,Parameter!$I$35:$I$52,0))),VLOOKUP(E754,Parameter!$I$35:$J$52,2,0),IFERROR(VLOOKUP(D754,Parameter!$A$35:$C$64,2,0),"Nein"))</f>
        <v>2+3</v>
      </c>
      <c r="CA754" s="52" t="n">
        <f aca="false">IF(BW754=0,0,IF(N(S754)&gt;0,S754,IFERROR(VLOOKUP(D754,Parameter!$A$35:$C$64,3,0)+0,0)))</f>
        <v>0</v>
      </c>
      <c r="CB754" s="48" t="n">
        <f aca="false">IF(AA754&lt;&gt;"",AA754,Z754)</f>
        <v>3</v>
      </c>
      <c r="CC754" s="48" t="str">
        <f aca="false">IF(OR(CB754=1,CB754=2,CB754=3),IF(Parameter!$E$27="Ja","LIFT",IF(CB754=1,"L1","L23")),IF(CB754="Aussen","Aussen","-"))</f>
        <v>LIFT</v>
      </c>
      <c r="CD754" s="59" t="n">
        <f aca="false">IF(N(AB754)&gt;0,AB754,0)</f>
        <v>0</v>
      </c>
      <c r="CE754" s="53" t="n">
        <f aca="false">IF(ISNUMBER(AE754),1,0)</f>
        <v>0</v>
      </c>
      <c r="CF754" s="50" t="n">
        <f aca="false">N(AE754)</f>
        <v>0</v>
      </c>
      <c r="CG754" s="50" t="n">
        <f aca="false">N(M754)+N(N754)</f>
        <v>1</v>
      </c>
      <c r="CH754" s="50" t="n">
        <f aca="false">ROUNDUP(H754/BV754,0)</f>
        <v>1</v>
      </c>
      <c r="CI754" s="50" t="n">
        <f aca="false">ROUNDUP(CF754/BV754,0)</f>
        <v>0</v>
      </c>
      <c r="CJ754" s="53" t="n">
        <f aca="false">IF(BW754=1,0,IFERROR(VLOOKUP(BU754,'Gebinde-Kategorie'!$A$5:$N$45,5,0)+0,0))</f>
        <v>11</v>
      </c>
      <c r="CK754" s="53" t="n">
        <f aca="false">IFERROR(IF(OR(CB754=1,CB754=2,CB754=3),N(INDEX(Parameter!$I$5:$I$7,CB754)),0),0)</f>
        <v>0</v>
      </c>
      <c r="CL754" s="52" t="n">
        <f aca="false">IF(AND(Parameter!$B$21="Ja",ISNUMBER(W754),N(X754)&gt;0),IFERROR(N(INDEX(Parameter!$L$5:$L$7,W754))*INDEX(Parameter!$E$5:$E$7,W754)*X754/SUMIFS($X$7:$X$1843,$W$7:$W$1843,W754),0),0)</f>
        <v>0</v>
      </c>
    </row>
    <row r="755" customFormat="false" ht="15" hidden="false" customHeight="false" outlineLevel="0" collapsed="false">
      <c r="A755" s="48" t="s">
        <v>1497</v>
      </c>
      <c r="B755" s="48" t="s">
        <v>407</v>
      </c>
      <c r="C755" s="48" t="s">
        <v>460</v>
      </c>
      <c r="D755" s="48" t="s">
        <v>188</v>
      </c>
      <c r="E755" s="48"/>
      <c r="F755" s="48" t="s">
        <v>222</v>
      </c>
      <c r="G755" s="49" t="n">
        <v>0.06</v>
      </c>
      <c r="H755" s="50" t="n">
        <f aca="false">MAX(0,IF(AND(Parameter!$B$21="Ja",ISNUMBER(Y755)),Y755,IF(Parameter!$B$20="Jahresanfang 2025 + Export",BO755+BN755,BN755)))</f>
        <v>5</v>
      </c>
      <c r="I755" s="50" t="n">
        <f aca="false">H755*G755</f>
        <v>0.3</v>
      </c>
      <c r="J755" s="50" t="n">
        <f aca="false">BQ755*Parameter!$B$18</f>
        <v>0</v>
      </c>
      <c r="K755" s="51" t="n">
        <v>7</v>
      </c>
      <c r="L755" s="52" t="n">
        <v>0</v>
      </c>
      <c r="M755" s="50" t="n">
        <v>0</v>
      </c>
      <c r="N755" s="50" t="n">
        <v>1</v>
      </c>
      <c r="O755" s="53" t="n">
        <v>14</v>
      </c>
      <c r="P755" s="48" t="s">
        <v>172</v>
      </c>
      <c r="Q755" s="50"/>
      <c r="R755" s="53" t="n">
        <f aca="false">IF(BW755=1,0,IFERROR(VLOOKUP(BU755,'Gebinde-Kategorie'!$A$5:$N$45,13,0)+0,0))</f>
        <v>26</v>
      </c>
      <c r="S755" s="54"/>
      <c r="T755" s="55" t="s">
        <v>279</v>
      </c>
      <c r="U755" s="55"/>
      <c r="V755" s="55"/>
      <c r="W755" s="48"/>
      <c r="X755" s="50"/>
      <c r="Y755" s="50"/>
      <c r="Z755" s="48" t="n">
        <f aca="false">IF(A755="","",IF(AND(Parameter!$B$21="Ja",ISNUMBER(W755)),W755,IF(BZ755="2+3",IF(ISNUMBER(SEARCH("grosser Artikel",BR755)),2,IFERROR(VLOOKUP(BU755,Parameter!$F$35:$G$64,2,0),2)),IF(OR(BZ755="Nein",BZ755=""),"-",BZ755))))</f>
        <v>3</v>
      </c>
      <c r="AA755" s="55"/>
      <c r="AB755" s="56"/>
      <c r="AC755" s="50" t="n">
        <f aca="false">AT755</f>
        <v>20</v>
      </c>
      <c r="AD755" s="50" t="n">
        <f aca="false">MAX(AT755,H755)</f>
        <v>20</v>
      </c>
      <c r="AE755" s="57"/>
      <c r="AF755" s="50" t="n">
        <f aca="false">IF(LEFT(Cockpit!$C$5,1)="A",H755,IF(CE755=1,CF755,IF(LEFT(Cockpit!$C$5,1)="B",AK755,MAX(AK755,H755))))</f>
        <v>5</v>
      </c>
      <c r="AG755" s="50" t="n">
        <f aca="false">IF(BW755=1,0,ROUNDUP(AF755/BV755,0))</f>
        <v>1</v>
      </c>
      <c r="AH755" s="52" t="n">
        <f aca="false">IF(CL755&gt;0,CL755*MAX(1,AF755/X755),IF(BW755=1,IF(AF755&lt;=0,0,CA755*MAX(1,IF(H755&gt;0,AF755/H755,1))),IF(R755&gt;0,AG755/R755,0))/MAX(0.1,N(Parameter!$M$21)))</f>
        <v>0.0384615384615385</v>
      </c>
      <c r="AI755" s="50" t="n">
        <f aca="false">AH755*BY755</f>
        <v>5.96153846153846</v>
      </c>
      <c r="AJ755" s="50" t="n">
        <f aca="false">AF755*G755</f>
        <v>0.3</v>
      </c>
      <c r="AK755" s="50" t="n">
        <f aca="false">ROUNDUP(MAX(J755/IF(CD755&gt;0,CD755,MAX(0.1,N(Cockpit!$C$6))),CG755)/BV755,0)*BV755</f>
        <v>20</v>
      </c>
      <c r="AL755" s="51" t="n">
        <f aca="false">IF(AI755&gt;0,J755/AI755,-1)</f>
        <v>0</v>
      </c>
      <c r="AM755" s="51" t="n">
        <f aca="false">IF(AND(OR(CC755="L1",CC755="L23",CC755="LIFT"),AI755&gt;0),SUMIFS($AI$7:$AI$1843,$CC$7:$CC$1843,CC755,$AL$7:$AL$1843,"&gt;"&amp;AL755)+SUMIFS($AI$7:$AI$1843,$CC$7:$CC$1843,CC755,$AL$7:$AL$1843,AL755,$BT$7:$BT$1843,"&lt;="&amp;BT755),"")</f>
        <v>28719.7666516628</v>
      </c>
      <c r="AN755" s="58" t="n">
        <f aca="false">IF(AM755="",0,MAX(0,MIN(1,(IF(CC755="L1",Parameter!$H$5,IF(CC755="L23",Parameter!$H$6+Parameter!$H$7,Parameter!$H$5+Parameter!$H$6+Parameter!$H$7))-(AM755-AI755))/AI755)))</f>
        <v>1</v>
      </c>
      <c r="AO755" s="50" t="n">
        <f aca="false">IF(LEFT(Cockpit!$I$5,1)="A",H755,IF(CE755=1,CF755,IF(LEFT(Cockpit!$I$5,1)="B",AT755,MAX(AT755,H755))))</f>
        <v>20</v>
      </c>
      <c r="AP755" s="50" t="n">
        <f aca="false">IF(BW755=1,0,ROUNDUP(AO755/BV755,0))</f>
        <v>1</v>
      </c>
      <c r="AQ755" s="52" t="n">
        <f aca="false">IF(CL755&gt;0,CL755*MAX(1,AO755/X755),IF(BW755=1,IF(AO755&lt;=0,0,CA755*MAX(1,IF(H755&gt;0,AO755/H755,1))),IF(R755&gt;0,AP755/R755,0))/MAX(0.1,N(Parameter!$M$21)))</f>
        <v>0.0384615384615385</v>
      </c>
      <c r="AR755" s="50" t="n">
        <f aca="false">AQ755*BY755</f>
        <v>5.96153846153846</v>
      </c>
      <c r="AS755" s="50" t="n">
        <f aca="false">AO755*G755</f>
        <v>1.2</v>
      </c>
      <c r="AT755" s="50" t="n">
        <f aca="false">ROUNDUP(MAX(J755/IF(CD755&gt;0,CD755,MAX(0.1,N(Cockpit!$I$6))),CG755)/BV755,0)*BV755</f>
        <v>20</v>
      </c>
      <c r="AU755" s="51" t="n">
        <f aca="false">IF(AR755&gt;0,J755/AR755,-1)</f>
        <v>0</v>
      </c>
      <c r="AV755" s="51" t="n">
        <f aca="false">IF(AND(OR(CC755="L1",CC755="L23",CC755="LIFT"),AR755&gt;0),SUMIFS($AR$7:$AR$1843,$CC$7:$CC$1843,CC755,$AU$7:$AU$1843,"&gt;"&amp;AU755)+SUMIFS($AR$7:$AR$1843,$CC$7:$CC$1843,CC755,$AU$7:$AU$1843,AU755,$BT$7:$BT$1843,"&lt;="&amp;BT755),"")</f>
        <v>40290.8218942075</v>
      </c>
      <c r="AW755" s="58" t="n">
        <f aca="false">IF(AV755="",0,MAX(0,MIN(1,(IF(CC755="L1",Parameter!$H$5,IF(CC755="L23",Parameter!$H$6+Parameter!$H$7,Parameter!$H$5+Parameter!$H$6+Parameter!$H$7))-(AV755-AR755))/AR755)))</f>
        <v>0</v>
      </c>
      <c r="AX755" s="50" t="n">
        <f aca="false">IF(LEFT(Cockpit!$O$5,1)="A",H755,IF(CE755=1,CF755,IF(LEFT(Cockpit!$O$5,1)="B",BC755,MAX(BC755,H755))))</f>
        <v>20</v>
      </c>
      <c r="AY755" s="50" t="n">
        <f aca="false">IF(BW755=1,0,ROUNDUP(AX755/BV755,0))</f>
        <v>1</v>
      </c>
      <c r="AZ755" s="52" t="n">
        <f aca="false">IF(CL755&gt;0,CL755*MAX(1,AX755/X755),IF(BW755=1,IF(AX755&lt;=0,0,CA755*MAX(1,IF(H755&gt;0,AX755/H755,1))),IF(R755&gt;0,AY755/R755,0))/MAX(0.1,N(Parameter!$M$21)))</f>
        <v>0.0384615384615385</v>
      </c>
      <c r="BA755" s="50" t="n">
        <f aca="false">AZ755*BY755</f>
        <v>5.96153846153846</v>
      </c>
      <c r="BB755" s="50" t="n">
        <f aca="false">AX755*G755</f>
        <v>1.2</v>
      </c>
      <c r="BC755" s="50" t="n">
        <f aca="false">ROUNDUP(MAX(J755/IF(CD755&gt;0,CD755,MAX(0.1,N(Cockpit!$O$6))),CG755)/BV755,0)*BV755</f>
        <v>20</v>
      </c>
      <c r="BD755" s="51" t="n">
        <f aca="false">IF(BA755&gt;0,J755/BA755,-1)</f>
        <v>0</v>
      </c>
      <c r="BE755" s="51" t="n">
        <f aca="false">IF(AND(OR(CC755="L1",CC755="L23",CC755="LIFT"),BA755&gt;0),SUMIFS($BA$7:$BA$1843,$CC$7:$CC$1843,CC755,$BD$7:$BD$1843,"&gt;"&amp;BD755)+SUMIFS($BA$7:$BA$1843,$CC$7:$CC$1843,CC755,$BD$7:$BD$1843,BD755,$BT$7:$BT$1843,"&lt;="&amp;BT755),"")</f>
        <v>36965.8339360733</v>
      </c>
      <c r="BF755" s="58" t="n">
        <f aca="false">IF(BE755="",0,MAX(0,MIN(1,(IF(CC755="L1",Parameter!$H$5,IF(CC755="L23",Parameter!$H$6+Parameter!$H$7,Parameter!$H$5+Parameter!$H$6+Parameter!$H$7))-(BE755-BA755))/BA755)))</f>
        <v>0</v>
      </c>
      <c r="BG755" s="48" t="str">
        <f aca="false">IF(AI755&lt;=0,"",IF(CC755="Aussen","Aussenlager",IF(CC755="-","Nicht im Lift",IF(AN755&gt;=1,"Lift",IF(AN755&lt;=0,"Aussenlager","teilweise")))))</f>
        <v>Lift</v>
      </c>
      <c r="BH755" s="48" t="str">
        <f aca="false">IF(AR755&lt;=0,"",IF(CC755="Aussen","Aussenlager",IF(CC755="-","Nicht im Lift",IF(AW755&gt;=1,"Lift",IF(AW755&lt;=0,"Aussenlager","teilweise")))))</f>
        <v>Aussenlager</v>
      </c>
      <c r="BI755" s="48" t="str">
        <f aca="false">IF(BA755&lt;=0,"",IF(CC755="Aussen","Aussenlager",IF(CC755="-","Nicht im Lift",IF(BF755&gt;=1,"Lift",IF(BF755&lt;=0,"Aussenlager","teilweise")))))</f>
        <v>Aussenlager</v>
      </c>
      <c r="BJ755" s="48" t="str">
        <f aca="false">IF(A755="","",IF(BS755=1,"Neu; ","")&amp;IF(AND(BS755=0,BN755&lt;0),"negativer Bestand (Export "&amp;BN755&amp;"); ","")&amp;IF(J755&lt;=0,"Kein Verbrauch; ","")&amp;IF(CL755&gt;0,"Lift "&amp;W755&amp;" lt. Liftbericht (Fach "&amp;X755&amp;" Stk); ",IF(BX755=1,"Gebinde geschätzt ("&amp;T755&amp;"); ",IF(BW755=1,"Lose – Tablare geschätzt; ","")))&amp;IF(H755&gt;AT755,"Überbestand "&amp;ROUND(H755-AT755,0)&amp;" Stk / CHF "&amp;ROUND((H755-AT755)*G755,0)&amp;"; ","")&amp;IF(AND(CE755=1,CF755&lt;CG755),"MAX &lt; MB+LG; ","")&amp;IF(AND(CK755&gt;0,CJ755*10&gt;CK755),"zu hoch für Tablar; ","")&amp;IF(AND(BS755=0,OR(CE755=1,AA755&lt;&gt;"",U755&lt;&gt;"",V755&lt;&gt;"",AB755&lt;&gt;"")),"manuell übersteuert; ","")&amp;IF(AND(BW755=0,R755=0),"Gebinde unbekannt / Stellmass fehlt; ","")&amp;IF(AND(BW755=0,N(V755)&lt;=0,N(Q755)&lt;=0),"Menge pro Gebinde fehlt (Ist = 1 Gebinde); ","")&amp;BR755)</f>
        <v>negativer Bestand (Export -4); Kein Verbrauch; Gebinde geschätzt (Klein); Menge pro Gebinde fehlt (Ist = 1 Gebinde); </v>
      </c>
      <c r="BK755" s="48"/>
      <c r="BL755" s="48"/>
      <c r="BM755" s="55"/>
      <c r="BN755" s="50" t="n">
        <v>-4</v>
      </c>
      <c r="BO755" s="50" t="n">
        <v>9</v>
      </c>
      <c r="BP755" s="49" t="n">
        <v>-0.24</v>
      </c>
      <c r="BQ755" s="50" t="n">
        <v>0</v>
      </c>
      <c r="BR755" s="48"/>
      <c r="BS755" s="53" t="n">
        <v>0</v>
      </c>
      <c r="BT755" s="53" t="n">
        <v>755</v>
      </c>
      <c r="BU755" s="48" t="str">
        <f aca="false">IF(U755&lt;&gt;"",UPPER(TRIM(U755)),IF(BX755=1,UPPER(VLOOKUP(T755,Parameter!$I$27:$K$29,2,0)),IF(P755="","LOSE",P755)))</f>
        <v>S51</v>
      </c>
      <c r="BV755" s="50" t="n">
        <f aca="false">IF(BU755="LOSE",1,IF(N(V755)&gt;0,V755,IF(BX755=1,MAX(1,N(VLOOKUP(T755,Parameter!$I$27:$K$29,3,0)),H755,N(N755)),IF(N(Q755)&gt;0,Q755,MAX(1,H755)))))</f>
        <v>20</v>
      </c>
      <c r="BW755" s="53" t="n">
        <f aca="false">IF(BU755="LOSE",1,0)</f>
        <v>0</v>
      </c>
      <c r="BX755" s="53" t="n">
        <f aca="false">IF(AND(U755="",OR(P755="",P755="LOSE"),T755&lt;&gt;"",N(S755)&lt;=0,ISNUMBER(MATCH(T755,Parameter!$I$27:$I$29,0))),1,0)</f>
        <v>1</v>
      </c>
      <c r="BY755" s="53" t="n">
        <f aca="false">IF(CL755&gt;0,INDEX(Parameter!$H$5:$H$7,W755)/INDEX(Parameter!$E$5:$E$7,W755),IF(AND(BW755=0,N(IFERROR(VLOOKUP(BU755,'Gebinde-Kategorie'!$A$5:$N$45,14,0),0))&gt;0),VLOOKUP(BU755,'Gebinde-Kategorie'!$A$5:$N$45,14,0)*10+Parameter!$M$23,Parameter!$M$24))</f>
        <v>155</v>
      </c>
      <c r="BZ755" s="48" t="str">
        <f aca="false">IF(AND(Parameter!$B$19="Ja",E755&lt;&gt;"",ISNUMBER(MATCH(E755,Parameter!$I$35:$I$52,0))),VLOOKUP(E755,Parameter!$I$35:$J$52,2,0),IFERROR(VLOOKUP(D755,Parameter!$A$35:$C$64,2,0),"Nein"))</f>
        <v>2+3</v>
      </c>
      <c r="CA755" s="52" t="n">
        <f aca="false">IF(BW755=0,0,IF(N(S755)&gt;0,S755,IFERROR(VLOOKUP(D755,Parameter!$A$35:$C$64,3,0)+0,0)))</f>
        <v>0</v>
      </c>
      <c r="CB755" s="48" t="n">
        <f aca="false">IF(AA755&lt;&gt;"",AA755,Z755)</f>
        <v>3</v>
      </c>
      <c r="CC755" s="48" t="str">
        <f aca="false">IF(OR(CB755=1,CB755=2,CB755=3),IF(Parameter!$E$27="Ja","LIFT",IF(CB755=1,"L1","L23")),IF(CB755="Aussen","Aussen","-"))</f>
        <v>LIFT</v>
      </c>
      <c r="CD755" s="59" t="n">
        <f aca="false">IF(N(AB755)&gt;0,AB755,0)</f>
        <v>0</v>
      </c>
      <c r="CE755" s="53" t="n">
        <f aca="false">IF(ISNUMBER(AE755),1,0)</f>
        <v>0</v>
      </c>
      <c r="CF755" s="50" t="n">
        <f aca="false">N(AE755)</f>
        <v>0</v>
      </c>
      <c r="CG755" s="50" t="n">
        <f aca="false">N(M755)+N(N755)</f>
        <v>1</v>
      </c>
      <c r="CH755" s="50" t="n">
        <f aca="false">ROUNDUP(H755/BV755,0)</f>
        <v>1</v>
      </c>
      <c r="CI755" s="50" t="n">
        <f aca="false">ROUNDUP(CF755/BV755,0)</f>
        <v>0</v>
      </c>
      <c r="CJ755" s="53" t="n">
        <f aca="false">IF(BW755=1,0,IFERROR(VLOOKUP(BU755,'Gebinde-Kategorie'!$A$5:$N$45,5,0)+0,0))</f>
        <v>11</v>
      </c>
      <c r="CK755" s="53" t="n">
        <f aca="false">IFERROR(IF(OR(CB755=1,CB755=2,CB755=3),N(INDEX(Parameter!$I$5:$I$7,CB755)),0),0)</f>
        <v>0</v>
      </c>
      <c r="CL755" s="52" t="n">
        <f aca="false">IF(AND(Parameter!$B$21="Ja",ISNUMBER(W755),N(X755)&gt;0),IFERROR(N(INDEX(Parameter!$L$5:$L$7,W755))*INDEX(Parameter!$E$5:$E$7,W755)*X755/SUMIFS($X$7:$X$1843,$W$7:$W$1843,W755),0),0)</f>
        <v>0</v>
      </c>
    </row>
    <row r="756" customFormat="false" ht="15" hidden="false" customHeight="false" outlineLevel="0" collapsed="false">
      <c r="A756" s="48" t="s">
        <v>1498</v>
      </c>
      <c r="B756" s="48" t="s">
        <v>1499</v>
      </c>
      <c r="C756" s="48" t="s">
        <v>168</v>
      </c>
      <c r="D756" s="48" t="s">
        <v>188</v>
      </c>
      <c r="E756" s="48" t="s">
        <v>189</v>
      </c>
      <c r="F756" s="48" t="s">
        <v>222</v>
      </c>
      <c r="G756" s="49" t="n">
        <v>0.06</v>
      </c>
      <c r="H756" s="50" t="n">
        <f aca="false">MAX(0,IF(AND(Parameter!$B$21="Ja",ISNUMBER(Y756)),Y756,IF(Parameter!$B$20="Jahresanfang 2025 + Export",BO756+BN756,BN756)))</f>
        <v>81</v>
      </c>
      <c r="I756" s="50" t="n">
        <f aca="false">H756*G756</f>
        <v>4.86</v>
      </c>
      <c r="J756" s="50" t="n">
        <f aca="false">BQ756*Parameter!$B$18</f>
        <v>393</v>
      </c>
      <c r="K756" s="51" t="n">
        <v>178</v>
      </c>
      <c r="L756" s="52" t="n">
        <v>2.20786516853933</v>
      </c>
      <c r="M756" s="50" t="n">
        <v>22</v>
      </c>
      <c r="N756" s="50" t="n">
        <v>500</v>
      </c>
      <c r="O756" s="53" t="n">
        <v>21</v>
      </c>
      <c r="P756" s="48" t="s">
        <v>332</v>
      </c>
      <c r="Q756" s="50" t="n">
        <v>675</v>
      </c>
      <c r="R756" s="53" t="n">
        <f aca="false">IF(BW756=1,0,IFERROR(VLOOKUP(BU756,'Gebinde-Kategorie'!$A$5:$N$45,13,0)+0,0))</f>
        <v>52</v>
      </c>
      <c r="S756" s="54"/>
      <c r="T756" s="55"/>
      <c r="U756" s="55"/>
      <c r="V756" s="55"/>
      <c r="W756" s="48"/>
      <c r="X756" s="50"/>
      <c r="Y756" s="50"/>
      <c r="Z756" s="48" t="n">
        <f aca="false">IF(A756="","",IF(AND(Parameter!$B$21="Ja",ISNUMBER(W756)),W756,IF(BZ756="2+3",IF(ISNUMBER(SEARCH("grosser Artikel",BR756)),2,IFERROR(VLOOKUP(BU756,Parameter!$F$35:$G$64,2,0),2)),IF(OR(BZ756="Nein",BZ756=""),"-",BZ756))))</f>
        <v>3</v>
      </c>
      <c r="AA756" s="55"/>
      <c r="AB756" s="56"/>
      <c r="AC756" s="50" t="n">
        <f aca="false">AT756</f>
        <v>675</v>
      </c>
      <c r="AD756" s="50" t="n">
        <f aca="false">MAX(AT756,H756)</f>
        <v>675</v>
      </c>
      <c r="AE756" s="57"/>
      <c r="AF756" s="50" t="n">
        <f aca="false">IF(LEFT(Cockpit!$C$5,1)="A",H756,IF(CE756=1,CF756,IF(LEFT(Cockpit!$C$5,1)="B",AK756,MAX(AK756,H756))))</f>
        <v>81</v>
      </c>
      <c r="AG756" s="50" t="n">
        <f aca="false">IF(BW756=1,0,ROUNDUP(AF756/BV756,0))</f>
        <v>1</v>
      </c>
      <c r="AH756" s="52" t="n">
        <f aca="false">IF(CL756&gt;0,CL756*MAX(1,AF756/X756),IF(BW756=1,IF(AF756&lt;=0,0,CA756*MAX(1,IF(H756&gt;0,AF756/H756,1))),IF(R756&gt;0,AG756/R756,0))/MAX(0.1,N(Parameter!$M$21)))</f>
        <v>0.0192307692307692</v>
      </c>
      <c r="AI756" s="50" t="n">
        <f aca="false">AH756*BY756</f>
        <v>2.98076923076923</v>
      </c>
      <c r="AJ756" s="50" t="n">
        <f aca="false">AF756*G756</f>
        <v>4.86</v>
      </c>
      <c r="AK756" s="50" t="n">
        <f aca="false">ROUNDUP(MAX(J756/IF(CD756&gt;0,CD756,MAX(0.1,N(Cockpit!$C$6))),CG756)/BV756,0)*BV756</f>
        <v>675</v>
      </c>
      <c r="AL756" s="51" t="n">
        <f aca="false">IF(AI756&gt;0,J756/AI756,-1)</f>
        <v>131.845161290323</v>
      </c>
      <c r="AM756" s="51" t="n">
        <f aca="false">IF(AND(OR(CC756="L1",CC756="L23",CC756="LIFT"),AI756&gt;0),SUMIFS($AI$7:$AI$1843,$CC$7:$CC$1843,CC756,$AL$7:$AL$1843,"&gt;"&amp;AL756)+SUMIFS($AI$7:$AI$1843,$CC$7:$CC$1843,CC756,$AL$7:$AL$1843,AL756,$BT$7:$BT$1843,"&lt;="&amp;BT756),"")</f>
        <v>548.798534798535</v>
      </c>
      <c r="AN756" s="58" t="n">
        <f aca="false">IF(AM756="",0,MAX(0,MIN(1,(IF(CC756="L1",Parameter!$H$5,IF(CC756="L23",Parameter!$H$6+Parameter!$H$7,Parameter!$H$5+Parameter!$H$6+Parameter!$H$7))-(AM756-AI756))/AI756)))</f>
        <v>1</v>
      </c>
      <c r="AO756" s="50" t="n">
        <f aca="false">IF(LEFT(Cockpit!$I$5,1)="A",H756,IF(CE756=1,CF756,IF(LEFT(Cockpit!$I$5,1)="B",AT756,MAX(AT756,H756))))</f>
        <v>675</v>
      </c>
      <c r="AP756" s="50" t="n">
        <f aca="false">IF(BW756=1,0,ROUNDUP(AO756/BV756,0))</f>
        <v>1</v>
      </c>
      <c r="AQ756" s="52" t="n">
        <f aca="false">IF(CL756&gt;0,CL756*MAX(1,AO756/X756),IF(BW756=1,IF(AO756&lt;=0,0,CA756*MAX(1,IF(H756&gt;0,AO756/H756,1))),IF(R756&gt;0,AP756/R756,0))/MAX(0.1,N(Parameter!$M$21)))</f>
        <v>0.0192307692307692</v>
      </c>
      <c r="AR756" s="50" t="n">
        <f aca="false">AQ756*BY756</f>
        <v>2.98076923076923</v>
      </c>
      <c r="AS756" s="50" t="n">
        <f aca="false">AO756*G756</f>
        <v>40.5</v>
      </c>
      <c r="AT756" s="50" t="n">
        <f aca="false">ROUNDUP(MAX(J756/IF(CD756&gt;0,CD756,MAX(0.1,N(Cockpit!$I$6))),CG756)/BV756,0)*BV756</f>
        <v>675</v>
      </c>
      <c r="AU756" s="51" t="n">
        <f aca="false">IF(AR756&gt;0,J756/AR756,-1)</f>
        <v>131.845161290323</v>
      </c>
      <c r="AV756" s="51" t="n">
        <f aca="false">IF(AND(OR(CC756="L1",CC756="L23",CC756="LIFT"),AR756&gt;0),SUMIFS($AR$7:$AR$1843,$CC$7:$CC$1843,CC756,$AU$7:$AU$1843,"&gt;"&amp;AU756)+SUMIFS($AR$7:$AR$1843,$CC$7:$CC$1843,CC756,$AU$7:$AU$1843,AU756,$BT$7:$BT$1843,"&lt;="&amp;BT756),"")</f>
        <v>708.923534798535</v>
      </c>
      <c r="AW756" s="58" t="n">
        <f aca="false">IF(AV756="",0,MAX(0,MIN(1,(IF(CC756="L1",Parameter!$H$5,IF(CC756="L23",Parameter!$H$6+Parameter!$H$7,Parameter!$H$5+Parameter!$H$6+Parameter!$H$7))-(AV756-AR756))/AR756)))</f>
        <v>1</v>
      </c>
      <c r="AX756" s="50" t="n">
        <f aca="false">IF(LEFT(Cockpit!$O$5,1)="A",H756,IF(CE756=1,CF756,IF(LEFT(Cockpit!$O$5,1)="B",BC756,MAX(BC756,H756))))</f>
        <v>675</v>
      </c>
      <c r="AY756" s="50" t="n">
        <f aca="false">IF(BW756=1,0,ROUNDUP(AX756/BV756,0))</f>
        <v>1</v>
      </c>
      <c r="AZ756" s="52" t="n">
        <f aca="false">IF(CL756&gt;0,CL756*MAX(1,AX756/X756),IF(BW756=1,IF(AX756&lt;=0,0,CA756*MAX(1,IF(H756&gt;0,AX756/H756,1))),IF(R756&gt;0,AY756/R756,0))/MAX(0.1,N(Parameter!$M$21)))</f>
        <v>0.0192307692307692</v>
      </c>
      <c r="BA756" s="50" t="n">
        <f aca="false">AZ756*BY756</f>
        <v>2.98076923076923</v>
      </c>
      <c r="BB756" s="50" t="n">
        <f aca="false">AX756*G756</f>
        <v>40.5</v>
      </c>
      <c r="BC756" s="50" t="n">
        <f aca="false">ROUNDUP(MAX(J756/IF(CD756&gt;0,CD756,MAX(0.1,N(Cockpit!$O$6))),CG756)/BV756,0)*BV756</f>
        <v>675</v>
      </c>
      <c r="BD756" s="51" t="n">
        <f aca="false">IF(BA756&gt;0,J756/BA756,-1)</f>
        <v>131.845161290323</v>
      </c>
      <c r="BE756" s="51" t="n">
        <f aca="false">IF(AND(OR(CC756="L1",CC756="L23",CC756="LIFT"),BA756&gt;0),SUMIFS($BA$7:$BA$1843,$CC$7:$CC$1843,CC756,$BD$7:$BD$1843,"&gt;"&amp;BD756)+SUMIFS($BA$7:$BA$1843,$CC$7:$CC$1843,CC756,$BD$7:$BD$1843,BD756,$BT$7:$BT$1843,"&lt;="&amp;BT756),"")</f>
        <v>653.362637362637</v>
      </c>
      <c r="BF756" s="58" t="n">
        <f aca="false">IF(BE756="",0,MAX(0,MIN(1,(IF(CC756="L1",Parameter!$H$5,IF(CC756="L23",Parameter!$H$6+Parameter!$H$7,Parameter!$H$5+Parameter!$H$6+Parameter!$H$7))-(BE756-BA756))/BA756)))</f>
        <v>1</v>
      </c>
      <c r="BG756" s="48" t="str">
        <f aca="false">IF(AI756&lt;=0,"",IF(CC756="Aussen","Aussenlager",IF(CC756="-","Nicht im Lift",IF(AN756&gt;=1,"Lift",IF(AN756&lt;=0,"Aussenlager","teilweise")))))</f>
        <v>Lift</v>
      </c>
      <c r="BH756" s="48" t="str">
        <f aca="false">IF(AR756&lt;=0,"",IF(CC756="Aussen","Aussenlager",IF(CC756="-","Nicht im Lift",IF(AW756&gt;=1,"Lift",IF(AW756&lt;=0,"Aussenlager","teilweise")))))</f>
        <v>Lift</v>
      </c>
      <c r="BI756" s="48" t="str">
        <f aca="false">IF(BA756&lt;=0,"",IF(CC756="Aussen","Aussenlager",IF(CC756="-","Nicht im Lift",IF(BF756&gt;=1,"Lift",IF(BF756&lt;=0,"Aussenlager","teilweise")))))</f>
        <v>Lift</v>
      </c>
      <c r="BJ756" s="48" t="str">
        <f aca="false">IF(A756="","",IF(BS756=1,"Neu; ","")&amp;IF(AND(BS756=0,BN756&lt;0),"negativer Bestand (Export "&amp;BN756&amp;"); ","")&amp;IF(J756&lt;=0,"Kein Verbrauch; ","")&amp;IF(CL756&gt;0,"Lift "&amp;W756&amp;" lt. Liftbericht (Fach "&amp;X756&amp;" Stk); ",IF(BX756=1,"Gebinde geschätzt ("&amp;T756&amp;"); ",IF(BW756=1,"Lose – Tablare geschätzt; ","")))&amp;IF(H756&gt;AT756,"Überbestand "&amp;ROUND(H756-AT756,0)&amp;" Stk / CHF "&amp;ROUND((H756-AT756)*G756,0)&amp;"; ","")&amp;IF(AND(CE756=1,CF756&lt;CG756),"MAX &lt; MB+LG; ","")&amp;IF(AND(CK756&gt;0,CJ756*10&gt;CK756),"zu hoch für Tablar; ","")&amp;IF(AND(BS756=0,OR(CE756=1,AA756&lt;&gt;"",U756&lt;&gt;"",V756&lt;&gt;"",AB756&lt;&gt;"")),"manuell übersteuert; ","")&amp;IF(AND(BW756=0,R756=0),"Gebinde unbekannt / Stellmass fehlt; ","")&amp;IF(AND(BW756=0,N(V756)&lt;=0,N(Q756)&lt;=0),"Menge pro Gebinde fehlt (Ist = 1 Gebinde); ","")&amp;BR756)</f>
        <v/>
      </c>
      <c r="BK756" s="48"/>
      <c r="BL756" s="48"/>
      <c r="BM756" s="55"/>
      <c r="BN756" s="50" t="n">
        <v>7</v>
      </c>
      <c r="BO756" s="50" t="n">
        <v>74</v>
      </c>
      <c r="BP756" s="49" t="n">
        <v>-0.269999999999946</v>
      </c>
      <c r="BQ756" s="50" t="n">
        <v>393</v>
      </c>
      <c r="BR756" s="48"/>
      <c r="BS756" s="53" t="n">
        <v>0</v>
      </c>
      <c r="BT756" s="53" t="n">
        <v>756</v>
      </c>
      <c r="BU756" s="48" t="str">
        <f aca="false">IF(U756&lt;&gt;"",UPPER(TRIM(U756)),IF(BX756=1,UPPER(VLOOKUP(T756,Parameter!$I$27:$K$29,2,0)),IF(P756="","LOSE",P756)))</f>
        <v>S41</v>
      </c>
      <c r="BV756" s="50" t="n">
        <f aca="false">IF(BU756="LOSE",1,IF(N(V756)&gt;0,V756,IF(BX756=1,MAX(1,N(VLOOKUP(T756,Parameter!$I$27:$K$29,3,0)),H756,N(N756)),IF(N(Q756)&gt;0,Q756,MAX(1,H756)))))</f>
        <v>675</v>
      </c>
      <c r="BW756" s="53" t="n">
        <f aca="false">IF(BU756="LOSE",1,0)</f>
        <v>0</v>
      </c>
      <c r="BX756" s="53" t="n">
        <f aca="false">IF(AND(U756="",OR(P756="",P756="LOSE"),T756&lt;&gt;"",N(S756)&lt;=0,ISNUMBER(MATCH(T756,Parameter!$I$27:$I$29,0))),1,0)</f>
        <v>0</v>
      </c>
      <c r="BY756" s="53" t="n">
        <f aca="false">IF(CL756&gt;0,INDEX(Parameter!$H$5:$H$7,W756)/INDEX(Parameter!$E$5:$E$7,W756),IF(AND(BW756=0,N(IFERROR(VLOOKUP(BU756,'Gebinde-Kategorie'!$A$5:$N$45,14,0),0))&gt;0),VLOOKUP(BU756,'Gebinde-Kategorie'!$A$5:$N$45,14,0)*10+Parameter!$M$23,Parameter!$M$24))</f>
        <v>155</v>
      </c>
      <c r="BZ756" s="48" t="str">
        <f aca="false">IF(AND(Parameter!$B$19="Ja",E756&lt;&gt;"",ISNUMBER(MATCH(E756,Parameter!$I$35:$I$52,0))),VLOOKUP(E756,Parameter!$I$35:$J$52,2,0),IFERROR(VLOOKUP(D756,Parameter!$A$35:$C$64,2,0),"Nein"))</f>
        <v>2+3</v>
      </c>
      <c r="CA756" s="52" t="n">
        <f aca="false">IF(BW756=0,0,IF(N(S756)&gt;0,S756,IFERROR(VLOOKUP(D756,Parameter!$A$35:$C$64,3,0)+0,0)))</f>
        <v>0</v>
      </c>
      <c r="CB756" s="48" t="n">
        <f aca="false">IF(AA756&lt;&gt;"",AA756,Z756)</f>
        <v>3</v>
      </c>
      <c r="CC756" s="48" t="str">
        <f aca="false">IF(OR(CB756=1,CB756=2,CB756=3),IF(Parameter!$E$27="Ja","LIFT",IF(CB756=1,"L1","L23")),IF(CB756="Aussen","Aussen","-"))</f>
        <v>LIFT</v>
      </c>
      <c r="CD756" s="59" t="n">
        <f aca="false">IF(N(AB756)&gt;0,AB756,0)</f>
        <v>0</v>
      </c>
      <c r="CE756" s="53" t="n">
        <f aca="false">IF(ISNUMBER(AE756),1,0)</f>
        <v>0</v>
      </c>
      <c r="CF756" s="50" t="n">
        <f aca="false">N(AE756)</f>
        <v>0</v>
      </c>
      <c r="CG756" s="50" t="n">
        <f aca="false">N(M756)+N(N756)</f>
        <v>522</v>
      </c>
      <c r="CH756" s="50" t="n">
        <f aca="false">ROUNDUP(H756/BV756,0)</f>
        <v>1</v>
      </c>
      <c r="CI756" s="50" t="n">
        <f aca="false">ROUNDUP(CF756/BV756,0)</f>
        <v>0</v>
      </c>
      <c r="CJ756" s="53" t="n">
        <f aca="false">IF(BW756=1,0,IFERROR(VLOOKUP(BU756,'Gebinde-Kategorie'!$A$5:$N$45,5,0)+0,0))</f>
        <v>11</v>
      </c>
      <c r="CK756" s="53" t="n">
        <f aca="false">IFERROR(IF(OR(CB756=1,CB756=2,CB756=3),N(INDEX(Parameter!$I$5:$I$7,CB756)),0),0)</f>
        <v>0</v>
      </c>
      <c r="CL756" s="52" t="n">
        <f aca="false">IF(AND(Parameter!$B$21="Ja",ISNUMBER(W756),N(X756)&gt;0),IFERROR(N(INDEX(Parameter!$L$5:$L$7,W756))*INDEX(Parameter!$E$5:$E$7,W756)*X756/SUMIFS($X$7:$X$1843,$W$7:$W$1843,W756),0),0)</f>
        <v>0</v>
      </c>
    </row>
    <row r="757" customFormat="false" ht="15" hidden="false" customHeight="false" outlineLevel="0" collapsed="false">
      <c r="A757" s="48" t="s">
        <v>1500</v>
      </c>
      <c r="B757" s="48" t="s">
        <v>409</v>
      </c>
      <c r="C757" s="48" t="s">
        <v>168</v>
      </c>
      <c r="D757" s="48" t="s">
        <v>188</v>
      </c>
      <c r="E757" s="48" t="s">
        <v>189</v>
      </c>
      <c r="F757" s="48" t="s">
        <v>222</v>
      </c>
      <c r="G757" s="49" t="n">
        <v>0.1</v>
      </c>
      <c r="H757" s="50" t="n">
        <f aca="false">MAX(0,IF(AND(Parameter!$B$21="Ja",ISNUMBER(Y757)),Y757,IF(Parameter!$B$20="Jahresanfang 2025 + Export",BO757+BN757,BN757)))</f>
        <v>365</v>
      </c>
      <c r="I757" s="50" t="n">
        <f aca="false">H757*G757</f>
        <v>36.5</v>
      </c>
      <c r="J757" s="50" t="n">
        <f aca="false">BQ757*Parameter!$B$18</f>
        <v>1</v>
      </c>
      <c r="K757" s="51" t="n">
        <v>366.5</v>
      </c>
      <c r="L757" s="52" t="n">
        <v>0.00272851296043656</v>
      </c>
      <c r="M757" s="50" t="n">
        <v>0</v>
      </c>
      <c r="N757" s="50" t="n">
        <v>1</v>
      </c>
      <c r="O757" s="53" t="n">
        <v>21</v>
      </c>
      <c r="P757" s="48" t="s">
        <v>332</v>
      </c>
      <c r="Q757" s="50" t="n">
        <v>381</v>
      </c>
      <c r="R757" s="53" t="n">
        <f aca="false">IF(BW757=1,0,IFERROR(VLOOKUP(BU757,'Gebinde-Kategorie'!$A$5:$N$45,13,0)+0,0))</f>
        <v>52</v>
      </c>
      <c r="S757" s="54"/>
      <c r="T757" s="55"/>
      <c r="U757" s="55"/>
      <c r="V757" s="55"/>
      <c r="W757" s="48"/>
      <c r="X757" s="50"/>
      <c r="Y757" s="50"/>
      <c r="Z757" s="48" t="n">
        <f aca="false">IF(A757="","",IF(AND(Parameter!$B$21="Ja",ISNUMBER(W757)),W757,IF(BZ757="2+3",IF(ISNUMBER(SEARCH("grosser Artikel",BR757)),2,IFERROR(VLOOKUP(BU757,Parameter!$F$35:$G$64,2,0),2)),IF(OR(BZ757="Nein",BZ757=""),"-",BZ757))))</f>
        <v>3</v>
      </c>
      <c r="AA757" s="55"/>
      <c r="AB757" s="56"/>
      <c r="AC757" s="50" t="n">
        <f aca="false">AT757</f>
        <v>381</v>
      </c>
      <c r="AD757" s="50" t="n">
        <f aca="false">MAX(AT757,H757)</f>
        <v>381</v>
      </c>
      <c r="AE757" s="57"/>
      <c r="AF757" s="50" t="n">
        <f aca="false">IF(LEFT(Cockpit!$C$5,1)="A",H757,IF(CE757=1,CF757,IF(LEFT(Cockpit!$C$5,1)="B",AK757,MAX(AK757,H757))))</f>
        <v>365</v>
      </c>
      <c r="AG757" s="50" t="n">
        <f aca="false">IF(BW757=1,0,ROUNDUP(AF757/BV757,0))</f>
        <v>1</v>
      </c>
      <c r="AH757" s="52" t="n">
        <f aca="false">IF(CL757&gt;0,CL757*MAX(1,AF757/X757),IF(BW757=1,IF(AF757&lt;=0,0,CA757*MAX(1,IF(H757&gt;0,AF757/H757,1))),IF(R757&gt;0,AG757/R757,0))/MAX(0.1,N(Parameter!$M$21)))</f>
        <v>0.0192307692307692</v>
      </c>
      <c r="AI757" s="50" t="n">
        <f aca="false">AH757*BY757</f>
        <v>2.98076923076923</v>
      </c>
      <c r="AJ757" s="50" t="n">
        <f aca="false">AF757*G757</f>
        <v>36.5</v>
      </c>
      <c r="AK757" s="50" t="n">
        <f aca="false">ROUNDUP(MAX(J757/IF(CD757&gt;0,CD757,MAX(0.1,N(Cockpit!$C$6))),CG757)/BV757,0)*BV757</f>
        <v>381</v>
      </c>
      <c r="AL757" s="51" t="n">
        <f aca="false">IF(AI757&gt;0,J757/AI757,-1)</f>
        <v>0.335483870967742</v>
      </c>
      <c r="AM757" s="51" t="n">
        <f aca="false">IF(AND(OR(CC757="L1",CC757="L23",CC757="LIFT"),AI757&gt;0),SUMIFS($AI$7:$AI$1843,$CC$7:$CC$1843,CC757,$AL$7:$AL$1843,"&gt;"&amp;AL757)+SUMIFS($AI$7:$AI$1843,$CC$7:$CC$1843,CC757,$AL$7:$AL$1843,AL757,$BT$7:$BT$1843,"&lt;="&amp;BT757),"")</f>
        <v>11200.9231933321</v>
      </c>
      <c r="AN757" s="58" t="n">
        <f aca="false">IF(AM757="",0,MAX(0,MIN(1,(IF(CC757="L1",Parameter!$H$5,IF(CC757="L23",Parameter!$H$6+Parameter!$H$7,Parameter!$H$5+Parameter!$H$6+Parameter!$H$7))-(AM757-AI757))/AI757)))</f>
        <v>1</v>
      </c>
      <c r="AO757" s="50" t="n">
        <f aca="false">IF(LEFT(Cockpit!$I$5,1)="A",H757,IF(CE757=1,CF757,IF(LEFT(Cockpit!$I$5,1)="B",AT757,MAX(AT757,H757))))</f>
        <v>381</v>
      </c>
      <c r="AP757" s="50" t="n">
        <f aca="false">IF(BW757=1,0,ROUNDUP(AO757/BV757,0))</f>
        <v>1</v>
      </c>
      <c r="AQ757" s="52" t="n">
        <f aca="false">IF(CL757&gt;0,CL757*MAX(1,AO757/X757),IF(BW757=1,IF(AO757&lt;=0,0,CA757*MAX(1,IF(H757&gt;0,AO757/H757,1))),IF(R757&gt;0,AP757/R757,0))/MAX(0.1,N(Parameter!$M$21)))</f>
        <v>0.0192307692307692</v>
      </c>
      <c r="AR757" s="50" t="n">
        <f aca="false">AQ757*BY757</f>
        <v>2.98076923076923</v>
      </c>
      <c r="AS757" s="50" t="n">
        <f aca="false">AO757*G757</f>
        <v>38.1</v>
      </c>
      <c r="AT757" s="50" t="n">
        <f aca="false">ROUNDUP(MAX(J757/IF(CD757&gt;0,CD757,MAX(0.1,N(Cockpit!$I$6))),CG757)/BV757,0)*BV757</f>
        <v>381</v>
      </c>
      <c r="AU757" s="51" t="n">
        <f aca="false">IF(AR757&gt;0,J757/AR757,-1)</f>
        <v>0.335483870967742</v>
      </c>
      <c r="AV757" s="51" t="n">
        <f aca="false">IF(AND(OR(CC757="L1",CC757="L23",CC757="LIFT"),AR757&gt;0),SUMIFS($AR$7:$AR$1843,$CC$7:$CC$1843,CC757,$AU$7:$AU$1843,"&gt;"&amp;AU757)+SUMIFS($AR$7:$AR$1843,$CC$7:$CC$1843,CC757,$AU$7:$AU$1843,AU757,$BT$7:$BT$1843,"&lt;="&amp;BT757),"")</f>
        <v>16326.6213369963</v>
      </c>
      <c r="AW757" s="58" t="n">
        <f aca="false">IF(AV757="",0,MAX(0,MIN(1,(IF(CC757="L1",Parameter!$H$5,IF(CC757="L23",Parameter!$H$6+Parameter!$H$7,Parameter!$H$5+Parameter!$H$6+Parameter!$H$7))-(AV757-AR757))/AR757)))</f>
        <v>1</v>
      </c>
      <c r="AX757" s="50" t="n">
        <f aca="false">IF(LEFT(Cockpit!$O$5,1)="A",H757,IF(CE757=1,CF757,IF(LEFT(Cockpit!$O$5,1)="B",BC757,MAX(BC757,H757))))</f>
        <v>381</v>
      </c>
      <c r="AY757" s="50" t="n">
        <f aca="false">IF(BW757=1,0,ROUNDUP(AX757/BV757,0))</f>
        <v>1</v>
      </c>
      <c r="AZ757" s="52" t="n">
        <f aca="false">IF(CL757&gt;0,CL757*MAX(1,AX757/X757),IF(BW757=1,IF(AX757&lt;=0,0,CA757*MAX(1,IF(H757&gt;0,AX757/H757,1))),IF(R757&gt;0,AY757/R757,0))/MAX(0.1,N(Parameter!$M$21)))</f>
        <v>0.0192307692307692</v>
      </c>
      <c r="BA757" s="50" t="n">
        <f aca="false">AZ757*BY757</f>
        <v>2.98076923076923</v>
      </c>
      <c r="BB757" s="50" t="n">
        <f aca="false">AX757*G757</f>
        <v>38.1</v>
      </c>
      <c r="BC757" s="50" t="n">
        <f aca="false">ROUNDUP(MAX(J757/IF(CD757&gt;0,CD757,MAX(0.1,N(Cockpit!$O$6))),CG757)/BV757,0)*BV757</f>
        <v>381</v>
      </c>
      <c r="BD757" s="51" t="n">
        <f aca="false">IF(BA757&gt;0,J757/BA757,-1)</f>
        <v>0.335483870967742</v>
      </c>
      <c r="BE757" s="51" t="n">
        <f aca="false">IF(AND(OR(CC757="L1",CC757="L23",CC757="LIFT"),BA757&gt;0),SUMIFS($BA$7:$BA$1843,$CC$7:$CC$1843,CC757,$BD$7:$BD$1843,"&gt;"&amp;BD757)+SUMIFS($BA$7:$BA$1843,$CC$7:$CC$1843,CC757,$BD$7:$BD$1843,BD757,$BT$7:$BT$1843,"&lt;="&amp;BT757),"")</f>
        <v>15077.2783882784</v>
      </c>
      <c r="BF757" s="58" t="n">
        <f aca="false">IF(BE757="",0,MAX(0,MIN(1,(IF(CC757="L1",Parameter!$H$5,IF(CC757="L23",Parameter!$H$6+Parameter!$H$7,Parameter!$H$5+Parameter!$H$6+Parameter!$H$7))-(BE757-BA757))/BA757)))</f>
        <v>1</v>
      </c>
      <c r="BG757" s="48" t="str">
        <f aca="false">IF(AI757&lt;=0,"",IF(CC757="Aussen","Aussenlager",IF(CC757="-","Nicht im Lift",IF(AN757&gt;=1,"Lift",IF(AN757&lt;=0,"Aussenlager","teilweise")))))</f>
        <v>Lift</v>
      </c>
      <c r="BH757" s="48" t="str">
        <f aca="false">IF(AR757&lt;=0,"",IF(CC757="Aussen","Aussenlager",IF(CC757="-","Nicht im Lift",IF(AW757&gt;=1,"Lift",IF(AW757&lt;=0,"Aussenlager","teilweise")))))</f>
        <v>Lift</v>
      </c>
      <c r="BI757" s="48" t="str">
        <f aca="false">IF(BA757&lt;=0,"",IF(CC757="Aussen","Aussenlager",IF(CC757="-","Nicht im Lift",IF(BF757&gt;=1,"Lift",IF(BF757&lt;=0,"Aussenlager","teilweise")))))</f>
        <v>Lift</v>
      </c>
      <c r="BJ757" s="48" t="str">
        <f aca="false">IF(A757="","",IF(BS757=1,"Neu; ","")&amp;IF(AND(BS757=0,BN757&lt;0),"negativer Bestand (Export "&amp;BN757&amp;"); ","")&amp;IF(J757&lt;=0,"Kein Verbrauch; ","")&amp;IF(CL757&gt;0,"Lift "&amp;W757&amp;" lt. Liftbericht (Fach "&amp;X757&amp;" Stk); ",IF(BX757=1,"Gebinde geschätzt ("&amp;T757&amp;"); ",IF(BW757=1,"Lose – Tablare geschätzt; ","")))&amp;IF(H757&gt;AT757,"Überbestand "&amp;ROUND(H757-AT757,0)&amp;" Stk / CHF "&amp;ROUND((H757-AT757)*G757,0)&amp;"; ","")&amp;IF(AND(CE757=1,CF757&lt;CG757),"MAX &lt; MB+LG; ","")&amp;IF(AND(CK757&gt;0,CJ757*10&gt;CK757),"zu hoch für Tablar; ","")&amp;IF(AND(BS757=0,OR(CE757=1,AA757&lt;&gt;"",U757&lt;&gt;"",V757&lt;&gt;"",AB757&lt;&gt;"")),"manuell übersteuert; ","")&amp;IF(AND(BW757=0,R757=0),"Gebinde unbekannt / Stellmass fehlt; ","")&amp;IF(AND(BW757=0,N(V757)&lt;=0,N(Q757)&lt;=0),"Menge pro Gebinde fehlt (Ist = 1 Gebinde); ","")&amp;BR757)</f>
        <v>negativer Bestand (Export -3); Überbestand</v>
      </c>
      <c r="BK757" s="48"/>
      <c r="BL757" s="48"/>
      <c r="BM757" s="55"/>
      <c r="BN757" s="50" t="n">
        <v>-3</v>
      </c>
      <c r="BO757" s="50" t="n">
        <v>368</v>
      </c>
      <c r="BP757" s="49" t="n">
        <v>-0.3</v>
      </c>
      <c r="BQ757" s="50" t="n">
        <v>1</v>
      </c>
      <c r="BR757" s="48" t="s">
        <v>396</v>
      </c>
      <c r="BS757" s="53" t="n">
        <v>0</v>
      </c>
      <c r="BT757" s="53" t="n">
        <v>757</v>
      </c>
      <c r="BU757" s="48" t="str">
        <f aca="false">IF(U757&lt;&gt;"",UPPER(TRIM(U757)),IF(BX757=1,UPPER(VLOOKUP(T757,Parameter!$I$27:$K$29,2,0)),IF(P757="","LOSE",P757)))</f>
        <v>S41</v>
      </c>
      <c r="BV757" s="50" t="n">
        <f aca="false">IF(BU757="LOSE",1,IF(N(V757)&gt;0,V757,IF(BX757=1,MAX(1,N(VLOOKUP(T757,Parameter!$I$27:$K$29,3,0)),H757,N(N757)),IF(N(Q757)&gt;0,Q757,MAX(1,H757)))))</f>
        <v>381</v>
      </c>
      <c r="BW757" s="53" t="n">
        <f aca="false">IF(BU757="LOSE",1,0)</f>
        <v>0</v>
      </c>
      <c r="BX757" s="53" t="n">
        <f aca="false">IF(AND(U757="",OR(P757="",P757="LOSE"),T757&lt;&gt;"",N(S757)&lt;=0,ISNUMBER(MATCH(T757,Parameter!$I$27:$I$29,0))),1,0)</f>
        <v>0</v>
      </c>
      <c r="BY757" s="53" t="n">
        <f aca="false">IF(CL757&gt;0,INDEX(Parameter!$H$5:$H$7,W757)/INDEX(Parameter!$E$5:$E$7,W757),IF(AND(BW757=0,N(IFERROR(VLOOKUP(BU757,'Gebinde-Kategorie'!$A$5:$N$45,14,0),0))&gt;0),VLOOKUP(BU757,'Gebinde-Kategorie'!$A$5:$N$45,14,0)*10+Parameter!$M$23,Parameter!$M$24))</f>
        <v>155</v>
      </c>
      <c r="BZ757" s="48" t="str">
        <f aca="false">IF(AND(Parameter!$B$19="Ja",E757&lt;&gt;"",ISNUMBER(MATCH(E757,Parameter!$I$35:$I$52,0))),VLOOKUP(E757,Parameter!$I$35:$J$52,2,0),IFERROR(VLOOKUP(D757,Parameter!$A$35:$C$64,2,0),"Nein"))</f>
        <v>2+3</v>
      </c>
      <c r="CA757" s="52" t="n">
        <f aca="false">IF(BW757=0,0,IF(N(S757)&gt;0,S757,IFERROR(VLOOKUP(D757,Parameter!$A$35:$C$64,3,0)+0,0)))</f>
        <v>0</v>
      </c>
      <c r="CB757" s="48" t="n">
        <f aca="false">IF(AA757&lt;&gt;"",AA757,Z757)</f>
        <v>3</v>
      </c>
      <c r="CC757" s="48" t="str">
        <f aca="false">IF(OR(CB757=1,CB757=2,CB757=3),IF(Parameter!$E$27="Ja","LIFT",IF(CB757=1,"L1","L23")),IF(CB757="Aussen","Aussen","-"))</f>
        <v>LIFT</v>
      </c>
      <c r="CD757" s="59" t="n">
        <f aca="false">IF(N(AB757)&gt;0,AB757,0)</f>
        <v>0</v>
      </c>
      <c r="CE757" s="53" t="n">
        <f aca="false">IF(ISNUMBER(AE757),1,0)</f>
        <v>0</v>
      </c>
      <c r="CF757" s="50" t="n">
        <f aca="false">N(AE757)</f>
        <v>0</v>
      </c>
      <c r="CG757" s="50" t="n">
        <f aca="false">N(M757)+N(N757)</f>
        <v>1</v>
      </c>
      <c r="CH757" s="50" t="n">
        <f aca="false">ROUNDUP(H757/BV757,0)</f>
        <v>1</v>
      </c>
      <c r="CI757" s="50" t="n">
        <f aca="false">ROUNDUP(CF757/BV757,0)</f>
        <v>0</v>
      </c>
      <c r="CJ757" s="53" t="n">
        <f aca="false">IF(BW757=1,0,IFERROR(VLOOKUP(BU757,'Gebinde-Kategorie'!$A$5:$N$45,5,0)+0,0))</f>
        <v>11</v>
      </c>
      <c r="CK757" s="53" t="n">
        <f aca="false">IFERROR(IF(OR(CB757=1,CB757=2,CB757=3),N(INDEX(Parameter!$I$5:$I$7,CB757)),0),0)</f>
        <v>0</v>
      </c>
      <c r="CL757" s="52" t="n">
        <f aca="false">IF(AND(Parameter!$B$21="Ja",ISNUMBER(W757),N(X757)&gt;0),IFERROR(N(INDEX(Parameter!$L$5:$L$7,W757))*INDEX(Parameter!$E$5:$E$7,W757)*X757/SUMIFS($X$7:$X$1843,$W$7:$W$1843,W757),0),0)</f>
        <v>0</v>
      </c>
    </row>
    <row r="758" customFormat="false" ht="15" hidden="false" customHeight="false" outlineLevel="0" collapsed="false">
      <c r="A758" s="48" t="s">
        <v>1501</v>
      </c>
      <c r="B758" s="48" t="s">
        <v>409</v>
      </c>
      <c r="C758" s="48" t="s">
        <v>168</v>
      </c>
      <c r="D758" s="48" t="s">
        <v>188</v>
      </c>
      <c r="E758" s="48" t="s">
        <v>189</v>
      </c>
      <c r="F758" s="48" t="s">
        <v>222</v>
      </c>
      <c r="G758" s="49" t="n">
        <v>0.02</v>
      </c>
      <c r="H758" s="50" t="n">
        <f aca="false">MAX(0,IF(AND(Parameter!$B$21="Ja",ISNUMBER(Y758)),Y758,IF(Parameter!$B$20="Jahresanfang 2025 + Export",BO758+BN758,BN758)))</f>
        <v>227</v>
      </c>
      <c r="I758" s="50" t="n">
        <f aca="false">H758*G758</f>
        <v>4.54</v>
      </c>
      <c r="J758" s="50" t="n">
        <f aca="false">BQ758*Parameter!$B$18</f>
        <v>12</v>
      </c>
      <c r="K758" s="51" t="n">
        <v>236.5</v>
      </c>
      <c r="L758" s="52" t="n">
        <v>0.0507399577167019</v>
      </c>
      <c r="M758" s="50" t="n">
        <v>0</v>
      </c>
      <c r="N758" s="50" t="n">
        <v>10</v>
      </c>
      <c r="O758" s="53" t="n">
        <v>14</v>
      </c>
      <c r="P758" s="48" t="s">
        <v>480</v>
      </c>
      <c r="Q758" s="50" t="n">
        <v>500</v>
      </c>
      <c r="R758" s="53" t="n">
        <f aca="false">IF(BW758=1,0,IFERROR(VLOOKUP(BU758,'Gebinde-Kategorie'!$A$5:$N$45,13,0)+0,0))</f>
        <v>52</v>
      </c>
      <c r="S758" s="54"/>
      <c r="T758" s="55"/>
      <c r="U758" s="55"/>
      <c r="V758" s="55"/>
      <c r="W758" s="48"/>
      <c r="X758" s="50"/>
      <c r="Y758" s="50"/>
      <c r="Z758" s="48" t="n">
        <f aca="false">IF(A758="","",IF(AND(Parameter!$B$21="Ja",ISNUMBER(W758)),W758,IF(BZ758="2+3",IF(ISNUMBER(SEARCH("grosser Artikel",BR758)),2,IFERROR(VLOOKUP(BU758,Parameter!$F$35:$G$64,2,0),2)),IF(OR(BZ758="Nein",BZ758=""),"-",BZ758))))</f>
        <v>3</v>
      </c>
      <c r="AA758" s="55"/>
      <c r="AB758" s="56"/>
      <c r="AC758" s="50" t="n">
        <f aca="false">AT758</f>
        <v>500</v>
      </c>
      <c r="AD758" s="50" t="n">
        <f aca="false">MAX(AT758,H758)</f>
        <v>500</v>
      </c>
      <c r="AE758" s="57"/>
      <c r="AF758" s="50" t="n">
        <f aca="false">IF(LEFT(Cockpit!$C$5,1)="A",H758,IF(CE758=1,CF758,IF(LEFT(Cockpit!$C$5,1)="B",AK758,MAX(AK758,H758))))</f>
        <v>227</v>
      </c>
      <c r="AG758" s="50" t="n">
        <f aca="false">IF(BW758=1,0,ROUNDUP(AF758/BV758,0))</f>
        <v>1</v>
      </c>
      <c r="AH758" s="52" t="n">
        <f aca="false">IF(CL758&gt;0,CL758*MAX(1,AF758/X758),IF(BW758=1,IF(AF758&lt;=0,0,CA758*MAX(1,IF(H758&gt;0,AF758/H758,1))),IF(R758&gt;0,AG758/R758,0))/MAX(0.1,N(Parameter!$M$21)))</f>
        <v>0.0192307692307692</v>
      </c>
      <c r="AI758" s="50" t="n">
        <f aca="false">AH758*BY758</f>
        <v>2.98076923076923</v>
      </c>
      <c r="AJ758" s="50" t="n">
        <f aca="false">AF758*G758</f>
        <v>4.54</v>
      </c>
      <c r="AK758" s="50" t="n">
        <f aca="false">ROUNDUP(MAX(J758/IF(CD758&gt;0,CD758,MAX(0.1,N(Cockpit!$C$6))),CG758)/BV758,0)*BV758</f>
        <v>500</v>
      </c>
      <c r="AL758" s="51" t="n">
        <f aca="false">IF(AI758&gt;0,J758/AI758,-1)</f>
        <v>4.0258064516129</v>
      </c>
      <c r="AM758" s="51" t="n">
        <f aca="false">IF(AND(OR(CC758="L1",CC758="L23",CC758="LIFT"),AI758&gt;0),SUMIFS($AI$7:$AI$1843,$CC$7:$CC$1843,CC758,$AL$7:$AL$1843,"&gt;"&amp;AL758)+SUMIFS($AI$7:$AI$1843,$CC$7:$CC$1843,CC758,$AL$7:$AL$1843,AL758,$BT$7:$BT$1843,"&lt;="&amp;BT758),"")</f>
        <v>4346.76602564103</v>
      </c>
      <c r="AN758" s="58" t="n">
        <f aca="false">IF(AM758="",0,MAX(0,MIN(1,(IF(CC758="L1",Parameter!$H$5,IF(CC758="L23",Parameter!$H$6+Parameter!$H$7,Parameter!$H$5+Parameter!$H$6+Parameter!$H$7))-(AM758-AI758))/AI758)))</f>
        <v>1</v>
      </c>
      <c r="AO758" s="50" t="n">
        <f aca="false">IF(LEFT(Cockpit!$I$5,1)="A",H758,IF(CE758=1,CF758,IF(LEFT(Cockpit!$I$5,1)="B",AT758,MAX(AT758,H758))))</f>
        <v>500</v>
      </c>
      <c r="AP758" s="50" t="n">
        <f aca="false">IF(BW758=1,0,ROUNDUP(AO758/BV758,0))</f>
        <v>1</v>
      </c>
      <c r="AQ758" s="52" t="n">
        <f aca="false">IF(CL758&gt;0,CL758*MAX(1,AO758/X758),IF(BW758=1,IF(AO758&lt;=0,0,CA758*MAX(1,IF(H758&gt;0,AO758/H758,1))),IF(R758&gt;0,AP758/R758,0))/MAX(0.1,N(Parameter!$M$21)))</f>
        <v>0.0192307692307692</v>
      </c>
      <c r="AR758" s="50" t="n">
        <f aca="false">AQ758*BY758</f>
        <v>2.98076923076923</v>
      </c>
      <c r="AS758" s="50" t="n">
        <f aca="false">AO758*G758</f>
        <v>10</v>
      </c>
      <c r="AT758" s="50" t="n">
        <f aca="false">ROUNDUP(MAX(J758/IF(CD758&gt;0,CD758,MAX(0.1,N(Cockpit!$I$6))),CG758)/BV758,0)*BV758</f>
        <v>500</v>
      </c>
      <c r="AU758" s="51" t="n">
        <f aca="false">IF(AR758&gt;0,J758/AR758,-1)</f>
        <v>4.0258064516129</v>
      </c>
      <c r="AV758" s="51" t="n">
        <f aca="false">IF(AND(OR(CC758="L1",CC758="L23",CC758="LIFT"),AR758&gt;0),SUMIFS($AR$7:$AR$1843,$CC$7:$CC$1843,CC758,$AU$7:$AU$1843,"&gt;"&amp;AU758)+SUMIFS($AR$7:$AR$1843,$CC$7:$CC$1843,CC758,$AU$7:$AU$1843,AU758,$BT$7:$BT$1843,"&lt;="&amp;BT758),"")</f>
        <v>5589.30677655678</v>
      </c>
      <c r="AW758" s="58" t="n">
        <f aca="false">IF(AV758="",0,MAX(0,MIN(1,(IF(CC758="L1",Parameter!$H$5,IF(CC758="L23",Parameter!$H$6+Parameter!$H$7,Parameter!$H$5+Parameter!$H$6+Parameter!$H$7))-(AV758-AR758))/AR758)))</f>
        <v>1</v>
      </c>
      <c r="AX758" s="50" t="n">
        <f aca="false">IF(LEFT(Cockpit!$O$5,1)="A",H758,IF(CE758=1,CF758,IF(LEFT(Cockpit!$O$5,1)="B",BC758,MAX(BC758,H758))))</f>
        <v>500</v>
      </c>
      <c r="AY758" s="50" t="n">
        <f aca="false">IF(BW758=1,0,ROUNDUP(AX758/BV758,0))</f>
        <v>1</v>
      </c>
      <c r="AZ758" s="52" t="n">
        <f aca="false">IF(CL758&gt;0,CL758*MAX(1,AX758/X758),IF(BW758=1,IF(AX758&lt;=0,0,CA758*MAX(1,IF(H758&gt;0,AX758/H758,1))),IF(R758&gt;0,AY758/R758,0))/MAX(0.1,N(Parameter!$M$21)))</f>
        <v>0.0192307692307692</v>
      </c>
      <c r="BA758" s="50" t="n">
        <f aca="false">AZ758*BY758</f>
        <v>2.98076923076923</v>
      </c>
      <c r="BB758" s="50" t="n">
        <f aca="false">AX758*G758</f>
        <v>10</v>
      </c>
      <c r="BC758" s="50" t="n">
        <f aca="false">ROUNDUP(MAX(J758/IF(CD758&gt;0,CD758,MAX(0.1,N(Cockpit!$O$6))),CG758)/BV758,0)*BV758</f>
        <v>500</v>
      </c>
      <c r="BD758" s="51" t="n">
        <f aca="false">IF(BA758&gt;0,J758/BA758,-1)</f>
        <v>4.0258064516129</v>
      </c>
      <c r="BE758" s="51" t="n">
        <f aca="false">IF(AND(OR(CC758="L1",CC758="L23",CC758="LIFT"),BA758&gt;0),SUMIFS($BA$7:$BA$1843,$CC$7:$CC$1843,CC758,$BD$7:$BD$1843,"&gt;"&amp;BD758)+SUMIFS($BA$7:$BA$1843,$CC$7:$CC$1843,CC758,$BD$7:$BD$1843,BD758,$BT$7:$BT$1843,"&lt;="&amp;BT758),"")</f>
        <v>5277.17536630037</v>
      </c>
      <c r="BF758" s="58" t="n">
        <f aca="false">IF(BE758="",0,MAX(0,MIN(1,(IF(CC758="L1",Parameter!$H$5,IF(CC758="L23",Parameter!$H$6+Parameter!$H$7,Parameter!$H$5+Parameter!$H$6+Parameter!$H$7))-(BE758-BA758))/BA758)))</f>
        <v>1</v>
      </c>
      <c r="BG758" s="48" t="str">
        <f aca="false">IF(AI758&lt;=0,"",IF(CC758="Aussen","Aussenlager",IF(CC758="-","Nicht im Lift",IF(AN758&gt;=1,"Lift",IF(AN758&lt;=0,"Aussenlager","teilweise")))))</f>
        <v>Lift</v>
      </c>
      <c r="BH758" s="48" t="str">
        <f aca="false">IF(AR758&lt;=0,"",IF(CC758="Aussen","Aussenlager",IF(CC758="-","Nicht im Lift",IF(AW758&gt;=1,"Lift",IF(AW758&lt;=0,"Aussenlager","teilweise")))))</f>
        <v>Lift</v>
      </c>
      <c r="BI758" s="48" t="str">
        <f aca="false">IF(BA758&lt;=0,"",IF(CC758="Aussen","Aussenlager",IF(CC758="-","Nicht im Lift",IF(BF758&gt;=1,"Lift",IF(BF758&lt;=0,"Aussenlager","teilweise")))))</f>
        <v>Lift</v>
      </c>
      <c r="BJ758" s="48" t="str">
        <f aca="false">IF(A758="","",IF(BS758=1,"Neu; ","")&amp;IF(AND(BS758=0,BN758&lt;0),"negativer Bestand (Export "&amp;BN758&amp;"); ","")&amp;IF(J758&lt;=0,"Kein Verbrauch; ","")&amp;IF(CL758&gt;0,"Lift "&amp;W758&amp;" lt. Liftbericht (Fach "&amp;X758&amp;" Stk); ",IF(BX758=1,"Gebinde geschätzt ("&amp;T758&amp;"); ",IF(BW758=1,"Lose – Tablare geschätzt; ","")))&amp;IF(H758&gt;AT758,"Überbestand "&amp;ROUND(H758-AT758,0)&amp;" Stk / CHF "&amp;ROUND((H758-AT758)*G758,0)&amp;"; ","")&amp;IF(AND(CE758=1,CF758&lt;CG758),"MAX &lt; MB+LG; ","")&amp;IF(AND(CK758&gt;0,CJ758*10&gt;CK758),"zu hoch für Tablar; ","")&amp;IF(AND(BS758=0,OR(CE758=1,AA758&lt;&gt;"",U758&lt;&gt;"",V758&lt;&gt;"",AB758&lt;&gt;"")),"manuell übersteuert; ","")&amp;IF(AND(BW758=0,R758=0),"Gebinde unbekannt / Stellmass fehlt; ","")&amp;IF(AND(BW758=0,N(V758)&lt;=0,N(Q758)&lt;=0),"Menge pro Gebinde fehlt (Ist = 1 Gebinde); ","")&amp;BR758)</f>
        <v>negativer Bestand (Export -19); Neu</v>
      </c>
      <c r="BK758" s="48"/>
      <c r="BL758" s="48"/>
      <c r="BM758" s="55"/>
      <c r="BN758" s="50" t="n">
        <v>-19</v>
      </c>
      <c r="BO758" s="50" t="n">
        <v>246</v>
      </c>
      <c r="BP758" s="49" t="n">
        <v>-0.38</v>
      </c>
      <c r="BQ758" s="50" t="n">
        <v>12</v>
      </c>
      <c r="BR758" s="48" t="s">
        <v>630</v>
      </c>
      <c r="BS758" s="53" t="n">
        <v>0</v>
      </c>
      <c r="BT758" s="53" t="n">
        <v>758</v>
      </c>
      <c r="BU758" s="48" t="str">
        <f aca="false">IF(U758&lt;&gt;"",UPPER(TRIM(U758)),IF(BX758=1,UPPER(VLOOKUP(T758,Parameter!$I$27:$K$29,2,0)),IF(P758="","LOSE",P758)))</f>
        <v>S33</v>
      </c>
      <c r="BV758" s="50" t="n">
        <f aca="false">IF(BU758="LOSE",1,IF(N(V758)&gt;0,V758,IF(BX758=1,MAX(1,N(VLOOKUP(T758,Parameter!$I$27:$K$29,3,0)),H758,N(N758)),IF(N(Q758)&gt;0,Q758,MAX(1,H758)))))</f>
        <v>500</v>
      </c>
      <c r="BW758" s="53" t="n">
        <f aca="false">IF(BU758="LOSE",1,0)</f>
        <v>0</v>
      </c>
      <c r="BX758" s="53" t="n">
        <f aca="false">IF(AND(U758="",OR(P758="",P758="LOSE"),T758&lt;&gt;"",N(S758)&lt;=0,ISNUMBER(MATCH(T758,Parameter!$I$27:$I$29,0))),1,0)</f>
        <v>0</v>
      </c>
      <c r="BY758" s="53" t="n">
        <f aca="false">IF(CL758&gt;0,INDEX(Parameter!$H$5:$H$7,W758)/INDEX(Parameter!$E$5:$E$7,W758),IF(AND(BW758=0,N(IFERROR(VLOOKUP(BU758,'Gebinde-Kategorie'!$A$5:$N$45,14,0),0))&gt;0),VLOOKUP(BU758,'Gebinde-Kategorie'!$A$5:$N$45,14,0)*10+Parameter!$M$23,Parameter!$M$24))</f>
        <v>155</v>
      </c>
      <c r="BZ758" s="48" t="str">
        <f aca="false">IF(AND(Parameter!$B$19="Ja",E758&lt;&gt;"",ISNUMBER(MATCH(E758,Parameter!$I$35:$I$52,0))),VLOOKUP(E758,Parameter!$I$35:$J$52,2,0),IFERROR(VLOOKUP(D758,Parameter!$A$35:$C$64,2,0),"Nein"))</f>
        <v>2+3</v>
      </c>
      <c r="CA758" s="52" t="n">
        <f aca="false">IF(BW758=0,0,IF(N(S758)&gt;0,S758,IFERROR(VLOOKUP(D758,Parameter!$A$35:$C$64,3,0)+0,0)))</f>
        <v>0</v>
      </c>
      <c r="CB758" s="48" t="n">
        <f aca="false">IF(AA758&lt;&gt;"",AA758,Z758)</f>
        <v>3</v>
      </c>
      <c r="CC758" s="48" t="str">
        <f aca="false">IF(OR(CB758=1,CB758=2,CB758=3),IF(Parameter!$E$27="Ja","LIFT",IF(CB758=1,"L1","L23")),IF(CB758="Aussen","Aussen","-"))</f>
        <v>LIFT</v>
      </c>
      <c r="CD758" s="59" t="n">
        <f aca="false">IF(N(AB758)&gt;0,AB758,0)</f>
        <v>0</v>
      </c>
      <c r="CE758" s="53" t="n">
        <f aca="false">IF(ISNUMBER(AE758),1,0)</f>
        <v>0</v>
      </c>
      <c r="CF758" s="50" t="n">
        <f aca="false">N(AE758)</f>
        <v>0</v>
      </c>
      <c r="CG758" s="50" t="n">
        <f aca="false">N(M758)+N(N758)</f>
        <v>10</v>
      </c>
      <c r="CH758" s="50" t="n">
        <f aca="false">ROUNDUP(H758/BV758,0)</f>
        <v>1</v>
      </c>
      <c r="CI758" s="50" t="n">
        <f aca="false">ROUNDUP(CF758/BV758,0)</f>
        <v>0</v>
      </c>
      <c r="CJ758" s="53" t="n">
        <f aca="false">IF(BW758=1,0,IFERROR(VLOOKUP(BU758,'Gebinde-Kategorie'!$A$5:$N$45,5,0)+0,0))</f>
        <v>8</v>
      </c>
      <c r="CK758" s="53" t="n">
        <f aca="false">IFERROR(IF(OR(CB758=1,CB758=2,CB758=3),N(INDEX(Parameter!$I$5:$I$7,CB758)),0),0)</f>
        <v>0</v>
      </c>
      <c r="CL758" s="52" t="n">
        <f aca="false">IF(AND(Parameter!$B$21="Ja",ISNUMBER(W758),N(X758)&gt;0),IFERROR(N(INDEX(Parameter!$L$5:$L$7,W758))*INDEX(Parameter!$E$5:$E$7,W758)*X758/SUMIFS($X$7:$X$1843,$W$7:$W$1843,W758),0),0)</f>
        <v>0</v>
      </c>
    </row>
    <row r="759" customFormat="false" ht="15" hidden="false" customHeight="false" outlineLevel="0" collapsed="false">
      <c r="A759" s="48" t="s">
        <v>1502</v>
      </c>
      <c r="B759" s="48" t="s">
        <v>409</v>
      </c>
      <c r="C759" s="48" t="s">
        <v>168</v>
      </c>
      <c r="D759" s="48" t="s">
        <v>188</v>
      </c>
      <c r="E759" s="48" t="s">
        <v>189</v>
      </c>
      <c r="F759" s="48" t="s">
        <v>222</v>
      </c>
      <c r="G759" s="49" t="n">
        <v>0.03</v>
      </c>
      <c r="H759" s="50" t="n">
        <f aca="false">MAX(0,IF(AND(Parameter!$B$21="Ja",ISNUMBER(Y759)),Y759,IF(Parameter!$B$20="Jahresanfang 2025 + Export",BO759+BN759,BN759)))</f>
        <v>205</v>
      </c>
      <c r="I759" s="50" t="n">
        <f aca="false">H759*G759</f>
        <v>6.15</v>
      </c>
      <c r="J759" s="50" t="n">
        <f aca="false">BQ759*Parameter!$B$18</f>
        <v>0</v>
      </c>
      <c r="K759" s="51" t="n">
        <v>220</v>
      </c>
      <c r="L759" s="52" t="n">
        <v>0</v>
      </c>
      <c r="M759" s="50" t="n">
        <v>0</v>
      </c>
      <c r="N759" s="50" t="n">
        <v>1</v>
      </c>
      <c r="O759" s="53" t="n">
        <v>14</v>
      </c>
      <c r="P759" s="48" t="s">
        <v>430</v>
      </c>
      <c r="Q759" s="50" t="n">
        <v>259</v>
      </c>
      <c r="R759" s="53" t="n">
        <f aca="false">IF(BW759=1,0,IFERROR(VLOOKUP(BU759,'Gebinde-Kategorie'!$A$5:$N$45,13,0)+0,0))</f>
        <v>140</v>
      </c>
      <c r="S759" s="54"/>
      <c r="T759" s="55"/>
      <c r="U759" s="55"/>
      <c r="V759" s="55"/>
      <c r="W759" s="48"/>
      <c r="X759" s="50"/>
      <c r="Y759" s="50"/>
      <c r="Z759" s="48" t="n">
        <f aca="false">IF(A759="","",IF(AND(Parameter!$B$21="Ja",ISNUMBER(W759)),W759,IF(BZ759="2+3",IF(ISNUMBER(SEARCH("grosser Artikel",BR759)),2,IFERROR(VLOOKUP(BU759,Parameter!$F$35:$G$64,2,0),2)),IF(OR(BZ759="Nein",BZ759=""),"-",BZ759))))</f>
        <v>3</v>
      </c>
      <c r="AA759" s="55"/>
      <c r="AB759" s="56"/>
      <c r="AC759" s="50" t="n">
        <f aca="false">AT759</f>
        <v>259</v>
      </c>
      <c r="AD759" s="50" t="n">
        <f aca="false">MAX(AT759,H759)</f>
        <v>259</v>
      </c>
      <c r="AE759" s="57"/>
      <c r="AF759" s="50" t="n">
        <f aca="false">IF(LEFT(Cockpit!$C$5,1)="A",H759,IF(CE759=1,CF759,IF(LEFT(Cockpit!$C$5,1)="B",AK759,MAX(AK759,H759))))</f>
        <v>205</v>
      </c>
      <c r="AG759" s="50" t="n">
        <f aca="false">IF(BW759=1,0,ROUNDUP(AF759/BV759,0))</f>
        <v>1</v>
      </c>
      <c r="AH759" s="52" t="n">
        <f aca="false">IF(CL759&gt;0,CL759*MAX(1,AF759/X759),IF(BW759=1,IF(AF759&lt;=0,0,CA759*MAX(1,IF(H759&gt;0,AF759/H759,1))),IF(R759&gt;0,AG759/R759,0))/MAX(0.1,N(Parameter!$M$21)))</f>
        <v>0.00714285714285714</v>
      </c>
      <c r="AI759" s="50" t="n">
        <f aca="false">AH759*BY759</f>
        <v>1.10714285714286</v>
      </c>
      <c r="AJ759" s="50" t="n">
        <f aca="false">AF759*G759</f>
        <v>6.15</v>
      </c>
      <c r="AK759" s="50" t="n">
        <f aca="false">ROUNDUP(MAX(J759/IF(CD759&gt;0,CD759,MAX(0.1,N(Cockpit!$C$6))),CG759)/BV759,0)*BV759</f>
        <v>259</v>
      </c>
      <c r="AL759" s="51" t="n">
        <f aca="false">IF(AI759&gt;0,J759/AI759,-1)</f>
        <v>0</v>
      </c>
      <c r="AM759" s="51" t="n">
        <f aca="false">IF(AND(OR(CC759="L1",CC759="L23",CC759="LIFT"),AI759&gt;0),SUMIFS($AI$7:$AI$1843,$CC$7:$CC$1843,CC759,$AL$7:$AL$1843,"&gt;"&amp;AL759)+SUMIFS($AI$7:$AI$1843,$CC$7:$CC$1843,CC759,$AL$7:$AL$1843,AL759,$BT$7:$BT$1843,"&lt;="&amp;BT759),"")</f>
        <v>28720.87379452</v>
      </c>
      <c r="AN759" s="58" t="n">
        <f aca="false">IF(AM759="",0,MAX(0,MIN(1,(IF(CC759="L1",Parameter!$H$5,IF(CC759="L23",Parameter!$H$6+Parameter!$H$7,Parameter!$H$5+Parameter!$H$6+Parameter!$H$7))-(AM759-AI759))/AI759)))</f>
        <v>1</v>
      </c>
      <c r="AO759" s="50" t="n">
        <f aca="false">IF(LEFT(Cockpit!$I$5,1)="A",H759,IF(CE759=1,CF759,IF(LEFT(Cockpit!$I$5,1)="B",AT759,MAX(AT759,H759))))</f>
        <v>259</v>
      </c>
      <c r="AP759" s="50" t="n">
        <f aca="false">IF(BW759=1,0,ROUNDUP(AO759/BV759,0))</f>
        <v>1</v>
      </c>
      <c r="AQ759" s="52" t="n">
        <f aca="false">IF(CL759&gt;0,CL759*MAX(1,AO759/X759),IF(BW759=1,IF(AO759&lt;=0,0,CA759*MAX(1,IF(H759&gt;0,AO759/H759,1))),IF(R759&gt;0,AP759/R759,0))/MAX(0.1,N(Parameter!$M$21)))</f>
        <v>0.00714285714285714</v>
      </c>
      <c r="AR759" s="50" t="n">
        <f aca="false">AQ759*BY759</f>
        <v>1.10714285714286</v>
      </c>
      <c r="AS759" s="50" t="n">
        <f aca="false">AO759*G759</f>
        <v>7.77</v>
      </c>
      <c r="AT759" s="50" t="n">
        <f aca="false">ROUNDUP(MAX(J759/IF(CD759&gt;0,CD759,MAX(0.1,N(Cockpit!$I$6))),CG759)/BV759,0)*BV759</f>
        <v>259</v>
      </c>
      <c r="AU759" s="51" t="n">
        <f aca="false">IF(AR759&gt;0,J759/AR759,-1)</f>
        <v>0</v>
      </c>
      <c r="AV759" s="51" t="n">
        <f aca="false">IF(AND(OR(CC759="L1",CC759="L23",CC759="LIFT"),AR759&gt;0),SUMIFS($AR$7:$AR$1843,$CC$7:$CC$1843,CC759,$AU$7:$AU$1843,"&gt;"&amp;AU759)+SUMIFS($AR$7:$AR$1843,$CC$7:$CC$1843,CC759,$AU$7:$AU$1843,AU759,$BT$7:$BT$1843,"&lt;="&amp;BT759),"")</f>
        <v>40291.9290370646</v>
      </c>
      <c r="AW759" s="58" t="n">
        <f aca="false">IF(AV759="",0,MAX(0,MIN(1,(IF(CC759="L1",Parameter!$H$5,IF(CC759="L23",Parameter!$H$6+Parameter!$H$7,Parameter!$H$5+Parameter!$H$6+Parameter!$H$7))-(AV759-AR759))/AR759)))</f>
        <v>0</v>
      </c>
      <c r="AX759" s="50" t="n">
        <f aca="false">IF(LEFT(Cockpit!$O$5,1)="A",H759,IF(CE759=1,CF759,IF(LEFT(Cockpit!$O$5,1)="B",BC759,MAX(BC759,H759))))</f>
        <v>259</v>
      </c>
      <c r="AY759" s="50" t="n">
        <f aca="false">IF(BW759=1,0,ROUNDUP(AX759/BV759,0))</f>
        <v>1</v>
      </c>
      <c r="AZ759" s="52" t="n">
        <f aca="false">IF(CL759&gt;0,CL759*MAX(1,AX759/X759),IF(BW759=1,IF(AX759&lt;=0,0,CA759*MAX(1,IF(H759&gt;0,AX759/H759,1))),IF(R759&gt;0,AY759/R759,0))/MAX(0.1,N(Parameter!$M$21)))</f>
        <v>0.00714285714285714</v>
      </c>
      <c r="BA759" s="50" t="n">
        <f aca="false">AZ759*BY759</f>
        <v>1.10714285714286</v>
      </c>
      <c r="BB759" s="50" t="n">
        <f aca="false">AX759*G759</f>
        <v>7.77</v>
      </c>
      <c r="BC759" s="50" t="n">
        <f aca="false">ROUNDUP(MAX(J759/IF(CD759&gt;0,CD759,MAX(0.1,N(Cockpit!$O$6))),CG759)/BV759,0)*BV759</f>
        <v>259</v>
      </c>
      <c r="BD759" s="51" t="n">
        <f aca="false">IF(BA759&gt;0,J759/BA759,-1)</f>
        <v>0</v>
      </c>
      <c r="BE759" s="51" t="n">
        <f aca="false">IF(AND(OR(CC759="L1",CC759="L23",CC759="LIFT"),BA759&gt;0),SUMIFS($BA$7:$BA$1843,$CC$7:$CC$1843,CC759,$BD$7:$BD$1843,"&gt;"&amp;BD759)+SUMIFS($BA$7:$BA$1843,$CC$7:$CC$1843,CC759,$BD$7:$BD$1843,BD759,$BT$7:$BT$1843,"&lt;="&amp;BT759),"")</f>
        <v>36966.9410789305</v>
      </c>
      <c r="BF759" s="58" t="n">
        <f aca="false">IF(BE759="",0,MAX(0,MIN(1,(IF(CC759="L1",Parameter!$H$5,IF(CC759="L23",Parameter!$H$6+Parameter!$H$7,Parameter!$H$5+Parameter!$H$6+Parameter!$H$7))-(BE759-BA759))/BA759)))</f>
        <v>0</v>
      </c>
      <c r="BG759" s="48" t="str">
        <f aca="false">IF(AI759&lt;=0,"",IF(CC759="Aussen","Aussenlager",IF(CC759="-","Nicht im Lift",IF(AN759&gt;=1,"Lift",IF(AN759&lt;=0,"Aussenlager","teilweise")))))</f>
        <v>Lift</v>
      </c>
      <c r="BH759" s="48" t="str">
        <f aca="false">IF(AR759&lt;=0,"",IF(CC759="Aussen","Aussenlager",IF(CC759="-","Nicht im Lift",IF(AW759&gt;=1,"Lift",IF(AW759&lt;=0,"Aussenlager","teilweise")))))</f>
        <v>Aussenlager</v>
      </c>
      <c r="BI759" s="48" t="str">
        <f aca="false">IF(BA759&lt;=0,"",IF(CC759="Aussen","Aussenlager",IF(CC759="-","Nicht im Lift",IF(BF759&gt;=1,"Lift",IF(BF759&lt;=0,"Aussenlager","teilweise")))))</f>
        <v>Aussenlager</v>
      </c>
      <c r="BJ759" s="48" t="str">
        <f aca="false">IF(A759="","",IF(BS759=1,"Neu; ","")&amp;IF(AND(BS759=0,BN759&lt;0),"negativer Bestand (Export "&amp;BN759&amp;"); ","")&amp;IF(J759&lt;=0,"Kein Verbrauch; ","")&amp;IF(CL759&gt;0,"Lift "&amp;W759&amp;" lt. Liftbericht (Fach "&amp;X759&amp;" Stk); ",IF(BX759=1,"Gebinde geschätzt ("&amp;T759&amp;"); ",IF(BW759=1,"Lose – Tablare geschätzt; ","")))&amp;IF(H759&gt;AT759,"Überbestand "&amp;ROUND(H759-AT759,0)&amp;" Stk / CHF "&amp;ROUND((H759-AT759)*G759,0)&amp;"; ","")&amp;IF(AND(CE759=1,CF759&lt;CG759),"MAX &lt; MB+LG; ","")&amp;IF(AND(CK759&gt;0,CJ759*10&gt;CK759),"zu hoch für Tablar; ","")&amp;IF(AND(BS759=0,OR(CE759=1,AA759&lt;&gt;"",U759&lt;&gt;"",V759&lt;&gt;"",AB759&lt;&gt;"")),"manuell übersteuert; ","")&amp;IF(AND(BW759=0,R759=0),"Gebinde unbekannt / Stellmass fehlt; ","")&amp;IF(AND(BW759=0,N(V759)&lt;=0,N(Q759)&lt;=0),"Menge pro Gebinde fehlt (Ist = 1 Gebinde); ","")&amp;BR759)</f>
        <v>negativer Bestand (Export -20); Kein Verbrauch; Überbestand</v>
      </c>
      <c r="BK759" s="48"/>
      <c r="BL759" s="48"/>
      <c r="BM759" s="55"/>
      <c r="BN759" s="50" t="n">
        <v>-20</v>
      </c>
      <c r="BO759" s="50" t="n">
        <v>225</v>
      </c>
      <c r="BP759" s="49" t="n">
        <v>-0.6</v>
      </c>
      <c r="BQ759" s="50" t="n">
        <v>0</v>
      </c>
      <c r="BR759" s="48" t="s">
        <v>396</v>
      </c>
      <c r="BS759" s="53" t="n">
        <v>0</v>
      </c>
      <c r="BT759" s="53" t="n">
        <v>759</v>
      </c>
      <c r="BU759" s="48" t="str">
        <f aca="false">IF(U759&lt;&gt;"",UPPER(TRIM(U759)),IF(BX759=1,UPPER(VLOOKUP(T759,Parameter!$I$27:$K$29,2,0)),IF(P759="","LOSE",P759)))</f>
        <v>S22</v>
      </c>
      <c r="BV759" s="50" t="n">
        <f aca="false">IF(BU759="LOSE",1,IF(N(V759)&gt;0,V759,IF(BX759=1,MAX(1,N(VLOOKUP(T759,Parameter!$I$27:$K$29,3,0)),H759,N(N759)),IF(N(Q759)&gt;0,Q759,MAX(1,H759)))))</f>
        <v>259</v>
      </c>
      <c r="BW759" s="53" t="n">
        <f aca="false">IF(BU759="LOSE",1,0)</f>
        <v>0</v>
      </c>
      <c r="BX759" s="53" t="n">
        <f aca="false">IF(AND(U759="",OR(P759="",P759="LOSE"),T759&lt;&gt;"",N(S759)&lt;=0,ISNUMBER(MATCH(T759,Parameter!$I$27:$I$29,0))),1,0)</f>
        <v>0</v>
      </c>
      <c r="BY759" s="53" t="n">
        <f aca="false">IF(CL759&gt;0,INDEX(Parameter!$H$5:$H$7,W759)/INDEX(Parameter!$E$5:$E$7,W759),IF(AND(BW759=0,N(IFERROR(VLOOKUP(BU759,'Gebinde-Kategorie'!$A$5:$N$45,14,0),0))&gt;0),VLOOKUP(BU759,'Gebinde-Kategorie'!$A$5:$N$45,14,0)*10+Parameter!$M$23,Parameter!$M$24))</f>
        <v>155</v>
      </c>
      <c r="BZ759" s="48" t="str">
        <f aca="false">IF(AND(Parameter!$B$19="Ja",E759&lt;&gt;"",ISNUMBER(MATCH(E759,Parameter!$I$35:$I$52,0))),VLOOKUP(E759,Parameter!$I$35:$J$52,2,0),IFERROR(VLOOKUP(D759,Parameter!$A$35:$C$64,2,0),"Nein"))</f>
        <v>2+3</v>
      </c>
      <c r="CA759" s="52" t="n">
        <f aca="false">IF(BW759=0,0,IF(N(S759)&gt;0,S759,IFERROR(VLOOKUP(D759,Parameter!$A$35:$C$64,3,0)+0,0)))</f>
        <v>0</v>
      </c>
      <c r="CB759" s="48" t="n">
        <f aca="false">IF(AA759&lt;&gt;"",AA759,Z759)</f>
        <v>3</v>
      </c>
      <c r="CC759" s="48" t="str">
        <f aca="false">IF(OR(CB759=1,CB759=2,CB759=3),IF(Parameter!$E$27="Ja","LIFT",IF(CB759=1,"L1","L23")),IF(CB759="Aussen","Aussen","-"))</f>
        <v>LIFT</v>
      </c>
      <c r="CD759" s="59" t="n">
        <f aca="false">IF(N(AB759)&gt;0,AB759,0)</f>
        <v>0</v>
      </c>
      <c r="CE759" s="53" t="n">
        <f aca="false">IF(ISNUMBER(AE759),1,0)</f>
        <v>0</v>
      </c>
      <c r="CF759" s="50" t="n">
        <f aca="false">N(AE759)</f>
        <v>0</v>
      </c>
      <c r="CG759" s="50" t="n">
        <f aca="false">N(M759)+N(N759)</f>
        <v>1</v>
      </c>
      <c r="CH759" s="50" t="n">
        <f aca="false">ROUNDUP(H759/BV759,0)</f>
        <v>1</v>
      </c>
      <c r="CI759" s="50" t="n">
        <f aca="false">ROUNDUP(CF759/BV759,0)</f>
        <v>0</v>
      </c>
      <c r="CJ759" s="53" t="n">
        <f aca="false">IF(BW759=1,0,IFERROR(VLOOKUP(BU759,'Gebinde-Kategorie'!$A$5:$N$45,5,0)+0,0))</f>
        <v>8</v>
      </c>
      <c r="CK759" s="53" t="n">
        <f aca="false">IFERROR(IF(OR(CB759=1,CB759=2,CB759=3),N(INDEX(Parameter!$I$5:$I$7,CB759)),0),0)</f>
        <v>0</v>
      </c>
      <c r="CL759" s="52" t="n">
        <f aca="false">IF(AND(Parameter!$B$21="Ja",ISNUMBER(W759),N(X759)&gt;0),IFERROR(N(INDEX(Parameter!$L$5:$L$7,W759))*INDEX(Parameter!$E$5:$E$7,W759)*X759/SUMIFS($X$7:$X$1843,$W$7:$W$1843,W759),0),0)</f>
        <v>0</v>
      </c>
    </row>
    <row r="760" customFormat="false" ht="15" hidden="false" customHeight="false" outlineLevel="0" collapsed="false">
      <c r="A760" s="48" t="s">
        <v>1503</v>
      </c>
      <c r="B760" s="48" t="s">
        <v>1270</v>
      </c>
      <c r="C760" s="48" t="s">
        <v>168</v>
      </c>
      <c r="D760" s="48" t="s">
        <v>188</v>
      </c>
      <c r="E760" s="48"/>
      <c r="F760" s="48" t="s">
        <v>222</v>
      </c>
      <c r="G760" s="49" t="n">
        <v>0.09</v>
      </c>
      <c r="H760" s="50" t="n">
        <f aca="false">MAX(0,IF(AND(Parameter!$B$21="Ja",ISNUMBER(Y760)),Y760,IF(Parameter!$B$20="Jahresanfang 2025 + Export",BO760+BN760,BN760)))</f>
        <v>298</v>
      </c>
      <c r="I760" s="50" t="n">
        <f aca="false">H760*G760</f>
        <v>26.82</v>
      </c>
      <c r="J760" s="50" t="n">
        <f aca="false">BQ760*Parameter!$B$18</f>
        <v>4</v>
      </c>
      <c r="K760" s="51" t="n">
        <v>301.5</v>
      </c>
      <c r="L760" s="52" t="n">
        <v>0.0132669983416252</v>
      </c>
      <c r="M760" s="50" t="n">
        <v>0</v>
      </c>
      <c r="N760" s="50" t="n">
        <v>5</v>
      </c>
      <c r="O760" s="53" t="n">
        <v>21</v>
      </c>
      <c r="P760" s="48" t="s">
        <v>430</v>
      </c>
      <c r="Q760" s="50" t="n">
        <v>300</v>
      </c>
      <c r="R760" s="53" t="n">
        <f aca="false">IF(BW760=1,0,IFERROR(VLOOKUP(BU760,'Gebinde-Kategorie'!$A$5:$N$45,13,0)+0,0))</f>
        <v>140</v>
      </c>
      <c r="S760" s="54"/>
      <c r="T760" s="55"/>
      <c r="U760" s="55"/>
      <c r="V760" s="55"/>
      <c r="W760" s="48"/>
      <c r="X760" s="50"/>
      <c r="Y760" s="50"/>
      <c r="Z760" s="48" t="n">
        <f aca="false">IF(A760="","",IF(AND(Parameter!$B$21="Ja",ISNUMBER(W760)),W760,IF(BZ760="2+3",IF(ISNUMBER(SEARCH("grosser Artikel",BR760)),2,IFERROR(VLOOKUP(BU760,Parameter!$F$35:$G$64,2,0),2)),IF(OR(BZ760="Nein",BZ760=""),"-",BZ760))))</f>
        <v>3</v>
      </c>
      <c r="AA760" s="55"/>
      <c r="AB760" s="56"/>
      <c r="AC760" s="50" t="n">
        <f aca="false">AT760</f>
        <v>300</v>
      </c>
      <c r="AD760" s="50" t="n">
        <f aca="false">MAX(AT760,H760)</f>
        <v>300</v>
      </c>
      <c r="AE760" s="57"/>
      <c r="AF760" s="50" t="n">
        <f aca="false">IF(LEFT(Cockpit!$C$5,1)="A",H760,IF(CE760=1,CF760,IF(LEFT(Cockpit!$C$5,1)="B",AK760,MAX(AK760,H760))))</f>
        <v>298</v>
      </c>
      <c r="AG760" s="50" t="n">
        <f aca="false">IF(BW760=1,0,ROUNDUP(AF760/BV760,0))</f>
        <v>1</v>
      </c>
      <c r="AH760" s="52" t="n">
        <f aca="false">IF(CL760&gt;0,CL760*MAX(1,AF760/X760),IF(BW760=1,IF(AF760&lt;=0,0,CA760*MAX(1,IF(H760&gt;0,AF760/H760,1))),IF(R760&gt;0,AG760/R760,0))/MAX(0.1,N(Parameter!$M$21)))</f>
        <v>0.00714285714285714</v>
      </c>
      <c r="AI760" s="50" t="n">
        <f aca="false">AH760*BY760</f>
        <v>1.10714285714286</v>
      </c>
      <c r="AJ760" s="50" t="n">
        <f aca="false">AF760*G760</f>
        <v>26.82</v>
      </c>
      <c r="AK760" s="50" t="n">
        <f aca="false">ROUNDUP(MAX(J760/IF(CD760&gt;0,CD760,MAX(0.1,N(Cockpit!$C$6))),CG760)/BV760,0)*BV760</f>
        <v>300</v>
      </c>
      <c r="AL760" s="51" t="n">
        <f aca="false">IF(AI760&gt;0,J760/AI760,-1)</f>
        <v>3.61290322580645</v>
      </c>
      <c r="AM760" s="51" t="n">
        <f aca="false">IF(AND(OR(CC760="L1",CC760="L23",CC760="LIFT"),AI760&gt;0),SUMIFS($AI$7:$AI$1843,$CC$7:$CC$1843,CC760,$AL$7:$AL$1843,"&gt;"&amp;AL760)+SUMIFS($AI$7:$AI$1843,$CC$7:$CC$1843,CC760,$AL$7:$AL$1843,AL760,$BT$7:$BT$1843,"&lt;="&amp;BT760),"")</f>
        <v>4828.42765567766</v>
      </c>
      <c r="AN760" s="58" t="n">
        <f aca="false">IF(AM760="",0,MAX(0,MIN(1,(IF(CC760="L1",Parameter!$H$5,IF(CC760="L23",Parameter!$H$6+Parameter!$H$7,Parameter!$H$5+Parameter!$H$6+Parameter!$H$7))-(AM760-AI760))/AI760)))</f>
        <v>1</v>
      </c>
      <c r="AO760" s="50" t="n">
        <f aca="false">IF(LEFT(Cockpit!$I$5,1)="A",H760,IF(CE760=1,CF760,IF(LEFT(Cockpit!$I$5,1)="B",AT760,MAX(AT760,H760))))</f>
        <v>300</v>
      </c>
      <c r="AP760" s="50" t="n">
        <f aca="false">IF(BW760=1,0,ROUNDUP(AO760/BV760,0))</f>
        <v>1</v>
      </c>
      <c r="AQ760" s="52" t="n">
        <f aca="false">IF(CL760&gt;0,CL760*MAX(1,AO760/X760),IF(BW760=1,IF(AO760&lt;=0,0,CA760*MAX(1,IF(H760&gt;0,AO760/H760,1))),IF(R760&gt;0,AP760/R760,0))/MAX(0.1,N(Parameter!$M$21)))</f>
        <v>0.00714285714285714</v>
      </c>
      <c r="AR760" s="50" t="n">
        <f aca="false">AQ760*BY760</f>
        <v>1.10714285714286</v>
      </c>
      <c r="AS760" s="50" t="n">
        <f aca="false">AO760*G760</f>
        <v>27</v>
      </c>
      <c r="AT760" s="50" t="n">
        <f aca="false">ROUNDUP(MAX(J760/IF(CD760&gt;0,CD760,MAX(0.1,N(Cockpit!$I$6))),CG760)/BV760,0)*BV760</f>
        <v>300</v>
      </c>
      <c r="AU760" s="51" t="n">
        <f aca="false">IF(AR760&gt;0,J760/AR760,-1)</f>
        <v>3.61290322580645</v>
      </c>
      <c r="AV760" s="51" t="n">
        <f aca="false">IF(AND(OR(CC760="L1",CC760="L23",CC760="LIFT"),AR760&gt;0),SUMIFS($AR$7:$AR$1843,$CC$7:$CC$1843,CC760,$AU$7:$AU$1843,"&gt;"&amp;AU760)+SUMIFS($AR$7:$AR$1843,$CC$7:$CC$1843,CC760,$AU$7:$AU$1843,AU760,$BT$7:$BT$1843,"&lt;="&amp;BT760),"")</f>
        <v>5957.04624542125</v>
      </c>
      <c r="AW760" s="58" t="n">
        <f aca="false">IF(AV760="",0,MAX(0,MIN(1,(IF(CC760="L1",Parameter!$H$5,IF(CC760="L23",Parameter!$H$6+Parameter!$H$7,Parameter!$H$5+Parameter!$H$6+Parameter!$H$7))-(AV760-AR760))/AR760)))</f>
        <v>1</v>
      </c>
      <c r="AX760" s="50" t="n">
        <f aca="false">IF(LEFT(Cockpit!$O$5,1)="A",H760,IF(CE760=1,CF760,IF(LEFT(Cockpit!$O$5,1)="B",BC760,MAX(BC760,H760))))</f>
        <v>300</v>
      </c>
      <c r="AY760" s="50" t="n">
        <f aca="false">IF(BW760=1,0,ROUNDUP(AX760/BV760,0))</f>
        <v>1</v>
      </c>
      <c r="AZ760" s="52" t="n">
        <f aca="false">IF(CL760&gt;0,CL760*MAX(1,AX760/X760),IF(BW760=1,IF(AX760&lt;=0,0,CA760*MAX(1,IF(H760&gt;0,AX760/H760,1))),IF(R760&gt;0,AY760/R760,0))/MAX(0.1,N(Parameter!$M$21)))</f>
        <v>0.00714285714285714</v>
      </c>
      <c r="BA760" s="50" t="n">
        <f aca="false">AZ760*BY760</f>
        <v>1.10714285714286</v>
      </c>
      <c r="BB760" s="50" t="n">
        <f aca="false">AX760*G760</f>
        <v>27</v>
      </c>
      <c r="BC760" s="50" t="n">
        <f aca="false">ROUNDUP(MAX(J760/IF(CD760&gt;0,CD760,MAX(0.1,N(Cockpit!$O$6))),CG760)/BV760,0)*BV760</f>
        <v>300</v>
      </c>
      <c r="BD760" s="51" t="n">
        <f aca="false">IF(BA760&gt;0,J760/BA760,-1)</f>
        <v>3.61290322580645</v>
      </c>
      <c r="BE760" s="51" t="n">
        <f aca="false">IF(AND(OR(CC760="L1",CC760="L23",CC760="LIFT"),BA760&gt;0),SUMIFS($BA$7:$BA$1843,$CC$7:$CC$1843,CC760,$BD$7:$BD$1843,"&gt;"&amp;BD760)+SUMIFS($BA$7:$BA$1843,$CC$7:$CC$1843,CC760,$BD$7:$BD$1843,BD760,$BT$7:$BT$1843,"&lt;="&amp;BT760),"")</f>
        <v>5858.63278388278</v>
      </c>
      <c r="BF760" s="58" t="n">
        <f aca="false">IF(BE760="",0,MAX(0,MIN(1,(IF(CC760="L1",Parameter!$H$5,IF(CC760="L23",Parameter!$H$6+Parameter!$H$7,Parameter!$H$5+Parameter!$H$6+Parameter!$H$7))-(BE760-BA760))/BA760)))</f>
        <v>1</v>
      </c>
      <c r="BG760" s="48" t="str">
        <f aca="false">IF(AI760&lt;=0,"",IF(CC760="Aussen","Aussenlager",IF(CC760="-","Nicht im Lift",IF(AN760&gt;=1,"Lift",IF(AN760&lt;=0,"Aussenlager","teilweise")))))</f>
        <v>Lift</v>
      </c>
      <c r="BH760" s="48" t="str">
        <f aca="false">IF(AR760&lt;=0,"",IF(CC760="Aussen","Aussenlager",IF(CC760="-","Nicht im Lift",IF(AW760&gt;=1,"Lift",IF(AW760&lt;=0,"Aussenlager","teilweise")))))</f>
        <v>Lift</v>
      </c>
      <c r="BI760" s="48" t="str">
        <f aca="false">IF(BA760&lt;=0,"",IF(CC760="Aussen","Aussenlager",IF(CC760="-","Nicht im Lift",IF(BF760&gt;=1,"Lift",IF(BF760&lt;=0,"Aussenlager","teilweise")))))</f>
        <v>Lift</v>
      </c>
      <c r="BJ760" s="48" t="str">
        <f aca="false">IF(A760="","",IF(BS760=1,"Neu; ","")&amp;IF(AND(BS760=0,BN760&lt;0),"negativer Bestand (Export "&amp;BN760&amp;"); ","")&amp;IF(J760&lt;=0,"Kein Verbrauch; ","")&amp;IF(CL760&gt;0,"Lift "&amp;W760&amp;" lt. Liftbericht (Fach "&amp;X760&amp;" Stk); ",IF(BX760=1,"Gebinde geschätzt ("&amp;T760&amp;"); ",IF(BW760=1,"Lose – Tablare geschätzt; ","")))&amp;IF(H760&gt;AT760,"Überbestand "&amp;ROUND(H760-AT760,0)&amp;" Stk / CHF "&amp;ROUND((H760-AT760)*G760,0)&amp;"; ","")&amp;IF(AND(CE760=1,CF760&lt;CG760),"MAX &lt; MB+LG; ","")&amp;IF(AND(CK760&gt;0,CJ760*10&gt;CK760),"zu hoch für Tablar; ","")&amp;IF(AND(BS760=0,OR(CE760=1,AA760&lt;&gt;"",U760&lt;&gt;"",V760&lt;&gt;"",AB760&lt;&gt;"")),"manuell übersteuert; ","")&amp;IF(AND(BW760=0,R760=0),"Gebinde unbekannt / Stellmass fehlt; ","")&amp;IF(AND(BW760=0,N(V760)&lt;=0,N(Q760)&lt;=0),"Menge pro Gebinde fehlt (Ist = 1 Gebinde); ","")&amp;BR760)</f>
        <v>negativer Bestand (Export -7); </v>
      </c>
      <c r="BK760" s="48"/>
      <c r="BL760" s="48"/>
      <c r="BM760" s="55"/>
      <c r="BN760" s="50" t="n">
        <v>-7</v>
      </c>
      <c r="BO760" s="50" t="n">
        <v>305</v>
      </c>
      <c r="BP760" s="49" t="n">
        <v>-0.63</v>
      </c>
      <c r="BQ760" s="50" t="n">
        <v>4</v>
      </c>
      <c r="BR760" s="48"/>
      <c r="BS760" s="53" t="n">
        <v>0</v>
      </c>
      <c r="BT760" s="53" t="n">
        <v>760</v>
      </c>
      <c r="BU760" s="48" t="str">
        <f aca="false">IF(U760&lt;&gt;"",UPPER(TRIM(U760)),IF(BX760=1,UPPER(VLOOKUP(T760,Parameter!$I$27:$K$29,2,0)),IF(P760="","LOSE",P760)))</f>
        <v>S22</v>
      </c>
      <c r="BV760" s="50" t="n">
        <f aca="false">IF(BU760="LOSE",1,IF(N(V760)&gt;0,V760,IF(BX760=1,MAX(1,N(VLOOKUP(T760,Parameter!$I$27:$K$29,3,0)),H760,N(N760)),IF(N(Q760)&gt;0,Q760,MAX(1,H760)))))</f>
        <v>300</v>
      </c>
      <c r="BW760" s="53" t="n">
        <f aca="false">IF(BU760="LOSE",1,0)</f>
        <v>0</v>
      </c>
      <c r="BX760" s="53" t="n">
        <f aca="false">IF(AND(U760="",OR(P760="",P760="LOSE"),T760&lt;&gt;"",N(S760)&lt;=0,ISNUMBER(MATCH(T760,Parameter!$I$27:$I$29,0))),1,0)</f>
        <v>0</v>
      </c>
      <c r="BY760" s="53" t="n">
        <f aca="false">IF(CL760&gt;0,INDEX(Parameter!$H$5:$H$7,W760)/INDEX(Parameter!$E$5:$E$7,W760),IF(AND(BW760=0,N(IFERROR(VLOOKUP(BU760,'Gebinde-Kategorie'!$A$5:$N$45,14,0),0))&gt;0),VLOOKUP(BU760,'Gebinde-Kategorie'!$A$5:$N$45,14,0)*10+Parameter!$M$23,Parameter!$M$24))</f>
        <v>155</v>
      </c>
      <c r="BZ760" s="48" t="str">
        <f aca="false">IF(AND(Parameter!$B$19="Ja",E760&lt;&gt;"",ISNUMBER(MATCH(E760,Parameter!$I$35:$I$52,0))),VLOOKUP(E760,Parameter!$I$35:$J$52,2,0),IFERROR(VLOOKUP(D760,Parameter!$A$35:$C$64,2,0),"Nein"))</f>
        <v>2+3</v>
      </c>
      <c r="CA760" s="52" t="n">
        <f aca="false">IF(BW760=0,0,IF(N(S760)&gt;0,S760,IFERROR(VLOOKUP(D760,Parameter!$A$35:$C$64,3,0)+0,0)))</f>
        <v>0</v>
      </c>
      <c r="CB760" s="48" t="n">
        <f aca="false">IF(AA760&lt;&gt;"",AA760,Z760)</f>
        <v>3</v>
      </c>
      <c r="CC760" s="48" t="str">
        <f aca="false">IF(OR(CB760=1,CB760=2,CB760=3),IF(Parameter!$E$27="Ja","LIFT",IF(CB760=1,"L1","L23")),IF(CB760="Aussen","Aussen","-"))</f>
        <v>LIFT</v>
      </c>
      <c r="CD760" s="59" t="n">
        <f aca="false">IF(N(AB760)&gt;0,AB760,0)</f>
        <v>0</v>
      </c>
      <c r="CE760" s="53" t="n">
        <f aca="false">IF(ISNUMBER(AE760),1,0)</f>
        <v>0</v>
      </c>
      <c r="CF760" s="50" t="n">
        <f aca="false">N(AE760)</f>
        <v>0</v>
      </c>
      <c r="CG760" s="50" t="n">
        <f aca="false">N(M760)+N(N760)</f>
        <v>5</v>
      </c>
      <c r="CH760" s="50" t="n">
        <f aca="false">ROUNDUP(H760/BV760,0)</f>
        <v>1</v>
      </c>
      <c r="CI760" s="50" t="n">
        <f aca="false">ROUNDUP(CF760/BV760,0)</f>
        <v>0</v>
      </c>
      <c r="CJ760" s="53" t="n">
        <f aca="false">IF(BW760=1,0,IFERROR(VLOOKUP(BU760,'Gebinde-Kategorie'!$A$5:$N$45,5,0)+0,0))</f>
        <v>8</v>
      </c>
      <c r="CK760" s="53" t="n">
        <f aca="false">IFERROR(IF(OR(CB760=1,CB760=2,CB760=3),N(INDEX(Parameter!$I$5:$I$7,CB760)),0),0)</f>
        <v>0</v>
      </c>
      <c r="CL760" s="52" t="n">
        <f aca="false">IF(AND(Parameter!$B$21="Ja",ISNUMBER(W760),N(X760)&gt;0),IFERROR(N(INDEX(Parameter!$L$5:$L$7,W760))*INDEX(Parameter!$E$5:$E$7,W760)*X760/SUMIFS($X$7:$X$1843,$W$7:$W$1843,W760),0),0)</f>
        <v>0</v>
      </c>
    </row>
    <row r="761" customFormat="false" ht="15" hidden="false" customHeight="false" outlineLevel="0" collapsed="false">
      <c r="A761" s="48" t="s">
        <v>1504</v>
      </c>
      <c r="B761" s="48" t="s">
        <v>1505</v>
      </c>
      <c r="C761" s="48" t="s">
        <v>460</v>
      </c>
      <c r="D761" s="48" t="s">
        <v>177</v>
      </c>
      <c r="E761" s="48"/>
      <c r="F761" s="48" t="s">
        <v>222</v>
      </c>
      <c r="G761" s="49" t="n">
        <v>0.01</v>
      </c>
      <c r="H761" s="50" t="n">
        <f aca="false">MAX(0,IF(AND(Parameter!$B$21="Ja",ISNUMBER(Y761)),Y761,IF(Parameter!$B$20="Jahresanfang 2025 + Export",BO761+BN761,BN761)))</f>
        <v>0</v>
      </c>
      <c r="I761" s="50" t="n">
        <f aca="false">H761*G761</f>
        <v>0</v>
      </c>
      <c r="J761" s="50" t="n">
        <f aca="false">BQ761*Parameter!$B$18</f>
        <v>35</v>
      </c>
      <c r="K761" s="51" t="n">
        <v>79.5</v>
      </c>
      <c r="L761" s="52" t="n">
        <v>0.440251572327044</v>
      </c>
      <c r="M761" s="50" t="n">
        <v>0</v>
      </c>
      <c r="N761" s="50" t="n">
        <v>105</v>
      </c>
      <c r="O761" s="53" t="n">
        <v>14</v>
      </c>
      <c r="P761" s="48" t="s">
        <v>172</v>
      </c>
      <c r="Q761" s="50"/>
      <c r="R761" s="53" t="n">
        <f aca="false">IF(BW761=1,0,IFERROR(VLOOKUP(BU761,'Gebinde-Kategorie'!$A$5:$N$45,13,0)+0,0))</f>
        <v>12</v>
      </c>
      <c r="S761" s="54"/>
      <c r="T761" s="55" t="s">
        <v>183</v>
      </c>
      <c r="U761" s="55"/>
      <c r="V761" s="55"/>
      <c r="W761" s="48"/>
      <c r="X761" s="50"/>
      <c r="Y761" s="50"/>
      <c r="Z761" s="48" t="n">
        <f aca="false">IF(A761="","",IF(AND(Parameter!$B$21="Ja",ISNUMBER(W761)),W761,IF(BZ761="2+3",IF(ISNUMBER(SEARCH("grosser Artikel",BR761)),2,IFERROR(VLOOKUP(BU761,Parameter!$F$35:$G$64,2,0),2)),IF(OR(BZ761="Nein",BZ761=""),"-",BZ761))))</f>
        <v>2</v>
      </c>
      <c r="AA761" s="55"/>
      <c r="AB761" s="56"/>
      <c r="AC761" s="50" t="n">
        <f aca="false">AT761</f>
        <v>105</v>
      </c>
      <c r="AD761" s="50" t="n">
        <f aca="false">MAX(AT761,H761)</f>
        <v>105</v>
      </c>
      <c r="AE761" s="57"/>
      <c r="AF761" s="50" t="n">
        <f aca="false">IF(LEFT(Cockpit!$C$5,1)="A",H761,IF(CE761=1,CF761,IF(LEFT(Cockpit!$C$5,1)="B",AK761,MAX(AK761,H761))))</f>
        <v>0</v>
      </c>
      <c r="AG761" s="50" t="n">
        <f aca="false">IF(BW761=1,0,ROUNDUP(AF761/BV761,0))</f>
        <v>0</v>
      </c>
      <c r="AH761" s="52" t="n">
        <f aca="false">IF(CL761&gt;0,CL761*MAX(1,AF761/X761),IF(BW761=1,IF(AF761&lt;=0,0,CA761*MAX(1,IF(H761&gt;0,AF761/H761,1))),IF(R761&gt;0,AG761/R761,0))/MAX(0.1,N(Parameter!$M$21)))</f>
        <v>0</v>
      </c>
      <c r="AI761" s="50" t="n">
        <f aca="false">AH761*BY761</f>
        <v>0</v>
      </c>
      <c r="AJ761" s="50" t="n">
        <f aca="false">AF761*G761</f>
        <v>0</v>
      </c>
      <c r="AK761" s="50" t="n">
        <f aca="false">ROUNDUP(MAX(J761/IF(CD761&gt;0,CD761,MAX(0.1,N(Cockpit!$C$6))),CG761)/BV761,0)*BV761</f>
        <v>105</v>
      </c>
      <c r="AL761" s="51" t="n">
        <f aca="false">IF(AI761&gt;0,J761/AI761,-1)</f>
        <v>-1</v>
      </c>
      <c r="AM761" s="51" t="str">
        <f aca="false">IF(AND(OR(CC761="L1",CC761="L23",CC761="LIFT"),AI761&gt;0),SUMIFS($AI$7:$AI$1843,$CC$7:$CC$1843,CC761,$AL$7:$AL$1843,"&gt;"&amp;AL761)+SUMIFS($AI$7:$AI$1843,$CC$7:$CC$1843,CC761,$AL$7:$AL$1843,AL761,$BT$7:$BT$1843,"&lt;="&amp;BT761),"")</f>
        <v/>
      </c>
      <c r="AN761" s="58" t="n">
        <f aca="false">IF(AM761="",0,MAX(0,MIN(1,(IF(CC761="L1",Parameter!$H$5,IF(CC761="L23",Parameter!$H$6+Parameter!$H$7,Parameter!$H$5+Parameter!$H$6+Parameter!$H$7))-(AM761-AI761))/AI761)))</f>
        <v>0</v>
      </c>
      <c r="AO761" s="50" t="n">
        <f aca="false">IF(LEFT(Cockpit!$I$5,1)="A",H761,IF(CE761=1,CF761,IF(LEFT(Cockpit!$I$5,1)="B",AT761,MAX(AT761,H761))))</f>
        <v>105</v>
      </c>
      <c r="AP761" s="50" t="n">
        <f aca="false">IF(BW761=1,0,ROUNDUP(AO761/BV761,0))</f>
        <v>1</v>
      </c>
      <c r="AQ761" s="52" t="n">
        <f aca="false">IF(CL761&gt;0,CL761*MAX(1,AO761/X761),IF(BW761=1,IF(AO761&lt;=0,0,CA761*MAX(1,IF(H761&gt;0,AO761/H761,1))),IF(R761&gt;0,AP761/R761,0))/MAX(0.1,N(Parameter!$M$21)))</f>
        <v>0.0833333333333333</v>
      </c>
      <c r="AR761" s="50" t="n">
        <f aca="false">AQ761*BY761</f>
        <v>12.0833333333333</v>
      </c>
      <c r="AS761" s="50" t="n">
        <f aca="false">AO761*G761</f>
        <v>1.05</v>
      </c>
      <c r="AT761" s="50" t="n">
        <f aca="false">ROUNDUP(MAX(J761/IF(CD761&gt;0,CD761,MAX(0.1,N(Cockpit!$I$6))),CG761)/BV761,0)*BV761</f>
        <v>105</v>
      </c>
      <c r="AU761" s="51" t="n">
        <f aca="false">IF(AR761&gt;0,J761/AR761,-1)</f>
        <v>2.89655172413793</v>
      </c>
      <c r="AV761" s="51" t="n">
        <f aca="false">IF(AND(OR(CC761="L1",CC761="L23",CC761="LIFT"),AR761&gt;0),SUMIFS($AR$7:$AR$1843,$CC$7:$CC$1843,CC761,$AU$7:$AU$1843,"&gt;"&amp;AU761)+SUMIFS($AR$7:$AR$1843,$CC$7:$CC$1843,CC761,$AU$7:$AU$1843,AU761,$BT$7:$BT$1843,"&lt;="&amp;BT761),"")</f>
        <v>6343.54945054945</v>
      </c>
      <c r="AW761" s="58" t="n">
        <f aca="false">IF(AV761="",0,MAX(0,MIN(1,(IF(CC761="L1",Parameter!$H$5,IF(CC761="L23",Parameter!$H$6+Parameter!$H$7,Parameter!$H$5+Parameter!$H$6+Parameter!$H$7))-(AV761-AR761))/AR761)))</f>
        <v>1</v>
      </c>
      <c r="AX761" s="50" t="n">
        <f aca="false">IF(LEFT(Cockpit!$O$5,1)="A",H761,IF(CE761=1,CF761,IF(LEFT(Cockpit!$O$5,1)="B",BC761,MAX(BC761,H761))))</f>
        <v>105</v>
      </c>
      <c r="AY761" s="50" t="n">
        <f aca="false">IF(BW761=1,0,ROUNDUP(AX761/BV761,0))</f>
        <v>1</v>
      </c>
      <c r="AZ761" s="52" t="n">
        <f aca="false">IF(CL761&gt;0,CL761*MAX(1,AX761/X761),IF(BW761=1,IF(AX761&lt;=0,0,CA761*MAX(1,IF(H761&gt;0,AX761/H761,1))),IF(R761&gt;0,AY761/R761,0))/MAX(0.1,N(Parameter!$M$21)))</f>
        <v>0.0833333333333333</v>
      </c>
      <c r="BA761" s="50" t="n">
        <f aca="false">AZ761*BY761</f>
        <v>12.0833333333333</v>
      </c>
      <c r="BB761" s="50" t="n">
        <f aca="false">AX761*G761</f>
        <v>1.05</v>
      </c>
      <c r="BC761" s="50" t="n">
        <f aca="false">ROUNDUP(MAX(J761/IF(CD761&gt;0,CD761,MAX(0.1,N(Cockpit!$O$6))),CG761)/BV761,0)*BV761</f>
        <v>105</v>
      </c>
      <c r="BD761" s="51" t="n">
        <f aca="false">IF(BA761&gt;0,J761/BA761,-1)</f>
        <v>2.89655172413793</v>
      </c>
      <c r="BE761" s="51" t="n">
        <f aca="false">IF(AND(OR(CC761="L1",CC761="L23",CC761="LIFT"),BA761&gt;0),SUMIFS($BA$7:$BA$1843,$CC$7:$CC$1843,CC761,$BD$7:$BD$1843,"&gt;"&amp;BD761)+SUMIFS($BA$7:$BA$1843,$CC$7:$CC$1843,CC761,$BD$7:$BD$1843,BD761,$BT$7:$BT$1843,"&lt;="&amp;BT761),"")</f>
        <v>6364.71932234432</v>
      </c>
      <c r="BF761" s="58" t="n">
        <f aca="false">IF(BE761="",0,MAX(0,MIN(1,(IF(CC761="L1",Parameter!$H$5,IF(CC761="L23",Parameter!$H$6+Parameter!$H$7,Parameter!$H$5+Parameter!$H$6+Parameter!$H$7))-(BE761-BA761))/BA761)))</f>
        <v>1</v>
      </c>
      <c r="BG761" s="48" t="str">
        <f aca="false">IF(AI761&lt;=0,"",IF(CC761="Aussen","Aussenlager",IF(CC761="-","Nicht im Lift",IF(AN761&gt;=1,"Lift",IF(AN761&lt;=0,"Aussenlager","teilweise")))))</f>
        <v/>
      </c>
      <c r="BH761" s="48" t="str">
        <f aca="false">IF(AR761&lt;=0,"",IF(CC761="Aussen","Aussenlager",IF(CC761="-","Nicht im Lift",IF(AW761&gt;=1,"Lift",IF(AW761&lt;=0,"Aussenlager","teilweise")))))</f>
        <v>Lift</v>
      </c>
      <c r="BI761" s="48" t="str">
        <f aca="false">IF(BA761&lt;=0,"",IF(CC761="Aussen","Aussenlager",IF(CC761="-","Nicht im Lift",IF(BF761&gt;=1,"Lift",IF(BF761&lt;=0,"Aussenlager","teilweise")))))</f>
        <v>Lift</v>
      </c>
      <c r="BJ761" s="48" t="str">
        <f aca="false">IF(A761="","",IF(BS761=1,"Neu; ","")&amp;IF(AND(BS761=0,BN761&lt;0),"negativer Bestand (Export "&amp;BN761&amp;"); ","")&amp;IF(J761&lt;=0,"Kein Verbrauch; ","")&amp;IF(CL761&gt;0,"Lift "&amp;W761&amp;" lt. Liftbericht (Fach "&amp;X761&amp;" Stk); ",IF(BX761=1,"Gebinde geschätzt ("&amp;T761&amp;"); ",IF(BW761=1,"Lose – Tablare geschätzt; ","")))&amp;IF(H761&gt;AT761,"Überbestand "&amp;ROUND(H761-AT761,0)&amp;" Stk / CHF "&amp;ROUND((H761-AT761)*G761,0)&amp;"; ","")&amp;IF(AND(CE761=1,CF761&lt;CG761),"MAX &lt; MB+LG; ","")&amp;IF(AND(CK761&gt;0,CJ761*10&gt;CK761),"zu hoch für Tablar; ","")&amp;IF(AND(BS761=0,OR(CE761=1,AA761&lt;&gt;"",U761&lt;&gt;"",V761&lt;&gt;"",AB761&lt;&gt;"")),"manuell übersteuert; ","")&amp;IF(AND(BW761=0,R761=0),"Gebinde unbekannt / Stellmass fehlt; ","")&amp;IF(AND(BW761=0,N(V761)&lt;=0,N(Q761)&lt;=0),"Menge pro Gebinde fehlt (Ist = 1 Gebinde); ","")&amp;BR761)</f>
        <v>negativer Bestand (Export -67); Gebinde geschätzt (Mittel); Menge pro Gebinde fehlt (Ist = 1 Gebinde); </v>
      </c>
      <c r="BK761" s="48"/>
      <c r="BL761" s="48"/>
      <c r="BM761" s="55"/>
      <c r="BN761" s="50" t="n">
        <v>-67</v>
      </c>
      <c r="BO761" s="50" t="n">
        <v>67</v>
      </c>
      <c r="BP761" s="49" t="n">
        <v>-0.67</v>
      </c>
      <c r="BQ761" s="50" t="n">
        <v>35</v>
      </c>
      <c r="BR761" s="48"/>
      <c r="BS761" s="53" t="n">
        <v>0</v>
      </c>
      <c r="BT761" s="53" t="n">
        <v>761</v>
      </c>
      <c r="BU761" s="48" t="str">
        <f aca="false">IF(U761&lt;&gt;"",UPPER(TRIM(U761)),IF(BX761=1,UPPER(VLOOKUP(T761,Parameter!$I$27:$K$29,2,0)),IF(P761="","LOSE",P761)))</f>
        <v>S61</v>
      </c>
      <c r="BV761" s="50" t="n">
        <f aca="false">IF(BU761="LOSE",1,IF(N(V761)&gt;0,V761,IF(BX761=1,MAX(1,N(VLOOKUP(T761,Parameter!$I$27:$K$29,3,0)),H761,N(N761)),IF(N(Q761)&gt;0,Q761,MAX(1,H761)))))</f>
        <v>105</v>
      </c>
      <c r="BW761" s="53" t="n">
        <f aca="false">IF(BU761="LOSE",1,0)</f>
        <v>0</v>
      </c>
      <c r="BX761" s="53" t="n">
        <f aca="false">IF(AND(U761="",OR(P761="",P761="LOSE"),T761&lt;&gt;"",N(S761)&lt;=0,ISNUMBER(MATCH(T761,Parameter!$I$27:$I$29,0))),1,0)</f>
        <v>1</v>
      </c>
      <c r="BY761" s="53" t="n">
        <f aca="false">IF(CL761&gt;0,INDEX(Parameter!$H$5:$H$7,W761)/INDEX(Parameter!$E$5:$E$7,W761),IF(AND(BW761=0,N(IFERROR(VLOOKUP(BU761,'Gebinde-Kategorie'!$A$5:$N$45,14,0),0))&gt;0),VLOOKUP(BU761,'Gebinde-Kategorie'!$A$5:$N$45,14,0)*10+Parameter!$M$23,Parameter!$M$24))</f>
        <v>145</v>
      </c>
      <c r="BZ761" s="48" t="str">
        <f aca="false">IF(AND(Parameter!$B$19="Ja",E761&lt;&gt;"",ISNUMBER(MATCH(E761,Parameter!$I$35:$I$52,0))),VLOOKUP(E761,Parameter!$I$35:$J$52,2,0),IFERROR(VLOOKUP(D761,Parameter!$A$35:$C$64,2,0),"Nein"))</f>
        <v>2+3</v>
      </c>
      <c r="CA761" s="52" t="n">
        <f aca="false">IF(BW761=0,0,IF(N(S761)&gt;0,S761,IFERROR(VLOOKUP(D761,Parameter!$A$35:$C$64,3,0)+0,0)))</f>
        <v>0</v>
      </c>
      <c r="CB761" s="48" t="n">
        <f aca="false">IF(AA761&lt;&gt;"",AA761,Z761)</f>
        <v>2</v>
      </c>
      <c r="CC761" s="48" t="str">
        <f aca="false">IF(OR(CB761=1,CB761=2,CB761=3),IF(Parameter!$E$27="Ja","LIFT",IF(CB761=1,"L1","L23")),IF(CB761="Aussen","Aussen","-"))</f>
        <v>LIFT</v>
      </c>
      <c r="CD761" s="59" t="n">
        <f aca="false">IF(N(AB761)&gt;0,AB761,0)</f>
        <v>0</v>
      </c>
      <c r="CE761" s="53" t="n">
        <f aca="false">IF(ISNUMBER(AE761),1,0)</f>
        <v>0</v>
      </c>
      <c r="CF761" s="50" t="n">
        <f aca="false">N(AE761)</f>
        <v>0</v>
      </c>
      <c r="CG761" s="50" t="n">
        <f aca="false">N(M761)+N(N761)</f>
        <v>105</v>
      </c>
      <c r="CH761" s="50" t="n">
        <f aca="false">ROUNDUP(H761/BV761,0)</f>
        <v>0</v>
      </c>
      <c r="CI761" s="50" t="n">
        <f aca="false">ROUNDUP(CF761/BV761,0)</f>
        <v>0</v>
      </c>
      <c r="CJ761" s="53" t="n">
        <f aca="false">IF(BW761=1,0,IFERROR(VLOOKUP(BU761,'Gebinde-Kategorie'!$A$5:$N$45,5,0)+0,0))</f>
        <v>11</v>
      </c>
      <c r="CK761" s="53" t="n">
        <f aca="false">IFERROR(IF(OR(CB761=1,CB761=2,CB761=3),N(INDEX(Parameter!$I$5:$I$7,CB761)),0),0)</f>
        <v>0</v>
      </c>
      <c r="CL761" s="52" t="n">
        <f aca="false">IF(AND(Parameter!$B$21="Ja",ISNUMBER(W761),N(X761)&gt;0),IFERROR(N(INDEX(Parameter!$L$5:$L$7,W761))*INDEX(Parameter!$E$5:$E$7,W761)*X761/SUMIFS($X$7:$X$1843,$W$7:$W$1843,W761),0),0)</f>
        <v>0</v>
      </c>
    </row>
    <row r="762" customFormat="false" ht="15" hidden="false" customHeight="false" outlineLevel="0" collapsed="false">
      <c r="A762" s="48" t="s">
        <v>1506</v>
      </c>
      <c r="B762" s="48" t="s">
        <v>409</v>
      </c>
      <c r="C762" s="48" t="s">
        <v>168</v>
      </c>
      <c r="D762" s="48" t="s">
        <v>188</v>
      </c>
      <c r="E762" s="48" t="s">
        <v>189</v>
      </c>
      <c r="F762" s="48" t="s">
        <v>222</v>
      </c>
      <c r="G762" s="49" t="n">
        <v>0.02</v>
      </c>
      <c r="H762" s="50" t="n">
        <f aca="false">MAX(0,IF(AND(Parameter!$B$21="Ja",ISNUMBER(Y762)),Y762,IF(Parameter!$B$20="Jahresanfang 2025 + Export",BO762+BN762,BN762)))</f>
        <v>670</v>
      </c>
      <c r="I762" s="50" t="n">
        <f aca="false">H762*G762</f>
        <v>13.4</v>
      </c>
      <c r="J762" s="50" t="n">
        <f aca="false">BQ762*Parameter!$B$18</f>
        <v>16</v>
      </c>
      <c r="K762" s="51" t="n">
        <v>695</v>
      </c>
      <c r="L762" s="52" t="n">
        <v>0.023021582733813</v>
      </c>
      <c r="M762" s="50" t="n">
        <v>0</v>
      </c>
      <c r="N762" s="50" t="n">
        <v>15</v>
      </c>
      <c r="O762" s="53" t="n">
        <v>14</v>
      </c>
      <c r="P762" s="48" t="s">
        <v>480</v>
      </c>
      <c r="Q762" s="50" t="n">
        <v>752</v>
      </c>
      <c r="R762" s="53" t="n">
        <f aca="false">IF(BW762=1,0,IFERROR(VLOOKUP(BU762,'Gebinde-Kategorie'!$A$5:$N$45,13,0)+0,0))</f>
        <v>52</v>
      </c>
      <c r="S762" s="54"/>
      <c r="T762" s="55"/>
      <c r="U762" s="55"/>
      <c r="V762" s="55"/>
      <c r="W762" s="48"/>
      <c r="X762" s="50"/>
      <c r="Y762" s="50"/>
      <c r="Z762" s="48" t="n">
        <f aca="false">IF(A762="","",IF(AND(Parameter!$B$21="Ja",ISNUMBER(W762)),W762,IF(BZ762="2+3",IF(ISNUMBER(SEARCH("grosser Artikel",BR762)),2,IFERROR(VLOOKUP(BU762,Parameter!$F$35:$G$64,2,0),2)),IF(OR(BZ762="Nein",BZ762=""),"-",BZ762))))</f>
        <v>3</v>
      </c>
      <c r="AA762" s="55"/>
      <c r="AB762" s="56"/>
      <c r="AC762" s="50" t="n">
        <f aca="false">AT762</f>
        <v>752</v>
      </c>
      <c r="AD762" s="50" t="n">
        <f aca="false">MAX(AT762,H762)</f>
        <v>752</v>
      </c>
      <c r="AE762" s="57"/>
      <c r="AF762" s="50" t="n">
        <f aca="false">IF(LEFT(Cockpit!$C$5,1)="A",H762,IF(CE762=1,CF762,IF(LEFT(Cockpit!$C$5,1)="B",AK762,MAX(AK762,H762))))</f>
        <v>670</v>
      </c>
      <c r="AG762" s="50" t="n">
        <f aca="false">IF(BW762=1,0,ROUNDUP(AF762/BV762,0))</f>
        <v>1</v>
      </c>
      <c r="AH762" s="52" t="n">
        <f aca="false">IF(CL762&gt;0,CL762*MAX(1,AF762/X762),IF(BW762=1,IF(AF762&lt;=0,0,CA762*MAX(1,IF(H762&gt;0,AF762/H762,1))),IF(R762&gt;0,AG762/R762,0))/MAX(0.1,N(Parameter!$M$21)))</f>
        <v>0.0192307692307692</v>
      </c>
      <c r="AI762" s="50" t="n">
        <f aca="false">AH762*BY762</f>
        <v>2.98076923076923</v>
      </c>
      <c r="AJ762" s="50" t="n">
        <f aca="false">AF762*G762</f>
        <v>13.4</v>
      </c>
      <c r="AK762" s="50" t="n">
        <f aca="false">ROUNDUP(MAX(J762/IF(CD762&gt;0,CD762,MAX(0.1,N(Cockpit!$C$6))),CG762)/BV762,0)*BV762</f>
        <v>752</v>
      </c>
      <c r="AL762" s="51" t="n">
        <f aca="false">IF(AI762&gt;0,J762/AI762,-1)</f>
        <v>5.36774193548387</v>
      </c>
      <c r="AM762" s="51" t="n">
        <f aca="false">IF(AND(OR(CC762="L1",CC762="L23",CC762="LIFT"),AI762&gt;0),SUMIFS($AI$7:$AI$1843,$CC$7:$CC$1843,CC762,$AL$7:$AL$1843,"&gt;"&amp;AL762)+SUMIFS($AI$7:$AI$1843,$CC$7:$CC$1843,CC762,$AL$7:$AL$1843,AL762,$BT$7:$BT$1843,"&lt;="&amp;BT762),"")</f>
        <v>3726.19139194139</v>
      </c>
      <c r="AN762" s="58" t="n">
        <f aca="false">IF(AM762="",0,MAX(0,MIN(1,(IF(CC762="L1",Parameter!$H$5,IF(CC762="L23",Parameter!$H$6+Parameter!$H$7,Parameter!$H$5+Parameter!$H$6+Parameter!$H$7))-(AM762-AI762))/AI762)))</f>
        <v>1</v>
      </c>
      <c r="AO762" s="50" t="n">
        <f aca="false">IF(LEFT(Cockpit!$I$5,1)="A",H762,IF(CE762=1,CF762,IF(LEFT(Cockpit!$I$5,1)="B",AT762,MAX(AT762,H762))))</f>
        <v>752</v>
      </c>
      <c r="AP762" s="50" t="n">
        <f aca="false">IF(BW762=1,0,ROUNDUP(AO762/BV762,0))</f>
        <v>1</v>
      </c>
      <c r="AQ762" s="52" t="n">
        <f aca="false">IF(CL762&gt;0,CL762*MAX(1,AO762/X762),IF(BW762=1,IF(AO762&lt;=0,0,CA762*MAX(1,IF(H762&gt;0,AO762/H762,1))),IF(R762&gt;0,AP762/R762,0))/MAX(0.1,N(Parameter!$M$21)))</f>
        <v>0.0192307692307692</v>
      </c>
      <c r="AR762" s="50" t="n">
        <f aca="false">AQ762*BY762</f>
        <v>2.98076923076923</v>
      </c>
      <c r="AS762" s="50" t="n">
        <f aca="false">AO762*G762</f>
        <v>15.04</v>
      </c>
      <c r="AT762" s="50" t="n">
        <f aca="false">ROUNDUP(MAX(J762/IF(CD762&gt;0,CD762,MAX(0.1,N(Cockpit!$I$6))),CG762)/BV762,0)*BV762</f>
        <v>752</v>
      </c>
      <c r="AU762" s="51" t="n">
        <f aca="false">IF(AR762&gt;0,J762/AR762,-1)</f>
        <v>5.36774193548387</v>
      </c>
      <c r="AV762" s="51" t="n">
        <f aca="false">IF(AND(OR(CC762="L1",CC762="L23",CC762="LIFT"),AR762&gt;0),SUMIFS($AR$7:$AR$1843,$CC$7:$CC$1843,CC762,$AU$7:$AU$1843,"&gt;"&amp;AU762)+SUMIFS($AR$7:$AR$1843,$CC$7:$CC$1843,CC762,$AU$7:$AU$1843,AU762,$BT$7:$BT$1843,"&lt;="&amp;BT762),"")</f>
        <v>4910.49084249084</v>
      </c>
      <c r="AW762" s="58" t="n">
        <f aca="false">IF(AV762="",0,MAX(0,MIN(1,(IF(CC762="L1",Parameter!$H$5,IF(CC762="L23",Parameter!$H$6+Parameter!$H$7,Parameter!$H$5+Parameter!$H$6+Parameter!$H$7))-(AV762-AR762))/AR762)))</f>
        <v>1</v>
      </c>
      <c r="AX762" s="50" t="n">
        <f aca="false">IF(LEFT(Cockpit!$O$5,1)="A",H762,IF(CE762=1,CF762,IF(LEFT(Cockpit!$O$5,1)="B",BC762,MAX(BC762,H762))))</f>
        <v>752</v>
      </c>
      <c r="AY762" s="50" t="n">
        <f aca="false">IF(BW762=1,0,ROUNDUP(AX762/BV762,0))</f>
        <v>1</v>
      </c>
      <c r="AZ762" s="52" t="n">
        <f aca="false">IF(CL762&gt;0,CL762*MAX(1,AX762/X762),IF(BW762=1,IF(AX762&lt;=0,0,CA762*MAX(1,IF(H762&gt;0,AX762/H762,1))),IF(R762&gt;0,AY762/R762,0))/MAX(0.1,N(Parameter!$M$21)))</f>
        <v>0.0192307692307692</v>
      </c>
      <c r="BA762" s="50" t="n">
        <f aca="false">AZ762*BY762</f>
        <v>2.98076923076923</v>
      </c>
      <c r="BB762" s="50" t="n">
        <f aca="false">AX762*G762</f>
        <v>15.04</v>
      </c>
      <c r="BC762" s="50" t="n">
        <f aca="false">ROUNDUP(MAX(J762/IF(CD762&gt;0,CD762,MAX(0.1,N(Cockpit!$O$6))),CG762)/BV762,0)*BV762</f>
        <v>752</v>
      </c>
      <c r="BD762" s="51" t="n">
        <f aca="false">IF(BA762&gt;0,J762/BA762,-1)</f>
        <v>5.36774193548387</v>
      </c>
      <c r="BE762" s="51" t="n">
        <f aca="false">IF(AND(OR(CC762="L1",CC762="L23",CC762="LIFT"),BA762&gt;0),SUMIFS($BA$7:$BA$1843,$CC$7:$CC$1843,CC762,$BD$7:$BD$1843,"&gt;"&amp;BD762)+SUMIFS($BA$7:$BA$1843,$CC$7:$CC$1843,CC762,$BD$7:$BD$1843,BD762,$BT$7:$BT$1843,"&lt;="&amp;BT762),"")</f>
        <v>4580.95558608059</v>
      </c>
      <c r="BF762" s="58" t="n">
        <f aca="false">IF(BE762="",0,MAX(0,MIN(1,(IF(CC762="L1",Parameter!$H$5,IF(CC762="L23",Parameter!$H$6+Parameter!$H$7,Parameter!$H$5+Parameter!$H$6+Parameter!$H$7))-(BE762-BA762))/BA762)))</f>
        <v>1</v>
      </c>
      <c r="BG762" s="48" t="str">
        <f aca="false">IF(AI762&lt;=0,"",IF(CC762="Aussen","Aussenlager",IF(CC762="-","Nicht im Lift",IF(AN762&gt;=1,"Lift",IF(AN762&lt;=0,"Aussenlager","teilweise")))))</f>
        <v>Lift</v>
      </c>
      <c r="BH762" s="48" t="str">
        <f aca="false">IF(AR762&lt;=0,"",IF(CC762="Aussen","Aussenlager",IF(CC762="-","Nicht im Lift",IF(AW762&gt;=1,"Lift",IF(AW762&lt;=0,"Aussenlager","teilweise")))))</f>
        <v>Lift</v>
      </c>
      <c r="BI762" s="48" t="str">
        <f aca="false">IF(BA762&lt;=0,"",IF(CC762="Aussen","Aussenlager",IF(CC762="-","Nicht im Lift",IF(BF762&gt;=1,"Lift",IF(BF762&lt;=0,"Aussenlager","teilweise")))))</f>
        <v>Lift</v>
      </c>
      <c r="BJ762" s="48" t="str">
        <f aca="false">IF(A762="","",IF(BS762=1,"Neu; ","")&amp;IF(AND(BS762=0,BN762&lt;0),"negativer Bestand (Export "&amp;BN762&amp;"); ","")&amp;IF(J762&lt;=0,"Kein Verbrauch; ","")&amp;IF(CL762&gt;0,"Lift "&amp;W762&amp;" lt. Liftbericht (Fach "&amp;X762&amp;" Stk); ",IF(BX762=1,"Gebinde geschätzt ("&amp;T762&amp;"); ",IF(BW762=1,"Lose – Tablare geschätzt; ","")))&amp;IF(H762&gt;AT762,"Überbestand "&amp;ROUND(H762-AT762,0)&amp;" Stk / CHF "&amp;ROUND((H762-AT762)*G762,0)&amp;"; ","")&amp;IF(AND(CE762=1,CF762&lt;CG762),"MAX &lt; MB+LG; ","")&amp;IF(AND(CK762&gt;0,CJ762*10&gt;CK762),"zu hoch für Tablar; ","")&amp;IF(AND(BS762=0,OR(CE762=1,AA762&lt;&gt;"",U762&lt;&gt;"",V762&lt;&gt;"",AB762&lt;&gt;"")),"manuell übersteuert; ","")&amp;IF(AND(BW762=0,R762=0),"Gebinde unbekannt / Stellmass fehlt; ","")&amp;IF(AND(BW762=0,N(V762)&lt;=0,N(Q762)&lt;=0),"Menge pro Gebinde fehlt (Ist = 1 Gebinde); ","")&amp;BR762)</f>
        <v>negativer Bestand (Export -34); Überbestand</v>
      </c>
      <c r="BK762" s="48"/>
      <c r="BL762" s="48"/>
      <c r="BM762" s="55"/>
      <c r="BN762" s="50" t="n">
        <v>-34</v>
      </c>
      <c r="BO762" s="50" t="n">
        <v>704</v>
      </c>
      <c r="BP762" s="49" t="n">
        <v>-0.68</v>
      </c>
      <c r="BQ762" s="50" t="n">
        <v>16</v>
      </c>
      <c r="BR762" s="48" t="s">
        <v>396</v>
      </c>
      <c r="BS762" s="53" t="n">
        <v>0</v>
      </c>
      <c r="BT762" s="53" t="n">
        <v>762</v>
      </c>
      <c r="BU762" s="48" t="str">
        <f aca="false">IF(U762&lt;&gt;"",UPPER(TRIM(U762)),IF(BX762=1,UPPER(VLOOKUP(T762,Parameter!$I$27:$K$29,2,0)),IF(P762="","LOSE",P762)))</f>
        <v>S33</v>
      </c>
      <c r="BV762" s="50" t="n">
        <f aca="false">IF(BU762="LOSE",1,IF(N(V762)&gt;0,V762,IF(BX762=1,MAX(1,N(VLOOKUP(T762,Parameter!$I$27:$K$29,3,0)),H762,N(N762)),IF(N(Q762)&gt;0,Q762,MAX(1,H762)))))</f>
        <v>752</v>
      </c>
      <c r="BW762" s="53" t="n">
        <f aca="false">IF(BU762="LOSE",1,0)</f>
        <v>0</v>
      </c>
      <c r="BX762" s="53" t="n">
        <f aca="false">IF(AND(U762="",OR(P762="",P762="LOSE"),T762&lt;&gt;"",N(S762)&lt;=0,ISNUMBER(MATCH(T762,Parameter!$I$27:$I$29,0))),1,0)</f>
        <v>0</v>
      </c>
      <c r="BY762" s="53" t="n">
        <f aca="false">IF(CL762&gt;0,INDEX(Parameter!$H$5:$H$7,W762)/INDEX(Parameter!$E$5:$E$7,W762),IF(AND(BW762=0,N(IFERROR(VLOOKUP(BU762,'Gebinde-Kategorie'!$A$5:$N$45,14,0),0))&gt;0),VLOOKUP(BU762,'Gebinde-Kategorie'!$A$5:$N$45,14,0)*10+Parameter!$M$23,Parameter!$M$24))</f>
        <v>155</v>
      </c>
      <c r="BZ762" s="48" t="str">
        <f aca="false">IF(AND(Parameter!$B$19="Ja",E762&lt;&gt;"",ISNUMBER(MATCH(E762,Parameter!$I$35:$I$52,0))),VLOOKUP(E762,Parameter!$I$35:$J$52,2,0),IFERROR(VLOOKUP(D762,Parameter!$A$35:$C$64,2,0),"Nein"))</f>
        <v>2+3</v>
      </c>
      <c r="CA762" s="52" t="n">
        <f aca="false">IF(BW762=0,0,IF(N(S762)&gt;0,S762,IFERROR(VLOOKUP(D762,Parameter!$A$35:$C$64,3,0)+0,0)))</f>
        <v>0</v>
      </c>
      <c r="CB762" s="48" t="n">
        <f aca="false">IF(AA762&lt;&gt;"",AA762,Z762)</f>
        <v>3</v>
      </c>
      <c r="CC762" s="48" t="str">
        <f aca="false">IF(OR(CB762=1,CB762=2,CB762=3),IF(Parameter!$E$27="Ja","LIFT",IF(CB762=1,"L1","L23")),IF(CB762="Aussen","Aussen","-"))</f>
        <v>LIFT</v>
      </c>
      <c r="CD762" s="59" t="n">
        <f aca="false">IF(N(AB762)&gt;0,AB762,0)</f>
        <v>0</v>
      </c>
      <c r="CE762" s="53" t="n">
        <f aca="false">IF(ISNUMBER(AE762),1,0)</f>
        <v>0</v>
      </c>
      <c r="CF762" s="50" t="n">
        <f aca="false">N(AE762)</f>
        <v>0</v>
      </c>
      <c r="CG762" s="50" t="n">
        <f aca="false">N(M762)+N(N762)</f>
        <v>15</v>
      </c>
      <c r="CH762" s="50" t="n">
        <f aca="false">ROUNDUP(H762/BV762,0)</f>
        <v>1</v>
      </c>
      <c r="CI762" s="50" t="n">
        <f aca="false">ROUNDUP(CF762/BV762,0)</f>
        <v>0</v>
      </c>
      <c r="CJ762" s="53" t="n">
        <f aca="false">IF(BW762=1,0,IFERROR(VLOOKUP(BU762,'Gebinde-Kategorie'!$A$5:$N$45,5,0)+0,0))</f>
        <v>8</v>
      </c>
      <c r="CK762" s="53" t="n">
        <f aca="false">IFERROR(IF(OR(CB762=1,CB762=2,CB762=3),N(INDEX(Parameter!$I$5:$I$7,CB762)),0),0)</f>
        <v>0</v>
      </c>
      <c r="CL762" s="52" t="n">
        <f aca="false">IF(AND(Parameter!$B$21="Ja",ISNUMBER(W762),N(X762)&gt;0),IFERROR(N(INDEX(Parameter!$L$5:$L$7,W762))*INDEX(Parameter!$E$5:$E$7,W762)*X762/SUMIFS($X$7:$X$1843,$W$7:$W$1843,W762),0),0)</f>
        <v>0</v>
      </c>
    </row>
    <row r="763" customFormat="false" ht="15" hidden="false" customHeight="false" outlineLevel="0" collapsed="false">
      <c r="A763" s="48" t="s">
        <v>1507</v>
      </c>
      <c r="B763" s="48" t="s">
        <v>409</v>
      </c>
      <c r="C763" s="48" t="s">
        <v>168</v>
      </c>
      <c r="D763" s="48" t="s">
        <v>188</v>
      </c>
      <c r="E763" s="48" t="s">
        <v>189</v>
      </c>
      <c r="F763" s="48" t="s">
        <v>222</v>
      </c>
      <c r="G763" s="49" t="n">
        <v>0.03</v>
      </c>
      <c r="H763" s="50" t="n">
        <f aca="false">MAX(0,IF(AND(Parameter!$B$21="Ja",ISNUMBER(Y763)),Y763,IF(Parameter!$B$20="Jahresanfang 2025 + Export",BO763+BN763,BN763)))</f>
        <v>201</v>
      </c>
      <c r="I763" s="50" t="n">
        <f aca="false">H763*G763</f>
        <v>6.03</v>
      </c>
      <c r="J763" s="50" t="n">
        <f aca="false">BQ763*Parameter!$B$18</f>
        <v>28</v>
      </c>
      <c r="K763" s="51" t="n">
        <v>213.5</v>
      </c>
      <c r="L763" s="52" t="n">
        <v>0.131147540983607</v>
      </c>
      <c r="M763" s="50" t="n">
        <v>1</v>
      </c>
      <c r="N763" s="50" t="n">
        <v>30</v>
      </c>
      <c r="O763" s="53" t="n">
        <v>14</v>
      </c>
      <c r="P763" s="48" t="s">
        <v>425</v>
      </c>
      <c r="Q763" s="50" t="n">
        <v>261</v>
      </c>
      <c r="R763" s="53" t="n">
        <f aca="false">IF(BW763=1,0,IFERROR(VLOOKUP(BU763,'Gebinde-Kategorie'!$A$5:$N$45,13,0)+0,0))</f>
        <v>104</v>
      </c>
      <c r="S763" s="54"/>
      <c r="T763" s="55"/>
      <c r="U763" s="55"/>
      <c r="V763" s="55"/>
      <c r="W763" s="48"/>
      <c r="X763" s="50"/>
      <c r="Y763" s="50"/>
      <c r="Z763" s="48" t="n">
        <f aca="false">IF(A763="","",IF(AND(Parameter!$B$21="Ja",ISNUMBER(W763)),W763,IF(BZ763="2+3",IF(ISNUMBER(SEARCH("grosser Artikel",BR763)),2,IFERROR(VLOOKUP(BU763,Parameter!$F$35:$G$64,2,0),2)),IF(OR(BZ763="Nein",BZ763=""),"-",BZ763))))</f>
        <v>3</v>
      </c>
      <c r="AA763" s="55"/>
      <c r="AB763" s="56"/>
      <c r="AC763" s="50" t="n">
        <f aca="false">AT763</f>
        <v>261</v>
      </c>
      <c r="AD763" s="50" t="n">
        <f aca="false">MAX(AT763,H763)</f>
        <v>261</v>
      </c>
      <c r="AE763" s="57"/>
      <c r="AF763" s="50" t="n">
        <f aca="false">IF(LEFT(Cockpit!$C$5,1)="A",H763,IF(CE763=1,CF763,IF(LEFT(Cockpit!$C$5,1)="B",AK763,MAX(AK763,H763))))</f>
        <v>201</v>
      </c>
      <c r="AG763" s="50" t="n">
        <f aca="false">IF(BW763=1,0,ROUNDUP(AF763/BV763,0))</f>
        <v>1</v>
      </c>
      <c r="AH763" s="52" t="n">
        <f aca="false">IF(CL763&gt;0,CL763*MAX(1,AF763/X763),IF(BW763=1,IF(AF763&lt;=0,0,CA763*MAX(1,IF(H763&gt;0,AF763/H763,1))),IF(R763&gt;0,AG763/R763,0))/MAX(0.1,N(Parameter!$M$21)))</f>
        <v>0.00961538461538462</v>
      </c>
      <c r="AI763" s="50" t="n">
        <f aca="false">AH763*BY763</f>
        <v>1.49038461538462</v>
      </c>
      <c r="AJ763" s="50" t="n">
        <f aca="false">AF763*G763</f>
        <v>6.03</v>
      </c>
      <c r="AK763" s="50" t="n">
        <f aca="false">ROUNDUP(MAX(J763/IF(CD763&gt;0,CD763,MAX(0.1,N(Cockpit!$C$6))),CG763)/BV763,0)*BV763</f>
        <v>261</v>
      </c>
      <c r="AL763" s="51" t="n">
        <f aca="false">IF(AI763&gt;0,J763/AI763,-1)</f>
        <v>18.7870967741935</v>
      </c>
      <c r="AM763" s="51" t="n">
        <f aca="false">IF(AND(OR(CC763="L1",CC763="L23",CC763="LIFT"),AI763&gt;0),SUMIFS($AI$7:$AI$1843,$CC$7:$CC$1843,CC763,$AL$7:$AL$1843,"&gt;"&amp;AL763)+SUMIFS($AI$7:$AI$1843,$CC$7:$CC$1843,CC763,$AL$7:$AL$1843,AL763,$BT$7:$BT$1843,"&lt;="&amp;BT763),"")</f>
        <v>1770.82188644689</v>
      </c>
      <c r="AN763" s="58" t="n">
        <f aca="false">IF(AM763="",0,MAX(0,MIN(1,(IF(CC763="L1",Parameter!$H$5,IF(CC763="L23",Parameter!$H$6+Parameter!$H$7,Parameter!$H$5+Parameter!$H$6+Parameter!$H$7))-(AM763-AI763))/AI763)))</f>
        <v>1</v>
      </c>
      <c r="AO763" s="50" t="n">
        <f aca="false">IF(LEFT(Cockpit!$I$5,1)="A",H763,IF(CE763=1,CF763,IF(LEFT(Cockpit!$I$5,1)="B",AT763,MAX(AT763,H763))))</f>
        <v>261</v>
      </c>
      <c r="AP763" s="50" t="n">
        <f aca="false">IF(BW763=1,0,ROUNDUP(AO763/BV763,0))</f>
        <v>1</v>
      </c>
      <c r="AQ763" s="52" t="n">
        <f aca="false">IF(CL763&gt;0,CL763*MAX(1,AO763/X763),IF(BW763=1,IF(AO763&lt;=0,0,CA763*MAX(1,IF(H763&gt;0,AO763/H763,1))),IF(R763&gt;0,AP763/R763,0))/MAX(0.1,N(Parameter!$M$21)))</f>
        <v>0.00961538461538462</v>
      </c>
      <c r="AR763" s="50" t="n">
        <f aca="false">AQ763*BY763</f>
        <v>1.49038461538462</v>
      </c>
      <c r="AS763" s="50" t="n">
        <f aca="false">AO763*G763</f>
        <v>7.83</v>
      </c>
      <c r="AT763" s="50" t="n">
        <f aca="false">ROUNDUP(MAX(J763/IF(CD763&gt;0,CD763,MAX(0.1,N(Cockpit!$I$6))),CG763)/BV763,0)*BV763</f>
        <v>261</v>
      </c>
      <c r="AU763" s="51" t="n">
        <f aca="false">IF(AR763&gt;0,J763/AR763,-1)</f>
        <v>18.7870967741935</v>
      </c>
      <c r="AV763" s="51" t="n">
        <f aca="false">IF(AND(OR(CC763="L1",CC763="L23",CC763="LIFT"),AR763&gt;0),SUMIFS($AR$7:$AR$1843,$CC$7:$CC$1843,CC763,$AU$7:$AU$1843,"&gt;"&amp;AU763)+SUMIFS($AR$7:$AR$1843,$CC$7:$CC$1843,CC763,$AU$7:$AU$1843,AU763,$BT$7:$BT$1843,"&lt;="&amp;BT763),"")</f>
        <v>2663.03663003663</v>
      </c>
      <c r="AW763" s="58" t="n">
        <f aca="false">IF(AV763="",0,MAX(0,MIN(1,(IF(CC763="L1",Parameter!$H$5,IF(CC763="L23",Parameter!$H$6+Parameter!$H$7,Parameter!$H$5+Parameter!$H$6+Parameter!$H$7))-(AV763-AR763))/AR763)))</f>
        <v>1</v>
      </c>
      <c r="AX763" s="50" t="n">
        <f aca="false">IF(LEFT(Cockpit!$O$5,1)="A",H763,IF(CE763=1,CF763,IF(LEFT(Cockpit!$O$5,1)="B",BC763,MAX(BC763,H763))))</f>
        <v>261</v>
      </c>
      <c r="AY763" s="50" t="n">
        <f aca="false">IF(BW763=1,0,ROUNDUP(AX763/BV763,0))</f>
        <v>1</v>
      </c>
      <c r="AZ763" s="52" t="n">
        <f aca="false">IF(CL763&gt;0,CL763*MAX(1,AX763/X763),IF(BW763=1,IF(AX763&lt;=0,0,CA763*MAX(1,IF(H763&gt;0,AX763/H763,1))),IF(R763&gt;0,AY763/R763,0))/MAX(0.1,N(Parameter!$M$21)))</f>
        <v>0.00961538461538462</v>
      </c>
      <c r="BA763" s="50" t="n">
        <f aca="false">AZ763*BY763</f>
        <v>1.49038461538462</v>
      </c>
      <c r="BB763" s="50" t="n">
        <f aca="false">AX763*G763</f>
        <v>7.83</v>
      </c>
      <c r="BC763" s="50" t="n">
        <f aca="false">ROUNDUP(MAX(J763/IF(CD763&gt;0,CD763,MAX(0.1,N(Cockpit!$O$6))),CG763)/BV763,0)*BV763</f>
        <v>261</v>
      </c>
      <c r="BD763" s="51" t="n">
        <f aca="false">IF(BA763&gt;0,J763/BA763,-1)</f>
        <v>18.7870967741935</v>
      </c>
      <c r="BE763" s="51" t="n">
        <f aca="false">IF(AND(OR(CC763="L1",CC763="L23",CC763="LIFT"),BA763&gt;0),SUMIFS($BA$7:$BA$1843,$CC$7:$CC$1843,CC763,$BD$7:$BD$1843,"&gt;"&amp;BD763)+SUMIFS($BA$7:$BA$1843,$CC$7:$CC$1843,CC763,$BD$7:$BD$1843,BD763,$BT$7:$BT$1843,"&lt;="&amp;BT763),"")</f>
        <v>2482.47573260073</v>
      </c>
      <c r="BF763" s="58" t="n">
        <f aca="false">IF(BE763="",0,MAX(0,MIN(1,(IF(CC763="L1",Parameter!$H$5,IF(CC763="L23",Parameter!$H$6+Parameter!$H$7,Parameter!$H$5+Parameter!$H$6+Parameter!$H$7))-(BE763-BA763))/BA763)))</f>
        <v>1</v>
      </c>
      <c r="BG763" s="48" t="str">
        <f aca="false">IF(AI763&lt;=0,"",IF(CC763="Aussen","Aussenlager",IF(CC763="-","Nicht im Lift",IF(AN763&gt;=1,"Lift",IF(AN763&lt;=0,"Aussenlager","teilweise")))))</f>
        <v>Lift</v>
      </c>
      <c r="BH763" s="48" t="str">
        <f aca="false">IF(AR763&lt;=0,"",IF(CC763="Aussen","Aussenlager",IF(CC763="-","Nicht im Lift",IF(AW763&gt;=1,"Lift",IF(AW763&lt;=0,"Aussenlager","teilweise")))))</f>
        <v>Lift</v>
      </c>
      <c r="BI763" s="48" t="str">
        <f aca="false">IF(BA763&lt;=0,"",IF(CC763="Aussen","Aussenlager",IF(CC763="-","Nicht im Lift",IF(BF763&gt;=1,"Lift",IF(BF763&lt;=0,"Aussenlager","teilweise")))))</f>
        <v>Lift</v>
      </c>
      <c r="BJ763" s="48" t="str">
        <f aca="false">IF(A763="","",IF(BS763=1,"Neu; ","")&amp;IF(AND(BS763=0,BN763&lt;0),"negativer Bestand (Export "&amp;BN763&amp;"); ","")&amp;IF(J763&lt;=0,"Kein Verbrauch; ","")&amp;IF(CL763&gt;0,"Lift "&amp;W763&amp;" lt. Liftbericht (Fach "&amp;X763&amp;" Stk); ",IF(BX763=1,"Gebinde geschätzt ("&amp;T763&amp;"); ",IF(BW763=1,"Lose – Tablare geschätzt; ","")))&amp;IF(H763&gt;AT763,"Überbestand "&amp;ROUND(H763-AT763,0)&amp;" Stk / CHF "&amp;ROUND((H763-AT763)*G763,0)&amp;"; ","")&amp;IF(AND(CE763=1,CF763&lt;CG763),"MAX &lt; MB+LG; ","")&amp;IF(AND(CK763&gt;0,CJ763*10&gt;CK763),"zu hoch für Tablar; ","")&amp;IF(AND(BS763=0,OR(CE763=1,AA763&lt;&gt;"",U763&lt;&gt;"",V763&lt;&gt;"",AB763&lt;&gt;"")),"manuell übersteuert; ","")&amp;IF(AND(BW763=0,R763=0),"Gebinde unbekannt / Stellmass fehlt; ","")&amp;IF(AND(BW763=0,N(V763)&lt;=0,N(Q763)&lt;=0),"Menge pro Gebinde fehlt (Ist = 1 Gebinde); ","")&amp;BR763)</f>
        <v>negativer Bestand (Export -25); Überbestand</v>
      </c>
      <c r="BK763" s="48"/>
      <c r="BL763" s="48"/>
      <c r="BM763" s="55"/>
      <c r="BN763" s="50" t="n">
        <v>-25</v>
      </c>
      <c r="BO763" s="50" t="n">
        <v>226</v>
      </c>
      <c r="BP763" s="49" t="n">
        <v>-0.75</v>
      </c>
      <c r="BQ763" s="50" t="n">
        <v>28</v>
      </c>
      <c r="BR763" s="48" t="s">
        <v>396</v>
      </c>
      <c r="BS763" s="53" t="n">
        <v>0</v>
      </c>
      <c r="BT763" s="53" t="n">
        <v>763</v>
      </c>
      <c r="BU763" s="48" t="str">
        <f aca="false">IF(U763&lt;&gt;"",UPPER(TRIM(U763)),IF(BX763=1,UPPER(VLOOKUP(T763,Parameter!$I$27:$K$29,2,0)),IF(P763="","LOSE",P763)))</f>
        <v>S32</v>
      </c>
      <c r="BV763" s="50" t="n">
        <f aca="false">IF(BU763="LOSE",1,IF(N(V763)&gt;0,V763,IF(BX763=1,MAX(1,N(VLOOKUP(T763,Parameter!$I$27:$K$29,3,0)),H763,N(N763)),IF(N(Q763)&gt;0,Q763,MAX(1,H763)))))</f>
        <v>261</v>
      </c>
      <c r="BW763" s="53" t="n">
        <f aca="false">IF(BU763="LOSE",1,0)</f>
        <v>0</v>
      </c>
      <c r="BX763" s="53" t="n">
        <f aca="false">IF(AND(U763="",OR(P763="",P763="LOSE"),T763&lt;&gt;"",N(S763)&lt;=0,ISNUMBER(MATCH(T763,Parameter!$I$27:$I$29,0))),1,0)</f>
        <v>0</v>
      </c>
      <c r="BY763" s="53" t="n">
        <f aca="false">IF(CL763&gt;0,INDEX(Parameter!$H$5:$H$7,W763)/INDEX(Parameter!$E$5:$E$7,W763),IF(AND(BW763=0,N(IFERROR(VLOOKUP(BU763,'Gebinde-Kategorie'!$A$5:$N$45,14,0),0))&gt;0),VLOOKUP(BU763,'Gebinde-Kategorie'!$A$5:$N$45,14,0)*10+Parameter!$M$23,Parameter!$M$24))</f>
        <v>155</v>
      </c>
      <c r="BZ763" s="48" t="str">
        <f aca="false">IF(AND(Parameter!$B$19="Ja",E763&lt;&gt;"",ISNUMBER(MATCH(E763,Parameter!$I$35:$I$52,0))),VLOOKUP(E763,Parameter!$I$35:$J$52,2,0),IFERROR(VLOOKUP(D763,Parameter!$A$35:$C$64,2,0),"Nein"))</f>
        <v>2+3</v>
      </c>
      <c r="CA763" s="52" t="n">
        <f aca="false">IF(BW763=0,0,IF(N(S763)&gt;0,S763,IFERROR(VLOOKUP(D763,Parameter!$A$35:$C$64,3,0)+0,0)))</f>
        <v>0</v>
      </c>
      <c r="CB763" s="48" t="n">
        <f aca="false">IF(AA763&lt;&gt;"",AA763,Z763)</f>
        <v>3</v>
      </c>
      <c r="CC763" s="48" t="str">
        <f aca="false">IF(OR(CB763=1,CB763=2,CB763=3),IF(Parameter!$E$27="Ja","LIFT",IF(CB763=1,"L1","L23")),IF(CB763="Aussen","Aussen","-"))</f>
        <v>LIFT</v>
      </c>
      <c r="CD763" s="59" t="n">
        <f aca="false">IF(N(AB763)&gt;0,AB763,0)</f>
        <v>0</v>
      </c>
      <c r="CE763" s="53" t="n">
        <f aca="false">IF(ISNUMBER(AE763),1,0)</f>
        <v>0</v>
      </c>
      <c r="CF763" s="50" t="n">
        <f aca="false">N(AE763)</f>
        <v>0</v>
      </c>
      <c r="CG763" s="50" t="n">
        <f aca="false">N(M763)+N(N763)</f>
        <v>31</v>
      </c>
      <c r="CH763" s="50" t="n">
        <f aca="false">ROUNDUP(H763/BV763,0)</f>
        <v>1</v>
      </c>
      <c r="CI763" s="50" t="n">
        <f aca="false">ROUNDUP(CF763/BV763,0)</f>
        <v>0</v>
      </c>
      <c r="CJ763" s="53" t="n">
        <f aca="false">IF(BW763=1,0,IFERROR(VLOOKUP(BU763,'Gebinde-Kategorie'!$A$5:$N$45,5,0)+0,0))</f>
        <v>8</v>
      </c>
      <c r="CK763" s="53" t="n">
        <f aca="false">IFERROR(IF(OR(CB763=1,CB763=2,CB763=3),N(INDEX(Parameter!$I$5:$I$7,CB763)),0),0)</f>
        <v>0</v>
      </c>
      <c r="CL763" s="52" t="n">
        <f aca="false">IF(AND(Parameter!$B$21="Ja",ISNUMBER(W763),N(X763)&gt;0),IFERROR(N(INDEX(Parameter!$L$5:$L$7,W763))*INDEX(Parameter!$E$5:$E$7,W763)*X763/SUMIFS($X$7:$X$1843,$W$7:$W$1843,W763),0),0)</f>
        <v>0</v>
      </c>
    </row>
    <row r="764" customFormat="false" ht="15" hidden="false" customHeight="false" outlineLevel="0" collapsed="false">
      <c r="A764" s="48" t="s">
        <v>1508</v>
      </c>
      <c r="B764" s="48" t="s">
        <v>1509</v>
      </c>
      <c r="C764" s="48" t="s">
        <v>168</v>
      </c>
      <c r="D764" s="48" t="s">
        <v>177</v>
      </c>
      <c r="E764" s="48" t="s">
        <v>189</v>
      </c>
      <c r="F764" s="48" t="s">
        <v>222</v>
      </c>
      <c r="G764" s="49" t="n">
        <v>1.03</v>
      </c>
      <c r="H764" s="50" t="n">
        <f aca="false">MAX(0,IF(AND(Parameter!$B$21="Ja",ISNUMBER(Y764)),Y764,IF(Parameter!$B$20="Jahresanfang 2025 + Export",BO764+BN764,BN764)))</f>
        <v>103.4</v>
      </c>
      <c r="I764" s="50" t="n">
        <f aca="false">H764*G764</f>
        <v>106.502</v>
      </c>
      <c r="J764" s="50" t="n">
        <f aca="false">BQ764*Parameter!$B$18</f>
        <v>0.8</v>
      </c>
      <c r="K764" s="51" t="n">
        <v>103.8</v>
      </c>
      <c r="L764" s="52" t="n">
        <v>0.00770712909441234</v>
      </c>
      <c r="M764" s="50" t="n">
        <v>0</v>
      </c>
      <c r="N764" s="50" t="n">
        <v>1</v>
      </c>
      <c r="O764" s="53" t="n">
        <v>21</v>
      </c>
      <c r="P764" s="48" t="s">
        <v>237</v>
      </c>
      <c r="Q764" s="50" t="n">
        <v>30</v>
      </c>
      <c r="R764" s="53" t="n">
        <f aca="false">IF(BW764=1,0,IFERROR(VLOOKUP(BU764,'Gebinde-Kategorie'!$A$5:$N$45,13,0)+0,0))</f>
        <v>26</v>
      </c>
      <c r="S764" s="54"/>
      <c r="T764" s="55"/>
      <c r="U764" s="55"/>
      <c r="V764" s="55"/>
      <c r="W764" s="48"/>
      <c r="X764" s="50"/>
      <c r="Y764" s="50"/>
      <c r="Z764" s="48" t="n">
        <f aca="false">IF(A764="","",IF(AND(Parameter!$B$21="Ja",ISNUMBER(W764)),W764,IF(BZ764="2+3",IF(ISNUMBER(SEARCH("grosser Artikel",BR764)),2,IFERROR(VLOOKUP(BU764,Parameter!$F$35:$G$64,2,0),2)),IF(OR(BZ764="Nein",BZ764=""),"-",BZ764))))</f>
        <v>3</v>
      </c>
      <c r="AA764" s="55"/>
      <c r="AB764" s="56"/>
      <c r="AC764" s="50" t="n">
        <f aca="false">AT764</f>
        <v>30</v>
      </c>
      <c r="AD764" s="50" t="n">
        <f aca="false">MAX(AT764,H764)</f>
        <v>103.4</v>
      </c>
      <c r="AE764" s="57"/>
      <c r="AF764" s="50" t="n">
        <f aca="false">IF(LEFT(Cockpit!$C$5,1)="A",H764,IF(CE764=1,CF764,IF(LEFT(Cockpit!$C$5,1)="B",AK764,MAX(AK764,H764))))</f>
        <v>103.4</v>
      </c>
      <c r="AG764" s="50" t="n">
        <f aca="false">IF(BW764=1,0,ROUNDUP(AF764/BV764,0))</f>
        <v>4</v>
      </c>
      <c r="AH764" s="52" t="n">
        <f aca="false">IF(CL764&gt;0,CL764*MAX(1,AF764/X764),IF(BW764=1,IF(AF764&lt;=0,0,CA764*MAX(1,IF(H764&gt;0,AF764/H764,1))),IF(R764&gt;0,AG764/R764,0))/MAX(0.1,N(Parameter!$M$21)))</f>
        <v>0.153846153846154</v>
      </c>
      <c r="AI764" s="50" t="n">
        <f aca="false">AH764*BY764</f>
        <v>37.6923076923077</v>
      </c>
      <c r="AJ764" s="50" t="n">
        <f aca="false">AF764*G764</f>
        <v>106.502</v>
      </c>
      <c r="AK764" s="50" t="n">
        <f aca="false">ROUNDUP(MAX(J764/IF(CD764&gt;0,CD764,MAX(0.1,N(Cockpit!$C$6))),CG764)/BV764,0)*BV764</f>
        <v>30</v>
      </c>
      <c r="AL764" s="51" t="n">
        <f aca="false">IF(AI764&gt;0,J764/AI764,-1)</f>
        <v>0.0212244897959184</v>
      </c>
      <c r="AM764" s="51" t="n">
        <f aca="false">IF(AND(OR(CC764="L1",CC764="L23",CC764="LIFT"),AI764&gt;0),SUMIFS($AI$7:$AI$1843,$CC$7:$CC$1843,CC764,$AL$7:$AL$1843,"&gt;"&amp;AL764)+SUMIFS($AI$7:$AI$1843,$CC$7:$CC$1843,CC764,$AL$7:$AL$1843,AL764,$BT$7:$BT$1843,"&lt;="&amp;BT764),"")</f>
        <v>23301.4364225699</v>
      </c>
      <c r="AN764" s="58" t="n">
        <f aca="false">IF(AM764="",0,MAX(0,MIN(1,(IF(CC764="L1",Parameter!$H$5,IF(CC764="L23",Parameter!$H$6+Parameter!$H$7,Parameter!$H$5+Parameter!$H$6+Parameter!$H$7))-(AM764-AI764))/AI764)))</f>
        <v>1</v>
      </c>
      <c r="AO764" s="50" t="n">
        <f aca="false">IF(LEFT(Cockpit!$I$5,1)="A",H764,IF(CE764=1,CF764,IF(LEFT(Cockpit!$I$5,1)="B",AT764,MAX(AT764,H764))))</f>
        <v>103.4</v>
      </c>
      <c r="AP764" s="50" t="n">
        <f aca="false">IF(BW764=1,0,ROUNDUP(AO764/BV764,0))</f>
        <v>4</v>
      </c>
      <c r="AQ764" s="52" t="n">
        <f aca="false">IF(CL764&gt;0,CL764*MAX(1,AO764/X764),IF(BW764=1,IF(AO764&lt;=0,0,CA764*MAX(1,IF(H764&gt;0,AO764/H764,1))),IF(R764&gt;0,AP764/R764,0))/MAX(0.1,N(Parameter!$M$21)))</f>
        <v>0.153846153846154</v>
      </c>
      <c r="AR764" s="50" t="n">
        <f aca="false">AQ764*BY764</f>
        <v>37.6923076923077</v>
      </c>
      <c r="AS764" s="50" t="n">
        <f aca="false">AO764*G764</f>
        <v>106.502</v>
      </c>
      <c r="AT764" s="50" t="n">
        <f aca="false">ROUNDUP(MAX(J764/IF(CD764&gt;0,CD764,MAX(0.1,N(Cockpit!$I$6))),CG764)/BV764,0)*BV764</f>
        <v>30</v>
      </c>
      <c r="AU764" s="51" t="n">
        <f aca="false">IF(AR764&gt;0,J764/AR764,-1)</f>
        <v>0.0212244897959184</v>
      </c>
      <c r="AV764" s="51" t="n">
        <f aca="false">IF(AND(OR(CC764="L1",CC764="L23",CC764="LIFT"),AR764&gt;0),SUMIFS($AR$7:$AR$1843,$CC$7:$CC$1843,CC764,$AU$7:$AU$1843,"&gt;"&amp;AU764)+SUMIFS($AR$7:$AR$1843,$CC$7:$CC$1843,CC764,$AU$7:$AU$1843,AU764,$BT$7:$BT$1843,"&lt;="&amp;BT764),"")</f>
        <v>34234.1606780696</v>
      </c>
      <c r="AW764" s="58" t="n">
        <f aca="false">IF(AV764="",0,MAX(0,MIN(1,(IF(CC764="L1",Parameter!$H$5,IF(CC764="L23",Parameter!$H$6+Parameter!$H$7,Parameter!$H$5+Parameter!$H$6+Parameter!$H$7))-(AV764-AR764))/AR764)))</f>
        <v>1</v>
      </c>
      <c r="AX764" s="50" t="n">
        <f aca="false">IF(LEFT(Cockpit!$O$5,1)="A",H764,IF(CE764=1,CF764,IF(LEFT(Cockpit!$O$5,1)="B",BC764,MAX(BC764,H764))))</f>
        <v>103.4</v>
      </c>
      <c r="AY764" s="50" t="n">
        <f aca="false">IF(BW764=1,0,ROUNDUP(AX764/BV764,0))</f>
        <v>4</v>
      </c>
      <c r="AZ764" s="52" t="n">
        <f aca="false">IF(CL764&gt;0,CL764*MAX(1,AX764/X764),IF(BW764=1,IF(AX764&lt;=0,0,CA764*MAX(1,IF(H764&gt;0,AX764/H764,1))),IF(R764&gt;0,AY764/R764,0))/MAX(0.1,N(Parameter!$M$21)))</f>
        <v>0.153846153846154</v>
      </c>
      <c r="BA764" s="50" t="n">
        <f aca="false">AZ764*BY764</f>
        <v>37.6923076923077</v>
      </c>
      <c r="BB764" s="50" t="n">
        <f aca="false">AX764*G764</f>
        <v>106.502</v>
      </c>
      <c r="BC764" s="50" t="n">
        <f aca="false">ROUNDUP(MAX(J764/IF(CD764&gt;0,CD764,MAX(0.1,N(Cockpit!$O$6))),CG764)/BV764,0)*BV764</f>
        <v>30</v>
      </c>
      <c r="BD764" s="51" t="n">
        <f aca="false">IF(BA764&gt;0,J764/BA764,-1)</f>
        <v>0.0212244897959184</v>
      </c>
      <c r="BE764" s="51" t="n">
        <f aca="false">IF(AND(OR(CC764="L1",CC764="L23",CC764="LIFT"),BA764&gt;0),SUMIFS($BA$7:$BA$1843,$CC$7:$CC$1843,CC764,$BD$7:$BD$1843,"&gt;"&amp;BD764)+SUMIFS($BA$7:$BA$1843,$CC$7:$CC$1843,CC764,$BD$7:$BD$1843,BD764,$BT$7:$BT$1843,"&lt;="&amp;BT764),"")</f>
        <v>30909.1727199354</v>
      </c>
      <c r="BF764" s="58" t="n">
        <f aca="false">IF(BE764="",0,MAX(0,MIN(1,(IF(CC764="L1",Parameter!$H$5,IF(CC764="L23",Parameter!$H$6+Parameter!$H$7,Parameter!$H$5+Parameter!$H$6+Parameter!$H$7))-(BE764-BA764))/BA764)))</f>
        <v>1</v>
      </c>
      <c r="BG764" s="48" t="str">
        <f aca="false">IF(AI764&lt;=0,"",IF(CC764="Aussen","Aussenlager",IF(CC764="-","Nicht im Lift",IF(AN764&gt;=1,"Lift",IF(AN764&lt;=0,"Aussenlager","teilweise")))))</f>
        <v>Lift</v>
      </c>
      <c r="BH764" s="48" t="str">
        <f aca="false">IF(AR764&lt;=0,"",IF(CC764="Aussen","Aussenlager",IF(CC764="-","Nicht im Lift",IF(AW764&gt;=1,"Lift",IF(AW764&lt;=0,"Aussenlager","teilweise")))))</f>
        <v>Lift</v>
      </c>
      <c r="BI764" s="48" t="str">
        <f aca="false">IF(BA764&lt;=0,"",IF(CC764="Aussen","Aussenlager",IF(CC764="-","Nicht im Lift",IF(BF764&gt;=1,"Lift",IF(BF764&lt;=0,"Aussenlager","teilweise")))))</f>
        <v>Lift</v>
      </c>
      <c r="BJ764" s="48" t="str">
        <f aca="false">IF(A764="","",IF(BS764=1,"Neu; ","")&amp;IF(AND(BS764=0,BN764&lt;0),"negativer Bestand (Export "&amp;BN764&amp;"); ","")&amp;IF(J764&lt;=0,"Kein Verbrauch; ","")&amp;IF(CL764&gt;0,"Lift "&amp;W764&amp;" lt. Liftbericht (Fach "&amp;X764&amp;" Stk); ",IF(BX764=1,"Gebinde geschätzt ("&amp;T764&amp;"); ",IF(BW764=1,"Lose – Tablare geschätzt; ","")))&amp;IF(H764&gt;AT764,"Überbestand "&amp;ROUND(H764-AT764,0)&amp;" Stk / CHF "&amp;ROUND((H764-AT764)*G764,0)&amp;"; ","")&amp;IF(AND(CE764=1,CF764&lt;CG764),"MAX &lt; MB+LG; ","")&amp;IF(AND(CK764&gt;0,CJ764*10&gt;CK764),"zu hoch für Tablar; ","")&amp;IF(AND(BS764=0,OR(CE764=1,AA764&lt;&gt;"",U764&lt;&gt;"",V764&lt;&gt;"",AB764&lt;&gt;"")),"manuell übersteuert; ","")&amp;IF(AND(BW764=0,R764=0),"Gebinde unbekannt / Stellmass fehlt; ","")&amp;IF(AND(BW764=0,N(V764)&lt;=0,N(Q764)&lt;=0),"Menge pro Gebinde fehlt (Ist = 1 Gebinde); ","")&amp;BR764)</f>
        <v>negativer Bestand (Export -0.8); Überbestand 73 Stk / CHF 76; Überbestand</v>
      </c>
      <c r="BK764" s="48"/>
      <c r="BL764" s="48"/>
      <c r="BM764" s="55"/>
      <c r="BN764" s="50" t="n">
        <v>-0.8</v>
      </c>
      <c r="BO764" s="50" t="n">
        <v>104.2</v>
      </c>
      <c r="BP764" s="49" t="n">
        <v>-0.83</v>
      </c>
      <c r="BQ764" s="50" t="n">
        <v>0.8</v>
      </c>
      <c r="BR764" s="48" t="s">
        <v>396</v>
      </c>
      <c r="BS764" s="53" t="n">
        <v>0</v>
      </c>
      <c r="BT764" s="53" t="n">
        <v>764</v>
      </c>
      <c r="BU764" s="48" t="str">
        <f aca="false">IF(U764&lt;&gt;"",UPPER(TRIM(U764)),IF(BX764=1,UPPER(VLOOKUP(T764,Parameter!$I$27:$K$29,2,0)),IF(P764="","LOSE",P764)))</f>
        <v>S52</v>
      </c>
      <c r="BV764" s="50" t="n">
        <f aca="false">IF(BU764="LOSE",1,IF(N(V764)&gt;0,V764,IF(BX764=1,MAX(1,N(VLOOKUP(T764,Parameter!$I$27:$K$29,3,0)),H764,N(N764)),IF(N(Q764)&gt;0,Q764,MAX(1,H764)))))</f>
        <v>30</v>
      </c>
      <c r="BW764" s="53" t="n">
        <f aca="false">IF(BU764="LOSE",1,0)</f>
        <v>0</v>
      </c>
      <c r="BX764" s="53" t="n">
        <f aca="false">IF(AND(U764="",OR(P764="",P764="LOSE"),T764&lt;&gt;"",N(S764)&lt;=0,ISNUMBER(MATCH(T764,Parameter!$I$27:$I$29,0))),1,0)</f>
        <v>0</v>
      </c>
      <c r="BY764" s="53" t="n">
        <f aca="false">IF(CL764&gt;0,INDEX(Parameter!$H$5:$H$7,W764)/INDEX(Parameter!$E$5:$E$7,W764),IF(AND(BW764=0,N(IFERROR(VLOOKUP(BU764,'Gebinde-Kategorie'!$A$5:$N$45,14,0),0))&gt;0),VLOOKUP(BU764,'Gebinde-Kategorie'!$A$5:$N$45,14,0)*10+Parameter!$M$23,Parameter!$M$24))</f>
        <v>245</v>
      </c>
      <c r="BZ764" s="48" t="str">
        <f aca="false">IF(AND(Parameter!$B$19="Ja",E764&lt;&gt;"",ISNUMBER(MATCH(E764,Parameter!$I$35:$I$52,0))),VLOOKUP(E764,Parameter!$I$35:$J$52,2,0),IFERROR(VLOOKUP(D764,Parameter!$A$35:$C$64,2,0),"Nein"))</f>
        <v>2+3</v>
      </c>
      <c r="CA764" s="52" t="n">
        <f aca="false">IF(BW764=0,0,IF(N(S764)&gt;0,S764,IFERROR(VLOOKUP(D764,Parameter!$A$35:$C$64,3,0)+0,0)))</f>
        <v>0</v>
      </c>
      <c r="CB764" s="48" t="n">
        <f aca="false">IF(AA764&lt;&gt;"",AA764,Z764)</f>
        <v>3</v>
      </c>
      <c r="CC764" s="48" t="str">
        <f aca="false">IF(OR(CB764=1,CB764=2,CB764=3),IF(Parameter!$E$27="Ja","LIFT",IF(CB764=1,"L1","L23")),IF(CB764="Aussen","Aussen","-"))</f>
        <v>LIFT</v>
      </c>
      <c r="CD764" s="59" t="n">
        <f aca="false">IF(N(AB764)&gt;0,AB764,0)</f>
        <v>0</v>
      </c>
      <c r="CE764" s="53" t="n">
        <f aca="false">IF(ISNUMBER(AE764),1,0)</f>
        <v>0</v>
      </c>
      <c r="CF764" s="50" t="n">
        <f aca="false">N(AE764)</f>
        <v>0</v>
      </c>
      <c r="CG764" s="50" t="n">
        <f aca="false">N(M764)+N(N764)</f>
        <v>1</v>
      </c>
      <c r="CH764" s="50" t="n">
        <f aca="false">ROUNDUP(H764/BV764,0)</f>
        <v>4</v>
      </c>
      <c r="CI764" s="50" t="n">
        <f aca="false">ROUNDUP(CF764/BV764,0)</f>
        <v>0</v>
      </c>
      <c r="CJ764" s="53" t="n">
        <f aca="false">IF(BW764=1,0,IFERROR(VLOOKUP(BU764,'Gebinde-Kategorie'!$A$5:$N$45,5,0)+0,0))</f>
        <v>21</v>
      </c>
      <c r="CK764" s="53" t="n">
        <f aca="false">IFERROR(IF(OR(CB764=1,CB764=2,CB764=3),N(INDEX(Parameter!$I$5:$I$7,CB764)),0),0)</f>
        <v>0</v>
      </c>
      <c r="CL764" s="52" t="n">
        <f aca="false">IF(AND(Parameter!$B$21="Ja",ISNUMBER(W764),N(X764)&gt;0),IFERROR(N(INDEX(Parameter!$L$5:$L$7,W764))*INDEX(Parameter!$E$5:$E$7,W764)*X764/SUMIFS($X$7:$X$1843,$W$7:$W$1843,W764),0),0)</f>
        <v>0</v>
      </c>
    </row>
    <row r="765" customFormat="false" ht="15" hidden="false" customHeight="false" outlineLevel="0" collapsed="false">
      <c r="A765" s="48" t="s">
        <v>1510</v>
      </c>
      <c r="B765" s="48" t="s">
        <v>658</v>
      </c>
      <c r="C765" s="48" t="s">
        <v>168</v>
      </c>
      <c r="D765" s="48" t="s">
        <v>188</v>
      </c>
      <c r="E765" s="48" t="s">
        <v>189</v>
      </c>
      <c r="F765" s="48" t="s">
        <v>222</v>
      </c>
      <c r="G765" s="49" t="n">
        <v>0.42</v>
      </c>
      <c r="H765" s="50" t="n">
        <f aca="false">MAX(0,IF(AND(Parameter!$B$21="Ja",ISNUMBER(Y765)),Y765,IF(Parameter!$B$20="Jahresanfang 2025 + Export",BO765+BN765,BN765)))</f>
        <v>370</v>
      </c>
      <c r="I765" s="50" t="n">
        <f aca="false">H765*G765</f>
        <v>155.4</v>
      </c>
      <c r="J765" s="50" t="n">
        <f aca="false">BQ765*Parameter!$B$18</f>
        <v>0</v>
      </c>
      <c r="K765" s="51" t="n">
        <v>372</v>
      </c>
      <c r="L765" s="52" t="n">
        <v>0</v>
      </c>
      <c r="M765" s="50" t="n">
        <v>0</v>
      </c>
      <c r="N765" s="50" t="n">
        <v>1</v>
      </c>
      <c r="O765" s="53" t="n">
        <v>14</v>
      </c>
      <c r="P765" s="48" t="s">
        <v>306</v>
      </c>
      <c r="Q765" s="50" t="n">
        <v>234</v>
      </c>
      <c r="R765" s="53" t="n">
        <f aca="false">IF(BW765=1,0,IFERROR(VLOOKUP(BU765,'Gebinde-Kategorie'!$A$5:$N$45,13,0)+0,0))</f>
        <v>26</v>
      </c>
      <c r="S765" s="54"/>
      <c r="T765" s="55"/>
      <c r="U765" s="55"/>
      <c r="V765" s="55"/>
      <c r="W765" s="48"/>
      <c r="X765" s="50"/>
      <c r="Y765" s="50"/>
      <c r="Z765" s="48" t="n">
        <f aca="false">IF(A765="","",IF(AND(Parameter!$B$21="Ja",ISNUMBER(W765)),W765,IF(BZ765="2+3",IF(ISNUMBER(SEARCH("grosser Artikel",BR765)),2,IFERROR(VLOOKUP(BU765,Parameter!$F$35:$G$64,2,0),2)),IF(OR(BZ765="Nein",BZ765=""),"-",BZ765))))</f>
        <v>3</v>
      </c>
      <c r="AA765" s="55"/>
      <c r="AB765" s="56"/>
      <c r="AC765" s="50" t="n">
        <f aca="false">AT765</f>
        <v>234</v>
      </c>
      <c r="AD765" s="50" t="n">
        <f aca="false">MAX(AT765,H765)</f>
        <v>370</v>
      </c>
      <c r="AE765" s="57"/>
      <c r="AF765" s="50" t="n">
        <f aca="false">IF(LEFT(Cockpit!$C$5,1)="A",H765,IF(CE765=1,CF765,IF(LEFT(Cockpit!$C$5,1)="B",AK765,MAX(AK765,H765))))</f>
        <v>370</v>
      </c>
      <c r="AG765" s="50" t="n">
        <f aca="false">IF(BW765=1,0,ROUNDUP(AF765/BV765,0))</f>
        <v>2</v>
      </c>
      <c r="AH765" s="52" t="n">
        <f aca="false">IF(CL765&gt;0,CL765*MAX(1,AF765/X765),IF(BW765=1,IF(AF765&lt;=0,0,CA765*MAX(1,IF(H765&gt;0,AF765/H765,1))),IF(R765&gt;0,AG765/R765,0))/MAX(0.1,N(Parameter!$M$21)))</f>
        <v>0.0769230769230769</v>
      </c>
      <c r="AI765" s="50" t="n">
        <f aca="false">AH765*BY765</f>
        <v>11.9230769230769</v>
      </c>
      <c r="AJ765" s="50" t="n">
        <f aca="false">AF765*G765</f>
        <v>155.4</v>
      </c>
      <c r="AK765" s="50" t="n">
        <f aca="false">ROUNDUP(MAX(J765/IF(CD765&gt;0,CD765,MAX(0.1,N(Cockpit!$C$6))),CG765)/BV765,0)*BV765</f>
        <v>234</v>
      </c>
      <c r="AL765" s="51" t="n">
        <f aca="false">IF(AI765&gt;0,J765/AI765,-1)</f>
        <v>0</v>
      </c>
      <c r="AM765" s="51" t="n">
        <f aca="false">IF(AND(OR(CC765="L1",CC765="L23",CC765="LIFT"),AI765&gt;0),SUMIFS($AI$7:$AI$1843,$CC$7:$CC$1843,CC765,$AL$7:$AL$1843,"&gt;"&amp;AL765)+SUMIFS($AI$7:$AI$1843,$CC$7:$CC$1843,CC765,$AL$7:$AL$1843,AL765,$BT$7:$BT$1843,"&lt;="&amp;BT765),"")</f>
        <v>28732.7968714431</v>
      </c>
      <c r="AN765" s="58" t="n">
        <f aca="false">IF(AM765="",0,MAX(0,MIN(1,(IF(CC765="L1",Parameter!$H$5,IF(CC765="L23",Parameter!$H$6+Parameter!$H$7,Parameter!$H$5+Parameter!$H$6+Parameter!$H$7))-(AM765-AI765))/AI765)))</f>
        <v>1</v>
      </c>
      <c r="AO765" s="50" t="n">
        <f aca="false">IF(LEFT(Cockpit!$I$5,1)="A",H765,IF(CE765=1,CF765,IF(LEFT(Cockpit!$I$5,1)="B",AT765,MAX(AT765,H765))))</f>
        <v>370</v>
      </c>
      <c r="AP765" s="50" t="n">
        <f aca="false">IF(BW765=1,0,ROUNDUP(AO765/BV765,0))</f>
        <v>2</v>
      </c>
      <c r="AQ765" s="52" t="n">
        <f aca="false">IF(CL765&gt;0,CL765*MAX(1,AO765/X765),IF(BW765=1,IF(AO765&lt;=0,0,CA765*MAX(1,IF(H765&gt;0,AO765/H765,1))),IF(R765&gt;0,AP765/R765,0))/MAX(0.1,N(Parameter!$M$21)))</f>
        <v>0.0769230769230769</v>
      </c>
      <c r="AR765" s="50" t="n">
        <f aca="false">AQ765*BY765</f>
        <v>11.9230769230769</v>
      </c>
      <c r="AS765" s="50" t="n">
        <f aca="false">AO765*G765</f>
        <v>155.4</v>
      </c>
      <c r="AT765" s="50" t="n">
        <f aca="false">ROUNDUP(MAX(J765/IF(CD765&gt;0,CD765,MAX(0.1,N(Cockpit!$I$6))),CG765)/BV765,0)*BV765</f>
        <v>234</v>
      </c>
      <c r="AU765" s="51" t="n">
        <f aca="false">IF(AR765&gt;0,J765/AR765,-1)</f>
        <v>0</v>
      </c>
      <c r="AV765" s="51" t="n">
        <f aca="false">IF(AND(OR(CC765="L1",CC765="L23",CC765="LIFT"),AR765&gt;0),SUMIFS($AR$7:$AR$1843,$CC$7:$CC$1843,CC765,$AU$7:$AU$1843,"&gt;"&amp;AU765)+SUMIFS($AR$7:$AR$1843,$CC$7:$CC$1843,CC765,$AU$7:$AU$1843,AU765,$BT$7:$BT$1843,"&lt;="&amp;BT765),"")</f>
        <v>40303.8521139877</v>
      </c>
      <c r="AW765" s="58" t="n">
        <f aca="false">IF(AV765="",0,MAX(0,MIN(1,(IF(CC765="L1",Parameter!$H$5,IF(CC765="L23",Parameter!$H$6+Parameter!$H$7,Parameter!$H$5+Parameter!$H$6+Parameter!$H$7))-(AV765-AR765))/AR765)))</f>
        <v>0</v>
      </c>
      <c r="AX765" s="50" t="n">
        <f aca="false">IF(LEFT(Cockpit!$O$5,1)="A",H765,IF(CE765=1,CF765,IF(LEFT(Cockpit!$O$5,1)="B",BC765,MAX(BC765,H765))))</f>
        <v>370</v>
      </c>
      <c r="AY765" s="50" t="n">
        <f aca="false">IF(BW765=1,0,ROUNDUP(AX765/BV765,0))</f>
        <v>2</v>
      </c>
      <c r="AZ765" s="52" t="n">
        <f aca="false">IF(CL765&gt;0,CL765*MAX(1,AX765/X765),IF(BW765=1,IF(AX765&lt;=0,0,CA765*MAX(1,IF(H765&gt;0,AX765/H765,1))),IF(R765&gt;0,AY765/R765,0))/MAX(0.1,N(Parameter!$M$21)))</f>
        <v>0.0769230769230769</v>
      </c>
      <c r="BA765" s="50" t="n">
        <f aca="false">AZ765*BY765</f>
        <v>11.9230769230769</v>
      </c>
      <c r="BB765" s="50" t="n">
        <f aca="false">AX765*G765</f>
        <v>155.4</v>
      </c>
      <c r="BC765" s="50" t="n">
        <f aca="false">ROUNDUP(MAX(J765/IF(CD765&gt;0,CD765,MAX(0.1,N(Cockpit!$O$6))),CG765)/BV765,0)*BV765</f>
        <v>234</v>
      </c>
      <c r="BD765" s="51" t="n">
        <f aca="false">IF(BA765&gt;0,J765/BA765,-1)</f>
        <v>0</v>
      </c>
      <c r="BE765" s="51" t="n">
        <f aca="false">IF(AND(OR(CC765="L1",CC765="L23",CC765="LIFT"),BA765&gt;0),SUMIFS($BA$7:$BA$1843,$CC$7:$CC$1843,CC765,$BD$7:$BD$1843,"&gt;"&amp;BD765)+SUMIFS($BA$7:$BA$1843,$CC$7:$CC$1843,CC765,$BD$7:$BD$1843,BD765,$BT$7:$BT$1843,"&lt;="&amp;BT765),"")</f>
        <v>36978.8641558536</v>
      </c>
      <c r="BF765" s="58" t="n">
        <f aca="false">IF(BE765="",0,MAX(0,MIN(1,(IF(CC765="L1",Parameter!$H$5,IF(CC765="L23",Parameter!$H$6+Parameter!$H$7,Parameter!$H$5+Parameter!$H$6+Parameter!$H$7))-(BE765-BA765))/BA765)))</f>
        <v>0</v>
      </c>
      <c r="BG765" s="48" t="str">
        <f aca="false">IF(AI765&lt;=0,"",IF(CC765="Aussen","Aussenlager",IF(CC765="-","Nicht im Lift",IF(AN765&gt;=1,"Lift",IF(AN765&lt;=0,"Aussenlager","teilweise")))))</f>
        <v>Lift</v>
      </c>
      <c r="BH765" s="48" t="str">
        <f aca="false">IF(AR765&lt;=0,"",IF(CC765="Aussen","Aussenlager",IF(CC765="-","Nicht im Lift",IF(AW765&gt;=1,"Lift",IF(AW765&lt;=0,"Aussenlager","teilweise")))))</f>
        <v>Aussenlager</v>
      </c>
      <c r="BI765" s="48" t="str">
        <f aca="false">IF(BA765&lt;=0,"",IF(CC765="Aussen","Aussenlager",IF(CC765="-","Nicht im Lift",IF(BF765&gt;=1,"Lift",IF(BF765&lt;=0,"Aussenlager","teilweise")))))</f>
        <v>Aussenlager</v>
      </c>
      <c r="BJ765" s="48" t="str">
        <f aca="false">IF(A765="","",IF(BS765=1,"Neu; ","")&amp;IF(AND(BS765=0,BN765&lt;0),"negativer Bestand (Export "&amp;BN765&amp;"); ","")&amp;IF(J765&lt;=0,"Kein Verbrauch; ","")&amp;IF(CL765&gt;0,"Lift "&amp;W765&amp;" lt. Liftbericht (Fach "&amp;X765&amp;" Stk); ",IF(BX765=1,"Gebinde geschätzt ("&amp;T765&amp;"); ",IF(BW765=1,"Lose – Tablare geschätzt; ","")))&amp;IF(H765&gt;AT765,"Überbestand "&amp;ROUND(H765-AT765,0)&amp;" Stk / CHF "&amp;ROUND((H765-AT765)*G765,0)&amp;"; ","")&amp;IF(AND(CE765=1,CF765&lt;CG765),"MAX &lt; MB+LG; ","")&amp;IF(AND(CK765&gt;0,CJ765*10&gt;CK765),"zu hoch für Tablar; ","")&amp;IF(AND(BS765=0,OR(CE765=1,AA765&lt;&gt;"",U765&lt;&gt;"",V765&lt;&gt;"",AB765&lt;&gt;"")),"manuell übersteuert; ","")&amp;IF(AND(BW765=0,R765=0),"Gebinde unbekannt / Stellmass fehlt; ","")&amp;IF(AND(BW765=0,N(V765)&lt;=0,N(Q765)&lt;=0),"Menge pro Gebinde fehlt (Ist = 1 Gebinde); ","")&amp;BR765)</f>
        <v>negativer Bestand (Export -2); Kein Verbrauch; Überbestand 136 Stk / CHF 57; Überbestand</v>
      </c>
      <c r="BK765" s="48"/>
      <c r="BL765" s="48"/>
      <c r="BM765" s="55"/>
      <c r="BN765" s="50" t="n">
        <v>-2</v>
      </c>
      <c r="BO765" s="50" t="n">
        <v>372</v>
      </c>
      <c r="BP765" s="49" t="n">
        <v>-0.84</v>
      </c>
      <c r="BQ765" s="50" t="n">
        <v>0</v>
      </c>
      <c r="BR765" s="48" t="s">
        <v>396</v>
      </c>
      <c r="BS765" s="53" t="n">
        <v>0</v>
      </c>
      <c r="BT765" s="53" t="n">
        <v>765</v>
      </c>
      <c r="BU765" s="48" t="str">
        <f aca="false">IF(U765&lt;&gt;"",UPPER(TRIM(U765)),IF(BX765=1,UPPER(VLOOKUP(T765,Parameter!$I$27:$K$29,2,0)),IF(P765="","LOSE",P765)))</f>
        <v>S51</v>
      </c>
      <c r="BV765" s="50" t="n">
        <f aca="false">IF(BU765="LOSE",1,IF(N(V765)&gt;0,V765,IF(BX765=1,MAX(1,N(VLOOKUP(T765,Parameter!$I$27:$K$29,3,0)),H765,N(N765)),IF(N(Q765)&gt;0,Q765,MAX(1,H765)))))</f>
        <v>234</v>
      </c>
      <c r="BW765" s="53" t="n">
        <f aca="false">IF(BU765="LOSE",1,0)</f>
        <v>0</v>
      </c>
      <c r="BX765" s="53" t="n">
        <f aca="false">IF(AND(U765="",OR(P765="",P765="LOSE"),T765&lt;&gt;"",N(S765)&lt;=0,ISNUMBER(MATCH(T765,Parameter!$I$27:$I$29,0))),1,0)</f>
        <v>0</v>
      </c>
      <c r="BY765" s="53" t="n">
        <f aca="false">IF(CL765&gt;0,INDEX(Parameter!$H$5:$H$7,W765)/INDEX(Parameter!$E$5:$E$7,W765),IF(AND(BW765=0,N(IFERROR(VLOOKUP(BU765,'Gebinde-Kategorie'!$A$5:$N$45,14,0),0))&gt;0),VLOOKUP(BU765,'Gebinde-Kategorie'!$A$5:$N$45,14,0)*10+Parameter!$M$23,Parameter!$M$24))</f>
        <v>155</v>
      </c>
      <c r="BZ765" s="48" t="str">
        <f aca="false">IF(AND(Parameter!$B$19="Ja",E765&lt;&gt;"",ISNUMBER(MATCH(E765,Parameter!$I$35:$I$52,0))),VLOOKUP(E765,Parameter!$I$35:$J$52,2,0),IFERROR(VLOOKUP(D765,Parameter!$A$35:$C$64,2,0),"Nein"))</f>
        <v>2+3</v>
      </c>
      <c r="CA765" s="52" t="n">
        <f aca="false">IF(BW765=0,0,IF(N(S765)&gt;0,S765,IFERROR(VLOOKUP(D765,Parameter!$A$35:$C$64,3,0)+0,0)))</f>
        <v>0</v>
      </c>
      <c r="CB765" s="48" t="n">
        <f aca="false">IF(AA765&lt;&gt;"",AA765,Z765)</f>
        <v>3</v>
      </c>
      <c r="CC765" s="48" t="str">
        <f aca="false">IF(OR(CB765=1,CB765=2,CB765=3),IF(Parameter!$E$27="Ja","LIFT",IF(CB765=1,"L1","L23")),IF(CB765="Aussen","Aussen","-"))</f>
        <v>LIFT</v>
      </c>
      <c r="CD765" s="59" t="n">
        <f aca="false">IF(N(AB765)&gt;0,AB765,0)</f>
        <v>0</v>
      </c>
      <c r="CE765" s="53" t="n">
        <f aca="false">IF(ISNUMBER(AE765),1,0)</f>
        <v>0</v>
      </c>
      <c r="CF765" s="50" t="n">
        <f aca="false">N(AE765)</f>
        <v>0</v>
      </c>
      <c r="CG765" s="50" t="n">
        <f aca="false">N(M765)+N(N765)</f>
        <v>1</v>
      </c>
      <c r="CH765" s="50" t="n">
        <f aca="false">ROUNDUP(H765/BV765,0)</f>
        <v>2</v>
      </c>
      <c r="CI765" s="50" t="n">
        <f aca="false">ROUNDUP(CF765/BV765,0)</f>
        <v>0</v>
      </c>
      <c r="CJ765" s="53" t="n">
        <f aca="false">IF(BW765=1,0,IFERROR(VLOOKUP(BU765,'Gebinde-Kategorie'!$A$5:$N$45,5,0)+0,0))</f>
        <v>11</v>
      </c>
      <c r="CK765" s="53" t="n">
        <f aca="false">IFERROR(IF(OR(CB765=1,CB765=2,CB765=3),N(INDEX(Parameter!$I$5:$I$7,CB765)),0),0)</f>
        <v>0</v>
      </c>
      <c r="CL765" s="52" t="n">
        <f aca="false">IF(AND(Parameter!$B$21="Ja",ISNUMBER(W765),N(X765)&gt;0),IFERROR(N(INDEX(Parameter!$L$5:$L$7,W765))*INDEX(Parameter!$E$5:$E$7,W765)*X765/SUMIFS($X$7:$X$1843,$W$7:$W$1843,W765),0),0)</f>
        <v>0</v>
      </c>
    </row>
    <row r="766" customFormat="false" ht="15" hidden="false" customHeight="false" outlineLevel="0" collapsed="false">
      <c r="A766" s="48" t="s">
        <v>1511</v>
      </c>
      <c r="B766" s="48" t="s">
        <v>1512</v>
      </c>
      <c r="C766" s="48" t="s">
        <v>460</v>
      </c>
      <c r="D766" s="48" t="s">
        <v>177</v>
      </c>
      <c r="E766" s="48"/>
      <c r="F766" s="48" t="s">
        <v>222</v>
      </c>
      <c r="G766" s="49" t="n">
        <v>0.01</v>
      </c>
      <c r="H766" s="50" t="n">
        <f aca="false">MAX(0,IF(AND(Parameter!$B$21="Ja",ISNUMBER(Y766)),Y766,IF(Parameter!$B$20="Jahresanfang 2025 + Export",BO766+BN766,BN766)))</f>
        <v>0</v>
      </c>
      <c r="I766" s="50" t="n">
        <f aca="false">H766*G766</f>
        <v>0</v>
      </c>
      <c r="J766" s="50" t="n">
        <f aca="false">BQ766*Parameter!$B$18</f>
        <v>50</v>
      </c>
      <c r="K766" s="51" t="n">
        <v>90</v>
      </c>
      <c r="L766" s="52" t="n">
        <v>0.555555555555556</v>
      </c>
      <c r="M766" s="50" t="n">
        <v>0</v>
      </c>
      <c r="N766" s="50" t="n">
        <v>50</v>
      </c>
      <c r="O766" s="53" t="n">
        <v>14</v>
      </c>
      <c r="P766" s="48" t="s">
        <v>172</v>
      </c>
      <c r="Q766" s="50"/>
      <c r="R766" s="53" t="n">
        <f aca="false">IF(BW766=1,0,IFERROR(VLOOKUP(BU766,'Gebinde-Kategorie'!$A$5:$N$45,13,0)+0,0))</f>
        <v>12</v>
      </c>
      <c r="S766" s="54"/>
      <c r="T766" s="55" t="s">
        <v>183</v>
      </c>
      <c r="U766" s="55"/>
      <c r="V766" s="55"/>
      <c r="W766" s="48"/>
      <c r="X766" s="50"/>
      <c r="Y766" s="50"/>
      <c r="Z766" s="48" t="n">
        <f aca="false">IF(A766="","",IF(AND(Parameter!$B$21="Ja",ISNUMBER(W766)),W766,IF(BZ766="2+3",IF(ISNUMBER(SEARCH("grosser Artikel",BR766)),2,IFERROR(VLOOKUP(BU766,Parameter!$F$35:$G$64,2,0),2)),IF(OR(BZ766="Nein",BZ766=""),"-",BZ766))))</f>
        <v>2</v>
      </c>
      <c r="AA766" s="55"/>
      <c r="AB766" s="56"/>
      <c r="AC766" s="50" t="n">
        <f aca="false">AT766</f>
        <v>50</v>
      </c>
      <c r="AD766" s="50" t="n">
        <f aca="false">MAX(AT766,H766)</f>
        <v>50</v>
      </c>
      <c r="AE766" s="57"/>
      <c r="AF766" s="50" t="n">
        <f aca="false">IF(LEFT(Cockpit!$C$5,1)="A",H766,IF(CE766=1,CF766,IF(LEFT(Cockpit!$C$5,1)="B",AK766,MAX(AK766,H766))))</f>
        <v>0</v>
      </c>
      <c r="AG766" s="50" t="n">
        <f aca="false">IF(BW766=1,0,ROUNDUP(AF766/BV766,0))</f>
        <v>0</v>
      </c>
      <c r="AH766" s="52" t="n">
        <f aca="false">IF(CL766&gt;0,CL766*MAX(1,AF766/X766),IF(BW766=1,IF(AF766&lt;=0,0,CA766*MAX(1,IF(H766&gt;0,AF766/H766,1))),IF(R766&gt;0,AG766/R766,0))/MAX(0.1,N(Parameter!$M$21)))</f>
        <v>0</v>
      </c>
      <c r="AI766" s="50" t="n">
        <f aca="false">AH766*BY766</f>
        <v>0</v>
      </c>
      <c r="AJ766" s="50" t="n">
        <f aca="false">AF766*G766</f>
        <v>0</v>
      </c>
      <c r="AK766" s="50" t="n">
        <f aca="false">ROUNDUP(MAX(J766/IF(CD766&gt;0,CD766,MAX(0.1,N(Cockpit!$C$6))),CG766)/BV766,0)*BV766</f>
        <v>50</v>
      </c>
      <c r="AL766" s="51" t="n">
        <f aca="false">IF(AI766&gt;0,J766/AI766,-1)</f>
        <v>-1</v>
      </c>
      <c r="AM766" s="51" t="str">
        <f aca="false">IF(AND(OR(CC766="L1",CC766="L23",CC766="LIFT"),AI766&gt;0),SUMIFS($AI$7:$AI$1843,$CC$7:$CC$1843,CC766,$AL$7:$AL$1843,"&gt;"&amp;AL766)+SUMIFS($AI$7:$AI$1843,$CC$7:$CC$1843,CC766,$AL$7:$AL$1843,AL766,$BT$7:$BT$1843,"&lt;="&amp;BT766),"")</f>
        <v/>
      </c>
      <c r="AN766" s="58" t="n">
        <f aca="false">IF(AM766="",0,MAX(0,MIN(1,(IF(CC766="L1",Parameter!$H$5,IF(CC766="L23",Parameter!$H$6+Parameter!$H$7,Parameter!$H$5+Parameter!$H$6+Parameter!$H$7))-(AM766-AI766))/AI766)))</f>
        <v>0</v>
      </c>
      <c r="AO766" s="50" t="n">
        <f aca="false">IF(LEFT(Cockpit!$I$5,1)="A",H766,IF(CE766=1,CF766,IF(LEFT(Cockpit!$I$5,1)="B",AT766,MAX(AT766,H766))))</f>
        <v>50</v>
      </c>
      <c r="AP766" s="50" t="n">
        <f aca="false">IF(BW766=1,0,ROUNDUP(AO766/BV766,0))</f>
        <v>1</v>
      </c>
      <c r="AQ766" s="52" t="n">
        <f aca="false">IF(CL766&gt;0,CL766*MAX(1,AO766/X766),IF(BW766=1,IF(AO766&lt;=0,0,CA766*MAX(1,IF(H766&gt;0,AO766/H766,1))),IF(R766&gt;0,AP766/R766,0))/MAX(0.1,N(Parameter!$M$21)))</f>
        <v>0.0833333333333333</v>
      </c>
      <c r="AR766" s="50" t="n">
        <f aca="false">AQ766*BY766</f>
        <v>12.0833333333333</v>
      </c>
      <c r="AS766" s="50" t="n">
        <f aca="false">AO766*G766</f>
        <v>0.5</v>
      </c>
      <c r="AT766" s="50" t="n">
        <f aca="false">ROUNDUP(MAX(J766/IF(CD766&gt;0,CD766,MAX(0.1,N(Cockpit!$I$6))),CG766)/BV766,0)*BV766</f>
        <v>50</v>
      </c>
      <c r="AU766" s="51" t="n">
        <f aca="false">IF(AR766&gt;0,J766/AR766,-1)</f>
        <v>4.13793103448276</v>
      </c>
      <c r="AV766" s="51" t="n">
        <f aca="false">IF(AND(OR(CC766="L1",CC766="L23",CC766="LIFT"),AR766&gt;0),SUMIFS($AR$7:$AR$1843,$CC$7:$CC$1843,CC766,$AU$7:$AU$1843,"&gt;"&amp;AU766)+SUMIFS($AR$7:$AR$1843,$CC$7:$CC$1843,CC766,$AU$7:$AU$1843,AU766,$BT$7:$BT$1843,"&lt;="&amp;BT766),"")</f>
        <v>5506.05357142857</v>
      </c>
      <c r="AW766" s="58" t="n">
        <f aca="false">IF(AV766="",0,MAX(0,MIN(1,(IF(CC766="L1",Parameter!$H$5,IF(CC766="L23",Parameter!$H$6+Parameter!$H$7,Parameter!$H$5+Parameter!$H$6+Parameter!$H$7))-(AV766-AR766))/AR766)))</f>
        <v>1</v>
      </c>
      <c r="AX766" s="50" t="n">
        <f aca="false">IF(LEFT(Cockpit!$O$5,1)="A",H766,IF(CE766=1,CF766,IF(LEFT(Cockpit!$O$5,1)="B",BC766,MAX(BC766,H766))))</f>
        <v>50</v>
      </c>
      <c r="AY766" s="50" t="n">
        <f aca="false">IF(BW766=1,0,ROUNDUP(AX766/BV766,0))</f>
        <v>1</v>
      </c>
      <c r="AZ766" s="52" t="n">
        <f aca="false">IF(CL766&gt;0,CL766*MAX(1,AX766/X766),IF(BW766=1,IF(AX766&lt;=0,0,CA766*MAX(1,IF(H766&gt;0,AX766/H766,1))),IF(R766&gt;0,AY766/R766,0))/MAX(0.1,N(Parameter!$M$21)))</f>
        <v>0.0833333333333333</v>
      </c>
      <c r="BA766" s="50" t="n">
        <f aca="false">AZ766*BY766</f>
        <v>12.0833333333333</v>
      </c>
      <c r="BB766" s="50" t="n">
        <f aca="false">AX766*G766</f>
        <v>0.5</v>
      </c>
      <c r="BC766" s="50" t="n">
        <f aca="false">ROUNDUP(MAX(J766/IF(CD766&gt;0,CD766,MAX(0.1,N(Cockpit!$O$6))),CG766)/BV766,0)*BV766</f>
        <v>50</v>
      </c>
      <c r="BD766" s="51" t="n">
        <f aca="false">IF(BA766&gt;0,J766/BA766,-1)</f>
        <v>4.13793103448276</v>
      </c>
      <c r="BE766" s="51" t="n">
        <f aca="false">IF(AND(OR(CC766="L1",CC766="L23",CC766="LIFT"),BA766&gt;0),SUMIFS($BA$7:$BA$1843,$CC$7:$CC$1843,CC766,$BD$7:$BD$1843,"&gt;"&amp;BD766)+SUMIFS($BA$7:$BA$1843,$CC$7:$CC$1843,CC766,$BD$7:$BD$1843,BD766,$BT$7:$BT$1843,"&lt;="&amp;BT766),"")</f>
        <v>5176.51831501832</v>
      </c>
      <c r="BF766" s="58" t="n">
        <f aca="false">IF(BE766="",0,MAX(0,MIN(1,(IF(CC766="L1",Parameter!$H$5,IF(CC766="L23",Parameter!$H$6+Parameter!$H$7,Parameter!$H$5+Parameter!$H$6+Parameter!$H$7))-(BE766-BA766))/BA766)))</f>
        <v>1</v>
      </c>
      <c r="BG766" s="48" t="str">
        <f aca="false">IF(AI766&lt;=0,"",IF(CC766="Aussen","Aussenlager",IF(CC766="-","Nicht im Lift",IF(AN766&gt;=1,"Lift",IF(AN766&lt;=0,"Aussenlager","teilweise")))))</f>
        <v/>
      </c>
      <c r="BH766" s="48" t="str">
        <f aca="false">IF(AR766&lt;=0,"",IF(CC766="Aussen","Aussenlager",IF(CC766="-","Nicht im Lift",IF(AW766&gt;=1,"Lift",IF(AW766&lt;=0,"Aussenlager","teilweise")))))</f>
        <v>Lift</v>
      </c>
      <c r="BI766" s="48" t="str">
        <f aca="false">IF(BA766&lt;=0,"",IF(CC766="Aussen","Aussenlager",IF(CC766="-","Nicht im Lift",IF(BF766&gt;=1,"Lift",IF(BF766&lt;=0,"Aussenlager","teilweise")))))</f>
        <v>Lift</v>
      </c>
      <c r="BJ766" s="48" t="str">
        <f aca="false">IF(A766="","",IF(BS766=1,"Neu; ","")&amp;IF(AND(BS766=0,BN766&lt;0),"negativer Bestand (Export "&amp;BN766&amp;"); ","")&amp;IF(J766&lt;=0,"Kein Verbrauch; ","")&amp;IF(CL766&gt;0,"Lift "&amp;W766&amp;" lt. Liftbericht (Fach "&amp;X766&amp;" Stk); ",IF(BX766=1,"Gebinde geschätzt ("&amp;T766&amp;"); ",IF(BW766=1,"Lose – Tablare geschätzt; ","")))&amp;IF(H766&gt;AT766,"Überbestand "&amp;ROUND(H766-AT766,0)&amp;" Stk / CHF "&amp;ROUND((H766-AT766)*G766,0)&amp;"; ","")&amp;IF(AND(CE766=1,CF766&lt;CG766),"MAX &lt; MB+LG; ","")&amp;IF(AND(CK766&gt;0,CJ766*10&gt;CK766),"zu hoch für Tablar; ","")&amp;IF(AND(BS766=0,OR(CE766=1,AA766&lt;&gt;"",U766&lt;&gt;"",V766&lt;&gt;"",AB766&lt;&gt;"")),"manuell übersteuert; ","")&amp;IF(AND(BW766=0,R766=0),"Gebinde unbekannt / Stellmass fehlt; ","")&amp;IF(AND(BW766=0,N(V766)&lt;=0,N(Q766)&lt;=0),"Menge pro Gebinde fehlt (Ist = 1 Gebinde); ","")&amp;BR766)</f>
        <v>negativer Bestand (Export -85); Gebinde geschätzt (Mittel); Menge pro Gebinde fehlt (Ist = 1 Gebinde); </v>
      </c>
      <c r="BK766" s="48"/>
      <c r="BL766" s="48"/>
      <c r="BM766" s="55"/>
      <c r="BN766" s="50" t="n">
        <v>-85</v>
      </c>
      <c r="BO766" s="50" t="n">
        <v>85</v>
      </c>
      <c r="BP766" s="49" t="n">
        <v>-0.85</v>
      </c>
      <c r="BQ766" s="50" t="n">
        <v>50</v>
      </c>
      <c r="BR766" s="48"/>
      <c r="BS766" s="53" t="n">
        <v>0</v>
      </c>
      <c r="BT766" s="53" t="n">
        <v>766</v>
      </c>
      <c r="BU766" s="48" t="str">
        <f aca="false">IF(U766&lt;&gt;"",UPPER(TRIM(U766)),IF(BX766=1,UPPER(VLOOKUP(T766,Parameter!$I$27:$K$29,2,0)),IF(P766="","LOSE",P766)))</f>
        <v>S61</v>
      </c>
      <c r="BV766" s="50" t="n">
        <f aca="false">IF(BU766="LOSE",1,IF(N(V766)&gt;0,V766,IF(BX766=1,MAX(1,N(VLOOKUP(T766,Parameter!$I$27:$K$29,3,0)),H766,N(N766)),IF(N(Q766)&gt;0,Q766,MAX(1,H766)))))</f>
        <v>50</v>
      </c>
      <c r="BW766" s="53" t="n">
        <f aca="false">IF(BU766="LOSE",1,0)</f>
        <v>0</v>
      </c>
      <c r="BX766" s="53" t="n">
        <f aca="false">IF(AND(U766="",OR(P766="",P766="LOSE"),T766&lt;&gt;"",N(S766)&lt;=0,ISNUMBER(MATCH(T766,Parameter!$I$27:$I$29,0))),1,0)</f>
        <v>1</v>
      </c>
      <c r="BY766" s="53" t="n">
        <f aca="false">IF(CL766&gt;0,INDEX(Parameter!$H$5:$H$7,W766)/INDEX(Parameter!$E$5:$E$7,W766),IF(AND(BW766=0,N(IFERROR(VLOOKUP(BU766,'Gebinde-Kategorie'!$A$5:$N$45,14,0),0))&gt;0),VLOOKUP(BU766,'Gebinde-Kategorie'!$A$5:$N$45,14,0)*10+Parameter!$M$23,Parameter!$M$24))</f>
        <v>145</v>
      </c>
      <c r="BZ766" s="48" t="str">
        <f aca="false">IF(AND(Parameter!$B$19="Ja",E766&lt;&gt;"",ISNUMBER(MATCH(E766,Parameter!$I$35:$I$52,0))),VLOOKUP(E766,Parameter!$I$35:$J$52,2,0),IFERROR(VLOOKUP(D766,Parameter!$A$35:$C$64,2,0),"Nein"))</f>
        <v>2+3</v>
      </c>
      <c r="CA766" s="52" t="n">
        <f aca="false">IF(BW766=0,0,IF(N(S766)&gt;0,S766,IFERROR(VLOOKUP(D766,Parameter!$A$35:$C$64,3,0)+0,0)))</f>
        <v>0</v>
      </c>
      <c r="CB766" s="48" t="n">
        <f aca="false">IF(AA766&lt;&gt;"",AA766,Z766)</f>
        <v>2</v>
      </c>
      <c r="CC766" s="48" t="str">
        <f aca="false">IF(OR(CB766=1,CB766=2,CB766=3),IF(Parameter!$E$27="Ja","LIFT",IF(CB766=1,"L1","L23")),IF(CB766="Aussen","Aussen","-"))</f>
        <v>LIFT</v>
      </c>
      <c r="CD766" s="59" t="n">
        <f aca="false">IF(N(AB766)&gt;0,AB766,0)</f>
        <v>0</v>
      </c>
      <c r="CE766" s="53" t="n">
        <f aca="false">IF(ISNUMBER(AE766),1,0)</f>
        <v>0</v>
      </c>
      <c r="CF766" s="50" t="n">
        <f aca="false">N(AE766)</f>
        <v>0</v>
      </c>
      <c r="CG766" s="50" t="n">
        <f aca="false">N(M766)+N(N766)</f>
        <v>50</v>
      </c>
      <c r="CH766" s="50" t="n">
        <f aca="false">ROUNDUP(H766/BV766,0)</f>
        <v>0</v>
      </c>
      <c r="CI766" s="50" t="n">
        <f aca="false">ROUNDUP(CF766/BV766,0)</f>
        <v>0</v>
      </c>
      <c r="CJ766" s="53" t="n">
        <f aca="false">IF(BW766=1,0,IFERROR(VLOOKUP(BU766,'Gebinde-Kategorie'!$A$5:$N$45,5,0)+0,0))</f>
        <v>11</v>
      </c>
      <c r="CK766" s="53" t="n">
        <f aca="false">IFERROR(IF(OR(CB766=1,CB766=2,CB766=3),N(INDEX(Parameter!$I$5:$I$7,CB766)),0),0)</f>
        <v>0</v>
      </c>
      <c r="CL766" s="52" t="n">
        <f aca="false">IF(AND(Parameter!$B$21="Ja",ISNUMBER(W766),N(X766)&gt;0),IFERROR(N(INDEX(Parameter!$L$5:$L$7,W766))*INDEX(Parameter!$E$5:$E$7,W766)*X766/SUMIFS($X$7:$X$1843,$W$7:$W$1843,W766),0),0)</f>
        <v>0</v>
      </c>
    </row>
    <row r="767" customFormat="false" ht="15" hidden="false" customHeight="false" outlineLevel="0" collapsed="false">
      <c r="A767" s="48" t="s">
        <v>1513</v>
      </c>
      <c r="B767" s="48" t="s">
        <v>1514</v>
      </c>
      <c r="C767" s="48" t="s">
        <v>168</v>
      </c>
      <c r="D767" s="48" t="s">
        <v>188</v>
      </c>
      <c r="E767" s="48" t="s">
        <v>189</v>
      </c>
      <c r="F767" s="48" t="s">
        <v>222</v>
      </c>
      <c r="G767" s="49" t="n">
        <v>0.01</v>
      </c>
      <c r="H767" s="50" t="n">
        <f aca="false">MAX(0,IF(AND(Parameter!$B$21="Ja",ISNUMBER(Y767)),Y767,IF(Parameter!$B$20="Jahresanfang 2025 + Export",BO767+BN767,BN767)))</f>
        <v>4864</v>
      </c>
      <c r="I767" s="50" t="n">
        <f aca="false">H767*G767</f>
        <v>48.64</v>
      </c>
      <c r="J767" s="50" t="n">
        <f aca="false">BQ767*Parameter!$B$18</f>
        <v>1</v>
      </c>
      <c r="K767" s="51" t="n">
        <v>4924.5</v>
      </c>
      <c r="L767" s="52" t="n">
        <v>0.000203066301147325</v>
      </c>
      <c r="M767" s="50" t="n">
        <v>0</v>
      </c>
      <c r="N767" s="50" t="n">
        <v>1</v>
      </c>
      <c r="O767" s="53" t="n">
        <v>21</v>
      </c>
      <c r="P767" s="48" t="s">
        <v>332</v>
      </c>
      <c r="Q767" s="50" t="n">
        <v>5000</v>
      </c>
      <c r="R767" s="53" t="n">
        <f aca="false">IF(BW767=1,0,IFERROR(VLOOKUP(BU767,'Gebinde-Kategorie'!$A$5:$N$45,13,0)+0,0))</f>
        <v>52</v>
      </c>
      <c r="S767" s="54"/>
      <c r="T767" s="55"/>
      <c r="U767" s="55"/>
      <c r="V767" s="55"/>
      <c r="W767" s="48"/>
      <c r="X767" s="50"/>
      <c r="Y767" s="50"/>
      <c r="Z767" s="48" t="n">
        <f aca="false">IF(A767="","",IF(AND(Parameter!$B$21="Ja",ISNUMBER(W767)),W767,IF(BZ767="2+3",IF(ISNUMBER(SEARCH("grosser Artikel",BR767)),2,IFERROR(VLOOKUP(BU767,Parameter!$F$35:$G$64,2,0),2)),IF(OR(BZ767="Nein",BZ767=""),"-",BZ767))))</f>
        <v>3</v>
      </c>
      <c r="AA767" s="55"/>
      <c r="AB767" s="56"/>
      <c r="AC767" s="50" t="n">
        <f aca="false">AT767</f>
        <v>5000</v>
      </c>
      <c r="AD767" s="50" t="n">
        <f aca="false">MAX(AT767,H767)</f>
        <v>5000</v>
      </c>
      <c r="AE767" s="57"/>
      <c r="AF767" s="50" t="n">
        <f aca="false">IF(LEFT(Cockpit!$C$5,1)="A",H767,IF(CE767=1,CF767,IF(LEFT(Cockpit!$C$5,1)="B",AK767,MAX(AK767,H767))))</f>
        <v>4864</v>
      </c>
      <c r="AG767" s="50" t="n">
        <f aca="false">IF(BW767=1,0,ROUNDUP(AF767/BV767,0))</f>
        <v>1</v>
      </c>
      <c r="AH767" s="52" t="n">
        <f aca="false">IF(CL767&gt;0,CL767*MAX(1,AF767/X767),IF(BW767=1,IF(AF767&lt;=0,0,CA767*MAX(1,IF(H767&gt;0,AF767/H767,1))),IF(R767&gt;0,AG767/R767,0))/MAX(0.1,N(Parameter!$M$21)))</f>
        <v>0.0192307692307692</v>
      </c>
      <c r="AI767" s="50" t="n">
        <f aca="false">AH767*BY767</f>
        <v>2.98076923076923</v>
      </c>
      <c r="AJ767" s="50" t="n">
        <f aca="false">AF767*G767</f>
        <v>48.64</v>
      </c>
      <c r="AK767" s="50" t="n">
        <f aca="false">ROUNDUP(MAX(J767/IF(CD767&gt;0,CD767,MAX(0.1,N(Cockpit!$C$6))),CG767)/BV767,0)*BV767</f>
        <v>5000</v>
      </c>
      <c r="AL767" s="51" t="n">
        <f aca="false">IF(AI767&gt;0,J767/AI767,-1)</f>
        <v>0.335483870967742</v>
      </c>
      <c r="AM767" s="51" t="n">
        <f aca="false">IF(AND(OR(CC767="L1",CC767="L23",CC767="LIFT"),AI767&gt;0),SUMIFS($AI$7:$AI$1843,$CC$7:$CC$1843,CC767,$AL$7:$AL$1843,"&gt;"&amp;AL767)+SUMIFS($AI$7:$AI$1843,$CC$7:$CC$1843,CC767,$AL$7:$AL$1843,AL767,$BT$7:$BT$1843,"&lt;="&amp;BT767),"")</f>
        <v>11203.9039625629</v>
      </c>
      <c r="AN767" s="58" t="n">
        <f aca="false">IF(AM767="",0,MAX(0,MIN(1,(IF(CC767="L1",Parameter!$H$5,IF(CC767="L23",Parameter!$H$6+Parameter!$H$7,Parameter!$H$5+Parameter!$H$6+Parameter!$H$7))-(AM767-AI767))/AI767)))</f>
        <v>1</v>
      </c>
      <c r="AO767" s="50" t="n">
        <f aca="false">IF(LEFT(Cockpit!$I$5,1)="A",H767,IF(CE767=1,CF767,IF(LEFT(Cockpit!$I$5,1)="B",AT767,MAX(AT767,H767))))</f>
        <v>5000</v>
      </c>
      <c r="AP767" s="50" t="n">
        <f aca="false">IF(BW767=1,0,ROUNDUP(AO767/BV767,0))</f>
        <v>1</v>
      </c>
      <c r="AQ767" s="52" t="n">
        <f aca="false">IF(CL767&gt;0,CL767*MAX(1,AO767/X767),IF(BW767=1,IF(AO767&lt;=0,0,CA767*MAX(1,IF(H767&gt;0,AO767/H767,1))),IF(R767&gt;0,AP767/R767,0))/MAX(0.1,N(Parameter!$M$21)))</f>
        <v>0.0192307692307692</v>
      </c>
      <c r="AR767" s="50" t="n">
        <f aca="false">AQ767*BY767</f>
        <v>2.98076923076923</v>
      </c>
      <c r="AS767" s="50" t="n">
        <f aca="false">AO767*G767</f>
        <v>50</v>
      </c>
      <c r="AT767" s="50" t="n">
        <f aca="false">ROUNDUP(MAX(J767/IF(CD767&gt;0,CD767,MAX(0.1,N(Cockpit!$I$6))),CG767)/BV767,0)*BV767</f>
        <v>5000</v>
      </c>
      <c r="AU767" s="51" t="n">
        <f aca="false">IF(AR767&gt;0,J767/AR767,-1)</f>
        <v>0.335483870967742</v>
      </c>
      <c r="AV767" s="51" t="n">
        <f aca="false">IF(AND(OR(CC767="L1",CC767="L23",CC767="LIFT"),AR767&gt;0),SUMIFS($AR$7:$AR$1843,$CC$7:$CC$1843,CC767,$AU$7:$AU$1843,"&gt;"&amp;AU767)+SUMIFS($AR$7:$AR$1843,$CC$7:$CC$1843,CC767,$AU$7:$AU$1843,AU767,$BT$7:$BT$1843,"&lt;="&amp;BT767),"")</f>
        <v>16329.6021062271</v>
      </c>
      <c r="AW767" s="58" t="n">
        <f aca="false">IF(AV767="",0,MAX(0,MIN(1,(IF(CC767="L1",Parameter!$H$5,IF(CC767="L23",Parameter!$H$6+Parameter!$H$7,Parameter!$H$5+Parameter!$H$6+Parameter!$H$7))-(AV767-AR767))/AR767)))</f>
        <v>1</v>
      </c>
      <c r="AX767" s="50" t="n">
        <f aca="false">IF(LEFT(Cockpit!$O$5,1)="A",H767,IF(CE767=1,CF767,IF(LEFT(Cockpit!$O$5,1)="B",BC767,MAX(BC767,H767))))</f>
        <v>5000</v>
      </c>
      <c r="AY767" s="50" t="n">
        <f aca="false">IF(BW767=1,0,ROUNDUP(AX767/BV767,0))</f>
        <v>1</v>
      </c>
      <c r="AZ767" s="52" t="n">
        <f aca="false">IF(CL767&gt;0,CL767*MAX(1,AX767/X767),IF(BW767=1,IF(AX767&lt;=0,0,CA767*MAX(1,IF(H767&gt;0,AX767/H767,1))),IF(R767&gt;0,AY767/R767,0))/MAX(0.1,N(Parameter!$M$21)))</f>
        <v>0.0192307692307692</v>
      </c>
      <c r="BA767" s="50" t="n">
        <f aca="false">AZ767*BY767</f>
        <v>2.98076923076923</v>
      </c>
      <c r="BB767" s="50" t="n">
        <f aca="false">AX767*G767</f>
        <v>50</v>
      </c>
      <c r="BC767" s="50" t="n">
        <f aca="false">ROUNDUP(MAX(J767/IF(CD767&gt;0,CD767,MAX(0.1,N(Cockpit!$O$6))),CG767)/BV767,0)*BV767</f>
        <v>5000</v>
      </c>
      <c r="BD767" s="51" t="n">
        <f aca="false">IF(BA767&gt;0,J767/BA767,-1)</f>
        <v>0.335483870967742</v>
      </c>
      <c r="BE767" s="51" t="n">
        <f aca="false">IF(AND(OR(CC767="L1",CC767="L23",CC767="LIFT"),BA767&gt;0),SUMIFS($BA$7:$BA$1843,$CC$7:$CC$1843,CC767,$BD$7:$BD$1843,"&gt;"&amp;BD767)+SUMIFS($BA$7:$BA$1843,$CC$7:$CC$1843,CC767,$BD$7:$BD$1843,BD767,$BT$7:$BT$1843,"&lt;="&amp;BT767),"")</f>
        <v>15080.2591575092</v>
      </c>
      <c r="BF767" s="58" t="n">
        <f aca="false">IF(BE767="",0,MAX(0,MIN(1,(IF(CC767="L1",Parameter!$H$5,IF(CC767="L23",Parameter!$H$6+Parameter!$H$7,Parameter!$H$5+Parameter!$H$6+Parameter!$H$7))-(BE767-BA767))/BA767)))</f>
        <v>1</v>
      </c>
      <c r="BG767" s="48" t="str">
        <f aca="false">IF(AI767&lt;=0,"",IF(CC767="Aussen","Aussenlager",IF(CC767="-","Nicht im Lift",IF(AN767&gt;=1,"Lift",IF(AN767&lt;=0,"Aussenlager","teilweise")))))</f>
        <v>Lift</v>
      </c>
      <c r="BH767" s="48" t="str">
        <f aca="false">IF(AR767&lt;=0,"",IF(CC767="Aussen","Aussenlager",IF(CC767="-","Nicht im Lift",IF(AW767&gt;=1,"Lift",IF(AW767&lt;=0,"Aussenlager","teilweise")))))</f>
        <v>Lift</v>
      </c>
      <c r="BI767" s="48" t="str">
        <f aca="false">IF(BA767&lt;=0,"",IF(CC767="Aussen","Aussenlager",IF(CC767="-","Nicht im Lift",IF(BF767&gt;=1,"Lift",IF(BF767&lt;=0,"Aussenlager","teilweise")))))</f>
        <v>Lift</v>
      </c>
      <c r="BJ767" s="48" t="str">
        <f aca="false">IF(A767="","",IF(BS767=1,"Neu; ","")&amp;IF(AND(BS767=0,BN767&lt;0),"negativer Bestand (Export "&amp;BN767&amp;"); ","")&amp;IF(J767&lt;=0,"Kein Verbrauch; ","")&amp;IF(CL767&gt;0,"Lift "&amp;W767&amp;" lt. Liftbericht (Fach "&amp;X767&amp;" Stk); ",IF(BX767=1,"Gebinde geschätzt ("&amp;T767&amp;"); ",IF(BW767=1,"Lose – Tablare geschätzt; ","")))&amp;IF(H767&gt;AT767,"Überbestand "&amp;ROUND(H767-AT767,0)&amp;" Stk / CHF "&amp;ROUND((H767-AT767)*G767,0)&amp;"; ","")&amp;IF(AND(CE767=1,CF767&lt;CG767),"MAX &lt; MB+LG; ","")&amp;IF(AND(CK767&gt;0,CJ767*10&gt;CK767),"zu hoch für Tablar; ","")&amp;IF(AND(BS767=0,OR(CE767=1,AA767&lt;&gt;"",U767&lt;&gt;"",V767&lt;&gt;"",AB767&lt;&gt;"")),"manuell übersteuert; ","")&amp;IF(AND(BW767=0,R767=0),"Gebinde unbekannt / Stellmass fehlt; ","")&amp;IF(AND(BW767=0,N(V767)&lt;=0,N(Q767)&lt;=0),"Menge pro Gebinde fehlt (Ist = 1 Gebinde); ","")&amp;BR767)</f>
        <v>negativer Bestand (Export -86); Überbestand</v>
      </c>
      <c r="BK767" s="48"/>
      <c r="BL767" s="48"/>
      <c r="BM767" s="55"/>
      <c r="BN767" s="50" t="n">
        <v>-86</v>
      </c>
      <c r="BO767" s="50" t="n">
        <v>4950</v>
      </c>
      <c r="BP767" s="49" t="n">
        <v>-0.86</v>
      </c>
      <c r="BQ767" s="50" t="n">
        <v>1</v>
      </c>
      <c r="BR767" s="48" t="s">
        <v>396</v>
      </c>
      <c r="BS767" s="53" t="n">
        <v>0</v>
      </c>
      <c r="BT767" s="53" t="n">
        <v>767</v>
      </c>
      <c r="BU767" s="48" t="str">
        <f aca="false">IF(U767&lt;&gt;"",UPPER(TRIM(U767)),IF(BX767=1,UPPER(VLOOKUP(T767,Parameter!$I$27:$K$29,2,0)),IF(P767="","LOSE",P767)))</f>
        <v>S41</v>
      </c>
      <c r="BV767" s="50" t="n">
        <f aca="false">IF(BU767="LOSE",1,IF(N(V767)&gt;0,V767,IF(BX767=1,MAX(1,N(VLOOKUP(T767,Parameter!$I$27:$K$29,3,0)),H767,N(N767)),IF(N(Q767)&gt;0,Q767,MAX(1,H767)))))</f>
        <v>5000</v>
      </c>
      <c r="BW767" s="53" t="n">
        <f aca="false">IF(BU767="LOSE",1,0)</f>
        <v>0</v>
      </c>
      <c r="BX767" s="53" t="n">
        <f aca="false">IF(AND(U767="",OR(P767="",P767="LOSE"),T767&lt;&gt;"",N(S767)&lt;=0,ISNUMBER(MATCH(T767,Parameter!$I$27:$I$29,0))),1,0)</f>
        <v>0</v>
      </c>
      <c r="BY767" s="53" t="n">
        <f aca="false">IF(CL767&gt;0,INDEX(Parameter!$H$5:$H$7,W767)/INDEX(Parameter!$E$5:$E$7,W767),IF(AND(BW767=0,N(IFERROR(VLOOKUP(BU767,'Gebinde-Kategorie'!$A$5:$N$45,14,0),0))&gt;0),VLOOKUP(BU767,'Gebinde-Kategorie'!$A$5:$N$45,14,0)*10+Parameter!$M$23,Parameter!$M$24))</f>
        <v>155</v>
      </c>
      <c r="BZ767" s="48" t="str">
        <f aca="false">IF(AND(Parameter!$B$19="Ja",E767&lt;&gt;"",ISNUMBER(MATCH(E767,Parameter!$I$35:$I$52,0))),VLOOKUP(E767,Parameter!$I$35:$J$52,2,0),IFERROR(VLOOKUP(D767,Parameter!$A$35:$C$64,2,0),"Nein"))</f>
        <v>2+3</v>
      </c>
      <c r="CA767" s="52" t="n">
        <f aca="false">IF(BW767=0,0,IF(N(S767)&gt;0,S767,IFERROR(VLOOKUP(D767,Parameter!$A$35:$C$64,3,0)+0,0)))</f>
        <v>0</v>
      </c>
      <c r="CB767" s="48" t="n">
        <f aca="false">IF(AA767&lt;&gt;"",AA767,Z767)</f>
        <v>3</v>
      </c>
      <c r="CC767" s="48" t="str">
        <f aca="false">IF(OR(CB767=1,CB767=2,CB767=3),IF(Parameter!$E$27="Ja","LIFT",IF(CB767=1,"L1","L23")),IF(CB767="Aussen","Aussen","-"))</f>
        <v>LIFT</v>
      </c>
      <c r="CD767" s="59" t="n">
        <f aca="false">IF(N(AB767)&gt;0,AB767,0)</f>
        <v>0</v>
      </c>
      <c r="CE767" s="53" t="n">
        <f aca="false">IF(ISNUMBER(AE767),1,0)</f>
        <v>0</v>
      </c>
      <c r="CF767" s="50" t="n">
        <f aca="false">N(AE767)</f>
        <v>0</v>
      </c>
      <c r="CG767" s="50" t="n">
        <f aca="false">N(M767)+N(N767)</f>
        <v>1</v>
      </c>
      <c r="CH767" s="50" t="n">
        <f aca="false">ROUNDUP(H767/BV767,0)</f>
        <v>1</v>
      </c>
      <c r="CI767" s="50" t="n">
        <f aca="false">ROUNDUP(CF767/BV767,0)</f>
        <v>0</v>
      </c>
      <c r="CJ767" s="53" t="n">
        <f aca="false">IF(BW767=1,0,IFERROR(VLOOKUP(BU767,'Gebinde-Kategorie'!$A$5:$N$45,5,0)+0,0))</f>
        <v>11</v>
      </c>
      <c r="CK767" s="53" t="n">
        <f aca="false">IFERROR(IF(OR(CB767=1,CB767=2,CB767=3),N(INDEX(Parameter!$I$5:$I$7,CB767)),0),0)</f>
        <v>0</v>
      </c>
      <c r="CL767" s="52" t="n">
        <f aca="false">IF(AND(Parameter!$B$21="Ja",ISNUMBER(W767),N(X767)&gt;0),IFERROR(N(INDEX(Parameter!$L$5:$L$7,W767))*INDEX(Parameter!$E$5:$E$7,W767)*X767/SUMIFS($X$7:$X$1843,$W$7:$W$1843,W767),0),0)</f>
        <v>0</v>
      </c>
    </row>
    <row r="768" customFormat="false" ht="15" hidden="false" customHeight="false" outlineLevel="0" collapsed="false">
      <c r="A768" s="48" t="s">
        <v>1515</v>
      </c>
      <c r="B768" s="48" t="s">
        <v>953</v>
      </c>
      <c r="C768" s="48" t="s">
        <v>168</v>
      </c>
      <c r="D768" s="48" t="s">
        <v>188</v>
      </c>
      <c r="E768" s="48" t="s">
        <v>189</v>
      </c>
      <c r="F768" s="48" t="s">
        <v>222</v>
      </c>
      <c r="G768" s="49" t="n">
        <v>0.03</v>
      </c>
      <c r="H768" s="50" t="n">
        <f aca="false">MAX(0,IF(AND(Parameter!$B$21="Ja",ISNUMBER(Y768)),Y768,IF(Parameter!$B$20="Jahresanfang 2025 + Export",BO768+BN768,BN768)))</f>
        <v>277</v>
      </c>
      <c r="I768" s="50" t="n">
        <f aca="false">H768*G768</f>
        <v>8.31</v>
      </c>
      <c r="J768" s="50" t="n">
        <f aca="false">BQ768*Parameter!$B$18</f>
        <v>12</v>
      </c>
      <c r="K768" s="51" t="n">
        <v>294</v>
      </c>
      <c r="L768" s="52" t="n">
        <v>0.0408163265306122</v>
      </c>
      <c r="M768" s="50" t="n">
        <v>0</v>
      </c>
      <c r="N768" s="50" t="n">
        <v>10</v>
      </c>
      <c r="O768" s="53" t="n">
        <v>14</v>
      </c>
      <c r="P768" s="48" t="s">
        <v>425</v>
      </c>
      <c r="Q768" s="50" t="n">
        <v>380</v>
      </c>
      <c r="R768" s="53" t="n">
        <f aca="false">IF(BW768=1,0,IFERROR(VLOOKUP(BU768,'Gebinde-Kategorie'!$A$5:$N$45,13,0)+0,0))</f>
        <v>104</v>
      </c>
      <c r="S768" s="54"/>
      <c r="T768" s="55"/>
      <c r="U768" s="55"/>
      <c r="V768" s="55"/>
      <c r="W768" s="48"/>
      <c r="X768" s="50"/>
      <c r="Y768" s="50"/>
      <c r="Z768" s="48" t="n">
        <f aca="false">IF(A768="","",IF(AND(Parameter!$B$21="Ja",ISNUMBER(W768)),W768,IF(BZ768="2+3",IF(ISNUMBER(SEARCH("grosser Artikel",BR768)),2,IFERROR(VLOOKUP(BU768,Parameter!$F$35:$G$64,2,0),2)),IF(OR(BZ768="Nein",BZ768=""),"-",BZ768))))</f>
        <v>3</v>
      </c>
      <c r="AA768" s="55"/>
      <c r="AB768" s="56"/>
      <c r="AC768" s="50" t="n">
        <f aca="false">AT768</f>
        <v>380</v>
      </c>
      <c r="AD768" s="50" t="n">
        <f aca="false">MAX(AT768,H768)</f>
        <v>380</v>
      </c>
      <c r="AE768" s="57"/>
      <c r="AF768" s="50" t="n">
        <f aca="false">IF(LEFT(Cockpit!$C$5,1)="A",H768,IF(CE768=1,CF768,IF(LEFT(Cockpit!$C$5,1)="B",AK768,MAX(AK768,H768))))</f>
        <v>277</v>
      </c>
      <c r="AG768" s="50" t="n">
        <f aca="false">IF(BW768=1,0,ROUNDUP(AF768/BV768,0))</f>
        <v>1</v>
      </c>
      <c r="AH768" s="52" t="n">
        <f aca="false">IF(CL768&gt;0,CL768*MAX(1,AF768/X768),IF(BW768=1,IF(AF768&lt;=0,0,CA768*MAX(1,IF(H768&gt;0,AF768/H768,1))),IF(R768&gt;0,AG768/R768,0))/MAX(0.1,N(Parameter!$M$21)))</f>
        <v>0.00961538461538462</v>
      </c>
      <c r="AI768" s="50" t="n">
        <f aca="false">AH768*BY768</f>
        <v>1.49038461538462</v>
      </c>
      <c r="AJ768" s="50" t="n">
        <f aca="false">AF768*G768</f>
        <v>8.31</v>
      </c>
      <c r="AK768" s="50" t="n">
        <f aca="false">ROUNDUP(MAX(J768/IF(CD768&gt;0,CD768,MAX(0.1,N(Cockpit!$C$6))),CG768)/BV768,0)*BV768</f>
        <v>380</v>
      </c>
      <c r="AL768" s="51" t="n">
        <f aca="false">IF(AI768&gt;0,J768/AI768,-1)</f>
        <v>8.05161290322581</v>
      </c>
      <c r="AM768" s="51" t="n">
        <f aca="false">IF(AND(OR(CC768="L1",CC768="L23",CC768="LIFT"),AI768&gt;0),SUMIFS($AI$7:$AI$1843,$CC$7:$CC$1843,CC768,$AL$7:$AL$1843,"&gt;"&amp;AL768)+SUMIFS($AI$7:$AI$1843,$CC$7:$CC$1843,CC768,$AL$7:$AL$1843,AL768,$BT$7:$BT$1843,"&lt;="&amp;BT768),"")</f>
        <v>3048.11217948718</v>
      </c>
      <c r="AN768" s="58" t="n">
        <f aca="false">IF(AM768="",0,MAX(0,MIN(1,(IF(CC768="L1",Parameter!$H$5,IF(CC768="L23",Parameter!$H$6+Parameter!$H$7,Parameter!$H$5+Parameter!$H$6+Parameter!$H$7))-(AM768-AI768))/AI768)))</f>
        <v>1</v>
      </c>
      <c r="AO768" s="50" t="n">
        <f aca="false">IF(LEFT(Cockpit!$I$5,1)="A",H768,IF(CE768=1,CF768,IF(LEFT(Cockpit!$I$5,1)="B",AT768,MAX(AT768,H768))))</f>
        <v>380</v>
      </c>
      <c r="AP768" s="50" t="n">
        <f aca="false">IF(BW768=1,0,ROUNDUP(AO768/BV768,0))</f>
        <v>1</v>
      </c>
      <c r="AQ768" s="52" t="n">
        <f aca="false">IF(CL768&gt;0,CL768*MAX(1,AO768/X768),IF(BW768=1,IF(AO768&lt;=0,0,CA768*MAX(1,IF(H768&gt;0,AO768/H768,1))),IF(R768&gt;0,AP768/R768,0))/MAX(0.1,N(Parameter!$M$21)))</f>
        <v>0.00961538461538462</v>
      </c>
      <c r="AR768" s="50" t="n">
        <f aca="false">AQ768*BY768</f>
        <v>1.49038461538462</v>
      </c>
      <c r="AS768" s="50" t="n">
        <f aca="false">AO768*G768</f>
        <v>11.4</v>
      </c>
      <c r="AT768" s="50" t="n">
        <f aca="false">ROUNDUP(MAX(J768/IF(CD768&gt;0,CD768,MAX(0.1,N(Cockpit!$I$6))),CG768)/BV768,0)*BV768</f>
        <v>380</v>
      </c>
      <c r="AU768" s="51" t="n">
        <f aca="false">IF(AR768&gt;0,J768/AR768,-1)</f>
        <v>8.05161290322581</v>
      </c>
      <c r="AV768" s="51" t="n">
        <f aca="false">IF(AND(OR(CC768="L1",CC768="L23",CC768="LIFT"),AR768&gt;0),SUMIFS($AR$7:$AR$1843,$CC$7:$CC$1843,CC768,$AU$7:$AU$1843,"&gt;"&amp;AU768)+SUMIFS($AR$7:$AR$1843,$CC$7:$CC$1843,CC768,$AU$7:$AU$1843,AU768,$BT$7:$BT$1843,"&lt;="&amp;BT768),"")</f>
        <v>4262.8315018315</v>
      </c>
      <c r="AW768" s="58" t="n">
        <f aca="false">IF(AV768="",0,MAX(0,MIN(1,(IF(CC768="L1",Parameter!$H$5,IF(CC768="L23",Parameter!$H$6+Parameter!$H$7,Parameter!$H$5+Parameter!$H$6+Parameter!$H$7))-(AV768-AR768))/AR768)))</f>
        <v>1</v>
      </c>
      <c r="AX768" s="50" t="n">
        <f aca="false">IF(LEFT(Cockpit!$O$5,1)="A",H768,IF(CE768=1,CF768,IF(LEFT(Cockpit!$O$5,1)="B",BC768,MAX(BC768,H768))))</f>
        <v>380</v>
      </c>
      <c r="AY768" s="50" t="n">
        <f aca="false">IF(BW768=1,0,ROUNDUP(AX768/BV768,0))</f>
        <v>1</v>
      </c>
      <c r="AZ768" s="52" t="n">
        <f aca="false">IF(CL768&gt;0,CL768*MAX(1,AX768/X768),IF(BW768=1,IF(AX768&lt;=0,0,CA768*MAX(1,IF(H768&gt;0,AX768/H768,1))),IF(R768&gt;0,AY768/R768,0))/MAX(0.1,N(Parameter!$M$21)))</f>
        <v>0.00961538461538462</v>
      </c>
      <c r="BA768" s="50" t="n">
        <f aca="false">AZ768*BY768</f>
        <v>1.49038461538462</v>
      </c>
      <c r="BB768" s="50" t="n">
        <f aca="false">AX768*G768</f>
        <v>11.4</v>
      </c>
      <c r="BC768" s="50" t="n">
        <f aca="false">ROUNDUP(MAX(J768/IF(CD768&gt;0,CD768,MAX(0.1,N(Cockpit!$O$6))),CG768)/BV768,0)*BV768</f>
        <v>380</v>
      </c>
      <c r="BD768" s="51" t="n">
        <f aca="false">IF(BA768&gt;0,J768/BA768,-1)</f>
        <v>8.05161290322581</v>
      </c>
      <c r="BE768" s="51" t="n">
        <f aca="false">IF(AND(OR(CC768="L1",CC768="L23",CC768="LIFT"),BA768&gt;0),SUMIFS($BA$7:$BA$1843,$CC$7:$CC$1843,CC768,$BD$7:$BD$1843,"&gt;"&amp;BD768)+SUMIFS($BA$7:$BA$1843,$CC$7:$CC$1843,CC768,$BD$7:$BD$1843,BD768,$BT$7:$BT$1843,"&lt;="&amp;BT768),"")</f>
        <v>3930.37957875458</v>
      </c>
      <c r="BF768" s="58" t="n">
        <f aca="false">IF(BE768="",0,MAX(0,MIN(1,(IF(CC768="L1",Parameter!$H$5,IF(CC768="L23",Parameter!$H$6+Parameter!$H$7,Parameter!$H$5+Parameter!$H$6+Parameter!$H$7))-(BE768-BA768))/BA768)))</f>
        <v>1</v>
      </c>
      <c r="BG768" s="48" t="str">
        <f aca="false">IF(AI768&lt;=0,"",IF(CC768="Aussen","Aussenlager",IF(CC768="-","Nicht im Lift",IF(AN768&gt;=1,"Lift",IF(AN768&lt;=0,"Aussenlager","teilweise")))))</f>
        <v>Lift</v>
      </c>
      <c r="BH768" s="48" t="str">
        <f aca="false">IF(AR768&lt;=0,"",IF(CC768="Aussen","Aussenlager",IF(CC768="-","Nicht im Lift",IF(AW768&gt;=1,"Lift",IF(AW768&lt;=0,"Aussenlager","teilweise")))))</f>
        <v>Lift</v>
      </c>
      <c r="BI768" s="48" t="str">
        <f aca="false">IF(BA768&lt;=0,"",IF(CC768="Aussen","Aussenlager",IF(CC768="-","Nicht im Lift",IF(BF768&gt;=1,"Lift",IF(BF768&lt;=0,"Aussenlager","teilweise")))))</f>
        <v>Lift</v>
      </c>
      <c r="BJ768" s="48" t="str">
        <f aca="false">IF(A768="","",IF(BS768=1,"Neu; ","")&amp;IF(AND(BS768=0,BN768&lt;0),"negativer Bestand (Export "&amp;BN768&amp;"); ","")&amp;IF(J768&lt;=0,"Kein Verbrauch; ","")&amp;IF(CL768&gt;0,"Lift "&amp;W768&amp;" lt. Liftbericht (Fach "&amp;X768&amp;" Stk); ",IF(BX768=1,"Gebinde geschätzt ("&amp;T768&amp;"); ",IF(BW768=1,"Lose – Tablare geschätzt; ","")))&amp;IF(H768&gt;AT768,"Überbestand "&amp;ROUND(H768-AT768,0)&amp;" Stk / CHF "&amp;ROUND((H768-AT768)*G768,0)&amp;"; ","")&amp;IF(AND(CE768=1,CF768&lt;CG768),"MAX &lt; MB+LG; ","")&amp;IF(AND(CK768&gt;0,CJ768*10&gt;CK768),"zu hoch für Tablar; ","")&amp;IF(AND(BS768=0,OR(CE768=1,AA768&lt;&gt;"",U768&lt;&gt;"",V768&lt;&gt;"",AB768&lt;&gt;"")),"manuell übersteuert; ","")&amp;IF(AND(BW768=0,R768=0),"Gebinde unbekannt / Stellmass fehlt; ","")&amp;IF(AND(BW768=0,N(V768)&lt;=0,N(Q768)&lt;=0),"Menge pro Gebinde fehlt (Ist = 1 Gebinde); ","")&amp;BR768)</f>
        <v>negativer Bestand (Export -34); </v>
      </c>
      <c r="BK768" s="48"/>
      <c r="BL768" s="48"/>
      <c r="BM768" s="55"/>
      <c r="BN768" s="50" t="n">
        <v>-34</v>
      </c>
      <c r="BO768" s="50" t="n">
        <v>311</v>
      </c>
      <c r="BP768" s="49" t="n">
        <v>-1.02</v>
      </c>
      <c r="BQ768" s="50" t="n">
        <v>12</v>
      </c>
      <c r="BR768" s="48"/>
      <c r="BS768" s="53" t="n">
        <v>0</v>
      </c>
      <c r="BT768" s="53" t="n">
        <v>768</v>
      </c>
      <c r="BU768" s="48" t="str">
        <f aca="false">IF(U768&lt;&gt;"",UPPER(TRIM(U768)),IF(BX768=1,UPPER(VLOOKUP(T768,Parameter!$I$27:$K$29,2,0)),IF(P768="","LOSE",P768)))</f>
        <v>S32</v>
      </c>
      <c r="BV768" s="50" t="n">
        <f aca="false">IF(BU768="LOSE",1,IF(N(V768)&gt;0,V768,IF(BX768=1,MAX(1,N(VLOOKUP(T768,Parameter!$I$27:$K$29,3,0)),H768,N(N768)),IF(N(Q768)&gt;0,Q768,MAX(1,H768)))))</f>
        <v>380</v>
      </c>
      <c r="BW768" s="53" t="n">
        <f aca="false">IF(BU768="LOSE",1,0)</f>
        <v>0</v>
      </c>
      <c r="BX768" s="53" t="n">
        <f aca="false">IF(AND(U768="",OR(P768="",P768="LOSE"),T768&lt;&gt;"",N(S768)&lt;=0,ISNUMBER(MATCH(T768,Parameter!$I$27:$I$29,0))),1,0)</f>
        <v>0</v>
      </c>
      <c r="BY768" s="53" t="n">
        <f aca="false">IF(CL768&gt;0,INDEX(Parameter!$H$5:$H$7,W768)/INDEX(Parameter!$E$5:$E$7,W768),IF(AND(BW768=0,N(IFERROR(VLOOKUP(BU768,'Gebinde-Kategorie'!$A$5:$N$45,14,0),0))&gt;0),VLOOKUP(BU768,'Gebinde-Kategorie'!$A$5:$N$45,14,0)*10+Parameter!$M$23,Parameter!$M$24))</f>
        <v>155</v>
      </c>
      <c r="BZ768" s="48" t="str">
        <f aca="false">IF(AND(Parameter!$B$19="Ja",E768&lt;&gt;"",ISNUMBER(MATCH(E768,Parameter!$I$35:$I$52,0))),VLOOKUP(E768,Parameter!$I$35:$J$52,2,0),IFERROR(VLOOKUP(D768,Parameter!$A$35:$C$64,2,0),"Nein"))</f>
        <v>2+3</v>
      </c>
      <c r="CA768" s="52" t="n">
        <f aca="false">IF(BW768=0,0,IF(N(S768)&gt;0,S768,IFERROR(VLOOKUP(D768,Parameter!$A$35:$C$64,3,0)+0,0)))</f>
        <v>0</v>
      </c>
      <c r="CB768" s="48" t="n">
        <f aca="false">IF(AA768&lt;&gt;"",AA768,Z768)</f>
        <v>3</v>
      </c>
      <c r="CC768" s="48" t="str">
        <f aca="false">IF(OR(CB768=1,CB768=2,CB768=3),IF(Parameter!$E$27="Ja","LIFT",IF(CB768=1,"L1","L23")),IF(CB768="Aussen","Aussen","-"))</f>
        <v>LIFT</v>
      </c>
      <c r="CD768" s="59" t="n">
        <f aca="false">IF(N(AB768)&gt;0,AB768,0)</f>
        <v>0</v>
      </c>
      <c r="CE768" s="53" t="n">
        <f aca="false">IF(ISNUMBER(AE768),1,0)</f>
        <v>0</v>
      </c>
      <c r="CF768" s="50" t="n">
        <f aca="false">N(AE768)</f>
        <v>0</v>
      </c>
      <c r="CG768" s="50" t="n">
        <f aca="false">N(M768)+N(N768)</f>
        <v>10</v>
      </c>
      <c r="CH768" s="50" t="n">
        <f aca="false">ROUNDUP(H768/BV768,0)</f>
        <v>1</v>
      </c>
      <c r="CI768" s="50" t="n">
        <f aca="false">ROUNDUP(CF768/BV768,0)</f>
        <v>0</v>
      </c>
      <c r="CJ768" s="53" t="n">
        <f aca="false">IF(BW768=1,0,IFERROR(VLOOKUP(BU768,'Gebinde-Kategorie'!$A$5:$N$45,5,0)+0,0))</f>
        <v>8</v>
      </c>
      <c r="CK768" s="53" t="n">
        <f aca="false">IFERROR(IF(OR(CB768=1,CB768=2,CB768=3),N(INDEX(Parameter!$I$5:$I$7,CB768)),0),0)</f>
        <v>0</v>
      </c>
      <c r="CL768" s="52" t="n">
        <f aca="false">IF(AND(Parameter!$B$21="Ja",ISNUMBER(W768),N(X768)&gt;0),IFERROR(N(INDEX(Parameter!$L$5:$L$7,W768))*INDEX(Parameter!$E$5:$E$7,W768)*X768/SUMIFS($X$7:$X$1843,$W$7:$W$1843,W768),0),0)</f>
        <v>0</v>
      </c>
    </row>
    <row r="769" customFormat="false" ht="15" hidden="false" customHeight="false" outlineLevel="0" collapsed="false">
      <c r="A769" s="48" t="s">
        <v>1516</v>
      </c>
      <c r="B769" s="48" t="s">
        <v>1026</v>
      </c>
      <c r="C769" s="48" t="s">
        <v>168</v>
      </c>
      <c r="D769" s="48" t="s">
        <v>188</v>
      </c>
      <c r="E769" s="48" t="s">
        <v>189</v>
      </c>
      <c r="F769" s="48" t="s">
        <v>222</v>
      </c>
      <c r="G769" s="49" t="n">
        <v>0.54</v>
      </c>
      <c r="H769" s="50" t="n">
        <f aca="false">MAX(0,IF(AND(Parameter!$B$21="Ja",ISNUMBER(Y769)),Y769,IF(Parameter!$B$20="Jahresanfang 2025 + Export",BO769+BN769,BN769)))</f>
        <v>408</v>
      </c>
      <c r="I769" s="50" t="n">
        <f aca="false">H769*G769</f>
        <v>220.32</v>
      </c>
      <c r="J769" s="50" t="n">
        <f aca="false">BQ769*Parameter!$B$18</f>
        <v>0</v>
      </c>
      <c r="K769" s="51" t="n">
        <v>409</v>
      </c>
      <c r="L769" s="52" t="n">
        <v>0</v>
      </c>
      <c r="M769" s="50" t="n">
        <v>0</v>
      </c>
      <c r="N769" s="50" t="n">
        <v>1</v>
      </c>
      <c r="O769" s="53" t="n">
        <v>14</v>
      </c>
      <c r="P769" s="48" t="s">
        <v>306</v>
      </c>
      <c r="Q769" s="50" t="n">
        <v>440</v>
      </c>
      <c r="R769" s="53" t="n">
        <f aca="false">IF(BW769=1,0,IFERROR(VLOOKUP(BU769,'Gebinde-Kategorie'!$A$5:$N$45,13,0)+0,0))</f>
        <v>26</v>
      </c>
      <c r="S769" s="54"/>
      <c r="T769" s="55"/>
      <c r="U769" s="55"/>
      <c r="V769" s="55"/>
      <c r="W769" s="48"/>
      <c r="X769" s="50"/>
      <c r="Y769" s="50"/>
      <c r="Z769" s="48" t="n">
        <f aca="false">IF(A769="","",IF(AND(Parameter!$B$21="Ja",ISNUMBER(W769)),W769,IF(BZ769="2+3",IF(ISNUMBER(SEARCH("grosser Artikel",BR769)),2,IFERROR(VLOOKUP(BU769,Parameter!$F$35:$G$64,2,0),2)),IF(OR(BZ769="Nein",BZ769=""),"-",BZ769))))</f>
        <v>3</v>
      </c>
      <c r="AA769" s="55"/>
      <c r="AB769" s="56"/>
      <c r="AC769" s="50" t="n">
        <f aca="false">AT769</f>
        <v>440</v>
      </c>
      <c r="AD769" s="50" t="n">
        <f aca="false">MAX(AT769,H769)</f>
        <v>440</v>
      </c>
      <c r="AE769" s="57"/>
      <c r="AF769" s="50" t="n">
        <f aca="false">IF(LEFT(Cockpit!$C$5,1)="A",H769,IF(CE769=1,CF769,IF(LEFT(Cockpit!$C$5,1)="B",AK769,MAX(AK769,H769))))</f>
        <v>408</v>
      </c>
      <c r="AG769" s="50" t="n">
        <f aca="false">IF(BW769=1,0,ROUNDUP(AF769/BV769,0))</f>
        <v>1</v>
      </c>
      <c r="AH769" s="52" t="n">
        <f aca="false">IF(CL769&gt;0,CL769*MAX(1,AF769/X769),IF(BW769=1,IF(AF769&lt;=0,0,CA769*MAX(1,IF(H769&gt;0,AF769/H769,1))),IF(R769&gt;0,AG769/R769,0))/MAX(0.1,N(Parameter!$M$21)))</f>
        <v>0.0384615384615385</v>
      </c>
      <c r="AI769" s="50" t="n">
        <f aca="false">AH769*BY769</f>
        <v>5.96153846153846</v>
      </c>
      <c r="AJ769" s="50" t="n">
        <f aca="false">AF769*G769</f>
        <v>220.32</v>
      </c>
      <c r="AK769" s="50" t="n">
        <f aca="false">ROUNDUP(MAX(J769/IF(CD769&gt;0,CD769,MAX(0.1,N(Cockpit!$C$6))),CG769)/BV769,0)*BV769</f>
        <v>440</v>
      </c>
      <c r="AL769" s="51" t="n">
        <f aca="false">IF(AI769&gt;0,J769/AI769,-1)</f>
        <v>0</v>
      </c>
      <c r="AM769" s="51" t="n">
        <f aca="false">IF(AND(OR(CC769="L1",CC769="L23",CC769="LIFT"),AI769&gt;0),SUMIFS($AI$7:$AI$1843,$CC$7:$CC$1843,CC769,$AL$7:$AL$1843,"&gt;"&amp;AL769)+SUMIFS($AI$7:$AI$1843,$CC$7:$CC$1843,CC769,$AL$7:$AL$1843,AL769,$BT$7:$BT$1843,"&lt;="&amp;BT769),"")</f>
        <v>28738.7584099046</v>
      </c>
      <c r="AN769" s="58" t="n">
        <f aca="false">IF(AM769="",0,MAX(0,MIN(1,(IF(CC769="L1",Parameter!$H$5,IF(CC769="L23",Parameter!$H$6+Parameter!$H$7,Parameter!$H$5+Parameter!$H$6+Parameter!$H$7))-(AM769-AI769))/AI769)))</f>
        <v>1</v>
      </c>
      <c r="AO769" s="50" t="n">
        <f aca="false">IF(LEFT(Cockpit!$I$5,1)="A",H769,IF(CE769=1,CF769,IF(LEFT(Cockpit!$I$5,1)="B",AT769,MAX(AT769,H769))))</f>
        <v>440</v>
      </c>
      <c r="AP769" s="50" t="n">
        <f aca="false">IF(BW769=1,0,ROUNDUP(AO769/BV769,0))</f>
        <v>1</v>
      </c>
      <c r="AQ769" s="52" t="n">
        <f aca="false">IF(CL769&gt;0,CL769*MAX(1,AO769/X769),IF(BW769=1,IF(AO769&lt;=0,0,CA769*MAX(1,IF(H769&gt;0,AO769/H769,1))),IF(R769&gt;0,AP769/R769,0))/MAX(0.1,N(Parameter!$M$21)))</f>
        <v>0.0384615384615385</v>
      </c>
      <c r="AR769" s="50" t="n">
        <f aca="false">AQ769*BY769</f>
        <v>5.96153846153846</v>
      </c>
      <c r="AS769" s="50" t="n">
        <f aca="false">AO769*G769</f>
        <v>237.6</v>
      </c>
      <c r="AT769" s="50" t="n">
        <f aca="false">ROUNDUP(MAX(J769/IF(CD769&gt;0,CD769,MAX(0.1,N(Cockpit!$I$6))),CG769)/BV769,0)*BV769</f>
        <v>440</v>
      </c>
      <c r="AU769" s="51" t="n">
        <f aca="false">IF(AR769&gt;0,J769/AR769,-1)</f>
        <v>0</v>
      </c>
      <c r="AV769" s="51" t="n">
        <f aca="false">IF(AND(OR(CC769="L1",CC769="L23",CC769="LIFT"),AR769&gt;0),SUMIFS($AR$7:$AR$1843,$CC$7:$CC$1843,CC769,$AU$7:$AU$1843,"&gt;"&amp;AU769)+SUMIFS($AR$7:$AR$1843,$CC$7:$CC$1843,CC769,$AU$7:$AU$1843,AU769,$BT$7:$BT$1843,"&lt;="&amp;BT769),"")</f>
        <v>40309.8136524493</v>
      </c>
      <c r="AW769" s="58" t="n">
        <f aca="false">IF(AV769="",0,MAX(0,MIN(1,(IF(CC769="L1",Parameter!$H$5,IF(CC769="L23",Parameter!$H$6+Parameter!$H$7,Parameter!$H$5+Parameter!$H$6+Parameter!$H$7))-(AV769-AR769))/AR769)))</f>
        <v>0</v>
      </c>
      <c r="AX769" s="50" t="n">
        <f aca="false">IF(LEFT(Cockpit!$O$5,1)="A",H769,IF(CE769=1,CF769,IF(LEFT(Cockpit!$O$5,1)="B",BC769,MAX(BC769,H769))))</f>
        <v>440</v>
      </c>
      <c r="AY769" s="50" t="n">
        <f aca="false">IF(BW769=1,0,ROUNDUP(AX769/BV769,0))</f>
        <v>1</v>
      </c>
      <c r="AZ769" s="52" t="n">
        <f aca="false">IF(CL769&gt;0,CL769*MAX(1,AX769/X769),IF(BW769=1,IF(AX769&lt;=0,0,CA769*MAX(1,IF(H769&gt;0,AX769/H769,1))),IF(R769&gt;0,AY769/R769,0))/MAX(0.1,N(Parameter!$M$21)))</f>
        <v>0.0384615384615385</v>
      </c>
      <c r="BA769" s="50" t="n">
        <f aca="false">AZ769*BY769</f>
        <v>5.96153846153846</v>
      </c>
      <c r="BB769" s="50" t="n">
        <f aca="false">AX769*G769</f>
        <v>237.6</v>
      </c>
      <c r="BC769" s="50" t="n">
        <f aca="false">ROUNDUP(MAX(J769/IF(CD769&gt;0,CD769,MAX(0.1,N(Cockpit!$O$6))),CG769)/BV769,0)*BV769</f>
        <v>440</v>
      </c>
      <c r="BD769" s="51" t="n">
        <f aca="false">IF(BA769&gt;0,J769/BA769,-1)</f>
        <v>0</v>
      </c>
      <c r="BE769" s="51" t="n">
        <f aca="false">IF(AND(OR(CC769="L1",CC769="L23",CC769="LIFT"),BA769&gt;0),SUMIFS($BA$7:$BA$1843,$CC$7:$CC$1843,CC769,$BD$7:$BD$1843,"&gt;"&amp;BD769)+SUMIFS($BA$7:$BA$1843,$CC$7:$CC$1843,CC769,$BD$7:$BD$1843,BD769,$BT$7:$BT$1843,"&lt;="&amp;BT769),"")</f>
        <v>36984.8256943151</v>
      </c>
      <c r="BF769" s="58" t="n">
        <f aca="false">IF(BE769="",0,MAX(0,MIN(1,(IF(CC769="L1",Parameter!$H$5,IF(CC769="L23",Parameter!$H$6+Parameter!$H$7,Parameter!$H$5+Parameter!$H$6+Parameter!$H$7))-(BE769-BA769))/BA769)))</f>
        <v>0</v>
      </c>
      <c r="BG769" s="48" t="str">
        <f aca="false">IF(AI769&lt;=0,"",IF(CC769="Aussen","Aussenlager",IF(CC769="-","Nicht im Lift",IF(AN769&gt;=1,"Lift",IF(AN769&lt;=0,"Aussenlager","teilweise")))))</f>
        <v>Lift</v>
      </c>
      <c r="BH769" s="48" t="str">
        <f aca="false">IF(AR769&lt;=0,"",IF(CC769="Aussen","Aussenlager",IF(CC769="-","Nicht im Lift",IF(AW769&gt;=1,"Lift",IF(AW769&lt;=0,"Aussenlager","teilweise")))))</f>
        <v>Aussenlager</v>
      </c>
      <c r="BI769" s="48" t="str">
        <f aca="false">IF(BA769&lt;=0,"",IF(CC769="Aussen","Aussenlager",IF(CC769="-","Nicht im Lift",IF(BF769&gt;=1,"Lift",IF(BF769&lt;=0,"Aussenlager","teilweise")))))</f>
        <v>Aussenlager</v>
      </c>
      <c r="BJ769" s="48" t="str">
        <f aca="false">IF(A769="","",IF(BS769=1,"Neu; ","")&amp;IF(AND(BS769=0,BN769&lt;0),"negativer Bestand (Export "&amp;BN769&amp;"); ","")&amp;IF(J769&lt;=0,"Kein Verbrauch; ","")&amp;IF(CL769&gt;0,"Lift "&amp;W769&amp;" lt. Liftbericht (Fach "&amp;X769&amp;" Stk); ",IF(BX769=1,"Gebinde geschätzt ("&amp;T769&amp;"); ",IF(BW769=1,"Lose – Tablare geschätzt; ","")))&amp;IF(H769&gt;AT769,"Überbestand "&amp;ROUND(H769-AT769,0)&amp;" Stk / CHF "&amp;ROUND((H769-AT769)*G769,0)&amp;"; ","")&amp;IF(AND(CE769=1,CF769&lt;CG769),"MAX &lt; MB+LG; ","")&amp;IF(AND(CK769&gt;0,CJ769*10&gt;CK769),"zu hoch für Tablar; ","")&amp;IF(AND(BS769=0,OR(CE769=1,AA769&lt;&gt;"",U769&lt;&gt;"",V769&lt;&gt;"",AB769&lt;&gt;"")),"manuell übersteuert; ","")&amp;IF(AND(BW769=0,R769=0),"Gebinde unbekannt / Stellmass fehlt; ","")&amp;IF(AND(BW769=0,N(V769)&lt;=0,N(Q769)&lt;=0),"Menge pro Gebinde fehlt (Ist = 1 Gebinde); ","")&amp;BR769)</f>
        <v>negativer Bestand (Export -2); Kein Verbrauch; Neu</v>
      </c>
      <c r="BK769" s="48"/>
      <c r="BL769" s="48"/>
      <c r="BM769" s="55"/>
      <c r="BN769" s="50" t="n">
        <v>-2</v>
      </c>
      <c r="BO769" s="50" t="n">
        <v>410</v>
      </c>
      <c r="BP769" s="49" t="n">
        <v>-1.08</v>
      </c>
      <c r="BQ769" s="50" t="n">
        <v>0</v>
      </c>
      <c r="BR769" s="48" t="s">
        <v>630</v>
      </c>
      <c r="BS769" s="53" t="n">
        <v>0</v>
      </c>
      <c r="BT769" s="53" t="n">
        <v>769</v>
      </c>
      <c r="BU769" s="48" t="str">
        <f aca="false">IF(U769&lt;&gt;"",UPPER(TRIM(U769)),IF(BX769=1,UPPER(VLOOKUP(T769,Parameter!$I$27:$K$29,2,0)),IF(P769="","LOSE",P769)))</f>
        <v>S51</v>
      </c>
      <c r="BV769" s="50" t="n">
        <f aca="false">IF(BU769="LOSE",1,IF(N(V769)&gt;0,V769,IF(BX769=1,MAX(1,N(VLOOKUP(T769,Parameter!$I$27:$K$29,3,0)),H769,N(N769)),IF(N(Q769)&gt;0,Q769,MAX(1,H769)))))</f>
        <v>440</v>
      </c>
      <c r="BW769" s="53" t="n">
        <f aca="false">IF(BU769="LOSE",1,0)</f>
        <v>0</v>
      </c>
      <c r="BX769" s="53" t="n">
        <f aca="false">IF(AND(U769="",OR(P769="",P769="LOSE"),T769&lt;&gt;"",N(S769)&lt;=0,ISNUMBER(MATCH(T769,Parameter!$I$27:$I$29,0))),1,0)</f>
        <v>0</v>
      </c>
      <c r="BY769" s="53" t="n">
        <f aca="false">IF(CL769&gt;0,INDEX(Parameter!$H$5:$H$7,W769)/INDEX(Parameter!$E$5:$E$7,W769),IF(AND(BW769=0,N(IFERROR(VLOOKUP(BU769,'Gebinde-Kategorie'!$A$5:$N$45,14,0),0))&gt;0),VLOOKUP(BU769,'Gebinde-Kategorie'!$A$5:$N$45,14,0)*10+Parameter!$M$23,Parameter!$M$24))</f>
        <v>155</v>
      </c>
      <c r="BZ769" s="48" t="str">
        <f aca="false">IF(AND(Parameter!$B$19="Ja",E769&lt;&gt;"",ISNUMBER(MATCH(E769,Parameter!$I$35:$I$52,0))),VLOOKUP(E769,Parameter!$I$35:$J$52,2,0),IFERROR(VLOOKUP(D769,Parameter!$A$35:$C$64,2,0),"Nein"))</f>
        <v>2+3</v>
      </c>
      <c r="CA769" s="52" t="n">
        <f aca="false">IF(BW769=0,0,IF(N(S769)&gt;0,S769,IFERROR(VLOOKUP(D769,Parameter!$A$35:$C$64,3,0)+0,0)))</f>
        <v>0</v>
      </c>
      <c r="CB769" s="48" t="n">
        <f aca="false">IF(AA769&lt;&gt;"",AA769,Z769)</f>
        <v>3</v>
      </c>
      <c r="CC769" s="48" t="str">
        <f aca="false">IF(OR(CB769=1,CB769=2,CB769=3),IF(Parameter!$E$27="Ja","LIFT",IF(CB769=1,"L1","L23")),IF(CB769="Aussen","Aussen","-"))</f>
        <v>LIFT</v>
      </c>
      <c r="CD769" s="59" t="n">
        <f aca="false">IF(N(AB769)&gt;0,AB769,0)</f>
        <v>0</v>
      </c>
      <c r="CE769" s="53" t="n">
        <f aca="false">IF(ISNUMBER(AE769),1,0)</f>
        <v>0</v>
      </c>
      <c r="CF769" s="50" t="n">
        <f aca="false">N(AE769)</f>
        <v>0</v>
      </c>
      <c r="CG769" s="50" t="n">
        <f aca="false">N(M769)+N(N769)</f>
        <v>1</v>
      </c>
      <c r="CH769" s="50" t="n">
        <f aca="false">ROUNDUP(H769/BV769,0)</f>
        <v>1</v>
      </c>
      <c r="CI769" s="50" t="n">
        <f aca="false">ROUNDUP(CF769/BV769,0)</f>
        <v>0</v>
      </c>
      <c r="CJ769" s="53" t="n">
        <f aca="false">IF(BW769=1,0,IFERROR(VLOOKUP(BU769,'Gebinde-Kategorie'!$A$5:$N$45,5,0)+0,0))</f>
        <v>11</v>
      </c>
      <c r="CK769" s="53" t="n">
        <f aca="false">IFERROR(IF(OR(CB769=1,CB769=2,CB769=3),N(INDEX(Parameter!$I$5:$I$7,CB769)),0),0)</f>
        <v>0</v>
      </c>
      <c r="CL769" s="52" t="n">
        <f aca="false">IF(AND(Parameter!$B$21="Ja",ISNUMBER(W769),N(X769)&gt;0),IFERROR(N(INDEX(Parameter!$L$5:$L$7,W769))*INDEX(Parameter!$E$5:$E$7,W769)*X769/SUMIFS($X$7:$X$1843,$W$7:$W$1843,W769),0),0)</f>
        <v>0</v>
      </c>
    </row>
    <row r="770" customFormat="false" ht="15" hidden="false" customHeight="false" outlineLevel="0" collapsed="false">
      <c r="A770" s="48" t="s">
        <v>1517</v>
      </c>
      <c r="B770" s="48" t="s">
        <v>658</v>
      </c>
      <c r="C770" s="48" t="s">
        <v>168</v>
      </c>
      <c r="D770" s="48" t="s">
        <v>188</v>
      </c>
      <c r="E770" s="48" t="s">
        <v>189</v>
      </c>
      <c r="F770" s="48" t="s">
        <v>222</v>
      </c>
      <c r="G770" s="49" t="n">
        <v>0.01</v>
      </c>
      <c r="H770" s="50" t="n">
        <f aca="false">MAX(0,IF(AND(Parameter!$B$21="Ja",ISNUMBER(Y770)),Y770,IF(Parameter!$B$20="Jahresanfang 2025 + Export",BO770+BN770,BN770)))</f>
        <v>456</v>
      </c>
      <c r="I770" s="50" t="n">
        <f aca="false">H770*G770</f>
        <v>4.56</v>
      </c>
      <c r="J770" s="50" t="n">
        <f aca="false">BQ770*Parameter!$B$18</f>
        <v>716</v>
      </c>
      <c r="K770" s="51" t="n">
        <v>491</v>
      </c>
      <c r="L770" s="52" t="n">
        <v>1.45824847250509</v>
      </c>
      <c r="M770" s="50" t="n">
        <v>41</v>
      </c>
      <c r="N770" s="50" t="n">
        <v>715</v>
      </c>
      <c r="O770" s="53" t="n">
        <v>21</v>
      </c>
      <c r="P770" s="48" t="s">
        <v>425</v>
      </c>
      <c r="Q770" s="50" t="n">
        <v>819</v>
      </c>
      <c r="R770" s="53" t="n">
        <f aca="false">IF(BW770=1,0,IFERROR(VLOOKUP(BU770,'Gebinde-Kategorie'!$A$5:$N$45,13,0)+0,0))</f>
        <v>104</v>
      </c>
      <c r="S770" s="54"/>
      <c r="T770" s="55"/>
      <c r="U770" s="55"/>
      <c r="V770" s="55"/>
      <c r="W770" s="48"/>
      <c r="X770" s="50"/>
      <c r="Y770" s="50"/>
      <c r="Z770" s="48" t="n">
        <f aca="false">IF(A770="","",IF(AND(Parameter!$B$21="Ja",ISNUMBER(W770)),W770,IF(BZ770="2+3",IF(ISNUMBER(SEARCH("grosser Artikel",BR770)),2,IFERROR(VLOOKUP(BU770,Parameter!$F$35:$G$64,2,0),2)),IF(OR(BZ770="Nein",BZ770=""),"-",BZ770))))</f>
        <v>3</v>
      </c>
      <c r="AA770" s="55"/>
      <c r="AB770" s="56"/>
      <c r="AC770" s="50" t="n">
        <f aca="false">AT770</f>
        <v>819</v>
      </c>
      <c r="AD770" s="50" t="n">
        <f aca="false">MAX(AT770,H770)</f>
        <v>819</v>
      </c>
      <c r="AE770" s="57"/>
      <c r="AF770" s="50" t="n">
        <f aca="false">IF(LEFT(Cockpit!$C$5,1)="A",H770,IF(CE770=1,CF770,IF(LEFT(Cockpit!$C$5,1)="B",AK770,MAX(AK770,H770))))</f>
        <v>456</v>
      </c>
      <c r="AG770" s="50" t="n">
        <f aca="false">IF(BW770=1,0,ROUNDUP(AF770/BV770,0))</f>
        <v>1</v>
      </c>
      <c r="AH770" s="52" t="n">
        <f aca="false">IF(CL770&gt;0,CL770*MAX(1,AF770/X770),IF(BW770=1,IF(AF770&lt;=0,0,CA770*MAX(1,IF(H770&gt;0,AF770/H770,1))),IF(R770&gt;0,AG770/R770,0))/MAX(0.1,N(Parameter!$M$21)))</f>
        <v>0.00961538461538462</v>
      </c>
      <c r="AI770" s="50" t="n">
        <f aca="false">AH770*BY770</f>
        <v>1.49038461538462</v>
      </c>
      <c r="AJ770" s="50" t="n">
        <f aca="false">AF770*G770</f>
        <v>4.56</v>
      </c>
      <c r="AK770" s="50" t="n">
        <f aca="false">ROUNDUP(MAX(J770/IF(CD770&gt;0,CD770,MAX(0.1,N(Cockpit!$C$6))),CG770)/BV770,0)*BV770</f>
        <v>819</v>
      </c>
      <c r="AL770" s="51" t="n">
        <f aca="false">IF(AI770&gt;0,J770/AI770,-1)</f>
        <v>480.412903225806</v>
      </c>
      <c r="AM770" s="51" t="n">
        <f aca="false">IF(AND(OR(CC770="L1",CC770="L23",CC770="LIFT"),AI770&gt;0),SUMIFS($AI$7:$AI$1843,$CC$7:$CC$1843,CC770,$AL$7:$AL$1843,"&gt;"&amp;AL770)+SUMIFS($AI$7:$AI$1843,$CC$7:$CC$1843,CC770,$AL$7:$AL$1843,AL770,$BT$7:$BT$1843,"&lt;="&amp;BT770),"")</f>
        <v>83.0123626373626</v>
      </c>
      <c r="AN770" s="58" t="n">
        <f aca="false">IF(AM770="",0,MAX(0,MIN(1,(IF(CC770="L1",Parameter!$H$5,IF(CC770="L23",Parameter!$H$6+Parameter!$H$7,Parameter!$H$5+Parameter!$H$6+Parameter!$H$7))-(AM770-AI770))/AI770)))</f>
        <v>1</v>
      </c>
      <c r="AO770" s="50" t="n">
        <f aca="false">IF(LEFT(Cockpit!$I$5,1)="A",H770,IF(CE770=1,CF770,IF(LEFT(Cockpit!$I$5,1)="B",AT770,MAX(AT770,H770))))</f>
        <v>819</v>
      </c>
      <c r="AP770" s="50" t="n">
        <f aca="false">IF(BW770=1,0,ROUNDUP(AO770/BV770,0))</f>
        <v>1</v>
      </c>
      <c r="AQ770" s="52" t="n">
        <f aca="false">IF(CL770&gt;0,CL770*MAX(1,AO770/X770),IF(BW770=1,IF(AO770&lt;=0,0,CA770*MAX(1,IF(H770&gt;0,AO770/H770,1))),IF(R770&gt;0,AP770/R770,0))/MAX(0.1,N(Parameter!$M$21)))</f>
        <v>0.00961538461538462</v>
      </c>
      <c r="AR770" s="50" t="n">
        <f aca="false">AQ770*BY770</f>
        <v>1.49038461538462</v>
      </c>
      <c r="AS770" s="50" t="n">
        <f aca="false">AO770*G770</f>
        <v>8.19</v>
      </c>
      <c r="AT770" s="50" t="n">
        <f aca="false">ROUNDUP(MAX(J770/IF(CD770&gt;0,CD770,MAX(0.1,N(Cockpit!$I$6))),CG770)/BV770,0)*BV770</f>
        <v>819</v>
      </c>
      <c r="AU770" s="51" t="n">
        <f aca="false">IF(AR770&gt;0,J770/AR770,-1)</f>
        <v>480.412903225806</v>
      </c>
      <c r="AV770" s="51" t="n">
        <f aca="false">IF(AND(OR(CC770="L1",CC770="L23",CC770="LIFT"),AR770&gt;0),SUMIFS($AR$7:$AR$1843,$CC$7:$CC$1843,CC770,$AU$7:$AU$1843,"&gt;"&amp;AU770)+SUMIFS($AR$7:$AR$1843,$CC$7:$CC$1843,CC770,$AU$7:$AU$1843,AU770,$BT$7:$BT$1843,"&lt;="&amp;BT770),"")</f>
        <v>69.5013736263736</v>
      </c>
      <c r="AW770" s="58" t="n">
        <f aca="false">IF(AV770="",0,MAX(0,MIN(1,(IF(CC770="L1",Parameter!$H$5,IF(CC770="L23",Parameter!$H$6+Parameter!$H$7,Parameter!$H$5+Parameter!$H$6+Parameter!$H$7))-(AV770-AR770))/AR770)))</f>
        <v>1</v>
      </c>
      <c r="AX770" s="50" t="n">
        <f aca="false">IF(LEFT(Cockpit!$O$5,1)="A",H770,IF(CE770=1,CF770,IF(LEFT(Cockpit!$O$5,1)="B",BC770,MAX(BC770,H770))))</f>
        <v>819</v>
      </c>
      <c r="AY770" s="50" t="n">
        <f aca="false">IF(BW770=1,0,ROUNDUP(AX770/BV770,0))</f>
        <v>1</v>
      </c>
      <c r="AZ770" s="52" t="n">
        <f aca="false">IF(CL770&gt;0,CL770*MAX(1,AX770/X770),IF(BW770=1,IF(AX770&lt;=0,0,CA770*MAX(1,IF(H770&gt;0,AX770/H770,1))),IF(R770&gt;0,AY770/R770,0))/MAX(0.1,N(Parameter!$M$21)))</f>
        <v>0.00961538461538462</v>
      </c>
      <c r="BA770" s="50" t="n">
        <f aca="false">AZ770*BY770</f>
        <v>1.49038461538462</v>
      </c>
      <c r="BB770" s="50" t="n">
        <f aca="false">AX770*G770</f>
        <v>8.19</v>
      </c>
      <c r="BC770" s="50" t="n">
        <f aca="false">ROUNDUP(MAX(J770/IF(CD770&gt;0,CD770,MAX(0.1,N(Cockpit!$O$6))),CG770)/BV770,0)*BV770</f>
        <v>819</v>
      </c>
      <c r="BD770" s="51" t="n">
        <f aca="false">IF(BA770&gt;0,J770/BA770,-1)</f>
        <v>480.412903225806</v>
      </c>
      <c r="BE770" s="51" t="n">
        <f aca="false">IF(AND(OR(CC770="L1",CC770="L23",CC770="LIFT"),BA770&gt;0),SUMIFS($BA$7:$BA$1843,$CC$7:$CC$1843,CC770,$BD$7:$BD$1843,"&gt;"&amp;BD770)+SUMIFS($BA$7:$BA$1843,$CC$7:$CC$1843,CC770,$BD$7:$BD$1843,BD770,$BT$7:$BT$1843,"&lt;="&amp;BT770),"")</f>
        <v>93.3475274725275</v>
      </c>
      <c r="BF770" s="58" t="n">
        <f aca="false">IF(BE770="",0,MAX(0,MIN(1,(IF(CC770="L1",Parameter!$H$5,IF(CC770="L23",Parameter!$H$6+Parameter!$H$7,Parameter!$H$5+Parameter!$H$6+Parameter!$H$7))-(BE770-BA770))/BA770)))</f>
        <v>1</v>
      </c>
      <c r="BG770" s="48" t="str">
        <f aca="false">IF(AI770&lt;=0,"",IF(CC770="Aussen","Aussenlager",IF(CC770="-","Nicht im Lift",IF(AN770&gt;=1,"Lift",IF(AN770&lt;=0,"Aussenlager","teilweise")))))</f>
        <v>Lift</v>
      </c>
      <c r="BH770" s="48" t="str">
        <f aca="false">IF(AR770&lt;=0,"",IF(CC770="Aussen","Aussenlager",IF(CC770="-","Nicht im Lift",IF(AW770&gt;=1,"Lift",IF(AW770&lt;=0,"Aussenlager","teilweise")))))</f>
        <v>Lift</v>
      </c>
      <c r="BI770" s="48" t="str">
        <f aca="false">IF(BA770&lt;=0,"",IF(CC770="Aussen","Aussenlager",IF(CC770="-","Nicht im Lift",IF(BF770&gt;=1,"Lift",IF(BF770&lt;=0,"Aussenlager","teilweise")))))</f>
        <v>Lift</v>
      </c>
      <c r="BJ770" s="48" t="str">
        <f aca="false">IF(A770="","",IF(BS770=1,"Neu; ","")&amp;IF(AND(BS770=0,BN770&lt;0),"negativer Bestand (Export "&amp;BN770&amp;"); ","")&amp;IF(J770&lt;=0,"Kein Verbrauch; ","")&amp;IF(CL770&gt;0,"Lift "&amp;W770&amp;" lt. Liftbericht (Fach "&amp;X770&amp;" Stk); ",IF(BX770=1,"Gebinde geschätzt ("&amp;T770&amp;"); ",IF(BW770=1,"Lose – Tablare geschätzt; ","")))&amp;IF(H770&gt;AT770,"Überbestand "&amp;ROUND(H770-AT770,0)&amp;" Stk / CHF "&amp;ROUND((H770-AT770)*G770,0)&amp;"; ","")&amp;IF(AND(CE770=1,CF770&lt;CG770),"MAX &lt; MB+LG; ","")&amp;IF(AND(CK770&gt;0,CJ770*10&gt;CK770),"zu hoch für Tablar; ","")&amp;IF(AND(BS770=0,OR(CE770=1,AA770&lt;&gt;"",U770&lt;&gt;"",V770&lt;&gt;"",AB770&lt;&gt;"")),"manuell übersteuert; ","")&amp;IF(AND(BW770=0,R770=0),"Gebinde unbekannt / Stellmass fehlt; ","")&amp;IF(AND(BW770=0,N(V770)&lt;=0,N(Q770)&lt;=0),"Menge pro Gebinde fehlt (Ist = 1 Gebinde); ","")&amp;BR770)</f>
        <v>negativer Bestand (Export -110); </v>
      </c>
      <c r="BK770" s="48"/>
      <c r="BL770" s="48"/>
      <c r="BM770" s="55"/>
      <c r="BN770" s="50" t="n">
        <v>-110</v>
      </c>
      <c r="BO770" s="50" t="n">
        <v>566</v>
      </c>
      <c r="BP770" s="49" t="n">
        <v>-1.1</v>
      </c>
      <c r="BQ770" s="50" t="n">
        <v>716</v>
      </c>
      <c r="BR770" s="48"/>
      <c r="BS770" s="53" t="n">
        <v>0</v>
      </c>
      <c r="BT770" s="53" t="n">
        <v>770</v>
      </c>
      <c r="BU770" s="48" t="str">
        <f aca="false">IF(U770&lt;&gt;"",UPPER(TRIM(U770)),IF(BX770=1,UPPER(VLOOKUP(T770,Parameter!$I$27:$K$29,2,0)),IF(P770="","LOSE",P770)))</f>
        <v>S32</v>
      </c>
      <c r="BV770" s="50" t="n">
        <f aca="false">IF(BU770="LOSE",1,IF(N(V770)&gt;0,V770,IF(BX770=1,MAX(1,N(VLOOKUP(T770,Parameter!$I$27:$K$29,3,0)),H770,N(N770)),IF(N(Q770)&gt;0,Q770,MAX(1,H770)))))</f>
        <v>819</v>
      </c>
      <c r="BW770" s="53" t="n">
        <f aca="false">IF(BU770="LOSE",1,0)</f>
        <v>0</v>
      </c>
      <c r="BX770" s="53" t="n">
        <f aca="false">IF(AND(U770="",OR(P770="",P770="LOSE"),T770&lt;&gt;"",N(S770)&lt;=0,ISNUMBER(MATCH(T770,Parameter!$I$27:$I$29,0))),1,0)</f>
        <v>0</v>
      </c>
      <c r="BY770" s="53" t="n">
        <f aca="false">IF(CL770&gt;0,INDEX(Parameter!$H$5:$H$7,W770)/INDEX(Parameter!$E$5:$E$7,W770),IF(AND(BW770=0,N(IFERROR(VLOOKUP(BU770,'Gebinde-Kategorie'!$A$5:$N$45,14,0),0))&gt;0),VLOOKUP(BU770,'Gebinde-Kategorie'!$A$5:$N$45,14,0)*10+Parameter!$M$23,Parameter!$M$24))</f>
        <v>155</v>
      </c>
      <c r="BZ770" s="48" t="str">
        <f aca="false">IF(AND(Parameter!$B$19="Ja",E770&lt;&gt;"",ISNUMBER(MATCH(E770,Parameter!$I$35:$I$52,0))),VLOOKUP(E770,Parameter!$I$35:$J$52,2,0),IFERROR(VLOOKUP(D770,Parameter!$A$35:$C$64,2,0),"Nein"))</f>
        <v>2+3</v>
      </c>
      <c r="CA770" s="52" t="n">
        <f aca="false">IF(BW770=0,0,IF(N(S770)&gt;0,S770,IFERROR(VLOOKUP(D770,Parameter!$A$35:$C$64,3,0)+0,0)))</f>
        <v>0</v>
      </c>
      <c r="CB770" s="48" t="n">
        <f aca="false">IF(AA770&lt;&gt;"",AA770,Z770)</f>
        <v>3</v>
      </c>
      <c r="CC770" s="48" t="str">
        <f aca="false">IF(OR(CB770=1,CB770=2,CB770=3),IF(Parameter!$E$27="Ja","LIFT",IF(CB770=1,"L1","L23")),IF(CB770="Aussen","Aussen","-"))</f>
        <v>LIFT</v>
      </c>
      <c r="CD770" s="59" t="n">
        <f aca="false">IF(N(AB770)&gt;0,AB770,0)</f>
        <v>0</v>
      </c>
      <c r="CE770" s="53" t="n">
        <f aca="false">IF(ISNUMBER(AE770),1,0)</f>
        <v>0</v>
      </c>
      <c r="CF770" s="50" t="n">
        <f aca="false">N(AE770)</f>
        <v>0</v>
      </c>
      <c r="CG770" s="50" t="n">
        <f aca="false">N(M770)+N(N770)</f>
        <v>756</v>
      </c>
      <c r="CH770" s="50" t="n">
        <f aca="false">ROUNDUP(H770/BV770,0)</f>
        <v>1</v>
      </c>
      <c r="CI770" s="50" t="n">
        <f aca="false">ROUNDUP(CF770/BV770,0)</f>
        <v>0</v>
      </c>
      <c r="CJ770" s="53" t="n">
        <f aca="false">IF(BW770=1,0,IFERROR(VLOOKUP(BU770,'Gebinde-Kategorie'!$A$5:$N$45,5,0)+0,0))</f>
        <v>8</v>
      </c>
      <c r="CK770" s="53" t="n">
        <f aca="false">IFERROR(IF(OR(CB770=1,CB770=2,CB770=3),N(INDEX(Parameter!$I$5:$I$7,CB770)),0),0)</f>
        <v>0</v>
      </c>
      <c r="CL770" s="52" t="n">
        <f aca="false">IF(AND(Parameter!$B$21="Ja",ISNUMBER(W770),N(X770)&gt;0),IFERROR(N(INDEX(Parameter!$L$5:$L$7,W770))*INDEX(Parameter!$E$5:$E$7,W770)*X770/SUMIFS($X$7:$X$1843,$W$7:$W$1843,W770),0),0)</f>
        <v>0</v>
      </c>
    </row>
    <row r="771" customFormat="false" ht="15" hidden="false" customHeight="false" outlineLevel="0" collapsed="false">
      <c r="A771" s="48" t="s">
        <v>1518</v>
      </c>
      <c r="B771" s="48" t="s">
        <v>409</v>
      </c>
      <c r="C771" s="48" t="s">
        <v>168</v>
      </c>
      <c r="D771" s="48" t="s">
        <v>188</v>
      </c>
      <c r="E771" s="48" t="s">
        <v>189</v>
      </c>
      <c r="F771" s="48" t="s">
        <v>222</v>
      </c>
      <c r="G771" s="49" t="n">
        <v>0.38</v>
      </c>
      <c r="H771" s="50" t="n">
        <f aca="false">MAX(0,IF(AND(Parameter!$B$21="Ja",ISNUMBER(Y771)),Y771,IF(Parameter!$B$20="Jahresanfang 2025 + Export",BO771+BN771,BN771)))</f>
        <v>81</v>
      </c>
      <c r="I771" s="50" t="n">
        <f aca="false">H771*G771</f>
        <v>30.78</v>
      </c>
      <c r="J771" s="50" t="n">
        <f aca="false">BQ771*Parameter!$B$18</f>
        <v>2</v>
      </c>
      <c r="K771" s="51" t="n">
        <v>82.5</v>
      </c>
      <c r="L771" s="52" t="n">
        <v>0.0242424242424242</v>
      </c>
      <c r="M771" s="50" t="n">
        <v>0</v>
      </c>
      <c r="N771" s="50" t="n">
        <v>1</v>
      </c>
      <c r="O771" s="53" t="n">
        <v>14</v>
      </c>
      <c r="P771" s="48" t="s">
        <v>425</v>
      </c>
      <c r="Q771" s="50" t="n">
        <v>84</v>
      </c>
      <c r="R771" s="53" t="n">
        <f aca="false">IF(BW771=1,0,IFERROR(VLOOKUP(BU771,'Gebinde-Kategorie'!$A$5:$N$45,13,0)+0,0))</f>
        <v>104</v>
      </c>
      <c r="S771" s="54"/>
      <c r="T771" s="55"/>
      <c r="U771" s="55"/>
      <c r="V771" s="55"/>
      <c r="W771" s="48"/>
      <c r="X771" s="50"/>
      <c r="Y771" s="50"/>
      <c r="Z771" s="48" t="n">
        <f aca="false">IF(A771="","",IF(AND(Parameter!$B$21="Ja",ISNUMBER(W771)),W771,IF(BZ771="2+3",IF(ISNUMBER(SEARCH("grosser Artikel",BR771)),2,IFERROR(VLOOKUP(BU771,Parameter!$F$35:$G$64,2,0),2)),IF(OR(BZ771="Nein",BZ771=""),"-",BZ771))))</f>
        <v>3</v>
      </c>
      <c r="AA771" s="55"/>
      <c r="AB771" s="56"/>
      <c r="AC771" s="50" t="n">
        <f aca="false">AT771</f>
        <v>84</v>
      </c>
      <c r="AD771" s="50" t="n">
        <f aca="false">MAX(AT771,H771)</f>
        <v>84</v>
      </c>
      <c r="AE771" s="57"/>
      <c r="AF771" s="50" t="n">
        <f aca="false">IF(LEFT(Cockpit!$C$5,1)="A",H771,IF(CE771=1,CF771,IF(LEFT(Cockpit!$C$5,1)="B",AK771,MAX(AK771,H771))))</f>
        <v>81</v>
      </c>
      <c r="AG771" s="50" t="n">
        <f aca="false">IF(BW771=1,0,ROUNDUP(AF771/BV771,0))</f>
        <v>1</v>
      </c>
      <c r="AH771" s="52" t="n">
        <f aca="false">IF(CL771&gt;0,CL771*MAX(1,AF771/X771),IF(BW771=1,IF(AF771&lt;=0,0,CA771*MAX(1,IF(H771&gt;0,AF771/H771,1))),IF(R771&gt;0,AG771/R771,0))/MAX(0.1,N(Parameter!$M$21)))</f>
        <v>0.00961538461538462</v>
      </c>
      <c r="AI771" s="50" t="n">
        <f aca="false">AH771*BY771</f>
        <v>1.49038461538462</v>
      </c>
      <c r="AJ771" s="50" t="n">
        <f aca="false">AF771*G771</f>
        <v>30.78</v>
      </c>
      <c r="AK771" s="50" t="n">
        <f aca="false">ROUNDUP(MAX(J771/IF(CD771&gt;0,CD771,MAX(0.1,N(Cockpit!$C$6))),CG771)/BV771,0)*BV771</f>
        <v>84</v>
      </c>
      <c r="AL771" s="51" t="n">
        <f aca="false">IF(AI771&gt;0,J771/AI771,-1)</f>
        <v>1.34193548387097</v>
      </c>
      <c r="AM771" s="51" t="n">
        <f aca="false">IF(AND(OR(CC771="L1",CC771="L23",CC771="LIFT"),AI771&gt;0),SUMIFS($AI$7:$AI$1843,$CC$7:$CC$1843,CC771,$AL$7:$AL$1843,"&gt;"&amp;AL771)+SUMIFS($AI$7:$AI$1843,$CC$7:$CC$1843,CC771,$AL$7:$AL$1843,AL771,$BT$7:$BT$1843,"&lt;="&amp;BT771),"")</f>
        <v>6331.14789377289</v>
      </c>
      <c r="AN771" s="58" t="n">
        <f aca="false">IF(AM771="",0,MAX(0,MIN(1,(IF(CC771="L1",Parameter!$H$5,IF(CC771="L23",Parameter!$H$6+Parameter!$H$7,Parameter!$H$5+Parameter!$H$6+Parameter!$H$7))-(AM771-AI771))/AI771)))</f>
        <v>1</v>
      </c>
      <c r="AO771" s="50" t="n">
        <f aca="false">IF(LEFT(Cockpit!$I$5,1)="A",H771,IF(CE771=1,CF771,IF(LEFT(Cockpit!$I$5,1)="B",AT771,MAX(AT771,H771))))</f>
        <v>84</v>
      </c>
      <c r="AP771" s="50" t="n">
        <f aca="false">IF(BW771=1,0,ROUNDUP(AO771/BV771,0))</f>
        <v>1</v>
      </c>
      <c r="AQ771" s="52" t="n">
        <f aca="false">IF(CL771&gt;0,CL771*MAX(1,AO771/X771),IF(BW771=1,IF(AO771&lt;=0,0,CA771*MAX(1,IF(H771&gt;0,AO771/H771,1))),IF(R771&gt;0,AP771/R771,0))/MAX(0.1,N(Parameter!$M$21)))</f>
        <v>0.00961538461538462</v>
      </c>
      <c r="AR771" s="50" t="n">
        <f aca="false">AQ771*BY771</f>
        <v>1.49038461538462</v>
      </c>
      <c r="AS771" s="50" t="n">
        <f aca="false">AO771*G771</f>
        <v>31.92</v>
      </c>
      <c r="AT771" s="50" t="n">
        <f aca="false">ROUNDUP(MAX(J771/IF(CD771&gt;0,CD771,MAX(0.1,N(Cockpit!$I$6))),CG771)/BV771,0)*BV771</f>
        <v>84</v>
      </c>
      <c r="AU771" s="51" t="n">
        <f aca="false">IF(AR771&gt;0,J771/AR771,-1)</f>
        <v>1.34193548387097</v>
      </c>
      <c r="AV771" s="51" t="n">
        <f aca="false">IF(AND(OR(CC771="L1",CC771="L23",CC771="LIFT"),AR771&gt;0),SUMIFS($AR$7:$AR$1843,$CC$7:$CC$1843,CC771,$AU$7:$AU$1843,"&gt;"&amp;AU771)+SUMIFS($AR$7:$AR$1843,$CC$7:$CC$1843,CC771,$AU$7:$AU$1843,AU771,$BT$7:$BT$1843,"&lt;="&amp;BT771),"")</f>
        <v>9395.67399267399</v>
      </c>
      <c r="AW771" s="58" t="n">
        <f aca="false">IF(AV771="",0,MAX(0,MIN(1,(IF(CC771="L1",Parameter!$H$5,IF(CC771="L23",Parameter!$H$6+Parameter!$H$7,Parameter!$H$5+Parameter!$H$6+Parameter!$H$7))-(AV771-AR771))/AR771)))</f>
        <v>1</v>
      </c>
      <c r="AX771" s="50" t="n">
        <f aca="false">IF(LEFT(Cockpit!$O$5,1)="A",H771,IF(CE771=1,CF771,IF(LEFT(Cockpit!$O$5,1)="B",BC771,MAX(BC771,H771))))</f>
        <v>84</v>
      </c>
      <c r="AY771" s="50" t="n">
        <f aca="false">IF(BW771=1,0,ROUNDUP(AX771/BV771,0))</f>
        <v>1</v>
      </c>
      <c r="AZ771" s="52" t="n">
        <f aca="false">IF(CL771&gt;0,CL771*MAX(1,AX771/X771),IF(BW771=1,IF(AX771&lt;=0,0,CA771*MAX(1,IF(H771&gt;0,AX771/H771,1))),IF(R771&gt;0,AY771/R771,0))/MAX(0.1,N(Parameter!$M$21)))</f>
        <v>0.00961538461538462</v>
      </c>
      <c r="BA771" s="50" t="n">
        <f aca="false">AZ771*BY771</f>
        <v>1.49038461538462</v>
      </c>
      <c r="BB771" s="50" t="n">
        <f aca="false">AX771*G771</f>
        <v>31.92</v>
      </c>
      <c r="BC771" s="50" t="n">
        <f aca="false">ROUNDUP(MAX(J771/IF(CD771&gt;0,CD771,MAX(0.1,N(Cockpit!$O$6))),CG771)/BV771,0)*BV771</f>
        <v>84</v>
      </c>
      <c r="BD771" s="51" t="n">
        <f aca="false">IF(BA771&gt;0,J771/BA771,-1)</f>
        <v>1.34193548387097</v>
      </c>
      <c r="BE771" s="51" t="n">
        <f aca="false">IF(AND(OR(CC771="L1",CC771="L23",CC771="LIFT"),BA771&gt;0),SUMIFS($BA$7:$BA$1843,$CC$7:$CC$1843,CC771,$BD$7:$BD$1843,"&gt;"&amp;BD771)+SUMIFS($BA$7:$BA$1843,$CC$7:$CC$1843,CC771,$BD$7:$BD$1843,BD771,$BT$7:$BT$1843,"&lt;="&amp;BT771),"")</f>
        <v>8581.33104395605</v>
      </c>
      <c r="BF771" s="58" t="n">
        <f aca="false">IF(BE771="",0,MAX(0,MIN(1,(IF(CC771="L1",Parameter!$H$5,IF(CC771="L23",Parameter!$H$6+Parameter!$H$7,Parameter!$H$5+Parameter!$H$6+Parameter!$H$7))-(BE771-BA771))/BA771)))</f>
        <v>1</v>
      </c>
      <c r="BG771" s="48" t="str">
        <f aca="false">IF(AI771&lt;=0,"",IF(CC771="Aussen","Aussenlager",IF(CC771="-","Nicht im Lift",IF(AN771&gt;=1,"Lift",IF(AN771&lt;=0,"Aussenlager","teilweise")))))</f>
        <v>Lift</v>
      </c>
      <c r="BH771" s="48" t="str">
        <f aca="false">IF(AR771&lt;=0,"",IF(CC771="Aussen","Aussenlager",IF(CC771="-","Nicht im Lift",IF(AW771&gt;=1,"Lift",IF(AW771&lt;=0,"Aussenlager","teilweise")))))</f>
        <v>Lift</v>
      </c>
      <c r="BI771" s="48" t="str">
        <f aca="false">IF(BA771&lt;=0,"",IF(CC771="Aussen","Aussenlager",IF(CC771="-","Nicht im Lift",IF(BF771&gt;=1,"Lift",IF(BF771&lt;=0,"Aussenlager","teilweise")))))</f>
        <v>Lift</v>
      </c>
      <c r="BJ771" s="48" t="str">
        <f aca="false">IF(A771="","",IF(BS771=1,"Neu; ","")&amp;IF(AND(BS771=0,BN771&lt;0),"negativer Bestand (Export "&amp;BN771&amp;"); ","")&amp;IF(J771&lt;=0,"Kein Verbrauch; ","")&amp;IF(CL771&gt;0,"Lift "&amp;W771&amp;" lt. Liftbericht (Fach "&amp;X771&amp;" Stk); ",IF(BX771=1,"Gebinde geschätzt ("&amp;T771&amp;"); ",IF(BW771=1,"Lose – Tablare geschätzt; ","")))&amp;IF(H771&gt;AT771,"Überbestand "&amp;ROUND(H771-AT771,0)&amp;" Stk / CHF "&amp;ROUND((H771-AT771)*G771,0)&amp;"; ","")&amp;IF(AND(CE771=1,CF771&lt;CG771),"MAX &lt; MB+LG; ","")&amp;IF(AND(CK771&gt;0,CJ771*10&gt;CK771),"zu hoch für Tablar; ","")&amp;IF(AND(BS771=0,OR(CE771=1,AA771&lt;&gt;"",U771&lt;&gt;"",V771&lt;&gt;"",AB771&lt;&gt;"")),"manuell übersteuert; ","")&amp;IF(AND(BW771=0,R771=0),"Gebinde unbekannt / Stellmass fehlt; ","")&amp;IF(AND(BW771=0,N(V771)&lt;=0,N(Q771)&lt;=0),"Menge pro Gebinde fehlt (Ist = 1 Gebinde); ","")&amp;BR771)</f>
        <v>negativer Bestand (Export -3); Überbestand</v>
      </c>
      <c r="BK771" s="48"/>
      <c r="BL771" s="48"/>
      <c r="BM771" s="55"/>
      <c r="BN771" s="50" t="n">
        <v>-3</v>
      </c>
      <c r="BO771" s="50" t="n">
        <v>84</v>
      </c>
      <c r="BP771" s="49" t="n">
        <v>-1.14</v>
      </c>
      <c r="BQ771" s="50" t="n">
        <v>2</v>
      </c>
      <c r="BR771" s="48" t="s">
        <v>396</v>
      </c>
      <c r="BS771" s="53" t="n">
        <v>0</v>
      </c>
      <c r="BT771" s="53" t="n">
        <v>771</v>
      </c>
      <c r="BU771" s="48" t="str">
        <f aca="false">IF(U771&lt;&gt;"",UPPER(TRIM(U771)),IF(BX771=1,UPPER(VLOOKUP(T771,Parameter!$I$27:$K$29,2,0)),IF(P771="","LOSE",P771)))</f>
        <v>S32</v>
      </c>
      <c r="BV771" s="50" t="n">
        <f aca="false">IF(BU771="LOSE",1,IF(N(V771)&gt;0,V771,IF(BX771=1,MAX(1,N(VLOOKUP(T771,Parameter!$I$27:$K$29,3,0)),H771,N(N771)),IF(N(Q771)&gt;0,Q771,MAX(1,H771)))))</f>
        <v>84</v>
      </c>
      <c r="BW771" s="53" t="n">
        <f aca="false">IF(BU771="LOSE",1,0)</f>
        <v>0</v>
      </c>
      <c r="BX771" s="53" t="n">
        <f aca="false">IF(AND(U771="",OR(P771="",P771="LOSE"),T771&lt;&gt;"",N(S771)&lt;=0,ISNUMBER(MATCH(T771,Parameter!$I$27:$I$29,0))),1,0)</f>
        <v>0</v>
      </c>
      <c r="BY771" s="53" t="n">
        <f aca="false">IF(CL771&gt;0,INDEX(Parameter!$H$5:$H$7,W771)/INDEX(Parameter!$E$5:$E$7,W771),IF(AND(BW771=0,N(IFERROR(VLOOKUP(BU771,'Gebinde-Kategorie'!$A$5:$N$45,14,0),0))&gt;0),VLOOKUP(BU771,'Gebinde-Kategorie'!$A$5:$N$45,14,0)*10+Parameter!$M$23,Parameter!$M$24))</f>
        <v>155</v>
      </c>
      <c r="BZ771" s="48" t="str">
        <f aca="false">IF(AND(Parameter!$B$19="Ja",E771&lt;&gt;"",ISNUMBER(MATCH(E771,Parameter!$I$35:$I$52,0))),VLOOKUP(E771,Parameter!$I$35:$J$52,2,0),IFERROR(VLOOKUP(D771,Parameter!$A$35:$C$64,2,0),"Nein"))</f>
        <v>2+3</v>
      </c>
      <c r="CA771" s="52" t="n">
        <f aca="false">IF(BW771=0,0,IF(N(S771)&gt;0,S771,IFERROR(VLOOKUP(D771,Parameter!$A$35:$C$64,3,0)+0,0)))</f>
        <v>0</v>
      </c>
      <c r="CB771" s="48" t="n">
        <f aca="false">IF(AA771&lt;&gt;"",AA771,Z771)</f>
        <v>3</v>
      </c>
      <c r="CC771" s="48" t="str">
        <f aca="false">IF(OR(CB771=1,CB771=2,CB771=3),IF(Parameter!$E$27="Ja","LIFT",IF(CB771=1,"L1","L23")),IF(CB771="Aussen","Aussen","-"))</f>
        <v>LIFT</v>
      </c>
      <c r="CD771" s="59" t="n">
        <f aca="false">IF(N(AB771)&gt;0,AB771,0)</f>
        <v>0</v>
      </c>
      <c r="CE771" s="53" t="n">
        <f aca="false">IF(ISNUMBER(AE771),1,0)</f>
        <v>0</v>
      </c>
      <c r="CF771" s="50" t="n">
        <f aca="false">N(AE771)</f>
        <v>0</v>
      </c>
      <c r="CG771" s="50" t="n">
        <f aca="false">N(M771)+N(N771)</f>
        <v>1</v>
      </c>
      <c r="CH771" s="50" t="n">
        <f aca="false">ROUNDUP(H771/BV771,0)</f>
        <v>1</v>
      </c>
      <c r="CI771" s="50" t="n">
        <f aca="false">ROUNDUP(CF771/BV771,0)</f>
        <v>0</v>
      </c>
      <c r="CJ771" s="53" t="n">
        <f aca="false">IF(BW771=1,0,IFERROR(VLOOKUP(BU771,'Gebinde-Kategorie'!$A$5:$N$45,5,0)+0,0))</f>
        <v>8</v>
      </c>
      <c r="CK771" s="53" t="n">
        <f aca="false">IFERROR(IF(OR(CB771=1,CB771=2,CB771=3),N(INDEX(Parameter!$I$5:$I$7,CB771)),0),0)</f>
        <v>0</v>
      </c>
      <c r="CL771" s="52" t="n">
        <f aca="false">IF(AND(Parameter!$B$21="Ja",ISNUMBER(W771),N(X771)&gt;0),IFERROR(N(INDEX(Parameter!$L$5:$L$7,W771))*INDEX(Parameter!$E$5:$E$7,W771)*X771/SUMIFS($X$7:$X$1843,$W$7:$W$1843,W771),0),0)</f>
        <v>0</v>
      </c>
    </row>
    <row r="772" customFormat="false" ht="15" hidden="false" customHeight="false" outlineLevel="0" collapsed="false">
      <c r="A772" s="48" t="s">
        <v>1519</v>
      </c>
      <c r="B772" s="48" t="s">
        <v>1140</v>
      </c>
      <c r="C772" s="48" t="s">
        <v>168</v>
      </c>
      <c r="D772" s="48" t="s">
        <v>188</v>
      </c>
      <c r="E772" s="48"/>
      <c r="F772" s="48" t="s">
        <v>222</v>
      </c>
      <c r="G772" s="49" t="n">
        <v>1.25</v>
      </c>
      <c r="H772" s="50" t="n">
        <f aca="false">MAX(0,IF(AND(Parameter!$B$21="Ja",ISNUMBER(Y772)),Y772,IF(Parameter!$B$20="Jahresanfang 2025 + Export",BO772+BN772,BN772)))</f>
        <v>30</v>
      </c>
      <c r="I772" s="50" t="n">
        <f aca="false">H772*G772</f>
        <v>37.5</v>
      </c>
      <c r="J772" s="50" t="n">
        <f aca="false">BQ772*Parameter!$B$18</f>
        <v>0</v>
      </c>
      <c r="K772" s="51" t="n">
        <v>30.5</v>
      </c>
      <c r="L772" s="52" t="n">
        <v>0</v>
      </c>
      <c r="M772" s="50" t="n">
        <v>0</v>
      </c>
      <c r="N772" s="50" t="n">
        <v>1</v>
      </c>
      <c r="O772" s="53" t="n">
        <v>14</v>
      </c>
      <c r="P772" s="48" t="s">
        <v>172</v>
      </c>
      <c r="Q772" s="50"/>
      <c r="R772" s="53" t="n">
        <f aca="false">IF(BW772=1,0,IFERROR(VLOOKUP(BU772,'Gebinde-Kategorie'!$A$5:$N$45,13,0)+0,0))</f>
        <v>26</v>
      </c>
      <c r="S772" s="54"/>
      <c r="T772" s="55" t="s">
        <v>279</v>
      </c>
      <c r="U772" s="55"/>
      <c r="V772" s="55"/>
      <c r="W772" s="48"/>
      <c r="X772" s="50"/>
      <c r="Y772" s="50"/>
      <c r="Z772" s="48" t="n">
        <f aca="false">IF(A772="","",IF(AND(Parameter!$B$21="Ja",ISNUMBER(W772)),W772,IF(BZ772="2+3",IF(ISNUMBER(SEARCH("grosser Artikel",BR772)),2,IFERROR(VLOOKUP(BU772,Parameter!$F$35:$G$64,2,0),2)),IF(OR(BZ772="Nein",BZ772=""),"-",BZ772))))</f>
        <v>3</v>
      </c>
      <c r="AA772" s="55"/>
      <c r="AB772" s="56"/>
      <c r="AC772" s="50" t="n">
        <f aca="false">AT772</f>
        <v>30</v>
      </c>
      <c r="AD772" s="50" t="n">
        <f aca="false">MAX(AT772,H772)</f>
        <v>30</v>
      </c>
      <c r="AE772" s="57"/>
      <c r="AF772" s="50" t="n">
        <f aca="false">IF(LEFT(Cockpit!$C$5,1)="A",H772,IF(CE772=1,CF772,IF(LEFT(Cockpit!$C$5,1)="B",AK772,MAX(AK772,H772))))</f>
        <v>30</v>
      </c>
      <c r="AG772" s="50" t="n">
        <f aca="false">IF(BW772=1,0,ROUNDUP(AF772/BV772,0))</f>
        <v>1</v>
      </c>
      <c r="AH772" s="52" t="n">
        <f aca="false">IF(CL772&gt;0,CL772*MAX(1,AF772/X772),IF(BW772=1,IF(AF772&lt;=0,0,CA772*MAX(1,IF(H772&gt;0,AF772/H772,1))),IF(R772&gt;0,AG772/R772,0))/MAX(0.1,N(Parameter!$M$21)))</f>
        <v>0.0384615384615385</v>
      </c>
      <c r="AI772" s="50" t="n">
        <f aca="false">AH772*BY772</f>
        <v>5.96153846153846</v>
      </c>
      <c r="AJ772" s="50" t="n">
        <f aca="false">AF772*G772</f>
        <v>37.5</v>
      </c>
      <c r="AK772" s="50" t="n">
        <f aca="false">ROUNDUP(MAX(J772/IF(CD772&gt;0,CD772,MAX(0.1,N(Cockpit!$C$6))),CG772)/BV772,0)*BV772</f>
        <v>30</v>
      </c>
      <c r="AL772" s="51" t="n">
        <f aca="false">IF(AI772&gt;0,J772/AI772,-1)</f>
        <v>0</v>
      </c>
      <c r="AM772" s="51" t="n">
        <f aca="false">IF(AND(OR(CC772="L1",CC772="L23",CC772="LIFT"),AI772&gt;0),SUMIFS($AI$7:$AI$1843,$CC$7:$CC$1843,CC772,$AL$7:$AL$1843,"&gt;"&amp;AL772)+SUMIFS($AI$7:$AI$1843,$CC$7:$CC$1843,CC772,$AL$7:$AL$1843,AL772,$BT$7:$BT$1843,"&lt;="&amp;BT772),"")</f>
        <v>28744.7199483661</v>
      </c>
      <c r="AN772" s="58" t="n">
        <f aca="false">IF(AM772="",0,MAX(0,MIN(1,(IF(CC772="L1",Parameter!$H$5,IF(CC772="L23",Parameter!$H$6+Parameter!$H$7,Parameter!$H$5+Parameter!$H$6+Parameter!$H$7))-(AM772-AI772))/AI772)))</f>
        <v>1</v>
      </c>
      <c r="AO772" s="50" t="n">
        <f aca="false">IF(LEFT(Cockpit!$I$5,1)="A",H772,IF(CE772=1,CF772,IF(LEFT(Cockpit!$I$5,1)="B",AT772,MAX(AT772,H772))))</f>
        <v>30</v>
      </c>
      <c r="AP772" s="50" t="n">
        <f aca="false">IF(BW772=1,0,ROUNDUP(AO772/BV772,0))</f>
        <v>1</v>
      </c>
      <c r="AQ772" s="52" t="n">
        <f aca="false">IF(CL772&gt;0,CL772*MAX(1,AO772/X772),IF(BW772=1,IF(AO772&lt;=0,0,CA772*MAX(1,IF(H772&gt;0,AO772/H772,1))),IF(R772&gt;0,AP772/R772,0))/MAX(0.1,N(Parameter!$M$21)))</f>
        <v>0.0384615384615385</v>
      </c>
      <c r="AR772" s="50" t="n">
        <f aca="false">AQ772*BY772</f>
        <v>5.96153846153846</v>
      </c>
      <c r="AS772" s="50" t="n">
        <f aca="false">AO772*G772</f>
        <v>37.5</v>
      </c>
      <c r="AT772" s="50" t="n">
        <f aca="false">ROUNDUP(MAX(J772/IF(CD772&gt;0,CD772,MAX(0.1,N(Cockpit!$I$6))),CG772)/BV772,0)*BV772</f>
        <v>30</v>
      </c>
      <c r="AU772" s="51" t="n">
        <f aca="false">IF(AR772&gt;0,J772/AR772,-1)</f>
        <v>0</v>
      </c>
      <c r="AV772" s="51" t="n">
        <f aca="false">IF(AND(OR(CC772="L1",CC772="L23",CC772="LIFT"),AR772&gt;0),SUMIFS($AR$7:$AR$1843,$CC$7:$CC$1843,CC772,$AU$7:$AU$1843,"&gt;"&amp;AU772)+SUMIFS($AR$7:$AR$1843,$CC$7:$CC$1843,CC772,$AU$7:$AU$1843,AU772,$BT$7:$BT$1843,"&lt;="&amp;BT772),"")</f>
        <v>40315.7751909108</v>
      </c>
      <c r="AW772" s="58" t="n">
        <f aca="false">IF(AV772="",0,MAX(0,MIN(1,(IF(CC772="L1",Parameter!$H$5,IF(CC772="L23",Parameter!$H$6+Parameter!$H$7,Parameter!$H$5+Parameter!$H$6+Parameter!$H$7))-(AV772-AR772))/AR772)))</f>
        <v>0</v>
      </c>
      <c r="AX772" s="50" t="n">
        <f aca="false">IF(LEFT(Cockpit!$O$5,1)="A",H772,IF(CE772=1,CF772,IF(LEFT(Cockpit!$O$5,1)="B",BC772,MAX(BC772,H772))))</f>
        <v>30</v>
      </c>
      <c r="AY772" s="50" t="n">
        <f aca="false">IF(BW772=1,0,ROUNDUP(AX772/BV772,0))</f>
        <v>1</v>
      </c>
      <c r="AZ772" s="52" t="n">
        <f aca="false">IF(CL772&gt;0,CL772*MAX(1,AX772/X772),IF(BW772=1,IF(AX772&lt;=0,0,CA772*MAX(1,IF(H772&gt;0,AX772/H772,1))),IF(R772&gt;0,AY772/R772,0))/MAX(0.1,N(Parameter!$M$21)))</f>
        <v>0.0384615384615385</v>
      </c>
      <c r="BA772" s="50" t="n">
        <f aca="false">AZ772*BY772</f>
        <v>5.96153846153846</v>
      </c>
      <c r="BB772" s="50" t="n">
        <f aca="false">AX772*G772</f>
        <v>37.5</v>
      </c>
      <c r="BC772" s="50" t="n">
        <f aca="false">ROUNDUP(MAX(J772/IF(CD772&gt;0,CD772,MAX(0.1,N(Cockpit!$O$6))),CG772)/BV772,0)*BV772</f>
        <v>30</v>
      </c>
      <c r="BD772" s="51" t="n">
        <f aca="false">IF(BA772&gt;0,J772/BA772,-1)</f>
        <v>0</v>
      </c>
      <c r="BE772" s="51" t="n">
        <f aca="false">IF(AND(OR(CC772="L1",CC772="L23",CC772="LIFT"),BA772&gt;0),SUMIFS($BA$7:$BA$1843,$CC$7:$CC$1843,CC772,$BD$7:$BD$1843,"&gt;"&amp;BD772)+SUMIFS($BA$7:$BA$1843,$CC$7:$CC$1843,CC772,$BD$7:$BD$1843,BD772,$BT$7:$BT$1843,"&lt;="&amp;BT772),"")</f>
        <v>36990.7872327766</v>
      </c>
      <c r="BF772" s="58" t="n">
        <f aca="false">IF(BE772="",0,MAX(0,MIN(1,(IF(CC772="L1",Parameter!$H$5,IF(CC772="L23",Parameter!$H$6+Parameter!$H$7,Parameter!$H$5+Parameter!$H$6+Parameter!$H$7))-(BE772-BA772))/BA772)))</f>
        <v>0</v>
      </c>
      <c r="BG772" s="48" t="str">
        <f aca="false">IF(AI772&lt;=0,"",IF(CC772="Aussen","Aussenlager",IF(CC772="-","Nicht im Lift",IF(AN772&gt;=1,"Lift",IF(AN772&lt;=0,"Aussenlager","teilweise")))))</f>
        <v>Lift</v>
      </c>
      <c r="BH772" s="48" t="str">
        <f aca="false">IF(AR772&lt;=0,"",IF(CC772="Aussen","Aussenlager",IF(CC772="-","Nicht im Lift",IF(AW772&gt;=1,"Lift",IF(AW772&lt;=0,"Aussenlager","teilweise")))))</f>
        <v>Aussenlager</v>
      </c>
      <c r="BI772" s="48" t="str">
        <f aca="false">IF(BA772&lt;=0,"",IF(CC772="Aussen","Aussenlager",IF(CC772="-","Nicht im Lift",IF(BF772&gt;=1,"Lift",IF(BF772&lt;=0,"Aussenlager","teilweise")))))</f>
        <v>Aussenlager</v>
      </c>
      <c r="BJ772" s="48" t="str">
        <f aca="false">IF(A772="","",IF(BS772=1,"Neu; ","")&amp;IF(AND(BS772=0,BN772&lt;0),"negativer Bestand (Export "&amp;BN772&amp;"); ","")&amp;IF(J772&lt;=0,"Kein Verbrauch; ","")&amp;IF(CL772&gt;0,"Lift "&amp;W772&amp;" lt. Liftbericht (Fach "&amp;X772&amp;" Stk); ",IF(BX772=1,"Gebinde geschätzt ("&amp;T772&amp;"); ",IF(BW772=1,"Lose – Tablare geschätzt; ","")))&amp;IF(H772&gt;AT772,"Überbestand "&amp;ROUND(H772-AT772,0)&amp;" Stk / CHF "&amp;ROUND((H772-AT772)*G772,0)&amp;"; ","")&amp;IF(AND(CE772=1,CF772&lt;CG772),"MAX &lt; MB+LG; ","")&amp;IF(AND(CK772&gt;0,CJ772*10&gt;CK772),"zu hoch für Tablar; ","")&amp;IF(AND(BS772=0,OR(CE772=1,AA772&lt;&gt;"",U772&lt;&gt;"",V772&lt;&gt;"",AB772&lt;&gt;"")),"manuell übersteuert; ","")&amp;IF(AND(BW772=0,R772=0),"Gebinde unbekannt / Stellmass fehlt; ","")&amp;IF(AND(BW772=0,N(V772)&lt;=0,N(Q772)&lt;=0),"Menge pro Gebinde fehlt (Ist = 1 Gebinde); ","")&amp;BR772)</f>
        <v>negativer Bestand (Export -1); Kein Verbrauch; Gebinde geschätzt (Klein); Menge pro Gebinde fehlt (Ist = 1 Gebinde); Überbestand</v>
      </c>
      <c r="BK772" s="48"/>
      <c r="BL772" s="48"/>
      <c r="BM772" s="55"/>
      <c r="BN772" s="50" t="n">
        <v>-1</v>
      </c>
      <c r="BO772" s="50" t="n">
        <v>31</v>
      </c>
      <c r="BP772" s="49" t="n">
        <v>-1.25</v>
      </c>
      <c r="BQ772" s="50" t="n">
        <v>0</v>
      </c>
      <c r="BR772" s="48" t="s">
        <v>396</v>
      </c>
      <c r="BS772" s="53" t="n">
        <v>0</v>
      </c>
      <c r="BT772" s="53" t="n">
        <v>772</v>
      </c>
      <c r="BU772" s="48" t="str">
        <f aca="false">IF(U772&lt;&gt;"",UPPER(TRIM(U772)),IF(BX772=1,UPPER(VLOOKUP(T772,Parameter!$I$27:$K$29,2,0)),IF(P772="","LOSE",P772)))</f>
        <v>S51</v>
      </c>
      <c r="BV772" s="50" t="n">
        <f aca="false">IF(BU772="LOSE",1,IF(N(V772)&gt;0,V772,IF(BX772=1,MAX(1,N(VLOOKUP(T772,Parameter!$I$27:$K$29,3,0)),H772,N(N772)),IF(N(Q772)&gt;0,Q772,MAX(1,H772)))))</f>
        <v>30</v>
      </c>
      <c r="BW772" s="53" t="n">
        <f aca="false">IF(BU772="LOSE",1,0)</f>
        <v>0</v>
      </c>
      <c r="BX772" s="53" t="n">
        <f aca="false">IF(AND(U772="",OR(P772="",P772="LOSE"),T772&lt;&gt;"",N(S772)&lt;=0,ISNUMBER(MATCH(T772,Parameter!$I$27:$I$29,0))),1,0)</f>
        <v>1</v>
      </c>
      <c r="BY772" s="53" t="n">
        <f aca="false">IF(CL772&gt;0,INDEX(Parameter!$H$5:$H$7,W772)/INDEX(Parameter!$E$5:$E$7,W772),IF(AND(BW772=0,N(IFERROR(VLOOKUP(BU772,'Gebinde-Kategorie'!$A$5:$N$45,14,0),0))&gt;0),VLOOKUP(BU772,'Gebinde-Kategorie'!$A$5:$N$45,14,0)*10+Parameter!$M$23,Parameter!$M$24))</f>
        <v>155</v>
      </c>
      <c r="BZ772" s="48" t="str">
        <f aca="false">IF(AND(Parameter!$B$19="Ja",E772&lt;&gt;"",ISNUMBER(MATCH(E772,Parameter!$I$35:$I$52,0))),VLOOKUP(E772,Parameter!$I$35:$J$52,2,0),IFERROR(VLOOKUP(D772,Parameter!$A$35:$C$64,2,0),"Nein"))</f>
        <v>2+3</v>
      </c>
      <c r="CA772" s="52" t="n">
        <f aca="false">IF(BW772=0,0,IF(N(S772)&gt;0,S772,IFERROR(VLOOKUP(D772,Parameter!$A$35:$C$64,3,0)+0,0)))</f>
        <v>0</v>
      </c>
      <c r="CB772" s="48" t="n">
        <f aca="false">IF(AA772&lt;&gt;"",AA772,Z772)</f>
        <v>3</v>
      </c>
      <c r="CC772" s="48" t="str">
        <f aca="false">IF(OR(CB772=1,CB772=2,CB772=3),IF(Parameter!$E$27="Ja","LIFT",IF(CB772=1,"L1","L23")),IF(CB772="Aussen","Aussen","-"))</f>
        <v>LIFT</v>
      </c>
      <c r="CD772" s="59" t="n">
        <f aca="false">IF(N(AB772)&gt;0,AB772,0)</f>
        <v>0</v>
      </c>
      <c r="CE772" s="53" t="n">
        <f aca="false">IF(ISNUMBER(AE772),1,0)</f>
        <v>0</v>
      </c>
      <c r="CF772" s="50" t="n">
        <f aca="false">N(AE772)</f>
        <v>0</v>
      </c>
      <c r="CG772" s="50" t="n">
        <f aca="false">N(M772)+N(N772)</f>
        <v>1</v>
      </c>
      <c r="CH772" s="50" t="n">
        <f aca="false">ROUNDUP(H772/BV772,0)</f>
        <v>1</v>
      </c>
      <c r="CI772" s="50" t="n">
        <f aca="false">ROUNDUP(CF772/BV772,0)</f>
        <v>0</v>
      </c>
      <c r="CJ772" s="53" t="n">
        <f aca="false">IF(BW772=1,0,IFERROR(VLOOKUP(BU772,'Gebinde-Kategorie'!$A$5:$N$45,5,0)+0,0))</f>
        <v>11</v>
      </c>
      <c r="CK772" s="53" t="n">
        <f aca="false">IFERROR(IF(OR(CB772=1,CB772=2,CB772=3),N(INDEX(Parameter!$I$5:$I$7,CB772)),0),0)</f>
        <v>0</v>
      </c>
      <c r="CL772" s="52" t="n">
        <f aca="false">IF(AND(Parameter!$B$21="Ja",ISNUMBER(W772),N(X772)&gt;0),IFERROR(N(INDEX(Parameter!$L$5:$L$7,W772))*INDEX(Parameter!$E$5:$E$7,W772)*X772/SUMIFS($X$7:$X$1843,$W$7:$W$1843,W772),0),0)</f>
        <v>0</v>
      </c>
    </row>
    <row r="773" customFormat="false" ht="15" hidden="false" customHeight="false" outlineLevel="0" collapsed="false">
      <c r="A773" s="48" t="s">
        <v>1520</v>
      </c>
      <c r="B773" s="48" t="s">
        <v>472</v>
      </c>
      <c r="C773" s="48" t="s">
        <v>168</v>
      </c>
      <c r="D773" s="48" t="s">
        <v>188</v>
      </c>
      <c r="E773" s="48" t="s">
        <v>189</v>
      </c>
      <c r="F773" s="48" t="s">
        <v>222</v>
      </c>
      <c r="G773" s="49" t="n">
        <v>0.07</v>
      </c>
      <c r="H773" s="50" t="n">
        <f aca="false">MAX(0,IF(AND(Parameter!$B$21="Ja",ISNUMBER(Y773)),Y773,IF(Parameter!$B$20="Jahresanfang 2025 + Export",BO773+BN773,BN773)))</f>
        <v>261</v>
      </c>
      <c r="I773" s="50" t="n">
        <f aca="false">H773*G773</f>
        <v>18.27</v>
      </c>
      <c r="J773" s="50" t="n">
        <f aca="false">BQ773*Parameter!$B$18</f>
        <v>309</v>
      </c>
      <c r="K773" s="51" t="n">
        <v>226</v>
      </c>
      <c r="L773" s="52" t="n">
        <v>1.36725663716814</v>
      </c>
      <c r="M773" s="50" t="n">
        <v>12</v>
      </c>
      <c r="N773" s="50" t="n">
        <v>310</v>
      </c>
      <c r="O773" s="53" t="n">
        <v>14</v>
      </c>
      <c r="P773" s="48" t="s">
        <v>405</v>
      </c>
      <c r="Q773" s="50" t="n">
        <v>367</v>
      </c>
      <c r="R773" s="53" t="n">
        <f aca="false">IF(BW773=1,0,IFERROR(VLOOKUP(BU773,'Gebinde-Kategorie'!$A$5:$N$45,13,0)+0,0))</f>
        <v>280</v>
      </c>
      <c r="S773" s="54"/>
      <c r="T773" s="55"/>
      <c r="U773" s="55"/>
      <c r="V773" s="55"/>
      <c r="W773" s="48"/>
      <c r="X773" s="50"/>
      <c r="Y773" s="50"/>
      <c r="Z773" s="48" t="n">
        <f aca="false">IF(A773="","",IF(AND(Parameter!$B$21="Ja",ISNUMBER(W773)),W773,IF(BZ773="2+3",IF(ISNUMBER(SEARCH("grosser Artikel",BR773)),2,IFERROR(VLOOKUP(BU773,Parameter!$F$35:$G$64,2,0),2)),IF(OR(BZ773="Nein",BZ773=""),"-",BZ773))))</f>
        <v>3</v>
      </c>
      <c r="AA773" s="55"/>
      <c r="AB773" s="56"/>
      <c r="AC773" s="50" t="n">
        <f aca="false">AT773</f>
        <v>367</v>
      </c>
      <c r="AD773" s="50" t="n">
        <f aca="false">MAX(AT773,H773)</f>
        <v>367</v>
      </c>
      <c r="AE773" s="57"/>
      <c r="AF773" s="50" t="n">
        <f aca="false">IF(LEFT(Cockpit!$C$5,1)="A",H773,IF(CE773=1,CF773,IF(LEFT(Cockpit!$C$5,1)="B",AK773,MAX(AK773,H773))))</f>
        <v>261</v>
      </c>
      <c r="AG773" s="50" t="n">
        <f aca="false">IF(BW773=1,0,ROUNDUP(AF773/BV773,0))</f>
        <v>1</v>
      </c>
      <c r="AH773" s="52" t="n">
        <f aca="false">IF(CL773&gt;0,CL773*MAX(1,AF773/X773),IF(BW773=1,IF(AF773&lt;=0,0,CA773*MAX(1,IF(H773&gt;0,AF773/H773,1))),IF(R773&gt;0,AG773/R773,0))/MAX(0.1,N(Parameter!$M$21)))</f>
        <v>0.00357142857142857</v>
      </c>
      <c r="AI773" s="50" t="n">
        <f aca="false">AH773*BY773</f>
        <v>0.553571428571429</v>
      </c>
      <c r="AJ773" s="50" t="n">
        <f aca="false">AF773*G773</f>
        <v>18.27</v>
      </c>
      <c r="AK773" s="50" t="n">
        <f aca="false">ROUNDUP(MAX(J773/IF(CD773&gt;0,CD773,MAX(0.1,N(Cockpit!$C$6))),CG773)/BV773,0)*BV773</f>
        <v>367</v>
      </c>
      <c r="AL773" s="51" t="n">
        <f aca="false">IF(AI773&gt;0,J773/AI773,-1)</f>
        <v>558.193548387097</v>
      </c>
      <c r="AM773" s="51" t="n">
        <f aca="false">IF(AND(OR(CC773="L1",CC773="L23",CC773="LIFT"),AI773&gt;0),SUMIFS($AI$7:$AI$1843,$CC$7:$CC$1843,CC773,$AL$7:$AL$1843,"&gt;"&amp;AL773)+SUMIFS($AI$7:$AI$1843,$CC$7:$CC$1843,CC773,$AL$7:$AL$1843,AL773,$BT$7:$BT$1843,"&lt;="&amp;BT773),"")</f>
        <v>52.2184065934066</v>
      </c>
      <c r="AN773" s="58" t="n">
        <f aca="false">IF(AM773="",0,MAX(0,MIN(1,(IF(CC773="L1",Parameter!$H$5,IF(CC773="L23",Parameter!$H$6+Parameter!$H$7,Parameter!$H$5+Parameter!$H$6+Parameter!$H$7))-(AM773-AI773))/AI773)))</f>
        <v>1</v>
      </c>
      <c r="AO773" s="50" t="n">
        <f aca="false">IF(LEFT(Cockpit!$I$5,1)="A",H773,IF(CE773=1,CF773,IF(LEFT(Cockpit!$I$5,1)="B",AT773,MAX(AT773,H773))))</f>
        <v>367</v>
      </c>
      <c r="AP773" s="50" t="n">
        <f aca="false">IF(BW773=1,0,ROUNDUP(AO773/BV773,0))</f>
        <v>1</v>
      </c>
      <c r="AQ773" s="52" t="n">
        <f aca="false">IF(CL773&gt;0,CL773*MAX(1,AO773/X773),IF(BW773=1,IF(AO773&lt;=0,0,CA773*MAX(1,IF(H773&gt;0,AO773/H773,1))),IF(R773&gt;0,AP773/R773,0))/MAX(0.1,N(Parameter!$M$21)))</f>
        <v>0.00357142857142857</v>
      </c>
      <c r="AR773" s="50" t="n">
        <f aca="false">AQ773*BY773</f>
        <v>0.553571428571429</v>
      </c>
      <c r="AS773" s="50" t="n">
        <f aca="false">AO773*G773</f>
        <v>25.69</v>
      </c>
      <c r="AT773" s="50" t="n">
        <f aca="false">ROUNDUP(MAX(J773/IF(CD773&gt;0,CD773,MAX(0.1,N(Cockpit!$I$6))),CG773)/BV773,0)*BV773</f>
        <v>367</v>
      </c>
      <c r="AU773" s="51" t="n">
        <f aca="false">IF(AR773&gt;0,J773/AR773,-1)</f>
        <v>558.193548387097</v>
      </c>
      <c r="AV773" s="51" t="n">
        <f aca="false">IF(AND(OR(CC773="L1",CC773="L23",CC773="LIFT"),AR773&gt;0),SUMIFS($AR$7:$AR$1843,$CC$7:$CC$1843,CC773,$AU$7:$AU$1843,"&gt;"&amp;AU773)+SUMIFS($AR$7:$AR$1843,$CC$7:$CC$1843,CC773,$AU$7:$AU$1843,AU773,$BT$7:$BT$1843,"&lt;="&amp;BT773),"")</f>
        <v>20.8228021978022</v>
      </c>
      <c r="AW773" s="58" t="n">
        <f aca="false">IF(AV773="",0,MAX(0,MIN(1,(IF(CC773="L1",Parameter!$H$5,IF(CC773="L23",Parameter!$H$6+Parameter!$H$7,Parameter!$H$5+Parameter!$H$6+Parameter!$H$7))-(AV773-AR773))/AR773)))</f>
        <v>1</v>
      </c>
      <c r="AX773" s="50" t="n">
        <f aca="false">IF(LEFT(Cockpit!$O$5,1)="A",H773,IF(CE773=1,CF773,IF(LEFT(Cockpit!$O$5,1)="B",BC773,MAX(BC773,H773))))</f>
        <v>367</v>
      </c>
      <c r="AY773" s="50" t="n">
        <f aca="false">IF(BW773=1,0,ROUNDUP(AX773/BV773,0))</f>
        <v>1</v>
      </c>
      <c r="AZ773" s="52" t="n">
        <f aca="false">IF(CL773&gt;0,CL773*MAX(1,AX773/X773),IF(BW773=1,IF(AX773&lt;=0,0,CA773*MAX(1,IF(H773&gt;0,AX773/H773,1))),IF(R773&gt;0,AY773/R773,0))/MAX(0.1,N(Parameter!$M$21)))</f>
        <v>0.00357142857142857</v>
      </c>
      <c r="BA773" s="50" t="n">
        <f aca="false">AZ773*BY773</f>
        <v>0.553571428571429</v>
      </c>
      <c r="BB773" s="50" t="n">
        <f aca="false">AX773*G773</f>
        <v>25.69</v>
      </c>
      <c r="BC773" s="50" t="n">
        <f aca="false">ROUNDUP(MAX(J773/IF(CD773&gt;0,CD773,MAX(0.1,N(Cockpit!$O$6))),CG773)/BV773,0)*BV773</f>
        <v>367</v>
      </c>
      <c r="BD773" s="51" t="n">
        <f aca="false">IF(BA773&gt;0,J773/BA773,-1)</f>
        <v>558.193548387097</v>
      </c>
      <c r="BE773" s="51" t="n">
        <f aca="false">IF(AND(OR(CC773="L1",CC773="L23",CC773="LIFT"),BA773&gt;0),SUMIFS($BA$7:$BA$1843,$CC$7:$CC$1843,CC773,$BD$7:$BD$1843,"&gt;"&amp;BD773)+SUMIFS($BA$7:$BA$1843,$CC$7:$CC$1843,CC773,$BD$7:$BD$1843,BD773,$BT$7:$BT$1843,"&lt;="&amp;BT773),"")</f>
        <v>32.7458791208791</v>
      </c>
      <c r="BF773" s="58" t="n">
        <f aca="false">IF(BE773="",0,MAX(0,MIN(1,(IF(CC773="L1",Parameter!$H$5,IF(CC773="L23",Parameter!$H$6+Parameter!$H$7,Parameter!$H$5+Parameter!$H$6+Parameter!$H$7))-(BE773-BA773))/BA773)))</f>
        <v>1</v>
      </c>
      <c r="BG773" s="48" t="str">
        <f aca="false">IF(AI773&lt;=0,"",IF(CC773="Aussen","Aussenlager",IF(CC773="-","Nicht im Lift",IF(AN773&gt;=1,"Lift",IF(AN773&lt;=0,"Aussenlager","teilweise")))))</f>
        <v>Lift</v>
      </c>
      <c r="BH773" s="48" t="str">
        <f aca="false">IF(AR773&lt;=0,"",IF(CC773="Aussen","Aussenlager",IF(CC773="-","Nicht im Lift",IF(AW773&gt;=1,"Lift",IF(AW773&lt;=0,"Aussenlager","teilweise")))))</f>
        <v>Lift</v>
      </c>
      <c r="BI773" s="48" t="str">
        <f aca="false">IF(BA773&lt;=0,"",IF(CC773="Aussen","Aussenlager",IF(CC773="-","Nicht im Lift",IF(BF773&gt;=1,"Lift",IF(BF773&lt;=0,"Aussenlager","teilweise")))))</f>
        <v>Lift</v>
      </c>
      <c r="BJ773" s="48" t="str">
        <f aca="false">IF(A773="","",IF(BS773=1,"Neu; ","")&amp;IF(AND(BS773=0,BN773&lt;0),"negativer Bestand (Export "&amp;BN773&amp;"); ","")&amp;IF(J773&lt;=0,"Kein Verbrauch; ","")&amp;IF(CL773&gt;0,"Lift "&amp;W773&amp;" lt. Liftbericht (Fach "&amp;X773&amp;" Stk); ",IF(BX773=1,"Gebinde geschätzt ("&amp;T773&amp;"); ",IF(BW773=1,"Lose – Tablare geschätzt; ","")))&amp;IF(H773&gt;AT773,"Überbestand "&amp;ROUND(H773-AT773,0)&amp;" Stk / CHF "&amp;ROUND((H773-AT773)*G773,0)&amp;"; ","")&amp;IF(AND(CE773=1,CF773&lt;CG773),"MAX &lt; MB+LG; ","")&amp;IF(AND(CK773&gt;0,CJ773*10&gt;CK773),"zu hoch für Tablar; ","")&amp;IF(AND(BS773=0,OR(CE773=1,AA773&lt;&gt;"",U773&lt;&gt;"",V773&lt;&gt;"",AB773&lt;&gt;"")),"manuell übersteuert; ","")&amp;IF(AND(BW773=0,R773=0),"Gebinde unbekannt / Stellmass fehlt; ","")&amp;IF(AND(BW773=0,N(V773)&lt;=0,N(Q773)&lt;=0),"Menge pro Gebinde fehlt (Ist = 1 Gebinde); ","")&amp;BR773)</f>
        <v>negativer Bestand (Export -18); </v>
      </c>
      <c r="BK773" s="48"/>
      <c r="BL773" s="48"/>
      <c r="BM773" s="55"/>
      <c r="BN773" s="50" t="n">
        <v>-18</v>
      </c>
      <c r="BO773" s="50" t="n">
        <v>279</v>
      </c>
      <c r="BP773" s="49" t="n">
        <v>-1.26</v>
      </c>
      <c r="BQ773" s="50" t="n">
        <v>309</v>
      </c>
      <c r="BR773" s="48"/>
      <c r="BS773" s="53" t="n">
        <v>0</v>
      </c>
      <c r="BT773" s="53" t="n">
        <v>773</v>
      </c>
      <c r="BU773" s="48" t="str">
        <f aca="false">IF(U773&lt;&gt;"",UPPER(TRIM(U773)),IF(BX773=1,UPPER(VLOOKUP(T773,Parameter!$I$27:$K$29,2,0)),IF(P773="","LOSE",P773)))</f>
        <v>S21</v>
      </c>
      <c r="BV773" s="50" t="n">
        <f aca="false">IF(BU773="LOSE",1,IF(N(V773)&gt;0,V773,IF(BX773=1,MAX(1,N(VLOOKUP(T773,Parameter!$I$27:$K$29,3,0)),H773,N(N773)),IF(N(Q773)&gt;0,Q773,MAX(1,H773)))))</f>
        <v>367</v>
      </c>
      <c r="BW773" s="53" t="n">
        <f aca="false">IF(BU773="LOSE",1,0)</f>
        <v>0</v>
      </c>
      <c r="BX773" s="53" t="n">
        <f aca="false">IF(AND(U773="",OR(P773="",P773="LOSE"),T773&lt;&gt;"",N(S773)&lt;=0,ISNUMBER(MATCH(T773,Parameter!$I$27:$I$29,0))),1,0)</f>
        <v>0</v>
      </c>
      <c r="BY773" s="53" t="n">
        <f aca="false">IF(CL773&gt;0,INDEX(Parameter!$H$5:$H$7,W773)/INDEX(Parameter!$E$5:$E$7,W773),IF(AND(BW773=0,N(IFERROR(VLOOKUP(BU773,'Gebinde-Kategorie'!$A$5:$N$45,14,0),0))&gt;0),VLOOKUP(BU773,'Gebinde-Kategorie'!$A$5:$N$45,14,0)*10+Parameter!$M$23,Parameter!$M$24))</f>
        <v>155</v>
      </c>
      <c r="BZ773" s="48" t="str">
        <f aca="false">IF(AND(Parameter!$B$19="Ja",E773&lt;&gt;"",ISNUMBER(MATCH(E773,Parameter!$I$35:$I$52,0))),VLOOKUP(E773,Parameter!$I$35:$J$52,2,0),IFERROR(VLOOKUP(D773,Parameter!$A$35:$C$64,2,0),"Nein"))</f>
        <v>2+3</v>
      </c>
      <c r="CA773" s="52" t="n">
        <f aca="false">IF(BW773=0,0,IF(N(S773)&gt;0,S773,IFERROR(VLOOKUP(D773,Parameter!$A$35:$C$64,3,0)+0,0)))</f>
        <v>0</v>
      </c>
      <c r="CB773" s="48" t="n">
        <f aca="false">IF(AA773&lt;&gt;"",AA773,Z773)</f>
        <v>3</v>
      </c>
      <c r="CC773" s="48" t="str">
        <f aca="false">IF(OR(CB773=1,CB773=2,CB773=3),IF(Parameter!$E$27="Ja","LIFT",IF(CB773=1,"L1","L23")),IF(CB773="Aussen","Aussen","-"))</f>
        <v>LIFT</v>
      </c>
      <c r="CD773" s="59" t="n">
        <f aca="false">IF(N(AB773)&gt;0,AB773,0)</f>
        <v>0</v>
      </c>
      <c r="CE773" s="53" t="n">
        <f aca="false">IF(ISNUMBER(AE773),1,0)</f>
        <v>0</v>
      </c>
      <c r="CF773" s="50" t="n">
        <f aca="false">N(AE773)</f>
        <v>0</v>
      </c>
      <c r="CG773" s="50" t="n">
        <f aca="false">N(M773)+N(N773)</f>
        <v>322</v>
      </c>
      <c r="CH773" s="50" t="n">
        <f aca="false">ROUNDUP(H773/BV773,0)</f>
        <v>1</v>
      </c>
      <c r="CI773" s="50" t="n">
        <f aca="false">ROUNDUP(CF773/BV773,0)</f>
        <v>0</v>
      </c>
      <c r="CJ773" s="53" t="n">
        <f aca="false">IF(BW773=1,0,IFERROR(VLOOKUP(BU773,'Gebinde-Kategorie'!$A$5:$N$45,5,0)+0,0))</f>
        <v>8</v>
      </c>
      <c r="CK773" s="53" t="n">
        <f aca="false">IFERROR(IF(OR(CB773=1,CB773=2,CB773=3),N(INDEX(Parameter!$I$5:$I$7,CB773)),0),0)</f>
        <v>0</v>
      </c>
      <c r="CL773" s="52" t="n">
        <f aca="false">IF(AND(Parameter!$B$21="Ja",ISNUMBER(W773),N(X773)&gt;0),IFERROR(N(INDEX(Parameter!$L$5:$L$7,W773))*INDEX(Parameter!$E$5:$E$7,W773)*X773/SUMIFS($X$7:$X$1843,$W$7:$W$1843,W773),0),0)</f>
        <v>0</v>
      </c>
    </row>
    <row r="774" customFormat="false" ht="15" hidden="false" customHeight="false" outlineLevel="0" collapsed="false">
      <c r="A774" s="48" t="s">
        <v>1521</v>
      </c>
      <c r="B774" s="48" t="s">
        <v>658</v>
      </c>
      <c r="C774" s="48" t="s">
        <v>168</v>
      </c>
      <c r="D774" s="48" t="s">
        <v>188</v>
      </c>
      <c r="E774" s="48"/>
      <c r="F774" s="48" t="s">
        <v>222</v>
      </c>
      <c r="G774" s="49" t="n">
        <v>0.06</v>
      </c>
      <c r="H774" s="50" t="n">
        <f aca="false">MAX(0,IF(AND(Parameter!$B$21="Ja",ISNUMBER(Y774)),Y774,IF(Parameter!$B$20="Jahresanfang 2025 + Export",BO774+BN774,BN774)))</f>
        <v>12</v>
      </c>
      <c r="I774" s="50" t="n">
        <f aca="false">H774*G774</f>
        <v>0.72</v>
      </c>
      <c r="J774" s="50" t="n">
        <f aca="false">BQ774*Parameter!$B$18</f>
        <v>0</v>
      </c>
      <c r="K774" s="51" t="n">
        <v>24</v>
      </c>
      <c r="L774" s="52" t="n">
        <v>0</v>
      </c>
      <c r="M774" s="50" t="n">
        <v>0</v>
      </c>
      <c r="N774" s="50" t="n">
        <v>1</v>
      </c>
      <c r="O774" s="53" t="n">
        <v>21</v>
      </c>
      <c r="P774" s="48" t="s">
        <v>172</v>
      </c>
      <c r="Q774" s="50"/>
      <c r="R774" s="53" t="n">
        <f aca="false">IF(BW774=1,0,IFERROR(VLOOKUP(BU774,'Gebinde-Kategorie'!$A$5:$N$45,13,0)+0,0))</f>
        <v>26</v>
      </c>
      <c r="S774" s="54"/>
      <c r="T774" s="55" t="s">
        <v>279</v>
      </c>
      <c r="U774" s="55"/>
      <c r="V774" s="55"/>
      <c r="W774" s="48"/>
      <c r="X774" s="50"/>
      <c r="Y774" s="50"/>
      <c r="Z774" s="48" t="n">
        <f aca="false">IF(A774="","",IF(AND(Parameter!$B$21="Ja",ISNUMBER(W774)),W774,IF(BZ774="2+3",IF(ISNUMBER(SEARCH("grosser Artikel",BR774)),2,IFERROR(VLOOKUP(BU774,Parameter!$F$35:$G$64,2,0),2)),IF(OR(BZ774="Nein",BZ774=""),"-",BZ774))))</f>
        <v>3</v>
      </c>
      <c r="AA774" s="55"/>
      <c r="AB774" s="56"/>
      <c r="AC774" s="50" t="n">
        <f aca="false">AT774</f>
        <v>20</v>
      </c>
      <c r="AD774" s="50" t="n">
        <f aca="false">MAX(AT774,H774)</f>
        <v>20</v>
      </c>
      <c r="AE774" s="57"/>
      <c r="AF774" s="50" t="n">
        <f aca="false">IF(LEFT(Cockpit!$C$5,1)="A",H774,IF(CE774=1,CF774,IF(LEFT(Cockpit!$C$5,1)="B",AK774,MAX(AK774,H774))))</f>
        <v>12</v>
      </c>
      <c r="AG774" s="50" t="n">
        <f aca="false">IF(BW774=1,0,ROUNDUP(AF774/BV774,0))</f>
        <v>1</v>
      </c>
      <c r="AH774" s="52" t="n">
        <f aca="false">IF(CL774&gt;0,CL774*MAX(1,AF774/X774),IF(BW774=1,IF(AF774&lt;=0,0,CA774*MAX(1,IF(H774&gt;0,AF774/H774,1))),IF(R774&gt;0,AG774/R774,0))/MAX(0.1,N(Parameter!$M$21)))</f>
        <v>0.0384615384615385</v>
      </c>
      <c r="AI774" s="50" t="n">
        <f aca="false">AH774*BY774</f>
        <v>5.96153846153846</v>
      </c>
      <c r="AJ774" s="50" t="n">
        <f aca="false">AF774*G774</f>
        <v>0.72</v>
      </c>
      <c r="AK774" s="50" t="n">
        <f aca="false">ROUNDUP(MAX(J774/IF(CD774&gt;0,CD774,MAX(0.1,N(Cockpit!$C$6))),CG774)/BV774,0)*BV774</f>
        <v>20</v>
      </c>
      <c r="AL774" s="51" t="n">
        <f aca="false">IF(AI774&gt;0,J774/AI774,-1)</f>
        <v>0</v>
      </c>
      <c r="AM774" s="51" t="n">
        <f aca="false">IF(AND(OR(CC774="L1",CC774="L23",CC774="LIFT"),AI774&gt;0),SUMIFS($AI$7:$AI$1843,$CC$7:$CC$1843,CC774,$AL$7:$AL$1843,"&gt;"&amp;AL774)+SUMIFS($AI$7:$AI$1843,$CC$7:$CC$1843,CC774,$AL$7:$AL$1843,AL774,$BT$7:$BT$1843,"&lt;="&amp;BT774),"")</f>
        <v>28750.6814868277</v>
      </c>
      <c r="AN774" s="58" t="n">
        <f aca="false">IF(AM774="",0,MAX(0,MIN(1,(IF(CC774="L1",Parameter!$H$5,IF(CC774="L23",Parameter!$H$6+Parameter!$H$7,Parameter!$H$5+Parameter!$H$6+Parameter!$H$7))-(AM774-AI774))/AI774)))</f>
        <v>1</v>
      </c>
      <c r="AO774" s="50" t="n">
        <f aca="false">IF(LEFT(Cockpit!$I$5,1)="A",H774,IF(CE774=1,CF774,IF(LEFT(Cockpit!$I$5,1)="B",AT774,MAX(AT774,H774))))</f>
        <v>20</v>
      </c>
      <c r="AP774" s="50" t="n">
        <f aca="false">IF(BW774=1,0,ROUNDUP(AO774/BV774,0))</f>
        <v>1</v>
      </c>
      <c r="AQ774" s="52" t="n">
        <f aca="false">IF(CL774&gt;0,CL774*MAX(1,AO774/X774),IF(BW774=1,IF(AO774&lt;=0,0,CA774*MAX(1,IF(H774&gt;0,AO774/H774,1))),IF(R774&gt;0,AP774/R774,0))/MAX(0.1,N(Parameter!$M$21)))</f>
        <v>0.0384615384615385</v>
      </c>
      <c r="AR774" s="50" t="n">
        <f aca="false">AQ774*BY774</f>
        <v>5.96153846153846</v>
      </c>
      <c r="AS774" s="50" t="n">
        <f aca="false">AO774*G774</f>
        <v>1.2</v>
      </c>
      <c r="AT774" s="50" t="n">
        <f aca="false">ROUNDUP(MAX(J774/IF(CD774&gt;0,CD774,MAX(0.1,N(Cockpit!$I$6))),CG774)/BV774,0)*BV774</f>
        <v>20</v>
      </c>
      <c r="AU774" s="51" t="n">
        <f aca="false">IF(AR774&gt;0,J774/AR774,-1)</f>
        <v>0</v>
      </c>
      <c r="AV774" s="51" t="n">
        <f aca="false">IF(AND(OR(CC774="L1",CC774="L23",CC774="LIFT"),AR774&gt;0),SUMIFS($AR$7:$AR$1843,$CC$7:$CC$1843,CC774,$AU$7:$AU$1843,"&gt;"&amp;AU774)+SUMIFS($AR$7:$AR$1843,$CC$7:$CC$1843,CC774,$AU$7:$AU$1843,AU774,$BT$7:$BT$1843,"&lt;="&amp;BT774),"")</f>
        <v>40321.7367293723</v>
      </c>
      <c r="AW774" s="58" t="n">
        <f aca="false">IF(AV774="",0,MAX(0,MIN(1,(IF(CC774="L1",Parameter!$H$5,IF(CC774="L23",Parameter!$H$6+Parameter!$H$7,Parameter!$H$5+Parameter!$H$6+Parameter!$H$7))-(AV774-AR774))/AR774)))</f>
        <v>0</v>
      </c>
      <c r="AX774" s="50" t="n">
        <f aca="false">IF(LEFT(Cockpit!$O$5,1)="A",H774,IF(CE774=1,CF774,IF(LEFT(Cockpit!$O$5,1)="B",BC774,MAX(BC774,H774))))</f>
        <v>20</v>
      </c>
      <c r="AY774" s="50" t="n">
        <f aca="false">IF(BW774=1,0,ROUNDUP(AX774/BV774,0))</f>
        <v>1</v>
      </c>
      <c r="AZ774" s="52" t="n">
        <f aca="false">IF(CL774&gt;0,CL774*MAX(1,AX774/X774),IF(BW774=1,IF(AX774&lt;=0,0,CA774*MAX(1,IF(H774&gt;0,AX774/H774,1))),IF(R774&gt;0,AY774/R774,0))/MAX(0.1,N(Parameter!$M$21)))</f>
        <v>0.0384615384615385</v>
      </c>
      <c r="BA774" s="50" t="n">
        <f aca="false">AZ774*BY774</f>
        <v>5.96153846153846</v>
      </c>
      <c r="BB774" s="50" t="n">
        <f aca="false">AX774*G774</f>
        <v>1.2</v>
      </c>
      <c r="BC774" s="50" t="n">
        <f aca="false">ROUNDUP(MAX(J774/IF(CD774&gt;0,CD774,MAX(0.1,N(Cockpit!$O$6))),CG774)/BV774,0)*BV774</f>
        <v>20</v>
      </c>
      <c r="BD774" s="51" t="n">
        <f aca="false">IF(BA774&gt;0,J774/BA774,-1)</f>
        <v>0</v>
      </c>
      <c r="BE774" s="51" t="n">
        <f aca="false">IF(AND(OR(CC774="L1",CC774="L23",CC774="LIFT"),BA774&gt;0),SUMIFS($BA$7:$BA$1843,$CC$7:$CC$1843,CC774,$BD$7:$BD$1843,"&gt;"&amp;BD774)+SUMIFS($BA$7:$BA$1843,$CC$7:$CC$1843,CC774,$BD$7:$BD$1843,BD774,$BT$7:$BT$1843,"&lt;="&amp;BT774),"")</f>
        <v>36996.7487712382</v>
      </c>
      <c r="BF774" s="58" t="n">
        <f aca="false">IF(BE774="",0,MAX(0,MIN(1,(IF(CC774="L1",Parameter!$H$5,IF(CC774="L23",Parameter!$H$6+Parameter!$H$7,Parameter!$H$5+Parameter!$H$6+Parameter!$H$7))-(BE774-BA774))/BA774)))</f>
        <v>0</v>
      </c>
      <c r="BG774" s="48" t="str">
        <f aca="false">IF(AI774&lt;=0,"",IF(CC774="Aussen","Aussenlager",IF(CC774="-","Nicht im Lift",IF(AN774&gt;=1,"Lift",IF(AN774&lt;=0,"Aussenlager","teilweise")))))</f>
        <v>Lift</v>
      </c>
      <c r="BH774" s="48" t="str">
        <f aca="false">IF(AR774&lt;=0,"",IF(CC774="Aussen","Aussenlager",IF(CC774="-","Nicht im Lift",IF(AW774&gt;=1,"Lift",IF(AW774&lt;=0,"Aussenlager","teilweise")))))</f>
        <v>Aussenlager</v>
      </c>
      <c r="BI774" s="48" t="str">
        <f aca="false">IF(BA774&lt;=0,"",IF(CC774="Aussen","Aussenlager",IF(CC774="-","Nicht im Lift",IF(BF774&gt;=1,"Lift",IF(BF774&lt;=0,"Aussenlager","teilweise")))))</f>
        <v>Aussenlager</v>
      </c>
      <c r="BJ774" s="48" t="str">
        <f aca="false">IF(A774="","",IF(BS774=1,"Neu; ","")&amp;IF(AND(BS774=0,BN774&lt;0),"negativer Bestand (Export "&amp;BN774&amp;"); ","")&amp;IF(J774&lt;=0,"Kein Verbrauch; ","")&amp;IF(CL774&gt;0,"Lift "&amp;W774&amp;" lt. Liftbericht (Fach "&amp;X774&amp;" Stk); ",IF(BX774=1,"Gebinde geschätzt ("&amp;T774&amp;"); ",IF(BW774=1,"Lose – Tablare geschätzt; ","")))&amp;IF(H774&gt;AT774,"Überbestand "&amp;ROUND(H774-AT774,0)&amp;" Stk / CHF "&amp;ROUND((H774-AT774)*G774,0)&amp;"; ","")&amp;IF(AND(CE774=1,CF774&lt;CG774),"MAX &lt; MB+LG; ","")&amp;IF(AND(CK774&gt;0,CJ774*10&gt;CK774),"zu hoch für Tablar; ","")&amp;IF(AND(BS774=0,OR(CE774=1,AA774&lt;&gt;"",U774&lt;&gt;"",V774&lt;&gt;"",AB774&lt;&gt;"")),"manuell übersteuert; ","")&amp;IF(AND(BW774=0,R774=0),"Gebinde unbekannt / Stellmass fehlt; ","")&amp;IF(AND(BW774=0,N(V774)&lt;=0,N(Q774)&lt;=0),"Menge pro Gebinde fehlt (Ist = 1 Gebinde); ","")&amp;BR774)</f>
        <v>negativer Bestand (Export -24); Kein Verbrauch; Gebinde geschätzt (Klein); Menge pro Gebinde fehlt (Ist = 1 Gebinde); </v>
      </c>
      <c r="BK774" s="48"/>
      <c r="BL774" s="48"/>
      <c r="BM774" s="55"/>
      <c r="BN774" s="50" t="n">
        <v>-24</v>
      </c>
      <c r="BO774" s="50" t="n">
        <v>36</v>
      </c>
      <c r="BP774" s="49" t="n">
        <v>-1.44</v>
      </c>
      <c r="BQ774" s="50" t="n">
        <v>0</v>
      </c>
      <c r="BR774" s="48"/>
      <c r="BS774" s="53" t="n">
        <v>0</v>
      </c>
      <c r="BT774" s="53" t="n">
        <v>774</v>
      </c>
      <c r="BU774" s="48" t="str">
        <f aca="false">IF(U774&lt;&gt;"",UPPER(TRIM(U774)),IF(BX774=1,UPPER(VLOOKUP(T774,Parameter!$I$27:$K$29,2,0)),IF(P774="","LOSE",P774)))</f>
        <v>S51</v>
      </c>
      <c r="BV774" s="50" t="n">
        <f aca="false">IF(BU774="LOSE",1,IF(N(V774)&gt;0,V774,IF(BX774=1,MAX(1,N(VLOOKUP(T774,Parameter!$I$27:$K$29,3,0)),H774,N(N774)),IF(N(Q774)&gt;0,Q774,MAX(1,H774)))))</f>
        <v>20</v>
      </c>
      <c r="BW774" s="53" t="n">
        <f aca="false">IF(BU774="LOSE",1,0)</f>
        <v>0</v>
      </c>
      <c r="BX774" s="53" t="n">
        <f aca="false">IF(AND(U774="",OR(P774="",P774="LOSE"),T774&lt;&gt;"",N(S774)&lt;=0,ISNUMBER(MATCH(T774,Parameter!$I$27:$I$29,0))),1,0)</f>
        <v>1</v>
      </c>
      <c r="BY774" s="53" t="n">
        <f aca="false">IF(CL774&gt;0,INDEX(Parameter!$H$5:$H$7,W774)/INDEX(Parameter!$E$5:$E$7,W774),IF(AND(BW774=0,N(IFERROR(VLOOKUP(BU774,'Gebinde-Kategorie'!$A$5:$N$45,14,0),0))&gt;0),VLOOKUP(BU774,'Gebinde-Kategorie'!$A$5:$N$45,14,0)*10+Parameter!$M$23,Parameter!$M$24))</f>
        <v>155</v>
      </c>
      <c r="BZ774" s="48" t="str">
        <f aca="false">IF(AND(Parameter!$B$19="Ja",E774&lt;&gt;"",ISNUMBER(MATCH(E774,Parameter!$I$35:$I$52,0))),VLOOKUP(E774,Parameter!$I$35:$J$52,2,0),IFERROR(VLOOKUP(D774,Parameter!$A$35:$C$64,2,0),"Nein"))</f>
        <v>2+3</v>
      </c>
      <c r="CA774" s="52" t="n">
        <f aca="false">IF(BW774=0,0,IF(N(S774)&gt;0,S774,IFERROR(VLOOKUP(D774,Parameter!$A$35:$C$64,3,0)+0,0)))</f>
        <v>0</v>
      </c>
      <c r="CB774" s="48" t="n">
        <f aca="false">IF(AA774&lt;&gt;"",AA774,Z774)</f>
        <v>3</v>
      </c>
      <c r="CC774" s="48" t="str">
        <f aca="false">IF(OR(CB774=1,CB774=2,CB774=3),IF(Parameter!$E$27="Ja","LIFT",IF(CB774=1,"L1","L23")),IF(CB774="Aussen","Aussen","-"))</f>
        <v>LIFT</v>
      </c>
      <c r="CD774" s="59" t="n">
        <f aca="false">IF(N(AB774)&gt;0,AB774,0)</f>
        <v>0</v>
      </c>
      <c r="CE774" s="53" t="n">
        <f aca="false">IF(ISNUMBER(AE774),1,0)</f>
        <v>0</v>
      </c>
      <c r="CF774" s="50" t="n">
        <f aca="false">N(AE774)</f>
        <v>0</v>
      </c>
      <c r="CG774" s="50" t="n">
        <f aca="false">N(M774)+N(N774)</f>
        <v>1</v>
      </c>
      <c r="CH774" s="50" t="n">
        <f aca="false">ROUNDUP(H774/BV774,0)</f>
        <v>1</v>
      </c>
      <c r="CI774" s="50" t="n">
        <f aca="false">ROUNDUP(CF774/BV774,0)</f>
        <v>0</v>
      </c>
      <c r="CJ774" s="53" t="n">
        <f aca="false">IF(BW774=1,0,IFERROR(VLOOKUP(BU774,'Gebinde-Kategorie'!$A$5:$N$45,5,0)+0,0))</f>
        <v>11</v>
      </c>
      <c r="CK774" s="53" t="n">
        <f aca="false">IFERROR(IF(OR(CB774=1,CB774=2,CB774=3),N(INDEX(Parameter!$I$5:$I$7,CB774)),0),0)</f>
        <v>0</v>
      </c>
      <c r="CL774" s="52" t="n">
        <f aca="false">IF(AND(Parameter!$B$21="Ja",ISNUMBER(W774),N(X774)&gt;0),IFERROR(N(INDEX(Parameter!$L$5:$L$7,W774))*INDEX(Parameter!$E$5:$E$7,W774)*X774/SUMIFS($X$7:$X$1843,$W$7:$W$1843,W774),0),0)</f>
        <v>0</v>
      </c>
    </row>
    <row r="775" customFormat="false" ht="15" hidden="false" customHeight="false" outlineLevel="0" collapsed="false">
      <c r="A775" s="48" t="s">
        <v>1522</v>
      </c>
      <c r="B775" s="48" t="s">
        <v>409</v>
      </c>
      <c r="C775" s="48" t="s">
        <v>168</v>
      </c>
      <c r="D775" s="48" t="s">
        <v>188</v>
      </c>
      <c r="E775" s="48" t="s">
        <v>189</v>
      </c>
      <c r="F775" s="48" t="s">
        <v>222</v>
      </c>
      <c r="G775" s="49" t="n">
        <v>0.04</v>
      </c>
      <c r="H775" s="50" t="n">
        <f aca="false">MAX(0,IF(AND(Parameter!$B$21="Ja",ISNUMBER(Y775)),Y775,IF(Parameter!$B$20="Jahresanfang 2025 + Export",BO775+BN775,BN775)))</f>
        <v>111</v>
      </c>
      <c r="I775" s="50" t="n">
        <f aca="false">H775*G775</f>
        <v>4.44</v>
      </c>
      <c r="J775" s="50" t="n">
        <f aca="false">BQ775*Parameter!$B$18</f>
        <v>219</v>
      </c>
      <c r="K775" s="51" t="n">
        <v>211</v>
      </c>
      <c r="L775" s="52" t="n">
        <v>1.03791469194313</v>
      </c>
      <c r="M775" s="50" t="n">
        <v>12</v>
      </c>
      <c r="N775" s="50" t="n">
        <v>220</v>
      </c>
      <c r="O775" s="53" t="n">
        <v>21</v>
      </c>
      <c r="P775" s="48" t="s">
        <v>405</v>
      </c>
      <c r="Q775" s="50" t="n">
        <v>241</v>
      </c>
      <c r="R775" s="53" t="n">
        <f aca="false">IF(BW775=1,0,IFERROR(VLOOKUP(BU775,'Gebinde-Kategorie'!$A$5:$N$45,13,0)+0,0))</f>
        <v>280</v>
      </c>
      <c r="S775" s="54"/>
      <c r="T775" s="55"/>
      <c r="U775" s="55"/>
      <c r="V775" s="55"/>
      <c r="W775" s="48"/>
      <c r="X775" s="50"/>
      <c r="Y775" s="50"/>
      <c r="Z775" s="48" t="n">
        <f aca="false">IF(A775="","",IF(AND(Parameter!$B$21="Ja",ISNUMBER(W775)),W775,IF(BZ775="2+3",IF(ISNUMBER(SEARCH("grosser Artikel",BR775)),2,IFERROR(VLOOKUP(BU775,Parameter!$F$35:$G$64,2,0),2)),IF(OR(BZ775="Nein",BZ775=""),"-",BZ775))))</f>
        <v>3</v>
      </c>
      <c r="AA775" s="55"/>
      <c r="AB775" s="56"/>
      <c r="AC775" s="50" t="n">
        <f aca="false">AT775</f>
        <v>241</v>
      </c>
      <c r="AD775" s="50" t="n">
        <f aca="false">MAX(AT775,H775)</f>
        <v>241</v>
      </c>
      <c r="AE775" s="57"/>
      <c r="AF775" s="50" t="n">
        <f aca="false">IF(LEFT(Cockpit!$C$5,1)="A",H775,IF(CE775=1,CF775,IF(LEFT(Cockpit!$C$5,1)="B",AK775,MAX(AK775,H775))))</f>
        <v>111</v>
      </c>
      <c r="AG775" s="50" t="n">
        <f aca="false">IF(BW775=1,0,ROUNDUP(AF775/BV775,0))</f>
        <v>1</v>
      </c>
      <c r="AH775" s="52" t="n">
        <f aca="false">IF(CL775&gt;0,CL775*MAX(1,AF775/X775),IF(BW775=1,IF(AF775&lt;=0,0,CA775*MAX(1,IF(H775&gt;0,AF775/H775,1))),IF(R775&gt;0,AG775/R775,0))/MAX(0.1,N(Parameter!$M$21)))</f>
        <v>0.00357142857142857</v>
      </c>
      <c r="AI775" s="50" t="n">
        <f aca="false">AH775*BY775</f>
        <v>0.553571428571429</v>
      </c>
      <c r="AJ775" s="50" t="n">
        <f aca="false">AF775*G775</f>
        <v>4.44</v>
      </c>
      <c r="AK775" s="50" t="n">
        <f aca="false">ROUNDUP(MAX(J775/IF(CD775&gt;0,CD775,MAX(0.1,N(Cockpit!$C$6))),CG775)/BV775,0)*BV775</f>
        <v>241</v>
      </c>
      <c r="AL775" s="51" t="n">
        <f aca="false">IF(AI775&gt;0,J775/AI775,-1)</f>
        <v>395.612903225806</v>
      </c>
      <c r="AM775" s="51" t="n">
        <f aca="false">IF(AND(OR(CC775="L1",CC775="L23",CC775="LIFT"),AI775&gt;0),SUMIFS($AI$7:$AI$1843,$CC$7:$CC$1843,CC775,$AL$7:$AL$1843,"&gt;"&amp;AL775)+SUMIFS($AI$7:$AI$1843,$CC$7:$CC$1843,CC775,$AL$7:$AL$1843,AL775,$BT$7:$BT$1843,"&lt;="&amp;BT775),"")</f>
        <v>178.080586080586</v>
      </c>
      <c r="AN775" s="58" t="n">
        <f aca="false">IF(AM775="",0,MAX(0,MIN(1,(IF(CC775="L1",Parameter!$H$5,IF(CC775="L23",Parameter!$H$6+Parameter!$H$7,Parameter!$H$5+Parameter!$H$6+Parameter!$H$7))-(AM775-AI775))/AI775)))</f>
        <v>1</v>
      </c>
      <c r="AO775" s="50" t="n">
        <f aca="false">IF(LEFT(Cockpit!$I$5,1)="A",H775,IF(CE775=1,CF775,IF(LEFT(Cockpit!$I$5,1)="B",AT775,MAX(AT775,H775))))</f>
        <v>241</v>
      </c>
      <c r="AP775" s="50" t="n">
        <f aca="false">IF(BW775=1,0,ROUNDUP(AO775/BV775,0))</f>
        <v>1</v>
      </c>
      <c r="AQ775" s="52" t="n">
        <f aca="false">IF(CL775&gt;0,CL775*MAX(1,AO775/X775),IF(BW775=1,IF(AO775&lt;=0,0,CA775*MAX(1,IF(H775&gt;0,AO775/H775,1))),IF(R775&gt;0,AP775/R775,0))/MAX(0.1,N(Parameter!$M$21)))</f>
        <v>0.00357142857142857</v>
      </c>
      <c r="AR775" s="50" t="n">
        <f aca="false">AQ775*BY775</f>
        <v>0.553571428571429</v>
      </c>
      <c r="AS775" s="50" t="n">
        <f aca="false">AO775*G775</f>
        <v>9.64</v>
      </c>
      <c r="AT775" s="50" t="n">
        <f aca="false">ROUNDUP(MAX(J775/IF(CD775&gt;0,CD775,MAX(0.1,N(Cockpit!$I$6))),CG775)/BV775,0)*BV775</f>
        <v>241</v>
      </c>
      <c r="AU775" s="51" t="n">
        <f aca="false">IF(AR775&gt;0,J775/AR775,-1)</f>
        <v>395.612903225806</v>
      </c>
      <c r="AV775" s="51" t="n">
        <f aca="false">IF(AND(OR(CC775="L1",CC775="L23",CC775="LIFT"),AR775&gt;0),SUMIFS($AR$7:$AR$1843,$CC$7:$CC$1843,CC775,$AU$7:$AU$1843,"&gt;"&amp;AU775)+SUMIFS($AR$7:$AR$1843,$CC$7:$CC$1843,CC775,$AU$7:$AU$1843,AU775,$BT$7:$BT$1843,"&lt;="&amp;BT775),"")</f>
        <v>95.0082417582418</v>
      </c>
      <c r="AW775" s="58" t="n">
        <f aca="false">IF(AV775="",0,MAX(0,MIN(1,(IF(CC775="L1",Parameter!$H$5,IF(CC775="L23",Parameter!$H$6+Parameter!$H$7,Parameter!$H$5+Parameter!$H$6+Parameter!$H$7))-(AV775-AR775))/AR775)))</f>
        <v>1</v>
      </c>
      <c r="AX775" s="50" t="n">
        <f aca="false">IF(LEFT(Cockpit!$O$5,1)="A",H775,IF(CE775=1,CF775,IF(LEFT(Cockpit!$O$5,1)="B",BC775,MAX(BC775,H775))))</f>
        <v>241</v>
      </c>
      <c r="AY775" s="50" t="n">
        <f aca="false">IF(BW775=1,0,ROUNDUP(AX775/BV775,0))</f>
        <v>1</v>
      </c>
      <c r="AZ775" s="52" t="n">
        <f aca="false">IF(CL775&gt;0,CL775*MAX(1,AX775/X775),IF(BW775=1,IF(AX775&lt;=0,0,CA775*MAX(1,IF(H775&gt;0,AX775/H775,1))),IF(R775&gt;0,AY775/R775,0))/MAX(0.1,N(Parameter!$M$21)))</f>
        <v>0.00357142857142857</v>
      </c>
      <c r="BA775" s="50" t="n">
        <f aca="false">AZ775*BY775</f>
        <v>0.553571428571429</v>
      </c>
      <c r="BB775" s="50" t="n">
        <f aca="false">AX775*G775</f>
        <v>9.64</v>
      </c>
      <c r="BC775" s="50" t="n">
        <f aca="false">ROUNDUP(MAX(J775/IF(CD775&gt;0,CD775,MAX(0.1,N(Cockpit!$O$6))),CG775)/BV775,0)*BV775</f>
        <v>241</v>
      </c>
      <c r="BD775" s="51" t="n">
        <f aca="false">IF(BA775&gt;0,J775/BA775,-1)</f>
        <v>395.612903225806</v>
      </c>
      <c r="BE775" s="51" t="n">
        <f aca="false">IF(AND(OR(CC775="L1",CC775="L23",CC775="LIFT"),BA775&gt;0),SUMIFS($BA$7:$BA$1843,$CC$7:$CC$1843,CC775,$BD$7:$BD$1843,"&gt;"&amp;BD775)+SUMIFS($BA$7:$BA$1843,$CC$7:$CC$1843,CC775,$BD$7:$BD$1843,BD775,$BT$7:$BT$1843,"&lt;="&amp;BT775),"")</f>
        <v>102.460164835165</v>
      </c>
      <c r="BF775" s="58" t="n">
        <f aca="false">IF(BE775="",0,MAX(0,MIN(1,(IF(CC775="L1",Parameter!$H$5,IF(CC775="L23",Parameter!$H$6+Parameter!$H$7,Parameter!$H$5+Parameter!$H$6+Parameter!$H$7))-(BE775-BA775))/BA775)))</f>
        <v>1</v>
      </c>
      <c r="BG775" s="48" t="str">
        <f aca="false">IF(AI775&lt;=0,"",IF(CC775="Aussen","Aussenlager",IF(CC775="-","Nicht im Lift",IF(AN775&gt;=1,"Lift",IF(AN775&lt;=0,"Aussenlager","teilweise")))))</f>
        <v>Lift</v>
      </c>
      <c r="BH775" s="48" t="str">
        <f aca="false">IF(AR775&lt;=0,"",IF(CC775="Aussen","Aussenlager",IF(CC775="-","Nicht im Lift",IF(AW775&gt;=1,"Lift",IF(AW775&lt;=0,"Aussenlager","teilweise")))))</f>
        <v>Lift</v>
      </c>
      <c r="BI775" s="48" t="str">
        <f aca="false">IF(BA775&lt;=0,"",IF(CC775="Aussen","Aussenlager",IF(CC775="-","Nicht im Lift",IF(BF775&gt;=1,"Lift",IF(BF775&lt;=0,"Aussenlager","teilweise")))))</f>
        <v>Lift</v>
      </c>
      <c r="BJ775" s="48" t="str">
        <f aca="false">IF(A775="","",IF(BS775=1,"Neu; ","")&amp;IF(AND(BS775=0,BN775&lt;0),"negativer Bestand (Export "&amp;BN775&amp;"); ","")&amp;IF(J775&lt;=0,"Kein Verbrauch; ","")&amp;IF(CL775&gt;0,"Lift "&amp;W775&amp;" lt. Liftbericht (Fach "&amp;X775&amp;" Stk); ",IF(BX775=1,"Gebinde geschätzt ("&amp;T775&amp;"); ",IF(BW775=1,"Lose – Tablare geschätzt; ","")))&amp;IF(H775&gt;AT775,"Überbestand "&amp;ROUND(H775-AT775,0)&amp;" Stk / CHF "&amp;ROUND((H775-AT775)*G775,0)&amp;"; ","")&amp;IF(AND(CE775=1,CF775&lt;CG775),"MAX &lt; MB+LG; ","")&amp;IF(AND(CK775&gt;0,CJ775*10&gt;CK775),"zu hoch für Tablar; ","")&amp;IF(AND(BS775=0,OR(CE775=1,AA775&lt;&gt;"",U775&lt;&gt;"",V775&lt;&gt;"",AB775&lt;&gt;"")),"manuell übersteuert; ","")&amp;IF(AND(BW775=0,R775=0),"Gebinde unbekannt / Stellmass fehlt; ","")&amp;IF(AND(BW775=0,N(V775)&lt;=0,N(Q775)&lt;=0),"Menge pro Gebinde fehlt (Ist = 1 Gebinde); ","")&amp;BR775)</f>
        <v>negativer Bestand (Export -36); </v>
      </c>
      <c r="BK775" s="48"/>
      <c r="BL775" s="48"/>
      <c r="BM775" s="55"/>
      <c r="BN775" s="50" t="n">
        <v>-36</v>
      </c>
      <c r="BO775" s="50" t="n">
        <v>147</v>
      </c>
      <c r="BP775" s="49" t="n">
        <v>-1.44000000000002</v>
      </c>
      <c r="BQ775" s="50" t="n">
        <v>219</v>
      </c>
      <c r="BR775" s="48"/>
      <c r="BS775" s="53" t="n">
        <v>0</v>
      </c>
      <c r="BT775" s="53" t="n">
        <v>775</v>
      </c>
      <c r="BU775" s="48" t="str">
        <f aca="false">IF(U775&lt;&gt;"",UPPER(TRIM(U775)),IF(BX775=1,UPPER(VLOOKUP(T775,Parameter!$I$27:$K$29,2,0)),IF(P775="","LOSE",P775)))</f>
        <v>S21</v>
      </c>
      <c r="BV775" s="50" t="n">
        <f aca="false">IF(BU775="LOSE",1,IF(N(V775)&gt;0,V775,IF(BX775=1,MAX(1,N(VLOOKUP(T775,Parameter!$I$27:$K$29,3,0)),H775,N(N775)),IF(N(Q775)&gt;0,Q775,MAX(1,H775)))))</f>
        <v>241</v>
      </c>
      <c r="BW775" s="53" t="n">
        <f aca="false">IF(BU775="LOSE",1,0)</f>
        <v>0</v>
      </c>
      <c r="BX775" s="53" t="n">
        <f aca="false">IF(AND(U775="",OR(P775="",P775="LOSE"),T775&lt;&gt;"",N(S775)&lt;=0,ISNUMBER(MATCH(T775,Parameter!$I$27:$I$29,0))),1,0)</f>
        <v>0</v>
      </c>
      <c r="BY775" s="53" t="n">
        <f aca="false">IF(CL775&gt;0,INDEX(Parameter!$H$5:$H$7,W775)/INDEX(Parameter!$E$5:$E$7,W775),IF(AND(BW775=0,N(IFERROR(VLOOKUP(BU775,'Gebinde-Kategorie'!$A$5:$N$45,14,0),0))&gt;0),VLOOKUP(BU775,'Gebinde-Kategorie'!$A$5:$N$45,14,0)*10+Parameter!$M$23,Parameter!$M$24))</f>
        <v>155</v>
      </c>
      <c r="BZ775" s="48" t="str">
        <f aca="false">IF(AND(Parameter!$B$19="Ja",E775&lt;&gt;"",ISNUMBER(MATCH(E775,Parameter!$I$35:$I$52,0))),VLOOKUP(E775,Parameter!$I$35:$J$52,2,0),IFERROR(VLOOKUP(D775,Parameter!$A$35:$C$64,2,0),"Nein"))</f>
        <v>2+3</v>
      </c>
      <c r="CA775" s="52" t="n">
        <f aca="false">IF(BW775=0,0,IF(N(S775)&gt;0,S775,IFERROR(VLOOKUP(D775,Parameter!$A$35:$C$64,3,0)+0,0)))</f>
        <v>0</v>
      </c>
      <c r="CB775" s="48" t="n">
        <f aca="false">IF(AA775&lt;&gt;"",AA775,Z775)</f>
        <v>3</v>
      </c>
      <c r="CC775" s="48" t="str">
        <f aca="false">IF(OR(CB775=1,CB775=2,CB775=3),IF(Parameter!$E$27="Ja","LIFT",IF(CB775=1,"L1","L23")),IF(CB775="Aussen","Aussen","-"))</f>
        <v>LIFT</v>
      </c>
      <c r="CD775" s="59" t="n">
        <f aca="false">IF(N(AB775)&gt;0,AB775,0)</f>
        <v>0</v>
      </c>
      <c r="CE775" s="53" t="n">
        <f aca="false">IF(ISNUMBER(AE775),1,0)</f>
        <v>0</v>
      </c>
      <c r="CF775" s="50" t="n">
        <f aca="false">N(AE775)</f>
        <v>0</v>
      </c>
      <c r="CG775" s="50" t="n">
        <f aca="false">N(M775)+N(N775)</f>
        <v>232</v>
      </c>
      <c r="CH775" s="50" t="n">
        <f aca="false">ROUNDUP(H775/BV775,0)</f>
        <v>1</v>
      </c>
      <c r="CI775" s="50" t="n">
        <f aca="false">ROUNDUP(CF775/BV775,0)</f>
        <v>0</v>
      </c>
      <c r="CJ775" s="53" t="n">
        <f aca="false">IF(BW775=1,0,IFERROR(VLOOKUP(BU775,'Gebinde-Kategorie'!$A$5:$N$45,5,0)+0,0))</f>
        <v>8</v>
      </c>
      <c r="CK775" s="53" t="n">
        <f aca="false">IFERROR(IF(OR(CB775=1,CB775=2,CB775=3),N(INDEX(Parameter!$I$5:$I$7,CB775)),0),0)</f>
        <v>0</v>
      </c>
      <c r="CL775" s="52" t="n">
        <f aca="false">IF(AND(Parameter!$B$21="Ja",ISNUMBER(W775),N(X775)&gt;0),IFERROR(N(INDEX(Parameter!$L$5:$L$7,W775))*INDEX(Parameter!$E$5:$E$7,W775)*X775/SUMIFS($X$7:$X$1843,$W$7:$W$1843,W775),0),0)</f>
        <v>0</v>
      </c>
    </row>
    <row r="776" customFormat="false" ht="15" hidden="false" customHeight="false" outlineLevel="0" collapsed="false">
      <c r="A776" s="48" t="s">
        <v>1523</v>
      </c>
      <c r="B776" s="48" t="s">
        <v>1524</v>
      </c>
      <c r="C776" s="48" t="s">
        <v>168</v>
      </c>
      <c r="D776" s="48" t="s">
        <v>188</v>
      </c>
      <c r="E776" s="48"/>
      <c r="F776" s="48" t="s">
        <v>222</v>
      </c>
      <c r="G776" s="49" t="n">
        <v>0.5</v>
      </c>
      <c r="H776" s="50" t="n">
        <f aca="false">MAX(0,IF(AND(Parameter!$B$21="Ja",ISNUMBER(Y776)),Y776,IF(Parameter!$B$20="Jahresanfang 2025 + Export",BO776+BN776,BN776)))</f>
        <v>180</v>
      </c>
      <c r="I776" s="50" t="n">
        <f aca="false">H776*G776</f>
        <v>90</v>
      </c>
      <c r="J776" s="50" t="n">
        <f aca="false">BQ776*Parameter!$B$18</f>
        <v>0</v>
      </c>
      <c r="K776" s="51" t="n">
        <v>183</v>
      </c>
      <c r="L776" s="52" t="n">
        <v>0</v>
      </c>
      <c r="M776" s="50" t="n">
        <v>0</v>
      </c>
      <c r="N776" s="50" t="n">
        <v>1</v>
      </c>
      <c r="O776" s="53" t="n">
        <v>14</v>
      </c>
      <c r="P776" s="48" t="s">
        <v>405</v>
      </c>
      <c r="Q776" s="50" t="n">
        <v>200</v>
      </c>
      <c r="R776" s="53" t="n">
        <f aca="false">IF(BW776=1,0,IFERROR(VLOOKUP(BU776,'Gebinde-Kategorie'!$A$5:$N$45,13,0)+0,0))</f>
        <v>280</v>
      </c>
      <c r="S776" s="54"/>
      <c r="T776" s="55"/>
      <c r="U776" s="55"/>
      <c r="V776" s="55"/>
      <c r="W776" s="48"/>
      <c r="X776" s="50"/>
      <c r="Y776" s="50"/>
      <c r="Z776" s="48" t="n">
        <f aca="false">IF(A776="","",IF(AND(Parameter!$B$21="Ja",ISNUMBER(W776)),W776,IF(BZ776="2+3",IF(ISNUMBER(SEARCH("grosser Artikel",BR776)),2,IFERROR(VLOOKUP(BU776,Parameter!$F$35:$G$64,2,0),2)),IF(OR(BZ776="Nein",BZ776=""),"-",BZ776))))</f>
        <v>3</v>
      </c>
      <c r="AA776" s="55"/>
      <c r="AB776" s="56"/>
      <c r="AC776" s="50" t="n">
        <f aca="false">AT776</f>
        <v>200</v>
      </c>
      <c r="AD776" s="50" t="n">
        <f aca="false">MAX(AT776,H776)</f>
        <v>200</v>
      </c>
      <c r="AE776" s="57"/>
      <c r="AF776" s="50" t="n">
        <f aca="false">IF(LEFT(Cockpit!$C$5,1)="A",H776,IF(CE776=1,CF776,IF(LEFT(Cockpit!$C$5,1)="B",AK776,MAX(AK776,H776))))</f>
        <v>180</v>
      </c>
      <c r="AG776" s="50" t="n">
        <f aca="false">IF(BW776=1,0,ROUNDUP(AF776/BV776,0))</f>
        <v>1</v>
      </c>
      <c r="AH776" s="52" t="n">
        <f aca="false">IF(CL776&gt;0,CL776*MAX(1,AF776/X776),IF(BW776=1,IF(AF776&lt;=0,0,CA776*MAX(1,IF(H776&gt;0,AF776/H776,1))),IF(R776&gt;0,AG776/R776,0))/MAX(0.1,N(Parameter!$M$21)))</f>
        <v>0.00357142857142857</v>
      </c>
      <c r="AI776" s="50" t="n">
        <f aca="false">AH776*BY776</f>
        <v>0.553571428571429</v>
      </c>
      <c r="AJ776" s="50" t="n">
        <f aca="false">AF776*G776</f>
        <v>90</v>
      </c>
      <c r="AK776" s="50" t="n">
        <f aca="false">ROUNDUP(MAX(J776/IF(CD776&gt;0,CD776,MAX(0.1,N(Cockpit!$C$6))),CG776)/BV776,0)*BV776</f>
        <v>200</v>
      </c>
      <c r="AL776" s="51" t="n">
        <f aca="false">IF(AI776&gt;0,J776/AI776,-1)</f>
        <v>0</v>
      </c>
      <c r="AM776" s="51" t="n">
        <f aca="false">IF(AND(OR(CC776="L1",CC776="L23",CC776="LIFT"),AI776&gt;0),SUMIFS($AI$7:$AI$1843,$CC$7:$CC$1843,CC776,$AL$7:$AL$1843,"&gt;"&amp;AL776)+SUMIFS($AI$7:$AI$1843,$CC$7:$CC$1843,CC776,$AL$7:$AL$1843,AL776,$BT$7:$BT$1843,"&lt;="&amp;BT776),"")</f>
        <v>28751.2350582562</v>
      </c>
      <c r="AN776" s="58" t="n">
        <f aca="false">IF(AM776="",0,MAX(0,MIN(1,(IF(CC776="L1",Parameter!$H$5,IF(CC776="L23",Parameter!$H$6+Parameter!$H$7,Parameter!$H$5+Parameter!$H$6+Parameter!$H$7))-(AM776-AI776))/AI776)))</f>
        <v>1</v>
      </c>
      <c r="AO776" s="50" t="n">
        <f aca="false">IF(LEFT(Cockpit!$I$5,1)="A",H776,IF(CE776=1,CF776,IF(LEFT(Cockpit!$I$5,1)="B",AT776,MAX(AT776,H776))))</f>
        <v>200</v>
      </c>
      <c r="AP776" s="50" t="n">
        <f aca="false">IF(BW776=1,0,ROUNDUP(AO776/BV776,0))</f>
        <v>1</v>
      </c>
      <c r="AQ776" s="52" t="n">
        <f aca="false">IF(CL776&gt;0,CL776*MAX(1,AO776/X776),IF(BW776=1,IF(AO776&lt;=0,0,CA776*MAX(1,IF(H776&gt;0,AO776/H776,1))),IF(R776&gt;0,AP776/R776,0))/MAX(0.1,N(Parameter!$M$21)))</f>
        <v>0.00357142857142857</v>
      </c>
      <c r="AR776" s="50" t="n">
        <f aca="false">AQ776*BY776</f>
        <v>0.553571428571429</v>
      </c>
      <c r="AS776" s="50" t="n">
        <f aca="false">AO776*G776</f>
        <v>100</v>
      </c>
      <c r="AT776" s="50" t="n">
        <f aca="false">ROUNDUP(MAX(J776/IF(CD776&gt;0,CD776,MAX(0.1,N(Cockpit!$I$6))),CG776)/BV776,0)*BV776</f>
        <v>200</v>
      </c>
      <c r="AU776" s="51" t="n">
        <f aca="false">IF(AR776&gt;0,J776/AR776,-1)</f>
        <v>0</v>
      </c>
      <c r="AV776" s="51" t="n">
        <f aca="false">IF(AND(OR(CC776="L1",CC776="L23",CC776="LIFT"),AR776&gt;0),SUMIFS($AR$7:$AR$1843,$CC$7:$CC$1843,CC776,$AU$7:$AU$1843,"&gt;"&amp;AU776)+SUMIFS($AR$7:$AR$1843,$CC$7:$CC$1843,CC776,$AU$7:$AU$1843,AU776,$BT$7:$BT$1843,"&lt;="&amp;BT776),"")</f>
        <v>40322.2903008009</v>
      </c>
      <c r="AW776" s="58" t="n">
        <f aca="false">IF(AV776="",0,MAX(0,MIN(1,(IF(CC776="L1",Parameter!$H$5,IF(CC776="L23",Parameter!$H$6+Parameter!$H$7,Parameter!$H$5+Parameter!$H$6+Parameter!$H$7))-(AV776-AR776))/AR776)))</f>
        <v>0</v>
      </c>
      <c r="AX776" s="50" t="n">
        <f aca="false">IF(LEFT(Cockpit!$O$5,1)="A",H776,IF(CE776=1,CF776,IF(LEFT(Cockpit!$O$5,1)="B",BC776,MAX(BC776,H776))))</f>
        <v>200</v>
      </c>
      <c r="AY776" s="50" t="n">
        <f aca="false">IF(BW776=1,0,ROUNDUP(AX776/BV776,0))</f>
        <v>1</v>
      </c>
      <c r="AZ776" s="52" t="n">
        <f aca="false">IF(CL776&gt;0,CL776*MAX(1,AX776/X776),IF(BW776=1,IF(AX776&lt;=0,0,CA776*MAX(1,IF(H776&gt;0,AX776/H776,1))),IF(R776&gt;0,AY776/R776,0))/MAX(0.1,N(Parameter!$M$21)))</f>
        <v>0.00357142857142857</v>
      </c>
      <c r="BA776" s="50" t="n">
        <f aca="false">AZ776*BY776</f>
        <v>0.553571428571429</v>
      </c>
      <c r="BB776" s="50" t="n">
        <f aca="false">AX776*G776</f>
        <v>100</v>
      </c>
      <c r="BC776" s="50" t="n">
        <f aca="false">ROUNDUP(MAX(J776/IF(CD776&gt;0,CD776,MAX(0.1,N(Cockpit!$O$6))),CG776)/BV776,0)*BV776</f>
        <v>200</v>
      </c>
      <c r="BD776" s="51" t="n">
        <f aca="false">IF(BA776&gt;0,J776/BA776,-1)</f>
        <v>0</v>
      </c>
      <c r="BE776" s="51" t="n">
        <f aca="false">IF(AND(OR(CC776="L1",CC776="L23",CC776="LIFT"),BA776&gt;0),SUMIFS($BA$7:$BA$1843,$CC$7:$CC$1843,CC776,$BD$7:$BD$1843,"&gt;"&amp;BD776)+SUMIFS($BA$7:$BA$1843,$CC$7:$CC$1843,CC776,$BD$7:$BD$1843,BD776,$BT$7:$BT$1843,"&lt;="&amp;BT776),"")</f>
        <v>36997.3023426668</v>
      </c>
      <c r="BF776" s="58" t="n">
        <f aca="false">IF(BE776="",0,MAX(0,MIN(1,(IF(CC776="L1",Parameter!$H$5,IF(CC776="L23",Parameter!$H$6+Parameter!$H$7,Parameter!$H$5+Parameter!$H$6+Parameter!$H$7))-(BE776-BA776))/BA776)))</f>
        <v>0</v>
      </c>
      <c r="BG776" s="48" t="str">
        <f aca="false">IF(AI776&lt;=0,"",IF(CC776="Aussen","Aussenlager",IF(CC776="-","Nicht im Lift",IF(AN776&gt;=1,"Lift",IF(AN776&lt;=0,"Aussenlager","teilweise")))))</f>
        <v>Lift</v>
      </c>
      <c r="BH776" s="48" t="str">
        <f aca="false">IF(AR776&lt;=0,"",IF(CC776="Aussen","Aussenlager",IF(CC776="-","Nicht im Lift",IF(AW776&gt;=1,"Lift",IF(AW776&lt;=0,"Aussenlager","teilweise")))))</f>
        <v>Aussenlager</v>
      </c>
      <c r="BI776" s="48" t="str">
        <f aca="false">IF(BA776&lt;=0,"",IF(CC776="Aussen","Aussenlager",IF(CC776="-","Nicht im Lift",IF(BF776&gt;=1,"Lift",IF(BF776&lt;=0,"Aussenlager","teilweise")))))</f>
        <v>Aussenlager</v>
      </c>
      <c r="BJ776" s="48" t="str">
        <f aca="false">IF(A776="","",IF(BS776=1,"Neu; ","")&amp;IF(AND(BS776=0,BN776&lt;0),"negativer Bestand (Export "&amp;BN776&amp;"); ","")&amp;IF(J776&lt;=0,"Kein Verbrauch; ","")&amp;IF(CL776&gt;0,"Lift "&amp;W776&amp;" lt. Liftbericht (Fach "&amp;X776&amp;" Stk); ",IF(BX776=1,"Gebinde geschätzt ("&amp;T776&amp;"); ",IF(BW776=1,"Lose – Tablare geschätzt; ","")))&amp;IF(H776&gt;AT776,"Überbestand "&amp;ROUND(H776-AT776,0)&amp;" Stk / CHF "&amp;ROUND((H776-AT776)*G776,0)&amp;"; ","")&amp;IF(AND(CE776=1,CF776&lt;CG776),"MAX &lt; MB+LG; ","")&amp;IF(AND(CK776&gt;0,CJ776*10&gt;CK776),"zu hoch für Tablar; ","")&amp;IF(AND(BS776=0,OR(CE776=1,AA776&lt;&gt;"",U776&lt;&gt;"",V776&lt;&gt;"",AB776&lt;&gt;"")),"manuell übersteuert; ","")&amp;IF(AND(BW776=0,R776=0),"Gebinde unbekannt / Stellmass fehlt; ","")&amp;IF(AND(BW776=0,N(V776)&lt;=0,N(Q776)&lt;=0),"Menge pro Gebinde fehlt (Ist = 1 Gebinde); ","")&amp;BR776)</f>
        <v>negativer Bestand (Export -3); Kein Verbrauch; </v>
      </c>
      <c r="BK776" s="48"/>
      <c r="BL776" s="48"/>
      <c r="BM776" s="55"/>
      <c r="BN776" s="50" t="n">
        <v>-3</v>
      </c>
      <c r="BO776" s="50" t="n">
        <v>183</v>
      </c>
      <c r="BP776" s="49" t="n">
        <v>-1.5</v>
      </c>
      <c r="BQ776" s="50" t="n">
        <v>0</v>
      </c>
      <c r="BR776" s="48"/>
      <c r="BS776" s="53" t="n">
        <v>0</v>
      </c>
      <c r="BT776" s="53" t="n">
        <v>776</v>
      </c>
      <c r="BU776" s="48" t="str">
        <f aca="false">IF(U776&lt;&gt;"",UPPER(TRIM(U776)),IF(BX776=1,UPPER(VLOOKUP(T776,Parameter!$I$27:$K$29,2,0)),IF(P776="","LOSE",P776)))</f>
        <v>S21</v>
      </c>
      <c r="BV776" s="50" t="n">
        <f aca="false">IF(BU776="LOSE",1,IF(N(V776)&gt;0,V776,IF(BX776=1,MAX(1,N(VLOOKUP(T776,Parameter!$I$27:$K$29,3,0)),H776,N(N776)),IF(N(Q776)&gt;0,Q776,MAX(1,H776)))))</f>
        <v>200</v>
      </c>
      <c r="BW776" s="53" t="n">
        <f aca="false">IF(BU776="LOSE",1,0)</f>
        <v>0</v>
      </c>
      <c r="BX776" s="53" t="n">
        <f aca="false">IF(AND(U776="",OR(P776="",P776="LOSE"),T776&lt;&gt;"",N(S776)&lt;=0,ISNUMBER(MATCH(T776,Parameter!$I$27:$I$29,0))),1,0)</f>
        <v>0</v>
      </c>
      <c r="BY776" s="53" t="n">
        <f aca="false">IF(CL776&gt;0,INDEX(Parameter!$H$5:$H$7,W776)/INDEX(Parameter!$E$5:$E$7,W776),IF(AND(BW776=0,N(IFERROR(VLOOKUP(BU776,'Gebinde-Kategorie'!$A$5:$N$45,14,0),0))&gt;0),VLOOKUP(BU776,'Gebinde-Kategorie'!$A$5:$N$45,14,0)*10+Parameter!$M$23,Parameter!$M$24))</f>
        <v>155</v>
      </c>
      <c r="BZ776" s="48" t="str">
        <f aca="false">IF(AND(Parameter!$B$19="Ja",E776&lt;&gt;"",ISNUMBER(MATCH(E776,Parameter!$I$35:$I$52,0))),VLOOKUP(E776,Parameter!$I$35:$J$52,2,0),IFERROR(VLOOKUP(D776,Parameter!$A$35:$C$64,2,0),"Nein"))</f>
        <v>2+3</v>
      </c>
      <c r="CA776" s="52" t="n">
        <f aca="false">IF(BW776=0,0,IF(N(S776)&gt;0,S776,IFERROR(VLOOKUP(D776,Parameter!$A$35:$C$64,3,0)+0,0)))</f>
        <v>0</v>
      </c>
      <c r="CB776" s="48" t="n">
        <f aca="false">IF(AA776&lt;&gt;"",AA776,Z776)</f>
        <v>3</v>
      </c>
      <c r="CC776" s="48" t="str">
        <f aca="false">IF(OR(CB776=1,CB776=2,CB776=3),IF(Parameter!$E$27="Ja","LIFT",IF(CB776=1,"L1","L23")),IF(CB776="Aussen","Aussen","-"))</f>
        <v>LIFT</v>
      </c>
      <c r="CD776" s="59" t="n">
        <f aca="false">IF(N(AB776)&gt;0,AB776,0)</f>
        <v>0</v>
      </c>
      <c r="CE776" s="53" t="n">
        <f aca="false">IF(ISNUMBER(AE776),1,0)</f>
        <v>0</v>
      </c>
      <c r="CF776" s="50" t="n">
        <f aca="false">N(AE776)</f>
        <v>0</v>
      </c>
      <c r="CG776" s="50" t="n">
        <f aca="false">N(M776)+N(N776)</f>
        <v>1</v>
      </c>
      <c r="CH776" s="50" t="n">
        <f aca="false">ROUNDUP(H776/BV776,0)</f>
        <v>1</v>
      </c>
      <c r="CI776" s="50" t="n">
        <f aca="false">ROUNDUP(CF776/BV776,0)</f>
        <v>0</v>
      </c>
      <c r="CJ776" s="53" t="n">
        <f aca="false">IF(BW776=1,0,IFERROR(VLOOKUP(BU776,'Gebinde-Kategorie'!$A$5:$N$45,5,0)+0,0))</f>
        <v>8</v>
      </c>
      <c r="CK776" s="53" t="n">
        <f aca="false">IFERROR(IF(OR(CB776=1,CB776=2,CB776=3),N(INDEX(Parameter!$I$5:$I$7,CB776)),0),0)</f>
        <v>0</v>
      </c>
      <c r="CL776" s="52" t="n">
        <f aca="false">IF(AND(Parameter!$B$21="Ja",ISNUMBER(W776),N(X776)&gt;0),IFERROR(N(INDEX(Parameter!$L$5:$L$7,W776))*INDEX(Parameter!$E$5:$E$7,W776)*X776/SUMIFS($X$7:$X$1843,$W$7:$W$1843,W776),0),0)</f>
        <v>0</v>
      </c>
    </row>
    <row r="777" customFormat="false" ht="15" hidden="false" customHeight="false" outlineLevel="0" collapsed="false">
      <c r="A777" s="48" t="s">
        <v>1525</v>
      </c>
      <c r="B777" s="48" t="s">
        <v>1240</v>
      </c>
      <c r="C777" s="48" t="s">
        <v>168</v>
      </c>
      <c r="D777" s="48" t="s">
        <v>188</v>
      </c>
      <c r="E777" s="48" t="s">
        <v>189</v>
      </c>
      <c r="F777" s="48" t="s">
        <v>222</v>
      </c>
      <c r="G777" s="49" t="n">
        <v>0.03</v>
      </c>
      <c r="H777" s="50" t="n">
        <f aca="false">MAX(0,IF(AND(Parameter!$B$21="Ja",ISNUMBER(Y777)),Y777,IF(Parameter!$B$20="Jahresanfang 2025 + Export",BO777+BN777,BN777)))</f>
        <v>459</v>
      </c>
      <c r="I777" s="50" t="n">
        <f aca="false">H777*G777</f>
        <v>13.77</v>
      </c>
      <c r="J777" s="50" t="n">
        <f aca="false">BQ777*Parameter!$B$18</f>
        <v>16</v>
      </c>
      <c r="K777" s="51" t="n">
        <v>510.5</v>
      </c>
      <c r="L777" s="52" t="n">
        <v>0.0313418217433888</v>
      </c>
      <c r="M777" s="50" t="n">
        <v>0</v>
      </c>
      <c r="N777" s="50" t="n">
        <v>15</v>
      </c>
      <c r="O777" s="53" t="n">
        <v>21</v>
      </c>
      <c r="P777" s="48" t="s">
        <v>430</v>
      </c>
      <c r="Q777" s="50" t="n">
        <v>535</v>
      </c>
      <c r="R777" s="53" t="n">
        <f aca="false">IF(BW777=1,0,IFERROR(VLOOKUP(BU777,'Gebinde-Kategorie'!$A$5:$N$45,13,0)+0,0))</f>
        <v>140</v>
      </c>
      <c r="S777" s="54"/>
      <c r="T777" s="55"/>
      <c r="U777" s="55"/>
      <c r="V777" s="55"/>
      <c r="W777" s="48"/>
      <c r="X777" s="50"/>
      <c r="Y777" s="50"/>
      <c r="Z777" s="48" t="n">
        <f aca="false">IF(A777="","",IF(AND(Parameter!$B$21="Ja",ISNUMBER(W777)),W777,IF(BZ777="2+3",IF(ISNUMBER(SEARCH("grosser Artikel",BR777)),2,IFERROR(VLOOKUP(BU777,Parameter!$F$35:$G$64,2,0),2)),IF(OR(BZ777="Nein",BZ777=""),"-",BZ777))))</f>
        <v>3</v>
      </c>
      <c r="AA777" s="55"/>
      <c r="AB777" s="56"/>
      <c r="AC777" s="50" t="n">
        <f aca="false">AT777</f>
        <v>535</v>
      </c>
      <c r="AD777" s="50" t="n">
        <f aca="false">MAX(AT777,H777)</f>
        <v>535</v>
      </c>
      <c r="AE777" s="57"/>
      <c r="AF777" s="50" t="n">
        <f aca="false">IF(LEFT(Cockpit!$C$5,1)="A",H777,IF(CE777=1,CF777,IF(LEFT(Cockpit!$C$5,1)="B",AK777,MAX(AK777,H777))))</f>
        <v>459</v>
      </c>
      <c r="AG777" s="50" t="n">
        <f aca="false">IF(BW777=1,0,ROUNDUP(AF777/BV777,0))</f>
        <v>1</v>
      </c>
      <c r="AH777" s="52" t="n">
        <f aca="false">IF(CL777&gt;0,CL777*MAX(1,AF777/X777),IF(BW777=1,IF(AF777&lt;=0,0,CA777*MAX(1,IF(H777&gt;0,AF777/H777,1))),IF(R777&gt;0,AG777/R777,0))/MAX(0.1,N(Parameter!$M$21)))</f>
        <v>0.00714285714285714</v>
      </c>
      <c r="AI777" s="50" t="n">
        <f aca="false">AH777*BY777</f>
        <v>1.10714285714286</v>
      </c>
      <c r="AJ777" s="50" t="n">
        <f aca="false">AF777*G777</f>
        <v>13.77</v>
      </c>
      <c r="AK777" s="50" t="n">
        <f aca="false">ROUNDUP(MAX(J777/IF(CD777&gt;0,CD777,MAX(0.1,N(Cockpit!$C$6))),CG777)/BV777,0)*BV777</f>
        <v>535</v>
      </c>
      <c r="AL777" s="51" t="n">
        <f aca="false">IF(AI777&gt;0,J777/AI777,-1)</f>
        <v>14.4516129032258</v>
      </c>
      <c r="AM777" s="51" t="n">
        <f aca="false">IF(AND(OR(CC777="L1",CC777="L23",CC777="LIFT"),AI777&gt;0),SUMIFS($AI$7:$AI$1843,$CC$7:$CC$1843,CC777,$AL$7:$AL$1843,"&gt;"&amp;AL777)+SUMIFS($AI$7:$AI$1843,$CC$7:$CC$1843,CC777,$AL$7:$AL$1843,AL777,$BT$7:$BT$1843,"&lt;="&amp;BT777),"")</f>
        <v>2099.13598901099</v>
      </c>
      <c r="AN777" s="58" t="n">
        <f aca="false">IF(AM777="",0,MAX(0,MIN(1,(IF(CC777="L1",Parameter!$H$5,IF(CC777="L23",Parameter!$H$6+Parameter!$H$7,Parameter!$H$5+Parameter!$H$6+Parameter!$H$7))-(AM777-AI777))/AI777)))</f>
        <v>1</v>
      </c>
      <c r="AO777" s="50" t="n">
        <f aca="false">IF(LEFT(Cockpit!$I$5,1)="A",H777,IF(CE777=1,CF777,IF(LEFT(Cockpit!$I$5,1)="B",AT777,MAX(AT777,H777))))</f>
        <v>535</v>
      </c>
      <c r="AP777" s="50" t="n">
        <f aca="false">IF(BW777=1,0,ROUNDUP(AO777/BV777,0))</f>
        <v>1</v>
      </c>
      <c r="AQ777" s="52" t="n">
        <f aca="false">IF(CL777&gt;0,CL777*MAX(1,AO777/X777),IF(BW777=1,IF(AO777&lt;=0,0,CA777*MAX(1,IF(H777&gt;0,AO777/H777,1))),IF(R777&gt;0,AP777/R777,0))/MAX(0.1,N(Parameter!$M$21)))</f>
        <v>0.00714285714285714</v>
      </c>
      <c r="AR777" s="50" t="n">
        <f aca="false">AQ777*BY777</f>
        <v>1.10714285714286</v>
      </c>
      <c r="AS777" s="50" t="n">
        <f aca="false">AO777*G777</f>
        <v>16.05</v>
      </c>
      <c r="AT777" s="50" t="n">
        <f aca="false">ROUNDUP(MAX(J777/IF(CD777&gt;0,CD777,MAX(0.1,N(Cockpit!$I$6))),CG777)/BV777,0)*BV777</f>
        <v>535</v>
      </c>
      <c r="AU777" s="51" t="n">
        <f aca="false">IF(AR777&gt;0,J777/AR777,-1)</f>
        <v>14.4516129032258</v>
      </c>
      <c r="AV777" s="51" t="n">
        <f aca="false">IF(AND(OR(CC777="L1",CC777="L23",CC777="LIFT"),AR777&gt;0),SUMIFS($AR$7:$AR$1843,$CC$7:$CC$1843,CC777,$AU$7:$AU$1843,"&gt;"&amp;AU777)+SUMIFS($AR$7:$AR$1843,$CC$7:$CC$1843,CC777,$AU$7:$AU$1843,AU777,$BT$7:$BT$1843,"&lt;="&amp;BT777),"")</f>
        <v>3291.54029304029</v>
      </c>
      <c r="AW777" s="58" t="n">
        <f aca="false">IF(AV777="",0,MAX(0,MIN(1,(IF(CC777="L1",Parameter!$H$5,IF(CC777="L23",Parameter!$H$6+Parameter!$H$7,Parameter!$H$5+Parameter!$H$6+Parameter!$H$7))-(AV777-AR777))/AR777)))</f>
        <v>1</v>
      </c>
      <c r="AX777" s="50" t="n">
        <f aca="false">IF(LEFT(Cockpit!$O$5,1)="A",H777,IF(CE777=1,CF777,IF(LEFT(Cockpit!$O$5,1)="B",BC777,MAX(BC777,H777))))</f>
        <v>535</v>
      </c>
      <c r="AY777" s="50" t="n">
        <f aca="false">IF(BW777=1,0,ROUNDUP(AX777/BV777,0))</f>
        <v>1</v>
      </c>
      <c r="AZ777" s="52" t="n">
        <f aca="false">IF(CL777&gt;0,CL777*MAX(1,AX777/X777),IF(BW777=1,IF(AX777&lt;=0,0,CA777*MAX(1,IF(H777&gt;0,AX777/H777,1))),IF(R777&gt;0,AY777/R777,0))/MAX(0.1,N(Parameter!$M$21)))</f>
        <v>0.00714285714285714</v>
      </c>
      <c r="BA777" s="50" t="n">
        <f aca="false">AZ777*BY777</f>
        <v>1.10714285714286</v>
      </c>
      <c r="BB777" s="50" t="n">
        <f aca="false">AX777*G777</f>
        <v>16.05</v>
      </c>
      <c r="BC777" s="50" t="n">
        <f aca="false">ROUNDUP(MAX(J777/IF(CD777&gt;0,CD777,MAX(0.1,N(Cockpit!$O$6))),CG777)/BV777,0)*BV777</f>
        <v>535</v>
      </c>
      <c r="BD777" s="51" t="n">
        <f aca="false">IF(BA777&gt;0,J777/BA777,-1)</f>
        <v>14.4516129032258</v>
      </c>
      <c r="BE777" s="51" t="n">
        <f aca="false">IF(AND(OR(CC777="L1",CC777="L23",CC777="LIFT"),BA777&gt;0),SUMIFS($BA$7:$BA$1843,$CC$7:$CC$1843,CC777,$BD$7:$BD$1843,"&gt;"&amp;BD777)+SUMIFS($BA$7:$BA$1843,$CC$7:$CC$1843,CC777,$BD$7:$BD$1843,BD777,$BT$7:$BT$1843,"&lt;="&amp;BT777),"")</f>
        <v>2965.9793956044</v>
      </c>
      <c r="BF777" s="58" t="n">
        <f aca="false">IF(BE777="",0,MAX(0,MIN(1,(IF(CC777="L1",Parameter!$H$5,IF(CC777="L23",Parameter!$H$6+Parameter!$H$7,Parameter!$H$5+Parameter!$H$6+Parameter!$H$7))-(BE777-BA777))/BA777)))</f>
        <v>1</v>
      </c>
      <c r="BG777" s="48" t="str">
        <f aca="false">IF(AI777&lt;=0,"",IF(CC777="Aussen","Aussenlager",IF(CC777="-","Nicht im Lift",IF(AN777&gt;=1,"Lift",IF(AN777&lt;=0,"Aussenlager","teilweise")))))</f>
        <v>Lift</v>
      </c>
      <c r="BH777" s="48" t="str">
        <f aca="false">IF(AR777&lt;=0,"",IF(CC777="Aussen","Aussenlager",IF(CC777="-","Nicht im Lift",IF(AW777&gt;=1,"Lift",IF(AW777&lt;=0,"Aussenlager","teilweise")))))</f>
        <v>Lift</v>
      </c>
      <c r="BI777" s="48" t="str">
        <f aca="false">IF(BA777&lt;=0,"",IF(CC777="Aussen","Aussenlager",IF(CC777="-","Nicht im Lift",IF(BF777&gt;=1,"Lift",IF(BF777&lt;=0,"Aussenlager","teilweise")))))</f>
        <v>Lift</v>
      </c>
      <c r="BJ777" s="48" t="str">
        <f aca="false">IF(A777="","",IF(BS777=1,"Neu; ","")&amp;IF(AND(BS777=0,BN777&lt;0),"negativer Bestand (Export "&amp;BN777&amp;"); ","")&amp;IF(J777&lt;=0,"Kein Verbrauch; ","")&amp;IF(CL777&gt;0,"Lift "&amp;W777&amp;" lt. Liftbericht (Fach "&amp;X777&amp;" Stk); ",IF(BX777=1,"Gebinde geschätzt ("&amp;T777&amp;"); ",IF(BW777=1,"Lose – Tablare geschätzt; ","")))&amp;IF(H777&gt;AT777,"Überbestand "&amp;ROUND(H777-AT777,0)&amp;" Stk / CHF "&amp;ROUND((H777-AT777)*G777,0)&amp;"; ","")&amp;IF(AND(CE777=1,CF777&lt;CG777),"MAX &lt; MB+LG; ","")&amp;IF(AND(CK777&gt;0,CJ777*10&gt;CK777),"zu hoch für Tablar; ","")&amp;IF(AND(BS777=0,OR(CE777=1,AA777&lt;&gt;"",U777&lt;&gt;"",V777&lt;&gt;"",AB777&lt;&gt;"")),"manuell übersteuert; ","")&amp;IF(AND(BW777=0,R777=0),"Gebinde unbekannt / Stellmass fehlt; ","")&amp;IF(AND(BW777=0,N(V777)&lt;=0,N(Q777)&lt;=0),"Menge pro Gebinde fehlt (Ist = 1 Gebinde); ","")&amp;BR777)</f>
        <v>negativer Bestand (Export -51); Überbestand</v>
      </c>
      <c r="BK777" s="48"/>
      <c r="BL777" s="48"/>
      <c r="BM777" s="55"/>
      <c r="BN777" s="50" t="n">
        <v>-51</v>
      </c>
      <c r="BO777" s="50" t="n">
        <v>510</v>
      </c>
      <c r="BP777" s="49" t="n">
        <v>-1.53</v>
      </c>
      <c r="BQ777" s="50" t="n">
        <v>16</v>
      </c>
      <c r="BR777" s="48" t="s">
        <v>396</v>
      </c>
      <c r="BS777" s="53" t="n">
        <v>0</v>
      </c>
      <c r="BT777" s="53" t="n">
        <v>777</v>
      </c>
      <c r="BU777" s="48" t="str">
        <f aca="false">IF(U777&lt;&gt;"",UPPER(TRIM(U777)),IF(BX777=1,UPPER(VLOOKUP(T777,Parameter!$I$27:$K$29,2,0)),IF(P777="","LOSE",P777)))</f>
        <v>S22</v>
      </c>
      <c r="BV777" s="50" t="n">
        <f aca="false">IF(BU777="LOSE",1,IF(N(V777)&gt;0,V777,IF(BX777=1,MAX(1,N(VLOOKUP(T777,Parameter!$I$27:$K$29,3,0)),H777,N(N777)),IF(N(Q777)&gt;0,Q777,MAX(1,H777)))))</f>
        <v>535</v>
      </c>
      <c r="BW777" s="53" t="n">
        <f aca="false">IF(BU777="LOSE",1,0)</f>
        <v>0</v>
      </c>
      <c r="BX777" s="53" t="n">
        <f aca="false">IF(AND(U777="",OR(P777="",P777="LOSE"),T777&lt;&gt;"",N(S777)&lt;=0,ISNUMBER(MATCH(T777,Parameter!$I$27:$I$29,0))),1,0)</f>
        <v>0</v>
      </c>
      <c r="BY777" s="53" t="n">
        <f aca="false">IF(CL777&gt;0,INDEX(Parameter!$H$5:$H$7,W777)/INDEX(Parameter!$E$5:$E$7,W777),IF(AND(BW777=0,N(IFERROR(VLOOKUP(BU777,'Gebinde-Kategorie'!$A$5:$N$45,14,0),0))&gt;0),VLOOKUP(BU777,'Gebinde-Kategorie'!$A$5:$N$45,14,0)*10+Parameter!$M$23,Parameter!$M$24))</f>
        <v>155</v>
      </c>
      <c r="BZ777" s="48" t="str">
        <f aca="false">IF(AND(Parameter!$B$19="Ja",E777&lt;&gt;"",ISNUMBER(MATCH(E777,Parameter!$I$35:$I$52,0))),VLOOKUP(E777,Parameter!$I$35:$J$52,2,0),IFERROR(VLOOKUP(D777,Parameter!$A$35:$C$64,2,0),"Nein"))</f>
        <v>2+3</v>
      </c>
      <c r="CA777" s="52" t="n">
        <f aca="false">IF(BW777=0,0,IF(N(S777)&gt;0,S777,IFERROR(VLOOKUP(D777,Parameter!$A$35:$C$64,3,0)+0,0)))</f>
        <v>0</v>
      </c>
      <c r="CB777" s="48" t="n">
        <f aca="false">IF(AA777&lt;&gt;"",AA777,Z777)</f>
        <v>3</v>
      </c>
      <c r="CC777" s="48" t="str">
        <f aca="false">IF(OR(CB777=1,CB777=2,CB777=3),IF(Parameter!$E$27="Ja","LIFT",IF(CB777=1,"L1","L23")),IF(CB777="Aussen","Aussen","-"))</f>
        <v>LIFT</v>
      </c>
      <c r="CD777" s="59" t="n">
        <f aca="false">IF(N(AB777)&gt;0,AB777,0)</f>
        <v>0</v>
      </c>
      <c r="CE777" s="53" t="n">
        <f aca="false">IF(ISNUMBER(AE777),1,0)</f>
        <v>0</v>
      </c>
      <c r="CF777" s="50" t="n">
        <f aca="false">N(AE777)</f>
        <v>0</v>
      </c>
      <c r="CG777" s="50" t="n">
        <f aca="false">N(M777)+N(N777)</f>
        <v>15</v>
      </c>
      <c r="CH777" s="50" t="n">
        <f aca="false">ROUNDUP(H777/BV777,0)</f>
        <v>1</v>
      </c>
      <c r="CI777" s="50" t="n">
        <f aca="false">ROUNDUP(CF777/BV777,0)</f>
        <v>0</v>
      </c>
      <c r="CJ777" s="53" t="n">
        <f aca="false">IF(BW777=1,0,IFERROR(VLOOKUP(BU777,'Gebinde-Kategorie'!$A$5:$N$45,5,0)+0,0))</f>
        <v>8</v>
      </c>
      <c r="CK777" s="53" t="n">
        <f aca="false">IFERROR(IF(OR(CB777=1,CB777=2,CB777=3),N(INDEX(Parameter!$I$5:$I$7,CB777)),0),0)</f>
        <v>0</v>
      </c>
      <c r="CL777" s="52" t="n">
        <f aca="false">IF(AND(Parameter!$B$21="Ja",ISNUMBER(W777),N(X777)&gt;0),IFERROR(N(INDEX(Parameter!$L$5:$L$7,W777))*INDEX(Parameter!$E$5:$E$7,W777)*X777/SUMIFS($X$7:$X$1843,$W$7:$W$1843,W777),0),0)</f>
        <v>0</v>
      </c>
    </row>
    <row r="778" customFormat="false" ht="15" hidden="false" customHeight="false" outlineLevel="0" collapsed="false">
      <c r="A778" s="48" t="s">
        <v>1526</v>
      </c>
      <c r="B778" s="48" t="s">
        <v>409</v>
      </c>
      <c r="C778" s="48" t="s">
        <v>168</v>
      </c>
      <c r="D778" s="48" t="s">
        <v>188</v>
      </c>
      <c r="E778" s="48" t="s">
        <v>189</v>
      </c>
      <c r="F778" s="48" t="s">
        <v>222</v>
      </c>
      <c r="G778" s="49" t="n">
        <v>0.03</v>
      </c>
      <c r="H778" s="50" t="n">
        <f aca="false">MAX(0,IF(AND(Parameter!$B$21="Ja",ISNUMBER(Y778)),Y778,IF(Parameter!$B$20="Jahresanfang 2025 + Export",BO778+BN778,BN778)))</f>
        <v>697</v>
      </c>
      <c r="I778" s="50" t="n">
        <f aca="false">H778*G778</f>
        <v>20.91</v>
      </c>
      <c r="J778" s="50" t="n">
        <f aca="false">BQ778*Parameter!$B$18</f>
        <v>30</v>
      </c>
      <c r="K778" s="51" t="n">
        <v>736.5</v>
      </c>
      <c r="L778" s="52" t="n">
        <v>0.0407331975560082</v>
      </c>
      <c r="M778" s="50" t="n">
        <v>1</v>
      </c>
      <c r="N778" s="50" t="n">
        <v>30</v>
      </c>
      <c r="O778" s="53" t="n">
        <v>21</v>
      </c>
      <c r="P778" s="48" t="s">
        <v>306</v>
      </c>
      <c r="Q778" s="50" t="n">
        <v>426</v>
      </c>
      <c r="R778" s="53" t="n">
        <f aca="false">IF(BW778=1,0,IFERROR(VLOOKUP(BU778,'Gebinde-Kategorie'!$A$5:$N$45,13,0)+0,0))</f>
        <v>26</v>
      </c>
      <c r="S778" s="54"/>
      <c r="T778" s="55"/>
      <c r="U778" s="55"/>
      <c r="V778" s="55"/>
      <c r="W778" s="48"/>
      <c r="X778" s="50"/>
      <c r="Y778" s="50"/>
      <c r="Z778" s="48" t="n">
        <f aca="false">IF(A778="","",IF(AND(Parameter!$B$21="Ja",ISNUMBER(W778)),W778,IF(BZ778="2+3",IF(ISNUMBER(SEARCH("grosser Artikel",BR778)),2,IFERROR(VLOOKUP(BU778,Parameter!$F$35:$G$64,2,0),2)),IF(OR(BZ778="Nein",BZ778=""),"-",BZ778))))</f>
        <v>3</v>
      </c>
      <c r="AA778" s="55"/>
      <c r="AB778" s="56"/>
      <c r="AC778" s="50" t="n">
        <f aca="false">AT778</f>
        <v>426</v>
      </c>
      <c r="AD778" s="50" t="n">
        <f aca="false">MAX(AT778,H778)</f>
        <v>697</v>
      </c>
      <c r="AE778" s="57"/>
      <c r="AF778" s="50" t="n">
        <f aca="false">IF(LEFT(Cockpit!$C$5,1)="A",H778,IF(CE778=1,CF778,IF(LEFT(Cockpit!$C$5,1)="B",AK778,MAX(AK778,H778))))</f>
        <v>697</v>
      </c>
      <c r="AG778" s="50" t="n">
        <f aca="false">IF(BW778=1,0,ROUNDUP(AF778/BV778,0))</f>
        <v>2</v>
      </c>
      <c r="AH778" s="52" t="n">
        <f aca="false">IF(CL778&gt;0,CL778*MAX(1,AF778/X778),IF(BW778=1,IF(AF778&lt;=0,0,CA778*MAX(1,IF(H778&gt;0,AF778/H778,1))),IF(R778&gt;0,AG778/R778,0))/MAX(0.1,N(Parameter!$M$21)))</f>
        <v>0.0769230769230769</v>
      </c>
      <c r="AI778" s="50" t="n">
        <f aca="false">AH778*BY778</f>
        <v>11.9230769230769</v>
      </c>
      <c r="AJ778" s="50" t="n">
        <f aca="false">AF778*G778</f>
        <v>20.91</v>
      </c>
      <c r="AK778" s="50" t="n">
        <f aca="false">ROUNDUP(MAX(J778/IF(CD778&gt;0,CD778,MAX(0.1,N(Cockpit!$C$6))),CG778)/BV778,0)*BV778</f>
        <v>426</v>
      </c>
      <c r="AL778" s="51" t="n">
        <f aca="false">IF(AI778&gt;0,J778/AI778,-1)</f>
        <v>2.51612903225806</v>
      </c>
      <c r="AM778" s="51" t="n">
        <f aca="false">IF(AND(OR(CC778="L1",CC778="L23",CC778="LIFT"),AI778&gt;0),SUMIFS($AI$7:$AI$1843,$CC$7:$CC$1843,CC778,$AL$7:$AL$1843,"&gt;"&amp;AL778)+SUMIFS($AI$7:$AI$1843,$CC$7:$CC$1843,CC778,$AL$7:$AL$1843,AL778,$BT$7:$BT$1843,"&lt;="&amp;BT778),"")</f>
        <v>5440.33287545788</v>
      </c>
      <c r="AN778" s="58" t="n">
        <f aca="false">IF(AM778="",0,MAX(0,MIN(1,(IF(CC778="L1",Parameter!$H$5,IF(CC778="L23",Parameter!$H$6+Parameter!$H$7,Parameter!$H$5+Parameter!$H$6+Parameter!$H$7))-(AM778-AI778))/AI778)))</f>
        <v>1</v>
      </c>
      <c r="AO778" s="50" t="n">
        <f aca="false">IF(LEFT(Cockpit!$I$5,1)="A",H778,IF(CE778=1,CF778,IF(LEFT(Cockpit!$I$5,1)="B",AT778,MAX(AT778,H778))))</f>
        <v>697</v>
      </c>
      <c r="AP778" s="50" t="n">
        <f aca="false">IF(BW778=1,0,ROUNDUP(AO778/BV778,0))</f>
        <v>2</v>
      </c>
      <c r="AQ778" s="52" t="n">
        <f aca="false">IF(CL778&gt;0,CL778*MAX(1,AO778/X778),IF(BW778=1,IF(AO778&lt;=0,0,CA778*MAX(1,IF(H778&gt;0,AO778/H778,1))),IF(R778&gt;0,AP778/R778,0))/MAX(0.1,N(Parameter!$M$21)))</f>
        <v>0.0769230769230769</v>
      </c>
      <c r="AR778" s="50" t="n">
        <f aca="false">AQ778*BY778</f>
        <v>11.9230769230769</v>
      </c>
      <c r="AS778" s="50" t="n">
        <f aca="false">AO778*G778</f>
        <v>20.91</v>
      </c>
      <c r="AT778" s="50" t="n">
        <f aca="false">ROUNDUP(MAX(J778/IF(CD778&gt;0,CD778,MAX(0.1,N(Cockpit!$I$6))),CG778)/BV778,0)*BV778</f>
        <v>426</v>
      </c>
      <c r="AU778" s="51" t="n">
        <f aca="false">IF(AR778&gt;0,J778/AR778,-1)</f>
        <v>2.51612903225806</v>
      </c>
      <c r="AV778" s="51" t="n">
        <f aca="false">IF(AND(OR(CC778="L1",CC778="L23",CC778="LIFT"),AR778&gt;0),SUMIFS($AR$7:$AR$1843,$CC$7:$CC$1843,CC778,$AU$7:$AU$1843,"&gt;"&amp;AU778)+SUMIFS($AR$7:$AR$1843,$CC$7:$CC$1843,CC778,$AU$7:$AU$1843,AU778,$BT$7:$BT$1843,"&lt;="&amp;BT778),"")</f>
        <v>6763.26236263736</v>
      </c>
      <c r="AW778" s="58" t="n">
        <f aca="false">IF(AV778="",0,MAX(0,MIN(1,(IF(CC778="L1",Parameter!$H$5,IF(CC778="L23",Parameter!$H$6+Parameter!$H$7,Parameter!$H$5+Parameter!$H$6+Parameter!$H$7))-(AV778-AR778))/AR778)))</f>
        <v>1</v>
      </c>
      <c r="AX778" s="50" t="n">
        <f aca="false">IF(LEFT(Cockpit!$O$5,1)="A",H778,IF(CE778=1,CF778,IF(LEFT(Cockpit!$O$5,1)="B",BC778,MAX(BC778,H778))))</f>
        <v>697</v>
      </c>
      <c r="AY778" s="50" t="n">
        <f aca="false">IF(BW778=1,0,ROUNDUP(AX778/BV778,0))</f>
        <v>2</v>
      </c>
      <c r="AZ778" s="52" t="n">
        <f aca="false">IF(CL778&gt;0,CL778*MAX(1,AX778/X778),IF(BW778=1,IF(AX778&lt;=0,0,CA778*MAX(1,IF(H778&gt;0,AX778/H778,1))),IF(R778&gt;0,AY778/R778,0))/MAX(0.1,N(Parameter!$M$21)))</f>
        <v>0.0769230769230769</v>
      </c>
      <c r="BA778" s="50" t="n">
        <f aca="false">AZ778*BY778</f>
        <v>11.9230769230769</v>
      </c>
      <c r="BB778" s="50" t="n">
        <f aca="false">AX778*G778</f>
        <v>20.91</v>
      </c>
      <c r="BC778" s="50" t="n">
        <f aca="false">ROUNDUP(MAX(J778/IF(CD778&gt;0,CD778,MAX(0.1,N(Cockpit!$O$6))),CG778)/BV778,0)*BV778</f>
        <v>426</v>
      </c>
      <c r="BD778" s="51" t="n">
        <f aca="false">IF(BA778&gt;0,J778/BA778,-1)</f>
        <v>2.51612903225806</v>
      </c>
      <c r="BE778" s="51" t="n">
        <f aca="false">IF(AND(OR(CC778="L1",CC778="L23",CC778="LIFT"),BA778&gt;0),SUMIFS($BA$7:$BA$1843,$CC$7:$CC$1843,CC778,$BD$7:$BD$1843,"&gt;"&amp;BD778)+SUMIFS($BA$7:$BA$1843,$CC$7:$CC$1843,CC778,$BD$7:$BD$1843,BD778,$BT$7:$BT$1843,"&lt;="&amp;BT778),"")</f>
        <v>6546.41941391941</v>
      </c>
      <c r="BF778" s="58" t="n">
        <f aca="false">IF(BE778="",0,MAX(0,MIN(1,(IF(CC778="L1",Parameter!$H$5,IF(CC778="L23",Parameter!$H$6+Parameter!$H$7,Parameter!$H$5+Parameter!$H$6+Parameter!$H$7))-(BE778-BA778))/BA778)))</f>
        <v>1</v>
      </c>
      <c r="BG778" s="48" t="str">
        <f aca="false">IF(AI778&lt;=0,"",IF(CC778="Aussen","Aussenlager",IF(CC778="-","Nicht im Lift",IF(AN778&gt;=1,"Lift",IF(AN778&lt;=0,"Aussenlager","teilweise")))))</f>
        <v>Lift</v>
      </c>
      <c r="BH778" s="48" t="str">
        <f aca="false">IF(AR778&lt;=0,"",IF(CC778="Aussen","Aussenlager",IF(CC778="-","Nicht im Lift",IF(AW778&gt;=1,"Lift",IF(AW778&lt;=0,"Aussenlager","teilweise")))))</f>
        <v>Lift</v>
      </c>
      <c r="BI778" s="48" t="str">
        <f aca="false">IF(BA778&lt;=0,"",IF(CC778="Aussen","Aussenlager",IF(CC778="-","Nicht im Lift",IF(BF778&gt;=1,"Lift",IF(BF778&lt;=0,"Aussenlager","teilweise")))))</f>
        <v>Lift</v>
      </c>
      <c r="BJ778" s="48" t="str">
        <f aca="false">IF(A778="","",IF(BS778=1,"Neu; ","")&amp;IF(AND(BS778=0,BN778&lt;0),"negativer Bestand (Export "&amp;BN778&amp;"); ","")&amp;IF(J778&lt;=0,"Kein Verbrauch; ","")&amp;IF(CL778&gt;0,"Lift "&amp;W778&amp;" lt. Liftbericht (Fach "&amp;X778&amp;" Stk); ",IF(BX778=1,"Gebinde geschätzt ("&amp;T778&amp;"); ",IF(BW778=1,"Lose – Tablare geschätzt; ","")))&amp;IF(H778&gt;AT778,"Überbestand "&amp;ROUND(H778-AT778,0)&amp;" Stk / CHF "&amp;ROUND((H778-AT778)*G778,0)&amp;"; ","")&amp;IF(AND(CE778=1,CF778&lt;CG778),"MAX &lt; MB+LG; ","")&amp;IF(AND(CK778&gt;0,CJ778*10&gt;CK778),"zu hoch für Tablar; ","")&amp;IF(AND(BS778=0,OR(CE778=1,AA778&lt;&gt;"",U778&lt;&gt;"",V778&lt;&gt;"",AB778&lt;&gt;"")),"manuell übersteuert; ","")&amp;IF(AND(BW778=0,R778=0),"Gebinde unbekannt / Stellmass fehlt; ","")&amp;IF(AND(BW778=0,N(V778)&lt;=0,N(Q778)&lt;=0),"Menge pro Gebinde fehlt (Ist = 1 Gebinde); ","")&amp;BR778)</f>
        <v>negativer Bestand (Export -53); Überbestand 271 Stk / CHF 8; Überbestand</v>
      </c>
      <c r="BK778" s="48"/>
      <c r="BL778" s="48"/>
      <c r="BM778" s="55"/>
      <c r="BN778" s="50" t="n">
        <v>-53</v>
      </c>
      <c r="BO778" s="50" t="n">
        <v>750</v>
      </c>
      <c r="BP778" s="49" t="n">
        <v>-1.59</v>
      </c>
      <c r="BQ778" s="50" t="n">
        <v>30</v>
      </c>
      <c r="BR778" s="48" t="s">
        <v>396</v>
      </c>
      <c r="BS778" s="53" t="n">
        <v>0</v>
      </c>
      <c r="BT778" s="53" t="n">
        <v>778</v>
      </c>
      <c r="BU778" s="48" t="str">
        <f aca="false">IF(U778&lt;&gt;"",UPPER(TRIM(U778)),IF(BX778=1,UPPER(VLOOKUP(T778,Parameter!$I$27:$K$29,2,0)),IF(P778="","LOSE",P778)))</f>
        <v>S51</v>
      </c>
      <c r="BV778" s="50" t="n">
        <f aca="false">IF(BU778="LOSE",1,IF(N(V778)&gt;0,V778,IF(BX778=1,MAX(1,N(VLOOKUP(T778,Parameter!$I$27:$K$29,3,0)),H778,N(N778)),IF(N(Q778)&gt;0,Q778,MAX(1,H778)))))</f>
        <v>426</v>
      </c>
      <c r="BW778" s="53" t="n">
        <f aca="false">IF(BU778="LOSE",1,0)</f>
        <v>0</v>
      </c>
      <c r="BX778" s="53" t="n">
        <f aca="false">IF(AND(U778="",OR(P778="",P778="LOSE"),T778&lt;&gt;"",N(S778)&lt;=0,ISNUMBER(MATCH(T778,Parameter!$I$27:$I$29,0))),1,0)</f>
        <v>0</v>
      </c>
      <c r="BY778" s="53" t="n">
        <f aca="false">IF(CL778&gt;0,INDEX(Parameter!$H$5:$H$7,W778)/INDEX(Parameter!$E$5:$E$7,W778),IF(AND(BW778=0,N(IFERROR(VLOOKUP(BU778,'Gebinde-Kategorie'!$A$5:$N$45,14,0),0))&gt;0),VLOOKUP(BU778,'Gebinde-Kategorie'!$A$5:$N$45,14,0)*10+Parameter!$M$23,Parameter!$M$24))</f>
        <v>155</v>
      </c>
      <c r="BZ778" s="48" t="str">
        <f aca="false">IF(AND(Parameter!$B$19="Ja",E778&lt;&gt;"",ISNUMBER(MATCH(E778,Parameter!$I$35:$I$52,0))),VLOOKUP(E778,Parameter!$I$35:$J$52,2,0),IFERROR(VLOOKUP(D778,Parameter!$A$35:$C$64,2,0),"Nein"))</f>
        <v>2+3</v>
      </c>
      <c r="CA778" s="52" t="n">
        <f aca="false">IF(BW778=0,0,IF(N(S778)&gt;0,S778,IFERROR(VLOOKUP(D778,Parameter!$A$35:$C$64,3,0)+0,0)))</f>
        <v>0</v>
      </c>
      <c r="CB778" s="48" t="n">
        <f aca="false">IF(AA778&lt;&gt;"",AA778,Z778)</f>
        <v>3</v>
      </c>
      <c r="CC778" s="48" t="str">
        <f aca="false">IF(OR(CB778=1,CB778=2,CB778=3),IF(Parameter!$E$27="Ja","LIFT",IF(CB778=1,"L1","L23")),IF(CB778="Aussen","Aussen","-"))</f>
        <v>LIFT</v>
      </c>
      <c r="CD778" s="59" t="n">
        <f aca="false">IF(N(AB778)&gt;0,AB778,0)</f>
        <v>0</v>
      </c>
      <c r="CE778" s="53" t="n">
        <f aca="false">IF(ISNUMBER(AE778),1,0)</f>
        <v>0</v>
      </c>
      <c r="CF778" s="50" t="n">
        <f aca="false">N(AE778)</f>
        <v>0</v>
      </c>
      <c r="CG778" s="50" t="n">
        <f aca="false">N(M778)+N(N778)</f>
        <v>31</v>
      </c>
      <c r="CH778" s="50" t="n">
        <f aca="false">ROUNDUP(H778/BV778,0)</f>
        <v>2</v>
      </c>
      <c r="CI778" s="50" t="n">
        <f aca="false">ROUNDUP(CF778/BV778,0)</f>
        <v>0</v>
      </c>
      <c r="CJ778" s="53" t="n">
        <f aca="false">IF(BW778=1,0,IFERROR(VLOOKUP(BU778,'Gebinde-Kategorie'!$A$5:$N$45,5,0)+0,0))</f>
        <v>11</v>
      </c>
      <c r="CK778" s="53" t="n">
        <f aca="false">IFERROR(IF(OR(CB778=1,CB778=2,CB778=3),N(INDEX(Parameter!$I$5:$I$7,CB778)),0),0)</f>
        <v>0</v>
      </c>
      <c r="CL778" s="52" t="n">
        <f aca="false">IF(AND(Parameter!$B$21="Ja",ISNUMBER(W778),N(X778)&gt;0),IFERROR(N(INDEX(Parameter!$L$5:$L$7,W778))*INDEX(Parameter!$E$5:$E$7,W778)*X778/SUMIFS($X$7:$X$1843,$W$7:$W$1843,W778),0),0)</f>
        <v>0</v>
      </c>
    </row>
    <row r="779" customFormat="false" ht="15" hidden="false" customHeight="false" outlineLevel="0" collapsed="false">
      <c r="A779" s="48" t="s">
        <v>1527</v>
      </c>
      <c r="B779" s="48" t="s">
        <v>896</v>
      </c>
      <c r="C779" s="48" t="s">
        <v>168</v>
      </c>
      <c r="D779" s="48" t="s">
        <v>188</v>
      </c>
      <c r="E779" s="48" t="s">
        <v>189</v>
      </c>
      <c r="F779" s="48" t="s">
        <v>222</v>
      </c>
      <c r="G779" s="49" t="n">
        <v>8.81</v>
      </c>
      <c r="H779" s="50" t="n">
        <f aca="false">MAX(0,IF(AND(Parameter!$B$21="Ja",ISNUMBER(Y779)),Y779,IF(Parameter!$B$20="Jahresanfang 2025 + Export",BO779+BN779,BN779)))</f>
        <v>13</v>
      </c>
      <c r="I779" s="50" t="n">
        <f aca="false">H779*G779</f>
        <v>114.53</v>
      </c>
      <c r="J779" s="50" t="n">
        <f aca="false">BQ779*Parameter!$B$18</f>
        <v>8</v>
      </c>
      <c r="K779" s="51" t="n">
        <v>7</v>
      </c>
      <c r="L779" s="52" t="n">
        <v>1.14285714285714</v>
      </c>
      <c r="M779" s="50" t="n">
        <v>0</v>
      </c>
      <c r="N779" s="50" t="n">
        <v>10</v>
      </c>
      <c r="O779" s="53" t="n">
        <v>19</v>
      </c>
      <c r="P779" s="48" t="s">
        <v>425</v>
      </c>
      <c r="Q779" s="50" t="n">
        <v>23</v>
      </c>
      <c r="R779" s="53" t="n">
        <f aca="false">IF(BW779=1,0,IFERROR(VLOOKUP(BU779,'Gebinde-Kategorie'!$A$5:$N$45,13,0)+0,0))</f>
        <v>104</v>
      </c>
      <c r="S779" s="54"/>
      <c r="T779" s="55"/>
      <c r="U779" s="55"/>
      <c r="V779" s="55"/>
      <c r="W779" s="48"/>
      <c r="X779" s="50"/>
      <c r="Y779" s="50"/>
      <c r="Z779" s="48" t="n">
        <f aca="false">IF(A779="","",IF(AND(Parameter!$B$21="Ja",ISNUMBER(W779)),W779,IF(BZ779="2+3",IF(ISNUMBER(SEARCH("grosser Artikel",BR779)),2,IFERROR(VLOOKUP(BU779,Parameter!$F$35:$G$64,2,0),2)),IF(OR(BZ779="Nein",BZ779=""),"-",BZ779))))</f>
        <v>3</v>
      </c>
      <c r="AA779" s="55"/>
      <c r="AB779" s="56"/>
      <c r="AC779" s="50" t="n">
        <f aca="false">AT779</f>
        <v>23</v>
      </c>
      <c r="AD779" s="50" t="n">
        <f aca="false">MAX(AT779,H779)</f>
        <v>23</v>
      </c>
      <c r="AE779" s="57"/>
      <c r="AF779" s="50" t="n">
        <f aca="false">IF(LEFT(Cockpit!$C$5,1)="A",H779,IF(CE779=1,CF779,IF(LEFT(Cockpit!$C$5,1)="B",AK779,MAX(AK779,H779))))</f>
        <v>13</v>
      </c>
      <c r="AG779" s="50" t="n">
        <f aca="false">IF(BW779=1,0,ROUNDUP(AF779/BV779,0))</f>
        <v>1</v>
      </c>
      <c r="AH779" s="52" t="n">
        <f aca="false">IF(CL779&gt;0,CL779*MAX(1,AF779/X779),IF(BW779=1,IF(AF779&lt;=0,0,CA779*MAX(1,IF(H779&gt;0,AF779/H779,1))),IF(R779&gt;0,AG779/R779,0))/MAX(0.1,N(Parameter!$M$21)))</f>
        <v>0.00961538461538462</v>
      </c>
      <c r="AI779" s="50" t="n">
        <f aca="false">AH779*BY779</f>
        <v>1.49038461538462</v>
      </c>
      <c r="AJ779" s="50" t="n">
        <f aca="false">AF779*G779</f>
        <v>114.53</v>
      </c>
      <c r="AK779" s="50" t="n">
        <f aca="false">ROUNDUP(MAX(J779/IF(CD779&gt;0,CD779,MAX(0.1,N(Cockpit!$C$6))),CG779)/BV779,0)*BV779</f>
        <v>23</v>
      </c>
      <c r="AL779" s="51" t="n">
        <f aca="false">IF(AI779&gt;0,J779/AI779,-1)</f>
        <v>5.36774193548387</v>
      </c>
      <c r="AM779" s="51" t="n">
        <f aca="false">IF(AND(OR(CC779="L1",CC779="L23",CC779="LIFT"),AI779&gt;0),SUMIFS($AI$7:$AI$1843,$CC$7:$CC$1843,CC779,$AL$7:$AL$1843,"&gt;"&amp;AL779)+SUMIFS($AI$7:$AI$1843,$CC$7:$CC$1843,CC779,$AL$7:$AL$1843,AL779,$BT$7:$BT$1843,"&lt;="&amp;BT779),"")</f>
        <v>3727.68177655678</v>
      </c>
      <c r="AN779" s="58" t="n">
        <f aca="false">IF(AM779="",0,MAX(0,MIN(1,(IF(CC779="L1",Parameter!$H$5,IF(CC779="L23",Parameter!$H$6+Parameter!$H$7,Parameter!$H$5+Parameter!$H$6+Parameter!$H$7))-(AM779-AI779))/AI779)))</f>
        <v>1</v>
      </c>
      <c r="AO779" s="50" t="n">
        <f aca="false">IF(LEFT(Cockpit!$I$5,1)="A",H779,IF(CE779=1,CF779,IF(LEFT(Cockpit!$I$5,1)="B",AT779,MAX(AT779,H779))))</f>
        <v>23</v>
      </c>
      <c r="AP779" s="50" t="n">
        <f aca="false">IF(BW779=1,0,ROUNDUP(AO779/BV779,0))</f>
        <v>1</v>
      </c>
      <c r="AQ779" s="52" t="n">
        <f aca="false">IF(CL779&gt;0,CL779*MAX(1,AO779/X779),IF(BW779=1,IF(AO779&lt;=0,0,CA779*MAX(1,IF(H779&gt;0,AO779/H779,1))),IF(R779&gt;0,AP779/R779,0))/MAX(0.1,N(Parameter!$M$21)))</f>
        <v>0.00961538461538462</v>
      </c>
      <c r="AR779" s="50" t="n">
        <f aca="false">AQ779*BY779</f>
        <v>1.49038461538462</v>
      </c>
      <c r="AS779" s="50" t="n">
        <f aca="false">AO779*G779</f>
        <v>202.63</v>
      </c>
      <c r="AT779" s="50" t="n">
        <f aca="false">ROUNDUP(MAX(J779/IF(CD779&gt;0,CD779,MAX(0.1,N(Cockpit!$I$6))),CG779)/BV779,0)*BV779</f>
        <v>23</v>
      </c>
      <c r="AU779" s="51" t="n">
        <f aca="false">IF(AR779&gt;0,J779/AR779,-1)</f>
        <v>5.36774193548387</v>
      </c>
      <c r="AV779" s="51" t="n">
        <f aca="false">IF(AND(OR(CC779="L1",CC779="L23",CC779="LIFT"),AR779&gt;0),SUMIFS($AR$7:$AR$1843,$CC$7:$CC$1843,CC779,$AU$7:$AU$1843,"&gt;"&amp;AU779)+SUMIFS($AR$7:$AR$1843,$CC$7:$CC$1843,CC779,$AU$7:$AU$1843,AU779,$BT$7:$BT$1843,"&lt;="&amp;BT779),"")</f>
        <v>4911.98122710623</v>
      </c>
      <c r="AW779" s="58" t="n">
        <f aca="false">IF(AV779="",0,MAX(0,MIN(1,(IF(CC779="L1",Parameter!$H$5,IF(CC779="L23",Parameter!$H$6+Parameter!$H$7,Parameter!$H$5+Parameter!$H$6+Parameter!$H$7))-(AV779-AR779))/AR779)))</f>
        <v>1</v>
      </c>
      <c r="AX779" s="50" t="n">
        <f aca="false">IF(LEFT(Cockpit!$O$5,1)="A",H779,IF(CE779=1,CF779,IF(LEFT(Cockpit!$O$5,1)="B",BC779,MAX(BC779,H779))))</f>
        <v>23</v>
      </c>
      <c r="AY779" s="50" t="n">
        <f aca="false">IF(BW779=1,0,ROUNDUP(AX779/BV779,0))</f>
        <v>1</v>
      </c>
      <c r="AZ779" s="52" t="n">
        <f aca="false">IF(CL779&gt;0,CL779*MAX(1,AX779/X779),IF(BW779=1,IF(AX779&lt;=0,0,CA779*MAX(1,IF(H779&gt;0,AX779/H779,1))),IF(R779&gt;0,AY779/R779,0))/MAX(0.1,N(Parameter!$M$21)))</f>
        <v>0.00961538461538462</v>
      </c>
      <c r="BA779" s="50" t="n">
        <f aca="false">AZ779*BY779</f>
        <v>1.49038461538462</v>
      </c>
      <c r="BB779" s="50" t="n">
        <f aca="false">AX779*G779</f>
        <v>202.63</v>
      </c>
      <c r="BC779" s="50" t="n">
        <f aca="false">ROUNDUP(MAX(J779/IF(CD779&gt;0,CD779,MAX(0.1,N(Cockpit!$O$6))),CG779)/BV779,0)*BV779</f>
        <v>23</v>
      </c>
      <c r="BD779" s="51" t="n">
        <f aca="false">IF(BA779&gt;0,J779/BA779,-1)</f>
        <v>5.36774193548387</v>
      </c>
      <c r="BE779" s="51" t="n">
        <f aca="false">IF(AND(OR(CC779="L1",CC779="L23",CC779="LIFT"),BA779&gt;0),SUMIFS($BA$7:$BA$1843,$CC$7:$CC$1843,CC779,$BD$7:$BD$1843,"&gt;"&amp;BD779)+SUMIFS($BA$7:$BA$1843,$CC$7:$CC$1843,CC779,$BD$7:$BD$1843,BD779,$BT$7:$BT$1843,"&lt;="&amp;BT779),"")</f>
        <v>4582.44597069597</v>
      </c>
      <c r="BF779" s="58" t="n">
        <f aca="false">IF(BE779="",0,MAX(0,MIN(1,(IF(CC779="L1",Parameter!$H$5,IF(CC779="L23",Parameter!$H$6+Parameter!$H$7,Parameter!$H$5+Parameter!$H$6+Parameter!$H$7))-(BE779-BA779))/BA779)))</f>
        <v>1</v>
      </c>
      <c r="BG779" s="48" t="str">
        <f aca="false">IF(AI779&lt;=0,"",IF(CC779="Aussen","Aussenlager",IF(CC779="-","Nicht im Lift",IF(AN779&gt;=1,"Lift",IF(AN779&lt;=0,"Aussenlager","teilweise")))))</f>
        <v>Lift</v>
      </c>
      <c r="BH779" s="48" t="str">
        <f aca="false">IF(AR779&lt;=0,"",IF(CC779="Aussen","Aussenlager",IF(CC779="-","Nicht im Lift",IF(AW779&gt;=1,"Lift",IF(AW779&lt;=0,"Aussenlager","teilweise")))))</f>
        <v>Lift</v>
      </c>
      <c r="BI779" s="48" t="str">
        <f aca="false">IF(BA779&lt;=0,"",IF(CC779="Aussen","Aussenlager",IF(CC779="-","Nicht im Lift",IF(BF779&gt;=1,"Lift",IF(BF779&lt;=0,"Aussenlager","teilweise")))))</f>
        <v>Lift</v>
      </c>
      <c r="BJ779" s="48" t="str">
        <f aca="false">IF(A779="","",IF(BS779=1,"Neu; ","")&amp;IF(AND(BS779=0,BN779&lt;0),"negativer Bestand (Export "&amp;BN779&amp;"); ","")&amp;IF(J779&lt;=0,"Kein Verbrauch; ","")&amp;IF(CL779&gt;0,"Lift "&amp;W779&amp;" lt. Liftbericht (Fach "&amp;X779&amp;" Stk); ",IF(BX779=1,"Gebinde geschätzt ("&amp;T779&amp;"); ",IF(BW779=1,"Lose – Tablare geschätzt; ","")))&amp;IF(H779&gt;AT779,"Überbestand "&amp;ROUND(H779-AT779,0)&amp;" Stk / CHF "&amp;ROUND((H779-AT779)*G779,0)&amp;"; ","")&amp;IF(AND(CE779=1,CF779&lt;CG779),"MAX &lt; MB+LG; ","")&amp;IF(AND(CK779&gt;0,CJ779*10&gt;CK779),"zu hoch für Tablar; ","")&amp;IF(AND(BS779=0,OR(CE779=1,AA779&lt;&gt;"",U779&lt;&gt;"",V779&lt;&gt;"",AB779&lt;&gt;"")),"manuell übersteuert; ","")&amp;IF(AND(BW779=0,R779=0),"Gebinde unbekannt / Stellmass fehlt; ","")&amp;IF(AND(BW779=0,N(V779)&lt;=0,N(Q779)&lt;=0),"Menge pro Gebinde fehlt (Ist = 1 Gebinde); ","")&amp;BR779)</f>
        <v/>
      </c>
      <c r="BK779" s="48"/>
      <c r="BL779" s="48"/>
      <c r="BM779" s="55"/>
      <c r="BN779" s="50" t="n">
        <v>3</v>
      </c>
      <c r="BO779" s="50" t="n">
        <v>10</v>
      </c>
      <c r="BP779" s="49" t="n">
        <v>-1.66999999999997</v>
      </c>
      <c r="BQ779" s="50" t="n">
        <v>8</v>
      </c>
      <c r="BR779" s="48"/>
      <c r="BS779" s="53" t="n">
        <v>0</v>
      </c>
      <c r="BT779" s="53" t="n">
        <v>779</v>
      </c>
      <c r="BU779" s="48" t="str">
        <f aca="false">IF(U779&lt;&gt;"",UPPER(TRIM(U779)),IF(BX779=1,UPPER(VLOOKUP(T779,Parameter!$I$27:$K$29,2,0)),IF(P779="","LOSE",P779)))</f>
        <v>S32</v>
      </c>
      <c r="BV779" s="50" t="n">
        <f aca="false">IF(BU779="LOSE",1,IF(N(V779)&gt;0,V779,IF(BX779=1,MAX(1,N(VLOOKUP(T779,Parameter!$I$27:$K$29,3,0)),H779,N(N779)),IF(N(Q779)&gt;0,Q779,MAX(1,H779)))))</f>
        <v>23</v>
      </c>
      <c r="BW779" s="53" t="n">
        <f aca="false">IF(BU779="LOSE",1,0)</f>
        <v>0</v>
      </c>
      <c r="BX779" s="53" t="n">
        <f aca="false">IF(AND(U779="",OR(P779="",P779="LOSE"),T779&lt;&gt;"",N(S779)&lt;=0,ISNUMBER(MATCH(T779,Parameter!$I$27:$I$29,0))),1,0)</f>
        <v>0</v>
      </c>
      <c r="BY779" s="53" t="n">
        <f aca="false">IF(CL779&gt;0,INDEX(Parameter!$H$5:$H$7,W779)/INDEX(Parameter!$E$5:$E$7,W779),IF(AND(BW779=0,N(IFERROR(VLOOKUP(BU779,'Gebinde-Kategorie'!$A$5:$N$45,14,0),0))&gt;0),VLOOKUP(BU779,'Gebinde-Kategorie'!$A$5:$N$45,14,0)*10+Parameter!$M$23,Parameter!$M$24))</f>
        <v>155</v>
      </c>
      <c r="BZ779" s="48" t="str">
        <f aca="false">IF(AND(Parameter!$B$19="Ja",E779&lt;&gt;"",ISNUMBER(MATCH(E779,Parameter!$I$35:$I$52,0))),VLOOKUP(E779,Parameter!$I$35:$J$52,2,0),IFERROR(VLOOKUP(D779,Parameter!$A$35:$C$64,2,0),"Nein"))</f>
        <v>2+3</v>
      </c>
      <c r="CA779" s="52" t="n">
        <f aca="false">IF(BW779=0,0,IF(N(S779)&gt;0,S779,IFERROR(VLOOKUP(D779,Parameter!$A$35:$C$64,3,0)+0,0)))</f>
        <v>0</v>
      </c>
      <c r="CB779" s="48" t="n">
        <f aca="false">IF(AA779&lt;&gt;"",AA779,Z779)</f>
        <v>3</v>
      </c>
      <c r="CC779" s="48" t="str">
        <f aca="false">IF(OR(CB779=1,CB779=2,CB779=3),IF(Parameter!$E$27="Ja","LIFT",IF(CB779=1,"L1","L23")),IF(CB779="Aussen","Aussen","-"))</f>
        <v>LIFT</v>
      </c>
      <c r="CD779" s="59" t="n">
        <f aca="false">IF(N(AB779)&gt;0,AB779,0)</f>
        <v>0</v>
      </c>
      <c r="CE779" s="53" t="n">
        <f aca="false">IF(ISNUMBER(AE779),1,0)</f>
        <v>0</v>
      </c>
      <c r="CF779" s="50" t="n">
        <f aca="false">N(AE779)</f>
        <v>0</v>
      </c>
      <c r="CG779" s="50" t="n">
        <f aca="false">N(M779)+N(N779)</f>
        <v>10</v>
      </c>
      <c r="CH779" s="50" t="n">
        <f aca="false">ROUNDUP(H779/BV779,0)</f>
        <v>1</v>
      </c>
      <c r="CI779" s="50" t="n">
        <f aca="false">ROUNDUP(CF779/BV779,0)</f>
        <v>0</v>
      </c>
      <c r="CJ779" s="53" t="n">
        <f aca="false">IF(BW779=1,0,IFERROR(VLOOKUP(BU779,'Gebinde-Kategorie'!$A$5:$N$45,5,0)+0,0))</f>
        <v>8</v>
      </c>
      <c r="CK779" s="53" t="n">
        <f aca="false">IFERROR(IF(OR(CB779=1,CB779=2,CB779=3),N(INDEX(Parameter!$I$5:$I$7,CB779)),0),0)</f>
        <v>0</v>
      </c>
      <c r="CL779" s="52" t="n">
        <f aca="false">IF(AND(Parameter!$B$21="Ja",ISNUMBER(W779),N(X779)&gt;0),IFERROR(N(INDEX(Parameter!$L$5:$L$7,W779))*INDEX(Parameter!$E$5:$E$7,W779)*X779/SUMIFS($X$7:$X$1843,$W$7:$W$1843,W779),0),0)</f>
        <v>0</v>
      </c>
    </row>
    <row r="780" customFormat="false" ht="15" hidden="false" customHeight="false" outlineLevel="0" collapsed="false">
      <c r="A780" s="48" t="s">
        <v>1528</v>
      </c>
      <c r="B780" s="48" t="s">
        <v>1529</v>
      </c>
      <c r="C780" s="48" t="s">
        <v>171</v>
      </c>
      <c r="D780" s="48" t="s">
        <v>188</v>
      </c>
      <c r="E780" s="48" t="s">
        <v>189</v>
      </c>
      <c r="F780" s="48" t="s">
        <v>222</v>
      </c>
      <c r="G780" s="49" t="n">
        <v>0.48</v>
      </c>
      <c r="H780" s="50" t="n">
        <f aca="false">MAX(0,IF(AND(Parameter!$B$21="Ja",ISNUMBER(Y780)),Y780,IF(Parameter!$B$20="Jahresanfang 2025 + Export",BO780+BN780,BN780)))</f>
        <v>54</v>
      </c>
      <c r="I780" s="50" t="n">
        <f aca="false">H780*G780</f>
        <v>25.92</v>
      </c>
      <c r="J780" s="50" t="n">
        <f aca="false">BQ780*Parameter!$B$18</f>
        <v>0</v>
      </c>
      <c r="K780" s="51" t="n">
        <v>56</v>
      </c>
      <c r="L780" s="52" t="n">
        <v>0</v>
      </c>
      <c r="M780" s="50" t="n">
        <v>0</v>
      </c>
      <c r="N780" s="50" t="n">
        <v>1</v>
      </c>
      <c r="O780" s="53" t="n">
        <v>14</v>
      </c>
      <c r="P780" s="48" t="s">
        <v>306</v>
      </c>
      <c r="Q780" s="50" t="n">
        <v>224</v>
      </c>
      <c r="R780" s="53" t="n">
        <f aca="false">IF(BW780=1,0,IFERROR(VLOOKUP(BU780,'Gebinde-Kategorie'!$A$5:$N$45,13,0)+0,0))</f>
        <v>26</v>
      </c>
      <c r="S780" s="54"/>
      <c r="T780" s="55"/>
      <c r="U780" s="55"/>
      <c r="V780" s="55"/>
      <c r="W780" s="48"/>
      <c r="X780" s="50"/>
      <c r="Y780" s="50"/>
      <c r="Z780" s="48" t="n">
        <f aca="false">IF(A780="","",IF(AND(Parameter!$B$21="Ja",ISNUMBER(W780)),W780,IF(BZ780="2+3",IF(ISNUMBER(SEARCH("grosser Artikel",BR780)),2,IFERROR(VLOOKUP(BU780,Parameter!$F$35:$G$64,2,0),2)),IF(OR(BZ780="Nein",BZ780=""),"-",BZ780))))</f>
        <v>3</v>
      </c>
      <c r="AA780" s="55"/>
      <c r="AB780" s="56"/>
      <c r="AC780" s="50" t="n">
        <f aca="false">AT780</f>
        <v>224</v>
      </c>
      <c r="AD780" s="50" t="n">
        <f aca="false">MAX(AT780,H780)</f>
        <v>224</v>
      </c>
      <c r="AE780" s="57"/>
      <c r="AF780" s="50" t="n">
        <f aca="false">IF(LEFT(Cockpit!$C$5,1)="A",H780,IF(CE780=1,CF780,IF(LEFT(Cockpit!$C$5,1)="B",AK780,MAX(AK780,H780))))</f>
        <v>54</v>
      </c>
      <c r="AG780" s="50" t="n">
        <f aca="false">IF(BW780=1,0,ROUNDUP(AF780/BV780,0))</f>
        <v>1</v>
      </c>
      <c r="AH780" s="52" t="n">
        <f aca="false">IF(CL780&gt;0,CL780*MAX(1,AF780/X780),IF(BW780=1,IF(AF780&lt;=0,0,CA780*MAX(1,IF(H780&gt;0,AF780/H780,1))),IF(R780&gt;0,AG780/R780,0))/MAX(0.1,N(Parameter!$M$21)))</f>
        <v>0.0384615384615385</v>
      </c>
      <c r="AI780" s="50" t="n">
        <f aca="false">AH780*BY780</f>
        <v>5.96153846153846</v>
      </c>
      <c r="AJ780" s="50" t="n">
        <f aca="false">AF780*G780</f>
        <v>25.92</v>
      </c>
      <c r="AK780" s="50" t="n">
        <f aca="false">ROUNDUP(MAX(J780/IF(CD780&gt;0,CD780,MAX(0.1,N(Cockpit!$C$6))),CG780)/BV780,0)*BV780</f>
        <v>224</v>
      </c>
      <c r="AL780" s="51" t="n">
        <f aca="false">IF(AI780&gt;0,J780/AI780,-1)</f>
        <v>0</v>
      </c>
      <c r="AM780" s="51" t="n">
        <f aca="false">IF(AND(OR(CC780="L1",CC780="L23",CC780="LIFT"),AI780&gt;0),SUMIFS($AI$7:$AI$1843,$CC$7:$CC$1843,CC780,$AL$7:$AL$1843,"&gt;"&amp;AL780)+SUMIFS($AI$7:$AI$1843,$CC$7:$CC$1843,CC780,$AL$7:$AL$1843,AL780,$BT$7:$BT$1843,"&lt;="&amp;BT780),"")</f>
        <v>28757.1965967178</v>
      </c>
      <c r="AN780" s="58" t="n">
        <f aca="false">IF(AM780="",0,MAX(0,MIN(1,(IF(CC780="L1",Parameter!$H$5,IF(CC780="L23",Parameter!$H$6+Parameter!$H$7,Parameter!$H$5+Parameter!$H$6+Parameter!$H$7))-(AM780-AI780))/AI780)))</f>
        <v>1</v>
      </c>
      <c r="AO780" s="50" t="n">
        <f aca="false">IF(LEFT(Cockpit!$I$5,1)="A",H780,IF(CE780=1,CF780,IF(LEFT(Cockpit!$I$5,1)="B",AT780,MAX(AT780,H780))))</f>
        <v>224</v>
      </c>
      <c r="AP780" s="50" t="n">
        <f aca="false">IF(BW780=1,0,ROUNDUP(AO780/BV780,0))</f>
        <v>1</v>
      </c>
      <c r="AQ780" s="52" t="n">
        <f aca="false">IF(CL780&gt;0,CL780*MAX(1,AO780/X780),IF(BW780=1,IF(AO780&lt;=0,0,CA780*MAX(1,IF(H780&gt;0,AO780/H780,1))),IF(R780&gt;0,AP780/R780,0))/MAX(0.1,N(Parameter!$M$21)))</f>
        <v>0.0384615384615385</v>
      </c>
      <c r="AR780" s="50" t="n">
        <f aca="false">AQ780*BY780</f>
        <v>5.96153846153846</v>
      </c>
      <c r="AS780" s="50" t="n">
        <f aca="false">AO780*G780</f>
        <v>107.52</v>
      </c>
      <c r="AT780" s="50" t="n">
        <f aca="false">ROUNDUP(MAX(J780/IF(CD780&gt;0,CD780,MAX(0.1,N(Cockpit!$I$6))),CG780)/BV780,0)*BV780</f>
        <v>224</v>
      </c>
      <c r="AU780" s="51" t="n">
        <f aca="false">IF(AR780&gt;0,J780/AR780,-1)</f>
        <v>0</v>
      </c>
      <c r="AV780" s="51" t="n">
        <f aca="false">IF(AND(OR(CC780="L1",CC780="L23",CC780="LIFT"),AR780&gt;0),SUMIFS($AR$7:$AR$1843,$CC$7:$CC$1843,CC780,$AU$7:$AU$1843,"&gt;"&amp;AU780)+SUMIFS($AR$7:$AR$1843,$CC$7:$CC$1843,CC780,$AU$7:$AU$1843,AU780,$BT$7:$BT$1843,"&lt;="&amp;BT780),"")</f>
        <v>40328.2518392624</v>
      </c>
      <c r="AW780" s="58" t="n">
        <f aca="false">IF(AV780="",0,MAX(0,MIN(1,(IF(CC780="L1",Parameter!$H$5,IF(CC780="L23",Parameter!$H$6+Parameter!$H$7,Parameter!$H$5+Parameter!$H$6+Parameter!$H$7))-(AV780-AR780))/AR780)))</f>
        <v>0</v>
      </c>
      <c r="AX780" s="50" t="n">
        <f aca="false">IF(LEFT(Cockpit!$O$5,1)="A",H780,IF(CE780=1,CF780,IF(LEFT(Cockpit!$O$5,1)="B",BC780,MAX(BC780,H780))))</f>
        <v>224</v>
      </c>
      <c r="AY780" s="50" t="n">
        <f aca="false">IF(BW780=1,0,ROUNDUP(AX780/BV780,0))</f>
        <v>1</v>
      </c>
      <c r="AZ780" s="52" t="n">
        <f aca="false">IF(CL780&gt;0,CL780*MAX(1,AX780/X780),IF(BW780=1,IF(AX780&lt;=0,0,CA780*MAX(1,IF(H780&gt;0,AX780/H780,1))),IF(R780&gt;0,AY780/R780,0))/MAX(0.1,N(Parameter!$M$21)))</f>
        <v>0.0384615384615385</v>
      </c>
      <c r="BA780" s="50" t="n">
        <f aca="false">AZ780*BY780</f>
        <v>5.96153846153846</v>
      </c>
      <c r="BB780" s="50" t="n">
        <f aca="false">AX780*G780</f>
        <v>107.52</v>
      </c>
      <c r="BC780" s="50" t="n">
        <f aca="false">ROUNDUP(MAX(J780/IF(CD780&gt;0,CD780,MAX(0.1,N(Cockpit!$O$6))),CG780)/BV780,0)*BV780</f>
        <v>224</v>
      </c>
      <c r="BD780" s="51" t="n">
        <f aca="false">IF(BA780&gt;0,J780/BA780,-1)</f>
        <v>0</v>
      </c>
      <c r="BE780" s="51" t="n">
        <f aca="false">IF(AND(OR(CC780="L1",CC780="L23",CC780="LIFT"),BA780&gt;0),SUMIFS($BA$7:$BA$1843,$CC$7:$CC$1843,CC780,$BD$7:$BD$1843,"&gt;"&amp;BD780)+SUMIFS($BA$7:$BA$1843,$CC$7:$CC$1843,CC780,$BD$7:$BD$1843,BD780,$BT$7:$BT$1843,"&lt;="&amp;BT780),"")</f>
        <v>37003.2638811283</v>
      </c>
      <c r="BF780" s="58" t="n">
        <f aca="false">IF(BE780="",0,MAX(0,MIN(1,(IF(CC780="L1",Parameter!$H$5,IF(CC780="L23",Parameter!$H$6+Parameter!$H$7,Parameter!$H$5+Parameter!$H$6+Parameter!$H$7))-(BE780-BA780))/BA780)))</f>
        <v>0</v>
      </c>
      <c r="BG780" s="48" t="str">
        <f aca="false">IF(AI780&lt;=0,"",IF(CC780="Aussen","Aussenlager",IF(CC780="-","Nicht im Lift",IF(AN780&gt;=1,"Lift",IF(AN780&lt;=0,"Aussenlager","teilweise")))))</f>
        <v>Lift</v>
      </c>
      <c r="BH780" s="48" t="str">
        <f aca="false">IF(AR780&lt;=0,"",IF(CC780="Aussen","Aussenlager",IF(CC780="-","Nicht im Lift",IF(AW780&gt;=1,"Lift",IF(AW780&lt;=0,"Aussenlager","teilweise")))))</f>
        <v>Aussenlager</v>
      </c>
      <c r="BI780" s="48" t="str">
        <f aca="false">IF(BA780&lt;=0,"",IF(CC780="Aussen","Aussenlager",IF(CC780="-","Nicht im Lift",IF(BF780&gt;=1,"Lift",IF(BF780&lt;=0,"Aussenlager","teilweise")))))</f>
        <v>Aussenlager</v>
      </c>
      <c r="BJ780" s="48" t="str">
        <f aca="false">IF(A780="","",IF(BS780=1,"Neu; ","")&amp;IF(AND(BS780=0,BN780&lt;0),"negativer Bestand (Export "&amp;BN780&amp;"); ","")&amp;IF(J780&lt;=0,"Kein Verbrauch; ","")&amp;IF(CL780&gt;0,"Lift "&amp;W780&amp;" lt. Liftbericht (Fach "&amp;X780&amp;" Stk); ",IF(BX780=1,"Gebinde geschätzt ("&amp;T780&amp;"); ",IF(BW780=1,"Lose – Tablare geschätzt; ","")))&amp;IF(H780&gt;AT780,"Überbestand "&amp;ROUND(H780-AT780,0)&amp;" Stk / CHF "&amp;ROUND((H780-AT780)*G780,0)&amp;"; ","")&amp;IF(AND(CE780=1,CF780&lt;CG780),"MAX &lt; MB+LG; ","")&amp;IF(AND(CK780&gt;0,CJ780*10&gt;CK780),"zu hoch für Tablar; ","")&amp;IF(AND(BS780=0,OR(CE780=1,AA780&lt;&gt;"",U780&lt;&gt;"",V780&lt;&gt;"",AB780&lt;&gt;"")),"manuell übersteuert; ","")&amp;IF(AND(BW780=0,R780=0),"Gebinde unbekannt / Stellmass fehlt; ","")&amp;IF(AND(BW780=0,N(V780)&lt;=0,N(Q780)&lt;=0),"Menge pro Gebinde fehlt (Ist = 1 Gebinde); ","")&amp;BR780)</f>
        <v>negativer Bestand (Export -4); Kein Verbrauch; </v>
      </c>
      <c r="BK780" s="48"/>
      <c r="BL780" s="48"/>
      <c r="BM780" s="55"/>
      <c r="BN780" s="50" t="n">
        <v>-4</v>
      </c>
      <c r="BO780" s="50" t="n">
        <v>58</v>
      </c>
      <c r="BP780" s="49" t="n">
        <v>-1.92</v>
      </c>
      <c r="BQ780" s="50" t="n">
        <v>0</v>
      </c>
      <c r="BR780" s="48"/>
      <c r="BS780" s="53" t="n">
        <v>0</v>
      </c>
      <c r="BT780" s="53" t="n">
        <v>780</v>
      </c>
      <c r="BU780" s="48" t="str">
        <f aca="false">IF(U780&lt;&gt;"",UPPER(TRIM(U780)),IF(BX780=1,UPPER(VLOOKUP(T780,Parameter!$I$27:$K$29,2,0)),IF(P780="","LOSE",P780)))</f>
        <v>S51</v>
      </c>
      <c r="BV780" s="50" t="n">
        <f aca="false">IF(BU780="LOSE",1,IF(N(V780)&gt;0,V780,IF(BX780=1,MAX(1,N(VLOOKUP(T780,Parameter!$I$27:$K$29,3,0)),H780,N(N780)),IF(N(Q780)&gt;0,Q780,MAX(1,H780)))))</f>
        <v>224</v>
      </c>
      <c r="BW780" s="53" t="n">
        <f aca="false">IF(BU780="LOSE",1,0)</f>
        <v>0</v>
      </c>
      <c r="BX780" s="53" t="n">
        <f aca="false">IF(AND(U780="",OR(P780="",P780="LOSE"),T780&lt;&gt;"",N(S780)&lt;=0,ISNUMBER(MATCH(T780,Parameter!$I$27:$I$29,0))),1,0)</f>
        <v>0</v>
      </c>
      <c r="BY780" s="53" t="n">
        <f aca="false">IF(CL780&gt;0,INDEX(Parameter!$H$5:$H$7,W780)/INDEX(Parameter!$E$5:$E$7,W780),IF(AND(BW780=0,N(IFERROR(VLOOKUP(BU780,'Gebinde-Kategorie'!$A$5:$N$45,14,0),0))&gt;0),VLOOKUP(BU780,'Gebinde-Kategorie'!$A$5:$N$45,14,0)*10+Parameter!$M$23,Parameter!$M$24))</f>
        <v>155</v>
      </c>
      <c r="BZ780" s="48" t="str">
        <f aca="false">IF(AND(Parameter!$B$19="Ja",E780&lt;&gt;"",ISNUMBER(MATCH(E780,Parameter!$I$35:$I$52,0))),VLOOKUP(E780,Parameter!$I$35:$J$52,2,0),IFERROR(VLOOKUP(D780,Parameter!$A$35:$C$64,2,0),"Nein"))</f>
        <v>2+3</v>
      </c>
      <c r="CA780" s="52" t="n">
        <f aca="false">IF(BW780=0,0,IF(N(S780)&gt;0,S780,IFERROR(VLOOKUP(D780,Parameter!$A$35:$C$64,3,0)+0,0)))</f>
        <v>0</v>
      </c>
      <c r="CB780" s="48" t="n">
        <f aca="false">IF(AA780&lt;&gt;"",AA780,Z780)</f>
        <v>3</v>
      </c>
      <c r="CC780" s="48" t="str">
        <f aca="false">IF(OR(CB780=1,CB780=2,CB780=3),IF(Parameter!$E$27="Ja","LIFT",IF(CB780=1,"L1","L23")),IF(CB780="Aussen","Aussen","-"))</f>
        <v>LIFT</v>
      </c>
      <c r="CD780" s="59" t="n">
        <f aca="false">IF(N(AB780)&gt;0,AB780,0)</f>
        <v>0</v>
      </c>
      <c r="CE780" s="53" t="n">
        <f aca="false">IF(ISNUMBER(AE780),1,0)</f>
        <v>0</v>
      </c>
      <c r="CF780" s="50" t="n">
        <f aca="false">N(AE780)</f>
        <v>0</v>
      </c>
      <c r="CG780" s="50" t="n">
        <f aca="false">N(M780)+N(N780)</f>
        <v>1</v>
      </c>
      <c r="CH780" s="50" t="n">
        <f aca="false">ROUNDUP(H780/BV780,0)</f>
        <v>1</v>
      </c>
      <c r="CI780" s="50" t="n">
        <f aca="false">ROUNDUP(CF780/BV780,0)</f>
        <v>0</v>
      </c>
      <c r="CJ780" s="53" t="n">
        <f aca="false">IF(BW780=1,0,IFERROR(VLOOKUP(BU780,'Gebinde-Kategorie'!$A$5:$N$45,5,0)+0,0))</f>
        <v>11</v>
      </c>
      <c r="CK780" s="53" t="n">
        <f aca="false">IFERROR(IF(OR(CB780=1,CB780=2,CB780=3),N(INDEX(Parameter!$I$5:$I$7,CB780)),0),0)</f>
        <v>0</v>
      </c>
      <c r="CL780" s="52" t="n">
        <f aca="false">IF(AND(Parameter!$B$21="Ja",ISNUMBER(W780),N(X780)&gt;0),IFERROR(N(INDEX(Parameter!$L$5:$L$7,W780))*INDEX(Parameter!$E$5:$E$7,W780)*X780/SUMIFS($X$7:$X$1843,$W$7:$W$1843,W780),0),0)</f>
        <v>0</v>
      </c>
    </row>
    <row r="781" customFormat="false" ht="15" hidden="false" customHeight="false" outlineLevel="0" collapsed="false">
      <c r="A781" s="48" t="s">
        <v>1530</v>
      </c>
      <c r="B781" s="48" t="s">
        <v>1531</v>
      </c>
      <c r="C781" s="48" t="s">
        <v>168</v>
      </c>
      <c r="D781" s="48" t="s">
        <v>357</v>
      </c>
      <c r="E781" s="48"/>
      <c r="F781" s="48" t="s">
        <v>222</v>
      </c>
      <c r="G781" s="49" t="n">
        <v>1.93</v>
      </c>
      <c r="H781" s="50" t="n">
        <f aca="false">MAX(0,IF(AND(Parameter!$B$21="Ja",ISNUMBER(Y781)),Y781,IF(Parameter!$B$20="Jahresanfang 2025 + Export",BO781+BN781,BN781)))</f>
        <v>0</v>
      </c>
      <c r="I781" s="50" t="n">
        <f aca="false">H781*G781</f>
        <v>0</v>
      </c>
      <c r="J781" s="50" t="n">
        <f aca="false">BQ781*Parameter!$B$18</f>
        <v>1</v>
      </c>
      <c r="K781" s="51" t="n">
        <v>0.5</v>
      </c>
      <c r="L781" s="52" t="n">
        <v>2</v>
      </c>
      <c r="M781" s="50" t="n">
        <v>0</v>
      </c>
      <c r="N781" s="50" t="n">
        <v>1</v>
      </c>
      <c r="O781" s="53" t="n">
        <v>0</v>
      </c>
      <c r="P781" s="48" t="s">
        <v>172</v>
      </c>
      <c r="Q781" s="50"/>
      <c r="R781" s="53" t="n">
        <f aca="false">IF(BW781=1,0,IFERROR(VLOOKUP(BU781,'Gebinde-Kategorie'!$A$5:$N$45,13,0)+0,0))</f>
        <v>0</v>
      </c>
      <c r="S781" s="54"/>
      <c r="T781" s="55"/>
      <c r="U781" s="55"/>
      <c r="V781" s="55"/>
      <c r="W781" s="48"/>
      <c r="X781" s="50"/>
      <c r="Y781" s="50"/>
      <c r="Z781" s="48" t="str">
        <f aca="false">IF(A781="","",IF(AND(Parameter!$B$21="Ja",ISNUMBER(W781)),W781,IF(BZ781="2+3",IF(ISNUMBER(SEARCH("grosser Artikel",BR781)),2,IFERROR(VLOOKUP(BU781,Parameter!$F$35:$G$64,2,0),2)),IF(OR(BZ781="Nein",BZ781=""),"-",BZ781))))</f>
        <v>-</v>
      </c>
      <c r="AA781" s="55"/>
      <c r="AB781" s="56"/>
      <c r="AC781" s="50" t="n">
        <f aca="false">AT781</f>
        <v>1</v>
      </c>
      <c r="AD781" s="50" t="n">
        <f aca="false">MAX(AT781,H781)</f>
        <v>1</v>
      </c>
      <c r="AE781" s="57"/>
      <c r="AF781" s="50" t="n">
        <f aca="false">IF(LEFT(Cockpit!$C$5,1)="A",H781,IF(CE781=1,CF781,IF(LEFT(Cockpit!$C$5,1)="B",AK781,MAX(AK781,H781))))</f>
        <v>0</v>
      </c>
      <c r="AG781" s="50" t="n">
        <f aca="false">IF(BW781=1,0,ROUNDUP(AF781/BV781,0))</f>
        <v>0</v>
      </c>
      <c r="AH781" s="52" t="n">
        <f aca="false">IF(CL781&gt;0,CL781*MAX(1,AF781/X781),IF(BW781=1,IF(AF781&lt;=0,0,CA781*MAX(1,IF(H781&gt;0,AF781/H781,1))),IF(R781&gt;0,AG781/R781,0))/MAX(0.1,N(Parameter!$M$21)))</f>
        <v>0</v>
      </c>
      <c r="AI781" s="50" t="n">
        <f aca="false">AH781*BY781</f>
        <v>0</v>
      </c>
      <c r="AJ781" s="50" t="n">
        <f aca="false">AF781*G781</f>
        <v>0</v>
      </c>
      <c r="AK781" s="50" t="n">
        <f aca="false">ROUNDUP(MAX(J781/IF(CD781&gt;0,CD781,MAX(0.1,N(Cockpit!$C$6))),CG781)/BV781,0)*BV781</f>
        <v>1</v>
      </c>
      <c r="AL781" s="51" t="n">
        <f aca="false">IF(AI781&gt;0,J781/AI781,-1)</f>
        <v>-1</v>
      </c>
      <c r="AM781" s="51" t="str">
        <f aca="false">IF(AND(OR(CC781="L1",CC781="L23",CC781="LIFT"),AI781&gt;0),SUMIFS($AI$7:$AI$1843,$CC$7:$CC$1843,CC781,$AL$7:$AL$1843,"&gt;"&amp;AL781)+SUMIFS($AI$7:$AI$1843,$CC$7:$CC$1843,CC781,$AL$7:$AL$1843,AL781,$BT$7:$BT$1843,"&lt;="&amp;BT781),"")</f>
        <v/>
      </c>
      <c r="AN781" s="58" t="n">
        <f aca="false">IF(AM781="",0,MAX(0,MIN(1,(IF(CC781="L1",Parameter!$H$5,IF(CC781="L23",Parameter!$H$6+Parameter!$H$7,Parameter!$H$5+Parameter!$H$6+Parameter!$H$7))-(AM781-AI781))/AI781)))</f>
        <v>0</v>
      </c>
      <c r="AO781" s="50" t="n">
        <f aca="false">IF(LEFT(Cockpit!$I$5,1)="A",H781,IF(CE781=1,CF781,IF(LEFT(Cockpit!$I$5,1)="B",AT781,MAX(AT781,H781))))</f>
        <v>1</v>
      </c>
      <c r="AP781" s="50" t="n">
        <f aca="false">IF(BW781=1,0,ROUNDUP(AO781/BV781,0))</f>
        <v>0</v>
      </c>
      <c r="AQ781" s="52" t="n">
        <f aca="false">IF(CL781&gt;0,CL781*MAX(1,AO781/X781),IF(BW781=1,IF(AO781&lt;=0,0,CA781*MAX(1,IF(H781&gt;0,AO781/H781,1))),IF(R781&gt;0,AP781/R781,0))/MAX(0.1,N(Parameter!$M$21)))</f>
        <v>0.15</v>
      </c>
      <c r="AR781" s="50" t="n">
        <f aca="false">AQ781*BY781</f>
        <v>35.25</v>
      </c>
      <c r="AS781" s="50" t="n">
        <f aca="false">AO781*G781</f>
        <v>1.93</v>
      </c>
      <c r="AT781" s="50" t="n">
        <f aca="false">ROUNDUP(MAX(J781/IF(CD781&gt;0,CD781,MAX(0.1,N(Cockpit!$I$6))),CG781)/BV781,0)*BV781</f>
        <v>1</v>
      </c>
      <c r="AU781" s="51" t="n">
        <f aca="false">IF(AR781&gt;0,J781/AR781,-1)</f>
        <v>0.0283687943262411</v>
      </c>
      <c r="AV781" s="51" t="str">
        <f aca="false">IF(AND(OR(CC781="L1",CC781="L23",CC781="LIFT"),AR781&gt;0),SUMIFS($AR$7:$AR$1843,$CC$7:$CC$1843,CC781,$AU$7:$AU$1843,"&gt;"&amp;AU781)+SUMIFS($AR$7:$AR$1843,$CC$7:$CC$1843,CC781,$AU$7:$AU$1843,AU781,$BT$7:$BT$1843,"&lt;="&amp;BT781),"")</f>
        <v/>
      </c>
      <c r="AW781" s="58" t="n">
        <f aca="false">IF(AV781="",0,MAX(0,MIN(1,(IF(CC781="L1",Parameter!$H$5,IF(CC781="L23",Parameter!$H$6+Parameter!$H$7,Parameter!$H$5+Parameter!$H$6+Parameter!$H$7))-(AV781-AR781))/AR781)))</f>
        <v>0</v>
      </c>
      <c r="AX781" s="50" t="n">
        <f aca="false">IF(LEFT(Cockpit!$O$5,1)="A",H781,IF(CE781=1,CF781,IF(LEFT(Cockpit!$O$5,1)="B",BC781,MAX(BC781,H781))))</f>
        <v>1</v>
      </c>
      <c r="AY781" s="50" t="n">
        <f aca="false">IF(BW781=1,0,ROUNDUP(AX781/BV781,0))</f>
        <v>0</v>
      </c>
      <c r="AZ781" s="52" t="n">
        <f aca="false">IF(CL781&gt;0,CL781*MAX(1,AX781/X781),IF(BW781=1,IF(AX781&lt;=0,0,CA781*MAX(1,IF(H781&gt;0,AX781/H781,1))),IF(R781&gt;0,AY781/R781,0))/MAX(0.1,N(Parameter!$M$21)))</f>
        <v>0.15</v>
      </c>
      <c r="BA781" s="50" t="n">
        <f aca="false">AZ781*BY781</f>
        <v>35.25</v>
      </c>
      <c r="BB781" s="50" t="n">
        <f aca="false">AX781*G781</f>
        <v>1.93</v>
      </c>
      <c r="BC781" s="50" t="n">
        <f aca="false">ROUNDUP(MAX(J781/IF(CD781&gt;0,CD781,MAX(0.1,N(Cockpit!$O$6))),CG781)/BV781,0)*BV781</f>
        <v>1</v>
      </c>
      <c r="BD781" s="51" t="n">
        <f aca="false">IF(BA781&gt;0,J781/BA781,-1)</f>
        <v>0.0283687943262411</v>
      </c>
      <c r="BE781" s="51" t="str">
        <f aca="false">IF(AND(OR(CC781="L1",CC781="L23",CC781="LIFT"),BA781&gt;0),SUMIFS($BA$7:$BA$1843,$CC$7:$CC$1843,CC781,$BD$7:$BD$1843,"&gt;"&amp;BD781)+SUMIFS($BA$7:$BA$1843,$CC$7:$CC$1843,CC781,$BD$7:$BD$1843,BD781,$BT$7:$BT$1843,"&lt;="&amp;BT781),"")</f>
        <v/>
      </c>
      <c r="BF781" s="58" t="n">
        <f aca="false">IF(BE781="",0,MAX(0,MIN(1,(IF(CC781="L1",Parameter!$H$5,IF(CC781="L23",Parameter!$H$6+Parameter!$H$7,Parameter!$H$5+Parameter!$H$6+Parameter!$H$7))-(BE781-BA781))/BA781)))</f>
        <v>0</v>
      </c>
      <c r="BG781" s="48" t="str">
        <f aca="false">IF(AI781&lt;=0,"",IF(CC781="Aussen","Aussenlager",IF(CC781="-","Nicht im Lift",IF(AN781&gt;=1,"Lift",IF(AN781&lt;=0,"Aussenlager","teilweise")))))</f>
        <v/>
      </c>
      <c r="BH781" s="48" t="str">
        <f aca="false">IF(AR781&lt;=0,"",IF(CC781="Aussen","Aussenlager",IF(CC781="-","Nicht im Lift",IF(AW781&gt;=1,"Lift",IF(AW781&lt;=0,"Aussenlager","teilweise")))))</f>
        <v>Nicht im Lift</v>
      </c>
      <c r="BI781" s="48" t="str">
        <f aca="false">IF(BA781&lt;=0,"",IF(CC781="Aussen","Aussenlager",IF(CC781="-","Nicht im Lift",IF(BF781&gt;=1,"Lift",IF(BF781&lt;=0,"Aussenlager","teilweise")))))</f>
        <v>Nicht im Lift</v>
      </c>
      <c r="BJ781" s="48" t="str">
        <f aca="false">IF(A781="","",IF(BS781=1,"Neu; ","")&amp;IF(AND(BS781=0,BN781&lt;0),"negativer Bestand (Export "&amp;BN781&amp;"); ","")&amp;IF(J781&lt;=0,"Kein Verbrauch; ","")&amp;IF(CL781&gt;0,"Lift "&amp;W781&amp;" lt. Liftbericht (Fach "&amp;X781&amp;" Stk); ",IF(BX781=1,"Gebinde geschätzt ("&amp;T781&amp;"); ",IF(BW781=1,"Lose – Tablare geschätzt; ","")))&amp;IF(H781&gt;AT781,"Überbestand "&amp;ROUND(H781-AT781,0)&amp;" Stk / CHF "&amp;ROUND((H781-AT781)*G781,0)&amp;"; ","")&amp;IF(AND(CE781=1,CF781&lt;CG781),"MAX &lt; MB+LG; ","")&amp;IF(AND(CK781&gt;0,CJ781*10&gt;CK781),"zu hoch für Tablar; ","")&amp;IF(AND(BS781=0,OR(CE781=1,AA781&lt;&gt;"",U781&lt;&gt;"",V781&lt;&gt;"",AB781&lt;&gt;"")),"manuell übersteuert; ","")&amp;IF(AND(BW781=0,R781=0),"Gebinde unbekannt / Stellmass fehlt; ","")&amp;IF(AND(BW781=0,N(V781)&lt;=0,N(Q781)&lt;=0),"Menge pro Gebinde fehlt (Ist = 1 Gebinde); ","")&amp;BR781)</f>
        <v>negativer Bestand (Export -1); Lose – Tablare geschätzt; </v>
      </c>
      <c r="BK781" s="48"/>
      <c r="BL781" s="48"/>
      <c r="BM781" s="55"/>
      <c r="BN781" s="50" t="n">
        <v>-1</v>
      </c>
      <c r="BO781" s="50" t="n">
        <v>1</v>
      </c>
      <c r="BP781" s="49" t="n">
        <v>-1.93</v>
      </c>
      <c r="BQ781" s="50" t="n">
        <v>1</v>
      </c>
      <c r="BR781" s="48"/>
      <c r="BS781" s="53" t="n">
        <v>0</v>
      </c>
      <c r="BT781" s="53" t="n">
        <v>781</v>
      </c>
      <c r="BU781" s="48" t="str">
        <f aca="false">IF(U781&lt;&gt;"",UPPER(TRIM(U781)),IF(BX781=1,UPPER(VLOOKUP(T781,Parameter!$I$27:$K$29,2,0)),IF(P781="","LOSE",P781)))</f>
        <v>LOSE</v>
      </c>
      <c r="BV781" s="50" t="n">
        <f aca="false">IF(BU781="LOSE",1,IF(N(V781)&gt;0,V781,IF(BX781=1,MAX(1,N(VLOOKUP(T781,Parameter!$I$27:$K$29,3,0)),H781,N(N781)),IF(N(Q781)&gt;0,Q781,MAX(1,H781)))))</f>
        <v>1</v>
      </c>
      <c r="BW781" s="53" t="n">
        <f aca="false">IF(BU781="LOSE",1,0)</f>
        <v>1</v>
      </c>
      <c r="BX781" s="53" t="n">
        <f aca="false">IF(AND(U781="",OR(P781="",P781="LOSE"),T781&lt;&gt;"",N(S781)&lt;=0,ISNUMBER(MATCH(T781,Parameter!$I$27:$I$29,0))),1,0)</f>
        <v>0</v>
      </c>
      <c r="BY781" s="53" t="n">
        <f aca="false">IF(CL781&gt;0,INDEX(Parameter!$H$5:$H$7,W781)/INDEX(Parameter!$E$5:$E$7,W781),IF(AND(BW781=0,N(IFERROR(VLOOKUP(BU781,'Gebinde-Kategorie'!$A$5:$N$45,14,0),0))&gt;0),VLOOKUP(BU781,'Gebinde-Kategorie'!$A$5:$N$45,14,0)*10+Parameter!$M$23,Parameter!$M$24))</f>
        <v>235</v>
      </c>
      <c r="BZ781" s="48" t="str">
        <f aca="false">IF(AND(Parameter!$B$19="Ja",E781&lt;&gt;"",ISNUMBER(MATCH(E781,Parameter!$I$35:$I$52,0))),VLOOKUP(E781,Parameter!$I$35:$J$52,2,0),IFERROR(VLOOKUP(D781,Parameter!$A$35:$C$64,2,0),"Nein"))</f>
        <v>Nein</v>
      </c>
      <c r="CA781" s="52" t="n">
        <f aca="false">IF(BW781=0,0,IF(N(S781)&gt;0,S781,IFERROR(VLOOKUP(D781,Parameter!$A$35:$C$64,3,0)+0,0)))</f>
        <v>0.15</v>
      </c>
      <c r="CB781" s="48" t="str">
        <f aca="false">IF(AA781&lt;&gt;"",AA781,Z781)</f>
        <v>-</v>
      </c>
      <c r="CC781" s="48" t="str">
        <f aca="false">IF(OR(CB781=1,CB781=2,CB781=3),IF(Parameter!$E$27="Ja","LIFT",IF(CB781=1,"L1","L23")),IF(CB781="Aussen","Aussen","-"))</f>
        <v>-</v>
      </c>
      <c r="CD781" s="59" t="n">
        <f aca="false">IF(N(AB781)&gt;0,AB781,0)</f>
        <v>0</v>
      </c>
      <c r="CE781" s="53" t="n">
        <f aca="false">IF(ISNUMBER(AE781),1,0)</f>
        <v>0</v>
      </c>
      <c r="CF781" s="50" t="n">
        <f aca="false">N(AE781)</f>
        <v>0</v>
      </c>
      <c r="CG781" s="50" t="n">
        <f aca="false">N(M781)+N(N781)</f>
        <v>1</v>
      </c>
      <c r="CH781" s="50" t="n">
        <f aca="false">ROUNDUP(H781/BV781,0)</f>
        <v>0</v>
      </c>
      <c r="CI781" s="50" t="n">
        <f aca="false">ROUNDUP(CF781/BV781,0)</f>
        <v>0</v>
      </c>
      <c r="CJ781" s="53" t="n">
        <f aca="false">IF(BW781=1,0,IFERROR(VLOOKUP(BU781,'Gebinde-Kategorie'!$A$5:$N$45,5,0)+0,0))</f>
        <v>0</v>
      </c>
      <c r="CK781" s="53" t="n">
        <f aca="false">IFERROR(IF(OR(CB781=1,CB781=2,CB781=3),N(INDEX(Parameter!$I$5:$I$7,CB781)),0),0)</f>
        <v>0</v>
      </c>
      <c r="CL781" s="52" t="n">
        <f aca="false">IF(AND(Parameter!$B$21="Ja",ISNUMBER(W781),N(X781)&gt;0),IFERROR(N(INDEX(Parameter!$L$5:$L$7,W781))*INDEX(Parameter!$E$5:$E$7,W781)*X781/SUMIFS($X$7:$X$1843,$W$7:$W$1843,W781),0),0)</f>
        <v>0</v>
      </c>
    </row>
    <row r="782" customFormat="false" ht="15" hidden="false" customHeight="false" outlineLevel="0" collapsed="false">
      <c r="A782" s="48" t="s">
        <v>1532</v>
      </c>
      <c r="B782" s="48" t="s">
        <v>658</v>
      </c>
      <c r="C782" s="48" t="s">
        <v>168</v>
      </c>
      <c r="D782" s="48" t="s">
        <v>188</v>
      </c>
      <c r="E782" s="48" t="s">
        <v>189</v>
      </c>
      <c r="F782" s="48" t="s">
        <v>222</v>
      </c>
      <c r="G782" s="49" t="n">
        <v>0.13</v>
      </c>
      <c r="H782" s="50" t="n">
        <f aca="false">MAX(0,IF(AND(Parameter!$B$21="Ja",ISNUMBER(Y782)),Y782,IF(Parameter!$B$20="Jahresanfang 2025 + Export",BO782+BN782,BN782)))</f>
        <v>1002</v>
      </c>
      <c r="I782" s="50" t="n">
        <f aca="false">H782*G782</f>
        <v>130.26</v>
      </c>
      <c r="J782" s="50" t="n">
        <f aca="false">BQ782*Parameter!$B$18</f>
        <v>1196</v>
      </c>
      <c r="K782" s="51" t="n">
        <v>912</v>
      </c>
      <c r="L782" s="52" t="n">
        <v>1.31140350877193</v>
      </c>
      <c r="M782" s="50" t="n">
        <v>70</v>
      </c>
      <c r="N782" s="50" t="n">
        <v>1300</v>
      </c>
      <c r="O782" s="53" t="n">
        <v>21</v>
      </c>
      <c r="P782" s="48" t="s">
        <v>297</v>
      </c>
      <c r="Q782" s="50" t="n">
        <v>469</v>
      </c>
      <c r="R782" s="53" t="n">
        <f aca="false">IF(BW782=1,0,IFERROR(VLOOKUP(BU782,'Gebinde-Kategorie'!$A$5:$N$45,13,0)+0,0))</f>
        <v>12</v>
      </c>
      <c r="S782" s="54"/>
      <c r="T782" s="55"/>
      <c r="U782" s="55"/>
      <c r="V782" s="55"/>
      <c r="W782" s="48"/>
      <c r="X782" s="50"/>
      <c r="Y782" s="50"/>
      <c r="Z782" s="48" t="n">
        <f aca="false">IF(A782="","",IF(AND(Parameter!$B$21="Ja",ISNUMBER(W782)),W782,IF(BZ782="2+3",IF(ISNUMBER(SEARCH("grosser Artikel",BR782)),2,IFERROR(VLOOKUP(BU782,Parameter!$F$35:$G$64,2,0),2)),IF(OR(BZ782="Nein",BZ782=""),"-",BZ782))))</f>
        <v>2</v>
      </c>
      <c r="AA782" s="55"/>
      <c r="AB782" s="56"/>
      <c r="AC782" s="50" t="n">
        <f aca="false">AT782</f>
        <v>1407</v>
      </c>
      <c r="AD782" s="50" t="n">
        <f aca="false">MAX(AT782,H782)</f>
        <v>1407</v>
      </c>
      <c r="AE782" s="57"/>
      <c r="AF782" s="50" t="n">
        <f aca="false">IF(LEFT(Cockpit!$C$5,1)="A",H782,IF(CE782=1,CF782,IF(LEFT(Cockpit!$C$5,1)="B",AK782,MAX(AK782,H782))))</f>
        <v>1002</v>
      </c>
      <c r="AG782" s="50" t="n">
        <f aca="false">IF(BW782=1,0,ROUNDUP(AF782/BV782,0))</f>
        <v>3</v>
      </c>
      <c r="AH782" s="52" t="n">
        <f aca="false">IF(CL782&gt;0,CL782*MAX(1,AF782/X782),IF(BW782=1,IF(AF782&lt;=0,0,CA782*MAX(1,IF(H782&gt;0,AF782/H782,1))),IF(R782&gt;0,AG782/R782,0))/MAX(0.1,N(Parameter!$M$21)))</f>
        <v>0.25</v>
      </c>
      <c r="AI782" s="50" t="n">
        <f aca="false">AH782*BY782</f>
        <v>61.25</v>
      </c>
      <c r="AJ782" s="50" t="n">
        <f aca="false">AF782*G782</f>
        <v>130.26</v>
      </c>
      <c r="AK782" s="50" t="n">
        <f aca="false">ROUNDUP(MAX(J782/IF(CD782&gt;0,CD782,MAX(0.1,N(Cockpit!$C$6))),CG782)/BV782,0)*BV782</f>
        <v>1407</v>
      </c>
      <c r="AL782" s="51" t="n">
        <f aca="false">IF(AI782&gt;0,J782/AI782,-1)</f>
        <v>19.5265306122449</v>
      </c>
      <c r="AM782" s="51" t="n">
        <f aca="false">IF(AND(OR(CC782="L1",CC782="L23",CC782="LIFT"),AI782&gt;0),SUMIFS($AI$7:$AI$1843,$CC$7:$CC$1843,CC782,$AL$7:$AL$1843,"&gt;"&amp;AL782)+SUMIFS($AI$7:$AI$1843,$CC$7:$CC$1843,CC782,$AL$7:$AL$1843,AL782,$BT$7:$BT$1843,"&lt;="&amp;BT782),"")</f>
        <v>1719.08974358974</v>
      </c>
      <c r="AN782" s="58" t="n">
        <f aca="false">IF(AM782="",0,MAX(0,MIN(1,(IF(CC782="L1",Parameter!$H$5,IF(CC782="L23",Parameter!$H$6+Parameter!$H$7,Parameter!$H$5+Parameter!$H$6+Parameter!$H$7))-(AM782-AI782))/AI782)))</f>
        <v>1</v>
      </c>
      <c r="AO782" s="50" t="n">
        <f aca="false">IF(LEFT(Cockpit!$I$5,1)="A",H782,IF(CE782=1,CF782,IF(LEFT(Cockpit!$I$5,1)="B",AT782,MAX(AT782,H782))))</f>
        <v>1407</v>
      </c>
      <c r="AP782" s="50" t="n">
        <f aca="false">IF(BW782=1,0,ROUNDUP(AO782/BV782,0))</f>
        <v>3</v>
      </c>
      <c r="AQ782" s="52" t="n">
        <f aca="false">IF(CL782&gt;0,CL782*MAX(1,AO782/X782),IF(BW782=1,IF(AO782&lt;=0,0,CA782*MAX(1,IF(H782&gt;0,AO782/H782,1))),IF(R782&gt;0,AP782/R782,0))/MAX(0.1,N(Parameter!$M$21)))</f>
        <v>0.25</v>
      </c>
      <c r="AR782" s="50" t="n">
        <f aca="false">AQ782*BY782</f>
        <v>61.25</v>
      </c>
      <c r="AS782" s="50" t="n">
        <f aca="false">AO782*G782</f>
        <v>182.91</v>
      </c>
      <c r="AT782" s="50" t="n">
        <f aca="false">ROUNDUP(MAX(J782/IF(CD782&gt;0,CD782,MAX(0.1,N(Cockpit!$I$6))),CG782)/BV782,0)*BV782</f>
        <v>1407</v>
      </c>
      <c r="AU782" s="51" t="n">
        <f aca="false">IF(AR782&gt;0,J782/AR782,-1)</f>
        <v>19.5265306122449</v>
      </c>
      <c r="AV782" s="51" t="n">
        <f aca="false">IF(AND(OR(CC782="L1",CC782="L23",CC782="LIFT"),AR782&gt;0),SUMIFS($AR$7:$AR$1843,$CC$7:$CC$1843,CC782,$AU$7:$AU$1843,"&gt;"&amp;AU782)+SUMIFS($AR$7:$AR$1843,$CC$7:$CC$1843,CC782,$AU$7:$AU$1843,AU782,$BT$7:$BT$1843,"&lt;="&amp;BT782),"")</f>
        <v>2345.15064102564</v>
      </c>
      <c r="AW782" s="58" t="n">
        <f aca="false">IF(AV782="",0,MAX(0,MIN(1,(IF(CC782="L1",Parameter!$H$5,IF(CC782="L23",Parameter!$H$6+Parameter!$H$7,Parameter!$H$5+Parameter!$H$6+Parameter!$H$7))-(AV782-AR782))/AR782)))</f>
        <v>1</v>
      </c>
      <c r="AX782" s="50" t="n">
        <f aca="false">IF(LEFT(Cockpit!$O$5,1)="A",H782,IF(CE782=1,CF782,IF(LEFT(Cockpit!$O$5,1)="B",BC782,MAX(BC782,H782))))</f>
        <v>1407</v>
      </c>
      <c r="AY782" s="50" t="n">
        <f aca="false">IF(BW782=1,0,ROUNDUP(AX782/BV782,0))</f>
        <v>3</v>
      </c>
      <c r="AZ782" s="52" t="n">
        <f aca="false">IF(CL782&gt;0,CL782*MAX(1,AX782/X782),IF(BW782=1,IF(AX782&lt;=0,0,CA782*MAX(1,IF(H782&gt;0,AX782/H782,1))),IF(R782&gt;0,AY782/R782,0))/MAX(0.1,N(Parameter!$M$21)))</f>
        <v>0.25</v>
      </c>
      <c r="BA782" s="50" t="n">
        <f aca="false">AZ782*BY782</f>
        <v>61.25</v>
      </c>
      <c r="BB782" s="50" t="n">
        <f aca="false">AX782*G782</f>
        <v>182.91</v>
      </c>
      <c r="BC782" s="50" t="n">
        <f aca="false">ROUNDUP(MAX(J782/IF(CD782&gt;0,CD782,MAX(0.1,N(Cockpit!$O$6))),CG782)/BV782,0)*BV782</f>
        <v>1407</v>
      </c>
      <c r="BD782" s="51" t="n">
        <f aca="false">IF(BA782&gt;0,J782/BA782,-1)</f>
        <v>19.5265306122449</v>
      </c>
      <c r="BE782" s="51" t="n">
        <f aca="false">IF(AND(OR(CC782="L1",CC782="L23",CC782="LIFT"),BA782&gt;0),SUMIFS($BA$7:$BA$1843,$CC$7:$CC$1843,CC782,$BD$7:$BD$1843,"&gt;"&amp;BD782)+SUMIFS($BA$7:$BA$1843,$CC$7:$CC$1843,CC782,$BD$7:$BD$1843,BD782,$BT$7:$BT$1843,"&lt;="&amp;BT782),"")</f>
        <v>2452.08974358974</v>
      </c>
      <c r="BF782" s="58" t="n">
        <f aca="false">IF(BE782="",0,MAX(0,MIN(1,(IF(CC782="L1",Parameter!$H$5,IF(CC782="L23",Parameter!$H$6+Parameter!$H$7,Parameter!$H$5+Parameter!$H$6+Parameter!$H$7))-(BE782-BA782))/BA782)))</f>
        <v>1</v>
      </c>
      <c r="BG782" s="48" t="str">
        <f aca="false">IF(AI782&lt;=0,"",IF(CC782="Aussen","Aussenlager",IF(CC782="-","Nicht im Lift",IF(AN782&gt;=1,"Lift",IF(AN782&lt;=0,"Aussenlager","teilweise")))))</f>
        <v>Lift</v>
      </c>
      <c r="BH782" s="48" t="str">
        <f aca="false">IF(AR782&lt;=0,"",IF(CC782="Aussen","Aussenlager",IF(CC782="-","Nicht im Lift",IF(AW782&gt;=1,"Lift",IF(AW782&lt;=0,"Aussenlager","teilweise")))))</f>
        <v>Lift</v>
      </c>
      <c r="BI782" s="48" t="str">
        <f aca="false">IF(BA782&lt;=0,"",IF(CC782="Aussen","Aussenlager",IF(CC782="-","Nicht im Lift",IF(BF782&gt;=1,"Lift",IF(BF782&lt;=0,"Aussenlager","teilweise")))))</f>
        <v>Lift</v>
      </c>
      <c r="BJ782" s="48" t="str">
        <f aca="false">IF(A782="","",IF(BS782=1,"Neu; ","")&amp;IF(AND(BS782=0,BN782&lt;0),"negativer Bestand (Export "&amp;BN782&amp;"); ","")&amp;IF(J782&lt;=0,"Kein Verbrauch; ","")&amp;IF(CL782&gt;0,"Lift "&amp;W782&amp;" lt. Liftbericht (Fach "&amp;X782&amp;" Stk); ",IF(BX782=1,"Gebinde geschätzt ("&amp;T782&amp;"); ",IF(BW782=1,"Lose – Tablare geschätzt; ","")))&amp;IF(H782&gt;AT782,"Überbestand "&amp;ROUND(H782-AT782,0)&amp;" Stk / CHF "&amp;ROUND((H782-AT782)*G782,0)&amp;"; ","")&amp;IF(AND(CE782=1,CF782&lt;CG782),"MAX &lt; MB+LG; ","")&amp;IF(AND(CK782&gt;0,CJ782*10&gt;CK782),"zu hoch für Tablar; ","")&amp;IF(AND(BS782=0,OR(CE782=1,AA782&lt;&gt;"",U782&lt;&gt;"",V782&lt;&gt;"",AB782&lt;&gt;"")),"manuell übersteuert; ","")&amp;IF(AND(BW782=0,R782=0),"Gebinde unbekannt / Stellmass fehlt; ","")&amp;IF(AND(BW782=0,N(V782)&lt;=0,N(Q782)&lt;=0),"Menge pro Gebinde fehlt (Ist = 1 Gebinde); ","")&amp;BR782)</f>
        <v>negativer Bestand (Export -16); </v>
      </c>
      <c r="BK782" s="48"/>
      <c r="BL782" s="48"/>
      <c r="BM782" s="55"/>
      <c r="BN782" s="50" t="n">
        <v>-16</v>
      </c>
      <c r="BO782" s="50" t="n">
        <v>1018</v>
      </c>
      <c r="BP782" s="49" t="n">
        <v>-2.07999999999998</v>
      </c>
      <c r="BQ782" s="50" t="n">
        <v>1196</v>
      </c>
      <c r="BR782" s="48"/>
      <c r="BS782" s="53" t="n">
        <v>0</v>
      </c>
      <c r="BT782" s="53" t="n">
        <v>782</v>
      </c>
      <c r="BU782" s="48" t="str">
        <f aca="false">IF(U782&lt;&gt;"",UPPER(TRIM(U782)),IF(BX782=1,UPPER(VLOOKUP(T782,Parameter!$I$27:$K$29,2,0)),IF(P782="","LOSE",P782)))</f>
        <v>S62</v>
      </c>
      <c r="BV782" s="50" t="n">
        <f aca="false">IF(BU782="LOSE",1,IF(N(V782)&gt;0,V782,IF(BX782=1,MAX(1,N(VLOOKUP(T782,Parameter!$I$27:$K$29,3,0)),H782,N(N782)),IF(N(Q782)&gt;0,Q782,MAX(1,H782)))))</f>
        <v>469</v>
      </c>
      <c r="BW782" s="53" t="n">
        <f aca="false">IF(BU782="LOSE",1,0)</f>
        <v>0</v>
      </c>
      <c r="BX782" s="53" t="n">
        <f aca="false">IF(AND(U782="",OR(P782="",P782="LOSE"),T782&lt;&gt;"",N(S782)&lt;=0,ISNUMBER(MATCH(T782,Parameter!$I$27:$I$29,0))),1,0)</f>
        <v>0</v>
      </c>
      <c r="BY782" s="53" t="n">
        <f aca="false">IF(CL782&gt;0,INDEX(Parameter!$H$5:$H$7,W782)/INDEX(Parameter!$E$5:$E$7,W782),IF(AND(BW782=0,N(IFERROR(VLOOKUP(BU782,'Gebinde-Kategorie'!$A$5:$N$45,14,0),0))&gt;0),VLOOKUP(BU782,'Gebinde-Kategorie'!$A$5:$N$45,14,0)*10+Parameter!$M$23,Parameter!$M$24))</f>
        <v>245</v>
      </c>
      <c r="BZ782" s="48" t="str">
        <f aca="false">IF(AND(Parameter!$B$19="Ja",E782&lt;&gt;"",ISNUMBER(MATCH(E782,Parameter!$I$35:$I$52,0))),VLOOKUP(E782,Parameter!$I$35:$J$52,2,0),IFERROR(VLOOKUP(D782,Parameter!$A$35:$C$64,2,0),"Nein"))</f>
        <v>2+3</v>
      </c>
      <c r="CA782" s="52" t="n">
        <f aca="false">IF(BW782=0,0,IF(N(S782)&gt;0,S782,IFERROR(VLOOKUP(D782,Parameter!$A$35:$C$64,3,0)+0,0)))</f>
        <v>0</v>
      </c>
      <c r="CB782" s="48" t="n">
        <f aca="false">IF(AA782&lt;&gt;"",AA782,Z782)</f>
        <v>2</v>
      </c>
      <c r="CC782" s="48" t="str">
        <f aca="false">IF(OR(CB782=1,CB782=2,CB782=3),IF(Parameter!$E$27="Ja","LIFT",IF(CB782=1,"L1","L23")),IF(CB782="Aussen","Aussen","-"))</f>
        <v>LIFT</v>
      </c>
      <c r="CD782" s="59" t="n">
        <f aca="false">IF(N(AB782)&gt;0,AB782,0)</f>
        <v>0</v>
      </c>
      <c r="CE782" s="53" t="n">
        <f aca="false">IF(ISNUMBER(AE782),1,0)</f>
        <v>0</v>
      </c>
      <c r="CF782" s="50" t="n">
        <f aca="false">N(AE782)</f>
        <v>0</v>
      </c>
      <c r="CG782" s="50" t="n">
        <f aca="false">N(M782)+N(N782)</f>
        <v>1370</v>
      </c>
      <c r="CH782" s="50" t="n">
        <f aca="false">ROUNDUP(H782/BV782,0)</f>
        <v>3</v>
      </c>
      <c r="CI782" s="50" t="n">
        <f aca="false">ROUNDUP(CF782/BV782,0)</f>
        <v>0</v>
      </c>
      <c r="CJ782" s="53" t="n">
        <f aca="false">IF(BW782=1,0,IFERROR(VLOOKUP(BU782,'Gebinde-Kategorie'!$A$5:$N$45,5,0)+0,0))</f>
        <v>21</v>
      </c>
      <c r="CK782" s="53" t="n">
        <f aca="false">IFERROR(IF(OR(CB782=1,CB782=2,CB782=3),N(INDEX(Parameter!$I$5:$I$7,CB782)),0),0)</f>
        <v>0</v>
      </c>
      <c r="CL782" s="52" t="n">
        <f aca="false">IF(AND(Parameter!$B$21="Ja",ISNUMBER(W782),N(X782)&gt;0),IFERROR(N(INDEX(Parameter!$L$5:$L$7,W782))*INDEX(Parameter!$E$5:$E$7,W782)*X782/SUMIFS($X$7:$X$1843,$W$7:$W$1843,W782),0),0)</f>
        <v>0</v>
      </c>
    </row>
    <row r="783" customFormat="false" ht="15" hidden="false" customHeight="false" outlineLevel="0" collapsed="false">
      <c r="A783" s="48" t="s">
        <v>1533</v>
      </c>
      <c r="B783" s="48" t="s">
        <v>911</v>
      </c>
      <c r="C783" s="48" t="s">
        <v>171</v>
      </c>
      <c r="D783" s="48" t="s">
        <v>188</v>
      </c>
      <c r="E783" s="48" t="s">
        <v>189</v>
      </c>
      <c r="F783" s="48" t="s">
        <v>222</v>
      </c>
      <c r="G783" s="49" t="n">
        <v>0.52</v>
      </c>
      <c r="H783" s="50" t="n">
        <f aca="false">MAX(0,IF(AND(Parameter!$B$21="Ja",ISNUMBER(Y783)),Y783,IF(Parameter!$B$20="Jahresanfang 2025 + Export",BO783+BN783,BN783)))</f>
        <v>45</v>
      </c>
      <c r="I783" s="50" t="n">
        <f aca="false">H783*G783</f>
        <v>23.4</v>
      </c>
      <c r="J783" s="50" t="n">
        <f aca="false">BQ783*Parameter!$B$18</f>
        <v>0</v>
      </c>
      <c r="K783" s="51" t="n">
        <v>47</v>
      </c>
      <c r="L783" s="52" t="n">
        <v>0</v>
      </c>
      <c r="M783" s="50" t="n">
        <v>0</v>
      </c>
      <c r="N783" s="50" t="n">
        <v>1</v>
      </c>
      <c r="O783" s="53" t="n">
        <v>14</v>
      </c>
      <c r="P783" s="48" t="s">
        <v>332</v>
      </c>
      <c r="Q783" s="50" t="n">
        <v>96</v>
      </c>
      <c r="R783" s="53" t="n">
        <f aca="false">IF(BW783=1,0,IFERROR(VLOOKUP(BU783,'Gebinde-Kategorie'!$A$5:$N$45,13,0)+0,0))</f>
        <v>52</v>
      </c>
      <c r="S783" s="54"/>
      <c r="T783" s="55"/>
      <c r="U783" s="55"/>
      <c r="V783" s="55"/>
      <c r="W783" s="48"/>
      <c r="X783" s="50"/>
      <c r="Y783" s="50"/>
      <c r="Z783" s="48" t="n">
        <f aca="false">IF(A783="","",IF(AND(Parameter!$B$21="Ja",ISNUMBER(W783)),W783,IF(BZ783="2+3",IF(ISNUMBER(SEARCH("grosser Artikel",BR783)),2,IFERROR(VLOOKUP(BU783,Parameter!$F$35:$G$64,2,0),2)),IF(OR(BZ783="Nein",BZ783=""),"-",BZ783))))</f>
        <v>3</v>
      </c>
      <c r="AA783" s="55"/>
      <c r="AB783" s="56"/>
      <c r="AC783" s="50" t="n">
        <f aca="false">AT783</f>
        <v>96</v>
      </c>
      <c r="AD783" s="50" t="n">
        <f aca="false">MAX(AT783,H783)</f>
        <v>96</v>
      </c>
      <c r="AE783" s="57"/>
      <c r="AF783" s="50" t="n">
        <f aca="false">IF(LEFT(Cockpit!$C$5,1)="A",H783,IF(CE783=1,CF783,IF(LEFT(Cockpit!$C$5,1)="B",AK783,MAX(AK783,H783))))</f>
        <v>45</v>
      </c>
      <c r="AG783" s="50" t="n">
        <f aca="false">IF(BW783=1,0,ROUNDUP(AF783/BV783,0))</f>
        <v>1</v>
      </c>
      <c r="AH783" s="52" t="n">
        <f aca="false">IF(CL783&gt;0,CL783*MAX(1,AF783/X783),IF(BW783=1,IF(AF783&lt;=0,0,CA783*MAX(1,IF(H783&gt;0,AF783/H783,1))),IF(R783&gt;0,AG783/R783,0))/MAX(0.1,N(Parameter!$M$21)))</f>
        <v>0.0192307692307692</v>
      </c>
      <c r="AI783" s="50" t="n">
        <f aca="false">AH783*BY783</f>
        <v>2.98076923076923</v>
      </c>
      <c r="AJ783" s="50" t="n">
        <f aca="false">AF783*G783</f>
        <v>23.4</v>
      </c>
      <c r="AK783" s="50" t="n">
        <f aca="false">ROUNDUP(MAX(J783/IF(CD783&gt;0,CD783,MAX(0.1,N(Cockpit!$C$6))),CG783)/BV783,0)*BV783</f>
        <v>96</v>
      </c>
      <c r="AL783" s="51" t="n">
        <f aca="false">IF(AI783&gt;0,J783/AI783,-1)</f>
        <v>0</v>
      </c>
      <c r="AM783" s="51" t="n">
        <f aca="false">IF(AND(OR(CC783="L1",CC783="L23",CC783="LIFT"),AI783&gt;0),SUMIFS($AI$7:$AI$1843,$CC$7:$CC$1843,CC783,$AL$7:$AL$1843,"&gt;"&amp;AL783)+SUMIFS($AI$7:$AI$1843,$CC$7:$CC$1843,CC783,$AL$7:$AL$1843,AL783,$BT$7:$BT$1843,"&lt;="&amp;BT783),"")</f>
        <v>28760.1773659486</v>
      </c>
      <c r="AN783" s="58" t="n">
        <f aca="false">IF(AM783="",0,MAX(0,MIN(1,(IF(CC783="L1",Parameter!$H$5,IF(CC783="L23",Parameter!$H$6+Parameter!$H$7,Parameter!$H$5+Parameter!$H$6+Parameter!$H$7))-(AM783-AI783))/AI783)))</f>
        <v>1</v>
      </c>
      <c r="AO783" s="50" t="n">
        <f aca="false">IF(LEFT(Cockpit!$I$5,1)="A",H783,IF(CE783=1,CF783,IF(LEFT(Cockpit!$I$5,1)="B",AT783,MAX(AT783,H783))))</f>
        <v>96</v>
      </c>
      <c r="AP783" s="50" t="n">
        <f aca="false">IF(BW783=1,0,ROUNDUP(AO783/BV783,0))</f>
        <v>1</v>
      </c>
      <c r="AQ783" s="52" t="n">
        <f aca="false">IF(CL783&gt;0,CL783*MAX(1,AO783/X783),IF(BW783=1,IF(AO783&lt;=0,0,CA783*MAX(1,IF(H783&gt;0,AO783/H783,1))),IF(R783&gt;0,AP783/R783,0))/MAX(0.1,N(Parameter!$M$21)))</f>
        <v>0.0192307692307692</v>
      </c>
      <c r="AR783" s="50" t="n">
        <f aca="false">AQ783*BY783</f>
        <v>2.98076923076923</v>
      </c>
      <c r="AS783" s="50" t="n">
        <f aca="false">AO783*G783</f>
        <v>49.92</v>
      </c>
      <c r="AT783" s="50" t="n">
        <f aca="false">ROUNDUP(MAX(J783/IF(CD783&gt;0,CD783,MAX(0.1,N(Cockpit!$I$6))),CG783)/BV783,0)*BV783</f>
        <v>96</v>
      </c>
      <c r="AU783" s="51" t="n">
        <f aca="false">IF(AR783&gt;0,J783/AR783,-1)</f>
        <v>0</v>
      </c>
      <c r="AV783" s="51" t="n">
        <f aca="false">IF(AND(OR(CC783="L1",CC783="L23",CC783="LIFT"),AR783&gt;0),SUMIFS($AR$7:$AR$1843,$CC$7:$CC$1843,CC783,$AU$7:$AU$1843,"&gt;"&amp;AU783)+SUMIFS($AR$7:$AR$1843,$CC$7:$CC$1843,CC783,$AU$7:$AU$1843,AU783,$BT$7:$BT$1843,"&lt;="&amp;BT783),"")</f>
        <v>40331.2326084932</v>
      </c>
      <c r="AW783" s="58" t="n">
        <f aca="false">IF(AV783="",0,MAX(0,MIN(1,(IF(CC783="L1",Parameter!$H$5,IF(CC783="L23",Parameter!$H$6+Parameter!$H$7,Parameter!$H$5+Parameter!$H$6+Parameter!$H$7))-(AV783-AR783))/AR783)))</f>
        <v>0</v>
      </c>
      <c r="AX783" s="50" t="n">
        <f aca="false">IF(LEFT(Cockpit!$O$5,1)="A",H783,IF(CE783=1,CF783,IF(LEFT(Cockpit!$O$5,1)="B",BC783,MAX(BC783,H783))))</f>
        <v>96</v>
      </c>
      <c r="AY783" s="50" t="n">
        <f aca="false">IF(BW783=1,0,ROUNDUP(AX783/BV783,0))</f>
        <v>1</v>
      </c>
      <c r="AZ783" s="52" t="n">
        <f aca="false">IF(CL783&gt;0,CL783*MAX(1,AX783/X783),IF(BW783=1,IF(AX783&lt;=0,0,CA783*MAX(1,IF(H783&gt;0,AX783/H783,1))),IF(R783&gt;0,AY783/R783,0))/MAX(0.1,N(Parameter!$M$21)))</f>
        <v>0.0192307692307692</v>
      </c>
      <c r="BA783" s="50" t="n">
        <f aca="false">AZ783*BY783</f>
        <v>2.98076923076923</v>
      </c>
      <c r="BB783" s="50" t="n">
        <f aca="false">AX783*G783</f>
        <v>49.92</v>
      </c>
      <c r="BC783" s="50" t="n">
        <f aca="false">ROUNDUP(MAX(J783/IF(CD783&gt;0,CD783,MAX(0.1,N(Cockpit!$O$6))),CG783)/BV783,0)*BV783</f>
        <v>96</v>
      </c>
      <c r="BD783" s="51" t="n">
        <f aca="false">IF(BA783&gt;0,J783/BA783,-1)</f>
        <v>0</v>
      </c>
      <c r="BE783" s="51" t="n">
        <f aca="false">IF(AND(OR(CC783="L1",CC783="L23",CC783="LIFT"),BA783&gt;0),SUMIFS($BA$7:$BA$1843,$CC$7:$CC$1843,CC783,$BD$7:$BD$1843,"&gt;"&amp;BD783)+SUMIFS($BA$7:$BA$1843,$CC$7:$CC$1843,CC783,$BD$7:$BD$1843,BD783,$BT$7:$BT$1843,"&lt;="&amp;BT783),"")</f>
        <v>37006.2446503591</v>
      </c>
      <c r="BF783" s="58" t="n">
        <f aca="false">IF(BE783="",0,MAX(0,MIN(1,(IF(CC783="L1",Parameter!$H$5,IF(CC783="L23",Parameter!$H$6+Parameter!$H$7,Parameter!$H$5+Parameter!$H$6+Parameter!$H$7))-(BE783-BA783))/BA783)))</f>
        <v>0</v>
      </c>
      <c r="BG783" s="48" t="str">
        <f aca="false">IF(AI783&lt;=0,"",IF(CC783="Aussen","Aussenlager",IF(CC783="-","Nicht im Lift",IF(AN783&gt;=1,"Lift",IF(AN783&lt;=0,"Aussenlager","teilweise")))))</f>
        <v>Lift</v>
      </c>
      <c r="BH783" s="48" t="str">
        <f aca="false">IF(AR783&lt;=0,"",IF(CC783="Aussen","Aussenlager",IF(CC783="-","Nicht im Lift",IF(AW783&gt;=1,"Lift",IF(AW783&lt;=0,"Aussenlager","teilweise")))))</f>
        <v>Aussenlager</v>
      </c>
      <c r="BI783" s="48" t="str">
        <f aca="false">IF(BA783&lt;=0,"",IF(CC783="Aussen","Aussenlager",IF(CC783="-","Nicht im Lift",IF(BF783&gt;=1,"Lift",IF(BF783&lt;=0,"Aussenlager","teilweise")))))</f>
        <v>Aussenlager</v>
      </c>
      <c r="BJ783" s="48" t="str">
        <f aca="false">IF(A783="","",IF(BS783=1,"Neu; ","")&amp;IF(AND(BS783=0,BN783&lt;0),"negativer Bestand (Export "&amp;BN783&amp;"); ","")&amp;IF(J783&lt;=0,"Kein Verbrauch; ","")&amp;IF(CL783&gt;0,"Lift "&amp;W783&amp;" lt. Liftbericht (Fach "&amp;X783&amp;" Stk); ",IF(BX783=1,"Gebinde geschätzt ("&amp;T783&amp;"); ",IF(BW783=1,"Lose – Tablare geschätzt; ","")))&amp;IF(H783&gt;AT783,"Überbestand "&amp;ROUND(H783-AT783,0)&amp;" Stk / CHF "&amp;ROUND((H783-AT783)*G783,0)&amp;"; ","")&amp;IF(AND(CE783=1,CF783&lt;CG783),"MAX &lt; MB+LG; ","")&amp;IF(AND(CK783&gt;0,CJ783*10&gt;CK783),"zu hoch für Tablar; ","")&amp;IF(AND(BS783=0,OR(CE783=1,AA783&lt;&gt;"",U783&lt;&gt;"",V783&lt;&gt;"",AB783&lt;&gt;"")),"manuell übersteuert; ","")&amp;IF(AND(BW783=0,R783=0),"Gebinde unbekannt / Stellmass fehlt; ","")&amp;IF(AND(BW783=0,N(V783)&lt;=0,N(Q783)&lt;=0),"Menge pro Gebinde fehlt (Ist = 1 Gebinde); ","")&amp;BR783)</f>
        <v>negativer Bestand (Export -4); Kein Verbrauch; </v>
      </c>
      <c r="BK783" s="48"/>
      <c r="BL783" s="48"/>
      <c r="BM783" s="55"/>
      <c r="BN783" s="50" t="n">
        <v>-4</v>
      </c>
      <c r="BO783" s="50" t="n">
        <v>49</v>
      </c>
      <c r="BP783" s="49" t="n">
        <v>-2.08</v>
      </c>
      <c r="BQ783" s="50" t="n">
        <v>0</v>
      </c>
      <c r="BR783" s="48"/>
      <c r="BS783" s="53" t="n">
        <v>0</v>
      </c>
      <c r="BT783" s="53" t="n">
        <v>783</v>
      </c>
      <c r="BU783" s="48" t="str">
        <f aca="false">IF(U783&lt;&gt;"",UPPER(TRIM(U783)),IF(BX783=1,UPPER(VLOOKUP(T783,Parameter!$I$27:$K$29,2,0)),IF(P783="","LOSE",P783)))</f>
        <v>S41</v>
      </c>
      <c r="BV783" s="50" t="n">
        <f aca="false">IF(BU783="LOSE",1,IF(N(V783)&gt;0,V783,IF(BX783=1,MAX(1,N(VLOOKUP(T783,Parameter!$I$27:$K$29,3,0)),H783,N(N783)),IF(N(Q783)&gt;0,Q783,MAX(1,H783)))))</f>
        <v>96</v>
      </c>
      <c r="BW783" s="53" t="n">
        <f aca="false">IF(BU783="LOSE",1,0)</f>
        <v>0</v>
      </c>
      <c r="BX783" s="53" t="n">
        <f aca="false">IF(AND(U783="",OR(P783="",P783="LOSE"),T783&lt;&gt;"",N(S783)&lt;=0,ISNUMBER(MATCH(T783,Parameter!$I$27:$I$29,0))),1,0)</f>
        <v>0</v>
      </c>
      <c r="BY783" s="53" t="n">
        <f aca="false">IF(CL783&gt;0,INDEX(Parameter!$H$5:$H$7,W783)/INDEX(Parameter!$E$5:$E$7,W783),IF(AND(BW783=0,N(IFERROR(VLOOKUP(BU783,'Gebinde-Kategorie'!$A$5:$N$45,14,0),0))&gt;0),VLOOKUP(BU783,'Gebinde-Kategorie'!$A$5:$N$45,14,0)*10+Parameter!$M$23,Parameter!$M$24))</f>
        <v>155</v>
      </c>
      <c r="BZ783" s="48" t="str">
        <f aca="false">IF(AND(Parameter!$B$19="Ja",E783&lt;&gt;"",ISNUMBER(MATCH(E783,Parameter!$I$35:$I$52,0))),VLOOKUP(E783,Parameter!$I$35:$J$52,2,0),IFERROR(VLOOKUP(D783,Parameter!$A$35:$C$64,2,0),"Nein"))</f>
        <v>2+3</v>
      </c>
      <c r="CA783" s="52" t="n">
        <f aca="false">IF(BW783=0,0,IF(N(S783)&gt;0,S783,IFERROR(VLOOKUP(D783,Parameter!$A$35:$C$64,3,0)+0,0)))</f>
        <v>0</v>
      </c>
      <c r="CB783" s="48" t="n">
        <f aca="false">IF(AA783&lt;&gt;"",AA783,Z783)</f>
        <v>3</v>
      </c>
      <c r="CC783" s="48" t="str">
        <f aca="false">IF(OR(CB783=1,CB783=2,CB783=3),IF(Parameter!$E$27="Ja","LIFT",IF(CB783=1,"L1","L23")),IF(CB783="Aussen","Aussen","-"))</f>
        <v>LIFT</v>
      </c>
      <c r="CD783" s="59" t="n">
        <f aca="false">IF(N(AB783)&gt;0,AB783,0)</f>
        <v>0</v>
      </c>
      <c r="CE783" s="53" t="n">
        <f aca="false">IF(ISNUMBER(AE783),1,0)</f>
        <v>0</v>
      </c>
      <c r="CF783" s="50" t="n">
        <f aca="false">N(AE783)</f>
        <v>0</v>
      </c>
      <c r="CG783" s="50" t="n">
        <f aca="false">N(M783)+N(N783)</f>
        <v>1</v>
      </c>
      <c r="CH783" s="50" t="n">
        <f aca="false">ROUNDUP(H783/BV783,0)</f>
        <v>1</v>
      </c>
      <c r="CI783" s="50" t="n">
        <f aca="false">ROUNDUP(CF783/BV783,0)</f>
        <v>0</v>
      </c>
      <c r="CJ783" s="53" t="n">
        <f aca="false">IF(BW783=1,0,IFERROR(VLOOKUP(BU783,'Gebinde-Kategorie'!$A$5:$N$45,5,0)+0,0))</f>
        <v>11</v>
      </c>
      <c r="CK783" s="53" t="n">
        <f aca="false">IFERROR(IF(OR(CB783=1,CB783=2,CB783=3),N(INDEX(Parameter!$I$5:$I$7,CB783)),0),0)</f>
        <v>0</v>
      </c>
      <c r="CL783" s="52" t="n">
        <f aca="false">IF(AND(Parameter!$B$21="Ja",ISNUMBER(W783),N(X783)&gt;0),IFERROR(N(INDEX(Parameter!$L$5:$L$7,W783))*INDEX(Parameter!$E$5:$E$7,W783)*X783/SUMIFS($X$7:$X$1843,$W$7:$W$1843,W783),0),0)</f>
        <v>0</v>
      </c>
    </row>
    <row r="784" customFormat="false" ht="15" hidden="false" customHeight="false" outlineLevel="0" collapsed="false">
      <c r="A784" s="48" t="s">
        <v>1534</v>
      </c>
      <c r="B784" s="48" t="s">
        <v>1535</v>
      </c>
      <c r="C784" s="48" t="s">
        <v>168</v>
      </c>
      <c r="D784" s="48" t="s">
        <v>188</v>
      </c>
      <c r="E784" s="48" t="s">
        <v>189</v>
      </c>
      <c r="F784" s="48" t="s">
        <v>222</v>
      </c>
      <c r="G784" s="49" t="n">
        <v>0.45</v>
      </c>
      <c r="H784" s="50" t="n">
        <f aca="false">MAX(0,IF(AND(Parameter!$B$21="Ja",ISNUMBER(Y784)),Y784,IF(Parameter!$B$20="Jahresanfang 2025 + Export",BO784+BN784,BN784)))</f>
        <v>45</v>
      </c>
      <c r="I784" s="50" t="n">
        <f aca="false">H784*G784</f>
        <v>20.25</v>
      </c>
      <c r="J784" s="50" t="n">
        <f aca="false">BQ784*Parameter!$B$18</f>
        <v>0</v>
      </c>
      <c r="K784" s="51" t="n">
        <v>53</v>
      </c>
      <c r="L784" s="52" t="n">
        <v>0</v>
      </c>
      <c r="M784" s="50" t="n">
        <v>0</v>
      </c>
      <c r="N784" s="50" t="n">
        <v>1</v>
      </c>
      <c r="O784" s="53" t="n">
        <v>49</v>
      </c>
      <c r="P784" s="48" t="s">
        <v>405</v>
      </c>
      <c r="Q784" s="50" t="n">
        <v>56</v>
      </c>
      <c r="R784" s="53" t="n">
        <f aca="false">IF(BW784=1,0,IFERROR(VLOOKUP(BU784,'Gebinde-Kategorie'!$A$5:$N$45,13,0)+0,0))</f>
        <v>280</v>
      </c>
      <c r="S784" s="54"/>
      <c r="T784" s="55"/>
      <c r="U784" s="55"/>
      <c r="V784" s="55"/>
      <c r="W784" s="48"/>
      <c r="X784" s="50"/>
      <c r="Y784" s="50"/>
      <c r="Z784" s="48" t="n">
        <f aca="false">IF(A784="","",IF(AND(Parameter!$B$21="Ja",ISNUMBER(W784)),W784,IF(BZ784="2+3",IF(ISNUMBER(SEARCH("grosser Artikel",BR784)),2,IFERROR(VLOOKUP(BU784,Parameter!$F$35:$G$64,2,0),2)),IF(OR(BZ784="Nein",BZ784=""),"-",BZ784))))</f>
        <v>3</v>
      </c>
      <c r="AA784" s="55"/>
      <c r="AB784" s="56"/>
      <c r="AC784" s="50" t="n">
        <f aca="false">AT784</f>
        <v>56</v>
      </c>
      <c r="AD784" s="50" t="n">
        <f aca="false">MAX(AT784,H784)</f>
        <v>56</v>
      </c>
      <c r="AE784" s="57"/>
      <c r="AF784" s="50" t="n">
        <f aca="false">IF(LEFT(Cockpit!$C$5,1)="A",H784,IF(CE784=1,CF784,IF(LEFT(Cockpit!$C$5,1)="B",AK784,MAX(AK784,H784))))</f>
        <v>45</v>
      </c>
      <c r="AG784" s="50" t="n">
        <f aca="false">IF(BW784=1,0,ROUNDUP(AF784/BV784,0))</f>
        <v>1</v>
      </c>
      <c r="AH784" s="52" t="n">
        <f aca="false">IF(CL784&gt;0,CL784*MAX(1,AF784/X784),IF(BW784=1,IF(AF784&lt;=0,0,CA784*MAX(1,IF(H784&gt;0,AF784/H784,1))),IF(R784&gt;0,AG784/R784,0))/MAX(0.1,N(Parameter!$M$21)))</f>
        <v>0.00357142857142857</v>
      </c>
      <c r="AI784" s="50" t="n">
        <f aca="false">AH784*BY784</f>
        <v>0.553571428571429</v>
      </c>
      <c r="AJ784" s="50" t="n">
        <f aca="false">AF784*G784</f>
        <v>20.25</v>
      </c>
      <c r="AK784" s="50" t="n">
        <f aca="false">ROUNDUP(MAX(J784/IF(CD784&gt;0,CD784,MAX(0.1,N(Cockpit!$C$6))),CG784)/BV784,0)*BV784</f>
        <v>56</v>
      </c>
      <c r="AL784" s="51" t="n">
        <f aca="false">IF(AI784&gt;0,J784/AI784,-1)</f>
        <v>0</v>
      </c>
      <c r="AM784" s="51" t="n">
        <f aca="false">IF(AND(OR(CC784="L1",CC784="L23",CC784="LIFT"),AI784&gt;0),SUMIFS($AI$7:$AI$1843,$CC$7:$CC$1843,CC784,$AL$7:$AL$1843,"&gt;"&amp;AL784)+SUMIFS($AI$7:$AI$1843,$CC$7:$CC$1843,CC784,$AL$7:$AL$1843,AL784,$BT$7:$BT$1843,"&lt;="&amp;BT784),"")</f>
        <v>28760.7309373771</v>
      </c>
      <c r="AN784" s="58" t="n">
        <f aca="false">IF(AM784="",0,MAX(0,MIN(1,(IF(CC784="L1",Parameter!$H$5,IF(CC784="L23",Parameter!$H$6+Parameter!$H$7,Parameter!$H$5+Parameter!$H$6+Parameter!$H$7))-(AM784-AI784))/AI784)))</f>
        <v>1</v>
      </c>
      <c r="AO784" s="50" t="n">
        <f aca="false">IF(LEFT(Cockpit!$I$5,1)="A",H784,IF(CE784=1,CF784,IF(LEFT(Cockpit!$I$5,1)="B",AT784,MAX(AT784,H784))))</f>
        <v>56</v>
      </c>
      <c r="AP784" s="50" t="n">
        <f aca="false">IF(BW784=1,0,ROUNDUP(AO784/BV784,0))</f>
        <v>1</v>
      </c>
      <c r="AQ784" s="52" t="n">
        <f aca="false">IF(CL784&gt;0,CL784*MAX(1,AO784/X784),IF(BW784=1,IF(AO784&lt;=0,0,CA784*MAX(1,IF(H784&gt;0,AO784/H784,1))),IF(R784&gt;0,AP784/R784,0))/MAX(0.1,N(Parameter!$M$21)))</f>
        <v>0.00357142857142857</v>
      </c>
      <c r="AR784" s="50" t="n">
        <f aca="false">AQ784*BY784</f>
        <v>0.553571428571429</v>
      </c>
      <c r="AS784" s="50" t="n">
        <f aca="false">AO784*G784</f>
        <v>25.2</v>
      </c>
      <c r="AT784" s="50" t="n">
        <f aca="false">ROUNDUP(MAX(J784/IF(CD784&gt;0,CD784,MAX(0.1,N(Cockpit!$I$6))),CG784)/BV784,0)*BV784</f>
        <v>56</v>
      </c>
      <c r="AU784" s="51" t="n">
        <f aca="false">IF(AR784&gt;0,J784/AR784,-1)</f>
        <v>0</v>
      </c>
      <c r="AV784" s="51" t="n">
        <f aca="false">IF(AND(OR(CC784="L1",CC784="L23",CC784="LIFT"),AR784&gt;0),SUMIFS($AR$7:$AR$1843,$CC$7:$CC$1843,CC784,$AU$7:$AU$1843,"&gt;"&amp;AU784)+SUMIFS($AR$7:$AR$1843,$CC$7:$CC$1843,CC784,$AU$7:$AU$1843,AU784,$BT$7:$BT$1843,"&lt;="&amp;BT784),"")</f>
        <v>40331.7861799218</v>
      </c>
      <c r="AW784" s="58" t="n">
        <f aca="false">IF(AV784="",0,MAX(0,MIN(1,(IF(CC784="L1",Parameter!$H$5,IF(CC784="L23",Parameter!$H$6+Parameter!$H$7,Parameter!$H$5+Parameter!$H$6+Parameter!$H$7))-(AV784-AR784))/AR784)))</f>
        <v>0</v>
      </c>
      <c r="AX784" s="50" t="n">
        <f aca="false">IF(LEFT(Cockpit!$O$5,1)="A",H784,IF(CE784=1,CF784,IF(LEFT(Cockpit!$O$5,1)="B",BC784,MAX(BC784,H784))))</f>
        <v>56</v>
      </c>
      <c r="AY784" s="50" t="n">
        <f aca="false">IF(BW784=1,0,ROUNDUP(AX784/BV784,0))</f>
        <v>1</v>
      </c>
      <c r="AZ784" s="52" t="n">
        <f aca="false">IF(CL784&gt;0,CL784*MAX(1,AX784/X784),IF(BW784=1,IF(AX784&lt;=0,0,CA784*MAX(1,IF(H784&gt;0,AX784/H784,1))),IF(R784&gt;0,AY784/R784,0))/MAX(0.1,N(Parameter!$M$21)))</f>
        <v>0.00357142857142857</v>
      </c>
      <c r="BA784" s="50" t="n">
        <f aca="false">AZ784*BY784</f>
        <v>0.553571428571429</v>
      </c>
      <c r="BB784" s="50" t="n">
        <f aca="false">AX784*G784</f>
        <v>25.2</v>
      </c>
      <c r="BC784" s="50" t="n">
        <f aca="false">ROUNDUP(MAX(J784/IF(CD784&gt;0,CD784,MAX(0.1,N(Cockpit!$O$6))),CG784)/BV784,0)*BV784</f>
        <v>56</v>
      </c>
      <c r="BD784" s="51" t="n">
        <f aca="false">IF(BA784&gt;0,J784/BA784,-1)</f>
        <v>0</v>
      </c>
      <c r="BE784" s="51" t="n">
        <f aca="false">IF(AND(OR(CC784="L1",CC784="L23",CC784="LIFT"),BA784&gt;0),SUMIFS($BA$7:$BA$1843,$CC$7:$CC$1843,CC784,$BD$7:$BD$1843,"&gt;"&amp;BD784)+SUMIFS($BA$7:$BA$1843,$CC$7:$CC$1843,CC784,$BD$7:$BD$1843,BD784,$BT$7:$BT$1843,"&lt;="&amp;BT784),"")</f>
        <v>37006.7982217876</v>
      </c>
      <c r="BF784" s="58" t="n">
        <f aca="false">IF(BE784="",0,MAX(0,MIN(1,(IF(CC784="L1",Parameter!$H$5,IF(CC784="L23",Parameter!$H$6+Parameter!$H$7,Parameter!$H$5+Parameter!$H$6+Parameter!$H$7))-(BE784-BA784))/BA784)))</f>
        <v>0</v>
      </c>
      <c r="BG784" s="48" t="str">
        <f aca="false">IF(AI784&lt;=0,"",IF(CC784="Aussen","Aussenlager",IF(CC784="-","Nicht im Lift",IF(AN784&gt;=1,"Lift",IF(AN784&lt;=0,"Aussenlager","teilweise")))))</f>
        <v>Lift</v>
      </c>
      <c r="BH784" s="48" t="str">
        <f aca="false">IF(AR784&lt;=0,"",IF(CC784="Aussen","Aussenlager",IF(CC784="-","Nicht im Lift",IF(AW784&gt;=1,"Lift",IF(AW784&lt;=0,"Aussenlager","teilweise")))))</f>
        <v>Aussenlager</v>
      </c>
      <c r="BI784" s="48" t="str">
        <f aca="false">IF(BA784&lt;=0,"",IF(CC784="Aussen","Aussenlager",IF(CC784="-","Nicht im Lift",IF(BF784&gt;=1,"Lift",IF(BF784&lt;=0,"Aussenlager","teilweise")))))</f>
        <v>Aussenlager</v>
      </c>
      <c r="BJ784" s="48" t="str">
        <f aca="false">IF(A784="","",IF(BS784=1,"Neu; ","")&amp;IF(AND(BS784=0,BN784&lt;0),"negativer Bestand (Export "&amp;BN784&amp;"); ","")&amp;IF(J784&lt;=0,"Kein Verbrauch; ","")&amp;IF(CL784&gt;0,"Lift "&amp;W784&amp;" lt. Liftbericht (Fach "&amp;X784&amp;" Stk); ",IF(BX784=1,"Gebinde geschätzt ("&amp;T784&amp;"); ",IF(BW784=1,"Lose – Tablare geschätzt; ","")))&amp;IF(H784&gt;AT784,"Überbestand "&amp;ROUND(H784-AT784,0)&amp;" Stk / CHF "&amp;ROUND((H784-AT784)*G784,0)&amp;"; ","")&amp;IF(AND(CE784=1,CF784&lt;CG784),"MAX &lt; MB+LG; ","")&amp;IF(AND(CK784&gt;0,CJ784*10&gt;CK784),"zu hoch für Tablar; ","")&amp;IF(AND(BS784=0,OR(CE784=1,AA784&lt;&gt;"",U784&lt;&gt;"",V784&lt;&gt;"",AB784&lt;&gt;"")),"manuell übersteuert; ","")&amp;IF(AND(BW784=0,R784=0),"Gebinde unbekannt / Stellmass fehlt; ","")&amp;IF(AND(BW784=0,N(V784)&lt;=0,N(Q784)&lt;=0),"Menge pro Gebinde fehlt (Ist = 1 Gebinde); ","")&amp;BR784)</f>
        <v>negativer Bestand (Export -5); Kein Verbrauch; </v>
      </c>
      <c r="BK784" s="48"/>
      <c r="BL784" s="48"/>
      <c r="BM784" s="55"/>
      <c r="BN784" s="50" t="n">
        <v>-5</v>
      </c>
      <c r="BO784" s="50" t="n">
        <v>50</v>
      </c>
      <c r="BP784" s="49" t="n">
        <v>-2.25</v>
      </c>
      <c r="BQ784" s="50" t="n">
        <v>0</v>
      </c>
      <c r="BR784" s="48"/>
      <c r="BS784" s="53" t="n">
        <v>0</v>
      </c>
      <c r="BT784" s="53" t="n">
        <v>784</v>
      </c>
      <c r="BU784" s="48" t="str">
        <f aca="false">IF(U784&lt;&gt;"",UPPER(TRIM(U784)),IF(BX784=1,UPPER(VLOOKUP(T784,Parameter!$I$27:$K$29,2,0)),IF(P784="","LOSE",P784)))</f>
        <v>S21</v>
      </c>
      <c r="BV784" s="50" t="n">
        <f aca="false">IF(BU784="LOSE",1,IF(N(V784)&gt;0,V784,IF(BX784=1,MAX(1,N(VLOOKUP(T784,Parameter!$I$27:$K$29,3,0)),H784,N(N784)),IF(N(Q784)&gt;0,Q784,MAX(1,H784)))))</f>
        <v>56</v>
      </c>
      <c r="BW784" s="53" t="n">
        <f aca="false">IF(BU784="LOSE",1,0)</f>
        <v>0</v>
      </c>
      <c r="BX784" s="53" t="n">
        <f aca="false">IF(AND(U784="",OR(P784="",P784="LOSE"),T784&lt;&gt;"",N(S784)&lt;=0,ISNUMBER(MATCH(T784,Parameter!$I$27:$I$29,0))),1,0)</f>
        <v>0</v>
      </c>
      <c r="BY784" s="53" t="n">
        <f aca="false">IF(CL784&gt;0,INDEX(Parameter!$H$5:$H$7,W784)/INDEX(Parameter!$E$5:$E$7,W784),IF(AND(BW784=0,N(IFERROR(VLOOKUP(BU784,'Gebinde-Kategorie'!$A$5:$N$45,14,0),0))&gt;0),VLOOKUP(BU784,'Gebinde-Kategorie'!$A$5:$N$45,14,0)*10+Parameter!$M$23,Parameter!$M$24))</f>
        <v>155</v>
      </c>
      <c r="BZ784" s="48" t="str">
        <f aca="false">IF(AND(Parameter!$B$19="Ja",E784&lt;&gt;"",ISNUMBER(MATCH(E784,Parameter!$I$35:$I$52,0))),VLOOKUP(E784,Parameter!$I$35:$J$52,2,0),IFERROR(VLOOKUP(D784,Parameter!$A$35:$C$64,2,0),"Nein"))</f>
        <v>2+3</v>
      </c>
      <c r="CA784" s="52" t="n">
        <f aca="false">IF(BW784=0,0,IF(N(S784)&gt;0,S784,IFERROR(VLOOKUP(D784,Parameter!$A$35:$C$64,3,0)+0,0)))</f>
        <v>0</v>
      </c>
      <c r="CB784" s="48" t="n">
        <f aca="false">IF(AA784&lt;&gt;"",AA784,Z784)</f>
        <v>3</v>
      </c>
      <c r="CC784" s="48" t="str">
        <f aca="false">IF(OR(CB784=1,CB784=2,CB784=3),IF(Parameter!$E$27="Ja","LIFT",IF(CB784=1,"L1","L23")),IF(CB784="Aussen","Aussen","-"))</f>
        <v>LIFT</v>
      </c>
      <c r="CD784" s="59" t="n">
        <f aca="false">IF(N(AB784)&gt;0,AB784,0)</f>
        <v>0</v>
      </c>
      <c r="CE784" s="53" t="n">
        <f aca="false">IF(ISNUMBER(AE784),1,0)</f>
        <v>0</v>
      </c>
      <c r="CF784" s="50" t="n">
        <f aca="false">N(AE784)</f>
        <v>0</v>
      </c>
      <c r="CG784" s="50" t="n">
        <f aca="false">N(M784)+N(N784)</f>
        <v>1</v>
      </c>
      <c r="CH784" s="50" t="n">
        <f aca="false">ROUNDUP(H784/BV784,0)</f>
        <v>1</v>
      </c>
      <c r="CI784" s="50" t="n">
        <f aca="false">ROUNDUP(CF784/BV784,0)</f>
        <v>0</v>
      </c>
      <c r="CJ784" s="53" t="n">
        <f aca="false">IF(BW784=1,0,IFERROR(VLOOKUP(BU784,'Gebinde-Kategorie'!$A$5:$N$45,5,0)+0,0))</f>
        <v>8</v>
      </c>
      <c r="CK784" s="53" t="n">
        <f aca="false">IFERROR(IF(OR(CB784=1,CB784=2,CB784=3),N(INDEX(Parameter!$I$5:$I$7,CB784)),0),0)</f>
        <v>0</v>
      </c>
      <c r="CL784" s="52" t="n">
        <f aca="false">IF(AND(Parameter!$B$21="Ja",ISNUMBER(W784),N(X784)&gt;0),IFERROR(N(INDEX(Parameter!$L$5:$L$7,W784))*INDEX(Parameter!$E$5:$E$7,W784)*X784/SUMIFS($X$7:$X$1843,$W$7:$W$1843,W784),0),0)</f>
        <v>0</v>
      </c>
    </row>
    <row r="785" customFormat="false" ht="15" hidden="false" customHeight="false" outlineLevel="0" collapsed="false">
      <c r="A785" s="48" t="s">
        <v>1536</v>
      </c>
      <c r="B785" s="48" t="s">
        <v>1240</v>
      </c>
      <c r="C785" s="48" t="s">
        <v>168</v>
      </c>
      <c r="D785" s="48" t="s">
        <v>188</v>
      </c>
      <c r="E785" s="48" t="s">
        <v>189</v>
      </c>
      <c r="F785" s="48" t="s">
        <v>222</v>
      </c>
      <c r="G785" s="49" t="n">
        <v>0.17</v>
      </c>
      <c r="H785" s="50" t="n">
        <f aca="false">MAX(0,IF(AND(Parameter!$B$21="Ja",ISNUMBER(Y785)),Y785,IF(Parameter!$B$20="Jahresanfang 2025 + Export",BO785+BN785,BN785)))</f>
        <v>488</v>
      </c>
      <c r="I785" s="50" t="n">
        <f aca="false">H785*G785</f>
        <v>82.96</v>
      </c>
      <c r="J785" s="50" t="n">
        <f aca="false">BQ785*Parameter!$B$18</f>
        <v>8</v>
      </c>
      <c r="K785" s="51" t="n">
        <v>497.5</v>
      </c>
      <c r="L785" s="52" t="n">
        <v>0.0160804020100503</v>
      </c>
      <c r="M785" s="50" t="n">
        <v>0</v>
      </c>
      <c r="N785" s="50" t="n">
        <v>10</v>
      </c>
      <c r="O785" s="53" t="n">
        <v>21</v>
      </c>
      <c r="P785" s="48" t="s">
        <v>480</v>
      </c>
      <c r="Q785" s="50" t="n">
        <v>205</v>
      </c>
      <c r="R785" s="53" t="n">
        <f aca="false">IF(BW785=1,0,IFERROR(VLOOKUP(BU785,'Gebinde-Kategorie'!$A$5:$N$45,13,0)+0,0))</f>
        <v>52</v>
      </c>
      <c r="S785" s="54"/>
      <c r="T785" s="55"/>
      <c r="U785" s="55"/>
      <c r="V785" s="55"/>
      <c r="W785" s="48"/>
      <c r="X785" s="50"/>
      <c r="Y785" s="50"/>
      <c r="Z785" s="48" t="n">
        <f aca="false">IF(A785="","",IF(AND(Parameter!$B$21="Ja",ISNUMBER(W785)),W785,IF(BZ785="2+3",IF(ISNUMBER(SEARCH("grosser Artikel",BR785)),2,IFERROR(VLOOKUP(BU785,Parameter!$F$35:$G$64,2,0),2)),IF(OR(BZ785="Nein",BZ785=""),"-",BZ785))))</f>
        <v>3</v>
      </c>
      <c r="AA785" s="55"/>
      <c r="AB785" s="56"/>
      <c r="AC785" s="50" t="n">
        <f aca="false">AT785</f>
        <v>205</v>
      </c>
      <c r="AD785" s="50" t="n">
        <f aca="false">MAX(AT785,H785)</f>
        <v>488</v>
      </c>
      <c r="AE785" s="57"/>
      <c r="AF785" s="50" t="n">
        <f aca="false">IF(LEFT(Cockpit!$C$5,1)="A",H785,IF(CE785=1,CF785,IF(LEFT(Cockpit!$C$5,1)="B",AK785,MAX(AK785,H785))))</f>
        <v>488</v>
      </c>
      <c r="AG785" s="50" t="n">
        <f aca="false">IF(BW785=1,0,ROUNDUP(AF785/BV785,0))</f>
        <v>3</v>
      </c>
      <c r="AH785" s="52" t="n">
        <f aca="false">IF(CL785&gt;0,CL785*MAX(1,AF785/X785),IF(BW785=1,IF(AF785&lt;=0,0,CA785*MAX(1,IF(H785&gt;0,AF785/H785,1))),IF(R785&gt;0,AG785/R785,0))/MAX(0.1,N(Parameter!$M$21)))</f>
        <v>0.0576923076923077</v>
      </c>
      <c r="AI785" s="50" t="n">
        <f aca="false">AH785*BY785</f>
        <v>8.94230769230769</v>
      </c>
      <c r="AJ785" s="50" t="n">
        <f aca="false">AF785*G785</f>
        <v>82.96</v>
      </c>
      <c r="AK785" s="50" t="n">
        <f aca="false">ROUNDUP(MAX(J785/IF(CD785&gt;0,CD785,MAX(0.1,N(Cockpit!$C$6))),CG785)/BV785,0)*BV785</f>
        <v>205</v>
      </c>
      <c r="AL785" s="51" t="n">
        <f aca="false">IF(AI785&gt;0,J785/AI785,-1)</f>
        <v>0.894623655913978</v>
      </c>
      <c r="AM785" s="51" t="n">
        <f aca="false">IF(AND(OR(CC785="L1",CC785="L23",CC785="LIFT"),AI785&gt;0),SUMIFS($AI$7:$AI$1843,$CC$7:$CC$1843,CC785,$AL$7:$AL$1843,"&gt;"&amp;AL785)+SUMIFS($AI$7:$AI$1843,$CC$7:$CC$1843,CC785,$AL$7:$AL$1843,AL785,$BT$7:$BT$1843,"&lt;="&amp;BT785),"")</f>
        <v>7631.11217948718</v>
      </c>
      <c r="AN785" s="58" t="n">
        <f aca="false">IF(AM785="",0,MAX(0,MIN(1,(IF(CC785="L1",Parameter!$H$5,IF(CC785="L23",Parameter!$H$6+Parameter!$H$7,Parameter!$H$5+Parameter!$H$6+Parameter!$H$7))-(AM785-AI785))/AI785)))</f>
        <v>1</v>
      </c>
      <c r="AO785" s="50" t="n">
        <f aca="false">IF(LEFT(Cockpit!$I$5,1)="A",H785,IF(CE785=1,CF785,IF(LEFT(Cockpit!$I$5,1)="B",AT785,MAX(AT785,H785))))</f>
        <v>488</v>
      </c>
      <c r="AP785" s="50" t="n">
        <f aca="false">IF(BW785=1,0,ROUNDUP(AO785/BV785,0))</f>
        <v>3</v>
      </c>
      <c r="AQ785" s="52" t="n">
        <f aca="false">IF(CL785&gt;0,CL785*MAX(1,AO785/X785),IF(BW785=1,IF(AO785&lt;=0,0,CA785*MAX(1,IF(H785&gt;0,AO785/H785,1))),IF(R785&gt;0,AP785/R785,0))/MAX(0.1,N(Parameter!$M$21)))</f>
        <v>0.0576923076923077</v>
      </c>
      <c r="AR785" s="50" t="n">
        <f aca="false">AQ785*BY785</f>
        <v>8.94230769230769</v>
      </c>
      <c r="AS785" s="50" t="n">
        <f aca="false">AO785*G785</f>
        <v>82.96</v>
      </c>
      <c r="AT785" s="50" t="n">
        <f aca="false">ROUNDUP(MAX(J785/IF(CD785&gt;0,CD785,MAX(0.1,N(Cockpit!$I$6))),CG785)/BV785,0)*BV785</f>
        <v>205</v>
      </c>
      <c r="AU785" s="51" t="n">
        <f aca="false">IF(AR785&gt;0,J785/AR785,-1)</f>
        <v>0.894623655913978</v>
      </c>
      <c r="AV785" s="51" t="n">
        <f aca="false">IF(AND(OR(CC785="L1",CC785="L23",CC785="LIFT"),AR785&gt;0),SUMIFS($AR$7:$AR$1843,$CC$7:$CC$1843,CC785,$AU$7:$AU$1843,"&gt;"&amp;AU785)+SUMIFS($AR$7:$AR$1843,$CC$7:$CC$1843,CC785,$AU$7:$AU$1843,AU785,$BT$7:$BT$1843,"&lt;="&amp;BT785),"")</f>
        <v>10742.369047619</v>
      </c>
      <c r="AW785" s="58" t="n">
        <f aca="false">IF(AV785="",0,MAX(0,MIN(1,(IF(CC785="L1",Parameter!$H$5,IF(CC785="L23",Parameter!$H$6+Parameter!$H$7,Parameter!$H$5+Parameter!$H$6+Parameter!$H$7))-(AV785-AR785))/AR785)))</f>
        <v>1</v>
      </c>
      <c r="AX785" s="50" t="n">
        <f aca="false">IF(LEFT(Cockpit!$O$5,1)="A",H785,IF(CE785=1,CF785,IF(LEFT(Cockpit!$O$5,1)="B",BC785,MAX(BC785,H785))))</f>
        <v>488</v>
      </c>
      <c r="AY785" s="50" t="n">
        <f aca="false">IF(BW785=1,0,ROUNDUP(AX785/BV785,0))</f>
        <v>3</v>
      </c>
      <c r="AZ785" s="52" t="n">
        <f aca="false">IF(CL785&gt;0,CL785*MAX(1,AX785/X785),IF(BW785=1,IF(AX785&lt;=0,0,CA785*MAX(1,IF(H785&gt;0,AX785/H785,1))),IF(R785&gt;0,AY785/R785,0))/MAX(0.1,N(Parameter!$M$21)))</f>
        <v>0.0576923076923077</v>
      </c>
      <c r="BA785" s="50" t="n">
        <f aca="false">AZ785*BY785</f>
        <v>8.94230769230769</v>
      </c>
      <c r="BB785" s="50" t="n">
        <f aca="false">AX785*G785</f>
        <v>82.96</v>
      </c>
      <c r="BC785" s="50" t="n">
        <f aca="false">ROUNDUP(MAX(J785/IF(CD785&gt;0,CD785,MAX(0.1,N(Cockpit!$O$6))),CG785)/BV785,0)*BV785</f>
        <v>205</v>
      </c>
      <c r="BD785" s="51" t="n">
        <f aca="false">IF(BA785&gt;0,J785/BA785,-1)</f>
        <v>0.894623655913978</v>
      </c>
      <c r="BE785" s="51" t="n">
        <f aca="false">IF(AND(OR(CC785="L1",CC785="L23",CC785="LIFT"),BA785&gt;0),SUMIFS($BA$7:$BA$1843,$CC$7:$CC$1843,CC785,$BD$7:$BD$1843,"&gt;"&amp;BD785)+SUMIFS($BA$7:$BA$1843,$CC$7:$CC$1843,CC785,$BD$7:$BD$1843,BD785,$BT$7:$BT$1843,"&lt;="&amp;BT785),"")</f>
        <v>10000.5260989011</v>
      </c>
      <c r="BF785" s="58" t="n">
        <f aca="false">IF(BE785="",0,MAX(0,MIN(1,(IF(CC785="L1",Parameter!$H$5,IF(CC785="L23",Parameter!$H$6+Parameter!$H$7,Parameter!$H$5+Parameter!$H$6+Parameter!$H$7))-(BE785-BA785))/BA785)))</f>
        <v>1</v>
      </c>
      <c r="BG785" s="48" t="str">
        <f aca="false">IF(AI785&lt;=0,"",IF(CC785="Aussen","Aussenlager",IF(CC785="-","Nicht im Lift",IF(AN785&gt;=1,"Lift",IF(AN785&lt;=0,"Aussenlager","teilweise")))))</f>
        <v>Lift</v>
      </c>
      <c r="BH785" s="48" t="str">
        <f aca="false">IF(AR785&lt;=0,"",IF(CC785="Aussen","Aussenlager",IF(CC785="-","Nicht im Lift",IF(AW785&gt;=1,"Lift",IF(AW785&lt;=0,"Aussenlager","teilweise")))))</f>
        <v>Lift</v>
      </c>
      <c r="BI785" s="48" t="str">
        <f aca="false">IF(BA785&lt;=0,"",IF(CC785="Aussen","Aussenlager",IF(CC785="-","Nicht im Lift",IF(BF785&gt;=1,"Lift",IF(BF785&lt;=0,"Aussenlager","teilweise")))))</f>
        <v>Lift</v>
      </c>
      <c r="BJ785" s="48" t="str">
        <f aca="false">IF(A785="","",IF(BS785=1,"Neu; ","")&amp;IF(AND(BS785=0,BN785&lt;0),"negativer Bestand (Export "&amp;BN785&amp;"); ","")&amp;IF(J785&lt;=0,"Kein Verbrauch; ","")&amp;IF(CL785&gt;0,"Lift "&amp;W785&amp;" lt. Liftbericht (Fach "&amp;X785&amp;" Stk); ",IF(BX785=1,"Gebinde geschätzt ("&amp;T785&amp;"); ",IF(BW785=1,"Lose – Tablare geschätzt; ","")))&amp;IF(H785&gt;AT785,"Überbestand "&amp;ROUND(H785-AT785,0)&amp;" Stk / CHF "&amp;ROUND((H785-AT785)*G785,0)&amp;"; ","")&amp;IF(AND(CE785=1,CF785&lt;CG785),"MAX &lt; MB+LG; ","")&amp;IF(AND(CK785&gt;0,CJ785*10&gt;CK785),"zu hoch für Tablar; ","")&amp;IF(AND(BS785=0,OR(CE785=1,AA785&lt;&gt;"",U785&lt;&gt;"",V785&lt;&gt;"",AB785&lt;&gt;"")),"manuell übersteuert; ","")&amp;IF(AND(BW785=0,R785=0),"Gebinde unbekannt / Stellmass fehlt; ","")&amp;IF(AND(BW785=0,N(V785)&lt;=0,N(Q785)&lt;=0),"Menge pro Gebinde fehlt (Ist = 1 Gebinde); ","")&amp;BR785)</f>
        <v>negativer Bestand (Export -15); Überbestand 283 Stk / CHF 48; Überbestand</v>
      </c>
      <c r="BK785" s="48"/>
      <c r="BL785" s="48"/>
      <c r="BM785" s="55"/>
      <c r="BN785" s="50" t="n">
        <v>-15</v>
      </c>
      <c r="BO785" s="50" t="n">
        <v>503</v>
      </c>
      <c r="BP785" s="49" t="n">
        <v>-2.55</v>
      </c>
      <c r="BQ785" s="50" t="n">
        <v>8</v>
      </c>
      <c r="BR785" s="48" t="s">
        <v>396</v>
      </c>
      <c r="BS785" s="53" t="n">
        <v>0</v>
      </c>
      <c r="BT785" s="53" t="n">
        <v>785</v>
      </c>
      <c r="BU785" s="48" t="str">
        <f aca="false">IF(U785&lt;&gt;"",UPPER(TRIM(U785)),IF(BX785=1,UPPER(VLOOKUP(T785,Parameter!$I$27:$K$29,2,0)),IF(P785="","LOSE",P785)))</f>
        <v>S33</v>
      </c>
      <c r="BV785" s="50" t="n">
        <f aca="false">IF(BU785="LOSE",1,IF(N(V785)&gt;0,V785,IF(BX785=1,MAX(1,N(VLOOKUP(T785,Parameter!$I$27:$K$29,3,0)),H785,N(N785)),IF(N(Q785)&gt;0,Q785,MAX(1,H785)))))</f>
        <v>205</v>
      </c>
      <c r="BW785" s="53" t="n">
        <f aca="false">IF(BU785="LOSE",1,0)</f>
        <v>0</v>
      </c>
      <c r="BX785" s="53" t="n">
        <f aca="false">IF(AND(U785="",OR(P785="",P785="LOSE"),T785&lt;&gt;"",N(S785)&lt;=0,ISNUMBER(MATCH(T785,Parameter!$I$27:$I$29,0))),1,0)</f>
        <v>0</v>
      </c>
      <c r="BY785" s="53" t="n">
        <f aca="false">IF(CL785&gt;0,INDEX(Parameter!$H$5:$H$7,W785)/INDEX(Parameter!$E$5:$E$7,W785),IF(AND(BW785=0,N(IFERROR(VLOOKUP(BU785,'Gebinde-Kategorie'!$A$5:$N$45,14,0),0))&gt;0),VLOOKUP(BU785,'Gebinde-Kategorie'!$A$5:$N$45,14,0)*10+Parameter!$M$23,Parameter!$M$24))</f>
        <v>155</v>
      </c>
      <c r="BZ785" s="48" t="str">
        <f aca="false">IF(AND(Parameter!$B$19="Ja",E785&lt;&gt;"",ISNUMBER(MATCH(E785,Parameter!$I$35:$I$52,0))),VLOOKUP(E785,Parameter!$I$35:$J$52,2,0),IFERROR(VLOOKUP(D785,Parameter!$A$35:$C$64,2,0),"Nein"))</f>
        <v>2+3</v>
      </c>
      <c r="CA785" s="52" t="n">
        <f aca="false">IF(BW785=0,0,IF(N(S785)&gt;0,S785,IFERROR(VLOOKUP(D785,Parameter!$A$35:$C$64,3,0)+0,0)))</f>
        <v>0</v>
      </c>
      <c r="CB785" s="48" t="n">
        <f aca="false">IF(AA785&lt;&gt;"",AA785,Z785)</f>
        <v>3</v>
      </c>
      <c r="CC785" s="48" t="str">
        <f aca="false">IF(OR(CB785=1,CB785=2,CB785=3),IF(Parameter!$E$27="Ja","LIFT",IF(CB785=1,"L1","L23")),IF(CB785="Aussen","Aussen","-"))</f>
        <v>LIFT</v>
      </c>
      <c r="CD785" s="59" t="n">
        <f aca="false">IF(N(AB785)&gt;0,AB785,0)</f>
        <v>0</v>
      </c>
      <c r="CE785" s="53" t="n">
        <f aca="false">IF(ISNUMBER(AE785),1,0)</f>
        <v>0</v>
      </c>
      <c r="CF785" s="50" t="n">
        <f aca="false">N(AE785)</f>
        <v>0</v>
      </c>
      <c r="CG785" s="50" t="n">
        <f aca="false">N(M785)+N(N785)</f>
        <v>10</v>
      </c>
      <c r="CH785" s="50" t="n">
        <f aca="false">ROUNDUP(H785/BV785,0)</f>
        <v>3</v>
      </c>
      <c r="CI785" s="50" t="n">
        <f aca="false">ROUNDUP(CF785/BV785,0)</f>
        <v>0</v>
      </c>
      <c r="CJ785" s="53" t="n">
        <f aca="false">IF(BW785=1,0,IFERROR(VLOOKUP(BU785,'Gebinde-Kategorie'!$A$5:$N$45,5,0)+0,0))</f>
        <v>8</v>
      </c>
      <c r="CK785" s="53" t="n">
        <f aca="false">IFERROR(IF(OR(CB785=1,CB785=2,CB785=3),N(INDEX(Parameter!$I$5:$I$7,CB785)),0),0)</f>
        <v>0</v>
      </c>
      <c r="CL785" s="52" t="n">
        <f aca="false">IF(AND(Parameter!$B$21="Ja",ISNUMBER(W785),N(X785)&gt;0),IFERROR(N(INDEX(Parameter!$L$5:$L$7,W785))*INDEX(Parameter!$E$5:$E$7,W785)*X785/SUMIFS($X$7:$X$1843,$W$7:$W$1843,W785),0),0)</f>
        <v>0</v>
      </c>
    </row>
    <row r="786" customFormat="false" ht="15" hidden="false" customHeight="false" outlineLevel="0" collapsed="false">
      <c r="A786" s="48" t="s">
        <v>1537</v>
      </c>
      <c r="B786" s="48" t="s">
        <v>409</v>
      </c>
      <c r="C786" s="48" t="s">
        <v>168</v>
      </c>
      <c r="D786" s="48" t="s">
        <v>188</v>
      </c>
      <c r="E786" s="48" t="s">
        <v>189</v>
      </c>
      <c r="F786" s="48" t="s">
        <v>222</v>
      </c>
      <c r="G786" s="49" t="n">
        <v>0.04</v>
      </c>
      <c r="H786" s="50" t="n">
        <f aca="false">MAX(0,IF(AND(Parameter!$B$21="Ja",ISNUMBER(Y786)),Y786,IF(Parameter!$B$20="Jahresanfang 2025 + Export",BO786+BN786,BN786)))</f>
        <v>21</v>
      </c>
      <c r="I786" s="50" t="n">
        <f aca="false">H786*G786</f>
        <v>0.84</v>
      </c>
      <c r="J786" s="50" t="n">
        <f aca="false">BQ786*Parameter!$B$18</f>
        <v>60</v>
      </c>
      <c r="K786" s="51" t="n">
        <v>90</v>
      </c>
      <c r="L786" s="52" t="n">
        <v>0.666666666666667</v>
      </c>
      <c r="M786" s="50" t="n">
        <v>3</v>
      </c>
      <c r="N786" s="50" t="n">
        <v>60</v>
      </c>
      <c r="O786" s="53" t="n">
        <v>21</v>
      </c>
      <c r="P786" s="48" t="s">
        <v>430</v>
      </c>
      <c r="Q786" s="50" t="n">
        <v>175</v>
      </c>
      <c r="R786" s="53" t="n">
        <f aca="false">IF(BW786=1,0,IFERROR(VLOOKUP(BU786,'Gebinde-Kategorie'!$A$5:$N$45,13,0)+0,0))</f>
        <v>140</v>
      </c>
      <c r="S786" s="54"/>
      <c r="T786" s="55"/>
      <c r="U786" s="55"/>
      <c r="V786" s="55"/>
      <c r="W786" s="48"/>
      <c r="X786" s="50"/>
      <c r="Y786" s="50"/>
      <c r="Z786" s="48" t="n">
        <f aca="false">IF(A786="","",IF(AND(Parameter!$B$21="Ja",ISNUMBER(W786)),W786,IF(BZ786="2+3",IF(ISNUMBER(SEARCH("grosser Artikel",BR786)),2,IFERROR(VLOOKUP(BU786,Parameter!$F$35:$G$64,2,0),2)),IF(OR(BZ786="Nein",BZ786=""),"-",BZ786))))</f>
        <v>3</v>
      </c>
      <c r="AA786" s="55"/>
      <c r="AB786" s="56"/>
      <c r="AC786" s="50" t="n">
        <f aca="false">AT786</f>
        <v>175</v>
      </c>
      <c r="AD786" s="50" t="n">
        <f aca="false">MAX(AT786,H786)</f>
        <v>175</v>
      </c>
      <c r="AE786" s="57"/>
      <c r="AF786" s="50" t="n">
        <f aca="false">IF(LEFT(Cockpit!$C$5,1)="A",H786,IF(CE786=1,CF786,IF(LEFT(Cockpit!$C$5,1)="B",AK786,MAX(AK786,H786))))</f>
        <v>21</v>
      </c>
      <c r="AG786" s="50" t="n">
        <f aca="false">IF(BW786=1,0,ROUNDUP(AF786/BV786,0))</f>
        <v>1</v>
      </c>
      <c r="AH786" s="52" t="n">
        <f aca="false">IF(CL786&gt;0,CL786*MAX(1,AF786/X786),IF(BW786=1,IF(AF786&lt;=0,0,CA786*MAX(1,IF(H786&gt;0,AF786/H786,1))),IF(R786&gt;0,AG786/R786,0))/MAX(0.1,N(Parameter!$M$21)))</f>
        <v>0.00714285714285714</v>
      </c>
      <c r="AI786" s="50" t="n">
        <f aca="false">AH786*BY786</f>
        <v>1.10714285714286</v>
      </c>
      <c r="AJ786" s="50" t="n">
        <f aca="false">AF786*G786</f>
        <v>0.84</v>
      </c>
      <c r="AK786" s="50" t="n">
        <f aca="false">ROUNDUP(MAX(J786/IF(CD786&gt;0,CD786,MAX(0.1,N(Cockpit!$C$6))),CG786)/BV786,0)*BV786</f>
        <v>175</v>
      </c>
      <c r="AL786" s="51" t="n">
        <f aca="false">IF(AI786&gt;0,J786/AI786,-1)</f>
        <v>54.1935483870968</v>
      </c>
      <c r="AM786" s="51" t="n">
        <f aca="false">IF(AND(OR(CC786="L1",CC786="L23",CC786="LIFT"),AI786&gt;0),SUMIFS($AI$7:$AI$1843,$CC$7:$CC$1843,CC786,$AL$7:$AL$1843,"&gt;"&amp;AL786)+SUMIFS($AI$7:$AI$1843,$CC$7:$CC$1843,CC786,$AL$7:$AL$1843,AL786,$BT$7:$BT$1843,"&lt;="&amp;BT786),"")</f>
        <v>1002.54807692308</v>
      </c>
      <c r="AN786" s="58" t="n">
        <f aca="false">IF(AM786="",0,MAX(0,MIN(1,(IF(CC786="L1",Parameter!$H$5,IF(CC786="L23",Parameter!$H$6+Parameter!$H$7,Parameter!$H$5+Parameter!$H$6+Parameter!$H$7))-(AM786-AI786))/AI786)))</f>
        <v>1</v>
      </c>
      <c r="AO786" s="50" t="n">
        <f aca="false">IF(LEFT(Cockpit!$I$5,1)="A",H786,IF(CE786=1,CF786,IF(LEFT(Cockpit!$I$5,1)="B",AT786,MAX(AT786,H786))))</f>
        <v>175</v>
      </c>
      <c r="AP786" s="50" t="n">
        <f aca="false">IF(BW786=1,0,ROUNDUP(AO786/BV786,0))</f>
        <v>1</v>
      </c>
      <c r="AQ786" s="52" t="n">
        <f aca="false">IF(CL786&gt;0,CL786*MAX(1,AO786/X786),IF(BW786=1,IF(AO786&lt;=0,0,CA786*MAX(1,IF(H786&gt;0,AO786/H786,1))),IF(R786&gt;0,AP786/R786,0))/MAX(0.1,N(Parameter!$M$21)))</f>
        <v>0.00714285714285714</v>
      </c>
      <c r="AR786" s="50" t="n">
        <f aca="false">AQ786*BY786</f>
        <v>1.10714285714286</v>
      </c>
      <c r="AS786" s="50" t="n">
        <f aca="false">AO786*G786</f>
        <v>7</v>
      </c>
      <c r="AT786" s="50" t="n">
        <f aca="false">ROUNDUP(MAX(J786/IF(CD786&gt;0,CD786,MAX(0.1,N(Cockpit!$I$6))),CG786)/BV786,0)*BV786</f>
        <v>175</v>
      </c>
      <c r="AU786" s="51" t="n">
        <f aca="false">IF(AR786&gt;0,J786/AR786,-1)</f>
        <v>54.1935483870968</v>
      </c>
      <c r="AV786" s="51" t="n">
        <f aca="false">IF(AND(OR(CC786="L1",CC786="L23",CC786="LIFT"),AR786&gt;0),SUMIFS($AR$7:$AR$1843,$CC$7:$CC$1843,CC786,$AU$7:$AU$1843,"&gt;"&amp;AU786)+SUMIFS($AR$7:$AR$1843,$CC$7:$CC$1843,CC786,$AU$7:$AU$1843,AU786,$BT$7:$BT$1843,"&lt;="&amp;BT786),"")</f>
        <v>1506.95879120879</v>
      </c>
      <c r="AW786" s="58" t="n">
        <f aca="false">IF(AV786="",0,MAX(0,MIN(1,(IF(CC786="L1",Parameter!$H$5,IF(CC786="L23",Parameter!$H$6+Parameter!$H$7,Parameter!$H$5+Parameter!$H$6+Parameter!$H$7))-(AV786-AR786))/AR786)))</f>
        <v>1</v>
      </c>
      <c r="AX786" s="50" t="n">
        <f aca="false">IF(LEFT(Cockpit!$O$5,1)="A",H786,IF(CE786=1,CF786,IF(LEFT(Cockpit!$O$5,1)="B",BC786,MAX(BC786,H786))))</f>
        <v>175</v>
      </c>
      <c r="AY786" s="50" t="n">
        <f aca="false">IF(BW786=1,0,ROUNDUP(AX786/BV786,0))</f>
        <v>1</v>
      </c>
      <c r="AZ786" s="52" t="n">
        <f aca="false">IF(CL786&gt;0,CL786*MAX(1,AX786/X786),IF(BW786=1,IF(AX786&lt;=0,0,CA786*MAX(1,IF(H786&gt;0,AX786/H786,1))),IF(R786&gt;0,AY786/R786,0))/MAX(0.1,N(Parameter!$M$21)))</f>
        <v>0.00714285714285714</v>
      </c>
      <c r="BA786" s="50" t="n">
        <f aca="false">AZ786*BY786</f>
        <v>1.10714285714286</v>
      </c>
      <c r="BB786" s="50" t="n">
        <f aca="false">AX786*G786</f>
        <v>7</v>
      </c>
      <c r="BC786" s="50" t="n">
        <f aca="false">ROUNDUP(MAX(J786/IF(CD786&gt;0,CD786,MAX(0.1,N(Cockpit!$O$6))),CG786)/BV786,0)*BV786</f>
        <v>175</v>
      </c>
      <c r="BD786" s="51" t="n">
        <f aca="false">IF(BA786&gt;0,J786/BA786,-1)</f>
        <v>54.1935483870968</v>
      </c>
      <c r="BE786" s="51" t="n">
        <f aca="false">IF(AND(OR(CC786="L1",CC786="L23",CC786="LIFT"),BA786&gt;0),SUMIFS($BA$7:$BA$1843,$CC$7:$CC$1843,CC786,$BD$7:$BD$1843,"&gt;"&amp;BD786)+SUMIFS($BA$7:$BA$1843,$CC$7:$CC$1843,CC786,$BD$7:$BD$1843,BD786,$BT$7:$BT$1843,"&lt;="&amp;BT786),"")</f>
        <v>1334.18635531136</v>
      </c>
      <c r="BF786" s="58" t="n">
        <f aca="false">IF(BE786="",0,MAX(0,MIN(1,(IF(CC786="L1",Parameter!$H$5,IF(CC786="L23",Parameter!$H$6+Parameter!$H$7,Parameter!$H$5+Parameter!$H$6+Parameter!$H$7))-(BE786-BA786))/BA786)))</f>
        <v>1</v>
      </c>
      <c r="BG786" s="48" t="str">
        <f aca="false">IF(AI786&lt;=0,"",IF(CC786="Aussen","Aussenlager",IF(CC786="-","Nicht im Lift",IF(AN786&gt;=1,"Lift",IF(AN786&lt;=0,"Aussenlager","teilweise")))))</f>
        <v>Lift</v>
      </c>
      <c r="BH786" s="48" t="str">
        <f aca="false">IF(AR786&lt;=0,"",IF(CC786="Aussen","Aussenlager",IF(CC786="-","Nicht im Lift",IF(AW786&gt;=1,"Lift",IF(AW786&lt;=0,"Aussenlager","teilweise")))))</f>
        <v>Lift</v>
      </c>
      <c r="BI786" s="48" t="str">
        <f aca="false">IF(BA786&lt;=0,"",IF(CC786="Aussen","Aussenlager",IF(CC786="-","Nicht im Lift",IF(BF786&gt;=1,"Lift",IF(BF786&lt;=0,"Aussenlager","teilweise")))))</f>
        <v>Lift</v>
      </c>
      <c r="BJ786" s="48" t="str">
        <f aca="false">IF(A786="","",IF(BS786=1,"Neu; ","")&amp;IF(AND(BS786=0,BN786&lt;0),"negativer Bestand (Export "&amp;BN786&amp;"); ","")&amp;IF(J786&lt;=0,"Kein Verbrauch; ","")&amp;IF(CL786&gt;0,"Lift "&amp;W786&amp;" lt. Liftbericht (Fach "&amp;X786&amp;" Stk); ",IF(BX786=1,"Gebinde geschätzt ("&amp;T786&amp;"); ",IF(BW786=1,"Lose – Tablare geschätzt; ","")))&amp;IF(H786&gt;AT786,"Überbestand "&amp;ROUND(H786-AT786,0)&amp;" Stk / CHF "&amp;ROUND((H786-AT786)*G786,0)&amp;"; ","")&amp;IF(AND(CE786=1,CF786&lt;CG786),"MAX &lt; MB+LG; ","")&amp;IF(AND(CK786&gt;0,CJ786*10&gt;CK786),"zu hoch für Tablar; ","")&amp;IF(AND(BS786=0,OR(CE786=1,AA786&lt;&gt;"",U786&lt;&gt;"",V786&lt;&gt;"",AB786&lt;&gt;"")),"manuell übersteuert; ","")&amp;IF(AND(BW786=0,R786=0),"Gebinde unbekannt / Stellmass fehlt; ","")&amp;IF(AND(BW786=0,N(V786)&lt;=0,N(Q786)&lt;=0),"Menge pro Gebinde fehlt (Ist = 1 Gebinde); ","")&amp;BR786)</f>
        <v>negativer Bestand (Export -71); </v>
      </c>
      <c r="BK786" s="48"/>
      <c r="BL786" s="48"/>
      <c r="BM786" s="55"/>
      <c r="BN786" s="50" t="n">
        <v>-71</v>
      </c>
      <c r="BO786" s="50" t="n">
        <v>92</v>
      </c>
      <c r="BP786" s="49" t="n">
        <v>-2.84</v>
      </c>
      <c r="BQ786" s="50" t="n">
        <v>60</v>
      </c>
      <c r="BR786" s="48"/>
      <c r="BS786" s="53" t="n">
        <v>0</v>
      </c>
      <c r="BT786" s="53" t="n">
        <v>786</v>
      </c>
      <c r="BU786" s="48" t="str">
        <f aca="false">IF(U786&lt;&gt;"",UPPER(TRIM(U786)),IF(BX786=1,UPPER(VLOOKUP(T786,Parameter!$I$27:$K$29,2,0)),IF(P786="","LOSE",P786)))</f>
        <v>S22</v>
      </c>
      <c r="BV786" s="50" t="n">
        <f aca="false">IF(BU786="LOSE",1,IF(N(V786)&gt;0,V786,IF(BX786=1,MAX(1,N(VLOOKUP(T786,Parameter!$I$27:$K$29,3,0)),H786,N(N786)),IF(N(Q786)&gt;0,Q786,MAX(1,H786)))))</f>
        <v>175</v>
      </c>
      <c r="BW786" s="53" t="n">
        <f aca="false">IF(BU786="LOSE",1,0)</f>
        <v>0</v>
      </c>
      <c r="BX786" s="53" t="n">
        <f aca="false">IF(AND(U786="",OR(P786="",P786="LOSE"),T786&lt;&gt;"",N(S786)&lt;=0,ISNUMBER(MATCH(T786,Parameter!$I$27:$I$29,0))),1,0)</f>
        <v>0</v>
      </c>
      <c r="BY786" s="53" t="n">
        <f aca="false">IF(CL786&gt;0,INDEX(Parameter!$H$5:$H$7,W786)/INDEX(Parameter!$E$5:$E$7,W786),IF(AND(BW786=0,N(IFERROR(VLOOKUP(BU786,'Gebinde-Kategorie'!$A$5:$N$45,14,0),0))&gt;0),VLOOKUP(BU786,'Gebinde-Kategorie'!$A$5:$N$45,14,0)*10+Parameter!$M$23,Parameter!$M$24))</f>
        <v>155</v>
      </c>
      <c r="BZ786" s="48" t="str">
        <f aca="false">IF(AND(Parameter!$B$19="Ja",E786&lt;&gt;"",ISNUMBER(MATCH(E786,Parameter!$I$35:$I$52,0))),VLOOKUP(E786,Parameter!$I$35:$J$52,2,0),IFERROR(VLOOKUP(D786,Parameter!$A$35:$C$64,2,0),"Nein"))</f>
        <v>2+3</v>
      </c>
      <c r="CA786" s="52" t="n">
        <f aca="false">IF(BW786=0,0,IF(N(S786)&gt;0,S786,IFERROR(VLOOKUP(D786,Parameter!$A$35:$C$64,3,0)+0,0)))</f>
        <v>0</v>
      </c>
      <c r="CB786" s="48" t="n">
        <f aca="false">IF(AA786&lt;&gt;"",AA786,Z786)</f>
        <v>3</v>
      </c>
      <c r="CC786" s="48" t="str">
        <f aca="false">IF(OR(CB786=1,CB786=2,CB786=3),IF(Parameter!$E$27="Ja","LIFT",IF(CB786=1,"L1","L23")),IF(CB786="Aussen","Aussen","-"))</f>
        <v>LIFT</v>
      </c>
      <c r="CD786" s="59" t="n">
        <f aca="false">IF(N(AB786)&gt;0,AB786,0)</f>
        <v>0</v>
      </c>
      <c r="CE786" s="53" t="n">
        <f aca="false">IF(ISNUMBER(AE786),1,0)</f>
        <v>0</v>
      </c>
      <c r="CF786" s="50" t="n">
        <f aca="false">N(AE786)</f>
        <v>0</v>
      </c>
      <c r="CG786" s="50" t="n">
        <f aca="false">N(M786)+N(N786)</f>
        <v>63</v>
      </c>
      <c r="CH786" s="50" t="n">
        <f aca="false">ROUNDUP(H786/BV786,0)</f>
        <v>1</v>
      </c>
      <c r="CI786" s="50" t="n">
        <f aca="false">ROUNDUP(CF786/BV786,0)</f>
        <v>0</v>
      </c>
      <c r="CJ786" s="53" t="n">
        <f aca="false">IF(BW786=1,0,IFERROR(VLOOKUP(BU786,'Gebinde-Kategorie'!$A$5:$N$45,5,0)+0,0))</f>
        <v>8</v>
      </c>
      <c r="CK786" s="53" t="n">
        <f aca="false">IFERROR(IF(OR(CB786=1,CB786=2,CB786=3),N(INDEX(Parameter!$I$5:$I$7,CB786)),0),0)</f>
        <v>0</v>
      </c>
      <c r="CL786" s="52" t="n">
        <f aca="false">IF(AND(Parameter!$B$21="Ja",ISNUMBER(W786),N(X786)&gt;0),IFERROR(N(INDEX(Parameter!$L$5:$L$7,W786))*INDEX(Parameter!$E$5:$E$7,W786)*X786/SUMIFS($X$7:$X$1843,$W$7:$W$1843,W786),0),0)</f>
        <v>0</v>
      </c>
    </row>
    <row r="787" customFormat="false" ht="15" hidden="false" customHeight="false" outlineLevel="0" collapsed="false">
      <c r="A787" s="48" t="s">
        <v>1538</v>
      </c>
      <c r="B787" s="48" t="s">
        <v>411</v>
      </c>
      <c r="C787" s="48" t="s">
        <v>168</v>
      </c>
      <c r="D787" s="48" t="s">
        <v>188</v>
      </c>
      <c r="E787" s="48" t="s">
        <v>189</v>
      </c>
      <c r="F787" s="48" t="s">
        <v>222</v>
      </c>
      <c r="G787" s="49" t="n">
        <v>0.01</v>
      </c>
      <c r="H787" s="50" t="n">
        <f aca="false">MAX(0,IF(AND(Parameter!$B$21="Ja",ISNUMBER(Y787)),Y787,IF(Parameter!$B$20="Jahresanfang 2025 + Export",BO787+BN787,BN787)))</f>
        <v>1073</v>
      </c>
      <c r="I787" s="50" t="n">
        <f aca="false">H787*G787</f>
        <v>10.73</v>
      </c>
      <c r="J787" s="50" t="n">
        <f aca="false">BQ787*Parameter!$B$18</f>
        <v>642</v>
      </c>
      <c r="K787" s="51" t="n">
        <v>1057.5</v>
      </c>
      <c r="L787" s="52" t="n">
        <v>0.60709219858156</v>
      </c>
      <c r="M787" s="50" t="n">
        <v>38</v>
      </c>
      <c r="N787" s="50" t="n">
        <v>660</v>
      </c>
      <c r="O787" s="53" t="n">
        <v>21</v>
      </c>
      <c r="P787" s="48" t="s">
        <v>430</v>
      </c>
      <c r="Q787" s="50" t="n">
        <v>3002</v>
      </c>
      <c r="R787" s="53" t="n">
        <f aca="false">IF(BW787=1,0,IFERROR(VLOOKUP(BU787,'Gebinde-Kategorie'!$A$5:$N$45,13,0)+0,0))</f>
        <v>140</v>
      </c>
      <c r="S787" s="54"/>
      <c r="T787" s="55"/>
      <c r="U787" s="55"/>
      <c r="V787" s="55"/>
      <c r="W787" s="48"/>
      <c r="X787" s="50"/>
      <c r="Y787" s="50"/>
      <c r="Z787" s="48" t="n">
        <f aca="false">IF(A787="","",IF(AND(Parameter!$B$21="Ja",ISNUMBER(W787)),W787,IF(BZ787="2+3",IF(ISNUMBER(SEARCH("grosser Artikel",BR787)),2,IFERROR(VLOOKUP(BU787,Parameter!$F$35:$G$64,2,0),2)),IF(OR(BZ787="Nein",BZ787=""),"-",BZ787))))</f>
        <v>3</v>
      </c>
      <c r="AA787" s="55"/>
      <c r="AB787" s="56"/>
      <c r="AC787" s="50" t="n">
        <f aca="false">AT787</f>
        <v>3002</v>
      </c>
      <c r="AD787" s="50" t="n">
        <f aca="false">MAX(AT787,H787)</f>
        <v>3002</v>
      </c>
      <c r="AE787" s="57"/>
      <c r="AF787" s="50" t="n">
        <f aca="false">IF(LEFT(Cockpit!$C$5,1)="A",H787,IF(CE787=1,CF787,IF(LEFT(Cockpit!$C$5,1)="B",AK787,MAX(AK787,H787))))</f>
        <v>1073</v>
      </c>
      <c r="AG787" s="50" t="n">
        <f aca="false">IF(BW787=1,0,ROUNDUP(AF787/BV787,0))</f>
        <v>1</v>
      </c>
      <c r="AH787" s="52" t="n">
        <f aca="false">IF(CL787&gt;0,CL787*MAX(1,AF787/X787),IF(BW787=1,IF(AF787&lt;=0,0,CA787*MAX(1,IF(H787&gt;0,AF787/H787,1))),IF(R787&gt;0,AG787/R787,0))/MAX(0.1,N(Parameter!$M$21)))</f>
        <v>0.00714285714285714</v>
      </c>
      <c r="AI787" s="50" t="n">
        <f aca="false">AH787*BY787</f>
        <v>1.10714285714286</v>
      </c>
      <c r="AJ787" s="50" t="n">
        <f aca="false">AF787*G787</f>
        <v>10.73</v>
      </c>
      <c r="AK787" s="50" t="n">
        <f aca="false">ROUNDUP(MAX(J787/IF(CD787&gt;0,CD787,MAX(0.1,N(Cockpit!$C$6))),CG787)/BV787,0)*BV787</f>
        <v>3002</v>
      </c>
      <c r="AL787" s="51" t="n">
        <f aca="false">IF(AI787&gt;0,J787/AI787,-1)</f>
        <v>579.870967741936</v>
      </c>
      <c r="AM787" s="51" t="n">
        <f aca="false">IF(AND(OR(CC787="L1",CC787="L23",CC787="LIFT"),AI787&gt;0),SUMIFS($AI$7:$AI$1843,$CC$7:$CC$1843,CC787,$AL$7:$AL$1843,"&gt;"&amp;AL787)+SUMIFS($AI$7:$AI$1843,$CC$7:$CC$1843,CC787,$AL$7:$AL$1843,AL787,$BT$7:$BT$1843,"&lt;="&amp;BT787),"")</f>
        <v>50.0041208791209</v>
      </c>
      <c r="AN787" s="58" t="n">
        <f aca="false">IF(AM787="",0,MAX(0,MIN(1,(IF(CC787="L1",Parameter!$H$5,IF(CC787="L23",Parameter!$H$6+Parameter!$H$7,Parameter!$H$5+Parameter!$H$6+Parameter!$H$7))-(AM787-AI787))/AI787)))</f>
        <v>1</v>
      </c>
      <c r="AO787" s="50" t="n">
        <f aca="false">IF(LEFT(Cockpit!$I$5,1)="A",H787,IF(CE787=1,CF787,IF(LEFT(Cockpit!$I$5,1)="B",AT787,MAX(AT787,H787))))</f>
        <v>3002</v>
      </c>
      <c r="AP787" s="50" t="n">
        <f aca="false">IF(BW787=1,0,ROUNDUP(AO787/BV787,0))</f>
        <v>1</v>
      </c>
      <c r="AQ787" s="52" t="n">
        <f aca="false">IF(CL787&gt;0,CL787*MAX(1,AO787/X787),IF(BW787=1,IF(AO787&lt;=0,0,CA787*MAX(1,IF(H787&gt;0,AO787/H787,1))),IF(R787&gt;0,AP787/R787,0))/MAX(0.1,N(Parameter!$M$21)))</f>
        <v>0.00714285714285714</v>
      </c>
      <c r="AR787" s="50" t="n">
        <f aca="false">AQ787*BY787</f>
        <v>1.10714285714286</v>
      </c>
      <c r="AS787" s="50" t="n">
        <f aca="false">AO787*G787</f>
        <v>30.02</v>
      </c>
      <c r="AT787" s="50" t="n">
        <f aca="false">ROUNDUP(MAX(J787/IF(CD787&gt;0,CD787,MAX(0.1,N(Cockpit!$I$6))),CG787)/BV787,0)*BV787</f>
        <v>3002</v>
      </c>
      <c r="AU787" s="51" t="n">
        <f aca="false">IF(AR787&gt;0,J787/AR787,-1)</f>
        <v>579.870967741936</v>
      </c>
      <c r="AV787" s="51" t="n">
        <f aca="false">IF(AND(OR(CC787="L1",CC787="L23",CC787="LIFT"),AR787&gt;0),SUMIFS($AR$7:$AR$1843,$CC$7:$CC$1843,CC787,$AU$7:$AU$1843,"&gt;"&amp;AU787)+SUMIFS($AR$7:$AR$1843,$CC$7:$CC$1843,CC787,$AU$7:$AU$1843,AU787,$BT$7:$BT$1843,"&lt;="&amp;BT787),"")</f>
        <v>19.1620879120879</v>
      </c>
      <c r="AW787" s="58" t="n">
        <f aca="false">IF(AV787="",0,MAX(0,MIN(1,(IF(CC787="L1",Parameter!$H$5,IF(CC787="L23",Parameter!$H$6+Parameter!$H$7,Parameter!$H$5+Parameter!$H$6+Parameter!$H$7))-(AV787-AR787))/AR787)))</f>
        <v>1</v>
      </c>
      <c r="AX787" s="50" t="n">
        <f aca="false">IF(LEFT(Cockpit!$O$5,1)="A",H787,IF(CE787=1,CF787,IF(LEFT(Cockpit!$O$5,1)="B",BC787,MAX(BC787,H787))))</f>
        <v>3002</v>
      </c>
      <c r="AY787" s="50" t="n">
        <f aca="false">IF(BW787=1,0,ROUNDUP(AX787/BV787,0))</f>
        <v>1</v>
      </c>
      <c r="AZ787" s="52" t="n">
        <f aca="false">IF(CL787&gt;0,CL787*MAX(1,AX787/X787),IF(BW787=1,IF(AX787&lt;=0,0,CA787*MAX(1,IF(H787&gt;0,AX787/H787,1))),IF(R787&gt;0,AY787/R787,0))/MAX(0.1,N(Parameter!$M$21)))</f>
        <v>0.00714285714285714</v>
      </c>
      <c r="BA787" s="50" t="n">
        <f aca="false">AZ787*BY787</f>
        <v>1.10714285714286</v>
      </c>
      <c r="BB787" s="50" t="n">
        <f aca="false">AX787*G787</f>
        <v>30.02</v>
      </c>
      <c r="BC787" s="50" t="n">
        <f aca="false">ROUNDUP(MAX(J787/IF(CD787&gt;0,CD787,MAX(0.1,N(Cockpit!$O$6))),CG787)/BV787,0)*BV787</f>
        <v>3002</v>
      </c>
      <c r="BD787" s="51" t="n">
        <f aca="false">IF(BA787&gt;0,J787/BA787,-1)</f>
        <v>579.870967741936</v>
      </c>
      <c r="BE787" s="51" t="n">
        <f aca="false">IF(AND(OR(CC787="L1",CC787="L23",CC787="LIFT"),BA787&gt;0),SUMIFS($BA$7:$BA$1843,$CC$7:$CC$1843,CC787,$BD$7:$BD$1843,"&gt;"&amp;BD787)+SUMIFS($BA$7:$BA$1843,$CC$7:$CC$1843,CC787,$BD$7:$BD$1843,BD787,$BT$7:$BT$1843,"&lt;="&amp;BT787),"")</f>
        <v>31.0851648351648</v>
      </c>
      <c r="BF787" s="58" t="n">
        <f aca="false">IF(BE787="",0,MAX(0,MIN(1,(IF(CC787="L1",Parameter!$H$5,IF(CC787="L23",Parameter!$H$6+Parameter!$H$7,Parameter!$H$5+Parameter!$H$6+Parameter!$H$7))-(BE787-BA787))/BA787)))</f>
        <v>1</v>
      </c>
      <c r="BG787" s="48" t="str">
        <f aca="false">IF(AI787&lt;=0,"",IF(CC787="Aussen","Aussenlager",IF(CC787="-","Nicht im Lift",IF(AN787&gt;=1,"Lift",IF(AN787&lt;=0,"Aussenlager","teilweise")))))</f>
        <v>Lift</v>
      </c>
      <c r="BH787" s="48" t="str">
        <f aca="false">IF(AR787&lt;=0,"",IF(CC787="Aussen","Aussenlager",IF(CC787="-","Nicht im Lift",IF(AW787&gt;=1,"Lift",IF(AW787&lt;=0,"Aussenlager","teilweise")))))</f>
        <v>Lift</v>
      </c>
      <c r="BI787" s="48" t="str">
        <f aca="false">IF(BA787&lt;=0,"",IF(CC787="Aussen","Aussenlager",IF(CC787="-","Nicht im Lift",IF(BF787&gt;=1,"Lift",IF(BF787&lt;=0,"Aussenlager","teilweise")))))</f>
        <v>Lift</v>
      </c>
      <c r="BJ787" s="48" t="str">
        <f aca="false">IF(A787="","",IF(BS787=1,"Neu; ","")&amp;IF(AND(BS787=0,BN787&lt;0),"negativer Bestand (Export "&amp;BN787&amp;"); ","")&amp;IF(J787&lt;=0,"Kein Verbrauch; ","")&amp;IF(CL787&gt;0,"Lift "&amp;W787&amp;" lt. Liftbericht (Fach "&amp;X787&amp;" Stk); ",IF(BX787=1,"Gebinde geschätzt ("&amp;T787&amp;"); ",IF(BW787=1,"Lose – Tablare geschätzt; ","")))&amp;IF(H787&gt;AT787,"Überbestand "&amp;ROUND(H787-AT787,0)&amp;" Stk / CHF "&amp;ROUND((H787-AT787)*G787,0)&amp;"; ","")&amp;IF(AND(CE787=1,CF787&lt;CG787),"MAX &lt; MB+LG; ","")&amp;IF(AND(CK787&gt;0,CJ787*10&gt;CK787),"zu hoch für Tablar; ","")&amp;IF(AND(BS787=0,OR(CE787=1,AA787&lt;&gt;"",U787&lt;&gt;"",V787&lt;&gt;"",AB787&lt;&gt;"")),"manuell übersteuert; ","")&amp;IF(AND(BW787=0,R787=0),"Gebinde unbekannt / Stellmass fehlt; ","")&amp;IF(AND(BW787=0,N(V787)&lt;=0,N(Q787)&lt;=0),"Menge pro Gebinde fehlt (Ist = 1 Gebinde); ","")&amp;BR787)</f>
        <v>negativer Bestand (Export -287); Braucht es diesen Artikel ?</v>
      </c>
      <c r="BK787" s="48"/>
      <c r="BL787" s="48"/>
      <c r="BM787" s="55"/>
      <c r="BN787" s="50" t="n">
        <v>-287</v>
      </c>
      <c r="BO787" s="50" t="n">
        <v>1360</v>
      </c>
      <c r="BP787" s="49" t="n">
        <v>-2.87</v>
      </c>
      <c r="BQ787" s="50" t="n">
        <v>642</v>
      </c>
      <c r="BR787" s="48" t="s">
        <v>1539</v>
      </c>
      <c r="BS787" s="53" t="n">
        <v>0</v>
      </c>
      <c r="BT787" s="53" t="n">
        <v>787</v>
      </c>
      <c r="BU787" s="48" t="str">
        <f aca="false">IF(U787&lt;&gt;"",UPPER(TRIM(U787)),IF(BX787=1,UPPER(VLOOKUP(T787,Parameter!$I$27:$K$29,2,0)),IF(P787="","LOSE",P787)))</f>
        <v>S22</v>
      </c>
      <c r="BV787" s="50" t="n">
        <f aca="false">IF(BU787="LOSE",1,IF(N(V787)&gt;0,V787,IF(BX787=1,MAX(1,N(VLOOKUP(T787,Parameter!$I$27:$K$29,3,0)),H787,N(N787)),IF(N(Q787)&gt;0,Q787,MAX(1,H787)))))</f>
        <v>3002</v>
      </c>
      <c r="BW787" s="53" t="n">
        <f aca="false">IF(BU787="LOSE",1,0)</f>
        <v>0</v>
      </c>
      <c r="BX787" s="53" t="n">
        <f aca="false">IF(AND(U787="",OR(P787="",P787="LOSE"),T787&lt;&gt;"",N(S787)&lt;=0,ISNUMBER(MATCH(T787,Parameter!$I$27:$I$29,0))),1,0)</f>
        <v>0</v>
      </c>
      <c r="BY787" s="53" t="n">
        <f aca="false">IF(CL787&gt;0,INDEX(Parameter!$H$5:$H$7,W787)/INDEX(Parameter!$E$5:$E$7,W787),IF(AND(BW787=0,N(IFERROR(VLOOKUP(BU787,'Gebinde-Kategorie'!$A$5:$N$45,14,0),0))&gt;0),VLOOKUP(BU787,'Gebinde-Kategorie'!$A$5:$N$45,14,0)*10+Parameter!$M$23,Parameter!$M$24))</f>
        <v>155</v>
      </c>
      <c r="BZ787" s="48" t="str">
        <f aca="false">IF(AND(Parameter!$B$19="Ja",E787&lt;&gt;"",ISNUMBER(MATCH(E787,Parameter!$I$35:$I$52,0))),VLOOKUP(E787,Parameter!$I$35:$J$52,2,0),IFERROR(VLOOKUP(D787,Parameter!$A$35:$C$64,2,0),"Nein"))</f>
        <v>2+3</v>
      </c>
      <c r="CA787" s="52" t="n">
        <f aca="false">IF(BW787=0,0,IF(N(S787)&gt;0,S787,IFERROR(VLOOKUP(D787,Parameter!$A$35:$C$64,3,0)+0,0)))</f>
        <v>0</v>
      </c>
      <c r="CB787" s="48" t="n">
        <f aca="false">IF(AA787&lt;&gt;"",AA787,Z787)</f>
        <v>3</v>
      </c>
      <c r="CC787" s="48" t="str">
        <f aca="false">IF(OR(CB787=1,CB787=2,CB787=3),IF(Parameter!$E$27="Ja","LIFT",IF(CB787=1,"L1","L23")),IF(CB787="Aussen","Aussen","-"))</f>
        <v>LIFT</v>
      </c>
      <c r="CD787" s="59" t="n">
        <f aca="false">IF(N(AB787)&gt;0,AB787,0)</f>
        <v>0</v>
      </c>
      <c r="CE787" s="53" t="n">
        <f aca="false">IF(ISNUMBER(AE787),1,0)</f>
        <v>0</v>
      </c>
      <c r="CF787" s="50" t="n">
        <f aca="false">N(AE787)</f>
        <v>0</v>
      </c>
      <c r="CG787" s="50" t="n">
        <f aca="false">N(M787)+N(N787)</f>
        <v>698</v>
      </c>
      <c r="CH787" s="50" t="n">
        <f aca="false">ROUNDUP(H787/BV787,0)</f>
        <v>1</v>
      </c>
      <c r="CI787" s="50" t="n">
        <f aca="false">ROUNDUP(CF787/BV787,0)</f>
        <v>0</v>
      </c>
      <c r="CJ787" s="53" t="n">
        <f aca="false">IF(BW787=1,0,IFERROR(VLOOKUP(BU787,'Gebinde-Kategorie'!$A$5:$N$45,5,0)+0,0))</f>
        <v>8</v>
      </c>
      <c r="CK787" s="53" t="n">
        <f aca="false">IFERROR(IF(OR(CB787=1,CB787=2,CB787=3),N(INDEX(Parameter!$I$5:$I$7,CB787)),0),0)</f>
        <v>0</v>
      </c>
      <c r="CL787" s="52" t="n">
        <f aca="false">IF(AND(Parameter!$B$21="Ja",ISNUMBER(W787),N(X787)&gt;0),IFERROR(N(INDEX(Parameter!$L$5:$L$7,W787))*INDEX(Parameter!$E$5:$E$7,W787)*X787/SUMIFS($X$7:$X$1843,$W$7:$W$1843,W787),0),0)</f>
        <v>0</v>
      </c>
    </row>
    <row r="788" customFormat="false" ht="15" hidden="false" customHeight="false" outlineLevel="0" collapsed="false">
      <c r="A788" s="48" t="s">
        <v>1540</v>
      </c>
      <c r="B788" s="48" t="s">
        <v>1541</v>
      </c>
      <c r="C788" s="48" t="s">
        <v>168</v>
      </c>
      <c r="D788" s="48" t="s">
        <v>188</v>
      </c>
      <c r="E788" s="48"/>
      <c r="F788" s="48" t="s">
        <v>222</v>
      </c>
      <c r="G788" s="49" t="n">
        <v>1.5</v>
      </c>
      <c r="H788" s="50" t="n">
        <f aca="false">MAX(0,IF(AND(Parameter!$B$21="Ja",ISNUMBER(Y788)),Y788,IF(Parameter!$B$20="Jahresanfang 2025 + Export",BO788+BN788,BN788)))</f>
        <v>56</v>
      </c>
      <c r="I788" s="50" t="n">
        <f aca="false">H788*G788</f>
        <v>84</v>
      </c>
      <c r="J788" s="50" t="n">
        <f aca="false">BQ788*Parameter!$B$18</f>
        <v>0</v>
      </c>
      <c r="K788" s="51" t="n">
        <v>57</v>
      </c>
      <c r="L788" s="52" t="n">
        <v>0</v>
      </c>
      <c r="M788" s="50" t="n">
        <v>0</v>
      </c>
      <c r="N788" s="50" t="n">
        <v>1</v>
      </c>
      <c r="O788" s="53" t="n">
        <v>42</v>
      </c>
      <c r="P788" s="48" t="s">
        <v>405</v>
      </c>
      <c r="Q788" s="50" t="n">
        <v>100</v>
      </c>
      <c r="R788" s="53" t="n">
        <f aca="false">IF(BW788=1,0,IFERROR(VLOOKUP(BU788,'Gebinde-Kategorie'!$A$5:$N$45,13,0)+0,0))</f>
        <v>280</v>
      </c>
      <c r="S788" s="54"/>
      <c r="T788" s="55"/>
      <c r="U788" s="55"/>
      <c r="V788" s="55"/>
      <c r="W788" s="48"/>
      <c r="X788" s="50"/>
      <c r="Y788" s="50"/>
      <c r="Z788" s="48" t="n">
        <f aca="false">IF(A788="","",IF(AND(Parameter!$B$21="Ja",ISNUMBER(W788)),W788,IF(BZ788="2+3",IF(ISNUMBER(SEARCH("grosser Artikel",BR788)),2,IFERROR(VLOOKUP(BU788,Parameter!$F$35:$G$64,2,0),2)),IF(OR(BZ788="Nein",BZ788=""),"-",BZ788))))</f>
        <v>3</v>
      </c>
      <c r="AA788" s="55"/>
      <c r="AB788" s="56"/>
      <c r="AC788" s="50" t="n">
        <f aca="false">AT788</f>
        <v>100</v>
      </c>
      <c r="AD788" s="50" t="n">
        <f aca="false">MAX(AT788,H788)</f>
        <v>100</v>
      </c>
      <c r="AE788" s="57"/>
      <c r="AF788" s="50" t="n">
        <f aca="false">IF(LEFT(Cockpit!$C$5,1)="A",H788,IF(CE788=1,CF788,IF(LEFT(Cockpit!$C$5,1)="B",AK788,MAX(AK788,H788))))</f>
        <v>56</v>
      </c>
      <c r="AG788" s="50" t="n">
        <f aca="false">IF(BW788=1,0,ROUNDUP(AF788/BV788,0))</f>
        <v>1</v>
      </c>
      <c r="AH788" s="52" t="n">
        <f aca="false">IF(CL788&gt;0,CL788*MAX(1,AF788/X788),IF(BW788=1,IF(AF788&lt;=0,0,CA788*MAX(1,IF(H788&gt;0,AF788/H788,1))),IF(R788&gt;0,AG788/R788,0))/MAX(0.1,N(Parameter!$M$21)))</f>
        <v>0.00357142857142857</v>
      </c>
      <c r="AI788" s="50" t="n">
        <f aca="false">AH788*BY788</f>
        <v>0.553571428571429</v>
      </c>
      <c r="AJ788" s="50" t="n">
        <f aca="false">AF788*G788</f>
        <v>84</v>
      </c>
      <c r="AK788" s="50" t="n">
        <f aca="false">ROUNDUP(MAX(J788/IF(CD788&gt;0,CD788,MAX(0.1,N(Cockpit!$C$6))),CG788)/BV788,0)*BV788</f>
        <v>100</v>
      </c>
      <c r="AL788" s="51" t="n">
        <f aca="false">IF(AI788&gt;0,J788/AI788,-1)</f>
        <v>0</v>
      </c>
      <c r="AM788" s="51" t="n">
        <f aca="false">IF(AND(OR(CC788="L1",CC788="L23",CC788="LIFT"),AI788&gt;0),SUMIFS($AI$7:$AI$1843,$CC$7:$CC$1843,CC788,$AL$7:$AL$1843,"&gt;"&amp;AL788)+SUMIFS($AI$7:$AI$1843,$CC$7:$CC$1843,CC788,$AL$7:$AL$1843,AL788,$BT$7:$BT$1843,"&lt;="&amp;BT788),"")</f>
        <v>28761.2845088057</v>
      </c>
      <c r="AN788" s="58" t="n">
        <f aca="false">IF(AM788="",0,MAX(0,MIN(1,(IF(CC788="L1",Parameter!$H$5,IF(CC788="L23",Parameter!$H$6+Parameter!$H$7,Parameter!$H$5+Parameter!$H$6+Parameter!$H$7))-(AM788-AI788))/AI788)))</f>
        <v>1</v>
      </c>
      <c r="AO788" s="50" t="n">
        <f aca="false">IF(LEFT(Cockpit!$I$5,1)="A",H788,IF(CE788=1,CF788,IF(LEFT(Cockpit!$I$5,1)="B",AT788,MAX(AT788,H788))))</f>
        <v>100</v>
      </c>
      <c r="AP788" s="50" t="n">
        <f aca="false">IF(BW788=1,0,ROUNDUP(AO788/BV788,0))</f>
        <v>1</v>
      </c>
      <c r="AQ788" s="52" t="n">
        <f aca="false">IF(CL788&gt;0,CL788*MAX(1,AO788/X788),IF(BW788=1,IF(AO788&lt;=0,0,CA788*MAX(1,IF(H788&gt;0,AO788/H788,1))),IF(R788&gt;0,AP788/R788,0))/MAX(0.1,N(Parameter!$M$21)))</f>
        <v>0.00357142857142857</v>
      </c>
      <c r="AR788" s="50" t="n">
        <f aca="false">AQ788*BY788</f>
        <v>0.553571428571429</v>
      </c>
      <c r="AS788" s="50" t="n">
        <f aca="false">AO788*G788</f>
        <v>150</v>
      </c>
      <c r="AT788" s="50" t="n">
        <f aca="false">ROUNDUP(MAX(J788/IF(CD788&gt;0,CD788,MAX(0.1,N(Cockpit!$I$6))),CG788)/BV788,0)*BV788</f>
        <v>100</v>
      </c>
      <c r="AU788" s="51" t="n">
        <f aca="false">IF(AR788&gt;0,J788/AR788,-1)</f>
        <v>0</v>
      </c>
      <c r="AV788" s="51" t="n">
        <f aca="false">IF(AND(OR(CC788="L1",CC788="L23",CC788="LIFT"),AR788&gt;0),SUMIFS($AR$7:$AR$1843,$CC$7:$CC$1843,CC788,$AU$7:$AU$1843,"&gt;"&amp;AU788)+SUMIFS($AR$7:$AR$1843,$CC$7:$CC$1843,CC788,$AU$7:$AU$1843,AU788,$BT$7:$BT$1843,"&lt;="&amp;BT788),"")</f>
        <v>40332.3397513503</v>
      </c>
      <c r="AW788" s="58" t="n">
        <f aca="false">IF(AV788="",0,MAX(0,MIN(1,(IF(CC788="L1",Parameter!$H$5,IF(CC788="L23",Parameter!$H$6+Parameter!$H$7,Parameter!$H$5+Parameter!$H$6+Parameter!$H$7))-(AV788-AR788))/AR788)))</f>
        <v>0</v>
      </c>
      <c r="AX788" s="50" t="n">
        <f aca="false">IF(LEFT(Cockpit!$O$5,1)="A",H788,IF(CE788=1,CF788,IF(LEFT(Cockpit!$O$5,1)="B",BC788,MAX(BC788,H788))))</f>
        <v>100</v>
      </c>
      <c r="AY788" s="50" t="n">
        <f aca="false">IF(BW788=1,0,ROUNDUP(AX788/BV788,0))</f>
        <v>1</v>
      </c>
      <c r="AZ788" s="52" t="n">
        <f aca="false">IF(CL788&gt;0,CL788*MAX(1,AX788/X788),IF(BW788=1,IF(AX788&lt;=0,0,CA788*MAX(1,IF(H788&gt;0,AX788/H788,1))),IF(R788&gt;0,AY788/R788,0))/MAX(0.1,N(Parameter!$M$21)))</f>
        <v>0.00357142857142857</v>
      </c>
      <c r="BA788" s="50" t="n">
        <f aca="false">AZ788*BY788</f>
        <v>0.553571428571429</v>
      </c>
      <c r="BB788" s="50" t="n">
        <f aca="false">AX788*G788</f>
        <v>150</v>
      </c>
      <c r="BC788" s="50" t="n">
        <f aca="false">ROUNDUP(MAX(J788/IF(CD788&gt;0,CD788,MAX(0.1,N(Cockpit!$O$6))),CG788)/BV788,0)*BV788</f>
        <v>100</v>
      </c>
      <c r="BD788" s="51" t="n">
        <f aca="false">IF(BA788&gt;0,J788/BA788,-1)</f>
        <v>0</v>
      </c>
      <c r="BE788" s="51" t="n">
        <f aca="false">IF(AND(OR(CC788="L1",CC788="L23",CC788="LIFT"),BA788&gt;0),SUMIFS($BA$7:$BA$1843,$CC$7:$CC$1843,CC788,$BD$7:$BD$1843,"&gt;"&amp;BD788)+SUMIFS($BA$7:$BA$1843,$CC$7:$CC$1843,CC788,$BD$7:$BD$1843,BD788,$BT$7:$BT$1843,"&lt;="&amp;BT788),"")</f>
        <v>37007.3517932162</v>
      </c>
      <c r="BF788" s="58" t="n">
        <f aca="false">IF(BE788="",0,MAX(0,MIN(1,(IF(CC788="L1",Parameter!$H$5,IF(CC788="L23",Parameter!$H$6+Parameter!$H$7,Parameter!$H$5+Parameter!$H$6+Parameter!$H$7))-(BE788-BA788))/BA788)))</f>
        <v>0</v>
      </c>
      <c r="BG788" s="48" t="str">
        <f aca="false">IF(AI788&lt;=0,"",IF(CC788="Aussen","Aussenlager",IF(CC788="-","Nicht im Lift",IF(AN788&gt;=1,"Lift",IF(AN788&lt;=0,"Aussenlager","teilweise")))))</f>
        <v>Lift</v>
      </c>
      <c r="BH788" s="48" t="str">
        <f aca="false">IF(AR788&lt;=0,"",IF(CC788="Aussen","Aussenlager",IF(CC788="-","Nicht im Lift",IF(AW788&gt;=1,"Lift",IF(AW788&lt;=0,"Aussenlager","teilweise")))))</f>
        <v>Aussenlager</v>
      </c>
      <c r="BI788" s="48" t="str">
        <f aca="false">IF(BA788&lt;=0,"",IF(CC788="Aussen","Aussenlager",IF(CC788="-","Nicht im Lift",IF(BF788&gt;=1,"Lift",IF(BF788&lt;=0,"Aussenlager","teilweise")))))</f>
        <v>Aussenlager</v>
      </c>
      <c r="BJ788" s="48" t="str">
        <f aca="false">IF(A788="","",IF(BS788=1,"Neu; ","")&amp;IF(AND(BS788=0,BN788&lt;0),"negativer Bestand (Export "&amp;BN788&amp;"); ","")&amp;IF(J788&lt;=0,"Kein Verbrauch; ","")&amp;IF(CL788&gt;0,"Lift "&amp;W788&amp;" lt. Liftbericht (Fach "&amp;X788&amp;" Stk); ",IF(BX788=1,"Gebinde geschätzt ("&amp;T788&amp;"); ",IF(BW788=1,"Lose – Tablare geschätzt; ","")))&amp;IF(H788&gt;AT788,"Überbestand "&amp;ROUND(H788-AT788,0)&amp;" Stk / CHF "&amp;ROUND((H788-AT788)*G788,0)&amp;"; ","")&amp;IF(AND(CE788=1,CF788&lt;CG788),"MAX &lt; MB+LG; ","")&amp;IF(AND(CK788&gt;0,CJ788*10&gt;CK788),"zu hoch für Tablar; ","")&amp;IF(AND(BS788=0,OR(CE788=1,AA788&lt;&gt;"",U788&lt;&gt;"",V788&lt;&gt;"",AB788&lt;&gt;"")),"manuell übersteuert; ","")&amp;IF(AND(BW788=0,R788=0),"Gebinde unbekannt / Stellmass fehlt; ","")&amp;IF(AND(BW788=0,N(V788)&lt;=0,N(Q788)&lt;=0),"Menge pro Gebinde fehlt (Ist = 1 Gebinde); ","")&amp;BR788)</f>
        <v>negativer Bestand (Export -2); Kein Verbrauch; </v>
      </c>
      <c r="BK788" s="48"/>
      <c r="BL788" s="48"/>
      <c r="BM788" s="55"/>
      <c r="BN788" s="50" t="n">
        <v>-2</v>
      </c>
      <c r="BO788" s="50" t="n">
        <v>58</v>
      </c>
      <c r="BP788" s="49" t="n">
        <v>-3</v>
      </c>
      <c r="BQ788" s="50" t="n">
        <v>0</v>
      </c>
      <c r="BR788" s="48"/>
      <c r="BS788" s="53" t="n">
        <v>0</v>
      </c>
      <c r="BT788" s="53" t="n">
        <v>788</v>
      </c>
      <c r="BU788" s="48" t="str">
        <f aca="false">IF(U788&lt;&gt;"",UPPER(TRIM(U788)),IF(BX788=1,UPPER(VLOOKUP(T788,Parameter!$I$27:$K$29,2,0)),IF(P788="","LOSE",P788)))</f>
        <v>S21</v>
      </c>
      <c r="BV788" s="50" t="n">
        <f aca="false">IF(BU788="LOSE",1,IF(N(V788)&gt;0,V788,IF(BX788=1,MAX(1,N(VLOOKUP(T788,Parameter!$I$27:$K$29,3,0)),H788,N(N788)),IF(N(Q788)&gt;0,Q788,MAX(1,H788)))))</f>
        <v>100</v>
      </c>
      <c r="BW788" s="53" t="n">
        <f aca="false">IF(BU788="LOSE",1,0)</f>
        <v>0</v>
      </c>
      <c r="BX788" s="53" t="n">
        <f aca="false">IF(AND(U788="",OR(P788="",P788="LOSE"),T788&lt;&gt;"",N(S788)&lt;=0,ISNUMBER(MATCH(T788,Parameter!$I$27:$I$29,0))),1,0)</f>
        <v>0</v>
      </c>
      <c r="BY788" s="53" t="n">
        <f aca="false">IF(CL788&gt;0,INDEX(Parameter!$H$5:$H$7,W788)/INDEX(Parameter!$E$5:$E$7,W788),IF(AND(BW788=0,N(IFERROR(VLOOKUP(BU788,'Gebinde-Kategorie'!$A$5:$N$45,14,0),0))&gt;0),VLOOKUP(BU788,'Gebinde-Kategorie'!$A$5:$N$45,14,0)*10+Parameter!$M$23,Parameter!$M$24))</f>
        <v>155</v>
      </c>
      <c r="BZ788" s="48" t="str">
        <f aca="false">IF(AND(Parameter!$B$19="Ja",E788&lt;&gt;"",ISNUMBER(MATCH(E788,Parameter!$I$35:$I$52,0))),VLOOKUP(E788,Parameter!$I$35:$J$52,2,0),IFERROR(VLOOKUP(D788,Parameter!$A$35:$C$64,2,0),"Nein"))</f>
        <v>2+3</v>
      </c>
      <c r="CA788" s="52" t="n">
        <f aca="false">IF(BW788=0,0,IF(N(S788)&gt;0,S788,IFERROR(VLOOKUP(D788,Parameter!$A$35:$C$64,3,0)+0,0)))</f>
        <v>0</v>
      </c>
      <c r="CB788" s="48" t="n">
        <f aca="false">IF(AA788&lt;&gt;"",AA788,Z788)</f>
        <v>3</v>
      </c>
      <c r="CC788" s="48" t="str">
        <f aca="false">IF(OR(CB788=1,CB788=2,CB788=3),IF(Parameter!$E$27="Ja","LIFT",IF(CB788=1,"L1","L23")),IF(CB788="Aussen","Aussen","-"))</f>
        <v>LIFT</v>
      </c>
      <c r="CD788" s="59" t="n">
        <f aca="false">IF(N(AB788)&gt;0,AB788,0)</f>
        <v>0</v>
      </c>
      <c r="CE788" s="53" t="n">
        <f aca="false">IF(ISNUMBER(AE788),1,0)</f>
        <v>0</v>
      </c>
      <c r="CF788" s="50" t="n">
        <f aca="false">N(AE788)</f>
        <v>0</v>
      </c>
      <c r="CG788" s="50" t="n">
        <f aca="false">N(M788)+N(N788)</f>
        <v>1</v>
      </c>
      <c r="CH788" s="50" t="n">
        <f aca="false">ROUNDUP(H788/BV788,0)</f>
        <v>1</v>
      </c>
      <c r="CI788" s="50" t="n">
        <f aca="false">ROUNDUP(CF788/BV788,0)</f>
        <v>0</v>
      </c>
      <c r="CJ788" s="53" t="n">
        <f aca="false">IF(BW788=1,0,IFERROR(VLOOKUP(BU788,'Gebinde-Kategorie'!$A$5:$N$45,5,0)+0,0))</f>
        <v>8</v>
      </c>
      <c r="CK788" s="53" t="n">
        <f aca="false">IFERROR(IF(OR(CB788=1,CB788=2,CB788=3),N(INDEX(Parameter!$I$5:$I$7,CB788)),0),0)</f>
        <v>0</v>
      </c>
      <c r="CL788" s="52" t="n">
        <f aca="false">IF(AND(Parameter!$B$21="Ja",ISNUMBER(W788),N(X788)&gt;0),IFERROR(N(INDEX(Parameter!$L$5:$L$7,W788))*INDEX(Parameter!$E$5:$E$7,W788)*X788/SUMIFS($X$7:$X$1843,$W$7:$W$1843,W788),0),0)</f>
        <v>0</v>
      </c>
    </row>
    <row r="789" customFormat="false" ht="15" hidden="false" customHeight="false" outlineLevel="0" collapsed="false">
      <c r="A789" s="48" t="s">
        <v>1542</v>
      </c>
      <c r="B789" s="48" t="s">
        <v>953</v>
      </c>
      <c r="C789" s="48" t="s">
        <v>168</v>
      </c>
      <c r="D789" s="48" t="s">
        <v>188</v>
      </c>
      <c r="E789" s="48"/>
      <c r="F789" s="48" t="s">
        <v>222</v>
      </c>
      <c r="G789" s="49" t="n">
        <v>0.03</v>
      </c>
      <c r="H789" s="50" t="n">
        <f aca="false">MAX(0,IF(AND(Parameter!$B$21="Ja",ISNUMBER(Y789)),Y789,IF(Parameter!$B$20="Jahresanfang 2025 + Export",BO789+BN789,BN789)))</f>
        <v>52</v>
      </c>
      <c r="I789" s="50" t="n">
        <f aca="false">H789*G789</f>
        <v>1.56</v>
      </c>
      <c r="J789" s="50" t="n">
        <f aca="false">BQ789*Parameter!$B$18</f>
        <v>132</v>
      </c>
      <c r="K789" s="51" t="n">
        <v>151.5</v>
      </c>
      <c r="L789" s="52" t="n">
        <v>0.871287128712871</v>
      </c>
      <c r="M789" s="50" t="n">
        <v>7</v>
      </c>
      <c r="N789" s="50" t="n">
        <v>130</v>
      </c>
      <c r="O789" s="53" t="n">
        <v>21</v>
      </c>
      <c r="P789" s="48" t="s">
        <v>405</v>
      </c>
      <c r="Q789" s="50" t="n">
        <v>70</v>
      </c>
      <c r="R789" s="53" t="n">
        <f aca="false">IF(BW789=1,0,IFERROR(VLOOKUP(BU789,'Gebinde-Kategorie'!$A$5:$N$45,13,0)+0,0))</f>
        <v>280</v>
      </c>
      <c r="S789" s="54"/>
      <c r="T789" s="55"/>
      <c r="U789" s="55"/>
      <c r="V789" s="55"/>
      <c r="W789" s="48"/>
      <c r="X789" s="50"/>
      <c r="Y789" s="50"/>
      <c r="Z789" s="48" t="n">
        <f aca="false">IF(A789="","",IF(AND(Parameter!$B$21="Ja",ISNUMBER(W789)),W789,IF(BZ789="2+3",IF(ISNUMBER(SEARCH("grosser Artikel",BR789)),2,IFERROR(VLOOKUP(BU789,Parameter!$F$35:$G$64,2,0),2)),IF(OR(BZ789="Nein",BZ789=""),"-",BZ789))))</f>
        <v>3</v>
      </c>
      <c r="AA789" s="55"/>
      <c r="AB789" s="56"/>
      <c r="AC789" s="50" t="n">
        <f aca="false">AT789</f>
        <v>140</v>
      </c>
      <c r="AD789" s="50" t="n">
        <f aca="false">MAX(AT789,H789)</f>
        <v>140</v>
      </c>
      <c r="AE789" s="57"/>
      <c r="AF789" s="50" t="n">
        <f aca="false">IF(LEFT(Cockpit!$C$5,1)="A",H789,IF(CE789=1,CF789,IF(LEFT(Cockpit!$C$5,1)="B",AK789,MAX(AK789,H789))))</f>
        <v>52</v>
      </c>
      <c r="AG789" s="50" t="n">
        <f aca="false">IF(BW789=1,0,ROUNDUP(AF789/BV789,0))</f>
        <v>1</v>
      </c>
      <c r="AH789" s="52" t="n">
        <f aca="false">IF(CL789&gt;0,CL789*MAX(1,AF789/X789),IF(BW789=1,IF(AF789&lt;=0,0,CA789*MAX(1,IF(H789&gt;0,AF789/H789,1))),IF(R789&gt;0,AG789/R789,0))/MAX(0.1,N(Parameter!$M$21)))</f>
        <v>0.00357142857142857</v>
      </c>
      <c r="AI789" s="50" t="n">
        <f aca="false">AH789*BY789</f>
        <v>0.553571428571429</v>
      </c>
      <c r="AJ789" s="50" t="n">
        <f aca="false">AF789*G789</f>
        <v>1.56</v>
      </c>
      <c r="AK789" s="50" t="n">
        <f aca="false">ROUNDUP(MAX(J789/IF(CD789&gt;0,CD789,MAX(0.1,N(Cockpit!$C$6))),CG789)/BV789,0)*BV789</f>
        <v>140</v>
      </c>
      <c r="AL789" s="51" t="n">
        <f aca="false">IF(AI789&gt;0,J789/AI789,-1)</f>
        <v>238.451612903226</v>
      </c>
      <c r="AM789" s="51" t="n">
        <f aca="false">IF(AND(OR(CC789="L1",CC789="L23",CC789="LIFT"),AI789&gt;0),SUMIFS($AI$7:$AI$1843,$CC$7:$CC$1843,CC789,$AL$7:$AL$1843,"&gt;"&amp;AL789)+SUMIFS($AI$7:$AI$1843,$CC$7:$CC$1843,CC789,$AL$7:$AL$1843,AL789,$BT$7:$BT$1843,"&lt;="&amp;BT789),"")</f>
        <v>306.490842490843</v>
      </c>
      <c r="AN789" s="58" t="n">
        <f aca="false">IF(AM789="",0,MAX(0,MIN(1,(IF(CC789="L1",Parameter!$H$5,IF(CC789="L23",Parameter!$H$6+Parameter!$H$7,Parameter!$H$5+Parameter!$H$6+Parameter!$H$7))-(AM789-AI789))/AI789)))</f>
        <v>1</v>
      </c>
      <c r="AO789" s="50" t="n">
        <f aca="false">IF(LEFT(Cockpit!$I$5,1)="A",H789,IF(CE789=1,CF789,IF(LEFT(Cockpit!$I$5,1)="B",AT789,MAX(AT789,H789))))</f>
        <v>140</v>
      </c>
      <c r="AP789" s="50" t="n">
        <f aca="false">IF(BW789=1,0,ROUNDUP(AO789/BV789,0))</f>
        <v>2</v>
      </c>
      <c r="AQ789" s="52" t="n">
        <f aca="false">IF(CL789&gt;0,CL789*MAX(1,AO789/X789),IF(BW789=1,IF(AO789&lt;=0,0,CA789*MAX(1,IF(H789&gt;0,AO789/H789,1))),IF(R789&gt;0,AP789/R789,0))/MAX(0.1,N(Parameter!$M$21)))</f>
        <v>0.00714285714285714</v>
      </c>
      <c r="AR789" s="50" t="n">
        <f aca="false">AQ789*BY789</f>
        <v>1.10714285714286</v>
      </c>
      <c r="AS789" s="50" t="n">
        <f aca="false">AO789*G789</f>
        <v>4.2</v>
      </c>
      <c r="AT789" s="50" t="n">
        <f aca="false">ROUNDUP(MAX(J789/IF(CD789&gt;0,CD789,MAX(0.1,N(Cockpit!$I$6))),CG789)/BV789,0)*BV789</f>
        <v>140</v>
      </c>
      <c r="AU789" s="51" t="n">
        <f aca="false">IF(AR789&gt;0,J789/AR789,-1)</f>
        <v>119.225806451613</v>
      </c>
      <c r="AV789" s="51" t="n">
        <f aca="false">IF(AND(OR(CC789="L1",CC789="L23",CC789="LIFT"),AR789&gt;0),SUMIFS($AR$7:$AR$1843,$CC$7:$CC$1843,CC789,$AU$7:$AU$1843,"&gt;"&amp;AU789)+SUMIFS($AR$7:$AR$1843,$CC$7:$CC$1843,CC789,$AU$7:$AU$1843,AU789,$BT$7:$BT$1843,"&lt;="&amp;BT789),"")</f>
        <v>835.657051282051</v>
      </c>
      <c r="AW789" s="58" t="n">
        <f aca="false">IF(AV789="",0,MAX(0,MIN(1,(IF(CC789="L1",Parameter!$H$5,IF(CC789="L23",Parameter!$H$6+Parameter!$H$7,Parameter!$H$5+Parameter!$H$6+Parameter!$H$7))-(AV789-AR789))/AR789)))</f>
        <v>1</v>
      </c>
      <c r="AX789" s="50" t="n">
        <f aca="false">IF(LEFT(Cockpit!$O$5,1)="A",H789,IF(CE789=1,CF789,IF(LEFT(Cockpit!$O$5,1)="B",BC789,MAX(BC789,H789))))</f>
        <v>140</v>
      </c>
      <c r="AY789" s="50" t="n">
        <f aca="false">IF(BW789=1,0,ROUNDUP(AX789/BV789,0))</f>
        <v>2</v>
      </c>
      <c r="AZ789" s="52" t="n">
        <f aca="false">IF(CL789&gt;0,CL789*MAX(1,AX789/X789),IF(BW789=1,IF(AX789&lt;=0,0,CA789*MAX(1,IF(H789&gt;0,AX789/H789,1))),IF(R789&gt;0,AY789/R789,0))/MAX(0.1,N(Parameter!$M$21)))</f>
        <v>0.00714285714285714</v>
      </c>
      <c r="BA789" s="50" t="n">
        <f aca="false">AZ789*BY789</f>
        <v>1.10714285714286</v>
      </c>
      <c r="BB789" s="50" t="n">
        <f aca="false">AX789*G789</f>
        <v>4.2</v>
      </c>
      <c r="BC789" s="50" t="n">
        <f aca="false">ROUNDUP(MAX(J789/IF(CD789&gt;0,CD789,MAX(0.1,N(Cockpit!$O$6))),CG789)/BV789,0)*BV789</f>
        <v>140</v>
      </c>
      <c r="BD789" s="51" t="n">
        <f aca="false">IF(BA789&gt;0,J789/BA789,-1)</f>
        <v>119.225806451613</v>
      </c>
      <c r="BE789" s="51" t="n">
        <f aca="false">IF(AND(OR(CC789="L1",CC789="L23",CC789="LIFT"),BA789&gt;0),SUMIFS($BA$7:$BA$1843,$CC$7:$CC$1843,CC789,$BD$7:$BD$1843,"&gt;"&amp;BD789)+SUMIFS($BA$7:$BA$1843,$CC$7:$CC$1843,CC789,$BD$7:$BD$1843,BD789,$BT$7:$BT$1843,"&lt;="&amp;BT789),"")</f>
        <v>780.096153846154</v>
      </c>
      <c r="BF789" s="58" t="n">
        <f aca="false">IF(BE789="",0,MAX(0,MIN(1,(IF(CC789="L1",Parameter!$H$5,IF(CC789="L23",Parameter!$H$6+Parameter!$H$7,Parameter!$H$5+Parameter!$H$6+Parameter!$H$7))-(BE789-BA789))/BA789)))</f>
        <v>1</v>
      </c>
      <c r="BG789" s="48" t="str">
        <f aca="false">IF(AI789&lt;=0,"",IF(CC789="Aussen","Aussenlager",IF(CC789="-","Nicht im Lift",IF(AN789&gt;=1,"Lift",IF(AN789&lt;=0,"Aussenlager","teilweise")))))</f>
        <v>Lift</v>
      </c>
      <c r="BH789" s="48" t="str">
        <f aca="false">IF(AR789&lt;=0,"",IF(CC789="Aussen","Aussenlager",IF(CC789="-","Nicht im Lift",IF(AW789&gt;=1,"Lift",IF(AW789&lt;=0,"Aussenlager","teilweise")))))</f>
        <v>Lift</v>
      </c>
      <c r="BI789" s="48" t="str">
        <f aca="false">IF(BA789&lt;=0,"",IF(CC789="Aussen","Aussenlager",IF(CC789="-","Nicht im Lift",IF(BF789&gt;=1,"Lift",IF(BF789&lt;=0,"Aussenlager","teilweise")))))</f>
        <v>Lift</v>
      </c>
      <c r="BJ789" s="48" t="str">
        <f aca="false">IF(A789="","",IF(BS789=1,"Neu; ","")&amp;IF(AND(BS789=0,BN789&lt;0),"negativer Bestand (Export "&amp;BN789&amp;"); ","")&amp;IF(J789&lt;=0,"Kein Verbrauch; ","")&amp;IF(CL789&gt;0,"Lift "&amp;W789&amp;" lt. Liftbericht (Fach "&amp;X789&amp;" Stk); ",IF(BX789=1,"Gebinde geschätzt ("&amp;T789&amp;"); ",IF(BW789=1,"Lose – Tablare geschätzt; ","")))&amp;IF(H789&gt;AT789,"Überbestand "&amp;ROUND(H789-AT789,0)&amp;" Stk / CHF "&amp;ROUND((H789-AT789)*G789,0)&amp;"; ","")&amp;IF(AND(CE789=1,CF789&lt;CG789),"MAX &lt; MB+LG; ","")&amp;IF(AND(CK789&gt;0,CJ789*10&gt;CK789),"zu hoch für Tablar; ","")&amp;IF(AND(BS789=0,OR(CE789=1,AA789&lt;&gt;"",U789&lt;&gt;"",V789&lt;&gt;"",AB789&lt;&gt;"")),"manuell übersteuert; ","")&amp;IF(AND(BW789=0,R789=0),"Gebinde unbekannt / Stellmass fehlt; ","")&amp;IF(AND(BW789=0,N(V789)&lt;=0,N(Q789)&lt;=0),"Menge pro Gebinde fehlt (Ist = 1 Gebinde); ","")&amp;BR789)</f>
        <v>negativer Bestand (Export -101); </v>
      </c>
      <c r="BK789" s="48"/>
      <c r="BL789" s="48"/>
      <c r="BM789" s="55"/>
      <c r="BN789" s="50" t="n">
        <v>-101</v>
      </c>
      <c r="BO789" s="50" t="n">
        <v>153</v>
      </c>
      <c r="BP789" s="49" t="n">
        <v>-3.03</v>
      </c>
      <c r="BQ789" s="50" t="n">
        <v>132</v>
      </c>
      <c r="BR789" s="48"/>
      <c r="BS789" s="53" t="n">
        <v>0</v>
      </c>
      <c r="BT789" s="53" t="n">
        <v>789</v>
      </c>
      <c r="BU789" s="48" t="str">
        <f aca="false">IF(U789&lt;&gt;"",UPPER(TRIM(U789)),IF(BX789=1,UPPER(VLOOKUP(T789,Parameter!$I$27:$K$29,2,0)),IF(P789="","LOSE",P789)))</f>
        <v>S21</v>
      </c>
      <c r="BV789" s="50" t="n">
        <f aca="false">IF(BU789="LOSE",1,IF(N(V789)&gt;0,V789,IF(BX789=1,MAX(1,N(VLOOKUP(T789,Parameter!$I$27:$K$29,3,0)),H789,N(N789)),IF(N(Q789)&gt;0,Q789,MAX(1,H789)))))</f>
        <v>70</v>
      </c>
      <c r="BW789" s="53" t="n">
        <f aca="false">IF(BU789="LOSE",1,0)</f>
        <v>0</v>
      </c>
      <c r="BX789" s="53" t="n">
        <f aca="false">IF(AND(U789="",OR(P789="",P789="LOSE"),T789&lt;&gt;"",N(S789)&lt;=0,ISNUMBER(MATCH(T789,Parameter!$I$27:$I$29,0))),1,0)</f>
        <v>0</v>
      </c>
      <c r="BY789" s="53" t="n">
        <f aca="false">IF(CL789&gt;0,INDEX(Parameter!$H$5:$H$7,W789)/INDEX(Parameter!$E$5:$E$7,W789),IF(AND(BW789=0,N(IFERROR(VLOOKUP(BU789,'Gebinde-Kategorie'!$A$5:$N$45,14,0),0))&gt;0),VLOOKUP(BU789,'Gebinde-Kategorie'!$A$5:$N$45,14,0)*10+Parameter!$M$23,Parameter!$M$24))</f>
        <v>155</v>
      </c>
      <c r="BZ789" s="48" t="str">
        <f aca="false">IF(AND(Parameter!$B$19="Ja",E789&lt;&gt;"",ISNUMBER(MATCH(E789,Parameter!$I$35:$I$52,0))),VLOOKUP(E789,Parameter!$I$35:$J$52,2,0),IFERROR(VLOOKUP(D789,Parameter!$A$35:$C$64,2,0),"Nein"))</f>
        <v>2+3</v>
      </c>
      <c r="CA789" s="52" t="n">
        <f aca="false">IF(BW789=0,0,IF(N(S789)&gt;0,S789,IFERROR(VLOOKUP(D789,Parameter!$A$35:$C$64,3,0)+0,0)))</f>
        <v>0</v>
      </c>
      <c r="CB789" s="48" t="n">
        <f aca="false">IF(AA789&lt;&gt;"",AA789,Z789)</f>
        <v>3</v>
      </c>
      <c r="CC789" s="48" t="str">
        <f aca="false">IF(OR(CB789=1,CB789=2,CB789=3),IF(Parameter!$E$27="Ja","LIFT",IF(CB789=1,"L1","L23")),IF(CB789="Aussen","Aussen","-"))</f>
        <v>LIFT</v>
      </c>
      <c r="CD789" s="59" t="n">
        <f aca="false">IF(N(AB789)&gt;0,AB789,0)</f>
        <v>0</v>
      </c>
      <c r="CE789" s="53" t="n">
        <f aca="false">IF(ISNUMBER(AE789),1,0)</f>
        <v>0</v>
      </c>
      <c r="CF789" s="50" t="n">
        <f aca="false">N(AE789)</f>
        <v>0</v>
      </c>
      <c r="CG789" s="50" t="n">
        <f aca="false">N(M789)+N(N789)</f>
        <v>137</v>
      </c>
      <c r="CH789" s="50" t="n">
        <f aca="false">ROUNDUP(H789/BV789,0)</f>
        <v>1</v>
      </c>
      <c r="CI789" s="50" t="n">
        <f aca="false">ROUNDUP(CF789/BV789,0)</f>
        <v>0</v>
      </c>
      <c r="CJ789" s="53" t="n">
        <f aca="false">IF(BW789=1,0,IFERROR(VLOOKUP(BU789,'Gebinde-Kategorie'!$A$5:$N$45,5,0)+0,0))</f>
        <v>8</v>
      </c>
      <c r="CK789" s="53" t="n">
        <f aca="false">IFERROR(IF(OR(CB789=1,CB789=2,CB789=3),N(INDEX(Parameter!$I$5:$I$7,CB789)),0),0)</f>
        <v>0</v>
      </c>
      <c r="CL789" s="52" t="n">
        <f aca="false">IF(AND(Parameter!$B$21="Ja",ISNUMBER(W789),N(X789)&gt;0),IFERROR(N(INDEX(Parameter!$L$5:$L$7,W789))*INDEX(Parameter!$E$5:$E$7,W789)*X789/SUMIFS($X$7:$X$1843,$W$7:$W$1843,W789),0),0)</f>
        <v>0</v>
      </c>
    </row>
    <row r="790" customFormat="false" ht="15" hidden="false" customHeight="false" outlineLevel="0" collapsed="false">
      <c r="A790" s="48" t="s">
        <v>1543</v>
      </c>
      <c r="B790" s="48" t="s">
        <v>378</v>
      </c>
      <c r="C790" s="48" t="s">
        <v>168</v>
      </c>
      <c r="D790" s="48" t="s">
        <v>188</v>
      </c>
      <c r="E790" s="48" t="s">
        <v>189</v>
      </c>
      <c r="F790" s="48" t="s">
        <v>222</v>
      </c>
      <c r="G790" s="49" t="n">
        <v>1.53</v>
      </c>
      <c r="H790" s="50" t="n">
        <f aca="false">MAX(0,IF(AND(Parameter!$B$21="Ja",ISNUMBER(Y790)),Y790,IF(Parameter!$B$20="Jahresanfang 2025 + Export",BO790+BN790,BN790)))</f>
        <v>27</v>
      </c>
      <c r="I790" s="50" t="n">
        <f aca="false">H790*G790</f>
        <v>41.31</v>
      </c>
      <c r="J790" s="50" t="n">
        <f aca="false">BQ790*Parameter!$B$18</f>
        <v>2</v>
      </c>
      <c r="K790" s="51" t="n">
        <v>28</v>
      </c>
      <c r="L790" s="52" t="n">
        <v>0.0714285714285714</v>
      </c>
      <c r="M790" s="50" t="n">
        <v>0</v>
      </c>
      <c r="N790" s="50" t="n">
        <v>1</v>
      </c>
      <c r="O790" s="53" t="n">
        <v>14</v>
      </c>
      <c r="P790" s="48" t="s">
        <v>430</v>
      </c>
      <c r="Q790" s="50" t="n">
        <v>34</v>
      </c>
      <c r="R790" s="53" t="n">
        <f aca="false">IF(BW790=1,0,IFERROR(VLOOKUP(BU790,'Gebinde-Kategorie'!$A$5:$N$45,13,0)+0,0))</f>
        <v>140</v>
      </c>
      <c r="S790" s="54"/>
      <c r="T790" s="55"/>
      <c r="U790" s="55"/>
      <c r="V790" s="55"/>
      <c r="W790" s="48"/>
      <c r="X790" s="50"/>
      <c r="Y790" s="50"/>
      <c r="Z790" s="48" t="n">
        <f aca="false">IF(A790="","",IF(AND(Parameter!$B$21="Ja",ISNUMBER(W790)),W790,IF(BZ790="2+3",IF(ISNUMBER(SEARCH("grosser Artikel",BR790)),2,IFERROR(VLOOKUP(BU790,Parameter!$F$35:$G$64,2,0),2)),IF(OR(BZ790="Nein",BZ790=""),"-",BZ790))))</f>
        <v>3</v>
      </c>
      <c r="AA790" s="55"/>
      <c r="AB790" s="56"/>
      <c r="AC790" s="50" t="n">
        <f aca="false">AT790</f>
        <v>34</v>
      </c>
      <c r="AD790" s="50" t="n">
        <f aca="false">MAX(AT790,H790)</f>
        <v>34</v>
      </c>
      <c r="AE790" s="57"/>
      <c r="AF790" s="50" t="n">
        <f aca="false">IF(LEFT(Cockpit!$C$5,1)="A",H790,IF(CE790=1,CF790,IF(LEFT(Cockpit!$C$5,1)="B",AK790,MAX(AK790,H790))))</f>
        <v>27</v>
      </c>
      <c r="AG790" s="50" t="n">
        <f aca="false">IF(BW790=1,0,ROUNDUP(AF790/BV790,0))</f>
        <v>1</v>
      </c>
      <c r="AH790" s="52" t="n">
        <f aca="false">IF(CL790&gt;0,CL790*MAX(1,AF790/X790),IF(BW790=1,IF(AF790&lt;=0,0,CA790*MAX(1,IF(H790&gt;0,AF790/H790,1))),IF(R790&gt;0,AG790/R790,0))/MAX(0.1,N(Parameter!$M$21)))</f>
        <v>0.00714285714285714</v>
      </c>
      <c r="AI790" s="50" t="n">
        <f aca="false">AH790*BY790</f>
        <v>1.10714285714286</v>
      </c>
      <c r="AJ790" s="50" t="n">
        <f aca="false">AF790*G790</f>
        <v>41.31</v>
      </c>
      <c r="AK790" s="50" t="n">
        <f aca="false">ROUNDUP(MAX(J790/IF(CD790&gt;0,CD790,MAX(0.1,N(Cockpit!$C$6))),CG790)/BV790,0)*BV790</f>
        <v>34</v>
      </c>
      <c r="AL790" s="51" t="n">
        <f aca="false">IF(AI790&gt;0,J790/AI790,-1)</f>
        <v>1.80645161290323</v>
      </c>
      <c r="AM790" s="51" t="n">
        <f aca="false">IF(AND(OR(CC790="L1",CC790="L23",CC790="LIFT"),AI790&gt;0),SUMIFS($AI$7:$AI$1843,$CC$7:$CC$1843,CC790,$AL$7:$AL$1843,"&gt;"&amp;AL790)+SUMIFS($AI$7:$AI$1843,$CC$7:$CC$1843,CC790,$AL$7:$AL$1843,AL790,$BT$7:$BT$1843,"&lt;="&amp;BT790),"")</f>
        <v>5965.89743589744</v>
      </c>
      <c r="AN790" s="58" t="n">
        <f aca="false">IF(AM790="",0,MAX(0,MIN(1,(IF(CC790="L1",Parameter!$H$5,IF(CC790="L23",Parameter!$H$6+Parameter!$H$7,Parameter!$H$5+Parameter!$H$6+Parameter!$H$7))-(AM790-AI790))/AI790)))</f>
        <v>1</v>
      </c>
      <c r="AO790" s="50" t="n">
        <f aca="false">IF(LEFT(Cockpit!$I$5,1)="A",H790,IF(CE790=1,CF790,IF(LEFT(Cockpit!$I$5,1)="B",AT790,MAX(AT790,H790))))</f>
        <v>34</v>
      </c>
      <c r="AP790" s="50" t="n">
        <f aca="false">IF(BW790=1,0,ROUNDUP(AO790/BV790,0))</f>
        <v>1</v>
      </c>
      <c r="AQ790" s="52" t="n">
        <f aca="false">IF(CL790&gt;0,CL790*MAX(1,AO790/X790),IF(BW790=1,IF(AO790&lt;=0,0,CA790*MAX(1,IF(H790&gt;0,AO790/H790,1))),IF(R790&gt;0,AP790/R790,0))/MAX(0.1,N(Parameter!$M$21)))</f>
        <v>0.00714285714285714</v>
      </c>
      <c r="AR790" s="50" t="n">
        <f aca="false">AQ790*BY790</f>
        <v>1.10714285714286</v>
      </c>
      <c r="AS790" s="50" t="n">
        <f aca="false">AO790*G790</f>
        <v>52.02</v>
      </c>
      <c r="AT790" s="50" t="n">
        <f aca="false">ROUNDUP(MAX(J790/IF(CD790&gt;0,CD790,MAX(0.1,N(Cockpit!$I$6))),CG790)/BV790,0)*BV790</f>
        <v>34</v>
      </c>
      <c r="AU790" s="51" t="n">
        <f aca="false">IF(AR790&gt;0,J790/AR790,-1)</f>
        <v>1.80645161290323</v>
      </c>
      <c r="AV790" s="51" t="n">
        <f aca="false">IF(AND(OR(CC790="L1",CC790="L23",CC790="LIFT"),AR790&gt;0),SUMIFS($AR$7:$AR$1843,$CC$7:$CC$1843,CC790,$AU$7:$AU$1843,"&gt;"&amp;AU790)+SUMIFS($AR$7:$AR$1843,$CC$7:$CC$1843,CC790,$AU$7:$AU$1843,AU790,$BT$7:$BT$1843,"&lt;="&amp;BT790),"")</f>
        <v>8076.26282051282</v>
      </c>
      <c r="AW790" s="58" t="n">
        <f aca="false">IF(AV790="",0,MAX(0,MIN(1,(IF(CC790="L1",Parameter!$H$5,IF(CC790="L23",Parameter!$H$6+Parameter!$H$7,Parameter!$H$5+Parameter!$H$6+Parameter!$H$7))-(AV790-AR790))/AR790)))</f>
        <v>1</v>
      </c>
      <c r="AX790" s="50" t="n">
        <f aca="false">IF(LEFT(Cockpit!$O$5,1)="A",H790,IF(CE790=1,CF790,IF(LEFT(Cockpit!$O$5,1)="B",BC790,MAX(BC790,H790))))</f>
        <v>34</v>
      </c>
      <c r="AY790" s="50" t="n">
        <f aca="false">IF(BW790=1,0,ROUNDUP(AX790/BV790,0))</f>
        <v>1</v>
      </c>
      <c r="AZ790" s="52" t="n">
        <f aca="false">IF(CL790&gt;0,CL790*MAX(1,AX790/X790),IF(BW790=1,IF(AX790&lt;=0,0,CA790*MAX(1,IF(H790&gt;0,AX790/H790,1))),IF(R790&gt;0,AY790/R790,0))/MAX(0.1,N(Parameter!$M$21)))</f>
        <v>0.00714285714285714</v>
      </c>
      <c r="BA790" s="50" t="n">
        <f aca="false">AZ790*BY790</f>
        <v>1.10714285714286</v>
      </c>
      <c r="BB790" s="50" t="n">
        <f aca="false">AX790*G790</f>
        <v>52.02</v>
      </c>
      <c r="BC790" s="50" t="n">
        <f aca="false">ROUNDUP(MAX(J790/IF(CD790&gt;0,CD790,MAX(0.1,N(Cockpit!$O$6))),CG790)/BV790,0)*BV790</f>
        <v>34</v>
      </c>
      <c r="BD790" s="51" t="n">
        <f aca="false">IF(BA790&gt;0,J790/BA790,-1)</f>
        <v>1.80645161290323</v>
      </c>
      <c r="BE790" s="51" t="n">
        <f aca="false">IF(AND(OR(CC790="L1",CC790="L23",CC790="LIFT"),BA790&gt;0),SUMIFS($BA$7:$BA$1843,$CC$7:$CC$1843,CC790,$BD$7:$BD$1843,"&gt;"&amp;BD790)+SUMIFS($BA$7:$BA$1843,$CC$7:$CC$1843,CC790,$BD$7:$BD$1843,BD790,$BT$7:$BT$1843,"&lt;="&amp;BT790),"")</f>
        <v>7978.58653846154</v>
      </c>
      <c r="BF790" s="58" t="n">
        <f aca="false">IF(BE790="",0,MAX(0,MIN(1,(IF(CC790="L1",Parameter!$H$5,IF(CC790="L23",Parameter!$H$6+Parameter!$H$7,Parameter!$H$5+Parameter!$H$6+Parameter!$H$7))-(BE790-BA790))/BA790)))</f>
        <v>1</v>
      </c>
      <c r="BG790" s="48" t="str">
        <f aca="false">IF(AI790&lt;=0,"",IF(CC790="Aussen","Aussenlager",IF(CC790="-","Nicht im Lift",IF(AN790&gt;=1,"Lift",IF(AN790&lt;=0,"Aussenlager","teilweise")))))</f>
        <v>Lift</v>
      </c>
      <c r="BH790" s="48" t="str">
        <f aca="false">IF(AR790&lt;=0,"",IF(CC790="Aussen","Aussenlager",IF(CC790="-","Nicht im Lift",IF(AW790&gt;=1,"Lift",IF(AW790&lt;=0,"Aussenlager","teilweise")))))</f>
        <v>Lift</v>
      </c>
      <c r="BI790" s="48" t="str">
        <f aca="false">IF(BA790&lt;=0,"",IF(CC790="Aussen","Aussenlager",IF(CC790="-","Nicht im Lift",IF(BF790&gt;=1,"Lift",IF(BF790&lt;=0,"Aussenlager","teilweise")))))</f>
        <v>Lift</v>
      </c>
      <c r="BJ790" s="48" t="str">
        <f aca="false">IF(A790="","",IF(BS790=1,"Neu; ","")&amp;IF(AND(BS790=0,BN790&lt;0),"negativer Bestand (Export "&amp;BN790&amp;"); ","")&amp;IF(J790&lt;=0,"Kein Verbrauch; ","")&amp;IF(CL790&gt;0,"Lift "&amp;W790&amp;" lt. Liftbericht (Fach "&amp;X790&amp;" Stk); ",IF(BX790=1,"Gebinde geschätzt ("&amp;T790&amp;"); ",IF(BW790=1,"Lose – Tablare geschätzt; ","")))&amp;IF(H790&gt;AT790,"Überbestand "&amp;ROUND(H790-AT790,0)&amp;" Stk / CHF "&amp;ROUND((H790-AT790)*G790,0)&amp;"; ","")&amp;IF(AND(CE790=1,CF790&lt;CG790),"MAX &lt; MB+LG; ","")&amp;IF(AND(CK790&gt;0,CJ790*10&gt;CK790),"zu hoch für Tablar; ","")&amp;IF(AND(BS790=0,OR(CE790=1,AA790&lt;&gt;"",U790&lt;&gt;"",V790&lt;&gt;"",AB790&lt;&gt;"")),"manuell übersteuert; ","")&amp;IF(AND(BW790=0,R790=0),"Gebinde unbekannt / Stellmass fehlt; ","")&amp;IF(AND(BW790=0,N(V790)&lt;=0,N(Q790)&lt;=0),"Menge pro Gebinde fehlt (Ist = 1 Gebinde); ","")&amp;BR790)</f>
        <v>negativer Bestand (Export -2); </v>
      </c>
      <c r="BK790" s="48"/>
      <c r="BL790" s="48"/>
      <c r="BM790" s="55"/>
      <c r="BN790" s="50" t="n">
        <v>-2</v>
      </c>
      <c r="BO790" s="50" t="n">
        <v>29</v>
      </c>
      <c r="BP790" s="49" t="n">
        <v>-3.06</v>
      </c>
      <c r="BQ790" s="50" t="n">
        <v>2</v>
      </c>
      <c r="BR790" s="48"/>
      <c r="BS790" s="53" t="n">
        <v>0</v>
      </c>
      <c r="BT790" s="53" t="n">
        <v>790</v>
      </c>
      <c r="BU790" s="48" t="str">
        <f aca="false">IF(U790&lt;&gt;"",UPPER(TRIM(U790)),IF(BX790=1,UPPER(VLOOKUP(T790,Parameter!$I$27:$K$29,2,0)),IF(P790="","LOSE",P790)))</f>
        <v>S22</v>
      </c>
      <c r="BV790" s="50" t="n">
        <f aca="false">IF(BU790="LOSE",1,IF(N(V790)&gt;0,V790,IF(BX790=1,MAX(1,N(VLOOKUP(T790,Parameter!$I$27:$K$29,3,0)),H790,N(N790)),IF(N(Q790)&gt;0,Q790,MAX(1,H790)))))</f>
        <v>34</v>
      </c>
      <c r="BW790" s="53" t="n">
        <f aca="false">IF(BU790="LOSE",1,0)</f>
        <v>0</v>
      </c>
      <c r="BX790" s="53" t="n">
        <f aca="false">IF(AND(U790="",OR(P790="",P790="LOSE"),T790&lt;&gt;"",N(S790)&lt;=0,ISNUMBER(MATCH(T790,Parameter!$I$27:$I$29,0))),1,0)</f>
        <v>0</v>
      </c>
      <c r="BY790" s="53" t="n">
        <f aca="false">IF(CL790&gt;0,INDEX(Parameter!$H$5:$H$7,W790)/INDEX(Parameter!$E$5:$E$7,W790),IF(AND(BW790=0,N(IFERROR(VLOOKUP(BU790,'Gebinde-Kategorie'!$A$5:$N$45,14,0),0))&gt;0),VLOOKUP(BU790,'Gebinde-Kategorie'!$A$5:$N$45,14,0)*10+Parameter!$M$23,Parameter!$M$24))</f>
        <v>155</v>
      </c>
      <c r="BZ790" s="48" t="str">
        <f aca="false">IF(AND(Parameter!$B$19="Ja",E790&lt;&gt;"",ISNUMBER(MATCH(E790,Parameter!$I$35:$I$52,0))),VLOOKUP(E790,Parameter!$I$35:$J$52,2,0),IFERROR(VLOOKUP(D790,Parameter!$A$35:$C$64,2,0),"Nein"))</f>
        <v>2+3</v>
      </c>
      <c r="CA790" s="52" t="n">
        <f aca="false">IF(BW790=0,0,IF(N(S790)&gt;0,S790,IFERROR(VLOOKUP(D790,Parameter!$A$35:$C$64,3,0)+0,0)))</f>
        <v>0</v>
      </c>
      <c r="CB790" s="48" t="n">
        <f aca="false">IF(AA790&lt;&gt;"",AA790,Z790)</f>
        <v>3</v>
      </c>
      <c r="CC790" s="48" t="str">
        <f aca="false">IF(OR(CB790=1,CB790=2,CB790=3),IF(Parameter!$E$27="Ja","LIFT",IF(CB790=1,"L1","L23")),IF(CB790="Aussen","Aussen","-"))</f>
        <v>LIFT</v>
      </c>
      <c r="CD790" s="59" t="n">
        <f aca="false">IF(N(AB790)&gt;0,AB790,0)</f>
        <v>0</v>
      </c>
      <c r="CE790" s="53" t="n">
        <f aca="false">IF(ISNUMBER(AE790),1,0)</f>
        <v>0</v>
      </c>
      <c r="CF790" s="50" t="n">
        <f aca="false">N(AE790)</f>
        <v>0</v>
      </c>
      <c r="CG790" s="50" t="n">
        <f aca="false">N(M790)+N(N790)</f>
        <v>1</v>
      </c>
      <c r="CH790" s="50" t="n">
        <f aca="false">ROUNDUP(H790/BV790,0)</f>
        <v>1</v>
      </c>
      <c r="CI790" s="50" t="n">
        <f aca="false">ROUNDUP(CF790/BV790,0)</f>
        <v>0</v>
      </c>
      <c r="CJ790" s="53" t="n">
        <f aca="false">IF(BW790=1,0,IFERROR(VLOOKUP(BU790,'Gebinde-Kategorie'!$A$5:$N$45,5,0)+0,0))</f>
        <v>8</v>
      </c>
      <c r="CK790" s="53" t="n">
        <f aca="false">IFERROR(IF(OR(CB790=1,CB790=2,CB790=3),N(INDEX(Parameter!$I$5:$I$7,CB790)),0),0)</f>
        <v>0</v>
      </c>
      <c r="CL790" s="52" t="n">
        <f aca="false">IF(AND(Parameter!$B$21="Ja",ISNUMBER(W790),N(X790)&gt;0),IFERROR(N(INDEX(Parameter!$L$5:$L$7,W790))*INDEX(Parameter!$E$5:$E$7,W790)*X790/SUMIFS($X$7:$X$1843,$W$7:$W$1843,W790),0),0)</f>
        <v>0</v>
      </c>
    </row>
    <row r="791" customFormat="false" ht="15" hidden="false" customHeight="false" outlineLevel="0" collapsed="false">
      <c r="A791" s="48" t="s">
        <v>1544</v>
      </c>
      <c r="B791" s="48" t="s">
        <v>409</v>
      </c>
      <c r="C791" s="48" t="s">
        <v>168</v>
      </c>
      <c r="D791" s="48" t="s">
        <v>188</v>
      </c>
      <c r="E791" s="48" t="s">
        <v>189</v>
      </c>
      <c r="F791" s="48" t="s">
        <v>222</v>
      </c>
      <c r="G791" s="49" t="n">
        <v>0.19</v>
      </c>
      <c r="H791" s="50" t="n">
        <f aca="false">MAX(0,IF(AND(Parameter!$B$21="Ja",ISNUMBER(Y791)),Y791,IF(Parameter!$B$20="Jahresanfang 2025 + Export",BO791+BN791,BN791)))</f>
        <v>62</v>
      </c>
      <c r="I791" s="50" t="n">
        <f aca="false">H791*G791</f>
        <v>11.78</v>
      </c>
      <c r="J791" s="50" t="n">
        <f aca="false">BQ791*Parameter!$B$18</f>
        <v>6</v>
      </c>
      <c r="K791" s="51" t="n">
        <v>70.5</v>
      </c>
      <c r="L791" s="52" t="n">
        <v>0.0851063829787234</v>
      </c>
      <c r="M791" s="50" t="n">
        <v>0</v>
      </c>
      <c r="N791" s="50" t="n">
        <v>5</v>
      </c>
      <c r="O791" s="53" t="n">
        <v>14</v>
      </c>
      <c r="P791" s="48" t="s">
        <v>430</v>
      </c>
      <c r="Q791" s="50" t="n">
        <v>93</v>
      </c>
      <c r="R791" s="53" t="n">
        <f aca="false">IF(BW791=1,0,IFERROR(VLOOKUP(BU791,'Gebinde-Kategorie'!$A$5:$N$45,13,0)+0,0))</f>
        <v>140</v>
      </c>
      <c r="S791" s="54"/>
      <c r="T791" s="55"/>
      <c r="U791" s="55"/>
      <c r="V791" s="55"/>
      <c r="W791" s="48"/>
      <c r="X791" s="50"/>
      <c r="Y791" s="50"/>
      <c r="Z791" s="48" t="n">
        <f aca="false">IF(A791="","",IF(AND(Parameter!$B$21="Ja",ISNUMBER(W791)),W791,IF(BZ791="2+3",IF(ISNUMBER(SEARCH("grosser Artikel",BR791)),2,IFERROR(VLOOKUP(BU791,Parameter!$F$35:$G$64,2,0),2)),IF(OR(BZ791="Nein",BZ791=""),"-",BZ791))))</f>
        <v>3</v>
      </c>
      <c r="AA791" s="55"/>
      <c r="AB791" s="56"/>
      <c r="AC791" s="50" t="n">
        <f aca="false">AT791</f>
        <v>93</v>
      </c>
      <c r="AD791" s="50" t="n">
        <f aca="false">MAX(AT791,H791)</f>
        <v>93</v>
      </c>
      <c r="AE791" s="57"/>
      <c r="AF791" s="50" t="n">
        <f aca="false">IF(LEFT(Cockpit!$C$5,1)="A",H791,IF(CE791=1,CF791,IF(LEFT(Cockpit!$C$5,1)="B",AK791,MAX(AK791,H791))))</f>
        <v>62</v>
      </c>
      <c r="AG791" s="50" t="n">
        <f aca="false">IF(BW791=1,0,ROUNDUP(AF791/BV791,0))</f>
        <v>1</v>
      </c>
      <c r="AH791" s="52" t="n">
        <f aca="false">IF(CL791&gt;0,CL791*MAX(1,AF791/X791),IF(BW791=1,IF(AF791&lt;=0,0,CA791*MAX(1,IF(H791&gt;0,AF791/H791,1))),IF(R791&gt;0,AG791/R791,0))/MAX(0.1,N(Parameter!$M$21)))</f>
        <v>0.00714285714285714</v>
      </c>
      <c r="AI791" s="50" t="n">
        <f aca="false">AH791*BY791</f>
        <v>1.10714285714286</v>
      </c>
      <c r="AJ791" s="50" t="n">
        <f aca="false">AF791*G791</f>
        <v>11.78</v>
      </c>
      <c r="AK791" s="50" t="n">
        <f aca="false">ROUNDUP(MAX(J791/IF(CD791&gt;0,CD791,MAX(0.1,N(Cockpit!$C$6))),CG791)/BV791,0)*BV791</f>
        <v>93</v>
      </c>
      <c r="AL791" s="51" t="n">
        <f aca="false">IF(AI791&gt;0,J791/AI791,-1)</f>
        <v>5.41935483870968</v>
      </c>
      <c r="AM791" s="51" t="n">
        <f aca="false">IF(AND(OR(CC791="L1",CC791="L23",CC791="LIFT"),AI791&gt;0),SUMIFS($AI$7:$AI$1843,$CC$7:$CC$1843,CC791,$AL$7:$AL$1843,"&gt;"&amp;AL791)+SUMIFS($AI$7:$AI$1843,$CC$7:$CC$1843,CC791,$AL$7:$AL$1843,AL791,$BT$7:$BT$1843,"&lt;="&amp;BT791),"")</f>
        <v>3715.58836996337</v>
      </c>
      <c r="AN791" s="58" t="n">
        <f aca="false">IF(AM791="",0,MAX(0,MIN(1,(IF(CC791="L1",Parameter!$H$5,IF(CC791="L23",Parameter!$H$6+Parameter!$H$7,Parameter!$H$5+Parameter!$H$6+Parameter!$H$7))-(AM791-AI791))/AI791)))</f>
        <v>1</v>
      </c>
      <c r="AO791" s="50" t="n">
        <f aca="false">IF(LEFT(Cockpit!$I$5,1)="A",H791,IF(CE791=1,CF791,IF(LEFT(Cockpit!$I$5,1)="B",AT791,MAX(AT791,H791))))</f>
        <v>93</v>
      </c>
      <c r="AP791" s="50" t="n">
        <f aca="false">IF(BW791=1,0,ROUNDUP(AO791/BV791,0))</f>
        <v>1</v>
      </c>
      <c r="AQ791" s="52" t="n">
        <f aca="false">IF(CL791&gt;0,CL791*MAX(1,AO791/X791),IF(BW791=1,IF(AO791&lt;=0,0,CA791*MAX(1,IF(H791&gt;0,AO791/H791,1))),IF(R791&gt;0,AP791/R791,0))/MAX(0.1,N(Parameter!$M$21)))</f>
        <v>0.00714285714285714</v>
      </c>
      <c r="AR791" s="50" t="n">
        <f aca="false">AQ791*BY791</f>
        <v>1.10714285714286</v>
      </c>
      <c r="AS791" s="50" t="n">
        <f aca="false">AO791*G791</f>
        <v>17.67</v>
      </c>
      <c r="AT791" s="50" t="n">
        <f aca="false">ROUNDUP(MAX(J791/IF(CD791&gt;0,CD791,MAX(0.1,N(Cockpit!$I$6))),CG791)/BV791,0)*BV791</f>
        <v>93</v>
      </c>
      <c r="AU791" s="51" t="n">
        <f aca="false">IF(AR791&gt;0,J791/AR791,-1)</f>
        <v>5.41935483870968</v>
      </c>
      <c r="AV791" s="51" t="n">
        <f aca="false">IF(AND(OR(CC791="L1",CC791="L23",CC791="LIFT"),AR791&gt;0),SUMIFS($AR$7:$AR$1843,$CC$7:$CC$1843,CC791,$AU$7:$AU$1843,"&gt;"&amp;AU791)+SUMIFS($AR$7:$AR$1843,$CC$7:$CC$1843,CC791,$AU$7:$AU$1843,AU791,$BT$7:$BT$1843,"&lt;="&amp;BT791),"")</f>
        <v>4896.56639194139</v>
      </c>
      <c r="AW791" s="58" t="n">
        <f aca="false">IF(AV791="",0,MAX(0,MIN(1,(IF(CC791="L1",Parameter!$H$5,IF(CC791="L23",Parameter!$H$6+Parameter!$H$7,Parameter!$H$5+Parameter!$H$6+Parameter!$H$7))-(AV791-AR791))/AR791)))</f>
        <v>1</v>
      </c>
      <c r="AX791" s="50" t="n">
        <f aca="false">IF(LEFT(Cockpit!$O$5,1)="A",H791,IF(CE791=1,CF791,IF(LEFT(Cockpit!$O$5,1)="B",BC791,MAX(BC791,H791))))</f>
        <v>93</v>
      </c>
      <c r="AY791" s="50" t="n">
        <f aca="false">IF(BW791=1,0,ROUNDUP(AX791/BV791,0))</f>
        <v>1</v>
      </c>
      <c r="AZ791" s="52" t="n">
        <f aca="false">IF(CL791&gt;0,CL791*MAX(1,AX791/X791),IF(BW791=1,IF(AX791&lt;=0,0,CA791*MAX(1,IF(H791&gt;0,AX791/H791,1))),IF(R791&gt;0,AY791/R791,0))/MAX(0.1,N(Parameter!$M$21)))</f>
        <v>0.00714285714285714</v>
      </c>
      <c r="BA791" s="50" t="n">
        <f aca="false">AZ791*BY791</f>
        <v>1.10714285714286</v>
      </c>
      <c r="BB791" s="50" t="n">
        <f aca="false">AX791*G791</f>
        <v>17.67</v>
      </c>
      <c r="BC791" s="50" t="n">
        <f aca="false">ROUNDUP(MAX(J791/IF(CD791&gt;0,CD791,MAX(0.1,N(Cockpit!$O$6))),CG791)/BV791,0)*BV791</f>
        <v>93</v>
      </c>
      <c r="BD791" s="51" t="n">
        <f aca="false">IF(BA791&gt;0,J791/BA791,-1)</f>
        <v>5.41935483870968</v>
      </c>
      <c r="BE791" s="51" t="n">
        <f aca="false">IF(AND(OR(CC791="L1",CC791="L23",CC791="LIFT"),BA791&gt;0),SUMIFS($BA$7:$BA$1843,$CC$7:$CC$1843,CC791,$BD$7:$BD$1843,"&gt;"&amp;BD791)+SUMIFS($BA$7:$BA$1843,$CC$7:$CC$1843,CC791,$BD$7:$BD$1843,BD791,$BT$7:$BT$1843,"&lt;="&amp;BT791),"")</f>
        <v>4567.03113553114</v>
      </c>
      <c r="BF791" s="58" t="n">
        <f aca="false">IF(BE791="",0,MAX(0,MIN(1,(IF(CC791="L1",Parameter!$H$5,IF(CC791="L23",Parameter!$H$6+Parameter!$H$7,Parameter!$H$5+Parameter!$H$6+Parameter!$H$7))-(BE791-BA791))/BA791)))</f>
        <v>1</v>
      </c>
      <c r="BG791" s="48" t="str">
        <f aca="false">IF(AI791&lt;=0,"",IF(CC791="Aussen","Aussenlager",IF(CC791="-","Nicht im Lift",IF(AN791&gt;=1,"Lift",IF(AN791&lt;=0,"Aussenlager","teilweise")))))</f>
        <v>Lift</v>
      </c>
      <c r="BH791" s="48" t="str">
        <f aca="false">IF(AR791&lt;=0,"",IF(CC791="Aussen","Aussenlager",IF(CC791="-","Nicht im Lift",IF(AW791&gt;=1,"Lift",IF(AW791&lt;=0,"Aussenlager","teilweise")))))</f>
        <v>Lift</v>
      </c>
      <c r="BI791" s="48" t="str">
        <f aca="false">IF(BA791&lt;=0,"",IF(CC791="Aussen","Aussenlager",IF(CC791="-","Nicht im Lift",IF(BF791&gt;=1,"Lift",IF(BF791&lt;=0,"Aussenlager","teilweise")))))</f>
        <v>Lift</v>
      </c>
      <c r="BJ791" s="48" t="str">
        <f aca="false">IF(A791="","",IF(BS791=1,"Neu; ","")&amp;IF(AND(BS791=0,BN791&lt;0),"negativer Bestand (Export "&amp;BN791&amp;"); ","")&amp;IF(J791&lt;=0,"Kein Verbrauch; ","")&amp;IF(CL791&gt;0,"Lift "&amp;W791&amp;" lt. Liftbericht (Fach "&amp;X791&amp;" Stk); ",IF(BX791=1,"Gebinde geschätzt ("&amp;T791&amp;"); ",IF(BW791=1,"Lose – Tablare geschätzt; ","")))&amp;IF(H791&gt;AT791,"Überbestand "&amp;ROUND(H791-AT791,0)&amp;" Stk / CHF "&amp;ROUND((H791-AT791)*G791,0)&amp;"; ","")&amp;IF(AND(CE791=1,CF791&lt;CG791),"MAX &lt; MB+LG; ","")&amp;IF(AND(CK791&gt;0,CJ791*10&gt;CK791),"zu hoch für Tablar; ","")&amp;IF(AND(BS791=0,OR(CE791=1,AA791&lt;&gt;"",U791&lt;&gt;"",V791&lt;&gt;"",AB791&lt;&gt;"")),"manuell übersteuert; ","")&amp;IF(AND(BW791=0,R791=0),"Gebinde unbekannt / Stellmass fehlt; ","")&amp;IF(AND(BW791=0,N(V791)&lt;=0,N(Q791)&lt;=0),"Menge pro Gebinde fehlt (Ist = 1 Gebinde); ","")&amp;BR791)</f>
        <v>negativer Bestand (Export -17); Überbestand</v>
      </c>
      <c r="BK791" s="48"/>
      <c r="BL791" s="48"/>
      <c r="BM791" s="55"/>
      <c r="BN791" s="50" t="n">
        <v>-17</v>
      </c>
      <c r="BO791" s="50" t="n">
        <v>79</v>
      </c>
      <c r="BP791" s="49" t="n">
        <v>-3.23</v>
      </c>
      <c r="BQ791" s="50" t="n">
        <v>6</v>
      </c>
      <c r="BR791" s="48" t="s">
        <v>396</v>
      </c>
      <c r="BS791" s="53" t="n">
        <v>0</v>
      </c>
      <c r="BT791" s="53" t="n">
        <v>791</v>
      </c>
      <c r="BU791" s="48" t="str">
        <f aca="false">IF(U791&lt;&gt;"",UPPER(TRIM(U791)),IF(BX791=1,UPPER(VLOOKUP(T791,Parameter!$I$27:$K$29,2,0)),IF(P791="","LOSE",P791)))</f>
        <v>S22</v>
      </c>
      <c r="BV791" s="50" t="n">
        <f aca="false">IF(BU791="LOSE",1,IF(N(V791)&gt;0,V791,IF(BX791=1,MAX(1,N(VLOOKUP(T791,Parameter!$I$27:$K$29,3,0)),H791,N(N791)),IF(N(Q791)&gt;0,Q791,MAX(1,H791)))))</f>
        <v>93</v>
      </c>
      <c r="BW791" s="53" t="n">
        <f aca="false">IF(BU791="LOSE",1,0)</f>
        <v>0</v>
      </c>
      <c r="BX791" s="53" t="n">
        <f aca="false">IF(AND(U791="",OR(P791="",P791="LOSE"),T791&lt;&gt;"",N(S791)&lt;=0,ISNUMBER(MATCH(T791,Parameter!$I$27:$I$29,0))),1,0)</f>
        <v>0</v>
      </c>
      <c r="BY791" s="53" t="n">
        <f aca="false">IF(CL791&gt;0,INDEX(Parameter!$H$5:$H$7,W791)/INDEX(Parameter!$E$5:$E$7,W791),IF(AND(BW791=0,N(IFERROR(VLOOKUP(BU791,'Gebinde-Kategorie'!$A$5:$N$45,14,0),0))&gt;0),VLOOKUP(BU791,'Gebinde-Kategorie'!$A$5:$N$45,14,0)*10+Parameter!$M$23,Parameter!$M$24))</f>
        <v>155</v>
      </c>
      <c r="BZ791" s="48" t="str">
        <f aca="false">IF(AND(Parameter!$B$19="Ja",E791&lt;&gt;"",ISNUMBER(MATCH(E791,Parameter!$I$35:$I$52,0))),VLOOKUP(E791,Parameter!$I$35:$J$52,2,0),IFERROR(VLOOKUP(D791,Parameter!$A$35:$C$64,2,0),"Nein"))</f>
        <v>2+3</v>
      </c>
      <c r="CA791" s="52" t="n">
        <f aca="false">IF(BW791=0,0,IF(N(S791)&gt;0,S791,IFERROR(VLOOKUP(D791,Parameter!$A$35:$C$64,3,0)+0,0)))</f>
        <v>0</v>
      </c>
      <c r="CB791" s="48" t="n">
        <f aca="false">IF(AA791&lt;&gt;"",AA791,Z791)</f>
        <v>3</v>
      </c>
      <c r="CC791" s="48" t="str">
        <f aca="false">IF(OR(CB791=1,CB791=2,CB791=3),IF(Parameter!$E$27="Ja","LIFT",IF(CB791=1,"L1","L23")),IF(CB791="Aussen","Aussen","-"))</f>
        <v>LIFT</v>
      </c>
      <c r="CD791" s="59" t="n">
        <f aca="false">IF(N(AB791)&gt;0,AB791,0)</f>
        <v>0</v>
      </c>
      <c r="CE791" s="53" t="n">
        <f aca="false">IF(ISNUMBER(AE791),1,0)</f>
        <v>0</v>
      </c>
      <c r="CF791" s="50" t="n">
        <f aca="false">N(AE791)</f>
        <v>0</v>
      </c>
      <c r="CG791" s="50" t="n">
        <f aca="false">N(M791)+N(N791)</f>
        <v>5</v>
      </c>
      <c r="CH791" s="50" t="n">
        <f aca="false">ROUNDUP(H791/BV791,0)</f>
        <v>1</v>
      </c>
      <c r="CI791" s="50" t="n">
        <f aca="false">ROUNDUP(CF791/BV791,0)</f>
        <v>0</v>
      </c>
      <c r="CJ791" s="53" t="n">
        <f aca="false">IF(BW791=1,0,IFERROR(VLOOKUP(BU791,'Gebinde-Kategorie'!$A$5:$N$45,5,0)+0,0))</f>
        <v>8</v>
      </c>
      <c r="CK791" s="53" t="n">
        <f aca="false">IFERROR(IF(OR(CB791=1,CB791=2,CB791=3),N(INDEX(Parameter!$I$5:$I$7,CB791)),0),0)</f>
        <v>0</v>
      </c>
      <c r="CL791" s="52" t="n">
        <f aca="false">IF(AND(Parameter!$B$21="Ja",ISNUMBER(W791),N(X791)&gt;0),IFERROR(N(INDEX(Parameter!$L$5:$L$7,W791))*INDEX(Parameter!$E$5:$E$7,W791)*X791/SUMIFS($X$7:$X$1843,$W$7:$W$1843,W791),0),0)</f>
        <v>0</v>
      </c>
    </row>
    <row r="792" customFormat="false" ht="15" hidden="false" customHeight="false" outlineLevel="0" collapsed="false">
      <c r="A792" s="48" t="s">
        <v>1545</v>
      </c>
      <c r="B792" s="48" t="s">
        <v>1546</v>
      </c>
      <c r="C792" s="48" t="s">
        <v>168</v>
      </c>
      <c r="D792" s="48" t="s">
        <v>177</v>
      </c>
      <c r="E792" s="48"/>
      <c r="F792" s="48" t="s">
        <v>222</v>
      </c>
      <c r="G792" s="49" t="n">
        <v>3.45</v>
      </c>
      <c r="H792" s="50" t="n">
        <f aca="false">MAX(0,IF(AND(Parameter!$B$21="Ja",ISNUMBER(Y792)),Y792,IF(Parameter!$B$20="Jahresanfang 2025 + Export",BO792+BN792,BN792)))</f>
        <v>18</v>
      </c>
      <c r="I792" s="50" t="n">
        <f aca="false">H792*G792</f>
        <v>62.1</v>
      </c>
      <c r="J792" s="50" t="n">
        <f aca="false">BQ792*Parameter!$B$18</f>
        <v>0</v>
      </c>
      <c r="K792" s="51" t="n">
        <v>18.5</v>
      </c>
      <c r="L792" s="52" t="n">
        <v>0</v>
      </c>
      <c r="M792" s="50" t="n">
        <v>0</v>
      </c>
      <c r="N792" s="50" t="n">
        <v>1</v>
      </c>
      <c r="O792" s="53" t="n">
        <v>35</v>
      </c>
      <c r="P792" s="48" t="s">
        <v>425</v>
      </c>
      <c r="Q792" s="50" t="n">
        <v>20</v>
      </c>
      <c r="R792" s="53" t="n">
        <f aca="false">IF(BW792=1,0,IFERROR(VLOOKUP(BU792,'Gebinde-Kategorie'!$A$5:$N$45,13,0)+0,0))</f>
        <v>104</v>
      </c>
      <c r="S792" s="54"/>
      <c r="T792" s="55"/>
      <c r="U792" s="55"/>
      <c r="V792" s="55"/>
      <c r="W792" s="48"/>
      <c r="X792" s="50"/>
      <c r="Y792" s="50"/>
      <c r="Z792" s="48" t="n">
        <f aca="false">IF(A792="","",IF(AND(Parameter!$B$21="Ja",ISNUMBER(W792)),W792,IF(BZ792="2+3",IF(ISNUMBER(SEARCH("grosser Artikel",BR792)),2,IFERROR(VLOOKUP(BU792,Parameter!$F$35:$G$64,2,0),2)),IF(OR(BZ792="Nein",BZ792=""),"-",BZ792))))</f>
        <v>3</v>
      </c>
      <c r="AA792" s="55"/>
      <c r="AB792" s="56"/>
      <c r="AC792" s="50" t="n">
        <f aca="false">AT792</f>
        <v>20</v>
      </c>
      <c r="AD792" s="50" t="n">
        <f aca="false">MAX(AT792,H792)</f>
        <v>20</v>
      </c>
      <c r="AE792" s="57"/>
      <c r="AF792" s="50" t="n">
        <f aca="false">IF(LEFT(Cockpit!$C$5,1)="A",H792,IF(CE792=1,CF792,IF(LEFT(Cockpit!$C$5,1)="B",AK792,MAX(AK792,H792))))</f>
        <v>18</v>
      </c>
      <c r="AG792" s="50" t="n">
        <f aca="false">IF(BW792=1,0,ROUNDUP(AF792/BV792,0))</f>
        <v>1</v>
      </c>
      <c r="AH792" s="52" t="n">
        <f aca="false">IF(CL792&gt;0,CL792*MAX(1,AF792/X792),IF(BW792=1,IF(AF792&lt;=0,0,CA792*MAX(1,IF(H792&gt;0,AF792/H792,1))),IF(R792&gt;0,AG792/R792,0))/MAX(0.1,N(Parameter!$M$21)))</f>
        <v>0.00961538461538462</v>
      </c>
      <c r="AI792" s="50" t="n">
        <f aca="false">AH792*BY792</f>
        <v>1.49038461538462</v>
      </c>
      <c r="AJ792" s="50" t="n">
        <f aca="false">AF792*G792</f>
        <v>62.1</v>
      </c>
      <c r="AK792" s="50" t="n">
        <f aca="false">ROUNDUP(MAX(J792/IF(CD792&gt;0,CD792,MAX(0.1,N(Cockpit!$C$6))),CG792)/BV792,0)*BV792</f>
        <v>20</v>
      </c>
      <c r="AL792" s="51" t="n">
        <f aca="false">IF(AI792&gt;0,J792/AI792,-1)</f>
        <v>0</v>
      </c>
      <c r="AM792" s="51" t="n">
        <f aca="false">IF(AND(OR(CC792="L1",CC792="L23",CC792="LIFT"),AI792&gt;0),SUMIFS($AI$7:$AI$1843,$CC$7:$CC$1843,CC792,$AL$7:$AL$1843,"&gt;"&amp;AL792)+SUMIFS($AI$7:$AI$1843,$CC$7:$CC$1843,CC792,$AL$7:$AL$1843,AL792,$BT$7:$BT$1843,"&lt;="&amp;BT792),"")</f>
        <v>28762.7748934211</v>
      </c>
      <c r="AN792" s="58" t="n">
        <f aca="false">IF(AM792="",0,MAX(0,MIN(1,(IF(CC792="L1",Parameter!$H$5,IF(CC792="L23",Parameter!$H$6+Parameter!$H$7,Parameter!$H$5+Parameter!$H$6+Parameter!$H$7))-(AM792-AI792))/AI792)))</f>
        <v>1</v>
      </c>
      <c r="AO792" s="50" t="n">
        <f aca="false">IF(LEFT(Cockpit!$I$5,1)="A",H792,IF(CE792=1,CF792,IF(LEFT(Cockpit!$I$5,1)="B",AT792,MAX(AT792,H792))))</f>
        <v>20</v>
      </c>
      <c r="AP792" s="50" t="n">
        <f aca="false">IF(BW792=1,0,ROUNDUP(AO792/BV792,0))</f>
        <v>1</v>
      </c>
      <c r="AQ792" s="52" t="n">
        <f aca="false">IF(CL792&gt;0,CL792*MAX(1,AO792/X792),IF(BW792=1,IF(AO792&lt;=0,0,CA792*MAX(1,IF(H792&gt;0,AO792/H792,1))),IF(R792&gt;0,AP792/R792,0))/MAX(0.1,N(Parameter!$M$21)))</f>
        <v>0.00961538461538462</v>
      </c>
      <c r="AR792" s="50" t="n">
        <f aca="false">AQ792*BY792</f>
        <v>1.49038461538462</v>
      </c>
      <c r="AS792" s="50" t="n">
        <f aca="false">AO792*G792</f>
        <v>69</v>
      </c>
      <c r="AT792" s="50" t="n">
        <f aca="false">ROUNDUP(MAX(J792/IF(CD792&gt;0,CD792,MAX(0.1,N(Cockpit!$I$6))),CG792)/BV792,0)*BV792</f>
        <v>20</v>
      </c>
      <c r="AU792" s="51" t="n">
        <f aca="false">IF(AR792&gt;0,J792/AR792,-1)</f>
        <v>0</v>
      </c>
      <c r="AV792" s="51" t="n">
        <f aca="false">IF(AND(OR(CC792="L1",CC792="L23",CC792="LIFT"),AR792&gt;0),SUMIFS($AR$7:$AR$1843,$CC$7:$CC$1843,CC792,$AU$7:$AU$1843,"&gt;"&amp;AU792)+SUMIFS($AR$7:$AR$1843,$CC$7:$CC$1843,CC792,$AU$7:$AU$1843,AU792,$BT$7:$BT$1843,"&lt;="&amp;BT792),"")</f>
        <v>40333.8301359657</v>
      </c>
      <c r="AW792" s="58" t="n">
        <f aca="false">IF(AV792="",0,MAX(0,MIN(1,(IF(CC792="L1",Parameter!$H$5,IF(CC792="L23",Parameter!$H$6+Parameter!$H$7,Parameter!$H$5+Parameter!$H$6+Parameter!$H$7))-(AV792-AR792))/AR792)))</f>
        <v>0</v>
      </c>
      <c r="AX792" s="50" t="n">
        <f aca="false">IF(LEFT(Cockpit!$O$5,1)="A",H792,IF(CE792=1,CF792,IF(LEFT(Cockpit!$O$5,1)="B",BC792,MAX(BC792,H792))))</f>
        <v>20</v>
      </c>
      <c r="AY792" s="50" t="n">
        <f aca="false">IF(BW792=1,0,ROUNDUP(AX792/BV792,0))</f>
        <v>1</v>
      </c>
      <c r="AZ792" s="52" t="n">
        <f aca="false">IF(CL792&gt;0,CL792*MAX(1,AX792/X792),IF(BW792=1,IF(AX792&lt;=0,0,CA792*MAX(1,IF(H792&gt;0,AX792/H792,1))),IF(R792&gt;0,AY792/R792,0))/MAX(0.1,N(Parameter!$M$21)))</f>
        <v>0.00961538461538462</v>
      </c>
      <c r="BA792" s="50" t="n">
        <f aca="false">AZ792*BY792</f>
        <v>1.49038461538462</v>
      </c>
      <c r="BB792" s="50" t="n">
        <f aca="false">AX792*G792</f>
        <v>69</v>
      </c>
      <c r="BC792" s="50" t="n">
        <f aca="false">ROUNDUP(MAX(J792/IF(CD792&gt;0,CD792,MAX(0.1,N(Cockpit!$O$6))),CG792)/BV792,0)*BV792</f>
        <v>20</v>
      </c>
      <c r="BD792" s="51" t="n">
        <f aca="false">IF(BA792&gt;0,J792/BA792,-1)</f>
        <v>0</v>
      </c>
      <c r="BE792" s="51" t="n">
        <f aca="false">IF(AND(OR(CC792="L1",CC792="L23",CC792="LIFT"),BA792&gt;0),SUMIFS($BA$7:$BA$1843,$CC$7:$CC$1843,CC792,$BD$7:$BD$1843,"&gt;"&amp;BD792)+SUMIFS($BA$7:$BA$1843,$CC$7:$CC$1843,CC792,$BD$7:$BD$1843,BD792,$BT$7:$BT$1843,"&lt;="&amp;BT792),"")</f>
        <v>37008.8421778316</v>
      </c>
      <c r="BF792" s="58" t="n">
        <f aca="false">IF(BE792="",0,MAX(0,MIN(1,(IF(CC792="L1",Parameter!$H$5,IF(CC792="L23",Parameter!$H$6+Parameter!$H$7,Parameter!$H$5+Parameter!$H$6+Parameter!$H$7))-(BE792-BA792))/BA792)))</f>
        <v>0</v>
      </c>
      <c r="BG792" s="48" t="str">
        <f aca="false">IF(AI792&lt;=0,"",IF(CC792="Aussen","Aussenlager",IF(CC792="-","Nicht im Lift",IF(AN792&gt;=1,"Lift",IF(AN792&lt;=0,"Aussenlager","teilweise")))))</f>
        <v>Lift</v>
      </c>
      <c r="BH792" s="48" t="str">
        <f aca="false">IF(AR792&lt;=0,"",IF(CC792="Aussen","Aussenlager",IF(CC792="-","Nicht im Lift",IF(AW792&gt;=1,"Lift",IF(AW792&lt;=0,"Aussenlager","teilweise")))))</f>
        <v>Aussenlager</v>
      </c>
      <c r="BI792" s="48" t="str">
        <f aca="false">IF(BA792&lt;=0,"",IF(CC792="Aussen","Aussenlager",IF(CC792="-","Nicht im Lift",IF(BF792&gt;=1,"Lift",IF(BF792&lt;=0,"Aussenlager","teilweise")))))</f>
        <v>Aussenlager</v>
      </c>
      <c r="BJ792" s="48" t="str">
        <f aca="false">IF(A792="","",IF(BS792=1,"Neu; ","")&amp;IF(AND(BS792=0,BN792&lt;0),"negativer Bestand (Export "&amp;BN792&amp;"); ","")&amp;IF(J792&lt;=0,"Kein Verbrauch; ","")&amp;IF(CL792&gt;0,"Lift "&amp;W792&amp;" lt. Liftbericht (Fach "&amp;X792&amp;" Stk); ",IF(BX792=1,"Gebinde geschätzt ("&amp;T792&amp;"); ",IF(BW792=1,"Lose – Tablare geschätzt; ","")))&amp;IF(H792&gt;AT792,"Überbestand "&amp;ROUND(H792-AT792,0)&amp;" Stk / CHF "&amp;ROUND((H792-AT792)*G792,0)&amp;"; ","")&amp;IF(AND(CE792=1,CF792&lt;CG792),"MAX &lt; MB+LG; ","")&amp;IF(AND(CK792&gt;0,CJ792*10&gt;CK792),"zu hoch für Tablar; ","")&amp;IF(AND(BS792=0,OR(CE792=1,AA792&lt;&gt;"",U792&lt;&gt;"",V792&lt;&gt;"",AB792&lt;&gt;"")),"manuell übersteuert; ","")&amp;IF(AND(BW792=0,R792=0),"Gebinde unbekannt / Stellmass fehlt; ","")&amp;IF(AND(BW792=0,N(V792)&lt;=0,N(Q792)&lt;=0),"Menge pro Gebinde fehlt (Ist = 1 Gebinde); ","")&amp;BR792)</f>
        <v>negativer Bestand (Export -1); Kein Verbrauch; Neuer Art.</v>
      </c>
      <c r="BK792" s="48"/>
      <c r="BL792" s="48"/>
      <c r="BM792" s="55"/>
      <c r="BN792" s="50" t="n">
        <v>-1</v>
      </c>
      <c r="BO792" s="50" t="n">
        <v>19</v>
      </c>
      <c r="BP792" s="49" t="n">
        <v>-3.45</v>
      </c>
      <c r="BQ792" s="50" t="n">
        <v>0</v>
      </c>
      <c r="BR792" s="48" t="s">
        <v>516</v>
      </c>
      <c r="BS792" s="53" t="n">
        <v>0</v>
      </c>
      <c r="BT792" s="53" t="n">
        <v>792</v>
      </c>
      <c r="BU792" s="48" t="str">
        <f aca="false">IF(U792&lt;&gt;"",UPPER(TRIM(U792)),IF(BX792=1,UPPER(VLOOKUP(T792,Parameter!$I$27:$K$29,2,0)),IF(P792="","LOSE",P792)))</f>
        <v>S32</v>
      </c>
      <c r="BV792" s="50" t="n">
        <f aca="false">IF(BU792="LOSE",1,IF(N(V792)&gt;0,V792,IF(BX792=1,MAX(1,N(VLOOKUP(T792,Parameter!$I$27:$K$29,3,0)),H792,N(N792)),IF(N(Q792)&gt;0,Q792,MAX(1,H792)))))</f>
        <v>20</v>
      </c>
      <c r="BW792" s="53" t="n">
        <f aca="false">IF(BU792="LOSE",1,0)</f>
        <v>0</v>
      </c>
      <c r="BX792" s="53" t="n">
        <f aca="false">IF(AND(U792="",OR(P792="",P792="LOSE"),T792&lt;&gt;"",N(S792)&lt;=0,ISNUMBER(MATCH(T792,Parameter!$I$27:$I$29,0))),1,0)</f>
        <v>0</v>
      </c>
      <c r="BY792" s="53" t="n">
        <f aca="false">IF(CL792&gt;0,INDEX(Parameter!$H$5:$H$7,W792)/INDEX(Parameter!$E$5:$E$7,W792),IF(AND(BW792=0,N(IFERROR(VLOOKUP(BU792,'Gebinde-Kategorie'!$A$5:$N$45,14,0),0))&gt;0),VLOOKUP(BU792,'Gebinde-Kategorie'!$A$5:$N$45,14,0)*10+Parameter!$M$23,Parameter!$M$24))</f>
        <v>155</v>
      </c>
      <c r="BZ792" s="48" t="str">
        <f aca="false">IF(AND(Parameter!$B$19="Ja",E792&lt;&gt;"",ISNUMBER(MATCH(E792,Parameter!$I$35:$I$52,0))),VLOOKUP(E792,Parameter!$I$35:$J$52,2,0),IFERROR(VLOOKUP(D792,Parameter!$A$35:$C$64,2,0),"Nein"))</f>
        <v>2+3</v>
      </c>
      <c r="CA792" s="52" t="n">
        <f aca="false">IF(BW792=0,0,IF(N(S792)&gt;0,S792,IFERROR(VLOOKUP(D792,Parameter!$A$35:$C$64,3,0)+0,0)))</f>
        <v>0</v>
      </c>
      <c r="CB792" s="48" t="n">
        <f aca="false">IF(AA792&lt;&gt;"",AA792,Z792)</f>
        <v>3</v>
      </c>
      <c r="CC792" s="48" t="str">
        <f aca="false">IF(OR(CB792=1,CB792=2,CB792=3),IF(Parameter!$E$27="Ja","LIFT",IF(CB792=1,"L1","L23")),IF(CB792="Aussen","Aussen","-"))</f>
        <v>LIFT</v>
      </c>
      <c r="CD792" s="59" t="n">
        <f aca="false">IF(N(AB792)&gt;0,AB792,0)</f>
        <v>0</v>
      </c>
      <c r="CE792" s="53" t="n">
        <f aca="false">IF(ISNUMBER(AE792),1,0)</f>
        <v>0</v>
      </c>
      <c r="CF792" s="50" t="n">
        <f aca="false">N(AE792)</f>
        <v>0</v>
      </c>
      <c r="CG792" s="50" t="n">
        <f aca="false">N(M792)+N(N792)</f>
        <v>1</v>
      </c>
      <c r="CH792" s="50" t="n">
        <f aca="false">ROUNDUP(H792/BV792,0)</f>
        <v>1</v>
      </c>
      <c r="CI792" s="50" t="n">
        <f aca="false">ROUNDUP(CF792/BV792,0)</f>
        <v>0</v>
      </c>
      <c r="CJ792" s="53" t="n">
        <f aca="false">IF(BW792=1,0,IFERROR(VLOOKUP(BU792,'Gebinde-Kategorie'!$A$5:$N$45,5,0)+0,0))</f>
        <v>8</v>
      </c>
      <c r="CK792" s="53" t="n">
        <f aca="false">IFERROR(IF(OR(CB792=1,CB792=2,CB792=3),N(INDEX(Parameter!$I$5:$I$7,CB792)),0),0)</f>
        <v>0</v>
      </c>
      <c r="CL792" s="52" t="n">
        <f aca="false">IF(AND(Parameter!$B$21="Ja",ISNUMBER(W792),N(X792)&gt;0),IFERROR(N(INDEX(Parameter!$L$5:$L$7,W792))*INDEX(Parameter!$E$5:$E$7,W792)*X792/SUMIFS($X$7:$X$1843,$W$7:$W$1843,W792),0),0)</f>
        <v>0</v>
      </c>
    </row>
    <row r="793" customFormat="false" ht="15" hidden="false" customHeight="false" outlineLevel="0" collapsed="false">
      <c r="A793" s="48" t="s">
        <v>1547</v>
      </c>
      <c r="B793" s="48" t="s">
        <v>1548</v>
      </c>
      <c r="C793" s="48" t="s">
        <v>168</v>
      </c>
      <c r="D793" s="48" t="s">
        <v>188</v>
      </c>
      <c r="E793" s="48" t="s">
        <v>189</v>
      </c>
      <c r="F793" s="48" t="s">
        <v>222</v>
      </c>
      <c r="G793" s="49" t="n">
        <v>0.01</v>
      </c>
      <c r="H793" s="50" t="n">
        <f aca="false">MAX(0,IF(AND(Parameter!$B$21="Ja",ISNUMBER(Y793)),Y793,IF(Parameter!$B$20="Jahresanfang 2025 + Export",BO793+BN793,BN793)))</f>
        <v>4329</v>
      </c>
      <c r="I793" s="50" t="n">
        <f aca="false">H793*G793</f>
        <v>43.29</v>
      </c>
      <c r="J793" s="50" t="n">
        <f aca="false">BQ793*Parameter!$B$18</f>
        <v>9801</v>
      </c>
      <c r="K793" s="51" t="n">
        <v>3164.5</v>
      </c>
      <c r="L793" s="52" t="n">
        <v>3.09717174909148</v>
      </c>
      <c r="M793" s="50" t="n">
        <v>571</v>
      </c>
      <c r="N793" s="50" t="n">
        <v>9800</v>
      </c>
      <c r="O793" s="53" t="n">
        <v>21</v>
      </c>
      <c r="P793" s="48" t="s">
        <v>306</v>
      </c>
      <c r="Q793" s="50" t="n">
        <v>4394</v>
      </c>
      <c r="R793" s="53" t="n">
        <f aca="false">IF(BW793=1,0,IFERROR(VLOOKUP(BU793,'Gebinde-Kategorie'!$A$5:$N$45,13,0)+0,0))</f>
        <v>26</v>
      </c>
      <c r="S793" s="54"/>
      <c r="T793" s="55"/>
      <c r="U793" s="55"/>
      <c r="V793" s="55"/>
      <c r="W793" s="48"/>
      <c r="X793" s="50"/>
      <c r="Y793" s="50"/>
      <c r="Z793" s="48" t="n">
        <f aca="false">IF(A793="","",IF(AND(Parameter!$B$21="Ja",ISNUMBER(W793)),W793,IF(BZ793="2+3",IF(ISNUMBER(SEARCH("grosser Artikel",BR793)),2,IFERROR(VLOOKUP(BU793,Parameter!$F$35:$G$64,2,0),2)),IF(OR(BZ793="Nein",BZ793=""),"-",BZ793))))</f>
        <v>3</v>
      </c>
      <c r="AA793" s="55"/>
      <c r="AB793" s="56"/>
      <c r="AC793" s="50" t="n">
        <f aca="false">AT793</f>
        <v>13182</v>
      </c>
      <c r="AD793" s="50" t="n">
        <f aca="false">MAX(AT793,H793)</f>
        <v>13182</v>
      </c>
      <c r="AE793" s="57"/>
      <c r="AF793" s="50" t="n">
        <f aca="false">IF(LEFT(Cockpit!$C$5,1)="A",H793,IF(CE793=1,CF793,IF(LEFT(Cockpit!$C$5,1)="B",AK793,MAX(AK793,H793))))</f>
        <v>4329</v>
      </c>
      <c r="AG793" s="50" t="n">
        <f aca="false">IF(BW793=1,0,ROUNDUP(AF793/BV793,0))</f>
        <v>1</v>
      </c>
      <c r="AH793" s="52" t="n">
        <f aca="false">IF(CL793&gt;0,CL793*MAX(1,AF793/X793),IF(BW793=1,IF(AF793&lt;=0,0,CA793*MAX(1,IF(H793&gt;0,AF793/H793,1))),IF(R793&gt;0,AG793/R793,0))/MAX(0.1,N(Parameter!$M$21)))</f>
        <v>0.0384615384615385</v>
      </c>
      <c r="AI793" s="50" t="n">
        <f aca="false">AH793*BY793</f>
        <v>5.96153846153846</v>
      </c>
      <c r="AJ793" s="50" t="n">
        <f aca="false">AF793*G793</f>
        <v>43.29</v>
      </c>
      <c r="AK793" s="50" t="n">
        <f aca="false">ROUNDUP(MAX(J793/IF(CD793&gt;0,CD793,MAX(0.1,N(Cockpit!$C$6))),CG793)/BV793,0)*BV793</f>
        <v>13182</v>
      </c>
      <c r="AL793" s="51" t="n">
        <f aca="false">IF(AI793&gt;0,J793/AI793,-1)</f>
        <v>1644.03870967742</v>
      </c>
      <c r="AM793" s="51" t="n">
        <f aca="false">IF(AND(OR(CC793="L1",CC793="L23",CC793="LIFT"),AI793&gt;0),SUMIFS($AI$7:$AI$1843,$CC$7:$CC$1843,CC793,$AL$7:$AL$1843,"&gt;"&amp;AL793)+SUMIFS($AI$7:$AI$1843,$CC$7:$CC$1843,CC793,$AL$7:$AL$1843,AL793,$BT$7:$BT$1843,"&lt;="&amp;BT793),"")</f>
        <v>11.9230769230769</v>
      </c>
      <c r="AN793" s="58" t="n">
        <f aca="false">IF(AM793="",0,MAX(0,MIN(1,(IF(CC793="L1",Parameter!$H$5,IF(CC793="L23",Parameter!$H$6+Parameter!$H$7,Parameter!$H$5+Parameter!$H$6+Parameter!$H$7))-(AM793-AI793))/AI793)))</f>
        <v>1</v>
      </c>
      <c r="AO793" s="50" t="n">
        <f aca="false">IF(LEFT(Cockpit!$I$5,1)="A",H793,IF(CE793=1,CF793,IF(LEFT(Cockpit!$I$5,1)="B",AT793,MAX(AT793,H793))))</f>
        <v>13182</v>
      </c>
      <c r="AP793" s="50" t="n">
        <f aca="false">IF(BW793=1,0,ROUNDUP(AO793/BV793,0))</f>
        <v>3</v>
      </c>
      <c r="AQ793" s="52" t="n">
        <f aca="false">IF(CL793&gt;0,CL793*MAX(1,AO793/X793),IF(BW793=1,IF(AO793&lt;=0,0,CA793*MAX(1,IF(H793&gt;0,AO793/H793,1))),IF(R793&gt;0,AP793/R793,0))/MAX(0.1,N(Parameter!$M$21)))</f>
        <v>0.115384615384615</v>
      </c>
      <c r="AR793" s="50" t="n">
        <f aca="false">AQ793*BY793</f>
        <v>17.8846153846154</v>
      </c>
      <c r="AS793" s="50" t="n">
        <f aca="false">AO793*G793</f>
        <v>131.82</v>
      </c>
      <c r="AT793" s="50" t="n">
        <f aca="false">ROUNDUP(MAX(J793/IF(CD793&gt;0,CD793,MAX(0.1,N(Cockpit!$I$6))),CG793)/BV793,0)*BV793</f>
        <v>13182</v>
      </c>
      <c r="AU793" s="51" t="n">
        <f aca="false">IF(AR793&gt;0,J793/AR793,-1)</f>
        <v>548.012903225806</v>
      </c>
      <c r="AV793" s="51" t="n">
        <f aca="false">IF(AND(OR(CC793="L1",CC793="L23",CC793="LIFT"),AR793&gt;0),SUMIFS($AR$7:$AR$1843,$CC$7:$CC$1843,CC793,$AU$7:$AU$1843,"&gt;"&amp;AU793)+SUMIFS($AR$7:$AR$1843,$CC$7:$CC$1843,CC793,$AU$7:$AU$1843,AU793,$BT$7:$BT$1843,"&lt;="&amp;BT793),"")</f>
        <v>38.7074175824176</v>
      </c>
      <c r="AW793" s="58" t="n">
        <f aca="false">IF(AV793="",0,MAX(0,MIN(1,(IF(CC793="L1",Parameter!$H$5,IF(CC793="L23",Parameter!$H$6+Parameter!$H$7,Parameter!$H$5+Parameter!$H$6+Parameter!$H$7))-(AV793-AR793))/AR793)))</f>
        <v>1</v>
      </c>
      <c r="AX793" s="50" t="n">
        <f aca="false">IF(LEFT(Cockpit!$O$5,1)="A",H793,IF(CE793=1,CF793,IF(LEFT(Cockpit!$O$5,1)="B",BC793,MAX(BC793,H793))))</f>
        <v>13182</v>
      </c>
      <c r="AY793" s="50" t="n">
        <f aca="false">IF(BW793=1,0,ROUNDUP(AX793/BV793,0))</f>
        <v>3</v>
      </c>
      <c r="AZ793" s="52" t="n">
        <f aca="false">IF(CL793&gt;0,CL793*MAX(1,AX793/X793),IF(BW793=1,IF(AX793&lt;=0,0,CA793*MAX(1,IF(H793&gt;0,AX793/H793,1))),IF(R793&gt;0,AY793/R793,0))/MAX(0.1,N(Parameter!$M$21)))</f>
        <v>0.115384615384615</v>
      </c>
      <c r="BA793" s="50" t="n">
        <f aca="false">AZ793*BY793</f>
        <v>17.8846153846154</v>
      </c>
      <c r="BB793" s="50" t="n">
        <f aca="false">AX793*G793</f>
        <v>131.82</v>
      </c>
      <c r="BC793" s="50" t="n">
        <f aca="false">ROUNDUP(MAX(J793/IF(CD793&gt;0,CD793,MAX(0.1,N(Cockpit!$O$6))),CG793)/BV793,0)*BV793</f>
        <v>13182</v>
      </c>
      <c r="BD793" s="51" t="n">
        <f aca="false">IF(BA793&gt;0,J793/BA793,-1)</f>
        <v>548.012903225806</v>
      </c>
      <c r="BE793" s="51" t="n">
        <f aca="false">IF(AND(OR(CC793="L1",CC793="L23",CC793="LIFT"),BA793&gt;0),SUMIFS($BA$7:$BA$1843,$CC$7:$CC$1843,CC793,$BD$7:$BD$1843,"&gt;"&amp;BD793)+SUMIFS($BA$7:$BA$1843,$CC$7:$CC$1843,CC793,$BD$7:$BD$1843,BD793,$BT$7:$BT$1843,"&lt;="&amp;BT793),"")</f>
        <v>50.6304945054945</v>
      </c>
      <c r="BF793" s="58" t="n">
        <f aca="false">IF(BE793="",0,MAX(0,MIN(1,(IF(CC793="L1",Parameter!$H$5,IF(CC793="L23",Parameter!$H$6+Parameter!$H$7,Parameter!$H$5+Parameter!$H$6+Parameter!$H$7))-(BE793-BA793))/BA793)))</f>
        <v>1</v>
      </c>
      <c r="BG793" s="48" t="str">
        <f aca="false">IF(AI793&lt;=0,"",IF(CC793="Aussen","Aussenlager",IF(CC793="-","Nicht im Lift",IF(AN793&gt;=1,"Lift",IF(AN793&lt;=0,"Aussenlager","teilweise")))))</f>
        <v>Lift</v>
      </c>
      <c r="BH793" s="48" t="str">
        <f aca="false">IF(AR793&lt;=0,"",IF(CC793="Aussen","Aussenlager",IF(CC793="-","Nicht im Lift",IF(AW793&gt;=1,"Lift",IF(AW793&lt;=0,"Aussenlager","teilweise")))))</f>
        <v>Lift</v>
      </c>
      <c r="BI793" s="48" t="str">
        <f aca="false">IF(BA793&lt;=0,"",IF(CC793="Aussen","Aussenlager",IF(CC793="-","Nicht im Lift",IF(BF793&gt;=1,"Lift",IF(BF793&lt;=0,"Aussenlager","teilweise")))))</f>
        <v>Lift</v>
      </c>
      <c r="BJ793" s="48" t="str">
        <f aca="false">IF(A793="","",IF(BS793=1,"Neu; ","")&amp;IF(AND(BS793=0,BN793&lt;0),"negativer Bestand (Export "&amp;BN793&amp;"); ","")&amp;IF(J793&lt;=0,"Kein Verbrauch; ","")&amp;IF(CL793&gt;0,"Lift "&amp;W793&amp;" lt. Liftbericht (Fach "&amp;X793&amp;" Stk); ",IF(BX793=1,"Gebinde geschätzt ("&amp;T793&amp;"); ",IF(BW793=1,"Lose – Tablare geschätzt; ","")))&amp;IF(H793&gt;AT793,"Überbestand "&amp;ROUND(H793-AT793,0)&amp;" Stk / CHF "&amp;ROUND((H793-AT793)*G793,0)&amp;"; ","")&amp;IF(AND(CE793=1,CF793&lt;CG793),"MAX &lt; MB+LG; ","")&amp;IF(AND(CK793&gt;0,CJ793*10&gt;CK793),"zu hoch für Tablar; ","")&amp;IF(AND(BS793=0,OR(CE793=1,AA793&lt;&gt;"",U793&lt;&gt;"",V793&lt;&gt;"",AB793&lt;&gt;"")),"manuell übersteuert; ","")&amp;IF(AND(BW793=0,R793=0),"Gebinde unbekannt / Stellmass fehlt; ","")&amp;IF(AND(BW793=0,N(V793)&lt;=0,N(Q793)&lt;=0),"Menge pro Gebinde fehlt (Ist = 1 Gebinde); ","")&amp;BR793)</f>
        <v/>
      </c>
      <c r="BK793" s="48"/>
      <c r="BL793" s="48"/>
      <c r="BM793" s="55"/>
      <c r="BN793" s="50" t="n">
        <v>2769</v>
      </c>
      <c r="BO793" s="50" t="n">
        <v>1560</v>
      </c>
      <c r="BP793" s="49" t="n">
        <v>-3.50999999999995</v>
      </c>
      <c r="BQ793" s="50" t="n">
        <v>9801</v>
      </c>
      <c r="BR793" s="48"/>
      <c r="BS793" s="53" t="n">
        <v>0</v>
      </c>
      <c r="BT793" s="53" t="n">
        <v>793</v>
      </c>
      <c r="BU793" s="48" t="str">
        <f aca="false">IF(U793&lt;&gt;"",UPPER(TRIM(U793)),IF(BX793=1,UPPER(VLOOKUP(T793,Parameter!$I$27:$K$29,2,0)),IF(P793="","LOSE",P793)))</f>
        <v>S51</v>
      </c>
      <c r="BV793" s="50" t="n">
        <f aca="false">IF(BU793="LOSE",1,IF(N(V793)&gt;0,V793,IF(BX793=1,MAX(1,N(VLOOKUP(T793,Parameter!$I$27:$K$29,3,0)),H793,N(N793)),IF(N(Q793)&gt;0,Q793,MAX(1,H793)))))</f>
        <v>4394</v>
      </c>
      <c r="BW793" s="53" t="n">
        <f aca="false">IF(BU793="LOSE",1,0)</f>
        <v>0</v>
      </c>
      <c r="BX793" s="53" t="n">
        <f aca="false">IF(AND(U793="",OR(P793="",P793="LOSE"),T793&lt;&gt;"",N(S793)&lt;=0,ISNUMBER(MATCH(T793,Parameter!$I$27:$I$29,0))),1,0)</f>
        <v>0</v>
      </c>
      <c r="BY793" s="53" t="n">
        <f aca="false">IF(CL793&gt;0,INDEX(Parameter!$H$5:$H$7,W793)/INDEX(Parameter!$E$5:$E$7,W793),IF(AND(BW793=0,N(IFERROR(VLOOKUP(BU793,'Gebinde-Kategorie'!$A$5:$N$45,14,0),0))&gt;0),VLOOKUP(BU793,'Gebinde-Kategorie'!$A$5:$N$45,14,0)*10+Parameter!$M$23,Parameter!$M$24))</f>
        <v>155</v>
      </c>
      <c r="BZ793" s="48" t="str">
        <f aca="false">IF(AND(Parameter!$B$19="Ja",E793&lt;&gt;"",ISNUMBER(MATCH(E793,Parameter!$I$35:$I$52,0))),VLOOKUP(E793,Parameter!$I$35:$J$52,2,0),IFERROR(VLOOKUP(D793,Parameter!$A$35:$C$64,2,0),"Nein"))</f>
        <v>2+3</v>
      </c>
      <c r="CA793" s="52" t="n">
        <f aca="false">IF(BW793=0,0,IF(N(S793)&gt;0,S793,IFERROR(VLOOKUP(D793,Parameter!$A$35:$C$64,3,0)+0,0)))</f>
        <v>0</v>
      </c>
      <c r="CB793" s="48" t="n">
        <f aca="false">IF(AA793&lt;&gt;"",AA793,Z793)</f>
        <v>3</v>
      </c>
      <c r="CC793" s="48" t="str">
        <f aca="false">IF(OR(CB793=1,CB793=2,CB793=3),IF(Parameter!$E$27="Ja","LIFT",IF(CB793=1,"L1","L23")),IF(CB793="Aussen","Aussen","-"))</f>
        <v>LIFT</v>
      </c>
      <c r="CD793" s="59" t="n">
        <f aca="false">IF(N(AB793)&gt;0,AB793,0)</f>
        <v>0</v>
      </c>
      <c r="CE793" s="53" t="n">
        <f aca="false">IF(ISNUMBER(AE793),1,0)</f>
        <v>0</v>
      </c>
      <c r="CF793" s="50" t="n">
        <f aca="false">N(AE793)</f>
        <v>0</v>
      </c>
      <c r="CG793" s="50" t="n">
        <f aca="false">N(M793)+N(N793)</f>
        <v>10371</v>
      </c>
      <c r="CH793" s="50" t="n">
        <f aca="false">ROUNDUP(H793/BV793,0)</f>
        <v>1</v>
      </c>
      <c r="CI793" s="50" t="n">
        <f aca="false">ROUNDUP(CF793/BV793,0)</f>
        <v>0</v>
      </c>
      <c r="CJ793" s="53" t="n">
        <f aca="false">IF(BW793=1,0,IFERROR(VLOOKUP(BU793,'Gebinde-Kategorie'!$A$5:$N$45,5,0)+0,0))</f>
        <v>11</v>
      </c>
      <c r="CK793" s="53" t="n">
        <f aca="false">IFERROR(IF(OR(CB793=1,CB793=2,CB793=3),N(INDEX(Parameter!$I$5:$I$7,CB793)),0),0)</f>
        <v>0</v>
      </c>
      <c r="CL793" s="52" t="n">
        <f aca="false">IF(AND(Parameter!$B$21="Ja",ISNUMBER(W793),N(X793)&gt;0),IFERROR(N(INDEX(Parameter!$L$5:$L$7,W793))*INDEX(Parameter!$E$5:$E$7,W793)*X793/SUMIFS($X$7:$X$1843,$W$7:$W$1843,W793),0),0)</f>
        <v>0</v>
      </c>
    </row>
    <row r="794" customFormat="false" ht="15" hidden="false" customHeight="false" outlineLevel="0" collapsed="false">
      <c r="A794" s="48" t="s">
        <v>1549</v>
      </c>
      <c r="B794" s="48" t="s">
        <v>472</v>
      </c>
      <c r="C794" s="48" t="s">
        <v>168</v>
      </c>
      <c r="D794" s="48" t="s">
        <v>188</v>
      </c>
      <c r="E794" s="48" t="s">
        <v>189</v>
      </c>
      <c r="F794" s="48" t="s">
        <v>222</v>
      </c>
      <c r="G794" s="49" t="n">
        <v>0.3</v>
      </c>
      <c r="H794" s="50" t="n">
        <f aca="false">MAX(0,IF(AND(Parameter!$B$21="Ja",ISNUMBER(Y794)),Y794,IF(Parameter!$B$20="Jahresanfang 2025 + Export",BO794+BN794,BN794)))</f>
        <v>99</v>
      </c>
      <c r="I794" s="50" t="n">
        <f aca="false">H794*G794</f>
        <v>29.7</v>
      </c>
      <c r="J794" s="50" t="n">
        <f aca="false">BQ794*Parameter!$B$18</f>
        <v>385</v>
      </c>
      <c r="K794" s="51" t="n">
        <v>113.5</v>
      </c>
      <c r="L794" s="52" t="n">
        <v>3.3920704845815</v>
      </c>
      <c r="M794" s="50" t="n">
        <v>14</v>
      </c>
      <c r="N794" s="50" t="n">
        <v>400</v>
      </c>
      <c r="O794" s="53" t="n">
        <v>14</v>
      </c>
      <c r="P794" s="48" t="s">
        <v>480</v>
      </c>
      <c r="Q794" s="50" t="n">
        <v>206</v>
      </c>
      <c r="R794" s="53" t="n">
        <f aca="false">IF(BW794=1,0,IFERROR(VLOOKUP(BU794,'Gebinde-Kategorie'!$A$5:$N$45,13,0)+0,0))</f>
        <v>52</v>
      </c>
      <c r="S794" s="54"/>
      <c r="T794" s="55"/>
      <c r="U794" s="55"/>
      <c r="V794" s="55"/>
      <c r="W794" s="48"/>
      <c r="X794" s="50"/>
      <c r="Y794" s="50"/>
      <c r="Z794" s="48" t="n">
        <f aca="false">IF(A794="","",IF(AND(Parameter!$B$21="Ja",ISNUMBER(W794)),W794,IF(BZ794="2+3",IF(ISNUMBER(SEARCH("grosser Artikel",BR794)),2,IFERROR(VLOOKUP(BU794,Parameter!$F$35:$G$64,2,0),2)),IF(OR(BZ794="Nein",BZ794=""),"-",BZ794))))</f>
        <v>3</v>
      </c>
      <c r="AA794" s="55"/>
      <c r="AB794" s="56"/>
      <c r="AC794" s="50" t="n">
        <f aca="false">AT794</f>
        <v>618</v>
      </c>
      <c r="AD794" s="50" t="n">
        <f aca="false">MAX(AT794,H794)</f>
        <v>618</v>
      </c>
      <c r="AE794" s="57"/>
      <c r="AF794" s="50" t="n">
        <f aca="false">IF(LEFT(Cockpit!$C$5,1)="A",H794,IF(CE794=1,CF794,IF(LEFT(Cockpit!$C$5,1)="B",AK794,MAX(AK794,H794))))</f>
        <v>99</v>
      </c>
      <c r="AG794" s="50" t="n">
        <f aca="false">IF(BW794=1,0,ROUNDUP(AF794/BV794,0))</f>
        <v>1</v>
      </c>
      <c r="AH794" s="52" t="n">
        <f aca="false">IF(CL794&gt;0,CL794*MAX(1,AF794/X794),IF(BW794=1,IF(AF794&lt;=0,0,CA794*MAX(1,IF(H794&gt;0,AF794/H794,1))),IF(R794&gt;0,AG794/R794,0))/MAX(0.1,N(Parameter!$M$21)))</f>
        <v>0.0192307692307692</v>
      </c>
      <c r="AI794" s="50" t="n">
        <f aca="false">AH794*BY794</f>
        <v>2.98076923076923</v>
      </c>
      <c r="AJ794" s="50" t="n">
        <f aca="false">AF794*G794</f>
        <v>29.7</v>
      </c>
      <c r="AK794" s="50" t="n">
        <f aca="false">ROUNDUP(MAX(J794/IF(CD794&gt;0,CD794,MAX(0.1,N(Cockpit!$C$6))),CG794)/BV794,0)*BV794</f>
        <v>618</v>
      </c>
      <c r="AL794" s="51" t="n">
        <f aca="false">IF(AI794&gt;0,J794/AI794,-1)</f>
        <v>129.161290322581</v>
      </c>
      <c r="AM794" s="51" t="n">
        <f aca="false">IF(AND(OR(CC794="L1",CC794="L23",CC794="LIFT"),AI794&gt;0),SUMIFS($AI$7:$AI$1843,$CC$7:$CC$1843,CC794,$AL$7:$AL$1843,"&gt;"&amp;AL794)+SUMIFS($AI$7:$AI$1843,$CC$7:$CC$1843,CC794,$AL$7:$AL$1843,AL794,$BT$7:$BT$1843,"&lt;="&amp;BT794),"")</f>
        <v>609.279304029304</v>
      </c>
      <c r="AN794" s="58" t="n">
        <f aca="false">IF(AM794="",0,MAX(0,MIN(1,(IF(CC794="L1",Parameter!$H$5,IF(CC794="L23",Parameter!$H$6+Parameter!$H$7,Parameter!$H$5+Parameter!$H$6+Parameter!$H$7))-(AM794-AI794))/AI794)))</f>
        <v>1</v>
      </c>
      <c r="AO794" s="50" t="n">
        <f aca="false">IF(LEFT(Cockpit!$I$5,1)="A",H794,IF(CE794=1,CF794,IF(LEFT(Cockpit!$I$5,1)="B",AT794,MAX(AT794,H794))))</f>
        <v>618</v>
      </c>
      <c r="AP794" s="50" t="n">
        <f aca="false">IF(BW794=1,0,ROUNDUP(AO794/BV794,0))</f>
        <v>3</v>
      </c>
      <c r="AQ794" s="52" t="n">
        <f aca="false">IF(CL794&gt;0,CL794*MAX(1,AO794/X794),IF(BW794=1,IF(AO794&lt;=0,0,CA794*MAX(1,IF(H794&gt;0,AO794/H794,1))),IF(R794&gt;0,AP794/R794,0))/MAX(0.1,N(Parameter!$M$21)))</f>
        <v>0.0576923076923077</v>
      </c>
      <c r="AR794" s="50" t="n">
        <f aca="false">AQ794*BY794</f>
        <v>8.94230769230769</v>
      </c>
      <c r="AS794" s="50" t="n">
        <f aca="false">AO794*G794</f>
        <v>185.4</v>
      </c>
      <c r="AT794" s="50" t="n">
        <f aca="false">ROUNDUP(MAX(J794/IF(CD794&gt;0,CD794,MAX(0.1,N(Cockpit!$I$6))),CG794)/BV794,0)*BV794</f>
        <v>618</v>
      </c>
      <c r="AU794" s="51" t="n">
        <f aca="false">IF(AR794&gt;0,J794/AR794,-1)</f>
        <v>43.0537634408602</v>
      </c>
      <c r="AV794" s="51" t="n">
        <f aca="false">IF(AND(OR(CC794="L1",CC794="L23",CC794="LIFT"),AR794&gt;0),SUMIFS($AR$7:$AR$1843,$CC$7:$CC$1843,CC794,$AU$7:$AU$1843,"&gt;"&amp;AU794)+SUMIFS($AR$7:$AR$1843,$CC$7:$CC$1843,CC794,$AU$7:$AU$1843,AU794,$BT$7:$BT$1843,"&lt;="&amp;BT794),"")</f>
        <v>1667.62866300366</v>
      </c>
      <c r="AW794" s="58" t="n">
        <f aca="false">IF(AV794="",0,MAX(0,MIN(1,(IF(CC794="L1",Parameter!$H$5,IF(CC794="L23",Parameter!$H$6+Parameter!$H$7,Parameter!$H$5+Parameter!$H$6+Parameter!$H$7))-(AV794-AR794))/AR794)))</f>
        <v>1</v>
      </c>
      <c r="AX794" s="50" t="n">
        <f aca="false">IF(LEFT(Cockpit!$O$5,1)="A",H794,IF(CE794=1,CF794,IF(LEFT(Cockpit!$O$5,1)="B",BC794,MAX(BC794,H794))))</f>
        <v>618</v>
      </c>
      <c r="AY794" s="50" t="n">
        <f aca="false">IF(BW794=1,0,ROUNDUP(AX794/BV794,0))</f>
        <v>3</v>
      </c>
      <c r="AZ794" s="52" t="n">
        <f aca="false">IF(CL794&gt;0,CL794*MAX(1,AX794/X794),IF(BW794=1,IF(AX794&lt;=0,0,CA794*MAX(1,IF(H794&gt;0,AX794/H794,1))),IF(R794&gt;0,AY794/R794,0))/MAX(0.1,N(Parameter!$M$21)))</f>
        <v>0.0576923076923077</v>
      </c>
      <c r="BA794" s="50" t="n">
        <f aca="false">AZ794*BY794</f>
        <v>8.94230769230769</v>
      </c>
      <c r="BB794" s="50" t="n">
        <f aca="false">AX794*G794</f>
        <v>185.4</v>
      </c>
      <c r="BC794" s="50" t="n">
        <f aca="false">ROUNDUP(MAX(J794/IF(CD794&gt;0,CD794,MAX(0.1,N(Cockpit!$O$6))),CG794)/BV794,0)*BV794</f>
        <v>618</v>
      </c>
      <c r="BD794" s="51" t="n">
        <f aca="false">IF(BA794&gt;0,J794/BA794,-1)</f>
        <v>43.0537634408602</v>
      </c>
      <c r="BE794" s="51" t="n">
        <f aca="false">IF(AND(OR(CC794="L1",CC794="L23",CC794="LIFT"),BA794&gt;0),SUMIFS($BA$7:$BA$1843,$CC$7:$CC$1843,CC794,$BD$7:$BD$1843,"&gt;"&amp;BD794)+SUMIFS($BA$7:$BA$1843,$CC$7:$CC$1843,CC794,$BD$7:$BD$1843,BD794,$BT$7:$BT$1843,"&lt;="&amp;BT794),"")</f>
        <v>1532.54853479853</v>
      </c>
      <c r="BF794" s="58" t="n">
        <f aca="false">IF(BE794="",0,MAX(0,MIN(1,(IF(CC794="L1",Parameter!$H$5,IF(CC794="L23",Parameter!$H$6+Parameter!$H$7,Parameter!$H$5+Parameter!$H$6+Parameter!$H$7))-(BE794-BA794))/BA794)))</f>
        <v>1</v>
      </c>
      <c r="BG794" s="48" t="str">
        <f aca="false">IF(AI794&lt;=0,"",IF(CC794="Aussen","Aussenlager",IF(CC794="-","Nicht im Lift",IF(AN794&gt;=1,"Lift",IF(AN794&lt;=0,"Aussenlager","teilweise")))))</f>
        <v>Lift</v>
      </c>
      <c r="BH794" s="48" t="str">
        <f aca="false">IF(AR794&lt;=0,"",IF(CC794="Aussen","Aussenlager",IF(CC794="-","Nicht im Lift",IF(AW794&gt;=1,"Lift",IF(AW794&lt;=0,"Aussenlager","teilweise")))))</f>
        <v>Lift</v>
      </c>
      <c r="BI794" s="48" t="str">
        <f aca="false">IF(BA794&lt;=0,"",IF(CC794="Aussen","Aussenlager",IF(CC794="-","Nicht im Lift",IF(BF794&gt;=1,"Lift",IF(BF794&lt;=0,"Aussenlager","teilweise")))))</f>
        <v>Lift</v>
      </c>
      <c r="BJ794" s="48" t="str">
        <f aca="false">IF(A794="","",IF(BS794=1,"Neu; ","")&amp;IF(AND(BS794=0,BN794&lt;0),"negativer Bestand (Export "&amp;BN794&amp;"); ","")&amp;IF(J794&lt;=0,"Kein Verbrauch; ","")&amp;IF(CL794&gt;0,"Lift "&amp;W794&amp;" lt. Liftbericht (Fach "&amp;X794&amp;" Stk); ",IF(BX794=1,"Gebinde geschätzt ("&amp;T794&amp;"); ",IF(BW794=1,"Lose – Tablare geschätzt; ","")))&amp;IF(H794&gt;AT794,"Überbestand "&amp;ROUND(H794-AT794,0)&amp;" Stk / CHF "&amp;ROUND((H794-AT794)*G794,0)&amp;"; ","")&amp;IF(AND(CE794=1,CF794&lt;CG794),"MAX &lt; MB+LG; ","")&amp;IF(AND(CK794&gt;0,CJ794*10&gt;CK794),"zu hoch für Tablar; ","")&amp;IF(AND(BS794=0,OR(CE794=1,AA794&lt;&gt;"",U794&lt;&gt;"",V794&lt;&gt;"",AB794&lt;&gt;"")),"manuell übersteuert; ","")&amp;IF(AND(BW794=0,R794=0),"Gebinde unbekannt / Stellmass fehlt; ","")&amp;IF(AND(BW794=0,N(V794)&lt;=0,N(Q794)&lt;=0),"Menge pro Gebinde fehlt (Ist = 1 Gebinde); ","")&amp;BR794)</f>
        <v>negativer Bestand (Export -15); </v>
      </c>
      <c r="BK794" s="48"/>
      <c r="BL794" s="48"/>
      <c r="BM794" s="55"/>
      <c r="BN794" s="50" t="n">
        <v>-15</v>
      </c>
      <c r="BO794" s="50" t="n">
        <v>114</v>
      </c>
      <c r="BP794" s="49" t="n">
        <v>-3.56000000000001</v>
      </c>
      <c r="BQ794" s="50" t="n">
        <v>385</v>
      </c>
      <c r="BR794" s="48"/>
      <c r="BS794" s="53" t="n">
        <v>0</v>
      </c>
      <c r="BT794" s="53" t="n">
        <v>794</v>
      </c>
      <c r="BU794" s="48" t="str">
        <f aca="false">IF(U794&lt;&gt;"",UPPER(TRIM(U794)),IF(BX794=1,UPPER(VLOOKUP(T794,Parameter!$I$27:$K$29,2,0)),IF(P794="","LOSE",P794)))</f>
        <v>S33</v>
      </c>
      <c r="BV794" s="50" t="n">
        <f aca="false">IF(BU794="LOSE",1,IF(N(V794)&gt;0,V794,IF(BX794=1,MAX(1,N(VLOOKUP(T794,Parameter!$I$27:$K$29,3,0)),H794,N(N794)),IF(N(Q794)&gt;0,Q794,MAX(1,H794)))))</f>
        <v>206</v>
      </c>
      <c r="BW794" s="53" t="n">
        <f aca="false">IF(BU794="LOSE",1,0)</f>
        <v>0</v>
      </c>
      <c r="BX794" s="53" t="n">
        <f aca="false">IF(AND(U794="",OR(P794="",P794="LOSE"),T794&lt;&gt;"",N(S794)&lt;=0,ISNUMBER(MATCH(T794,Parameter!$I$27:$I$29,0))),1,0)</f>
        <v>0</v>
      </c>
      <c r="BY794" s="53" t="n">
        <f aca="false">IF(CL794&gt;0,INDEX(Parameter!$H$5:$H$7,W794)/INDEX(Parameter!$E$5:$E$7,W794),IF(AND(BW794=0,N(IFERROR(VLOOKUP(BU794,'Gebinde-Kategorie'!$A$5:$N$45,14,0),0))&gt;0),VLOOKUP(BU794,'Gebinde-Kategorie'!$A$5:$N$45,14,0)*10+Parameter!$M$23,Parameter!$M$24))</f>
        <v>155</v>
      </c>
      <c r="BZ794" s="48" t="str">
        <f aca="false">IF(AND(Parameter!$B$19="Ja",E794&lt;&gt;"",ISNUMBER(MATCH(E794,Parameter!$I$35:$I$52,0))),VLOOKUP(E794,Parameter!$I$35:$J$52,2,0),IFERROR(VLOOKUP(D794,Parameter!$A$35:$C$64,2,0),"Nein"))</f>
        <v>2+3</v>
      </c>
      <c r="CA794" s="52" t="n">
        <f aca="false">IF(BW794=0,0,IF(N(S794)&gt;0,S794,IFERROR(VLOOKUP(D794,Parameter!$A$35:$C$64,3,0)+0,0)))</f>
        <v>0</v>
      </c>
      <c r="CB794" s="48" t="n">
        <f aca="false">IF(AA794&lt;&gt;"",AA794,Z794)</f>
        <v>3</v>
      </c>
      <c r="CC794" s="48" t="str">
        <f aca="false">IF(OR(CB794=1,CB794=2,CB794=3),IF(Parameter!$E$27="Ja","LIFT",IF(CB794=1,"L1","L23")),IF(CB794="Aussen","Aussen","-"))</f>
        <v>LIFT</v>
      </c>
      <c r="CD794" s="59" t="n">
        <f aca="false">IF(N(AB794)&gt;0,AB794,0)</f>
        <v>0</v>
      </c>
      <c r="CE794" s="53" t="n">
        <f aca="false">IF(ISNUMBER(AE794),1,0)</f>
        <v>0</v>
      </c>
      <c r="CF794" s="50" t="n">
        <f aca="false">N(AE794)</f>
        <v>0</v>
      </c>
      <c r="CG794" s="50" t="n">
        <f aca="false">N(M794)+N(N794)</f>
        <v>414</v>
      </c>
      <c r="CH794" s="50" t="n">
        <f aca="false">ROUNDUP(H794/BV794,0)</f>
        <v>1</v>
      </c>
      <c r="CI794" s="50" t="n">
        <f aca="false">ROUNDUP(CF794/BV794,0)</f>
        <v>0</v>
      </c>
      <c r="CJ794" s="53" t="n">
        <f aca="false">IF(BW794=1,0,IFERROR(VLOOKUP(BU794,'Gebinde-Kategorie'!$A$5:$N$45,5,0)+0,0))</f>
        <v>8</v>
      </c>
      <c r="CK794" s="53" t="n">
        <f aca="false">IFERROR(IF(OR(CB794=1,CB794=2,CB794=3),N(INDEX(Parameter!$I$5:$I$7,CB794)),0),0)</f>
        <v>0</v>
      </c>
      <c r="CL794" s="52" t="n">
        <f aca="false">IF(AND(Parameter!$B$21="Ja",ISNUMBER(W794),N(X794)&gt;0),IFERROR(N(INDEX(Parameter!$L$5:$L$7,W794))*INDEX(Parameter!$E$5:$E$7,W794)*X794/SUMIFS($X$7:$X$1843,$W$7:$W$1843,W794),0),0)</f>
        <v>0</v>
      </c>
    </row>
    <row r="795" customFormat="false" ht="15" hidden="false" customHeight="false" outlineLevel="0" collapsed="false">
      <c r="A795" s="48" t="s">
        <v>1550</v>
      </c>
      <c r="B795" s="48" t="s">
        <v>658</v>
      </c>
      <c r="C795" s="48" t="s">
        <v>460</v>
      </c>
      <c r="D795" s="48" t="s">
        <v>188</v>
      </c>
      <c r="E795" s="48"/>
      <c r="F795" s="48" t="s">
        <v>222</v>
      </c>
      <c r="G795" s="49" t="n">
        <v>0.04</v>
      </c>
      <c r="H795" s="50" t="n">
        <f aca="false">MAX(0,IF(AND(Parameter!$B$21="Ja",ISNUMBER(Y795)),Y795,IF(Parameter!$B$20="Jahresanfang 2025 + Export",BO795+BN795,BN795)))</f>
        <v>96</v>
      </c>
      <c r="I795" s="50" t="n">
        <f aca="false">H795*G795</f>
        <v>3.84</v>
      </c>
      <c r="J795" s="50" t="n">
        <f aca="false">BQ795*Parameter!$B$18</f>
        <v>96</v>
      </c>
      <c r="K795" s="51" t="n">
        <v>96</v>
      </c>
      <c r="L795" s="52" t="n">
        <v>1</v>
      </c>
      <c r="M795" s="50" t="n">
        <v>3</v>
      </c>
      <c r="N795" s="50" t="n">
        <v>95</v>
      </c>
      <c r="O795" s="53" t="n">
        <v>14</v>
      </c>
      <c r="P795" s="48" t="s">
        <v>172</v>
      </c>
      <c r="Q795" s="50"/>
      <c r="R795" s="53" t="n">
        <f aca="false">IF(BW795=1,0,IFERROR(VLOOKUP(BU795,'Gebinde-Kategorie'!$A$5:$N$45,13,0)+0,0))</f>
        <v>26</v>
      </c>
      <c r="S795" s="54"/>
      <c r="T795" s="55" t="s">
        <v>279</v>
      </c>
      <c r="U795" s="55"/>
      <c r="V795" s="55"/>
      <c r="W795" s="48"/>
      <c r="X795" s="50"/>
      <c r="Y795" s="50"/>
      <c r="Z795" s="48" t="n">
        <f aca="false">IF(A795="","",IF(AND(Parameter!$B$21="Ja",ISNUMBER(W795)),W795,IF(BZ795="2+3",IF(ISNUMBER(SEARCH("grosser Artikel",BR795)),2,IFERROR(VLOOKUP(BU795,Parameter!$F$35:$G$64,2,0),2)),IF(OR(BZ795="Nein",BZ795=""),"-",BZ795))))</f>
        <v>3</v>
      </c>
      <c r="AA795" s="55"/>
      <c r="AB795" s="56"/>
      <c r="AC795" s="50" t="n">
        <f aca="false">AT795</f>
        <v>192</v>
      </c>
      <c r="AD795" s="50" t="n">
        <f aca="false">MAX(AT795,H795)</f>
        <v>192</v>
      </c>
      <c r="AE795" s="57"/>
      <c r="AF795" s="50" t="n">
        <f aca="false">IF(LEFT(Cockpit!$C$5,1)="A",H795,IF(CE795=1,CF795,IF(LEFT(Cockpit!$C$5,1)="B",AK795,MAX(AK795,H795))))</f>
        <v>96</v>
      </c>
      <c r="AG795" s="50" t="n">
        <f aca="false">IF(BW795=1,0,ROUNDUP(AF795/BV795,0))</f>
        <v>1</v>
      </c>
      <c r="AH795" s="52" t="n">
        <f aca="false">IF(CL795&gt;0,CL795*MAX(1,AF795/X795),IF(BW795=1,IF(AF795&lt;=0,0,CA795*MAX(1,IF(H795&gt;0,AF795/H795,1))),IF(R795&gt;0,AG795/R795,0))/MAX(0.1,N(Parameter!$M$21)))</f>
        <v>0.0384615384615385</v>
      </c>
      <c r="AI795" s="50" t="n">
        <f aca="false">AH795*BY795</f>
        <v>5.96153846153846</v>
      </c>
      <c r="AJ795" s="50" t="n">
        <f aca="false">AF795*G795</f>
        <v>3.84</v>
      </c>
      <c r="AK795" s="50" t="n">
        <f aca="false">ROUNDUP(MAX(J795/IF(CD795&gt;0,CD795,MAX(0.1,N(Cockpit!$C$6))),CG795)/BV795,0)*BV795</f>
        <v>192</v>
      </c>
      <c r="AL795" s="51" t="n">
        <f aca="false">IF(AI795&gt;0,J795/AI795,-1)</f>
        <v>16.1032258064516</v>
      </c>
      <c r="AM795" s="51" t="n">
        <f aca="false">IF(AND(OR(CC795="L1",CC795="L23",CC795="LIFT"),AI795&gt;0),SUMIFS($AI$7:$AI$1843,$CC$7:$CC$1843,CC795,$AL$7:$AL$1843,"&gt;"&amp;AL795)+SUMIFS($AI$7:$AI$1843,$CC$7:$CC$1843,CC795,$AL$7:$AL$1843,AL795,$BT$7:$BT$1843,"&lt;="&amp;BT795),"")</f>
        <v>2062.70833333333</v>
      </c>
      <c r="AN795" s="58" t="n">
        <f aca="false">IF(AM795="",0,MAX(0,MIN(1,(IF(CC795="L1",Parameter!$H$5,IF(CC795="L23",Parameter!$H$6+Parameter!$H$7,Parameter!$H$5+Parameter!$H$6+Parameter!$H$7))-(AM795-AI795))/AI795)))</f>
        <v>1</v>
      </c>
      <c r="AO795" s="50" t="n">
        <f aca="false">IF(LEFT(Cockpit!$I$5,1)="A",H795,IF(CE795=1,CF795,IF(LEFT(Cockpit!$I$5,1)="B",AT795,MAX(AT795,H795))))</f>
        <v>192</v>
      </c>
      <c r="AP795" s="50" t="n">
        <f aca="false">IF(BW795=1,0,ROUNDUP(AO795/BV795,0))</f>
        <v>2</v>
      </c>
      <c r="AQ795" s="52" t="n">
        <f aca="false">IF(CL795&gt;0,CL795*MAX(1,AO795/X795),IF(BW795=1,IF(AO795&lt;=0,0,CA795*MAX(1,IF(H795&gt;0,AO795/H795,1))),IF(R795&gt;0,AP795/R795,0))/MAX(0.1,N(Parameter!$M$21)))</f>
        <v>0.0769230769230769</v>
      </c>
      <c r="AR795" s="50" t="n">
        <f aca="false">AQ795*BY795</f>
        <v>11.9230769230769</v>
      </c>
      <c r="AS795" s="50" t="n">
        <f aca="false">AO795*G795</f>
        <v>7.68</v>
      </c>
      <c r="AT795" s="50" t="n">
        <f aca="false">ROUNDUP(MAX(J795/IF(CD795&gt;0,CD795,MAX(0.1,N(Cockpit!$I$6))),CG795)/BV795,0)*BV795</f>
        <v>192</v>
      </c>
      <c r="AU795" s="51" t="n">
        <f aca="false">IF(AR795&gt;0,J795/AR795,-1)</f>
        <v>8.05161290322581</v>
      </c>
      <c r="AV795" s="51" t="n">
        <f aca="false">IF(AND(OR(CC795="L1",CC795="L23",CC795="LIFT"),AR795&gt;0),SUMIFS($AR$7:$AR$1843,$CC$7:$CC$1843,CC795,$AU$7:$AU$1843,"&gt;"&amp;AU795)+SUMIFS($AR$7:$AR$1843,$CC$7:$CC$1843,CC795,$AU$7:$AU$1843,AU795,$BT$7:$BT$1843,"&lt;="&amp;BT795),"")</f>
        <v>4274.75457875458</v>
      </c>
      <c r="AW795" s="58" t="n">
        <f aca="false">IF(AV795="",0,MAX(0,MIN(1,(IF(CC795="L1",Parameter!$H$5,IF(CC795="L23",Parameter!$H$6+Parameter!$H$7,Parameter!$H$5+Parameter!$H$6+Parameter!$H$7))-(AV795-AR795))/AR795)))</f>
        <v>1</v>
      </c>
      <c r="AX795" s="50" t="n">
        <f aca="false">IF(LEFT(Cockpit!$O$5,1)="A",H795,IF(CE795=1,CF795,IF(LEFT(Cockpit!$O$5,1)="B",BC795,MAX(BC795,H795))))</f>
        <v>192</v>
      </c>
      <c r="AY795" s="50" t="n">
        <f aca="false">IF(BW795=1,0,ROUNDUP(AX795/BV795,0))</f>
        <v>2</v>
      </c>
      <c r="AZ795" s="52" t="n">
        <f aca="false">IF(CL795&gt;0,CL795*MAX(1,AX795/X795),IF(BW795=1,IF(AX795&lt;=0,0,CA795*MAX(1,IF(H795&gt;0,AX795/H795,1))),IF(R795&gt;0,AY795/R795,0))/MAX(0.1,N(Parameter!$M$21)))</f>
        <v>0.0769230769230769</v>
      </c>
      <c r="BA795" s="50" t="n">
        <f aca="false">AZ795*BY795</f>
        <v>11.9230769230769</v>
      </c>
      <c r="BB795" s="50" t="n">
        <f aca="false">AX795*G795</f>
        <v>7.68</v>
      </c>
      <c r="BC795" s="50" t="n">
        <f aca="false">ROUNDUP(MAX(J795/IF(CD795&gt;0,CD795,MAX(0.1,N(Cockpit!$O$6))),CG795)/BV795,0)*BV795</f>
        <v>192</v>
      </c>
      <c r="BD795" s="51" t="n">
        <f aca="false">IF(BA795&gt;0,J795/BA795,-1)</f>
        <v>8.05161290322581</v>
      </c>
      <c r="BE795" s="51" t="n">
        <f aca="false">IF(AND(OR(CC795="L1",CC795="L23",CC795="LIFT"),BA795&gt;0),SUMIFS($BA$7:$BA$1843,$CC$7:$CC$1843,CC795,$BD$7:$BD$1843,"&gt;"&amp;BD795)+SUMIFS($BA$7:$BA$1843,$CC$7:$CC$1843,CC795,$BD$7:$BD$1843,BD795,$BT$7:$BT$1843,"&lt;="&amp;BT795),"")</f>
        <v>3942.30265567766</v>
      </c>
      <c r="BF795" s="58" t="n">
        <f aca="false">IF(BE795="",0,MAX(0,MIN(1,(IF(CC795="L1",Parameter!$H$5,IF(CC795="L23",Parameter!$H$6+Parameter!$H$7,Parameter!$H$5+Parameter!$H$6+Parameter!$H$7))-(BE795-BA795))/BA795)))</f>
        <v>1</v>
      </c>
      <c r="BG795" s="48" t="str">
        <f aca="false">IF(AI795&lt;=0,"",IF(CC795="Aussen","Aussenlager",IF(CC795="-","Nicht im Lift",IF(AN795&gt;=1,"Lift",IF(AN795&lt;=0,"Aussenlager","teilweise")))))</f>
        <v>Lift</v>
      </c>
      <c r="BH795" s="48" t="str">
        <f aca="false">IF(AR795&lt;=0,"",IF(CC795="Aussen","Aussenlager",IF(CC795="-","Nicht im Lift",IF(AW795&gt;=1,"Lift",IF(AW795&lt;=0,"Aussenlager","teilweise")))))</f>
        <v>Lift</v>
      </c>
      <c r="BI795" s="48" t="str">
        <f aca="false">IF(BA795&lt;=0,"",IF(CC795="Aussen","Aussenlager",IF(CC795="-","Nicht im Lift",IF(BF795&gt;=1,"Lift",IF(BF795&lt;=0,"Aussenlager","teilweise")))))</f>
        <v>Lift</v>
      </c>
      <c r="BJ795" s="48" t="str">
        <f aca="false">IF(A795="","",IF(BS795=1,"Neu; ","")&amp;IF(AND(BS795=0,BN795&lt;0),"negativer Bestand (Export "&amp;BN795&amp;"); ","")&amp;IF(J795&lt;=0,"Kein Verbrauch; ","")&amp;IF(CL795&gt;0,"Lift "&amp;W795&amp;" lt. Liftbericht (Fach "&amp;X795&amp;" Stk); ",IF(BX795=1,"Gebinde geschätzt ("&amp;T795&amp;"); ",IF(BW795=1,"Lose – Tablare geschätzt; ","")))&amp;IF(H795&gt;AT795,"Überbestand "&amp;ROUND(H795-AT795,0)&amp;" Stk / CHF "&amp;ROUND((H795-AT795)*G795,0)&amp;"; ","")&amp;IF(AND(CE795=1,CF795&lt;CG795),"MAX &lt; MB+LG; ","")&amp;IF(AND(CK795&gt;0,CJ795*10&gt;CK795),"zu hoch für Tablar; ","")&amp;IF(AND(BS795=0,OR(CE795=1,AA795&lt;&gt;"",U795&lt;&gt;"",V795&lt;&gt;"",AB795&lt;&gt;"")),"manuell übersteuert; ","")&amp;IF(AND(BW795=0,R795=0),"Gebinde unbekannt / Stellmass fehlt; ","")&amp;IF(AND(BW795=0,N(V795)&lt;=0,N(Q795)&lt;=0),"Menge pro Gebinde fehlt (Ist = 1 Gebinde); ","")&amp;BR795)</f>
        <v>negativer Bestand (Export -96); Gebinde geschätzt (Klein); Menge pro Gebinde fehlt (Ist = 1 Gebinde); </v>
      </c>
      <c r="BK795" s="48"/>
      <c r="BL795" s="48"/>
      <c r="BM795" s="55"/>
      <c r="BN795" s="50" t="n">
        <v>-96</v>
      </c>
      <c r="BO795" s="50" t="n">
        <v>192</v>
      </c>
      <c r="BP795" s="49" t="n">
        <v>-3.84</v>
      </c>
      <c r="BQ795" s="50" t="n">
        <v>96</v>
      </c>
      <c r="BR795" s="48"/>
      <c r="BS795" s="53" t="n">
        <v>0</v>
      </c>
      <c r="BT795" s="53" t="n">
        <v>795</v>
      </c>
      <c r="BU795" s="48" t="str">
        <f aca="false">IF(U795&lt;&gt;"",UPPER(TRIM(U795)),IF(BX795=1,UPPER(VLOOKUP(T795,Parameter!$I$27:$K$29,2,0)),IF(P795="","LOSE",P795)))</f>
        <v>S51</v>
      </c>
      <c r="BV795" s="50" t="n">
        <f aca="false">IF(BU795="LOSE",1,IF(N(V795)&gt;0,V795,IF(BX795=1,MAX(1,N(VLOOKUP(T795,Parameter!$I$27:$K$29,3,0)),H795,N(N795)),IF(N(Q795)&gt;0,Q795,MAX(1,H795)))))</f>
        <v>96</v>
      </c>
      <c r="BW795" s="53" t="n">
        <f aca="false">IF(BU795="LOSE",1,0)</f>
        <v>0</v>
      </c>
      <c r="BX795" s="53" t="n">
        <f aca="false">IF(AND(U795="",OR(P795="",P795="LOSE"),T795&lt;&gt;"",N(S795)&lt;=0,ISNUMBER(MATCH(T795,Parameter!$I$27:$I$29,0))),1,0)</f>
        <v>1</v>
      </c>
      <c r="BY795" s="53" t="n">
        <f aca="false">IF(CL795&gt;0,INDEX(Parameter!$H$5:$H$7,W795)/INDEX(Parameter!$E$5:$E$7,W795),IF(AND(BW795=0,N(IFERROR(VLOOKUP(BU795,'Gebinde-Kategorie'!$A$5:$N$45,14,0),0))&gt;0),VLOOKUP(BU795,'Gebinde-Kategorie'!$A$5:$N$45,14,0)*10+Parameter!$M$23,Parameter!$M$24))</f>
        <v>155</v>
      </c>
      <c r="BZ795" s="48" t="str">
        <f aca="false">IF(AND(Parameter!$B$19="Ja",E795&lt;&gt;"",ISNUMBER(MATCH(E795,Parameter!$I$35:$I$52,0))),VLOOKUP(E795,Parameter!$I$35:$J$52,2,0),IFERROR(VLOOKUP(D795,Parameter!$A$35:$C$64,2,0),"Nein"))</f>
        <v>2+3</v>
      </c>
      <c r="CA795" s="52" t="n">
        <f aca="false">IF(BW795=0,0,IF(N(S795)&gt;0,S795,IFERROR(VLOOKUP(D795,Parameter!$A$35:$C$64,3,0)+0,0)))</f>
        <v>0</v>
      </c>
      <c r="CB795" s="48" t="n">
        <f aca="false">IF(AA795&lt;&gt;"",AA795,Z795)</f>
        <v>3</v>
      </c>
      <c r="CC795" s="48" t="str">
        <f aca="false">IF(OR(CB795=1,CB795=2,CB795=3),IF(Parameter!$E$27="Ja","LIFT",IF(CB795=1,"L1","L23")),IF(CB795="Aussen","Aussen","-"))</f>
        <v>LIFT</v>
      </c>
      <c r="CD795" s="59" t="n">
        <f aca="false">IF(N(AB795)&gt;0,AB795,0)</f>
        <v>0</v>
      </c>
      <c r="CE795" s="53" t="n">
        <f aca="false">IF(ISNUMBER(AE795),1,0)</f>
        <v>0</v>
      </c>
      <c r="CF795" s="50" t="n">
        <f aca="false">N(AE795)</f>
        <v>0</v>
      </c>
      <c r="CG795" s="50" t="n">
        <f aca="false">N(M795)+N(N795)</f>
        <v>98</v>
      </c>
      <c r="CH795" s="50" t="n">
        <f aca="false">ROUNDUP(H795/BV795,0)</f>
        <v>1</v>
      </c>
      <c r="CI795" s="50" t="n">
        <f aca="false">ROUNDUP(CF795/BV795,0)</f>
        <v>0</v>
      </c>
      <c r="CJ795" s="53" t="n">
        <f aca="false">IF(BW795=1,0,IFERROR(VLOOKUP(BU795,'Gebinde-Kategorie'!$A$5:$N$45,5,0)+0,0))</f>
        <v>11</v>
      </c>
      <c r="CK795" s="53" t="n">
        <f aca="false">IFERROR(IF(OR(CB795=1,CB795=2,CB795=3),N(INDEX(Parameter!$I$5:$I$7,CB795)),0),0)</f>
        <v>0</v>
      </c>
      <c r="CL795" s="52" t="n">
        <f aca="false">IF(AND(Parameter!$B$21="Ja",ISNUMBER(W795),N(X795)&gt;0),IFERROR(N(INDEX(Parameter!$L$5:$L$7,W795))*INDEX(Parameter!$E$5:$E$7,W795)*X795/SUMIFS($X$7:$X$1843,$W$7:$W$1843,W795),0),0)</f>
        <v>0</v>
      </c>
    </row>
    <row r="796" customFormat="false" ht="15" hidden="false" customHeight="false" outlineLevel="0" collapsed="false">
      <c r="A796" s="48" t="s">
        <v>1551</v>
      </c>
      <c r="B796" s="48" t="s">
        <v>1552</v>
      </c>
      <c r="C796" s="48" t="s">
        <v>168</v>
      </c>
      <c r="D796" s="48" t="s">
        <v>188</v>
      </c>
      <c r="E796" s="48"/>
      <c r="F796" s="48" t="s">
        <v>222</v>
      </c>
      <c r="G796" s="49" t="n">
        <v>1.95</v>
      </c>
      <c r="H796" s="50" t="n">
        <f aca="false">MAX(0,IF(AND(Parameter!$B$21="Ja",ISNUMBER(Y796)),Y796,IF(Parameter!$B$20="Jahresanfang 2025 + Export",BO796+BN796,BN796)))</f>
        <v>3</v>
      </c>
      <c r="I796" s="50" t="n">
        <f aca="false">H796*G796</f>
        <v>5.85</v>
      </c>
      <c r="J796" s="50" t="n">
        <f aca="false">BQ796*Parameter!$B$18</f>
        <v>1</v>
      </c>
      <c r="K796" s="51" t="n">
        <v>4.5</v>
      </c>
      <c r="L796" s="52" t="n">
        <v>0.222222222222222</v>
      </c>
      <c r="M796" s="50" t="n">
        <v>0</v>
      </c>
      <c r="N796" s="50" t="n">
        <v>1</v>
      </c>
      <c r="O796" s="53" t="n">
        <v>42</v>
      </c>
      <c r="P796" s="48" t="s">
        <v>430</v>
      </c>
      <c r="Q796" s="50" t="n">
        <v>5</v>
      </c>
      <c r="R796" s="53" t="n">
        <f aca="false">IF(BW796=1,0,IFERROR(VLOOKUP(BU796,'Gebinde-Kategorie'!$A$5:$N$45,13,0)+0,0))</f>
        <v>140</v>
      </c>
      <c r="S796" s="54"/>
      <c r="T796" s="55"/>
      <c r="U796" s="55"/>
      <c r="V796" s="55"/>
      <c r="W796" s="48"/>
      <c r="X796" s="50"/>
      <c r="Y796" s="50"/>
      <c r="Z796" s="48" t="n">
        <f aca="false">IF(A796="","",IF(AND(Parameter!$B$21="Ja",ISNUMBER(W796)),W796,IF(BZ796="2+3",IF(ISNUMBER(SEARCH("grosser Artikel",BR796)),2,IFERROR(VLOOKUP(BU796,Parameter!$F$35:$G$64,2,0),2)),IF(OR(BZ796="Nein",BZ796=""),"-",BZ796))))</f>
        <v>3</v>
      </c>
      <c r="AA796" s="55"/>
      <c r="AB796" s="56"/>
      <c r="AC796" s="50" t="n">
        <f aca="false">AT796</f>
        <v>5</v>
      </c>
      <c r="AD796" s="50" t="n">
        <f aca="false">MAX(AT796,H796)</f>
        <v>5</v>
      </c>
      <c r="AE796" s="57"/>
      <c r="AF796" s="50" t="n">
        <f aca="false">IF(LEFT(Cockpit!$C$5,1)="A",H796,IF(CE796=1,CF796,IF(LEFT(Cockpit!$C$5,1)="B",AK796,MAX(AK796,H796))))</f>
        <v>3</v>
      </c>
      <c r="AG796" s="50" t="n">
        <f aca="false">IF(BW796=1,0,ROUNDUP(AF796/BV796,0))</f>
        <v>1</v>
      </c>
      <c r="AH796" s="52" t="n">
        <f aca="false">IF(CL796&gt;0,CL796*MAX(1,AF796/X796),IF(BW796=1,IF(AF796&lt;=0,0,CA796*MAX(1,IF(H796&gt;0,AF796/H796,1))),IF(R796&gt;0,AG796/R796,0))/MAX(0.1,N(Parameter!$M$21)))</f>
        <v>0.00714285714285714</v>
      </c>
      <c r="AI796" s="50" t="n">
        <f aca="false">AH796*BY796</f>
        <v>1.10714285714286</v>
      </c>
      <c r="AJ796" s="50" t="n">
        <f aca="false">AF796*G796</f>
        <v>5.85</v>
      </c>
      <c r="AK796" s="50" t="n">
        <f aca="false">ROUNDUP(MAX(J796/IF(CD796&gt;0,CD796,MAX(0.1,N(Cockpit!$C$6))),CG796)/BV796,0)*BV796</f>
        <v>5</v>
      </c>
      <c r="AL796" s="51" t="n">
        <f aca="false">IF(AI796&gt;0,J796/AI796,-1)</f>
        <v>0.903225806451613</v>
      </c>
      <c r="AM796" s="51" t="n">
        <f aca="false">IF(AND(OR(CC796="L1",CC796="L23",CC796="LIFT"),AI796&gt;0),SUMIFS($AI$7:$AI$1843,$CC$7:$CC$1843,CC796,$AL$7:$AL$1843,"&gt;"&amp;AL796)+SUMIFS($AI$7:$AI$1843,$CC$7:$CC$1843,CC796,$AL$7:$AL$1843,AL796,$BT$7:$BT$1843,"&lt;="&amp;BT796),"")</f>
        <v>7619.95558608059</v>
      </c>
      <c r="AN796" s="58" t="n">
        <f aca="false">IF(AM796="",0,MAX(0,MIN(1,(IF(CC796="L1",Parameter!$H$5,IF(CC796="L23",Parameter!$H$6+Parameter!$H$7,Parameter!$H$5+Parameter!$H$6+Parameter!$H$7))-(AM796-AI796))/AI796)))</f>
        <v>1</v>
      </c>
      <c r="AO796" s="50" t="n">
        <f aca="false">IF(LEFT(Cockpit!$I$5,1)="A",H796,IF(CE796=1,CF796,IF(LEFT(Cockpit!$I$5,1)="B",AT796,MAX(AT796,H796))))</f>
        <v>5</v>
      </c>
      <c r="AP796" s="50" t="n">
        <f aca="false">IF(BW796=1,0,ROUNDUP(AO796/BV796,0))</f>
        <v>1</v>
      </c>
      <c r="AQ796" s="52" t="n">
        <f aca="false">IF(CL796&gt;0,CL796*MAX(1,AO796/X796),IF(BW796=1,IF(AO796&lt;=0,0,CA796*MAX(1,IF(H796&gt;0,AO796/H796,1))),IF(R796&gt;0,AP796/R796,0))/MAX(0.1,N(Parameter!$M$21)))</f>
        <v>0.00714285714285714</v>
      </c>
      <c r="AR796" s="50" t="n">
        <f aca="false">AQ796*BY796</f>
        <v>1.10714285714286</v>
      </c>
      <c r="AS796" s="50" t="n">
        <f aca="false">AO796*G796</f>
        <v>9.75</v>
      </c>
      <c r="AT796" s="50" t="n">
        <f aca="false">ROUNDUP(MAX(J796/IF(CD796&gt;0,CD796,MAX(0.1,N(Cockpit!$I$6))),CG796)/BV796,0)*BV796</f>
        <v>5</v>
      </c>
      <c r="AU796" s="51" t="n">
        <f aca="false">IF(AR796&gt;0,J796/AR796,-1)</f>
        <v>0.903225806451613</v>
      </c>
      <c r="AV796" s="51" t="n">
        <f aca="false">IF(AND(OR(CC796="L1",CC796="L23",CC796="LIFT"),AR796&gt;0),SUMIFS($AR$7:$AR$1843,$CC$7:$CC$1843,CC796,$AU$7:$AU$1843,"&gt;"&amp;AU796)+SUMIFS($AR$7:$AR$1843,$CC$7:$CC$1843,CC796,$AU$7:$AU$1843,AU796,$BT$7:$BT$1843,"&lt;="&amp;BT796),"")</f>
        <v>10731.2124542125</v>
      </c>
      <c r="AW796" s="58" t="n">
        <f aca="false">IF(AV796="",0,MAX(0,MIN(1,(IF(CC796="L1",Parameter!$H$5,IF(CC796="L23",Parameter!$H$6+Parameter!$H$7,Parameter!$H$5+Parameter!$H$6+Parameter!$H$7))-(AV796-AR796))/AR796)))</f>
        <v>1</v>
      </c>
      <c r="AX796" s="50" t="n">
        <f aca="false">IF(LEFT(Cockpit!$O$5,1)="A",H796,IF(CE796=1,CF796,IF(LEFT(Cockpit!$O$5,1)="B",BC796,MAX(BC796,H796))))</f>
        <v>5</v>
      </c>
      <c r="AY796" s="50" t="n">
        <f aca="false">IF(BW796=1,0,ROUNDUP(AX796/BV796,0))</f>
        <v>1</v>
      </c>
      <c r="AZ796" s="52" t="n">
        <f aca="false">IF(CL796&gt;0,CL796*MAX(1,AX796/X796),IF(BW796=1,IF(AX796&lt;=0,0,CA796*MAX(1,IF(H796&gt;0,AX796/H796,1))),IF(R796&gt;0,AY796/R796,0))/MAX(0.1,N(Parameter!$M$21)))</f>
        <v>0.00714285714285714</v>
      </c>
      <c r="BA796" s="50" t="n">
        <f aca="false">AZ796*BY796</f>
        <v>1.10714285714286</v>
      </c>
      <c r="BB796" s="50" t="n">
        <f aca="false">AX796*G796</f>
        <v>9.75</v>
      </c>
      <c r="BC796" s="50" t="n">
        <f aca="false">ROUNDUP(MAX(J796/IF(CD796&gt;0,CD796,MAX(0.1,N(Cockpit!$O$6))),CG796)/BV796,0)*BV796</f>
        <v>5</v>
      </c>
      <c r="BD796" s="51" t="n">
        <f aca="false">IF(BA796&gt;0,J796/BA796,-1)</f>
        <v>0.903225806451613</v>
      </c>
      <c r="BE796" s="51" t="n">
        <f aca="false">IF(AND(OR(CC796="L1",CC796="L23",CC796="LIFT"),BA796&gt;0),SUMIFS($BA$7:$BA$1843,$CC$7:$CC$1843,CC796,$BD$7:$BD$1843,"&gt;"&amp;BD796)+SUMIFS($BA$7:$BA$1843,$CC$7:$CC$1843,CC796,$BD$7:$BD$1843,BD796,$BT$7:$BT$1843,"&lt;="&amp;BT796),"")</f>
        <v>9989.36950549451</v>
      </c>
      <c r="BF796" s="58" t="n">
        <f aca="false">IF(BE796="",0,MAX(0,MIN(1,(IF(CC796="L1",Parameter!$H$5,IF(CC796="L23",Parameter!$H$6+Parameter!$H$7,Parameter!$H$5+Parameter!$H$6+Parameter!$H$7))-(BE796-BA796))/BA796)))</f>
        <v>1</v>
      </c>
      <c r="BG796" s="48" t="str">
        <f aca="false">IF(AI796&lt;=0,"",IF(CC796="Aussen","Aussenlager",IF(CC796="-","Nicht im Lift",IF(AN796&gt;=1,"Lift",IF(AN796&lt;=0,"Aussenlager","teilweise")))))</f>
        <v>Lift</v>
      </c>
      <c r="BH796" s="48" t="str">
        <f aca="false">IF(AR796&lt;=0,"",IF(CC796="Aussen","Aussenlager",IF(CC796="-","Nicht im Lift",IF(AW796&gt;=1,"Lift",IF(AW796&lt;=0,"Aussenlager","teilweise")))))</f>
        <v>Lift</v>
      </c>
      <c r="BI796" s="48" t="str">
        <f aca="false">IF(BA796&lt;=0,"",IF(CC796="Aussen","Aussenlager",IF(CC796="-","Nicht im Lift",IF(BF796&gt;=1,"Lift",IF(BF796&lt;=0,"Aussenlager","teilweise")))))</f>
        <v>Lift</v>
      </c>
      <c r="BJ796" s="48" t="str">
        <f aca="false">IF(A796="","",IF(BS796=1,"Neu; ","")&amp;IF(AND(BS796=0,BN796&lt;0),"negativer Bestand (Export "&amp;BN796&amp;"); ","")&amp;IF(J796&lt;=0,"Kein Verbrauch; ","")&amp;IF(CL796&gt;0,"Lift "&amp;W796&amp;" lt. Liftbericht (Fach "&amp;X796&amp;" Stk); ",IF(BX796=1,"Gebinde geschätzt ("&amp;T796&amp;"); ",IF(BW796=1,"Lose – Tablare geschätzt; ","")))&amp;IF(H796&gt;AT796,"Überbestand "&amp;ROUND(H796-AT796,0)&amp;" Stk / CHF "&amp;ROUND((H796-AT796)*G796,0)&amp;"; ","")&amp;IF(AND(CE796=1,CF796&lt;CG796),"MAX &lt; MB+LG; ","")&amp;IF(AND(CK796&gt;0,CJ796*10&gt;CK796),"zu hoch für Tablar; ","")&amp;IF(AND(BS796=0,OR(CE796=1,AA796&lt;&gt;"",U796&lt;&gt;"",V796&lt;&gt;"",AB796&lt;&gt;"")),"manuell übersteuert; ","")&amp;IF(AND(BW796=0,R796=0),"Gebinde unbekannt / Stellmass fehlt; ","")&amp;IF(AND(BW796=0,N(V796)&lt;=0,N(Q796)&lt;=0),"Menge pro Gebinde fehlt (Ist = 1 Gebinde); ","")&amp;BR796)</f>
        <v>negativer Bestand (Export -2); </v>
      </c>
      <c r="BK796" s="48"/>
      <c r="BL796" s="48"/>
      <c r="BM796" s="55"/>
      <c r="BN796" s="50" t="n">
        <v>-2</v>
      </c>
      <c r="BO796" s="50" t="n">
        <v>5</v>
      </c>
      <c r="BP796" s="49" t="n">
        <v>-3.9</v>
      </c>
      <c r="BQ796" s="50" t="n">
        <v>1</v>
      </c>
      <c r="BR796" s="48"/>
      <c r="BS796" s="53" t="n">
        <v>0</v>
      </c>
      <c r="BT796" s="53" t="n">
        <v>796</v>
      </c>
      <c r="BU796" s="48" t="str">
        <f aca="false">IF(U796&lt;&gt;"",UPPER(TRIM(U796)),IF(BX796=1,UPPER(VLOOKUP(T796,Parameter!$I$27:$K$29,2,0)),IF(P796="","LOSE",P796)))</f>
        <v>S22</v>
      </c>
      <c r="BV796" s="50" t="n">
        <f aca="false">IF(BU796="LOSE",1,IF(N(V796)&gt;0,V796,IF(BX796=1,MAX(1,N(VLOOKUP(T796,Parameter!$I$27:$K$29,3,0)),H796,N(N796)),IF(N(Q796)&gt;0,Q796,MAX(1,H796)))))</f>
        <v>5</v>
      </c>
      <c r="BW796" s="53" t="n">
        <f aca="false">IF(BU796="LOSE",1,0)</f>
        <v>0</v>
      </c>
      <c r="BX796" s="53" t="n">
        <f aca="false">IF(AND(U796="",OR(P796="",P796="LOSE"),T796&lt;&gt;"",N(S796)&lt;=0,ISNUMBER(MATCH(T796,Parameter!$I$27:$I$29,0))),1,0)</f>
        <v>0</v>
      </c>
      <c r="BY796" s="53" t="n">
        <f aca="false">IF(CL796&gt;0,INDEX(Parameter!$H$5:$H$7,W796)/INDEX(Parameter!$E$5:$E$7,W796),IF(AND(BW796=0,N(IFERROR(VLOOKUP(BU796,'Gebinde-Kategorie'!$A$5:$N$45,14,0),0))&gt;0),VLOOKUP(BU796,'Gebinde-Kategorie'!$A$5:$N$45,14,0)*10+Parameter!$M$23,Parameter!$M$24))</f>
        <v>155</v>
      </c>
      <c r="BZ796" s="48" t="str">
        <f aca="false">IF(AND(Parameter!$B$19="Ja",E796&lt;&gt;"",ISNUMBER(MATCH(E796,Parameter!$I$35:$I$52,0))),VLOOKUP(E796,Parameter!$I$35:$J$52,2,0),IFERROR(VLOOKUP(D796,Parameter!$A$35:$C$64,2,0),"Nein"))</f>
        <v>2+3</v>
      </c>
      <c r="CA796" s="52" t="n">
        <f aca="false">IF(BW796=0,0,IF(N(S796)&gt;0,S796,IFERROR(VLOOKUP(D796,Parameter!$A$35:$C$64,3,0)+0,0)))</f>
        <v>0</v>
      </c>
      <c r="CB796" s="48" t="n">
        <f aca="false">IF(AA796&lt;&gt;"",AA796,Z796)</f>
        <v>3</v>
      </c>
      <c r="CC796" s="48" t="str">
        <f aca="false">IF(OR(CB796=1,CB796=2,CB796=3),IF(Parameter!$E$27="Ja","LIFT",IF(CB796=1,"L1","L23")),IF(CB796="Aussen","Aussen","-"))</f>
        <v>LIFT</v>
      </c>
      <c r="CD796" s="59" t="n">
        <f aca="false">IF(N(AB796)&gt;0,AB796,0)</f>
        <v>0</v>
      </c>
      <c r="CE796" s="53" t="n">
        <f aca="false">IF(ISNUMBER(AE796),1,0)</f>
        <v>0</v>
      </c>
      <c r="CF796" s="50" t="n">
        <f aca="false">N(AE796)</f>
        <v>0</v>
      </c>
      <c r="CG796" s="50" t="n">
        <f aca="false">N(M796)+N(N796)</f>
        <v>1</v>
      </c>
      <c r="CH796" s="50" t="n">
        <f aca="false">ROUNDUP(H796/BV796,0)</f>
        <v>1</v>
      </c>
      <c r="CI796" s="50" t="n">
        <f aca="false">ROUNDUP(CF796/BV796,0)</f>
        <v>0</v>
      </c>
      <c r="CJ796" s="53" t="n">
        <f aca="false">IF(BW796=1,0,IFERROR(VLOOKUP(BU796,'Gebinde-Kategorie'!$A$5:$N$45,5,0)+0,0))</f>
        <v>8</v>
      </c>
      <c r="CK796" s="53" t="n">
        <f aca="false">IFERROR(IF(OR(CB796=1,CB796=2,CB796=3),N(INDEX(Parameter!$I$5:$I$7,CB796)),0),0)</f>
        <v>0</v>
      </c>
      <c r="CL796" s="52" t="n">
        <f aca="false">IF(AND(Parameter!$B$21="Ja",ISNUMBER(W796),N(X796)&gt;0),IFERROR(N(INDEX(Parameter!$L$5:$L$7,W796))*INDEX(Parameter!$E$5:$E$7,W796)*X796/SUMIFS($X$7:$X$1843,$W$7:$W$1843,W796),0),0)</f>
        <v>0</v>
      </c>
    </row>
    <row r="797" customFormat="false" ht="15" hidden="false" customHeight="false" outlineLevel="0" collapsed="false">
      <c r="A797" s="48" t="s">
        <v>1553</v>
      </c>
      <c r="B797" s="48" t="s">
        <v>1554</v>
      </c>
      <c r="C797" s="48" t="s">
        <v>168</v>
      </c>
      <c r="D797" s="48" t="s">
        <v>188</v>
      </c>
      <c r="E797" s="48" t="s">
        <v>189</v>
      </c>
      <c r="F797" s="48" t="s">
        <v>222</v>
      </c>
      <c r="G797" s="49" t="n">
        <v>1.26</v>
      </c>
      <c r="H797" s="50" t="n">
        <f aca="false">MAX(0,IF(AND(Parameter!$B$21="Ja",ISNUMBER(Y797)),Y797,IF(Parameter!$B$20="Jahresanfang 2025 + Export",BO797+BN797,BN797)))</f>
        <v>100</v>
      </c>
      <c r="I797" s="50" t="n">
        <f aca="false">H797*G797</f>
        <v>126</v>
      </c>
      <c r="J797" s="50" t="n">
        <f aca="false">BQ797*Parameter!$B$18</f>
        <v>0</v>
      </c>
      <c r="K797" s="51" t="n">
        <v>106</v>
      </c>
      <c r="L797" s="52" t="n">
        <v>0</v>
      </c>
      <c r="M797" s="50" t="n">
        <v>0</v>
      </c>
      <c r="N797" s="50" t="n">
        <v>1</v>
      </c>
      <c r="O797" s="53" t="n">
        <v>21</v>
      </c>
      <c r="P797" s="48" t="s">
        <v>425</v>
      </c>
      <c r="Q797" s="50" t="n">
        <v>100</v>
      </c>
      <c r="R797" s="53" t="n">
        <f aca="false">IF(BW797=1,0,IFERROR(VLOOKUP(BU797,'Gebinde-Kategorie'!$A$5:$N$45,13,0)+0,0))</f>
        <v>104</v>
      </c>
      <c r="S797" s="54"/>
      <c r="T797" s="55"/>
      <c r="U797" s="55"/>
      <c r="V797" s="55"/>
      <c r="W797" s="48"/>
      <c r="X797" s="50"/>
      <c r="Y797" s="50"/>
      <c r="Z797" s="48" t="n">
        <f aca="false">IF(A797="","",IF(AND(Parameter!$B$21="Ja",ISNUMBER(W797)),W797,IF(BZ797="2+3",IF(ISNUMBER(SEARCH("grosser Artikel",BR797)),2,IFERROR(VLOOKUP(BU797,Parameter!$F$35:$G$64,2,0),2)),IF(OR(BZ797="Nein",BZ797=""),"-",BZ797))))</f>
        <v>3</v>
      </c>
      <c r="AA797" s="55"/>
      <c r="AB797" s="56"/>
      <c r="AC797" s="50" t="n">
        <f aca="false">AT797</f>
        <v>100</v>
      </c>
      <c r="AD797" s="50" t="n">
        <f aca="false">MAX(AT797,H797)</f>
        <v>100</v>
      </c>
      <c r="AE797" s="57"/>
      <c r="AF797" s="50" t="n">
        <f aca="false">IF(LEFT(Cockpit!$C$5,1)="A",H797,IF(CE797=1,CF797,IF(LEFT(Cockpit!$C$5,1)="B",AK797,MAX(AK797,H797))))</f>
        <v>100</v>
      </c>
      <c r="AG797" s="50" t="n">
        <f aca="false">IF(BW797=1,0,ROUNDUP(AF797/BV797,0))</f>
        <v>1</v>
      </c>
      <c r="AH797" s="52" t="n">
        <f aca="false">IF(CL797&gt;0,CL797*MAX(1,AF797/X797),IF(BW797=1,IF(AF797&lt;=0,0,CA797*MAX(1,IF(H797&gt;0,AF797/H797,1))),IF(R797&gt;0,AG797/R797,0))/MAX(0.1,N(Parameter!$M$21)))</f>
        <v>0.00961538461538462</v>
      </c>
      <c r="AI797" s="50" t="n">
        <f aca="false">AH797*BY797</f>
        <v>1.49038461538462</v>
      </c>
      <c r="AJ797" s="50" t="n">
        <f aca="false">AF797*G797</f>
        <v>126</v>
      </c>
      <c r="AK797" s="50" t="n">
        <f aca="false">ROUNDUP(MAX(J797/IF(CD797&gt;0,CD797,MAX(0.1,N(Cockpit!$C$6))),CG797)/BV797,0)*BV797</f>
        <v>100</v>
      </c>
      <c r="AL797" s="51" t="n">
        <f aca="false">IF(AI797&gt;0,J797/AI797,-1)</f>
        <v>0</v>
      </c>
      <c r="AM797" s="51" t="n">
        <f aca="false">IF(AND(OR(CC797="L1",CC797="L23",CC797="LIFT"),AI797&gt;0),SUMIFS($AI$7:$AI$1843,$CC$7:$CC$1843,CC797,$AL$7:$AL$1843,"&gt;"&amp;AL797)+SUMIFS($AI$7:$AI$1843,$CC$7:$CC$1843,CC797,$AL$7:$AL$1843,AL797,$BT$7:$BT$1843,"&lt;="&amp;BT797),"")</f>
        <v>28764.2652780365</v>
      </c>
      <c r="AN797" s="58" t="n">
        <f aca="false">IF(AM797="",0,MAX(0,MIN(1,(IF(CC797="L1",Parameter!$H$5,IF(CC797="L23",Parameter!$H$6+Parameter!$H$7,Parameter!$H$5+Parameter!$H$6+Parameter!$H$7))-(AM797-AI797))/AI797)))</f>
        <v>1</v>
      </c>
      <c r="AO797" s="50" t="n">
        <f aca="false">IF(LEFT(Cockpit!$I$5,1)="A",H797,IF(CE797=1,CF797,IF(LEFT(Cockpit!$I$5,1)="B",AT797,MAX(AT797,H797))))</f>
        <v>100</v>
      </c>
      <c r="AP797" s="50" t="n">
        <f aca="false">IF(BW797=1,0,ROUNDUP(AO797/BV797,0))</f>
        <v>1</v>
      </c>
      <c r="AQ797" s="52" t="n">
        <f aca="false">IF(CL797&gt;0,CL797*MAX(1,AO797/X797),IF(BW797=1,IF(AO797&lt;=0,0,CA797*MAX(1,IF(H797&gt;0,AO797/H797,1))),IF(R797&gt;0,AP797/R797,0))/MAX(0.1,N(Parameter!$M$21)))</f>
        <v>0.00961538461538462</v>
      </c>
      <c r="AR797" s="50" t="n">
        <f aca="false">AQ797*BY797</f>
        <v>1.49038461538462</v>
      </c>
      <c r="AS797" s="50" t="n">
        <f aca="false">AO797*G797</f>
        <v>126</v>
      </c>
      <c r="AT797" s="50" t="n">
        <f aca="false">ROUNDUP(MAX(J797/IF(CD797&gt;0,CD797,MAX(0.1,N(Cockpit!$I$6))),CG797)/BV797,0)*BV797</f>
        <v>100</v>
      </c>
      <c r="AU797" s="51" t="n">
        <f aca="false">IF(AR797&gt;0,J797/AR797,-1)</f>
        <v>0</v>
      </c>
      <c r="AV797" s="51" t="n">
        <f aca="false">IF(AND(OR(CC797="L1",CC797="L23",CC797="LIFT"),AR797&gt;0),SUMIFS($AR$7:$AR$1843,$CC$7:$CC$1843,CC797,$AU$7:$AU$1843,"&gt;"&amp;AU797)+SUMIFS($AR$7:$AR$1843,$CC$7:$CC$1843,CC797,$AU$7:$AU$1843,AU797,$BT$7:$BT$1843,"&lt;="&amp;BT797),"")</f>
        <v>40335.3205205811</v>
      </c>
      <c r="AW797" s="58" t="n">
        <f aca="false">IF(AV797="",0,MAX(0,MIN(1,(IF(CC797="L1",Parameter!$H$5,IF(CC797="L23",Parameter!$H$6+Parameter!$H$7,Parameter!$H$5+Parameter!$H$6+Parameter!$H$7))-(AV797-AR797))/AR797)))</f>
        <v>0</v>
      </c>
      <c r="AX797" s="50" t="n">
        <f aca="false">IF(LEFT(Cockpit!$O$5,1)="A",H797,IF(CE797=1,CF797,IF(LEFT(Cockpit!$O$5,1)="B",BC797,MAX(BC797,H797))))</f>
        <v>100</v>
      </c>
      <c r="AY797" s="50" t="n">
        <f aca="false">IF(BW797=1,0,ROUNDUP(AX797/BV797,0))</f>
        <v>1</v>
      </c>
      <c r="AZ797" s="52" t="n">
        <f aca="false">IF(CL797&gt;0,CL797*MAX(1,AX797/X797),IF(BW797=1,IF(AX797&lt;=0,0,CA797*MAX(1,IF(H797&gt;0,AX797/H797,1))),IF(R797&gt;0,AY797/R797,0))/MAX(0.1,N(Parameter!$M$21)))</f>
        <v>0.00961538461538462</v>
      </c>
      <c r="BA797" s="50" t="n">
        <f aca="false">AZ797*BY797</f>
        <v>1.49038461538462</v>
      </c>
      <c r="BB797" s="50" t="n">
        <f aca="false">AX797*G797</f>
        <v>126</v>
      </c>
      <c r="BC797" s="50" t="n">
        <f aca="false">ROUNDUP(MAX(J797/IF(CD797&gt;0,CD797,MAX(0.1,N(Cockpit!$O$6))),CG797)/BV797,0)*BV797</f>
        <v>100</v>
      </c>
      <c r="BD797" s="51" t="n">
        <f aca="false">IF(BA797&gt;0,J797/BA797,-1)</f>
        <v>0</v>
      </c>
      <c r="BE797" s="51" t="n">
        <f aca="false">IF(AND(OR(CC797="L1",CC797="L23",CC797="LIFT"),BA797&gt;0),SUMIFS($BA$7:$BA$1843,$CC$7:$CC$1843,CC797,$BD$7:$BD$1843,"&gt;"&amp;BD797)+SUMIFS($BA$7:$BA$1843,$CC$7:$CC$1843,CC797,$BD$7:$BD$1843,BD797,$BT$7:$BT$1843,"&lt;="&amp;BT797),"")</f>
        <v>37010.332562447</v>
      </c>
      <c r="BF797" s="58" t="n">
        <f aca="false">IF(BE797="",0,MAX(0,MIN(1,(IF(CC797="L1",Parameter!$H$5,IF(CC797="L23",Parameter!$H$6+Parameter!$H$7,Parameter!$H$5+Parameter!$H$6+Parameter!$H$7))-(BE797-BA797))/BA797)))</f>
        <v>0</v>
      </c>
      <c r="BG797" s="48" t="str">
        <f aca="false">IF(AI797&lt;=0,"",IF(CC797="Aussen","Aussenlager",IF(CC797="-","Nicht im Lift",IF(AN797&gt;=1,"Lift",IF(AN797&lt;=0,"Aussenlager","teilweise")))))</f>
        <v>Lift</v>
      </c>
      <c r="BH797" s="48" t="str">
        <f aca="false">IF(AR797&lt;=0,"",IF(CC797="Aussen","Aussenlager",IF(CC797="-","Nicht im Lift",IF(AW797&gt;=1,"Lift",IF(AW797&lt;=0,"Aussenlager","teilweise")))))</f>
        <v>Aussenlager</v>
      </c>
      <c r="BI797" s="48" t="str">
        <f aca="false">IF(BA797&lt;=0,"",IF(CC797="Aussen","Aussenlager",IF(CC797="-","Nicht im Lift",IF(BF797&gt;=1,"Lift",IF(BF797&lt;=0,"Aussenlager","teilweise")))))</f>
        <v>Aussenlager</v>
      </c>
      <c r="BJ797" s="48" t="str">
        <f aca="false">IF(A797="","",IF(BS797=1,"Neu; ","")&amp;IF(AND(BS797=0,BN797&lt;0),"negativer Bestand (Export "&amp;BN797&amp;"); ","")&amp;IF(J797&lt;=0,"Kein Verbrauch; ","")&amp;IF(CL797&gt;0,"Lift "&amp;W797&amp;" lt. Liftbericht (Fach "&amp;X797&amp;" Stk); ",IF(BX797=1,"Gebinde geschätzt ("&amp;T797&amp;"); ",IF(BW797=1,"Lose – Tablare geschätzt; ","")))&amp;IF(H797&gt;AT797,"Überbestand "&amp;ROUND(H797-AT797,0)&amp;" Stk / CHF "&amp;ROUND((H797-AT797)*G797,0)&amp;"; ","")&amp;IF(AND(CE797=1,CF797&lt;CG797),"MAX &lt; MB+LG; ","")&amp;IF(AND(CK797&gt;0,CJ797*10&gt;CK797),"zu hoch für Tablar; ","")&amp;IF(AND(BS797=0,OR(CE797=1,AA797&lt;&gt;"",U797&lt;&gt;"",V797&lt;&gt;"",AB797&lt;&gt;"")),"manuell übersteuert; ","")&amp;IF(AND(BW797=0,R797=0),"Gebinde unbekannt / Stellmass fehlt; ","")&amp;IF(AND(BW797=0,N(V797)&lt;=0,N(Q797)&lt;=0),"Menge pro Gebinde fehlt (Ist = 1 Gebinde); ","")&amp;BR797)</f>
        <v>negativer Bestand (Export -12); Kein Verbrauch; nicht im KTL vorhanden</v>
      </c>
      <c r="BK797" s="48"/>
      <c r="BL797" s="48"/>
      <c r="BM797" s="55"/>
      <c r="BN797" s="50" t="n">
        <v>-12</v>
      </c>
      <c r="BO797" s="50" t="n">
        <v>112</v>
      </c>
      <c r="BP797" s="49" t="n">
        <v>-3.91999999999999</v>
      </c>
      <c r="BQ797" s="50" t="n">
        <v>0</v>
      </c>
      <c r="BR797" s="48" t="s">
        <v>234</v>
      </c>
      <c r="BS797" s="53" t="n">
        <v>0</v>
      </c>
      <c r="BT797" s="53" t="n">
        <v>797</v>
      </c>
      <c r="BU797" s="48" t="str">
        <f aca="false">IF(U797&lt;&gt;"",UPPER(TRIM(U797)),IF(BX797=1,UPPER(VLOOKUP(T797,Parameter!$I$27:$K$29,2,0)),IF(P797="","LOSE",P797)))</f>
        <v>S32</v>
      </c>
      <c r="BV797" s="50" t="n">
        <f aca="false">IF(BU797="LOSE",1,IF(N(V797)&gt;0,V797,IF(BX797=1,MAX(1,N(VLOOKUP(T797,Parameter!$I$27:$K$29,3,0)),H797,N(N797)),IF(N(Q797)&gt;0,Q797,MAX(1,H797)))))</f>
        <v>100</v>
      </c>
      <c r="BW797" s="53" t="n">
        <f aca="false">IF(BU797="LOSE",1,0)</f>
        <v>0</v>
      </c>
      <c r="BX797" s="53" t="n">
        <f aca="false">IF(AND(U797="",OR(P797="",P797="LOSE"),T797&lt;&gt;"",N(S797)&lt;=0,ISNUMBER(MATCH(T797,Parameter!$I$27:$I$29,0))),1,0)</f>
        <v>0</v>
      </c>
      <c r="BY797" s="53" t="n">
        <f aca="false">IF(CL797&gt;0,INDEX(Parameter!$H$5:$H$7,W797)/INDEX(Parameter!$E$5:$E$7,W797),IF(AND(BW797=0,N(IFERROR(VLOOKUP(BU797,'Gebinde-Kategorie'!$A$5:$N$45,14,0),0))&gt;0),VLOOKUP(BU797,'Gebinde-Kategorie'!$A$5:$N$45,14,0)*10+Parameter!$M$23,Parameter!$M$24))</f>
        <v>155</v>
      </c>
      <c r="BZ797" s="48" t="str">
        <f aca="false">IF(AND(Parameter!$B$19="Ja",E797&lt;&gt;"",ISNUMBER(MATCH(E797,Parameter!$I$35:$I$52,0))),VLOOKUP(E797,Parameter!$I$35:$J$52,2,0),IFERROR(VLOOKUP(D797,Parameter!$A$35:$C$64,2,0),"Nein"))</f>
        <v>2+3</v>
      </c>
      <c r="CA797" s="52" t="n">
        <f aca="false">IF(BW797=0,0,IF(N(S797)&gt;0,S797,IFERROR(VLOOKUP(D797,Parameter!$A$35:$C$64,3,0)+0,0)))</f>
        <v>0</v>
      </c>
      <c r="CB797" s="48" t="n">
        <f aca="false">IF(AA797&lt;&gt;"",AA797,Z797)</f>
        <v>3</v>
      </c>
      <c r="CC797" s="48" t="str">
        <f aca="false">IF(OR(CB797=1,CB797=2,CB797=3),IF(Parameter!$E$27="Ja","LIFT",IF(CB797=1,"L1","L23")),IF(CB797="Aussen","Aussen","-"))</f>
        <v>LIFT</v>
      </c>
      <c r="CD797" s="59" t="n">
        <f aca="false">IF(N(AB797)&gt;0,AB797,0)</f>
        <v>0</v>
      </c>
      <c r="CE797" s="53" t="n">
        <f aca="false">IF(ISNUMBER(AE797),1,0)</f>
        <v>0</v>
      </c>
      <c r="CF797" s="50" t="n">
        <f aca="false">N(AE797)</f>
        <v>0</v>
      </c>
      <c r="CG797" s="50" t="n">
        <f aca="false">N(M797)+N(N797)</f>
        <v>1</v>
      </c>
      <c r="CH797" s="50" t="n">
        <f aca="false">ROUNDUP(H797/BV797,0)</f>
        <v>1</v>
      </c>
      <c r="CI797" s="50" t="n">
        <f aca="false">ROUNDUP(CF797/BV797,0)</f>
        <v>0</v>
      </c>
      <c r="CJ797" s="53" t="n">
        <f aca="false">IF(BW797=1,0,IFERROR(VLOOKUP(BU797,'Gebinde-Kategorie'!$A$5:$N$45,5,0)+0,0))</f>
        <v>8</v>
      </c>
      <c r="CK797" s="53" t="n">
        <f aca="false">IFERROR(IF(OR(CB797=1,CB797=2,CB797=3),N(INDEX(Parameter!$I$5:$I$7,CB797)),0),0)</f>
        <v>0</v>
      </c>
      <c r="CL797" s="52" t="n">
        <f aca="false">IF(AND(Parameter!$B$21="Ja",ISNUMBER(W797),N(X797)&gt;0),IFERROR(N(INDEX(Parameter!$L$5:$L$7,W797))*INDEX(Parameter!$E$5:$E$7,W797)*X797/SUMIFS($X$7:$X$1843,$W$7:$W$1843,W797),0),0)</f>
        <v>0</v>
      </c>
    </row>
    <row r="798" customFormat="false" ht="15" hidden="false" customHeight="false" outlineLevel="0" collapsed="false">
      <c r="A798" s="48" t="s">
        <v>1555</v>
      </c>
      <c r="B798" s="48" t="s">
        <v>1556</v>
      </c>
      <c r="C798" s="48" t="s">
        <v>168</v>
      </c>
      <c r="D798" s="48" t="s">
        <v>188</v>
      </c>
      <c r="E798" s="48" t="s">
        <v>189</v>
      </c>
      <c r="F798" s="48" t="s">
        <v>222</v>
      </c>
      <c r="G798" s="49" t="n">
        <v>0.05</v>
      </c>
      <c r="H798" s="50" t="n">
        <f aca="false">MAX(0,IF(AND(Parameter!$B$21="Ja",ISNUMBER(Y798)),Y798,IF(Parameter!$B$20="Jahresanfang 2025 + Export",BO798+BN798,BN798)))</f>
        <v>1588</v>
      </c>
      <c r="I798" s="50" t="n">
        <f aca="false">H798*G798</f>
        <v>79.4</v>
      </c>
      <c r="J798" s="50" t="n">
        <f aca="false">BQ798*Parameter!$B$18</f>
        <v>0</v>
      </c>
      <c r="K798" s="51" t="n">
        <v>1665</v>
      </c>
      <c r="L798" s="52" t="n">
        <v>0</v>
      </c>
      <c r="M798" s="50" t="n">
        <v>0</v>
      </c>
      <c r="N798" s="50" t="n">
        <v>1</v>
      </c>
      <c r="O798" s="53" t="n">
        <v>28</v>
      </c>
      <c r="P798" s="48" t="s">
        <v>430</v>
      </c>
      <c r="Q798" s="50" t="n">
        <v>1786</v>
      </c>
      <c r="R798" s="53" t="n">
        <f aca="false">IF(BW798=1,0,IFERROR(VLOOKUP(BU798,'Gebinde-Kategorie'!$A$5:$N$45,13,0)+0,0))</f>
        <v>140</v>
      </c>
      <c r="S798" s="54"/>
      <c r="T798" s="55"/>
      <c r="U798" s="55"/>
      <c r="V798" s="55"/>
      <c r="W798" s="48"/>
      <c r="X798" s="50"/>
      <c r="Y798" s="50"/>
      <c r="Z798" s="48" t="n">
        <f aca="false">IF(A798="","",IF(AND(Parameter!$B$21="Ja",ISNUMBER(W798)),W798,IF(BZ798="2+3",IF(ISNUMBER(SEARCH("grosser Artikel",BR798)),2,IFERROR(VLOOKUP(BU798,Parameter!$F$35:$G$64,2,0),2)),IF(OR(BZ798="Nein",BZ798=""),"-",BZ798))))</f>
        <v>3</v>
      </c>
      <c r="AA798" s="55"/>
      <c r="AB798" s="56"/>
      <c r="AC798" s="50" t="n">
        <f aca="false">AT798</f>
        <v>1786</v>
      </c>
      <c r="AD798" s="50" t="n">
        <f aca="false">MAX(AT798,H798)</f>
        <v>1786</v>
      </c>
      <c r="AE798" s="57"/>
      <c r="AF798" s="50" t="n">
        <f aca="false">IF(LEFT(Cockpit!$C$5,1)="A",H798,IF(CE798=1,CF798,IF(LEFT(Cockpit!$C$5,1)="B",AK798,MAX(AK798,H798))))</f>
        <v>1588</v>
      </c>
      <c r="AG798" s="50" t="n">
        <f aca="false">IF(BW798=1,0,ROUNDUP(AF798/BV798,0))</f>
        <v>1</v>
      </c>
      <c r="AH798" s="52" t="n">
        <f aca="false">IF(CL798&gt;0,CL798*MAX(1,AF798/X798),IF(BW798=1,IF(AF798&lt;=0,0,CA798*MAX(1,IF(H798&gt;0,AF798/H798,1))),IF(R798&gt;0,AG798/R798,0))/MAX(0.1,N(Parameter!$M$21)))</f>
        <v>0.00714285714285714</v>
      </c>
      <c r="AI798" s="50" t="n">
        <f aca="false">AH798*BY798</f>
        <v>1.10714285714286</v>
      </c>
      <c r="AJ798" s="50" t="n">
        <f aca="false">AF798*G798</f>
        <v>79.4</v>
      </c>
      <c r="AK798" s="50" t="n">
        <f aca="false">ROUNDUP(MAX(J798/IF(CD798&gt;0,CD798,MAX(0.1,N(Cockpit!$C$6))),CG798)/BV798,0)*BV798</f>
        <v>1786</v>
      </c>
      <c r="AL798" s="51" t="n">
        <f aca="false">IF(AI798&gt;0,J798/AI798,-1)</f>
        <v>0</v>
      </c>
      <c r="AM798" s="51" t="n">
        <f aca="false">IF(AND(OR(CC798="L1",CC798="L23",CC798="LIFT"),AI798&gt;0),SUMIFS($AI$7:$AI$1843,$CC$7:$CC$1843,CC798,$AL$7:$AL$1843,"&gt;"&amp;AL798)+SUMIFS($AI$7:$AI$1843,$CC$7:$CC$1843,CC798,$AL$7:$AL$1843,AL798,$BT$7:$BT$1843,"&lt;="&amp;BT798),"")</f>
        <v>28765.3724208936</v>
      </c>
      <c r="AN798" s="58" t="n">
        <f aca="false">IF(AM798="",0,MAX(0,MIN(1,(IF(CC798="L1",Parameter!$H$5,IF(CC798="L23",Parameter!$H$6+Parameter!$H$7,Parameter!$H$5+Parameter!$H$6+Parameter!$H$7))-(AM798-AI798))/AI798)))</f>
        <v>1</v>
      </c>
      <c r="AO798" s="50" t="n">
        <f aca="false">IF(LEFT(Cockpit!$I$5,1)="A",H798,IF(CE798=1,CF798,IF(LEFT(Cockpit!$I$5,1)="B",AT798,MAX(AT798,H798))))</f>
        <v>1786</v>
      </c>
      <c r="AP798" s="50" t="n">
        <f aca="false">IF(BW798=1,0,ROUNDUP(AO798/BV798,0))</f>
        <v>1</v>
      </c>
      <c r="AQ798" s="52" t="n">
        <f aca="false">IF(CL798&gt;0,CL798*MAX(1,AO798/X798),IF(BW798=1,IF(AO798&lt;=0,0,CA798*MAX(1,IF(H798&gt;0,AO798/H798,1))),IF(R798&gt;0,AP798/R798,0))/MAX(0.1,N(Parameter!$M$21)))</f>
        <v>0.00714285714285714</v>
      </c>
      <c r="AR798" s="50" t="n">
        <f aca="false">AQ798*BY798</f>
        <v>1.10714285714286</v>
      </c>
      <c r="AS798" s="50" t="n">
        <f aca="false">AO798*G798</f>
        <v>89.3</v>
      </c>
      <c r="AT798" s="50" t="n">
        <f aca="false">ROUNDUP(MAX(J798/IF(CD798&gt;0,CD798,MAX(0.1,N(Cockpit!$I$6))),CG798)/BV798,0)*BV798</f>
        <v>1786</v>
      </c>
      <c r="AU798" s="51" t="n">
        <f aca="false">IF(AR798&gt;0,J798/AR798,-1)</f>
        <v>0</v>
      </c>
      <c r="AV798" s="51" t="n">
        <f aca="false">IF(AND(OR(CC798="L1",CC798="L23",CC798="LIFT"),AR798&gt;0),SUMIFS($AR$7:$AR$1843,$CC$7:$CC$1843,CC798,$AU$7:$AU$1843,"&gt;"&amp;AU798)+SUMIFS($AR$7:$AR$1843,$CC$7:$CC$1843,CC798,$AU$7:$AU$1843,AU798,$BT$7:$BT$1843,"&lt;="&amp;BT798),"")</f>
        <v>40336.4276634383</v>
      </c>
      <c r="AW798" s="58" t="n">
        <f aca="false">IF(AV798="",0,MAX(0,MIN(1,(IF(CC798="L1",Parameter!$H$5,IF(CC798="L23",Parameter!$H$6+Parameter!$H$7,Parameter!$H$5+Parameter!$H$6+Parameter!$H$7))-(AV798-AR798))/AR798)))</f>
        <v>0</v>
      </c>
      <c r="AX798" s="50" t="n">
        <f aca="false">IF(LEFT(Cockpit!$O$5,1)="A",H798,IF(CE798=1,CF798,IF(LEFT(Cockpit!$O$5,1)="B",BC798,MAX(BC798,H798))))</f>
        <v>1786</v>
      </c>
      <c r="AY798" s="50" t="n">
        <f aca="false">IF(BW798=1,0,ROUNDUP(AX798/BV798,0))</f>
        <v>1</v>
      </c>
      <c r="AZ798" s="52" t="n">
        <f aca="false">IF(CL798&gt;0,CL798*MAX(1,AX798/X798),IF(BW798=1,IF(AX798&lt;=0,0,CA798*MAX(1,IF(H798&gt;0,AX798/H798,1))),IF(R798&gt;0,AY798/R798,0))/MAX(0.1,N(Parameter!$M$21)))</f>
        <v>0.00714285714285714</v>
      </c>
      <c r="BA798" s="50" t="n">
        <f aca="false">AZ798*BY798</f>
        <v>1.10714285714286</v>
      </c>
      <c r="BB798" s="50" t="n">
        <f aca="false">AX798*G798</f>
        <v>89.3</v>
      </c>
      <c r="BC798" s="50" t="n">
        <f aca="false">ROUNDUP(MAX(J798/IF(CD798&gt;0,CD798,MAX(0.1,N(Cockpit!$O$6))),CG798)/BV798,0)*BV798</f>
        <v>1786</v>
      </c>
      <c r="BD798" s="51" t="n">
        <f aca="false">IF(BA798&gt;0,J798/BA798,-1)</f>
        <v>0</v>
      </c>
      <c r="BE798" s="51" t="n">
        <f aca="false">IF(AND(OR(CC798="L1",CC798="L23",CC798="LIFT"),BA798&gt;0),SUMIFS($BA$7:$BA$1843,$CC$7:$CC$1843,CC798,$BD$7:$BD$1843,"&gt;"&amp;BD798)+SUMIFS($BA$7:$BA$1843,$CC$7:$CC$1843,CC798,$BD$7:$BD$1843,BD798,$BT$7:$BT$1843,"&lt;="&amp;BT798),"")</f>
        <v>37011.4397053041</v>
      </c>
      <c r="BF798" s="58" t="n">
        <f aca="false">IF(BE798="",0,MAX(0,MIN(1,(IF(CC798="L1",Parameter!$H$5,IF(CC798="L23",Parameter!$H$6+Parameter!$H$7,Parameter!$H$5+Parameter!$H$6+Parameter!$H$7))-(BE798-BA798))/BA798)))</f>
        <v>0</v>
      </c>
      <c r="BG798" s="48" t="str">
        <f aca="false">IF(AI798&lt;=0,"",IF(CC798="Aussen","Aussenlager",IF(CC798="-","Nicht im Lift",IF(AN798&gt;=1,"Lift",IF(AN798&lt;=0,"Aussenlager","teilweise")))))</f>
        <v>Lift</v>
      </c>
      <c r="BH798" s="48" t="str">
        <f aca="false">IF(AR798&lt;=0,"",IF(CC798="Aussen","Aussenlager",IF(CC798="-","Nicht im Lift",IF(AW798&gt;=1,"Lift",IF(AW798&lt;=0,"Aussenlager","teilweise")))))</f>
        <v>Aussenlager</v>
      </c>
      <c r="BI798" s="48" t="str">
        <f aca="false">IF(BA798&lt;=0,"",IF(CC798="Aussen","Aussenlager",IF(CC798="-","Nicht im Lift",IF(BF798&gt;=1,"Lift",IF(BF798&lt;=0,"Aussenlager","teilweise")))))</f>
        <v>Aussenlager</v>
      </c>
      <c r="BJ798" s="48" t="str">
        <f aca="false">IF(A798="","",IF(BS798=1,"Neu; ","")&amp;IF(AND(BS798=0,BN798&lt;0),"negativer Bestand (Export "&amp;BN798&amp;"); ","")&amp;IF(J798&lt;=0,"Kein Verbrauch; ","")&amp;IF(CL798&gt;0,"Lift "&amp;W798&amp;" lt. Liftbericht (Fach "&amp;X798&amp;" Stk); ",IF(BX798=1,"Gebinde geschätzt ("&amp;T798&amp;"); ",IF(BW798=1,"Lose – Tablare geschätzt; ","")))&amp;IF(H798&gt;AT798,"Überbestand "&amp;ROUND(H798-AT798,0)&amp;" Stk / CHF "&amp;ROUND((H798-AT798)*G798,0)&amp;"; ","")&amp;IF(AND(CE798=1,CF798&lt;CG798),"MAX &lt; MB+LG; ","")&amp;IF(AND(CK798&gt;0,CJ798*10&gt;CK798),"zu hoch für Tablar; ","")&amp;IF(AND(BS798=0,OR(CE798=1,AA798&lt;&gt;"",U798&lt;&gt;"",V798&lt;&gt;"",AB798&lt;&gt;"")),"manuell übersteuert; ","")&amp;IF(AND(BW798=0,R798=0),"Gebinde unbekannt / Stellmass fehlt; ","")&amp;IF(AND(BW798=0,N(V798)&lt;=0,N(Q798)&lt;=0),"Menge pro Gebinde fehlt (Ist = 1 Gebinde); ","")&amp;BR798)</f>
        <v>negativer Bestand (Export -83); Kein Verbrauch; Handlager</v>
      </c>
      <c r="BK798" s="48"/>
      <c r="BL798" s="48"/>
      <c r="BM798" s="55"/>
      <c r="BN798" s="50" t="n">
        <v>-83</v>
      </c>
      <c r="BO798" s="50" t="n">
        <v>1671</v>
      </c>
      <c r="BP798" s="49" t="n">
        <v>-4.15</v>
      </c>
      <c r="BQ798" s="50" t="n">
        <v>0</v>
      </c>
      <c r="BR798" s="48" t="s">
        <v>899</v>
      </c>
      <c r="BS798" s="53" t="n">
        <v>0</v>
      </c>
      <c r="BT798" s="53" t="n">
        <v>798</v>
      </c>
      <c r="BU798" s="48" t="str">
        <f aca="false">IF(U798&lt;&gt;"",UPPER(TRIM(U798)),IF(BX798=1,UPPER(VLOOKUP(T798,Parameter!$I$27:$K$29,2,0)),IF(P798="","LOSE",P798)))</f>
        <v>S22</v>
      </c>
      <c r="BV798" s="50" t="n">
        <f aca="false">IF(BU798="LOSE",1,IF(N(V798)&gt;0,V798,IF(BX798=1,MAX(1,N(VLOOKUP(T798,Parameter!$I$27:$K$29,3,0)),H798,N(N798)),IF(N(Q798)&gt;0,Q798,MAX(1,H798)))))</f>
        <v>1786</v>
      </c>
      <c r="BW798" s="53" t="n">
        <f aca="false">IF(BU798="LOSE",1,0)</f>
        <v>0</v>
      </c>
      <c r="BX798" s="53" t="n">
        <f aca="false">IF(AND(U798="",OR(P798="",P798="LOSE"),T798&lt;&gt;"",N(S798)&lt;=0,ISNUMBER(MATCH(T798,Parameter!$I$27:$I$29,0))),1,0)</f>
        <v>0</v>
      </c>
      <c r="BY798" s="53" t="n">
        <f aca="false">IF(CL798&gt;0,INDEX(Parameter!$H$5:$H$7,W798)/INDEX(Parameter!$E$5:$E$7,W798),IF(AND(BW798=0,N(IFERROR(VLOOKUP(BU798,'Gebinde-Kategorie'!$A$5:$N$45,14,0),0))&gt;0),VLOOKUP(BU798,'Gebinde-Kategorie'!$A$5:$N$45,14,0)*10+Parameter!$M$23,Parameter!$M$24))</f>
        <v>155</v>
      </c>
      <c r="BZ798" s="48" t="str">
        <f aca="false">IF(AND(Parameter!$B$19="Ja",E798&lt;&gt;"",ISNUMBER(MATCH(E798,Parameter!$I$35:$I$52,0))),VLOOKUP(E798,Parameter!$I$35:$J$52,2,0),IFERROR(VLOOKUP(D798,Parameter!$A$35:$C$64,2,0),"Nein"))</f>
        <v>2+3</v>
      </c>
      <c r="CA798" s="52" t="n">
        <f aca="false">IF(BW798=0,0,IF(N(S798)&gt;0,S798,IFERROR(VLOOKUP(D798,Parameter!$A$35:$C$64,3,0)+0,0)))</f>
        <v>0</v>
      </c>
      <c r="CB798" s="48" t="n">
        <f aca="false">IF(AA798&lt;&gt;"",AA798,Z798)</f>
        <v>3</v>
      </c>
      <c r="CC798" s="48" t="str">
        <f aca="false">IF(OR(CB798=1,CB798=2,CB798=3),IF(Parameter!$E$27="Ja","LIFT",IF(CB798=1,"L1","L23")),IF(CB798="Aussen","Aussen","-"))</f>
        <v>LIFT</v>
      </c>
      <c r="CD798" s="59" t="n">
        <f aca="false">IF(N(AB798)&gt;0,AB798,0)</f>
        <v>0</v>
      </c>
      <c r="CE798" s="53" t="n">
        <f aca="false">IF(ISNUMBER(AE798),1,0)</f>
        <v>0</v>
      </c>
      <c r="CF798" s="50" t="n">
        <f aca="false">N(AE798)</f>
        <v>0</v>
      </c>
      <c r="CG798" s="50" t="n">
        <f aca="false">N(M798)+N(N798)</f>
        <v>1</v>
      </c>
      <c r="CH798" s="50" t="n">
        <f aca="false">ROUNDUP(H798/BV798,0)</f>
        <v>1</v>
      </c>
      <c r="CI798" s="50" t="n">
        <f aca="false">ROUNDUP(CF798/BV798,0)</f>
        <v>0</v>
      </c>
      <c r="CJ798" s="53" t="n">
        <f aca="false">IF(BW798=1,0,IFERROR(VLOOKUP(BU798,'Gebinde-Kategorie'!$A$5:$N$45,5,0)+0,0))</f>
        <v>8</v>
      </c>
      <c r="CK798" s="53" t="n">
        <f aca="false">IFERROR(IF(OR(CB798=1,CB798=2,CB798=3),N(INDEX(Parameter!$I$5:$I$7,CB798)),0),0)</f>
        <v>0</v>
      </c>
      <c r="CL798" s="52" t="n">
        <f aca="false">IF(AND(Parameter!$B$21="Ja",ISNUMBER(W798),N(X798)&gt;0),IFERROR(N(INDEX(Parameter!$L$5:$L$7,W798))*INDEX(Parameter!$E$5:$E$7,W798)*X798/SUMIFS($X$7:$X$1843,$W$7:$W$1843,W798),0),0)</f>
        <v>0</v>
      </c>
    </row>
    <row r="799" customFormat="false" ht="15" hidden="false" customHeight="false" outlineLevel="0" collapsed="false">
      <c r="A799" s="48" t="s">
        <v>1557</v>
      </c>
      <c r="B799" s="48" t="s">
        <v>1558</v>
      </c>
      <c r="C799" s="48" t="s">
        <v>168</v>
      </c>
      <c r="D799" s="48" t="s">
        <v>177</v>
      </c>
      <c r="E799" s="48" t="s">
        <v>469</v>
      </c>
      <c r="F799" s="48" t="s">
        <v>222</v>
      </c>
      <c r="G799" s="49" t="n">
        <v>5.23</v>
      </c>
      <c r="H799" s="50" t="n">
        <f aca="false">MAX(0,IF(AND(Parameter!$B$21="Ja",ISNUMBER(Y799)),Y799,IF(Parameter!$B$20="Jahresanfang 2025 + Export",BO799+BN799,BN799)))</f>
        <v>48</v>
      </c>
      <c r="I799" s="50" t="n">
        <f aca="false">H799*G799</f>
        <v>251.04</v>
      </c>
      <c r="J799" s="50" t="n">
        <f aca="false">BQ799*Parameter!$B$18</f>
        <v>384</v>
      </c>
      <c r="K799" s="51" t="n">
        <v>44</v>
      </c>
      <c r="L799" s="52" t="n">
        <v>8.72727272727273</v>
      </c>
      <c r="M799" s="50" t="n">
        <v>22</v>
      </c>
      <c r="N799" s="50" t="n">
        <v>60</v>
      </c>
      <c r="O799" s="53" t="n">
        <v>21</v>
      </c>
      <c r="P799" s="48" t="s">
        <v>172</v>
      </c>
      <c r="Q799" s="50"/>
      <c r="R799" s="53" t="n">
        <f aca="false">IF(BW799=1,0,IFERROR(VLOOKUP(BU799,'Gebinde-Kategorie'!$A$5:$N$45,13,0)+0,0))</f>
        <v>4</v>
      </c>
      <c r="S799" s="54"/>
      <c r="T799" s="55" t="s">
        <v>193</v>
      </c>
      <c r="U799" s="55"/>
      <c r="V799" s="55"/>
      <c r="W799" s="48"/>
      <c r="X799" s="50"/>
      <c r="Y799" s="50"/>
      <c r="Z799" s="48" t="str">
        <f aca="false">IF(A799="","",IF(AND(Parameter!$B$21="Ja",ISNUMBER(W799)),W799,IF(BZ799="2+3",IF(ISNUMBER(SEARCH("grosser Artikel",BR799)),2,IFERROR(VLOOKUP(BU799,Parameter!$F$35:$G$64,2,0),2)),IF(OR(BZ799="Nein",BZ799=""),"-",BZ799))))</f>
        <v>-</v>
      </c>
      <c r="AA799" s="55"/>
      <c r="AB799" s="56"/>
      <c r="AC799" s="50" t="n">
        <f aca="false">AT799</f>
        <v>240</v>
      </c>
      <c r="AD799" s="50" t="n">
        <f aca="false">MAX(AT799,H799)</f>
        <v>240</v>
      </c>
      <c r="AE799" s="57"/>
      <c r="AF799" s="50" t="n">
        <f aca="false">IF(LEFT(Cockpit!$C$5,1)="A",H799,IF(CE799=1,CF799,IF(LEFT(Cockpit!$C$5,1)="B",AK799,MAX(AK799,H799))))</f>
        <v>48</v>
      </c>
      <c r="AG799" s="50" t="n">
        <f aca="false">IF(BW799=1,0,ROUNDUP(AF799/BV799,0))</f>
        <v>1</v>
      </c>
      <c r="AH799" s="52" t="n">
        <f aca="false">IF(CL799&gt;0,CL799*MAX(1,AF799/X799),IF(BW799=1,IF(AF799&lt;=0,0,CA799*MAX(1,IF(H799&gt;0,AF799/H799,1))),IF(R799&gt;0,AG799/R799,0))/MAX(0.1,N(Parameter!$M$21)))</f>
        <v>0.25</v>
      </c>
      <c r="AI799" s="50" t="n">
        <f aca="false">AH799*BY799</f>
        <v>58.75</v>
      </c>
      <c r="AJ799" s="50" t="n">
        <f aca="false">AF799*G799</f>
        <v>251.04</v>
      </c>
      <c r="AK799" s="50" t="n">
        <f aca="false">ROUNDUP(MAX(J799/IF(CD799&gt;0,CD799,MAX(0.1,N(Cockpit!$C$6))),CG799)/BV799,0)*BV799</f>
        <v>240</v>
      </c>
      <c r="AL799" s="51" t="n">
        <f aca="false">IF(AI799&gt;0,J799/AI799,-1)</f>
        <v>6.53617021276596</v>
      </c>
      <c r="AM799" s="51" t="str">
        <f aca="false">IF(AND(OR(CC799="L1",CC799="L23",CC799="LIFT"),AI799&gt;0),SUMIFS($AI$7:$AI$1843,$CC$7:$CC$1843,CC799,$AL$7:$AL$1843,"&gt;"&amp;AL799)+SUMIFS($AI$7:$AI$1843,$CC$7:$CC$1843,CC799,$AL$7:$AL$1843,AL799,$BT$7:$BT$1843,"&lt;="&amp;BT799),"")</f>
        <v/>
      </c>
      <c r="AN799" s="58" t="n">
        <f aca="false">IF(AM799="",0,MAX(0,MIN(1,(IF(CC799="L1",Parameter!$H$5,IF(CC799="L23",Parameter!$H$6+Parameter!$H$7,Parameter!$H$5+Parameter!$H$6+Parameter!$H$7))-(AM799-AI799))/AI799)))</f>
        <v>0</v>
      </c>
      <c r="AO799" s="50" t="n">
        <f aca="false">IF(LEFT(Cockpit!$I$5,1)="A",H799,IF(CE799=1,CF799,IF(LEFT(Cockpit!$I$5,1)="B",AT799,MAX(AT799,H799))))</f>
        <v>240</v>
      </c>
      <c r="AP799" s="50" t="n">
        <f aca="false">IF(BW799=1,0,ROUNDUP(AO799/BV799,0))</f>
        <v>4</v>
      </c>
      <c r="AQ799" s="52" t="n">
        <f aca="false">IF(CL799&gt;0,CL799*MAX(1,AO799/X799),IF(BW799=1,IF(AO799&lt;=0,0,CA799*MAX(1,IF(H799&gt;0,AO799/H799,1))),IF(R799&gt;0,AP799/R799,0))/MAX(0.1,N(Parameter!$M$21)))</f>
        <v>1</v>
      </c>
      <c r="AR799" s="50" t="n">
        <f aca="false">AQ799*BY799</f>
        <v>235</v>
      </c>
      <c r="AS799" s="50" t="n">
        <f aca="false">AO799*G799</f>
        <v>1255.2</v>
      </c>
      <c r="AT799" s="50" t="n">
        <f aca="false">ROUNDUP(MAX(J799/IF(CD799&gt;0,CD799,MAX(0.1,N(Cockpit!$I$6))),CG799)/BV799,0)*BV799</f>
        <v>240</v>
      </c>
      <c r="AU799" s="51" t="n">
        <f aca="false">IF(AR799&gt;0,J799/AR799,-1)</f>
        <v>1.63404255319149</v>
      </c>
      <c r="AV799" s="51" t="str">
        <f aca="false">IF(AND(OR(CC799="L1",CC799="L23",CC799="LIFT"),AR799&gt;0),SUMIFS($AR$7:$AR$1843,$CC$7:$CC$1843,CC799,$AU$7:$AU$1843,"&gt;"&amp;AU799)+SUMIFS($AR$7:$AR$1843,$CC$7:$CC$1843,CC799,$AU$7:$AU$1843,AU799,$BT$7:$BT$1843,"&lt;="&amp;BT799),"")</f>
        <v/>
      </c>
      <c r="AW799" s="58" t="n">
        <f aca="false">IF(AV799="",0,MAX(0,MIN(1,(IF(CC799="L1",Parameter!$H$5,IF(CC799="L23",Parameter!$H$6+Parameter!$H$7,Parameter!$H$5+Parameter!$H$6+Parameter!$H$7))-(AV799-AR799))/AR799)))</f>
        <v>0</v>
      </c>
      <c r="AX799" s="50" t="n">
        <f aca="false">IF(LEFT(Cockpit!$O$5,1)="A",H799,IF(CE799=1,CF799,IF(LEFT(Cockpit!$O$5,1)="B",BC799,MAX(BC799,H799))))</f>
        <v>180</v>
      </c>
      <c r="AY799" s="50" t="n">
        <f aca="false">IF(BW799=1,0,ROUNDUP(AX799/BV799,0))</f>
        <v>3</v>
      </c>
      <c r="AZ799" s="52" t="n">
        <f aca="false">IF(CL799&gt;0,CL799*MAX(1,AX799/X799),IF(BW799=1,IF(AX799&lt;=0,0,CA799*MAX(1,IF(H799&gt;0,AX799/H799,1))),IF(R799&gt;0,AY799/R799,0))/MAX(0.1,N(Parameter!$M$21)))</f>
        <v>0.75</v>
      </c>
      <c r="BA799" s="50" t="n">
        <f aca="false">AZ799*BY799</f>
        <v>176.25</v>
      </c>
      <c r="BB799" s="50" t="n">
        <f aca="false">AX799*G799</f>
        <v>941.4</v>
      </c>
      <c r="BC799" s="50" t="n">
        <f aca="false">ROUNDUP(MAX(J799/IF(CD799&gt;0,CD799,MAX(0.1,N(Cockpit!$O$6))),CG799)/BV799,0)*BV799</f>
        <v>180</v>
      </c>
      <c r="BD799" s="51" t="n">
        <f aca="false">IF(BA799&gt;0,J799/BA799,-1)</f>
        <v>2.17872340425532</v>
      </c>
      <c r="BE799" s="51" t="str">
        <f aca="false">IF(AND(OR(CC799="L1",CC799="L23",CC799="LIFT"),BA799&gt;0),SUMIFS($BA$7:$BA$1843,$CC$7:$CC$1843,CC799,$BD$7:$BD$1843,"&gt;"&amp;BD799)+SUMIFS($BA$7:$BA$1843,$CC$7:$CC$1843,CC799,$BD$7:$BD$1843,BD799,$BT$7:$BT$1843,"&lt;="&amp;BT799),"")</f>
        <v/>
      </c>
      <c r="BF799" s="58" t="n">
        <f aca="false">IF(BE799="",0,MAX(0,MIN(1,(IF(CC799="L1",Parameter!$H$5,IF(CC799="L23",Parameter!$H$6+Parameter!$H$7,Parameter!$H$5+Parameter!$H$6+Parameter!$H$7))-(BE799-BA799))/BA799)))</f>
        <v>0</v>
      </c>
      <c r="BG799" s="48" t="str">
        <f aca="false">IF(AI799&lt;=0,"",IF(CC799="Aussen","Aussenlager",IF(CC799="-","Nicht im Lift",IF(AN799&gt;=1,"Lift",IF(AN799&lt;=0,"Aussenlager","teilweise")))))</f>
        <v>Nicht im Lift</v>
      </c>
      <c r="BH799" s="48" t="str">
        <f aca="false">IF(AR799&lt;=0,"",IF(CC799="Aussen","Aussenlager",IF(CC799="-","Nicht im Lift",IF(AW799&gt;=1,"Lift",IF(AW799&lt;=0,"Aussenlager","teilweise")))))</f>
        <v>Nicht im Lift</v>
      </c>
      <c r="BI799" s="48" t="str">
        <f aca="false">IF(BA799&lt;=0,"",IF(CC799="Aussen","Aussenlager",IF(CC799="-","Nicht im Lift",IF(BF799&gt;=1,"Lift",IF(BF799&lt;=0,"Aussenlager","teilweise")))))</f>
        <v>Nicht im Lift</v>
      </c>
      <c r="BJ799" s="48" t="str">
        <f aca="false">IF(A799="","",IF(BS799=1,"Neu; ","")&amp;IF(AND(BS799=0,BN799&lt;0),"negativer Bestand (Export "&amp;BN799&amp;"); ","")&amp;IF(J799&lt;=0,"Kein Verbrauch; ","")&amp;IF(CL799&gt;0,"Lift "&amp;W799&amp;" lt. Liftbericht (Fach "&amp;X799&amp;" Stk); ",IF(BX799=1,"Gebinde geschätzt ("&amp;T799&amp;"); ",IF(BW799=1,"Lose – Tablare geschätzt; ","")))&amp;IF(H799&gt;AT799,"Überbestand "&amp;ROUND(H799-AT799,0)&amp;" Stk / CHF "&amp;ROUND((H799-AT799)*G799,0)&amp;"; ","")&amp;IF(AND(CE799=1,CF799&lt;CG799),"MAX &lt; MB+LG; ","")&amp;IF(AND(CK799&gt;0,CJ799*10&gt;CK799),"zu hoch für Tablar; ","")&amp;IF(AND(BS799=0,OR(CE799=1,AA799&lt;&gt;"",U799&lt;&gt;"",V799&lt;&gt;"",AB799&lt;&gt;"")),"manuell übersteuert; ","")&amp;IF(AND(BW799=0,R799=0),"Gebinde unbekannt / Stellmass fehlt; ","")&amp;IF(AND(BW799=0,N(V799)&lt;=0,N(Q799)&lt;=0),"Menge pro Gebinde fehlt (Ist = 1 Gebinde); ","")&amp;BR799)</f>
        <v>negativer Bestand (Export -3); Gebinde geschätzt (Gross); Menge pro Gebinde fehlt (Ist = 1 Gebinde); </v>
      </c>
      <c r="BK799" s="48"/>
      <c r="BL799" s="48"/>
      <c r="BM799" s="55"/>
      <c r="BN799" s="50" t="n">
        <v>-3</v>
      </c>
      <c r="BO799" s="50" t="n">
        <v>51</v>
      </c>
      <c r="BP799" s="49" t="n">
        <v>-4.47000000000013</v>
      </c>
      <c r="BQ799" s="50" t="n">
        <v>384</v>
      </c>
      <c r="BR799" s="48"/>
      <c r="BS799" s="53" t="n">
        <v>0</v>
      </c>
      <c r="BT799" s="53" t="n">
        <v>799</v>
      </c>
      <c r="BU799" s="48" t="str">
        <f aca="false">IF(U799&lt;&gt;"",UPPER(TRIM(U799)),IF(BX799=1,UPPER(VLOOKUP(T799,Parameter!$I$27:$K$29,2,0)),IF(P799="","LOSE",P799)))</f>
        <v>S81</v>
      </c>
      <c r="BV799" s="50" t="n">
        <f aca="false">IF(BU799="LOSE",1,IF(N(V799)&gt;0,V799,IF(BX799=1,MAX(1,N(VLOOKUP(T799,Parameter!$I$27:$K$29,3,0)),H799,N(N799)),IF(N(Q799)&gt;0,Q799,MAX(1,H799)))))</f>
        <v>60</v>
      </c>
      <c r="BW799" s="53" t="n">
        <f aca="false">IF(BU799="LOSE",1,0)</f>
        <v>0</v>
      </c>
      <c r="BX799" s="53" t="n">
        <f aca="false">IF(AND(U799="",OR(P799="",P799="LOSE"),T799&lt;&gt;"",N(S799)&lt;=0,ISNUMBER(MATCH(T799,Parameter!$I$27:$I$29,0))),1,0)</f>
        <v>1</v>
      </c>
      <c r="BY799" s="53" t="n">
        <f aca="false">IF(CL799&gt;0,INDEX(Parameter!$H$5:$H$7,W799)/INDEX(Parameter!$E$5:$E$7,W799),IF(AND(BW799=0,N(IFERROR(VLOOKUP(BU799,'Gebinde-Kategorie'!$A$5:$N$45,14,0),0))&gt;0),VLOOKUP(BU799,'Gebinde-Kategorie'!$A$5:$N$45,14,0)*10+Parameter!$M$23,Parameter!$M$24))</f>
        <v>235</v>
      </c>
      <c r="BZ799" s="48" t="str">
        <f aca="false">IF(AND(Parameter!$B$19="Ja",E799&lt;&gt;"",ISNUMBER(MATCH(E799,Parameter!$I$35:$I$52,0))),VLOOKUP(E799,Parameter!$I$35:$J$52,2,0),IFERROR(VLOOKUP(D799,Parameter!$A$35:$C$64,2,0),"Nein"))</f>
        <v>Nein</v>
      </c>
      <c r="CA799" s="52" t="n">
        <f aca="false">IF(BW799=0,0,IF(N(S799)&gt;0,S799,IFERROR(VLOOKUP(D799,Parameter!$A$35:$C$64,3,0)+0,0)))</f>
        <v>0</v>
      </c>
      <c r="CB799" s="48" t="str">
        <f aca="false">IF(AA799&lt;&gt;"",AA799,Z799)</f>
        <v>-</v>
      </c>
      <c r="CC799" s="48" t="str">
        <f aca="false">IF(OR(CB799=1,CB799=2,CB799=3),IF(Parameter!$E$27="Ja","LIFT",IF(CB799=1,"L1","L23")),IF(CB799="Aussen","Aussen","-"))</f>
        <v>-</v>
      </c>
      <c r="CD799" s="59" t="n">
        <f aca="false">IF(N(AB799)&gt;0,AB799,0)</f>
        <v>0</v>
      </c>
      <c r="CE799" s="53" t="n">
        <f aca="false">IF(ISNUMBER(AE799),1,0)</f>
        <v>0</v>
      </c>
      <c r="CF799" s="50" t="n">
        <f aca="false">N(AE799)</f>
        <v>0</v>
      </c>
      <c r="CG799" s="50" t="n">
        <f aca="false">N(M799)+N(N799)</f>
        <v>82</v>
      </c>
      <c r="CH799" s="50" t="n">
        <f aca="false">ROUNDUP(H799/BV799,0)</f>
        <v>1</v>
      </c>
      <c r="CI799" s="50" t="n">
        <f aca="false">ROUNDUP(CF799/BV799,0)</f>
        <v>0</v>
      </c>
      <c r="CJ799" s="53" t="n">
        <f aca="false">IF(BW799=1,0,IFERROR(VLOOKUP(BU799,'Gebinde-Kategorie'!$A$5:$N$45,5,0)+0,0))</f>
        <v>20</v>
      </c>
      <c r="CK799" s="53" t="n">
        <f aca="false">IFERROR(IF(OR(CB799=1,CB799=2,CB799=3),N(INDEX(Parameter!$I$5:$I$7,CB799)),0),0)</f>
        <v>0</v>
      </c>
      <c r="CL799" s="52" t="n">
        <f aca="false">IF(AND(Parameter!$B$21="Ja",ISNUMBER(W799),N(X799)&gt;0),IFERROR(N(INDEX(Parameter!$L$5:$L$7,W799))*INDEX(Parameter!$E$5:$E$7,W799)*X799/SUMIFS($X$7:$X$1843,$W$7:$W$1843,W799),0),0)</f>
        <v>0</v>
      </c>
    </row>
    <row r="800" customFormat="false" ht="15" hidden="false" customHeight="false" outlineLevel="0" collapsed="false">
      <c r="A800" s="48" t="s">
        <v>1559</v>
      </c>
      <c r="B800" s="48" t="s">
        <v>953</v>
      </c>
      <c r="C800" s="48" t="s">
        <v>168</v>
      </c>
      <c r="D800" s="48" t="s">
        <v>188</v>
      </c>
      <c r="E800" s="48" t="s">
        <v>189</v>
      </c>
      <c r="F800" s="48" t="s">
        <v>222</v>
      </c>
      <c r="G800" s="49" t="n">
        <v>0.01</v>
      </c>
      <c r="H800" s="50" t="n">
        <f aca="false">MAX(0,IF(AND(Parameter!$B$21="Ja",ISNUMBER(Y800)),Y800,IF(Parameter!$B$20="Jahresanfang 2025 + Export",BO800+BN800,BN800)))</f>
        <v>719</v>
      </c>
      <c r="I800" s="50" t="n">
        <f aca="false">H800*G800</f>
        <v>7.19</v>
      </c>
      <c r="J800" s="50" t="n">
        <f aca="false">BQ800*Parameter!$B$18</f>
        <v>1123</v>
      </c>
      <c r="K800" s="51" t="n">
        <v>583</v>
      </c>
      <c r="L800" s="52" t="n">
        <v>1.926243567753</v>
      </c>
      <c r="M800" s="50" t="n">
        <v>65</v>
      </c>
      <c r="N800" s="50" t="n">
        <v>1125</v>
      </c>
      <c r="O800" s="53" t="n">
        <v>21</v>
      </c>
      <c r="P800" s="48" t="s">
        <v>425</v>
      </c>
      <c r="Q800" s="50" t="n">
        <v>381</v>
      </c>
      <c r="R800" s="53" t="n">
        <f aca="false">IF(BW800=1,0,IFERROR(VLOOKUP(BU800,'Gebinde-Kategorie'!$A$5:$N$45,13,0)+0,0))</f>
        <v>104</v>
      </c>
      <c r="S800" s="54"/>
      <c r="T800" s="55"/>
      <c r="U800" s="55"/>
      <c r="V800" s="55"/>
      <c r="W800" s="48"/>
      <c r="X800" s="50"/>
      <c r="Y800" s="50"/>
      <c r="Z800" s="48" t="n">
        <f aca="false">IF(A800="","",IF(AND(Parameter!$B$21="Ja",ISNUMBER(W800)),W800,IF(BZ800="2+3",IF(ISNUMBER(SEARCH("grosser Artikel",BR800)),2,IFERROR(VLOOKUP(BU800,Parameter!$F$35:$G$64,2,0),2)),IF(OR(BZ800="Nein",BZ800=""),"-",BZ800))))</f>
        <v>3</v>
      </c>
      <c r="AA800" s="55"/>
      <c r="AB800" s="56"/>
      <c r="AC800" s="50" t="n">
        <f aca="false">AT800</f>
        <v>1524</v>
      </c>
      <c r="AD800" s="50" t="n">
        <f aca="false">MAX(AT800,H800)</f>
        <v>1524</v>
      </c>
      <c r="AE800" s="57"/>
      <c r="AF800" s="50" t="n">
        <f aca="false">IF(LEFT(Cockpit!$C$5,1)="A",H800,IF(CE800=1,CF800,IF(LEFT(Cockpit!$C$5,1)="B",AK800,MAX(AK800,H800))))</f>
        <v>719</v>
      </c>
      <c r="AG800" s="50" t="n">
        <f aca="false">IF(BW800=1,0,ROUNDUP(AF800/BV800,0))</f>
        <v>2</v>
      </c>
      <c r="AH800" s="52" t="n">
        <f aca="false">IF(CL800&gt;0,CL800*MAX(1,AF800/X800),IF(BW800=1,IF(AF800&lt;=0,0,CA800*MAX(1,IF(H800&gt;0,AF800/H800,1))),IF(R800&gt;0,AG800/R800,0))/MAX(0.1,N(Parameter!$M$21)))</f>
        <v>0.0192307692307692</v>
      </c>
      <c r="AI800" s="50" t="n">
        <f aca="false">AH800*BY800</f>
        <v>2.98076923076923</v>
      </c>
      <c r="AJ800" s="50" t="n">
        <f aca="false">AF800*G800</f>
        <v>7.19</v>
      </c>
      <c r="AK800" s="50" t="n">
        <f aca="false">ROUNDUP(MAX(J800/IF(CD800&gt;0,CD800,MAX(0.1,N(Cockpit!$C$6))),CG800)/BV800,0)*BV800</f>
        <v>1524</v>
      </c>
      <c r="AL800" s="51" t="n">
        <f aca="false">IF(AI800&gt;0,J800/AI800,-1)</f>
        <v>376.748387096774</v>
      </c>
      <c r="AM800" s="51" t="n">
        <f aca="false">IF(AND(OR(CC800="L1",CC800="L23",CC800="LIFT"),AI800&gt;0),SUMIFS($AI$7:$AI$1843,$CC$7:$CC$1843,CC800,$AL$7:$AL$1843,"&gt;"&amp;AL800)+SUMIFS($AI$7:$AI$1843,$CC$7:$CC$1843,CC800,$AL$7:$AL$1843,AL800,$BT$7:$BT$1843,"&lt;="&amp;BT800),"")</f>
        <v>205.949175824176</v>
      </c>
      <c r="AN800" s="58" t="n">
        <f aca="false">IF(AM800="",0,MAX(0,MIN(1,(IF(CC800="L1",Parameter!$H$5,IF(CC800="L23",Parameter!$H$6+Parameter!$H$7,Parameter!$H$5+Parameter!$H$6+Parameter!$H$7))-(AM800-AI800))/AI800)))</f>
        <v>1</v>
      </c>
      <c r="AO800" s="50" t="n">
        <f aca="false">IF(LEFT(Cockpit!$I$5,1)="A",H800,IF(CE800=1,CF800,IF(LEFT(Cockpit!$I$5,1)="B",AT800,MAX(AT800,H800))))</f>
        <v>1524</v>
      </c>
      <c r="AP800" s="50" t="n">
        <f aca="false">IF(BW800=1,0,ROUNDUP(AO800/BV800,0))</f>
        <v>4</v>
      </c>
      <c r="AQ800" s="52" t="n">
        <f aca="false">IF(CL800&gt;0,CL800*MAX(1,AO800/X800),IF(BW800=1,IF(AO800&lt;=0,0,CA800*MAX(1,IF(H800&gt;0,AO800/H800,1))),IF(R800&gt;0,AP800/R800,0))/MAX(0.1,N(Parameter!$M$21)))</f>
        <v>0.0384615384615385</v>
      </c>
      <c r="AR800" s="50" t="n">
        <f aca="false">AQ800*BY800</f>
        <v>5.96153846153846</v>
      </c>
      <c r="AS800" s="50" t="n">
        <f aca="false">AO800*G800</f>
        <v>15.24</v>
      </c>
      <c r="AT800" s="50" t="n">
        <f aca="false">ROUNDUP(MAX(J800/IF(CD800&gt;0,CD800,MAX(0.1,N(Cockpit!$I$6))),CG800)/BV800,0)*BV800</f>
        <v>1524</v>
      </c>
      <c r="AU800" s="51" t="n">
        <f aca="false">IF(AR800&gt;0,J800/AR800,-1)</f>
        <v>188.374193548387</v>
      </c>
      <c r="AV800" s="51" t="n">
        <f aca="false">IF(AND(OR(CC800="L1",CC800="L23",CC800="LIFT"),AR800&gt;0),SUMIFS($AR$7:$AR$1843,$CC$7:$CC$1843,CC800,$AU$7:$AU$1843,"&gt;"&amp;AU800)+SUMIFS($AR$7:$AR$1843,$CC$7:$CC$1843,CC800,$AU$7:$AU$1843,AU800,$BT$7:$BT$1843,"&lt;="&amp;BT800),"")</f>
        <v>420.776556776557</v>
      </c>
      <c r="AW800" s="58" t="n">
        <f aca="false">IF(AV800="",0,MAX(0,MIN(1,(IF(CC800="L1",Parameter!$H$5,IF(CC800="L23",Parameter!$H$6+Parameter!$H$7,Parameter!$H$5+Parameter!$H$6+Parameter!$H$7))-(AV800-AR800))/AR800)))</f>
        <v>1</v>
      </c>
      <c r="AX800" s="50" t="n">
        <f aca="false">IF(LEFT(Cockpit!$O$5,1)="A",H800,IF(CE800=1,CF800,IF(LEFT(Cockpit!$O$5,1)="B",BC800,MAX(BC800,H800))))</f>
        <v>1524</v>
      </c>
      <c r="AY800" s="50" t="n">
        <f aca="false">IF(BW800=1,0,ROUNDUP(AX800/BV800,0))</f>
        <v>4</v>
      </c>
      <c r="AZ800" s="52" t="n">
        <f aca="false">IF(CL800&gt;0,CL800*MAX(1,AX800/X800),IF(BW800=1,IF(AX800&lt;=0,0,CA800*MAX(1,IF(H800&gt;0,AX800/H800,1))),IF(R800&gt;0,AY800/R800,0))/MAX(0.1,N(Parameter!$M$21)))</f>
        <v>0.0384615384615385</v>
      </c>
      <c r="BA800" s="50" t="n">
        <f aca="false">AZ800*BY800</f>
        <v>5.96153846153846</v>
      </c>
      <c r="BB800" s="50" t="n">
        <f aca="false">AX800*G800</f>
        <v>15.24</v>
      </c>
      <c r="BC800" s="50" t="n">
        <f aca="false">ROUNDUP(MAX(J800/IF(CD800&gt;0,CD800,MAX(0.1,N(Cockpit!$O$6))),CG800)/BV800,0)*BV800</f>
        <v>1524</v>
      </c>
      <c r="BD800" s="51" t="n">
        <f aca="false">IF(BA800&gt;0,J800/BA800,-1)</f>
        <v>188.374193548387</v>
      </c>
      <c r="BE800" s="51" t="n">
        <f aca="false">IF(AND(OR(CC800="L1",CC800="L23",CC800="LIFT"),BA800&gt;0),SUMIFS($BA$7:$BA$1843,$CC$7:$CC$1843,CC800,$BD$7:$BD$1843,"&gt;"&amp;BD800)+SUMIFS($BA$7:$BA$1843,$CC$7:$CC$1843,CC800,$BD$7:$BD$1843,BD800,$BT$7:$BT$1843,"&lt;="&amp;BT800),"")</f>
        <v>482.715659340659</v>
      </c>
      <c r="BF800" s="58" t="n">
        <f aca="false">IF(BE800="",0,MAX(0,MIN(1,(IF(CC800="L1",Parameter!$H$5,IF(CC800="L23",Parameter!$H$6+Parameter!$H$7,Parameter!$H$5+Parameter!$H$6+Parameter!$H$7))-(BE800-BA800))/BA800)))</f>
        <v>1</v>
      </c>
      <c r="BG800" s="48" t="str">
        <f aca="false">IF(AI800&lt;=0,"",IF(CC800="Aussen","Aussenlager",IF(CC800="-","Nicht im Lift",IF(AN800&gt;=1,"Lift",IF(AN800&lt;=0,"Aussenlager","teilweise")))))</f>
        <v>Lift</v>
      </c>
      <c r="BH800" s="48" t="str">
        <f aca="false">IF(AR800&lt;=0,"",IF(CC800="Aussen","Aussenlager",IF(CC800="-","Nicht im Lift",IF(AW800&gt;=1,"Lift",IF(AW800&lt;=0,"Aussenlager","teilweise")))))</f>
        <v>Lift</v>
      </c>
      <c r="BI800" s="48" t="str">
        <f aca="false">IF(BA800&lt;=0,"",IF(CC800="Aussen","Aussenlager",IF(CC800="-","Nicht im Lift",IF(BF800&gt;=1,"Lift",IF(BF800&lt;=0,"Aussenlager","teilweise")))))</f>
        <v>Lift</v>
      </c>
      <c r="BJ800" s="48" t="str">
        <f aca="false">IF(A800="","",IF(BS800=1,"Neu; ","")&amp;IF(AND(BS800=0,BN800&lt;0),"negativer Bestand (Export "&amp;BN800&amp;"); ","")&amp;IF(J800&lt;=0,"Kein Verbrauch; ","")&amp;IF(CL800&gt;0,"Lift "&amp;W800&amp;" lt. Liftbericht (Fach "&amp;X800&amp;" Stk); ",IF(BX800=1,"Gebinde geschätzt ("&amp;T800&amp;"); ",IF(BW800=1,"Lose – Tablare geschätzt; ","")))&amp;IF(H800&gt;AT800,"Überbestand "&amp;ROUND(H800-AT800,0)&amp;" Stk / CHF "&amp;ROUND((H800-AT800)*G800,0)&amp;"; ","")&amp;IF(AND(CE800=1,CF800&lt;CG800),"MAX &lt; MB+LG; ","")&amp;IF(AND(CK800&gt;0,CJ800*10&gt;CK800),"zu hoch für Tablar; ","")&amp;IF(AND(BS800=0,OR(CE800=1,AA800&lt;&gt;"",U800&lt;&gt;"",V800&lt;&gt;"",AB800&lt;&gt;"")),"manuell übersteuert; ","")&amp;IF(AND(BW800=0,R800=0),"Gebinde unbekannt / Stellmass fehlt; ","")&amp;IF(AND(BW800=0,N(V800)&lt;=0,N(Q800)&lt;=0),"Menge pro Gebinde fehlt (Ist = 1 Gebinde); ","")&amp;BR800)</f>
        <v/>
      </c>
      <c r="BK800" s="48"/>
      <c r="BL800" s="48"/>
      <c r="BM800" s="55"/>
      <c r="BN800" s="50" t="n">
        <v>126</v>
      </c>
      <c r="BO800" s="50" t="n">
        <v>593</v>
      </c>
      <c r="BP800" s="49" t="n">
        <v>-4.66999999999998</v>
      </c>
      <c r="BQ800" s="50" t="n">
        <v>1123</v>
      </c>
      <c r="BR800" s="48"/>
      <c r="BS800" s="53" t="n">
        <v>0</v>
      </c>
      <c r="BT800" s="53" t="n">
        <v>800</v>
      </c>
      <c r="BU800" s="48" t="str">
        <f aca="false">IF(U800&lt;&gt;"",UPPER(TRIM(U800)),IF(BX800=1,UPPER(VLOOKUP(T800,Parameter!$I$27:$K$29,2,0)),IF(P800="","LOSE",P800)))</f>
        <v>S32</v>
      </c>
      <c r="BV800" s="50" t="n">
        <f aca="false">IF(BU800="LOSE",1,IF(N(V800)&gt;0,V800,IF(BX800=1,MAX(1,N(VLOOKUP(T800,Parameter!$I$27:$K$29,3,0)),H800,N(N800)),IF(N(Q800)&gt;0,Q800,MAX(1,H800)))))</f>
        <v>381</v>
      </c>
      <c r="BW800" s="53" t="n">
        <f aca="false">IF(BU800="LOSE",1,0)</f>
        <v>0</v>
      </c>
      <c r="BX800" s="53" t="n">
        <f aca="false">IF(AND(U800="",OR(P800="",P800="LOSE"),T800&lt;&gt;"",N(S800)&lt;=0,ISNUMBER(MATCH(T800,Parameter!$I$27:$I$29,0))),1,0)</f>
        <v>0</v>
      </c>
      <c r="BY800" s="53" t="n">
        <f aca="false">IF(CL800&gt;0,INDEX(Parameter!$H$5:$H$7,W800)/INDEX(Parameter!$E$5:$E$7,W800),IF(AND(BW800=0,N(IFERROR(VLOOKUP(BU800,'Gebinde-Kategorie'!$A$5:$N$45,14,0),0))&gt;0),VLOOKUP(BU800,'Gebinde-Kategorie'!$A$5:$N$45,14,0)*10+Parameter!$M$23,Parameter!$M$24))</f>
        <v>155</v>
      </c>
      <c r="BZ800" s="48" t="str">
        <f aca="false">IF(AND(Parameter!$B$19="Ja",E800&lt;&gt;"",ISNUMBER(MATCH(E800,Parameter!$I$35:$I$52,0))),VLOOKUP(E800,Parameter!$I$35:$J$52,2,0),IFERROR(VLOOKUP(D800,Parameter!$A$35:$C$64,2,0),"Nein"))</f>
        <v>2+3</v>
      </c>
      <c r="CA800" s="52" t="n">
        <f aca="false">IF(BW800=0,0,IF(N(S800)&gt;0,S800,IFERROR(VLOOKUP(D800,Parameter!$A$35:$C$64,3,0)+0,0)))</f>
        <v>0</v>
      </c>
      <c r="CB800" s="48" t="n">
        <f aca="false">IF(AA800&lt;&gt;"",AA800,Z800)</f>
        <v>3</v>
      </c>
      <c r="CC800" s="48" t="str">
        <f aca="false">IF(OR(CB800=1,CB800=2,CB800=3),IF(Parameter!$E$27="Ja","LIFT",IF(CB800=1,"L1","L23")),IF(CB800="Aussen","Aussen","-"))</f>
        <v>LIFT</v>
      </c>
      <c r="CD800" s="59" t="n">
        <f aca="false">IF(N(AB800)&gt;0,AB800,0)</f>
        <v>0</v>
      </c>
      <c r="CE800" s="53" t="n">
        <f aca="false">IF(ISNUMBER(AE800),1,0)</f>
        <v>0</v>
      </c>
      <c r="CF800" s="50" t="n">
        <f aca="false">N(AE800)</f>
        <v>0</v>
      </c>
      <c r="CG800" s="50" t="n">
        <f aca="false">N(M800)+N(N800)</f>
        <v>1190</v>
      </c>
      <c r="CH800" s="50" t="n">
        <f aca="false">ROUNDUP(H800/BV800,0)</f>
        <v>2</v>
      </c>
      <c r="CI800" s="50" t="n">
        <f aca="false">ROUNDUP(CF800/BV800,0)</f>
        <v>0</v>
      </c>
      <c r="CJ800" s="53" t="n">
        <f aca="false">IF(BW800=1,0,IFERROR(VLOOKUP(BU800,'Gebinde-Kategorie'!$A$5:$N$45,5,0)+0,0))</f>
        <v>8</v>
      </c>
      <c r="CK800" s="53" t="n">
        <f aca="false">IFERROR(IF(OR(CB800=1,CB800=2,CB800=3),N(INDEX(Parameter!$I$5:$I$7,CB800)),0),0)</f>
        <v>0</v>
      </c>
      <c r="CL800" s="52" t="n">
        <f aca="false">IF(AND(Parameter!$B$21="Ja",ISNUMBER(W800),N(X800)&gt;0),IFERROR(N(INDEX(Parameter!$L$5:$L$7,W800))*INDEX(Parameter!$E$5:$E$7,W800)*X800/SUMIFS($X$7:$X$1843,$W$7:$W$1843,W800),0),0)</f>
        <v>0</v>
      </c>
    </row>
    <row r="801" customFormat="false" ht="15" hidden="false" customHeight="false" outlineLevel="0" collapsed="false">
      <c r="A801" s="48" t="s">
        <v>1560</v>
      </c>
      <c r="B801" s="48" t="s">
        <v>1561</v>
      </c>
      <c r="C801" s="48" t="s">
        <v>168</v>
      </c>
      <c r="D801" s="48" t="s">
        <v>188</v>
      </c>
      <c r="E801" s="48" t="s">
        <v>189</v>
      </c>
      <c r="F801" s="48" t="s">
        <v>222</v>
      </c>
      <c r="G801" s="49" t="n">
        <v>4.68</v>
      </c>
      <c r="H801" s="50" t="n">
        <f aca="false">MAX(0,IF(AND(Parameter!$B$21="Ja",ISNUMBER(Y801)),Y801,IF(Parameter!$B$20="Jahresanfang 2025 + Export",BO801+BN801,BN801)))</f>
        <v>7</v>
      </c>
      <c r="I801" s="50" t="n">
        <f aca="false">H801*G801</f>
        <v>32.76</v>
      </c>
      <c r="J801" s="50" t="n">
        <f aca="false">BQ801*Parameter!$B$18</f>
        <v>2</v>
      </c>
      <c r="K801" s="51" t="n">
        <v>7</v>
      </c>
      <c r="L801" s="52" t="n">
        <v>0.285714285714286</v>
      </c>
      <c r="M801" s="50" t="n">
        <v>0</v>
      </c>
      <c r="N801" s="50" t="n">
        <v>1</v>
      </c>
      <c r="O801" s="53" t="n">
        <v>14</v>
      </c>
      <c r="P801" s="48" t="s">
        <v>405</v>
      </c>
      <c r="Q801" s="50" t="n">
        <v>10</v>
      </c>
      <c r="R801" s="53" t="n">
        <f aca="false">IF(BW801=1,0,IFERROR(VLOOKUP(BU801,'Gebinde-Kategorie'!$A$5:$N$45,13,0)+0,0))</f>
        <v>280</v>
      </c>
      <c r="S801" s="54"/>
      <c r="T801" s="55"/>
      <c r="U801" s="55"/>
      <c r="V801" s="55"/>
      <c r="W801" s="48"/>
      <c r="X801" s="50"/>
      <c r="Y801" s="50"/>
      <c r="Z801" s="48" t="n">
        <f aca="false">IF(A801="","",IF(AND(Parameter!$B$21="Ja",ISNUMBER(W801)),W801,IF(BZ801="2+3",IF(ISNUMBER(SEARCH("grosser Artikel",BR801)),2,IFERROR(VLOOKUP(BU801,Parameter!$F$35:$G$64,2,0),2)),IF(OR(BZ801="Nein",BZ801=""),"-",BZ801))))</f>
        <v>3</v>
      </c>
      <c r="AA801" s="55"/>
      <c r="AB801" s="56"/>
      <c r="AC801" s="50" t="n">
        <f aca="false">AT801</f>
        <v>10</v>
      </c>
      <c r="AD801" s="50" t="n">
        <f aca="false">MAX(AT801,H801)</f>
        <v>10</v>
      </c>
      <c r="AE801" s="57"/>
      <c r="AF801" s="50" t="n">
        <f aca="false">IF(LEFT(Cockpit!$C$5,1)="A",H801,IF(CE801=1,CF801,IF(LEFT(Cockpit!$C$5,1)="B",AK801,MAX(AK801,H801))))</f>
        <v>7</v>
      </c>
      <c r="AG801" s="50" t="n">
        <f aca="false">IF(BW801=1,0,ROUNDUP(AF801/BV801,0))</f>
        <v>1</v>
      </c>
      <c r="AH801" s="52" t="n">
        <f aca="false">IF(CL801&gt;0,CL801*MAX(1,AF801/X801),IF(BW801=1,IF(AF801&lt;=0,0,CA801*MAX(1,IF(H801&gt;0,AF801/H801,1))),IF(R801&gt;0,AG801/R801,0))/MAX(0.1,N(Parameter!$M$21)))</f>
        <v>0.00357142857142857</v>
      </c>
      <c r="AI801" s="50" t="n">
        <f aca="false">AH801*BY801</f>
        <v>0.553571428571429</v>
      </c>
      <c r="AJ801" s="50" t="n">
        <f aca="false">AF801*G801</f>
        <v>32.76</v>
      </c>
      <c r="AK801" s="50" t="n">
        <f aca="false">ROUNDUP(MAX(J801/IF(CD801&gt;0,CD801,MAX(0.1,N(Cockpit!$C$6))),CG801)/BV801,0)*BV801</f>
        <v>10</v>
      </c>
      <c r="AL801" s="51" t="n">
        <f aca="false">IF(AI801&gt;0,J801/AI801,-1)</f>
        <v>3.61290322580645</v>
      </c>
      <c r="AM801" s="51" t="n">
        <f aca="false">IF(AND(OR(CC801="L1",CC801="L23",CC801="LIFT"),AI801&gt;0),SUMIFS($AI$7:$AI$1843,$CC$7:$CC$1843,CC801,$AL$7:$AL$1843,"&gt;"&amp;AL801)+SUMIFS($AI$7:$AI$1843,$CC$7:$CC$1843,CC801,$AL$7:$AL$1843,AL801,$BT$7:$BT$1843,"&lt;="&amp;BT801),"")</f>
        <v>4828.98122710623</v>
      </c>
      <c r="AN801" s="58" t="n">
        <f aca="false">IF(AM801="",0,MAX(0,MIN(1,(IF(CC801="L1",Parameter!$H$5,IF(CC801="L23",Parameter!$H$6+Parameter!$H$7,Parameter!$H$5+Parameter!$H$6+Parameter!$H$7))-(AM801-AI801))/AI801)))</f>
        <v>1</v>
      </c>
      <c r="AO801" s="50" t="n">
        <f aca="false">IF(LEFT(Cockpit!$I$5,1)="A",H801,IF(CE801=1,CF801,IF(LEFT(Cockpit!$I$5,1)="B",AT801,MAX(AT801,H801))))</f>
        <v>10</v>
      </c>
      <c r="AP801" s="50" t="n">
        <f aca="false">IF(BW801=1,0,ROUNDUP(AO801/BV801,0))</f>
        <v>1</v>
      </c>
      <c r="AQ801" s="52" t="n">
        <f aca="false">IF(CL801&gt;0,CL801*MAX(1,AO801/X801),IF(BW801=1,IF(AO801&lt;=0,0,CA801*MAX(1,IF(H801&gt;0,AO801/H801,1))),IF(R801&gt;0,AP801/R801,0))/MAX(0.1,N(Parameter!$M$21)))</f>
        <v>0.00357142857142857</v>
      </c>
      <c r="AR801" s="50" t="n">
        <f aca="false">AQ801*BY801</f>
        <v>0.553571428571429</v>
      </c>
      <c r="AS801" s="50" t="n">
        <f aca="false">AO801*G801</f>
        <v>46.8</v>
      </c>
      <c r="AT801" s="50" t="n">
        <f aca="false">ROUNDUP(MAX(J801/IF(CD801&gt;0,CD801,MAX(0.1,N(Cockpit!$I$6))),CG801)/BV801,0)*BV801</f>
        <v>10</v>
      </c>
      <c r="AU801" s="51" t="n">
        <f aca="false">IF(AR801&gt;0,J801/AR801,-1)</f>
        <v>3.61290322580645</v>
      </c>
      <c r="AV801" s="51" t="n">
        <f aca="false">IF(AND(OR(CC801="L1",CC801="L23",CC801="LIFT"),AR801&gt;0),SUMIFS($AR$7:$AR$1843,$CC$7:$CC$1843,CC801,$AU$7:$AU$1843,"&gt;"&amp;AU801)+SUMIFS($AR$7:$AR$1843,$CC$7:$CC$1843,CC801,$AU$7:$AU$1843,AU801,$BT$7:$BT$1843,"&lt;="&amp;BT801),"")</f>
        <v>5957.59981684982</v>
      </c>
      <c r="AW801" s="58" t="n">
        <f aca="false">IF(AV801="",0,MAX(0,MIN(1,(IF(CC801="L1",Parameter!$H$5,IF(CC801="L23",Parameter!$H$6+Parameter!$H$7,Parameter!$H$5+Parameter!$H$6+Parameter!$H$7))-(AV801-AR801))/AR801)))</f>
        <v>1</v>
      </c>
      <c r="AX801" s="50" t="n">
        <f aca="false">IF(LEFT(Cockpit!$O$5,1)="A",H801,IF(CE801=1,CF801,IF(LEFT(Cockpit!$O$5,1)="B",BC801,MAX(BC801,H801))))</f>
        <v>10</v>
      </c>
      <c r="AY801" s="50" t="n">
        <f aca="false">IF(BW801=1,0,ROUNDUP(AX801/BV801,0))</f>
        <v>1</v>
      </c>
      <c r="AZ801" s="52" t="n">
        <f aca="false">IF(CL801&gt;0,CL801*MAX(1,AX801/X801),IF(BW801=1,IF(AX801&lt;=0,0,CA801*MAX(1,IF(H801&gt;0,AX801/H801,1))),IF(R801&gt;0,AY801/R801,0))/MAX(0.1,N(Parameter!$M$21)))</f>
        <v>0.00357142857142857</v>
      </c>
      <c r="BA801" s="50" t="n">
        <f aca="false">AZ801*BY801</f>
        <v>0.553571428571429</v>
      </c>
      <c r="BB801" s="50" t="n">
        <f aca="false">AX801*G801</f>
        <v>46.8</v>
      </c>
      <c r="BC801" s="50" t="n">
        <f aca="false">ROUNDUP(MAX(J801/IF(CD801&gt;0,CD801,MAX(0.1,N(Cockpit!$O$6))),CG801)/BV801,0)*BV801</f>
        <v>10</v>
      </c>
      <c r="BD801" s="51" t="n">
        <f aca="false">IF(BA801&gt;0,J801/BA801,-1)</f>
        <v>3.61290322580645</v>
      </c>
      <c r="BE801" s="51" t="n">
        <f aca="false">IF(AND(OR(CC801="L1",CC801="L23",CC801="LIFT"),BA801&gt;0),SUMIFS($BA$7:$BA$1843,$CC$7:$CC$1843,CC801,$BD$7:$BD$1843,"&gt;"&amp;BD801)+SUMIFS($BA$7:$BA$1843,$CC$7:$CC$1843,CC801,$BD$7:$BD$1843,BD801,$BT$7:$BT$1843,"&lt;="&amp;BT801),"")</f>
        <v>5859.18635531136</v>
      </c>
      <c r="BF801" s="58" t="n">
        <f aca="false">IF(BE801="",0,MAX(0,MIN(1,(IF(CC801="L1",Parameter!$H$5,IF(CC801="L23",Parameter!$H$6+Parameter!$H$7,Parameter!$H$5+Parameter!$H$6+Parameter!$H$7))-(BE801-BA801))/BA801)))</f>
        <v>1</v>
      </c>
      <c r="BG801" s="48" t="str">
        <f aca="false">IF(AI801&lt;=0,"",IF(CC801="Aussen","Aussenlager",IF(CC801="-","Nicht im Lift",IF(AN801&gt;=1,"Lift",IF(AN801&lt;=0,"Aussenlager","teilweise")))))</f>
        <v>Lift</v>
      </c>
      <c r="BH801" s="48" t="str">
        <f aca="false">IF(AR801&lt;=0,"",IF(CC801="Aussen","Aussenlager",IF(CC801="-","Nicht im Lift",IF(AW801&gt;=1,"Lift",IF(AW801&lt;=0,"Aussenlager","teilweise")))))</f>
        <v>Lift</v>
      </c>
      <c r="BI801" s="48" t="str">
        <f aca="false">IF(BA801&lt;=0,"",IF(CC801="Aussen","Aussenlager",IF(CC801="-","Nicht im Lift",IF(BF801&gt;=1,"Lift",IF(BF801&lt;=0,"Aussenlager","teilweise")))))</f>
        <v>Lift</v>
      </c>
      <c r="BJ801" s="48" t="str">
        <f aca="false">IF(A801="","",IF(BS801=1,"Neu; ","")&amp;IF(AND(BS801=0,BN801&lt;0),"negativer Bestand (Export "&amp;BN801&amp;"); ","")&amp;IF(J801&lt;=0,"Kein Verbrauch; ","")&amp;IF(CL801&gt;0,"Lift "&amp;W801&amp;" lt. Liftbericht (Fach "&amp;X801&amp;" Stk); ",IF(BX801=1,"Gebinde geschätzt ("&amp;T801&amp;"); ",IF(BW801=1,"Lose – Tablare geschätzt; ","")))&amp;IF(H801&gt;AT801,"Überbestand "&amp;ROUND(H801-AT801,0)&amp;" Stk / CHF "&amp;ROUND((H801-AT801)*G801,0)&amp;"; ","")&amp;IF(AND(CE801=1,CF801&lt;CG801),"MAX &lt; MB+LG; ","")&amp;IF(AND(CK801&gt;0,CJ801*10&gt;CK801),"zu hoch für Tablar; ","")&amp;IF(AND(BS801=0,OR(CE801=1,AA801&lt;&gt;"",U801&lt;&gt;"",V801&lt;&gt;"",AB801&lt;&gt;"")),"manuell übersteuert; ","")&amp;IF(AND(BW801=0,R801=0),"Gebinde unbekannt / Stellmass fehlt; ","")&amp;IF(AND(BW801=0,N(V801)&lt;=0,N(Q801)&lt;=0),"Menge pro Gebinde fehlt (Ist = 1 Gebinde); ","")&amp;BR801)</f>
        <v>negativer Bestand (Export -1); </v>
      </c>
      <c r="BK801" s="48"/>
      <c r="BL801" s="48"/>
      <c r="BM801" s="55"/>
      <c r="BN801" s="50" t="n">
        <v>-1</v>
      </c>
      <c r="BO801" s="50" t="n">
        <v>8</v>
      </c>
      <c r="BP801" s="49" t="n">
        <v>-4.68</v>
      </c>
      <c r="BQ801" s="50" t="n">
        <v>2</v>
      </c>
      <c r="BR801" s="48"/>
      <c r="BS801" s="53" t="n">
        <v>0</v>
      </c>
      <c r="BT801" s="53" t="n">
        <v>801</v>
      </c>
      <c r="BU801" s="48" t="str">
        <f aca="false">IF(U801&lt;&gt;"",UPPER(TRIM(U801)),IF(BX801=1,UPPER(VLOOKUP(T801,Parameter!$I$27:$K$29,2,0)),IF(P801="","LOSE",P801)))</f>
        <v>S21</v>
      </c>
      <c r="BV801" s="50" t="n">
        <f aca="false">IF(BU801="LOSE",1,IF(N(V801)&gt;0,V801,IF(BX801=1,MAX(1,N(VLOOKUP(T801,Parameter!$I$27:$K$29,3,0)),H801,N(N801)),IF(N(Q801)&gt;0,Q801,MAX(1,H801)))))</f>
        <v>10</v>
      </c>
      <c r="BW801" s="53" t="n">
        <f aca="false">IF(BU801="LOSE",1,0)</f>
        <v>0</v>
      </c>
      <c r="BX801" s="53" t="n">
        <f aca="false">IF(AND(U801="",OR(P801="",P801="LOSE"),T801&lt;&gt;"",N(S801)&lt;=0,ISNUMBER(MATCH(T801,Parameter!$I$27:$I$29,0))),1,0)</f>
        <v>0</v>
      </c>
      <c r="BY801" s="53" t="n">
        <f aca="false">IF(CL801&gt;0,INDEX(Parameter!$H$5:$H$7,W801)/INDEX(Parameter!$E$5:$E$7,W801),IF(AND(BW801=0,N(IFERROR(VLOOKUP(BU801,'Gebinde-Kategorie'!$A$5:$N$45,14,0),0))&gt;0),VLOOKUP(BU801,'Gebinde-Kategorie'!$A$5:$N$45,14,0)*10+Parameter!$M$23,Parameter!$M$24))</f>
        <v>155</v>
      </c>
      <c r="BZ801" s="48" t="str">
        <f aca="false">IF(AND(Parameter!$B$19="Ja",E801&lt;&gt;"",ISNUMBER(MATCH(E801,Parameter!$I$35:$I$52,0))),VLOOKUP(E801,Parameter!$I$35:$J$52,2,0),IFERROR(VLOOKUP(D801,Parameter!$A$35:$C$64,2,0),"Nein"))</f>
        <v>2+3</v>
      </c>
      <c r="CA801" s="52" t="n">
        <f aca="false">IF(BW801=0,0,IF(N(S801)&gt;0,S801,IFERROR(VLOOKUP(D801,Parameter!$A$35:$C$64,3,0)+0,0)))</f>
        <v>0</v>
      </c>
      <c r="CB801" s="48" t="n">
        <f aca="false">IF(AA801&lt;&gt;"",AA801,Z801)</f>
        <v>3</v>
      </c>
      <c r="CC801" s="48" t="str">
        <f aca="false">IF(OR(CB801=1,CB801=2,CB801=3),IF(Parameter!$E$27="Ja","LIFT",IF(CB801=1,"L1","L23")),IF(CB801="Aussen","Aussen","-"))</f>
        <v>LIFT</v>
      </c>
      <c r="CD801" s="59" t="n">
        <f aca="false">IF(N(AB801)&gt;0,AB801,0)</f>
        <v>0</v>
      </c>
      <c r="CE801" s="53" t="n">
        <f aca="false">IF(ISNUMBER(AE801),1,0)</f>
        <v>0</v>
      </c>
      <c r="CF801" s="50" t="n">
        <f aca="false">N(AE801)</f>
        <v>0</v>
      </c>
      <c r="CG801" s="50" t="n">
        <f aca="false">N(M801)+N(N801)</f>
        <v>1</v>
      </c>
      <c r="CH801" s="50" t="n">
        <f aca="false">ROUNDUP(H801/BV801,0)</f>
        <v>1</v>
      </c>
      <c r="CI801" s="50" t="n">
        <f aca="false">ROUNDUP(CF801/BV801,0)</f>
        <v>0</v>
      </c>
      <c r="CJ801" s="53" t="n">
        <f aca="false">IF(BW801=1,0,IFERROR(VLOOKUP(BU801,'Gebinde-Kategorie'!$A$5:$N$45,5,0)+0,0))</f>
        <v>8</v>
      </c>
      <c r="CK801" s="53" t="n">
        <f aca="false">IFERROR(IF(OR(CB801=1,CB801=2,CB801=3),N(INDEX(Parameter!$I$5:$I$7,CB801)),0),0)</f>
        <v>0</v>
      </c>
      <c r="CL801" s="52" t="n">
        <f aca="false">IF(AND(Parameter!$B$21="Ja",ISNUMBER(W801),N(X801)&gt;0),IFERROR(N(INDEX(Parameter!$L$5:$L$7,W801))*INDEX(Parameter!$E$5:$E$7,W801)*X801/SUMIFS($X$7:$X$1843,$W$7:$W$1843,W801),0),0)</f>
        <v>0</v>
      </c>
    </row>
    <row r="802" customFormat="false" ht="15" hidden="false" customHeight="false" outlineLevel="0" collapsed="false">
      <c r="A802" s="48" t="s">
        <v>1562</v>
      </c>
      <c r="B802" s="48" t="s">
        <v>1563</v>
      </c>
      <c r="C802" s="48" t="s">
        <v>168</v>
      </c>
      <c r="D802" s="48" t="s">
        <v>188</v>
      </c>
      <c r="E802" s="48"/>
      <c r="F802" s="48" t="s">
        <v>222</v>
      </c>
      <c r="G802" s="49" t="n">
        <v>0.5</v>
      </c>
      <c r="H802" s="50" t="n">
        <f aca="false">MAX(0,IF(AND(Parameter!$B$21="Ja",ISNUMBER(Y802)),Y802,IF(Parameter!$B$20="Jahresanfang 2025 + Export",BO802+BN802,BN802)))</f>
        <v>0</v>
      </c>
      <c r="I802" s="50" t="n">
        <f aca="false">H802*G802</f>
        <v>0</v>
      </c>
      <c r="J802" s="50" t="n">
        <f aca="false">BQ802*Parameter!$B$18</f>
        <v>0</v>
      </c>
      <c r="K802" s="51" t="n">
        <v>5</v>
      </c>
      <c r="L802" s="52" t="n">
        <v>0</v>
      </c>
      <c r="M802" s="50" t="n">
        <v>0</v>
      </c>
      <c r="N802" s="50" t="n">
        <v>1</v>
      </c>
      <c r="O802" s="53" t="n">
        <v>56</v>
      </c>
      <c r="P802" s="48" t="s">
        <v>172</v>
      </c>
      <c r="Q802" s="50"/>
      <c r="R802" s="53" t="n">
        <f aca="false">IF(BW802=1,0,IFERROR(VLOOKUP(BU802,'Gebinde-Kategorie'!$A$5:$N$45,13,0)+0,0))</f>
        <v>26</v>
      </c>
      <c r="S802" s="54"/>
      <c r="T802" s="55" t="s">
        <v>279</v>
      </c>
      <c r="U802" s="55"/>
      <c r="V802" s="55"/>
      <c r="W802" s="48"/>
      <c r="X802" s="50"/>
      <c r="Y802" s="50"/>
      <c r="Z802" s="48" t="n">
        <f aca="false">IF(A802="","",IF(AND(Parameter!$B$21="Ja",ISNUMBER(W802)),W802,IF(BZ802="2+3",IF(ISNUMBER(SEARCH("grosser Artikel",BR802)),2,IFERROR(VLOOKUP(BU802,Parameter!$F$35:$G$64,2,0),2)),IF(OR(BZ802="Nein",BZ802=""),"-",BZ802))))</f>
        <v>3</v>
      </c>
      <c r="AA802" s="55"/>
      <c r="AB802" s="56"/>
      <c r="AC802" s="50" t="n">
        <f aca="false">AT802</f>
        <v>20</v>
      </c>
      <c r="AD802" s="50" t="n">
        <f aca="false">MAX(AT802,H802)</f>
        <v>20</v>
      </c>
      <c r="AE802" s="57"/>
      <c r="AF802" s="50" t="n">
        <f aca="false">IF(LEFT(Cockpit!$C$5,1)="A",H802,IF(CE802=1,CF802,IF(LEFT(Cockpit!$C$5,1)="B",AK802,MAX(AK802,H802))))</f>
        <v>0</v>
      </c>
      <c r="AG802" s="50" t="n">
        <f aca="false">IF(BW802=1,0,ROUNDUP(AF802/BV802,0))</f>
        <v>0</v>
      </c>
      <c r="AH802" s="52" t="n">
        <f aca="false">IF(CL802&gt;0,CL802*MAX(1,AF802/X802),IF(BW802=1,IF(AF802&lt;=0,0,CA802*MAX(1,IF(H802&gt;0,AF802/H802,1))),IF(R802&gt;0,AG802/R802,0))/MAX(0.1,N(Parameter!$M$21)))</f>
        <v>0</v>
      </c>
      <c r="AI802" s="50" t="n">
        <f aca="false">AH802*BY802</f>
        <v>0</v>
      </c>
      <c r="AJ802" s="50" t="n">
        <f aca="false">AF802*G802</f>
        <v>0</v>
      </c>
      <c r="AK802" s="50" t="n">
        <f aca="false">ROUNDUP(MAX(J802/IF(CD802&gt;0,CD802,MAX(0.1,N(Cockpit!$C$6))),CG802)/BV802,0)*BV802</f>
        <v>20</v>
      </c>
      <c r="AL802" s="51" t="n">
        <f aca="false">IF(AI802&gt;0,J802/AI802,-1)</f>
        <v>-1</v>
      </c>
      <c r="AM802" s="51" t="str">
        <f aca="false">IF(AND(OR(CC802="L1",CC802="L23",CC802="LIFT"),AI802&gt;0),SUMIFS($AI$7:$AI$1843,$CC$7:$CC$1843,CC802,$AL$7:$AL$1843,"&gt;"&amp;AL802)+SUMIFS($AI$7:$AI$1843,$CC$7:$CC$1843,CC802,$AL$7:$AL$1843,AL802,$BT$7:$BT$1843,"&lt;="&amp;BT802),"")</f>
        <v/>
      </c>
      <c r="AN802" s="58" t="n">
        <f aca="false">IF(AM802="",0,MAX(0,MIN(1,(IF(CC802="L1",Parameter!$H$5,IF(CC802="L23",Parameter!$H$6+Parameter!$H$7,Parameter!$H$5+Parameter!$H$6+Parameter!$H$7))-(AM802-AI802))/AI802)))</f>
        <v>0</v>
      </c>
      <c r="AO802" s="50" t="n">
        <f aca="false">IF(LEFT(Cockpit!$I$5,1)="A",H802,IF(CE802=1,CF802,IF(LEFT(Cockpit!$I$5,1)="B",AT802,MAX(AT802,H802))))</f>
        <v>20</v>
      </c>
      <c r="AP802" s="50" t="n">
        <f aca="false">IF(BW802=1,0,ROUNDUP(AO802/BV802,0))</f>
        <v>1</v>
      </c>
      <c r="AQ802" s="52" t="n">
        <f aca="false">IF(CL802&gt;0,CL802*MAX(1,AO802/X802),IF(BW802=1,IF(AO802&lt;=0,0,CA802*MAX(1,IF(H802&gt;0,AO802/H802,1))),IF(R802&gt;0,AP802/R802,0))/MAX(0.1,N(Parameter!$M$21)))</f>
        <v>0.0384615384615385</v>
      </c>
      <c r="AR802" s="50" t="n">
        <f aca="false">AQ802*BY802</f>
        <v>5.96153846153846</v>
      </c>
      <c r="AS802" s="50" t="n">
        <f aca="false">AO802*G802</f>
        <v>10</v>
      </c>
      <c r="AT802" s="50" t="n">
        <f aca="false">ROUNDUP(MAX(J802/IF(CD802&gt;0,CD802,MAX(0.1,N(Cockpit!$I$6))),CG802)/BV802,0)*BV802</f>
        <v>20</v>
      </c>
      <c r="AU802" s="51" t="n">
        <f aca="false">IF(AR802&gt;0,J802/AR802,-1)</f>
        <v>0</v>
      </c>
      <c r="AV802" s="51" t="n">
        <f aca="false">IF(AND(OR(CC802="L1",CC802="L23",CC802="LIFT"),AR802&gt;0),SUMIFS($AR$7:$AR$1843,$CC$7:$CC$1843,CC802,$AU$7:$AU$1843,"&gt;"&amp;AU802)+SUMIFS($AR$7:$AR$1843,$CC$7:$CC$1843,CC802,$AU$7:$AU$1843,AU802,$BT$7:$BT$1843,"&lt;="&amp;BT802),"")</f>
        <v>40342.3892018998</v>
      </c>
      <c r="AW802" s="58" t="n">
        <f aca="false">IF(AV802="",0,MAX(0,MIN(1,(IF(CC802="L1",Parameter!$H$5,IF(CC802="L23",Parameter!$H$6+Parameter!$H$7,Parameter!$H$5+Parameter!$H$6+Parameter!$H$7))-(AV802-AR802))/AR802)))</f>
        <v>0</v>
      </c>
      <c r="AX802" s="50" t="n">
        <f aca="false">IF(LEFT(Cockpit!$O$5,1)="A",H802,IF(CE802=1,CF802,IF(LEFT(Cockpit!$O$5,1)="B",BC802,MAX(BC802,H802))))</f>
        <v>20</v>
      </c>
      <c r="AY802" s="50" t="n">
        <f aca="false">IF(BW802=1,0,ROUNDUP(AX802/BV802,0))</f>
        <v>1</v>
      </c>
      <c r="AZ802" s="52" t="n">
        <f aca="false">IF(CL802&gt;0,CL802*MAX(1,AX802/X802),IF(BW802=1,IF(AX802&lt;=0,0,CA802*MAX(1,IF(H802&gt;0,AX802/H802,1))),IF(R802&gt;0,AY802/R802,0))/MAX(0.1,N(Parameter!$M$21)))</f>
        <v>0.0384615384615385</v>
      </c>
      <c r="BA802" s="50" t="n">
        <f aca="false">AZ802*BY802</f>
        <v>5.96153846153846</v>
      </c>
      <c r="BB802" s="50" t="n">
        <f aca="false">AX802*G802</f>
        <v>10</v>
      </c>
      <c r="BC802" s="50" t="n">
        <f aca="false">ROUNDUP(MAX(J802/IF(CD802&gt;0,CD802,MAX(0.1,N(Cockpit!$O$6))),CG802)/BV802,0)*BV802</f>
        <v>20</v>
      </c>
      <c r="BD802" s="51" t="n">
        <f aca="false">IF(BA802&gt;0,J802/BA802,-1)</f>
        <v>0</v>
      </c>
      <c r="BE802" s="51" t="n">
        <f aca="false">IF(AND(OR(CC802="L1",CC802="L23",CC802="LIFT"),BA802&gt;0),SUMIFS($BA$7:$BA$1843,$CC$7:$CC$1843,CC802,$BD$7:$BD$1843,"&gt;"&amp;BD802)+SUMIFS($BA$7:$BA$1843,$CC$7:$CC$1843,CC802,$BD$7:$BD$1843,BD802,$BT$7:$BT$1843,"&lt;="&amp;BT802),"")</f>
        <v>37017.4012437657</v>
      </c>
      <c r="BF802" s="58" t="n">
        <f aca="false">IF(BE802="",0,MAX(0,MIN(1,(IF(CC802="L1",Parameter!$H$5,IF(CC802="L23",Parameter!$H$6+Parameter!$H$7,Parameter!$H$5+Parameter!$H$6+Parameter!$H$7))-(BE802-BA802))/BA802)))</f>
        <v>0</v>
      </c>
      <c r="BG802" s="48" t="str">
        <f aca="false">IF(AI802&lt;=0,"",IF(CC802="Aussen","Aussenlager",IF(CC802="-","Nicht im Lift",IF(AN802&gt;=1,"Lift",IF(AN802&lt;=0,"Aussenlager","teilweise")))))</f>
        <v/>
      </c>
      <c r="BH802" s="48" t="str">
        <f aca="false">IF(AR802&lt;=0,"",IF(CC802="Aussen","Aussenlager",IF(CC802="-","Nicht im Lift",IF(AW802&gt;=1,"Lift",IF(AW802&lt;=0,"Aussenlager","teilweise")))))</f>
        <v>Aussenlager</v>
      </c>
      <c r="BI802" s="48" t="str">
        <f aca="false">IF(BA802&lt;=0,"",IF(CC802="Aussen","Aussenlager",IF(CC802="-","Nicht im Lift",IF(BF802&gt;=1,"Lift",IF(BF802&lt;=0,"Aussenlager","teilweise")))))</f>
        <v>Aussenlager</v>
      </c>
      <c r="BJ802" s="48" t="str">
        <f aca="false">IF(A802="","",IF(BS802=1,"Neu; ","")&amp;IF(AND(BS802=0,BN802&lt;0),"negativer Bestand (Export "&amp;BN802&amp;"); ","")&amp;IF(J802&lt;=0,"Kein Verbrauch; ","")&amp;IF(CL802&gt;0,"Lift "&amp;W802&amp;" lt. Liftbericht (Fach "&amp;X802&amp;" Stk); ",IF(BX802=1,"Gebinde geschätzt ("&amp;T802&amp;"); ",IF(BW802=1,"Lose – Tablare geschätzt; ","")))&amp;IF(H802&gt;AT802,"Überbestand "&amp;ROUND(H802-AT802,0)&amp;" Stk / CHF "&amp;ROUND((H802-AT802)*G802,0)&amp;"; ","")&amp;IF(AND(CE802=1,CF802&lt;CG802),"MAX &lt; MB+LG; ","")&amp;IF(AND(CK802&gt;0,CJ802*10&gt;CK802),"zu hoch für Tablar; ","")&amp;IF(AND(BS802=0,OR(CE802=1,AA802&lt;&gt;"",U802&lt;&gt;"",V802&lt;&gt;"",AB802&lt;&gt;"")),"manuell übersteuert; ","")&amp;IF(AND(BW802=0,R802=0),"Gebinde unbekannt / Stellmass fehlt; ","")&amp;IF(AND(BW802=0,N(V802)&lt;=0,N(Q802)&lt;=0),"Menge pro Gebinde fehlt (Ist = 1 Gebinde); ","")&amp;BR802)</f>
        <v>negativer Bestand (Export -10); Kein Verbrauch; Gebinde geschätzt (Klein); Menge pro Gebinde fehlt (Ist = 1 Gebinde); Überbestand</v>
      </c>
      <c r="BK802" s="48"/>
      <c r="BL802" s="48"/>
      <c r="BM802" s="55"/>
      <c r="BN802" s="50" t="n">
        <v>-10</v>
      </c>
      <c r="BO802" s="50" t="n">
        <v>10</v>
      </c>
      <c r="BP802" s="49" t="n">
        <v>-5</v>
      </c>
      <c r="BQ802" s="50" t="n">
        <v>0</v>
      </c>
      <c r="BR802" s="48" t="s">
        <v>396</v>
      </c>
      <c r="BS802" s="53" t="n">
        <v>0</v>
      </c>
      <c r="BT802" s="53" t="n">
        <v>802</v>
      </c>
      <c r="BU802" s="48" t="str">
        <f aca="false">IF(U802&lt;&gt;"",UPPER(TRIM(U802)),IF(BX802=1,UPPER(VLOOKUP(T802,Parameter!$I$27:$K$29,2,0)),IF(P802="","LOSE",P802)))</f>
        <v>S51</v>
      </c>
      <c r="BV802" s="50" t="n">
        <f aca="false">IF(BU802="LOSE",1,IF(N(V802)&gt;0,V802,IF(BX802=1,MAX(1,N(VLOOKUP(T802,Parameter!$I$27:$K$29,3,0)),H802,N(N802)),IF(N(Q802)&gt;0,Q802,MAX(1,H802)))))</f>
        <v>20</v>
      </c>
      <c r="BW802" s="53" t="n">
        <f aca="false">IF(BU802="LOSE",1,0)</f>
        <v>0</v>
      </c>
      <c r="BX802" s="53" t="n">
        <f aca="false">IF(AND(U802="",OR(P802="",P802="LOSE"),T802&lt;&gt;"",N(S802)&lt;=0,ISNUMBER(MATCH(T802,Parameter!$I$27:$I$29,0))),1,0)</f>
        <v>1</v>
      </c>
      <c r="BY802" s="53" t="n">
        <f aca="false">IF(CL802&gt;0,INDEX(Parameter!$H$5:$H$7,W802)/INDEX(Parameter!$E$5:$E$7,W802),IF(AND(BW802=0,N(IFERROR(VLOOKUP(BU802,'Gebinde-Kategorie'!$A$5:$N$45,14,0),0))&gt;0),VLOOKUP(BU802,'Gebinde-Kategorie'!$A$5:$N$45,14,0)*10+Parameter!$M$23,Parameter!$M$24))</f>
        <v>155</v>
      </c>
      <c r="BZ802" s="48" t="str">
        <f aca="false">IF(AND(Parameter!$B$19="Ja",E802&lt;&gt;"",ISNUMBER(MATCH(E802,Parameter!$I$35:$I$52,0))),VLOOKUP(E802,Parameter!$I$35:$J$52,2,0),IFERROR(VLOOKUP(D802,Parameter!$A$35:$C$64,2,0),"Nein"))</f>
        <v>2+3</v>
      </c>
      <c r="CA802" s="52" t="n">
        <f aca="false">IF(BW802=0,0,IF(N(S802)&gt;0,S802,IFERROR(VLOOKUP(D802,Parameter!$A$35:$C$64,3,0)+0,0)))</f>
        <v>0</v>
      </c>
      <c r="CB802" s="48" t="n">
        <f aca="false">IF(AA802&lt;&gt;"",AA802,Z802)</f>
        <v>3</v>
      </c>
      <c r="CC802" s="48" t="str">
        <f aca="false">IF(OR(CB802=1,CB802=2,CB802=3),IF(Parameter!$E$27="Ja","LIFT",IF(CB802=1,"L1","L23")),IF(CB802="Aussen","Aussen","-"))</f>
        <v>LIFT</v>
      </c>
      <c r="CD802" s="59" t="n">
        <f aca="false">IF(N(AB802)&gt;0,AB802,0)</f>
        <v>0</v>
      </c>
      <c r="CE802" s="53" t="n">
        <f aca="false">IF(ISNUMBER(AE802),1,0)</f>
        <v>0</v>
      </c>
      <c r="CF802" s="50" t="n">
        <f aca="false">N(AE802)</f>
        <v>0</v>
      </c>
      <c r="CG802" s="50" t="n">
        <f aca="false">N(M802)+N(N802)</f>
        <v>1</v>
      </c>
      <c r="CH802" s="50" t="n">
        <f aca="false">ROUNDUP(H802/BV802,0)</f>
        <v>0</v>
      </c>
      <c r="CI802" s="50" t="n">
        <f aca="false">ROUNDUP(CF802/BV802,0)</f>
        <v>0</v>
      </c>
      <c r="CJ802" s="53" t="n">
        <f aca="false">IF(BW802=1,0,IFERROR(VLOOKUP(BU802,'Gebinde-Kategorie'!$A$5:$N$45,5,0)+0,0))</f>
        <v>11</v>
      </c>
      <c r="CK802" s="53" t="n">
        <f aca="false">IFERROR(IF(OR(CB802=1,CB802=2,CB802=3),N(INDEX(Parameter!$I$5:$I$7,CB802)),0),0)</f>
        <v>0</v>
      </c>
      <c r="CL802" s="52" t="n">
        <f aca="false">IF(AND(Parameter!$B$21="Ja",ISNUMBER(W802),N(X802)&gt;0),IFERROR(N(INDEX(Parameter!$L$5:$L$7,W802))*INDEX(Parameter!$E$5:$E$7,W802)*X802/SUMIFS($X$7:$X$1843,$W$7:$W$1843,W802),0),0)</f>
        <v>0</v>
      </c>
    </row>
    <row r="803" customFormat="false" ht="15" hidden="false" customHeight="false" outlineLevel="0" collapsed="false">
      <c r="A803" s="48" t="s">
        <v>1564</v>
      </c>
      <c r="B803" s="48" t="s">
        <v>1266</v>
      </c>
      <c r="C803" s="48" t="s">
        <v>168</v>
      </c>
      <c r="D803" s="48" t="s">
        <v>188</v>
      </c>
      <c r="E803" s="48" t="s">
        <v>189</v>
      </c>
      <c r="F803" s="48" t="s">
        <v>222</v>
      </c>
      <c r="G803" s="49" t="n">
        <v>0.05</v>
      </c>
      <c r="H803" s="50" t="n">
        <f aca="false">MAX(0,IF(AND(Parameter!$B$21="Ja",ISNUMBER(Y803)),Y803,IF(Parameter!$B$20="Jahresanfang 2025 + Export",BO803+BN803,BN803)))</f>
        <v>0</v>
      </c>
      <c r="I803" s="50" t="n">
        <f aca="false">H803*G803</f>
        <v>0</v>
      </c>
      <c r="J803" s="50" t="n">
        <f aca="false">BQ803*Parameter!$B$18</f>
        <v>0</v>
      </c>
      <c r="K803" s="51" t="n">
        <v>51.5</v>
      </c>
      <c r="L803" s="52" t="n">
        <v>0</v>
      </c>
      <c r="M803" s="50" t="n">
        <v>0</v>
      </c>
      <c r="N803" s="50" t="n">
        <v>1</v>
      </c>
      <c r="O803" s="53" t="n">
        <v>14</v>
      </c>
      <c r="P803" s="48" t="s">
        <v>405</v>
      </c>
      <c r="Q803" s="50" t="n">
        <v>103</v>
      </c>
      <c r="R803" s="53" t="n">
        <f aca="false">IF(BW803=1,0,IFERROR(VLOOKUP(BU803,'Gebinde-Kategorie'!$A$5:$N$45,13,0)+0,0))</f>
        <v>280</v>
      </c>
      <c r="S803" s="54"/>
      <c r="T803" s="55"/>
      <c r="U803" s="55"/>
      <c r="V803" s="55"/>
      <c r="W803" s="48"/>
      <c r="X803" s="50"/>
      <c r="Y803" s="50"/>
      <c r="Z803" s="48" t="n">
        <f aca="false">IF(A803="","",IF(AND(Parameter!$B$21="Ja",ISNUMBER(W803)),W803,IF(BZ803="2+3",IF(ISNUMBER(SEARCH("grosser Artikel",BR803)),2,IFERROR(VLOOKUP(BU803,Parameter!$F$35:$G$64,2,0),2)),IF(OR(BZ803="Nein",BZ803=""),"-",BZ803))))</f>
        <v>3</v>
      </c>
      <c r="AA803" s="55"/>
      <c r="AB803" s="56"/>
      <c r="AC803" s="50" t="n">
        <f aca="false">AT803</f>
        <v>103</v>
      </c>
      <c r="AD803" s="50" t="n">
        <f aca="false">MAX(AT803,H803)</f>
        <v>103</v>
      </c>
      <c r="AE803" s="57"/>
      <c r="AF803" s="50" t="n">
        <f aca="false">IF(LEFT(Cockpit!$C$5,1)="A",H803,IF(CE803=1,CF803,IF(LEFT(Cockpit!$C$5,1)="B",AK803,MAX(AK803,H803))))</f>
        <v>0</v>
      </c>
      <c r="AG803" s="50" t="n">
        <f aca="false">IF(BW803=1,0,ROUNDUP(AF803/BV803,0))</f>
        <v>0</v>
      </c>
      <c r="AH803" s="52" t="n">
        <f aca="false">IF(CL803&gt;0,CL803*MAX(1,AF803/X803),IF(BW803=1,IF(AF803&lt;=0,0,CA803*MAX(1,IF(H803&gt;0,AF803/H803,1))),IF(R803&gt;0,AG803/R803,0))/MAX(0.1,N(Parameter!$M$21)))</f>
        <v>0</v>
      </c>
      <c r="AI803" s="50" t="n">
        <f aca="false">AH803*BY803</f>
        <v>0</v>
      </c>
      <c r="AJ803" s="50" t="n">
        <f aca="false">AF803*G803</f>
        <v>0</v>
      </c>
      <c r="AK803" s="50" t="n">
        <f aca="false">ROUNDUP(MAX(J803/IF(CD803&gt;0,CD803,MAX(0.1,N(Cockpit!$C$6))),CG803)/BV803,0)*BV803</f>
        <v>103</v>
      </c>
      <c r="AL803" s="51" t="n">
        <f aca="false">IF(AI803&gt;0,J803/AI803,-1)</f>
        <v>-1</v>
      </c>
      <c r="AM803" s="51" t="str">
        <f aca="false">IF(AND(OR(CC803="L1",CC803="L23",CC803="LIFT"),AI803&gt;0),SUMIFS($AI$7:$AI$1843,$CC$7:$CC$1843,CC803,$AL$7:$AL$1843,"&gt;"&amp;AL803)+SUMIFS($AI$7:$AI$1843,$CC$7:$CC$1843,CC803,$AL$7:$AL$1843,AL803,$BT$7:$BT$1843,"&lt;="&amp;BT803),"")</f>
        <v/>
      </c>
      <c r="AN803" s="58" t="n">
        <f aca="false">IF(AM803="",0,MAX(0,MIN(1,(IF(CC803="L1",Parameter!$H$5,IF(CC803="L23",Parameter!$H$6+Parameter!$H$7,Parameter!$H$5+Parameter!$H$6+Parameter!$H$7))-(AM803-AI803))/AI803)))</f>
        <v>0</v>
      </c>
      <c r="AO803" s="50" t="n">
        <f aca="false">IF(LEFT(Cockpit!$I$5,1)="A",H803,IF(CE803=1,CF803,IF(LEFT(Cockpit!$I$5,1)="B",AT803,MAX(AT803,H803))))</f>
        <v>103</v>
      </c>
      <c r="AP803" s="50" t="n">
        <f aca="false">IF(BW803=1,0,ROUNDUP(AO803/BV803,0))</f>
        <v>1</v>
      </c>
      <c r="AQ803" s="52" t="n">
        <f aca="false">IF(CL803&gt;0,CL803*MAX(1,AO803/X803),IF(BW803=1,IF(AO803&lt;=0,0,CA803*MAX(1,IF(H803&gt;0,AO803/H803,1))),IF(R803&gt;0,AP803/R803,0))/MAX(0.1,N(Parameter!$M$21)))</f>
        <v>0.00357142857142857</v>
      </c>
      <c r="AR803" s="50" t="n">
        <f aca="false">AQ803*BY803</f>
        <v>0.553571428571429</v>
      </c>
      <c r="AS803" s="50" t="n">
        <f aca="false">AO803*G803</f>
        <v>5.15</v>
      </c>
      <c r="AT803" s="50" t="n">
        <f aca="false">ROUNDUP(MAX(J803/IF(CD803&gt;0,CD803,MAX(0.1,N(Cockpit!$I$6))),CG803)/BV803,0)*BV803</f>
        <v>103</v>
      </c>
      <c r="AU803" s="51" t="n">
        <f aca="false">IF(AR803&gt;0,J803/AR803,-1)</f>
        <v>0</v>
      </c>
      <c r="AV803" s="51" t="n">
        <f aca="false">IF(AND(OR(CC803="L1",CC803="L23",CC803="LIFT"),AR803&gt;0),SUMIFS($AR$7:$AR$1843,$CC$7:$CC$1843,CC803,$AU$7:$AU$1843,"&gt;"&amp;AU803)+SUMIFS($AR$7:$AR$1843,$CC$7:$CC$1843,CC803,$AU$7:$AU$1843,AU803,$BT$7:$BT$1843,"&lt;="&amp;BT803),"")</f>
        <v>40342.9427733284</v>
      </c>
      <c r="AW803" s="58" t="n">
        <f aca="false">IF(AV803="",0,MAX(0,MIN(1,(IF(CC803="L1",Parameter!$H$5,IF(CC803="L23",Parameter!$H$6+Parameter!$H$7,Parameter!$H$5+Parameter!$H$6+Parameter!$H$7))-(AV803-AR803))/AR803)))</f>
        <v>0</v>
      </c>
      <c r="AX803" s="50" t="n">
        <f aca="false">IF(LEFT(Cockpit!$O$5,1)="A",H803,IF(CE803=1,CF803,IF(LEFT(Cockpit!$O$5,1)="B",BC803,MAX(BC803,H803))))</f>
        <v>103</v>
      </c>
      <c r="AY803" s="50" t="n">
        <f aca="false">IF(BW803=1,0,ROUNDUP(AX803/BV803,0))</f>
        <v>1</v>
      </c>
      <c r="AZ803" s="52" t="n">
        <f aca="false">IF(CL803&gt;0,CL803*MAX(1,AX803/X803),IF(BW803=1,IF(AX803&lt;=0,0,CA803*MAX(1,IF(H803&gt;0,AX803/H803,1))),IF(R803&gt;0,AY803/R803,0))/MAX(0.1,N(Parameter!$M$21)))</f>
        <v>0.00357142857142857</v>
      </c>
      <c r="BA803" s="50" t="n">
        <f aca="false">AZ803*BY803</f>
        <v>0.553571428571429</v>
      </c>
      <c r="BB803" s="50" t="n">
        <f aca="false">AX803*G803</f>
        <v>5.15</v>
      </c>
      <c r="BC803" s="50" t="n">
        <f aca="false">ROUNDUP(MAX(J803/IF(CD803&gt;0,CD803,MAX(0.1,N(Cockpit!$O$6))),CG803)/BV803,0)*BV803</f>
        <v>103</v>
      </c>
      <c r="BD803" s="51" t="n">
        <f aca="false">IF(BA803&gt;0,J803/BA803,-1)</f>
        <v>0</v>
      </c>
      <c r="BE803" s="51" t="n">
        <f aca="false">IF(AND(OR(CC803="L1",CC803="L23",CC803="LIFT"),BA803&gt;0),SUMIFS($BA$7:$BA$1843,$CC$7:$CC$1843,CC803,$BD$7:$BD$1843,"&gt;"&amp;BD803)+SUMIFS($BA$7:$BA$1843,$CC$7:$CC$1843,CC803,$BD$7:$BD$1843,BD803,$BT$7:$BT$1843,"&lt;="&amp;BT803),"")</f>
        <v>37017.9548151942</v>
      </c>
      <c r="BF803" s="58" t="n">
        <f aca="false">IF(BE803="",0,MAX(0,MIN(1,(IF(CC803="L1",Parameter!$H$5,IF(CC803="L23",Parameter!$H$6+Parameter!$H$7,Parameter!$H$5+Parameter!$H$6+Parameter!$H$7))-(BE803-BA803))/BA803)))</f>
        <v>0</v>
      </c>
      <c r="BG803" s="48" t="str">
        <f aca="false">IF(AI803&lt;=0,"",IF(CC803="Aussen","Aussenlager",IF(CC803="-","Nicht im Lift",IF(AN803&gt;=1,"Lift",IF(AN803&lt;=0,"Aussenlager","teilweise")))))</f>
        <v/>
      </c>
      <c r="BH803" s="48" t="str">
        <f aca="false">IF(AR803&lt;=0,"",IF(CC803="Aussen","Aussenlager",IF(CC803="-","Nicht im Lift",IF(AW803&gt;=1,"Lift",IF(AW803&lt;=0,"Aussenlager","teilweise")))))</f>
        <v>Aussenlager</v>
      </c>
      <c r="BI803" s="48" t="str">
        <f aca="false">IF(BA803&lt;=0,"",IF(CC803="Aussen","Aussenlager",IF(CC803="-","Nicht im Lift",IF(BF803&gt;=1,"Lift",IF(BF803&lt;=0,"Aussenlager","teilweise")))))</f>
        <v>Aussenlager</v>
      </c>
      <c r="BJ803" s="48" t="str">
        <f aca="false">IF(A803="","",IF(BS803=1,"Neu; ","")&amp;IF(AND(BS803=0,BN803&lt;0),"negativer Bestand (Export "&amp;BN803&amp;"); ","")&amp;IF(J803&lt;=0,"Kein Verbrauch; ","")&amp;IF(CL803&gt;0,"Lift "&amp;W803&amp;" lt. Liftbericht (Fach "&amp;X803&amp;" Stk); ",IF(BX803=1,"Gebinde geschätzt ("&amp;T803&amp;"); ",IF(BW803=1,"Lose – Tablare geschätzt; ","")))&amp;IF(H803&gt;AT803,"Überbestand "&amp;ROUND(H803-AT803,0)&amp;" Stk / CHF "&amp;ROUND((H803-AT803)*G803,0)&amp;"; ","")&amp;IF(AND(CE803=1,CF803&lt;CG803),"MAX &lt; MB+LG; ","")&amp;IF(AND(CK803&gt;0,CJ803*10&gt;CK803),"zu hoch für Tablar; ","")&amp;IF(AND(BS803=0,OR(CE803=1,AA803&lt;&gt;"",U803&lt;&gt;"",V803&lt;&gt;"",AB803&lt;&gt;"")),"manuell übersteuert; ","")&amp;IF(AND(BW803=0,R803=0),"Gebinde unbekannt / Stellmass fehlt; ","")&amp;IF(AND(BW803=0,N(V803)&lt;=0,N(Q803)&lt;=0),"Menge pro Gebinde fehlt (Ist = 1 Gebinde); ","")&amp;BR803)</f>
        <v>negativer Bestand (Export -103); Kein Verbrauch; Neu</v>
      </c>
      <c r="BK803" s="48"/>
      <c r="BL803" s="48"/>
      <c r="BM803" s="55"/>
      <c r="BN803" s="50" t="n">
        <v>-103</v>
      </c>
      <c r="BO803" s="50" t="n">
        <v>103</v>
      </c>
      <c r="BP803" s="49" t="n">
        <v>-5.15</v>
      </c>
      <c r="BQ803" s="50" t="n">
        <v>0</v>
      </c>
      <c r="BR803" s="48" t="s">
        <v>630</v>
      </c>
      <c r="BS803" s="53" t="n">
        <v>0</v>
      </c>
      <c r="BT803" s="53" t="n">
        <v>803</v>
      </c>
      <c r="BU803" s="48" t="str">
        <f aca="false">IF(U803&lt;&gt;"",UPPER(TRIM(U803)),IF(BX803=1,UPPER(VLOOKUP(T803,Parameter!$I$27:$K$29,2,0)),IF(P803="","LOSE",P803)))</f>
        <v>S21</v>
      </c>
      <c r="BV803" s="50" t="n">
        <f aca="false">IF(BU803="LOSE",1,IF(N(V803)&gt;0,V803,IF(BX803=1,MAX(1,N(VLOOKUP(T803,Parameter!$I$27:$K$29,3,0)),H803,N(N803)),IF(N(Q803)&gt;0,Q803,MAX(1,H803)))))</f>
        <v>103</v>
      </c>
      <c r="BW803" s="53" t="n">
        <f aca="false">IF(BU803="LOSE",1,0)</f>
        <v>0</v>
      </c>
      <c r="BX803" s="53" t="n">
        <f aca="false">IF(AND(U803="",OR(P803="",P803="LOSE"),T803&lt;&gt;"",N(S803)&lt;=0,ISNUMBER(MATCH(T803,Parameter!$I$27:$I$29,0))),1,0)</f>
        <v>0</v>
      </c>
      <c r="BY803" s="53" t="n">
        <f aca="false">IF(CL803&gt;0,INDEX(Parameter!$H$5:$H$7,W803)/INDEX(Parameter!$E$5:$E$7,W803),IF(AND(BW803=0,N(IFERROR(VLOOKUP(BU803,'Gebinde-Kategorie'!$A$5:$N$45,14,0),0))&gt;0),VLOOKUP(BU803,'Gebinde-Kategorie'!$A$5:$N$45,14,0)*10+Parameter!$M$23,Parameter!$M$24))</f>
        <v>155</v>
      </c>
      <c r="BZ803" s="48" t="str">
        <f aca="false">IF(AND(Parameter!$B$19="Ja",E803&lt;&gt;"",ISNUMBER(MATCH(E803,Parameter!$I$35:$I$52,0))),VLOOKUP(E803,Parameter!$I$35:$J$52,2,0),IFERROR(VLOOKUP(D803,Parameter!$A$35:$C$64,2,0),"Nein"))</f>
        <v>2+3</v>
      </c>
      <c r="CA803" s="52" t="n">
        <f aca="false">IF(BW803=0,0,IF(N(S803)&gt;0,S803,IFERROR(VLOOKUP(D803,Parameter!$A$35:$C$64,3,0)+0,0)))</f>
        <v>0</v>
      </c>
      <c r="CB803" s="48" t="n">
        <f aca="false">IF(AA803&lt;&gt;"",AA803,Z803)</f>
        <v>3</v>
      </c>
      <c r="CC803" s="48" t="str">
        <f aca="false">IF(OR(CB803=1,CB803=2,CB803=3),IF(Parameter!$E$27="Ja","LIFT",IF(CB803=1,"L1","L23")),IF(CB803="Aussen","Aussen","-"))</f>
        <v>LIFT</v>
      </c>
      <c r="CD803" s="59" t="n">
        <f aca="false">IF(N(AB803)&gt;0,AB803,0)</f>
        <v>0</v>
      </c>
      <c r="CE803" s="53" t="n">
        <f aca="false">IF(ISNUMBER(AE803),1,0)</f>
        <v>0</v>
      </c>
      <c r="CF803" s="50" t="n">
        <f aca="false">N(AE803)</f>
        <v>0</v>
      </c>
      <c r="CG803" s="50" t="n">
        <f aca="false">N(M803)+N(N803)</f>
        <v>1</v>
      </c>
      <c r="CH803" s="50" t="n">
        <f aca="false">ROUNDUP(H803/BV803,0)</f>
        <v>0</v>
      </c>
      <c r="CI803" s="50" t="n">
        <f aca="false">ROUNDUP(CF803/BV803,0)</f>
        <v>0</v>
      </c>
      <c r="CJ803" s="53" t="n">
        <f aca="false">IF(BW803=1,0,IFERROR(VLOOKUP(BU803,'Gebinde-Kategorie'!$A$5:$N$45,5,0)+0,0))</f>
        <v>8</v>
      </c>
      <c r="CK803" s="53" t="n">
        <f aca="false">IFERROR(IF(OR(CB803=1,CB803=2,CB803=3),N(INDEX(Parameter!$I$5:$I$7,CB803)),0),0)</f>
        <v>0</v>
      </c>
      <c r="CL803" s="52" t="n">
        <f aca="false">IF(AND(Parameter!$B$21="Ja",ISNUMBER(W803),N(X803)&gt;0),IFERROR(N(INDEX(Parameter!$L$5:$L$7,W803))*INDEX(Parameter!$E$5:$E$7,W803)*X803/SUMIFS($X$7:$X$1843,$W$7:$W$1843,W803),0),0)</f>
        <v>0</v>
      </c>
    </row>
    <row r="804" customFormat="false" ht="15" hidden="false" customHeight="false" outlineLevel="0" collapsed="false">
      <c r="A804" s="48" t="s">
        <v>1565</v>
      </c>
      <c r="B804" s="48" t="s">
        <v>409</v>
      </c>
      <c r="C804" s="48" t="s">
        <v>168</v>
      </c>
      <c r="D804" s="48" t="s">
        <v>188</v>
      </c>
      <c r="E804" s="48" t="s">
        <v>189</v>
      </c>
      <c r="F804" s="48" t="s">
        <v>222</v>
      </c>
      <c r="G804" s="49" t="n">
        <v>0.04</v>
      </c>
      <c r="H804" s="50" t="n">
        <f aca="false">MAX(0,IF(AND(Parameter!$B$21="Ja",ISNUMBER(Y804)),Y804,IF(Parameter!$B$20="Jahresanfang 2025 + Export",BO804+BN804,BN804)))</f>
        <v>382</v>
      </c>
      <c r="I804" s="50" t="n">
        <f aca="false">H804*G804</f>
        <v>15.28</v>
      </c>
      <c r="J804" s="50" t="n">
        <f aca="false">BQ804*Parameter!$B$18</f>
        <v>112</v>
      </c>
      <c r="K804" s="51" t="n">
        <v>454.5</v>
      </c>
      <c r="L804" s="52" t="n">
        <v>0.246424642464246</v>
      </c>
      <c r="M804" s="50" t="n">
        <v>6</v>
      </c>
      <c r="N804" s="50" t="n">
        <v>110</v>
      </c>
      <c r="O804" s="53" t="n">
        <v>21</v>
      </c>
      <c r="P804" s="48" t="s">
        <v>430</v>
      </c>
      <c r="Q804" s="50" t="n">
        <v>589</v>
      </c>
      <c r="R804" s="53" t="n">
        <f aca="false">IF(BW804=1,0,IFERROR(VLOOKUP(BU804,'Gebinde-Kategorie'!$A$5:$N$45,13,0)+0,0))</f>
        <v>140</v>
      </c>
      <c r="S804" s="54"/>
      <c r="T804" s="55"/>
      <c r="U804" s="55"/>
      <c r="V804" s="55"/>
      <c r="W804" s="48"/>
      <c r="X804" s="50"/>
      <c r="Y804" s="50"/>
      <c r="Z804" s="48" t="n">
        <f aca="false">IF(A804="","",IF(AND(Parameter!$B$21="Ja",ISNUMBER(W804)),W804,IF(BZ804="2+3",IF(ISNUMBER(SEARCH("grosser Artikel",BR804)),2,IFERROR(VLOOKUP(BU804,Parameter!$F$35:$G$64,2,0),2)),IF(OR(BZ804="Nein",BZ804=""),"-",BZ804))))</f>
        <v>3</v>
      </c>
      <c r="AA804" s="55"/>
      <c r="AB804" s="56"/>
      <c r="AC804" s="50" t="n">
        <f aca="false">AT804</f>
        <v>589</v>
      </c>
      <c r="AD804" s="50" t="n">
        <f aca="false">MAX(AT804,H804)</f>
        <v>589</v>
      </c>
      <c r="AE804" s="57"/>
      <c r="AF804" s="50" t="n">
        <f aca="false">IF(LEFT(Cockpit!$C$5,1)="A",H804,IF(CE804=1,CF804,IF(LEFT(Cockpit!$C$5,1)="B",AK804,MAX(AK804,H804))))</f>
        <v>382</v>
      </c>
      <c r="AG804" s="50" t="n">
        <f aca="false">IF(BW804=1,0,ROUNDUP(AF804/BV804,0))</f>
        <v>1</v>
      </c>
      <c r="AH804" s="52" t="n">
        <f aca="false">IF(CL804&gt;0,CL804*MAX(1,AF804/X804),IF(BW804=1,IF(AF804&lt;=0,0,CA804*MAX(1,IF(H804&gt;0,AF804/H804,1))),IF(R804&gt;0,AG804/R804,0))/MAX(0.1,N(Parameter!$M$21)))</f>
        <v>0.00714285714285714</v>
      </c>
      <c r="AI804" s="50" t="n">
        <f aca="false">AH804*BY804</f>
        <v>1.10714285714286</v>
      </c>
      <c r="AJ804" s="50" t="n">
        <f aca="false">AF804*G804</f>
        <v>15.28</v>
      </c>
      <c r="AK804" s="50" t="n">
        <f aca="false">ROUNDUP(MAX(J804/IF(CD804&gt;0,CD804,MAX(0.1,N(Cockpit!$C$6))),CG804)/BV804,0)*BV804</f>
        <v>589</v>
      </c>
      <c r="AL804" s="51" t="n">
        <f aca="false">IF(AI804&gt;0,J804/AI804,-1)</f>
        <v>101.161290322581</v>
      </c>
      <c r="AM804" s="51" t="n">
        <f aca="false">IF(AND(OR(CC804="L1",CC804="L23",CC804="LIFT"),AI804&gt;0),SUMIFS($AI$7:$AI$1843,$CC$7:$CC$1843,CC804,$AL$7:$AL$1843,"&gt;"&amp;AL804)+SUMIFS($AI$7:$AI$1843,$CC$7:$CC$1843,CC804,$AL$7:$AL$1843,AL804,$BT$7:$BT$1843,"&lt;="&amp;BT804),"")</f>
        <v>758.480311355311</v>
      </c>
      <c r="AN804" s="58" t="n">
        <f aca="false">IF(AM804="",0,MAX(0,MIN(1,(IF(CC804="L1",Parameter!$H$5,IF(CC804="L23",Parameter!$H$6+Parameter!$H$7,Parameter!$H$5+Parameter!$H$6+Parameter!$H$7))-(AM804-AI804))/AI804)))</f>
        <v>1</v>
      </c>
      <c r="AO804" s="50" t="n">
        <f aca="false">IF(LEFT(Cockpit!$I$5,1)="A",H804,IF(CE804=1,CF804,IF(LEFT(Cockpit!$I$5,1)="B",AT804,MAX(AT804,H804))))</f>
        <v>589</v>
      </c>
      <c r="AP804" s="50" t="n">
        <f aca="false">IF(BW804=1,0,ROUNDUP(AO804/BV804,0))</f>
        <v>1</v>
      </c>
      <c r="AQ804" s="52" t="n">
        <f aca="false">IF(CL804&gt;0,CL804*MAX(1,AO804/X804),IF(BW804=1,IF(AO804&lt;=0,0,CA804*MAX(1,IF(H804&gt;0,AO804/H804,1))),IF(R804&gt;0,AP804/R804,0))/MAX(0.1,N(Parameter!$M$21)))</f>
        <v>0.00714285714285714</v>
      </c>
      <c r="AR804" s="50" t="n">
        <f aca="false">AQ804*BY804</f>
        <v>1.10714285714286</v>
      </c>
      <c r="AS804" s="50" t="n">
        <f aca="false">AO804*G804</f>
        <v>23.56</v>
      </c>
      <c r="AT804" s="50" t="n">
        <f aca="false">ROUNDUP(MAX(J804/IF(CD804&gt;0,CD804,MAX(0.1,N(Cockpit!$I$6))),CG804)/BV804,0)*BV804</f>
        <v>589</v>
      </c>
      <c r="AU804" s="51" t="n">
        <f aca="false">IF(AR804&gt;0,J804/AR804,-1)</f>
        <v>101.161290322581</v>
      </c>
      <c r="AV804" s="51" t="n">
        <f aca="false">IF(AND(OR(CC804="L1",CC804="L23",CC804="LIFT"),AR804&gt;0),SUMIFS($AR$7:$AR$1843,$CC$7:$CC$1843,CC804,$AU$7:$AU$1843,"&gt;"&amp;AU804)+SUMIFS($AR$7:$AR$1843,$CC$7:$CC$1843,CC804,$AU$7:$AU$1843,AU804,$BT$7:$BT$1843,"&lt;="&amp;BT804),"")</f>
        <v>910.158424908425</v>
      </c>
      <c r="AW804" s="58" t="n">
        <f aca="false">IF(AV804="",0,MAX(0,MIN(1,(IF(CC804="L1",Parameter!$H$5,IF(CC804="L23",Parameter!$H$6+Parameter!$H$7,Parameter!$H$5+Parameter!$H$6+Parameter!$H$7))-(AV804-AR804))/AR804)))</f>
        <v>1</v>
      </c>
      <c r="AX804" s="50" t="n">
        <f aca="false">IF(LEFT(Cockpit!$O$5,1)="A",H804,IF(CE804=1,CF804,IF(LEFT(Cockpit!$O$5,1)="B",BC804,MAX(BC804,H804))))</f>
        <v>589</v>
      </c>
      <c r="AY804" s="50" t="n">
        <f aca="false">IF(BW804=1,0,ROUNDUP(AX804/BV804,0))</f>
        <v>1</v>
      </c>
      <c r="AZ804" s="52" t="n">
        <f aca="false">IF(CL804&gt;0,CL804*MAX(1,AX804/X804),IF(BW804=1,IF(AX804&lt;=0,0,CA804*MAX(1,IF(H804&gt;0,AX804/H804,1))),IF(R804&gt;0,AY804/R804,0))/MAX(0.1,N(Parameter!$M$21)))</f>
        <v>0.00714285714285714</v>
      </c>
      <c r="BA804" s="50" t="n">
        <f aca="false">AZ804*BY804</f>
        <v>1.10714285714286</v>
      </c>
      <c r="BB804" s="50" t="n">
        <f aca="false">AX804*G804</f>
        <v>23.56</v>
      </c>
      <c r="BC804" s="50" t="n">
        <f aca="false">ROUNDUP(MAX(J804/IF(CD804&gt;0,CD804,MAX(0.1,N(Cockpit!$O$6))),CG804)/BV804,0)*BV804</f>
        <v>589</v>
      </c>
      <c r="BD804" s="51" t="n">
        <f aca="false">IF(BA804&gt;0,J804/BA804,-1)</f>
        <v>101.161290322581</v>
      </c>
      <c r="BE804" s="51" t="n">
        <f aca="false">IF(AND(OR(CC804="L1",CC804="L23",CC804="LIFT"),BA804&gt;0),SUMIFS($BA$7:$BA$1843,$CC$7:$CC$1843,CC804,$BD$7:$BD$1843,"&gt;"&amp;BD804)+SUMIFS($BA$7:$BA$1843,$CC$7:$CC$1843,CC804,$BD$7:$BD$1843,BD804,$BT$7:$BT$1843,"&lt;="&amp;BT804),"")</f>
        <v>838.732142857143</v>
      </c>
      <c r="BF804" s="58" t="n">
        <f aca="false">IF(BE804="",0,MAX(0,MIN(1,(IF(CC804="L1",Parameter!$H$5,IF(CC804="L23",Parameter!$H$6+Parameter!$H$7,Parameter!$H$5+Parameter!$H$6+Parameter!$H$7))-(BE804-BA804))/BA804)))</f>
        <v>1</v>
      </c>
      <c r="BG804" s="48" t="str">
        <f aca="false">IF(AI804&lt;=0,"",IF(CC804="Aussen","Aussenlager",IF(CC804="-","Nicht im Lift",IF(AN804&gt;=1,"Lift",IF(AN804&lt;=0,"Aussenlager","teilweise")))))</f>
        <v>Lift</v>
      </c>
      <c r="BH804" s="48" t="str">
        <f aca="false">IF(AR804&lt;=0,"",IF(CC804="Aussen","Aussenlager",IF(CC804="-","Nicht im Lift",IF(AW804&gt;=1,"Lift",IF(AW804&lt;=0,"Aussenlager","teilweise")))))</f>
        <v>Lift</v>
      </c>
      <c r="BI804" s="48" t="str">
        <f aca="false">IF(BA804&lt;=0,"",IF(CC804="Aussen","Aussenlager",IF(CC804="-","Nicht im Lift",IF(BF804&gt;=1,"Lift",IF(BF804&lt;=0,"Aussenlager","teilweise")))))</f>
        <v>Lift</v>
      </c>
      <c r="BJ804" s="48" t="str">
        <f aca="false">IF(A804="","",IF(BS804=1,"Neu; ","")&amp;IF(AND(BS804=0,BN804&lt;0),"negativer Bestand (Export "&amp;BN804&amp;"); ","")&amp;IF(J804&lt;=0,"Kein Verbrauch; ","")&amp;IF(CL804&gt;0,"Lift "&amp;W804&amp;" lt. Liftbericht (Fach "&amp;X804&amp;" Stk); ",IF(BX804=1,"Gebinde geschätzt ("&amp;T804&amp;"); ",IF(BW804=1,"Lose – Tablare geschätzt; ","")))&amp;IF(H804&gt;AT804,"Überbestand "&amp;ROUND(H804-AT804,0)&amp;" Stk / CHF "&amp;ROUND((H804-AT804)*G804,0)&amp;"; ","")&amp;IF(AND(CE804=1,CF804&lt;CG804),"MAX &lt; MB+LG; ","")&amp;IF(AND(CK804&gt;0,CJ804*10&gt;CK804),"zu hoch für Tablar; ","")&amp;IF(AND(BS804=0,OR(CE804=1,AA804&lt;&gt;"",U804&lt;&gt;"",V804&lt;&gt;"",AB804&lt;&gt;"")),"manuell übersteuert; ","")&amp;IF(AND(BW804=0,R804=0),"Gebinde unbekannt / Stellmass fehlt; ","")&amp;IF(AND(BW804=0,N(V804)&lt;=0,N(Q804)&lt;=0),"Menge pro Gebinde fehlt (Ist = 1 Gebinde); ","")&amp;BR804)</f>
        <v>negativer Bestand (Export -135); Überbestand</v>
      </c>
      <c r="BK804" s="48"/>
      <c r="BL804" s="48"/>
      <c r="BM804" s="55"/>
      <c r="BN804" s="50" t="n">
        <v>-135</v>
      </c>
      <c r="BO804" s="50" t="n">
        <v>517</v>
      </c>
      <c r="BP804" s="49" t="n">
        <v>-5.4</v>
      </c>
      <c r="BQ804" s="50" t="n">
        <v>112</v>
      </c>
      <c r="BR804" s="48" t="s">
        <v>396</v>
      </c>
      <c r="BS804" s="53" t="n">
        <v>0</v>
      </c>
      <c r="BT804" s="53" t="n">
        <v>804</v>
      </c>
      <c r="BU804" s="48" t="str">
        <f aca="false">IF(U804&lt;&gt;"",UPPER(TRIM(U804)),IF(BX804=1,UPPER(VLOOKUP(T804,Parameter!$I$27:$K$29,2,0)),IF(P804="","LOSE",P804)))</f>
        <v>S22</v>
      </c>
      <c r="BV804" s="50" t="n">
        <f aca="false">IF(BU804="LOSE",1,IF(N(V804)&gt;0,V804,IF(BX804=1,MAX(1,N(VLOOKUP(T804,Parameter!$I$27:$K$29,3,0)),H804,N(N804)),IF(N(Q804)&gt;0,Q804,MAX(1,H804)))))</f>
        <v>589</v>
      </c>
      <c r="BW804" s="53" t="n">
        <f aca="false">IF(BU804="LOSE",1,0)</f>
        <v>0</v>
      </c>
      <c r="BX804" s="53" t="n">
        <f aca="false">IF(AND(U804="",OR(P804="",P804="LOSE"),T804&lt;&gt;"",N(S804)&lt;=0,ISNUMBER(MATCH(T804,Parameter!$I$27:$I$29,0))),1,0)</f>
        <v>0</v>
      </c>
      <c r="BY804" s="53" t="n">
        <f aca="false">IF(CL804&gt;0,INDEX(Parameter!$H$5:$H$7,W804)/INDEX(Parameter!$E$5:$E$7,W804),IF(AND(BW804=0,N(IFERROR(VLOOKUP(BU804,'Gebinde-Kategorie'!$A$5:$N$45,14,0),0))&gt;0),VLOOKUP(BU804,'Gebinde-Kategorie'!$A$5:$N$45,14,0)*10+Parameter!$M$23,Parameter!$M$24))</f>
        <v>155</v>
      </c>
      <c r="BZ804" s="48" t="str">
        <f aca="false">IF(AND(Parameter!$B$19="Ja",E804&lt;&gt;"",ISNUMBER(MATCH(E804,Parameter!$I$35:$I$52,0))),VLOOKUP(E804,Parameter!$I$35:$J$52,2,0),IFERROR(VLOOKUP(D804,Parameter!$A$35:$C$64,2,0),"Nein"))</f>
        <v>2+3</v>
      </c>
      <c r="CA804" s="52" t="n">
        <f aca="false">IF(BW804=0,0,IF(N(S804)&gt;0,S804,IFERROR(VLOOKUP(D804,Parameter!$A$35:$C$64,3,0)+0,0)))</f>
        <v>0</v>
      </c>
      <c r="CB804" s="48" t="n">
        <f aca="false">IF(AA804&lt;&gt;"",AA804,Z804)</f>
        <v>3</v>
      </c>
      <c r="CC804" s="48" t="str">
        <f aca="false">IF(OR(CB804=1,CB804=2,CB804=3),IF(Parameter!$E$27="Ja","LIFT",IF(CB804=1,"L1","L23")),IF(CB804="Aussen","Aussen","-"))</f>
        <v>LIFT</v>
      </c>
      <c r="CD804" s="59" t="n">
        <f aca="false">IF(N(AB804)&gt;0,AB804,0)</f>
        <v>0</v>
      </c>
      <c r="CE804" s="53" t="n">
        <f aca="false">IF(ISNUMBER(AE804),1,0)</f>
        <v>0</v>
      </c>
      <c r="CF804" s="50" t="n">
        <f aca="false">N(AE804)</f>
        <v>0</v>
      </c>
      <c r="CG804" s="50" t="n">
        <f aca="false">N(M804)+N(N804)</f>
        <v>116</v>
      </c>
      <c r="CH804" s="50" t="n">
        <f aca="false">ROUNDUP(H804/BV804,0)</f>
        <v>1</v>
      </c>
      <c r="CI804" s="50" t="n">
        <f aca="false">ROUNDUP(CF804/BV804,0)</f>
        <v>0</v>
      </c>
      <c r="CJ804" s="53" t="n">
        <f aca="false">IF(BW804=1,0,IFERROR(VLOOKUP(BU804,'Gebinde-Kategorie'!$A$5:$N$45,5,0)+0,0))</f>
        <v>8</v>
      </c>
      <c r="CK804" s="53" t="n">
        <f aca="false">IFERROR(IF(OR(CB804=1,CB804=2,CB804=3),N(INDEX(Parameter!$I$5:$I$7,CB804)),0),0)</f>
        <v>0</v>
      </c>
      <c r="CL804" s="52" t="n">
        <f aca="false">IF(AND(Parameter!$B$21="Ja",ISNUMBER(W804),N(X804)&gt;0),IFERROR(N(INDEX(Parameter!$L$5:$L$7,W804))*INDEX(Parameter!$E$5:$E$7,W804)*X804/SUMIFS($X$7:$X$1843,$W$7:$W$1843,W804),0),0)</f>
        <v>0</v>
      </c>
    </row>
    <row r="805" customFormat="false" ht="15" hidden="false" customHeight="false" outlineLevel="0" collapsed="false">
      <c r="A805" s="48" t="s">
        <v>1566</v>
      </c>
      <c r="B805" s="48" t="s">
        <v>1237</v>
      </c>
      <c r="C805" s="48" t="s">
        <v>168</v>
      </c>
      <c r="D805" s="48" t="s">
        <v>188</v>
      </c>
      <c r="E805" s="48"/>
      <c r="F805" s="48" t="s">
        <v>222</v>
      </c>
      <c r="G805" s="49" t="n">
        <v>5.8</v>
      </c>
      <c r="H805" s="50" t="n">
        <f aca="false">MAX(0,IF(AND(Parameter!$B$21="Ja",ISNUMBER(Y805)),Y805,IF(Parameter!$B$20="Jahresanfang 2025 + Export",BO805+BN805,BN805)))</f>
        <v>3</v>
      </c>
      <c r="I805" s="50" t="n">
        <f aca="false">H805*G805</f>
        <v>17.4</v>
      </c>
      <c r="J805" s="50" t="n">
        <f aca="false">BQ805*Parameter!$B$18</f>
        <v>0</v>
      </c>
      <c r="K805" s="51" t="n">
        <v>4</v>
      </c>
      <c r="L805" s="52" t="n">
        <v>0</v>
      </c>
      <c r="M805" s="50" t="n">
        <v>0</v>
      </c>
      <c r="N805" s="50" t="n">
        <v>1</v>
      </c>
      <c r="O805" s="53" t="n">
        <v>14</v>
      </c>
      <c r="P805" s="48" t="s">
        <v>430</v>
      </c>
      <c r="Q805" s="50" t="n">
        <v>2</v>
      </c>
      <c r="R805" s="53" t="n">
        <f aca="false">IF(BW805=1,0,IFERROR(VLOOKUP(BU805,'Gebinde-Kategorie'!$A$5:$N$45,13,0)+0,0))</f>
        <v>140</v>
      </c>
      <c r="S805" s="54"/>
      <c r="T805" s="55"/>
      <c r="U805" s="55"/>
      <c r="V805" s="55"/>
      <c r="W805" s="48"/>
      <c r="X805" s="50"/>
      <c r="Y805" s="50"/>
      <c r="Z805" s="48" t="n">
        <f aca="false">IF(A805="","",IF(AND(Parameter!$B$21="Ja",ISNUMBER(W805)),W805,IF(BZ805="2+3",IF(ISNUMBER(SEARCH("grosser Artikel",BR805)),2,IFERROR(VLOOKUP(BU805,Parameter!$F$35:$G$64,2,0),2)),IF(OR(BZ805="Nein",BZ805=""),"-",BZ805))))</f>
        <v>3</v>
      </c>
      <c r="AA805" s="55"/>
      <c r="AB805" s="56"/>
      <c r="AC805" s="50" t="n">
        <f aca="false">AT805</f>
        <v>2</v>
      </c>
      <c r="AD805" s="50" t="n">
        <f aca="false">MAX(AT805,H805)</f>
        <v>3</v>
      </c>
      <c r="AE805" s="57"/>
      <c r="AF805" s="50" t="n">
        <f aca="false">IF(LEFT(Cockpit!$C$5,1)="A",H805,IF(CE805=1,CF805,IF(LEFT(Cockpit!$C$5,1)="B",AK805,MAX(AK805,H805))))</f>
        <v>3</v>
      </c>
      <c r="AG805" s="50" t="n">
        <f aca="false">IF(BW805=1,0,ROUNDUP(AF805/BV805,0))</f>
        <v>2</v>
      </c>
      <c r="AH805" s="52" t="n">
        <f aca="false">IF(CL805&gt;0,CL805*MAX(1,AF805/X805),IF(BW805=1,IF(AF805&lt;=0,0,CA805*MAX(1,IF(H805&gt;0,AF805/H805,1))),IF(R805&gt;0,AG805/R805,0))/MAX(0.1,N(Parameter!$M$21)))</f>
        <v>0.0142857142857143</v>
      </c>
      <c r="AI805" s="50" t="n">
        <f aca="false">AH805*BY805</f>
        <v>2.21428571428571</v>
      </c>
      <c r="AJ805" s="50" t="n">
        <f aca="false">AF805*G805</f>
        <v>17.4</v>
      </c>
      <c r="AK805" s="50" t="n">
        <f aca="false">ROUNDUP(MAX(J805/IF(CD805&gt;0,CD805,MAX(0.1,N(Cockpit!$C$6))),CG805)/BV805,0)*BV805</f>
        <v>2</v>
      </c>
      <c r="AL805" s="51" t="n">
        <f aca="false">IF(AI805&gt;0,J805/AI805,-1)</f>
        <v>0</v>
      </c>
      <c r="AM805" s="51" t="n">
        <f aca="false">IF(AND(OR(CC805="L1",CC805="L23",CC805="LIFT"),AI805&gt;0),SUMIFS($AI$7:$AI$1843,$CC$7:$CC$1843,CC805,$AL$7:$AL$1843,"&gt;"&amp;AL805)+SUMIFS($AI$7:$AI$1843,$CC$7:$CC$1843,CC805,$AL$7:$AL$1843,AL805,$BT$7:$BT$1843,"&lt;="&amp;BT805),"")</f>
        <v>28767.5867066079</v>
      </c>
      <c r="AN805" s="58" t="n">
        <f aca="false">IF(AM805="",0,MAX(0,MIN(1,(IF(CC805="L1",Parameter!$H$5,IF(CC805="L23",Parameter!$H$6+Parameter!$H$7,Parameter!$H$5+Parameter!$H$6+Parameter!$H$7))-(AM805-AI805))/AI805)))</f>
        <v>1</v>
      </c>
      <c r="AO805" s="50" t="n">
        <f aca="false">IF(LEFT(Cockpit!$I$5,1)="A",H805,IF(CE805=1,CF805,IF(LEFT(Cockpit!$I$5,1)="B",AT805,MAX(AT805,H805))))</f>
        <v>3</v>
      </c>
      <c r="AP805" s="50" t="n">
        <f aca="false">IF(BW805=1,0,ROUNDUP(AO805/BV805,0))</f>
        <v>2</v>
      </c>
      <c r="AQ805" s="52" t="n">
        <f aca="false">IF(CL805&gt;0,CL805*MAX(1,AO805/X805),IF(BW805=1,IF(AO805&lt;=0,0,CA805*MAX(1,IF(H805&gt;0,AO805/H805,1))),IF(R805&gt;0,AP805/R805,0))/MAX(0.1,N(Parameter!$M$21)))</f>
        <v>0.0142857142857143</v>
      </c>
      <c r="AR805" s="50" t="n">
        <f aca="false">AQ805*BY805</f>
        <v>2.21428571428571</v>
      </c>
      <c r="AS805" s="50" t="n">
        <f aca="false">AO805*G805</f>
        <v>17.4</v>
      </c>
      <c r="AT805" s="50" t="n">
        <f aca="false">ROUNDUP(MAX(J805/IF(CD805&gt;0,CD805,MAX(0.1,N(Cockpit!$I$6))),CG805)/BV805,0)*BV805</f>
        <v>2</v>
      </c>
      <c r="AU805" s="51" t="n">
        <f aca="false">IF(AR805&gt;0,J805/AR805,-1)</f>
        <v>0</v>
      </c>
      <c r="AV805" s="51" t="n">
        <f aca="false">IF(AND(OR(CC805="L1",CC805="L23",CC805="LIFT"),AR805&gt;0),SUMIFS($AR$7:$AR$1843,$CC$7:$CC$1843,CC805,$AU$7:$AU$1843,"&gt;"&amp;AU805)+SUMIFS($AR$7:$AR$1843,$CC$7:$CC$1843,CC805,$AU$7:$AU$1843,AU805,$BT$7:$BT$1843,"&lt;="&amp;BT805),"")</f>
        <v>40345.1570590427</v>
      </c>
      <c r="AW805" s="58" t="n">
        <f aca="false">IF(AV805="",0,MAX(0,MIN(1,(IF(CC805="L1",Parameter!$H$5,IF(CC805="L23",Parameter!$H$6+Parameter!$H$7,Parameter!$H$5+Parameter!$H$6+Parameter!$H$7))-(AV805-AR805))/AR805)))</f>
        <v>0</v>
      </c>
      <c r="AX805" s="50" t="n">
        <f aca="false">IF(LEFT(Cockpit!$O$5,1)="A",H805,IF(CE805=1,CF805,IF(LEFT(Cockpit!$O$5,1)="B",BC805,MAX(BC805,H805))))</f>
        <v>3</v>
      </c>
      <c r="AY805" s="50" t="n">
        <f aca="false">IF(BW805=1,0,ROUNDUP(AX805/BV805,0))</f>
        <v>2</v>
      </c>
      <c r="AZ805" s="52" t="n">
        <f aca="false">IF(CL805&gt;0,CL805*MAX(1,AX805/X805),IF(BW805=1,IF(AX805&lt;=0,0,CA805*MAX(1,IF(H805&gt;0,AX805/H805,1))),IF(R805&gt;0,AY805/R805,0))/MAX(0.1,N(Parameter!$M$21)))</f>
        <v>0.0142857142857143</v>
      </c>
      <c r="BA805" s="50" t="n">
        <f aca="false">AZ805*BY805</f>
        <v>2.21428571428571</v>
      </c>
      <c r="BB805" s="50" t="n">
        <f aca="false">AX805*G805</f>
        <v>17.4</v>
      </c>
      <c r="BC805" s="50" t="n">
        <f aca="false">ROUNDUP(MAX(J805/IF(CD805&gt;0,CD805,MAX(0.1,N(Cockpit!$O$6))),CG805)/BV805,0)*BV805</f>
        <v>2</v>
      </c>
      <c r="BD805" s="51" t="n">
        <f aca="false">IF(BA805&gt;0,J805/BA805,-1)</f>
        <v>0</v>
      </c>
      <c r="BE805" s="51" t="n">
        <f aca="false">IF(AND(OR(CC805="L1",CC805="L23",CC805="LIFT"),BA805&gt;0),SUMIFS($BA$7:$BA$1843,$CC$7:$CC$1843,CC805,$BD$7:$BD$1843,"&gt;"&amp;BD805)+SUMIFS($BA$7:$BA$1843,$CC$7:$CC$1843,CC805,$BD$7:$BD$1843,BD805,$BT$7:$BT$1843,"&lt;="&amp;BT805),"")</f>
        <v>37020.1691009085</v>
      </c>
      <c r="BF805" s="58" t="n">
        <f aca="false">IF(BE805="",0,MAX(0,MIN(1,(IF(CC805="L1",Parameter!$H$5,IF(CC805="L23",Parameter!$H$6+Parameter!$H$7,Parameter!$H$5+Parameter!$H$6+Parameter!$H$7))-(BE805-BA805))/BA805)))</f>
        <v>0</v>
      </c>
      <c r="BG805" s="48" t="str">
        <f aca="false">IF(AI805&lt;=0,"",IF(CC805="Aussen","Aussenlager",IF(CC805="-","Nicht im Lift",IF(AN805&gt;=1,"Lift",IF(AN805&lt;=0,"Aussenlager","teilweise")))))</f>
        <v>Lift</v>
      </c>
      <c r="BH805" s="48" t="str">
        <f aca="false">IF(AR805&lt;=0,"",IF(CC805="Aussen","Aussenlager",IF(CC805="-","Nicht im Lift",IF(AW805&gt;=1,"Lift",IF(AW805&lt;=0,"Aussenlager","teilweise")))))</f>
        <v>Aussenlager</v>
      </c>
      <c r="BI805" s="48" t="str">
        <f aca="false">IF(BA805&lt;=0,"",IF(CC805="Aussen","Aussenlager",IF(CC805="-","Nicht im Lift",IF(BF805&gt;=1,"Lift",IF(BF805&lt;=0,"Aussenlager","teilweise")))))</f>
        <v>Aussenlager</v>
      </c>
      <c r="BJ805" s="48" t="str">
        <f aca="false">IF(A805="","",IF(BS805=1,"Neu; ","")&amp;IF(AND(BS805=0,BN805&lt;0),"negativer Bestand (Export "&amp;BN805&amp;"); ","")&amp;IF(J805&lt;=0,"Kein Verbrauch; ","")&amp;IF(CL805&gt;0,"Lift "&amp;W805&amp;" lt. Liftbericht (Fach "&amp;X805&amp;" Stk); ",IF(BX805=1,"Gebinde geschätzt ("&amp;T805&amp;"); ",IF(BW805=1,"Lose – Tablare geschätzt; ","")))&amp;IF(H805&gt;AT805,"Überbestand "&amp;ROUND(H805-AT805,0)&amp;" Stk / CHF "&amp;ROUND((H805-AT805)*G805,0)&amp;"; ","")&amp;IF(AND(CE805=1,CF805&lt;CG805),"MAX &lt; MB+LG; ","")&amp;IF(AND(CK805&gt;0,CJ805*10&gt;CK805),"zu hoch für Tablar; ","")&amp;IF(AND(BS805=0,OR(CE805=1,AA805&lt;&gt;"",U805&lt;&gt;"",V805&lt;&gt;"",AB805&lt;&gt;"")),"manuell übersteuert; ","")&amp;IF(AND(BW805=0,R805=0),"Gebinde unbekannt / Stellmass fehlt; ","")&amp;IF(AND(BW805=0,N(V805)&lt;=0,N(Q805)&lt;=0),"Menge pro Gebinde fehlt (Ist = 1 Gebinde); ","")&amp;BR805)</f>
        <v>negativer Bestand (Export -1); Kein Verbrauch; Überbestand 1 Stk / CHF 6; </v>
      </c>
      <c r="BK805" s="48"/>
      <c r="BL805" s="48"/>
      <c r="BM805" s="55"/>
      <c r="BN805" s="50" t="n">
        <v>-1</v>
      </c>
      <c r="BO805" s="50" t="n">
        <v>4</v>
      </c>
      <c r="BP805" s="49" t="n">
        <v>-5.44000000000001</v>
      </c>
      <c r="BQ805" s="50" t="n">
        <v>0</v>
      </c>
      <c r="BR805" s="48"/>
      <c r="BS805" s="53" t="n">
        <v>0</v>
      </c>
      <c r="BT805" s="53" t="n">
        <v>805</v>
      </c>
      <c r="BU805" s="48" t="str">
        <f aca="false">IF(U805&lt;&gt;"",UPPER(TRIM(U805)),IF(BX805=1,UPPER(VLOOKUP(T805,Parameter!$I$27:$K$29,2,0)),IF(P805="","LOSE",P805)))</f>
        <v>S22</v>
      </c>
      <c r="BV805" s="50" t="n">
        <f aca="false">IF(BU805="LOSE",1,IF(N(V805)&gt;0,V805,IF(BX805=1,MAX(1,N(VLOOKUP(T805,Parameter!$I$27:$K$29,3,0)),H805,N(N805)),IF(N(Q805)&gt;0,Q805,MAX(1,H805)))))</f>
        <v>2</v>
      </c>
      <c r="BW805" s="53" t="n">
        <f aca="false">IF(BU805="LOSE",1,0)</f>
        <v>0</v>
      </c>
      <c r="BX805" s="53" t="n">
        <f aca="false">IF(AND(U805="",OR(P805="",P805="LOSE"),T805&lt;&gt;"",N(S805)&lt;=0,ISNUMBER(MATCH(T805,Parameter!$I$27:$I$29,0))),1,0)</f>
        <v>0</v>
      </c>
      <c r="BY805" s="53" t="n">
        <f aca="false">IF(CL805&gt;0,INDEX(Parameter!$H$5:$H$7,W805)/INDEX(Parameter!$E$5:$E$7,W805),IF(AND(BW805=0,N(IFERROR(VLOOKUP(BU805,'Gebinde-Kategorie'!$A$5:$N$45,14,0),0))&gt;0),VLOOKUP(BU805,'Gebinde-Kategorie'!$A$5:$N$45,14,0)*10+Parameter!$M$23,Parameter!$M$24))</f>
        <v>155</v>
      </c>
      <c r="BZ805" s="48" t="str">
        <f aca="false">IF(AND(Parameter!$B$19="Ja",E805&lt;&gt;"",ISNUMBER(MATCH(E805,Parameter!$I$35:$I$52,0))),VLOOKUP(E805,Parameter!$I$35:$J$52,2,0),IFERROR(VLOOKUP(D805,Parameter!$A$35:$C$64,2,0),"Nein"))</f>
        <v>2+3</v>
      </c>
      <c r="CA805" s="52" t="n">
        <f aca="false">IF(BW805=0,0,IF(N(S805)&gt;0,S805,IFERROR(VLOOKUP(D805,Parameter!$A$35:$C$64,3,0)+0,0)))</f>
        <v>0</v>
      </c>
      <c r="CB805" s="48" t="n">
        <f aca="false">IF(AA805&lt;&gt;"",AA805,Z805)</f>
        <v>3</v>
      </c>
      <c r="CC805" s="48" t="str">
        <f aca="false">IF(OR(CB805=1,CB805=2,CB805=3),IF(Parameter!$E$27="Ja","LIFT",IF(CB805=1,"L1","L23")),IF(CB805="Aussen","Aussen","-"))</f>
        <v>LIFT</v>
      </c>
      <c r="CD805" s="59" t="n">
        <f aca="false">IF(N(AB805)&gt;0,AB805,0)</f>
        <v>0</v>
      </c>
      <c r="CE805" s="53" t="n">
        <f aca="false">IF(ISNUMBER(AE805),1,0)</f>
        <v>0</v>
      </c>
      <c r="CF805" s="50" t="n">
        <f aca="false">N(AE805)</f>
        <v>0</v>
      </c>
      <c r="CG805" s="50" t="n">
        <f aca="false">N(M805)+N(N805)</f>
        <v>1</v>
      </c>
      <c r="CH805" s="50" t="n">
        <f aca="false">ROUNDUP(H805/BV805,0)</f>
        <v>2</v>
      </c>
      <c r="CI805" s="50" t="n">
        <f aca="false">ROUNDUP(CF805/BV805,0)</f>
        <v>0</v>
      </c>
      <c r="CJ805" s="53" t="n">
        <f aca="false">IF(BW805=1,0,IFERROR(VLOOKUP(BU805,'Gebinde-Kategorie'!$A$5:$N$45,5,0)+0,0))</f>
        <v>8</v>
      </c>
      <c r="CK805" s="53" t="n">
        <f aca="false">IFERROR(IF(OR(CB805=1,CB805=2,CB805=3),N(INDEX(Parameter!$I$5:$I$7,CB805)),0),0)</f>
        <v>0</v>
      </c>
      <c r="CL805" s="52" t="n">
        <f aca="false">IF(AND(Parameter!$B$21="Ja",ISNUMBER(W805),N(X805)&gt;0),IFERROR(N(INDEX(Parameter!$L$5:$L$7,W805))*INDEX(Parameter!$E$5:$E$7,W805)*X805/SUMIFS($X$7:$X$1843,$W$7:$W$1843,W805),0),0)</f>
        <v>0</v>
      </c>
    </row>
    <row r="806" customFormat="false" ht="15" hidden="false" customHeight="false" outlineLevel="0" collapsed="false">
      <c r="A806" s="48" t="s">
        <v>1567</v>
      </c>
      <c r="B806" s="48" t="s">
        <v>472</v>
      </c>
      <c r="C806" s="48" t="s">
        <v>168</v>
      </c>
      <c r="D806" s="48" t="s">
        <v>188</v>
      </c>
      <c r="E806" s="48" t="s">
        <v>189</v>
      </c>
      <c r="F806" s="48" t="s">
        <v>222</v>
      </c>
      <c r="G806" s="49" t="n">
        <v>0.1</v>
      </c>
      <c r="H806" s="50" t="n">
        <f aca="false">MAX(0,IF(AND(Parameter!$B$21="Ja",ISNUMBER(Y806)),Y806,IF(Parameter!$B$20="Jahresanfang 2025 + Export",BO806+BN806,BN806)))</f>
        <v>225</v>
      </c>
      <c r="I806" s="50" t="n">
        <f aca="false">H806*G806</f>
        <v>22.5</v>
      </c>
      <c r="J806" s="50" t="n">
        <f aca="false">BQ806*Parameter!$B$18</f>
        <v>78</v>
      </c>
      <c r="K806" s="51" t="n">
        <v>242</v>
      </c>
      <c r="L806" s="52" t="n">
        <v>0.322314049586777</v>
      </c>
      <c r="M806" s="50" t="n">
        <v>3</v>
      </c>
      <c r="N806" s="50" t="n">
        <v>80</v>
      </c>
      <c r="O806" s="53" t="n">
        <v>14</v>
      </c>
      <c r="P806" s="48" t="s">
        <v>405</v>
      </c>
      <c r="Q806" s="50" t="n">
        <v>432</v>
      </c>
      <c r="R806" s="53" t="n">
        <f aca="false">IF(BW806=1,0,IFERROR(VLOOKUP(BU806,'Gebinde-Kategorie'!$A$5:$N$45,13,0)+0,0))</f>
        <v>280</v>
      </c>
      <c r="S806" s="54"/>
      <c r="T806" s="55"/>
      <c r="U806" s="55"/>
      <c r="V806" s="55"/>
      <c r="W806" s="48"/>
      <c r="X806" s="50"/>
      <c r="Y806" s="50"/>
      <c r="Z806" s="48" t="n">
        <f aca="false">IF(A806="","",IF(AND(Parameter!$B$21="Ja",ISNUMBER(W806)),W806,IF(BZ806="2+3",IF(ISNUMBER(SEARCH("grosser Artikel",BR806)),2,IFERROR(VLOOKUP(BU806,Parameter!$F$35:$G$64,2,0),2)),IF(OR(BZ806="Nein",BZ806=""),"-",BZ806))))</f>
        <v>3</v>
      </c>
      <c r="AA806" s="55"/>
      <c r="AB806" s="56"/>
      <c r="AC806" s="50" t="n">
        <f aca="false">AT806</f>
        <v>432</v>
      </c>
      <c r="AD806" s="50" t="n">
        <f aca="false">MAX(AT806,H806)</f>
        <v>432</v>
      </c>
      <c r="AE806" s="57"/>
      <c r="AF806" s="50" t="n">
        <f aca="false">IF(LEFT(Cockpit!$C$5,1)="A",H806,IF(CE806=1,CF806,IF(LEFT(Cockpit!$C$5,1)="B",AK806,MAX(AK806,H806))))</f>
        <v>225</v>
      </c>
      <c r="AG806" s="50" t="n">
        <f aca="false">IF(BW806=1,0,ROUNDUP(AF806/BV806,0))</f>
        <v>1</v>
      </c>
      <c r="AH806" s="52" t="n">
        <f aca="false">IF(CL806&gt;0,CL806*MAX(1,AF806/X806),IF(BW806=1,IF(AF806&lt;=0,0,CA806*MAX(1,IF(H806&gt;0,AF806/H806,1))),IF(R806&gt;0,AG806/R806,0))/MAX(0.1,N(Parameter!$M$21)))</f>
        <v>0.00357142857142857</v>
      </c>
      <c r="AI806" s="50" t="n">
        <f aca="false">AH806*BY806</f>
        <v>0.553571428571429</v>
      </c>
      <c r="AJ806" s="50" t="n">
        <f aca="false">AF806*G806</f>
        <v>22.5</v>
      </c>
      <c r="AK806" s="50" t="n">
        <f aca="false">ROUNDUP(MAX(J806/IF(CD806&gt;0,CD806,MAX(0.1,N(Cockpit!$C$6))),CG806)/BV806,0)*BV806</f>
        <v>432</v>
      </c>
      <c r="AL806" s="51" t="n">
        <f aca="false">IF(AI806&gt;0,J806/AI806,-1)</f>
        <v>140.903225806452</v>
      </c>
      <c r="AM806" s="51" t="n">
        <f aca="false">IF(AND(OR(CC806="L1",CC806="L23",CC806="LIFT"),AI806&gt;0),SUMIFS($AI$7:$AI$1843,$CC$7:$CC$1843,CC806,$AL$7:$AL$1843,"&gt;"&amp;AL806)+SUMIFS($AI$7:$AI$1843,$CC$7:$CC$1843,CC806,$AL$7:$AL$1843,AL806,$BT$7:$BT$1843,"&lt;="&amp;BT806),"")</f>
        <v>502.882326007326</v>
      </c>
      <c r="AN806" s="58" t="n">
        <f aca="false">IF(AM806="",0,MAX(0,MIN(1,(IF(CC806="L1",Parameter!$H$5,IF(CC806="L23",Parameter!$H$6+Parameter!$H$7,Parameter!$H$5+Parameter!$H$6+Parameter!$H$7))-(AM806-AI806))/AI806)))</f>
        <v>1</v>
      </c>
      <c r="AO806" s="50" t="n">
        <f aca="false">IF(LEFT(Cockpit!$I$5,1)="A",H806,IF(CE806=1,CF806,IF(LEFT(Cockpit!$I$5,1)="B",AT806,MAX(AT806,H806))))</f>
        <v>432</v>
      </c>
      <c r="AP806" s="50" t="n">
        <f aca="false">IF(BW806=1,0,ROUNDUP(AO806/BV806,0))</f>
        <v>1</v>
      </c>
      <c r="AQ806" s="52" t="n">
        <f aca="false">IF(CL806&gt;0,CL806*MAX(1,AO806/X806),IF(BW806=1,IF(AO806&lt;=0,0,CA806*MAX(1,IF(H806&gt;0,AO806/H806,1))),IF(R806&gt;0,AP806/R806,0))/MAX(0.1,N(Parameter!$M$21)))</f>
        <v>0.00357142857142857</v>
      </c>
      <c r="AR806" s="50" t="n">
        <f aca="false">AQ806*BY806</f>
        <v>0.553571428571429</v>
      </c>
      <c r="AS806" s="50" t="n">
        <f aca="false">AO806*G806</f>
        <v>43.2</v>
      </c>
      <c r="AT806" s="50" t="n">
        <f aca="false">ROUNDUP(MAX(J806/IF(CD806&gt;0,CD806,MAX(0.1,N(Cockpit!$I$6))),CG806)/BV806,0)*BV806</f>
        <v>432</v>
      </c>
      <c r="AU806" s="51" t="n">
        <f aca="false">IF(AR806&gt;0,J806/AR806,-1)</f>
        <v>140.903225806452</v>
      </c>
      <c r="AV806" s="51" t="n">
        <f aca="false">IF(AND(OR(CC806="L1",CC806="L23",CC806="LIFT"),AR806&gt;0),SUMIFS($AR$7:$AR$1843,$CC$7:$CC$1843,CC806,$AU$7:$AU$1843,"&gt;"&amp;AU806)+SUMIFS($AR$7:$AR$1843,$CC$7:$CC$1843,CC806,$AU$7:$AU$1843,AU806,$BT$7:$BT$1843,"&lt;="&amp;BT806),"")</f>
        <v>656.364468864469</v>
      </c>
      <c r="AW806" s="58" t="n">
        <f aca="false">IF(AV806="",0,MAX(0,MIN(1,(IF(CC806="L1",Parameter!$H$5,IF(CC806="L23",Parameter!$H$6+Parameter!$H$7,Parameter!$H$5+Parameter!$H$6+Parameter!$H$7))-(AV806-AR806))/AR806)))</f>
        <v>1</v>
      </c>
      <c r="AX806" s="50" t="n">
        <f aca="false">IF(LEFT(Cockpit!$O$5,1)="A",H806,IF(CE806=1,CF806,IF(LEFT(Cockpit!$O$5,1)="B",BC806,MAX(BC806,H806))))</f>
        <v>432</v>
      </c>
      <c r="AY806" s="50" t="n">
        <f aca="false">IF(BW806=1,0,ROUNDUP(AX806/BV806,0))</f>
        <v>1</v>
      </c>
      <c r="AZ806" s="52" t="n">
        <f aca="false">IF(CL806&gt;0,CL806*MAX(1,AX806/X806),IF(BW806=1,IF(AX806&lt;=0,0,CA806*MAX(1,IF(H806&gt;0,AX806/H806,1))),IF(R806&gt;0,AY806/R806,0))/MAX(0.1,N(Parameter!$M$21)))</f>
        <v>0.00357142857142857</v>
      </c>
      <c r="BA806" s="50" t="n">
        <f aca="false">AZ806*BY806</f>
        <v>0.553571428571429</v>
      </c>
      <c r="BB806" s="50" t="n">
        <f aca="false">AX806*G806</f>
        <v>43.2</v>
      </c>
      <c r="BC806" s="50" t="n">
        <f aca="false">ROUNDUP(MAX(J806/IF(CD806&gt;0,CD806,MAX(0.1,N(Cockpit!$O$6))),CG806)/BV806,0)*BV806</f>
        <v>432</v>
      </c>
      <c r="BD806" s="51" t="n">
        <f aca="false">IF(BA806&gt;0,J806/BA806,-1)</f>
        <v>140.903225806452</v>
      </c>
      <c r="BE806" s="51" t="n">
        <f aca="false">IF(AND(OR(CC806="L1",CC806="L23",CC806="LIFT"),BA806&gt;0),SUMIFS($BA$7:$BA$1843,$CC$7:$CC$1843,CC806,$BD$7:$BD$1843,"&gt;"&amp;BD806)+SUMIFS($BA$7:$BA$1843,$CC$7:$CC$1843,CC806,$BD$7:$BD$1843,BD806,$BT$7:$BT$1843,"&lt;="&amp;BT806),"")</f>
        <v>600.803571428571</v>
      </c>
      <c r="BF806" s="58" t="n">
        <f aca="false">IF(BE806="",0,MAX(0,MIN(1,(IF(CC806="L1",Parameter!$H$5,IF(CC806="L23",Parameter!$H$6+Parameter!$H$7,Parameter!$H$5+Parameter!$H$6+Parameter!$H$7))-(BE806-BA806))/BA806)))</f>
        <v>1</v>
      </c>
      <c r="BG806" s="48" t="str">
        <f aca="false">IF(AI806&lt;=0,"",IF(CC806="Aussen","Aussenlager",IF(CC806="-","Nicht im Lift",IF(AN806&gt;=1,"Lift",IF(AN806&lt;=0,"Aussenlager","teilweise")))))</f>
        <v>Lift</v>
      </c>
      <c r="BH806" s="48" t="str">
        <f aca="false">IF(AR806&lt;=0,"",IF(CC806="Aussen","Aussenlager",IF(CC806="-","Nicht im Lift",IF(AW806&gt;=1,"Lift",IF(AW806&lt;=0,"Aussenlager","teilweise")))))</f>
        <v>Lift</v>
      </c>
      <c r="BI806" s="48" t="str">
        <f aca="false">IF(BA806&lt;=0,"",IF(CC806="Aussen","Aussenlager",IF(CC806="-","Nicht im Lift",IF(BF806&gt;=1,"Lift",IF(BF806&lt;=0,"Aussenlager","teilweise")))))</f>
        <v>Lift</v>
      </c>
      <c r="BJ806" s="48" t="str">
        <f aca="false">IF(A806="","",IF(BS806=1,"Neu; ","")&amp;IF(AND(BS806=0,BN806&lt;0),"negativer Bestand (Export "&amp;BN806&amp;"); ","")&amp;IF(J806&lt;=0,"Kein Verbrauch; ","")&amp;IF(CL806&gt;0,"Lift "&amp;W806&amp;" lt. Liftbericht (Fach "&amp;X806&amp;" Stk); ",IF(BX806=1,"Gebinde geschätzt ("&amp;T806&amp;"); ",IF(BW806=1,"Lose – Tablare geschätzt; ","")))&amp;IF(H806&gt;AT806,"Überbestand "&amp;ROUND(H806-AT806,0)&amp;" Stk / CHF "&amp;ROUND((H806-AT806)*G806,0)&amp;"; ","")&amp;IF(AND(CE806=1,CF806&lt;CG806),"MAX &lt; MB+LG; ","")&amp;IF(AND(CK806&gt;0,CJ806*10&gt;CK806),"zu hoch für Tablar; ","")&amp;IF(AND(BS806=0,OR(CE806=1,AA806&lt;&gt;"",U806&lt;&gt;"",V806&lt;&gt;"",AB806&lt;&gt;"")),"manuell übersteuert; ","")&amp;IF(AND(BW806=0,R806=0),"Gebinde unbekannt / Stellmass fehlt; ","")&amp;IF(AND(BW806=0,N(V806)&lt;=0,N(Q806)&lt;=0),"Menge pro Gebinde fehlt (Ist = 1 Gebinde); ","")&amp;BR806)</f>
        <v>negativer Bestand (Export -55); </v>
      </c>
      <c r="BK806" s="48"/>
      <c r="BL806" s="48"/>
      <c r="BM806" s="55"/>
      <c r="BN806" s="50" t="n">
        <v>-55</v>
      </c>
      <c r="BO806" s="50" t="n">
        <v>280</v>
      </c>
      <c r="BP806" s="49" t="n">
        <v>-5.5</v>
      </c>
      <c r="BQ806" s="50" t="n">
        <v>78</v>
      </c>
      <c r="BR806" s="48"/>
      <c r="BS806" s="53" t="n">
        <v>0</v>
      </c>
      <c r="BT806" s="53" t="n">
        <v>806</v>
      </c>
      <c r="BU806" s="48" t="str">
        <f aca="false">IF(U806&lt;&gt;"",UPPER(TRIM(U806)),IF(BX806=1,UPPER(VLOOKUP(T806,Parameter!$I$27:$K$29,2,0)),IF(P806="","LOSE",P806)))</f>
        <v>S21</v>
      </c>
      <c r="BV806" s="50" t="n">
        <f aca="false">IF(BU806="LOSE",1,IF(N(V806)&gt;0,V806,IF(BX806=1,MAX(1,N(VLOOKUP(T806,Parameter!$I$27:$K$29,3,0)),H806,N(N806)),IF(N(Q806)&gt;0,Q806,MAX(1,H806)))))</f>
        <v>432</v>
      </c>
      <c r="BW806" s="53" t="n">
        <f aca="false">IF(BU806="LOSE",1,0)</f>
        <v>0</v>
      </c>
      <c r="BX806" s="53" t="n">
        <f aca="false">IF(AND(U806="",OR(P806="",P806="LOSE"),T806&lt;&gt;"",N(S806)&lt;=0,ISNUMBER(MATCH(T806,Parameter!$I$27:$I$29,0))),1,0)</f>
        <v>0</v>
      </c>
      <c r="BY806" s="53" t="n">
        <f aca="false">IF(CL806&gt;0,INDEX(Parameter!$H$5:$H$7,W806)/INDEX(Parameter!$E$5:$E$7,W806),IF(AND(BW806=0,N(IFERROR(VLOOKUP(BU806,'Gebinde-Kategorie'!$A$5:$N$45,14,0),0))&gt;0),VLOOKUP(BU806,'Gebinde-Kategorie'!$A$5:$N$45,14,0)*10+Parameter!$M$23,Parameter!$M$24))</f>
        <v>155</v>
      </c>
      <c r="BZ806" s="48" t="str">
        <f aca="false">IF(AND(Parameter!$B$19="Ja",E806&lt;&gt;"",ISNUMBER(MATCH(E806,Parameter!$I$35:$I$52,0))),VLOOKUP(E806,Parameter!$I$35:$J$52,2,0),IFERROR(VLOOKUP(D806,Parameter!$A$35:$C$64,2,0),"Nein"))</f>
        <v>2+3</v>
      </c>
      <c r="CA806" s="52" t="n">
        <f aca="false">IF(BW806=0,0,IF(N(S806)&gt;0,S806,IFERROR(VLOOKUP(D806,Parameter!$A$35:$C$64,3,0)+0,0)))</f>
        <v>0</v>
      </c>
      <c r="CB806" s="48" t="n">
        <f aca="false">IF(AA806&lt;&gt;"",AA806,Z806)</f>
        <v>3</v>
      </c>
      <c r="CC806" s="48" t="str">
        <f aca="false">IF(OR(CB806=1,CB806=2,CB806=3),IF(Parameter!$E$27="Ja","LIFT",IF(CB806=1,"L1","L23")),IF(CB806="Aussen","Aussen","-"))</f>
        <v>LIFT</v>
      </c>
      <c r="CD806" s="59" t="n">
        <f aca="false">IF(N(AB806)&gt;0,AB806,0)</f>
        <v>0</v>
      </c>
      <c r="CE806" s="53" t="n">
        <f aca="false">IF(ISNUMBER(AE806),1,0)</f>
        <v>0</v>
      </c>
      <c r="CF806" s="50" t="n">
        <f aca="false">N(AE806)</f>
        <v>0</v>
      </c>
      <c r="CG806" s="50" t="n">
        <f aca="false">N(M806)+N(N806)</f>
        <v>83</v>
      </c>
      <c r="CH806" s="50" t="n">
        <f aca="false">ROUNDUP(H806/BV806,0)</f>
        <v>1</v>
      </c>
      <c r="CI806" s="50" t="n">
        <f aca="false">ROUNDUP(CF806/BV806,0)</f>
        <v>0</v>
      </c>
      <c r="CJ806" s="53" t="n">
        <f aca="false">IF(BW806=1,0,IFERROR(VLOOKUP(BU806,'Gebinde-Kategorie'!$A$5:$N$45,5,0)+0,0))</f>
        <v>8</v>
      </c>
      <c r="CK806" s="53" t="n">
        <f aca="false">IFERROR(IF(OR(CB806=1,CB806=2,CB806=3),N(INDEX(Parameter!$I$5:$I$7,CB806)),0),0)</f>
        <v>0</v>
      </c>
      <c r="CL806" s="52" t="n">
        <f aca="false">IF(AND(Parameter!$B$21="Ja",ISNUMBER(W806),N(X806)&gt;0),IFERROR(N(INDEX(Parameter!$L$5:$L$7,W806))*INDEX(Parameter!$E$5:$E$7,W806)*X806/SUMIFS($X$7:$X$1843,$W$7:$W$1843,W806),0),0)</f>
        <v>0</v>
      </c>
    </row>
    <row r="807" customFormat="false" ht="15" hidden="false" customHeight="false" outlineLevel="0" collapsed="false">
      <c r="A807" s="48" t="s">
        <v>1568</v>
      </c>
      <c r="B807" s="48" t="s">
        <v>1569</v>
      </c>
      <c r="C807" s="48" t="s">
        <v>168</v>
      </c>
      <c r="D807" s="48" t="s">
        <v>188</v>
      </c>
      <c r="E807" s="48" t="s">
        <v>189</v>
      </c>
      <c r="F807" s="48" t="s">
        <v>222</v>
      </c>
      <c r="G807" s="49" t="n">
        <v>5.7</v>
      </c>
      <c r="H807" s="50" t="n">
        <f aca="false">MAX(0,IF(AND(Parameter!$B$21="Ja",ISNUMBER(Y807)),Y807,IF(Parameter!$B$20="Jahresanfang 2025 + Export",BO807+BN807,BN807)))</f>
        <v>4</v>
      </c>
      <c r="I807" s="50" t="n">
        <f aca="false">H807*G807</f>
        <v>22.8</v>
      </c>
      <c r="J807" s="50" t="n">
        <f aca="false">BQ807*Parameter!$B$18</f>
        <v>1</v>
      </c>
      <c r="K807" s="51" t="n">
        <v>4.5</v>
      </c>
      <c r="L807" s="52" t="n">
        <v>0.222222222222222</v>
      </c>
      <c r="M807" s="50" t="n">
        <v>0</v>
      </c>
      <c r="N807" s="50" t="n">
        <v>1</v>
      </c>
      <c r="O807" s="53" t="n">
        <v>14</v>
      </c>
      <c r="P807" s="48" t="s">
        <v>425</v>
      </c>
      <c r="Q807" s="50" t="n">
        <v>7</v>
      </c>
      <c r="R807" s="53" t="n">
        <f aca="false">IF(BW807=1,0,IFERROR(VLOOKUP(BU807,'Gebinde-Kategorie'!$A$5:$N$45,13,0)+0,0))</f>
        <v>104</v>
      </c>
      <c r="S807" s="54"/>
      <c r="T807" s="55"/>
      <c r="U807" s="55"/>
      <c r="V807" s="55"/>
      <c r="W807" s="48"/>
      <c r="X807" s="50"/>
      <c r="Y807" s="50"/>
      <c r="Z807" s="48" t="n">
        <f aca="false">IF(A807="","",IF(AND(Parameter!$B$21="Ja",ISNUMBER(W807)),W807,IF(BZ807="2+3",IF(ISNUMBER(SEARCH("grosser Artikel",BR807)),2,IFERROR(VLOOKUP(BU807,Parameter!$F$35:$G$64,2,0),2)),IF(OR(BZ807="Nein",BZ807=""),"-",BZ807))))</f>
        <v>3</v>
      </c>
      <c r="AA807" s="55"/>
      <c r="AB807" s="56"/>
      <c r="AC807" s="50" t="n">
        <f aca="false">AT807</f>
        <v>7</v>
      </c>
      <c r="AD807" s="50" t="n">
        <f aca="false">MAX(AT807,H807)</f>
        <v>7</v>
      </c>
      <c r="AE807" s="57"/>
      <c r="AF807" s="50" t="n">
        <f aca="false">IF(LEFT(Cockpit!$C$5,1)="A",H807,IF(CE807=1,CF807,IF(LEFT(Cockpit!$C$5,1)="B",AK807,MAX(AK807,H807))))</f>
        <v>4</v>
      </c>
      <c r="AG807" s="50" t="n">
        <f aca="false">IF(BW807=1,0,ROUNDUP(AF807/BV807,0))</f>
        <v>1</v>
      </c>
      <c r="AH807" s="52" t="n">
        <f aca="false">IF(CL807&gt;0,CL807*MAX(1,AF807/X807),IF(BW807=1,IF(AF807&lt;=0,0,CA807*MAX(1,IF(H807&gt;0,AF807/H807,1))),IF(R807&gt;0,AG807/R807,0))/MAX(0.1,N(Parameter!$M$21)))</f>
        <v>0.00961538461538462</v>
      </c>
      <c r="AI807" s="50" t="n">
        <f aca="false">AH807*BY807</f>
        <v>1.49038461538462</v>
      </c>
      <c r="AJ807" s="50" t="n">
        <f aca="false">AF807*G807</f>
        <v>22.8</v>
      </c>
      <c r="AK807" s="50" t="n">
        <f aca="false">ROUNDUP(MAX(J807/IF(CD807&gt;0,CD807,MAX(0.1,N(Cockpit!$C$6))),CG807)/BV807,0)*BV807</f>
        <v>7</v>
      </c>
      <c r="AL807" s="51" t="n">
        <f aca="false">IF(AI807&gt;0,J807/AI807,-1)</f>
        <v>0.670967741935484</v>
      </c>
      <c r="AM807" s="51" t="n">
        <f aca="false">IF(AND(OR(CC807="L1",CC807="L23",CC807="LIFT"),AI807&gt;0),SUMIFS($AI$7:$AI$1843,$CC$7:$CC$1843,CC807,$AL$7:$AL$1843,"&gt;"&amp;AL807)+SUMIFS($AI$7:$AI$1843,$CC$7:$CC$1843,CC807,$AL$7:$AL$1843,AL807,$BT$7:$BT$1843,"&lt;="&amp;BT807),"")</f>
        <v>8619.09294871795</v>
      </c>
      <c r="AN807" s="58" t="n">
        <f aca="false">IF(AM807="",0,MAX(0,MIN(1,(IF(CC807="L1",Parameter!$H$5,IF(CC807="L23",Parameter!$H$6+Parameter!$H$7,Parameter!$H$5+Parameter!$H$6+Parameter!$H$7))-(AM807-AI807))/AI807)))</f>
        <v>1</v>
      </c>
      <c r="AO807" s="50" t="n">
        <f aca="false">IF(LEFT(Cockpit!$I$5,1)="A",H807,IF(CE807=1,CF807,IF(LEFT(Cockpit!$I$5,1)="B",AT807,MAX(AT807,H807))))</f>
        <v>7</v>
      </c>
      <c r="AP807" s="50" t="n">
        <f aca="false">IF(BW807=1,0,ROUNDUP(AO807/BV807,0))</f>
        <v>1</v>
      </c>
      <c r="AQ807" s="52" t="n">
        <f aca="false">IF(CL807&gt;0,CL807*MAX(1,AO807/X807),IF(BW807=1,IF(AO807&lt;=0,0,CA807*MAX(1,IF(H807&gt;0,AO807/H807,1))),IF(R807&gt;0,AP807/R807,0))/MAX(0.1,N(Parameter!$M$21)))</f>
        <v>0.00961538461538462</v>
      </c>
      <c r="AR807" s="50" t="n">
        <f aca="false">AQ807*BY807</f>
        <v>1.49038461538462</v>
      </c>
      <c r="AS807" s="50" t="n">
        <f aca="false">AO807*G807</f>
        <v>39.9</v>
      </c>
      <c r="AT807" s="50" t="n">
        <f aca="false">ROUNDUP(MAX(J807/IF(CD807&gt;0,CD807,MAX(0.1,N(Cockpit!$I$6))),CG807)/BV807,0)*BV807</f>
        <v>7</v>
      </c>
      <c r="AU807" s="51" t="n">
        <f aca="false">IF(AR807&gt;0,J807/AR807,-1)</f>
        <v>0.670967741935484</v>
      </c>
      <c r="AV807" s="51" t="n">
        <f aca="false">IF(AND(OR(CC807="L1",CC807="L23",CC807="LIFT"),AR807&gt;0),SUMIFS($AR$7:$AR$1843,$CC$7:$CC$1843,CC807,$AU$7:$AU$1843,"&gt;"&amp;AU807)+SUMIFS($AR$7:$AR$1843,$CC$7:$CC$1843,CC807,$AU$7:$AU$1843,AU807,$BT$7:$BT$1843,"&lt;="&amp;BT807),"")</f>
        <v>11761.2152014652</v>
      </c>
      <c r="AW807" s="58" t="n">
        <f aca="false">IF(AV807="",0,MAX(0,MIN(1,(IF(CC807="L1",Parameter!$H$5,IF(CC807="L23",Parameter!$H$6+Parameter!$H$7,Parameter!$H$5+Parameter!$H$6+Parameter!$H$7))-(AV807-AR807))/AR807)))</f>
        <v>1</v>
      </c>
      <c r="AX807" s="50" t="n">
        <f aca="false">IF(LEFT(Cockpit!$O$5,1)="A",H807,IF(CE807=1,CF807,IF(LEFT(Cockpit!$O$5,1)="B",BC807,MAX(BC807,H807))))</f>
        <v>7</v>
      </c>
      <c r="AY807" s="50" t="n">
        <f aca="false">IF(BW807=1,0,ROUNDUP(AX807/BV807,0))</f>
        <v>1</v>
      </c>
      <c r="AZ807" s="52" t="n">
        <f aca="false">IF(CL807&gt;0,CL807*MAX(1,AX807/X807),IF(BW807=1,IF(AX807&lt;=0,0,CA807*MAX(1,IF(H807&gt;0,AX807/H807,1))),IF(R807&gt;0,AY807/R807,0))/MAX(0.1,N(Parameter!$M$21)))</f>
        <v>0.00961538461538462</v>
      </c>
      <c r="BA807" s="50" t="n">
        <f aca="false">AZ807*BY807</f>
        <v>1.49038461538462</v>
      </c>
      <c r="BB807" s="50" t="n">
        <f aca="false">AX807*G807</f>
        <v>39.9</v>
      </c>
      <c r="BC807" s="50" t="n">
        <f aca="false">ROUNDUP(MAX(J807/IF(CD807&gt;0,CD807,MAX(0.1,N(Cockpit!$O$6))),CG807)/BV807,0)*BV807</f>
        <v>7</v>
      </c>
      <c r="BD807" s="51" t="n">
        <f aca="false">IF(BA807&gt;0,J807/BA807,-1)</f>
        <v>0.670967741935484</v>
      </c>
      <c r="BE807" s="51" t="n">
        <f aca="false">IF(AND(OR(CC807="L1",CC807="L23",CC807="LIFT"),BA807&gt;0),SUMIFS($BA$7:$BA$1843,$CC$7:$CC$1843,CC807,$BD$7:$BD$1843,"&gt;"&amp;BD807)+SUMIFS($BA$7:$BA$1843,$CC$7:$CC$1843,CC807,$BD$7:$BD$1843,BD807,$BT$7:$BT$1843,"&lt;="&amp;BT807),"")</f>
        <v>11361.0389194139</v>
      </c>
      <c r="BF807" s="58" t="n">
        <f aca="false">IF(BE807="",0,MAX(0,MIN(1,(IF(CC807="L1",Parameter!$H$5,IF(CC807="L23",Parameter!$H$6+Parameter!$H$7,Parameter!$H$5+Parameter!$H$6+Parameter!$H$7))-(BE807-BA807))/BA807)))</f>
        <v>1</v>
      </c>
      <c r="BG807" s="48" t="str">
        <f aca="false">IF(AI807&lt;=0,"",IF(CC807="Aussen","Aussenlager",IF(CC807="-","Nicht im Lift",IF(AN807&gt;=1,"Lift",IF(AN807&lt;=0,"Aussenlager","teilweise")))))</f>
        <v>Lift</v>
      </c>
      <c r="BH807" s="48" t="str">
        <f aca="false">IF(AR807&lt;=0,"",IF(CC807="Aussen","Aussenlager",IF(CC807="-","Nicht im Lift",IF(AW807&gt;=1,"Lift",IF(AW807&lt;=0,"Aussenlager","teilweise")))))</f>
        <v>Lift</v>
      </c>
      <c r="BI807" s="48" t="str">
        <f aca="false">IF(BA807&lt;=0,"",IF(CC807="Aussen","Aussenlager",IF(CC807="-","Nicht im Lift",IF(BF807&gt;=1,"Lift",IF(BF807&lt;=0,"Aussenlager","teilweise")))))</f>
        <v>Lift</v>
      </c>
      <c r="BJ807" s="48" t="str">
        <f aca="false">IF(A807="","",IF(BS807=1,"Neu; ","")&amp;IF(AND(BS807=0,BN807&lt;0),"negativer Bestand (Export "&amp;BN807&amp;"); ","")&amp;IF(J807&lt;=0,"Kein Verbrauch; ","")&amp;IF(CL807&gt;0,"Lift "&amp;W807&amp;" lt. Liftbericht (Fach "&amp;X807&amp;" Stk); ",IF(BX807=1,"Gebinde geschätzt ("&amp;T807&amp;"); ",IF(BW807=1,"Lose – Tablare geschätzt; ","")))&amp;IF(H807&gt;AT807,"Überbestand "&amp;ROUND(H807-AT807,0)&amp;" Stk / CHF "&amp;ROUND((H807-AT807)*G807,0)&amp;"; ","")&amp;IF(AND(CE807=1,CF807&lt;CG807),"MAX &lt; MB+LG; ","")&amp;IF(AND(CK807&gt;0,CJ807*10&gt;CK807),"zu hoch für Tablar; ","")&amp;IF(AND(BS807=0,OR(CE807=1,AA807&lt;&gt;"",U807&lt;&gt;"",V807&lt;&gt;"",AB807&lt;&gt;"")),"manuell übersteuert; ","")&amp;IF(AND(BW807=0,R807=0),"Gebinde unbekannt / Stellmass fehlt; ","")&amp;IF(AND(BW807=0,N(V807)&lt;=0,N(Q807)&lt;=0),"Menge pro Gebinde fehlt (Ist = 1 Gebinde); ","")&amp;BR807)</f>
        <v>negativer Bestand (Export -1); Verb.Lager</v>
      </c>
      <c r="BK807" s="48"/>
      <c r="BL807" s="48"/>
      <c r="BM807" s="55"/>
      <c r="BN807" s="50" t="n">
        <v>-1</v>
      </c>
      <c r="BO807" s="50" t="n">
        <v>5</v>
      </c>
      <c r="BP807" s="49" t="n">
        <v>-5.7</v>
      </c>
      <c r="BQ807" s="50" t="n">
        <v>1</v>
      </c>
      <c r="BR807" s="48" t="s">
        <v>1034</v>
      </c>
      <c r="BS807" s="53" t="n">
        <v>0</v>
      </c>
      <c r="BT807" s="53" t="n">
        <v>807</v>
      </c>
      <c r="BU807" s="48" t="str">
        <f aca="false">IF(U807&lt;&gt;"",UPPER(TRIM(U807)),IF(BX807=1,UPPER(VLOOKUP(T807,Parameter!$I$27:$K$29,2,0)),IF(P807="","LOSE",P807)))</f>
        <v>S32</v>
      </c>
      <c r="BV807" s="50" t="n">
        <f aca="false">IF(BU807="LOSE",1,IF(N(V807)&gt;0,V807,IF(BX807=1,MAX(1,N(VLOOKUP(T807,Parameter!$I$27:$K$29,3,0)),H807,N(N807)),IF(N(Q807)&gt;0,Q807,MAX(1,H807)))))</f>
        <v>7</v>
      </c>
      <c r="BW807" s="53" t="n">
        <f aca="false">IF(BU807="LOSE",1,0)</f>
        <v>0</v>
      </c>
      <c r="BX807" s="53" t="n">
        <f aca="false">IF(AND(U807="",OR(P807="",P807="LOSE"),T807&lt;&gt;"",N(S807)&lt;=0,ISNUMBER(MATCH(T807,Parameter!$I$27:$I$29,0))),1,0)</f>
        <v>0</v>
      </c>
      <c r="BY807" s="53" t="n">
        <f aca="false">IF(CL807&gt;0,INDEX(Parameter!$H$5:$H$7,W807)/INDEX(Parameter!$E$5:$E$7,W807),IF(AND(BW807=0,N(IFERROR(VLOOKUP(BU807,'Gebinde-Kategorie'!$A$5:$N$45,14,0),0))&gt;0),VLOOKUP(BU807,'Gebinde-Kategorie'!$A$5:$N$45,14,0)*10+Parameter!$M$23,Parameter!$M$24))</f>
        <v>155</v>
      </c>
      <c r="BZ807" s="48" t="str">
        <f aca="false">IF(AND(Parameter!$B$19="Ja",E807&lt;&gt;"",ISNUMBER(MATCH(E807,Parameter!$I$35:$I$52,0))),VLOOKUP(E807,Parameter!$I$35:$J$52,2,0),IFERROR(VLOOKUP(D807,Parameter!$A$35:$C$64,2,0),"Nein"))</f>
        <v>2+3</v>
      </c>
      <c r="CA807" s="52" t="n">
        <f aca="false">IF(BW807=0,0,IF(N(S807)&gt;0,S807,IFERROR(VLOOKUP(D807,Parameter!$A$35:$C$64,3,0)+0,0)))</f>
        <v>0</v>
      </c>
      <c r="CB807" s="48" t="n">
        <f aca="false">IF(AA807&lt;&gt;"",AA807,Z807)</f>
        <v>3</v>
      </c>
      <c r="CC807" s="48" t="str">
        <f aca="false">IF(OR(CB807=1,CB807=2,CB807=3),IF(Parameter!$E$27="Ja","LIFT",IF(CB807=1,"L1","L23")),IF(CB807="Aussen","Aussen","-"))</f>
        <v>LIFT</v>
      </c>
      <c r="CD807" s="59" t="n">
        <f aca="false">IF(N(AB807)&gt;0,AB807,0)</f>
        <v>0</v>
      </c>
      <c r="CE807" s="53" t="n">
        <f aca="false">IF(ISNUMBER(AE807),1,0)</f>
        <v>0</v>
      </c>
      <c r="CF807" s="50" t="n">
        <f aca="false">N(AE807)</f>
        <v>0</v>
      </c>
      <c r="CG807" s="50" t="n">
        <f aca="false">N(M807)+N(N807)</f>
        <v>1</v>
      </c>
      <c r="CH807" s="50" t="n">
        <f aca="false">ROUNDUP(H807/BV807,0)</f>
        <v>1</v>
      </c>
      <c r="CI807" s="50" t="n">
        <f aca="false">ROUNDUP(CF807/BV807,0)</f>
        <v>0</v>
      </c>
      <c r="CJ807" s="53" t="n">
        <f aca="false">IF(BW807=1,0,IFERROR(VLOOKUP(BU807,'Gebinde-Kategorie'!$A$5:$N$45,5,0)+0,0))</f>
        <v>8</v>
      </c>
      <c r="CK807" s="53" t="n">
        <f aca="false">IFERROR(IF(OR(CB807=1,CB807=2,CB807=3),N(INDEX(Parameter!$I$5:$I$7,CB807)),0),0)</f>
        <v>0</v>
      </c>
      <c r="CL807" s="52" t="n">
        <f aca="false">IF(AND(Parameter!$B$21="Ja",ISNUMBER(W807),N(X807)&gt;0),IFERROR(N(INDEX(Parameter!$L$5:$L$7,W807))*INDEX(Parameter!$E$5:$E$7,W807)*X807/SUMIFS($X$7:$X$1843,$W$7:$W$1843,W807),0),0)</f>
        <v>0</v>
      </c>
    </row>
    <row r="808" customFormat="false" ht="15" hidden="false" customHeight="false" outlineLevel="0" collapsed="false">
      <c r="A808" s="48" t="s">
        <v>1570</v>
      </c>
      <c r="B808" s="48" t="s">
        <v>1571</v>
      </c>
      <c r="C808" s="48" t="s">
        <v>168</v>
      </c>
      <c r="D808" s="48" t="s">
        <v>188</v>
      </c>
      <c r="E808" s="48"/>
      <c r="F808" s="48" t="s">
        <v>222</v>
      </c>
      <c r="G808" s="49" t="n">
        <v>0.24</v>
      </c>
      <c r="H808" s="50" t="n">
        <f aca="false">MAX(0,IF(AND(Parameter!$B$21="Ja",ISNUMBER(Y808)),Y808,IF(Parameter!$B$20="Jahresanfang 2025 + Export",BO808+BN808,BN808)))</f>
        <v>0</v>
      </c>
      <c r="I808" s="50" t="n">
        <f aca="false">H808*G808</f>
        <v>0</v>
      </c>
      <c r="J808" s="50" t="n">
        <f aca="false">BQ808*Parameter!$B$18</f>
        <v>4</v>
      </c>
      <c r="K808" s="51" t="n">
        <v>19.5</v>
      </c>
      <c r="L808" s="52" t="n">
        <v>0.205128205128205</v>
      </c>
      <c r="M808" s="50" t="n">
        <v>0</v>
      </c>
      <c r="N808" s="50" t="n">
        <v>1300</v>
      </c>
      <c r="O808" s="53" t="n">
        <v>14</v>
      </c>
      <c r="P808" s="48" t="s">
        <v>172</v>
      </c>
      <c r="Q808" s="50"/>
      <c r="R808" s="53" t="n">
        <f aca="false">IF(BW808=1,0,IFERROR(VLOOKUP(BU808,'Gebinde-Kategorie'!$A$5:$N$45,13,0)+0,0))</f>
        <v>12</v>
      </c>
      <c r="S808" s="54"/>
      <c r="T808" s="55" t="s">
        <v>183</v>
      </c>
      <c r="U808" s="55"/>
      <c r="V808" s="55"/>
      <c r="W808" s="48"/>
      <c r="X808" s="50"/>
      <c r="Y808" s="50"/>
      <c r="Z808" s="48" t="n">
        <f aca="false">IF(A808="","",IF(AND(Parameter!$B$21="Ja",ISNUMBER(W808)),W808,IF(BZ808="2+3",IF(ISNUMBER(SEARCH("grosser Artikel",BR808)),2,IFERROR(VLOOKUP(BU808,Parameter!$F$35:$G$64,2,0),2)),IF(OR(BZ808="Nein",BZ808=""),"-",BZ808))))</f>
        <v>2</v>
      </c>
      <c r="AA808" s="55"/>
      <c r="AB808" s="56"/>
      <c r="AC808" s="50" t="n">
        <f aca="false">AT808</f>
        <v>1300</v>
      </c>
      <c r="AD808" s="50" t="n">
        <f aca="false">MAX(AT808,H808)</f>
        <v>1300</v>
      </c>
      <c r="AE808" s="57"/>
      <c r="AF808" s="50" t="n">
        <f aca="false">IF(LEFT(Cockpit!$C$5,1)="A",H808,IF(CE808=1,CF808,IF(LEFT(Cockpit!$C$5,1)="B",AK808,MAX(AK808,H808))))</f>
        <v>0</v>
      </c>
      <c r="AG808" s="50" t="n">
        <f aca="false">IF(BW808=1,0,ROUNDUP(AF808/BV808,0))</f>
        <v>0</v>
      </c>
      <c r="AH808" s="52" t="n">
        <f aca="false">IF(CL808&gt;0,CL808*MAX(1,AF808/X808),IF(BW808=1,IF(AF808&lt;=0,0,CA808*MAX(1,IF(H808&gt;0,AF808/H808,1))),IF(R808&gt;0,AG808/R808,0))/MAX(0.1,N(Parameter!$M$21)))</f>
        <v>0</v>
      </c>
      <c r="AI808" s="50" t="n">
        <f aca="false">AH808*BY808</f>
        <v>0</v>
      </c>
      <c r="AJ808" s="50" t="n">
        <f aca="false">AF808*G808</f>
        <v>0</v>
      </c>
      <c r="AK808" s="50" t="n">
        <f aca="false">ROUNDUP(MAX(J808/IF(CD808&gt;0,CD808,MAX(0.1,N(Cockpit!$C$6))),CG808)/BV808,0)*BV808</f>
        <v>1300</v>
      </c>
      <c r="AL808" s="51" t="n">
        <f aca="false">IF(AI808&gt;0,J808/AI808,-1)</f>
        <v>-1</v>
      </c>
      <c r="AM808" s="51" t="str">
        <f aca="false">IF(AND(OR(CC808="L1",CC808="L23",CC808="LIFT"),AI808&gt;0),SUMIFS($AI$7:$AI$1843,$CC$7:$CC$1843,CC808,$AL$7:$AL$1843,"&gt;"&amp;AL808)+SUMIFS($AI$7:$AI$1843,$CC$7:$CC$1843,CC808,$AL$7:$AL$1843,AL808,$BT$7:$BT$1843,"&lt;="&amp;BT808),"")</f>
        <v/>
      </c>
      <c r="AN808" s="58" t="n">
        <f aca="false">IF(AM808="",0,MAX(0,MIN(1,(IF(CC808="L1",Parameter!$H$5,IF(CC808="L23",Parameter!$H$6+Parameter!$H$7,Parameter!$H$5+Parameter!$H$6+Parameter!$H$7))-(AM808-AI808))/AI808)))</f>
        <v>0</v>
      </c>
      <c r="AO808" s="50" t="n">
        <f aca="false">IF(LEFT(Cockpit!$I$5,1)="A",H808,IF(CE808=1,CF808,IF(LEFT(Cockpit!$I$5,1)="B",AT808,MAX(AT808,H808))))</f>
        <v>1300</v>
      </c>
      <c r="AP808" s="50" t="n">
        <f aca="false">IF(BW808=1,0,ROUNDUP(AO808/BV808,0))</f>
        <v>1</v>
      </c>
      <c r="AQ808" s="52" t="n">
        <f aca="false">IF(CL808&gt;0,CL808*MAX(1,AO808/X808),IF(BW808=1,IF(AO808&lt;=0,0,CA808*MAX(1,IF(H808&gt;0,AO808/H808,1))),IF(R808&gt;0,AP808/R808,0))/MAX(0.1,N(Parameter!$M$21)))</f>
        <v>0.0833333333333333</v>
      </c>
      <c r="AR808" s="50" t="n">
        <f aca="false">AQ808*BY808</f>
        <v>12.0833333333333</v>
      </c>
      <c r="AS808" s="50" t="n">
        <f aca="false">AO808*G808</f>
        <v>312</v>
      </c>
      <c r="AT808" s="50" t="n">
        <f aca="false">ROUNDUP(MAX(J808/IF(CD808&gt;0,CD808,MAX(0.1,N(Cockpit!$I$6))),CG808)/BV808,0)*BV808</f>
        <v>1300</v>
      </c>
      <c r="AU808" s="51" t="n">
        <f aca="false">IF(AR808&gt;0,J808/AR808,-1)</f>
        <v>0.331034482758621</v>
      </c>
      <c r="AV808" s="51" t="n">
        <f aca="false">IF(AND(OR(CC808="L1",CC808="L23",CC808="LIFT"),AR808&gt;0),SUMIFS($AR$7:$AR$1843,$CC$7:$CC$1843,CC808,$AU$7:$AU$1843,"&gt;"&amp;AU808)+SUMIFS($AR$7:$AR$1843,$CC$7:$CC$1843,CC808,$AU$7:$AU$1843,AU808,$BT$7:$BT$1843,"&lt;="&amp;BT808),"")</f>
        <v>16398.4803113553</v>
      </c>
      <c r="AW808" s="58" t="n">
        <f aca="false">IF(AV808="",0,MAX(0,MIN(1,(IF(CC808="L1",Parameter!$H$5,IF(CC808="L23",Parameter!$H$6+Parameter!$H$7,Parameter!$H$5+Parameter!$H$6+Parameter!$H$7))-(AV808-AR808))/AR808)))</f>
        <v>1</v>
      </c>
      <c r="AX808" s="50" t="n">
        <f aca="false">IF(LEFT(Cockpit!$O$5,1)="A",H808,IF(CE808=1,CF808,IF(LEFT(Cockpit!$O$5,1)="B",BC808,MAX(BC808,H808))))</f>
        <v>1300</v>
      </c>
      <c r="AY808" s="50" t="n">
        <f aca="false">IF(BW808=1,0,ROUNDUP(AX808/BV808,0))</f>
        <v>1</v>
      </c>
      <c r="AZ808" s="52" t="n">
        <f aca="false">IF(CL808&gt;0,CL808*MAX(1,AX808/X808),IF(BW808=1,IF(AX808&lt;=0,0,CA808*MAX(1,IF(H808&gt;0,AX808/H808,1))),IF(R808&gt;0,AY808/R808,0))/MAX(0.1,N(Parameter!$M$21)))</f>
        <v>0.0833333333333333</v>
      </c>
      <c r="BA808" s="50" t="n">
        <f aca="false">AZ808*BY808</f>
        <v>12.0833333333333</v>
      </c>
      <c r="BB808" s="50" t="n">
        <f aca="false">AX808*G808</f>
        <v>312</v>
      </c>
      <c r="BC808" s="50" t="n">
        <f aca="false">ROUNDUP(MAX(J808/IF(CD808&gt;0,CD808,MAX(0.1,N(Cockpit!$O$6))),CG808)/BV808,0)*BV808</f>
        <v>1300</v>
      </c>
      <c r="BD808" s="51" t="n">
        <f aca="false">IF(BA808&gt;0,J808/BA808,-1)</f>
        <v>0.331034482758621</v>
      </c>
      <c r="BE808" s="51" t="n">
        <f aca="false">IF(AND(OR(CC808="L1",CC808="L23",CC808="LIFT"),BA808&gt;0),SUMIFS($BA$7:$BA$1843,$CC$7:$CC$1843,CC808,$BD$7:$BD$1843,"&gt;"&amp;BD808)+SUMIFS($BA$7:$BA$1843,$CC$7:$CC$1843,CC808,$BD$7:$BD$1843,BD808,$BT$7:$BT$1843,"&lt;="&amp;BT808),"")</f>
        <v>15149.1373626374</v>
      </c>
      <c r="BF808" s="58" t="n">
        <f aca="false">IF(BE808="",0,MAX(0,MIN(1,(IF(CC808="L1",Parameter!$H$5,IF(CC808="L23",Parameter!$H$6+Parameter!$H$7,Parameter!$H$5+Parameter!$H$6+Parameter!$H$7))-(BE808-BA808))/BA808)))</f>
        <v>1</v>
      </c>
      <c r="BG808" s="48" t="str">
        <f aca="false">IF(AI808&lt;=0,"",IF(CC808="Aussen","Aussenlager",IF(CC808="-","Nicht im Lift",IF(AN808&gt;=1,"Lift",IF(AN808&lt;=0,"Aussenlager","teilweise")))))</f>
        <v/>
      </c>
      <c r="BH808" s="48" t="str">
        <f aca="false">IF(AR808&lt;=0,"",IF(CC808="Aussen","Aussenlager",IF(CC808="-","Nicht im Lift",IF(AW808&gt;=1,"Lift",IF(AW808&lt;=0,"Aussenlager","teilweise")))))</f>
        <v>Lift</v>
      </c>
      <c r="BI808" s="48" t="str">
        <f aca="false">IF(BA808&lt;=0,"",IF(CC808="Aussen","Aussenlager",IF(CC808="-","Nicht im Lift",IF(BF808&gt;=1,"Lift",IF(BF808&lt;=0,"Aussenlager","teilweise")))))</f>
        <v>Lift</v>
      </c>
      <c r="BJ808" s="48" t="str">
        <f aca="false">IF(A808="","",IF(BS808=1,"Neu; ","")&amp;IF(AND(BS808=0,BN808&lt;0),"negativer Bestand (Export "&amp;BN808&amp;"); ","")&amp;IF(J808&lt;=0,"Kein Verbrauch; ","")&amp;IF(CL808&gt;0,"Lift "&amp;W808&amp;" lt. Liftbericht (Fach "&amp;X808&amp;" Stk); ",IF(BX808=1,"Gebinde geschätzt ("&amp;T808&amp;"); ",IF(BW808=1,"Lose – Tablare geschätzt; ","")))&amp;IF(H808&gt;AT808,"Überbestand "&amp;ROUND(H808-AT808,0)&amp;" Stk / CHF "&amp;ROUND((H808-AT808)*G808,0)&amp;"; ","")&amp;IF(AND(CE808=1,CF808&lt;CG808),"MAX &lt; MB+LG; ","")&amp;IF(AND(CK808&gt;0,CJ808*10&gt;CK808),"zu hoch für Tablar; ","")&amp;IF(AND(BS808=0,OR(CE808=1,AA808&lt;&gt;"",U808&lt;&gt;"",V808&lt;&gt;"",AB808&lt;&gt;"")),"manuell übersteuert; ","")&amp;IF(AND(BW808=0,R808=0),"Gebinde unbekannt / Stellmass fehlt; ","")&amp;IF(AND(BW808=0,N(V808)&lt;=0,N(Q808)&lt;=0),"Menge pro Gebinde fehlt (Ist = 1 Gebinde); ","")&amp;BR808)</f>
        <v>negativer Bestand (Export -24); Gebinde geschätzt (Mittel); Menge pro Gebinde fehlt (Ist = 1 Gebinde); </v>
      </c>
      <c r="BK808" s="48"/>
      <c r="BL808" s="48"/>
      <c r="BM808" s="55"/>
      <c r="BN808" s="50" t="n">
        <v>-24</v>
      </c>
      <c r="BO808" s="50" t="n">
        <v>24</v>
      </c>
      <c r="BP808" s="49" t="n">
        <v>-5.76</v>
      </c>
      <c r="BQ808" s="50" t="n">
        <v>4</v>
      </c>
      <c r="BR808" s="48"/>
      <c r="BS808" s="53" t="n">
        <v>0</v>
      </c>
      <c r="BT808" s="53" t="n">
        <v>808</v>
      </c>
      <c r="BU808" s="48" t="str">
        <f aca="false">IF(U808&lt;&gt;"",UPPER(TRIM(U808)),IF(BX808=1,UPPER(VLOOKUP(T808,Parameter!$I$27:$K$29,2,0)),IF(P808="","LOSE",P808)))</f>
        <v>S61</v>
      </c>
      <c r="BV808" s="50" t="n">
        <f aca="false">IF(BU808="LOSE",1,IF(N(V808)&gt;0,V808,IF(BX808=1,MAX(1,N(VLOOKUP(T808,Parameter!$I$27:$K$29,3,0)),H808,N(N808)),IF(N(Q808)&gt;0,Q808,MAX(1,H808)))))</f>
        <v>1300</v>
      </c>
      <c r="BW808" s="53" t="n">
        <f aca="false">IF(BU808="LOSE",1,0)</f>
        <v>0</v>
      </c>
      <c r="BX808" s="53" t="n">
        <f aca="false">IF(AND(U808="",OR(P808="",P808="LOSE"),T808&lt;&gt;"",N(S808)&lt;=0,ISNUMBER(MATCH(T808,Parameter!$I$27:$I$29,0))),1,0)</f>
        <v>1</v>
      </c>
      <c r="BY808" s="53" t="n">
        <f aca="false">IF(CL808&gt;0,INDEX(Parameter!$H$5:$H$7,W808)/INDEX(Parameter!$E$5:$E$7,W808),IF(AND(BW808=0,N(IFERROR(VLOOKUP(BU808,'Gebinde-Kategorie'!$A$5:$N$45,14,0),0))&gt;0),VLOOKUP(BU808,'Gebinde-Kategorie'!$A$5:$N$45,14,0)*10+Parameter!$M$23,Parameter!$M$24))</f>
        <v>145</v>
      </c>
      <c r="BZ808" s="48" t="str">
        <f aca="false">IF(AND(Parameter!$B$19="Ja",E808&lt;&gt;"",ISNUMBER(MATCH(E808,Parameter!$I$35:$I$52,0))),VLOOKUP(E808,Parameter!$I$35:$J$52,2,0),IFERROR(VLOOKUP(D808,Parameter!$A$35:$C$64,2,0),"Nein"))</f>
        <v>2+3</v>
      </c>
      <c r="CA808" s="52" t="n">
        <f aca="false">IF(BW808=0,0,IF(N(S808)&gt;0,S808,IFERROR(VLOOKUP(D808,Parameter!$A$35:$C$64,3,0)+0,0)))</f>
        <v>0</v>
      </c>
      <c r="CB808" s="48" t="n">
        <f aca="false">IF(AA808&lt;&gt;"",AA808,Z808)</f>
        <v>2</v>
      </c>
      <c r="CC808" s="48" t="str">
        <f aca="false">IF(OR(CB808=1,CB808=2,CB808=3),IF(Parameter!$E$27="Ja","LIFT",IF(CB808=1,"L1","L23")),IF(CB808="Aussen","Aussen","-"))</f>
        <v>LIFT</v>
      </c>
      <c r="CD808" s="59" t="n">
        <f aca="false">IF(N(AB808)&gt;0,AB808,0)</f>
        <v>0</v>
      </c>
      <c r="CE808" s="53" t="n">
        <f aca="false">IF(ISNUMBER(AE808),1,0)</f>
        <v>0</v>
      </c>
      <c r="CF808" s="50" t="n">
        <f aca="false">N(AE808)</f>
        <v>0</v>
      </c>
      <c r="CG808" s="50" t="n">
        <f aca="false">N(M808)+N(N808)</f>
        <v>1300</v>
      </c>
      <c r="CH808" s="50" t="n">
        <f aca="false">ROUNDUP(H808/BV808,0)</f>
        <v>0</v>
      </c>
      <c r="CI808" s="50" t="n">
        <f aca="false">ROUNDUP(CF808/BV808,0)</f>
        <v>0</v>
      </c>
      <c r="CJ808" s="53" t="n">
        <f aca="false">IF(BW808=1,0,IFERROR(VLOOKUP(BU808,'Gebinde-Kategorie'!$A$5:$N$45,5,0)+0,0))</f>
        <v>11</v>
      </c>
      <c r="CK808" s="53" t="n">
        <f aca="false">IFERROR(IF(OR(CB808=1,CB808=2,CB808=3),N(INDEX(Parameter!$I$5:$I$7,CB808)),0),0)</f>
        <v>0</v>
      </c>
      <c r="CL808" s="52" t="n">
        <f aca="false">IF(AND(Parameter!$B$21="Ja",ISNUMBER(W808),N(X808)&gt;0),IFERROR(N(INDEX(Parameter!$L$5:$L$7,W808))*INDEX(Parameter!$E$5:$E$7,W808)*X808/SUMIFS($X$7:$X$1843,$W$7:$W$1843,W808),0),0)</f>
        <v>0</v>
      </c>
    </row>
    <row r="809" customFormat="false" ht="15" hidden="false" customHeight="false" outlineLevel="0" collapsed="false">
      <c r="A809" s="48" t="s">
        <v>1572</v>
      </c>
      <c r="B809" s="48" t="s">
        <v>409</v>
      </c>
      <c r="C809" s="48" t="s">
        <v>460</v>
      </c>
      <c r="D809" s="48" t="s">
        <v>188</v>
      </c>
      <c r="E809" s="48"/>
      <c r="F809" s="48" t="s">
        <v>222</v>
      </c>
      <c r="G809" s="49" t="n">
        <v>0.03</v>
      </c>
      <c r="H809" s="50" t="n">
        <f aca="false">MAX(0,IF(AND(Parameter!$B$21="Ja",ISNUMBER(Y809)),Y809,IF(Parameter!$B$20="Jahresanfang 2025 + Export",BO809+BN809,BN809)))</f>
        <v>196</v>
      </c>
      <c r="I809" s="50" t="n">
        <f aca="false">H809*G809</f>
        <v>5.88</v>
      </c>
      <c r="J809" s="50" t="n">
        <f aca="false">BQ809*Parameter!$B$18</f>
        <v>196</v>
      </c>
      <c r="K809" s="51" t="n">
        <v>196</v>
      </c>
      <c r="L809" s="52" t="n">
        <v>1</v>
      </c>
      <c r="M809" s="50" t="n">
        <v>7</v>
      </c>
      <c r="N809" s="50" t="n">
        <v>195</v>
      </c>
      <c r="O809" s="53" t="n">
        <v>14</v>
      </c>
      <c r="P809" s="48" t="s">
        <v>172</v>
      </c>
      <c r="Q809" s="50"/>
      <c r="R809" s="53" t="n">
        <f aca="false">IF(BW809=1,0,IFERROR(VLOOKUP(BU809,'Gebinde-Kategorie'!$A$5:$N$45,13,0)+0,0))</f>
        <v>26</v>
      </c>
      <c r="S809" s="54"/>
      <c r="T809" s="55" t="s">
        <v>279</v>
      </c>
      <c r="U809" s="55"/>
      <c r="V809" s="55"/>
      <c r="W809" s="48"/>
      <c r="X809" s="50"/>
      <c r="Y809" s="50"/>
      <c r="Z809" s="48" t="n">
        <f aca="false">IF(A809="","",IF(AND(Parameter!$B$21="Ja",ISNUMBER(W809)),W809,IF(BZ809="2+3",IF(ISNUMBER(SEARCH("grosser Artikel",BR809)),2,IFERROR(VLOOKUP(BU809,Parameter!$F$35:$G$64,2,0),2)),IF(OR(BZ809="Nein",BZ809=""),"-",BZ809))))</f>
        <v>3</v>
      </c>
      <c r="AA809" s="55"/>
      <c r="AB809" s="56"/>
      <c r="AC809" s="50" t="n">
        <f aca="false">AT809</f>
        <v>392</v>
      </c>
      <c r="AD809" s="50" t="n">
        <f aca="false">MAX(AT809,H809)</f>
        <v>392</v>
      </c>
      <c r="AE809" s="57"/>
      <c r="AF809" s="50" t="n">
        <f aca="false">IF(LEFT(Cockpit!$C$5,1)="A",H809,IF(CE809=1,CF809,IF(LEFT(Cockpit!$C$5,1)="B",AK809,MAX(AK809,H809))))</f>
        <v>196</v>
      </c>
      <c r="AG809" s="50" t="n">
        <f aca="false">IF(BW809=1,0,ROUNDUP(AF809/BV809,0))</f>
        <v>1</v>
      </c>
      <c r="AH809" s="52" t="n">
        <f aca="false">IF(CL809&gt;0,CL809*MAX(1,AF809/X809),IF(BW809=1,IF(AF809&lt;=0,0,CA809*MAX(1,IF(H809&gt;0,AF809/H809,1))),IF(R809&gt;0,AG809/R809,0))/MAX(0.1,N(Parameter!$M$21)))</f>
        <v>0.0384615384615385</v>
      </c>
      <c r="AI809" s="50" t="n">
        <f aca="false">AH809*BY809</f>
        <v>5.96153846153846</v>
      </c>
      <c r="AJ809" s="50" t="n">
        <f aca="false">AF809*G809</f>
        <v>5.88</v>
      </c>
      <c r="AK809" s="50" t="n">
        <f aca="false">ROUNDUP(MAX(J809/IF(CD809&gt;0,CD809,MAX(0.1,N(Cockpit!$C$6))),CG809)/BV809,0)*BV809</f>
        <v>392</v>
      </c>
      <c r="AL809" s="51" t="n">
        <f aca="false">IF(AI809&gt;0,J809/AI809,-1)</f>
        <v>32.8774193548387</v>
      </c>
      <c r="AM809" s="51" t="n">
        <f aca="false">IF(AND(OR(CC809="L1",CC809="L23",CC809="LIFT"),AI809&gt;0),SUMIFS($AI$7:$AI$1843,$CC$7:$CC$1843,CC809,$AL$7:$AL$1843,"&gt;"&amp;AL809)+SUMIFS($AI$7:$AI$1843,$CC$7:$CC$1843,CC809,$AL$7:$AL$1843,AL809,$BT$7:$BT$1843,"&lt;="&amp;BT809),"")</f>
        <v>1340.48763736264</v>
      </c>
      <c r="AN809" s="58" t="n">
        <f aca="false">IF(AM809="",0,MAX(0,MIN(1,(IF(CC809="L1",Parameter!$H$5,IF(CC809="L23",Parameter!$H$6+Parameter!$H$7,Parameter!$H$5+Parameter!$H$6+Parameter!$H$7))-(AM809-AI809))/AI809)))</f>
        <v>1</v>
      </c>
      <c r="AO809" s="50" t="n">
        <f aca="false">IF(LEFT(Cockpit!$I$5,1)="A",H809,IF(CE809=1,CF809,IF(LEFT(Cockpit!$I$5,1)="B",AT809,MAX(AT809,H809))))</f>
        <v>392</v>
      </c>
      <c r="AP809" s="50" t="n">
        <f aca="false">IF(BW809=1,0,ROUNDUP(AO809/BV809,0))</f>
        <v>2</v>
      </c>
      <c r="AQ809" s="52" t="n">
        <f aca="false">IF(CL809&gt;0,CL809*MAX(1,AO809/X809),IF(BW809=1,IF(AO809&lt;=0,0,CA809*MAX(1,IF(H809&gt;0,AO809/H809,1))),IF(R809&gt;0,AP809/R809,0))/MAX(0.1,N(Parameter!$M$21)))</f>
        <v>0.0769230769230769</v>
      </c>
      <c r="AR809" s="50" t="n">
        <f aca="false">AQ809*BY809</f>
        <v>11.9230769230769</v>
      </c>
      <c r="AS809" s="50" t="n">
        <f aca="false">AO809*G809</f>
        <v>11.76</v>
      </c>
      <c r="AT809" s="50" t="n">
        <f aca="false">ROUNDUP(MAX(J809/IF(CD809&gt;0,CD809,MAX(0.1,N(Cockpit!$I$6))),CG809)/BV809,0)*BV809</f>
        <v>392</v>
      </c>
      <c r="AU809" s="51" t="n">
        <f aca="false">IF(AR809&gt;0,J809/AR809,-1)</f>
        <v>16.4387096774194</v>
      </c>
      <c r="AV809" s="51" t="n">
        <f aca="false">IF(AND(OR(CC809="L1",CC809="L23",CC809="LIFT"),AR809&gt;0),SUMIFS($AR$7:$AR$1843,$CC$7:$CC$1843,CC809,$AU$7:$AU$1843,"&gt;"&amp;AU809)+SUMIFS($AR$7:$AR$1843,$CC$7:$CC$1843,CC809,$AU$7:$AU$1843,AU809,$BT$7:$BT$1843,"&lt;="&amp;BT809),"")</f>
        <v>3121.53021978022</v>
      </c>
      <c r="AW809" s="58" t="n">
        <f aca="false">IF(AV809="",0,MAX(0,MIN(1,(IF(CC809="L1",Parameter!$H$5,IF(CC809="L23",Parameter!$H$6+Parameter!$H$7,Parameter!$H$5+Parameter!$H$6+Parameter!$H$7))-(AV809-AR809))/AR809)))</f>
        <v>1</v>
      </c>
      <c r="AX809" s="50" t="n">
        <f aca="false">IF(LEFT(Cockpit!$O$5,1)="A",H809,IF(CE809=1,CF809,IF(LEFT(Cockpit!$O$5,1)="B",BC809,MAX(BC809,H809))))</f>
        <v>392</v>
      </c>
      <c r="AY809" s="50" t="n">
        <f aca="false">IF(BW809=1,0,ROUNDUP(AX809/BV809,0))</f>
        <v>2</v>
      </c>
      <c r="AZ809" s="52" t="n">
        <f aca="false">IF(CL809&gt;0,CL809*MAX(1,AX809/X809),IF(BW809=1,IF(AX809&lt;=0,0,CA809*MAX(1,IF(H809&gt;0,AX809/H809,1))),IF(R809&gt;0,AY809/R809,0))/MAX(0.1,N(Parameter!$M$21)))</f>
        <v>0.0769230769230769</v>
      </c>
      <c r="BA809" s="50" t="n">
        <f aca="false">AZ809*BY809</f>
        <v>11.9230769230769</v>
      </c>
      <c r="BB809" s="50" t="n">
        <f aca="false">AX809*G809</f>
        <v>11.76</v>
      </c>
      <c r="BC809" s="50" t="n">
        <f aca="false">ROUNDUP(MAX(J809/IF(CD809&gt;0,CD809,MAX(0.1,N(Cockpit!$O$6))),CG809)/BV809,0)*BV809</f>
        <v>392</v>
      </c>
      <c r="BD809" s="51" t="n">
        <f aca="false">IF(BA809&gt;0,J809/BA809,-1)</f>
        <v>16.4387096774194</v>
      </c>
      <c r="BE809" s="51" t="n">
        <f aca="false">IF(AND(OR(CC809="L1",CC809="L23",CC809="LIFT"),BA809&gt;0),SUMIFS($BA$7:$BA$1843,$CC$7:$CC$1843,CC809,$BD$7:$BD$1843,"&gt;"&amp;BD809)+SUMIFS($BA$7:$BA$1843,$CC$7:$CC$1843,CC809,$BD$7:$BD$1843,BD809,$BT$7:$BT$1843,"&lt;="&amp;BT809),"")</f>
        <v>2795.96932234432</v>
      </c>
      <c r="BF809" s="58" t="n">
        <f aca="false">IF(BE809="",0,MAX(0,MIN(1,(IF(CC809="L1",Parameter!$H$5,IF(CC809="L23",Parameter!$H$6+Parameter!$H$7,Parameter!$H$5+Parameter!$H$6+Parameter!$H$7))-(BE809-BA809))/BA809)))</f>
        <v>1</v>
      </c>
      <c r="BG809" s="48" t="str">
        <f aca="false">IF(AI809&lt;=0,"",IF(CC809="Aussen","Aussenlager",IF(CC809="-","Nicht im Lift",IF(AN809&gt;=1,"Lift",IF(AN809&lt;=0,"Aussenlager","teilweise")))))</f>
        <v>Lift</v>
      </c>
      <c r="BH809" s="48" t="str">
        <f aca="false">IF(AR809&lt;=0,"",IF(CC809="Aussen","Aussenlager",IF(CC809="-","Nicht im Lift",IF(AW809&gt;=1,"Lift",IF(AW809&lt;=0,"Aussenlager","teilweise")))))</f>
        <v>Lift</v>
      </c>
      <c r="BI809" s="48" t="str">
        <f aca="false">IF(BA809&lt;=0,"",IF(CC809="Aussen","Aussenlager",IF(CC809="-","Nicht im Lift",IF(BF809&gt;=1,"Lift",IF(BF809&lt;=0,"Aussenlager","teilweise")))))</f>
        <v>Lift</v>
      </c>
      <c r="BJ809" s="48" t="str">
        <f aca="false">IF(A809="","",IF(BS809=1,"Neu; ","")&amp;IF(AND(BS809=0,BN809&lt;0),"negativer Bestand (Export "&amp;BN809&amp;"); ","")&amp;IF(J809&lt;=0,"Kein Verbrauch; ","")&amp;IF(CL809&gt;0,"Lift "&amp;W809&amp;" lt. Liftbericht (Fach "&amp;X809&amp;" Stk); ",IF(BX809=1,"Gebinde geschätzt ("&amp;T809&amp;"); ",IF(BW809=1,"Lose – Tablare geschätzt; ","")))&amp;IF(H809&gt;AT809,"Überbestand "&amp;ROUND(H809-AT809,0)&amp;" Stk / CHF "&amp;ROUND((H809-AT809)*G809,0)&amp;"; ","")&amp;IF(AND(CE809=1,CF809&lt;CG809),"MAX &lt; MB+LG; ","")&amp;IF(AND(CK809&gt;0,CJ809*10&gt;CK809),"zu hoch für Tablar; ","")&amp;IF(AND(BS809=0,OR(CE809=1,AA809&lt;&gt;"",U809&lt;&gt;"",V809&lt;&gt;"",AB809&lt;&gt;"")),"manuell übersteuert; ","")&amp;IF(AND(BW809=0,R809=0),"Gebinde unbekannt / Stellmass fehlt; ","")&amp;IF(AND(BW809=0,N(V809)&lt;=0,N(Q809)&lt;=0),"Menge pro Gebinde fehlt (Ist = 1 Gebinde); ","")&amp;BR809)</f>
        <v>negativer Bestand (Export -196); Gebinde geschätzt (Klein); Menge pro Gebinde fehlt (Ist = 1 Gebinde); </v>
      </c>
      <c r="BK809" s="48"/>
      <c r="BL809" s="48"/>
      <c r="BM809" s="55"/>
      <c r="BN809" s="50" t="n">
        <v>-196</v>
      </c>
      <c r="BO809" s="50" t="n">
        <v>392</v>
      </c>
      <c r="BP809" s="49" t="n">
        <v>-5.88</v>
      </c>
      <c r="BQ809" s="50" t="n">
        <v>196</v>
      </c>
      <c r="BR809" s="48"/>
      <c r="BS809" s="53" t="n">
        <v>0</v>
      </c>
      <c r="BT809" s="53" t="n">
        <v>809</v>
      </c>
      <c r="BU809" s="48" t="str">
        <f aca="false">IF(U809&lt;&gt;"",UPPER(TRIM(U809)),IF(BX809=1,UPPER(VLOOKUP(T809,Parameter!$I$27:$K$29,2,0)),IF(P809="","LOSE",P809)))</f>
        <v>S51</v>
      </c>
      <c r="BV809" s="50" t="n">
        <f aca="false">IF(BU809="LOSE",1,IF(N(V809)&gt;0,V809,IF(BX809=1,MAX(1,N(VLOOKUP(T809,Parameter!$I$27:$K$29,3,0)),H809,N(N809)),IF(N(Q809)&gt;0,Q809,MAX(1,H809)))))</f>
        <v>196</v>
      </c>
      <c r="BW809" s="53" t="n">
        <f aca="false">IF(BU809="LOSE",1,0)</f>
        <v>0</v>
      </c>
      <c r="BX809" s="53" t="n">
        <f aca="false">IF(AND(U809="",OR(P809="",P809="LOSE"),T809&lt;&gt;"",N(S809)&lt;=0,ISNUMBER(MATCH(T809,Parameter!$I$27:$I$29,0))),1,0)</f>
        <v>1</v>
      </c>
      <c r="BY809" s="53" t="n">
        <f aca="false">IF(CL809&gt;0,INDEX(Parameter!$H$5:$H$7,W809)/INDEX(Parameter!$E$5:$E$7,W809),IF(AND(BW809=0,N(IFERROR(VLOOKUP(BU809,'Gebinde-Kategorie'!$A$5:$N$45,14,0),0))&gt;0),VLOOKUP(BU809,'Gebinde-Kategorie'!$A$5:$N$45,14,0)*10+Parameter!$M$23,Parameter!$M$24))</f>
        <v>155</v>
      </c>
      <c r="BZ809" s="48" t="str">
        <f aca="false">IF(AND(Parameter!$B$19="Ja",E809&lt;&gt;"",ISNUMBER(MATCH(E809,Parameter!$I$35:$I$52,0))),VLOOKUP(E809,Parameter!$I$35:$J$52,2,0),IFERROR(VLOOKUP(D809,Parameter!$A$35:$C$64,2,0),"Nein"))</f>
        <v>2+3</v>
      </c>
      <c r="CA809" s="52" t="n">
        <f aca="false">IF(BW809=0,0,IF(N(S809)&gt;0,S809,IFERROR(VLOOKUP(D809,Parameter!$A$35:$C$64,3,0)+0,0)))</f>
        <v>0</v>
      </c>
      <c r="CB809" s="48" t="n">
        <f aca="false">IF(AA809&lt;&gt;"",AA809,Z809)</f>
        <v>3</v>
      </c>
      <c r="CC809" s="48" t="str">
        <f aca="false">IF(OR(CB809=1,CB809=2,CB809=3),IF(Parameter!$E$27="Ja","LIFT",IF(CB809=1,"L1","L23")),IF(CB809="Aussen","Aussen","-"))</f>
        <v>LIFT</v>
      </c>
      <c r="CD809" s="59" t="n">
        <f aca="false">IF(N(AB809)&gt;0,AB809,0)</f>
        <v>0</v>
      </c>
      <c r="CE809" s="53" t="n">
        <f aca="false">IF(ISNUMBER(AE809),1,0)</f>
        <v>0</v>
      </c>
      <c r="CF809" s="50" t="n">
        <f aca="false">N(AE809)</f>
        <v>0</v>
      </c>
      <c r="CG809" s="50" t="n">
        <f aca="false">N(M809)+N(N809)</f>
        <v>202</v>
      </c>
      <c r="CH809" s="50" t="n">
        <f aca="false">ROUNDUP(H809/BV809,0)</f>
        <v>1</v>
      </c>
      <c r="CI809" s="50" t="n">
        <f aca="false">ROUNDUP(CF809/BV809,0)</f>
        <v>0</v>
      </c>
      <c r="CJ809" s="53" t="n">
        <f aca="false">IF(BW809=1,0,IFERROR(VLOOKUP(BU809,'Gebinde-Kategorie'!$A$5:$N$45,5,0)+0,0))</f>
        <v>11</v>
      </c>
      <c r="CK809" s="53" t="n">
        <f aca="false">IFERROR(IF(OR(CB809=1,CB809=2,CB809=3),N(INDEX(Parameter!$I$5:$I$7,CB809)),0),0)</f>
        <v>0</v>
      </c>
      <c r="CL809" s="52" t="n">
        <f aca="false">IF(AND(Parameter!$B$21="Ja",ISNUMBER(W809),N(X809)&gt;0),IFERROR(N(INDEX(Parameter!$L$5:$L$7,W809))*INDEX(Parameter!$E$5:$E$7,W809)*X809/SUMIFS($X$7:$X$1843,$W$7:$W$1843,W809),0),0)</f>
        <v>0</v>
      </c>
    </row>
    <row r="810" customFormat="false" ht="15" hidden="false" customHeight="false" outlineLevel="0" collapsed="false">
      <c r="A810" s="48" t="s">
        <v>1573</v>
      </c>
      <c r="B810" s="48" t="s">
        <v>1242</v>
      </c>
      <c r="C810" s="48" t="s">
        <v>168</v>
      </c>
      <c r="D810" s="48" t="s">
        <v>188</v>
      </c>
      <c r="E810" s="48" t="s">
        <v>189</v>
      </c>
      <c r="F810" s="48" t="s">
        <v>222</v>
      </c>
      <c r="G810" s="49" t="n">
        <v>0.06</v>
      </c>
      <c r="H810" s="50" t="n">
        <f aca="false">MAX(0,IF(AND(Parameter!$B$21="Ja",ISNUMBER(Y810)),Y810,IF(Parameter!$B$20="Jahresanfang 2025 + Export",BO810+BN810,BN810)))</f>
        <v>2697</v>
      </c>
      <c r="I810" s="50" t="n">
        <f aca="false">H810*G810</f>
        <v>161.82</v>
      </c>
      <c r="J810" s="50" t="n">
        <f aca="false">BQ810*Parameter!$B$18</f>
        <v>3700</v>
      </c>
      <c r="K810" s="51" t="n">
        <v>600</v>
      </c>
      <c r="L810" s="52" t="n">
        <v>6.16666666666667</v>
      </c>
      <c r="M810" s="50" t="n">
        <v>1</v>
      </c>
      <c r="N810" s="50" t="n">
        <v>3700</v>
      </c>
      <c r="O810" s="53" t="n">
        <v>14</v>
      </c>
      <c r="P810" s="48" t="s">
        <v>306</v>
      </c>
      <c r="Q810" s="50" t="n">
        <v>855</v>
      </c>
      <c r="R810" s="53" t="n">
        <f aca="false">IF(BW810=1,0,IFERROR(VLOOKUP(BU810,'Gebinde-Kategorie'!$A$5:$N$45,13,0)+0,0))</f>
        <v>26</v>
      </c>
      <c r="S810" s="54"/>
      <c r="T810" s="55"/>
      <c r="U810" s="55"/>
      <c r="V810" s="55"/>
      <c r="W810" s="48"/>
      <c r="X810" s="50"/>
      <c r="Y810" s="50"/>
      <c r="Z810" s="48" t="n">
        <f aca="false">IF(A810="","",IF(AND(Parameter!$B$21="Ja",ISNUMBER(W810)),W810,IF(BZ810="2+3",IF(ISNUMBER(SEARCH("grosser Artikel",BR810)),2,IFERROR(VLOOKUP(BU810,Parameter!$F$35:$G$64,2,0),2)),IF(OR(BZ810="Nein",BZ810=""),"-",BZ810))))</f>
        <v>3</v>
      </c>
      <c r="AA810" s="55"/>
      <c r="AB810" s="56"/>
      <c r="AC810" s="50" t="n">
        <f aca="false">AT810</f>
        <v>4275</v>
      </c>
      <c r="AD810" s="50" t="n">
        <f aca="false">MAX(AT810,H810)</f>
        <v>4275</v>
      </c>
      <c r="AE810" s="57"/>
      <c r="AF810" s="50" t="n">
        <f aca="false">IF(LEFT(Cockpit!$C$5,1)="A",H810,IF(CE810=1,CF810,IF(LEFT(Cockpit!$C$5,1)="B",AK810,MAX(AK810,H810))))</f>
        <v>2697</v>
      </c>
      <c r="AG810" s="50" t="n">
        <f aca="false">IF(BW810=1,0,ROUNDUP(AF810/BV810,0))</f>
        <v>4</v>
      </c>
      <c r="AH810" s="52" t="n">
        <f aca="false">IF(CL810&gt;0,CL810*MAX(1,AF810/X810),IF(BW810=1,IF(AF810&lt;=0,0,CA810*MAX(1,IF(H810&gt;0,AF810/H810,1))),IF(R810&gt;0,AG810/R810,0))/MAX(0.1,N(Parameter!$M$21)))</f>
        <v>0.153846153846154</v>
      </c>
      <c r="AI810" s="50" t="n">
        <f aca="false">AH810*BY810</f>
        <v>23.8461538461538</v>
      </c>
      <c r="AJ810" s="50" t="n">
        <f aca="false">AF810*G810</f>
        <v>161.82</v>
      </c>
      <c r="AK810" s="50" t="n">
        <f aca="false">ROUNDUP(MAX(J810/IF(CD810&gt;0,CD810,MAX(0.1,N(Cockpit!$C$6))),CG810)/BV810,0)*BV810</f>
        <v>4275</v>
      </c>
      <c r="AL810" s="51" t="n">
        <f aca="false">IF(AI810&gt;0,J810/AI810,-1)</f>
        <v>155.161290322581</v>
      </c>
      <c r="AM810" s="51" t="n">
        <f aca="false">IF(AND(OR(CC810="L1",CC810="L23",CC810="LIFT"),AI810&gt;0),SUMIFS($AI$7:$AI$1843,$CC$7:$CC$1843,CC810,$AL$7:$AL$1843,"&gt;"&amp;AL810)+SUMIFS($AI$7:$AI$1843,$CC$7:$CC$1843,CC810,$AL$7:$AL$1843,AL810,$BT$7:$BT$1843,"&lt;="&amp;BT810),"")</f>
        <v>457.184523809524</v>
      </c>
      <c r="AN810" s="58" t="n">
        <f aca="false">IF(AM810="",0,MAX(0,MIN(1,(IF(CC810="L1",Parameter!$H$5,IF(CC810="L23",Parameter!$H$6+Parameter!$H$7,Parameter!$H$5+Parameter!$H$6+Parameter!$H$7))-(AM810-AI810))/AI810)))</f>
        <v>1</v>
      </c>
      <c r="AO810" s="50" t="n">
        <f aca="false">IF(LEFT(Cockpit!$I$5,1)="A",H810,IF(CE810=1,CF810,IF(LEFT(Cockpit!$I$5,1)="B",AT810,MAX(AT810,H810))))</f>
        <v>4275</v>
      </c>
      <c r="AP810" s="50" t="n">
        <f aca="false">IF(BW810=1,0,ROUNDUP(AO810/BV810,0))</f>
        <v>5</v>
      </c>
      <c r="AQ810" s="52" t="n">
        <f aca="false">IF(CL810&gt;0,CL810*MAX(1,AO810/X810),IF(BW810=1,IF(AO810&lt;=0,0,CA810*MAX(1,IF(H810&gt;0,AO810/H810,1))),IF(R810&gt;0,AP810/R810,0))/MAX(0.1,N(Parameter!$M$21)))</f>
        <v>0.192307692307692</v>
      </c>
      <c r="AR810" s="50" t="n">
        <f aca="false">AQ810*BY810</f>
        <v>29.8076923076923</v>
      </c>
      <c r="AS810" s="50" t="n">
        <f aca="false">AO810*G810</f>
        <v>256.5</v>
      </c>
      <c r="AT810" s="50" t="n">
        <f aca="false">ROUNDUP(MAX(J810/IF(CD810&gt;0,CD810,MAX(0.1,N(Cockpit!$I$6))),CG810)/BV810,0)*BV810</f>
        <v>4275</v>
      </c>
      <c r="AU810" s="51" t="n">
        <f aca="false">IF(AR810&gt;0,J810/AR810,-1)</f>
        <v>124.129032258065</v>
      </c>
      <c r="AV810" s="51" t="n">
        <f aca="false">IF(AND(OR(CC810="L1",CC810="L23",CC810="LIFT"),AR810&gt;0),SUMIFS($AR$7:$AR$1843,$CC$7:$CC$1843,CC810,$AU$7:$AU$1843,"&gt;"&amp;AU810)+SUMIFS($AR$7:$AR$1843,$CC$7:$CC$1843,CC810,$AU$7:$AU$1843,AU810,$BT$7:$BT$1843,"&lt;="&amp;BT810),"")</f>
        <v>815.703754578755</v>
      </c>
      <c r="AW810" s="58" t="n">
        <f aca="false">IF(AV810="",0,MAX(0,MIN(1,(IF(CC810="L1",Parameter!$H$5,IF(CC810="L23",Parameter!$H$6+Parameter!$H$7,Parameter!$H$5+Parameter!$H$6+Parameter!$H$7))-(AV810-AR810))/AR810)))</f>
        <v>1</v>
      </c>
      <c r="AX810" s="50" t="n">
        <f aca="false">IF(LEFT(Cockpit!$O$5,1)="A",H810,IF(CE810=1,CF810,IF(LEFT(Cockpit!$O$5,1)="B",BC810,MAX(BC810,H810))))</f>
        <v>4275</v>
      </c>
      <c r="AY810" s="50" t="n">
        <f aca="false">IF(BW810=1,0,ROUNDUP(AX810/BV810,0))</f>
        <v>5</v>
      </c>
      <c r="AZ810" s="52" t="n">
        <f aca="false">IF(CL810&gt;0,CL810*MAX(1,AX810/X810),IF(BW810=1,IF(AX810&lt;=0,0,CA810*MAX(1,IF(H810&gt;0,AX810/H810,1))),IF(R810&gt;0,AY810/R810,0))/MAX(0.1,N(Parameter!$M$21)))</f>
        <v>0.192307692307692</v>
      </c>
      <c r="BA810" s="50" t="n">
        <f aca="false">AZ810*BY810</f>
        <v>29.8076923076923</v>
      </c>
      <c r="BB810" s="50" t="n">
        <f aca="false">AX810*G810</f>
        <v>256.5</v>
      </c>
      <c r="BC810" s="50" t="n">
        <f aca="false">ROUNDUP(MAX(J810/IF(CD810&gt;0,CD810,MAX(0.1,N(Cockpit!$O$6))),CG810)/BV810,0)*BV810</f>
        <v>4275</v>
      </c>
      <c r="BD810" s="51" t="n">
        <f aca="false">IF(BA810&gt;0,J810/BA810,-1)</f>
        <v>124.129032258065</v>
      </c>
      <c r="BE810" s="51" t="n">
        <f aca="false">IF(AND(OR(CC810="L1",CC810="L23",CC810="LIFT"),BA810&gt;0),SUMIFS($BA$7:$BA$1843,$CC$7:$CC$1843,CC810,$BD$7:$BD$1843,"&gt;"&amp;BD810)+SUMIFS($BA$7:$BA$1843,$CC$7:$CC$1843,CC810,$BD$7:$BD$1843,BD810,$BT$7:$BT$1843,"&lt;="&amp;BT810),"")</f>
        <v>760.142857142857</v>
      </c>
      <c r="BF810" s="58" t="n">
        <f aca="false">IF(BE810="",0,MAX(0,MIN(1,(IF(CC810="L1",Parameter!$H$5,IF(CC810="L23",Parameter!$H$6+Parameter!$H$7,Parameter!$H$5+Parameter!$H$6+Parameter!$H$7))-(BE810-BA810))/BA810)))</f>
        <v>1</v>
      </c>
      <c r="BG810" s="48" t="str">
        <f aca="false">IF(AI810&lt;=0,"",IF(CC810="Aussen","Aussenlager",IF(CC810="-","Nicht im Lift",IF(AN810&gt;=1,"Lift",IF(AN810&lt;=0,"Aussenlager","teilweise")))))</f>
        <v>Lift</v>
      </c>
      <c r="BH810" s="48" t="str">
        <f aca="false">IF(AR810&lt;=0,"",IF(CC810="Aussen","Aussenlager",IF(CC810="-","Nicht im Lift",IF(AW810&gt;=1,"Lift",IF(AW810&lt;=0,"Aussenlager","teilweise")))))</f>
        <v>Lift</v>
      </c>
      <c r="BI810" s="48" t="str">
        <f aca="false">IF(BA810&lt;=0,"",IF(CC810="Aussen","Aussenlager",IF(CC810="-","Nicht im Lift",IF(BF810&gt;=1,"Lift",IF(BF810&lt;=0,"Aussenlager","teilweise")))))</f>
        <v>Lift</v>
      </c>
      <c r="BJ810" s="48" t="str">
        <f aca="false">IF(A810="","",IF(BS810=1,"Neu; ","")&amp;IF(AND(BS810=0,BN810&lt;0),"negativer Bestand (Export "&amp;BN810&amp;"); ","")&amp;IF(J810&lt;=0,"Kein Verbrauch; ","")&amp;IF(CL810&gt;0,"Lift "&amp;W810&amp;" lt. Liftbericht (Fach "&amp;X810&amp;" Stk); ",IF(BX810=1,"Gebinde geschätzt ("&amp;T810&amp;"); ",IF(BW810=1,"Lose – Tablare geschätzt; ","")))&amp;IF(H810&gt;AT810,"Überbestand "&amp;ROUND(H810-AT810,0)&amp;" Stk / CHF "&amp;ROUND((H810-AT810)*G810,0)&amp;"; ","")&amp;IF(AND(CE810=1,CF810&lt;CG810),"MAX &lt; MB+LG; ","")&amp;IF(AND(CK810&gt;0,CJ810*10&gt;CK810),"zu hoch für Tablar; ","")&amp;IF(AND(BS810=0,OR(CE810=1,AA810&lt;&gt;"",U810&lt;&gt;"",V810&lt;&gt;"",AB810&lt;&gt;"")),"manuell übersteuert; ","")&amp;IF(AND(BW810=0,R810=0),"Gebinde unbekannt / Stellmass fehlt; ","")&amp;IF(AND(BW810=0,N(V810)&lt;=0,N(Q810)&lt;=0),"Menge pro Gebinde fehlt (Ist = 1 Gebinde); ","")&amp;BR810)</f>
        <v/>
      </c>
      <c r="BK810" s="48"/>
      <c r="BL810" s="48"/>
      <c r="BM810" s="55"/>
      <c r="BN810" s="50" t="n">
        <v>2097</v>
      </c>
      <c r="BO810" s="50" t="n">
        <v>600</v>
      </c>
      <c r="BP810" s="49" t="n">
        <v>-6.18000000000004</v>
      </c>
      <c r="BQ810" s="50" t="n">
        <v>3700</v>
      </c>
      <c r="BR810" s="48"/>
      <c r="BS810" s="53" t="n">
        <v>0</v>
      </c>
      <c r="BT810" s="53" t="n">
        <v>810</v>
      </c>
      <c r="BU810" s="48" t="str">
        <f aca="false">IF(U810&lt;&gt;"",UPPER(TRIM(U810)),IF(BX810=1,UPPER(VLOOKUP(T810,Parameter!$I$27:$K$29,2,0)),IF(P810="","LOSE",P810)))</f>
        <v>S51</v>
      </c>
      <c r="BV810" s="50" t="n">
        <f aca="false">IF(BU810="LOSE",1,IF(N(V810)&gt;0,V810,IF(BX810=1,MAX(1,N(VLOOKUP(T810,Parameter!$I$27:$K$29,3,0)),H810,N(N810)),IF(N(Q810)&gt;0,Q810,MAX(1,H810)))))</f>
        <v>855</v>
      </c>
      <c r="BW810" s="53" t="n">
        <f aca="false">IF(BU810="LOSE",1,0)</f>
        <v>0</v>
      </c>
      <c r="BX810" s="53" t="n">
        <f aca="false">IF(AND(U810="",OR(P810="",P810="LOSE"),T810&lt;&gt;"",N(S810)&lt;=0,ISNUMBER(MATCH(T810,Parameter!$I$27:$I$29,0))),1,0)</f>
        <v>0</v>
      </c>
      <c r="BY810" s="53" t="n">
        <f aca="false">IF(CL810&gt;0,INDEX(Parameter!$H$5:$H$7,W810)/INDEX(Parameter!$E$5:$E$7,W810),IF(AND(BW810=0,N(IFERROR(VLOOKUP(BU810,'Gebinde-Kategorie'!$A$5:$N$45,14,0),0))&gt;0),VLOOKUP(BU810,'Gebinde-Kategorie'!$A$5:$N$45,14,0)*10+Parameter!$M$23,Parameter!$M$24))</f>
        <v>155</v>
      </c>
      <c r="BZ810" s="48" t="str">
        <f aca="false">IF(AND(Parameter!$B$19="Ja",E810&lt;&gt;"",ISNUMBER(MATCH(E810,Parameter!$I$35:$I$52,0))),VLOOKUP(E810,Parameter!$I$35:$J$52,2,0),IFERROR(VLOOKUP(D810,Parameter!$A$35:$C$64,2,0),"Nein"))</f>
        <v>2+3</v>
      </c>
      <c r="CA810" s="52" t="n">
        <f aca="false">IF(BW810=0,0,IF(N(S810)&gt;0,S810,IFERROR(VLOOKUP(D810,Parameter!$A$35:$C$64,3,0)+0,0)))</f>
        <v>0</v>
      </c>
      <c r="CB810" s="48" t="n">
        <f aca="false">IF(AA810&lt;&gt;"",AA810,Z810)</f>
        <v>3</v>
      </c>
      <c r="CC810" s="48" t="str">
        <f aca="false">IF(OR(CB810=1,CB810=2,CB810=3),IF(Parameter!$E$27="Ja","LIFT",IF(CB810=1,"L1","L23")),IF(CB810="Aussen","Aussen","-"))</f>
        <v>LIFT</v>
      </c>
      <c r="CD810" s="59" t="n">
        <f aca="false">IF(N(AB810)&gt;0,AB810,0)</f>
        <v>0</v>
      </c>
      <c r="CE810" s="53" t="n">
        <f aca="false">IF(ISNUMBER(AE810),1,0)</f>
        <v>0</v>
      </c>
      <c r="CF810" s="50" t="n">
        <f aca="false">N(AE810)</f>
        <v>0</v>
      </c>
      <c r="CG810" s="50" t="n">
        <f aca="false">N(M810)+N(N810)</f>
        <v>3701</v>
      </c>
      <c r="CH810" s="50" t="n">
        <f aca="false">ROUNDUP(H810/BV810,0)</f>
        <v>4</v>
      </c>
      <c r="CI810" s="50" t="n">
        <f aca="false">ROUNDUP(CF810/BV810,0)</f>
        <v>0</v>
      </c>
      <c r="CJ810" s="53" t="n">
        <f aca="false">IF(BW810=1,0,IFERROR(VLOOKUP(BU810,'Gebinde-Kategorie'!$A$5:$N$45,5,0)+0,0))</f>
        <v>11</v>
      </c>
      <c r="CK810" s="53" t="n">
        <f aca="false">IFERROR(IF(OR(CB810=1,CB810=2,CB810=3),N(INDEX(Parameter!$I$5:$I$7,CB810)),0),0)</f>
        <v>0</v>
      </c>
      <c r="CL810" s="52" t="n">
        <f aca="false">IF(AND(Parameter!$B$21="Ja",ISNUMBER(W810),N(X810)&gt;0),IFERROR(N(INDEX(Parameter!$L$5:$L$7,W810))*INDEX(Parameter!$E$5:$E$7,W810)*X810/SUMIFS($X$7:$X$1843,$W$7:$W$1843,W810),0),0)</f>
        <v>0</v>
      </c>
    </row>
    <row r="811" customFormat="false" ht="15" hidden="false" customHeight="false" outlineLevel="0" collapsed="false">
      <c r="A811" s="48" t="s">
        <v>1574</v>
      </c>
      <c r="B811" s="48" t="s">
        <v>1575</v>
      </c>
      <c r="C811" s="48" t="s">
        <v>168</v>
      </c>
      <c r="D811" s="48" t="s">
        <v>188</v>
      </c>
      <c r="E811" s="48" t="s">
        <v>189</v>
      </c>
      <c r="F811" s="48" t="s">
        <v>222</v>
      </c>
      <c r="G811" s="49" t="n">
        <v>3.36</v>
      </c>
      <c r="H811" s="50" t="n">
        <f aca="false">MAX(0,IF(AND(Parameter!$B$21="Ja",ISNUMBER(Y811)),Y811,IF(Parameter!$B$20="Jahresanfang 2025 + Export",BO811+BN811,BN811)))</f>
        <v>39</v>
      </c>
      <c r="I811" s="50" t="n">
        <f aca="false">H811*G811</f>
        <v>131.04</v>
      </c>
      <c r="J811" s="50" t="n">
        <f aca="false">BQ811*Parameter!$B$18</f>
        <v>0</v>
      </c>
      <c r="K811" s="51" t="n">
        <v>42.5</v>
      </c>
      <c r="L811" s="52" t="n">
        <v>0</v>
      </c>
      <c r="M811" s="50" t="n">
        <v>0</v>
      </c>
      <c r="N811" s="50" t="n">
        <v>1</v>
      </c>
      <c r="O811" s="53" t="n">
        <v>28</v>
      </c>
      <c r="P811" s="48" t="s">
        <v>425</v>
      </c>
      <c r="Q811" s="50" t="n">
        <v>17</v>
      </c>
      <c r="R811" s="53" t="n">
        <f aca="false">IF(BW811=1,0,IFERROR(VLOOKUP(BU811,'Gebinde-Kategorie'!$A$5:$N$45,13,0)+0,0))</f>
        <v>104</v>
      </c>
      <c r="S811" s="54"/>
      <c r="T811" s="55"/>
      <c r="U811" s="55"/>
      <c r="V811" s="55"/>
      <c r="W811" s="48"/>
      <c r="X811" s="50"/>
      <c r="Y811" s="50"/>
      <c r="Z811" s="48" t="n">
        <f aca="false">IF(A811="","",IF(AND(Parameter!$B$21="Ja",ISNUMBER(W811)),W811,IF(BZ811="2+3",IF(ISNUMBER(SEARCH("grosser Artikel",BR811)),2,IFERROR(VLOOKUP(BU811,Parameter!$F$35:$G$64,2,0),2)),IF(OR(BZ811="Nein",BZ811=""),"-",BZ811))))</f>
        <v>3</v>
      </c>
      <c r="AA811" s="55"/>
      <c r="AB811" s="56"/>
      <c r="AC811" s="50" t="n">
        <f aca="false">AT811</f>
        <v>17</v>
      </c>
      <c r="AD811" s="50" t="n">
        <f aca="false">MAX(AT811,H811)</f>
        <v>39</v>
      </c>
      <c r="AE811" s="57"/>
      <c r="AF811" s="50" t="n">
        <f aca="false">IF(LEFT(Cockpit!$C$5,1)="A",H811,IF(CE811=1,CF811,IF(LEFT(Cockpit!$C$5,1)="B",AK811,MAX(AK811,H811))))</f>
        <v>39</v>
      </c>
      <c r="AG811" s="50" t="n">
        <f aca="false">IF(BW811=1,0,ROUNDUP(AF811/BV811,0))</f>
        <v>3</v>
      </c>
      <c r="AH811" s="52" t="n">
        <f aca="false">IF(CL811&gt;0,CL811*MAX(1,AF811/X811),IF(BW811=1,IF(AF811&lt;=0,0,CA811*MAX(1,IF(H811&gt;0,AF811/H811,1))),IF(R811&gt;0,AG811/R811,0))/MAX(0.1,N(Parameter!$M$21)))</f>
        <v>0.0288461538461538</v>
      </c>
      <c r="AI811" s="50" t="n">
        <f aca="false">AH811*BY811</f>
        <v>4.47115384615385</v>
      </c>
      <c r="AJ811" s="50" t="n">
        <f aca="false">AF811*G811</f>
        <v>131.04</v>
      </c>
      <c r="AK811" s="50" t="n">
        <f aca="false">ROUNDUP(MAX(J811/IF(CD811&gt;0,CD811,MAX(0.1,N(Cockpit!$C$6))),CG811)/BV811,0)*BV811</f>
        <v>17</v>
      </c>
      <c r="AL811" s="51" t="n">
        <f aca="false">IF(AI811&gt;0,J811/AI811,-1)</f>
        <v>0</v>
      </c>
      <c r="AM811" s="51" t="n">
        <f aca="false">IF(AND(OR(CC811="L1",CC811="L23",CC811="LIFT"),AI811&gt;0),SUMIFS($AI$7:$AI$1843,$CC$7:$CC$1843,CC811,$AL$7:$AL$1843,"&gt;"&amp;AL811)+SUMIFS($AI$7:$AI$1843,$CC$7:$CC$1843,CC811,$AL$7:$AL$1843,AL811,$BT$7:$BT$1843,"&lt;="&amp;BT811),"")</f>
        <v>28772.057860454</v>
      </c>
      <c r="AN811" s="58" t="n">
        <f aca="false">IF(AM811="",0,MAX(0,MIN(1,(IF(CC811="L1",Parameter!$H$5,IF(CC811="L23",Parameter!$H$6+Parameter!$H$7,Parameter!$H$5+Parameter!$H$6+Parameter!$H$7))-(AM811-AI811))/AI811)))</f>
        <v>1</v>
      </c>
      <c r="AO811" s="50" t="n">
        <f aca="false">IF(LEFT(Cockpit!$I$5,1)="A",H811,IF(CE811=1,CF811,IF(LEFT(Cockpit!$I$5,1)="B",AT811,MAX(AT811,H811))))</f>
        <v>39</v>
      </c>
      <c r="AP811" s="50" t="n">
        <f aca="false">IF(BW811=1,0,ROUNDUP(AO811/BV811,0))</f>
        <v>3</v>
      </c>
      <c r="AQ811" s="52" t="n">
        <f aca="false">IF(CL811&gt;0,CL811*MAX(1,AO811/X811),IF(BW811=1,IF(AO811&lt;=0,0,CA811*MAX(1,IF(H811&gt;0,AO811/H811,1))),IF(R811&gt;0,AP811/R811,0))/MAX(0.1,N(Parameter!$M$21)))</f>
        <v>0.0288461538461538</v>
      </c>
      <c r="AR811" s="50" t="n">
        <f aca="false">AQ811*BY811</f>
        <v>4.47115384615385</v>
      </c>
      <c r="AS811" s="50" t="n">
        <f aca="false">AO811*G811</f>
        <v>131.04</v>
      </c>
      <c r="AT811" s="50" t="n">
        <f aca="false">ROUNDUP(MAX(J811/IF(CD811&gt;0,CD811,MAX(0.1,N(Cockpit!$I$6))),CG811)/BV811,0)*BV811</f>
        <v>17</v>
      </c>
      <c r="AU811" s="51" t="n">
        <f aca="false">IF(AR811&gt;0,J811/AR811,-1)</f>
        <v>0</v>
      </c>
      <c r="AV811" s="51" t="n">
        <f aca="false">IF(AND(OR(CC811="L1",CC811="L23",CC811="LIFT"),AR811&gt;0),SUMIFS($AR$7:$AR$1843,$CC$7:$CC$1843,CC811,$AU$7:$AU$1843,"&gt;"&amp;AU811)+SUMIFS($AR$7:$AR$1843,$CC$7:$CC$1843,CC811,$AU$7:$AU$1843,AU811,$BT$7:$BT$1843,"&lt;="&amp;BT811),"")</f>
        <v>40349.6282128888</v>
      </c>
      <c r="AW811" s="58" t="n">
        <f aca="false">IF(AV811="",0,MAX(0,MIN(1,(IF(CC811="L1",Parameter!$H$5,IF(CC811="L23",Parameter!$H$6+Parameter!$H$7,Parameter!$H$5+Parameter!$H$6+Parameter!$H$7))-(AV811-AR811))/AR811)))</f>
        <v>0</v>
      </c>
      <c r="AX811" s="50" t="n">
        <f aca="false">IF(LEFT(Cockpit!$O$5,1)="A",H811,IF(CE811=1,CF811,IF(LEFT(Cockpit!$O$5,1)="B",BC811,MAX(BC811,H811))))</f>
        <v>39</v>
      </c>
      <c r="AY811" s="50" t="n">
        <f aca="false">IF(BW811=1,0,ROUNDUP(AX811/BV811,0))</f>
        <v>3</v>
      </c>
      <c r="AZ811" s="52" t="n">
        <f aca="false">IF(CL811&gt;0,CL811*MAX(1,AX811/X811),IF(BW811=1,IF(AX811&lt;=0,0,CA811*MAX(1,IF(H811&gt;0,AX811/H811,1))),IF(R811&gt;0,AY811/R811,0))/MAX(0.1,N(Parameter!$M$21)))</f>
        <v>0.0288461538461538</v>
      </c>
      <c r="BA811" s="50" t="n">
        <f aca="false">AZ811*BY811</f>
        <v>4.47115384615385</v>
      </c>
      <c r="BB811" s="50" t="n">
        <f aca="false">AX811*G811</f>
        <v>131.04</v>
      </c>
      <c r="BC811" s="50" t="n">
        <f aca="false">ROUNDUP(MAX(J811/IF(CD811&gt;0,CD811,MAX(0.1,N(Cockpit!$O$6))),CG811)/BV811,0)*BV811</f>
        <v>17</v>
      </c>
      <c r="BD811" s="51" t="n">
        <f aca="false">IF(BA811&gt;0,J811/BA811,-1)</f>
        <v>0</v>
      </c>
      <c r="BE811" s="51" t="n">
        <f aca="false">IF(AND(OR(CC811="L1",CC811="L23",CC811="LIFT"),BA811&gt;0),SUMIFS($BA$7:$BA$1843,$CC$7:$CC$1843,CC811,$BD$7:$BD$1843,"&gt;"&amp;BD811)+SUMIFS($BA$7:$BA$1843,$CC$7:$CC$1843,CC811,$BD$7:$BD$1843,BD811,$BT$7:$BT$1843,"&lt;="&amp;BT811),"")</f>
        <v>37024.6402547547</v>
      </c>
      <c r="BF811" s="58" t="n">
        <f aca="false">IF(BE811="",0,MAX(0,MIN(1,(IF(CC811="L1",Parameter!$H$5,IF(CC811="L23",Parameter!$H$6+Parameter!$H$7,Parameter!$H$5+Parameter!$H$6+Parameter!$H$7))-(BE811-BA811))/BA811)))</f>
        <v>0</v>
      </c>
      <c r="BG811" s="48" t="str">
        <f aca="false">IF(AI811&lt;=0,"",IF(CC811="Aussen","Aussenlager",IF(CC811="-","Nicht im Lift",IF(AN811&gt;=1,"Lift",IF(AN811&lt;=0,"Aussenlager","teilweise")))))</f>
        <v>Lift</v>
      </c>
      <c r="BH811" s="48" t="str">
        <f aca="false">IF(AR811&lt;=0,"",IF(CC811="Aussen","Aussenlager",IF(CC811="-","Nicht im Lift",IF(AW811&gt;=1,"Lift",IF(AW811&lt;=0,"Aussenlager","teilweise")))))</f>
        <v>Aussenlager</v>
      </c>
      <c r="BI811" s="48" t="str">
        <f aca="false">IF(BA811&lt;=0,"",IF(CC811="Aussen","Aussenlager",IF(CC811="-","Nicht im Lift",IF(BF811&gt;=1,"Lift",IF(BF811&lt;=0,"Aussenlager","teilweise")))))</f>
        <v>Aussenlager</v>
      </c>
      <c r="BJ811" s="48" t="str">
        <f aca="false">IF(A811="","",IF(BS811=1,"Neu; ","")&amp;IF(AND(BS811=0,BN811&lt;0),"negativer Bestand (Export "&amp;BN811&amp;"); ","")&amp;IF(J811&lt;=0,"Kein Verbrauch; ","")&amp;IF(CL811&gt;0,"Lift "&amp;W811&amp;" lt. Liftbericht (Fach "&amp;X811&amp;" Stk); ",IF(BX811=1,"Gebinde geschätzt ("&amp;T811&amp;"); ",IF(BW811=1,"Lose – Tablare geschätzt; ","")))&amp;IF(H811&gt;AT811,"Überbestand "&amp;ROUND(H811-AT811,0)&amp;" Stk / CHF "&amp;ROUND((H811-AT811)*G811,0)&amp;"; ","")&amp;IF(AND(CE811=1,CF811&lt;CG811),"MAX &lt; MB+LG; ","")&amp;IF(AND(CK811&gt;0,CJ811*10&gt;CK811),"zu hoch für Tablar; ","")&amp;IF(AND(BS811=0,OR(CE811=1,AA811&lt;&gt;"",U811&lt;&gt;"",V811&lt;&gt;"",AB811&lt;&gt;"")),"manuell übersteuert; ","")&amp;IF(AND(BW811=0,R811=0),"Gebinde unbekannt / Stellmass fehlt; ","")&amp;IF(AND(BW811=0,N(V811)&lt;=0,N(Q811)&lt;=0),"Menge pro Gebinde fehlt (Ist = 1 Gebinde); ","")&amp;BR811)</f>
        <v>negativer Bestand (Export -2); Kein Verbrauch; Überbestand 22 Stk / CHF 74; </v>
      </c>
      <c r="BK811" s="48"/>
      <c r="BL811" s="48"/>
      <c r="BM811" s="55"/>
      <c r="BN811" s="50" t="n">
        <v>-2</v>
      </c>
      <c r="BO811" s="50" t="n">
        <v>41</v>
      </c>
      <c r="BP811" s="49" t="n">
        <v>-6.72</v>
      </c>
      <c r="BQ811" s="50" t="n">
        <v>0</v>
      </c>
      <c r="BR811" s="48"/>
      <c r="BS811" s="53" t="n">
        <v>0</v>
      </c>
      <c r="BT811" s="53" t="n">
        <v>811</v>
      </c>
      <c r="BU811" s="48" t="str">
        <f aca="false">IF(U811&lt;&gt;"",UPPER(TRIM(U811)),IF(BX811=1,UPPER(VLOOKUP(T811,Parameter!$I$27:$K$29,2,0)),IF(P811="","LOSE",P811)))</f>
        <v>S32</v>
      </c>
      <c r="BV811" s="50" t="n">
        <f aca="false">IF(BU811="LOSE",1,IF(N(V811)&gt;0,V811,IF(BX811=1,MAX(1,N(VLOOKUP(T811,Parameter!$I$27:$K$29,3,0)),H811,N(N811)),IF(N(Q811)&gt;0,Q811,MAX(1,H811)))))</f>
        <v>17</v>
      </c>
      <c r="BW811" s="53" t="n">
        <f aca="false">IF(BU811="LOSE",1,0)</f>
        <v>0</v>
      </c>
      <c r="BX811" s="53" t="n">
        <f aca="false">IF(AND(U811="",OR(P811="",P811="LOSE"),T811&lt;&gt;"",N(S811)&lt;=0,ISNUMBER(MATCH(T811,Parameter!$I$27:$I$29,0))),1,0)</f>
        <v>0</v>
      </c>
      <c r="BY811" s="53" t="n">
        <f aca="false">IF(CL811&gt;0,INDEX(Parameter!$H$5:$H$7,W811)/INDEX(Parameter!$E$5:$E$7,W811),IF(AND(BW811=0,N(IFERROR(VLOOKUP(BU811,'Gebinde-Kategorie'!$A$5:$N$45,14,0),0))&gt;0),VLOOKUP(BU811,'Gebinde-Kategorie'!$A$5:$N$45,14,0)*10+Parameter!$M$23,Parameter!$M$24))</f>
        <v>155</v>
      </c>
      <c r="BZ811" s="48" t="str">
        <f aca="false">IF(AND(Parameter!$B$19="Ja",E811&lt;&gt;"",ISNUMBER(MATCH(E811,Parameter!$I$35:$I$52,0))),VLOOKUP(E811,Parameter!$I$35:$J$52,2,0),IFERROR(VLOOKUP(D811,Parameter!$A$35:$C$64,2,0),"Nein"))</f>
        <v>2+3</v>
      </c>
      <c r="CA811" s="52" t="n">
        <f aca="false">IF(BW811=0,0,IF(N(S811)&gt;0,S811,IFERROR(VLOOKUP(D811,Parameter!$A$35:$C$64,3,0)+0,0)))</f>
        <v>0</v>
      </c>
      <c r="CB811" s="48" t="n">
        <f aca="false">IF(AA811&lt;&gt;"",AA811,Z811)</f>
        <v>3</v>
      </c>
      <c r="CC811" s="48" t="str">
        <f aca="false">IF(OR(CB811=1,CB811=2,CB811=3),IF(Parameter!$E$27="Ja","LIFT",IF(CB811=1,"L1","L23")),IF(CB811="Aussen","Aussen","-"))</f>
        <v>LIFT</v>
      </c>
      <c r="CD811" s="59" t="n">
        <f aca="false">IF(N(AB811)&gt;0,AB811,0)</f>
        <v>0</v>
      </c>
      <c r="CE811" s="53" t="n">
        <f aca="false">IF(ISNUMBER(AE811),1,0)</f>
        <v>0</v>
      </c>
      <c r="CF811" s="50" t="n">
        <f aca="false">N(AE811)</f>
        <v>0</v>
      </c>
      <c r="CG811" s="50" t="n">
        <f aca="false">N(M811)+N(N811)</f>
        <v>1</v>
      </c>
      <c r="CH811" s="50" t="n">
        <f aca="false">ROUNDUP(H811/BV811,0)</f>
        <v>3</v>
      </c>
      <c r="CI811" s="50" t="n">
        <f aca="false">ROUNDUP(CF811/BV811,0)</f>
        <v>0</v>
      </c>
      <c r="CJ811" s="53" t="n">
        <f aca="false">IF(BW811=1,0,IFERROR(VLOOKUP(BU811,'Gebinde-Kategorie'!$A$5:$N$45,5,0)+0,0))</f>
        <v>8</v>
      </c>
      <c r="CK811" s="53" t="n">
        <f aca="false">IFERROR(IF(OR(CB811=1,CB811=2,CB811=3),N(INDEX(Parameter!$I$5:$I$7,CB811)),0),0)</f>
        <v>0</v>
      </c>
      <c r="CL811" s="52" t="n">
        <f aca="false">IF(AND(Parameter!$B$21="Ja",ISNUMBER(W811),N(X811)&gt;0),IFERROR(N(INDEX(Parameter!$L$5:$L$7,W811))*INDEX(Parameter!$E$5:$E$7,W811)*X811/SUMIFS($X$7:$X$1843,$W$7:$W$1843,W811),0),0)</f>
        <v>0</v>
      </c>
    </row>
    <row r="812" customFormat="false" ht="15" hidden="false" customHeight="false" outlineLevel="0" collapsed="false">
      <c r="A812" s="48" t="s">
        <v>1576</v>
      </c>
      <c r="B812" s="48" t="s">
        <v>1577</v>
      </c>
      <c r="C812" s="48" t="s">
        <v>168</v>
      </c>
      <c r="D812" s="48" t="s">
        <v>188</v>
      </c>
      <c r="E812" s="48"/>
      <c r="F812" s="48" t="s">
        <v>222</v>
      </c>
      <c r="G812" s="49" t="n">
        <v>6.75</v>
      </c>
      <c r="H812" s="50" t="n">
        <f aca="false">MAX(0,IF(AND(Parameter!$B$21="Ja",ISNUMBER(Y812)),Y812,IF(Parameter!$B$20="Jahresanfang 2025 + Export",BO812+BN812,BN812)))</f>
        <v>4</v>
      </c>
      <c r="I812" s="50" t="n">
        <f aca="false">H812*G812</f>
        <v>27</v>
      </c>
      <c r="J812" s="50" t="n">
        <f aca="false">BQ812*Parameter!$B$18</f>
        <v>0</v>
      </c>
      <c r="K812" s="51" t="n">
        <v>5</v>
      </c>
      <c r="L812" s="52" t="n">
        <v>0</v>
      </c>
      <c r="M812" s="50" t="n">
        <v>0</v>
      </c>
      <c r="N812" s="50" t="n">
        <v>1</v>
      </c>
      <c r="O812" s="53" t="n">
        <v>42</v>
      </c>
      <c r="P812" s="48" t="s">
        <v>430</v>
      </c>
      <c r="Q812" s="50" t="n">
        <v>5</v>
      </c>
      <c r="R812" s="53" t="n">
        <f aca="false">IF(BW812=1,0,IFERROR(VLOOKUP(BU812,'Gebinde-Kategorie'!$A$5:$N$45,13,0)+0,0))</f>
        <v>140</v>
      </c>
      <c r="S812" s="54"/>
      <c r="T812" s="55"/>
      <c r="U812" s="55"/>
      <c r="V812" s="55"/>
      <c r="W812" s="48"/>
      <c r="X812" s="50"/>
      <c r="Y812" s="50"/>
      <c r="Z812" s="48" t="n">
        <f aca="false">IF(A812="","",IF(AND(Parameter!$B$21="Ja",ISNUMBER(W812)),W812,IF(BZ812="2+3",IF(ISNUMBER(SEARCH("grosser Artikel",BR812)),2,IFERROR(VLOOKUP(BU812,Parameter!$F$35:$G$64,2,0),2)),IF(OR(BZ812="Nein",BZ812=""),"-",BZ812))))</f>
        <v>3</v>
      </c>
      <c r="AA812" s="55"/>
      <c r="AB812" s="56"/>
      <c r="AC812" s="50" t="n">
        <f aca="false">AT812</f>
        <v>5</v>
      </c>
      <c r="AD812" s="50" t="n">
        <f aca="false">MAX(AT812,H812)</f>
        <v>5</v>
      </c>
      <c r="AE812" s="57"/>
      <c r="AF812" s="50" t="n">
        <f aca="false">IF(LEFT(Cockpit!$C$5,1)="A",H812,IF(CE812=1,CF812,IF(LEFT(Cockpit!$C$5,1)="B",AK812,MAX(AK812,H812))))</f>
        <v>4</v>
      </c>
      <c r="AG812" s="50" t="n">
        <f aca="false">IF(BW812=1,0,ROUNDUP(AF812/BV812,0))</f>
        <v>1</v>
      </c>
      <c r="AH812" s="52" t="n">
        <f aca="false">IF(CL812&gt;0,CL812*MAX(1,AF812/X812),IF(BW812=1,IF(AF812&lt;=0,0,CA812*MAX(1,IF(H812&gt;0,AF812/H812,1))),IF(R812&gt;0,AG812/R812,0))/MAX(0.1,N(Parameter!$M$21)))</f>
        <v>0.00714285714285714</v>
      </c>
      <c r="AI812" s="50" t="n">
        <f aca="false">AH812*BY812</f>
        <v>1.10714285714286</v>
      </c>
      <c r="AJ812" s="50" t="n">
        <f aca="false">AF812*G812</f>
        <v>27</v>
      </c>
      <c r="AK812" s="50" t="n">
        <f aca="false">ROUNDUP(MAX(J812/IF(CD812&gt;0,CD812,MAX(0.1,N(Cockpit!$C$6))),CG812)/BV812,0)*BV812</f>
        <v>5</v>
      </c>
      <c r="AL812" s="51" t="n">
        <f aca="false">IF(AI812&gt;0,J812/AI812,-1)</f>
        <v>0</v>
      </c>
      <c r="AM812" s="51" t="n">
        <f aca="false">IF(AND(OR(CC812="L1",CC812="L23",CC812="LIFT"),AI812&gt;0),SUMIFS($AI$7:$AI$1843,$CC$7:$CC$1843,CC812,$AL$7:$AL$1843,"&gt;"&amp;AL812)+SUMIFS($AI$7:$AI$1843,$CC$7:$CC$1843,CC812,$AL$7:$AL$1843,AL812,$BT$7:$BT$1843,"&lt;="&amp;BT812),"")</f>
        <v>28773.1650033112</v>
      </c>
      <c r="AN812" s="58" t="n">
        <f aca="false">IF(AM812="",0,MAX(0,MIN(1,(IF(CC812="L1",Parameter!$H$5,IF(CC812="L23",Parameter!$H$6+Parameter!$H$7,Parameter!$H$5+Parameter!$H$6+Parameter!$H$7))-(AM812-AI812))/AI812)))</f>
        <v>1</v>
      </c>
      <c r="AO812" s="50" t="n">
        <f aca="false">IF(LEFT(Cockpit!$I$5,1)="A",H812,IF(CE812=1,CF812,IF(LEFT(Cockpit!$I$5,1)="B",AT812,MAX(AT812,H812))))</f>
        <v>5</v>
      </c>
      <c r="AP812" s="50" t="n">
        <f aca="false">IF(BW812=1,0,ROUNDUP(AO812/BV812,0))</f>
        <v>1</v>
      </c>
      <c r="AQ812" s="52" t="n">
        <f aca="false">IF(CL812&gt;0,CL812*MAX(1,AO812/X812),IF(BW812=1,IF(AO812&lt;=0,0,CA812*MAX(1,IF(H812&gt;0,AO812/H812,1))),IF(R812&gt;0,AP812/R812,0))/MAX(0.1,N(Parameter!$M$21)))</f>
        <v>0.00714285714285714</v>
      </c>
      <c r="AR812" s="50" t="n">
        <f aca="false">AQ812*BY812</f>
        <v>1.10714285714286</v>
      </c>
      <c r="AS812" s="50" t="n">
        <f aca="false">AO812*G812</f>
        <v>33.75</v>
      </c>
      <c r="AT812" s="50" t="n">
        <f aca="false">ROUNDUP(MAX(J812/IF(CD812&gt;0,CD812,MAX(0.1,N(Cockpit!$I$6))),CG812)/BV812,0)*BV812</f>
        <v>5</v>
      </c>
      <c r="AU812" s="51" t="n">
        <f aca="false">IF(AR812&gt;0,J812/AR812,-1)</f>
        <v>0</v>
      </c>
      <c r="AV812" s="51" t="n">
        <f aca="false">IF(AND(OR(CC812="L1",CC812="L23",CC812="LIFT"),AR812&gt;0),SUMIFS($AR$7:$AR$1843,$CC$7:$CC$1843,CC812,$AU$7:$AU$1843,"&gt;"&amp;AU812)+SUMIFS($AR$7:$AR$1843,$CC$7:$CC$1843,CC812,$AU$7:$AU$1843,AU812,$BT$7:$BT$1843,"&lt;="&amp;BT812),"")</f>
        <v>40350.735355746</v>
      </c>
      <c r="AW812" s="58" t="n">
        <f aca="false">IF(AV812="",0,MAX(0,MIN(1,(IF(CC812="L1",Parameter!$H$5,IF(CC812="L23",Parameter!$H$6+Parameter!$H$7,Parameter!$H$5+Parameter!$H$6+Parameter!$H$7))-(AV812-AR812))/AR812)))</f>
        <v>0</v>
      </c>
      <c r="AX812" s="50" t="n">
        <f aca="false">IF(LEFT(Cockpit!$O$5,1)="A",H812,IF(CE812=1,CF812,IF(LEFT(Cockpit!$O$5,1)="B",BC812,MAX(BC812,H812))))</f>
        <v>5</v>
      </c>
      <c r="AY812" s="50" t="n">
        <f aca="false">IF(BW812=1,0,ROUNDUP(AX812/BV812,0))</f>
        <v>1</v>
      </c>
      <c r="AZ812" s="52" t="n">
        <f aca="false">IF(CL812&gt;0,CL812*MAX(1,AX812/X812),IF(BW812=1,IF(AX812&lt;=0,0,CA812*MAX(1,IF(H812&gt;0,AX812/H812,1))),IF(R812&gt;0,AY812/R812,0))/MAX(0.1,N(Parameter!$M$21)))</f>
        <v>0.00714285714285714</v>
      </c>
      <c r="BA812" s="50" t="n">
        <f aca="false">AZ812*BY812</f>
        <v>1.10714285714286</v>
      </c>
      <c r="BB812" s="50" t="n">
        <f aca="false">AX812*G812</f>
        <v>33.75</v>
      </c>
      <c r="BC812" s="50" t="n">
        <f aca="false">ROUNDUP(MAX(J812/IF(CD812&gt;0,CD812,MAX(0.1,N(Cockpit!$O$6))),CG812)/BV812,0)*BV812</f>
        <v>5</v>
      </c>
      <c r="BD812" s="51" t="n">
        <f aca="false">IF(BA812&gt;0,J812/BA812,-1)</f>
        <v>0</v>
      </c>
      <c r="BE812" s="51" t="n">
        <f aca="false">IF(AND(OR(CC812="L1",CC812="L23",CC812="LIFT"),BA812&gt;0),SUMIFS($BA$7:$BA$1843,$CC$7:$CC$1843,CC812,$BD$7:$BD$1843,"&gt;"&amp;BD812)+SUMIFS($BA$7:$BA$1843,$CC$7:$CC$1843,CC812,$BD$7:$BD$1843,BD812,$BT$7:$BT$1843,"&lt;="&amp;BT812),"")</f>
        <v>37025.7473976118</v>
      </c>
      <c r="BF812" s="58" t="n">
        <f aca="false">IF(BE812="",0,MAX(0,MIN(1,(IF(CC812="L1",Parameter!$H$5,IF(CC812="L23",Parameter!$H$6+Parameter!$H$7,Parameter!$H$5+Parameter!$H$6+Parameter!$H$7))-(BE812-BA812))/BA812)))</f>
        <v>0</v>
      </c>
      <c r="BG812" s="48" t="str">
        <f aca="false">IF(AI812&lt;=0,"",IF(CC812="Aussen","Aussenlager",IF(CC812="-","Nicht im Lift",IF(AN812&gt;=1,"Lift",IF(AN812&lt;=0,"Aussenlager","teilweise")))))</f>
        <v>Lift</v>
      </c>
      <c r="BH812" s="48" t="str">
        <f aca="false">IF(AR812&lt;=0,"",IF(CC812="Aussen","Aussenlager",IF(CC812="-","Nicht im Lift",IF(AW812&gt;=1,"Lift",IF(AW812&lt;=0,"Aussenlager","teilweise")))))</f>
        <v>Aussenlager</v>
      </c>
      <c r="BI812" s="48" t="str">
        <f aca="false">IF(BA812&lt;=0,"",IF(CC812="Aussen","Aussenlager",IF(CC812="-","Nicht im Lift",IF(BF812&gt;=1,"Lift",IF(BF812&lt;=0,"Aussenlager","teilweise")))))</f>
        <v>Aussenlager</v>
      </c>
      <c r="BJ812" s="48" t="str">
        <f aca="false">IF(A812="","",IF(BS812=1,"Neu; ","")&amp;IF(AND(BS812=0,BN812&lt;0),"negativer Bestand (Export "&amp;BN812&amp;"); ","")&amp;IF(J812&lt;=0,"Kein Verbrauch; ","")&amp;IF(CL812&gt;0,"Lift "&amp;W812&amp;" lt. Liftbericht (Fach "&amp;X812&amp;" Stk); ",IF(BX812=1,"Gebinde geschätzt ("&amp;T812&amp;"); ",IF(BW812=1,"Lose – Tablare geschätzt; ","")))&amp;IF(H812&gt;AT812,"Überbestand "&amp;ROUND(H812-AT812,0)&amp;" Stk / CHF "&amp;ROUND((H812-AT812)*G812,0)&amp;"; ","")&amp;IF(AND(CE812=1,CF812&lt;CG812),"MAX &lt; MB+LG; ","")&amp;IF(AND(CK812&gt;0,CJ812*10&gt;CK812),"zu hoch für Tablar; ","")&amp;IF(AND(BS812=0,OR(CE812=1,AA812&lt;&gt;"",U812&lt;&gt;"",V812&lt;&gt;"",AB812&lt;&gt;"")),"manuell übersteuert; ","")&amp;IF(AND(BW812=0,R812=0),"Gebinde unbekannt / Stellmass fehlt; ","")&amp;IF(AND(BW812=0,N(V812)&lt;=0,N(Q812)&lt;=0),"Menge pro Gebinde fehlt (Ist = 1 Gebinde); ","")&amp;BR812)</f>
        <v>negativer Bestand (Export -1); Kein Verbrauch; </v>
      </c>
      <c r="BK812" s="48"/>
      <c r="BL812" s="48"/>
      <c r="BM812" s="55"/>
      <c r="BN812" s="50" t="n">
        <v>-1</v>
      </c>
      <c r="BO812" s="50" t="n">
        <v>5</v>
      </c>
      <c r="BP812" s="49" t="n">
        <v>-6.75</v>
      </c>
      <c r="BQ812" s="50" t="n">
        <v>0</v>
      </c>
      <c r="BR812" s="48"/>
      <c r="BS812" s="53" t="n">
        <v>0</v>
      </c>
      <c r="BT812" s="53" t="n">
        <v>812</v>
      </c>
      <c r="BU812" s="48" t="str">
        <f aca="false">IF(U812&lt;&gt;"",UPPER(TRIM(U812)),IF(BX812=1,UPPER(VLOOKUP(T812,Parameter!$I$27:$K$29,2,0)),IF(P812="","LOSE",P812)))</f>
        <v>S22</v>
      </c>
      <c r="BV812" s="50" t="n">
        <f aca="false">IF(BU812="LOSE",1,IF(N(V812)&gt;0,V812,IF(BX812=1,MAX(1,N(VLOOKUP(T812,Parameter!$I$27:$K$29,3,0)),H812,N(N812)),IF(N(Q812)&gt;0,Q812,MAX(1,H812)))))</f>
        <v>5</v>
      </c>
      <c r="BW812" s="53" t="n">
        <f aca="false">IF(BU812="LOSE",1,0)</f>
        <v>0</v>
      </c>
      <c r="BX812" s="53" t="n">
        <f aca="false">IF(AND(U812="",OR(P812="",P812="LOSE"),T812&lt;&gt;"",N(S812)&lt;=0,ISNUMBER(MATCH(T812,Parameter!$I$27:$I$29,0))),1,0)</f>
        <v>0</v>
      </c>
      <c r="BY812" s="53" t="n">
        <f aca="false">IF(CL812&gt;0,INDEX(Parameter!$H$5:$H$7,W812)/INDEX(Parameter!$E$5:$E$7,W812),IF(AND(BW812=0,N(IFERROR(VLOOKUP(BU812,'Gebinde-Kategorie'!$A$5:$N$45,14,0),0))&gt;0),VLOOKUP(BU812,'Gebinde-Kategorie'!$A$5:$N$45,14,0)*10+Parameter!$M$23,Parameter!$M$24))</f>
        <v>155</v>
      </c>
      <c r="BZ812" s="48" t="str">
        <f aca="false">IF(AND(Parameter!$B$19="Ja",E812&lt;&gt;"",ISNUMBER(MATCH(E812,Parameter!$I$35:$I$52,0))),VLOOKUP(E812,Parameter!$I$35:$J$52,2,0),IFERROR(VLOOKUP(D812,Parameter!$A$35:$C$64,2,0),"Nein"))</f>
        <v>2+3</v>
      </c>
      <c r="CA812" s="52" t="n">
        <f aca="false">IF(BW812=0,0,IF(N(S812)&gt;0,S812,IFERROR(VLOOKUP(D812,Parameter!$A$35:$C$64,3,0)+0,0)))</f>
        <v>0</v>
      </c>
      <c r="CB812" s="48" t="n">
        <f aca="false">IF(AA812&lt;&gt;"",AA812,Z812)</f>
        <v>3</v>
      </c>
      <c r="CC812" s="48" t="str">
        <f aca="false">IF(OR(CB812=1,CB812=2,CB812=3),IF(Parameter!$E$27="Ja","LIFT",IF(CB812=1,"L1","L23")),IF(CB812="Aussen","Aussen","-"))</f>
        <v>LIFT</v>
      </c>
      <c r="CD812" s="59" t="n">
        <f aca="false">IF(N(AB812)&gt;0,AB812,0)</f>
        <v>0</v>
      </c>
      <c r="CE812" s="53" t="n">
        <f aca="false">IF(ISNUMBER(AE812),1,0)</f>
        <v>0</v>
      </c>
      <c r="CF812" s="50" t="n">
        <f aca="false">N(AE812)</f>
        <v>0</v>
      </c>
      <c r="CG812" s="50" t="n">
        <f aca="false">N(M812)+N(N812)</f>
        <v>1</v>
      </c>
      <c r="CH812" s="50" t="n">
        <f aca="false">ROUNDUP(H812/BV812,0)</f>
        <v>1</v>
      </c>
      <c r="CI812" s="50" t="n">
        <f aca="false">ROUNDUP(CF812/BV812,0)</f>
        <v>0</v>
      </c>
      <c r="CJ812" s="53" t="n">
        <f aca="false">IF(BW812=1,0,IFERROR(VLOOKUP(BU812,'Gebinde-Kategorie'!$A$5:$N$45,5,0)+0,0))</f>
        <v>8</v>
      </c>
      <c r="CK812" s="53" t="n">
        <f aca="false">IFERROR(IF(OR(CB812=1,CB812=2,CB812=3),N(INDEX(Parameter!$I$5:$I$7,CB812)),0),0)</f>
        <v>0</v>
      </c>
      <c r="CL812" s="52" t="n">
        <f aca="false">IF(AND(Parameter!$B$21="Ja",ISNUMBER(W812),N(X812)&gt;0),IFERROR(N(INDEX(Parameter!$L$5:$L$7,W812))*INDEX(Parameter!$E$5:$E$7,W812)*X812/SUMIFS($X$7:$X$1843,$W$7:$W$1843,W812),0),0)</f>
        <v>0</v>
      </c>
    </row>
    <row r="813" customFormat="false" ht="15" hidden="false" customHeight="false" outlineLevel="0" collapsed="false">
      <c r="A813" s="48" t="s">
        <v>1578</v>
      </c>
      <c r="B813" s="48" t="s">
        <v>1026</v>
      </c>
      <c r="C813" s="48" t="s">
        <v>168</v>
      </c>
      <c r="D813" s="48" t="s">
        <v>188</v>
      </c>
      <c r="E813" s="48" t="s">
        <v>189</v>
      </c>
      <c r="F813" s="48" t="s">
        <v>222</v>
      </c>
      <c r="G813" s="49" t="n">
        <v>0.14</v>
      </c>
      <c r="H813" s="50" t="n">
        <f aca="false">MAX(0,IF(AND(Parameter!$B$21="Ja",ISNUMBER(Y813)),Y813,IF(Parameter!$B$20="Jahresanfang 2025 + Export",BO813+BN813,BN813)))</f>
        <v>303</v>
      </c>
      <c r="I813" s="50" t="n">
        <f aca="false">H813*G813</f>
        <v>42.42</v>
      </c>
      <c r="J813" s="50" t="n">
        <f aca="false">BQ813*Parameter!$B$18</f>
        <v>38</v>
      </c>
      <c r="K813" s="51" t="n">
        <v>335</v>
      </c>
      <c r="L813" s="52" t="n">
        <v>0.113432835820896</v>
      </c>
      <c r="M813" s="50" t="n">
        <v>2</v>
      </c>
      <c r="N813" s="50" t="n">
        <v>40</v>
      </c>
      <c r="O813" s="53" t="n">
        <v>21</v>
      </c>
      <c r="P813" s="48" t="s">
        <v>480</v>
      </c>
      <c r="Q813" s="50" t="n">
        <v>454</v>
      </c>
      <c r="R813" s="53" t="n">
        <f aca="false">IF(BW813=1,0,IFERROR(VLOOKUP(BU813,'Gebinde-Kategorie'!$A$5:$N$45,13,0)+0,0))</f>
        <v>52</v>
      </c>
      <c r="S813" s="54"/>
      <c r="T813" s="55"/>
      <c r="U813" s="55"/>
      <c r="V813" s="55"/>
      <c r="W813" s="48"/>
      <c r="X813" s="50"/>
      <c r="Y813" s="50"/>
      <c r="Z813" s="48" t="n">
        <f aca="false">IF(A813="","",IF(AND(Parameter!$B$21="Ja",ISNUMBER(W813)),W813,IF(BZ813="2+3",IF(ISNUMBER(SEARCH("grosser Artikel",BR813)),2,IFERROR(VLOOKUP(BU813,Parameter!$F$35:$G$64,2,0),2)),IF(OR(BZ813="Nein",BZ813=""),"-",BZ813))))</f>
        <v>3</v>
      </c>
      <c r="AA813" s="55"/>
      <c r="AB813" s="56"/>
      <c r="AC813" s="50" t="n">
        <f aca="false">AT813</f>
        <v>454</v>
      </c>
      <c r="AD813" s="50" t="n">
        <f aca="false">MAX(AT813,H813)</f>
        <v>454</v>
      </c>
      <c r="AE813" s="57"/>
      <c r="AF813" s="50" t="n">
        <f aca="false">IF(LEFT(Cockpit!$C$5,1)="A",H813,IF(CE813=1,CF813,IF(LEFT(Cockpit!$C$5,1)="B",AK813,MAX(AK813,H813))))</f>
        <v>303</v>
      </c>
      <c r="AG813" s="50" t="n">
        <f aca="false">IF(BW813=1,0,ROUNDUP(AF813/BV813,0))</f>
        <v>1</v>
      </c>
      <c r="AH813" s="52" t="n">
        <f aca="false">IF(CL813&gt;0,CL813*MAX(1,AF813/X813),IF(BW813=1,IF(AF813&lt;=0,0,CA813*MAX(1,IF(H813&gt;0,AF813/H813,1))),IF(R813&gt;0,AG813/R813,0))/MAX(0.1,N(Parameter!$M$21)))</f>
        <v>0.0192307692307692</v>
      </c>
      <c r="AI813" s="50" t="n">
        <f aca="false">AH813*BY813</f>
        <v>2.98076923076923</v>
      </c>
      <c r="AJ813" s="50" t="n">
        <f aca="false">AF813*G813</f>
        <v>42.42</v>
      </c>
      <c r="AK813" s="50" t="n">
        <f aca="false">ROUNDUP(MAX(J813/IF(CD813&gt;0,CD813,MAX(0.1,N(Cockpit!$C$6))),CG813)/BV813,0)*BV813</f>
        <v>454</v>
      </c>
      <c r="AL813" s="51" t="n">
        <f aca="false">IF(AI813&gt;0,J813/AI813,-1)</f>
        <v>12.7483870967742</v>
      </c>
      <c r="AM813" s="51" t="n">
        <f aca="false">IF(AND(OR(CC813="L1",CC813="L23",CC813="LIFT"),AI813&gt;0),SUMIFS($AI$7:$AI$1843,$CC$7:$CC$1843,CC813,$AL$7:$AL$1843,"&gt;"&amp;AL813)+SUMIFS($AI$7:$AI$1843,$CC$7:$CC$1843,CC813,$AL$7:$AL$1843,AL813,$BT$7:$BT$1843,"&lt;="&amp;BT813),"")</f>
        <v>2396.48992673993</v>
      </c>
      <c r="AN813" s="58" t="n">
        <f aca="false">IF(AM813="",0,MAX(0,MIN(1,(IF(CC813="L1",Parameter!$H$5,IF(CC813="L23",Parameter!$H$6+Parameter!$H$7,Parameter!$H$5+Parameter!$H$6+Parameter!$H$7))-(AM813-AI813))/AI813)))</f>
        <v>1</v>
      </c>
      <c r="AO813" s="50" t="n">
        <f aca="false">IF(LEFT(Cockpit!$I$5,1)="A",H813,IF(CE813=1,CF813,IF(LEFT(Cockpit!$I$5,1)="B",AT813,MAX(AT813,H813))))</f>
        <v>454</v>
      </c>
      <c r="AP813" s="50" t="n">
        <f aca="false">IF(BW813=1,0,ROUNDUP(AO813/BV813,0))</f>
        <v>1</v>
      </c>
      <c r="AQ813" s="52" t="n">
        <f aca="false">IF(CL813&gt;0,CL813*MAX(1,AO813/X813),IF(BW813=1,IF(AO813&lt;=0,0,CA813*MAX(1,IF(H813&gt;0,AO813/H813,1))),IF(R813&gt;0,AP813/R813,0))/MAX(0.1,N(Parameter!$M$21)))</f>
        <v>0.0192307692307692</v>
      </c>
      <c r="AR813" s="50" t="n">
        <f aca="false">AQ813*BY813</f>
        <v>2.98076923076923</v>
      </c>
      <c r="AS813" s="50" t="n">
        <f aca="false">AO813*G813</f>
        <v>63.56</v>
      </c>
      <c r="AT813" s="50" t="n">
        <f aca="false">ROUNDUP(MAX(J813/IF(CD813&gt;0,CD813,MAX(0.1,N(Cockpit!$I$6))),CG813)/BV813,0)*BV813</f>
        <v>454</v>
      </c>
      <c r="AU813" s="51" t="n">
        <f aca="false">IF(AR813&gt;0,J813/AR813,-1)</f>
        <v>12.7483870967742</v>
      </c>
      <c r="AV813" s="51" t="n">
        <f aca="false">IF(AND(OR(CC813="L1",CC813="L23",CC813="LIFT"),AR813&gt;0),SUMIFS($AR$7:$AR$1843,$CC$7:$CC$1843,CC813,$AU$7:$AU$1843,"&gt;"&amp;AU813)+SUMIFS($AR$7:$AR$1843,$CC$7:$CC$1843,CC813,$AU$7:$AU$1843,AU813,$BT$7:$BT$1843,"&lt;="&amp;BT813),"")</f>
        <v>3575.4793956044</v>
      </c>
      <c r="AW813" s="58" t="n">
        <f aca="false">IF(AV813="",0,MAX(0,MIN(1,(IF(CC813="L1",Parameter!$H$5,IF(CC813="L23",Parameter!$H$6+Parameter!$H$7,Parameter!$H$5+Parameter!$H$6+Parameter!$H$7))-(AV813-AR813))/AR813)))</f>
        <v>1</v>
      </c>
      <c r="AX813" s="50" t="n">
        <f aca="false">IF(LEFT(Cockpit!$O$5,1)="A",H813,IF(CE813=1,CF813,IF(LEFT(Cockpit!$O$5,1)="B",BC813,MAX(BC813,H813))))</f>
        <v>454</v>
      </c>
      <c r="AY813" s="50" t="n">
        <f aca="false">IF(BW813=1,0,ROUNDUP(AX813/BV813,0))</f>
        <v>1</v>
      </c>
      <c r="AZ813" s="52" t="n">
        <f aca="false">IF(CL813&gt;0,CL813*MAX(1,AX813/X813),IF(BW813=1,IF(AX813&lt;=0,0,CA813*MAX(1,IF(H813&gt;0,AX813/H813,1))),IF(R813&gt;0,AY813/R813,0))/MAX(0.1,N(Parameter!$M$21)))</f>
        <v>0.0192307692307692</v>
      </c>
      <c r="BA813" s="50" t="n">
        <f aca="false">AZ813*BY813</f>
        <v>2.98076923076923</v>
      </c>
      <c r="BB813" s="50" t="n">
        <f aca="false">AX813*G813</f>
        <v>63.56</v>
      </c>
      <c r="BC813" s="50" t="n">
        <f aca="false">ROUNDUP(MAX(J813/IF(CD813&gt;0,CD813,MAX(0.1,N(Cockpit!$O$6))),CG813)/BV813,0)*BV813</f>
        <v>454</v>
      </c>
      <c r="BD813" s="51" t="n">
        <f aca="false">IF(BA813&gt;0,J813/BA813,-1)</f>
        <v>12.7483870967742</v>
      </c>
      <c r="BE813" s="51" t="n">
        <f aca="false">IF(AND(OR(CC813="L1",CC813="L23",CC813="LIFT"),BA813&gt;0),SUMIFS($BA$7:$BA$1843,$CC$7:$CC$1843,CC813,$BD$7:$BD$1843,"&gt;"&amp;BD813)+SUMIFS($BA$7:$BA$1843,$CC$7:$CC$1843,CC813,$BD$7:$BD$1843,BD813,$BT$7:$BT$1843,"&lt;="&amp;BT813),"")</f>
        <v>3232.03388278388</v>
      </c>
      <c r="BF813" s="58" t="n">
        <f aca="false">IF(BE813="",0,MAX(0,MIN(1,(IF(CC813="L1",Parameter!$H$5,IF(CC813="L23",Parameter!$H$6+Parameter!$H$7,Parameter!$H$5+Parameter!$H$6+Parameter!$H$7))-(BE813-BA813))/BA813)))</f>
        <v>1</v>
      </c>
      <c r="BG813" s="48" t="str">
        <f aca="false">IF(AI813&lt;=0,"",IF(CC813="Aussen","Aussenlager",IF(CC813="-","Nicht im Lift",IF(AN813&gt;=1,"Lift",IF(AN813&lt;=0,"Aussenlager","teilweise")))))</f>
        <v>Lift</v>
      </c>
      <c r="BH813" s="48" t="str">
        <f aca="false">IF(AR813&lt;=0,"",IF(CC813="Aussen","Aussenlager",IF(CC813="-","Nicht im Lift",IF(AW813&gt;=1,"Lift",IF(AW813&lt;=0,"Aussenlager","teilweise")))))</f>
        <v>Lift</v>
      </c>
      <c r="BI813" s="48" t="str">
        <f aca="false">IF(BA813&lt;=0,"",IF(CC813="Aussen","Aussenlager",IF(CC813="-","Nicht im Lift",IF(BF813&gt;=1,"Lift",IF(BF813&lt;=0,"Aussenlager","teilweise")))))</f>
        <v>Lift</v>
      </c>
      <c r="BJ813" s="48" t="str">
        <f aca="false">IF(A813="","",IF(BS813=1,"Neu; ","")&amp;IF(AND(BS813=0,BN813&lt;0),"negativer Bestand (Export "&amp;BN813&amp;"); ","")&amp;IF(J813&lt;=0,"Kein Verbrauch; ","")&amp;IF(CL813&gt;0,"Lift "&amp;W813&amp;" lt. Liftbericht (Fach "&amp;X813&amp;" Stk); ",IF(BX813=1,"Gebinde geschätzt ("&amp;T813&amp;"); ",IF(BW813=1,"Lose – Tablare geschätzt; ","")))&amp;IF(H813&gt;AT813,"Überbestand "&amp;ROUND(H813-AT813,0)&amp;" Stk / CHF "&amp;ROUND((H813-AT813)*G813,0)&amp;"; ","")&amp;IF(AND(CE813=1,CF813&lt;CG813),"MAX &lt; MB+LG; ","")&amp;IF(AND(CK813&gt;0,CJ813*10&gt;CK813),"zu hoch für Tablar; ","")&amp;IF(AND(BS813=0,OR(CE813=1,AA813&lt;&gt;"",U813&lt;&gt;"",V813&lt;&gt;"",AB813&lt;&gt;"")),"manuell übersteuert; ","")&amp;IF(AND(BW813=0,R813=0),"Gebinde unbekannt / Stellmass fehlt; ","")&amp;IF(AND(BW813=0,N(V813)&lt;=0,N(Q813)&lt;=0),"Menge pro Gebinde fehlt (Ist = 1 Gebinde); ","")&amp;BR813)</f>
        <v>negativer Bestand (Export -51); Überbestand</v>
      </c>
      <c r="BK813" s="48"/>
      <c r="BL813" s="48"/>
      <c r="BM813" s="55"/>
      <c r="BN813" s="50" t="n">
        <v>-51</v>
      </c>
      <c r="BO813" s="50" t="n">
        <v>354</v>
      </c>
      <c r="BP813" s="49" t="n">
        <v>-7.14</v>
      </c>
      <c r="BQ813" s="50" t="n">
        <v>38</v>
      </c>
      <c r="BR813" s="48" t="s">
        <v>396</v>
      </c>
      <c r="BS813" s="53" t="n">
        <v>0</v>
      </c>
      <c r="BT813" s="53" t="n">
        <v>813</v>
      </c>
      <c r="BU813" s="48" t="str">
        <f aca="false">IF(U813&lt;&gt;"",UPPER(TRIM(U813)),IF(BX813=1,UPPER(VLOOKUP(T813,Parameter!$I$27:$K$29,2,0)),IF(P813="","LOSE",P813)))</f>
        <v>S33</v>
      </c>
      <c r="BV813" s="50" t="n">
        <f aca="false">IF(BU813="LOSE",1,IF(N(V813)&gt;0,V813,IF(BX813=1,MAX(1,N(VLOOKUP(T813,Parameter!$I$27:$K$29,3,0)),H813,N(N813)),IF(N(Q813)&gt;0,Q813,MAX(1,H813)))))</f>
        <v>454</v>
      </c>
      <c r="BW813" s="53" t="n">
        <f aca="false">IF(BU813="LOSE",1,0)</f>
        <v>0</v>
      </c>
      <c r="BX813" s="53" t="n">
        <f aca="false">IF(AND(U813="",OR(P813="",P813="LOSE"),T813&lt;&gt;"",N(S813)&lt;=0,ISNUMBER(MATCH(T813,Parameter!$I$27:$I$29,0))),1,0)</f>
        <v>0</v>
      </c>
      <c r="BY813" s="53" t="n">
        <f aca="false">IF(CL813&gt;0,INDEX(Parameter!$H$5:$H$7,W813)/INDEX(Parameter!$E$5:$E$7,W813),IF(AND(BW813=0,N(IFERROR(VLOOKUP(BU813,'Gebinde-Kategorie'!$A$5:$N$45,14,0),0))&gt;0),VLOOKUP(BU813,'Gebinde-Kategorie'!$A$5:$N$45,14,0)*10+Parameter!$M$23,Parameter!$M$24))</f>
        <v>155</v>
      </c>
      <c r="BZ813" s="48" t="str">
        <f aca="false">IF(AND(Parameter!$B$19="Ja",E813&lt;&gt;"",ISNUMBER(MATCH(E813,Parameter!$I$35:$I$52,0))),VLOOKUP(E813,Parameter!$I$35:$J$52,2,0),IFERROR(VLOOKUP(D813,Parameter!$A$35:$C$64,2,0),"Nein"))</f>
        <v>2+3</v>
      </c>
      <c r="CA813" s="52" t="n">
        <f aca="false">IF(BW813=0,0,IF(N(S813)&gt;0,S813,IFERROR(VLOOKUP(D813,Parameter!$A$35:$C$64,3,0)+0,0)))</f>
        <v>0</v>
      </c>
      <c r="CB813" s="48" t="n">
        <f aca="false">IF(AA813&lt;&gt;"",AA813,Z813)</f>
        <v>3</v>
      </c>
      <c r="CC813" s="48" t="str">
        <f aca="false">IF(OR(CB813=1,CB813=2,CB813=3),IF(Parameter!$E$27="Ja","LIFT",IF(CB813=1,"L1","L23")),IF(CB813="Aussen","Aussen","-"))</f>
        <v>LIFT</v>
      </c>
      <c r="CD813" s="59" t="n">
        <f aca="false">IF(N(AB813)&gt;0,AB813,0)</f>
        <v>0</v>
      </c>
      <c r="CE813" s="53" t="n">
        <f aca="false">IF(ISNUMBER(AE813),1,0)</f>
        <v>0</v>
      </c>
      <c r="CF813" s="50" t="n">
        <f aca="false">N(AE813)</f>
        <v>0</v>
      </c>
      <c r="CG813" s="50" t="n">
        <f aca="false">N(M813)+N(N813)</f>
        <v>42</v>
      </c>
      <c r="CH813" s="50" t="n">
        <f aca="false">ROUNDUP(H813/BV813,0)</f>
        <v>1</v>
      </c>
      <c r="CI813" s="50" t="n">
        <f aca="false">ROUNDUP(CF813/BV813,0)</f>
        <v>0</v>
      </c>
      <c r="CJ813" s="53" t="n">
        <f aca="false">IF(BW813=1,0,IFERROR(VLOOKUP(BU813,'Gebinde-Kategorie'!$A$5:$N$45,5,0)+0,0))</f>
        <v>8</v>
      </c>
      <c r="CK813" s="53" t="n">
        <f aca="false">IFERROR(IF(OR(CB813=1,CB813=2,CB813=3),N(INDEX(Parameter!$I$5:$I$7,CB813)),0),0)</f>
        <v>0</v>
      </c>
      <c r="CL813" s="52" t="n">
        <f aca="false">IF(AND(Parameter!$B$21="Ja",ISNUMBER(W813),N(X813)&gt;0),IFERROR(N(INDEX(Parameter!$L$5:$L$7,W813))*INDEX(Parameter!$E$5:$E$7,W813)*X813/SUMIFS($X$7:$X$1843,$W$7:$W$1843,W813),0),0)</f>
        <v>0</v>
      </c>
    </row>
    <row r="814" customFormat="false" ht="15" hidden="false" customHeight="false" outlineLevel="0" collapsed="false">
      <c r="A814" s="48" t="s">
        <v>1579</v>
      </c>
      <c r="B814" s="48" t="s">
        <v>728</v>
      </c>
      <c r="C814" s="48" t="s">
        <v>168</v>
      </c>
      <c r="D814" s="48" t="s">
        <v>188</v>
      </c>
      <c r="E814" s="48" t="s">
        <v>189</v>
      </c>
      <c r="F814" s="48" t="s">
        <v>222</v>
      </c>
      <c r="G814" s="49" t="n">
        <v>10.42</v>
      </c>
      <c r="H814" s="50" t="n">
        <f aca="false">MAX(0,IF(AND(Parameter!$B$21="Ja",ISNUMBER(Y814)),Y814,IF(Parameter!$B$20="Jahresanfang 2025 + Export",BO814+BN814,BN814)))</f>
        <v>8</v>
      </c>
      <c r="I814" s="50" t="n">
        <f aca="false">H814*G814</f>
        <v>83.36</v>
      </c>
      <c r="J814" s="50" t="n">
        <f aca="false">BQ814*Parameter!$B$18</f>
        <v>8</v>
      </c>
      <c r="K814" s="51" t="n">
        <v>8.5</v>
      </c>
      <c r="L814" s="52" t="n">
        <v>0.941176470588235</v>
      </c>
      <c r="M814" s="50" t="n">
        <v>0</v>
      </c>
      <c r="N814" s="50" t="n">
        <v>10</v>
      </c>
      <c r="O814" s="53" t="n">
        <v>14</v>
      </c>
      <c r="P814" s="48" t="s">
        <v>430</v>
      </c>
      <c r="Q814" s="50" t="n">
        <v>15</v>
      </c>
      <c r="R814" s="53" t="n">
        <f aca="false">IF(BW814=1,0,IFERROR(VLOOKUP(BU814,'Gebinde-Kategorie'!$A$5:$N$45,13,0)+0,0))</f>
        <v>140</v>
      </c>
      <c r="S814" s="54"/>
      <c r="T814" s="55"/>
      <c r="U814" s="55"/>
      <c r="V814" s="55"/>
      <c r="W814" s="48"/>
      <c r="X814" s="50"/>
      <c r="Y814" s="50"/>
      <c r="Z814" s="48" t="n">
        <f aca="false">IF(A814="","",IF(AND(Parameter!$B$21="Ja",ISNUMBER(W814)),W814,IF(BZ814="2+3",IF(ISNUMBER(SEARCH("grosser Artikel",BR814)),2,IFERROR(VLOOKUP(BU814,Parameter!$F$35:$G$64,2,0),2)),IF(OR(BZ814="Nein",BZ814=""),"-",BZ814))))</f>
        <v>3</v>
      </c>
      <c r="AA814" s="55"/>
      <c r="AB814" s="56"/>
      <c r="AC814" s="50" t="n">
        <f aca="false">AT814</f>
        <v>15</v>
      </c>
      <c r="AD814" s="50" t="n">
        <f aca="false">MAX(AT814,H814)</f>
        <v>15</v>
      </c>
      <c r="AE814" s="57"/>
      <c r="AF814" s="50" t="n">
        <f aca="false">IF(LEFT(Cockpit!$C$5,1)="A",H814,IF(CE814=1,CF814,IF(LEFT(Cockpit!$C$5,1)="B",AK814,MAX(AK814,H814))))</f>
        <v>8</v>
      </c>
      <c r="AG814" s="50" t="n">
        <f aca="false">IF(BW814=1,0,ROUNDUP(AF814/BV814,0))</f>
        <v>1</v>
      </c>
      <c r="AH814" s="52" t="n">
        <f aca="false">IF(CL814&gt;0,CL814*MAX(1,AF814/X814),IF(BW814=1,IF(AF814&lt;=0,0,CA814*MAX(1,IF(H814&gt;0,AF814/H814,1))),IF(R814&gt;0,AG814/R814,0))/MAX(0.1,N(Parameter!$M$21)))</f>
        <v>0.00714285714285714</v>
      </c>
      <c r="AI814" s="50" t="n">
        <f aca="false">AH814*BY814</f>
        <v>1.10714285714286</v>
      </c>
      <c r="AJ814" s="50" t="n">
        <f aca="false">AF814*G814</f>
        <v>83.36</v>
      </c>
      <c r="AK814" s="50" t="n">
        <f aca="false">ROUNDUP(MAX(J814/IF(CD814&gt;0,CD814,MAX(0.1,N(Cockpit!$C$6))),CG814)/BV814,0)*BV814</f>
        <v>15</v>
      </c>
      <c r="AL814" s="51" t="n">
        <f aca="false">IF(AI814&gt;0,J814/AI814,-1)</f>
        <v>7.2258064516129</v>
      </c>
      <c r="AM814" s="51" t="n">
        <f aca="false">IF(AND(OR(CC814="L1",CC814="L23",CC814="LIFT"),AI814&gt;0),SUMIFS($AI$7:$AI$1843,$CC$7:$CC$1843,CC814,$AL$7:$AL$1843,"&gt;"&amp;AL814)+SUMIFS($AI$7:$AI$1843,$CC$7:$CC$1843,CC814,$AL$7:$AL$1843,AL814,$BT$7:$BT$1843,"&lt;="&amp;BT814),"")</f>
        <v>3157.79716117216</v>
      </c>
      <c r="AN814" s="58" t="n">
        <f aca="false">IF(AM814="",0,MAX(0,MIN(1,(IF(CC814="L1",Parameter!$H$5,IF(CC814="L23",Parameter!$H$6+Parameter!$H$7,Parameter!$H$5+Parameter!$H$6+Parameter!$H$7))-(AM814-AI814))/AI814)))</f>
        <v>1</v>
      </c>
      <c r="AO814" s="50" t="n">
        <f aca="false">IF(LEFT(Cockpit!$I$5,1)="A",H814,IF(CE814=1,CF814,IF(LEFT(Cockpit!$I$5,1)="B",AT814,MAX(AT814,H814))))</f>
        <v>15</v>
      </c>
      <c r="AP814" s="50" t="n">
        <f aca="false">IF(BW814=1,0,ROUNDUP(AO814/BV814,0))</f>
        <v>1</v>
      </c>
      <c r="AQ814" s="52" t="n">
        <f aca="false">IF(CL814&gt;0,CL814*MAX(1,AO814/X814),IF(BW814=1,IF(AO814&lt;=0,0,CA814*MAX(1,IF(H814&gt;0,AO814/H814,1))),IF(R814&gt;0,AP814/R814,0))/MAX(0.1,N(Parameter!$M$21)))</f>
        <v>0.00714285714285714</v>
      </c>
      <c r="AR814" s="50" t="n">
        <f aca="false">AQ814*BY814</f>
        <v>1.10714285714286</v>
      </c>
      <c r="AS814" s="50" t="n">
        <f aca="false">AO814*G814</f>
        <v>156.3</v>
      </c>
      <c r="AT814" s="50" t="n">
        <f aca="false">ROUNDUP(MAX(J814/IF(CD814&gt;0,CD814,MAX(0.1,N(Cockpit!$I$6))),CG814)/BV814,0)*BV814</f>
        <v>15</v>
      </c>
      <c r="AU814" s="51" t="n">
        <f aca="false">IF(AR814&gt;0,J814/AR814,-1)</f>
        <v>7.2258064516129</v>
      </c>
      <c r="AV814" s="51" t="n">
        <f aca="false">IF(AND(OR(CC814="L1",CC814="L23",CC814="LIFT"),AR814&gt;0),SUMIFS($AR$7:$AR$1843,$CC$7:$CC$1843,CC814,$AU$7:$AU$1843,"&gt;"&amp;AU814)+SUMIFS($AR$7:$AR$1843,$CC$7:$CC$1843,CC814,$AU$7:$AU$1843,AU814,$BT$7:$BT$1843,"&lt;="&amp;BT814),"")</f>
        <v>4340.15064102564</v>
      </c>
      <c r="AW814" s="58" t="n">
        <f aca="false">IF(AV814="",0,MAX(0,MIN(1,(IF(CC814="L1",Parameter!$H$5,IF(CC814="L23",Parameter!$H$6+Parameter!$H$7,Parameter!$H$5+Parameter!$H$6+Parameter!$H$7))-(AV814-AR814))/AR814)))</f>
        <v>1</v>
      </c>
      <c r="AX814" s="50" t="n">
        <f aca="false">IF(LEFT(Cockpit!$O$5,1)="A",H814,IF(CE814=1,CF814,IF(LEFT(Cockpit!$O$5,1)="B",BC814,MAX(BC814,H814))))</f>
        <v>15</v>
      </c>
      <c r="AY814" s="50" t="n">
        <f aca="false">IF(BW814=1,0,ROUNDUP(AX814/BV814,0))</f>
        <v>1</v>
      </c>
      <c r="AZ814" s="52" t="n">
        <f aca="false">IF(CL814&gt;0,CL814*MAX(1,AX814/X814),IF(BW814=1,IF(AX814&lt;=0,0,CA814*MAX(1,IF(H814&gt;0,AX814/H814,1))),IF(R814&gt;0,AY814/R814,0))/MAX(0.1,N(Parameter!$M$21)))</f>
        <v>0.00714285714285714</v>
      </c>
      <c r="BA814" s="50" t="n">
        <f aca="false">AZ814*BY814</f>
        <v>1.10714285714286</v>
      </c>
      <c r="BB814" s="50" t="n">
        <f aca="false">AX814*G814</f>
        <v>156.3</v>
      </c>
      <c r="BC814" s="50" t="n">
        <f aca="false">ROUNDUP(MAX(J814/IF(CD814&gt;0,CD814,MAX(0.1,N(Cockpit!$O$6))),CG814)/BV814,0)*BV814</f>
        <v>15</v>
      </c>
      <c r="BD814" s="51" t="n">
        <f aca="false">IF(BA814&gt;0,J814/BA814,-1)</f>
        <v>7.2258064516129</v>
      </c>
      <c r="BE814" s="51" t="n">
        <f aca="false">IF(AND(OR(CC814="L1",CC814="L23",CC814="LIFT"),BA814&gt;0),SUMIFS($BA$7:$BA$1843,$CC$7:$CC$1843,CC814,$BD$7:$BD$1843,"&gt;"&amp;BD814)+SUMIFS($BA$7:$BA$1843,$CC$7:$CC$1843,CC814,$BD$7:$BD$1843,BD814,$BT$7:$BT$1843,"&lt;="&amp;BT814),"")</f>
        <v>4083.11538461538</v>
      </c>
      <c r="BF814" s="58" t="n">
        <f aca="false">IF(BE814="",0,MAX(0,MIN(1,(IF(CC814="L1",Parameter!$H$5,IF(CC814="L23",Parameter!$H$6+Parameter!$H$7,Parameter!$H$5+Parameter!$H$6+Parameter!$H$7))-(BE814-BA814))/BA814)))</f>
        <v>1</v>
      </c>
      <c r="BG814" s="48" t="str">
        <f aca="false">IF(AI814&lt;=0,"",IF(CC814="Aussen","Aussenlager",IF(CC814="-","Nicht im Lift",IF(AN814&gt;=1,"Lift",IF(AN814&lt;=0,"Aussenlager","teilweise")))))</f>
        <v>Lift</v>
      </c>
      <c r="BH814" s="48" t="str">
        <f aca="false">IF(AR814&lt;=0,"",IF(CC814="Aussen","Aussenlager",IF(CC814="-","Nicht im Lift",IF(AW814&gt;=1,"Lift",IF(AW814&lt;=0,"Aussenlager","teilweise")))))</f>
        <v>Lift</v>
      </c>
      <c r="BI814" s="48" t="str">
        <f aca="false">IF(BA814&lt;=0,"",IF(CC814="Aussen","Aussenlager",IF(CC814="-","Nicht im Lift",IF(BF814&gt;=1,"Lift",IF(BF814&lt;=0,"Aussenlager","teilweise")))))</f>
        <v>Lift</v>
      </c>
      <c r="BJ814" s="48" t="str">
        <f aca="false">IF(A814="","",IF(BS814=1,"Neu; ","")&amp;IF(AND(BS814=0,BN814&lt;0),"negativer Bestand (Export "&amp;BN814&amp;"); ","")&amp;IF(J814&lt;=0,"Kein Verbrauch; ","")&amp;IF(CL814&gt;0,"Lift "&amp;W814&amp;" lt. Liftbericht (Fach "&amp;X814&amp;" Stk); ",IF(BX814=1,"Gebinde geschätzt ("&amp;T814&amp;"); ",IF(BW814=1,"Lose – Tablare geschätzt; ","")))&amp;IF(H814&gt;AT814,"Überbestand "&amp;ROUND(H814-AT814,0)&amp;" Stk / CHF "&amp;ROUND((H814-AT814)*G814,0)&amp;"; ","")&amp;IF(AND(CE814=1,CF814&lt;CG814),"MAX &lt; MB+LG; ","")&amp;IF(AND(CK814&gt;0,CJ814*10&gt;CK814),"zu hoch für Tablar; ","")&amp;IF(AND(BS814=0,OR(CE814=1,AA814&lt;&gt;"",U814&lt;&gt;"",V814&lt;&gt;"",AB814&lt;&gt;"")),"manuell übersteuert; ","")&amp;IF(AND(BW814=0,R814=0),"Gebinde unbekannt / Stellmass fehlt; ","")&amp;IF(AND(BW814=0,N(V814)&lt;=0,N(Q814)&lt;=0),"Menge pro Gebinde fehlt (Ist = 1 Gebinde); ","")&amp;BR814)</f>
        <v/>
      </c>
      <c r="BK814" s="48"/>
      <c r="BL814" s="48"/>
      <c r="BM814" s="55"/>
      <c r="BN814" s="50" t="n">
        <v>0</v>
      </c>
      <c r="BO814" s="50" t="n">
        <v>8</v>
      </c>
      <c r="BP814" s="49" t="n">
        <v>-7.36000000000002</v>
      </c>
      <c r="BQ814" s="50" t="n">
        <v>8</v>
      </c>
      <c r="BR814" s="48"/>
      <c r="BS814" s="53" t="n">
        <v>0</v>
      </c>
      <c r="BT814" s="53" t="n">
        <v>814</v>
      </c>
      <c r="BU814" s="48" t="str">
        <f aca="false">IF(U814&lt;&gt;"",UPPER(TRIM(U814)),IF(BX814=1,UPPER(VLOOKUP(T814,Parameter!$I$27:$K$29,2,0)),IF(P814="","LOSE",P814)))</f>
        <v>S22</v>
      </c>
      <c r="BV814" s="50" t="n">
        <f aca="false">IF(BU814="LOSE",1,IF(N(V814)&gt;0,V814,IF(BX814=1,MAX(1,N(VLOOKUP(T814,Parameter!$I$27:$K$29,3,0)),H814,N(N814)),IF(N(Q814)&gt;0,Q814,MAX(1,H814)))))</f>
        <v>15</v>
      </c>
      <c r="BW814" s="53" t="n">
        <f aca="false">IF(BU814="LOSE",1,0)</f>
        <v>0</v>
      </c>
      <c r="BX814" s="53" t="n">
        <f aca="false">IF(AND(U814="",OR(P814="",P814="LOSE"),T814&lt;&gt;"",N(S814)&lt;=0,ISNUMBER(MATCH(T814,Parameter!$I$27:$I$29,0))),1,0)</f>
        <v>0</v>
      </c>
      <c r="BY814" s="53" t="n">
        <f aca="false">IF(CL814&gt;0,INDEX(Parameter!$H$5:$H$7,W814)/INDEX(Parameter!$E$5:$E$7,W814),IF(AND(BW814=0,N(IFERROR(VLOOKUP(BU814,'Gebinde-Kategorie'!$A$5:$N$45,14,0),0))&gt;0),VLOOKUP(BU814,'Gebinde-Kategorie'!$A$5:$N$45,14,0)*10+Parameter!$M$23,Parameter!$M$24))</f>
        <v>155</v>
      </c>
      <c r="BZ814" s="48" t="str">
        <f aca="false">IF(AND(Parameter!$B$19="Ja",E814&lt;&gt;"",ISNUMBER(MATCH(E814,Parameter!$I$35:$I$52,0))),VLOOKUP(E814,Parameter!$I$35:$J$52,2,0),IFERROR(VLOOKUP(D814,Parameter!$A$35:$C$64,2,0),"Nein"))</f>
        <v>2+3</v>
      </c>
      <c r="CA814" s="52" t="n">
        <f aca="false">IF(BW814=0,0,IF(N(S814)&gt;0,S814,IFERROR(VLOOKUP(D814,Parameter!$A$35:$C$64,3,0)+0,0)))</f>
        <v>0</v>
      </c>
      <c r="CB814" s="48" t="n">
        <f aca="false">IF(AA814&lt;&gt;"",AA814,Z814)</f>
        <v>3</v>
      </c>
      <c r="CC814" s="48" t="str">
        <f aca="false">IF(OR(CB814=1,CB814=2,CB814=3),IF(Parameter!$E$27="Ja","LIFT",IF(CB814=1,"L1","L23")),IF(CB814="Aussen","Aussen","-"))</f>
        <v>LIFT</v>
      </c>
      <c r="CD814" s="59" t="n">
        <f aca="false">IF(N(AB814)&gt;0,AB814,0)</f>
        <v>0</v>
      </c>
      <c r="CE814" s="53" t="n">
        <f aca="false">IF(ISNUMBER(AE814),1,0)</f>
        <v>0</v>
      </c>
      <c r="CF814" s="50" t="n">
        <f aca="false">N(AE814)</f>
        <v>0</v>
      </c>
      <c r="CG814" s="50" t="n">
        <f aca="false">N(M814)+N(N814)</f>
        <v>10</v>
      </c>
      <c r="CH814" s="50" t="n">
        <f aca="false">ROUNDUP(H814/BV814,0)</f>
        <v>1</v>
      </c>
      <c r="CI814" s="50" t="n">
        <f aca="false">ROUNDUP(CF814/BV814,0)</f>
        <v>0</v>
      </c>
      <c r="CJ814" s="53" t="n">
        <f aca="false">IF(BW814=1,0,IFERROR(VLOOKUP(BU814,'Gebinde-Kategorie'!$A$5:$N$45,5,0)+0,0))</f>
        <v>8</v>
      </c>
      <c r="CK814" s="53" t="n">
        <f aca="false">IFERROR(IF(OR(CB814=1,CB814=2,CB814=3),N(INDEX(Parameter!$I$5:$I$7,CB814)),0),0)</f>
        <v>0</v>
      </c>
      <c r="CL814" s="52" t="n">
        <f aca="false">IF(AND(Parameter!$B$21="Ja",ISNUMBER(W814),N(X814)&gt;0),IFERROR(N(INDEX(Parameter!$L$5:$L$7,W814))*INDEX(Parameter!$E$5:$E$7,W814)*X814/SUMIFS($X$7:$X$1843,$W$7:$W$1843,W814),0),0)</f>
        <v>0</v>
      </c>
    </row>
    <row r="815" customFormat="false" ht="15" hidden="false" customHeight="false" outlineLevel="0" collapsed="false">
      <c r="A815" s="48" t="s">
        <v>1580</v>
      </c>
      <c r="B815" s="48" t="s">
        <v>1270</v>
      </c>
      <c r="C815" s="48" t="s">
        <v>168</v>
      </c>
      <c r="D815" s="48" t="s">
        <v>188</v>
      </c>
      <c r="E815" s="48" t="s">
        <v>189</v>
      </c>
      <c r="F815" s="48" t="s">
        <v>222</v>
      </c>
      <c r="G815" s="49" t="n">
        <v>0.04</v>
      </c>
      <c r="H815" s="50" t="n">
        <f aca="false">MAX(0,IF(AND(Parameter!$B$21="Ja",ISNUMBER(Y815)),Y815,IF(Parameter!$B$20="Jahresanfang 2025 + Export",BO815+BN815,BN815)))</f>
        <v>687</v>
      </c>
      <c r="I815" s="50" t="n">
        <f aca="false">H815*G815</f>
        <v>27.48</v>
      </c>
      <c r="J815" s="50" t="n">
        <f aca="false">BQ815*Parameter!$B$18</f>
        <v>263</v>
      </c>
      <c r="K815" s="51" t="n">
        <v>852</v>
      </c>
      <c r="L815" s="52" t="n">
        <v>0.30868544600939</v>
      </c>
      <c r="M815" s="50" t="n">
        <v>15</v>
      </c>
      <c r="N815" s="50" t="n">
        <v>265</v>
      </c>
      <c r="O815" s="53" t="n">
        <v>21</v>
      </c>
      <c r="P815" s="48" t="s">
        <v>480</v>
      </c>
      <c r="Q815" s="50" t="n">
        <v>1885</v>
      </c>
      <c r="R815" s="53" t="n">
        <f aca="false">IF(BW815=1,0,IFERROR(VLOOKUP(BU815,'Gebinde-Kategorie'!$A$5:$N$45,13,0)+0,0))</f>
        <v>52</v>
      </c>
      <c r="S815" s="54"/>
      <c r="T815" s="55"/>
      <c r="U815" s="55"/>
      <c r="V815" s="55"/>
      <c r="W815" s="48"/>
      <c r="X815" s="50"/>
      <c r="Y815" s="50"/>
      <c r="Z815" s="48" t="n">
        <f aca="false">IF(A815="","",IF(AND(Parameter!$B$21="Ja",ISNUMBER(W815)),W815,IF(BZ815="2+3",IF(ISNUMBER(SEARCH("grosser Artikel",BR815)),2,IFERROR(VLOOKUP(BU815,Parameter!$F$35:$G$64,2,0),2)),IF(OR(BZ815="Nein",BZ815=""),"-",BZ815))))</f>
        <v>3</v>
      </c>
      <c r="AA815" s="55"/>
      <c r="AB815" s="56"/>
      <c r="AC815" s="50" t="n">
        <f aca="false">AT815</f>
        <v>1885</v>
      </c>
      <c r="AD815" s="50" t="n">
        <f aca="false">MAX(AT815,H815)</f>
        <v>1885</v>
      </c>
      <c r="AE815" s="57"/>
      <c r="AF815" s="50" t="n">
        <f aca="false">IF(LEFT(Cockpit!$C$5,1)="A",H815,IF(CE815=1,CF815,IF(LEFT(Cockpit!$C$5,1)="B",AK815,MAX(AK815,H815))))</f>
        <v>687</v>
      </c>
      <c r="AG815" s="50" t="n">
        <f aca="false">IF(BW815=1,0,ROUNDUP(AF815/BV815,0))</f>
        <v>1</v>
      </c>
      <c r="AH815" s="52" t="n">
        <f aca="false">IF(CL815&gt;0,CL815*MAX(1,AF815/X815),IF(BW815=1,IF(AF815&lt;=0,0,CA815*MAX(1,IF(H815&gt;0,AF815/H815,1))),IF(R815&gt;0,AG815/R815,0))/MAX(0.1,N(Parameter!$M$21)))</f>
        <v>0.0192307692307692</v>
      </c>
      <c r="AI815" s="50" t="n">
        <f aca="false">AH815*BY815</f>
        <v>2.98076923076923</v>
      </c>
      <c r="AJ815" s="50" t="n">
        <f aca="false">AF815*G815</f>
        <v>27.48</v>
      </c>
      <c r="AK815" s="50" t="n">
        <f aca="false">ROUNDUP(MAX(J815/IF(CD815&gt;0,CD815,MAX(0.1,N(Cockpit!$C$6))),CG815)/BV815,0)*BV815</f>
        <v>1885</v>
      </c>
      <c r="AL815" s="51" t="n">
        <f aca="false">IF(AI815&gt;0,J815/AI815,-1)</f>
        <v>88.2322580645161</v>
      </c>
      <c r="AM815" s="51" t="n">
        <f aca="false">IF(AND(OR(CC815="L1",CC815="L23",CC815="LIFT"),AI815&gt;0),SUMIFS($AI$7:$AI$1843,$CC$7:$CC$1843,CC815,$AL$7:$AL$1843,"&gt;"&amp;AL815)+SUMIFS($AI$7:$AI$1843,$CC$7:$CC$1843,CC815,$AL$7:$AL$1843,AL815,$BT$7:$BT$1843,"&lt;="&amp;BT815),"")</f>
        <v>830.916208791209</v>
      </c>
      <c r="AN815" s="58" t="n">
        <f aca="false">IF(AM815="",0,MAX(0,MIN(1,(IF(CC815="L1",Parameter!$H$5,IF(CC815="L23",Parameter!$H$6+Parameter!$H$7,Parameter!$H$5+Parameter!$H$6+Parameter!$H$7))-(AM815-AI815))/AI815)))</f>
        <v>1</v>
      </c>
      <c r="AO815" s="50" t="n">
        <f aca="false">IF(LEFT(Cockpit!$I$5,1)="A",H815,IF(CE815=1,CF815,IF(LEFT(Cockpit!$I$5,1)="B",AT815,MAX(AT815,H815))))</f>
        <v>1885</v>
      </c>
      <c r="AP815" s="50" t="n">
        <f aca="false">IF(BW815=1,0,ROUNDUP(AO815/BV815,0))</f>
        <v>1</v>
      </c>
      <c r="AQ815" s="52" t="n">
        <f aca="false">IF(CL815&gt;0,CL815*MAX(1,AO815/X815),IF(BW815=1,IF(AO815&lt;=0,0,CA815*MAX(1,IF(H815&gt;0,AO815/H815,1))),IF(R815&gt;0,AP815/R815,0))/MAX(0.1,N(Parameter!$M$21)))</f>
        <v>0.0192307692307692</v>
      </c>
      <c r="AR815" s="50" t="n">
        <f aca="false">AQ815*BY815</f>
        <v>2.98076923076923</v>
      </c>
      <c r="AS815" s="50" t="n">
        <f aca="false">AO815*G815</f>
        <v>75.4</v>
      </c>
      <c r="AT815" s="50" t="n">
        <f aca="false">ROUNDUP(MAX(J815/IF(CD815&gt;0,CD815,MAX(0.1,N(Cockpit!$I$6))),CG815)/BV815,0)*BV815</f>
        <v>1885</v>
      </c>
      <c r="AU815" s="51" t="n">
        <f aca="false">IF(AR815&gt;0,J815/AR815,-1)</f>
        <v>88.2322580645161</v>
      </c>
      <c r="AV815" s="51" t="n">
        <f aca="false">IF(AND(OR(CC815="L1",CC815="L23",CC815="LIFT"),AR815&gt;0),SUMIFS($AR$7:$AR$1843,$CC$7:$CC$1843,CC815,$AU$7:$AU$1843,"&gt;"&amp;AU815)+SUMIFS($AR$7:$AR$1843,$CC$7:$CC$1843,CC815,$AU$7:$AU$1843,AU815,$BT$7:$BT$1843,"&lt;="&amp;BT815),"")</f>
        <v>935.835622710623</v>
      </c>
      <c r="AW815" s="58" t="n">
        <f aca="false">IF(AV815="",0,MAX(0,MIN(1,(IF(CC815="L1",Parameter!$H$5,IF(CC815="L23",Parameter!$H$6+Parameter!$H$7,Parameter!$H$5+Parameter!$H$6+Parameter!$H$7))-(AV815-AR815))/AR815)))</f>
        <v>1</v>
      </c>
      <c r="AX815" s="50" t="n">
        <f aca="false">IF(LEFT(Cockpit!$O$5,1)="A",H815,IF(CE815=1,CF815,IF(LEFT(Cockpit!$O$5,1)="B",BC815,MAX(BC815,H815))))</f>
        <v>1885</v>
      </c>
      <c r="AY815" s="50" t="n">
        <f aca="false">IF(BW815=1,0,ROUNDUP(AX815/BV815,0))</f>
        <v>1</v>
      </c>
      <c r="AZ815" s="52" t="n">
        <f aca="false">IF(CL815&gt;0,CL815*MAX(1,AX815/X815),IF(BW815=1,IF(AX815&lt;=0,0,CA815*MAX(1,IF(H815&gt;0,AX815/H815,1))),IF(R815&gt;0,AY815/R815,0))/MAX(0.1,N(Parameter!$M$21)))</f>
        <v>0.0192307692307692</v>
      </c>
      <c r="BA815" s="50" t="n">
        <f aca="false">AZ815*BY815</f>
        <v>2.98076923076923</v>
      </c>
      <c r="BB815" s="50" t="n">
        <f aca="false">AX815*G815</f>
        <v>75.4</v>
      </c>
      <c r="BC815" s="50" t="n">
        <f aca="false">ROUNDUP(MAX(J815/IF(CD815&gt;0,CD815,MAX(0.1,N(Cockpit!$O$6))),CG815)/BV815,0)*BV815</f>
        <v>1885</v>
      </c>
      <c r="BD815" s="51" t="n">
        <f aca="false">IF(BA815&gt;0,J815/BA815,-1)</f>
        <v>88.2322580645161</v>
      </c>
      <c r="BE815" s="51" t="n">
        <f aca="false">IF(AND(OR(CC815="L1",CC815="L23",CC815="LIFT"),BA815&gt;0),SUMIFS($BA$7:$BA$1843,$CC$7:$CC$1843,CC815,$BD$7:$BD$1843,"&gt;"&amp;BD815)+SUMIFS($BA$7:$BA$1843,$CC$7:$CC$1843,CC815,$BD$7:$BD$1843,BD815,$BT$7:$BT$1843,"&lt;="&amp;BT815),"")</f>
        <v>1043.25549450549</v>
      </c>
      <c r="BF815" s="58" t="n">
        <f aca="false">IF(BE815="",0,MAX(0,MIN(1,(IF(CC815="L1",Parameter!$H$5,IF(CC815="L23",Parameter!$H$6+Parameter!$H$7,Parameter!$H$5+Parameter!$H$6+Parameter!$H$7))-(BE815-BA815))/BA815)))</f>
        <v>1</v>
      </c>
      <c r="BG815" s="48" t="str">
        <f aca="false">IF(AI815&lt;=0,"",IF(CC815="Aussen","Aussenlager",IF(CC815="-","Nicht im Lift",IF(AN815&gt;=1,"Lift",IF(AN815&lt;=0,"Aussenlager","teilweise")))))</f>
        <v>Lift</v>
      </c>
      <c r="BH815" s="48" t="str">
        <f aca="false">IF(AR815&lt;=0,"",IF(CC815="Aussen","Aussenlager",IF(CC815="-","Nicht im Lift",IF(AW815&gt;=1,"Lift",IF(AW815&lt;=0,"Aussenlager","teilweise")))))</f>
        <v>Lift</v>
      </c>
      <c r="BI815" s="48" t="str">
        <f aca="false">IF(BA815&lt;=0,"",IF(CC815="Aussen","Aussenlager",IF(CC815="-","Nicht im Lift",IF(BF815&gt;=1,"Lift",IF(BF815&lt;=0,"Aussenlager","teilweise")))))</f>
        <v>Lift</v>
      </c>
      <c r="BJ815" s="48" t="str">
        <f aca="false">IF(A815="","",IF(BS815=1,"Neu; ","")&amp;IF(AND(BS815=0,BN815&lt;0),"negativer Bestand (Export "&amp;BN815&amp;"); ","")&amp;IF(J815&lt;=0,"Kein Verbrauch; ","")&amp;IF(CL815&gt;0,"Lift "&amp;W815&amp;" lt. Liftbericht (Fach "&amp;X815&amp;" Stk); ",IF(BX815=1,"Gebinde geschätzt ("&amp;T815&amp;"); ",IF(BW815=1,"Lose – Tablare geschätzt; ","")))&amp;IF(H815&gt;AT815,"Überbestand "&amp;ROUND(H815-AT815,0)&amp;" Stk / CHF "&amp;ROUND((H815-AT815)*G815,0)&amp;"; ","")&amp;IF(AND(CE815=1,CF815&lt;CG815),"MAX &lt; MB+LG; ","")&amp;IF(AND(CK815&gt;0,CJ815*10&gt;CK815),"zu hoch für Tablar; ","")&amp;IF(AND(BS815=0,OR(CE815=1,AA815&lt;&gt;"",U815&lt;&gt;"",V815&lt;&gt;"",AB815&lt;&gt;"")),"manuell übersteuert; ","")&amp;IF(AND(BW815=0,R815=0),"Gebinde unbekannt / Stellmass fehlt; ","")&amp;IF(AND(BW815=0,N(V815)&lt;=0,N(Q815)&lt;=0),"Menge pro Gebinde fehlt (Ist = 1 Gebinde); ","")&amp;BR815)</f>
        <v>negativer Bestand (Export -190); Überbestand</v>
      </c>
      <c r="BK815" s="48"/>
      <c r="BL815" s="48"/>
      <c r="BM815" s="55"/>
      <c r="BN815" s="50" t="n">
        <v>-190</v>
      </c>
      <c r="BO815" s="50" t="n">
        <v>877</v>
      </c>
      <c r="BP815" s="49" t="n">
        <v>-7.6</v>
      </c>
      <c r="BQ815" s="50" t="n">
        <v>263</v>
      </c>
      <c r="BR815" s="48" t="s">
        <v>396</v>
      </c>
      <c r="BS815" s="53" t="n">
        <v>0</v>
      </c>
      <c r="BT815" s="53" t="n">
        <v>815</v>
      </c>
      <c r="BU815" s="48" t="str">
        <f aca="false">IF(U815&lt;&gt;"",UPPER(TRIM(U815)),IF(BX815=1,UPPER(VLOOKUP(T815,Parameter!$I$27:$K$29,2,0)),IF(P815="","LOSE",P815)))</f>
        <v>S33</v>
      </c>
      <c r="BV815" s="50" t="n">
        <f aca="false">IF(BU815="LOSE",1,IF(N(V815)&gt;0,V815,IF(BX815=1,MAX(1,N(VLOOKUP(T815,Parameter!$I$27:$K$29,3,0)),H815,N(N815)),IF(N(Q815)&gt;0,Q815,MAX(1,H815)))))</f>
        <v>1885</v>
      </c>
      <c r="BW815" s="53" t="n">
        <f aca="false">IF(BU815="LOSE",1,0)</f>
        <v>0</v>
      </c>
      <c r="BX815" s="53" t="n">
        <f aca="false">IF(AND(U815="",OR(P815="",P815="LOSE"),T815&lt;&gt;"",N(S815)&lt;=0,ISNUMBER(MATCH(T815,Parameter!$I$27:$I$29,0))),1,0)</f>
        <v>0</v>
      </c>
      <c r="BY815" s="53" t="n">
        <f aca="false">IF(CL815&gt;0,INDEX(Parameter!$H$5:$H$7,W815)/INDEX(Parameter!$E$5:$E$7,W815),IF(AND(BW815=0,N(IFERROR(VLOOKUP(BU815,'Gebinde-Kategorie'!$A$5:$N$45,14,0),0))&gt;0),VLOOKUP(BU815,'Gebinde-Kategorie'!$A$5:$N$45,14,0)*10+Parameter!$M$23,Parameter!$M$24))</f>
        <v>155</v>
      </c>
      <c r="BZ815" s="48" t="str">
        <f aca="false">IF(AND(Parameter!$B$19="Ja",E815&lt;&gt;"",ISNUMBER(MATCH(E815,Parameter!$I$35:$I$52,0))),VLOOKUP(E815,Parameter!$I$35:$J$52,2,0),IFERROR(VLOOKUP(D815,Parameter!$A$35:$C$64,2,0),"Nein"))</f>
        <v>2+3</v>
      </c>
      <c r="CA815" s="52" t="n">
        <f aca="false">IF(BW815=0,0,IF(N(S815)&gt;0,S815,IFERROR(VLOOKUP(D815,Parameter!$A$35:$C$64,3,0)+0,0)))</f>
        <v>0</v>
      </c>
      <c r="CB815" s="48" t="n">
        <f aca="false">IF(AA815&lt;&gt;"",AA815,Z815)</f>
        <v>3</v>
      </c>
      <c r="CC815" s="48" t="str">
        <f aca="false">IF(OR(CB815=1,CB815=2,CB815=3),IF(Parameter!$E$27="Ja","LIFT",IF(CB815=1,"L1","L23")),IF(CB815="Aussen","Aussen","-"))</f>
        <v>LIFT</v>
      </c>
      <c r="CD815" s="59" t="n">
        <f aca="false">IF(N(AB815)&gt;0,AB815,0)</f>
        <v>0</v>
      </c>
      <c r="CE815" s="53" t="n">
        <f aca="false">IF(ISNUMBER(AE815),1,0)</f>
        <v>0</v>
      </c>
      <c r="CF815" s="50" t="n">
        <f aca="false">N(AE815)</f>
        <v>0</v>
      </c>
      <c r="CG815" s="50" t="n">
        <f aca="false">N(M815)+N(N815)</f>
        <v>280</v>
      </c>
      <c r="CH815" s="50" t="n">
        <f aca="false">ROUNDUP(H815/BV815,0)</f>
        <v>1</v>
      </c>
      <c r="CI815" s="50" t="n">
        <f aca="false">ROUNDUP(CF815/BV815,0)</f>
        <v>0</v>
      </c>
      <c r="CJ815" s="53" t="n">
        <f aca="false">IF(BW815=1,0,IFERROR(VLOOKUP(BU815,'Gebinde-Kategorie'!$A$5:$N$45,5,0)+0,0))</f>
        <v>8</v>
      </c>
      <c r="CK815" s="53" t="n">
        <f aca="false">IFERROR(IF(OR(CB815=1,CB815=2,CB815=3),N(INDEX(Parameter!$I$5:$I$7,CB815)),0),0)</f>
        <v>0</v>
      </c>
      <c r="CL815" s="52" t="n">
        <f aca="false">IF(AND(Parameter!$B$21="Ja",ISNUMBER(W815),N(X815)&gt;0),IFERROR(N(INDEX(Parameter!$L$5:$L$7,W815))*INDEX(Parameter!$E$5:$E$7,W815)*X815/SUMIFS($X$7:$X$1843,$W$7:$W$1843,W815),0),0)</f>
        <v>0</v>
      </c>
    </row>
    <row r="816" customFormat="false" ht="15" hidden="false" customHeight="false" outlineLevel="0" collapsed="false">
      <c r="A816" s="48" t="s">
        <v>1581</v>
      </c>
      <c r="B816" s="48" t="s">
        <v>1582</v>
      </c>
      <c r="C816" s="48" t="s">
        <v>168</v>
      </c>
      <c r="D816" s="48" t="s">
        <v>188</v>
      </c>
      <c r="E816" s="48" t="s">
        <v>189</v>
      </c>
      <c r="F816" s="48" t="s">
        <v>222</v>
      </c>
      <c r="G816" s="49" t="n">
        <v>8.05</v>
      </c>
      <c r="H816" s="50" t="n">
        <f aca="false">MAX(0,IF(AND(Parameter!$B$21="Ja",ISNUMBER(Y816)),Y816,IF(Parameter!$B$20="Jahresanfang 2025 + Export",BO816+BN816,BN816)))</f>
        <v>45</v>
      </c>
      <c r="I816" s="50" t="n">
        <f aca="false">H816*G816</f>
        <v>362.25</v>
      </c>
      <c r="J816" s="50" t="n">
        <f aca="false">BQ816*Parameter!$B$18</f>
        <v>0</v>
      </c>
      <c r="K816" s="51" t="n">
        <v>46</v>
      </c>
      <c r="L816" s="52" t="n">
        <v>0</v>
      </c>
      <c r="M816" s="50" t="n">
        <v>0</v>
      </c>
      <c r="N816" s="50" t="n">
        <v>1</v>
      </c>
      <c r="O816" s="53" t="n">
        <v>35</v>
      </c>
      <c r="P816" s="48" t="s">
        <v>237</v>
      </c>
      <c r="Q816" s="50" t="n">
        <v>46</v>
      </c>
      <c r="R816" s="53" t="n">
        <f aca="false">IF(BW816=1,0,IFERROR(VLOOKUP(BU816,'Gebinde-Kategorie'!$A$5:$N$45,13,0)+0,0))</f>
        <v>26</v>
      </c>
      <c r="S816" s="54"/>
      <c r="T816" s="55"/>
      <c r="U816" s="55"/>
      <c r="V816" s="55"/>
      <c r="W816" s="48"/>
      <c r="X816" s="50"/>
      <c r="Y816" s="50"/>
      <c r="Z816" s="48" t="n">
        <f aca="false">IF(A816="","",IF(AND(Parameter!$B$21="Ja",ISNUMBER(W816)),W816,IF(BZ816="2+3",IF(ISNUMBER(SEARCH("grosser Artikel",BR816)),2,IFERROR(VLOOKUP(BU816,Parameter!$F$35:$G$64,2,0),2)),IF(OR(BZ816="Nein",BZ816=""),"-",BZ816))))</f>
        <v>3</v>
      </c>
      <c r="AA816" s="55"/>
      <c r="AB816" s="56"/>
      <c r="AC816" s="50" t="n">
        <f aca="false">AT816</f>
        <v>46</v>
      </c>
      <c r="AD816" s="50" t="n">
        <f aca="false">MAX(AT816,H816)</f>
        <v>46</v>
      </c>
      <c r="AE816" s="57"/>
      <c r="AF816" s="50" t="n">
        <f aca="false">IF(LEFT(Cockpit!$C$5,1)="A",H816,IF(CE816=1,CF816,IF(LEFT(Cockpit!$C$5,1)="B",AK816,MAX(AK816,H816))))</f>
        <v>45</v>
      </c>
      <c r="AG816" s="50" t="n">
        <f aca="false">IF(BW816=1,0,ROUNDUP(AF816/BV816,0))</f>
        <v>1</v>
      </c>
      <c r="AH816" s="52" t="n">
        <f aca="false">IF(CL816&gt;0,CL816*MAX(1,AF816/X816),IF(BW816=1,IF(AF816&lt;=0,0,CA816*MAX(1,IF(H816&gt;0,AF816/H816,1))),IF(R816&gt;0,AG816/R816,0))/MAX(0.1,N(Parameter!$M$21)))</f>
        <v>0.0384615384615385</v>
      </c>
      <c r="AI816" s="50" t="n">
        <f aca="false">AH816*BY816</f>
        <v>9.42307692307692</v>
      </c>
      <c r="AJ816" s="50" t="n">
        <f aca="false">AF816*G816</f>
        <v>362.25</v>
      </c>
      <c r="AK816" s="50" t="n">
        <f aca="false">ROUNDUP(MAX(J816/IF(CD816&gt;0,CD816,MAX(0.1,N(Cockpit!$C$6))),CG816)/BV816,0)*BV816</f>
        <v>46</v>
      </c>
      <c r="AL816" s="51" t="n">
        <f aca="false">IF(AI816&gt;0,J816/AI816,-1)</f>
        <v>0</v>
      </c>
      <c r="AM816" s="51" t="n">
        <f aca="false">IF(AND(OR(CC816="L1",CC816="L23",CC816="LIFT"),AI816&gt;0),SUMIFS($AI$7:$AI$1843,$CC$7:$CC$1843,CC816,$AL$7:$AL$1843,"&gt;"&amp;AL816)+SUMIFS($AI$7:$AI$1843,$CC$7:$CC$1843,CC816,$AL$7:$AL$1843,AL816,$BT$7:$BT$1843,"&lt;="&amp;BT816),"")</f>
        <v>28782.5880802343</v>
      </c>
      <c r="AN816" s="58" t="n">
        <f aca="false">IF(AM816="",0,MAX(0,MIN(1,(IF(CC816="L1",Parameter!$H$5,IF(CC816="L23",Parameter!$H$6+Parameter!$H$7,Parameter!$H$5+Parameter!$H$6+Parameter!$H$7))-(AM816-AI816))/AI816)))</f>
        <v>1</v>
      </c>
      <c r="AO816" s="50" t="n">
        <f aca="false">IF(LEFT(Cockpit!$I$5,1)="A",H816,IF(CE816=1,CF816,IF(LEFT(Cockpit!$I$5,1)="B",AT816,MAX(AT816,H816))))</f>
        <v>46</v>
      </c>
      <c r="AP816" s="50" t="n">
        <f aca="false">IF(BW816=1,0,ROUNDUP(AO816/BV816,0))</f>
        <v>1</v>
      </c>
      <c r="AQ816" s="52" t="n">
        <f aca="false">IF(CL816&gt;0,CL816*MAX(1,AO816/X816),IF(BW816=1,IF(AO816&lt;=0,0,CA816*MAX(1,IF(H816&gt;0,AO816/H816,1))),IF(R816&gt;0,AP816/R816,0))/MAX(0.1,N(Parameter!$M$21)))</f>
        <v>0.0384615384615385</v>
      </c>
      <c r="AR816" s="50" t="n">
        <f aca="false">AQ816*BY816</f>
        <v>9.42307692307692</v>
      </c>
      <c r="AS816" s="50" t="n">
        <f aca="false">AO816*G816</f>
        <v>370.3</v>
      </c>
      <c r="AT816" s="50" t="n">
        <f aca="false">ROUNDUP(MAX(J816/IF(CD816&gt;0,CD816,MAX(0.1,N(Cockpit!$I$6))),CG816)/BV816,0)*BV816</f>
        <v>46</v>
      </c>
      <c r="AU816" s="51" t="n">
        <f aca="false">IF(AR816&gt;0,J816/AR816,-1)</f>
        <v>0</v>
      </c>
      <c r="AV816" s="51" t="n">
        <f aca="false">IF(AND(OR(CC816="L1",CC816="L23",CC816="LIFT"),AR816&gt;0),SUMIFS($AR$7:$AR$1843,$CC$7:$CC$1843,CC816,$AU$7:$AU$1843,"&gt;"&amp;AU816)+SUMIFS($AR$7:$AR$1843,$CC$7:$CC$1843,CC816,$AU$7:$AU$1843,AU816,$BT$7:$BT$1843,"&lt;="&amp;BT816),"")</f>
        <v>40360.158432669</v>
      </c>
      <c r="AW816" s="58" t="n">
        <f aca="false">IF(AV816="",0,MAX(0,MIN(1,(IF(CC816="L1",Parameter!$H$5,IF(CC816="L23",Parameter!$H$6+Parameter!$H$7,Parameter!$H$5+Parameter!$H$6+Parameter!$H$7))-(AV816-AR816))/AR816)))</f>
        <v>0</v>
      </c>
      <c r="AX816" s="50" t="n">
        <f aca="false">IF(LEFT(Cockpit!$O$5,1)="A",H816,IF(CE816=1,CF816,IF(LEFT(Cockpit!$O$5,1)="B",BC816,MAX(BC816,H816))))</f>
        <v>46</v>
      </c>
      <c r="AY816" s="50" t="n">
        <f aca="false">IF(BW816=1,0,ROUNDUP(AX816/BV816,0))</f>
        <v>1</v>
      </c>
      <c r="AZ816" s="52" t="n">
        <f aca="false">IF(CL816&gt;0,CL816*MAX(1,AX816/X816),IF(BW816=1,IF(AX816&lt;=0,0,CA816*MAX(1,IF(H816&gt;0,AX816/H816,1))),IF(R816&gt;0,AY816/R816,0))/MAX(0.1,N(Parameter!$M$21)))</f>
        <v>0.0384615384615385</v>
      </c>
      <c r="BA816" s="50" t="n">
        <f aca="false">AZ816*BY816</f>
        <v>9.42307692307692</v>
      </c>
      <c r="BB816" s="50" t="n">
        <f aca="false">AX816*G816</f>
        <v>370.3</v>
      </c>
      <c r="BC816" s="50" t="n">
        <f aca="false">ROUNDUP(MAX(J816/IF(CD816&gt;0,CD816,MAX(0.1,N(Cockpit!$O$6))),CG816)/BV816,0)*BV816</f>
        <v>46</v>
      </c>
      <c r="BD816" s="51" t="n">
        <f aca="false">IF(BA816&gt;0,J816/BA816,-1)</f>
        <v>0</v>
      </c>
      <c r="BE816" s="51" t="n">
        <f aca="false">IF(AND(OR(CC816="L1",CC816="L23",CC816="LIFT"),BA816&gt;0),SUMIFS($BA$7:$BA$1843,$CC$7:$CC$1843,CC816,$BD$7:$BD$1843,"&gt;"&amp;BD816)+SUMIFS($BA$7:$BA$1843,$CC$7:$CC$1843,CC816,$BD$7:$BD$1843,BD816,$BT$7:$BT$1843,"&lt;="&amp;BT816),"")</f>
        <v>37035.1704745349</v>
      </c>
      <c r="BF816" s="58" t="n">
        <f aca="false">IF(BE816="",0,MAX(0,MIN(1,(IF(CC816="L1",Parameter!$H$5,IF(CC816="L23",Parameter!$H$6+Parameter!$H$7,Parameter!$H$5+Parameter!$H$6+Parameter!$H$7))-(BE816-BA816))/BA816)))</f>
        <v>0</v>
      </c>
      <c r="BG816" s="48" t="str">
        <f aca="false">IF(AI816&lt;=0,"",IF(CC816="Aussen","Aussenlager",IF(CC816="-","Nicht im Lift",IF(AN816&gt;=1,"Lift",IF(AN816&lt;=0,"Aussenlager","teilweise")))))</f>
        <v>Lift</v>
      </c>
      <c r="BH816" s="48" t="str">
        <f aca="false">IF(AR816&lt;=0,"",IF(CC816="Aussen","Aussenlager",IF(CC816="-","Nicht im Lift",IF(AW816&gt;=1,"Lift",IF(AW816&lt;=0,"Aussenlager","teilweise")))))</f>
        <v>Aussenlager</v>
      </c>
      <c r="BI816" s="48" t="str">
        <f aca="false">IF(BA816&lt;=0,"",IF(CC816="Aussen","Aussenlager",IF(CC816="-","Nicht im Lift",IF(BF816&gt;=1,"Lift",IF(BF816&lt;=0,"Aussenlager","teilweise")))))</f>
        <v>Aussenlager</v>
      </c>
      <c r="BJ816" s="48" t="str">
        <f aca="false">IF(A816="","",IF(BS816=1,"Neu; ","")&amp;IF(AND(BS816=0,BN816&lt;0),"negativer Bestand (Export "&amp;BN816&amp;"); ","")&amp;IF(J816&lt;=0,"Kein Verbrauch; ","")&amp;IF(CL816&gt;0,"Lift "&amp;W816&amp;" lt. Liftbericht (Fach "&amp;X816&amp;" Stk); ",IF(BX816=1,"Gebinde geschätzt ("&amp;T816&amp;"); ",IF(BW816=1,"Lose – Tablare geschätzt; ","")))&amp;IF(H816&gt;AT816,"Überbestand "&amp;ROUND(H816-AT816,0)&amp;" Stk / CHF "&amp;ROUND((H816-AT816)*G816,0)&amp;"; ","")&amp;IF(AND(CE816=1,CF816&lt;CG816),"MAX &lt; MB+LG; ","")&amp;IF(AND(CK816&gt;0,CJ816*10&gt;CK816),"zu hoch für Tablar; ","")&amp;IF(AND(BS816=0,OR(CE816=1,AA816&lt;&gt;"",U816&lt;&gt;"",V816&lt;&gt;"",AB816&lt;&gt;"")),"manuell übersteuert; ","")&amp;IF(AND(BW816=0,R816=0),"Gebinde unbekannt / Stellmass fehlt; ","")&amp;IF(AND(BW816=0,N(V816)&lt;=0,N(Q816)&lt;=0),"Menge pro Gebinde fehlt (Ist = 1 Gebinde); ","")&amp;BR816)</f>
        <v>negativer Bestand (Export -1); Kein Verbrauch; </v>
      </c>
      <c r="BK816" s="48"/>
      <c r="BL816" s="48"/>
      <c r="BM816" s="55"/>
      <c r="BN816" s="50" t="n">
        <v>-1</v>
      </c>
      <c r="BO816" s="50" t="n">
        <v>46</v>
      </c>
      <c r="BP816" s="49" t="n">
        <v>-8.05</v>
      </c>
      <c r="BQ816" s="50" t="n">
        <v>0</v>
      </c>
      <c r="BR816" s="48"/>
      <c r="BS816" s="53" t="n">
        <v>0</v>
      </c>
      <c r="BT816" s="53" t="n">
        <v>816</v>
      </c>
      <c r="BU816" s="48" t="str">
        <f aca="false">IF(U816&lt;&gt;"",UPPER(TRIM(U816)),IF(BX816=1,UPPER(VLOOKUP(T816,Parameter!$I$27:$K$29,2,0)),IF(P816="","LOSE",P816)))</f>
        <v>S52</v>
      </c>
      <c r="BV816" s="50" t="n">
        <f aca="false">IF(BU816="LOSE",1,IF(N(V816)&gt;0,V816,IF(BX816=1,MAX(1,N(VLOOKUP(T816,Parameter!$I$27:$K$29,3,0)),H816,N(N816)),IF(N(Q816)&gt;0,Q816,MAX(1,H816)))))</f>
        <v>46</v>
      </c>
      <c r="BW816" s="53" t="n">
        <f aca="false">IF(BU816="LOSE",1,0)</f>
        <v>0</v>
      </c>
      <c r="BX816" s="53" t="n">
        <f aca="false">IF(AND(U816="",OR(P816="",P816="LOSE"),T816&lt;&gt;"",N(S816)&lt;=0,ISNUMBER(MATCH(T816,Parameter!$I$27:$I$29,0))),1,0)</f>
        <v>0</v>
      </c>
      <c r="BY816" s="53" t="n">
        <f aca="false">IF(CL816&gt;0,INDEX(Parameter!$H$5:$H$7,W816)/INDEX(Parameter!$E$5:$E$7,W816),IF(AND(BW816=0,N(IFERROR(VLOOKUP(BU816,'Gebinde-Kategorie'!$A$5:$N$45,14,0),0))&gt;0),VLOOKUP(BU816,'Gebinde-Kategorie'!$A$5:$N$45,14,0)*10+Parameter!$M$23,Parameter!$M$24))</f>
        <v>245</v>
      </c>
      <c r="BZ816" s="48" t="str">
        <f aca="false">IF(AND(Parameter!$B$19="Ja",E816&lt;&gt;"",ISNUMBER(MATCH(E816,Parameter!$I$35:$I$52,0))),VLOOKUP(E816,Parameter!$I$35:$J$52,2,0),IFERROR(VLOOKUP(D816,Parameter!$A$35:$C$64,2,0),"Nein"))</f>
        <v>2+3</v>
      </c>
      <c r="CA816" s="52" t="n">
        <f aca="false">IF(BW816=0,0,IF(N(S816)&gt;0,S816,IFERROR(VLOOKUP(D816,Parameter!$A$35:$C$64,3,0)+0,0)))</f>
        <v>0</v>
      </c>
      <c r="CB816" s="48" t="n">
        <f aca="false">IF(AA816&lt;&gt;"",AA816,Z816)</f>
        <v>3</v>
      </c>
      <c r="CC816" s="48" t="str">
        <f aca="false">IF(OR(CB816=1,CB816=2,CB816=3),IF(Parameter!$E$27="Ja","LIFT",IF(CB816=1,"L1","L23")),IF(CB816="Aussen","Aussen","-"))</f>
        <v>LIFT</v>
      </c>
      <c r="CD816" s="59" t="n">
        <f aca="false">IF(N(AB816)&gt;0,AB816,0)</f>
        <v>0</v>
      </c>
      <c r="CE816" s="53" t="n">
        <f aca="false">IF(ISNUMBER(AE816),1,0)</f>
        <v>0</v>
      </c>
      <c r="CF816" s="50" t="n">
        <f aca="false">N(AE816)</f>
        <v>0</v>
      </c>
      <c r="CG816" s="50" t="n">
        <f aca="false">N(M816)+N(N816)</f>
        <v>1</v>
      </c>
      <c r="CH816" s="50" t="n">
        <f aca="false">ROUNDUP(H816/BV816,0)</f>
        <v>1</v>
      </c>
      <c r="CI816" s="50" t="n">
        <f aca="false">ROUNDUP(CF816/BV816,0)</f>
        <v>0</v>
      </c>
      <c r="CJ816" s="53" t="n">
        <f aca="false">IF(BW816=1,0,IFERROR(VLOOKUP(BU816,'Gebinde-Kategorie'!$A$5:$N$45,5,0)+0,0))</f>
        <v>21</v>
      </c>
      <c r="CK816" s="53" t="n">
        <f aca="false">IFERROR(IF(OR(CB816=1,CB816=2,CB816=3),N(INDEX(Parameter!$I$5:$I$7,CB816)),0),0)</f>
        <v>0</v>
      </c>
      <c r="CL816" s="52" t="n">
        <f aca="false">IF(AND(Parameter!$B$21="Ja",ISNUMBER(W816),N(X816)&gt;0),IFERROR(N(INDEX(Parameter!$L$5:$L$7,W816))*INDEX(Parameter!$E$5:$E$7,W816)*X816/SUMIFS($X$7:$X$1843,$W$7:$W$1843,W816),0),0)</f>
        <v>0</v>
      </c>
    </row>
    <row r="817" customFormat="false" ht="15" hidden="false" customHeight="false" outlineLevel="0" collapsed="false">
      <c r="A817" s="48" t="s">
        <v>1583</v>
      </c>
      <c r="B817" s="48" t="s">
        <v>1040</v>
      </c>
      <c r="C817" s="48" t="s">
        <v>168</v>
      </c>
      <c r="D817" s="48" t="s">
        <v>188</v>
      </c>
      <c r="E817" s="48" t="s">
        <v>189</v>
      </c>
      <c r="F817" s="48" t="s">
        <v>222</v>
      </c>
      <c r="G817" s="49" t="n">
        <v>0.04</v>
      </c>
      <c r="H817" s="50" t="n">
        <f aca="false">MAX(0,IF(AND(Parameter!$B$21="Ja",ISNUMBER(Y817)),Y817,IF(Parameter!$B$20="Jahresanfang 2025 + Export",BO817+BN817,BN817)))</f>
        <v>200</v>
      </c>
      <c r="I817" s="50" t="n">
        <f aca="false">H817*G817</f>
        <v>8</v>
      </c>
      <c r="J817" s="50" t="n">
        <f aca="false">BQ817*Parameter!$B$18</f>
        <v>200</v>
      </c>
      <c r="K817" s="51" t="n">
        <v>421</v>
      </c>
      <c r="L817" s="52" t="n">
        <v>0.475059382422803</v>
      </c>
      <c r="M817" s="50" t="n">
        <v>7</v>
      </c>
      <c r="N817" s="50" t="n">
        <v>200</v>
      </c>
      <c r="O817" s="53" t="n">
        <v>14</v>
      </c>
      <c r="P817" s="48" t="s">
        <v>190</v>
      </c>
      <c r="Q817" s="50" t="n">
        <v>2000</v>
      </c>
      <c r="R817" s="53" t="n">
        <f aca="false">IF(BW817=1,0,IFERROR(VLOOKUP(BU817,'Gebinde-Kategorie'!$A$5:$N$45,13,0)+0,0))</f>
        <v>12</v>
      </c>
      <c r="S817" s="54"/>
      <c r="T817" s="55"/>
      <c r="U817" s="55"/>
      <c r="V817" s="55"/>
      <c r="W817" s="48"/>
      <c r="X817" s="50"/>
      <c r="Y817" s="50"/>
      <c r="Z817" s="48" t="n">
        <f aca="false">IF(A817="","",IF(AND(Parameter!$B$21="Ja",ISNUMBER(W817)),W817,IF(BZ817="2+3",IF(ISNUMBER(SEARCH("grosser Artikel",BR817)),2,IFERROR(VLOOKUP(BU817,Parameter!$F$35:$G$64,2,0),2)),IF(OR(BZ817="Nein",BZ817=""),"-",BZ817))))</f>
        <v>2</v>
      </c>
      <c r="AA817" s="55"/>
      <c r="AB817" s="56"/>
      <c r="AC817" s="50" t="n">
        <f aca="false">AT817</f>
        <v>2000</v>
      </c>
      <c r="AD817" s="50" t="n">
        <f aca="false">MAX(AT817,H817)</f>
        <v>2000</v>
      </c>
      <c r="AE817" s="57"/>
      <c r="AF817" s="50" t="n">
        <f aca="false">IF(LEFT(Cockpit!$C$5,1)="A",H817,IF(CE817=1,CF817,IF(LEFT(Cockpit!$C$5,1)="B",AK817,MAX(AK817,H817))))</f>
        <v>200</v>
      </c>
      <c r="AG817" s="50" t="n">
        <f aca="false">IF(BW817=1,0,ROUNDUP(AF817/BV817,0))</f>
        <v>1</v>
      </c>
      <c r="AH817" s="52" t="n">
        <f aca="false">IF(CL817&gt;0,CL817*MAX(1,AF817/X817),IF(BW817=1,IF(AF817&lt;=0,0,CA817*MAX(1,IF(H817&gt;0,AF817/H817,1))),IF(R817&gt;0,AG817/R817,0))/MAX(0.1,N(Parameter!$M$21)))</f>
        <v>0.0833333333333333</v>
      </c>
      <c r="AI817" s="50" t="n">
        <f aca="false">AH817*BY817</f>
        <v>12.0833333333333</v>
      </c>
      <c r="AJ817" s="50" t="n">
        <f aca="false">AF817*G817</f>
        <v>8</v>
      </c>
      <c r="AK817" s="50" t="n">
        <f aca="false">ROUNDUP(MAX(J817/IF(CD817&gt;0,CD817,MAX(0.1,N(Cockpit!$C$6))),CG817)/BV817,0)*BV817</f>
        <v>2000</v>
      </c>
      <c r="AL817" s="51" t="n">
        <f aca="false">IF(AI817&gt;0,J817/AI817,-1)</f>
        <v>16.551724137931</v>
      </c>
      <c r="AM817" s="51" t="n">
        <f aca="false">IF(AND(OR(CC817="L1",CC817="L23",CC817="LIFT"),AI817&gt;0),SUMIFS($AI$7:$AI$1843,$CC$7:$CC$1843,CC817,$AL$7:$AL$1843,"&gt;"&amp;AL817)+SUMIFS($AI$7:$AI$1843,$CC$7:$CC$1843,CC817,$AL$7:$AL$1843,AL817,$BT$7:$BT$1843,"&lt;="&amp;BT817),"")</f>
        <v>2045.663003663</v>
      </c>
      <c r="AN817" s="58" t="n">
        <f aca="false">IF(AM817="",0,MAX(0,MIN(1,(IF(CC817="L1",Parameter!$H$5,IF(CC817="L23",Parameter!$H$6+Parameter!$H$7,Parameter!$H$5+Parameter!$H$6+Parameter!$H$7))-(AM817-AI817))/AI817)))</f>
        <v>1</v>
      </c>
      <c r="AO817" s="50" t="n">
        <f aca="false">IF(LEFT(Cockpit!$I$5,1)="A",H817,IF(CE817=1,CF817,IF(LEFT(Cockpit!$I$5,1)="B",AT817,MAX(AT817,H817))))</f>
        <v>2000</v>
      </c>
      <c r="AP817" s="50" t="n">
        <f aca="false">IF(BW817=1,0,ROUNDUP(AO817/BV817,0))</f>
        <v>1</v>
      </c>
      <c r="AQ817" s="52" t="n">
        <f aca="false">IF(CL817&gt;0,CL817*MAX(1,AO817/X817),IF(BW817=1,IF(AO817&lt;=0,0,CA817*MAX(1,IF(H817&gt;0,AO817/H817,1))),IF(R817&gt;0,AP817/R817,0))/MAX(0.1,N(Parameter!$M$21)))</f>
        <v>0.0833333333333333</v>
      </c>
      <c r="AR817" s="50" t="n">
        <f aca="false">AQ817*BY817</f>
        <v>12.0833333333333</v>
      </c>
      <c r="AS817" s="50" t="n">
        <f aca="false">AO817*G817</f>
        <v>80</v>
      </c>
      <c r="AT817" s="50" t="n">
        <f aca="false">ROUNDUP(MAX(J817/IF(CD817&gt;0,CD817,MAX(0.1,N(Cockpit!$I$6))),CG817)/BV817,0)*BV817</f>
        <v>2000</v>
      </c>
      <c r="AU817" s="51" t="n">
        <f aca="false">IF(AR817&gt;0,J817/AR817,-1)</f>
        <v>16.551724137931</v>
      </c>
      <c r="AV817" s="51" t="n">
        <f aca="false">IF(AND(OR(CC817="L1",CC817="L23",CC817="LIFT"),AR817&gt;0),SUMIFS($AR$7:$AR$1843,$CC$7:$CC$1843,CC817,$AU$7:$AU$1843,"&gt;"&amp;AU817)+SUMIFS($AR$7:$AR$1843,$CC$7:$CC$1843,CC817,$AU$7:$AU$1843,AU817,$BT$7:$BT$1843,"&lt;="&amp;BT817),"")</f>
        <v>3109.60714285714</v>
      </c>
      <c r="AW817" s="58" t="n">
        <f aca="false">IF(AV817="",0,MAX(0,MIN(1,(IF(CC817="L1",Parameter!$H$5,IF(CC817="L23",Parameter!$H$6+Parameter!$H$7,Parameter!$H$5+Parameter!$H$6+Parameter!$H$7))-(AV817-AR817))/AR817)))</f>
        <v>1</v>
      </c>
      <c r="AX817" s="50" t="n">
        <f aca="false">IF(LEFT(Cockpit!$O$5,1)="A",H817,IF(CE817=1,CF817,IF(LEFT(Cockpit!$O$5,1)="B",BC817,MAX(BC817,H817))))</f>
        <v>2000</v>
      </c>
      <c r="AY817" s="50" t="n">
        <f aca="false">IF(BW817=1,0,ROUNDUP(AX817/BV817,0))</f>
        <v>1</v>
      </c>
      <c r="AZ817" s="52" t="n">
        <f aca="false">IF(CL817&gt;0,CL817*MAX(1,AX817/X817),IF(BW817=1,IF(AX817&lt;=0,0,CA817*MAX(1,IF(H817&gt;0,AX817/H817,1))),IF(R817&gt;0,AY817/R817,0))/MAX(0.1,N(Parameter!$M$21)))</f>
        <v>0.0833333333333333</v>
      </c>
      <c r="BA817" s="50" t="n">
        <f aca="false">AZ817*BY817</f>
        <v>12.0833333333333</v>
      </c>
      <c r="BB817" s="50" t="n">
        <f aca="false">AX817*G817</f>
        <v>80</v>
      </c>
      <c r="BC817" s="50" t="n">
        <f aca="false">ROUNDUP(MAX(J817/IF(CD817&gt;0,CD817,MAX(0.1,N(Cockpit!$O$6))),CG817)/BV817,0)*BV817</f>
        <v>2000</v>
      </c>
      <c r="BD817" s="51" t="n">
        <f aca="false">IF(BA817&gt;0,J817/BA817,-1)</f>
        <v>16.551724137931</v>
      </c>
      <c r="BE817" s="51" t="n">
        <f aca="false">IF(AND(OR(CC817="L1",CC817="L23",CC817="LIFT"),BA817&gt;0),SUMIFS($BA$7:$BA$1843,$CC$7:$CC$1843,CC817,$BD$7:$BD$1843,"&gt;"&amp;BD817)+SUMIFS($BA$7:$BA$1843,$CC$7:$CC$1843,CC817,$BD$7:$BD$1843,BD817,$BT$7:$BT$1843,"&lt;="&amp;BT817),"")</f>
        <v>2784.04624542125</v>
      </c>
      <c r="BF817" s="58" t="n">
        <f aca="false">IF(BE817="",0,MAX(0,MIN(1,(IF(CC817="L1",Parameter!$H$5,IF(CC817="L23",Parameter!$H$6+Parameter!$H$7,Parameter!$H$5+Parameter!$H$6+Parameter!$H$7))-(BE817-BA817))/BA817)))</f>
        <v>1</v>
      </c>
      <c r="BG817" s="48" t="str">
        <f aca="false">IF(AI817&lt;=0,"",IF(CC817="Aussen","Aussenlager",IF(CC817="-","Nicht im Lift",IF(AN817&gt;=1,"Lift",IF(AN817&lt;=0,"Aussenlager","teilweise")))))</f>
        <v>Lift</v>
      </c>
      <c r="BH817" s="48" t="str">
        <f aca="false">IF(AR817&lt;=0,"",IF(CC817="Aussen","Aussenlager",IF(CC817="-","Nicht im Lift",IF(AW817&gt;=1,"Lift",IF(AW817&lt;=0,"Aussenlager","teilweise")))))</f>
        <v>Lift</v>
      </c>
      <c r="BI817" s="48" t="str">
        <f aca="false">IF(BA817&lt;=0,"",IF(CC817="Aussen","Aussenlager",IF(CC817="-","Nicht im Lift",IF(BF817&gt;=1,"Lift",IF(BF817&lt;=0,"Aussenlager","teilweise")))))</f>
        <v>Lift</v>
      </c>
      <c r="BJ817" s="48" t="str">
        <f aca="false">IF(A817="","",IF(BS817=1,"Neu; ","")&amp;IF(AND(BS817=0,BN817&lt;0),"negativer Bestand (Export "&amp;BN817&amp;"); ","")&amp;IF(J817&lt;=0,"Kein Verbrauch; ","")&amp;IF(CL817&gt;0,"Lift "&amp;W817&amp;" lt. Liftbericht (Fach "&amp;X817&amp;" Stk); ",IF(BX817=1,"Gebinde geschätzt ("&amp;T817&amp;"); ",IF(BW817=1,"Lose – Tablare geschätzt; ","")))&amp;IF(H817&gt;AT817,"Überbestand "&amp;ROUND(H817-AT817,0)&amp;" Stk / CHF "&amp;ROUND((H817-AT817)*G817,0)&amp;"; ","")&amp;IF(AND(CE817=1,CF817&lt;CG817),"MAX &lt; MB+LG; ","")&amp;IF(AND(CK817&gt;0,CJ817*10&gt;CK817),"zu hoch für Tablar; ","")&amp;IF(AND(BS817=0,OR(CE817=1,AA817&lt;&gt;"",U817&lt;&gt;"",V817&lt;&gt;"",AB817&lt;&gt;"")),"manuell übersteuert; ","")&amp;IF(AND(BW817=0,R817=0),"Gebinde unbekannt / Stellmass fehlt; ","")&amp;IF(AND(BW817=0,N(V817)&lt;=0,N(Q817)&lt;=0),"Menge pro Gebinde fehlt (Ist = 1 Gebinde); ","")&amp;BR817)</f>
        <v>negativer Bestand (Export -340); Verb.Lager</v>
      </c>
      <c r="BK817" s="48"/>
      <c r="BL817" s="48"/>
      <c r="BM817" s="55"/>
      <c r="BN817" s="50" t="n">
        <v>-340</v>
      </c>
      <c r="BO817" s="50" t="n">
        <v>540</v>
      </c>
      <c r="BP817" s="49" t="n">
        <v>-8.2</v>
      </c>
      <c r="BQ817" s="50" t="n">
        <v>200</v>
      </c>
      <c r="BR817" s="48" t="s">
        <v>1034</v>
      </c>
      <c r="BS817" s="53" t="n">
        <v>0</v>
      </c>
      <c r="BT817" s="53" t="n">
        <v>817</v>
      </c>
      <c r="BU817" s="48" t="str">
        <f aca="false">IF(U817&lt;&gt;"",UPPER(TRIM(U817)),IF(BX817=1,UPPER(VLOOKUP(T817,Parameter!$I$27:$K$29,2,0)),IF(P817="","LOSE",P817)))</f>
        <v>S61</v>
      </c>
      <c r="BV817" s="50" t="n">
        <f aca="false">IF(BU817="LOSE",1,IF(N(V817)&gt;0,V817,IF(BX817=1,MAX(1,N(VLOOKUP(T817,Parameter!$I$27:$K$29,3,0)),H817,N(N817)),IF(N(Q817)&gt;0,Q817,MAX(1,H817)))))</f>
        <v>2000</v>
      </c>
      <c r="BW817" s="53" t="n">
        <f aca="false">IF(BU817="LOSE",1,0)</f>
        <v>0</v>
      </c>
      <c r="BX817" s="53" t="n">
        <f aca="false">IF(AND(U817="",OR(P817="",P817="LOSE"),T817&lt;&gt;"",N(S817)&lt;=0,ISNUMBER(MATCH(T817,Parameter!$I$27:$I$29,0))),1,0)</f>
        <v>0</v>
      </c>
      <c r="BY817" s="53" t="n">
        <f aca="false">IF(CL817&gt;0,INDEX(Parameter!$H$5:$H$7,W817)/INDEX(Parameter!$E$5:$E$7,W817),IF(AND(BW817=0,N(IFERROR(VLOOKUP(BU817,'Gebinde-Kategorie'!$A$5:$N$45,14,0),0))&gt;0),VLOOKUP(BU817,'Gebinde-Kategorie'!$A$5:$N$45,14,0)*10+Parameter!$M$23,Parameter!$M$24))</f>
        <v>145</v>
      </c>
      <c r="BZ817" s="48" t="str">
        <f aca="false">IF(AND(Parameter!$B$19="Ja",E817&lt;&gt;"",ISNUMBER(MATCH(E817,Parameter!$I$35:$I$52,0))),VLOOKUP(E817,Parameter!$I$35:$J$52,2,0),IFERROR(VLOOKUP(D817,Parameter!$A$35:$C$64,2,0),"Nein"))</f>
        <v>2+3</v>
      </c>
      <c r="CA817" s="52" t="n">
        <f aca="false">IF(BW817=0,0,IF(N(S817)&gt;0,S817,IFERROR(VLOOKUP(D817,Parameter!$A$35:$C$64,3,0)+0,0)))</f>
        <v>0</v>
      </c>
      <c r="CB817" s="48" t="n">
        <f aca="false">IF(AA817&lt;&gt;"",AA817,Z817)</f>
        <v>2</v>
      </c>
      <c r="CC817" s="48" t="str">
        <f aca="false">IF(OR(CB817=1,CB817=2,CB817=3),IF(Parameter!$E$27="Ja","LIFT",IF(CB817=1,"L1","L23")),IF(CB817="Aussen","Aussen","-"))</f>
        <v>LIFT</v>
      </c>
      <c r="CD817" s="59" t="n">
        <f aca="false">IF(N(AB817)&gt;0,AB817,0)</f>
        <v>0</v>
      </c>
      <c r="CE817" s="53" t="n">
        <f aca="false">IF(ISNUMBER(AE817),1,0)</f>
        <v>0</v>
      </c>
      <c r="CF817" s="50" t="n">
        <f aca="false">N(AE817)</f>
        <v>0</v>
      </c>
      <c r="CG817" s="50" t="n">
        <f aca="false">N(M817)+N(N817)</f>
        <v>207</v>
      </c>
      <c r="CH817" s="50" t="n">
        <f aca="false">ROUNDUP(H817/BV817,0)</f>
        <v>1</v>
      </c>
      <c r="CI817" s="50" t="n">
        <f aca="false">ROUNDUP(CF817/BV817,0)</f>
        <v>0</v>
      </c>
      <c r="CJ817" s="53" t="n">
        <f aca="false">IF(BW817=1,0,IFERROR(VLOOKUP(BU817,'Gebinde-Kategorie'!$A$5:$N$45,5,0)+0,0))</f>
        <v>11</v>
      </c>
      <c r="CK817" s="53" t="n">
        <f aca="false">IFERROR(IF(OR(CB817=1,CB817=2,CB817=3),N(INDEX(Parameter!$I$5:$I$7,CB817)),0),0)</f>
        <v>0</v>
      </c>
      <c r="CL817" s="52" t="n">
        <f aca="false">IF(AND(Parameter!$B$21="Ja",ISNUMBER(W817),N(X817)&gt;0),IFERROR(N(INDEX(Parameter!$L$5:$L$7,W817))*INDEX(Parameter!$E$5:$E$7,W817)*X817/SUMIFS($X$7:$X$1843,$W$7:$W$1843,W817),0),0)</f>
        <v>0</v>
      </c>
    </row>
    <row r="818" customFormat="false" ht="15" hidden="false" customHeight="false" outlineLevel="0" collapsed="false">
      <c r="A818" s="48" t="s">
        <v>1584</v>
      </c>
      <c r="B818" s="48" t="s">
        <v>1140</v>
      </c>
      <c r="C818" s="48" t="s">
        <v>168</v>
      </c>
      <c r="D818" s="48" t="s">
        <v>188</v>
      </c>
      <c r="E818" s="48" t="s">
        <v>189</v>
      </c>
      <c r="F818" s="48" t="s">
        <v>222</v>
      </c>
      <c r="G818" s="49" t="n">
        <v>5.22</v>
      </c>
      <c r="H818" s="50" t="n">
        <f aca="false">MAX(0,IF(AND(Parameter!$B$21="Ja",ISNUMBER(Y818)),Y818,IF(Parameter!$B$20="Jahresanfang 2025 + Export",BO818+BN818,BN818)))</f>
        <v>2</v>
      </c>
      <c r="I818" s="50" t="n">
        <f aca="false">H818*G818</f>
        <v>10.44</v>
      </c>
      <c r="J818" s="50" t="n">
        <f aca="false">BQ818*Parameter!$B$18</f>
        <v>3</v>
      </c>
      <c r="K818" s="51" t="n">
        <v>2.5</v>
      </c>
      <c r="L818" s="52" t="n">
        <v>1.2</v>
      </c>
      <c r="M818" s="50" t="n">
        <v>0</v>
      </c>
      <c r="N818" s="50" t="n">
        <v>5</v>
      </c>
      <c r="O818" s="53" t="n">
        <v>14</v>
      </c>
      <c r="P818" s="48" t="s">
        <v>425</v>
      </c>
      <c r="Q818" s="50" t="n">
        <v>1</v>
      </c>
      <c r="R818" s="53" t="n">
        <f aca="false">IF(BW818=1,0,IFERROR(VLOOKUP(BU818,'Gebinde-Kategorie'!$A$5:$N$45,13,0)+0,0))</f>
        <v>104</v>
      </c>
      <c r="S818" s="54"/>
      <c r="T818" s="55"/>
      <c r="U818" s="55"/>
      <c r="V818" s="55"/>
      <c r="W818" s="48"/>
      <c r="X818" s="50"/>
      <c r="Y818" s="50"/>
      <c r="Z818" s="48" t="n">
        <f aca="false">IF(A818="","",IF(AND(Parameter!$B$21="Ja",ISNUMBER(W818)),W818,IF(BZ818="2+3",IF(ISNUMBER(SEARCH("grosser Artikel",BR818)),2,IFERROR(VLOOKUP(BU818,Parameter!$F$35:$G$64,2,0),2)),IF(OR(BZ818="Nein",BZ818=""),"-",BZ818))))</f>
        <v>3</v>
      </c>
      <c r="AA818" s="55"/>
      <c r="AB818" s="56"/>
      <c r="AC818" s="50" t="n">
        <f aca="false">AT818</f>
        <v>5</v>
      </c>
      <c r="AD818" s="50" t="n">
        <f aca="false">MAX(AT818,H818)</f>
        <v>5</v>
      </c>
      <c r="AE818" s="57"/>
      <c r="AF818" s="50" t="n">
        <f aca="false">IF(LEFT(Cockpit!$C$5,1)="A",H818,IF(CE818=1,CF818,IF(LEFT(Cockpit!$C$5,1)="B",AK818,MAX(AK818,H818))))</f>
        <v>2</v>
      </c>
      <c r="AG818" s="50" t="n">
        <f aca="false">IF(BW818=1,0,ROUNDUP(AF818/BV818,0))</f>
        <v>2</v>
      </c>
      <c r="AH818" s="52" t="n">
        <f aca="false">IF(CL818&gt;0,CL818*MAX(1,AF818/X818),IF(BW818=1,IF(AF818&lt;=0,0,CA818*MAX(1,IF(H818&gt;0,AF818/H818,1))),IF(R818&gt;0,AG818/R818,0))/MAX(0.1,N(Parameter!$M$21)))</f>
        <v>0.0192307692307692</v>
      </c>
      <c r="AI818" s="50" t="n">
        <f aca="false">AH818*BY818</f>
        <v>2.98076923076923</v>
      </c>
      <c r="AJ818" s="50" t="n">
        <f aca="false">AF818*G818</f>
        <v>10.44</v>
      </c>
      <c r="AK818" s="50" t="n">
        <f aca="false">ROUNDUP(MAX(J818/IF(CD818&gt;0,CD818,MAX(0.1,N(Cockpit!$C$6))),CG818)/BV818,0)*BV818</f>
        <v>5</v>
      </c>
      <c r="AL818" s="51" t="n">
        <f aca="false">IF(AI818&gt;0,J818/AI818,-1)</f>
        <v>1.00645161290323</v>
      </c>
      <c r="AM818" s="51" t="n">
        <f aca="false">IF(AND(OR(CC818="L1",CC818="L23",CC818="LIFT"),AI818&gt;0),SUMIFS($AI$7:$AI$1843,$CC$7:$CC$1843,CC818,$AL$7:$AL$1843,"&gt;"&amp;AL818)+SUMIFS($AI$7:$AI$1843,$CC$7:$CC$1843,CC818,$AL$7:$AL$1843,AL818,$BT$7:$BT$1843,"&lt;="&amp;BT818),"")</f>
        <v>7032.55815018315</v>
      </c>
      <c r="AN818" s="58" t="n">
        <f aca="false">IF(AM818="",0,MAX(0,MIN(1,(IF(CC818="L1",Parameter!$H$5,IF(CC818="L23",Parameter!$H$6+Parameter!$H$7,Parameter!$H$5+Parameter!$H$6+Parameter!$H$7))-(AM818-AI818))/AI818)))</f>
        <v>1</v>
      </c>
      <c r="AO818" s="50" t="n">
        <f aca="false">IF(LEFT(Cockpit!$I$5,1)="A",H818,IF(CE818=1,CF818,IF(LEFT(Cockpit!$I$5,1)="B",AT818,MAX(AT818,H818))))</f>
        <v>5</v>
      </c>
      <c r="AP818" s="50" t="n">
        <f aca="false">IF(BW818=1,0,ROUNDUP(AO818/BV818,0))</f>
        <v>5</v>
      </c>
      <c r="AQ818" s="52" t="n">
        <f aca="false">IF(CL818&gt;0,CL818*MAX(1,AO818/X818),IF(BW818=1,IF(AO818&lt;=0,0,CA818*MAX(1,IF(H818&gt;0,AO818/H818,1))),IF(R818&gt;0,AP818/R818,0))/MAX(0.1,N(Parameter!$M$21)))</f>
        <v>0.0480769230769231</v>
      </c>
      <c r="AR818" s="50" t="n">
        <f aca="false">AQ818*BY818</f>
        <v>7.45192307692308</v>
      </c>
      <c r="AS818" s="50" t="n">
        <f aca="false">AO818*G818</f>
        <v>26.1</v>
      </c>
      <c r="AT818" s="50" t="n">
        <f aca="false">ROUNDUP(MAX(J818/IF(CD818&gt;0,CD818,MAX(0.1,N(Cockpit!$I$6))),CG818)/BV818,0)*BV818</f>
        <v>5</v>
      </c>
      <c r="AU818" s="51" t="n">
        <f aca="false">IF(AR818&gt;0,J818/AR818,-1)</f>
        <v>0.40258064516129</v>
      </c>
      <c r="AV818" s="51" t="n">
        <f aca="false">IF(AND(OR(CC818="L1",CC818="L23",CC818="LIFT"),AR818&gt;0),SUMIFS($AR$7:$AR$1843,$CC$7:$CC$1843,CC818,$AU$7:$AU$1843,"&gt;"&amp;AU818)+SUMIFS($AR$7:$AR$1843,$CC$7:$CC$1843,CC818,$AU$7:$AU$1843,AU818,$BT$7:$BT$1843,"&lt;="&amp;BT818),"")</f>
        <v>15088.0315934066</v>
      </c>
      <c r="AW818" s="58" t="n">
        <f aca="false">IF(AV818="",0,MAX(0,MIN(1,(IF(CC818="L1",Parameter!$H$5,IF(CC818="L23",Parameter!$H$6+Parameter!$H$7,Parameter!$H$5+Parameter!$H$6+Parameter!$H$7))-(AV818-AR818))/AR818)))</f>
        <v>1</v>
      </c>
      <c r="AX818" s="50" t="n">
        <f aca="false">IF(LEFT(Cockpit!$O$5,1)="A",H818,IF(CE818=1,CF818,IF(LEFT(Cockpit!$O$5,1)="B",BC818,MAX(BC818,H818))))</f>
        <v>5</v>
      </c>
      <c r="AY818" s="50" t="n">
        <f aca="false">IF(BW818=1,0,ROUNDUP(AX818/BV818,0))</f>
        <v>5</v>
      </c>
      <c r="AZ818" s="52" t="n">
        <f aca="false">IF(CL818&gt;0,CL818*MAX(1,AX818/X818),IF(BW818=1,IF(AX818&lt;=0,0,CA818*MAX(1,IF(H818&gt;0,AX818/H818,1))),IF(R818&gt;0,AY818/R818,0))/MAX(0.1,N(Parameter!$M$21)))</f>
        <v>0.0480769230769231</v>
      </c>
      <c r="BA818" s="50" t="n">
        <f aca="false">AZ818*BY818</f>
        <v>7.45192307692308</v>
      </c>
      <c r="BB818" s="50" t="n">
        <f aca="false">AX818*G818</f>
        <v>26.1</v>
      </c>
      <c r="BC818" s="50" t="n">
        <f aca="false">ROUNDUP(MAX(J818/IF(CD818&gt;0,CD818,MAX(0.1,N(Cockpit!$O$6))),CG818)/BV818,0)*BV818</f>
        <v>5</v>
      </c>
      <c r="BD818" s="51" t="n">
        <f aca="false">IF(BA818&gt;0,J818/BA818,-1)</f>
        <v>0.40258064516129</v>
      </c>
      <c r="BE818" s="51" t="n">
        <f aca="false">IF(AND(OR(CC818="L1",CC818="L23",CC818="LIFT"),BA818&gt;0),SUMIFS($BA$7:$BA$1843,$CC$7:$CC$1843,CC818,$BD$7:$BD$1843,"&gt;"&amp;BD818)+SUMIFS($BA$7:$BA$1843,$CC$7:$CC$1843,CC818,$BD$7:$BD$1843,BD818,$BT$7:$BT$1843,"&lt;="&amp;BT818),"")</f>
        <v>14073.6886446886</v>
      </c>
      <c r="BF818" s="58" t="n">
        <f aca="false">IF(BE818="",0,MAX(0,MIN(1,(IF(CC818="L1",Parameter!$H$5,IF(CC818="L23",Parameter!$H$6+Parameter!$H$7,Parameter!$H$5+Parameter!$H$6+Parameter!$H$7))-(BE818-BA818))/BA818)))</f>
        <v>1</v>
      </c>
      <c r="BG818" s="48" t="str">
        <f aca="false">IF(AI818&lt;=0,"",IF(CC818="Aussen","Aussenlager",IF(CC818="-","Nicht im Lift",IF(AN818&gt;=1,"Lift",IF(AN818&lt;=0,"Aussenlager","teilweise")))))</f>
        <v>Lift</v>
      </c>
      <c r="BH818" s="48" t="str">
        <f aca="false">IF(AR818&lt;=0,"",IF(CC818="Aussen","Aussenlager",IF(CC818="-","Nicht im Lift",IF(AW818&gt;=1,"Lift",IF(AW818&lt;=0,"Aussenlager","teilweise")))))</f>
        <v>Lift</v>
      </c>
      <c r="BI818" s="48" t="str">
        <f aca="false">IF(BA818&lt;=0,"",IF(CC818="Aussen","Aussenlager",IF(CC818="-","Nicht im Lift",IF(BF818&gt;=1,"Lift",IF(BF818&lt;=0,"Aussenlager","teilweise")))))</f>
        <v>Lift</v>
      </c>
      <c r="BJ818" s="48" t="str">
        <f aca="false">IF(A818="","",IF(BS818=1,"Neu; ","")&amp;IF(AND(BS818=0,BN818&lt;0),"negativer Bestand (Export "&amp;BN818&amp;"); ","")&amp;IF(J818&lt;=0,"Kein Verbrauch; ","")&amp;IF(CL818&gt;0,"Lift "&amp;W818&amp;" lt. Liftbericht (Fach "&amp;X818&amp;" Stk); ",IF(BX818=1,"Gebinde geschätzt ("&amp;T818&amp;"); ",IF(BW818=1,"Lose – Tablare geschätzt; ","")))&amp;IF(H818&gt;AT818,"Überbestand "&amp;ROUND(H818-AT818,0)&amp;" Stk / CHF "&amp;ROUND((H818-AT818)*G818,0)&amp;"; ","")&amp;IF(AND(CE818=1,CF818&lt;CG818),"MAX &lt; MB+LG; ","")&amp;IF(AND(CK818&gt;0,CJ818*10&gt;CK818),"zu hoch für Tablar; ","")&amp;IF(AND(BS818=0,OR(CE818=1,AA818&lt;&gt;"",U818&lt;&gt;"",V818&lt;&gt;"",AB818&lt;&gt;"")),"manuell übersteuert; ","")&amp;IF(AND(BW818=0,R818=0),"Gebinde unbekannt / Stellmass fehlt; ","")&amp;IF(AND(BW818=0,N(V818)&lt;=0,N(Q818)&lt;=0),"Menge pro Gebinde fehlt (Ist = 1 Gebinde); ","")&amp;BR818)</f>
        <v/>
      </c>
      <c r="BK818" s="48"/>
      <c r="BL818" s="48"/>
      <c r="BM818" s="55"/>
      <c r="BN818" s="50" t="n">
        <v>0</v>
      </c>
      <c r="BO818" s="50" t="n">
        <v>2</v>
      </c>
      <c r="BP818" s="49" t="n">
        <v>-8.38</v>
      </c>
      <c r="BQ818" s="50" t="n">
        <v>3</v>
      </c>
      <c r="BR818" s="48"/>
      <c r="BS818" s="53" t="n">
        <v>0</v>
      </c>
      <c r="BT818" s="53" t="n">
        <v>818</v>
      </c>
      <c r="BU818" s="48" t="str">
        <f aca="false">IF(U818&lt;&gt;"",UPPER(TRIM(U818)),IF(BX818=1,UPPER(VLOOKUP(T818,Parameter!$I$27:$K$29,2,0)),IF(P818="","LOSE",P818)))</f>
        <v>S32</v>
      </c>
      <c r="BV818" s="50" t="n">
        <f aca="false">IF(BU818="LOSE",1,IF(N(V818)&gt;0,V818,IF(BX818=1,MAX(1,N(VLOOKUP(T818,Parameter!$I$27:$K$29,3,0)),H818,N(N818)),IF(N(Q818)&gt;0,Q818,MAX(1,H818)))))</f>
        <v>1</v>
      </c>
      <c r="BW818" s="53" t="n">
        <f aca="false">IF(BU818="LOSE",1,0)</f>
        <v>0</v>
      </c>
      <c r="BX818" s="53" t="n">
        <f aca="false">IF(AND(U818="",OR(P818="",P818="LOSE"),T818&lt;&gt;"",N(S818)&lt;=0,ISNUMBER(MATCH(T818,Parameter!$I$27:$I$29,0))),1,0)</f>
        <v>0</v>
      </c>
      <c r="BY818" s="53" t="n">
        <f aca="false">IF(CL818&gt;0,INDEX(Parameter!$H$5:$H$7,W818)/INDEX(Parameter!$E$5:$E$7,W818),IF(AND(BW818=0,N(IFERROR(VLOOKUP(BU818,'Gebinde-Kategorie'!$A$5:$N$45,14,0),0))&gt;0),VLOOKUP(BU818,'Gebinde-Kategorie'!$A$5:$N$45,14,0)*10+Parameter!$M$23,Parameter!$M$24))</f>
        <v>155</v>
      </c>
      <c r="BZ818" s="48" t="str">
        <f aca="false">IF(AND(Parameter!$B$19="Ja",E818&lt;&gt;"",ISNUMBER(MATCH(E818,Parameter!$I$35:$I$52,0))),VLOOKUP(E818,Parameter!$I$35:$J$52,2,0),IFERROR(VLOOKUP(D818,Parameter!$A$35:$C$64,2,0),"Nein"))</f>
        <v>2+3</v>
      </c>
      <c r="CA818" s="52" t="n">
        <f aca="false">IF(BW818=0,0,IF(N(S818)&gt;0,S818,IFERROR(VLOOKUP(D818,Parameter!$A$35:$C$64,3,0)+0,0)))</f>
        <v>0</v>
      </c>
      <c r="CB818" s="48" t="n">
        <f aca="false">IF(AA818&lt;&gt;"",AA818,Z818)</f>
        <v>3</v>
      </c>
      <c r="CC818" s="48" t="str">
        <f aca="false">IF(OR(CB818=1,CB818=2,CB818=3),IF(Parameter!$E$27="Ja","LIFT",IF(CB818=1,"L1","L23")),IF(CB818="Aussen","Aussen","-"))</f>
        <v>LIFT</v>
      </c>
      <c r="CD818" s="59" t="n">
        <f aca="false">IF(N(AB818)&gt;0,AB818,0)</f>
        <v>0</v>
      </c>
      <c r="CE818" s="53" t="n">
        <f aca="false">IF(ISNUMBER(AE818),1,0)</f>
        <v>0</v>
      </c>
      <c r="CF818" s="50" t="n">
        <f aca="false">N(AE818)</f>
        <v>0</v>
      </c>
      <c r="CG818" s="50" t="n">
        <f aca="false">N(M818)+N(N818)</f>
        <v>5</v>
      </c>
      <c r="CH818" s="50" t="n">
        <f aca="false">ROUNDUP(H818/BV818,0)</f>
        <v>2</v>
      </c>
      <c r="CI818" s="50" t="n">
        <f aca="false">ROUNDUP(CF818/BV818,0)</f>
        <v>0</v>
      </c>
      <c r="CJ818" s="53" t="n">
        <f aca="false">IF(BW818=1,0,IFERROR(VLOOKUP(BU818,'Gebinde-Kategorie'!$A$5:$N$45,5,0)+0,0))</f>
        <v>8</v>
      </c>
      <c r="CK818" s="53" t="n">
        <f aca="false">IFERROR(IF(OR(CB818=1,CB818=2,CB818=3),N(INDEX(Parameter!$I$5:$I$7,CB818)),0),0)</f>
        <v>0</v>
      </c>
      <c r="CL818" s="52" t="n">
        <f aca="false">IF(AND(Parameter!$B$21="Ja",ISNUMBER(W818),N(X818)&gt;0),IFERROR(N(INDEX(Parameter!$L$5:$L$7,W818))*INDEX(Parameter!$E$5:$E$7,W818)*X818/SUMIFS($X$7:$X$1843,$W$7:$W$1843,W818),0),0)</f>
        <v>0</v>
      </c>
    </row>
    <row r="819" customFormat="false" ht="15" hidden="false" customHeight="false" outlineLevel="0" collapsed="false">
      <c r="A819" s="48" t="s">
        <v>1585</v>
      </c>
      <c r="B819" s="48" t="s">
        <v>472</v>
      </c>
      <c r="C819" s="48" t="s">
        <v>168</v>
      </c>
      <c r="D819" s="48" t="s">
        <v>188</v>
      </c>
      <c r="E819" s="48" t="s">
        <v>189</v>
      </c>
      <c r="F819" s="48" t="s">
        <v>222</v>
      </c>
      <c r="G819" s="49" t="n">
        <v>0.19</v>
      </c>
      <c r="H819" s="50" t="n">
        <f aca="false">MAX(0,IF(AND(Parameter!$B$21="Ja",ISNUMBER(Y819)),Y819,IF(Parameter!$B$20="Jahresanfang 2025 + Export",BO819+BN819,BN819)))</f>
        <v>75</v>
      </c>
      <c r="I819" s="50" t="n">
        <f aca="false">H819*G819</f>
        <v>14.25</v>
      </c>
      <c r="J819" s="50" t="n">
        <f aca="false">BQ819*Parameter!$B$18</f>
        <v>310</v>
      </c>
      <c r="K819" s="51" t="n">
        <v>166</v>
      </c>
      <c r="L819" s="52" t="n">
        <v>1.86746987951807</v>
      </c>
      <c r="M819" s="50" t="n">
        <v>12</v>
      </c>
      <c r="N819" s="50" t="n">
        <v>310</v>
      </c>
      <c r="O819" s="53" t="n">
        <v>14</v>
      </c>
      <c r="P819" s="48" t="s">
        <v>430</v>
      </c>
      <c r="Q819" s="50" t="n">
        <v>195</v>
      </c>
      <c r="R819" s="53" t="n">
        <f aca="false">IF(BW819=1,0,IFERROR(VLOOKUP(BU819,'Gebinde-Kategorie'!$A$5:$N$45,13,0)+0,0))</f>
        <v>140</v>
      </c>
      <c r="S819" s="54"/>
      <c r="T819" s="55"/>
      <c r="U819" s="55"/>
      <c r="V819" s="55"/>
      <c r="W819" s="48"/>
      <c r="X819" s="50"/>
      <c r="Y819" s="50"/>
      <c r="Z819" s="48" t="n">
        <f aca="false">IF(A819="","",IF(AND(Parameter!$B$21="Ja",ISNUMBER(W819)),W819,IF(BZ819="2+3",IF(ISNUMBER(SEARCH("grosser Artikel",BR819)),2,IFERROR(VLOOKUP(BU819,Parameter!$F$35:$G$64,2,0),2)),IF(OR(BZ819="Nein",BZ819=""),"-",BZ819))))</f>
        <v>3</v>
      </c>
      <c r="AA819" s="55"/>
      <c r="AB819" s="56"/>
      <c r="AC819" s="50" t="n">
        <f aca="false">AT819</f>
        <v>390</v>
      </c>
      <c r="AD819" s="50" t="n">
        <f aca="false">MAX(AT819,H819)</f>
        <v>390</v>
      </c>
      <c r="AE819" s="57"/>
      <c r="AF819" s="50" t="n">
        <f aca="false">IF(LEFT(Cockpit!$C$5,1)="A",H819,IF(CE819=1,CF819,IF(LEFT(Cockpit!$C$5,1)="B",AK819,MAX(AK819,H819))))</f>
        <v>75</v>
      </c>
      <c r="AG819" s="50" t="n">
        <f aca="false">IF(BW819=1,0,ROUNDUP(AF819/BV819,0))</f>
        <v>1</v>
      </c>
      <c r="AH819" s="52" t="n">
        <f aca="false">IF(CL819&gt;0,CL819*MAX(1,AF819/X819),IF(BW819=1,IF(AF819&lt;=0,0,CA819*MAX(1,IF(H819&gt;0,AF819/H819,1))),IF(R819&gt;0,AG819/R819,0))/MAX(0.1,N(Parameter!$M$21)))</f>
        <v>0.00714285714285714</v>
      </c>
      <c r="AI819" s="50" t="n">
        <f aca="false">AH819*BY819</f>
        <v>1.10714285714286</v>
      </c>
      <c r="AJ819" s="50" t="n">
        <f aca="false">AF819*G819</f>
        <v>14.25</v>
      </c>
      <c r="AK819" s="50" t="n">
        <f aca="false">ROUNDUP(MAX(J819/IF(CD819&gt;0,CD819,MAX(0.1,N(Cockpit!$C$6))),CG819)/BV819,0)*BV819</f>
        <v>390</v>
      </c>
      <c r="AL819" s="51" t="n">
        <f aca="false">IF(AI819&gt;0,J819/AI819,-1)</f>
        <v>280</v>
      </c>
      <c r="AM819" s="51" t="n">
        <f aca="false">IF(AND(OR(CC819="L1",CC819="L23",CC819="LIFT"),AI819&gt;0),SUMIFS($AI$7:$AI$1843,$CC$7:$CC$1843,CC819,$AL$7:$AL$1843,"&gt;"&amp;AL819)+SUMIFS($AI$7:$AI$1843,$CC$7:$CC$1843,CC819,$AL$7:$AL$1843,AL819,$BT$7:$BT$1843,"&lt;="&amp;BT819),"")</f>
        <v>271.46336996337</v>
      </c>
      <c r="AN819" s="58" t="n">
        <f aca="false">IF(AM819="",0,MAX(0,MIN(1,(IF(CC819="L1",Parameter!$H$5,IF(CC819="L23",Parameter!$H$6+Parameter!$H$7,Parameter!$H$5+Parameter!$H$6+Parameter!$H$7))-(AM819-AI819))/AI819)))</f>
        <v>1</v>
      </c>
      <c r="AO819" s="50" t="n">
        <f aca="false">IF(LEFT(Cockpit!$I$5,1)="A",H819,IF(CE819=1,CF819,IF(LEFT(Cockpit!$I$5,1)="B",AT819,MAX(AT819,H819))))</f>
        <v>390</v>
      </c>
      <c r="AP819" s="50" t="n">
        <f aca="false">IF(BW819=1,0,ROUNDUP(AO819/BV819,0))</f>
        <v>2</v>
      </c>
      <c r="AQ819" s="52" t="n">
        <f aca="false">IF(CL819&gt;0,CL819*MAX(1,AO819/X819),IF(BW819=1,IF(AO819&lt;=0,0,CA819*MAX(1,IF(H819&gt;0,AO819/H819,1))),IF(R819&gt;0,AP819/R819,0))/MAX(0.1,N(Parameter!$M$21)))</f>
        <v>0.0142857142857143</v>
      </c>
      <c r="AR819" s="50" t="n">
        <f aca="false">AQ819*BY819</f>
        <v>2.21428571428571</v>
      </c>
      <c r="AS819" s="50" t="n">
        <f aca="false">AO819*G819</f>
        <v>74.1</v>
      </c>
      <c r="AT819" s="50" t="n">
        <f aca="false">ROUNDUP(MAX(J819/IF(CD819&gt;0,CD819,MAX(0.1,N(Cockpit!$I$6))),CG819)/BV819,0)*BV819</f>
        <v>390</v>
      </c>
      <c r="AU819" s="51" t="n">
        <f aca="false">IF(AR819&gt;0,J819/AR819,-1)</f>
        <v>140</v>
      </c>
      <c r="AV819" s="51" t="n">
        <f aca="false">IF(AND(OR(CC819="L1",CC819="L23",CC819="LIFT"),AR819&gt;0),SUMIFS($AR$7:$AR$1843,$CC$7:$CC$1843,CC819,$AU$7:$AU$1843,"&gt;"&amp;AU819)+SUMIFS($AR$7:$AR$1843,$CC$7:$CC$1843,CC819,$AU$7:$AU$1843,AU819,$BT$7:$BT$1843,"&lt;="&amp;BT819),"")</f>
        <v>672.430402930403</v>
      </c>
      <c r="AW819" s="58" t="n">
        <f aca="false">IF(AV819="",0,MAX(0,MIN(1,(IF(CC819="L1",Parameter!$H$5,IF(CC819="L23",Parameter!$H$6+Parameter!$H$7,Parameter!$H$5+Parameter!$H$6+Parameter!$H$7))-(AV819-AR819))/AR819)))</f>
        <v>1</v>
      </c>
      <c r="AX819" s="50" t="n">
        <f aca="false">IF(LEFT(Cockpit!$O$5,1)="A",H819,IF(CE819=1,CF819,IF(LEFT(Cockpit!$O$5,1)="B",BC819,MAX(BC819,H819))))</f>
        <v>390</v>
      </c>
      <c r="AY819" s="50" t="n">
        <f aca="false">IF(BW819=1,0,ROUNDUP(AX819/BV819,0))</f>
        <v>2</v>
      </c>
      <c r="AZ819" s="52" t="n">
        <f aca="false">IF(CL819&gt;0,CL819*MAX(1,AX819/X819),IF(BW819=1,IF(AX819&lt;=0,0,CA819*MAX(1,IF(H819&gt;0,AX819/H819,1))),IF(R819&gt;0,AY819/R819,0))/MAX(0.1,N(Parameter!$M$21)))</f>
        <v>0.0142857142857143</v>
      </c>
      <c r="BA819" s="50" t="n">
        <f aca="false">AZ819*BY819</f>
        <v>2.21428571428571</v>
      </c>
      <c r="BB819" s="50" t="n">
        <f aca="false">AX819*G819</f>
        <v>74.1</v>
      </c>
      <c r="BC819" s="50" t="n">
        <f aca="false">ROUNDUP(MAX(J819/IF(CD819&gt;0,CD819,MAX(0.1,N(Cockpit!$O$6))),CG819)/BV819,0)*BV819</f>
        <v>390</v>
      </c>
      <c r="BD819" s="51" t="n">
        <f aca="false">IF(BA819&gt;0,J819/BA819,-1)</f>
        <v>140</v>
      </c>
      <c r="BE819" s="51" t="n">
        <f aca="false">IF(AND(OR(CC819="L1",CC819="L23",CC819="LIFT"),BA819&gt;0),SUMIFS($BA$7:$BA$1843,$CC$7:$CC$1843,CC819,$BD$7:$BD$1843,"&gt;"&amp;BD819)+SUMIFS($BA$7:$BA$1843,$CC$7:$CC$1843,CC819,$BD$7:$BD$1843,BD819,$BT$7:$BT$1843,"&lt;="&amp;BT819),"")</f>
        <v>616.869505494506</v>
      </c>
      <c r="BF819" s="58" t="n">
        <f aca="false">IF(BE819="",0,MAX(0,MIN(1,(IF(CC819="L1",Parameter!$H$5,IF(CC819="L23",Parameter!$H$6+Parameter!$H$7,Parameter!$H$5+Parameter!$H$6+Parameter!$H$7))-(BE819-BA819))/BA819)))</f>
        <v>1</v>
      </c>
      <c r="BG819" s="48" t="str">
        <f aca="false">IF(AI819&lt;=0,"",IF(CC819="Aussen","Aussenlager",IF(CC819="-","Nicht im Lift",IF(AN819&gt;=1,"Lift",IF(AN819&lt;=0,"Aussenlager","teilweise")))))</f>
        <v>Lift</v>
      </c>
      <c r="BH819" s="48" t="str">
        <f aca="false">IF(AR819&lt;=0,"",IF(CC819="Aussen","Aussenlager",IF(CC819="-","Nicht im Lift",IF(AW819&gt;=1,"Lift",IF(AW819&lt;=0,"Aussenlager","teilweise")))))</f>
        <v>Lift</v>
      </c>
      <c r="BI819" s="48" t="str">
        <f aca="false">IF(BA819&lt;=0,"",IF(CC819="Aussen","Aussenlager",IF(CC819="-","Nicht im Lift",IF(BF819&gt;=1,"Lift",IF(BF819&lt;=0,"Aussenlager","teilweise")))))</f>
        <v>Lift</v>
      </c>
      <c r="BJ819" s="48" t="str">
        <f aca="false">IF(A819="","",IF(BS819=1,"Neu; ","")&amp;IF(AND(BS819=0,BN819&lt;0),"negativer Bestand (Export "&amp;BN819&amp;"); ","")&amp;IF(J819&lt;=0,"Kein Verbrauch; ","")&amp;IF(CL819&gt;0,"Lift "&amp;W819&amp;" lt. Liftbericht (Fach "&amp;X819&amp;" Stk); ",IF(BX819=1,"Gebinde geschätzt ("&amp;T819&amp;"); ",IF(BW819=1,"Lose – Tablare geschätzt; ","")))&amp;IF(H819&gt;AT819,"Überbestand "&amp;ROUND(H819-AT819,0)&amp;" Stk / CHF "&amp;ROUND((H819-AT819)*G819,0)&amp;"; ","")&amp;IF(AND(CE819=1,CF819&lt;CG819),"MAX &lt; MB+LG; ","")&amp;IF(AND(CK819&gt;0,CJ819*10&gt;CK819),"zu hoch für Tablar; ","")&amp;IF(AND(BS819=0,OR(CE819=1,AA819&lt;&gt;"",U819&lt;&gt;"",V819&lt;&gt;"",AB819&lt;&gt;"")),"manuell übersteuert; ","")&amp;IF(AND(BW819=0,R819=0),"Gebinde unbekannt / Stellmass fehlt; ","")&amp;IF(AND(BW819=0,N(V819)&lt;=0,N(Q819)&lt;=0),"Menge pro Gebinde fehlt (Ist = 1 Gebinde); ","")&amp;BR819)</f>
        <v>negativer Bestand (Export -47); </v>
      </c>
      <c r="BK819" s="48"/>
      <c r="BL819" s="48"/>
      <c r="BM819" s="55"/>
      <c r="BN819" s="50" t="n">
        <v>-47</v>
      </c>
      <c r="BO819" s="50" t="n">
        <v>122</v>
      </c>
      <c r="BP819" s="49" t="n">
        <v>-8.93000000000001</v>
      </c>
      <c r="BQ819" s="50" t="n">
        <v>310</v>
      </c>
      <c r="BR819" s="48"/>
      <c r="BS819" s="53" t="n">
        <v>0</v>
      </c>
      <c r="BT819" s="53" t="n">
        <v>819</v>
      </c>
      <c r="BU819" s="48" t="str">
        <f aca="false">IF(U819&lt;&gt;"",UPPER(TRIM(U819)),IF(BX819=1,UPPER(VLOOKUP(T819,Parameter!$I$27:$K$29,2,0)),IF(P819="","LOSE",P819)))</f>
        <v>S22</v>
      </c>
      <c r="BV819" s="50" t="n">
        <f aca="false">IF(BU819="LOSE",1,IF(N(V819)&gt;0,V819,IF(BX819=1,MAX(1,N(VLOOKUP(T819,Parameter!$I$27:$K$29,3,0)),H819,N(N819)),IF(N(Q819)&gt;0,Q819,MAX(1,H819)))))</f>
        <v>195</v>
      </c>
      <c r="BW819" s="53" t="n">
        <f aca="false">IF(BU819="LOSE",1,0)</f>
        <v>0</v>
      </c>
      <c r="BX819" s="53" t="n">
        <f aca="false">IF(AND(U819="",OR(P819="",P819="LOSE"),T819&lt;&gt;"",N(S819)&lt;=0,ISNUMBER(MATCH(T819,Parameter!$I$27:$I$29,0))),1,0)</f>
        <v>0</v>
      </c>
      <c r="BY819" s="53" t="n">
        <f aca="false">IF(CL819&gt;0,INDEX(Parameter!$H$5:$H$7,W819)/INDEX(Parameter!$E$5:$E$7,W819),IF(AND(BW819=0,N(IFERROR(VLOOKUP(BU819,'Gebinde-Kategorie'!$A$5:$N$45,14,0),0))&gt;0),VLOOKUP(BU819,'Gebinde-Kategorie'!$A$5:$N$45,14,0)*10+Parameter!$M$23,Parameter!$M$24))</f>
        <v>155</v>
      </c>
      <c r="BZ819" s="48" t="str">
        <f aca="false">IF(AND(Parameter!$B$19="Ja",E819&lt;&gt;"",ISNUMBER(MATCH(E819,Parameter!$I$35:$I$52,0))),VLOOKUP(E819,Parameter!$I$35:$J$52,2,0),IFERROR(VLOOKUP(D819,Parameter!$A$35:$C$64,2,0),"Nein"))</f>
        <v>2+3</v>
      </c>
      <c r="CA819" s="52" t="n">
        <f aca="false">IF(BW819=0,0,IF(N(S819)&gt;0,S819,IFERROR(VLOOKUP(D819,Parameter!$A$35:$C$64,3,0)+0,0)))</f>
        <v>0</v>
      </c>
      <c r="CB819" s="48" t="n">
        <f aca="false">IF(AA819&lt;&gt;"",AA819,Z819)</f>
        <v>3</v>
      </c>
      <c r="CC819" s="48" t="str">
        <f aca="false">IF(OR(CB819=1,CB819=2,CB819=3),IF(Parameter!$E$27="Ja","LIFT",IF(CB819=1,"L1","L23")),IF(CB819="Aussen","Aussen","-"))</f>
        <v>LIFT</v>
      </c>
      <c r="CD819" s="59" t="n">
        <f aca="false">IF(N(AB819)&gt;0,AB819,0)</f>
        <v>0</v>
      </c>
      <c r="CE819" s="53" t="n">
        <f aca="false">IF(ISNUMBER(AE819),1,0)</f>
        <v>0</v>
      </c>
      <c r="CF819" s="50" t="n">
        <f aca="false">N(AE819)</f>
        <v>0</v>
      </c>
      <c r="CG819" s="50" t="n">
        <f aca="false">N(M819)+N(N819)</f>
        <v>322</v>
      </c>
      <c r="CH819" s="50" t="n">
        <f aca="false">ROUNDUP(H819/BV819,0)</f>
        <v>1</v>
      </c>
      <c r="CI819" s="50" t="n">
        <f aca="false">ROUNDUP(CF819/BV819,0)</f>
        <v>0</v>
      </c>
      <c r="CJ819" s="53" t="n">
        <f aca="false">IF(BW819=1,0,IFERROR(VLOOKUP(BU819,'Gebinde-Kategorie'!$A$5:$N$45,5,0)+0,0))</f>
        <v>8</v>
      </c>
      <c r="CK819" s="53" t="n">
        <f aca="false">IFERROR(IF(OR(CB819=1,CB819=2,CB819=3),N(INDEX(Parameter!$I$5:$I$7,CB819)),0),0)</f>
        <v>0</v>
      </c>
      <c r="CL819" s="52" t="n">
        <f aca="false">IF(AND(Parameter!$B$21="Ja",ISNUMBER(W819),N(X819)&gt;0),IFERROR(N(INDEX(Parameter!$L$5:$L$7,W819))*INDEX(Parameter!$E$5:$E$7,W819)*X819/SUMIFS($X$7:$X$1843,$W$7:$W$1843,W819),0),0)</f>
        <v>0</v>
      </c>
    </row>
    <row r="820" customFormat="false" ht="15" hidden="false" customHeight="false" outlineLevel="0" collapsed="false">
      <c r="A820" s="48" t="s">
        <v>1586</v>
      </c>
      <c r="B820" s="48" t="s">
        <v>1587</v>
      </c>
      <c r="C820" s="48" t="s">
        <v>168</v>
      </c>
      <c r="D820" s="48" t="s">
        <v>188</v>
      </c>
      <c r="E820" s="48" t="s">
        <v>189</v>
      </c>
      <c r="F820" s="48" t="s">
        <v>222</v>
      </c>
      <c r="G820" s="49" t="n">
        <v>9.4</v>
      </c>
      <c r="H820" s="50" t="n">
        <f aca="false">MAX(0,IF(AND(Parameter!$B$21="Ja",ISNUMBER(Y820)),Y820,IF(Parameter!$B$20="Jahresanfang 2025 + Export",BO820+BN820,BN820)))</f>
        <v>10</v>
      </c>
      <c r="I820" s="50" t="n">
        <f aca="false">H820*G820</f>
        <v>94</v>
      </c>
      <c r="J820" s="50" t="n">
        <f aca="false">BQ820*Parameter!$B$18</f>
        <v>0</v>
      </c>
      <c r="K820" s="51" t="n">
        <v>10.5</v>
      </c>
      <c r="L820" s="52" t="n">
        <v>0</v>
      </c>
      <c r="M820" s="50" t="n">
        <v>0</v>
      </c>
      <c r="N820" s="50" t="n">
        <v>1</v>
      </c>
      <c r="O820" s="53" t="n">
        <v>14</v>
      </c>
      <c r="P820" s="48" t="s">
        <v>430</v>
      </c>
      <c r="Q820" s="50" t="n">
        <v>15</v>
      </c>
      <c r="R820" s="53" t="n">
        <f aca="false">IF(BW820=1,0,IFERROR(VLOOKUP(BU820,'Gebinde-Kategorie'!$A$5:$N$45,13,0)+0,0))</f>
        <v>140</v>
      </c>
      <c r="S820" s="54"/>
      <c r="T820" s="55"/>
      <c r="U820" s="55"/>
      <c r="V820" s="55"/>
      <c r="W820" s="48"/>
      <c r="X820" s="50"/>
      <c r="Y820" s="50"/>
      <c r="Z820" s="48" t="n">
        <f aca="false">IF(A820="","",IF(AND(Parameter!$B$21="Ja",ISNUMBER(W820)),W820,IF(BZ820="2+3",IF(ISNUMBER(SEARCH("grosser Artikel",BR820)),2,IFERROR(VLOOKUP(BU820,Parameter!$F$35:$G$64,2,0),2)),IF(OR(BZ820="Nein",BZ820=""),"-",BZ820))))</f>
        <v>3</v>
      </c>
      <c r="AA820" s="55"/>
      <c r="AB820" s="56"/>
      <c r="AC820" s="50" t="n">
        <f aca="false">AT820</f>
        <v>15</v>
      </c>
      <c r="AD820" s="50" t="n">
        <f aca="false">MAX(AT820,H820)</f>
        <v>15</v>
      </c>
      <c r="AE820" s="57"/>
      <c r="AF820" s="50" t="n">
        <f aca="false">IF(LEFT(Cockpit!$C$5,1)="A",H820,IF(CE820=1,CF820,IF(LEFT(Cockpit!$C$5,1)="B",AK820,MAX(AK820,H820))))</f>
        <v>10</v>
      </c>
      <c r="AG820" s="50" t="n">
        <f aca="false">IF(BW820=1,0,ROUNDUP(AF820/BV820,0))</f>
        <v>1</v>
      </c>
      <c r="AH820" s="52" t="n">
        <f aca="false">IF(CL820&gt;0,CL820*MAX(1,AF820/X820),IF(BW820=1,IF(AF820&lt;=0,0,CA820*MAX(1,IF(H820&gt;0,AF820/H820,1))),IF(R820&gt;0,AG820/R820,0))/MAX(0.1,N(Parameter!$M$21)))</f>
        <v>0.00714285714285714</v>
      </c>
      <c r="AI820" s="50" t="n">
        <f aca="false">AH820*BY820</f>
        <v>1.10714285714286</v>
      </c>
      <c r="AJ820" s="50" t="n">
        <f aca="false">AF820*G820</f>
        <v>94</v>
      </c>
      <c r="AK820" s="50" t="n">
        <f aca="false">ROUNDUP(MAX(J820/IF(CD820&gt;0,CD820,MAX(0.1,N(Cockpit!$C$6))),CG820)/BV820,0)*BV820</f>
        <v>15</v>
      </c>
      <c r="AL820" s="51" t="n">
        <f aca="false">IF(AI820&gt;0,J820/AI820,-1)</f>
        <v>0</v>
      </c>
      <c r="AM820" s="51" t="n">
        <f aca="false">IF(AND(OR(CC820="L1",CC820="L23",CC820="LIFT"),AI820&gt;0),SUMIFS($AI$7:$AI$1843,$CC$7:$CC$1843,CC820,$AL$7:$AL$1843,"&gt;"&amp;AL820)+SUMIFS($AI$7:$AI$1843,$CC$7:$CC$1843,CC820,$AL$7:$AL$1843,AL820,$BT$7:$BT$1843,"&lt;="&amp;BT820),"")</f>
        <v>28783.6952230914</v>
      </c>
      <c r="AN820" s="58" t="n">
        <f aca="false">IF(AM820="",0,MAX(0,MIN(1,(IF(CC820="L1",Parameter!$H$5,IF(CC820="L23",Parameter!$H$6+Parameter!$H$7,Parameter!$H$5+Parameter!$H$6+Parameter!$H$7))-(AM820-AI820))/AI820)))</f>
        <v>1</v>
      </c>
      <c r="AO820" s="50" t="n">
        <f aca="false">IF(LEFT(Cockpit!$I$5,1)="A",H820,IF(CE820=1,CF820,IF(LEFT(Cockpit!$I$5,1)="B",AT820,MAX(AT820,H820))))</f>
        <v>15</v>
      </c>
      <c r="AP820" s="50" t="n">
        <f aca="false">IF(BW820=1,0,ROUNDUP(AO820/BV820,0))</f>
        <v>1</v>
      </c>
      <c r="AQ820" s="52" t="n">
        <f aca="false">IF(CL820&gt;0,CL820*MAX(1,AO820/X820),IF(BW820=1,IF(AO820&lt;=0,0,CA820*MAX(1,IF(H820&gt;0,AO820/H820,1))),IF(R820&gt;0,AP820/R820,0))/MAX(0.1,N(Parameter!$M$21)))</f>
        <v>0.00714285714285714</v>
      </c>
      <c r="AR820" s="50" t="n">
        <f aca="false">AQ820*BY820</f>
        <v>1.10714285714286</v>
      </c>
      <c r="AS820" s="50" t="n">
        <f aca="false">AO820*G820</f>
        <v>141</v>
      </c>
      <c r="AT820" s="50" t="n">
        <f aca="false">ROUNDUP(MAX(J820/IF(CD820&gt;0,CD820,MAX(0.1,N(Cockpit!$I$6))),CG820)/BV820,0)*BV820</f>
        <v>15</v>
      </c>
      <c r="AU820" s="51" t="n">
        <f aca="false">IF(AR820&gt;0,J820/AR820,-1)</f>
        <v>0</v>
      </c>
      <c r="AV820" s="51" t="n">
        <f aca="false">IF(AND(OR(CC820="L1",CC820="L23",CC820="LIFT"),AR820&gt;0),SUMIFS($AR$7:$AR$1843,$CC$7:$CC$1843,CC820,$AU$7:$AU$1843,"&gt;"&amp;AU820)+SUMIFS($AR$7:$AR$1843,$CC$7:$CC$1843,CC820,$AU$7:$AU$1843,AU820,$BT$7:$BT$1843,"&lt;="&amp;BT820),"")</f>
        <v>40361.2655755262</v>
      </c>
      <c r="AW820" s="58" t="n">
        <f aca="false">IF(AV820="",0,MAX(0,MIN(1,(IF(CC820="L1",Parameter!$H$5,IF(CC820="L23",Parameter!$H$6+Parameter!$H$7,Parameter!$H$5+Parameter!$H$6+Parameter!$H$7))-(AV820-AR820))/AR820)))</f>
        <v>0</v>
      </c>
      <c r="AX820" s="50" t="n">
        <f aca="false">IF(LEFT(Cockpit!$O$5,1)="A",H820,IF(CE820=1,CF820,IF(LEFT(Cockpit!$O$5,1)="B",BC820,MAX(BC820,H820))))</f>
        <v>15</v>
      </c>
      <c r="AY820" s="50" t="n">
        <f aca="false">IF(BW820=1,0,ROUNDUP(AX820/BV820,0))</f>
        <v>1</v>
      </c>
      <c r="AZ820" s="52" t="n">
        <f aca="false">IF(CL820&gt;0,CL820*MAX(1,AX820/X820),IF(BW820=1,IF(AX820&lt;=0,0,CA820*MAX(1,IF(H820&gt;0,AX820/H820,1))),IF(R820&gt;0,AY820/R820,0))/MAX(0.1,N(Parameter!$M$21)))</f>
        <v>0.00714285714285714</v>
      </c>
      <c r="BA820" s="50" t="n">
        <f aca="false">AZ820*BY820</f>
        <v>1.10714285714286</v>
      </c>
      <c r="BB820" s="50" t="n">
        <f aca="false">AX820*G820</f>
        <v>141</v>
      </c>
      <c r="BC820" s="50" t="n">
        <f aca="false">ROUNDUP(MAX(J820/IF(CD820&gt;0,CD820,MAX(0.1,N(Cockpit!$O$6))),CG820)/BV820,0)*BV820</f>
        <v>15</v>
      </c>
      <c r="BD820" s="51" t="n">
        <f aca="false">IF(BA820&gt;0,J820/BA820,-1)</f>
        <v>0</v>
      </c>
      <c r="BE820" s="51" t="n">
        <f aca="false">IF(AND(OR(CC820="L1",CC820="L23",CC820="LIFT"),BA820&gt;0),SUMIFS($BA$7:$BA$1843,$CC$7:$CC$1843,CC820,$BD$7:$BD$1843,"&gt;"&amp;BD820)+SUMIFS($BA$7:$BA$1843,$CC$7:$CC$1843,CC820,$BD$7:$BD$1843,BD820,$BT$7:$BT$1843,"&lt;="&amp;BT820),"")</f>
        <v>37036.277617392</v>
      </c>
      <c r="BF820" s="58" t="n">
        <f aca="false">IF(BE820="",0,MAX(0,MIN(1,(IF(CC820="L1",Parameter!$H$5,IF(CC820="L23",Parameter!$H$6+Parameter!$H$7,Parameter!$H$5+Parameter!$H$6+Parameter!$H$7))-(BE820-BA820))/BA820)))</f>
        <v>0</v>
      </c>
      <c r="BG820" s="48" t="str">
        <f aca="false">IF(AI820&lt;=0,"",IF(CC820="Aussen","Aussenlager",IF(CC820="-","Nicht im Lift",IF(AN820&gt;=1,"Lift",IF(AN820&lt;=0,"Aussenlager","teilweise")))))</f>
        <v>Lift</v>
      </c>
      <c r="BH820" s="48" t="str">
        <f aca="false">IF(AR820&lt;=0,"",IF(CC820="Aussen","Aussenlager",IF(CC820="-","Nicht im Lift",IF(AW820&gt;=1,"Lift",IF(AW820&lt;=0,"Aussenlager","teilweise")))))</f>
        <v>Aussenlager</v>
      </c>
      <c r="BI820" s="48" t="str">
        <f aca="false">IF(BA820&lt;=0,"",IF(CC820="Aussen","Aussenlager",IF(CC820="-","Nicht im Lift",IF(BF820&gt;=1,"Lift",IF(BF820&lt;=0,"Aussenlager","teilweise")))))</f>
        <v>Aussenlager</v>
      </c>
      <c r="BJ820" s="48" t="str">
        <f aca="false">IF(A820="","",IF(BS820=1,"Neu; ","")&amp;IF(AND(BS820=0,BN820&lt;0),"negativer Bestand (Export "&amp;BN820&amp;"); ","")&amp;IF(J820&lt;=0,"Kein Verbrauch; ","")&amp;IF(CL820&gt;0,"Lift "&amp;W820&amp;" lt. Liftbericht (Fach "&amp;X820&amp;" Stk); ",IF(BX820=1,"Gebinde geschätzt ("&amp;T820&amp;"); ",IF(BW820=1,"Lose – Tablare geschätzt; ","")))&amp;IF(H820&gt;AT820,"Überbestand "&amp;ROUND(H820-AT820,0)&amp;" Stk / CHF "&amp;ROUND((H820-AT820)*G820,0)&amp;"; ","")&amp;IF(AND(CE820=1,CF820&lt;CG820),"MAX &lt; MB+LG; ","")&amp;IF(AND(CK820&gt;0,CJ820*10&gt;CK820),"zu hoch für Tablar; ","")&amp;IF(AND(BS820=0,OR(CE820=1,AA820&lt;&gt;"",U820&lt;&gt;"",V820&lt;&gt;"",AB820&lt;&gt;"")),"manuell übersteuert; ","")&amp;IF(AND(BW820=0,R820=0),"Gebinde unbekannt / Stellmass fehlt; ","")&amp;IF(AND(BW820=0,N(V820)&lt;=0,N(Q820)&lt;=0),"Menge pro Gebinde fehlt (Ist = 1 Gebinde); ","")&amp;BR820)</f>
        <v>negativer Bestand (Export -1); Kein Verbrauch; Neu</v>
      </c>
      <c r="BK820" s="48"/>
      <c r="BL820" s="48"/>
      <c r="BM820" s="55"/>
      <c r="BN820" s="50" t="n">
        <v>-1</v>
      </c>
      <c r="BO820" s="50" t="n">
        <v>11</v>
      </c>
      <c r="BP820" s="49" t="n">
        <v>-9.4</v>
      </c>
      <c r="BQ820" s="50" t="n">
        <v>0</v>
      </c>
      <c r="BR820" s="48" t="s">
        <v>630</v>
      </c>
      <c r="BS820" s="53" t="n">
        <v>0</v>
      </c>
      <c r="BT820" s="53" t="n">
        <v>820</v>
      </c>
      <c r="BU820" s="48" t="str">
        <f aca="false">IF(U820&lt;&gt;"",UPPER(TRIM(U820)),IF(BX820=1,UPPER(VLOOKUP(T820,Parameter!$I$27:$K$29,2,0)),IF(P820="","LOSE",P820)))</f>
        <v>S22</v>
      </c>
      <c r="BV820" s="50" t="n">
        <f aca="false">IF(BU820="LOSE",1,IF(N(V820)&gt;0,V820,IF(BX820=1,MAX(1,N(VLOOKUP(T820,Parameter!$I$27:$K$29,3,0)),H820,N(N820)),IF(N(Q820)&gt;0,Q820,MAX(1,H820)))))</f>
        <v>15</v>
      </c>
      <c r="BW820" s="53" t="n">
        <f aca="false">IF(BU820="LOSE",1,0)</f>
        <v>0</v>
      </c>
      <c r="BX820" s="53" t="n">
        <f aca="false">IF(AND(U820="",OR(P820="",P820="LOSE"),T820&lt;&gt;"",N(S820)&lt;=0,ISNUMBER(MATCH(T820,Parameter!$I$27:$I$29,0))),1,0)</f>
        <v>0</v>
      </c>
      <c r="BY820" s="53" t="n">
        <f aca="false">IF(CL820&gt;0,INDEX(Parameter!$H$5:$H$7,W820)/INDEX(Parameter!$E$5:$E$7,W820),IF(AND(BW820=0,N(IFERROR(VLOOKUP(BU820,'Gebinde-Kategorie'!$A$5:$N$45,14,0),0))&gt;0),VLOOKUP(BU820,'Gebinde-Kategorie'!$A$5:$N$45,14,0)*10+Parameter!$M$23,Parameter!$M$24))</f>
        <v>155</v>
      </c>
      <c r="BZ820" s="48" t="str">
        <f aca="false">IF(AND(Parameter!$B$19="Ja",E820&lt;&gt;"",ISNUMBER(MATCH(E820,Parameter!$I$35:$I$52,0))),VLOOKUP(E820,Parameter!$I$35:$J$52,2,0),IFERROR(VLOOKUP(D820,Parameter!$A$35:$C$64,2,0),"Nein"))</f>
        <v>2+3</v>
      </c>
      <c r="CA820" s="52" t="n">
        <f aca="false">IF(BW820=0,0,IF(N(S820)&gt;0,S820,IFERROR(VLOOKUP(D820,Parameter!$A$35:$C$64,3,0)+0,0)))</f>
        <v>0</v>
      </c>
      <c r="CB820" s="48" t="n">
        <f aca="false">IF(AA820&lt;&gt;"",AA820,Z820)</f>
        <v>3</v>
      </c>
      <c r="CC820" s="48" t="str">
        <f aca="false">IF(OR(CB820=1,CB820=2,CB820=3),IF(Parameter!$E$27="Ja","LIFT",IF(CB820=1,"L1","L23")),IF(CB820="Aussen","Aussen","-"))</f>
        <v>LIFT</v>
      </c>
      <c r="CD820" s="59" t="n">
        <f aca="false">IF(N(AB820)&gt;0,AB820,0)</f>
        <v>0</v>
      </c>
      <c r="CE820" s="53" t="n">
        <f aca="false">IF(ISNUMBER(AE820),1,0)</f>
        <v>0</v>
      </c>
      <c r="CF820" s="50" t="n">
        <f aca="false">N(AE820)</f>
        <v>0</v>
      </c>
      <c r="CG820" s="50" t="n">
        <f aca="false">N(M820)+N(N820)</f>
        <v>1</v>
      </c>
      <c r="CH820" s="50" t="n">
        <f aca="false">ROUNDUP(H820/BV820,0)</f>
        <v>1</v>
      </c>
      <c r="CI820" s="50" t="n">
        <f aca="false">ROUNDUP(CF820/BV820,0)</f>
        <v>0</v>
      </c>
      <c r="CJ820" s="53" t="n">
        <f aca="false">IF(BW820=1,0,IFERROR(VLOOKUP(BU820,'Gebinde-Kategorie'!$A$5:$N$45,5,0)+0,0))</f>
        <v>8</v>
      </c>
      <c r="CK820" s="53" t="n">
        <f aca="false">IFERROR(IF(OR(CB820=1,CB820=2,CB820=3),N(INDEX(Parameter!$I$5:$I$7,CB820)),0),0)</f>
        <v>0</v>
      </c>
      <c r="CL820" s="52" t="n">
        <f aca="false">IF(AND(Parameter!$B$21="Ja",ISNUMBER(W820),N(X820)&gt;0),IFERROR(N(INDEX(Parameter!$L$5:$L$7,W820))*INDEX(Parameter!$E$5:$E$7,W820)*X820/SUMIFS($X$7:$X$1843,$W$7:$W$1843,W820),0),0)</f>
        <v>0</v>
      </c>
    </row>
    <row r="821" customFormat="false" ht="15" hidden="false" customHeight="false" outlineLevel="0" collapsed="false">
      <c r="A821" s="48" t="s">
        <v>1588</v>
      </c>
      <c r="B821" s="48" t="s">
        <v>411</v>
      </c>
      <c r="C821" s="48" t="s">
        <v>168</v>
      </c>
      <c r="D821" s="48" t="s">
        <v>188</v>
      </c>
      <c r="E821" s="48" t="s">
        <v>189</v>
      </c>
      <c r="F821" s="48" t="s">
        <v>222</v>
      </c>
      <c r="G821" s="49" t="n">
        <v>0.02</v>
      </c>
      <c r="H821" s="50" t="n">
        <f aca="false">MAX(0,IF(AND(Parameter!$B$21="Ja",ISNUMBER(Y821)),Y821,IF(Parameter!$B$20="Jahresanfang 2025 + Export",BO821+BN821,BN821)))</f>
        <v>216</v>
      </c>
      <c r="I821" s="50" t="n">
        <f aca="false">H821*G821</f>
        <v>4.32</v>
      </c>
      <c r="J821" s="50" t="n">
        <f aca="false">BQ821*Parameter!$B$18</f>
        <v>684</v>
      </c>
      <c r="K821" s="51" t="n">
        <v>535.5</v>
      </c>
      <c r="L821" s="52" t="n">
        <v>1.27731092436975</v>
      </c>
      <c r="M821" s="50" t="n">
        <v>39</v>
      </c>
      <c r="N821" s="50" t="n">
        <v>1000</v>
      </c>
      <c r="O821" s="53" t="n">
        <v>21</v>
      </c>
      <c r="P821" s="48" t="s">
        <v>405</v>
      </c>
      <c r="Q821" s="50" t="n">
        <v>218</v>
      </c>
      <c r="R821" s="53" t="n">
        <f aca="false">IF(BW821=1,0,IFERROR(VLOOKUP(BU821,'Gebinde-Kategorie'!$A$5:$N$45,13,0)+0,0))</f>
        <v>280</v>
      </c>
      <c r="S821" s="54"/>
      <c r="T821" s="55"/>
      <c r="U821" s="55"/>
      <c r="V821" s="55"/>
      <c r="W821" s="48"/>
      <c r="X821" s="50"/>
      <c r="Y821" s="50"/>
      <c r="Z821" s="48" t="n">
        <f aca="false">IF(A821="","",IF(AND(Parameter!$B$21="Ja",ISNUMBER(W821)),W821,IF(BZ821="2+3",IF(ISNUMBER(SEARCH("grosser Artikel",BR821)),2,IFERROR(VLOOKUP(BU821,Parameter!$F$35:$G$64,2,0),2)),IF(OR(BZ821="Nein",BZ821=""),"-",BZ821))))</f>
        <v>3</v>
      </c>
      <c r="AA821" s="55"/>
      <c r="AB821" s="56"/>
      <c r="AC821" s="50" t="n">
        <f aca="false">AT821</f>
        <v>1090</v>
      </c>
      <c r="AD821" s="50" t="n">
        <f aca="false">MAX(AT821,H821)</f>
        <v>1090</v>
      </c>
      <c r="AE821" s="57"/>
      <c r="AF821" s="50" t="n">
        <f aca="false">IF(LEFT(Cockpit!$C$5,1)="A",H821,IF(CE821=1,CF821,IF(LEFT(Cockpit!$C$5,1)="B",AK821,MAX(AK821,H821))))</f>
        <v>216</v>
      </c>
      <c r="AG821" s="50" t="n">
        <f aca="false">IF(BW821=1,0,ROUNDUP(AF821/BV821,0))</f>
        <v>1</v>
      </c>
      <c r="AH821" s="52" t="n">
        <f aca="false">IF(CL821&gt;0,CL821*MAX(1,AF821/X821),IF(BW821=1,IF(AF821&lt;=0,0,CA821*MAX(1,IF(H821&gt;0,AF821/H821,1))),IF(R821&gt;0,AG821/R821,0))/MAX(0.1,N(Parameter!$M$21)))</f>
        <v>0.00357142857142857</v>
      </c>
      <c r="AI821" s="50" t="n">
        <f aca="false">AH821*BY821</f>
        <v>0.553571428571429</v>
      </c>
      <c r="AJ821" s="50" t="n">
        <f aca="false">AF821*G821</f>
        <v>4.32</v>
      </c>
      <c r="AK821" s="50" t="n">
        <f aca="false">ROUNDUP(MAX(J821/IF(CD821&gt;0,CD821,MAX(0.1,N(Cockpit!$C$6))),CG821)/BV821,0)*BV821</f>
        <v>1090</v>
      </c>
      <c r="AL821" s="51" t="n">
        <f aca="false">IF(AI821&gt;0,J821/AI821,-1)</f>
        <v>1235.61290322581</v>
      </c>
      <c r="AM821" s="51" t="n">
        <f aca="false">IF(AND(OR(CC821="L1",CC821="L23",CC821="LIFT"),AI821&gt;0),SUMIFS($AI$7:$AI$1843,$CC$7:$CC$1843,CC821,$AL$7:$AL$1843,"&gt;"&amp;AL821)+SUMIFS($AI$7:$AI$1843,$CC$7:$CC$1843,CC821,$AL$7:$AL$1843,AL821,$BT$7:$BT$1843,"&lt;="&amp;BT821),"")</f>
        <v>12.4766483516484</v>
      </c>
      <c r="AN821" s="58" t="n">
        <f aca="false">IF(AM821="",0,MAX(0,MIN(1,(IF(CC821="L1",Parameter!$H$5,IF(CC821="L23",Parameter!$H$6+Parameter!$H$7,Parameter!$H$5+Parameter!$H$6+Parameter!$H$7))-(AM821-AI821))/AI821)))</f>
        <v>1</v>
      </c>
      <c r="AO821" s="50" t="n">
        <f aca="false">IF(LEFT(Cockpit!$I$5,1)="A",H821,IF(CE821=1,CF821,IF(LEFT(Cockpit!$I$5,1)="B",AT821,MAX(AT821,H821))))</f>
        <v>1090</v>
      </c>
      <c r="AP821" s="50" t="n">
        <f aca="false">IF(BW821=1,0,ROUNDUP(AO821/BV821,0))</f>
        <v>5</v>
      </c>
      <c r="AQ821" s="52" t="n">
        <f aca="false">IF(CL821&gt;0,CL821*MAX(1,AO821/X821),IF(BW821=1,IF(AO821&lt;=0,0,CA821*MAX(1,IF(H821&gt;0,AO821/H821,1))),IF(R821&gt;0,AP821/R821,0))/MAX(0.1,N(Parameter!$M$21)))</f>
        <v>0.0178571428571429</v>
      </c>
      <c r="AR821" s="50" t="n">
        <f aca="false">AQ821*BY821</f>
        <v>2.76785714285714</v>
      </c>
      <c r="AS821" s="50" t="n">
        <f aca="false">AO821*G821</f>
        <v>21.8</v>
      </c>
      <c r="AT821" s="50" t="n">
        <f aca="false">ROUNDUP(MAX(J821/IF(CD821&gt;0,CD821,MAX(0.1,N(Cockpit!$I$6))),CG821)/BV821,0)*BV821</f>
        <v>1090</v>
      </c>
      <c r="AU821" s="51" t="n">
        <f aca="false">IF(AR821&gt;0,J821/AR821,-1)</f>
        <v>247.122580645161</v>
      </c>
      <c r="AV821" s="51" t="n">
        <f aca="false">IF(AND(OR(CC821="L1",CC821="L23",CC821="LIFT"),AR821&gt;0),SUMIFS($AR$7:$AR$1843,$CC$7:$CC$1843,CC821,$AU$7:$AU$1843,"&gt;"&amp;AU821)+SUMIFS($AR$7:$AR$1843,$CC$7:$CC$1843,CC821,$AU$7:$AU$1843,AU821,$BT$7:$BT$1843,"&lt;="&amp;BT821),"")</f>
        <v>203.039377289377</v>
      </c>
      <c r="AW821" s="58" t="n">
        <f aca="false">IF(AV821="",0,MAX(0,MIN(1,(IF(CC821="L1",Parameter!$H$5,IF(CC821="L23",Parameter!$H$6+Parameter!$H$7,Parameter!$H$5+Parameter!$H$6+Parameter!$H$7))-(AV821-AR821))/AR821)))</f>
        <v>1</v>
      </c>
      <c r="AX821" s="50" t="n">
        <f aca="false">IF(LEFT(Cockpit!$O$5,1)="A",H821,IF(CE821=1,CF821,IF(LEFT(Cockpit!$O$5,1)="B",BC821,MAX(BC821,H821))))</f>
        <v>1090</v>
      </c>
      <c r="AY821" s="50" t="n">
        <f aca="false">IF(BW821=1,0,ROUNDUP(AX821/BV821,0))</f>
        <v>5</v>
      </c>
      <c r="AZ821" s="52" t="n">
        <f aca="false">IF(CL821&gt;0,CL821*MAX(1,AX821/X821),IF(BW821=1,IF(AX821&lt;=0,0,CA821*MAX(1,IF(H821&gt;0,AX821/H821,1))),IF(R821&gt;0,AY821/R821,0))/MAX(0.1,N(Parameter!$M$21)))</f>
        <v>0.0178571428571429</v>
      </c>
      <c r="BA821" s="50" t="n">
        <f aca="false">AZ821*BY821</f>
        <v>2.76785714285714</v>
      </c>
      <c r="BB821" s="50" t="n">
        <f aca="false">AX821*G821</f>
        <v>21.8</v>
      </c>
      <c r="BC821" s="50" t="n">
        <f aca="false">ROUNDUP(MAX(J821/IF(CD821&gt;0,CD821,MAX(0.1,N(Cockpit!$O$6))),CG821)/BV821,0)*BV821</f>
        <v>1090</v>
      </c>
      <c r="BD821" s="51" t="n">
        <f aca="false">IF(BA821&gt;0,J821/BA821,-1)</f>
        <v>247.122580645161</v>
      </c>
      <c r="BE821" s="51" t="n">
        <f aca="false">IF(AND(OR(CC821="L1",CC821="L23",CC821="LIFT"),BA821&gt;0),SUMIFS($BA$7:$BA$1843,$CC$7:$CC$1843,CC821,$BD$7:$BD$1843,"&gt;"&amp;BD821)+SUMIFS($BA$7:$BA$1843,$CC$7:$CC$1843,CC821,$BD$7:$BD$1843,BD821,$BT$7:$BT$1843,"&lt;="&amp;BT821),"")</f>
        <v>215.923992673993</v>
      </c>
      <c r="BF821" s="58" t="n">
        <f aca="false">IF(BE821="",0,MAX(0,MIN(1,(IF(CC821="L1",Parameter!$H$5,IF(CC821="L23",Parameter!$H$6+Parameter!$H$7,Parameter!$H$5+Parameter!$H$6+Parameter!$H$7))-(BE821-BA821))/BA821)))</f>
        <v>1</v>
      </c>
      <c r="BG821" s="48" t="str">
        <f aca="false">IF(AI821&lt;=0,"",IF(CC821="Aussen","Aussenlager",IF(CC821="-","Nicht im Lift",IF(AN821&gt;=1,"Lift",IF(AN821&lt;=0,"Aussenlager","teilweise")))))</f>
        <v>Lift</v>
      </c>
      <c r="BH821" s="48" t="str">
        <f aca="false">IF(AR821&lt;=0,"",IF(CC821="Aussen","Aussenlager",IF(CC821="-","Nicht im Lift",IF(AW821&gt;=1,"Lift",IF(AW821&lt;=0,"Aussenlager","teilweise")))))</f>
        <v>Lift</v>
      </c>
      <c r="BI821" s="48" t="str">
        <f aca="false">IF(BA821&lt;=0,"",IF(CC821="Aussen","Aussenlager",IF(CC821="-","Nicht im Lift",IF(BF821&gt;=1,"Lift",IF(BF821&lt;=0,"Aussenlager","teilweise")))))</f>
        <v>Lift</v>
      </c>
      <c r="BJ821" s="48" t="str">
        <f aca="false">IF(A821="","",IF(BS821=1,"Neu; ","")&amp;IF(AND(BS821=0,BN821&lt;0),"negativer Bestand (Export "&amp;BN821&amp;"); ","")&amp;IF(J821&lt;=0,"Kein Verbrauch; ","")&amp;IF(CL821&gt;0,"Lift "&amp;W821&amp;" lt. Liftbericht (Fach "&amp;X821&amp;" Stk); ",IF(BX821=1,"Gebinde geschätzt ("&amp;T821&amp;"); ",IF(BW821=1,"Lose – Tablare geschätzt; ","")))&amp;IF(H821&gt;AT821,"Überbestand "&amp;ROUND(H821-AT821,0)&amp;" Stk / CHF "&amp;ROUND((H821-AT821)*G821,0)&amp;"; ","")&amp;IF(AND(CE821=1,CF821&lt;CG821),"MAX &lt; MB+LG; ","")&amp;IF(AND(CK821&gt;0,CJ821*10&gt;CK821),"zu hoch für Tablar; ","")&amp;IF(AND(BS821=0,OR(CE821=1,AA821&lt;&gt;"",U821&lt;&gt;"",V821&lt;&gt;"",AB821&lt;&gt;"")),"manuell übersteuert; ","")&amp;IF(AND(BW821=0,R821=0),"Gebinde unbekannt / Stellmass fehlt; ","")&amp;IF(AND(BW821=0,N(V821)&lt;=0,N(Q821)&lt;=0),"Menge pro Gebinde fehlt (Ist = 1 Gebinde); ","")&amp;BR821)</f>
        <v>negativer Bestand (Export -272); </v>
      </c>
      <c r="BK821" s="48"/>
      <c r="BL821" s="48"/>
      <c r="BM821" s="55"/>
      <c r="BN821" s="50" t="n">
        <v>-272</v>
      </c>
      <c r="BO821" s="50" t="n">
        <v>488</v>
      </c>
      <c r="BP821" s="49" t="n">
        <v>-9.70999999999995</v>
      </c>
      <c r="BQ821" s="50" t="n">
        <v>684</v>
      </c>
      <c r="BR821" s="48"/>
      <c r="BS821" s="53" t="n">
        <v>0</v>
      </c>
      <c r="BT821" s="53" t="n">
        <v>821</v>
      </c>
      <c r="BU821" s="48" t="str">
        <f aca="false">IF(U821&lt;&gt;"",UPPER(TRIM(U821)),IF(BX821=1,UPPER(VLOOKUP(T821,Parameter!$I$27:$K$29,2,0)),IF(P821="","LOSE",P821)))</f>
        <v>S21</v>
      </c>
      <c r="BV821" s="50" t="n">
        <f aca="false">IF(BU821="LOSE",1,IF(N(V821)&gt;0,V821,IF(BX821=1,MAX(1,N(VLOOKUP(T821,Parameter!$I$27:$K$29,3,0)),H821,N(N821)),IF(N(Q821)&gt;0,Q821,MAX(1,H821)))))</f>
        <v>218</v>
      </c>
      <c r="BW821" s="53" t="n">
        <f aca="false">IF(BU821="LOSE",1,0)</f>
        <v>0</v>
      </c>
      <c r="BX821" s="53" t="n">
        <f aca="false">IF(AND(U821="",OR(P821="",P821="LOSE"),T821&lt;&gt;"",N(S821)&lt;=0,ISNUMBER(MATCH(T821,Parameter!$I$27:$I$29,0))),1,0)</f>
        <v>0</v>
      </c>
      <c r="BY821" s="53" t="n">
        <f aca="false">IF(CL821&gt;0,INDEX(Parameter!$H$5:$H$7,W821)/INDEX(Parameter!$E$5:$E$7,W821),IF(AND(BW821=0,N(IFERROR(VLOOKUP(BU821,'Gebinde-Kategorie'!$A$5:$N$45,14,0),0))&gt;0),VLOOKUP(BU821,'Gebinde-Kategorie'!$A$5:$N$45,14,0)*10+Parameter!$M$23,Parameter!$M$24))</f>
        <v>155</v>
      </c>
      <c r="BZ821" s="48" t="str">
        <f aca="false">IF(AND(Parameter!$B$19="Ja",E821&lt;&gt;"",ISNUMBER(MATCH(E821,Parameter!$I$35:$I$52,0))),VLOOKUP(E821,Parameter!$I$35:$J$52,2,0),IFERROR(VLOOKUP(D821,Parameter!$A$35:$C$64,2,0),"Nein"))</f>
        <v>2+3</v>
      </c>
      <c r="CA821" s="52" t="n">
        <f aca="false">IF(BW821=0,0,IF(N(S821)&gt;0,S821,IFERROR(VLOOKUP(D821,Parameter!$A$35:$C$64,3,0)+0,0)))</f>
        <v>0</v>
      </c>
      <c r="CB821" s="48" t="n">
        <f aca="false">IF(AA821&lt;&gt;"",AA821,Z821)</f>
        <v>3</v>
      </c>
      <c r="CC821" s="48" t="str">
        <f aca="false">IF(OR(CB821=1,CB821=2,CB821=3),IF(Parameter!$E$27="Ja","LIFT",IF(CB821=1,"L1","L23")),IF(CB821="Aussen","Aussen","-"))</f>
        <v>LIFT</v>
      </c>
      <c r="CD821" s="59" t="n">
        <f aca="false">IF(N(AB821)&gt;0,AB821,0)</f>
        <v>0</v>
      </c>
      <c r="CE821" s="53" t="n">
        <f aca="false">IF(ISNUMBER(AE821),1,0)</f>
        <v>0</v>
      </c>
      <c r="CF821" s="50" t="n">
        <f aca="false">N(AE821)</f>
        <v>0</v>
      </c>
      <c r="CG821" s="50" t="n">
        <f aca="false">N(M821)+N(N821)</f>
        <v>1039</v>
      </c>
      <c r="CH821" s="50" t="n">
        <f aca="false">ROUNDUP(H821/BV821,0)</f>
        <v>1</v>
      </c>
      <c r="CI821" s="50" t="n">
        <f aca="false">ROUNDUP(CF821/BV821,0)</f>
        <v>0</v>
      </c>
      <c r="CJ821" s="53" t="n">
        <f aca="false">IF(BW821=1,0,IFERROR(VLOOKUP(BU821,'Gebinde-Kategorie'!$A$5:$N$45,5,0)+0,0))</f>
        <v>8</v>
      </c>
      <c r="CK821" s="53" t="n">
        <f aca="false">IFERROR(IF(OR(CB821=1,CB821=2,CB821=3),N(INDEX(Parameter!$I$5:$I$7,CB821)),0),0)</f>
        <v>0</v>
      </c>
      <c r="CL821" s="52" t="n">
        <f aca="false">IF(AND(Parameter!$B$21="Ja",ISNUMBER(W821),N(X821)&gt;0),IFERROR(N(INDEX(Parameter!$L$5:$L$7,W821))*INDEX(Parameter!$E$5:$E$7,W821)*X821/SUMIFS($X$7:$X$1843,$W$7:$W$1843,W821),0),0)</f>
        <v>0</v>
      </c>
    </row>
    <row r="822" customFormat="false" ht="15" hidden="false" customHeight="false" outlineLevel="0" collapsed="false">
      <c r="A822" s="48" t="s">
        <v>1589</v>
      </c>
      <c r="B822" s="48" t="s">
        <v>1590</v>
      </c>
      <c r="C822" s="48" t="s">
        <v>168</v>
      </c>
      <c r="D822" s="48" t="s">
        <v>188</v>
      </c>
      <c r="E822" s="48" t="s">
        <v>189</v>
      </c>
      <c r="F822" s="48" t="s">
        <v>222</v>
      </c>
      <c r="G822" s="49" t="n">
        <v>0.82</v>
      </c>
      <c r="H822" s="50" t="n">
        <f aca="false">MAX(0,IF(AND(Parameter!$B$21="Ja",ISNUMBER(Y822)),Y822,IF(Parameter!$B$20="Jahresanfang 2025 + Export",BO822+BN822,BN822)))</f>
        <v>0</v>
      </c>
      <c r="I822" s="50" t="n">
        <f aca="false">H822*G822</f>
        <v>0</v>
      </c>
      <c r="J822" s="50" t="n">
        <f aca="false">BQ822*Parameter!$B$18</f>
        <v>0</v>
      </c>
      <c r="K822" s="51" t="n">
        <v>21</v>
      </c>
      <c r="L822" s="52" t="n">
        <v>0</v>
      </c>
      <c r="M822" s="50" t="n">
        <v>0</v>
      </c>
      <c r="N822" s="50" t="n">
        <v>1</v>
      </c>
      <c r="O822" s="53" t="n">
        <v>21</v>
      </c>
      <c r="P822" s="48" t="s">
        <v>480</v>
      </c>
      <c r="Q822" s="50" t="n">
        <v>54</v>
      </c>
      <c r="R822" s="53" t="n">
        <f aca="false">IF(BW822=1,0,IFERROR(VLOOKUP(BU822,'Gebinde-Kategorie'!$A$5:$N$45,13,0)+0,0))</f>
        <v>52</v>
      </c>
      <c r="S822" s="54"/>
      <c r="T822" s="55"/>
      <c r="U822" s="55"/>
      <c r="V822" s="55"/>
      <c r="W822" s="48"/>
      <c r="X822" s="50"/>
      <c r="Y822" s="50"/>
      <c r="Z822" s="48" t="n">
        <f aca="false">IF(A822="","",IF(AND(Parameter!$B$21="Ja",ISNUMBER(W822)),W822,IF(BZ822="2+3",IF(ISNUMBER(SEARCH("grosser Artikel",BR822)),2,IFERROR(VLOOKUP(BU822,Parameter!$F$35:$G$64,2,0),2)),IF(OR(BZ822="Nein",BZ822=""),"-",BZ822))))</f>
        <v>3</v>
      </c>
      <c r="AA822" s="55"/>
      <c r="AB822" s="56"/>
      <c r="AC822" s="50" t="n">
        <f aca="false">AT822</f>
        <v>54</v>
      </c>
      <c r="AD822" s="50" t="n">
        <f aca="false">MAX(AT822,H822)</f>
        <v>54</v>
      </c>
      <c r="AE822" s="57"/>
      <c r="AF822" s="50" t="n">
        <f aca="false">IF(LEFT(Cockpit!$C$5,1)="A",H822,IF(CE822=1,CF822,IF(LEFT(Cockpit!$C$5,1)="B",AK822,MAX(AK822,H822))))</f>
        <v>0</v>
      </c>
      <c r="AG822" s="50" t="n">
        <f aca="false">IF(BW822=1,0,ROUNDUP(AF822/BV822,0))</f>
        <v>0</v>
      </c>
      <c r="AH822" s="52" t="n">
        <f aca="false">IF(CL822&gt;0,CL822*MAX(1,AF822/X822),IF(BW822=1,IF(AF822&lt;=0,0,CA822*MAX(1,IF(H822&gt;0,AF822/H822,1))),IF(R822&gt;0,AG822/R822,0))/MAX(0.1,N(Parameter!$M$21)))</f>
        <v>0</v>
      </c>
      <c r="AI822" s="50" t="n">
        <f aca="false">AH822*BY822</f>
        <v>0</v>
      </c>
      <c r="AJ822" s="50" t="n">
        <f aca="false">AF822*G822</f>
        <v>0</v>
      </c>
      <c r="AK822" s="50" t="n">
        <f aca="false">ROUNDUP(MAX(J822/IF(CD822&gt;0,CD822,MAX(0.1,N(Cockpit!$C$6))),CG822)/BV822,0)*BV822</f>
        <v>54</v>
      </c>
      <c r="AL822" s="51" t="n">
        <f aca="false">IF(AI822&gt;0,J822/AI822,-1)</f>
        <v>-1</v>
      </c>
      <c r="AM822" s="51" t="str">
        <f aca="false">IF(AND(OR(CC822="L1",CC822="L23",CC822="LIFT"),AI822&gt;0),SUMIFS($AI$7:$AI$1843,$CC$7:$CC$1843,CC822,$AL$7:$AL$1843,"&gt;"&amp;AL822)+SUMIFS($AI$7:$AI$1843,$CC$7:$CC$1843,CC822,$AL$7:$AL$1843,AL822,$BT$7:$BT$1843,"&lt;="&amp;BT822),"")</f>
        <v/>
      </c>
      <c r="AN822" s="58" t="n">
        <f aca="false">IF(AM822="",0,MAX(0,MIN(1,(IF(CC822="L1",Parameter!$H$5,IF(CC822="L23",Parameter!$H$6+Parameter!$H$7,Parameter!$H$5+Parameter!$H$6+Parameter!$H$7))-(AM822-AI822))/AI822)))</f>
        <v>0</v>
      </c>
      <c r="AO822" s="50" t="n">
        <f aca="false">IF(LEFT(Cockpit!$I$5,1)="A",H822,IF(CE822=1,CF822,IF(LEFT(Cockpit!$I$5,1)="B",AT822,MAX(AT822,H822))))</f>
        <v>54</v>
      </c>
      <c r="AP822" s="50" t="n">
        <f aca="false">IF(BW822=1,0,ROUNDUP(AO822/BV822,0))</f>
        <v>1</v>
      </c>
      <c r="AQ822" s="52" t="n">
        <f aca="false">IF(CL822&gt;0,CL822*MAX(1,AO822/X822),IF(BW822=1,IF(AO822&lt;=0,0,CA822*MAX(1,IF(H822&gt;0,AO822/H822,1))),IF(R822&gt;0,AP822/R822,0))/MAX(0.1,N(Parameter!$M$21)))</f>
        <v>0.0192307692307692</v>
      </c>
      <c r="AR822" s="50" t="n">
        <f aca="false">AQ822*BY822</f>
        <v>2.98076923076923</v>
      </c>
      <c r="AS822" s="50" t="n">
        <f aca="false">AO822*G822</f>
        <v>44.28</v>
      </c>
      <c r="AT822" s="50" t="n">
        <f aca="false">ROUNDUP(MAX(J822/IF(CD822&gt;0,CD822,MAX(0.1,N(Cockpit!$I$6))),CG822)/BV822,0)*BV822</f>
        <v>54</v>
      </c>
      <c r="AU822" s="51" t="n">
        <f aca="false">IF(AR822&gt;0,J822/AR822,-1)</f>
        <v>0</v>
      </c>
      <c r="AV822" s="51" t="n">
        <f aca="false">IF(AND(OR(CC822="L1",CC822="L23",CC822="LIFT"),AR822&gt;0),SUMIFS($AR$7:$AR$1843,$CC$7:$CC$1843,CC822,$AU$7:$AU$1843,"&gt;"&amp;AU822)+SUMIFS($AR$7:$AR$1843,$CC$7:$CC$1843,CC822,$AU$7:$AU$1843,AU822,$BT$7:$BT$1843,"&lt;="&amp;BT822),"")</f>
        <v>40364.2463447569</v>
      </c>
      <c r="AW822" s="58" t="n">
        <f aca="false">IF(AV822="",0,MAX(0,MIN(1,(IF(CC822="L1",Parameter!$H$5,IF(CC822="L23",Parameter!$H$6+Parameter!$H$7,Parameter!$H$5+Parameter!$H$6+Parameter!$H$7))-(AV822-AR822))/AR822)))</f>
        <v>0</v>
      </c>
      <c r="AX822" s="50" t="n">
        <f aca="false">IF(LEFT(Cockpit!$O$5,1)="A",H822,IF(CE822=1,CF822,IF(LEFT(Cockpit!$O$5,1)="B",BC822,MAX(BC822,H822))))</f>
        <v>54</v>
      </c>
      <c r="AY822" s="50" t="n">
        <f aca="false">IF(BW822=1,0,ROUNDUP(AX822/BV822,0))</f>
        <v>1</v>
      </c>
      <c r="AZ822" s="52" t="n">
        <f aca="false">IF(CL822&gt;0,CL822*MAX(1,AX822/X822),IF(BW822=1,IF(AX822&lt;=0,0,CA822*MAX(1,IF(H822&gt;0,AX822/H822,1))),IF(R822&gt;0,AY822/R822,0))/MAX(0.1,N(Parameter!$M$21)))</f>
        <v>0.0192307692307692</v>
      </c>
      <c r="BA822" s="50" t="n">
        <f aca="false">AZ822*BY822</f>
        <v>2.98076923076923</v>
      </c>
      <c r="BB822" s="50" t="n">
        <f aca="false">AX822*G822</f>
        <v>44.28</v>
      </c>
      <c r="BC822" s="50" t="n">
        <f aca="false">ROUNDUP(MAX(J822/IF(CD822&gt;0,CD822,MAX(0.1,N(Cockpit!$O$6))),CG822)/BV822,0)*BV822</f>
        <v>54</v>
      </c>
      <c r="BD822" s="51" t="n">
        <f aca="false">IF(BA822&gt;0,J822/BA822,-1)</f>
        <v>0</v>
      </c>
      <c r="BE822" s="51" t="n">
        <f aca="false">IF(AND(OR(CC822="L1",CC822="L23",CC822="LIFT"),BA822&gt;0),SUMIFS($BA$7:$BA$1843,$CC$7:$CC$1843,CC822,$BD$7:$BD$1843,"&gt;"&amp;BD822)+SUMIFS($BA$7:$BA$1843,$CC$7:$CC$1843,CC822,$BD$7:$BD$1843,BD822,$BT$7:$BT$1843,"&lt;="&amp;BT822),"")</f>
        <v>37039.2583866228</v>
      </c>
      <c r="BF822" s="58" t="n">
        <f aca="false">IF(BE822="",0,MAX(0,MIN(1,(IF(CC822="L1",Parameter!$H$5,IF(CC822="L23",Parameter!$H$6+Parameter!$H$7,Parameter!$H$5+Parameter!$H$6+Parameter!$H$7))-(BE822-BA822))/BA822)))</f>
        <v>0</v>
      </c>
      <c r="BG822" s="48" t="str">
        <f aca="false">IF(AI822&lt;=0,"",IF(CC822="Aussen","Aussenlager",IF(CC822="-","Nicht im Lift",IF(AN822&gt;=1,"Lift",IF(AN822&lt;=0,"Aussenlager","teilweise")))))</f>
        <v/>
      </c>
      <c r="BH822" s="48" t="str">
        <f aca="false">IF(AR822&lt;=0,"",IF(CC822="Aussen","Aussenlager",IF(CC822="-","Nicht im Lift",IF(AW822&gt;=1,"Lift",IF(AW822&lt;=0,"Aussenlager","teilweise")))))</f>
        <v>Aussenlager</v>
      </c>
      <c r="BI822" s="48" t="str">
        <f aca="false">IF(BA822&lt;=0,"",IF(CC822="Aussen","Aussenlager",IF(CC822="-","Nicht im Lift",IF(BF822&gt;=1,"Lift",IF(BF822&lt;=0,"Aussenlager","teilweise")))))</f>
        <v>Aussenlager</v>
      </c>
      <c r="BJ822" s="48" t="str">
        <f aca="false">IF(A822="","",IF(BS822=1,"Neu; ","")&amp;IF(AND(BS822=0,BN822&lt;0),"negativer Bestand (Export "&amp;BN822&amp;"); ","")&amp;IF(J822&lt;=0,"Kein Verbrauch; ","")&amp;IF(CL822&gt;0,"Lift "&amp;W822&amp;" lt. Liftbericht (Fach "&amp;X822&amp;" Stk); ",IF(BX822=1,"Gebinde geschätzt ("&amp;T822&amp;"); ",IF(BW822=1,"Lose – Tablare geschätzt; ","")))&amp;IF(H822&gt;AT822,"Überbestand "&amp;ROUND(H822-AT822,0)&amp;" Stk / CHF "&amp;ROUND((H822-AT822)*G822,0)&amp;"; ","")&amp;IF(AND(CE822=1,CF822&lt;CG822),"MAX &lt; MB+LG; ","")&amp;IF(AND(CK822&gt;0,CJ822*10&gt;CK822),"zu hoch für Tablar; ","")&amp;IF(AND(BS822=0,OR(CE822=1,AA822&lt;&gt;"",U822&lt;&gt;"",V822&lt;&gt;"",AB822&lt;&gt;"")),"manuell übersteuert; ","")&amp;IF(AND(BW822=0,R822=0),"Gebinde unbekannt / Stellmass fehlt; ","")&amp;IF(AND(BW822=0,N(V822)&lt;=0,N(Q822)&lt;=0),"Menge pro Gebinde fehlt (Ist = 1 Gebinde); ","")&amp;BR822)</f>
        <v>negativer Bestand (Export -12); Kein Verbrauch; Überbestand</v>
      </c>
      <c r="BK822" s="48"/>
      <c r="BL822" s="48"/>
      <c r="BM822" s="55"/>
      <c r="BN822" s="50" t="n">
        <v>-12</v>
      </c>
      <c r="BO822" s="50" t="n">
        <v>12</v>
      </c>
      <c r="BP822" s="49" t="n">
        <v>-9.84</v>
      </c>
      <c r="BQ822" s="50" t="n">
        <v>0</v>
      </c>
      <c r="BR822" s="48" t="s">
        <v>396</v>
      </c>
      <c r="BS822" s="53" t="n">
        <v>0</v>
      </c>
      <c r="BT822" s="53" t="n">
        <v>822</v>
      </c>
      <c r="BU822" s="48" t="str">
        <f aca="false">IF(U822&lt;&gt;"",UPPER(TRIM(U822)),IF(BX822=1,UPPER(VLOOKUP(T822,Parameter!$I$27:$K$29,2,0)),IF(P822="","LOSE",P822)))</f>
        <v>S33</v>
      </c>
      <c r="BV822" s="50" t="n">
        <f aca="false">IF(BU822="LOSE",1,IF(N(V822)&gt;0,V822,IF(BX822=1,MAX(1,N(VLOOKUP(T822,Parameter!$I$27:$K$29,3,0)),H822,N(N822)),IF(N(Q822)&gt;0,Q822,MAX(1,H822)))))</f>
        <v>54</v>
      </c>
      <c r="BW822" s="53" t="n">
        <f aca="false">IF(BU822="LOSE",1,0)</f>
        <v>0</v>
      </c>
      <c r="BX822" s="53" t="n">
        <f aca="false">IF(AND(U822="",OR(P822="",P822="LOSE"),T822&lt;&gt;"",N(S822)&lt;=0,ISNUMBER(MATCH(T822,Parameter!$I$27:$I$29,0))),1,0)</f>
        <v>0</v>
      </c>
      <c r="BY822" s="53" t="n">
        <f aca="false">IF(CL822&gt;0,INDEX(Parameter!$H$5:$H$7,W822)/INDEX(Parameter!$E$5:$E$7,W822),IF(AND(BW822=0,N(IFERROR(VLOOKUP(BU822,'Gebinde-Kategorie'!$A$5:$N$45,14,0),0))&gt;0),VLOOKUP(BU822,'Gebinde-Kategorie'!$A$5:$N$45,14,0)*10+Parameter!$M$23,Parameter!$M$24))</f>
        <v>155</v>
      </c>
      <c r="BZ822" s="48" t="str">
        <f aca="false">IF(AND(Parameter!$B$19="Ja",E822&lt;&gt;"",ISNUMBER(MATCH(E822,Parameter!$I$35:$I$52,0))),VLOOKUP(E822,Parameter!$I$35:$J$52,2,0),IFERROR(VLOOKUP(D822,Parameter!$A$35:$C$64,2,0),"Nein"))</f>
        <v>2+3</v>
      </c>
      <c r="CA822" s="52" t="n">
        <f aca="false">IF(BW822=0,0,IF(N(S822)&gt;0,S822,IFERROR(VLOOKUP(D822,Parameter!$A$35:$C$64,3,0)+0,0)))</f>
        <v>0</v>
      </c>
      <c r="CB822" s="48" t="n">
        <f aca="false">IF(AA822&lt;&gt;"",AA822,Z822)</f>
        <v>3</v>
      </c>
      <c r="CC822" s="48" t="str">
        <f aca="false">IF(OR(CB822=1,CB822=2,CB822=3),IF(Parameter!$E$27="Ja","LIFT",IF(CB822=1,"L1","L23")),IF(CB822="Aussen","Aussen","-"))</f>
        <v>LIFT</v>
      </c>
      <c r="CD822" s="59" t="n">
        <f aca="false">IF(N(AB822)&gt;0,AB822,0)</f>
        <v>0</v>
      </c>
      <c r="CE822" s="53" t="n">
        <f aca="false">IF(ISNUMBER(AE822),1,0)</f>
        <v>0</v>
      </c>
      <c r="CF822" s="50" t="n">
        <f aca="false">N(AE822)</f>
        <v>0</v>
      </c>
      <c r="CG822" s="50" t="n">
        <f aca="false">N(M822)+N(N822)</f>
        <v>1</v>
      </c>
      <c r="CH822" s="50" t="n">
        <f aca="false">ROUNDUP(H822/BV822,0)</f>
        <v>0</v>
      </c>
      <c r="CI822" s="50" t="n">
        <f aca="false">ROUNDUP(CF822/BV822,0)</f>
        <v>0</v>
      </c>
      <c r="CJ822" s="53" t="n">
        <f aca="false">IF(BW822=1,0,IFERROR(VLOOKUP(BU822,'Gebinde-Kategorie'!$A$5:$N$45,5,0)+0,0))</f>
        <v>8</v>
      </c>
      <c r="CK822" s="53" t="n">
        <f aca="false">IFERROR(IF(OR(CB822=1,CB822=2,CB822=3),N(INDEX(Parameter!$I$5:$I$7,CB822)),0),0)</f>
        <v>0</v>
      </c>
      <c r="CL822" s="52" t="n">
        <f aca="false">IF(AND(Parameter!$B$21="Ja",ISNUMBER(W822),N(X822)&gt;0),IFERROR(N(INDEX(Parameter!$L$5:$L$7,W822))*INDEX(Parameter!$E$5:$E$7,W822)*X822/SUMIFS($X$7:$X$1843,$W$7:$W$1843,W822),0),0)</f>
        <v>0</v>
      </c>
    </row>
    <row r="823" customFormat="false" ht="15" hidden="false" customHeight="false" outlineLevel="0" collapsed="false">
      <c r="A823" s="48" t="s">
        <v>1591</v>
      </c>
      <c r="B823" s="48" t="s">
        <v>602</v>
      </c>
      <c r="C823" s="48" t="s">
        <v>168</v>
      </c>
      <c r="D823" s="48" t="s">
        <v>188</v>
      </c>
      <c r="E823" s="48" t="s">
        <v>189</v>
      </c>
      <c r="F823" s="48" t="s">
        <v>222</v>
      </c>
      <c r="G823" s="49" t="n">
        <v>10.17</v>
      </c>
      <c r="H823" s="50" t="n">
        <f aca="false">MAX(0,IF(AND(Parameter!$B$21="Ja",ISNUMBER(Y823)),Y823,IF(Parameter!$B$20="Jahresanfang 2025 + Export",BO823+BN823,BN823)))</f>
        <v>36</v>
      </c>
      <c r="I823" s="50" t="n">
        <f aca="false">H823*G823</f>
        <v>366.12</v>
      </c>
      <c r="J823" s="50" t="n">
        <f aca="false">BQ823*Parameter!$B$18</f>
        <v>0</v>
      </c>
      <c r="K823" s="51" t="n">
        <v>36.5</v>
      </c>
      <c r="L823" s="52" t="n">
        <v>0</v>
      </c>
      <c r="M823" s="50" t="n">
        <v>0</v>
      </c>
      <c r="N823" s="50" t="n">
        <v>1</v>
      </c>
      <c r="O823" s="53" t="n">
        <v>21</v>
      </c>
      <c r="P823" s="48" t="s">
        <v>480</v>
      </c>
      <c r="Q823" s="50" t="n">
        <v>75</v>
      </c>
      <c r="R823" s="53" t="n">
        <f aca="false">IF(BW823=1,0,IFERROR(VLOOKUP(BU823,'Gebinde-Kategorie'!$A$5:$N$45,13,0)+0,0))</f>
        <v>52</v>
      </c>
      <c r="S823" s="54"/>
      <c r="T823" s="55"/>
      <c r="U823" s="55"/>
      <c r="V823" s="55"/>
      <c r="W823" s="48"/>
      <c r="X823" s="50"/>
      <c r="Y823" s="50"/>
      <c r="Z823" s="48" t="n">
        <f aca="false">IF(A823="","",IF(AND(Parameter!$B$21="Ja",ISNUMBER(W823)),W823,IF(BZ823="2+3",IF(ISNUMBER(SEARCH("grosser Artikel",BR823)),2,IFERROR(VLOOKUP(BU823,Parameter!$F$35:$G$64,2,0),2)),IF(OR(BZ823="Nein",BZ823=""),"-",BZ823))))</f>
        <v>3</v>
      </c>
      <c r="AA823" s="55"/>
      <c r="AB823" s="56"/>
      <c r="AC823" s="50" t="n">
        <f aca="false">AT823</f>
        <v>75</v>
      </c>
      <c r="AD823" s="50" t="n">
        <f aca="false">MAX(AT823,H823)</f>
        <v>75</v>
      </c>
      <c r="AE823" s="57"/>
      <c r="AF823" s="50" t="n">
        <f aca="false">IF(LEFT(Cockpit!$C$5,1)="A",H823,IF(CE823=1,CF823,IF(LEFT(Cockpit!$C$5,1)="B",AK823,MAX(AK823,H823))))</f>
        <v>36</v>
      </c>
      <c r="AG823" s="50" t="n">
        <f aca="false">IF(BW823=1,0,ROUNDUP(AF823/BV823,0))</f>
        <v>1</v>
      </c>
      <c r="AH823" s="52" t="n">
        <f aca="false">IF(CL823&gt;0,CL823*MAX(1,AF823/X823),IF(BW823=1,IF(AF823&lt;=0,0,CA823*MAX(1,IF(H823&gt;0,AF823/H823,1))),IF(R823&gt;0,AG823/R823,0))/MAX(0.1,N(Parameter!$M$21)))</f>
        <v>0.0192307692307692</v>
      </c>
      <c r="AI823" s="50" t="n">
        <f aca="false">AH823*BY823</f>
        <v>2.98076923076923</v>
      </c>
      <c r="AJ823" s="50" t="n">
        <f aca="false">AF823*G823</f>
        <v>366.12</v>
      </c>
      <c r="AK823" s="50" t="n">
        <f aca="false">ROUNDUP(MAX(J823/IF(CD823&gt;0,CD823,MAX(0.1,N(Cockpit!$C$6))),CG823)/BV823,0)*BV823</f>
        <v>75</v>
      </c>
      <c r="AL823" s="51" t="n">
        <f aca="false">IF(AI823&gt;0,J823/AI823,-1)</f>
        <v>0</v>
      </c>
      <c r="AM823" s="51" t="n">
        <f aca="false">IF(AND(OR(CC823="L1",CC823="L23",CC823="LIFT"),AI823&gt;0),SUMIFS($AI$7:$AI$1843,$CC$7:$CC$1843,CC823,$AL$7:$AL$1843,"&gt;"&amp;AL823)+SUMIFS($AI$7:$AI$1843,$CC$7:$CC$1843,CC823,$AL$7:$AL$1843,AL823,$BT$7:$BT$1843,"&lt;="&amp;BT823),"")</f>
        <v>28786.6759923222</v>
      </c>
      <c r="AN823" s="58" t="n">
        <f aca="false">IF(AM823="",0,MAX(0,MIN(1,(IF(CC823="L1",Parameter!$H$5,IF(CC823="L23",Parameter!$H$6+Parameter!$H$7,Parameter!$H$5+Parameter!$H$6+Parameter!$H$7))-(AM823-AI823))/AI823)))</f>
        <v>1</v>
      </c>
      <c r="AO823" s="50" t="n">
        <f aca="false">IF(LEFT(Cockpit!$I$5,1)="A",H823,IF(CE823=1,CF823,IF(LEFT(Cockpit!$I$5,1)="B",AT823,MAX(AT823,H823))))</f>
        <v>75</v>
      </c>
      <c r="AP823" s="50" t="n">
        <f aca="false">IF(BW823=1,0,ROUNDUP(AO823/BV823,0))</f>
        <v>1</v>
      </c>
      <c r="AQ823" s="52" t="n">
        <f aca="false">IF(CL823&gt;0,CL823*MAX(1,AO823/X823),IF(BW823=1,IF(AO823&lt;=0,0,CA823*MAX(1,IF(H823&gt;0,AO823/H823,1))),IF(R823&gt;0,AP823/R823,0))/MAX(0.1,N(Parameter!$M$21)))</f>
        <v>0.0192307692307692</v>
      </c>
      <c r="AR823" s="50" t="n">
        <f aca="false">AQ823*BY823</f>
        <v>2.98076923076923</v>
      </c>
      <c r="AS823" s="50" t="n">
        <f aca="false">AO823*G823</f>
        <v>762.75</v>
      </c>
      <c r="AT823" s="50" t="n">
        <f aca="false">ROUNDUP(MAX(J823/IF(CD823&gt;0,CD823,MAX(0.1,N(Cockpit!$I$6))),CG823)/BV823,0)*BV823</f>
        <v>75</v>
      </c>
      <c r="AU823" s="51" t="n">
        <f aca="false">IF(AR823&gt;0,J823/AR823,-1)</f>
        <v>0</v>
      </c>
      <c r="AV823" s="51" t="n">
        <f aca="false">IF(AND(OR(CC823="L1",CC823="L23",CC823="LIFT"),AR823&gt;0),SUMIFS($AR$7:$AR$1843,$CC$7:$CC$1843,CC823,$AU$7:$AU$1843,"&gt;"&amp;AU823)+SUMIFS($AR$7:$AR$1843,$CC$7:$CC$1843,CC823,$AU$7:$AU$1843,AU823,$BT$7:$BT$1843,"&lt;="&amp;BT823),"")</f>
        <v>40367.2271139877</v>
      </c>
      <c r="AW823" s="58" t="n">
        <f aca="false">IF(AV823="",0,MAX(0,MIN(1,(IF(CC823="L1",Parameter!$H$5,IF(CC823="L23",Parameter!$H$6+Parameter!$H$7,Parameter!$H$5+Parameter!$H$6+Parameter!$H$7))-(AV823-AR823))/AR823)))</f>
        <v>0</v>
      </c>
      <c r="AX823" s="50" t="n">
        <f aca="false">IF(LEFT(Cockpit!$O$5,1)="A",H823,IF(CE823=1,CF823,IF(LEFT(Cockpit!$O$5,1)="B",BC823,MAX(BC823,H823))))</f>
        <v>75</v>
      </c>
      <c r="AY823" s="50" t="n">
        <f aca="false">IF(BW823=1,0,ROUNDUP(AX823/BV823,0))</f>
        <v>1</v>
      </c>
      <c r="AZ823" s="52" t="n">
        <f aca="false">IF(CL823&gt;0,CL823*MAX(1,AX823/X823),IF(BW823=1,IF(AX823&lt;=0,0,CA823*MAX(1,IF(H823&gt;0,AX823/H823,1))),IF(R823&gt;0,AY823/R823,0))/MAX(0.1,N(Parameter!$M$21)))</f>
        <v>0.0192307692307692</v>
      </c>
      <c r="BA823" s="50" t="n">
        <f aca="false">AZ823*BY823</f>
        <v>2.98076923076923</v>
      </c>
      <c r="BB823" s="50" t="n">
        <f aca="false">AX823*G823</f>
        <v>762.75</v>
      </c>
      <c r="BC823" s="50" t="n">
        <f aca="false">ROUNDUP(MAX(J823/IF(CD823&gt;0,CD823,MAX(0.1,N(Cockpit!$O$6))),CG823)/BV823,0)*BV823</f>
        <v>75</v>
      </c>
      <c r="BD823" s="51" t="n">
        <f aca="false">IF(BA823&gt;0,J823/BA823,-1)</f>
        <v>0</v>
      </c>
      <c r="BE823" s="51" t="n">
        <f aca="false">IF(AND(OR(CC823="L1",CC823="L23",CC823="LIFT"),BA823&gt;0),SUMIFS($BA$7:$BA$1843,$CC$7:$CC$1843,CC823,$BD$7:$BD$1843,"&gt;"&amp;BD823)+SUMIFS($BA$7:$BA$1843,$CC$7:$CC$1843,CC823,$BD$7:$BD$1843,BD823,$BT$7:$BT$1843,"&lt;="&amp;BT823),"")</f>
        <v>37042.2391558536</v>
      </c>
      <c r="BF823" s="58" t="n">
        <f aca="false">IF(BE823="",0,MAX(0,MIN(1,(IF(CC823="L1",Parameter!$H$5,IF(CC823="L23",Parameter!$H$6+Parameter!$H$7,Parameter!$H$5+Parameter!$H$6+Parameter!$H$7))-(BE823-BA823))/BA823)))</f>
        <v>0</v>
      </c>
      <c r="BG823" s="48" t="str">
        <f aca="false">IF(AI823&lt;=0,"",IF(CC823="Aussen","Aussenlager",IF(CC823="-","Nicht im Lift",IF(AN823&gt;=1,"Lift",IF(AN823&lt;=0,"Aussenlager","teilweise")))))</f>
        <v>Lift</v>
      </c>
      <c r="BH823" s="48" t="str">
        <f aca="false">IF(AR823&lt;=0,"",IF(CC823="Aussen","Aussenlager",IF(CC823="-","Nicht im Lift",IF(AW823&gt;=1,"Lift",IF(AW823&lt;=0,"Aussenlager","teilweise")))))</f>
        <v>Aussenlager</v>
      </c>
      <c r="BI823" s="48" t="str">
        <f aca="false">IF(BA823&lt;=0,"",IF(CC823="Aussen","Aussenlager",IF(CC823="-","Nicht im Lift",IF(BF823&gt;=1,"Lift",IF(BF823&lt;=0,"Aussenlager","teilweise")))))</f>
        <v>Aussenlager</v>
      </c>
      <c r="BJ823" s="48" t="str">
        <f aca="false">IF(A823="","",IF(BS823=1,"Neu; ","")&amp;IF(AND(BS823=0,BN823&lt;0),"negativer Bestand (Export "&amp;BN823&amp;"); ","")&amp;IF(J823&lt;=0,"Kein Verbrauch; ","")&amp;IF(CL823&gt;0,"Lift "&amp;W823&amp;" lt. Liftbericht (Fach "&amp;X823&amp;" Stk); ",IF(BX823=1,"Gebinde geschätzt ("&amp;T823&amp;"); ",IF(BW823=1,"Lose – Tablare geschätzt; ","")))&amp;IF(H823&gt;AT823,"Überbestand "&amp;ROUND(H823-AT823,0)&amp;" Stk / CHF "&amp;ROUND((H823-AT823)*G823,0)&amp;"; ","")&amp;IF(AND(CE823=1,CF823&lt;CG823),"MAX &lt; MB+LG; ","")&amp;IF(AND(CK823&gt;0,CJ823*10&gt;CK823),"zu hoch für Tablar; ","")&amp;IF(AND(BS823=0,OR(CE823=1,AA823&lt;&gt;"",U823&lt;&gt;"",V823&lt;&gt;"",AB823&lt;&gt;"")),"manuell übersteuert; ","")&amp;IF(AND(BW823=0,R823=0),"Gebinde unbekannt / Stellmass fehlt; ","")&amp;IF(AND(BW823=0,N(V823)&lt;=0,N(Q823)&lt;=0),"Menge pro Gebinde fehlt (Ist = 1 Gebinde); ","")&amp;BR823)</f>
        <v>negativer Bestand (Export -1); Kein Verbrauch; </v>
      </c>
      <c r="BK823" s="48"/>
      <c r="BL823" s="48"/>
      <c r="BM823" s="55"/>
      <c r="BN823" s="50" t="n">
        <v>-1</v>
      </c>
      <c r="BO823" s="50" t="n">
        <v>37</v>
      </c>
      <c r="BP823" s="49" t="n">
        <v>-10.17</v>
      </c>
      <c r="BQ823" s="50" t="n">
        <v>0</v>
      </c>
      <c r="BR823" s="48"/>
      <c r="BS823" s="53" t="n">
        <v>0</v>
      </c>
      <c r="BT823" s="53" t="n">
        <v>823</v>
      </c>
      <c r="BU823" s="48" t="str">
        <f aca="false">IF(U823&lt;&gt;"",UPPER(TRIM(U823)),IF(BX823=1,UPPER(VLOOKUP(T823,Parameter!$I$27:$K$29,2,0)),IF(P823="","LOSE",P823)))</f>
        <v>S33</v>
      </c>
      <c r="BV823" s="50" t="n">
        <f aca="false">IF(BU823="LOSE",1,IF(N(V823)&gt;0,V823,IF(BX823=1,MAX(1,N(VLOOKUP(T823,Parameter!$I$27:$K$29,3,0)),H823,N(N823)),IF(N(Q823)&gt;0,Q823,MAX(1,H823)))))</f>
        <v>75</v>
      </c>
      <c r="BW823" s="53" t="n">
        <f aca="false">IF(BU823="LOSE",1,0)</f>
        <v>0</v>
      </c>
      <c r="BX823" s="53" t="n">
        <f aca="false">IF(AND(U823="",OR(P823="",P823="LOSE"),T823&lt;&gt;"",N(S823)&lt;=0,ISNUMBER(MATCH(T823,Parameter!$I$27:$I$29,0))),1,0)</f>
        <v>0</v>
      </c>
      <c r="BY823" s="53" t="n">
        <f aca="false">IF(CL823&gt;0,INDEX(Parameter!$H$5:$H$7,W823)/INDEX(Parameter!$E$5:$E$7,W823),IF(AND(BW823=0,N(IFERROR(VLOOKUP(BU823,'Gebinde-Kategorie'!$A$5:$N$45,14,0),0))&gt;0),VLOOKUP(BU823,'Gebinde-Kategorie'!$A$5:$N$45,14,0)*10+Parameter!$M$23,Parameter!$M$24))</f>
        <v>155</v>
      </c>
      <c r="BZ823" s="48" t="str">
        <f aca="false">IF(AND(Parameter!$B$19="Ja",E823&lt;&gt;"",ISNUMBER(MATCH(E823,Parameter!$I$35:$I$52,0))),VLOOKUP(E823,Parameter!$I$35:$J$52,2,0),IFERROR(VLOOKUP(D823,Parameter!$A$35:$C$64,2,0),"Nein"))</f>
        <v>2+3</v>
      </c>
      <c r="CA823" s="52" t="n">
        <f aca="false">IF(BW823=0,0,IF(N(S823)&gt;0,S823,IFERROR(VLOOKUP(D823,Parameter!$A$35:$C$64,3,0)+0,0)))</f>
        <v>0</v>
      </c>
      <c r="CB823" s="48" t="n">
        <f aca="false">IF(AA823&lt;&gt;"",AA823,Z823)</f>
        <v>3</v>
      </c>
      <c r="CC823" s="48" t="str">
        <f aca="false">IF(OR(CB823=1,CB823=2,CB823=3),IF(Parameter!$E$27="Ja","LIFT",IF(CB823=1,"L1","L23")),IF(CB823="Aussen","Aussen","-"))</f>
        <v>LIFT</v>
      </c>
      <c r="CD823" s="59" t="n">
        <f aca="false">IF(N(AB823)&gt;0,AB823,0)</f>
        <v>0</v>
      </c>
      <c r="CE823" s="53" t="n">
        <f aca="false">IF(ISNUMBER(AE823),1,0)</f>
        <v>0</v>
      </c>
      <c r="CF823" s="50" t="n">
        <f aca="false">N(AE823)</f>
        <v>0</v>
      </c>
      <c r="CG823" s="50" t="n">
        <f aca="false">N(M823)+N(N823)</f>
        <v>1</v>
      </c>
      <c r="CH823" s="50" t="n">
        <f aca="false">ROUNDUP(H823/BV823,0)</f>
        <v>1</v>
      </c>
      <c r="CI823" s="50" t="n">
        <f aca="false">ROUNDUP(CF823/BV823,0)</f>
        <v>0</v>
      </c>
      <c r="CJ823" s="53" t="n">
        <f aca="false">IF(BW823=1,0,IFERROR(VLOOKUP(BU823,'Gebinde-Kategorie'!$A$5:$N$45,5,0)+0,0))</f>
        <v>8</v>
      </c>
      <c r="CK823" s="53" t="n">
        <f aca="false">IFERROR(IF(OR(CB823=1,CB823=2,CB823=3),N(INDEX(Parameter!$I$5:$I$7,CB823)),0),0)</f>
        <v>0</v>
      </c>
      <c r="CL823" s="52" t="n">
        <f aca="false">IF(AND(Parameter!$B$21="Ja",ISNUMBER(W823),N(X823)&gt;0),IFERROR(N(INDEX(Parameter!$L$5:$L$7,W823))*INDEX(Parameter!$E$5:$E$7,W823)*X823/SUMIFS($X$7:$X$1843,$W$7:$W$1843,W823),0),0)</f>
        <v>0</v>
      </c>
    </row>
    <row r="824" customFormat="false" ht="15" hidden="false" customHeight="false" outlineLevel="0" collapsed="false">
      <c r="A824" s="48" t="s">
        <v>1592</v>
      </c>
      <c r="B824" s="48" t="s">
        <v>407</v>
      </c>
      <c r="C824" s="48" t="s">
        <v>168</v>
      </c>
      <c r="D824" s="48" t="s">
        <v>188</v>
      </c>
      <c r="E824" s="48" t="s">
        <v>189</v>
      </c>
      <c r="F824" s="48" t="s">
        <v>222</v>
      </c>
      <c r="G824" s="49" t="n">
        <v>0.37</v>
      </c>
      <c r="H824" s="50" t="n">
        <f aca="false">MAX(0,IF(AND(Parameter!$B$21="Ja",ISNUMBER(Y824)),Y824,IF(Parameter!$B$20="Jahresanfang 2025 + Export",BO824+BN824,BN824)))</f>
        <v>397</v>
      </c>
      <c r="I824" s="50" t="n">
        <f aca="false">H824*G824</f>
        <v>146.89</v>
      </c>
      <c r="J824" s="50" t="n">
        <f aca="false">BQ824*Parameter!$B$18</f>
        <v>23</v>
      </c>
      <c r="K824" s="51" t="n">
        <v>423.5</v>
      </c>
      <c r="L824" s="52" t="n">
        <v>0.0543093270365998</v>
      </c>
      <c r="M824" s="50" t="n">
        <v>1</v>
      </c>
      <c r="N824" s="50" t="n">
        <v>25</v>
      </c>
      <c r="O824" s="53" t="n">
        <v>21</v>
      </c>
      <c r="P824" s="48" t="s">
        <v>230</v>
      </c>
      <c r="Q824" s="50" t="n">
        <v>439</v>
      </c>
      <c r="R824" s="53" t="n">
        <f aca="false">IF(BW824=1,0,IFERROR(VLOOKUP(BU824,'Gebinde-Kategorie'!$A$5:$N$45,13,0)+0,0))</f>
        <v>12</v>
      </c>
      <c r="S824" s="54"/>
      <c r="T824" s="55"/>
      <c r="U824" s="55"/>
      <c r="V824" s="55"/>
      <c r="W824" s="48"/>
      <c r="X824" s="50"/>
      <c r="Y824" s="50"/>
      <c r="Z824" s="48" t="n">
        <f aca="false">IF(A824="","",IF(AND(Parameter!$B$21="Ja",ISNUMBER(W824)),W824,IF(BZ824="2+3",IF(ISNUMBER(SEARCH("grosser Artikel",BR824)),2,IFERROR(VLOOKUP(BU824,Parameter!$F$35:$G$64,2,0),2)),IF(OR(BZ824="Nein",BZ824=""),"-",BZ824))))</f>
        <v>2</v>
      </c>
      <c r="AA824" s="55"/>
      <c r="AB824" s="56"/>
      <c r="AC824" s="50" t="n">
        <f aca="false">AT824</f>
        <v>439</v>
      </c>
      <c r="AD824" s="50" t="n">
        <f aca="false">MAX(AT824,H824)</f>
        <v>439</v>
      </c>
      <c r="AE824" s="57"/>
      <c r="AF824" s="50" t="n">
        <f aca="false">IF(LEFT(Cockpit!$C$5,1)="A",H824,IF(CE824=1,CF824,IF(LEFT(Cockpit!$C$5,1)="B",AK824,MAX(AK824,H824))))</f>
        <v>397</v>
      </c>
      <c r="AG824" s="50" t="n">
        <f aca="false">IF(BW824=1,0,ROUNDUP(AF824/BV824,0))</f>
        <v>1</v>
      </c>
      <c r="AH824" s="52" t="n">
        <f aca="false">IF(CL824&gt;0,CL824*MAX(1,AF824/X824),IF(BW824=1,IF(AF824&lt;=0,0,CA824*MAX(1,IF(H824&gt;0,AF824/H824,1))),IF(R824&gt;0,AG824/R824,0))/MAX(0.1,N(Parameter!$M$21)))</f>
        <v>0.0833333333333333</v>
      </c>
      <c r="AI824" s="50" t="n">
        <f aca="false">AH824*BY824</f>
        <v>28.75</v>
      </c>
      <c r="AJ824" s="50" t="n">
        <f aca="false">AF824*G824</f>
        <v>146.89</v>
      </c>
      <c r="AK824" s="50" t="n">
        <f aca="false">ROUNDUP(MAX(J824/IF(CD824&gt;0,CD824,MAX(0.1,N(Cockpit!$C$6))),CG824)/BV824,0)*BV824</f>
        <v>439</v>
      </c>
      <c r="AL824" s="51" t="n">
        <f aca="false">IF(AI824&gt;0,J824/AI824,-1)</f>
        <v>0.8</v>
      </c>
      <c r="AM824" s="51" t="n">
        <f aca="false">IF(AND(OR(CC824="L1",CC824="L23",CC824="LIFT"),AI824&gt;0),SUMIFS($AI$7:$AI$1843,$CC$7:$CC$1843,CC824,$AL$7:$AL$1843,"&gt;"&amp;AL824)+SUMIFS($AI$7:$AI$1843,$CC$7:$CC$1843,CC824,$AL$7:$AL$1843,AL824,$BT$7:$BT$1843,"&lt;="&amp;BT824),"")</f>
        <v>8046.20833333333</v>
      </c>
      <c r="AN824" s="58" t="n">
        <f aca="false">IF(AM824="",0,MAX(0,MIN(1,(IF(CC824="L1",Parameter!$H$5,IF(CC824="L23",Parameter!$H$6+Parameter!$H$7,Parameter!$H$5+Parameter!$H$6+Parameter!$H$7))-(AM824-AI824))/AI824)))</f>
        <v>1</v>
      </c>
      <c r="AO824" s="50" t="n">
        <f aca="false">IF(LEFT(Cockpit!$I$5,1)="A",H824,IF(CE824=1,CF824,IF(LEFT(Cockpit!$I$5,1)="B",AT824,MAX(AT824,H824))))</f>
        <v>439</v>
      </c>
      <c r="AP824" s="50" t="n">
        <f aca="false">IF(BW824=1,0,ROUNDUP(AO824/BV824,0))</f>
        <v>1</v>
      </c>
      <c r="AQ824" s="52" t="n">
        <f aca="false">IF(CL824&gt;0,CL824*MAX(1,AO824/X824),IF(BW824=1,IF(AO824&lt;=0,0,CA824*MAX(1,IF(H824&gt;0,AO824/H824,1))),IF(R824&gt;0,AP824/R824,0))/MAX(0.1,N(Parameter!$M$21)))</f>
        <v>0.0833333333333333</v>
      </c>
      <c r="AR824" s="50" t="n">
        <f aca="false">AQ824*BY824</f>
        <v>28.75</v>
      </c>
      <c r="AS824" s="50" t="n">
        <f aca="false">AO824*G824</f>
        <v>162.43</v>
      </c>
      <c r="AT824" s="50" t="n">
        <f aca="false">ROUNDUP(MAX(J824/IF(CD824&gt;0,CD824,MAX(0.1,N(Cockpit!$I$6))),CG824)/BV824,0)*BV824</f>
        <v>439</v>
      </c>
      <c r="AU824" s="51" t="n">
        <f aca="false">IF(AR824&gt;0,J824/AR824,-1)</f>
        <v>0.8</v>
      </c>
      <c r="AV824" s="51" t="n">
        <f aca="false">IF(AND(OR(CC824="L1",CC824="L23",CC824="LIFT"),AR824&gt;0),SUMIFS($AR$7:$AR$1843,$CC$7:$CC$1843,CC824,$AU$7:$AU$1843,"&gt;"&amp;AU824)+SUMIFS($AR$7:$AR$1843,$CC$7:$CC$1843,CC824,$AU$7:$AU$1843,AU824,$BT$7:$BT$1843,"&lt;="&amp;BT824),"")</f>
        <v>11410.5100732601</v>
      </c>
      <c r="AW824" s="58" t="n">
        <f aca="false">IF(AV824="",0,MAX(0,MIN(1,(IF(CC824="L1",Parameter!$H$5,IF(CC824="L23",Parameter!$H$6+Parameter!$H$7,Parameter!$H$5+Parameter!$H$6+Parameter!$H$7))-(AV824-AR824))/AR824)))</f>
        <v>1</v>
      </c>
      <c r="AX824" s="50" t="n">
        <f aca="false">IF(LEFT(Cockpit!$O$5,1)="A",H824,IF(CE824=1,CF824,IF(LEFT(Cockpit!$O$5,1)="B",BC824,MAX(BC824,H824))))</f>
        <v>439</v>
      </c>
      <c r="AY824" s="50" t="n">
        <f aca="false">IF(BW824=1,0,ROUNDUP(AX824/BV824,0))</f>
        <v>1</v>
      </c>
      <c r="AZ824" s="52" t="n">
        <f aca="false">IF(CL824&gt;0,CL824*MAX(1,AX824/X824),IF(BW824=1,IF(AX824&lt;=0,0,CA824*MAX(1,IF(H824&gt;0,AX824/H824,1))),IF(R824&gt;0,AY824/R824,0))/MAX(0.1,N(Parameter!$M$21)))</f>
        <v>0.0833333333333333</v>
      </c>
      <c r="BA824" s="50" t="n">
        <f aca="false">AZ824*BY824</f>
        <v>28.75</v>
      </c>
      <c r="BB824" s="50" t="n">
        <f aca="false">AX824*G824</f>
        <v>162.43</v>
      </c>
      <c r="BC824" s="50" t="n">
        <f aca="false">ROUNDUP(MAX(J824/IF(CD824&gt;0,CD824,MAX(0.1,N(Cockpit!$O$6))),CG824)/BV824,0)*BV824</f>
        <v>439</v>
      </c>
      <c r="BD824" s="51" t="n">
        <f aca="false">IF(BA824&gt;0,J824/BA824,-1)</f>
        <v>0.8</v>
      </c>
      <c r="BE824" s="51" t="n">
        <f aca="false">IF(AND(OR(CC824="L1",CC824="L23",CC824="LIFT"),BA824&gt;0),SUMIFS($BA$7:$BA$1843,$CC$7:$CC$1843,CC824,$BD$7:$BD$1843,"&gt;"&amp;BD824)+SUMIFS($BA$7:$BA$1843,$CC$7:$CC$1843,CC824,$BD$7:$BD$1843,BD824,$BT$7:$BT$1843,"&lt;="&amp;BT824),"")</f>
        <v>11010.3337912088</v>
      </c>
      <c r="BF824" s="58" t="n">
        <f aca="false">IF(BE824="",0,MAX(0,MIN(1,(IF(CC824="L1",Parameter!$H$5,IF(CC824="L23",Parameter!$H$6+Parameter!$H$7,Parameter!$H$5+Parameter!$H$6+Parameter!$H$7))-(BE824-BA824))/BA824)))</f>
        <v>1</v>
      </c>
      <c r="BG824" s="48" t="str">
        <f aca="false">IF(AI824&lt;=0,"",IF(CC824="Aussen","Aussenlager",IF(CC824="-","Nicht im Lift",IF(AN824&gt;=1,"Lift",IF(AN824&lt;=0,"Aussenlager","teilweise")))))</f>
        <v>Lift</v>
      </c>
      <c r="BH824" s="48" t="str">
        <f aca="false">IF(AR824&lt;=0,"",IF(CC824="Aussen","Aussenlager",IF(CC824="-","Nicht im Lift",IF(AW824&gt;=1,"Lift",IF(AW824&lt;=0,"Aussenlager","teilweise")))))</f>
        <v>Lift</v>
      </c>
      <c r="BI824" s="48" t="str">
        <f aca="false">IF(BA824&lt;=0,"",IF(CC824="Aussen","Aussenlager",IF(CC824="-","Nicht im Lift",IF(BF824&gt;=1,"Lift",IF(BF824&lt;=0,"Aussenlager","teilweise")))))</f>
        <v>Lift</v>
      </c>
      <c r="BJ824" s="48" t="str">
        <f aca="false">IF(A824="","",IF(BS824=1,"Neu; ","")&amp;IF(AND(BS824=0,BN824&lt;0),"negativer Bestand (Export "&amp;BN824&amp;"); ","")&amp;IF(J824&lt;=0,"Kein Verbrauch; ","")&amp;IF(CL824&gt;0,"Lift "&amp;W824&amp;" lt. Liftbericht (Fach "&amp;X824&amp;" Stk); ",IF(BX824=1,"Gebinde geschätzt ("&amp;T824&amp;"); ",IF(BW824=1,"Lose – Tablare geschätzt; ","")))&amp;IF(H824&gt;AT824,"Überbestand "&amp;ROUND(H824-AT824,0)&amp;" Stk / CHF "&amp;ROUND((H824-AT824)*G824,0)&amp;"; ","")&amp;IF(AND(CE824=1,CF824&lt;CG824),"MAX &lt; MB+LG; ","")&amp;IF(AND(CK824&gt;0,CJ824*10&gt;CK824),"zu hoch für Tablar; ","")&amp;IF(AND(BS824=0,OR(CE824=1,AA824&lt;&gt;"",U824&lt;&gt;"",V824&lt;&gt;"",AB824&lt;&gt;"")),"manuell übersteuert; ","")&amp;IF(AND(BW824=0,R824=0),"Gebinde unbekannt / Stellmass fehlt; ","")&amp;IF(AND(BW824=0,N(V824)&lt;=0,N(Q824)&lt;=0),"Menge pro Gebinde fehlt (Ist = 1 Gebinde); ","")&amp;BR824)</f>
        <v>negativer Bestand (Export -28); Überbestand</v>
      </c>
      <c r="BK824" s="48"/>
      <c r="BL824" s="48"/>
      <c r="BM824" s="55"/>
      <c r="BN824" s="50" t="n">
        <v>-28</v>
      </c>
      <c r="BO824" s="50" t="n">
        <v>425</v>
      </c>
      <c r="BP824" s="49" t="n">
        <v>-10.36</v>
      </c>
      <c r="BQ824" s="50" t="n">
        <v>23</v>
      </c>
      <c r="BR824" s="48" t="s">
        <v>396</v>
      </c>
      <c r="BS824" s="53" t="n">
        <v>0</v>
      </c>
      <c r="BT824" s="53" t="n">
        <v>824</v>
      </c>
      <c r="BU824" s="48" t="str">
        <f aca="false">IF(U824&lt;&gt;"",UPPER(TRIM(U824)),IF(BX824=1,UPPER(VLOOKUP(T824,Parameter!$I$27:$K$29,2,0)),IF(P824="","LOSE",P824)))</f>
        <v>S63</v>
      </c>
      <c r="BV824" s="50" t="n">
        <f aca="false">IF(BU824="LOSE",1,IF(N(V824)&gt;0,V824,IF(BX824=1,MAX(1,N(VLOOKUP(T824,Parameter!$I$27:$K$29,3,0)),H824,N(N824)),IF(N(Q824)&gt;0,Q824,MAX(1,H824)))))</f>
        <v>439</v>
      </c>
      <c r="BW824" s="53" t="n">
        <f aca="false">IF(BU824="LOSE",1,0)</f>
        <v>0</v>
      </c>
      <c r="BX824" s="53" t="n">
        <f aca="false">IF(AND(U824="",OR(P824="",P824="LOSE"),T824&lt;&gt;"",N(S824)&lt;=0,ISNUMBER(MATCH(T824,Parameter!$I$27:$I$29,0))),1,0)</f>
        <v>0</v>
      </c>
      <c r="BY824" s="53" t="n">
        <f aca="false">IF(CL824&gt;0,INDEX(Parameter!$H$5:$H$7,W824)/INDEX(Parameter!$E$5:$E$7,W824),IF(AND(BW824=0,N(IFERROR(VLOOKUP(BU824,'Gebinde-Kategorie'!$A$5:$N$45,14,0),0))&gt;0),VLOOKUP(BU824,'Gebinde-Kategorie'!$A$5:$N$45,14,0)*10+Parameter!$M$23,Parameter!$M$24))</f>
        <v>345</v>
      </c>
      <c r="BZ824" s="48" t="str">
        <f aca="false">IF(AND(Parameter!$B$19="Ja",E824&lt;&gt;"",ISNUMBER(MATCH(E824,Parameter!$I$35:$I$52,0))),VLOOKUP(E824,Parameter!$I$35:$J$52,2,0),IFERROR(VLOOKUP(D824,Parameter!$A$35:$C$64,2,0),"Nein"))</f>
        <v>2+3</v>
      </c>
      <c r="CA824" s="52" t="n">
        <f aca="false">IF(BW824=0,0,IF(N(S824)&gt;0,S824,IFERROR(VLOOKUP(D824,Parameter!$A$35:$C$64,3,0)+0,0)))</f>
        <v>0</v>
      </c>
      <c r="CB824" s="48" t="n">
        <f aca="false">IF(AA824&lt;&gt;"",AA824,Z824)</f>
        <v>2</v>
      </c>
      <c r="CC824" s="48" t="str">
        <f aca="false">IF(OR(CB824=1,CB824=2,CB824=3),IF(Parameter!$E$27="Ja","LIFT",IF(CB824=1,"L1","L23")),IF(CB824="Aussen","Aussen","-"))</f>
        <v>LIFT</v>
      </c>
      <c r="CD824" s="59" t="n">
        <f aca="false">IF(N(AB824)&gt;0,AB824,0)</f>
        <v>0</v>
      </c>
      <c r="CE824" s="53" t="n">
        <f aca="false">IF(ISNUMBER(AE824),1,0)</f>
        <v>0</v>
      </c>
      <c r="CF824" s="50" t="n">
        <f aca="false">N(AE824)</f>
        <v>0</v>
      </c>
      <c r="CG824" s="50" t="n">
        <f aca="false">N(M824)+N(N824)</f>
        <v>26</v>
      </c>
      <c r="CH824" s="50" t="n">
        <f aca="false">ROUNDUP(H824/BV824,0)</f>
        <v>1</v>
      </c>
      <c r="CI824" s="50" t="n">
        <f aca="false">ROUNDUP(CF824/BV824,0)</f>
        <v>0</v>
      </c>
      <c r="CJ824" s="53" t="n">
        <f aca="false">IF(BW824=1,0,IFERROR(VLOOKUP(BU824,'Gebinde-Kategorie'!$A$5:$N$45,5,0)+0,0))</f>
        <v>31</v>
      </c>
      <c r="CK824" s="53" t="n">
        <f aca="false">IFERROR(IF(OR(CB824=1,CB824=2,CB824=3),N(INDEX(Parameter!$I$5:$I$7,CB824)),0),0)</f>
        <v>0</v>
      </c>
      <c r="CL824" s="52" t="n">
        <f aca="false">IF(AND(Parameter!$B$21="Ja",ISNUMBER(W824),N(X824)&gt;0),IFERROR(N(INDEX(Parameter!$L$5:$L$7,W824))*INDEX(Parameter!$E$5:$E$7,W824)*X824/SUMIFS($X$7:$X$1843,$W$7:$W$1843,W824),0),0)</f>
        <v>0</v>
      </c>
    </row>
    <row r="825" customFormat="false" ht="15" hidden="false" customHeight="false" outlineLevel="0" collapsed="false">
      <c r="A825" s="48" t="s">
        <v>1593</v>
      </c>
      <c r="B825" s="48" t="s">
        <v>1594</v>
      </c>
      <c r="C825" s="48" t="s">
        <v>168</v>
      </c>
      <c r="D825" s="48" t="s">
        <v>188</v>
      </c>
      <c r="E825" s="48" t="s">
        <v>189</v>
      </c>
      <c r="F825" s="48" t="s">
        <v>222</v>
      </c>
      <c r="G825" s="49" t="n">
        <v>1.23</v>
      </c>
      <c r="H825" s="50" t="n">
        <f aca="false">MAX(0,IF(AND(Parameter!$B$21="Ja",ISNUMBER(Y825)),Y825,IF(Parameter!$B$20="Jahresanfang 2025 + Export",BO825+BN825,BN825)))</f>
        <v>80</v>
      </c>
      <c r="I825" s="50" t="n">
        <f aca="false">H825*G825</f>
        <v>98.4</v>
      </c>
      <c r="J825" s="50" t="n">
        <f aca="false">BQ825*Parameter!$B$18</f>
        <v>55</v>
      </c>
      <c r="K825" s="51" t="n">
        <v>117.5</v>
      </c>
      <c r="L825" s="52" t="n">
        <v>0.468085106382979</v>
      </c>
      <c r="M825" s="50" t="n">
        <v>3</v>
      </c>
      <c r="N825" s="50" t="n">
        <v>50</v>
      </c>
      <c r="O825" s="53" t="n">
        <v>21</v>
      </c>
      <c r="P825" s="48" t="s">
        <v>425</v>
      </c>
      <c r="Q825" s="50" t="n">
        <v>97</v>
      </c>
      <c r="R825" s="53" t="n">
        <f aca="false">IF(BW825=1,0,IFERROR(VLOOKUP(BU825,'Gebinde-Kategorie'!$A$5:$N$45,13,0)+0,0))</f>
        <v>104</v>
      </c>
      <c r="S825" s="54"/>
      <c r="T825" s="55"/>
      <c r="U825" s="55"/>
      <c r="V825" s="55"/>
      <c r="W825" s="48"/>
      <c r="X825" s="50"/>
      <c r="Y825" s="50"/>
      <c r="Z825" s="48" t="n">
        <f aca="false">IF(A825="","",IF(AND(Parameter!$B$21="Ja",ISNUMBER(W825)),W825,IF(BZ825="2+3",IF(ISNUMBER(SEARCH("grosser Artikel",BR825)),2,IFERROR(VLOOKUP(BU825,Parameter!$F$35:$G$64,2,0),2)),IF(OR(BZ825="Nein",BZ825=""),"-",BZ825))))</f>
        <v>3</v>
      </c>
      <c r="AA825" s="55"/>
      <c r="AB825" s="56"/>
      <c r="AC825" s="50" t="n">
        <f aca="false">AT825</f>
        <v>97</v>
      </c>
      <c r="AD825" s="50" t="n">
        <f aca="false">MAX(AT825,H825)</f>
        <v>97</v>
      </c>
      <c r="AE825" s="57"/>
      <c r="AF825" s="50" t="n">
        <f aca="false">IF(LEFT(Cockpit!$C$5,1)="A",H825,IF(CE825=1,CF825,IF(LEFT(Cockpit!$C$5,1)="B",AK825,MAX(AK825,H825))))</f>
        <v>80</v>
      </c>
      <c r="AG825" s="50" t="n">
        <f aca="false">IF(BW825=1,0,ROUNDUP(AF825/BV825,0))</f>
        <v>1</v>
      </c>
      <c r="AH825" s="52" t="n">
        <f aca="false">IF(CL825&gt;0,CL825*MAX(1,AF825/X825),IF(BW825=1,IF(AF825&lt;=0,0,CA825*MAX(1,IF(H825&gt;0,AF825/H825,1))),IF(R825&gt;0,AG825/R825,0))/MAX(0.1,N(Parameter!$M$21)))</f>
        <v>0.00961538461538462</v>
      </c>
      <c r="AI825" s="50" t="n">
        <f aca="false">AH825*BY825</f>
        <v>1.49038461538462</v>
      </c>
      <c r="AJ825" s="50" t="n">
        <f aca="false">AF825*G825</f>
        <v>98.4</v>
      </c>
      <c r="AK825" s="50" t="n">
        <f aca="false">ROUNDUP(MAX(J825/IF(CD825&gt;0,CD825,MAX(0.1,N(Cockpit!$C$6))),CG825)/BV825,0)*BV825</f>
        <v>97</v>
      </c>
      <c r="AL825" s="51" t="n">
        <f aca="false">IF(AI825&gt;0,J825/AI825,-1)</f>
        <v>36.9032258064516</v>
      </c>
      <c r="AM825" s="51" t="n">
        <f aca="false">IF(AND(OR(CC825="L1",CC825="L23",CC825="LIFT"),AI825&gt;0),SUMIFS($AI$7:$AI$1843,$CC$7:$CC$1843,CC825,$AL$7:$AL$1843,"&gt;"&amp;AL825)+SUMIFS($AI$7:$AI$1843,$CC$7:$CC$1843,CC825,$AL$7:$AL$1843,AL825,$BT$7:$BT$1843,"&lt;="&amp;BT825),"")</f>
        <v>1261.85576923077</v>
      </c>
      <c r="AN825" s="58" t="n">
        <f aca="false">IF(AM825="",0,MAX(0,MIN(1,(IF(CC825="L1",Parameter!$H$5,IF(CC825="L23",Parameter!$H$6+Parameter!$H$7,Parameter!$H$5+Parameter!$H$6+Parameter!$H$7))-(AM825-AI825))/AI825)))</f>
        <v>1</v>
      </c>
      <c r="AO825" s="50" t="n">
        <f aca="false">IF(LEFT(Cockpit!$I$5,1)="A",H825,IF(CE825=1,CF825,IF(LEFT(Cockpit!$I$5,1)="B",AT825,MAX(AT825,H825))))</f>
        <v>97</v>
      </c>
      <c r="AP825" s="50" t="n">
        <f aca="false">IF(BW825=1,0,ROUNDUP(AO825/BV825,0))</f>
        <v>1</v>
      </c>
      <c r="AQ825" s="52" t="n">
        <f aca="false">IF(CL825&gt;0,CL825*MAX(1,AO825/X825),IF(BW825=1,IF(AO825&lt;=0,0,CA825*MAX(1,IF(H825&gt;0,AO825/H825,1))),IF(R825&gt;0,AP825/R825,0))/MAX(0.1,N(Parameter!$M$21)))</f>
        <v>0.00961538461538462</v>
      </c>
      <c r="AR825" s="50" t="n">
        <f aca="false">AQ825*BY825</f>
        <v>1.49038461538462</v>
      </c>
      <c r="AS825" s="50" t="n">
        <f aca="false">AO825*G825</f>
        <v>119.31</v>
      </c>
      <c r="AT825" s="50" t="n">
        <f aca="false">ROUNDUP(MAX(J825/IF(CD825&gt;0,CD825,MAX(0.1,N(Cockpit!$I$6))),CG825)/BV825,0)*BV825</f>
        <v>97</v>
      </c>
      <c r="AU825" s="51" t="n">
        <f aca="false">IF(AR825&gt;0,J825/AR825,-1)</f>
        <v>36.9032258064516</v>
      </c>
      <c r="AV825" s="51" t="n">
        <f aca="false">IF(AND(OR(CC825="L1",CC825="L23",CC825="LIFT"),AR825&gt;0),SUMIFS($AR$7:$AR$1843,$CC$7:$CC$1843,CC825,$AU$7:$AU$1843,"&gt;"&amp;AU825)+SUMIFS($AR$7:$AR$1843,$CC$7:$CC$1843,CC825,$AU$7:$AU$1843,AU825,$BT$7:$BT$1843,"&lt;="&amp;BT825),"")</f>
        <v>1775.4010989011</v>
      </c>
      <c r="AW825" s="58" t="n">
        <f aca="false">IF(AV825="",0,MAX(0,MIN(1,(IF(CC825="L1",Parameter!$H$5,IF(CC825="L23",Parameter!$H$6+Parameter!$H$7,Parameter!$H$5+Parameter!$H$6+Parameter!$H$7))-(AV825-AR825))/AR825)))</f>
        <v>1</v>
      </c>
      <c r="AX825" s="50" t="n">
        <f aca="false">IF(LEFT(Cockpit!$O$5,1)="A",H825,IF(CE825=1,CF825,IF(LEFT(Cockpit!$O$5,1)="B",BC825,MAX(BC825,H825))))</f>
        <v>97</v>
      </c>
      <c r="AY825" s="50" t="n">
        <f aca="false">IF(BW825=1,0,ROUNDUP(AX825/BV825,0))</f>
        <v>1</v>
      </c>
      <c r="AZ825" s="52" t="n">
        <f aca="false">IF(CL825&gt;0,CL825*MAX(1,AX825/X825),IF(BW825=1,IF(AX825&lt;=0,0,CA825*MAX(1,IF(H825&gt;0,AX825/H825,1))),IF(R825&gt;0,AY825/R825,0))/MAX(0.1,N(Parameter!$M$21)))</f>
        <v>0.00961538461538462</v>
      </c>
      <c r="BA825" s="50" t="n">
        <f aca="false">AZ825*BY825</f>
        <v>1.49038461538462</v>
      </c>
      <c r="BB825" s="50" t="n">
        <f aca="false">AX825*G825</f>
        <v>119.31</v>
      </c>
      <c r="BC825" s="50" t="n">
        <f aca="false">ROUNDUP(MAX(J825/IF(CD825&gt;0,CD825,MAX(0.1,N(Cockpit!$O$6))),CG825)/BV825,0)*BV825</f>
        <v>97</v>
      </c>
      <c r="BD825" s="51" t="n">
        <f aca="false">IF(BA825&gt;0,J825/BA825,-1)</f>
        <v>36.9032258064516</v>
      </c>
      <c r="BE825" s="51" t="n">
        <f aca="false">IF(AND(OR(CC825="L1",CC825="L23",CC825="LIFT"),BA825&gt;0),SUMIFS($BA$7:$BA$1843,$CC$7:$CC$1843,CC825,$BD$7:$BD$1843,"&gt;"&amp;BD825)+SUMIFS($BA$7:$BA$1843,$CC$7:$CC$1843,CC825,$BD$7:$BD$1843,BD825,$BT$7:$BT$1843,"&lt;="&amp;BT825),"")</f>
        <v>1611.0902014652</v>
      </c>
      <c r="BF825" s="58" t="n">
        <f aca="false">IF(BE825="",0,MAX(0,MIN(1,(IF(CC825="L1",Parameter!$H$5,IF(CC825="L23",Parameter!$H$6+Parameter!$H$7,Parameter!$H$5+Parameter!$H$6+Parameter!$H$7))-(BE825-BA825))/BA825)))</f>
        <v>1</v>
      </c>
      <c r="BG825" s="48" t="str">
        <f aca="false">IF(AI825&lt;=0,"",IF(CC825="Aussen","Aussenlager",IF(CC825="-","Nicht im Lift",IF(AN825&gt;=1,"Lift",IF(AN825&lt;=0,"Aussenlager","teilweise")))))</f>
        <v>Lift</v>
      </c>
      <c r="BH825" s="48" t="str">
        <f aca="false">IF(AR825&lt;=0,"",IF(CC825="Aussen","Aussenlager",IF(CC825="-","Nicht im Lift",IF(AW825&gt;=1,"Lift",IF(AW825&lt;=0,"Aussenlager","teilweise")))))</f>
        <v>Lift</v>
      </c>
      <c r="BI825" s="48" t="str">
        <f aca="false">IF(BA825&lt;=0,"",IF(CC825="Aussen","Aussenlager",IF(CC825="-","Nicht im Lift",IF(BF825&gt;=1,"Lift",IF(BF825&lt;=0,"Aussenlager","teilweise")))))</f>
        <v>Lift</v>
      </c>
      <c r="BJ825" s="48" t="str">
        <f aca="false">IF(A825="","",IF(BS825=1,"Neu; ","")&amp;IF(AND(BS825=0,BN825&lt;0),"negativer Bestand (Export "&amp;BN825&amp;"); ","")&amp;IF(J825&lt;=0,"Kein Verbrauch; ","")&amp;IF(CL825&gt;0,"Lift "&amp;W825&amp;" lt. Liftbericht (Fach "&amp;X825&amp;" Stk); ",IF(BX825=1,"Gebinde geschätzt ("&amp;T825&amp;"); ",IF(BW825=1,"Lose – Tablare geschätzt; ","")))&amp;IF(H825&gt;AT825,"Überbestand "&amp;ROUND(H825-AT825,0)&amp;" Stk / CHF "&amp;ROUND((H825-AT825)*G825,0)&amp;"; ","")&amp;IF(AND(CE825=1,CF825&lt;CG825),"MAX &lt; MB+LG; ","")&amp;IF(AND(CK825&gt;0,CJ825*10&gt;CK825),"zu hoch für Tablar; ","")&amp;IF(AND(BS825=0,OR(CE825=1,AA825&lt;&gt;"",U825&lt;&gt;"",V825&lt;&gt;"",AB825&lt;&gt;"")),"manuell übersteuert; ","")&amp;IF(AND(BW825=0,R825=0),"Gebinde unbekannt / Stellmass fehlt; ","")&amp;IF(AND(BW825=0,N(V825)&lt;=0,N(Q825)&lt;=0),"Menge pro Gebinde fehlt (Ist = 1 Gebinde); ","")&amp;BR825)</f>
        <v>negativer Bestand (Export -5); Neu</v>
      </c>
      <c r="BK825" s="48"/>
      <c r="BL825" s="48"/>
      <c r="BM825" s="55"/>
      <c r="BN825" s="50" t="n">
        <v>-5</v>
      </c>
      <c r="BO825" s="50" t="n">
        <v>85</v>
      </c>
      <c r="BP825" s="49" t="n">
        <v>-10.4000000000001</v>
      </c>
      <c r="BQ825" s="50" t="n">
        <v>55</v>
      </c>
      <c r="BR825" s="48" t="s">
        <v>630</v>
      </c>
      <c r="BS825" s="53" t="n">
        <v>0</v>
      </c>
      <c r="BT825" s="53" t="n">
        <v>825</v>
      </c>
      <c r="BU825" s="48" t="str">
        <f aca="false">IF(U825&lt;&gt;"",UPPER(TRIM(U825)),IF(BX825=1,UPPER(VLOOKUP(T825,Parameter!$I$27:$K$29,2,0)),IF(P825="","LOSE",P825)))</f>
        <v>S32</v>
      </c>
      <c r="BV825" s="50" t="n">
        <f aca="false">IF(BU825="LOSE",1,IF(N(V825)&gt;0,V825,IF(BX825=1,MAX(1,N(VLOOKUP(T825,Parameter!$I$27:$K$29,3,0)),H825,N(N825)),IF(N(Q825)&gt;0,Q825,MAX(1,H825)))))</f>
        <v>97</v>
      </c>
      <c r="BW825" s="53" t="n">
        <f aca="false">IF(BU825="LOSE",1,0)</f>
        <v>0</v>
      </c>
      <c r="BX825" s="53" t="n">
        <f aca="false">IF(AND(U825="",OR(P825="",P825="LOSE"),T825&lt;&gt;"",N(S825)&lt;=0,ISNUMBER(MATCH(T825,Parameter!$I$27:$I$29,0))),1,0)</f>
        <v>0</v>
      </c>
      <c r="BY825" s="53" t="n">
        <f aca="false">IF(CL825&gt;0,INDEX(Parameter!$H$5:$H$7,W825)/INDEX(Parameter!$E$5:$E$7,W825),IF(AND(BW825=0,N(IFERROR(VLOOKUP(BU825,'Gebinde-Kategorie'!$A$5:$N$45,14,0),0))&gt;0),VLOOKUP(BU825,'Gebinde-Kategorie'!$A$5:$N$45,14,0)*10+Parameter!$M$23,Parameter!$M$24))</f>
        <v>155</v>
      </c>
      <c r="BZ825" s="48" t="str">
        <f aca="false">IF(AND(Parameter!$B$19="Ja",E825&lt;&gt;"",ISNUMBER(MATCH(E825,Parameter!$I$35:$I$52,0))),VLOOKUP(E825,Parameter!$I$35:$J$52,2,0),IFERROR(VLOOKUP(D825,Parameter!$A$35:$C$64,2,0),"Nein"))</f>
        <v>2+3</v>
      </c>
      <c r="CA825" s="52" t="n">
        <f aca="false">IF(BW825=0,0,IF(N(S825)&gt;0,S825,IFERROR(VLOOKUP(D825,Parameter!$A$35:$C$64,3,0)+0,0)))</f>
        <v>0</v>
      </c>
      <c r="CB825" s="48" t="n">
        <f aca="false">IF(AA825&lt;&gt;"",AA825,Z825)</f>
        <v>3</v>
      </c>
      <c r="CC825" s="48" t="str">
        <f aca="false">IF(OR(CB825=1,CB825=2,CB825=3),IF(Parameter!$E$27="Ja","LIFT",IF(CB825=1,"L1","L23")),IF(CB825="Aussen","Aussen","-"))</f>
        <v>LIFT</v>
      </c>
      <c r="CD825" s="59" t="n">
        <f aca="false">IF(N(AB825)&gt;0,AB825,0)</f>
        <v>0</v>
      </c>
      <c r="CE825" s="53" t="n">
        <f aca="false">IF(ISNUMBER(AE825),1,0)</f>
        <v>0</v>
      </c>
      <c r="CF825" s="50" t="n">
        <f aca="false">N(AE825)</f>
        <v>0</v>
      </c>
      <c r="CG825" s="50" t="n">
        <f aca="false">N(M825)+N(N825)</f>
        <v>53</v>
      </c>
      <c r="CH825" s="50" t="n">
        <f aca="false">ROUNDUP(H825/BV825,0)</f>
        <v>1</v>
      </c>
      <c r="CI825" s="50" t="n">
        <f aca="false">ROUNDUP(CF825/BV825,0)</f>
        <v>0</v>
      </c>
      <c r="CJ825" s="53" t="n">
        <f aca="false">IF(BW825=1,0,IFERROR(VLOOKUP(BU825,'Gebinde-Kategorie'!$A$5:$N$45,5,0)+0,0))</f>
        <v>8</v>
      </c>
      <c r="CK825" s="53" t="n">
        <f aca="false">IFERROR(IF(OR(CB825=1,CB825=2,CB825=3),N(INDEX(Parameter!$I$5:$I$7,CB825)),0),0)</f>
        <v>0</v>
      </c>
      <c r="CL825" s="52" t="n">
        <f aca="false">IF(AND(Parameter!$B$21="Ja",ISNUMBER(W825),N(X825)&gt;0),IFERROR(N(INDEX(Parameter!$L$5:$L$7,W825))*INDEX(Parameter!$E$5:$E$7,W825)*X825/SUMIFS($X$7:$X$1843,$W$7:$W$1843,W825),0),0)</f>
        <v>0</v>
      </c>
    </row>
    <row r="826" customFormat="false" ht="15" hidden="false" customHeight="false" outlineLevel="0" collapsed="false">
      <c r="A826" s="48" t="s">
        <v>1595</v>
      </c>
      <c r="B826" s="48" t="s">
        <v>1596</v>
      </c>
      <c r="C826" s="48" t="s">
        <v>168</v>
      </c>
      <c r="D826" s="48" t="s">
        <v>188</v>
      </c>
      <c r="E826" s="48"/>
      <c r="F826" s="48" t="s">
        <v>222</v>
      </c>
      <c r="G826" s="49" t="n">
        <v>10.43</v>
      </c>
      <c r="H826" s="50" t="n">
        <f aca="false">MAX(0,IF(AND(Parameter!$B$21="Ja",ISNUMBER(Y826)),Y826,IF(Parameter!$B$20="Jahresanfang 2025 + Export",BO826+BN826,BN826)))</f>
        <v>0</v>
      </c>
      <c r="I826" s="50" t="n">
        <f aca="false">H826*G826</f>
        <v>0</v>
      </c>
      <c r="J826" s="50" t="n">
        <f aca="false">BQ826*Parameter!$B$18</f>
        <v>1</v>
      </c>
      <c r="K826" s="51" t="n">
        <v>0.5</v>
      </c>
      <c r="L826" s="52" t="n">
        <v>2</v>
      </c>
      <c r="M826" s="50" t="n">
        <v>0</v>
      </c>
      <c r="N826" s="50" t="n">
        <v>1</v>
      </c>
      <c r="O826" s="53" t="n">
        <v>21</v>
      </c>
      <c r="P826" s="48" t="s">
        <v>405</v>
      </c>
      <c r="Q826" s="50" t="n">
        <v>100</v>
      </c>
      <c r="R826" s="53" t="n">
        <f aca="false">IF(BW826=1,0,IFERROR(VLOOKUP(BU826,'Gebinde-Kategorie'!$A$5:$N$45,13,0)+0,0))</f>
        <v>280</v>
      </c>
      <c r="S826" s="54"/>
      <c r="T826" s="55"/>
      <c r="U826" s="55"/>
      <c r="V826" s="55"/>
      <c r="W826" s="48"/>
      <c r="X826" s="50"/>
      <c r="Y826" s="50"/>
      <c r="Z826" s="48" t="n">
        <f aca="false">IF(A826="","",IF(AND(Parameter!$B$21="Ja",ISNUMBER(W826)),W826,IF(BZ826="2+3",IF(ISNUMBER(SEARCH("grosser Artikel",BR826)),2,IFERROR(VLOOKUP(BU826,Parameter!$F$35:$G$64,2,0),2)),IF(OR(BZ826="Nein",BZ826=""),"-",BZ826))))</f>
        <v>3</v>
      </c>
      <c r="AA826" s="55"/>
      <c r="AB826" s="56"/>
      <c r="AC826" s="50" t="n">
        <f aca="false">AT826</f>
        <v>100</v>
      </c>
      <c r="AD826" s="50" t="n">
        <f aca="false">MAX(AT826,H826)</f>
        <v>100</v>
      </c>
      <c r="AE826" s="57"/>
      <c r="AF826" s="50" t="n">
        <f aca="false">IF(LEFT(Cockpit!$C$5,1)="A",H826,IF(CE826=1,CF826,IF(LEFT(Cockpit!$C$5,1)="B",AK826,MAX(AK826,H826))))</f>
        <v>0</v>
      </c>
      <c r="AG826" s="50" t="n">
        <f aca="false">IF(BW826=1,0,ROUNDUP(AF826/BV826,0))</f>
        <v>0</v>
      </c>
      <c r="AH826" s="52" t="n">
        <f aca="false">IF(CL826&gt;0,CL826*MAX(1,AF826/X826),IF(BW826=1,IF(AF826&lt;=0,0,CA826*MAX(1,IF(H826&gt;0,AF826/H826,1))),IF(R826&gt;0,AG826/R826,0))/MAX(0.1,N(Parameter!$M$21)))</f>
        <v>0</v>
      </c>
      <c r="AI826" s="50" t="n">
        <f aca="false">AH826*BY826</f>
        <v>0</v>
      </c>
      <c r="AJ826" s="50" t="n">
        <f aca="false">AF826*G826</f>
        <v>0</v>
      </c>
      <c r="AK826" s="50" t="n">
        <f aca="false">ROUNDUP(MAX(J826/IF(CD826&gt;0,CD826,MAX(0.1,N(Cockpit!$C$6))),CG826)/BV826,0)*BV826</f>
        <v>100</v>
      </c>
      <c r="AL826" s="51" t="n">
        <f aca="false">IF(AI826&gt;0,J826/AI826,-1)</f>
        <v>-1</v>
      </c>
      <c r="AM826" s="51" t="str">
        <f aca="false">IF(AND(OR(CC826="L1",CC826="L23",CC826="LIFT"),AI826&gt;0),SUMIFS($AI$7:$AI$1843,$CC$7:$CC$1843,CC826,$AL$7:$AL$1843,"&gt;"&amp;AL826)+SUMIFS($AI$7:$AI$1843,$CC$7:$CC$1843,CC826,$AL$7:$AL$1843,AL826,$BT$7:$BT$1843,"&lt;="&amp;BT826),"")</f>
        <v/>
      </c>
      <c r="AN826" s="58" t="n">
        <f aca="false">IF(AM826="",0,MAX(0,MIN(1,(IF(CC826="L1",Parameter!$H$5,IF(CC826="L23",Parameter!$H$6+Parameter!$H$7,Parameter!$H$5+Parameter!$H$6+Parameter!$H$7))-(AM826-AI826))/AI826)))</f>
        <v>0</v>
      </c>
      <c r="AO826" s="50" t="n">
        <f aca="false">IF(LEFT(Cockpit!$I$5,1)="A",H826,IF(CE826=1,CF826,IF(LEFT(Cockpit!$I$5,1)="B",AT826,MAX(AT826,H826))))</f>
        <v>100</v>
      </c>
      <c r="AP826" s="50" t="n">
        <f aca="false">IF(BW826=1,0,ROUNDUP(AO826/BV826,0))</f>
        <v>1</v>
      </c>
      <c r="AQ826" s="52" t="n">
        <f aca="false">IF(CL826&gt;0,CL826*MAX(1,AO826/X826),IF(BW826=1,IF(AO826&lt;=0,0,CA826*MAX(1,IF(H826&gt;0,AO826/H826,1))),IF(R826&gt;0,AP826/R826,0))/MAX(0.1,N(Parameter!$M$21)))</f>
        <v>0.00357142857142857</v>
      </c>
      <c r="AR826" s="50" t="n">
        <f aca="false">AQ826*BY826</f>
        <v>0.553571428571429</v>
      </c>
      <c r="AS826" s="50" t="n">
        <f aca="false">AO826*G826</f>
        <v>1043</v>
      </c>
      <c r="AT826" s="50" t="n">
        <f aca="false">ROUNDUP(MAX(J826/IF(CD826&gt;0,CD826,MAX(0.1,N(Cockpit!$I$6))),CG826)/BV826,0)*BV826</f>
        <v>100</v>
      </c>
      <c r="AU826" s="51" t="n">
        <f aca="false">IF(AR826&gt;0,J826/AR826,-1)</f>
        <v>1.80645161290323</v>
      </c>
      <c r="AV826" s="51" t="n">
        <f aca="false">IF(AND(OR(CC826="L1",CC826="L23",CC826="LIFT"),AR826&gt;0),SUMIFS($AR$7:$AR$1843,$CC$7:$CC$1843,CC826,$AU$7:$AU$1843,"&gt;"&amp;AU826)+SUMIFS($AR$7:$AR$1843,$CC$7:$CC$1843,CC826,$AU$7:$AU$1843,AU826,$BT$7:$BT$1843,"&lt;="&amp;BT826),"")</f>
        <v>8076.81639194139</v>
      </c>
      <c r="AW826" s="58" t="n">
        <f aca="false">IF(AV826="",0,MAX(0,MIN(1,(IF(CC826="L1",Parameter!$H$5,IF(CC826="L23",Parameter!$H$6+Parameter!$H$7,Parameter!$H$5+Parameter!$H$6+Parameter!$H$7))-(AV826-AR826))/AR826)))</f>
        <v>1</v>
      </c>
      <c r="AX826" s="50" t="n">
        <f aca="false">IF(LEFT(Cockpit!$O$5,1)="A",H826,IF(CE826=1,CF826,IF(LEFT(Cockpit!$O$5,1)="B",BC826,MAX(BC826,H826))))</f>
        <v>100</v>
      </c>
      <c r="AY826" s="50" t="n">
        <f aca="false">IF(BW826=1,0,ROUNDUP(AX826/BV826,0))</f>
        <v>1</v>
      </c>
      <c r="AZ826" s="52" t="n">
        <f aca="false">IF(CL826&gt;0,CL826*MAX(1,AX826/X826),IF(BW826=1,IF(AX826&lt;=0,0,CA826*MAX(1,IF(H826&gt;0,AX826/H826,1))),IF(R826&gt;0,AY826/R826,0))/MAX(0.1,N(Parameter!$M$21)))</f>
        <v>0.00357142857142857</v>
      </c>
      <c r="BA826" s="50" t="n">
        <f aca="false">AZ826*BY826</f>
        <v>0.553571428571429</v>
      </c>
      <c r="BB826" s="50" t="n">
        <f aca="false">AX826*G826</f>
        <v>1043</v>
      </c>
      <c r="BC826" s="50" t="n">
        <f aca="false">ROUNDUP(MAX(J826/IF(CD826&gt;0,CD826,MAX(0.1,N(Cockpit!$O$6))),CG826)/BV826,0)*BV826</f>
        <v>100</v>
      </c>
      <c r="BD826" s="51" t="n">
        <f aca="false">IF(BA826&gt;0,J826/BA826,-1)</f>
        <v>1.80645161290323</v>
      </c>
      <c r="BE826" s="51" t="n">
        <f aca="false">IF(AND(OR(CC826="L1",CC826="L23",CC826="LIFT"),BA826&gt;0),SUMIFS($BA$7:$BA$1843,$CC$7:$CC$1843,CC826,$BD$7:$BD$1843,"&gt;"&amp;BD826)+SUMIFS($BA$7:$BA$1843,$CC$7:$CC$1843,CC826,$BD$7:$BD$1843,BD826,$BT$7:$BT$1843,"&lt;="&amp;BT826),"")</f>
        <v>7979.14010989011</v>
      </c>
      <c r="BF826" s="58" t="n">
        <f aca="false">IF(BE826="",0,MAX(0,MIN(1,(IF(CC826="L1",Parameter!$H$5,IF(CC826="L23",Parameter!$H$6+Parameter!$H$7,Parameter!$H$5+Parameter!$H$6+Parameter!$H$7))-(BE826-BA826))/BA826)))</f>
        <v>1</v>
      </c>
      <c r="BG826" s="48" t="str">
        <f aca="false">IF(AI826&lt;=0,"",IF(CC826="Aussen","Aussenlager",IF(CC826="-","Nicht im Lift",IF(AN826&gt;=1,"Lift",IF(AN826&lt;=0,"Aussenlager","teilweise")))))</f>
        <v/>
      </c>
      <c r="BH826" s="48" t="str">
        <f aca="false">IF(AR826&lt;=0,"",IF(CC826="Aussen","Aussenlager",IF(CC826="-","Nicht im Lift",IF(AW826&gt;=1,"Lift",IF(AW826&lt;=0,"Aussenlager","teilweise")))))</f>
        <v>Lift</v>
      </c>
      <c r="BI826" s="48" t="str">
        <f aca="false">IF(BA826&lt;=0,"",IF(CC826="Aussen","Aussenlager",IF(CC826="-","Nicht im Lift",IF(BF826&gt;=1,"Lift",IF(BF826&lt;=0,"Aussenlager","teilweise")))))</f>
        <v>Lift</v>
      </c>
      <c r="BJ826" s="48" t="str">
        <f aca="false">IF(A826="","",IF(BS826=1,"Neu; ","")&amp;IF(AND(BS826=0,BN826&lt;0),"negativer Bestand (Export "&amp;BN826&amp;"); ","")&amp;IF(J826&lt;=0,"Kein Verbrauch; ","")&amp;IF(CL826&gt;0,"Lift "&amp;W826&amp;" lt. Liftbericht (Fach "&amp;X826&amp;" Stk); ",IF(BX826=1,"Gebinde geschätzt ("&amp;T826&amp;"); ",IF(BW826=1,"Lose – Tablare geschätzt; ","")))&amp;IF(H826&gt;AT826,"Überbestand "&amp;ROUND(H826-AT826,0)&amp;" Stk / CHF "&amp;ROUND((H826-AT826)*G826,0)&amp;"; ","")&amp;IF(AND(CE826=1,CF826&lt;CG826),"MAX &lt; MB+LG; ","")&amp;IF(AND(CK826&gt;0,CJ826*10&gt;CK826),"zu hoch für Tablar; ","")&amp;IF(AND(BS826=0,OR(CE826=1,AA826&lt;&gt;"",U826&lt;&gt;"",V826&lt;&gt;"",AB826&lt;&gt;"")),"manuell übersteuert; ","")&amp;IF(AND(BW826=0,R826=0),"Gebinde unbekannt / Stellmass fehlt; ","")&amp;IF(AND(BW826=0,N(V826)&lt;=0,N(Q826)&lt;=0),"Menge pro Gebinde fehlt (Ist = 1 Gebinde); ","")&amp;BR826)</f>
        <v>negativer Bestand (Export -1); </v>
      </c>
      <c r="BK826" s="48"/>
      <c r="BL826" s="48"/>
      <c r="BM826" s="55"/>
      <c r="BN826" s="50" t="n">
        <v>-1</v>
      </c>
      <c r="BO826" s="50" t="n">
        <v>1</v>
      </c>
      <c r="BP826" s="49" t="n">
        <v>-10.43</v>
      </c>
      <c r="BQ826" s="50" t="n">
        <v>1</v>
      </c>
      <c r="BR826" s="48"/>
      <c r="BS826" s="53" t="n">
        <v>0</v>
      </c>
      <c r="BT826" s="53" t="n">
        <v>826</v>
      </c>
      <c r="BU826" s="48" t="str">
        <f aca="false">IF(U826&lt;&gt;"",UPPER(TRIM(U826)),IF(BX826=1,UPPER(VLOOKUP(T826,Parameter!$I$27:$K$29,2,0)),IF(P826="","LOSE",P826)))</f>
        <v>S21</v>
      </c>
      <c r="BV826" s="50" t="n">
        <f aca="false">IF(BU826="LOSE",1,IF(N(V826)&gt;0,V826,IF(BX826=1,MAX(1,N(VLOOKUP(T826,Parameter!$I$27:$K$29,3,0)),H826,N(N826)),IF(N(Q826)&gt;0,Q826,MAX(1,H826)))))</f>
        <v>100</v>
      </c>
      <c r="BW826" s="53" t="n">
        <f aca="false">IF(BU826="LOSE",1,0)</f>
        <v>0</v>
      </c>
      <c r="BX826" s="53" t="n">
        <f aca="false">IF(AND(U826="",OR(P826="",P826="LOSE"),T826&lt;&gt;"",N(S826)&lt;=0,ISNUMBER(MATCH(T826,Parameter!$I$27:$I$29,0))),1,0)</f>
        <v>0</v>
      </c>
      <c r="BY826" s="53" t="n">
        <f aca="false">IF(CL826&gt;0,INDEX(Parameter!$H$5:$H$7,W826)/INDEX(Parameter!$E$5:$E$7,W826),IF(AND(BW826=0,N(IFERROR(VLOOKUP(BU826,'Gebinde-Kategorie'!$A$5:$N$45,14,0),0))&gt;0),VLOOKUP(BU826,'Gebinde-Kategorie'!$A$5:$N$45,14,0)*10+Parameter!$M$23,Parameter!$M$24))</f>
        <v>155</v>
      </c>
      <c r="BZ826" s="48" t="str">
        <f aca="false">IF(AND(Parameter!$B$19="Ja",E826&lt;&gt;"",ISNUMBER(MATCH(E826,Parameter!$I$35:$I$52,0))),VLOOKUP(E826,Parameter!$I$35:$J$52,2,0),IFERROR(VLOOKUP(D826,Parameter!$A$35:$C$64,2,0),"Nein"))</f>
        <v>2+3</v>
      </c>
      <c r="CA826" s="52" t="n">
        <f aca="false">IF(BW826=0,0,IF(N(S826)&gt;0,S826,IFERROR(VLOOKUP(D826,Parameter!$A$35:$C$64,3,0)+0,0)))</f>
        <v>0</v>
      </c>
      <c r="CB826" s="48" t="n">
        <f aca="false">IF(AA826&lt;&gt;"",AA826,Z826)</f>
        <v>3</v>
      </c>
      <c r="CC826" s="48" t="str">
        <f aca="false">IF(OR(CB826=1,CB826=2,CB826=3),IF(Parameter!$E$27="Ja","LIFT",IF(CB826=1,"L1","L23")),IF(CB826="Aussen","Aussen","-"))</f>
        <v>LIFT</v>
      </c>
      <c r="CD826" s="59" t="n">
        <f aca="false">IF(N(AB826)&gt;0,AB826,0)</f>
        <v>0</v>
      </c>
      <c r="CE826" s="53" t="n">
        <f aca="false">IF(ISNUMBER(AE826),1,0)</f>
        <v>0</v>
      </c>
      <c r="CF826" s="50" t="n">
        <f aca="false">N(AE826)</f>
        <v>0</v>
      </c>
      <c r="CG826" s="50" t="n">
        <f aca="false">N(M826)+N(N826)</f>
        <v>1</v>
      </c>
      <c r="CH826" s="50" t="n">
        <f aca="false">ROUNDUP(H826/BV826,0)</f>
        <v>0</v>
      </c>
      <c r="CI826" s="50" t="n">
        <f aca="false">ROUNDUP(CF826/BV826,0)</f>
        <v>0</v>
      </c>
      <c r="CJ826" s="53" t="n">
        <f aca="false">IF(BW826=1,0,IFERROR(VLOOKUP(BU826,'Gebinde-Kategorie'!$A$5:$N$45,5,0)+0,0))</f>
        <v>8</v>
      </c>
      <c r="CK826" s="53" t="n">
        <f aca="false">IFERROR(IF(OR(CB826=1,CB826=2,CB826=3),N(INDEX(Parameter!$I$5:$I$7,CB826)),0),0)</f>
        <v>0</v>
      </c>
      <c r="CL826" s="52" t="n">
        <f aca="false">IF(AND(Parameter!$B$21="Ja",ISNUMBER(W826),N(X826)&gt;0),IFERROR(N(INDEX(Parameter!$L$5:$L$7,W826))*INDEX(Parameter!$E$5:$E$7,W826)*X826/SUMIFS($X$7:$X$1843,$W$7:$W$1843,W826),0),0)</f>
        <v>0</v>
      </c>
    </row>
    <row r="827" customFormat="false" ht="15" hidden="false" customHeight="false" outlineLevel="0" collapsed="false">
      <c r="A827" s="48" t="s">
        <v>1597</v>
      </c>
      <c r="B827" s="48" t="s">
        <v>1598</v>
      </c>
      <c r="C827" s="48" t="s">
        <v>168</v>
      </c>
      <c r="D827" s="48" t="s">
        <v>188</v>
      </c>
      <c r="E827" s="48" t="s">
        <v>189</v>
      </c>
      <c r="F827" s="48" t="s">
        <v>222</v>
      </c>
      <c r="G827" s="49" t="n">
        <v>0.88</v>
      </c>
      <c r="H827" s="50" t="n">
        <f aca="false">MAX(0,IF(AND(Parameter!$B$21="Ja",ISNUMBER(Y827)),Y827,IF(Parameter!$B$20="Jahresanfang 2025 + Export",BO827+BN827,BN827)))</f>
        <v>69</v>
      </c>
      <c r="I827" s="50" t="n">
        <f aca="false">H827*G827</f>
        <v>60.72</v>
      </c>
      <c r="J827" s="50" t="n">
        <f aca="false">BQ827*Parameter!$B$18</f>
        <v>3</v>
      </c>
      <c r="K827" s="51" t="n">
        <v>79.5</v>
      </c>
      <c r="L827" s="52" t="n">
        <v>0.0377358490566038</v>
      </c>
      <c r="M827" s="50" t="n">
        <v>0</v>
      </c>
      <c r="N827" s="50" t="n">
        <v>5</v>
      </c>
      <c r="O827" s="53" t="n">
        <v>21</v>
      </c>
      <c r="P827" s="48" t="s">
        <v>430</v>
      </c>
      <c r="Q827" s="50" t="n">
        <v>84</v>
      </c>
      <c r="R827" s="53" t="n">
        <f aca="false">IF(BW827=1,0,IFERROR(VLOOKUP(BU827,'Gebinde-Kategorie'!$A$5:$N$45,13,0)+0,0))</f>
        <v>140</v>
      </c>
      <c r="S827" s="54"/>
      <c r="T827" s="55"/>
      <c r="U827" s="55"/>
      <c r="V827" s="55"/>
      <c r="W827" s="48"/>
      <c r="X827" s="50"/>
      <c r="Y827" s="50"/>
      <c r="Z827" s="48" t="n">
        <f aca="false">IF(A827="","",IF(AND(Parameter!$B$21="Ja",ISNUMBER(W827)),W827,IF(BZ827="2+3",IF(ISNUMBER(SEARCH("grosser Artikel",BR827)),2,IFERROR(VLOOKUP(BU827,Parameter!$F$35:$G$64,2,0),2)),IF(OR(BZ827="Nein",BZ827=""),"-",BZ827))))</f>
        <v>3</v>
      </c>
      <c r="AA827" s="55"/>
      <c r="AB827" s="56"/>
      <c r="AC827" s="50" t="n">
        <f aca="false">AT827</f>
        <v>84</v>
      </c>
      <c r="AD827" s="50" t="n">
        <f aca="false">MAX(AT827,H827)</f>
        <v>84</v>
      </c>
      <c r="AE827" s="57"/>
      <c r="AF827" s="50" t="n">
        <f aca="false">IF(LEFT(Cockpit!$C$5,1)="A",H827,IF(CE827=1,CF827,IF(LEFT(Cockpit!$C$5,1)="B",AK827,MAX(AK827,H827))))</f>
        <v>69</v>
      </c>
      <c r="AG827" s="50" t="n">
        <f aca="false">IF(BW827=1,0,ROUNDUP(AF827/BV827,0))</f>
        <v>1</v>
      </c>
      <c r="AH827" s="52" t="n">
        <f aca="false">IF(CL827&gt;0,CL827*MAX(1,AF827/X827),IF(BW827=1,IF(AF827&lt;=0,0,CA827*MAX(1,IF(H827&gt;0,AF827/H827,1))),IF(R827&gt;0,AG827/R827,0))/MAX(0.1,N(Parameter!$M$21)))</f>
        <v>0.00714285714285714</v>
      </c>
      <c r="AI827" s="50" t="n">
        <f aca="false">AH827*BY827</f>
        <v>1.10714285714286</v>
      </c>
      <c r="AJ827" s="50" t="n">
        <f aca="false">AF827*G827</f>
        <v>60.72</v>
      </c>
      <c r="AK827" s="50" t="n">
        <f aca="false">ROUNDUP(MAX(J827/IF(CD827&gt;0,CD827,MAX(0.1,N(Cockpit!$C$6))),CG827)/BV827,0)*BV827</f>
        <v>84</v>
      </c>
      <c r="AL827" s="51" t="n">
        <f aca="false">IF(AI827&gt;0,J827/AI827,-1)</f>
        <v>2.70967741935484</v>
      </c>
      <c r="AM827" s="51" t="n">
        <f aca="false">IF(AND(OR(CC827="L1",CC827="L23",CC827="LIFT"),AI827&gt;0),SUMIFS($AI$7:$AI$1843,$CC$7:$CC$1843,CC827,$AL$7:$AL$1843,"&gt;"&amp;AL827)+SUMIFS($AI$7:$AI$1843,$CC$7:$CC$1843,CC827,$AL$7:$AL$1843,AL827,$BT$7:$BT$1843,"&lt;="&amp;BT827),"")</f>
        <v>5318.98672161172</v>
      </c>
      <c r="AN827" s="58" t="n">
        <f aca="false">IF(AM827="",0,MAX(0,MIN(1,(IF(CC827="L1",Parameter!$H$5,IF(CC827="L23",Parameter!$H$6+Parameter!$H$7,Parameter!$H$5+Parameter!$H$6+Parameter!$H$7))-(AM827-AI827))/AI827)))</f>
        <v>1</v>
      </c>
      <c r="AO827" s="50" t="n">
        <f aca="false">IF(LEFT(Cockpit!$I$5,1)="A",H827,IF(CE827=1,CF827,IF(LEFT(Cockpit!$I$5,1)="B",AT827,MAX(AT827,H827))))</f>
        <v>84</v>
      </c>
      <c r="AP827" s="50" t="n">
        <f aca="false">IF(BW827=1,0,ROUNDUP(AO827/BV827,0))</f>
        <v>1</v>
      </c>
      <c r="AQ827" s="52" t="n">
        <f aca="false">IF(CL827&gt;0,CL827*MAX(1,AO827/X827),IF(BW827=1,IF(AO827&lt;=0,0,CA827*MAX(1,IF(H827&gt;0,AO827/H827,1))),IF(R827&gt;0,AP827/R827,0))/MAX(0.1,N(Parameter!$M$21)))</f>
        <v>0.00714285714285714</v>
      </c>
      <c r="AR827" s="50" t="n">
        <f aca="false">AQ827*BY827</f>
        <v>1.10714285714286</v>
      </c>
      <c r="AS827" s="50" t="n">
        <f aca="false">AO827*G827</f>
        <v>73.92</v>
      </c>
      <c r="AT827" s="50" t="n">
        <f aca="false">ROUNDUP(MAX(J827/IF(CD827&gt;0,CD827,MAX(0.1,N(Cockpit!$I$6))),CG827)/BV827,0)*BV827</f>
        <v>84</v>
      </c>
      <c r="AU827" s="51" t="n">
        <f aca="false">IF(AR827&gt;0,J827/AR827,-1)</f>
        <v>2.70967741935484</v>
      </c>
      <c r="AV827" s="51" t="n">
        <f aca="false">IF(AND(OR(CC827="L1",CC827="L23",CC827="LIFT"),AR827&gt;0),SUMIFS($AR$7:$AR$1843,$CC$7:$CC$1843,CC827,$AU$7:$AU$1843,"&gt;"&amp;AU827)+SUMIFS($AR$7:$AR$1843,$CC$7:$CC$1843,CC827,$AU$7:$AU$1843,AU827,$BT$7:$BT$1843,"&lt;="&amp;BT827),"")</f>
        <v>6698.69505494506</v>
      </c>
      <c r="AW827" s="58" t="n">
        <f aca="false">IF(AV827="",0,MAX(0,MIN(1,(IF(CC827="L1",Parameter!$H$5,IF(CC827="L23",Parameter!$H$6+Parameter!$H$7,Parameter!$H$5+Parameter!$H$6+Parameter!$H$7))-(AV827-AR827))/AR827)))</f>
        <v>1</v>
      </c>
      <c r="AX827" s="50" t="n">
        <f aca="false">IF(LEFT(Cockpit!$O$5,1)="A",H827,IF(CE827=1,CF827,IF(LEFT(Cockpit!$O$5,1)="B",BC827,MAX(BC827,H827))))</f>
        <v>84</v>
      </c>
      <c r="AY827" s="50" t="n">
        <f aca="false">IF(BW827=1,0,ROUNDUP(AX827/BV827,0))</f>
        <v>1</v>
      </c>
      <c r="AZ827" s="52" t="n">
        <f aca="false">IF(CL827&gt;0,CL827*MAX(1,AX827/X827),IF(BW827=1,IF(AX827&lt;=0,0,CA827*MAX(1,IF(H827&gt;0,AX827/H827,1))),IF(R827&gt;0,AY827/R827,0))/MAX(0.1,N(Parameter!$M$21)))</f>
        <v>0.00714285714285714</v>
      </c>
      <c r="BA827" s="50" t="n">
        <f aca="false">AZ827*BY827</f>
        <v>1.10714285714286</v>
      </c>
      <c r="BB827" s="50" t="n">
        <f aca="false">AX827*G827</f>
        <v>73.92</v>
      </c>
      <c r="BC827" s="50" t="n">
        <f aca="false">ROUNDUP(MAX(J827/IF(CD827&gt;0,CD827,MAX(0.1,N(Cockpit!$O$6))),CG827)/BV827,0)*BV827</f>
        <v>84</v>
      </c>
      <c r="BD827" s="51" t="n">
        <f aca="false">IF(BA827&gt;0,J827/BA827,-1)</f>
        <v>2.70967741935484</v>
      </c>
      <c r="BE827" s="51" t="n">
        <f aca="false">IF(AND(OR(CC827="L1",CC827="L23",CC827="LIFT"),BA827&gt;0),SUMIFS($BA$7:$BA$1843,$CC$7:$CC$1843,CC827,$BD$7:$BD$1843,"&gt;"&amp;BD827)+SUMIFS($BA$7:$BA$1843,$CC$7:$CC$1843,CC827,$BD$7:$BD$1843,BD827,$BT$7:$BT$1843,"&lt;="&amp;BT827),"")</f>
        <v>6481.85210622711</v>
      </c>
      <c r="BF827" s="58" t="n">
        <f aca="false">IF(BE827="",0,MAX(0,MIN(1,(IF(CC827="L1",Parameter!$H$5,IF(CC827="L23",Parameter!$H$6+Parameter!$H$7,Parameter!$H$5+Parameter!$H$6+Parameter!$H$7))-(BE827-BA827))/BA827)))</f>
        <v>1</v>
      </c>
      <c r="BG827" s="48" t="str">
        <f aca="false">IF(AI827&lt;=0,"",IF(CC827="Aussen","Aussenlager",IF(CC827="-","Nicht im Lift",IF(AN827&gt;=1,"Lift",IF(AN827&lt;=0,"Aussenlager","teilweise")))))</f>
        <v>Lift</v>
      </c>
      <c r="BH827" s="48" t="str">
        <f aca="false">IF(AR827&lt;=0,"",IF(CC827="Aussen","Aussenlager",IF(CC827="-","Nicht im Lift",IF(AW827&gt;=1,"Lift",IF(AW827&lt;=0,"Aussenlager","teilweise")))))</f>
        <v>Lift</v>
      </c>
      <c r="BI827" s="48" t="str">
        <f aca="false">IF(BA827&lt;=0,"",IF(CC827="Aussen","Aussenlager",IF(CC827="-","Nicht im Lift",IF(BF827&gt;=1,"Lift",IF(BF827&lt;=0,"Aussenlager","teilweise")))))</f>
        <v>Lift</v>
      </c>
      <c r="BJ827" s="48" t="str">
        <f aca="false">IF(A827="","",IF(BS827=1,"Neu; ","")&amp;IF(AND(BS827=0,BN827&lt;0),"negativer Bestand (Export "&amp;BN827&amp;"); ","")&amp;IF(J827&lt;=0,"Kein Verbrauch; ","")&amp;IF(CL827&gt;0,"Lift "&amp;W827&amp;" lt. Liftbericht (Fach "&amp;X827&amp;" Stk); ",IF(BX827=1,"Gebinde geschätzt ("&amp;T827&amp;"); ",IF(BW827=1,"Lose – Tablare geschätzt; ","")))&amp;IF(H827&gt;AT827,"Überbestand "&amp;ROUND(H827-AT827,0)&amp;" Stk / CHF "&amp;ROUND((H827-AT827)*G827,0)&amp;"; ","")&amp;IF(AND(CE827=1,CF827&lt;CG827),"MAX &lt; MB+LG; ","")&amp;IF(AND(CK827&gt;0,CJ827*10&gt;CK827),"zu hoch für Tablar; ","")&amp;IF(AND(BS827=0,OR(CE827=1,AA827&lt;&gt;"",U827&lt;&gt;"",V827&lt;&gt;"",AB827&lt;&gt;"")),"manuell übersteuert; ","")&amp;IF(AND(BW827=0,R827=0),"Gebinde unbekannt / Stellmass fehlt; ","")&amp;IF(AND(BW827=0,N(V827)&lt;=0,N(Q827)&lt;=0),"Menge pro Gebinde fehlt (Ist = 1 Gebinde); ","")&amp;BR827)</f>
        <v>negativer Bestand (Export -12); Überbestand</v>
      </c>
      <c r="BK827" s="48"/>
      <c r="BL827" s="48"/>
      <c r="BM827" s="55"/>
      <c r="BN827" s="50" t="n">
        <v>-12</v>
      </c>
      <c r="BO827" s="50" t="n">
        <v>81</v>
      </c>
      <c r="BP827" s="49" t="n">
        <v>-10.56</v>
      </c>
      <c r="BQ827" s="50" t="n">
        <v>3</v>
      </c>
      <c r="BR827" s="48" t="s">
        <v>396</v>
      </c>
      <c r="BS827" s="53" t="n">
        <v>0</v>
      </c>
      <c r="BT827" s="53" t="n">
        <v>827</v>
      </c>
      <c r="BU827" s="48" t="str">
        <f aca="false">IF(U827&lt;&gt;"",UPPER(TRIM(U827)),IF(BX827=1,UPPER(VLOOKUP(T827,Parameter!$I$27:$K$29,2,0)),IF(P827="","LOSE",P827)))</f>
        <v>S22</v>
      </c>
      <c r="BV827" s="50" t="n">
        <f aca="false">IF(BU827="LOSE",1,IF(N(V827)&gt;0,V827,IF(BX827=1,MAX(1,N(VLOOKUP(T827,Parameter!$I$27:$K$29,3,0)),H827,N(N827)),IF(N(Q827)&gt;0,Q827,MAX(1,H827)))))</f>
        <v>84</v>
      </c>
      <c r="BW827" s="53" t="n">
        <f aca="false">IF(BU827="LOSE",1,0)</f>
        <v>0</v>
      </c>
      <c r="BX827" s="53" t="n">
        <f aca="false">IF(AND(U827="",OR(P827="",P827="LOSE"),T827&lt;&gt;"",N(S827)&lt;=0,ISNUMBER(MATCH(T827,Parameter!$I$27:$I$29,0))),1,0)</f>
        <v>0</v>
      </c>
      <c r="BY827" s="53" t="n">
        <f aca="false">IF(CL827&gt;0,INDEX(Parameter!$H$5:$H$7,W827)/INDEX(Parameter!$E$5:$E$7,W827),IF(AND(BW827=0,N(IFERROR(VLOOKUP(BU827,'Gebinde-Kategorie'!$A$5:$N$45,14,0),0))&gt;0),VLOOKUP(BU827,'Gebinde-Kategorie'!$A$5:$N$45,14,0)*10+Parameter!$M$23,Parameter!$M$24))</f>
        <v>155</v>
      </c>
      <c r="BZ827" s="48" t="str">
        <f aca="false">IF(AND(Parameter!$B$19="Ja",E827&lt;&gt;"",ISNUMBER(MATCH(E827,Parameter!$I$35:$I$52,0))),VLOOKUP(E827,Parameter!$I$35:$J$52,2,0),IFERROR(VLOOKUP(D827,Parameter!$A$35:$C$64,2,0),"Nein"))</f>
        <v>2+3</v>
      </c>
      <c r="CA827" s="52" t="n">
        <f aca="false">IF(BW827=0,0,IF(N(S827)&gt;0,S827,IFERROR(VLOOKUP(D827,Parameter!$A$35:$C$64,3,0)+0,0)))</f>
        <v>0</v>
      </c>
      <c r="CB827" s="48" t="n">
        <f aca="false">IF(AA827&lt;&gt;"",AA827,Z827)</f>
        <v>3</v>
      </c>
      <c r="CC827" s="48" t="str">
        <f aca="false">IF(OR(CB827=1,CB827=2,CB827=3),IF(Parameter!$E$27="Ja","LIFT",IF(CB827=1,"L1","L23")),IF(CB827="Aussen","Aussen","-"))</f>
        <v>LIFT</v>
      </c>
      <c r="CD827" s="59" t="n">
        <f aca="false">IF(N(AB827)&gt;0,AB827,0)</f>
        <v>0</v>
      </c>
      <c r="CE827" s="53" t="n">
        <f aca="false">IF(ISNUMBER(AE827),1,0)</f>
        <v>0</v>
      </c>
      <c r="CF827" s="50" t="n">
        <f aca="false">N(AE827)</f>
        <v>0</v>
      </c>
      <c r="CG827" s="50" t="n">
        <f aca="false">N(M827)+N(N827)</f>
        <v>5</v>
      </c>
      <c r="CH827" s="50" t="n">
        <f aca="false">ROUNDUP(H827/BV827,0)</f>
        <v>1</v>
      </c>
      <c r="CI827" s="50" t="n">
        <f aca="false">ROUNDUP(CF827/BV827,0)</f>
        <v>0</v>
      </c>
      <c r="CJ827" s="53" t="n">
        <f aca="false">IF(BW827=1,0,IFERROR(VLOOKUP(BU827,'Gebinde-Kategorie'!$A$5:$N$45,5,0)+0,0))</f>
        <v>8</v>
      </c>
      <c r="CK827" s="53" t="n">
        <f aca="false">IFERROR(IF(OR(CB827=1,CB827=2,CB827=3),N(INDEX(Parameter!$I$5:$I$7,CB827)),0),0)</f>
        <v>0</v>
      </c>
      <c r="CL827" s="52" t="n">
        <f aca="false">IF(AND(Parameter!$B$21="Ja",ISNUMBER(W827),N(X827)&gt;0),IFERROR(N(INDEX(Parameter!$L$5:$L$7,W827))*INDEX(Parameter!$E$5:$E$7,W827)*X827/SUMIFS($X$7:$X$1843,$W$7:$W$1843,W827),0),0)</f>
        <v>0</v>
      </c>
    </row>
    <row r="828" customFormat="false" ht="15" hidden="false" customHeight="false" outlineLevel="0" collapsed="false">
      <c r="A828" s="48" t="s">
        <v>1599</v>
      </c>
      <c r="B828" s="48" t="s">
        <v>472</v>
      </c>
      <c r="C828" s="48" t="s">
        <v>168</v>
      </c>
      <c r="D828" s="48" t="s">
        <v>188</v>
      </c>
      <c r="E828" s="48" t="s">
        <v>189</v>
      </c>
      <c r="F828" s="48" t="s">
        <v>222</v>
      </c>
      <c r="G828" s="49" t="n">
        <v>0.14</v>
      </c>
      <c r="H828" s="50" t="n">
        <f aca="false">MAX(0,IF(AND(Parameter!$B$21="Ja",ISNUMBER(Y828)),Y828,IF(Parameter!$B$20="Jahresanfang 2025 + Export",BO828+BN828,BN828)))</f>
        <v>118</v>
      </c>
      <c r="I828" s="50" t="n">
        <f aca="false">H828*G828</f>
        <v>16.52</v>
      </c>
      <c r="J828" s="50" t="n">
        <f aca="false">BQ828*Parameter!$B$18</f>
        <v>177</v>
      </c>
      <c r="K828" s="51" t="n">
        <v>224.5</v>
      </c>
      <c r="L828" s="52" t="n">
        <v>0.788418708240535</v>
      </c>
      <c r="M828" s="50" t="n">
        <v>6</v>
      </c>
      <c r="N828" s="50" t="n">
        <v>175</v>
      </c>
      <c r="O828" s="53" t="n">
        <v>14</v>
      </c>
      <c r="P828" s="48" t="s">
        <v>430</v>
      </c>
      <c r="Q828" s="50" t="n">
        <v>360</v>
      </c>
      <c r="R828" s="53" t="n">
        <f aca="false">IF(BW828=1,0,IFERROR(VLOOKUP(BU828,'Gebinde-Kategorie'!$A$5:$N$45,13,0)+0,0))</f>
        <v>140</v>
      </c>
      <c r="S828" s="54"/>
      <c r="T828" s="55"/>
      <c r="U828" s="55"/>
      <c r="V828" s="55"/>
      <c r="W828" s="48"/>
      <c r="X828" s="50"/>
      <c r="Y828" s="50"/>
      <c r="Z828" s="48" t="n">
        <f aca="false">IF(A828="","",IF(AND(Parameter!$B$21="Ja",ISNUMBER(W828)),W828,IF(BZ828="2+3",IF(ISNUMBER(SEARCH("grosser Artikel",BR828)),2,IFERROR(VLOOKUP(BU828,Parameter!$F$35:$G$64,2,0),2)),IF(OR(BZ828="Nein",BZ828=""),"-",BZ828))))</f>
        <v>3</v>
      </c>
      <c r="AA828" s="55"/>
      <c r="AB828" s="56"/>
      <c r="AC828" s="50" t="n">
        <f aca="false">AT828</f>
        <v>360</v>
      </c>
      <c r="AD828" s="50" t="n">
        <f aca="false">MAX(AT828,H828)</f>
        <v>360</v>
      </c>
      <c r="AE828" s="57"/>
      <c r="AF828" s="50" t="n">
        <f aca="false">IF(LEFT(Cockpit!$C$5,1)="A",H828,IF(CE828=1,CF828,IF(LEFT(Cockpit!$C$5,1)="B",AK828,MAX(AK828,H828))))</f>
        <v>118</v>
      </c>
      <c r="AG828" s="50" t="n">
        <f aca="false">IF(BW828=1,0,ROUNDUP(AF828/BV828,0))</f>
        <v>1</v>
      </c>
      <c r="AH828" s="52" t="n">
        <f aca="false">IF(CL828&gt;0,CL828*MAX(1,AF828/X828),IF(BW828=1,IF(AF828&lt;=0,0,CA828*MAX(1,IF(H828&gt;0,AF828/H828,1))),IF(R828&gt;0,AG828/R828,0))/MAX(0.1,N(Parameter!$M$21)))</f>
        <v>0.00714285714285714</v>
      </c>
      <c r="AI828" s="50" t="n">
        <f aca="false">AH828*BY828</f>
        <v>1.10714285714286</v>
      </c>
      <c r="AJ828" s="50" t="n">
        <f aca="false">AF828*G828</f>
        <v>16.52</v>
      </c>
      <c r="AK828" s="50" t="n">
        <f aca="false">ROUNDUP(MAX(J828/IF(CD828&gt;0,CD828,MAX(0.1,N(Cockpit!$C$6))),CG828)/BV828,0)*BV828</f>
        <v>360</v>
      </c>
      <c r="AL828" s="51" t="n">
        <f aca="false">IF(AI828&gt;0,J828/AI828,-1)</f>
        <v>159.870967741936</v>
      </c>
      <c r="AM828" s="51" t="n">
        <f aca="false">IF(AND(OR(CC828="L1",CC828="L23",CC828="LIFT"),AI828&gt;0),SUMIFS($AI$7:$AI$1843,$CC$7:$CC$1843,CC828,$AL$7:$AL$1843,"&gt;"&amp;AL828)+SUMIFS($AI$7:$AI$1843,$CC$7:$CC$1843,CC828,$AL$7:$AL$1843,AL828,$BT$7:$BT$1843,"&lt;="&amp;BT828),"")</f>
        <v>421.415293040293</v>
      </c>
      <c r="AN828" s="58" t="n">
        <f aca="false">IF(AM828="",0,MAX(0,MIN(1,(IF(CC828="L1",Parameter!$H$5,IF(CC828="L23",Parameter!$H$6+Parameter!$H$7,Parameter!$H$5+Parameter!$H$6+Parameter!$H$7))-(AM828-AI828))/AI828)))</f>
        <v>1</v>
      </c>
      <c r="AO828" s="50" t="n">
        <f aca="false">IF(LEFT(Cockpit!$I$5,1)="A",H828,IF(CE828=1,CF828,IF(LEFT(Cockpit!$I$5,1)="B",AT828,MAX(AT828,H828))))</f>
        <v>360</v>
      </c>
      <c r="AP828" s="50" t="n">
        <f aca="false">IF(BW828=1,0,ROUNDUP(AO828/BV828,0))</f>
        <v>1</v>
      </c>
      <c r="AQ828" s="52" t="n">
        <f aca="false">IF(CL828&gt;0,CL828*MAX(1,AO828/X828),IF(BW828=1,IF(AO828&lt;=0,0,CA828*MAX(1,IF(H828&gt;0,AO828/H828,1))),IF(R828&gt;0,AP828/R828,0))/MAX(0.1,N(Parameter!$M$21)))</f>
        <v>0.00714285714285714</v>
      </c>
      <c r="AR828" s="50" t="n">
        <f aca="false">AQ828*BY828</f>
        <v>1.10714285714286</v>
      </c>
      <c r="AS828" s="50" t="n">
        <f aca="false">AO828*G828</f>
        <v>50.4</v>
      </c>
      <c r="AT828" s="50" t="n">
        <f aca="false">ROUNDUP(MAX(J828/IF(CD828&gt;0,CD828,MAX(0.1,N(Cockpit!$I$6))),CG828)/BV828,0)*BV828</f>
        <v>360</v>
      </c>
      <c r="AU828" s="51" t="n">
        <f aca="false">IF(AR828&gt;0,J828/AR828,-1)</f>
        <v>159.870967741936</v>
      </c>
      <c r="AV828" s="51" t="n">
        <f aca="false">IF(AND(OR(CC828="L1",CC828="L23",CC828="LIFT"),AR828&gt;0),SUMIFS($AR$7:$AR$1843,$CC$7:$CC$1843,CC828,$AU$7:$AU$1843,"&gt;"&amp;AU828)+SUMIFS($AR$7:$AR$1843,$CC$7:$CC$1843,CC828,$AU$7:$AU$1843,AU828,$BT$7:$BT$1843,"&lt;="&amp;BT828),"")</f>
        <v>478.262820512821</v>
      </c>
      <c r="AW828" s="58" t="n">
        <f aca="false">IF(AV828="",0,MAX(0,MIN(1,(IF(CC828="L1",Parameter!$H$5,IF(CC828="L23",Parameter!$H$6+Parameter!$H$7,Parameter!$H$5+Parameter!$H$6+Parameter!$H$7))-(AV828-AR828))/AR828)))</f>
        <v>1</v>
      </c>
      <c r="AX828" s="50" t="n">
        <f aca="false">IF(LEFT(Cockpit!$O$5,1)="A",H828,IF(CE828=1,CF828,IF(LEFT(Cockpit!$O$5,1)="B",BC828,MAX(BC828,H828))))</f>
        <v>360</v>
      </c>
      <c r="AY828" s="50" t="n">
        <f aca="false">IF(BW828=1,0,ROUNDUP(AX828/BV828,0))</f>
        <v>1</v>
      </c>
      <c r="AZ828" s="52" t="n">
        <f aca="false">IF(CL828&gt;0,CL828*MAX(1,AX828/X828),IF(BW828=1,IF(AX828&lt;=0,0,CA828*MAX(1,IF(H828&gt;0,AX828/H828,1))),IF(R828&gt;0,AY828/R828,0))/MAX(0.1,N(Parameter!$M$21)))</f>
        <v>0.00714285714285714</v>
      </c>
      <c r="BA828" s="50" t="n">
        <f aca="false">AZ828*BY828</f>
        <v>1.10714285714286</v>
      </c>
      <c r="BB828" s="50" t="n">
        <f aca="false">AX828*G828</f>
        <v>50.4</v>
      </c>
      <c r="BC828" s="50" t="n">
        <f aca="false">ROUNDUP(MAX(J828/IF(CD828&gt;0,CD828,MAX(0.1,N(Cockpit!$O$6))),CG828)/BV828,0)*BV828</f>
        <v>360</v>
      </c>
      <c r="BD828" s="51" t="n">
        <f aca="false">IF(BA828&gt;0,J828/BA828,-1)</f>
        <v>159.870967741936</v>
      </c>
      <c r="BE828" s="51" t="n">
        <f aca="false">IF(AND(OR(CC828="L1",CC828="L23",CC828="LIFT"),BA828&gt;0),SUMIFS($BA$7:$BA$1843,$CC$7:$CC$1843,CC828,$BD$7:$BD$1843,"&gt;"&amp;BD828)+SUMIFS($BA$7:$BA$1843,$CC$7:$CC$1843,CC828,$BD$7:$BD$1843,BD828,$BT$7:$BT$1843,"&lt;="&amp;BT828),"")</f>
        <v>540.201923076923</v>
      </c>
      <c r="BF828" s="58" t="n">
        <f aca="false">IF(BE828="",0,MAX(0,MIN(1,(IF(CC828="L1",Parameter!$H$5,IF(CC828="L23",Parameter!$H$6+Parameter!$H$7,Parameter!$H$5+Parameter!$H$6+Parameter!$H$7))-(BE828-BA828))/BA828)))</f>
        <v>1</v>
      </c>
      <c r="BG828" s="48" t="str">
        <f aca="false">IF(AI828&lt;=0,"",IF(CC828="Aussen","Aussenlager",IF(CC828="-","Nicht im Lift",IF(AN828&gt;=1,"Lift",IF(AN828&lt;=0,"Aussenlager","teilweise")))))</f>
        <v>Lift</v>
      </c>
      <c r="BH828" s="48" t="str">
        <f aca="false">IF(AR828&lt;=0,"",IF(CC828="Aussen","Aussenlager",IF(CC828="-","Nicht im Lift",IF(AW828&gt;=1,"Lift",IF(AW828&lt;=0,"Aussenlager","teilweise")))))</f>
        <v>Lift</v>
      </c>
      <c r="BI828" s="48" t="str">
        <f aca="false">IF(BA828&lt;=0,"",IF(CC828="Aussen","Aussenlager",IF(CC828="-","Nicht im Lift",IF(BF828&gt;=1,"Lift",IF(BF828&lt;=0,"Aussenlager","teilweise")))))</f>
        <v>Lift</v>
      </c>
      <c r="BJ828" s="48" t="str">
        <f aca="false">IF(A828="","",IF(BS828=1,"Neu; ","")&amp;IF(AND(BS828=0,BN828&lt;0),"negativer Bestand (Export "&amp;BN828&amp;"); ","")&amp;IF(J828&lt;=0,"Kein Verbrauch; ","")&amp;IF(CL828&gt;0,"Lift "&amp;W828&amp;" lt. Liftbericht (Fach "&amp;X828&amp;" Stk); ",IF(BX828=1,"Gebinde geschätzt ("&amp;T828&amp;"); ",IF(BW828=1,"Lose – Tablare geschätzt; ","")))&amp;IF(H828&gt;AT828,"Überbestand "&amp;ROUND(H828-AT828,0)&amp;" Stk / CHF "&amp;ROUND((H828-AT828)*G828,0)&amp;"; ","")&amp;IF(AND(CE828=1,CF828&lt;CG828),"MAX &lt; MB+LG; ","")&amp;IF(AND(CK828&gt;0,CJ828*10&gt;CK828),"zu hoch für Tablar; ","")&amp;IF(AND(BS828=0,OR(CE828=1,AA828&lt;&gt;"",U828&lt;&gt;"",V828&lt;&gt;"",AB828&lt;&gt;"")),"manuell übersteuert; ","")&amp;IF(AND(BW828=0,R828=0),"Gebinde unbekannt / Stellmass fehlt; ","")&amp;IF(AND(BW828=0,N(V828)&lt;=0,N(Q828)&lt;=0),"Menge pro Gebinde fehlt (Ist = 1 Gebinde); ","")&amp;BR828)</f>
        <v>negativer Bestand (Export -76); </v>
      </c>
      <c r="BK828" s="48"/>
      <c r="BL828" s="48"/>
      <c r="BM828" s="55"/>
      <c r="BN828" s="50" t="n">
        <v>-76</v>
      </c>
      <c r="BO828" s="50" t="n">
        <v>194</v>
      </c>
      <c r="BP828" s="49" t="n">
        <v>-10.64</v>
      </c>
      <c r="BQ828" s="50" t="n">
        <v>177</v>
      </c>
      <c r="BR828" s="48"/>
      <c r="BS828" s="53" t="n">
        <v>0</v>
      </c>
      <c r="BT828" s="53" t="n">
        <v>828</v>
      </c>
      <c r="BU828" s="48" t="str">
        <f aca="false">IF(U828&lt;&gt;"",UPPER(TRIM(U828)),IF(BX828=1,UPPER(VLOOKUP(T828,Parameter!$I$27:$K$29,2,0)),IF(P828="","LOSE",P828)))</f>
        <v>S22</v>
      </c>
      <c r="BV828" s="50" t="n">
        <f aca="false">IF(BU828="LOSE",1,IF(N(V828)&gt;0,V828,IF(BX828=1,MAX(1,N(VLOOKUP(T828,Parameter!$I$27:$K$29,3,0)),H828,N(N828)),IF(N(Q828)&gt;0,Q828,MAX(1,H828)))))</f>
        <v>360</v>
      </c>
      <c r="BW828" s="53" t="n">
        <f aca="false">IF(BU828="LOSE",1,0)</f>
        <v>0</v>
      </c>
      <c r="BX828" s="53" t="n">
        <f aca="false">IF(AND(U828="",OR(P828="",P828="LOSE"),T828&lt;&gt;"",N(S828)&lt;=0,ISNUMBER(MATCH(T828,Parameter!$I$27:$I$29,0))),1,0)</f>
        <v>0</v>
      </c>
      <c r="BY828" s="53" t="n">
        <f aca="false">IF(CL828&gt;0,INDEX(Parameter!$H$5:$H$7,W828)/INDEX(Parameter!$E$5:$E$7,W828),IF(AND(BW828=0,N(IFERROR(VLOOKUP(BU828,'Gebinde-Kategorie'!$A$5:$N$45,14,0),0))&gt;0),VLOOKUP(BU828,'Gebinde-Kategorie'!$A$5:$N$45,14,0)*10+Parameter!$M$23,Parameter!$M$24))</f>
        <v>155</v>
      </c>
      <c r="BZ828" s="48" t="str">
        <f aca="false">IF(AND(Parameter!$B$19="Ja",E828&lt;&gt;"",ISNUMBER(MATCH(E828,Parameter!$I$35:$I$52,0))),VLOOKUP(E828,Parameter!$I$35:$J$52,2,0),IFERROR(VLOOKUP(D828,Parameter!$A$35:$C$64,2,0),"Nein"))</f>
        <v>2+3</v>
      </c>
      <c r="CA828" s="52" t="n">
        <f aca="false">IF(BW828=0,0,IF(N(S828)&gt;0,S828,IFERROR(VLOOKUP(D828,Parameter!$A$35:$C$64,3,0)+0,0)))</f>
        <v>0</v>
      </c>
      <c r="CB828" s="48" t="n">
        <f aca="false">IF(AA828&lt;&gt;"",AA828,Z828)</f>
        <v>3</v>
      </c>
      <c r="CC828" s="48" t="str">
        <f aca="false">IF(OR(CB828=1,CB828=2,CB828=3),IF(Parameter!$E$27="Ja","LIFT",IF(CB828=1,"L1","L23")),IF(CB828="Aussen","Aussen","-"))</f>
        <v>LIFT</v>
      </c>
      <c r="CD828" s="59" t="n">
        <f aca="false">IF(N(AB828)&gt;0,AB828,0)</f>
        <v>0</v>
      </c>
      <c r="CE828" s="53" t="n">
        <f aca="false">IF(ISNUMBER(AE828),1,0)</f>
        <v>0</v>
      </c>
      <c r="CF828" s="50" t="n">
        <f aca="false">N(AE828)</f>
        <v>0</v>
      </c>
      <c r="CG828" s="50" t="n">
        <f aca="false">N(M828)+N(N828)</f>
        <v>181</v>
      </c>
      <c r="CH828" s="50" t="n">
        <f aca="false">ROUNDUP(H828/BV828,0)</f>
        <v>1</v>
      </c>
      <c r="CI828" s="50" t="n">
        <f aca="false">ROUNDUP(CF828/BV828,0)</f>
        <v>0</v>
      </c>
      <c r="CJ828" s="53" t="n">
        <f aca="false">IF(BW828=1,0,IFERROR(VLOOKUP(BU828,'Gebinde-Kategorie'!$A$5:$N$45,5,0)+0,0))</f>
        <v>8</v>
      </c>
      <c r="CK828" s="53" t="n">
        <f aca="false">IFERROR(IF(OR(CB828=1,CB828=2,CB828=3),N(INDEX(Parameter!$I$5:$I$7,CB828)),0),0)</f>
        <v>0</v>
      </c>
      <c r="CL828" s="52" t="n">
        <f aca="false">IF(AND(Parameter!$B$21="Ja",ISNUMBER(W828),N(X828)&gt;0),IFERROR(N(INDEX(Parameter!$L$5:$L$7,W828))*INDEX(Parameter!$E$5:$E$7,W828)*X828/SUMIFS($X$7:$X$1843,$W$7:$W$1843,W828),0),0)</f>
        <v>0</v>
      </c>
    </row>
    <row r="829" customFormat="false" ht="15" hidden="false" customHeight="false" outlineLevel="0" collapsed="false">
      <c r="A829" s="48" t="s">
        <v>1600</v>
      </c>
      <c r="B829" s="48" t="s">
        <v>409</v>
      </c>
      <c r="C829" s="48" t="s">
        <v>168</v>
      </c>
      <c r="D829" s="48" t="s">
        <v>188</v>
      </c>
      <c r="E829" s="48" t="s">
        <v>189</v>
      </c>
      <c r="F829" s="48" t="s">
        <v>222</v>
      </c>
      <c r="G829" s="49" t="n">
        <v>0.14</v>
      </c>
      <c r="H829" s="50" t="n">
        <f aca="false">MAX(0,IF(AND(Parameter!$B$21="Ja",ISNUMBER(Y829)),Y829,IF(Parameter!$B$20="Jahresanfang 2025 + Export",BO829+BN829,BN829)))</f>
        <v>250</v>
      </c>
      <c r="I829" s="50" t="n">
        <f aca="false">H829*G829</f>
        <v>35</v>
      </c>
      <c r="J829" s="50" t="n">
        <f aca="false">BQ829*Parameter!$B$18</f>
        <v>40</v>
      </c>
      <c r="K829" s="51" t="n">
        <v>296.5</v>
      </c>
      <c r="L829" s="52" t="n">
        <v>0.134907251264756</v>
      </c>
      <c r="M829" s="50" t="n">
        <v>1</v>
      </c>
      <c r="N829" s="50" t="n">
        <v>40</v>
      </c>
      <c r="O829" s="53" t="n">
        <v>14</v>
      </c>
      <c r="P829" s="48" t="s">
        <v>425</v>
      </c>
      <c r="Q829" s="50" t="n">
        <v>411</v>
      </c>
      <c r="R829" s="53" t="n">
        <f aca="false">IF(BW829=1,0,IFERROR(VLOOKUP(BU829,'Gebinde-Kategorie'!$A$5:$N$45,13,0)+0,0))</f>
        <v>104</v>
      </c>
      <c r="S829" s="54"/>
      <c r="T829" s="55"/>
      <c r="U829" s="55"/>
      <c r="V829" s="55"/>
      <c r="W829" s="48"/>
      <c r="X829" s="50"/>
      <c r="Y829" s="50"/>
      <c r="Z829" s="48" t="n">
        <f aca="false">IF(A829="","",IF(AND(Parameter!$B$21="Ja",ISNUMBER(W829)),W829,IF(BZ829="2+3",IF(ISNUMBER(SEARCH("grosser Artikel",BR829)),2,IFERROR(VLOOKUP(BU829,Parameter!$F$35:$G$64,2,0),2)),IF(OR(BZ829="Nein",BZ829=""),"-",BZ829))))</f>
        <v>3</v>
      </c>
      <c r="AA829" s="55"/>
      <c r="AB829" s="56"/>
      <c r="AC829" s="50" t="n">
        <f aca="false">AT829</f>
        <v>411</v>
      </c>
      <c r="AD829" s="50" t="n">
        <f aca="false">MAX(AT829,H829)</f>
        <v>411</v>
      </c>
      <c r="AE829" s="57"/>
      <c r="AF829" s="50" t="n">
        <f aca="false">IF(LEFT(Cockpit!$C$5,1)="A",H829,IF(CE829=1,CF829,IF(LEFT(Cockpit!$C$5,1)="B",AK829,MAX(AK829,H829))))</f>
        <v>250</v>
      </c>
      <c r="AG829" s="50" t="n">
        <f aca="false">IF(BW829=1,0,ROUNDUP(AF829/BV829,0))</f>
        <v>1</v>
      </c>
      <c r="AH829" s="52" t="n">
        <f aca="false">IF(CL829&gt;0,CL829*MAX(1,AF829/X829),IF(BW829=1,IF(AF829&lt;=0,0,CA829*MAX(1,IF(H829&gt;0,AF829/H829,1))),IF(R829&gt;0,AG829/R829,0))/MAX(0.1,N(Parameter!$M$21)))</f>
        <v>0.00961538461538462</v>
      </c>
      <c r="AI829" s="50" t="n">
        <f aca="false">AH829*BY829</f>
        <v>1.49038461538462</v>
      </c>
      <c r="AJ829" s="50" t="n">
        <f aca="false">AF829*G829</f>
        <v>35</v>
      </c>
      <c r="AK829" s="50" t="n">
        <f aca="false">ROUNDUP(MAX(J829/IF(CD829&gt;0,CD829,MAX(0.1,N(Cockpit!$C$6))),CG829)/BV829,0)*BV829</f>
        <v>411</v>
      </c>
      <c r="AL829" s="51" t="n">
        <f aca="false">IF(AI829&gt;0,J829/AI829,-1)</f>
        <v>26.8387096774194</v>
      </c>
      <c r="AM829" s="51" t="n">
        <f aca="false">IF(AND(OR(CC829="L1",CC829="L23",CC829="LIFT"),AI829&gt;0),SUMIFS($AI$7:$AI$1843,$CC$7:$CC$1843,CC829,$AL$7:$AL$1843,"&gt;"&amp;AL829)+SUMIFS($AI$7:$AI$1843,$CC$7:$CC$1843,CC829,$AL$7:$AL$1843,AL829,$BT$7:$BT$1843,"&lt;="&amp;BT829),"")</f>
        <v>1504.52152014652</v>
      </c>
      <c r="AN829" s="58" t="n">
        <f aca="false">IF(AM829="",0,MAX(0,MIN(1,(IF(CC829="L1",Parameter!$H$5,IF(CC829="L23",Parameter!$H$6+Parameter!$H$7,Parameter!$H$5+Parameter!$H$6+Parameter!$H$7))-(AM829-AI829))/AI829)))</f>
        <v>1</v>
      </c>
      <c r="AO829" s="50" t="n">
        <f aca="false">IF(LEFT(Cockpit!$I$5,1)="A",H829,IF(CE829=1,CF829,IF(LEFT(Cockpit!$I$5,1)="B",AT829,MAX(AT829,H829))))</f>
        <v>411</v>
      </c>
      <c r="AP829" s="50" t="n">
        <f aca="false">IF(BW829=1,0,ROUNDUP(AO829/BV829,0))</f>
        <v>1</v>
      </c>
      <c r="AQ829" s="52" t="n">
        <f aca="false">IF(CL829&gt;0,CL829*MAX(1,AO829/X829),IF(BW829=1,IF(AO829&lt;=0,0,CA829*MAX(1,IF(H829&gt;0,AO829/H829,1))),IF(R829&gt;0,AP829/R829,0))/MAX(0.1,N(Parameter!$M$21)))</f>
        <v>0.00961538461538462</v>
      </c>
      <c r="AR829" s="50" t="n">
        <f aca="false">AQ829*BY829</f>
        <v>1.49038461538462</v>
      </c>
      <c r="AS829" s="50" t="n">
        <f aca="false">AO829*G829</f>
        <v>57.54</v>
      </c>
      <c r="AT829" s="50" t="n">
        <f aca="false">ROUNDUP(MAX(J829/IF(CD829&gt;0,CD829,MAX(0.1,N(Cockpit!$I$6))),CG829)/BV829,0)*BV829</f>
        <v>411</v>
      </c>
      <c r="AU829" s="51" t="n">
        <f aca="false">IF(AR829&gt;0,J829/AR829,-1)</f>
        <v>26.8387096774194</v>
      </c>
      <c r="AV829" s="51" t="n">
        <f aca="false">IF(AND(OR(CC829="L1",CC829="L23",CC829="LIFT"),AR829&gt;0),SUMIFS($AR$7:$AR$1843,$CC$7:$CC$1843,CC829,$AU$7:$AU$1843,"&gt;"&amp;AU829)+SUMIFS($AR$7:$AR$1843,$CC$7:$CC$1843,CC829,$AU$7:$AU$1843,AU829,$BT$7:$BT$1843,"&lt;="&amp;BT829),"")</f>
        <v>2020.88278388278</v>
      </c>
      <c r="AW829" s="58" t="n">
        <f aca="false">IF(AV829="",0,MAX(0,MIN(1,(IF(CC829="L1",Parameter!$H$5,IF(CC829="L23",Parameter!$H$6+Parameter!$H$7,Parameter!$H$5+Parameter!$H$6+Parameter!$H$7))-(AV829-AR829))/AR829)))</f>
        <v>1</v>
      </c>
      <c r="AX829" s="50" t="n">
        <f aca="false">IF(LEFT(Cockpit!$O$5,1)="A",H829,IF(CE829=1,CF829,IF(LEFT(Cockpit!$O$5,1)="B",BC829,MAX(BC829,H829))))</f>
        <v>411</v>
      </c>
      <c r="AY829" s="50" t="n">
        <f aca="false">IF(BW829=1,0,ROUNDUP(AX829/BV829,0))</f>
        <v>1</v>
      </c>
      <c r="AZ829" s="52" t="n">
        <f aca="false">IF(CL829&gt;0,CL829*MAX(1,AX829/X829),IF(BW829=1,IF(AX829&lt;=0,0,CA829*MAX(1,IF(H829&gt;0,AX829/H829,1))),IF(R829&gt;0,AY829/R829,0))/MAX(0.1,N(Parameter!$M$21)))</f>
        <v>0.00961538461538462</v>
      </c>
      <c r="BA829" s="50" t="n">
        <f aca="false">AZ829*BY829</f>
        <v>1.49038461538462</v>
      </c>
      <c r="BB829" s="50" t="n">
        <f aca="false">AX829*G829</f>
        <v>57.54</v>
      </c>
      <c r="BC829" s="50" t="n">
        <f aca="false">ROUNDUP(MAX(J829/IF(CD829&gt;0,CD829,MAX(0.1,N(Cockpit!$O$6))),CG829)/BV829,0)*BV829</f>
        <v>411</v>
      </c>
      <c r="BD829" s="51" t="n">
        <f aca="false">IF(BA829&gt;0,J829/BA829,-1)</f>
        <v>26.8387096774194</v>
      </c>
      <c r="BE829" s="51" t="n">
        <f aca="false">IF(AND(OR(CC829="L1",CC829="L23",CC829="LIFT"),BA829&gt;0),SUMIFS($BA$7:$BA$1843,$CC$7:$CC$1843,CC829,$BD$7:$BD$1843,"&gt;"&amp;BD829)+SUMIFS($BA$7:$BA$1843,$CC$7:$CC$1843,CC829,$BD$7:$BD$1843,BD829,$BT$7:$BT$1843,"&lt;="&amp;BT829),"")</f>
        <v>2106.47573260073</v>
      </c>
      <c r="BF829" s="58" t="n">
        <f aca="false">IF(BE829="",0,MAX(0,MIN(1,(IF(CC829="L1",Parameter!$H$5,IF(CC829="L23",Parameter!$H$6+Parameter!$H$7,Parameter!$H$5+Parameter!$H$6+Parameter!$H$7))-(BE829-BA829))/BA829)))</f>
        <v>1</v>
      </c>
      <c r="BG829" s="48" t="str">
        <f aca="false">IF(AI829&lt;=0,"",IF(CC829="Aussen","Aussenlager",IF(CC829="-","Nicht im Lift",IF(AN829&gt;=1,"Lift",IF(AN829&lt;=0,"Aussenlager","teilweise")))))</f>
        <v>Lift</v>
      </c>
      <c r="BH829" s="48" t="str">
        <f aca="false">IF(AR829&lt;=0,"",IF(CC829="Aussen","Aussenlager",IF(CC829="-","Nicht im Lift",IF(AW829&gt;=1,"Lift",IF(AW829&lt;=0,"Aussenlager","teilweise")))))</f>
        <v>Lift</v>
      </c>
      <c r="BI829" s="48" t="str">
        <f aca="false">IF(BA829&lt;=0,"",IF(CC829="Aussen","Aussenlager",IF(CC829="-","Nicht im Lift",IF(BF829&gt;=1,"Lift",IF(BF829&lt;=0,"Aussenlager","teilweise")))))</f>
        <v>Lift</v>
      </c>
      <c r="BJ829" s="48" t="str">
        <f aca="false">IF(A829="","",IF(BS829=1,"Neu; ","")&amp;IF(AND(BS829=0,BN829&lt;0),"negativer Bestand (Export "&amp;BN829&amp;"); ","")&amp;IF(J829&lt;=0,"Kein Verbrauch; ","")&amp;IF(CL829&gt;0,"Lift "&amp;W829&amp;" lt. Liftbericht (Fach "&amp;X829&amp;" Stk); ",IF(BX829=1,"Gebinde geschätzt ("&amp;T829&amp;"); ",IF(BW829=1,"Lose – Tablare geschätzt; ","")))&amp;IF(H829&gt;AT829,"Überbestand "&amp;ROUND(H829-AT829,0)&amp;" Stk / CHF "&amp;ROUND((H829-AT829)*G829,0)&amp;"; ","")&amp;IF(AND(CE829=1,CF829&lt;CG829),"MAX &lt; MB+LG; ","")&amp;IF(AND(CK829&gt;0,CJ829*10&gt;CK829),"zu hoch für Tablar; ","")&amp;IF(AND(BS829=0,OR(CE829=1,AA829&lt;&gt;"",U829&lt;&gt;"",V829&lt;&gt;"",AB829&lt;&gt;"")),"manuell übersteuert; ","")&amp;IF(AND(BW829=0,R829=0),"Gebinde unbekannt / Stellmass fehlt; ","")&amp;IF(AND(BW829=0,N(V829)&lt;=0,N(Q829)&lt;=0),"Menge pro Gebinde fehlt (Ist = 1 Gebinde); ","")&amp;BR829)</f>
        <v>negativer Bestand (Export -76); </v>
      </c>
      <c r="BK829" s="48"/>
      <c r="BL829" s="48"/>
      <c r="BM829" s="55"/>
      <c r="BN829" s="50" t="n">
        <v>-76</v>
      </c>
      <c r="BO829" s="50" t="n">
        <v>326</v>
      </c>
      <c r="BP829" s="49" t="n">
        <v>-10.64</v>
      </c>
      <c r="BQ829" s="50" t="n">
        <v>40</v>
      </c>
      <c r="BR829" s="48"/>
      <c r="BS829" s="53" t="n">
        <v>0</v>
      </c>
      <c r="BT829" s="53" t="n">
        <v>829</v>
      </c>
      <c r="BU829" s="48" t="str">
        <f aca="false">IF(U829&lt;&gt;"",UPPER(TRIM(U829)),IF(BX829=1,UPPER(VLOOKUP(T829,Parameter!$I$27:$K$29,2,0)),IF(P829="","LOSE",P829)))</f>
        <v>S32</v>
      </c>
      <c r="BV829" s="50" t="n">
        <f aca="false">IF(BU829="LOSE",1,IF(N(V829)&gt;0,V829,IF(BX829=1,MAX(1,N(VLOOKUP(T829,Parameter!$I$27:$K$29,3,0)),H829,N(N829)),IF(N(Q829)&gt;0,Q829,MAX(1,H829)))))</f>
        <v>411</v>
      </c>
      <c r="BW829" s="53" t="n">
        <f aca="false">IF(BU829="LOSE",1,0)</f>
        <v>0</v>
      </c>
      <c r="BX829" s="53" t="n">
        <f aca="false">IF(AND(U829="",OR(P829="",P829="LOSE"),T829&lt;&gt;"",N(S829)&lt;=0,ISNUMBER(MATCH(T829,Parameter!$I$27:$I$29,0))),1,0)</f>
        <v>0</v>
      </c>
      <c r="BY829" s="53" t="n">
        <f aca="false">IF(CL829&gt;0,INDEX(Parameter!$H$5:$H$7,W829)/INDEX(Parameter!$E$5:$E$7,W829),IF(AND(BW829=0,N(IFERROR(VLOOKUP(BU829,'Gebinde-Kategorie'!$A$5:$N$45,14,0),0))&gt;0),VLOOKUP(BU829,'Gebinde-Kategorie'!$A$5:$N$45,14,0)*10+Parameter!$M$23,Parameter!$M$24))</f>
        <v>155</v>
      </c>
      <c r="BZ829" s="48" t="str">
        <f aca="false">IF(AND(Parameter!$B$19="Ja",E829&lt;&gt;"",ISNUMBER(MATCH(E829,Parameter!$I$35:$I$52,0))),VLOOKUP(E829,Parameter!$I$35:$J$52,2,0),IFERROR(VLOOKUP(D829,Parameter!$A$35:$C$64,2,0),"Nein"))</f>
        <v>2+3</v>
      </c>
      <c r="CA829" s="52" t="n">
        <f aca="false">IF(BW829=0,0,IF(N(S829)&gt;0,S829,IFERROR(VLOOKUP(D829,Parameter!$A$35:$C$64,3,0)+0,0)))</f>
        <v>0</v>
      </c>
      <c r="CB829" s="48" t="n">
        <f aca="false">IF(AA829&lt;&gt;"",AA829,Z829)</f>
        <v>3</v>
      </c>
      <c r="CC829" s="48" t="str">
        <f aca="false">IF(OR(CB829=1,CB829=2,CB829=3),IF(Parameter!$E$27="Ja","LIFT",IF(CB829=1,"L1","L23")),IF(CB829="Aussen","Aussen","-"))</f>
        <v>LIFT</v>
      </c>
      <c r="CD829" s="59" t="n">
        <f aca="false">IF(N(AB829)&gt;0,AB829,0)</f>
        <v>0</v>
      </c>
      <c r="CE829" s="53" t="n">
        <f aca="false">IF(ISNUMBER(AE829),1,0)</f>
        <v>0</v>
      </c>
      <c r="CF829" s="50" t="n">
        <f aca="false">N(AE829)</f>
        <v>0</v>
      </c>
      <c r="CG829" s="50" t="n">
        <f aca="false">N(M829)+N(N829)</f>
        <v>41</v>
      </c>
      <c r="CH829" s="50" t="n">
        <f aca="false">ROUNDUP(H829/BV829,0)</f>
        <v>1</v>
      </c>
      <c r="CI829" s="50" t="n">
        <f aca="false">ROUNDUP(CF829/BV829,0)</f>
        <v>0</v>
      </c>
      <c r="CJ829" s="53" t="n">
        <f aca="false">IF(BW829=1,0,IFERROR(VLOOKUP(BU829,'Gebinde-Kategorie'!$A$5:$N$45,5,0)+0,0))</f>
        <v>8</v>
      </c>
      <c r="CK829" s="53" t="n">
        <f aca="false">IFERROR(IF(OR(CB829=1,CB829=2,CB829=3),N(INDEX(Parameter!$I$5:$I$7,CB829)),0),0)</f>
        <v>0</v>
      </c>
      <c r="CL829" s="52" t="n">
        <f aca="false">IF(AND(Parameter!$B$21="Ja",ISNUMBER(W829),N(X829)&gt;0),IFERROR(N(INDEX(Parameter!$L$5:$L$7,W829))*INDEX(Parameter!$E$5:$E$7,W829)*X829/SUMIFS($X$7:$X$1843,$W$7:$W$1843,W829),0),0)</f>
        <v>0</v>
      </c>
    </row>
    <row r="830" customFormat="false" ht="15" hidden="false" customHeight="false" outlineLevel="0" collapsed="false">
      <c r="A830" s="48" t="s">
        <v>1601</v>
      </c>
      <c r="B830" s="48" t="s">
        <v>1602</v>
      </c>
      <c r="C830" s="48" t="s">
        <v>168</v>
      </c>
      <c r="D830" s="48" t="s">
        <v>188</v>
      </c>
      <c r="E830" s="48" t="s">
        <v>189</v>
      </c>
      <c r="F830" s="48" t="s">
        <v>222</v>
      </c>
      <c r="G830" s="49" t="n">
        <v>0.28</v>
      </c>
      <c r="H830" s="50" t="n">
        <f aca="false">MAX(0,IF(AND(Parameter!$B$21="Ja",ISNUMBER(Y830)),Y830,IF(Parameter!$B$20="Jahresanfang 2025 + Export",BO830+BN830,BN830)))</f>
        <v>25</v>
      </c>
      <c r="I830" s="50" t="n">
        <f aca="false">H830*G830</f>
        <v>7</v>
      </c>
      <c r="J830" s="50" t="n">
        <f aca="false">BQ830*Parameter!$B$18</f>
        <v>128</v>
      </c>
      <c r="K830" s="51" t="n">
        <v>44.5</v>
      </c>
      <c r="L830" s="52" t="n">
        <v>2.87640449438202</v>
      </c>
      <c r="M830" s="50" t="n">
        <v>7</v>
      </c>
      <c r="N830" s="50" t="n">
        <v>200</v>
      </c>
      <c r="O830" s="53" t="n">
        <v>2</v>
      </c>
      <c r="P830" s="48" t="s">
        <v>425</v>
      </c>
      <c r="Q830" s="50" t="n">
        <v>135</v>
      </c>
      <c r="R830" s="53" t="n">
        <f aca="false">IF(BW830=1,0,IFERROR(VLOOKUP(BU830,'Gebinde-Kategorie'!$A$5:$N$45,13,0)+0,0))</f>
        <v>104</v>
      </c>
      <c r="S830" s="54"/>
      <c r="T830" s="55"/>
      <c r="U830" s="55"/>
      <c r="V830" s="55"/>
      <c r="W830" s="48"/>
      <c r="X830" s="50"/>
      <c r="Y830" s="50"/>
      <c r="Z830" s="48" t="n">
        <f aca="false">IF(A830="","",IF(AND(Parameter!$B$21="Ja",ISNUMBER(W830)),W830,IF(BZ830="2+3",IF(ISNUMBER(SEARCH("grosser Artikel",BR830)),2,IFERROR(VLOOKUP(BU830,Parameter!$F$35:$G$64,2,0),2)),IF(OR(BZ830="Nein",BZ830=""),"-",BZ830))))</f>
        <v>3</v>
      </c>
      <c r="AA830" s="55"/>
      <c r="AB830" s="56"/>
      <c r="AC830" s="50" t="n">
        <f aca="false">AT830</f>
        <v>270</v>
      </c>
      <c r="AD830" s="50" t="n">
        <f aca="false">MAX(AT830,H830)</f>
        <v>270</v>
      </c>
      <c r="AE830" s="57"/>
      <c r="AF830" s="50" t="n">
        <f aca="false">IF(LEFT(Cockpit!$C$5,1)="A",H830,IF(CE830=1,CF830,IF(LEFT(Cockpit!$C$5,1)="B",AK830,MAX(AK830,H830))))</f>
        <v>25</v>
      </c>
      <c r="AG830" s="50" t="n">
        <f aca="false">IF(BW830=1,0,ROUNDUP(AF830/BV830,0))</f>
        <v>1</v>
      </c>
      <c r="AH830" s="52" t="n">
        <f aca="false">IF(CL830&gt;0,CL830*MAX(1,AF830/X830),IF(BW830=1,IF(AF830&lt;=0,0,CA830*MAX(1,IF(H830&gt;0,AF830/H830,1))),IF(R830&gt;0,AG830/R830,0))/MAX(0.1,N(Parameter!$M$21)))</f>
        <v>0.00961538461538462</v>
      </c>
      <c r="AI830" s="50" t="n">
        <f aca="false">AH830*BY830</f>
        <v>1.49038461538462</v>
      </c>
      <c r="AJ830" s="50" t="n">
        <f aca="false">AF830*G830</f>
        <v>7</v>
      </c>
      <c r="AK830" s="50" t="n">
        <f aca="false">ROUNDUP(MAX(J830/IF(CD830&gt;0,CD830,MAX(0.1,N(Cockpit!$C$6))),CG830)/BV830,0)*BV830</f>
        <v>270</v>
      </c>
      <c r="AL830" s="51" t="n">
        <f aca="false">IF(AI830&gt;0,J830/AI830,-1)</f>
        <v>85.8838709677419</v>
      </c>
      <c r="AM830" s="51" t="n">
        <f aca="false">IF(AND(OR(CC830="L1",CC830="L23",CC830="LIFT"),AI830&gt;0),SUMIFS($AI$7:$AI$1843,$CC$7:$CC$1843,CC830,$AL$7:$AL$1843,"&gt;"&amp;AL830)+SUMIFS($AI$7:$AI$1843,$CC$7:$CC$1843,CC830,$AL$7:$AL$1843,AL830,$BT$7:$BT$1843,"&lt;="&amp;BT830),"")</f>
        <v>841.348901098901</v>
      </c>
      <c r="AN830" s="58" t="n">
        <f aca="false">IF(AM830="",0,MAX(0,MIN(1,(IF(CC830="L1",Parameter!$H$5,IF(CC830="L23",Parameter!$H$6+Parameter!$H$7,Parameter!$H$5+Parameter!$H$6+Parameter!$H$7))-(AM830-AI830))/AI830)))</f>
        <v>1</v>
      </c>
      <c r="AO830" s="50" t="n">
        <f aca="false">IF(LEFT(Cockpit!$I$5,1)="A",H830,IF(CE830=1,CF830,IF(LEFT(Cockpit!$I$5,1)="B",AT830,MAX(AT830,H830))))</f>
        <v>270</v>
      </c>
      <c r="AP830" s="50" t="n">
        <f aca="false">IF(BW830=1,0,ROUNDUP(AO830/BV830,0))</f>
        <v>2</v>
      </c>
      <c r="AQ830" s="52" t="n">
        <f aca="false">IF(CL830&gt;0,CL830*MAX(1,AO830/X830),IF(BW830=1,IF(AO830&lt;=0,0,CA830*MAX(1,IF(H830&gt;0,AO830/H830,1))),IF(R830&gt;0,AP830/R830,0))/MAX(0.1,N(Parameter!$M$21)))</f>
        <v>0.0192307692307692</v>
      </c>
      <c r="AR830" s="50" t="n">
        <f aca="false">AQ830*BY830</f>
        <v>2.98076923076923</v>
      </c>
      <c r="AS830" s="50" t="n">
        <f aca="false">AO830*G830</f>
        <v>75.6</v>
      </c>
      <c r="AT830" s="50" t="n">
        <f aca="false">ROUNDUP(MAX(J830/IF(CD830&gt;0,CD830,MAX(0.1,N(Cockpit!$I$6))),CG830)/BV830,0)*BV830</f>
        <v>270</v>
      </c>
      <c r="AU830" s="51" t="n">
        <f aca="false">IF(AR830&gt;0,J830/AR830,-1)</f>
        <v>42.941935483871</v>
      </c>
      <c r="AV830" s="51" t="n">
        <f aca="false">IF(AND(OR(CC830="L1",CC830="L23",CC830="LIFT"),AR830&gt;0),SUMIFS($AR$7:$AR$1843,$CC$7:$CC$1843,CC830,$AU$7:$AU$1843,"&gt;"&amp;AU830)+SUMIFS($AR$7:$AR$1843,$CC$7:$CC$1843,CC830,$AU$7:$AU$1843,AU830,$BT$7:$BT$1843,"&lt;="&amp;BT830),"")</f>
        <v>1670.60943223443</v>
      </c>
      <c r="AW830" s="58" t="n">
        <f aca="false">IF(AV830="",0,MAX(0,MIN(1,(IF(CC830="L1",Parameter!$H$5,IF(CC830="L23",Parameter!$H$6+Parameter!$H$7,Parameter!$H$5+Parameter!$H$6+Parameter!$H$7))-(AV830-AR830))/AR830)))</f>
        <v>1</v>
      </c>
      <c r="AX830" s="50" t="n">
        <f aca="false">IF(LEFT(Cockpit!$O$5,1)="A",H830,IF(CE830=1,CF830,IF(LEFT(Cockpit!$O$5,1)="B",BC830,MAX(BC830,H830))))</f>
        <v>270</v>
      </c>
      <c r="AY830" s="50" t="n">
        <f aca="false">IF(BW830=1,0,ROUNDUP(AX830/BV830,0))</f>
        <v>2</v>
      </c>
      <c r="AZ830" s="52" t="n">
        <f aca="false">IF(CL830&gt;0,CL830*MAX(1,AX830/X830),IF(BW830=1,IF(AX830&lt;=0,0,CA830*MAX(1,IF(H830&gt;0,AX830/H830,1))),IF(R830&gt;0,AY830/R830,0))/MAX(0.1,N(Parameter!$M$21)))</f>
        <v>0.0192307692307692</v>
      </c>
      <c r="BA830" s="50" t="n">
        <f aca="false">AZ830*BY830</f>
        <v>2.98076923076923</v>
      </c>
      <c r="BB830" s="50" t="n">
        <f aca="false">AX830*G830</f>
        <v>75.6</v>
      </c>
      <c r="BC830" s="50" t="n">
        <f aca="false">ROUNDUP(MAX(J830/IF(CD830&gt;0,CD830,MAX(0.1,N(Cockpit!$O$6))),CG830)/BV830,0)*BV830</f>
        <v>270</v>
      </c>
      <c r="BD830" s="51" t="n">
        <f aca="false">IF(BA830&gt;0,J830/BA830,-1)</f>
        <v>42.941935483871</v>
      </c>
      <c r="BE830" s="51" t="n">
        <f aca="false">IF(AND(OR(CC830="L1",CC830="L23",CC830="LIFT"),BA830&gt;0),SUMIFS($BA$7:$BA$1843,$CC$7:$CC$1843,CC830,$BD$7:$BD$1843,"&gt;"&amp;BD830)+SUMIFS($BA$7:$BA$1843,$CC$7:$CC$1843,CC830,$BD$7:$BD$1843,BD830,$BT$7:$BT$1843,"&lt;="&amp;BT830),"")</f>
        <v>1535.5293040293</v>
      </c>
      <c r="BF830" s="58" t="n">
        <f aca="false">IF(BE830="",0,MAX(0,MIN(1,(IF(CC830="L1",Parameter!$H$5,IF(CC830="L23",Parameter!$H$6+Parameter!$H$7,Parameter!$H$5+Parameter!$H$6+Parameter!$H$7))-(BE830-BA830))/BA830)))</f>
        <v>1</v>
      </c>
      <c r="BG830" s="48" t="str">
        <f aca="false">IF(AI830&lt;=0,"",IF(CC830="Aussen","Aussenlager",IF(CC830="-","Nicht im Lift",IF(AN830&gt;=1,"Lift",IF(AN830&lt;=0,"Aussenlager","teilweise")))))</f>
        <v>Lift</v>
      </c>
      <c r="BH830" s="48" t="str">
        <f aca="false">IF(AR830&lt;=0,"",IF(CC830="Aussen","Aussenlager",IF(CC830="-","Nicht im Lift",IF(AW830&gt;=1,"Lift",IF(AW830&lt;=0,"Aussenlager","teilweise")))))</f>
        <v>Lift</v>
      </c>
      <c r="BI830" s="48" t="str">
        <f aca="false">IF(BA830&lt;=0,"",IF(CC830="Aussen","Aussenlager",IF(CC830="-","Nicht im Lift",IF(BF830&gt;=1,"Lift",IF(BF830&lt;=0,"Aussenlager","teilweise")))))</f>
        <v>Lift</v>
      </c>
      <c r="BJ830" s="48" t="str">
        <f aca="false">IF(A830="","",IF(BS830=1,"Neu; ","")&amp;IF(AND(BS830=0,BN830&lt;0),"negativer Bestand (Export "&amp;BN830&amp;"); ","")&amp;IF(J830&lt;=0,"Kein Verbrauch; ","")&amp;IF(CL830&gt;0,"Lift "&amp;W830&amp;" lt. Liftbericht (Fach "&amp;X830&amp;" Stk); ",IF(BX830=1,"Gebinde geschätzt ("&amp;T830&amp;"); ",IF(BW830=1,"Lose – Tablare geschätzt; ","")))&amp;IF(H830&gt;AT830,"Überbestand "&amp;ROUND(H830-AT830,0)&amp;" Stk / CHF "&amp;ROUND((H830-AT830)*G830,0)&amp;"; ","")&amp;IF(AND(CE830=1,CF830&lt;CG830),"MAX &lt; MB+LG; ","")&amp;IF(AND(CK830&gt;0,CJ830*10&gt;CK830),"zu hoch für Tablar; ","")&amp;IF(AND(BS830=0,OR(CE830=1,AA830&lt;&gt;"",U830&lt;&gt;"",V830&lt;&gt;"",AB830&lt;&gt;"")),"manuell übersteuert; ","")&amp;IF(AND(BW830=0,R830=0),"Gebinde unbekannt / Stellmass fehlt; ","")&amp;IF(AND(BW830=0,N(V830)&lt;=0,N(Q830)&lt;=0),"Menge pro Gebinde fehlt (Ist = 1 Gebinde); ","")&amp;BR830)</f>
        <v>negativer Bestand (Export -39); </v>
      </c>
      <c r="BK830" s="48"/>
      <c r="BL830" s="48"/>
      <c r="BM830" s="55"/>
      <c r="BN830" s="50" t="n">
        <v>-39</v>
      </c>
      <c r="BO830" s="50" t="n">
        <v>64</v>
      </c>
      <c r="BP830" s="49" t="n">
        <v>-10.92</v>
      </c>
      <c r="BQ830" s="50" t="n">
        <v>128</v>
      </c>
      <c r="BR830" s="48"/>
      <c r="BS830" s="53" t="n">
        <v>0</v>
      </c>
      <c r="BT830" s="53" t="n">
        <v>830</v>
      </c>
      <c r="BU830" s="48" t="str">
        <f aca="false">IF(U830&lt;&gt;"",UPPER(TRIM(U830)),IF(BX830=1,UPPER(VLOOKUP(T830,Parameter!$I$27:$K$29,2,0)),IF(P830="","LOSE",P830)))</f>
        <v>S32</v>
      </c>
      <c r="BV830" s="50" t="n">
        <f aca="false">IF(BU830="LOSE",1,IF(N(V830)&gt;0,V830,IF(BX830=1,MAX(1,N(VLOOKUP(T830,Parameter!$I$27:$K$29,3,0)),H830,N(N830)),IF(N(Q830)&gt;0,Q830,MAX(1,H830)))))</f>
        <v>135</v>
      </c>
      <c r="BW830" s="53" t="n">
        <f aca="false">IF(BU830="LOSE",1,0)</f>
        <v>0</v>
      </c>
      <c r="BX830" s="53" t="n">
        <f aca="false">IF(AND(U830="",OR(P830="",P830="LOSE"),T830&lt;&gt;"",N(S830)&lt;=0,ISNUMBER(MATCH(T830,Parameter!$I$27:$I$29,0))),1,0)</f>
        <v>0</v>
      </c>
      <c r="BY830" s="53" t="n">
        <f aca="false">IF(CL830&gt;0,INDEX(Parameter!$H$5:$H$7,W830)/INDEX(Parameter!$E$5:$E$7,W830),IF(AND(BW830=0,N(IFERROR(VLOOKUP(BU830,'Gebinde-Kategorie'!$A$5:$N$45,14,0),0))&gt;0),VLOOKUP(BU830,'Gebinde-Kategorie'!$A$5:$N$45,14,0)*10+Parameter!$M$23,Parameter!$M$24))</f>
        <v>155</v>
      </c>
      <c r="BZ830" s="48" t="str">
        <f aca="false">IF(AND(Parameter!$B$19="Ja",E830&lt;&gt;"",ISNUMBER(MATCH(E830,Parameter!$I$35:$I$52,0))),VLOOKUP(E830,Parameter!$I$35:$J$52,2,0),IFERROR(VLOOKUP(D830,Parameter!$A$35:$C$64,2,0),"Nein"))</f>
        <v>2+3</v>
      </c>
      <c r="CA830" s="52" t="n">
        <f aca="false">IF(BW830=0,0,IF(N(S830)&gt;0,S830,IFERROR(VLOOKUP(D830,Parameter!$A$35:$C$64,3,0)+0,0)))</f>
        <v>0</v>
      </c>
      <c r="CB830" s="48" t="n">
        <f aca="false">IF(AA830&lt;&gt;"",AA830,Z830)</f>
        <v>3</v>
      </c>
      <c r="CC830" s="48" t="str">
        <f aca="false">IF(OR(CB830=1,CB830=2,CB830=3),IF(Parameter!$E$27="Ja","LIFT",IF(CB830=1,"L1","L23")),IF(CB830="Aussen","Aussen","-"))</f>
        <v>LIFT</v>
      </c>
      <c r="CD830" s="59" t="n">
        <f aca="false">IF(N(AB830)&gt;0,AB830,0)</f>
        <v>0</v>
      </c>
      <c r="CE830" s="53" t="n">
        <f aca="false">IF(ISNUMBER(AE830),1,0)</f>
        <v>0</v>
      </c>
      <c r="CF830" s="50" t="n">
        <f aca="false">N(AE830)</f>
        <v>0</v>
      </c>
      <c r="CG830" s="50" t="n">
        <f aca="false">N(M830)+N(N830)</f>
        <v>207</v>
      </c>
      <c r="CH830" s="50" t="n">
        <f aca="false">ROUNDUP(H830/BV830,0)</f>
        <v>1</v>
      </c>
      <c r="CI830" s="50" t="n">
        <f aca="false">ROUNDUP(CF830/BV830,0)</f>
        <v>0</v>
      </c>
      <c r="CJ830" s="53" t="n">
        <f aca="false">IF(BW830=1,0,IFERROR(VLOOKUP(BU830,'Gebinde-Kategorie'!$A$5:$N$45,5,0)+0,0))</f>
        <v>8</v>
      </c>
      <c r="CK830" s="53" t="n">
        <f aca="false">IFERROR(IF(OR(CB830=1,CB830=2,CB830=3),N(INDEX(Parameter!$I$5:$I$7,CB830)),0),0)</f>
        <v>0</v>
      </c>
      <c r="CL830" s="52" t="n">
        <f aca="false">IF(AND(Parameter!$B$21="Ja",ISNUMBER(W830),N(X830)&gt;0),IFERROR(N(INDEX(Parameter!$L$5:$L$7,W830))*INDEX(Parameter!$E$5:$E$7,W830)*X830/SUMIFS($X$7:$X$1843,$W$7:$W$1843,W830),0),0)</f>
        <v>0</v>
      </c>
    </row>
    <row r="831" customFormat="false" ht="15" hidden="false" customHeight="false" outlineLevel="0" collapsed="false">
      <c r="A831" s="48" t="s">
        <v>1603</v>
      </c>
      <c r="B831" s="48" t="s">
        <v>378</v>
      </c>
      <c r="C831" s="48" t="s">
        <v>168</v>
      </c>
      <c r="D831" s="48" t="s">
        <v>188</v>
      </c>
      <c r="E831" s="48"/>
      <c r="F831" s="48" t="s">
        <v>222</v>
      </c>
      <c r="G831" s="49" t="n">
        <v>1.1</v>
      </c>
      <c r="H831" s="50" t="n">
        <f aca="false">MAX(0,IF(AND(Parameter!$B$21="Ja",ISNUMBER(Y831)),Y831,IF(Parameter!$B$20="Jahresanfang 2025 + Export",BO831+BN831,BN831)))</f>
        <v>0</v>
      </c>
      <c r="I831" s="50" t="n">
        <f aca="false">H831*G831</f>
        <v>0</v>
      </c>
      <c r="J831" s="50" t="n">
        <f aca="false">BQ831*Parameter!$B$18</f>
        <v>0</v>
      </c>
      <c r="K831" s="51" t="n">
        <v>5</v>
      </c>
      <c r="L831" s="52" t="n">
        <v>0</v>
      </c>
      <c r="M831" s="50" t="n">
        <v>0</v>
      </c>
      <c r="N831" s="50" t="n">
        <v>1</v>
      </c>
      <c r="O831" s="53" t="n">
        <v>28</v>
      </c>
      <c r="P831" s="48" t="s">
        <v>172</v>
      </c>
      <c r="Q831" s="50"/>
      <c r="R831" s="53" t="n">
        <f aca="false">IF(BW831=1,0,IFERROR(VLOOKUP(BU831,'Gebinde-Kategorie'!$A$5:$N$45,13,0)+0,0))</f>
        <v>26</v>
      </c>
      <c r="S831" s="54"/>
      <c r="T831" s="55" t="s">
        <v>279</v>
      </c>
      <c r="U831" s="55"/>
      <c r="V831" s="55"/>
      <c r="W831" s="48"/>
      <c r="X831" s="50"/>
      <c r="Y831" s="50"/>
      <c r="Z831" s="48" t="n">
        <f aca="false">IF(A831="","",IF(AND(Parameter!$B$21="Ja",ISNUMBER(W831)),W831,IF(BZ831="2+3",IF(ISNUMBER(SEARCH("grosser Artikel",BR831)),2,IFERROR(VLOOKUP(BU831,Parameter!$F$35:$G$64,2,0),2)),IF(OR(BZ831="Nein",BZ831=""),"-",BZ831))))</f>
        <v>3</v>
      </c>
      <c r="AA831" s="55"/>
      <c r="AB831" s="56"/>
      <c r="AC831" s="50" t="n">
        <f aca="false">AT831</f>
        <v>20</v>
      </c>
      <c r="AD831" s="50" t="n">
        <f aca="false">MAX(AT831,H831)</f>
        <v>20</v>
      </c>
      <c r="AE831" s="57"/>
      <c r="AF831" s="50" t="n">
        <f aca="false">IF(LEFT(Cockpit!$C$5,1)="A",H831,IF(CE831=1,CF831,IF(LEFT(Cockpit!$C$5,1)="B",AK831,MAX(AK831,H831))))</f>
        <v>0</v>
      </c>
      <c r="AG831" s="50" t="n">
        <f aca="false">IF(BW831=1,0,ROUNDUP(AF831/BV831,0))</f>
        <v>0</v>
      </c>
      <c r="AH831" s="52" t="n">
        <f aca="false">IF(CL831&gt;0,CL831*MAX(1,AF831/X831),IF(BW831=1,IF(AF831&lt;=0,0,CA831*MAX(1,IF(H831&gt;0,AF831/H831,1))),IF(R831&gt;0,AG831/R831,0))/MAX(0.1,N(Parameter!$M$21)))</f>
        <v>0</v>
      </c>
      <c r="AI831" s="50" t="n">
        <f aca="false">AH831*BY831</f>
        <v>0</v>
      </c>
      <c r="AJ831" s="50" t="n">
        <f aca="false">AF831*G831</f>
        <v>0</v>
      </c>
      <c r="AK831" s="50" t="n">
        <f aca="false">ROUNDUP(MAX(J831/IF(CD831&gt;0,CD831,MAX(0.1,N(Cockpit!$C$6))),CG831)/BV831,0)*BV831</f>
        <v>20</v>
      </c>
      <c r="AL831" s="51" t="n">
        <f aca="false">IF(AI831&gt;0,J831/AI831,-1)</f>
        <v>-1</v>
      </c>
      <c r="AM831" s="51" t="str">
        <f aca="false">IF(AND(OR(CC831="L1",CC831="L23",CC831="LIFT"),AI831&gt;0),SUMIFS($AI$7:$AI$1843,$CC$7:$CC$1843,CC831,$AL$7:$AL$1843,"&gt;"&amp;AL831)+SUMIFS($AI$7:$AI$1843,$CC$7:$CC$1843,CC831,$AL$7:$AL$1843,AL831,$BT$7:$BT$1843,"&lt;="&amp;BT831),"")</f>
        <v/>
      </c>
      <c r="AN831" s="58" t="n">
        <f aca="false">IF(AM831="",0,MAX(0,MIN(1,(IF(CC831="L1",Parameter!$H$5,IF(CC831="L23",Parameter!$H$6+Parameter!$H$7,Parameter!$H$5+Parameter!$H$6+Parameter!$H$7))-(AM831-AI831))/AI831)))</f>
        <v>0</v>
      </c>
      <c r="AO831" s="50" t="n">
        <f aca="false">IF(LEFT(Cockpit!$I$5,1)="A",H831,IF(CE831=1,CF831,IF(LEFT(Cockpit!$I$5,1)="B",AT831,MAX(AT831,H831))))</f>
        <v>20</v>
      </c>
      <c r="AP831" s="50" t="n">
        <f aca="false">IF(BW831=1,0,ROUNDUP(AO831/BV831,0))</f>
        <v>1</v>
      </c>
      <c r="AQ831" s="52" t="n">
        <f aca="false">IF(CL831&gt;0,CL831*MAX(1,AO831/X831),IF(BW831=1,IF(AO831&lt;=0,0,CA831*MAX(1,IF(H831&gt;0,AO831/H831,1))),IF(R831&gt;0,AP831/R831,0))/MAX(0.1,N(Parameter!$M$21)))</f>
        <v>0.0384615384615385</v>
      </c>
      <c r="AR831" s="50" t="n">
        <f aca="false">AQ831*BY831</f>
        <v>5.96153846153846</v>
      </c>
      <c r="AS831" s="50" t="n">
        <f aca="false">AO831*G831</f>
        <v>22</v>
      </c>
      <c r="AT831" s="50" t="n">
        <f aca="false">ROUNDUP(MAX(J831/IF(CD831&gt;0,CD831,MAX(0.1,N(Cockpit!$I$6))),CG831)/BV831,0)*BV831</f>
        <v>20</v>
      </c>
      <c r="AU831" s="51" t="n">
        <f aca="false">IF(AR831&gt;0,J831/AR831,-1)</f>
        <v>0</v>
      </c>
      <c r="AV831" s="51" t="n">
        <f aca="false">IF(AND(OR(CC831="L1",CC831="L23",CC831="LIFT"),AR831&gt;0),SUMIFS($AR$7:$AR$1843,$CC$7:$CC$1843,CC831,$AU$7:$AU$1843,"&gt;"&amp;AU831)+SUMIFS($AR$7:$AR$1843,$CC$7:$CC$1843,CC831,$AU$7:$AU$1843,AU831,$BT$7:$BT$1843,"&lt;="&amp;BT831),"")</f>
        <v>40373.1886524493</v>
      </c>
      <c r="AW831" s="58" t="n">
        <f aca="false">IF(AV831="",0,MAX(0,MIN(1,(IF(CC831="L1",Parameter!$H$5,IF(CC831="L23",Parameter!$H$6+Parameter!$H$7,Parameter!$H$5+Parameter!$H$6+Parameter!$H$7))-(AV831-AR831))/AR831)))</f>
        <v>0</v>
      </c>
      <c r="AX831" s="50" t="n">
        <f aca="false">IF(LEFT(Cockpit!$O$5,1)="A",H831,IF(CE831=1,CF831,IF(LEFT(Cockpit!$O$5,1)="B",BC831,MAX(BC831,H831))))</f>
        <v>20</v>
      </c>
      <c r="AY831" s="50" t="n">
        <f aca="false">IF(BW831=1,0,ROUNDUP(AX831/BV831,0))</f>
        <v>1</v>
      </c>
      <c r="AZ831" s="52" t="n">
        <f aca="false">IF(CL831&gt;0,CL831*MAX(1,AX831/X831),IF(BW831=1,IF(AX831&lt;=0,0,CA831*MAX(1,IF(H831&gt;0,AX831/H831,1))),IF(R831&gt;0,AY831/R831,0))/MAX(0.1,N(Parameter!$M$21)))</f>
        <v>0.0384615384615385</v>
      </c>
      <c r="BA831" s="50" t="n">
        <f aca="false">AZ831*BY831</f>
        <v>5.96153846153846</v>
      </c>
      <c r="BB831" s="50" t="n">
        <f aca="false">AX831*G831</f>
        <v>22</v>
      </c>
      <c r="BC831" s="50" t="n">
        <f aca="false">ROUNDUP(MAX(J831/IF(CD831&gt;0,CD831,MAX(0.1,N(Cockpit!$O$6))),CG831)/BV831,0)*BV831</f>
        <v>20</v>
      </c>
      <c r="BD831" s="51" t="n">
        <f aca="false">IF(BA831&gt;0,J831/BA831,-1)</f>
        <v>0</v>
      </c>
      <c r="BE831" s="51" t="n">
        <f aca="false">IF(AND(OR(CC831="L1",CC831="L23",CC831="LIFT"),BA831&gt;0),SUMIFS($BA$7:$BA$1843,$CC$7:$CC$1843,CC831,$BD$7:$BD$1843,"&gt;"&amp;BD831)+SUMIFS($BA$7:$BA$1843,$CC$7:$CC$1843,CC831,$BD$7:$BD$1843,BD831,$BT$7:$BT$1843,"&lt;="&amp;BT831),"")</f>
        <v>37048.2006943151</v>
      </c>
      <c r="BF831" s="58" t="n">
        <f aca="false">IF(BE831="",0,MAX(0,MIN(1,(IF(CC831="L1",Parameter!$H$5,IF(CC831="L23",Parameter!$H$6+Parameter!$H$7,Parameter!$H$5+Parameter!$H$6+Parameter!$H$7))-(BE831-BA831))/BA831)))</f>
        <v>0</v>
      </c>
      <c r="BG831" s="48" t="str">
        <f aca="false">IF(AI831&lt;=0,"",IF(CC831="Aussen","Aussenlager",IF(CC831="-","Nicht im Lift",IF(AN831&gt;=1,"Lift",IF(AN831&lt;=0,"Aussenlager","teilweise")))))</f>
        <v/>
      </c>
      <c r="BH831" s="48" t="str">
        <f aca="false">IF(AR831&lt;=0,"",IF(CC831="Aussen","Aussenlager",IF(CC831="-","Nicht im Lift",IF(AW831&gt;=1,"Lift",IF(AW831&lt;=0,"Aussenlager","teilweise")))))</f>
        <v>Aussenlager</v>
      </c>
      <c r="BI831" s="48" t="str">
        <f aca="false">IF(BA831&lt;=0,"",IF(CC831="Aussen","Aussenlager",IF(CC831="-","Nicht im Lift",IF(BF831&gt;=1,"Lift",IF(BF831&lt;=0,"Aussenlager","teilweise")))))</f>
        <v>Aussenlager</v>
      </c>
      <c r="BJ831" s="48" t="str">
        <f aca="false">IF(A831="","",IF(BS831=1,"Neu; ","")&amp;IF(AND(BS831=0,BN831&lt;0),"negativer Bestand (Export "&amp;BN831&amp;"); ","")&amp;IF(J831&lt;=0,"Kein Verbrauch; ","")&amp;IF(CL831&gt;0,"Lift "&amp;W831&amp;" lt. Liftbericht (Fach "&amp;X831&amp;" Stk); ",IF(BX831=1,"Gebinde geschätzt ("&amp;T831&amp;"); ",IF(BW831=1,"Lose – Tablare geschätzt; ","")))&amp;IF(H831&gt;AT831,"Überbestand "&amp;ROUND(H831-AT831,0)&amp;" Stk / CHF "&amp;ROUND((H831-AT831)*G831,0)&amp;"; ","")&amp;IF(AND(CE831=1,CF831&lt;CG831),"MAX &lt; MB+LG; ","")&amp;IF(AND(CK831&gt;0,CJ831*10&gt;CK831),"zu hoch für Tablar; ","")&amp;IF(AND(BS831=0,OR(CE831=1,AA831&lt;&gt;"",U831&lt;&gt;"",V831&lt;&gt;"",AB831&lt;&gt;"")),"manuell übersteuert; ","")&amp;IF(AND(BW831=0,R831=0),"Gebinde unbekannt / Stellmass fehlt; ","")&amp;IF(AND(BW831=0,N(V831)&lt;=0,N(Q831)&lt;=0),"Menge pro Gebinde fehlt (Ist = 1 Gebinde); ","")&amp;BR831)</f>
        <v>negativer Bestand (Export -10); Kein Verbrauch; Gebinde geschätzt (Klein); Menge pro Gebinde fehlt (Ist = 1 Gebinde); </v>
      </c>
      <c r="BK831" s="48"/>
      <c r="BL831" s="48"/>
      <c r="BM831" s="55"/>
      <c r="BN831" s="50" t="n">
        <v>-10</v>
      </c>
      <c r="BO831" s="50" t="n">
        <v>10</v>
      </c>
      <c r="BP831" s="49" t="n">
        <v>-11</v>
      </c>
      <c r="BQ831" s="50" t="n">
        <v>0</v>
      </c>
      <c r="BR831" s="48"/>
      <c r="BS831" s="53" t="n">
        <v>0</v>
      </c>
      <c r="BT831" s="53" t="n">
        <v>831</v>
      </c>
      <c r="BU831" s="48" t="str">
        <f aca="false">IF(U831&lt;&gt;"",UPPER(TRIM(U831)),IF(BX831=1,UPPER(VLOOKUP(T831,Parameter!$I$27:$K$29,2,0)),IF(P831="","LOSE",P831)))</f>
        <v>S51</v>
      </c>
      <c r="BV831" s="50" t="n">
        <f aca="false">IF(BU831="LOSE",1,IF(N(V831)&gt;0,V831,IF(BX831=1,MAX(1,N(VLOOKUP(T831,Parameter!$I$27:$K$29,3,0)),H831,N(N831)),IF(N(Q831)&gt;0,Q831,MAX(1,H831)))))</f>
        <v>20</v>
      </c>
      <c r="BW831" s="53" t="n">
        <f aca="false">IF(BU831="LOSE",1,0)</f>
        <v>0</v>
      </c>
      <c r="BX831" s="53" t="n">
        <f aca="false">IF(AND(U831="",OR(P831="",P831="LOSE"),T831&lt;&gt;"",N(S831)&lt;=0,ISNUMBER(MATCH(T831,Parameter!$I$27:$I$29,0))),1,0)</f>
        <v>1</v>
      </c>
      <c r="BY831" s="53" t="n">
        <f aca="false">IF(CL831&gt;0,INDEX(Parameter!$H$5:$H$7,W831)/INDEX(Parameter!$E$5:$E$7,W831),IF(AND(BW831=0,N(IFERROR(VLOOKUP(BU831,'Gebinde-Kategorie'!$A$5:$N$45,14,0),0))&gt;0),VLOOKUP(BU831,'Gebinde-Kategorie'!$A$5:$N$45,14,0)*10+Parameter!$M$23,Parameter!$M$24))</f>
        <v>155</v>
      </c>
      <c r="BZ831" s="48" t="str">
        <f aca="false">IF(AND(Parameter!$B$19="Ja",E831&lt;&gt;"",ISNUMBER(MATCH(E831,Parameter!$I$35:$I$52,0))),VLOOKUP(E831,Parameter!$I$35:$J$52,2,0),IFERROR(VLOOKUP(D831,Parameter!$A$35:$C$64,2,0),"Nein"))</f>
        <v>2+3</v>
      </c>
      <c r="CA831" s="52" t="n">
        <f aca="false">IF(BW831=0,0,IF(N(S831)&gt;0,S831,IFERROR(VLOOKUP(D831,Parameter!$A$35:$C$64,3,0)+0,0)))</f>
        <v>0</v>
      </c>
      <c r="CB831" s="48" t="n">
        <f aca="false">IF(AA831&lt;&gt;"",AA831,Z831)</f>
        <v>3</v>
      </c>
      <c r="CC831" s="48" t="str">
        <f aca="false">IF(OR(CB831=1,CB831=2,CB831=3),IF(Parameter!$E$27="Ja","LIFT",IF(CB831=1,"L1","L23")),IF(CB831="Aussen","Aussen","-"))</f>
        <v>LIFT</v>
      </c>
      <c r="CD831" s="59" t="n">
        <f aca="false">IF(N(AB831)&gt;0,AB831,0)</f>
        <v>0</v>
      </c>
      <c r="CE831" s="53" t="n">
        <f aca="false">IF(ISNUMBER(AE831),1,0)</f>
        <v>0</v>
      </c>
      <c r="CF831" s="50" t="n">
        <f aca="false">N(AE831)</f>
        <v>0</v>
      </c>
      <c r="CG831" s="50" t="n">
        <f aca="false">N(M831)+N(N831)</f>
        <v>1</v>
      </c>
      <c r="CH831" s="50" t="n">
        <f aca="false">ROUNDUP(H831/BV831,0)</f>
        <v>0</v>
      </c>
      <c r="CI831" s="50" t="n">
        <f aca="false">ROUNDUP(CF831/BV831,0)</f>
        <v>0</v>
      </c>
      <c r="CJ831" s="53" t="n">
        <f aca="false">IF(BW831=1,0,IFERROR(VLOOKUP(BU831,'Gebinde-Kategorie'!$A$5:$N$45,5,0)+0,0))</f>
        <v>11</v>
      </c>
      <c r="CK831" s="53" t="n">
        <f aca="false">IFERROR(IF(OR(CB831=1,CB831=2,CB831=3),N(INDEX(Parameter!$I$5:$I$7,CB831)),0),0)</f>
        <v>0</v>
      </c>
      <c r="CL831" s="52" t="n">
        <f aca="false">IF(AND(Parameter!$B$21="Ja",ISNUMBER(W831),N(X831)&gt;0),IFERROR(N(INDEX(Parameter!$L$5:$L$7,W831))*INDEX(Parameter!$E$5:$E$7,W831)*X831/SUMIFS($X$7:$X$1843,$W$7:$W$1843,W831),0),0)</f>
        <v>0</v>
      </c>
    </row>
    <row r="832" customFormat="false" ht="15" hidden="false" customHeight="false" outlineLevel="0" collapsed="false">
      <c r="A832" s="48" t="s">
        <v>1604</v>
      </c>
      <c r="B832" s="48" t="s">
        <v>1605</v>
      </c>
      <c r="C832" s="48" t="s">
        <v>168</v>
      </c>
      <c r="D832" s="48" t="s">
        <v>188</v>
      </c>
      <c r="E832" s="48" t="s">
        <v>189</v>
      </c>
      <c r="F832" s="48" t="s">
        <v>222</v>
      </c>
      <c r="G832" s="49" t="n">
        <v>1.13</v>
      </c>
      <c r="H832" s="50" t="n">
        <f aca="false">MAX(0,IF(AND(Parameter!$B$21="Ja",ISNUMBER(Y832)),Y832,IF(Parameter!$B$20="Jahresanfang 2025 + Export",BO832+BN832,BN832)))</f>
        <v>10</v>
      </c>
      <c r="I832" s="50" t="n">
        <f aca="false">H832*G832</f>
        <v>11.3</v>
      </c>
      <c r="J832" s="50" t="n">
        <f aca="false">BQ832*Parameter!$B$18</f>
        <v>7</v>
      </c>
      <c r="K832" s="51" t="n">
        <v>17.5</v>
      </c>
      <c r="L832" s="52" t="n">
        <v>0.4</v>
      </c>
      <c r="M832" s="50" t="n">
        <v>0</v>
      </c>
      <c r="N832" s="50" t="n">
        <v>10</v>
      </c>
      <c r="O832" s="53" t="n">
        <v>14</v>
      </c>
      <c r="P832" s="48" t="s">
        <v>430</v>
      </c>
      <c r="Q832" s="50" t="n">
        <v>20</v>
      </c>
      <c r="R832" s="53" t="n">
        <f aca="false">IF(BW832=1,0,IFERROR(VLOOKUP(BU832,'Gebinde-Kategorie'!$A$5:$N$45,13,0)+0,0))</f>
        <v>140</v>
      </c>
      <c r="S832" s="54"/>
      <c r="T832" s="55"/>
      <c r="U832" s="55"/>
      <c r="V832" s="55"/>
      <c r="W832" s="48"/>
      <c r="X832" s="50"/>
      <c r="Y832" s="50"/>
      <c r="Z832" s="48" t="n">
        <f aca="false">IF(A832="","",IF(AND(Parameter!$B$21="Ja",ISNUMBER(W832)),W832,IF(BZ832="2+3",IF(ISNUMBER(SEARCH("grosser Artikel",BR832)),2,IFERROR(VLOOKUP(BU832,Parameter!$F$35:$G$64,2,0),2)),IF(OR(BZ832="Nein",BZ832=""),"-",BZ832))))</f>
        <v>3</v>
      </c>
      <c r="AA832" s="55"/>
      <c r="AB832" s="56"/>
      <c r="AC832" s="50" t="n">
        <f aca="false">AT832</f>
        <v>20</v>
      </c>
      <c r="AD832" s="50" t="n">
        <f aca="false">MAX(AT832,H832)</f>
        <v>20</v>
      </c>
      <c r="AE832" s="57"/>
      <c r="AF832" s="50" t="n">
        <f aca="false">IF(LEFT(Cockpit!$C$5,1)="A",H832,IF(CE832=1,CF832,IF(LEFT(Cockpit!$C$5,1)="B",AK832,MAX(AK832,H832))))</f>
        <v>10</v>
      </c>
      <c r="AG832" s="50" t="n">
        <f aca="false">IF(BW832=1,0,ROUNDUP(AF832/BV832,0))</f>
        <v>1</v>
      </c>
      <c r="AH832" s="52" t="n">
        <f aca="false">IF(CL832&gt;0,CL832*MAX(1,AF832/X832),IF(BW832=1,IF(AF832&lt;=0,0,CA832*MAX(1,IF(H832&gt;0,AF832/H832,1))),IF(R832&gt;0,AG832/R832,0))/MAX(0.1,N(Parameter!$M$21)))</f>
        <v>0.00714285714285714</v>
      </c>
      <c r="AI832" s="50" t="n">
        <f aca="false">AH832*BY832</f>
        <v>1.10714285714286</v>
      </c>
      <c r="AJ832" s="50" t="n">
        <f aca="false">AF832*G832</f>
        <v>11.3</v>
      </c>
      <c r="AK832" s="50" t="n">
        <f aca="false">ROUNDUP(MAX(J832/IF(CD832&gt;0,CD832,MAX(0.1,N(Cockpit!$C$6))),CG832)/BV832,0)*BV832</f>
        <v>20</v>
      </c>
      <c r="AL832" s="51" t="n">
        <f aca="false">IF(AI832&gt;0,J832/AI832,-1)</f>
        <v>6.32258064516129</v>
      </c>
      <c r="AM832" s="51" t="n">
        <f aca="false">IF(AND(OR(CC832="L1",CC832="L23",CC832="LIFT"),AI832&gt;0),SUMIFS($AI$7:$AI$1843,$CC$7:$CC$1843,CC832,$AL$7:$AL$1843,"&gt;"&amp;AL832)+SUMIFS($AI$7:$AI$1843,$CC$7:$CC$1843,CC832,$AL$7:$AL$1843,AL832,$BT$7:$BT$1843,"&lt;="&amp;BT832),"")</f>
        <v>3451.78891941392</v>
      </c>
      <c r="AN832" s="58" t="n">
        <f aca="false">IF(AM832="",0,MAX(0,MIN(1,(IF(CC832="L1",Parameter!$H$5,IF(CC832="L23",Parameter!$H$6+Parameter!$H$7,Parameter!$H$5+Parameter!$H$6+Parameter!$H$7))-(AM832-AI832))/AI832)))</f>
        <v>1</v>
      </c>
      <c r="AO832" s="50" t="n">
        <f aca="false">IF(LEFT(Cockpit!$I$5,1)="A",H832,IF(CE832=1,CF832,IF(LEFT(Cockpit!$I$5,1)="B",AT832,MAX(AT832,H832))))</f>
        <v>20</v>
      </c>
      <c r="AP832" s="50" t="n">
        <f aca="false">IF(BW832=1,0,ROUNDUP(AO832/BV832,0))</f>
        <v>1</v>
      </c>
      <c r="AQ832" s="52" t="n">
        <f aca="false">IF(CL832&gt;0,CL832*MAX(1,AO832/X832),IF(BW832=1,IF(AO832&lt;=0,0,CA832*MAX(1,IF(H832&gt;0,AO832/H832,1))),IF(R832&gt;0,AP832/R832,0))/MAX(0.1,N(Parameter!$M$21)))</f>
        <v>0.00714285714285714</v>
      </c>
      <c r="AR832" s="50" t="n">
        <f aca="false">AQ832*BY832</f>
        <v>1.10714285714286</v>
      </c>
      <c r="AS832" s="50" t="n">
        <f aca="false">AO832*G832</f>
        <v>22.6</v>
      </c>
      <c r="AT832" s="50" t="n">
        <f aca="false">ROUNDUP(MAX(J832/IF(CD832&gt;0,CD832,MAX(0.1,N(Cockpit!$I$6))),CG832)/BV832,0)*BV832</f>
        <v>20</v>
      </c>
      <c r="AU832" s="51" t="n">
        <f aca="false">IF(AR832&gt;0,J832/AR832,-1)</f>
        <v>6.32258064516129</v>
      </c>
      <c r="AV832" s="51" t="n">
        <f aca="false">IF(AND(OR(CC832="L1",CC832="L23",CC832="LIFT"),AR832&gt;0),SUMIFS($AR$7:$AR$1843,$CC$7:$CC$1843,CC832,$AU$7:$AU$1843,"&gt;"&amp;AU832)+SUMIFS($AR$7:$AR$1843,$CC$7:$CC$1843,CC832,$AU$7:$AU$1843,AU832,$BT$7:$BT$1843,"&lt;="&amp;BT832),"")</f>
        <v>4553.31181318681</v>
      </c>
      <c r="AW832" s="58" t="n">
        <f aca="false">IF(AV832="",0,MAX(0,MIN(1,(IF(CC832="L1",Parameter!$H$5,IF(CC832="L23",Parameter!$H$6+Parameter!$H$7,Parameter!$H$5+Parameter!$H$6+Parameter!$H$7))-(AV832-AR832))/AR832)))</f>
        <v>1</v>
      </c>
      <c r="AX832" s="50" t="n">
        <f aca="false">IF(LEFT(Cockpit!$O$5,1)="A",H832,IF(CE832=1,CF832,IF(LEFT(Cockpit!$O$5,1)="B",BC832,MAX(BC832,H832))))</f>
        <v>20</v>
      </c>
      <c r="AY832" s="50" t="n">
        <f aca="false">IF(BW832=1,0,ROUNDUP(AX832/BV832,0))</f>
        <v>1</v>
      </c>
      <c r="AZ832" s="52" t="n">
        <f aca="false">IF(CL832&gt;0,CL832*MAX(1,AX832/X832),IF(BW832=1,IF(AX832&lt;=0,0,CA832*MAX(1,IF(H832&gt;0,AX832/H832,1))),IF(R832&gt;0,AY832/R832,0))/MAX(0.1,N(Parameter!$M$21)))</f>
        <v>0.00714285714285714</v>
      </c>
      <c r="BA832" s="50" t="n">
        <f aca="false">AZ832*BY832</f>
        <v>1.10714285714286</v>
      </c>
      <c r="BB832" s="50" t="n">
        <f aca="false">AX832*G832</f>
        <v>22.6</v>
      </c>
      <c r="BC832" s="50" t="n">
        <f aca="false">ROUNDUP(MAX(J832/IF(CD832&gt;0,CD832,MAX(0.1,N(Cockpit!$O$6))),CG832)/BV832,0)*BV832</f>
        <v>20</v>
      </c>
      <c r="BD832" s="51" t="n">
        <f aca="false">IF(BA832&gt;0,J832/BA832,-1)</f>
        <v>6.32258064516129</v>
      </c>
      <c r="BE832" s="51" t="n">
        <f aca="false">IF(AND(OR(CC832="L1",CC832="L23",CC832="LIFT"),BA832&gt;0),SUMIFS($BA$7:$BA$1843,$CC$7:$CC$1843,CC832,$BD$7:$BD$1843,"&gt;"&amp;BD832)+SUMIFS($BA$7:$BA$1843,$CC$7:$CC$1843,CC832,$BD$7:$BD$1843,BD832,$BT$7:$BT$1843,"&lt;="&amp;BT832),"")</f>
        <v>4344.60989010989</v>
      </c>
      <c r="BF832" s="58" t="n">
        <f aca="false">IF(BE832="",0,MAX(0,MIN(1,(IF(CC832="L1",Parameter!$H$5,IF(CC832="L23",Parameter!$H$6+Parameter!$H$7,Parameter!$H$5+Parameter!$H$6+Parameter!$H$7))-(BE832-BA832))/BA832)))</f>
        <v>1</v>
      </c>
      <c r="BG832" s="48" t="str">
        <f aca="false">IF(AI832&lt;=0,"",IF(CC832="Aussen","Aussenlager",IF(CC832="-","Nicht im Lift",IF(AN832&gt;=1,"Lift",IF(AN832&lt;=0,"Aussenlager","teilweise")))))</f>
        <v>Lift</v>
      </c>
      <c r="BH832" s="48" t="str">
        <f aca="false">IF(AR832&lt;=0,"",IF(CC832="Aussen","Aussenlager",IF(CC832="-","Nicht im Lift",IF(AW832&gt;=1,"Lift",IF(AW832&lt;=0,"Aussenlager","teilweise")))))</f>
        <v>Lift</v>
      </c>
      <c r="BI832" s="48" t="str">
        <f aca="false">IF(BA832&lt;=0,"",IF(CC832="Aussen","Aussenlager",IF(CC832="-","Nicht im Lift",IF(BF832&gt;=1,"Lift",IF(BF832&lt;=0,"Aussenlager","teilweise")))))</f>
        <v>Lift</v>
      </c>
      <c r="BJ832" s="48" t="str">
        <f aca="false">IF(A832="","",IF(BS832=1,"Neu; ","")&amp;IF(AND(BS832=0,BN832&lt;0),"negativer Bestand (Export "&amp;BN832&amp;"); ","")&amp;IF(J832&lt;=0,"Kein Verbrauch; ","")&amp;IF(CL832&gt;0,"Lift "&amp;W832&amp;" lt. Liftbericht (Fach "&amp;X832&amp;" Stk); ",IF(BX832=1,"Gebinde geschätzt ("&amp;T832&amp;"); ",IF(BW832=1,"Lose – Tablare geschätzt; ","")))&amp;IF(H832&gt;AT832,"Überbestand "&amp;ROUND(H832-AT832,0)&amp;" Stk / CHF "&amp;ROUND((H832-AT832)*G832,0)&amp;"; ","")&amp;IF(AND(CE832=1,CF832&lt;CG832),"MAX &lt; MB+LG; ","")&amp;IF(AND(CK832&gt;0,CJ832*10&gt;CK832),"zu hoch für Tablar; ","")&amp;IF(AND(BS832=0,OR(CE832=1,AA832&lt;&gt;"",U832&lt;&gt;"",V832&lt;&gt;"",AB832&lt;&gt;"")),"manuell übersteuert; ","")&amp;IF(AND(BW832=0,R832=0),"Gebinde unbekannt / Stellmass fehlt; ","")&amp;IF(AND(BW832=0,N(V832)&lt;=0,N(Q832)&lt;=0),"Menge pro Gebinde fehlt (Ist = 1 Gebinde); ","")&amp;BR832)</f>
        <v>negativer Bestand (Export -10); </v>
      </c>
      <c r="BK832" s="48"/>
      <c r="BL832" s="48"/>
      <c r="BM832" s="55"/>
      <c r="BN832" s="50" t="n">
        <v>-10</v>
      </c>
      <c r="BO832" s="50" t="n">
        <v>20</v>
      </c>
      <c r="BP832" s="49" t="n">
        <v>-11.1</v>
      </c>
      <c r="BQ832" s="50" t="n">
        <v>7</v>
      </c>
      <c r="BR832" s="48"/>
      <c r="BS832" s="53" t="n">
        <v>0</v>
      </c>
      <c r="BT832" s="53" t="n">
        <v>832</v>
      </c>
      <c r="BU832" s="48" t="str">
        <f aca="false">IF(U832&lt;&gt;"",UPPER(TRIM(U832)),IF(BX832=1,UPPER(VLOOKUP(T832,Parameter!$I$27:$K$29,2,0)),IF(P832="","LOSE",P832)))</f>
        <v>S22</v>
      </c>
      <c r="BV832" s="50" t="n">
        <f aca="false">IF(BU832="LOSE",1,IF(N(V832)&gt;0,V832,IF(BX832=1,MAX(1,N(VLOOKUP(T832,Parameter!$I$27:$K$29,3,0)),H832,N(N832)),IF(N(Q832)&gt;0,Q832,MAX(1,H832)))))</f>
        <v>20</v>
      </c>
      <c r="BW832" s="53" t="n">
        <f aca="false">IF(BU832="LOSE",1,0)</f>
        <v>0</v>
      </c>
      <c r="BX832" s="53" t="n">
        <f aca="false">IF(AND(U832="",OR(P832="",P832="LOSE"),T832&lt;&gt;"",N(S832)&lt;=0,ISNUMBER(MATCH(T832,Parameter!$I$27:$I$29,0))),1,0)</f>
        <v>0</v>
      </c>
      <c r="BY832" s="53" t="n">
        <f aca="false">IF(CL832&gt;0,INDEX(Parameter!$H$5:$H$7,W832)/INDEX(Parameter!$E$5:$E$7,W832),IF(AND(BW832=0,N(IFERROR(VLOOKUP(BU832,'Gebinde-Kategorie'!$A$5:$N$45,14,0),0))&gt;0),VLOOKUP(BU832,'Gebinde-Kategorie'!$A$5:$N$45,14,0)*10+Parameter!$M$23,Parameter!$M$24))</f>
        <v>155</v>
      </c>
      <c r="BZ832" s="48" t="str">
        <f aca="false">IF(AND(Parameter!$B$19="Ja",E832&lt;&gt;"",ISNUMBER(MATCH(E832,Parameter!$I$35:$I$52,0))),VLOOKUP(E832,Parameter!$I$35:$J$52,2,0),IFERROR(VLOOKUP(D832,Parameter!$A$35:$C$64,2,0),"Nein"))</f>
        <v>2+3</v>
      </c>
      <c r="CA832" s="52" t="n">
        <f aca="false">IF(BW832=0,0,IF(N(S832)&gt;0,S832,IFERROR(VLOOKUP(D832,Parameter!$A$35:$C$64,3,0)+0,0)))</f>
        <v>0</v>
      </c>
      <c r="CB832" s="48" t="n">
        <f aca="false">IF(AA832&lt;&gt;"",AA832,Z832)</f>
        <v>3</v>
      </c>
      <c r="CC832" s="48" t="str">
        <f aca="false">IF(OR(CB832=1,CB832=2,CB832=3),IF(Parameter!$E$27="Ja","LIFT",IF(CB832=1,"L1","L23")),IF(CB832="Aussen","Aussen","-"))</f>
        <v>LIFT</v>
      </c>
      <c r="CD832" s="59" t="n">
        <f aca="false">IF(N(AB832)&gt;0,AB832,0)</f>
        <v>0</v>
      </c>
      <c r="CE832" s="53" t="n">
        <f aca="false">IF(ISNUMBER(AE832),1,0)</f>
        <v>0</v>
      </c>
      <c r="CF832" s="50" t="n">
        <f aca="false">N(AE832)</f>
        <v>0</v>
      </c>
      <c r="CG832" s="50" t="n">
        <f aca="false">N(M832)+N(N832)</f>
        <v>10</v>
      </c>
      <c r="CH832" s="50" t="n">
        <f aca="false">ROUNDUP(H832/BV832,0)</f>
        <v>1</v>
      </c>
      <c r="CI832" s="50" t="n">
        <f aca="false">ROUNDUP(CF832/BV832,0)</f>
        <v>0</v>
      </c>
      <c r="CJ832" s="53" t="n">
        <f aca="false">IF(BW832=1,0,IFERROR(VLOOKUP(BU832,'Gebinde-Kategorie'!$A$5:$N$45,5,0)+0,0))</f>
        <v>8</v>
      </c>
      <c r="CK832" s="53" t="n">
        <f aca="false">IFERROR(IF(OR(CB832=1,CB832=2,CB832=3),N(INDEX(Parameter!$I$5:$I$7,CB832)),0),0)</f>
        <v>0</v>
      </c>
      <c r="CL832" s="52" t="n">
        <f aca="false">IF(AND(Parameter!$B$21="Ja",ISNUMBER(W832),N(X832)&gt;0),IFERROR(N(INDEX(Parameter!$L$5:$L$7,W832))*INDEX(Parameter!$E$5:$E$7,W832)*X832/SUMIFS($X$7:$X$1843,$W$7:$W$1843,W832),0),0)</f>
        <v>0</v>
      </c>
    </row>
    <row r="833" customFormat="false" ht="15" hidden="false" customHeight="false" outlineLevel="0" collapsed="false">
      <c r="A833" s="48" t="s">
        <v>1606</v>
      </c>
      <c r="B833" s="48" t="s">
        <v>1140</v>
      </c>
      <c r="C833" s="48" t="s">
        <v>168</v>
      </c>
      <c r="D833" s="48" t="s">
        <v>188</v>
      </c>
      <c r="E833" s="48"/>
      <c r="F833" s="48" t="s">
        <v>222</v>
      </c>
      <c r="G833" s="49" t="n">
        <v>3.91</v>
      </c>
      <c r="H833" s="50" t="n">
        <f aca="false">MAX(0,IF(AND(Parameter!$B$21="Ja",ISNUMBER(Y833)),Y833,IF(Parameter!$B$20="Jahresanfang 2025 + Export",BO833+BN833,BN833)))</f>
        <v>2</v>
      </c>
      <c r="I833" s="50" t="n">
        <f aca="false">H833*G833</f>
        <v>7.82</v>
      </c>
      <c r="J833" s="50" t="n">
        <f aca="false">BQ833*Parameter!$B$18</f>
        <v>5</v>
      </c>
      <c r="K833" s="51" t="n">
        <v>14</v>
      </c>
      <c r="L833" s="52" t="n">
        <v>0.357142857142857</v>
      </c>
      <c r="M833" s="50" t="n">
        <v>0</v>
      </c>
      <c r="N833" s="50" t="n">
        <v>5</v>
      </c>
      <c r="O833" s="53" t="n">
        <v>14</v>
      </c>
      <c r="P833" s="48" t="s">
        <v>172</v>
      </c>
      <c r="Q833" s="50"/>
      <c r="R833" s="53" t="n">
        <f aca="false">IF(BW833=1,0,IFERROR(VLOOKUP(BU833,'Gebinde-Kategorie'!$A$5:$N$45,13,0)+0,0))</f>
        <v>26</v>
      </c>
      <c r="S833" s="54"/>
      <c r="T833" s="55" t="s">
        <v>279</v>
      </c>
      <c r="U833" s="55"/>
      <c r="V833" s="55"/>
      <c r="W833" s="48"/>
      <c r="X833" s="50"/>
      <c r="Y833" s="50"/>
      <c r="Z833" s="48" t="n">
        <f aca="false">IF(A833="","",IF(AND(Parameter!$B$21="Ja",ISNUMBER(W833)),W833,IF(BZ833="2+3",IF(ISNUMBER(SEARCH("grosser Artikel",BR833)),2,IFERROR(VLOOKUP(BU833,Parameter!$F$35:$G$64,2,0),2)),IF(OR(BZ833="Nein",BZ833=""),"-",BZ833))))</f>
        <v>3</v>
      </c>
      <c r="AA833" s="55"/>
      <c r="AB833" s="56"/>
      <c r="AC833" s="50" t="n">
        <f aca="false">AT833</f>
        <v>20</v>
      </c>
      <c r="AD833" s="50" t="n">
        <f aca="false">MAX(AT833,H833)</f>
        <v>20</v>
      </c>
      <c r="AE833" s="57"/>
      <c r="AF833" s="50" t="n">
        <f aca="false">IF(LEFT(Cockpit!$C$5,1)="A",H833,IF(CE833=1,CF833,IF(LEFT(Cockpit!$C$5,1)="B",AK833,MAX(AK833,H833))))</f>
        <v>2</v>
      </c>
      <c r="AG833" s="50" t="n">
        <f aca="false">IF(BW833=1,0,ROUNDUP(AF833/BV833,0))</f>
        <v>1</v>
      </c>
      <c r="AH833" s="52" t="n">
        <f aca="false">IF(CL833&gt;0,CL833*MAX(1,AF833/X833),IF(BW833=1,IF(AF833&lt;=0,0,CA833*MAX(1,IF(H833&gt;0,AF833/H833,1))),IF(R833&gt;0,AG833/R833,0))/MAX(0.1,N(Parameter!$M$21)))</f>
        <v>0.0384615384615385</v>
      </c>
      <c r="AI833" s="50" t="n">
        <f aca="false">AH833*BY833</f>
        <v>5.96153846153846</v>
      </c>
      <c r="AJ833" s="50" t="n">
        <f aca="false">AF833*G833</f>
        <v>7.82</v>
      </c>
      <c r="AK833" s="50" t="n">
        <f aca="false">ROUNDUP(MAX(J833/IF(CD833&gt;0,CD833,MAX(0.1,N(Cockpit!$C$6))),CG833)/BV833,0)*BV833</f>
        <v>20</v>
      </c>
      <c r="AL833" s="51" t="n">
        <f aca="false">IF(AI833&gt;0,J833/AI833,-1)</f>
        <v>0.838709677419355</v>
      </c>
      <c r="AM833" s="51" t="n">
        <f aca="false">IF(AND(OR(CC833="L1",CC833="L23",CC833="LIFT"),AI833&gt;0),SUMIFS($AI$7:$AI$1843,$CC$7:$CC$1843,CC833,$AL$7:$AL$1843,"&gt;"&amp;AL833)+SUMIFS($AI$7:$AI$1843,$CC$7:$CC$1843,CC833,$AL$7:$AL$1843,AL833,$BT$7:$BT$1843,"&lt;="&amp;BT833),"")</f>
        <v>7884.70192307692</v>
      </c>
      <c r="AN833" s="58" t="n">
        <f aca="false">IF(AM833="",0,MAX(0,MIN(1,(IF(CC833="L1",Parameter!$H$5,IF(CC833="L23",Parameter!$H$6+Parameter!$H$7,Parameter!$H$5+Parameter!$H$6+Parameter!$H$7))-(AM833-AI833))/AI833)))</f>
        <v>1</v>
      </c>
      <c r="AO833" s="50" t="n">
        <f aca="false">IF(LEFT(Cockpit!$I$5,1)="A",H833,IF(CE833=1,CF833,IF(LEFT(Cockpit!$I$5,1)="B",AT833,MAX(AT833,H833))))</f>
        <v>20</v>
      </c>
      <c r="AP833" s="50" t="n">
        <f aca="false">IF(BW833=1,0,ROUNDUP(AO833/BV833,0))</f>
        <v>1</v>
      </c>
      <c r="AQ833" s="52" t="n">
        <f aca="false">IF(CL833&gt;0,CL833*MAX(1,AO833/X833),IF(BW833=1,IF(AO833&lt;=0,0,CA833*MAX(1,IF(H833&gt;0,AO833/H833,1))),IF(R833&gt;0,AP833/R833,0))/MAX(0.1,N(Parameter!$M$21)))</f>
        <v>0.0384615384615385</v>
      </c>
      <c r="AR833" s="50" t="n">
        <f aca="false">AQ833*BY833</f>
        <v>5.96153846153846</v>
      </c>
      <c r="AS833" s="50" t="n">
        <f aca="false">AO833*G833</f>
        <v>78.2</v>
      </c>
      <c r="AT833" s="50" t="n">
        <f aca="false">ROUNDUP(MAX(J833/IF(CD833&gt;0,CD833,MAX(0.1,N(Cockpit!$I$6))),CG833)/BV833,0)*BV833</f>
        <v>20</v>
      </c>
      <c r="AU833" s="51" t="n">
        <f aca="false">IF(AR833&gt;0,J833/AR833,-1)</f>
        <v>0.838709677419355</v>
      </c>
      <c r="AV833" s="51" t="n">
        <f aca="false">IF(AND(OR(CC833="L1",CC833="L23",CC833="LIFT"),AR833&gt;0),SUMIFS($AR$7:$AR$1843,$CC$7:$CC$1843,CC833,$AU$7:$AU$1843,"&gt;"&amp;AU833)+SUMIFS($AR$7:$AR$1843,$CC$7:$CC$1843,CC833,$AU$7:$AU$1843,AU833,$BT$7:$BT$1843,"&lt;="&amp;BT833),"")</f>
        <v>11261.086996337</v>
      </c>
      <c r="AW833" s="58" t="n">
        <f aca="false">IF(AV833="",0,MAX(0,MIN(1,(IF(CC833="L1",Parameter!$H$5,IF(CC833="L23",Parameter!$H$6+Parameter!$H$7,Parameter!$H$5+Parameter!$H$6+Parameter!$H$7))-(AV833-AR833))/AR833)))</f>
        <v>1</v>
      </c>
      <c r="AX833" s="50" t="n">
        <f aca="false">IF(LEFT(Cockpit!$O$5,1)="A",H833,IF(CE833=1,CF833,IF(LEFT(Cockpit!$O$5,1)="B",BC833,MAX(BC833,H833))))</f>
        <v>20</v>
      </c>
      <c r="AY833" s="50" t="n">
        <f aca="false">IF(BW833=1,0,ROUNDUP(AX833/BV833,0))</f>
        <v>1</v>
      </c>
      <c r="AZ833" s="52" t="n">
        <f aca="false">IF(CL833&gt;0,CL833*MAX(1,AX833/X833),IF(BW833=1,IF(AX833&lt;=0,0,CA833*MAX(1,IF(H833&gt;0,AX833/H833,1))),IF(R833&gt;0,AY833/R833,0))/MAX(0.1,N(Parameter!$M$21)))</f>
        <v>0.0384615384615385</v>
      </c>
      <c r="BA833" s="50" t="n">
        <f aca="false">AZ833*BY833</f>
        <v>5.96153846153846</v>
      </c>
      <c r="BB833" s="50" t="n">
        <f aca="false">AX833*G833</f>
        <v>78.2</v>
      </c>
      <c r="BC833" s="50" t="n">
        <f aca="false">ROUNDUP(MAX(J833/IF(CD833&gt;0,CD833,MAX(0.1,N(Cockpit!$O$6))),CG833)/BV833,0)*BV833</f>
        <v>20</v>
      </c>
      <c r="BD833" s="51" t="n">
        <f aca="false">IF(BA833&gt;0,J833/BA833,-1)</f>
        <v>0.838709677419355</v>
      </c>
      <c r="BE833" s="51" t="n">
        <f aca="false">IF(AND(OR(CC833="L1",CC833="L23",CC833="LIFT"),BA833&gt;0),SUMIFS($BA$7:$BA$1843,$CC$7:$CC$1843,CC833,$BD$7:$BD$1843,"&gt;"&amp;BD833)+SUMIFS($BA$7:$BA$1843,$CC$7:$CC$1843,CC833,$BD$7:$BD$1843,BD833,$BT$7:$BT$1843,"&lt;="&amp;BT833),"")</f>
        <v>10356.744047619</v>
      </c>
      <c r="BF833" s="58" t="n">
        <f aca="false">IF(BE833="",0,MAX(0,MIN(1,(IF(CC833="L1",Parameter!$H$5,IF(CC833="L23",Parameter!$H$6+Parameter!$H$7,Parameter!$H$5+Parameter!$H$6+Parameter!$H$7))-(BE833-BA833))/BA833)))</f>
        <v>1</v>
      </c>
      <c r="BG833" s="48" t="str">
        <f aca="false">IF(AI833&lt;=0,"",IF(CC833="Aussen","Aussenlager",IF(CC833="-","Nicht im Lift",IF(AN833&gt;=1,"Lift",IF(AN833&lt;=0,"Aussenlager","teilweise")))))</f>
        <v>Lift</v>
      </c>
      <c r="BH833" s="48" t="str">
        <f aca="false">IF(AR833&lt;=0,"",IF(CC833="Aussen","Aussenlager",IF(CC833="-","Nicht im Lift",IF(AW833&gt;=1,"Lift",IF(AW833&lt;=0,"Aussenlager","teilweise")))))</f>
        <v>Lift</v>
      </c>
      <c r="BI833" s="48" t="str">
        <f aca="false">IF(BA833&lt;=0,"",IF(CC833="Aussen","Aussenlager",IF(CC833="-","Nicht im Lift",IF(BF833&gt;=1,"Lift",IF(BF833&lt;=0,"Aussenlager","teilweise")))))</f>
        <v>Lift</v>
      </c>
      <c r="BJ833" s="48" t="str">
        <f aca="false">IF(A833="","",IF(BS833=1,"Neu; ","")&amp;IF(AND(BS833=0,BN833&lt;0),"negativer Bestand (Export "&amp;BN833&amp;"); ","")&amp;IF(J833&lt;=0,"Kein Verbrauch; ","")&amp;IF(CL833&gt;0,"Lift "&amp;W833&amp;" lt. Liftbericht (Fach "&amp;X833&amp;" Stk); ",IF(BX833=1,"Gebinde geschätzt ("&amp;T833&amp;"); ",IF(BW833=1,"Lose – Tablare geschätzt; ","")))&amp;IF(H833&gt;AT833,"Überbestand "&amp;ROUND(H833-AT833,0)&amp;" Stk / CHF "&amp;ROUND((H833-AT833)*G833,0)&amp;"; ","")&amp;IF(AND(CE833=1,CF833&lt;CG833),"MAX &lt; MB+LG; ","")&amp;IF(AND(CK833&gt;0,CJ833*10&gt;CK833),"zu hoch für Tablar; ","")&amp;IF(AND(BS833=0,OR(CE833=1,AA833&lt;&gt;"",U833&lt;&gt;"",V833&lt;&gt;"",AB833&lt;&gt;"")),"manuell übersteuert; ","")&amp;IF(AND(BW833=0,R833=0),"Gebinde unbekannt / Stellmass fehlt; ","")&amp;IF(AND(BW833=0,N(V833)&lt;=0,N(Q833)&lt;=0),"Menge pro Gebinde fehlt (Ist = 1 Gebinde); ","")&amp;BR833)</f>
        <v>Gebinde geschätzt (Klein); Menge pro Gebinde fehlt (Ist = 1 Gebinde); </v>
      </c>
      <c r="BK833" s="48"/>
      <c r="BL833" s="48"/>
      <c r="BM833" s="55"/>
      <c r="BN833" s="50" t="n">
        <v>0</v>
      </c>
      <c r="BO833" s="50" t="n">
        <v>2</v>
      </c>
      <c r="BP833" s="49" t="n">
        <v>-11.26</v>
      </c>
      <c r="BQ833" s="50" t="n">
        <v>5</v>
      </c>
      <c r="BR833" s="48"/>
      <c r="BS833" s="53" t="n">
        <v>0</v>
      </c>
      <c r="BT833" s="53" t="n">
        <v>833</v>
      </c>
      <c r="BU833" s="48" t="str">
        <f aca="false">IF(U833&lt;&gt;"",UPPER(TRIM(U833)),IF(BX833=1,UPPER(VLOOKUP(T833,Parameter!$I$27:$K$29,2,0)),IF(P833="","LOSE",P833)))</f>
        <v>S51</v>
      </c>
      <c r="BV833" s="50" t="n">
        <f aca="false">IF(BU833="LOSE",1,IF(N(V833)&gt;0,V833,IF(BX833=1,MAX(1,N(VLOOKUP(T833,Parameter!$I$27:$K$29,3,0)),H833,N(N833)),IF(N(Q833)&gt;0,Q833,MAX(1,H833)))))</f>
        <v>20</v>
      </c>
      <c r="BW833" s="53" t="n">
        <f aca="false">IF(BU833="LOSE",1,0)</f>
        <v>0</v>
      </c>
      <c r="BX833" s="53" t="n">
        <f aca="false">IF(AND(U833="",OR(P833="",P833="LOSE"),T833&lt;&gt;"",N(S833)&lt;=0,ISNUMBER(MATCH(T833,Parameter!$I$27:$I$29,0))),1,0)</f>
        <v>1</v>
      </c>
      <c r="BY833" s="53" t="n">
        <f aca="false">IF(CL833&gt;0,INDEX(Parameter!$H$5:$H$7,W833)/INDEX(Parameter!$E$5:$E$7,W833),IF(AND(BW833=0,N(IFERROR(VLOOKUP(BU833,'Gebinde-Kategorie'!$A$5:$N$45,14,0),0))&gt;0),VLOOKUP(BU833,'Gebinde-Kategorie'!$A$5:$N$45,14,0)*10+Parameter!$M$23,Parameter!$M$24))</f>
        <v>155</v>
      </c>
      <c r="BZ833" s="48" t="str">
        <f aca="false">IF(AND(Parameter!$B$19="Ja",E833&lt;&gt;"",ISNUMBER(MATCH(E833,Parameter!$I$35:$I$52,0))),VLOOKUP(E833,Parameter!$I$35:$J$52,2,0),IFERROR(VLOOKUP(D833,Parameter!$A$35:$C$64,2,0),"Nein"))</f>
        <v>2+3</v>
      </c>
      <c r="CA833" s="52" t="n">
        <f aca="false">IF(BW833=0,0,IF(N(S833)&gt;0,S833,IFERROR(VLOOKUP(D833,Parameter!$A$35:$C$64,3,0)+0,0)))</f>
        <v>0</v>
      </c>
      <c r="CB833" s="48" t="n">
        <f aca="false">IF(AA833&lt;&gt;"",AA833,Z833)</f>
        <v>3</v>
      </c>
      <c r="CC833" s="48" t="str">
        <f aca="false">IF(OR(CB833=1,CB833=2,CB833=3),IF(Parameter!$E$27="Ja","LIFT",IF(CB833=1,"L1","L23")),IF(CB833="Aussen","Aussen","-"))</f>
        <v>LIFT</v>
      </c>
      <c r="CD833" s="59" t="n">
        <f aca="false">IF(N(AB833)&gt;0,AB833,0)</f>
        <v>0</v>
      </c>
      <c r="CE833" s="53" t="n">
        <f aca="false">IF(ISNUMBER(AE833),1,0)</f>
        <v>0</v>
      </c>
      <c r="CF833" s="50" t="n">
        <f aca="false">N(AE833)</f>
        <v>0</v>
      </c>
      <c r="CG833" s="50" t="n">
        <f aca="false">N(M833)+N(N833)</f>
        <v>5</v>
      </c>
      <c r="CH833" s="50" t="n">
        <f aca="false">ROUNDUP(H833/BV833,0)</f>
        <v>1</v>
      </c>
      <c r="CI833" s="50" t="n">
        <f aca="false">ROUNDUP(CF833/BV833,0)</f>
        <v>0</v>
      </c>
      <c r="CJ833" s="53" t="n">
        <f aca="false">IF(BW833=1,0,IFERROR(VLOOKUP(BU833,'Gebinde-Kategorie'!$A$5:$N$45,5,0)+0,0))</f>
        <v>11</v>
      </c>
      <c r="CK833" s="53" t="n">
        <f aca="false">IFERROR(IF(OR(CB833=1,CB833=2,CB833=3),N(INDEX(Parameter!$I$5:$I$7,CB833)),0),0)</f>
        <v>0</v>
      </c>
      <c r="CL833" s="52" t="n">
        <f aca="false">IF(AND(Parameter!$B$21="Ja",ISNUMBER(W833),N(X833)&gt;0),IFERROR(N(INDEX(Parameter!$L$5:$L$7,W833))*INDEX(Parameter!$E$5:$E$7,W833)*X833/SUMIFS($X$7:$X$1843,$W$7:$W$1843,W833),0),0)</f>
        <v>0</v>
      </c>
    </row>
    <row r="834" customFormat="false" ht="15" hidden="false" customHeight="false" outlineLevel="0" collapsed="false">
      <c r="A834" s="48" t="s">
        <v>1607</v>
      </c>
      <c r="B834" s="48" t="s">
        <v>728</v>
      </c>
      <c r="C834" s="48" t="s">
        <v>168</v>
      </c>
      <c r="D834" s="48" t="s">
        <v>188</v>
      </c>
      <c r="E834" s="48" t="s">
        <v>189</v>
      </c>
      <c r="F834" s="48" t="s">
        <v>222</v>
      </c>
      <c r="G834" s="49" t="n">
        <v>11.59</v>
      </c>
      <c r="H834" s="50" t="n">
        <f aca="false">MAX(0,IF(AND(Parameter!$B$21="Ja",ISNUMBER(Y834)),Y834,IF(Parameter!$B$20="Jahresanfang 2025 + Export",BO834+BN834,BN834)))</f>
        <v>10</v>
      </c>
      <c r="I834" s="50" t="n">
        <f aca="false">H834*G834</f>
        <v>115.9</v>
      </c>
      <c r="J834" s="50" t="n">
        <f aca="false">BQ834*Parameter!$B$18</f>
        <v>0</v>
      </c>
      <c r="K834" s="51" t="n">
        <v>10.5</v>
      </c>
      <c r="L834" s="52" t="n">
        <v>0</v>
      </c>
      <c r="M834" s="50" t="n">
        <v>0</v>
      </c>
      <c r="N834" s="50" t="n">
        <v>1</v>
      </c>
      <c r="O834" s="53" t="n">
        <v>14</v>
      </c>
      <c r="P834" s="48" t="s">
        <v>405</v>
      </c>
      <c r="Q834" s="50" t="n">
        <v>11</v>
      </c>
      <c r="R834" s="53" t="n">
        <f aca="false">IF(BW834=1,0,IFERROR(VLOOKUP(BU834,'Gebinde-Kategorie'!$A$5:$N$45,13,0)+0,0))</f>
        <v>280</v>
      </c>
      <c r="S834" s="54"/>
      <c r="T834" s="55"/>
      <c r="U834" s="55"/>
      <c r="V834" s="55"/>
      <c r="W834" s="48"/>
      <c r="X834" s="50"/>
      <c r="Y834" s="50"/>
      <c r="Z834" s="48" t="n">
        <f aca="false">IF(A834="","",IF(AND(Parameter!$B$21="Ja",ISNUMBER(W834)),W834,IF(BZ834="2+3",IF(ISNUMBER(SEARCH("grosser Artikel",BR834)),2,IFERROR(VLOOKUP(BU834,Parameter!$F$35:$G$64,2,0),2)),IF(OR(BZ834="Nein",BZ834=""),"-",BZ834))))</f>
        <v>3</v>
      </c>
      <c r="AA834" s="55"/>
      <c r="AB834" s="56"/>
      <c r="AC834" s="50" t="n">
        <f aca="false">AT834</f>
        <v>11</v>
      </c>
      <c r="AD834" s="50" t="n">
        <f aca="false">MAX(AT834,H834)</f>
        <v>11</v>
      </c>
      <c r="AE834" s="57"/>
      <c r="AF834" s="50" t="n">
        <f aca="false">IF(LEFT(Cockpit!$C$5,1)="A",H834,IF(CE834=1,CF834,IF(LEFT(Cockpit!$C$5,1)="B",AK834,MAX(AK834,H834))))</f>
        <v>10</v>
      </c>
      <c r="AG834" s="50" t="n">
        <f aca="false">IF(BW834=1,0,ROUNDUP(AF834/BV834,0))</f>
        <v>1</v>
      </c>
      <c r="AH834" s="52" t="n">
        <f aca="false">IF(CL834&gt;0,CL834*MAX(1,AF834/X834),IF(BW834=1,IF(AF834&lt;=0,0,CA834*MAX(1,IF(H834&gt;0,AF834/H834,1))),IF(R834&gt;0,AG834/R834,0))/MAX(0.1,N(Parameter!$M$21)))</f>
        <v>0.00357142857142857</v>
      </c>
      <c r="AI834" s="50" t="n">
        <f aca="false">AH834*BY834</f>
        <v>0.553571428571429</v>
      </c>
      <c r="AJ834" s="50" t="n">
        <f aca="false">AF834*G834</f>
        <v>115.9</v>
      </c>
      <c r="AK834" s="50" t="n">
        <f aca="false">ROUNDUP(MAX(J834/IF(CD834&gt;0,CD834,MAX(0.1,N(Cockpit!$C$6))),CG834)/BV834,0)*BV834</f>
        <v>11</v>
      </c>
      <c r="AL834" s="51" t="n">
        <f aca="false">IF(AI834&gt;0,J834/AI834,-1)</f>
        <v>0</v>
      </c>
      <c r="AM834" s="51" t="n">
        <f aca="false">IF(AND(OR(CC834="L1",CC834="L23",CC834="LIFT"),AI834&gt;0),SUMIFS($AI$7:$AI$1843,$CC$7:$CC$1843,CC834,$AL$7:$AL$1843,"&gt;"&amp;AL834)+SUMIFS($AI$7:$AI$1843,$CC$7:$CC$1843,CC834,$AL$7:$AL$1843,AL834,$BT$7:$BT$1843,"&lt;="&amp;BT834),"")</f>
        <v>28787.2295637508</v>
      </c>
      <c r="AN834" s="58" t="n">
        <f aca="false">IF(AM834="",0,MAX(0,MIN(1,(IF(CC834="L1",Parameter!$H$5,IF(CC834="L23",Parameter!$H$6+Parameter!$H$7,Parameter!$H$5+Parameter!$H$6+Parameter!$H$7))-(AM834-AI834))/AI834)))</f>
        <v>1</v>
      </c>
      <c r="AO834" s="50" t="n">
        <f aca="false">IF(LEFT(Cockpit!$I$5,1)="A",H834,IF(CE834=1,CF834,IF(LEFT(Cockpit!$I$5,1)="B",AT834,MAX(AT834,H834))))</f>
        <v>11</v>
      </c>
      <c r="AP834" s="50" t="n">
        <f aca="false">IF(BW834=1,0,ROUNDUP(AO834/BV834,0))</f>
        <v>1</v>
      </c>
      <c r="AQ834" s="52" t="n">
        <f aca="false">IF(CL834&gt;0,CL834*MAX(1,AO834/X834),IF(BW834=1,IF(AO834&lt;=0,0,CA834*MAX(1,IF(H834&gt;0,AO834/H834,1))),IF(R834&gt;0,AP834/R834,0))/MAX(0.1,N(Parameter!$M$21)))</f>
        <v>0.00357142857142857</v>
      </c>
      <c r="AR834" s="50" t="n">
        <f aca="false">AQ834*BY834</f>
        <v>0.553571428571429</v>
      </c>
      <c r="AS834" s="50" t="n">
        <f aca="false">AO834*G834</f>
        <v>127.49</v>
      </c>
      <c r="AT834" s="50" t="n">
        <f aca="false">ROUNDUP(MAX(J834/IF(CD834&gt;0,CD834,MAX(0.1,N(Cockpit!$I$6))),CG834)/BV834,0)*BV834</f>
        <v>11</v>
      </c>
      <c r="AU834" s="51" t="n">
        <f aca="false">IF(AR834&gt;0,J834/AR834,-1)</f>
        <v>0</v>
      </c>
      <c r="AV834" s="51" t="n">
        <f aca="false">IF(AND(OR(CC834="L1",CC834="L23",CC834="LIFT"),AR834&gt;0),SUMIFS($AR$7:$AR$1843,$CC$7:$CC$1843,CC834,$AU$7:$AU$1843,"&gt;"&amp;AU834)+SUMIFS($AR$7:$AR$1843,$CC$7:$CC$1843,CC834,$AU$7:$AU$1843,AU834,$BT$7:$BT$1843,"&lt;="&amp;BT834),"")</f>
        <v>40373.7422238778</v>
      </c>
      <c r="AW834" s="58" t="n">
        <f aca="false">IF(AV834="",0,MAX(0,MIN(1,(IF(CC834="L1",Parameter!$H$5,IF(CC834="L23",Parameter!$H$6+Parameter!$H$7,Parameter!$H$5+Parameter!$H$6+Parameter!$H$7))-(AV834-AR834))/AR834)))</f>
        <v>0</v>
      </c>
      <c r="AX834" s="50" t="n">
        <f aca="false">IF(LEFT(Cockpit!$O$5,1)="A",H834,IF(CE834=1,CF834,IF(LEFT(Cockpit!$O$5,1)="B",BC834,MAX(BC834,H834))))</f>
        <v>11</v>
      </c>
      <c r="AY834" s="50" t="n">
        <f aca="false">IF(BW834=1,0,ROUNDUP(AX834/BV834,0))</f>
        <v>1</v>
      </c>
      <c r="AZ834" s="52" t="n">
        <f aca="false">IF(CL834&gt;0,CL834*MAX(1,AX834/X834),IF(BW834=1,IF(AX834&lt;=0,0,CA834*MAX(1,IF(H834&gt;0,AX834/H834,1))),IF(R834&gt;0,AY834/R834,0))/MAX(0.1,N(Parameter!$M$21)))</f>
        <v>0.00357142857142857</v>
      </c>
      <c r="BA834" s="50" t="n">
        <f aca="false">AZ834*BY834</f>
        <v>0.553571428571429</v>
      </c>
      <c r="BB834" s="50" t="n">
        <f aca="false">AX834*G834</f>
        <v>127.49</v>
      </c>
      <c r="BC834" s="50" t="n">
        <f aca="false">ROUNDUP(MAX(J834/IF(CD834&gt;0,CD834,MAX(0.1,N(Cockpit!$O$6))),CG834)/BV834,0)*BV834</f>
        <v>11</v>
      </c>
      <c r="BD834" s="51" t="n">
        <f aca="false">IF(BA834&gt;0,J834/BA834,-1)</f>
        <v>0</v>
      </c>
      <c r="BE834" s="51" t="n">
        <f aca="false">IF(AND(OR(CC834="L1",CC834="L23",CC834="LIFT"),BA834&gt;0),SUMIFS($BA$7:$BA$1843,$CC$7:$CC$1843,CC834,$BD$7:$BD$1843,"&gt;"&amp;BD834)+SUMIFS($BA$7:$BA$1843,$CC$7:$CC$1843,CC834,$BD$7:$BD$1843,BD834,$BT$7:$BT$1843,"&lt;="&amp;BT834),"")</f>
        <v>37048.7542657437</v>
      </c>
      <c r="BF834" s="58" t="n">
        <f aca="false">IF(BE834="",0,MAX(0,MIN(1,(IF(CC834="L1",Parameter!$H$5,IF(CC834="L23",Parameter!$H$6+Parameter!$H$7,Parameter!$H$5+Parameter!$H$6+Parameter!$H$7))-(BE834-BA834))/BA834)))</f>
        <v>0</v>
      </c>
      <c r="BG834" s="48" t="str">
        <f aca="false">IF(AI834&lt;=0,"",IF(CC834="Aussen","Aussenlager",IF(CC834="-","Nicht im Lift",IF(AN834&gt;=1,"Lift",IF(AN834&lt;=0,"Aussenlager","teilweise")))))</f>
        <v>Lift</v>
      </c>
      <c r="BH834" s="48" t="str">
        <f aca="false">IF(AR834&lt;=0,"",IF(CC834="Aussen","Aussenlager",IF(CC834="-","Nicht im Lift",IF(AW834&gt;=1,"Lift",IF(AW834&lt;=0,"Aussenlager","teilweise")))))</f>
        <v>Aussenlager</v>
      </c>
      <c r="BI834" s="48" t="str">
        <f aca="false">IF(BA834&lt;=0,"",IF(CC834="Aussen","Aussenlager",IF(CC834="-","Nicht im Lift",IF(BF834&gt;=1,"Lift",IF(BF834&lt;=0,"Aussenlager","teilweise")))))</f>
        <v>Aussenlager</v>
      </c>
      <c r="BJ834" s="48" t="str">
        <f aca="false">IF(A834="","",IF(BS834=1,"Neu; ","")&amp;IF(AND(BS834=0,BN834&lt;0),"negativer Bestand (Export "&amp;BN834&amp;"); ","")&amp;IF(J834&lt;=0,"Kein Verbrauch; ","")&amp;IF(CL834&gt;0,"Lift "&amp;W834&amp;" lt. Liftbericht (Fach "&amp;X834&amp;" Stk); ",IF(BX834=1,"Gebinde geschätzt ("&amp;T834&amp;"); ",IF(BW834=1,"Lose – Tablare geschätzt; ","")))&amp;IF(H834&gt;AT834,"Überbestand "&amp;ROUND(H834-AT834,0)&amp;" Stk / CHF "&amp;ROUND((H834-AT834)*G834,0)&amp;"; ","")&amp;IF(AND(CE834=1,CF834&lt;CG834),"MAX &lt; MB+LG; ","")&amp;IF(AND(CK834&gt;0,CJ834*10&gt;CK834),"zu hoch für Tablar; ","")&amp;IF(AND(BS834=0,OR(CE834=1,AA834&lt;&gt;"",U834&lt;&gt;"",V834&lt;&gt;"",AB834&lt;&gt;"")),"manuell übersteuert; ","")&amp;IF(AND(BW834=0,R834=0),"Gebinde unbekannt / Stellmass fehlt; ","")&amp;IF(AND(BW834=0,N(V834)&lt;=0,N(Q834)&lt;=0),"Menge pro Gebinde fehlt (Ist = 1 Gebinde); ","")&amp;BR834)</f>
        <v>negativer Bestand (Export -1); Kein Verbrauch; Neu</v>
      </c>
      <c r="BK834" s="48"/>
      <c r="BL834" s="48"/>
      <c r="BM834" s="55"/>
      <c r="BN834" s="50" t="n">
        <v>-1</v>
      </c>
      <c r="BO834" s="50" t="n">
        <v>11</v>
      </c>
      <c r="BP834" s="49" t="n">
        <v>-11.59</v>
      </c>
      <c r="BQ834" s="50" t="n">
        <v>0</v>
      </c>
      <c r="BR834" s="48" t="s">
        <v>630</v>
      </c>
      <c r="BS834" s="53" t="n">
        <v>0</v>
      </c>
      <c r="BT834" s="53" t="n">
        <v>834</v>
      </c>
      <c r="BU834" s="48" t="str">
        <f aca="false">IF(U834&lt;&gt;"",UPPER(TRIM(U834)),IF(BX834=1,UPPER(VLOOKUP(T834,Parameter!$I$27:$K$29,2,0)),IF(P834="","LOSE",P834)))</f>
        <v>S21</v>
      </c>
      <c r="BV834" s="50" t="n">
        <f aca="false">IF(BU834="LOSE",1,IF(N(V834)&gt;0,V834,IF(BX834=1,MAX(1,N(VLOOKUP(T834,Parameter!$I$27:$K$29,3,0)),H834,N(N834)),IF(N(Q834)&gt;0,Q834,MAX(1,H834)))))</f>
        <v>11</v>
      </c>
      <c r="BW834" s="53" t="n">
        <f aca="false">IF(BU834="LOSE",1,0)</f>
        <v>0</v>
      </c>
      <c r="BX834" s="53" t="n">
        <f aca="false">IF(AND(U834="",OR(P834="",P834="LOSE"),T834&lt;&gt;"",N(S834)&lt;=0,ISNUMBER(MATCH(T834,Parameter!$I$27:$I$29,0))),1,0)</f>
        <v>0</v>
      </c>
      <c r="BY834" s="53" t="n">
        <f aca="false">IF(CL834&gt;0,INDEX(Parameter!$H$5:$H$7,W834)/INDEX(Parameter!$E$5:$E$7,W834),IF(AND(BW834=0,N(IFERROR(VLOOKUP(BU834,'Gebinde-Kategorie'!$A$5:$N$45,14,0),0))&gt;0),VLOOKUP(BU834,'Gebinde-Kategorie'!$A$5:$N$45,14,0)*10+Parameter!$M$23,Parameter!$M$24))</f>
        <v>155</v>
      </c>
      <c r="BZ834" s="48" t="str">
        <f aca="false">IF(AND(Parameter!$B$19="Ja",E834&lt;&gt;"",ISNUMBER(MATCH(E834,Parameter!$I$35:$I$52,0))),VLOOKUP(E834,Parameter!$I$35:$J$52,2,0),IFERROR(VLOOKUP(D834,Parameter!$A$35:$C$64,2,0),"Nein"))</f>
        <v>2+3</v>
      </c>
      <c r="CA834" s="52" t="n">
        <f aca="false">IF(BW834=0,0,IF(N(S834)&gt;0,S834,IFERROR(VLOOKUP(D834,Parameter!$A$35:$C$64,3,0)+0,0)))</f>
        <v>0</v>
      </c>
      <c r="CB834" s="48" t="n">
        <f aca="false">IF(AA834&lt;&gt;"",AA834,Z834)</f>
        <v>3</v>
      </c>
      <c r="CC834" s="48" t="str">
        <f aca="false">IF(OR(CB834=1,CB834=2,CB834=3),IF(Parameter!$E$27="Ja","LIFT",IF(CB834=1,"L1","L23")),IF(CB834="Aussen","Aussen","-"))</f>
        <v>LIFT</v>
      </c>
      <c r="CD834" s="59" t="n">
        <f aca="false">IF(N(AB834)&gt;0,AB834,0)</f>
        <v>0</v>
      </c>
      <c r="CE834" s="53" t="n">
        <f aca="false">IF(ISNUMBER(AE834),1,0)</f>
        <v>0</v>
      </c>
      <c r="CF834" s="50" t="n">
        <f aca="false">N(AE834)</f>
        <v>0</v>
      </c>
      <c r="CG834" s="50" t="n">
        <f aca="false">N(M834)+N(N834)</f>
        <v>1</v>
      </c>
      <c r="CH834" s="50" t="n">
        <f aca="false">ROUNDUP(H834/BV834,0)</f>
        <v>1</v>
      </c>
      <c r="CI834" s="50" t="n">
        <f aca="false">ROUNDUP(CF834/BV834,0)</f>
        <v>0</v>
      </c>
      <c r="CJ834" s="53" t="n">
        <f aca="false">IF(BW834=1,0,IFERROR(VLOOKUP(BU834,'Gebinde-Kategorie'!$A$5:$N$45,5,0)+0,0))</f>
        <v>8</v>
      </c>
      <c r="CK834" s="53" t="n">
        <f aca="false">IFERROR(IF(OR(CB834=1,CB834=2,CB834=3),N(INDEX(Parameter!$I$5:$I$7,CB834)),0),0)</f>
        <v>0</v>
      </c>
      <c r="CL834" s="52" t="n">
        <f aca="false">IF(AND(Parameter!$B$21="Ja",ISNUMBER(W834),N(X834)&gt;0),IFERROR(N(INDEX(Parameter!$L$5:$L$7,W834))*INDEX(Parameter!$E$5:$E$7,W834)*X834/SUMIFS($X$7:$X$1843,$W$7:$W$1843,W834),0),0)</f>
        <v>0</v>
      </c>
    </row>
    <row r="835" customFormat="false" ht="15" hidden="false" customHeight="false" outlineLevel="0" collapsed="false">
      <c r="A835" s="48" t="s">
        <v>1608</v>
      </c>
      <c r="B835" s="48" t="s">
        <v>1609</v>
      </c>
      <c r="C835" s="48" t="s">
        <v>168</v>
      </c>
      <c r="D835" s="48" t="s">
        <v>188</v>
      </c>
      <c r="E835" s="48" t="s">
        <v>189</v>
      </c>
      <c r="F835" s="48" t="s">
        <v>222</v>
      </c>
      <c r="G835" s="49" t="n">
        <v>0.91</v>
      </c>
      <c r="H835" s="50" t="n">
        <f aca="false">MAX(0,IF(AND(Parameter!$B$21="Ja",ISNUMBER(Y835)),Y835,IF(Parameter!$B$20="Jahresanfang 2025 + Export",BO835+BN835,BN835)))</f>
        <v>26</v>
      </c>
      <c r="I835" s="50" t="n">
        <f aca="false">H835*G835</f>
        <v>23.66</v>
      </c>
      <c r="J835" s="50" t="n">
        <f aca="false">BQ835*Parameter!$B$18</f>
        <v>10</v>
      </c>
      <c r="K835" s="51" t="n">
        <v>34</v>
      </c>
      <c r="L835" s="52" t="n">
        <v>0.294117647058824</v>
      </c>
      <c r="M835" s="50" t="n">
        <v>0</v>
      </c>
      <c r="N835" s="50" t="n">
        <v>10</v>
      </c>
      <c r="O835" s="53" t="n">
        <v>21</v>
      </c>
      <c r="P835" s="48" t="s">
        <v>480</v>
      </c>
      <c r="Q835" s="50" t="n">
        <v>65</v>
      </c>
      <c r="R835" s="53" t="n">
        <f aca="false">IF(BW835=1,0,IFERROR(VLOOKUP(BU835,'Gebinde-Kategorie'!$A$5:$N$45,13,0)+0,0))</f>
        <v>52</v>
      </c>
      <c r="S835" s="54"/>
      <c r="T835" s="55"/>
      <c r="U835" s="55"/>
      <c r="V835" s="55"/>
      <c r="W835" s="48"/>
      <c r="X835" s="50"/>
      <c r="Y835" s="50"/>
      <c r="Z835" s="48" t="n">
        <f aca="false">IF(A835="","",IF(AND(Parameter!$B$21="Ja",ISNUMBER(W835)),W835,IF(BZ835="2+3",IF(ISNUMBER(SEARCH("grosser Artikel",BR835)),2,IFERROR(VLOOKUP(BU835,Parameter!$F$35:$G$64,2,0),2)),IF(OR(BZ835="Nein",BZ835=""),"-",BZ835))))</f>
        <v>3</v>
      </c>
      <c r="AA835" s="55"/>
      <c r="AB835" s="56"/>
      <c r="AC835" s="50" t="n">
        <f aca="false">AT835</f>
        <v>65</v>
      </c>
      <c r="AD835" s="50" t="n">
        <f aca="false">MAX(AT835,H835)</f>
        <v>65</v>
      </c>
      <c r="AE835" s="57"/>
      <c r="AF835" s="50" t="n">
        <f aca="false">IF(LEFT(Cockpit!$C$5,1)="A",H835,IF(CE835=1,CF835,IF(LEFT(Cockpit!$C$5,1)="B",AK835,MAX(AK835,H835))))</f>
        <v>26</v>
      </c>
      <c r="AG835" s="50" t="n">
        <f aca="false">IF(BW835=1,0,ROUNDUP(AF835/BV835,0))</f>
        <v>1</v>
      </c>
      <c r="AH835" s="52" t="n">
        <f aca="false">IF(CL835&gt;0,CL835*MAX(1,AF835/X835),IF(BW835=1,IF(AF835&lt;=0,0,CA835*MAX(1,IF(H835&gt;0,AF835/H835,1))),IF(R835&gt;0,AG835/R835,0))/MAX(0.1,N(Parameter!$M$21)))</f>
        <v>0.0192307692307692</v>
      </c>
      <c r="AI835" s="50" t="n">
        <f aca="false">AH835*BY835</f>
        <v>2.98076923076923</v>
      </c>
      <c r="AJ835" s="50" t="n">
        <f aca="false">AF835*G835</f>
        <v>23.66</v>
      </c>
      <c r="AK835" s="50" t="n">
        <f aca="false">ROUNDUP(MAX(J835/IF(CD835&gt;0,CD835,MAX(0.1,N(Cockpit!$C$6))),CG835)/BV835,0)*BV835</f>
        <v>65</v>
      </c>
      <c r="AL835" s="51" t="n">
        <f aca="false">IF(AI835&gt;0,J835/AI835,-1)</f>
        <v>3.35483870967742</v>
      </c>
      <c r="AM835" s="51" t="n">
        <f aca="false">IF(AND(OR(CC835="L1",CC835="L23",CC835="LIFT"),AI835&gt;0),SUMIFS($AI$7:$AI$1843,$CC$7:$CC$1843,CC835,$AL$7:$AL$1843,"&gt;"&amp;AL835)+SUMIFS($AI$7:$AI$1843,$CC$7:$CC$1843,CC835,$AL$7:$AL$1843,AL835,$BT$7:$BT$1843,"&lt;="&amp;BT835),"")</f>
        <v>4945.15521978022</v>
      </c>
      <c r="AN835" s="58" t="n">
        <f aca="false">IF(AM835="",0,MAX(0,MIN(1,(IF(CC835="L1",Parameter!$H$5,IF(CC835="L23",Parameter!$H$6+Parameter!$H$7,Parameter!$H$5+Parameter!$H$6+Parameter!$H$7))-(AM835-AI835))/AI835)))</f>
        <v>1</v>
      </c>
      <c r="AO835" s="50" t="n">
        <f aca="false">IF(LEFT(Cockpit!$I$5,1)="A",H835,IF(CE835=1,CF835,IF(LEFT(Cockpit!$I$5,1)="B",AT835,MAX(AT835,H835))))</f>
        <v>65</v>
      </c>
      <c r="AP835" s="50" t="n">
        <f aca="false">IF(BW835=1,0,ROUNDUP(AO835/BV835,0))</f>
        <v>1</v>
      </c>
      <c r="AQ835" s="52" t="n">
        <f aca="false">IF(CL835&gt;0,CL835*MAX(1,AO835/X835),IF(BW835=1,IF(AO835&lt;=0,0,CA835*MAX(1,IF(H835&gt;0,AO835/H835,1))),IF(R835&gt;0,AP835/R835,0))/MAX(0.1,N(Parameter!$M$21)))</f>
        <v>0.0192307692307692</v>
      </c>
      <c r="AR835" s="50" t="n">
        <f aca="false">AQ835*BY835</f>
        <v>2.98076923076923</v>
      </c>
      <c r="AS835" s="50" t="n">
        <f aca="false">AO835*G835</f>
        <v>59.15</v>
      </c>
      <c r="AT835" s="50" t="n">
        <f aca="false">ROUNDUP(MAX(J835/IF(CD835&gt;0,CD835,MAX(0.1,N(Cockpit!$I$6))),CG835)/BV835,0)*BV835</f>
        <v>65</v>
      </c>
      <c r="AU835" s="51" t="n">
        <f aca="false">IF(AR835&gt;0,J835/AR835,-1)</f>
        <v>3.35483870967742</v>
      </c>
      <c r="AV835" s="51" t="n">
        <f aca="false">IF(AND(OR(CC835="L1",CC835="L23",CC835="LIFT"),AR835&gt;0),SUMIFS($AR$7:$AR$1843,$CC$7:$CC$1843,CC835,$AU$7:$AU$1843,"&gt;"&amp;AU835)+SUMIFS($AR$7:$AR$1843,$CC$7:$CC$1843,CC835,$AU$7:$AU$1843,AU835,$BT$7:$BT$1843,"&lt;="&amp;BT835),"")</f>
        <v>6043.93406593407</v>
      </c>
      <c r="AW835" s="58" t="n">
        <f aca="false">IF(AV835="",0,MAX(0,MIN(1,(IF(CC835="L1",Parameter!$H$5,IF(CC835="L23",Parameter!$H$6+Parameter!$H$7,Parameter!$H$5+Parameter!$H$6+Parameter!$H$7))-(AV835-AR835))/AR835)))</f>
        <v>1</v>
      </c>
      <c r="AX835" s="50" t="n">
        <f aca="false">IF(LEFT(Cockpit!$O$5,1)="A",H835,IF(CE835=1,CF835,IF(LEFT(Cockpit!$O$5,1)="B",BC835,MAX(BC835,H835))))</f>
        <v>65</v>
      </c>
      <c r="AY835" s="50" t="n">
        <f aca="false">IF(BW835=1,0,ROUNDUP(AX835/BV835,0))</f>
        <v>1</v>
      </c>
      <c r="AZ835" s="52" t="n">
        <f aca="false">IF(CL835&gt;0,CL835*MAX(1,AX835/X835),IF(BW835=1,IF(AX835&lt;=0,0,CA835*MAX(1,IF(H835&gt;0,AX835/H835,1))),IF(R835&gt;0,AY835/R835,0))/MAX(0.1,N(Parameter!$M$21)))</f>
        <v>0.0192307692307692</v>
      </c>
      <c r="BA835" s="50" t="n">
        <f aca="false">AZ835*BY835</f>
        <v>2.98076923076923</v>
      </c>
      <c r="BB835" s="50" t="n">
        <f aca="false">AX835*G835</f>
        <v>59.15</v>
      </c>
      <c r="BC835" s="50" t="n">
        <f aca="false">ROUNDUP(MAX(J835/IF(CD835&gt;0,CD835,MAX(0.1,N(Cockpit!$O$6))),CG835)/BV835,0)*BV835</f>
        <v>65</v>
      </c>
      <c r="BD835" s="51" t="n">
        <f aca="false">IF(BA835&gt;0,J835/BA835,-1)</f>
        <v>3.35483870967742</v>
      </c>
      <c r="BE835" s="51" t="n">
        <f aca="false">IF(AND(OR(CC835="L1",CC835="L23",CC835="LIFT"),BA835&gt;0),SUMIFS($BA$7:$BA$1843,$CC$7:$CC$1843,CC835,$BD$7:$BD$1843,"&gt;"&amp;BD835)+SUMIFS($BA$7:$BA$1843,$CC$7:$CC$1843,CC835,$BD$7:$BD$1843,BD835,$BT$7:$BT$1843,"&lt;="&amp;BT835),"")</f>
        <v>6031.7706043956</v>
      </c>
      <c r="BF835" s="58" t="n">
        <f aca="false">IF(BE835="",0,MAX(0,MIN(1,(IF(CC835="L1",Parameter!$H$5,IF(CC835="L23",Parameter!$H$6+Parameter!$H$7,Parameter!$H$5+Parameter!$H$6+Parameter!$H$7))-(BE835-BA835))/BA835)))</f>
        <v>1</v>
      </c>
      <c r="BG835" s="48" t="str">
        <f aca="false">IF(AI835&lt;=0,"",IF(CC835="Aussen","Aussenlager",IF(CC835="-","Nicht im Lift",IF(AN835&gt;=1,"Lift",IF(AN835&lt;=0,"Aussenlager","teilweise")))))</f>
        <v>Lift</v>
      </c>
      <c r="BH835" s="48" t="str">
        <f aca="false">IF(AR835&lt;=0,"",IF(CC835="Aussen","Aussenlager",IF(CC835="-","Nicht im Lift",IF(AW835&gt;=1,"Lift",IF(AW835&lt;=0,"Aussenlager","teilweise")))))</f>
        <v>Lift</v>
      </c>
      <c r="BI835" s="48" t="str">
        <f aca="false">IF(BA835&lt;=0,"",IF(CC835="Aussen","Aussenlager",IF(CC835="-","Nicht im Lift",IF(BF835&gt;=1,"Lift",IF(BF835&lt;=0,"Aussenlager","teilweise")))))</f>
        <v>Lift</v>
      </c>
      <c r="BJ835" s="48" t="str">
        <f aca="false">IF(A835="","",IF(BS835=1,"Neu; ","")&amp;IF(AND(BS835=0,BN835&lt;0),"negativer Bestand (Export "&amp;BN835&amp;"); ","")&amp;IF(J835&lt;=0,"Kein Verbrauch; ","")&amp;IF(CL835&gt;0,"Lift "&amp;W835&amp;" lt. Liftbericht (Fach "&amp;X835&amp;" Stk); ",IF(BX835=1,"Gebinde geschätzt ("&amp;T835&amp;"); ",IF(BW835=1,"Lose – Tablare geschätzt; ","")))&amp;IF(H835&gt;AT835,"Überbestand "&amp;ROUND(H835-AT835,0)&amp;" Stk / CHF "&amp;ROUND((H835-AT835)*G835,0)&amp;"; ","")&amp;IF(AND(CE835=1,CF835&lt;CG835),"MAX &lt; MB+LG; ","")&amp;IF(AND(CK835&gt;0,CJ835*10&gt;CK835),"zu hoch für Tablar; ","")&amp;IF(AND(BS835=0,OR(CE835=1,AA835&lt;&gt;"",U835&lt;&gt;"",V835&lt;&gt;"",AB835&lt;&gt;"")),"manuell übersteuert; ","")&amp;IF(AND(BW835=0,R835=0),"Gebinde unbekannt / Stellmass fehlt; ","")&amp;IF(AND(BW835=0,N(V835)&lt;=0,N(Q835)&lt;=0),"Menge pro Gebinde fehlt (Ist = 1 Gebinde); ","")&amp;BR835)</f>
        <v>negativer Bestand (Export -13); Überbestand</v>
      </c>
      <c r="BK835" s="48"/>
      <c r="BL835" s="48"/>
      <c r="BM835" s="55"/>
      <c r="BN835" s="50" t="n">
        <v>-13</v>
      </c>
      <c r="BO835" s="50" t="n">
        <v>39</v>
      </c>
      <c r="BP835" s="49" t="n">
        <v>-11.83</v>
      </c>
      <c r="BQ835" s="50" t="n">
        <v>10</v>
      </c>
      <c r="BR835" s="48" t="s">
        <v>396</v>
      </c>
      <c r="BS835" s="53" t="n">
        <v>0</v>
      </c>
      <c r="BT835" s="53" t="n">
        <v>835</v>
      </c>
      <c r="BU835" s="48" t="str">
        <f aca="false">IF(U835&lt;&gt;"",UPPER(TRIM(U835)),IF(BX835=1,UPPER(VLOOKUP(T835,Parameter!$I$27:$K$29,2,0)),IF(P835="","LOSE",P835)))</f>
        <v>S33</v>
      </c>
      <c r="BV835" s="50" t="n">
        <f aca="false">IF(BU835="LOSE",1,IF(N(V835)&gt;0,V835,IF(BX835=1,MAX(1,N(VLOOKUP(T835,Parameter!$I$27:$K$29,3,0)),H835,N(N835)),IF(N(Q835)&gt;0,Q835,MAX(1,H835)))))</f>
        <v>65</v>
      </c>
      <c r="BW835" s="53" t="n">
        <f aca="false">IF(BU835="LOSE",1,0)</f>
        <v>0</v>
      </c>
      <c r="BX835" s="53" t="n">
        <f aca="false">IF(AND(U835="",OR(P835="",P835="LOSE"),T835&lt;&gt;"",N(S835)&lt;=0,ISNUMBER(MATCH(T835,Parameter!$I$27:$I$29,0))),1,0)</f>
        <v>0</v>
      </c>
      <c r="BY835" s="53" t="n">
        <f aca="false">IF(CL835&gt;0,INDEX(Parameter!$H$5:$H$7,W835)/INDEX(Parameter!$E$5:$E$7,W835),IF(AND(BW835=0,N(IFERROR(VLOOKUP(BU835,'Gebinde-Kategorie'!$A$5:$N$45,14,0),0))&gt;0),VLOOKUP(BU835,'Gebinde-Kategorie'!$A$5:$N$45,14,0)*10+Parameter!$M$23,Parameter!$M$24))</f>
        <v>155</v>
      </c>
      <c r="BZ835" s="48" t="str">
        <f aca="false">IF(AND(Parameter!$B$19="Ja",E835&lt;&gt;"",ISNUMBER(MATCH(E835,Parameter!$I$35:$I$52,0))),VLOOKUP(E835,Parameter!$I$35:$J$52,2,0),IFERROR(VLOOKUP(D835,Parameter!$A$35:$C$64,2,0),"Nein"))</f>
        <v>2+3</v>
      </c>
      <c r="CA835" s="52" t="n">
        <f aca="false">IF(BW835=0,0,IF(N(S835)&gt;0,S835,IFERROR(VLOOKUP(D835,Parameter!$A$35:$C$64,3,0)+0,0)))</f>
        <v>0</v>
      </c>
      <c r="CB835" s="48" t="n">
        <f aca="false">IF(AA835&lt;&gt;"",AA835,Z835)</f>
        <v>3</v>
      </c>
      <c r="CC835" s="48" t="str">
        <f aca="false">IF(OR(CB835=1,CB835=2,CB835=3),IF(Parameter!$E$27="Ja","LIFT",IF(CB835=1,"L1","L23")),IF(CB835="Aussen","Aussen","-"))</f>
        <v>LIFT</v>
      </c>
      <c r="CD835" s="59" t="n">
        <f aca="false">IF(N(AB835)&gt;0,AB835,0)</f>
        <v>0</v>
      </c>
      <c r="CE835" s="53" t="n">
        <f aca="false">IF(ISNUMBER(AE835),1,0)</f>
        <v>0</v>
      </c>
      <c r="CF835" s="50" t="n">
        <f aca="false">N(AE835)</f>
        <v>0</v>
      </c>
      <c r="CG835" s="50" t="n">
        <f aca="false">N(M835)+N(N835)</f>
        <v>10</v>
      </c>
      <c r="CH835" s="50" t="n">
        <f aca="false">ROUNDUP(H835/BV835,0)</f>
        <v>1</v>
      </c>
      <c r="CI835" s="50" t="n">
        <f aca="false">ROUNDUP(CF835/BV835,0)</f>
        <v>0</v>
      </c>
      <c r="CJ835" s="53" t="n">
        <f aca="false">IF(BW835=1,0,IFERROR(VLOOKUP(BU835,'Gebinde-Kategorie'!$A$5:$N$45,5,0)+0,0))</f>
        <v>8</v>
      </c>
      <c r="CK835" s="53" t="n">
        <f aca="false">IFERROR(IF(OR(CB835=1,CB835=2,CB835=3),N(INDEX(Parameter!$I$5:$I$7,CB835)),0),0)</f>
        <v>0</v>
      </c>
      <c r="CL835" s="52" t="n">
        <f aca="false">IF(AND(Parameter!$B$21="Ja",ISNUMBER(W835),N(X835)&gt;0),IFERROR(N(INDEX(Parameter!$L$5:$L$7,W835))*INDEX(Parameter!$E$5:$E$7,W835)*X835/SUMIFS($X$7:$X$1843,$W$7:$W$1843,W835),0),0)</f>
        <v>0</v>
      </c>
    </row>
    <row r="836" customFormat="false" ht="15" hidden="false" customHeight="false" outlineLevel="0" collapsed="false">
      <c r="A836" s="48" t="s">
        <v>1610</v>
      </c>
      <c r="B836" s="48" t="s">
        <v>409</v>
      </c>
      <c r="C836" s="48" t="s">
        <v>168</v>
      </c>
      <c r="D836" s="48" t="s">
        <v>177</v>
      </c>
      <c r="E836" s="48" t="s">
        <v>189</v>
      </c>
      <c r="F836" s="48" t="s">
        <v>222</v>
      </c>
      <c r="G836" s="49" t="n">
        <v>2.27</v>
      </c>
      <c r="H836" s="50" t="n">
        <f aca="false">MAX(0,IF(AND(Parameter!$B$21="Ja",ISNUMBER(Y836)),Y836,IF(Parameter!$B$20="Jahresanfang 2025 + Export",BO836+BN836,BN836)))</f>
        <v>1430</v>
      </c>
      <c r="I836" s="50" t="n">
        <f aca="false">H836*G836</f>
        <v>3246.1</v>
      </c>
      <c r="J836" s="50" t="n">
        <f aca="false">BQ836*Parameter!$B$18</f>
        <v>2274</v>
      </c>
      <c r="K836" s="51" t="n">
        <v>1423.5</v>
      </c>
      <c r="L836" s="52" t="n">
        <v>1.59747102212856</v>
      </c>
      <c r="M836" s="50" t="n">
        <v>140</v>
      </c>
      <c r="N836" s="50" t="n">
        <v>500</v>
      </c>
      <c r="O836" s="53" t="n">
        <v>21</v>
      </c>
      <c r="P836" s="48" t="s">
        <v>230</v>
      </c>
      <c r="Q836" s="50" t="n">
        <v>200</v>
      </c>
      <c r="R836" s="53" t="n">
        <f aca="false">IF(BW836=1,0,IFERROR(VLOOKUP(BU836,'Gebinde-Kategorie'!$A$5:$N$45,13,0)+0,0))</f>
        <v>12</v>
      </c>
      <c r="S836" s="54"/>
      <c r="T836" s="55"/>
      <c r="U836" s="55"/>
      <c r="V836" s="55"/>
      <c r="W836" s="48"/>
      <c r="X836" s="50"/>
      <c r="Y836" s="50"/>
      <c r="Z836" s="48" t="n">
        <f aca="false">IF(A836="","",IF(AND(Parameter!$B$21="Ja",ISNUMBER(W836)),W836,IF(BZ836="2+3",IF(ISNUMBER(SEARCH("grosser Artikel",BR836)),2,IFERROR(VLOOKUP(BU836,Parameter!$F$35:$G$64,2,0),2)),IF(OR(BZ836="Nein",BZ836=""),"-",BZ836))))</f>
        <v>2</v>
      </c>
      <c r="AA836" s="55"/>
      <c r="AB836" s="56"/>
      <c r="AC836" s="50" t="n">
        <f aca="false">AT836</f>
        <v>1200</v>
      </c>
      <c r="AD836" s="50" t="n">
        <f aca="false">MAX(AT836,H836)</f>
        <v>1430</v>
      </c>
      <c r="AE836" s="57"/>
      <c r="AF836" s="50" t="n">
        <f aca="false">IF(LEFT(Cockpit!$C$5,1)="A",H836,IF(CE836=1,CF836,IF(LEFT(Cockpit!$C$5,1)="B",AK836,MAX(AK836,H836))))</f>
        <v>1430</v>
      </c>
      <c r="AG836" s="50" t="n">
        <f aca="false">IF(BW836=1,0,ROUNDUP(AF836/BV836,0))</f>
        <v>8</v>
      </c>
      <c r="AH836" s="52" t="n">
        <f aca="false">IF(CL836&gt;0,CL836*MAX(1,AF836/X836),IF(BW836=1,IF(AF836&lt;=0,0,CA836*MAX(1,IF(H836&gt;0,AF836/H836,1))),IF(R836&gt;0,AG836/R836,0))/MAX(0.1,N(Parameter!$M$21)))</f>
        <v>0.666666666666667</v>
      </c>
      <c r="AI836" s="50" t="n">
        <f aca="false">AH836*BY836</f>
        <v>230</v>
      </c>
      <c r="AJ836" s="50" t="n">
        <f aca="false">AF836*G836</f>
        <v>3246.1</v>
      </c>
      <c r="AK836" s="50" t="n">
        <f aca="false">ROUNDUP(MAX(J836/IF(CD836&gt;0,CD836,MAX(0.1,N(Cockpit!$C$6))),CG836)/BV836,0)*BV836</f>
        <v>1200</v>
      </c>
      <c r="AL836" s="51" t="n">
        <f aca="false">IF(AI836&gt;0,J836/AI836,-1)</f>
        <v>9.88695652173913</v>
      </c>
      <c r="AM836" s="51" t="n">
        <f aca="false">IF(AND(OR(CC836="L1",CC836="L23",CC836="LIFT"),AI836&gt;0),SUMIFS($AI$7:$AI$1843,$CC$7:$CC$1843,CC836,$AL$7:$AL$1843,"&gt;"&amp;AL836)+SUMIFS($AI$7:$AI$1843,$CC$7:$CC$1843,CC836,$AL$7:$AL$1843,AL836,$BT$7:$BT$1843,"&lt;="&amp;BT836),"")</f>
        <v>2872.40613553114</v>
      </c>
      <c r="AN836" s="58" t="n">
        <f aca="false">IF(AM836="",0,MAX(0,MIN(1,(IF(CC836="L1",Parameter!$H$5,IF(CC836="L23",Parameter!$H$6+Parameter!$H$7,Parameter!$H$5+Parameter!$H$6+Parameter!$H$7))-(AM836-AI836))/AI836)))</f>
        <v>1</v>
      </c>
      <c r="AO836" s="50" t="n">
        <f aca="false">IF(LEFT(Cockpit!$I$5,1)="A",H836,IF(CE836=1,CF836,IF(LEFT(Cockpit!$I$5,1)="B",AT836,MAX(AT836,H836))))</f>
        <v>1430</v>
      </c>
      <c r="AP836" s="50" t="n">
        <f aca="false">IF(BW836=1,0,ROUNDUP(AO836/BV836,0))</f>
        <v>8</v>
      </c>
      <c r="AQ836" s="52" t="n">
        <f aca="false">IF(CL836&gt;0,CL836*MAX(1,AO836/X836),IF(BW836=1,IF(AO836&lt;=0,0,CA836*MAX(1,IF(H836&gt;0,AO836/H836,1))),IF(R836&gt;0,AP836/R836,0))/MAX(0.1,N(Parameter!$M$21)))</f>
        <v>0.666666666666667</v>
      </c>
      <c r="AR836" s="50" t="n">
        <f aca="false">AQ836*BY836</f>
        <v>230</v>
      </c>
      <c r="AS836" s="50" t="n">
        <f aca="false">AO836*G836</f>
        <v>3246.1</v>
      </c>
      <c r="AT836" s="50" t="n">
        <f aca="false">ROUNDUP(MAX(J836/IF(CD836&gt;0,CD836,MAX(0.1,N(Cockpit!$I$6))),CG836)/BV836,0)*BV836</f>
        <v>1200</v>
      </c>
      <c r="AU836" s="51" t="n">
        <f aca="false">IF(AR836&gt;0,J836/AR836,-1)</f>
        <v>9.88695652173913</v>
      </c>
      <c r="AV836" s="51" t="n">
        <f aca="false">IF(AND(OR(CC836="L1",CC836="L23",CC836="LIFT"),AR836&gt;0),SUMIFS($AR$7:$AR$1843,$CC$7:$CC$1843,CC836,$AU$7:$AU$1843,"&gt;"&amp;AU836)+SUMIFS($AR$7:$AR$1843,$CC$7:$CC$1843,CC836,$AU$7:$AU$1843,AU836,$BT$7:$BT$1843,"&lt;="&amp;BT836),"")</f>
        <v>4031.10714285714</v>
      </c>
      <c r="AW836" s="58" t="n">
        <f aca="false">IF(AV836="",0,MAX(0,MIN(1,(IF(CC836="L1",Parameter!$H$5,IF(CC836="L23",Parameter!$H$6+Parameter!$H$7,Parameter!$H$5+Parameter!$H$6+Parameter!$H$7))-(AV836-AR836))/AR836)))</f>
        <v>1</v>
      </c>
      <c r="AX836" s="50" t="n">
        <f aca="false">IF(LEFT(Cockpit!$O$5,1)="A",H836,IF(CE836=1,CF836,IF(LEFT(Cockpit!$O$5,1)="B",BC836,MAX(BC836,H836))))</f>
        <v>1430</v>
      </c>
      <c r="AY836" s="50" t="n">
        <f aca="false">IF(BW836=1,0,ROUNDUP(AX836/BV836,0))</f>
        <v>8</v>
      </c>
      <c r="AZ836" s="52" t="n">
        <f aca="false">IF(CL836&gt;0,CL836*MAX(1,AX836/X836),IF(BW836=1,IF(AX836&lt;=0,0,CA836*MAX(1,IF(H836&gt;0,AX836/H836,1))),IF(R836&gt;0,AY836/R836,0))/MAX(0.1,N(Parameter!$M$21)))</f>
        <v>0.666666666666667</v>
      </c>
      <c r="BA836" s="50" t="n">
        <f aca="false">AZ836*BY836</f>
        <v>230</v>
      </c>
      <c r="BB836" s="50" t="n">
        <f aca="false">AX836*G836</f>
        <v>3246.1</v>
      </c>
      <c r="BC836" s="50" t="n">
        <f aca="false">ROUNDUP(MAX(J836/IF(CD836&gt;0,CD836,MAX(0.1,N(Cockpit!$O$6))),CG836)/BV836,0)*BV836</f>
        <v>800</v>
      </c>
      <c r="BD836" s="51" t="n">
        <f aca="false">IF(BA836&gt;0,J836/BA836,-1)</f>
        <v>9.88695652173913</v>
      </c>
      <c r="BE836" s="51" t="n">
        <f aca="false">IF(AND(OR(CC836="L1",CC836="L23",CC836="LIFT"),BA836&gt;0),SUMIFS($BA$7:$BA$1843,$CC$7:$CC$1843,CC836,$BD$7:$BD$1843,"&gt;"&amp;BD836)+SUMIFS($BA$7:$BA$1843,$CC$7:$CC$1843,CC836,$BD$7:$BD$1843,BD836,$BT$7:$BT$1843,"&lt;="&amp;BT836),"")</f>
        <v>3689.23214285714</v>
      </c>
      <c r="BF836" s="58" t="n">
        <f aca="false">IF(BE836="",0,MAX(0,MIN(1,(IF(CC836="L1",Parameter!$H$5,IF(CC836="L23",Parameter!$H$6+Parameter!$H$7,Parameter!$H$5+Parameter!$H$6+Parameter!$H$7))-(BE836-BA836))/BA836)))</f>
        <v>1</v>
      </c>
      <c r="BG836" s="48" t="str">
        <f aca="false">IF(AI836&lt;=0,"",IF(CC836="Aussen","Aussenlager",IF(CC836="-","Nicht im Lift",IF(AN836&gt;=1,"Lift",IF(AN836&lt;=0,"Aussenlager","teilweise")))))</f>
        <v>Lift</v>
      </c>
      <c r="BH836" s="48" t="str">
        <f aca="false">IF(AR836&lt;=0,"",IF(CC836="Aussen","Aussenlager",IF(CC836="-","Nicht im Lift",IF(AW836&gt;=1,"Lift",IF(AW836&lt;=0,"Aussenlager","teilweise")))))</f>
        <v>Lift</v>
      </c>
      <c r="BI836" s="48" t="str">
        <f aca="false">IF(BA836&lt;=0,"",IF(CC836="Aussen","Aussenlager",IF(CC836="-","Nicht im Lift",IF(BF836&gt;=1,"Lift",IF(BF836&lt;=0,"Aussenlager","teilweise")))))</f>
        <v>Lift</v>
      </c>
      <c r="BJ836" s="48" t="str">
        <f aca="false">IF(A836="","",IF(BS836=1,"Neu; ","")&amp;IF(AND(BS836=0,BN836&lt;0),"negativer Bestand (Export "&amp;BN836&amp;"); ","")&amp;IF(J836&lt;=0,"Kein Verbrauch; ","")&amp;IF(CL836&gt;0,"Lift "&amp;W836&amp;" lt. Liftbericht (Fach "&amp;X836&amp;" Stk); ",IF(BX836=1,"Gebinde geschätzt ("&amp;T836&amp;"); ",IF(BW836=1,"Lose – Tablare geschätzt; ","")))&amp;IF(H836&gt;AT836,"Überbestand "&amp;ROUND(H836-AT836,0)&amp;" Stk / CHF "&amp;ROUND((H836-AT836)*G836,0)&amp;"; ","")&amp;IF(AND(CE836=1,CF836&lt;CG836),"MAX &lt; MB+LG; ","")&amp;IF(AND(CK836&gt;0,CJ836*10&gt;CK836),"zu hoch für Tablar; ","")&amp;IF(AND(BS836=0,OR(CE836=1,AA836&lt;&gt;"",U836&lt;&gt;"",V836&lt;&gt;"",AB836&lt;&gt;"")),"manuell übersteuert; ","")&amp;IF(AND(BW836=0,R836=0),"Gebinde unbekannt / Stellmass fehlt; ","")&amp;IF(AND(BW836=0,N(V836)&lt;=0,N(Q836)&lt;=0),"Menge pro Gebinde fehlt (Ist = 1 Gebinde); ","")&amp;BR836)</f>
        <v>negativer Bestand (Export -63); Überbestand 230 Stk / CHF 522; grosse  Artikelmenge</v>
      </c>
      <c r="BK836" s="48"/>
      <c r="BL836" s="48"/>
      <c r="BM836" s="55"/>
      <c r="BN836" s="50" t="n">
        <v>-63</v>
      </c>
      <c r="BO836" s="50" t="n">
        <v>1493</v>
      </c>
      <c r="BP836" s="49" t="n">
        <v>-11.8799999999993</v>
      </c>
      <c r="BQ836" s="50" t="n">
        <v>2274</v>
      </c>
      <c r="BR836" s="48" t="s">
        <v>1611</v>
      </c>
      <c r="BS836" s="53" t="n">
        <v>0</v>
      </c>
      <c r="BT836" s="53" t="n">
        <v>836</v>
      </c>
      <c r="BU836" s="48" t="str">
        <f aca="false">IF(U836&lt;&gt;"",UPPER(TRIM(U836)),IF(BX836=1,UPPER(VLOOKUP(T836,Parameter!$I$27:$K$29,2,0)),IF(P836="","LOSE",P836)))</f>
        <v>S63</v>
      </c>
      <c r="BV836" s="50" t="n">
        <f aca="false">IF(BU836="LOSE",1,IF(N(V836)&gt;0,V836,IF(BX836=1,MAX(1,N(VLOOKUP(T836,Parameter!$I$27:$K$29,3,0)),H836,N(N836)),IF(N(Q836)&gt;0,Q836,MAX(1,H836)))))</f>
        <v>200</v>
      </c>
      <c r="BW836" s="53" t="n">
        <f aca="false">IF(BU836="LOSE",1,0)</f>
        <v>0</v>
      </c>
      <c r="BX836" s="53" t="n">
        <f aca="false">IF(AND(U836="",OR(P836="",P836="LOSE"),T836&lt;&gt;"",N(S836)&lt;=0,ISNUMBER(MATCH(T836,Parameter!$I$27:$I$29,0))),1,0)</f>
        <v>0</v>
      </c>
      <c r="BY836" s="53" t="n">
        <f aca="false">IF(CL836&gt;0,INDEX(Parameter!$H$5:$H$7,W836)/INDEX(Parameter!$E$5:$E$7,W836),IF(AND(BW836=0,N(IFERROR(VLOOKUP(BU836,'Gebinde-Kategorie'!$A$5:$N$45,14,0),0))&gt;0),VLOOKUP(BU836,'Gebinde-Kategorie'!$A$5:$N$45,14,0)*10+Parameter!$M$23,Parameter!$M$24))</f>
        <v>345</v>
      </c>
      <c r="BZ836" s="48" t="str">
        <f aca="false">IF(AND(Parameter!$B$19="Ja",E836&lt;&gt;"",ISNUMBER(MATCH(E836,Parameter!$I$35:$I$52,0))),VLOOKUP(E836,Parameter!$I$35:$J$52,2,0),IFERROR(VLOOKUP(D836,Parameter!$A$35:$C$64,2,0),"Nein"))</f>
        <v>2+3</v>
      </c>
      <c r="CA836" s="52" t="n">
        <f aca="false">IF(BW836=0,0,IF(N(S836)&gt;0,S836,IFERROR(VLOOKUP(D836,Parameter!$A$35:$C$64,3,0)+0,0)))</f>
        <v>0</v>
      </c>
      <c r="CB836" s="48" t="n">
        <f aca="false">IF(AA836&lt;&gt;"",AA836,Z836)</f>
        <v>2</v>
      </c>
      <c r="CC836" s="48" t="str">
        <f aca="false">IF(OR(CB836=1,CB836=2,CB836=3),IF(Parameter!$E$27="Ja","LIFT",IF(CB836=1,"L1","L23")),IF(CB836="Aussen","Aussen","-"))</f>
        <v>LIFT</v>
      </c>
      <c r="CD836" s="59" t="n">
        <f aca="false">IF(N(AB836)&gt;0,AB836,0)</f>
        <v>0</v>
      </c>
      <c r="CE836" s="53" t="n">
        <f aca="false">IF(ISNUMBER(AE836),1,0)</f>
        <v>0</v>
      </c>
      <c r="CF836" s="50" t="n">
        <f aca="false">N(AE836)</f>
        <v>0</v>
      </c>
      <c r="CG836" s="50" t="n">
        <f aca="false">N(M836)+N(N836)</f>
        <v>640</v>
      </c>
      <c r="CH836" s="50" t="n">
        <f aca="false">ROUNDUP(H836/BV836,0)</f>
        <v>8</v>
      </c>
      <c r="CI836" s="50" t="n">
        <f aca="false">ROUNDUP(CF836/BV836,0)</f>
        <v>0</v>
      </c>
      <c r="CJ836" s="53" t="n">
        <f aca="false">IF(BW836=1,0,IFERROR(VLOOKUP(BU836,'Gebinde-Kategorie'!$A$5:$N$45,5,0)+0,0))</f>
        <v>31</v>
      </c>
      <c r="CK836" s="53" t="n">
        <f aca="false">IFERROR(IF(OR(CB836=1,CB836=2,CB836=3),N(INDEX(Parameter!$I$5:$I$7,CB836)),0),0)</f>
        <v>0</v>
      </c>
      <c r="CL836" s="52" t="n">
        <f aca="false">IF(AND(Parameter!$B$21="Ja",ISNUMBER(W836),N(X836)&gt;0),IFERROR(N(INDEX(Parameter!$L$5:$L$7,W836))*INDEX(Parameter!$E$5:$E$7,W836)*X836/SUMIFS($X$7:$X$1843,$W$7:$W$1843,W836),0),0)</f>
        <v>0</v>
      </c>
    </row>
    <row r="837" customFormat="false" ht="15" hidden="false" customHeight="false" outlineLevel="0" collapsed="false">
      <c r="A837" s="48" t="s">
        <v>1612</v>
      </c>
      <c r="B837" s="48" t="s">
        <v>536</v>
      </c>
      <c r="C837" s="48" t="s">
        <v>171</v>
      </c>
      <c r="D837" s="48" t="s">
        <v>188</v>
      </c>
      <c r="E837" s="48" t="s">
        <v>189</v>
      </c>
      <c r="F837" s="48" t="s">
        <v>222</v>
      </c>
      <c r="G837" s="49" t="n">
        <v>12.09</v>
      </c>
      <c r="H837" s="50" t="n">
        <f aca="false">MAX(0,IF(AND(Parameter!$B$21="Ja",ISNUMBER(Y837)),Y837,IF(Parameter!$B$20="Jahresanfang 2025 + Export",BO837+BN837,BN837)))</f>
        <v>153</v>
      </c>
      <c r="I837" s="50" t="n">
        <f aca="false">H837*G837</f>
        <v>1849.77</v>
      </c>
      <c r="J837" s="50" t="n">
        <f aca="false">BQ837*Parameter!$B$18</f>
        <v>0</v>
      </c>
      <c r="K837" s="51" t="n">
        <v>153.5</v>
      </c>
      <c r="L837" s="52" t="n">
        <v>0</v>
      </c>
      <c r="M837" s="50" t="n">
        <v>0</v>
      </c>
      <c r="N837" s="50" t="n">
        <v>1</v>
      </c>
      <c r="O837" s="53" t="n">
        <v>35</v>
      </c>
      <c r="P837" s="48" t="s">
        <v>297</v>
      </c>
      <c r="Q837" s="50" t="n">
        <v>169</v>
      </c>
      <c r="R837" s="53" t="n">
        <f aca="false">IF(BW837=1,0,IFERROR(VLOOKUP(BU837,'Gebinde-Kategorie'!$A$5:$N$45,13,0)+0,0))</f>
        <v>12</v>
      </c>
      <c r="S837" s="54"/>
      <c r="T837" s="55"/>
      <c r="U837" s="55"/>
      <c r="V837" s="55"/>
      <c r="W837" s="48"/>
      <c r="X837" s="50"/>
      <c r="Y837" s="50"/>
      <c r="Z837" s="48" t="n">
        <f aca="false">IF(A837="","",IF(AND(Parameter!$B$21="Ja",ISNUMBER(W837)),W837,IF(BZ837="2+3",IF(ISNUMBER(SEARCH("grosser Artikel",BR837)),2,IFERROR(VLOOKUP(BU837,Parameter!$F$35:$G$64,2,0),2)),IF(OR(BZ837="Nein",BZ837=""),"-",BZ837))))</f>
        <v>2</v>
      </c>
      <c r="AA837" s="55"/>
      <c r="AB837" s="56"/>
      <c r="AC837" s="50" t="n">
        <f aca="false">AT837</f>
        <v>169</v>
      </c>
      <c r="AD837" s="50" t="n">
        <f aca="false">MAX(AT837,H837)</f>
        <v>169</v>
      </c>
      <c r="AE837" s="57"/>
      <c r="AF837" s="50" t="n">
        <f aca="false">IF(LEFT(Cockpit!$C$5,1)="A",H837,IF(CE837=1,CF837,IF(LEFT(Cockpit!$C$5,1)="B",AK837,MAX(AK837,H837))))</f>
        <v>153</v>
      </c>
      <c r="AG837" s="50" t="n">
        <f aca="false">IF(BW837=1,0,ROUNDUP(AF837/BV837,0))</f>
        <v>1</v>
      </c>
      <c r="AH837" s="52" t="n">
        <f aca="false">IF(CL837&gt;0,CL837*MAX(1,AF837/X837),IF(BW837=1,IF(AF837&lt;=0,0,CA837*MAX(1,IF(H837&gt;0,AF837/H837,1))),IF(R837&gt;0,AG837/R837,0))/MAX(0.1,N(Parameter!$M$21)))</f>
        <v>0.0833333333333333</v>
      </c>
      <c r="AI837" s="50" t="n">
        <f aca="false">AH837*BY837</f>
        <v>20.4166666666667</v>
      </c>
      <c r="AJ837" s="50" t="n">
        <f aca="false">AF837*G837</f>
        <v>1849.77</v>
      </c>
      <c r="AK837" s="50" t="n">
        <f aca="false">ROUNDUP(MAX(J837/IF(CD837&gt;0,CD837,MAX(0.1,N(Cockpit!$C$6))),CG837)/BV837,0)*BV837</f>
        <v>169</v>
      </c>
      <c r="AL837" s="51" t="n">
        <f aca="false">IF(AI837&gt;0,J837/AI837,-1)</f>
        <v>0</v>
      </c>
      <c r="AM837" s="51" t="n">
        <f aca="false">IF(AND(OR(CC837="L1",CC837="L23",CC837="LIFT"),AI837&gt;0),SUMIFS($AI$7:$AI$1843,$CC$7:$CC$1843,CC837,$AL$7:$AL$1843,"&gt;"&amp;AL837)+SUMIFS($AI$7:$AI$1843,$CC$7:$CC$1843,CC837,$AL$7:$AL$1843,AL837,$BT$7:$BT$1843,"&lt;="&amp;BT837),"")</f>
        <v>28807.6462304174</v>
      </c>
      <c r="AN837" s="58" t="n">
        <f aca="false">IF(AM837="",0,MAX(0,MIN(1,(IF(CC837="L1",Parameter!$H$5,IF(CC837="L23",Parameter!$H$6+Parameter!$H$7,Parameter!$H$5+Parameter!$H$6+Parameter!$H$7))-(AM837-AI837))/AI837)))</f>
        <v>1</v>
      </c>
      <c r="AO837" s="50" t="n">
        <f aca="false">IF(LEFT(Cockpit!$I$5,1)="A",H837,IF(CE837=1,CF837,IF(LEFT(Cockpit!$I$5,1)="B",AT837,MAX(AT837,H837))))</f>
        <v>169</v>
      </c>
      <c r="AP837" s="50" t="n">
        <f aca="false">IF(BW837=1,0,ROUNDUP(AO837/BV837,0))</f>
        <v>1</v>
      </c>
      <c r="AQ837" s="52" t="n">
        <f aca="false">IF(CL837&gt;0,CL837*MAX(1,AO837/X837),IF(BW837=1,IF(AO837&lt;=0,0,CA837*MAX(1,IF(H837&gt;0,AO837/H837,1))),IF(R837&gt;0,AP837/R837,0))/MAX(0.1,N(Parameter!$M$21)))</f>
        <v>0.0833333333333333</v>
      </c>
      <c r="AR837" s="50" t="n">
        <f aca="false">AQ837*BY837</f>
        <v>20.4166666666667</v>
      </c>
      <c r="AS837" s="50" t="n">
        <f aca="false">AO837*G837</f>
        <v>2043.21</v>
      </c>
      <c r="AT837" s="50" t="n">
        <f aca="false">ROUNDUP(MAX(J837/IF(CD837&gt;0,CD837,MAX(0.1,N(Cockpit!$I$6))),CG837)/BV837,0)*BV837</f>
        <v>169</v>
      </c>
      <c r="AU837" s="51" t="n">
        <f aca="false">IF(AR837&gt;0,J837/AR837,-1)</f>
        <v>0</v>
      </c>
      <c r="AV837" s="51" t="n">
        <f aca="false">IF(AND(OR(CC837="L1",CC837="L23",CC837="LIFT"),AR837&gt;0),SUMIFS($AR$7:$AR$1843,$CC$7:$CC$1843,CC837,$AU$7:$AU$1843,"&gt;"&amp;AU837)+SUMIFS($AR$7:$AR$1843,$CC$7:$CC$1843,CC837,$AU$7:$AU$1843,AU837,$BT$7:$BT$1843,"&lt;="&amp;BT837),"")</f>
        <v>40394.1588905445</v>
      </c>
      <c r="AW837" s="58" t="n">
        <f aca="false">IF(AV837="",0,MAX(0,MIN(1,(IF(CC837="L1",Parameter!$H$5,IF(CC837="L23",Parameter!$H$6+Parameter!$H$7,Parameter!$H$5+Parameter!$H$6+Parameter!$H$7))-(AV837-AR837))/AR837)))</f>
        <v>0</v>
      </c>
      <c r="AX837" s="50" t="n">
        <f aca="false">IF(LEFT(Cockpit!$O$5,1)="A",H837,IF(CE837=1,CF837,IF(LEFT(Cockpit!$O$5,1)="B",BC837,MAX(BC837,H837))))</f>
        <v>169</v>
      </c>
      <c r="AY837" s="50" t="n">
        <f aca="false">IF(BW837=1,0,ROUNDUP(AX837/BV837,0))</f>
        <v>1</v>
      </c>
      <c r="AZ837" s="52" t="n">
        <f aca="false">IF(CL837&gt;0,CL837*MAX(1,AX837/X837),IF(BW837=1,IF(AX837&lt;=0,0,CA837*MAX(1,IF(H837&gt;0,AX837/H837,1))),IF(R837&gt;0,AY837/R837,0))/MAX(0.1,N(Parameter!$M$21)))</f>
        <v>0.0833333333333333</v>
      </c>
      <c r="BA837" s="50" t="n">
        <f aca="false">AZ837*BY837</f>
        <v>20.4166666666667</v>
      </c>
      <c r="BB837" s="50" t="n">
        <f aca="false">AX837*G837</f>
        <v>2043.21</v>
      </c>
      <c r="BC837" s="50" t="n">
        <f aca="false">ROUNDUP(MAX(J837/IF(CD837&gt;0,CD837,MAX(0.1,N(Cockpit!$O$6))),CG837)/BV837,0)*BV837</f>
        <v>169</v>
      </c>
      <c r="BD837" s="51" t="n">
        <f aca="false">IF(BA837&gt;0,J837/BA837,-1)</f>
        <v>0</v>
      </c>
      <c r="BE837" s="51" t="n">
        <f aca="false">IF(AND(OR(CC837="L1",CC837="L23",CC837="LIFT"),BA837&gt;0),SUMIFS($BA$7:$BA$1843,$CC$7:$CC$1843,CC837,$BD$7:$BD$1843,"&gt;"&amp;BD837)+SUMIFS($BA$7:$BA$1843,$CC$7:$CC$1843,CC837,$BD$7:$BD$1843,BD837,$BT$7:$BT$1843,"&lt;="&amp;BT837),"")</f>
        <v>37069.1709324103</v>
      </c>
      <c r="BF837" s="58" t="n">
        <f aca="false">IF(BE837="",0,MAX(0,MIN(1,(IF(CC837="L1",Parameter!$H$5,IF(CC837="L23",Parameter!$H$6+Parameter!$H$7,Parameter!$H$5+Parameter!$H$6+Parameter!$H$7))-(BE837-BA837))/BA837)))</f>
        <v>0</v>
      </c>
      <c r="BG837" s="48" t="str">
        <f aca="false">IF(AI837&lt;=0,"",IF(CC837="Aussen","Aussenlager",IF(CC837="-","Nicht im Lift",IF(AN837&gt;=1,"Lift",IF(AN837&lt;=0,"Aussenlager","teilweise")))))</f>
        <v>Lift</v>
      </c>
      <c r="BH837" s="48" t="str">
        <f aca="false">IF(AR837&lt;=0,"",IF(CC837="Aussen","Aussenlager",IF(CC837="-","Nicht im Lift",IF(AW837&gt;=1,"Lift",IF(AW837&lt;=0,"Aussenlager","teilweise")))))</f>
        <v>Aussenlager</v>
      </c>
      <c r="BI837" s="48" t="str">
        <f aca="false">IF(BA837&lt;=0,"",IF(CC837="Aussen","Aussenlager",IF(CC837="-","Nicht im Lift",IF(BF837&gt;=1,"Lift",IF(BF837&lt;=0,"Aussenlager","teilweise")))))</f>
        <v>Aussenlager</v>
      </c>
      <c r="BJ837" s="48" t="str">
        <f aca="false">IF(A837="","",IF(BS837=1,"Neu; ","")&amp;IF(AND(BS837=0,BN837&lt;0),"negativer Bestand (Export "&amp;BN837&amp;"); ","")&amp;IF(J837&lt;=0,"Kein Verbrauch; ","")&amp;IF(CL837&gt;0,"Lift "&amp;W837&amp;" lt. Liftbericht (Fach "&amp;X837&amp;" Stk); ",IF(BX837=1,"Gebinde geschätzt ("&amp;T837&amp;"); ",IF(BW837=1,"Lose – Tablare geschätzt; ","")))&amp;IF(H837&gt;AT837,"Überbestand "&amp;ROUND(H837-AT837,0)&amp;" Stk / CHF "&amp;ROUND((H837-AT837)*G837,0)&amp;"; ","")&amp;IF(AND(CE837=1,CF837&lt;CG837),"MAX &lt; MB+LG; ","")&amp;IF(AND(CK837&gt;0,CJ837*10&gt;CK837),"zu hoch für Tablar; ","")&amp;IF(AND(BS837=0,OR(CE837=1,AA837&lt;&gt;"",U837&lt;&gt;"",V837&lt;&gt;"",AB837&lt;&gt;"")),"manuell übersteuert; ","")&amp;IF(AND(BW837=0,R837=0),"Gebinde unbekannt / Stellmass fehlt; ","")&amp;IF(AND(BW837=0,N(V837)&lt;=0,N(Q837)&lt;=0),"Menge pro Gebinde fehlt (Ist = 1 Gebinde); ","")&amp;BR837)</f>
        <v>negativer Bestand (Export -1); Kein Verbrauch; </v>
      </c>
      <c r="BK837" s="48"/>
      <c r="BL837" s="48"/>
      <c r="BM837" s="55"/>
      <c r="BN837" s="50" t="n">
        <v>-1</v>
      </c>
      <c r="BO837" s="50" t="n">
        <v>154</v>
      </c>
      <c r="BP837" s="49" t="n">
        <v>-12.09</v>
      </c>
      <c r="BQ837" s="50" t="n">
        <v>0</v>
      </c>
      <c r="BR837" s="48"/>
      <c r="BS837" s="53" t="n">
        <v>0</v>
      </c>
      <c r="BT837" s="53" t="n">
        <v>837</v>
      </c>
      <c r="BU837" s="48" t="str">
        <f aca="false">IF(U837&lt;&gt;"",UPPER(TRIM(U837)),IF(BX837=1,UPPER(VLOOKUP(T837,Parameter!$I$27:$K$29,2,0)),IF(P837="","LOSE",P837)))</f>
        <v>S62</v>
      </c>
      <c r="BV837" s="50" t="n">
        <f aca="false">IF(BU837="LOSE",1,IF(N(V837)&gt;0,V837,IF(BX837=1,MAX(1,N(VLOOKUP(T837,Parameter!$I$27:$K$29,3,0)),H837,N(N837)),IF(N(Q837)&gt;0,Q837,MAX(1,H837)))))</f>
        <v>169</v>
      </c>
      <c r="BW837" s="53" t="n">
        <f aca="false">IF(BU837="LOSE",1,0)</f>
        <v>0</v>
      </c>
      <c r="BX837" s="53" t="n">
        <f aca="false">IF(AND(U837="",OR(P837="",P837="LOSE"),T837&lt;&gt;"",N(S837)&lt;=0,ISNUMBER(MATCH(T837,Parameter!$I$27:$I$29,0))),1,0)</f>
        <v>0</v>
      </c>
      <c r="BY837" s="53" t="n">
        <f aca="false">IF(CL837&gt;0,INDEX(Parameter!$H$5:$H$7,W837)/INDEX(Parameter!$E$5:$E$7,W837),IF(AND(BW837=0,N(IFERROR(VLOOKUP(BU837,'Gebinde-Kategorie'!$A$5:$N$45,14,0),0))&gt;0),VLOOKUP(BU837,'Gebinde-Kategorie'!$A$5:$N$45,14,0)*10+Parameter!$M$23,Parameter!$M$24))</f>
        <v>245</v>
      </c>
      <c r="BZ837" s="48" t="str">
        <f aca="false">IF(AND(Parameter!$B$19="Ja",E837&lt;&gt;"",ISNUMBER(MATCH(E837,Parameter!$I$35:$I$52,0))),VLOOKUP(E837,Parameter!$I$35:$J$52,2,0),IFERROR(VLOOKUP(D837,Parameter!$A$35:$C$64,2,0),"Nein"))</f>
        <v>2+3</v>
      </c>
      <c r="CA837" s="52" t="n">
        <f aca="false">IF(BW837=0,0,IF(N(S837)&gt;0,S837,IFERROR(VLOOKUP(D837,Parameter!$A$35:$C$64,3,0)+0,0)))</f>
        <v>0</v>
      </c>
      <c r="CB837" s="48" t="n">
        <f aca="false">IF(AA837&lt;&gt;"",AA837,Z837)</f>
        <v>2</v>
      </c>
      <c r="CC837" s="48" t="str">
        <f aca="false">IF(OR(CB837=1,CB837=2,CB837=3),IF(Parameter!$E$27="Ja","LIFT",IF(CB837=1,"L1","L23")),IF(CB837="Aussen","Aussen","-"))</f>
        <v>LIFT</v>
      </c>
      <c r="CD837" s="59" t="n">
        <f aca="false">IF(N(AB837)&gt;0,AB837,0)</f>
        <v>0</v>
      </c>
      <c r="CE837" s="53" t="n">
        <f aca="false">IF(ISNUMBER(AE837),1,0)</f>
        <v>0</v>
      </c>
      <c r="CF837" s="50" t="n">
        <f aca="false">N(AE837)</f>
        <v>0</v>
      </c>
      <c r="CG837" s="50" t="n">
        <f aca="false">N(M837)+N(N837)</f>
        <v>1</v>
      </c>
      <c r="CH837" s="50" t="n">
        <f aca="false">ROUNDUP(H837/BV837,0)</f>
        <v>1</v>
      </c>
      <c r="CI837" s="50" t="n">
        <f aca="false">ROUNDUP(CF837/BV837,0)</f>
        <v>0</v>
      </c>
      <c r="CJ837" s="53" t="n">
        <f aca="false">IF(BW837=1,0,IFERROR(VLOOKUP(BU837,'Gebinde-Kategorie'!$A$5:$N$45,5,0)+0,0))</f>
        <v>21</v>
      </c>
      <c r="CK837" s="53" t="n">
        <f aca="false">IFERROR(IF(OR(CB837=1,CB837=2,CB837=3),N(INDEX(Parameter!$I$5:$I$7,CB837)),0),0)</f>
        <v>0</v>
      </c>
      <c r="CL837" s="52" t="n">
        <f aca="false">IF(AND(Parameter!$B$21="Ja",ISNUMBER(W837),N(X837)&gt;0),IFERROR(N(INDEX(Parameter!$L$5:$L$7,W837))*INDEX(Parameter!$E$5:$E$7,W837)*X837/SUMIFS($X$7:$X$1843,$W$7:$W$1843,W837),0),0)</f>
        <v>0</v>
      </c>
    </row>
    <row r="838" customFormat="false" ht="15" hidden="false" customHeight="false" outlineLevel="0" collapsed="false">
      <c r="A838" s="48" t="s">
        <v>1613</v>
      </c>
      <c r="B838" s="48" t="s">
        <v>493</v>
      </c>
      <c r="C838" s="48" t="s">
        <v>168</v>
      </c>
      <c r="D838" s="48" t="s">
        <v>188</v>
      </c>
      <c r="E838" s="48" t="s">
        <v>189</v>
      </c>
      <c r="F838" s="48" t="s">
        <v>222</v>
      </c>
      <c r="G838" s="49" t="n">
        <v>1.53</v>
      </c>
      <c r="H838" s="50" t="n">
        <f aca="false">MAX(0,IF(AND(Parameter!$B$21="Ja",ISNUMBER(Y838)),Y838,IF(Parameter!$B$20="Jahresanfang 2025 + Export",BO838+BN838,BN838)))</f>
        <v>214</v>
      </c>
      <c r="I838" s="50" t="n">
        <f aca="false">H838*G838</f>
        <v>327.42</v>
      </c>
      <c r="J838" s="50" t="n">
        <f aca="false">BQ838*Parameter!$B$18</f>
        <v>264</v>
      </c>
      <c r="K838" s="51" t="n">
        <v>191.5</v>
      </c>
      <c r="L838" s="52" t="n">
        <v>1.37859007832898</v>
      </c>
      <c r="M838" s="50" t="n">
        <v>10</v>
      </c>
      <c r="N838" s="50" t="n">
        <v>200</v>
      </c>
      <c r="O838" s="53" t="n">
        <v>14</v>
      </c>
      <c r="P838" s="48" t="s">
        <v>425</v>
      </c>
      <c r="Q838" s="50" t="n">
        <v>513</v>
      </c>
      <c r="R838" s="53" t="n">
        <f aca="false">IF(BW838=1,0,IFERROR(VLOOKUP(BU838,'Gebinde-Kategorie'!$A$5:$N$45,13,0)+0,0))</f>
        <v>104</v>
      </c>
      <c r="S838" s="54"/>
      <c r="T838" s="55"/>
      <c r="U838" s="55"/>
      <c r="V838" s="55"/>
      <c r="W838" s="48"/>
      <c r="X838" s="50"/>
      <c r="Y838" s="50"/>
      <c r="Z838" s="48" t="n">
        <f aca="false">IF(A838="","",IF(AND(Parameter!$B$21="Ja",ISNUMBER(W838)),W838,IF(BZ838="2+3",IF(ISNUMBER(SEARCH("grosser Artikel",BR838)),2,IFERROR(VLOOKUP(BU838,Parameter!$F$35:$G$64,2,0),2)),IF(OR(BZ838="Nein",BZ838=""),"-",BZ838))))</f>
        <v>3</v>
      </c>
      <c r="AA838" s="55"/>
      <c r="AB838" s="56"/>
      <c r="AC838" s="50" t="n">
        <f aca="false">AT838</f>
        <v>513</v>
      </c>
      <c r="AD838" s="50" t="n">
        <f aca="false">MAX(AT838,H838)</f>
        <v>513</v>
      </c>
      <c r="AE838" s="57"/>
      <c r="AF838" s="50" t="n">
        <f aca="false">IF(LEFT(Cockpit!$C$5,1)="A",H838,IF(CE838=1,CF838,IF(LEFT(Cockpit!$C$5,1)="B",AK838,MAX(AK838,H838))))</f>
        <v>214</v>
      </c>
      <c r="AG838" s="50" t="n">
        <f aca="false">IF(BW838=1,0,ROUNDUP(AF838/BV838,0))</f>
        <v>1</v>
      </c>
      <c r="AH838" s="52" t="n">
        <f aca="false">IF(CL838&gt;0,CL838*MAX(1,AF838/X838),IF(BW838=1,IF(AF838&lt;=0,0,CA838*MAX(1,IF(H838&gt;0,AF838/H838,1))),IF(R838&gt;0,AG838/R838,0))/MAX(0.1,N(Parameter!$M$21)))</f>
        <v>0.00961538461538462</v>
      </c>
      <c r="AI838" s="50" t="n">
        <f aca="false">AH838*BY838</f>
        <v>1.49038461538462</v>
      </c>
      <c r="AJ838" s="50" t="n">
        <f aca="false">AF838*G838</f>
        <v>327.42</v>
      </c>
      <c r="AK838" s="50" t="n">
        <f aca="false">ROUNDUP(MAX(J838/IF(CD838&gt;0,CD838,MAX(0.1,N(Cockpit!$C$6))),CG838)/BV838,0)*BV838</f>
        <v>513</v>
      </c>
      <c r="AL838" s="51" t="n">
        <f aca="false">IF(AI838&gt;0,J838/AI838,-1)</f>
        <v>177.135483870968</v>
      </c>
      <c r="AM838" s="51" t="n">
        <f aca="false">IF(AND(OR(CC838="L1",CC838="L23",CC838="LIFT"),AI838&gt;0),SUMIFS($AI$7:$AI$1843,$CC$7:$CC$1843,CC838,$AL$7:$AL$1843,"&gt;"&amp;AL838)+SUMIFS($AI$7:$AI$1843,$CC$7:$CC$1843,CC838,$AL$7:$AL$1843,AL838,$BT$7:$BT$1843,"&lt;="&amp;BT838),"")</f>
        <v>403.74358974359</v>
      </c>
      <c r="AN838" s="58" t="n">
        <f aca="false">IF(AM838="",0,MAX(0,MIN(1,(IF(CC838="L1",Parameter!$H$5,IF(CC838="L23",Parameter!$H$6+Parameter!$H$7,Parameter!$H$5+Parameter!$H$6+Parameter!$H$7))-(AM838-AI838))/AI838)))</f>
        <v>1</v>
      </c>
      <c r="AO838" s="50" t="n">
        <f aca="false">IF(LEFT(Cockpit!$I$5,1)="A",H838,IF(CE838=1,CF838,IF(LEFT(Cockpit!$I$5,1)="B",AT838,MAX(AT838,H838))))</f>
        <v>513</v>
      </c>
      <c r="AP838" s="50" t="n">
        <f aca="false">IF(BW838=1,0,ROUNDUP(AO838/BV838,0))</f>
        <v>1</v>
      </c>
      <c r="AQ838" s="52" t="n">
        <f aca="false">IF(CL838&gt;0,CL838*MAX(1,AO838/X838),IF(BW838=1,IF(AO838&lt;=0,0,CA838*MAX(1,IF(H838&gt;0,AO838/H838,1))),IF(R838&gt;0,AP838/R838,0))/MAX(0.1,N(Parameter!$M$21)))</f>
        <v>0.00961538461538462</v>
      </c>
      <c r="AR838" s="50" t="n">
        <f aca="false">AQ838*BY838</f>
        <v>1.49038461538462</v>
      </c>
      <c r="AS838" s="50" t="n">
        <f aca="false">AO838*G838</f>
        <v>784.89</v>
      </c>
      <c r="AT838" s="50" t="n">
        <f aca="false">ROUNDUP(MAX(J838/IF(CD838&gt;0,CD838,MAX(0.1,N(Cockpit!$I$6))),CG838)/BV838,0)*BV838</f>
        <v>513</v>
      </c>
      <c r="AU838" s="51" t="n">
        <f aca="false">IF(AR838&gt;0,J838/AR838,-1)</f>
        <v>177.135483870968</v>
      </c>
      <c r="AV838" s="51" t="n">
        <f aca="false">IF(AND(OR(CC838="L1",CC838="L23",CC838="LIFT"),AR838&gt;0),SUMIFS($AR$7:$AR$1843,$CC$7:$CC$1843,CC838,$AU$7:$AU$1843,"&gt;"&amp;AU838)+SUMIFS($AR$7:$AR$1843,$CC$7:$CC$1843,CC838,$AU$7:$AU$1843,AU838,$BT$7:$BT$1843,"&lt;="&amp;BT838),"")</f>
        <v>455.225732600733</v>
      </c>
      <c r="AW838" s="58" t="n">
        <f aca="false">IF(AV838="",0,MAX(0,MIN(1,(IF(CC838="L1",Parameter!$H$5,IF(CC838="L23",Parameter!$H$6+Parameter!$H$7,Parameter!$H$5+Parameter!$H$6+Parameter!$H$7))-(AV838-AR838))/AR838)))</f>
        <v>1</v>
      </c>
      <c r="AX838" s="50" t="n">
        <f aca="false">IF(LEFT(Cockpit!$O$5,1)="A",H838,IF(CE838=1,CF838,IF(LEFT(Cockpit!$O$5,1)="B",BC838,MAX(BC838,H838))))</f>
        <v>513</v>
      </c>
      <c r="AY838" s="50" t="n">
        <f aca="false">IF(BW838=1,0,ROUNDUP(AX838/BV838,0))</f>
        <v>1</v>
      </c>
      <c r="AZ838" s="52" t="n">
        <f aca="false">IF(CL838&gt;0,CL838*MAX(1,AX838/X838),IF(BW838=1,IF(AX838&lt;=0,0,CA838*MAX(1,IF(H838&gt;0,AX838/H838,1))),IF(R838&gt;0,AY838/R838,0))/MAX(0.1,N(Parameter!$M$21)))</f>
        <v>0.00961538461538462</v>
      </c>
      <c r="BA838" s="50" t="n">
        <f aca="false">AZ838*BY838</f>
        <v>1.49038461538462</v>
      </c>
      <c r="BB838" s="50" t="n">
        <f aca="false">AX838*G838</f>
        <v>784.89</v>
      </c>
      <c r="BC838" s="50" t="n">
        <f aca="false">ROUNDUP(MAX(J838/IF(CD838&gt;0,CD838,MAX(0.1,N(Cockpit!$O$6))),CG838)/BV838,0)*BV838</f>
        <v>513</v>
      </c>
      <c r="BD838" s="51" t="n">
        <f aca="false">IF(BA838&gt;0,J838/BA838,-1)</f>
        <v>177.135483870968</v>
      </c>
      <c r="BE838" s="51" t="n">
        <f aca="false">IF(AND(OR(CC838="L1",CC838="L23",CC838="LIFT"),BA838&gt;0),SUMIFS($BA$7:$BA$1843,$CC$7:$CC$1843,CC838,$BD$7:$BD$1843,"&gt;"&amp;BD838)+SUMIFS($BA$7:$BA$1843,$CC$7:$CC$1843,CC838,$BD$7:$BD$1843,BD838,$BT$7:$BT$1843,"&lt;="&amp;BT838),"")</f>
        <v>517.164835164835</v>
      </c>
      <c r="BF838" s="58" t="n">
        <f aca="false">IF(BE838="",0,MAX(0,MIN(1,(IF(CC838="L1",Parameter!$H$5,IF(CC838="L23",Parameter!$H$6+Parameter!$H$7,Parameter!$H$5+Parameter!$H$6+Parameter!$H$7))-(BE838-BA838))/BA838)))</f>
        <v>1</v>
      </c>
      <c r="BG838" s="48" t="str">
        <f aca="false">IF(AI838&lt;=0,"",IF(CC838="Aussen","Aussenlager",IF(CC838="-","Nicht im Lift",IF(AN838&gt;=1,"Lift",IF(AN838&lt;=0,"Aussenlager","teilweise")))))</f>
        <v>Lift</v>
      </c>
      <c r="BH838" s="48" t="str">
        <f aca="false">IF(AR838&lt;=0,"",IF(CC838="Aussen","Aussenlager",IF(CC838="-","Nicht im Lift",IF(AW838&gt;=1,"Lift",IF(AW838&lt;=0,"Aussenlager","teilweise")))))</f>
        <v>Lift</v>
      </c>
      <c r="BI838" s="48" t="str">
        <f aca="false">IF(BA838&lt;=0,"",IF(CC838="Aussen","Aussenlager",IF(CC838="-","Nicht im Lift",IF(BF838&gt;=1,"Lift",IF(BF838&lt;=0,"Aussenlager","teilweise")))))</f>
        <v>Lift</v>
      </c>
      <c r="BJ838" s="48" t="str">
        <f aca="false">IF(A838="","",IF(BS838=1,"Neu; ","")&amp;IF(AND(BS838=0,BN838&lt;0),"negativer Bestand (Export "&amp;BN838&amp;"); ","")&amp;IF(J838&lt;=0,"Kein Verbrauch; ","")&amp;IF(CL838&gt;0,"Lift "&amp;W838&amp;" lt. Liftbericht (Fach "&amp;X838&amp;" Stk); ",IF(BX838=1,"Gebinde geschätzt ("&amp;T838&amp;"); ",IF(BW838=1,"Lose – Tablare geschätzt; ","")))&amp;IF(H838&gt;AT838,"Überbestand "&amp;ROUND(H838-AT838,0)&amp;" Stk / CHF "&amp;ROUND((H838-AT838)*G838,0)&amp;"; ","")&amp;IF(AND(CE838=1,CF838&lt;CG838),"MAX &lt; MB+LG; ","")&amp;IF(AND(CK838&gt;0,CJ838*10&gt;CK838),"zu hoch für Tablar; ","")&amp;IF(AND(BS838=0,OR(CE838=1,AA838&lt;&gt;"",U838&lt;&gt;"",V838&lt;&gt;"",AB838&lt;&gt;"")),"manuell übersteuert; ","")&amp;IF(AND(BW838=0,R838=0),"Gebinde unbekannt / Stellmass fehlt; ","")&amp;IF(AND(BW838=0,N(V838)&lt;=0,N(Q838)&lt;=0),"Menge pro Gebinde fehlt (Ist = 1 Gebinde); ","")&amp;BR838)</f>
        <v>negativer Bestand (Export -8); </v>
      </c>
      <c r="BK838" s="48"/>
      <c r="BL838" s="48"/>
      <c r="BM838" s="55"/>
      <c r="BN838" s="50" t="n">
        <v>-8</v>
      </c>
      <c r="BO838" s="50" t="n">
        <v>222</v>
      </c>
      <c r="BP838" s="49" t="n">
        <v>-12.1599999999998</v>
      </c>
      <c r="BQ838" s="50" t="n">
        <v>264</v>
      </c>
      <c r="BR838" s="48"/>
      <c r="BS838" s="53" t="n">
        <v>0</v>
      </c>
      <c r="BT838" s="53" t="n">
        <v>838</v>
      </c>
      <c r="BU838" s="48" t="str">
        <f aca="false">IF(U838&lt;&gt;"",UPPER(TRIM(U838)),IF(BX838=1,UPPER(VLOOKUP(T838,Parameter!$I$27:$K$29,2,0)),IF(P838="","LOSE",P838)))</f>
        <v>S32</v>
      </c>
      <c r="BV838" s="50" t="n">
        <f aca="false">IF(BU838="LOSE",1,IF(N(V838)&gt;0,V838,IF(BX838=1,MAX(1,N(VLOOKUP(T838,Parameter!$I$27:$K$29,3,0)),H838,N(N838)),IF(N(Q838)&gt;0,Q838,MAX(1,H838)))))</f>
        <v>513</v>
      </c>
      <c r="BW838" s="53" t="n">
        <f aca="false">IF(BU838="LOSE",1,0)</f>
        <v>0</v>
      </c>
      <c r="BX838" s="53" t="n">
        <f aca="false">IF(AND(U838="",OR(P838="",P838="LOSE"),T838&lt;&gt;"",N(S838)&lt;=0,ISNUMBER(MATCH(T838,Parameter!$I$27:$I$29,0))),1,0)</f>
        <v>0</v>
      </c>
      <c r="BY838" s="53" t="n">
        <f aca="false">IF(CL838&gt;0,INDEX(Parameter!$H$5:$H$7,W838)/INDEX(Parameter!$E$5:$E$7,W838),IF(AND(BW838=0,N(IFERROR(VLOOKUP(BU838,'Gebinde-Kategorie'!$A$5:$N$45,14,0),0))&gt;0),VLOOKUP(BU838,'Gebinde-Kategorie'!$A$5:$N$45,14,0)*10+Parameter!$M$23,Parameter!$M$24))</f>
        <v>155</v>
      </c>
      <c r="BZ838" s="48" t="str">
        <f aca="false">IF(AND(Parameter!$B$19="Ja",E838&lt;&gt;"",ISNUMBER(MATCH(E838,Parameter!$I$35:$I$52,0))),VLOOKUP(E838,Parameter!$I$35:$J$52,2,0),IFERROR(VLOOKUP(D838,Parameter!$A$35:$C$64,2,0),"Nein"))</f>
        <v>2+3</v>
      </c>
      <c r="CA838" s="52" t="n">
        <f aca="false">IF(BW838=0,0,IF(N(S838)&gt;0,S838,IFERROR(VLOOKUP(D838,Parameter!$A$35:$C$64,3,0)+0,0)))</f>
        <v>0</v>
      </c>
      <c r="CB838" s="48" t="n">
        <f aca="false">IF(AA838&lt;&gt;"",AA838,Z838)</f>
        <v>3</v>
      </c>
      <c r="CC838" s="48" t="str">
        <f aca="false">IF(OR(CB838=1,CB838=2,CB838=3),IF(Parameter!$E$27="Ja","LIFT",IF(CB838=1,"L1","L23")),IF(CB838="Aussen","Aussen","-"))</f>
        <v>LIFT</v>
      </c>
      <c r="CD838" s="59" t="n">
        <f aca="false">IF(N(AB838)&gt;0,AB838,0)</f>
        <v>0</v>
      </c>
      <c r="CE838" s="53" t="n">
        <f aca="false">IF(ISNUMBER(AE838),1,0)</f>
        <v>0</v>
      </c>
      <c r="CF838" s="50" t="n">
        <f aca="false">N(AE838)</f>
        <v>0</v>
      </c>
      <c r="CG838" s="50" t="n">
        <f aca="false">N(M838)+N(N838)</f>
        <v>210</v>
      </c>
      <c r="CH838" s="50" t="n">
        <f aca="false">ROUNDUP(H838/BV838,0)</f>
        <v>1</v>
      </c>
      <c r="CI838" s="50" t="n">
        <f aca="false">ROUNDUP(CF838/BV838,0)</f>
        <v>0</v>
      </c>
      <c r="CJ838" s="53" t="n">
        <f aca="false">IF(BW838=1,0,IFERROR(VLOOKUP(BU838,'Gebinde-Kategorie'!$A$5:$N$45,5,0)+0,0))</f>
        <v>8</v>
      </c>
      <c r="CK838" s="53" t="n">
        <f aca="false">IFERROR(IF(OR(CB838=1,CB838=2,CB838=3),N(INDEX(Parameter!$I$5:$I$7,CB838)),0),0)</f>
        <v>0</v>
      </c>
      <c r="CL838" s="52" t="n">
        <f aca="false">IF(AND(Parameter!$B$21="Ja",ISNUMBER(W838),N(X838)&gt;0),IFERROR(N(INDEX(Parameter!$L$5:$L$7,W838))*INDEX(Parameter!$E$5:$E$7,W838)*X838/SUMIFS($X$7:$X$1843,$W$7:$W$1843,W838),0),0)</f>
        <v>0</v>
      </c>
    </row>
    <row r="839" customFormat="false" ht="15" hidden="false" customHeight="false" outlineLevel="0" collapsed="false">
      <c r="A839" s="48" t="s">
        <v>1614</v>
      </c>
      <c r="B839" s="48" t="s">
        <v>1002</v>
      </c>
      <c r="C839" s="48" t="s">
        <v>168</v>
      </c>
      <c r="D839" s="48" t="s">
        <v>188</v>
      </c>
      <c r="E839" s="48" t="s">
        <v>189</v>
      </c>
      <c r="F839" s="48" t="s">
        <v>222</v>
      </c>
      <c r="G839" s="49" t="n">
        <v>15.42</v>
      </c>
      <c r="H839" s="50" t="n">
        <f aca="false">MAX(0,IF(AND(Parameter!$B$21="Ja",ISNUMBER(Y839)),Y839,IF(Parameter!$B$20="Jahresanfang 2025 + Export",BO839+BN839,BN839)))</f>
        <v>44</v>
      </c>
      <c r="I839" s="50" t="n">
        <f aca="false">H839*G839</f>
        <v>678.48</v>
      </c>
      <c r="J839" s="50" t="n">
        <f aca="false">BQ839*Parameter!$B$18</f>
        <v>30</v>
      </c>
      <c r="K839" s="51" t="n">
        <v>30.5</v>
      </c>
      <c r="L839" s="52" t="n">
        <v>0.983606557377049</v>
      </c>
      <c r="M839" s="50" t="n">
        <v>2</v>
      </c>
      <c r="N839" s="50" t="n">
        <v>30</v>
      </c>
      <c r="O839" s="53" t="n">
        <v>35</v>
      </c>
      <c r="P839" s="48" t="s">
        <v>297</v>
      </c>
      <c r="Q839" s="50" t="n">
        <v>11</v>
      </c>
      <c r="R839" s="53" t="n">
        <f aca="false">IF(BW839=1,0,IFERROR(VLOOKUP(BU839,'Gebinde-Kategorie'!$A$5:$N$45,13,0)+0,0))</f>
        <v>12</v>
      </c>
      <c r="S839" s="54"/>
      <c r="T839" s="55"/>
      <c r="U839" s="55"/>
      <c r="V839" s="55"/>
      <c r="W839" s="48"/>
      <c r="X839" s="50"/>
      <c r="Y839" s="50"/>
      <c r="Z839" s="48" t="n">
        <f aca="false">IF(A839="","",IF(AND(Parameter!$B$21="Ja",ISNUMBER(W839)),W839,IF(BZ839="2+3",IF(ISNUMBER(SEARCH("grosser Artikel",BR839)),2,IFERROR(VLOOKUP(BU839,Parameter!$F$35:$G$64,2,0),2)),IF(OR(BZ839="Nein",BZ839=""),"-",BZ839))))</f>
        <v>2</v>
      </c>
      <c r="AA839" s="55"/>
      <c r="AB839" s="56"/>
      <c r="AC839" s="50" t="n">
        <f aca="false">AT839</f>
        <v>33</v>
      </c>
      <c r="AD839" s="50" t="n">
        <f aca="false">MAX(AT839,H839)</f>
        <v>44</v>
      </c>
      <c r="AE839" s="57"/>
      <c r="AF839" s="50" t="n">
        <f aca="false">IF(LEFT(Cockpit!$C$5,1)="A",H839,IF(CE839=1,CF839,IF(LEFT(Cockpit!$C$5,1)="B",AK839,MAX(AK839,H839))))</f>
        <v>44</v>
      </c>
      <c r="AG839" s="50" t="n">
        <f aca="false">IF(BW839=1,0,ROUNDUP(AF839/BV839,0))</f>
        <v>4</v>
      </c>
      <c r="AH839" s="52" t="n">
        <f aca="false">IF(CL839&gt;0,CL839*MAX(1,AF839/X839),IF(BW839=1,IF(AF839&lt;=0,0,CA839*MAX(1,IF(H839&gt;0,AF839/H839,1))),IF(R839&gt;0,AG839/R839,0))/MAX(0.1,N(Parameter!$M$21)))</f>
        <v>0.333333333333333</v>
      </c>
      <c r="AI839" s="50" t="n">
        <f aca="false">AH839*BY839</f>
        <v>81.6666666666667</v>
      </c>
      <c r="AJ839" s="50" t="n">
        <f aca="false">AF839*G839</f>
        <v>678.48</v>
      </c>
      <c r="AK839" s="50" t="n">
        <f aca="false">ROUNDUP(MAX(J839/IF(CD839&gt;0,CD839,MAX(0.1,N(Cockpit!$C$6))),CG839)/BV839,0)*BV839</f>
        <v>33</v>
      </c>
      <c r="AL839" s="51" t="n">
        <f aca="false">IF(AI839&gt;0,J839/AI839,-1)</f>
        <v>0.36734693877551</v>
      </c>
      <c r="AM839" s="51" t="n">
        <f aca="false">IF(AND(OR(CC839="L1",CC839="L23",CC839="LIFT"),AI839&gt;0),SUMIFS($AI$7:$AI$1843,$CC$7:$CC$1843,CC839,$AL$7:$AL$1843,"&gt;"&amp;AL839)+SUMIFS($AI$7:$AI$1843,$CC$7:$CC$1843,CC839,$AL$7:$AL$1843,AL839,$BT$7:$BT$1843,"&lt;="&amp;BT839),"")</f>
        <v>10540.9999715445</v>
      </c>
      <c r="AN839" s="58" t="n">
        <f aca="false">IF(AM839="",0,MAX(0,MIN(1,(IF(CC839="L1",Parameter!$H$5,IF(CC839="L23",Parameter!$H$6+Parameter!$H$7,Parameter!$H$5+Parameter!$H$6+Parameter!$H$7))-(AM839-AI839))/AI839)))</f>
        <v>1</v>
      </c>
      <c r="AO839" s="50" t="n">
        <f aca="false">IF(LEFT(Cockpit!$I$5,1)="A",H839,IF(CE839=1,CF839,IF(LEFT(Cockpit!$I$5,1)="B",AT839,MAX(AT839,H839))))</f>
        <v>44</v>
      </c>
      <c r="AP839" s="50" t="n">
        <f aca="false">IF(BW839=1,0,ROUNDUP(AO839/BV839,0))</f>
        <v>4</v>
      </c>
      <c r="AQ839" s="52" t="n">
        <f aca="false">IF(CL839&gt;0,CL839*MAX(1,AO839/X839),IF(BW839=1,IF(AO839&lt;=0,0,CA839*MAX(1,IF(H839&gt;0,AO839/H839,1))),IF(R839&gt;0,AP839/R839,0))/MAX(0.1,N(Parameter!$M$21)))</f>
        <v>0.333333333333333</v>
      </c>
      <c r="AR839" s="50" t="n">
        <f aca="false">AQ839*BY839</f>
        <v>81.6666666666667</v>
      </c>
      <c r="AS839" s="50" t="n">
        <f aca="false">AO839*G839</f>
        <v>678.48</v>
      </c>
      <c r="AT839" s="50" t="n">
        <f aca="false">ROUNDUP(MAX(J839/IF(CD839&gt;0,CD839,MAX(0.1,N(Cockpit!$I$6))),CG839)/BV839,0)*BV839</f>
        <v>33</v>
      </c>
      <c r="AU839" s="51" t="n">
        <f aca="false">IF(AR839&gt;0,J839/AR839,-1)</f>
        <v>0.36734693877551</v>
      </c>
      <c r="AV839" s="51" t="n">
        <f aca="false">IF(AND(OR(CC839="L1",CC839="L23",CC839="LIFT"),AR839&gt;0),SUMIFS($AR$7:$AR$1843,$CC$7:$CC$1843,CC839,$AU$7:$AU$1843,"&gt;"&amp;AU839)+SUMIFS($AR$7:$AR$1843,$CC$7:$CC$1843,CC839,$AU$7:$AU$1843,AU839,$BT$7:$BT$1843,"&lt;="&amp;BT839),"")</f>
        <v>15814.6982600733</v>
      </c>
      <c r="AW839" s="58" t="n">
        <f aca="false">IF(AV839="",0,MAX(0,MIN(1,(IF(CC839="L1",Parameter!$H$5,IF(CC839="L23",Parameter!$H$6+Parameter!$H$7,Parameter!$H$5+Parameter!$H$6+Parameter!$H$7))-(AV839-AR839))/AR839)))</f>
        <v>1</v>
      </c>
      <c r="AX839" s="50" t="n">
        <f aca="false">IF(LEFT(Cockpit!$O$5,1)="A",H839,IF(CE839=1,CF839,IF(LEFT(Cockpit!$O$5,1)="B",BC839,MAX(BC839,H839))))</f>
        <v>44</v>
      </c>
      <c r="AY839" s="50" t="n">
        <f aca="false">IF(BW839=1,0,ROUNDUP(AX839/BV839,0))</f>
        <v>4</v>
      </c>
      <c r="AZ839" s="52" t="n">
        <f aca="false">IF(CL839&gt;0,CL839*MAX(1,AX839/X839),IF(BW839=1,IF(AX839&lt;=0,0,CA839*MAX(1,IF(H839&gt;0,AX839/H839,1))),IF(R839&gt;0,AY839/R839,0))/MAX(0.1,N(Parameter!$M$21)))</f>
        <v>0.333333333333333</v>
      </c>
      <c r="BA839" s="50" t="n">
        <f aca="false">AZ839*BY839</f>
        <v>81.6666666666667</v>
      </c>
      <c r="BB839" s="50" t="n">
        <f aca="false">AX839*G839</f>
        <v>678.48</v>
      </c>
      <c r="BC839" s="50" t="n">
        <f aca="false">ROUNDUP(MAX(J839/IF(CD839&gt;0,CD839,MAX(0.1,N(Cockpit!$O$6))),CG839)/BV839,0)*BV839</f>
        <v>33</v>
      </c>
      <c r="BD839" s="51" t="n">
        <f aca="false">IF(BA839&gt;0,J839/BA839,-1)</f>
        <v>0.36734693877551</v>
      </c>
      <c r="BE839" s="51" t="n">
        <f aca="false">IF(AND(OR(CC839="L1",CC839="L23",CC839="LIFT"),BA839&gt;0),SUMIFS($BA$7:$BA$1843,$CC$7:$CC$1843,CC839,$BD$7:$BD$1843,"&gt;"&amp;BD839)+SUMIFS($BA$7:$BA$1843,$CC$7:$CC$1843,CC839,$BD$7:$BD$1843,BD839,$BT$7:$BT$1843,"&lt;="&amp;BT839),"")</f>
        <v>14565.3553113553</v>
      </c>
      <c r="BF839" s="58" t="n">
        <f aca="false">IF(BE839="",0,MAX(0,MIN(1,(IF(CC839="L1",Parameter!$H$5,IF(CC839="L23",Parameter!$H$6+Parameter!$H$7,Parameter!$H$5+Parameter!$H$6+Parameter!$H$7))-(BE839-BA839))/BA839)))</f>
        <v>1</v>
      </c>
      <c r="BG839" s="48" t="str">
        <f aca="false">IF(AI839&lt;=0,"",IF(CC839="Aussen","Aussenlager",IF(CC839="-","Nicht im Lift",IF(AN839&gt;=1,"Lift",IF(AN839&lt;=0,"Aussenlager","teilweise")))))</f>
        <v>Lift</v>
      </c>
      <c r="BH839" s="48" t="str">
        <f aca="false">IF(AR839&lt;=0,"",IF(CC839="Aussen","Aussenlager",IF(CC839="-","Nicht im Lift",IF(AW839&gt;=1,"Lift",IF(AW839&lt;=0,"Aussenlager","teilweise")))))</f>
        <v>Lift</v>
      </c>
      <c r="BI839" s="48" t="str">
        <f aca="false">IF(BA839&lt;=0,"",IF(CC839="Aussen","Aussenlager",IF(CC839="-","Nicht im Lift",IF(BF839&gt;=1,"Lift",IF(BF839&lt;=0,"Aussenlager","teilweise")))))</f>
        <v>Lift</v>
      </c>
      <c r="BJ839" s="48" t="str">
        <f aca="false">IF(A839="","",IF(BS839=1,"Neu; ","")&amp;IF(AND(BS839=0,BN839&lt;0),"negativer Bestand (Export "&amp;BN839&amp;"); ","")&amp;IF(J839&lt;=0,"Kein Verbrauch; ","")&amp;IF(CL839&gt;0,"Lift "&amp;W839&amp;" lt. Liftbericht (Fach "&amp;X839&amp;" Stk); ",IF(BX839=1,"Gebinde geschätzt ("&amp;T839&amp;"); ",IF(BW839=1,"Lose – Tablare geschätzt; ","")))&amp;IF(H839&gt;AT839,"Überbestand "&amp;ROUND(H839-AT839,0)&amp;" Stk / CHF "&amp;ROUND((H839-AT839)*G839,0)&amp;"; ","")&amp;IF(AND(CE839=1,CF839&lt;CG839),"MAX &lt; MB+LG; ","")&amp;IF(AND(CK839&gt;0,CJ839*10&gt;CK839),"zu hoch für Tablar; ","")&amp;IF(AND(BS839=0,OR(CE839=1,AA839&lt;&gt;"",U839&lt;&gt;"",V839&lt;&gt;"",AB839&lt;&gt;"")),"manuell übersteuert; ","")&amp;IF(AND(BW839=0,R839=0),"Gebinde unbekannt / Stellmass fehlt; ","")&amp;IF(AND(BW839=0,N(V839)&lt;=0,N(Q839)&lt;=0),"Menge pro Gebinde fehlt (Ist = 1 Gebinde); ","")&amp;BR839)</f>
        <v>negativer Bestand (Export -2); Überbestand 11 Stk / CHF 170; </v>
      </c>
      <c r="BK839" s="48"/>
      <c r="BL839" s="48"/>
      <c r="BM839" s="55"/>
      <c r="BN839" s="50" t="n">
        <v>-2</v>
      </c>
      <c r="BO839" s="50" t="n">
        <v>46</v>
      </c>
      <c r="BP839" s="49" t="n">
        <v>-12.8999999999999</v>
      </c>
      <c r="BQ839" s="50" t="n">
        <v>30</v>
      </c>
      <c r="BR839" s="48"/>
      <c r="BS839" s="53" t="n">
        <v>0</v>
      </c>
      <c r="BT839" s="53" t="n">
        <v>839</v>
      </c>
      <c r="BU839" s="48" t="str">
        <f aca="false">IF(U839&lt;&gt;"",UPPER(TRIM(U839)),IF(BX839=1,UPPER(VLOOKUP(T839,Parameter!$I$27:$K$29,2,0)),IF(P839="","LOSE",P839)))</f>
        <v>S62</v>
      </c>
      <c r="BV839" s="50" t="n">
        <f aca="false">IF(BU839="LOSE",1,IF(N(V839)&gt;0,V839,IF(BX839=1,MAX(1,N(VLOOKUP(T839,Parameter!$I$27:$K$29,3,0)),H839,N(N839)),IF(N(Q839)&gt;0,Q839,MAX(1,H839)))))</f>
        <v>11</v>
      </c>
      <c r="BW839" s="53" t="n">
        <f aca="false">IF(BU839="LOSE",1,0)</f>
        <v>0</v>
      </c>
      <c r="BX839" s="53" t="n">
        <f aca="false">IF(AND(U839="",OR(P839="",P839="LOSE"),T839&lt;&gt;"",N(S839)&lt;=0,ISNUMBER(MATCH(T839,Parameter!$I$27:$I$29,0))),1,0)</f>
        <v>0</v>
      </c>
      <c r="BY839" s="53" t="n">
        <f aca="false">IF(CL839&gt;0,INDEX(Parameter!$H$5:$H$7,W839)/INDEX(Parameter!$E$5:$E$7,W839),IF(AND(BW839=0,N(IFERROR(VLOOKUP(BU839,'Gebinde-Kategorie'!$A$5:$N$45,14,0),0))&gt;0),VLOOKUP(BU839,'Gebinde-Kategorie'!$A$5:$N$45,14,0)*10+Parameter!$M$23,Parameter!$M$24))</f>
        <v>245</v>
      </c>
      <c r="BZ839" s="48" t="str">
        <f aca="false">IF(AND(Parameter!$B$19="Ja",E839&lt;&gt;"",ISNUMBER(MATCH(E839,Parameter!$I$35:$I$52,0))),VLOOKUP(E839,Parameter!$I$35:$J$52,2,0),IFERROR(VLOOKUP(D839,Parameter!$A$35:$C$64,2,0),"Nein"))</f>
        <v>2+3</v>
      </c>
      <c r="CA839" s="52" t="n">
        <f aca="false">IF(BW839=0,0,IF(N(S839)&gt;0,S839,IFERROR(VLOOKUP(D839,Parameter!$A$35:$C$64,3,0)+0,0)))</f>
        <v>0</v>
      </c>
      <c r="CB839" s="48" t="n">
        <f aca="false">IF(AA839&lt;&gt;"",AA839,Z839)</f>
        <v>2</v>
      </c>
      <c r="CC839" s="48" t="str">
        <f aca="false">IF(OR(CB839=1,CB839=2,CB839=3),IF(Parameter!$E$27="Ja","LIFT",IF(CB839=1,"L1","L23")),IF(CB839="Aussen","Aussen","-"))</f>
        <v>LIFT</v>
      </c>
      <c r="CD839" s="59" t="n">
        <f aca="false">IF(N(AB839)&gt;0,AB839,0)</f>
        <v>0</v>
      </c>
      <c r="CE839" s="53" t="n">
        <f aca="false">IF(ISNUMBER(AE839),1,0)</f>
        <v>0</v>
      </c>
      <c r="CF839" s="50" t="n">
        <f aca="false">N(AE839)</f>
        <v>0</v>
      </c>
      <c r="CG839" s="50" t="n">
        <f aca="false">N(M839)+N(N839)</f>
        <v>32</v>
      </c>
      <c r="CH839" s="50" t="n">
        <f aca="false">ROUNDUP(H839/BV839,0)</f>
        <v>4</v>
      </c>
      <c r="CI839" s="50" t="n">
        <f aca="false">ROUNDUP(CF839/BV839,0)</f>
        <v>0</v>
      </c>
      <c r="CJ839" s="53" t="n">
        <f aca="false">IF(BW839=1,0,IFERROR(VLOOKUP(BU839,'Gebinde-Kategorie'!$A$5:$N$45,5,0)+0,0))</f>
        <v>21</v>
      </c>
      <c r="CK839" s="53" t="n">
        <f aca="false">IFERROR(IF(OR(CB839=1,CB839=2,CB839=3),N(INDEX(Parameter!$I$5:$I$7,CB839)),0),0)</f>
        <v>0</v>
      </c>
      <c r="CL839" s="52" t="n">
        <f aca="false">IF(AND(Parameter!$B$21="Ja",ISNUMBER(W839),N(X839)&gt;0),IFERROR(N(INDEX(Parameter!$L$5:$L$7,W839))*INDEX(Parameter!$E$5:$E$7,W839)*X839/SUMIFS($X$7:$X$1843,$W$7:$W$1843,W839),0),0)</f>
        <v>0</v>
      </c>
    </row>
    <row r="840" customFormat="false" ht="15" hidden="false" customHeight="false" outlineLevel="0" collapsed="false">
      <c r="A840" s="48" t="s">
        <v>1615</v>
      </c>
      <c r="B840" s="48" t="s">
        <v>1270</v>
      </c>
      <c r="C840" s="48" t="s">
        <v>168</v>
      </c>
      <c r="D840" s="48" t="s">
        <v>188</v>
      </c>
      <c r="E840" s="48" t="s">
        <v>189</v>
      </c>
      <c r="F840" s="48" t="s">
        <v>222</v>
      </c>
      <c r="G840" s="49" t="n">
        <v>0.06</v>
      </c>
      <c r="H840" s="50" t="n">
        <f aca="false">MAX(0,IF(AND(Parameter!$B$21="Ja",ISNUMBER(Y840)),Y840,IF(Parameter!$B$20="Jahresanfang 2025 + Export",BO840+BN840,BN840)))</f>
        <v>433</v>
      </c>
      <c r="I840" s="50" t="n">
        <f aca="false">H840*G840</f>
        <v>25.98</v>
      </c>
      <c r="J840" s="50" t="n">
        <f aca="false">BQ840*Parameter!$B$18</f>
        <v>94</v>
      </c>
      <c r="K840" s="51" t="n">
        <v>590</v>
      </c>
      <c r="L840" s="52" t="n">
        <v>0.159322033898305</v>
      </c>
      <c r="M840" s="50" t="n">
        <v>5</v>
      </c>
      <c r="N840" s="50" t="n">
        <v>95</v>
      </c>
      <c r="O840" s="53" t="n">
        <v>21</v>
      </c>
      <c r="P840" s="48" t="s">
        <v>480</v>
      </c>
      <c r="Q840" s="50" t="n">
        <v>1050</v>
      </c>
      <c r="R840" s="53" t="n">
        <f aca="false">IF(BW840=1,0,IFERROR(VLOOKUP(BU840,'Gebinde-Kategorie'!$A$5:$N$45,13,0)+0,0))</f>
        <v>52</v>
      </c>
      <c r="S840" s="54"/>
      <c r="T840" s="55"/>
      <c r="U840" s="55"/>
      <c r="V840" s="55"/>
      <c r="W840" s="48"/>
      <c r="X840" s="50"/>
      <c r="Y840" s="50"/>
      <c r="Z840" s="48" t="n">
        <f aca="false">IF(A840="","",IF(AND(Parameter!$B$21="Ja",ISNUMBER(W840)),W840,IF(BZ840="2+3",IF(ISNUMBER(SEARCH("grosser Artikel",BR840)),2,IFERROR(VLOOKUP(BU840,Parameter!$F$35:$G$64,2,0),2)),IF(OR(BZ840="Nein",BZ840=""),"-",BZ840))))</f>
        <v>3</v>
      </c>
      <c r="AA840" s="55"/>
      <c r="AB840" s="56"/>
      <c r="AC840" s="50" t="n">
        <f aca="false">AT840</f>
        <v>1050</v>
      </c>
      <c r="AD840" s="50" t="n">
        <f aca="false">MAX(AT840,H840)</f>
        <v>1050</v>
      </c>
      <c r="AE840" s="57"/>
      <c r="AF840" s="50" t="n">
        <f aca="false">IF(LEFT(Cockpit!$C$5,1)="A",H840,IF(CE840=1,CF840,IF(LEFT(Cockpit!$C$5,1)="B",AK840,MAX(AK840,H840))))</f>
        <v>433</v>
      </c>
      <c r="AG840" s="50" t="n">
        <f aca="false">IF(BW840=1,0,ROUNDUP(AF840/BV840,0))</f>
        <v>1</v>
      </c>
      <c r="AH840" s="52" t="n">
        <f aca="false">IF(CL840&gt;0,CL840*MAX(1,AF840/X840),IF(BW840=1,IF(AF840&lt;=0,0,CA840*MAX(1,IF(H840&gt;0,AF840/H840,1))),IF(R840&gt;0,AG840/R840,0))/MAX(0.1,N(Parameter!$M$21)))</f>
        <v>0.0192307692307692</v>
      </c>
      <c r="AI840" s="50" t="n">
        <f aca="false">AH840*BY840</f>
        <v>2.98076923076923</v>
      </c>
      <c r="AJ840" s="50" t="n">
        <f aca="false">AF840*G840</f>
        <v>25.98</v>
      </c>
      <c r="AK840" s="50" t="n">
        <f aca="false">ROUNDUP(MAX(J840/IF(CD840&gt;0,CD840,MAX(0.1,N(Cockpit!$C$6))),CG840)/BV840,0)*BV840</f>
        <v>1050</v>
      </c>
      <c r="AL840" s="51" t="n">
        <f aca="false">IF(AI840&gt;0,J840/AI840,-1)</f>
        <v>31.5354838709677</v>
      </c>
      <c r="AM840" s="51" t="n">
        <f aca="false">IF(AND(OR(CC840="L1",CC840="L23",CC840="LIFT"),AI840&gt;0),SUMIFS($AI$7:$AI$1843,$CC$7:$CC$1843,CC840,$AL$7:$AL$1843,"&gt;"&amp;AL840)+SUMIFS($AI$7:$AI$1843,$CC$7:$CC$1843,CC840,$AL$7:$AL$1843,AL840,$BT$7:$BT$1843,"&lt;="&amp;BT840),"")</f>
        <v>1382.00549450549</v>
      </c>
      <c r="AN840" s="58" t="n">
        <f aca="false">IF(AM840="",0,MAX(0,MIN(1,(IF(CC840="L1",Parameter!$H$5,IF(CC840="L23",Parameter!$H$6+Parameter!$H$7,Parameter!$H$5+Parameter!$H$6+Parameter!$H$7))-(AM840-AI840))/AI840)))</f>
        <v>1</v>
      </c>
      <c r="AO840" s="50" t="n">
        <f aca="false">IF(LEFT(Cockpit!$I$5,1)="A",H840,IF(CE840=1,CF840,IF(LEFT(Cockpit!$I$5,1)="B",AT840,MAX(AT840,H840))))</f>
        <v>1050</v>
      </c>
      <c r="AP840" s="50" t="n">
        <f aca="false">IF(BW840=1,0,ROUNDUP(AO840/BV840,0))</f>
        <v>1</v>
      </c>
      <c r="AQ840" s="52" t="n">
        <f aca="false">IF(CL840&gt;0,CL840*MAX(1,AO840/X840),IF(BW840=1,IF(AO840&lt;=0,0,CA840*MAX(1,IF(H840&gt;0,AO840/H840,1))),IF(R840&gt;0,AP840/R840,0))/MAX(0.1,N(Parameter!$M$21)))</f>
        <v>0.0192307692307692</v>
      </c>
      <c r="AR840" s="50" t="n">
        <f aca="false">AQ840*BY840</f>
        <v>2.98076923076923</v>
      </c>
      <c r="AS840" s="50" t="n">
        <f aca="false">AO840*G840</f>
        <v>63</v>
      </c>
      <c r="AT840" s="50" t="n">
        <f aca="false">ROUNDUP(MAX(J840/IF(CD840&gt;0,CD840,MAX(0.1,N(Cockpit!$I$6))),CG840)/BV840,0)*BV840</f>
        <v>1050</v>
      </c>
      <c r="AU840" s="51" t="n">
        <f aca="false">IF(AR840&gt;0,J840/AR840,-1)</f>
        <v>31.5354838709677</v>
      </c>
      <c r="AV840" s="51" t="n">
        <f aca="false">IF(AND(OR(CC840="L1",CC840="L23",CC840="LIFT"),AR840&gt;0),SUMIFS($AR$7:$AR$1843,$CC$7:$CC$1843,CC840,$AU$7:$AU$1843,"&gt;"&amp;AU840)+SUMIFS($AR$7:$AR$1843,$CC$7:$CC$1843,CC840,$AU$7:$AU$1843,AU840,$BT$7:$BT$1843,"&lt;="&amp;BT840),"")</f>
        <v>1878.19505494506</v>
      </c>
      <c r="AW840" s="58" t="n">
        <f aca="false">IF(AV840="",0,MAX(0,MIN(1,(IF(CC840="L1",Parameter!$H$5,IF(CC840="L23",Parameter!$H$6+Parameter!$H$7,Parameter!$H$5+Parameter!$H$6+Parameter!$H$7))-(AV840-AR840))/AR840)))</f>
        <v>1</v>
      </c>
      <c r="AX840" s="50" t="n">
        <f aca="false">IF(LEFT(Cockpit!$O$5,1)="A",H840,IF(CE840=1,CF840,IF(LEFT(Cockpit!$O$5,1)="B",BC840,MAX(BC840,H840))))</f>
        <v>1050</v>
      </c>
      <c r="AY840" s="50" t="n">
        <f aca="false">IF(BW840=1,0,ROUNDUP(AX840/BV840,0))</f>
        <v>1</v>
      </c>
      <c r="AZ840" s="52" t="n">
        <f aca="false">IF(CL840&gt;0,CL840*MAX(1,AX840/X840),IF(BW840=1,IF(AX840&lt;=0,0,CA840*MAX(1,IF(H840&gt;0,AX840/H840,1))),IF(R840&gt;0,AY840/R840,0))/MAX(0.1,N(Parameter!$M$21)))</f>
        <v>0.0192307692307692</v>
      </c>
      <c r="BA840" s="50" t="n">
        <f aca="false">AZ840*BY840</f>
        <v>2.98076923076923</v>
      </c>
      <c r="BB840" s="50" t="n">
        <f aca="false">AX840*G840</f>
        <v>63</v>
      </c>
      <c r="BC840" s="50" t="n">
        <f aca="false">ROUNDUP(MAX(J840/IF(CD840&gt;0,CD840,MAX(0.1,N(Cockpit!$O$6))),CG840)/BV840,0)*BV840</f>
        <v>1050</v>
      </c>
      <c r="BD840" s="51" t="n">
        <f aca="false">IF(BA840&gt;0,J840/BA840,-1)</f>
        <v>31.5354838709677</v>
      </c>
      <c r="BE840" s="51" t="n">
        <f aca="false">IF(AND(OR(CC840="L1",CC840="L23",CC840="LIFT"),BA840&gt;0),SUMIFS($BA$7:$BA$1843,$CC$7:$CC$1843,CC840,$BD$7:$BD$1843,"&gt;"&amp;BD840)+SUMIFS($BA$7:$BA$1843,$CC$7:$CC$1843,CC840,$BD$7:$BD$1843,BD840,$BT$7:$BT$1843,"&lt;="&amp;BT840),"")</f>
        <v>1786.38415750916</v>
      </c>
      <c r="BF840" s="58" t="n">
        <f aca="false">IF(BE840="",0,MAX(0,MIN(1,(IF(CC840="L1",Parameter!$H$5,IF(CC840="L23",Parameter!$H$6+Parameter!$H$7,Parameter!$H$5+Parameter!$H$6+Parameter!$H$7))-(BE840-BA840))/BA840)))</f>
        <v>1</v>
      </c>
      <c r="BG840" s="48" t="str">
        <f aca="false">IF(AI840&lt;=0,"",IF(CC840="Aussen","Aussenlager",IF(CC840="-","Nicht im Lift",IF(AN840&gt;=1,"Lift",IF(AN840&lt;=0,"Aussenlager","teilweise")))))</f>
        <v>Lift</v>
      </c>
      <c r="BH840" s="48" t="str">
        <f aca="false">IF(AR840&lt;=0,"",IF(CC840="Aussen","Aussenlager",IF(CC840="-","Nicht im Lift",IF(AW840&gt;=1,"Lift",IF(AW840&lt;=0,"Aussenlager","teilweise")))))</f>
        <v>Lift</v>
      </c>
      <c r="BI840" s="48" t="str">
        <f aca="false">IF(BA840&lt;=0,"",IF(CC840="Aussen","Aussenlager",IF(CC840="-","Nicht im Lift",IF(BF840&gt;=1,"Lift",IF(BF840&lt;=0,"Aussenlager","teilweise")))))</f>
        <v>Lift</v>
      </c>
      <c r="BJ840" s="48" t="str">
        <f aca="false">IF(A840="","",IF(BS840=1,"Neu; ","")&amp;IF(AND(BS840=0,BN840&lt;0),"negativer Bestand (Export "&amp;BN840&amp;"); ","")&amp;IF(J840&lt;=0,"Kein Verbrauch; ","")&amp;IF(CL840&gt;0,"Lift "&amp;W840&amp;" lt. Liftbericht (Fach "&amp;X840&amp;" Stk); ",IF(BX840=1,"Gebinde geschätzt ("&amp;T840&amp;"); ",IF(BW840=1,"Lose – Tablare geschätzt; ","")))&amp;IF(H840&gt;AT840,"Überbestand "&amp;ROUND(H840-AT840,0)&amp;" Stk / CHF "&amp;ROUND((H840-AT840)*G840,0)&amp;"; ","")&amp;IF(AND(CE840=1,CF840&lt;CG840),"MAX &lt; MB+LG; ","")&amp;IF(AND(CK840&gt;0,CJ840*10&gt;CK840),"zu hoch für Tablar; ","")&amp;IF(AND(BS840=0,OR(CE840=1,AA840&lt;&gt;"",U840&lt;&gt;"",V840&lt;&gt;"",AB840&lt;&gt;"")),"manuell übersteuert; ","")&amp;IF(AND(BW840=0,R840=0),"Gebinde unbekannt / Stellmass fehlt; ","")&amp;IF(AND(BW840=0,N(V840)&lt;=0,N(Q840)&lt;=0),"Menge pro Gebinde fehlt (Ist = 1 Gebinde); ","")&amp;BR840)</f>
        <v>negativer Bestand (Export -219); Neu</v>
      </c>
      <c r="BK840" s="48"/>
      <c r="BL840" s="48"/>
      <c r="BM840" s="55"/>
      <c r="BN840" s="50" t="n">
        <v>-219</v>
      </c>
      <c r="BO840" s="50" t="n">
        <v>652</v>
      </c>
      <c r="BP840" s="49" t="n">
        <v>-13.14</v>
      </c>
      <c r="BQ840" s="50" t="n">
        <v>94</v>
      </c>
      <c r="BR840" s="48" t="s">
        <v>630</v>
      </c>
      <c r="BS840" s="53" t="n">
        <v>0</v>
      </c>
      <c r="BT840" s="53" t="n">
        <v>840</v>
      </c>
      <c r="BU840" s="48" t="str">
        <f aca="false">IF(U840&lt;&gt;"",UPPER(TRIM(U840)),IF(BX840=1,UPPER(VLOOKUP(T840,Parameter!$I$27:$K$29,2,0)),IF(P840="","LOSE",P840)))</f>
        <v>S33</v>
      </c>
      <c r="BV840" s="50" t="n">
        <f aca="false">IF(BU840="LOSE",1,IF(N(V840)&gt;0,V840,IF(BX840=1,MAX(1,N(VLOOKUP(T840,Parameter!$I$27:$K$29,3,0)),H840,N(N840)),IF(N(Q840)&gt;0,Q840,MAX(1,H840)))))</f>
        <v>1050</v>
      </c>
      <c r="BW840" s="53" t="n">
        <f aca="false">IF(BU840="LOSE",1,0)</f>
        <v>0</v>
      </c>
      <c r="BX840" s="53" t="n">
        <f aca="false">IF(AND(U840="",OR(P840="",P840="LOSE"),T840&lt;&gt;"",N(S840)&lt;=0,ISNUMBER(MATCH(T840,Parameter!$I$27:$I$29,0))),1,0)</f>
        <v>0</v>
      </c>
      <c r="BY840" s="53" t="n">
        <f aca="false">IF(CL840&gt;0,INDEX(Parameter!$H$5:$H$7,W840)/INDEX(Parameter!$E$5:$E$7,W840),IF(AND(BW840=0,N(IFERROR(VLOOKUP(BU840,'Gebinde-Kategorie'!$A$5:$N$45,14,0),0))&gt;0),VLOOKUP(BU840,'Gebinde-Kategorie'!$A$5:$N$45,14,0)*10+Parameter!$M$23,Parameter!$M$24))</f>
        <v>155</v>
      </c>
      <c r="BZ840" s="48" t="str">
        <f aca="false">IF(AND(Parameter!$B$19="Ja",E840&lt;&gt;"",ISNUMBER(MATCH(E840,Parameter!$I$35:$I$52,0))),VLOOKUP(E840,Parameter!$I$35:$J$52,2,0),IFERROR(VLOOKUP(D840,Parameter!$A$35:$C$64,2,0),"Nein"))</f>
        <v>2+3</v>
      </c>
      <c r="CA840" s="52" t="n">
        <f aca="false">IF(BW840=0,0,IF(N(S840)&gt;0,S840,IFERROR(VLOOKUP(D840,Parameter!$A$35:$C$64,3,0)+0,0)))</f>
        <v>0</v>
      </c>
      <c r="CB840" s="48" t="n">
        <f aca="false">IF(AA840&lt;&gt;"",AA840,Z840)</f>
        <v>3</v>
      </c>
      <c r="CC840" s="48" t="str">
        <f aca="false">IF(OR(CB840=1,CB840=2,CB840=3),IF(Parameter!$E$27="Ja","LIFT",IF(CB840=1,"L1","L23")),IF(CB840="Aussen","Aussen","-"))</f>
        <v>LIFT</v>
      </c>
      <c r="CD840" s="59" t="n">
        <f aca="false">IF(N(AB840)&gt;0,AB840,0)</f>
        <v>0</v>
      </c>
      <c r="CE840" s="53" t="n">
        <f aca="false">IF(ISNUMBER(AE840),1,0)</f>
        <v>0</v>
      </c>
      <c r="CF840" s="50" t="n">
        <f aca="false">N(AE840)</f>
        <v>0</v>
      </c>
      <c r="CG840" s="50" t="n">
        <f aca="false">N(M840)+N(N840)</f>
        <v>100</v>
      </c>
      <c r="CH840" s="50" t="n">
        <f aca="false">ROUNDUP(H840/BV840,0)</f>
        <v>1</v>
      </c>
      <c r="CI840" s="50" t="n">
        <f aca="false">ROUNDUP(CF840/BV840,0)</f>
        <v>0</v>
      </c>
      <c r="CJ840" s="53" t="n">
        <f aca="false">IF(BW840=1,0,IFERROR(VLOOKUP(BU840,'Gebinde-Kategorie'!$A$5:$N$45,5,0)+0,0))</f>
        <v>8</v>
      </c>
      <c r="CK840" s="53" t="n">
        <f aca="false">IFERROR(IF(OR(CB840=1,CB840=2,CB840=3),N(INDEX(Parameter!$I$5:$I$7,CB840)),0),0)</f>
        <v>0</v>
      </c>
      <c r="CL840" s="52" t="n">
        <f aca="false">IF(AND(Parameter!$B$21="Ja",ISNUMBER(W840),N(X840)&gt;0),IFERROR(N(INDEX(Parameter!$L$5:$L$7,W840))*INDEX(Parameter!$E$5:$E$7,W840)*X840/SUMIFS($X$7:$X$1843,$W$7:$W$1843,W840),0),0)</f>
        <v>0</v>
      </c>
    </row>
    <row r="841" customFormat="false" ht="15" hidden="false" customHeight="false" outlineLevel="0" collapsed="false">
      <c r="A841" s="48" t="s">
        <v>1616</v>
      </c>
      <c r="B841" s="48" t="s">
        <v>1499</v>
      </c>
      <c r="C841" s="48" t="s">
        <v>168</v>
      </c>
      <c r="D841" s="48" t="s">
        <v>188</v>
      </c>
      <c r="E841" s="48" t="s">
        <v>170</v>
      </c>
      <c r="F841" s="48" t="s">
        <v>222</v>
      </c>
      <c r="G841" s="49" t="n">
        <v>0.02</v>
      </c>
      <c r="H841" s="50" t="n">
        <f aca="false">MAX(0,IF(AND(Parameter!$B$21="Ja",ISNUMBER(Y841)),Y841,IF(Parameter!$B$20="Jahresanfang 2025 + Export",BO841+BN841,BN841)))</f>
        <v>61</v>
      </c>
      <c r="I841" s="50" t="n">
        <f aca="false">H841*G841</f>
        <v>1.22</v>
      </c>
      <c r="J841" s="50" t="n">
        <f aca="false">BQ841*Parameter!$B$18</f>
        <v>301</v>
      </c>
      <c r="K841" s="51" t="n">
        <v>837</v>
      </c>
      <c r="L841" s="52" t="n">
        <v>0.359617682198327</v>
      </c>
      <c r="M841" s="50" t="n">
        <v>17</v>
      </c>
      <c r="N841" s="50" t="n">
        <v>300</v>
      </c>
      <c r="O841" s="53" t="n">
        <v>21</v>
      </c>
      <c r="P841" s="48" t="s">
        <v>405</v>
      </c>
      <c r="Q841" s="50" t="n">
        <v>1000</v>
      </c>
      <c r="R841" s="53" t="n">
        <f aca="false">IF(BW841=1,0,IFERROR(VLOOKUP(BU841,'Gebinde-Kategorie'!$A$5:$N$45,13,0)+0,0))</f>
        <v>280</v>
      </c>
      <c r="S841" s="54"/>
      <c r="T841" s="55"/>
      <c r="U841" s="55"/>
      <c r="V841" s="55"/>
      <c r="W841" s="48"/>
      <c r="X841" s="50"/>
      <c r="Y841" s="50"/>
      <c r="Z841" s="48" t="n">
        <f aca="false">IF(A841="","",IF(AND(Parameter!$B$21="Ja",ISNUMBER(W841)),W841,IF(BZ841="2+3",IF(ISNUMBER(SEARCH("grosser Artikel",BR841)),2,IFERROR(VLOOKUP(BU841,Parameter!$F$35:$G$64,2,0),2)),IF(OR(BZ841="Nein",BZ841=""),"-",BZ841))))</f>
        <v>1</v>
      </c>
      <c r="AA841" s="55"/>
      <c r="AB841" s="56"/>
      <c r="AC841" s="50" t="n">
        <f aca="false">AT841</f>
        <v>1000</v>
      </c>
      <c r="AD841" s="50" t="n">
        <f aca="false">MAX(AT841,H841)</f>
        <v>1000</v>
      </c>
      <c r="AE841" s="57"/>
      <c r="AF841" s="50" t="n">
        <f aca="false">IF(LEFT(Cockpit!$C$5,1)="A",H841,IF(CE841=1,CF841,IF(LEFT(Cockpit!$C$5,1)="B",AK841,MAX(AK841,H841))))</f>
        <v>61</v>
      </c>
      <c r="AG841" s="50" t="n">
        <f aca="false">IF(BW841=1,0,ROUNDUP(AF841/BV841,0))</f>
        <v>1</v>
      </c>
      <c r="AH841" s="52" t="n">
        <f aca="false">IF(CL841&gt;0,CL841*MAX(1,AF841/X841),IF(BW841=1,IF(AF841&lt;=0,0,CA841*MAX(1,IF(H841&gt;0,AF841/H841,1))),IF(R841&gt;0,AG841/R841,0))/MAX(0.1,N(Parameter!$M$21)))</f>
        <v>0.00357142857142857</v>
      </c>
      <c r="AI841" s="50" t="n">
        <f aca="false">AH841*BY841</f>
        <v>0.553571428571429</v>
      </c>
      <c r="AJ841" s="50" t="n">
        <f aca="false">AF841*G841</f>
        <v>1.22</v>
      </c>
      <c r="AK841" s="50" t="n">
        <f aca="false">ROUNDUP(MAX(J841/IF(CD841&gt;0,CD841,MAX(0.1,N(Cockpit!$C$6))),CG841)/BV841,0)*BV841</f>
        <v>1000</v>
      </c>
      <c r="AL841" s="51" t="n">
        <f aca="false">IF(AI841&gt;0,J841/AI841,-1)</f>
        <v>543.741935483871</v>
      </c>
      <c r="AM841" s="51" t="n">
        <f aca="false">IF(AND(OR(CC841="L1",CC841="L23",CC841="LIFT"),AI841&gt;0),SUMIFS($AI$7:$AI$1843,$CC$7:$CC$1843,CC841,$AL$7:$AL$1843,"&gt;"&amp;AL841)+SUMIFS($AI$7:$AI$1843,$CC$7:$CC$1843,CC841,$AL$7:$AL$1843,AL841,$BT$7:$BT$1843,"&lt;="&amp;BT841),"")</f>
        <v>81.521978021978</v>
      </c>
      <c r="AN841" s="58" t="n">
        <f aca="false">IF(AM841="",0,MAX(0,MIN(1,(IF(CC841="L1",Parameter!$H$5,IF(CC841="L23",Parameter!$H$6+Parameter!$H$7,Parameter!$H$5+Parameter!$H$6+Parameter!$H$7))-(AM841-AI841))/AI841)))</f>
        <v>1</v>
      </c>
      <c r="AO841" s="50" t="n">
        <f aca="false">IF(LEFT(Cockpit!$I$5,1)="A",H841,IF(CE841=1,CF841,IF(LEFT(Cockpit!$I$5,1)="B",AT841,MAX(AT841,H841))))</f>
        <v>1000</v>
      </c>
      <c r="AP841" s="50" t="n">
        <f aca="false">IF(BW841=1,0,ROUNDUP(AO841/BV841,0))</f>
        <v>1</v>
      </c>
      <c r="AQ841" s="52" t="n">
        <f aca="false">IF(CL841&gt;0,CL841*MAX(1,AO841/X841),IF(BW841=1,IF(AO841&lt;=0,0,CA841*MAX(1,IF(H841&gt;0,AO841/H841,1))),IF(R841&gt;0,AP841/R841,0))/MAX(0.1,N(Parameter!$M$21)))</f>
        <v>0.00357142857142857</v>
      </c>
      <c r="AR841" s="50" t="n">
        <f aca="false">AQ841*BY841</f>
        <v>0.553571428571429</v>
      </c>
      <c r="AS841" s="50" t="n">
        <f aca="false">AO841*G841</f>
        <v>20</v>
      </c>
      <c r="AT841" s="50" t="n">
        <f aca="false">ROUNDUP(MAX(J841/IF(CD841&gt;0,CD841,MAX(0.1,N(Cockpit!$I$6))),CG841)/BV841,0)*BV841</f>
        <v>1000</v>
      </c>
      <c r="AU841" s="51" t="n">
        <f aca="false">IF(AR841&gt;0,J841/AR841,-1)</f>
        <v>543.741935483871</v>
      </c>
      <c r="AV841" s="51" t="n">
        <f aca="false">IF(AND(OR(CC841="L1",CC841="L23",CC841="LIFT"),AR841&gt;0),SUMIFS($AR$7:$AR$1843,$CC$7:$CC$1843,CC841,$AU$7:$AU$1843,"&gt;"&amp;AU841)+SUMIFS($AR$7:$AR$1843,$CC$7:$CC$1843,CC841,$AU$7:$AU$1843,AU841,$BT$7:$BT$1843,"&lt;="&amp;BT841),"")</f>
        <v>68.010989010989</v>
      </c>
      <c r="AW841" s="58" t="n">
        <f aca="false">IF(AV841="",0,MAX(0,MIN(1,(IF(CC841="L1",Parameter!$H$5,IF(CC841="L23",Parameter!$H$6+Parameter!$H$7,Parameter!$H$5+Parameter!$H$6+Parameter!$H$7))-(AV841-AR841))/AR841)))</f>
        <v>1</v>
      </c>
      <c r="AX841" s="50" t="n">
        <f aca="false">IF(LEFT(Cockpit!$O$5,1)="A",H841,IF(CE841=1,CF841,IF(LEFT(Cockpit!$O$5,1)="B",BC841,MAX(BC841,H841))))</f>
        <v>1000</v>
      </c>
      <c r="AY841" s="50" t="n">
        <f aca="false">IF(BW841=1,0,ROUNDUP(AX841/BV841,0))</f>
        <v>1</v>
      </c>
      <c r="AZ841" s="52" t="n">
        <f aca="false">IF(CL841&gt;0,CL841*MAX(1,AX841/X841),IF(BW841=1,IF(AX841&lt;=0,0,CA841*MAX(1,IF(H841&gt;0,AX841/H841,1))),IF(R841&gt;0,AY841/R841,0))/MAX(0.1,N(Parameter!$M$21)))</f>
        <v>0.00357142857142857</v>
      </c>
      <c r="BA841" s="50" t="n">
        <f aca="false">AZ841*BY841</f>
        <v>0.553571428571429</v>
      </c>
      <c r="BB841" s="50" t="n">
        <f aca="false">AX841*G841</f>
        <v>20</v>
      </c>
      <c r="BC841" s="50" t="n">
        <f aca="false">ROUNDUP(MAX(J841/IF(CD841&gt;0,CD841,MAX(0.1,N(Cockpit!$O$6))),CG841)/BV841,0)*BV841</f>
        <v>1000</v>
      </c>
      <c r="BD841" s="51" t="n">
        <f aca="false">IF(BA841&gt;0,J841/BA841,-1)</f>
        <v>543.741935483871</v>
      </c>
      <c r="BE841" s="51" t="n">
        <f aca="false">IF(AND(OR(CC841="L1",CC841="L23",CC841="LIFT"),BA841&gt;0),SUMIFS($BA$7:$BA$1843,$CC$7:$CC$1843,CC841,$BD$7:$BD$1843,"&gt;"&amp;BD841)+SUMIFS($BA$7:$BA$1843,$CC$7:$CC$1843,CC841,$BD$7:$BD$1843,BD841,$BT$7:$BT$1843,"&lt;="&amp;BT841),"")</f>
        <v>91.8571428571429</v>
      </c>
      <c r="BF841" s="58" t="n">
        <f aca="false">IF(BE841="",0,MAX(0,MIN(1,(IF(CC841="L1",Parameter!$H$5,IF(CC841="L23",Parameter!$H$6+Parameter!$H$7,Parameter!$H$5+Parameter!$H$6+Parameter!$H$7))-(BE841-BA841))/BA841)))</f>
        <v>1</v>
      </c>
      <c r="BG841" s="48" t="str">
        <f aca="false">IF(AI841&lt;=0,"",IF(CC841="Aussen","Aussenlager",IF(CC841="-","Nicht im Lift",IF(AN841&gt;=1,"Lift",IF(AN841&lt;=0,"Aussenlager","teilweise")))))</f>
        <v>Lift</v>
      </c>
      <c r="BH841" s="48" t="str">
        <f aca="false">IF(AR841&lt;=0,"",IF(CC841="Aussen","Aussenlager",IF(CC841="-","Nicht im Lift",IF(AW841&gt;=1,"Lift",IF(AW841&lt;=0,"Aussenlager","teilweise")))))</f>
        <v>Lift</v>
      </c>
      <c r="BI841" s="48" t="str">
        <f aca="false">IF(BA841&lt;=0,"",IF(CC841="Aussen","Aussenlager",IF(CC841="-","Nicht im Lift",IF(BF841&gt;=1,"Lift",IF(BF841&lt;=0,"Aussenlager","teilweise")))))</f>
        <v>Lift</v>
      </c>
      <c r="BJ841" s="48" t="str">
        <f aca="false">IF(A841="","",IF(BS841=1,"Neu; ","")&amp;IF(AND(BS841=0,BN841&lt;0),"negativer Bestand (Export "&amp;BN841&amp;"); ","")&amp;IF(J841&lt;=0,"Kein Verbrauch; ","")&amp;IF(CL841&gt;0,"Lift "&amp;W841&amp;" lt. Liftbericht (Fach "&amp;X841&amp;" Stk); ",IF(BX841=1,"Gebinde geschätzt ("&amp;T841&amp;"); ",IF(BW841=1,"Lose – Tablare geschätzt; ","")))&amp;IF(H841&gt;AT841,"Überbestand "&amp;ROUND(H841-AT841,0)&amp;" Stk / CHF "&amp;ROUND((H841-AT841)*G841,0)&amp;"; ","")&amp;IF(AND(CE841=1,CF841&lt;CG841),"MAX &lt; MB+LG; ","")&amp;IF(AND(CK841&gt;0,CJ841*10&gt;CK841),"zu hoch für Tablar; ","")&amp;IF(AND(BS841=0,OR(CE841=1,AA841&lt;&gt;"",U841&lt;&gt;"",V841&lt;&gt;"",AB841&lt;&gt;"")),"manuell übersteuert; ","")&amp;IF(AND(BW841=0,R841=0),"Gebinde unbekannt / Stellmass fehlt; ","")&amp;IF(AND(BW841=0,N(V841)&lt;=0,N(Q841)&lt;=0),"Menge pro Gebinde fehlt (Ist = 1 Gebinde); ","")&amp;BR841)</f>
        <v>negativer Bestand (Export -1393); </v>
      </c>
      <c r="BK841" s="48"/>
      <c r="BL841" s="48"/>
      <c r="BM841" s="55"/>
      <c r="BN841" s="50" t="n">
        <v>-1393</v>
      </c>
      <c r="BO841" s="50" t="n">
        <v>1454</v>
      </c>
      <c r="BP841" s="49" t="n">
        <v>-13.32</v>
      </c>
      <c r="BQ841" s="50" t="n">
        <v>301</v>
      </c>
      <c r="BR841" s="48"/>
      <c r="BS841" s="53" t="n">
        <v>0</v>
      </c>
      <c r="BT841" s="53" t="n">
        <v>841</v>
      </c>
      <c r="BU841" s="48" t="str">
        <f aca="false">IF(U841&lt;&gt;"",UPPER(TRIM(U841)),IF(BX841=1,UPPER(VLOOKUP(T841,Parameter!$I$27:$K$29,2,0)),IF(P841="","LOSE",P841)))</f>
        <v>S21</v>
      </c>
      <c r="BV841" s="50" t="n">
        <f aca="false">IF(BU841="LOSE",1,IF(N(V841)&gt;0,V841,IF(BX841=1,MAX(1,N(VLOOKUP(T841,Parameter!$I$27:$K$29,3,0)),H841,N(N841)),IF(N(Q841)&gt;0,Q841,MAX(1,H841)))))</f>
        <v>1000</v>
      </c>
      <c r="BW841" s="53" t="n">
        <f aca="false">IF(BU841="LOSE",1,0)</f>
        <v>0</v>
      </c>
      <c r="BX841" s="53" t="n">
        <f aca="false">IF(AND(U841="",OR(P841="",P841="LOSE"),T841&lt;&gt;"",N(S841)&lt;=0,ISNUMBER(MATCH(T841,Parameter!$I$27:$I$29,0))),1,0)</f>
        <v>0</v>
      </c>
      <c r="BY841" s="53" t="n">
        <f aca="false">IF(CL841&gt;0,INDEX(Parameter!$H$5:$H$7,W841)/INDEX(Parameter!$E$5:$E$7,W841),IF(AND(BW841=0,N(IFERROR(VLOOKUP(BU841,'Gebinde-Kategorie'!$A$5:$N$45,14,0),0))&gt;0),VLOOKUP(BU841,'Gebinde-Kategorie'!$A$5:$N$45,14,0)*10+Parameter!$M$23,Parameter!$M$24))</f>
        <v>155</v>
      </c>
      <c r="BZ841" s="48" t="n">
        <f aca="false">IF(AND(Parameter!$B$19="Ja",E841&lt;&gt;"",ISNUMBER(MATCH(E841,Parameter!$I$35:$I$52,0))),VLOOKUP(E841,Parameter!$I$35:$J$52,2,0),IFERROR(VLOOKUP(D841,Parameter!$A$35:$C$64,2,0),"Nein"))</f>
        <v>1</v>
      </c>
      <c r="CA841" s="52" t="n">
        <f aca="false">IF(BW841=0,0,IF(N(S841)&gt;0,S841,IFERROR(VLOOKUP(D841,Parameter!$A$35:$C$64,3,0)+0,0)))</f>
        <v>0</v>
      </c>
      <c r="CB841" s="48" t="n">
        <f aca="false">IF(AA841&lt;&gt;"",AA841,Z841)</f>
        <v>1</v>
      </c>
      <c r="CC841" s="48" t="str">
        <f aca="false">IF(OR(CB841=1,CB841=2,CB841=3),IF(Parameter!$E$27="Ja","LIFT",IF(CB841=1,"L1","L23")),IF(CB841="Aussen","Aussen","-"))</f>
        <v>LIFT</v>
      </c>
      <c r="CD841" s="59" t="n">
        <f aca="false">IF(N(AB841)&gt;0,AB841,0)</f>
        <v>0</v>
      </c>
      <c r="CE841" s="53" t="n">
        <f aca="false">IF(ISNUMBER(AE841),1,0)</f>
        <v>0</v>
      </c>
      <c r="CF841" s="50" t="n">
        <f aca="false">N(AE841)</f>
        <v>0</v>
      </c>
      <c r="CG841" s="50" t="n">
        <f aca="false">N(M841)+N(N841)</f>
        <v>317</v>
      </c>
      <c r="CH841" s="50" t="n">
        <f aca="false">ROUNDUP(H841/BV841,0)</f>
        <v>1</v>
      </c>
      <c r="CI841" s="50" t="n">
        <f aca="false">ROUNDUP(CF841/BV841,0)</f>
        <v>0</v>
      </c>
      <c r="CJ841" s="53" t="n">
        <f aca="false">IF(BW841=1,0,IFERROR(VLOOKUP(BU841,'Gebinde-Kategorie'!$A$5:$N$45,5,0)+0,0))</f>
        <v>8</v>
      </c>
      <c r="CK841" s="53" t="n">
        <f aca="false">IFERROR(IF(OR(CB841=1,CB841=2,CB841=3),N(INDEX(Parameter!$I$5:$I$7,CB841)),0),0)</f>
        <v>0</v>
      </c>
      <c r="CL841" s="52" t="n">
        <f aca="false">IF(AND(Parameter!$B$21="Ja",ISNUMBER(W841),N(X841)&gt;0),IFERROR(N(INDEX(Parameter!$L$5:$L$7,W841))*INDEX(Parameter!$E$5:$E$7,W841)*X841/SUMIFS($X$7:$X$1843,$W$7:$W$1843,W841),0),0)</f>
        <v>0</v>
      </c>
    </row>
    <row r="842" customFormat="false" ht="15" hidden="false" customHeight="false" outlineLevel="0" collapsed="false">
      <c r="A842" s="48" t="s">
        <v>1617</v>
      </c>
      <c r="B842" s="48" t="s">
        <v>411</v>
      </c>
      <c r="C842" s="48" t="s">
        <v>168</v>
      </c>
      <c r="D842" s="48" t="s">
        <v>188</v>
      </c>
      <c r="E842" s="48" t="s">
        <v>189</v>
      </c>
      <c r="F842" s="48" t="s">
        <v>222</v>
      </c>
      <c r="G842" s="49" t="n">
        <v>0.02</v>
      </c>
      <c r="H842" s="50" t="n">
        <f aca="false">MAX(0,IF(AND(Parameter!$B$21="Ja",ISNUMBER(Y842)),Y842,IF(Parameter!$B$20="Jahresanfang 2025 + Export",BO842+BN842,BN842)))</f>
        <v>1497</v>
      </c>
      <c r="I842" s="50" t="n">
        <f aca="false">H842*G842</f>
        <v>29.94</v>
      </c>
      <c r="J842" s="50" t="n">
        <f aca="false">BQ842*Parameter!$B$18</f>
        <v>7159</v>
      </c>
      <c r="K842" s="51" t="n">
        <v>2330.5</v>
      </c>
      <c r="L842" s="52" t="n">
        <v>3.07187298862905</v>
      </c>
      <c r="M842" s="50" t="n">
        <v>417</v>
      </c>
      <c r="N842" s="50" t="n">
        <v>2000</v>
      </c>
      <c r="O842" s="53" t="n">
        <v>21</v>
      </c>
      <c r="P842" s="48" t="s">
        <v>332</v>
      </c>
      <c r="Q842" s="50" t="n">
        <v>3706</v>
      </c>
      <c r="R842" s="53" t="n">
        <f aca="false">IF(BW842=1,0,IFERROR(VLOOKUP(BU842,'Gebinde-Kategorie'!$A$5:$N$45,13,0)+0,0))</f>
        <v>52</v>
      </c>
      <c r="S842" s="54"/>
      <c r="T842" s="55"/>
      <c r="U842" s="55"/>
      <c r="V842" s="55"/>
      <c r="W842" s="48"/>
      <c r="X842" s="50"/>
      <c r="Y842" s="50"/>
      <c r="Z842" s="48" t="n">
        <f aca="false">IF(A842="","",IF(AND(Parameter!$B$21="Ja",ISNUMBER(W842)),W842,IF(BZ842="2+3",IF(ISNUMBER(SEARCH("grosser Artikel",BR842)),2,IFERROR(VLOOKUP(BU842,Parameter!$F$35:$G$64,2,0),2)),IF(OR(BZ842="Nein",BZ842=""),"-",BZ842))))</f>
        <v>3</v>
      </c>
      <c r="AA842" s="55"/>
      <c r="AB842" s="56"/>
      <c r="AC842" s="50" t="n">
        <f aca="false">AT842</f>
        <v>3706</v>
      </c>
      <c r="AD842" s="50" t="n">
        <f aca="false">MAX(AT842,H842)</f>
        <v>3706</v>
      </c>
      <c r="AE842" s="57"/>
      <c r="AF842" s="50" t="n">
        <f aca="false">IF(LEFT(Cockpit!$C$5,1)="A",H842,IF(CE842=1,CF842,IF(LEFT(Cockpit!$C$5,1)="B",AK842,MAX(AK842,H842))))</f>
        <v>1497</v>
      </c>
      <c r="AG842" s="50" t="n">
        <f aca="false">IF(BW842=1,0,ROUNDUP(AF842/BV842,0))</f>
        <v>1</v>
      </c>
      <c r="AH842" s="52" t="n">
        <f aca="false">IF(CL842&gt;0,CL842*MAX(1,AF842/X842),IF(BW842=1,IF(AF842&lt;=0,0,CA842*MAX(1,IF(H842&gt;0,AF842/H842,1))),IF(R842&gt;0,AG842/R842,0))/MAX(0.1,N(Parameter!$M$21)))</f>
        <v>0.0192307692307692</v>
      </c>
      <c r="AI842" s="50" t="n">
        <f aca="false">AH842*BY842</f>
        <v>2.98076923076923</v>
      </c>
      <c r="AJ842" s="50" t="n">
        <f aca="false">AF842*G842</f>
        <v>29.94</v>
      </c>
      <c r="AK842" s="50" t="n">
        <f aca="false">ROUNDUP(MAX(J842/IF(CD842&gt;0,CD842,MAX(0.1,N(Cockpit!$C$6))),CG842)/BV842,0)*BV842</f>
        <v>3706</v>
      </c>
      <c r="AL842" s="51" t="n">
        <f aca="false">IF(AI842&gt;0,J842/AI842,-1)</f>
        <v>2401.72903225806</v>
      </c>
      <c r="AM842" s="51" t="n">
        <f aca="false">IF(AND(OR(CC842="L1",CC842="L23",CC842="LIFT"),AI842&gt;0),SUMIFS($AI$7:$AI$1843,$CC$7:$CC$1843,CC842,$AL$7:$AL$1843,"&gt;"&amp;AL842)+SUMIFS($AI$7:$AI$1843,$CC$7:$CC$1843,CC842,$AL$7:$AL$1843,AL842,$BT$7:$BT$1843,"&lt;="&amp;BT842),"")</f>
        <v>2.98076923076923</v>
      </c>
      <c r="AN842" s="58" t="n">
        <f aca="false">IF(AM842="",0,MAX(0,MIN(1,(IF(CC842="L1",Parameter!$H$5,IF(CC842="L23",Parameter!$H$6+Parameter!$H$7,Parameter!$H$5+Parameter!$H$6+Parameter!$H$7))-(AM842-AI842))/AI842)))</f>
        <v>1</v>
      </c>
      <c r="AO842" s="50" t="n">
        <f aca="false">IF(LEFT(Cockpit!$I$5,1)="A",H842,IF(CE842=1,CF842,IF(LEFT(Cockpit!$I$5,1)="B",AT842,MAX(AT842,H842))))</f>
        <v>3706</v>
      </c>
      <c r="AP842" s="50" t="n">
        <f aca="false">IF(BW842=1,0,ROUNDUP(AO842/BV842,0))</f>
        <v>1</v>
      </c>
      <c r="AQ842" s="52" t="n">
        <f aca="false">IF(CL842&gt;0,CL842*MAX(1,AO842/X842),IF(BW842=1,IF(AO842&lt;=0,0,CA842*MAX(1,IF(H842&gt;0,AO842/H842,1))),IF(R842&gt;0,AP842/R842,0))/MAX(0.1,N(Parameter!$M$21)))</f>
        <v>0.0192307692307692</v>
      </c>
      <c r="AR842" s="50" t="n">
        <f aca="false">AQ842*BY842</f>
        <v>2.98076923076923</v>
      </c>
      <c r="AS842" s="50" t="n">
        <f aca="false">AO842*G842</f>
        <v>74.12</v>
      </c>
      <c r="AT842" s="50" t="n">
        <f aca="false">ROUNDUP(MAX(J842/IF(CD842&gt;0,CD842,MAX(0.1,N(Cockpit!$I$6))),CG842)/BV842,0)*BV842</f>
        <v>3706</v>
      </c>
      <c r="AU842" s="51" t="n">
        <f aca="false">IF(AR842&gt;0,J842/AR842,-1)</f>
        <v>2401.72903225806</v>
      </c>
      <c r="AV842" s="51" t="n">
        <f aca="false">IF(AND(OR(CC842="L1",CC842="L23",CC842="LIFT"),AR842&gt;0),SUMIFS($AR$7:$AR$1843,$CC$7:$CC$1843,CC842,$AU$7:$AU$1843,"&gt;"&amp;AU842)+SUMIFS($AR$7:$AR$1843,$CC$7:$CC$1843,CC842,$AU$7:$AU$1843,AU842,$BT$7:$BT$1843,"&lt;="&amp;BT842),"")</f>
        <v>2.98076923076923</v>
      </c>
      <c r="AW842" s="58" t="n">
        <f aca="false">IF(AV842="",0,MAX(0,MIN(1,(IF(CC842="L1",Parameter!$H$5,IF(CC842="L23",Parameter!$H$6+Parameter!$H$7,Parameter!$H$5+Parameter!$H$6+Parameter!$H$7))-(AV842-AR842))/AR842)))</f>
        <v>1</v>
      </c>
      <c r="AX842" s="50" t="n">
        <f aca="false">IF(LEFT(Cockpit!$O$5,1)="A",H842,IF(CE842=1,CF842,IF(LEFT(Cockpit!$O$5,1)="B",BC842,MAX(BC842,H842))))</f>
        <v>3706</v>
      </c>
      <c r="AY842" s="50" t="n">
        <f aca="false">IF(BW842=1,0,ROUNDUP(AX842/BV842,0))</f>
        <v>1</v>
      </c>
      <c r="AZ842" s="52" t="n">
        <f aca="false">IF(CL842&gt;0,CL842*MAX(1,AX842/X842),IF(BW842=1,IF(AX842&lt;=0,0,CA842*MAX(1,IF(H842&gt;0,AX842/H842,1))),IF(R842&gt;0,AY842/R842,0))/MAX(0.1,N(Parameter!$M$21)))</f>
        <v>0.0192307692307692</v>
      </c>
      <c r="BA842" s="50" t="n">
        <f aca="false">AZ842*BY842</f>
        <v>2.98076923076923</v>
      </c>
      <c r="BB842" s="50" t="n">
        <f aca="false">AX842*G842</f>
        <v>74.12</v>
      </c>
      <c r="BC842" s="50" t="n">
        <f aca="false">ROUNDUP(MAX(J842/IF(CD842&gt;0,CD842,MAX(0.1,N(Cockpit!$O$6))),CG842)/BV842,0)*BV842</f>
        <v>3706</v>
      </c>
      <c r="BD842" s="51" t="n">
        <f aca="false">IF(BA842&gt;0,J842/BA842,-1)</f>
        <v>2401.72903225806</v>
      </c>
      <c r="BE842" s="51" t="n">
        <f aca="false">IF(AND(OR(CC842="L1",CC842="L23",CC842="LIFT"),BA842&gt;0),SUMIFS($BA$7:$BA$1843,$CC$7:$CC$1843,CC842,$BD$7:$BD$1843,"&gt;"&amp;BD842)+SUMIFS($BA$7:$BA$1843,$CC$7:$CC$1843,CC842,$BD$7:$BD$1843,BD842,$BT$7:$BT$1843,"&lt;="&amp;BT842),"")</f>
        <v>2.98076923076923</v>
      </c>
      <c r="BF842" s="58" t="n">
        <f aca="false">IF(BE842="",0,MAX(0,MIN(1,(IF(CC842="L1",Parameter!$H$5,IF(CC842="L23",Parameter!$H$6+Parameter!$H$7,Parameter!$H$5+Parameter!$H$6+Parameter!$H$7))-(BE842-BA842))/BA842)))</f>
        <v>1</v>
      </c>
      <c r="BG842" s="48" t="str">
        <f aca="false">IF(AI842&lt;=0,"",IF(CC842="Aussen","Aussenlager",IF(CC842="-","Nicht im Lift",IF(AN842&gt;=1,"Lift",IF(AN842&lt;=0,"Aussenlager","teilweise")))))</f>
        <v>Lift</v>
      </c>
      <c r="BH842" s="48" t="str">
        <f aca="false">IF(AR842&lt;=0,"",IF(CC842="Aussen","Aussenlager",IF(CC842="-","Nicht im Lift",IF(AW842&gt;=1,"Lift",IF(AW842&lt;=0,"Aussenlager","teilweise")))))</f>
        <v>Lift</v>
      </c>
      <c r="BI842" s="48" t="str">
        <f aca="false">IF(BA842&lt;=0,"",IF(CC842="Aussen","Aussenlager",IF(CC842="-","Nicht im Lift",IF(BF842&gt;=1,"Lift",IF(BF842&lt;=0,"Aussenlager","teilweise")))))</f>
        <v>Lift</v>
      </c>
      <c r="BJ842" s="48" t="str">
        <f aca="false">IF(A842="","",IF(BS842=1,"Neu; ","")&amp;IF(AND(BS842=0,BN842&lt;0),"negativer Bestand (Export "&amp;BN842&amp;"); ","")&amp;IF(J842&lt;=0,"Kein Verbrauch; ","")&amp;IF(CL842&gt;0,"Lift "&amp;W842&amp;" lt. Liftbericht (Fach "&amp;X842&amp;" Stk); ",IF(BX842=1,"Gebinde geschätzt ("&amp;T842&amp;"); ",IF(BW842=1,"Lose – Tablare geschätzt; ","")))&amp;IF(H842&gt;AT842,"Überbestand "&amp;ROUND(H842-AT842,0)&amp;" Stk / CHF "&amp;ROUND((H842-AT842)*G842,0)&amp;"; ","")&amp;IF(AND(CE842=1,CF842&lt;CG842),"MAX &lt; MB+LG; ","")&amp;IF(AND(CK842&gt;0,CJ842*10&gt;CK842),"zu hoch für Tablar; ","")&amp;IF(AND(BS842=0,OR(CE842=1,AA842&lt;&gt;"",U842&lt;&gt;"",V842&lt;&gt;"",AB842&lt;&gt;"")),"manuell übersteuert; ","")&amp;IF(AND(BW842=0,R842=0),"Gebinde unbekannt / Stellmass fehlt; ","")&amp;IF(AND(BW842=0,N(V842)&lt;=0,N(Q842)&lt;=0),"Menge pro Gebinde fehlt (Ist = 1 Gebinde); ","")&amp;BR842)</f>
        <v>negativer Bestand (Export -703); </v>
      </c>
      <c r="BK842" s="48"/>
      <c r="BL842" s="48"/>
      <c r="BM842" s="55"/>
      <c r="BN842" s="50" t="n">
        <v>-703</v>
      </c>
      <c r="BO842" s="50" t="n">
        <v>2200</v>
      </c>
      <c r="BP842" s="49" t="n">
        <v>-14.0599999999999</v>
      </c>
      <c r="BQ842" s="50" t="n">
        <v>7159</v>
      </c>
      <c r="BR842" s="48"/>
      <c r="BS842" s="53" t="n">
        <v>0</v>
      </c>
      <c r="BT842" s="53" t="n">
        <v>842</v>
      </c>
      <c r="BU842" s="48" t="str">
        <f aca="false">IF(U842&lt;&gt;"",UPPER(TRIM(U842)),IF(BX842=1,UPPER(VLOOKUP(T842,Parameter!$I$27:$K$29,2,0)),IF(P842="","LOSE",P842)))</f>
        <v>S41</v>
      </c>
      <c r="BV842" s="50" t="n">
        <f aca="false">IF(BU842="LOSE",1,IF(N(V842)&gt;0,V842,IF(BX842=1,MAX(1,N(VLOOKUP(T842,Parameter!$I$27:$K$29,3,0)),H842,N(N842)),IF(N(Q842)&gt;0,Q842,MAX(1,H842)))))</f>
        <v>3706</v>
      </c>
      <c r="BW842" s="53" t="n">
        <f aca="false">IF(BU842="LOSE",1,0)</f>
        <v>0</v>
      </c>
      <c r="BX842" s="53" t="n">
        <f aca="false">IF(AND(U842="",OR(P842="",P842="LOSE"),T842&lt;&gt;"",N(S842)&lt;=0,ISNUMBER(MATCH(T842,Parameter!$I$27:$I$29,0))),1,0)</f>
        <v>0</v>
      </c>
      <c r="BY842" s="53" t="n">
        <f aca="false">IF(CL842&gt;0,INDEX(Parameter!$H$5:$H$7,W842)/INDEX(Parameter!$E$5:$E$7,W842),IF(AND(BW842=0,N(IFERROR(VLOOKUP(BU842,'Gebinde-Kategorie'!$A$5:$N$45,14,0),0))&gt;0),VLOOKUP(BU842,'Gebinde-Kategorie'!$A$5:$N$45,14,0)*10+Parameter!$M$23,Parameter!$M$24))</f>
        <v>155</v>
      </c>
      <c r="BZ842" s="48" t="str">
        <f aca="false">IF(AND(Parameter!$B$19="Ja",E842&lt;&gt;"",ISNUMBER(MATCH(E842,Parameter!$I$35:$I$52,0))),VLOOKUP(E842,Parameter!$I$35:$J$52,2,0),IFERROR(VLOOKUP(D842,Parameter!$A$35:$C$64,2,0),"Nein"))</f>
        <v>2+3</v>
      </c>
      <c r="CA842" s="52" t="n">
        <f aca="false">IF(BW842=0,0,IF(N(S842)&gt;0,S842,IFERROR(VLOOKUP(D842,Parameter!$A$35:$C$64,3,0)+0,0)))</f>
        <v>0</v>
      </c>
      <c r="CB842" s="48" t="n">
        <f aca="false">IF(AA842&lt;&gt;"",AA842,Z842)</f>
        <v>3</v>
      </c>
      <c r="CC842" s="48" t="str">
        <f aca="false">IF(OR(CB842=1,CB842=2,CB842=3),IF(Parameter!$E$27="Ja","LIFT",IF(CB842=1,"L1","L23")),IF(CB842="Aussen","Aussen","-"))</f>
        <v>LIFT</v>
      </c>
      <c r="CD842" s="59" t="n">
        <f aca="false">IF(N(AB842)&gt;0,AB842,0)</f>
        <v>0</v>
      </c>
      <c r="CE842" s="53" t="n">
        <f aca="false">IF(ISNUMBER(AE842),1,0)</f>
        <v>0</v>
      </c>
      <c r="CF842" s="50" t="n">
        <f aca="false">N(AE842)</f>
        <v>0</v>
      </c>
      <c r="CG842" s="50" t="n">
        <f aca="false">N(M842)+N(N842)</f>
        <v>2417</v>
      </c>
      <c r="CH842" s="50" t="n">
        <f aca="false">ROUNDUP(H842/BV842,0)</f>
        <v>1</v>
      </c>
      <c r="CI842" s="50" t="n">
        <f aca="false">ROUNDUP(CF842/BV842,0)</f>
        <v>0</v>
      </c>
      <c r="CJ842" s="53" t="n">
        <f aca="false">IF(BW842=1,0,IFERROR(VLOOKUP(BU842,'Gebinde-Kategorie'!$A$5:$N$45,5,0)+0,0))</f>
        <v>11</v>
      </c>
      <c r="CK842" s="53" t="n">
        <f aca="false">IFERROR(IF(OR(CB842=1,CB842=2,CB842=3),N(INDEX(Parameter!$I$5:$I$7,CB842)),0),0)</f>
        <v>0</v>
      </c>
      <c r="CL842" s="52" t="n">
        <f aca="false">IF(AND(Parameter!$B$21="Ja",ISNUMBER(W842),N(X842)&gt;0),IFERROR(N(INDEX(Parameter!$L$5:$L$7,W842))*INDEX(Parameter!$E$5:$E$7,W842)*X842/SUMIFS($X$7:$X$1843,$W$7:$W$1843,W842),0),0)</f>
        <v>0</v>
      </c>
    </row>
    <row r="843" customFormat="false" ht="15" hidden="false" customHeight="false" outlineLevel="0" collapsed="false">
      <c r="A843" s="48" t="s">
        <v>1618</v>
      </c>
      <c r="B843" s="48" t="s">
        <v>472</v>
      </c>
      <c r="C843" s="48" t="s">
        <v>168</v>
      </c>
      <c r="D843" s="48" t="s">
        <v>188</v>
      </c>
      <c r="E843" s="48" t="s">
        <v>189</v>
      </c>
      <c r="F843" s="48" t="s">
        <v>222</v>
      </c>
      <c r="G843" s="49" t="n">
        <v>0.11</v>
      </c>
      <c r="H843" s="50" t="n">
        <f aca="false">MAX(0,IF(AND(Parameter!$B$21="Ja",ISNUMBER(Y843)),Y843,IF(Parameter!$B$20="Jahresanfang 2025 + Export",BO843+BN843,BN843)))</f>
        <v>21</v>
      </c>
      <c r="I843" s="50" t="n">
        <f aca="false">H843*G843</f>
        <v>2.31</v>
      </c>
      <c r="J843" s="50" t="n">
        <f aca="false">BQ843*Parameter!$B$18</f>
        <v>93</v>
      </c>
      <c r="K843" s="51" t="n">
        <v>108</v>
      </c>
      <c r="L843" s="52" t="n">
        <v>0.861111111111111</v>
      </c>
      <c r="M843" s="50" t="n">
        <v>4</v>
      </c>
      <c r="N843" s="50" t="n">
        <v>95</v>
      </c>
      <c r="O843" s="53" t="n">
        <v>14</v>
      </c>
      <c r="P843" s="48" t="s">
        <v>430</v>
      </c>
      <c r="Q843" s="50" t="n">
        <v>131</v>
      </c>
      <c r="R843" s="53" t="n">
        <f aca="false">IF(BW843=1,0,IFERROR(VLOOKUP(BU843,'Gebinde-Kategorie'!$A$5:$N$45,13,0)+0,0))</f>
        <v>140</v>
      </c>
      <c r="S843" s="54"/>
      <c r="T843" s="55"/>
      <c r="U843" s="55"/>
      <c r="V843" s="55"/>
      <c r="W843" s="48"/>
      <c r="X843" s="50"/>
      <c r="Y843" s="50"/>
      <c r="Z843" s="48" t="n">
        <f aca="false">IF(A843="","",IF(AND(Parameter!$B$21="Ja",ISNUMBER(W843)),W843,IF(BZ843="2+3",IF(ISNUMBER(SEARCH("grosser Artikel",BR843)),2,IFERROR(VLOOKUP(BU843,Parameter!$F$35:$G$64,2,0),2)),IF(OR(BZ843="Nein",BZ843=""),"-",BZ843))))</f>
        <v>3</v>
      </c>
      <c r="AA843" s="55"/>
      <c r="AB843" s="56"/>
      <c r="AC843" s="50" t="n">
        <f aca="false">AT843</f>
        <v>131</v>
      </c>
      <c r="AD843" s="50" t="n">
        <f aca="false">MAX(AT843,H843)</f>
        <v>131</v>
      </c>
      <c r="AE843" s="57"/>
      <c r="AF843" s="50" t="n">
        <f aca="false">IF(LEFT(Cockpit!$C$5,1)="A",H843,IF(CE843=1,CF843,IF(LEFT(Cockpit!$C$5,1)="B",AK843,MAX(AK843,H843))))</f>
        <v>21</v>
      </c>
      <c r="AG843" s="50" t="n">
        <f aca="false">IF(BW843=1,0,ROUNDUP(AF843/BV843,0))</f>
        <v>1</v>
      </c>
      <c r="AH843" s="52" t="n">
        <f aca="false">IF(CL843&gt;0,CL843*MAX(1,AF843/X843),IF(BW843=1,IF(AF843&lt;=0,0,CA843*MAX(1,IF(H843&gt;0,AF843/H843,1))),IF(R843&gt;0,AG843/R843,0))/MAX(0.1,N(Parameter!$M$21)))</f>
        <v>0.00714285714285714</v>
      </c>
      <c r="AI843" s="50" t="n">
        <f aca="false">AH843*BY843</f>
        <v>1.10714285714286</v>
      </c>
      <c r="AJ843" s="50" t="n">
        <f aca="false">AF843*G843</f>
        <v>2.31</v>
      </c>
      <c r="AK843" s="50" t="n">
        <f aca="false">ROUNDUP(MAX(J843/IF(CD843&gt;0,CD843,MAX(0.1,N(Cockpit!$C$6))),CG843)/BV843,0)*BV843</f>
        <v>131</v>
      </c>
      <c r="AL843" s="51" t="n">
        <f aca="false">IF(AI843&gt;0,J843/AI843,-1)</f>
        <v>84</v>
      </c>
      <c r="AM843" s="51" t="n">
        <f aca="false">IF(AND(OR(CC843="L1",CC843="L23",CC843="LIFT"),AI843&gt;0),SUMIFS($AI$7:$AI$1843,$CC$7:$CC$1843,CC843,$AL$7:$AL$1843,"&gt;"&amp;AL843)+SUMIFS($AI$7:$AI$1843,$CC$7:$CC$1843,CC843,$AL$7:$AL$1843,AL843,$BT$7:$BT$1843,"&lt;="&amp;BT843),"")</f>
        <v>842.456043956044</v>
      </c>
      <c r="AN843" s="58" t="n">
        <f aca="false">IF(AM843="",0,MAX(0,MIN(1,(IF(CC843="L1",Parameter!$H$5,IF(CC843="L23",Parameter!$H$6+Parameter!$H$7,Parameter!$H$5+Parameter!$H$6+Parameter!$H$7))-(AM843-AI843))/AI843)))</f>
        <v>1</v>
      </c>
      <c r="AO843" s="50" t="n">
        <f aca="false">IF(LEFT(Cockpit!$I$5,1)="A",H843,IF(CE843=1,CF843,IF(LEFT(Cockpit!$I$5,1)="B",AT843,MAX(AT843,H843))))</f>
        <v>131</v>
      </c>
      <c r="AP843" s="50" t="n">
        <f aca="false">IF(BW843=1,0,ROUNDUP(AO843/BV843,0))</f>
        <v>1</v>
      </c>
      <c r="AQ843" s="52" t="n">
        <f aca="false">IF(CL843&gt;0,CL843*MAX(1,AO843/X843),IF(BW843=1,IF(AO843&lt;=0,0,CA843*MAX(1,IF(H843&gt;0,AO843/H843,1))),IF(R843&gt;0,AP843/R843,0))/MAX(0.1,N(Parameter!$M$21)))</f>
        <v>0.00714285714285714</v>
      </c>
      <c r="AR843" s="50" t="n">
        <f aca="false">AQ843*BY843</f>
        <v>1.10714285714286</v>
      </c>
      <c r="AS843" s="50" t="n">
        <f aca="false">AO843*G843</f>
        <v>14.41</v>
      </c>
      <c r="AT843" s="50" t="n">
        <f aca="false">ROUNDUP(MAX(J843/IF(CD843&gt;0,CD843,MAX(0.1,N(Cockpit!$I$6))),CG843)/BV843,0)*BV843</f>
        <v>131</v>
      </c>
      <c r="AU843" s="51" t="n">
        <f aca="false">IF(AR843&gt;0,J843/AR843,-1)</f>
        <v>84</v>
      </c>
      <c r="AV843" s="51" t="n">
        <f aca="false">IF(AND(OR(CC843="L1",CC843="L23",CC843="LIFT"),AR843&gt;0),SUMIFS($AR$7:$AR$1843,$CC$7:$CC$1843,CC843,$AU$7:$AU$1843,"&gt;"&amp;AU843)+SUMIFS($AR$7:$AR$1843,$CC$7:$CC$1843,CC843,$AU$7:$AU$1843,AU843,$BT$7:$BT$1843,"&lt;="&amp;BT843),"")</f>
        <v>948.865842490843</v>
      </c>
      <c r="AW843" s="58" t="n">
        <f aca="false">IF(AV843="",0,MAX(0,MIN(1,(IF(CC843="L1",Parameter!$H$5,IF(CC843="L23",Parameter!$H$6+Parameter!$H$7,Parameter!$H$5+Parameter!$H$6+Parameter!$H$7))-(AV843-AR843))/AR843)))</f>
        <v>1</v>
      </c>
      <c r="AX843" s="50" t="n">
        <f aca="false">IF(LEFT(Cockpit!$O$5,1)="A",H843,IF(CE843=1,CF843,IF(LEFT(Cockpit!$O$5,1)="B",BC843,MAX(BC843,H843))))</f>
        <v>131</v>
      </c>
      <c r="AY843" s="50" t="n">
        <f aca="false">IF(BW843=1,0,ROUNDUP(AX843/BV843,0))</f>
        <v>1</v>
      </c>
      <c r="AZ843" s="52" t="n">
        <f aca="false">IF(CL843&gt;0,CL843*MAX(1,AX843/X843),IF(BW843=1,IF(AX843&lt;=0,0,CA843*MAX(1,IF(H843&gt;0,AX843/H843,1))),IF(R843&gt;0,AY843/R843,0))/MAX(0.1,N(Parameter!$M$21)))</f>
        <v>0.00714285714285714</v>
      </c>
      <c r="BA843" s="50" t="n">
        <f aca="false">AZ843*BY843</f>
        <v>1.10714285714286</v>
      </c>
      <c r="BB843" s="50" t="n">
        <f aca="false">AX843*G843</f>
        <v>14.41</v>
      </c>
      <c r="BC843" s="50" t="n">
        <f aca="false">ROUNDUP(MAX(J843/IF(CD843&gt;0,CD843,MAX(0.1,N(Cockpit!$O$6))),CG843)/BV843,0)*BV843</f>
        <v>131</v>
      </c>
      <c r="BD843" s="51" t="n">
        <f aca="false">IF(BA843&gt;0,J843/BA843,-1)</f>
        <v>84</v>
      </c>
      <c r="BE843" s="51" t="n">
        <f aca="false">IF(AND(OR(CC843="L1",CC843="L23",CC843="LIFT"),BA843&gt;0),SUMIFS($BA$7:$BA$1843,$CC$7:$CC$1843,CC843,$BD$7:$BD$1843,"&gt;"&amp;BD843)+SUMIFS($BA$7:$BA$1843,$CC$7:$CC$1843,CC843,$BD$7:$BD$1843,BD843,$BT$7:$BT$1843,"&lt;="&amp;BT843),"")</f>
        <v>1056.28571428571</v>
      </c>
      <c r="BF843" s="58" t="n">
        <f aca="false">IF(BE843="",0,MAX(0,MIN(1,(IF(CC843="L1",Parameter!$H$5,IF(CC843="L23",Parameter!$H$6+Parameter!$H$7,Parameter!$H$5+Parameter!$H$6+Parameter!$H$7))-(BE843-BA843))/BA843)))</f>
        <v>1</v>
      </c>
      <c r="BG843" s="48" t="str">
        <f aca="false">IF(AI843&lt;=0,"",IF(CC843="Aussen","Aussenlager",IF(CC843="-","Nicht im Lift",IF(AN843&gt;=1,"Lift",IF(AN843&lt;=0,"Aussenlager","teilweise")))))</f>
        <v>Lift</v>
      </c>
      <c r="BH843" s="48" t="str">
        <f aca="false">IF(AR843&lt;=0,"",IF(CC843="Aussen","Aussenlager",IF(CC843="-","Nicht im Lift",IF(AW843&gt;=1,"Lift",IF(AW843&lt;=0,"Aussenlager","teilweise")))))</f>
        <v>Lift</v>
      </c>
      <c r="BI843" s="48" t="str">
        <f aca="false">IF(BA843&lt;=0,"",IF(CC843="Aussen","Aussenlager",IF(CC843="-","Nicht im Lift",IF(BF843&gt;=1,"Lift",IF(BF843&lt;=0,"Aussenlager","teilweise")))))</f>
        <v>Lift</v>
      </c>
      <c r="BJ843" s="48" t="str">
        <f aca="false">IF(A843="","",IF(BS843=1,"Neu; ","")&amp;IF(AND(BS843=0,BN843&lt;0),"negativer Bestand (Export "&amp;BN843&amp;"); ","")&amp;IF(J843&lt;=0,"Kein Verbrauch; ","")&amp;IF(CL843&gt;0,"Lift "&amp;W843&amp;" lt. Liftbericht (Fach "&amp;X843&amp;" Stk); ",IF(BX843=1,"Gebinde geschätzt ("&amp;T843&amp;"); ",IF(BW843=1,"Lose – Tablare geschätzt; ","")))&amp;IF(H843&gt;AT843,"Überbestand "&amp;ROUND(H843-AT843,0)&amp;" Stk / CHF "&amp;ROUND((H843-AT843)*G843,0)&amp;"; ","")&amp;IF(AND(CE843=1,CF843&lt;CG843),"MAX &lt; MB+LG; ","")&amp;IF(AND(CK843&gt;0,CJ843*10&gt;CK843),"zu hoch für Tablar; ","")&amp;IF(AND(BS843=0,OR(CE843=1,AA843&lt;&gt;"",U843&lt;&gt;"",V843&lt;&gt;"",AB843&lt;&gt;"")),"manuell übersteuert; ","")&amp;IF(AND(BW843=0,R843=0),"Gebinde unbekannt / Stellmass fehlt; ","")&amp;IF(AND(BW843=0,N(V843)&lt;=0,N(Q843)&lt;=0),"Menge pro Gebinde fehlt (Ist = 1 Gebinde); ","")&amp;BR843)</f>
        <v>negativer Bestand (Export -134); Neu</v>
      </c>
      <c r="BK843" s="48"/>
      <c r="BL843" s="48"/>
      <c r="BM843" s="55"/>
      <c r="BN843" s="50" t="n">
        <v>-134</v>
      </c>
      <c r="BO843" s="50" t="n">
        <v>155</v>
      </c>
      <c r="BP843" s="49" t="n">
        <v>-14.74</v>
      </c>
      <c r="BQ843" s="50" t="n">
        <v>93</v>
      </c>
      <c r="BR843" s="48" t="s">
        <v>630</v>
      </c>
      <c r="BS843" s="53" t="n">
        <v>0</v>
      </c>
      <c r="BT843" s="53" t="n">
        <v>843</v>
      </c>
      <c r="BU843" s="48" t="str">
        <f aca="false">IF(U843&lt;&gt;"",UPPER(TRIM(U843)),IF(BX843=1,UPPER(VLOOKUP(T843,Parameter!$I$27:$K$29,2,0)),IF(P843="","LOSE",P843)))</f>
        <v>S22</v>
      </c>
      <c r="BV843" s="50" t="n">
        <f aca="false">IF(BU843="LOSE",1,IF(N(V843)&gt;0,V843,IF(BX843=1,MAX(1,N(VLOOKUP(T843,Parameter!$I$27:$K$29,3,0)),H843,N(N843)),IF(N(Q843)&gt;0,Q843,MAX(1,H843)))))</f>
        <v>131</v>
      </c>
      <c r="BW843" s="53" t="n">
        <f aca="false">IF(BU843="LOSE",1,0)</f>
        <v>0</v>
      </c>
      <c r="BX843" s="53" t="n">
        <f aca="false">IF(AND(U843="",OR(P843="",P843="LOSE"),T843&lt;&gt;"",N(S843)&lt;=0,ISNUMBER(MATCH(T843,Parameter!$I$27:$I$29,0))),1,0)</f>
        <v>0</v>
      </c>
      <c r="BY843" s="53" t="n">
        <f aca="false">IF(CL843&gt;0,INDEX(Parameter!$H$5:$H$7,W843)/INDEX(Parameter!$E$5:$E$7,W843),IF(AND(BW843=0,N(IFERROR(VLOOKUP(BU843,'Gebinde-Kategorie'!$A$5:$N$45,14,0),0))&gt;0),VLOOKUP(BU843,'Gebinde-Kategorie'!$A$5:$N$45,14,0)*10+Parameter!$M$23,Parameter!$M$24))</f>
        <v>155</v>
      </c>
      <c r="BZ843" s="48" t="str">
        <f aca="false">IF(AND(Parameter!$B$19="Ja",E843&lt;&gt;"",ISNUMBER(MATCH(E843,Parameter!$I$35:$I$52,0))),VLOOKUP(E843,Parameter!$I$35:$J$52,2,0),IFERROR(VLOOKUP(D843,Parameter!$A$35:$C$64,2,0),"Nein"))</f>
        <v>2+3</v>
      </c>
      <c r="CA843" s="52" t="n">
        <f aca="false">IF(BW843=0,0,IF(N(S843)&gt;0,S843,IFERROR(VLOOKUP(D843,Parameter!$A$35:$C$64,3,0)+0,0)))</f>
        <v>0</v>
      </c>
      <c r="CB843" s="48" t="n">
        <f aca="false">IF(AA843&lt;&gt;"",AA843,Z843)</f>
        <v>3</v>
      </c>
      <c r="CC843" s="48" t="str">
        <f aca="false">IF(OR(CB843=1,CB843=2,CB843=3),IF(Parameter!$E$27="Ja","LIFT",IF(CB843=1,"L1","L23")),IF(CB843="Aussen","Aussen","-"))</f>
        <v>LIFT</v>
      </c>
      <c r="CD843" s="59" t="n">
        <f aca="false">IF(N(AB843)&gt;0,AB843,0)</f>
        <v>0</v>
      </c>
      <c r="CE843" s="53" t="n">
        <f aca="false">IF(ISNUMBER(AE843),1,0)</f>
        <v>0</v>
      </c>
      <c r="CF843" s="50" t="n">
        <f aca="false">N(AE843)</f>
        <v>0</v>
      </c>
      <c r="CG843" s="50" t="n">
        <f aca="false">N(M843)+N(N843)</f>
        <v>99</v>
      </c>
      <c r="CH843" s="50" t="n">
        <f aca="false">ROUNDUP(H843/BV843,0)</f>
        <v>1</v>
      </c>
      <c r="CI843" s="50" t="n">
        <f aca="false">ROUNDUP(CF843/BV843,0)</f>
        <v>0</v>
      </c>
      <c r="CJ843" s="53" t="n">
        <f aca="false">IF(BW843=1,0,IFERROR(VLOOKUP(BU843,'Gebinde-Kategorie'!$A$5:$N$45,5,0)+0,0))</f>
        <v>8</v>
      </c>
      <c r="CK843" s="53" t="n">
        <f aca="false">IFERROR(IF(OR(CB843=1,CB843=2,CB843=3),N(INDEX(Parameter!$I$5:$I$7,CB843)),0),0)</f>
        <v>0</v>
      </c>
      <c r="CL843" s="52" t="n">
        <f aca="false">IF(AND(Parameter!$B$21="Ja",ISNUMBER(W843),N(X843)&gt;0),IFERROR(N(INDEX(Parameter!$L$5:$L$7,W843))*INDEX(Parameter!$E$5:$E$7,W843)*X843/SUMIFS($X$7:$X$1843,$W$7:$W$1843,W843),0),0)</f>
        <v>0</v>
      </c>
    </row>
    <row r="844" customFormat="false" ht="15" hidden="false" customHeight="false" outlineLevel="0" collapsed="false">
      <c r="A844" s="48" t="s">
        <v>1619</v>
      </c>
      <c r="B844" s="48" t="s">
        <v>1283</v>
      </c>
      <c r="C844" s="48" t="s">
        <v>168</v>
      </c>
      <c r="D844" s="48" t="s">
        <v>188</v>
      </c>
      <c r="E844" s="48"/>
      <c r="F844" s="48" t="s">
        <v>222</v>
      </c>
      <c r="G844" s="49" t="n">
        <v>2.97</v>
      </c>
      <c r="H844" s="50" t="n">
        <f aca="false">MAX(0,IF(AND(Parameter!$B$21="Ja",ISNUMBER(Y844)),Y844,IF(Parameter!$B$20="Jahresanfang 2025 + Export",BO844+BN844,BN844)))</f>
        <v>7</v>
      </c>
      <c r="I844" s="50" t="n">
        <f aca="false">H844*G844</f>
        <v>20.79</v>
      </c>
      <c r="J844" s="50" t="n">
        <f aca="false">BQ844*Parameter!$B$18</f>
        <v>0</v>
      </c>
      <c r="K844" s="51" t="n">
        <v>12</v>
      </c>
      <c r="L844" s="52" t="n">
        <v>0</v>
      </c>
      <c r="M844" s="50" t="n">
        <v>0</v>
      </c>
      <c r="N844" s="50" t="n">
        <v>1</v>
      </c>
      <c r="O844" s="53" t="n">
        <v>14</v>
      </c>
      <c r="P844" s="48" t="s">
        <v>405</v>
      </c>
      <c r="Q844" s="50" t="n">
        <v>7</v>
      </c>
      <c r="R844" s="53" t="n">
        <f aca="false">IF(BW844=1,0,IFERROR(VLOOKUP(BU844,'Gebinde-Kategorie'!$A$5:$N$45,13,0)+0,0))</f>
        <v>280</v>
      </c>
      <c r="S844" s="54"/>
      <c r="T844" s="55"/>
      <c r="U844" s="55"/>
      <c r="V844" s="55"/>
      <c r="W844" s="48"/>
      <c r="X844" s="50"/>
      <c r="Y844" s="50"/>
      <c r="Z844" s="48" t="n">
        <f aca="false">IF(A844="","",IF(AND(Parameter!$B$21="Ja",ISNUMBER(W844)),W844,IF(BZ844="2+3",IF(ISNUMBER(SEARCH("grosser Artikel",BR844)),2,IFERROR(VLOOKUP(BU844,Parameter!$F$35:$G$64,2,0),2)),IF(OR(BZ844="Nein",BZ844=""),"-",BZ844))))</f>
        <v>3</v>
      </c>
      <c r="AA844" s="55"/>
      <c r="AB844" s="56"/>
      <c r="AC844" s="50" t="n">
        <f aca="false">AT844</f>
        <v>7</v>
      </c>
      <c r="AD844" s="50" t="n">
        <f aca="false">MAX(AT844,H844)</f>
        <v>7</v>
      </c>
      <c r="AE844" s="57"/>
      <c r="AF844" s="50" t="n">
        <f aca="false">IF(LEFT(Cockpit!$C$5,1)="A",H844,IF(CE844=1,CF844,IF(LEFT(Cockpit!$C$5,1)="B",AK844,MAX(AK844,H844))))</f>
        <v>7</v>
      </c>
      <c r="AG844" s="50" t="n">
        <f aca="false">IF(BW844=1,0,ROUNDUP(AF844/BV844,0))</f>
        <v>1</v>
      </c>
      <c r="AH844" s="52" t="n">
        <f aca="false">IF(CL844&gt;0,CL844*MAX(1,AF844/X844),IF(BW844=1,IF(AF844&lt;=0,0,CA844*MAX(1,IF(H844&gt;0,AF844/H844,1))),IF(R844&gt;0,AG844/R844,0))/MAX(0.1,N(Parameter!$M$21)))</f>
        <v>0.00357142857142857</v>
      </c>
      <c r="AI844" s="50" t="n">
        <f aca="false">AH844*BY844</f>
        <v>0.553571428571429</v>
      </c>
      <c r="AJ844" s="50" t="n">
        <f aca="false">AF844*G844</f>
        <v>20.79</v>
      </c>
      <c r="AK844" s="50" t="n">
        <f aca="false">ROUNDUP(MAX(J844/IF(CD844&gt;0,CD844,MAX(0.1,N(Cockpit!$C$6))),CG844)/BV844,0)*BV844</f>
        <v>7</v>
      </c>
      <c r="AL844" s="51" t="n">
        <f aca="false">IF(AI844&gt;0,J844/AI844,-1)</f>
        <v>0</v>
      </c>
      <c r="AM844" s="51" t="n">
        <f aca="false">IF(AND(OR(CC844="L1",CC844="L23",CC844="LIFT"),AI844&gt;0),SUMIFS($AI$7:$AI$1843,$CC$7:$CC$1843,CC844,$AL$7:$AL$1843,"&gt;"&amp;AL844)+SUMIFS($AI$7:$AI$1843,$CC$7:$CC$1843,CC844,$AL$7:$AL$1843,AL844,$BT$7:$BT$1843,"&lt;="&amp;BT844),"")</f>
        <v>28808.199801846</v>
      </c>
      <c r="AN844" s="58" t="n">
        <f aca="false">IF(AM844="",0,MAX(0,MIN(1,(IF(CC844="L1",Parameter!$H$5,IF(CC844="L23",Parameter!$H$6+Parameter!$H$7,Parameter!$H$5+Parameter!$H$6+Parameter!$H$7))-(AM844-AI844))/AI844)))</f>
        <v>1</v>
      </c>
      <c r="AO844" s="50" t="n">
        <f aca="false">IF(LEFT(Cockpit!$I$5,1)="A",H844,IF(CE844=1,CF844,IF(LEFT(Cockpit!$I$5,1)="B",AT844,MAX(AT844,H844))))</f>
        <v>7</v>
      </c>
      <c r="AP844" s="50" t="n">
        <f aca="false">IF(BW844=1,0,ROUNDUP(AO844/BV844,0))</f>
        <v>1</v>
      </c>
      <c r="AQ844" s="52" t="n">
        <f aca="false">IF(CL844&gt;0,CL844*MAX(1,AO844/X844),IF(BW844=1,IF(AO844&lt;=0,0,CA844*MAX(1,IF(H844&gt;0,AO844/H844,1))),IF(R844&gt;0,AP844/R844,0))/MAX(0.1,N(Parameter!$M$21)))</f>
        <v>0.00357142857142857</v>
      </c>
      <c r="AR844" s="50" t="n">
        <f aca="false">AQ844*BY844</f>
        <v>0.553571428571429</v>
      </c>
      <c r="AS844" s="50" t="n">
        <f aca="false">AO844*G844</f>
        <v>20.79</v>
      </c>
      <c r="AT844" s="50" t="n">
        <f aca="false">ROUNDUP(MAX(J844/IF(CD844&gt;0,CD844,MAX(0.1,N(Cockpit!$I$6))),CG844)/BV844,0)*BV844</f>
        <v>7</v>
      </c>
      <c r="AU844" s="51" t="n">
        <f aca="false">IF(AR844&gt;0,J844/AR844,-1)</f>
        <v>0</v>
      </c>
      <c r="AV844" s="51" t="n">
        <f aca="false">IF(AND(OR(CC844="L1",CC844="L23",CC844="LIFT"),AR844&gt;0),SUMIFS($AR$7:$AR$1843,$CC$7:$CC$1843,CC844,$AU$7:$AU$1843,"&gt;"&amp;AU844)+SUMIFS($AR$7:$AR$1843,$CC$7:$CC$1843,CC844,$AU$7:$AU$1843,AU844,$BT$7:$BT$1843,"&lt;="&amp;BT844),"")</f>
        <v>40394.7124619731</v>
      </c>
      <c r="AW844" s="58" t="n">
        <f aca="false">IF(AV844="",0,MAX(0,MIN(1,(IF(CC844="L1",Parameter!$H$5,IF(CC844="L23",Parameter!$H$6+Parameter!$H$7,Parameter!$H$5+Parameter!$H$6+Parameter!$H$7))-(AV844-AR844))/AR844)))</f>
        <v>0</v>
      </c>
      <c r="AX844" s="50" t="n">
        <f aca="false">IF(LEFT(Cockpit!$O$5,1)="A",H844,IF(CE844=1,CF844,IF(LEFT(Cockpit!$O$5,1)="B",BC844,MAX(BC844,H844))))</f>
        <v>7</v>
      </c>
      <c r="AY844" s="50" t="n">
        <f aca="false">IF(BW844=1,0,ROUNDUP(AX844/BV844,0))</f>
        <v>1</v>
      </c>
      <c r="AZ844" s="52" t="n">
        <f aca="false">IF(CL844&gt;0,CL844*MAX(1,AX844/X844),IF(BW844=1,IF(AX844&lt;=0,0,CA844*MAX(1,IF(H844&gt;0,AX844/H844,1))),IF(R844&gt;0,AY844/R844,0))/MAX(0.1,N(Parameter!$M$21)))</f>
        <v>0.00357142857142857</v>
      </c>
      <c r="BA844" s="50" t="n">
        <f aca="false">AZ844*BY844</f>
        <v>0.553571428571429</v>
      </c>
      <c r="BB844" s="50" t="n">
        <f aca="false">AX844*G844</f>
        <v>20.79</v>
      </c>
      <c r="BC844" s="50" t="n">
        <f aca="false">ROUNDUP(MAX(J844/IF(CD844&gt;0,CD844,MAX(0.1,N(Cockpit!$O$6))),CG844)/BV844,0)*BV844</f>
        <v>7</v>
      </c>
      <c r="BD844" s="51" t="n">
        <f aca="false">IF(BA844&gt;0,J844/BA844,-1)</f>
        <v>0</v>
      </c>
      <c r="BE844" s="51" t="n">
        <f aca="false">IF(AND(OR(CC844="L1",CC844="L23",CC844="LIFT"),BA844&gt;0),SUMIFS($BA$7:$BA$1843,$CC$7:$CC$1843,CC844,$BD$7:$BD$1843,"&gt;"&amp;BD844)+SUMIFS($BA$7:$BA$1843,$CC$7:$CC$1843,CC844,$BD$7:$BD$1843,BD844,$BT$7:$BT$1843,"&lt;="&amp;BT844),"")</f>
        <v>37069.7245038389</v>
      </c>
      <c r="BF844" s="58" t="n">
        <f aca="false">IF(BE844="",0,MAX(0,MIN(1,(IF(CC844="L1",Parameter!$H$5,IF(CC844="L23",Parameter!$H$6+Parameter!$H$7,Parameter!$H$5+Parameter!$H$6+Parameter!$H$7))-(BE844-BA844))/BA844)))</f>
        <v>0</v>
      </c>
      <c r="BG844" s="48" t="str">
        <f aca="false">IF(AI844&lt;=0,"",IF(CC844="Aussen","Aussenlager",IF(CC844="-","Nicht im Lift",IF(AN844&gt;=1,"Lift",IF(AN844&lt;=0,"Aussenlager","teilweise")))))</f>
        <v>Lift</v>
      </c>
      <c r="BH844" s="48" t="str">
        <f aca="false">IF(AR844&lt;=0,"",IF(CC844="Aussen","Aussenlager",IF(CC844="-","Nicht im Lift",IF(AW844&gt;=1,"Lift",IF(AW844&lt;=0,"Aussenlager","teilweise")))))</f>
        <v>Aussenlager</v>
      </c>
      <c r="BI844" s="48" t="str">
        <f aca="false">IF(BA844&lt;=0,"",IF(CC844="Aussen","Aussenlager",IF(CC844="-","Nicht im Lift",IF(BF844&gt;=1,"Lift",IF(BF844&lt;=0,"Aussenlager","teilweise")))))</f>
        <v>Aussenlager</v>
      </c>
      <c r="BJ844" s="48" t="str">
        <f aca="false">IF(A844="","",IF(BS844=1,"Neu; ","")&amp;IF(AND(BS844=0,BN844&lt;0),"negativer Bestand (Export "&amp;BN844&amp;"); ","")&amp;IF(J844&lt;=0,"Kein Verbrauch; ","")&amp;IF(CL844&gt;0,"Lift "&amp;W844&amp;" lt. Liftbericht (Fach "&amp;X844&amp;" Stk); ",IF(BX844=1,"Gebinde geschätzt ("&amp;T844&amp;"); ",IF(BW844=1,"Lose – Tablare geschätzt; ","")))&amp;IF(H844&gt;AT844,"Überbestand "&amp;ROUND(H844-AT844,0)&amp;" Stk / CHF "&amp;ROUND((H844-AT844)*G844,0)&amp;"; ","")&amp;IF(AND(CE844=1,CF844&lt;CG844),"MAX &lt; MB+LG; ","")&amp;IF(AND(CK844&gt;0,CJ844*10&gt;CK844),"zu hoch für Tablar; ","")&amp;IF(AND(BS844=0,OR(CE844=1,AA844&lt;&gt;"",U844&lt;&gt;"",V844&lt;&gt;"",AB844&lt;&gt;"")),"manuell übersteuert; ","")&amp;IF(AND(BW844=0,R844=0),"Gebinde unbekannt / Stellmass fehlt; ","")&amp;IF(AND(BW844=0,N(V844)&lt;=0,N(Q844)&lt;=0),"Menge pro Gebinde fehlt (Ist = 1 Gebinde); ","")&amp;BR844)</f>
        <v>negativer Bestand (Export -5); Kein Verbrauch; </v>
      </c>
      <c r="BK844" s="48"/>
      <c r="BL844" s="48"/>
      <c r="BM844" s="55"/>
      <c r="BN844" s="50" t="n">
        <v>-5</v>
      </c>
      <c r="BO844" s="50" t="n">
        <v>12</v>
      </c>
      <c r="BP844" s="49" t="n">
        <v>-14.85</v>
      </c>
      <c r="BQ844" s="50" t="n">
        <v>0</v>
      </c>
      <c r="BR844" s="48"/>
      <c r="BS844" s="53" t="n">
        <v>0</v>
      </c>
      <c r="BT844" s="53" t="n">
        <v>844</v>
      </c>
      <c r="BU844" s="48" t="str">
        <f aca="false">IF(U844&lt;&gt;"",UPPER(TRIM(U844)),IF(BX844=1,UPPER(VLOOKUP(T844,Parameter!$I$27:$K$29,2,0)),IF(P844="","LOSE",P844)))</f>
        <v>S21</v>
      </c>
      <c r="BV844" s="50" t="n">
        <f aca="false">IF(BU844="LOSE",1,IF(N(V844)&gt;0,V844,IF(BX844=1,MAX(1,N(VLOOKUP(T844,Parameter!$I$27:$K$29,3,0)),H844,N(N844)),IF(N(Q844)&gt;0,Q844,MAX(1,H844)))))</f>
        <v>7</v>
      </c>
      <c r="BW844" s="53" t="n">
        <f aca="false">IF(BU844="LOSE",1,0)</f>
        <v>0</v>
      </c>
      <c r="BX844" s="53" t="n">
        <f aca="false">IF(AND(U844="",OR(P844="",P844="LOSE"),T844&lt;&gt;"",N(S844)&lt;=0,ISNUMBER(MATCH(T844,Parameter!$I$27:$I$29,0))),1,0)</f>
        <v>0</v>
      </c>
      <c r="BY844" s="53" t="n">
        <f aca="false">IF(CL844&gt;0,INDEX(Parameter!$H$5:$H$7,W844)/INDEX(Parameter!$E$5:$E$7,W844),IF(AND(BW844=0,N(IFERROR(VLOOKUP(BU844,'Gebinde-Kategorie'!$A$5:$N$45,14,0),0))&gt;0),VLOOKUP(BU844,'Gebinde-Kategorie'!$A$5:$N$45,14,0)*10+Parameter!$M$23,Parameter!$M$24))</f>
        <v>155</v>
      </c>
      <c r="BZ844" s="48" t="str">
        <f aca="false">IF(AND(Parameter!$B$19="Ja",E844&lt;&gt;"",ISNUMBER(MATCH(E844,Parameter!$I$35:$I$52,0))),VLOOKUP(E844,Parameter!$I$35:$J$52,2,0),IFERROR(VLOOKUP(D844,Parameter!$A$35:$C$64,2,0),"Nein"))</f>
        <v>2+3</v>
      </c>
      <c r="CA844" s="52" t="n">
        <f aca="false">IF(BW844=0,0,IF(N(S844)&gt;0,S844,IFERROR(VLOOKUP(D844,Parameter!$A$35:$C$64,3,0)+0,0)))</f>
        <v>0</v>
      </c>
      <c r="CB844" s="48" t="n">
        <f aca="false">IF(AA844&lt;&gt;"",AA844,Z844)</f>
        <v>3</v>
      </c>
      <c r="CC844" s="48" t="str">
        <f aca="false">IF(OR(CB844=1,CB844=2,CB844=3),IF(Parameter!$E$27="Ja","LIFT",IF(CB844=1,"L1","L23")),IF(CB844="Aussen","Aussen","-"))</f>
        <v>LIFT</v>
      </c>
      <c r="CD844" s="59" t="n">
        <f aca="false">IF(N(AB844)&gt;0,AB844,0)</f>
        <v>0</v>
      </c>
      <c r="CE844" s="53" t="n">
        <f aca="false">IF(ISNUMBER(AE844),1,0)</f>
        <v>0</v>
      </c>
      <c r="CF844" s="50" t="n">
        <f aca="false">N(AE844)</f>
        <v>0</v>
      </c>
      <c r="CG844" s="50" t="n">
        <f aca="false">N(M844)+N(N844)</f>
        <v>1</v>
      </c>
      <c r="CH844" s="50" t="n">
        <f aca="false">ROUNDUP(H844/BV844,0)</f>
        <v>1</v>
      </c>
      <c r="CI844" s="50" t="n">
        <f aca="false">ROUNDUP(CF844/BV844,0)</f>
        <v>0</v>
      </c>
      <c r="CJ844" s="53" t="n">
        <f aca="false">IF(BW844=1,0,IFERROR(VLOOKUP(BU844,'Gebinde-Kategorie'!$A$5:$N$45,5,0)+0,0))</f>
        <v>8</v>
      </c>
      <c r="CK844" s="53" t="n">
        <f aca="false">IFERROR(IF(OR(CB844=1,CB844=2,CB844=3),N(INDEX(Parameter!$I$5:$I$7,CB844)),0),0)</f>
        <v>0</v>
      </c>
      <c r="CL844" s="52" t="n">
        <f aca="false">IF(AND(Parameter!$B$21="Ja",ISNUMBER(W844),N(X844)&gt;0),IFERROR(N(INDEX(Parameter!$L$5:$L$7,W844))*INDEX(Parameter!$E$5:$E$7,W844)*X844/SUMIFS($X$7:$X$1843,$W$7:$W$1843,W844),0),0)</f>
        <v>0</v>
      </c>
    </row>
    <row r="845" customFormat="false" ht="15" hidden="false" customHeight="false" outlineLevel="0" collapsed="false">
      <c r="A845" s="48" t="s">
        <v>1620</v>
      </c>
      <c r="B845" s="48" t="s">
        <v>409</v>
      </c>
      <c r="C845" s="48" t="s">
        <v>168</v>
      </c>
      <c r="D845" s="48" t="s">
        <v>188</v>
      </c>
      <c r="E845" s="48" t="s">
        <v>189</v>
      </c>
      <c r="F845" s="48" t="s">
        <v>222</v>
      </c>
      <c r="G845" s="49" t="n">
        <v>0.11</v>
      </c>
      <c r="H845" s="50" t="n">
        <f aca="false">MAX(0,IF(AND(Parameter!$B$21="Ja",ISNUMBER(Y845)),Y845,IF(Parameter!$B$20="Jahresanfang 2025 + Export",BO845+BN845,BN845)))</f>
        <v>643</v>
      </c>
      <c r="I845" s="50" t="n">
        <f aca="false">H845*G845</f>
        <v>70.73</v>
      </c>
      <c r="J845" s="50" t="n">
        <f aca="false">BQ845*Parameter!$B$18</f>
        <v>8</v>
      </c>
      <c r="K845" s="51" t="n">
        <v>732</v>
      </c>
      <c r="L845" s="52" t="n">
        <v>0.0109289617486339</v>
      </c>
      <c r="M845" s="50" t="n">
        <v>0</v>
      </c>
      <c r="N845" s="50" t="n">
        <v>10</v>
      </c>
      <c r="O845" s="53" t="n">
        <v>21</v>
      </c>
      <c r="P845" s="48" t="s">
        <v>332</v>
      </c>
      <c r="Q845" s="50" t="n">
        <v>823</v>
      </c>
      <c r="R845" s="53" t="n">
        <f aca="false">IF(BW845=1,0,IFERROR(VLOOKUP(BU845,'Gebinde-Kategorie'!$A$5:$N$45,13,0)+0,0))</f>
        <v>52</v>
      </c>
      <c r="S845" s="54"/>
      <c r="T845" s="55"/>
      <c r="U845" s="55"/>
      <c r="V845" s="55"/>
      <c r="W845" s="48"/>
      <c r="X845" s="50"/>
      <c r="Y845" s="50"/>
      <c r="Z845" s="48" t="n">
        <f aca="false">IF(A845="","",IF(AND(Parameter!$B$21="Ja",ISNUMBER(W845)),W845,IF(BZ845="2+3",IF(ISNUMBER(SEARCH("grosser Artikel",BR845)),2,IFERROR(VLOOKUP(BU845,Parameter!$F$35:$G$64,2,0),2)),IF(OR(BZ845="Nein",BZ845=""),"-",BZ845))))</f>
        <v>3</v>
      </c>
      <c r="AA845" s="55"/>
      <c r="AB845" s="56"/>
      <c r="AC845" s="50" t="n">
        <f aca="false">AT845</f>
        <v>823</v>
      </c>
      <c r="AD845" s="50" t="n">
        <f aca="false">MAX(AT845,H845)</f>
        <v>823</v>
      </c>
      <c r="AE845" s="57"/>
      <c r="AF845" s="50" t="n">
        <f aca="false">IF(LEFT(Cockpit!$C$5,1)="A",H845,IF(CE845=1,CF845,IF(LEFT(Cockpit!$C$5,1)="B",AK845,MAX(AK845,H845))))</f>
        <v>643</v>
      </c>
      <c r="AG845" s="50" t="n">
        <f aca="false">IF(BW845=1,0,ROUNDUP(AF845/BV845,0))</f>
        <v>1</v>
      </c>
      <c r="AH845" s="52" t="n">
        <f aca="false">IF(CL845&gt;0,CL845*MAX(1,AF845/X845),IF(BW845=1,IF(AF845&lt;=0,0,CA845*MAX(1,IF(H845&gt;0,AF845/H845,1))),IF(R845&gt;0,AG845/R845,0))/MAX(0.1,N(Parameter!$M$21)))</f>
        <v>0.0192307692307692</v>
      </c>
      <c r="AI845" s="50" t="n">
        <f aca="false">AH845*BY845</f>
        <v>2.98076923076923</v>
      </c>
      <c r="AJ845" s="50" t="n">
        <f aca="false">AF845*G845</f>
        <v>70.73</v>
      </c>
      <c r="AK845" s="50" t="n">
        <f aca="false">ROUNDUP(MAX(J845/IF(CD845&gt;0,CD845,MAX(0.1,N(Cockpit!$C$6))),CG845)/BV845,0)*BV845</f>
        <v>823</v>
      </c>
      <c r="AL845" s="51" t="n">
        <f aca="false">IF(AI845&gt;0,J845/AI845,-1)</f>
        <v>2.68387096774194</v>
      </c>
      <c r="AM845" s="51" t="n">
        <f aca="false">IF(AND(OR(CC845="L1",CC845="L23",CC845="LIFT"),AI845&gt;0),SUMIFS($AI$7:$AI$1843,$CC$7:$CC$1843,CC845,$AL$7:$AL$1843,"&gt;"&amp;AL845)+SUMIFS($AI$7:$AI$1843,$CC$7:$CC$1843,CC845,$AL$7:$AL$1843,AL845,$BT$7:$BT$1843,"&lt;="&amp;BT845),"")</f>
        <v>5327.92902930403</v>
      </c>
      <c r="AN845" s="58" t="n">
        <f aca="false">IF(AM845="",0,MAX(0,MIN(1,(IF(CC845="L1",Parameter!$H$5,IF(CC845="L23",Parameter!$H$6+Parameter!$H$7,Parameter!$H$5+Parameter!$H$6+Parameter!$H$7))-(AM845-AI845))/AI845)))</f>
        <v>1</v>
      </c>
      <c r="AO845" s="50" t="n">
        <f aca="false">IF(LEFT(Cockpit!$I$5,1)="A",H845,IF(CE845=1,CF845,IF(LEFT(Cockpit!$I$5,1)="B",AT845,MAX(AT845,H845))))</f>
        <v>823</v>
      </c>
      <c r="AP845" s="50" t="n">
        <f aca="false">IF(BW845=1,0,ROUNDUP(AO845/BV845,0))</f>
        <v>1</v>
      </c>
      <c r="AQ845" s="52" t="n">
        <f aca="false">IF(CL845&gt;0,CL845*MAX(1,AO845/X845),IF(BW845=1,IF(AO845&lt;=0,0,CA845*MAX(1,IF(H845&gt;0,AO845/H845,1))),IF(R845&gt;0,AP845/R845,0))/MAX(0.1,N(Parameter!$M$21)))</f>
        <v>0.0192307692307692</v>
      </c>
      <c r="AR845" s="50" t="n">
        <f aca="false">AQ845*BY845</f>
        <v>2.98076923076923</v>
      </c>
      <c r="AS845" s="50" t="n">
        <f aca="false">AO845*G845</f>
        <v>90.53</v>
      </c>
      <c r="AT845" s="50" t="n">
        <f aca="false">ROUNDUP(MAX(J845/IF(CD845&gt;0,CD845,MAX(0.1,N(Cockpit!$I$6))),CG845)/BV845,0)*BV845</f>
        <v>823</v>
      </c>
      <c r="AU845" s="51" t="n">
        <f aca="false">IF(AR845&gt;0,J845/AR845,-1)</f>
        <v>2.68387096774194</v>
      </c>
      <c r="AV845" s="51" t="n">
        <f aca="false">IF(AND(OR(CC845="L1",CC845="L23",CC845="LIFT"),AR845&gt;0),SUMIFS($AR$7:$AR$1843,$CC$7:$CC$1843,CC845,$AU$7:$AU$1843,"&gt;"&amp;AU845)+SUMIFS($AR$7:$AR$1843,$CC$7:$CC$1843,CC845,$AU$7:$AU$1843,AU845,$BT$7:$BT$1843,"&lt;="&amp;BT845),"")</f>
        <v>6707.63736263736</v>
      </c>
      <c r="AW845" s="58" t="n">
        <f aca="false">IF(AV845="",0,MAX(0,MIN(1,(IF(CC845="L1",Parameter!$H$5,IF(CC845="L23",Parameter!$H$6+Parameter!$H$7,Parameter!$H$5+Parameter!$H$6+Parameter!$H$7))-(AV845-AR845))/AR845)))</f>
        <v>1</v>
      </c>
      <c r="AX845" s="50" t="n">
        <f aca="false">IF(LEFT(Cockpit!$O$5,1)="A",H845,IF(CE845=1,CF845,IF(LEFT(Cockpit!$O$5,1)="B",BC845,MAX(BC845,H845))))</f>
        <v>823</v>
      </c>
      <c r="AY845" s="50" t="n">
        <f aca="false">IF(BW845=1,0,ROUNDUP(AX845/BV845,0))</f>
        <v>1</v>
      </c>
      <c r="AZ845" s="52" t="n">
        <f aca="false">IF(CL845&gt;0,CL845*MAX(1,AX845/X845),IF(BW845=1,IF(AX845&lt;=0,0,CA845*MAX(1,IF(H845&gt;0,AX845/H845,1))),IF(R845&gt;0,AY845/R845,0))/MAX(0.1,N(Parameter!$M$21)))</f>
        <v>0.0192307692307692</v>
      </c>
      <c r="BA845" s="50" t="n">
        <f aca="false">AZ845*BY845</f>
        <v>2.98076923076923</v>
      </c>
      <c r="BB845" s="50" t="n">
        <f aca="false">AX845*G845</f>
        <v>90.53</v>
      </c>
      <c r="BC845" s="50" t="n">
        <f aca="false">ROUNDUP(MAX(J845/IF(CD845&gt;0,CD845,MAX(0.1,N(Cockpit!$O$6))),CG845)/BV845,0)*BV845</f>
        <v>823</v>
      </c>
      <c r="BD845" s="51" t="n">
        <f aca="false">IF(BA845&gt;0,J845/BA845,-1)</f>
        <v>2.68387096774194</v>
      </c>
      <c r="BE845" s="51" t="n">
        <f aca="false">IF(AND(OR(CC845="L1",CC845="L23",CC845="LIFT"),BA845&gt;0),SUMIFS($BA$7:$BA$1843,$CC$7:$CC$1843,CC845,$BD$7:$BD$1843,"&gt;"&amp;BD845)+SUMIFS($BA$7:$BA$1843,$CC$7:$CC$1843,CC845,$BD$7:$BD$1843,BD845,$BT$7:$BT$1843,"&lt;="&amp;BT845),"")</f>
        <v>6490.79441391941</v>
      </c>
      <c r="BF845" s="58" t="n">
        <f aca="false">IF(BE845="",0,MAX(0,MIN(1,(IF(CC845="L1",Parameter!$H$5,IF(CC845="L23",Parameter!$H$6+Parameter!$H$7,Parameter!$H$5+Parameter!$H$6+Parameter!$H$7))-(BE845-BA845))/BA845)))</f>
        <v>1</v>
      </c>
      <c r="BG845" s="48" t="str">
        <f aca="false">IF(AI845&lt;=0,"",IF(CC845="Aussen","Aussenlager",IF(CC845="-","Nicht im Lift",IF(AN845&gt;=1,"Lift",IF(AN845&lt;=0,"Aussenlager","teilweise")))))</f>
        <v>Lift</v>
      </c>
      <c r="BH845" s="48" t="str">
        <f aca="false">IF(AR845&lt;=0,"",IF(CC845="Aussen","Aussenlager",IF(CC845="-","Nicht im Lift",IF(AW845&gt;=1,"Lift",IF(AW845&lt;=0,"Aussenlager","teilweise")))))</f>
        <v>Lift</v>
      </c>
      <c r="BI845" s="48" t="str">
        <f aca="false">IF(BA845&lt;=0,"",IF(CC845="Aussen","Aussenlager",IF(CC845="-","Nicht im Lift",IF(BF845&gt;=1,"Lift",IF(BF845&lt;=0,"Aussenlager","teilweise")))))</f>
        <v>Lift</v>
      </c>
      <c r="BJ845" s="48" t="str">
        <f aca="false">IF(A845="","",IF(BS845=1,"Neu; ","")&amp;IF(AND(BS845=0,BN845&lt;0),"negativer Bestand (Export "&amp;BN845&amp;"); ","")&amp;IF(J845&lt;=0,"Kein Verbrauch; ","")&amp;IF(CL845&gt;0,"Lift "&amp;W845&amp;" lt. Liftbericht (Fach "&amp;X845&amp;" Stk); ",IF(BX845=1,"Gebinde geschätzt ("&amp;T845&amp;"); ",IF(BW845=1,"Lose – Tablare geschätzt; ","")))&amp;IF(H845&gt;AT845,"Überbestand "&amp;ROUND(H845-AT845,0)&amp;" Stk / CHF "&amp;ROUND((H845-AT845)*G845,0)&amp;"; ","")&amp;IF(AND(CE845=1,CF845&lt;CG845),"MAX &lt; MB+LG; ","")&amp;IF(AND(CK845&gt;0,CJ845*10&gt;CK845),"zu hoch für Tablar; ","")&amp;IF(AND(BS845=0,OR(CE845=1,AA845&lt;&gt;"",U845&lt;&gt;"",V845&lt;&gt;"",AB845&lt;&gt;"")),"manuell übersteuert; ","")&amp;IF(AND(BW845=0,R845=0),"Gebinde unbekannt / Stellmass fehlt; ","")&amp;IF(AND(BW845=0,N(V845)&lt;=0,N(Q845)&lt;=0),"Menge pro Gebinde fehlt (Ist = 1 Gebinde); ","")&amp;BR845)</f>
        <v>negativer Bestand (Export -137); Überbestand</v>
      </c>
      <c r="BK845" s="48"/>
      <c r="BL845" s="48"/>
      <c r="BM845" s="55"/>
      <c r="BN845" s="50" t="n">
        <v>-137</v>
      </c>
      <c r="BO845" s="50" t="n">
        <v>780</v>
      </c>
      <c r="BP845" s="49" t="n">
        <v>-15.07</v>
      </c>
      <c r="BQ845" s="50" t="n">
        <v>8</v>
      </c>
      <c r="BR845" s="48" t="s">
        <v>396</v>
      </c>
      <c r="BS845" s="53" t="n">
        <v>0</v>
      </c>
      <c r="BT845" s="53" t="n">
        <v>845</v>
      </c>
      <c r="BU845" s="48" t="str">
        <f aca="false">IF(U845&lt;&gt;"",UPPER(TRIM(U845)),IF(BX845=1,UPPER(VLOOKUP(T845,Parameter!$I$27:$K$29,2,0)),IF(P845="","LOSE",P845)))</f>
        <v>S41</v>
      </c>
      <c r="BV845" s="50" t="n">
        <f aca="false">IF(BU845="LOSE",1,IF(N(V845)&gt;0,V845,IF(BX845=1,MAX(1,N(VLOOKUP(T845,Parameter!$I$27:$K$29,3,0)),H845,N(N845)),IF(N(Q845)&gt;0,Q845,MAX(1,H845)))))</f>
        <v>823</v>
      </c>
      <c r="BW845" s="53" t="n">
        <f aca="false">IF(BU845="LOSE",1,0)</f>
        <v>0</v>
      </c>
      <c r="BX845" s="53" t="n">
        <f aca="false">IF(AND(U845="",OR(P845="",P845="LOSE"),T845&lt;&gt;"",N(S845)&lt;=0,ISNUMBER(MATCH(T845,Parameter!$I$27:$I$29,0))),1,0)</f>
        <v>0</v>
      </c>
      <c r="BY845" s="53" t="n">
        <f aca="false">IF(CL845&gt;0,INDEX(Parameter!$H$5:$H$7,W845)/INDEX(Parameter!$E$5:$E$7,W845),IF(AND(BW845=0,N(IFERROR(VLOOKUP(BU845,'Gebinde-Kategorie'!$A$5:$N$45,14,0),0))&gt;0),VLOOKUP(BU845,'Gebinde-Kategorie'!$A$5:$N$45,14,0)*10+Parameter!$M$23,Parameter!$M$24))</f>
        <v>155</v>
      </c>
      <c r="BZ845" s="48" t="str">
        <f aca="false">IF(AND(Parameter!$B$19="Ja",E845&lt;&gt;"",ISNUMBER(MATCH(E845,Parameter!$I$35:$I$52,0))),VLOOKUP(E845,Parameter!$I$35:$J$52,2,0),IFERROR(VLOOKUP(D845,Parameter!$A$35:$C$64,2,0),"Nein"))</f>
        <v>2+3</v>
      </c>
      <c r="CA845" s="52" t="n">
        <f aca="false">IF(BW845=0,0,IF(N(S845)&gt;0,S845,IFERROR(VLOOKUP(D845,Parameter!$A$35:$C$64,3,0)+0,0)))</f>
        <v>0</v>
      </c>
      <c r="CB845" s="48" t="n">
        <f aca="false">IF(AA845&lt;&gt;"",AA845,Z845)</f>
        <v>3</v>
      </c>
      <c r="CC845" s="48" t="str">
        <f aca="false">IF(OR(CB845=1,CB845=2,CB845=3),IF(Parameter!$E$27="Ja","LIFT",IF(CB845=1,"L1","L23")),IF(CB845="Aussen","Aussen","-"))</f>
        <v>LIFT</v>
      </c>
      <c r="CD845" s="59" t="n">
        <f aca="false">IF(N(AB845)&gt;0,AB845,0)</f>
        <v>0</v>
      </c>
      <c r="CE845" s="53" t="n">
        <f aca="false">IF(ISNUMBER(AE845),1,0)</f>
        <v>0</v>
      </c>
      <c r="CF845" s="50" t="n">
        <f aca="false">N(AE845)</f>
        <v>0</v>
      </c>
      <c r="CG845" s="50" t="n">
        <f aca="false">N(M845)+N(N845)</f>
        <v>10</v>
      </c>
      <c r="CH845" s="50" t="n">
        <f aca="false">ROUNDUP(H845/BV845,0)</f>
        <v>1</v>
      </c>
      <c r="CI845" s="50" t="n">
        <f aca="false">ROUNDUP(CF845/BV845,0)</f>
        <v>0</v>
      </c>
      <c r="CJ845" s="53" t="n">
        <f aca="false">IF(BW845=1,0,IFERROR(VLOOKUP(BU845,'Gebinde-Kategorie'!$A$5:$N$45,5,0)+0,0))</f>
        <v>11</v>
      </c>
      <c r="CK845" s="53" t="n">
        <f aca="false">IFERROR(IF(OR(CB845=1,CB845=2,CB845=3),N(INDEX(Parameter!$I$5:$I$7,CB845)),0),0)</f>
        <v>0</v>
      </c>
      <c r="CL845" s="52" t="n">
        <f aca="false">IF(AND(Parameter!$B$21="Ja",ISNUMBER(W845),N(X845)&gt;0),IFERROR(N(INDEX(Parameter!$L$5:$L$7,W845))*INDEX(Parameter!$E$5:$E$7,W845)*X845/SUMIFS($X$7:$X$1843,$W$7:$W$1843,W845),0),0)</f>
        <v>0</v>
      </c>
    </row>
    <row r="846" customFormat="false" ht="15" hidden="false" customHeight="false" outlineLevel="0" collapsed="false">
      <c r="A846" s="48" t="s">
        <v>1621</v>
      </c>
      <c r="B846" s="48" t="s">
        <v>1622</v>
      </c>
      <c r="C846" s="48" t="s">
        <v>168</v>
      </c>
      <c r="D846" s="48" t="s">
        <v>188</v>
      </c>
      <c r="E846" s="48" t="s">
        <v>189</v>
      </c>
      <c r="F846" s="48" t="s">
        <v>222</v>
      </c>
      <c r="G846" s="49" t="n">
        <v>3.14</v>
      </c>
      <c r="H846" s="50" t="n">
        <f aca="false">MAX(0,IF(AND(Parameter!$B$21="Ja",ISNUMBER(Y846)),Y846,IF(Parameter!$B$20="Jahresanfang 2025 + Export",BO846+BN846,BN846)))</f>
        <v>43</v>
      </c>
      <c r="I846" s="50" t="n">
        <f aca="false">H846*G846</f>
        <v>135.02</v>
      </c>
      <c r="J846" s="50" t="n">
        <f aca="false">BQ846*Parameter!$B$18</f>
        <v>60</v>
      </c>
      <c r="K846" s="51" t="n">
        <v>91</v>
      </c>
      <c r="L846" s="52" t="n">
        <v>0.659340659340659</v>
      </c>
      <c r="M846" s="50" t="n">
        <v>4</v>
      </c>
      <c r="N846" s="50" t="n">
        <v>60</v>
      </c>
      <c r="O846" s="53" t="n">
        <v>28</v>
      </c>
      <c r="P846" s="48" t="s">
        <v>425</v>
      </c>
      <c r="Q846" s="50" t="n">
        <v>25</v>
      </c>
      <c r="R846" s="53" t="n">
        <f aca="false">IF(BW846=1,0,IFERROR(VLOOKUP(BU846,'Gebinde-Kategorie'!$A$5:$N$45,13,0)+0,0))</f>
        <v>104</v>
      </c>
      <c r="S846" s="54"/>
      <c r="T846" s="55"/>
      <c r="U846" s="55"/>
      <c r="V846" s="55"/>
      <c r="W846" s="48"/>
      <c r="X846" s="50"/>
      <c r="Y846" s="50"/>
      <c r="Z846" s="48" t="n">
        <f aca="false">IF(A846="","",IF(AND(Parameter!$B$21="Ja",ISNUMBER(W846)),W846,IF(BZ846="2+3",IF(ISNUMBER(SEARCH("grosser Artikel",BR846)),2,IFERROR(VLOOKUP(BU846,Parameter!$F$35:$G$64,2,0),2)),IF(OR(BZ846="Nein",BZ846=""),"-",BZ846))))</f>
        <v>3</v>
      </c>
      <c r="AA846" s="55"/>
      <c r="AB846" s="56"/>
      <c r="AC846" s="50" t="n">
        <f aca="false">AT846</f>
        <v>75</v>
      </c>
      <c r="AD846" s="50" t="n">
        <f aca="false">MAX(AT846,H846)</f>
        <v>75</v>
      </c>
      <c r="AE846" s="57"/>
      <c r="AF846" s="50" t="n">
        <f aca="false">IF(LEFT(Cockpit!$C$5,1)="A",H846,IF(CE846=1,CF846,IF(LEFT(Cockpit!$C$5,1)="B",AK846,MAX(AK846,H846))))</f>
        <v>43</v>
      </c>
      <c r="AG846" s="50" t="n">
        <f aca="false">IF(BW846=1,0,ROUNDUP(AF846/BV846,0))</f>
        <v>2</v>
      </c>
      <c r="AH846" s="52" t="n">
        <f aca="false">IF(CL846&gt;0,CL846*MAX(1,AF846/X846),IF(BW846=1,IF(AF846&lt;=0,0,CA846*MAX(1,IF(H846&gt;0,AF846/H846,1))),IF(R846&gt;0,AG846/R846,0))/MAX(0.1,N(Parameter!$M$21)))</f>
        <v>0.0192307692307692</v>
      </c>
      <c r="AI846" s="50" t="n">
        <f aca="false">AH846*BY846</f>
        <v>2.98076923076923</v>
      </c>
      <c r="AJ846" s="50" t="n">
        <f aca="false">AF846*G846</f>
        <v>135.02</v>
      </c>
      <c r="AK846" s="50" t="n">
        <f aca="false">ROUNDUP(MAX(J846/IF(CD846&gt;0,CD846,MAX(0.1,N(Cockpit!$C$6))),CG846)/BV846,0)*BV846</f>
        <v>75</v>
      </c>
      <c r="AL846" s="51" t="n">
        <f aca="false">IF(AI846&gt;0,J846/AI846,-1)</f>
        <v>20.1290322580645</v>
      </c>
      <c r="AM846" s="51" t="n">
        <f aca="false">IF(AND(OR(CC846="L1",CC846="L23",CC846="LIFT"),AI846&gt;0),SUMIFS($AI$7:$AI$1843,$CC$7:$CC$1843,CC846,$AL$7:$AL$1843,"&gt;"&amp;AL846)+SUMIFS($AI$7:$AI$1843,$CC$7:$CC$1843,CC846,$AL$7:$AL$1843,AL846,$BT$7:$BT$1843,"&lt;="&amp;BT846),"")</f>
        <v>1655.62545787546</v>
      </c>
      <c r="AN846" s="58" t="n">
        <f aca="false">IF(AM846="",0,MAX(0,MIN(1,(IF(CC846="L1",Parameter!$H$5,IF(CC846="L23",Parameter!$H$6+Parameter!$H$7,Parameter!$H$5+Parameter!$H$6+Parameter!$H$7))-(AM846-AI846))/AI846)))</f>
        <v>1</v>
      </c>
      <c r="AO846" s="50" t="n">
        <f aca="false">IF(LEFT(Cockpit!$I$5,1)="A",H846,IF(CE846=1,CF846,IF(LEFT(Cockpit!$I$5,1)="B",AT846,MAX(AT846,H846))))</f>
        <v>75</v>
      </c>
      <c r="AP846" s="50" t="n">
        <f aca="false">IF(BW846=1,0,ROUNDUP(AO846/BV846,0))</f>
        <v>3</v>
      </c>
      <c r="AQ846" s="52" t="n">
        <f aca="false">IF(CL846&gt;0,CL846*MAX(1,AO846/X846),IF(BW846=1,IF(AO846&lt;=0,0,CA846*MAX(1,IF(H846&gt;0,AO846/H846,1))),IF(R846&gt;0,AP846/R846,0))/MAX(0.1,N(Parameter!$M$21)))</f>
        <v>0.0288461538461538</v>
      </c>
      <c r="AR846" s="50" t="n">
        <f aca="false">AQ846*BY846</f>
        <v>4.47115384615385</v>
      </c>
      <c r="AS846" s="50" t="n">
        <f aca="false">AO846*G846</f>
        <v>235.5</v>
      </c>
      <c r="AT846" s="50" t="n">
        <f aca="false">ROUNDUP(MAX(J846/IF(CD846&gt;0,CD846,MAX(0.1,N(Cockpit!$I$6))),CG846)/BV846,0)*BV846</f>
        <v>75</v>
      </c>
      <c r="AU846" s="51" t="n">
        <f aca="false">IF(AR846&gt;0,J846/AR846,-1)</f>
        <v>13.4193548387097</v>
      </c>
      <c r="AV846" s="51" t="n">
        <f aca="false">IF(AND(OR(CC846="L1",CC846="L23",CC846="LIFT"),AR846&gt;0),SUMIFS($AR$7:$AR$1843,$CC$7:$CC$1843,CC846,$AU$7:$AU$1843,"&gt;"&amp;AU846)+SUMIFS($AR$7:$AR$1843,$CC$7:$CC$1843,CC846,$AU$7:$AU$1843,AU846,$BT$7:$BT$1843,"&lt;="&amp;BT846),"")</f>
        <v>3529.27747252747</v>
      </c>
      <c r="AW846" s="58" t="n">
        <f aca="false">IF(AV846="",0,MAX(0,MIN(1,(IF(CC846="L1",Parameter!$H$5,IF(CC846="L23",Parameter!$H$6+Parameter!$H$7,Parameter!$H$5+Parameter!$H$6+Parameter!$H$7))-(AV846-AR846))/AR846)))</f>
        <v>1</v>
      </c>
      <c r="AX846" s="50" t="n">
        <f aca="false">IF(LEFT(Cockpit!$O$5,1)="A",H846,IF(CE846=1,CF846,IF(LEFT(Cockpit!$O$5,1)="B",BC846,MAX(BC846,H846))))</f>
        <v>75</v>
      </c>
      <c r="AY846" s="50" t="n">
        <f aca="false">IF(BW846=1,0,ROUNDUP(AX846/BV846,0))</f>
        <v>3</v>
      </c>
      <c r="AZ846" s="52" t="n">
        <f aca="false">IF(CL846&gt;0,CL846*MAX(1,AX846/X846),IF(BW846=1,IF(AX846&lt;=0,0,CA846*MAX(1,IF(H846&gt;0,AX846/H846,1))),IF(R846&gt;0,AY846/R846,0))/MAX(0.1,N(Parameter!$M$21)))</f>
        <v>0.0288461538461538</v>
      </c>
      <c r="BA846" s="50" t="n">
        <f aca="false">AZ846*BY846</f>
        <v>4.47115384615385</v>
      </c>
      <c r="BB846" s="50" t="n">
        <f aca="false">AX846*G846</f>
        <v>235.5</v>
      </c>
      <c r="BC846" s="50" t="n">
        <f aca="false">ROUNDUP(MAX(J846/IF(CD846&gt;0,CD846,MAX(0.1,N(Cockpit!$O$6))),CG846)/BV846,0)*BV846</f>
        <v>75</v>
      </c>
      <c r="BD846" s="51" t="n">
        <f aca="false">IF(BA846&gt;0,J846/BA846,-1)</f>
        <v>13.4193548387097</v>
      </c>
      <c r="BE846" s="51" t="n">
        <f aca="false">IF(AND(OR(CC846="L1",CC846="L23",CC846="LIFT"),BA846&gt;0),SUMIFS($BA$7:$BA$1843,$CC$7:$CC$1843,CC846,$BD$7:$BD$1843,"&gt;"&amp;BD846)+SUMIFS($BA$7:$BA$1843,$CC$7:$CC$1843,CC846,$BD$7:$BD$1843,BD846,$BT$7:$BT$1843,"&lt;="&amp;BT846),"")</f>
        <v>3185.83195970696</v>
      </c>
      <c r="BF846" s="58" t="n">
        <f aca="false">IF(BE846="",0,MAX(0,MIN(1,(IF(CC846="L1",Parameter!$H$5,IF(CC846="L23",Parameter!$H$6+Parameter!$H$7,Parameter!$H$5+Parameter!$H$6+Parameter!$H$7))-(BE846-BA846))/BA846)))</f>
        <v>1</v>
      </c>
      <c r="BG846" s="48" t="str">
        <f aca="false">IF(AI846&lt;=0,"",IF(CC846="Aussen","Aussenlager",IF(CC846="-","Nicht im Lift",IF(AN846&gt;=1,"Lift",IF(AN846&lt;=0,"Aussenlager","teilweise")))))</f>
        <v>Lift</v>
      </c>
      <c r="BH846" s="48" t="str">
        <f aca="false">IF(AR846&lt;=0,"",IF(CC846="Aussen","Aussenlager",IF(CC846="-","Nicht im Lift",IF(AW846&gt;=1,"Lift",IF(AW846&lt;=0,"Aussenlager","teilweise")))))</f>
        <v>Lift</v>
      </c>
      <c r="BI846" s="48" t="str">
        <f aca="false">IF(BA846&lt;=0,"",IF(CC846="Aussen","Aussenlager",IF(CC846="-","Nicht im Lift",IF(BF846&gt;=1,"Lift",IF(BF846&lt;=0,"Aussenlager","teilweise")))))</f>
        <v>Lift</v>
      </c>
      <c r="BJ846" s="48" t="str">
        <f aca="false">IF(A846="","",IF(BS846=1,"Neu; ","")&amp;IF(AND(BS846=0,BN846&lt;0),"negativer Bestand (Export "&amp;BN846&amp;"); ","")&amp;IF(J846&lt;=0,"Kein Verbrauch; ","")&amp;IF(CL846&gt;0,"Lift "&amp;W846&amp;" lt. Liftbericht (Fach "&amp;X846&amp;" Stk); ",IF(BX846=1,"Gebinde geschätzt ("&amp;T846&amp;"); ",IF(BW846=1,"Lose – Tablare geschätzt; ","")))&amp;IF(H846&gt;AT846,"Überbestand "&amp;ROUND(H846-AT846,0)&amp;" Stk / CHF "&amp;ROUND((H846-AT846)*G846,0)&amp;"; ","")&amp;IF(AND(CE846=1,CF846&lt;CG846),"MAX &lt; MB+LG; ","")&amp;IF(AND(CK846&gt;0,CJ846*10&gt;CK846),"zu hoch für Tablar; ","")&amp;IF(AND(BS846=0,OR(CE846=1,AA846&lt;&gt;"",U846&lt;&gt;"",V846&lt;&gt;"",AB846&lt;&gt;"")),"manuell übersteuert; ","")&amp;IF(AND(BW846=0,R846=0),"Gebinde unbekannt / Stellmass fehlt; ","")&amp;IF(AND(BW846=0,N(V846)&lt;=0,N(Q846)&lt;=0),"Menge pro Gebinde fehlt (Ist = 1 Gebinde); ","")&amp;BR846)</f>
        <v>negativer Bestand (Export -29); </v>
      </c>
      <c r="BK846" s="48"/>
      <c r="BL846" s="48"/>
      <c r="BM846" s="55"/>
      <c r="BN846" s="50" t="n">
        <v>-29</v>
      </c>
      <c r="BO846" s="50" t="n">
        <v>72</v>
      </c>
      <c r="BP846" s="49" t="n">
        <v>-15.4599999999997</v>
      </c>
      <c r="BQ846" s="50" t="n">
        <v>60</v>
      </c>
      <c r="BR846" s="48"/>
      <c r="BS846" s="53" t="n">
        <v>0</v>
      </c>
      <c r="BT846" s="53" t="n">
        <v>846</v>
      </c>
      <c r="BU846" s="48" t="str">
        <f aca="false">IF(U846&lt;&gt;"",UPPER(TRIM(U846)),IF(BX846=1,UPPER(VLOOKUP(T846,Parameter!$I$27:$K$29,2,0)),IF(P846="","LOSE",P846)))</f>
        <v>S32</v>
      </c>
      <c r="BV846" s="50" t="n">
        <f aca="false">IF(BU846="LOSE",1,IF(N(V846)&gt;0,V846,IF(BX846=1,MAX(1,N(VLOOKUP(T846,Parameter!$I$27:$K$29,3,0)),H846,N(N846)),IF(N(Q846)&gt;0,Q846,MAX(1,H846)))))</f>
        <v>25</v>
      </c>
      <c r="BW846" s="53" t="n">
        <f aca="false">IF(BU846="LOSE",1,0)</f>
        <v>0</v>
      </c>
      <c r="BX846" s="53" t="n">
        <f aca="false">IF(AND(U846="",OR(P846="",P846="LOSE"),T846&lt;&gt;"",N(S846)&lt;=0,ISNUMBER(MATCH(T846,Parameter!$I$27:$I$29,0))),1,0)</f>
        <v>0</v>
      </c>
      <c r="BY846" s="53" t="n">
        <f aca="false">IF(CL846&gt;0,INDEX(Parameter!$H$5:$H$7,W846)/INDEX(Parameter!$E$5:$E$7,W846),IF(AND(BW846=0,N(IFERROR(VLOOKUP(BU846,'Gebinde-Kategorie'!$A$5:$N$45,14,0),0))&gt;0),VLOOKUP(BU846,'Gebinde-Kategorie'!$A$5:$N$45,14,0)*10+Parameter!$M$23,Parameter!$M$24))</f>
        <v>155</v>
      </c>
      <c r="BZ846" s="48" t="str">
        <f aca="false">IF(AND(Parameter!$B$19="Ja",E846&lt;&gt;"",ISNUMBER(MATCH(E846,Parameter!$I$35:$I$52,0))),VLOOKUP(E846,Parameter!$I$35:$J$52,2,0),IFERROR(VLOOKUP(D846,Parameter!$A$35:$C$64,2,0),"Nein"))</f>
        <v>2+3</v>
      </c>
      <c r="CA846" s="52" t="n">
        <f aca="false">IF(BW846=0,0,IF(N(S846)&gt;0,S846,IFERROR(VLOOKUP(D846,Parameter!$A$35:$C$64,3,0)+0,0)))</f>
        <v>0</v>
      </c>
      <c r="CB846" s="48" t="n">
        <f aca="false">IF(AA846&lt;&gt;"",AA846,Z846)</f>
        <v>3</v>
      </c>
      <c r="CC846" s="48" t="str">
        <f aca="false">IF(OR(CB846=1,CB846=2,CB846=3),IF(Parameter!$E$27="Ja","LIFT",IF(CB846=1,"L1","L23")),IF(CB846="Aussen","Aussen","-"))</f>
        <v>LIFT</v>
      </c>
      <c r="CD846" s="59" t="n">
        <f aca="false">IF(N(AB846)&gt;0,AB846,0)</f>
        <v>0</v>
      </c>
      <c r="CE846" s="53" t="n">
        <f aca="false">IF(ISNUMBER(AE846),1,0)</f>
        <v>0</v>
      </c>
      <c r="CF846" s="50" t="n">
        <f aca="false">N(AE846)</f>
        <v>0</v>
      </c>
      <c r="CG846" s="50" t="n">
        <f aca="false">N(M846)+N(N846)</f>
        <v>64</v>
      </c>
      <c r="CH846" s="50" t="n">
        <f aca="false">ROUNDUP(H846/BV846,0)</f>
        <v>2</v>
      </c>
      <c r="CI846" s="50" t="n">
        <f aca="false">ROUNDUP(CF846/BV846,0)</f>
        <v>0</v>
      </c>
      <c r="CJ846" s="53" t="n">
        <f aca="false">IF(BW846=1,0,IFERROR(VLOOKUP(BU846,'Gebinde-Kategorie'!$A$5:$N$45,5,0)+0,0))</f>
        <v>8</v>
      </c>
      <c r="CK846" s="53" t="n">
        <f aca="false">IFERROR(IF(OR(CB846=1,CB846=2,CB846=3),N(INDEX(Parameter!$I$5:$I$7,CB846)),0),0)</f>
        <v>0</v>
      </c>
      <c r="CL846" s="52" t="n">
        <f aca="false">IF(AND(Parameter!$B$21="Ja",ISNUMBER(W846),N(X846)&gt;0),IFERROR(N(INDEX(Parameter!$L$5:$L$7,W846))*INDEX(Parameter!$E$5:$E$7,W846)*X846/SUMIFS($X$7:$X$1843,$W$7:$W$1843,W846),0),0)</f>
        <v>0</v>
      </c>
    </row>
    <row r="847" customFormat="false" ht="15" hidden="false" customHeight="false" outlineLevel="0" collapsed="false">
      <c r="A847" s="48" t="s">
        <v>1623</v>
      </c>
      <c r="B847" s="48" t="s">
        <v>1294</v>
      </c>
      <c r="C847" s="48" t="s">
        <v>168</v>
      </c>
      <c r="D847" s="48" t="s">
        <v>188</v>
      </c>
      <c r="E847" s="48" t="s">
        <v>189</v>
      </c>
      <c r="F847" s="48" t="s">
        <v>222</v>
      </c>
      <c r="G847" s="49" t="n">
        <v>0.85</v>
      </c>
      <c r="H847" s="50" t="n">
        <f aca="false">MAX(0,IF(AND(Parameter!$B$21="Ja",ISNUMBER(Y847)),Y847,IF(Parameter!$B$20="Jahresanfang 2025 + Export",BO847+BN847,BN847)))</f>
        <v>9</v>
      </c>
      <c r="I847" s="50" t="n">
        <f aca="false">H847*G847</f>
        <v>7.65</v>
      </c>
      <c r="J847" s="50" t="n">
        <f aca="false">BQ847*Parameter!$B$18</f>
        <v>29</v>
      </c>
      <c r="K847" s="51" t="n">
        <v>30.5</v>
      </c>
      <c r="L847" s="52" t="n">
        <v>0.950819672131148</v>
      </c>
      <c r="M847" s="50" t="n">
        <v>1</v>
      </c>
      <c r="N847" s="50" t="n">
        <v>30</v>
      </c>
      <c r="O847" s="53" t="n">
        <v>21</v>
      </c>
      <c r="P847" s="48" t="s">
        <v>230</v>
      </c>
      <c r="Q847" s="50" t="n">
        <v>65</v>
      </c>
      <c r="R847" s="53" t="n">
        <f aca="false">IF(BW847=1,0,IFERROR(VLOOKUP(BU847,'Gebinde-Kategorie'!$A$5:$N$45,13,0)+0,0))</f>
        <v>12</v>
      </c>
      <c r="S847" s="54"/>
      <c r="T847" s="55"/>
      <c r="U847" s="55"/>
      <c r="V847" s="55"/>
      <c r="W847" s="48"/>
      <c r="X847" s="50"/>
      <c r="Y847" s="50"/>
      <c r="Z847" s="48" t="n">
        <f aca="false">IF(A847="","",IF(AND(Parameter!$B$21="Ja",ISNUMBER(W847)),W847,IF(BZ847="2+3",IF(ISNUMBER(SEARCH("grosser Artikel",BR847)),2,IFERROR(VLOOKUP(BU847,Parameter!$F$35:$G$64,2,0),2)),IF(OR(BZ847="Nein",BZ847=""),"-",BZ847))))</f>
        <v>2</v>
      </c>
      <c r="AA847" s="55"/>
      <c r="AB847" s="56"/>
      <c r="AC847" s="50" t="n">
        <f aca="false">AT847</f>
        <v>65</v>
      </c>
      <c r="AD847" s="50" t="n">
        <f aca="false">MAX(AT847,H847)</f>
        <v>65</v>
      </c>
      <c r="AE847" s="57"/>
      <c r="AF847" s="50" t="n">
        <f aca="false">IF(LEFT(Cockpit!$C$5,1)="A",H847,IF(CE847=1,CF847,IF(LEFT(Cockpit!$C$5,1)="B",AK847,MAX(AK847,H847))))</f>
        <v>9</v>
      </c>
      <c r="AG847" s="50" t="n">
        <f aca="false">IF(BW847=1,0,ROUNDUP(AF847/BV847,0))</f>
        <v>1</v>
      </c>
      <c r="AH847" s="52" t="n">
        <f aca="false">IF(CL847&gt;0,CL847*MAX(1,AF847/X847),IF(BW847=1,IF(AF847&lt;=0,0,CA847*MAX(1,IF(H847&gt;0,AF847/H847,1))),IF(R847&gt;0,AG847/R847,0))/MAX(0.1,N(Parameter!$M$21)))</f>
        <v>0.0833333333333333</v>
      </c>
      <c r="AI847" s="50" t="n">
        <f aca="false">AH847*BY847</f>
        <v>28.75</v>
      </c>
      <c r="AJ847" s="50" t="n">
        <f aca="false">AF847*G847</f>
        <v>7.65</v>
      </c>
      <c r="AK847" s="50" t="n">
        <f aca="false">ROUNDUP(MAX(J847/IF(CD847&gt;0,CD847,MAX(0.1,N(Cockpit!$C$6))),CG847)/BV847,0)*BV847</f>
        <v>65</v>
      </c>
      <c r="AL847" s="51" t="n">
        <f aca="false">IF(AI847&gt;0,J847/AI847,-1)</f>
        <v>1.00869565217391</v>
      </c>
      <c r="AM847" s="51" t="n">
        <f aca="false">IF(AND(OR(CC847="L1",CC847="L23",CC847="LIFT"),AI847&gt;0),SUMIFS($AI$7:$AI$1843,$CC$7:$CC$1843,CC847,$AL$7:$AL$1843,"&gt;"&amp;AL847)+SUMIFS($AI$7:$AI$1843,$CC$7:$CC$1843,CC847,$AL$7:$AL$1843,AL847,$BT$7:$BT$1843,"&lt;="&amp;BT847),"")</f>
        <v>6988.9043040293</v>
      </c>
      <c r="AN847" s="58" t="n">
        <f aca="false">IF(AM847="",0,MAX(0,MIN(1,(IF(CC847="L1",Parameter!$H$5,IF(CC847="L23",Parameter!$H$6+Parameter!$H$7,Parameter!$H$5+Parameter!$H$6+Parameter!$H$7))-(AM847-AI847))/AI847)))</f>
        <v>1</v>
      </c>
      <c r="AO847" s="50" t="n">
        <f aca="false">IF(LEFT(Cockpit!$I$5,1)="A",H847,IF(CE847=1,CF847,IF(LEFT(Cockpit!$I$5,1)="B",AT847,MAX(AT847,H847))))</f>
        <v>65</v>
      </c>
      <c r="AP847" s="50" t="n">
        <f aca="false">IF(BW847=1,0,ROUNDUP(AO847/BV847,0))</f>
        <v>1</v>
      </c>
      <c r="AQ847" s="52" t="n">
        <f aca="false">IF(CL847&gt;0,CL847*MAX(1,AO847/X847),IF(BW847=1,IF(AO847&lt;=0,0,CA847*MAX(1,IF(H847&gt;0,AO847/H847,1))),IF(R847&gt;0,AP847/R847,0))/MAX(0.1,N(Parameter!$M$21)))</f>
        <v>0.0833333333333333</v>
      </c>
      <c r="AR847" s="50" t="n">
        <f aca="false">AQ847*BY847</f>
        <v>28.75</v>
      </c>
      <c r="AS847" s="50" t="n">
        <f aca="false">AO847*G847</f>
        <v>55.25</v>
      </c>
      <c r="AT847" s="50" t="n">
        <f aca="false">ROUNDUP(MAX(J847/IF(CD847&gt;0,CD847,MAX(0.1,N(Cockpit!$I$6))),CG847)/BV847,0)*BV847</f>
        <v>65</v>
      </c>
      <c r="AU847" s="51" t="n">
        <f aca="false">IF(AR847&gt;0,J847/AR847,-1)</f>
        <v>1.00869565217391</v>
      </c>
      <c r="AV847" s="51" t="n">
        <f aca="false">IF(AND(OR(CC847="L1",CC847="L23",CC847="LIFT"),AR847&gt;0),SUMIFS($AR$7:$AR$1843,$CC$7:$CC$1843,CC847,$AU$7:$AU$1843,"&gt;"&amp;AU847)+SUMIFS($AR$7:$AR$1843,$CC$7:$CC$1843,CC847,$AU$7:$AU$1843,AU847,$BT$7:$BT$1843,"&lt;="&amp;BT847),"")</f>
        <v>10048.9111721612</v>
      </c>
      <c r="AW847" s="58" t="n">
        <f aca="false">IF(AV847="",0,MAX(0,MIN(1,(IF(CC847="L1",Parameter!$H$5,IF(CC847="L23",Parameter!$H$6+Parameter!$H$7,Parameter!$H$5+Parameter!$H$6+Parameter!$H$7))-(AV847-AR847))/AR847)))</f>
        <v>1</v>
      </c>
      <c r="AX847" s="50" t="n">
        <f aca="false">IF(LEFT(Cockpit!$O$5,1)="A",H847,IF(CE847=1,CF847,IF(LEFT(Cockpit!$O$5,1)="B",BC847,MAX(BC847,H847))))</f>
        <v>65</v>
      </c>
      <c r="AY847" s="50" t="n">
        <f aca="false">IF(BW847=1,0,ROUNDUP(AX847/BV847,0))</f>
        <v>1</v>
      </c>
      <c r="AZ847" s="52" t="n">
        <f aca="false">IF(CL847&gt;0,CL847*MAX(1,AX847/X847),IF(BW847=1,IF(AX847&lt;=0,0,CA847*MAX(1,IF(H847&gt;0,AX847/H847,1))),IF(R847&gt;0,AY847/R847,0))/MAX(0.1,N(Parameter!$M$21)))</f>
        <v>0.0833333333333333</v>
      </c>
      <c r="BA847" s="50" t="n">
        <f aca="false">AZ847*BY847</f>
        <v>28.75</v>
      </c>
      <c r="BB847" s="50" t="n">
        <f aca="false">AX847*G847</f>
        <v>55.25</v>
      </c>
      <c r="BC847" s="50" t="n">
        <f aca="false">ROUNDUP(MAX(J847/IF(CD847&gt;0,CD847,MAX(0.1,N(Cockpit!$O$6))),CG847)/BV847,0)*BV847</f>
        <v>65</v>
      </c>
      <c r="BD847" s="51" t="n">
        <f aca="false">IF(BA847&gt;0,J847/BA847,-1)</f>
        <v>1.00869565217391</v>
      </c>
      <c r="BE847" s="51" t="n">
        <f aca="false">IF(AND(OR(CC847="L1",CC847="L23",CC847="LIFT"),BA847&gt;0),SUMIFS($BA$7:$BA$1843,$CC$7:$CC$1843,CC847,$BD$7:$BD$1843,"&gt;"&amp;BD847)+SUMIFS($BA$7:$BA$1843,$CC$7:$CC$1843,CC847,$BD$7:$BD$1843,BD847,$BT$7:$BT$1843,"&lt;="&amp;BT847),"")</f>
        <v>9255.40155677656</v>
      </c>
      <c r="BF847" s="58" t="n">
        <f aca="false">IF(BE847="",0,MAX(0,MIN(1,(IF(CC847="L1",Parameter!$H$5,IF(CC847="L23",Parameter!$H$6+Parameter!$H$7,Parameter!$H$5+Parameter!$H$6+Parameter!$H$7))-(BE847-BA847))/BA847)))</f>
        <v>1</v>
      </c>
      <c r="BG847" s="48" t="str">
        <f aca="false">IF(AI847&lt;=0,"",IF(CC847="Aussen","Aussenlager",IF(CC847="-","Nicht im Lift",IF(AN847&gt;=1,"Lift",IF(AN847&lt;=0,"Aussenlager","teilweise")))))</f>
        <v>Lift</v>
      </c>
      <c r="BH847" s="48" t="str">
        <f aca="false">IF(AR847&lt;=0,"",IF(CC847="Aussen","Aussenlager",IF(CC847="-","Nicht im Lift",IF(AW847&gt;=1,"Lift",IF(AW847&lt;=0,"Aussenlager","teilweise")))))</f>
        <v>Lift</v>
      </c>
      <c r="BI847" s="48" t="str">
        <f aca="false">IF(BA847&lt;=0,"",IF(CC847="Aussen","Aussenlager",IF(CC847="-","Nicht im Lift",IF(BF847&gt;=1,"Lift",IF(BF847&lt;=0,"Aussenlager","teilweise")))))</f>
        <v>Lift</v>
      </c>
      <c r="BJ847" s="48" t="str">
        <f aca="false">IF(A847="","",IF(BS847=1,"Neu; ","")&amp;IF(AND(BS847=0,BN847&lt;0),"negativer Bestand (Export "&amp;BN847&amp;"); ","")&amp;IF(J847&lt;=0,"Kein Verbrauch; ","")&amp;IF(CL847&gt;0,"Lift "&amp;W847&amp;" lt. Liftbericht (Fach "&amp;X847&amp;" Stk); ",IF(BX847=1,"Gebinde geschätzt ("&amp;T847&amp;"); ",IF(BW847=1,"Lose – Tablare geschätzt; ","")))&amp;IF(H847&gt;AT847,"Überbestand "&amp;ROUND(H847-AT847,0)&amp;" Stk / CHF "&amp;ROUND((H847-AT847)*G847,0)&amp;"; ","")&amp;IF(AND(CE847=1,CF847&lt;CG847),"MAX &lt; MB+LG; ","")&amp;IF(AND(CK847&gt;0,CJ847*10&gt;CK847),"zu hoch für Tablar; ","")&amp;IF(AND(BS847=0,OR(CE847=1,AA847&lt;&gt;"",U847&lt;&gt;"",V847&lt;&gt;"",AB847&lt;&gt;"")),"manuell übersteuert; ","")&amp;IF(AND(BW847=0,R847=0),"Gebinde unbekannt / Stellmass fehlt; ","")&amp;IF(AND(BW847=0,N(V847)&lt;=0,N(Q847)&lt;=0),"Menge pro Gebinde fehlt (Ist = 1 Gebinde); ","")&amp;BR847)</f>
        <v>negativer Bestand (Export -22); </v>
      </c>
      <c r="BK847" s="48"/>
      <c r="BL847" s="48"/>
      <c r="BM847" s="55"/>
      <c r="BN847" s="50" t="n">
        <v>-22</v>
      </c>
      <c r="BO847" s="50" t="n">
        <v>31</v>
      </c>
      <c r="BP847" s="49" t="n">
        <v>-15.91</v>
      </c>
      <c r="BQ847" s="50" t="n">
        <v>29</v>
      </c>
      <c r="BR847" s="48"/>
      <c r="BS847" s="53" t="n">
        <v>0</v>
      </c>
      <c r="BT847" s="53" t="n">
        <v>847</v>
      </c>
      <c r="BU847" s="48" t="str">
        <f aca="false">IF(U847&lt;&gt;"",UPPER(TRIM(U847)),IF(BX847=1,UPPER(VLOOKUP(T847,Parameter!$I$27:$K$29,2,0)),IF(P847="","LOSE",P847)))</f>
        <v>S63</v>
      </c>
      <c r="BV847" s="50" t="n">
        <f aca="false">IF(BU847="LOSE",1,IF(N(V847)&gt;0,V847,IF(BX847=1,MAX(1,N(VLOOKUP(T847,Parameter!$I$27:$K$29,3,0)),H847,N(N847)),IF(N(Q847)&gt;0,Q847,MAX(1,H847)))))</f>
        <v>65</v>
      </c>
      <c r="BW847" s="53" t="n">
        <f aca="false">IF(BU847="LOSE",1,0)</f>
        <v>0</v>
      </c>
      <c r="BX847" s="53" t="n">
        <f aca="false">IF(AND(U847="",OR(P847="",P847="LOSE"),T847&lt;&gt;"",N(S847)&lt;=0,ISNUMBER(MATCH(T847,Parameter!$I$27:$I$29,0))),1,0)</f>
        <v>0</v>
      </c>
      <c r="BY847" s="53" t="n">
        <f aca="false">IF(CL847&gt;0,INDEX(Parameter!$H$5:$H$7,W847)/INDEX(Parameter!$E$5:$E$7,W847),IF(AND(BW847=0,N(IFERROR(VLOOKUP(BU847,'Gebinde-Kategorie'!$A$5:$N$45,14,0),0))&gt;0),VLOOKUP(BU847,'Gebinde-Kategorie'!$A$5:$N$45,14,0)*10+Parameter!$M$23,Parameter!$M$24))</f>
        <v>345</v>
      </c>
      <c r="BZ847" s="48" t="str">
        <f aca="false">IF(AND(Parameter!$B$19="Ja",E847&lt;&gt;"",ISNUMBER(MATCH(E847,Parameter!$I$35:$I$52,0))),VLOOKUP(E847,Parameter!$I$35:$J$52,2,0),IFERROR(VLOOKUP(D847,Parameter!$A$35:$C$64,2,0),"Nein"))</f>
        <v>2+3</v>
      </c>
      <c r="CA847" s="52" t="n">
        <f aca="false">IF(BW847=0,0,IF(N(S847)&gt;0,S847,IFERROR(VLOOKUP(D847,Parameter!$A$35:$C$64,3,0)+0,0)))</f>
        <v>0</v>
      </c>
      <c r="CB847" s="48" t="n">
        <f aca="false">IF(AA847&lt;&gt;"",AA847,Z847)</f>
        <v>2</v>
      </c>
      <c r="CC847" s="48" t="str">
        <f aca="false">IF(OR(CB847=1,CB847=2,CB847=3),IF(Parameter!$E$27="Ja","LIFT",IF(CB847=1,"L1","L23")),IF(CB847="Aussen","Aussen","-"))</f>
        <v>LIFT</v>
      </c>
      <c r="CD847" s="59" t="n">
        <f aca="false">IF(N(AB847)&gt;0,AB847,0)</f>
        <v>0</v>
      </c>
      <c r="CE847" s="53" t="n">
        <f aca="false">IF(ISNUMBER(AE847),1,0)</f>
        <v>0</v>
      </c>
      <c r="CF847" s="50" t="n">
        <f aca="false">N(AE847)</f>
        <v>0</v>
      </c>
      <c r="CG847" s="50" t="n">
        <f aca="false">N(M847)+N(N847)</f>
        <v>31</v>
      </c>
      <c r="CH847" s="50" t="n">
        <f aca="false">ROUNDUP(H847/BV847,0)</f>
        <v>1</v>
      </c>
      <c r="CI847" s="50" t="n">
        <f aca="false">ROUNDUP(CF847/BV847,0)</f>
        <v>0</v>
      </c>
      <c r="CJ847" s="53" t="n">
        <f aca="false">IF(BW847=1,0,IFERROR(VLOOKUP(BU847,'Gebinde-Kategorie'!$A$5:$N$45,5,0)+0,0))</f>
        <v>31</v>
      </c>
      <c r="CK847" s="53" t="n">
        <f aca="false">IFERROR(IF(OR(CB847=1,CB847=2,CB847=3),N(INDEX(Parameter!$I$5:$I$7,CB847)),0),0)</f>
        <v>0</v>
      </c>
      <c r="CL847" s="52" t="n">
        <f aca="false">IF(AND(Parameter!$B$21="Ja",ISNUMBER(W847),N(X847)&gt;0),IFERROR(N(INDEX(Parameter!$L$5:$L$7,W847))*INDEX(Parameter!$E$5:$E$7,W847)*X847/SUMIFS($X$7:$X$1843,$W$7:$W$1843,W847),0),0)</f>
        <v>0</v>
      </c>
    </row>
    <row r="848" customFormat="false" ht="15" hidden="false" customHeight="false" outlineLevel="0" collapsed="false">
      <c r="A848" s="48" t="s">
        <v>1624</v>
      </c>
      <c r="B848" s="48" t="s">
        <v>409</v>
      </c>
      <c r="C848" s="48" t="s">
        <v>168</v>
      </c>
      <c r="D848" s="48" t="s">
        <v>188</v>
      </c>
      <c r="E848" s="48" t="s">
        <v>189</v>
      </c>
      <c r="F848" s="48" t="s">
        <v>222</v>
      </c>
      <c r="G848" s="49" t="n">
        <v>0.37</v>
      </c>
      <c r="H848" s="50" t="n">
        <f aca="false">MAX(0,IF(AND(Parameter!$B$21="Ja",ISNUMBER(Y848)),Y848,IF(Parameter!$B$20="Jahresanfang 2025 + Export",BO848+BN848,BN848)))</f>
        <v>737</v>
      </c>
      <c r="I848" s="50" t="n">
        <f aca="false">H848*G848</f>
        <v>272.69</v>
      </c>
      <c r="J848" s="50" t="n">
        <f aca="false">BQ848*Parameter!$B$18</f>
        <v>48</v>
      </c>
      <c r="K848" s="51" t="n">
        <v>758.5</v>
      </c>
      <c r="L848" s="52" t="n">
        <v>0.0632827949901121</v>
      </c>
      <c r="M848" s="50" t="n">
        <v>1</v>
      </c>
      <c r="N848" s="50" t="n">
        <v>50</v>
      </c>
      <c r="O848" s="53" t="n">
        <v>14</v>
      </c>
      <c r="P848" s="48" t="s">
        <v>230</v>
      </c>
      <c r="Q848" s="50" t="n">
        <v>601</v>
      </c>
      <c r="R848" s="53" t="n">
        <f aca="false">IF(BW848=1,0,IFERROR(VLOOKUP(BU848,'Gebinde-Kategorie'!$A$5:$N$45,13,0)+0,0))</f>
        <v>12</v>
      </c>
      <c r="S848" s="54"/>
      <c r="T848" s="55"/>
      <c r="U848" s="55"/>
      <c r="V848" s="55"/>
      <c r="W848" s="48"/>
      <c r="X848" s="50"/>
      <c r="Y848" s="50"/>
      <c r="Z848" s="48" t="n">
        <f aca="false">IF(A848="","",IF(AND(Parameter!$B$21="Ja",ISNUMBER(W848)),W848,IF(BZ848="2+3",IF(ISNUMBER(SEARCH("grosser Artikel",BR848)),2,IFERROR(VLOOKUP(BU848,Parameter!$F$35:$G$64,2,0),2)),IF(OR(BZ848="Nein",BZ848=""),"-",BZ848))))</f>
        <v>2</v>
      </c>
      <c r="AA848" s="55"/>
      <c r="AB848" s="56"/>
      <c r="AC848" s="50" t="n">
        <f aca="false">AT848</f>
        <v>601</v>
      </c>
      <c r="AD848" s="50" t="n">
        <f aca="false">MAX(AT848,H848)</f>
        <v>737</v>
      </c>
      <c r="AE848" s="57"/>
      <c r="AF848" s="50" t="n">
        <f aca="false">IF(LEFT(Cockpit!$C$5,1)="A",H848,IF(CE848=1,CF848,IF(LEFT(Cockpit!$C$5,1)="B",AK848,MAX(AK848,H848))))</f>
        <v>737</v>
      </c>
      <c r="AG848" s="50" t="n">
        <f aca="false">IF(BW848=1,0,ROUNDUP(AF848/BV848,0))</f>
        <v>2</v>
      </c>
      <c r="AH848" s="52" t="n">
        <f aca="false">IF(CL848&gt;0,CL848*MAX(1,AF848/X848),IF(BW848=1,IF(AF848&lt;=0,0,CA848*MAX(1,IF(H848&gt;0,AF848/H848,1))),IF(R848&gt;0,AG848/R848,0))/MAX(0.1,N(Parameter!$M$21)))</f>
        <v>0.166666666666667</v>
      </c>
      <c r="AI848" s="50" t="n">
        <f aca="false">AH848*BY848</f>
        <v>57.5</v>
      </c>
      <c r="AJ848" s="50" t="n">
        <f aca="false">AF848*G848</f>
        <v>272.69</v>
      </c>
      <c r="AK848" s="50" t="n">
        <f aca="false">ROUNDUP(MAX(J848/IF(CD848&gt;0,CD848,MAX(0.1,N(Cockpit!$C$6))),CG848)/BV848,0)*BV848</f>
        <v>601</v>
      </c>
      <c r="AL848" s="51" t="n">
        <f aca="false">IF(AI848&gt;0,J848/AI848,-1)</f>
        <v>0.834782608695652</v>
      </c>
      <c r="AM848" s="51" t="n">
        <f aca="false">IF(AND(OR(CC848="L1",CC848="L23",CC848="LIFT"),AI848&gt;0),SUMIFS($AI$7:$AI$1843,$CC$7:$CC$1843,CC848,$AL$7:$AL$1843,"&gt;"&amp;AL848)+SUMIFS($AI$7:$AI$1843,$CC$7:$CC$1843,CC848,$AL$7:$AL$1843,AL848,$BT$7:$BT$1843,"&lt;="&amp;BT848),"")</f>
        <v>7954.125</v>
      </c>
      <c r="AN848" s="58" t="n">
        <f aca="false">IF(AM848="",0,MAX(0,MIN(1,(IF(CC848="L1",Parameter!$H$5,IF(CC848="L23",Parameter!$H$6+Parameter!$H$7,Parameter!$H$5+Parameter!$H$6+Parameter!$H$7))-(AM848-AI848))/AI848)))</f>
        <v>1</v>
      </c>
      <c r="AO848" s="50" t="n">
        <f aca="false">IF(LEFT(Cockpit!$I$5,1)="A",H848,IF(CE848=1,CF848,IF(LEFT(Cockpit!$I$5,1)="B",AT848,MAX(AT848,H848))))</f>
        <v>737</v>
      </c>
      <c r="AP848" s="50" t="n">
        <f aca="false">IF(BW848=1,0,ROUNDUP(AO848/BV848,0))</f>
        <v>2</v>
      </c>
      <c r="AQ848" s="52" t="n">
        <f aca="false">IF(CL848&gt;0,CL848*MAX(1,AO848/X848),IF(BW848=1,IF(AO848&lt;=0,0,CA848*MAX(1,IF(H848&gt;0,AO848/H848,1))),IF(R848&gt;0,AP848/R848,0))/MAX(0.1,N(Parameter!$M$21)))</f>
        <v>0.166666666666667</v>
      </c>
      <c r="AR848" s="50" t="n">
        <f aca="false">AQ848*BY848</f>
        <v>57.5</v>
      </c>
      <c r="AS848" s="50" t="n">
        <f aca="false">AO848*G848</f>
        <v>272.69</v>
      </c>
      <c r="AT848" s="50" t="n">
        <f aca="false">ROUNDUP(MAX(J848/IF(CD848&gt;0,CD848,MAX(0.1,N(Cockpit!$I$6))),CG848)/BV848,0)*BV848</f>
        <v>601</v>
      </c>
      <c r="AU848" s="51" t="n">
        <f aca="false">IF(AR848&gt;0,J848/AR848,-1)</f>
        <v>0.834782608695652</v>
      </c>
      <c r="AV848" s="51" t="n">
        <f aca="false">IF(AND(OR(CC848="L1",CC848="L23",CC848="LIFT"),AR848&gt;0),SUMIFS($AR$7:$AR$1843,$CC$7:$CC$1843,CC848,$AU$7:$AU$1843,"&gt;"&amp;AU848)+SUMIFS($AR$7:$AR$1843,$CC$7:$CC$1843,CC848,$AU$7:$AU$1843,AU848,$BT$7:$BT$1843,"&lt;="&amp;BT848),"")</f>
        <v>11330.5100732601</v>
      </c>
      <c r="AW848" s="58" t="n">
        <f aca="false">IF(AV848="",0,MAX(0,MIN(1,(IF(CC848="L1",Parameter!$H$5,IF(CC848="L23",Parameter!$H$6+Parameter!$H$7,Parameter!$H$5+Parameter!$H$6+Parameter!$H$7))-(AV848-AR848))/AR848)))</f>
        <v>1</v>
      </c>
      <c r="AX848" s="50" t="n">
        <f aca="false">IF(LEFT(Cockpit!$O$5,1)="A",H848,IF(CE848=1,CF848,IF(LEFT(Cockpit!$O$5,1)="B",BC848,MAX(BC848,H848))))</f>
        <v>737</v>
      </c>
      <c r="AY848" s="50" t="n">
        <f aca="false">IF(BW848=1,0,ROUNDUP(AX848/BV848,0))</f>
        <v>2</v>
      </c>
      <c r="AZ848" s="52" t="n">
        <f aca="false">IF(CL848&gt;0,CL848*MAX(1,AX848/X848),IF(BW848=1,IF(AX848&lt;=0,0,CA848*MAX(1,IF(H848&gt;0,AX848/H848,1))),IF(R848&gt;0,AY848/R848,0))/MAX(0.1,N(Parameter!$M$21)))</f>
        <v>0.166666666666667</v>
      </c>
      <c r="BA848" s="50" t="n">
        <f aca="false">AZ848*BY848</f>
        <v>57.5</v>
      </c>
      <c r="BB848" s="50" t="n">
        <f aca="false">AX848*G848</f>
        <v>272.69</v>
      </c>
      <c r="BC848" s="50" t="n">
        <f aca="false">ROUNDUP(MAX(J848/IF(CD848&gt;0,CD848,MAX(0.1,N(Cockpit!$O$6))),CG848)/BV848,0)*BV848</f>
        <v>601</v>
      </c>
      <c r="BD848" s="51" t="n">
        <f aca="false">IF(BA848&gt;0,J848/BA848,-1)</f>
        <v>0.834782608695652</v>
      </c>
      <c r="BE848" s="51" t="n">
        <f aca="false">IF(AND(OR(CC848="L1",CC848="L23",CC848="LIFT"),BA848&gt;0),SUMIFS($BA$7:$BA$1843,$CC$7:$CC$1843,CC848,$BD$7:$BD$1843,"&gt;"&amp;BD848)+SUMIFS($BA$7:$BA$1843,$CC$7:$CC$1843,CC848,$BD$7:$BD$1843,BD848,$BT$7:$BT$1843,"&lt;="&amp;BT848),"")</f>
        <v>10426.1671245421</v>
      </c>
      <c r="BF848" s="58" t="n">
        <f aca="false">IF(BE848="",0,MAX(0,MIN(1,(IF(CC848="L1",Parameter!$H$5,IF(CC848="L23",Parameter!$H$6+Parameter!$H$7,Parameter!$H$5+Parameter!$H$6+Parameter!$H$7))-(BE848-BA848))/BA848)))</f>
        <v>1</v>
      </c>
      <c r="BG848" s="48" t="str">
        <f aca="false">IF(AI848&lt;=0,"",IF(CC848="Aussen","Aussenlager",IF(CC848="-","Nicht im Lift",IF(AN848&gt;=1,"Lift",IF(AN848&lt;=0,"Aussenlager","teilweise")))))</f>
        <v>Lift</v>
      </c>
      <c r="BH848" s="48" t="str">
        <f aca="false">IF(AR848&lt;=0,"",IF(CC848="Aussen","Aussenlager",IF(CC848="-","Nicht im Lift",IF(AW848&gt;=1,"Lift",IF(AW848&lt;=0,"Aussenlager","teilweise")))))</f>
        <v>Lift</v>
      </c>
      <c r="BI848" s="48" t="str">
        <f aca="false">IF(BA848&lt;=0,"",IF(CC848="Aussen","Aussenlager",IF(CC848="-","Nicht im Lift",IF(BF848&gt;=1,"Lift",IF(BF848&lt;=0,"Aussenlager","teilweise")))))</f>
        <v>Lift</v>
      </c>
      <c r="BJ848" s="48" t="str">
        <f aca="false">IF(A848="","",IF(BS848=1,"Neu; ","")&amp;IF(AND(BS848=0,BN848&lt;0),"negativer Bestand (Export "&amp;BN848&amp;"); ","")&amp;IF(J848&lt;=0,"Kein Verbrauch; ","")&amp;IF(CL848&gt;0,"Lift "&amp;W848&amp;" lt. Liftbericht (Fach "&amp;X848&amp;" Stk); ",IF(BX848=1,"Gebinde geschätzt ("&amp;T848&amp;"); ",IF(BW848=1,"Lose – Tablare geschätzt; ","")))&amp;IF(H848&gt;AT848,"Überbestand "&amp;ROUND(H848-AT848,0)&amp;" Stk / CHF "&amp;ROUND((H848-AT848)*G848,0)&amp;"; ","")&amp;IF(AND(CE848=1,CF848&lt;CG848),"MAX &lt; MB+LG; ","")&amp;IF(AND(CK848&gt;0,CJ848*10&gt;CK848),"zu hoch für Tablar; ","")&amp;IF(AND(BS848=0,OR(CE848=1,AA848&lt;&gt;"",U848&lt;&gt;"",V848&lt;&gt;"",AB848&lt;&gt;"")),"manuell übersteuert; ","")&amp;IF(AND(BW848=0,R848=0),"Gebinde unbekannt / Stellmass fehlt; ","")&amp;IF(AND(BW848=0,N(V848)&lt;=0,N(Q848)&lt;=0),"Menge pro Gebinde fehlt (Ist = 1 Gebinde); ","")&amp;BR848)</f>
        <v>negativer Bestand (Export -43); Überbestand 136 Stk / CHF 50; Überbestand</v>
      </c>
      <c r="BK848" s="48"/>
      <c r="BL848" s="48"/>
      <c r="BM848" s="55"/>
      <c r="BN848" s="50" t="n">
        <v>-43</v>
      </c>
      <c r="BO848" s="50" t="n">
        <v>780</v>
      </c>
      <c r="BP848" s="49" t="n">
        <v>-15.91</v>
      </c>
      <c r="BQ848" s="50" t="n">
        <v>48</v>
      </c>
      <c r="BR848" s="48" t="s">
        <v>396</v>
      </c>
      <c r="BS848" s="53" t="n">
        <v>0</v>
      </c>
      <c r="BT848" s="53" t="n">
        <v>848</v>
      </c>
      <c r="BU848" s="48" t="str">
        <f aca="false">IF(U848&lt;&gt;"",UPPER(TRIM(U848)),IF(BX848=1,UPPER(VLOOKUP(T848,Parameter!$I$27:$K$29,2,0)),IF(P848="","LOSE",P848)))</f>
        <v>S63</v>
      </c>
      <c r="BV848" s="50" t="n">
        <f aca="false">IF(BU848="LOSE",1,IF(N(V848)&gt;0,V848,IF(BX848=1,MAX(1,N(VLOOKUP(T848,Parameter!$I$27:$K$29,3,0)),H848,N(N848)),IF(N(Q848)&gt;0,Q848,MAX(1,H848)))))</f>
        <v>601</v>
      </c>
      <c r="BW848" s="53" t="n">
        <f aca="false">IF(BU848="LOSE",1,0)</f>
        <v>0</v>
      </c>
      <c r="BX848" s="53" t="n">
        <f aca="false">IF(AND(U848="",OR(P848="",P848="LOSE"),T848&lt;&gt;"",N(S848)&lt;=0,ISNUMBER(MATCH(T848,Parameter!$I$27:$I$29,0))),1,0)</f>
        <v>0</v>
      </c>
      <c r="BY848" s="53" t="n">
        <f aca="false">IF(CL848&gt;0,INDEX(Parameter!$H$5:$H$7,W848)/INDEX(Parameter!$E$5:$E$7,W848),IF(AND(BW848=0,N(IFERROR(VLOOKUP(BU848,'Gebinde-Kategorie'!$A$5:$N$45,14,0),0))&gt;0),VLOOKUP(BU848,'Gebinde-Kategorie'!$A$5:$N$45,14,0)*10+Parameter!$M$23,Parameter!$M$24))</f>
        <v>345</v>
      </c>
      <c r="BZ848" s="48" t="str">
        <f aca="false">IF(AND(Parameter!$B$19="Ja",E848&lt;&gt;"",ISNUMBER(MATCH(E848,Parameter!$I$35:$I$52,0))),VLOOKUP(E848,Parameter!$I$35:$J$52,2,0),IFERROR(VLOOKUP(D848,Parameter!$A$35:$C$64,2,0),"Nein"))</f>
        <v>2+3</v>
      </c>
      <c r="CA848" s="52" t="n">
        <f aca="false">IF(BW848=0,0,IF(N(S848)&gt;0,S848,IFERROR(VLOOKUP(D848,Parameter!$A$35:$C$64,3,0)+0,0)))</f>
        <v>0</v>
      </c>
      <c r="CB848" s="48" t="n">
        <f aca="false">IF(AA848&lt;&gt;"",AA848,Z848)</f>
        <v>2</v>
      </c>
      <c r="CC848" s="48" t="str">
        <f aca="false">IF(OR(CB848=1,CB848=2,CB848=3),IF(Parameter!$E$27="Ja","LIFT",IF(CB848=1,"L1","L23")),IF(CB848="Aussen","Aussen","-"))</f>
        <v>LIFT</v>
      </c>
      <c r="CD848" s="59" t="n">
        <f aca="false">IF(N(AB848)&gt;0,AB848,0)</f>
        <v>0</v>
      </c>
      <c r="CE848" s="53" t="n">
        <f aca="false">IF(ISNUMBER(AE848),1,0)</f>
        <v>0</v>
      </c>
      <c r="CF848" s="50" t="n">
        <f aca="false">N(AE848)</f>
        <v>0</v>
      </c>
      <c r="CG848" s="50" t="n">
        <f aca="false">N(M848)+N(N848)</f>
        <v>51</v>
      </c>
      <c r="CH848" s="50" t="n">
        <f aca="false">ROUNDUP(H848/BV848,0)</f>
        <v>2</v>
      </c>
      <c r="CI848" s="50" t="n">
        <f aca="false">ROUNDUP(CF848/BV848,0)</f>
        <v>0</v>
      </c>
      <c r="CJ848" s="53" t="n">
        <f aca="false">IF(BW848=1,0,IFERROR(VLOOKUP(BU848,'Gebinde-Kategorie'!$A$5:$N$45,5,0)+0,0))</f>
        <v>31</v>
      </c>
      <c r="CK848" s="53" t="n">
        <f aca="false">IFERROR(IF(OR(CB848=1,CB848=2,CB848=3),N(INDEX(Parameter!$I$5:$I$7,CB848)),0),0)</f>
        <v>0</v>
      </c>
      <c r="CL848" s="52" t="n">
        <f aca="false">IF(AND(Parameter!$B$21="Ja",ISNUMBER(W848),N(X848)&gt;0),IFERROR(N(INDEX(Parameter!$L$5:$L$7,W848))*INDEX(Parameter!$E$5:$E$7,W848)*X848/SUMIFS($X$7:$X$1843,$W$7:$W$1843,W848),0),0)</f>
        <v>0</v>
      </c>
    </row>
    <row r="849" customFormat="false" ht="15" hidden="false" customHeight="false" outlineLevel="0" collapsed="false">
      <c r="A849" s="48" t="s">
        <v>1625</v>
      </c>
      <c r="B849" s="48" t="s">
        <v>378</v>
      </c>
      <c r="C849" s="48" t="s">
        <v>168</v>
      </c>
      <c r="D849" s="48" t="s">
        <v>188</v>
      </c>
      <c r="E849" s="48" t="s">
        <v>189</v>
      </c>
      <c r="F849" s="48" t="s">
        <v>222</v>
      </c>
      <c r="G849" s="49" t="n">
        <v>2.55</v>
      </c>
      <c r="H849" s="50" t="n">
        <f aca="false">MAX(0,IF(AND(Parameter!$B$21="Ja",ISNUMBER(Y849)),Y849,IF(Parameter!$B$20="Jahresanfang 2025 + Export",BO849+BN849,BN849)))</f>
        <v>29</v>
      </c>
      <c r="I849" s="50" t="n">
        <f aca="false">H849*G849</f>
        <v>73.95</v>
      </c>
      <c r="J849" s="50" t="n">
        <f aca="false">BQ849*Parameter!$B$18</f>
        <v>54</v>
      </c>
      <c r="K849" s="51" t="n">
        <v>58.5</v>
      </c>
      <c r="L849" s="52" t="n">
        <v>0.923076923076923</v>
      </c>
      <c r="M849" s="50" t="n">
        <v>2</v>
      </c>
      <c r="N849" s="50" t="n">
        <v>55</v>
      </c>
      <c r="O849" s="53" t="n">
        <v>14</v>
      </c>
      <c r="P849" s="48" t="s">
        <v>425</v>
      </c>
      <c r="Q849" s="50" t="n">
        <v>46</v>
      </c>
      <c r="R849" s="53" t="n">
        <f aca="false">IF(BW849=1,0,IFERROR(VLOOKUP(BU849,'Gebinde-Kategorie'!$A$5:$N$45,13,0)+0,0))</f>
        <v>104</v>
      </c>
      <c r="S849" s="54"/>
      <c r="T849" s="55"/>
      <c r="U849" s="55"/>
      <c r="V849" s="55"/>
      <c r="W849" s="48"/>
      <c r="X849" s="50"/>
      <c r="Y849" s="50"/>
      <c r="Z849" s="48" t="n">
        <f aca="false">IF(A849="","",IF(AND(Parameter!$B$21="Ja",ISNUMBER(W849)),W849,IF(BZ849="2+3",IF(ISNUMBER(SEARCH("grosser Artikel",BR849)),2,IFERROR(VLOOKUP(BU849,Parameter!$F$35:$G$64,2,0),2)),IF(OR(BZ849="Nein",BZ849=""),"-",BZ849))))</f>
        <v>3</v>
      </c>
      <c r="AA849" s="55"/>
      <c r="AB849" s="56"/>
      <c r="AC849" s="50" t="n">
        <f aca="false">AT849</f>
        <v>92</v>
      </c>
      <c r="AD849" s="50" t="n">
        <f aca="false">MAX(AT849,H849)</f>
        <v>92</v>
      </c>
      <c r="AE849" s="57"/>
      <c r="AF849" s="50" t="n">
        <f aca="false">IF(LEFT(Cockpit!$C$5,1)="A",H849,IF(CE849=1,CF849,IF(LEFT(Cockpit!$C$5,1)="B",AK849,MAX(AK849,H849))))</f>
        <v>29</v>
      </c>
      <c r="AG849" s="50" t="n">
        <f aca="false">IF(BW849=1,0,ROUNDUP(AF849/BV849,0))</f>
        <v>1</v>
      </c>
      <c r="AH849" s="52" t="n">
        <f aca="false">IF(CL849&gt;0,CL849*MAX(1,AF849/X849),IF(BW849=1,IF(AF849&lt;=0,0,CA849*MAX(1,IF(H849&gt;0,AF849/H849,1))),IF(R849&gt;0,AG849/R849,0))/MAX(0.1,N(Parameter!$M$21)))</f>
        <v>0.00961538461538462</v>
      </c>
      <c r="AI849" s="50" t="n">
        <f aca="false">AH849*BY849</f>
        <v>1.49038461538462</v>
      </c>
      <c r="AJ849" s="50" t="n">
        <f aca="false">AF849*G849</f>
        <v>73.95</v>
      </c>
      <c r="AK849" s="50" t="n">
        <f aca="false">ROUNDUP(MAX(J849/IF(CD849&gt;0,CD849,MAX(0.1,N(Cockpit!$C$6))),CG849)/BV849,0)*BV849</f>
        <v>92</v>
      </c>
      <c r="AL849" s="51" t="n">
        <f aca="false">IF(AI849&gt;0,J849/AI849,-1)</f>
        <v>36.2322580645161</v>
      </c>
      <c r="AM849" s="51" t="n">
        <f aca="false">IF(AND(OR(CC849="L1",CC849="L23",CC849="LIFT"),AI849&gt;0),SUMIFS($AI$7:$AI$1843,$CC$7:$CC$1843,CC849,$AL$7:$AL$1843,"&gt;"&amp;AL849)+SUMIFS($AI$7:$AI$1843,$CC$7:$CC$1843,CC849,$AL$7:$AL$1843,AL849,$BT$7:$BT$1843,"&lt;="&amp;BT849),"")</f>
        <v>1282.19230769231</v>
      </c>
      <c r="AN849" s="58" t="n">
        <f aca="false">IF(AM849="",0,MAX(0,MIN(1,(IF(CC849="L1",Parameter!$H$5,IF(CC849="L23",Parameter!$H$6+Parameter!$H$7,Parameter!$H$5+Parameter!$H$6+Parameter!$H$7))-(AM849-AI849))/AI849)))</f>
        <v>1</v>
      </c>
      <c r="AO849" s="50" t="n">
        <f aca="false">IF(LEFT(Cockpit!$I$5,1)="A",H849,IF(CE849=1,CF849,IF(LEFT(Cockpit!$I$5,1)="B",AT849,MAX(AT849,H849))))</f>
        <v>92</v>
      </c>
      <c r="AP849" s="50" t="n">
        <f aca="false">IF(BW849=1,0,ROUNDUP(AO849/BV849,0))</f>
        <v>2</v>
      </c>
      <c r="AQ849" s="52" t="n">
        <f aca="false">IF(CL849&gt;0,CL849*MAX(1,AO849/X849),IF(BW849=1,IF(AO849&lt;=0,0,CA849*MAX(1,IF(H849&gt;0,AO849/H849,1))),IF(R849&gt;0,AP849/R849,0))/MAX(0.1,N(Parameter!$M$21)))</f>
        <v>0.0192307692307692</v>
      </c>
      <c r="AR849" s="50" t="n">
        <f aca="false">AQ849*BY849</f>
        <v>2.98076923076923</v>
      </c>
      <c r="AS849" s="50" t="n">
        <f aca="false">AO849*G849</f>
        <v>234.6</v>
      </c>
      <c r="AT849" s="50" t="n">
        <f aca="false">ROUNDUP(MAX(J849/IF(CD849&gt;0,CD849,MAX(0.1,N(Cockpit!$I$6))),CG849)/BV849,0)*BV849</f>
        <v>92</v>
      </c>
      <c r="AU849" s="51" t="n">
        <f aca="false">IF(AR849&gt;0,J849/AR849,-1)</f>
        <v>18.1161290322581</v>
      </c>
      <c r="AV849" s="51" t="n">
        <f aca="false">IF(AND(OR(CC849="L1",CC849="L23",CC849="LIFT"),AR849&gt;0),SUMIFS($AR$7:$AR$1843,$CC$7:$CC$1843,CC849,$AU$7:$AU$1843,"&gt;"&amp;AU849)+SUMIFS($AR$7:$AR$1843,$CC$7:$CC$1843,CC849,$AU$7:$AU$1843,AU849,$BT$7:$BT$1843,"&lt;="&amp;BT849),"")</f>
        <v>2674.95970695971</v>
      </c>
      <c r="AW849" s="58" t="n">
        <f aca="false">IF(AV849="",0,MAX(0,MIN(1,(IF(CC849="L1",Parameter!$H$5,IF(CC849="L23",Parameter!$H$6+Parameter!$H$7,Parameter!$H$5+Parameter!$H$6+Parameter!$H$7))-(AV849-AR849))/AR849)))</f>
        <v>1</v>
      </c>
      <c r="AX849" s="50" t="n">
        <f aca="false">IF(LEFT(Cockpit!$O$5,1)="A",H849,IF(CE849=1,CF849,IF(LEFT(Cockpit!$O$5,1)="B",BC849,MAX(BC849,H849))))</f>
        <v>92</v>
      </c>
      <c r="AY849" s="50" t="n">
        <f aca="false">IF(BW849=1,0,ROUNDUP(AX849/BV849,0))</f>
        <v>2</v>
      </c>
      <c r="AZ849" s="52" t="n">
        <f aca="false">IF(CL849&gt;0,CL849*MAX(1,AX849/X849),IF(BW849=1,IF(AX849&lt;=0,0,CA849*MAX(1,IF(H849&gt;0,AX849/H849,1))),IF(R849&gt;0,AY849/R849,0))/MAX(0.1,N(Parameter!$M$21)))</f>
        <v>0.0192307692307692</v>
      </c>
      <c r="BA849" s="50" t="n">
        <f aca="false">AZ849*BY849</f>
        <v>2.98076923076923</v>
      </c>
      <c r="BB849" s="50" t="n">
        <f aca="false">AX849*G849</f>
        <v>234.6</v>
      </c>
      <c r="BC849" s="50" t="n">
        <f aca="false">ROUNDUP(MAX(J849/IF(CD849&gt;0,CD849,MAX(0.1,N(Cockpit!$O$6))),CG849)/BV849,0)*BV849</f>
        <v>92</v>
      </c>
      <c r="BD849" s="51" t="n">
        <f aca="false">IF(BA849&gt;0,J849/BA849,-1)</f>
        <v>18.1161290322581</v>
      </c>
      <c r="BE849" s="51" t="n">
        <f aca="false">IF(AND(OR(CC849="L1",CC849="L23",CC849="LIFT"),BA849&gt;0),SUMIFS($BA$7:$BA$1843,$CC$7:$CC$1843,CC849,$BD$7:$BD$1843,"&gt;"&amp;BD849)+SUMIFS($BA$7:$BA$1843,$CC$7:$CC$1843,CC849,$BD$7:$BD$1843,BD849,$BT$7:$BT$1843,"&lt;="&amp;BT849),"")</f>
        <v>2494.39880952381</v>
      </c>
      <c r="BF849" s="58" t="n">
        <f aca="false">IF(BE849="",0,MAX(0,MIN(1,(IF(CC849="L1",Parameter!$H$5,IF(CC849="L23",Parameter!$H$6+Parameter!$H$7,Parameter!$H$5+Parameter!$H$6+Parameter!$H$7))-(BE849-BA849))/BA849)))</f>
        <v>1</v>
      </c>
      <c r="BG849" s="48" t="str">
        <f aca="false">IF(AI849&lt;=0,"",IF(CC849="Aussen","Aussenlager",IF(CC849="-","Nicht im Lift",IF(AN849&gt;=1,"Lift",IF(AN849&lt;=0,"Aussenlager","teilweise")))))</f>
        <v>Lift</v>
      </c>
      <c r="BH849" s="48" t="str">
        <f aca="false">IF(AR849&lt;=0,"",IF(CC849="Aussen","Aussenlager",IF(CC849="-","Nicht im Lift",IF(AW849&gt;=1,"Lift",IF(AW849&lt;=0,"Aussenlager","teilweise")))))</f>
        <v>Lift</v>
      </c>
      <c r="BI849" s="48" t="str">
        <f aca="false">IF(BA849&lt;=0,"",IF(CC849="Aussen","Aussenlager",IF(CC849="-","Nicht im Lift",IF(BF849&gt;=1,"Lift",IF(BF849&lt;=0,"Aussenlager","teilweise")))))</f>
        <v>Lift</v>
      </c>
      <c r="BJ849" s="48" t="str">
        <f aca="false">IF(A849="","",IF(BS849=1,"Neu; ","")&amp;IF(AND(BS849=0,BN849&lt;0),"negativer Bestand (Export "&amp;BN849&amp;"); ","")&amp;IF(J849&lt;=0,"Kein Verbrauch; ","")&amp;IF(CL849&gt;0,"Lift "&amp;W849&amp;" lt. Liftbericht (Fach "&amp;X849&amp;" Stk); ",IF(BX849=1,"Gebinde geschätzt ("&amp;T849&amp;"); ",IF(BW849=1,"Lose – Tablare geschätzt; ","")))&amp;IF(H849&gt;AT849,"Überbestand "&amp;ROUND(H849-AT849,0)&amp;" Stk / CHF "&amp;ROUND((H849-AT849)*G849,0)&amp;"; ","")&amp;IF(AND(CE849=1,CF849&lt;CG849),"MAX &lt; MB+LG; ","")&amp;IF(AND(CK849&gt;0,CJ849*10&gt;CK849),"zu hoch für Tablar; ","")&amp;IF(AND(BS849=0,OR(CE849=1,AA849&lt;&gt;"",U849&lt;&gt;"",V849&lt;&gt;"",AB849&lt;&gt;"")),"manuell übersteuert; ","")&amp;IF(AND(BW849=0,R849=0),"Gebinde unbekannt / Stellmass fehlt; ","")&amp;IF(AND(BW849=0,N(V849)&lt;=0,N(Q849)&lt;=0),"Menge pro Gebinde fehlt (Ist = 1 Gebinde); ","")&amp;BR849)</f>
        <v/>
      </c>
      <c r="BK849" s="48"/>
      <c r="BL849" s="48"/>
      <c r="BM849" s="55"/>
      <c r="BN849" s="50" t="n">
        <v>0</v>
      </c>
      <c r="BO849" s="50" t="n">
        <v>29</v>
      </c>
      <c r="BP849" s="49" t="n">
        <v>-15.9500000000002</v>
      </c>
      <c r="BQ849" s="50" t="n">
        <v>54</v>
      </c>
      <c r="BR849" s="48"/>
      <c r="BS849" s="53" t="n">
        <v>0</v>
      </c>
      <c r="BT849" s="53" t="n">
        <v>849</v>
      </c>
      <c r="BU849" s="48" t="str">
        <f aca="false">IF(U849&lt;&gt;"",UPPER(TRIM(U849)),IF(BX849=1,UPPER(VLOOKUP(T849,Parameter!$I$27:$K$29,2,0)),IF(P849="","LOSE",P849)))</f>
        <v>S32</v>
      </c>
      <c r="BV849" s="50" t="n">
        <f aca="false">IF(BU849="LOSE",1,IF(N(V849)&gt;0,V849,IF(BX849=1,MAX(1,N(VLOOKUP(T849,Parameter!$I$27:$K$29,3,0)),H849,N(N849)),IF(N(Q849)&gt;0,Q849,MAX(1,H849)))))</f>
        <v>46</v>
      </c>
      <c r="BW849" s="53" t="n">
        <f aca="false">IF(BU849="LOSE",1,0)</f>
        <v>0</v>
      </c>
      <c r="BX849" s="53" t="n">
        <f aca="false">IF(AND(U849="",OR(P849="",P849="LOSE"),T849&lt;&gt;"",N(S849)&lt;=0,ISNUMBER(MATCH(T849,Parameter!$I$27:$I$29,0))),1,0)</f>
        <v>0</v>
      </c>
      <c r="BY849" s="53" t="n">
        <f aca="false">IF(CL849&gt;0,INDEX(Parameter!$H$5:$H$7,W849)/INDEX(Parameter!$E$5:$E$7,W849),IF(AND(BW849=0,N(IFERROR(VLOOKUP(BU849,'Gebinde-Kategorie'!$A$5:$N$45,14,0),0))&gt;0),VLOOKUP(BU849,'Gebinde-Kategorie'!$A$5:$N$45,14,0)*10+Parameter!$M$23,Parameter!$M$24))</f>
        <v>155</v>
      </c>
      <c r="BZ849" s="48" t="str">
        <f aca="false">IF(AND(Parameter!$B$19="Ja",E849&lt;&gt;"",ISNUMBER(MATCH(E849,Parameter!$I$35:$I$52,0))),VLOOKUP(E849,Parameter!$I$35:$J$52,2,0),IFERROR(VLOOKUP(D849,Parameter!$A$35:$C$64,2,0),"Nein"))</f>
        <v>2+3</v>
      </c>
      <c r="CA849" s="52" t="n">
        <f aca="false">IF(BW849=0,0,IF(N(S849)&gt;0,S849,IFERROR(VLOOKUP(D849,Parameter!$A$35:$C$64,3,0)+0,0)))</f>
        <v>0</v>
      </c>
      <c r="CB849" s="48" t="n">
        <f aca="false">IF(AA849&lt;&gt;"",AA849,Z849)</f>
        <v>3</v>
      </c>
      <c r="CC849" s="48" t="str">
        <f aca="false">IF(OR(CB849=1,CB849=2,CB849=3),IF(Parameter!$E$27="Ja","LIFT",IF(CB849=1,"L1","L23")),IF(CB849="Aussen","Aussen","-"))</f>
        <v>LIFT</v>
      </c>
      <c r="CD849" s="59" t="n">
        <f aca="false">IF(N(AB849)&gt;0,AB849,0)</f>
        <v>0</v>
      </c>
      <c r="CE849" s="53" t="n">
        <f aca="false">IF(ISNUMBER(AE849),1,0)</f>
        <v>0</v>
      </c>
      <c r="CF849" s="50" t="n">
        <f aca="false">N(AE849)</f>
        <v>0</v>
      </c>
      <c r="CG849" s="50" t="n">
        <f aca="false">N(M849)+N(N849)</f>
        <v>57</v>
      </c>
      <c r="CH849" s="50" t="n">
        <f aca="false">ROUNDUP(H849/BV849,0)</f>
        <v>1</v>
      </c>
      <c r="CI849" s="50" t="n">
        <f aca="false">ROUNDUP(CF849/BV849,0)</f>
        <v>0</v>
      </c>
      <c r="CJ849" s="53" t="n">
        <f aca="false">IF(BW849=1,0,IFERROR(VLOOKUP(BU849,'Gebinde-Kategorie'!$A$5:$N$45,5,0)+0,0))</f>
        <v>8</v>
      </c>
      <c r="CK849" s="53" t="n">
        <f aca="false">IFERROR(IF(OR(CB849=1,CB849=2,CB849=3),N(INDEX(Parameter!$I$5:$I$7,CB849)),0),0)</f>
        <v>0</v>
      </c>
      <c r="CL849" s="52" t="n">
        <f aca="false">IF(AND(Parameter!$B$21="Ja",ISNUMBER(W849),N(X849)&gt;0),IFERROR(N(INDEX(Parameter!$L$5:$L$7,W849))*INDEX(Parameter!$E$5:$E$7,W849)*X849/SUMIFS($X$7:$X$1843,$W$7:$W$1843,W849),0),0)</f>
        <v>0</v>
      </c>
    </row>
    <row r="850" customFormat="false" ht="15" hidden="false" customHeight="false" outlineLevel="0" collapsed="false">
      <c r="A850" s="48" t="s">
        <v>1626</v>
      </c>
      <c r="B850" s="48" t="s">
        <v>409</v>
      </c>
      <c r="C850" s="48" t="s">
        <v>168</v>
      </c>
      <c r="D850" s="48" t="s">
        <v>188</v>
      </c>
      <c r="E850" s="48" t="s">
        <v>189</v>
      </c>
      <c r="F850" s="48" t="s">
        <v>222</v>
      </c>
      <c r="G850" s="49" t="n">
        <v>0.64</v>
      </c>
      <c r="H850" s="50" t="n">
        <f aca="false">MAX(0,IF(AND(Parameter!$B$21="Ja",ISNUMBER(Y850)),Y850,IF(Parameter!$B$20="Jahresanfang 2025 + Export",BO850+BN850,BN850)))</f>
        <v>83</v>
      </c>
      <c r="I850" s="50" t="n">
        <f aca="false">H850*G850</f>
        <v>53.12</v>
      </c>
      <c r="J850" s="50" t="n">
        <f aca="false">BQ850*Parameter!$B$18</f>
        <v>254</v>
      </c>
      <c r="K850" s="51" t="n">
        <v>86.5</v>
      </c>
      <c r="L850" s="52" t="n">
        <v>2.9364161849711</v>
      </c>
      <c r="M850" s="50" t="n">
        <v>14</v>
      </c>
      <c r="N850" s="50" t="n">
        <v>255</v>
      </c>
      <c r="O850" s="53" t="n">
        <v>21</v>
      </c>
      <c r="P850" s="48" t="s">
        <v>306</v>
      </c>
      <c r="Q850" s="50" t="n">
        <v>126</v>
      </c>
      <c r="R850" s="53" t="n">
        <f aca="false">IF(BW850=1,0,IFERROR(VLOOKUP(BU850,'Gebinde-Kategorie'!$A$5:$N$45,13,0)+0,0))</f>
        <v>26</v>
      </c>
      <c r="S850" s="54"/>
      <c r="T850" s="55"/>
      <c r="U850" s="55"/>
      <c r="V850" s="55"/>
      <c r="W850" s="48"/>
      <c r="X850" s="50"/>
      <c r="Y850" s="50"/>
      <c r="Z850" s="48" t="n">
        <f aca="false">IF(A850="","",IF(AND(Parameter!$B$21="Ja",ISNUMBER(W850)),W850,IF(BZ850="2+3",IF(ISNUMBER(SEARCH("grosser Artikel",BR850)),2,IFERROR(VLOOKUP(BU850,Parameter!$F$35:$G$64,2,0),2)),IF(OR(BZ850="Nein",BZ850=""),"-",BZ850))))</f>
        <v>3</v>
      </c>
      <c r="AA850" s="55"/>
      <c r="AB850" s="56"/>
      <c r="AC850" s="50" t="n">
        <f aca="false">AT850</f>
        <v>378</v>
      </c>
      <c r="AD850" s="50" t="n">
        <f aca="false">MAX(AT850,H850)</f>
        <v>378</v>
      </c>
      <c r="AE850" s="57"/>
      <c r="AF850" s="50" t="n">
        <f aca="false">IF(LEFT(Cockpit!$C$5,1)="A",H850,IF(CE850=1,CF850,IF(LEFT(Cockpit!$C$5,1)="B",AK850,MAX(AK850,H850))))</f>
        <v>83</v>
      </c>
      <c r="AG850" s="50" t="n">
        <f aca="false">IF(BW850=1,0,ROUNDUP(AF850/BV850,0))</f>
        <v>1</v>
      </c>
      <c r="AH850" s="52" t="n">
        <f aca="false">IF(CL850&gt;0,CL850*MAX(1,AF850/X850),IF(BW850=1,IF(AF850&lt;=0,0,CA850*MAX(1,IF(H850&gt;0,AF850/H850,1))),IF(R850&gt;0,AG850/R850,0))/MAX(0.1,N(Parameter!$M$21)))</f>
        <v>0.0384615384615385</v>
      </c>
      <c r="AI850" s="50" t="n">
        <f aca="false">AH850*BY850</f>
        <v>5.96153846153846</v>
      </c>
      <c r="AJ850" s="50" t="n">
        <f aca="false">AF850*G850</f>
        <v>53.12</v>
      </c>
      <c r="AK850" s="50" t="n">
        <f aca="false">ROUNDUP(MAX(J850/IF(CD850&gt;0,CD850,MAX(0.1,N(Cockpit!$C$6))),CG850)/BV850,0)*BV850</f>
        <v>378</v>
      </c>
      <c r="AL850" s="51" t="n">
        <f aca="false">IF(AI850&gt;0,J850/AI850,-1)</f>
        <v>42.6064516129032</v>
      </c>
      <c r="AM850" s="51" t="n">
        <f aca="false">IF(AND(OR(CC850="L1",CC850="L23",CC850="LIFT"),AI850&gt;0),SUMIFS($AI$7:$AI$1843,$CC$7:$CC$1843,CC850,$AL$7:$AL$1843,"&gt;"&amp;AL850)+SUMIFS($AI$7:$AI$1843,$CC$7:$CC$1843,CC850,$AL$7:$AL$1843,AL850,$BT$7:$BT$1843,"&lt;="&amp;BT850),"")</f>
        <v>1181.51923076923</v>
      </c>
      <c r="AN850" s="58" t="n">
        <f aca="false">IF(AM850="",0,MAX(0,MIN(1,(IF(CC850="L1",Parameter!$H$5,IF(CC850="L23",Parameter!$H$6+Parameter!$H$7,Parameter!$H$5+Parameter!$H$6+Parameter!$H$7))-(AM850-AI850))/AI850)))</f>
        <v>1</v>
      </c>
      <c r="AO850" s="50" t="n">
        <f aca="false">IF(LEFT(Cockpit!$I$5,1)="A",H850,IF(CE850=1,CF850,IF(LEFT(Cockpit!$I$5,1)="B",AT850,MAX(AT850,H850))))</f>
        <v>378</v>
      </c>
      <c r="AP850" s="50" t="n">
        <f aca="false">IF(BW850=1,0,ROUNDUP(AO850/BV850,0))</f>
        <v>3</v>
      </c>
      <c r="AQ850" s="52" t="n">
        <f aca="false">IF(CL850&gt;0,CL850*MAX(1,AO850/X850),IF(BW850=1,IF(AO850&lt;=0,0,CA850*MAX(1,IF(H850&gt;0,AO850/H850,1))),IF(R850&gt;0,AP850/R850,0))/MAX(0.1,N(Parameter!$M$21)))</f>
        <v>0.115384615384615</v>
      </c>
      <c r="AR850" s="50" t="n">
        <f aca="false">AQ850*BY850</f>
        <v>17.8846153846154</v>
      </c>
      <c r="AS850" s="50" t="n">
        <f aca="false">AO850*G850</f>
        <v>241.92</v>
      </c>
      <c r="AT850" s="50" t="n">
        <f aca="false">ROUNDUP(MAX(J850/IF(CD850&gt;0,CD850,MAX(0.1,N(Cockpit!$I$6))),CG850)/BV850,0)*BV850</f>
        <v>378</v>
      </c>
      <c r="AU850" s="51" t="n">
        <f aca="false">IF(AR850&gt;0,J850/AR850,-1)</f>
        <v>14.2021505376344</v>
      </c>
      <c r="AV850" s="51" t="n">
        <f aca="false">IF(AND(OR(CC850="L1",CC850="L23",CC850="LIFT"),AR850&gt;0),SUMIFS($AR$7:$AR$1843,$CC$7:$CC$1843,CC850,$AU$7:$AU$1843,"&gt;"&amp;AU850)+SUMIFS($AR$7:$AR$1843,$CC$7:$CC$1843,CC850,$AU$7:$AU$1843,AU850,$BT$7:$BT$1843,"&lt;="&amp;BT850),"")</f>
        <v>3318.92078754579</v>
      </c>
      <c r="AW850" s="58" t="n">
        <f aca="false">IF(AV850="",0,MAX(0,MIN(1,(IF(CC850="L1",Parameter!$H$5,IF(CC850="L23",Parameter!$H$6+Parameter!$H$7,Parameter!$H$5+Parameter!$H$6+Parameter!$H$7))-(AV850-AR850))/AR850)))</f>
        <v>1</v>
      </c>
      <c r="AX850" s="50" t="n">
        <f aca="false">IF(LEFT(Cockpit!$O$5,1)="A",H850,IF(CE850=1,CF850,IF(LEFT(Cockpit!$O$5,1)="B",BC850,MAX(BC850,H850))))</f>
        <v>378</v>
      </c>
      <c r="AY850" s="50" t="n">
        <f aca="false">IF(BW850=1,0,ROUNDUP(AX850/BV850,0))</f>
        <v>3</v>
      </c>
      <c r="AZ850" s="52" t="n">
        <f aca="false">IF(CL850&gt;0,CL850*MAX(1,AX850/X850),IF(BW850=1,IF(AX850&lt;=0,0,CA850*MAX(1,IF(H850&gt;0,AX850/H850,1))),IF(R850&gt;0,AY850/R850,0))/MAX(0.1,N(Parameter!$M$21)))</f>
        <v>0.115384615384615</v>
      </c>
      <c r="BA850" s="50" t="n">
        <f aca="false">AZ850*BY850</f>
        <v>17.8846153846154</v>
      </c>
      <c r="BB850" s="50" t="n">
        <f aca="false">AX850*G850</f>
        <v>241.92</v>
      </c>
      <c r="BC850" s="50" t="n">
        <f aca="false">ROUNDUP(MAX(J850/IF(CD850&gt;0,CD850,MAX(0.1,N(Cockpit!$O$6))),CG850)/BV850,0)*BV850</f>
        <v>378</v>
      </c>
      <c r="BD850" s="51" t="n">
        <f aca="false">IF(BA850&gt;0,J850/BA850,-1)</f>
        <v>14.2021505376344</v>
      </c>
      <c r="BE850" s="51" t="n">
        <f aca="false">IF(AND(OR(CC850="L1",CC850="L23",CC850="LIFT"),BA850&gt;0),SUMIFS($BA$7:$BA$1843,$CC$7:$CC$1843,CC850,$BD$7:$BD$1843,"&gt;"&amp;BD850)+SUMIFS($BA$7:$BA$1843,$CC$7:$CC$1843,CC850,$BD$7:$BD$1843,BD850,$BT$7:$BT$1843,"&lt;="&amp;BT850),"")</f>
        <v>2993.35989010989</v>
      </c>
      <c r="BF850" s="58" t="n">
        <f aca="false">IF(BE850="",0,MAX(0,MIN(1,(IF(CC850="L1",Parameter!$H$5,IF(CC850="L23",Parameter!$H$6+Parameter!$H$7,Parameter!$H$5+Parameter!$H$6+Parameter!$H$7))-(BE850-BA850))/BA850)))</f>
        <v>1</v>
      </c>
      <c r="BG850" s="48" t="str">
        <f aca="false">IF(AI850&lt;=0,"",IF(CC850="Aussen","Aussenlager",IF(CC850="-","Nicht im Lift",IF(AN850&gt;=1,"Lift",IF(AN850&lt;=0,"Aussenlager","teilweise")))))</f>
        <v>Lift</v>
      </c>
      <c r="BH850" s="48" t="str">
        <f aca="false">IF(AR850&lt;=0,"",IF(CC850="Aussen","Aussenlager",IF(CC850="-","Nicht im Lift",IF(AW850&gt;=1,"Lift",IF(AW850&lt;=0,"Aussenlager","teilweise")))))</f>
        <v>Lift</v>
      </c>
      <c r="BI850" s="48" t="str">
        <f aca="false">IF(BA850&lt;=0,"",IF(CC850="Aussen","Aussenlager",IF(CC850="-","Nicht im Lift",IF(BF850&gt;=1,"Lift",IF(BF850&lt;=0,"Aussenlager","teilweise")))))</f>
        <v>Lift</v>
      </c>
      <c r="BJ850" s="48" t="str">
        <f aca="false">IF(A850="","",IF(BS850=1,"Neu; ","")&amp;IF(AND(BS850=0,BN850&lt;0),"negativer Bestand (Export "&amp;BN850&amp;"); ","")&amp;IF(J850&lt;=0,"Kein Verbrauch; ","")&amp;IF(CL850&gt;0,"Lift "&amp;W850&amp;" lt. Liftbericht (Fach "&amp;X850&amp;" Stk); ",IF(BX850=1,"Gebinde geschätzt ("&amp;T850&amp;"); ",IF(BW850=1,"Lose – Tablare geschätzt; ","")))&amp;IF(H850&gt;AT850,"Überbestand "&amp;ROUND(H850-AT850,0)&amp;" Stk / CHF "&amp;ROUND((H850-AT850)*G850,0)&amp;"; ","")&amp;IF(AND(CE850=1,CF850&lt;CG850),"MAX &lt; MB+LG; ","")&amp;IF(AND(CK850&gt;0,CJ850*10&gt;CK850),"zu hoch für Tablar; ","")&amp;IF(AND(BS850=0,OR(CE850=1,AA850&lt;&gt;"",U850&lt;&gt;"",V850&lt;&gt;"",AB850&lt;&gt;"")),"manuell übersteuert; ","")&amp;IF(AND(BW850=0,R850=0),"Gebinde unbekannt / Stellmass fehlt; ","")&amp;IF(AND(BW850=0,N(V850)&lt;=0,N(Q850)&lt;=0),"Menge pro Gebinde fehlt (Ist = 1 Gebinde); ","")&amp;BR850)</f>
        <v>negativer Bestand (Export -37); </v>
      </c>
      <c r="BK850" s="48"/>
      <c r="BL850" s="48"/>
      <c r="BM850" s="55"/>
      <c r="BN850" s="50" t="n">
        <v>-37</v>
      </c>
      <c r="BO850" s="50" t="n">
        <v>120</v>
      </c>
      <c r="BP850" s="49" t="n">
        <v>-16.48</v>
      </c>
      <c r="BQ850" s="50" t="n">
        <v>254</v>
      </c>
      <c r="BR850" s="48"/>
      <c r="BS850" s="53" t="n">
        <v>0</v>
      </c>
      <c r="BT850" s="53" t="n">
        <v>850</v>
      </c>
      <c r="BU850" s="48" t="str">
        <f aca="false">IF(U850&lt;&gt;"",UPPER(TRIM(U850)),IF(BX850=1,UPPER(VLOOKUP(T850,Parameter!$I$27:$K$29,2,0)),IF(P850="","LOSE",P850)))</f>
        <v>S51</v>
      </c>
      <c r="BV850" s="50" t="n">
        <f aca="false">IF(BU850="LOSE",1,IF(N(V850)&gt;0,V850,IF(BX850=1,MAX(1,N(VLOOKUP(T850,Parameter!$I$27:$K$29,3,0)),H850,N(N850)),IF(N(Q850)&gt;0,Q850,MAX(1,H850)))))</f>
        <v>126</v>
      </c>
      <c r="BW850" s="53" t="n">
        <f aca="false">IF(BU850="LOSE",1,0)</f>
        <v>0</v>
      </c>
      <c r="BX850" s="53" t="n">
        <f aca="false">IF(AND(U850="",OR(P850="",P850="LOSE"),T850&lt;&gt;"",N(S850)&lt;=0,ISNUMBER(MATCH(T850,Parameter!$I$27:$I$29,0))),1,0)</f>
        <v>0</v>
      </c>
      <c r="BY850" s="53" t="n">
        <f aca="false">IF(CL850&gt;0,INDEX(Parameter!$H$5:$H$7,W850)/INDEX(Parameter!$E$5:$E$7,W850),IF(AND(BW850=0,N(IFERROR(VLOOKUP(BU850,'Gebinde-Kategorie'!$A$5:$N$45,14,0),0))&gt;0),VLOOKUP(BU850,'Gebinde-Kategorie'!$A$5:$N$45,14,0)*10+Parameter!$M$23,Parameter!$M$24))</f>
        <v>155</v>
      </c>
      <c r="BZ850" s="48" t="str">
        <f aca="false">IF(AND(Parameter!$B$19="Ja",E850&lt;&gt;"",ISNUMBER(MATCH(E850,Parameter!$I$35:$I$52,0))),VLOOKUP(E850,Parameter!$I$35:$J$52,2,0),IFERROR(VLOOKUP(D850,Parameter!$A$35:$C$64,2,0),"Nein"))</f>
        <v>2+3</v>
      </c>
      <c r="CA850" s="52" t="n">
        <f aca="false">IF(BW850=0,0,IF(N(S850)&gt;0,S850,IFERROR(VLOOKUP(D850,Parameter!$A$35:$C$64,3,0)+0,0)))</f>
        <v>0</v>
      </c>
      <c r="CB850" s="48" t="n">
        <f aca="false">IF(AA850&lt;&gt;"",AA850,Z850)</f>
        <v>3</v>
      </c>
      <c r="CC850" s="48" t="str">
        <f aca="false">IF(OR(CB850=1,CB850=2,CB850=3),IF(Parameter!$E$27="Ja","LIFT",IF(CB850=1,"L1","L23")),IF(CB850="Aussen","Aussen","-"))</f>
        <v>LIFT</v>
      </c>
      <c r="CD850" s="59" t="n">
        <f aca="false">IF(N(AB850)&gt;0,AB850,0)</f>
        <v>0</v>
      </c>
      <c r="CE850" s="53" t="n">
        <f aca="false">IF(ISNUMBER(AE850),1,0)</f>
        <v>0</v>
      </c>
      <c r="CF850" s="50" t="n">
        <f aca="false">N(AE850)</f>
        <v>0</v>
      </c>
      <c r="CG850" s="50" t="n">
        <f aca="false">N(M850)+N(N850)</f>
        <v>269</v>
      </c>
      <c r="CH850" s="50" t="n">
        <f aca="false">ROUNDUP(H850/BV850,0)</f>
        <v>1</v>
      </c>
      <c r="CI850" s="50" t="n">
        <f aca="false">ROUNDUP(CF850/BV850,0)</f>
        <v>0</v>
      </c>
      <c r="CJ850" s="53" t="n">
        <f aca="false">IF(BW850=1,0,IFERROR(VLOOKUP(BU850,'Gebinde-Kategorie'!$A$5:$N$45,5,0)+0,0))</f>
        <v>11</v>
      </c>
      <c r="CK850" s="53" t="n">
        <f aca="false">IFERROR(IF(OR(CB850=1,CB850=2,CB850=3),N(INDEX(Parameter!$I$5:$I$7,CB850)),0),0)</f>
        <v>0</v>
      </c>
      <c r="CL850" s="52" t="n">
        <f aca="false">IF(AND(Parameter!$B$21="Ja",ISNUMBER(W850),N(X850)&gt;0),IFERROR(N(INDEX(Parameter!$L$5:$L$7,W850))*INDEX(Parameter!$E$5:$E$7,W850)*X850/SUMIFS($X$7:$X$1843,$W$7:$W$1843,W850),0),0)</f>
        <v>0</v>
      </c>
    </row>
    <row r="851" customFormat="false" ht="15" hidden="false" customHeight="false" outlineLevel="0" collapsed="false">
      <c r="A851" s="48" t="s">
        <v>1627</v>
      </c>
      <c r="B851" s="48" t="s">
        <v>1628</v>
      </c>
      <c r="C851" s="48" t="s">
        <v>168</v>
      </c>
      <c r="D851" s="48" t="s">
        <v>188</v>
      </c>
      <c r="E851" s="48" t="s">
        <v>189</v>
      </c>
      <c r="F851" s="48" t="s">
        <v>222</v>
      </c>
      <c r="G851" s="49" t="n">
        <v>0.03</v>
      </c>
      <c r="H851" s="50" t="n">
        <f aca="false">MAX(0,IF(AND(Parameter!$B$21="Ja",ISNUMBER(Y851)),Y851,IF(Parameter!$B$20="Jahresanfang 2025 + Export",BO851+BN851,BN851)))</f>
        <v>350</v>
      </c>
      <c r="I851" s="50" t="n">
        <f aca="false">H851*G851</f>
        <v>10.5</v>
      </c>
      <c r="J851" s="50" t="n">
        <f aca="false">BQ851*Parameter!$B$18</f>
        <v>150</v>
      </c>
      <c r="K851" s="51" t="n">
        <v>800</v>
      </c>
      <c r="L851" s="52" t="n">
        <v>0.1875</v>
      </c>
      <c r="M851" s="50" t="n">
        <v>5</v>
      </c>
      <c r="N851" s="50" t="n">
        <v>150</v>
      </c>
      <c r="O851" s="53" t="n">
        <v>14</v>
      </c>
      <c r="P851" s="48" t="s">
        <v>405</v>
      </c>
      <c r="Q851" s="50" t="n">
        <v>500</v>
      </c>
      <c r="R851" s="53" t="n">
        <f aca="false">IF(BW851=1,0,IFERROR(VLOOKUP(BU851,'Gebinde-Kategorie'!$A$5:$N$45,13,0)+0,0))</f>
        <v>280</v>
      </c>
      <c r="S851" s="54"/>
      <c r="T851" s="55"/>
      <c r="U851" s="55"/>
      <c r="V851" s="55"/>
      <c r="W851" s="48"/>
      <c r="X851" s="50"/>
      <c r="Y851" s="50"/>
      <c r="Z851" s="48" t="n">
        <f aca="false">IF(A851="","",IF(AND(Parameter!$B$21="Ja",ISNUMBER(W851)),W851,IF(BZ851="2+3",IF(ISNUMBER(SEARCH("grosser Artikel",BR851)),2,IFERROR(VLOOKUP(BU851,Parameter!$F$35:$G$64,2,0),2)),IF(OR(BZ851="Nein",BZ851=""),"-",BZ851))))</f>
        <v>3</v>
      </c>
      <c r="AA851" s="55"/>
      <c r="AB851" s="56"/>
      <c r="AC851" s="50" t="n">
        <f aca="false">AT851</f>
        <v>500</v>
      </c>
      <c r="AD851" s="50" t="n">
        <f aca="false">MAX(AT851,H851)</f>
        <v>500</v>
      </c>
      <c r="AE851" s="57"/>
      <c r="AF851" s="50" t="n">
        <f aca="false">IF(LEFT(Cockpit!$C$5,1)="A",H851,IF(CE851=1,CF851,IF(LEFT(Cockpit!$C$5,1)="B",AK851,MAX(AK851,H851))))</f>
        <v>350</v>
      </c>
      <c r="AG851" s="50" t="n">
        <f aca="false">IF(BW851=1,0,ROUNDUP(AF851/BV851,0))</f>
        <v>1</v>
      </c>
      <c r="AH851" s="52" t="n">
        <f aca="false">IF(CL851&gt;0,CL851*MAX(1,AF851/X851),IF(BW851=1,IF(AF851&lt;=0,0,CA851*MAX(1,IF(H851&gt;0,AF851/H851,1))),IF(R851&gt;0,AG851/R851,0))/MAX(0.1,N(Parameter!$M$21)))</f>
        <v>0.00357142857142857</v>
      </c>
      <c r="AI851" s="50" t="n">
        <f aca="false">AH851*BY851</f>
        <v>0.553571428571429</v>
      </c>
      <c r="AJ851" s="50" t="n">
        <f aca="false">AF851*G851</f>
        <v>10.5</v>
      </c>
      <c r="AK851" s="50" t="n">
        <f aca="false">ROUNDUP(MAX(J851/IF(CD851&gt;0,CD851,MAX(0.1,N(Cockpit!$C$6))),CG851)/BV851,0)*BV851</f>
        <v>500</v>
      </c>
      <c r="AL851" s="51" t="n">
        <f aca="false">IF(AI851&gt;0,J851/AI851,-1)</f>
        <v>270.967741935484</v>
      </c>
      <c r="AM851" s="51" t="n">
        <f aca="false">IF(AND(OR(CC851="L1",CC851="L23",CC851="LIFT"),AI851&gt;0),SUMIFS($AI$7:$AI$1843,$CC$7:$CC$1843,CC851,$AL$7:$AL$1843,"&gt;"&amp;AL851)+SUMIFS($AI$7:$AI$1843,$CC$7:$CC$1843,CC851,$AL$7:$AL$1843,AL851,$BT$7:$BT$1843,"&lt;="&amp;BT851),"")</f>
        <v>273.124084249084</v>
      </c>
      <c r="AN851" s="58" t="n">
        <f aca="false">IF(AM851="",0,MAX(0,MIN(1,(IF(CC851="L1",Parameter!$H$5,IF(CC851="L23",Parameter!$H$6+Parameter!$H$7,Parameter!$H$5+Parameter!$H$6+Parameter!$H$7))-(AM851-AI851))/AI851)))</f>
        <v>1</v>
      </c>
      <c r="AO851" s="50" t="n">
        <f aca="false">IF(LEFT(Cockpit!$I$5,1)="A",H851,IF(CE851=1,CF851,IF(LEFT(Cockpit!$I$5,1)="B",AT851,MAX(AT851,H851))))</f>
        <v>500</v>
      </c>
      <c r="AP851" s="50" t="n">
        <f aca="false">IF(BW851=1,0,ROUNDUP(AO851/BV851,0))</f>
        <v>1</v>
      </c>
      <c r="AQ851" s="52" t="n">
        <f aca="false">IF(CL851&gt;0,CL851*MAX(1,AO851/X851),IF(BW851=1,IF(AO851&lt;=0,0,CA851*MAX(1,IF(H851&gt;0,AO851/H851,1))),IF(R851&gt;0,AP851/R851,0))/MAX(0.1,N(Parameter!$M$21)))</f>
        <v>0.00357142857142857</v>
      </c>
      <c r="AR851" s="50" t="n">
        <f aca="false">AQ851*BY851</f>
        <v>0.553571428571429</v>
      </c>
      <c r="AS851" s="50" t="n">
        <f aca="false">AO851*G851</f>
        <v>15</v>
      </c>
      <c r="AT851" s="50" t="n">
        <f aca="false">ROUNDUP(MAX(J851/IF(CD851&gt;0,CD851,MAX(0.1,N(Cockpit!$I$6))),CG851)/BV851,0)*BV851</f>
        <v>500</v>
      </c>
      <c r="AU851" s="51" t="n">
        <f aca="false">IF(AR851&gt;0,J851/AR851,-1)</f>
        <v>270.967741935484</v>
      </c>
      <c r="AV851" s="51" t="n">
        <f aca="false">IF(AND(OR(CC851="L1",CC851="L23",CC851="LIFT"),AR851&gt;0),SUMIFS($AR$7:$AR$1843,$CC$7:$CC$1843,CC851,$AU$7:$AU$1843,"&gt;"&amp;AU851)+SUMIFS($AR$7:$AR$1843,$CC$7:$CC$1843,CC851,$AU$7:$AU$1843,AU851,$BT$7:$BT$1843,"&lt;="&amp;BT851),"")</f>
        <v>199.717948717949</v>
      </c>
      <c r="AW851" s="58" t="n">
        <f aca="false">IF(AV851="",0,MAX(0,MIN(1,(IF(CC851="L1",Parameter!$H$5,IF(CC851="L23",Parameter!$H$6+Parameter!$H$7,Parameter!$H$5+Parameter!$H$6+Parameter!$H$7))-(AV851-AR851))/AR851)))</f>
        <v>1</v>
      </c>
      <c r="AX851" s="50" t="n">
        <f aca="false">IF(LEFT(Cockpit!$O$5,1)="A",H851,IF(CE851=1,CF851,IF(LEFT(Cockpit!$O$5,1)="B",BC851,MAX(BC851,H851))))</f>
        <v>500</v>
      </c>
      <c r="AY851" s="50" t="n">
        <f aca="false">IF(BW851=1,0,ROUNDUP(AX851/BV851,0))</f>
        <v>1</v>
      </c>
      <c r="AZ851" s="52" t="n">
        <f aca="false">IF(CL851&gt;0,CL851*MAX(1,AX851/X851),IF(BW851=1,IF(AX851&lt;=0,0,CA851*MAX(1,IF(H851&gt;0,AX851/H851,1))),IF(R851&gt;0,AY851/R851,0))/MAX(0.1,N(Parameter!$M$21)))</f>
        <v>0.00357142857142857</v>
      </c>
      <c r="BA851" s="50" t="n">
        <f aca="false">AZ851*BY851</f>
        <v>0.553571428571429</v>
      </c>
      <c r="BB851" s="50" t="n">
        <f aca="false">AX851*G851</f>
        <v>15</v>
      </c>
      <c r="BC851" s="50" t="n">
        <f aca="false">ROUNDUP(MAX(J851/IF(CD851&gt;0,CD851,MAX(0.1,N(Cockpit!$O$6))),CG851)/BV851,0)*BV851</f>
        <v>500</v>
      </c>
      <c r="BD851" s="51" t="n">
        <f aca="false">IF(BA851&gt;0,J851/BA851,-1)</f>
        <v>270.967741935484</v>
      </c>
      <c r="BE851" s="51" t="n">
        <f aca="false">IF(AND(OR(CC851="L1",CC851="L23",CC851="LIFT"),BA851&gt;0),SUMIFS($BA$7:$BA$1843,$CC$7:$CC$1843,CC851,$BD$7:$BD$1843,"&gt;"&amp;BD851)+SUMIFS($BA$7:$BA$1843,$CC$7:$CC$1843,CC851,$BD$7:$BD$1843,BD851,$BT$7:$BT$1843,"&lt;="&amp;BT851),"")</f>
        <v>212.602564102564</v>
      </c>
      <c r="BF851" s="58" t="n">
        <f aca="false">IF(BE851="",0,MAX(0,MIN(1,(IF(CC851="L1",Parameter!$H$5,IF(CC851="L23",Parameter!$H$6+Parameter!$H$7,Parameter!$H$5+Parameter!$H$6+Parameter!$H$7))-(BE851-BA851))/BA851)))</f>
        <v>1</v>
      </c>
      <c r="BG851" s="48" t="str">
        <f aca="false">IF(AI851&lt;=0,"",IF(CC851="Aussen","Aussenlager",IF(CC851="-","Nicht im Lift",IF(AN851&gt;=1,"Lift",IF(AN851&lt;=0,"Aussenlager","teilweise")))))</f>
        <v>Lift</v>
      </c>
      <c r="BH851" s="48" t="str">
        <f aca="false">IF(AR851&lt;=0,"",IF(CC851="Aussen","Aussenlager",IF(CC851="-","Nicht im Lift",IF(AW851&gt;=1,"Lift",IF(AW851&lt;=0,"Aussenlager","teilweise")))))</f>
        <v>Lift</v>
      </c>
      <c r="BI851" s="48" t="str">
        <f aca="false">IF(BA851&lt;=0,"",IF(CC851="Aussen","Aussenlager",IF(CC851="-","Nicht im Lift",IF(BF851&gt;=1,"Lift",IF(BF851&lt;=0,"Aussenlager","teilweise")))))</f>
        <v>Lift</v>
      </c>
      <c r="BJ851" s="48" t="str">
        <f aca="false">IF(A851="","",IF(BS851=1,"Neu; ","")&amp;IF(AND(BS851=0,BN851&lt;0),"negativer Bestand (Export "&amp;BN851&amp;"); ","")&amp;IF(J851&lt;=0,"Kein Verbrauch; ","")&amp;IF(CL851&gt;0,"Lift "&amp;W851&amp;" lt. Liftbericht (Fach "&amp;X851&amp;" Stk); ",IF(BX851=1,"Gebinde geschätzt ("&amp;T851&amp;"); ",IF(BW851=1,"Lose – Tablare geschätzt; ","")))&amp;IF(H851&gt;AT851,"Überbestand "&amp;ROUND(H851-AT851,0)&amp;" Stk / CHF "&amp;ROUND((H851-AT851)*G851,0)&amp;"; ","")&amp;IF(AND(CE851=1,CF851&lt;CG851),"MAX &lt; MB+LG; ","")&amp;IF(AND(CK851&gt;0,CJ851*10&gt;CK851),"zu hoch für Tablar; ","")&amp;IF(AND(BS851=0,OR(CE851=1,AA851&lt;&gt;"",U851&lt;&gt;"",V851&lt;&gt;"",AB851&lt;&gt;"")),"manuell übersteuert; ","")&amp;IF(AND(BW851=0,R851=0),"Gebinde unbekannt / Stellmass fehlt; ","")&amp;IF(AND(BW851=0,N(V851)&lt;=0,N(Q851)&lt;=0),"Menge pro Gebinde fehlt (Ist = 1 Gebinde); ","")&amp;BR851)</f>
        <v>negativer Bestand (Export -550); </v>
      </c>
      <c r="BK851" s="48"/>
      <c r="BL851" s="48"/>
      <c r="BM851" s="55"/>
      <c r="BN851" s="50" t="n">
        <v>-550</v>
      </c>
      <c r="BO851" s="50" t="n">
        <v>900</v>
      </c>
      <c r="BP851" s="49" t="n">
        <v>-16.5</v>
      </c>
      <c r="BQ851" s="50" t="n">
        <v>150</v>
      </c>
      <c r="BR851" s="48"/>
      <c r="BS851" s="53" t="n">
        <v>0</v>
      </c>
      <c r="BT851" s="53" t="n">
        <v>851</v>
      </c>
      <c r="BU851" s="48" t="str">
        <f aca="false">IF(U851&lt;&gt;"",UPPER(TRIM(U851)),IF(BX851=1,UPPER(VLOOKUP(T851,Parameter!$I$27:$K$29,2,0)),IF(P851="","LOSE",P851)))</f>
        <v>S21</v>
      </c>
      <c r="BV851" s="50" t="n">
        <f aca="false">IF(BU851="LOSE",1,IF(N(V851)&gt;0,V851,IF(BX851=1,MAX(1,N(VLOOKUP(T851,Parameter!$I$27:$K$29,3,0)),H851,N(N851)),IF(N(Q851)&gt;0,Q851,MAX(1,H851)))))</f>
        <v>500</v>
      </c>
      <c r="BW851" s="53" t="n">
        <f aca="false">IF(BU851="LOSE",1,0)</f>
        <v>0</v>
      </c>
      <c r="BX851" s="53" t="n">
        <f aca="false">IF(AND(U851="",OR(P851="",P851="LOSE"),T851&lt;&gt;"",N(S851)&lt;=0,ISNUMBER(MATCH(T851,Parameter!$I$27:$I$29,0))),1,0)</f>
        <v>0</v>
      </c>
      <c r="BY851" s="53" t="n">
        <f aca="false">IF(CL851&gt;0,INDEX(Parameter!$H$5:$H$7,W851)/INDEX(Parameter!$E$5:$E$7,W851),IF(AND(BW851=0,N(IFERROR(VLOOKUP(BU851,'Gebinde-Kategorie'!$A$5:$N$45,14,0),0))&gt;0),VLOOKUP(BU851,'Gebinde-Kategorie'!$A$5:$N$45,14,0)*10+Parameter!$M$23,Parameter!$M$24))</f>
        <v>155</v>
      </c>
      <c r="BZ851" s="48" t="str">
        <f aca="false">IF(AND(Parameter!$B$19="Ja",E851&lt;&gt;"",ISNUMBER(MATCH(E851,Parameter!$I$35:$I$52,0))),VLOOKUP(E851,Parameter!$I$35:$J$52,2,0),IFERROR(VLOOKUP(D851,Parameter!$A$35:$C$64,2,0),"Nein"))</f>
        <v>2+3</v>
      </c>
      <c r="CA851" s="52" t="n">
        <f aca="false">IF(BW851=0,0,IF(N(S851)&gt;0,S851,IFERROR(VLOOKUP(D851,Parameter!$A$35:$C$64,3,0)+0,0)))</f>
        <v>0</v>
      </c>
      <c r="CB851" s="48" t="n">
        <f aca="false">IF(AA851&lt;&gt;"",AA851,Z851)</f>
        <v>3</v>
      </c>
      <c r="CC851" s="48" t="str">
        <f aca="false">IF(OR(CB851=1,CB851=2,CB851=3),IF(Parameter!$E$27="Ja","LIFT",IF(CB851=1,"L1","L23")),IF(CB851="Aussen","Aussen","-"))</f>
        <v>LIFT</v>
      </c>
      <c r="CD851" s="59" t="n">
        <f aca="false">IF(N(AB851)&gt;0,AB851,0)</f>
        <v>0</v>
      </c>
      <c r="CE851" s="53" t="n">
        <f aca="false">IF(ISNUMBER(AE851),1,0)</f>
        <v>0</v>
      </c>
      <c r="CF851" s="50" t="n">
        <f aca="false">N(AE851)</f>
        <v>0</v>
      </c>
      <c r="CG851" s="50" t="n">
        <f aca="false">N(M851)+N(N851)</f>
        <v>155</v>
      </c>
      <c r="CH851" s="50" t="n">
        <f aca="false">ROUNDUP(H851/BV851,0)</f>
        <v>1</v>
      </c>
      <c r="CI851" s="50" t="n">
        <f aca="false">ROUNDUP(CF851/BV851,0)</f>
        <v>0</v>
      </c>
      <c r="CJ851" s="53" t="n">
        <f aca="false">IF(BW851=1,0,IFERROR(VLOOKUP(BU851,'Gebinde-Kategorie'!$A$5:$N$45,5,0)+0,0))</f>
        <v>8</v>
      </c>
      <c r="CK851" s="53" t="n">
        <f aca="false">IFERROR(IF(OR(CB851=1,CB851=2,CB851=3),N(INDEX(Parameter!$I$5:$I$7,CB851)),0),0)</f>
        <v>0</v>
      </c>
      <c r="CL851" s="52" t="n">
        <f aca="false">IF(AND(Parameter!$B$21="Ja",ISNUMBER(W851),N(X851)&gt;0),IFERROR(N(INDEX(Parameter!$L$5:$L$7,W851))*INDEX(Parameter!$E$5:$E$7,W851)*X851/SUMIFS($X$7:$X$1843,$W$7:$W$1843,W851),0),0)</f>
        <v>0</v>
      </c>
    </row>
    <row r="852" customFormat="false" ht="15" hidden="false" customHeight="false" outlineLevel="0" collapsed="false">
      <c r="A852" s="48" t="s">
        <v>1629</v>
      </c>
      <c r="B852" s="48" t="s">
        <v>1630</v>
      </c>
      <c r="C852" s="48" t="s">
        <v>168</v>
      </c>
      <c r="D852" s="48" t="s">
        <v>188</v>
      </c>
      <c r="E852" s="48" t="s">
        <v>189</v>
      </c>
      <c r="F852" s="48" t="s">
        <v>222</v>
      </c>
      <c r="G852" s="49" t="n">
        <v>8.46</v>
      </c>
      <c r="H852" s="50" t="n">
        <f aca="false">MAX(0,IF(AND(Parameter!$B$21="Ja",ISNUMBER(Y852)),Y852,IF(Parameter!$B$20="Jahresanfang 2025 + Export",BO852+BN852,BN852)))</f>
        <v>25</v>
      </c>
      <c r="I852" s="50" t="n">
        <f aca="false">H852*G852</f>
        <v>211.5</v>
      </c>
      <c r="J852" s="50" t="n">
        <f aca="false">BQ852*Parameter!$B$18</f>
        <v>4</v>
      </c>
      <c r="K852" s="51" t="n">
        <v>25.5</v>
      </c>
      <c r="L852" s="52" t="n">
        <v>0.156862745098039</v>
      </c>
      <c r="M852" s="50" t="n">
        <v>0</v>
      </c>
      <c r="N852" s="50" t="n">
        <v>5</v>
      </c>
      <c r="O852" s="53" t="n">
        <v>14</v>
      </c>
      <c r="P852" s="48" t="s">
        <v>332</v>
      </c>
      <c r="Q852" s="50" t="n">
        <v>28</v>
      </c>
      <c r="R852" s="53" t="n">
        <f aca="false">IF(BW852=1,0,IFERROR(VLOOKUP(BU852,'Gebinde-Kategorie'!$A$5:$N$45,13,0)+0,0))</f>
        <v>52</v>
      </c>
      <c r="S852" s="54"/>
      <c r="T852" s="55"/>
      <c r="U852" s="55"/>
      <c r="V852" s="55"/>
      <c r="W852" s="48"/>
      <c r="X852" s="50"/>
      <c r="Y852" s="50"/>
      <c r="Z852" s="48" t="n">
        <f aca="false">IF(A852="","",IF(AND(Parameter!$B$21="Ja",ISNUMBER(W852)),W852,IF(BZ852="2+3",IF(ISNUMBER(SEARCH("grosser Artikel",BR852)),2,IFERROR(VLOOKUP(BU852,Parameter!$F$35:$G$64,2,0),2)),IF(OR(BZ852="Nein",BZ852=""),"-",BZ852))))</f>
        <v>3</v>
      </c>
      <c r="AA852" s="55"/>
      <c r="AB852" s="56"/>
      <c r="AC852" s="50" t="n">
        <f aca="false">AT852</f>
        <v>28</v>
      </c>
      <c r="AD852" s="50" t="n">
        <f aca="false">MAX(AT852,H852)</f>
        <v>28</v>
      </c>
      <c r="AE852" s="57"/>
      <c r="AF852" s="50" t="n">
        <f aca="false">IF(LEFT(Cockpit!$C$5,1)="A",H852,IF(CE852=1,CF852,IF(LEFT(Cockpit!$C$5,1)="B",AK852,MAX(AK852,H852))))</f>
        <v>25</v>
      </c>
      <c r="AG852" s="50" t="n">
        <f aca="false">IF(BW852=1,0,ROUNDUP(AF852/BV852,0))</f>
        <v>1</v>
      </c>
      <c r="AH852" s="52" t="n">
        <f aca="false">IF(CL852&gt;0,CL852*MAX(1,AF852/X852),IF(BW852=1,IF(AF852&lt;=0,0,CA852*MAX(1,IF(H852&gt;0,AF852/H852,1))),IF(R852&gt;0,AG852/R852,0))/MAX(0.1,N(Parameter!$M$21)))</f>
        <v>0.0192307692307692</v>
      </c>
      <c r="AI852" s="50" t="n">
        <f aca="false">AH852*BY852</f>
        <v>2.98076923076923</v>
      </c>
      <c r="AJ852" s="50" t="n">
        <f aca="false">AF852*G852</f>
        <v>211.5</v>
      </c>
      <c r="AK852" s="50" t="n">
        <f aca="false">ROUNDUP(MAX(J852/IF(CD852&gt;0,CD852,MAX(0.1,N(Cockpit!$C$6))),CG852)/BV852,0)*BV852</f>
        <v>28</v>
      </c>
      <c r="AL852" s="51" t="n">
        <f aca="false">IF(AI852&gt;0,J852/AI852,-1)</f>
        <v>1.34193548387097</v>
      </c>
      <c r="AM852" s="51" t="n">
        <f aca="false">IF(AND(OR(CC852="L1",CC852="L23",CC852="LIFT"),AI852&gt;0),SUMIFS($AI$7:$AI$1843,$CC$7:$CC$1843,CC852,$AL$7:$AL$1843,"&gt;"&amp;AL852)+SUMIFS($AI$7:$AI$1843,$CC$7:$CC$1843,CC852,$AL$7:$AL$1843,AL852,$BT$7:$BT$1843,"&lt;="&amp;BT852),"")</f>
        <v>6334.12866300366</v>
      </c>
      <c r="AN852" s="58" t="n">
        <f aca="false">IF(AM852="",0,MAX(0,MIN(1,(IF(CC852="L1",Parameter!$H$5,IF(CC852="L23",Parameter!$H$6+Parameter!$H$7,Parameter!$H$5+Parameter!$H$6+Parameter!$H$7))-(AM852-AI852))/AI852)))</f>
        <v>1</v>
      </c>
      <c r="AO852" s="50" t="n">
        <f aca="false">IF(LEFT(Cockpit!$I$5,1)="A",H852,IF(CE852=1,CF852,IF(LEFT(Cockpit!$I$5,1)="B",AT852,MAX(AT852,H852))))</f>
        <v>28</v>
      </c>
      <c r="AP852" s="50" t="n">
        <f aca="false">IF(BW852=1,0,ROUNDUP(AO852/BV852,0))</f>
        <v>1</v>
      </c>
      <c r="AQ852" s="52" t="n">
        <f aca="false">IF(CL852&gt;0,CL852*MAX(1,AO852/X852),IF(BW852=1,IF(AO852&lt;=0,0,CA852*MAX(1,IF(H852&gt;0,AO852/H852,1))),IF(R852&gt;0,AP852/R852,0))/MAX(0.1,N(Parameter!$M$21)))</f>
        <v>0.0192307692307692</v>
      </c>
      <c r="AR852" s="50" t="n">
        <f aca="false">AQ852*BY852</f>
        <v>2.98076923076923</v>
      </c>
      <c r="AS852" s="50" t="n">
        <f aca="false">AO852*G852</f>
        <v>236.88</v>
      </c>
      <c r="AT852" s="50" t="n">
        <f aca="false">ROUNDUP(MAX(J852/IF(CD852&gt;0,CD852,MAX(0.1,N(Cockpit!$I$6))),CG852)/BV852,0)*BV852</f>
        <v>28</v>
      </c>
      <c r="AU852" s="51" t="n">
        <f aca="false">IF(AR852&gt;0,J852/AR852,-1)</f>
        <v>1.34193548387097</v>
      </c>
      <c r="AV852" s="51" t="n">
        <f aca="false">IF(AND(OR(CC852="L1",CC852="L23",CC852="LIFT"),AR852&gt;0),SUMIFS($AR$7:$AR$1843,$CC$7:$CC$1843,CC852,$AU$7:$AU$1843,"&gt;"&amp;AU852)+SUMIFS($AR$7:$AR$1843,$CC$7:$CC$1843,CC852,$AU$7:$AU$1843,AU852,$BT$7:$BT$1843,"&lt;="&amp;BT852),"")</f>
        <v>9398.65476190476</v>
      </c>
      <c r="AW852" s="58" t="n">
        <f aca="false">IF(AV852="",0,MAX(0,MIN(1,(IF(CC852="L1",Parameter!$H$5,IF(CC852="L23",Parameter!$H$6+Parameter!$H$7,Parameter!$H$5+Parameter!$H$6+Parameter!$H$7))-(AV852-AR852))/AR852)))</f>
        <v>1</v>
      </c>
      <c r="AX852" s="50" t="n">
        <f aca="false">IF(LEFT(Cockpit!$O$5,1)="A",H852,IF(CE852=1,CF852,IF(LEFT(Cockpit!$O$5,1)="B",BC852,MAX(BC852,H852))))</f>
        <v>28</v>
      </c>
      <c r="AY852" s="50" t="n">
        <f aca="false">IF(BW852=1,0,ROUNDUP(AX852/BV852,0))</f>
        <v>1</v>
      </c>
      <c r="AZ852" s="52" t="n">
        <f aca="false">IF(CL852&gt;0,CL852*MAX(1,AX852/X852),IF(BW852=1,IF(AX852&lt;=0,0,CA852*MAX(1,IF(H852&gt;0,AX852/H852,1))),IF(R852&gt;0,AY852/R852,0))/MAX(0.1,N(Parameter!$M$21)))</f>
        <v>0.0192307692307692</v>
      </c>
      <c r="BA852" s="50" t="n">
        <f aca="false">AZ852*BY852</f>
        <v>2.98076923076923</v>
      </c>
      <c r="BB852" s="50" t="n">
        <f aca="false">AX852*G852</f>
        <v>236.88</v>
      </c>
      <c r="BC852" s="50" t="n">
        <f aca="false">ROUNDUP(MAX(J852/IF(CD852&gt;0,CD852,MAX(0.1,N(Cockpit!$O$6))),CG852)/BV852,0)*BV852</f>
        <v>28</v>
      </c>
      <c r="BD852" s="51" t="n">
        <f aca="false">IF(BA852&gt;0,J852/BA852,-1)</f>
        <v>1.34193548387097</v>
      </c>
      <c r="BE852" s="51" t="n">
        <f aca="false">IF(AND(OR(CC852="L1",CC852="L23",CC852="LIFT"),BA852&gt;0),SUMIFS($BA$7:$BA$1843,$CC$7:$CC$1843,CC852,$BD$7:$BD$1843,"&gt;"&amp;BD852)+SUMIFS($BA$7:$BA$1843,$CC$7:$CC$1843,CC852,$BD$7:$BD$1843,BD852,$BT$7:$BT$1843,"&lt;="&amp;BT852),"")</f>
        <v>8584.31181318681</v>
      </c>
      <c r="BF852" s="58" t="n">
        <f aca="false">IF(BE852="",0,MAX(0,MIN(1,(IF(CC852="L1",Parameter!$H$5,IF(CC852="L23",Parameter!$H$6+Parameter!$H$7,Parameter!$H$5+Parameter!$H$6+Parameter!$H$7))-(BE852-BA852))/BA852)))</f>
        <v>1</v>
      </c>
      <c r="BG852" s="48" t="str">
        <f aca="false">IF(AI852&lt;=0,"",IF(CC852="Aussen","Aussenlager",IF(CC852="-","Nicht im Lift",IF(AN852&gt;=1,"Lift",IF(AN852&lt;=0,"Aussenlager","teilweise")))))</f>
        <v>Lift</v>
      </c>
      <c r="BH852" s="48" t="str">
        <f aca="false">IF(AR852&lt;=0,"",IF(CC852="Aussen","Aussenlager",IF(CC852="-","Nicht im Lift",IF(AW852&gt;=1,"Lift",IF(AW852&lt;=0,"Aussenlager","teilweise")))))</f>
        <v>Lift</v>
      </c>
      <c r="BI852" s="48" t="str">
        <f aca="false">IF(BA852&lt;=0,"",IF(CC852="Aussen","Aussenlager",IF(CC852="-","Nicht im Lift",IF(BF852&gt;=1,"Lift",IF(BF852&lt;=0,"Aussenlager","teilweise")))))</f>
        <v>Lift</v>
      </c>
      <c r="BJ852" s="48" t="str">
        <f aca="false">IF(A852="","",IF(BS852=1,"Neu; ","")&amp;IF(AND(BS852=0,BN852&lt;0),"negativer Bestand (Export "&amp;BN852&amp;"); ","")&amp;IF(J852&lt;=0,"Kein Verbrauch; ","")&amp;IF(CL852&gt;0,"Lift "&amp;W852&amp;" lt. Liftbericht (Fach "&amp;X852&amp;" Stk); ",IF(BX852=1,"Gebinde geschätzt ("&amp;T852&amp;"); ",IF(BW852=1,"Lose – Tablare geschätzt; ","")))&amp;IF(H852&gt;AT852,"Überbestand "&amp;ROUND(H852-AT852,0)&amp;" Stk / CHF "&amp;ROUND((H852-AT852)*G852,0)&amp;"; ","")&amp;IF(AND(CE852=1,CF852&lt;CG852),"MAX &lt; MB+LG; ","")&amp;IF(AND(CK852&gt;0,CJ852*10&gt;CK852),"zu hoch für Tablar; ","")&amp;IF(AND(BS852=0,OR(CE852=1,AA852&lt;&gt;"",U852&lt;&gt;"",V852&lt;&gt;"",AB852&lt;&gt;"")),"manuell übersteuert; ","")&amp;IF(AND(BW852=0,R852=0),"Gebinde unbekannt / Stellmass fehlt; ","")&amp;IF(AND(BW852=0,N(V852)&lt;=0,N(Q852)&lt;=0),"Menge pro Gebinde fehlt (Ist = 1 Gebinde); ","")&amp;BR852)</f>
        <v>negativer Bestand (Export -2); </v>
      </c>
      <c r="BK852" s="48"/>
      <c r="BL852" s="48"/>
      <c r="BM852" s="55"/>
      <c r="BN852" s="50" t="n">
        <v>-2</v>
      </c>
      <c r="BO852" s="50" t="n">
        <v>27</v>
      </c>
      <c r="BP852" s="49" t="n">
        <v>-16.92</v>
      </c>
      <c r="BQ852" s="50" t="n">
        <v>4</v>
      </c>
      <c r="BR852" s="48"/>
      <c r="BS852" s="53" t="n">
        <v>0</v>
      </c>
      <c r="BT852" s="53" t="n">
        <v>852</v>
      </c>
      <c r="BU852" s="48" t="str">
        <f aca="false">IF(U852&lt;&gt;"",UPPER(TRIM(U852)),IF(BX852=1,UPPER(VLOOKUP(T852,Parameter!$I$27:$K$29,2,0)),IF(P852="","LOSE",P852)))</f>
        <v>S41</v>
      </c>
      <c r="BV852" s="50" t="n">
        <f aca="false">IF(BU852="LOSE",1,IF(N(V852)&gt;0,V852,IF(BX852=1,MAX(1,N(VLOOKUP(T852,Parameter!$I$27:$K$29,3,0)),H852,N(N852)),IF(N(Q852)&gt;0,Q852,MAX(1,H852)))))</f>
        <v>28</v>
      </c>
      <c r="BW852" s="53" t="n">
        <f aca="false">IF(BU852="LOSE",1,0)</f>
        <v>0</v>
      </c>
      <c r="BX852" s="53" t="n">
        <f aca="false">IF(AND(U852="",OR(P852="",P852="LOSE"),T852&lt;&gt;"",N(S852)&lt;=0,ISNUMBER(MATCH(T852,Parameter!$I$27:$I$29,0))),1,0)</f>
        <v>0</v>
      </c>
      <c r="BY852" s="53" t="n">
        <f aca="false">IF(CL852&gt;0,INDEX(Parameter!$H$5:$H$7,W852)/INDEX(Parameter!$E$5:$E$7,W852),IF(AND(BW852=0,N(IFERROR(VLOOKUP(BU852,'Gebinde-Kategorie'!$A$5:$N$45,14,0),0))&gt;0),VLOOKUP(BU852,'Gebinde-Kategorie'!$A$5:$N$45,14,0)*10+Parameter!$M$23,Parameter!$M$24))</f>
        <v>155</v>
      </c>
      <c r="BZ852" s="48" t="str">
        <f aca="false">IF(AND(Parameter!$B$19="Ja",E852&lt;&gt;"",ISNUMBER(MATCH(E852,Parameter!$I$35:$I$52,0))),VLOOKUP(E852,Parameter!$I$35:$J$52,2,0),IFERROR(VLOOKUP(D852,Parameter!$A$35:$C$64,2,0),"Nein"))</f>
        <v>2+3</v>
      </c>
      <c r="CA852" s="52" t="n">
        <f aca="false">IF(BW852=0,0,IF(N(S852)&gt;0,S852,IFERROR(VLOOKUP(D852,Parameter!$A$35:$C$64,3,0)+0,0)))</f>
        <v>0</v>
      </c>
      <c r="CB852" s="48" t="n">
        <f aca="false">IF(AA852&lt;&gt;"",AA852,Z852)</f>
        <v>3</v>
      </c>
      <c r="CC852" s="48" t="str">
        <f aca="false">IF(OR(CB852=1,CB852=2,CB852=3),IF(Parameter!$E$27="Ja","LIFT",IF(CB852=1,"L1","L23")),IF(CB852="Aussen","Aussen","-"))</f>
        <v>LIFT</v>
      </c>
      <c r="CD852" s="59" t="n">
        <f aca="false">IF(N(AB852)&gt;0,AB852,0)</f>
        <v>0</v>
      </c>
      <c r="CE852" s="53" t="n">
        <f aca="false">IF(ISNUMBER(AE852),1,0)</f>
        <v>0</v>
      </c>
      <c r="CF852" s="50" t="n">
        <f aca="false">N(AE852)</f>
        <v>0</v>
      </c>
      <c r="CG852" s="50" t="n">
        <f aca="false">N(M852)+N(N852)</f>
        <v>5</v>
      </c>
      <c r="CH852" s="50" t="n">
        <f aca="false">ROUNDUP(H852/BV852,0)</f>
        <v>1</v>
      </c>
      <c r="CI852" s="50" t="n">
        <f aca="false">ROUNDUP(CF852/BV852,0)</f>
        <v>0</v>
      </c>
      <c r="CJ852" s="53" t="n">
        <f aca="false">IF(BW852=1,0,IFERROR(VLOOKUP(BU852,'Gebinde-Kategorie'!$A$5:$N$45,5,0)+0,0))</f>
        <v>11</v>
      </c>
      <c r="CK852" s="53" t="n">
        <f aca="false">IFERROR(IF(OR(CB852=1,CB852=2,CB852=3),N(INDEX(Parameter!$I$5:$I$7,CB852)),0),0)</f>
        <v>0</v>
      </c>
      <c r="CL852" s="52" t="n">
        <f aca="false">IF(AND(Parameter!$B$21="Ja",ISNUMBER(W852),N(X852)&gt;0),IFERROR(N(INDEX(Parameter!$L$5:$L$7,W852))*INDEX(Parameter!$E$5:$E$7,W852)*X852/SUMIFS($X$7:$X$1843,$W$7:$W$1843,W852),0),0)</f>
        <v>0</v>
      </c>
    </row>
    <row r="853" customFormat="false" ht="15" hidden="false" customHeight="false" outlineLevel="0" collapsed="false">
      <c r="A853" s="48" t="s">
        <v>1631</v>
      </c>
      <c r="B853" s="48" t="s">
        <v>1270</v>
      </c>
      <c r="C853" s="48" t="s">
        <v>168</v>
      </c>
      <c r="D853" s="48" t="s">
        <v>188</v>
      </c>
      <c r="E853" s="48"/>
      <c r="F853" s="48" t="s">
        <v>222</v>
      </c>
      <c r="G853" s="49" t="n">
        <v>0.07</v>
      </c>
      <c r="H853" s="50" t="n">
        <f aca="false">MAX(0,IF(AND(Parameter!$B$21="Ja",ISNUMBER(Y853)),Y853,IF(Parameter!$B$20="Jahresanfang 2025 + Export",BO853+BN853,BN853)))</f>
        <v>287</v>
      </c>
      <c r="I853" s="50" t="n">
        <f aca="false">H853*G853</f>
        <v>20.09</v>
      </c>
      <c r="J853" s="50" t="n">
        <f aca="false">BQ853*Parameter!$B$18</f>
        <v>124</v>
      </c>
      <c r="K853" s="51" t="n">
        <v>461</v>
      </c>
      <c r="L853" s="52" t="n">
        <v>0.268980477223427</v>
      </c>
      <c r="M853" s="50" t="n">
        <v>7</v>
      </c>
      <c r="N853" s="50" t="n">
        <v>125</v>
      </c>
      <c r="O853" s="53" t="n">
        <v>21</v>
      </c>
      <c r="P853" s="48" t="s">
        <v>430</v>
      </c>
      <c r="Q853" s="50" t="n">
        <v>300</v>
      </c>
      <c r="R853" s="53" t="n">
        <f aca="false">IF(BW853=1,0,IFERROR(VLOOKUP(BU853,'Gebinde-Kategorie'!$A$5:$N$45,13,0)+0,0))</f>
        <v>140</v>
      </c>
      <c r="S853" s="54"/>
      <c r="T853" s="55"/>
      <c r="U853" s="55"/>
      <c r="V853" s="55"/>
      <c r="W853" s="48"/>
      <c r="X853" s="50"/>
      <c r="Y853" s="50"/>
      <c r="Z853" s="48" t="n">
        <f aca="false">IF(A853="","",IF(AND(Parameter!$B$21="Ja",ISNUMBER(W853)),W853,IF(BZ853="2+3",IF(ISNUMBER(SEARCH("grosser Artikel",BR853)),2,IFERROR(VLOOKUP(BU853,Parameter!$F$35:$G$64,2,0),2)),IF(OR(BZ853="Nein",BZ853=""),"-",BZ853))))</f>
        <v>3</v>
      </c>
      <c r="AA853" s="55"/>
      <c r="AB853" s="56"/>
      <c r="AC853" s="50" t="n">
        <f aca="false">AT853</f>
        <v>300</v>
      </c>
      <c r="AD853" s="50" t="n">
        <f aca="false">MAX(AT853,H853)</f>
        <v>300</v>
      </c>
      <c r="AE853" s="57"/>
      <c r="AF853" s="50" t="n">
        <f aca="false">IF(LEFT(Cockpit!$C$5,1)="A",H853,IF(CE853=1,CF853,IF(LEFT(Cockpit!$C$5,1)="B",AK853,MAX(AK853,H853))))</f>
        <v>287</v>
      </c>
      <c r="AG853" s="50" t="n">
        <f aca="false">IF(BW853=1,0,ROUNDUP(AF853/BV853,0))</f>
        <v>1</v>
      </c>
      <c r="AH853" s="52" t="n">
        <f aca="false">IF(CL853&gt;0,CL853*MAX(1,AF853/X853),IF(BW853=1,IF(AF853&lt;=0,0,CA853*MAX(1,IF(H853&gt;0,AF853/H853,1))),IF(R853&gt;0,AG853/R853,0))/MAX(0.1,N(Parameter!$M$21)))</f>
        <v>0.00714285714285714</v>
      </c>
      <c r="AI853" s="50" t="n">
        <f aca="false">AH853*BY853</f>
        <v>1.10714285714286</v>
      </c>
      <c r="AJ853" s="50" t="n">
        <f aca="false">AF853*G853</f>
        <v>20.09</v>
      </c>
      <c r="AK853" s="50" t="n">
        <f aca="false">ROUNDUP(MAX(J853/IF(CD853&gt;0,CD853,MAX(0.1,N(Cockpit!$C$6))),CG853)/BV853,0)*BV853</f>
        <v>300</v>
      </c>
      <c r="AL853" s="51" t="n">
        <f aca="false">IF(AI853&gt;0,J853/AI853,-1)</f>
        <v>112</v>
      </c>
      <c r="AM853" s="51" t="n">
        <f aca="false">IF(AND(OR(CC853="L1",CC853="L23",CC853="LIFT"),AI853&gt;0),SUMIFS($AI$7:$AI$1843,$CC$7:$CC$1843,CC853,$AL$7:$AL$1843,"&gt;"&amp;AL853)+SUMIFS($AI$7:$AI$1843,$CC$7:$CC$1843,CC853,$AL$7:$AL$1843,AL853,$BT$7:$BT$1843,"&lt;="&amp;BT853),"")</f>
        <v>746.812728937729</v>
      </c>
      <c r="AN853" s="58" t="n">
        <f aca="false">IF(AM853="",0,MAX(0,MIN(1,(IF(CC853="L1",Parameter!$H$5,IF(CC853="L23",Parameter!$H$6+Parameter!$H$7,Parameter!$H$5+Parameter!$H$6+Parameter!$H$7))-(AM853-AI853))/AI853)))</f>
        <v>1</v>
      </c>
      <c r="AO853" s="50" t="n">
        <f aca="false">IF(LEFT(Cockpit!$I$5,1)="A",H853,IF(CE853=1,CF853,IF(LEFT(Cockpit!$I$5,1)="B",AT853,MAX(AT853,H853))))</f>
        <v>300</v>
      </c>
      <c r="AP853" s="50" t="n">
        <f aca="false">IF(BW853=1,0,ROUNDUP(AO853/BV853,0))</f>
        <v>1</v>
      </c>
      <c r="AQ853" s="52" t="n">
        <f aca="false">IF(CL853&gt;0,CL853*MAX(1,AO853/X853),IF(BW853=1,IF(AO853&lt;=0,0,CA853*MAX(1,IF(H853&gt;0,AO853/H853,1))),IF(R853&gt;0,AP853/R853,0))/MAX(0.1,N(Parameter!$M$21)))</f>
        <v>0.00714285714285714</v>
      </c>
      <c r="AR853" s="50" t="n">
        <f aca="false">AQ853*BY853</f>
        <v>1.10714285714286</v>
      </c>
      <c r="AS853" s="50" t="n">
        <f aca="false">AO853*G853</f>
        <v>21</v>
      </c>
      <c r="AT853" s="50" t="n">
        <f aca="false">ROUNDUP(MAX(J853/IF(CD853&gt;0,CD853,MAX(0.1,N(Cockpit!$I$6))),CG853)/BV853,0)*BV853</f>
        <v>300</v>
      </c>
      <c r="AU853" s="51" t="n">
        <f aca="false">IF(AR853&gt;0,J853/AR853,-1)</f>
        <v>112</v>
      </c>
      <c r="AV853" s="51" t="n">
        <f aca="false">IF(AND(OR(CC853="L1",CC853="L23",CC853="LIFT"),AR853&gt;0),SUMIFS($AR$7:$AR$1843,$CC$7:$CC$1843,CC853,$AU$7:$AU$1843,"&gt;"&amp;AU853)+SUMIFS($AR$7:$AR$1843,$CC$7:$CC$1843,CC853,$AU$7:$AU$1843,AU853,$BT$7:$BT$1843,"&lt;="&amp;BT853),"")</f>
        <v>851.66804029304</v>
      </c>
      <c r="AW853" s="58" t="n">
        <f aca="false">IF(AV853="",0,MAX(0,MIN(1,(IF(CC853="L1",Parameter!$H$5,IF(CC853="L23",Parameter!$H$6+Parameter!$H$7,Parameter!$H$5+Parameter!$H$6+Parameter!$H$7))-(AV853-AR853))/AR853)))</f>
        <v>1</v>
      </c>
      <c r="AX853" s="50" t="n">
        <f aca="false">IF(LEFT(Cockpit!$O$5,1)="A",H853,IF(CE853=1,CF853,IF(LEFT(Cockpit!$O$5,1)="B",BC853,MAX(BC853,H853))))</f>
        <v>300</v>
      </c>
      <c r="AY853" s="50" t="n">
        <f aca="false">IF(BW853=1,0,ROUNDUP(AX853/BV853,0))</f>
        <v>1</v>
      </c>
      <c r="AZ853" s="52" t="n">
        <f aca="false">IF(CL853&gt;0,CL853*MAX(1,AX853/X853),IF(BW853=1,IF(AX853&lt;=0,0,CA853*MAX(1,IF(H853&gt;0,AX853/H853,1))),IF(R853&gt;0,AY853/R853,0))/MAX(0.1,N(Parameter!$M$21)))</f>
        <v>0.00714285714285714</v>
      </c>
      <c r="BA853" s="50" t="n">
        <f aca="false">AZ853*BY853</f>
        <v>1.10714285714286</v>
      </c>
      <c r="BB853" s="50" t="n">
        <f aca="false">AX853*G853</f>
        <v>21</v>
      </c>
      <c r="BC853" s="50" t="n">
        <f aca="false">ROUNDUP(MAX(J853/IF(CD853&gt;0,CD853,MAX(0.1,N(Cockpit!$O$6))),CG853)/BV853,0)*BV853</f>
        <v>300</v>
      </c>
      <c r="BD853" s="51" t="n">
        <f aca="false">IF(BA853&gt;0,J853/BA853,-1)</f>
        <v>112</v>
      </c>
      <c r="BE853" s="51" t="n">
        <f aca="false">IF(AND(OR(CC853="L1",CC853="L23",CC853="LIFT"),BA853&gt;0),SUMIFS($BA$7:$BA$1843,$CC$7:$CC$1843,CC853,$BD$7:$BD$1843,"&gt;"&amp;BD853)+SUMIFS($BA$7:$BA$1843,$CC$7:$CC$1843,CC853,$BD$7:$BD$1843,BD853,$BT$7:$BT$1843,"&lt;="&amp;BT853),"")</f>
        <v>802.068681318681</v>
      </c>
      <c r="BF853" s="58" t="n">
        <f aca="false">IF(BE853="",0,MAX(0,MIN(1,(IF(CC853="L1",Parameter!$H$5,IF(CC853="L23",Parameter!$H$6+Parameter!$H$7,Parameter!$H$5+Parameter!$H$6+Parameter!$H$7))-(BE853-BA853))/BA853)))</f>
        <v>1</v>
      </c>
      <c r="BG853" s="48" t="str">
        <f aca="false">IF(AI853&lt;=0,"",IF(CC853="Aussen","Aussenlager",IF(CC853="-","Nicht im Lift",IF(AN853&gt;=1,"Lift",IF(AN853&lt;=0,"Aussenlager","teilweise")))))</f>
        <v>Lift</v>
      </c>
      <c r="BH853" s="48" t="str">
        <f aca="false">IF(AR853&lt;=0,"",IF(CC853="Aussen","Aussenlager",IF(CC853="-","Nicht im Lift",IF(AW853&gt;=1,"Lift",IF(AW853&lt;=0,"Aussenlager","teilweise")))))</f>
        <v>Lift</v>
      </c>
      <c r="BI853" s="48" t="str">
        <f aca="false">IF(BA853&lt;=0,"",IF(CC853="Aussen","Aussenlager",IF(CC853="-","Nicht im Lift",IF(BF853&gt;=1,"Lift",IF(BF853&lt;=0,"Aussenlager","teilweise")))))</f>
        <v>Lift</v>
      </c>
      <c r="BJ853" s="48" t="str">
        <f aca="false">IF(A853="","",IF(BS853=1,"Neu; ","")&amp;IF(AND(BS853=0,BN853&lt;0),"negativer Bestand (Export "&amp;BN853&amp;"); ","")&amp;IF(J853&lt;=0,"Kein Verbrauch; ","")&amp;IF(CL853&gt;0,"Lift "&amp;W853&amp;" lt. Liftbericht (Fach "&amp;X853&amp;" Stk); ",IF(BX853=1,"Gebinde geschätzt ("&amp;T853&amp;"); ",IF(BW853=1,"Lose – Tablare geschätzt; ","")))&amp;IF(H853&gt;AT853,"Überbestand "&amp;ROUND(H853-AT853,0)&amp;" Stk / CHF "&amp;ROUND((H853-AT853)*G853,0)&amp;"; ","")&amp;IF(AND(CE853=1,CF853&lt;CG853),"MAX &lt; MB+LG; ","")&amp;IF(AND(CK853&gt;0,CJ853*10&gt;CK853),"zu hoch für Tablar; ","")&amp;IF(AND(BS853=0,OR(CE853=1,AA853&lt;&gt;"",U853&lt;&gt;"",V853&lt;&gt;"",AB853&lt;&gt;"")),"manuell übersteuert; ","")&amp;IF(AND(BW853=0,R853=0),"Gebinde unbekannt / Stellmass fehlt; ","")&amp;IF(AND(BW853=0,N(V853)&lt;=0,N(Q853)&lt;=0),"Menge pro Gebinde fehlt (Ist = 1 Gebinde); ","")&amp;BR853)</f>
        <v>negativer Bestand (Export -252); </v>
      </c>
      <c r="BK853" s="48"/>
      <c r="BL853" s="48"/>
      <c r="BM853" s="55"/>
      <c r="BN853" s="50" t="n">
        <v>-252</v>
      </c>
      <c r="BO853" s="50" t="n">
        <v>539</v>
      </c>
      <c r="BP853" s="49" t="n">
        <v>-17.64</v>
      </c>
      <c r="BQ853" s="50" t="n">
        <v>124</v>
      </c>
      <c r="BR853" s="48"/>
      <c r="BS853" s="53" t="n">
        <v>0</v>
      </c>
      <c r="BT853" s="53" t="n">
        <v>853</v>
      </c>
      <c r="BU853" s="48" t="str">
        <f aca="false">IF(U853&lt;&gt;"",UPPER(TRIM(U853)),IF(BX853=1,UPPER(VLOOKUP(T853,Parameter!$I$27:$K$29,2,0)),IF(P853="","LOSE",P853)))</f>
        <v>S22</v>
      </c>
      <c r="BV853" s="50" t="n">
        <f aca="false">IF(BU853="LOSE",1,IF(N(V853)&gt;0,V853,IF(BX853=1,MAX(1,N(VLOOKUP(T853,Parameter!$I$27:$K$29,3,0)),H853,N(N853)),IF(N(Q853)&gt;0,Q853,MAX(1,H853)))))</f>
        <v>300</v>
      </c>
      <c r="BW853" s="53" t="n">
        <f aca="false">IF(BU853="LOSE",1,0)</f>
        <v>0</v>
      </c>
      <c r="BX853" s="53" t="n">
        <f aca="false">IF(AND(U853="",OR(P853="",P853="LOSE"),T853&lt;&gt;"",N(S853)&lt;=0,ISNUMBER(MATCH(T853,Parameter!$I$27:$I$29,0))),1,0)</f>
        <v>0</v>
      </c>
      <c r="BY853" s="53" t="n">
        <f aca="false">IF(CL853&gt;0,INDEX(Parameter!$H$5:$H$7,W853)/INDEX(Parameter!$E$5:$E$7,W853),IF(AND(BW853=0,N(IFERROR(VLOOKUP(BU853,'Gebinde-Kategorie'!$A$5:$N$45,14,0),0))&gt;0),VLOOKUP(BU853,'Gebinde-Kategorie'!$A$5:$N$45,14,0)*10+Parameter!$M$23,Parameter!$M$24))</f>
        <v>155</v>
      </c>
      <c r="BZ853" s="48" t="str">
        <f aca="false">IF(AND(Parameter!$B$19="Ja",E853&lt;&gt;"",ISNUMBER(MATCH(E853,Parameter!$I$35:$I$52,0))),VLOOKUP(E853,Parameter!$I$35:$J$52,2,0),IFERROR(VLOOKUP(D853,Parameter!$A$35:$C$64,2,0),"Nein"))</f>
        <v>2+3</v>
      </c>
      <c r="CA853" s="52" t="n">
        <f aca="false">IF(BW853=0,0,IF(N(S853)&gt;0,S853,IFERROR(VLOOKUP(D853,Parameter!$A$35:$C$64,3,0)+0,0)))</f>
        <v>0</v>
      </c>
      <c r="CB853" s="48" t="n">
        <f aca="false">IF(AA853&lt;&gt;"",AA853,Z853)</f>
        <v>3</v>
      </c>
      <c r="CC853" s="48" t="str">
        <f aca="false">IF(OR(CB853=1,CB853=2,CB853=3),IF(Parameter!$E$27="Ja","LIFT",IF(CB853=1,"L1","L23")),IF(CB853="Aussen","Aussen","-"))</f>
        <v>LIFT</v>
      </c>
      <c r="CD853" s="59" t="n">
        <f aca="false">IF(N(AB853)&gt;0,AB853,0)</f>
        <v>0</v>
      </c>
      <c r="CE853" s="53" t="n">
        <f aca="false">IF(ISNUMBER(AE853),1,0)</f>
        <v>0</v>
      </c>
      <c r="CF853" s="50" t="n">
        <f aca="false">N(AE853)</f>
        <v>0</v>
      </c>
      <c r="CG853" s="50" t="n">
        <f aca="false">N(M853)+N(N853)</f>
        <v>132</v>
      </c>
      <c r="CH853" s="50" t="n">
        <f aca="false">ROUNDUP(H853/BV853,0)</f>
        <v>1</v>
      </c>
      <c r="CI853" s="50" t="n">
        <f aca="false">ROUNDUP(CF853/BV853,0)</f>
        <v>0</v>
      </c>
      <c r="CJ853" s="53" t="n">
        <f aca="false">IF(BW853=1,0,IFERROR(VLOOKUP(BU853,'Gebinde-Kategorie'!$A$5:$N$45,5,0)+0,0))</f>
        <v>8</v>
      </c>
      <c r="CK853" s="53" t="n">
        <f aca="false">IFERROR(IF(OR(CB853=1,CB853=2,CB853=3),N(INDEX(Parameter!$I$5:$I$7,CB853)),0),0)</f>
        <v>0</v>
      </c>
      <c r="CL853" s="52" t="n">
        <f aca="false">IF(AND(Parameter!$B$21="Ja",ISNUMBER(W853),N(X853)&gt;0),IFERROR(N(INDEX(Parameter!$L$5:$L$7,W853))*INDEX(Parameter!$E$5:$E$7,W853)*X853/SUMIFS($X$7:$X$1843,$W$7:$W$1843,W853),0),0)</f>
        <v>0</v>
      </c>
    </row>
    <row r="854" customFormat="false" ht="15" hidden="false" customHeight="false" outlineLevel="0" collapsed="false">
      <c r="A854" s="48" t="s">
        <v>1632</v>
      </c>
      <c r="B854" s="48" t="s">
        <v>407</v>
      </c>
      <c r="C854" s="48" t="s">
        <v>168</v>
      </c>
      <c r="D854" s="48" t="s">
        <v>188</v>
      </c>
      <c r="E854" s="48" t="s">
        <v>189</v>
      </c>
      <c r="F854" s="48" t="s">
        <v>222</v>
      </c>
      <c r="G854" s="49" t="n">
        <v>0.34</v>
      </c>
      <c r="H854" s="50" t="n">
        <f aca="false">MAX(0,IF(AND(Parameter!$B$21="Ja",ISNUMBER(Y854)),Y854,IF(Parameter!$B$20="Jahresanfang 2025 + Export",BO854+BN854,BN854)))</f>
        <v>50</v>
      </c>
      <c r="I854" s="50" t="n">
        <f aca="false">H854*G854</f>
        <v>17</v>
      </c>
      <c r="J854" s="50" t="n">
        <f aca="false">BQ854*Parameter!$B$18</f>
        <v>400</v>
      </c>
      <c r="K854" s="51" t="n">
        <v>178</v>
      </c>
      <c r="L854" s="52" t="n">
        <v>2.24719101123596</v>
      </c>
      <c r="M854" s="50" t="n">
        <v>23</v>
      </c>
      <c r="N854" s="50" t="n">
        <v>400</v>
      </c>
      <c r="O854" s="53" t="n">
        <v>21</v>
      </c>
      <c r="P854" s="48" t="s">
        <v>230</v>
      </c>
      <c r="Q854" s="50" t="n">
        <v>555</v>
      </c>
      <c r="R854" s="53" t="n">
        <f aca="false">IF(BW854=1,0,IFERROR(VLOOKUP(BU854,'Gebinde-Kategorie'!$A$5:$N$45,13,0)+0,0))</f>
        <v>12</v>
      </c>
      <c r="S854" s="54"/>
      <c r="T854" s="55"/>
      <c r="U854" s="55"/>
      <c r="V854" s="55"/>
      <c r="W854" s="48"/>
      <c r="X854" s="50"/>
      <c r="Y854" s="50"/>
      <c r="Z854" s="48" t="n">
        <f aca="false">IF(A854="","",IF(AND(Parameter!$B$21="Ja",ISNUMBER(W854)),W854,IF(BZ854="2+3",IF(ISNUMBER(SEARCH("grosser Artikel",BR854)),2,IFERROR(VLOOKUP(BU854,Parameter!$F$35:$G$64,2,0),2)),IF(OR(BZ854="Nein",BZ854=""),"-",BZ854))))</f>
        <v>2</v>
      </c>
      <c r="AA854" s="55"/>
      <c r="AB854" s="56"/>
      <c r="AC854" s="50" t="n">
        <f aca="false">AT854</f>
        <v>555</v>
      </c>
      <c r="AD854" s="50" t="n">
        <f aca="false">MAX(AT854,H854)</f>
        <v>555</v>
      </c>
      <c r="AE854" s="57"/>
      <c r="AF854" s="50" t="n">
        <f aca="false">IF(LEFT(Cockpit!$C$5,1)="A",H854,IF(CE854=1,CF854,IF(LEFT(Cockpit!$C$5,1)="B",AK854,MAX(AK854,H854))))</f>
        <v>50</v>
      </c>
      <c r="AG854" s="50" t="n">
        <f aca="false">IF(BW854=1,0,ROUNDUP(AF854/BV854,0))</f>
        <v>1</v>
      </c>
      <c r="AH854" s="52" t="n">
        <f aca="false">IF(CL854&gt;0,CL854*MAX(1,AF854/X854),IF(BW854=1,IF(AF854&lt;=0,0,CA854*MAX(1,IF(H854&gt;0,AF854/H854,1))),IF(R854&gt;0,AG854/R854,0))/MAX(0.1,N(Parameter!$M$21)))</f>
        <v>0.0833333333333333</v>
      </c>
      <c r="AI854" s="50" t="n">
        <f aca="false">AH854*BY854</f>
        <v>28.75</v>
      </c>
      <c r="AJ854" s="50" t="n">
        <f aca="false">AF854*G854</f>
        <v>17</v>
      </c>
      <c r="AK854" s="50" t="n">
        <f aca="false">ROUNDUP(MAX(J854/IF(CD854&gt;0,CD854,MAX(0.1,N(Cockpit!$C$6))),CG854)/BV854,0)*BV854</f>
        <v>555</v>
      </c>
      <c r="AL854" s="51" t="n">
        <f aca="false">IF(AI854&gt;0,J854/AI854,-1)</f>
        <v>13.9130434782609</v>
      </c>
      <c r="AM854" s="51" t="n">
        <f aca="false">IF(AND(OR(CC854="L1",CC854="L23",CC854="LIFT"),AI854&gt;0),SUMIFS($AI$7:$AI$1843,$CC$7:$CC$1843,CC854,$AL$7:$AL$1843,"&gt;"&amp;AL854)+SUMIFS($AI$7:$AI$1843,$CC$7:$CC$1843,CC854,$AL$7:$AL$1843,AL854,$BT$7:$BT$1843,"&lt;="&amp;BT854),"")</f>
        <v>2200.84340659341</v>
      </c>
      <c r="AN854" s="58" t="n">
        <f aca="false">IF(AM854="",0,MAX(0,MIN(1,(IF(CC854="L1",Parameter!$H$5,IF(CC854="L23",Parameter!$H$6+Parameter!$H$7,Parameter!$H$5+Parameter!$H$6+Parameter!$H$7))-(AM854-AI854))/AI854)))</f>
        <v>1</v>
      </c>
      <c r="AO854" s="50" t="n">
        <f aca="false">IF(LEFT(Cockpit!$I$5,1)="A",H854,IF(CE854=1,CF854,IF(LEFT(Cockpit!$I$5,1)="B",AT854,MAX(AT854,H854))))</f>
        <v>555</v>
      </c>
      <c r="AP854" s="50" t="n">
        <f aca="false">IF(BW854=1,0,ROUNDUP(AO854/BV854,0))</f>
        <v>1</v>
      </c>
      <c r="AQ854" s="52" t="n">
        <f aca="false">IF(CL854&gt;0,CL854*MAX(1,AO854/X854),IF(BW854=1,IF(AO854&lt;=0,0,CA854*MAX(1,IF(H854&gt;0,AO854/H854,1))),IF(R854&gt;0,AP854/R854,0))/MAX(0.1,N(Parameter!$M$21)))</f>
        <v>0.0833333333333333</v>
      </c>
      <c r="AR854" s="50" t="n">
        <f aca="false">AQ854*BY854</f>
        <v>28.75</v>
      </c>
      <c r="AS854" s="50" t="n">
        <f aca="false">AO854*G854</f>
        <v>188.7</v>
      </c>
      <c r="AT854" s="50" t="n">
        <f aca="false">ROUNDUP(MAX(J854/IF(CD854&gt;0,CD854,MAX(0.1,N(Cockpit!$I$6))),CG854)/BV854,0)*BV854</f>
        <v>555</v>
      </c>
      <c r="AU854" s="51" t="n">
        <f aca="false">IF(AR854&gt;0,J854/AR854,-1)</f>
        <v>13.9130434782609</v>
      </c>
      <c r="AV854" s="51" t="n">
        <f aca="false">IF(AND(OR(CC854="L1",CC854="L23",CC854="LIFT"),AR854&gt;0),SUMIFS($AR$7:$AR$1843,$CC$7:$CC$1843,CC854,$AU$7:$AU$1843,"&gt;"&amp;AU854)+SUMIFS($AR$7:$AR$1843,$CC$7:$CC$1843,CC854,$AU$7:$AU$1843,AU854,$BT$7:$BT$1843,"&lt;="&amp;BT854),"")</f>
        <v>3409.20924908425</v>
      </c>
      <c r="AW854" s="58" t="n">
        <f aca="false">IF(AV854="",0,MAX(0,MIN(1,(IF(CC854="L1",Parameter!$H$5,IF(CC854="L23",Parameter!$H$6+Parameter!$H$7,Parameter!$H$5+Parameter!$H$6+Parameter!$H$7))-(AV854-AR854))/AR854)))</f>
        <v>1</v>
      </c>
      <c r="AX854" s="50" t="n">
        <f aca="false">IF(LEFT(Cockpit!$O$5,1)="A",H854,IF(CE854=1,CF854,IF(LEFT(Cockpit!$O$5,1)="B",BC854,MAX(BC854,H854))))</f>
        <v>555</v>
      </c>
      <c r="AY854" s="50" t="n">
        <f aca="false">IF(BW854=1,0,ROUNDUP(AX854/BV854,0))</f>
        <v>1</v>
      </c>
      <c r="AZ854" s="52" t="n">
        <f aca="false">IF(CL854&gt;0,CL854*MAX(1,AX854/X854),IF(BW854=1,IF(AX854&lt;=0,0,CA854*MAX(1,IF(H854&gt;0,AX854/H854,1))),IF(R854&gt;0,AY854/R854,0))/MAX(0.1,N(Parameter!$M$21)))</f>
        <v>0.0833333333333333</v>
      </c>
      <c r="BA854" s="50" t="n">
        <f aca="false">AZ854*BY854</f>
        <v>28.75</v>
      </c>
      <c r="BB854" s="50" t="n">
        <f aca="false">AX854*G854</f>
        <v>188.7</v>
      </c>
      <c r="BC854" s="50" t="n">
        <f aca="false">ROUNDUP(MAX(J854/IF(CD854&gt;0,CD854,MAX(0.1,N(Cockpit!$O$6))),CG854)/BV854,0)*BV854</f>
        <v>555</v>
      </c>
      <c r="BD854" s="51" t="n">
        <f aca="false">IF(BA854&gt;0,J854/BA854,-1)</f>
        <v>13.9130434782609</v>
      </c>
      <c r="BE854" s="51" t="n">
        <f aca="false">IF(AND(OR(CC854="L1",CC854="L23",CC854="LIFT"),BA854&gt;0),SUMIFS($BA$7:$BA$1843,$CC$7:$CC$1843,CC854,$BD$7:$BD$1843,"&gt;"&amp;BD854)+SUMIFS($BA$7:$BA$1843,$CC$7:$CC$1843,CC854,$BD$7:$BD$1843,BD854,$BT$7:$BT$1843,"&lt;="&amp;BT854),"")</f>
        <v>3065.76373626374</v>
      </c>
      <c r="BF854" s="58" t="n">
        <f aca="false">IF(BE854="",0,MAX(0,MIN(1,(IF(CC854="L1",Parameter!$H$5,IF(CC854="L23",Parameter!$H$6+Parameter!$H$7,Parameter!$H$5+Parameter!$H$6+Parameter!$H$7))-(BE854-BA854))/BA854)))</f>
        <v>1</v>
      </c>
      <c r="BG854" s="48" t="str">
        <f aca="false">IF(AI854&lt;=0,"",IF(CC854="Aussen","Aussenlager",IF(CC854="-","Nicht im Lift",IF(AN854&gt;=1,"Lift",IF(AN854&lt;=0,"Aussenlager","teilweise")))))</f>
        <v>Lift</v>
      </c>
      <c r="BH854" s="48" t="str">
        <f aca="false">IF(AR854&lt;=0,"",IF(CC854="Aussen","Aussenlager",IF(CC854="-","Nicht im Lift",IF(AW854&gt;=1,"Lift",IF(AW854&lt;=0,"Aussenlager","teilweise")))))</f>
        <v>Lift</v>
      </c>
      <c r="BI854" s="48" t="str">
        <f aca="false">IF(BA854&lt;=0,"",IF(CC854="Aussen","Aussenlager",IF(CC854="-","Nicht im Lift",IF(BF854&gt;=1,"Lift",IF(BF854&lt;=0,"Aussenlager","teilweise")))))</f>
        <v>Lift</v>
      </c>
      <c r="BJ854" s="48" t="str">
        <f aca="false">IF(A854="","",IF(BS854=1,"Neu; ","")&amp;IF(AND(BS854=0,BN854&lt;0),"negativer Bestand (Export "&amp;BN854&amp;"); ","")&amp;IF(J854&lt;=0,"Kein Verbrauch; ","")&amp;IF(CL854&gt;0,"Lift "&amp;W854&amp;" lt. Liftbericht (Fach "&amp;X854&amp;" Stk); ",IF(BX854=1,"Gebinde geschätzt ("&amp;T854&amp;"); ",IF(BW854=1,"Lose – Tablare geschätzt; ","")))&amp;IF(H854&gt;AT854,"Überbestand "&amp;ROUND(H854-AT854,0)&amp;" Stk / CHF "&amp;ROUND((H854-AT854)*G854,0)&amp;"; ","")&amp;IF(AND(CE854=1,CF854&lt;CG854),"MAX &lt; MB+LG; ","")&amp;IF(AND(CK854&gt;0,CJ854*10&gt;CK854),"zu hoch für Tablar; ","")&amp;IF(AND(BS854=0,OR(CE854=1,AA854&lt;&gt;"",U854&lt;&gt;"",V854&lt;&gt;"",AB854&lt;&gt;"")),"manuell übersteuert; ","")&amp;IF(AND(BW854=0,R854=0),"Gebinde unbekannt / Stellmass fehlt; ","")&amp;IF(AND(BW854=0,N(V854)&lt;=0,N(Q854)&lt;=0),"Menge pro Gebinde fehlt (Ist = 1 Gebinde); ","")&amp;BR854)</f>
        <v>negativer Bestand (Export -56); </v>
      </c>
      <c r="BK854" s="48"/>
      <c r="BL854" s="48"/>
      <c r="BM854" s="55"/>
      <c r="BN854" s="50" t="n">
        <v>-56</v>
      </c>
      <c r="BO854" s="50" t="n">
        <v>106</v>
      </c>
      <c r="BP854" s="49" t="n">
        <v>-17.98</v>
      </c>
      <c r="BQ854" s="50" t="n">
        <v>400</v>
      </c>
      <c r="BR854" s="48"/>
      <c r="BS854" s="53" t="n">
        <v>0</v>
      </c>
      <c r="BT854" s="53" t="n">
        <v>854</v>
      </c>
      <c r="BU854" s="48" t="str">
        <f aca="false">IF(U854&lt;&gt;"",UPPER(TRIM(U854)),IF(BX854=1,UPPER(VLOOKUP(T854,Parameter!$I$27:$K$29,2,0)),IF(P854="","LOSE",P854)))</f>
        <v>S63</v>
      </c>
      <c r="BV854" s="50" t="n">
        <f aca="false">IF(BU854="LOSE",1,IF(N(V854)&gt;0,V854,IF(BX854=1,MAX(1,N(VLOOKUP(T854,Parameter!$I$27:$K$29,3,0)),H854,N(N854)),IF(N(Q854)&gt;0,Q854,MAX(1,H854)))))</f>
        <v>555</v>
      </c>
      <c r="BW854" s="53" t="n">
        <f aca="false">IF(BU854="LOSE",1,0)</f>
        <v>0</v>
      </c>
      <c r="BX854" s="53" t="n">
        <f aca="false">IF(AND(U854="",OR(P854="",P854="LOSE"),T854&lt;&gt;"",N(S854)&lt;=0,ISNUMBER(MATCH(T854,Parameter!$I$27:$I$29,0))),1,0)</f>
        <v>0</v>
      </c>
      <c r="BY854" s="53" t="n">
        <f aca="false">IF(CL854&gt;0,INDEX(Parameter!$H$5:$H$7,W854)/INDEX(Parameter!$E$5:$E$7,W854),IF(AND(BW854=0,N(IFERROR(VLOOKUP(BU854,'Gebinde-Kategorie'!$A$5:$N$45,14,0),0))&gt;0),VLOOKUP(BU854,'Gebinde-Kategorie'!$A$5:$N$45,14,0)*10+Parameter!$M$23,Parameter!$M$24))</f>
        <v>345</v>
      </c>
      <c r="BZ854" s="48" t="str">
        <f aca="false">IF(AND(Parameter!$B$19="Ja",E854&lt;&gt;"",ISNUMBER(MATCH(E854,Parameter!$I$35:$I$52,0))),VLOOKUP(E854,Parameter!$I$35:$J$52,2,0),IFERROR(VLOOKUP(D854,Parameter!$A$35:$C$64,2,0),"Nein"))</f>
        <v>2+3</v>
      </c>
      <c r="CA854" s="52" t="n">
        <f aca="false">IF(BW854=0,0,IF(N(S854)&gt;0,S854,IFERROR(VLOOKUP(D854,Parameter!$A$35:$C$64,3,0)+0,0)))</f>
        <v>0</v>
      </c>
      <c r="CB854" s="48" t="n">
        <f aca="false">IF(AA854&lt;&gt;"",AA854,Z854)</f>
        <v>2</v>
      </c>
      <c r="CC854" s="48" t="str">
        <f aca="false">IF(OR(CB854=1,CB854=2,CB854=3),IF(Parameter!$E$27="Ja","LIFT",IF(CB854=1,"L1","L23")),IF(CB854="Aussen","Aussen","-"))</f>
        <v>LIFT</v>
      </c>
      <c r="CD854" s="59" t="n">
        <f aca="false">IF(N(AB854)&gt;0,AB854,0)</f>
        <v>0</v>
      </c>
      <c r="CE854" s="53" t="n">
        <f aca="false">IF(ISNUMBER(AE854),1,0)</f>
        <v>0</v>
      </c>
      <c r="CF854" s="50" t="n">
        <f aca="false">N(AE854)</f>
        <v>0</v>
      </c>
      <c r="CG854" s="50" t="n">
        <f aca="false">N(M854)+N(N854)</f>
        <v>423</v>
      </c>
      <c r="CH854" s="50" t="n">
        <f aca="false">ROUNDUP(H854/BV854,0)</f>
        <v>1</v>
      </c>
      <c r="CI854" s="50" t="n">
        <f aca="false">ROUNDUP(CF854/BV854,0)</f>
        <v>0</v>
      </c>
      <c r="CJ854" s="53" t="n">
        <f aca="false">IF(BW854=1,0,IFERROR(VLOOKUP(BU854,'Gebinde-Kategorie'!$A$5:$N$45,5,0)+0,0))</f>
        <v>31</v>
      </c>
      <c r="CK854" s="53" t="n">
        <f aca="false">IFERROR(IF(OR(CB854=1,CB854=2,CB854=3),N(INDEX(Parameter!$I$5:$I$7,CB854)),0),0)</f>
        <v>0</v>
      </c>
      <c r="CL854" s="52" t="n">
        <f aca="false">IF(AND(Parameter!$B$21="Ja",ISNUMBER(W854),N(X854)&gt;0),IFERROR(N(INDEX(Parameter!$L$5:$L$7,W854))*INDEX(Parameter!$E$5:$E$7,W854)*X854/SUMIFS($X$7:$X$1843,$W$7:$W$1843,W854),0),0)</f>
        <v>0</v>
      </c>
    </row>
    <row r="855" customFormat="false" ht="15" hidden="false" customHeight="false" outlineLevel="0" collapsed="false">
      <c r="A855" s="48" t="s">
        <v>1633</v>
      </c>
      <c r="B855" s="48" t="s">
        <v>1634</v>
      </c>
      <c r="C855" s="48" t="s">
        <v>168</v>
      </c>
      <c r="D855" s="48" t="s">
        <v>188</v>
      </c>
      <c r="E855" s="48" t="s">
        <v>189</v>
      </c>
      <c r="F855" s="48" t="s">
        <v>222</v>
      </c>
      <c r="G855" s="49" t="n">
        <v>0.77</v>
      </c>
      <c r="H855" s="50" t="n">
        <f aca="false">MAX(0,IF(AND(Parameter!$B$21="Ja",ISNUMBER(Y855)),Y855,IF(Parameter!$B$20="Jahresanfang 2025 + Export",BO855+BN855,BN855)))</f>
        <v>5</v>
      </c>
      <c r="I855" s="50" t="n">
        <f aca="false">H855*G855</f>
        <v>3.85</v>
      </c>
      <c r="J855" s="50" t="n">
        <f aca="false">BQ855*Parameter!$B$18</f>
        <v>2</v>
      </c>
      <c r="K855" s="51" t="n">
        <v>16</v>
      </c>
      <c r="L855" s="52" t="n">
        <v>0.125</v>
      </c>
      <c r="M855" s="50" t="n">
        <v>0</v>
      </c>
      <c r="N855" s="50" t="n">
        <v>1</v>
      </c>
      <c r="O855" s="53" t="n">
        <v>14</v>
      </c>
      <c r="P855" s="48" t="s">
        <v>172</v>
      </c>
      <c r="Q855" s="50"/>
      <c r="R855" s="53" t="n">
        <f aca="false">IF(BW855=1,0,IFERROR(VLOOKUP(BU855,'Gebinde-Kategorie'!$A$5:$N$45,13,0)+0,0))</f>
        <v>26</v>
      </c>
      <c r="S855" s="54"/>
      <c r="T855" s="55" t="s">
        <v>279</v>
      </c>
      <c r="U855" s="55"/>
      <c r="V855" s="55"/>
      <c r="W855" s="48"/>
      <c r="X855" s="50"/>
      <c r="Y855" s="50"/>
      <c r="Z855" s="48" t="n">
        <f aca="false">IF(A855="","",IF(AND(Parameter!$B$21="Ja",ISNUMBER(W855)),W855,IF(BZ855="2+3",IF(ISNUMBER(SEARCH("grosser Artikel",BR855)),2,IFERROR(VLOOKUP(BU855,Parameter!$F$35:$G$64,2,0),2)),IF(OR(BZ855="Nein",BZ855=""),"-",BZ855))))</f>
        <v>3</v>
      </c>
      <c r="AA855" s="55"/>
      <c r="AB855" s="56"/>
      <c r="AC855" s="50" t="n">
        <f aca="false">AT855</f>
        <v>20</v>
      </c>
      <c r="AD855" s="50" t="n">
        <f aca="false">MAX(AT855,H855)</f>
        <v>20</v>
      </c>
      <c r="AE855" s="57"/>
      <c r="AF855" s="50" t="n">
        <f aca="false">IF(LEFT(Cockpit!$C$5,1)="A",H855,IF(CE855=1,CF855,IF(LEFT(Cockpit!$C$5,1)="B",AK855,MAX(AK855,H855))))</f>
        <v>5</v>
      </c>
      <c r="AG855" s="50" t="n">
        <f aca="false">IF(BW855=1,0,ROUNDUP(AF855/BV855,0))</f>
        <v>1</v>
      </c>
      <c r="AH855" s="52" t="n">
        <f aca="false">IF(CL855&gt;0,CL855*MAX(1,AF855/X855),IF(BW855=1,IF(AF855&lt;=0,0,CA855*MAX(1,IF(H855&gt;0,AF855/H855,1))),IF(R855&gt;0,AG855/R855,0))/MAX(0.1,N(Parameter!$M$21)))</f>
        <v>0.0384615384615385</v>
      </c>
      <c r="AI855" s="50" t="n">
        <f aca="false">AH855*BY855</f>
        <v>5.96153846153846</v>
      </c>
      <c r="AJ855" s="50" t="n">
        <f aca="false">AF855*G855</f>
        <v>3.85</v>
      </c>
      <c r="AK855" s="50" t="n">
        <f aca="false">ROUNDUP(MAX(J855/IF(CD855&gt;0,CD855,MAX(0.1,N(Cockpit!$C$6))),CG855)/BV855,0)*BV855</f>
        <v>20</v>
      </c>
      <c r="AL855" s="51" t="n">
        <f aca="false">IF(AI855&gt;0,J855/AI855,-1)</f>
        <v>0.335483870967742</v>
      </c>
      <c r="AM855" s="51" t="n">
        <f aca="false">IF(AND(OR(CC855="L1",CC855="L23",CC855="LIFT"),AI855&gt;0),SUMIFS($AI$7:$AI$1843,$CC$7:$CC$1843,CC855,$AL$7:$AL$1843,"&gt;"&amp;AL855)+SUMIFS($AI$7:$AI$1843,$CC$7:$CC$1843,CC855,$AL$7:$AL$1843,AL855,$BT$7:$BT$1843,"&lt;="&amp;BT855),"")</f>
        <v>11209.8655010244</v>
      </c>
      <c r="AN855" s="58" t="n">
        <f aca="false">IF(AM855="",0,MAX(0,MIN(1,(IF(CC855="L1",Parameter!$H$5,IF(CC855="L23",Parameter!$H$6+Parameter!$H$7,Parameter!$H$5+Parameter!$H$6+Parameter!$H$7))-(AM855-AI855))/AI855)))</f>
        <v>1</v>
      </c>
      <c r="AO855" s="50" t="n">
        <f aca="false">IF(LEFT(Cockpit!$I$5,1)="A",H855,IF(CE855=1,CF855,IF(LEFT(Cockpit!$I$5,1)="B",AT855,MAX(AT855,H855))))</f>
        <v>20</v>
      </c>
      <c r="AP855" s="50" t="n">
        <f aca="false">IF(BW855=1,0,ROUNDUP(AO855/BV855,0))</f>
        <v>1</v>
      </c>
      <c r="AQ855" s="52" t="n">
        <f aca="false">IF(CL855&gt;0,CL855*MAX(1,AO855/X855),IF(BW855=1,IF(AO855&lt;=0,0,CA855*MAX(1,IF(H855&gt;0,AO855/H855,1))),IF(R855&gt;0,AP855/R855,0))/MAX(0.1,N(Parameter!$M$21)))</f>
        <v>0.0384615384615385</v>
      </c>
      <c r="AR855" s="50" t="n">
        <f aca="false">AQ855*BY855</f>
        <v>5.96153846153846</v>
      </c>
      <c r="AS855" s="50" t="n">
        <f aca="false">AO855*G855</f>
        <v>15.4</v>
      </c>
      <c r="AT855" s="50" t="n">
        <f aca="false">ROUNDUP(MAX(J855/IF(CD855&gt;0,CD855,MAX(0.1,N(Cockpit!$I$6))),CG855)/BV855,0)*BV855</f>
        <v>20</v>
      </c>
      <c r="AU855" s="51" t="n">
        <f aca="false">IF(AR855&gt;0,J855/AR855,-1)</f>
        <v>0.335483870967742</v>
      </c>
      <c r="AV855" s="51" t="n">
        <f aca="false">IF(AND(OR(CC855="L1",CC855="L23",CC855="LIFT"),AR855&gt;0),SUMIFS($AR$7:$AR$1843,$CC$7:$CC$1843,CC855,$AU$7:$AU$1843,"&gt;"&amp;AU855)+SUMIFS($AR$7:$AR$1843,$CC$7:$CC$1843,CC855,$AU$7:$AU$1843,AU855,$BT$7:$BT$1843,"&lt;="&amp;BT855),"")</f>
        <v>16335.5636446886</v>
      </c>
      <c r="AW855" s="58" t="n">
        <f aca="false">IF(AV855="",0,MAX(0,MIN(1,(IF(CC855="L1",Parameter!$H$5,IF(CC855="L23",Parameter!$H$6+Parameter!$H$7,Parameter!$H$5+Parameter!$H$6+Parameter!$H$7))-(AV855-AR855))/AR855)))</f>
        <v>1</v>
      </c>
      <c r="AX855" s="50" t="n">
        <f aca="false">IF(LEFT(Cockpit!$O$5,1)="A",H855,IF(CE855=1,CF855,IF(LEFT(Cockpit!$O$5,1)="B",BC855,MAX(BC855,H855))))</f>
        <v>20</v>
      </c>
      <c r="AY855" s="50" t="n">
        <f aca="false">IF(BW855=1,0,ROUNDUP(AX855/BV855,0))</f>
        <v>1</v>
      </c>
      <c r="AZ855" s="52" t="n">
        <f aca="false">IF(CL855&gt;0,CL855*MAX(1,AX855/X855),IF(BW855=1,IF(AX855&lt;=0,0,CA855*MAX(1,IF(H855&gt;0,AX855/H855,1))),IF(R855&gt;0,AY855/R855,0))/MAX(0.1,N(Parameter!$M$21)))</f>
        <v>0.0384615384615385</v>
      </c>
      <c r="BA855" s="50" t="n">
        <f aca="false">AZ855*BY855</f>
        <v>5.96153846153846</v>
      </c>
      <c r="BB855" s="50" t="n">
        <f aca="false">AX855*G855</f>
        <v>15.4</v>
      </c>
      <c r="BC855" s="50" t="n">
        <f aca="false">ROUNDUP(MAX(J855/IF(CD855&gt;0,CD855,MAX(0.1,N(Cockpit!$O$6))),CG855)/BV855,0)*BV855</f>
        <v>20</v>
      </c>
      <c r="BD855" s="51" t="n">
        <f aca="false">IF(BA855&gt;0,J855/BA855,-1)</f>
        <v>0.335483870967742</v>
      </c>
      <c r="BE855" s="51" t="n">
        <f aca="false">IF(AND(OR(CC855="L1",CC855="L23",CC855="LIFT"),BA855&gt;0),SUMIFS($BA$7:$BA$1843,$CC$7:$CC$1843,CC855,$BD$7:$BD$1843,"&gt;"&amp;BD855)+SUMIFS($BA$7:$BA$1843,$CC$7:$CC$1843,CC855,$BD$7:$BD$1843,BD855,$BT$7:$BT$1843,"&lt;="&amp;BT855),"")</f>
        <v>15086.2206959707</v>
      </c>
      <c r="BF855" s="58" t="n">
        <f aca="false">IF(BE855="",0,MAX(0,MIN(1,(IF(CC855="L1",Parameter!$H$5,IF(CC855="L23",Parameter!$H$6+Parameter!$H$7,Parameter!$H$5+Parameter!$H$6+Parameter!$H$7))-(BE855-BA855))/BA855)))</f>
        <v>1</v>
      </c>
      <c r="BG855" s="48" t="str">
        <f aca="false">IF(AI855&lt;=0,"",IF(CC855="Aussen","Aussenlager",IF(CC855="-","Nicht im Lift",IF(AN855&gt;=1,"Lift",IF(AN855&lt;=0,"Aussenlager","teilweise")))))</f>
        <v>Lift</v>
      </c>
      <c r="BH855" s="48" t="str">
        <f aca="false">IF(AR855&lt;=0,"",IF(CC855="Aussen","Aussenlager",IF(CC855="-","Nicht im Lift",IF(AW855&gt;=1,"Lift",IF(AW855&lt;=0,"Aussenlager","teilweise")))))</f>
        <v>Lift</v>
      </c>
      <c r="BI855" s="48" t="str">
        <f aca="false">IF(BA855&lt;=0,"",IF(CC855="Aussen","Aussenlager",IF(CC855="-","Nicht im Lift",IF(BF855&gt;=1,"Lift",IF(BF855&lt;=0,"Aussenlager","teilweise")))))</f>
        <v>Lift</v>
      </c>
      <c r="BJ855" s="48" t="str">
        <f aca="false">IF(A855="","",IF(BS855=1,"Neu; ","")&amp;IF(AND(BS855=0,BN855&lt;0),"negativer Bestand (Export "&amp;BN855&amp;"); ","")&amp;IF(J855&lt;=0,"Kein Verbrauch; ","")&amp;IF(CL855&gt;0,"Lift "&amp;W855&amp;" lt. Liftbericht (Fach "&amp;X855&amp;" Stk); ",IF(BX855=1,"Gebinde geschätzt ("&amp;T855&amp;"); ",IF(BW855=1,"Lose – Tablare geschätzt; ","")))&amp;IF(H855&gt;AT855,"Überbestand "&amp;ROUND(H855-AT855,0)&amp;" Stk / CHF "&amp;ROUND((H855-AT855)*G855,0)&amp;"; ","")&amp;IF(AND(CE855=1,CF855&lt;CG855),"MAX &lt; MB+LG; ","")&amp;IF(AND(CK855&gt;0,CJ855*10&gt;CK855),"zu hoch für Tablar; ","")&amp;IF(AND(BS855=0,OR(CE855=1,AA855&lt;&gt;"",U855&lt;&gt;"",V855&lt;&gt;"",AB855&lt;&gt;"")),"manuell übersteuert; ","")&amp;IF(AND(BW855=0,R855=0),"Gebinde unbekannt / Stellmass fehlt; ","")&amp;IF(AND(BW855=0,N(V855)&lt;=0,N(Q855)&lt;=0),"Menge pro Gebinde fehlt (Ist = 1 Gebinde); ","")&amp;BR855)</f>
        <v>negativer Bestand (Export -24); Gebinde geschätzt (Klein); Menge pro Gebinde fehlt (Ist = 1 Gebinde); Überbestand; nicht im KTL vorhanden</v>
      </c>
      <c r="BK855" s="48"/>
      <c r="BL855" s="48"/>
      <c r="BM855" s="55"/>
      <c r="BN855" s="50" t="n">
        <v>-24</v>
      </c>
      <c r="BO855" s="50" t="n">
        <v>29</v>
      </c>
      <c r="BP855" s="49" t="n">
        <v>-18.48</v>
      </c>
      <c r="BQ855" s="50" t="n">
        <v>2</v>
      </c>
      <c r="BR855" s="48" t="s">
        <v>1635</v>
      </c>
      <c r="BS855" s="53" t="n">
        <v>0</v>
      </c>
      <c r="BT855" s="53" t="n">
        <v>855</v>
      </c>
      <c r="BU855" s="48" t="str">
        <f aca="false">IF(U855&lt;&gt;"",UPPER(TRIM(U855)),IF(BX855=1,UPPER(VLOOKUP(T855,Parameter!$I$27:$K$29,2,0)),IF(P855="","LOSE",P855)))</f>
        <v>S51</v>
      </c>
      <c r="BV855" s="50" t="n">
        <f aca="false">IF(BU855="LOSE",1,IF(N(V855)&gt;0,V855,IF(BX855=1,MAX(1,N(VLOOKUP(T855,Parameter!$I$27:$K$29,3,0)),H855,N(N855)),IF(N(Q855)&gt;0,Q855,MAX(1,H855)))))</f>
        <v>20</v>
      </c>
      <c r="BW855" s="53" t="n">
        <f aca="false">IF(BU855="LOSE",1,0)</f>
        <v>0</v>
      </c>
      <c r="BX855" s="53" t="n">
        <f aca="false">IF(AND(U855="",OR(P855="",P855="LOSE"),T855&lt;&gt;"",N(S855)&lt;=0,ISNUMBER(MATCH(T855,Parameter!$I$27:$I$29,0))),1,0)</f>
        <v>1</v>
      </c>
      <c r="BY855" s="53" t="n">
        <f aca="false">IF(CL855&gt;0,INDEX(Parameter!$H$5:$H$7,W855)/INDEX(Parameter!$E$5:$E$7,W855),IF(AND(BW855=0,N(IFERROR(VLOOKUP(BU855,'Gebinde-Kategorie'!$A$5:$N$45,14,0),0))&gt;0),VLOOKUP(BU855,'Gebinde-Kategorie'!$A$5:$N$45,14,0)*10+Parameter!$M$23,Parameter!$M$24))</f>
        <v>155</v>
      </c>
      <c r="BZ855" s="48" t="str">
        <f aca="false">IF(AND(Parameter!$B$19="Ja",E855&lt;&gt;"",ISNUMBER(MATCH(E855,Parameter!$I$35:$I$52,0))),VLOOKUP(E855,Parameter!$I$35:$J$52,2,0),IFERROR(VLOOKUP(D855,Parameter!$A$35:$C$64,2,0),"Nein"))</f>
        <v>2+3</v>
      </c>
      <c r="CA855" s="52" t="n">
        <f aca="false">IF(BW855=0,0,IF(N(S855)&gt;0,S855,IFERROR(VLOOKUP(D855,Parameter!$A$35:$C$64,3,0)+0,0)))</f>
        <v>0</v>
      </c>
      <c r="CB855" s="48" t="n">
        <f aca="false">IF(AA855&lt;&gt;"",AA855,Z855)</f>
        <v>3</v>
      </c>
      <c r="CC855" s="48" t="str">
        <f aca="false">IF(OR(CB855=1,CB855=2,CB855=3),IF(Parameter!$E$27="Ja","LIFT",IF(CB855=1,"L1","L23")),IF(CB855="Aussen","Aussen","-"))</f>
        <v>LIFT</v>
      </c>
      <c r="CD855" s="59" t="n">
        <f aca="false">IF(N(AB855)&gt;0,AB855,0)</f>
        <v>0</v>
      </c>
      <c r="CE855" s="53" t="n">
        <f aca="false">IF(ISNUMBER(AE855),1,0)</f>
        <v>0</v>
      </c>
      <c r="CF855" s="50" t="n">
        <f aca="false">N(AE855)</f>
        <v>0</v>
      </c>
      <c r="CG855" s="50" t="n">
        <f aca="false">N(M855)+N(N855)</f>
        <v>1</v>
      </c>
      <c r="CH855" s="50" t="n">
        <f aca="false">ROUNDUP(H855/BV855,0)</f>
        <v>1</v>
      </c>
      <c r="CI855" s="50" t="n">
        <f aca="false">ROUNDUP(CF855/BV855,0)</f>
        <v>0</v>
      </c>
      <c r="CJ855" s="53" t="n">
        <f aca="false">IF(BW855=1,0,IFERROR(VLOOKUP(BU855,'Gebinde-Kategorie'!$A$5:$N$45,5,0)+0,0))</f>
        <v>11</v>
      </c>
      <c r="CK855" s="53" t="n">
        <f aca="false">IFERROR(IF(OR(CB855=1,CB855=2,CB855=3),N(INDEX(Parameter!$I$5:$I$7,CB855)),0),0)</f>
        <v>0</v>
      </c>
      <c r="CL855" s="52" t="n">
        <f aca="false">IF(AND(Parameter!$B$21="Ja",ISNUMBER(W855),N(X855)&gt;0),IFERROR(N(INDEX(Parameter!$L$5:$L$7,W855))*INDEX(Parameter!$E$5:$E$7,W855)*X855/SUMIFS($X$7:$X$1843,$W$7:$W$1843,W855),0),0)</f>
        <v>0</v>
      </c>
    </row>
    <row r="856" customFormat="false" ht="15" hidden="false" customHeight="false" outlineLevel="0" collapsed="false">
      <c r="A856" s="48" t="s">
        <v>1636</v>
      </c>
      <c r="B856" s="48" t="s">
        <v>1294</v>
      </c>
      <c r="C856" s="48" t="s">
        <v>168</v>
      </c>
      <c r="D856" s="48" t="s">
        <v>188</v>
      </c>
      <c r="E856" s="48" t="s">
        <v>189</v>
      </c>
      <c r="F856" s="48" t="s">
        <v>222</v>
      </c>
      <c r="G856" s="49" t="n">
        <v>0.72</v>
      </c>
      <c r="H856" s="50" t="n">
        <f aca="false">MAX(0,IF(AND(Parameter!$B$21="Ja",ISNUMBER(Y856)),Y856,IF(Parameter!$B$20="Jahresanfang 2025 + Export",BO856+BN856,BN856)))</f>
        <v>464</v>
      </c>
      <c r="I856" s="50" t="n">
        <f aca="false">H856*G856</f>
        <v>334.08</v>
      </c>
      <c r="J856" s="50" t="n">
        <f aca="false">BQ856*Parameter!$B$18</f>
        <v>60</v>
      </c>
      <c r="K856" s="51" t="n">
        <v>519.5</v>
      </c>
      <c r="L856" s="52" t="n">
        <v>0.115495668912416</v>
      </c>
      <c r="M856" s="50" t="n">
        <v>2</v>
      </c>
      <c r="N856" s="50" t="n">
        <v>60</v>
      </c>
      <c r="O856" s="53" t="n">
        <v>14</v>
      </c>
      <c r="P856" s="48" t="s">
        <v>237</v>
      </c>
      <c r="Q856" s="50" t="n">
        <v>831</v>
      </c>
      <c r="R856" s="53" t="n">
        <f aca="false">IF(BW856=1,0,IFERROR(VLOOKUP(BU856,'Gebinde-Kategorie'!$A$5:$N$45,13,0)+0,0))</f>
        <v>26</v>
      </c>
      <c r="S856" s="54"/>
      <c r="T856" s="55"/>
      <c r="U856" s="55"/>
      <c r="V856" s="55"/>
      <c r="W856" s="48"/>
      <c r="X856" s="50"/>
      <c r="Y856" s="50"/>
      <c r="Z856" s="48" t="n">
        <f aca="false">IF(A856="","",IF(AND(Parameter!$B$21="Ja",ISNUMBER(W856)),W856,IF(BZ856="2+3",IF(ISNUMBER(SEARCH("grosser Artikel",BR856)),2,IFERROR(VLOOKUP(BU856,Parameter!$F$35:$G$64,2,0),2)),IF(OR(BZ856="Nein",BZ856=""),"-",BZ856))))</f>
        <v>3</v>
      </c>
      <c r="AA856" s="55"/>
      <c r="AB856" s="56"/>
      <c r="AC856" s="50" t="n">
        <f aca="false">AT856</f>
        <v>831</v>
      </c>
      <c r="AD856" s="50" t="n">
        <f aca="false">MAX(AT856,H856)</f>
        <v>831</v>
      </c>
      <c r="AE856" s="57"/>
      <c r="AF856" s="50" t="n">
        <f aca="false">IF(LEFT(Cockpit!$C$5,1)="A",H856,IF(CE856=1,CF856,IF(LEFT(Cockpit!$C$5,1)="B",AK856,MAX(AK856,H856))))</f>
        <v>464</v>
      </c>
      <c r="AG856" s="50" t="n">
        <f aca="false">IF(BW856=1,0,ROUNDUP(AF856/BV856,0))</f>
        <v>1</v>
      </c>
      <c r="AH856" s="52" t="n">
        <f aca="false">IF(CL856&gt;0,CL856*MAX(1,AF856/X856),IF(BW856=1,IF(AF856&lt;=0,0,CA856*MAX(1,IF(H856&gt;0,AF856/H856,1))),IF(R856&gt;0,AG856/R856,0))/MAX(0.1,N(Parameter!$M$21)))</f>
        <v>0.0384615384615385</v>
      </c>
      <c r="AI856" s="50" t="n">
        <f aca="false">AH856*BY856</f>
        <v>9.42307692307692</v>
      </c>
      <c r="AJ856" s="50" t="n">
        <f aca="false">AF856*G856</f>
        <v>334.08</v>
      </c>
      <c r="AK856" s="50" t="n">
        <f aca="false">ROUNDUP(MAX(J856/IF(CD856&gt;0,CD856,MAX(0.1,N(Cockpit!$C$6))),CG856)/BV856,0)*BV856</f>
        <v>831</v>
      </c>
      <c r="AL856" s="51" t="n">
        <f aca="false">IF(AI856&gt;0,J856/AI856,-1)</f>
        <v>6.36734693877551</v>
      </c>
      <c r="AM856" s="51" t="n">
        <f aca="false">IF(AND(OR(CC856="L1",CC856="L23",CC856="LIFT"),AI856&gt;0),SUMIFS($AI$7:$AI$1843,$CC$7:$CC$1843,CC856,$AL$7:$AL$1843,"&gt;"&amp;AL856)+SUMIFS($AI$7:$AI$1843,$CC$7:$CC$1843,CC856,$AL$7:$AL$1843,AL856,$BT$7:$BT$1843,"&lt;="&amp;BT856),"")</f>
        <v>3450.68177655678</v>
      </c>
      <c r="AN856" s="58" t="n">
        <f aca="false">IF(AM856="",0,MAX(0,MIN(1,(IF(CC856="L1",Parameter!$H$5,IF(CC856="L23",Parameter!$H$6+Parameter!$H$7,Parameter!$H$5+Parameter!$H$6+Parameter!$H$7))-(AM856-AI856))/AI856)))</f>
        <v>1</v>
      </c>
      <c r="AO856" s="50" t="n">
        <f aca="false">IF(LEFT(Cockpit!$I$5,1)="A",H856,IF(CE856=1,CF856,IF(LEFT(Cockpit!$I$5,1)="B",AT856,MAX(AT856,H856))))</f>
        <v>831</v>
      </c>
      <c r="AP856" s="50" t="n">
        <f aca="false">IF(BW856=1,0,ROUNDUP(AO856/BV856,0))</f>
        <v>1</v>
      </c>
      <c r="AQ856" s="52" t="n">
        <f aca="false">IF(CL856&gt;0,CL856*MAX(1,AO856/X856),IF(BW856=1,IF(AO856&lt;=0,0,CA856*MAX(1,IF(H856&gt;0,AO856/H856,1))),IF(R856&gt;0,AP856/R856,0))/MAX(0.1,N(Parameter!$M$21)))</f>
        <v>0.0384615384615385</v>
      </c>
      <c r="AR856" s="50" t="n">
        <f aca="false">AQ856*BY856</f>
        <v>9.42307692307692</v>
      </c>
      <c r="AS856" s="50" t="n">
        <f aca="false">AO856*G856</f>
        <v>598.32</v>
      </c>
      <c r="AT856" s="50" t="n">
        <f aca="false">ROUNDUP(MAX(J856/IF(CD856&gt;0,CD856,MAX(0.1,N(Cockpit!$I$6))),CG856)/BV856,0)*BV856</f>
        <v>831</v>
      </c>
      <c r="AU856" s="51" t="n">
        <f aca="false">IF(AR856&gt;0,J856/AR856,-1)</f>
        <v>6.36734693877551</v>
      </c>
      <c r="AV856" s="51" t="n">
        <f aca="false">IF(AND(OR(CC856="L1",CC856="L23",CC856="LIFT"),AR856&gt;0),SUMIFS($AR$7:$AR$1843,$CC$7:$CC$1843,CC856,$AU$7:$AU$1843,"&gt;"&amp;AU856)+SUMIFS($AR$7:$AR$1843,$CC$7:$CC$1843,CC856,$AU$7:$AU$1843,AU856,$BT$7:$BT$1843,"&lt;="&amp;BT856),"")</f>
        <v>4552.20467032967</v>
      </c>
      <c r="AW856" s="58" t="n">
        <f aca="false">IF(AV856="",0,MAX(0,MIN(1,(IF(CC856="L1",Parameter!$H$5,IF(CC856="L23",Parameter!$H$6+Parameter!$H$7,Parameter!$H$5+Parameter!$H$6+Parameter!$H$7))-(AV856-AR856))/AR856)))</f>
        <v>1</v>
      </c>
      <c r="AX856" s="50" t="n">
        <f aca="false">IF(LEFT(Cockpit!$O$5,1)="A",H856,IF(CE856=1,CF856,IF(LEFT(Cockpit!$O$5,1)="B",BC856,MAX(BC856,H856))))</f>
        <v>831</v>
      </c>
      <c r="AY856" s="50" t="n">
        <f aca="false">IF(BW856=1,0,ROUNDUP(AX856/BV856,0))</f>
        <v>1</v>
      </c>
      <c r="AZ856" s="52" t="n">
        <f aca="false">IF(CL856&gt;0,CL856*MAX(1,AX856/X856),IF(BW856=1,IF(AX856&lt;=0,0,CA856*MAX(1,IF(H856&gt;0,AX856/H856,1))),IF(R856&gt;0,AY856/R856,0))/MAX(0.1,N(Parameter!$M$21)))</f>
        <v>0.0384615384615385</v>
      </c>
      <c r="BA856" s="50" t="n">
        <f aca="false">AZ856*BY856</f>
        <v>9.42307692307692</v>
      </c>
      <c r="BB856" s="50" t="n">
        <f aca="false">AX856*G856</f>
        <v>598.32</v>
      </c>
      <c r="BC856" s="50" t="n">
        <f aca="false">ROUNDUP(MAX(J856/IF(CD856&gt;0,CD856,MAX(0.1,N(Cockpit!$O$6))),CG856)/BV856,0)*BV856</f>
        <v>831</v>
      </c>
      <c r="BD856" s="51" t="n">
        <f aca="false">IF(BA856&gt;0,J856/BA856,-1)</f>
        <v>6.36734693877551</v>
      </c>
      <c r="BE856" s="51" t="n">
        <f aca="false">IF(AND(OR(CC856="L1",CC856="L23",CC856="LIFT"),BA856&gt;0),SUMIFS($BA$7:$BA$1843,$CC$7:$CC$1843,CC856,$BD$7:$BD$1843,"&gt;"&amp;BD856)+SUMIFS($BA$7:$BA$1843,$CC$7:$CC$1843,CC856,$BD$7:$BD$1843,BD856,$BT$7:$BT$1843,"&lt;="&amp;BT856),"")</f>
        <v>4343.50274725275</v>
      </c>
      <c r="BF856" s="58" t="n">
        <f aca="false">IF(BE856="",0,MAX(0,MIN(1,(IF(CC856="L1",Parameter!$H$5,IF(CC856="L23",Parameter!$H$6+Parameter!$H$7,Parameter!$H$5+Parameter!$H$6+Parameter!$H$7))-(BE856-BA856))/BA856)))</f>
        <v>1</v>
      </c>
      <c r="BG856" s="48" t="str">
        <f aca="false">IF(AI856&lt;=0,"",IF(CC856="Aussen","Aussenlager",IF(CC856="-","Nicht im Lift",IF(AN856&gt;=1,"Lift",IF(AN856&lt;=0,"Aussenlager","teilweise")))))</f>
        <v>Lift</v>
      </c>
      <c r="BH856" s="48" t="str">
        <f aca="false">IF(AR856&lt;=0,"",IF(CC856="Aussen","Aussenlager",IF(CC856="-","Nicht im Lift",IF(AW856&gt;=1,"Lift",IF(AW856&lt;=0,"Aussenlager","teilweise")))))</f>
        <v>Lift</v>
      </c>
      <c r="BI856" s="48" t="str">
        <f aca="false">IF(BA856&lt;=0,"",IF(CC856="Aussen","Aussenlager",IF(CC856="-","Nicht im Lift",IF(BF856&gt;=1,"Lift",IF(BF856&lt;=0,"Aussenlager","teilweise")))))</f>
        <v>Lift</v>
      </c>
      <c r="BJ856" s="48" t="str">
        <f aca="false">IF(A856="","",IF(BS856=1,"Neu; ","")&amp;IF(AND(BS856=0,BN856&lt;0),"negativer Bestand (Export "&amp;BN856&amp;"); ","")&amp;IF(J856&lt;=0,"Kein Verbrauch; ","")&amp;IF(CL856&gt;0,"Lift "&amp;W856&amp;" lt. Liftbericht (Fach "&amp;X856&amp;" Stk); ",IF(BX856=1,"Gebinde geschätzt ("&amp;T856&amp;"); ",IF(BW856=1,"Lose – Tablare geschätzt; ","")))&amp;IF(H856&gt;AT856,"Überbestand "&amp;ROUND(H856-AT856,0)&amp;" Stk / CHF "&amp;ROUND((H856-AT856)*G856,0)&amp;"; ","")&amp;IF(AND(CE856=1,CF856&lt;CG856),"MAX &lt; MB+LG; ","")&amp;IF(AND(CK856&gt;0,CJ856*10&gt;CK856),"zu hoch für Tablar; ","")&amp;IF(AND(BS856=0,OR(CE856=1,AA856&lt;&gt;"",U856&lt;&gt;"",V856&lt;&gt;"",AB856&lt;&gt;"")),"manuell übersteuert; ","")&amp;IF(AND(BW856=0,R856=0),"Gebinde unbekannt / Stellmass fehlt; ","")&amp;IF(AND(BW856=0,N(V856)&lt;=0,N(Q856)&lt;=0),"Menge pro Gebinde fehlt (Ist = 1 Gebinde); ","")&amp;BR856)</f>
        <v>negativer Bestand (Export -26); Überbestand</v>
      </c>
      <c r="BK856" s="48"/>
      <c r="BL856" s="48"/>
      <c r="BM856" s="55"/>
      <c r="BN856" s="50" t="n">
        <v>-26</v>
      </c>
      <c r="BO856" s="50" t="n">
        <v>490</v>
      </c>
      <c r="BP856" s="49" t="n">
        <v>-18.7199999999999</v>
      </c>
      <c r="BQ856" s="50" t="n">
        <v>60</v>
      </c>
      <c r="BR856" s="48" t="s">
        <v>396</v>
      </c>
      <c r="BS856" s="53" t="n">
        <v>0</v>
      </c>
      <c r="BT856" s="53" t="n">
        <v>856</v>
      </c>
      <c r="BU856" s="48" t="str">
        <f aca="false">IF(U856&lt;&gt;"",UPPER(TRIM(U856)),IF(BX856=1,UPPER(VLOOKUP(T856,Parameter!$I$27:$K$29,2,0)),IF(P856="","LOSE",P856)))</f>
        <v>S52</v>
      </c>
      <c r="BV856" s="50" t="n">
        <f aca="false">IF(BU856="LOSE",1,IF(N(V856)&gt;0,V856,IF(BX856=1,MAX(1,N(VLOOKUP(T856,Parameter!$I$27:$K$29,3,0)),H856,N(N856)),IF(N(Q856)&gt;0,Q856,MAX(1,H856)))))</f>
        <v>831</v>
      </c>
      <c r="BW856" s="53" t="n">
        <f aca="false">IF(BU856="LOSE",1,0)</f>
        <v>0</v>
      </c>
      <c r="BX856" s="53" t="n">
        <f aca="false">IF(AND(U856="",OR(P856="",P856="LOSE"),T856&lt;&gt;"",N(S856)&lt;=0,ISNUMBER(MATCH(T856,Parameter!$I$27:$I$29,0))),1,0)</f>
        <v>0</v>
      </c>
      <c r="BY856" s="53" t="n">
        <f aca="false">IF(CL856&gt;0,INDEX(Parameter!$H$5:$H$7,W856)/INDEX(Parameter!$E$5:$E$7,W856),IF(AND(BW856=0,N(IFERROR(VLOOKUP(BU856,'Gebinde-Kategorie'!$A$5:$N$45,14,0),0))&gt;0),VLOOKUP(BU856,'Gebinde-Kategorie'!$A$5:$N$45,14,0)*10+Parameter!$M$23,Parameter!$M$24))</f>
        <v>245</v>
      </c>
      <c r="BZ856" s="48" t="str">
        <f aca="false">IF(AND(Parameter!$B$19="Ja",E856&lt;&gt;"",ISNUMBER(MATCH(E856,Parameter!$I$35:$I$52,0))),VLOOKUP(E856,Parameter!$I$35:$J$52,2,0),IFERROR(VLOOKUP(D856,Parameter!$A$35:$C$64,2,0),"Nein"))</f>
        <v>2+3</v>
      </c>
      <c r="CA856" s="52" t="n">
        <f aca="false">IF(BW856=0,0,IF(N(S856)&gt;0,S856,IFERROR(VLOOKUP(D856,Parameter!$A$35:$C$64,3,0)+0,0)))</f>
        <v>0</v>
      </c>
      <c r="CB856" s="48" t="n">
        <f aca="false">IF(AA856&lt;&gt;"",AA856,Z856)</f>
        <v>3</v>
      </c>
      <c r="CC856" s="48" t="str">
        <f aca="false">IF(OR(CB856=1,CB856=2,CB856=3),IF(Parameter!$E$27="Ja","LIFT",IF(CB856=1,"L1","L23")),IF(CB856="Aussen","Aussen","-"))</f>
        <v>LIFT</v>
      </c>
      <c r="CD856" s="59" t="n">
        <f aca="false">IF(N(AB856)&gt;0,AB856,0)</f>
        <v>0</v>
      </c>
      <c r="CE856" s="53" t="n">
        <f aca="false">IF(ISNUMBER(AE856),1,0)</f>
        <v>0</v>
      </c>
      <c r="CF856" s="50" t="n">
        <f aca="false">N(AE856)</f>
        <v>0</v>
      </c>
      <c r="CG856" s="50" t="n">
        <f aca="false">N(M856)+N(N856)</f>
        <v>62</v>
      </c>
      <c r="CH856" s="50" t="n">
        <f aca="false">ROUNDUP(H856/BV856,0)</f>
        <v>1</v>
      </c>
      <c r="CI856" s="50" t="n">
        <f aca="false">ROUNDUP(CF856/BV856,0)</f>
        <v>0</v>
      </c>
      <c r="CJ856" s="53" t="n">
        <f aca="false">IF(BW856=1,0,IFERROR(VLOOKUP(BU856,'Gebinde-Kategorie'!$A$5:$N$45,5,0)+0,0))</f>
        <v>21</v>
      </c>
      <c r="CK856" s="53" t="n">
        <f aca="false">IFERROR(IF(OR(CB856=1,CB856=2,CB856=3),N(INDEX(Parameter!$I$5:$I$7,CB856)),0),0)</f>
        <v>0</v>
      </c>
      <c r="CL856" s="52" t="n">
        <f aca="false">IF(AND(Parameter!$B$21="Ja",ISNUMBER(W856),N(X856)&gt;0),IFERROR(N(INDEX(Parameter!$L$5:$L$7,W856))*INDEX(Parameter!$E$5:$E$7,W856)*X856/SUMIFS($X$7:$X$1843,$W$7:$W$1843,W856),0),0)</f>
        <v>0</v>
      </c>
    </row>
    <row r="857" customFormat="false" ht="15" hidden="false" customHeight="false" outlineLevel="0" collapsed="false">
      <c r="A857" s="48" t="s">
        <v>1637</v>
      </c>
      <c r="B857" s="48" t="s">
        <v>1638</v>
      </c>
      <c r="C857" s="48" t="s">
        <v>168</v>
      </c>
      <c r="D857" s="48" t="s">
        <v>177</v>
      </c>
      <c r="E857" s="48"/>
      <c r="F857" s="48" t="s">
        <v>222</v>
      </c>
      <c r="G857" s="49" t="n">
        <v>13.44</v>
      </c>
      <c r="H857" s="50" t="n">
        <f aca="false">MAX(0,IF(AND(Parameter!$B$21="Ja",ISNUMBER(Y857)),Y857,IF(Parameter!$B$20="Jahresanfang 2025 + Export",BO857+BN857,BN857)))</f>
        <v>42</v>
      </c>
      <c r="I857" s="50" t="n">
        <f aca="false">H857*G857</f>
        <v>564.48</v>
      </c>
      <c r="J857" s="50" t="n">
        <f aca="false">BQ857*Parameter!$B$18</f>
        <v>146</v>
      </c>
      <c r="K857" s="51" t="n">
        <v>47</v>
      </c>
      <c r="L857" s="52" t="n">
        <v>3.1063829787234</v>
      </c>
      <c r="M857" s="50" t="n">
        <v>5</v>
      </c>
      <c r="N857" s="50" t="n">
        <v>25</v>
      </c>
      <c r="O857" s="53" t="n">
        <v>14</v>
      </c>
      <c r="P857" s="48" t="s">
        <v>178</v>
      </c>
      <c r="Q857" s="50" t="n">
        <v>80</v>
      </c>
      <c r="R857" s="53" t="n">
        <f aca="false">IF(BW857=1,0,IFERROR(VLOOKUP(BU857,'Gebinde-Kategorie'!$A$5:$N$45,13,0)+0,0))</f>
        <v>6</v>
      </c>
      <c r="S857" s="54"/>
      <c r="T857" s="55"/>
      <c r="U857" s="55"/>
      <c r="V857" s="55"/>
      <c r="W857" s="48"/>
      <c r="X857" s="50"/>
      <c r="Y857" s="50"/>
      <c r="Z857" s="48" t="n">
        <f aca="false">IF(A857="","",IF(AND(Parameter!$B$21="Ja",ISNUMBER(W857)),W857,IF(BZ857="2+3",IF(ISNUMBER(SEARCH("grosser Artikel",BR857)),2,IFERROR(VLOOKUP(BU857,Parameter!$F$35:$G$64,2,0),2)),IF(OR(BZ857="Nein",BZ857=""),"-",BZ857))))</f>
        <v>2</v>
      </c>
      <c r="AA857" s="55"/>
      <c r="AB857" s="56"/>
      <c r="AC857" s="50" t="n">
        <f aca="false">AT857</f>
        <v>80</v>
      </c>
      <c r="AD857" s="50" t="n">
        <f aca="false">MAX(AT857,H857)</f>
        <v>80</v>
      </c>
      <c r="AE857" s="57"/>
      <c r="AF857" s="50" t="n">
        <f aca="false">IF(LEFT(Cockpit!$C$5,1)="A",H857,IF(CE857=1,CF857,IF(LEFT(Cockpit!$C$5,1)="B",AK857,MAX(AK857,H857))))</f>
        <v>42</v>
      </c>
      <c r="AG857" s="50" t="n">
        <f aca="false">IF(BW857=1,0,ROUNDUP(AF857/BV857,0))</f>
        <v>1</v>
      </c>
      <c r="AH857" s="52" t="n">
        <f aca="false">IF(CL857&gt;0,CL857*MAX(1,AF857/X857),IF(BW857=1,IF(AF857&lt;=0,0,CA857*MAX(1,IF(H857&gt;0,AF857/H857,1))),IF(R857&gt;0,AG857/R857,0))/MAX(0.1,N(Parameter!$M$21)))</f>
        <v>0.166666666666667</v>
      </c>
      <c r="AI857" s="50" t="n">
        <f aca="false">AH857*BY857</f>
        <v>39.1666666666667</v>
      </c>
      <c r="AJ857" s="50" t="n">
        <f aca="false">AF857*G857</f>
        <v>564.48</v>
      </c>
      <c r="AK857" s="50" t="n">
        <f aca="false">ROUNDUP(MAX(J857/IF(CD857&gt;0,CD857,MAX(0.1,N(Cockpit!$C$6))),CG857)/BV857,0)*BV857</f>
        <v>80</v>
      </c>
      <c r="AL857" s="51" t="n">
        <f aca="false">IF(AI857&gt;0,J857/AI857,-1)</f>
        <v>3.72765957446809</v>
      </c>
      <c r="AM857" s="51" t="n">
        <f aca="false">IF(AND(OR(CC857="L1",CC857="L23",CC857="LIFT"),AI857&gt;0),SUMIFS($AI$7:$AI$1843,$CC$7:$CC$1843,CC857,$AL$7:$AL$1843,"&gt;"&amp;AL857)+SUMIFS($AI$7:$AI$1843,$CC$7:$CC$1843,CC857,$AL$7:$AL$1843,AL857,$BT$7:$BT$1843,"&lt;="&amp;BT857),"")</f>
        <v>4718.22435897436</v>
      </c>
      <c r="AN857" s="58" t="n">
        <f aca="false">IF(AM857="",0,MAX(0,MIN(1,(IF(CC857="L1",Parameter!$H$5,IF(CC857="L23",Parameter!$H$6+Parameter!$H$7,Parameter!$H$5+Parameter!$H$6+Parameter!$H$7))-(AM857-AI857))/AI857)))</f>
        <v>1</v>
      </c>
      <c r="AO857" s="50" t="n">
        <f aca="false">IF(LEFT(Cockpit!$I$5,1)="A",H857,IF(CE857=1,CF857,IF(LEFT(Cockpit!$I$5,1)="B",AT857,MAX(AT857,H857))))</f>
        <v>80</v>
      </c>
      <c r="AP857" s="50" t="n">
        <f aca="false">IF(BW857=1,0,ROUNDUP(AO857/BV857,0))</f>
        <v>1</v>
      </c>
      <c r="AQ857" s="52" t="n">
        <f aca="false">IF(CL857&gt;0,CL857*MAX(1,AO857/X857),IF(BW857=1,IF(AO857&lt;=0,0,CA857*MAX(1,IF(H857&gt;0,AO857/H857,1))),IF(R857&gt;0,AP857/R857,0))/MAX(0.1,N(Parameter!$M$21)))</f>
        <v>0.166666666666667</v>
      </c>
      <c r="AR857" s="50" t="n">
        <f aca="false">AQ857*BY857</f>
        <v>39.1666666666667</v>
      </c>
      <c r="AS857" s="50" t="n">
        <f aca="false">AO857*G857</f>
        <v>1075.2</v>
      </c>
      <c r="AT857" s="50" t="n">
        <f aca="false">ROUNDUP(MAX(J857/IF(CD857&gt;0,CD857,MAX(0.1,N(Cockpit!$I$6))),CG857)/BV857,0)*BV857</f>
        <v>80</v>
      </c>
      <c r="AU857" s="51" t="n">
        <f aca="false">IF(AR857&gt;0,J857/AR857,-1)</f>
        <v>3.72765957446809</v>
      </c>
      <c r="AV857" s="51" t="n">
        <f aca="false">IF(AND(OR(CC857="L1",CC857="L23",CC857="LIFT"),AR857&gt;0),SUMIFS($AR$7:$AR$1843,$CC$7:$CC$1843,CC857,$AU$7:$AU$1843,"&gt;"&amp;AU857)+SUMIFS($AR$7:$AR$1843,$CC$7:$CC$1843,CC857,$AU$7:$AU$1843,AU857,$BT$7:$BT$1843,"&lt;="&amp;BT857),"")</f>
        <v>5890.31639194139</v>
      </c>
      <c r="AW857" s="58" t="n">
        <f aca="false">IF(AV857="",0,MAX(0,MIN(1,(IF(CC857="L1",Parameter!$H$5,IF(CC857="L23",Parameter!$H$6+Parameter!$H$7,Parameter!$H$5+Parameter!$H$6+Parameter!$H$7))-(AV857-AR857))/AR857)))</f>
        <v>1</v>
      </c>
      <c r="AX857" s="50" t="n">
        <f aca="false">IF(LEFT(Cockpit!$O$5,1)="A",H857,IF(CE857=1,CF857,IF(LEFT(Cockpit!$O$5,1)="B",BC857,MAX(BC857,H857))))</f>
        <v>80</v>
      </c>
      <c r="AY857" s="50" t="n">
        <f aca="false">IF(BW857=1,0,ROUNDUP(AX857/BV857,0))</f>
        <v>1</v>
      </c>
      <c r="AZ857" s="52" t="n">
        <f aca="false">IF(CL857&gt;0,CL857*MAX(1,AX857/X857),IF(BW857=1,IF(AX857&lt;=0,0,CA857*MAX(1,IF(H857&gt;0,AX857/H857,1))),IF(R857&gt;0,AY857/R857,0))/MAX(0.1,N(Parameter!$M$21)))</f>
        <v>0.166666666666667</v>
      </c>
      <c r="BA857" s="50" t="n">
        <f aca="false">AZ857*BY857</f>
        <v>39.1666666666667</v>
      </c>
      <c r="BB857" s="50" t="n">
        <f aca="false">AX857*G857</f>
        <v>1075.2</v>
      </c>
      <c r="BC857" s="50" t="n">
        <f aca="false">ROUNDUP(MAX(J857/IF(CD857&gt;0,CD857,MAX(0.1,N(Cockpit!$O$6))),CG857)/BV857,0)*BV857</f>
        <v>80</v>
      </c>
      <c r="BD857" s="51" t="n">
        <f aca="false">IF(BA857&gt;0,J857/BA857,-1)</f>
        <v>3.72765957446809</v>
      </c>
      <c r="BE857" s="51" t="n">
        <f aca="false">IF(AND(OR(CC857="L1",CC857="L23",CC857="LIFT"),BA857&gt;0),SUMIFS($BA$7:$BA$1843,$CC$7:$CC$1843,CC857,$BD$7:$BD$1843,"&gt;"&amp;BD857)+SUMIFS($BA$7:$BA$1843,$CC$7:$CC$1843,CC857,$BD$7:$BD$1843,BD857,$BT$7:$BT$1843,"&lt;="&amp;BT857),"")</f>
        <v>5791.90293040293</v>
      </c>
      <c r="BF857" s="58" t="n">
        <f aca="false">IF(BE857="",0,MAX(0,MIN(1,(IF(CC857="L1",Parameter!$H$5,IF(CC857="L23",Parameter!$H$6+Parameter!$H$7,Parameter!$H$5+Parameter!$H$6+Parameter!$H$7))-(BE857-BA857))/BA857)))</f>
        <v>1</v>
      </c>
      <c r="BG857" s="48" t="str">
        <f aca="false">IF(AI857&lt;=0,"",IF(CC857="Aussen","Aussenlager",IF(CC857="-","Nicht im Lift",IF(AN857&gt;=1,"Lift",IF(AN857&lt;=0,"Aussenlager","teilweise")))))</f>
        <v>Lift</v>
      </c>
      <c r="BH857" s="48" t="str">
        <f aca="false">IF(AR857&lt;=0,"",IF(CC857="Aussen","Aussenlager",IF(CC857="-","Nicht im Lift",IF(AW857&gt;=1,"Lift",IF(AW857&lt;=0,"Aussenlager","teilweise")))))</f>
        <v>Lift</v>
      </c>
      <c r="BI857" s="48" t="str">
        <f aca="false">IF(BA857&lt;=0,"",IF(CC857="Aussen","Aussenlager",IF(CC857="-","Nicht im Lift",IF(BF857&gt;=1,"Lift",IF(BF857&lt;=0,"Aussenlager","teilweise")))))</f>
        <v>Lift</v>
      </c>
      <c r="BJ857" s="48" t="str">
        <f aca="false">IF(A857="","",IF(BS857=1,"Neu; ","")&amp;IF(AND(BS857=0,BN857&lt;0),"negativer Bestand (Export "&amp;BN857&amp;"); ","")&amp;IF(J857&lt;=0,"Kein Verbrauch; ","")&amp;IF(CL857&gt;0,"Lift "&amp;W857&amp;" lt. Liftbericht (Fach "&amp;X857&amp;" Stk); ",IF(BX857=1,"Gebinde geschätzt ("&amp;T857&amp;"); ",IF(BW857=1,"Lose – Tablare geschätzt; ","")))&amp;IF(H857&gt;AT857,"Überbestand "&amp;ROUND(H857-AT857,0)&amp;" Stk / CHF "&amp;ROUND((H857-AT857)*G857,0)&amp;"; ","")&amp;IF(AND(CE857=1,CF857&lt;CG857),"MAX &lt; MB+LG; ","")&amp;IF(AND(CK857&gt;0,CJ857*10&gt;CK857),"zu hoch für Tablar; ","")&amp;IF(AND(BS857=0,OR(CE857=1,AA857&lt;&gt;"",U857&lt;&gt;"",V857&lt;&gt;"",AB857&lt;&gt;"")),"manuell übersteuert; ","")&amp;IF(AND(BW857=0,R857=0),"Gebinde unbekannt / Stellmass fehlt; ","")&amp;IF(AND(BW857=0,N(V857)&lt;=0,N(Q857)&lt;=0),"Menge pro Gebinde fehlt (Ist = 1 Gebinde); ","")&amp;BR857)</f>
        <v>negativer Bestand (Export -2); </v>
      </c>
      <c r="BK857" s="48"/>
      <c r="BL857" s="48"/>
      <c r="BM857" s="55"/>
      <c r="BN857" s="50" t="n">
        <v>-2</v>
      </c>
      <c r="BO857" s="50" t="n">
        <v>44</v>
      </c>
      <c r="BP857" s="49" t="n">
        <v>-18.96</v>
      </c>
      <c r="BQ857" s="50" t="n">
        <v>146</v>
      </c>
      <c r="BR857" s="48"/>
      <c r="BS857" s="53" t="n">
        <v>0</v>
      </c>
      <c r="BT857" s="53" t="n">
        <v>857</v>
      </c>
      <c r="BU857" s="48" t="str">
        <f aca="false">IF(U857&lt;&gt;"",UPPER(TRIM(U857)),IF(BX857=1,UPPER(VLOOKUP(T857,Parameter!$I$27:$K$29,2,0)),IF(P857="","LOSE",P857)))</f>
        <v>S71</v>
      </c>
      <c r="BV857" s="50" t="n">
        <f aca="false">IF(BU857="LOSE",1,IF(N(V857)&gt;0,V857,IF(BX857=1,MAX(1,N(VLOOKUP(T857,Parameter!$I$27:$K$29,3,0)),H857,N(N857)),IF(N(Q857)&gt;0,Q857,MAX(1,H857)))))</f>
        <v>80</v>
      </c>
      <c r="BW857" s="53" t="n">
        <f aca="false">IF(BU857="LOSE",1,0)</f>
        <v>0</v>
      </c>
      <c r="BX857" s="53" t="n">
        <f aca="false">IF(AND(U857="",OR(P857="",P857="LOSE"),T857&lt;&gt;"",N(S857)&lt;=0,ISNUMBER(MATCH(T857,Parameter!$I$27:$I$29,0))),1,0)</f>
        <v>0</v>
      </c>
      <c r="BY857" s="53" t="n">
        <f aca="false">IF(CL857&gt;0,INDEX(Parameter!$H$5:$H$7,W857)/INDEX(Parameter!$E$5:$E$7,W857),IF(AND(BW857=0,N(IFERROR(VLOOKUP(BU857,'Gebinde-Kategorie'!$A$5:$N$45,14,0),0))&gt;0),VLOOKUP(BU857,'Gebinde-Kategorie'!$A$5:$N$45,14,0)*10+Parameter!$M$23,Parameter!$M$24))</f>
        <v>235</v>
      </c>
      <c r="BZ857" s="48" t="str">
        <f aca="false">IF(AND(Parameter!$B$19="Ja",E857&lt;&gt;"",ISNUMBER(MATCH(E857,Parameter!$I$35:$I$52,0))),VLOOKUP(E857,Parameter!$I$35:$J$52,2,0),IFERROR(VLOOKUP(D857,Parameter!$A$35:$C$64,2,0),"Nein"))</f>
        <v>2+3</v>
      </c>
      <c r="CA857" s="52" t="n">
        <f aca="false">IF(BW857=0,0,IF(N(S857)&gt;0,S857,IFERROR(VLOOKUP(D857,Parameter!$A$35:$C$64,3,0)+0,0)))</f>
        <v>0</v>
      </c>
      <c r="CB857" s="48" t="n">
        <f aca="false">IF(AA857&lt;&gt;"",AA857,Z857)</f>
        <v>2</v>
      </c>
      <c r="CC857" s="48" t="str">
        <f aca="false">IF(OR(CB857=1,CB857=2,CB857=3),IF(Parameter!$E$27="Ja","LIFT",IF(CB857=1,"L1","L23")),IF(CB857="Aussen","Aussen","-"))</f>
        <v>LIFT</v>
      </c>
      <c r="CD857" s="59" t="n">
        <f aca="false">IF(N(AB857)&gt;0,AB857,0)</f>
        <v>0</v>
      </c>
      <c r="CE857" s="53" t="n">
        <f aca="false">IF(ISNUMBER(AE857),1,0)</f>
        <v>0</v>
      </c>
      <c r="CF857" s="50" t="n">
        <f aca="false">N(AE857)</f>
        <v>0</v>
      </c>
      <c r="CG857" s="50" t="n">
        <f aca="false">N(M857)+N(N857)</f>
        <v>30</v>
      </c>
      <c r="CH857" s="50" t="n">
        <f aca="false">ROUNDUP(H857/BV857,0)</f>
        <v>1</v>
      </c>
      <c r="CI857" s="50" t="n">
        <f aca="false">ROUNDUP(CF857/BV857,0)</f>
        <v>0</v>
      </c>
      <c r="CJ857" s="53" t="n">
        <f aca="false">IF(BW857=1,0,IFERROR(VLOOKUP(BU857,'Gebinde-Kategorie'!$A$5:$N$45,5,0)+0,0))</f>
        <v>20</v>
      </c>
      <c r="CK857" s="53" t="n">
        <f aca="false">IFERROR(IF(OR(CB857=1,CB857=2,CB857=3),N(INDEX(Parameter!$I$5:$I$7,CB857)),0),0)</f>
        <v>0</v>
      </c>
      <c r="CL857" s="52" t="n">
        <f aca="false">IF(AND(Parameter!$B$21="Ja",ISNUMBER(W857),N(X857)&gt;0),IFERROR(N(INDEX(Parameter!$L$5:$L$7,W857))*INDEX(Parameter!$E$5:$E$7,W857)*X857/SUMIFS($X$7:$X$1843,$W$7:$W$1843,W857),0),0)</f>
        <v>0</v>
      </c>
    </row>
    <row r="858" customFormat="false" ht="15" hidden="false" customHeight="false" outlineLevel="0" collapsed="false">
      <c r="A858" s="48" t="s">
        <v>1639</v>
      </c>
      <c r="B858" s="48" t="s">
        <v>1640</v>
      </c>
      <c r="C858" s="48" t="s">
        <v>168</v>
      </c>
      <c r="D858" s="48" t="s">
        <v>188</v>
      </c>
      <c r="E858" s="48" t="s">
        <v>189</v>
      </c>
      <c r="F858" s="48" t="s">
        <v>222</v>
      </c>
      <c r="G858" s="49" t="n">
        <v>19.39</v>
      </c>
      <c r="H858" s="50" t="n">
        <f aca="false">MAX(0,IF(AND(Parameter!$B$21="Ja",ISNUMBER(Y858)),Y858,IF(Parameter!$B$20="Jahresanfang 2025 + Export",BO858+BN858,BN858)))</f>
        <v>17</v>
      </c>
      <c r="I858" s="50" t="n">
        <f aca="false">H858*G858</f>
        <v>329.63</v>
      </c>
      <c r="J858" s="50" t="n">
        <f aca="false">BQ858*Parameter!$B$18</f>
        <v>2</v>
      </c>
      <c r="K858" s="51" t="n">
        <v>17</v>
      </c>
      <c r="L858" s="52" t="n">
        <v>0.117647058823529</v>
      </c>
      <c r="M858" s="50" t="n">
        <v>0</v>
      </c>
      <c r="N858" s="50" t="n">
        <v>1</v>
      </c>
      <c r="O858" s="53" t="n">
        <v>21</v>
      </c>
      <c r="P858" s="48" t="s">
        <v>425</v>
      </c>
      <c r="Q858" s="50" t="n">
        <v>23</v>
      </c>
      <c r="R858" s="53" t="n">
        <f aca="false">IF(BW858=1,0,IFERROR(VLOOKUP(BU858,'Gebinde-Kategorie'!$A$5:$N$45,13,0)+0,0))</f>
        <v>104</v>
      </c>
      <c r="S858" s="54"/>
      <c r="T858" s="55"/>
      <c r="U858" s="55"/>
      <c r="V858" s="55"/>
      <c r="W858" s="48"/>
      <c r="X858" s="50"/>
      <c r="Y858" s="50"/>
      <c r="Z858" s="48" t="n">
        <f aca="false">IF(A858="","",IF(AND(Parameter!$B$21="Ja",ISNUMBER(W858)),W858,IF(BZ858="2+3",IF(ISNUMBER(SEARCH("grosser Artikel",BR858)),2,IFERROR(VLOOKUP(BU858,Parameter!$F$35:$G$64,2,0),2)),IF(OR(BZ858="Nein",BZ858=""),"-",BZ858))))</f>
        <v>3</v>
      </c>
      <c r="AA858" s="55"/>
      <c r="AB858" s="56"/>
      <c r="AC858" s="50" t="n">
        <f aca="false">AT858</f>
        <v>23</v>
      </c>
      <c r="AD858" s="50" t="n">
        <f aca="false">MAX(AT858,H858)</f>
        <v>23</v>
      </c>
      <c r="AE858" s="57"/>
      <c r="AF858" s="50" t="n">
        <f aca="false">IF(LEFT(Cockpit!$C$5,1)="A",H858,IF(CE858=1,CF858,IF(LEFT(Cockpit!$C$5,1)="B",AK858,MAX(AK858,H858))))</f>
        <v>17</v>
      </c>
      <c r="AG858" s="50" t="n">
        <f aca="false">IF(BW858=1,0,ROUNDUP(AF858/BV858,0))</f>
        <v>1</v>
      </c>
      <c r="AH858" s="52" t="n">
        <f aca="false">IF(CL858&gt;0,CL858*MAX(1,AF858/X858),IF(BW858=1,IF(AF858&lt;=0,0,CA858*MAX(1,IF(H858&gt;0,AF858/H858,1))),IF(R858&gt;0,AG858/R858,0))/MAX(0.1,N(Parameter!$M$21)))</f>
        <v>0.00961538461538462</v>
      </c>
      <c r="AI858" s="50" t="n">
        <f aca="false">AH858*BY858</f>
        <v>1.49038461538462</v>
      </c>
      <c r="AJ858" s="50" t="n">
        <f aca="false">AF858*G858</f>
        <v>329.63</v>
      </c>
      <c r="AK858" s="50" t="n">
        <f aca="false">ROUNDUP(MAX(J858/IF(CD858&gt;0,CD858,MAX(0.1,N(Cockpit!$C$6))),CG858)/BV858,0)*BV858</f>
        <v>23</v>
      </c>
      <c r="AL858" s="51" t="n">
        <f aca="false">IF(AI858&gt;0,J858/AI858,-1)</f>
        <v>1.34193548387097</v>
      </c>
      <c r="AM858" s="51" t="n">
        <f aca="false">IF(AND(OR(CC858="L1",CC858="L23",CC858="LIFT"),AI858&gt;0),SUMIFS($AI$7:$AI$1843,$CC$7:$CC$1843,CC858,$AL$7:$AL$1843,"&gt;"&amp;AL858)+SUMIFS($AI$7:$AI$1843,$CC$7:$CC$1843,CC858,$AL$7:$AL$1843,AL858,$BT$7:$BT$1843,"&lt;="&amp;BT858),"")</f>
        <v>6335.61904761905</v>
      </c>
      <c r="AN858" s="58" t="n">
        <f aca="false">IF(AM858="",0,MAX(0,MIN(1,(IF(CC858="L1",Parameter!$H$5,IF(CC858="L23",Parameter!$H$6+Parameter!$H$7,Parameter!$H$5+Parameter!$H$6+Parameter!$H$7))-(AM858-AI858))/AI858)))</f>
        <v>1</v>
      </c>
      <c r="AO858" s="50" t="n">
        <f aca="false">IF(LEFT(Cockpit!$I$5,1)="A",H858,IF(CE858=1,CF858,IF(LEFT(Cockpit!$I$5,1)="B",AT858,MAX(AT858,H858))))</f>
        <v>23</v>
      </c>
      <c r="AP858" s="50" t="n">
        <f aca="false">IF(BW858=1,0,ROUNDUP(AO858/BV858,0))</f>
        <v>1</v>
      </c>
      <c r="AQ858" s="52" t="n">
        <f aca="false">IF(CL858&gt;0,CL858*MAX(1,AO858/X858),IF(BW858=1,IF(AO858&lt;=0,0,CA858*MAX(1,IF(H858&gt;0,AO858/H858,1))),IF(R858&gt;0,AP858/R858,0))/MAX(0.1,N(Parameter!$M$21)))</f>
        <v>0.00961538461538462</v>
      </c>
      <c r="AR858" s="50" t="n">
        <f aca="false">AQ858*BY858</f>
        <v>1.49038461538462</v>
      </c>
      <c r="AS858" s="50" t="n">
        <f aca="false">AO858*G858</f>
        <v>445.97</v>
      </c>
      <c r="AT858" s="50" t="n">
        <f aca="false">ROUNDUP(MAX(J858/IF(CD858&gt;0,CD858,MAX(0.1,N(Cockpit!$I$6))),CG858)/BV858,0)*BV858</f>
        <v>23</v>
      </c>
      <c r="AU858" s="51" t="n">
        <f aca="false">IF(AR858&gt;0,J858/AR858,-1)</f>
        <v>1.34193548387097</v>
      </c>
      <c r="AV858" s="51" t="n">
        <f aca="false">IF(AND(OR(CC858="L1",CC858="L23",CC858="LIFT"),AR858&gt;0),SUMIFS($AR$7:$AR$1843,$CC$7:$CC$1843,CC858,$AU$7:$AU$1843,"&gt;"&amp;AU858)+SUMIFS($AR$7:$AR$1843,$CC$7:$CC$1843,CC858,$AU$7:$AU$1843,AU858,$BT$7:$BT$1843,"&lt;="&amp;BT858),"")</f>
        <v>9400.14514652015</v>
      </c>
      <c r="AW858" s="58" t="n">
        <f aca="false">IF(AV858="",0,MAX(0,MIN(1,(IF(CC858="L1",Parameter!$H$5,IF(CC858="L23",Parameter!$H$6+Parameter!$H$7,Parameter!$H$5+Parameter!$H$6+Parameter!$H$7))-(AV858-AR858))/AR858)))</f>
        <v>1</v>
      </c>
      <c r="AX858" s="50" t="n">
        <f aca="false">IF(LEFT(Cockpit!$O$5,1)="A",H858,IF(CE858=1,CF858,IF(LEFT(Cockpit!$O$5,1)="B",BC858,MAX(BC858,H858))))</f>
        <v>23</v>
      </c>
      <c r="AY858" s="50" t="n">
        <f aca="false">IF(BW858=1,0,ROUNDUP(AX858/BV858,0))</f>
        <v>1</v>
      </c>
      <c r="AZ858" s="52" t="n">
        <f aca="false">IF(CL858&gt;0,CL858*MAX(1,AX858/X858),IF(BW858=1,IF(AX858&lt;=0,0,CA858*MAX(1,IF(H858&gt;0,AX858/H858,1))),IF(R858&gt;0,AY858/R858,0))/MAX(0.1,N(Parameter!$M$21)))</f>
        <v>0.00961538461538462</v>
      </c>
      <c r="BA858" s="50" t="n">
        <f aca="false">AZ858*BY858</f>
        <v>1.49038461538462</v>
      </c>
      <c r="BB858" s="50" t="n">
        <f aca="false">AX858*G858</f>
        <v>445.97</v>
      </c>
      <c r="BC858" s="50" t="n">
        <f aca="false">ROUNDUP(MAX(J858/IF(CD858&gt;0,CD858,MAX(0.1,N(Cockpit!$O$6))),CG858)/BV858,0)*BV858</f>
        <v>23</v>
      </c>
      <c r="BD858" s="51" t="n">
        <f aca="false">IF(BA858&gt;0,J858/BA858,-1)</f>
        <v>1.34193548387097</v>
      </c>
      <c r="BE858" s="51" t="n">
        <f aca="false">IF(AND(OR(CC858="L1",CC858="L23",CC858="LIFT"),BA858&gt;0),SUMIFS($BA$7:$BA$1843,$CC$7:$CC$1843,CC858,$BD$7:$BD$1843,"&gt;"&amp;BD858)+SUMIFS($BA$7:$BA$1843,$CC$7:$CC$1843,CC858,$BD$7:$BD$1843,BD858,$BT$7:$BT$1843,"&lt;="&amp;BT858),"")</f>
        <v>8585.8021978022</v>
      </c>
      <c r="BF858" s="58" t="n">
        <f aca="false">IF(BE858="",0,MAX(0,MIN(1,(IF(CC858="L1",Parameter!$H$5,IF(CC858="L23",Parameter!$H$6+Parameter!$H$7,Parameter!$H$5+Parameter!$H$6+Parameter!$H$7))-(BE858-BA858))/BA858)))</f>
        <v>1</v>
      </c>
      <c r="BG858" s="48" t="str">
        <f aca="false">IF(AI858&lt;=0,"",IF(CC858="Aussen","Aussenlager",IF(CC858="-","Nicht im Lift",IF(AN858&gt;=1,"Lift",IF(AN858&lt;=0,"Aussenlager","teilweise")))))</f>
        <v>Lift</v>
      </c>
      <c r="BH858" s="48" t="str">
        <f aca="false">IF(AR858&lt;=0,"",IF(CC858="Aussen","Aussenlager",IF(CC858="-","Nicht im Lift",IF(AW858&gt;=1,"Lift",IF(AW858&lt;=0,"Aussenlager","teilweise")))))</f>
        <v>Lift</v>
      </c>
      <c r="BI858" s="48" t="str">
        <f aca="false">IF(BA858&lt;=0,"",IF(CC858="Aussen","Aussenlager",IF(CC858="-","Nicht im Lift",IF(BF858&gt;=1,"Lift",IF(BF858&lt;=0,"Aussenlager","teilweise")))))</f>
        <v>Lift</v>
      </c>
      <c r="BJ858" s="48" t="str">
        <f aca="false">IF(A858="","",IF(BS858=1,"Neu; ","")&amp;IF(AND(BS858=0,BN858&lt;0),"negativer Bestand (Export "&amp;BN858&amp;"); ","")&amp;IF(J858&lt;=0,"Kein Verbrauch; ","")&amp;IF(CL858&gt;0,"Lift "&amp;W858&amp;" lt. Liftbericht (Fach "&amp;X858&amp;" Stk); ",IF(BX858=1,"Gebinde geschätzt ("&amp;T858&amp;"); ",IF(BW858=1,"Lose – Tablare geschätzt; ","")))&amp;IF(H858&gt;AT858,"Überbestand "&amp;ROUND(H858-AT858,0)&amp;" Stk / CHF "&amp;ROUND((H858-AT858)*G858,0)&amp;"; ","")&amp;IF(AND(CE858=1,CF858&lt;CG858),"MAX &lt; MB+LG; ","")&amp;IF(AND(CK858&gt;0,CJ858*10&gt;CK858),"zu hoch für Tablar; ","")&amp;IF(AND(BS858=0,OR(CE858=1,AA858&lt;&gt;"",U858&lt;&gt;"",V858&lt;&gt;"",AB858&lt;&gt;"")),"manuell übersteuert; ","")&amp;IF(AND(BW858=0,R858=0),"Gebinde unbekannt / Stellmass fehlt; ","")&amp;IF(AND(BW858=0,N(V858)&lt;=0,N(Q858)&lt;=0),"Menge pro Gebinde fehlt (Ist = 1 Gebinde); ","")&amp;BR858)</f>
        <v>negativer Bestand (Export -1); </v>
      </c>
      <c r="BK858" s="48"/>
      <c r="BL858" s="48"/>
      <c r="BM858" s="55"/>
      <c r="BN858" s="50" t="n">
        <v>-1</v>
      </c>
      <c r="BO858" s="50" t="n">
        <v>18</v>
      </c>
      <c r="BP858" s="49" t="n">
        <v>-19.39</v>
      </c>
      <c r="BQ858" s="50" t="n">
        <v>2</v>
      </c>
      <c r="BR858" s="48"/>
      <c r="BS858" s="53" t="n">
        <v>0</v>
      </c>
      <c r="BT858" s="53" t="n">
        <v>858</v>
      </c>
      <c r="BU858" s="48" t="str">
        <f aca="false">IF(U858&lt;&gt;"",UPPER(TRIM(U858)),IF(BX858=1,UPPER(VLOOKUP(T858,Parameter!$I$27:$K$29,2,0)),IF(P858="","LOSE",P858)))</f>
        <v>S32</v>
      </c>
      <c r="BV858" s="50" t="n">
        <f aca="false">IF(BU858="LOSE",1,IF(N(V858)&gt;0,V858,IF(BX858=1,MAX(1,N(VLOOKUP(T858,Parameter!$I$27:$K$29,3,0)),H858,N(N858)),IF(N(Q858)&gt;0,Q858,MAX(1,H858)))))</f>
        <v>23</v>
      </c>
      <c r="BW858" s="53" t="n">
        <f aca="false">IF(BU858="LOSE",1,0)</f>
        <v>0</v>
      </c>
      <c r="BX858" s="53" t="n">
        <f aca="false">IF(AND(U858="",OR(P858="",P858="LOSE"),T858&lt;&gt;"",N(S858)&lt;=0,ISNUMBER(MATCH(T858,Parameter!$I$27:$I$29,0))),1,0)</f>
        <v>0</v>
      </c>
      <c r="BY858" s="53" t="n">
        <f aca="false">IF(CL858&gt;0,INDEX(Parameter!$H$5:$H$7,W858)/INDEX(Parameter!$E$5:$E$7,W858),IF(AND(BW858=0,N(IFERROR(VLOOKUP(BU858,'Gebinde-Kategorie'!$A$5:$N$45,14,0),0))&gt;0),VLOOKUP(BU858,'Gebinde-Kategorie'!$A$5:$N$45,14,0)*10+Parameter!$M$23,Parameter!$M$24))</f>
        <v>155</v>
      </c>
      <c r="BZ858" s="48" t="str">
        <f aca="false">IF(AND(Parameter!$B$19="Ja",E858&lt;&gt;"",ISNUMBER(MATCH(E858,Parameter!$I$35:$I$52,0))),VLOOKUP(E858,Parameter!$I$35:$J$52,2,0),IFERROR(VLOOKUP(D858,Parameter!$A$35:$C$64,2,0),"Nein"))</f>
        <v>2+3</v>
      </c>
      <c r="CA858" s="52" t="n">
        <f aca="false">IF(BW858=0,0,IF(N(S858)&gt;0,S858,IFERROR(VLOOKUP(D858,Parameter!$A$35:$C$64,3,0)+0,0)))</f>
        <v>0</v>
      </c>
      <c r="CB858" s="48" t="n">
        <f aca="false">IF(AA858&lt;&gt;"",AA858,Z858)</f>
        <v>3</v>
      </c>
      <c r="CC858" s="48" t="str">
        <f aca="false">IF(OR(CB858=1,CB858=2,CB858=3),IF(Parameter!$E$27="Ja","LIFT",IF(CB858=1,"L1","L23")),IF(CB858="Aussen","Aussen","-"))</f>
        <v>LIFT</v>
      </c>
      <c r="CD858" s="59" t="n">
        <f aca="false">IF(N(AB858)&gt;0,AB858,0)</f>
        <v>0</v>
      </c>
      <c r="CE858" s="53" t="n">
        <f aca="false">IF(ISNUMBER(AE858),1,0)</f>
        <v>0</v>
      </c>
      <c r="CF858" s="50" t="n">
        <f aca="false">N(AE858)</f>
        <v>0</v>
      </c>
      <c r="CG858" s="50" t="n">
        <f aca="false">N(M858)+N(N858)</f>
        <v>1</v>
      </c>
      <c r="CH858" s="50" t="n">
        <f aca="false">ROUNDUP(H858/BV858,0)</f>
        <v>1</v>
      </c>
      <c r="CI858" s="50" t="n">
        <f aca="false">ROUNDUP(CF858/BV858,0)</f>
        <v>0</v>
      </c>
      <c r="CJ858" s="53" t="n">
        <f aca="false">IF(BW858=1,0,IFERROR(VLOOKUP(BU858,'Gebinde-Kategorie'!$A$5:$N$45,5,0)+0,0))</f>
        <v>8</v>
      </c>
      <c r="CK858" s="53" t="n">
        <f aca="false">IFERROR(IF(OR(CB858=1,CB858=2,CB858=3),N(INDEX(Parameter!$I$5:$I$7,CB858)),0),0)</f>
        <v>0</v>
      </c>
      <c r="CL858" s="52" t="n">
        <f aca="false">IF(AND(Parameter!$B$21="Ja",ISNUMBER(W858),N(X858)&gt;0),IFERROR(N(INDEX(Parameter!$L$5:$L$7,W858))*INDEX(Parameter!$E$5:$E$7,W858)*X858/SUMIFS($X$7:$X$1843,$W$7:$W$1843,W858),0),0)</f>
        <v>0</v>
      </c>
    </row>
    <row r="859" customFormat="false" ht="15" hidden="false" customHeight="false" outlineLevel="0" collapsed="false">
      <c r="A859" s="48" t="s">
        <v>1641</v>
      </c>
      <c r="B859" s="48" t="s">
        <v>1642</v>
      </c>
      <c r="C859" s="48" t="s">
        <v>168</v>
      </c>
      <c r="D859" s="48" t="s">
        <v>188</v>
      </c>
      <c r="E859" s="48" t="s">
        <v>189</v>
      </c>
      <c r="F859" s="48" t="s">
        <v>222</v>
      </c>
      <c r="G859" s="49" t="n">
        <v>0.2</v>
      </c>
      <c r="H859" s="50" t="n">
        <f aca="false">MAX(0,IF(AND(Parameter!$B$21="Ja",ISNUMBER(Y859)),Y859,IF(Parameter!$B$20="Jahresanfang 2025 + Export",BO859+BN859,BN859)))</f>
        <v>109</v>
      </c>
      <c r="I859" s="50" t="n">
        <f aca="false">H859*G859</f>
        <v>21.8</v>
      </c>
      <c r="J859" s="50" t="n">
        <f aca="false">BQ859*Parameter!$B$18</f>
        <v>163</v>
      </c>
      <c r="K859" s="51" t="n">
        <v>291.5</v>
      </c>
      <c r="L859" s="52" t="n">
        <v>0.55917667238422</v>
      </c>
      <c r="M859" s="50" t="n">
        <v>9</v>
      </c>
      <c r="N859" s="50" t="n">
        <v>250</v>
      </c>
      <c r="O859" s="53" t="n">
        <v>21</v>
      </c>
      <c r="P859" s="48" t="s">
        <v>480</v>
      </c>
      <c r="Q859" s="50" t="n">
        <v>125</v>
      </c>
      <c r="R859" s="53" t="n">
        <f aca="false">IF(BW859=1,0,IFERROR(VLOOKUP(BU859,'Gebinde-Kategorie'!$A$5:$N$45,13,0)+0,0))</f>
        <v>52</v>
      </c>
      <c r="S859" s="54"/>
      <c r="T859" s="55"/>
      <c r="U859" s="55"/>
      <c r="V859" s="55"/>
      <c r="W859" s="48"/>
      <c r="X859" s="50"/>
      <c r="Y859" s="50"/>
      <c r="Z859" s="48" t="n">
        <f aca="false">IF(A859="","",IF(AND(Parameter!$B$21="Ja",ISNUMBER(W859)),W859,IF(BZ859="2+3",IF(ISNUMBER(SEARCH("grosser Artikel",BR859)),2,IFERROR(VLOOKUP(BU859,Parameter!$F$35:$G$64,2,0),2)),IF(OR(BZ859="Nein",BZ859=""),"-",BZ859))))</f>
        <v>3</v>
      </c>
      <c r="AA859" s="55"/>
      <c r="AB859" s="56"/>
      <c r="AC859" s="50" t="n">
        <f aca="false">AT859</f>
        <v>375</v>
      </c>
      <c r="AD859" s="50" t="n">
        <f aca="false">MAX(AT859,H859)</f>
        <v>375</v>
      </c>
      <c r="AE859" s="57"/>
      <c r="AF859" s="50" t="n">
        <f aca="false">IF(LEFT(Cockpit!$C$5,1)="A",H859,IF(CE859=1,CF859,IF(LEFT(Cockpit!$C$5,1)="B",AK859,MAX(AK859,H859))))</f>
        <v>109</v>
      </c>
      <c r="AG859" s="50" t="n">
        <f aca="false">IF(BW859=1,0,ROUNDUP(AF859/BV859,0))</f>
        <v>1</v>
      </c>
      <c r="AH859" s="52" t="n">
        <f aca="false">IF(CL859&gt;0,CL859*MAX(1,AF859/X859),IF(BW859=1,IF(AF859&lt;=0,0,CA859*MAX(1,IF(H859&gt;0,AF859/H859,1))),IF(R859&gt;0,AG859/R859,0))/MAX(0.1,N(Parameter!$M$21)))</f>
        <v>0.0192307692307692</v>
      </c>
      <c r="AI859" s="50" t="n">
        <f aca="false">AH859*BY859</f>
        <v>2.98076923076923</v>
      </c>
      <c r="AJ859" s="50" t="n">
        <f aca="false">AF859*G859</f>
        <v>21.8</v>
      </c>
      <c r="AK859" s="50" t="n">
        <f aca="false">ROUNDUP(MAX(J859/IF(CD859&gt;0,CD859,MAX(0.1,N(Cockpit!$C$6))),CG859)/BV859,0)*BV859</f>
        <v>375</v>
      </c>
      <c r="AL859" s="51" t="n">
        <f aca="false">IF(AI859&gt;0,J859/AI859,-1)</f>
        <v>54.6838709677419</v>
      </c>
      <c r="AM859" s="51" t="n">
        <f aca="false">IF(AND(OR(CC859="L1",CC859="L23",CC859="LIFT"),AI859&gt;0),SUMIFS($AI$7:$AI$1843,$CC$7:$CC$1843,CC859,$AL$7:$AL$1843,"&gt;"&amp;AL859)+SUMIFS($AI$7:$AI$1843,$CC$7:$CC$1843,CC859,$AL$7:$AL$1843,AL859,$BT$7:$BT$1843,"&lt;="&amp;BT859),"")</f>
        <v>998.460164835165</v>
      </c>
      <c r="AN859" s="58" t="n">
        <f aca="false">IF(AM859="",0,MAX(0,MIN(1,(IF(CC859="L1",Parameter!$H$5,IF(CC859="L23",Parameter!$H$6+Parameter!$H$7,Parameter!$H$5+Parameter!$H$6+Parameter!$H$7))-(AM859-AI859))/AI859)))</f>
        <v>1</v>
      </c>
      <c r="AO859" s="50" t="n">
        <f aca="false">IF(LEFT(Cockpit!$I$5,1)="A",H859,IF(CE859=1,CF859,IF(LEFT(Cockpit!$I$5,1)="B",AT859,MAX(AT859,H859))))</f>
        <v>375</v>
      </c>
      <c r="AP859" s="50" t="n">
        <f aca="false">IF(BW859=1,0,ROUNDUP(AO859/BV859,0))</f>
        <v>3</v>
      </c>
      <c r="AQ859" s="52" t="n">
        <f aca="false">IF(CL859&gt;0,CL859*MAX(1,AO859/X859),IF(BW859=1,IF(AO859&lt;=0,0,CA859*MAX(1,IF(H859&gt;0,AO859/H859,1))),IF(R859&gt;0,AP859/R859,0))/MAX(0.1,N(Parameter!$M$21)))</f>
        <v>0.0576923076923077</v>
      </c>
      <c r="AR859" s="50" t="n">
        <f aca="false">AQ859*BY859</f>
        <v>8.94230769230769</v>
      </c>
      <c r="AS859" s="50" t="n">
        <f aca="false">AO859*G859</f>
        <v>75</v>
      </c>
      <c r="AT859" s="50" t="n">
        <f aca="false">ROUNDUP(MAX(J859/IF(CD859&gt;0,CD859,MAX(0.1,N(Cockpit!$I$6))),CG859)/BV859,0)*BV859</f>
        <v>375</v>
      </c>
      <c r="AU859" s="51" t="n">
        <f aca="false">IF(AR859&gt;0,J859/AR859,-1)</f>
        <v>18.2279569892473</v>
      </c>
      <c r="AV859" s="51" t="n">
        <f aca="false">IF(AND(OR(CC859="L1",CC859="L23",CC859="LIFT"),AR859&gt;0),SUMIFS($AR$7:$AR$1843,$CC$7:$CC$1843,CC859,$AU$7:$AU$1843,"&gt;"&amp;AU859)+SUMIFS($AR$7:$AR$1843,$CC$7:$CC$1843,CC859,$AU$7:$AU$1843,AU859,$BT$7:$BT$1843,"&lt;="&amp;BT859),"")</f>
        <v>2671.97893772894</v>
      </c>
      <c r="AW859" s="58" t="n">
        <f aca="false">IF(AV859="",0,MAX(0,MIN(1,(IF(CC859="L1",Parameter!$H$5,IF(CC859="L23",Parameter!$H$6+Parameter!$H$7,Parameter!$H$5+Parameter!$H$6+Parameter!$H$7))-(AV859-AR859))/AR859)))</f>
        <v>1</v>
      </c>
      <c r="AX859" s="50" t="n">
        <f aca="false">IF(LEFT(Cockpit!$O$5,1)="A",H859,IF(CE859=1,CF859,IF(LEFT(Cockpit!$O$5,1)="B",BC859,MAX(BC859,H859))))</f>
        <v>375</v>
      </c>
      <c r="AY859" s="50" t="n">
        <f aca="false">IF(BW859=1,0,ROUNDUP(AX859/BV859,0))</f>
        <v>3</v>
      </c>
      <c r="AZ859" s="52" t="n">
        <f aca="false">IF(CL859&gt;0,CL859*MAX(1,AX859/X859),IF(BW859=1,IF(AX859&lt;=0,0,CA859*MAX(1,IF(H859&gt;0,AX859/H859,1))),IF(R859&gt;0,AY859/R859,0))/MAX(0.1,N(Parameter!$M$21)))</f>
        <v>0.0576923076923077</v>
      </c>
      <c r="BA859" s="50" t="n">
        <f aca="false">AZ859*BY859</f>
        <v>8.94230769230769</v>
      </c>
      <c r="BB859" s="50" t="n">
        <f aca="false">AX859*G859</f>
        <v>75</v>
      </c>
      <c r="BC859" s="50" t="n">
        <f aca="false">ROUNDUP(MAX(J859/IF(CD859&gt;0,CD859,MAX(0.1,N(Cockpit!$O$6))),CG859)/BV859,0)*BV859</f>
        <v>375</v>
      </c>
      <c r="BD859" s="51" t="n">
        <f aca="false">IF(BA859&gt;0,J859/BA859,-1)</f>
        <v>18.2279569892473</v>
      </c>
      <c r="BE859" s="51" t="n">
        <f aca="false">IF(AND(OR(CC859="L1",CC859="L23",CC859="LIFT"),BA859&gt;0),SUMIFS($BA$7:$BA$1843,$CC$7:$CC$1843,CC859,$BD$7:$BD$1843,"&gt;"&amp;BD859)+SUMIFS($BA$7:$BA$1843,$CC$7:$CC$1843,CC859,$BD$7:$BD$1843,BD859,$BT$7:$BT$1843,"&lt;="&amp;BT859),"")</f>
        <v>2491.41804029304</v>
      </c>
      <c r="BF859" s="58" t="n">
        <f aca="false">IF(BE859="",0,MAX(0,MIN(1,(IF(CC859="L1",Parameter!$H$5,IF(CC859="L23",Parameter!$H$6+Parameter!$H$7,Parameter!$H$5+Parameter!$H$6+Parameter!$H$7))-(BE859-BA859))/BA859)))</f>
        <v>1</v>
      </c>
      <c r="BG859" s="48" t="str">
        <f aca="false">IF(AI859&lt;=0,"",IF(CC859="Aussen","Aussenlager",IF(CC859="-","Nicht im Lift",IF(AN859&gt;=1,"Lift",IF(AN859&lt;=0,"Aussenlager","teilweise")))))</f>
        <v>Lift</v>
      </c>
      <c r="BH859" s="48" t="str">
        <f aca="false">IF(AR859&lt;=0,"",IF(CC859="Aussen","Aussenlager",IF(CC859="-","Nicht im Lift",IF(AW859&gt;=1,"Lift",IF(AW859&lt;=0,"Aussenlager","teilweise")))))</f>
        <v>Lift</v>
      </c>
      <c r="BI859" s="48" t="str">
        <f aca="false">IF(BA859&lt;=0,"",IF(CC859="Aussen","Aussenlager",IF(CC859="-","Nicht im Lift",IF(BF859&gt;=1,"Lift",IF(BF859&lt;=0,"Aussenlager","teilweise")))))</f>
        <v>Lift</v>
      </c>
      <c r="BJ859" s="48" t="str">
        <f aca="false">IF(A859="","",IF(BS859=1,"Neu; ","")&amp;IF(AND(BS859=0,BN859&lt;0),"negativer Bestand (Export "&amp;BN859&amp;"); ","")&amp;IF(J859&lt;=0,"Kein Verbrauch; ","")&amp;IF(CL859&gt;0,"Lift "&amp;W859&amp;" lt. Liftbericht (Fach "&amp;X859&amp;" Stk); ",IF(BX859=1,"Gebinde geschätzt ("&amp;T859&amp;"); ",IF(BW859=1,"Lose – Tablare geschätzt; ","")))&amp;IF(H859&gt;AT859,"Überbestand "&amp;ROUND(H859-AT859,0)&amp;" Stk / CHF "&amp;ROUND((H859-AT859)*G859,0)&amp;"; ","")&amp;IF(AND(CE859=1,CF859&lt;CG859),"MAX &lt; MB+LG; ","")&amp;IF(AND(CK859&gt;0,CJ859*10&gt;CK859),"zu hoch für Tablar; ","")&amp;IF(AND(BS859=0,OR(CE859=1,AA859&lt;&gt;"",U859&lt;&gt;"",V859&lt;&gt;"",AB859&lt;&gt;"")),"manuell übersteuert; ","")&amp;IF(AND(BW859=0,R859=0),"Gebinde unbekannt / Stellmass fehlt; ","")&amp;IF(AND(BW859=0,N(V859)&lt;=0,N(Q859)&lt;=0),"Menge pro Gebinde fehlt (Ist = 1 Gebinde); ","")&amp;BR859)</f>
        <v>negativer Bestand (Export -223); </v>
      </c>
      <c r="BK859" s="48"/>
      <c r="BL859" s="48"/>
      <c r="BM859" s="55"/>
      <c r="BN859" s="50" t="n">
        <v>-223</v>
      </c>
      <c r="BO859" s="50" t="n">
        <v>332</v>
      </c>
      <c r="BP859" s="49" t="n">
        <v>-19.88</v>
      </c>
      <c r="BQ859" s="50" t="n">
        <v>163</v>
      </c>
      <c r="BR859" s="48"/>
      <c r="BS859" s="53" t="n">
        <v>0</v>
      </c>
      <c r="BT859" s="53" t="n">
        <v>859</v>
      </c>
      <c r="BU859" s="48" t="str">
        <f aca="false">IF(U859&lt;&gt;"",UPPER(TRIM(U859)),IF(BX859=1,UPPER(VLOOKUP(T859,Parameter!$I$27:$K$29,2,0)),IF(P859="","LOSE",P859)))</f>
        <v>S33</v>
      </c>
      <c r="BV859" s="50" t="n">
        <f aca="false">IF(BU859="LOSE",1,IF(N(V859)&gt;0,V859,IF(BX859=1,MAX(1,N(VLOOKUP(T859,Parameter!$I$27:$K$29,3,0)),H859,N(N859)),IF(N(Q859)&gt;0,Q859,MAX(1,H859)))))</f>
        <v>125</v>
      </c>
      <c r="BW859" s="53" t="n">
        <f aca="false">IF(BU859="LOSE",1,0)</f>
        <v>0</v>
      </c>
      <c r="BX859" s="53" t="n">
        <f aca="false">IF(AND(U859="",OR(P859="",P859="LOSE"),T859&lt;&gt;"",N(S859)&lt;=0,ISNUMBER(MATCH(T859,Parameter!$I$27:$I$29,0))),1,0)</f>
        <v>0</v>
      </c>
      <c r="BY859" s="53" t="n">
        <f aca="false">IF(CL859&gt;0,INDEX(Parameter!$H$5:$H$7,W859)/INDEX(Parameter!$E$5:$E$7,W859),IF(AND(BW859=0,N(IFERROR(VLOOKUP(BU859,'Gebinde-Kategorie'!$A$5:$N$45,14,0),0))&gt;0),VLOOKUP(BU859,'Gebinde-Kategorie'!$A$5:$N$45,14,0)*10+Parameter!$M$23,Parameter!$M$24))</f>
        <v>155</v>
      </c>
      <c r="BZ859" s="48" t="str">
        <f aca="false">IF(AND(Parameter!$B$19="Ja",E859&lt;&gt;"",ISNUMBER(MATCH(E859,Parameter!$I$35:$I$52,0))),VLOOKUP(E859,Parameter!$I$35:$J$52,2,0),IFERROR(VLOOKUP(D859,Parameter!$A$35:$C$64,2,0),"Nein"))</f>
        <v>2+3</v>
      </c>
      <c r="CA859" s="52" t="n">
        <f aca="false">IF(BW859=0,0,IF(N(S859)&gt;0,S859,IFERROR(VLOOKUP(D859,Parameter!$A$35:$C$64,3,0)+0,0)))</f>
        <v>0</v>
      </c>
      <c r="CB859" s="48" t="n">
        <f aca="false">IF(AA859&lt;&gt;"",AA859,Z859)</f>
        <v>3</v>
      </c>
      <c r="CC859" s="48" t="str">
        <f aca="false">IF(OR(CB859=1,CB859=2,CB859=3),IF(Parameter!$E$27="Ja","LIFT",IF(CB859=1,"L1","L23")),IF(CB859="Aussen","Aussen","-"))</f>
        <v>LIFT</v>
      </c>
      <c r="CD859" s="59" t="n">
        <f aca="false">IF(N(AB859)&gt;0,AB859,0)</f>
        <v>0</v>
      </c>
      <c r="CE859" s="53" t="n">
        <f aca="false">IF(ISNUMBER(AE859),1,0)</f>
        <v>0</v>
      </c>
      <c r="CF859" s="50" t="n">
        <f aca="false">N(AE859)</f>
        <v>0</v>
      </c>
      <c r="CG859" s="50" t="n">
        <f aca="false">N(M859)+N(N859)</f>
        <v>259</v>
      </c>
      <c r="CH859" s="50" t="n">
        <f aca="false">ROUNDUP(H859/BV859,0)</f>
        <v>1</v>
      </c>
      <c r="CI859" s="50" t="n">
        <f aca="false">ROUNDUP(CF859/BV859,0)</f>
        <v>0</v>
      </c>
      <c r="CJ859" s="53" t="n">
        <f aca="false">IF(BW859=1,0,IFERROR(VLOOKUP(BU859,'Gebinde-Kategorie'!$A$5:$N$45,5,0)+0,0))</f>
        <v>8</v>
      </c>
      <c r="CK859" s="53" t="n">
        <f aca="false">IFERROR(IF(OR(CB859=1,CB859=2,CB859=3),N(INDEX(Parameter!$I$5:$I$7,CB859)),0),0)</f>
        <v>0</v>
      </c>
      <c r="CL859" s="52" t="n">
        <f aca="false">IF(AND(Parameter!$B$21="Ja",ISNUMBER(W859),N(X859)&gt;0),IFERROR(N(INDEX(Parameter!$L$5:$L$7,W859))*INDEX(Parameter!$E$5:$E$7,W859)*X859/SUMIFS($X$7:$X$1843,$W$7:$W$1843,W859),0),0)</f>
        <v>0</v>
      </c>
    </row>
    <row r="860" customFormat="false" ht="15" hidden="false" customHeight="false" outlineLevel="0" collapsed="false">
      <c r="A860" s="48" t="s">
        <v>1643</v>
      </c>
      <c r="B860" s="48" t="s">
        <v>1644</v>
      </c>
      <c r="C860" s="48" t="s">
        <v>460</v>
      </c>
      <c r="D860" s="48" t="s">
        <v>188</v>
      </c>
      <c r="E860" s="48"/>
      <c r="F860" s="48" t="s">
        <v>222</v>
      </c>
      <c r="G860" s="49" t="n">
        <v>1.25</v>
      </c>
      <c r="H860" s="50" t="n">
        <f aca="false">MAX(0,IF(AND(Parameter!$B$21="Ja",ISNUMBER(Y860)),Y860,IF(Parameter!$B$20="Jahresanfang 2025 + Export",BO860+BN860,BN860)))</f>
        <v>16</v>
      </c>
      <c r="I860" s="50" t="n">
        <f aca="false">H860*G860</f>
        <v>20</v>
      </c>
      <c r="J860" s="50" t="n">
        <f aca="false">BQ860*Parameter!$B$18</f>
        <v>16</v>
      </c>
      <c r="K860" s="51" t="n">
        <v>16</v>
      </c>
      <c r="L860" s="52" t="n">
        <v>1</v>
      </c>
      <c r="M860" s="50" t="n">
        <v>0</v>
      </c>
      <c r="N860" s="50" t="n">
        <v>15</v>
      </c>
      <c r="O860" s="53" t="n">
        <v>21</v>
      </c>
      <c r="P860" s="48" t="s">
        <v>172</v>
      </c>
      <c r="Q860" s="50"/>
      <c r="R860" s="53" t="n">
        <f aca="false">IF(BW860=1,0,IFERROR(VLOOKUP(BU860,'Gebinde-Kategorie'!$A$5:$N$45,13,0)+0,0))</f>
        <v>4</v>
      </c>
      <c r="S860" s="54"/>
      <c r="T860" s="55" t="s">
        <v>193</v>
      </c>
      <c r="U860" s="55"/>
      <c r="V860" s="55"/>
      <c r="W860" s="48"/>
      <c r="X860" s="50"/>
      <c r="Y860" s="50"/>
      <c r="Z860" s="48" t="n">
        <f aca="false">IF(A860="","",IF(AND(Parameter!$B$21="Ja",ISNUMBER(W860)),W860,IF(BZ860="2+3",IF(ISNUMBER(SEARCH("grosser Artikel",BR860)),2,IFERROR(VLOOKUP(BU860,Parameter!$F$35:$G$64,2,0),2)),IF(OR(BZ860="Nein",BZ860=""),"-",BZ860))))</f>
        <v>2</v>
      </c>
      <c r="AA860" s="55"/>
      <c r="AB860" s="56"/>
      <c r="AC860" s="50" t="n">
        <f aca="false">AT860</f>
        <v>16</v>
      </c>
      <c r="AD860" s="50" t="n">
        <f aca="false">MAX(AT860,H860)</f>
        <v>16</v>
      </c>
      <c r="AE860" s="57"/>
      <c r="AF860" s="50" t="n">
        <f aca="false">IF(LEFT(Cockpit!$C$5,1)="A",H860,IF(CE860=1,CF860,IF(LEFT(Cockpit!$C$5,1)="B",AK860,MAX(AK860,H860))))</f>
        <v>16</v>
      </c>
      <c r="AG860" s="50" t="n">
        <f aca="false">IF(BW860=1,0,ROUNDUP(AF860/BV860,0))</f>
        <v>1</v>
      </c>
      <c r="AH860" s="52" t="n">
        <f aca="false">IF(CL860&gt;0,CL860*MAX(1,AF860/X860),IF(BW860=1,IF(AF860&lt;=0,0,CA860*MAX(1,IF(H860&gt;0,AF860/H860,1))),IF(R860&gt;0,AG860/R860,0))/MAX(0.1,N(Parameter!$M$21)))</f>
        <v>0.25</v>
      </c>
      <c r="AI860" s="50" t="n">
        <f aca="false">AH860*BY860</f>
        <v>58.75</v>
      </c>
      <c r="AJ860" s="50" t="n">
        <f aca="false">AF860*G860</f>
        <v>20</v>
      </c>
      <c r="AK860" s="50" t="n">
        <f aca="false">ROUNDUP(MAX(J860/IF(CD860&gt;0,CD860,MAX(0.1,N(Cockpit!$C$6))),CG860)/BV860,0)*BV860</f>
        <v>16</v>
      </c>
      <c r="AL860" s="51" t="n">
        <f aca="false">IF(AI860&gt;0,J860/AI860,-1)</f>
        <v>0.272340425531915</v>
      </c>
      <c r="AM860" s="51" t="n">
        <f aca="false">IF(AND(OR(CC860="L1",CC860="L23",CC860="LIFT"),AI860&gt;0),SUMIFS($AI$7:$AI$1843,$CC$7:$CC$1843,CC860,$AL$7:$AL$1843,"&gt;"&amp;AL860)+SUMIFS($AI$7:$AI$1843,$CC$7:$CC$1843,CC860,$AL$7:$AL$1843,AL860,$BT$7:$BT$1843,"&lt;="&amp;BT860),"")</f>
        <v>11707.7702629292</v>
      </c>
      <c r="AN860" s="58" t="n">
        <f aca="false">IF(AM860="",0,MAX(0,MIN(1,(IF(CC860="L1",Parameter!$H$5,IF(CC860="L23",Parameter!$H$6+Parameter!$H$7,Parameter!$H$5+Parameter!$H$6+Parameter!$H$7))-(AM860-AI860))/AI860)))</f>
        <v>1</v>
      </c>
      <c r="AO860" s="50" t="n">
        <f aca="false">IF(LEFT(Cockpit!$I$5,1)="A",H860,IF(CE860=1,CF860,IF(LEFT(Cockpit!$I$5,1)="B",AT860,MAX(AT860,H860))))</f>
        <v>16</v>
      </c>
      <c r="AP860" s="50" t="n">
        <f aca="false">IF(BW860=1,0,ROUNDUP(AO860/BV860,0))</f>
        <v>1</v>
      </c>
      <c r="AQ860" s="52" t="n">
        <f aca="false">IF(CL860&gt;0,CL860*MAX(1,AO860/X860),IF(BW860=1,IF(AO860&lt;=0,0,CA860*MAX(1,IF(H860&gt;0,AO860/H860,1))),IF(R860&gt;0,AP860/R860,0))/MAX(0.1,N(Parameter!$M$21)))</f>
        <v>0.25</v>
      </c>
      <c r="AR860" s="50" t="n">
        <f aca="false">AQ860*BY860</f>
        <v>58.75</v>
      </c>
      <c r="AS860" s="50" t="n">
        <f aca="false">AO860*G860</f>
        <v>20</v>
      </c>
      <c r="AT860" s="50" t="n">
        <f aca="false">ROUNDUP(MAX(J860/IF(CD860&gt;0,CD860,MAX(0.1,N(Cockpit!$I$6))),CG860)/BV860,0)*BV860</f>
        <v>16</v>
      </c>
      <c r="AU860" s="51" t="n">
        <f aca="false">IF(AR860&gt;0,J860/AR860,-1)</f>
        <v>0.272340425531915</v>
      </c>
      <c r="AV860" s="51" t="n">
        <f aca="false">IF(AND(OR(CC860="L1",CC860="L23",CC860="LIFT"),AR860&gt;0),SUMIFS($AR$7:$AR$1843,$CC$7:$CC$1843,CC860,$AU$7:$AU$1843,"&gt;"&amp;AU860)+SUMIFS($AR$7:$AR$1843,$CC$7:$CC$1843,CC860,$AU$7:$AU$1843,AU860,$BT$7:$BT$1843,"&lt;="&amp;BT860),"")</f>
        <v>17131.8017399267</v>
      </c>
      <c r="AW860" s="58" t="n">
        <f aca="false">IF(AV860="",0,MAX(0,MIN(1,(IF(CC860="L1",Parameter!$H$5,IF(CC860="L23",Parameter!$H$6+Parameter!$H$7,Parameter!$H$5+Parameter!$H$6+Parameter!$H$7))-(AV860-AR860))/AR860)))</f>
        <v>1</v>
      </c>
      <c r="AX860" s="50" t="n">
        <f aca="false">IF(LEFT(Cockpit!$O$5,1)="A",H860,IF(CE860=1,CF860,IF(LEFT(Cockpit!$O$5,1)="B",BC860,MAX(BC860,H860))))</f>
        <v>16</v>
      </c>
      <c r="AY860" s="50" t="n">
        <f aca="false">IF(BW860=1,0,ROUNDUP(AX860/BV860,0))</f>
        <v>1</v>
      </c>
      <c r="AZ860" s="52" t="n">
        <f aca="false">IF(CL860&gt;0,CL860*MAX(1,AX860/X860),IF(BW860=1,IF(AX860&lt;=0,0,CA860*MAX(1,IF(H860&gt;0,AX860/H860,1))),IF(R860&gt;0,AY860/R860,0))/MAX(0.1,N(Parameter!$M$21)))</f>
        <v>0.25</v>
      </c>
      <c r="BA860" s="50" t="n">
        <f aca="false">AZ860*BY860</f>
        <v>58.75</v>
      </c>
      <c r="BB860" s="50" t="n">
        <f aca="false">AX860*G860</f>
        <v>20</v>
      </c>
      <c r="BC860" s="50" t="n">
        <f aca="false">ROUNDUP(MAX(J860/IF(CD860&gt;0,CD860,MAX(0.1,N(Cockpit!$O$6))),CG860)/BV860,0)*BV860</f>
        <v>16</v>
      </c>
      <c r="BD860" s="51" t="n">
        <f aca="false">IF(BA860&gt;0,J860/BA860,-1)</f>
        <v>0.272340425531915</v>
      </c>
      <c r="BE860" s="51" t="n">
        <f aca="false">IF(AND(OR(CC860="L1",CC860="L23",CC860="LIFT"),BA860&gt;0),SUMIFS($BA$7:$BA$1843,$CC$7:$CC$1843,CC860,$BD$7:$BD$1843,"&gt;"&amp;BD860)+SUMIFS($BA$7:$BA$1843,$CC$7:$CC$1843,CC860,$BD$7:$BD$1843,BD860,$BT$7:$BT$1843,"&lt;="&amp;BT860),"")</f>
        <v>16078.2921245421</v>
      </c>
      <c r="BF860" s="58" t="n">
        <f aca="false">IF(BE860="",0,MAX(0,MIN(1,(IF(CC860="L1",Parameter!$H$5,IF(CC860="L23",Parameter!$H$6+Parameter!$H$7,Parameter!$H$5+Parameter!$H$6+Parameter!$H$7))-(BE860-BA860))/BA860)))</f>
        <v>1</v>
      </c>
      <c r="BG860" s="48" t="str">
        <f aca="false">IF(AI860&lt;=0,"",IF(CC860="Aussen","Aussenlager",IF(CC860="-","Nicht im Lift",IF(AN860&gt;=1,"Lift",IF(AN860&lt;=0,"Aussenlager","teilweise")))))</f>
        <v>Lift</v>
      </c>
      <c r="BH860" s="48" t="str">
        <f aca="false">IF(AR860&lt;=0,"",IF(CC860="Aussen","Aussenlager",IF(CC860="-","Nicht im Lift",IF(AW860&gt;=1,"Lift",IF(AW860&lt;=0,"Aussenlager","teilweise")))))</f>
        <v>Lift</v>
      </c>
      <c r="BI860" s="48" t="str">
        <f aca="false">IF(BA860&lt;=0,"",IF(CC860="Aussen","Aussenlager",IF(CC860="-","Nicht im Lift",IF(BF860&gt;=1,"Lift",IF(BF860&lt;=0,"Aussenlager","teilweise")))))</f>
        <v>Lift</v>
      </c>
      <c r="BJ860" s="48" t="str">
        <f aca="false">IF(A860="","",IF(BS860=1,"Neu; ","")&amp;IF(AND(BS860=0,BN860&lt;0),"negativer Bestand (Export "&amp;BN860&amp;"); ","")&amp;IF(J860&lt;=0,"Kein Verbrauch; ","")&amp;IF(CL860&gt;0,"Lift "&amp;W860&amp;" lt. Liftbericht (Fach "&amp;X860&amp;" Stk); ",IF(BX860=1,"Gebinde geschätzt ("&amp;T860&amp;"); ",IF(BW860=1,"Lose – Tablare geschätzt; ","")))&amp;IF(H860&gt;AT860,"Überbestand "&amp;ROUND(H860-AT860,0)&amp;" Stk / CHF "&amp;ROUND((H860-AT860)*G860,0)&amp;"; ","")&amp;IF(AND(CE860=1,CF860&lt;CG860),"MAX &lt; MB+LG; ","")&amp;IF(AND(CK860&gt;0,CJ860*10&gt;CK860),"zu hoch für Tablar; ","")&amp;IF(AND(BS860=0,OR(CE860=1,AA860&lt;&gt;"",U860&lt;&gt;"",V860&lt;&gt;"",AB860&lt;&gt;"")),"manuell übersteuert; ","")&amp;IF(AND(BW860=0,R860=0),"Gebinde unbekannt / Stellmass fehlt; ","")&amp;IF(AND(BW860=0,N(V860)&lt;=0,N(Q860)&lt;=0),"Menge pro Gebinde fehlt (Ist = 1 Gebinde); ","")&amp;BR860)</f>
        <v>negativer Bestand (Export -16); Gebinde geschätzt (Gross); Menge pro Gebinde fehlt (Ist = 1 Gebinde); </v>
      </c>
      <c r="BK860" s="48"/>
      <c r="BL860" s="48"/>
      <c r="BM860" s="55"/>
      <c r="BN860" s="50" t="n">
        <v>-16</v>
      </c>
      <c r="BO860" s="50" t="n">
        <v>32</v>
      </c>
      <c r="BP860" s="49" t="n">
        <v>-20</v>
      </c>
      <c r="BQ860" s="50" t="n">
        <v>16</v>
      </c>
      <c r="BR860" s="48"/>
      <c r="BS860" s="53" t="n">
        <v>0</v>
      </c>
      <c r="BT860" s="53" t="n">
        <v>860</v>
      </c>
      <c r="BU860" s="48" t="str">
        <f aca="false">IF(U860&lt;&gt;"",UPPER(TRIM(U860)),IF(BX860=1,UPPER(VLOOKUP(T860,Parameter!$I$27:$K$29,2,0)),IF(P860="","LOSE",P860)))</f>
        <v>S81</v>
      </c>
      <c r="BV860" s="50" t="n">
        <f aca="false">IF(BU860="LOSE",1,IF(N(V860)&gt;0,V860,IF(BX860=1,MAX(1,N(VLOOKUP(T860,Parameter!$I$27:$K$29,3,0)),H860,N(N860)),IF(N(Q860)&gt;0,Q860,MAX(1,H860)))))</f>
        <v>16</v>
      </c>
      <c r="BW860" s="53" t="n">
        <f aca="false">IF(BU860="LOSE",1,0)</f>
        <v>0</v>
      </c>
      <c r="BX860" s="53" t="n">
        <f aca="false">IF(AND(U860="",OR(P860="",P860="LOSE"),T860&lt;&gt;"",N(S860)&lt;=0,ISNUMBER(MATCH(T860,Parameter!$I$27:$I$29,0))),1,0)</f>
        <v>1</v>
      </c>
      <c r="BY860" s="53" t="n">
        <f aca="false">IF(CL860&gt;0,INDEX(Parameter!$H$5:$H$7,W860)/INDEX(Parameter!$E$5:$E$7,W860),IF(AND(BW860=0,N(IFERROR(VLOOKUP(BU860,'Gebinde-Kategorie'!$A$5:$N$45,14,0),0))&gt;0),VLOOKUP(BU860,'Gebinde-Kategorie'!$A$5:$N$45,14,0)*10+Parameter!$M$23,Parameter!$M$24))</f>
        <v>235</v>
      </c>
      <c r="BZ860" s="48" t="str">
        <f aca="false">IF(AND(Parameter!$B$19="Ja",E860&lt;&gt;"",ISNUMBER(MATCH(E860,Parameter!$I$35:$I$52,0))),VLOOKUP(E860,Parameter!$I$35:$J$52,2,0),IFERROR(VLOOKUP(D860,Parameter!$A$35:$C$64,2,0),"Nein"))</f>
        <v>2+3</v>
      </c>
      <c r="CA860" s="52" t="n">
        <f aca="false">IF(BW860=0,0,IF(N(S860)&gt;0,S860,IFERROR(VLOOKUP(D860,Parameter!$A$35:$C$64,3,0)+0,0)))</f>
        <v>0</v>
      </c>
      <c r="CB860" s="48" t="n">
        <f aca="false">IF(AA860&lt;&gt;"",AA860,Z860)</f>
        <v>2</v>
      </c>
      <c r="CC860" s="48" t="str">
        <f aca="false">IF(OR(CB860=1,CB860=2,CB860=3),IF(Parameter!$E$27="Ja","LIFT",IF(CB860=1,"L1","L23")),IF(CB860="Aussen","Aussen","-"))</f>
        <v>LIFT</v>
      </c>
      <c r="CD860" s="59" t="n">
        <f aca="false">IF(N(AB860)&gt;0,AB860,0)</f>
        <v>0</v>
      </c>
      <c r="CE860" s="53" t="n">
        <f aca="false">IF(ISNUMBER(AE860),1,0)</f>
        <v>0</v>
      </c>
      <c r="CF860" s="50" t="n">
        <f aca="false">N(AE860)</f>
        <v>0</v>
      </c>
      <c r="CG860" s="50" t="n">
        <f aca="false">N(M860)+N(N860)</f>
        <v>15</v>
      </c>
      <c r="CH860" s="50" t="n">
        <f aca="false">ROUNDUP(H860/BV860,0)</f>
        <v>1</v>
      </c>
      <c r="CI860" s="50" t="n">
        <f aca="false">ROUNDUP(CF860/BV860,0)</f>
        <v>0</v>
      </c>
      <c r="CJ860" s="53" t="n">
        <f aca="false">IF(BW860=1,0,IFERROR(VLOOKUP(BU860,'Gebinde-Kategorie'!$A$5:$N$45,5,0)+0,0))</f>
        <v>20</v>
      </c>
      <c r="CK860" s="53" t="n">
        <f aca="false">IFERROR(IF(OR(CB860=1,CB860=2,CB860=3),N(INDEX(Parameter!$I$5:$I$7,CB860)),0),0)</f>
        <v>0</v>
      </c>
      <c r="CL860" s="52" t="n">
        <f aca="false">IF(AND(Parameter!$B$21="Ja",ISNUMBER(W860),N(X860)&gt;0),IFERROR(N(INDEX(Parameter!$L$5:$L$7,W860))*INDEX(Parameter!$E$5:$E$7,W860)*X860/SUMIFS($X$7:$X$1843,$W$7:$W$1843,W860),0),0)</f>
        <v>0</v>
      </c>
    </row>
    <row r="861" customFormat="false" ht="15" hidden="false" customHeight="false" outlineLevel="0" collapsed="false">
      <c r="A861" s="48" t="s">
        <v>1645</v>
      </c>
      <c r="B861" s="48" t="s">
        <v>1096</v>
      </c>
      <c r="C861" s="48" t="s">
        <v>168</v>
      </c>
      <c r="D861" s="48" t="s">
        <v>188</v>
      </c>
      <c r="E861" s="48" t="s">
        <v>189</v>
      </c>
      <c r="F861" s="48" t="s">
        <v>222</v>
      </c>
      <c r="G861" s="49" t="n">
        <v>4.13</v>
      </c>
      <c r="H861" s="50" t="n">
        <f aca="false">MAX(0,IF(AND(Parameter!$B$21="Ja",ISNUMBER(Y861)),Y861,IF(Parameter!$B$20="Jahresanfang 2025 + Export",BO861+BN861,BN861)))</f>
        <v>6</v>
      </c>
      <c r="I861" s="50" t="n">
        <f aca="false">H861*G861</f>
        <v>24.78</v>
      </c>
      <c r="J861" s="50" t="n">
        <f aca="false">BQ861*Parameter!$B$18</f>
        <v>10</v>
      </c>
      <c r="K861" s="51" t="n">
        <v>10.5</v>
      </c>
      <c r="L861" s="52" t="n">
        <v>0.952380952380952</v>
      </c>
      <c r="M861" s="50" t="n">
        <v>0</v>
      </c>
      <c r="N861" s="50" t="n">
        <v>10</v>
      </c>
      <c r="O861" s="53" t="n">
        <v>14</v>
      </c>
      <c r="P861" s="48" t="s">
        <v>425</v>
      </c>
      <c r="Q861" s="50" t="n">
        <v>20</v>
      </c>
      <c r="R861" s="53" t="n">
        <f aca="false">IF(BW861=1,0,IFERROR(VLOOKUP(BU861,'Gebinde-Kategorie'!$A$5:$N$45,13,0)+0,0))</f>
        <v>104</v>
      </c>
      <c r="S861" s="54"/>
      <c r="T861" s="55"/>
      <c r="U861" s="55"/>
      <c r="V861" s="55"/>
      <c r="W861" s="48"/>
      <c r="X861" s="50"/>
      <c r="Y861" s="50"/>
      <c r="Z861" s="48" t="n">
        <f aca="false">IF(A861="","",IF(AND(Parameter!$B$21="Ja",ISNUMBER(W861)),W861,IF(BZ861="2+3",IF(ISNUMBER(SEARCH("grosser Artikel",BR861)),2,IFERROR(VLOOKUP(BU861,Parameter!$F$35:$G$64,2,0),2)),IF(OR(BZ861="Nein",BZ861=""),"-",BZ861))))</f>
        <v>3</v>
      </c>
      <c r="AA861" s="55"/>
      <c r="AB861" s="56"/>
      <c r="AC861" s="50" t="n">
        <f aca="false">AT861</f>
        <v>20</v>
      </c>
      <c r="AD861" s="50" t="n">
        <f aca="false">MAX(AT861,H861)</f>
        <v>20</v>
      </c>
      <c r="AE861" s="57"/>
      <c r="AF861" s="50" t="n">
        <f aca="false">IF(LEFT(Cockpit!$C$5,1)="A",H861,IF(CE861=1,CF861,IF(LEFT(Cockpit!$C$5,1)="B",AK861,MAX(AK861,H861))))</f>
        <v>6</v>
      </c>
      <c r="AG861" s="50" t="n">
        <f aca="false">IF(BW861=1,0,ROUNDUP(AF861/BV861,0))</f>
        <v>1</v>
      </c>
      <c r="AH861" s="52" t="n">
        <f aca="false">IF(CL861&gt;0,CL861*MAX(1,AF861/X861),IF(BW861=1,IF(AF861&lt;=0,0,CA861*MAX(1,IF(H861&gt;0,AF861/H861,1))),IF(R861&gt;0,AG861/R861,0))/MAX(0.1,N(Parameter!$M$21)))</f>
        <v>0.00961538461538462</v>
      </c>
      <c r="AI861" s="50" t="n">
        <f aca="false">AH861*BY861</f>
        <v>1.49038461538462</v>
      </c>
      <c r="AJ861" s="50" t="n">
        <f aca="false">AF861*G861</f>
        <v>24.78</v>
      </c>
      <c r="AK861" s="50" t="n">
        <f aca="false">ROUNDUP(MAX(J861/IF(CD861&gt;0,CD861,MAX(0.1,N(Cockpit!$C$6))),CG861)/BV861,0)*BV861</f>
        <v>20</v>
      </c>
      <c r="AL861" s="51" t="n">
        <f aca="false">IF(AI861&gt;0,J861/AI861,-1)</f>
        <v>6.70967741935484</v>
      </c>
      <c r="AM861" s="51" t="n">
        <f aca="false">IF(AND(OR(CC861="L1",CC861="L23",CC861="LIFT"),AI861&gt;0),SUMIFS($AI$7:$AI$1843,$CC$7:$CC$1843,CC861,$AL$7:$AL$1843,"&gt;"&amp;AL861)+SUMIFS($AI$7:$AI$1843,$CC$7:$CC$1843,CC861,$AL$7:$AL$1843,AL861,$BT$7:$BT$1843,"&lt;="&amp;BT861),"")</f>
        <v>3394.14331501832</v>
      </c>
      <c r="AN861" s="58" t="n">
        <f aca="false">IF(AM861="",0,MAX(0,MIN(1,(IF(CC861="L1",Parameter!$H$5,IF(CC861="L23",Parameter!$H$6+Parameter!$H$7,Parameter!$H$5+Parameter!$H$6+Parameter!$H$7))-(AM861-AI861))/AI861)))</f>
        <v>1</v>
      </c>
      <c r="AO861" s="50" t="n">
        <f aca="false">IF(LEFT(Cockpit!$I$5,1)="A",H861,IF(CE861=1,CF861,IF(LEFT(Cockpit!$I$5,1)="B",AT861,MAX(AT861,H861))))</f>
        <v>20</v>
      </c>
      <c r="AP861" s="50" t="n">
        <f aca="false">IF(BW861=1,0,ROUNDUP(AO861/BV861,0))</f>
        <v>1</v>
      </c>
      <c r="AQ861" s="52" t="n">
        <f aca="false">IF(CL861&gt;0,CL861*MAX(1,AO861/X861),IF(BW861=1,IF(AO861&lt;=0,0,CA861*MAX(1,IF(H861&gt;0,AO861/H861,1))),IF(R861&gt;0,AP861/R861,0))/MAX(0.1,N(Parameter!$M$21)))</f>
        <v>0.00961538461538462</v>
      </c>
      <c r="AR861" s="50" t="n">
        <f aca="false">AQ861*BY861</f>
        <v>1.49038461538462</v>
      </c>
      <c r="AS861" s="50" t="n">
        <f aca="false">AO861*G861</f>
        <v>82.6</v>
      </c>
      <c r="AT861" s="50" t="n">
        <f aca="false">ROUNDUP(MAX(J861/IF(CD861&gt;0,CD861,MAX(0.1,N(Cockpit!$I$6))),CG861)/BV861,0)*BV861</f>
        <v>20</v>
      </c>
      <c r="AU861" s="51" t="n">
        <f aca="false">IF(AR861&gt;0,J861/AR861,-1)</f>
        <v>6.70967741935484</v>
      </c>
      <c r="AV861" s="51" t="n">
        <f aca="false">IF(AND(OR(CC861="L1",CC861="L23",CC861="LIFT"),AR861&gt;0),SUMIFS($AR$7:$AR$1843,$CC$7:$CC$1843,CC861,$AU$7:$AU$1843,"&gt;"&amp;AU861)+SUMIFS($AR$7:$AR$1843,$CC$7:$CC$1843,CC861,$AU$7:$AU$1843,AU861,$BT$7:$BT$1843,"&lt;="&amp;BT861),"")</f>
        <v>4527.39697802198</v>
      </c>
      <c r="AW861" s="58" t="n">
        <f aca="false">IF(AV861="",0,MAX(0,MIN(1,(IF(CC861="L1",Parameter!$H$5,IF(CC861="L23",Parameter!$H$6+Parameter!$H$7,Parameter!$H$5+Parameter!$H$6+Parameter!$H$7))-(AV861-AR861))/AR861)))</f>
        <v>1</v>
      </c>
      <c r="AX861" s="50" t="n">
        <f aca="false">IF(LEFT(Cockpit!$O$5,1)="A",H861,IF(CE861=1,CF861,IF(LEFT(Cockpit!$O$5,1)="B",BC861,MAX(BC861,H861))))</f>
        <v>20</v>
      </c>
      <c r="AY861" s="50" t="n">
        <f aca="false">IF(BW861=1,0,ROUNDUP(AX861/BV861,0))</f>
        <v>1</v>
      </c>
      <c r="AZ861" s="52" t="n">
        <f aca="false">IF(CL861&gt;0,CL861*MAX(1,AX861/X861),IF(BW861=1,IF(AX861&lt;=0,0,CA861*MAX(1,IF(H861&gt;0,AX861/H861,1))),IF(R861&gt;0,AY861/R861,0))/MAX(0.1,N(Parameter!$M$21)))</f>
        <v>0.00961538461538462</v>
      </c>
      <c r="BA861" s="50" t="n">
        <f aca="false">AZ861*BY861</f>
        <v>1.49038461538462</v>
      </c>
      <c r="BB861" s="50" t="n">
        <f aca="false">AX861*G861</f>
        <v>82.6</v>
      </c>
      <c r="BC861" s="50" t="n">
        <f aca="false">ROUNDUP(MAX(J861/IF(CD861&gt;0,CD861,MAX(0.1,N(Cockpit!$O$6))),CG861)/BV861,0)*BV861</f>
        <v>20</v>
      </c>
      <c r="BD861" s="51" t="n">
        <f aca="false">IF(BA861&gt;0,J861/BA861,-1)</f>
        <v>6.70967741935484</v>
      </c>
      <c r="BE861" s="51" t="n">
        <f aca="false">IF(AND(OR(CC861="L1",CC861="L23",CC861="LIFT"),BA861&gt;0),SUMIFS($BA$7:$BA$1843,$CC$7:$CC$1843,CC861,$BD$7:$BD$1843,"&gt;"&amp;BD861)+SUMIFS($BA$7:$BA$1843,$CC$7:$CC$1843,CC861,$BD$7:$BD$1843,BD861,$BT$7:$BT$1843,"&lt;="&amp;BT861),"")</f>
        <v>4318.69505494506</v>
      </c>
      <c r="BF861" s="58" t="n">
        <f aca="false">IF(BE861="",0,MAX(0,MIN(1,(IF(CC861="L1",Parameter!$H$5,IF(CC861="L23",Parameter!$H$6+Parameter!$H$7,Parameter!$H$5+Parameter!$H$6+Parameter!$H$7))-(BE861-BA861))/BA861)))</f>
        <v>1</v>
      </c>
      <c r="BG861" s="48" t="str">
        <f aca="false">IF(AI861&lt;=0,"",IF(CC861="Aussen","Aussenlager",IF(CC861="-","Nicht im Lift",IF(AN861&gt;=1,"Lift",IF(AN861&lt;=0,"Aussenlager","teilweise")))))</f>
        <v>Lift</v>
      </c>
      <c r="BH861" s="48" t="str">
        <f aca="false">IF(AR861&lt;=0,"",IF(CC861="Aussen","Aussenlager",IF(CC861="-","Nicht im Lift",IF(AW861&gt;=1,"Lift",IF(AW861&lt;=0,"Aussenlager","teilweise")))))</f>
        <v>Lift</v>
      </c>
      <c r="BI861" s="48" t="str">
        <f aca="false">IF(BA861&lt;=0,"",IF(CC861="Aussen","Aussenlager",IF(CC861="-","Nicht im Lift",IF(BF861&gt;=1,"Lift",IF(BF861&lt;=0,"Aussenlager","teilweise")))))</f>
        <v>Lift</v>
      </c>
      <c r="BJ861" s="48" t="str">
        <f aca="false">IF(A861="","",IF(BS861=1,"Neu; ","")&amp;IF(AND(BS861=0,BN861&lt;0),"negativer Bestand (Export "&amp;BN861&amp;"); ","")&amp;IF(J861&lt;=0,"Kein Verbrauch; ","")&amp;IF(CL861&gt;0,"Lift "&amp;W861&amp;" lt. Liftbericht (Fach "&amp;X861&amp;" Stk); ",IF(BX861=1,"Gebinde geschätzt ("&amp;T861&amp;"); ",IF(BW861=1,"Lose – Tablare geschätzt; ","")))&amp;IF(H861&gt;AT861,"Überbestand "&amp;ROUND(H861-AT861,0)&amp;" Stk / CHF "&amp;ROUND((H861-AT861)*G861,0)&amp;"; ","")&amp;IF(AND(CE861=1,CF861&lt;CG861),"MAX &lt; MB+LG; ","")&amp;IF(AND(CK861&gt;0,CJ861*10&gt;CK861),"zu hoch für Tablar; ","")&amp;IF(AND(BS861=0,OR(CE861=1,AA861&lt;&gt;"",U861&lt;&gt;"",V861&lt;&gt;"",AB861&lt;&gt;"")),"manuell übersteuert; ","")&amp;IF(AND(BW861=0,R861=0),"Gebinde unbekannt / Stellmass fehlt; ","")&amp;IF(AND(BW861=0,N(V861)&lt;=0,N(Q861)&lt;=0),"Menge pro Gebinde fehlt (Ist = 1 Gebinde); ","")&amp;BR861)</f>
        <v>negativer Bestand (Export -5); </v>
      </c>
      <c r="BK861" s="48"/>
      <c r="BL861" s="48"/>
      <c r="BM861" s="55"/>
      <c r="BN861" s="50" t="n">
        <v>-5</v>
      </c>
      <c r="BO861" s="50" t="n">
        <v>11</v>
      </c>
      <c r="BP861" s="49" t="n">
        <v>-20.43</v>
      </c>
      <c r="BQ861" s="50" t="n">
        <v>10</v>
      </c>
      <c r="BR861" s="48"/>
      <c r="BS861" s="53" t="n">
        <v>0</v>
      </c>
      <c r="BT861" s="53" t="n">
        <v>861</v>
      </c>
      <c r="BU861" s="48" t="str">
        <f aca="false">IF(U861&lt;&gt;"",UPPER(TRIM(U861)),IF(BX861=1,UPPER(VLOOKUP(T861,Parameter!$I$27:$K$29,2,0)),IF(P861="","LOSE",P861)))</f>
        <v>S32</v>
      </c>
      <c r="BV861" s="50" t="n">
        <f aca="false">IF(BU861="LOSE",1,IF(N(V861)&gt;0,V861,IF(BX861=1,MAX(1,N(VLOOKUP(T861,Parameter!$I$27:$K$29,3,0)),H861,N(N861)),IF(N(Q861)&gt;0,Q861,MAX(1,H861)))))</f>
        <v>20</v>
      </c>
      <c r="BW861" s="53" t="n">
        <f aca="false">IF(BU861="LOSE",1,0)</f>
        <v>0</v>
      </c>
      <c r="BX861" s="53" t="n">
        <f aca="false">IF(AND(U861="",OR(P861="",P861="LOSE"),T861&lt;&gt;"",N(S861)&lt;=0,ISNUMBER(MATCH(T861,Parameter!$I$27:$I$29,0))),1,0)</f>
        <v>0</v>
      </c>
      <c r="BY861" s="53" t="n">
        <f aca="false">IF(CL861&gt;0,INDEX(Parameter!$H$5:$H$7,W861)/INDEX(Parameter!$E$5:$E$7,W861),IF(AND(BW861=0,N(IFERROR(VLOOKUP(BU861,'Gebinde-Kategorie'!$A$5:$N$45,14,0),0))&gt;0),VLOOKUP(BU861,'Gebinde-Kategorie'!$A$5:$N$45,14,0)*10+Parameter!$M$23,Parameter!$M$24))</f>
        <v>155</v>
      </c>
      <c r="BZ861" s="48" t="str">
        <f aca="false">IF(AND(Parameter!$B$19="Ja",E861&lt;&gt;"",ISNUMBER(MATCH(E861,Parameter!$I$35:$I$52,0))),VLOOKUP(E861,Parameter!$I$35:$J$52,2,0),IFERROR(VLOOKUP(D861,Parameter!$A$35:$C$64,2,0),"Nein"))</f>
        <v>2+3</v>
      </c>
      <c r="CA861" s="52" t="n">
        <f aca="false">IF(BW861=0,0,IF(N(S861)&gt;0,S861,IFERROR(VLOOKUP(D861,Parameter!$A$35:$C$64,3,0)+0,0)))</f>
        <v>0</v>
      </c>
      <c r="CB861" s="48" t="n">
        <f aca="false">IF(AA861&lt;&gt;"",AA861,Z861)</f>
        <v>3</v>
      </c>
      <c r="CC861" s="48" t="str">
        <f aca="false">IF(OR(CB861=1,CB861=2,CB861=3),IF(Parameter!$E$27="Ja","LIFT",IF(CB861=1,"L1","L23")),IF(CB861="Aussen","Aussen","-"))</f>
        <v>LIFT</v>
      </c>
      <c r="CD861" s="59" t="n">
        <f aca="false">IF(N(AB861)&gt;0,AB861,0)</f>
        <v>0</v>
      </c>
      <c r="CE861" s="53" t="n">
        <f aca="false">IF(ISNUMBER(AE861),1,0)</f>
        <v>0</v>
      </c>
      <c r="CF861" s="50" t="n">
        <f aca="false">N(AE861)</f>
        <v>0</v>
      </c>
      <c r="CG861" s="50" t="n">
        <f aca="false">N(M861)+N(N861)</f>
        <v>10</v>
      </c>
      <c r="CH861" s="50" t="n">
        <f aca="false">ROUNDUP(H861/BV861,0)</f>
        <v>1</v>
      </c>
      <c r="CI861" s="50" t="n">
        <f aca="false">ROUNDUP(CF861/BV861,0)</f>
        <v>0</v>
      </c>
      <c r="CJ861" s="53" t="n">
        <f aca="false">IF(BW861=1,0,IFERROR(VLOOKUP(BU861,'Gebinde-Kategorie'!$A$5:$N$45,5,0)+0,0))</f>
        <v>8</v>
      </c>
      <c r="CK861" s="53" t="n">
        <f aca="false">IFERROR(IF(OR(CB861=1,CB861=2,CB861=3),N(INDEX(Parameter!$I$5:$I$7,CB861)),0),0)</f>
        <v>0</v>
      </c>
      <c r="CL861" s="52" t="n">
        <f aca="false">IF(AND(Parameter!$B$21="Ja",ISNUMBER(W861),N(X861)&gt;0),IFERROR(N(INDEX(Parameter!$L$5:$L$7,W861))*INDEX(Parameter!$E$5:$E$7,W861)*X861/SUMIFS($X$7:$X$1843,$W$7:$W$1843,W861),0),0)</f>
        <v>0</v>
      </c>
    </row>
    <row r="862" customFormat="false" ht="15" hidden="false" customHeight="false" outlineLevel="0" collapsed="false">
      <c r="A862" s="48" t="s">
        <v>1646</v>
      </c>
      <c r="B862" s="48" t="s">
        <v>1647</v>
      </c>
      <c r="C862" s="48" t="s">
        <v>168</v>
      </c>
      <c r="D862" s="48" t="s">
        <v>188</v>
      </c>
      <c r="E862" s="48" t="s">
        <v>189</v>
      </c>
      <c r="F862" s="48" t="s">
        <v>222</v>
      </c>
      <c r="G862" s="49" t="n">
        <v>20.5</v>
      </c>
      <c r="H862" s="50" t="n">
        <f aca="false">MAX(0,IF(AND(Parameter!$B$21="Ja",ISNUMBER(Y862)),Y862,IF(Parameter!$B$20="Jahresanfang 2025 + Export",BO862+BN862,BN862)))</f>
        <v>12</v>
      </c>
      <c r="I862" s="50" t="n">
        <f aca="false">H862*G862</f>
        <v>246</v>
      </c>
      <c r="J862" s="50" t="n">
        <f aca="false">BQ862*Parameter!$B$18</f>
        <v>1</v>
      </c>
      <c r="K862" s="51" t="n">
        <v>12.5</v>
      </c>
      <c r="L862" s="52" t="n">
        <v>0.08</v>
      </c>
      <c r="M862" s="50" t="n">
        <v>0</v>
      </c>
      <c r="N862" s="50" t="n">
        <v>1</v>
      </c>
      <c r="O862" s="53" t="n">
        <v>42</v>
      </c>
      <c r="P862" s="48" t="s">
        <v>480</v>
      </c>
      <c r="Q862" s="50" t="n">
        <v>22</v>
      </c>
      <c r="R862" s="53" t="n">
        <f aca="false">IF(BW862=1,0,IFERROR(VLOOKUP(BU862,'Gebinde-Kategorie'!$A$5:$N$45,13,0)+0,0))</f>
        <v>52</v>
      </c>
      <c r="S862" s="54"/>
      <c r="T862" s="55"/>
      <c r="U862" s="55"/>
      <c r="V862" s="55"/>
      <c r="W862" s="48"/>
      <c r="X862" s="50"/>
      <c r="Y862" s="50"/>
      <c r="Z862" s="48" t="n">
        <f aca="false">IF(A862="","",IF(AND(Parameter!$B$21="Ja",ISNUMBER(W862)),W862,IF(BZ862="2+3",IF(ISNUMBER(SEARCH("grosser Artikel",BR862)),2,IFERROR(VLOOKUP(BU862,Parameter!$F$35:$G$64,2,0),2)),IF(OR(BZ862="Nein",BZ862=""),"-",BZ862))))</f>
        <v>3</v>
      </c>
      <c r="AA862" s="55"/>
      <c r="AB862" s="56"/>
      <c r="AC862" s="50" t="n">
        <f aca="false">AT862</f>
        <v>22</v>
      </c>
      <c r="AD862" s="50" t="n">
        <f aca="false">MAX(AT862,H862)</f>
        <v>22</v>
      </c>
      <c r="AE862" s="57"/>
      <c r="AF862" s="50" t="n">
        <f aca="false">IF(LEFT(Cockpit!$C$5,1)="A",H862,IF(CE862=1,CF862,IF(LEFT(Cockpit!$C$5,1)="B",AK862,MAX(AK862,H862))))</f>
        <v>12</v>
      </c>
      <c r="AG862" s="50" t="n">
        <f aca="false">IF(BW862=1,0,ROUNDUP(AF862/BV862,0))</f>
        <v>1</v>
      </c>
      <c r="AH862" s="52" t="n">
        <f aca="false">IF(CL862&gt;0,CL862*MAX(1,AF862/X862),IF(BW862=1,IF(AF862&lt;=0,0,CA862*MAX(1,IF(H862&gt;0,AF862/H862,1))),IF(R862&gt;0,AG862/R862,0))/MAX(0.1,N(Parameter!$M$21)))</f>
        <v>0.0192307692307692</v>
      </c>
      <c r="AI862" s="50" t="n">
        <f aca="false">AH862*BY862</f>
        <v>2.98076923076923</v>
      </c>
      <c r="AJ862" s="50" t="n">
        <f aca="false">AF862*G862</f>
        <v>246</v>
      </c>
      <c r="AK862" s="50" t="n">
        <f aca="false">ROUNDUP(MAX(J862/IF(CD862&gt;0,CD862,MAX(0.1,N(Cockpit!$C$6))),CG862)/BV862,0)*BV862</f>
        <v>22</v>
      </c>
      <c r="AL862" s="51" t="n">
        <f aca="false">IF(AI862&gt;0,J862/AI862,-1)</f>
        <v>0.335483870967742</v>
      </c>
      <c r="AM862" s="51" t="n">
        <f aca="false">IF(AND(OR(CC862="L1",CC862="L23",CC862="LIFT"),AI862&gt;0),SUMIFS($AI$7:$AI$1843,$CC$7:$CC$1843,CC862,$AL$7:$AL$1843,"&gt;"&amp;AL862)+SUMIFS($AI$7:$AI$1843,$CC$7:$CC$1843,CC862,$AL$7:$AL$1843,AL862,$BT$7:$BT$1843,"&lt;="&amp;BT862),"")</f>
        <v>11212.8462702552</v>
      </c>
      <c r="AN862" s="58" t="n">
        <f aca="false">IF(AM862="",0,MAX(0,MIN(1,(IF(CC862="L1",Parameter!$H$5,IF(CC862="L23",Parameter!$H$6+Parameter!$H$7,Parameter!$H$5+Parameter!$H$6+Parameter!$H$7))-(AM862-AI862))/AI862)))</f>
        <v>1</v>
      </c>
      <c r="AO862" s="50" t="n">
        <f aca="false">IF(LEFT(Cockpit!$I$5,1)="A",H862,IF(CE862=1,CF862,IF(LEFT(Cockpit!$I$5,1)="B",AT862,MAX(AT862,H862))))</f>
        <v>22</v>
      </c>
      <c r="AP862" s="50" t="n">
        <f aca="false">IF(BW862=1,0,ROUNDUP(AO862/BV862,0))</f>
        <v>1</v>
      </c>
      <c r="AQ862" s="52" t="n">
        <f aca="false">IF(CL862&gt;0,CL862*MAX(1,AO862/X862),IF(BW862=1,IF(AO862&lt;=0,0,CA862*MAX(1,IF(H862&gt;0,AO862/H862,1))),IF(R862&gt;0,AP862/R862,0))/MAX(0.1,N(Parameter!$M$21)))</f>
        <v>0.0192307692307692</v>
      </c>
      <c r="AR862" s="50" t="n">
        <f aca="false">AQ862*BY862</f>
        <v>2.98076923076923</v>
      </c>
      <c r="AS862" s="50" t="n">
        <f aca="false">AO862*G862</f>
        <v>451</v>
      </c>
      <c r="AT862" s="50" t="n">
        <f aca="false">ROUNDUP(MAX(J862/IF(CD862&gt;0,CD862,MAX(0.1,N(Cockpit!$I$6))),CG862)/BV862,0)*BV862</f>
        <v>22</v>
      </c>
      <c r="AU862" s="51" t="n">
        <f aca="false">IF(AR862&gt;0,J862/AR862,-1)</f>
        <v>0.335483870967742</v>
      </c>
      <c r="AV862" s="51" t="n">
        <f aca="false">IF(AND(OR(CC862="L1",CC862="L23",CC862="LIFT"),AR862&gt;0),SUMIFS($AR$7:$AR$1843,$CC$7:$CC$1843,CC862,$AU$7:$AU$1843,"&gt;"&amp;AU862)+SUMIFS($AR$7:$AR$1843,$CC$7:$CC$1843,CC862,$AU$7:$AU$1843,AU862,$BT$7:$BT$1843,"&lt;="&amp;BT862),"")</f>
        <v>16338.5444139194</v>
      </c>
      <c r="AW862" s="58" t="n">
        <f aca="false">IF(AV862="",0,MAX(0,MIN(1,(IF(CC862="L1",Parameter!$H$5,IF(CC862="L23",Parameter!$H$6+Parameter!$H$7,Parameter!$H$5+Parameter!$H$6+Parameter!$H$7))-(AV862-AR862))/AR862)))</f>
        <v>1</v>
      </c>
      <c r="AX862" s="50" t="n">
        <f aca="false">IF(LEFT(Cockpit!$O$5,1)="A",H862,IF(CE862=1,CF862,IF(LEFT(Cockpit!$O$5,1)="B",BC862,MAX(BC862,H862))))</f>
        <v>22</v>
      </c>
      <c r="AY862" s="50" t="n">
        <f aca="false">IF(BW862=1,0,ROUNDUP(AX862/BV862,0))</f>
        <v>1</v>
      </c>
      <c r="AZ862" s="52" t="n">
        <f aca="false">IF(CL862&gt;0,CL862*MAX(1,AX862/X862),IF(BW862=1,IF(AX862&lt;=0,0,CA862*MAX(1,IF(H862&gt;0,AX862/H862,1))),IF(R862&gt;0,AY862/R862,0))/MAX(0.1,N(Parameter!$M$21)))</f>
        <v>0.0192307692307692</v>
      </c>
      <c r="BA862" s="50" t="n">
        <f aca="false">AZ862*BY862</f>
        <v>2.98076923076923</v>
      </c>
      <c r="BB862" s="50" t="n">
        <f aca="false">AX862*G862</f>
        <v>451</v>
      </c>
      <c r="BC862" s="50" t="n">
        <f aca="false">ROUNDUP(MAX(J862/IF(CD862&gt;0,CD862,MAX(0.1,N(Cockpit!$O$6))),CG862)/BV862,0)*BV862</f>
        <v>22</v>
      </c>
      <c r="BD862" s="51" t="n">
        <f aca="false">IF(BA862&gt;0,J862/BA862,-1)</f>
        <v>0.335483870967742</v>
      </c>
      <c r="BE862" s="51" t="n">
        <f aca="false">IF(AND(OR(CC862="L1",CC862="L23",CC862="LIFT"),BA862&gt;0),SUMIFS($BA$7:$BA$1843,$CC$7:$CC$1843,CC862,$BD$7:$BD$1843,"&gt;"&amp;BD862)+SUMIFS($BA$7:$BA$1843,$CC$7:$CC$1843,CC862,$BD$7:$BD$1843,BD862,$BT$7:$BT$1843,"&lt;="&amp;BT862),"")</f>
        <v>15089.2014652015</v>
      </c>
      <c r="BF862" s="58" t="n">
        <f aca="false">IF(BE862="",0,MAX(0,MIN(1,(IF(CC862="L1",Parameter!$H$5,IF(CC862="L23",Parameter!$H$6+Parameter!$H$7,Parameter!$H$5+Parameter!$H$6+Parameter!$H$7))-(BE862-BA862))/BA862)))</f>
        <v>1</v>
      </c>
      <c r="BG862" s="48" t="str">
        <f aca="false">IF(AI862&lt;=0,"",IF(CC862="Aussen","Aussenlager",IF(CC862="-","Nicht im Lift",IF(AN862&gt;=1,"Lift",IF(AN862&lt;=0,"Aussenlager","teilweise")))))</f>
        <v>Lift</v>
      </c>
      <c r="BH862" s="48" t="str">
        <f aca="false">IF(AR862&lt;=0,"",IF(CC862="Aussen","Aussenlager",IF(CC862="-","Nicht im Lift",IF(AW862&gt;=1,"Lift",IF(AW862&lt;=0,"Aussenlager","teilweise")))))</f>
        <v>Lift</v>
      </c>
      <c r="BI862" s="48" t="str">
        <f aca="false">IF(BA862&lt;=0,"",IF(CC862="Aussen","Aussenlager",IF(CC862="-","Nicht im Lift",IF(BF862&gt;=1,"Lift",IF(BF862&lt;=0,"Aussenlager","teilweise")))))</f>
        <v>Lift</v>
      </c>
      <c r="BJ862" s="48" t="str">
        <f aca="false">IF(A862="","",IF(BS862=1,"Neu; ","")&amp;IF(AND(BS862=0,BN862&lt;0),"negativer Bestand (Export "&amp;BN862&amp;"); ","")&amp;IF(J862&lt;=0,"Kein Verbrauch; ","")&amp;IF(CL862&gt;0,"Lift "&amp;W862&amp;" lt. Liftbericht (Fach "&amp;X862&amp;" Stk); ",IF(BX862=1,"Gebinde geschätzt ("&amp;T862&amp;"); ",IF(BW862=1,"Lose – Tablare geschätzt; ","")))&amp;IF(H862&gt;AT862,"Überbestand "&amp;ROUND(H862-AT862,0)&amp;" Stk / CHF "&amp;ROUND((H862-AT862)*G862,0)&amp;"; ","")&amp;IF(AND(CE862=1,CF862&lt;CG862),"MAX &lt; MB+LG; ","")&amp;IF(AND(CK862&gt;0,CJ862*10&gt;CK862),"zu hoch für Tablar; ","")&amp;IF(AND(BS862=0,OR(CE862=1,AA862&lt;&gt;"",U862&lt;&gt;"",V862&lt;&gt;"",AB862&lt;&gt;"")),"manuell übersteuert; ","")&amp;IF(AND(BW862=0,R862=0),"Gebinde unbekannt / Stellmass fehlt; ","")&amp;IF(AND(BW862=0,N(V862)&lt;=0,N(Q862)&lt;=0),"Menge pro Gebinde fehlt (Ist = 1 Gebinde); ","")&amp;BR862)</f>
        <v>negativer Bestand (Export -1); </v>
      </c>
      <c r="BK862" s="48"/>
      <c r="BL862" s="48"/>
      <c r="BM862" s="55"/>
      <c r="BN862" s="50" t="n">
        <v>-1</v>
      </c>
      <c r="BO862" s="50" t="n">
        <v>13</v>
      </c>
      <c r="BP862" s="49" t="n">
        <v>-20.5</v>
      </c>
      <c r="BQ862" s="50" t="n">
        <v>1</v>
      </c>
      <c r="BR862" s="48"/>
      <c r="BS862" s="53" t="n">
        <v>0</v>
      </c>
      <c r="BT862" s="53" t="n">
        <v>862</v>
      </c>
      <c r="BU862" s="48" t="str">
        <f aca="false">IF(U862&lt;&gt;"",UPPER(TRIM(U862)),IF(BX862=1,UPPER(VLOOKUP(T862,Parameter!$I$27:$K$29,2,0)),IF(P862="","LOSE",P862)))</f>
        <v>S33</v>
      </c>
      <c r="BV862" s="50" t="n">
        <f aca="false">IF(BU862="LOSE",1,IF(N(V862)&gt;0,V862,IF(BX862=1,MAX(1,N(VLOOKUP(T862,Parameter!$I$27:$K$29,3,0)),H862,N(N862)),IF(N(Q862)&gt;0,Q862,MAX(1,H862)))))</f>
        <v>22</v>
      </c>
      <c r="BW862" s="53" t="n">
        <f aca="false">IF(BU862="LOSE",1,0)</f>
        <v>0</v>
      </c>
      <c r="BX862" s="53" t="n">
        <f aca="false">IF(AND(U862="",OR(P862="",P862="LOSE"),T862&lt;&gt;"",N(S862)&lt;=0,ISNUMBER(MATCH(T862,Parameter!$I$27:$I$29,0))),1,0)</f>
        <v>0</v>
      </c>
      <c r="BY862" s="53" t="n">
        <f aca="false">IF(CL862&gt;0,INDEX(Parameter!$H$5:$H$7,W862)/INDEX(Parameter!$E$5:$E$7,W862),IF(AND(BW862=0,N(IFERROR(VLOOKUP(BU862,'Gebinde-Kategorie'!$A$5:$N$45,14,0),0))&gt;0),VLOOKUP(BU862,'Gebinde-Kategorie'!$A$5:$N$45,14,0)*10+Parameter!$M$23,Parameter!$M$24))</f>
        <v>155</v>
      </c>
      <c r="BZ862" s="48" t="str">
        <f aca="false">IF(AND(Parameter!$B$19="Ja",E862&lt;&gt;"",ISNUMBER(MATCH(E862,Parameter!$I$35:$I$52,0))),VLOOKUP(E862,Parameter!$I$35:$J$52,2,0),IFERROR(VLOOKUP(D862,Parameter!$A$35:$C$64,2,0),"Nein"))</f>
        <v>2+3</v>
      </c>
      <c r="CA862" s="52" t="n">
        <f aca="false">IF(BW862=0,0,IF(N(S862)&gt;0,S862,IFERROR(VLOOKUP(D862,Parameter!$A$35:$C$64,3,0)+0,0)))</f>
        <v>0</v>
      </c>
      <c r="CB862" s="48" t="n">
        <f aca="false">IF(AA862&lt;&gt;"",AA862,Z862)</f>
        <v>3</v>
      </c>
      <c r="CC862" s="48" t="str">
        <f aca="false">IF(OR(CB862=1,CB862=2,CB862=3),IF(Parameter!$E$27="Ja","LIFT",IF(CB862=1,"L1","L23")),IF(CB862="Aussen","Aussen","-"))</f>
        <v>LIFT</v>
      </c>
      <c r="CD862" s="59" t="n">
        <f aca="false">IF(N(AB862)&gt;0,AB862,0)</f>
        <v>0</v>
      </c>
      <c r="CE862" s="53" t="n">
        <f aca="false">IF(ISNUMBER(AE862),1,0)</f>
        <v>0</v>
      </c>
      <c r="CF862" s="50" t="n">
        <f aca="false">N(AE862)</f>
        <v>0</v>
      </c>
      <c r="CG862" s="50" t="n">
        <f aca="false">N(M862)+N(N862)</f>
        <v>1</v>
      </c>
      <c r="CH862" s="50" t="n">
        <f aca="false">ROUNDUP(H862/BV862,0)</f>
        <v>1</v>
      </c>
      <c r="CI862" s="50" t="n">
        <f aca="false">ROUNDUP(CF862/BV862,0)</f>
        <v>0</v>
      </c>
      <c r="CJ862" s="53" t="n">
        <f aca="false">IF(BW862=1,0,IFERROR(VLOOKUP(BU862,'Gebinde-Kategorie'!$A$5:$N$45,5,0)+0,0))</f>
        <v>8</v>
      </c>
      <c r="CK862" s="53" t="n">
        <f aca="false">IFERROR(IF(OR(CB862=1,CB862=2,CB862=3),N(INDEX(Parameter!$I$5:$I$7,CB862)),0),0)</f>
        <v>0</v>
      </c>
      <c r="CL862" s="52" t="n">
        <f aca="false">IF(AND(Parameter!$B$21="Ja",ISNUMBER(W862),N(X862)&gt;0),IFERROR(N(INDEX(Parameter!$L$5:$L$7,W862))*INDEX(Parameter!$E$5:$E$7,W862)*X862/SUMIFS($X$7:$X$1843,$W$7:$W$1843,W862),0),0)</f>
        <v>0</v>
      </c>
    </row>
    <row r="863" customFormat="false" ht="15" hidden="false" customHeight="false" outlineLevel="0" collapsed="false">
      <c r="A863" s="48" t="s">
        <v>1648</v>
      </c>
      <c r="B863" s="48" t="s">
        <v>411</v>
      </c>
      <c r="C863" s="48" t="s">
        <v>168</v>
      </c>
      <c r="D863" s="48" t="s">
        <v>188</v>
      </c>
      <c r="E863" s="48" t="s">
        <v>189</v>
      </c>
      <c r="F863" s="48" t="s">
        <v>222</v>
      </c>
      <c r="G863" s="49" t="n">
        <v>0.24</v>
      </c>
      <c r="H863" s="50" t="n">
        <f aca="false">MAX(0,IF(AND(Parameter!$B$21="Ja",ISNUMBER(Y863)),Y863,IF(Parameter!$B$20="Jahresanfang 2025 + Export",BO863+BN863,BN863)))</f>
        <v>1798</v>
      </c>
      <c r="I863" s="50" t="n">
        <f aca="false">H863*G863</f>
        <v>431.52</v>
      </c>
      <c r="J863" s="50" t="n">
        <f aca="false">BQ863*Parameter!$B$18</f>
        <v>7214</v>
      </c>
      <c r="K863" s="51" t="n">
        <v>2296</v>
      </c>
      <c r="L863" s="52" t="n">
        <v>3.14198606271777</v>
      </c>
      <c r="M863" s="50" t="n">
        <v>281</v>
      </c>
      <c r="N863" s="50" t="n">
        <v>2000</v>
      </c>
      <c r="O863" s="53" t="n">
        <v>14</v>
      </c>
      <c r="P863" s="48" t="s">
        <v>306</v>
      </c>
      <c r="Q863" s="50" t="n">
        <v>1444</v>
      </c>
      <c r="R863" s="53" t="n">
        <f aca="false">IF(BW863=1,0,IFERROR(VLOOKUP(BU863,'Gebinde-Kategorie'!$A$5:$N$45,13,0)+0,0))</f>
        <v>26</v>
      </c>
      <c r="S863" s="54"/>
      <c r="T863" s="55"/>
      <c r="U863" s="55"/>
      <c r="V863" s="55"/>
      <c r="W863" s="48"/>
      <c r="X863" s="50"/>
      <c r="Y863" s="50"/>
      <c r="Z863" s="48" t="n">
        <f aca="false">IF(A863="","",IF(AND(Parameter!$B$21="Ja",ISNUMBER(W863)),W863,IF(BZ863="2+3",IF(ISNUMBER(SEARCH("grosser Artikel",BR863)),2,IFERROR(VLOOKUP(BU863,Parameter!$F$35:$G$64,2,0),2)),IF(OR(BZ863="Nein",BZ863=""),"-",BZ863))))</f>
        <v>3</v>
      </c>
      <c r="AA863" s="55"/>
      <c r="AB863" s="56"/>
      <c r="AC863" s="50" t="n">
        <f aca="false">AT863</f>
        <v>4332</v>
      </c>
      <c r="AD863" s="50" t="n">
        <f aca="false">MAX(AT863,H863)</f>
        <v>4332</v>
      </c>
      <c r="AE863" s="57"/>
      <c r="AF863" s="50" t="n">
        <f aca="false">IF(LEFT(Cockpit!$C$5,1)="A",H863,IF(CE863=1,CF863,IF(LEFT(Cockpit!$C$5,1)="B",AK863,MAX(AK863,H863))))</f>
        <v>1798</v>
      </c>
      <c r="AG863" s="50" t="n">
        <f aca="false">IF(BW863=1,0,ROUNDUP(AF863/BV863,0))</f>
        <v>2</v>
      </c>
      <c r="AH863" s="52" t="n">
        <f aca="false">IF(CL863&gt;0,CL863*MAX(1,AF863/X863),IF(BW863=1,IF(AF863&lt;=0,0,CA863*MAX(1,IF(H863&gt;0,AF863/H863,1))),IF(R863&gt;0,AG863/R863,0))/MAX(0.1,N(Parameter!$M$21)))</f>
        <v>0.0769230769230769</v>
      </c>
      <c r="AI863" s="50" t="n">
        <f aca="false">AH863*BY863</f>
        <v>11.9230769230769</v>
      </c>
      <c r="AJ863" s="50" t="n">
        <f aca="false">AF863*G863</f>
        <v>431.52</v>
      </c>
      <c r="AK863" s="50" t="n">
        <f aca="false">ROUNDUP(MAX(J863/IF(CD863&gt;0,CD863,MAX(0.1,N(Cockpit!$C$6))),CG863)/BV863,0)*BV863</f>
        <v>4332</v>
      </c>
      <c r="AL863" s="51" t="n">
        <f aca="false">IF(AI863&gt;0,J863/AI863,-1)</f>
        <v>605.045161290323</v>
      </c>
      <c r="AM863" s="51" t="n">
        <f aca="false">IF(AND(OR(CC863="L1",CC863="L23",CC863="LIFT"),AI863&gt;0),SUMIFS($AI$7:$AI$1843,$CC$7:$CC$1843,CC863,$AL$7:$AL$1843,"&gt;"&amp;AL863)+SUMIFS($AI$7:$AI$1843,$CC$7:$CC$1843,CC863,$AL$7:$AL$1843,AL863,$BT$7:$BT$1843,"&lt;="&amp;BT863),"")</f>
        <v>48.896978021978</v>
      </c>
      <c r="AN863" s="58" t="n">
        <f aca="false">IF(AM863="",0,MAX(0,MIN(1,(IF(CC863="L1",Parameter!$H$5,IF(CC863="L23",Parameter!$H$6+Parameter!$H$7,Parameter!$H$5+Parameter!$H$6+Parameter!$H$7))-(AM863-AI863))/AI863)))</f>
        <v>1</v>
      </c>
      <c r="AO863" s="50" t="n">
        <f aca="false">IF(LEFT(Cockpit!$I$5,1)="A",H863,IF(CE863=1,CF863,IF(LEFT(Cockpit!$I$5,1)="B",AT863,MAX(AT863,H863))))</f>
        <v>4332</v>
      </c>
      <c r="AP863" s="50" t="n">
        <f aca="false">IF(BW863=1,0,ROUNDUP(AO863/BV863,0))</f>
        <v>3</v>
      </c>
      <c r="AQ863" s="52" t="n">
        <f aca="false">IF(CL863&gt;0,CL863*MAX(1,AO863/X863),IF(BW863=1,IF(AO863&lt;=0,0,CA863*MAX(1,IF(H863&gt;0,AO863/H863,1))),IF(R863&gt;0,AP863/R863,0))/MAX(0.1,N(Parameter!$M$21)))</f>
        <v>0.115384615384615</v>
      </c>
      <c r="AR863" s="50" t="n">
        <f aca="false">AQ863*BY863</f>
        <v>17.8846153846154</v>
      </c>
      <c r="AS863" s="50" t="n">
        <f aca="false">AO863*G863</f>
        <v>1039.68</v>
      </c>
      <c r="AT863" s="50" t="n">
        <f aca="false">ROUNDUP(MAX(J863/IF(CD863&gt;0,CD863,MAX(0.1,N(Cockpit!$I$6))),CG863)/BV863,0)*BV863</f>
        <v>4332</v>
      </c>
      <c r="AU863" s="51" t="n">
        <f aca="false">IF(AR863&gt;0,J863/AR863,-1)</f>
        <v>403.363440860215</v>
      </c>
      <c r="AV863" s="51" t="n">
        <f aca="false">IF(AND(OR(CC863="L1",CC863="L23",CC863="LIFT"),AR863&gt;0),SUMIFS($AR$7:$AR$1843,$CC$7:$CC$1843,CC863,$AU$7:$AU$1843,"&gt;"&amp;AU863)+SUMIFS($AR$7:$AR$1843,$CC$7:$CC$1843,CC863,$AU$7:$AU$1843,AU863,$BT$7:$BT$1843,"&lt;="&amp;BT863),"")</f>
        <v>88.4931318681319</v>
      </c>
      <c r="AW863" s="58" t="n">
        <f aca="false">IF(AV863="",0,MAX(0,MIN(1,(IF(CC863="L1",Parameter!$H$5,IF(CC863="L23",Parameter!$H$6+Parameter!$H$7,Parameter!$H$5+Parameter!$H$6+Parameter!$H$7))-(AV863-AR863))/AR863)))</f>
        <v>1</v>
      </c>
      <c r="AX863" s="50" t="n">
        <f aca="false">IF(LEFT(Cockpit!$O$5,1)="A",H863,IF(CE863=1,CF863,IF(LEFT(Cockpit!$O$5,1)="B",BC863,MAX(BC863,H863))))</f>
        <v>2888</v>
      </c>
      <c r="AY863" s="50" t="n">
        <f aca="false">IF(BW863=1,0,ROUNDUP(AX863/BV863,0))</f>
        <v>2</v>
      </c>
      <c r="AZ863" s="52" t="n">
        <f aca="false">IF(CL863&gt;0,CL863*MAX(1,AX863/X863),IF(BW863=1,IF(AX863&lt;=0,0,CA863*MAX(1,IF(H863&gt;0,AX863/H863,1))),IF(R863&gt;0,AY863/R863,0))/MAX(0.1,N(Parameter!$M$21)))</f>
        <v>0.0769230769230769</v>
      </c>
      <c r="BA863" s="50" t="n">
        <f aca="false">AZ863*BY863</f>
        <v>11.9230769230769</v>
      </c>
      <c r="BB863" s="50" t="n">
        <f aca="false">AX863*G863</f>
        <v>693.12</v>
      </c>
      <c r="BC863" s="50" t="n">
        <f aca="false">ROUNDUP(MAX(J863/IF(CD863&gt;0,CD863,MAX(0.1,N(Cockpit!$O$6))),CG863)/BV863,0)*BV863</f>
        <v>2888</v>
      </c>
      <c r="BD863" s="51" t="n">
        <f aca="false">IF(BA863&gt;0,J863/BA863,-1)</f>
        <v>605.045161290323</v>
      </c>
      <c r="BE863" s="51" t="n">
        <f aca="false">IF(AND(OR(CC863="L1",CC863="L23",CC863="LIFT"),BA863&gt;0),SUMIFS($BA$7:$BA$1843,$CC$7:$CC$1843,CC863,$BD$7:$BD$1843,"&gt;"&amp;BD863)+SUMIFS($BA$7:$BA$1843,$CC$7:$CC$1843,CC863,$BD$7:$BD$1843,BD863,$BT$7:$BT$1843,"&lt;="&amp;BT863),"")</f>
        <v>29.978021978022</v>
      </c>
      <c r="BF863" s="58" t="n">
        <f aca="false">IF(BE863="",0,MAX(0,MIN(1,(IF(CC863="L1",Parameter!$H$5,IF(CC863="L23",Parameter!$H$6+Parameter!$H$7,Parameter!$H$5+Parameter!$H$6+Parameter!$H$7))-(BE863-BA863))/BA863)))</f>
        <v>1</v>
      </c>
      <c r="BG863" s="48" t="str">
        <f aca="false">IF(AI863&lt;=0,"",IF(CC863="Aussen","Aussenlager",IF(CC863="-","Nicht im Lift",IF(AN863&gt;=1,"Lift",IF(AN863&lt;=0,"Aussenlager","teilweise")))))</f>
        <v>Lift</v>
      </c>
      <c r="BH863" s="48" t="str">
        <f aca="false">IF(AR863&lt;=0,"",IF(CC863="Aussen","Aussenlager",IF(CC863="-","Nicht im Lift",IF(AW863&gt;=1,"Lift",IF(AW863&lt;=0,"Aussenlager","teilweise")))))</f>
        <v>Lift</v>
      </c>
      <c r="BI863" s="48" t="str">
        <f aca="false">IF(BA863&lt;=0,"",IF(CC863="Aussen","Aussenlager",IF(CC863="-","Nicht im Lift",IF(BF863&gt;=1,"Lift",IF(BF863&lt;=0,"Aussenlager","teilweise")))))</f>
        <v>Lift</v>
      </c>
      <c r="BJ863" s="48" t="str">
        <f aca="false">IF(A863="","",IF(BS863=1,"Neu; ","")&amp;IF(AND(BS863=0,BN863&lt;0),"negativer Bestand (Export "&amp;BN863&amp;"); ","")&amp;IF(J863&lt;=0,"Kein Verbrauch; ","")&amp;IF(CL863&gt;0,"Lift "&amp;W863&amp;" lt. Liftbericht (Fach "&amp;X863&amp;" Stk); ",IF(BX863=1,"Gebinde geschätzt ("&amp;T863&amp;"); ",IF(BW863=1,"Lose – Tablare geschätzt; ","")))&amp;IF(H863&gt;AT863,"Überbestand "&amp;ROUND(H863-AT863,0)&amp;" Stk / CHF "&amp;ROUND((H863-AT863)*G863,0)&amp;"; ","")&amp;IF(AND(CE863=1,CF863&lt;CG863),"MAX &lt; MB+LG; ","")&amp;IF(AND(CK863&gt;0,CJ863*10&gt;CK863),"zu hoch für Tablar; ","")&amp;IF(AND(BS863=0,OR(CE863=1,AA863&lt;&gt;"",U863&lt;&gt;"",V863&lt;&gt;"",AB863&lt;&gt;"")),"manuell übersteuert; ","")&amp;IF(AND(BW863=0,R863=0),"Gebinde unbekannt / Stellmass fehlt; ","")&amp;IF(AND(BW863=0,N(V863)&lt;=0,N(Q863)&lt;=0),"Menge pro Gebinde fehlt (Ist = 1 Gebinde); ","")&amp;BR863)</f>
        <v>negativer Bestand (Export -164); </v>
      </c>
      <c r="BK863" s="48"/>
      <c r="BL863" s="48"/>
      <c r="BM863" s="55"/>
      <c r="BN863" s="50" t="n">
        <v>-164</v>
      </c>
      <c r="BO863" s="50" t="n">
        <v>1962</v>
      </c>
      <c r="BP863" s="49" t="n">
        <v>-20.9600000000002</v>
      </c>
      <c r="BQ863" s="50" t="n">
        <v>7214</v>
      </c>
      <c r="BR863" s="48"/>
      <c r="BS863" s="53" t="n">
        <v>0</v>
      </c>
      <c r="BT863" s="53" t="n">
        <v>863</v>
      </c>
      <c r="BU863" s="48" t="str">
        <f aca="false">IF(U863&lt;&gt;"",UPPER(TRIM(U863)),IF(BX863=1,UPPER(VLOOKUP(T863,Parameter!$I$27:$K$29,2,0)),IF(P863="","LOSE",P863)))</f>
        <v>S51</v>
      </c>
      <c r="BV863" s="50" t="n">
        <f aca="false">IF(BU863="LOSE",1,IF(N(V863)&gt;0,V863,IF(BX863=1,MAX(1,N(VLOOKUP(T863,Parameter!$I$27:$K$29,3,0)),H863,N(N863)),IF(N(Q863)&gt;0,Q863,MAX(1,H863)))))</f>
        <v>1444</v>
      </c>
      <c r="BW863" s="53" t="n">
        <f aca="false">IF(BU863="LOSE",1,0)</f>
        <v>0</v>
      </c>
      <c r="BX863" s="53" t="n">
        <f aca="false">IF(AND(U863="",OR(P863="",P863="LOSE"),T863&lt;&gt;"",N(S863)&lt;=0,ISNUMBER(MATCH(T863,Parameter!$I$27:$I$29,0))),1,0)</f>
        <v>0</v>
      </c>
      <c r="BY863" s="53" t="n">
        <f aca="false">IF(CL863&gt;0,INDEX(Parameter!$H$5:$H$7,W863)/INDEX(Parameter!$E$5:$E$7,W863),IF(AND(BW863=0,N(IFERROR(VLOOKUP(BU863,'Gebinde-Kategorie'!$A$5:$N$45,14,0),0))&gt;0),VLOOKUP(BU863,'Gebinde-Kategorie'!$A$5:$N$45,14,0)*10+Parameter!$M$23,Parameter!$M$24))</f>
        <v>155</v>
      </c>
      <c r="BZ863" s="48" t="str">
        <f aca="false">IF(AND(Parameter!$B$19="Ja",E863&lt;&gt;"",ISNUMBER(MATCH(E863,Parameter!$I$35:$I$52,0))),VLOOKUP(E863,Parameter!$I$35:$J$52,2,0),IFERROR(VLOOKUP(D863,Parameter!$A$35:$C$64,2,0),"Nein"))</f>
        <v>2+3</v>
      </c>
      <c r="CA863" s="52" t="n">
        <f aca="false">IF(BW863=0,0,IF(N(S863)&gt;0,S863,IFERROR(VLOOKUP(D863,Parameter!$A$35:$C$64,3,0)+0,0)))</f>
        <v>0</v>
      </c>
      <c r="CB863" s="48" t="n">
        <f aca="false">IF(AA863&lt;&gt;"",AA863,Z863)</f>
        <v>3</v>
      </c>
      <c r="CC863" s="48" t="str">
        <f aca="false">IF(OR(CB863=1,CB863=2,CB863=3),IF(Parameter!$E$27="Ja","LIFT",IF(CB863=1,"L1","L23")),IF(CB863="Aussen","Aussen","-"))</f>
        <v>LIFT</v>
      </c>
      <c r="CD863" s="59" t="n">
        <f aca="false">IF(N(AB863)&gt;0,AB863,0)</f>
        <v>0</v>
      </c>
      <c r="CE863" s="53" t="n">
        <f aca="false">IF(ISNUMBER(AE863),1,0)</f>
        <v>0</v>
      </c>
      <c r="CF863" s="50" t="n">
        <f aca="false">N(AE863)</f>
        <v>0</v>
      </c>
      <c r="CG863" s="50" t="n">
        <f aca="false">N(M863)+N(N863)</f>
        <v>2281</v>
      </c>
      <c r="CH863" s="50" t="n">
        <f aca="false">ROUNDUP(H863/BV863,0)</f>
        <v>2</v>
      </c>
      <c r="CI863" s="50" t="n">
        <f aca="false">ROUNDUP(CF863/BV863,0)</f>
        <v>0</v>
      </c>
      <c r="CJ863" s="53" t="n">
        <f aca="false">IF(BW863=1,0,IFERROR(VLOOKUP(BU863,'Gebinde-Kategorie'!$A$5:$N$45,5,0)+0,0))</f>
        <v>11</v>
      </c>
      <c r="CK863" s="53" t="n">
        <f aca="false">IFERROR(IF(OR(CB863=1,CB863=2,CB863=3),N(INDEX(Parameter!$I$5:$I$7,CB863)),0),0)</f>
        <v>0</v>
      </c>
      <c r="CL863" s="52" t="n">
        <f aca="false">IF(AND(Parameter!$B$21="Ja",ISNUMBER(W863),N(X863)&gt;0),IFERROR(N(INDEX(Parameter!$L$5:$L$7,W863))*INDEX(Parameter!$E$5:$E$7,W863)*X863/SUMIFS($X$7:$X$1843,$W$7:$W$1843,W863),0),0)</f>
        <v>0</v>
      </c>
    </row>
    <row r="864" customFormat="false" ht="15" hidden="false" customHeight="false" outlineLevel="0" collapsed="false">
      <c r="A864" s="48" t="s">
        <v>1649</v>
      </c>
      <c r="B864" s="48" t="s">
        <v>1169</v>
      </c>
      <c r="C864" s="48" t="s">
        <v>168</v>
      </c>
      <c r="D864" s="48" t="s">
        <v>188</v>
      </c>
      <c r="E864" s="48" t="s">
        <v>189</v>
      </c>
      <c r="F864" s="48" t="s">
        <v>222</v>
      </c>
      <c r="G864" s="49" t="n">
        <v>9.37</v>
      </c>
      <c r="H864" s="50" t="n">
        <f aca="false">MAX(0,IF(AND(Parameter!$B$21="Ja",ISNUMBER(Y864)),Y864,IF(Parameter!$B$20="Jahresanfang 2025 + Export",BO864+BN864,BN864)))</f>
        <v>3</v>
      </c>
      <c r="I864" s="50" t="n">
        <f aca="false">H864*G864</f>
        <v>28.11</v>
      </c>
      <c r="J864" s="50" t="n">
        <f aca="false">BQ864*Parameter!$B$18</f>
        <v>8</v>
      </c>
      <c r="K864" s="51" t="n">
        <v>3.5</v>
      </c>
      <c r="L864" s="52" t="n">
        <v>2.28571428571429</v>
      </c>
      <c r="M864" s="50" t="n">
        <v>0</v>
      </c>
      <c r="N864" s="50" t="n">
        <v>10</v>
      </c>
      <c r="O864" s="53" t="n">
        <v>18</v>
      </c>
      <c r="P864" s="48" t="s">
        <v>425</v>
      </c>
      <c r="Q864" s="50" t="n">
        <v>16</v>
      </c>
      <c r="R864" s="53" t="n">
        <f aca="false">IF(BW864=1,0,IFERROR(VLOOKUP(BU864,'Gebinde-Kategorie'!$A$5:$N$45,13,0)+0,0))</f>
        <v>104</v>
      </c>
      <c r="S864" s="54"/>
      <c r="T864" s="55"/>
      <c r="U864" s="55"/>
      <c r="V864" s="55"/>
      <c r="W864" s="48"/>
      <c r="X864" s="50"/>
      <c r="Y864" s="50"/>
      <c r="Z864" s="48" t="n">
        <f aca="false">IF(A864="","",IF(AND(Parameter!$B$21="Ja",ISNUMBER(W864)),W864,IF(BZ864="2+3",IF(ISNUMBER(SEARCH("grosser Artikel",BR864)),2,IFERROR(VLOOKUP(BU864,Parameter!$F$35:$G$64,2,0),2)),IF(OR(BZ864="Nein",BZ864=""),"-",BZ864))))</f>
        <v>3</v>
      </c>
      <c r="AA864" s="55"/>
      <c r="AB864" s="56"/>
      <c r="AC864" s="50" t="n">
        <f aca="false">AT864</f>
        <v>16</v>
      </c>
      <c r="AD864" s="50" t="n">
        <f aca="false">MAX(AT864,H864)</f>
        <v>16</v>
      </c>
      <c r="AE864" s="57"/>
      <c r="AF864" s="50" t="n">
        <f aca="false">IF(LEFT(Cockpit!$C$5,1)="A",H864,IF(CE864=1,CF864,IF(LEFT(Cockpit!$C$5,1)="B",AK864,MAX(AK864,H864))))</f>
        <v>3</v>
      </c>
      <c r="AG864" s="50" t="n">
        <f aca="false">IF(BW864=1,0,ROUNDUP(AF864/BV864,0))</f>
        <v>1</v>
      </c>
      <c r="AH864" s="52" t="n">
        <f aca="false">IF(CL864&gt;0,CL864*MAX(1,AF864/X864),IF(BW864=1,IF(AF864&lt;=0,0,CA864*MAX(1,IF(H864&gt;0,AF864/H864,1))),IF(R864&gt;0,AG864/R864,0))/MAX(0.1,N(Parameter!$M$21)))</f>
        <v>0.00961538461538462</v>
      </c>
      <c r="AI864" s="50" t="n">
        <f aca="false">AH864*BY864</f>
        <v>1.49038461538462</v>
      </c>
      <c r="AJ864" s="50" t="n">
        <f aca="false">AF864*G864</f>
        <v>28.11</v>
      </c>
      <c r="AK864" s="50" t="n">
        <f aca="false">ROUNDUP(MAX(J864/IF(CD864&gt;0,CD864,MAX(0.1,N(Cockpit!$C$6))),CG864)/BV864,0)*BV864</f>
        <v>16</v>
      </c>
      <c r="AL864" s="51" t="n">
        <f aca="false">IF(AI864&gt;0,J864/AI864,-1)</f>
        <v>5.36774193548387</v>
      </c>
      <c r="AM864" s="51" t="n">
        <f aca="false">IF(AND(OR(CC864="L1",CC864="L23",CC864="LIFT"),AI864&gt;0),SUMIFS($AI$7:$AI$1843,$CC$7:$CC$1843,CC864,$AL$7:$AL$1843,"&gt;"&amp;AL864)+SUMIFS($AI$7:$AI$1843,$CC$7:$CC$1843,CC864,$AL$7:$AL$1843,AL864,$BT$7:$BT$1843,"&lt;="&amp;BT864),"")</f>
        <v>3729.17216117216</v>
      </c>
      <c r="AN864" s="58" t="n">
        <f aca="false">IF(AM864="",0,MAX(0,MIN(1,(IF(CC864="L1",Parameter!$H$5,IF(CC864="L23",Parameter!$H$6+Parameter!$H$7,Parameter!$H$5+Parameter!$H$6+Parameter!$H$7))-(AM864-AI864))/AI864)))</f>
        <v>1</v>
      </c>
      <c r="AO864" s="50" t="n">
        <f aca="false">IF(LEFT(Cockpit!$I$5,1)="A",H864,IF(CE864=1,CF864,IF(LEFT(Cockpit!$I$5,1)="B",AT864,MAX(AT864,H864))))</f>
        <v>16</v>
      </c>
      <c r="AP864" s="50" t="n">
        <f aca="false">IF(BW864=1,0,ROUNDUP(AO864/BV864,0))</f>
        <v>1</v>
      </c>
      <c r="AQ864" s="52" t="n">
        <f aca="false">IF(CL864&gt;0,CL864*MAX(1,AO864/X864),IF(BW864=1,IF(AO864&lt;=0,0,CA864*MAX(1,IF(H864&gt;0,AO864/H864,1))),IF(R864&gt;0,AP864/R864,0))/MAX(0.1,N(Parameter!$M$21)))</f>
        <v>0.00961538461538462</v>
      </c>
      <c r="AR864" s="50" t="n">
        <f aca="false">AQ864*BY864</f>
        <v>1.49038461538462</v>
      </c>
      <c r="AS864" s="50" t="n">
        <f aca="false">AO864*G864</f>
        <v>149.92</v>
      </c>
      <c r="AT864" s="50" t="n">
        <f aca="false">ROUNDUP(MAX(J864/IF(CD864&gt;0,CD864,MAX(0.1,N(Cockpit!$I$6))),CG864)/BV864,0)*BV864</f>
        <v>16</v>
      </c>
      <c r="AU864" s="51" t="n">
        <f aca="false">IF(AR864&gt;0,J864/AR864,-1)</f>
        <v>5.36774193548387</v>
      </c>
      <c r="AV864" s="51" t="n">
        <f aca="false">IF(AND(OR(CC864="L1",CC864="L23",CC864="LIFT"),AR864&gt;0),SUMIFS($AR$7:$AR$1843,$CC$7:$CC$1843,CC864,$AU$7:$AU$1843,"&gt;"&amp;AU864)+SUMIFS($AR$7:$AR$1843,$CC$7:$CC$1843,CC864,$AU$7:$AU$1843,AU864,$BT$7:$BT$1843,"&lt;="&amp;BT864),"")</f>
        <v>4913.47161172161</v>
      </c>
      <c r="AW864" s="58" t="n">
        <f aca="false">IF(AV864="",0,MAX(0,MIN(1,(IF(CC864="L1",Parameter!$H$5,IF(CC864="L23",Parameter!$H$6+Parameter!$H$7,Parameter!$H$5+Parameter!$H$6+Parameter!$H$7))-(AV864-AR864))/AR864)))</f>
        <v>1</v>
      </c>
      <c r="AX864" s="50" t="n">
        <f aca="false">IF(LEFT(Cockpit!$O$5,1)="A",H864,IF(CE864=1,CF864,IF(LEFT(Cockpit!$O$5,1)="B",BC864,MAX(BC864,H864))))</f>
        <v>16</v>
      </c>
      <c r="AY864" s="50" t="n">
        <f aca="false">IF(BW864=1,0,ROUNDUP(AX864/BV864,0))</f>
        <v>1</v>
      </c>
      <c r="AZ864" s="52" t="n">
        <f aca="false">IF(CL864&gt;0,CL864*MAX(1,AX864/X864),IF(BW864=1,IF(AX864&lt;=0,0,CA864*MAX(1,IF(H864&gt;0,AX864/H864,1))),IF(R864&gt;0,AY864/R864,0))/MAX(0.1,N(Parameter!$M$21)))</f>
        <v>0.00961538461538462</v>
      </c>
      <c r="BA864" s="50" t="n">
        <f aca="false">AZ864*BY864</f>
        <v>1.49038461538462</v>
      </c>
      <c r="BB864" s="50" t="n">
        <f aca="false">AX864*G864</f>
        <v>149.92</v>
      </c>
      <c r="BC864" s="50" t="n">
        <f aca="false">ROUNDUP(MAX(J864/IF(CD864&gt;0,CD864,MAX(0.1,N(Cockpit!$O$6))),CG864)/BV864,0)*BV864</f>
        <v>16</v>
      </c>
      <c r="BD864" s="51" t="n">
        <f aca="false">IF(BA864&gt;0,J864/BA864,-1)</f>
        <v>5.36774193548387</v>
      </c>
      <c r="BE864" s="51" t="n">
        <f aca="false">IF(AND(OR(CC864="L1",CC864="L23",CC864="LIFT"),BA864&gt;0),SUMIFS($BA$7:$BA$1843,$CC$7:$CC$1843,CC864,$BD$7:$BD$1843,"&gt;"&amp;BD864)+SUMIFS($BA$7:$BA$1843,$CC$7:$CC$1843,CC864,$BD$7:$BD$1843,BD864,$BT$7:$BT$1843,"&lt;="&amp;BT864),"")</f>
        <v>4583.93635531136</v>
      </c>
      <c r="BF864" s="58" t="n">
        <f aca="false">IF(BE864="",0,MAX(0,MIN(1,(IF(CC864="L1",Parameter!$H$5,IF(CC864="L23",Parameter!$H$6+Parameter!$H$7,Parameter!$H$5+Parameter!$H$6+Parameter!$H$7))-(BE864-BA864))/BA864)))</f>
        <v>1</v>
      </c>
      <c r="BG864" s="48" t="str">
        <f aca="false">IF(AI864&lt;=0,"",IF(CC864="Aussen","Aussenlager",IF(CC864="-","Nicht im Lift",IF(AN864&gt;=1,"Lift",IF(AN864&lt;=0,"Aussenlager","teilweise")))))</f>
        <v>Lift</v>
      </c>
      <c r="BH864" s="48" t="str">
        <f aca="false">IF(AR864&lt;=0,"",IF(CC864="Aussen","Aussenlager",IF(CC864="-","Nicht im Lift",IF(AW864&gt;=1,"Lift",IF(AW864&lt;=0,"Aussenlager","teilweise")))))</f>
        <v>Lift</v>
      </c>
      <c r="BI864" s="48" t="str">
        <f aca="false">IF(BA864&lt;=0,"",IF(CC864="Aussen","Aussenlager",IF(CC864="-","Nicht im Lift",IF(BF864&gt;=1,"Lift",IF(BF864&lt;=0,"Aussenlager","teilweise")))))</f>
        <v>Lift</v>
      </c>
      <c r="BJ864" s="48" t="str">
        <f aca="false">IF(A864="","",IF(BS864=1,"Neu; ","")&amp;IF(AND(BS864=0,BN864&lt;0),"negativer Bestand (Export "&amp;BN864&amp;"); ","")&amp;IF(J864&lt;=0,"Kein Verbrauch; ","")&amp;IF(CL864&gt;0,"Lift "&amp;W864&amp;" lt. Liftbericht (Fach "&amp;X864&amp;" Stk); ",IF(BX864=1,"Gebinde geschätzt ("&amp;T864&amp;"); ",IF(BW864=1,"Lose – Tablare geschätzt; ","")))&amp;IF(H864&gt;AT864,"Überbestand "&amp;ROUND(H864-AT864,0)&amp;" Stk / CHF "&amp;ROUND((H864-AT864)*G864,0)&amp;"; ","")&amp;IF(AND(CE864=1,CF864&lt;CG864),"MAX &lt; MB+LG; ","")&amp;IF(AND(CK864&gt;0,CJ864*10&gt;CK864),"zu hoch für Tablar; ","")&amp;IF(AND(BS864=0,OR(CE864=1,AA864&lt;&gt;"",U864&lt;&gt;"",V864&lt;&gt;"",AB864&lt;&gt;"")),"manuell übersteuert; ","")&amp;IF(AND(BW864=0,R864=0),"Gebinde unbekannt / Stellmass fehlt; ","")&amp;IF(AND(BW864=0,N(V864)&lt;=0,N(Q864)&lt;=0),"Menge pro Gebinde fehlt (Ist = 1 Gebinde); ","")&amp;BR864)</f>
        <v>negativer Bestand (Export -2); </v>
      </c>
      <c r="BK864" s="48"/>
      <c r="BL864" s="48"/>
      <c r="BM864" s="55"/>
      <c r="BN864" s="50" t="n">
        <v>-2</v>
      </c>
      <c r="BO864" s="50" t="n">
        <v>5</v>
      </c>
      <c r="BP864" s="49" t="n">
        <v>-21.04</v>
      </c>
      <c r="BQ864" s="50" t="n">
        <v>8</v>
      </c>
      <c r="BR864" s="48"/>
      <c r="BS864" s="53" t="n">
        <v>0</v>
      </c>
      <c r="BT864" s="53" t="n">
        <v>864</v>
      </c>
      <c r="BU864" s="48" t="str">
        <f aca="false">IF(U864&lt;&gt;"",UPPER(TRIM(U864)),IF(BX864=1,UPPER(VLOOKUP(T864,Parameter!$I$27:$K$29,2,0)),IF(P864="","LOSE",P864)))</f>
        <v>S32</v>
      </c>
      <c r="BV864" s="50" t="n">
        <f aca="false">IF(BU864="LOSE",1,IF(N(V864)&gt;0,V864,IF(BX864=1,MAX(1,N(VLOOKUP(T864,Parameter!$I$27:$K$29,3,0)),H864,N(N864)),IF(N(Q864)&gt;0,Q864,MAX(1,H864)))))</f>
        <v>16</v>
      </c>
      <c r="BW864" s="53" t="n">
        <f aca="false">IF(BU864="LOSE",1,0)</f>
        <v>0</v>
      </c>
      <c r="BX864" s="53" t="n">
        <f aca="false">IF(AND(U864="",OR(P864="",P864="LOSE"),T864&lt;&gt;"",N(S864)&lt;=0,ISNUMBER(MATCH(T864,Parameter!$I$27:$I$29,0))),1,0)</f>
        <v>0</v>
      </c>
      <c r="BY864" s="53" t="n">
        <f aca="false">IF(CL864&gt;0,INDEX(Parameter!$H$5:$H$7,W864)/INDEX(Parameter!$E$5:$E$7,W864),IF(AND(BW864=0,N(IFERROR(VLOOKUP(BU864,'Gebinde-Kategorie'!$A$5:$N$45,14,0),0))&gt;0),VLOOKUP(BU864,'Gebinde-Kategorie'!$A$5:$N$45,14,0)*10+Parameter!$M$23,Parameter!$M$24))</f>
        <v>155</v>
      </c>
      <c r="BZ864" s="48" t="str">
        <f aca="false">IF(AND(Parameter!$B$19="Ja",E864&lt;&gt;"",ISNUMBER(MATCH(E864,Parameter!$I$35:$I$52,0))),VLOOKUP(E864,Parameter!$I$35:$J$52,2,0),IFERROR(VLOOKUP(D864,Parameter!$A$35:$C$64,2,0),"Nein"))</f>
        <v>2+3</v>
      </c>
      <c r="CA864" s="52" t="n">
        <f aca="false">IF(BW864=0,0,IF(N(S864)&gt;0,S864,IFERROR(VLOOKUP(D864,Parameter!$A$35:$C$64,3,0)+0,0)))</f>
        <v>0</v>
      </c>
      <c r="CB864" s="48" t="n">
        <f aca="false">IF(AA864&lt;&gt;"",AA864,Z864)</f>
        <v>3</v>
      </c>
      <c r="CC864" s="48" t="str">
        <f aca="false">IF(OR(CB864=1,CB864=2,CB864=3),IF(Parameter!$E$27="Ja","LIFT",IF(CB864=1,"L1","L23")),IF(CB864="Aussen","Aussen","-"))</f>
        <v>LIFT</v>
      </c>
      <c r="CD864" s="59" t="n">
        <f aca="false">IF(N(AB864)&gt;0,AB864,0)</f>
        <v>0</v>
      </c>
      <c r="CE864" s="53" t="n">
        <f aca="false">IF(ISNUMBER(AE864),1,0)</f>
        <v>0</v>
      </c>
      <c r="CF864" s="50" t="n">
        <f aca="false">N(AE864)</f>
        <v>0</v>
      </c>
      <c r="CG864" s="50" t="n">
        <f aca="false">N(M864)+N(N864)</f>
        <v>10</v>
      </c>
      <c r="CH864" s="50" t="n">
        <f aca="false">ROUNDUP(H864/BV864,0)</f>
        <v>1</v>
      </c>
      <c r="CI864" s="50" t="n">
        <f aca="false">ROUNDUP(CF864/BV864,0)</f>
        <v>0</v>
      </c>
      <c r="CJ864" s="53" t="n">
        <f aca="false">IF(BW864=1,0,IFERROR(VLOOKUP(BU864,'Gebinde-Kategorie'!$A$5:$N$45,5,0)+0,0))</f>
        <v>8</v>
      </c>
      <c r="CK864" s="53" t="n">
        <f aca="false">IFERROR(IF(OR(CB864=1,CB864=2,CB864=3),N(INDEX(Parameter!$I$5:$I$7,CB864)),0),0)</f>
        <v>0</v>
      </c>
      <c r="CL864" s="52" t="n">
        <f aca="false">IF(AND(Parameter!$B$21="Ja",ISNUMBER(W864),N(X864)&gt;0),IFERROR(N(INDEX(Parameter!$L$5:$L$7,W864))*INDEX(Parameter!$E$5:$E$7,W864)*X864/SUMIFS($X$7:$X$1843,$W$7:$W$1843,W864),0),0)</f>
        <v>0</v>
      </c>
    </row>
    <row r="865" customFormat="false" ht="15" hidden="false" customHeight="false" outlineLevel="0" collapsed="false">
      <c r="A865" s="48" t="s">
        <v>1650</v>
      </c>
      <c r="B865" s="48" t="s">
        <v>409</v>
      </c>
      <c r="C865" s="48" t="s">
        <v>168</v>
      </c>
      <c r="D865" s="48" t="s">
        <v>188</v>
      </c>
      <c r="E865" s="48" t="s">
        <v>189</v>
      </c>
      <c r="F865" s="48" t="s">
        <v>222</v>
      </c>
      <c r="G865" s="49" t="n">
        <v>0.88</v>
      </c>
      <c r="H865" s="50" t="n">
        <f aca="false">MAX(0,IF(AND(Parameter!$B$21="Ja",ISNUMBER(Y865)),Y865,IF(Parameter!$B$20="Jahresanfang 2025 + Export",BO865+BN865,BN865)))</f>
        <v>79</v>
      </c>
      <c r="I865" s="50" t="n">
        <f aca="false">H865*G865</f>
        <v>69.52</v>
      </c>
      <c r="J865" s="50" t="n">
        <f aca="false">BQ865*Parameter!$B$18</f>
        <v>24</v>
      </c>
      <c r="K865" s="51" t="n">
        <v>91</v>
      </c>
      <c r="L865" s="52" t="n">
        <v>0.263736263736264</v>
      </c>
      <c r="M865" s="50" t="n">
        <v>0</v>
      </c>
      <c r="N865" s="50" t="n">
        <v>25</v>
      </c>
      <c r="O865" s="53" t="n">
        <v>14</v>
      </c>
      <c r="P865" s="48" t="s">
        <v>306</v>
      </c>
      <c r="Q865" s="50" t="n">
        <v>177</v>
      </c>
      <c r="R865" s="53" t="n">
        <f aca="false">IF(BW865=1,0,IFERROR(VLOOKUP(BU865,'Gebinde-Kategorie'!$A$5:$N$45,13,0)+0,0))</f>
        <v>26</v>
      </c>
      <c r="S865" s="54"/>
      <c r="T865" s="55"/>
      <c r="U865" s="55"/>
      <c r="V865" s="55"/>
      <c r="W865" s="48"/>
      <c r="X865" s="50"/>
      <c r="Y865" s="50"/>
      <c r="Z865" s="48" t="n">
        <f aca="false">IF(A865="","",IF(AND(Parameter!$B$21="Ja",ISNUMBER(W865)),W865,IF(BZ865="2+3",IF(ISNUMBER(SEARCH("grosser Artikel",BR865)),2,IFERROR(VLOOKUP(BU865,Parameter!$F$35:$G$64,2,0),2)),IF(OR(BZ865="Nein",BZ865=""),"-",BZ865))))</f>
        <v>3</v>
      </c>
      <c r="AA865" s="55"/>
      <c r="AB865" s="56"/>
      <c r="AC865" s="50" t="n">
        <f aca="false">AT865</f>
        <v>177</v>
      </c>
      <c r="AD865" s="50" t="n">
        <f aca="false">MAX(AT865,H865)</f>
        <v>177</v>
      </c>
      <c r="AE865" s="57"/>
      <c r="AF865" s="50" t="n">
        <f aca="false">IF(LEFT(Cockpit!$C$5,1)="A",H865,IF(CE865=1,CF865,IF(LEFT(Cockpit!$C$5,1)="B",AK865,MAX(AK865,H865))))</f>
        <v>79</v>
      </c>
      <c r="AG865" s="50" t="n">
        <f aca="false">IF(BW865=1,0,ROUNDUP(AF865/BV865,0))</f>
        <v>1</v>
      </c>
      <c r="AH865" s="52" t="n">
        <f aca="false">IF(CL865&gt;0,CL865*MAX(1,AF865/X865),IF(BW865=1,IF(AF865&lt;=0,0,CA865*MAX(1,IF(H865&gt;0,AF865/H865,1))),IF(R865&gt;0,AG865/R865,0))/MAX(0.1,N(Parameter!$M$21)))</f>
        <v>0.0384615384615385</v>
      </c>
      <c r="AI865" s="50" t="n">
        <f aca="false">AH865*BY865</f>
        <v>5.96153846153846</v>
      </c>
      <c r="AJ865" s="50" t="n">
        <f aca="false">AF865*G865</f>
        <v>69.52</v>
      </c>
      <c r="AK865" s="50" t="n">
        <f aca="false">ROUNDUP(MAX(J865/IF(CD865&gt;0,CD865,MAX(0.1,N(Cockpit!$C$6))),CG865)/BV865,0)*BV865</f>
        <v>177</v>
      </c>
      <c r="AL865" s="51" t="n">
        <f aca="false">IF(AI865&gt;0,J865/AI865,-1)</f>
        <v>4.0258064516129</v>
      </c>
      <c r="AM865" s="51" t="n">
        <f aca="false">IF(AND(OR(CC865="L1",CC865="L23",CC865="LIFT"),AI865&gt;0),SUMIFS($AI$7:$AI$1843,$CC$7:$CC$1843,CC865,$AL$7:$AL$1843,"&gt;"&amp;AL865)+SUMIFS($AI$7:$AI$1843,$CC$7:$CC$1843,CC865,$AL$7:$AL$1843,AL865,$BT$7:$BT$1843,"&lt;="&amp;BT865),"")</f>
        <v>4352.72756410256</v>
      </c>
      <c r="AN865" s="58" t="n">
        <f aca="false">IF(AM865="",0,MAX(0,MIN(1,(IF(CC865="L1",Parameter!$H$5,IF(CC865="L23",Parameter!$H$6+Parameter!$H$7,Parameter!$H$5+Parameter!$H$6+Parameter!$H$7))-(AM865-AI865))/AI865)))</f>
        <v>1</v>
      </c>
      <c r="AO865" s="50" t="n">
        <f aca="false">IF(LEFT(Cockpit!$I$5,1)="A",H865,IF(CE865=1,CF865,IF(LEFT(Cockpit!$I$5,1)="B",AT865,MAX(AT865,H865))))</f>
        <v>177</v>
      </c>
      <c r="AP865" s="50" t="n">
        <f aca="false">IF(BW865=1,0,ROUNDUP(AO865/BV865,0))</f>
        <v>1</v>
      </c>
      <c r="AQ865" s="52" t="n">
        <f aca="false">IF(CL865&gt;0,CL865*MAX(1,AO865/X865),IF(BW865=1,IF(AO865&lt;=0,0,CA865*MAX(1,IF(H865&gt;0,AO865/H865,1))),IF(R865&gt;0,AP865/R865,0))/MAX(0.1,N(Parameter!$M$21)))</f>
        <v>0.0384615384615385</v>
      </c>
      <c r="AR865" s="50" t="n">
        <f aca="false">AQ865*BY865</f>
        <v>5.96153846153846</v>
      </c>
      <c r="AS865" s="50" t="n">
        <f aca="false">AO865*G865</f>
        <v>155.76</v>
      </c>
      <c r="AT865" s="50" t="n">
        <f aca="false">ROUNDUP(MAX(J865/IF(CD865&gt;0,CD865,MAX(0.1,N(Cockpit!$I$6))),CG865)/BV865,0)*BV865</f>
        <v>177</v>
      </c>
      <c r="AU865" s="51" t="n">
        <f aca="false">IF(AR865&gt;0,J865/AR865,-1)</f>
        <v>4.0258064516129</v>
      </c>
      <c r="AV865" s="51" t="n">
        <f aca="false">IF(AND(OR(CC865="L1",CC865="L23",CC865="LIFT"),AR865&gt;0),SUMIFS($AR$7:$AR$1843,$CC$7:$CC$1843,CC865,$AU$7:$AU$1843,"&gt;"&amp;AU865)+SUMIFS($AR$7:$AR$1843,$CC$7:$CC$1843,CC865,$AU$7:$AU$1843,AU865,$BT$7:$BT$1843,"&lt;="&amp;BT865),"")</f>
        <v>5595.26831501832</v>
      </c>
      <c r="AW865" s="58" t="n">
        <f aca="false">IF(AV865="",0,MAX(0,MIN(1,(IF(CC865="L1",Parameter!$H$5,IF(CC865="L23",Parameter!$H$6+Parameter!$H$7,Parameter!$H$5+Parameter!$H$6+Parameter!$H$7))-(AV865-AR865))/AR865)))</f>
        <v>1</v>
      </c>
      <c r="AX865" s="50" t="n">
        <f aca="false">IF(LEFT(Cockpit!$O$5,1)="A",H865,IF(CE865=1,CF865,IF(LEFT(Cockpit!$O$5,1)="B",BC865,MAX(BC865,H865))))</f>
        <v>177</v>
      </c>
      <c r="AY865" s="50" t="n">
        <f aca="false">IF(BW865=1,0,ROUNDUP(AX865/BV865,0))</f>
        <v>1</v>
      </c>
      <c r="AZ865" s="52" t="n">
        <f aca="false">IF(CL865&gt;0,CL865*MAX(1,AX865/X865),IF(BW865=1,IF(AX865&lt;=0,0,CA865*MAX(1,IF(H865&gt;0,AX865/H865,1))),IF(R865&gt;0,AY865/R865,0))/MAX(0.1,N(Parameter!$M$21)))</f>
        <v>0.0384615384615385</v>
      </c>
      <c r="BA865" s="50" t="n">
        <f aca="false">AZ865*BY865</f>
        <v>5.96153846153846</v>
      </c>
      <c r="BB865" s="50" t="n">
        <f aca="false">AX865*G865</f>
        <v>155.76</v>
      </c>
      <c r="BC865" s="50" t="n">
        <f aca="false">ROUNDUP(MAX(J865/IF(CD865&gt;0,CD865,MAX(0.1,N(Cockpit!$O$6))),CG865)/BV865,0)*BV865</f>
        <v>177</v>
      </c>
      <c r="BD865" s="51" t="n">
        <f aca="false">IF(BA865&gt;0,J865/BA865,-1)</f>
        <v>4.0258064516129</v>
      </c>
      <c r="BE865" s="51" t="n">
        <f aca="false">IF(AND(OR(CC865="L1",CC865="L23",CC865="LIFT"),BA865&gt;0),SUMIFS($BA$7:$BA$1843,$CC$7:$CC$1843,CC865,$BD$7:$BD$1843,"&gt;"&amp;BD865)+SUMIFS($BA$7:$BA$1843,$CC$7:$CC$1843,CC865,$BD$7:$BD$1843,BD865,$BT$7:$BT$1843,"&lt;="&amp;BT865),"")</f>
        <v>5283.13690476191</v>
      </c>
      <c r="BF865" s="58" t="n">
        <f aca="false">IF(BE865="",0,MAX(0,MIN(1,(IF(CC865="L1",Parameter!$H$5,IF(CC865="L23",Parameter!$H$6+Parameter!$H$7,Parameter!$H$5+Parameter!$H$6+Parameter!$H$7))-(BE865-BA865))/BA865)))</f>
        <v>1</v>
      </c>
      <c r="BG865" s="48" t="str">
        <f aca="false">IF(AI865&lt;=0,"",IF(CC865="Aussen","Aussenlager",IF(CC865="-","Nicht im Lift",IF(AN865&gt;=1,"Lift",IF(AN865&lt;=0,"Aussenlager","teilweise")))))</f>
        <v>Lift</v>
      </c>
      <c r="BH865" s="48" t="str">
        <f aca="false">IF(AR865&lt;=0,"",IF(CC865="Aussen","Aussenlager",IF(CC865="-","Nicht im Lift",IF(AW865&gt;=1,"Lift",IF(AW865&lt;=0,"Aussenlager","teilweise")))))</f>
        <v>Lift</v>
      </c>
      <c r="BI865" s="48" t="str">
        <f aca="false">IF(BA865&lt;=0,"",IF(CC865="Aussen","Aussenlager",IF(CC865="-","Nicht im Lift",IF(BF865&gt;=1,"Lift",IF(BF865&lt;=0,"Aussenlager","teilweise")))))</f>
        <v>Lift</v>
      </c>
      <c r="BJ865" s="48" t="str">
        <f aca="false">IF(A865="","",IF(BS865=1,"Neu; ","")&amp;IF(AND(BS865=0,BN865&lt;0),"negativer Bestand (Export "&amp;BN865&amp;"); ","")&amp;IF(J865&lt;=0,"Kein Verbrauch; ","")&amp;IF(CL865&gt;0,"Lift "&amp;W865&amp;" lt. Liftbericht (Fach "&amp;X865&amp;" Stk); ",IF(BX865=1,"Gebinde geschätzt ("&amp;T865&amp;"); ",IF(BW865=1,"Lose – Tablare geschätzt; ","")))&amp;IF(H865&gt;AT865,"Überbestand "&amp;ROUND(H865-AT865,0)&amp;" Stk / CHF "&amp;ROUND((H865-AT865)*G865,0)&amp;"; ","")&amp;IF(AND(CE865=1,CF865&lt;CG865),"MAX &lt; MB+LG; ","")&amp;IF(AND(CK865&gt;0,CJ865*10&gt;CK865),"zu hoch für Tablar; ","")&amp;IF(AND(BS865=0,OR(CE865=1,AA865&lt;&gt;"",U865&lt;&gt;"",V865&lt;&gt;"",AB865&lt;&gt;"")),"manuell übersteuert; ","")&amp;IF(AND(BW865=0,R865=0),"Gebinde unbekannt / Stellmass fehlt; ","")&amp;IF(AND(BW865=0,N(V865)&lt;=0,N(Q865)&lt;=0),"Menge pro Gebinde fehlt (Ist = 1 Gebinde); ","")&amp;BR865)</f>
        <v>negativer Bestand (Export -24); Neu</v>
      </c>
      <c r="BK865" s="48"/>
      <c r="BL865" s="48"/>
      <c r="BM865" s="55"/>
      <c r="BN865" s="50" t="n">
        <v>-24</v>
      </c>
      <c r="BO865" s="50" t="n">
        <v>103</v>
      </c>
      <c r="BP865" s="49" t="n">
        <v>-21.12</v>
      </c>
      <c r="BQ865" s="50" t="n">
        <v>24</v>
      </c>
      <c r="BR865" s="48" t="s">
        <v>630</v>
      </c>
      <c r="BS865" s="53" t="n">
        <v>0</v>
      </c>
      <c r="BT865" s="53" t="n">
        <v>865</v>
      </c>
      <c r="BU865" s="48" t="str">
        <f aca="false">IF(U865&lt;&gt;"",UPPER(TRIM(U865)),IF(BX865=1,UPPER(VLOOKUP(T865,Parameter!$I$27:$K$29,2,0)),IF(P865="","LOSE",P865)))</f>
        <v>S51</v>
      </c>
      <c r="BV865" s="50" t="n">
        <f aca="false">IF(BU865="LOSE",1,IF(N(V865)&gt;0,V865,IF(BX865=1,MAX(1,N(VLOOKUP(T865,Parameter!$I$27:$K$29,3,0)),H865,N(N865)),IF(N(Q865)&gt;0,Q865,MAX(1,H865)))))</f>
        <v>177</v>
      </c>
      <c r="BW865" s="53" t="n">
        <f aca="false">IF(BU865="LOSE",1,0)</f>
        <v>0</v>
      </c>
      <c r="BX865" s="53" t="n">
        <f aca="false">IF(AND(U865="",OR(P865="",P865="LOSE"),T865&lt;&gt;"",N(S865)&lt;=0,ISNUMBER(MATCH(T865,Parameter!$I$27:$I$29,0))),1,0)</f>
        <v>0</v>
      </c>
      <c r="BY865" s="53" t="n">
        <f aca="false">IF(CL865&gt;0,INDEX(Parameter!$H$5:$H$7,W865)/INDEX(Parameter!$E$5:$E$7,W865),IF(AND(BW865=0,N(IFERROR(VLOOKUP(BU865,'Gebinde-Kategorie'!$A$5:$N$45,14,0),0))&gt;0),VLOOKUP(BU865,'Gebinde-Kategorie'!$A$5:$N$45,14,0)*10+Parameter!$M$23,Parameter!$M$24))</f>
        <v>155</v>
      </c>
      <c r="BZ865" s="48" t="str">
        <f aca="false">IF(AND(Parameter!$B$19="Ja",E865&lt;&gt;"",ISNUMBER(MATCH(E865,Parameter!$I$35:$I$52,0))),VLOOKUP(E865,Parameter!$I$35:$J$52,2,0),IFERROR(VLOOKUP(D865,Parameter!$A$35:$C$64,2,0),"Nein"))</f>
        <v>2+3</v>
      </c>
      <c r="CA865" s="52" t="n">
        <f aca="false">IF(BW865=0,0,IF(N(S865)&gt;0,S865,IFERROR(VLOOKUP(D865,Parameter!$A$35:$C$64,3,0)+0,0)))</f>
        <v>0</v>
      </c>
      <c r="CB865" s="48" t="n">
        <f aca="false">IF(AA865&lt;&gt;"",AA865,Z865)</f>
        <v>3</v>
      </c>
      <c r="CC865" s="48" t="str">
        <f aca="false">IF(OR(CB865=1,CB865=2,CB865=3),IF(Parameter!$E$27="Ja","LIFT",IF(CB865=1,"L1","L23")),IF(CB865="Aussen","Aussen","-"))</f>
        <v>LIFT</v>
      </c>
      <c r="CD865" s="59" t="n">
        <f aca="false">IF(N(AB865)&gt;0,AB865,0)</f>
        <v>0</v>
      </c>
      <c r="CE865" s="53" t="n">
        <f aca="false">IF(ISNUMBER(AE865),1,0)</f>
        <v>0</v>
      </c>
      <c r="CF865" s="50" t="n">
        <f aca="false">N(AE865)</f>
        <v>0</v>
      </c>
      <c r="CG865" s="50" t="n">
        <f aca="false">N(M865)+N(N865)</f>
        <v>25</v>
      </c>
      <c r="CH865" s="50" t="n">
        <f aca="false">ROUNDUP(H865/BV865,0)</f>
        <v>1</v>
      </c>
      <c r="CI865" s="50" t="n">
        <f aca="false">ROUNDUP(CF865/BV865,0)</f>
        <v>0</v>
      </c>
      <c r="CJ865" s="53" t="n">
        <f aca="false">IF(BW865=1,0,IFERROR(VLOOKUP(BU865,'Gebinde-Kategorie'!$A$5:$N$45,5,0)+0,0))</f>
        <v>11</v>
      </c>
      <c r="CK865" s="53" t="n">
        <f aca="false">IFERROR(IF(OR(CB865=1,CB865=2,CB865=3),N(INDEX(Parameter!$I$5:$I$7,CB865)),0),0)</f>
        <v>0</v>
      </c>
      <c r="CL865" s="52" t="n">
        <f aca="false">IF(AND(Parameter!$B$21="Ja",ISNUMBER(W865),N(X865)&gt;0),IFERROR(N(INDEX(Parameter!$L$5:$L$7,W865))*INDEX(Parameter!$E$5:$E$7,W865)*X865/SUMIFS($X$7:$X$1843,$W$7:$W$1843,W865),0),0)</f>
        <v>0</v>
      </c>
    </row>
    <row r="866" customFormat="false" ht="15" hidden="false" customHeight="false" outlineLevel="0" collapsed="false">
      <c r="A866" s="48" t="s">
        <v>1651</v>
      </c>
      <c r="B866" s="48" t="s">
        <v>409</v>
      </c>
      <c r="C866" s="48" t="s">
        <v>460</v>
      </c>
      <c r="D866" s="48" t="s">
        <v>188</v>
      </c>
      <c r="E866" s="48"/>
      <c r="F866" s="48" t="s">
        <v>222</v>
      </c>
      <c r="G866" s="49" t="n">
        <v>0.11</v>
      </c>
      <c r="H866" s="50" t="n">
        <f aca="false">MAX(0,IF(AND(Parameter!$B$21="Ja",ISNUMBER(Y866)),Y866,IF(Parameter!$B$20="Jahresanfang 2025 + Export",BO866+BN866,BN866)))</f>
        <v>196</v>
      </c>
      <c r="I866" s="50" t="n">
        <f aca="false">H866*G866</f>
        <v>21.56</v>
      </c>
      <c r="J866" s="50" t="n">
        <f aca="false">BQ866*Parameter!$B$18</f>
        <v>196</v>
      </c>
      <c r="K866" s="51" t="n">
        <v>196</v>
      </c>
      <c r="L866" s="52" t="n">
        <v>1</v>
      </c>
      <c r="M866" s="50" t="n">
        <v>7</v>
      </c>
      <c r="N866" s="50" t="n">
        <v>195</v>
      </c>
      <c r="O866" s="53" t="n">
        <v>14</v>
      </c>
      <c r="P866" s="48" t="s">
        <v>172</v>
      </c>
      <c r="Q866" s="50"/>
      <c r="R866" s="53" t="n">
        <f aca="false">IF(BW866=1,0,IFERROR(VLOOKUP(BU866,'Gebinde-Kategorie'!$A$5:$N$45,13,0)+0,0))</f>
        <v>26</v>
      </c>
      <c r="S866" s="54"/>
      <c r="T866" s="55" t="s">
        <v>279</v>
      </c>
      <c r="U866" s="55"/>
      <c r="V866" s="55"/>
      <c r="W866" s="48"/>
      <c r="X866" s="50"/>
      <c r="Y866" s="50"/>
      <c r="Z866" s="48" t="n">
        <f aca="false">IF(A866="","",IF(AND(Parameter!$B$21="Ja",ISNUMBER(W866)),W866,IF(BZ866="2+3",IF(ISNUMBER(SEARCH("grosser Artikel",BR866)),2,IFERROR(VLOOKUP(BU866,Parameter!$F$35:$G$64,2,0),2)),IF(OR(BZ866="Nein",BZ866=""),"-",BZ866))))</f>
        <v>3</v>
      </c>
      <c r="AA866" s="55"/>
      <c r="AB866" s="56"/>
      <c r="AC866" s="50" t="n">
        <f aca="false">AT866</f>
        <v>392</v>
      </c>
      <c r="AD866" s="50" t="n">
        <f aca="false">MAX(AT866,H866)</f>
        <v>392</v>
      </c>
      <c r="AE866" s="57"/>
      <c r="AF866" s="50" t="n">
        <f aca="false">IF(LEFT(Cockpit!$C$5,1)="A",H866,IF(CE866=1,CF866,IF(LEFT(Cockpit!$C$5,1)="B",AK866,MAX(AK866,H866))))</f>
        <v>196</v>
      </c>
      <c r="AG866" s="50" t="n">
        <f aca="false">IF(BW866=1,0,ROUNDUP(AF866/BV866,0))</f>
        <v>1</v>
      </c>
      <c r="AH866" s="52" t="n">
        <f aca="false">IF(CL866&gt;0,CL866*MAX(1,AF866/X866),IF(BW866=1,IF(AF866&lt;=0,0,CA866*MAX(1,IF(H866&gt;0,AF866/H866,1))),IF(R866&gt;0,AG866/R866,0))/MAX(0.1,N(Parameter!$M$21)))</f>
        <v>0.0384615384615385</v>
      </c>
      <c r="AI866" s="50" t="n">
        <f aca="false">AH866*BY866</f>
        <v>5.96153846153846</v>
      </c>
      <c r="AJ866" s="50" t="n">
        <f aca="false">AF866*G866</f>
        <v>21.56</v>
      </c>
      <c r="AK866" s="50" t="n">
        <f aca="false">ROUNDUP(MAX(J866/IF(CD866&gt;0,CD866,MAX(0.1,N(Cockpit!$C$6))),CG866)/BV866,0)*BV866</f>
        <v>392</v>
      </c>
      <c r="AL866" s="51" t="n">
        <f aca="false">IF(AI866&gt;0,J866/AI866,-1)</f>
        <v>32.8774193548387</v>
      </c>
      <c r="AM866" s="51" t="n">
        <f aca="false">IF(AND(OR(CC866="L1",CC866="L23",CC866="LIFT"),AI866&gt;0),SUMIFS($AI$7:$AI$1843,$CC$7:$CC$1843,CC866,$AL$7:$AL$1843,"&gt;"&amp;AL866)+SUMIFS($AI$7:$AI$1843,$CC$7:$CC$1843,CC866,$AL$7:$AL$1843,AL866,$BT$7:$BT$1843,"&lt;="&amp;BT866),"")</f>
        <v>1346.44917582418</v>
      </c>
      <c r="AN866" s="58" t="n">
        <f aca="false">IF(AM866="",0,MAX(0,MIN(1,(IF(CC866="L1",Parameter!$H$5,IF(CC866="L23",Parameter!$H$6+Parameter!$H$7,Parameter!$H$5+Parameter!$H$6+Parameter!$H$7))-(AM866-AI866))/AI866)))</f>
        <v>1</v>
      </c>
      <c r="AO866" s="50" t="n">
        <f aca="false">IF(LEFT(Cockpit!$I$5,1)="A",H866,IF(CE866=1,CF866,IF(LEFT(Cockpit!$I$5,1)="B",AT866,MAX(AT866,H866))))</f>
        <v>392</v>
      </c>
      <c r="AP866" s="50" t="n">
        <f aca="false">IF(BW866=1,0,ROUNDUP(AO866/BV866,0))</f>
        <v>2</v>
      </c>
      <c r="AQ866" s="52" t="n">
        <f aca="false">IF(CL866&gt;0,CL866*MAX(1,AO866/X866),IF(BW866=1,IF(AO866&lt;=0,0,CA866*MAX(1,IF(H866&gt;0,AO866/H866,1))),IF(R866&gt;0,AP866/R866,0))/MAX(0.1,N(Parameter!$M$21)))</f>
        <v>0.0769230769230769</v>
      </c>
      <c r="AR866" s="50" t="n">
        <f aca="false">AQ866*BY866</f>
        <v>11.9230769230769</v>
      </c>
      <c r="AS866" s="50" t="n">
        <f aca="false">AO866*G866</f>
        <v>43.12</v>
      </c>
      <c r="AT866" s="50" t="n">
        <f aca="false">ROUNDUP(MAX(J866/IF(CD866&gt;0,CD866,MAX(0.1,N(Cockpit!$I$6))),CG866)/BV866,0)*BV866</f>
        <v>392</v>
      </c>
      <c r="AU866" s="51" t="n">
        <f aca="false">IF(AR866&gt;0,J866/AR866,-1)</f>
        <v>16.4387096774194</v>
      </c>
      <c r="AV866" s="51" t="n">
        <f aca="false">IF(AND(OR(CC866="L1",CC866="L23",CC866="LIFT"),AR866&gt;0),SUMIFS($AR$7:$AR$1843,$CC$7:$CC$1843,CC866,$AU$7:$AU$1843,"&gt;"&amp;AU866)+SUMIFS($AR$7:$AR$1843,$CC$7:$CC$1843,CC866,$AU$7:$AU$1843,AU866,$BT$7:$BT$1843,"&lt;="&amp;BT866),"")</f>
        <v>3133.4532967033</v>
      </c>
      <c r="AW866" s="58" t="n">
        <f aca="false">IF(AV866="",0,MAX(0,MIN(1,(IF(CC866="L1",Parameter!$H$5,IF(CC866="L23",Parameter!$H$6+Parameter!$H$7,Parameter!$H$5+Parameter!$H$6+Parameter!$H$7))-(AV866-AR866))/AR866)))</f>
        <v>1</v>
      </c>
      <c r="AX866" s="50" t="n">
        <f aca="false">IF(LEFT(Cockpit!$O$5,1)="A",H866,IF(CE866=1,CF866,IF(LEFT(Cockpit!$O$5,1)="B",BC866,MAX(BC866,H866))))</f>
        <v>392</v>
      </c>
      <c r="AY866" s="50" t="n">
        <f aca="false">IF(BW866=1,0,ROUNDUP(AX866/BV866,0))</f>
        <v>2</v>
      </c>
      <c r="AZ866" s="52" t="n">
        <f aca="false">IF(CL866&gt;0,CL866*MAX(1,AX866/X866),IF(BW866=1,IF(AX866&lt;=0,0,CA866*MAX(1,IF(H866&gt;0,AX866/H866,1))),IF(R866&gt;0,AY866/R866,0))/MAX(0.1,N(Parameter!$M$21)))</f>
        <v>0.0769230769230769</v>
      </c>
      <c r="BA866" s="50" t="n">
        <f aca="false">AZ866*BY866</f>
        <v>11.9230769230769</v>
      </c>
      <c r="BB866" s="50" t="n">
        <f aca="false">AX866*G866</f>
        <v>43.12</v>
      </c>
      <c r="BC866" s="50" t="n">
        <f aca="false">ROUNDUP(MAX(J866/IF(CD866&gt;0,CD866,MAX(0.1,N(Cockpit!$O$6))),CG866)/BV866,0)*BV866</f>
        <v>392</v>
      </c>
      <c r="BD866" s="51" t="n">
        <f aca="false">IF(BA866&gt;0,J866/BA866,-1)</f>
        <v>16.4387096774194</v>
      </c>
      <c r="BE866" s="51" t="n">
        <f aca="false">IF(AND(OR(CC866="L1",CC866="L23",CC866="LIFT"),BA866&gt;0),SUMIFS($BA$7:$BA$1843,$CC$7:$CC$1843,CC866,$BD$7:$BD$1843,"&gt;"&amp;BD866)+SUMIFS($BA$7:$BA$1843,$CC$7:$CC$1843,CC866,$BD$7:$BD$1843,BD866,$BT$7:$BT$1843,"&lt;="&amp;BT866),"")</f>
        <v>2807.8923992674</v>
      </c>
      <c r="BF866" s="58" t="n">
        <f aca="false">IF(BE866="",0,MAX(0,MIN(1,(IF(CC866="L1",Parameter!$H$5,IF(CC866="L23",Parameter!$H$6+Parameter!$H$7,Parameter!$H$5+Parameter!$H$6+Parameter!$H$7))-(BE866-BA866))/BA866)))</f>
        <v>1</v>
      </c>
      <c r="BG866" s="48" t="str">
        <f aca="false">IF(AI866&lt;=0,"",IF(CC866="Aussen","Aussenlager",IF(CC866="-","Nicht im Lift",IF(AN866&gt;=1,"Lift",IF(AN866&lt;=0,"Aussenlager","teilweise")))))</f>
        <v>Lift</v>
      </c>
      <c r="BH866" s="48" t="str">
        <f aca="false">IF(AR866&lt;=0,"",IF(CC866="Aussen","Aussenlager",IF(CC866="-","Nicht im Lift",IF(AW866&gt;=1,"Lift",IF(AW866&lt;=0,"Aussenlager","teilweise")))))</f>
        <v>Lift</v>
      </c>
      <c r="BI866" s="48" t="str">
        <f aca="false">IF(BA866&lt;=0,"",IF(CC866="Aussen","Aussenlager",IF(CC866="-","Nicht im Lift",IF(BF866&gt;=1,"Lift",IF(BF866&lt;=0,"Aussenlager","teilweise")))))</f>
        <v>Lift</v>
      </c>
      <c r="BJ866" s="48" t="str">
        <f aca="false">IF(A866="","",IF(BS866=1,"Neu; ","")&amp;IF(AND(BS866=0,BN866&lt;0),"negativer Bestand (Export "&amp;BN866&amp;"); ","")&amp;IF(J866&lt;=0,"Kein Verbrauch; ","")&amp;IF(CL866&gt;0,"Lift "&amp;W866&amp;" lt. Liftbericht (Fach "&amp;X866&amp;" Stk); ",IF(BX866=1,"Gebinde geschätzt ("&amp;T866&amp;"); ",IF(BW866=1,"Lose – Tablare geschätzt; ","")))&amp;IF(H866&gt;AT866,"Überbestand "&amp;ROUND(H866-AT866,0)&amp;" Stk / CHF "&amp;ROUND((H866-AT866)*G866,0)&amp;"; ","")&amp;IF(AND(CE866=1,CF866&lt;CG866),"MAX &lt; MB+LG; ","")&amp;IF(AND(CK866&gt;0,CJ866*10&gt;CK866),"zu hoch für Tablar; ","")&amp;IF(AND(BS866=0,OR(CE866=1,AA866&lt;&gt;"",U866&lt;&gt;"",V866&lt;&gt;"",AB866&lt;&gt;"")),"manuell übersteuert; ","")&amp;IF(AND(BW866=0,R866=0),"Gebinde unbekannt / Stellmass fehlt; ","")&amp;IF(AND(BW866=0,N(V866)&lt;=0,N(Q866)&lt;=0),"Menge pro Gebinde fehlt (Ist = 1 Gebinde); ","")&amp;BR866)</f>
        <v>negativer Bestand (Export -196); Gebinde geschätzt (Klein); Menge pro Gebinde fehlt (Ist = 1 Gebinde); </v>
      </c>
      <c r="BK866" s="48"/>
      <c r="BL866" s="48"/>
      <c r="BM866" s="55"/>
      <c r="BN866" s="50" t="n">
        <v>-196</v>
      </c>
      <c r="BO866" s="50" t="n">
        <v>392</v>
      </c>
      <c r="BP866" s="49" t="n">
        <v>-21.56</v>
      </c>
      <c r="BQ866" s="50" t="n">
        <v>196</v>
      </c>
      <c r="BR866" s="48"/>
      <c r="BS866" s="53" t="n">
        <v>0</v>
      </c>
      <c r="BT866" s="53" t="n">
        <v>866</v>
      </c>
      <c r="BU866" s="48" t="str">
        <f aca="false">IF(U866&lt;&gt;"",UPPER(TRIM(U866)),IF(BX866=1,UPPER(VLOOKUP(T866,Parameter!$I$27:$K$29,2,0)),IF(P866="","LOSE",P866)))</f>
        <v>S51</v>
      </c>
      <c r="BV866" s="50" t="n">
        <f aca="false">IF(BU866="LOSE",1,IF(N(V866)&gt;0,V866,IF(BX866=1,MAX(1,N(VLOOKUP(T866,Parameter!$I$27:$K$29,3,0)),H866,N(N866)),IF(N(Q866)&gt;0,Q866,MAX(1,H866)))))</f>
        <v>196</v>
      </c>
      <c r="BW866" s="53" t="n">
        <f aca="false">IF(BU866="LOSE",1,0)</f>
        <v>0</v>
      </c>
      <c r="BX866" s="53" t="n">
        <f aca="false">IF(AND(U866="",OR(P866="",P866="LOSE"),T866&lt;&gt;"",N(S866)&lt;=0,ISNUMBER(MATCH(T866,Parameter!$I$27:$I$29,0))),1,0)</f>
        <v>1</v>
      </c>
      <c r="BY866" s="53" t="n">
        <f aca="false">IF(CL866&gt;0,INDEX(Parameter!$H$5:$H$7,W866)/INDEX(Parameter!$E$5:$E$7,W866),IF(AND(BW866=0,N(IFERROR(VLOOKUP(BU866,'Gebinde-Kategorie'!$A$5:$N$45,14,0),0))&gt;0),VLOOKUP(BU866,'Gebinde-Kategorie'!$A$5:$N$45,14,0)*10+Parameter!$M$23,Parameter!$M$24))</f>
        <v>155</v>
      </c>
      <c r="BZ866" s="48" t="str">
        <f aca="false">IF(AND(Parameter!$B$19="Ja",E866&lt;&gt;"",ISNUMBER(MATCH(E866,Parameter!$I$35:$I$52,0))),VLOOKUP(E866,Parameter!$I$35:$J$52,2,0),IFERROR(VLOOKUP(D866,Parameter!$A$35:$C$64,2,0),"Nein"))</f>
        <v>2+3</v>
      </c>
      <c r="CA866" s="52" t="n">
        <f aca="false">IF(BW866=0,0,IF(N(S866)&gt;0,S866,IFERROR(VLOOKUP(D866,Parameter!$A$35:$C$64,3,0)+0,0)))</f>
        <v>0</v>
      </c>
      <c r="CB866" s="48" t="n">
        <f aca="false">IF(AA866&lt;&gt;"",AA866,Z866)</f>
        <v>3</v>
      </c>
      <c r="CC866" s="48" t="str">
        <f aca="false">IF(OR(CB866=1,CB866=2,CB866=3),IF(Parameter!$E$27="Ja","LIFT",IF(CB866=1,"L1","L23")),IF(CB866="Aussen","Aussen","-"))</f>
        <v>LIFT</v>
      </c>
      <c r="CD866" s="59" t="n">
        <f aca="false">IF(N(AB866)&gt;0,AB866,0)</f>
        <v>0</v>
      </c>
      <c r="CE866" s="53" t="n">
        <f aca="false">IF(ISNUMBER(AE866),1,0)</f>
        <v>0</v>
      </c>
      <c r="CF866" s="50" t="n">
        <f aca="false">N(AE866)</f>
        <v>0</v>
      </c>
      <c r="CG866" s="50" t="n">
        <f aca="false">N(M866)+N(N866)</f>
        <v>202</v>
      </c>
      <c r="CH866" s="50" t="n">
        <f aca="false">ROUNDUP(H866/BV866,0)</f>
        <v>1</v>
      </c>
      <c r="CI866" s="50" t="n">
        <f aca="false">ROUNDUP(CF866/BV866,0)</f>
        <v>0</v>
      </c>
      <c r="CJ866" s="53" t="n">
        <f aca="false">IF(BW866=1,0,IFERROR(VLOOKUP(BU866,'Gebinde-Kategorie'!$A$5:$N$45,5,0)+0,0))</f>
        <v>11</v>
      </c>
      <c r="CK866" s="53" t="n">
        <f aca="false">IFERROR(IF(OR(CB866=1,CB866=2,CB866=3),N(INDEX(Parameter!$I$5:$I$7,CB866)),0),0)</f>
        <v>0</v>
      </c>
      <c r="CL866" s="52" t="n">
        <f aca="false">IF(AND(Parameter!$B$21="Ja",ISNUMBER(W866),N(X866)&gt;0),IFERROR(N(INDEX(Parameter!$L$5:$L$7,W866))*INDEX(Parameter!$E$5:$E$7,W866)*X866/SUMIFS($X$7:$X$1843,$W$7:$W$1843,W866),0),0)</f>
        <v>0</v>
      </c>
    </row>
    <row r="867" customFormat="false" ht="15" hidden="false" customHeight="false" outlineLevel="0" collapsed="false">
      <c r="A867" s="48" t="s">
        <v>1652</v>
      </c>
      <c r="B867" s="48" t="s">
        <v>1103</v>
      </c>
      <c r="C867" s="48" t="s">
        <v>168</v>
      </c>
      <c r="D867" s="48" t="s">
        <v>188</v>
      </c>
      <c r="E867" s="48"/>
      <c r="F867" s="48" t="s">
        <v>222</v>
      </c>
      <c r="G867" s="49" t="n">
        <v>10.9</v>
      </c>
      <c r="H867" s="50" t="n">
        <f aca="false">MAX(0,IF(AND(Parameter!$B$21="Ja",ISNUMBER(Y867)),Y867,IF(Parameter!$B$20="Jahresanfang 2025 + Export",BO867+BN867,BN867)))</f>
        <v>54</v>
      </c>
      <c r="I867" s="50" t="n">
        <f aca="false">H867*G867</f>
        <v>588.6</v>
      </c>
      <c r="J867" s="50" t="n">
        <f aca="false">BQ867*Parameter!$B$18</f>
        <v>1</v>
      </c>
      <c r="K867" s="51" t="n">
        <v>55</v>
      </c>
      <c r="L867" s="52" t="n">
        <v>0.0181818181818182</v>
      </c>
      <c r="M867" s="50" t="n">
        <v>0</v>
      </c>
      <c r="N867" s="50" t="n">
        <v>1</v>
      </c>
      <c r="O867" s="53" t="n">
        <v>70</v>
      </c>
      <c r="P867" s="48" t="s">
        <v>306</v>
      </c>
      <c r="Q867" s="50" t="n">
        <v>54</v>
      </c>
      <c r="R867" s="53" t="n">
        <f aca="false">IF(BW867=1,0,IFERROR(VLOOKUP(BU867,'Gebinde-Kategorie'!$A$5:$N$45,13,0)+0,0))</f>
        <v>26</v>
      </c>
      <c r="S867" s="54"/>
      <c r="T867" s="55"/>
      <c r="U867" s="55"/>
      <c r="V867" s="55"/>
      <c r="W867" s="48"/>
      <c r="X867" s="50"/>
      <c r="Y867" s="50"/>
      <c r="Z867" s="48" t="n">
        <f aca="false">IF(A867="","",IF(AND(Parameter!$B$21="Ja",ISNUMBER(W867)),W867,IF(BZ867="2+3",IF(ISNUMBER(SEARCH("grosser Artikel",BR867)),2,IFERROR(VLOOKUP(BU867,Parameter!$F$35:$G$64,2,0),2)),IF(OR(BZ867="Nein",BZ867=""),"-",BZ867))))</f>
        <v>3</v>
      </c>
      <c r="AA867" s="55"/>
      <c r="AB867" s="56"/>
      <c r="AC867" s="50" t="n">
        <f aca="false">AT867</f>
        <v>54</v>
      </c>
      <c r="AD867" s="50" t="n">
        <f aca="false">MAX(AT867,H867)</f>
        <v>54</v>
      </c>
      <c r="AE867" s="57"/>
      <c r="AF867" s="50" t="n">
        <f aca="false">IF(LEFT(Cockpit!$C$5,1)="A",H867,IF(CE867=1,CF867,IF(LEFT(Cockpit!$C$5,1)="B",AK867,MAX(AK867,H867))))</f>
        <v>54</v>
      </c>
      <c r="AG867" s="50" t="n">
        <f aca="false">IF(BW867=1,0,ROUNDUP(AF867/BV867,0))</f>
        <v>1</v>
      </c>
      <c r="AH867" s="52" t="n">
        <f aca="false">IF(CL867&gt;0,CL867*MAX(1,AF867/X867),IF(BW867=1,IF(AF867&lt;=0,0,CA867*MAX(1,IF(H867&gt;0,AF867/H867,1))),IF(R867&gt;0,AG867/R867,0))/MAX(0.1,N(Parameter!$M$21)))</f>
        <v>0.0384615384615385</v>
      </c>
      <c r="AI867" s="50" t="n">
        <f aca="false">AH867*BY867</f>
        <v>5.96153846153846</v>
      </c>
      <c r="AJ867" s="50" t="n">
        <f aca="false">AF867*G867</f>
        <v>588.6</v>
      </c>
      <c r="AK867" s="50" t="n">
        <f aca="false">ROUNDUP(MAX(J867/IF(CD867&gt;0,CD867,MAX(0.1,N(Cockpit!$C$6))),CG867)/BV867,0)*BV867</f>
        <v>54</v>
      </c>
      <c r="AL867" s="51" t="n">
        <f aca="false">IF(AI867&gt;0,J867/AI867,-1)</f>
        <v>0.167741935483871</v>
      </c>
      <c r="AM867" s="51" t="n">
        <f aca="false">IF(AND(OR(CC867="L1",CC867="L23",CC867="LIFT"),AI867&gt;0),SUMIFS($AI$7:$AI$1843,$CC$7:$CC$1843,CC867,$AL$7:$AL$1843,"&gt;"&amp;AL867)+SUMIFS($AI$7:$AI$1843,$CC$7:$CC$1843,CC867,$AL$7:$AL$1843,AL867,$BT$7:$BT$1843,"&lt;="&amp;BT867),"")</f>
        <v>12727.4260285383</v>
      </c>
      <c r="AN867" s="58" t="n">
        <f aca="false">IF(AM867="",0,MAX(0,MIN(1,(IF(CC867="L1",Parameter!$H$5,IF(CC867="L23",Parameter!$H$6+Parameter!$H$7,Parameter!$H$5+Parameter!$H$6+Parameter!$H$7))-(AM867-AI867))/AI867)))</f>
        <v>1</v>
      </c>
      <c r="AO867" s="50" t="n">
        <f aca="false">IF(LEFT(Cockpit!$I$5,1)="A",H867,IF(CE867=1,CF867,IF(LEFT(Cockpit!$I$5,1)="B",AT867,MAX(AT867,H867))))</f>
        <v>54</v>
      </c>
      <c r="AP867" s="50" t="n">
        <f aca="false">IF(BW867=1,0,ROUNDUP(AO867/BV867,0))</f>
        <v>1</v>
      </c>
      <c r="AQ867" s="52" t="n">
        <f aca="false">IF(CL867&gt;0,CL867*MAX(1,AO867/X867),IF(BW867=1,IF(AO867&lt;=0,0,CA867*MAX(1,IF(H867&gt;0,AO867/H867,1))),IF(R867&gt;0,AP867/R867,0))/MAX(0.1,N(Parameter!$M$21)))</f>
        <v>0.0384615384615385</v>
      </c>
      <c r="AR867" s="50" t="n">
        <f aca="false">AQ867*BY867</f>
        <v>5.96153846153846</v>
      </c>
      <c r="AS867" s="50" t="n">
        <f aca="false">AO867*G867</f>
        <v>588.6</v>
      </c>
      <c r="AT867" s="50" t="n">
        <f aca="false">ROUNDUP(MAX(J867/IF(CD867&gt;0,CD867,MAX(0.1,N(Cockpit!$I$6))),CG867)/BV867,0)*BV867</f>
        <v>54</v>
      </c>
      <c r="AU867" s="51" t="n">
        <f aca="false">IF(AR867&gt;0,J867/AR867,-1)</f>
        <v>0.167741935483871</v>
      </c>
      <c r="AV867" s="51" t="n">
        <f aca="false">IF(AND(OR(CC867="L1",CC867="L23",CC867="LIFT"),AR867&gt;0),SUMIFS($AR$7:$AR$1843,$CC$7:$CC$1843,CC867,$AU$7:$AU$1843,"&gt;"&amp;AU867)+SUMIFS($AR$7:$AR$1843,$CC$7:$CC$1843,CC867,$AU$7:$AU$1843,AU867,$BT$7:$BT$1843,"&lt;="&amp;BT867),"")</f>
        <v>19308.5004578755</v>
      </c>
      <c r="AW867" s="58" t="n">
        <f aca="false">IF(AV867="",0,MAX(0,MIN(1,(IF(CC867="L1",Parameter!$H$5,IF(CC867="L23",Parameter!$H$6+Parameter!$H$7,Parameter!$H$5+Parameter!$H$6+Parameter!$H$7))-(AV867-AR867))/AR867)))</f>
        <v>1</v>
      </c>
      <c r="AX867" s="50" t="n">
        <f aca="false">IF(LEFT(Cockpit!$O$5,1)="A",H867,IF(CE867=1,CF867,IF(LEFT(Cockpit!$O$5,1)="B",BC867,MAX(BC867,H867))))</f>
        <v>54</v>
      </c>
      <c r="AY867" s="50" t="n">
        <f aca="false">IF(BW867=1,0,ROUNDUP(AX867/BV867,0))</f>
        <v>1</v>
      </c>
      <c r="AZ867" s="52" t="n">
        <f aca="false">IF(CL867&gt;0,CL867*MAX(1,AX867/X867),IF(BW867=1,IF(AX867&lt;=0,0,CA867*MAX(1,IF(H867&gt;0,AX867/H867,1))),IF(R867&gt;0,AY867/R867,0))/MAX(0.1,N(Parameter!$M$21)))</f>
        <v>0.0384615384615385</v>
      </c>
      <c r="BA867" s="50" t="n">
        <f aca="false">AZ867*BY867</f>
        <v>5.96153846153846</v>
      </c>
      <c r="BB867" s="50" t="n">
        <f aca="false">AX867*G867</f>
        <v>588.6</v>
      </c>
      <c r="BC867" s="50" t="n">
        <f aca="false">ROUNDUP(MAX(J867/IF(CD867&gt;0,CD867,MAX(0.1,N(Cockpit!$O$6))),CG867)/BV867,0)*BV867</f>
        <v>54</v>
      </c>
      <c r="BD867" s="51" t="n">
        <f aca="false">IF(BA867&gt;0,J867/BA867,-1)</f>
        <v>0.167741935483871</v>
      </c>
      <c r="BE867" s="51" t="n">
        <f aca="false">IF(AND(OR(CC867="L1",CC867="L23",CC867="LIFT"),BA867&gt;0),SUMIFS($BA$7:$BA$1843,$CC$7:$CC$1843,CC867,$BD$7:$BD$1843,"&gt;"&amp;BD867)+SUMIFS($BA$7:$BA$1843,$CC$7:$CC$1843,CC867,$BD$7:$BD$1843,BD867,$BT$7:$BT$1843,"&lt;="&amp;BT867),"")</f>
        <v>17334.5741758242</v>
      </c>
      <c r="BF867" s="58" t="n">
        <f aca="false">IF(BE867="",0,MAX(0,MIN(1,(IF(CC867="L1",Parameter!$H$5,IF(CC867="L23",Parameter!$H$6+Parameter!$H$7,Parameter!$H$5+Parameter!$H$6+Parameter!$H$7))-(BE867-BA867))/BA867)))</f>
        <v>1</v>
      </c>
      <c r="BG867" s="48" t="str">
        <f aca="false">IF(AI867&lt;=0,"",IF(CC867="Aussen","Aussenlager",IF(CC867="-","Nicht im Lift",IF(AN867&gt;=1,"Lift",IF(AN867&lt;=0,"Aussenlager","teilweise")))))</f>
        <v>Lift</v>
      </c>
      <c r="BH867" s="48" t="str">
        <f aca="false">IF(AR867&lt;=0,"",IF(CC867="Aussen","Aussenlager",IF(CC867="-","Nicht im Lift",IF(AW867&gt;=1,"Lift",IF(AW867&lt;=0,"Aussenlager","teilweise")))))</f>
        <v>Lift</v>
      </c>
      <c r="BI867" s="48" t="str">
        <f aca="false">IF(BA867&lt;=0,"",IF(CC867="Aussen","Aussenlager",IF(CC867="-","Nicht im Lift",IF(BF867&gt;=1,"Lift",IF(BF867&lt;=0,"Aussenlager","teilweise")))))</f>
        <v>Lift</v>
      </c>
      <c r="BJ867" s="48" t="str">
        <f aca="false">IF(A867="","",IF(BS867=1,"Neu; ","")&amp;IF(AND(BS867=0,BN867&lt;0),"negativer Bestand (Export "&amp;BN867&amp;"); ","")&amp;IF(J867&lt;=0,"Kein Verbrauch; ","")&amp;IF(CL867&gt;0,"Lift "&amp;W867&amp;" lt. Liftbericht (Fach "&amp;X867&amp;" Stk); ",IF(BX867=1,"Gebinde geschätzt ("&amp;T867&amp;"); ",IF(BW867=1,"Lose – Tablare geschätzt; ","")))&amp;IF(H867&gt;AT867,"Überbestand "&amp;ROUND(H867-AT867,0)&amp;" Stk / CHF "&amp;ROUND((H867-AT867)*G867,0)&amp;"; ","")&amp;IF(AND(CE867=1,CF867&lt;CG867),"MAX &lt; MB+LG; ","")&amp;IF(AND(CK867&gt;0,CJ867*10&gt;CK867),"zu hoch für Tablar; ","")&amp;IF(AND(BS867=0,OR(CE867=1,AA867&lt;&gt;"",U867&lt;&gt;"",V867&lt;&gt;"",AB867&lt;&gt;"")),"manuell übersteuert; ","")&amp;IF(AND(BW867=0,R867=0),"Gebinde unbekannt / Stellmass fehlt; ","")&amp;IF(AND(BW867=0,N(V867)&lt;=0,N(Q867)&lt;=0),"Menge pro Gebinde fehlt (Ist = 1 Gebinde); ","")&amp;BR867)</f>
        <v>negativer Bestand (Export -2); i.o</v>
      </c>
      <c r="BK867" s="48"/>
      <c r="BL867" s="48"/>
      <c r="BM867" s="55"/>
      <c r="BN867" s="50" t="n">
        <v>-2</v>
      </c>
      <c r="BO867" s="50" t="n">
        <v>56</v>
      </c>
      <c r="BP867" s="49" t="n">
        <v>-21.8</v>
      </c>
      <c r="BQ867" s="50" t="n">
        <v>1</v>
      </c>
      <c r="BR867" s="48" t="s">
        <v>540</v>
      </c>
      <c r="BS867" s="53" t="n">
        <v>0</v>
      </c>
      <c r="BT867" s="53" t="n">
        <v>867</v>
      </c>
      <c r="BU867" s="48" t="str">
        <f aca="false">IF(U867&lt;&gt;"",UPPER(TRIM(U867)),IF(BX867=1,UPPER(VLOOKUP(T867,Parameter!$I$27:$K$29,2,0)),IF(P867="","LOSE",P867)))</f>
        <v>S51</v>
      </c>
      <c r="BV867" s="50" t="n">
        <f aca="false">IF(BU867="LOSE",1,IF(N(V867)&gt;0,V867,IF(BX867=1,MAX(1,N(VLOOKUP(T867,Parameter!$I$27:$K$29,3,0)),H867,N(N867)),IF(N(Q867)&gt;0,Q867,MAX(1,H867)))))</f>
        <v>54</v>
      </c>
      <c r="BW867" s="53" t="n">
        <f aca="false">IF(BU867="LOSE",1,0)</f>
        <v>0</v>
      </c>
      <c r="BX867" s="53" t="n">
        <f aca="false">IF(AND(U867="",OR(P867="",P867="LOSE"),T867&lt;&gt;"",N(S867)&lt;=0,ISNUMBER(MATCH(T867,Parameter!$I$27:$I$29,0))),1,0)</f>
        <v>0</v>
      </c>
      <c r="BY867" s="53" t="n">
        <f aca="false">IF(CL867&gt;0,INDEX(Parameter!$H$5:$H$7,W867)/INDEX(Parameter!$E$5:$E$7,W867),IF(AND(BW867=0,N(IFERROR(VLOOKUP(BU867,'Gebinde-Kategorie'!$A$5:$N$45,14,0),0))&gt;0),VLOOKUP(BU867,'Gebinde-Kategorie'!$A$5:$N$45,14,0)*10+Parameter!$M$23,Parameter!$M$24))</f>
        <v>155</v>
      </c>
      <c r="BZ867" s="48" t="str">
        <f aca="false">IF(AND(Parameter!$B$19="Ja",E867&lt;&gt;"",ISNUMBER(MATCH(E867,Parameter!$I$35:$I$52,0))),VLOOKUP(E867,Parameter!$I$35:$J$52,2,0),IFERROR(VLOOKUP(D867,Parameter!$A$35:$C$64,2,0),"Nein"))</f>
        <v>2+3</v>
      </c>
      <c r="CA867" s="52" t="n">
        <f aca="false">IF(BW867=0,0,IF(N(S867)&gt;0,S867,IFERROR(VLOOKUP(D867,Parameter!$A$35:$C$64,3,0)+0,0)))</f>
        <v>0</v>
      </c>
      <c r="CB867" s="48" t="n">
        <f aca="false">IF(AA867&lt;&gt;"",AA867,Z867)</f>
        <v>3</v>
      </c>
      <c r="CC867" s="48" t="str">
        <f aca="false">IF(OR(CB867=1,CB867=2,CB867=3),IF(Parameter!$E$27="Ja","LIFT",IF(CB867=1,"L1","L23")),IF(CB867="Aussen","Aussen","-"))</f>
        <v>LIFT</v>
      </c>
      <c r="CD867" s="59" t="n">
        <f aca="false">IF(N(AB867)&gt;0,AB867,0)</f>
        <v>0</v>
      </c>
      <c r="CE867" s="53" t="n">
        <f aca="false">IF(ISNUMBER(AE867),1,0)</f>
        <v>0</v>
      </c>
      <c r="CF867" s="50" t="n">
        <f aca="false">N(AE867)</f>
        <v>0</v>
      </c>
      <c r="CG867" s="50" t="n">
        <f aca="false">N(M867)+N(N867)</f>
        <v>1</v>
      </c>
      <c r="CH867" s="50" t="n">
        <f aca="false">ROUNDUP(H867/BV867,0)</f>
        <v>1</v>
      </c>
      <c r="CI867" s="50" t="n">
        <f aca="false">ROUNDUP(CF867/BV867,0)</f>
        <v>0</v>
      </c>
      <c r="CJ867" s="53" t="n">
        <f aca="false">IF(BW867=1,0,IFERROR(VLOOKUP(BU867,'Gebinde-Kategorie'!$A$5:$N$45,5,0)+0,0))</f>
        <v>11</v>
      </c>
      <c r="CK867" s="53" t="n">
        <f aca="false">IFERROR(IF(OR(CB867=1,CB867=2,CB867=3),N(INDEX(Parameter!$I$5:$I$7,CB867)),0),0)</f>
        <v>0</v>
      </c>
      <c r="CL867" s="52" t="n">
        <f aca="false">IF(AND(Parameter!$B$21="Ja",ISNUMBER(W867),N(X867)&gt;0),IFERROR(N(INDEX(Parameter!$L$5:$L$7,W867))*INDEX(Parameter!$E$5:$E$7,W867)*X867/SUMIFS($X$7:$X$1843,$W$7:$W$1843,W867),0),0)</f>
        <v>0</v>
      </c>
    </row>
    <row r="868" customFormat="false" ht="15" hidden="false" customHeight="false" outlineLevel="0" collapsed="false">
      <c r="A868" s="48" t="s">
        <v>1653</v>
      </c>
      <c r="B868" s="48" t="s">
        <v>1654</v>
      </c>
      <c r="C868" s="48" t="s">
        <v>168</v>
      </c>
      <c r="D868" s="48" t="s">
        <v>188</v>
      </c>
      <c r="E868" s="48" t="s">
        <v>189</v>
      </c>
      <c r="F868" s="48" t="s">
        <v>222</v>
      </c>
      <c r="G868" s="49" t="n">
        <v>39.04</v>
      </c>
      <c r="H868" s="50" t="n">
        <f aca="false">MAX(0,IF(AND(Parameter!$B$21="Ja",ISNUMBER(Y868)),Y868,IF(Parameter!$B$20="Jahresanfang 2025 + Export",BO868+BN868,BN868)))</f>
        <v>2</v>
      </c>
      <c r="I868" s="50" t="n">
        <f aca="false">H868*G868</f>
        <v>78.08</v>
      </c>
      <c r="J868" s="50" t="n">
        <f aca="false">BQ868*Parameter!$B$18</f>
        <v>6</v>
      </c>
      <c r="K868" s="51" t="n">
        <v>5</v>
      </c>
      <c r="L868" s="52" t="n">
        <v>1.2</v>
      </c>
      <c r="M868" s="50" t="n">
        <v>0</v>
      </c>
      <c r="N868" s="50" t="n">
        <v>5</v>
      </c>
      <c r="O868" s="53" t="n">
        <v>21</v>
      </c>
      <c r="P868" s="48" t="s">
        <v>480</v>
      </c>
      <c r="Q868" s="50" t="n">
        <v>10</v>
      </c>
      <c r="R868" s="53" t="n">
        <f aca="false">IF(BW868=1,0,IFERROR(VLOOKUP(BU868,'Gebinde-Kategorie'!$A$5:$N$45,13,0)+0,0))</f>
        <v>52</v>
      </c>
      <c r="S868" s="54"/>
      <c r="T868" s="55"/>
      <c r="U868" s="55"/>
      <c r="V868" s="55"/>
      <c r="W868" s="48"/>
      <c r="X868" s="50"/>
      <c r="Y868" s="50"/>
      <c r="Z868" s="48" t="n">
        <f aca="false">IF(A868="","",IF(AND(Parameter!$B$21="Ja",ISNUMBER(W868)),W868,IF(BZ868="2+3",IF(ISNUMBER(SEARCH("grosser Artikel",BR868)),2,IFERROR(VLOOKUP(BU868,Parameter!$F$35:$G$64,2,0),2)),IF(OR(BZ868="Nein",BZ868=""),"-",BZ868))))</f>
        <v>3</v>
      </c>
      <c r="AA868" s="55"/>
      <c r="AB868" s="56"/>
      <c r="AC868" s="50" t="n">
        <f aca="false">AT868</f>
        <v>10</v>
      </c>
      <c r="AD868" s="50" t="n">
        <f aca="false">MAX(AT868,H868)</f>
        <v>10</v>
      </c>
      <c r="AE868" s="57"/>
      <c r="AF868" s="50" t="n">
        <f aca="false">IF(LEFT(Cockpit!$C$5,1)="A",H868,IF(CE868=1,CF868,IF(LEFT(Cockpit!$C$5,1)="B",AK868,MAX(AK868,H868))))</f>
        <v>2</v>
      </c>
      <c r="AG868" s="50" t="n">
        <f aca="false">IF(BW868=1,0,ROUNDUP(AF868/BV868,0))</f>
        <v>1</v>
      </c>
      <c r="AH868" s="52" t="n">
        <f aca="false">IF(CL868&gt;0,CL868*MAX(1,AF868/X868),IF(BW868=1,IF(AF868&lt;=0,0,CA868*MAX(1,IF(H868&gt;0,AF868/H868,1))),IF(R868&gt;0,AG868/R868,0))/MAX(0.1,N(Parameter!$M$21)))</f>
        <v>0.0192307692307692</v>
      </c>
      <c r="AI868" s="50" t="n">
        <f aca="false">AH868*BY868</f>
        <v>2.98076923076923</v>
      </c>
      <c r="AJ868" s="50" t="n">
        <f aca="false">AF868*G868</f>
        <v>78.08</v>
      </c>
      <c r="AK868" s="50" t="n">
        <f aca="false">ROUNDUP(MAX(J868/IF(CD868&gt;0,CD868,MAX(0.1,N(Cockpit!$C$6))),CG868)/BV868,0)*BV868</f>
        <v>10</v>
      </c>
      <c r="AL868" s="51" t="n">
        <f aca="false">IF(AI868&gt;0,J868/AI868,-1)</f>
        <v>2.01290322580645</v>
      </c>
      <c r="AM868" s="51" t="n">
        <f aca="false">IF(AND(OR(CC868="L1",CC868="L23",CC868="LIFT"),AI868&gt;0),SUMIFS($AI$7:$AI$1843,$CC$7:$CC$1843,CC868,$AL$7:$AL$1843,"&gt;"&amp;AL868)+SUMIFS($AI$7:$AI$1843,$CC$7:$CC$1843,CC868,$AL$7:$AL$1843,AL868,$BT$7:$BT$1843,"&lt;="&amp;BT868),"")</f>
        <v>5787.86904761905</v>
      </c>
      <c r="AN868" s="58" t="n">
        <f aca="false">IF(AM868="",0,MAX(0,MIN(1,(IF(CC868="L1",Parameter!$H$5,IF(CC868="L23",Parameter!$H$6+Parameter!$H$7,Parameter!$H$5+Parameter!$H$6+Parameter!$H$7))-(AM868-AI868))/AI868)))</f>
        <v>1</v>
      </c>
      <c r="AO868" s="50" t="n">
        <f aca="false">IF(LEFT(Cockpit!$I$5,1)="A",H868,IF(CE868=1,CF868,IF(LEFT(Cockpit!$I$5,1)="B",AT868,MAX(AT868,H868))))</f>
        <v>10</v>
      </c>
      <c r="AP868" s="50" t="n">
        <f aca="false">IF(BW868=1,0,ROUNDUP(AO868/BV868,0))</f>
        <v>1</v>
      </c>
      <c r="AQ868" s="52" t="n">
        <f aca="false">IF(CL868&gt;0,CL868*MAX(1,AO868/X868),IF(BW868=1,IF(AO868&lt;=0,0,CA868*MAX(1,IF(H868&gt;0,AO868/H868,1))),IF(R868&gt;0,AP868/R868,0))/MAX(0.1,N(Parameter!$M$21)))</f>
        <v>0.0192307692307692</v>
      </c>
      <c r="AR868" s="50" t="n">
        <f aca="false">AQ868*BY868</f>
        <v>2.98076923076923</v>
      </c>
      <c r="AS868" s="50" t="n">
        <f aca="false">AO868*G868</f>
        <v>390.4</v>
      </c>
      <c r="AT868" s="50" t="n">
        <f aca="false">ROUNDUP(MAX(J868/IF(CD868&gt;0,CD868,MAX(0.1,N(Cockpit!$I$6))),CG868)/BV868,0)*BV868</f>
        <v>10</v>
      </c>
      <c r="AU868" s="51" t="n">
        <f aca="false">IF(AR868&gt;0,J868/AR868,-1)</f>
        <v>2.01290322580645</v>
      </c>
      <c r="AV868" s="51" t="n">
        <f aca="false">IF(AND(OR(CC868="L1",CC868="L23",CC868="LIFT"),AR868&gt;0),SUMIFS($AR$7:$AR$1843,$CC$7:$CC$1843,CC868,$AU$7:$AU$1843,"&gt;"&amp;AU868)+SUMIFS($AR$7:$AR$1843,$CC$7:$CC$1843,CC868,$AU$7:$AU$1843,AU868,$BT$7:$BT$1843,"&lt;="&amp;BT868),"")</f>
        <v>7697.56135531136</v>
      </c>
      <c r="AW868" s="58" t="n">
        <f aca="false">IF(AV868="",0,MAX(0,MIN(1,(IF(CC868="L1",Parameter!$H$5,IF(CC868="L23",Parameter!$H$6+Parameter!$H$7,Parameter!$H$5+Parameter!$H$6+Parameter!$H$7))-(AV868-AR868))/AR868)))</f>
        <v>1</v>
      </c>
      <c r="AX868" s="50" t="n">
        <f aca="false">IF(LEFT(Cockpit!$O$5,1)="A",H868,IF(CE868=1,CF868,IF(LEFT(Cockpit!$O$5,1)="B",BC868,MAX(BC868,H868))))</f>
        <v>10</v>
      </c>
      <c r="AY868" s="50" t="n">
        <f aca="false">IF(BW868=1,0,ROUNDUP(AX868/BV868,0))</f>
        <v>1</v>
      </c>
      <c r="AZ868" s="52" t="n">
        <f aca="false">IF(CL868&gt;0,CL868*MAX(1,AX868/X868),IF(BW868=1,IF(AX868&lt;=0,0,CA868*MAX(1,IF(H868&gt;0,AX868/H868,1))),IF(R868&gt;0,AY868/R868,0))/MAX(0.1,N(Parameter!$M$21)))</f>
        <v>0.0192307692307692</v>
      </c>
      <c r="BA868" s="50" t="n">
        <f aca="false">AZ868*BY868</f>
        <v>2.98076923076923</v>
      </c>
      <c r="BB868" s="50" t="n">
        <f aca="false">AX868*G868</f>
        <v>390.4</v>
      </c>
      <c r="BC868" s="50" t="n">
        <f aca="false">ROUNDUP(MAX(J868/IF(CD868&gt;0,CD868,MAX(0.1,N(Cockpit!$O$6))),CG868)/BV868,0)*BV868</f>
        <v>10</v>
      </c>
      <c r="BD868" s="51" t="n">
        <f aca="false">IF(BA868&gt;0,J868/BA868,-1)</f>
        <v>2.01290322580645</v>
      </c>
      <c r="BE868" s="51" t="n">
        <f aca="false">IF(AND(OR(CC868="L1",CC868="L23",CC868="LIFT"),BA868&gt;0),SUMIFS($BA$7:$BA$1843,$CC$7:$CC$1843,CC868,$BD$7:$BD$1843,"&gt;"&amp;BD868)+SUMIFS($BA$7:$BA$1843,$CC$7:$CC$1843,CC868,$BD$7:$BD$1843,BD868,$BT$7:$BT$1843,"&lt;="&amp;BT868),"")</f>
        <v>7596.55173992674</v>
      </c>
      <c r="BF868" s="58" t="n">
        <f aca="false">IF(BE868="",0,MAX(0,MIN(1,(IF(CC868="L1",Parameter!$H$5,IF(CC868="L23",Parameter!$H$6+Parameter!$H$7,Parameter!$H$5+Parameter!$H$6+Parameter!$H$7))-(BE868-BA868))/BA868)))</f>
        <v>1</v>
      </c>
      <c r="BG868" s="48" t="str">
        <f aca="false">IF(AI868&lt;=0,"",IF(CC868="Aussen","Aussenlager",IF(CC868="-","Nicht im Lift",IF(AN868&gt;=1,"Lift",IF(AN868&lt;=0,"Aussenlager","teilweise")))))</f>
        <v>Lift</v>
      </c>
      <c r="BH868" s="48" t="str">
        <f aca="false">IF(AR868&lt;=0,"",IF(CC868="Aussen","Aussenlager",IF(CC868="-","Nicht im Lift",IF(AW868&gt;=1,"Lift",IF(AW868&lt;=0,"Aussenlager","teilweise")))))</f>
        <v>Lift</v>
      </c>
      <c r="BI868" s="48" t="str">
        <f aca="false">IF(BA868&lt;=0,"",IF(CC868="Aussen","Aussenlager",IF(CC868="-","Nicht im Lift",IF(BF868&gt;=1,"Lift",IF(BF868&lt;=0,"Aussenlager","teilweise")))))</f>
        <v>Lift</v>
      </c>
      <c r="BJ868" s="48" t="str">
        <f aca="false">IF(A868="","",IF(BS868=1,"Neu; ","")&amp;IF(AND(BS868=0,BN868&lt;0),"negativer Bestand (Export "&amp;BN868&amp;"); ","")&amp;IF(J868&lt;=0,"Kein Verbrauch; ","")&amp;IF(CL868&gt;0,"Lift "&amp;W868&amp;" lt. Liftbericht (Fach "&amp;X868&amp;" Stk); ",IF(BX868=1,"Gebinde geschätzt ("&amp;T868&amp;"); ",IF(BW868=1,"Lose – Tablare geschätzt; ","")))&amp;IF(H868&gt;AT868,"Überbestand "&amp;ROUND(H868-AT868,0)&amp;" Stk / CHF "&amp;ROUND((H868-AT868)*G868,0)&amp;"; ","")&amp;IF(AND(CE868=1,CF868&lt;CG868),"MAX &lt; MB+LG; ","")&amp;IF(AND(CK868&gt;0,CJ868*10&gt;CK868),"zu hoch für Tablar; ","")&amp;IF(AND(BS868=0,OR(CE868=1,AA868&lt;&gt;"",U868&lt;&gt;"",V868&lt;&gt;"",AB868&lt;&gt;"")),"manuell übersteuert; ","")&amp;IF(AND(BW868=0,R868=0),"Gebinde unbekannt / Stellmass fehlt; ","")&amp;IF(AND(BW868=0,N(V868)&lt;=0,N(Q868)&lt;=0),"Menge pro Gebinde fehlt (Ist = 1 Gebinde); ","")&amp;BR868)</f>
        <v>negativer Bestand (Export -1); </v>
      </c>
      <c r="BK868" s="48"/>
      <c r="BL868" s="48"/>
      <c r="BM868" s="55"/>
      <c r="BN868" s="50" t="n">
        <v>-1</v>
      </c>
      <c r="BO868" s="50" t="n">
        <v>3</v>
      </c>
      <c r="BP868" s="49" t="n">
        <v>-21.88</v>
      </c>
      <c r="BQ868" s="50" t="n">
        <v>6</v>
      </c>
      <c r="BR868" s="48"/>
      <c r="BS868" s="53" t="n">
        <v>0</v>
      </c>
      <c r="BT868" s="53" t="n">
        <v>868</v>
      </c>
      <c r="BU868" s="48" t="str">
        <f aca="false">IF(U868&lt;&gt;"",UPPER(TRIM(U868)),IF(BX868=1,UPPER(VLOOKUP(T868,Parameter!$I$27:$K$29,2,0)),IF(P868="","LOSE",P868)))</f>
        <v>S33</v>
      </c>
      <c r="BV868" s="50" t="n">
        <f aca="false">IF(BU868="LOSE",1,IF(N(V868)&gt;0,V868,IF(BX868=1,MAX(1,N(VLOOKUP(T868,Parameter!$I$27:$K$29,3,0)),H868,N(N868)),IF(N(Q868)&gt;0,Q868,MAX(1,H868)))))</f>
        <v>10</v>
      </c>
      <c r="BW868" s="53" t="n">
        <f aca="false">IF(BU868="LOSE",1,0)</f>
        <v>0</v>
      </c>
      <c r="BX868" s="53" t="n">
        <f aca="false">IF(AND(U868="",OR(P868="",P868="LOSE"),T868&lt;&gt;"",N(S868)&lt;=0,ISNUMBER(MATCH(T868,Parameter!$I$27:$I$29,0))),1,0)</f>
        <v>0</v>
      </c>
      <c r="BY868" s="53" t="n">
        <f aca="false">IF(CL868&gt;0,INDEX(Parameter!$H$5:$H$7,W868)/INDEX(Parameter!$E$5:$E$7,W868),IF(AND(BW868=0,N(IFERROR(VLOOKUP(BU868,'Gebinde-Kategorie'!$A$5:$N$45,14,0),0))&gt;0),VLOOKUP(BU868,'Gebinde-Kategorie'!$A$5:$N$45,14,0)*10+Parameter!$M$23,Parameter!$M$24))</f>
        <v>155</v>
      </c>
      <c r="BZ868" s="48" t="str">
        <f aca="false">IF(AND(Parameter!$B$19="Ja",E868&lt;&gt;"",ISNUMBER(MATCH(E868,Parameter!$I$35:$I$52,0))),VLOOKUP(E868,Parameter!$I$35:$J$52,2,0),IFERROR(VLOOKUP(D868,Parameter!$A$35:$C$64,2,0),"Nein"))</f>
        <v>2+3</v>
      </c>
      <c r="CA868" s="52" t="n">
        <f aca="false">IF(BW868=0,0,IF(N(S868)&gt;0,S868,IFERROR(VLOOKUP(D868,Parameter!$A$35:$C$64,3,0)+0,0)))</f>
        <v>0</v>
      </c>
      <c r="CB868" s="48" t="n">
        <f aca="false">IF(AA868&lt;&gt;"",AA868,Z868)</f>
        <v>3</v>
      </c>
      <c r="CC868" s="48" t="str">
        <f aca="false">IF(OR(CB868=1,CB868=2,CB868=3),IF(Parameter!$E$27="Ja","LIFT",IF(CB868=1,"L1","L23")),IF(CB868="Aussen","Aussen","-"))</f>
        <v>LIFT</v>
      </c>
      <c r="CD868" s="59" t="n">
        <f aca="false">IF(N(AB868)&gt;0,AB868,0)</f>
        <v>0</v>
      </c>
      <c r="CE868" s="53" t="n">
        <f aca="false">IF(ISNUMBER(AE868),1,0)</f>
        <v>0</v>
      </c>
      <c r="CF868" s="50" t="n">
        <f aca="false">N(AE868)</f>
        <v>0</v>
      </c>
      <c r="CG868" s="50" t="n">
        <f aca="false">N(M868)+N(N868)</f>
        <v>5</v>
      </c>
      <c r="CH868" s="50" t="n">
        <f aca="false">ROUNDUP(H868/BV868,0)</f>
        <v>1</v>
      </c>
      <c r="CI868" s="50" t="n">
        <f aca="false">ROUNDUP(CF868/BV868,0)</f>
        <v>0</v>
      </c>
      <c r="CJ868" s="53" t="n">
        <f aca="false">IF(BW868=1,0,IFERROR(VLOOKUP(BU868,'Gebinde-Kategorie'!$A$5:$N$45,5,0)+0,0))</f>
        <v>8</v>
      </c>
      <c r="CK868" s="53" t="n">
        <f aca="false">IFERROR(IF(OR(CB868=1,CB868=2,CB868=3),N(INDEX(Parameter!$I$5:$I$7,CB868)),0),0)</f>
        <v>0</v>
      </c>
      <c r="CL868" s="52" t="n">
        <f aca="false">IF(AND(Parameter!$B$21="Ja",ISNUMBER(W868),N(X868)&gt;0),IFERROR(N(INDEX(Parameter!$L$5:$L$7,W868))*INDEX(Parameter!$E$5:$E$7,W868)*X868/SUMIFS($X$7:$X$1843,$W$7:$W$1843,W868),0),0)</f>
        <v>0</v>
      </c>
    </row>
    <row r="869" customFormat="false" ht="15" hidden="false" customHeight="false" outlineLevel="0" collapsed="false">
      <c r="A869" s="48" t="s">
        <v>1655</v>
      </c>
      <c r="B869" s="48" t="s">
        <v>593</v>
      </c>
      <c r="C869" s="48" t="s">
        <v>168</v>
      </c>
      <c r="D869" s="48" t="s">
        <v>188</v>
      </c>
      <c r="E869" s="48"/>
      <c r="F869" s="48" t="s">
        <v>222</v>
      </c>
      <c r="G869" s="49" t="n">
        <v>2.2</v>
      </c>
      <c r="H869" s="50" t="n">
        <f aca="false">MAX(0,IF(AND(Parameter!$B$21="Ja",ISNUMBER(Y869)),Y869,IF(Parameter!$B$20="Jahresanfang 2025 + Export",BO869+BN869,BN869)))</f>
        <v>12</v>
      </c>
      <c r="I869" s="50" t="n">
        <f aca="false">H869*G869</f>
        <v>26.4</v>
      </c>
      <c r="J869" s="50" t="n">
        <f aca="false">BQ869*Parameter!$B$18</f>
        <v>1</v>
      </c>
      <c r="K869" s="51" t="n">
        <v>21.5</v>
      </c>
      <c r="L869" s="52" t="n">
        <v>0.0465116279069767</v>
      </c>
      <c r="M869" s="50" t="n">
        <v>0</v>
      </c>
      <c r="N869" s="50" t="n">
        <v>1</v>
      </c>
      <c r="O869" s="53" t="n">
        <v>14</v>
      </c>
      <c r="P869" s="48" t="s">
        <v>405</v>
      </c>
      <c r="Q869" s="50" t="n">
        <v>22</v>
      </c>
      <c r="R869" s="53" t="n">
        <f aca="false">IF(BW869=1,0,IFERROR(VLOOKUP(BU869,'Gebinde-Kategorie'!$A$5:$N$45,13,0)+0,0))</f>
        <v>280</v>
      </c>
      <c r="S869" s="54"/>
      <c r="T869" s="55"/>
      <c r="U869" s="55"/>
      <c r="V869" s="55"/>
      <c r="W869" s="48"/>
      <c r="X869" s="50"/>
      <c r="Y869" s="50"/>
      <c r="Z869" s="48" t="n">
        <f aca="false">IF(A869="","",IF(AND(Parameter!$B$21="Ja",ISNUMBER(W869)),W869,IF(BZ869="2+3",IF(ISNUMBER(SEARCH("grosser Artikel",BR869)),2,IFERROR(VLOOKUP(BU869,Parameter!$F$35:$G$64,2,0),2)),IF(OR(BZ869="Nein",BZ869=""),"-",BZ869))))</f>
        <v>3</v>
      </c>
      <c r="AA869" s="55"/>
      <c r="AB869" s="56"/>
      <c r="AC869" s="50" t="n">
        <f aca="false">AT869</f>
        <v>22</v>
      </c>
      <c r="AD869" s="50" t="n">
        <f aca="false">MAX(AT869,H869)</f>
        <v>22</v>
      </c>
      <c r="AE869" s="57"/>
      <c r="AF869" s="50" t="n">
        <f aca="false">IF(LEFT(Cockpit!$C$5,1)="A",H869,IF(CE869=1,CF869,IF(LEFT(Cockpit!$C$5,1)="B",AK869,MAX(AK869,H869))))</f>
        <v>12</v>
      </c>
      <c r="AG869" s="50" t="n">
        <f aca="false">IF(BW869=1,0,ROUNDUP(AF869/BV869,0))</f>
        <v>1</v>
      </c>
      <c r="AH869" s="52" t="n">
        <f aca="false">IF(CL869&gt;0,CL869*MAX(1,AF869/X869),IF(BW869=1,IF(AF869&lt;=0,0,CA869*MAX(1,IF(H869&gt;0,AF869/H869,1))),IF(R869&gt;0,AG869/R869,0))/MAX(0.1,N(Parameter!$M$21)))</f>
        <v>0.00357142857142857</v>
      </c>
      <c r="AI869" s="50" t="n">
        <f aca="false">AH869*BY869</f>
        <v>0.553571428571429</v>
      </c>
      <c r="AJ869" s="50" t="n">
        <f aca="false">AF869*G869</f>
        <v>26.4</v>
      </c>
      <c r="AK869" s="50" t="n">
        <f aca="false">ROUNDUP(MAX(J869/IF(CD869&gt;0,CD869,MAX(0.1,N(Cockpit!$C$6))),CG869)/BV869,0)*BV869</f>
        <v>22</v>
      </c>
      <c r="AL869" s="51" t="n">
        <f aca="false">IF(AI869&gt;0,J869/AI869,-1)</f>
        <v>1.80645161290323</v>
      </c>
      <c r="AM869" s="51" t="n">
        <f aca="false">IF(AND(OR(CC869="L1",CC869="L23",CC869="LIFT"),AI869&gt;0),SUMIFS($AI$7:$AI$1843,$CC$7:$CC$1843,CC869,$AL$7:$AL$1843,"&gt;"&amp;AL869)+SUMIFS($AI$7:$AI$1843,$CC$7:$CC$1843,CC869,$AL$7:$AL$1843,AL869,$BT$7:$BT$1843,"&lt;="&amp;BT869),"")</f>
        <v>5966.45100732601</v>
      </c>
      <c r="AN869" s="58" t="n">
        <f aca="false">IF(AM869="",0,MAX(0,MIN(1,(IF(CC869="L1",Parameter!$H$5,IF(CC869="L23",Parameter!$H$6+Parameter!$H$7,Parameter!$H$5+Parameter!$H$6+Parameter!$H$7))-(AM869-AI869))/AI869)))</f>
        <v>1</v>
      </c>
      <c r="AO869" s="50" t="n">
        <f aca="false">IF(LEFT(Cockpit!$I$5,1)="A",H869,IF(CE869=1,CF869,IF(LEFT(Cockpit!$I$5,1)="B",AT869,MAX(AT869,H869))))</f>
        <v>22</v>
      </c>
      <c r="AP869" s="50" t="n">
        <f aca="false">IF(BW869=1,0,ROUNDUP(AO869/BV869,0))</f>
        <v>1</v>
      </c>
      <c r="AQ869" s="52" t="n">
        <f aca="false">IF(CL869&gt;0,CL869*MAX(1,AO869/X869),IF(BW869=1,IF(AO869&lt;=0,0,CA869*MAX(1,IF(H869&gt;0,AO869/H869,1))),IF(R869&gt;0,AP869/R869,0))/MAX(0.1,N(Parameter!$M$21)))</f>
        <v>0.00357142857142857</v>
      </c>
      <c r="AR869" s="50" t="n">
        <f aca="false">AQ869*BY869</f>
        <v>0.553571428571429</v>
      </c>
      <c r="AS869" s="50" t="n">
        <f aca="false">AO869*G869</f>
        <v>48.4</v>
      </c>
      <c r="AT869" s="50" t="n">
        <f aca="false">ROUNDUP(MAX(J869/IF(CD869&gt;0,CD869,MAX(0.1,N(Cockpit!$I$6))),CG869)/BV869,0)*BV869</f>
        <v>22</v>
      </c>
      <c r="AU869" s="51" t="n">
        <f aca="false">IF(AR869&gt;0,J869/AR869,-1)</f>
        <v>1.80645161290323</v>
      </c>
      <c r="AV869" s="51" t="n">
        <f aca="false">IF(AND(OR(CC869="L1",CC869="L23",CC869="LIFT"),AR869&gt;0),SUMIFS($AR$7:$AR$1843,$CC$7:$CC$1843,CC869,$AU$7:$AU$1843,"&gt;"&amp;AU869)+SUMIFS($AR$7:$AR$1843,$CC$7:$CC$1843,CC869,$AU$7:$AU$1843,AU869,$BT$7:$BT$1843,"&lt;="&amp;BT869),"")</f>
        <v>8077.36996336996</v>
      </c>
      <c r="AW869" s="58" t="n">
        <f aca="false">IF(AV869="",0,MAX(0,MIN(1,(IF(CC869="L1",Parameter!$H$5,IF(CC869="L23",Parameter!$H$6+Parameter!$H$7,Parameter!$H$5+Parameter!$H$6+Parameter!$H$7))-(AV869-AR869))/AR869)))</f>
        <v>1</v>
      </c>
      <c r="AX869" s="50" t="n">
        <f aca="false">IF(LEFT(Cockpit!$O$5,1)="A",H869,IF(CE869=1,CF869,IF(LEFT(Cockpit!$O$5,1)="B",BC869,MAX(BC869,H869))))</f>
        <v>22</v>
      </c>
      <c r="AY869" s="50" t="n">
        <f aca="false">IF(BW869=1,0,ROUNDUP(AX869/BV869,0))</f>
        <v>1</v>
      </c>
      <c r="AZ869" s="52" t="n">
        <f aca="false">IF(CL869&gt;0,CL869*MAX(1,AX869/X869),IF(BW869=1,IF(AX869&lt;=0,0,CA869*MAX(1,IF(H869&gt;0,AX869/H869,1))),IF(R869&gt;0,AY869/R869,0))/MAX(0.1,N(Parameter!$M$21)))</f>
        <v>0.00357142857142857</v>
      </c>
      <c r="BA869" s="50" t="n">
        <f aca="false">AZ869*BY869</f>
        <v>0.553571428571429</v>
      </c>
      <c r="BB869" s="50" t="n">
        <f aca="false">AX869*G869</f>
        <v>48.4</v>
      </c>
      <c r="BC869" s="50" t="n">
        <f aca="false">ROUNDUP(MAX(J869/IF(CD869&gt;0,CD869,MAX(0.1,N(Cockpit!$O$6))),CG869)/BV869,0)*BV869</f>
        <v>22</v>
      </c>
      <c r="BD869" s="51" t="n">
        <f aca="false">IF(BA869&gt;0,J869/BA869,-1)</f>
        <v>1.80645161290323</v>
      </c>
      <c r="BE869" s="51" t="n">
        <f aca="false">IF(AND(OR(CC869="L1",CC869="L23",CC869="LIFT"),BA869&gt;0),SUMIFS($BA$7:$BA$1843,$CC$7:$CC$1843,CC869,$BD$7:$BD$1843,"&gt;"&amp;BD869)+SUMIFS($BA$7:$BA$1843,$CC$7:$CC$1843,CC869,$BD$7:$BD$1843,BD869,$BT$7:$BT$1843,"&lt;="&amp;BT869),"")</f>
        <v>7979.69368131868</v>
      </c>
      <c r="BF869" s="58" t="n">
        <f aca="false">IF(BE869="",0,MAX(0,MIN(1,(IF(CC869="L1",Parameter!$H$5,IF(CC869="L23",Parameter!$H$6+Parameter!$H$7,Parameter!$H$5+Parameter!$H$6+Parameter!$H$7))-(BE869-BA869))/BA869)))</f>
        <v>1</v>
      </c>
      <c r="BG869" s="48" t="str">
        <f aca="false">IF(AI869&lt;=0,"",IF(CC869="Aussen","Aussenlager",IF(CC869="-","Nicht im Lift",IF(AN869&gt;=1,"Lift",IF(AN869&lt;=0,"Aussenlager","teilweise")))))</f>
        <v>Lift</v>
      </c>
      <c r="BH869" s="48" t="str">
        <f aca="false">IF(AR869&lt;=0,"",IF(CC869="Aussen","Aussenlager",IF(CC869="-","Nicht im Lift",IF(AW869&gt;=1,"Lift",IF(AW869&lt;=0,"Aussenlager","teilweise")))))</f>
        <v>Lift</v>
      </c>
      <c r="BI869" s="48" t="str">
        <f aca="false">IF(BA869&lt;=0,"",IF(CC869="Aussen","Aussenlager",IF(CC869="-","Nicht im Lift",IF(BF869&gt;=1,"Lift",IF(BF869&lt;=0,"Aussenlager","teilweise")))))</f>
        <v>Lift</v>
      </c>
      <c r="BJ869" s="48" t="str">
        <f aca="false">IF(A869="","",IF(BS869=1,"Neu; ","")&amp;IF(AND(BS869=0,BN869&lt;0),"negativer Bestand (Export "&amp;BN869&amp;"); ","")&amp;IF(J869&lt;=0,"Kein Verbrauch; ","")&amp;IF(CL869&gt;0,"Lift "&amp;W869&amp;" lt. Liftbericht (Fach "&amp;X869&amp;" Stk); ",IF(BX869=1,"Gebinde geschätzt ("&amp;T869&amp;"); ",IF(BW869=1,"Lose – Tablare geschätzt; ","")))&amp;IF(H869&gt;AT869,"Überbestand "&amp;ROUND(H869-AT869,0)&amp;" Stk / CHF "&amp;ROUND((H869-AT869)*G869,0)&amp;"; ","")&amp;IF(AND(CE869=1,CF869&lt;CG869),"MAX &lt; MB+LG; ","")&amp;IF(AND(CK869&gt;0,CJ869*10&gt;CK869),"zu hoch für Tablar; ","")&amp;IF(AND(BS869=0,OR(CE869=1,AA869&lt;&gt;"",U869&lt;&gt;"",V869&lt;&gt;"",AB869&lt;&gt;"")),"manuell übersteuert; ","")&amp;IF(AND(BW869=0,R869=0),"Gebinde unbekannt / Stellmass fehlt; ","")&amp;IF(AND(BW869=0,N(V869)&lt;=0,N(Q869)&lt;=0),"Menge pro Gebinde fehlt (Ist = 1 Gebinde); ","")&amp;BR869)</f>
        <v>negativer Bestand (Export -10); </v>
      </c>
      <c r="BK869" s="48"/>
      <c r="BL869" s="48"/>
      <c r="BM869" s="55"/>
      <c r="BN869" s="50" t="n">
        <v>-10</v>
      </c>
      <c r="BO869" s="50" t="n">
        <v>22</v>
      </c>
      <c r="BP869" s="49" t="n">
        <v>-22</v>
      </c>
      <c r="BQ869" s="50" t="n">
        <v>1</v>
      </c>
      <c r="BR869" s="48"/>
      <c r="BS869" s="53" t="n">
        <v>0</v>
      </c>
      <c r="BT869" s="53" t="n">
        <v>869</v>
      </c>
      <c r="BU869" s="48" t="str">
        <f aca="false">IF(U869&lt;&gt;"",UPPER(TRIM(U869)),IF(BX869=1,UPPER(VLOOKUP(T869,Parameter!$I$27:$K$29,2,0)),IF(P869="","LOSE",P869)))</f>
        <v>S21</v>
      </c>
      <c r="BV869" s="50" t="n">
        <f aca="false">IF(BU869="LOSE",1,IF(N(V869)&gt;0,V869,IF(BX869=1,MAX(1,N(VLOOKUP(T869,Parameter!$I$27:$K$29,3,0)),H869,N(N869)),IF(N(Q869)&gt;0,Q869,MAX(1,H869)))))</f>
        <v>22</v>
      </c>
      <c r="BW869" s="53" t="n">
        <f aca="false">IF(BU869="LOSE",1,0)</f>
        <v>0</v>
      </c>
      <c r="BX869" s="53" t="n">
        <f aca="false">IF(AND(U869="",OR(P869="",P869="LOSE"),T869&lt;&gt;"",N(S869)&lt;=0,ISNUMBER(MATCH(T869,Parameter!$I$27:$I$29,0))),1,0)</f>
        <v>0</v>
      </c>
      <c r="BY869" s="53" t="n">
        <f aca="false">IF(CL869&gt;0,INDEX(Parameter!$H$5:$H$7,W869)/INDEX(Parameter!$E$5:$E$7,W869),IF(AND(BW869=0,N(IFERROR(VLOOKUP(BU869,'Gebinde-Kategorie'!$A$5:$N$45,14,0),0))&gt;0),VLOOKUP(BU869,'Gebinde-Kategorie'!$A$5:$N$45,14,0)*10+Parameter!$M$23,Parameter!$M$24))</f>
        <v>155</v>
      </c>
      <c r="BZ869" s="48" t="str">
        <f aca="false">IF(AND(Parameter!$B$19="Ja",E869&lt;&gt;"",ISNUMBER(MATCH(E869,Parameter!$I$35:$I$52,0))),VLOOKUP(E869,Parameter!$I$35:$J$52,2,0),IFERROR(VLOOKUP(D869,Parameter!$A$35:$C$64,2,0),"Nein"))</f>
        <v>2+3</v>
      </c>
      <c r="CA869" s="52" t="n">
        <f aca="false">IF(BW869=0,0,IF(N(S869)&gt;0,S869,IFERROR(VLOOKUP(D869,Parameter!$A$35:$C$64,3,0)+0,0)))</f>
        <v>0</v>
      </c>
      <c r="CB869" s="48" t="n">
        <f aca="false">IF(AA869&lt;&gt;"",AA869,Z869)</f>
        <v>3</v>
      </c>
      <c r="CC869" s="48" t="str">
        <f aca="false">IF(OR(CB869=1,CB869=2,CB869=3),IF(Parameter!$E$27="Ja","LIFT",IF(CB869=1,"L1","L23")),IF(CB869="Aussen","Aussen","-"))</f>
        <v>LIFT</v>
      </c>
      <c r="CD869" s="59" t="n">
        <f aca="false">IF(N(AB869)&gt;0,AB869,0)</f>
        <v>0</v>
      </c>
      <c r="CE869" s="53" t="n">
        <f aca="false">IF(ISNUMBER(AE869),1,0)</f>
        <v>0</v>
      </c>
      <c r="CF869" s="50" t="n">
        <f aca="false">N(AE869)</f>
        <v>0</v>
      </c>
      <c r="CG869" s="50" t="n">
        <f aca="false">N(M869)+N(N869)</f>
        <v>1</v>
      </c>
      <c r="CH869" s="50" t="n">
        <f aca="false">ROUNDUP(H869/BV869,0)</f>
        <v>1</v>
      </c>
      <c r="CI869" s="50" t="n">
        <f aca="false">ROUNDUP(CF869/BV869,0)</f>
        <v>0</v>
      </c>
      <c r="CJ869" s="53" t="n">
        <f aca="false">IF(BW869=1,0,IFERROR(VLOOKUP(BU869,'Gebinde-Kategorie'!$A$5:$N$45,5,0)+0,0))</f>
        <v>8</v>
      </c>
      <c r="CK869" s="53" t="n">
        <f aca="false">IFERROR(IF(OR(CB869=1,CB869=2,CB869=3),N(INDEX(Parameter!$I$5:$I$7,CB869)),0),0)</f>
        <v>0</v>
      </c>
      <c r="CL869" s="52" t="n">
        <f aca="false">IF(AND(Parameter!$B$21="Ja",ISNUMBER(W869),N(X869)&gt;0),IFERROR(N(INDEX(Parameter!$L$5:$L$7,W869))*INDEX(Parameter!$E$5:$E$7,W869)*X869/SUMIFS($X$7:$X$1843,$W$7:$W$1843,W869),0),0)</f>
        <v>0</v>
      </c>
    </row>
    <row r="870" customFormat="false" ht="15" hidden="false" customHeight="false" outlineLevel="0" collapsed="false">
      <c r="A870" s="48" t="s">
        <v>1656</v>
      </c>
      <c r="B870" s="48" t="s">
        <v>1038</v>
      </c>
      <c r="C870" s="48" t="s">
        <v>168</v>
      </c>
      <c r="D870" s="48" t="s">
        <v>188</v>
      </c>
      <c r="E870" s="48"/>
      <c r="F870" s="48" t="s">
        <v>222</v>
      </c>
      <c r="G870" s="49" t="n">
        <v>7.13</v>
      </c>
      <c r="H870" s="50" t="n">
        <f aca="false">MAX(0,IF(AND(Parameter!$B$21="Ja",ISNUMBER(Y870)),Y870,IF(Parameter!$B$20="Jahresanfang 2025 + Export",BO870+BN870,BN870)))</f>
        <v>1</v>
      </c>
      <c r="I870" s="50" t="n">
        <f aca="false">H870*G870</f>
        <v>7.13</v>
      </c>
      <c r="J870" s="50" t="n">
        <f aca="false">BQ870*Parameter!$B$18</f>
        <v>3</v>
      </c>
      <c r="K870" s="51" t="n">
        <v>3</v>
      </c>
      <c r="L870" s="52" t="n">
        <v>1</v>
      </c>
      <c r="M870" s="50" t="n">
        <v>0</v>
      </c>
      <c r="N870" s="50" t="n">
        <v>5</v>
      </c>
      <c r="O870" s="53" t="n">
        <v>28</v>
      </c>
      <c r="P870" s="48" t="s">
        <v>172</v>
      </c>
      <c r="Q870" s="50"/>
      <c r="R870" s="53" t="n">
        <f aca="false">IF(BW870=1,0,IFERROR(VLOOKUP(BU870,'Gebinde-Kategorie'!$A$5:$N$45,13,0)+0,0))</f>
        <v>26</v>
      </c>
      <c r="S870" s="54"/>
      <c r="T870" s="55" t="s">
        <v>279</v>
      </c>
      <c r="U870" s="55"/>
      <c r="V870" s="55"/>
      <c r="W870" s="48"/>
      <c r="X870" s="50"/>
      <c r="Y870" s="50"/>
      <c r="Z870" s="48" t="n">
        <f aca="false">IF(A870="","",IF(AND(Parameter!$B$21="Ja",ISNUMBER(W870)),W870,IF(BZ870="2+3",IF(ISNUMBER(SEARCH("grosser Artikel",BR870)),2,IFERROR(VLOOKUP(BU870,Parameter!$F$35:$G$64,2,0),2)),IF(OR(BZ870="Nein",BZ870=""),"-",BZ870))))</f>
        <v>3</v>
      </c>
      <c r="AA870" s="55"/>
      <c r="AB870" s="56"/>
      <c r="AC870" s="50" t="n">
        <f aca="false">AT870</f>
        <v>20</v>
      </c>
      <c r="AD870" s="50" t="n">
        <f aca="false">MAX(AT870,H870)</f>
        <v>20</v>
      </c>
      <c r="AE870" s="57"/>
      <c r="AF870" s="50" t="n">
        <f aca="false">IF(LEFT(Cockpit!$C$5,1)="A",H870,IF(CE870=1,CF870,IF(LEFT(Cockpit!$C$5,1)="B",AK870,MAX(AK870,H870))))</f>
        <v>1</v>
      </c>
      <c r="AG870" s="50" t="n">
        <f aca="false">IF(BW870=1,0,ROUNDUP(AF870/BV870,0))</f>
        <v>1</v>
      </c>
      <c r="AH870" s="52" t="n">
        <f aca="false">IF(CL870&gt;0,CL870*MAX(1,AF870/X870),IF(BW870=1,IF(AF870&lt;=0,0,CA870*MAX(1,IF(H870&gt;0,AF870/H870,1))),IF(R870&gt;0,AG870/R870,0))/MAX(0.1,N(Parameter!$M$21)))</f>
        <v>0.0384615384615385</v>
      </c>
      <c r="AI870" s="50" t="n">
        <f aca="false">AH870*BY870</f>
        <v>5.96153846153846</v>
      </c>
      <c r="AJ870" s="50" t="n">
        <f aca="false">AF870*G870</f>
        <v>7.13</v>
      </c>
      <c r="AK870" s="50" t="n">
        <f aca="false">ROUNDUP(MAX(J870/IF(CD870&gt;0,CD870,MAX(0.1,N(Cockpit!$C$6))),CG870)/BV870,0)*BV870</f>
        <v>20</v>
      </c>
      <c r="AL870" s="51" t="n">
        <f aca="false">IF(AI870&gt;0,J870/AI870,-1)</f>
        <v>0.503225806451613</v>
      </c>
      <c r="AM870" s="51" t="n">
        <f aca="false">IF(AND(OR(CC870="L1",CC870="L23",CC870="LIFT"),AI870&gt;0),SUMIFS($AI$7:$AI$1843,$CC$7:$CC$1843,CC870,$AL$7:$AL$1843,"&gt;"&amp;AL870)+SUMIFS($AI$7:$AI$1843,$CC$7:$CC$1843,CC870,$AL$7:$AL$1843,AL870,$BT$7:$BT$1843,"&lt;="&amp;BT870),"")</f>
        <v>9574.08742575692</v>
      </c>
      <c r="AN870" s="58" t="n">
        <f aca="false">IF(AM870="",0,MAX(0,MIN(1,(IF(CC870="L1",Parameter!$H$5,IF(CC870="L23",Parameter!$H$6+Parameter!$H$7,Parameter!$H$5+Parameter!$H$6+Parameter!$H$7))-(AM870-AI870))/AI870)))</f>
        <v>1</v>
      </c>
      <c r="AO870" s="50" t="n">
        <f aca="false">IF(LEFT(Cockpit!$I$5,1)="A",H870,IF(CE870=1,CF870,IF(LEFT(Cockpit!$I$5,1)="B",AT870,MAX(AT870,H870))))</f>
        <v>20</v>
      </c>
      <c r="AP870" s="50" t="n">
        <f aca="false">IF(BW870=1,0,ROUNDUP(AO870/BV870,0))</f>
        <v>1</v>
      </c>
      <c r="AQ870" s="52" t="n">
        <f aca="false">IF(CL870&gt;0,CL870*MAX(1,AO870/X870),IF(BW870=1,IF(AO870&lt;=0,0,CA870*MAX(1,IF(H870&gt;0,AO870/H870,1))),IF(R870&gt;0,AP870/R870,0))/MAX(0.1,N(Parameter!$M$21)))</f>
        <v>0.0384615384615385</v>
      </c>
      <c r="AR870" s="50" t="n">
        <f aca="false">AQ870*BY870</f>
        <v>5.96153846153846</v>
      </c>
      <c r="AS870" s="50" t="n">
        <f aca="false">AO870*G870</f>
        <v>142.6</v>
      </c>
      <c r="AT870" s="50" t="n">
        <f aca="false">ROUNDUP(MAX(J870/IF(CD870&gt;0,CD870,MAX(0.1,N(Cockpit!$I$6))),CG870)/BV870,0)*BV870</f>
        <v>20</v>
      </c>
      <c r="AU870" s="51" t="n">
        <f aca="false">IF(AR870&gt;0,J870/AR870,-1)</f>
        <v>0.503225806451613</v>
      </c>
      <c r="AV870" s="51" t="n">
        <f aca="false">IF(AND(OR(CC870="L1",CC870="L23",CC870="LIFT"),AR870&gt;0),SUMIFS($AR$7:$AR$1843,$CC$7:$CC$1843,CC870,$AU$7:$AU$1843,"&gt;"&amp;AU870)+SUMIFS($AR$7:$AR$1843,$CC$7:$CC$1843,CC870,$AU$7:$AU$1843,AU870,$BT$7:$BT$1843,"&lt;="&amp;BT870),"")</f>
        <v>14018.2504578755</v>
      </c>
      <c r="AW870" s="58" t="n">
        <f aca="false">IF(AV870="",0,MAX(0,MIN(1,(IF(CC870="L1",Parameter!$H$5,IF(CC870="L23",Parameter!$H$6+Parameter!$H$7,Parameter!$H$5+Parameter!$H$6+Parameter!$H$7))-(AV870-AR870))/AR870)))</f>
        <v>1</v>
      </c>
      <c r="AX870" s="50" t="n">
        <f aca="false">IF(LEFT(Cockpit!$O$5,1)="A",H870,IF(CE870=1,CF870,IF(LEFT(Cockpit!$O$5,1)="B",BC870,MAX(BC870,H870))))</f>
        <v>20</v>
      </c>
      <c r="AY870" s="50" t="n">
        <f aca="false">IF(BW870=1,0,ROUNDUP(AX870/BV870,0))</f>
        <v>1</v>
      </c>
      <c r="AZ870" s="52" t="n">
        <f aca="false">IF(CL870&gt;0,CL870*MAX(1,AX870/X870),IF(BW870=1,IF(AX870&lt;=0,0,CA870*MAX(1,IF(H870&gt;0,AX870/H870,1))),IF(R870&gt;0,AY870/R870,0))/MAX(0.1,N(Parameter!$M$21)))</f>
        <v>0.0384615384615385</v>
      </c>
      <c r="BA870" s="50" t="n">
        <f aca="false">AZ870*BY870</f>
        <v>5.96153846153846</v>
      </c>
      <c r="BB870" s="50" t="n">
        <f aca="false">AX870*G870</f>
        <v>142.6</v>
      </c>
      <c r="BC870" s="50" t="n">
        <f aca="false">ROUNDUP(MAX(J870/IF(CD870&gt;0,CD870,MAX(0.1,N(Cockpit!$O$6))),CG870)/BV870,0)*BV870</f>
        <v>20</v>
      </c>
      <c r="BD870" s="51" t="n">
        <f aca="false">IF(BA870&gt;0,J870/BA870,-1)</f>
        <v>0.503225806451613</v>
      </c>
      <c r="BE870" s="51" t="n">
        <f aca="false">IF(AND(OR(CC870="L1",CC870="L23",CC870="LIFT"),BA870&gt;0),SUMIFS($BA$7:$BA$1843,$CC$7:$CC$1843,CC870,$BD$7:$BD$1843,"&gt;"&amp;BD870)+SUMIFS($BA$7:$BA$1843,$CC$7:$CC$1843,CC870,$BD$7:$BD$1843,BD870,$BT$7:$BT$1843,"&lt;="&amp;BT870),"")</f>
        <v>13013.9075091575</v>
      </c>
      <c r="BF870" s="58" t="n">
        <f aca="false">IF(BE870="",0,MAX(0,MIN(1,(IF(CC870="L1",Parameter!$H$5,IF(CC870="L23",Parameter!$H$6+Parameter!$H$7,Parameter!$H$5+Parameter!$H$6+Parameter!$H$7))-(BE870-BA870))/BA870)))</f>
        <v>1</v>
      </c>
      <c r="BG870" s="48" t="str">
        <f aca="false">IF(AI870&lt;=0,"",IF(CC870="Aussen","Aussenlager",IF(CC870="-","Nicht im Lift",IF(AN870&gt;=1,"Lift",IF(AN870&lt;=0,"Aussenlager","teilweise")))))</f>
        <v>Lift</v>
      </c>
      <c r="BH870" s="48" t="str">
        <f aca="false">IF(AR870&lt;=0,"",IF(CC870="Aussen","Aussenlager",IF(CC870="-","Nicht im Lift",IF(AW870&gt;=1,"Lift",IF(AW870&lt;=0,"Aussenlager","teilweise")))))</f>
        <v>Lift</v>
      </c>
      <c r="BI870" s="48" t="str">
        <f aca="false">IF(BA870&lt;=0,"",IF(CC870="Aussen","Aussenlager",IF(CC870="-","Nicht im Lift",IF(BF870&gt;=1,"Lift",IF(BF870&lt;=0,"Aussenlager","teilweise")))))</f>
        <v>Lift</v>
      </c>
      <c r="BJ870" s="48" t="str">
        <f aca="false">IF(A870="","",IF(BS870=1,"Neu; ","")&amp;IF(AND(BS870=0,BN870&lt;0),"negativer Bestand (Export "&amp;BN870&amp;"); ","")&amp;IF(J870&lt;=0,"Kein Verbrauch; ","")&amp;IF(CL870&gt;0,"Lift "&amp;W870&amp;" lt. Liftbericht (Fach "&amp;X870&amp;" Stk); ",IF(BX870=1,"Gebinde geschätzt ("&amp;T870&amp;"); ",IF(BW870=1,"Lose – Tablare geschätzt; ","")))&amp;IF(H870&gt;AT870,"Überbestand "&amp;ROUND(H870-AT870,0)&amp;" Stk / CHF "&amp;ROUND((H870-AT870)*G870,0)&amp;"; ","")&amp;IF(AND(CE870=1,CF870&lt;CG870),"MAX &lt; MB+LG; ","")&amp;IF(AND(CK870&gt;0,CJ870*10&gt;CK870),"zu hoch für Tablar; ","")&amp;IF(AND(BS870=0,OR(CE870=1,AA870&lt;&gt;"",U870&lt;&gt;"",V870&lt;&gt;"",AB870&lt;&gt;"")),"manuell übersteuert; ","")&amp;IF(AND(BW870=0,R870=0),"Gebinde unbekannt / Stellmass fehlt; ","")&amp;IF(AND(BW870=0,N(V870)&lt;=0,N(Q870)&lt;=0),"Menge pro Gebinde fehlt (Ist = 1 Gebinde); ","")&amp;BR870)</f>
        <v>negativer Bestand (Export -2); Gebinde geschätzt (Klein); Menge pro Gebinde fehlt (Ist = 1 Gebinde); </v>
      </c>
      <c r="BK870" s="48"/>
      <c r="BL870" s="48"/>
      <c r="BM870" s="55"/>
      <c r="BN870" s="50" t="n">
        <v>-2</v>
      </c>
      <c r="BO870" s="50" t="n">
        <v>3</v>
      </c>
      <c r="BP870" s="49" t="n">
        <v>-22.45</v>
      </c>
      <c r="BQ870" s="50" t="n">
        <v>3</v>
      </c>
      <c r="BR870" s="48"/>
      <c r="BS870" s="53" t="n">
        <v>0</v>
      </c>
      <c r="BT870" s="53" t="n">
        <v>870</v>
      </c>
      <c r="BU870" s="48" t="str">
        <f aca="false">IF(U870&lt;&gt;"",UPPER(TRIM(U870)),IF(BX870=1,UPPER(VLOOKUP(T870,Parameter!$I$27:$K$29,2,0)),IF(P870="","LOSE",P870)))</f>
        <v>S51</v>
      </c>
      <c r="BV870" s="50" t="n">
        <f aca="false">IF(BU870="LOSE",1,IF(N(V870)&gt;0,V870,IF(BX870=1,MAX(1,N(VLOOKUP(T870,Parameter!$I$27:$K$29,3,0)),H870,N(N870)),IF(N(Q870)&gt;0,Q870,MAX(1,H870)))))</f>
        <v>20</v>
      </c>
      <c r="BW870" s="53" t="n">
        <f aca="false">IF(BU870="LOSE",1,0)</f>
        <v>0</v>
      </c>
      <c r="BX870" s="53" t="n">
        <f aca="false">IF(AND(U870="",OR(P870="",P870="LOSE"),T870&lt;&gt;"",N(S870)&lt;=0,ISNUMBER(MATCH(T870,Parameter!$I$27:$I$29,0))),1,0)</f>
        <v>1</v>
      </c>
      <c r="BY870" s="53" t="n">
        <f aca="false">IF(CL870&gt;0,INDEX(Parameter!$H$5:$H$7,W870)/INDEX(Parameter!$E$5:$E$7,W870),IF(AND(BW870=0,N(IFERROR(VLOOKUP(BU870,'Gebinde-Kategorie'!$A$5:$N$45,14,0),0))&gt;0),VLOOKUP(BU870,'Gebinde-Kategorie'!$A$5:$N$45,14,0)*10+Parameter!$M$23,Parameter!$M$24))</f>
        <v>155</v>
      </c>
      <c r="BZ870" s="48" t="str">
        <f aca="false">IF(AND(Parameter!$B$19="Ja",E870&lt;&gt;"",ISNUMBER(MATCH(E870,Parameter!$I$35:$I$52,0))),VLOOKUP(E870,Parameter!$I$35:$J$52,2,0),IFERROR(VLOOKUP(D870,Parameter!$A$35:$C$64,2,0),"Nein"))</f>
        <v>2+3</v>
      </c>
      <c r="CA870" s="52" t="n">
        <f aca="false">IF(BW870=0,0,IF(N(S870)&gt;0,S870,IFERROR(VLOOKUP(D870,Parameter!$A$35:$C$64,3,0)+0,0)))</f>
        <v>0</v>
      </c>
      <c r="CB870" s="48" t="n">
        <f aca="false">IF(AA870&lt;&gt;"",AA870,Z870)</f>
        <v>3</v>
      </c>
      <c r="CC870" s="48" t="str">
        <f aca="false">IF(OR(CB870=1,CB870=2,CB870=3),IF(Parameter!$E$27="Ja","LIFT",IF(CB870=1,"L1","L23")),IF(CB870="Aussen","Aussen","-"))</f>
        <v>LIFT</v>
      </c>
      <c r="CD870" s="59" t="n">
        <f aca="false">IF(N(AB870)&gt;0,AB870,0)</f>
        <v>0</v>
      </c>
      <c r="CE870" s="53" t="n">
        <f aca="false">IF(ISNUMBER(AE870),1,0)</f>
        <v>0</v>
      </c>
      <c r="CF870" s="50" t="n">
        <f aca="false">N(AE870)</f>
        <v>0</v>
      </c>
      <c r="CG870" s="50" t="n">
        <f aca="false">N(M870)+N(N870)</f>
        <v>5</v>
      </c>
      <c r="CH870" s="50" t="n">
        <f aca="false">ROUNDUP(H870/BV870,0)</f>
        <v>1</v>
      </c>
      <c r="CI870" s="50" t="n">
        <f aca="false">ROUNDUP(CF870/BV870,0)</f>
        <v>0</v>
      </c>
      <c r="CJ870" s="53" t="n">
        <f aca="false">IF(BW870=1,0,IFERROR(VLOOKUP(BU870,'Gebinde-Kategorie'!$A$5:$N$45,5,0)+0,0))</f>
        <v>11</v>
      </c>
      <c r="CK870" s="53" t="n">
        <f aca="false">IFERROR(IF(OR(CB870=1,CB870=2,CB870=3),N(INDEX(Parameter!$I$5:$I$7,CB870)),0),0)</f>
        <v>0</v>
      </c>
      <c r="CL870" s="52" t="n">
        <f aca="false">IF(AND(Parameter!$B$21="Ja",ISNUMBER(W870),N(X870)&gt;0),IFERROR(N(INDEX(Parameter!$L$5:$L$7,W870))*INDEX(Parameter!$E$5:$E$7,W870)*X870/SUMIFS($X$7:$X$1843,$W$7:$W$1843,W870),0),0)</f>
        <v>0</v>
      </c>
    </row>
    <row r="871" customFormat="false" ht="15" hidden="false" customHeight="false" outlineLevel="0" collapsed="false">
      <c r="A871" s="48" t="s">
        <v>1657</v>
      </c>
      <c r="B871" s="48" t="s">
        <v>1658</v>
      </c>
      <c r="C871" s="48" t="s">
        <v>168</v>
      </c>
      <c r="D871" s="48" t="s">
        <v>188</v>
      </c>
      <c r="E871" s="48" t="s">
        <v>189</v>
      </c>
      <c r="F871" s="48" t="s">
        <v>222</v>
      </c>
      <c r="G871" s="49" t="n">
        <v>5.66</v>
      </c>
      <c r="H871" s="50" t="n">
        <f aca="false">MAX(0,IF(AND(Parameter!$B$21="Ja",ISNUMBER(Y871)),Y871,IF(Parameter!$B$20="Jahresanfang 2025 + Export",BO871+BN871,BN871)))</f>
        <v>0</v>
      </c>
      <c r="I871" s="50" t="n">
        <f aca="false">H871*G871</f>
        <v>0</v>
      </c>
      <c r="J871" s="50" t="n">
        <f aca="false">BQ871*Parameter!$B$18</f>
        <v>2</v>
      </c>
      <c r="K871" s="51" t="n">
        <v>3</v>
      </c>
      <c r="L871" s="52" t="n">
        <v>0.666666666666667</v>
      </c>
      <c r="M871" s="50" t="n">
        <v>0</v>
      </c>
      <c r="N871" s="50" t="n">
        <v>1</v>
      </c>
      <c r="O871" s="53" t="n">
        <v>28</v>
      </c>
      <c r="P871" s="48" t="s">
        <v>430</v>
      </c>
      <c r="Q871" s="50" t="n">
        <v>5</v>
      </c>
      <c r="R871" s="53" t="n">
        <f aca="false">IF(BW871=1,0,IFERROR(VLOOKUP(BU871,'Gebinde-Kategorie'!$A$5:$N$45,13,0)+0,0))</f>
        <v>140</v>
      </c>
      <c r="S871" s="54"/>
      <c r="T871" s="55"/>
      <c r="U871" s="55"/>
      <c r="V871" s="55"/>
      <c r="W871" s="48"/>
      <c r="X871" s="50"/>
      <c r="Y871" s="50"/>
      <c r="Z871" s="48" t="n">
        <f aca="false">IF(A871="","",IF(AND(Parameter!$B$21="Ja",ISNUMBER(W871)),W871,IF(BZ871="2+3",IF(ISNUMBER(SEARCH("grosser Artikel",BR871)),2,IFERROR(VLOOKUP(BU871,Parameter!$F$35:$G$64,2,0),2)),IF(OR(BZ871="Nein",BZ871=""),"-",BZ871))))</f>
        <v>3</v>
      </c>
      <c r="AA871" s="55"/>
      <c r="AB871" s="56"/>
      <c r="AC871" s="50" t="n">
        <f aca="false">AT871</f>
        <v>5</v>
      </c>
      <c r="AD871" s="50" t="n">
        <f aca="false">MAX(AT871,H871)</f>
        <v>5</v>
      </c>
      <c r="AE871" s="57"/>
      <c r="AF871" s="50" t="n">
        <f aca="false">IF(LEFT(Cockpit!$C$5,1)="A",H871,IF(CE871=1,CF871,IF(LEFT(Cockpit!$C$5,1)="B",AK871,MAX(AK871,H871))))</f>
        <v>0</v>
      </c>
      <c r="AG871" s="50" t="n">
        <f aca="false">IF(BW871=1,0,ROUNDUP(AF871/BV871,0))</f>
        <v>0</v>
      </c>
      <c r="AH871" s="52" t="n">
        <f aca="false">IF(CL871&gt;0,CL871*MAX(1,AF871/X871),IF(BW871=1,IF(AF871&lt;=0,0,CA871*MAX(1,IF(H871&gt;0,AF871/H871,1))),IF(R871&gt;0,AG871/R871,0))/MAX(0.1,N(Parameter!$M$21)))</f>
        <v>0</v>
      </c>
      <c r="AI871" s="50" t="n">
        <f aca="false">AH871*BY871</f>
        <v>0</v>
      </c>
      <c r="AJ871" s="50" t="n">
        <f aca="false">AF871*G871</f>
        <v>0</v>
      </c>
      <c r="AK871" s="50" t="n">
        <f aca="false">ROUNDUP(MAX(J871/IF(CD871&gt;0,CD871,MAX(0.1,N(Cockpit!$C$6))),CG871)/BV871,0)*BV871</f>
        <v>5</v>
      </c>
      <c r="AL871" s="51" t="n">
        <f aca="false">IF(AI871&gt;0,J871/AI871,-1)</f>
        <v>-1</v>
      </c>
      <c r="AM871" s="51" t="str">
        <f aca="false">IF(AND(OR(CC871="L1",CC871="L23",CC871="LIFT"),AI871&gt;0),SUMIFS($AI$7:$AI$1843,$CC$7:$CC$1843,CC871,$AL$7:$AL$1843,"&gt;"&amp;AL871)+SUMIFS($AI$7:$AI$1843,$CC$7:$CC$1843,CC871,$AL$7:$AL$1843,AL871,$BT$7:$BT$1843,"&lt;="&amp;BT871),"")</f>
        <v/>
      </c>
      <c r="AN871" s="58" t="n">
        <f aca="false">IF(AM871="",0,MAX(0,MIN(1,(IF(CC871="L1",Parameter!$H$5,IF(CC871="L23",Parameter!$H$6+Parameter!$H$7,Parameter!$H$5+Parameter!$H$6+Parameter!$H$7))-(AM871-AI871))/AI871)))</f>
        <v>0</v>
      </c>
      <c r="AO871" s="50" t="n">
        <f aca="false">IF(LEFT(Cockpit!$I$5,1)="A",H871,IF(CE871=1,CF871,IF(LEFT(Cockpit!$I$5,1)="B",AT871,MAX(AT871,H871))))</f>
        <v>5</v>
      </c>
      <c r="AP871" s="50" t="n">
        <f aca="false">IF(BW871=1,0,ROUNDUP(AO871/BV871,0))</f>
        <v>1</v>
      </c>
      <c r="AQ871" s="52" t="n">
        <f aca="false">IF(CL871&gt;0,CL871*MAX(1,AO871/X871),IF(BW871=1,IF(AO871&lt;=0,0,CA871*MAX(1,IF(H871&gt;0,AO871/H871,1))),IF(R871&gt;0,AP871/R871,0))/MAX(0.1,N(Parameter!$M$21)))</f>
        <v>0.00714285714285714</v>
      </c>
      <c r="AR871" s="50" t="n">
        <f aca="false">AQ871*BY871</f>
        <v>1.10714285714286</v>
      </c>
      <c r="AS871" s="50" t="n">
        <f aca="false">AO871*G871</f>
        <v>28.3</v>
      </c>
      <c r="AT871" s="50" t="n">
        <f aca="false">ROUNDUP(MAX(J871/IF(CD871&gt;0,CD871,MAX(0.1,N(Cockpit!$I$6))),CG871)/BV871,0)*BV871</f>
        <v>5</v>
      </c>
      <c r="AU871" s="51" t="n">
        <f aca="false">IF(AR871&gt;0,J871/AR871,-1)</f>
        <v>1.80645161290323</v>
      </c>
      <c r="AV871" s="51" t="n">
        <f aca="false">IF(AND(OR(CC871="L1",CC871="L23",CC871="LIFT"),AR871&gt;0),SUMIFS($AR$7:$AR$1843,$CC$7:$CC$1843,CC871,$AU$7:$AU$1843,"&gt;"&amp;AU871)+SUMIFS($AR$7:$AR$1843,$CC$7:$CC$1843,CC871,$AU$7:$AU$1843,AU871,$BT$7:$BT$1843,"&lt;="&amp;BT871),"")</f>
        <v>8078.47710622711</v>
      </c>
      <c r="AW871" s="58" t="n">
        <f aca="false">IF(AV871="",0,MAX(0,MIN(1,(IF(CC871="L1",Parameter!$H$5,IF(CC871="L23",Parameter!$H$6+Parameter!$H$7,Parameter!$H$5+Parameter!$H$6+Parameter!$H$7))-(AV871-AR871))/AR871)))</f>
        <v>1</v>
      </c>
      <c r="AX871" s="50" t="n">
        <f aca="false">IF(LEFT(Cockpit!$O$5,1)="A",H871,IF(CE871=1,CF871,IF(LEFT(Cockpit!$O$5,1)="B",BC871,MAX(BC871,H871))))</f>
        <v>5</v>
      </c>
      <c r="AY871" s="50" t="n">
        <f aca="false">IF(BW871=1,0,ROUNDUP(AX871/BV871,0))</f>
        <v>1</v>
      </c>
      <c r="AZ871" s="52" t="n">
        <f aca="false">IF(CL871&gt;0,CL871*MAX(1,AX871/X871),IF(BW871=1,IF(AX871&lt;=0,0,CA871*MAX(1,IF(H871&gt;0,AX871/H871,1))),IF(R871&gt;0,AY871/R871,0))/MAX(0.1,N(Parameter!$M$21)))</f>
        <v>0.00714285714285714</v>
      </c>
      <c r="BA871" s="50" t="n">
        <f aca="false">AZ871*BY871</f>
        <v>1.10714285714286</v>
      </c>
      <c r="BB871" s="50" t="n">
        <f aca="false">AX871*G871</f>
        <v>28.3</v>
      </c>
      <c r="BC871" s="50" t="n">
        <f aca="false">ROUNDUP(MAX(J871/IF(CD871&gt;0,CD871,MAX(0.1,N(Cockpit!$O$6))),CG871)/BV871,0)*BV871</f>
        <v>5</v>
      </c>
      <c r="BD871" s="51" t="n">
        <f aca="false">IF(BA871&gt;0,J871/BA871,-1)</f>
        <v>1.80645161290323</v>
      </c>
      <c r="BE871" s="51" t="n">
        <f aca="false">IF(AND(OR(CC871="L1",CC871="L23",CC871="LIFT"),BA871&gt;0),SUMIFS($BA$7:$BA$1843,$CC$7:$CC$1843,CC871,$BD$7:$BD$1843,"&gt;"&amp;BD871)+SUMIFS($BA$7:$BA$1843,$CC$7:$CC$1843,CC871,$BD$7:$BD$1843,BD871,$BT$7:$BT$1843,"&lt;="&amp;BT871),"")</f>
        <v>7980.80082417582</v>
      </c>
      <c r="BF871" s="58" t="n">
        <f aca="false">IF(BE871="",0,MAX(0,MIN(1,(IF(CC871="L1",Parameter!$H$5,IF(CC871="L23",Parameter!$H$6+Parameter!$H$7,Parameter!$H$5+Parameter!$H$6+Parameter!$H$7))-(BE871-BA871))/BA871)))</f>
        <v>1</v>
      </c>
      <c r="BG871" s="48" t="str">
        <f aca="false">IF(AI871&lt;=0,"",IF(CC871="Aussen","Aussenlager",IF(CC871="-","Nicht im Lift",IF(AN871&gt;=1,"Lift",IF(AN871&lt;=0,"Aussenlager","teilweise")))))</f>
        <v/>
      </c>
      <c r="BH871" s="48" t="str">
        <f aca="false">IF(AR871&lt;=0,"",IF(CC871="Aussen","Aussenlager",IF(CC871="-","Nicht im Lift",IF(AW871&gt;=1,"Lift",IF(AW871&lt;=0,"Aussenlager","teilweise")))))</f>
        <v>Lift</v>
      </c>
      <c r="BI871" s="48" t="str">
        <f aca="false">IF(BA871&lt;=0,"",IF(CC871="Aussen","Aussenlager",IF(CC871="-","Nicht im Lift",IF(BF871&gt;=1,"Lift",IF(BF871&lt;=0,"Aussenlager","teilweise")))))</f>
        <v>Lift</v>
      </c>
      <c r="BJ871" s="48" t="str">
        <f aca="false">IF(A871="","",IF(BS871=1,"Neu; ","")&amp;IF(AND(BS871=0,BN871&lt;0),"negativer Bestand (Export "&amp;BN871&amp;"); ","")&amp;IF(J871&lt;=0,"Kein Verbrauch; ","")&amp;IF(CL871&gt;0,"Lift "&amp;W871&amp;" lt. Liftbericht (Fach "&amp;X871&amp;" Stk); ",IF(BX871=1,"Gebinde geschätzt ("&amp;T871&amp;"); ",IF(BW871=1,"Lose – Tablare geschätzt; ","")))&amp;IF(H871&gt;AT871,"Überbestand "&amp;ROUND(H871-AT871,0)&amp;" Stk / CHF "&amp;ROUND((H871-AT871)*G871,0)&amp;"; ","")&amp;IF(AND(CE871=1,CF871&lt;CG871),"MAX &lt; MB+LG; ","")&amp;IF(AND(CK871&gt;0,CJ871*10&gt;CK871),"zu hoch für Tablar; ","")&amp;IF(AND(BS871=0,OR(CE871=1,AA871&lt;&gt;"",U871&lt;&gt;"",V871&lt;&gt;"",AB871&lt;&gt;"")),"manuell übersteuert; ","")&amp;IF(AND(BW871=0,R871=0),"Gebinde unbekannt / Stellmass fehlt; ","")&amp;IF(AND(BW871=0,N(V871)&lt;=0,N(Q871)&lt;=0),"Menge pro Gebinde fehlt (Ist = 1 Gebinde); ","")&amp;BR871)</f>
        <v>negativer Bestand (Export -4); </v>
      </c>
      <c r="BK871" s="48"/>
      <c r="BL871" s="48"/>
      <c r="BM871" s="55"/>
      <c r="BN871" s="50" t="n">
        <v>-4</v>
      </c>
      <c r="BO871" s="50" t="n">
        <v>4</v>
      </c>
      <c r="BP871" s="49" t="n">
        <v>-23.48</v>
      </c>
      <c r="BQ871" s="50" t="n">
        <v>2</v>
      </c>
      <c r="BR871" s="48"/>
      <c r="BS871" s="53" t="n">
        <v>0</v>
      </c>
      <c r="BT871" s="53" t="n">
        <v>871</v>
      </c>
      <c r="BU871" s="48" t="str">
        <f aca="false">IF(U871&lt;&gt;"",UPPER(TRIM(U871)),IF(BX871=1,UPPER(VLOOKUP(T871,Parameter!$I$27:$K$29,2,0)),IF(P871="","LOSE",P871)))</f>
        <v>S22</v>
      </c>
      <c r="BV871" s="50" t="n">
        <f aca="false">IF(BU871="LOSE",1,IF(N(V871)&gt;0,V871,IF(BX871=1,MAX(1,N(VLOOKUP(T871,Parameter!$I$27:$K$29,3,0)),H871,N(N871)),IF(N(Q871)&gt;0,Q871,MAX(1,H871)))))</f>
        <v>5</v>
      </c>
      <c r="BW871" s="53" t="n">
        <f aca="false">IF(BU871="LOSE",1,0)</f>
        <v>0</v>
      </c>
      <c r="BX871" s="53" t="n">
        <f aca="false">IF(AND(U871="",OR(P871="",P871="LOSE"),T871&lt;&gt;"",N(S871)&lt;=0,ISNUMBER(MATCH(T871,Parameter!$I$27:$I$29,0))),1,0)</f>
        <v>0</v>
      </c>
      <c r="BY871" s="53" t="n">
        <f aca="false">IF(CL871&gt;0,INDEX(Parameter!$H$5:$H$7,W871)/INDEX(Parameter!$E$5:$E$7,W871),IF(AND(BW871=0,N(IFERROR(VLOOKUP(BU871,'Gebinde-Kategorie'!$A$5:$N$45,14,0),0))&gt;0),VLOOKUP(BU871,'Gebinde-Kategorie'!$A$5:$N$45,14,0)*10+Parameter!$M$23,Parameter!$M$24))</f>
        <v>155</v>
      </c>
      <c r="BZ871" s="48" t="str">
        <f aca="false">IF(AND(Parameter!$B$19="Ja",E871&lt;&gt;"",ISNUMBER(MATCH(E871,Parameter!$I$35:$I$52,0))),VLOOKUP(E871,Parameter!$I$35:$J$52,2,0),IFERROR(VLOOKUP(D871,Parameter!$A$35:$C$64,2,0),"Nein"))</f>
        <v>2+3</v>
      </c>
      <c r="CA871" s="52" t="n">
        <f aca="false">IF(BW871=0,0,IF(N(S871)&gt;0,S871,IFERROR(VLOOKUP(D871,Parameter!$A$35:$C$64,3,0)+0,0)))</f>
        <v>0</v>
      </c>
      <c r="CB871" s="48" t="n">
        <f aca="false">IF(AA871&lt;&gt;"",AA871,Z871)</f>
        <v>3</v>
      </c>
      <c r="CC871" s="48" t="str">
        <f aca="false">IF(OR(CB871=1,CB871=2,CB871=3),IF(Parameter!$E$27="Ja","LIFT",IF(CB871=1,"L1","L23")),IF(CB871="Aussen","Aussen","-"))</f>
        <v>LIFT</v>
      </c>
      <c r="CD871" s="59" t="n">
        <f aca="false">IF(N(AB871)&gt;0,AB871,0)</f>
        <v>0</v>
      </c>
      <c r="CE871" s="53" t="n">
        <f aca="false">IF(ISNUMBER(AE871),1,0)</f>
        <v>0</v>
      </c>
      <c r="CF871" s="50" t="n">
        <f aca="false">N(AE871)</f>
        <v>0</v>
      </c>
      <c r="CG871" s="50" t="n">
        <f aca="false">N(M871)+N(N871)</f>
        <v>1</v>
      </c>
      <c r="CH871" s="50" t="n">
        <f aca="false">ROUNDUP(H871/BV871,0)</f>
        <v>0</v>
      </c>
      <c r="CI871" s="50" t="n">
        <f aca="false">ROUNDUP(CF871/BV871,0)</f>
        <v>0</v>
      </c>
      <c r="CJ871" s="53" t="n">
        <f aca="false">IF(BW871=1,0,IFERROR(VLOOKUP(BU871,'Gebinde-Kategorie'!$A$5:$N$45,5,0)+0,0))</f>
        <v>8</v>
      </c>
      <c r="CK871" s="53" t="n">
        <f aca="false">IFERROR(IF(OR(CB871=1,CB871=2,CB871=3),N(INDEX(Parameter!$I$5:$I$7,CB871)),0),0)</f>
        <v>0</v>
      </c>
      <c r="CL871" s="52" t="n">
        <f aca="false">IF(AND(Parameter!$B$21="Ja",ISNUMBER(W871),N(X871)&gt;0),IFERROR(N(INDEX(Parameter!$L$5:$L$7,W871))*INDEX(Parameter!$E$5:$E$7,W871)*X871/SUMIFS($X$7:$X$1843,$W$7:$W$1843,W871),0),0)</f>
        <v>0</v>
      </c>
    </row>
    <row r="872" customFormat="false" ht="15" hidden="false" customHeight="false" outlineLevel="0" collapsed="false">
      <c r="A872" s="48" t="s">
        <v>1659</v>
      </c>
      <c r="B872" s="48" t="s">
        <v>692</v>
      </c>
      <c r="C872" s="48" t="s">
        <v>168</v>
      </c>
      <c r="D872" s="48" t="s">
        <v>188</v>
      </c>
      <c r="E872" s="48" t="s">
        <v>189</v>
      </c>
      <c r="F872" s="48" t="s">
        <v>222</v>
      </c>
      <c r="G872" s="49" t="n">
        <v>36.4</v>
      </c>
      <c r="H872" s="50" t="n">
        <f aca="false">MAX(0,IF(AND(Parameter!$B$21="Ja",ISNUMBER(Y872)),Y872,IF(Parameter!$B$20="Jahresanfang 2025 + Export",BO872+BN872,BN872)))</f>
        <v>40</v>
      </c>
      <c r="I872" s="50" t="n">
        <f aca="false">H872*G872</f>
        <v>1456</v>
      </c>
      <c r="J872" s="50" t="n">
        <f aca="false">BQ872*Parameter!$B$18</f>
        <v>72</v>
      </c>
      <c r="K872" s="51" t="n">
        <v>20.5</v>
      </c>
      <c r="L872" s="52" t="n">
        <v>3.51219512195122</v>
      </c>
      <c r="M872" s="50" t="n">
        <v>10</v>
      </c>
      <c r="N872" s="50" t="n">
        <v>70</v>
      </c>
      <c r="O872" s="53" t="n">
        <v>50</v>
      </c>
      <c r="P872" s="48" t="s">
        <v>297</v>
      </c>
      <c r="Q872" s="50" t="n">
        <v>45</v>
      </c>
      <c r="R872" s="53" t="n">
        <f aca="false">IF(BW872=1,0,IFERROR(VLOOKUP(BU872,'Gebinde-Kategorie'!$A$5:$N$45,13,0)+0,0))</f>
        <v>12</v>
      </c>
      <c r="S872" s="54"/>
      <c r="T872" s="55"/>
      <c r="U872" s="55"/>
      <c r="V872" s="55"/>
      <c r="W872" s="48"/>
      <c r="X872" s="50"/>
      <c r="Y872" s="50"/>
      <c r="Z872" s="48" t="n">
        <f aca="false">IF(A872="","",IF(AND(Parameter!$B$21="Ja",ISNUMBER(W872)),W872,IF(BZ872="2+3",IF(ISNUMBER(SEARCH("grosser Artikel",BR872)),2,IFERROR(VLOOKUP(BU872,Parameter!$F$35:$G$64,2,0),2)),IF(OR(BZ872="Nein",BZ872=""),"-",BZ872))))</f>
        <v>2</v>
      </c>
      <c r="AA872" s="55"/>
      <c r="AB872" s="56"/>
      <c r="AC872" s="50" t="n">
        <f aca="false">AT872</f>
        <v>90</v>
      </c>
      <c r="AD872" s="50" t="n">
        <f aca="false">MAX(AT872,H872)</f>
        <v>90</v>
      </c>
      <c r="AE872" s="57"/>
      <c r="AF872" s="50" t="n">
        <f aca="false">IF(LEFT(Cockpit!$C$5,1)="A",H872,IF(CE872=1,CF872,IF(LEFT(Cockpit!$C$5,1)="B",AK872,MAX(AK872,H872))))</f>
        <v>40</v>
      </c>
      <c r="AG872" s="50" t="n">
        <f aca="false">IF(BW872=1,0,ROUNDUP(AF872/BV872,0))</f>
        <v>1</v>
      </c>
      <c r="AH872" s="52" t="n">
        <f aca="false">IF(CL872&gt;0,CL872*MAX(1,AF872/X872),IF(BW872=1,IF(AF872&lt;=0,0,CA872*MAX(1,IF(H872&gt;0,AF872/H872,1))),IF(R872&gt;0,AG872/R872,0))/MAX(0.1,N(Parameter!$M$21)))</f>
        <v>0.0833333333333333</v>
      </c>
      <c r="AI872" s="50" t="n">
        <f aca="false">AH872*BY872</f>
        <v>20.4166666666667</v>
      </c>
      <c r="AJ872" s="50" t="n">
        <f aca="false">AF872*G872</f>
        <v>1456</v>
      </c>
      <c r="AK872" s="50" t="n">
        <f aca="false">ROUNDUP(MAX(J872/IF(CD872&gt;0,CD872,MAX(0.1,N(Cockpit!$C$6))),CG872)/BV872,0)*BV872</f>
        <v>90</v>
      </c>
      <c r="AL872" s="51" t="n">
        <f aca="false">IF(AI872&gt;0,J872/AI872,-1)</f>
        <v>3.5265306122449</v>
      </c>
      <c r="AM872" s="51" t="n">
        <f aca="false">IF(AND(OR(CC872="L1",CC872="L23",CC872="LIFT"),AI872&gt;0),SUMIFS($AI$7:$AI$1843,$CC$7:$CC$1843,CC872,$AL$7:$AL$1843,"&gt;"&amp;AL872)+SUMIFS($AI$7:$AI$1843,$CC$7:$CC$1843,CC872,$AL$7:$AL$1843,AL872,$BT$7:$BT$1843,"&lt;="&amp;BT872),"")</f>
        <v>4882.55906593407</v>
      </c>
      <c r="AN872" s="58" t="n">
        <f aca="false">IF(AM872="",0,MAX(0,MIN(1,(IF(CC872="L1",Parameter!$H$5,IF(CC872="L23",Parameter!$H$6+Parameter!$H$7,Parameter!$H$5+Parameter!$H$6+Parameter!$H$7))-(AM872-AI872))/AI872)))</f>
        <v>1</v>
      </c>
      <c r="AO872" s="50" t="n">
        <f aca="false">IF(LEFT(Cockpit!$I$5,1)="A",H872,IF(CE872=1,CF872,IF(LEFT(Cockpit!$I$5,1)="B",AT872,MAX(AT872,H872))))</f>
        <v>90</v>
      </c>
      <c r="AP872" s="50" t="n">
        <f aca="false">IF(BW872=1,0,ROUNDUP(AO872/BV872,0))</f>
        <v>2</v>
      </c>
      <c r="AQ872" s="52" t="n">
        <f aca="false">IF(CL872&gt;0,CL872*MAX(1,AO872/X872),IF(BW872=1,IF(AO872&lt;=0,0,CA872*MAX(1,IF(H872&gt;0,AO872/H872,1))),IF(R872&gt;0,AP872/R872,0))/MAX(0.1,N(Parameter!$M$21)))</f>
        <v>0.166666666666667</v>
      </c>
      <c r="AR872" s="50" t="n">
        <f aca="false">AQ872*BY872</f>
        <v>40.8333333333333</v>
      </c>
      <c r="AS872" s="50" t="n">
        <f aca="false">AO872*G872</f>
        <v>3276</v>
      </c>
      <c r="AT872" s="50" t="n">
        <f aca="false">ROUNDUP(MAX(J872/IF(CD872&gt;0,CD872,MAX(0.1,N(Cockpit!$I$6))),CG872)/BV872,0)*BV872</f>
        <v>90</v>
      </c>
      <c r="AU872" s="51" t="n">
        <f aca="false">IF(AR872&gt;0,J872/AR872,-1)</f>
        <v>1.76326530612245</v>
      </c>
      <c r="AV872" s="51" t="n">
        <f aca="false">IF(AND(OR(CC872="L1",CC872="L23",CC872="LIFT"),AR872&gt;0),SUMIFS($AR$7:$AR$1843,$CC$7:$CC$1843,CC872,$AU$7:$AU$1843,"&gt;"&amp;AU872)+SUMIFS($AR$7:$AR$1843,$CC$7:$CC$1843,CC872,$AU$7:$AU$1843,AU872,$BT$7:$BT$1843,"&lt;="&amp;BT872),"")</f>
        <v>8139.26373626374</v>
      </c>
      <c r="AW872" s="58" t="n">
        <f aca="false">IF(AV872="",0,MAX(0,MIN(1,(IF(CC872="L1",Parameter!$H$5,IF(CC872="L23",Parameter!$H$6+Parameter!$H$7,Parameter!$H$5+Parameter!$H$6+Parameter!$H$7))-(AV872-AR872))/AR872)))</f>
        <v>1</v>
      </c>
      <c r="AX872" s="50" t="n">
        <f aca="false">IF(LEFT(Cockpit!$O$5,1)="A",H872,IF(CE872=1,CF872,IF(LEFT(Cockpit!$O$5,1)="B",BC872,MAX(BC872,H872))))</f>
        <v>90</v>
      </c>
      <c r="AY872" s="50" t="n">
        <f aca="false">IF(BW872=1,0,ROUNDUP(AX872/BV872,0))</f>
        <v>2</v>
      </c>
      <c r="AZ872" s="52" t="n">
        <f aca="false">IF(CL872&gt;0,CL872*MAX(1,AX872/X872),IF(BW872=1,IF(AX872&lt;=0,0,CA872*MAX(1,IF(H872&gt;0,AX872/H872,1))),IF(R872&gt;0,AY872/R872,0))/MAX(0.1,N(Parameter!$M$21)))</f>
        <v>0.166666666666667</v>
      </c>
      <c r="BA872" s="50" t="n">
        <f aca="false">AZ872*BY872</f>
        <v>40.8333333333333</v>
      </c>
      <c r="BB872" s="50" t="n">
        <f aca="false">AX872*G872</f>
        <v>3276</v>
      </c>
      <c r="BC872" s="50" t="n">
        <f aca="false">ROUNDUP(MAX(J872/IF(CD872&gt;0,CD872,MAX(0.1,N(Cockpit!$O$6))),CG872)/BV872,0)*BV872</f>
        <v>90</v>
      </c>
      <c r="BD872" s="51" t="n">
        <f aca="false">IF(BA872&gt;0,J872/BA872,-1)</f>
        <v>1.76326530612245</v>
      </c>
      <c r="BE872" s="51" t="n">
        <f aca="false">IF(AND(OR(CC872="L1",CC872="L23",CC872="LIFT"),BA872&gt;0),SUMIFS($BA$7:$BA$1843,$CC$7:$CC$1843,CC872,$BD$7:$BD$1843,"&gt;"&amp;BD872)+SUMIFS($BA$7:$BA$1843,$CC$7:$CC$1843,CC872,$BD$7:$BD$1843,BD872,$BT$7:$BT$1843,"&lt;="&amp;BT872),"")</f>
        <v>8041.58745421245</v>
      </c>
      <c r="BF872" s="58" t="n">
        <f aca="false">IF(BE872="",0,MAX(0,MIN(1,(IF(CC872="L1",Parameter!$H$5,IF(CC872="L23",Parameter!$H$6+Parameter!$H$7,Parameter!$H$5+Parameter!$H$6+Parameter!$H$7))-(BE872-BA872))/BA872)))</f>
        <v>1</v>
      </c>
      <c r="BG872" s="48" t="str">
        <f aca="false">IF(AI872&lt;=0,"",IF(CC872="Aussen","Aussenlager",IF(CC872="-","Nicht im Lift",IF(AN872&gt;=1,"Lift",IF(AN872&lt;=0,"Aussenlager","teilweise")))))</f>
        <v>Lift</v>
      </c>
      <c r="BH872" s="48" t="str">
        <f aca="false">IF(AR872&lt;=0,"",IF(CC872="Aussen","Aussenlager",IF(CC872="-","Nicht im Lift",IF(AW872&gt;=1,"Lift",IF(AW872&lt;=0,"Aussenlager","teilweise")))))</f>
        <v>Lift</v>
      </c>
      <c r="BI872" s="48" t="str">
        <f aca="false">IF(BA872&lt;=0,"",IF(CC872="Aussen","Aussenlager",IF(CC872="-","Nicht im Lift",IF(BF872&gt;=1,"Lift",IF(BF872&lt;=0,"Aussenlager","teilweise")))))</f>
        <v>Lift</v>
      </c>
      <c r="BJ872" s="48" t="str">
        <f aca="false">IF(A872="","",IF(BS872=1,"Neu; ","")&amp;IF(AND(BS872=0,BN872&lt;0),"negativer Bestand (Export "&amp;BN872&amp;"); ","")&amp;IF(J872&lt;=0,"Kein Verbrauch; ","")&amp;IF(CL872&gt;0,"Lift "&amp;W872&amp;" lt. Liftbericht (Fach "&amp;X872&amp;" Stk); ",IF(BX872=1,"Gebinde geschätzt ("&amp;T872&amp;"); ",IF(BW872=1,"Lose – Tablare geschätzt; ","")))&amp;IF(H872&gt;AT872,"Überbestand "&amp;ROUND(H872-AT872,0)&amp;" Stk / CHF "&amp;ROUND((H872-AT872)*G872,0)&amp;"; ","")&amp;IF(AND(CE872=1,CF872&lt;CG872),"MAX &lt; MB+LG; ","")&amp;IF(AND(CK872&gt;0,CJ872*10&gt;CK872),"zu hoch für Tablar; ","")&amp;IF(AND(BS872=0,OR(CE872=1,AA872&lt;&gt;"",U872&lt;&gt;"",V872&lt;&gt;"",AB872&lt;&gt;"")),"manuell übersteuert; ","")&amp;IF(AND(BW872=0,R872=0),"Gebinde unbekannt / Stellmass fehlt; ","")&amp;IF(AND(BW872=0,N(V872)&lt;=0,N(Q872)&lt;=0),"Menge pro Gebinde fehlt (Ist = 1 Gebinde); ","")&amp;BR872)</f>
        <v/>
      </c>
      <c r="BK872" s="48"/>
      <c r="BL872" s="48"/>
      <c r="BM872" s="55"/>
      <c r="BN872" s="50" t="n">
        <v>14</v>
      </c>
      <c r="BO872" s="50" t="n">
        <v>26</v>
      </c>
      <c r="BP872" s="49" t="n">
        <v>-23.9200000000017</v>
      </c>
      <c r="BQ872" s="50" t="n">
        <v>72</v>
      </c>
      <c r="BR872" s="48"/>
      <c r="BS872" s="53" t="n">
        <v>0</v>
      </c>
      <c r="BT872" s="53" t="n">
        <v>872</v>
      </c>
      <c r="BU872" s="48" t="str">
        <f aca="false">IF(U872&lt;&gt;"",UPPER(TRIM(U872)),IF(BX872=1,UPPER(VLOOKUP(T872,Parameter!$I$27:$K$29,2,0)),IF(P872="","LOSE",P872)))</f>
        <v>S62</v>
      </c>
      <c r="BV872" s="50" t="n">
        <f aca="false">IF(BU872="LOSE",1,IF(N(V872)&gt;0,V872,IF(BX872=1,MAX(1,N(VLOOKUP(T872,Parameter!$I$27:$K$29,3,0)),H872,N(N872)),IF(N(Q872)&gt;0,Q872,MAX(1,H872)))))</f>
        <v>45</v>
      </c>
      <c r="BW872" s="53" t="n">
        <f aca="false">IF(BU872="LOSE",1,0)</f>
        <v>0</v>
      </c>
      <c r="BX872" s="53" t="n">
        <f aca="false">IF(AND(U872="",OR(P872="",P872="LOSE"),T872&lt;&gt;"",N(S872)&lt;=0,ISNUMBER(MATCH(T872,Parameter!$I$27:$I$29,0))),1,0)</f>
        <v>0</v>
      </c>
      <c r="BY872" s="53" t="n">
        <f aca="false">IF(CL872&gt;0,INDEX(Parameter!$H$5:$H$7,W872)/INDEX(Parameter!$E$5:$E$7,W872),IF(AND(BW872=0,N(IFERROR(VLOOKUP(BU872,'Gebinde-Kategorie'!$A$5:$N$45,14,0),0))&gt;0),VLOOKUP(BU872,'Gebinde-Kategorie'!$A$5:$N$45,14,0)*10+Parameter!$M$23,Parameter!$M$24))</f>
        <v>245</v>
      </c>
      <c r="BZ872" s="48" t="str">
        <f aca="false">IF(AND(Parameter!$B$19="Ja",E872&lt;&gt;"",ISNUMBER(MATCH(E872,Parameter!$I$35:$I$52,0))),VLOOKUP(E872,Parameter!$I$35:$J$52,2,0),IFERROR(VLOOKUP(D872,Parameter!$A$35:$C$64,2,0),"Nein"))</f>
        <v>2+3</v>
      </c>
      <c r="CA872" s="52" t="n">
        <f aca="false">IF(BW872=0,0,IF(N(S872)&gt;0,S872,IFERROR(VLOOKUP(D872,Parameter!$A$35:$C$64,3,0)+0,0)))</f>
        <v>0</v>
      </c>
      <c r="CB872" s="48" t="n">
        <f aca="false">IF(AA872&lt;&gt;"",AA872,Z872)</f>
        <v>2</v>
      </c>
      <c r="CC872" s="48" t="str">
        <f aca="false">IF(OR(CB872=1,CB872=2,CB872=3),IF(Parameter!$E$27="Ja","LIFT",IF(CB872=1,"L1","L23")),IF(CB872="Aussen","Aussen","-"))</f>
        <v>LIFT</v>
      </c>
      <c r="CD872" s="59" t="n">
        <f aca="false">IF(N(AB872)&gt;0,AB872,0)</f>
        <v>0</v>
      </c>
      <c r="CE872" s="53" t="n">
        <f aca="false">IF(ISNUMBER(AE872),1,0)</f>
        <v>0</v>
      </c>
      <c r="CF872" s="50" t="n">
        <f aca="false">N(AE872)</f>
        <v>0</v>
      </c>
      <c r="CG872" s="50" t="n">
        <f aca="false">N(M872)+N(N872)</f>
        <v>80</v>
      </c>
      <c r="CH872" s="50" t="n">
        <f aca="false">ROUNDUP(H872/BV872,0)</f>
        <v>1</v>
      </c>
      <c r="CI872" s="50" t="n">
        <f aca="false">ROUNDUP(CF872/BV872,0)</f>
        <v>0</v>
      </c>
      <c r="CJ872" s="53" t="n">
        <f aca="false">IF(BW872=1,0,IFERROR(VLOOKUP(BU872,'Gebinde-Kategorie'!$A$5:$N$45,5,0)+0,0))</f>
        <v>21</v>
      </c>
      <c r="CK872" s="53" t="n">
        <f aca="false">IFERROR(IF(OR(CB872=1,CB872=2,CB872=3),N(INDEX(Parameter!$I$5:$I$7,CB872)),0),0)</f>
        <v>0</v>
      </c>
      <c r="CL872" s="52" t="n">
        <f aca="false">IF(AND(Parameter!$B$21="Ja",ISNUMBER(W872),N(X872)&gt;0),IFERROR(N(INDEX(Parameter!$L$5:$L$7,W872))*INDEX(Parameter!$E$5:$E$7,W872)*X872/SUMIFS($X$7:$X$1843,$W$7:$W$1843,W872),0),0)</f>
        <v>0</v>
      </c>
    </row>
    <row r="873" customFormat="false" ht="15" hidden="false" customHeight="false" outlineLevel="0" collapsed="false">
      <c r="A873" s="48" t="s">
        <v>1660</v>
      </c>
      <c r="B873" s="48" t="s">
        <v>1582</v>
      </c>
      <c r="C873" s="48" t="s">
        <v>168</v>
      </c>
      <c r="D873" s="48" t="s">
        <v>188</v>
      </c>
      <c r="E873" s="48"/>
      <c r="F873" s="48" t="s">
        <v>222</v>
      </c>
      <c r="G873" s="49" t="n">
        <v>4.8</v>
      </c>
      <c r="H873" s="50" t="n">
        <f aca="false">MAX(0,IF(AND(Parameter!$B$21="Ja",ISNUMBER(Y873)),Y873,IF(Parameter!$B$20="Jahresanfang 2025 + Export",BO873+BN873,BN873)))</f>
        <v>27</v>
      </c>
      <c r="I873" s="50" t="n">
        <f aca="false">H873*G873</f>
        <v>129.6</v>
      </c>
      <c r="J873" s="50" t="n">
        <f aca="false">BQ873*Parameter!$B$18</f>
        <v>1</v>
      </c>
      <c r="K873" s="51" t="n">
        <v>30</v>
      </c>
      <c r="L873" s="52" t="n">
        <v>0.0333333333333333</v>
      </c>
      <c r="M873" s="50" t="n">
        <v>0</v>
      </c>
      <c r="N873" s="50" t="n">
        <v>1</v>
      </c>
      <c r="O873" s="53" t="n">
        <v>28</v>
      </c>
      <c r="P873" s="48" t="s">
        <v>172</v>
      </c>
      <c r="Q873" s="50"/>
      <c r="R873" s="53" t="n">
        <f aca="false">IF(BW873=1,0,IFERROR(VLOOKUP(BU873,'Gebinde-Kategorie'!$A$5:$N$45,13,0)+0,0))</f>
        <v>12</v>
      </c>
      <c r="S873" s="54"/>
      <c r="T873" s="55" t="s">
        <v>183</v>
      </c>
      <c r="U873" s="55"/>
      <c r="V873" s="55"/>
      <c r="W873" s="48"/>
      <c r="X873" s="50"/>
      <c r="Y873" s="50"/>
      <c r="Z873" s="48" t="n">
        <f aca="false">IF(A873="","",IF(AND(Parameter!$B$21="Ja",ISNUMBER(W873)),W873,IF(BZ873="2+3",IF(ISNUMBER(SEARCH("grosser Artikel",BR873)),2,IFERROR(VLOOKUP(BU873,Parameter!$F$35:$G$64,2,0),2)),IF(OR(BZ873="Nein",BZ873=""),"-",BZ873))))</f>
        <v>2</v>
      </c>
      <c r="AA873" s="55"/>
      <c r="AB873" s="56"/>
      <c r="AC873" s="50" t="n">
        <f aca="false">AT873</f>
        <v>27</v>
      </c>
      <c r="AD873" s="50" t="n">
        <f aca="false">MAX(AT873,H873)</f>
        <v>27</v>
      </c>
      <c r="AE873" s="57"/>
      <c r="AF873" s="50" t="n">
        <f aca="false">IF(LEFT(Cockpit!$C$5,1)="A",H873,IF(CE873=1,CF873,IF(LEFT(Cockpit!$C$5,1)="B",AK873,MAX(AK873,H873))))</f>
        <v>27</v>
      </c>
      <c r="AG873" s="50" t="n">
        <f aca="false">IF(BW873=1,0,ROUNDUP(AF873/BV873,0))</f>
        <v>1</v>
      </c>
      <c r="AH873" s="52" t="n">
        <f aca="false">IF(CL873&gt;0,CL873*MAX(1,AF873/X873),IF(BW873=1,IF(AF873&lt;=0,0,CA873*MAX(1,IF(H873&gt;0,AF873/H873,1))),IF(R873&gt;0,AG873/R873,0))/MAX(0.1,N(Parameter!$M$21)))</f>
        <v>0.0833333333333333</v>
      </c>
      <c r="AI873" s="50" t="n">
        <f aca="false">AH873*BY873</f>
        <v>12.0833333333333</v>
      </c>
      <c r="AJ873" s="50" t="n">
        <f aca="false">AF873*G873</f>
        <v>129.6</v>
      </c>
      <c r="AK873" s="50" t="n">
        <f aca="false">ROUNDUP(MAX(J873/IF(CD873&gt;0,CD873,MAX(0.1,N(Cockpit!$C$6))),CG873)/BV873,0)*BV873</f>
        <v>27</v>
      </c>
      <c r="AL873" s="51" t="n">
        <f aca="false">IF(AI873&gt;0,J873/AI873,-1)</f>
        <v>0.0827586206896552</v>
      </c>
      <c r="AM873" s="51" t="n">
        <f aca="false">IF(AND(OR(CC873="L1",CC873="L23",CC873="LIFT"),AI873&gt;0),SUMIFS($AI$7:$AI$1843,$CC$7:$CC$1843,CC873,$AL$7:$AL$1843,"&gt;"&amp;AL873)+SUMIFS($AI$7:$AI$1843,$CC$7:$CC$1843,CC873,$AL$7:$AL$1843,AL873,$BT$7:$BT$1843,"&lt;="&amp;BT873),"")</f>
        <v>16725.6907322903</v>
      </c>
      <c r="AN873" s="58" t="n">
        <f aca="false">IF(AM873="",0,MAX(0,MIN(1,(IF(CC873="L1",Parameter!$H$5,IF(CC873="L23",Parameter!$H$6+Parameter!$H$7,Parameter!$H$5+Parameter!$H$6+Parameter!$H$7))-(AM873-AI873))/AI873)))</f>
        <v>1</v>
      </c>
      <c r="AO873" s="50" t="n">
        <f aca="false">IF(LEFT(Cockpit!$I$5,1)="A",H873,IF(CE873=1,CF873,IF(LEFT(Cockpit!$I$5,1)="B",AT873,MAX(AT873,H873))))</f>
        <v>27</v>
      </c>
      <c r="AP873" s="50" t="n">
        <f aca="false">IF(BW873=1,0,ROUNDUP(AO873/BV873,0))</f>
        <v>1</v>
      </c>
      <c r="AQ873" s="52" t="n">
        <f aca="false">IF(CL873&gt;0,CL873*MAX(1,AO873/X873),IF(BW873=1,IF(AO873&lt;=0,0,CA873*MAX(1,IF(H873&gt;0,AO873/H873,1))),IF(R873&gt;0,AP873/R873,0))/MAX(0.1,N(Parameter!$M$21)))</f>
        <v>0.0833333333333333</v>
      </c>
      <c r="AR873" s="50" t="n">
        <f aca="false">AQ873*BY873</f>
        <v>12.0833333333333</v>
      </c>
      <c r="AS873" s="50" t="n">
        <f aca="false">AO873*G873</f>
        <v>129.6</v>
      </c>
      <c r="AT873" s="50" t="n">
        <f aca="false">ROUNDUP(MAX(J873/IF(CD873&gt;0,CD873,MAX(0.1,N(Cockpit!$I$6))),CG873)/BV873,0)*BV873</f>
        <v>27</v>
      </c>
      <c r="AU873" s="51" t="n">
        <f aca="false">IF(AR873&gt;0,J873/AR873,-1)</f>
        <v>0.0827586206896552</v>
      </c>
      <c r="AV873" s="51" t="n">
        <f aca="false">IF(AND(OR(CC873="L1",CC873="L23",CC873="LIFT"),AR873&gt;0),SUMIFS($AR$7:$AR$1843,$CC$7:$CC$1843,CC873,$AU$7:$AU$1843,"&gt;"&amp;AU873)+SUMIFS($AR$7:$AR$1843,$CC$7:$CC$1843,CC873,$AU$7:$AU$1843,AU873,$BT$7:$BT$1843,"&lt;="&amp;BT873),"")</f>
        <v>25233.9211083173</v>
      </c>
      <c r="AW873" s="58" t="n">
        <f aca="false">IF(AV873="",0,MAX(0,MIN(1,(IF(CC873="L1",Parameter!$H$5,IF(CC873="L23",Parameter!$H$6+Parameter!$H$7,Parameter!$H$5+Parameter!$H$6+Parameter!$H$7))-(AV873-AR873))/AR873)))</f>
        <v>1</v>
      </c>
      <c r="AX873" s="50" t="n">
        <f aca="false">IF(LEFT(Cockpit!$O$5,1)="A",H873,IF(CE873=1,CF873,IF(LEFT(Cockpit!$O$5,1)="B",BC873,MAX(BC873,H873))))</f>
        <v>27</v>
      </c>
      <c r="AY873" s="50" t="n">
        <f aca="false">IF(BW873=1,0,ROUNDUP(AX873/BV873,0))</f>
        <v>1</v>
      </c>
      <c r="AZ873" s="52" t="n">
        <f aca="false">IF(CL873&gt;0,CL873*MAX(1,AX873/X873),IF(BW873=1,IF(AX873&lt;=0,0,CA873*MAX(1,IF(H873&gt;0,AX873/H873,1))),IF(R873&gt;0,AY873/R873,0))/MAX(0.1,N(Parameter!$M$21)))</f>
        <v>0.0833333333333333</v>
      </c>
      <c r="BA873" s="50" t="n">
        <f aca="false">AZ873*BY873</f>
        <v>12.0833333333333</v>
      </c>
      <c r="BB873" s="50" t="n">
        <f aca="false">AX873*G873</f>
        <v>129.6</v>
      </c>
      <c r="BC873" s="50" t="n">
        <f aca="false">ROUNDUP(MAX(J873/IF(CD873&gt;0,CD873,MAX(0.1,N(Cockpit!$O$6))),CG873)/BV873,0)*BV873</f>
        <v>27</v>
      </c>
      <c r="BD873" s="51" t="n">
        <f aca="false">IF(BA873&gt;0,J873/BA873,-1)</f>
        <v>0.0827586206896552</v>
      </c>
      <c r="BE873" s="51" t="n">
        <f aca="false">IF(AND(OR(CC873="L1",CC873="L23",CC873="LIFT"),BA873&gt;0),SUMIFS($BA$7:$BA$1843,$CC$7:$CC$1843,CC873,$BD$7:$BD$1843,"&gt;"&amp;BD873)+SUMIFS($BA$7:$BA$1843,$CC$7:$CC$1843,CC873,$BD$7:$BD$1843,BD873,$BT$7:$BT$1843,"&lt;="&amp;BT873),"")</f>
        <v>23436.4331501832</v>
      </c>
      <c r="BF873" s="58" t="n">
        <f aca="false">IF(BE873="",0,MAX(0,MIN(1,(IF(CC873="L1",Parameter!$H$5,IF(CC873="L23",Parameter!$H$6+Parameter!$H$7,Parameter!$H$5+Parameter!$H$6+Parameter!$H$7))-(BE873-BA873))/BA873)))</f>
        <v>1</v>
      </c>
      <c r="BG873" s="48" t="str">
        <f aca="false">IF(AI873&lt;=0,"",IF(CC873="Aussen","Aussenlager",IF(CC873="-","Nicht im Lift",IF(AN873&gt;=1,"Lift",IF(AN873&lt;=0,"Aussenlager","teilweise")))))</f>
        <v>Lift</v>
      </c>
      <c r="BH873" s="48" t="str">
        <f aca="false">IF(AR873&lt;=0,"",IF(CC873="Aussen","Aussenlager",IF(CC873="-","Nicht im Lift",IF(AW873&gt;=1,"Lift",IF(AW873&lt;=0,"Aussenlager","teilweise")))))</f>
        <v>Lift</v>
      </c>
      <c r="BI873" s="48" t="str">
        <f aca="false">IF(BA873&lt;=0,"",IF(CC873="Aussen","Aussenlager",IF(CC873="-","Nicht im Lift",IF(BF873&gt;=1,"Lift",IF(BF873&lt;=0,"Aussenlager","teilweise")))))</f>
        <v>Lift</v>
      </c>
      <c r="BJ873" s="48" t="str">
        <f aca="false">IF(A873="","",IF(BS873=1,"Neu; ","")&amp;IF(AND(BS873=0,BN873&lt;0),"negativer Bestand (Export "&amp;BN873&amp;"); ","")&amp;IF(J873&lt;=0,"Kein Verbrauch; ","")&amp;IF(CL873&gt;0,"Lift "&amp;W873&amp;" lt. Liftbericht (Fach "&amp;X873&amp;" Stk); ",IF(BX873=1,"Gebinde geschätzt ("&amp;T873&amp;"); ",IF(BW873=1,"Lose – Tablare geschätzt; ","")))&amp;IF(H873&gt;AT873,"Überbestand "&amp;ROUND(H873-AT873,0)&amp;" Stk / CHF "&amp;ROUND((H873-AT873)*G873,0)&amp;"; ","")&amp;IF(AND(CE873=1,CF873&lt;CG873),"MAX &lt; MB+LG; ","")&amp;IF(AND(CK873&gt;0,CJ873*10&gt;CK873),"zu hoch für Tablar; ","")&amp;IF(AND(BS873=0,OR(CE873=1,AA873&lt;&gt;"",U873&lt;&gt;"",V873&lt;&gt;"",AB873&lt;&gt;"")),"manuell übersteuert; ","")&amp;IF(AND(BW873=0,R873=0),"Gebinde unbekannt / Stellmass fehlt; ","")&amp;IF(AND(BW873=0,N(V873)&lt;=0,N(Q873)&lt;=0),"Menge pro Gebinde fehlt (Ist = 1 Gebinde); ","")&amp;BR873)</f>
        <v>negativer Bestand (Export -5); Gebinde geschätzt (Mittel); Menge pro Gebinde fehlt (Ist = 1 Gebinde); </v>
      </c>
      <c r="BK873" s="48"/>
      <c r="BL873" s="48"/>
      <c r="BM873" s="55"/>
      <c r="BN873" s="50" t="n">
        <v>-5</v>
      </c>
      <c r="BO873" s="50" t="n">
        <v>32</v>
      </c>
      <c r="BP873" s="49" t="n">
        <v>-24</v>
      </c>
      <c r="BQ873" s="50" t="n">
        <v>1</v>
      </c>
      <c r="BR873" s="48"/>
      <c r="BS873" s="53" t="n">
        <v>0</v>
      </c>
      <c r="BT873" s="53" t="n">
        <v>873</v>
      </c>
      <c r="BU873" s="48" t="str">
        <f aca="false">IF(U873&lt;&gt;"",UPPER(TRIM(U873)),IF(BX873=1,UPPER(VLOOKUP(T873,Parameter!$I$27:$K$29,2,0)),IF(P873="","LOSE",P873)))</f>
        <v>S61</v>
      </c>
      <c r="BV873" s="50" t="n">
        <f aca="false">IF(BU873="LOSE",1,IF(N(V873)&gt;0,V873,IF(BX873=1,MAX(1,N(VLOOKUP(T873,Parameter!$I$27:$K$29,3,0)),H873,N(N873)),IF(N(Q873)&gt;0,Q873,MAX(1,H873)))))</f>
        <v>27</v>
      </c>
      <c r="BW873" s="53" t="n">
        <f aca="false">IF(BU873="LOSE",1,0)</f>
        <v>0</v>
      </c>
      <c r="BX873" s="53" t="n">
        <f aca="false">IF(AND(U873="",OR(P873="",P873="LOSE"),T873&lt;&gt;"",N(S873)&lt;=0,ISNUMBER(MATCH(T873,Parameter!$I$27:$I$29,0))),1,0)</f>
        <v>1</v>
      </c>
      <c r="BY873" s="53" t="n">
        <f aca="false">IF(CL873&gt;0,INDEX(Parameter!$H$5:$H$7,W873)/INDEX(Parameter!$E$5:$E$7,W873),IF(AND(BW873=0,N(IFERROR(VLOOKUP(BU873,'Gebinde-Kategorie'!$A$5:$N$45,14,0),0))&gt;0),VLOOKUP(BU873,'Gebinde-Kategorie'!$A$5:$N$45,14,0)*10+Parameter!$M$23,Parameter!$M$24))</f>
        <v>145</v>
      </c>
      <c r="BZ873" s="48" t="str">
        <f aca="false">IF(AND(Parameter!$B$19="Ja",E873&lt;&gt;"",ISNUMBER(MATCH(E873,Parameter!$I$35:$I$52,0))),VLOOKUP(E873,Parameter!$I$35:$J$52,2,0),IFERROR(VLOOKUP(D873,Parameter!$A$35:$C$64,2,0),"Nein"))</f>
        <v>2+3</v>
      </c>
      <c r="CA873" s="52" t="n">
        <f aca="false">IF(BW873=0,0,IF(N(S873)&gt;0,S873,IFERROR(VLOOKUP(D873,Parameter!$A$35:$C$64,3,0)+0,0)))</f>
        <v>0</v>
      </c>
      <c r="CB873" s="48" t="n">
        <f aca="false">IF(AA873&lt;&gt;"",AA873,Z873)</f>
        <v>2</v>
      </c>
      <c r="CC873" s="48" t="str">
        <f aca="false">IF(OR(CB873=1,CB873=2,CB873=3),IF(Parameter!$E$27="Ja","LIFT",IF(CB873=1,"L1","L23")),IF(CB873="Aussen","Aussen","-"))</f>
        <v>LIFT</v>
      </c>
      <c r="CD873" s="59" t="n">
        <f aca="false">IF(N(AB873)&gt;0,AB873,0)</f>
        <v>0</v>
      </c>
      <c r="CE873" s="53" t="n">
        <f aca="false">IF(ISNUMBER(AE873),1,0)</f>
        <v>0</v>
      </c>
      <c r="CF873" s="50" t="n">
        <f aca="false">N(AE873)</f>
        <v>0</v>
      </c>
      <c r="CG873" s="50" t="n">
        <f aca="false">N(M873)+N(N873)</f>
        <v>1</v>
      </c>
      <c r="CH873" s="50" t="n">
        <f aca="false">ROUNDUP(H873/BV873,0)</f>
        <v>1</v>
      </c>
      <c r="CI873" s="50" t="n">
        <f aca="false">ROUNDUP(CF873/BV873,0)</f>
        <v>0</v>
      </c>
      <c r="CJ873" s="53" t="n">
        <f aca="false">IF(BW873=1,0,IFERROR(VLOOKUP(BU873,'Gebinde-Kategorie'!$A$5:$N$45,5,0)+0,0))</f>
        <v>11</v>
      </c>
      <c r="CK873" s="53" t="n">
        <f aca="false">IFERROR(IF(OR(CB873=1,CB873=2,CB873=3),N(INDEX(Parameter!$I$5:$I$7,CB873)),0),0)</f>
        <v>0</v>
      </c>
      <c r="CL873" s="52" t="n">
        <f aca="false">IF(AND(Parameter!$B$21="Ja",ISNUMBER(W873),N(X873)&gt;0),IFERROR(N(INDEX(Parameter!$L$5:$L$7,W873))*INDEX(Parameter!$E$5:$E$7,W873)*X873/SUMIFS($X$7:$X$1843,$W$7:$W$1843,W873),0),0)</f>
        <v>0</v>
      </c>
    </row>
    <row r="874" customFormat="false" ht="15" hidden="false" customHeight="false" outlineLevel="0" collapsed="false">
      <c r="A874" s="48" t="s">
        <v>1661</v>
      </c>
      <c r="B874" s="48" t="s">
        <v>865</v>
      </c>
      <c r="C874" s="48" t="s">
        <v>168</v>
      </c>
      <c r="D874" s="48" t="s">
        <v>188</v>
      </c>
      <c r="E874" s="48"/>
      <c r="F874" s="48" t="s">
        <v>222</v>
      </c>
      <c r="G874" s="49" t="n">
        <v>24.36</v>
      </c>
      <c r="H874" s="50" t="n">
        <f aca="false">MAX(0,IF(AND(Parameter!$B$21="Ja",ISNUMBER(Y874)),Y874,IF(Parameter!$B$20="Jahresanfang 2025 + Export",BO874+BN874,BN874)))</f>
        <v>2</v>
      </c>
      <c r="I874" s="50" t="n">
        <f aca="false">H874*G874</f>
        <v>48.72</v>
      </c>
      <c r="J874" s="50" t="n">
        <f aca="false">BQ874*Parameter!$B$18</f>
        <v>1</v>
      </c>
      <c r="K874" s="51" t="n">
        <v>2.5</v>
      </c>
      <c r="L874" s="52" t="n">
        <v>0.4</v>
      </c>
      <c r="M874" s="50" t="n">
        <v>0</v>
      </c>
      <c r="N874" s="50" t="n">
        <v>1</v>
      </c>
      <c r="O874" s="53" t="n">
        <v>28</v>
      </c>
      <c r="P874" s="48" t="s">
        <v>405</v>
      </c>
      <c r="Q874" s="50" t="n">
        <v>5</v>
      </c>
      <c r="R874" s="53" t="n">
        <f aca="false">IF(BW874=1,0,IFERROR(VLOOKUP(BU874,'Gebinde-Kategorie'!$A$5:$N$45,13,0)+0,0))</f>
        <v>280</v>
      </c>
      <c r="S874" s="54"/>
      <c r="T874" s="55"/>
      <c r="U874" s="55"/>
      <c r="V874" s="55"/>
      <c r="W874" s="48"/>
      <c r="X874" s="50"/>
      <c r="Y874" s="50"/>
      <c r="Z874" s="48" t="n">
        <f aca="false">IF(A874="","",IF(AND(Parameter!$B$21="Ja",ISNUMBER(W874)),W874,IF(BZ874="2+3",IF(ISNUMBER(SEARCH("grosser Artikel",BR874)),2,IFERROR(VLOOKUP(BU874,Parameter!$F$35:$G$64,2,0),2)),IF(OR(BZ874="Nein",BZ874=""),"-",BZ874))))</f>
        <v>3</v>
      </c>
      <c r="AA874" s="55"/>
      <c r="AB874" s="56"/>
      <c r="AC874" s="50" t="n">
        <f aca="false">AT874</f>
        <v>5</v>
      </c>
      <c r="AD874" s="50" t="n">
        <f aca="false">MAX(AT874,H874)</f>
        <v>5</v>
      </c>
      <c r="AE874" s="57"/>
      <c r="AF874" s="50" t="n">
        <f aca="false">IF(LEFT(Cockpit!$C$5,1)="A",H874,IF(CE874=1,CF874,IF(LEFT(Cockpit!$C$5,1)="B",AK874,MAX(AK874,H874))))</f>
        <v>2</v>
      </c>
      <c r="AG874" s="50" t="n">
        <f aca="false">IF(BW874=1,0,ROUNDUP(AF874/BV874,0))</f>
        <v>1</v>
      </c>
      <c r="AH874" s="52" t="n">
        <f aca="false">IF(CL874&gt;0,CL874*MAX(1,AF874/X874),IF(BW874=1,IF(AF874&lt;=0,0,CA874*MAX(1,IF(H874&gt;0,AF874/H874,1))),IF(R874&gt;0,AG874/R874,0))/MAX(0.1,N(Parameter!$M$21)))</f>
        <v>0.00357142857142857</v>
      </c>
      <c r="AI874" s="50" t="n">
        <f aca="false">AH874*BY874</f>
        <v>0.553571428571429</v>
      </c>
      <c r="AJ874" s="50" t="n">
        <f aca="false">AF874*G874</f>
        <v>48.72</v>
      </c>
      <c r="AK874" s="50" t="n">
        <f aca="false">ROUNDUP(MAX(J874/IF(CD874&gt;0,CD874,MAX(0.1,N(Cockpit!$C$6))),CG874)/BV874,0)*BV874</f>
        <v>5</v>
      </c>
      <c r="AL874" s="51" t="n">
        <f aca="false">IF(AI874&gt;0,J874/AI874,-1)</f>
        <v>1.80645161290323</v>
      </c>
      <c r="AM874" s="51" t="n">
        <f aca="false">IF(AND(OR(CC874="L1",CC874="L23",CC874="LIFT"),AI874&gt;0),SUMIFS($AI$7:$AI$1843,$CC$7:$CC$1843,CC874,$AL$7:$AL$1843,"&gt;"&amp;AL874)+SUMIFS($AI$7:$AI$1843,$CC$7:$CC$1843,CC874,$AL$7:$AL$1843,AL874,$BT$7:$BT$1843,"&lt;="&amp;BT874),"")</f>
        <v>5967.00457875458</v>
      </c>
      <c r="AN874" s="58" t="n">
        <f aca="false">IF(AM874="",0,MAX(0,MIN(1,(IF(CC874="L1",Parameter!$H$5,IF(CC874="L23",Parameter!$H$6+Parameter!$H$7,Parameter!$H$5+Parameter!$H$6+Parameter!$H$7))-(AM874-AI874))/AI874)))</f>
        <v>1</v>
      </c>
      <c r="AO874" s="50" t="n">
        <f aca="false">IF(LEFT(Cockpit!$I$5,1)="A",H874,IF(CE874=1,CF874,IF(LEFT(Cockpit!$I$5,1)="B",AT874,MAX(AT874,H874))))</f>
        <v>5</v>
      </c>
      <c r="AP874" s="50" t="n">
        <f aca="false">IF(BW874=1,0,ROUNDUP(AO874/BV874,0))</f>
        <v>1</v>
      </c>
      <c r="AQ874" s="52" t="n">
        <f aca="false">IF(CL874&gt;0,CL874*MAX(1,AO874/X874),IF(BW874=1,IF(AO874&lt;=0,0,CA874*MAX(1,IF(H874&gt;0,AO874/H874,1))),IF(R874&gt;0,AP874/R874,0))/MAX(0.1,N(Parameter!$M$21)))</f>
        <v>0.00357142857142857</v>
      </c>
      <c r="AR874" s="50" t="n">
        <f aca="false">AQ874*BY874</f>
        <v>0.553571428571429</v>
      </c>
      <c r="AS874" s="50" t="n">
        <f aca="false">AO874*G874</f>
        <v>121.8</v>
      </c>
      <c r="AT874" s="50" t="n">
        <f aca="false">ROUNDUP(MAX(J874/IF(CD874&gt;0,CD874,MAX(0.1,N(Cockpit!$I$6))),CG874)/BV874,0)*BV874</f>
        <v>5</v>
      </c>
      <c r="AU874" s="51" t="n">
        <f aca="false">IF(AR874&gt;0,J874/AR874,-1)</f>
        <v>1.80645161290323</v>
      </c>
      <c r="AV874" s="51" t="n">
        <f aca="false">IF(AND(OR(CC874="L1",CC874="L23",CC874="LIFT"),AR874&gt;0),SUMIFS($AR$7:$AR$1843,$CC$7:$CC$1843,CC874,$AU$7:$AU$1843,"&gt;"&amp;AU874)+SUMIFS($AR$7:$AR$1843,$CC$7:$CC$1843,CC874,$AU$7:$AU$1843,AU874,$BT$7:$BT$1843,"&lt;="&amp;BT874),"")</f>
        <v>8079.03067765568</v>
      </c>
      <c r="AW874" s="58" t="n">
        <f aca="false">IF(AV874="",0,MAX(0,MIN(1,(IF(CC874="L1",Parameter!$H$5,IF(CC874="L23",Parameter!$H$6+Parameter!$H$7,Parameter!$H$5+Parameter!$H$6+Parameter!$H$7))-(AV874-AR874))/AR874)))</f>
        <v>1</v>
      </c>
      <c r="AX874" s="50" t="n">
        <f aca="false">IF(LEFT(Cockpit!$O$5,1)="A",H874,IF(CE874=1,CF874,IF(LEFT(Cockpit!$O$5,1)="B",BC874,MAX(BC874,H874))))</f>
        <v>5</v>
      </c>
      <c r="AY874" s="50" t="n">
        <f aca="false">IF(BW874=1,0,ROUNDUP(AX874/BV874,0))</f>
        <v>1</v>
      </c>
      <c r="AZ874" s="52" t="n">
        <f aca="false">IF(CL874&gt;0,CL874*MAX(1,AX874/X874),IF(BW874=1,IF(AX874&lt;=0,0,CA874*MAX(1,IF(H874&gt;0,AX874/H874,1))),IF(R874&gt;0,AY874/R874,0))/MAX(0.1,N(Parameter!$M$21)))</f>
        <v>0.00357142857142857</v>
      </c>
      <c r="BA874" s="50" t="n">
        <f aca="false">AZ874*BY874</f>
        <v>0.553571428571429</v>
      </c>
      <c r="BB874" s="50" t="n">
        <f aca="false">AX874*G874</f>
        <v>121.8</v>
      </c>
      <c r="BC874" s="50" t="n">
        <f aca="false">ROUNDUP(MAX(J874/IF(CD874&gt;0,CD874,MAX(0.1,N(Cockpit!$O$6))),CG874)/BV874,0)*BV874</f>
        <v>5</v>
      </c>
      <c r="BD874" s="51" t="n">
        <f aca="false">IF(BA874&gt;0,J874/BA874,-1)</f>
        <v>1.80645161290323</v>
      </c>
      <c r="BE874" s="51" t="n">
        <f aca="false">IF(AND(OR(CC874="L1",CC874="L23",CC874="LIFT"),BA874&gt;0),SUMIFS($BA$7:$BA$1843,$CC$7:$CC$1843,CC874,$BD$7:$BD$1843,"&gt;"&amp;BD874)+SUMIFS($BA$7:$BA$1843,$CC$7:$CC$1843,CC874,$BD$7:$BD$1843,BD874,$BT$7:$BT$1843,"&lt;="&amp;BT874),"")</f>
        <v>7981.3543956044</v>
      </c>
      <c r="BF874" s="58" t="n">
        <f aca="false">IF(BE874="",0,MAX(0,MIN(1,(IF(CC874="L1",Parameter!$H$5,IF(CC874="L23",Parameter!$H$6+Parameter!$H$7,Parameter!$H$5+Parameter!$H$6+Parameter!$H$7))-(BE874-BA874))/BA874)))</f>
        <v>1</v>
      </c>
      <c r="BG874" s="48" t="str">
        <f aca="false">IF(AI874&lt;=0,"",IF(CC874="Aussen","Aussenlager",IF(CC874="-","Nicht im Lift",IF(AN874&gt;=1,"Lift",IF(AN874&lt;=0,"Aussenlager","teilweise")))))</f>
        <v>Lift</v>
      </c>
      <c r="BH874" s="48" t="str">
        <f aca="false">IF(AR874&lt;=0,"",IF(CC874="Aussen","Aussenlager",IF(CC874="-","Nicht im Lift",IF(AW874&gt;=1,"Lift",IF(AW874&lt;=0,"Aussenlager","teilweise")))))</f>
        <v>Lift</v>
      </c>
      <c r="BI874" s="48" t="str">
        <f aca="false">IF(BA874&lt;=0,"",IF(CC874="Aussen","Aussenlager",IF(CC874="-","Nicht im Lift",IF(BF874&gt;=1,"Lift",IF(BF874&lt;=0,"Aussenlager","teilweise")))))</f>
        <v>Lift</v>
      </c>
      <c r="BJ874" s="48" t="str">
        <f aca="false">IF(A874="","",IF(BS874=1,"Neu; ","")&amp;IF(AND(BS874=0,BN874&lt;0),"negativer Bestand (Export "&amp;BN874&amp;"); ","")&amp;IF(J874&lt;=0,"Kein Verbrauch; ","")&amp;IF(CL874&gt;0,"Lift "&amp;W874&amp;" lt. Liftbericht (Fach "&amp;X874&amp;" Stk); ",IF(BX874=1,"Gebinde geschätzt ("&amp;T874&amp;"); ",IF(BW874=1,"Lose – Tablare geschätzt; ","")))&amp;IF(H874&gt;AT874,"Überbestand "&amp;ROUND(H874-AT874,0)&amp;" Stk / CHF "&amp;ROUND((H874-AT874)*G874,0)&amp;"; ","")&amp;IF(AND(CE874=1,CF874&lt;CG874),"MAX &lt; MB+LG; ","")&amp;IF(AND(CK874&gt;0,CJ874*10&gt;CK874),"zu hoch für Tablar; ","")&amp;IF(AND(BS874=0,OR(CE874=1,AA874&lt;&gt;"",U874&lt;&gt;"",V874&lt;&gt;"",AB874&lt;&gt;"")),"manuell übersteuert; ","")&amp;IF(AND(BW874=0,R874=0),"Gebinde unbekannt / Stellmass fehlt; ","")&amp;IF(AND(BW874=0,N(V874)&lt;=0,N(Q874)&lt;=0),"Menge pro Gebinde fehlt (Ist = 1 Gebinde); ","")&amp;BR874)</f>
        <v>negativer Bestand (Export -1); </v>
      </c>
      <c r="BK874" s="48"/>
      <c r="BL874" s="48"/>
      <c r="BM874" s="55"/>
      <c r="BN874" s="50" t="n">
        <v>-1</v>
      </c>
      <c r="BO874" s="50" t="n">
        <v>3</v>
      </c>
      <c r="BP874" s="49" t="n">
        <v>-24.36</v>
      </c>
      <c r="BQ874" s="50" t="n">
        <v>1</v>
      </c>
      <c r="BR874" s="48"/>
      <c r="BS874" s="53" t="n">
        <v>0</v>
      </c>
      <c r="BT874" s="53" t="n">
        <v>874</v>
      </c>
      <c r="BU874" s="48" t="str">
        <f aca="false">IF(U874&lt;&gt;"",UPPER(TRIM(U874)),IF(BX874=1,UPPER(VLOOKUP(T874,Parameter!$I$27:$K$29,2,0)),IF(P874="","LOSE",P874)))</f>
        <v>S21</v>
      </c>
      <c r="BV874" s="50" t="n">
        <f aca="false">IF(BU874="LOSE",1,IF(N(V874)&gt;0,V874,IF(BX874=1,MAX(1,N(VLOOKUP(T874,Parameter!$I$27:$K$29,3,0)),H874,N(N874)),IF(N(Q874)&gt;0,Q874,MAX(1,H874)))))</f>
        <v>5</v>
      </c>
      <c r="BW874" s="53" t="n">
        <f aca="false">IF(BU874="LOSE",1,0)</f>
        <v>0</v>
      </c>
      <c r="BX874" s="53" t="n">
        <f aca="false">IF(AND(U874="",OR(P874="",P874="LOSE"),T874&lt;&gt;"",N(S874)&lt;=0,ISNUMBER(MATCH(T874,Parameter!$I$27:$I$29,0))),1,0)</f>
        <v>0</v>
      </c>
      <c r="BY874" s="53" t="n">
        <f aca="false">IF(CL874&gt;0,INDEX(Parameter!$H$5:$H$7,W874)/INDEX(Parameter!$E$5:$E$7,W874),IF(AND(BW874=0,N(IFERROR(VLOOKUP(BU874,'Gebinde-Kategorie'!$A$5:$N$45,14,0),0))&gt;0),VLOOKUP(BU874,'Gebinde-Kategorie'!$A$5:$N$45,14,0)*10+Parameter!$M$23,Parameter!$M$24))</f>
        <v>155</v>
      </c>
      <c r="BZ874" s="48" t="str">
        <f aca="false">IF(AND(Parameter!$B$19="Ja",E874&lt;&gt;"",ISNUMBER(MATCH(E874,Parameter!$I$35:$I$52,0))),VLOOKUP(E874,Parameter!$I$35:$J$52,2,0),IFERROR(VLOOKUP(D874,Parameter!$A$35:$C$64,2,0),"Nein"))</f>
        <v>2+3</v>
      </c>
      <c r="CA874" s="52" t="n">
        <f aca="false">IF(BW874=0,0,IF(N(S874)&gt;0,S874,IFERROR(VLOOKUP(D874,Parameter!$A$35:$C$64,3,0)+0,0)))</f>
        <v>0</v>
      </c>
      <c r="CB874" s="48" t="n">
        <f aca="false">IF(AA874&lt;&gt;"",AA874,Z874)</f>
        <v>3</v>
      </c>
      <c r="CC874" s="48" t="str">
        <f aca="false">IF(OR(CB874=1,CB874=2,CB874=3),IF(Parameter!$E$27="Ja","LIFT",IF(CB874=1,"L1","L23")),IF(CB874="Aussen","Aussen","-"))</f>
        <v>LIFT</v>
      </c>
      <c r="CD874" s="59" t="n">
        <f aca="false">IF(N(AB874)&gt;0,AB874,0)</f>
        <v>0</v>
      </c>
      <c r="CE874" s="53" t="n">
        <f aca="false">IF(ISNUMBER(AE874),1,0)</f>
        <v>0</v>
      </c>
      <c r="CF874" s="50" t="n">
        <f aca="false">N(AE874)</f>
        <v>0</v>
      </c>
      <c r="CG874" s="50" t="n">
        <f aca="false">N(M874)+N(N874)</f>
        <v>1</v>
      </c>
      <c r="CH874" s="50" t="n">
        <f aca="false">ROUNDUP(H874/BV874,0)</f>
        <v>1</v>
      </c>
      <c r="CI874" s="50" t="n">
        <f aca="false">ROUNDUP(CF874/BV874,0)</f>
        <v>0</v>
      </c>
      <c r="CJ874" s="53" t="n">
        <f aca="false">IF(BW874=1,0,IFERROR(VLOOKUP(BU874,'Gebinde-Kategorie'!$A$5:$N$45,5,0)+0,0))</f>
        <v>8</v>
      </c>
      <c r="CK874" s="53" t="n">
        <f aca="false">IFERROR(IF(OR(CB874=1,CB874=2,CB874=3),N(INDEX(Parameter!$I$5:$I$7,CB874)),0),0)</f>
        <v>0</v>
      </c>
      <c r="CL874" s="52" t="n">
        <f aca="false">IF(AND(Parameter!$B$21="Ja",ISNUMBER(W874),N(X874)&gt;0),IFERROR(N(INDEX(Parameter!$L$5:$L$7,W874))*INDEX(Parameter!$E$5:$E$7,W874)*X874/SUMIFS($X$7:$X$1843,$W$7:$W$1843,W874),0),0)</f>
        <v>0</v>
      </c>
    </row>
    <row r="875" customFormat="false" ht="15" hidden="false" customHeight="false" outlineLevel="0" collapsed="false">
      <c r="A875" s="48" t="s">
        <v>1662</v>
      </c>
      <c r="B875" s="48" t="s">
        <v>1663</v>
      </c>
      <c r="C875" s="48" t="s">
        <v>168</v>
      </c>
      <c r="D875" s="48" t="s">
        <v>188</v>
      </c>
      <c r="E875" s="48"/>
      <c r="F875" s="48" t="s">
        <v>222</v>
      </c>
      <c r="G875" s="49" t="n">
        <v>24.52</v>
      </c>
      <c r="H875" s="50" t="n">
        <f aca="false">MAX(0,IF(AND(Parameter!$B$21="Ja",ISNUMBER(Y875)),Y875,IF(Parameter!$B$20="Jahresanfang 2025 + Export",BO875+BN875,BN875)))</f>
        <v>14</v>
      </c>
      <c r="I875" s="50" t="n">
        <f aca="false">H875*G875</f>
        <v>343.28</v>
      </c>
      <c r="J875" s="50" t="n">
        <f aca="false">BQ875*Parameter!$B$18</f>
        <v>0</v>
      </c>
      <c r="K875" s="51" t="n">
        <v>15</v>
      </c>
      <c r="L875" s="52" t="n">
        <v>0</v>
      </c>
      <c r="M875" s="50" t="n">
        <v>0</v>
      </c>
      <c r="N875" s="50" t="n">
        <v>1</v>
      </c>
      <c r="O875" s="53" t="n">
        <v>35</v>
      </c>
      <c r="P875" s="48" t="s">
        <v>425</v>
      </c>
      <c r="Q875" s="50" t="n">
        <v>15</v>
      </c>
      <c r="R875" s="53" t="n">
        <f aca="false">IF(BW875=1,0,IFERROR(VLOOKUP(BU875,'Gebinde-Kategorie'!$A$5:$N$45,13,0)+0,0))</f>
        <v>104</v>
      </c>
      <c r="S875" s="54"/>
      <c r="T875" s="55"/>
      <c r="U875" s="55"/>
      <c r="V875" s="55"/>
      <c r="W875" s="48"/>
      <c r="X875" s="50"/>
      <c r="Y875" s="50"/>
      <c r="Z875" s="48" t="n">
        <f aca="false">IF(A875="","",IF(AND(Parameter!$B$21="Ja",ISNUMBER(W875)),W875,IF(BZ875="2+3",IF(ISNUMBER(SEARCH("grosser Artikel",BR875)),2,IFERROR(VLOOKUP(BU875,Parameter!$F$35:$G$64,2,0),2)),IF(OR(BZ875="Nein",BZ875=""),"-",BZ875))))</f>
        <v>3</v>
      </c>
      <c r="AA875" s="55"/>
      <c r="AB875" s="56"/>
      <c r="AC875" s="50" t="n">
        <f aca="false">AT875</f>
        <v>15</v>
      </c>
      <c r="AD875" s="50" t="n">
        <f aca="false">MAX(AT875,H875)</f>
        <v>15</v>
      </c>
      <c r="AE875" s="57"/>
      <c r="AF875" s="50" t="n">
        <f aca="false">IF(LEFT(Cockpit!$C$5,1)="A",H875,IF(CE875=1,CF875,IF(LEFT(Cockpit!$C$5,1)="B",AK875,MAX(AK875,H875))))</f>
        <v>14</v>
      </c>
      <c r="AG875" s="50" t="n">
        <f aca="false">IF(BW875=1,0,ROUNDUP(AF875/BV875,0))</f>
        <v>1</v>
      </c>
      <c r="AH875" s="52" t="n">
        <f aca="false">IF(CL875&gt;0,CL875*MAX(1,AF875/X875),IF(BW875=1,IF(AF875&lt;=0,0,CA875*MAX(1,IF(H875&gt;0,AF875/H875,1))),IF(R875&gt;0,AG875/R875,0))/MAX(0.1,N(Parameter!$M$21)))</f>
        <v>0.00961538461538462</v>
      </c>
      <c r="AI875" s="50" t="n">
        <f aca="false">AH875*BY875</f>
        <v>1.49038461538462</v>
      </c>
      <c r="AJ875" s="50" t="n">
        <f aca="false">AF875*G875</f>
        <v>343.28</v>
      </c>
      <c r="AK875" s="50" t="n">
        <f aca="false">ROUNDUP(MAX(J875/IF(CD875&gt;0,CD875,MAX(0.1,N(Cockpit!$C$6))),CG875)/BV875,0)*BV875</f>
        <v>15</v>
      </c>
      <c r="AL875" s="51" t="n">
        <f aca="false">IF(AI875&gt;0,J875/AI875,-1)</f>
        <v>0</v>
      </c>
      <c r="AM875" s="51" t="n">
        <f aca="false">IF(AND(OR(CC875="L1",CC875="L23",CC875="LIFT"),AI875&gt;0),SUMIFS($AI$7:$AI$1843,$CC$7:$CC$1843,CC875,$AL$7:$AL$1843,"&gt;"&amp;AL875)+SUMIFS($AI$7:$AI$1843,$CC$7:$CC$1843,CC875,$AL$7:$AL$1843,AL875,$BT$7:$BT$1843,"&lt;="&amp;BT875),"")</f>
        <v>28809.6901864614</v>
      </c>
      <c r="AN875" s="58" t="n">
        <f aca="false">IF(AM875="",0,MAX(0,MIN(1,(IF(CC875="L1",Parameter!$H$5,IF(CC875="L23",Parameter!$H$6+Parameter!$H$7,Parameter!$H$5+Parameter!$H$6+Parameter!$H$7))-(AM875-AI875))/AI875)))</f>
        <v>1</v>
      </c>
      <c r="AO875" s="50" t="n">
        <f aca="false">IF(LEFT(Cockpit!$I$5,1)="A",H875,IF(CE875=1,CF875,IF(LEFT(Cockpit!$I$5,1)="B",AT875,MAX(AT875,H875))))</f>
        <v>15</v>
      </c>
      <c r="AP875" s="50" t="n">
        <f aca="false">IF(BW875=1,0,ROUNDUP(AO875/BV875,0))</f>
        <v>1</v>
      </c>
      <c r="AQ875" s="52" t="n">
        <f aca="false">IF(CL875&gt;0,CL875*MAX(1,AO875/X875),IF(BW875=1,IF(AO875&lt;=0,0,CA875*MAX(1,IF(H875&gt;0,AO875/H875,1))),IF(R875&gt;0,AP875/R875,0))/MAX(0.1,N(Parameter!$M$21)))</f>
        <v>0.00961538461538462</v>
      </c>
      <c r="AR875" s="50" t="n">
        <f aca="false">AQ875*BY875</f>
        <v>1.49038461538462</v>
      </c>
      <c r="AS875" s="50" t="n">
        <f aca="false">AO875*G875</f>
        <v>367.8</v>
      </c>
      <c r="AT875" s="50" t="n">
        <f aca="false">ROUNDUP(MAX(J875/IF(CD875&gt;0,CD875,MAX(0.1,N(Cockpit!$I$6))),CG875)/BV875,0)*BV875</f>
        <v>15</v>
      </c>
      <c r="AU875" s="51" t="n">
        <f aca="false">IF(AR875&gt;0,J875/AR875,-1)</f>
        <v>0</v>
      </c>
      <c r="AV875" s="51" t="n">
        <f aca="false">IF(AND(OR(CC875="L1",CC875="L23",CC875="LIFT"),AR875&gt;0),SUMIFS($AR$7:$AR$1843,$CC$7:$CC$1843,CC875,$AU$7:$AU$1843,"&gt;"&amp;AU875)+SUMIFS($AR$7:$AR$1843,$CC$7:$CC$1843,CC875,$AU$7:$AU$1843,AU875,$BT$7:$BT$1843,"&lt;="&amp;BT875),"")</f>
        <v>40396.2028465884</v>
      </c>
      <c r="AW875" s="58" t="n">
        <f aca="false">IF(AV875="",0,MAX(0,MIN(1,(IF(CC875="L1",Parameter!$H$5,IF(CC875="L23",Parameter!$H$6+Parameter!$H$7,Parameter!$H$5+Parameter!$H$6+Parameter!$H$7))-(AV875-AR875))/AR875)))</f>
        <v>0</v>
      </c>
      <c r="AX875" s="50" t="n">
        <f aca="false">IF(LEFT(Cockpit!$O$5,1)="A",H875,IF(CE875=1,CF875,IF(LEFT(Cockpit!$O$5,1)="B",BC875,MAX(BC875,H875))))</f>
        <v>15</v>
      </c>
      <c r="AY875" s="50" t="n">
        <f aca="false">IF(BW875=1,0,ROUNDUP(AX875/BV875,0))</f>
        <v>1</v>
      </c>
      <c r="AZ875" s="52" t="n">
        <f aca="false">IF(CL875&gt;0,CL875*MAX(1,AX875/X875),IF(BW875=1,IF(AX875&lt;=0,0,CA875*MAX(1,IF(H875&gt;0,AX875/H875,1))),IF(R875&gt;0,AY875/R875,0))/MAX(0.1,N(Parameter!$M$21)))</f>
        <v>0.00961538461538462</v>
      </c>
      <c r="BA875" s="50" t="n">
        <f aca="false">AZ875*BY875</f>
        <v>1.49038461538462</v>
      </c>
      <c r="BB875" s="50" t="n">
        <f aca="false">AX875*G875</f>
        <v>367.8</v>
      </c>
      <c r="BC875" s="50" t="n">
        <f aca="false">ROUNDUP(MAX(J875/IF(CD875&gt;0,CD875,MAX(0.1,N(Cockpit!$O$6))),CG875)/BV875,0)*BV875</f>
        <v>15</v>
      </c>
      <c r="BD875" s="51" t="n">
        <f aca="false">IF(BA875&gt;0,J875/BA875,-1)</f>
        <v>0</v>
      </c>
      <c r="BE875" s="51" t="n">
        <f aca="false">IF(AND(OR(CC875="L1",CC875="L23",CC875="LIFT"),BA875&gt;0),SUMIFS($BA$7:$BA$1843,$CC$7:$CC$1843,CC875,$BD$7:$BD$1843,"&gt;"&amp;BD875)+SUMIFS($BA$7:$BA$1843,$CC$7:$CC$1843,CC875,$BD$7:$BD$1843,BD875,$BT$7:$BT$1843,"&lt;="&amp;BT875),"")</f>
        <v>37071.2148884543</v>
      </c>
      <c r="BF875" s="58" t="n">
        <f aca="false">IF(BE875="",0,MAX(0,MIN(1,(IF(CC875="L1",Parameter!$H$5,IF(CC875="L23",Parameter!$H$6+Parameter!$H$7,Parameter!$H$5+Parameter!$H$6+Parameter!$H$7))-(BE875-BA875))/BA875)))</f>
        <v>0</v>
      </c>
      <c r="BG875" s="48" t="str">
        <f aca="false">IF(AI875&lt;=0,"",IF(CC875="Aussen","Aussenlager",IF(CC875="-","Nicht im Lift",IF(AN875&gt;=1,"Lift",IF(AN875&lt;=0,"Aussenlager","teilweise")))))</f>
        <v>Lift</v>
      </c>
      <c r="BH875" s="48" t="str">
        <f aca="false">IF(AR875&lt;=0,"",IF(CC875="Aussen","Aussenlager",IF(CC875="-","Nicht im Lift",IF(AW875&gt;=1,"Lift",IF(AW875&lt;=0,"Aussenlager","teilweise")))))</f>
        <v>Aussenlager</v>
      </c>
      <c r="BI875" s="48" t="str">
        <f aca="false">IF(BA875&lt;=0,"",IF(CC875="Aussen","Aussenlager",IF(CC875="-","Nicht im Lift",IF(BF875&gt;=1,"Lift",IF(BF875&lt;=0,"Aussenlager","teilweise")))))</f>
        <v>Aussenlager</v>
      </c>
      <c r="BJ875" s="48" t="str">
        <f aca="false">IF(A875="","",IF(BS875=1,"Neu; ","")&amp;IF(AND(BS875=0,BN875&lt;0),"negativer Bestand (Export "&amp;BN875&amp;"); ","")&amp;IF(J875&lt;=0,"Kein Verbrauch; ","")&amp;IF(CL875&gt;0,"Lift "&amp;W875&amp;" lt. Liftbericht (Fach "&amp;X875&amp;" Stk); ",IF(BX875=1,"Gebinde geschätzt ("&amp;T875&amp;"); ",IF(BW875=1,"Lose – Tablare geschätzt; ","")))&amp;IF(H875&gt;AT875,"Überbestand "&amp;ROUND(H875-AT875,0)&amp;" Stk / CHF "&amp;ROUND((H875-AT875)*G875,0)&amp;"; ","")&amp;IF(AND(CE875=1,CF875&lt;CG875),"MAX &lt; MB+LG; ","")&amp;IF(AND(CK875&gt;0,CJ875*10&gt;CK875),"zu hoch für Tablar; ","")&amp;IF(AND(BS875=0,OR(CE875=1,AA875&lt;&gt;"",U875&lt;&gt;"",V875&lt;&gt;"",AB875&lt;&gt;"")),"manuell übersteuert; ","")&amp;IF(AND(BW875=0,R875=0),"Gebinde unbekannt / Stellmass fehlt; ","")&amp;IF(AND(BW875=0,N(V875)&lt;=0,N(Q875)&lt;=0),"Menge pro Gebinde fehlt (Ist = 1 Gebinde); ","")&amp;BR875)</f>
        <v>negativer Bestand (Export -1); Kein Verbrauch; </v>
      </c>
      <c r="BK875" s="48"/>
      <c r="BL875" s="48"/>
      <c r="BM875" s="55"/>
      <c r="BN875" s="50" t="n">
        <v>-1</v>
      </c>
      <c r="BO875" s="50" t="n">
        <v>15</v>
      </c>
      <c r="BP875" s="49" t="n">
        <v>-24.52</v>
      </c>
      <c r="BQ875" s="50" t="n">
        <v>0</v>
      </c>
      <c r="BR875" s="48"/>
      <c r="BS875" s="53" t="n">
        <v>0</v>
      </c>
      <c r="BT875" s="53" t="n">
        <v>875</v>
      </c>
      <c r="BU875" s="48" t="str">
        <f aca="false">IF(U875&lt;&gt;"",UPPER(TRIM(U875)),IF(BX875=1,UPPER(VLOOKUP(T875,Parameter!$I$27:$K$29,2,0)),IF(P875="","LOSE",P875)))</f>
        <v>S32</v>
      </c>
      <c r="BV875" s="50" t="n">
        <f aca="false">IF(BU875="LOSE",1,IF(N(V875)&gt;0,V875,IF(BX875=1,MAX(1,N(VLOOKUP(T875,Parameter!$I$27:$K$29,3,0)),H875,N(N875)),IF(N(Q875)&gt;0,Q875,MAX(1,H875)))))</f>
        <v>15</v>
      </c>
      <c r="BW875" s="53" t="n">
        <f aca="false">IF(BU875="LOSE",1,0)</f>
        <v>0</v>
      </c>
      <c r="BX875" s="53" t="n">
        <f aca="false">IF(AND(U875="",OR(P875="",P875="LOSE"),T875&lt;&gt;"",N(S875)&lt;=0,ISNUMBER(MATCH(T875,Parameter!$I$27:$I$29,0))),1,0)</f>
        <v>0</v>
      </c>
      <c r="BY875" s="53" t="n">
        <f aca="false">IF(CL875&gt;0,INDEX(Parameter!$H$5:$H$7,W875)/INDEX(Parameter!$E$5:$E$7,W875),IF(AND(BW875=0,N(IFERROR(VLOOKUP(BU875,'Gebinde-Kategorie'!$A$5:$N$45,14,0),0))&gt;0),VLOOKUP(BU875,'Gebinde-Kategorie'!$A$5:$N$45,14,0)*10+Parameter!$M$23,Parameter!$M$24))</f>
        <v>155</v>
      </c>
      <c r="BZ875" s="48" t="str">
        <f aca="false">IF(AND(Parameter!$B$19="Ja",E875&lt;&gt;"",ISNUMBER(MATCH(E875,Parameter!$I$35:$I$52,0))),VLOOKUP(E875,Parameter!$I$35:$J$52,2,0),IFERROR(VLOOKUP(D875,Parameter!$A$35:$C$64,2,0),"Nein"))</f>
        <v>2+3</v>
      </c>
      <c r="CA875" s="52" t="n">
        <f aca="false">IF(BW875=0,0,IF(N(S875)&gt;0,S875,IFERROR(VLOOKUP(D875,Parameter!$A$35:$C$64,3,0)+0,0)))</f>
        <v>0</v>
      </c>
      <c r="CB875" s="48" t="n">
        <f aca="false">IF(AA875&lt;&gt;"",AA875,Z875)</f>
        <v>3</v>
      </c>
      <c r="CC875" s="48" t="str">
        <f aca="false">IF(OR(CB875=1,CB875=2,CB875=3),IF(Parameter!$E$27="Ja","LIFT",IF(CB875=1,"L1","L23")),IF(CB875="Aussen","Aussen","-"))</f>
        <v>LIFT</v>
      </c>
      <c r="CD875" s="59" t="n">
        <f aca="false">IF(N(AB875)&gt;0,AB875,0)</f>
        <v>0</v>
      </c>
      <c r="CE875" s="53" t="n">
        <f aca="false">IF(ISNUMBER(AE875),1,0)</f>
        <v>0</v>
      </c>
      <c r="CF875" s="50" t="n">
        <f aca="false">N(AE875)</f>
        <v>0</v>
      </c>
      <c r="CG875" s="50" t="n">
        <f aca="false">N(M875)+N(N875)</f>
        <v>1</v>
      </c>
      <c r="CH875" s="50" t="n">
        <f aca="false">ROUNDUP(H875/BV875,0)</f>
        <v>1</v>
      </c>
      <c r="CI875" s="50" t="n">
        <f aca="false">ROUNDUP(CF875/BV875,0)</f>
        <v>0</v>
      </c>
      <c r="CJ875" s="53" t="n">
        <f aca="false">IF(BW875=1,0,IFERROR(VLOOKUP(BU875,'Gebinde-Kategorie'!$A$5:$N$45,5,0)+0,0))</f>
        <v>8</v>
      </c>
      <c r="CK875" s="53" t="n">
        <f aca="false">IFERROR(IF(OR(CB875=1,CB875=2,CB875=3),N(INDEX(Parameter!$I$5:$I$7,CB875)),0),0)</f>
        <v>0</v>
      </c>
      <c r="CL875" s="52" t="n">
        <f aca="false">IF(AND(Parameter!$B$21="Ja",ISNUMBER(W875),N(X875)&gt;0),IFERROR(N(INDEX(Parameter!$L$5:$L$7,W875))*INDEX(Parameter!$E$5:$E$7,W875)*X875/SUMIFS($X$7:$X$1843,$W$7:$W$1843,W875),0),0)</f>
        <v>0</v>
      </c>
    </row>
    <row r="876" customFormat="false" ht="15" hidden="false" customHeight="false" outlineLevel="0" collapsed="false">
      <c r="A876" s="48" t="s">
        <v>1664</v>
      </c>
      <c r="B876" s="48" t="s">
        <v>1169</v>
      </c>
      <c r="C876" s="48" t="s">
        <v>168</v>
      </c>
      <c r="D876" s="48" t="s">
        <v>188</v>
      </c>
      <c r="E876" s="48" t="s">
        <v>189</v>
      </c>
      <c r="F876" s="48" t="s">
        <v>222</v>
      </c>
      <c r="G876" s="49" t="n">
        <v>9.35</v>
      </c>
      <c r="H876" s="50" t="n">
        <f aca="false">MAX(0,IF(AND(Parameter!$B$21="Ja",ISNUMBER(Y876)),Y876,IF(Parameter!$B$20="Jahresanfang 2025 + Export",BO876+BN876,BN876)))</f>
        <v>3</v>
      </c>
      <c r="I876" s="50" t="n">
        <f aca="false">H876*G876</f>
        <v>28.05</v>
      </c>
      <c r="J876" s="50" t="n">
        <f aca="false">BQ876*Parameter!$B$18</f>
        <v>6</v>
      </c>
      <c r="K876" s="51" t="n">
        <v>4.5</v>
      </c>
      <c r="L876" s="52" t="n">
        <v>1.33333333333333</v>
      </c>
      <c r="M876" s="50" t="n">
        <v>0</v>
      </c>
      <c r="N876" s="50" t="n">
        <v>5</v>
      </c>
      <c r="O876" s="53" t="n">
        <v>18</v>
      </c>
      <c r="P876" s="48" t="s">
        <v>425</v>
      </c>
      <c r="Q876" s="50" t="n">
        <v>8</v>
      </c>
      <c r="R876" s="53" t="n">
        <f aca="false">IF(BW876=1,0,IFERROR(VLOOKUP(BU876,'Gebinde-Kategorie'!$A$5:$N$45,13,0)+0,0))</f>
        <v>104</v>
      </c>
      <c r="S876" s="54"/>
      <c r="T876" s="55"/>
      <c r="U876" s="55"/>
      <c r="V876" s="55"/>
      <c r="W876" s="48"/>
      <c r="X876" s="50"/>
      <c r="Y876" s="50"/>
      <c r="Z876" s="48" t="n">
        <f aca="false">IF(A876="","",IF(AND(Parameter!$B$21="Ja",ISNUMBER(W876)),W876,IF(BZ876="2+3",IF(ISNUMBER(SEARCH("grosser Artikel",BR876)),2,IFERROR(VLOOKUP(BU876,Parameter!$F$35:$G$64,2,0),2)),IF(OR(BZ876="Nein",BZ876=""),"-",BZ876))))</f>
        <v>3</v>
      </c>
      <c r="AA876" s="55"/>
      <c r="AB876" s="56"/>
      <c r="AC876" s="50" t="n">
        <f aca="false">AT876</f>
        <v>8</v>
      </c>
      <c r="AD876" s="50" t="n">
        <f aca="false">MAX(AT876,H876)</f>
        <v>8</v>
      </c>
      <c r="AE876" s="57"/>
      <c r="AF876" s="50" t="n">
        <f aca="false">IF(LEFT(Cockpit!$C$5,1)="A",H876,IF(CE876=1,CF876,IF(LEFT(Cockpit!$C$5,1)="B",AK876,MAX(AK876,H876))))</f>
        <v>3</v>
      </c>
      <c r="AG876" s="50" t="n">
        <f aca="false">IF(BW876=1,0,ROUNDUP(AF876/BV876,0))</f>
        <v>1</v>
      </c>
      <c r="AH876" s="52" t="n">
        <f aca="false">IF(CL876&gt;0,CL876*MAX(1,AF876/X876),IF(BW876=1,IF(AF876&lt;=0,0,CA876*MAX(1,IF(H876&gt;0,AF876/H876,1))),IF(R876&gt;0,AG876/R876,0))/MAX(0.1,N(Parameter!$M$21)))</f>
        <v>0.00961538461538462</v>
      </c>
      <c r="AI876" s="50" t="n">
        <f aca="false">AH876*BY876</f>
        <v>1.49038461538462</v>
      </c>
      <c r="AJ876" s="50" t="n">
        <f aca="false">AF876*G876</f>
        <v>28.05</v>
      </c>
      <c r="AK876" s="50" t="n">
        <f aca="false">ROUNDUP(MAX(J876/IF(CD876&gt;0,CD876,MAX(0.1,N(Cockpit!$C$6))),CG876)/BV876,0)*BV876</f>
        <v>8</v>
      </c>
      <c r="AL876" s="51" t="n">
        <f aca="false">IF(AI876&gt;0,J876/AI876,-1)</f>
        <v>4.0258064516129</v>
      </c>
      <c r="AM876" s="51" t="n">
        <f aca="false">IF(AND(OR(CC876="L1",CC876="L23",CC876="LIFT"),AI876&gt;0),SUMIFS($AI$7:$AI$1843,$CC$7:$CC$1843,CC876,$AL$7:$AL$1843,"&gt;"&amp;AL876)+SUMIFS($AI$7:$AI$1843,$CC$7:$CC$1843,CC876,$AL$7:$AL$1843,AL876,$BT$7:$BT$1843,"&lt;="&amp;BT876),"")</f>
        <v>4354.21794871795</v>
      </c>
      <c r="AN876" s="58" t="n">
        <f aca="false">IF(AM876="",0,MAX(0,MIN(1,(IF(CC876="L1",Parameter!$H$5,IF(CC876="L23",Parameter!$H$6+Parameter!$H$7,Parameter!$H$5+Parameter!$H$6+Parameter!$H$7))-(AM876-AI876))/AI876)))</f>
        <v>1</v>
      </c>
      <c r="AO876" s="50" t="n">
        <f aca="false">IF(LEFT(Cockpit!$I$5,1)="A",H876,IF(CE876=1,CF876,IF(LEFT(Cockpit!$I$5,1)="B",AT876,MAX(AT876,H876))))</f>
        <v>8</v>
      </c>
      <c r="AP876" s="50" t="n">
        <f aca="false">IF(BW876=1,0,ROUNDUP(AO876/BV876,0))</f>
        <v>1</v>
      </c>
      <c r="AQ876" s="52" t="n">
        <f aca="false">IF(CL876&gt;0,CL876*MAX(1,AO876/X876),IF(BW876=1,IF(AO876&lt;=0,0,CA876*MAX(1,IF(H876&gt;0,AO876/H876,1))),IF(R876&gt;0,AP876/R876,0))/MAX(0.1,N(Parameter!$M$21)))</f>
        <v>0.00961538461538462</v>
      </c>
      <c r="AR876" s="50" t="n">
        <f aca="false">AQ876*BY876</f>
        <v>1.49038461538462</v>
      </c>
      <c r="AS876" s="50" t="n">
        <f aca="false">AO876*G876</f>
        <v>74.8</v>
      </c>
      <c r="AT876" s="50" t="n">
        <f aca="false">ROUNDUP(MAX(J876/IF(CD876&gt;0,CD876,MAX(0.1,N(Cockpit!$I$6))),CG876)/BV876,0)*BV876</f>
        <v>8</v>
      </c>
      <c r="AU876" s="51" t="n">
        <f aca="false">IF(AR876&gt;0,J876/AR876,-1)</f>
        <v>4.0258064516129</v>
      </c>
      <c r="AV876" s="51" t="n">
        <f aca="false">IF(AND(OR(CC876="L1",CC876="L23",CC876="LIFT"),AR876&gt;0),SUMIFS($AR$7:$AR$1843,$CC$7:$CC$1843,CC876,$AU$7:$AU$1843,"&gt;"&amp;AU876)+SUMIFS($AR$7:$AR$1843,$CC$7:$CC$1843,CC876,$AU$7:$AU$1843,AU876,$BT$7:$BT$1843,"&lt;="&amp;BT876),"")</f>
        <v>5596.7586996337</v>
      </c>
      <c r="AW876" s="58" t="n">
        <f aca="false">IF(AV876="",0,MAX(0,MIN(1,(IF(CC876="L1",Parameter!$H$5,IF(CC876="L23",Parameter!$H$6+Parameter!$H$7,Parameter!$H$5+Parameter!$H$6+Parameter!$H$7))-(AV876-AR876))/AR876)))</f>
        <v>1</v>
      </c>
      <c r="AX876" s="50" t="n">
        <f aca="false">IF(LEFT(Cockpit!$O$5,1)="A",H876,IF(CE876=1,CF876,IF(LEFT(Cockpit!$O$5,1)="B",BC876,MAX(BC876,H876))))</f>
        <v>8</v>
      </c>
      <c r="AY876" s="50" t="n">
        <f aca="false">IF(BW876=1,0,ROUNDUP(AX876/BV876,0))</f>
        <v>1</v>
      </c>
      <c r="AZ876" s="52" t="n">
        <f aca="false">IF(CL876&gt;0,CL876*MAX(1,AX876/X876),IF(BW876=1,IF(AX876&lt;=0,0,CA876*MAX(1,IF(H876&gt;0,AX876/H876,1))),IF(R876&gt;0,AY876/R876,0))/MAX(0.1,N(Parameter!$M$21)))</f>
        <v>0.00961538461538462</v>
      </c>
      <c r="BA876" s="50" t="n">
        <f aca="false">AZ876*BY876</f>
        <v>1.49038461538462</v>
      </c>
      <c r="BB876" s="50" t="n">
        <f aca="false">AX876*G876</f>
        <v>74.8</v>
      </c>
      <c r="BC876" s="50" t="n">
        <f aca="false">ROUNDUP(MAX(J876/IF(CD876&gt;0,CD876,MAX(0.1,N(Cockpit!$O$6))),CG876)/BV876,0)*BV876</f>
        <v>8</v>
      </c>
      <c r="BD876" s="51" t="n">
        <f aca="false">IF(BA876&gt;0,J876/BA876,-1)</f>
        <v>4.0258064516129</v>
      </c>
      <c r="BE876" s="51" t="n">
        <f aca="false">IF(AND(OR(CC876="L1",CC876="L23",CC876="LIFT"),BA876&gt;0),SUMIFS($BA$7:$BA$1843,$CC$7:$CC$1843,CC876,$BD$7:$BD$1843,"&gt;"&amp;BD876)+SUMIFS($BA$7:$BA$1843,$CC$7:$CC$1843,CC876,$BD$7:$BD$1843,BD876,$BT$7:$BT$1843,"&lt;="&amp;BT876),"")</f>
        <v>5284.62728937729</v>
      </c>
      <c r="BF876" s="58" t="n">
        <f aca="false">IF(BE876="",0,MAX(0,MIN(1,(IF(CC876="L1",Parameter!$H$5,IF(CC876="L23",Parameter!$H$6+Parameter!$H$7,Parameter!$H$5+Parameter!$H$6+Parameter!$H$7))-(BE876-BA876))/BA876)))</f>
        <v>1</v>
      </c>
      <c r="BG876" s="48" t="str">
        <f aca="false">IF(AI876&lt;=0,"",IF(CC876="Aussen","Aussenlager",IF(CC876="-","Nicht im Lift",IF(AN876&gt;=1,"Lift",IF(AN876&lt;=0,"Aussenlager","teilweise")))))</f>
        <v>Lift</v>
      </c>
      <c r="BH876" s="48" t="str">
        <f aca="false">IF(AR876&lt;=0,"",IF(CC876="Aussen","Aussenlager",IF(CC876="-","Nicht im Lift",IF(AW876&gt;=1,"Lift",IF(AW876&lt;=0,"Aussenlager","teilweise")))))</f>
        <v>Lift</v>
      </c>
      <c r="BI876" s="48" t="str">
        <f aca="false">IF(BA876&lt;=0,"",IF(CC876="Aussen","Aussenlager",IF(CC876="-","Nicht im Lift",IF(BF876&gt;=1,"Lift",IF(BF876&lt;=0,"Aussenlager","teilweise")))))</f>
        <v>Lift</v>
      </c>
      <c r="BJ876" s="48" t="str">
        <f aca="false">IF(A876="","",IF(BS876=1,"Neu; ","")&amp;IF(AND(BS876=0,BN876&lt;0),"negativer Bestand (Export "&amp;BN876&amp;"); ","")&amp;IF(J876&lt;=0,"Kein Verbrauch; ","")&amp;IF(CL876&gt;0,"Lift "&amp;W876&amp;" lt. Liftbericht (Fach "&amp;X876&amp;" Stk); ",IF(BX876=1,"Gebinde geschätzt ("&amp;T876&amp;"); ",IF(BW876=1,"Lose – Tablare geschätzt; ","")))&amp;IF(H876&gt;AT876,"Überbestand "&amp;ROUND(H876-AT876,0)&amp;" Stk / CHF "&amp;ROUND((H876-AT876)*G876,0)&amp;"; ","")&amp;IF(AND(CE876=1,CF876&lt;CG876),"MAX &lt; MB+LG; ","")&amp;IF(AND(CK876&gt;0,CJ876*10&gt;CK876),"zu hoch für Tablar; ","")&amp;IF(AND(BS876=0,OR(CE876=1,AA876&lt;&gt;"",U876&lt;&gt;"",V876&lt;&gt;"",AB876&lt;&gt;"")),"manuell übersteuert; ","")&amp;IF(AND(BW876=0,R876=0),"Gebinde unbekannt / Stellmass fehlt; ","")&amp;IF(AND(BW876=0,N(V876)&lt;=0,N(Q876)&lt;=0),"Menge pro Gebinde fehlt (Ist = 1 Gebinde); ","")&amp;BR876)</f>
        <v>negativer Bestand (Export -3); </v>
      </c>
      <c r="BK876" s="48"/>
      <c r="BL876" s="48"/>
      <c r="BM876" s="55"/>
      <c r="BN876" s="50" t="n">
        <v>-3</v>
      </c>
      <c r="BO876" s="50" t="n">
        <v>6</v>
      </c>
      <c r="BP876" s="49" t="n">
        <v>-24.63</v>
      </c>
      <c r="BQ876" s="50" t="n">
        <v>6</v>
      </c>
      <c r="BR876" s="48"/>
      <c r="BS876" s="53" t="n">
        <v>0</v>
      </c>
      <c r="BT876" s="53" t="n">
        <v>876</v>
      </c>
      <c r="BU876" s="48" t="str">
        <f aca="false">IF(U876&lt;&gt;"",UPPER(TRIM(U876)),IF(BX876=1,UPPER(VLOOKUP(T876,Parameter!$I$27:$K$29,2,0)),IF(P876="","LOSE",P876)))</f>
        <v>S32</v>
      </c>
      <c r="BV876" s="50" t="n">
        <f aca="false">IF(BU876="LOSE",1,IF(N(V876)&gt;0,V876,IF(BX876=1,MAX(1,N(VLOOKUP(T876,Parameter!$I$27:$K$29,3,0)),H876,N(N876)),IF(N(Q876)&gt;0,Q876,MAX(1,H876)))))</f>
        <v>8</v>
      </c>
      <c r="BW876" s="53" t="n">
        <f aca="false">IF(BU876="LOSE",1,0)</f>
        <v>0</v>
      </c>
      <c r="BX876" s="53" t="n">
        <f aca="false">IF(AND(U876="",OR(P876="",P876="LOSE"),T876&lt;&gt;"",N(S876)&lt;=0,ISNUMBER(MATCH(T876,Parameter!$I$27:$I$29,0))),1,0)</f>
        <v>0</v>
      </c>
      <c r="BY876" s="53" t="n">
        <f aca="false">IF(CL876&gt;0,INDEX(Parameter!$H$5:$H$7,W876)/INDEX(Parameter!$E$5:$E$7,W876),IF(AND(BW876=0,N(IFERROR(VLOOKUP(BU876,'Gebinde-Kategorie'!$A$5:$N$45,14,0),0))&gt;0),VLOOKUP(BU876,'Gebinde-Kategorie'!$A$5:$N$45,14,0)*10+Parameter!$M$23,Parameter!$M$24))</f>
        <v>155</v>
      </c>
      <c r="BZ876" s="48" t="str">
        <f aca="false">IF(AND(Parameter!$B$19="Ja",E876&lt;&gt;"",ISNUMBER(MATCH(E876,Parameter!$I$35:$I$52,0))),VLOOKUP(E876,Parameter!$I$35:$J$52,2,0),IFERROR(VLOOKUP(D876,Parameter!$A$35:$C$64,2,0),"Nein"))</f>
        <v>2+3</v>
      </c>
      <c r="CA876" s="52" t="n">
        <f aca="false">IF(BW876=0,0,IF(N(S876)&gt;0,S876,IFERROR(VLOOKUP(D876,Parameter!$A$35:$C$64,3,0)+0,0)))</f>
        <v>0</v>
      </c>
      <c r="CB876" s="48" t="n">
        <f aca="false">IF(AA876&lt;&gt;"",AA876,Z876)</f>
        <v>3</v>
      </c>
      <c r="CC876" s="48" t="str">
        <f aca="false">IF(OR(CB876=1,CB876=2,CB876=3),IF(Parameter!$E$27="Ja","LIFT",IF(CB876=1,"L1","L23")),IF(CB876="Aussen","Aussen","-"))</f>
        <v>LIFT</v>
      </c>
      <c r="CD876" s="59" t="n">
        <f aca="false">IF(N(AB876)&gt;0,AB876,0)</f>
        <v>0</v>
      </c>
      <c r="CE876" s="53" t="n">
        <f aca="false">IF(ISNUMBER(AE876),1,0)</f>
        <v>0</v>
      </c>
      <c r="CF876" s="50" t="n">
        <f aca="false">N(AE876)</f>
        <v>0</v>
      </c>
      <c r="CG876" s="50" t="n">
        <f aca="false">N(M876)+N(N876)</f>
        <v>5</v>
      </c>
      <c r="CH876" s="50" t="n">
        <f aca="false">ROUNDUP(H876/BV876,0)</f>
        <v>1</v>
      </c>
      <c r="CI876" s="50" t="n">
        <f aca="false">ROUNDUP(CF876/BV876,0)</f>
        <v>0</v>
      </c>
      <c r="CJ876" s="53" t="n">
        <f aca="false">IF(BW876=1,0,IFERROR(VLOOKUP(BU876,'Gebinde-Kategorie'!$A$5:$N$45,5,0)+0,0))</f>
        <v>8</v>
      </c>
      <c r="CK876" s="53" t="n">
        <f aca="false">IFERROR(IF(OR(CB876=1,CB876=2,CB876=3),N(INDEX(Parameter!$I$5:$I$7,CB876)),0),0)</f>
        <v>0</v>
      </c>
      <c r="CL876" s="52" t="n">
        <f aca="false">IF(AND(Parameter!$B$21="Ja",ISNUMBER(W876),N(X876)&gt;0),IFERROR(N(INDEX(Parameter!$L$5:$L$7,W876))*INDEX(Parameter!$E$5:$E$7,W876)*X876/SUMIFS($X$7:$X$1843,$W$7:$W$1843,W876),0),0)</f>
        <v>0</v>
      </c>
    </row>
    <row r="877" customFormat="false" ht="15" hidden="false" customHeight="false" outlineLevel="0" collapsed="false">
      <c r="A877" s="48" t="s">
        <v>1665</v>
      </c>
      <c r="B877" s="48" t="s">
        <v>1026</v>
      </c>
      <c r="C877" s="48" t="s">
        <v>168</v>
      </c>
      <c r="D877" s="48" t="s">
        <v>188</v>
      </c>
      <c r="E877" s="48" t="s">
        <v>189</v>
      </c>
      <c r="F877" s="48" t="s">
        <v>222</v>
      </c>
      <c r="G877" s="49" t="n">
        <v>0.56</v>
      </c>
      <c r="H877" s="50" t="n">
        <f aca="false">MAX(0,IF(AND(Parameter!$B$21="Ja",ISNUMBER(Y877)),Y877,IF(Parameter!$B$20="Jahresanfang 2025 + Export",BO877+BN877,BN877)))</f>
        <v>437</v>
      </c>
      <c r="I877" s="50" t="n">
        <f aca="false">H877*G877</f>
        <v>244.72</v>
      </c>
      <c r="J877" s="50" t="n">
        <f aca="false">BQ877*Parameter!$B$18</f>
        <v>28</v>
      </c>
      <c r="K877" s="51" t="n">
        <v>466</v>
      </c>
      <c r="L877" s="52" t="n">
        <v>0.0600858369098712</v>
      </c>
      <c r="M877" s="50" t="n">
        <v>1</v>
      </c>
      <c r="N877" s="50" t="n">
        <v>30</v>
      </c>
      <c r="O877" s="53" t="n">
        <v>21</v>
      </c>
      <c r="P877" s="48" t="s">
        <v>306</v>
      </c>
      <c r="Q877" s="50" t="n">
        <v>471</v>
      </c>
      <c r="R877" s="53" t="n">
        <f aca="false">IF(BW877=1,0,IFERROR(VLOOKUP(BU877,'Gebinde-Kategorie'!$A$5:$N$45,13,0)+0,0))</f>
        <v>26</v>
      </c>
      <c r="S877" s="54"/>
      <c r="T877" s="55"/>
      <c r="U877" s="55"/>
      <c r="V877" s="55"/>
      <c r="W877" s="48"/>
      <c r="X877" s="50"/>
      <c r="Y877" s="50"/>
      <c r="Z877" s="48" t="n">
        <f aca="false">IF(A877="","",IF(AND(Parameter!$B$21="Ja",ISNUMBER(W877)),W877,IF(BZ877="2+3",IF(ISNUMBER(SEARCH("grosser Artikel",BR877)),2,IFERROR(VLOOKUP(BU877,Parameter!$F$35:$G$64,2,0),2)),IF(OR(BZ877="Nein",BZ877=""),"-",BZ877))))</f>
        <v>3</v>
      </c>
      <c r="AA877" s="55"/>
      <c r="AB877" s="56"/>
      <c r="AC877" s="50" t="n">
        <f aca="false">AT877</f>
        <v>471</v>
      </c>
      <c r="AD877" s="50" t="n">
        <f aca="false">MAX(AT877,H877)</f>
        <v>471</v>
      </c>
      <c r="AE877" s="57"/>
      <c r="AF877" s="50" t="n">
        <f aca="false">IF(LEFT(Cockpit!$C$5,1)="A",H877,IF(CE877=1,CF877,IF(LEFT(Cockpit!$C$5,1)="B",AK877,MAX(AK877,H877))))</f>
        <v>437</v>
      </c>
      <c r="AG877" s="50" t="n">
        <f aca="false">IF(BW877=1,0,ROUNDUP(AF877/BV877,0))</f>
        <v>1</v>
      </c>
      <c r="AH877" s="52" t="n">
        <f aca="false">IF(CL877&gt;0,CL877*MAX(1,AF877/X877),IF(BW877=1,IF(AF877&lt;=0,0,CA877*MAX(1,IF(H877&gt;0,AF877/H877,1))),IF(R877&gt;0,AG877/R877,0))/MAX(0.1,N(Parameter!$M$21)))</f>
        <v>0.0384615384615385</v>
      </c>
      <c r="AI877" s="50" t="n">
        <f aca="false">AH877*BY877</f>
        <v>5.96153846153846</v>
      </c>
      <c r="AJ877" s="50" t="n">
        <f aca="false">AF877*G877</f>
        <v>244.72</v>
      </c>
      <c r="AK877" s="50" t="n">
        <f aca="false">ROUNDUP(MAX(J877/IF(CD877&gt;0,CD877,MAX(0.1,N(Cockpit!$C$6))),CG877)/BV877,0)*BV877</f>
        <v>471</v>
      </c>
      <c r="AL877" s="51" t="n">
        <f aca="false">IF(AI877&gt;0,J877/AI877,-1)</f>
        <v>4.69677419354839</v>
      </c>
      <c r="AM877" s="51" t="n">
        <f aca="false">IF(AND(OR(CC877="L1",CC877="L23",CC877="LIFT"),AI877&gt;0),SUMIFS($AI$7:$AI$1843,$CC$7:$CC$1843,CC877,$AL$7:$AL$1843,"&gt;"&amp;AL877)+SUMIFS($AI$7:$AI$1843,$CC$7:$CC$1843,CC877,$AL$7:$AL$1843,AL877,$BT$7:$BT$1843,"&lt;="&amp;BT877),"")</f>
        <v>4117.48580586081</v>
      </c>
      <c r="AN877" s="58" t="n">
        <f aca="false">IF(AM877="",0,MAX(0,MIN(1,(IF(CC877="L1",Parameter!$H$5,IF(CC877="L23",Parameter!$H$6+Parameter!$H$7,Parameter!$H$5+Parameter!$H$6+Parameter!$H$7))-(AM877-AI877))/AI877)))</f>
        <v>1</v>
      </c>
      <c r="AO877" s="50" t="n">
        <f aca="false">IF(LEFT(Cockpit!$I$5,1)="A",H877,IF(CE877=1,CF877,IF(LEFT(Cockpit!$I$5,1)="B",AT877,MAX(AT877,H877))))</f>
        <v>471</v>
      </c>
      <c r="AP877" s="50" t="n">
        <f aca="false">IF(BW877=1,0,ROUNDUP(AO877/BV877,0))</f>
        <v>1</v>
      </c>
      <c r="AQ877" s="52" t="n">
        <f aca="false">IF(CL877&gt;0,CL877*MAX(1,AO877/X877),IF(BW877=1,IF(AO877&lt;=0,0,CA877*MAX(1,IF(H877&gt;0,AO877/H877,1))),IF(R877&gt;0,AP877/R877,0))/MAX(0.1,N(Parameter!$M$21)))</f>
        <v>0.0384615384615385</v>
      </c>
      <c r="AR877" s="50" t="n">
        <f aca="false">AQ877*BY877</f>
        <v>5.96153846153846</v>
      </c>
      <c r="AS877" s="50" t="n">
        <f aca="false">AO877*G877</f>
        <v>263.76</v>
      </c>
      <c r="AT877" s="50" t="n">
        <f aca="false">ROUNDUP(MAX(J877/IF(CD877&gt;0,CD877,MAX(0.1,N(Cockpit!$I$6))),CG877)/BV877,0)*BV877</f>
        <v>471</v>
      </c>
      <c r="AU877" s="51" t="n">
        <f aca="false">IF(AR877&gt;0,J877/AR877,-1)</f>
        <v>4.69677419354839</v>
      </c>
      <c r="AV877" s="51" t="n">
        <f aca="false">IF(AND(OR(CC877="L1",CC877="L23",CC877="LIFT"),AR877&gt;0),SUMIFS($AR$7:$AR$1843,$CC$7:$CC$1843,CC877,$AU$7:$AU$1843,"&gt;"&amp;AU877)+SUMIFS($AR$7:$AR$1843,$CC$7:$CC$1843,CC877,$AU$7:$AU$1843,AU877,$BT$7:$BT$1843,"&lt;="&amp;BT877),"")</f>
        <v>5211.65705128205</v>
      </c>
      <c r="AW877" s="58" t="n">
        <f aca="false">IF(AV877="",0,MAX(0,MIN(1,(IF(CC877="L1",Parameter!$H$5,IF(CC877="L23",Parameter!$H$6+Parameter!$H$7,Parameter!$H$5+Parameter!$H$6+Parameter!$H$7))-(AV877-AR877))/AR877)))</f>
        <v>1</v>
      </c>
      <c r="AX877" s="50" t="n">
        <f aca="false">IF(LEFT(Cockpit!$O$5,1)="A",H877,IF(CE877=1,CF877,IF(LEFT(Cockpit!$O$5,1)="B",BC877,MAX(BC877,H877))))</f>
        <v>471</v>
      </c>
      <c r="AY877" s="50" t="n">
        <f aca="false">IF(BW877=1,0,ROUNDUP(AX877/BV877,0))</f>
        <v>1</v>
      </c>
      <c r="AZ877" s="52" t="n">
        <f aca="false">IF(CL877&gt;0,CL877*MAX(1,AX877/X877),IF(BW877=1,IF(AX877&lt;=0,0,CA877*MAX(1,IF(H877&gt;0,AX877/H877,1))),IF(R877&gt;0,AY877/R877,0))/MAX(0.1,N(Parameter!$M$21)))</f>
        <v>0.0384615384615385</v>
      </c>
      <c r="BA877" s="50" t="n">
        <f aca="false">AZ877*BY877</f>
        <v>5.96153846153846</v>
      </c>
      <c r="BB877" s="50" t="n">
        <f aca="false">AX877*G877</f>
        <v>263.76</v>
      </c>
      <c r="BC877" s="50" t="n">
        <f aca="false">ROUNDUP(MAX(J877/IF(CD877&gt;0,CD877,MAX(0.1,N(Cockpit!$O$6))),CG877)/BV877,0)*BV877</f>
        <v>471</v>
      </c>
      <c r="BD877" s="51" t="n">
        <f aca="false">IF(BA877&gt;0,J877/BA877,-1)</f>
        <v>4.69677419354839</v>
      </c>
      <c r="BE877" s="51" t="n">
        <f aca="false">IF(AND(OR(CC877="L1",CC877="L23",CC877="LIFT"),BA877&gt;0),SUMIFS($BA$7:$BA$1843,$CC$7:$CC$1843,CC877,$BD$7:$BD$1843,"&gt;"&amp;BD877)+SUMIFS($BA$7:$BA$1843,$CC$7:$CC$1843,CC877,$BD$7:$BD$1843,BD877,$BT$7:$BT$1843,"&lt;="&amp;BT877),"")</f>
        <v>4882.1217948718</v>
      </c>
      <c r="BF877" s="58" t="n">
        <f aca="false">IF(BE877="",0,MAX(0,MIN(1,(IF(CC877="L1",Parameter!$H$5,IF(CC877="L23",Parameter!$H$6+Parameter!$H$7,Parameter!$H$5+Parameter!$H$6+Parameter!$H$7))-(BE877-BA877))/BA877)))</f>
        <v>1</v>
      </c>
      <c r="BG877" s="48" t="str">
        <f aca="false">IF(AI877&lt;=0,"",IF(CC877="Aussen","Aussenlager",IF(CC877="-","Nicht im Lift",IF(AN877&gt;=1,"Lift",IF(AN877&lt;=0,"Aussenlager","teilweise")))))</f>
        <v>Lift</v>
      </c>
      <c r="BH877" s="48" t="str">
        <f aca="false">IF(AR877&lt;=0,"",IF(CC877="Aussen","Aussenlager",IF(CC877="-","Nicht im Lift",IF(AW877&gt;=1,"Lift",IF(AW877&lt;=0,"Aussenlager","teilweise")))))</f>
        <v>Lift</v>
      </c>
      <c r="BI877" s="48" t="str">
        <f aca="false">IF(BA877&lt;=0,"",IF(CC877="Aussen","Aussenlager",IF(CC877="-","Nicht im Lift",IF(BF877&gt;=1,"Lift",IF(BF877&lt;=0,"Aussenlager","teilweise")))))</f>
        <v>Lift</v>
      </c>
      <c r="BJ877" s="48" t="str">
        <f aca="false">IF(A877="","",IF(BS877=1,"Neu; ","")&amp;IF(AND(BS877=0,BN877&lt;0),"negativer Bestand (Export "&amp;BN877&amp;"); ","")&amp;IF(J877&lt;=0,"Kein Verbrauch; ","")&amp;IF(CL877&gt;0,"Lift "&amp;W877&amp;" lt. Liftbericht (Fach "&amp;X877&amp;" Stk); ",IF(BX877=1,"Gebinde geschätzt ("&amp;T877&amp;"); ",IF(BW877=1,"Lose – Tablare geschätzt; ","")))&amp;IF(H877&gt;AT877,"Überbestand "&amp;ROUND(H877-AT877,0)&amp;" Stk / CHF "&amp;ROUND((H877-AT877)*G877,0)&amp;"; ","")&amp;IF(AND(CE877=1,CF877&lt;CG877),"MAX &lt; MB+LG; ","")&amp;IF(AND(CK877&gt;0,CJ877*10&gt;CK877),"zu hoch für Tablar; ","")&amp;IF(AND(BS877=0,OR(CE877=1,AA877&lt;&gt;"",U877&lt;&gt;"",V877&lt;&gt;"",AB877&lt;&gt;"")),"manuell übersteuert; ","")&amp;IF(AND(BW877=0,R877=0),"Gebinde unbekannt / Stellmass fehlt; ","")&amp;IF(AND(BW877=0,N(V877)&lt;=0,N(Q877)&lt;=0),"Menge pro Gebinde fehlt (Ist = 1 Gebinde); ","")&amp;BR877)</f>
        <v>negativer Bestand (Export -44); Überbestand</v>
      </c>
      <c r="BK877" s="48"/>
      <c r="BL877" s="48"/>
      <c r="BM877" s="55"/>
      <c r="BN877" s="50" t="n">
        <v>-44</v>
      </c>
      <c r="BO877" s="50" t="n">
        <v>481</v>
      </c>
      <c r="BP877" s="49" t="n">
        <v>-24.64</v>
      </c>
      <c r="BQ877" s="50" t="n">
        <v>28</v>
      </c>
      <c r="BR877" s="48" t="s">
        <v>396</v>
      </c>
      <c r="BS877" s="53" t="n">
        <v>0</v>
      </c>
      <c r="BT877" s="53" t="n">
        <v>877</v>
      </c>
      <c r="BU877" s="48" t="str">
        <f aca="false">IF(U877&lt;&gt;"",UPPER(TRIM(U877)),IF(BX877=1,UPPER(VLOOKUP(T877,Parameter!$I$27:$K$29,2,0)),IF(P877="","LOSE",P877)))</f>
        <v>S51</v>
      </c>
      <c r="BV877" s="50" t="n">
        <f aca="false">IF(BU877="LOSE",1,IF(N(V877)&gt;0,V877,IF(BX877=1,MAX(1,N(VLOOKUP(T877,Parameter!$I$27:$K$29,3,0)),H877,N(N877)),IF(N(Q877)&gt;0,Q877,MAX(1,H877)))))</f>
        <v>471</v>
      </c>
      <c r="BW877" s="53" t="n">
        <f aca="false">IF(BU877="LOSE",1,0)</f>
        <v>0</v>
      </c>
      <c r="BX877" s="53" t="n">
        <f aca="false">IF(AND(U877="",OR(P877="",P877="LOSE"),T877&lt;&gt;"",N(S877)&lt;=0,ISNUMBER(MATCH(T877,Parameter!$I$27:$I$29,0))),1,0)</f>
        <v>0</v>
      </c>
      <c r="BY877" s="53" t="n">
        <f aca="false">IF(CL877&gt;0,INDEX(Parameter!$H$5:$H$7,W877)/INDEX(Parameter!$E$5:$E$7,W877),IF(AND(BW877=0,N(IFERROR(VLOOKUP(BU877,'Gebinde-Kategorie'!$A$5:$N$45,14,0),0))&gt;0),VLOOKUP(BU877,'Gebinde-Kategorie'!$A$5:$N$45,14,0)*10+Parameter!$M$23,Parameter!$M$24))</f>
        <v>155</v>
      </c>
      <c r="BZ877" s="48" t="str">
        <f aca="false">IF(AND(Parameter!$B$19="Ja",E877&lt;&gt;"",ISNUMBER(MATCH(E877,Parameter!$I$35:$I$52,0))),VLOOKUP(E877,Parameter!$I$35:$J$52,2,0),IFERROR(VLOOKUP(D877,Parameter!$A$35:$C$64,2,0),"Nein"))</f>
        <v>2+3</v>
      </c>
      <c r="CA877" s="52" t="n">
        <f aca="false">IF(BW877=0,0,IF(N(S877)&gt;0,S877,IFERROR(VLOOKUP(D877,Parameter!$A$35:$C$64,3,0)+0,0)))</f>
        <v>0</v>
      </c>
      <c r="CB877" s="48" t="n">
        <f aca="false">IF(AA877&lt;&gt;"",AA877,Z877)</f>
        <v>3</v>
      </c>
      <c r="CC877" s="48" t="str">
        <f aca="false">IF(OR(CB877=1,CB877=2,CB877=3),IF(Parameter!$E$27="Ja","LIFT",IF(CB877=1,"L1","L23")),IF(CB877="Aussen","Aussen","-"))</f>
        <v>LIFT</v>
      </c>
      <c r="CD877" s="59" t="n">
        <f aca="false">IF(N(AB877)&gt;0,AB877,0)</f>
        <v>0</v>
      </c>
      <c r="CE877" s="53" t="n">
        <f aca="false">IF(ISNUMBER(AE877),1,0)</f>
        <v>0</v>
      </c>
      <c r="CF877" s="50" t="n">
        <f aca="false">N(AE877)</f>
        <v>0</v>
      </c>
      <c r="CG877" s="50" t="n">
        <f aca="false">N(M877)+N(N877)</f>
        <v>31</v>
      </c>
      <c r="CH877" s="50" t="n">
        <f aca="false">ROUNDUP(H877/BV877,0)</f>
        <v>1</v>
      </c>
      <c r="CI877" s="50" t="n">
        <f aca="false">ROUNDUP(CF877/BV877,0)</f>
        <v>0</v>
      </c>
      <c r="CJ877" s="53" t="n">
        <f aca="false">IF(BW877=1,0,IFERROR(VLOOKUP(BU877,'Gebinde-Kategorie'!$A$5:$N$45,5,0)+0,0))</f>
        <v>11</v>
      </c>
      <c r="CK877" s="53" t="n">
        <f aca="false">IFERROR(IF(OR(CB877=1,CB877=2,CB877=3),N(INDEX(Parameter!$I$5:$I$7,CB877)),0),0)</f>
        <v>0</v>
      </c>
      <c r="CL877" s="52" t="n">
        <f aca="false">IF(AND(Parameter!$B$21="Ja",ISNUMBER(W877),N(X877)&gt;0),IFERROR(N(INDEX(Parameter!$L$5:$L$7,W877))*INDEX(Parameter!$E$5:$E$7,W877)*X877/SUMIFS($X$7:$X$1843,$W$7:$W$1843,W877),0),0)</f>
        <v>0</v>
      </c>
    </row>
    <row r="878" customFormat="false" ht="15" hidden="false" customHeight="false" outlineLevel="0" collapsed="false">
      <c r="A878" s="48" t="s">
        <v>1666</v>
      </c>
      <c r="B878" s="48" t="s">
        <v>1215</v>
      </c>
      <c r="C878" s="48" t="s">
        <v>168</v>
      </c>
      <c r="D878" s="48" t="s">
        <v>188</v>
      </c>
      <c r="E878" s="48" t="s">
        <v>189</v>
      </c>
      <c r="F878" s="48" t="s">
        <v>222</v>
      </c>
      <c r="G878" s="49" t="n">
        <v>0.85</v>
      </c>
      <c r="H878" s="50" t="n">
        <f aca="false">MAX(0,IF(AND(Parameter!$B$21="Ja",ISNUMBER(Y878)),Y878,IF(Parameter!$B$20="Jahresanfang 2025 + Export",BO878+BN878,BN878)))</f>
        <v>15</v>
      </c>
      <c r="I878" s="50" t="n">
        <f aca="false">H878*G878</f>
        <v>12.75</v>
      </c>
      <c r="J878" s="50" t="n">
        <f aca="false">BQ878*Parameter!$B$18</f>
        <v>0</v>
      </c>
      <c r="K878" s="51" t="n">
        <v>32.5</v>
      </c>
      <c r="L878" s="52" t="n">
        <v>0</v>
      </c>
      <c r="M878" s="50" t="n">
        <v>0</v>
      </c>
      <c r="N878" s="50" t="n">
        <v>1</v>
      </c>
      <c r="O878" s="53" t="n">
        <v>42</v>
      </c>
      <c r="P878" s="48" t="s">
        <v>332</v>
      </c>
      <c r="Q878" s="50" t="n">
        <v>50</v>
      </c>
      <c r="R878" s="53" t="n">
        <f aca="false">IF(BW878=1,0,IFERROR(VLOOKUP(BU878,'Gebinde-Kategorie'!$A$5:$N$45,13,0)+0,0))</f>
        <v>52</v>
      </c>
      <c r="S878" s="54"/>
      <c r="T878" s="55"/>
      <c r="U878" s="55"/>
      <c r="V878" s="55"/>
      <c r="W878" s="48"/>
      <c r="X878" s="50"/>
      <c r="Y878" s="50"/>
      <c r="Z878" s="48" t="n">
        <f aca="false">IF(A878="","",IF(AND(Parameter!$B$21="Ja",ISNUMBER(W878)),W878,IF(BZ878="2+3",IF(ISNUMBER(SEARCH("grosser Artikel",BR878)),2,IFERROR(VLOOKUP(BU878,Parameter!$F$35:$G$64,2,0),2)),IF(OR(BZ878="Nein",BZ878=""),"-",BZ878))))</f>
        <v>3</v>
      </c>
      <c r="AA878" s="55"/>
      <c r="AB878" s="56"/>
      <c r="AC878" s="50" t="n">
        <f aca="false">AT878</f>
        <v>50</v>
      </c>
      <c r="AD878" s="50" t="n">
        <f aca="false">MAX(AT878,H878)</f>
        <v>50</v>
      </c>
      <c r="AE878" s="57"/>
      <c r="AF878" s="50" t="n">
        <f aca="false">IF(LEFT(Cockpit!$C$5,1)="A",H878,IF(CE878=1,CF878,IF(LEFT(Cockpit!$C$5,1)="B",AK878,MAX(AK878,H878))))</f>
        <v>15</v>
      </c>
      <c r="AG878" s="50" t="n">
        <f aca="false">IF(BW878=1,0,ROUNDUP(AF878/BV878,0))</f>
        <v>1</v>
      </c>
      <c r="AH878" s="52" t="n">
        <f aca="false">IF(CL878&gt;0,CL878*MAX(1,AF878/X878),IF(BW878=1,IF(AF878&lt;=0,0,CA878*MAX(1,IF(H878&gt;0,AF878/H878,1))),IF(R878&gt;0,AG878/R878,0))/MAX(0.1,N(Parameter!$M$21)))</f>
        <v>0.0192307692307692</v>
      </c>
      <c r="AI878" s="50" t="n">
        <f aca="false">AH878*BY878</f>
        <v>2.98076923076923</v>
      </c>
      <c r="AJ878" s="50" t="n">
        <f aca="false">AF878*G878</f>
        <v>12.75</v>
      </c>
      <c r="AK878" s="50" t="n">
        <f aca="false">ROUNDUP(MAX(J878/IF(CD878&gt;0,CD878,MAX(0.1,N(Cockpit!$C$6))),CG878)/BV878,0)*BV878</f>
        <v>50</v>
      </c>
      <c r="AL878" s="51" t="n">
        <f aca="false">IF(AI878&gt;0,J878/AI878,-1)</f>
        <v>0</v>
      </c>
      <c r="AM878" s="51" t="n">
        <f aca="false">IF(AND(OR(CC878="L1",CC878="L23",CC878="LIFT"),AI878&gt;0),SUMIFS($AI$7:$AI$1843,$CC$7:$CC$1843,CC878,$AL$7:$AL$1843,"&gt;"&amp;AL878)+SUMIFS($AI$7:$AI$1843,$CC$7:$CC$1843,CC878,$AL$7:$AL$1843,AL878,$BT$7:$BT$1843,"&lt;="&amp;BT878),"")</f>
        <v>28812.6709556921</v>
      </c>
      <c r="AN878" s="58" t="n">
        <f aca="false">IF(AM878="",0,MAX(0,MIN(1,(IF(CC878="L1",Parameter!$H$5,IF(CC878="L23",Parameter!$H$6+Parameter!$H$7,Parameter!$H$5+Parameter!$H$6+Parameter!$H$7))-(AM878-AI878))/AI878)))</f>
        <v>1</v>
      </c>
      <c r="AO878" s="50" t="n">
        <f aca="false">IF(LEFT(Cockpit!$I$5,1)="A",H878,IF(CE878=1,CF878,IF(LEFT(Cockpit!$I$5,1)="B",AT878,MAX(AT878,H878))))</f>
        <v>50</v>
      </c>
      <c r="AP878" s="50" t="n">
        <f aca="false">IF(BW878=1,0,ROUNDUP(AO878/BV878,0))</f>
        <v>1</v>
      </c>
      <c r="AQ878" s="52" t="n">
        <f aca="false">IF(CL878&gt;0,CL878*MAX(1,AO878/X878),IF(BW878=1,IF(AO878&lt;=0,0,CA878*MAX(1,IF(H878&gt;0,AO878/H878,1))),IF(R878&gt;0,AP878/R878,0))/MAX(0.1,N(Parameter!$M$21)))</f>
        <v>0.0192307692307692</v>
      </c>
      <c r="AR878" s="50" t="n">
        <f aca="false">AQ878*BY878</f>
        <v>2.98076923076923</v>
      </c>
      <c r="AS878" s="50" t="n">
        <f aca="false">AO878*G878</f>
        <v>42.5</v>
      </c>
      <c r="AT878" s="50" t="n">
        <f aca="false">ROUNDUP(MAX(J878/IF(CD878&gt;0,CD878,MAX(0.1,N(Cockpit!$I$6))),CG878)/BV878,0)*BV878</f>
        <v>50</v>
      </c>
      <c r="AU878" s="51" t="n">
        <f aca="false">IF(AR878&gt;0,J878/AR878,-1)</f>
        <v>0</v>
      </c>
      <c r="AV878" s="51" t="n">
        <f aca="false">IF(AND(OR(CC878="L1",CC878="L23",CC878="LIFT"),AR878&gt;0),SUMIFS($AR$7:$AR$1843,$CC$7:$CC$1843,CC878,$AU$7:$AU$1843,"&gt;"&amp;AU878)+SUMIFS($AR$7:$AR$1843,$CC$7:$CC$1843,CC878,$AU$7:$AU$1843,AU878,$BT$7:$BT$1843,"&lt;="&amp;BT878),"")</f>
        <v>40399.1836158192</v>
      </c>
      <c r="AW878" s="58" t="n">
        <f aca="false">IF(AV878="",0,MAX(0,MIN(1,(IF(CC878="L1",Parameter!$H$5,IF(CC878="L23",Parameter!$H$6+Parameter!$H$7,Parameter!$H$5+Parameter!$H$6+Parameter!$H$7))-(AV878-AR878))/AR878)))</f>
        <v>0</v>
      </c>
      <c r="AX878" s="50" t="n">
        <f aca="false">IF(LEFT(Cockpit!$O$5,1)="A",H878,IF(CE878=1,CF878,IF(LEFT(Cockpit!$O$5,1)="B",BC878,MAX(BC878,H878))))</f>
        <v>50</v>
      </c>
      <c r="AY878" s="50" t="n">
        <f aca="false">IF(BW878=1,0,ROUNDUP(AX878/BV878,0))</f>
        <v>1</v>
      </c>
      <c r="AZ878" s="52" t="n">
        <f aca="false">IF(CL878&gt;0,CL878*MAX(1,AX878/X878),IF(BW878=1,IF(AX878&lt;=0,0,CA878*MAX(1,IF(H878&gt;0,AX878/H878,1))),IF(R878&gt;0,AY878/R878,0))/MAX(0.1,N(Parameter!$M$21)))</f>
        <v>0.0192307692307692</v>
      </c>
      <c r="BA878" s="50" t="n">
        <f aca="false">AZ878*BY878</f>
        <v>2.98076923076923</v>
      </c>
      <c r="BB878" s="50" t="n">
        <f aca="false">AX878*G878</f>
        <v>42.5</v>
      </c>
      <c r="BC878" s="50" t="n">
        <f aca="false">ROUNDUP(MAX(J878/IF(CD878&gt;0,CD878,MAX(0.1,N(Cockpit!$O$6))),CG878)/BV878,0)*BV878</f>
        <v>50</v>
      </c>
      <c r="BD878" s="51" t="n">
        <f aca="false">IF(BA878&gt;0,J878/BA878,-1)</f>
        <v>0</v>
      </c>
      <c r="BE878" s="51" t="n">
        <f aca="false">IF(AND(OR(CC878="L1",CC878="L23",CC878="LIFT"),BA878&gt;0),SUMIFS($BA$7:$BA$1843,$CC$7:$CC$1843,CC878,$BD$7:$BD$1843,"&gt;"&amp;BD878)+SUMIFS($BA$7:$BA$1843,$CC$7:$CC$1843,CC878,$BD$7:$BD$1843,BD878,$BT$7:$BT$1843,"&lt;="&amp;BT878),"")</f>
        <v>37074.1956576851</v>
      </c>
      <c r="BF878" s="58" t="n">
        <f aca="false">IF(BE878="",0,MAX(0,MIN(1,(IF(CC878="L1",Parameter!$H$5,IF(CC878="L23",Parameter!$H$6+Parameter!$H$7,Parameter!$H$5+Parameter!$H$6+Parameter!$H$7))-(BE878-BA878))/BA878)))</f>
        <v>0</v>
      </c>
      <c r="BG878" s="48" t="str">
        <f aca="false">IF(AI878&lt;=0,"",IF(CC878="Aussen","Aussenlager",IF(CC878="-","Nicht im Lift",IF(AN878&gt;=1,"Lift",IF(AN878&lt;=0,"Aussenlager","teilweise")))))</f>
        <v>Lift</v>
      </c>
      <c r="BH878" s="48" t="str">
        <f aca="false">IF(AR878&lt;=0,"",IF(CC878="Aussen","Aussenlager",IF(CC878="-","Nicht im Lift",IF(AW878&gt;=1,"Lift",IF(AW878&lt;=0,"Aussenlager","teilweise")))))</f>
        <v>Aussenlager</v>
      </c>
      <c r="BI878" s="48" t="str">
        <f aca="false">IF(BA878&lt;=0,"",IF(CC878="Aussen","Aussenlager",IF(CC878="-","Nicht im Lift",IF(BF878&gt;=1,"Lift",IF(BF878&lt;=0,"Aussenlager","teilweise")))))</f>
        <v>Aussenlager</v>
      </c>
      <c r="BJ878" s="48" t="str">
        <f aca="false">IF(A878="","",IF(BS878=1,"Neu; ","")&amp;IF(AND(BS878=0,BN878&lt;0),"negativer Bestand (Export "&amp;BN878&amp;"); ","")&amp;IF(J878&lt;=0,"Kein Verbrauch; ","")&amp;IF(CL878&gt;0,"Lift "&amp;W878&amp;" lt. Liftbericht (Fach "&amp;X878&amp;" Stk); ",IF(BX878=1,"Gebinde geschätzt ("&amp;T878&amp;"); ",IF(BW878=1,"Lose – Tablare geschätzt; ","")))&amp;IF(H878&gt;AT878,"Überbestand "&amp;ROUND(H878-AT878,0)&amp;" Stk / CHF "&amp;ROUND((H878-AT878)*G878,0)&amp;"; ","")&amp;IF(AND(CE878=1,CF878&lt;CG878),"MAX &lt; MB+LG; ","")&amp;IF(AND(CK878&gt;0,CJ878*10&gt;CK878),"zu hoch für Tablar; ","")&amp;IF(AND(BS878=0,OR(CE878=1,AA878&lt;&gt;"",U878&lt;&gt;"",V878&lt;&gt;"",AB878&lt;&gt;"")),"manuell übersteuert; ","")&amp;IF(AND(BW878=0,R878=0),"Gebinde unbekannt / Stellmass fehlt; ","")&amp;IF(AND(BW878=0,N(V878)&lt;=0,N(Q878)&lt;=0),"Menge pro Gebinde fehlt (Ist = 1 Gebinde); ","")&amp;BR878)</f>
        <v>negativer Bestand (Export -35); Kein Verbrauch; Überbestand</v>
      </c>
      <c r="BK878" s="48"/>
      <c r="BL878" s="48"/>
      <c r="BM878" s="55"/>
      <c r="BN878" s="50" t="n">
        <v>-35</v>
      </c>
      <c r="BO878" s="50" t="n">
        <v>50</v>
      </c>
      <c r="BP878" s="49" t="n">
        <v>-24.75</v>
      </c>
      <c r="BQ878" s="50" t="n">
        <v>0</v>
      </c>
      <c r="BR878" s="48" t="s">
        <v>396</v>
      </c>
      <c r="BS878" s="53" t="n">
        <v>0</v>
      </c>
      <c r="BT878" s="53" t="n">
        <v>878</v>
      </c>
      <c r="BU878" s="48" t="str">
        <f aca="false">IF(U878&lt;&gt;"",UPPER(TRIM(U878)),IF(BX878=1,UPPER(VLOOKUP(T878,Parameter!$I$27:$K$29,2,0)),IF(P878="","LOSE",P878)))</f>
        <v>S41</v>
      </c>
      <c r="BV878" s="50" t="n">
        <f aca="false">IF(BU878="LOSE",1,IF(N(V878)&gt;0,V878,IF(BX878=1,MAX(1,N(VLOOKUP(T878,Parameter!$I$27:$K$29,3,0)),H878,N(N878)),IF(N(Q878)&gt;0,Q878,MAX(1,H878)))))</f>
        <v>50</v>
      </c>
      <c r="BW878" s="53" t="n">
        <f aca="false">IF(BU878="LOSE",1,0)</f>
        <v>0</v>
      </c>
      <c r="BX878" s="53" t="n">
        <f aca="false">IF(AND(U878="",OR(P878="",P878="LOSE"),T878&lt;&gt;"",N(S878)&lt;=0,ISNUMBER(MATCH(T878,Parameter!$I$27:$I$29,0))),1,0)</f>
        <v>0</v>
      </c>
      <c r="BY878" s="53" t="n">
        <f aca="false">IF(CL878&gt;0,INDEX(Parameter!$H$5:$H$7,W878)/INDEX(Parameter!$E$5:$E$7,W878),IF(AND(BW878=0,N(IFERROR(VLOOKUP(BU878,'Gebinde-Kategorie'!$A$5:$N$45,14,0),0))&gt;0),VLOOKUP(BU878,'Gebinde-Kategorie'!$A$5:$N$45,14,0)*10+Parameter!$M$23,Parameter!$M$24))</f>
        <v>155</v>
      </c>
      <c r="BZ878" s="48" t="str">
        <f aca="false">IF(AND(Parameter!$B$19="Ja",E878&lt;&gt;"",ISNUMBER(MATCH(E878,Parameter!$I$35:$I$52,0))),VLOOKUP(E878,Parameter!$I$35:$J$52,2,0),IFERROR(VLOOKUP(D878,Parameter!$A$35:$C$64,2,0),"Nein"))</f>
        <v>2+3</v>
      </c>
      <c r="CA878" s="52" t="n">
        <f aca="false">IF(BW878=0,0,IF(N(S878)&gt;0,S878,IFERROR(VLOOKUP(D878,Parameter!$A$35:$C$64,3,0)+0,0)))</f>
        <v>0</v>
      </c>
      <c r="CB878" s="48" t="n">
        <f aca="false">IF(AA878&lt;&gt;"",AA878,Z878)</f>
        <v>3</v>
      </c>
      <c r="CC878" s="48" t="str">
        <f aca="false">IF(OR(CB878=1,CB878=2,CB878=3),IF(Parameter!$E$27="Ja","LIFT",IF(CB878=1,"L1","L23")),IF(CB878="Aussen","Aussen","-"))</f>
        <v>LIFT</v>
      </c>
      <c r="CD878" s="59" t="n">
        <f aca="false">IF(N(AB878)&gt;0,AB878,0)</f>
        <v>0</v>
      </c>
      <c r="CE878" s="53" t="n">
        <f aca="false">IF(ISNUMBER(AE878),1,0)</f>
        <v>0</v>
      </c>
      <c r="CF878" s="50" t="n">
        <f aca="false">N(AE878)</f>
        <v>0</v>
      </c>
      <c r="CG878" s="50" t="n">
        <f aca="false">N(M878)+N(N878)</f>
        <v>1</v>
      </c>
      <c r="CH878" s="50" t="n">
        <f aca="false">ROUNDUP(H878/BV878,0)</f>
        <v>1</v>
      </c>
      <c r="CI878" s="50" t="n">
        <f aca="false">ROUNDUP(CF878/BV878,0)</f>
        <v>0</v>
      </c>
      <c r="CJ878" s="53" t="n">
        <f aca="false">IF(BW878=1,0,IFERROR(VLOOKUP(BU878,'Gebinde-Kategorie'!$A$5:$N$45,5,0)+0,0))</f>
        <v>11</v>
      </c>
      <c r="CK878" s="53" t="n">
        <f aca="false">IFERROR(IF(OR(CB878=1,CB878=2,CB878=3),N(INDEX(Parameter!$I$5:$I$7,CB878)),0),0)</f>
        <v>0</v>
      </c>
      <c r="CL878" s="52" t="n">
        <f aca="false">IF(AND(Parameter!$B$21="Ja",ISNUMBER(W878),N(X878)&gt;0),IFERROR(N(INDEX(Parameter!$L$5:$L$7,W878))*INDEX(Parameter!$E$5:$E$7,W878)*X878/SUMIFS($X$7:$X$1843,$W$7:$W$1843,W878),0),0)</f>
        <v>0</v>
      </c>
    </row>
    <row r="879" customFormat="false" ht="15" hidden="false" customHeight="false" outlineLevel="0" collapsed="false">
      <c r="A879" s="48" t="s">
        <v>1667</v>
      </c>
      <c r="B879" s="48" t="s">
        <v>409</v>
      </c>
      <c r="C879" s="48" t="s">
        <v>168</v>
      </c>
      <c r="D879" s="48" t="s">
        <v>188</v>
      </c>
      <c r="E879" s="48" t="s">
        <v>189</v>
      </c>
      <c r="F879" s="48" t="s">
        <v>222</v>
      </c>
      <c r="G879" s="49" t="n">
        <v>0.04</v>
      </c>
      <c r="H879" s="50" t="n">
        <f aca="false">MAX(0,IF(AND(Parameter!$B$21="Ja",ISNUMBER(Y879)),Y879,IF(Parameter!$B$20="Jahresanfang 2025 + Export",BO879+BN879,BN879)))</f>
        <v>419</v>
      </c>
      <c r="I879" s="50" t="n">
        <f aca="false">H879*G879</f>
        <v>16.76</v>
      </c>
      <c r="J879" s="50" t="n">
        <f aca="false">BQ879*Parameter!$B$18</f>
        <v>356</v>
      </c>
      <c r="K879" s="51" t="n">
        <v>638.5</v>
      </c>
      <c r="L879" s="52" t="n">
        <v>0.557556773688332</v>
      </c>
      <c r="M879" s="50" t="n">
        <v>20</v>
      </c>
      <c r="N879" s="50" t="n">
        <v>355</v>
      </c>
      <c r="O879" s="53" t="n">
        <v>21</v>
      </c>
      <c r="P879" s="48" t="s">
        <v>425</v>
      </c>
      <c r="Q879" s="50" t="n">
        <v>1419</v>
      </c>
      <c r="R879" s="53" t="n">
        <f aca="false">IF(BW879=1,0,IFERROR(VLOOKUP(BU879,'Gebinde-Kategorie'!$A$5:$N$45,13,0)+0,0))</f>
        <v>104</v>
      </c>
      <c r="S879" s="54"/>
      <c r="T879" s="55"/>
      <c r="U879" s="55"/>
      <c r="V879" s="55"/>
      <c r="W879" s="48"/>
      <c r="X879" s="50"/>
      <c r="Y879" s="50"/>
      <c r="Z879" s="48" t="n">
        <f aca="false">IF(A879="","",IF(AND(Parameter!$B$21="Ja",ISNUMBER(W879)),W879,IF(BZ879="2+3",IF(ISNUMBER(SEARCH("grosser Artikel",BR879)),2,IFERROR(VLOOKUP(BU879,Parameter!$F$35:$G$64,2,0),2)),IF(OR(BZ879="Nein",BZ879=""),"-",BZ879))))</f>
        <v>3</v>
      </c>
      <c r="AA879" s="55"/>
      <c r="AB879" s="56"/>
      <c r="AC879" s="50" t="n">
        <f aca="false">AT879</f>
        <v>1419</v>
      </c>
      <c r="AD879" s="50" t="n">
        <f aca="false">MAX(AT879,H879)</f>
        <v>1419</v>
      </c>
      <c r="AE879" s="57"/>
      <c r="AF879" s="50" t="n">
        <f aca="false">IF(LEFT(Cockpit!$C$5,1)="A",H879,IF(CE879=1,CF879,IF(LEFT(Cockpit!$C$5,1)="B",AK879,MAX(AK879,H879))))</f>
        <v>419</v>
      </c>
      <c r="AG879" s="50" t="n">
        <f aca="false">IF(BW879=1,0,ROUNDUP(AF879/BV879,0))</f>
        <v>1</v>
      </c>
      <c r="AH879" s="52" t="n">
        <f aca="false">IF(CL879&gt;0,CL879*MAX(1,AF879/X879),IF(BW879=1,IF(AF879&lt;=0,0,CA879*MAX(1,IF(H879&gt;0,AF879/H879,1))),IF(R879&gt;0,AG879/R879,0))/MAX(0.1,N(Parameter!$M$21)))</f>
        <v>0.00961538461538462</v>
      </c>
      <c r="AI879" s="50" t="n">
        <f aca="false">AH879*BY879</f>
        <v>1.49038461538462</v>
      </c>
      <c r="AJ879" s="50" t="n">
        <f aca="false">AF879*G879</f>
        <v>16.76</v>
      </c>
      <c r="AK879" s="50" t="n">
        <f aca="false">ROUNDUP(MAX(J879/IF(CD879&gt;0,CD879,MAX(0.1,N(Cockpit!$C$6))),CG879)/BV879,0)*BV879</f>
        <v>1419</v>
      </c>
      <c r="AL879" s="51" t="n">
        <f aca="false">IF(AI879&gt;0,J879/AI879,-1)</f>
        <v>238.864516129032</v>
      </c>
      <c r="AM879" s="51" t="n">
        <f aca="false">IF(AND(OR(CC879="L1",CC879="L23",CC879="LIFT"),AI879&gt;0),SUMIFS($AI$7:$AI$1843,$CC$7:$CC$1843,CC879,$AL$7:$AL$1843,"&gt;"&amp;AL879)+SUMIFS($AI$7:$AI$1843,$CC$7:$CC$1843,CC879,$AL$7:$AL$1843,AL879,$BT$7:$BT$1843,"&lt;="&amp;BT879),"")</f>
        <v>305.937271062271</v>
      </c>
      <c r="AN879" s="58" t="n">
        <f aca="false">IF(AM879="",0,MAX(0,MIN(1,(IF(CC879="L1",Parameter!$H$5,IF(CC879="L23",Parameter!$H$6+Parameter!$H$7,Parameter!$H$5+Parameter!$H$6+Parameter!$H$7))-(AM879-AI879))/AI879)))</f>
        <v>1</v>
      </c>
      <c r="AO879" s="50" t="n">
        <f aca="false">IF(LEFT(Cockpit!$I$5,1)="A",H879,IF(CE879=1,CF879,IF(LEFT(Cockpit!$I$5,1)="B",AT879,MAX(AT879,H879))))</f>
        <v>1419</v>
      </c>
      <c r="AP879" s="50" t="n">
        <f aca="false">IF(BW879=1,0,ROUNDUP(AO879/BV879,0))</f>
        <v>1</v>
      </c>
      <c r="AQ879" s="52" t="n">
        <f aca="false">IF(CL879&gt;0,CL879*MAX(1,AO879/X879),IF(BW879=1,IF(AO879&lt;=0,0,CA879*MAX(1,IF(H879&gt;0,AO879/H879,1))),IF(R879&gt;0,AP879/R879,0))/MAX(0.1,N(Parameter!$M$21)))</f>
        <v>0.00961538461538462</v>
      </c>
      <c r="AR879" s="50" t="n">
        <f aca="false">AQ879*BY879</f>
        <v>1.49038461538462</v>
      </c>
      <c r="AS879" s="50" t="n">
        <f aca="false">AO879*G879</f>
        <v>56.76</v>
      </c>
      <c r="AT879" s="50" t="n">
        <f aca="false">ROUNDUP(MAX(J879/IF(CD879&gt;0,CD879,MAX(0.1,N(Cockpit!$I$6))),CG879)/BV879,0)*BV879</f>
        <v>1419</v>
      </c>
      <c r="AU879" s="51" t="n">
        <f aca="false">IF(AR879&gt;0,J879/AR879,-1)</f>
        <v>238.864516129032</v>
      </c>
      <c r="AV879" s="51" t="n">
        <f aca="false">IF(AND(OR(CC879="L1",CC879="L23",CC879="LIFT"),AR879&gt;0),SUMIFS($AR$7:$AR$1843,$CC$7:$CC$1843,CC879,$AU$7:$AU$1843,"&gt;"&amp;AU879)+SUMIFS($AR$7:$AR$1843,$CC$7:$CC$1843,CC879,$AU$7:$AU$1843,AU879,$BT$7:$BT$1843,"&lt;="&amp;BT879),"")</f>
        <v>223.375915750916</v>
      </c>
      <c r="AW879" s="58" t="n">
        <f aca="false">IF(AV879="",0,MAX(0,MIN(1,(IF(CC879="L1",Parameter!$H$5,IF(CC879="L23",Parameter!$H$6+Parameter!$H$7,Parameter!$H$5+Parameter!$H$6+Parameter!$H$7))-(AV879-AR879))/AR879)))</f>
        <v>1</v>
      </c>
      <c r="AX879" s="50" t="n">
        <f aca="false">IF(LEFT(Cockpit!$O$5,1)="A",H879,IF(CE879=1,CF879,IF(LEFT(Cockpit!$O$5,1)="B",BC879,MAX(BC879,H879))))</f>
        <v>1419</v>
      </c>
      <c r="AY879" s="50" t="n">
        <f aca="false">IF(BW879=1,0,ROUNDUP(AX879/BV879,0))</f>
        <v>1</v>
      </c>
      <c r="AZ879" s="52" t="n">
        <f aca="false">IF(CL879&gt;0,CL879*MAX(1,AX879/X879),IF(BW879=1,IF(AX879&lt;=0,0,CA879*MAX(1,IF(H879&gt;0,AX879/H879,1))),IF(R879&gt;0,AY879/R879,0))/MAX(0.1,N(Parameter!$M$21)))</f>
        <v>0.00961538461538462</v>
      </c>
      <c r="BA879" s="50" t="n">
        <f aca="false">AZ879*BY879</f>
        <v>1.49038461538462</v>
      </c>
      <c r="BB879" s="50" t="n">
        <f aca="false">AX879*G879</f>
        <v>56.76</v>
      </c>
      <c r="BC879" s="50" t="n">
        <f aca="false">ROUNDUP(MAX(J879/IF(CD879&gt;0,CD879,MAX(0.1,N(Cockpit!$O$6))),CG879)/BV879,0)*BV879</f>
        <v>1419</v>
      </c>
      <c r="BD879" s="51" t="n">
        <f aca="false">IF(BA879&gt;0,J879/BA879,-1)</f>
        <v>238.864516129032</v>
      </c>
      <c r="BE879" s="51" t="n">
        <f aca="false">IF(AND(OR(CC879="L1",CC879="L23",CC879="LIFT"),BA879&gt;0),SUMIFS($BA$7:$BA$1843,$CC$7:$CC$1843,CC879,$BD$7:$BD$1843,"&gt;"&amp;BD879)+SUMIFS($BA$7:$BA$1843,$CC$7:$CC$1843,CC879,$BD$7:$BD$1843,BD879,$BT$7:$BT$1843,"&lt;="&amp;BT879),"")</f>
        <v>236.260531135531</v>
      </c>
      <c r="BF879" s="58" t="n">
        <f aca="false">IF(BE879="",0,MAX(0,MIN(1,(IF(CC879="L1",Parameter!$H$5,IF(CC879="L23",Parameter!$H$6+Parameter!$H$7,Parameter!$H$5+Parameter!$H$6+Parameter!$H$7))-(BE879-BA879))/BA879)))</f>
        <v>1</v>
      </c>
      <c r="BG879" s="48" t="str">
        <f aca="false">IF(AI879&lt;=0,"",IF(CC879="Aussen","Aussenlager",IF(CC879="-","Nicht im Lift",IF(AN879&gt;=1,"Lift",IF(AN879&lt;=0,"Aussenlager","teilweise")))))</f>
        <v>Lift</v>
      </c>
      <c r="BH879" s="48" t="str">
        <f aca="false">IF(AR879&lt;=0,"",IF(CC879="Aussen","Aussenlager",IF(CC879="-","Nicht im Lift",IF(AW879&gt;=1,"Lift",IF(AW879&lt;=0,"Aussenlager","teilweise")))))</f>
        <v>Lift</v>
      </c>
      <c r="BI879" s="48" t="str">
        <f aca="false">IF(BA879&lt;=0,"",IF(CC879="Aussen","Aussenlager",IF(CC879="-","Nicht im Lift",IF(BF879&gt;=1,"Lift",IF(BF879&lt;=0,"Aussenlager","teilweise")))))</f>
        <v>Lift</v>
      </c>
      <c r="BJ879" s="48" t="str">
        <f aca="false">IF(A879="","",IF(BS879=1,"Neu; ","")&amp;IF(AND(BS879=0,BN879&lt;0),"negativer Bestand (Export "&amp;BN879&amp;"); ","")&amp;IF(J879&lt;=0,"Kein Verbrauch; ","")&amp;IF(CL879&gt;0,"Lift "&amp;W879&amp;" lt. Liftbericht (Fach "&amp;X879&amp;" Stk); ",IF(BX879=1,"Gebinde geschätzt ("&amp;T879&amp;"); ",IF(BW879=1,"Lose – Tablare geschätzt; ","")))&amp;IF(H879&gt;AT879,"Überbestand "&amp;ROUND(H879-AT879,0)&amp;" Stk / CHF "&amp;ROUND((H879-AT879)*G879,0)&amp;"; ","")&amp;IF(AND(CE879=1,CF879&lt;CG879),"MAX &lt; MB+LG; ","")&amp;IF(AND(CK879&gt;0,CJ879*10&gt;CK879),"zu hoch für Tablar; ","")&amp;IF(AND(BS879=0,OR(CE879=1,AA879&lt;&gt;"",U879&lt;&gt;"",V879&lt;&gt;"",AB879&lt;&gt;"")),"manuell übersteuert; ","")&amp;IF(AND(BW879=0,R879=0),"Gebinde unbekannt / Stellmass fehlt; ","")&amp;IF(AND(BW879=0,N(V879)&lt;=0,N(Q879)&lt;=0),"Menge pro Gebinde fehlt (Ist = 1 Gebinde); ","")&amp;BR879)</f>
        <v>negativer Bestand (Export -657); </v>
      </c>
      <c r="BK879" s="48"/>
      <c r="BL879" s="48"/>
      <c r="BM879" s="55"/>
      <c r="BN879" s="50" t="n">
        <v>-657</v>
      </c>
      <c r="BO879" s="50" t="n">
        <v>1076</v>
      </c>
      <c r="BP879" s="49" t="n">
        <v>-26.28</v>
      </c>
      <c r="BQ879" s="50" t="n">
        <v>356</v>
      </c>
      <c r="BR879" s="48"/>
      <c r="BS879" s="53" t="n">
        <v>0</v>
      </c>
      <c r="BT879" s="53" t="n">
        <v>879</v>
      </c>
      <c r="BU879" s="48" t="str">
        <f aca="false">IF(U879&lt;&gt;"",UPPER(TRIM(U879)),IF(BX879=1,UPPER(VLOOKUP(T879,Parameter!$I$27:$K$29,2,0)),IF(P879="","LOSE",P879)))</f>
        <v>S32</v>
      </c>
      <c r="BV879" s="50" t="n">
        <f aca="false">IF(BU879="LOSE",1,IF(N(V879)&gt;0,V879,IF(BX879=1,MAX(1,N(VLOOKUP(T879,Parameter!$I$27:$K$29,3,0)),H879,N(N879)),IF(N(Q879)&gt;0,Q879,MAX(1,H879)))))</f>
        <v>1419</v>
      </c>
      <c r="BW879" s="53" t="n">
        <f aca="false">IF(BU879="LOSE",1,0)</f>
        <v>0</v>
      </c>
      <c r="BX879" s="53" t="n">
        <f aca="false">IF(AND(U879="",OR(P879="",P879="LOSE"),T879&lt;&gt;"",N(S879)&lt;=0,ISNUMBER(MATCH(T879,Parameter!$I$27:$I$29,0))),1,0)</f>
        <v>0</v>
      </c>
      <c r="BY879" s="53" t="n">
        <f aca="false">IF(CL879&gt;0,INDEX(Parameter!$H$5:$H$7,W879)/INDEX(Parameter!$E$5:$E$7,W879),IF(AND(BW879=0,N(IFERROR(VLOOKUP(BU879,'Gebinde-Kategorie'!$A$5:$N$45,14,0),0))&gt;0),VLOOKUP(BU879,'Gebinde-Kategorie'!$A$5:$N$45,14,0)*10+Parameter!$M$23,Parameter!$M$24))</f>
        <v>155</v>
      </c>
      <c r="BZ879" s="48" t="str">
        <f aca="false">IF(AND(Parameter!$B$19="Ja",E879&lt;&gt;"",ISNUMBER(MATCH(E879,Parameter!$I$35:$I$52,0))),VLOOKUP(E879,Parameter!$I$35:$J$52,2,0),IFERROR(VLOOKUP(D879,Parameter!$A$35:$C$64,2,0),"Nein"))</f>
        <v>2+3</v>
      </c>
      <c r="CA879" s="52" t="n">
        <f aca="false">IF(BW879=0,0,IF(N(S879)&gt;0,S879,IFERROR(VLOOKUP(D879,Parameter!$A$35:$C$64,3,0)+0,0)))</f>
        <v>0</v>
      </c>
      <c r="CB879" s="48" t="n">
        <f aca="false">IF(AA879&lt;&gt;"",AA879,Z879)</f>
        <v>3</v>
      </c>
      <c r="CC879" s="48" t="str">
        <f aca="false">IF(OR(CB879=1,CB879=2,CB879=3),IF(Parameter!$E$27="Ja","LIFT",IF(CB879=1,"L1","L23")),IF(CB879="Aussen","Aussen","-"))</f>
        <v>LIFT</v>
      </c>
      <c r="CD879" s="59" t="n">
        <f aca="false">IF(N(AB879)&gt;0,AB879,0)</f>
        <v>0</v>
      </c>
      <c r="CE879" s="53" t="n">
        <f aca="false">IF(ISNUMBER(AE879),1,0)</f>
        <v>0</v>
      </c>
      <c r="CF879" s="50" t="n">
        <f aca="false">N(AE879)</f>
        <v>0</v>
      </c>
      <c r="CG879" s="50" t="n">
        <f aca="false">N(M879)+N(N879)</f>
        <v>375</v>
      </c>
      <c r="CH879" s="50" t="n">
        <f aca="false">ROUNDUP(H879/BV879,0)</f>
        <v>1</v>
      </c>
      <c r="CI879" s="50" t="n">
        <f aca="false">ROUNDUP(CF879/BV879,0)</f>
        <v>0</v>
      </c>
      <c r="CJ879" s="53" t="n">
        <f aca="false">IF(BW879=1,0,IFERROR(VLOOKUP(BU879,'Gebinde-Kategorie'!$A$5:$N$45,5,0)+0,0))</f>
        <v>8</v>
      </c>
      <c r="CK879" s="53" t="n">
        <f aca="false">IFERROR(IF(OR(CB879=1,CB879=2,CB879=3),N(INDEX(Parameter!$I$5:$I$7,CB879)),0),0)</f>
        <v>0</v>
      </c>
      <c r="CL879" s="52" t="n">
        <f aca="false">IF(AND(Parameter!$B$21="Ja",ISNUMBER(W879),N(X879)&gt;0),IFERROR(N(INDEX(Parameter!$L$5:$L$7,W879))*INDEX(Parameter!$E$5:$E$7,W879)*X879/SUMIFS($X$7:$X$1843,$W$7:$W$1843,W879),0),0)</f>
        <v>0</v>
      </c>
    </row>
    <row r="880" customFormat="false" ht="15" hidden="false" customHeight="false" outlineLevel="0" collapsed="false">
      <c r="A880" s="48" t="s">
        <v>1668</v>
      </c>
      <c r="B880" s="48" t="s">
        <v>1669</v>
      </c>
      <c r="C880" s="48" t="s">
        <v>168</v>
      </c>
      <c r="D880" s="48" t="s">
        <v>188</v>
      </c>
      <c r="E880" s="48" t="s">
        <v>189</v>
      </c>
      <c r="F880" s="48" t="s">
        <v>222</v>
      </c>
      <c r="G880" s="49" t="n">
        <v>3.68</v>
      </c>
      <c r="H880" s="50" t="n">
        <f aca="false">MAX(0,IF(AND(Parameter!$B$21="Ja",ISNUMBER(Y880)),Y880,IF(Parameter!$B$20="Jahresanfang 2025 + Export",BO880+BN880,BN880)))</f>
        <v>29</v>
      </c>
      <c r="I880" s="50" t="n">
        <f aca="false">H880*G880</f>
        <v>106.72</v>
      </c>
      <c r="J880" s="50" t="n">
        <f aca="false">BQ880*Parameter!$B$18</f>
        <v>74</v>
      </c>
      <c r="K880" s="51" t="n">
        <v>50</v>
      </c>
      <c r="L880" s="52" t="n">
        <v>1.48</v>
      </c>
      <c r="M880" s="50" t="n">
        <v>4</v>
      </c>
      <c r="N880" s="50" t="n">
        <v>50</v>
      </c>
      <c r="O880" s="53" t="n">
        <v>30</v>
      </c>
      <c r="P880" s="48" t="s">
        <v>306</v>
      </c>
      <c r="Q880" s="50" t="n">
        <v>30</v>
      </c>
      <c r="R880" s="53" t="n">
        <f aca="false">IF(BW880=1,0,IFERROR(VLOOKUP(BU880,'Gebinde-Kategorie'!$A$5:$N$45,13,0)+0,0))</f>
        <v>26</v>
      </c>
      <c r="S880" s="54"/>
      <c r="T880" s="55"/>
      <c r="U880" s="55"/>
      <c r="V880" s="55"/>
      <c r="W880" s="48"/>
      <c r="X880" s="50"/>
      <c r="Y880" s="50"/>
      <c r="Z880" s="48" t="n">
        <f aca="false">IF(A880="","",IF(AND(Parameter!$B$21="Ja",ISNUMBER(W880)),W880,IF(BZ880="2+3",IF(ISNUMBER(SEARCH("grosser Artikel",BR880)),2,IFERROR(VLOOKUP(BU880,Parameter!$F$35:$G$64,2,0),2)),IF(OR(BZ880="Nein",BZ880=""),"-",BZ880))))</f>
        <v>3</v>
      </c>
      <c r="AA880" s="55"/>
      <c r="AB880" s="56"/>
      <c r="AC880" s="50" t="n">
        <f aca="false">AT880</f>
        <v>60</v>
      </c>
      <c r="AD880" s="50" t="n">
        <f aca="false">MAX(AT880,H880)</f>
        <v>60</v>
      </c>
      <c r="AE880" s="57"/>
      <c r="AF880" s="50" t="n">
        <f aca="false">IF(LEFT(Cockpit!$C$5,1)="A",H880,IF(CE880=1,CF880,IF(LEFT(Cockpit!$C$5,1)="B",AK880,MAX(AK880,H880))))</f>
        <v>29</v>
      </c>
      <c r="AG880" s="50" t="n">
        <f aca="false">IF(BW880=1,0,ROUNDUP(AF880/BV880,0))</f>
        <v>1</v>
      </c>
      <c r="AH880" s="52" t="n">
        <f aca="false">IF(CL880&gt;0,CL880*MAX(1,AF880/X880),IF(BW880=1,IF(AF880&lt;=0,0,CA880*MAX(1,IF(H880&gt;0,AF880/H880,1))),IF(R880&gt;0,AG880/R880,0))/MAX(0.1,N(Parameter!$M$21)))</f>
        <v>0.0384615384615385</v>
      </c>
      <c r="AI880" s="50" t="n">
        <f aca="false">AH880*BY880</f>
        <v>5.96153846153846</v>
      </c>
      <c r="AJ880" s="50" t="n">
        <f aca="false">AF880*G880</f>
        <v>106.72</v>
      </c>
      <c r="AK880" s="50" t="n">
        <f aca="false">ROUNDUP(MAX(J880/IF(CD880&gt;0,CD880,MAX(0.1,N(Cockpit!$C$6))),CG880)/BV880,0)*BV880</f>
        <v>60</v>
      </c>
      <c r="AL880" s="51" t="n">
        <f aca="false">IF(AI880&gt;0,J880/AI880,-1)</f>
        <v>12.4129032258065</v>
      </c>
      <c r="AM880" s="51" t="n">
        <f aca="false">IF(AND(OR(CC880="L1",CC880="L23",CC880="LIFT"),AI880&gt;0),SUMIFS($AI$7:$AI$1843,$CC$7:$CC$1843,CC880,$AL$7:$AL$1843,"&gt;"&amp;AL880)+SUMIFS($AI$7:$AI$1843,$CC$7:$CC$1843,CC880,$AL$7:$AL$1843,AL880,$BT$7:$BT$1843,"&lt;="&amp;BT880),"")</f>
        <v>2498.47710622711</v>
      </c>
      <c r="AN880" s="58" t="n">
        <f aca="false">IF(AM880="",0,MAX(0,MIN(1,(IF(CC880="L1",Parameter!$H$5,IF(CC880="L23",Parameter!$H$6+Parameter!$H$7,Parameter!$H$5+Parameter!$H$6+Parameter!$H$7))-(AM880-AI880))/AI880)))</f>
        <v>1</v>
      </c>
      <c r="AO880" s="50" t="n">
        <f aca="false">IF(LEFT(Cockpit!$I$5,1)="A",H880,IF(CE880=1,CF880,IF(LEFT(Cockpit!$I$5,1)="B",AT880,MAX(AT880,H880))))</f>
        <v>60</v>
      </c>
      <c r="AP880" s="50" t="n">
        <f aca="false">IF(BW880=1,0,ROUNDUP(AO880/BV880,0))</f>
        <v>2</v>
      </c>
      <c r="AQ880" s="52" t="n">
        <f aca="false">IF(CL880&gt;0,CL880*MAX(1,AO880/X880),IF(BW880=1,IF(AO880&lt;=0,0,CA880*MAX(1,IF(H880&gt;0,AO880/H880,1))),IF(R880&gt;0,AP880/R880,0))/MAX(0.1,N(Parameter!$M$21)))</f>
        <v>0.0769230769230769</v>
      </c>
      <c r="AR880" s="50" t="n">
        <f aca="false">AQ880*BY880</f>
        <v>11.9230769230769</v>
      </c>
      <c r="AS880" s="50" t="n">
        <f aca="false">AO880*G880</f>
        <v>220.8</v>
      </c>
      <c r="AT880" s="50" t="n">
        <f aca="false">ROUNDUP(MAX(J880/IF(CD880&gt;0,CD880,MAX(0.1,N(Cockpit!$I$6))),CG880)/BV880,0)*BV880</f>
        <v>60</v>
      </c>
      <c r="AU880" s="51" t="n">
        <f aca="false">IF(AR880&gt;0,J880/AR880,-1)</f>
        <v>6.20645161290323</v>
      </c>
      <c r="AV880" s="51" t="n">
        <f aca="false">IF(AND(OR(CC880="L1",CC880="L23",CC880="LIFT"),AR880&gt;0),SUMIFS($AR$7:$AR$1843,$CC$7:$CC$1843,CC880,$AU$7:$AU$1843,"&gt;"&amp;AU880)+SUMIFS($AR$7:$AR$1843,$CC$7:$CC$1843,CC880,$AU$7:$AU$1843,AU880,$BT$7:$BT$1843,"&lt;="&amp;BT880),"")</f>
        <v>4589.40155677656</v>
      </c>
      <c r="AW880" s="58" t="n">
        <f aca="false">IF(AV880="",0,MAX(0,MIN(1,(IF(CC880="L1",Parameter!$H$5,IF(CC880="L23",Parameter!$H$6+Parameter!$H$7,Parameter!$H$5+Parameter!$H$6+Parameter!$H$7))-(AV880-AR880))/AR880)))</f>
        <v>1</v>
      </c>
      <c r="AX880" s="50" t="n">
        <f aca="false">IF(LEFT(Cockpit!$O$5,1)="A",H880,IF(CE880=1,CF880,IF(LEFT(Cockpit!$O$5,1)="B",BC880,MAX(BC880,H880))))</f>
        <v>60</v>
      </c>
      <c r="AY880" s="50" t="n">
        <f aca="false">IF(BW880=1,0,ROUNDUP(AX880/BV880,0))</f>
        <v>2</v>
      </c>
      <c r="AZ880" s="52" t="n">
        <f aca="false">IF(CL880&gt;0,CL880*MAX(1,AX880/X880),IF(BW880=1,IF(AX880&lt;=0,0,CA880*MAX(1,IF(H880&gt;0,AX880/H880,1))),IF(R880&gt;0,AY880/R880,0))/MAX(0.1,N(Parameter!$M$21)))</f>
        <v>0.0769230769230769</v>
      </c>
      <c r="BA880" s="50" t="n">
        <f aca="false">AZ880*BY880</f>
        <v>11.9230769230769</v>
      </c>
      <c r="BB880" s="50" t="n">
        <f aca="false">AX880*G880</f>
        <v>220.8</v>
      </c>
      <c r="BC880" s="50" t="n">
        <f aca="false">ROUNDUP(MAX(J880/IF(CD880&gt;0,CD880,MAX(0.1,N(Cockpit!$O$6))),CG880)/BV880,0)*BV880</f>
        <v>60</v>
      </c>
      <c r="BD880" s="51" t="n">
        <f aca="false">IF(BA880&gt;0,J880/BA880,-1)</f>
        <v>6.20645161290323</v>
      </c>
      <c r="BE880" s="51" t="n">
        <f aca="false">IF(AND(OR(CC880="L1",CC880="L23",CC880="LIFT"),BA880&gt;0),SUMIFS($BA$7:$BA$1843,$CC$7:$CC$1843,CC880,$BD$7:$BD$1843,"&gt;"&amp;BD880)+SUMIFS($BA$7:$BA$1843,$CC$7:$CC$1843,CC880,$BD$7:$BD$1843,BD880,$BT$7:$BT$1843,"&lt;="&amp;BT880),"")</f>
        <v>4380.69963369963</v>
      </c>
      <c r="BF880" s="58" t="n">
        <f aca="false">IF(BE880="",0,MAX(0,MIN(1,(IF(CC880="L1",Parameter!$H$5,IF(CC880="L23",Parameter!$H$6+Parameter!$H$7,Parameter!$H$5+Parameter!$H$6+Parameter!$H$7))-(BE880-BA880))/BA880)))</f>
        <v>1</v>
      </c>
      <c r="BG880" s="48" t="str">
        <f aca="false">IF(AI880&lt;=0,"",IF(CC880="Aussen","Aussenlager",IF(CC880="-","Nicht im Lift",IF(AN880&gt;=1,"Lift",IF(AN880&lt;=0,"Aussenlager","teilweise")))))</f>
        <v>Lift</v>
      </c>
      <c r="BH880" s="48" t="str">
        <f aca="false">IF(AR880&lt;=0,"",IF(CC880="Aussen","Aussenlager",IF(CC880="-","Nicht im Lift",IF(AW880&gt;=1,"Lift",IF(AW880&lt;=0,"Aussenlager","teilweise")))))</f>
        <v>Lift</v>
      </c>
      <c r="BI880" s="48" t="str">
        <f aca="false">IF(BA880&lt;=0,"",IF(CC880="Aussen","Aussenlager",IF(CC880="-","Nicht im Lift",IF(BF880&gt;=1,"Lift",IF(BF880&lt;=0,"Aussenlager","teilweise")))))</f>
        <v>Lift</v>
      </c>
      <c r="BJ880" s="48" t="str">
        <f aca="false">IF(A880="","",IF(BS880=1,"Neu; ","")&amp;IF(AND(BS880=0,BN880&lt;0),"negativer Bestand (Export "&amp;BN880&amp;"); ","")&amp;IF(J880&lt;=0,"Kein Verbrauch; ","")&amp;IF(CL880&gt;0,"Lift "&amp;W880&amp;" lt. Liftbericht (Fach "&amp;X880&amp;" Stk); ",IF(BX880=1,"Gebinde geschätzt ("&amp;T880&amp;"); ",IF(BW880=1,"Lose – Tablare geschätzt; ","")))&amp;IF(H880&gt;AT880,"Überbestand "&amp;ROUND(H880-AT880,0)&amp;" Stk / CHF "&amp;ROUND((H880-AT880)*G880,0)&amp;"; ","")&amp;IF(AND(CE880=1,CF880&lt;CG880),"MAX &lt; MB+LG; ","")&amp;IF(AND(CK880&gt;0,CJ880*10&gt;CK880),"zu hoch für Tablar; ","")&amp;IF(AND(BS880=0,OR(CE880=1,AA880&lt;&gt;"",U880&lt;&gt;"",V880&lt;&gt;"",AB880&lt;&gt;"")),"manuell übersteuert; ","")&amp;IF(AND(BW880=0,R880=0),"Gebinde unbekannt / Stellmass fehlt; ","")&amp;IF(AND(BW880=0,N(V880)&lt;=0,N(Q880)&lt;=0),"Menge pro Gebinde fehlt (Ist = 1 Gebinde); ","")&amp;BR880)</f>
        <v>negativer Bestand (Export -8); </v>
      </c>
      <c r="BK880" s="48"/>
      <c r="BL880" s="48"/>
      <c r="BM880" s="55"/>
      <c r="BN880" s="50" t="n">
        <v>-8</v>
      </c>
      <c r="BO880" s="50" t="n">
        <v>37</v>
      </c>
      <c r="BP880" s="49" t="n">
        <v>-26.85</v>
      </c>
      <c r="BQ880" s="50" t="n">
        <v>74</v>
      </c>
      <c r="BR880" s="48"/>
      <c r="BS880" s="53" t="n">
        <v>0</v>
      </c>
      <c r="BT880" s="53" t="n">
        <v>880</v>
      </c>
      <c r="BU880" s="48" t="str">
        <f aca="false">IF(U880&lt;&gt;"",UPPER(TRIM(U880)),IF(BX880=1,UPPER(VLOOKUP(T880,Parameter!$I$27:$K$29,2,0)),IF(P880="","LOSE",P880)))</f>
        <v>S51</v>
      </c>
      <c r="BV880" s="50" t="n">
        <f aca="false">IF(BU880="LOSE",1,IF(N(V880)&gt;0,V880,IF(BX880=1,MAX(1,N(VLOOKUP(T880,Parameter!$I$27:$K$29,3,0)),H880,N(N880)),IF(N(Q880)&gt;0,Q880,MAX(1,H880)))))</f>
        <v>30</v>
      </c>
      <c r="BW880" s="53" t="n">
        <f aca="false">IF(BU880="LOSE",1,0)</f>
        <v>0</v>
      </c>
      <c r="BX880" s="53" t="n">
        <f aca="false">IF(AND(U880="",OR(P880="",P880="LOSE"),T880&lt;&gt;"",N(S880)&lt;=0,ISNUMBER(MATCH(T880,Parameter!$I$27:$I$29,0))),1,0)</f>
        <v>0</v>
      </c>
      <c r="BY880" s="53" t="n">
        <f aca="false">IF(CL880&gt;0,INDEX(Parameter!$H$5:$H$7,W880)/INDEX(Parameter!$E$5:$E$7,W880),IF(AND(BW880=0,N(IFERROR(VLOOKUP(BU880,'Gebinde-Kategorie'!$A$5:$N$45,14,0),0))&gt;0),VLOOKUP(BU880,'Gebinde-Kategorie'!$A$5:$N$45,14,0)*10+Parameter!$M$23,Parameter!$M$24))</f>
        <v>155</v>
      </c>
      <c r="BZ880" s="48" t="str">
        <f aca="false">IF(AND(Parameter!$B$19="Ja",E880&lt;&gt;"",ISNUMBER(MATCH(E880,Parameter!$I$35:$I$52,0))),VLOOKUP(E880,Parameter!$I$35:$J$52,2,0),IFERROR(VLOOKUP(D880,Parameter!$A$35:$C$64,2,0),"Nein"))</f>
        <v>2+3</v>
      </c>
      <c r="CA880" s="52" t="n">
        <f aca="false">IF(BW880=0,0,IF(N(S880)&gt;0,S880,IFERROR(VLOOKUP(D880,Parameter!$A$35:$C$64,3,0)+0,0)))</f>
        <v>0</v>
      </c>
      <c r="CB880" s="48" t="n">
        <f aca="false">IF(AA880&lt;&gt;"",AA880,Z880)</f>
        <v>3</v>
      </c>
      <c r="CC880" s="48" t="str">
        <f aca="false">IF(OR(CB880=1,CB880=2,CB880=3),IF(Parameter!$E$27="Ja","LIFT",IF(CB880=1,"L1","L23")),IF(CB880="Aussen","Aussen","-"))</f>
        <v>LIFT</v>
      </c>
      <c r="CD880" s="59" t="n">
        <f aca="false">IF(N(AB880)&gt;0,AB880,0)</f>
        <v>0</v>
      </c>
      <c r="CE880" s="53" t="n">
        <f aca="false">IF(ISNUMBER(AE880),1,0)</f>
        <v>0</v>
      </c>
      <c r="CF880" s="50" t="n">
        <f aca="false">N(AE880)</f>
        <v>0</v>
      </c>
      <c r="CG880" s="50" t="n">
        <f aca="false">N(M880)+N(N880)</f>
        <v>54</v>
      </c>
      <c r="CH880" s="50" t="n">
        <f aca="false">ROUNDUP(H880/BV880,0)</f>
        <v>1</v>
      </c>
      <c r="CI880" s="50" t="n">
        <f aca="false">ROUNDUP(CF880/BV880,0)</f>
        <v>0</v>
      </c>
      <c r="CJ880" s="53" t="n">
        <f aca="false">IF(BW880=1,0,IFERROR(VLOOKUP(BU880,'Gebinde-Kategorie'!$A$5:$N$45,5,0)+0,0))</f>
        <v>11</v>
      </c>
      <c r="CK880" s="53" t="n">
        <f aca="false">IFERROR(IF(OR(CB880=1,CB880=2,CB880=3),N(INDEX(Parameter!$I$5:$I$7,CB880)),0),0)</f>
        <v>0</v>
      </c>
      <c r="CL880" s="52" t="n">
        <f aca="false">IF(AND(Parameter!$B$21="Ja",ISNUMBER(W880),N(X880)&gt;0),IFERROR(N(INDEX(Parameter!$L$5:$L$7,W880))*INDEX(Parameter!$E$5:$E$7,W880)*X880/SUMIFS($X$7:$X$1843,$W$7:$W$1843,W880),0),0)</f>
        <v>0</v>
      </c>
    </row>
    <row r="881" customFormat="false" ht="15" hidden="false" customHeight="false" outlineLevel="0" collapsed="false">
      <c r="A881" s="48" t="s">
        <v>1670</v>
      </c>
      <c r="B881" s="48" t="s">
        <v>1671</v>
      </c>
      <c r="C881" s="48" t="s">
        <v>168</v>
      </c>
      <c r="D881" s="48" t="s">
        <v>188</v>
      </c>
      <c r="E881" s="48" t="s">
        <v>189</v>
      </c>
      <c r="F881" s="48" t="s">
        <v>222</v>
      </c>
      <c r="G881" s="49" t="n">
        <v>0.18</v>
      </c>
      <c r="H881" s="50" t="n">
        <f aca="false">MAX(0,IF(AND(Parameter!$B$21="Ja",ISNUMBER(Y881)),Y881,IF(Parameter!$B$20="Jahresanfang 2025 + Export",BO881+BN881,BN881)))</f>
        <v>949</v>
      </c>
      <c r="I881" s="50" t="n">
        <f aca="false">H881*G881</f>
        <v>170.82</v>
      </c>
      <c r="J881" s="50" t="n">
        <f aca="false">BQ881*Parameter!$B$18</f>
        <v>300</v>
      </c>
      <c r="K881" s="51" t="n">
        <v>675</v>
      </c>
      <c r="L881" s="52" t="n">
        <v>0.444444444444444</v>
      </c>
      <c r="M881" s="50" t="n">
        <v>17</v>
      </c>
      <c r="N881" s="50" t="n">
        <v>1000</v>
      </c>
      <c r="O881" s="53" t="n">
        <v>21</v>
      </c>
      <c r="P881" s="48" t="s">
        <v>190</v>
      </c>
      <c r="Q881" s="50" t="n">
        <v>850</v>
      </c>
      <c r="R881" s="53" t="n">
        <f aca="false">IF(BW881=1,0,IFERROR(VLOOKUP(BU881,'Gebinde-Kategorie'!$A$5:$N$45,13,0)+0,0))</f>
        <v>12</v>
      </c>
      <c r="S881" s="54"/>
      <c r="T881" s="55"/>
      <c r="U881" s="55"/>
      <c r="V881" s="55"/>
      <c r="W881" s="48"/>
      <c r="X881" s="50"/>
      <c r="Y881" s="50"/>
      <c r="Z881" s="48" t="n">
        <f aca="false">IF(A881="","",IF(AND(Parameter!$B$21="Ja",ISNUMBER(W881)),W881,IF(BZ881="2+3",IF(ISNUMBER(SEARCH("grosser Artikel",BR881)),2,IFERROR(VLOOKUP(BU881,Parameter!$F$35:$G$64,2,0),2)),IF(OR(BZ881="Nein",BZ881=""),"-",BZ881))))</f>
        <v>2</v>
      </c>
      <c r="AA881" s="55"/>
      <c r="AB881" s="56"/>
      <c r="AC881" s="50" t="n">
        <f aca="false">AT881</f>
        <v>1700</v>
      </c>
      <c r="AD881" s="50" t="n">
        <f aca="false">MAX(AT881,H881)</f>
        <v>1700</v>
      </c>
      <c r="AE881" s="57"/>
      <c r="AF881" s="50" t="n">
        <f aca="false">IF(LEFT(Cockpit!$C$5,1)="A",H881,IF(CE881=1,CF881,IF(LEFT(Cockpit!$C$5,1)="B",AK881,MAX(AK881,H881))))</f>
        <v>949</v>
      </c>
      <c r="AG881" s="50" t="n">
        <f aca="false">IF(BW881=1,0,ROUNDUP(AF881/BV881,0))</f>
        <v>2</v>
      </c>
      <c r="AH881" s="52" t="n">
        <f aca="false">IF(CL881&gt;0,CL881*MAX(1,AF881/X881),IF(BW881=1,IF(AF881&lt;=0,0,CA881*MAX(1,IF(H881&gt;0,AF881/H881,1))),IF(R881&gt;0,AG881/R881,0))/MAX(0.1,N(Parameter!$M$21)))</f>
        <v>0.166666666666667</v>
      </c>
      <c r="AI881" s="50" t="n">
        <f aca="false">AH881*BY881</f>
        <v>24.1666666666667</v>
      </c>
      <c r="AJ881" s="50" t="n">
        <f aca="false">AF881*G881</f>
        <v>170.82</v>
      </c>
      <c r="AK881" s="50" t="n">
        <f aca="false">ROUNDUP(MAX(J881/IF(CD881&gt;0,CD881,MAX(0.1,N(Cockpit!$C$6))),CG881)/BV881,0)*BV881</f>
        <v>1700</v>
      </c>
      <c r="AL881" s="51" t="n">
        <f aca="false">IF(AI881&gt;0,J881/AI881,-1)</f>
        <v>12.4137931034483</v>
      </c>
      <c r="AM881" s="51" t="n">
        <f aca="false">IF(AND(OR(CC881="L1",CC881="L23",CC881="LIFT"),AI881&gt;0),SUMIFS($AI$7:$AI$1843,$CC$7:$CC$1843,CC881,$AL$7:$AL$1843,"&gt;"&amp;AL881)+SUMIFS($AI$7:$AI$1843,$CC$7:$CC$1843,CC881,$AL$7:$AL$1843,AL881,$BT$7:$BT$1843,"&lt;="&amp;BT881),"")</f>
        <v>2474.63095238095</v>
      </c>
      <c r="AN881" s="58" t="n">
        <f aca="false">IF(AM881="",0,MAX(0,MIN(1,(IF(CC881="L1",Parameter!$H$5,IF(CC881="L23",Parameter!$H$6+Parameter!$H$7,Parameter!$H$5+Parameter!$H$6+Parameter!$H$7))-(AM881-AI881))/AI881)))</f>
        <v>1</v>
      </c>
      <c r="AO881" s="50" t="n">
        <f aca="false">IF(LEFT(Cockpit!$I$5,1)="A",H881,IF(CE881=1,CF881,IF(LEFT(Cockpit!$I$5,1)="B",AT881,MAX(AT881,H881))))</f>
        <v>1700</v>
      </c>
      <c r="AP881" s="50" t="n">
        <f aca="false">IF(BW881=1,0,ROUNDUP(AO881/BV881,0))</f>
        <v>2</v>
      </c>
      <c r="AQ881" s="52" t="n">
        <f aca="false">IF(CL881&gt;0,CL881*MAX(1,AO881/X881),IF(BW881=1,IF(AO881&lt;=0,0,CA881*MAX(1,IF(H881&gt;0,AO881/H881,1))),IF(R881&gt;0,AP881/R881,0))/MAX(0.1,N(Parameter!$M$21)))</f>
        <v>0.166666666666667</v>
      </c>
      <c r="AR881" s="50" t="n">
        <f aca="false">AQ881*BY881</f>
        <v>24.1666666666667</v>
      </c>
      <c r="AS881" s="50" t="n">
        <f aca="false">AO881*G881</f>
        <v>306</v>
      </c>
      <c r="AT881" s="50" t="n">
        <f aca="false">ROUNDUP(MAX(J881/IF(CD881&gt;0,CD881,MAX(0.1,N(Cockpit!$I$6))),CG881)/BV881,0)*BV881</f>
        <v>1700</v>
      </c>
      <c r="AU881" s="51" t="n">
        <f aca="false">IF(AR881&gt;0,J881/AR881,-1)</f>
        <v>12.4137931034483</v>
      </c>
      <c r="AV881" s="51" t="n">
        <f aca="false">IF(AND(OR(CC881="L1",CC881="L23",CC881="LIFT"),AR881&gt;0),SUMIFS($AR$7:$AR$1843,$CC$7:$CC$1843,CC881,$AU$7:$AU$1843,"&gt;"&amp;AU881)+SUMIFS($AR$7:$AR$1843,$CC$7:$CC$1843,CC881,$AU$7:$AU$1843,AU881,$BT$7:$BT$1843,"&lt;="&amp;BT881),"")</f>
        <v>3629.61401098901</v>
      </c>
      <c r="AW881" s="58" t="n">
        <f aca="false">IF(AV881="",0,MAX(0,MIN(1,(IF(CC881="L1",Parameter!$H$5,IF(CC881="L23",Parameter!$H$6+Parameter!$H$7,Parameter!$H$5+Parameter!$H$6+Parameter!$H$7))-(AV881-AR881))/AR881)))</f>
        <v>1</v>
      </c>
      <c r="AX881" s="50" t="n">
        <f aca="false">IF(LEFT(Cockpit!$O$5,1)="A",H881,IF(CE881=1,CF881,IF(LEFT(Cockpit!$O$5,1)="B",BC881,MAX(BC881,H881))))</f>
        <v>1700</v>
      </c>
      <c r="AY881" s="50" t="n">
        <f aca="false">IF(BW881=1,0,ROUNDUP(AX881/BV881,0))</f>
        <v>2</v>
      </c>
      <c r="AZ881" s="52" t="n">
        <f aca="false">IF(CL881&gt;0,CL881*MAX(1,AX881/X881),IF(BW881=1,IF(AX881&lt;=0,0,CA881*MAX(1,IF(H881&gt;0,AX881/H881,1))),IF(R881&gt;0,AY881/R881,0))/MAX(0.1,N(Parameter!$M$21)))</f>
        <v>0.166666666666667</v>
      </c>
      <c r="BA881" s="50" t="n">
        <f aca="false">AZ881*BY881</f>
        <v>24.1666666666667</v>
      </c>
      <c r="BB881" s="50" t="n">
        <f aca="false">AX881*G881</f>
        <v>306</v>
      </c>
      <c r="BC881" s="50" t="n">
        <f aca="false">ROUNDUP(MAX(J881/IF(CD881&gt;0,CD881,MAX(0.1,N(Cockpit!$O$6))),CG881)/BV881,0)*BV881</f>
        <v>1700</v>
      </c>
      <c r="BD881" s="51" t="n">
        <f aca="false">IF(BA881&gt;0,J881/BA881,-1)</f>
        <v>12.4137931034483</v>
      </c>
      <c r="BE881" s="51" t="n">
        <f aca="false">IF(AND(OR(CC881="L1",CC881="L23",CC881="LIFT"),BA881&gt;0),SUMIFS($BA$7:$BA$1843,$CC$7:$CC$1843,CC881,$BD$7:$BD$1843,"&gt;"&amp;BD881)+SUMIFS($BA$7:$BA$1843,$CC$7:$CC$1843,CC881,$BD$7:$BD$1843,BD881,$BT$7:$BT$1843,"&lt;="&amp;BT881),"")</f>
        <v>3286.1684981685</v>
      </c>
      <c r="BF881" s="58" t="n">
        <f aca="false">IF(BE881="",0,MAX(0,MIN(1,(IF(CC881="L1",Parameter!$H$5,IF(CC881="L23",Parameter!$H$6+Parameter!$H$7,Parameter!$H$5+Parameter!$H$6+Parameter!$H$7))-(BE881-BA881))/BA881)))</f>
        <v>1</v>
      </c>
      <c r="BG881" s="48" t="str">
        <f aca="false">IF(AI881&lt;=0,"",IF(CC881="Aussen","Aussenlager",IF(CC881="-","Nicht im Lift",IF(AN881&gt;=1,"Lift",IF(AN881&lt;=0,"Aussenlager","teilweise")))))</f>
        <v>Lift</v>
      </c>
      <c r="BH881" s="48" t="str">
        <f aca="false">IF(AR881&lt;=0,"",IF(CC881="Aussen","Aussenlager",IF(CC881="-","Nicht im Lift",IF(AW881&gt;=1,"Lift",IF(AW881&lt;=0,"Aussenlager","teilweise")))))</f>
        <v>Lift</v>
      </c>
      <c r="BI881" s="48" t="str">
        <f aca="false">IF(BA881&lt;=0,"",IF(CC881="Aussen","Aussenlager",IF(CC881="-","Nicht im Lift",IF(BF881&gt;=1,"Lift",IF(BF881&lt;=0,"Aussenlager","teilweise")))))</f>
        <v>Lift</v>
      </c>
      <c r="BJ881" s="48" t="str">
        <f aca="false">IF(A881="","",IF(BS881=1,"Neu; ","")&amp;IF(AND(BS881=0,BN881&lt;0),"negativer Bestand (Export "&amp;BN881&amp;"); ","")&amp;IF(J881&lt;=0,"Kein Verbrauch; ","")&amp;IF(CL881&gt;0,"Lift "&amp;W881&amp;" lt. Liftbericht (Fach "&amp;X881&amp;" Stk); ",IF(BX881=1,"Gebinde geschätzt ("&amp;T881&amp;"); ",IF(BW881=1,"Lose – Tablare geschätzt; ","")))&amp;IF(H881&gt;AT881,"Überbestand "&amp;ROUND(H881-AT881,0)&amp;" Stk / CHF "&amp;ROUND((H881-AT881)*G881,0)&amp;"; ","")&amp;IF(AND(CE881=1,CF881&lt;CG881),"MAX &lt; MB+LG; ","")&amp;IF(AND(CK881&gt;0,CJ881*10&gt;CK881),"zu hoch für Tablar; ","")&amp;IF(AND(BS881=0,OR(CE881=1,AA881&lt;&gt;"",U881&lt;&gt;"",V881&lt;&gt;"",AB881&lt;&gt;"")),"manuell übersteuert; ","")&amp;IF(AND(BW881=0,R881=0),"Gebinde unbekannt / Stellmass fehlt; ","")&amp;IF(AND(BW881=0,N(V881)&lt;=0,N(Q881)&lt;=0),"Menge pro Gebinde fehlt (Ist = 1 Gebinde); ","")&amp;BR881)</f>
        <v>negativer Bestand (Export -151); </v>
      </c>
      <c r="BK881" s="48"/>
      <c r="BL881" s="48"/>
      <c r="BM881" s="55"/>
      <c r="BN881" s="50" t="n">
        <v>-151</v>
      </c>
      <c r="BO881" s="50" t="n">
        <v>1100</v>
      </c>
      <c r="BP881" s="49" t="n">
        <v>-27.18</v>
      </c>
      <c r="BQ881" s="50" t="n">
        <v>300</v>
      </c>
      <c r="BR881" s="48"/>
      <c r="BS881" s="53" t="n">
        <v>0</v>
      </c>
      <c r="BT881" s="53" t="n">
        <v>881</v>
      </c>
      <c r="BU881" s="48" t="str">
        <f aca="false">IF(U881&lt;&gt;"",UPPER(TRIM(U881)),IF(BX881=1,UPPER(VLOOKUP(T881,Parameter!$I$27:$K$29,2,0)),IF(P881="","LOSE",P881)))</f>
        <v>S61</v>
      </c>
      <c r="BV881" s="50" t="n">
        <f aca="false">IF(BU881="LOSE",1,IF(N(V881)&gt;0,V881,IF(BX881=1,MAX(1,N(VLOOKUP(T881,Parameter!$I$27:$K$29,3,0)),H881,N(N881)),IF(N(Q881)&gt;0,Q881,MAX(1,H881)))))</f>
        <v>850</v>
      </c>
      <c r="BW881" s="53" t="n">
        <f aca="false">IF(BU881="LOSE",1,0)</f>
        <v>0</v>
      </c>
      <c r="BX881" s="53" t="n">
        <f aca="false">IF(AND(U881="",OR(P881="",P881="LOSE"),T881&lt;&gt;"",N(S881)&lt;=0,ISNUMBER(MATCH(T881,Parameter!$I$27:$I$29,0))),1,0)</f>
        <v>0</v>
      </c>
      <c r="BY881" s="53" t="n">
        <f aca="false">IF(CL881&gt;0,INDEX(Parameter!$H$5:$H$7,W881)/INDEX(Parameter!$E$5:$E$7,W881),IF(AND(BW881=0,N(IFERROR(VLOOKUP(BU881,'Gebinde-Kategorie'!$A$5:$N$45,14,0),0))&gt;0),VLOOKUP(BU881,'Gebinde-Kategorie'!$A$5:$N$45,14,0)*10+Parameter!$M$23,Parameter!$M$24))</f>
        <v>145</v>
      </c>
      <c r="BZ881" s="48" t="str">
        <f aca="false">IF(AND(Parameter!$B$19="Ja",E881&lt;&gt;"",ISNUMBER(MATCH(E881,Parameter!$I$35:$I$52,0))),VLOOKUP(E881,Parameter!$I$35:$J$52,2,0),IFERROR(VLOOKUP(D881,Parameter!$A$35:$C$64,2,0),"Nein"))</f>
        <v>2+3</v>
      </c>
      <c r="CA881" s="52" t="n">
        <f aca="false">IF(BW881=0,0,IF(N(S881)&gt;0,S881,IFERROR(VLOOKUP(D881,Parameter!$A$35:$C$64,3,0)+0,0)))</f>
        <v>0</v>
      </c>
      <c r="CB881" s="48" t="n">
        <f aca="false">IF(AA881&lt;&gt;"",AA881,Z881)</f>
        <v>2</v>
      </c>
      <c r="CC881" s="48" t="str">
        <f aca="false">IF(OR(CB881=1,CB881=2,CB881=3),IF(Parameter!$E$27="Ja","LIFT",IF(CB881=1,"L1","L23")),IF(CB881="Aussen","Aussen","-"))</f>
        <v>LIFT</v>
      </c>
      <c r="CD881" s="59" t="n">
        <f aca="false">IF(N(AB881)&gt;0,AB881,0)</f>
        <v>0</v>
      </c>
      <c r="CE881" s="53" t="n">
        <f aca="false">IF(ISNUMBER(AE881),1,0)</f>
        <v>0</v>
      </c>
      <c r="CF881" s="50" t="n">
        <f aca="false">N(AE881)</f>
        <v>0</v>
      </c>
      <c r="CG881" s="50" t="n">
        <f aca="false">N(M881)+N(N881)</f>
        <v>1017</v>
      </c>
      <c r="CH881" s="50" t="n">
        <f aca="false">ROUNDUP(H881/BV881,0)</f>
        <v>2</v>
      </c>
      <c r="CI881" s="50" t="n">
        <f aca="false">ROUNDUP(CF881/BV881,0)</f>
        <v>0</v>
      </c>
      <c r="CJ881" s="53" t="n">
        <f aca="false">IF(BW881=1,0,IFERROR(VLOOKUP(BU881,'Gebinde-Kategorie'!$A$5:$N$45,5,0)+0,0))</f>
        <v>11</v>
      </c>
      <c r="CK881" s="53" t="n">
        <f aca="false">IFERROR(IF(OR(CB881=1,CB881=2,CB881=3),N(INDEX(Parameter!$I$5:$I$7,CB881)),0),0)</f>
        <v>0</v>
      </c>
      <c r="CL881" s="52" t="n">
        <f aca="false">IF(AND(Parameter!$B$21="Ja",ISNUMBER(W881),N(X881)&gt;0),IFERROR(N(INDEX(Parameter!$L$5:$L$7,W881))*INDEX(Parameter!$E$5:$E$7,W881)*X881/SUMIFS($X$7:$X$1843,$W$7:$W$1843,W881),0),0)</f>
        <v>0</v>
      </c>
    </row>
    <row r="882" customFormat="false" ht="15" hidden="false" customHeight="false" outlineLevel="0" collapsed="false">
      <c r="A882" s="48" t="s">
        <v>1672</v>
      </c>
      <c r="B882" s="48" t="s">
        <v>493</v>
      </c>
      <c r="C882" s="48" t="s">
        <v>168</v>
      </c>
      <c r="D882" s="48" t="s">
        <v>188</v>
      </c>
      <c r="E882" s="48" t="s">
        <v>189</v>
      </c>
      <c r="F882" s="48" t="s">
        <v>222</v>
      </c>
      <c r="G882" s="49" t="n">
        <v>1.78</v>
      </c>
      <c r="H882" s="50" t="n">
        <f aca="false">MAX(0,IF(AND(Parameter!$B$21="Ja",ISNUMBER(Y882)),Y882,IF(Parameter!$B$20="Jahresanfang 2025 + Export",BO882+BN882,BN882)))</f>
        <v>104</v>
      </c>
      <c r="I882" s="50" t="n">
        <f aca="false">H882*G882</f>
        <v>185.12</v>
      </c>
      <c r="J882" s="50" t="n">
        <f aca="false">BQ882*Parameter!$B$18</f>
        <v>187</v>
      </c>
      <c r="K882" s="51" t="n">
        <v>180</v>
      </c>
      <c r="L882" s="52" t="n">
        <v>1.03888888888889</v>
      </c>
      <c r="M882" s="50" t="n">
        <v>7</v>
      </c>
      <c r="N882" s="50" t="n">
        <v>185</v>
      </c>
      <c r="O882" s="53" t="n">
        <v>14</v>
      </c>
      <c r="P882" s="48" t="s">
        <v>430</v>
      </c>
      <c r="Q882" s="50" t="n">
        <v>547</v>
      </c>
      <c r="R882" s="53" t="n">
        <f aca="false">IF(BW882=1,0,IFERROR(VLOOKUP(BU882,'Gebinde-Kategorie'!$A$5:$N$45,13,0)+0,0))</f>
        <v>140</v>
      </c>
      <c r="S882" s="54"/>
      <c r="T882" s="55"/>
      <c r="U882" s="55"/>
      <c r="V882" s="55"/>
      <c r="W882" s="48"/>
      <c r="X882" s="50"/>
      <c r="Y882" s="50"/>
      <c r="Z882" s="48" t="n">
        <f aca="false">IF(A882="","",IF(AND(Parameter!$B$21="Ja",ISNUMBER(W882)),W882,IF(BZ882="2+3",IF(ISNUMBER(SEARCH("grosser Artikel",BR882)),2,IFERROR(VLOOKUP(BU882,Parameter!$F$35:$G$64,2,0),2)),IF(OR(BZ882="Nein",BZ882=""),"-",BZ882))))</f>
        <v>3</v>
      </c>
      <c r="AA882" s="55"/>
      <c r="AB882" s="56"/>
      <c r="AC882" s="50" t="n">
        <f aca="false">AT882</f>
        <v>547</v>
      </c>
      <c r="AD882" s="50" t="n">
        <f aca="false">MAX(AT882,H882)</f>
        <v>547</v>
      </c>
      <c r="AE882" s="57"/>
      <c r="AF882" s="50" t="n">
        <f aca="false">IF(LEFT(Cockpit!$C$5,1)="A",H882,IF(CE882=1,CF882,IF(LEFT(Cockpit!$C$5,1)="B",AK882,MAX(AK882,H882))))</f>
        <v>104</v>
      </c>
      <c r="AG882" s="50" t="n">
        <f aca="false">IF(BW882=1,0,ROUNDUP(AF882/BV882,0))</f>
        <v>1</v>
      </c>
      <c r="AH882" s="52" t="n">
        <f aca="false">IF(CL882&gt;0,CL882*MAX(1,AF882/X882),IF(BW882=1,IF(AF882&lt;=0,0,CA882*MAX(1,IF(H882&gt;0,AF882/H882,1))),IF(R882&gt;0,AG882/R882,0))/MAX(0.1,N(Parameter!$M$21)))</f>
        <v>0.00714285714285714</v>
      </c>
      <c r="AI882" s="50" t="n">
        <f aca="false">AH882*BY882</f>
        <v>1.10714285714286</v>
      </c>
      <c r="AJ882" s="50" t="n">
        <f aca="false">AF882*G882</f>
        <v>185.12</v>
      </c>
      <c r="AK882" s="50" t="n">
        <f aca="false">ROUNDUP(MAX(J882/IF(CD882&gt;0,CD882,MAX(0.1,N(Cockpit!$C$6))),CG882)/BV882,0)*BV882</f>
        <v>547</v>
      </c>
      <c r="AL882" s="51" t="n">
        <f aca="false">IF(AI882&gt;0,J882/AI882,-1)</f>
        <v>168.903225806452</v>
      </c>
      <c r="AM882" s="51" t="n">
        <f aca="false">IF(AND(OR(CC882="L1",CC882="L23",CC882="LIFT"),AI882&gt;0),SUMIFS($AI$7:$AI$1843,$CC$7:$CC$1843,CC882,$AL$7:$AL$1843,"&gt;"&amp;AL882)+SUMIFS($AI$7:$AI$1843,$CC$7:$CC$1843,CC882,$AL$7:$AL$1843,AL882,$BT$7:$BT$1843,"&lt;="&amp;BT882),"")</f>
        <v>407.831501831502</v>
      </c>
      <c r="AN882" s="58" t="n">
        <f aca="false">IF(AM882="",0,MAX(0,MIN(1,(IF(CC882="L1",Parameter!$H$5,IF(CC882="L23",Parameter!$H$6+Parameter!$H$7,Parameter!$H$5+Parameter!$H$6+Parameter!$H$7))-(AM882-AI882))/AI882)))</f>
        <v>1</v>
      </c>
      <c r="AO882" s="50" t="n">
        <f aca="false">IF(LEFT(Cockpit!$I$5,1)="A",H882,IF(CE882=1,CF882,IF(LEFT(Cockpit!$I$5,1)="B",AT882,MAX(AT882,H882))))</f>
        <v>547</v>
      </c>
      <c r="AP882" s="50" t="n">
        <f aca="false">IF(BW882=1,0,ROUNDUP(AO882/BV882,0))</f>
        <v>1</v>
      </c>
      <c r="AQ882" s="52" t="n">
        <f aca="false">IF(CL882&gt;0,CL882*MAX(1,AO882/X882),IF(BW882=1,IF(AO882&lt;=0,0,CA882*MAX(1,IF(H882&gt;0,AO882/H882,1))),IF(R882&gt;0,AP882/R882,0))/MAX(0.1,N(Parameter!$M$21)))</f>
        <v>0.00714285714285714</v>
      </c>
      <c r="AR882" s="50" t="n">
        <f aca="false">AQ882*BY882</f>
        <v>1.10714285714286</v>
      </c>
      <c r="AS882" s="50" t="n">
        <f aca="false">AO882*G882</f>
        <v>973.66</v>
      </c>
      <c r="AT882" s="50" t="n">
        <f aca="false">ROUNDUP(MAX(J882/IF(CD882&gt;0,CD882,MAX(0.1,N(Cockpit!$I$6))),CG882)/BV882,0)*BV882</f>
        <v>547</v>
      </c>
      <c r="AU882" s="51" t="n">
        <f aca="false">IF(AR882&gt;0,J882/AR882,-1)</f>
        <v>168.903225806452</v>
      </c>
      <c r="AV882" s="51" t="n">
        <f aca="false">IF(AND(OR(CC882="L1",CC882="L23",CC882="LIFT"),AR882&gt;0),SUMIFS($AR$7:$AR$1843,$CC$7:$CC$1843,CC882,$AU$7:$AU$1843,"&gt;"&amp;AU882)+SUMIFS($AR$7:$AR$1843,$CC$7:$CC$1843,CC882,$AU$7:$AU$1843,AU882,$BT$7:$BT$1843,"&lt;="&amp;BT882),"")</f>
        <v>468.255952380952</v>
      </c>
      <c r="AW882" s="58" t="n">
        <f aca="false">IF(AV882="",0,MAX(0,MIN(1,(IF(CC882="L1",Parameter!$H$5,IF(CC882="L23",Parameter!$H$6+Parameter!$H$7,Parameter!$H$5+Parameter!$H$6+Parameter!$H$7))-(AV882-AR882))/AR882)))</f>
        <v>1</v>
      </c>
      <c r="AX882" s="50" t="n">
        <f aca="false">IF(LEFT(Cockpit!$O$5,1)="A",H882,IF(CE882=1,CF882,IF(LEFT(Cockpit!$O$5,1)="B",BC882,MAX(BC882,H882))))</f>
        <v>547</v>
      </c>
      <c r="AY882" s="50" t="n">
        <f aca="false">IF(BW882=1,0,ROUNDUP(AX882/BV882,0))</f>
        <v>1</v>
      </c>
      <c r="AZ882" s="52" t="n">
        <f aca="false">IF(CL882&gt;0,CL882*MAX(1,AX882/X882),IF(BW882=1,IF(AX882&lt;=0,0,CA882*MAX(1,IF(H882&gt;0,AX882/H882,1))),IF(R882&gt;0,AY882/R882,0))/MAX(0.1,N(Parameter!$M$21)))</f>
        <v>0.00714285714285714</v>
      </c>
      <c r="BA882" s="50" t="n">
        <f aca="false">AZ882*BY882</f>
        <v>1.10714285714286</v>
      </c>
      <c r="BB882" s="50" t="n">
        <f aca="false">AX882*G882</f>
        <v>973.66</v>
      </c>
      <c r="BC882" s="50" t="n">
        <f aca="false">ROUNDUP(MAX(J882/IF(CD882&gt;0,CD882,MAX(0.1,N(Cockpit!$O$6))),CG882)/BV882,0)*BV882</f>
        <v>547</v>
      </c>
      <c r="BD882" s="51" t="n">
        <f aca="false">IF(BA882&gt;0,J882/BA882,-1)</f>
        <v>168.903225806452</v>
      </c>
      <c r="BE882" s="51" t="n">
        <f aca="false">IF(AND(OR(CC882="L1",CC882="L23",CC882="LIFT"),BA882&gt;0),SUMIFS($BA$7:$BA$1843,$CC$7:$CC$1843,CC882,$BD$7:$BD$1843,"&gt;"&amp;BD882)+SUMIFS($BA$7:$BA$1843,$CC$7:$CC$1843,CC882,$BD$7:$BD$1843,BD882,$BT$7:$BT$1843,"&lt;="&amp;BT882),"")</f>
        <v>530.195054945055</v>
      </c>
      <c r="BF882" s="58" t="n">
        <f aca="false">IF(BE882="",0,MAX(0,MIN(1,(IF(CC882="L1",Parameter!$H$5,IF(CC882="L23",Parameter!$H$6+Parameter!$H$7,Parameter!$H$5+Parameter!$H$6+Parameter!$H$7))-(BE882-BA882))/BA882)))</f>
        <v>1</v>
      </c>
      <c r="BG882" s="48" t="str">
        <f aca="false">IF(AI882&lt;=0,"",IF(CC882="Aussen","Aussenlager",IF(CC882="-","Nicht im Lift",IF(AN882&gt;=1,"Lift",IF(AN882&lt;=0,"Aussenlager","teilweise")))))</f>
        <v>Lift</v>
      </c>
      <c r="BH882" s="48" t="str">
        <f aca="false">IF(AR882&lt;=0,"",IF(CC882="Aussen","Aussenlager",IF(CC882="-","Nicht im Lift",IF(AW882&gt;=1,"Lift",IF(AW882&lt;=0,"Aussenlager","teilweise")))))</f>
        <v>Lift</v>
      </c>
      <c r="BI882" s="48" t="str">
        <f aca="false">IF(BA882&lt;=0,"",IF(CC882="Aussen","Aussenlager",IF(CC882="-","Nicht im Lift",IF(BF882&gt;=1,"Lift",IF(BF882&lt;=0,"Aussenlager","teilweise")))))</f>
        <v>Lift</v>
      </c>
      <c r="BJ882" s="48" t="str">
        <f aca="false">IF(A882="","",IF(BS882=1,"Neu; ","")&amp;IF(AND(BS882=0,BN882&lt;0),"negativer Bestand (Export "&amp;BN882&amp;"); ","")&amp;IF(J882&lt;=0,"Kein Verbrauch; ","")&amp;IF(CL882&gt;0,"Lift "&amp;W882&amp;" lt. Liftbericht (Fach "&amp;X882&amp;" Stk); ",IF(BX882=1,"Gebinde geschätzt ("&amp;T882&amp;"); ",IF(BW882=1,"Lose – Tablare geschätzt; ","")))&amp;IF(H882&gt;AT882,"Überbestand "&amp;ROUND(H882-AT882,0)&amp;" Stk / CHF "&amp;ROUND((H882-AT882)*G882,0)&amp;"; ","")&amp;IF(AND(CE882=1,CF882&lt;CG882),"MAX &lt; MB+LG; ","")&amp;IF(AND(CK882&gt;0,CJ882*10&gt;CK882),"zu hoch für Tablar; ","")&amp;IF(AND(BS882=0,OR(CE882=1,AA882&lt;&gt;"",U882&lt;&gt;"",V882&lt;&gt;"",AB882&lt;&gt;"")),"manuell übersteuert; ","")&amp;IF(AND(BW882=0,R882=0),"Gebinde unbekannt / Stellmass fehlt; ","")&amp;IF(AND(BW882=0,N(V882)&lt;=0,N(Q882)&lt;=0),"Menge pro Gebinde fehlt (Ist = 1 Gebinde); ","")&amp;BR882)</f>
        <v>negativer Bestand (Export -14); </v>
      </c>
      <c r="BK882" s="48"/>
      <c r="BL882" s="48"/>
      <c r="BM882" s="55"/>
      <c r="BN882" s="50" t="n">
        <v>-14</v>
      </c>
      <c r="BO882" s="50" t="n">
        <v>118</v>
      </c>
      <c r="BP882" s="49" t="n">
        <v>-27.1800000000001</v>
      </c>
      <c r="BQ882" s="50" t="n">
        <v>187</v>
      </c>
      <c r="BR882" s="48"/>
      <c r="BS882" s="53" t="n">
        <v>0</v>
      </c>
      <c r="BT882" s="53" t="n">
        <v>882</v>
      </c>
      <c r="BU882" s="48" t="str">
        <f aca="false">IF(U882&lt;&gt;"",UPPER(TRIM(U882)),IF(BX882=1,UPPER(VLOOKUP(T882,Parameter!$I$27:$K$29,2,0)),IF(P882="","LOSE",P882)))</f>
        <v>S22</v>
      </c>
      <c r="BV882" s="50" t="n">
        <f aca="false">IF(BU882="LOSE",1,IF(N(V882)&gt;0,V882,IF(BX882=1,MAX(1,N(VLOOKUP(T882,Parameter!$I$27:$K$29,3,0)),H882,N(N882)),IF(N(Q882)&gt;0,Q882,MAX(1,H882)))))</f>
        <v>547</v>
      </c>
      <c r="BW882" s="53" t="n">
        <f aca="false">IF(BU882="LOSE",1,0)</f>
        <v>0</v>
      </c>
      <c r="BX882" s="53" t="n">
        <f aca="false">IF(AND(U882="",OR(P882="",P882="LOSE"),T882&lt;&gt;"",N(S882)&lt;=0,ISNUMBER(MATCH(T882,Parameter!$I$27:$I$29,0))),1,0)</f>
        <v>0</v>
      </c>
      <c r="BY882" s="53" t="n">
        <f aca="false">IF(CL882&gt;0,INDEX(Parameter!$H$5:$H$7,W882)/INDEX(Parameter!$E$5:$E$7,W882),IF(AND(BW882=0,N(IFERROR(VLOOKUP(BU882,'Gebinde-Kategorie'!$A$5:$N$45,14,0),0))&gt;0),VLOOKUP(BU882,'Gebinde-Kategorie'!$A$5:$N$45,14,0)*10+Parameter!$M$23,Parameter!$M$24))</f>
        <v>155</v>
      </c>
      <c r="BZ882" s="48" t="str">
        <f aca="false">IF(AND(Parameter!$B$19="Ja",E882&lt;&gt;"",ISNUMBER(MATCH(E882,Parameter!$I$35:$I$52,0))),VLOOKUP(E882,Parameter!$I$35:$J$52,2,0),IFERROR(VLOOKUP(D882,Parameter!$A$35:$C$64,2,0),"Nein"))</f>
        <v>2+3</v>
      </c>
      <c r="CA882" s="52" t="n">
        <f aca="false">IF(BW882=0,0,IF(N(S882)&gt;0,S882,IFERROR(VLOOKUP(D882,Parameter!$A$35:$C$64,3,0)+0,0)))</f>
        <v>0</v>
      </c>
      <c r="CB882" s="48" t="n">
        <f aca="false">IF(AA882&lt;&gt;"",AA882,Z882)</f>
        <v>3</v>
      </c>
      <c r="CC882" s="48" t="str">
        <f aca="false">IF(OR(CB882=1,CB882=2,CB882=3),IF(Parameter!$E$27="Ja","LIFT",IF(CB882=1,"L1","L23")),IF(CB882="Aussen","Aussen","-"))</f>
        <v>LIFT</v>
      </c>
      <c r="CD882" s="59" t="n">
        <f aca="false">IF(N(AB882)&gt;0,AB882,0)</f>
        <v>0</v>
      </c>
      <c r="CE882" s="53" t="n">
        <f aca="false">IF(ISNUMBER(AE882),1,0)</f>
        <v>0</v>
      </c>
      <c r="CF882" s="50" t="n">
        <f aca="false">N(AE882)</f>
        <v>0</v>
      </c>
      <c r="CG882" s="50" t="n">
        <f aca="false">N(M882)+N(N882)</f>
        <v>192</v>
      </c>
      <c r="CH882" s="50" t="n">
        <f aca="false">ROUNDUP(H882/BV882,0)</f>
        <v>1</v>
      </c>
      <c r="CI882" s="50" t="n">
        <f aca="false">ROUNDUP(CF882/BV882,0)</f>
        <v>0</v>
      </c>
      <c r="CJ882" s="53" t="n">
        <f aca="false">IF(BW882=1,0,IFERROR(VLOOKUP(BU882,'Gebinde-Kategorie'!$A$5:$N$45,5,0)+0,0))</f>
        <v>8</v>
      </c>
      <c r="CK882" s="53" t="n">
        <f aca="false">IFERROR(IF(OR(CB882=1,CB882=2,CB882=3),N(INDEX(Parameter!$I$5:$I$7,CB882)),0),0)</f>
        <v>0</v>
      </c>
      <c r="CL882" s="52" t="n">
        <f aca="false">IF(AND(Parameter!$B$21="Ja",ISNUMBER(W882),N(X882)&gt;0),IFERROR(N(INDEX(Parameter!$L$5:$L$7,W882))*INDEX(Parameter!$E$5:$E$7,W882)*X882/SUMIFS($X$7:$X$1843,$W$7:$W$1843,W882),0),0)</f>
        <v>0</v>
      </c>
    </row>
    <row r="883" customFormat="false" ht="15" hidden="false" customHeight="false" outlineLevel="0" collapsed="false">
      <c r="A883" s="48" t="s">
        <v>1673</v>
      </c>
      <c r="B883" s="48" t="s">
        <v>1674</v>
      </c>
      <c r="C883" s="48" t="s">
        <v>168</v>
      </c>
      <c r="D883" s="48" t="s">
        <v>188</v>
      </c>
      <c r="E883" s="48" t="s">
        <v>189</v>
      </c>
      <c r="F883" s="48" t="s">
        <v>222</v>
      </c>
      <c r="G883" s="49" t="n">
        <v>27.73</v>
      </c>
      <c r="H883" s="50" t="n">
        <f aca="false">MAX(0,IF(AND(Parameter!$B$21="Ja",ISNUMBER(Y883)),Y883,IF(Parameter!$B$20="Jahresanfang 2025 + Export",BO883+BN883,BN883)))</f>
        <v>27</v>
      </c>
      <c r="I883" s="50" t="n">
        <f aca="false">H883*G883</f>
        <v>748.71</v>
      </c>
      <c r="J883" s="50" t="n">
        <f aca="false">BQ883*Parameter!$B$18</f>
        <v>1</v>
      </c>
      <c r="K883" s="51" t="n">
        <v>27.5</v>
      </c>
      <c r="L883" s="52" t="n">
        <v>0.0363636363636364</v>
      </c>
      <c r="M883" s="50" t="n">
        <v>0</v>
      </c>
      <c r="N883" s="50" t="n">
        <v>1</v>
      </c>
      <c r="O883" s="53" t="n">
        <v>21</v>
      </c>
      <c r="P883" s="48" t="s">
        <v>425</v>
      </c>
      <c r="Q883" s="50" t="n">
        <v>36</v>
      </c>
      <c r="R883" s="53" t="n">
        <f aca="false">IF(BW883=1,0,IFERROR(VLOOKUP(BU883,'Gebinde-Kategorie'!$A$5:$N$45,13,0)+0,0))</f>
        <v>104</v>
      </c>
      <c r="S883" s="54"/>
      <c r="T883" s="55"/>
      <c r="U883" s="55"/>
      <c r="V883" s="55"/>
      <c r="W883" s="48"/>
      <c r="X883" s="50"/>
      <c r="Y883" s="50"/>
      <c r="Z883" s="48" t="n">
        <f aca="false">IF(A883="","",IF(AND(Parameter!$B$21="Ja",ISNUMBER(W883)),W883,IF(BZ883="2+3",IF(ISNUMBER(SEARCH("grosser Artikel",BR883)),2,IFERROR(VLOOKUP(BU883,Parameter!$F$35:$G$64,2,0),2)),IF(OR(BZ883="Nein",BZ883=""),"-",BZ883))))</f>
        <v>3</v>
      </c>
      <c r="AA883" s="55"/>
      <c r="AB883" s="56"/>
      <c r="AC883" s="50" t="n">
        <f aca="false">AT883</f>
        <v>36</v>
      </c>
      <c r="AD883" s="50" t="n">
        <f aca="false">MAX(AT883,H883)</f>
        <v>36</v>
      </c>
      <c r="AE883" s="57"/>
      <c r="AF883" s="50" t="n">
        <f aca="false">IF(LEFT(Cockpit!$C$5,1)="A",H883,IF(CE883=1,CF883,IF(LEFT(Cockpit!$C$5,1)="B",AK883,MAX(AK883,H883))))</f>
        <v>27</v>
      </c>
      <c r="AG883" s="50" t="n">
        <f aca="false">IF(BW883=1,0,ROUNDUP(AF883/BV883,0))</f>
        <v>1</v>
      </c>
      <c r="AH883" s="52" t="n">
        <f aca="false">IF(CL883&gt;0,CL883*MAX(1,AF883/X883),IF(BW883=1,IF(AF883&lt;=0,0,CA883*MAX(1,IF(H883&gt;0,AF883/H883,1))),IF(R883&gt;0,AG883/R883,0))/MAX(0.1,N(Parameter!$M$21)))</f>
        <v>0.00961538461538462</v>
      </c>
      <c r="AI883" s="50" t="n">
        <f aca="false">AH883*BY883</f>
        <v>1.49038461538462</v>
      </c>
      <c r="AJ883" s="50" t="n">
        <f aca="false">AF883*G883</f>
        <v>748.71</v>
      </c>
      <c r="AK883" s="50" t="n">
        <f aca="false">ROUNDUP(MAX(J883/IF(CD883&gt;0,CD883,MAX(0.1,N(Cockpit!$C$6))),CG883)/BV883,0)*BV883</f>
        <v>36</v>
      </c>
      <c r="AL883" s="51" t="n">
        <f aca="false">IF(AI883&gt;0,J883/AI883,-1)</f>
        <v>0.670967741935484</v>
      </c>
      <c r="AM883" s="51" t="n">
        <f aca="false">IF(AND(OR(CC883="L1",CC883="L23",CC883="LIFT"),AI883&gt;0),SUMIFS($AI$7:$AI$1843,$CC$7:$CC$1843,CC883,$AL$7:$AL$1843,"&gt;"&amp;AL883)+SUMIFS($AI$7:$AI$1843,$CC$7:$CC$1843,CC883,$AL$7:$AL$1843,AL883,$BT$7:$BT$1843,"&lt;="&amp;BT883),"")</f>
        <v>8620.58333333333</v>
      </c>
      <c r="AN883" s="58" t="n">
        <f aca="false">IF(AM883="",0,MAX(0,MIN(1,(IF(CC883="L1",Parameter!$H$5,IF(CC883="L23",Parameter!$H$6+Parameter!$H$7,Parameter!$H$5+Parameter!$H$6+Parameter!$H$7))-(AM883-AI883))/AI883)))</f>
        <v>1</v>
      </c>
      <c r="AO883" s="50" t="n">
        <f aca="false">IF(LEFT(Cockpit!$I$5,1)="A",H883,IF(CE883=1,CF883,IF(LEFT(Cockpit!$I$5,1)="B",AT883,MAX(AT883,H883))))</f>
        <v>36</v>
      </c>
      <c r="AP883" s="50" t="n">
        <f aca="false">IF(BW883=1,0,ROUNDUP(AO883/BV883,0))</f>
        <v>1</v>
      </c>
      <c r="AQ883" s="52" t="n">
        <f aca="false">IF(CL883&gt;0,CL883*MAX(1,AO883/X883),IF(BW883=1,IF(AO883&lt;=0,0,CA883*MAX(1,IF(H883&gt;0,AO883/H883,1))),IF(R883&gt;0,AP883/R883,0))/MAX(0.1,N(Parameter!$M$21)))</f>
        <v>0.00961538461538462</v>
      </c>
      <c r="AR883" s="50" t="n">
        <f aca="false">AQ883*BY883</f>
        <v>1.49038461538462</v>
      </c>
      <c r="AS883" s="50" t="n">
        <f aca="false">AO883*G883</f>
        <v>998.28</v>
      </c>
      <c r="AT883" s="50" t="n">
        <f aca="false">ROUNDUP(MAX(J883/IF(CD883&gt;0,CD883,MAX(0.1,N(Cockpit!$I$6))),CG883)/BV883,0)*BV883</f>
        <v>36</v>
      </c>
      <c r="AU883" s="51" t="n">
        <f aca="false">IF(AR883&gt;0,J883/AR883,-1)</f>
        <v>0.670967741935484</v>
      </c>
      <c r="AV883" s="51" t="n">
        <f aca="false">IF(AND(OR(CC883="L1",CC883="L23",CC883="LIFT"),AR883&gt;0),SUMIFS($AR$7:$AR$1843,$CC$7:$CC$1843,CC883,$AU$7:$AU$1843,"&gt;"&amp;AU883)+SUMIFS($AR$7:$AR$1843,$CC$7:$CC$1843,CC883,$AU$7:$AU$1843,AU883,$BT$7:$BT$1843,"&lt;="&amp;BT883),"")</f>
        <v>11762.7055860806</v>
      </c>
      <c r="AW883" s="58" t="n">
        <f aca="false">IF(AV883="",0,MAX(0,MIN(1,(IF(CC883="L1",Parameter!$H$5,IF(CC883="L23",Parameter!$H$6+Parameter!$H$7,Parameter!$H$5+Parameter!$H$6+Parameter!$H$7))-(AV883-AR883))/AR883)))</f>
        <v>1</v>
      </c>
      <c r="AX883" s="50" t="n">
        <f aca="false">IF(LEFT(Cockpit!$O$5,1)="A",H883,IF(CE883=1,CF883,IF(LEFT(Cockpit!$O$5,1)="B",BC883,MAX(BC883,H883))))</f>
        <v>36</v>
      </c>
      <c r="AY883" s="50" t="n">
        <f aca="false">IF(BW883=1,0,ROUNDUP(AX883/BV883,0))</f>
        <v>1</v>
      </c>
      <c r="AZ883" s="52" t="n">
        <f aca="false">IF(CL883&gt;0,CL883*MAX(1,AX883/X883),IF(BW883=1,IF(AX883&lt;=0,0,CA883*MAX(1,IF(H883&gt;0,AX883/H883,1))),IF(R883&gt;0,AY883/R883,0))/MAX(0.1,N(Parameter!$M$21)))</f>
        <v>0.00961538461538462</v>
      </c>
      <c r="BA883" s="50" t="n">
        <f aca="false">AZ883*BY883</f>
        <v>1.49038461538462</v>
      </c>
      <c r="BB883" s="50" t="n">
        <f aca="false">AX883*G883</f>
        <v>998.28</v>
      </c>
      <c r="BC883" s="50" t="n">
        <f aca="false">ROUNDUP(MAX(J883/IF(CD883&gt;0,CD883,MAX(0.1,N(Cockpit!$O$6))),CG883)/BV883,0)*BV883</f>
        <v>36</v>
      </c>
      <c r="BD883" s="51" t="n">
        <f aca="false">IF(BA883&gt;0,J883/BA883,-1)</f>
        <v>0.670967741935484</v>
      </c>
      <c r="BE883" s="51" t="n">
        <f aca="false">IF(AND(OR(CC883="L1",CC883="L23",CC883="LIFT"),BA883&gt;0),SUMIFS($BA$7:$BA$1843,$CC$7:$CC$1843,CC883,$BD$7:$BD$1843,"&gt;"&amp;BD883)+SUMIFS($BA$7:$BA$1843,$CC$7:$CC$1843,CC883,$BD$7:$BD$1843,BD883,$BT$7:$BT$1843,"&lt;="&amp;BT883),"")</f>
        <v>11362.5293040293</v>
      </c>
      <c r="BF883" s="58" t="n">
        <f aca="false">IF(BE883="",0,MAX(0,MIN(1,(IF(CC883="L1",Parameter!$H$5,IF(CC883="L23",Parameter!$H$6+Parameter!$H$7,Parameter!$H$5+Parameter!$H$6+Parameter!$H$7))-(BE883-BA883))/BA883)))</f>
        <v>1</v>
      </c>
      <c r="BG883" s="48" t="str">
        <f aca="false">IF(AI883&lt;=0,"",IF(CC883="Aussen","Aussenlager",IF(CC883="-","Nicht im Lift",IF(AN883&gt;=1,"Lift",IF(AN883&lt;=0,"Aussenlager","teilweise")))))</f>
        <v>Lift</v>
      </c>
      <c r="BH883" s="48" t="str">
        <f aca="false">IF(AR883&lt;=0,"",IF(CC883="Aussen","Aussenlager",IF(CC883="-","Nicht im Lift",IF(AW883&gt;=1,"Lift",IF(AW883&lt;=0,"Aussenlager","teilweise")))))</f>
        <v>Lift</v>
      </c>
      <c r="BI883" s="48" t="str">
        <f aca="false">IF(BA883&lt;=0,"",IF(CC883="Aussen","Aussenlager",IF(CC883="-","Nicht im Lift",IF(BF883&gt;=1,"Lift",IF(BF883&lt;=0,"Aussenlager","teilweise")))))</f>
        <v>Lift</v>
      </c>
      <c r="BJ883" s="48" t="str">
        <f aca="false">IF(A883="","",IF(BS883=1,"Neu; ","")&amp;IF(AND(BS883=0,BN883&lt;0),"negativer Bestand (Export "&amp;BN883&amp;"); ","")&amp;IF(J883&lt;=0,"Kein Verbrauch; ","")&amp;IF(CL883&gt;0,"Lift "&amp;W883&amp;" lt. Liftbericht (Fach "&amp;X883&amp;" Stk); ",IF(BX883=1,"Gebinde geschätzt ("&amp;T883&amp;"); ",IF(BW883=1,"Lose – Tablare geschätzt; ","")))&amp;IF(H883&gt;AT883,"Überbestand "&amp;ROUND(H883-AT883,0)&amp;" Stk / CHF "&amp;ROUND((H883-AT883)*G883,0)&amp;"; ","")&amp;IF(AND(CE883=1,CF883&lt;CG883),"MAX &lt; MB+LG; ","")&amp;IF(AND(CK883&gt;0,CJ883*10&gt;CK883),"zu hoch für Tablar; ","")&amp;IF(AND(BS883=0,OR(CE883=1,AA883&lt;&gt;"",U883&lt;&gt;"",V883&lt;&gt;"",AB883&lt;&gt;"")),"manuell übersteuert; ","")&amp;IF(AND(BW883=0,R883=0),"Gebinde unbekannt / Stellmass fehlt; ","")&amp;IF(AND(BW883=0,N(V883)&lt;=0,N(Q883)&lt;=0),"Menge pro Gebinde fehlt (Ist = 1 Gebinde); ","")&amp;BR883)</f>
        <v>negativer Bestand (Export -1); Neu</v>
      </c>
      <c r="BK883" s="48"/>
      <c r="BL883" s="48"/>
      <c r="BM883" s="55"/>
      <c r="BN883" s="50" t="n">
        <v>-1</v>
      </c>
      <c r="BO883" s="50" t="n">
        <v>28</v>
      </c>
      <c r="BP883" s="49" t="n">
        <v>-27.73</v>
      </c>
      <c r="BQ883" s="50" t="n">
        <v>1</v>
      </c>
      <c r="BR883" s="48" t="s">
        <v>630</v>
      </c>
      <c r="BS883" s="53" t="n">
        <v>0</v>
      </c>
      <c r="BT883" s="53" t="n">
        <v>883</v>
      </c>
      <c r="BU883" s="48" t="str">
        <f aca="false">IF(U883&lt;&gt;"",UPPER(TRIM(U883)),IF(BX883=1,UPPER(VLOOKUP(T883,Parameter!$I$27:$K$29,2,0)),IF(P883="","LOSE",P883)))</f>
        <v>S32</v>
      </c>
      <c r="BV883" s="50" t="n">
        <f aca="false">IF(BU883="LOSE",1,IF(N(V883)&gt;0,V883,IF(BX883=1,MAX(1,N(VLOOKUP(T883,Parameter!$I$27:$K$29,3,0)),H883,N(N883)),IF(N(Q883)&gt;0,Q883,MAX(1,H883)))))</f>
        <v>36</v>
      </c>
      <c r="BW883" s="53" t="n">
        <f aca="false">IF(BU883="LOSE",1,0)</f>
        <v>0</v>
      </c>
      <c r="BX883" s="53" t="n">
        <f aca="false">IF(AND(U883="",OR(P883="",P883="LOSE"),T883&lt;&gt;"",N(S883)&lt;=0,ISNUMBER(MATCH(T883,Parameter!$I$27:$I$29,0))),1,0)</f>
        <v>0</v>
      </c>
      <c r="BY883" s="53" t="n">
        <f aca="false">IF(CL883&gt;0,INDEX(Parameter!$H$5:$H$7,W883)/INDEX(Parameter!$E$5:$E$7,W883),IF(AND(BW883=0,N(IFERROR(VLOOKUP(BU883,'Gebinde-Kategorie'!$A$5:$N$45,14,0),0))&gt;0),VLOOKUP(BU883,'Gebinde-Kategorie'!$A$5:$N$45,14,0)*10+Parameter!$M$23,Parameter!$M$24))</f>
        <v>155</v>
      </c>
      <c r="BZ883" s="48" t="str">
        <f aca="false">IF(AND(Parameter!$B$19="Ja",E883&lt;&gt;"",ISNUMBER(MATCH(E883,Parameter!$I$35:$I$52,0))),VLOOKUP(E883,Parameter!$I$35:$J$52,2,0),IFERROR(VLOOKUP(D883,Parameter!$A$35:$C$64,2,0),"Nein"))</f>
        <v>2+3</v>
      </c>
      <c r="CA883" s="52" t="n">
        <f aca="false">IF(BW883=0,0,IF(N(S883)&gt;0,S883,IFERROR(VLOOKUP(D883,Parameter!$A$35:$C$64,3,0)+0,0)))</f>
        <v>0</v>
      </c>
      <c r="CB883" s="48" t="n">
        <f aca="false">IF(AA883&lt;&gt;"",AA883,Z883)</f>
        <v>3</v>
      </c>
      <c r="CC883" s="48" t="str">
        <f aca="false">IF(OR(CB883=1,CB883=2,CB883=3),IF(Parameter!$E$27="Ja","LIFT",IF(CB883=1,"L1","L23")),IF(CB883="Aussen","Aussen","-"))</f>
        <v>LIFT</v>
      </c>
      <c r="CD883" s="59" t="n">
        <f aca="false">IF(N(AB883)&gt;0,AB883,0)</f>
        <v>0</v>
      </c>
      <c r="CE883" s="53" t="n">
        <f aca="false">IF(ISNUMBER(AE883),1,0)</f>
        <v>0</v>
      </c>
      <c r="CF883" s="50" t="n">
        <f aca="false">N(AE883)</f>
        <v>0</v>
      </c>
      <c r="CG883" s="50" t="n">
        <f aca="false">N(M883)+N(N883)</f>
        <v>1</v>
      </c>
      <c r="CH883" s="50" t="n">
        <f aca="false">ROUNDUP(H883/BV883,0)</f>
        <v>1</v>
      </c>
      <c r="CI883" s="50" t="n">
        <f aca="false">ROUNDUP(CF883/BV883,0)</f>
        <v>0</v>
      </c>
      <c r="CJ883" s="53" t="n">
        <f aca="false">IF(BW883=1,0,IFERROR(VLOOKUP(BU883,'Gebinde-Kategorie'!$A$5:$N$45,5,0)+0,0))</f>
        <v>8</v>
      </c>
      <c r="CK883" s="53" t="n">
        <f aca="false">IFERROR(IF(OR(CB883=1,CB883=2,CB883=3),N(INDEX(Parameter!$I$5:$I$7,CB883)),0),0)</f>
        <v>0</v>
      </c>
      <c r="CL883" s="52" t="n">
        <f aca="false">IF(AND(Parameter!$B$21="Ja",ISNUMBER(W883),N(X883)&gt;0),IFERROR(N(INDEX(Parameter!$L$5:$L$7,W883))*INDEX(Parameter!$E$5:$E$7,W883)*X883/SUMIFS($X$7:$X$1843,$W$7:$W$1843,W883),0),0)</f>
        <v>0</v>
      </c>
    </row>
    <row r="884" customFormat="false" ht="15" hidden="false" customHeight="false" outlineLevel="0" collapsed="false">
      <c r="A884" s="48" t="s">
        <v>1675</v>
      </c>
      <c r="B884" s="48" t="s">
        <v>896</v>
      </c>
      <c r="C884" s="48" t="s">
        <v>168</v>
      </c>
      <c r="D884" s="48" t="s">
        <v>188</v>
      </c>
      <c r="E884" s="48" t="s">
        <v>189</v>
      </c>
      <c r="F884" s="48" t="s">
        <v>222</v>
      </c>
      <c r="G884" s="49" t="n">
        <v>3.77</v>
      </c>
      <c r="H884" s="50" t="n">
        <f aca="false">MAX(0,IF(AND(Parameter!$B$21="Ja",ISNUMBER(Y884)),Y884,IF(Parameter!$B$20="Jahresanfang 2025 + Export",BO884+BN884,BN884)))</f>
        <v>4</v>
      </c>
      <c r="I884" s="50" t="n">
        <f aca="false">H884*G884</f>
        <v>15.08</v>
      </c>
      <c r="J884" s="50" t="n">
        <f aca="false">BQ884*Parameter!$B$18</f>
        <v>23</v>
      </c>
      <c r="K884" s="51" t="n">
        <v>10.5</v>
      </c>
      <c r="L884" s="52" t="n">
        <v>2.19047619047619</v>
      </c>
      <c r="M884" s="50" t="n">
        <v>0</v>
      </c>
      <c r="N884" s="50" t="n">
        <v>25</v>
      </c>
      <c r="O884" s="53" t="n">
        <v>14</v>
      </c>
      <c r="P884" s="48" t="s">
        <v>425</v>
      </c>
      <c r="Q884" s="50" t="n">
        <v>37</v>
      </c>
      <c r="R884" s="53" t="n">
        <f aca="false">IF(BW884=1,0,IFERROR(VLOOKUP(BU884,'Gebinde-Kategorie'!$A$5:$N$45,13,0)+0,0))</f>
        <v>104</v>
      </c>
      <c r="S884" s="54"/>
      <c r="T884" s="55"/>
      <c r="U884" s="55"/>
      <c r="V884" s="55"/>
      <c r="W884" s="48"/>
      <c r="X884" s="50"/>
      <c r="Y884" s="50"/>
      <c r="Z884" s="48" t="n">
        <f aca="false">IF(A884="","",IF(AND(Parameter!$B$21="Ja",ISNUMBER(W884)),W884,IF(BZ884="2+3",IF(ISNUMBER(SEARCH("grosser Artikel",BR884)),2,IFERROR(VLOOKUP(BU884,Parameter!$F$35:$G$64,2,0),2)),IF(OR(BZ884="Nein",BZ884=""),"-",BZ884))))</f>
        <v>3</v>
      </c>
      <c r="AA884" s="55"/>
      <c r="AB884" s="56"/>
      <c r="AC884" s="50" t="n">
        <f aca="false">AT884</f>
        <v>37</v>
      </c>
      <c r="AD884" s="50" t="n">
        <f aca="false">MAX(AT884,H884)</f>
        <v>37</v>
      </c>
      <c r="AE884" s="57"/>
      <c r="AF884" s="50" t="n">
        <f aca="false">IF(LEFT(Cockpit!$C$5,1)="A",H884,IF(CE884=1,CF884,IF(LEFT(Cockpit!$C$5,1)="B",AK884,MAX(AK884,H884))))</f>
        <v>4</v>
      </c>
      <c r="AG884" s="50" t="n">
        <f aca="false">IF(BW884=1,0,ROUNDUP(AF884/BV884,0))</f>
        <v>1</v>
      </c>
      <c r="AH884" s="52" t="n">
        <f aca="false">IF(CL884&gt;0,CL884*MAX(1,AF884/X884),IF(BW884=1,IF(AF884&lt;=0,0,CA884*MAX(1,IF(H884&gt;0,AF884/H884,1))),IF(R884&gt;0,AG884/R884,0))/MAX(0.1,N(Parameter!$M$21)))</f>
        <v>0.00961538461538462</v>
      </c>
      <c r="AI884" s="50" t="n">
        <f aca="false">AH884*BY884</f>
        <v>1.49038461538462</v>
      </c>
      <c r="AJ884" s="50" t="n">
        <f aca="false">AF884*G884</f>
        <v>15.08</v>
      </c>
      <c r="AK884" s="50" t="n">
        <f aca="false">ROUNDUP(MAX(J884/IF(CD884&gt;0,CD884,MAX(0.1,N(Cockpit!$C$6))),CG884)/BV884,0)*BV884</f>
        <v>37</v>
      </c>
      <c r="AL884" s="51" t="n">
        <f aca="false">IF(AI884&gt;0,J884/AI884,-1)</f>
        <v>15.4322580645161</v>
      </c>
      <c r="AM884" s="51" t="n">
        <f aca="false">IF(AND(OR(CC884="L1",CC884="L23",CC884="LIFT"),AI884&gt;0),SUMIFS($AI$7:$AI$1843,$CC$7:$CC$1843,CC884,$AL$7:$AL$1843,"&gt;"&amp;AL884)+SUMIFS($AI$7:$AI$1843,$CC$7:$CC$1843,CC884,$AL$7:$AL$1843,AL884,$BT$7:$BT$1843,"&lt;="&amp;BT884),"")</f>
        <v>2067.17948717949</v>
      </c>
      <c r="AN884" s="58" t="n">
        <f aca="false">IF(AM884="",0,MAX(0,MIN(1,(IF(CC884="L1",Parameter!$H$5,IF(CC884="L23",Parameter!$H$6+Parameter!$H$7,Parameter!$H$5+Parameter!$H$6+Parameter!$H$7))-(AM884-AI884))/AI884)))</f>
        <v>1</v>
      </c>
      <c r="AO884" s="50" t="n">
        <f aca="false">IF(LEFT(Cockpit!$I$5,1)="A",H884,IF(CE884=1,CF884,IF(LEFT(Cockpit!$I$5,1)="B",AT884,MAX(AT884,H884))))</f>
        <v>37</v>
      </c>
      <c r="AP884" s="50" t="n">
        <f aca="false">IF(BW884=1,0,ROUNDUP(AO884/BV884,0))</f>
        <v>1</v>
      </c>
      <c r="AQ884" s="52" t="n">
        <f aca="false">IF(CL884&gt;0,CL884*MAX(1,AO884/X884),IF(BW884=1,IF(AO884&lt;=0,0,CA884*MAX(1,IF(H884&gt;0,AO884/H884,1))),IF(R884&gt;0,AP884/R884,0))/MAX(0.1,N(Parameter!$M$21)))</f>
        <v>0.00961538461538462</v>
      </c>
      <c r="AR884" s="50" t="n">
        <f aca="false">AQ884*BY884</f>
        <v>1.49038461538462</v>
      </c>
      <c r="AS884" s="50" t="n">
        <f aca="false">AO884*G884</f>
        <v>139.49</v>
      </c>
      <c r="AT884" s="50" t="n">
        <f aca="false">ROUNDUP(MAX(J884/IF(CD884&gt;0,CD884,MAX(0.1,N(Cockpit!$I$6))),CG884)/BV884,0)*BV884</f>
        <v>37</v>
      </c>
      <c r="AU884" s="51" t="n">
        <f aca="false">IF(AR884&gt;0,J884/AR884,-1)</f>
        <v>15.4322580645161</v>
      </c>
      <c r="AV884" s="51" t="n">
        <f aca="false">IF(AND(OR(CC884="L1",CC884="L23",CC884="LIFT"),AR884&gt;0),SUMIFS($AR$7:$AR$1843,$CC$7:$CC$1843,CC884,$AU$7:$AU$1843,"&gt;"&amp;AU884)+SUMIFS($AR$7:$AR$1843,$CC$7:$CC$1843,CC884,$AU$7:$AU$1843,AU884,$BT$7:$BT$1843,"&lt;="&amp;BT884),"")</f>
        <v>3245.20879120879</v>
      </c>
      <c r="AW884" s="58" t="n">
        <f aca="false">IF(AV884="",0,MAX(0,MIN(1,(IF(CC884="L1",Parameter!$H$5,IF(CC884="L23",Parameter!$H$6+Parameter!$H$7,Parameter!$H$5+Parameter!$H$6+Parameter!$H$7))-(AV884-AR884))/AR884)))</f>
        <v>1</v>
      </c>
      <c r="AX884" s="50" t="n">
        <f aca="false">IF(LEFT(Cockpit!$O$5,1)="A",H884,IF(CE884=1,CF884,IF(LEFT(Cockpit!$O$5,1)="B",BC884,MAX(BC884,H884))))</f>
        <v>37</v>
      </c>
      <c r="AY884" s="50" t="n">
        <f aca="false">IF(BW884=1,0,ROUNDUP(AX884/BV884,0))</f>
        <v>1</v>
      </c>
      <c r="AZ884" s="52" t="n">
        <f aca="false">IF(CL884&gt;0,CL884*MAX(1,AX884/X884),IF(BW884=1,IF(AX884&lt;=0,0,CA884*MAX(1,IF(H884&gt;0,AX884/H884,1))),IF(R884&gt;0,AY884/R884,0))/MAX(0.1,N(Parameter!$M$21)))</f>
        <v>0.00961538461538462</v>
      </c>
      <c r="BA884" s="50" t="n">
        <f aca="false">AZ884*BY884</f>
        <v>1.49038461538462</v>
      </c>
      <c r="BB884" s="50" t="n">
        <f aca="false">AX884*G884</f>
        <v>139.49</v>
      </c>
      <c r="BC884" s="50" t="n">
        <f aca="false">ROUNDUP(MAX(J884/IF(CD884&gt;0,CD884,MAX(0.1,N(Cockpit!$O$6))),CG884)/BV884,0)*BV884</f>
        <v>37</v>
      </c>
      <c r="BD884" s="51" t="n">
        <f aca="false">IF(BA884&gt;0,J884/BA884,-1)</f>
        <v>15.4322580645161</v>
      </c>
      <c r="BE884" s="51" t="n">
        <f aca="false">IF(AND(OR(CC884="L1",CC884="L23",CC884="LIFT"),BA884&gt;0),SUMIFS($BA$7:$BA$1843,$CC$7:$CC$1843,CC884,$BD$7:$BD$1843,"&gt;"&amp;BD884)+SUMIFS($BA$7:$BA$1843,$CC$7:$CC$1843,CC884,$BD$7:$BD$1843,BD884,$BT$7:$BT$1843,"&lt;="&amp;BT884),"")</f>
        <v>2919.64789377289</v>
      </c>
      <c r="BF884" s="58" t="n">
        <f aca="false">IF(BE884="",0,MAX(0,MIN(1,(IF(CC884="L1",Parameter!$H$5,IF(CC884="L23",Parameter!$H$6+Parameter!$H$7,Parameter!$H$5+Parameter!$H$6+Parameter!$H$7))-(BE884-BA884))/BA884)))</f>
        <v>1</v>
      </c>
      <c r="BG884" s="48" t="str">
        <f aca="false">IF(AI884&lt;=0,"",IF(CC884="Aussen","Aussenlager",IF(CC884="-","Nicht im Lift",IF(AN884&gt;=1,"Lift",IF(AN884&lt;=0,"Aussenlager","teilweise")))))</f>
        <v>Lift</v>
      </c>
      <c r="BH884" s="48" t="str">
        <f aca="false">IF(AR884&lt;=0,"",IF(CC884="Aussen","Aussenlager",IF(CC884="-","Nicht im Lift",IF(AW884&gt;=1,"Lift",IF(AW884&lt;=0,"Aussenlager","teilweise")))))</f>
        <v>Lift</v>
      </c>
      <c r="BI884" s="48" t="str">
        <f aca="false">IF(BA884&lt;=0,"",IF(CC884="Aussen","Aussenlager",IF(CC884="-","Nicht im Lift",IF(BF884&gt;=1,"Lift",IF(BF884&lt;=0,"Aussenlager","teilweise")))))</f>
        <v>Lift</v>
      </c>
      <c r="BJ884" s="48" t="str">
        <f aca="false">IF(A884="","",IF(BS884=1,"Neu; ","")&amp;IF(AND(BS884=0,BN884&lt;0),"negativer Bestand (Export "&amp;BN884&amp;"); ","")&amp;IF(J884&lt;=0,"Kein Verbrauch; ","")&amp;IF(CL884&gt;0,"Lift "&amp;W884&amp;" lt. Liftbericht (Fach "&amp;X884&amp;" Stk); ",IF(BX884=1,"Gebinde geschätzt ("&amp;T884&amp;"); ",IF(BW884=1,"Lose – Tablare geschätzt; ","")))&amp;IF(H884&gt;AT884,"Überbestand "&amp;ROUND(H884-AT884,0)&amp;" Stk / CHF "&amp;ROUND((H884-AT884)*G884,0)&amp;"; ","")&amp;IF(AND(CE884=1,CF884&lt;CG884),"MAX &lt; MB+LG; ","")&amp;IF(AND(CK884&gt;0,CJ884*10&gt;CK884),"zu hoch für Tablar; ","")&amp;IF(AND(BS884=0,OR(CE884=1,AA884&lt;&gt;"",U884&lt;&gt;"",V884&lt;&gt;"",AB884&lt;&gt;"")),"manuell übersteuert; ","")&amp;IF(AND(BW884=0,R884=0),"Gebinde unbekannt / Stellmass fehlt; ","")&amp;IF(AND(BW884=0,N(V884)&lt;=0,N(Q884)&lt;=0),"Menge pro Gebinde fehlt (Ist = 1 Gebinde); ","")&amp;BR884)</f>
        <v>negativer Bestand (Export -8); </v>
      </c>
      <c r="BK884" s="48"/>
      <c r="BL884" s="48"/>
      <c r="BM884" s="55"/>
      <c r="BN884" s="50" t="n">
        <v>-8</v>
      </c>
      <c r="BO884" s="50" t="n">
        <v>12</v>
      </c>
      <c r="BP884" s="49" t="n">
        <v>-28.12</v>
      </c>
      <c r="BQ884" s="50" t="n">
        <v>23</v>
      </c>
      <c r="BR884" s="48"/>
      <c r="BS884" s="53" t="n">
        <v>0</v>
      </c>
      <c r="BT884" s="53" t="n">
        <v>884</v>
      </c>
      <c r="BU884" s="48" t="str">
        <f aca="false">IF(U884&lt;&gt;"",UPPER(TRIM(U884)),IF(BX884=1,UPPER(VLOOKUP(T884,Parameter!$I$27:$K$29,2,0)),IF(P884="","LOSE",P884)))</f>
        <v>S32</v>
      </c>
      <c r="BV884" s="50" t="n">
        <f aca="false">IF(BU884="LOSE",1,IF(N(V884)&gt;0,V884,IF(BX884=1,MAX(1,N(VLOOKUP(T884,Parameter!$I$27:$K$29,3,0)),H884,N(N884)),IF(N(Q884)&gt;0,Q884,MAX(1,H884)))))</f>
        <v>37</v>
      </c>
      <c r="BW884" s="53" t="n">
        <f aca="false">IF(BU884="LOSE",1,0)</f>
        <v>0</v>
      </c>
      <c r="BX884" s="53" t="n">
        <f aca="false">IF(AND(U884="",OR(P884="",P884="LOSE"),T884&lt;&gt;"",N(S884)&lt;=0,ISNUMBER(MATCH(T884,Parameter!$I$27:$I$29,0))),1,0)</f>
        <v>0</v>
      </c>
      <c r="BY884" s="53" t="n">
        <f aca="false">IF(CL884&gt;0,INDEX(Parameter!$H$5:$H$7,W884)/INDEX(Parameter!$E$5:$E$7,W884),IF(AND(BW884=0,N(IFERROR(VLOOKUP(BU884,'Gebinde-Kategorie'!$A$5:$N$45,14,0),0))&gt;0),VLOOKUP(BU884,'Gebinde-Kategorie'!$A$5:$N$45,14,0)*10+Parameter!$M$23,Parameter!$M$24))</f>
        <v>155</v>
      </c>
      <c r="BZ884" s="48" t="str">
        <f aca="false">IF(AND(Parameter!$B$19="Ja",E884&lt;&gt;"",ISNUMBER(MATCH(E884,Parameter!$I$35:$I$52,0))),VLOOKUP(E884,Parameter!$I$35:$J$52,2,0),IFERROR(VLOOKUP(D884,Parameter!$A$35:$C$64,2,0),"Nein"))</f>
        <v>2+3</v>
      </c>
      <c r="CA884" s="52" t="n">
        <f aca="false">IF(BW884=0,0,IF(N(S884)&gt;0,S884,IFERROR(VLOOKUP(D884,Parameter!$A$35:$C$64,3,0)+0,0)))</f>
        <v>0</v>
      </c>
      <c r="CB884" s="48" t="n">
        <f aca="false">IF(AA884&lt;&gt;"",AA884,Z884)</f>
        <v>3</v>
      </c>
      <c r="CC884" s="48" t="str">
        <f aca="false">IF(OR(CB884=1,CB884=2,CB884=3),IF(Parameter!$E$27="Ja","LIFT",IF(CB884=1,"L1","L23")),IF(CB884="Aussen","Aussen","-"))</f>
        <v>LIFT</v>
      </c>
      <c r="CD884" s="59" t="n">
        <f aca="false">IF(N(AB884)&gt;0,AB884,0)</f>
        <v>0</v>
      </c>
      <c r="CE884" s="53" t="n">
        <f aca="false">IF(ISNUMBER(AE884),1,0)</f>
        <v>0</v>
      </c>
      <c r="CF884" s="50" t="n">
        <f aca="false">N(AE884)</f>
        <v>0</v>
      </c>
      <c r="CG884" s="50" t="n">
        <f aca="false">N(M884)+N(N884)</f>
        <v>25</v>
      </c>
      <c r="CH884" s="50" t="n">
        <f aca="false">ROUNDUP(H884/BV884,0)</f>
        <v>1</v>
      </c>
      <c r="CI884" s="50" t="n">
        <f aca="false">ROUNDUP(CF884/BV884,0)</f>
        <v>0</v>
      </c>
      <c r="CJ884" s="53" t="n">
        <f aca="false">IF(BW884=1,0,IFERROR(VLOOKUP(BU884,'Gebinde-Kategorie'!$A$5:$N$45,5,0)+0,0))</f>
        <v>8</v>
      </c>
      <c r="CK884" s="53" t="n">
        <f aca="false">IFERROR(IF(OR(CB884=1,CB884=2,CB884=3),N(INDEX(Parameter!$I$5:$I$7,CB884)),0),0)</f>
        <v>0</v>
      </c>
      <c r="CL884" s="52" t="n">
        <f aca="false">IF(AND(Parameter!$B$21="Ja",ISNUMBER(W884),N(X884)&gt;0),IFERROR(N(INDEX(Parameter!$L$5:$L$7,W884))*INDEX(Parameter!$E$5:$E$7,W884)*X884/SUMIFS($X$7:$X$1843,$W$7:$W$1843,W884),0),0)</f>
        <v>0</v>
      </c>
    </row>
    <row r="885" customFormat="false" ht="15" hidden="false" customHeight="false" outlineLevel="0" collapsed="false">
      <c r="A885" s="48" t="s">
        <v>1676</v>
      </c>
      <c r="B885" s="48" t="s">
        <v>1292</v>
      </c>
      <c r="C885" s="48" t="s">
        <v>168</v>
      </c>
      <c r="D885" s="48" t="s">
        <v>188</v>
      </c>
      <c r="E885" s="48" t="s">
        <v>189</v>
      </c>
      <c r="F885" s="48" t="s">
        <v>222</v>
      </c>
      <c r="G885" s="49" t="n">
        <v>7.34</v>
      </c>
      <c r="H885" s="50" t="n">
        <f aca="false">MAX(0,IF(AND(Parameter!$B$21="Ja",ISNUMBER(Y885)),Y885,IF(Parameter!$B$20="Jahresanfang 2025 + Export",BO885+BN885,BN885)))</f>
        <v>3</v>
      </c>
      <c r="I885" s="50" t="n">
        <f aca="false">H885*G885</f>
        <v>22.02</v>
      </c>
      <c r="J885" s="50" t="n">
        <f aca="false">BQ885*Parameter!$B$18</f>
        <v>6</v>
      </c>
      <c r="K885" s="51" t="n">
        <v>6.5</v>
      </c>
      <c r="L885" s="52" t="n">
        <v>0.923076923076923</v>
      </c>
      <c r="M885" s="50" t="n">
        <v>0</v>
      </c>
      <c r="N885" s="50" t="n">
        <v>5</v>
      </c>
      <c r="O885" s="53" t="n">
        <v>14</v>
      </c>
      <c r="P885" s="48" t="s">
        <v>480</v>
      </c>
      <c r="Q885" s="50" t="n">
        <v>5</v>
      </c>
      <c r="R885" s="53" t="n">
        <f aca="false">IF(BW885=1,0,IFERROR(VLOOKUP(BU885,'Gebinde-Kategorie'!$A$5:$N$45,13,0)+0,0))</f>
        <v>52</v>
      </c>
      <c r="S885" s="54"/>
      <c r="T885" s="55"/>
      <c r="U885" s="55"/>
      <c r="V885" s="55"/>
      <c r="W885" s="48"/>
      <c r="X885" s="50"/>
      <c r="Y885" s="50"/>
      <c r="Z885" s="48" t="n">
        <f aca="false">IF(A885="","",IF(AND(Parameter!$B$21="Ja",ISNUMBER(W885)),W885,IF(BZ885="2+3",IF(ISNUMBER(SEARCH("grosser Artikel",BR885)),2,IFERROR(VLOOKUP(BU885,Parameter!$F$35:$G$64,2,0),2)),IF(OR(BZ885="Nein",BZ885=""),"-",BZ885))))</f>
        <v>3</v>
      </c>
      <c r="AA885" s="55"/>
      <c r="AB885" s="56"/>
      <c r="AC885" s="50" t="n">
        <f aca="false">AT885</f>
        <v>5</v>
      </c>
      <c r="AD885" s="50" t="n">
        <f aca="false">MAX(AT885,H885)</f>
        <v>5</v>
      </c>
      <c r="AE885" s="57"/>
      <c r="AF885" s="50" t="n">
        <f aca="false">IF(LEFT(Cockpit!$C$5,1)="A",H885,IF(CE885=1,CF885,IF(LEFT(Cockpit!$C$5,1)="B",AK885,MAX(AK885,H885))))</f>
        <v>3</v>
      </c>
      <c r="AG885" s="50" t="n">
        <f aca="false">IF(BW885=1,0,ROUNDUP(AF885/BV885,0))</f>
        <v>1</v>
      </c>
      <c r="AH885" s="52" t="n">
        <f aca="false">IF(CL885&gt;0,CL885*MAX(1,AF885/X885),IF(BW885=1,IF(AF885&lt;=0,0,CA885*MAX(1,IF(H885&gt;0,AF885/H885,1))),IF(R885&gt;0,AG885/R885,0))/MAX(0.1,N(Parameter!$M$21)))</f>
        <v>0.0192307692307692</v>
      </c>
      <c r="AI885" s="50" t="n">
        <f aca="false">AH885*BY885</f>
        <v>2.98076923076923</v>
      </c>
      <c r="AJ885" s="50" t="n">
        <f aca="false">AF885*G885</f>
        <v>22.02</v>
      </c>
      <c r="AK885" s="50" t="n">
        <f aca="false">ROUNDUP(MAX(J885/IF(CD885&gt;0,CD885,MAX(0.1,N(Cockpit!$C$6))),CG885)/BV885,0)*BV885</f>
        <v>5</v>
      </c>
      <c r="AL885" s="51" t="n">
        <f aca="false">IF(AI885&gt;0,J885/AI885,-1)</f>
        <v>2.01290322580645</v>
      </c>
      <c r="AM885" s="51" t="n">
        <f aca="false">IF(AND(OR(CC885="L1",CC885="L23",CC885="LIFT"),AI885&gt;0),SUMIFS($AI$7:$AI$1843,$CC$7:$CC$1843,CC885,$AL$7:$AL$1843,"&gt;"&amp;AL885)+SUMIFS($AI$7:$AI$1843,$CC$7:$CC$1843,CC885,$AL$7:$AL$1843,AL885,$BT$7:$BT$1843,"&lt;="&amp;BT885),"")</f>
        <v>5790.84981684982</v>
      </c>
      <c r="AN885" s="58" t="n">
        <f aca="false">IF(AM885="",0,MAX(0,MIN(1,(IF(CC885="L1",Parameter!$H$5,IF(CC885="L23",Parameter!$H$6+Parameter!$H$7,Parameter!$H$5+Parameter!$H$6+Parameter!$H$7))-(AM885-AI885))/AI885)))</f>
        <v>1</v>
      </c>
      <c r="AO885" s="50" t="n">
        <f aca="false">IF(LEFT(Cockpit!$I$5,1)="A",H885,IF(CE885=1,CF885,IF(LEFT(Cockpit!$I$5,1)="B",AT885,MAX(AT885,H885))))</f>
        <v>5</v>
      </c>
      <c r="AP885" s="50" t="n">
        <f aca="false">IF(BW885=1,0,ROUNDUP(AO885/BV885,0))</f>
        <v>1</v>
      </c>
      <c r="AQ885" s="52" t="n">
        <f aca="false">IF(CL885&gt;0,CL885*MAX(1,AO885/X885),IF(BW885=1,IF(AO885&lt;=0,0,CA885*MAX(1,IF(H885&gt;0,AO885/H885,1))),IF(R885&gt;0,AP885/R885,0))/MAX(0.1,N(Parameter!$M$21)))</f>
        <v>0.0192307692307692</v>
      </c>
      <c r="AR885" s="50" t="n">
        <f aca="false">AQ885*BY885</f>
        <v>2.98076923076923</v>
      </c>
      <c r="AS885" s="50" t="n">
        <f aca="false">AO885*G885</f>
        <v>36.7</v>
      </c>
      <c r="AT885" s="50" t="n">
        <f aca="false">ROUNDUP(MAX(J885/IF(CD885&gt;0,CD885,MAX(0.1,N(Cockpit!$I$6))),CG885)/BV885,0)*BV885</f>
        <v>5</v>
      </c>
      <c r="AU885" s="51" t="n">
        <f aca="false">IF(AR885&gt;0,J885/AR885,-1)</f>
        <v>2.01290322580645</v>
      </c>
      <c r="AV885" s="51" t="n">
        <f aca="false">IF(AND(OR(CC885="L1",CC885="L23",CC885="LIFT"),AR885&gt;0),SUMIFS($AR$7:$AR$1843,$CC$7:$CC$1843,CC885,$AU$7:$AU$1843,"&gt;"&amp;AU885)+SUMIFS($AR$7:$AR$1843,$CC$7:$CC$1843,CC885,$AU$7:$AU$1843,AU885,$BT$7:$BT$1843,"&lt;="&amp;BT885),"")</f>
        <v>7700.54212454212</v>
      </c>
      <c r="AW885" s="58" t="n">
        <f aca="false">IF(AV885="",0,MAX(0,MIN(1,(IF(CC885="L1",Parameter!$H$5,IF(CC885="L23",Parameter!$H$6+Parameter!$H$7,Parameter!$H$5+Parameter!$H$6+Parameter!$H$7))-(AV885-AR885))/AR885)))</f>
        <v>1</v>
      </c>
      <c r="AX885" s="50" t="n">
        <f aca="false">IF(LEFT(Cockpit!$O$5,1)="A",H885,IF(CE885=1,CF885,IF(LEFT(Cockpit!$O$5,1)="B",BC885,MAX(BC885,H885))))</f>
        <v>5</v>
      </c>
      <c r="AY885" s="50" t="n">
        <f aca="false">IF(BW885=1,0,ROUNDUP(AX885/BV885,0))</f>
        <v>1</v>
      </c>
      <c r="AZ885" s="52" t="n">
        <f aca="false">IF(CL885&gt;0,CL885*MAX(1,AX885/X885),IF(BW885=1,IF(AX885&lt;=0,0,CA885*MAX(1,IF(H885&gt;0,AX885/H885,1))),IF(R885&gt;0,AY885/R885,0))/MAX(0.1,N(Parameter!$M$21)))</f>
        <v>0.0192307692307692</v>
      </c>
      <c r="BA885" s="50" t="n">
        <f aca="false">AZ885*BY885</f>
        <v>2.98076923076923</v>
      </c>
      <c r="BB885" s="50" t="n">
        <f aca="false">AX885*G885</f>
        <v>36.7</v>
      </c>
      <c r="BC885" s="50" t="n">
        <f aca="false">ROUNDUP(MAX(J885/IF(CD885&gt;0,CD885,MAX(0.1,N(Cockpit!$O$6))),CG885)/BV885,0)*BV885</f>
        <v>5</v>
      </c>
      <c r="BD885" s="51" t="n">
        <f aca="false">IF(BA885&gt;0,J885/BA885,-1)</f>
        <v>2.01290322580645</v>
      </c>
      <c r="BE885" s="51" t="n">
        <f aca="false">IF(AND(OR(CC885="L1",CC885="L23",CC885="LIFT"),BA885&gt;0),SUMIFS($BA$7:$BA$1843,$CC$7:$CC$1843,CC885,$BD$7:$BD$1843,"&gt;"&amp;BD885)+SUMIFS($BA$7:$BA$1843,$CC$7:$CC$1843,CC885,$BD$7:$BD$1843,BD885,$BT$7:$BT$1843,"&lt;="&amp;BT885),"")</f>
        <v>7599.53250915751</v>
      </c>
      <c r="BF885" s="58" t="n">
        <f aca="false">IF(BE885="",0,MAX(0,MIN(1,(IF(CC885="L1",Parameter!$H$5,IF(CC885="L23",Parameter!$H$6+Parameter!$H$7,Parameter!$H$5+Parameter!$H$6+Parameter!$H$7))-(BE885-BA885))/BA885)))</f>
        <v>1</v>
      </c>
      <c r="BG885" s="48" t="str">
        <f aca="false">IF(AI885&lt;=0,"",IF(CC885="Aussen","Aussenlager",IF(CC885="-","Nicht im Lift",IF(AN885&gt;=1,"Lift",IF(AN885&lt;=0,"Aussenlager","teilweise")))))</f>
        <v>Lift</v>
      </c>
      <c r="BH885" s="48" t="str">
        <f aca="false">IF(AR885&lt;=0,"",IF(CC885="Aussen","Aussenlager",IF(CC885="-","Nicht im Lift",IF(AW885&gt;=1,"Lift",IF(AW885&lt;=0,"Aussenlager","teilweise")))))</f>
        <v>Lift</v>
      </c>
      <c r="BI885" s="48" t="str">
        <f aca="false">IF(BA885&lt;=0,"",IF(CC885="Aussen","Aussenlager",IF(CC885="-","Nicht im Lift",IF(BF885&gt;=1,"Lift",IF(BF885&lt;=0,"Aussenlager","teilweise")))))</f>
        <v>Lift</v>
      </c>
      <c r="BJ885" s="48" t="str">
        <f aca="false">IF(A885="","",IF(BS885=1,"Neu; ","")&amp;IF(AND(BS885=0,BN885&lt;0),"negativer Bestand (Export "&amp;BN885&amp;"); ","")&amp;IF(J885&lt;=0,"Kein Verbrauch; ","")&amp;IF(CL885&gt;0,"Lift "&amp;W885&amp;" lt. Liftbericht (Fach "&amp;X885&amp;" Stk); ",IF(BX885=1,"Gebinde geschätzt ("&amp;T885&amp;"); ",IF(BW885=1,"Lose – Tablare geschätzt; ","")))&amp;IF(H885&gt;AT885,"Überbestand "&amp;ROUND(H885-AT885,0)&amp;" Stk / CHF "&amp;ROUND((H885-AT885)*G885,0)&amp;"; ","")&amp;IF(AND(CE885=1,CF885&lt;CG885),"MAX &lt; MB+LG; ","")&amp;IF(AND(CK885&gt;0,CJ885*10&gt;CK885),"zu hoch für Tablar; ","")&amp;IF(AND(BS885=0,OR(CE885=1,AA885&lt;&gt;"",U885&lt;&gt;"",V885&lt;&gt;"",AB885&lt;&gt;"")),"manuell übersteuert; ","")&amp;IF(AND(BW885=0,R885=0),"Gebinde unbekannt / Stellmass fehlt; ","")&amp;IF(AND(BW885=0,N(V885)&lt;=0,N(Q885)&lt;=0),"Menge pro Gebinde fehlt (Ist = 1 Gebinde); ","")&amp;BR885)</f>
        <v>negativer Bestand (Export -4); </v>
      </c>
      <c r="BK885" s="48"/>
      <c r="BL885" s="48"/>
      <c r="BM885" s="55"/>
      <c r="BN885" s="50" t="n">
        <v>-4</v>
      </c>
      <c r="BO885" s="50" t="n">
        <v>7</v>
      </c>
      <c r="BP885" s="49" t="n">
        <v>-28.17</v>
      </c>
      <c r="BQ885" s="50" t="n">
        <v>6</v>
      </c>
      <c r="BR885" s="48"/>
      <c r="BS885" s="53" t="n">
        <v>0</v>
      </c>
      <c r="BT885" s="53" t="n">
        <v>885</v>
      </c>
      <c r="BU885" s="48" t="str">
        <f aca="false">IF(U885&lt;&gt;"",UPPER(TRIM(U885)),IF(BX885=1,UPPER(VLOOKUP(T885,Parameter!$I$27:$K$29,2,0)),IF(P885="","LOSE",P885)))</f>
        <v>S33</v>
      </c>
      <c r="BV885" s="50" t="n">
        <f aca="false">IF(BU885="LOSE",1,IF(N(V885)&gt;0,V885,IF(BX885=1,MAX(1,N(VLOOKUP(T885,Parameter!$I$27:$K$29,3,0)),H885,N(N885)),IF(N(Q885)&gt;0,Q885,MAX(1,H885)))))</f>
        <v>5</v>
      </c>
      <c r="BW885" s="53" t="n">
        <f aca="false">IF(BU885="LOSE",1,0)</f>
        <v>0</v>
      </c>
      <c r="BX885" s="53" t="n">
        <f aca="false">IF(AND(U885="",OR(P885="",P885="LOSE"),T885&lt;&gt;"",N(S885)&lt;=0,ISNUMBER(MATCH(T885,Parameter!$I$27:$I$29,0))),1,0)</f>
        <v>0</v>
      </c>
      <c r="BY885" s="53" t="n">
        <f aca="false">IF(CL885&gt;0,INDEX(Parameter!$H$5:$H$7,W885)/INDEX(Parameter!$E$5:$E$7,W885),IF(AND(BW885=0,N(IFERROR(VLOOKUP(BU885,'Gebinde-Kategorie'!$A$5:$N$45,14,0),0))&gt;0),VLOOKUP(BU885,'Gebinde-Kategorie'!$A$5:$N$45,14,0)*10+Parameter!$M$23,Parameter!$M$24))</f>
        <v>155</v>
      </c>
      <c r="BZ885" s="48" t="str">
        <f aca="false">IF(AND(Parameter!$B$19="Ja",E885&lt;&gt;"",ISNUMBER(MATCH(E885,Parameter!$I$35:$I$52,0))),VLOOKUP(E885,Parameter!$I$35:$J$52,2,0),IFERROR(VLOOKUP(D885,Parameter!$A$35:$C$64,2,0),"Nein"))</f>
        <v>2+3</v>
      </c>
      <c r="CA885" s="52" t="n">
        <f aca="false">IF(BW885=0,0,IF(N(S885)&gt;0,S885,IFERROR(VLOOKUP(D885,Parameter!$A$35:$C$64,3,0)+0,0)))</f>
        <v>0</v>
      </c>
      <c r="CB885" s="48" t="n">
        <f aca="false">IF(AA885&lt;&gt;"",AA885,Z885)</f>
        <v>3</v>
      </c>
      <c r="CC885" s="48" t="str">
        <f aca="false">IF(OR(CB885=1,CB885=2,CB885=3),IF(Parameter!$E$27="Ja","LIFT",IF(CB885=1,"L1","L23")),IF(CB885="Aussen","Aussen","-"))</f>
        <v>LIFT</v>
      </c>
      <c r="CD885" s="59" t="n">
        <f aca="false">IF(N(AB885)&gt;0,AB885,0)</f>
        <v>0</v>
      </c>
      <c r="CE885" s="53" t="n">
        <f aca="false">IF(ISNUMBER(AE885),1,0)</f>
        <v>0</v>
      </c>
      <c r="CF885" s="50" t="n">
        <f aca="false">N(AE885)</f>
        <v>0</v>
      </c>
      <c r="CG885" s="50" t="n">
        <f aca="false">N(M885)+N(N885)</f>
        <v>5</v>
      </c>
      <c r="CH885" s="50" t="n">
        <f aca="false">ROUNDUP(H885/BV885,0)</f>
        <v>1</v>
      </c>
      <c r="CI885" s="50" t="n">
        <f aca="false">ROUNDUP(CF885/BV885,0)</f>
        <v>0</v>
      </c>
      <c r="CJ885" s="53" t="n">
        <f aca="false">IF(BW885=1,0,IFERROR(VLOOKUP(BU885,'Gebinde-Kategorie'!$A$5:$N$45,5,0)+0,0))</f>
        <v>8</v>
      </c>
      <c r="CK885" s="53" t="n">
        <f aca="false">IFERROR(IF(OR(CB885=1,CB885=2,CB885=3),N(INDEX(Parameter!$I$5:$I$7,CB885)),0),0)</f>
        <v>0</v>
      </c>
      <c r="CL885" s="52" t="n">
        <f aca="false">IF(AND(Parameter!$B$21="Ja",ISNUMBER(W885),N(X885)&gt;0),IFERROR(N(INDEX(Parameter!$L$5:$L$7,W885))*INDEX(Parameter!$E$5:$E$7,W885)*X885/SUMIFS($X$7:$X$1843,$W$7:$W$1843,W885),0),0)</f>
        <v>0</v>
      </c>
    </row>
    <row r="886" customFormat="false" ht="15" hidden="false" customHeight="false" outlineLevel="0" collapsed="false">
      <c r="A886" s="48" t="s">
        <v>1677</v>
      </c>
      <c r="B886" s="48" t="s">
        <v>896</v>
      </c>
      <c r="C886" s="48" t="s">
        <v>168</v>
      </c>
      <c r="D886" s="48" t="s">
        <v>188</v>
      </c>
      <c r="E886" s="48" t="s">
        <v>189</v>
      </c>
      <c r="F886" s="48" t="s">
        <v>222</v>
      </c>
      <c r="G886" s="49" t="n">
        <v>11.11</v>
      </c>
      <c r="H886" s="50" t="n">
        <f aca="false">MAX(0,IF(AND(Parameter!$B$21="Ja",ISNUMBER(Y886)),Y886,IF(Parameter!$B$20="Jahresanfang 2025 + Export",BO886+BN886,BN886)))</f>
        <v>7</v>
      </c>
      <c r="I886" s="50" t="n">
        <f aca="false">H886*G886</f>
        <v>77.77</v>
      </c>
      <c r="J886" s="50" t="n">
        <f aca="false">BQ886*Parameter!$B$18</f>
        <v>18</v>
      </c>
      <c r="K886" s="51" t="n">
        <v>11</v>
      </c>
      <c r="L886" s="52" t="n">
        <v>1.63636363636364</v>
      </c>
      <c r="M886" s="50" t="n">
        <v>0</v>
      </c>
      <c r="N886" s="50" t="n">
        <v>20</v>
      </c>
      <c r="O886" s="53" t="n">
        <v>14</v>
      </c>
      <c r="P886" s="48" t="s">
        <v>430</v>
      </c>
      <c r="Q886" s="50" t="n">
        <v>8</v>
      </c>
      <c r="R886" s="53" t="n">
        <f aca="false">IF(BW886=1,0,IFERROR(VLOOKUP(BU886,'Gebinde-Kategorie'!$A$5:$N$45,13,0)+0,0))</f>
        <v>140</v>
      </c>
      <c r="S886" s="54"/>
      <c r="T886" s="55"/>
      <c r="U886" s="55"/>
      <c r="V886" s="55"/>
      <c r="W886" s="48"/>
      <c r="X886" s="50"/>
      <c r="Y886" s="50"/>
      <c r="Z886" s="48" t="n">
        <f aca="false">IF(A886="","",IF(AND(Parameter!$B$21="Ja",ISNUMBER(W886)),W886,IF(BZ886="2+3",IF(ISNUMBER(SEARCH("grosser Artikel",BR886)),2,IFERROR(VLOOKUP(BU886,Parameter!$F$35:$G$64,2,0),2)),IF(OR(BZ886="Nein",BZ886=""),"-",BZ886))))</f>
        <v>3</v>
      </c>
      <c r="AA886" s="55"/>
      <c r="AB886" s="56"/>
      <c r="AC886" s="50" t="n">
        <f aca="false">AT886</f>
        <v>24</v>
      </c>
      <c r="AD886" s="50" t="n">
        <f aca="false">MAX(AT886,H886)</f>
        <v>24</v>
      </c>
      <c r="AE886" s="57"/>
      <c r="AF886" s="50" t="n">
        <f aca="false">IF(LEFT(Cockpit!$C$5,1)="A",H886,IF(CE886=1,CF886,IF(LEFT(Cockpit!$C$5,1)="B",AK886,MAX(AK886,H886))))</f>
        <v>7</v>
      </c>
      <c r="AG886" s="50" t="n">
        <f aca="false">IF(BW886=1,0,ROUNDUP(AF886/BV886,0))</f>
        <v>1</v>
      </c>
      <c r="AH886" s="52" t="n">
        <f aca="false">IF(CL886&gt;0,CL886*MAX(1,AF886/X886),IF(BW886=1,IF(AF886&lt;=0,0,CA886*MAX(1,IF(H886&gt;0,AF886/H886,1))),IF(R886&gt;0,AG886/R886,0))/MAX(0.1,N(Parameter!$M$21)))</f>
        <v>0.00714285714285714</v>
      </c>
      <c r="AI886" s="50" t="n">
        <f aca="false">AH886*BY886</f>
        <v>1.10714285714286</v>
      </c>
      <c r="AJ886" s="50" t="n">
        <f aca="false">AF886*G886</f>
        <v>77.77</v>
      </c>
      <c r="AK886" s="50" t="n">
        <f aca="false">ROUNDUP(MAX(J886/IF(CD886&gt;0,CD886,MAX(0.1,N(Cockpit!$C$6))),CG886)/BV886,0)*BV886</f>
        <v>24</v>
      </c>
      <c r="AL886" s="51" t="n">
        <f aca="false">IF(AI886&gt;0,J886/AI886,-1)</f>
        <v>16.258064516129</v>
      </c>
      <c r="AM886" s="51" t="n">
        <f aca="false">IF(AND(OR(CC886="L1",CC886="L23",CC886="LIFT"),AI886&gt;0),SUMIFS($AI$7:$AI$1843,$CC$7:$CC$1843,CC886,$AL$7:$AL$1843,"&gt;"&amp;AL886)+SUMIFS($AI$7:$AI$1843,$CC$7:$CC$1843,CC886,$AL$7:$AL$1843,AL886,$BT$7:$BT$1843,"&lt;="&amp;BT886),"")</f>
        <v>2046.77014652015</v>
      </c>
      <c r="AN886" s="58" t="n">
        <f aca="false">IF(AM886="",0,MAX(0,MIN(1,(IF(CC886="L1",Parameter!$H$5,IF(CC886="L23",Parameter!$H$6+Parameter!$H$7,Parameter!$H$5+Parameter!$H$6+Parameter!$H$7))-(AM886-AI886))/AI886)))</f>
        <v>1</v>
      </c>
      <c r="AO886" s="50" t="n">
        <f aca="false">IF(LEFT(Cockpit!$I$5,1)="A",H886,IF(CE886=1,CF886,IF(LEFT(Cockpit!$I$5,1)="B",AT886,MAX(AT886,H886))))</f>
        <v>24</v>
      </c>
      <c r="AP886" s="50" t="n">
        <f aca="false">IF(BW886=1,0,ROUNDUP(AO886/BV886,0))</f>
        <v>3</v>
      </c>
      <c r="AQ886" s="52" t="n">
        <f aca="false">IF(CL886&gt;0,CL886*MAX(1,AO886/X886),IF(BW886=1,IF(AO886&lt;=0,0,CA886*MAX(1,IF(H886&gt;0,AO886/H886,1))),IF(R886&gt;0,AP886/R886,0))/MAX(0.1,N(Parameter!$M$21)))</f>
        <v>0.0214285714285714</v>
      </c>
      <c r="AR886" s="50" t="n">
        <f aca="false">AQ886*BY886</f>
        <v>3.32142857142857</v>
      </c>
      <c r="AS886" s="50" t="n">
        <f aca="false">AO886*G886</f>
        <v>266.64</v>
      </c>
      <c r="AT886" s="50" t="n">
        <f aca="false">ROUNDUP(MAX(J886/IF(CD886&gt;0,CD886,MAX(0.1,N(Cockpit!$I$6))),CG886)/BV886,0)*BV886</f>
        <v>24</v>
      </c>
      <c r="AU886" s="51" t="n">
        <f aca="false">IF(AR886&gt;0,J886/AR886,-1)</f>
        <v>5.41935483870968</v>
      </c>
      <c r="AV886" s="51" t="n">
        <f aca="false">IF(AND(OR(CC886="L1",CC886="L23",CC886="LIFT"),AR886&gt;0),SUMIFS($AR$7:$AR$1843,$CC$7:$CC$1843,CC886,$AU$7:$AU$1843,"&gt;"&amp;AU886)+SUMIFS($AR$7:$AR$1843,$CC$7:$CC$1843,CC886,$AU$7:$AU$1843,AU886,$BT$7:$BT$1843,"&lt;="&amp;BT886),"")</f>
        <v>4899.88782051282</v>
      </c>
      <c r="AW886" s="58" t="n">
        <f aca="false">IF(AV886="",0,MAX(0,MIN(1,(IF(CC886="L1",Parameter!$H$5,IF(CC886="L23",Parameter!$H$6+Parameter!$H$7,Parameter!$H$5+Parameter!$H$6+Parameter!$H$7))-(AV886-AR886))/AR886)))</f>
        <v>1</v>
      </c>
      <c r="AX886" s="50" t="n">
        <f aca="false">IF(LEFT(Cockpit!$O$5,1)="A",H886,IF(CE886=1,CF886,IF(LEFT(Cockpit!$O$5,1)="B",BC886,MAX(BC886,H886))))</f>
        <v>24</v>
      </c>
      <c r="AY886" s="50" t="n">
        <f aca="false">IF(BW886=1,0,ROUNDUP(AX886/BV886,0))</f>
        <v>3</v>
      </c>
      <c r="AZ886" s="52" t="n">
        <f aca="false">IF(CL886&gt;0,CL886*MAX(1,AX886/X886),IF(BW886=1,IF(AX886&lt;=0,0,CA886*MAX(1,IF(H886&gt;0,AX886/H886,1))),IF(R886&gt;0,AY886/R886,0))/MAX(0.1,N(Parameter!$M$21)))</f>
        <v>0.0214285714285714</v>
      </c>
      <c r="BA886" s="50" t="n">
        <f aca="false">AZ886*BY886</f>
        <v>3.32142857142857</v>
      </c>
      <c r="BB886" s="50" t="n">
        <f aca="false">AX886*G886</f>
        <v>266.64</v>
      </c>
      <c r="BC886" s="50" t="n">
        <f aca="false">ROUNDUP(MAX(J886/IF(CD886&gt;0,CD886,MAX(0.1,N(Cockpit!$O$6))),CG886)/BV886,0)*BV886</f>
        <v>24</v>
      </c>
      <c r="BD886" s="51" t="n">
        <f aca="false">IF(BA886&gt;0,J886/BA886,-1)</f>
        <v>5.41935483870968</v>
      </c>
      <c r="BE886" s="51" t="n">
        <f aca="false">IF(AND(OR(CC886="L1",CC886="L23",CC886="LIFT"),BA886&gt;0),SUMIFS($BA$7:$BA$1843,$CC$7:$CC$1843,CC886,$BD$7:$BD$1843,"&gt;"&amp;BD886)+SUMIFS($BA$7:$BA$1843,$CC$7:$CC$1843,CC886,$BD$7:$BD$1843,BD886,$BT$7:$BT$1843,"&lt;="&amp;BT886),"")</f>
        <v>4570.35256410256</v>
      </c>
      <c r="BF886" s="58" t="n">
        <f aca="false">IF(BE886="",0,MAX(0,MIN(1,(IF(CC886="L1",Parameter!$H$5,IF(CC886="L23",Parameter!$H$6+Parameter!$H$7,Parameter!$H$5+Parameter!$H$6+Parameter!$H$7))-(BE886-BA886))/BA886)))</f>
        <v>1</v>
      </c>
      <c r="BG886" s="48" t="str">
        <f aca="false">IF(AI886&lt;=0,"",IF(CC886="Aussen","Aussenlager",IF(CC886="-","Nicht im Lift",IF(AN886&gt;=1,"Lift",IF(AN886&lt;=0,"Aussenlager","teilweise")))))</f>
        <v>Lift</v>
      </c>
      <c r="BH886" s="48" t="str">
        <f aca="false">IF(AR886&lt;=0,"",IF(CC886="Aussen","Aussenlager",IF(CC886="-","Nicht im Lift",IF(AW886&gt;=1,"Lift",IF(AW886&lt;=0,"Aussenlager","teilweise")))))</f>
        <v>Lift</v>
      </c>
      <c r="BI886" s="48" t="str">
        <f aca="false">IF(BA886&lt;=0,"",IF(CC886="Aussen","Aussenlager",IF(CC886="-","Nicht im Lift",IF(BF886&gt;=1,"Lift",IF(BF886&lt;=0,"Aussenlager","teilweise")))))</f>
        <v>Lift</v>
      </c>
      <c r="BJ886" s="48" t="str">
        <f aca="false">IF(A886="","",IF(BS886=1,"Neu; ","")&amp;IF(AND(BS886=0,BN886&lt;0),"negativer Bestand (Export "&amp;BN886&amp;"); ","")&amp;IF(J886&lt;=0,"Kein Verbrauch; ","")&amp;IF(CL886&gt;0,"Lift "&amp;W886&amp;" lt. Liftbericht (Fach "&amp;X886&amp;" Stk); ",IF(BX886=1,"Gebinde geschätzt ("&amp;T886&amp;"); ",IF(BW886=1,"Lose – Tablare geschätzt; ","")))&amp;IF(H886&gt;AT886,"Überbestand "&amp;ROUND(H886-AT886,0)&amp;" Stk / CHF "&amp;ROUND((H886-AT886)*G886,0)&amp;"; ","")&amp;IF(AND(CE886=1,CF886&lt;CG886),"MAX &lt; MB+LG; ","")&amp;IF(AND(CK886&gt;0,CJ886*10&gt;CK886),"zu hoch für Tablar; ","")&amp;IF(AND(BS886=0,OR(CE886=1,AA886&lt;&gt;"",U886&lt;&gt;"",V886&lt;&gt;"",AB886&lt;&gt;"")),"manuell übersteuert; ","")&amp;IF(AND(BW886=0,R886=0),"Gebinde unbekannt / Stellmass fehlt; ","")&amp;IF(AND(BW886=0,N(V886)&lt;=0,N(Q886)&lt;=0),"Menge pro Gebinde fehlt (Ist = 1 Gebinde); ","")&amp;BR886)</f>
        <v>negativer Bestand (Export -3); </v>
      </c>
      <c r="BK886" s="48"/>
      <c r="BL886" s="48"/>
      <c r="BM886" s="55"/>
      <c r="BN886" s="50" t="n">
        <v>-3</v>
      </c>
      <c r="BO886" s="50" t="n">
        <v>10</v>
      </c>
      <c r="BP886" s="49" t="n">
        <v>-28.33</v>
      </c>
      <c r="BQ886" s="50" t="n">
        <v>18</v>
      </c>
      <c r="BR886" s="48"/>
      <c r="BS886" s="53" t="n">
        <v>0</v>
      </c>
      <c r="BT886" s="53" t="n">
        <v>886</v>
      </c>
      <c r="BU886" s="48" t="str">
        <f aca="false">IF(U886&lt;&gt;"",UPPER(TRIM(U886)),IF(BX886=1,UPPER(VLOOKUP(T886,Parameter!$I$27:$K$29,2,0)),IF(P886="","LOSE",P886)))</f>
        <v>S22</v>
      </c>
      <c r="BV886" s="50" t="n">
        <f aca="false">IF(BU886="LOSE",1,IF(N(V886)&gt;0,V886,IF(BX886=1,MAX(1,N(VLOOKUP(T886,Parameter!$I$27:$K$29,3,0)),H886,N(N886)),IF(N(Q886)&gt;0,Q886,MAX(1,H886)))))</f>
        <v>8</v>
      </c>
      <c r="BW886" s="53" t="n">
        <f aca="false">IF(BU886="LOSE",1,0)</f>
        <v>0</v>
      </c>
      <c r="BX886" s="53" t="n">
        <f aca="false">IF(AND(U886="",OR(P886="",P886="LOSE"),T886&lt;&gt;"",N(S886)&lt;=0,ISNUMBER(MATCH(T886,Parameter!$I$27:$I$29,0))),1,0)</f>
        <v>0</v>
      </c>
      <c r="BY886" s="53" t="n">
        <f aca="false">IF(CL886&gt;0,INDEX(Parameter!$H$5:$H$7,W886)/INDEX(Parameter!$E$5:$E$7,W886),IF(AND(BW886=0,N(IFERROR(VLOOKUP(BU886,'Gebinde-Kategorie'!$A$5:$N$45,14,0),0))&gt;0),VLOOKUP(BU886,'Gebinde-Kategorie'!$A$5:$N$45,14,0)*10+Parameter!$M$23,Parameter!$M$24))</f>
        <v>155</v>
      </c>
      <c r="BZ886" s="48" t="str">
        <f aca="false">IF(AND(Parameter!$B$19="Ja",E886&lt;&gt;"",ISNUMBER(MATCH(E886,Parameter!$I$35:$I$52,0))),VLOOKUP(E886,Parameter!$I$35:$J$52,2,0),IFERROR(VLOOKUP(D886,Parameter!$A$35:$C$64,2,0),"Nein"))</f>
        <v>2+3</v>
      </c>
      <c r="CA886" s="52" t="n">
        <f aca="false">IF(BW886=0,0,IF(N(S886)&gt;0,S886,IFERROR(VLOOKUP(D886,Parameter!$A$35:$C$64,3,0)+0,0)))</f>
        <v>0</v>
      </c>
      <c r="CB886" s="48" t="n">
        <f aca="false">IF(AA886&lt;&gt;"",AA886,Z886)</f>
        <v>3</v>
      </c>
      <c r="CC886" s="48" t="str">
        <f aca="false">IF(OR(CB886=1,CB886=2,CB886=3),IF(Parameter!$E$27="Ja","LIFT",IF(CB886=1,"L1","L23")),IF(CB886="Aussen","Aussen","-"))</f>
        <v>LIFT</v>
      </c>
      <c r="CD886" s="59" t="n">
        <f aca="false">IF(N(AB886)&gt;0,AB886,0)</f>
        <v>0</v>
      </c>
      <c r="CE886" s="53" t="n">
        <f aca="false">IF(ISNUMBER(AE886),1,0)</f>
        <v>0</v>
      </c>
      <c r="CF886" s="50" t="n">
        <f aca="false">N(AE886)</f>
        <v>0</v>
      </c>
      <c r="CG886" s="50" t="n">
        <f aca="false">N(M886)+N(N886)</f>
        <v>20</v>
      </c>
      <c r="CH886" s="50" t="n">
        <f aca="false">ROUNDUP(H886/BV886,0)</f>
        <v>1</v>
      </c>
      <c r="CI886" s="50" t="n">
        <f aca="false">ROUNDUP(CF886/BV886,0)</f>
        <v>0</v>
      </c>
      <c r="CJ886" s="53" t="n">
        <f aca="false">IF(BW886=1,0,IFERROR(VLOOKUP(BU886,'Gebinde-Kategorie'!$A$5:$N$45,5,0)+0,0))</f>
        <v>8</v>
      </c>
      <c r="CK886" s="53" t="n">
        <f aca="false">IFERROR(IF(OR(CB886=1,CB886=2,CB886=3),N(INDEX(Parameter!$I$5:$I$7,CB886)),0),0)</f>
        <v>0</v>
      </c>
      <c r="CL886" s="52" t="n">
        <f aca="false">IF(AND(Parameter!$B$21="Ja",ISNUMBER(W886),N(X886)&gt;0),IFERROR(N(INDEX(Parameter!$L$5:$L$7,W886))*INDEX(Parameter!$E$5:$E$7,W886)*X886/SUMIFS($X$7:$X$1843,$W$7:$W$1843,W886),0),0)</f>
        <v>0</v>
      </c>
    </row>
    <row r="887" customFormat="false" ht="15" hidden="false" customHeight="false" outlineLevel="0" collapsed="false">
      <c r="A887" s="48" t="s">
        <v>1678</v>
      </c>
      <c r="B887" s="48" t="s">
        <v>1679</v>
      </c>
      <c r="C887" s="48" t="s">
        <v>168</v>
      </c>
      <c r="D887" s="48" t="s">
        <v>188</v>
      </c>
      <c r="E887" s="48"/>
      <c r="F887" s="48" t="s">
        <v>222</v>
      </c>
      <c r="G887" s="49" t="n">
        <v>5.69</v>
      </c>
      <c r="H887" s="50" t="n">
        <f aca="false">MAX(0,IF(AND(Parameter!$B$21="Ja",ISNUMBER(Y887)),Y887,IF(Parameter!$B$20="Jahresanfang 2025 + Export",BO887+BN887,BN887)))</f>
        <v>10</v>
      </c>
      <c r="I887" s="50" t="n">
        <f aca="false">H887*G887</f>
        <v>56.9</v>
      </c>
      <c r="J887" s="50" t="n">
        <f aca="false">BQ887*Parameter!$B$18</f>
        <v>3</v>
      </c>
      <c r="K887" s="51" t="n">
        <v>12.5</v>
      </c>
      <c r="L887" s="52" t="n">
        <v>0.24</v>
      </c>
      <c r="M887" s="50" t="n">
        <v>0</v>
      </c>
      <c r="N887" s="50" t="n">
        <v>5</v>
      </c>
      <c r="O887" s="53" t="n">
        <v>28</v>
      </c>
      <c r="P887" s="48" t="s">
        <v>405</v>
      </c>
      <c r="Q887" s="50" t="n">
        <v>50</v>
      </c>
      <c r="R887" s="53" t="n">
        <f aca="false">IF(BW887=1,0,IFERROR(VLOOKUP(BU887,'Gebinde-Kategorie'!$A$5:$N$45,13,0)+0,0))</f>
        <v>280</v>
      </c>
      <c r="S887" s="54"/>
      <c r="T887" s="55"/>
      <c r="U887" s="55"/>
      <c r="V887" s="55"/>
      <c r="W887" s="48"/>
      <c r="X887" s="50"/>
      <c r="Y887" s="50"/>
      <c r="Z887" s="48" t="n">
        <f aca="false">IF(A887="","",IF(AND(Parameter!$B$21="Ja",ISNUMBER(W887)),W887,IF(BZ887="2+3",IF(ISNUMBER(SEARCH("grosser Artikel",BR887)),2,IFERROR(VLOOKUP(BU887,Parameter!$F$35:$G$64,2,0),2)),IF(OR(BZ887="Nein",BZ887=""),"-",BZ887))))</f>
        <v>3</v>
      </c>
      <c r="AA887" s="55"/>
      <c r="AB887" s="56"/>
      <c r="AC887" s="50" t="n">
        <f aca="false">AT887</f>
        <v>50</v>
      </c>
      <c r="AD887" s="50" t="n">
        <f aca="false">MAX(AT887,H887)</f>
        <v>50</v>
      </c>
      <c r="AE887" s="57"/>
      <c r="AF887" s="50" t="n">
        <f aca="false">IF(LEFT(Cockpit!$C$5,1)="A",H887,IF(CE887=1,CF887,IF(LEFT(Cockpit!$C$5,1)="B",AK887,MAX(AK887,H887))))</f>
        <v>10</v>
      </c>
      <c r="AG887" s="50" t="n">
        <f aca="false">IF(BW887=1,0,ROUNDUP(AF887/BV887,0))</f>
        <v>1</v>
      </c>
      <c r="AH887" s="52" t="n">
        <f aca="false">IF(CL887&gt;0,CL887*MAX(1,AF887/X887),IF(BW887=1,IF(AF887&lt;=0,0,CA887*MAX(1,IF(H887&gt;0,AF887/H887,1))),IF(R887&gt;0,AG887/R887,0))/MAX(0.1,N(Parameter!$M$21)))</f>
        <v>0.00357142857142857</v>
      </c>
      <c r="AI887" s="50" t="n">
        <f aca="false">AH887*BY887</f>
        <v>0.553571428571429</v>
      </c>
      <c r="AJ887" s="50" t="n">
        <f aca="false">AF887*G887</f>
        <v>56.9</v>
      </c>
      <c r="AK887" s="50" t="n">
        <f aca="false">ROUNDUP(MAX(J887/IF(CD887&gt;0,CD887,MAX(0.1,N(Cockpit!$C$6))),CG887)/BV887,0)*BV887</f>
        <v>50</v>
      </c>
      <c r="AL887" s="51" t="n">
        <f aca="false">IF(AI887&gt;0,J887/AI887,-1)</f>
        <v>5.41935483870968</v>
      </c>
      <c r="AM887" s="51" t="n">
        <f aca="false">IF(AND(OR(CC887="L1",CC887="L23",CC887="LIFT"),AI887&gt;0),SUMIFS($AI$7:$AI$1843,$CC$7:$CC$1843,CC887,$AL$7:$AL$1843,"&gt;"&amp;AL887)+SUMIFS($AI$7:$AI$1843,$CC$7:$CC$1843,CC887,$AL$7:$AL$1843,AL887,$BT$7:$BT$1843,"&lt;="&amp;BT887),"")</f>
        <v>3716.14194139194</v>
      </c>
      <c r="AN887" s="58" t="n">
        <f aca="false">IF(AM887="",0,MAX(0,MIN(1,(IF(CC887="L1",Parameter!$H$5,IF(CC887="L23",Parameter!$H$6+Parameter!$H$7,Parameter!$H$5+Parameter!$H$6+Parameter!$H$7))-(AM887-AI887))/AI887)))</f>
        <v>1</v>
      </c>
      <c r="AO887" s="50" t="n">
        <f aca="false">IF(LEFT(Cockpit!$I$5,1)="A",H887,IF(CE887=1,CF887,IF(LEFT(Cockpit!$I$5,1)="B",AT887,MAX(AT887,H887))))</f>
        <v>50</v>
      </c>
      <c r="AP887" s="50" t="n">
        <f aca="false">IF(BW887=1,0,ROUNDUP(AO887/BV887,0))</f>
        <v>1</v>
      </c>
      <c r="AQ887" s="52" t="n">
        <f aca="false">IF(CL887&gt;0,CL887*MAX(1,AO887/X887),IF(BW887=1,IF(AO887&lt;=0,0,CA887*MAX(1,IF(H887&gt;0,AO887/H887,1))),IF(R887&gt;0,AP887/R887,0))/MAX(0.1,N(Parameter!$M$21)))</f>
        <v>0.00357142857142857</v>
      </c>
      <c r="AR887" s="50" t="n">
        <f aca="false">AQ887*BY887</f>
        <v>0.553571428571429</v>
      </c>
      <c r="AS887" s="50" t="n">
        <f aca="false">AO887*G887</f>
        <v>284.5</v>
      </c>
      <c r="AT887" s="50" t="n">
        <f aca="false">ROUNDUP(MAX(J887/IF(CD887&gt;0,CD887,MAX(0.1,N(Cockpit!$I$6))),CG887)/BV887,0)*BV887</f>
        <v>50</v>
      </c>
      <c r="AU887" s="51" t="n">
        <f aca="false">IF(AR887&gt;0,J887/AR887,-1)</f>
        <v>5.41935483870968</v>
      </c>
      <c r="AV887" s="51" t="n">
        <f aca="false">IF(AND(OR(CC887="L1",CC887="L23",CC887="LIFT"),AR887&gt;0),SUMIFS($AR$7:$AR$1843,$CC$7:$CC$1843,CC887,$AU$7:$AU$1843,"&gt;"&amp;AU887)+SUMIFS($AR$7:$AR$1843,$CC$7:$CC$1843,CC887,$AU$7:$AU$1843,AU887,$BT$7:$BT$1843,"&lt;="&amp;BT887),"")</f>
        <v>4900.44139194139</v>
      </c>
      <c r="AW887" s="58" t="n">
        <f aca="false">IF(AV887="",0,MAX(0,MIN(1,(IF(CC887="L1",Parameter!$H$5,IF(CC887="L23",Parameter!$H$6+Parameter!$H$7,Parameter!$H$5+Parameter!$H$6+Parameter!$H$7))-(AV887-AR887))/AR887)))</f>
        <v>1</v>
      </c>
      <c r="AX887" s="50" t="n">
        <f aca="false">IF(LEFT(Cockpit!$O$5,1)="A",H887,IF(CE887=1,CF887,IF(LEFT(Cockpit!$O$5,1)="B",BC887,MAX(BC887,H887))))</f>
        <v>50</v>
      </c>
      <c r="AY887" s="50" t="n">
        <f aca="false">IF(BW887=1,0,ROUNDUP(AX887/BV887,0))</f>
        <v>1</v>
      </c>
      <c r="AZ887" s="52" t="n">
        <f aca="false">IF(CL887&gt;0,CL887*MAX(1,AX887/X887),IF(BW887=1,IF(AX887&lt;=0,0,CA887*MAX(1,IF(H887&gt;0,AX887/H887,1))),IF(R887&gt;0,AY887/R887,0))/MAX(0.1,N(Parameter!$M$21)))</f>
        <v>0.00357142857142857</v>
      </c>
      <c r="BA887" s="50" t="n">
        <f aca="false">AZ887*BY887</f>
        <v>0.553571428571429</v>
      </c>
      <c r="BB887" s="50" t="n">
        <f aca="false">AX887*G887</f>
        <v>284.5</v>
      </c>
      <c r="BC887" s="50" t="n">
        <f aca="false">ROUNDUP(MAX(J887/IF(CD887&gt;0,CD887,MAX(0.1,N(Cockpit!$O$6))),CG887)/BV887,0)*BV887</f>
        <v>50</v>
      </c>
      <c r="BD887" s="51" t="n">
        <f aca="false">IF(BA887&gt;0,J887/BA887,-1)</f>
        <v>5.41935483870968</v>
      </c>
      <c r="BE887" s="51" t="n">
        <f aca="false">IF(AND(OR(CC887="L1",CC887="L23",CC887="LIFT"),BA887&gt;0),SUMIFS($BA$7:$BA$1843,$CC$7:$CC$1843,CC887,$BD$7:$BD$1843,"&gt;"&amp;BD887)+SUMIFS($BA$7:$BA$1843,$CC$7:$CC$1843,CC887,$BD$7:$BD$1843,BD887,$BT$7:$BT$1843,"&lt;="&amp;BT887),"")</f>
        <v>4570.90613553114</v>
      </c>
      <c r="BF887" s="58" t="n">
        <f aca="false">IF(BE887="",0,MAX(0,MIN(1,(IF(CC887="L1",Parameter!$H$5,IF(CC887="L23",Parameter!$H$6+Parameter!$H$7,Parameter!$H$5+Parameter!$H$6+Parameter!$H$7))-(BE887-BA887))/BA887)))</f>
        <v>1</v>
      </c>
      <c r="BG887" s="48" t="str">
        <f aca="false">IF(AI887&lt;=0,"",IF(CC887="Aussen","Aussenlager",IF(CC887="-","Nicht im Lift",IF(AN887&gt;=1,"Lift",IF(AN887&lt;=0,"Aussenlager","teilweise")))))</f>
        <v>Lift</v>
      </c>
      <c r="BH887" s="48" t="str">
        <f aca="false">IF(AR887&lt;=0,"",IF(CC887="Aussen","Aussenlager",IF(CC887="-","Nicht im Lift",IF(AW887&gt;=1,"Lift",IF(AW887&lt;=0,"Aussenlager","teilweise")))))</f>
        <v>Lift</v>
      </c>
      <c r="BI887" s="48" t="str">
        <f aca="false">IF(BA887&lt;=0,"",IF(CC887="Aussen","Aussenlager",IF(CC887="-","Nicht im Lift",IF(BF887&gt;=1,"Lift",IF(BF887&lt;=0,"Aussenlager","teilweise")))))</f>
        <v>Lift</v>
      </c>
      <c r="BJ887" s="48" t="str">
        <f aca="false">IF(A887="","",IF(BS887=1,"Neu; ","")&amp;IF(AND(BS887=0,BN887&lt;0),"negativer Bestand (Export "&amp;BN887&amp;"); ","")&amp;IF(J887&lt;=0,"Kein Verbrauch; ","")&amp;IF(CL887&gt;0,"Lift "&amp;W887&amp;" lt. Liftbericht (Fach "&amp;X887&amp;" Stk); ",IF(BX887=1,"Gebinde geschätzt ("&amp;T887&amp;"); ",IF(BW887=1,"Lose – Tablare geschätzt; ","")))&amp;IF(H887&gt;AT887,"Überbestand "&amp;ROUND(H887-AT887,0)&amp;" Stk / CHF "&amp;ROUND((H887-AT887)*G887,0)&amp;"; ","")&amp;IF(AND(CE887=1,CF887&lt;CG887),"MAX &lt; MB+LG; ","")&amp;IF(AND(CK887&gt;0,CJ887*10&gt;CK887),"zu hoch für Tablar; ","")&amp;IF(AND(BS887=0,OR(CE887=1,AA887&lt;&gt;"",U887&lt;&gt;"",V887&lt;&gt;"",AB887&lt;&gt;"")),"manuell übersteuert; ","")&amp;IF(AND(BW887=0,R887=0),"Gebinde unbekannt / Stellmass fehlt; ","")&amp;IF(AND(BW887=0,N(V887)&lt;=0,N(Q887)&lt;=0),"Menge pro Gebinde fehlt (Ist = 1 Gebinde); ","")&amp;BR887)</f>
        <v>negativer Bestand (Export -5); </v>
      </c>
      <c r="BK887" s="48"/>
      <c r="BL887" s="48"/>
      <c r="BM887" s="55"/>
      <c r="BN887" s="50" t="n">
        <v>-5</v>
      </c>
      <c r="BO887" s="50" t="n">
        <v>15</v>
      </c>
      <c r="BP887" s="49" t="n">
        <v>-28.45</v>
      </c>
      <c r="BQ887" s="50" t="n">
        <v>3</v>
      </c>
      <c r="BR887" s="48"/>
      <c r="BS887" s="53" t="n">
        <v>0</v>
      </c>
      <c r="BT887" s="53" t="n">
        <v>887</v>
      </c>
      <c r="BU887" s="48" t="str">
        <f aca="false">IF(U887&lt;&gt;"",UPPER(TRIM(U887)),IF(BX887=1,UPPER(VLOOKUP(T887,Parameter!$I$27:$K$29,2,0)),IF(P887="","LOSE",P887)))</f>
        <v>S21</v>
      </c>
      <c r="BV887" s="50" t="n">
        <f aca="false">IF(BU887="LOSE",1,IF(N(V887)&gt;0,V887,IF(BX887=1,MAX(1,N(VLOOKUP(T887,Parameter!$I$27:$K$29,3,0)),H887,N(N887)),IF(N(Q887)&gt;0,Q887,MAX(1,H887)))))</f>
        <v>50</v>
      </c>
      <c r="BW887" s="53" t="n">
        <f aca="false">IF(BU887="LOSE",1,0)</f>
        <v>0</v>
      </c>
      <c r="BX887" s="53" t="n">
        <f aca="false">IF(AND(U887="",OR(P887="",P887="LOSE"),T887&lt;&gt;"",N(S887)&lt;=0,ISNUMBER(MATCH(T887,Parameter!$I$27:$I$29,0))),1,0)</f>
        <v>0</v>
      </c>
      <c r="BY887" s="53" t="n">
        <f aca="false">IF(CL887&gt;0,INDEX(Parameter!$H$5:$H$7,W887)/INDEX(Parameter!$E$5:$E$7,W887),IF(AND(BW887=0,N(IFERROR(VLOOKUP(BU887,'Gebinde-Kategorie'!$A$5:$N$45,14,0),0))&gt;0),VLOOKUP(BU887,'Gebinde-Kategorie'!$A$5:$N$45,14,0)*10+Parameter!$M$23,Parameter!$M$24))</f>
        <v>155</v>
      </c>
      <c r="BZ887" s="48" t="str">
        <f aca="false">IF(AND(Parameter!$B$19="Ja",E887&lt;&gt;"",ISNUMBER(MATCH(E887,Parameter!$I$35:$I$52,0))),VLOOKUP(E887,Parameter!$I$35:$J$52,2,0),IFERROR(VLOOKUP(D887,Parameter!$A$35:$C$64,2,0),"Nein"))</f>
        <v>2+3</v>
      </c>
      <c r="CA887" s="52" t="n">
        <f aca="false">IF(BW887=0,0,IF(N(S887)&gt;0,S887,IFERROR(VLOOKUP(D887,Parameter!$A$35:$C$64,3,0)+0,0)))</f>
        <v>0</v>
      </c>
      <c r="CB887" s="48" t="n">
        <f aca="false">IF(AA887&lt;&gt;"",AA887,Z887)</f>
        <v>3</v>
      </c>
      <c r="CC887" s="48" t="str">
        <f aca="false">IF(OR(CB887=1,CB887=2,CB887=3),IF(Parameter!$E$27="Ja","LIFT",IF(CB887=1,"L1","L23")),IF(CB887="Aussen","Aussen","-"))</f>
        <v>LIFT</v>
      </c>
      <c r="CD887" s="59" t="n">
        <f aca="false">IF(N(AB887)&gt;0,AB887,0)</f>
        <v>0</v>
      </c>
      <c r="CE887" s="53" t="n">
        <f aca="false">IF(ISNUMBER(AE887),1,0)</f>
        <v>0</v>
      </c>
      <c r="CF887" s="50" t="n">
        <f aca="false">N(AE887)</f>
        <v>0</v>
      </c>
      <c r="CG887" s="50" t="n">
        <f aca="false">N(M887)+N(N887)</f>
        <v>5</v>
      </c>
      <c r="CH887" s="50" t="n">
        <f aca="false">ROUNDUP(H887/BV887,0)</f>
        <v>1</v>
      </c>
      <c r="CI887" s="50" t="n">
        <f aca="false">ROUNDUP(CF887/BV887,0)</f>
        <v>0</v>
      </c>
      <c r="CJ887" s="53" t="n">
        <f aca="false">IF(BW887=1,0,IFERROR(VLOOKUP(BU887,'Gebinde-Kategorie'!$A$5:$N$45,5,0)+0,0))</f>
        <v>8</v>
      </c>
      <c r="CK887" s="53" t="n">
        <f aca="false">IFERROR(IF(OR(CB887=1,CB887=2,CB887=3),N(INDEX(Parameter!$I$5:$I$7,CB887)),0),0)</f>
        <v>0</v>
      </c>
      <c r="CL887" s="52" t="n">
        <f aca="false">IF(AND(Parameter!$B$21="Ja",ISNUMBER(W887),N(X887)&gt;0),IFERROR(N(INDEX(Parameter!$L$5:$L$7,W887))*INDEX(Parameter!$E$5:$E$7,W887)*X887/SUMIFS($X$7:$X$1843,$W$7:$W$1843,W887),0),0)</f>
        <v>0</v>
      </c>
    </row>
    <row r="888" customFormat="false" ht="15" hidden="false" customHeight="false" outlineLevel="0" collapsed="false">
      <c r="A888" s="48" t="s">
        <v>1680</v>
      </c>
      <c r="B888" s="48" t="s">
        <v>1681</v>
      </c>
      <c r="C888" s="48" t="s">
        <v>168</v>
      </c>
      <c r="D888" s="48" t="s">
        <v>188</v>
      </c>
      <c r="E888" s="48"/>
      <c r="F888" s="48" t="s">
        <v>222</v>
      </c>
      <c r="G888" s="49" t="n">
        <v>14.44</v>
      </c>
      <c r="H888" s="50" t="n">
        <f aca="false">MAX(0,IF(AND(Parameter!$B$21="Ja",ISNUMBER(Y888)),Y888,IF(Parameter!$B$20="Jahresanfang 2025 + Export",BO888+BN888,BN888)))</f>
        <v>0</v>
      </c>
      <c r="I888" s="50" t="n">
        <f aca="false">H888*G888</f>
        <v>0</v>
      </c>
      <c r="J888" s="50" t="n">
        <f aca="false">BQ888*Parameter!$B$18</f>
        <v>0</v>
      </c>
      <c r="K888" s="51" t="n">
        <v>2</v>
      </c>
      <c r="L888" s="52" t="n">
        <v>0</v>
      </c>
      <c r="M888" s="50" t="n">
        <v>0</v>
      </c>
      <c r="N888" s="50" t="n">
        <v>1</v>
      </c>
      <c r="O888" s="53" t="n">
        <v>14</v>
      </c>
      <c r="P888" s="48" t="s">
        <v>172</v>
      </c>
      <c r="Q888" s="50"/>
      <c r="R888" s="53" t="n">
        <f aca="false">IF(BW888=1,0,IFERROR(VLOOKUP(BU888,'Gebinde-Kategorie'!$A$5:$N$45,13,0)+0,0))</f>
        <v>26</v>
      </c>
      <c r="S888" s="54"/>
      <c r="T888" s="55" t="s">
        <v>279</v>
      </c>
      <c r="U888" s="55"/>
      <c r="V888" s="55"/>
      <c r="W888" s="48"/>
      <c r="X888" s="50"/>
      <c r="Y888" s="50"/>
      <c r="Z888" s="48" t="n">
        <f aca="false">IF(A888="","",IF(AND(Parameter!$B$21="Ja",ISNUMBER(W888)),W888,IF(BZ888="2+3",IF(ISNUMBER(SEARCH("grosser Artikel",BR888)),2,IFERROR(VLOOKUP(BU888,Parameter!$F$35:$G$64,2,0),2)),IF(OR(BZ888="Nein",BZ888=""),"-",BZ888))))</f>
        <v>3</v>
      </c>
      <c r="AA888" s="55"/>
      <c r="AB888" s="56"/>
      <c r="AC888" s="50" t="n">
        <f aca="false">AT888</f>
        <v>20</v>
      </c>
      <c r="AD888" s="50" t="n">
        <f aca="false">MAX(AT888,H888)</f>
        <v>20</v>
      </c>
      <c r="AE888" s="57"/>
      <c r="AF888" s="50" t="n">
        <f aca="false">IF(LEFT(Cockpit!$C$5,1)="A",H888,IF(CE888=1,CF888,IF(LEFT(Cockpit!$C$5,1)="B",AK888,MAX(AK888,H888))))</f>
        <v>0</v>
      </c>
      <c r="AG888" s="50" t="n">
        <f aca="false">IF(BW888=1,0,ROUNDUP(AF888/BV888,0))</f>
        <v>0</v>
      </c>
      <c r="AH888" s="52" t="n">
        <f aca="false">IF(CL888&gt;0,CL888*MAX(1,AF888/X888),IF(BW888=1,IF(AF888&lt;=0,0,CA888*MAX(1,IF(H888&gt;0,AF888/H888,1))),IF(R888&gt;0,AG888/R888,0))/MAX(0.1,N(Parameter!$M$21)))</f>
        <v>0</v>
      </c>
      <c r="AI888" s="50" t="n">
        <f aca="false">AH888*BY888</f>
        <v>0</v>
      </c>
      <c r="AJ888" s="50" t="n">
        <f aca="false">AF888*G888</f>
        <v>0</v>
      </c>
      <c r="AK888" s="50" t="n">
        <f aca="false">ROUNDUP(MAX(J888/IF(CD888&gt;0,CD888,MAX(0.1,N(Cockpit!$C$6))),CG888)/BV888,0)*BV888</f>
        <v>20</v>
      </c>
      <c r="AL888" s="51" t="n">
        <f aca="false">IF(AI888&gt;0,J888/AI888,-1)</f>
        <v>-1</v>
      </c>
      <c r="AM888" s="51" t="str">
        <f aca="false">IF(AND(OR(CC888="L1",CC888="L23",CC888="LIFT"),AI888&gt;0),SUMIFS($AI$7:$AI$1843,$CC$7:$CC$1843,CC888,$AL$7:$AL$1843,"&gt;"&amp;AL888)+SUMIFS($AI$7:$AI$1843,$CC$7:$CC$1843,CC888,$AL$7:$AL$1843,AL888,$BT$7:$BT$1843,"&lt;="&amp;BT888),"")</f>
        <v/>
      </c>
      <c r="AN888" s="58" t="n">
        <f aca="false">IF(AM888="",0,MAX(0,MIN(1,(IF(CC888="L1",Parameter!$H$5,IF(CC888="L23",Parameter!$H$6+Parameter!$H$7,Parameter!$H$5+Parameter!$H$6+Parameter!$H$7))-(AM888-AI888))/AI888)))</f>
        <v>0</v>
      </c>
      <c r="AO888" s="50" t="n">
        <f aca="false">IF(LEFT(Cockpit!$I$5,1)="A",H888,IF(CE888=1,CF888,IF(LEFT(Cockpit!$I$5,1)="B",AT888,MAX(AT888,H888))))</f>
        <v>20</v>
      </c>
      <c r="AP888" s="50" t="n">
        <f aca="false">IF(BW888=1,0,ROUNDUP(AO888/BV888,0))</f>
        <v>1</v>
      </c>
      <c r="AQ888" s="52" t="n">
        <f aca="false">IF(CL888&gt;0,CL888*MAX(1,AO888/X888),IF(BW888=1,IF(AO888&lt;=0,0,CA888*MAX(1,IF(H888&gt;0,AO888/H888,1))),IF(R888&gt;0,AP888/R888,0))/MAX(0.1,N(Parameter!$M$21)))</f>
        <v>0.0384615384615385</v>
      </c>
      <c r="AR888" s="50" t="n">
        <f aca="false">AQ888*BY888</f>
        <v>5.96153846153846</v>
      </c>
      <c r="AS888" s="50" t="n">
        <f aca="false">AO888*G888</f>
        <v>288.8</v>
      </c>
      <c r="AT888" s="50" t="n">
        <f aca="false">ROUNDUP(MAX(J888/IF(CD888&gt;0,CD888,MAX(0.1,N(Cockpit!$I$6))),CG888)/BV888,0)*BV888</f>
        <v>20</v>
      </c>
      <c r="AU888" s="51" t="n">
        <f aca="false">IF(AR888&gt;0,J888/AR888,-1)</f>
        <v>0</v>
      </c>
      <c r="AV888" s="51" t="n">
        <f aca="false">IF(AND(OR(CC888="L1",CC888="L23",CC888="LIFT"),AR888&gt;0),SUMIFS($AR$7:$AR$1843,$CC$7:$CC$1843,CC888,$AU$7:$AU$1843,"&gt;"&amp;AU888)+SUMIFS($AR$7:$AR$1843,$CC$7:$CC$1843,CC888,$AU$7:$AU$1843,AU888,$BT$7:$BT$1843,"&lt;="&amp;BT888),"")</f>
        <v>40405.1451542808</v>
      </c>
      <c r="AW888" s="58" t="n">
        <f aca="false">IF(AV888="",0,MAX(0,MIN(1,(IF(CC888="L1",Parameter!$H$5,IF(CC888="L23",Parameter!$H$6+Parameter!$H$7,Parameter!$H$5+Parameter!$H$6+Parameter!$H$7))-(AV888-AR888))/AR888)))</f>
        <v>0</v>
      </c>
      <c r="AX888" s="50" t="n">
        <f aca="false">IF(LEFT(Cockpit!$O$5,1)="A",H888,IF(CE888=1,CF888,IF(LEFT(Cockpit!$O$5,1)="B",BC888,MAX(BC888,H888))))</f>
        <v>20</v>
      </c>
      <c r="AY888" s="50" t="n">
        <f aca="false">IF(BW888=1,0,ROUNDUP(AX888/BV888,0))</f>
        <v>1</v>
      </c>
      <c r="AZ888" s="52" t="n">
        <f aca="false">IF(CL888&gt;0,CL888*MAX(1,AX888/X888),IF(BW888=1,IF(AX888&lt;=0,0,CA888*MAX(1,IF(H888&gt;0,AX888/H888,1))),IF(R888&gt;0,AY888/R888,0))/MAX(0.1,N(Parameter!$M$21)))</f>
        <v>0.0384615384615385</v>
      </c>
      <c r="BA888" s="50" t="n">
        <f aca="false">AZ888*BY888</f>
        <v>5.96153846153846</v>
      </c>
      <c r="BB888" s="50" t="n">
        <f aca="false">AX888*G888</f>
        <v>288.8</v>
      </c>
      <c r="BC888" s="50" t="n">
        <f aca="false">ROUNDUP(MAX(J888/IF(CD888&gt;0,CD888,MAX(0.1,N(Cockpit!$O$6))),CG888)/BV888,0)*BV888</f>
        <v>20</v>
      </c>
      <c r="BD888" s="51" t="n">
        <f aca="false">IF(BA888&gt;0,J888/BA888,-1)</f>
        <v>0</v>
      </c>
      <c r="BE888" s="51" t="n">
        <f aca="false">IF(AND(OR(CC888="L1",CC888="L23",CC888="LIFT"),BA888&gt;0),SUMIFS($BA$7:$BA$1843,$CC$7:$CC$1843,CC888,$BD$7:$BD$1843,"&gt;"&amp;BD888)+SUMIFS($BA$7:$BA$1843,$CC$7:$CC$1843,CC888,$BD$7:$BD$1843,BD888,$BT$7:$BT$1843,"&lt;="&amp;BT888),"")</f>
        <v>37080.1571961466</v>
      </c>
      <c r="BF888" s="58" t="n">
        <f aca="false">IF(BE888="",0,MAX(0,MIN(1,(IF(CC888="L1",Parameter!$H$5,IF(CC888="L23",Parameter!$H$6+Parameter!$H$7,Parameter!$H$5+Parameter!$H$6+Parameter!$H$7))-(BE888-BA888))/BA888)))</f>
        <v>0</v>
      </c>
      <c r="BG888" s="48" t="str">
        <f aca="false">IF(AI888&lt;=0,"",IF(CC888="Aussen","Aussenlager",IF(CC888="-","Nicht im Lift",IF(AN888&gt;=1,"Lift",IF(AN888&lt;=0,"Aussenlager","teilweise")))))</f>
        <v/>
      </c>
      <c r="BH888" s="48" t="str">
        <f aca="false">IF(AR888&lt;=0,"",IF(CC888="Aussen","Aussenlager",IF(CC888="-","Nicht im Lift",IF(AW888&gt;=1,"Lift",IF(AW888&lt;=0,"Aussenlager","teilweise")))))</f>
        <v>Aussenlager</v>
      </c>
      <c r="BI888" s="48" t="str">
        <f aca="false">IF(BA888&lt;=0,"",IF(CC888="Aussen","Aussenlager",IF(CC888="-","Nicht im Lift",IF(BF888&gt;=1,"Lift",IF(BF888&lt;=0,"Aussenlager","teilweise")))))</f>
        <v>Aussenlager</v>
      </c>
      <c r="BJ888" s="48" t="str">
        <f aca="false">IF(A888="","",IF(BS888=1,"Neu; ","")&amp;IF(AND(BS888=0,BN888&lt;0),"negativer Bestand (Export "&amp;BN888&amp;"); ","")&amp;IF(J888&lt;=0,"Kein Verbrauch; ","")&amp;IF(CL888&gt;0,"Lift "&amp;W888&amp;" lt. Liftbericht (Fach "&amp;X888&amp;" Stk); ",IF(BX888=1,"Gebinde geschätzt ("&amp;T888&amp;"); ",IF(BW888=1,"Lose – Tablare geschätzt; ","")))&amp;IF(H888&gt;AT888,"Überbestand "&amp;ROUND(H888-AT888,0)&amp;" Stk / CHF "&amp;ROUND((H888-AT888)*G888,0)&amp;"; ","")&amp;IF(AND(CE888=1,CF888&lt;CG888),"MAX &lt; MB+LG; ","")&amp;IF(AND(CK888&gt;0,CJ888*10&gt;CK888),"zu hoch für Tablar; ","")&amp;IF(AND(BS888=0,OR(CE888=1,AA888&lt;&gt;"",U888&lt;&gt;"",V888&lt;&gt;"",AB888&lt;&gt;"")),"manuell übersteuert; ","")&amp;IF(AND(BW888=0,R888=0),"Gebinde unbekannt / Stellmass fehlt; ","")&amp;IF(AND(BW888=0,N(V888)&lt;=0,N(Q888)&lt;=0),"Menge pro Gebinde fehlt (Ist = 1 Gebinde); ","")&amp;BR888)</f>
        <v>negativer Bestand (Export -2); Kein Verbrauch; Gebinde geschätzt (Klein); Menge pro Gebinde fehlt (Ist = 1 Gebinde); </v>
      </c>
      <c r="BK888" s="48"/>
      <c r="BL888" s="48"/>
      <c r="BM888" s="55"/>
      <c r="BN888" s="50" t="n">
        <v>-2</v>
      </c>
      <c r="BO888" s="50" t="n">
        <v>2</v>
      </c>
      <c r="BP888" s="49" t="n">
        <v>-28.88</v>
      </c>
      <c r="BQ888" s="50" t="n">
        <v>0</v>
      </c>
      <c r="BR888" s="48"/>
      <c r="BS888" s="53" t="n">
        <v>0</v>
      </c>
      <c r="BT888" s="53" t="n">
        <v>888</v>
      </c>
      <c r="BU888" s="48" t="str">
        <f aca="false">IF(U888&lt;&gt;"",UPPER(TRIM(U888)),IF(BX888=1,UPPER(VLOOKUP(T888,Parameter!$I$27:$K$29,2,0)),IF(P888="","LOSE",P888)))</f>
        <v>S51</v>
      </c>
      <c r="BV888" s="50" t="n">
        <f aca="false">IF(BU888="LOSE",1,IF(N(V888)&gt;0,V888,IF(BX888=1,MAX(1,N(VLOOKUP(T888,Parameter!$I$27:$K$29,3,0)),H888,N(N888)),IF(N(Q888)&gt;0,Q888,MAX(1,H888)))))</f>
        <v>20</v>
      </c>
      <c r="BW888" s="53" t="n">
        <f aca="false">IF(BU888="LOSE",1,0)</f>
        <v>0</v>
      </c>
      <c r="BX888" s="53" t="n">
        <f aca="false">IF(AND(U888="",OR(P888="",P888="LOSE"),T888&lt;&gt;"",N(S888)&lt;=0,ISNUMBER(MATCH(T888,Parameter!$I$27:$I$29,0))),1,0)</f>
        <v>1</v>
      </c>
      <c r="BY888" s="53" t="n">
        <f aca="false">IF(CL888&gt;0,INDEX(Parameter!$H$5:$H$7,W888)/INDEX(Parameter!$E$5:$E$7,W888),IF(AND(BW888=0,N(IFERROR(VLOOKUP(BU888,'Gebinde-Kategorie'!$A$5:$N$45,14,0),0))&gt;0),VLOOKUP(BU888,'Gebinde-Kategorie'!$A$5:$N$45,14,0)*10+Parameter!$M$23,Parameter!$M$24))</f>
        <v>155</v>
      </c>
      <c r="BZ888" s="48" t="str">
        <f aca="false">IF(AND(Parameter!$B$19="Ja",E888&lt;&gt;"",ISNUMBER(MATCH(E888,Parameter!$I$35:$I$52,0))),VLOOKUP(E888,Parameter!$I$35:$J$52,2,0),IFERROR(VLOOKUP(D888,Parameter!$A$35:$C$64,2,0),"Nein"))</f>
        <v>2+3</v>
      </c>
      <c r="CA888" s="52" t="n">
        <f aca="false">IF(BW888=0,0,IF(N(S888)&gt;0,S888,IFERROR(VLOOKUP(D888,Parameter!$A$35:$C$64,3,0)+0,0)))</f>
        <v>0</v>
      </c>
      <c r="CB888" s="48" t="n">
        <f aca="false">IF(AA888&lt;&gt;"",AA888,Z888)</f>
        <v>3</v>
      </c>
      <c r="CC888" s="48" t="str">
        <f aca="false">IF(OR(CB888=1,CB888=2,CB888=3),IF(Parameter!$E$27="Ja","LIFT",IF(CB888=1,"L1","L23")),IF(CB888="Aussen","Aussen","-"))</f>
        <v>LIFT</v>
      </c>
      <c r="CD888" s="59" t="n">
        <f aca="false">IF(N(AB888)&gt;0,AB888,0)</f>
        <v>0</v>
      </c>
      <c r="CE888" s="53" t="n">
        <f aca="false">IF(ISNUMBER(AE888),1,0)</f>
        <v>0</v>
      </c>
      <c r="CF888" s="50" t="n">
        <f aca="false">N(AE888)</f>
        <v>0</v>
      </c>
      <c r="CG888" s="50" t="n">
        <f aca="false">N(M888)+N(N888)</f>
        <v>1</v>
      </c>
      <c r="CH888" s="50" t="n">
        <f aca="false">ROUNDUP(H888/BV888,0)</f>
        <v>0</v>
      </c>
      <c r="CI888" s="50" t="n">
        <f aca="false">ROUNDUP(CF888/BV888,0)</f>
        <v>0</v>
      </c>
      <c r="CJ888" s="53" t="n">
        <f aca="false">IF(BW888=1,0,IFERROR(VLOOKUP(BU888,'Gebinde-Kategorie'!$A$5:$N$45,5,0)+0,0))</f>
        <v>11</v>
      </c>
      <c r="CK888" s="53" t="n">
        <f aca="false">IFERROR(IF(OR(CB888=1,CB888=2,CB888=3),N(INDEX(Parameter!$I$5:$I$7,CB888)),0),0)</f>
        <v>0</v>
      </c>
      <c r="CL888" s="52" t="n">
        <f aca="false">IF(AND(Parameter!$B$21="Ja",ISNUMBER(W888),N(X888)&gt;0),IFERROR(N(INDEX(Parameter!$L$5:$L$7,W888))*INDEX(Parameter!$E$5:$E$7,W888)*X888/SUMIFS($X$7:$X$1843,$W$7:$W$1843,W888),0),0)</f>
        <v>0</v>
      </c>
    </row>
    <row r="889" customFormat="false" ht="15" hidden="false" customHeight="false" outlineLevel="0" collapsed="false">
      <c r="A889" s="48" t="s">
        <v>1682</v>
      </c>
      <c r="B889" s="48" t="s">
        <v>1683</v>
      </c>
      <c r="C889" s="48" t="s">
        <v>168</v>
      </c>
      <c r="D889" s="48" t="s">
        <v>188</v>
      </c>
      <c r="E889" s="48" t="s">
        <v>189</v>
      </c>
      <c r="F889" s="48" t="s">
        <v>222</v>
      </c>
      <c r="G889" s="49" t="n">
        <v>14.5</v>
      </c>
      <c r="H889" s="50" t="n">
        <f aca="false">MAX(0,IF(AND(Parameter!$B$21="Ja",ISNUMBER(Y889)),Y889,IF(Parameter!$B$20="Jahresanfang 2025 + Export",BO889+BN889,BN889)))</f>
        <v>53</v>
      </c>
      <c r="I889" s="50" t="n">
        <f aca="false">H889*G889</f>
        <v>768.5</v>
      </c>
      <c r="J889" s="50" t="n">
        <f aca="false">BQ889*Parameter!$B$18</f>
        <v>0</v>
      </c>
      <c r="K889" s="51" t="n">
        <v>54</v>
      </c>
      <c r="L889" s="52" t="n">
        <v>0</v>
      </c>
      <c r="M889" s="50" t="n">
        <v>0</v>
      </c>
      <c r="N889" s="50" t="n">
        <v>1</v>
      </c>
      <c r="O889" s="53" t="n">
        <v>28</v>
      </c>
      <c r="P889" s="48" t="s">
        <v>430</v>
      </c>
      <c r="Q889" s="50" t="n">
        <v>22</v>
      </c>
      <c r="R889" s="53" t="n">
        <f aca="false">IF(BW889=1,0,IFERROR(VLOOKUP(BU889,'Gebinde-Kategorie'!$A$5:$N$45,13,0)+0,0))</f>
        <v>140</v>
      </c>
      <c r="S889" s="54"/>
      <c r="T889" s="55"/>
      <c r="U889" s="55"/>
      <c r="V889" s="55"/>
      <c r="W889" s="48"/>
      <c r="X889" s="50"/>
      <c r="Y889" s="50"/>
      <c r="Z889" s="48" t="n">
        <f aca="false">IF(A889="","",IF(AND(Parameter!$B$21="Ja",ISNUMBER(W889)),W889,IF(BZ889="2+3",IF(ISNUMBER(SEARCH("grosser Artikel",BR889)),2,IFERROR(VLOOKUP(BU889,Parameter!$F$35:$G$64,2,0),2)),IF(OR(BZ889="Nein",BZ889=""),"-",BZ889))))</f>
        <v>3</v>
      </c>
      <c r="AA889" s="55"/>
      <c r="AB889" s="56"/>
      <c r="AC889" s="50" t="n">
        <f aca="false">AT889</f>
        <v>22</v>
      </c>
      <c r="AD889" s="50" t="n">
        <f aca="false">MAX(AT889,H889)</f>
        <v>53</v>
      </c>
      <c r="AE889" s="57"/>
      <c r="AF889" s="50" t="n">
        <f aca="false">IF(LEFT(Cockpit!$C$5,1)="A",H889,IF(CE889=1,CF889,IF(LEFT(Cockpit!$C$5,1)="B",AK889,MAX(AK889,H889))))</f>
        <v>53</v>
      </c>
      <c r="AG889" s="50" t="n">
        <f aca="false">IF(BW889=1,0,ROUNDUP(AF889/BV889,0))</f>
        <v>3</v>
      </c>
      <c r="AH889" s="52" t="n">
        <f aca="false">IF(CL889&gt;0,CL889*MAX(1,AF889/X889),IF(BW889=1,IF(AF889&lt;=0,0,CA889*MAX(1,IF(H889&gt;0,AF889/H889,1))),IF(R889&gt;0,AG889/R889,0))/MAX(0.1,N(Parameter!$M$21)))</f>
        <v>0.0214285714285714</v>
      </c>
      <c r="AI889" s="50" t="n">
        <f aca="false">AH889*BY889</f>
        <v>3.32142857142857</v>
      </c>
      <c r="AJ889" s="50" t="n">
        <f aca="false">AF889*G889</f>
        <v>768.5</v>
      </c>
      <c r="AK889" s="50" t="n">
        <f aca="false">ROUNDUP(MAX(J889/IF(CD889&gt;0,CD889,MAX(0.1,N(Cockpit!$C$6))),CG889)/BV889,0)*BV889</f>
        <v>22</v>
      </c>
      <c r="AL889" s="51" t="n">
        <f aca="false">IF(AI889&gt;0,J889/AI889,-1)</f>
        <v>0</v>
      </c>
      <c r="AM889" s="51" t="n">
        <f aca="false">IF(AND(OR(CC889="L1",CC889="L23",CC889="LIFT"),AI889&gt;0),SUMIFS($AI$7:$AI$1843,$CC$7:$CC$1843,CC889,$AL$7:$AL$1843,"&gt;"&amp;AL889)+SUMIFS($AI$7:$AI$1843,$CC$7:$CC$1843,CC889,$AL$7:$AL$1843,AL889,$BT$7:$BT$1843,"&lt;="&amp;BT889),"")</f>
        <v>28815.9923842636</v>
      </c>
      <c r="AN889" s="58" t="n">
        <f aca="false">IF(AM889="",0,MAX(0,MIN(1,(IF(CC889="L1",Parameter!$H$5,IF(CC889="L23",Parameter!$H$6+Parameter!$H$7,Parameter!$H$5+Parameter!$H$6+Parameter!$H$7))-(AM889-AI889))/AI889)))</f>
        <v>1</v>
      </c>
      <c r="AO889" s="50" t="n">
        <f aca="false">IF(LEFT(Cockpit!$I$5,1)="A",H889,IF(CE889=1,CF889,IF(LEFT(Cockpit!$I$5,1)="B",AT889,MAX(AT889,H889))))</f>
        <v>53</v>
      </c>
      <c r="AP889" s="50" t="n">
        <f aca="false">IF(BW889=1,0,ROUNDUP(AO889/BV889,0))</f>
        <v>3</v>
      </c>
      <c r="AQ889" s="52" t="n">
        <f aca="false">IF(CL889&gt;0,CL889*MAX(1,AO889/X889),IF(BW889=1,IF(AO889&lt;=0,0,CA889*MAX(1,IF(H889&gt;0,AO889/H889,1))),IF(R889&gt;0,AP889/R889,0))/MAX(0.1,N(Parameter!$M$21)))</f>
        <v>0.0214285714285714</v>
      </c>
      <c r="AR889" s="50" t="n">
        <f aca="false">AQ889*BY889</f>
        <v>3.32142857142857</v>
      </c>
      <c r="AS889" s="50" t="n">
        <f aca="false">AO889*G889</f>
        <v>768.5</v>
      </c>
      <c r="AT889" s="50" t="n">
        <f aca="false">ROUNDUP(MAX(J889/IF(CD889&gt;0,CD889,MAX(0.1,N(Cockpit!$I$6))),CG889)/BV889,0)*BV889</f>
        <v>22</v>
      </c>
      <c r="AU889" s="51" t="n">
        <f aca="false">IF(AR889&gt;0,J889/AR889,-1)</f>
        <v>0</v>
      </c>
      <c r="AV889" s="51" t="n">
        <f aca="false">IF(AND(OR(CC889="L1",CC889="L23",CC889="LIFT"),AR889&gt;0),SUMIFS($AR$7:$AR$1843,$CC$7:$CC$1843,CC889,$AU$7:$AU$1843,"&gt;"&amp;AU889)+SUMIFS($AR$7:$AR$1843,$CC$7:$CC$1843,CC889,$AU$7:$AU$1843,AU889,$BT$7:$BT$1843,"&lt;="&amp;BT889),"")</f>
        <v>40408.4665828522</v>
      </c>
      <c r="AW889" s="58" t="n">
        <f aca="false">IF(AV889="",0,MAX(0,MIN(1,(IF(CC889="L1",Parameter!$H$5,IF(CC889="L23",Parameter!$H$6+Parameter!$H$7,Parameter!$H$5+Parameter!$H$6+Parameter!$H$7))-(AV889-AR889))/AR889)))</f>
        <v>0</v>
      </c>
      <c r="AX889" s="50" t="n">
        <f aca="false">IF(LEFT(Cockpit!$O$5,1)="A",H889,IF(CE889=1,CF889,IF(LEFT(Cockpit!$O$5,1)="B",BC889,MAX(BC889,H889))))</f>
        <v>53</v>
      </c>
      <c r="AY889" s="50" t="n">
        <f aca="false">IF(BW889=1,0,ROUNDUP(AX889/BV889,0))</f>
        <v>3</v>
      </c>
      <c r="AZ889" s="52" t="n">
        <f aca="false">IF(CL889&gt;0,CL889*MAX(1,AX889/X889),IF(BW889=1,IF(AX889&lt;=0,0,CA889*MAX(1,IF(H889&gt;0,AX889/H889,1))),IF(R889&gt;0,AY889/R889,0))/MAX(0.1,N(Parameter!$M$21)))</f>
        <v>0.0214285714285714</v>
      </c>
      <c r="BA889" s="50" t="n">
        <f aca="false">AZ889*BY889</f>
        <v>3.32142857142857</v>
      </c>
      <c r="BB889" s="50" t="n">
        <f aca="false">AX889*G889</f>
        <v>768.5</v>
      </c>
      <c r="BC889" s="50" t="n">
        <f aca="false">ROUNDUP(MAX(J889/IF(CD889&gt;0,CD889,MAX(0.1,N(Cockpit!$O$6))),CG889)/BV889,0)*BV889</f>
        <v>22</v>
      </c>
      <c r="BD889" s="51" t="n">
        <f aca="false">IF(BA889&gt;0,J889/BA889,-1)</f>
        <v>0</v>
      </c>
      <c r="BE889" s="51" t="n">
        <f aca="false">IF(AND(OR(CC889="L1",CC889="L23",CC889="LIFT"),BA889&gt;0),SUMIFS($BA$7:$BA$1843,$CC$7:$CC$1843,CC889,$BD$7:$BD$1843,"&gt;"&amp;BD889)+SUMIFS($BA$7:$BA$1843,$CC$7:$CC$1843,CC889,$BD$7:$BD$1843,BD889,$BT$7:$BT$1843,"&lt;="&amp;BT889),"")</f>
        <v>37083.478624718</v>
      </c>
      <c r="BF889" s="58" t="n">
        <f aca="false">IF(BE889="",0,MAX(0,MIN(1,(IF(CC889="L1",Parameter!$H$5,IF(CC889="L23",Parameter!$H$6+Parameter!$H$7,Parameter!$H$5+Parameter!$H$6+Parameter!$H$7))-(BE889-BA889))/BA889)))</f>
        <v>0</v>
      </c>
      <c r="BG889" s="48" t="str">
        <f aca="false">IF(AI889&lt;=0,"",IF(CC889="Aussen","Aussenlager",IF(CC889="-","Nicht im Lift",IF(AN889&gt;=1,"Lift",IF(AN889&lt;=0,"Aussenlager","teilweise")))))</f>
        <v>Lift</v>
      </c>
      <c r="BH889" s="48" t="str">
        <f aca="false">IF(AR889&lt;=0,"",IF(CC889="Aussen","Aussenlager",IF(CC889="-","Nicht im Lift",IF(AW889&gt;=1,"Lift",IF(AW889&lt;=0,"Aussenlager","teilweise")))))</f>
        <v>Aussenlager</v>
      </c>
      <c r="BI889" s="48" t="str">
        <f aca="false">IF(BA889&lt;=0,"",IF(CC889="Aussen","Aussenlager",IF(CC889="-","Nicht im Lift",IF(BF889&gt;=1,"Lift",IF(BF889&lt;=0,"Aussenlager","teilweise")))))</f>
        <v>Aussenlager</v>
      </c>
      <c r="BJ889" s="48" t="str">
        <f aca="false">IF(A889="","",IF(BS889=1,"Neu; ","")&amp;IF(AND(BS889=0,BN889&lt;0),"negativer Bestand (Export "&amp;BN889&amp;"); ","")&amp;IF(J889&lt;=0,"Kein Verbrauch; ","")&amp;IF(CL889&gt;0,"Lift "&amp;W889&amp;" lt. Liftbericht (Fach "&amp;X889&amp;" Stk); ",IF(BX889=1,"Gebinde geschätzt ("&amp;T889&amp;"); ",IF(BW889=1,"Lose – Tablare geschätzt; ","")))&amp;IF(H889&gt;AT889,"Überbestand "&amp;ROUND(H889-AT889,0)&amp;" Stk / CHF "&amp;ROUND((H889-AT889)*G889,0)&amp;"; ","")&amp;IF(AND(CE889=1,CF889&lt;CG889),"MAX &lt; MB+LG; ","")&amp;IF(AND(CK889&gt;0,CJ889*10&gt;CK889),"zu hoch für Tablar; ","")&amp;IF(AND(BS889=0,OR(CE889=1,AA889&lt;&gt;"",U889&lt;&gt;"",V889&lt;&gt;"",AB889&lt;&gt;"")),"manuell übersteuert; ","")&amp;IF(AND(BW889=0,R889=0),"Gebinde unbekannt / Stellmass fehlt; ","")&amp;IF(AND(BW889=0,N(V889)&lt;=0,N(Q889)&lt;=0),"Menge pro Gebinde fehlt (Ist = 1 Gebinde); ","")&amp;BR889)</f>
        <v>negativer Bestand (Export -2); Kein Verbrauch; Überbestand 31 Stk / CHF 450; </v>
      </c>
      <c r="BK889" s="48"/>
      <c r="BL889" s="48"/>
      <c r="BM889" s="55"/>
      <c r="BN889" s="50" t="n">
        <v>-2</v>
      </c>
      <c r="BO889" s="50" t="n">
        <v>55</v>
      </c>
      <c r="BP889" s="49" t="n">
        <v>-29</v>
      </c>
      <c r="BQ889" s="50" t="n">
        <v>0</v>
      </c>
      <c r="BR889" s="48"/>
      <c r="BS889" s="53" t="n">
        <v>0</v>
      </c>
      <c r="BT889" s="53" t="n">
        <v>889</v>
      </c>
      <c r="BU889" s="48" t="str">
        <f aca="false">IF(U889&lt;&gt;"",UPPER(TRIM(U889)),IF(BX889=1,UPPER(VLOOKUP(T889,Parameter!$I$27:$K$29,2,0)),IF(P889="","LOSE",P889)))</f>
        <v>S22</v>
      </c>
      <c r="BV889" s="50" t="n">
        <f aca="false">IF(BU889="LOSE",1,IF(N(V889)&gt;0,V889,IF(BX889=1,MAX(1,N(VLOOKUP(T889,Parameter!$I$27:$K$29,3,0)),H889,N(N889)),IF(N(Q889)&gt;0,Q889,MAX(1,H889)))))</f>
        <v>22</v>
      </c>
      <c r="BW889" s="53" t="n">
        <f aca="false">IF(BU889="LOSE",1,0)</f>
        <v>0</v>
      </c>
      <c r="BX889" s="53" t="n">
        <f aca="false">IF(AND(U889="",OR(P889="",P889="LOSE"),T889&lt;&gt;"",N(S889)&lt;=0,ISNUMBER(MATCH(T889,Parameter!$I$27:$I$29,0))),1,0)</f>
        <v>0</v>
      </c>
      <c r="BY889" s="53" t="n">
        <f aca="false">IF(CL889&gt;0,INDEX(Parameter!$H$5:$H$7,W889)/INDEX(Parameter!$E$5:$E$7,W889),IF(AND(BW889=0,N(IFERROR(VLOOKUP(BU889,'Gebinde-Kategorie'!$A$5:$N$45,14,0),0))&gt;0),VLOOKUP(BU889,'Gebinde-Kategorie'!$A$5:$N$45,14,0)*10+Parameter!$M$23,Parameter!$M$24))</f>
        <v>155</v>
      </c>
      <c r="BZ889" s="48" t="str">
        <f aca="false">IF(AND(Parameter!$B$19="Ja",E889&lt;&gt;"",ISNUMBER(MATCH(E889,Parameter!$I$35:$I$52,0))),VLOOKUP(E889,Parameter!$I$35:$J$52,2,0),IFERROR(VLOOKUP(D889,Parameter!$A$35:$C$64,2,0),"Nein"))</f>
        <v>2+3</v>
      </c>
      <c r="CA889" s="52" t="n">
        <f aca="false">IF(BW889=0,0,IF(N(S889)&gt;0,S889,IFERROR(VLOOKUP(D889,Parameter!$A$35:$C$64,3,0)+0,0)))</f>
        <v>0</v>
      </c>
      <c r="CB889" s="48" t="n">
        <f aca="false">IF(AA889&lt;&gt;"",AA889,Z889)</f>
        <v>3</v>
      </c>
      <c r="CC889" s="48" t="str">
        <f aca="false">IF(OR(CB889=1,CB889=2,CB889=3),IF(Parameter!$E$27="Ja","LIFT",IF(CB889=1,"L1","L23")),IF(CB889="Aussen","Aussen","-"))</f>
        <v>LIFT</v>
      </c>
      <c r="CD889" s="59" t="n">
        <f aca="false">IF(N(AB889)&gt;0,AB889,0)</f>
        <v>0</v>
      </c>
      <c r="CE889" s="53" t="n">
        <f aca="false">IF(ISNUMBER(AE889),1,0)</f>
        <v>0</v>
      </c>
      <c r="CF889" s="50" t="n">
        <f aca="false">N(AE889)</f>
        <v>0</v>
      </c>
      <c r="CG889" s="50" t="n">
        <f aca="false">N(M889)+N(N889)</f>
        <v>1</v>
      </c>
      <c r="CH889" s="50" t="n">
        <f aca="false">ROUNDUP(H889/BV889,0)</f>
        <v>3</v>
      </c>
      <c r="CI889" s="50" t="n">
        <f aca="false">ROUNDUP(CF889/BV889,0)</f>
        <v>0</v>
      </c>
      <c r="CJ889" s="53" t="n">
        <f aca="false">IF(BW889=1,0,IFERROR(VLOOKUP(BU889,'Gebinde-Kategorie'!$A$5:$N$45,5,0)+0,0))</f>
        <v>8</v>
      </c>
      <c r="CK889" s="53" t="n">
        <f aca="false">IFERROR(IF(OR(CB889=1,CB889=2,CB889=3),N(INDEX(Parameter!$I$5:$I$7,CB889)),0),0)</f>
        <v>0</v>
      </c>
      <c r="CL889" s="52" t="n">
        <f aca="false">IF(AND(Parameter!$B$21="Ja",ISNUMBER(W889),N(X889)&gt;0),IFERROR(N(INDEX(Parameter!$L$5:$L$7,W889))*INDEX(Parameter!$E$5:$E$7,W889)*X889/SUMIFS($X$7:$X$1843,$W$7:$W$1843,W889),0),0)</f>
        <v>0</v>
      </c>
    </row>
    <row r="890" customFormat="false" ht="15" hidden="false" customHeight="false" outlineLevel="0" collapsed="false">
      <c r="A890" s="48" t="s">
        <v>1684</v>
      </c>
      <c r="B890" s="48" t="s">
        <v>1685</v>
      </c>
      <c r="C890" s="48" t="s">
        <v>168</v>
      </c>
      <c r="D890" s="48" t="s">
        <v>188</v>
      </c>
      <c r="E890" s="48"/>
      <c r="F890" s="48" t="s">
        <v>222</v>
      </c>
      <c r="G890" s="49" t="n">
        <v>14.71</v>
      </c>
      <c r="H890" s="50" t="n">
        <f aca="false">MAX(0,IF(AND(Parameter!$B$21="Ja",ISNUMBER(Y890)),Y890,IF(Parameter!$B$20="Jahresanfang 2025 + Export",BO890+BN890,BN890)))</f>
        <v>4</v>
      </c>
      <c r="I890" s="50" t="n">
        <f aca="false">H890*G890</f>
        <v>58.84</v>
      </c>
      <c r="J890" s="50" t="n">
        <f aca="false">BQ890*Parameter!$B$18</f>
        <v>0</v>
      </c>
      <c r="K890" s="51" t="n">
        <v>5</v>
      </c>
      <c r="L890" s="52" t="n">
        <v>0</v>
      </c>
      <c r="M890" s="50" t="n">
        <v>0</v>
      </c>
      <c r="N890" s="50" t="n">
        <v>1</v>
      </c>
      <c r="O890" s="53" t="n">
        <v>14</v>
      </c>
      <c r="P890" s="48" t="s">
        <v>405</v>
      </c>
      <c r="Q890" s="50" t="n">
        <v>5</v>
      </c>
      <c r="R890" s="53" t="n">
        <f aca="false">IF(BW890=1,0,IFERROR(VLOOKUP(BU890,'Gebinde-Kategorie'!$A$5:$N$45,13,0)+0,0))</f>
        <v>280</v>
      </c>
      <c r="S890" s="54"/>
      <c r="T890" s="55"/>
      <c r="U890" s="55"/>
      <c r="V890" s="55"/>
      <c r="W890" s="48"/>
      <c r="X890" s="50"/>
      <c r="Y890" s="50"/>
      <c r="Z890" s="48" t="n">
        <f aca="false">IF(A890="","",IF(AND(Parameter!$B$21="Ja",ISNUMBER(W890)),W890,IF(BZ890="2+3",IF(ISNUMBER(SEARCH("grosser Artikel",BR890)),2,IFERROR(VLOOKUP(BU890,Parameter!$F$35:$G$64,2,0),2)),IF(OR(BZ890="Nein",BZ890=""),"-",BZ890))))</f>
        <v>3</v>
      </c>
      <c r="AA890" s="55"/>
      <c r="AB890" s="56"/>
      <c r="AC890" s="50" t="n">
        <f aca="false">AT890</f>
        <v>5</v>
      </c>
      <c r="AD890" s="50" t="n">
        <f aca="false">MAX(AT890,H890)</f>
        <v>5</v>
      </c>
      <c r="AE890" s="57"/>
      <c r="AF890" s="50" t="n">
        <f aca="false">IF(LEFT(Cockpit!$C$5,1)="A",H890,IF(CE890=1,CF890,IF(LEFT(Cockpit!$C$5,1)="B",AK890,MAX(AK890,H890))))</f>
        <v>4</v>
      </c>
      <c r="AG890" s="50" t="n">
        <f aca="false">IF(BW890=1,0,ROUNDUP(AF890/BV890,0))</f>
        <v>1</v>
      </c>
      <c r="AH890" s="52" t="n">
        <f aca="false">IF(CL890&gt;0,CL890*MAX(1,AF890/X890),IF(BW890=1,IF(AF890&lt;=0,0,CA890*MAX(1,IF(H890&gt;0,AF890/H890,1))),IF(R890&gt;0,AG890/R890,0))/MAX(0.1,N(Parameter!$M$21)))</f>
        <v>0.00357142857142857</v>
      </c>
      <c r="AI890" s="50" t="n">
        <f aca="false">AH890*BY890</f>
        <v>0.553571428571429</v>
      </c>
      <c r="AJ890" s="50" t="n">
        <f aca="false">AF890*G890</f>
        <v>58.84</v>
      </c>
      <c r="AK890" s="50" t="n">
        <f aca="false">ROUNDUP(MAX(J890/IF(CD890&gt;0,CD890,MAX(0.1,N(Cockpit!$C$6))),CG890)/BV890,0)*BV890</f>
        <v>5</v>
      </c>
      <c r="AL890" s="51" t="n">
        <f aca="false">IF(AI890&gt;0,J890/AI890,-1)</f>
        <v>0</v>
      </c>
      <c r="AM890" s="51" t="n">
        <f aca="false">IF(AND(OR(CC890="L1",CC890="L23",CC890="LIFT"),AI890&gt;0),SUMIFS($AI$7:$AI$1843,$CC$7:$CC$1843,CC890,$AL$7:$AL$1843,"&gt;"&amp;AL890)+SUMIFS($AI$7:$AI$1843,$CC$7:$CC$1843,CC890,$AL$7:$AL$1843,AL890,$BT$7:$BT$1843,"&lt;="&amp;BT890),"")</f>
        <v>28816.5459556921</v>
      </c>
      <c r="AN890" s="58" t="n">
        <f aca="false">IF(AM890="",0,MAX(0,MIN(1,(IF(CC890="L1",Parameter!$H$5,IF(CC890="L23",Parameter!$H$6+Parameter!$H$7,Parameter!$H$5+Parameter!$H$6+Parameter!$H$7))-(AM890-AI890))/AI890)))</f>
        <v>1</v>
      </c>
      <c r="AO890" s="50" t="n">
        <f aca="false">IF(LEFT(Cockpit!$I$5,1)="A",H890,IF(CE890=1,CF890,IF(LEFT(Cockpit!$I$5,1)="B",AT890,MAX(AT890,H890))))</f>
        <v>5</v>
      </c>
      <c r="AP890" s="50" t="n">
        <f aca="false">IF(BW890=1,0,ROUNDUP(AO890/BV890,0))</f>
        <v>1</v>
      </c>
      <c r="AQ890" s="52" t="n">
        <f aca="false">IF(CL890&gt;0,CL890*MAX(1,AO890/X890),IF(BW890=1,IF(AO890&lt;=0,0,CA890*MAX(1,IF(H890&gt;0,AO890/H890,1))),IF(R890&gt;0,AP890/R890,0))/MAX(0.1,N(Parameter!$M$21)))</f>
        <v>0.00357142857142857</v>
      </c>
      <c r="AR890" s="50" t="n">
        <f aca="false">AQ890*BY890</f>
        <v>0.553571428571429</v>
      </c>
      <c r="AS890" s="50" t="n">
        <f aca="false">AO890*G890</f>
        <v>73.55</v>
      </c>
      <c r="AT890" s="50" t="n">
        <f aca="false">ROUNDUP(MAX(J890/IF(CD890&gt;0,CD890,MAX(0.1,N(Cockpit!$I$6))),CG890)/BV890,0)*BV890</f>
        <v>5</v>
      </c>
      <c r="AU890" s="51" t="n">
        <f aca="false">IF(AR890&gt;0,J890/AR890,-1)</f>
        <v>0</v>
      </c>
      <c r="AV890" s="51" t="n">
        <f aca="false">IF(AND(OR(CC890="L1",CC890="L23",CC890="LIFT"),AR890&gt;0),SUMIFS($AR$7:$AR$1843,$CC$7:$CC$1843,CC890,$AU$7:$AU$1843,"&gt;"&amp;AU890)+SUMIFS($AR$7:$AR$1843,$CC$7:$CC$1843,CC890,$AU$7:$AU$1843,AU890,$BT$7:$BT$1843,"&lt;="&amp;BT890),"")</f>
        <v>40409.0201542808</v>
      </c>
      <c r="AW890" s="58" t="n">
        <f aca="false">IF(AV890="",0,MAX(0,MIN(1,(IF(CC890="L1",Parameter!$H$5,IF(CC890="L23",Parameter!$H$6+Parameter!$H$7,Parameter!$H$5+Parameter!$H$6+Parameter!$H$7))-(AV890-AR890))/AR890)))</f>
        <v>0</v>
      </c>
      <c r="AX890" s="50" t="n">
        <f aca="false">IF(LEFT(Cockpit!$O$5,1)="A",H890,IF(CE890=1,CF890,IF(LEFT(Cockpit!$O$5,1)="B",BC890,MAX(BC890,H890))))</f>
        <v>5</v>
      </c>
      <c r="AY890" s="50" t="n">
        <f aca="false">IF(BW890=1,0,ROUNDUP(AX890/BV890,0))</f>
        <v>1</v>
      </c>
      <c r="AZ890" s="52" t="n">
        <f aca="false">IF(CL890&gt;0,CL890*MAX(1,AX890/X890),IF(BW890=1,IF(AX890&lt;=0,0,CA890*MAX(1,IF(H890&gt;0,AX890/H890,1))),IF(R890&gt;0,AY890/R890,0))/MAX(0.1,N(Parameter!$M$21)))</f>
        <v>0.00357142857142857</v>
      </c>
      <c r="BA890" s="50" t="n">
        <f aca="false">AZ890*BY890</f>
        <v>0.553571428571429</v>
      </c>
      <c r="BB890" s="50" t="n">
        <f aca="false">AX890*G890</f>
        <v>73.55</v>
      </c>
      <c r="BC890" s="50" t="n">
        <f aca="false">ROUNDUP(MAX(J890/IF(CD890&gt;0,CD890,MAX(0.1,N(Cockpit!$O$6))),CG890)/BV890,0)*BV890</f>
        <v>5</v>
      </c>
      <c r="BD890" s="51" t="n">
        <f aca="false">IF(BA890&gt;0,J890/BA890,-1)</f>
        <v>0</v>
      </c>
      <c r="BE890" s="51" t="n">
        <f aca="false">IF(AND(OR(CC890="L1",CC890="L23",CC890="LIFT"),BA890&gt;0),SUMIFS($BA$7:$BA$1843,$CC$7:$CC$1843,CC890,$BD$7:$BD$1843,"&gt;"&amp;BD890)+SUMIFS($BA$7:$BA$1843,$CC$7:$CC$1843,CC890,$BD$7:$BD$1843,BD890,$BT$7:$BT$1843,"&lt;="&amp;BT890),"")</f>
        <v>37084.0321961466</v>
      </c>
      <c r="BF890" s="58" t="n">
        <f aca="false">IF(BE890="",0,MAX(0,MIN(1,(IF(CC890="L1",Parameter!$H$5,IF(CC890="L23",Parameter!$H$6+Parameter!$H$7,Parameter!$H$5+Parameter!$H$6+Parameter!$H$7))-(BE890-BA890))/BA890)))</f>
        <v>0</v>
      </c>
      <c r="BG890" s="48" t="str">
        <f aca="false">IF(AI890&lt;=0,"",IF(CC890="Aussen","Aussenlager",IF(CC890="-","Nicht im Lift",IF(AN890&gt;=1,"Lift",IF(AN890&lt;=0,"Aussenlager","teilweise")))))</f>
        <v>Lift</v>
      </c>
      <c r="BH890" s="48" t="str">
        <f aca="false">IF(AR890&lt;=0,"",IF(CC890="Aussen","Aussenlager",IF(CC890="-","Nicht im Lift",IF(AW890&gt;=1,"Lift",IF(AW890&lt;=0,"Aussenlager","teilweise")))))</f>
        <v>Aussenlager</v>
      </c>
      <c r="BI890" s="48" t="str">
        <f aca="false">IF(BA890&lt;=0,"",IF(CC890="Aussen","Aussenlager",IF(CC890="-","Nicht im Lift",IF(BF890&gt;=1,"Lift",IF(BF890&lt;=0,"Aussenlager","teilweise")))))</f>
        <v>Aussenlager</v>
      </c>
      <c r="BJ890" s="48" t="str">
        <f aca="false">IF(A890="","",IF(BS890=1,"Neu; ","")&amp;IF(AND(BS890=0,BN890&lt;0),"negativer Bestand (Export "&amp;BN890&amp;"); ","")&amp;IF(J890&lt;=0,"Kein Verbrauch; ","")&amp;IF(CL890&gt;0,"Lift "&amp;W890&amp;" lt. Liftbericht (Fach "&amp;X890&amp;" Stk); ",IF(BX890=1,"Gebinde geschätzt ("&amp;T890&amp;"); ",IF(BW890=1,"Lose – Tablare geschätzt; ","")))&amp;IF(H890&gt;AT890,"Überbestand "&amp;ROUND(H890-AT890,0)&amp;" Stk / CHF "&amp;ROUND((H890-AT890)*G890,0)&amp;"; ","")&amp;IF(AND(CE890=1,CF890&lt;CG890),"MAX &lt; MB+LG; ","")&amp;IF(AND(CK890&gt;0,CJ890*10&gt;CK890),"zu hoch für Tablar; ","")&amp;IF(AND(BS890=0,OR(CE890=1,AA890&lt;&gt;"",U890&lt;&gt;"",V890&lt;&gt;"",AB890&lt;&gt;"")),"manuell übersteuert; ","")&amp;IF(AND(BW890=0,R890=0),"Gebinde unbekannt / Stellmass fehlt; ","")&amp;IF(AND(BW890=0,N(V890)&lt;=0,N(Q890)&lt;=0),"Menge pro Gebinde fehlt (Ist = 1 Gebinde); ","")&amp;BR890)</f>
        <v>negativer Bestand (Export -2); Kein Verbrauch; </v>
      </c>
      <c r="BK890" s="48"/>
      <c r="BL890" s="48"/>
      <c r="BM890" s="55"/>
      <c r="BN890" s="50" t="n">
        <v>-2</v>
      </c>
      <c r="BO890" s="50" t="n">
        <v>6</v>
      </c>
      <c r="BP890" s="49" t="n">
        <v>-29.42</v>
      </c>
      <c r="BQ890" s="50" t="n">
        <v>0</v>
      </c>
      <c r="BR890" s="48"/>
      <c r="BS890" s="53" t="n">
        <v>0</v>
      </c>
      <c r="BT890" s="53" t="n">
        <v>890</v>
      </c>
      <c r="BU890" s="48" t="str">
        <f aca="false">IF(U890&lt;&gt;"",UPPER(TRIM(U890)),IF(BX890=1,UPPER(VLOOKUP(T890,Parameter!$I$27:$K$29,2,0)),IF(P890="","LOSE",P890)))</f>
        <v>S21</v>
      </c>
      <c r="BV890" s="50" t="n">
        <f aca="false">IF(BU890="LOSE",1,IF(N(V890)&gt;0,V890,IF(BX890=1,MAX(1,N(VLOOKUP(T890,Parameter!$I$27:$K$29,3,0)),H890,N(N890)),IF(N(Q890)&gt;0,Q890,MAX(1,H890)))))</f>
        <v>5</v>
      </c>
      <c r="BW890" s="53" t="n">
        <f aca="false">IF(BU890="LOSE",1,0)</f>
        <v>0</v>
      </c>
      <c r="BX890" s="53" t="n">
        <f aca="false">IF(AND(U890="",OR(P890="",P890="LOSE"),T890&lt;&gt;"",N(S890)&lt;=0,ISNUMBER(MATCH(T890,Parameter!$I$27:$I$29,0))),1,0)</f>
        <v>0</v>
      </c>
      <c r="BY890" s="53" t="n">
        <f aca="false">IF(CL890&gt;0,INDEX(Parameter!$H$5:$H$7,W890)/INDEX(Parameter!$E$5:$E$7,W890),IF(AND(BW890=0,N(IFERROR(VLOOKUP(BU890,'Gebinde-Kategorie'!$A$5:$N$45,14,0),0))&gt;0),VLOOKUP(BU890,'Gebinde-Kategorie'!$A$5:$N$45,14,0)*10+Parameter!$M$23,Parameter!$M$24))</f>
        <v>155</v>
      </c>
      <c r="BZ890" s="48" t="str">
        <f aca="false">IF(AND(Parameter!$B$19="Ja",E890&lt;&gt;"",ISNUMBER(MATCH(E890,Parameter!$I$35:$I$52,0))),VLOOKUP(E890,Parameter!$I$35:$J$52,2,0),IFERROR(VLOOKUP(D890,Parameter!$A$35:$C$64,2,0),"Nein"))</f>
        <v>2+3</v>
      </c>
      <c r="CA890" s="52" t="n">
        <f aca="false">IF(BW890=0,0,IF(N(S890)&gt;0,S890,IFERROR(VLOOKUP(D890,Parameter!$A$35:$C$64,3,0)+0,0)))</f>
        <v>0</v>
      </c>
      <c r="CB890" s="48" t="n">
        <f aca="false">IF(AA890&lt;&gt;"",AA890,Z890)</f>
        <v>3</v>
      </c>
      <c r="CC890" s="48" t="str">
        <f aca="false">IF(OR(CB890=1,CB890=2,CB890=3),IF(Parameter!$E$27="Ja","LIFT",IF(CB890=1,"L1","L23")),IF(CB890="Aussen","Aussen","-"))</f>
        <v>LIFT</v>
      </c>
      <c r="CD890" s="59" t="n">
        <f aca="false">IF(N(AB890)&gt;0,AB890,0)</f>
        <v>0</v>
      </c>
      <c r="CE890" s="53" t="n">
        <f aca="false">IF(ISNUMBER(AE890),1,0)</f>
        <v>0</v>
      </c>
      <c r="CF890" s="50" t="n">
        <f aca="false">N(AE890)</f>
        <v>0</v>
      </c>
      <c r="CG890" s="50" t="n">
        <f aca="false">N(M890)+N(N890)</f>
        <v>1</v>
      </c>
      <c r="CH890" s="50" t="n">
        <f aca="false">ROUNDUP(H890/BV890,0)</f>
        <v>1</v>
      </c>
      <c r="CI890" s="50" t="n">
        <f aca="false">ROUNDUP(CF890/BV890,0)</f>
        <v>0</v>
      </c>
      <c r="CJ890" s="53" t="n">
        <f aca="false">IF(BW890=1,0,IFERROR(VLOOKUP(BU890,'Gebinde-Kategorie'!$A$5:$N$45,5,0)+0,0))</f>
        <v>8</v>
      </c>
      <c r="CK890" s="53" t="n">
        <f aca="false">IFERROR(IF(OR(CB890=1,CB890=2,CB890=3),N(INDEX(Parameter!$I$5:$I$7,CB890)),0),0)</f>
        <v>0</v>
      </c>
      <c r="CL890" s="52" t="n">
        <f aca="false">IF(AND(Parameter!$B$21="Ja",ISNUMBER(W890),N(X890)&gt;0),IFERROR(N(INDEX(Parameter!$L$5:$L$7,W890))*INDEX(Parameter!$E$5:$E$7,W890)*X890/SUMIFS($X$7:$X$1843,$W$7:$W$1843,W890),0),0)</f>
        <v>0</v>
      </c>
    </row>
    <row r="891" customFormat="false" ht="15" hidden="false" customHeight="false" outlineLevel="0" collapsed="false">
      <c r="A891" s="48" t="s">
        <v>1686</v>
      </c>
      <c r="B891" s="48" t="s">
        <v>951</v>
      </c>
      <c r="C891" s="48" t="s">
        <v>168</v>
      </c>
      <c r="D891" s="48" t="s">
        <v>188</v>
      </c>
      <c r="E891" s="48" t="s">
        <v>189</v>
      </c>
      <c r="F891" s="48" t="s">
        <v>222</v>
      </c>
      <c r="G891" s="49" t="n">
        <v>2.79</v>
      </c>
      <c r="H891" s="50" t="n">
        <f aca="false">MAX(0,IF(AND(Parameter!$B$21="Ja",ISNUMBER(Y891)),Y891,IF(Parameter!$B$20="Jahresanfang 2025 + Export",BO891+BN891,BN891)))</f>
        <v>50</v>
      </c>
      <c r="I891" s="50" t="n">
        <f aca="false">H891*G891</f>
        <v>139.5</v>
      </c>
      <c r="J891" s="50" t="n">
        <f aca="false">BQ891*Parameter!$B$18</f>
        <v>0</v>
      </c>
      <c r="K891" s="51" t="n">
        <v>60.5</v>
      </c>
      <c r="L891" s="52" t="n">
        <v>0</v>
      </c>
      <c r="M891" s="50" t="n">
        <v>0</v>
      </c>
      <c r="N891" s="50" t="n">
        <v>1</v>
      </c>
      <c r="O891" s="53" t="n">
        <v>14</v>
      </c>
      <c r="P891" s="48" t="s">
        <v>172</v>
      </c>
      <c r="Q891" s="50"/>
      <c r="R891" s="53" t="n">
        <f aca="false">IF(BW891=1,0,IFERROR(VLOOKUP(BU891,'Gebinde-Kategorie'!$A$5:$N$45,13,0)+0,0))</f>
        <v>26</v>
      </c>
      <c r="S891" s="54"/>
      <c r="T891" s="55" t="s">
        <v>279</v>
      </c>
      <c r="U891" s="55"/>
      <c r="V891" s="55"/>
      <c r="W891" s="48"/>
      <c r="X891" s="50"/>
      <c r="Y891" s="50"/>
      <c r="Z891" s="48" t="n">
        <f aca="false">IF(A891="","",IF(AND(Parameter!$B$21="Ja",ISNUMBER(W891)),W891,IF(BZ891="2+3",IF(ISNUMBER(SEARCH("grosser Artikel",BR891)),2,IFERROR(VLOOKUP(BU891,Parameter!$F$35:$G$64,2,0),2)),IF(OR(BZ891="Nein",BZ891=""),"-",BZ891))))</f>
        <v>3</v>
      </c>
      <c r="AA891" s="55"/>
      <c r="AB891" s="56"/>
      <c r="AC891" s="50" t="n">
        <f aca="false">AT891</f>
        <v>50</v>
      </c>
      <c r="AD891" s="50" t="n">
        <f aca="false">MAX(AT891,H891)</f>
        <v>50</v>
      </c>
      <c r="AE891" s="57"/>
      <c r="AF891" s="50" t="n">
        <f aca="false">IF(LEFT(Cockpit!$C$5,1)="A",H891,IF(CE891=1,CF891,IF(LEFT(Cockpit!$C$5,1)="B",AK891,MAX(AK891,H891))))</f>
        <v>50</v>
      </c>
      <c r="AG891" s="50" t="n">
        <f aca="false">IF(BW891=1,0,ROUNDUP(AF891/BV891,0))</f>
        <v>1</v>
      </c>
      <c r="AH891" s="52" t="n">
        <f aca="false">IF(CL891&gt;0,CL891*MAX(1,AF891/X891),IF(BW891=1,IF(AF891&lt;=0,0,CA891*MAX(1,IF(H891&gt;0,AF891/H891,1))),IF(R891&gt;0,AG891/R891,0))/MAX(0.1,N(Parameter!$M$21)))</f>
        <v>0.0384615384615385</v>
      </c>
      <c r="AI891" s="50" t="n">
        <f aca="false">AH891*BY891</f>
        <v>5.96153846153846</v>
      </c>
      <c r="AJ891" s="50" t="n">
        <f aca="false">AF891*G891</f>
        <v>139.5</v>
      </c>
      <c r="AK891" s="50" t="n">
        <f aca="false">ROUNDUP(MAX(J891/IF(CD891&gt;0,CD891,MAX(0.1,N(Cockpit!$C$6))),CG891)/BV891,0)*BV891</f>
        <v>50</v>
      </c>
      <c r="AL891" s="51" t="n">
        <f aca="false">IF(AI891&gt;0,J891/AI891,-1)</f>
        <v>0</v>
      </c>
      <c r="AM891" s="51" t="n">
        <f aca="false">IF(AND(OR(CC891="L1",CC891="L23",CC891="LIFT"),AI891&gt;0),SUMIFS($AI$7:$AI$1843,$CC$7:$CC$1843,CC891,$AL$7:$AL$1843,"&gt;"&amp;AL891)+SUMIFS($AI$7:$AI$1843,$CC$7:$CC$1843,CC891,$AL$7:$AL$1843,AL891,$BT$7:$BT$1843,"&lt;="&amp;BT891),"")</f>
        <v>28822.5074941537</v>
      </c>
      <c r="AN891" s="58" t="n">
        <f aca="false">IF(AM891="",0,MAX(0,MIN(1,(IF(CC891="L1",Parameter!$H$5,IF(CC891="L23",Parameter!$H$6+Parameter!$H$7,Parameter!$H$5+Parameter!$H$6+Parameter!$H$7))-(AM891-AI891))/AI891)))</f>
        <v>1</v>
      </c>
      <c r="AO891" s="50" t="n">
        <f aca="false">IF(LEFT(Cockpit!$I$5,1)="A",H891,IF(CE891=1,CF891,IF(LEFT(Cockpit!$I$5,1)="B",AT891,MAX(AT891,H891))))</f>
        <v>50</v>
      </c>
      <c r="AP891" s="50" t="n">
        <f aca="false">IF(BW891=1,0,ROUNDUP(AO891/BV891,0))</f>
        <v>1</v>
      </c>
      <c r="AQ891" s="52" t="n">
        <f aca="false">IF(CL891&gt;0,CL891*MAX(1,AO891/X891),IF(BW891=1,IF(AO891&lt;=0,0,CA891*MAX(1,IF(H891&gt;0,AO891/H891,1))),IF(R891&gt;0,AP891/R891,0))/MAX(0.1,N(Parameter!$M$21)))</f>
        <v>0.0384615384615385</v>
      </c>
      <c r="AR891" s="50" t="n">
        <f aca="false">AQ891*BY891</f>
        <v>5.96153846153846</v>
      </c>
      <c r="AS891" s="50" t="n">
        <f aca="false">AO891*G891</f>
        <v>139.5</v>
      </c>
      <c r="AT891" s="50" t="n">
        <f aca="false">ROUNDUP(MAX(J891/IF(CD891&gt;0,CD891,MAX(0.1,N(Cockpit!$I$6))),CG891)/BV891,0)*BV891</f>
        <v>50</v>
      </c>
      <c r="AU891" s="51" t="n">
        <f aca="false">IF(AR891&gt;0,J891/AR891,-1)</f>
        <v>0</v>
      </c>
      <c r="AV891" s="51" t="n">
        <f aca="false">IF(AND(OR(CC891="L1",CC891="L23",CC891="LIFT"),AR891&gt;0),SUMIFS($AR$7:$AR$1843,$CC$7:$CC$1843,CC891,$AU$7:$AU$1843,"&gt;"&amp;AU891)+SUMIFS($AR$7:$AR$1843,$CC$7:$CC$1843,CC891,$AU$7:$AU$1843,AU891,$BT$7:$BT$1843,"&lt;="&amp;BT891),"")</f>
        <v>40414.9816927423</v>
      </c>
      <c r="AW891" s="58" t="n">
        <f aca="false">IF(AV891="",0,MAX(0,MIN(1,(IF(CC891="L1",Parameter!$H$5,IF(CC891="L23",Parameter!$H$6+Parameter!$H$7,Parameter!$H$5+Parameter!$H$6+Parameter!$H$7))-(AV891-AR891))/AR891)))</f>
        <v>0</v>
      </c>
      <c r="AX891" s="50" t="n">
        <f aca="false">IF(LEFT(Cockpit!$O$5,1)="A",H891,IF(CE891=1,CF891,IF(LEFT(Cockpit!$O$5,1)="B",BC891,MAX(BC891,H891))))</f>
        <v>50</v>
      </c>
      <c r="AY891" s="50" t="n">
        <f aca="false">IF(BW891=1,0,ROUNDUP(AX891/BV891,0))</f>
        <v>1</v>
      </c>
      <c r="AZ891" s="52" t="n">
        <f aca="false">IF(CL891&gt;0,CL891*MAX(1,AX891/X891),IF(BW891=1,IF(AX891&lt;=0,0,CA891*MAX(1,IF(H891&gt;0,AX891/H891,1))),IF(R891&gt;0,AY891/R891,0))/MAX(0.1,N(Parameter!$M$21)))</f>
        <v>0.0384615384615385</v>
      </c>
      <c r="BA891" s="50" t="n">
        <f aca="false">AZ891*BY891</f>
        <v>5.96153846153846</v>
      </c>
      <c r="BB891" s="50" t="n">
        <f aca="false">AX891*G891</f>
        <v>139.5</v>
      </c>
      <c r="BC891" s="50" t="n">
        <f aca="false">ROUNDUP(MAX(J891/IF(CD891&gt;0,CD891,MAX(0.1,N(Cockpit!$O$6))),CG891)/BV891,0)*BV891</f>
        <v>50</v>
      </c>
      <c r="BD891" s="51" t="n">
        <f aca="false">IF(BA891&gt;0,J891/BA891,-1)</f>
        <v>0</v>
      </c>
      <c r="BE891" s="51" t="n">
        <f aca="false">IF(AND(OR(CC891="L1",CC891="L23",CC891="LIFT"),BA891&gt;0),SUMIFS($BA$7:$BA$1843,$CC$7:$CC$1843,CC891,$BD$7:$BD$1843,"&gt;"&amp;BD891)+SUMIFS($BA$7:$BA$1843,$CC$7:$CC$1843,CC891,$BD$7:$BD$1843,BD891,$BT$7:$BT$1843,"&lt;="&amp;BT891),"")</f>
        <v>37089.9937346081</v>
      </c>
      <c r="BF891" s="58" t="n">
        <f aca="false">IF(BE891="",0,MAX(0,MIN(1,(IF(CC891="L1",Parameter!$H$5,IF(CC891="L23",Parameter!$H$6+Parameter!$H$7,Parameter!$H$5+Parameter!$H$6+Parameter!$H$7))-(BE891-BA891))/BA891)))</f>
        <v>0</v>
      </c>
      <c r="BG891" s="48" t="str">
        <f aca="false">IF(AI891&lt;=0,"",IF(CC891="Aussen","Aussenlager",IF(CC891="-","Nicht im Lift",IF(AN891&gt;=1,"Lift",IF(AN891&lt;=0,"Aussenlager","teilweise")))))</f>
        <v>Lift</v>
      </c>
      <c r="BH891" s="48" t="str">
        <f aca="false">IF(AR891&lt;=0,"",IF(CC891="Aussen","Aussenlager",IF(CC891="-","Nicht im Lift",IF(AW891&gt;=1,"Lift",IF(AW891&lt;=0,"Aussenlager","teilweise")))))</f>
        <v>Aussenlager</v>
      </c>
      <c r="BI891" s="48" t="str">
        <f aca="false">IF(BA891&lt;=0,"",IF(CC891="Aussen","Aussenlager",IF(CC891="-","Nicht im Lift",IF(BF891&gt;=1,"Lift",IF(BF891&lt;=0,"Aussenlager","teilweise")))))</f>
        <v>Aussenlager</v>
      </c>
      <c r="BJ891" s="48" t="str">
        <f aca="false">IF(A891="","",IF(BS891=1,"Neu; ","")&amp;IF(AND(BS891=0,BN891&lt;0),"negativer Bestand (Export "&amp;BN891&amp;"); ","")&amp;IF(J891&lt;=0,"Kein Verbrauch; ","")&amp;IF(CL891&gt;0,"Lift "&amp;W891&amp;" lt. Liftbericht (Fach "&amp;X891&amp;" Stk); ",IF(BX891=1,"Gebinde geschätzt ("&amp;T891&amp;"); ",IF(BW891=1,"Lose – Tablare geschätzt; ","")))&amp;IF(H891&gt;AT891,"Überbestand "&amp;ROUND(H891-AT891,0)&amp;" Stk / CHF "&amp;ROUND((H891-AT891)*G891,0)&amp;"; ","")&amp;IF(AND(CE891=1,CF891&lt;CG891),"MAX &lt; MB+LG; ","")&amp;IF(AND(CK891&gt;0,CJ891*10&gt;CK891),"zu hoch für Tablar; ","")&amp;IF(AND(BS891=0,OR(CE891=1,AA891&lt;&gt;"",U891&lt;&gt;"",V891&lt;&gt;"",AB891&lt;&gt;"")),"manuell übersteuert; ","")&amp;IF(AND(BW891=0,R891=0),"Gebinde unbekannt / Stellmass fehlt; ","")&amp;IF(AND(BW891=0,N(V891)&lt;=0,N(Q891)&lt;=0),"Menge pro Gebinde fehlt (Ist = 1 Gebinde); ","")&amp;BR891)</f>
        <v>negativer Bestand (Export -21); Kein Verbrauch; Gebinde geschätzt (Klein); Menge pro Gebinde fehlt (Ist = 1 Gebinde); Überbestand; nicht im KTL vorhanden</v>
      </c>
      <c r="BK891" s="48"/>
      <c r="BL891" s="48"/>
      <c r="BM891" s="55"/>
      <c r="BN891" s="50" t="n">
        <v>-21</v>
      </c>
      <c r="BO891" s="50" t="n">
        <v>71</v>
      </c>
      <c r="BP891" s="49" t="n">
        <v>-29.48</v>
      </c>
      <c r="BQ891" s="50" t="n">
        <v>0</v>
      </c>
      <c r="BR891" s="48" t="s">
        <v>1635</v>
      </c>
      <c r="BS891" s="53" t="n">
        <v>0</v>
      </c>
      <c r="BT891" s="53" t="n">
        <v>891</v>
      </c>
      <c r="BU891" s="48" t="str">
        <f aca="false">IF(U891&lt;&gt;"",UPPER(TRIM(U891)),IF(BX891=1,UPPER(VLOOKUP(T891,Parameter!$I$27:$K$29,2,0)),IF(P891="","LOSE",P891)))</f>
        <v>S51</v>
      </c>
      <c r="BV891" s="50" t="n">
        <f aca="false">IF(BU891="LOSE",1,IF(N(V891)&gt;0,V891,IF(BX891=1,MAX(1,N(VLOOKUP(T891,Parameter!$I$27:$K$29,3,0)),H891,N(N891)),IF(N(Q891)&gt;0,Q891,MAX(1,H891)))))</f>
        <v>50</v>
      </c>
      <c r="BW891" s="53" t="n">
        <f aca="false">IF(BU891="LOSE",1,0)</f>
        <v>0</v>
      </c>
      <c r="BX891" s="53" t="n">
        <f aca="false">IF(AND(U891="",OR(P891="",P891="LOSE"),T891&lt;&gt;"",N(S891)&lt;=0,ISNUMBER(MATCH(T891,Parameter!$I$27:$I$29,0))),1,0)</f>
        <v>1</v>
      </c>
      <c r="BY891" s="53" t="n">
        <f aca="false">IF(CL891&gt;0,INDEX(Parameter!$H$5:$H$7,W891)/INDEX(Parameter!$E$5:$E$7,W891),IF(AND(BW891=0,N(IFERROR(VLOOKUP(BU891,'Gebinde-Kategorie'!$A$5:$N$45,14,0),0))&gt;0),VLOOKUP(BU891,'Gebinde-Kategorie'!$A$5:$N$45,14,0)*10+Parameter!$M$23,Parameter!$M$24))</f>
        <v>155</v>
      </c>
      <c r="BZ891" s="48" t="str">
        <f aca="false">IF(AND(Parameter!$B$19="Ja",E891&lt;&gt;"",ISNUMBER(MATCH(E891,Parameter!$I$35:$I$52,0))),VLOOKUP(E891,Parameter!$I$35:$J$52,2,0),IFERROR(VLOOKUP(D891,Parameter!$A$35:$C$64,2,0),"Nein"))</f>
        <v>2+3</v>
      </c>
      <c r="CA891" s="52" t="n">
        <f aca="false">IF(BW891=0,0,IF(N(S891)&gt;0,S891,IFERROR(VLOOKUP(D891,Parameter!$A$35:$C$64,3,0)+0,0)))</f>
        <v>0</v>
      </c>
      <c r="CB891" s="48" t="n">
        <f aca="false">IF(AA891&lt;&gt;"",AA891,Z891)</f>
        <v>3</v>
      </c>
      <c r="CC891" s="48" t="str">
        <f aca="false">IF(OR(CB891=1,CB891=2,CB891=3),IF(Parameter!$E$27="Ja","LIFT",IF(CB891=1,"L1","L23")),IF(CB891="Aussen","Aussen","-"))</f>
        <v>LIFT</v>
      </c>
      <c r="CD891" s="59" t="n">
        <f aca="false">IF(N(AB891)&gt;0,AB891,0)</f>
        <v>0</v>
      </c>
      <c r="CE891" s="53" t="n">
        <f aca="false">IF(ISNUMBER(AE891),1,0)</f>
        <v>0</v>
      </c>
      <c r="CF891" s="50" t="n">
        <f aca="false">N(AE891)</f>
        <v>0</v>
      </c>
      <c r="CG891" s="50" t="n">
        <f aca="false">N(M891)+N(N891)</f>
        <v>1</v>
      </c>
      <c r="CH891" s="50" t="n">
        <f aca="false">ROUNDUP(H891/BV891,0)</f>
        <v>1</v>
      </c>
      <c r="CI891" s="50" t="n">
        <f aca="false">ROUNDUP(CF891/BV891,0)</f>
        <v>0</v>
      </c>
      <c r="CJ891" s="53" t="n">
        <f aca="false">IF(BW891=1,0,IFERROR(VLOOKUP(BU891,'Gebinde-Kategorie'!$A$5:$N$45,5,0)+0,0))</f>
        <v>11</v>
      </c>
      <c r="CK891" s="53" t="n">
        <f aca="false">IFERROR(IF(OR(CB891=1,CB891=2,CB891=3),N(INDEX(Parameter!$I$5:$I$7,CB891)),0),0)</f>
        <v>0</v>
      </c>
      <c r="CL891" s="52" t="n">
        <f aca="false">IF(AND(Parameter!$B$21="Ja",ISNUMBER(W891),N(X891)&gt;0),IFERROR(N(INDEX(Parameter!$L$5:$L$7,W891))*INDEX(Parameter!$E$5:$E$7,W891)*X891/SUMIFS($X$7:$X$1843,$W$7:$W$1843,W891),0),0)</f>
        <v>0</v>
      </c>
    </row>
    <row r="892" customFormat="false" ht="15" hidden="false" customHeight="false" outlineLevel="0" collapsed="false">
      <c r="A892" s="48" t="s">
        <v>1687</v>
      </c>
      <c r="B892" s="48" t="s">
        <v>1688</v>
      </c>
      <c r="C892" s="48" t="s">
        <v>168</v>
      </c>
      <c r="D892" s="48" t="s">
        <v>188</v>
      </c>
      <c r="E892" s="48"/>
      <c r="F892" s="48" t="s">
        <v>222</v>
      </c>
      <c r="G892" s="49" t="n">
        <v>30.21</v>
      </c>
      <c r="H892" s="50" t="n">
        <f aca="false">MAX(0,IF(AND(Parameter!$B$21="Ja",ISNUMBER(Y892)),Y892,IF(Parameter!$B$20="Jahresanfang 2025 + Export",BO892+BN892,BN892)))</f>
        <v>0</v>
      </c>
      <c r="I892" s="50" t="n">
        <f aca="false">H892*G892</f>
        <v>0</v>
      </c>
      <c r="J892" s="50" t="n">
        <f aca="false">BQ892*Parameter!$B$18</f>
        <v>0</v>
      </c>
      <c r="K892" s="51" t="n">
        <v>0.5</v>
      </c>
      <c r="L892" s="52" t="n">
        <v>0</v>
      </c>
      <c r="M892" s="50" t="n">
        <v>0</v>
      </c>
      <c r="N892" s="50" t="n">
        <v>1</v>
      </c>
      <c r="O892" s="53" t="n">
        <v>28</v>
      </c>
      <c r="P892" s="48" t="s">
        <v>172</v>
      </c>
      <c r="Q892" s="50"/>
      <c r="R892" s="53" t="n">
        <f aca="false">IF(BW892=1,0,IFERROR(VLOOKUP(BU892,'Gebinde-Kategorie'!$A$5:$N$45,13,0)+0,0))</f>
        <v>26</v>
      </c>
      <c r="S892" s="54"/>
      <c r="T892" s="55" t="s">
        <v>279</v>
      </c>
      <c r="U892" s="55"/>
      <c r="V892" s="55"/>
      <c r="W892" s="48"/>
      <c r="X892" s="50"/>
      <c r="Y892" s="50"/>
      <c r="Z892" s="48" t="n">
        <f aca="false">IF(A892="","",IF(AND(Parameter!$B$21="Ja",ISNUMBER(W892)),W892,IF(BZ892="2+3",IF(ISNUMBER(SEARCH("grosser Artikel",BR892)),2,IFERROR(VLOOKUP(BU892,Parameter!$F$35:$G$64,2,0),2)),IF(OR(BZ892="Nein",BZ892=""),"-",BZ892))))</f>
        <v>3</v>
      </c>
      <c r="AA892" s="55"/>
      <c r="AB892" s="56"/>
      <c r="AC892" s="50" t="n">
        <f aca="false">AT892</f>
        <v>20</v>
      </c>
      <c r="AD892" s="50" t="n">
        <f aca="false">MAX(AT892,H892)</f>
        <v>20</v>
      </c>
      <c r="AE892" s="57"/>
      <c r="AF892" s="50" t="n">
        <f aca="false">IF(LEFT(Cockpit!$C$5,1)="A",H892,IF(CE892=1,CF892,IF(LEFT(Cockpit!$C$5,1)="B",AK892,MAX(AK892,H892))))</f>
        <v>0</v>
      </c>
      <c r="AG892" s="50" t="n">
        <f aca="false">IF(BW892=1,0,ROUNDUP(AF892/BV892,0))</f>
        <v>0</v>
      </c>
      <c r="AH892" s="52" t="n">
        <f aca="false">IF(CL892&gt;0,CL892*MAX(1,AF892/X892),IF(BW892=1,IF(AF892&lt;=0,0,CA892*MAX(1,IF(H892&gt;0,AF892/H892,1))),IF(R892&gt;0,AG892/R892,0))/MAX(0.1,N(Parameter!$M$21)))</f>
        <v>0</v>
      </c>
      <c r="AI892" s="50" t="n">
        <f aca="false">AH892*BY892</f>
        <v>0</v>
      </c>
      <c r="AJ892" s="50" t="n">
        <f aca="false">AF892*G892</f>
        <v>0</v>
      </c>
      <c r="AK892" s="50" t="n">
        <f aca="false">ROUNDUP(MAX(J892/IF(CD892&gt;0,CD892,MAX(0.1,N(Cockpit!$C$6))),CG892)/BV892,0)*BV892</f>
        <v>20</v>
      </c>
      <c r="AL892" s="51" t="n">
        <f aca="false">IF(AI892&gt;0,J892/AI892,-1)</f>
        <v>-1</v>
      </c>
      <c r="AM892" s="51" t="str">
        <f aca="false">IF(AND(OR(CC892="L1",CC892="L23",CC892="LIFT"),AI892&gt;0),SUMIFS($AI$7:$AI$1843,$CC$7:$CC$1843,CC892,$AL$7:$AL$1843,"&gt;"&amp;AL892)+SUMIFS($AI$7:$AI$1843,$CC$7:$CC$1843,CC892,$AL$7:$AL$1843,AL892,$BT$7:$BT$1843,"&lt;="&amp;BT892),"")</f>
        <v/>
      </c>
      <c r="AN892" s="58" t="n">
        <f aca="false">IF(AM892="",0,MAX(0,MIN(1,(IF(CC892="L1",Parameter!$H$5,IF(CC892="L23",Parameter!$H$6+Parameter!$H$7,Parameter!$H$5+Parameter!$H$6+Parameter!$H$7))-(AM892-AI892))/AI892)))</f>
        <v>0</v>
      </c>
      <c r="AO892" s="50" t="n">
        <f aca="false">IF(LEFT(Cockpit!$I$5,1)="A",H892,IF(CE892=1,CF892,IF(LEFT(Cockpit!$I$5,1)="B",AT892,MAX(AT892,H892))))</f>
        <v>20</v>
      </c>
      <c r="AP892" s="50" t="n">
        <f aca="false">IF(BW892=1,0,ROUNDUP(AO892/BV892,0))</f>
        <v>1</v>
      </c>
      <c r="AQ892" s="52" t="n">
        <f aca="false">IF(CL892&gt;0,CL892*MAX(1,AO892/X892),IF(BW892=1,IF(AO892&lt;=0,0,CA892*MAX(1,IF(H892&gt;0,AO892/H892,1))),IF(R892&gt;0,AP892/R892,0))/MAX(0.1,N(Parameter!$M$21)))</f>
        <v>0.0384615384615385</v>
      </c>
      <c r="AR892" s="50" t="n">
        <f aca="false">AQ892*BY892</f>
        <v>5.96153846153846</v>
      </c>
      <c r="AS892" s="50" t="n">
        <f aca="false">AO892*G892</f>
        <v>604.2</v>
      </c>
      <c r="AT892" s="50" t="n">
        <f aca="false">ROUNDUP(MAX(J892/IF(CD892&gt;0,CD892,MAX(0.1,N(Cockpit!$I$6))),CG892)/BV892,0)*BV892</f>
        <v>20</v>
      </c>
      <c r="AU892" s="51" t="n">
        <f aca="false">IF(AR892&gt;0,J892/AR892,-1)</f>
        <v>0</v>
      </c>
      <c r="AV892" s="51" t="n">
        <f aca="false">IF(AND(OR(CC892="L1",CC892="L23",CC892="LIFT"),AR892&gt;0),SUMIFS($AR$7:$AR$1843,$CC$7:$CC$1843,CC892,$AU$7:$AU$1843,"&gt;"&amp;AU892)+SUMIFS($AR$7:$AR$1843,$CC$7:$CC$1843,CC892,$AU$7:$AU$1843,AU892,$BT$7:$BT$1843,"&lt;="&amp;BT892),"")</f>
        <v>40420.9432312038</v>
      </c>
      <c r="AW892" s="58" t="n">
        <f aca="false">IF(AV892="",0,MAX(0,MIN(1,(IF(CC892="L1",Parameter!$H$5,IF(CC892="L23",Parameter!$H$6+Parameter!$H$7,Parameter!$H$5+Parameter!$H$6+Parameter!$H$7))-(AV892-AR892))/AR892)))</f>
        <v>0</v>
      </c>
      <c r="AX892" s="50" t="n">
        <f aca="false">IF(LEFT(Cockpit!$O$5,1)="A",H892,IF(CE892=1,CF892,IF(LEFT(Cockpit!$O$5,1)="B",BC892,MAX(BC892,H892))))</f>
        <v>20</v>
      </c>
      <c r="AY892" s="50" t="n">
        <f aca="false">IF(BW892=1,0,ROUNDUP(AX892/BV892,0))</f>
        <v>1</v>
      </c>
      <c r="AZ892" s="52" t="n">
        <f aca="false">IF(CL892&gt;0,CL892*MAX(1,AX892/X892),IF(BW892=1,IF(AX892&lt;=0,0,CA892*MAX(1,IF(H892&gt;0,AX892/H892,1))),IF(R892&gt;0,AY892/R892,0))/MAX(0.1,N(Parameter!$M$21)))</f>
        <v>0.0384615384615385</v>
      </c>
      <c r="BA892" s="50" t="n">
        <f aca="false">AZ892*BY892</f>
        <v>5.96153846153846</v>
      </c>
      <c r="BB892" s="50" t="n">
        <f aca="false">AX892*G892</f>
        <v>604.2</v>
      </c>
      <c r="BC892" s="50" t="n">
        <f aca="false">ROUNDUP(MAX(J892/IF(CD892&gt;0,CD892,MAX(0.1,N(Cockpit!$O$6))),CG892)/BV892,0)*BV892</f>
        <v>20</v>
      </c>
      <c r="BD892" s="51" t="n">
        <f aca="false">IF(BA892&gt;0,J892/BA892,-1)</f>
        <v>0</v>
      </c>
      <c r="BE892" s="51" t="n">
        <f aca="false">IF(AND(OR(CC892="L1",CC892="L23",CC892="LIFT"),BA892&gt;0),SUMIFS($BA$7:$BA$1843,$CC$7:$CC$1843,CC892,$BD$7:$BD$1843,"&gt;"&amp;BD892)+SUMIFS($BA$7:$BA$1843,$CC$7:$CC$1843,CC892,$BD$7:$BD$1843,BD892,$BT$7:$BT$1843,"&lt;="&amp;BT892),"")</f>
        <v>37095.9552730697</v>
      </c>
      <c r="BF892" s="58" t="n">
        <f aca="false">IF(BE892="",0,MAX(0,MIN(1,(IF(CC892="L1",Parameter!$H$5,IF(CC892="L23",Parameter!$H$6+Parameter!$H$7,Parameter!$H$5+Parameter!$H$6+Parameter!$H$7))-(BE892-BA892))/BA892)))</f>
        <v>0</v>
      </c>
      <c r="BG892" s="48" t="str">
        <f aca="false">IF(AI892&lt;=0,"",IF(CC892="Aussen","Aussenlager",IF(CC892="-","Nicht im Lift",IF(AN892&gt;=1,"Lift",IF(AN892&lt;=0,"Aussenlager","teilweise")))))</f>
        <v/>
      </c>
      <c r="BH892" s="48" t="str">
        <f aca="false">IF(AR892&lt;=0,"",IF(CC892="Aussen","Aussenlager",IF(CC892="-","Nicht im Lift",IF(AW892&gt;=1,"Lift",IF(AW892&lt;=0,"Aussenlager","teilweise")))))</f>
        <v>Aussenlager</v>
      </c>
      <c r="BI892" s="48" t="str">
        <f aca="false">IF(BA892&lt;=0,"",IF(CC892="Aussen","Aussenlager",IF(CC892="-","Nicht im Lift",IF(BF892&gt;=1,"Lift",IF(BF892&lt;=0,"Aussenlager","teilweise")))))</f>
        <v>Aussenlager</v>
      </c>
      <c r="BJ892" s="48" t="str">
        <f aca="false">IF(A892="","",IF(BS892=1,"Neu; ","")&amp;IF(AND(BS892=0,BN892&lt;0),"negativer Bestand (Export "&amp;BN892&amp;"); ","")&amp;IF(J892&lt;=0,"Kein Verbrauch; ","")&amp;IF(CL892&gt;0,"Lift "&amp;W892&amp;" lt. Liftbericht (Fach "&amp;X892&amp;" Stk); ",IF(BX892=1,"Gebinde geschätzt ("&amp;T892&amp;"); ",IF(BW892=1,"Lose – Tablare geschätzt; ","")))&amp;IF(H892&gt;AT892,"Überbestand "&amp;ROUND(H892-AT892,0)&amp;" Stk / CHF "&amp;ROUND((H892-AT892)*G892,0)&amp;"; ","")&amp;IF(AND(CE892=1,CF892&lt;CG892),"MAX &lt; MB+LG; ","")&amp;IF(AND(CK892&gt;0,CJ892*10&gt;CK892),"zu hoch für Tablar; ","")&amp;IF(AND(BS892=0,OR(CE892=1,AA892&lt;&gt;"",U892&lt;&gt;"",V892&lt;&gt;"",AB892&lt;&gt;"")),"manuell übersteuert; ","")&amp;IF(AND(BW892=0,R892=0),"Gebinde unbekannt / Stellmass fehlt; ","")&amp;IF(AND(BW892=0,N(V892)&lt;=0,N(Q892)&lt;=0),"Menge pro Gebinde fehlt (Ist = 1 Gebinde); ","")&amp;BR892)</f>
        <v>negativer Bestand (Export -1); Kein Verbrauch; Gebinde geschätzt (Klein); Menge pro Gebinde fehlt (Ist = 1 Gebinde); </v>
      </c>
      <c r="BK892" s="48"/>
      <c r="BL892" s="48"/>
      <c r="BM892" s="55"/>
      <c r="BN892" s="50" t="n">
        <v>-1</v>
      </c>
      <c r="BO892" s="50" t="n">
        <v>1</v>
      </c>
      <c r="BP892" s="49" t="n">
        <v>-30.21</v>
      </c>
      <c r="BQ892" s="50" t="n">
        <v>0</v>
      </c>
      <c r="BR892" s="48"/>
      <c r="BS892" s="53" t="n">
        <v>0</v>
      </c>
      <c r="BT892" s="53" t="n">
        <v>892</v>
      </c>
      <c r="BU892" s="48" t="str">
        <f aca="false">IF(U892&lt;&gt;"",UPPER(TRIM(U892)),IF(BX892=1,UPPER(VLOOKUP(T892,Parameter!$I$27:$K$29,2,0)),IF(P892="","LOSE",P892)))</f>
        <v>S51</v>
      </c>
      <c r="BV892" s="50" t="n">
        <f aca="false">IF(BU892="LOSE",1,IF(N(V892)&gt;0,V892,IF(BX892=1,MAX(1,N(VLOOKUP(T892,Parameter!$I$27:$K$29,3,0)),H892,N(N892)),IF(N(Q892)&gt;0,Q892,MAX(1,H892)))))</f>
        <v>20</v>
      </c>
      <c r="BW892" s="53" t="n">
        <f aca="false">IF(BU892="LOSE",1,0)</f>
        <v>0</v>
      </c>
      <c r="BX892" s="53" t="n">
        <f aca="false">IF(AND(U892="",OR(P892="",P892="LOSE"),T892&lt;&gt;"",N(S892)&lt;=0,ISNUMBER(MATCH(T892,Parameter!$I$27:$I$29,0))),1,0)</f>
        <v>1</v>
      </c>
      <c r="BY892" s="53" t="n">
        <f aca="false">IF(CL892&gt;0,INDEX(Parameter!$H$5:$H$7,W892)/INDEX(Parameter!$E$5:$E$7,W892),IF(AND(BW892=0,N(IFERROR(VLOOKUP(BU892,'Gebinde-Kategorie'!$A$5:$N$45,14,0),0))&gt;0),VLOOKUP(BU892,'Gebinde-Kategorie'!$A$5:$N$45,14,0)*10+Parameter!$M$23,Parameter!$M$24))</f>
        <v>155</v>
      </c>
      <c r="BZ892" s="48" t="str">
        <f aca="false">IF(AND(Parameter!$B$19="Ja",E892&lt;&gt;"",ISNUMBER(MATCH(E892,Parameter!$I$35:$I$52,0))),VLOOKUP(E892,Parameter!$I$35:$J$52,2,0),IFERROR(VLOOKUP(D892,Parameter!$A$35:$C$64,2,0),"Nein"))</f>
        <v>2+3</v>
      </c>
      <c r="CA892" s="52" t="n">
        <f aca="false">IF(BW892=0,0,IF(N(S892)&gt;0,S892,IFERROR(VLOOKUP(D892,Parameter!$A$35:$C$64,3,0)+0,0)))</f>
        <v>0</v>
      </c>
      <c r="CB892" s="48" t="n">
        <f aca="false">IF(AA892&lt;&gt;"",AA892,Z892)</f>
        <v>3</v>
      </c>
      <c r="CC892" s="48" t="str">
        <f aca="false">IF(OR(CB892=1,CB892=2,CB892=3),IF(Parameter!$E$27="Ja","LIFT",IF(CB892=1,"L1","L23")),IF(CB892="Aussen","Aussen","-"))</f>
        <v>LIFT</v>
      </c>
      <c r="CD892" s="59" t="n">
        <f aca="false">IF(N(AB892)&gt;0,AB892,0)</f>
        <v>0</v>
      </c>
      <c r="CE892" s="53" t="n">
        <f aca="false">IF(ISNUMBER(AE892),1,0)</f>
        <v>0</v>
      </c>
      <c r="CF892" s="50" t="n">
        <f aca="false">N(AE892)</f>
        <v>0</v>
      </c>
      <c r="CG892" s="50" t="n">
        <f aca="false">N(M892)+N(N892)</f>
        <v>1</v>
      </c>
      <c r="CH892" s="50" t="n">
        <f aca="false">ROUNDUP(H892/BV892,0)</f>
        <v>0</v>
      </c>
      <c r="CI892" s="50" t="n">
        <f aca="false">ROUNDUP(CF892/BV892,0)</f>
        <v>0</v>
      </c>
      <c r="CJ892" s="53" t="n">
        <f aca="false">IF(BW892=1,0,IFERROR(VLOOKUP(BU892,'Gebinde-Kategorie'!$A$5:$N$45,5,0)+0,0))</f>
        <v>11</v>
      </c>
      <c r="CK892" s="53" t="n">
        <f aca="false">IFERROR(IF(OR(CB892=1,CB892=2,CB892=3),N(INDEX(Parameter!$I$5:$I$7,CB892)),0),0)</f>
        <v>0</v>
      </c>
      <c r="CL892" s="52" t="n">
        <f aca="false">IF(AND(Parameter!$B$21="Ja",ISNUMBER(W892),N(X892)&gt;0),IFERROR(N(INDEX(Parameter!$L$5:$L$7,W892))*INDEX(Parameter!$E$5:$E$7,W892)*X892/SUMIFS($X$7:$X$1843,$W$7:$W$1843,W892),0),0)</f>
        <v>0</v>
      </c>
    </row>
    <row r="893" customFormat="false" ht="15" hidden="false" customHeight="false" outlineLevel="0" collapsed="false">
      <c r="A893" s="48" t="s">
        <v>1689</v>
      </c>
      <c r="B893" s="48" t="s">
        <v>593</v>
      </c>
      <c r="C893" s="48" t="s">
        <v>168</v>
      </c>
      <c r="D893" s="48" t="s">
        <v>188</v>
      </c>
      <c r="E893" s="48" t="s">
        <v>189</v>
      </c>
      <c r="F893" s="48" t="s">
        <v>222</v>
      </c>
      <c r="G893" s="49" t="n">
        <v>2.2</v>
      </c>
      <c r="H893" s="50" t="n">
        <f aca="false">MAX(0,IF(AND(Parameter!$B$21="Ja",ISNUMBER(Y893)),Y893,IF(Parameter!$B$20="Jahresanfang 2025 + Export",BO893+BN893,BN893)))</f>
        <v>34</v>
      </c>
      <c r="I893" s="50" t="n">
        <f aca="false">H893*G893</f>
        <v>74.8</v>
      </c>
      <c r="J893" s="50" t="n">
        <f aca="false">BQ893*Parameter!$B$18</f>
        <v>11</v>
      </c>
      <c r="K893" s="51" t="n">
        <v>41</v>
      </c>
      <c r="L893" s="52" t="n">
        <v>0.268292682926829</v>
      </c>
      <c r="M893" s="50" t="n">
        <v>0</v>
      </c>
      <c r="N893" s="50" t="n">
        <v>10</v>
      </c>
      <c r="O893" s="53" t="n">
        <v>21</v>
      </c>
      <c r="P893" s="48" t="s">
        <v>430</v>
      </c>
      <c r="Q893" s="50" t="n">
        <v>21</v>
      </c>
      <c r="R893" s="53" t="n">
        <f aca="false">IF(BW893=1,0,IFERROR(VLOOKUP(BU893,'Gebinde-Kategorie'!$A$5:$N$45,13,0)+0,0))</f>
        <v>140</v>
      </c>
      <c r="S893" s="54"/>
      <c r="T893" s="55"/>
      <c r="U893" s="55"/>
      <c r="V893" s="55"/>
      <c r="W893" s="48"/>
      <c r="X893" s="50"/>
      <c r="Y893" s="50"/>
      <c r="Z893" s="48" t="n">
        <f aca="false">IF(A893="","",IF(AND(Parameter!$B$21="Ja",ISNUMBER(W893)),W893,IF(BZ893="2+3",IF(ISNUMBER(SEARCH("grosser Artikel",BR893)),2,IFERROR(VLOOKUP(BU893,Parameter!$F$35:$G$64,2,0),2)),IF(OR(BZ893="Nein",BZ893=""),"-",BZ893))))</f>
        <v>3</v>
      </c>
      <c r="AA893" s="55"/>
      <c r="AB893" s="56"/>
      <c r="AC893" s="50" t="n">
        <f aca="false">AT893</f>
        <v>21</v>
      </c>
      <c r="AD893" s="50" t="n">
        <f aca="false">MAX(AT893,H893)</f>
        <v>34</v>
      </c>
      <c r="AE893" s="57"/>
      <c r="AF893" s="50" t="n">
        <f aca="false">IF(LEFT(Cockpit!$C$5,1)="A",H893,IF(CE893=1,CF893,IF(LEFT(Cockpit!$C$5,1)="B",AK893,MAX(AK893,H893))))</f>
        <v>34</v>
      </c>
      <c r="AG893" s="50" t="n">
        <f aca="false">IF(BW893=1,0,ROUNDUP(AF893/BV893,0))</f>
        <v>2</v>
      </c>
      <c r="AH893" s="52" t="n">
        <f aca="false">IF(CL893&gt;0,CL893*MAX(1,AF893/X893),IF(BW893=1,IF(AF893&lt;=0,0,CA893*MAX(1,IF(H893&gt;0,AF893/H893,1))),IF(R893&gt;0,AG893/R893,0))/MAX(0.1,N(Parameter!$M$21)))</f>
        <v>0.0142857142857143</v>
      </c>
      <c r="AI893" s="50" t="n">
        <f aca="false">AH893*BY893</f>
        <v>2.21428571428571</v>
      </c>
      <c r="AJ893" s="50" t="n">
        <f aca="false">AF893*G893</f>
        <v>74.8</v>
      </c>
      <c r="AK893" s="50" t="n">
        <f aca="false">ROUNDUP(MAX(J893/IF(CD893&gt;0,CD893,MAX(0.1,N(Cockpit!$C$6))),CG893)/BV893,0)*BV893</f>
        <v>21</v>
      </c>
      <c r="AL893" s="51" t="n">
        <f aca="false">IF(AI893&gt;0,J893/AI893,-1)</f>
        <v>4.96774193548387</v>
      </c>
      <c r="AM893" s="51" t="n">
        <f aca="false">IF(AND(OR(CC893="L1",CC893="L23",CC893="LIFT"),AI893&gt;0),SUMIFS($AI$7:$AI$1843,$CC$7:$CC$1843,CC893,$AL$7:$AL$1843,"&gt;"&amp;AL893)+SUMIFS($AI$7:$AI$1843,$CC$7:$CC$1843,CC893,$AL$7:$AL$1843,AL893,$BT$7:$BT$1843,"&lt;="&amp;BT893),"")</f>
        <v>3925.04990842491</v>
      </c>
      <c r="AN893" s="58" t="n">
        <f aca="false">IF(AM893="",0,MAX(0,MIN(1,(IF(CC893="L1",Parameter!$H$5,IF(CC893="L23",Parameter!$H$6+Parameter!$H$7,Parameter!$H$5+Parameter!$H$6+Parameter!$H$7))-(AM893-AI893))/AI893)))</f>
        <v>1</v>
      </c>
      <c r="AO893" s="50" t="n">
        <f aca="false">IF(LEFT(Cockpit!$I$5,1)="A",H893,IF(CE893=1,CF893,IF(LEFT(Cockpit!$I$5,1)="B",AT893,MAX(AT893,H893))))</f>
        <v>34</v>
      </c>
      <c r="AP893" s="50" t="n">
        <f aca="false">IF(BW893=1,0,ROUNDUP(AO893/BV893,0))</f>
        <v>2</v>
      </c>
      <c r="AQ893" s="52" t="n">
        <f aca="false">IF(CL893&gt;0,CL893*MAX(1,AO893/X893),IF(BW893=1,IF(AO893&lt;=0,0,CA893*MAX(1,IF(H893&gt;0,AO893/H893,1))),IF(R893&gt;0,AP893/R893,0))/MAX(0.1,N(Parameter!$M$21)))</f>
        <v>0.0142857142857143</v>
      </c>
      <c r="AR893" s="50" t="n">
        <f aca="false">AQ893*BY893</f>
        <v>2.21428571428571</v>
      </c>
      <c r="AS893" s="50" t="n">
        <f aca="false">AO893*G893</f>
        <v>74.8</v>
      </c>
      <c r="AT893" s="50" t="n">
        <f aca="false">ROUNDUP(MAX(J893/IF(CD893&gt;0,CD893,MAX(0.1,N(Cockpit!$I$6))),CG893)/BV893,0)*BV893</f>
        <v>21</v>
      </c>
      <c r="AU893" s="51" t="n">
        <f aca="false">IF(AR893&gt;0,J893/AR893,-1)</f>
        <v>4.96774193548387</v>
      </c>
      <c r="AV893" s="51" t="n">
        <f aca="false">IF(AND(OR(CC893="L1",CC893="L23",CC893="LIFT"),AR893&gt;0),SUMIFS($AR$7:$AR$1843,$CC$7:$CC$1843,CC893,$AU$7:$AU$1843,"&gt;"&amp;AU893)+SUMIFS($AR$7:$AR$1843,$CC$7:$CC$1843,CC893,$AU$7:$AU$1843,AU893,$BT$7:$BT$1843,"&lt;="&amp;BT893),"")</f>
        <v>4980.50320512821</v>
      </c>
      <c r="AW893" s="58" t="n">
        <f aca="false">IF(AV893="",0,MAX(0,MIN(1,(IF(CC893="L1",Parameter!$H$5,IF(CC893="L23",Parameter!$H$6+Parameter!$H$7,Parameter!$H$5+Parameter!$H$6+Parameter!$H$7))-(AV893-AR893))/AR893)))</f>
        <v>1</v>
      </c>
      <c r="AX893" s="50" t="n">
        <f aca="false">IF(LEFT(Cockpit!$O$5,1)="A",H893,IF(CE893=1,CF893,IF(LEFT(Cockpit!$O$5,1)="B",BC893,MAX(BC893,H893))))</f>
        <v>34</v>
      </c>
      <c r="AY893" s="50" t="n">
        <f aca="false">IF(BW893=1,0,ROUNDUP(AX893/BV893,0))</f>
        <v>2</v>
      </c>
      <c r="AZ893" s="52" t="n">
        <f aca="false">IF(CL893&gt;0,CL893*MAX(1,AX893/X893),IF(BW893=1,IF(AX893&lt;=0,0,CA893*MAX(1,IF(H893&gt;0,AX893/H893,1))),IF(R893&gt;0,AY893/R893,0))/MAX(0.1,N(Parameter!$M$21)))</f>
        <v>0.0142857142857143</v>
      </c>
      <c r="BA893" s="50" t="n">
        <f aca="false">AZ893*BY893</f>
        <v>2.21428571428571</v>
      </c>
      <c r="BB893" s="50" t="n">
        <f aca="false">AX893*G893</f>
        <v>74.8</v>
      </c>
      <c r="BC893" s="50" t="n">
        <f aca="false">ROUNDUP(MAX(J893/IF(CD893&gt;0,CD893,MAX(0.1,N(Cockpit!$O$6))),CG893)/BV893,0)*BV893</f>
        <v>21</v>
      </c>
      <c r="BD893" s="51" t="n">
        <f aca="false">IF(BA893&gt;0,J893/BA893,-1)</f>
        <v>4.96774193548387</v>
      </c>
      <c r="BE893" s="51" t="n">
        <f aca="false">IF(AND(OR(CC893="L1",CC893="L23",CC893="LIFT"),BA893&gt;0),SUMIFS($BA$7:$BA$1843,$CC$7:$CC$1843,CC893,$BD$7:$BD$1843,"&gt;"&amp;BD893)+SUMIFS($BA$7:$BA$1843,$CC$7:$CC$1843,CC893,$BD$7:$BD$1843,BD893,$BT$7:$BT$1843,"&lt;="&amp;BT893),"")</f>
        <v>4650.96794871795</v>
      </c>
      <c r="BF893" s="58" t="n">
        <f aca="false">IF(BE893="",0,MAX(0,MIN(1,(IF(CC893="L1",Parameter!$H$5,IF(CC893="L23",Parameter!$H$6+Parameter!$H$7,Parameter!$H$5+Parameter!$H$6+Parameter!$H$7))-(BE893-BA893))/BA893)))</f>
        <v>1</v>
      </c>
      <c r="BG893" s="48" t="str">
        <f aca="false">IF(AI893&lt;=0,"",IF(CC893="Aussen","Aussenlager",IF(CC893="-","Nicht im Lift",IF(AN893&gt;=1,"Lift",IF(AN893&lt;=0,"Aussenlager","teilweise")))))</f>
        <v>Lift</v>
      </c>
      <c r="BH893" s="48" t="str">
        <f aca="false">IF(AR893&lt;=0,"",IF(CC893="Aussen","Aussenlager",IF(CC893="-","Nicht im Lift",IF(AW893&gt;=1,"Lift",IF(AW893&lt;=0,"Aussenlager","teilweise")))))</f>
        <v>Lift</v>
      </c>
      <c r="BI893" s="48" t="str">
        <f aca="false">IF(BA893&lt;=0,"",IF(CC893="Aussen","Aussenlager",IF(CC893="-","Nicht im Lift",IF(BF893&gt;=1,"Lift",IF(BF893&lt;=0,"Aussenlager","teilweise")))))</f>
        <v>Lift</v>
      </c>
      <c r="BJ893" s="48" t="str">
        <f aca="false">IF(A893="","",IF(BS893=1,"Neu; ","")&amp;IF(AND(BS893=0,BN893&lt;0),"negativer Bestand (Export "&amp;BN893&amp;"); ","")&amp;IF(J893&lt;=0,"Kein Verbrauch; ","")&amp;IF(CL893&gt;0,"Lift "&amp;W893&amp;" lt. Liftbericht (Fach "&amp;X893&amp;" Stk); ",IF(BX893=1,"Gebinde geschätzt ("&amp;T893&amp;"); ",IF(BW893=1,"Lose – Tablare geschätzt; ","")))&amp;IF(H893&gt;AT893,"Überbestand "&amp;ROUND(H893-AT893,0)&amp;" Stk / CHF "&amp;ROUND((H893-AT893)*G893,0)&amp;"; ","")&amp;IF(AND(CE893=1,CF893&lt;CG893),"MAX &lt; MB+LG; ","")&amp;IF(AND(CK893&gt;0,CJ893*10&gt;CK893),"zu hoch für Tablar; ","")&amp;IF(AND(BS893=0,OR(CE893=1,AA893&lt;&gt;"",U893&lt;&gt;"",V893&lt;&gt;"",AB893&lt;&gt;"")),"manuell übersteuert; ","")&amp;IF(AND(BW893=0,R893=0),"Gebinde unbekannt / Stellmass fehlt; ","")&amp;IF(AND(BW893=0,N(V893)&lt;=0,N(Q893)&lt;=0),"Menge pro Gebinde fehlt (Ist = 1 Gebinde); ","")&amp;BR893)</f>
        <v>negativer Bestand (Export -14); Überbestand 13 Stk / CHF 29; </v>
      </c>
      <c r="BK893" s="48"/>
      <c r="BL893" s="48"/>
      <c r="BM893" s="55"/>
      <c r="BN893" s="50" t="n">
        <v>-14</v>
      </c>
      <c r="BO893" s="50" t="n">
        <v>48</v>
      </c>
      <c r="BP893" s="49" t="n">
        <v>-30.8</v>
      </c>
      <c r="BQ893" s="50" t="n">
        <v>11</v>
      </c>
      <c r="BR893" s="48"/>
      <c r="BS893" s="53" t="n">
        <v>0</v>
      </c>
      <c r="BT893" s="53" t="n">
        <v>893</v>
      </c>
      <c r="BU893" s="48" t="str">
        <f aca="false">IF(U893&lt;&gt;"",UPPER(TRIM(U893)),IF(BX893=1,UPPER(VLOOKUP(T893,Parameter!$I$27:$K$29,2,0)),IF(P893="","LOSE",P893)))</f>
        <v>S22</v>
      </c>
      <c r="BV893" s="50" t="n">
        <f aca="false">IF(BU893="LOSE",1,IF(N(V893)&gt;0,V893,IF(BX893=1,MAX(1,N(VLOOKUP(T893,Parameter!$I$27:$K$29,3,0)),H893,N(N893)),IF(N(Q893)&gt;0,Q893,MAX(1,H893)))))</f>
        <v>21</v>
      </c>
      <c r="BW893" s="53" t="n">
        <f aca="false">IF(BU893="LOSE",1,0)</f>
        <v>0</v>
      </c>
      <c r="BX893" s="53" t="n">
        <f aca="false">IF(AND(U893="",OR(P893="",P893="LOSE"),T893&lt;&gt;"",N(S893)&lt;=0,ISNUMBER(MATCH(T893,Parameter!$I$27:$I$29,0))),1,0)</f>
        <v>0</v>
      </c>
      <c r="BY893" s="53" t="n">
        <f aca="false">IF(CL893&gt;0,INDEX(Parameter!$H$5:$H$7,W893)/INDEX(Parameter!$E$5:$E$7,W893),IF(AND(BW893=0,N(IFERROR(VLOOKUP(BU893,'Gebinde-Kategorie'!$A$5:$N$45,14,0),0))&gt;0),VLOOKUP(BU893,'Gebinde-Kategorie'!$A$5:$N$45,14,0)*10+Parameter!$M$23,Parameter!$M$24))</f>
        <v>155</v>
      </c>
      <c r="BZ893" s="48" t="str">
        <f aca="false">IF(AND(Parameter!$B$19="Ja",E893&lt;&gt;"",ISNUMBER(MATCH(E893,Parameter!$I$35:$I$52,0))),VLOOKUP(E893,Parameter!$I$35:$J$52,2,0),IFERROR(VLOOKUP(D893,Parameter!$A$35:$C$64,2,0),"Nein"))</f>
        <v>2+3</v>
      </c>
      <c r="CA893" s="52" t="n">
        <f aca="false">IF(BW893=0,0,IF(N(S893)&gt;0,S893,IFERROR(VLOOKUP(D893,Parameter!$A$35:$C$64,3,0)+0,0)))</f>
        <v>0</v>
      </c>
      <c r="CB893" s="48" t="n">
        <f aca="false">IF(AA893&lt;&gt;"",AA893,Z893)</f>
        <v>3</v>
      </c>
      <c r="CC893" s="48" t="str">
        <f aca="false">IF(OR(CB893=1,CB893=2,CB893=3),IF(Parameter!$E$27="Ja","LIFT",IF(CB893=1,"L1","L23")),IF(CB893="Aussen","Aussen","-"))</f>
        <v>LIFT</v>
      </c>
      <c r="CD893" s="59" t="n">
        <f aca="false">IF(N(AB893)&gt;0,AB893,0)</f>
        <v>0</v>
      </c>
      <c r="CE893" s="53" t="n">
        <f aca="false">IF(ISNUMBER(AE893),1,0)</f>
        <v>0</v>
      </c>
      <c r="CF893" s="50" t="n">
        <f aca="false">N(AE893)</f>
        <v>0</v>
      </c>
      <c r="CG893" s="50" t="n">
        <f aca="false">N(M893)+N(N893)</f>
        <v>10</v>
      </c>
      <c r="CH893" s="50" t="n">
        <f aca="false">ROUNDUP(H893/BV893,0)</f>
        <v>2</v>
      </c>
      <c r="CI893" s="50" t="n">
        <f aca="false">ROUNDUP(CF893/BV893,0)</f>
        <v>0</v>
      </c>
      <c r="CJ893" s="53" t="n">
        <f aca="false">IF(BW893=1,0,IFERROR(VLOOKUP(BU893,'Gebinde-Kategorie'!$A$5:$N$45,5,0)+0,0))</f>
        <v>8</v>
      </c>
      <c r="CK893" s="53" t="n">
        <f aca="false">IFERROR(IF(OR(CB893=1,CB893=2,CB893=3),N(INDEX(Parameter!$I$5:$I$7,CB893)),0),0)</f>
        <v>0</v>
      </c>
      <c r="CL893" s="52" t="n">
        <f aca="false">IF(AND(Parameter!$B$21="Ja",ISNUMBER(W893),N(X893)&gt;0),IFERROR(N(INDEX(Parameter!$L$5:$L$7,W893))*INDEX(Parameter!$E$5:$E$7,W893)*X893/SUMIFS($X$7:$X$1843,$W$7:$W$1843,W893),0),0)</f>
        <v>0</v>
      </c>
    </row>
    <row r="894" customFormat="false" ht="15" hidden="false" customHeight="false" outlineLevel="0" collapsed="false">
      <c r="A894" s="48" t="s">
        <v>1690</v>
      </c>
      <c r="B894" s="48" t="s">
        <v>1691</v>
      </c>
      <c r="C894" s="48" t="s">
        <v>168</v>
      </c>
      <c r="D894" s="48" t="s">
        <v>188</v>
      </c>
      <c r="E894" s="48"/>
      <c r="F894" s="48" t="s">
        <v>222</v>
      </c>
      <c r="G894" s="49" t="n">
        <v>0.24</v>
      </c>
      <c r="H894" s="50" t="n">
        <f aca="false">MAX(0,IF(AND(Parameter!$B$21="Ja",ISNUMBER(Y894)),Y894,IF(Parameter!$B$20="Jahresanfang 2025 + Export",BO894+BN894,BN894)))</f>
        <v>771</v>
      </c>
      <c r="I894" s="50" t="n">
        <f aca="false">H894*G894</f>
        <v>185.04</v>
      </c>
      <c r="J894" s="50" t="n">
        <f aca="false">BQ894*Parameter!$B$18</f>
        <v>0</v>
      </c>
      <c r="K894" s="51" t="n">
        <v>900</v>
      </c>
      <c r="L894" s="52" t="n">
        <v>0</v>
      </c>
      <c r="M894" s="50" t="n">
        <v>1</v>
      </c>
      <c r="N894" s="50" t="n">
        <v>1</v>
      </c>
      <c r="O894" s="53" t="n">
        <v>21</v>
      </c>
      <c r="P894" s="48" t="s">
        <v>306</v>
      </c>
      <c r="Q894" s="50" t="n">
        <v>400</v>
      </c>
      <c r="R894" s="53" t="n">
        <f aca="false">IF(BW894=1,0,IFERROR(VLOOKUP(BU894,'Gebinde-Kategorie'!$A$5:$N$45,13,0)+0,0))</f>
        <v>26</v>
      </c>
      <c r="S894" s="54"/>
      <c r="T894" s="55"/>
      <c r="U894" s="55"/>
      <c r="V894" s="55"/>
      <c r="W894" s="48"/>
      <c r="X894" s="50"/>
      <c r="Y894" s="50"/>
      <c r="Z894" s="48" t="n">
        <f aca="false">IF(A894="","",IF(AND(Parameter!$B$21="Ja",ISNUMBER(W894)),W894,IF(BZ894="2+3",IF(ISNUMBER(SEARCH("grosser Artikel",BR894)),2,IFERROR(VLOOKUP(BU894,Parameter!$F$35:$G$64,2,0),2)),IF(OR(BZ894="Nein",BZ894=""),"-",BZ894))))</f>
        <v>3</v>
      </c>
      <c r="AA894" s="55"/>
      <c r="AB894" s="56"/>
      <c r="AC894" s="50" t="n">
        <f aca="false">AT894</f>
        <v>400</v>
      </c>
      <c r="AD894" s="50" t="n">
        <f aca="false">MAX(AT894,H894)</f>
        <v>771</v>
      </c>
      <c r="AE894" s="57"/>
      <c r="AF894" s="50" t="n">
        <f aca="false">IF(LEFT(Cockpit!$C$5,1)="A",H894,IF(CE894=1,CF894,IF(LEFT(Cockpit!$C$5,1)="B",AK894,MAX(AK894,H894))))</f>
        <v>771</v>
      </c>
      <c r="AG894" s="50" t="n">
        <f aca="false">IF(BW894=1,0,ROUNDUP(AF894/BV894,0))</f>
        <v>2</v>
      </c>
      <c r="AH894" s="52" t="n">
        <f aca="false">IF(CL894&gt;0,CL894*MAX(1,AF894/X894),IF(BW894=1,IF(AF894&lt;=0,0,CA894*MAX(1,IF(H894&gt;0,AF894/H894,1))),IF(R894&gt;0,AG894/R894,0))/MAX(0.1,N(Parameter!$M$21)))</f>
        <v>0.0769230769230769</v>
      </c>
      <c r="AI894" s="50" t="n">
        <f aca="false">AH894*BY894</f>
        <v>11.9230769230769</v>
      </c>
      <c r="AJ894" s="50" t="n">
        <f aca="false">AF894*G894</f>
        <v>185.04</v>
      </c>
      <c r="AK894" s="50" t="n">
        <f aca="false">ROUNDUP(MAX(J894/IF(CD894&gt;0,CD894,MAX(0.1,N(Cockpit!$C$6))),CG894)/BV894,0)*BV894</f>
        <v>400</v>
      </c>
      <c r="AL894" s="51" t="n">
        <f aca="false">IF(AI894&gt;0,J894/AI894,-1)</f>
        <v>0</v>
      </c>
      <c r="AM894" s="51" t="n">
        <f aca="false">IF(AND(OR(CC894="L1",CC894="L23",CC894="LIFT"),AI894&gt;0),SUMIFS($AI$7:$AI$1843,$CC$7:$CC$1843,CC894,$AL$7:$AL$1843,"&gt;"&amp;AL894)+SUMIFS($AI$7:$AI$1843,$CC$7:$CC$1843,CC894,$AL$7:$AL$1843,AL894,$BT$7:$BT$1843,"&lt;="&amp;BT894),"")</f>
        <v>28834.4305710768</v>
      </c>
      <c r="AN894" s="58" t="n">
        <f aca="false">IF(AM894="",0,MAX(0,MIN(1,(IF(CC894="L1",Parameter!$H$5,IF(CC894="L23",Parameter!$H$6+Parameter!$H$7,Parameter!$H$5+Parameter!$H$6+Parameter!$H$7))-(AM894-AI894))/AI894)))</f>
        <v>1</v>
      </c>
      <c r="AO894" s="50" t="n">
        <f aca="false">IF(LEFT(Cockpit!$I$5,1)="A",H894,IF(CE894=1,CF894,IF(LEFT(Cockpit!$I$5,1)="B",AT894,MAX(AT894,H894))))</f>
        <v>771</v>
      </c>
      <c r="AP894" s="50" t="n">
        <f aca="false">IF(BW894=1,0,ROUNDUP(AO894/BV894,0))</f>
        <v>2</v>
      </c>
      <c r="AQ894" s="52" t="n">
        <f aca="false">IF(CL894&gt;0,CL894*MAX(1,AO894/X894),IF(BW894=1,IF(AO894&lt;=0,0,CA894*MAX(1,IF(H894&gt;0,AO894/H894,1))),IF(R894&gt;0,AP894/R894,0))/MAX(0.1,N(Parameter!$M$21)))</f>
        <v>0.0769230769230769</v>
      </c>
      <c r="AR894" s="50" t="n">
        <f aca="false">AQ894*BY894</f>
        <v>11.9230769230769</v>
      </c>
      <c r="AS894" s="50" t="n">
        <f aca="false">AO894*G894</f>
        <v>185.04</v>
      </c>
      <c r="AT894" s="50" t="n">
        <f aca="false">ROUNDUP(MAX(J894/IF(CD894&gt;0,CD894,MAX(0.1,N(Cockpit!$I$6))),CG894)/BV894,0)*BV894</f>
        <v>400</v>
      </c>
      <c r="AU894" s="51" t="n">
        <f aca="false">IF(AR894&gt;0,J894/AR894,-1)</f>
        <v>0</v>
      </c>
      <c r="AV894" s="51" t="n">
        <f aca="false">IF(AND(OR(CC894="L1",CC894="L23",CC894="LIFT"),AR894&gt;0),SUMIFS($AR$7:$AR$1843,$CC$7:$CC$1843,CC894,$AU$7:$AU$1843,"&gt;"&amp;AU894)+SUMIFS($AR$7:$AR$1843,$CC$7:$CC$1843,CC894,$AU$7:$AU$1843,AU894,$BT$7:$BT$1843,"&lt;="&amp;BT894),"")</f>
        <v>40432.8663081269</v>
      </c>
      <c r="AW894" s="58" t="n">
        <f aca="false">IF(AV894="",0,MAX(0,MIN(1,(IF(CC894="L1",Parameter!$H$5,IF(CC894="L23",Parameter!$H$6+Parameter!$H$7,Parameter!$H$5+Parameter!$H$6+Parameter!$H$7))-(AV894-AR894))/AR894)))</f>
        <v>0</v>
      </c>
      <c r="AX894" s="50" t="n">
        <f aca="false">IF(LEFT(Cockpit!$O$5,1)="A",H894,IF(CE894=1,CF894,IF(LEFT(Cockpit!$O$5,1)="B",BC894,MAX(BC894,H894))))</f>
        <v>771</v>
      </c>
      <c r="AY894" s="50" t="n">
        <f aca="false">IF(BW894=1,0,ROUNDUP(AX894/BV894,0))</f>
        <v>2</v>
      </c>
      <c r="AZ894" s="52" t="n">
        <f aca="false">IF(CL894&gt;0,CL894*MAX(1,AX894/X894),IF(BW894=1,IF(AX894&lt;=0,0,CA894*MAX(1,IF(H894&gt;0,AX894/H894,1))),IF(R894&gt;0,AY894/R894,0))/MAX(0.1,N(Parameter!$M$21)))</f>
        <v>0.0769230769230769</v>
      </c>
      <c r="BA894" s="50" t="n">
        <f aca="false">AZ894*BY894</f>
        <v>11.9230769230769</v>
      </c>
      <c r="BB894" s="50" t="n">
        <f aca="false">AX894*G894</f>
        <v>185.04</v>
      </c>
      <c r="BC894" s="50" t="n">
        <f aca="false">ROUNDUP(MAX(J894/IF(CD894&gt;0,CD894,MAX(0.1,N(Cockpit!$O$6))),CG894)/BV894,0)*BV894</f>
        <v>400</v>
      </c>
      <c r="BD894" s="51" t="n">
        <f aca="false">IF(BA894&gt;0,J894/BA894,-1)</f>
        <v>0</v>
      </c>
      <c r="BE894" s="51" t="n">
        <f aca="false">IF(AND(OR(CC894="L1",CC894="L23",CC894="LIFT"),BA894&gt;0),SUMIFS($BA$7:$BA$1843,$CC$7:$CC$1843,CC894,$BD$7:$BD$1843,"&gt;"&amp;BD894)+SUMIFS($BA$7:$BA$1843,$CC$7:$CC$1843,CC894,$BD$7:$BD$1843,BD894,$BT$7:$BT$1843,"&lt;="&amp;BT894),"")</f>
        <v>37107.8783499928</v>
      </c>
      <c r="BF894" s="58" t="n">
        <f aca="false">IF(BE894="",0,MAX(0,MIN(1,(IF(CC894="L1",Parameter!$H$5,IF(CC894="L23",Parameter!$H$6+Parameter!$H$7,Parameter!$H$5+Parameter!$H$6+Parameter!$H$7))-(BE894-BA894))/BA894)))</f>
        <v>0</v>
      </c>
      <c r="BG894" s="48" t="str">
        <f aca="false">IF(AI894&lt;=0,"",IF(CC894="Aussen","Aussenlager",IF(CC894="-","Nicht im Lift",IF(AN894&gt;=1,"Lift",IF(AN894&lt;=0,"Aussenlager","teilweise")))))</f>
        <v>Lift</v>
      </c>
      <c r="BH894" s="48" t="str">
        <f aca="false">IF(AR894&lt;=0,"",IF(CC894="Aussen","Aussenlager",IF(CC894="-","Nicht im Lift",IF(AW894&gt;=1,"Lift",IF(AW894&lt;=0,"Aussenlager","teilweise")))))</f>
        <v>Aussenlager</v>
      </c>
      <c r="BI894" s="48" t="str">
        <f aca="false">IF(BA894&lt;=0,"",IF(CC894="Aussen","Aussenlager",IF(CC894="-","Nicht im Lift",IF(BF894&gt;=1,"Lift",IF(BF894&lt;=0,"Aussenlager","teilweise")))))</f>
        <v>Aussenlager</v>
      </c>
      <c r="BJ894" s="48" t="str">
        <f aca="false">IF(A894="","",IF(BS894=1,"Neu; ","")&amp;IF(AND(BS894=0,BN894&lt;0),"negativer Bestand (Export "&amp;BN894&amp;"); ","")&amp;IF(J894&lt;=0,"Kein Verbrauch; ","")&amp;IF(CL894&gt;0,"Lift "&amp;W894&amp;" lt. Liftbericht (Fach "&amp;X894&amp;" Stk); ",IF(BX894=1,"Gebinde geschätzt ("&amp;T894&amp;"); ",IF(BW894=1,"Lose – Tablare geschätzt; ","")))&amp;IF(H894&gt;AT894,"Überbestand "&amp;ROUND(H894-AT894,0)&amp;" Stk / CHF "&amp;ROUND((H894-AT894)*G894,0)&amp;"; ","")&amp;IF(AND(CE894=1,CF894&lt;CG894),"MAX &lt; MB+LG; ","")&amp;IF(AND(CK894&gt;0,CJ894*10&gt;CK894),"zu hoch für Tablar; ","")&amp;IF(AND(BS894=0,OR(CE894=1,AA894&lt;&gt;"",U894&lt;&gt;"",V894&lt;&gt;"",AB894&lt;&gt;"")),"manuell übersteuert; ","")&amp;IF(AND(BW894=0,R894=0),"Gebinde unbekannt / Stellmass fehlt; ","")&amp;IF(AND(BW894=0,N(V894)&lt;=0,N(Q894)&lt;=0),"Menge pro Gebinde fehlt (Ist = 1 Gebinde); ","")&amp;BR894)</f>
        <v>negativer Bestand (Export -129); Kein Verbrauch; Überbestand 371 Stk / CHF 89; Handlager</v>
      </c>
      <c r="BK894" s="48"/>
      <c r="BL894" s="48"/>
      <c r="BM894" s="55"/>
      <c r="BN894" s="50" t="n">
        <v>-129</v>
      </c>
      <c r="BO894" s="50" t="n">
        <v>900</v>
      </c>
      <c r="BP894" s="49" t="n">
        <v>-30.96</v>
      </c>
      <c r="BQ894" s="50" t="n">
        <v>0</v>
      </c>
      <c r="BR894" s="48" t="s">
        <v>899</v>
      </c>
      <c r="BS894" s="53" t="n">
        <v>0</v>
      </c>
      <c r="BT894" s="53" t="n">
        <v>894</v>
      </c>
      <c r="BU894" s="48" t="str">
        <f aca="false">IF(U894&lt;&gt;"",UPPER(TRIM(U894)),IF(BX894=1,UPPER(VLOOKUP(T894,Parameter!$I$27:$K$29,2,0)),IF(P894="","LOSE",P894)))</f>
        <v>S51</v>
      </c>
      <c r="BV894" s="50" t="n">
        <f aca="false">IF(BU894="LOSE",1,IF(N(V894)&gt;0,V894,IF(BX894=1,MAX(1,N(VLOOKUP(T894,Parameter!$I$27:$K$29,3,0)),H894,N(N894)),IF(N(Q894)&gt;0,Q894,MAX(1,H894)))))</f>
        <v>400</v>
      </c>
      <c r="BW894" s="53" t="n">
        <f aca="false">IF(BU894="LOSE",1,0)</f>
        <v>0</v>
      </c>
      <c r="BX894" s="53" t="n">
        <f aca="false">IF(AND(U894="",OR(P894="",P894="LOSE"),T894&lt;&gt;"",N(S894)&lt;=0,ISNUMBER(MATCH(T894,Parameter!$I$27:$I$29,0))),1,0)</f>
        <v>0</v>
      </c>
      <c r="BY894" s="53" t="n">
        <f aca="false">IF(CL894&gt;0,INDEX(Parameter!$H$5:$H$7,W894)/INDEX(Parameter!$E$5:$E$7,W894),IF(AND(BW894=0,N(IFERROR(VLOOKUP(BU894,'Gebinde-Kategorie'!$A$5:$N$45,14,0),0))&gt;0),VLOOKUP(BU894,'Gebinde-Kategorie'!$A$5:$N$45,14,0)*10+Parameter!$M$23,Parameter!$M$24))</f>
        <v>155</v>
      </c>
      <c r="BZ894" s="48" t="str">
        <f aca="false">IF(AND(Parameter!$B$19="Ja",E894&lt;&gt;"",ISNUMBER(MATCH(E894,Parameter!$I$35:$I$52,0))),VLOOKUP(E894,Parameter!$I$35:$J$52,2,0),IFERROR(VLOOKUP(D894,Parameter!$A$35:$C$64,2,0),"Nein"))</f>
        <v>2+3</v>
      </c>
      <c r="CA894" s="52" t="n">
        <f aca="false">IF(BW894=0,0,IF(N(S894)&gt;0,S894,IFERROR(VLOOKUP(D894,Parameter!$A$35:$C$64,3,0)+0,0)))</f>
        <v>0</v>
      </c>
      <c r="CB894" s="48" t="n">
        <f aca="false">IF(AA894&lt;&gt;"",AA894,Z894)</f>
        <v>3</v>
      </c>
      <c r="CC894" s="48" t="str">
        <f aca="false">IF(OR(CB894=1,CB894=2,CB894=3),IF(Parameter!$E$27="Ja","LIFT",IF(CB894=1,"L1","L23")),IF(CB894="Aussen","Aussen","-"))</f>
        <v>LIFT</v>
      </c>
      <c r="CD894" s="59" t="n">
        <f aca="false">IF(N(AB894)&gt;0,AB894,0)</f>
        <v>0</v>
      </c>
      <c r="CE894" s="53" t="n">
        <f aca="false">IF(ISNUMBER(AE894),1,0)</f>
        <v>0</v>
      </c>
      <c r="CF894" s="50" t="n">
        <f aca="false">N(AE894)</f>
        <v>0</v>
      </c>
      <c r="CG894" s="50" t="n">
        <f aca="false">N(M894)+N(N894)</f>
        <v>2</v>
      </c>
      <c r="CH894" s="50" t="n">
        <f aca="false">ROUNDUP(H894/BV894,0)</f>
        <v>2</v>
      </c>
      <c r="CI894" s="50" t="n">
        <f aca="false">ROUNDUP(CF894/BV894,0)</f>
        <v>0</v>
      </c>
      <c r="CJ894" s="53" t="n">
        <f aca="false">IF(BW894=1,0,IFERROR(VLOOKUP(BU894,'Gebinde-Kategorie'!$A$5:$N$45,5,0)+0,0))</f>
        <v>11</v>
      </c>
      <c r="CK894" s="53" t="n">
        <f aca="false">IFERROR(IF(OR(CB894=1,CB894=2,CB894=3),N(INDEX(Parameter!$I$5:$I$7,CB894)),0),0)</f>
        <v>0</v>
      </c>
      <c r="CL894" s="52" t="n">
        <f aca="false">IF(AND(Parameter!$B$21="Ja",ISNUMBER(W894),N(X894)&gt;0),IFERROR(N(INDEX(Parameter!$L$5:$L$7,W894))*INDEX(Parameter!$E$5:$E$7,W894)*X894/SUMIFS($X$7:$X$1843,$W$7:$W$1843,W894),0),0)</f>
        <v>0</v>
      </c>
    </row>
    <row r="895" customFormat="false" ht="15" hidden="false" customHeight="false" outlineLevel="0" collapsed="false">
      <c r="A895" s="48" t="s">
        <v>1692</v>
      </c>
      <c r="B895" s="48" t="s">
        <v>472</v>
      </c>
      <c r="C895" s="48" t="s">
        <v>168</v>
      </c>
      <c r="D895" s="48" t="s">
        <v>188</v>
      </c>
      <c r="E895" s="48" t="s">
        <v>189</v>
      </c>
      <c r="F895" s="48" t="s">
        <v>222</v>
      </c>
      <c r="G895" s="49" t="n">
        <v>0.11</v>
      </c>
      <c r="H895" s="50" t="n">
        <f aca="false">MAX(0,IF(AND(Parameter!$B$21="Ja",ISNUMBER(Y895)),Y895,IF(Parameter!$B$20="Jahresanfang 2025 + Export",BO895+BN895,BN895)))</f>
        <v>203</v>
      </c>
      <c r="I895" s="50" t="n">
        <f aca="false">H895*G895</f>
        <v>22.33</v>
      </c>
      <c r="J895" s="50" t="n">
        <f aca="false">BQ895*Parameter!$B$18</f>
        <v>524</v>
      </c>
      <c r="K895" s="51" t="n">
        <v>485.5</v>
      </c>
      <c r="L895" s="52" t="n">
        <v>1.07929969104017</v>
      </c>
      <c r="M895" s="50" t="n">
        <v>20</v>
      </c>
      <c r="N895" s="50" t="n">
        <v>525</v>
      </c>
      <c r="O895" s="53" t="n">
        <v>14</v>
      </c>
      <c r="P895" s="48" t="s">
        <v>425</v>
      </c>
      <c r="Q895" s="50" t="n">
        <v>831</v>
      </c>
      <c r="R895" s="53" t="n">
        <f aca="false">IF(BW895=1,0,IFERROR(VLOOKUP(BU895,'Gebinde-Kategorie'!$A$5:$N$45,13,0)+0,0))</f>
        <v>104</v>
      </c>
      <c r="S895" s="54"/>
      <c r="T895" s="55"/>
      <c r="U895" s="55"/>
      <c r="V895" s="55"/>
      <c r="W895" s="48"/>
      <c r="X895" s="50"/>
      <c r="Y895" s="50"/>
      <c r="Z895" s="48" t="n">
        <f aca="false">IF(A895="","",IF(AND(Parameter!$B$21="Ja",ISNUMBER(W895)),W895,IF(BZ895="2+3",IF(ISNUMBER(SEARCH("grosser Artikel",BR895)),2,IFERROR(VLOOKUP(BU895,Parameter!$F$35:$G$64,2,0),2)),IF(OR(BZ895="Nein",BZ895=""),"-",BZ895))))</f>
        <v>3</v>
      </c>
      <c r="AA895" s="55"/>
      <c r="AB895" s="56"/>
      <c r="AC895" s="50" t="n">
        <f aca="false">AT895</f>
        <v>831</v>
      </c>
      <c r="AD895" s="50" t="n">
        <f aca="false">MAX(AT895,H895)</f>
        <v>831</v>
      </c>
      <c r="AE895" s="57"/>
      <c r="AF895" s="50" t="n">
        <f aca="false">IF(LEFT(Cockpit!$C$5,1)="A",H895,IF(CE895=1,CF895,IF(LEFT(Cockpit!$C$5,1)="B",AK895,MAX(AK895,H895))))</f>
        <v>203</v>
      </c>
      <c r="AG895" s="50" t="n">
        <f aca="false">IF(BW895=1,0,ROUNDUP(AF895/BV895,0))</f>
        <v>1</v>
      </c>
      <c r="AH895" s="52" t="n">
        <f aca="false">IF(CL895&gt;0,CL895*MAX(1,AF895/X895),IF(BW895=1,IF(AF895&lt;=0,0,CA895*MAX(1,IF(H895&gt;0,AF895/H895,1))),IF(R895&gt;0,AG895/R895,0))/MAX(0.1,N(Parameter!$M$21)))</f>
        <v>0.00961538461538462</v>
      </c>
      <c r="AI895" s="50" t="n">
        <f aca="false">AH895*BY895</f>
        <v>1.49038461538462</v>
      </c>
      <c r="AJ895" s="50" t="n">
        <f aca="false">AF895*G895</f>
        <v>22.33</v>
      </c>
      <c r="AK895" s="50" t="n">
        <f aca="false">ROUNDUP(MAX(J895/IF(CD895&gt;0,CD895,MAX(0.1,N(Cockpit!$C$6))),CG895)/BV895,0)*BV895</f>
        <v>831</v>
      </c>
      <c r="AL895" s="51" t="n">
        <f aca="false">IF(AI895&gt;0,J895/AI895,-1)</f>
        <v>351.587096774194</v>
      </c>
      <c r="AM895" s="51" t="n">
        <f aca="false">IF(AND(OR(CC895="L1",CC895="L23",CC895="LIFT"),AI895&gt;0),SUMIFS($AI$7:$AI$1843,$CC$7:$CC$1843,CC895,$AL$7:$AL$1843,"&gt;"&amp;AL895)+SUMIFS($AI$7:$AI$1843,$CC$7:$CC$1843,CC895,$AL$7:$AL$1843,AL895,$BT$7:$BT$1843,"&lt;="&amp;BT895),"")</f>
        <v>219.362637362637</v>
      </c>
      <c r="AN895" s="58" t="n">
        <f aca="false">IF(AM895="",0,MAX(0,MIN(1,(IF(CC895="L1",Parameter!$H$5,IF(CC895="L23",Parameter!$H$6+Parameter!$H$7,Parameter!$H$5+Parameter!$H$6+Parameter!$H$7))-(AM895-AI895))/AI895)))</f>
        <v>1</v>
      </c>
      <c r="AO895" s="50" t="n">
        <f aca="false">IF(LEFT(Cockpit!$I$5,1)="A",H895,IF(CE895=1,CF895,IF(LEFT(Cockpit!$I$5,1)="B",AT895,MAX(AT895,H895))))</f>
        <v>831</v>
      </c>
      <c r="AP895" s="50" t="n">
        <f aca="false">IF(BW895=1,0,ROUNDUP(AO895/BV895,0))</f>
        <v>1</v>
      </c>
      <c r="AQ895" s="52" t="n">
        <f aca="false">IF(CL895&gt;0,CL895*MAX(1,AO895/X895),IF(BW895=1,IF(AO895&lt;=0,0,CA895*MAX(1,IF(H895&gt;0,AO895/H895,1))),IF(R895&gt;0,AP895/R895,0))/MAX(0.1,N(Parameter!$M$21)))</f>
        <v>0.00961538461538462</v>
      </c>
      <c r="AR895" s="50" t="n">
        <f aca="false">AQ895*BY895</f>
        <v>1.49038461538462</v>
      </c>
      <c r="AS895" s="50" t="n">
        <f aca="false">AO895*G895</f>
        <v>91.41</v>
      </c>
      <c r="AT895" s="50" t="n">
        <f aca="false">ROUNDUP(MAX(J895/IF(CD895&gt;0,CD895,MAX(0.1,N(Cockpit!$I$6))),CG895)/BV895,0)*BV895</f>
        <v>831</v>
      </c>
      <c r="AU895" s="51" t="n">
        <f aca="false">IF(AR895&gt;0,J895/AR895,-1)</f>
        <v>351.587096774194</v>
      </c>
      <c r="AV895" s="51" t="n">
        <f aca="false">IF(AND(OR(CC895="L1",CC895="L23",CC895="LIFT"),AR895&gt;0),SUMIFS($AR$7:$AR$1843,$CC$7:$CC$1843,CC895,$AU$7:$AU$1843,"&gt;"&amp;AU895)+SUMIFS($AR$7:$AR$1843,$CC$7:$CC$1843,CC895,$AU$7:$AU$1843,AU895,$BT$7:$BT$1843,"&lt;="&amp;BT895),"")</f>
        <v>142.975732600733</v>
      </c>
      <c r="AW895" s="58" t="n">
        <f aca="false">IF(AV895="",0,MAX(0,MIN(1,(IF(CC895="L1",Parameter!$H$5,IF(CC895="L23",Parameter!$H$6+Parameter!$H$7,Parameter!$H$5+Parameter!$H$6+Parameter!$H$7))-(AV895-AR895))/AR895)))</f>
        <v>1</v>
      </c>
      <c r="AX895" s="50" t="n">
        <f aca="false">IF(LEFT(Cockpit!$O$5,1)="A",H895,IF(CE895=1,CF895,IF(LEFT(Cockpit!$O$5,1)="B",BC895,MAX(BC895,H895))))</f>
        <v>831</v>
      </c>
      <c r="AY895" s="50" t="n">
        <f aca="false">IF(BW895=1,0,ROUNDUP(AX895/BV895,0))</f>
        <v>1</v>
      </c>
      <c r="AZ895" s="52" t="n">
        <f aca="false">IF(CL895&gt;0,CL895*MAX(1,AX895/X895),IF(BW895=1,IF(AX895&lt;=0,0,CA895*MAX(1,IF(H895&gt;0,AX895/H895,1))),IF(R895&gt;0,AY895/R895,0))/MAX(0.1,N(Parameter!$M$21)))</f>
        <v>0.00961538461538462</v>
      </c>
      <c r="BA895" s="50" t="n">
        <f aca="false">AZ895*BY895</f>
        <v>1.49038461538462</v>
      </c>
      <c r="BB895" s="50" t="n">
        <f aca="false">AX895*G895</f>
        <v>91.41</v>
      </c>
      <c r="BC895" s="50" t="n">
        <f aca="false">ROUNDUP(MAX(J895/IF(CD895&gt;0,CD895,MAX(0.1,N(Cockpit!$O$6))),CG895)/BV895,0)*BV895</f>
        <v>831</v>
      </c>
      <c r="BD895" s="51" t="n">
        <f aca="false">IF(BA895&gt;0,J895/BA895,-1)</f>
        <v>351.587096774194</v>
      </c>
      <c r="BE895" s="51" t="n">
        <f aca="false">IF(AND(OR(CC895="L1",CC895="L23",CC895="LIFT"),BA895&gt;0),SUMIFS($BA$7:$BA$1843,$CC$7:$CC$1843,CC895,$BD$7:$BD$1843,"&gt;"&amp;BD895)+SUMIFS($BA$7:$BA$1843,$CC$7:$CC$1843,CC895,$BD$7:$BD$1843,BD895,$BT$7:$BT$1843,"&lt;="&amp;BT895),"")</f>
        <v>137.014194139194</v>
      </c>
      <c r="BF895" s="58" t="n">
        <f aca="false">IF(BE895="",0,MAX(0,MIN(1,(IF(CC895="L1",Parameter!$H$5,IF(CC895="L23",Parameter!$H$6+Parameter!$H$7,Parameter!$H$5+Parameter!$H$6+Parameter!$H$7))-(BE895-BA895))/BA895)))</f>
        <v>1</v>
      </c>
      <c r="BG895" s="48" t="str">
        <f aca="false">IF(AI895&lt;=0,"",IF(CC895="Aussen","Aussenlager",IF(CC895="-","Nicht im Lift",IF(AN895&gt;=1,"Lift",IF(AN895&lt;=0,"Aussenlager","teilweise")))))</f>
        <v>Lift</v>
      </c>
      <c r="BH895" s="48" t="str">
        <f aca="false">IF(AR895&lt;=0,"",IF(CC895="Aussen","Aussenlager",IF(CC895="-","Nicht im Lift",IF(AW895&gt;=1,"Lift",IF(AW895&lt;=0,"Aussenlager","teilweise")))))</f>
        <v>Lift</v>
      </c>
      <c r="BI895" s="48" t="str">
        <f aca="false">IF(BA895&lt;=0,"",IF(CC895="Aussen","Aussenlager",IF(CC895="-","Nicht im Lift",IF(BF895&gt;=1,"Lift",IF(BF895&lt;=0,"Aussenlager","teilweise")))))</f>
        <v>Lift</v>
      </c>
      <c r="BJ895" s="48" t="str">
        <f aca="false">IF(A895="","",IF(BS895=1,"Neu; ","")&amp;IF(AND(BS895=0,BN895&lt;0),"negativer Bestand (Export "&amp;BN895&amp;"); ","")&amp;IF(J895&lt;=0,"Kein Verbrauch; ","")&amp;IF(CL895&gt;0,"Lift "&amp;W895&amp;" lt. Liftbericht (Fach "&amp;X895&amp;" Stk); ",IF(BX895=1,"Gebinde geschätzt ("&amp;T895&amp;"); ",IF(BW895=1,"Lose – Tablare geschätzt; ","")))&amp;IF(H895&gt;AT895,"Überbestand "&amp;ROUND(H895-AT895,0)&amp;" Stk / CHF "&amp;ROUND((H895-AT895)*G895,0)&amp;"; ","")&amp;IF(AND(CE895=1,CF895&lt;CG895),"MAX &lt; MB+LG; ","")&amp;IF(AND(CK895&gt;0,CJ895*10&gt;CK895),"zu hoch für Tablar; ","")&amp;IF(AND(BS895=0,OR(CE895=1,AA895&lt;&gt;"",U895&lt;&gt;"",V895&lt;&gt;"",AB895&lt;&gt;"")),"manuell übersteuert; ","")&amp;IF(AND(BW895=0,R895=0),"Gebinde unbekannt / Stellmass fehlt; ","")&amp;IF(AND(BW895=0,N(V895)&lt;=0,N(Q895)&lt;=0),"Menge pro Gebinde fehlt (Ist = 1 Gebinde); ","")&amp;BR895)</f>
        <v>negativer Bestand (Export -282); </v>
      </c>
      <c r="BK895" s="48"/>
      <c r="BL895" s="48"/>
      <c r="BM895" s="55"/>
      <c r="BN895" s="50" t="n">
        <v>-282</v>
      </c>
      <c r="BO895" s="50" t="n">
        <v>485</v>
      </c>
      <c r="BP895" s="49" t="n">
        <v>-31.0200000000001</v>
      </c>
      <c r="BQ895" s="50" t="n">
        <v>524</v>
      </c>
      <c r="BR895" s="48"/>
      <c r="BS895" s="53" t="n">
        <v>0</v>
      </c>
      <c r="BT895" s="53" t="n">
        <v>895</v>
      </c>
      <c r="BU895" s="48" t="str">
        <f aca="false">IF(U895&lt;&gt;"",UPPER(TRIM(U895)),IF(BX895=1,UPPER(VLOOKUP(T895,Parameter!$I$27:$K$29,2,0)),IF(P895="","LOSE",P895)))</f>
        <v>S32</v>
      </c>
      <c r="BV895" s="50" t="n">
        <f aca="false">IF(BU895="LOSE",1,IF(N(V895)&gt;0,V895,IF(BX895=1,MAX(1,N(VLOOKUP(T895,Parameter!$I$27:$K$29,3,0)),H895,N(N895)),IF(N(Q895)&gt;0,Q895,MAX(1,H895)))))</f>
        <v>831</v>
      </c>
      <c r="BW895" s="53" t="n">
        <f aca="false">IF(BU895="LOSE",1,0)</f>
        <v>0</v>
      </c>
      <c r="BX895" s="53" t="n">
        <f aca="false">IF(AND(U895="",OR(P895="",P895="LOSE"),T895&lt;&gt;"",N(S895)&lt;=0,ISNUMBER(MATCH(T895,Parameter!$I$27:$I$29,0))),1,0)</f>
        <v>0</v>
      </c>
      <c r="BY895" s="53" t="n">
        <f aca="false">IF(CL895&gt;0,INDEX(Parameter!$H$5:$H$7,W895)/INDEX(Parameter!$E$5:$E$7,W895),IF(AND(BW895=0,N(IFERROR(VLOOKUP(BU895,'Gebinde-Kategorie'!$A$5:$N$45,14,0),0))&gt;0),VLOOKUP(BU895,'Gebinde-Kategorie'!$A$5:$N$45,14,0)*10+Parameter!$M$23,Parameter!$M$24))</f>
        <v>155</v>
      </c>
      <c r="BZ895" s="48" t="str">
        <f aca="false">IF(AND(Parameter!$B$19="Ja",E895&lt;&gt;"",ISNUMBER(MATCH(E895,Parameter!$I$35:$I$52,0))),VLOOKUP(E895,Parameter!$I$35:$J$52,2,0),IFERROR(VLOOKUP(D895,Parameter!$A$35:$C$64,2,0),"Nein"))</f>
        <v>2+3</v>
      </c>
      <c r="CA895" s="52" t="n">
        <f aca="false">IF(BW895=0,0,IF(N(S895)&gt;0,S895,IFERROR(VLOOKUP(D895,Parameter!$A$35:$C$64,3,0)+0,0)))</f>
        <v>0</v>
      </c>
      <c r="CB895" s="48" t="n">
        <f aca="false">IF(AA895&lt;&gt;"",AA895,Z895)</f>
        <v>3</v>
      </c>
      <c r="CC895" s="48" t="str">
        <f aca="false">IF(OR(CB895=1,CB895=2,CB895=3),IF(Parameter!$E$27="Ja","LIFT",IF(CB895=1,"L1","L23")),IF(CB895="Aussen","Aussen","-"))</f>
        <v>LIFT</v>
      </c>
      <c r="CD895" s="59" t="n">
        <f aca="false">IF(N(AB895)&gt;0,AB895,0)</f>
        <v>0</v>
      </c>
      <c r="CE895" s="53" t="n">
        <f aca="false">IF(ISNUMBER(AE895),1,0)</f>
        <v>0</v>
      </c>
      <c r="CF895" s="50" t="n">
        <f aca="false">N(AE895)</f>
        <v>0</v>
      </c>
      <c r="CG895" s="50" t="n">
        <f aca="false">N(M895)+N(N895)</f>
        <v>545</v>
      </c>
      <c r="CH895" s="50" t="n">
        <f aca="false">ROUNDUP(H895/BV895,0)</f>
        <v>1</v>
      </c>
      <c r="CI895" s="50" t="n">
        <f aca="false">ROUNDUP(CF895/BV895,0)</f>
        <v>0</v>
      </c>
      <c r="CJ895" s="53" t="n">
        <f aca="false">IF(BW895=1,0,IFERROR(VLOOKUP(BU895,'Gebinde-Kategorie'!$A$5:$N$45,5,0)+0,0))</f>
        <v>8</v>
      </c>
      <c r="CK895" s="53" t="n">
        <f aca="false">IFERROR(IF(OR(CB895=1,CB895=2,CB895=3),N(INDEX(Parameter!$I$5:$I$7,CB895)),0),0)</f>
        <v>0</v>
      </c>
      <c r="CL895" s="52" t="n">
        <f aca="false">IF(AND(Parameter!$B$21="Ja",ISNUMBER(W895),N(X895)&gt;0),IFERROR(N(INDEX(Parameter!$L$5:$L$7,W895))*INDEX(Parameter!$E$5:$E$7,W895)*X895/SUMIFS($X$7:$X$1843,$W$7:$W$1843,W895),0),0)</f>
        <v>0</v>
      </c>
    </row>
    <row r="896" customFormat="false" ht="15" hidden="false" customHeight="false" outlineLevel="0" collapsed="false">
      <c r="A896" s="48" t="s">
        <v>1693</v>
      </c>
      <c r="B896" s="48" t="s">
        <v>728</v>
      </c>
      <c r="C896" s="48" t="s">
        <v>168</v>
      </c>
      <c r="D896" s="48" t="s">
        <v>188</v>
      </c>
      <c r="E896" s="48" t="s">
        <v>189</v>
      </c>
      <c r="F896" s="48" t="s">
        <v>222</v>
      </c>
      <c r="G896" s="49" t="n">
        <v>13.68</v>
      </c>
      <c r="H896" s="50" t="n">
        <f aca="false">MAX(0,IF(AND(Parameter!$B$21="Ja",ISNUMBER(Y896)),Y896,IF(Parameter!$B$20="Jahresanfang 2025 + Export",BO896+BN896,BN896)))</f>
        <v>6</v>
      </c>
      <c r="I896" s="50" t="n">
        <f aca="false">H896*G896</f>
        <v>82.08</v>
      </c>
      <c r="J896" s="50" t="n">
        <f aca="false">BQ896*Parameter!$B$18</f>
        <v>9</v>
      </c>
      <c r="K896" s="51" t="n">
        <v>7</v>
      </c>
      <c r="L896" s="52" t="n">
        <v>1.28571428571429</v>
      </c>
      <c r="M896" s="50" t="n">
        <v>0</v>
      </c>
      <c r="N896" s="50" t="n">
        <v>10</v>
      </c>
      <c r="O896" s="53" t="n">
        <v>19</v>
      </c>
      <c r="P896" s="48" t="s">
        <v>425</v>
      </c>
      <c r="Q896" s="50" t="n">
        <v>18</v>
      </c>
      <c r="R896" s="53" t="n">
        <f aca="false">IF(BW896=1,0,IFERROR(VLOOKUP(BU896,'Gebinde-Kategorie'!$A$5:$N$45,13,0)+0,0))</f>
        <v>104</v>
      </c>
      <c r="S896" s="54"/>
      <c r="T896" s="55"/>
      <c r="U896" s="55"/>
      <c r="V896" s="55"/>
      <c r="W896" s="48"/>
      <c r="X896" s="50"/>
      <c r="Y896" s="50"/>
      <c r="Z896" s="48" t="n">
        <f aca="false">IF(A896="","",IF(AND(Parameter!$B$21="Ja",ISNUMBER(W896)),W896,IF(BZ896="2+3",IF(ISNUMBER(SEARCH("grosser Artikel",BR896)),2,IFERROR(VLOOKUP(BU896,Parameter!$F$35:$G$64,2,0),2)),IF(OR(BZ896="Nein",BZ896=""),"-",BZ896))))</f>
        <v>3</v>
      </c>
      <c r="AA896" s="55"/>
      <c r="AB896" s="56"/>
      <c r="AC896" s="50" t="n">
        <f aca="false">AT896</f>
        <v>18</v>
      </c>
      <c r="AD896" s="50" t="n">
        <f aca="false">MAX(AT896,H896)</f>
        <v>18</v>
      </c>
      <c r="AE896" s="57"/>
      <c r="AF896" s="50" t="n">
        <f aca="false">IF(LEFT(Cockpit!$C$5,1)="A",H896,IF(CE896=1,CF896,IF(LEFT(Cockpit!$C$5,1)="B",AK896,MAX(AK896,H896))))</f>
        <v>6</v>
      </c>
      <c r="AG896" s="50" t="n">
        <f aca="false">IF(BW896=1,0,ROUNDUP(AF896/BV896,0))</f>
        <v>1</v>
      </c>
      <c r="AH896" s="52" t="n">
        <f aca="false">IF(CL896&gt;0,CL896*MAX(1,AF896/X896),IF(BW896=1,IF(AF896&lt;=0,0,CA896*MAX(1,IF(H896&gt;0,AF896/H896,1))),IF(R896&gt;0,AG896/R896,0))/MAX(0.1,N(Parameter!$M$21)))</f>
        <v>0.00961538461538462</v>
      </c>
      <c r="AI896" s="50" t="n">
        <f aca="false">AH896*BY896</f>
        <v>1.49038461538462</v>
      </c>
      <c r="AJ896" s="50" t="n">
        <f aca="false">AF896*G896</f>
        <v>82.08</v>
      </c>
      <c r="AK896" s="50" t="n">
        <f aca="false">ROUNDUP(MAX(J896/IF(CD896&gt;0,CD896,MAX(0.1,N(Cockpit!$C$6))),CG896)/BV896,0)*BV896</f>
        <v>18</v>
      </c>
      <c r="AL896" s="51" t="n">
        <f aca="false">IF(AI896&gt;0,J896/AI896,-1)</f>
        <v>6.03870967741935</v>
      </c>
      <c r="AM896" s="51" t="n">
        <f aca="false">IF(AND(OR(CC896="L1",CC896="L23",CC896="LIFT"),AI896&gt;0),SUMIFS($AI$7:$AI$1843,$CC$7:$CC$1843,CC896,$AL$7:$AL$1843,"&gt;"&amp;AL896)+SUMIFS($AI$7:$AI$1843,$CC$7:$CC$1843,CC896,$AL$7:$AL$1843,AL896,$BT$7:$BT$1843,"&lt;="&amp;BT896),"")</f>
        <v>3513.48763736264</v>
      </c>
      <c r="AN896" s="58" t="n">
        <f aca="false">IF(AM896="",0,MAX(0,MIN(1,(IF(CC896="L1",Parameter!$H$5,IF(CC896="L23",Parameter!$H$6+Parameter!$H$7,Parameter!$H$5+Parameter!$H$6+Parameter!$H$7))-(AM896-AI896))/AI896)))</f>
        <v>1</v>
      </c>
      <c r="AO896" s="50" t="n">
        <f aca="false">IF(LEFT(Cockpit!$I$5,1)="A",H896,IF(CE896=1,CF896,IF(LEFT(Cockpit!$I$5,1)="B",AT896,MAX(AT896,H896))))</f>
        <v>18</v>
      </c>
      <c r="AP896" s="50" t="n">
        <f aca="false">IF(BW896=1,0,ROUNDUP(AO896/BV896,0))</f>
        <v>1</v>
      </c>
      <c r="AQ896" s="52" t="n">
        <f aca="false">IF(CL896&gt;0,CL896*MAX(1,AO896/X896),IF(BW896=1,IF(AO896&lt;=0,0,CA896*MAX(1,IF(H896&gt;0,AO896/H896,1))),IF(R896&gt;0,AP896/R896,0))/MAX(0.1,N(Parameter!$M$21)))</f>
        <v>0.00961538461538462</v>
      </c>
      <c r="AR896" s="50" t="n">
        <f aca="false">AQ896*BY896</f>
        <v>1.49038461538462</v>
      </c>
      <c r="AS896" s="50" t="n">
        <f aca="false">AO896*G896</f>
        <v>246.24</v>
      </c>
      <c r="AT896" s="50" t="n">
        <f aca="false">ROUNDUP(MAX(J896/IF(CD896&gt;0,CD896,MAX(0.1,N(Cockpit!$I$6))),CG896)/BV896,0)*BV896</f>
        <v>18</v>
      </c>
      <c r="AU896" s="51" t="n">
        <f aca="false">IF(AR896&gt;0,J896/AR896,-1)</f>
        <v>6.03870967741935</v>
      </c>
      <c r="AV896" s="51" t="n">
        <f aca="false">IF(AND(OR(CC896="L1",CC896="L23",CC896="LIFT"),AR896&gt;0),SUMIFS($AR$7:$AR$1843,$CC$7:$CC$1843,CC896,$AU$7:$AU$1843,"&gt;"&amp;AU896)+SUMIFS($AR$7:$AR$1843,$CC$7:$CC$1843,CC896,$AU$7:$AU$1843,AU896,$BT$7:$BT$1843,"&lt;="&amp;BT896),"")</f>
        <v>4612.79899267399</v>
      </c>
      <c r="AW896" s="58" t="n">
        <f aca="false">IF(AV896="",0,MAX(0,MIN(1,(IF(CC896="L1",Parameter!$H$5,IF(CC896="L23",Parameter!$H$6+Parameter!$H$7,Parameter!$H$5+Parameter!$H$6+Parameter!$H$7))-(AV896-AR896))/AR896)))</f>
        <v>1</v>
      </c>
      <c r="AX896" s="50" t="n">
        <f aca="false">IF(LEFT(Cockpit!$O$5,1)="A",H896,IF(CE896=1,CF896,IF(LEFT(Cockpit!$O$5,1)="B",BC896,MAX(BC896,H896))))</f>
        <v>18</v>
      </c>
      <c r="AY896" s="50" t="n">
        <f aca="false">IF(BW896=1,0,ROUNDUP(AX896/BV896,0))</f>
        <v>1</v>
      </c>
      <c r="AZ896" s="52" t="n">
        <f aca="false">IF(CL896&gt;0,CL896*MAX(1,AX896/X896),IF(BW896=1,IF(AX896&lt;=0,0,CA896*MAX(1,IF(H896&gt;0,AX896/H896,1))),IF(R896&gt;0,AY896/R896,0))/MAX(0.1,N(Parameter!$M$21)))</f>
        <v>0.00961538461538462</v>
      </c>
      <c r="BA896" s="50" t="n">
        <f aca="false">AZ896*BY896</f>
        <v>1.49038461538462</v>
      </c>
      <c r="BB896" s="50" t="n">
        <f aca="false">AX896*G896</f>
        <v>246.24</v>
      </c>
      <c r="BC896" s="50" t="n">
        <f aca="false">ROUNDUP(MAX(J896/IF(CD896&gt;0,CD896,MAX(0.1,N(Cockpit!$O$6))),CG896)/BV896,0)*BV896</f>
        <v>18</v>
      </c>
      <c r="BD896" s="51" t="n">
        <f aca="false">IF(BA896&gt;0,J896/BA896,-1)</f>
        <v>6.03870967741935</v>
      </c>
      <c r="BE896" s="51" t="n">
        <f aca="false">IF(AND(OR(CC896="L1",CC896="L23",CC896="LIFT"),BA896&gt;0),SUMIFS($BA$7:$BA$1843,$CC$7:$CC$1843,CC896,$BD$7:$BD$1843,"&gt;"&amp;BD896)+SUMIFS($BA$7:$BA$1843,$CC$7:$CC$1843,CC896,$BD$7:$BD$1843,BD896,$BT$7:$BT$1843,"&lt;="&amp;BT896),"")</f>
        <v>4404.09706959707</v>
      </c>
      <c r="BF896" s="58" t="n">
        <f aca="false">IF(BE896="",0,MAX(0,MIN(1,(IF(CC896="L1",Parameter!$H$5,IF(CC896="L23",Parameter!$H$6+Parameter!$H$7,Parameter!$H$5+Parameter!$H$6+Parameter!$H$7))-(BE896-BA896))/BA896)))</f>
        <v>1</v>
      </c>
      <c r="BG896" s="48" t="str">
        <f aca="false">IF(AI896&lt;=0,"",IF(CC896="Aussen","Aussenlager",IF(CC896="-","Nicht im Lift",IF(AN896&gt;=1,"Lift",IF(AN896&lt;=0,"Aussenlager","teilweise")))))</f>
        <v>Lift</v>
      </c>
      <c r="BH896" s="48" t="str">
        <f aca="false">IF(AR896&lt;=0,"",IF(CC896="Aussen","Aussenlager",IF(CC896="-","Nicht im Lift",IF(AW896&gt;=1,"Lift",IF(AW896&lt;=0,"Aussenlager","teilweise")))))</f>
        <v>Lift</v>
      </c>
      <c r="BI896" s="48" t="str">
        <f aca="false">IF(BA896&lt;=0,"",IF(CC896="Aussen","Aussenlager",IF(CC896="-","Nicht im Lift",IF(BF896&gt;=1,"Lift",IF(BF896&lt;=0,"Aussenlager","teilweise")))))</f>
        <v>Lift</v>
      </c>
      <c r="BJ896" s="48" t="str">
        <f aca="false">IF(A896="","",IF(BS896=1,"Neu; ","")&amp;IF(AND(BS896=0,BN896&lt;0),"negativer Bestand (Export "&amp;BN896&amp;"); ","")&amp;IF(J896&lt;=0,"Kein Verbrauch; ","")&amp;IF(CL896&gt;0,"Lift "&amp;W896&amp;" lt. Liftbericht (Fach "&amp;X896&amp;" Stk); ",IF(BX896=1,"Gebinde geschätzt ("&amp;T896&amp;"); ",IF(BW896=1,"Lose – Tablare geschätzt; ","")))&amp;IF(H896&gt;AT896,"Überbestand "&amp;ROUND(H896-AT896,0)&amp;" Stk / CHF "&amp;ROUND((H896-AT896)*G896,0)&amp;"; ","")&amp;IF(AND(CE896=1,CF896&lt;CG896),"MAX &lt; MB+LG; ","")&amp;IF(AND(CK896&gt;0,CJ896*10&gt;CK896),"zu hoch für Tablar; ","")&amp;IF(AND(BS896=0,OR(CE896=1,AA896&lt;&gt;"",U896&lt;&gt;"",V896&lt;&gt;"",AB896&lt;&gt;"")),"manuell übersteuert; ","")&amp;IF(AND(BW896=0,R896=0),"Gebinde unbekannt / Stellmass fehlt; ","")&amp;IF(AND(BW896=0,N(V896)&lt;=0,N(Q896)&lt;=0),"Menge pro Gebinde fehlt (Ist = 1 Gebinde); ","")&amp;BR896)</f>
        <v>negativer Bestand (Export -1); </v>
      </c>
      <c r="BK896" s="48"/>
      <c r="BL896" s="48"/>
      <c r="BM896" s="55"/>
      <c r="BN896" s="50" t="n">
        <v>-1</v>
      </c>
      <c r="BO896" s="50" t="n">
        <v>7</v>
      </c>
      <c r="BP896" s="49" t="n">
        <v>-31.74</v>
      </c>
      <c r="BQ896" s="50" t="n">
        <v>9</v>
      </c>
      <c r="BR896" s="48"/>
      <c r="BS896" s="53" t="n">
        <v>0</v>
      </c>
      <c r="BT896" s="53" t="n">
        <v>896</v>
      </c>
      <c r="BU896" s="48" t="str">
        <f aca="false">IF(U896&lt;&gt;"",UPPER(TRIM(U896)),IF(BX896=1,UPPER(VLOOKUP(T896,Parameter!$I$27:$K$29,2,0)),IF(P896="","LOSE",P896)))</f>
        <v>S32</v>
      </c>
      <c r="BV896" s="50" t="n">
        <f aca="false">IF(BU896="LOSE",1,IF(N(V896)&gt;0,V896,IF(BX896=1,MAX(1,N(VLOOKUP(T896,Parameter!$I$27:$K$29,3,0)),H896,N(N896)),IF(N(Q896)&gt;0,Q896,MAX(1,H896)))))</f>
        <v>18</v>
      </c>
      <c r="BW896" s="53" t="n">
        <f aca="false">IF(BU896="LOSE",1,0)</f>
        <v>0</v>
      </c>
      <c r="BX896" s="53" t="n">
        <f aca="false">IF(AND(U896="",OR(P896="",P896="LOSE"),T896&lt;&gt;"",N(S896)&lt;=0,ISNUMBER(MATCH(T896,Parameter!$I$27:$I$29,0))),1,0)</f>
        <v>0</v>
      </c>
      <c r="BY896" s="53" t="n">
        <f aca="false">IF(CL896&gt;0,INDEX(Parameter!$H$5:$H$7,W896)/INDEX(Parameter!$E$5:$E$7,W896),IF(AND(BW896=0,N(IFERROR(VLOOKUP(BU896,'Gebinde-Kategorie'!$A$5:$N$45,14,0),0))&gt;0),VLOOKUP(BU896,'Gebinde-Kategorie'!$A$5:$N$45,14,0)*10+Parameter!$M$23,Parameter!$M$24))</f>
        <v>155</v>
      </c>
      <c r="BZ896" s="48" t="str">
        <f aca="false">IF(AND(Parameter!$B$19="Ja",E896&lt;&gt;"",ISNUMBER(MATCH(E896,Parameter!$I$35:$I$52,0))),VLOOKUP(E896,Parameter!$I$35:$J$52,2,0),IFERROR(VLOOKUP(D896,Parameter!$A$35:$C$64,2,0),"Nein"))</f>
        <v>2+3</v>
      </c>
      <c r="CA896" s="52" t="n">
        <f aca="false">IF(BW896=0,0,IF(N(S896)&gt;0,S896,IFERROR(VLOOKUP(D896,Parameter!$A$35:$C$64,3,0)+0,0)))</f>
        <v>0</v>
      </c>
      <c r="CB896" s="48" t="n">
        <f aca="false">IF(AA896&lt;&gt;"",AA896,Z896)</f>
        <v>3</v>
      </c>
      <c r="CC896" s="48" t="str">
        <f aca="false">IF(OR(CB896=1,CB896=2,CB896=3),IF(Parameter!$E$27="Ja","LIFT",IF(CB896=1,"L1","L23")),IF(CB896="Aussen","Aussen","-"))</f>
        <v>LIFT</v>
      </c>
      <c r="CD896" s="59" t="n">
        <f aca="false">IF(N(AB896)&gt;0,AB896,0)</f>
        <v>0</v>
      </c>
      <c r="CE896" s="53" t="n">
        <f aca="false">IF(ISNUMBER(AE896),1,0)</f>
        <v>0</v>
      </c>
      <c r="CF896" s="50" t="n">
        <f aca="false">N(AE896)</f>
        <v>0</v>
      </c>
      <c r="CG896" s="50" t="n">
        <f aca="false">N(M896)+N(N896)</f>
        <v>10</v>
      </c>
      <c r="CH896" s="50" t="n">
        <f aca="false">ROUNDUP(H896/BV896,0)</f>
        <v>1</v>
      </c>
      <c r="CI896" s="50" t="n">
        <f aca="false">ROUNDUP(CF896/BV896,0)</f>
        <v>0</v>
      </c>
      <c r="CJ896" s="53" t="n">
        <f aca="false">IF(BW896=1,0,IFERROR(VLOOKUP(BU896,'Gebinde-Kategorie'!$A$5:$N$45,5,0)+0,0))</f>
        <v>8</v>
      </c>
      <c r="CK896" s="53" t="n">
        <f aca="false">IFERROR(IF(OR(CB896=1,CB896=2,CB896=3),N(INDEX(Parameter!$I$5:$I$7,CB896)),0),0)</f>
        <v>0</v>
      </c>
      <c r="CL896" s="52" t="n">
        <f aca="false">IF(AND(Parameter!$B$21="Ja",ISNUMBER(W896),N(X896)&gt;0),IFERROR(N(INDEX(Parameter!$L$5:$L$7,W896))*INDEX(Parameter!$E$5:$E$7,W896)*X896/SUMIFS($X$7:$X$1843,$W$7:$W$1843,W896),0),0)</f>
        <v>0</v>
      </c>
    </row>
    <row r="897" customFormat="false" ht="15" hidden="false" customHeight="false" outlineLevel="0" collapsed="false">
      <c r="A897" s="48" t="s">
        <v>1694</v>
      </c>
      <c r="B897" s="48" t="s">
        <v>1679</v>
      </c>
      <c r="C897" s="48" t="s">
        <v>168</v>
      </c>
      <c r="D897" s="48" t="s">
        <v>188</v>
      </c>
      <c r="E897" s="48"/>
      <c r="F897" s="48" t="s">
        <v>222</v>
      </c>
      <c r="G897" s="49" t="n">
        <v>0.71</v>
      </c>
      <c r="H897" s="50" t="n">
        <f aca="false">MAX(0,IF(AND(Parameter!$B$21="Ja",ISNUMBER(Y897)),Y897,IF(Parameter!$B$20="Jahresanfang 2025 + Export",BO897+BN897,BN897)))</f>
        <v>116</v>
      </c>
      <c r="I897" s="50" t="n">
        <f aca="false">H897*G897</f>
        <v>82.36</v>
      </c>
      <c r="J897" s="50" t="n">
        <f aca="false">BQ897*Parameter!$B$18</f>
        <v>9</v>
      </c>
      <c r="K897" s="51" t="n">
        <v>156.5</v>
      </c>
      <c r="L897" s="52" t="n">
        <v>0.0575079872204473</v>
      </c>
      <c r="M897" s="50" t="n">
        <v>0</v>
      </c>
      <c r="N897" s="50" t="n">
        <v>10</v>
      </c>
      <c r="O897" s="53" t="n">
        <v>14</v>
      </c>
      <c r="P897" s="48" t="s">
        <v>405</v>
      </c>
      <c r="Q897" s="50" t="n">
        <v>150</v>
      </c>
      <c r="R897" s="53" t="n">
        <f aca="false">IF(BW897=1,0,IFERROR(VLOOKUP(BU897,'Gebinde-Kategorie'!$A$5:$N$45,13,0)+0,0))</f>
        <v>280</v>
      </c>
      <c r="S897" s="54"/>
      <c r="T897" s="55"/>
      <c r="U897" s="55"/>
      <c r="V897" s="55"/>
      <c r="W897" s="48"/>
      <c r="X897" s="50"/>
      <c r="Y897" s="50"/>
      <c r="Z897" s="48" t="n">
        <f aca="false">IF(A897="","",IF(AND(Parameter!$B$21="Ja",ISNUMBER(W897)),W897,IF(BZ897="2+3",IF(ISNUMBER(SEARCH("grosser Artikel",BR897)),2,IFERROR(VLOOKUP(BU897,Parameter!$F$35:$G$64,2,0),2)),IF(OR(BZ897="Nein",BZ897=""),"-",BZ897))))</f>
        <v>3</v>
      </c>
      <c r="AA897" s="55"/>
      <c r="AB897" s="56"/>
      <c r="AC897" s="50" t="n">
        <f aca="false">AT897</f>
        <v>150</v>
      </c>
      <c r="AD897" s="50" t="n">
        <f aca="false">MAX(AT897,H897)</f>
        <v>150</v>
      </c>
      <c r="AE897" s="57"/>
      <c r="AF897" s="50" t="n">
        <f aca="false">IF(LEFT(Cockpit!$C$5,1)="A",H897,IF(CE897=1,CF897,IF(LEFT(Cockpit!$C$5,1)="B",AK897,MAX(AK897,H897))))</f>
        <v>116</v>
      </c>
      <c r="AG897" s="50" t="n">
        <f aca="false">IF(BW897=1,0,ROUNDUP(AF897/BV897,0))</f>
        <v>1</v>
      </c>
      <c r="AH897" s="52" t="n">
        <f aca="false">IF(CL897&gt;0,CL897*MAX(1,AF897/X897),IF(BW897=1,IF(AF897&lt;=0,0,CA897*MAX(1,IF(H897&gt;0,AF897/H897,1))),IF(R897&gt;0,AG897/R897,0))/MAX(0.1,N(Parameter!$M$21)))</f>
        <v>0.00357142857142857</v>
      </c>
      <c r="AI897" s="50" t="n">
        <f aca="false">AH897*BY897</f>
        <v>0.553571428571429</v>
      </c>
      <c r="AJ897" s="50" t="n">
        <f aca="false">AF897*G897</f>
        <v>82.36</v>
      </c>
      <c r="AK897" s="50" t="n">
        <f aca="false">ROUNDUP(MAX(J897/IF(CD897&gt;0,CD897,MAX(0.1,N(Cockpit!$C$6))),CG897)/BV897,0)*BV897</f>
        <v>150</v>
      </c>
      <c r="AL897" s="51" t="n">
        <f aca="false">IF(AI897&gt;0,J897/AI897,-1)</f>
        <v>16.258064516129</v>
      </c>
      <c r="AM897" s="51" t="n">
        <f aca="false">IF(AND(OR(CC897="L1",CC897="L23",CC897="LIFT"),AI897&gt;0),SUMIFS($AI$7:$AI$1843,$CC$7:$CC$1843,CC897,$AL$7:$AL$1843,"&gt;"&amp;AL897)+SUMIFS($AI$7:$AI$1843,$CC$7:$CC$1843,CC897,$AL$7:$AL$1843,AL897,$BT$7:$BT$1843,"&lt;="&amp;BT897),"")</f>
        <v>2047.32371794872</v>
      </c>
      <c r="AN897" s="58" t="n">
        <f aca="false">IF(AM897="",0,MAX(0,MIN(1,(IF(CC897="L1",Parameter!$H$5,IF(CC897="L23",Parameter!$H$6+Parameter!$H$7,Parameter!$H$5+Parameter!$H$6+Parameter!$H$7))-(AM897-AI897))/AI897)))</f>
        <v>1</v>
      </c>
      <c r="AO897" s="50" t="n">
        <f aca="false">IF(LEFT(Cockpit!$I$5,1)="A",H897,IF(CE897=1,CF897,IF(LEFT(Cockpit!$I$5,1)="B",AT897,MAX(AT897,H897))))</f>
        <v>150</v>
      </c>
      <c r="AP897" s="50" t="n">
        <f aca="false">IF(BW897=1,0,ROUNDUP(AO897/BV897,0))</f>
        <v>1</v>
      </c>
      <c r="AQ897" s="52" t="n">
        <f aca="false">IF(CL897&gt;0,CL897*MAX(1,AO897/X897),IF(BW897=1,IF(AO897&lt;=0,0,CA897*MAX(1,IF(H897&gt;0,AO897/H897,1))),IF(R897&gt;0,AP897/R897,0))/MAX(0.1,N(Parameter!$M$21)))</f>
        <v>0.00357142857142857</v>
      </c>
      <c r="AR897" s="50" t="n">
        <f aca="false">AQ897*BY897</f>
        <v>0.553571428571429</v>
      </c>
      <c r="AS897" s="50" t="n">
        <f aca="false">AO897*G897</f>
        <v>106.5</v>
      </c>
      <c r="AT897" s="50" t="n">
        <f aca="false">ROUNDUP(MAX(J897/IF(CD897&gt;0,CD897,MAX(0.1,N(Cockpit!$I$6))),CG897)/BV897,0)*BV897</f>
        <v>150</v>
      </c>
      <c r="AU897" s="51" t="n">
        <f aca="false">IF(AR897&gt;0,J897/AR897,-1)</f>
        <v>16.258064516129</v>
      </c>
      <c r="AV897" s="51" t="n">
        <f aca="false">IF(AND(OR(CC897="L1",CC897="L23",CC897="LIFT"),AR897&gt;0),SUMIFS($AR$7:$AR$1843,$CC$7:$CC$1843,CC897,$AU$7:$AU$1843,"&gt;"&amp;AU897)+SUMIFS($AR$7:$AR$1843,$CC$7:$CC$1843,CC897,$AU$7:$AU$1843,AU897,$BT$7:$BT$1843,"&lt;="&amp;BT897),"")</f>
        <v>3134.00686813187</v>
      </c>
      <c r="AW897" s="58" t="n">
        <f aca="false">IF(AV897="",0,MAX(0,MIN(1,(IF(CC897="L1",Parameter!$H$5,IF(CC897="L23",Parameter!$H$6+Parameter!$H$7,Parameter!$H$5+Parameter!$H$6+Parameter!$H$7))-(AV897-AR897))/AR897)))</f>
        <v>1</v>
      </c>
      <c r="AX897" s="50" t="n">
        <f aca="false">IF(LEFT(Cockpit!$O$5,1)="A",H897,IF(CE897=1,CF897,IF(LEFT(Cockpit!$O$5,1)="B",BC897,MAX(BC897,H897))))</f>
        <v>150</v>
      </c>
      <c r="AY897" s="50" t="n">
        <f aca="false">IF(BW897=1,0,ROUNDUP(AX897/BV897,0))</f>
        <v>1</v>
      </c>
      <c r="AZ897" s="52" t="n">
        <f aca="false">IF(CL897&gt;0,CL897*MAX(1,AX897/X897),IF(BW897=1,IF(AX897&lt;=0,0,CA897*MAX(1,IF(H897&gt;0,AX897/H897,1))),IF(R897&gt;0,AY897/R897,0))/MAX(0.1,N(Parameter!$M$21)))</f>
        <v>0.00357142857142857</v>
      </c>
      <c r="BA897" s="50" t="n">
        <f aca="false">AZ897*BY897</f>
        <v>0.553571428571429</v>
      </c>
      <c r="BB897" s="50" t="n">
        <f aca="false">AX897*G897</f>
        <v>106.5</v>
      </c>
      <c r="BC897" s="50" t="n">
        <f aca="false">ROUNDUP(MAX(J897/IF(CD897&gt;0,CD897,MAX(0.1,N(Cockpit!$O$6))),CG897)/BV897,0)*BV897</f>
        <v>150</v>
      </c>
      <c r="BD897" s="51" t="n">
        <f aca="false">IF(BA897&gt;0,J897/BA897,-1)</f>
        <v>16.258064516129</v>
      </c>
      <c r="BE897" s="51" t="n">
        <f aca="false">IF(AND(OR(CC897="L1",CC897="L23",CC897="LIFT"),BA897&gt;0),SUMIFS($BA$7:$BA$1843,$CC$7:$CC$1843,CC897,$BD$7:$BD$1843,"&gt;"&amp;BD897)+SUMIFS($BA$7:$BA$1843,$CC$7:$CC$1843,CC897,$BD$7:$BD$1843,BD897,$BT$7:$BT$1843,"&lt;="&amp;BT897),"")</f>
        <v>2808.44597069597</v>
      </c>
      <c r="BF897" s="58" t="n">
        <f aca="false">IF(BE897="",0,MAX(0,MIN(1,(IF(CC897="L1",Parameter!$H$5,IF(CC897="L23",Parameter!$H$6+Parameter!$H$7,Parameter!$H$5+Parameter!$H$6+Parameter!$H$7))-(BE897-BA897))/BA897)))</f>
        <v>1</v>
      </c>
      <c r="BG897" s="48" t="str">
        <f aca="false">IF(AI897&lt;=0,"",IF(CC897="Aussen","Aussenlager",IF(CC897="-","Nicht im Lift",IF(AN897&gt;=1,"Lift",IF(AN897&lt;=0,"Aussenlager","teilweise")))))</f>
        <v>Lift</v>
      </c>
      <c r="BH897" s="48" t="str">
        <f aca="false">IF(AR897&lt;=0,"",IF(CC897="Aussen","Aussenlager",IF(CC897="-","Nicht im Lift",IF(AW897&gt;=1,"Lift",IF(AW897&lt;=0,"Aussenlager","teilweise")))))</f>
        <v>Lift</v>
      </c>
      <c r="BI897" s="48" t="str">
        <f aca="false">IF(BA897&lt;=0,"",IF(CC897="Aussen","Aussenlager",IF(CC897="-","Nicht im Lift",IF(BF897&gt;=1,"Lift",IF(BF897&lt;=0,"Aussenlager","teilweise")))))</f>
        <v>Lift</v>
      </c>
      <c r="BJ897" s="48" t="str">
        <f aca="false">IF(A897="","",IF(BS897=1,"Neu; ","")&amp;IF(AND(BS897=0,BN897&lt;0),"negativer Bestand (Export "&amp;BN897&amp;"); ","")&amp;IF(J897&lt;=0,"Kein Verbrauch; ","")&amp;IF(CL897&gt;0,"Lift "&amp;W897&amp;" lt. Liftbericht (Fach "&amp;X897&amp;" Stk); ",IF(BX897=1,"Gebinde geschätzt ("&amp;T897&amp;"); ",IF(BW897=1,"Lose – Tablare geschätzt; ","")))&amp;IF(H897&gt;AT897,"Überbestand "&amp;ROUND(H897-AT897,0)&amp;" Stk / CHF "&amp;ROUND((H897-AT897)*G897,0)&amp;"; ","")&amp;IF(AND(CE897=1,CF897&lt;CG897),"MAX &lt; MB+LG; ","")&amp;IF(AND(CK897&gt;0,CJ897*10&gt;CK897),"zu hoch für Tablar; ","")&amp;IF(AND(BS897=0,OR(CE897=1,AA897&lt;&gt;"",U897&lt;&gt;"",V897&lt;&gt;"",AB897&lt;&gt;"")),"manuell übersteuert; ","")&amp;IF(AND(BW897=0,R897=0),"Gebinde unbekannt / Stellmass fehlt; ","")&amp;IF(AND(BW897=0,N(V897)&lt;=0,N(Q897)&lt;=0),"Menge pro Gebinde fehlt (Ist = 1 Gebinde); ","")&amp;BR897)</f>
        <v>negativer Bestand (Export -45); </v>
      </c>
      <c r="BK897" s="48"/>
      <c r="BL897" s="48"/>
      <c r="BM897" s="55"/>
      <c r="BN897" s="50" t="n">
        <v>-45</v>
      </c>
      <c r="BO897" s="50" t="n">
        <v>161</v>
      </c>
      <c r="BP897" s="49" t="n">
        <v>-31.95</v>
      </c>
      <c r="BQ897" s="50" t="n">
        <v>9</v>
      </c>
      <c r="BR897" s="48"/>
      <c r="BS897" s="53" t="n">
        <v>0</v>
      </c>
      <c r="BT897" s="53" t="n">
        <v>897</v>
      </c>
      <c r="BU897" s="48" t="str">
        <f aca="false">IF(U897&lt;&gt;"",UPPER(TRIM(U897)),IF(BX897=1,UPPER(VLOOKUP(T897,Parameter!$I$27:$K$29,2,0)),IF(P897="","LOSE",P897)))</f>
        <v>S21</v>
      </c>
      <c r="BV897" s="50" t="n">
        <f aca="false">IF(BU897="LOSE",1,IF(N(V897)&gt;0,V897,IF(BX897=1,MAX(1,N(VLOOKUP(T897,Parameter!$I$27:$K$29,3,0)),H897,N(N897)),IF(N(Q897)&gt;0,Q897,MAX(1,H897)))))</f>
        <v>150</v>
      </c>
      <c r="BW897" s="53" t="n">
        <f aca="false">IF(BU897="LOSE",1,0)</f>
        <v>0</v>
      </c>
      <c r="BX897" s="53" t="n">
        <f aca="false">IF(AND(U897="",OR(P897="",P897="LOSE"),T897&lt;&gt;"",N(S897)&lt;=0,ISNUMBER(MATCH(T897,Parameter!$I$27:$I$29,0))),1,0)</f>
        <v>0</v>
      </c>
      <c r="BY897" s="53" t="n">
        <f aca="false">IF(CL897&gt;0,INDEX(Parameter!$H$5:$H$7,W897)/INDEX(Parameter!$E$5:$E$7,W897),IF(AND(BW897=0,N(IFERROR(VLOOKUP(BU897,'Gebinde-Kategorie'!$A$5:$N$45,14,0),0))&gt;0),VLOOKUP(BU897,'Gebinde-Kategorie'!$A$5:$N$45,14,0)*10+Parameter!$M$23,Parameter!$M$24))</f>
        <v>155</v>
      </c>
      <c r="BZ897" s="48" t="str">
        <f aca="false">IF(AND(Parameter!$B$19="Ja",E897&lt;&gt;"",ISNUMBER(MATCH(E897,Parameter!$I$35:$I$52,0))),VLOOKUP(E897,Parameter!$I$35:$J$52,2,0),IFERROR(VLOOKUP(D897,Parameter!$A$35:$C$64,2,0),"Nein"))</f>
        <v>2+3</v>
      </c>
      <c r="CA897" s="52" t="n">
        <f aca="false">IF(BW897=0,0,IF(N(S897)&gt;0,S897,IFERROR(VLOOKUP(D897,Parameter!$A$35:$C$64,3,0)+0,0)))</f>
        <v>0</v>
      </c>
      <c r="CB897" s="48" t="n">
        <f aca="false">IF(AA897&lt;&gt;"",AA897,Z897)</f>
        <v>3</v>
      </c>
      <c r="CC897" s="48" t="str">
        <f aca="false">IF(OR(CB897=1,CB897=2,CB897=3),IF(Parameter!$E$27="Ja","LIFT",IF(CB897=1,"L1","L23")),IF(CB897="Aussen","Aussen","-"))</f>
        <v>LIFT</v>
      </c>
      <c r="CD897" s="59" t="n">
        <f aca="false">IF(N(AB897)&gt;0,AB897,0)</f>
        <v>0</v>
      </c>
      <c r="CE897" s="53" t="n">
        <f aca="false">IF(ISNUMBER(AE897),1,0)</f>
        <v>0</v>
      </c>
      <c r="CF897" s="50" t="n">
        <f aca="false">N(AE897)</f>
        <v>0</v>
      </c>
      <c r="CG897" s="50" t="n">
        <f aca="false">N(M897)+N(N897)</f>
        <v>10</v>
      </c>
      <c r="CH897" s="50" t="n">
        <f aca="false">ROUNDUP(H897/BV897,0)</f>
        <v>1</v>
      </c>
      <c r="CI897" s="50" t="n">
        <f aca="false">ROUNDUP(CF897/BV897,0)</f>
        <v>0</v>
      </c>
      <c r="CJ897" s="53" t="n">
        <f aca="false">IF(BW897=1,0,IFERROR(VLOOKUP(BU897,'Gebinde-Kategorie'!$A$5:$N$45,5,0)+0,0))</f>
        <v>8</v>
      </c>
      <c r="CK897" s="53" t="n">
        <f aca="false">IFERROR(IF(OR(CB897=1,CB897=2,CB897=3),N(INDEX(Parameter!$I$5:$I$7,CB897)),0),0)</f>
        <v>0</v>
      </c>
      <c r="CL897" s="52" t="n">
        <f aca="false">IF(AND(Parameter!$B$21="Ja",ISNUMBER(W897),N(X897)&gt;0),IFERROR(N(INDEX(Parameter!$L$5:$L$7,W897))*INDEX(Parameter!$E$5:$E$7,W897)*X897/SUMIFS($X$7:$X$1843,$W$7:$W$1843,W897),0),0)</f>
        <v>0</v>
      </c>
    </row>
    <row r="898" customFormat="false" ht="15" hidden="false" customHeight="false" outlineLevel="0" collapsed="false">
      <c r="A898" s="48" t="s">
        <v>1695</v>
      </c>
      <c r="B898" s="48" t="s">
        <v>1096</v>
      </c>
      <c r="C898" s="48" t="s">
        <v>168</v>
      </c>
      <c r="D898" s="48" t="s">
        <v>188</v>
      </c>
      <c r="E898" s="48" t="s">
        <v>189</v>
      </c>
      <c r="F898" s="48" t="s">
        <v>222</v>
      </c>
      <c r="G898" s="49" t="n">
        <v>6.47</v>
      </c>
      <c r="H898" s="50" t="n">
        <f aca="false">MAX(0,IF(AND(Parameter!$B$21="Ja",ISNUMBER(Y898)),Y898,IF(Parameter!$B$20="Jahresanfang 2025 + Export",BO898+BN898,BN898)))</f>
        <v>6</v>
      </c>
      <c r="I898" s="50" t="n">
        <f aca="false">H898*G898</f>
        <v>38.82</v>
      </c>
      <c r="J898" s="50" t="n">
        <f aca="false">BQ898*Parameter!$B$18</f>
        <v>6</v>
      </c>
      <c r="K898" s="51" t="n">
        <v>10.5</v>
      </c>
      <c r="L898" s="52" t="n">
        <v>0.571428571428571</v>
      </c>
      <c r="M898" s="50" t="n">
        <v>0</v>
      </c>
      <c r="N898" s="50" t="n">
        <v>5</v>
      </c>
      <c r="O898" s="53" t="n">
        <v>14</v>
      </c>
      <c r="P898" s="48" t="s">
        <v>480</v>
      </c>
      <c r="Q898" s="50" t="n">
        <v>5</v>
      </c>
      <c r="R898" s="53" t="n">
        <f aca="false">IF(BW898=1,0,IFERROR(VLOOKUP(BU898,'Gebinde-Kategorie'!$A$5:$N$45,13,0)+0,0))</f>
        <v>52</v>
      </c>
      <c r="S898" s="54"/>
      <c r="T898" s="55"/>
      <c r="U898" s="55"/>
      <c r="V898" s="55"/>
      <c r="W898" s="48"/>
      <c r="X898" s="50"/>
      <c r="Y898" s="50"/>
      <c r="Z898" s="48" t="n">
        <f aca="false">IF(A898="","",IF(AND(Parameter!$B$21="Ja",ISNUMBER(W898)),W898,IF(BZ898="2+3",IF(ISNUMBER(SEARCH("grosser Artikel",BR898)),2,IFERROR(VLOOKUP(BU898,Parameter!$F$35:$G$64,2,0),2)),IF(OR(BZ898="Nein",BZ898=""),"-",BZ898))))</f>
        <v>3</v>
      </c>
      <c r="AA898" s="55"/>
      <c r="AB898" s="56"/>
      <c r="AC898" s="50" t="n">
        <f aca="false">AT898</f>
        <v>5</v>
      </c>
      <c r="AD898" s="50" t="n">
        <f aca="false">MAX(AT898,H898)</f>
        <v>6</v>
      </c>
      <c r="AE898" s="57"/>
      <c r="AF898" s="50" t="n">
        <f aca="false">IF(LEFT(Cockpit!$C$5,1)="A",H898,IF(CE898=1,CF898,IF(LEFT(Cockpit!$C$5,1)="B",AK898,MAX(AK898,H898))))</f>
        <v>6</v>
      </c>
      <c r="AG898" s="50" t="n">
        <f aca="false">IF(BW898=1,0,ROUNDUP(AF898/BV898,0))</f>
        <v>2</v>
      </c>
      <c r="AH898" s="52" t="n">
        <f aca="false">IF(CL898&gt;0,CL898*MAX(1,AF898/X898),IF(BW898=1,IF(AF898&lt;=0,0,CA898*MAX(1,IF(H898&gt;0,AF898/H898,1))),IF(R898&gt;0,AG898/R898,0))/MAX(0.1,N(Parameter!$M$21)))</f>
        <v>0.0384615384615385</v>
      </c>
      <c r="AI898" s="50" t="n">
        <f aca="false">AH898*BY898</f>
        <v>5.96153846153846</v>
      </c>
      <c r="AJ898" s="50" t="n">
        <f aca="false">AF898*G898</f>
        <v>38.82</v>
      </c>
      <c r="AK898" s="50" t="n">
        <f aca="false">ROUNDUP(MAX(J898/IF(CD898&gt;0,CD898,MAX(0.1,N(Cockpit!$C$6))),CG898)/BV898,0)*BV898</f>
        <v>5</v>
      </c>
      <c r="AL898" s="51" t="n">
        <f aca="false">IF(AI898&gt;0,J898/AI898,-1)</f>
        <v>1.00645161290323</v>
      </c>
      <c r="AM898" s="51" t="n">
        <f aca="false">IF(AND(OR(CC898="L1",CC898="L23",CC898="LIFT"),AI898&gt;0),SUMIFS($AI$7:$AI$1843,$CC$7:$CC$1843,CC898,$AL$7:$AL$1843,"&gt;"&amp;AL898)+SUMIFS($AI$7:$AI$1843,$CC$7:$CC$1843,CC898,$AL$7:$AL$1843,AL898,$BT$7:$BT$1843,"&lt;="&amp;BT898),"")</f>
        <v>7038.51968864469</v>
      </c>
      <c r="AN898" s="58" t="n">
        <f aca="false">IF(AM898="",0,MAX(0,MIN(1,(IF(CC898="L1",Parameter!$H$5,IF(CC898="L23",Parameter!$H$6+Parameter!$H$7,Parameter!$H$5+Parameter!$H$6+Parameter!$H$7))-(AM898-AI898))/AI898)))</f>
        <v>1</v>
      </c>
      <c r="AO898" s="50" t="n">
        <f aca="false">IF(LEFT(Cockpit!$I$5,1)="A",H898,IF(CE898=1,CF898,IF(LEFT(Cockpit!$I$5,1)="B",AT898,MAX(AT898,H898))))</f>
        <v>6</v>
      </c>
      <c r="AP898" s="50" t="n">
        <f aca="false">IF(BW898=1,0,ROUNDUP(AO898/BV898,0))</f>
        <v>2</v>
      </c>
      <c r="AQ898" s="52" t="n">
        <f aca="false">IF(CL898&gt;0,CL898*MAX(1,AO898/X898),IF(BW898=1,IF(AO898&lt;=0,0,CA898*MAX(1,IF(H898&gt;0,AO898/H898,1))),IF(R898&gt;0,AP898/R898,0))/MAX(0.1,N(Parameter!$M$21)))</f>
        <v>0.0384615384615385</v>
      </c>
      <c r="AR898" s="50" t="n">
        <f aca="false">AQ898*BY898</f>
        <v>5.96153846153846</v>
      </c>
      <c r="AS898" s="50" t="n">
        <f aca="false">AO898*G898</f>
        <v>38.82</v>
      </c>
      <c r="AT898" s="50" t="n">
        <f aca="false">ROUNDUP(MAX(J898/IF(CD898&gt;0,CD898,MAX(0.1,N(Cockpit!$I$6))),CG898)/BV898,0)*BV898</f>
        <v>5</v>
      </c>
      <c r="AU898" s="51" t="n">
        <f aca="false">IF(AR898&gt;0,J898/AR898,-1)</f>
        <v>1.00645161290323</v>
      </c>
      <c r="AV898" s="51" t="n">
        <f aca="false">IF(AND(OR(CC898="L1",CC898="L23",CC898="LIFT"),AR898&gt;0),SUMIFS($AR$7:$AR$1843,$CC$7:$CC$1843,CC898,$AU$7:$AU$1843,"&gt;"&amp;AU898)+SUMIFS($AR$7:$AR$1843,$CC$7:$CC$1843,CC898,$AU$7:$AU$1843,AU898,$BT$7:$BT$1843,"&lt;="&amp;BT898),"")</f>
        <v>10095.5457875458</v>
      </c>
      <c r="AW898" s="58" t="n">
        <f aca="false">IF(AV898="",0,MAX(0,MIN(1,(IF(CC898="L1",Parameter!$H$5,IF(CC898="L23",Parameter!$H$6+Parameter!$H$7,Parameter!$H$5+Parameter!$H$6+Parameter!$H$7))-(AV898-AR898))/AR898)))</f>
        <v>1</v>
      </c>
      <c r="AX898" s="50" t="n">
        <f aca="false">IF(LEFT(Cockpit!$O$5,1)="A",H898,IF(CE898=1,CF898,IF(LEFT(Cockpit!$O$5,1)="B",BC898,MAX(BC898,H898))))</f>
        <v>6</v>
      </c>
      <c r="AY898" s="50" t="n">
        <f aca="false">IF(BW898=1,0,ROUNDUP(AX898/BV898,0))</f>
        <v>2</v>
      </c>
      <c r="AZ898" s="52" t="n">
        <f aca="false">IF(CL898&gt;0,CL898*MAX(1,AX898/X898),IF(BW898=1,IF(AX898&lt;=0,0,CA898*MAX(1,IF(H898&gt;0,AX898/H898,1))),IF(R898&gt;0,AY898/R898,0))/MAX(0.1,N(Parameter!$M$21)))</f>
        <v>0.0384615384615385</v>
      </c>
      <c r="BA898" s="50" t="n">
        <f aca="false">AZ898*BY898</f>
        <v>5.96153846153846</v>
      </c>
      <c r="BB898" s="50" t="n">
        <f aca="false">AX898*G898</f>
        <v>38.82</v>
      </c>
      <c r="BC898" s="50" t="n">
        <f aca="false">ROUNDUP(MAX(J898/IF(CD898&gt;0,CD898,MAX(0.1,N(Cockpit!$O$6))),CG898)/BV898,0)*BV898</f>
        <v>5</v>
      </c>
      <c r="BD898" s="51" t="n">
        <f aca="false">IF(BA898&gt;0,J898/BA898,-1)</f>
        <v>1.00645161290323</v>
      </c>
      <c r="BE898" s="51" t="n">
        <f aca="false">IF(AND(OR(CC898="L1",CC898="L23",CC898="LIFT"),BA898&gt;0),SUMIFS($BA$7:$BA$1843,$CC$7:$CC$1843,CC898,$BD$7:$BD$1843,"&gt;"&amp;BD898)+SUMIFS($BA$7:$BA$1843,$CC$7:$CC$1843,CC898,$BD$7:$BD$1843,BD898,$BT$7:$BT$1843,"&lt;="&amp;BT898),"")</f>
        <v>9302.03617216117</v>
      </c>
      <c r="BF898" s="58" t="n">
        <f aca="false">IF(BE898="",0,MAX(0,MIN(1,(IF(CC898="L1",Parameter!$H$5,IF(CC898="L23",Parameter!$H$6+Parameter!$H$7,Parameter!$H$5+Parameter!$H$6+Parameter!$H$7))-(BE898-BA898))/BA898)))</f>
        <v>1</v>
      </c>
      <c r="BG898" s="48" t="str">
        <f aca="false">IF(AI898&lt;=0,"",IF(CC898="Aussen","Aussenlager",IF(CC898="-","Nicht im Lift",IF(AN898&gt;=1,"Lift",IF(AN898&lt;=0,"Aussenlager","teilweise")))))</f>
        <v>Lift</v>
      </c>
      <c r="BH898" s="48" t="str">
        <f aca="false">IF(AR898&lt;=0,"",IF(CC898="Aussen","Aussenlager",IF(CC898="-","Nicht im Lift",IF(AW898&gt;=1,"Lift",IF(AW898&lt;=0,"Aussenlager","teilweise")))))</f>
        <v>Lift</v>
      </c>
      <c r="BI898" s="48" t="str">
        <f aca="false">IF(BA898&lt;=0,"",IF(CC898="Aussen","Aussenlager",IF(CC898="-","Nicht im Lift",IF(BF898&gt;=1,"Lift",IF(BF898&lt;=0,"Aussenlager","teilweise")))))</f>
        <v>Lift</v>
      </c>
      <c r="BJ898" s="48" t="str">
        <f aca="false">IF(A898="","",IF(BS898=1,"Neu; ","")&amp;IF(AND(BS898=0,BN898&lt;0),"negativer Bestand (Export "&amp;BN898&amp;"); ","")&amp;IF(J898&lt;=0,"Kein Verbrauch; ","")&amp;IF(CL898&gt;0,"Lift "&amp;W898&amp;" lt. Liftbericht (Fach "&amp;X898&amp;" Stk); ",IF(BX898=1,"Gebinde geschätzt ("&amp;T898&amp;"); ",IF(BW898=1,"Lose – Tablare geschätzt; ","")))&amp;IF(H898&gt;AT898,"Überbestand "&amp;ROUND(H898-AT898,0)&amp;" Stk / CHF "&amp;ROUND((H898-AT898)*G898,0)&amp;"; ","")&amp;IF(AND(CE898=1,CF898&lt;CG898),"MAX &lt; MB+LG; ","")&amp;IF(AND(CK898&gt;0,CJ898*10&gt;CK898),"zu hoch für Tablar; ","")&amp;IF(AND(BS898=0,OR(CE898=1,AA898&lt;&gt;"",U898&lt;&gt;"",V898&lt;&gt;"",AB898&lt;&gt;"")),"manuell übersteuert; ","")&amp;IF(AND(BW898=0,R898=0),"Gebinde unbekannt / Stellmass fehlt; ","")&amp;IF(AND(BW898=0,N(V898)&lt;=0,N(Q898)&lt;=0),"Menge pro Gebinde fehlt (Ist = 1 Gebinde); ","")&amp;BR898)</f>
        <v>negativer Bestand (Export -5); Überbestand 1 Stk / CHF 6; </v>
      </c>
      <c r="BK898" s="48"/>
      <c r="BL898" s="48"/>
      <c r="BM898" s="55"/>
      <c r="BN898" s="50" t="n">
        <v>-5</v>
      </c>
      <c r="BO898" s="50" t="n">
        <v>11</v>
      </c>
      <c r="BP898" s="49" t="n">
        <v>-32.46</v>
      </c>
      <c r="BQ898" s="50" t="n">
        <v>6</v>
      </c>
      <c r="BR898" s="48"/>
      <c r="BS898" s="53" t="n">
        <v>0</v>
      </c>
      <c r="BT898" s="53" t="n">
        <v>898</v>
      </c>
      <c r="BU898" s="48" t="str">
        <f aca="false">IF(U898&lt;&gt;"",UPPER(TRIM(U898)),IF(BX898=1,UPPER(VLOOKUP(T898,Parameter!$I$27:$K$29,2,0)),IF(P898="","LOSE",P898)))</f>
        <v>S33</v>
      </c>
      <c r="BV898" s="50" t="n">
        <f aca="false">IF(BU898="LOSE",1,IF(N(V898)&gt;0,V898,IF(BX898=1,MAX(1,N(VLOOKUP(T898,Parameter!$I$27:$K$29,3,0)),H898,N(N898)),IF(N(Q898)&gt;0,Q898,MAX(1,H898)))))</f>
        <v>5</v>
      </c>
      <c r="BW898" s="53" t="n">
        <f aca="false">IF(BU898="LOSE",1,0)</f>
        <v>0</v>
      </c>
      <c r="BX898" s="53" t="n">
        <f aca="false">IF(AND(U898="",OR(P898="",P898="LOSE"),T898&lt;&gt;"",N(S898)&lt;=0,ISNUMBER(MATCH(T898,Parameter!$I$27:$I$29,0))),1,0)</f>
        <v>0</v>
      </c>
      <c r="BY898" s="53" t="n">
        <f aca="false">IF(CL898&gt;0,INDEX(Parameter!$H$5:$H$7,W898)/INDEX(Parameter!$E$5:$E$7,W898),IF(AND(BW898=0,N(IFERROR(VLOOKUP(BU898,'Gebinde-Kategorie'!$A$5:$N$45,14,0),0))&gt;0),VLOOKUP(BU898,'Gebinde-Kategorie'!$A$5:$N$45,14,0)*10+Parameter!$M$23,Parameter!$M$24))</f>
        <v>155</v>
      </c>
      <c r="BZ898" s="48" t="str">
        <f aca="false">IF(AND(Parameter!$B$19="Ja",E898&lt;&gt;"",ISNUMBER(MATCH(E898,Parameter!$I$35:$I$52,0))),VLOOKUP(E898,Parameter!$I$35:$J$52,2,0),IFERROR(VLOOKUP(D898,Parameter!$A$35:$C$64,2,0),"Nein"))</f>
        <v>2+3</v>
      </c>
      <c r="CA898" s="52" t="n">
        <f aca="false">IF(BW898=0,0,IF(N(S898)&gt;0,S898,IFERROR(VLOOKUP(D898,Parameter!$A$35:$C$64,3,0)+0,0)))</f>
        <v>0</v>
      </c>
      <c r="CB898" s="48" t="n">
        <f aca="false">IF(AA898&lt;&gt;"",AA898,Z898)</f>
        <v>3</v>
      </c>
      <c r="CC898" s="48" t="str">
        <f aca="false">IF(OR(CB898=1,CB898=2,CB898=3),IF(Parameter!$E$27="Ja","LIFT",IF(CB898=1,"L1","L23")),IF(CB898="Aussen","Aussen","-"))</f>
        <v>LIFT</v>
      </c>
      <c r="CD898" s="59" t="n">
        <f aca="false">IF(N(AB898)&gt;0,AB898,0)</f>
        <v>0</v>
      </c>
      <c r="CE898" s="53" t="n">
        <f aca="false">IF(ISNUMBER(AE898),1,0)</f>
        <v>0</v>
      </c>
      <c r="CF898" s="50" t="n">
        <f aca="false">N(AE898)</f>
        <v>0</v>
      </c>
      <c r="CG898" s="50" t="n">
        <f aca="false">N(M898)+N(N898)</f>
        <v>5</v>
      </c>
      <c r="CH898" s="50" t="n">
        <f aca="false">ROUNDUP(H898/BV898,0)</f>
        <v>2</v>
      </c>
      <c r="CI898" s="50" t="n">
        <f aca="false">ROUNDUP(CF898/BV898,0)</f>
        <v>0</v>
      </c>
      <c r="CJ898" s="53" t="n">
        <f aca="false">IF(BW898=1,0,IFERROR(VLOOKUP(BU898,'Gebinde-Kategorie'!$A$5:$N$45,5,0)+0,0))</f>
        <v>8</v>
      </c>
      <c r="CK898" s="53" t="n">
        <f aca="false">IFERROR(IF(OR(CB898=1,CB898=2,CB898=3),N(INDEX(Parameter!$I$5:$I$7,CB898)),0),0)</f>
        <v>0</v>
      </c>
      <c r="CL898" s="52" t="n">
        <f aca="false">IF(AND(Parameter!$B$21="Ja",ISNUMBER(W898),N(X898)&gt;0),IFERROR(N(INDEX(Parameter!$L$5:$L$7,W898))*INDEX(Parameter!$E$5:$E$7,W898)*X898/SUMIFS($X$7:$X$1843,$W$7:$W$1843,W898),0),0)</f>
        <v>0</v>
      </c>
    </row>
    <row r="899" customFormat="false" ht="15" hidden="false" customHeight="false" outlineLevel="0" collapsed="false">
      <c r="A899" s="48" t="s">
        <v>1696</v>
      </c>
      <c r="B899" s="48" t="s">
        <v>967</v>
      </c>
      <c r="C899" s="48" t="s">
        <v>168</v>
      </c>
      <c r="D899" s="48" t="s">
        <v>188</v>
      </c>
      <c r="E899" s="48"/>
      <c r="F899" s="48" t="s">
        <v>222</v>
      </c>
      <c r="G899" s="49" t="n">
        <v>0.93</v>
      </c>
      <c r="H899" s="50" t="n">
        <f aca="false">MAX(0,IF(AND(Parameter!$B$21="Ja",ISNUMBER(Y899)),Y899,IF(Parameter!$B$20="Jahresanfang 2025 + Export",BO899+BN899,BN899)))</f>
        <v>45</v>
      </c>
      <c r="I899" s="50" t="n">
        <f aca="false">H899*G899</f>
        <v>41.85</v>
      </c>
      <c r="J899" s="50" t="n">
        <f aca="false">BQ899*Parameter!$B$18</f>
        <v>0</v>
      </c>
      <c r="K899" s="51" t="n">
        <v>63.5</v>
      </c>
      <c r="L899" s="52" t="n">
        <v>0</v>
      </c>
      <c r="M899" s="50" t="n">
        <v>0</v>
      </c>
      <c r="N899" s="50" t="n">
        <v>1</v>
      </c>
      <c r="O899" s="53" t="n">
        <v>21</v>
      </c>
      <c r="P899" s="48" t="s">
        <v>430</v>
      </c>
      <c r="Q899" s="50" t="n">
        <v>50</v>
      </c>
      <c r="R899" s="53" t="n">
        <f aca="false">IF(BW899=1,0,IFERROR(VLOOKUP(BU899,'Gebinde-Kategorie'!$A$5:$N$45,13,0)+0,0))</f>
        <v>140</v>
      </c>
      <c r="S899" s="54"/>
      <c r="T899" s="55"/>
      <c r="U899" s="55"/>
      <c r="V899" s="55"/>
      <c r="W899" s="48"/>
      <c r="X899" s="50"/>
      <c r="Y899" s="50"/>
      <c r="Z899" s="48" t="n">
        <f aca="false">IF(A899="","",IF(AND(Parameter!$B$21="Ja",ISNUMBER(W899)),W899,IF(BZ899="2+3",IF(ISNUMBER(SEARCH("grosser Artikel",BR899)),2,IFERROR(VLOOKUP(BU899,Parameter!$F$35:$G$64,2,0),2)),IF(OR(BZ899="Nein",BZ899=""),"-",BZ899))))</f>
        <v>3</v>
      </c>
      <c r="AA899" s="55"/>
      <c r="AB899" s="56"/>
      <c r="AC899" s="50" t="n">
        <f aca="false">AT899</f>
        <v>50</v>
      </c>
      <c r="AD899" s="50" t="n">
        <f aca="false">MAX(AT899,H899)</f>
        <v>50</v>
      </c>
      <c r="AE899" s="57"/>
      <c r="AF899" s="50" t="n">
        <f aca="false">IF(LEFT(Cockpit!$C$5,1)="A",H899,IF(CE899=1,CF899,IF(LEFT(Cockpit!$C$5,1)="B",AK899,MAX(AK899,H899))))</f>
        <v>45</v>
      </c>
      <c r="AG899" s="50" t="n">
        <f aca="false">IF(BW899=1,0,ROUNDUP(AF899/BV899,0))</f>
        <v>1</v>
      </c>
      <c r="AH899" s="52" t="n">
        <f aca="false">IF(CL899&gt;0,CL899*MAX(1,AF899/X899),IF(BW899=1,IF(AF899&lt;=0,0,CA899*MAX(1,IF(H899&gt;0,AF899/H899,1))),IF(R899&gt;0,AG899/R899,0))/MAX(0.1,N(Parameter!$M$21)))</f>
        <v>0.00714285714285714</v>
      </c>
      <c r="AI899" s="50" t="n">
        <f aca="false">AH899*BY899</f>
        <v>1.10714285714286</v>
      </c>
      <c r="AJ899" s="50" t="n">
        <f aca="false">AF899*G899</f>
        <v>41.85</v>
      </c>
      <c r="AK899" s="50" t="n">
        <f aca="false">ROUNDUP(MAX(J899/IF(CD899&gt;0,CD899,MAX(0.1,N(Cockpit!$C$6))),CG899)/BV899,0)*BV899</f>
        <v>50</v>
      </c>
      <c r="AL899" s="51" t="n">
        <f aca="false">IF(AI899&gt;0,J899/AI899,-1)</f>
        <v>0</v>
      </c>
      <c r="AM899" s="51" t="n">
        <f aca="false">IF(AND(OR(CC899="L1",CC899="L23",CC899="LIFT"),AI899&gt;0),SUMIFS($AI$7:$AI$1843,$CC$7:$CC$1843,CC899,$AL$7:$AL$1843,"&gt;"&amp;AL899)+SUMIFS($AI$7:$AI$1843,$CC$7:$CC$1843,CC899,$AL$7:$AL$1843,AL899,$BT$7:$BT$1843,"&lt;="&amp;BT899),"")</f>
        <v>28835.5377139339</v>
      </c>
      <c r="AN899" s="58" t="n">
        <f aca="false">IF(AM899="",0,MAX(0,MIN(1,(IF(CC899="L1",Parameter!$H$5,IF(CC899="L23",Parameter!$H$6+Parameter!$H$7,Parameter!$H$5+Parameter!$H$6+Parameter!$H$7))-(AM899-AI899))/AI899)))</f>
        <v>1</v>
      </c>
      <c r="AO899" s="50" t="n">
        <f aca="false">IF(LEFT(Cockpit!$I$5,1)="A",H899,IF(CE899=1,CF899,IF(LEFT(Cockpit!$I$5,1)="B",AT899,MAX(AT899,H899))))</f>
        <v>50</v>
      </c>
      <c r="AP899" s="50" t="n">
        <f aca="false">IF(BW899=1,0,ROUNDUP(AO899/BV899,0))</f>
        <v>1</v>
      </c>
      <c r="AQ899" s="52" t="n">
        <f aca="false">IF(CL899&gt;0,CL899*MAX(1,AO899/X899),IF(BW899=1,IF(AO899&lt;=0,0,CA899*MAX(1,IF(H899&gt;0,AO899/H899,1))),IF(R899&gt;0,AP899/R899,0))/MAX(0.1,N(Parameter!$M$21)))</f>
        <v>0.00714285714285714</v>
      </c>
      <c r="AR899" s="50" t="n">
        <f aca="false">AQ899*BY899</f>
        <v>1.10714285714286</v>
      </c>
      <c r="AS899" s="50" t="n">
        <f aca="false">AO899*G899</f>
        <v>46.5</v>
      </c>
      <c r="AT899" s="50" t="n">
        <f aca="false">ROUNDUP(MAX(J899/IF(CD899&gt;0,CD899,MAX(0.1,N(Cockpit!$I$6))),CG899)/BV899,0)*BV899</f>
        <v>50</v>
      </c>
      <c r="AU899" s="51" t="n">
        <f aca="false">IF(AR899&gt;0,J899/AR899,-1)</f>
        <v>0</v>
      </c>
      <c r="AV899" s="51" t="n">
        <f aca="false">IF(AND(OR(CC899="L1",CC899="L23",CC899="LIFT"),AR899&gt;0),SUMIFS($AR$7:$AR$1843,$CC$7:$CC$1843,CC899,$AU$7:$AU$1843,"&gt;"&amp;AU899)+SUMIFS($AR$7:$AR$1843,$CC$7:$CC$1843,CC899,$AU$7:$AU$1843,AU899,$BT$7:$BT$1843,"&lt;="&amp;BT899),"")</f>
        <v>40433.9734509841</v>
      </c>
      <c r="AW899" s="58" t="n">
        <f aca="false">IF(AV899="",0,MAX(0,MIN(1,(IF(CC899="L1",Parameter!$H$5,IF(CC899="L23",Parameter!$H$6+Parameter!$H$7,Parameter!$H$5+Parameter!$H$6+Parameter!$H$7))-(AV899-AR899))/AR899)))</f>
        <v>0</v>
      </c>
      <c r="AX899" s="50" t="n">
        <f aca="false">IF(LEFT(Cockpit!$O$5,1)="A",H899,IF(CE899=1,CF899,IF(LEFT(Cockpit!$O$5,1)="B",BC899,MAX(BC899,H899))))</f>
        <v>50</v>
      </c>
      <c r="AY899" s="50" t="n">
        <f aca="false">IF(BW899=1,0,ROUNDUP(AX899/BV899,0))</f>
        <v>1</v>
      </c>
      <c r="AZ899" s="52" t="n">
        <f aca="false">IF(CL899&gt;0,CL899*MAX(1,AX899/X899),IF(BW899=1,IF(AX899&lt;=0,0,CA899*MAX(1,IF(H899&gt;0,AX899/H899,1))),IF(R899&gt;0,AY899/R899,0))/MAX(0.1,N(Parameter!$M$21)))</f>
        <v>0.00714285714285714</v>
      </c>
      <c r="BA899" s="50" t="n">
        <f aca="false">AZ899*BY899</f>
        <v>1.10714285714286</v>
      </c>
      <c r="BB899" s="50" t="n">
        <f aca="false">AX899*G899</f>
        <v>46.5</v>
      </c>
      <c r="BC899" s="50" t="n">
        <f aca="false">ROUNDUP(MAX(J899/IF(CD899&gt;0,CD899,MAX(0.1,N(Cockpit!$O$6))),CG899)/BV899,0)*BV899</f>
        <v>50</v>
      </c>
      <c r="BD899" s="51" t="n">
        <f aca="false">IF(BA899&gt;0,J899/BA899,-1)</f>
        <v>0</v>
      </c>
      <c r="BE899" s="51" t="n">
        <f aca="false">IF(AND(OR(CC899="L1",CC899="L23",CC899="LIFT"),BA899&gt;0),SUMIFS($BA$7:$BA$1843,$CC$7:$CC$1843,CC899,$BD$7:$BD$1843,"&gt;"&amp;BD899)+SUMIFS($BA$7:$BA$1843,$CC$7:$CC$1843,CC899,$BD$7:$BD$1843,BD899,$BT$7:$BT$1843,"&lt;="&amp;BT899),"")</f>
        <v>37108.9854928499</v>
      </c>
      <c r="BF899" s="58" t="n">
        <f aca="false">IF(BE899="",0,MAX(0,MIN(1,(IF(CC899="L1",Parameter!$H$5,IF(CC899="L23",Parameter!$H$6+Parameter!$H$7,Parameter!$H$5+Parameter!$H$6+Parameter!$H$7))-(BE899-BA899))/BA899)))</f>
        <v>0</v>
      </c>
      <c r="BG899" s="48" t="str">
        <f aca="false">IF(AI899&lt;=0,"",IF(CC899="Aussen","Aussenlager",IF(CC899="-","Nicht im Lift",IF(AN899&gt;=1,"Lift",IF(AN899&lt;=0,"Aussenlager","teilweise")))))</f>
        <v>Lift</v>
      </c>
      <c r="BH899" s="48" t="str">
        <f aca="false">IF(AR899&lt;=0,"",IF(CC899="Aussen","Aussenlager",IF(CC899="-","Nicht im Lift",IF(AW899&gt;=1,"Lift",IF(AW899&lt;=0,"Aussenlager","teilweise")))))</f>
        <v>Aussenlager</v>
      </c>
      <c r="BI899" s="48" t="str">
        <f aca="false">IF(BA899&lt;=0,"",IF(CC899="Aussen","Aussenlager",IF(CC899="-","Nicht im Lift",IF(BF899&gt;=1,"Lift",IF(BF899&lt;=0,"Aussenlager","teilweise")))))</f>
        <v>Aussenlager</v>
      </c>
      <c r="BJ899" s="48" t="str">
        <f aca="false">IF(A899="","",IF(BS899=1,"Neu; ","")&amp;IF(AND(BS899=0,BN899&lt;0),"negativer Bestand (Export "&amp;BN899&amp;"); ","")&amp;IF(J899&lt;=0,"Kein Verbrauch; ","")&amp;IF(CL899&gt;0,"Lift "&amp;W899&amp;" lt. Liftbericht (Fach "&amp;X899&amp;" Stk); ",IF(BX899=1,"Gebinde geschätzt ("&amp;T899&amp;"); ",IF(BW899=1,"Lose – Tablare geschätzt; ","")))&amp;IF(H899&gt;AT899,"Überbestand "&amp;ROUND(H899-AT899,0)&amp;" Stk / CHF "&amp;ROUND((H899-AT899)*G899,0)&amp;"; ","")&amp;IF(AND(CE899=1,CF899&lt;CG899),"MAX &lt; MB+LG; ","")&amp;IF(AND(CK899&gt;0,CJ899*10&gt;CK899),"zu hoch für Tablar; ","")&amp;IF(AND(BS899=0,OR(CE899=1,AA899&lt;&gt;"",U899&lt;&gt;"",V899&lt;&gt;"",AB899&lt;&gt;"")),"manuell übersteuert; ","")&amp;IF(AND(BW899=0,R899=0),"Gebinde unbekannt / Stellmass fehlt; ","")&amp;IF(AND(BW899=0,N(V899)&lt;=0,N(Q899)&lt;=0),"Menge pro Gebinde fehlt (Ist = 1 Gebinde); ","")&amp;BR899)</f>
        <v>negativer Bestand (Export -35); Kein Verbrauch; Twin</v>
      </c>
      <c r="BK899" s="48"/>
      <c r="BL899" s="48"/>
      <c r="BM899" s="55"/>
      <c r="BN899" s="50" t="n">
        <v>-35</v>
      </c>
      <c r="BO899" s="50" t="n">
        <v>80</v>
      </c>
      <c r="BP899" s="49" t="n">
        <v>-32.55</v>
      </c>
      <c r="BQ899" s="50" t="n">
        <v>0</v>
      </c>
      <c r="BR899" s="48" t="s">
        <v>218</v>
      </c>
      <c r="BS899" s="53" t="n">
        <v>0</v>
      </c>
      <c r="BT899" s="53" t="n">
        <v>899</v>
      </c>
      <c r="BU899" s="48" t="str">
        <f aca="false">IF(U899&lt;&gt;"",UPPER(TRIM(U899)),IF(BX899=1,UPPER(VLOOKUP(T899,Parameter!$I$27:$K$29,2,0)),IF(P899="","LOSE",P899)))</f>
        <v>S22</v>
      </c>
      <c r="BV899" s="50" t="n">
        <f aca="false">IF(BU899="LOSE",1,IF(N(V899)&gt;0,V899,IF(BX899=1,MAX(1,N(VLOOKUP(T899,Parameter!$I$27:$K$29,3,0)),H899,N(N899)),IF(N(Q899)&gt;0,Q899,MAX(1,H899)))))</f>
        <v>50</v>
      </c>
      <c r="BW899" s="53" t="n">
        <f aca="false">IF(BU899="LOSE",1,0)</f>
        <v>0</v>
      </c>
      <c r="BX899" s="53" t="n">
        <f aca="false">IF(AND(U899="",OR(P899="",P899="LOSE"),T899&lt;&gt;"",N(S899)&lt;=0,ISNUMBER(MATCH(T899,Parameter!$I$27:$I$29,0))),1,0)</f>
        <v>0</v>
      </c>
      <c r="BY899" s="53" t="n">
        <f aca="false">IF(CL899&gt;0,INDEX(Parameter!$H$5:$H$7,W899)/INDEX(Parameter!$E$5:$E$7,W899),IF(AND(BW899=0,N(IFERROR(VLOOKUP(BU899,'Gebinde-Kategorie'!$A$5:$N$45,14,0),0))&gt;0),VLOOKUP(BU899,'Gebinde-Kategorie'!$A$5:$N$45,14,0)*10+Parameter!$M$23,Parameter!$M$24))</f>
        <v>155</v>
      </c>
      <c r="BZ899" s="48" t="str">
        <f aca="false">IF(AND(Parameter!$B$19="Ja",E899&lt;&gt;"",ISNUMBER(MATCH(E899,Parameter!$I$35:$I$52,0))),VLOOKUP(E899,Parameter!$I$35:$J$52,2,0),IFERROR(VLOOKUP(D899,Parameter!$A$35:$C$64,2,0),"Nein"))</f>
        <v>2+3</v>
      </c>
      <c r="CA899" s="52" t="n">
        <f aca="false">IF(BW899=0,0,IF(N(S899)&gt;0,S899,IFERROR(VLOOKUP(D899,Parameter!$A$35:$C$64,3,0)+0,0)))</f>
        <v>0</v>
      </c>
      <c r="CB899" s="48" t="n">
        <f aca="false">IF(AA899&lt;&gt;"",AA899,Z899)</f>
        <v>3</v>
      </c>
      <c r="CC899" s="48" t="str">
        <f aca="false">IF(OR(CB899=1,CB899=2,CB899=3),IF(Parameter!$E$27="Ja","LIFT",IF(CB899=1,"L1","L23")),IF(CB899="Aussen","Aussen","-"))</f>
        <v>LIFT</v>
      </c>
      <c r="CD899" s="59" t="n">
        <f aca="false">IF(N(AB899)&gt;0,AB899,0)</f>
        <v>0</v>
      </c>
      <c r="CE899" s="53" t="n">
        <f aca="false">IF(ISNUMBER(AE899),1,0)</f>
        <v>0</v>
      </c>
      <c r="CF899" s="50" t="n">
        <f aca="false">N(AE899)</f>
        <v>0</v>
      </c>
      <c r="CG899" s="50" t="n">
        <f aca="false">N(M899)+N(N899)</f>
        <v>1</v>
      </c>
      <c r="CH899" s="50" t="n">
        <f aca="false">ROUNDUP(H899/BV899,0)</f>
        <v>1</v>
      </c>
      <c r="CI899" s="50" t="n">
        <f aca="false">ROUNDUP(CF899/BV899,0)</f>
        <v>0</v>
      </c>
      <c r="CJ899" s="53" t="n">
        <f aca="false">IF(BW899=1,0,IFERROR(VLOOKUP(BU899,'Gebinde-Kategorie'!$A$5:$N$45,5,0)+0,0))</f>
        <v>8</v>
      </c>
      <c r="CK899" s="53" t="n">
        <f aca="false">IFERROR(IF(OR(CB899=1,CB899=2,CB899=3),N(INDEX(Parameter!$I$5:$I$7,CB899)),0),0)</f>
        <v>0</v>
      </c>
      <c r="CL899" s="52" t="n">
        <f aca="false">IF(AND(Parameter!$B$21="Ja",ISNUMBER(W899),N(X899)&gt;0),IFERROR(N(INDEX(Parameter!$L$5:$L$7,W899))*INDEX(Parameter!$E$5:$E$7,W899)*X899/SUMIFS($X$7:$X$1843,$W$7:$W$1843,W899),0),0)</f>
        <v>0</v>
      </c>
    </row>
    <row r="900" customFormat="false" ht="15" hidden="false" customHeight="false" outlineLevel="0" collapsed="false">
      <c r="A900" s="48" t="s">
        <v>1697</v>
      </c>
      <c r="B900" s="48" t="s">
        <v>1698</v>
      </c>
      <c r="C900" s="48" t="s">
        <v>168</v>
      </c>
      <c r="D900" s="48" t="s">
        <v>188</v>
      </c>
      <c r="E900" s="48"/>
      <c r="F900" s="48" t="s">
        <v>222</v>
      </c>
      <c r="G900" s="49" t="n">
        <v>11.39</v>
      </c>
      <c r="H900" s="50" t="n">
        <f aca="false">MAX(0,IF(AND(Parameter!$B$21="Ja",ISNUMBER(Y900)),Y900,IF(Parameter!$B$20="Jahresanfang 2025 + Export",BO900+BN900,BN900)))</f>
        <v>0</v>
      </c>
      <c r="I900" s="50" t="n">
        <f aca="false">H900*G900</f>
        <v>0</v>
      </c>
      <c r="J900" s="50" t="n">
        <f aca="false">BQ900*Parameter!$B$18</f>
        <v>0</v>
      </c>
      <c r="K900" s="51" t="n">
        <v>1.5</v>
      </c>
      <c r="L900" s="52" t="n">
        <v>0</v>
      </c>
      <c r="M900" s="50" t="n">
        <v>0</v>
      </c>
      <c r="N900" s="50" t="n">
        <v>1</v>
      </c>
      <c r="O900" s="53" t="n">
        <v>28</v>
      </c>
      <c r="P900" s="48" t="s">
        <v>172</v>
      </c>
      <c r="Q900" s="50"/>
      <c r="R900" s="53" t="n">
        <f aca="false">IF(BW900=1,0,IFERROR(VLOOKUP(BU900,'Gebinde-Kategorie'!$A$5:$N$45,13,0)+0,0))</f>
        <v>26</v>
      </c>
      <c r="S900" s="54"/>
      <c r="T900" s="55" t="s">
        <v>279</v>
      </c>
      <c r="U900" s="55"/>
      <c r="V900" s="55"/>
      <c r="W900" s="48"/>
      <c r="X900" s="50"/>
      <c r="Y900" s="50"/>
      <c r="Z900" s="48" t="n">
        <f aca="false">IF(A900="","",IF(AND(Parameter!$B$21="Ja",ISNUMBER(W900)),W900,IF(BZ900="2+3",IF(ISNUMBER(SEARCH("grosser Artikel",BR900)),2,IFERROR(VLOOKUP(BU900,Parameter!$F$35:$G$64,2,0),2)),IF(OR(BZ900="Nein",BZ900=""),"-",BZ900))))</f>
        <v>3</v>
      </c>
      <c r="AA900" s="55"/>
      <c r="AB900" s="56"/>
      <c r="AC900" s="50" t="n">
        <f aca="false">AT900</f>
        <v>20</v>
      </c>
      <c r="AD900" s="50" t="n">
        <f aca="false">MAX(AT900,H900)</f>
        <v>20</v>
      </c>
      <c r="AE900" s="57"/>
      <c r="AF900" s="50" t="n">
        <f aca="false">IF(LEFT(Cockpit!$C$5,1)="A",H900,IF(CE900=1,CF900,IF(LEFT(Cockpit!$C$5,1)="B",AK900,MAX(AK900,H900))))</f>
        <v>0</v>
      </c>
      <c r="AG900" s="50" t="n">
        <f aca="false">IF(BW900=1,0,ROUNDUP(AF900/BV900,0))</f>
        <v>0</v>
      </c>
      <c r="AH900" s="52" t="n">
        <f aca="false">IF(CL900&gt;0,CL900*MAX(1,AF900/X900),IF(BW900=1,IF(AF900&lt;=0,0,CA900*MAX(1,IF(H900&gt;0,AF900/H900,1))),IF(R900&gt;0,AG900/R900,0))/MAX(0.1,N(Parameter!$M$21)))</f>
        <v>0</v>
      </c>
      <c r="AI900" s="50" t="n">
        <f aca="false">AH900*BY900</f>
        <v>0</v>
      </c>
      <c r="AJ900" s="50" t="n">
        <f aca="false">AF900*G900</f>
        <v>0</v>
      </c>
      <c r="AK900" s="50" t="n">
        <f aca="false">ROUNDUP(MAX(J900/IF(CD900&gt;0,CD900,MAX(0.1,N(Cockpit!$C$6))),CG900)/BV900,0)*BV900</f>
        <v>20</v>
      </c>
      <c r="AL900" s="51" t="n">
        <f aca="false">IF(AI900&gt;0,J900/AI900,-1)</f>
        <v>-1</v>
      </c>
      <c r="AM900" s="51" t="str">
        <f aca="false">IF(AND(OR(CC900="L1",CC900="L23",CC900="LIFT"),AI900&gt;0),SUMIFS($AI$7:$AI$1843,$CC$7:$CC$1843,CC900,$AL$7:$AL$1843,"&gt;"&amp;AL900)+SUMIFS($AI$7:$AI$1843,$CC$7:$CC$1843,CC900,$AL$7:$AL$1843,AL900,$BT$7:$BT$1843,"&lt;="&amp;BT900),"")</f>
        <v/>
      </c>
      <c r="AN900" s="58" t="n">
        <f aca="false">IF(AM900="",0,MAX(0,MIN(1,(IF(CC900="L1",Parameter!$H$5,IF(CC900="L23",Parameter!$H$6+Parameter!$H$7,Parameter!$H$5+Parameter!$H$6+Parameter!$H$7))-(AM900-AI900))/AI900)))</f>
        <v>0</v>
      </c>
      <c r="AO900" s="50" t="n">
        <f aca="false">IF(LEFT(Cockpit!$I$5,1)="A",H900,IF(CE900=1,CF900,IF(LEFT(Cockpit!$I$5,1)="B",AT900,MAX(AT900,H900))))</f>
        <v>20</v>
      </c>
      <c r="AP900" s="50" t="n">
        <f aca="false">IF(BW900=1,0,ROUNDUP(AO900/BV900,0))</f>
        <v>1</v>
      </c>
      <c r="AQ900" s="52" t="n">
        <f aca="false">IF(CL900&gt;0,CL900*MAX(1,AO900/X900),IF(BW900=1,IF(AO900&lt;=0,0,CA900*MAX(1,IF(H900&gt;0,AO900/H900,1))),IF(R900&gt;0,AP900/R900,0))/MAX(0.1,N(Parameter!$M$21)))</f>
        <v>0.0384615384615385</v>
      </c>
      <c r="AR900" s="50" t="n">
        <f aca="false">AQ900*BY900</f>
        <v>5.96153846153846</v>
      </c>
      <c r="AS900" s="50" t="n">
        <f aca="false">AO900*G900</f>
        <v>227.8</v>
      </c>
      <c r="AT900" s="50" t="n">
        <f aca="false">ROUNDUP(MAX(J900/IF(CD900&gt;0,CD900,MAX(0.1,N(Cockpit!$I$6))),CG900)/BV900,0)*BV900</f>
        <v>20</v>
      </c>
      <c r="AU900" s="51" t="n">
        <f aca="false">IF(AR900&gt;0,J900/AR900,-1)</f>
        <v>0</v>
      </c>
      <c r="AV900" s="51" t="n">
        <f aca="false">IF(AND(OR(CC900="L1",CC900="L23",CC900="LIFT"),AR900&gt;0),SUMIFS($AR$7:$AR$1843,$CC$7:$CC$1843,CC900,$AU$7:$AU$1843,"&gt;"&amp;AU900)+SUMIFS($AR$7:$AR$1843,$CC$7:$CC$1843,CC900,$AU$7:$AU$1843,AU900,$BT$7:$BT$1843,"&lt;="&amp;BT900),"")</f>
        <v>40439.9349894456</v>
      </c>
      <c r="AW900" s="58" t="n">
        <f aca="false">IF(AV900="",0,MAX(0,MIN(1,(IF(CC900="L1",Parameter!$H$5,IF(CC900="L23",Parameter!$H$6+Parameter!$H$7,Parameter!$H$5+Parameter!$H$6+Parameter!$H$7))-(AV900-AR900))/AR900)))</f>
        <v>0</v>
      </c>
      <c r="AX900" s="50" t="n">
        <f aca="false">IF(LEFT(Cockpit!$O$5,1)="A",H900,IF(CE900=1,CF900,IF(LEFT(Cockpit!$O$5,1)="B",BC900,MAX(BC900,H900))))</f>
        <v>20</v>
      </c>
      <c r="AY900" s="50" t="n">
        <f aca="false">IF(BW900=1,0,ROUNDUP(AX900/BV900,0))</f>
        <v>1</v>
      </c>
      <c r="AZ900" s="52" t="n">
        <f aca="false">IF(CL900&gt;0,CL900*MAX(1,AX900/X900),IF(BW900=1,IF(AX900&lt;=0,0,CA900*MAX(1,IF(H900&gt;0,AX900/H900,1))),IF(R900&gt;0,AY900/R900,0))/MAX(0.1,N(Parameter!$M$21)))</f>
        <v>0.0384615384615385</v>
      </c>
      <c r="BA900" s="50" t="n">
        <f aca="false">AZ900*BY900</f>
        <v>5.96153846153846</v>
      </c>
      <c r="BB900" s="50" t="n">
        <f aca="false">AX900*G900</f>
        <v>227.8</v>
      </c>
      <c r="BC900" s="50" t="n">
        <f aca="false">ROUNDUP(MAX(J900/IF(CD900&gt;0,CD900,MAX(0.1,N(Cockpit!$O$6))),CG900)/BV900,0)*BV900</f>
        <v>20</v>
      </c>
      <c r="BD900" s="51" t="n">
        <f aca="false">IF(BA900&gt;0,J900/BA900,-1)</f>
        <v>0</v>
      </c>
      <c r="BE900" s="51" t="n">
        <f aca="false">IF(AND(OR(CC900="L1",CC900="L23",CC900="LIFT"),BA900&gt;0),SUMIFS($BA$7:$BA$1843,$CC$7:$CC$1843,CC900,$BD$7:$BD$1843,"&gt;"&amp;BD900)+SUMIFS($BA$7:$BA$1843,$CC$7:$CC$1843,CC900,$BD$7:$BD$1843,BD900,$BT$7:$BT$1843,"&lt;="&amp;BT900),"")</f>
        <v>37114.9470313114</v>
      </c>
      <c r="BF900" s="58" t="n">
        <f aca="false">IF(BE900="",0,MAX(0,MIN(1,(IF(CC900="L1",Parameter!$H$5,IF(CC900="L23",Parameter!$H$6+Parameter!$H$7,Parameter!$H$5+Parameter!$H$6+Parameter!$H$7))-(BE900-BA900))/BA900)))</f>
        <v>0</v>
      </c>
      <c r="BG900" s="48" t="str">
        <f aca="false">IF(AI900&lt;=0,"",IF(CC900="Aussen","Aussenlager",IF(CC900="-","Nicht im Lift",IF(AN900&gt;=1,"Lift",IF(AN900&lt;=0,"Aussenlager","teilweise")))))</f>
        <v/>
      </c>
      <c r="BH900" s="48" t="str">
        <f aca="false">IF(AR900&lt;=0,"",IF(CC900="Aussen","Aussenlager",IF(CC900="-","Nicht im Lift",IF(AW900&gt;=1,"Lift",IF(AW900&lt;=0,"Aussenlager","teilweise")))))</f>
        <v>Aussenlager</v>
      </c>
      <c r="BI900" s="48" t="str">
        <f aca="false">IF(BA900&lt;=0,"",IF(CC900="Aussen","Aussenlager",IF(CC900="-","Nicht im Lift",IF(BF900&gt;=1,"Lift",IF(BF900&lt;=0,"Aussenlager","teilweise")))))</f>
        <v>Aussenlager</v>
      </c>
      <c r="BJ900" s="48" t="str">
        <f aca="false">IF(A900="","",IF(BS900=1,"Neu; ","")&amp;IF(AND(BS900=0,BN900&lt;0),"negativer Bestand (Export "&amp;BN900&amp;"); ","")&amp;IF(J900&lt;=0,"Kein Verbrauch; ","")&amp;IF(CL900&gt;0,"Lift "&amp;W900&amp;" lt. Liftbericht (Fach "&amp;X900&amp;" Stk); ",IF(BX900=1,"Gebinde geschätzt ("&amp;T900&amp;"); ",IF(BW900=1,"Lose – Tablare geschätzt; ","")))&amp;IF(H900&gt;AT900,"Überbestand "&amp;ROUND(H900-AT900,0)&amp;" Stk / CHF "&amp;ROUND((H900-AT900)*G900,0)&amp;"; ","")&amp;IF(AND(CE900=1,CF900&lt;CG900),"MAX &lt; MB+LG; ","")&amp;IF(AND(CK900&gt;0,CJ900*10&gt;CK900),"zu hoch für Tablar; ","")&amp;IF(AND(BS900=0,OR(CE900=1,AA900&lt;&gt;"",U900&lt;&gt;"",V900&lt;&gt;"",AB900&lt;&gt;"")),"manuell übersteuert; ","")&amp;IF(AND(BW900=0,R900=0),"Gebinde unbekannt / Stellmass fehlt; ","")&amp;IF(AND(BW900=0,N(V900)&lt;=0,N(Q900)&lt;=0),"Menge pro Gebinde fehlt (Ist = 1 Gebinde); ","")&amp;BR900)</f>
        <v>negativer Bestand (Export -3); Kein Verbrauch; Gebinde geschätzt (Klein); Menge pro Gebinde fehlt (Ist = 1 Gebinde); </v>
      </c>
      <c r="BK900" s="48"/>
      <c r="BL900" s="48"/>
      <c r="BM900" s="55"/>
      <c r="BN900" s="50" t="n">
        <v>-3</v>
      </c>
      <c r="BO900" s="50" t="n">
        <v>3</v>
      </c>
      <c r="BP900" s="49" t="n">
        <v>-34.17</v>
      </c>
      <c r="BQ900" s="50" t="n">
        <v>0</v>
      </c>
      <c r="BR900" s="48"/>
      <c r="BS900" s="53" t="n">
        <v>0</v>
      </c>
      <c r="BT900" s="53" t="n">
        <v>900</v>
      </c>
      <c r="BU900" s="48" t="str">
        <f aca="false">IF(U900&lt;&gt;"",UPPER(TRIM(U900)),IF(BX900=1,UPPER(VLOOKUP(T900,Parameter!$I$27:$K$29,2,0)),IF(P900="","LOSE",P900)))</f>
        <v>S51</v>
      </c>
      <c r="BV900" s="50" t="n">
        <f aca="false">IF(BU900="LOSE",1,IF(N(V900)&gt;0,V900,IF(BX900=1,MAX(1,N(VLOOKUP(T900,Parameter!$I$27:$K$29,3,0)),H900,N(N900)),IF(N(Q900)&gt;0,Q900,MAX(1,H900)))))</f>
        <v>20</v>
      </c>
      <c r="BW900" s="53" t="n">
        <f aca="false">IF(BU900="LOSE",1,0)</f>
        <v>0</v>
      </c>
      <c r="BX900" s="53" t="n">
        <f aca="false">IF(AND(U900="",OR(P900="",P900="LOSE"),T900&lt;&gt;"",N(S900)&lt;=0,ISNUMBER(MATCH(T900,Parameter!$I$27:$I$29,0))),1,0)</f>
        <v>1</v>
      </c>
      <c r="BY900" s="53" t="n">
        <f aca="false">IF(CL900&gt;0,INDEX(Parameter!$H$5:$H$7,W900)/INDEX(Parameter!$E$5:$E$7,W900),IF(AND(BW900=0,N(IFERROR(VLOOKUP(BU900,'Gebinde-Kategorie'!$A$5:$N$45,14,0),0))&gt;0),VLOOKUP(BU900,'Gebinde-Kategorie'!$A$5:$N$45,14,0)*10+Parameter!$M$23,Parameter!$M$24))</f>
        <v>155</v>
      </c>
      <c r="BZ900" s="48" t="str">
        <f aca="false">IF(AND(Parameter!$B$19="Ja",E900&lt;&gt;"",ISNUMBER(MATCH(E900,Parameter!$I$35:$I$52,0))),VLOOKUP(E900,Parameter!$I$35:$J$52,2,0),IFERROR(VLOOKUP(D900,Parameter!$A$35:$C$64,2,0),"Nein"))</f>
        <v>2+3</v>
      </c>
      <c r="CA900" s="52" t="n">
        <f aca="false">IF(BW900=0,0,IF(N(S900)&gt;0,S900,IFERROR(VLOOKUP(D900,Parameter!$A$35:$C$64,3,0)+0,0)))</f>
        <v>0</v>
      </c>
      <c r="CB900" s="48" t="n">
        <f aca="false">IF(AA900&lt;&gt;"",AA900,Z900)</f>
        <v>3</v>
      </c>
      <c r="CC900" s="48" t="str">
        <f aca="false">IF(OR(CB900=1,CB900=2,CB900=3),IF(Parameter!$E$27="Ja","LIFT",IF(CB900=1,"L1","L23")),IF(CB900="Aussen","Aussen","-"))</f>
        <v>LIFT</v>
      </c>
      <c r="CD900" s="59" t="n">
        <f aca="false">IF(N(AB900)&gt;0,AB900,0)</f>
        <v>0</v>
      </c>
      <c r="CE900" s="53" t="n">
        <f aca="false">IF(ISNUMBER(AE900),1,0)</f>
        <v>0</v>
      </c>
      <c r="CF900" s="50" t="n">
        <f aca="false">N(AE900)</f>
        <v>0</v>
      </c>
      <c r="CG900" s="50" t="n">
        <f aca="false">N(M900)+N(N900)</f>
        <v>1</v>
      </c>
      <c r="CH900" s="50" t="n">
        <f aca="false">ROUNDUP(H900/BV900,0)</f>
        <v>0</v>
      </c>
      <c r="CI900" s="50" t="n">
        <f aca="false">ROUNDUP(CF900/BV900,0)</f>
        <v>0</v>
      </c>
      <c r="CJ900" s="53" t="n">
        <f aca="false">IF(BW900=1,0,IFERROR(VLOOKUP(BU900,'Gebinde-Kategorie'!$A$5:$N$45,5,0)+0,0))</f>
        <v>11</v>
      </c>
      <c r="CK900" s="53" t="n">
        <f aca="false">IFERROR(IF(OR(CB900=1,CB900=2,CB900=3),N(INDEX(Parameter!$I$5:$I$7,CB900)),0),0)</f>
        <v>0</v>
      </c>
      <c r="CL900" s="52" t="n">
        <f aca="false">IF(AND(Parameter!$B$21="Ja",ISNUMBER(W900),N(X900)&gt;0),IFERROR(N(INDEX(Parameter!$L$5:$L$7,W900))*INDEX(Parameter!$E$5:$E$7,W900)*X900/SUMIFS($X$7:$X$1843,$W$7:$W$1843,W900),0),0)</f>
        <v>0</v>
      </c>
    </row>
    <row r="901" customFormat="false" ht="15" hidden="false" customHeight="false" outlineLevel="0" collapsed="false">
      <c r="A901" s="48" t="s">
        <v>1699</v>
      </c>
      <c r="B901" s="48" t="s">
        <v>1698</v>
      </c>
      <c r="C901" s="48" t="s">
        <v>168</v>
      </c>
      <c r="D901" s="48" t="s">
        <v>188</v>
      </c>
      <c r="E901" s="48"/>
      <c r="F901" s="48" t="s">
        <v>222</v>
      </c>
      <c r="G901" s="49" t="n">
        <v>11.39</v>
      </c>
      <c r="H901" s="50" t="n">
        <f aca="false">MAX(0,IF(AND(Parameter!$B$21="Ja",ISNUMBER(Y901)),Y901,IF(Parameter!$B$20="Jahresanfang 2025 + Export",BO901+BN901,BN901)))</f>
        <v>0</v>
      </c>
      <c r="I901" s="50" t="n">
        <f aca="false">H901*G901</f>
        <v>0</v>
      </c>
      <c r="J901" s="50" t="n">
        <f aca="false">BQ901*Parameter!$B$18</f>
        <v>0</v>
      </c>
      <c r="K901" s="51" t="n">
        <v>1.5</v>
      </c>
      <c r="L901" s="52" t="n">
        <v>0</v>
      </c>
      <c r="M901" s="50" t="n">
        <v>0</v>
      </c>
      <c r="N901" s="50" t="n">
        <v>1</v>
      </c>
      <c r="O901" s="53" t="n">
        <v>28</v>
      </c>
      <c r="P901" s="48" t="s">
        <v>172</v>
      </c>
      <c r="Q901" s="50"/>
      <c r="R901" s="53" t="n">
        <f aca="false">IF(BW901=1,0,IFERROR(VLOOKUP(BU901,'Gebinde-Kategorie'!$A$5:$N$45,13,0)+0,0))</f>
        <v>26</v>
      </c>
      <c r="S901" s="54"/>
      <c r="T901" s="55" t="s">
        <v>279</v>
      </c>
      <c r="U901" s="55"/>
      <c r="V901" s="55"/>
      <c r="W901" s="48"/>
      <c r="X901" s="50"/>
      <c r="Y901" s="50"/>
      <c r="Z901" s="48" t="n">
        <f aca="false">IF(A901="","",IF(AND(Parameter!$B$21="Ja",ISNUMBER(W901)),W901,IF(BZ901="2+3",IF(ISNUMBER(SEARCH("grosser Artikel",BR901)),2,IFERROR(VLOOKUP(BU901,Parameter!$F$35:$G$64,2,0),2)),IF(OR(BZ901="Nein",BZ901=""),"-",BZ901))))</f>
        <v>3</v>
      </c>
      <c r="AA901" s="55"/>
      <c r="AB901" s="56"/>
      <c r="AC901" s="50" t="n">
        <f aca="false">AT901</f>
        <v>20</v>
      </c>
      <c r="AD901" s="50" t="n">
        <f aca="false">MAX(AT901,H901)</f>
        <v>20</v>
      </c>
      <c r="AE901" s="57"/>
      <c r="AF901" s="50" t="n">
        <f aca="false">IF(LEFT(Cockpit!$C$5,1)="A",H901,IF(CE901=1,CF901,IF(LEFT(Cockpit!$C$5,1)="B",AK901,MAX(AK901,H901))))</f>
        <v>0</v>
      </c>
      <c r="AG901" s="50" t="n">
        <f aca="false">IF(BW901=1,0,ROUNDUP(AF901/BV901,0))</f>
        <v>0</v>
      </c>
      <c r="AH901" s="52" t="n">
        <f aca="false">IF(CL901&gt;0,CL901*MAX(1,AF901/X901),IF(BW901=1,IF(AF901&lt;=0,0,CA901*MAX(1,IF(H901&gt;0,AF901/H901,1))),IF(R901&gt;0,AG901/R901,0))/MAX(0.1,N(Parameter!$M$21)))</f>
        <v>0</v>
      </c>
      <c r="AI901" s="50" t="n">
        <f aca="false">AH901*BY901</f>
        <v>0</v>
      </c>
      <c r="AJ901" s="50" t="n">
        <f aca="false">AF901*G901</f>
        <v>0</v>
      </c>
      <c r="AK901" s="50" t="n">
        <f aca="false">ROUNDUP(MAX(J901/IF(CD901&gt;0,CD901,MAX(0.1,N(Cockpit!$C$6))),CG901)/BV901,0)*BV901</f>
        <v>20</v>
      </c>
      <c r="AL901" s="51" t="n">
        <f aca="false">IF(AI901&gt;0,J901/AI901,-1)</f>
        <v>-1</v>
      </c>
      <c r="AM901" s="51" t="str">
        <f aca="false">IF(AND(OR(CC901="L1",CC901="L23",CC901="LIFT"),AI901&gt;0),SUMIFS($AI$7:$AI$1843,$CC$7:$CC$1843,CC901,$AL$7:$AL$1843,"&gt;"&amp;AL901)+SUMIFS($AI$7:$AI$1843,$CC$7:$CC$1843,CC901,$AL$7:$AL$1843,AL901,$BT$7:$BT$1843,"&lt;="&amp;BT901),"")</f>
        <v/>
      </c>
      <c r="AN901" s="58" t="n">
        <f aca="false">IF(AM901="",0,MAX(0,MIN(1,(IF(CC901="L1",Parameter!$H$5,IF(CC901="L23",Parameter!$H$6+Parameter!$H$7,Parameter!$H$5+Parameter!$H$6+Parameter!$H$7))-(AM901-AI901))/AI901)))</f>
        <v>0</v>
      </c>
      <c r="AO901" s="50" t="n">
        <f aca="false">IF(LEFT(Cockpit!$I$5,1)="A",H901,IF(CE901=1,CF901,IF(LEFT(Cockpit!$I$5,1)="B",AT901,MAX(AT901,H901))))</f>
        <v>20</v>
      </c>
      <c r="AP901" s="50" t="n">
        <f aca="false">IF(BW901=1,0,ROUNDUP(AO901/BV901,0))</f>
        <v>1</v>
      </c>
      <c r="AQ901" s="52" t="n">
        <f aca="false">IF(CL901&gt;0,CL901*MAX(1,AO901/X901),IF(BW901=1,IF(AO901&lt;=0,0,CA901*MAX(1,IF(H901&gt;0,AO901/H901,1))),IF(R901&gt;0,AP901/R901,0))/MAX(0.1,N(Parameter!$M$21)))</f>
        <v>0.0384615384615385</v>
      </c>
      <c r="AR901" s="50" t="n">
        <f aca="false">AQ901*BY901</f>
        <v>5.96153846153846</v>
      </c>
      <c r="AS901" s="50" t="n">
        <f aca="false">AO901*G901</f>
        <v>227.8</v>
      </c>
      <c r="AT901" s="50" t="n">
        <f aca="false">ROUNDUP(MAX(J901/IF(CD901&gt;0,CD901,MAX(0.1,N(Cockpit!$I$6))),CG901)/BV901,0)*BV901</f>
        <v>20</v>
      </c>
      <c r="AU901" s="51" t="n">
        <f aca="false">IF(AR901&gt;0,J901/AR901,-1)</f>
        <v>0</v>
      </c>
      <c r="AV901" s="51" t="n">
        <f aca="false">IF(AND(OR(CC901="L1",CC901="L23",CC901="LIFT"),AR901&gt;0),SUMIFS($AR$7:$AR$1843,$CC$7:$CC$1843,CC901,$AU$7:$AU$1843,"&gt;"&amp;AU901)+SUMIFS($AR$7:$AR$1843,$CC$7:$CC$1843,CC901,$AU$7:$AU$1843,AU901,$BT$7:$BT$1843,"&lt;="&amp;BT901),"")</f>
        <v>40445.8965279071</v>
      </c>
      <c r="AW901" s="58" t="n">
        <f aca="false">IF(AV901="",0,MAX(0,MIN(1,(IF(CC901="L1",Parameter!$H$5,IF(CC901="L23",Parameter!$H$6+Parameter!$H$7,Parameter!$H$5+Parameter!$H$6+Parameter!$H$7))-(AV901-AR901))/AR901)))</f>
        <v>0</v>
      </c>
      <c r="AX901" s="50" t="n">
        <f aca="false">IF(LEFT(Cockpit!$O$5,1)="A",H901,IF(CE901=1,CF901,IF(LEFT(Cockpit!$O$5,1)="B",BC901,MAX(BC901,H901))))</f>
        <v>20</v>
      </c>
      <c r="AY901" s="50" t="n">
        <f aca="false">IF(BW901=1,0,ROUNDUP(AX901/BV901,0))</f>
        <v>1</v>
      </c>
      <c r="AZ901" s="52" t="n">
        <f aca="false">IF(CL901&gt;0,CL901*MAX(1,AX901/X901),IF(BW901=1,IF(AX901&lt;=0,0,CA901*MAX(1,IF(H901&gt;0,AX901/H901,1))),IF(R901&gt;0,AY901/R901,0))/MAX(0.1,N(Parameter!$M$21)))</f>
        <v>0.0384615384615385</v>
      </c>
      <c r="BA901" s="50" t="n">
        <f aca="false">AZ901*BY901</f>
        <v>5.96153846153846</v>
      </c>
      <c r="BB901" s="50" t="n">
        <f aca="false">AX901*G901</f>
        <v>227.8</v>
      </c>
      <c r="BC901" s="50" t="n">
        <f aca="false">ROUNDUP(MAX(J901/IF(CD901&gt;0,CD901,MAX(0.1,N(Cockpit!$O$6))),CG901)/BV901,0)*BV901</f>
        <v>20</v>
      </c>
      <c r="BD901" s="51" t="n">
        <f aca="false">IF(BA901&gt;0,J901/BA901,-1)</f>
        <v>0</v>
      </c>
      <c r="BE901" s="51" t="n">
        <f aca="false">IF(AND(OR(CC901="L1",CC901="L23",CC901="LIFT"),BA901&gt;0),SUMIFS($BA$7:$BA$1843,$CC$7:$CC$1843,CC901,$BD$7:$BD$1843,"&gt;"&amp;BD901)+SUMIFS($BA$7:$BA$1843,$CC$7:$CC$1843,CC901,$BD$7:$BD$1843,BD901,$BT$7:$BT$1843,"&lt;="&amp;BT901),"")</f>
        <v>37120.908569773</v>
      </c>
      <c r="BF901" s="58" t="n">
        <f aca="false">IF(BE901="",0,MAX(0,MIN(1,(IF(CC901="L1",Parameter!$H$5,IF(CC901="L23",Parameter!$H$6+Parameter!$H$7,Parameter!$H$5+Parameter!$H$6+Parameter!$H$7))-(BE901-BA901))/BA901)))</f>
        <v>0</v>
      </c>
      <c r="BG901" s="48" t="str">
        <f aca="false">IF(AI901&lt;=0,"",IF(CC901="Aussen","Aussenlager",IF(CC901="-","Nicht im Lift",IF(AN901&gt;=1,"Lift",IF(AN901&lt;=0,"Aussenlager","teilweise")))))</f>
        <v/>
      </c>
      <c r="BH901" s="48" t="str">
        <f aca="false">IF(AR901&lt;=0,"",IF(CC901="Aussen","Aussenlager",IF(CC901="-","Nicht im Lift",IF(AW901&gt;=1,"Lift",IF(AW901&lt;=0,"Aussenlager","teilweise")))))</f>
        <v>Aussenlager</v>
      </c>
      <c r="BI901" s="48" t="str">
        <f aca="false">IF(BA901&lt;=0,"",IF(CC901="Aussen","Aussenlager",IF(CC901="-","Nicht im Lift",IF(BF901&gt;=1,"Lift",IF(BF901&lt;=0,"Aussenlager","teilweise")))))</f>
        <v>Aussenlager</v>
      </c>
      <c r="BJ901" s="48" t="str">
        <f aca="false">IF(A901="","",IF(BS901=1,"Neu; ","")&amp;IF(AND(BS901=0,BN901&lt;0),"negativer Bestand (Export "&amp;BN901&amp;"); ","")&amp;IF(J901&lt;=0,"Kein Verbrauch; ","")&amp;IF(CL901&gt;0,"Lift "&amp;W901&amp;" lt. Liftbericht (Fach "&amp;X901&amp;" Stk); ",IF(BX901=1,"Gebinde geschätzt ("&amp;T901&amp;"); ",IF(BW901=1,"Lose – Tablare geschätzt; ","")))&amp;IF(H901&gt;AT901,"Überbestand "&amp;ROUND(H901-AT901,0)&amp;" Stk / CHF "&amp;ROUND((H901-AT901)*G901,0)&amp;"; ","")&amp;IF(AND(CE901=1,CF901&lt;CG901),"MAX &lt; MB+LG; ","")&amp;IF(AND(CK901&gt;0,CJ901*10&gt;CK901),"zu hoch für Tablar; ","")&amp;IF(AND(BS901=0,OR(CE901=1,AA901&lt;&gt;"",U901&lt;&gt;"",V901&lt;&gt;"",AB901&lt;&gt;"")),"manuell übersteuert; ","")&amp;IF(AND(BW901=0,R901=0),"Gebinde unbekannt / Stellmass fehlt; ","")&amp;IF(AND(BW901=0,N(V901)&lt;=0,N(Q901)&lt;=0),"Menge pro Gebinde fehlt (Ist = 1 Gebinde); ","")&amp;BR901)</f>
        <v>negativer Bestand (Export -3); Kein Verbrauch; Gebinde geschätzt (Klein); Menge pro Gebinde fehlt (Ist = 1 Gebinde); </v>
      </c>
      <c r="BK901" s="48"/>
      <c r="BL901" s="48"/>
      <c r="BM901" s="55"/>
      <c r="BN901" s="50" t="n">
        <v>-3</v>
      </c>
      <c r="BO901" s="50" t="n">
        <v>3</v>
      </c>
      <c r="BP901" s="49" t="n">
        <v>-34.17</v>
      </c>
      <c r="BQ901" s="50" t="n">
        <v>0</v>
      </c>
      <c r="BR901" s="48"/>
      <c r="BS901" s="53" t="n">
        <v>0</v>
      </c>
      <c r="BT901" s="53" t="n">
        <v>901</v>
      </c>
      <c r="BU901" s="48" t="str">
        <f aca="false">IF(U901&lt;&gt;"",UPPER(TRIM(U901)),IF(BX901=1,UPPER(VLOOKUP(T901,Parameter!$I$27:$K$29,2,0)),IF(P901="","LOSE",P901)))</f>
        <v>S51</v>
      </c>
      <c r="BV901" s="50" t="n">
        <f aca="false">IF(BU901="LOSE",1,IF(N(V901)&gt;0,V901,IF(BX901=1,MAX(1,N(VLOOKUP(T901,Parameter!$I$27:$K$29,3,0)),H901,N(N901)),IF(N(Q901)&gt;0,Q901,MAX(1,H901)))))</f>
        <v>20</v>
      </c>
      <c r="BW901" s="53" t="n">
        <f aca="false">IF(BU901="LOSE",1,0)</f>
        <v>0</v>
      </c>
      <c r="BX901" s="53" t="n">
        <f aca="false">IF(AND(U901="",OR(P901="",P901="LOSE"),T901&lt;&gt;"",N(S901)&lt;=0,ISNUMBER(MATCH(T901,Parameter!$I$27:$I$29,0))),1,0)</f>
        <v>1</v>
      </c>
      <c r="BY901" s="53" t="n">
        <f aca="false">IF(CL901&gt;0,INDEX(Parameter!$H$5:$H$7,W901)/INDEX(Parameter!$E$5:$E$7,W901),IF(AND(BW901=0,N(IFERROR(VLOOKUP(BU901,'Gebinde-Kategorie'!$A$5:$N$45,14,0),0))&gt;0),VLOOKUP(BU901,'Gebinde-Kategorie'!$A$5:$N$45,14,0)*10+Parameter!$M$23,Parameter!$M$24))</f>
        <v>155</v>
      </c>
      <c r="BZ901" s="48" t="str">
        <f aca="false">IF(AND(Parameter!$B$19="Ja",E901&lt;&gt;"",ISNUMBER(MATCH(E901,Parameter!$I$35:$I$52,0))),VLOOKUP(E901,Parameter!$I$35:$J$52,2,0),IFERROR(VLOOKUP(D901,Parameter!$A$35:$C$64,2,0),"Nein"))</f>
        <v>2+3</v>
      </c>
      <c r="CA901" s="52" t="n">
        <f aca="false">IF(BW901=0,0,IF(N(S901)&gt;0,S901,IFERROR(VLOOKUP(D901,Parameter!$A$35:$C$64,3,0)+0,0)))</f>
        <v>0</v>
      </c>
      <c r="CB901" s="48" t="n">
        <f aca="false">IF(AA901&lt;&gt;"",AA901,Z901)</f>
        <v>3</v>
      </c>
      <c r="CC901" s="48" t="str">
        <f aca="false">IF(OR(CB901=1,CB901=2,CB901=3),IF(Parameter!$E$27="Ja","LIFT",IF(CB901=1,"L1","L23")),IF(CB901="Aussen","Aussen","-"))</f>
        <v>LIFT</v>
      </c>
      <c r="CD901" s="59" t="n">
        <f aca="false">IF(N(AB901)&gt;0,AB901,0)</f>
        <v>0</v>
      </c>
      <c r="CE901" s="53" t="n">
        <f aca="false">IF(ISNUMBER(AE901),1,0)</f>
        <v>0</v>
      </c>
      <c r="CF901" s="50" t="n">
        <f aca="false">N(AE901)</f>
        <v>0</v>
      </c>
      <c r="CG901" s="50" t="n">
        <f aca="false">N(M901)+N(N901)</f>
        <v>1</v>
      </c>
      <c r="CH901" s="50" t="n">
        <f aca="false">ROUNDUP(H901/BV901,0)</f>
        <v>0</v>
      </c>
      <c r="CI901" s="50" t="n">
        <f aca="false">ROUNDUP(CF901/BV901,0)</f>
        <v>0</v>
      </c>
      <c r="CJ901" s="53" t="n">
        <f aca="false">IF(BW901=1,0,IFERROR(VLOOKUP(BU901,'Gebinde-Kategorie'!$A$5:$N$45,5,0)+0,0))</f>
        <v>11</v>
      </c>
      <c r="CK901" s="53" t="n">
        <f aca="false">IFERROR(IF(OR(CB901=1,CB901=2,CB901=3),N(INDEX(Parameter!$I$5:$I$7,CB901)),0),0)</f>
        <v>0</v>
      </c>
      <c r="CL901" s="52" t="n">
        <f aca="false">IF(AND(Parameter!$B$21="Ja",ISNUMBER(W901),N(X901)&gt;0),IFERROR(N(INDEX(Parameter!$L$5:$L$7,W901))*INDEX(Parameter!$E$5:$E$7,W901)*X901/SUMIFS($X$7:$X$1843,$W$7:$W$1843,W901),0),0)</f>
        <v>0</v>
      </c>
    </row>
    <row r="902" customFormat="false" ht="15" hidden="false" customHeight="false" outlineLevel="0" collapsed="false">
      <c r="A902" s="48" t="s">
        <v>1700</v>
      </c>
      <c r="B902" s="48" t="s">
        <v>1013</v>
      </c>
      <c r="C902" s="48" t="s">
        <v>168</v>
      </c>
      <c r="D902" s="48" t="s">
        <v>188</v>
      </c>
      <c r="E902" s="48"/>
      <c r="F902" s="48" t="s">
        <v>222</v>
      </c>
      <c r="G902" s="49" t="n">
        <v>4.31</v>
      </c>
      <c r="H902" s="50" t="n">
        <f aca="false">MAX(0,IF(AND(Parameter!$B$21="Ja",ISNUMBER(Y902)),Y902,IF(Parameter!$B$20="Jahresanfang 2025 + Export",BO902+BN902,BN902)))</f>
        <v>4</v>
      </c>
      <c r="I902" s="50" t="n">
        <f aca="false">H902*G902</f>
        <v>17.24</v>
      </c>
      <c r="J902" s="50" t="n">
        <f aca="false">BQ902*Parameter!$B$18</f>
        <v>1</v>
      </c>
      <c r="K902" s="51" t="n">
        <v>11</v>
      </c>
      <c r="L902" s="52" t="n">
        <v>0.0909090909090909</v>
      </c>
      <c r="M902" s="50" t="n">
        <v>0</v>
      </c>
      <c r="N902" s="50" t="n">
        <v>1</v>
      </c>
      <c r="O902" s="53" t="n">
        <v>70</v>
      </c>
      <c r="P902" s="48" t="s">
        <v>405</v>
      </c>
      <c r="Q902" s="50" t="n">
        <v>5</v>
      </c>
      <c r="R902" s="53" t="n">
        <f aca="false">IF(BW902=1,0,IFERROR(VLOOKUP(BU902,'Gebinde-Kategorie'!$A$5:$N$45,13,0)+0,0))</f>
        <v>280</v>
      </c>
      <c r="S902" s="54"/>
      <c r="T902" s="55"/>
      <c r="U902" s="55"/>
      <c r="V902" s="55"/>
      <c r="W902" s="48"/>
      <c r="X902" s="50"/>
      <c r="Y902" s="50"/>
      <c r="Z902" s="48" t="n">
        <f aca="false">IF(A902="","",IF(AND(Parameter!$B$21="Ja",ISNUMBER(W902)),W902,IF(BZ902="2+3",IF(ISNUMBER(SEARCH("grosser Artikel",BR902)),2,IFERROR(VLOOKUP(BU902,Parameter!$F$35:$G$64,2,0),2)),IF(OR(BZ902="Nein",BZ902=""),"-",BZ902))))</f>
        <v>3</v>
      </c>
      <c r="AA902" s="55"/>
      <c r="AB902" s="56"/>
      <c r="AC902" s="50" t="n">
        <f aca="false">AT902</f>
        <v>5</v>
      </c>
      <c r="AD902" s="50" t="n">
        <f aca="false">MAX(AT902,H902)</f>
        <v>5</v>
      </c>
      <c r="AE902" s="57"/>
      <c r="AF902" s="50" t="n">
        <f aca="false">IF(LEFT(Cockpit!$C$5,1)="A",H902,IF(CE902=1,CF902,IF(LEFT(Cockpit!$C$5,1)="B",AK902,MAX(AK902,H902))))</f>
        <v>4</v>
      </c>
      <c r="AG902" s="50" t="n">
        <f aca="false">IF(BW902=1,0,ROUNDUP(AF902/BV902,0))</f>
        <v>1</v>
      </c>
      <c r="AH902" s="52" t="n">
        <f aca="false">IF(CL902&gt;0,CL902*MAX(1,AF902/X902),IF(BW902=1,IF(AF902&lt;=0,0,CA902*MAX(1,IF(H902&gt;0,AF902/H902,1))),IF(R902&gt;0,AG902/R902,0))/MAX(0.1,N(Parameter!$M$21)))</f>
        <v>0.00357142857142857</v>
      </c>
      <c r="AI902" s="50" t="n">
        <f aca="false">AH902*BY902</f>
        <v>0.553571428571429</v>
      </c>
      <c r="AJ902" s="50" t="n">
        <f aca="false">AF902*G902</f>
        <v>17.24</v>
      </c>
      <c r="AK902" s="50" t="n">
        <f aca="false">ROUNDUP(MAX(J902/IF(CD902&gt;0,CD902,MAX(0.1,N(Cockpit!$C$6))),CG902)/BV902,0)*BV902</f>
        <v>5</v>
      </c>
      <c r="AL902" s="51" t="n">
        <f aca="false">IF(AI902&gt;0,J902/AI902,-1)</f>
        <v>1.80645161290323</v>
      </c>
      <c r="AM902" s="51" t="n">
        <f aca="false">IF(AND(OR(CC902="L1",CC902="L23",CC902="LIFT"),AI902&gt;0),SUMIFS($AI$7:$AI$1843,$CC$7:$CC$1843,CC902,$AL$7:$AL$1843,"&gt;"&amp;AL902)+SUMIFS($AI$7:$AI$1843,$CC$7:$CC$1843,CC902,$AL$7:$AL$1843,AL902,$BT$7:$BT$1843,"&lt;="&amp;BT902),"")</f>
        <v>5967.55815018315</v>
      </c>
      <c r="AN902" s="58" t="n">
        <f aca="false">IF(AM902="",0,MAX(0,MIN(1,(IF(CC902="L1",Parameter!$H$5,IF(CC902="L23",Parameter!$H$6+Parameter!$H$7,Parameter!$H$5+Parameter!$H$6+Parameter!$H$7))-(AM902-AI902))/AI902)))</f>
        <v>1</v>
      </c>
      <c r="AO902" s="50" t="n">
        <f aca="false">IF(LEFT(Cockpit!$I$5,1)="A",H902,IF(CE902=1,CF902,IF(LEFT(Cockpit!$I$5,1)="B",AT902,MAX(AT902,H902))))</f>
        <v>5</v>
      </c>
      <c r="AP902" s="50" t="n">
        <f aca="false">IF(BW902=1,0,ROUNDUP(AO902/BV902,0))</f>
        <v>1</v>
      </c>
      <c r="AQ902" s="52" t="n">
        <f aca="false">IF(CL902&gt;0,CL902*MAX(1,AO902/X902),IF(BW902=1,IF(AO902&lt;=0,0,CA902*MAX(1,IF(H902&gt;0,AO902/H902,1))),IF(R902&gt;0,AP902/R902,0))/MAX(0.1,N(Parameter!$M$21)))</f>
        <v>0.00357142857142857</v>
      </c>
      <c r="AR902" s="50" t="n">
        <f aca="false">AQ902*BY902</f>
        <v>0.553571428571429</v>
      </c>
      <c r="AS902" s="50" t="n">
        <f aca="false">AO902*G902</f>
        <v>21.55</v>
      </c>
      <c r="AT902" s="50" t="n">
        <f aca="false">ROUNDUP(MAX(J902/IF(CD902&gt;0,CD902,MAX(0.1,N(Cockpit!$I$6))),CG902)/BV902,0)*BV902</f>
        <v>5</v>
      </c>
      <c r="AU902" s="51" t="n">
        <f aca="false">IF(AR902&gt;0,J902/AR902,-1)</f>
        <v>1.80645161290323</v>
      </c>
      <c r="AV902" s="51" t="n">
        <f aca="false">IF(AND(OR(CC902="L1",CC902="L23",CC902="LIFT"),AR902&gt;0),SUMIFS($AR$7:$AR$1843,$CC$7:$CC$1843,CC902,$AU$7:$AU$1843,"&gt;"&amp;AU902)+SUMIFS($AR$7:$AR$1843,$CC$7:$CC$1843,CC902,$AU$7:$AU$1843,AU902,$BT$7:$BT$1843,"&lt;="&amp;BT902),"")</f>
        <v>8079.58424908425</v>
      </c>
      <c r="AW902" s="58" t="n">
        <f aca="false">IF(AV902="",0,MAX(0,MIN(1,(IF(CC902="L1",Parameter!$H$5,IF(CC902="L23",Parameter!$H$6+Parameter!$H$7,Parameter!$H$5+Parameter!$H$6+Parameter!$H$7))-(AV902-AR902))/AR902)))</f>
        <v>1</v>
      </c>
      <c r="AX902" s="50" t="n">
        <f aca="false">IF(LEFT(Cockpit!$O$5,1)="A",H902,IF(CE902=1,CF902,IF(LEFT(Cockpit!$O$5,1)="B",BC902,MAX(BC902,H902))))</f>
        <v>5</v>
      </c>
      <c r="AY902" s="50" t="n">
        <f aca="false">IF(BW902=1,0,ROUNDUP(AX902/BV902,0))</f>
        <v>1</v>
      </c>
      <c r="AZ902" s="52" t="n">
        <f aca="false">IF(CL902&gt;0,CL902*MAX(1,AX902/X902),IF(BW902=1,IF(AX902&lt;=0,0,CA902*MAX(1,IF(H902&gt;0,AX902/H902,1))),IF(R902&gt;0,AY902/R902,0))/MAX(0.1,N(Parameter!$M$21)))</f>
        <v>0.00357142857142857</v>
      </c>
      <c r="BA902" s="50" t="n">
        <f aca="false">AZ902*BY902</f>
        <v>0.553571428571429</v>
      </c>
      <c r="BB902" s="50" t="n">
        <f aca="false">AX902*G902</f>
        <v>21.55</v>
      </c>
      <c r="BC902" s="50" t="n">
        <f aca="false">ROUNDUP(MAX(J902/IF(CD902&gt;0,CD902,MAX(0.1,N(Cockpit!$O$6))),CG902)/BV902,0)*BV902</f>
        <v>5</v>
      </c>
      <c r="BD902" s="51" t="n">
        <f aca="false">IF(BA902&gt;0,J902/BA902,-1)</f>
        <v>1.80645161290323</v>
      </c>
      <c r="BE902" s="51" t="n">
        <f aca="false">IF(AND(OR(CC902="L1",CC902="L23",CC902="LIFT"),BA902&gt;0),SUMIFS($BA$7:$BA$1843,$CC$7:$CC$1843,CC902,$BD$7:$BD$1843,"&gt;"&amp;BD902)+SUMIFS($BA$7:$BA$1843,$CC$7:$CC$1843,CC902,$BD$7:$BD$1843,BD902,$BT$7:$BT$1843,"&lt;="&amp;BT902),"")</f>
        <v>7981.90796703297</v>
      </c>
      <c r="BF902" s="58" t="n">
        <f aca="false">IF(BE902="",0,MAX(0,MIN(1,(IF(CC902="L1",Parameter!$H$5,IF(CC902="L23",Parameter!$H$6+Parameter!$H$7,Parameter!$H$5+Parameter!$H$6+Parameter!$H$7))-(BE902-BA902))/BA902)))</f>
        <v>1</v>
      </c>
      <c r="BG902" s="48" t="str">
        <f aca="false">IF(AI902&lt;=0,"",IF(CC902="Aussen","Aussenlager",IF(CC902="-","Nicht im Lift",IF(AN902&gt;=1,"Lift",IF(AN902&lt;=0,"Aussenlager","teilweise")))))</f>
        <v>Lift</v>
      </c>
      <c r="BH902" s="48" t="str">
        <f aca="false">IF(AR902&lt;=0,"",IF(CC902="Aussen","Aussenlager",IF(CC902="-","Nicht im Lift",IF(AW902&gt;=1,"Lift",IF(AW902&lt;=0,"Aussenlager","teilweise")))))</f>
        <v>Lift</v>
      </c>
      <c r="BI902" s="48" t="str">
        <f aca="false">IF(BA902&lt;=0,"",IF(CC902="Aussen","Aussenlager",IF(CC902="-","Nicht im Lift",IF(BF902&gt;=1,"Lift",IF(BF902&lt;=0,"Aussenlager","teilweise")))))</f>
        <v>Lift</v>
      </c>
      <c r="BJ902" s="48" t="str">
        <f aca="false">IF(A902="","",IF(BS902=1,"Neu; ","")&amp;IF(AND(BS902=0,BN902&lt;0),"negativer Bestand (Export "&amp;BN902&amp;"); ","")&amp;IF(J902&lt;=0,"Kein Verbrauch; ","")&amp;IF(CL902&gt;0,"Lift "&amp;W902&amp;" lt. Liftbericht (Fach "&amp;X902&amp;" Stk); ",IF(BX902=1,"Gebinde geschätzt ("&amp;T902&amp;"); ",IF(BW902=1,"Lose – Tablare geschätzt; ","")))&amp;IF(H902&gt;AT902,"Überbestand "&amp;ROUND(H902-AT902,0)&amp;" Stk / CHF "&amp;ROUND((H902-AT902)*G902,0)&amp;"; ","")&amp;IF(AND(CE902=1,CF902&lt;CG902),"MAX &lt; MB+LG; ","")&amp;IF(AND(CK902&gt;0,CJ902*10&gt;CK902),"zu hoch für Tablar; ","")&amp;IF(AND(BS902=0,OR(CE902=1,AA902&lt;&gt;"",U902&lt;&gt;"",V902&lt;&gt;"",AB902&lt;&gt;"")),"manuell übersteuert; ","")&amp;IF(AND(BW902=0,R902=0),"Gebinde unbekannt / Stellmass fehlt; ","")&amp;IF(AND(BW902=0,N(V902)&lt;=0,N(Q902)&lt;=0),"Menge pro Gebinde fehlt (Ist = 1 Gebinde); ","")&amp;BR902)</f>
        <v>negativer Bestand (Export -8); </v>
      </c>
      <c r="BK902" s="48"/>
      <c r="BL902" s="48"/>
      <c r="BM902" s="55"/>
      <c r="BN902" s="50" t="n">
        <v>-8</v>
      </c>
      <c r="BO902" s="50" t="n">
        <v>12</v>
      </c>
      <c r="BP902" s="49" t="n">
        <v>-34.48</v>
      </c>
      <c r="BQ902" s="50" t="n">
        <v>1</v>
      </c>
      <c r="BR902" s="48"/>
      <c r="BS902" s="53" t="n">
        <v>0</v>
      </c>
      <c r="BT902" s="53" t="n">
        <v>902</v>
      </c>
      <c r="BU902" s="48" t="str">
        <f aca="false">IF(U902&lt;&gt;"",UPPER(TRIM(U902)),IF(BX902=1,UPPER(VLOOKUP(T902,Parameter!$I$27:$K$29,2,0)),IF(P902="","LOSE",P902)))</f>
        <v>S21</v>
      </c>
      <c r="BV902" s="50" t="n">
        <f aca="false">IF(BU902="LOSE",1,IF(N(V902)&gt;0,V902,IF(BX902=1,MAX(1,N(VLOOKUP(T902,Parameter!$I$27:$K$29,3,0)),H902,N(N902)),IF(N(Q902)&gt;0,Q902,MAX(1,H902)))))</f>
        <v>5</v>
      </c>
      <c r="BW902" s="53" t="n">
        <f aca="false">IF(BU902="LOSE",1,0)</f>
        <v>0</v>
      </c>
      <c r="BX902" s="53" t="n">
        <f aca="false">IF(AND(U902="",OR(P902="",P902="LOSE"),T902&lt;&gt;"",N(S902)&lt;=0,ISNUMBER(MATCH(T902,Parameter!$I$27:$I$29,0))),1,0)</f>
        <v>0</v>
      </c>
      <c r="BY902" s="53" t="n">
        <f aca="false">IF(CL902&gt;0,INDEX(Parameter!$H$5:$H$7,W902)/INDEX(Parameter!$E$5:$E$7,W902),IF(AND(BW902=0,N(IFERROR(VLOOKUP(BU902,'Gebinde-Kategorie'!$A$5:$N$45,14,0),0))&gt;0),VLOOKUP(BU902,'Gebinde-Kategorie'!$A$5:$N$45,14,0)*10+Parameter!$M$23,Parameter!$M$24))</f>
        <v>155</v>
      </c>
      <c r="BZ902" s="48" t="str">
        <f aca="false">IF(AND(Parameter!$B$19="Ja",E902&lt;&gt;"",ISNUMBER(MATCH(E902,Parameter!$I$35:$I$52,0))),VLOOKUP(E902,Parameter!$I$35:$J$52,2,0),IFERROR(VLOOKUP(D902,Parameter!$A$35:$C$64,2,0),"Nein"))</f>
        <v>2+3</v>
      </c>
      <c r="CA902" s="52" t="n">
        <f aca="false">IF(BW902=0,0,IF(N(S902)&gt;0,S902,IFERROR(VLOOKUP(D902,Parameter!$A$35:$C$64,3,0)+0,0)))</f>
        <v>0</v>
      </c>
      <c r="CB902" s="48" t="n">
        <f aca="false">IF(AA902&lt;&gt;"",AA902,Z902)</f>
        <v>3</v>
      </c>
      <c r="CC902" s="48" t="str">
        <f aca="false">IF(OR(CB902=1,CB902=2,CB902=3),IF(Parameter!$E$27="Ja","LIFT",IF(CB902=1,"L1","L23")),IF(CB902="Aussen","Aussen","-"))</f>
        <v>LIFT</v>
      </c>
      <c r="CD902" s="59" t="n">
        <f aca="false">IF(N(AB902)&gt;0,AB902,0)</f>
        <v>0</v>
      </c>
      <c r="CE902" s="53" t="n">
        <f aca="false">IF(ISNUMBER(AE902),1,0)</f>
        <v>0</v>
      </c>
      <c r="CF902" s="50" t="n">
        <f aca="false">N(AE902)</f>
        <v>0</v>
      </c>
      <c r="CG902" s="50" t="n">
        <f aca="false">N(M902)+N(N902)</f>
        <v>1</v>
      </c>
      <c r="CH902" s="50" t="n">
        <f aca="false">ROUNDUP(H902/BV902,0)</f>
        <v>1</v>
      </c>
      <c r="CI902" s="50" t="n">
        <f aca="false">ROUNDUP(CF902/BV902,0)</f>
        <v>0</v>
      </c>
      <c r="CJ902" s="53" t="n">
        <f aca="false">IF(BW902=1,0,IFERROR(VLOOKUP(BU902,'Gebinde-Kategorie'!$A$5:$N$45,5,0)+0,0))</f>
        <v>8</v>
      </c>
      <c r="CK902" s="53" t="n">
        <f aca="false">IFERROR(IF(OR(CB902=1,CB902=2,CB902=3),N(INDEX(Parameter!$I$5:$I$7,CB902)),0),0)</f>
        <v>0</v>
      </c>
      <c r="CL902" s="52" t="n">
        <f aca="false">IF(AND(Parameter!$B$21="Ja",ISNUMBER(W902),N(X902)&gt;0),IFERROR(N(INDEX(Parameter!$L$5:$L$7,W902))*INDEX(Parameter!$E$5:$E$7,W902)*X902/SUMIFS($X$7:$X$1843,$W$7:$W$1843,W902),0),0)</f>
        <v>0</v>
      </c>
    </row>
    <row r="903" customFormat="false" ht="15" hidden="false" customHeight="false" outlineLevel="0" collapsed="false">
      <c r="A903" s="48" t="s">
        <v>1701</v>
      </c>
      <c r="B903" s="48" t="s">
        <v>1169</v>
      </c>
      <c r="C903" s="48" t="s">
        <v>168</v>
      </c>
      <c r="D903" s="48" t="s">
        <v>188</v>
      </c>
      <c r="E903" s="48" t="s">
        <v>189</v>
      </c>
      <c r="F903" s="48" t="s">
        <v>222</v>
      </c>
      <c r="G903" s="49" t="n">
        <v>12.71</v>
      </c>
      <c r="H903" s="50" t="n">
        <f aca="false">MAX(0,IF(AND(Parameter!$B$21="Ja",ISNUMBER(Y903)),Y903,IF(Parameter!$B$20="Jahresanfang 2025 + Export",BO903+BN903,BN903)))</f>
        <v>6</v>
      </c>
      <c r="I903" s="50" t="n">
        <f aca="false">H903*G903</f>
        <v>76.26</v>
      </c>
      <c r="J903" s="50" t="n">
        <f aca="false">BQ903*Parameter!$B$18</f>
        <v>8</v>
      </c>
      <c r="K903" s="51" t="n">
        <v>6.5</v>
      </c>
      <c r="L903" s="52" t="n">
        <v>1.23076923076923</v>
      </c>
      <c r="M903" s="50" t="n">
        <v>0</v>
      </c>
      <c r="N903" s="50" t="n">
        <v>10</v>
      </c>
      <c r="O903" s="53" t="n">
        <v>18</v>
      </c>
      <c r="P903" s="48" t="s">
        <v>480</v>
      </c>
      <c r="Q903" s="50" t="n">
        <v>17</v>
      </c>
      <c r="R903" s="53" t="n">
        <f aca="false">IF(BW903=1,0,IFERROR(VLOOKUP(BU903,'Gebinde-Kategorie'!$A$5:$N$45,13,0)+0,0))</f>
        <v>52</v>
      </c>
      <c r="S903" s="54"/>
      <c r="T903" s="55"/>
      <c r="U903" s="55"/>
      <c r="V903" s="55"/>
      <c r="W903" s="48"/>
      <c r="X903" s="50"/>
      <c r="Y903" s="50"/>
      <c r="Z903" s="48" t="n">
        <f aca="false">IF(A903="","",IF(AND(Parameter!$B$21="Ja",ISNUMBER(W903)),W903,IF(BZ903="2+3",IF(ISNUMBER(SEARCH("grosser Artikel",BR903)),2,IFERROR(VLOOKUP(BU903,Parameter!$F$35:$G$64,2,0),2)),IF(OR(BZ903="Nein",BZ903=""),"-",BZ903))))</f>
        <v>3</v>
      </c>
      <c r="AA903" s="55"/>
      <c r="AB903" s="56"/>
      <c r="AC903" s="50" t="n">
        <f aca="false">AT903</f>
        <v>17</v>
      </c>
      <c r="AD903" s="50" t="n">
        <f aca="false">MAX(AT903,H903)</f>
        <v>17</v>
      </c>
      <c r="AE903" s="57"/>
      <c r="AF903" s="50" t="n">
        <f aca="false">IF(LEFT(Cockpit!$C$5,1)="A",H903,IF(CE903=1,CF903,IF(LEFT(Cockpit!$C$5,1)="B",AK903,MAX(AK903,H903))))</f>
        <v>6</v>
      </c>
      <c r="AG903" s="50" t="n">
        <f aca="false">IF(BW903=1,0,ROUNDUP(AF903/BV903,0))</f>
        <v>1</v>
      </c>
      <c r="AH903" s="52" t="n">
        <f aca="false">IF(CL903&gt;0,CL903*MAX(1,AF903/X903),IF(BW903=1,IF(AF903&lt;=0,0,CA903*MAX(1,IF(H903&gt;0,AF903/H903,1))),IF(R903&gt;0,AG903/R903,0))/MAX(0.1,N(Parameter!$M$21)))</f>
        <v>0.0192307692307692</v>
      </c>
      <c r="AI903" s="50" t="n">
        <f aca="false">AH903*BY903</f>
        <v>2.98076923076923</v>
      </c>
      <c r="AJ903" s="50" t="n">
        <f aca="false">AF903*G903</f>
        <v>76.26</v>
      </c>
      <c r="AK903" s="50" t="n">
        <f aca="false">ROUNDUP(MAX(J903/IF(CD903&gt;0,CD903,MAX(0.1,N(Cockpit!$C$6))),CG903)/BV903,0)*BV903</f>
        <v>17</v>
      </c>
      <c r="AL903" s="51" t="n">
        <f aca="false">IF(AI903&gt;0,J903/AI903,-1)</f>
        <v>2.68387096774194</v>
      </c>
      <c r="AM903" s="51" t="n">
        <f aca="false">IF(AND(OR(CC903="L1",CC903="L23",CC903="LIFT"),AI903&gt;0),SUMIFS($AI$7:$AI$1843,$CC$7:$CC$1843,CC903,$AL$7:$AL$1843,"&gt;"&amp;AL903)+SUMIFS($AI$7:$AI$1843,$CC$7:$CC$1843,CC903,$AL$7:$AL$1843,AL903,$BT$7:$BT$1843,"&lt;="&amp;BT903),"")</f>
        <v>5330.9097985348</v>
      </c>
      <c r="AN903" s="58" t="n">
        <f aca="false">IF(AM903="",0,MAX(0,MIN(1,(IF(CC903="L1",Parameter!$H$5,IF(CC903="L23",Parameter!$H$6+Parameter!$H$7,Parameter!$H$5+Parameter!$H$6+Parameter!$H$7))-(AM903-AI903))/AI903)))</f>
        <v>1</v>
      </c>
      <c r="AO903" s="50" t="n">
        <f aca="false">IF(LEFT(Cockpit!$I$5,1)="A",H903,IF(CE903=1,CF903,IF(LEFT(Cockpit!$I$5,1)="B",AT903,MAX(AT903,H903))))</f>
        <v>17</v>
      </c>
      <c r="AP903" s="50" t="n">
        <f aca="false">IF(BW903=1,0,ROUNDUP(AO903/BV903,0))</f>
        <v>1</v>
      </c>
      <c r="AQ903" s="52" t="n">
        <f aca="false">IF(CL903&gt;0,CL903*MAX(1,AO903/X903),IF(BW903=1,IF(AO903&lt;=0,0,CA903*MAX(1,IF(H903&gt;0,AO903/H903,1))),IF(R903&gt;0,AP903/R903,0))/MAX(0.1,N(Parameter!$M$21)))</f>
        <v>0.0192307692307692</v>
      </c>
      <c r="AR903" s="50" t="n">
        <f aca="false">AQ903*BY903</f>
        <v>2.98076923076923</v>
      </c>
      <c r="AS903" s="50" t="n">
        <f aca="false">AO903*G903</f>
        <v>216.07</v>
      </c>
      <c r="AT903" s="50" t="n">
        <f aca="false">ROUNDUP(MAX(J903/IF(CD903&gt;0,CD903,MAX(0.1,N(Cockpit!$I$6))),CG903)/BV903,0)*BV903</f>
        <v>17</v>
      </c>
      <c r="AU903" s="51" t="n">
        <f aca="false">IF(AR903&gt;0,J903/AR903,-1)</f>
        <v>2.68387096774194</v>
      </c>
      <c r="AV903" s="51" t="n">
        <f aca="false">IF(AND(OR(CC903="L1",CC903="L23",CC903="LIFT"),AR903&gt;0),SUMIFS($AR$7:$AR$1843,$CC$7:$CC$1843,CC903,$AU$7:$AU$1843,"&gt;"&amp;AU903)+SUMIFS($AR$7:$AR$1843,$CC$7:$CC$1843,CC903,$AU$7:$AU$1843,AU903,$BT$7:$BT$1843,"&lt;="&amp;BT903),"")</f>
        <v>6710.61813186813</v>
      </c>
      <c r="AW903" s="58" t="n">
        <f aca="false">IF(AV903="",0,MAX(0,MIN(1,(IF(CC903="L1",Parameter!$H$5,IF(CC903="L23",Parameter!$H$6+Parameter!$H$7,Parameter!$H$5+Parameter!$H$6+Parameter!$H$7))-(AV903-AR903))/AR903)))</f>
        <v>1</v>
      </c>
      <c r="AX903" s="50" t="n">
        <f aca="false">IF(LEFT(Cockpit!$O$5,1)="A",H903,IF(CE903=1,CF903,IF(LEFT(Cockpit!$O$5,1)="B",BC903,MAX(BC903,H903))))</f>
        <v>17</v>
      </c>
      <c r="AY903" s="50" t="n">
        <f aca="false">IF(BW903=1,0,ROUNDUP(AX903/BV903,0))</f>
        <v>1</v>
      </c>
      <c r="AZ903" s="52" t="n">
        <f aca="false">IF(CL903&gt;0,CL903*MAX(1,AX903/X903),IF(BW903=1,IF(AX903&lt;=0,0,CA903*MAX(1,IF(H903&gt;0,AX903/H903,1))),IF(R903&gt;0,AY903/R903,0))/MAX(0.1,N(Parameter!$M$21)))</f>
        <v>0.0192307692307692</v>
      </c>
      <c r="BA903" s="50" t="n">
        <f aca="false">AZ903*BY903</f>
        <v>2.98076923076923</v>
      </c>
      <c r="BB903" s="50" t="n">
        <f aca="false">AX903*G903</f>
        <v>216.07</v>
      </c>
      <c r="BC903" s="50" t="n">
        <f aca="false">ROUNDUP(MAX(J903/IF(CD903&gt;0,CD903,MAX(0.1,N(Cockpit!$O$6))),CG903)/BV903,0)*BV903</f>
        <v>17</v>
      </c>
      <c r="BD903" s="51" t="n">
        <f aca="false">IF(BA903&gt;0,J903/BA903,-1)</f>
        <v>2.68387096774194</v>
      </c>
      <c r="BE903" s="51" t="n">
        <f aca="false">IF(AND(OR(CC903="L1",CC903="L23",CC903="LIFT"),BA903&gt;0),SUMIFS($BA$7:$BA$1843,$CC$7:$CC$1843,CC903,$BD$7:$BD$1843,"&gt;"&amp;BD903)+SUMIFS($BA$7:$BA$1843,$CC$7:$CC$1843,CC903,$BD$7:$BD$1843,BD903,$BT$7:$BT$1843,"&lt;="&amp;BT903),"")</f>
        <v>6493.77518315018</v>
      </c>
      <c r="BF903" s="58" t="n">
        <f aca="false">IF(BE903="",0,MAX(0,MIN(1,(IF(CC903="L1",Parameter!$H$5,IF(CC903="L23",Parameter!$H$6+Parameter!$H$7,Parameter!$H$5+Parameter!$H$6+Parameter!$H$7))-(BE903-BA903))/BA903)))</f>
        <v>1</v>
      </c>
      <c r="BG903" s="48" t="str">
        <f aca="false">IF(AI903&lt;=0,"",IF(CC903="Aussen","Aussenlager",IF(CC903="-","Nicht im Lift",IF(AN903&gt;=1,"Lift",IF(AN903&lt;=0,"Aussenlager","teilweise")))))</f>
        <v>Lift</v>
      </c>
      <c r="BH903" s="48" t="str">
        <f aca="false">IF(AR903&lt;=0,"",IF(CC903="Aussen","Aussenlager",IF(CC903="-","Nicht im Lift",IF(AW903&gt;=1,"Lift",IF(AW903&lt;=0,"Aussenlager","teilweise")))))</f>
        <v>Lift</v>
      </c>
      <c r="BI903" s="48" t="str">
        <f aca="false">IF(BA903&lt;=0,"",IF(CC903="Aussen","Aussenlager",IF(CC903="-","Nicht im Lift",IF(BF903&gt;=1,"Lift",IF(BF903&lt;=0,"Aussenlager","teilweise")))))</f>
        <v>Lift</v>
      </c>
      <c r="BJ903" s="48" t="str">
        <f aca="false">IF(A903="","",IF(BS903=1,"Neu; ","")&amp;IF(AND(BS903=0,BN903&lt;0),"negativer Bestand (Export "&amp;BN903&amp;"); ","")&amp;IF(J903&lt;=0,"Kein Verbrauch; ","")&amp;IF(CL903&gt;0,"Lift "&amp;W903&amp;" lt. Liftbericht (Fach "&amp;X903&amp;" Stk); ",IF(BX903=1,"Gebinde geschätzt ("&amp;T903&amp;"); ",IF(BW903=1,"Lose – Tablare geschätzt; ","")))&amp;IF(H903&gt;AT903,"Überbestand "&amp;ROUND(H903-AT903,0)&amp;" Stk / CHF "&amp;ROUND((H903-AT903)*G903,0)&amp;"; ","")&amp;IF(AND(CE903=1,CF903&lt;CG903),"MAX &lt; MB+LG; ","")&amp;IF(AND(CK903&gt;0,CJ903*10&gt;CK903),"zu hoch für Tablar; ","")&amp;IF(AND(BS903=0,OR(CE903=1,AA903&lt;&gt;"",U903&lt;&gt;"",V903&lt;&gt;"",AB903&lt;&gt;"")),"manuell übersteuert; ","")&amp;IF(AND(BW903=0,R903=0),"Gebinde unbekannt / Stellmass fehlt; ","")&amp;IF(AND(BW903=0,N(V903)&lt;=0,N(Q903)&lt;=0),"Menge pro Gebinde fehlt (Ist = 1 Gebinde); ","")&amp;BR903)</f>
        <v>negativer Bestand (Export -2); </v>
      </c>
      <c r="BK903" s="48"/>
      <c r="BL903" s="48"/>
      <c r="BM903" s="55"/>
      <c r="BN903" s="50" t="n">
        <v>-2</v>
      </c>
      <c r="BO903" s="50" t="n">
        <v>8</v>
      </c>
      <c r="BP903" s="49" t="n">
        <v>-35.5</v>
      </c>
      <c r="BQ903" s="50" t="n">
        <v>8</v>
      </c>
      <c r="BR903" s="48"/>
      <c r="BS903" s="53" t="n">
        <v>0</v>
      </c>
      <c r="BT903" s="53" t="n">
        <v>903</v>
      </c>
      <c r="BU903" s="48" t="str">
        <f aca="false">IF(U903&lt;&gt;"",UPPER(TRIM(U903)),IF(BX903=1,UPPER(VLOOKUP(T903,Parameter!$I$27:$K$29,2,0)),IF(P903="","LOSE",P903)))</f>
        <v>S33</v>
      </c>
      <c r="BV903" s="50" t="n">
        <f aca="false">IF(BU903="LOSE",1,IF(N(V903)&gt;0,V903,IF(BX903=1,MAX(1,N(VLOOKUP(T903,Parameter!$I$27:$K$29,3,0)),H903,N(N903)),IF(N(Q903)&gt;0,Q903,MAX(1,H903)))))</f>
        <v>17</v>
      </c>
      <c r="BW903" s="53" t="n">
        <f aca="false">IF(BU903="LOSE",1,0)</f>
        <v>0</v>
      </c>
      <c r="BX903" s="53" t="n">
        <f aca="false">IF(AND(U903="",OR(P903="",P903="LOSE"),T903&lt;&gt;"",N(S903)&lt;=0,ISNUMBER(MATCH(T903,Parameter!$I$27:$I$29,0))),1,0)</f>
        <v>0</v>
      </c>
      <c r="BY903" s="53" t="n">
        <f aca="false">IF(CL903&gt;0,INDEX(Parameter!$H$5:$H$7,W903)/INDEX(Parameter!$E$5:$E$7,W903),IF(AND(BW903=0,N(IFERROR(VLOOKUP(BU903,'Gebinde-Kategorie'!$A$5:$N$45,14,0),0))&gt;0),VLOOKUP(BU903,'Gebinde-Kategorie'!$A$5:$N$45,14,0)*10+Parameter!$M$23,Parameter!$M$24))</f>
        <v>155</v>
      </c>
      <c r="BZ903" s="48" t="str">
        <f aca="false">IF(AND(Parameter!$B$19="Ja",E903&lt;&gt;"",ISNUMBER(MATCH(E903,Parameter!$I$35:$I$52,0))),VLOOKUP(E903,Parameter!$I$35:$J$52,2,0),IFERROR(VLOOKUP(D903,Parameter!$A$35:$C$64,2,0),"Nein"))</f>
        <v>2+3</v>
      </c>
      <c r="CA903" s="52" t="n">
        <f aca="false">IF(BW903=0,0,IF(N(S903)&gt;0,S903,IFERROR(VLOOKUP(D903,Parameter!$A$35:$C$64,3,0)+0,0)))</f>
        <v>0</v>
      </c>
      <c r="CB903" s="48" t="n">
        <f aca="false">IF(AA903&lt;&gt;"",AA903,Z903)</f>
        <v>3</v>
      </c>
      <c r="CC903" s="48" t="str">
        <f aca="false">IF(OR(CB903=1,CB903=2,CB903=3),IF(Parameter!$E$27="Ja","LIFT",IF(CB903=1,"L1","L23")),IF(CB903="Aussen","Aussen","-"))</f>
        <v>LIFT</v>
      </c>
      <c r="CD903" s="59" t="n">
        <f aca="false">IF(N(AB903)&gt;0,AB903,0)</f>
        <v>0</v>
      </c>
      <c r="CE903" s="53" t="n">
        <f aca="false">IF(ISNUMBER(AE903),1,0)</f>
        <v>0</v>
      </c>
      <c r="CF903" s="50" t="n">
        <f aca="false">N(AE903)</f>
        <v>0</v>
      </c>
      <c r="CG903" s="50" t="n">
        <f aca="false">N(M903)+N(N903)</f>
        <v>10</v>
      </c>
      <c r="CH903" s="50" t="n">
        <f aca="false">ROUNDUP(H903/BV903,0)</f>
        <v>1</v>
      </c>
      <c r="CI903" s="50" t="n">
        <f aca="false">ROUNDUP(CF903/BV903,0)</f>
        <v>0</v>
      </c>
      <c r="CJ903" s="53" t="n">
        <f aca="false">IF(BW903=1,0,IFERROR(VLOOKUP(BU903,'Gebinde-Kategorie'!$A$5:$N$45,5,0)+0,0))</f>
        <v>8</v>
      </c>
      <c r="CK903" s="53" t="n">
        <f aca="false">IFERROR(IF(OR(CB903=1,CB903=2,CB903=3),N(INDEX(Parameter!$I$5:$I$7,CB903)),0),0)</f>
        <v>0</v>
      </c>
      <c r="CL903" s="52" t="n">
        <f aca="false">IF(AND(Parameter!$B$21="Ja",ISNUMBER(W903),N(X903)&gt;0),IFERROR(N(INDEX(Parameter!$L$5:$L$7,W903))*INDEX(Parameter!$E$5:$E$7,W903)*X903/SUMIFS($X$7:$X$1843,$W$7:$W$1843,W903),0),0)</f>
        <v>0</v>
      </c>
    </row>
    <row r="904" customFormat="false" ht="15" hidden="false" customHeight="false" outlineLevel="0" collapsed="false">
      <c r="A904" s="48" t="s">
        <v>1702</v>
      </c>
      <c r="B904" s="48" t="s">
        <v>658</v>
      </c>
      <c r="C904" s="48" t="s">
        <v>168</v>
      </c>
      <c r="D904" s="48" t="s">
        <v>188</v>
      </c>
      <c r="E904" s="48" t="s">
        <v>189</v>
      </c>
      <c r="F904" s="48" t="s">
        <v>222</v>
      </c>
      <c r="G904" s="49" t="n">
        <v>0.06</v>
      </c>
      <c r="H904" s="50" t="n">
        <f aca="false">MAX(0,IF(AND(Parameter!$B$21="Ja",ISNUMBER(Y904)),Y904,IF(Parameter!$B$20="Jahresanfang 2025 + Export",BO904+BN904,BN904)))</f>
        <v>593</v>
      </c>
      <c r="I904" s="50" t="n">
        <f aca="false">H904*G904</f>
        <v>35.58</v>
      </c>
      <c r="J904" s="50" t="n">
        <f aca="false">BQ904*Parameter!$B$18</f>
        <v>392</v>
      </c>
      <c r="K904" s="51" t="n">
        <v>993</v>
      </c>
      <c r="L904" s="52" t="n">
        <v>0.394763343403827</v>
      </c>
      <c r="M904" s="50" t="n">
        <v>22</v>
      </c>
      <c r="N904" s="50" t="n">
        <v>400</v>
      </c>
      <c r="O904" s="53" t="n">
        <v>21</v>
      </c>
      <c r="P904" s="48" t="s">
        <v>306</v>
      </c>
      <c r="Q904" s="50" t="n">
        <v>756</v>
      </c>
      <c r="R904" s="53" t="n">
        <f aca="false">IF(BW904=1,0,IFERROR(VLOOKUP(BU904,'Gebinde-Kategorie'!$A$5:$N$45,13,0)+0,0))</f>
        <v>26</v>
      </c>
      <c r="S904" s="54"/>
      <c r="T904" s="55"/>
      <c r="U904" s="55"/>
      <c r="V904" s="55"/>
      <c r="W904" s="48"/>
      <c r="X904" s="50"/>
      <c r="Y904" s="50"/>
      <c r="Z904" s="48" t="n">
        <f aca="false">IF(A904="","",IF(AND(Parameter!$B$21="Ja",ISNUMBER(W904)),W904,IF(BZ904="2+3",IF(ISNUMBER(SEARCH("grosser Artikel",BR904)),2,IFERROR(VLOOKUP(BU904,Parameter!$F$35:$G$64,2,0),2)),IF(OR(BZ904="Nein",BZ904=""),"-",BZ904))))</f>
        <v>3</v>
      </c>
      <c r="AA904" s="55"/>
      <c r="AB904" s="56"/>
      <c r="AC904" s="50" t="n">
        <f aca="false">AT904</f>
        <v>756</v>
      </c>
      <c r="AD904" s="50" t="n">
        <f aca="false">MAX(AT904,H904)</f>
        <v>756</v>
      </c>
      <c r="AE904" s="57"/>
      <c r="AF904" s="50" t="n">
        <f aca="false">IF(LEFT(Cockpit!$C$5,1)="A",H904,IF(CE904=1,CF904,IF(LEFT(Cockpit!$C$5,1)="B",AK904,MAX(AK904,H904))))</f>
        <v>593</v>
      </c>
      <c r="AG904" s="50" t="n">
        <f aca="false">IF(BW904=1,0,ROUNDUP(AF904/BV904,0))</f>
        <v>1</v>
      </c>
      <c r="AH904" s="52" t="n">
        <f aca="false">IF(CL904&gt;0,CL904*MAX(1,AF904/X904),IF(BW904=1,IF(AF904&lt;=0,0,CA904*MAX(1,IF(H904&gt;0,AF904/H904,1))),IF(R904&gt;0,AG904/R904,0))/MAX(0.1,N(Parameter!$M$21)))</f>
        <v>0.0384615384615385</v>
      </c>
      <c r="AI904" s="50" t="n">
        <f aca="false">AH904*BY904</f>
        <v>5.96153846153846</v>
      </c>
      <c r="AJ904" s="50" t="n">
        <f aca="false">AF904*G904</f>
        <v>35.58</v>
      </c>
      <c r="AK904" s="50" t="n">
        <f aca="false">ROUNDUP(MAX(J904/IF(CD904&gt;0,CD904,MAX(0.1,N(Cockpit!$C$6))),CG904)/BV904,0)*BV904</f>
        <v>756</v>
      </c>
      <c r="AL904" s="51" t="n">
        <f aca="false">IF(AI904&gt;0,J904/AI904,-1)</f>
        <v>65.7548387096774</v>
      </c>
      <c r="AM904" s="51" t="n">
        <f aca="false">IF(AND(OR(CC904="L1",CC904="L23",CC904="LIFT"),AI904&gt;0),SUMIFS($AI$7:$AI$1843,$CC$7:$CC$1843,CC904,$AL$7:$AL$1843,"&gt;"&amp;AL904)+SUMIFS($AI$7:$AI$1843,$CC$7:$CC$1843,CC904,$AL$7:$AL$1843,AL904,$BT$7:$BT$1843,"&lt;="&amp;BT904),"")</f>
        <v>928.740384615385</v>
      </c>
      <c r="AN904" s="58" t="n">
        <f aca="false">IF(AM904="",0,MAX(0,MIN(1,(IF(CC904="L1",Parameter!$H$5,IF(CC904="L23",Parameter!$H$6+Parameter!$H$7,Parameter!$H$5+Parameter!$H$6+Parameter!$H$7))-(AM904-AI904))/AI904)))</f>
        <v>1</v>
      </c>
      <c r="AO904" s="50" t="n">
        <f aca="false">IF(LEFT(Cockpit!$I$5,1)="A",H904,IF(CE904=1,CF904,IF(LEFT(Cockpit!$I$5,1)="B",AT904,MAX(AT904,H904))))</f>
        <v>756</v>
      </c>
      <c r="AP904" s="50" t="n">
        <f aca="false">IF(BW904=1,0,ROUNDUP(AO904/BV904,0))</f>
        <v>1</v>
      </c>
      <c r="AQ904" s="52" t="n">
        <f aca="false">IF(CL904&gt;0,CL904*MAX(1,AO904/X904),IF(BW904=1,IF(AO904&lt;=0,0,CA904*MAX(1,IF(H904&gt;0,AO904/H904,1))),IF(R904&gt;0,AP904/R904,0))/MAX(0.1,N(Parameter!$M$21)))</f>
        <v>0.0384615384615385</v>
      </c>
      <c r="AR904" s="50" t="n">
        <f aca="false">AQ904*BY904</f>
        <v>5.96153846153846</v>
      </c>
      <c r="AS904" s="50" t="n">
        <f aca="false">AO904*G904</f>
        <v>45.36</v>
      </c>
      <c r="AT904" s="50" t="n">
        <f aca="false">ROUNDUP(MAX(J904/IF(CD904&gt;0,CD904,MAX(0.1,N(Cockpit!$I$6))),CG904)/BV904,0)*BV904</f>
        <v>756</v>
      </c>
      <c r="AU904" s="51" t="n">
        <f aca="false">IF(AR904&gt;0,J904/AR904,-1)</f>
        <v>65.7548387096774</v>
      </c>
      <c r="AV904" s="51" t="n">
        <f aca="false">IF(AND(OR(CC904="L1",CC904="L23",CC904="LIFT"),AR904&gt;0),SUMIFS($AR$7:$AR$1843,$CC$7:$CC$1843,CC904,$AU$7:$AU$1843,"&gt;"&amp;AU904)+SUMIFS($AR$7:$AR$1843,$CC$7:$CC$1843,CC904,$AU$7:$AU$1843,AU904,$BT$7:$BT$1843,"&lt;="&amp;BT904),"")</f>
        <v>1310.82875457875</v>
      </c>
      <c r="AW904" s="58" t="n">
        <f aca="false">IF(AV904="",0,MAX(0,MIN(1,(IF(CC904="L1",Parameter!$H$5,IF(CC904="L23",Parameter!$H$6+Parameter!$H$7,Parameter!$H$5+Parameter!$H$6+Parameter!$H$7))-(AV904-AR904))/AR904)))</f>
        <v>1</v>
      </c>
      <c r="AX904" s="50" t="n">
        <f aca="false">IF(LEFT(Cockpit!$O$5,1)="A",H904,IF(CE904=1,CF904,IF(LEFT(Cockpit!$O$5,1)="B",BC904,MAX(BC904,H904))))</f>
        <v>756</v>
      </c>
      <c r="AY904" s="50" t="n">
        <f aca="false">IF(BW904=1,0,ROUNDUP(AX904/BV904,0))</f>
        <v>1</v>
      </c>
      <c r="AZ904" s="52" t="n">
        <f aca="false">IF(CL904&gt;0,CL904*MAX(1,AX904/X904),IF(BW904=1,IF(AX904&lt;=0,0,CA904*MAX(1,IF(H904&gt;0,AX904/H904,1))),IF(R904&gt;0,AY904/R904,0))/MAX(0.1,N(Parameter!$M$21)))</f>
        <v>0.0384615384615385</v>
      </c>
      <c r="BA904" s="50" t="n">
        <f aca="false">AZ904*BY904</f>
        <v>5.96153846153846</v>
      </c>
      <c r="BB904" s="50" t="n">
        <f aca="false">AX904*G904</f>
        <v>45.36</v>
      </c>
      <c r="BC904" s="50" t="n">
        <f aca="false">ROUNDUP(MAX(J904/IF(CD904&gt;0,CD904,MAX(0.1,N(Cockpit!$O$6))),CG904)/BV904,0)*BV904</f>
        <v>756</v>
      </c>
      <c r="BD904" s="51" t="n">
        <f aca="false">IF(BA904&gt;0,J904/BA904,-1)</f>
        <v>65.7548387096774</v>
      </c>
      <c r="BE904" s="51" t="n">
        <f aca="false">IF(AND(OR(CC904="L1",CC904="L23",CC904="LIFT"),BA904&gt;0),SUMIFS($BA$7:$BA$1843,$CC$7:$CC$1843,CC904,$BD$7:$BD$1843,"&gt;"&amp;BD904)+SUMIFS($BA$7:$BA$1843,$CC$7:$CC$1843,CC904,$BD$7:$BD$1843,BD904,$BT$7:$BT$1843,"&lt;="&amp;BT904),"")</f>
        <v>1149.9793956044</v>
      </c>
      <c r="BF904" s="58" t="n">
        <f aca="false">IF(BE904="",0,MAX(0,MIN(1,(IF(CC904="L1",Parameter!$H$5,IF(CC904="L23",Parameter!$H$6+Parameter!$H$7,Parameter!$H$5+Parameter!$H$6+Parameter!$H$7))-(BE904-BA904))/BA904)))</f>
        <v>1</v>
      </c>
      <c r="BG904" s="48" t="str">
        <f aca="false">IF(AI904&lt;=0,"",IF(CC904="Aussen","Aussenlager",IF(CC904="-","Nicht im Lift",IF(AN904&gt;=1,"Lift",IF(AN904&lt;=0,"Aussenlager","teilweise")))))</f>
        <v>Lift</v>
      </c>
      <c r="BH904" s="48" t="str">
        <f aca="false">IF(AR904&lt;=0,"",IF(CC904="Aussen","Aussenlager",IF(CC904="-","Nicht im Lift",IF(AW904&gt;=1,"Lift",IF(AW904&lt;=0,"Aussenlager","teilweise")))))</f>
        <v>Lift</v>
      </c>
      <c r="BI904" s="48" t="str">
        <f aca="false">IF(BA904&lt;=0,"",IF(CC904="Aussen","Aussenlager",IF(CC904="-","Nicht im Lift",IF(BF904&gt;=1,"Lift",IF(BF904&lt;=0,"Aussenlager","teilweise")))))</f>
        <v>Lift</v>
      </c>
      <c r="BJ904" s="48" t="str">
        <f aca="false">IF(A904="","",IF(BS904=1,"Neu; ","")&amp;IF(AND(BS904=0,BN904&lt;0),"negativer Bestand (Export "&amp;BN904&amp;"); ","")&amp;IF(J904&lt;=0,"Kein Verbrauch; ","")&amp;IF(CL904&gt;0,"Lift "&amp;W904&amp;" lt. Liftbericht (Fach "&amp;X904&amp;" Stk); ",IF(BX904=1,"Gebinde geschätzt ("&amp;T904&amp;"); ",IF(BW904=1,"Lose – Tablare geschätzt; ","")))&amp;IF(H904&gt;AT904,"Überbestand "&amp;ROUND(H904-AT904,0)&amp;" Stk / CHF "&amp;ROUND((H904-AT904)*G904,0)&amp;"; ","")&amp;IF(AND(CE904=1,CF904&lt;CG904),"MAX &lt; MB+LG; ","")&amp;IF(AND(CK904&gt;0,CJ904*10&gt;CK904),"zu hoch für Tablar; ","")&amp;IF(AND(BS904=0,OR(CE904=1,AA904&lt;&gt;"",U904&lt;&gt;"",V904&lt;&gt;"",AB904&lt;&gt;"")),"manuell übersteuert; ","")&amp;IF(AND(BW904=0,R904=0),"Gebinde unbekannt / Stellmass fehlt; ","")&amp;IF(AND(BW904=0,N(V904)&lt;=0,N(Q904)&lt;=0),"Menge pro Gebinde fehlt (Ist = 1 Gebinde); ","")&amp;BR904)</f>
        <v>negativer Bestand (Export -600); </v>
      </c>
      <c r="BK904" s="48"/>
      <c r="BL904" s="48"/>
      <c r="BM904" s="55"/>
      <c r="BN904" s="50" t="n">
        <v>-600</v>
      </c>
      <c r="BO904" s="50" t="n">
        <v>1193</v>
      </c>
      <c r="BP904" s="49" t="n">
        <v>-36</v>
      </c>
      <c r="BQ904" s="50" t="n">
        <v>392</v>
      </c>
      <c r="BR904" s="48"/>
      <c r="BS904" s="53" t="n">
        <v>0</v>
      </c>
      <c r="BT904" s="53" t="n">
        <v>904</v>
      </c>
      <c r="BU904" s="48" t="str">
        <f aca="false">IF(U904&lt;&gt;"",UPPER(TRIM(U904)),IF(BX904=1,UPPER(VLOOKUP(T904,Parameter!$I$27:$K$29,2,0)),IF(P904="","LOSE",P904)))</f>
        <v>S51</v>
      </c>
      <c r="BV904" s="50" t="n">
        <f aca="false">IF(BU904="LOSE",1,IF(N(V904)&gt;0,V904,IF(BX904=1,MAX(1,N(VLOOKUP(T904,Parameter!$I$27:$K$29,3,0)),H904,N(N904)),IF(N(Q904)&gt;0,Q904,MAX(1,H904)))))</f>
        <v>756</v>
      </c>
      <c r="BW904" s="53" t="n">
        <f aca="false">IF(BU904="LOSE",1,0)</f>
        <v>0</v>
      </c>
      <c r="BX904" s="53" t="n">
        <f aca="false">IF(AND(U904="",OR(P904="",P904="LOSE"),T904&lt;&gt;"",N(S904)&lt;=0,ISNUMBER(MATCH(T904,Parameter!$I$27:$I$29,0))),1,0)</f>
        <v>0</v>
      </c>
      <c r="BY904" s="53" t="n">
        <f aca="false">IF(CL904&gt;0,INDEX(Parameter!$H$5:$H$7,W904)/INDEX(Parameter!$E$5:$E$7,W904),IF(AND(BW904=0,N(IFERROR(VLOOKUP(BU904,'Gebinde-Kategorie'!$A$5:$N$45,14,0),0))&gt;0),VLOOKUP(BU904,'Gebinde-Kategorie'!$A$5:$N$45,14,0)*10+Parameter!$M$23,Parameter!$M$24))</f>
        <v>155</v>
      </c>
      <c r="BZ904" s="48" t="str">
        <f aca="false">IF(AND(Parameter!$B$19="Ja",E904&lt;&gt;"",ISNUMBER(MATCH(E904,Parameter!$I$35:$I$52,0))),VLOOKUP(E904,Parameter!$I$35:$J$52,2,0),IFERROR(VLOOKUP(D904,Parameter!$A$35:$C$64,2,0),"Nein"))</f>
        <v>2+3</v>
      </c>
      <c r="CA904" s="52" t="n">
        <f aca="false">IF(BW904=0,0,IF(N(S904)&gt;0,S904,IFERROR(VLOOKUP(D904,Parameter!$A$35:$C$64,3,0)+0,0)))</f>
        <v>0</v>
      </c>
      <c r="CB904" s="48" t="n">
        <f aca="false">IF(AA904&lt;&gt;"",AA904,Z904)</f>
        <v>3</v>
      </c>
      <c r="CC904" s="48" t="str">
        <f aca="false">IF(OR(CB904=1,CB904=2,CB904=3),IF(Parameter!$E$27="Ja","LIFT",IF(CB904=1,"L1","L23")),IF(CB904="Aussen","Aussen","-"))</f>
        <v>LIFT</v>
      </c>
      <c r="CD904" s="59" t="n">
        <f aca="false">IF(N(AB904)&gt;0,AB904,0)</f>
        <v>0</v>
      </c>
      <c r="CE904" s="53" t="n">
        <f aca="false">IF(ISNUMBER(AE904),1,0)</f>
        <v>0</v>
      </c>
      <c r="CF904" s="50" t="n">
        <f aca="false">N(AE904)</f>
        <v>0</v>
      </c>
      <c r="CG904" s="50" t="n">
        <f aca="false">N(M904)+N(N904)</f>
        <v>422</v>
      </c>
      <c r="CH904" s="50" t="n">
        <f aca="false">ROUNDUP(H904/BV904,0)</f>
        <v>1</v>
      </c>
      <c r="CI904" s="50" t="n">
        <f aca="false">ROUNDUP(CF904/BV904,0)</f>
        <v>0</v>
      </c>
      <c r="CJ904" s="53" t="n">
        <f aca="false">IF(BW904=1,0,IFERROR(VLOOKUP(BU904,'Gebinde-Kategorie'!$A$5:$N$45,5,0)+0,0))</f>
        <v>11</v>
      </c>
      <c r="CK904" s="53" t="n">
        <f aca="false">IFERROR(IF(OR(CB904=1,CB904=2,CB904=3),N(INDEX(Parameter!$I$5:$I$7,CB904)),0),0)</f>
        <v>0</v>
      </c>
      <c r="CL904" s="52" t="n">
        <f aca="false">IF(AND(Parameter!$B$21="Ja",ISNUMBER(W904),N(X904)&gt;0),IFERROR(N(INDEX(Parameter!$L$5:$L$7,W904))*INDEX(Parameter!$E$5:$E$7,W904)*X904/SUMIFS($X$7:$X$1843,$W$7:$W$1843,W904),0),0)</f>
        <v>0</v>
      </c>
    </row>
    <row r="905" customFormat="false" ht="15" hidden="false" customHeight="false" outlineLevel="0" collapsed="false">
      <c r="A905" s="48" t="s">
        <v>1703</v>
      </c>
      <c r="B905" s="48" t="s">
        <v>1704</v>
      </c>
      <c r="C905" s="48" t="s">
        <v>168</v>
      </c>
      <c r="D905" s="48" t="s">
        <v>188</v>
      </c>
      <c r="E905" s="48" t="s">
        <v>189</v>
      </c>
      <c r="F905" s="48" t="s">
        <v>222</v>
      </c>
      <c r="G905" s="49" t="n">
        <v>0.04</v>
      </c>
      <c r="H905" s="50" t="n">
        <f aca="false">MAX(0,IF(AND(Parameter!$B$21="Ja",ISNUMBER(Y905)),Y905,IF(Parameter!$B$20="Jahresanfang 2025 + Export",BO905+BN905,BN905)))</f>
        <v>263</v>
      </c>
      <c r="I905" s="50" t="n">
        <f aca="false">H905*G905</f>
        <v>10.52</v>
      </c>
      <c r="J905" s="50" t="n">
        <f aca="false">BQ905*Parameter!$B$18</f>
        <v>600</v>
      </c>
      <c r="K905" s="51" t="n">
        <v>1164</v>
      </c>
      <c r="L905" s="52" t="n">
        <v>0.515463917525773</v>
      </c>
      <c r="M905" s="50" t="n">
        <v>46</v>
      </c>
      <c r="N905" s="50" t="n">
        <v>600</v>
      </c>
      <c r="O905" s="53" t="n">
        <v>28</v>
      </c>
      <c r="P905" s="48" t="s">
        <v>405</v>
      </c>
      <c r="Q905" s="50" t="n">
        <v>2242</v>
      </c>
      <c r="R905" s="53" t="n">
        <f aca="false">IF(BW905=1,0,IFERROR(VLOOKUP(BU905,'Gebinde-Kategorie'!$A$5:$N$45,13,0)+0,0))</f>
        <v>280</v>
      </c>
      <c r="S905" s="54"/>
      <c r="T905" s="55"/>
      <c r="U905" s="55"/>
      <c r="V905" s="55"/>
      <c r="W905" s="48"/>
      <c r="X905" s="50"/>
      <c r="Y905" s="50"/>
      <c r="Z905" s="48" t="n">
        <f aca="false">IF(A905="","",IF(AND(Parameter!$B$21="Ja",ISNUMBER(W905)),W905,IF(BZ905="2+3",IF(ISNUMBER(SEARCH("grosser Artikel",BR905)),2,IFERROR(VLOOKUP(BU905,Parameter!$F$35:$G$64,2,0),2)),IF(OR(BZ905="Nein",BZ905=""),"-",BZ905))))</f>
        <v>3</v>
      </c>
      <c r="AA905" s="55"/>
      <c r="AB905" s="56"/>
      <c r="AC905" s="50" t="n">
        <f aca="false">AT905</f>
        <v>2242</v>
      </c>
      <c r="AD905" s="50" t="n">
        <f aca="false">MAX(AT905,H905)</f>
        <v>2242</v>
      </c>
      <c r="AE905" s="57"/>
      <c r="AF905" s="50" t="n">
        <f aca="false">IF(LEFT(Cockpit!$C$5,1)="A",H905,IF(CE905=1,CF905,IF(LEFT(Cockpit!$C$5,1)="B",AK905,MAX(AK905,H905))))</f>
        <v>263</v>
      </c>
      <c r="AG905" s="50" t="n">
        <f aca="false">IF(BW905=1,0,ROUNDUP(AF905/BV905,0))</f>
        <v>1</v>
      </c>
      <c r="AH905" s="52" t="n">
        <f aca="false">IF(CL905&gt;0,CL905*MAX(1,AF905/X905),IF(BW905=1,IF(AF905&lt;=0,0,CA905*MAX(1,IF(H905&gt;0,AF905/H905,1))),IF(R905&gt;0,AG905/R905,0))/MAX(0.1,N(Parameter!$M$21)))</f>
        <v>0.00357142857142857</v>
      </c>
      <c r="AI905" s="50" t="n">
        <f aca="false">AH905*BY905</f>
        <v>0.553571428571429</v>
      </c>
      <c r="AJ905" s="50" t="n">
        <f aca="false">AF905*G905</f>
        <v>10.52</v>
      </c>
      <c r="AK905" s="50" t="n">
        <f aca="false">ROUNDUP(MAX(J905/IF(CD905&gt;0,CD905,MAX(0.1,N(Cockpit!$C$6))),CG905)/BV905,0)*BV905</f>
        <v>2242</v>
      </c>
      <c r="AL905" s="51" t="n">
        <f aca="false">IF(AI905&gt;0,J905/AI905,-1)</f>
        <v>1083.87096774194</v>
      </c>
      <c r="AM905" s="51" t="n">
        <f aca="false">IF(AND(OR(CC905="L1",CC905="L23",CC905="LIFT"),AI905&gt;0),SUMIFS($AI$7:$AI$1843,$CC$7:$CC$1843,CC905,$AL$7:$AL$1843,"&gt;"&amp;AL905)+SUMIFS($AI$7:$AI$1843,$CC$7:$CC$1843,CC905,$AL$7:$AL$1843,AL905,$BT$7:$BT$1843,"&lt;="&amp;BT905),"")</f>
        <v>13.0302197802198</v>
      </c>
      <c r="AN905" s="58" t="n">
        <f aca="false">IF(AM905="",0,MAX(0,MIN(1,(IF(CC905="L1",Parameter!$H$5,IF(CC905="L23",Parameter!$H$6+Parameter!$H$7,Parameter!$H$5+Parameter!$H$6+Parameter!$H$7))-(AM905-AI905))/AI905)))</f>
        <v>1</v>
      </c>
      <c r="AO905" s="50" t="n">
        <f aca="false">IF(LEFT(Cockpit!$I$5,1)="A",H905,IF(CE905=1,CF905,IF(LEFT(Cockpit!$I$5,1)="B",AT905,MAX(AT905,H905))))</f>
        <v>2242</v>
      </c>
      <c r="AP905" s="50" t="n">
        <f aca="false">IF(BW905=1,0,ROUNDUP(AO905/BV905,0))</f>
        <v>1</v>
      </c>
      <c r="AQ905" s="52" t="n">
        <f aca="false">IF(CL905&gt;0,CL905*MAX(1,AO905/X905),IF(BW905=1,IF(AO905&lt;=0,0,CA905*MAX(1,IF(H905&gt;0,AO905/H905,1))),IF(R905&gt;0,AP905/R905,0))/MAX(0.1,N(Parameter!$M$21)))</f>
        <v>0.00357142857142857</v>
      </c>
      <c r="AR905" s="50" t="n">
        <f aca="false">AQ905*BY905</f>
        <v>0.553571428571429</v>
      </c>
      <c r="AS905" s="50" t="n">
        <f aca="false">AO905*G905</f>
        <v>89.68</v>
      </c>
      <c r="AT905" s="50" t="n">
        <f aca="false">ROUNDUP(MAX(J905/IF(CD905&gt;0,CD905,MAX(0.1,N(Cockpit!$I$6))),CG905)/BV905,0)*BV905</f>
        <v>2242</v>
      </c>
      <c r="AU905" s="51" t="n">
        <f aca="false">IF(AR905&gt;0,J905/AR905,-1)</f>
        <v>1083.87096774194</v>
      </c>
      <c r="AV905" s="51" t="n">
        <f aca="false">IF(AND(OR(CC905="L1",CC905="L23",CC905="LIFT"),AR905&gt;0),SUMIFS($AR$7:$AR$1843,$CC$7:$CC$1843,CC905,$AU$7:$AU$1843,"&gt;"&amp;AU905)+SUMIFS($AR$7:$AR$1843,$CC$7:$CC$1843,CC905,$AU$7:$AU$1843,AU905,$BT$7:$BT$1843,"&lt;="&amp;BT905),"")</f>
        <v>6.51510989010989</v>
      </c>
      <c r="AW905" s="58" t="n">
        <f aca="false">IF(AV905="",0,MAX(0,MIN(1,(IF(CC905="L1",Parameter!$H$5,IF(CC905="L23",Parameter!$H$6+Parameter!$H$7,Parameter!$H$5+Parameter!$H$6+Parameter!$H$7))-(AV905-AR905))/AR905)))</f>
        <v>1</v>
      </c>
      <c r="AX905" s="50" t="n">
        <f aca="false">IF(LEFT(Cockpit!$O$5,1)="A",H905,IF(CE905=1,CF905,IF(LEFT(Cockpit!$O$5,1)="B",BC905,MAX(BC905,H905))))</f>
        <v>2242</v>
      </c>
      <c r="AY905" s="50" t="n">
        <f aca="false">IF(BW905=1,0,ROUNDUP(AX905/BV905,0))</f>
        <v>1</v>
      </c>
      <c r="AZ905" s="52" t="n">
        <f aca="false">IF(CL905&gt;0,CL905*MAX(1,AX905/X905),IF(BW905=1,IF(AX905&lt;=0,0,CA905*MAX(1,IF(H905&gt;0,AX905/H905,1))),IF(R905&gt;0,AY905/R905,0))/MAX(0.1,N(Parameter!$M$21)))</f>
        <v>0.00357142857142857</v>
      </c>
      <c r="BA905" s="50" t="n">
        <f aca="false">AZ905*BY905</f>
        <v>0.553571428571429</v>
      </c>
      <c r="BB905" s="50" t="n">
        <f aca="false">AX905*G905</f>
        <v>89.68</v>
      </c>
      <c r="BC905" s="50" t="n">
        <f aca="false">ROUNDUP(MAX(J905/IF(CD905&gt;0,CD905,MAX(0.1,N(Cockpit!$O$6))),CG905)/BV905,0)*BV905</f>
        <v>2242</v>
      </c>
      <c r="BD905" s="51" t="n">
        <f aca="false">IF(BA905&gt;0,J905/BA905,-1)</f>
        <v>1083.87096774194</v>
      </c>
      <c r="BE905" s="51" t="n">
        <f aca="false">IF(AND(OR(CC905="L1",CC905="L23",CC905="LIFT"),BA905&gt;0),SUMIFS($BA$7:$BA$1843,$CC$7:$CC$1843,CC905,$BD$7:$BD$1843,"&gt;"&amp;BD905)+SUMIFS($BA$7:$BA$1843,$CC$7:$CC$1843,CC905,$BD$7:$BD$1843,BD905,$BT$7:$BT$1843,"&lt;="&amp;BT905),"")</f>
        <v>6.51510989010989</v>
      </c>
      <c r="BF905" s="58" t="n">
        <f aca="false">IF(BE905="",0,MAX(0,MIN(1,(IF(CC905="L1",Parameter!$H$5,IF(CC905="L23",Parameter!$H$6+Parameter!$H$7,Parameter!$H$5+Parameter!$H$6+Parameter!$H$7))-(BE905-BA905))/BA905)))</f>
        <v>1</v>
      </c>
      <c r="BG905" s="48" t="str">
        <f aca="false">IF(AI905&lt;=0,"",IF(CC905="Aussen","Aussenlager",IF(CC905="-","Nicht im Lift",IF(AN905&gt;=1,"Lift",IF(AN905&lt;=0,"Aussenlager","teilweise")))))</f>
        <v>Lift</v>
      </c>
      <c r="BH905" s="48" t="str">
        <f aca="false">IF(AR905&lt;=0,"",IF(CC905="Aussen","Aussenlager",IF(CC905="-","Nicht im Lift",IF(AW905&gt;=1,"Lift",IF(AW905&lt;=0,"Aussenlager","teilweise")))))</f>
        <v>Lift</v>
      </c>
      <c r="BI905" s="48" t="str">
        <f aca="false">IF(BA905&lt;=0,"",IF(CC905="Aussen","Aussenlager",IF(CC905="-","Nicht im Lift",IF(BF905&gt;=1,"Lift",IF(BF905&lt;=0,"Aussenlager","teilweise")))))</f>
        <v>Lift</v>
      </c>
      <c r="BJ905" s="48" t="str">
        <f aca="false">IF(A905="","",IF(BS905=1,"Neu; ","")&amp;IF(AND(BS905=0,BN905&lt;0),"negativer Bestand (Export "&amp;BN905&amp;"); ","")&amp;IF(J905&lt;=0,"Kein Verbrauch; ","")&amp;IF(CL905&gt;0,"Lift "&amp;W905&amp;" lt. Liftbericht (Fach "&amp;X905&amp;" Stk); ",IF(BX905=1,"Gebinde geschätzt ("&amp;T905&amp;"); ",IF(BW905=1,"Lose – Tablare geschätzt; ","")))&amp;IF(H905&gt;AT905,"Überbestand "&amp;ROUND(H905-AT905,0)&amp;" Stk / CHF "&amp;ROUND((H905-AT905)*G905,0)&amp;"; ","")&amp;IF(AND(CE905=1,CF905&lt;CG905),"MAX &lt; MB+LG; ","")&amp;IF(AND(CK905&gt;0,CJ905*10&gt;CK905),"zu hoch für Tablar; ","")&amp;IF(AND(BS905=0,OR(CE905=1,AA905&lt;&gt;"",U905&lt;&gt;"",V905&lt;&gt;"",AB905&lt;&gt;"")),"manuell übersteuert; ","")&amp;IF(AND(BW905=0,R905=0),"Gebinde unbekannt / Stellmass fehlt; ","")&amp;IF(AND(BW905=0,N(V905)&lt;=0,N(Q905)&lt;=0),"Menge pro Gebinde fehlt (Ist = 1 Gebinde); ","")&amp;BR905)</f>
        <v>negativer Bestand (Export -1257); Handlager</v>
      </c>
      <c r="BK905" s="48"/>
      <c r="BL905" s="48"/>
      <c r="BM905" s="55"/>
      <c r="BN905" s="50" t="n">
        <v>-1257</v>
      </c>
      <c r="BO905" s="50" t="n">
        <v>1520</v>
      </c>
      <c r="BP905" s="49" t="n">
        <v>-36.28</v>
      </c>
      <c r="BQ905" s="50" t="n">
        <v>600</v>
      </c>
      <c r="BR905" s="48" t="s">
        <v>899</v>
      </c>
      <c r="BS905" s="53" t="n">
        <v>0</v>
      </c>
      <c r="BT905" s="53" t="n">
        <v>905</v>
      </c>
      <c r="BU905" s="48" t="str">
        <f aca="false">IF(U905&lt;&gt;"",UPPER(TRIM(U905)),IF(BX905=1,UPPER(VLOOKUP(T905,Parameter!$I$27:$K$29,2,0)),IF(P905="","LOSE",P905)))</f>
        <v>S21</v>
      </c>
      <c r="BV905" s="50" t="n">
        <f aca="false">IF(BU905="LOSE",1,IF(N(V905)&gt;0,V905,IF(BX905=1,MAX(1,N(VLOOKUP(T905,Parameter!$I$27:$K$29,3,0)),H905,N(N905)),IF(N(Q905)&gt;0,Q905,MAX(1,H905)))))</f>
        <v>2242</v>
      </c>
      <c r="BW905" s="53" t="n">
        <f aca="false">IF(BU905="LOSE",1,0)</f>
        <v>0</v>
      </c>
      <c r="BX905" s="53" t="n">
        <f aca="false">IF(AND(U905="",OR(P905="",P905="LOSE"),T905&lt;&gt;"",N(S905)&lt;=0,ISNUMBER(MATCH(T905,Parameter!$I$27:$I$29,0))),1,0)</f>
        <v>0</v>
      </c>
      <c r="BY905" s="53" t="n">
        <f aca="false">IF(CL905&gt;0,INDEX(Parameter!$H$5:$H$7,W905)/INDEX(Parameter!$E$5:$E$7,W905),IF(AND(BW905=0,N(IFERROR(VLOOKUP(BU905,'Gebinde-Kategorie'!$A$5:$N$45,14,0),0))&gt;0),VLOOKUP(BU905,'Gebinde-Kategorie'!$A$5:$N$45,14,0)*10+Parameter!$M$23,Parameter!$M$24))</f>
        <v>155</v>
      </c>
      <c r="BZ905" s="48" t="str">
        <f aca="false">IF(AND(Parameter!$B$19="Ja",E905&lt;&gt;"",ISNUMBER(MATCH(E905,Parameter!$I$35:$I$52,0))),VLOOKUP(E905,Parameter!$I$35:$J$52,2,0),IFERROR(VLOOKUP(D905,Parameter!$A$35:$C$64,2,0),"Nein"))</f>
        <v>2+3</v>
      </c>
      <c r="CA905" s="52" t="n">
        <f aca="false">IF(BW905=0,0,IF(N(S905)&gt;0,S905,IFERROR(VLOOKUP(D905,Parameter!$A$35:$C$64,3,0)+0,0)))</f>
        <v>0</v>
      </c>
      <c r="CB905" s="48" t="n">
        <f aca="false">IF(AA905&lt;&gt;"",AA905,Z905)</f>
        <v>3</v>
      </c>
      <c r="CC905" s="48" t="str">
        <f aca="false">IF(OR(CB905=1,CB905=2,CB905=3),IF(Parameter!$E$27="Ja","LIFT",IF(CB905=1,"L1","L23")),IF(CB905="Aussen","Aussen","-"))</f>
        <v>LIFT</v>
      </c>
      <c r="CD905" s="59" t="n">
        <f aca="false">IF(N(AB905)&gt;0,AB905,0)</f>
        <v>0</v>
      </c>
      <c r="CE905" s="53" t="n">
        <f aca="false">IF(ISNUMBER(AE905),1,0)</f>
        <v>0</v>
      </c>
      <c r="CF905" s="50" t="n">
        <f aca="false">N(AE905)</f>
        <v>0</v>
      </c>
      <c r="CG905" s="50" t="n">
        <f aca="false">N(M905)+N(N905)</f>
        <v>646</v>
      </c>
      <c r="CH905" s="50" t="n">
        <f aca="false">ROUNDUP(H905/BV905,0)</f>
        <v>1</v>
      </c>
      <c r="CI905" s="50" t="n">
        <f aca="false">ROUNDUP(CF905/BV905,0)</f>
        <v>0</v>
      </c>
      <c r="CJ905" s="53" t="n">
        <f aca="false">IF(BW905=1,0,IFERROR(VLOOKUP(BU905,'Gebinde-Kategorie'!$A$5:$N$45,5,0)+0,0))</f>
        <v>8</v>
      </c>
      <c r="CK905" s="53" t="n">
        <f aca="false">IFERROR(IF(OR(CB905=1,CB905=2,CB905=3),N(INDEX(Parameter!$I$5:$I$7,CB905)),0),0)</f>
        <v>0</v>
      </c>
      <c r="CL905" s="52" t="n">
        <f aca="false">IF(AND(Parameter!$B$21="Ja",ISNUMBER(W905),N(X905)&gt;0),IFERROR(N(INDEX(Parameter!$L$5:$L$7,W905))*INDEX(Parameter!$E$5:$E$7,W905)*X905/SUMIFS($X$7:$X$1843,$W$7:$W$1843,W905),0),0)</f>
        <v>0</v>
      </c>
    </row>
    <row r="906" customFormat="false" ht="15" hidden="false" customHeight="false" outlineLevel="0" collapsed="false">
      <c r="A906" s="48" t="s">
        <v>1705</v>
      </c>
      <c r="B906" s="48" t="s">
        <v>409</v>
      </c>
      <c r="C906" s="48" t="s">
        <v>168</v>
      </c>
      <c r="D906" s="48" t="s">
        <v>188</v>
      </c>
      <c r="E906" s="48" t="s">
        <v>189</v>
      </c>
      <c r="F906" s="48" t="s">
        <v>222</v>
      </c>
      <c r="G906" s="49" t="n">
        <v>0.16</v>
      </c>
      <c r="H906" s="50" t="n">
        <f aca="false">MAX(0,IF(AND(Parameter!$B$21="Ja",ISNUMBER(Y906)),Y906,IF(Parameter!$B$20="Jahresanfang 2025 + Export",BO906+BN906,BN906)))</f>
        <v>135</v>
      </c>
      <c r="I906" s="50" t="n">
        <f aca="false">H906*G906</f>
        <v>21.6</v>
      </c>
      <c r="J906" s="50" t="n">
        <f aca="false">BQ906*Parameter!$B$18</f>
        <v>288</v>
      </c>
      <c r="K906" s="51" t="n">
        <v>298</v>
      </c>
      <c r="L906" s="52" t="n">
        <v>0.966442953020134</v>
      </c>
      <c r="M906" s="50" t="n">
        <v>22</v>
      </c>
      <c r="N906" s="50" t="n">
        <v>300</v>
      </c>
      <c r="O906" s="53" t="n">
        <v>28</v>
      </c>
      <c r="P906" s="48" t="s">
        <v>237</v>
      </c>
      <c r="Q906" s="50" t="n">
        <v>224</v>
      </c>
      <c r="R906" s="53" t="n">
        <f aca="false">IF(BW906=1,0,IFERROR(VLOOKUP(BU906,'Gebinde-Kategorie'!$A$5:$N$45,13,0)+0,0))</f>
        <v>26</v>
      </c>
      <c r="S906" s="54"/>
      <c r="T906" s="55"/>
      <c r="U906" s="55"/>
      <c r="V906" s="55"/>
      <c r="W906" s="48"/>
      <c r="X906" s="50"/>
      <c r="Y906" s="50"/>
      <c r="Z906" s="48" t="n">
        <f aca="false">IF(A906="","",IF(AND(Parameter!$B$21="Ja",ISNUMBER(W906)),W906,IF(BZ906="2+3",IF(ISNUMBER(SEARCH("grosser Artikel",BR906)),2,IFERROR(VLOOKUP(BU906,Parameter!$F$35:$G$64,2,0),2)),IF(OR(BZ906="Nein",BZ906=""),"-",BZ906))))</f>
        <v>3</v>
      </c>
      <c r="AA906" s="55"/>
      <c r="AB906" s="56"/>
      <c r="AC906" s="50" t="n">
        <f aca="false">AT906</f>
        <v>448</v>
      </c>
      <c r="AD906" s="50" t="n">
        <f aca="false">MAX(AT906,H906)</f>
        <v>448</v>
      </c>
      <c r="AE906" s="57"/>
      <c r="AF906" s="50" t="n">
        <f aca="false">IF(LEFT(Cockpit!$C$5,1)="A",H906,IF(CE906=1,CF906,IF(LEFT(Cockpit!$C$5,1)="B",AK906,MAX(AK906,H906))))</f>
        <v>135</v>
      </c>
      <c r="AG906" s="50" t="n">
        <f aca="false">IF(BW906=1,0,ROUNDUP(AF906/BV906,0))</f>
        <v>1</v>
      </c>
      <c r="AH906" s="52" t="n">
        <f aca="false">IF(CL906&gt;0,CL906*MAX(1,AF906/X906),IF(BW906=1,IF(AF906&lt;=0,0,CA906*MAX(1,IF(H906&gt;0,AF906/H906,1))),IF(R906&gt;0,AG906/R906,0))/MAX(0.1,N(Parameter!$M$21)))</f>
        <v>0.0384615384615385</v>
      </c>
      <c r="AI906" s="50" t="n">
        <f aca="false">AH906*BY906</f>
        <v>9.42307692307692</v>
      </c>
      <c r="AJ906" s="50" t="n">
        <f aca="false">AF906*G906</f>
        <v>21.6</v>
      </c>
      <c r="AK906" s="50" t="n">
        <f aca="false">ROUNDUP(MAX(J906/IF(CD906&gt;0,CD906,MAX(0.1,N(Cockpit!$C$6))),CG906)/BV906,0)*BV906</f>
        <v>448</v>
      </c>
      <c r="AL906" s="51" t="n">
        <f aca="false">IF(AI906&gt;0,J906/AI906,-1)</f>
        <v>30.5632653061225</v>
      </c>
      <c r="AM906" s="51" t="n">
        <f aca="false">IF(AND(OR(CC906="L1",CC906="L23",CC906="LIFT"),AI906&gt;0),SUMIFS($AI$7:$AI$1843,$CC$7:$CC$1843,CC906,$AL$7:$AL$1843,"&gt;"&amp;AL906)+SUMIFS($AI$7:$AI$1843,$CC$7:$CC$1843,CC906,$AL$7:$AL$1843,AL906,$BT$7:$BT$1843,"&lt;="&amp;BT906),"")</f>
        <v>1403.35164835165</v>
      </c>
      <c r="AN906" s="58" t="n">
        <f aca="false">IF(AM906="",0,MAX(0,MIN(1,(IF(CC906="L1",Parameter!$H$5,IF(CC906="L23",Parameter!$H$6+Parameter!$H$7,Parameter!$H$5+Parameter!$H$6+Parameter!$H$7))-(AM906-AI906))/AI906)))</f>
        <v>1</v>
      </c>
      <c r="AO906" s="50" t="n">
        <f aca="false">IF(LEFT(Cockpit!$I$5,1)="A",H906,IF(CE906=1,CF906,IF(LEFT(Cockpit!$I$5,1)="B",AT906,MAX(AT906,H906))))</f>
        <v>448</v>
      </c>
      <c r="AP906" s="50" t="n">
        <f aca="false">IF(BW906=1,0,ROUNDUP(AO906/BV906,0))</f>
        <v>2</v>
      </c>
      <c r="AQ906" s="52" t="n">
        <f aca="false">IF(CL906&gt;0,CL906*MAX(1,AO906/X906),IF(BW906=1,IF(AO906&lt;=0,0,CA906*MAX(1,IF(H906&gt;0,AO906/H906,1))),IF(R906&gt;0,AP906/R906,0))/MAX(0.1,N(Parameter!$M$21)))</f>
        <v>0.0769230769230769</v>
      </c>
      <c r="AR906" s="50" t="n">
        <f aca="false">AQ906*BY906</f>
        <v>18.8461538461538</v>
      </c>
      <c r="AS906" s="50" t="n">
        <f aca="false">AO906*G906</f>
        <v>71.68</v>
      </c>
      <c r="AT906" s="50" t="n">
        <f aca="false">ROUNDUP(MAX(J906/IF(CD906&gt;0,CD906,MAX(0.1,N(Cockpit!$I$6))),CG906)/BV906,0)*BV906</f>
        <v>448</v>
      </c>
      <c r="AU906" s="51" t="n">
        <f aca="false">IF(AR906&gt;0,J906/AR906,-1)</f>
        <v>15.2816326530612</v>
      </c>
      <c r="AV906" s="51" t="n">
        <f aca="false">IF(AND(OR(CC906="L1",CC906="L23",CC906="LIFT"),AR906&gt;0),SUMIFS($AR$7:$AR$1843,$CC$7:$CC$1843,CC906,$AU$7:$AU$1843,"&gt;"&amp;AU906)+SUMIFS($AR$7:$AR$1843,$CC$7:$CC$1843,CC906,$AU$7:$AU$1843,AU906,$BT$7:$BT$1843,"&lt;="&amp;BT906),"")</f>
        <v>3268.5260989011</v>
      </c>
      <c r="AW906" s="58" t="n">
        <f aca="false">IF(AV906="",0,MAX(0,MIN(1,(IF(CC906="L1",Parameter!$H$5,IF(CC906="L23",Parameter!$H$6+Parameter!$H$7,Parameter!$H$5+Parameter!$H$6+Parameter!$H$7))-(AV906-AR906))/AR906)))</f>
        <v>1</v>
      </c>
      <c r="AX906" s="50" t="n">
        <f aca="false">IF(LEFT(Cockpit!$O$5,1)="A",H906,IF(CE906=1,CF906,IF(LEFT(Cockpit!$O$5,1)="B",BC906,MAX(BC906,H906))))</f>
        <v>448</v>
      </c>
      <c r="AY906" s="50" t="n">
        <f aca="false">IF(BW906=1,0,ROUNDUP(AX906/BV906,0))</f>
        <v>2</v>
      </c>
      <c r="AZ906" s="52" t="n">
        <f aca="false">IF(CL906&gt;0,CL906*MAX(1,AX906/X906),IF(BW906=1,IF(AX906&lt;=0,0,CA906*MAX(1,IF(H906&gt;0,AX906/H906,1))),IF(R906&gt;0,AY906/R906,0))/MAX(0.1,N(Parameter!$M$21)))</f>
        <v>0.0769230769230769</v>
      </c>
      <c r="BA906" s="50" t="n">
        <f aca="false">AZ906*BY906</f>
        <v>18.8461538461538</v>
      </c>
      <c r="BB906" s="50" t="n">
        <f aca="false">AX906*G906</f>
        <v>71.68</v>
      </c>
      <c r="BC906" s="50" t="n">
        <f aca="false">ROUNDUP(MAX(J906/IF(CD906&gt;0,CD906,MAX(0.1,N(Cockpit!$O$6))),CG906)/BV906,0)*BV906</f>
        <v>448</v>
      </c>
      <c r="BD906" s="51" t="n">
        <f aca="false">IF(BA906&gt;0,J906/BA906,-1)</f>
        <v>15.2816326530612</v>
      </c>
      <c r="BE906" s="51" t="n">
        <f aca="false">IF(AND(OR(CC906="L1",CC906="L23",CC906="LIFT"),BA906&gt;0),SUMIFS($BA$7:$BA$1843,$CC$7:$CC$1843,CC906,$BD$7:$BD$1843,"&gt;"&amp;BD906)+SUMIFS($BA$7:$BA$1843,$CC$7:$CC$1843,CC906,$BD$7:$BD$1843,BD906,$BT$7:$BT$1843,"&lt;="&amp;BT906),"")</f>
        <v>2942.9652014652</v>
      </c>
      <c r="BF906" s="58" t="n">
        <f aca="false">IF(BE906="",0,MAX(0,MIN(1,(IF(CC906="L1",Parameter!$H$5,IF(CC906="L23",Parameter!$H$6+Parameter!$H$7,Parameter!$H$5+Parameter!$H$6+Parameter!$H$7))-(BE906-BA906))/BA906)))</f>
        <v>1</v>
      </c>
      <c r="BG906" s="48" t="str">
        <f aca="false">IF(AI906&lt;=0,"",IF(CC906="Aussen","Aussenlager",IF(CC906="-","Nicht im Lift",IF(AN906&gt;=1,"Lift",IF(AN906&lt;=0,"Aussenlager","teilweise")))))</f>
        <v>Lift</v>
      </c>
      <c r="BH906" s="48" t="str">
        <f aca="false">IF(AR906&lt;=0,"",IF(CC906="Aussen","Aussenlager",IF(CC906="-","Nicht im Lift",IF(AW906&gt;=1,"Lift",IF(AW906&lt;=0,"Aussenlager","teilweise")))))</f>
        <v>Lift</v>
      </c>
      <c r="BI906" s="48" t="str">
        <f aca="false">IF(BA906&lt;=0,"",IF(CC906="Aussen","Aussenlager",IF(CC906="-","Nicht im Lift",IF(BF906&gt;=1,"Lift",IF(BF906&lt;=0,"Aussenlager","teilweise")))))</f>
        <v>Lift</v>
      </c>
      <c r="BJ906" s="48" t="str">
        <f aca="false">IF(A906="","",IF(BS906=1,"Neu; ","")&amp;IF(AND(BS906=0,BN906&lt;0),"negativer Bestand (Export "&amp;BN906&amp;"); ","")&amp;IF(J906&lt;=0,"Kein Verbrauch; ","")&amp;IF(CL906&gt;0,"Lift "&amp;W906&amp;" lt. Liftbericht (Fach "&amp;X906&amp;" Stk); ",IF(BX906=1,"Gebinde geschätzt ("&amp;T906&amp;"); ",IF(BW906=1,"Lose – Tablare geschätzt; ","")))&amp;IF(H906&gt;AT906,"Überbestand "&amp;ROUND(H906-AT906,0)&amp;" Stk / CHF "&amp;ROUND((H906-AT906)*G906,0)&amp;"; ","")&amp;IF(AND(CE906=1,CF906&lt;CG906),"MAX &lt; MB+LG; ","")&amp;IF(AND(CK906&gt;0,CJ906*10&gt;CK906),"zu hoch für Tablar; ","")&amp;IF(AND(BS906=0,OR(CE906=1,AA906&lt;&gt;"",U906&lt;&gt;"",V906&lt;&gt;"",AB906&lt;&gt;"")),"manuell übersteuert; ","")&amp;IF(AND(BW906=0,R906=0),"Gebinde unbekannt / Stellmass fehlt; ","")&amp;IF(AND(BW906=0,N(V906)&lt;=0,N(Q906)&lt;=0),"Menge pro Gebinde fehlt (Ist = 1 Gebinde); ","")&amp;BR906)</f>
        <v>negativer Bestand (Export -206); </v>
      </c>
      <c r="BK906" s="48"/>
      <c r="BL906" s="48"/>
      <c r="BM906" s="55"/>
      <c r="BN906" s="50" t="n">
        <v>-206</v>
      </c>
      <c r="BO906" s="50" t="n">
        <v>341</v>
      </c>
      <c r="BP906" s="49" t="n">
        <v>-36.37</v>
      </c>
      <c r="BQ906" s="50" t="n">
        <v>288</v>
      </c>
      <c r="BR906" s="48"/>
      <c r="BS906" s="53" t="n">
        <v>0</v>
      </c>
      <c r="BT906" s="53" t="n">
        <v>906</v>
      </c>
      <c r="BU906" s="48" t="str">
        <f aca="false">IF(U906&lt;&gt;"",UPPER(TRIM(U906)),IF(BX906=1,UPPER(VLOOKUP(T906,Parameter!$I$27:$K$29,2,0)),IF(P906="","LOSE",P906)))</f>
        <v>S52</v>
      </c>
      <c r="BV906" s="50" t="n">
        <f aca="false">IF(BU906="LOSE",1,IF(N(V906)&gt;0,V906,IF(BX906=1,MAX(1,N(VLOOKUP(T906,Parameter!$I$27:$K$29,3,0)),H906,N(N906)),IF(N(Q906)&gt;0,Q906,MAX(1,H906)))))</f>
        <v>224</v>
      </c>
      <c r="BW906" s="53" t="n">
        <f aca="false">IF(BU906="LOSE",1,0)</f>
        <v>0</v>
      </c>
      <c r="BX906" s="53" t="n">
        <f aca="false">IF(AND(U906="",OR(P906="",P906="LOSE"),T906&lt;&gt;"",N(S906)&lt;=0,ISNUMBER(MATCH(T906,Parameter!$I$27:$I$29,0))),1,0)</f>
        <v>0</v>
      </c>
      <c r="BY906" s="53" t="n">
        <f aca="false">IF(CL906&gt;0,INDEX(Parameter!$H$5:$H$7,W906)/INDEX(Parameter!$E$5:$E$7,W906),IF(AND(BW906=0,N(IFERROR(VLOOKUP(BU906,'Gebinde-Kategorie'!$A$5:$N$45,14,0),0))&gt;0),VLOOKUP(BU906,'Gebinde-Kategorie'!$A$5:$N$45,14,0)*10+Parameter!$M$23,Parameter!$M$24))</f>
        <v>245</v>
      </c>
      <c r="BZ906" s="48" t="str">
        <f aca="false">IF(AND(Parameter!$B$19="Ja",E906&lt;&gt;"",ISNUMBER(MATCH(E906,Parameter!$I$35:$I$52,0))),VLOOKUP(E906,Parameter!$I$35:$J$52,2,0),IFERROR(VLOOKUP(D906,Parameter!$A$35:$C$64,2,0),"Nein"))</f>
        <v>2+3</v>
      </c>
      <c r="CA906" s="52" t="n">
        <f aca="false">IF(BW906=0,0,IF(N(S906)&gt;0,S906,IFERROR(VLOOKUP(D906,Parameter!$A$35:$C$64,3,0)+0,0)))</f>
        <v>0</v>
      </c>
      <c r="CB906" s="48" t="n">
        <f aca="false">IF(AA906&lt;&gt;"",AA906,Z906)</f>
        <v>3</v>
      </c>
      <c r="CC906" s="48" t="str">
        <f aca="false">IF(OR(CB906=1,CB906=2,CB906=3),IF(Parameter!$E$27="Ja","LIFT",IF(CB906=1,"L1","L23")),IF(CB906="Aussen","Aussen","-"))</f>
        <v>LIFT</v>
      </c>
      <c r="CD906" s="59" t="n">
        <f aca="false">IF(N(AB906)&gt;0,AB906,0)</f>
        <v>0</v>
      </c>
      <c r="CE906" s="53" t="n">
        <f aca="false">IF(ISNUMBER(AE906),1,0)</f>
        <v>0</v>
      </c>
      <c r="CF906" s="50" t="n">
        <f aca="false">N(AE906)</f>
        <v>0</v>
      </c>
      <c r="CG906" s="50" t="n">
        <f aca="false">N(M906)+N(N906)</f>
        <v>322</v>
      </c>
      <c r="CH906" s="50" t="n">
        <f aca="false">ROUNDUP(H906/BV906,0)</f>
        <v>1</v>
      </c>
      <c r="CI906" s="50" t="n">
        <f aca="false">ROUNDUP(CF906/BV906,0)</f>
        <v>0</v>
      </c>
      <c r="CJ906" s="53" t="n">
        <f aca="false">IF(BW906=1,0,IFERROR(VLOOKUP(BU906,'Gebinde-Kategorie'!$A$5:$N$45,5,0)+0,0))</f>
        <v>21</v>
      </c>
      <c r="CK906" s="53" t="n">
        <f aca="false">IFERROR(IF(OR(CB906=1,CB906=2,CB906=3),N(INDEX(Parameter!$I$5:$I$7,CB906)),0),0)</f>
        <v>0</v>
      </c>
      <c r="CL906" s="52" t="n">
        <f aca="false">IF(AND(Parameter!$B$21="Ja",ISNUMBER(W906),N(X906)&gt;0),IFERROR(N(INDEX(Parameter!$L$5:$L$7,W906))*INDEX(Parameter!$E$5:$E$7,W906)*X906/SUMIFS($X$7:$X$1843,$W$7:$W$1843,W906),0),0)</f>
        <v>0</v>
      </c>
    </row>
    <row r="907" customFormat="false" ht="15" hidden="false" customHeight="false" outlineLevel="0" collapsed="false">
      <c r="A907" s="48" t="s">
        <v>1706</v>
      </c>
      <c r="B907" s="48" t="s">
        <v>1688</v>
      </c>
      <c r="C907" s="48" t="s">
        <v>168</v>
      </c>
      <c r="D907" s="48" t="s">
        <v>188</v>
      </c>
      <c r="E907" s="48"/>
      <c r="F907" s="48" t="s">
        <v>222</v>
      </c>
      <c r="G907" s="49" t="n">
        <v>0.37</v>
      </c>
      <c r="H907" s="50" t="n">
        <f aca="false">MAX(0,IF(AND(Parameter!$B$21="Ja",ISNUMBER(Y907)),Y907,IF(Parameter!$B$20="Jahresanfang 2025 + Export",BO907+BN907,BN907)))</f>
        <v>0</v>
      </c>
      <c r="I907" s="50" t="n">
        <f aca="false">H907*G907</f>
        <v>0</v>
      </c>
      <c r="J907" s="50" t="n">
        <f aca="false">BQ907*Parameter!$B$18</f>
        <v>0</v>
      </c>
      <c r="K907" s="51" t="n">
        <v>50</v>
      </c>
      <c r="L907" s="52" t="n">
        <v>0</v>
      </c>
      <c r="M907" s="50" t="n">
        <v>0</v>
      </c>
      <c r="N907" s="50" t="n">
        <v>1</v>
      </c>
      <c r="O907" s="53" t="n">
        <v>28</v>
      </c>
      <c r="P907" s="48" t="s">
        <v>172</v>
      </c>
      <c r="Q907" s="50"/>
      <c r="R907" s="53" t="n">
        <f aca="false">IF(BW907=1,0,IFERROR(VLOOKUP(BU907,'Gebinde-Kategorie'!$A$5:$N$45,13,0)+0,0))</f>
        <v>26</v>
      </c>
      <c r="S907" s="54"/>
      <c r="T907" s="55" t="s">
        <v>279</v>
      </c>
      <c r="U907" s="55"/>
      <c r="V907" s="55"/>
      <c r="W907" s="48"/>
      <c r="X907" s="50"/>
      <c r="Y907" s="50"/>
      <c r="Z907" s="48" t="n">
        <f aca="false">IF(A907="","",IF(AND(Parameter!$B$21="Ja",ISNUMBER(W907)),W907,IF(BZ907="2+3",IF(ISNUMBER(SEARCH("grosser Artikel",BR907)),2,IFERROR(VLOOKUP(BU907,Parameter!$F$35:$G$64,2,0),2)),IF(OR(BZ907="Nein",BZ907=""),"-",BZ907))))</f>
        <v>3</v>
      </c>
      <c r="AA907" s="55"/>
      <c r="AB907" s="56"/>
      <c r="AC907" s="50" t="n">
        <f aca="false">AT907</f>
        <v>20</v>
      </c>
      <c r="AD907" s="50" t="n">
        <f aca="false">MAX(AT907,H907)</f>
        <v>20</v>
      </c>
      <c r="AE907" s="57"/>
      <c r="AF907" s="50" t="n">
        <f aca="false">IF(LEFT(Cockpit!$C$5,1)="A",H907,IF(CE907=1,CF907,IF(LEFT(Cockpit!$C$5,1)="B",AK907,MAX(AK907,H907))))</f>
        <v>0</v>
      </c>
      <c r="AG907" s="50" t="n">
        <f aca="false">IF(BW907=1,0,ROUNDUP(AF907/BV907,0))</f>
        <v>0</v>
      </c>
      <c r="AH907" s="52" t="n">
        <f aca="false">IF(CL907&gt;0,CL907*MAX(1,AF907/X907),IF(BW907=1,IF(AF907&lt;=0,0,CA907*MAX(1,IF(H907&gt;0,AF907/H907,1))),IF(R907&gt;0,AG907/R907,0))/MAX(0.1,N(Parameter!$M$21)))</f>
        <v>0</v>
      </c>
      <c r="AI907" s="50" t="n">
        <f aca="false">AH907*BY907</f>
        <v>0</v>
      </c>
      <c r="AJ907" s="50" t="n">
        <f aca="false">AF907*G907</f>
        <v>0</v>
      </c>
      <c r="AK907" s="50" t="n">
        <f aca="false">ROUNDUP(MAX(J907/IF(CD907&gt;0,CD907,MAX(0.1,N(Cockpit!$C$6))),CG907)/BV907,0)*BV907</f>
        <v>20</v>
      </c>
      <c r="AL907" s="51" t="n">
        <f aca="false">IF(AI907&gt;0,J907/AI907,-1)</f>
        <v>-1</v>
      </c>
      <c r="AM907" s="51" t="str">
        <f aca="false">IF(AND(OR(CC907="L1",CC907="L23",CC907="LIFT"),AI907&gt;0),SUMIFS($AI$7:$AI$1843,$CC$7:$CC$1843,CC907,$AL$7:$AL$1843,"&gt;"&amp;AL907)+SUMIFS($AI$7:$AI$1843,$CC$7:$CC$1843,CC907,$AL$7:$AL$1843,AL907,$BT$7:$BT$1843,"&lt;="&amp;BT907),"")</f>
        <v/>
      </c>
      <c r="AN907" s="58" t="n">
        <f aca="false">IF(AM907="",0,MAX(0,MIN(1,(IF(CC907="L1",Parameter!$H$5,IF(CC907="L23",Parameter!$H$6+Parameter!$H$7,Parameter!$H$5+Parameter!$H$6+Parameter!$H$7))-(AM907-AI907))/AI907)))</f>
        <v>0</v>
      </c>
      <c r="AO907" s="50" t="n">
        <f aca="false">IF(LEFT(Cockpit!$I$5,1)="A",H907,IF(CE907=1,CF907,IF(LEFT(Cockpit!$I$5,1)="B",AT907,MAX(AT907,H907))))</f>
        <v>20</v>
      </c>
      <c r="AP907" s="50" t="n">
        <f aca="false">IF(BW907=1,0,ROUNDUP(AO907/BV907,0))</f>
        <v>1</v>
      </c>
      <c r="AQ907" s="52" t="n">
        <f aca="false">IF(CL907&gt;0,CL907*MAX(1,AO907/X907),IF(BW907=1,IF(AO907&lt;=0,0,CA907*MAX(1,IF(H907&gt;0,AO907/H907,1))),IF(R907&gt;0,AP907/R907,0))/MAX(0.1,N(Parameter!$M$21)))</f>
        <v>0.0384615384615385</v>
      </c>
      <c r="AR907" s="50" t="n">
        <f aca="false">AQ907*BY907</f>
        <v>5.96153846153846</v>
      </c>
      <c r="AS907" s="50" t="n">
        <f aca="false">AO907*G907</f>
        <v>7.4</v>
      </c>
      <c r="AT907" s="50" t="n">
        <f aca="false">ROUNDUP(MAX(J907/IF(CD907&gt;0,CD907,MAX(0.1,N(Cockpit!$I$6))),CG907)/BV907,0)*BV907</f>
        <v>20</v>
      </c>
      <c r="AU907" s="51" t="n">
        <f aca="false">IF(AR907&gt;0,J907/AR907,-1)</f>
        <v>0</v>
      </c>
      <c r="AV907" s="51" t="n">
        <f aca="false">IF(AND(OR(CC907="L1",CC907="L23",CC907="LIFT"),AR907&gt;0),SUMIFS($AR$7:$AR$1843,$CC$7:$CC$1843,CC907,$AU$7:$AU$1843,"&gt;"&amp;AU907)+SUMIFS($AR$7:$AR$1843,$CC$7:$CC$1843,CC907,$AU$7:$AU$1843,AU907,$BT$7:$BT$1843,"&lt;="&amp;BT907),"")</f>
        <v>40451.8580663687</v>
      </c>
      <c r="AW907" s="58" t="n">
        <f aca="false">IF(AV907="",0,MAX(0,MIN(1,(IF(CC907="L1",Parameter!$H$5,IF(CC907="L23",Parameter!$H$6+Parameter!$H$7,Parameter!$H$5+Parameter!$H$6+Parameter!$H$7))-(AV907-AR907))/AR907)))</f>
        <v>0</v>
      </c>
      <c r="AX907" s="50" t="n">
        <f aca="false">IF(LEFT(Cockpit!$O$5,1)="A",H907,IF(CE907=1,CF907,IF(LEFT(Cockpit!$O$5,1)="B",BC907,MAX(BC907,H907))))</f>
        <v>20</v>
      </c>
      <c r="AY907" s="50" t="n">
        <f aca="false">IF(BW907=1,0,ROUNDUP(AX907/BV907,0))</f>
        <v>1</v>
      </c>
      <c r="AZ907" s="52" t="n">
        <f aca="false">IF(CL907&gt;0,CL907*MAX(1,AX907/X907),IF(BW907=1,IF(AX907&lt;=0,0,CA907*MAX(1,IF(H907&gt;0,AX907/H907,1))),IF(R907&gt;0,AY907/R907,0))/MAX(0.1,N(Parameter!$M$21)))</f>
        <v>0.0384615384615385</v>
      </c>
      <c r="BA907" s="50" t="n">
        <f aca="false">AZ907*BY907</f>
        <v>5.96153846153846</v>
      </c>
      <c r="BB907" s="50" t="n">
        <f aca="false">AX907*G907</f>
        <v>7.4</v>
      </c>
      <c r="BC907" s="50" t="n">
        <f aca="false">ROUNDUP(MAX(J907/IF(CD907&gt;0,CD907,MAX(0.1,N(Cockpit!$O$6))),CG907)/BV907,0)*BV907</f>
        <v>20</v>
      </c>
      <c r="BD907" s="51" t="n">
        <f aca="false">IF(BA907&gt;0,J907/BA907,-1)</f>
        <v>0</v>
      </c>
      <c r="BE907" s="51" t="n">
        <f aca="false">IF(AND(OR(CC907="L1",CC907="L23",CC907="LIFT"),BA907&gt;0),SUMIFS($BA$7:$BA$1843,$CC$7:$CC$1843,CC907,$BD$7:$BD$1843,"&gt;"&amp;BD907)+SUMIFS($BA$7:$BA$1843,$CC$7:$CC$1843,CC907,$BD$7:$BD$1843,BD907,$BT$7:$BT$1843,"&lt;="&amp;BT907),"")</f>
        <v>37126.8701082345</v>
      </c>
      <c r="BF907" s="58" t="n">
        <f aca="false">IF(BE907="",0,MAX(0,MIN(1,(IF(CC907="L1",Parameter!$H$5,IF(CC907="L23",Parameter!$H$6+Parameter!$H$7,Parameter!$H$5+Parameter!$H$6+Parameter!$H$7))-(BE907-BA907))/BA907)))</f>
        <v>0</v>
      </c>
      <c r="BG907" s="48" t="str">
        <f aca="false">IF(AI907&lt;=0,"",IF(CC907="Aussen","Aussenlager",IF(CC907="-","Nicht im Lift",IF(AN907&gt;=1,"Lift",IF(AN907&lt;=0,"Aussenlager","teilweise")))))</f>
        <v/>
      </c>
      <c r="BH907" s="48" t="str">
        <f aca="false">IF(AR907&lt;=0,"",IF(CC907="Aussen","Aussenlager",IF(CC907="-","Nicht im Lift",IF(AW907&gt;=1,"Lift",IF(AW907&lt;=0,"Aussenlager","teilweise")))))</f>
        <v>Aussenlager</v>
      </c>
      <c r="BI907" s="48" t="str">
        <f aca="false">IF(BA907&lt;=0,"",IF(CC907="Aussen","Aussenlager",IF(CC907="-","Nicht im Lift",IF(BF907&gt;=1,"Lift",IF(BF907&lt;=0,"Aussenlager","teilweise")))))</f>
        <v>Aussenlager</v>
      </c>
      <c r="BJ907" s="48" t="str">
        <f aca="false">IF(A907="","",IF(BS907=1,"Neu; ","")&amp;IF(AND(BS907=0,BN907&lt;0),"negativer Bestand (Export "&amp;BN907&amp;"); ","")&amp;IF(J907&lt;=0,"Kein Verbrauch; ","")&amp;IF(CL907&gt;0,"Lift "&amp;W907&amp;" lt. Liftbericht (Fach "&amp;X907&amp;" Stk); ",IF(BX907=1,"Gebinde geschätzt ("&amp;T907&amp;"); ",IF(BW907=1,"Lose – Tablare geschätzt; ","")))&amp;IF(H907&gt;AT907,"Überbestand "&amp;ROUND(H907-AT907,0)&amp;" Stk / CHF "&amp;ROUND((H907-AT907)*G907,0)&amp;"; ","")&amp;IF(AND(CE907=1,CF907&lt;CG907),"MAX &lt; MB+LG; ","")&amp;IF(AND(CK907&gt;0,CJ907*10&gt;CK907),"zu hoch für Tablar; ","")&amp;IF(AND(BS907=0,OR(CE907=1,AA907&lt;&gt;"",U907&lt;&gt;"",V907&lt;&gt;"",AB907&lt;&gt;"")),"manuell übersteuert; ","")&amp;IF(AND(BW907=0,R907=0),"Gebinde unbekannt / Stellmass fehlt; ","")&amp;IF(AND(BW907=0,N(V907)&lt;=0,N(Q907)&lt;=0),"Menge pro Gebinde fehlt (Ist = 1 Gebinde); ","")&amp;BR907)</f>
        <v>negativer Bestand (Export -100); Kein Verbrauch; Gebinde geschätzt (Klein); Menge pro Gebinde fehlt (Ist = 1 Gebinde); </v>
      </c>
      <c r="BK907" s="48"/>
      <c r="BL907" s="48"/>
      <c r="BM907" s="55"/>
      <c r="BN907" s="50" t="n">
        <v>-100</v>
      </c>
      <c r="BO907" s="50" t="n">
        <v>100</v>
      </c>
      <c r="BP907" s="49" t="n">
        <v>-37</v>
      </c>
      <c r="BQ907" s="50" t="n">
        <v>0</v>
      </c>
      <c r="BR907" s="48"/>
      <c r="BS907" s="53" t="n">
        <v>0</v>
      </c>
      <c r="BT907" s="53" t="n">
        <v>907</v>
      </c>
      <c r="BU907" s="48" t="str">
        <f aca="false">IF(U907&lt;&gt;"",UPPER(TRIM(U907)),IF(BX907=1,UPPER(VLOOKUP(T907,Parameter!$I$27:$K$29,2,0)),IF(P907="","LOSE",P907)))</f>
        <v>S51</v>
      </c>
      <c r="BV907" s="50" t="n">
        <f aca="false">IF(BU907="LOSE",1,IF(N(V907)&gt;0,V907,IF(BX907=1,MAX(1,N(VLOOKUP(T907,Parameter!$I$27:$K$29,3,0)),H907,N(N907)),IF(N(Q907)&gt;0,Q907,MAX(1,H907)))))</f>
        <v>20</v>
      </c>
      <c r="BW907" s="53" t="n">
        <f aca="false">IF(BU907="LOSE",1,0)</f>
        <v>0</v>
      </c>
      <c r="BX907" s="53" t="n">
        <f aca="false">IF(AND(U907="",OR(P907="",P907="LOSE"),T907&lt;&gt;"",N(S907)&lt;=0,ISNUMBER(MATCH(T907,Parameter!$I$27:$I$29,0))),1,0)</f>
        <v>1</v>
      </c>
      <c r="BY907" s="53" t="n">
        <f aca="false">IF(CL907&gt;0,INDEX(Parameter!$H$5:$H$7,W907)/INDEX(Parameter!$E$5:$E$7,W907),IF(AND(BW907=0,N(IFERROR(VLOOKUP(BU907,'Gebinde-Kategorie'!$A$5:$N$45,14,0),0))&gt;0),VLOOKUP(BU907,'Gebinde-Kategorie'!$A$5:$N$45,14,0)*10+Parameter!$M$23,Parameter!$M$24))</f>
        <v>155</v>
      </c>
      <c r="BZ907" s="48" t="str">
        <f aca="false">IF(AND(Parameter!$B$19="Ja",E907&lt;&gt;"",ISNUMBER(MATCH(E907,Parameter!$I$35:$I$52,0))),VLOOKUP(E907,Parameter!$I$35:$J$52,2,0),IFERROR(VLOOKUP(D907,Parameter!$A$35:$C$64,2,0),"Nein"))</f>
        <v>2+3</v>
      </c>
      <c r="CA907" s="52" t="n">
        <f aca="false">IF(BW907=0,0,IF(N(S907)&gt;0,S907,IFERROR(VLOOKUP(D907,Parameter!$A$35:$C$64,3,0)+0,0)))</f>
        <v>0</v>
      </c>
      <c r="CB907" s="48" t="n">
        <f aca="false">IF(AA907&lt;&gt;"",AA907,Z907)</f>
        <v>3</v>
      </c>
      <c r="CC907" s="48" t="str">
        <f aca="false">IF(OR(CB907=1,CB907=2,CB907=3),IF(Parameter!$E$27="Ja","LIFT",IF(CB907=1,"L1","L23")),IF(CB907="Aussen","Aussen","-"))</f>
        <v>LIFT</v>
      </c>
      <c r="CD907" s="59" t="n">
        <f aca="false">IF(N(AB907)&gt;0,AB907,0)</f>
        <v>0</v>
      </c>
      <c r="CE907" s="53" t="n">
        <f aca="false">IF(ISNUMBER(AE907),1,0)</f>
        <v>0</v>
      </c>
      <c r="CF907" s="50" t="n">
        <f aca="false">N(AE907)</f>
        <v>0</v>
      </c>
      <c r="CG907" s="50" t="n">
        <f aca="false">N(M907)+N(N907)</f>
        <v>1</v>
      </c>
      <c r="CH907" s="50" t="n">
        <f aca="false">ROUNDUP(H907/BV907,0)</f>
        <v>0</v>
      </c>
      <c r="CI907" s="50" t="n">
        <f aca="false">ROUNDUP(CF907/BV907,0)</f>
        <v>0</v>
      </c>
      <c r="CJ907" s="53" t="n">
        <f aca="false">IF(BW907=1,0,IFERROR(VLOOKUP(BU907,'Gebinde-Kategorie'!$A$5:$N$45,5,0)+0,0))</f>
        <v>11</v>
      </c>
      <c r="CK907" s="53" t="n">
        <f aca="false">IFERROR(IF(OR(CB907=1,CB907=2,CB907=3),N(INDEX(Parameter!$I$5:$I$7,CB907)),0),0)</f>
        <v>0</v>
      </c>
      <c r="CL907" s="52" t="n">
        <f aca="false">IF(AND(Parameter!$B$21="Ja",ISNUMBER(W907),N(X907)&gt;0),IFERROR(N(INDEX(Parameter!$L$5:$L$7,W907))*INDEX(Parameter!$E$5:$E$7,W907)*X907/SUMIFS($X$7:$X$1843,$W$7:$W$1843,W907),0),0)</f>
        <v>0</v>
      </c>
    </row>
    <row r="908" customFormat="false" ht="15" hidden="false" customHeight="false" outlineLevel="0" collapsed="false">
      <c r="A908" s="48" t="s">
        <v>1707</v>
      </c>
      <c r="B908" s="48" t="s">
        <v>1708</v>
      </c>
      <c r="C908" s="48" t="s">
        <v>168</v>
      </c>
      <c r="D908" s="48" t="s">
        <v>188</v>
      </c>
      <c r="E908" s="48"/>
      <c r="F908" s="48" t="s">
        <v>222</v>
      </c>
      <c r="G908" s="49" t="n">
        <v>12.37</v>
      </c>
      <c r="H908" s="50" t="n">
        <f aca="false">MAX(0,IF(AND(Parameter!$B$21="Ja",ISNUMBER(Y908)),Y908,IF(Parameter!$B$20="Jahresanfang 2025 + Export",BO908+BN908,BN908)))</f>
        <v>28</v>
      </c>
      <c r="I908" s="50" t="n">
        <f aca="false">H908*G908</f>
        <v>346.36</v>
      </c>
      <c r="J908" s="50" t="n">
        <f aca="false">BQ908*Parameter!$B$18</f>
        <v>1</v>
      </c>
      <c r="K908" s="51" t="n">
        <v>30</v>
      </c>
      <c r="L908" s="52" t="n">
        <v>0.0333333333333333</v>
      </c>
      <c r="M908" s="50" t="n">
        <v>0</v>
      </c>
      <c r="N908" s="50" t="n">
        <v>1</v>
      </c>
      <c r="O908" s="53" t="n">
        <v>28</v>
      </c>
      <c r="P908" s="48" t="s">
        <v>430</v>
      </c>
      <c r="Q908" s="50" t="n">
        <v>20</v>
      </c>
      <c r="R908" s="53" t="n">
        <f aca="false">IF(BW908=1,0,IFERROR(VLOOKUP(BU908,'Gebinde-Kategorie'!$A$5:$N$45,13,0)+0,0))</f>
        <v>140</v>
      </c>
      <c r="S908" s="54"/>
      <c r="T908" s="55"/>
      <c r="U908" s="55"/>
      <c r="V908" s="55"/>
      <c r="W908" s="48"/>
      <c r="X908" s="50"/>
      <c r="Y908" s="50"/>
      <c r="Z908" s="48" t="n">
        <f aca="false">IF(A908="","",IF(AND(Parameter!$B$21="Ja",ISNUMBER(W908)),W908,IF(BZ908="2+3",IF(ISNUMBER(SEARCH("grosser Artikel",BR908)),2,IFERROR(VLOOKUP(BU908,Parameter!$F$35:$G$64,2,0),2)),IF(OR(BZ908="Nein",BZ908=""),"-",BZ908))))</f>
        <v>3</v>
      </c>
      <c r="AA908" s="55"/>
      <c r="AB908" s="56"/>
      <c r="AC908" s="50" t="n">
        <f aca="false">AT908</f>
        <v>20</v>
      </c>
      <c r="AD908" s="50" t="n">
        <f aca="false">MAX(AT908,H908)</f>
        <v>28</v>
      </c>
      <c r="AE908" s="57"/>
      <c r="AF908" s="50" t="n">
        <f aca="false">IF(LEFT(Cockpit!$C$5,1)="A",H908,IF(CE908=1,CF908,IF(LEFT(Cockpit!$C$5,1)="B",AK908,MAX(AK908,H908))))</f>
        <v>28</v>
      </c>
      <c r="AG908" s="50" t="n">
        <f aca="false">IF(BW908=1,0,ROUNDUP(AF908/BV908,0))</f>
        <v>2</v>
      </c>
      <c r="AH908" s="52" t="n">
        <f aca="false">IF(CL908&gt;0,CL908*MAX(1,AF908/X908),IF(BW908=1,IF(AF908&lt;=0,0,CA908*MAX(1,IF(H908&gt;0,AF908/H908,1))),IF(R908&gt;0,AG908/R908,0))/MAX(0.1,N(Parameter!$M$21)))</f>
        <v>0.0142857142857143</v>
      </c>
      <c r="AI908" s="50" t="n">
        <f aca="false">AH908*BY908</f>
        <v>2.21428571428571</v>
      </c>
      <c r="AJ908" s="50" t="n">
        <f aca="false">AF908*G908</f>
        <v>346.36</v>
      </c>
      <c r="AK908" s="50" t="n">
        <f aca="false">ROUNDUP(MAX(J908/IF(CD908&gt;0,CD908,MAX(0.1,N(Cockpit!$C$6))),CG908)/BV908,0)*BV908</f>
        <v>20</v>
      </c>
      <c r="AL908" s="51" t="n">
        <f aca="false">IF(AI908&gt;0,J908/AI908,-1)</f>
        <v>0.451612903225806</v>
      </c>
      <c r="AM908" s="51" t="n">
        <f aca="false">IF(AND(OR(CC908="L1",CC908="L23",CC908="LIFT"),AI908&gt;0),SUMIFS($AI$7:$AI$1843,$CC$7:$CC$1843,CC908,$AL$7:$AL$1843,"&gt;"&amp;AL908)+SUMIFS($AI$7:$AI$1843,$CC$7:$CC$1843,CC908,$AL$7:$AL$1843,AL908,$BT$7:$BT$1843,"&lt;="&amp;BT908),"")</f>
        <v>9861.2724074419</v>
      </c>
      <c r="AN908" s="58" t="n">
        <f aca="false">IF(AM908="",0,MAX(0,MIN(1,(IF(CC908="L1",Parameter!$H$5,IF(CC908="L23",Parameter!$H$6+Parameter!$H$7,Parameter!$H$5+Parameter!$H$6+Parameter!$H$7))-(AM908-AI908))/AI908)))</f>
        <v>1</v>
      </c>
      <c r="AO908" s="50" t="n">
        <f aca="false">IF(LEFT(Cockpit!$I$5,1)="A",H908,IF(CE908=1,CF908,IF(LEFT(Cockpit!$I$5,1)="B",AT908,MAX(AT908,H908))))</f>
        <v>28</v>
      </c>
      <c r="AP908" s="50" t="n">
        <f aca="false">IF(BW908=1,0,ROUNDUP(AO908/BV908,0))</f>
        <v>2</v>
      </c>
      <c r="AQ908" s="52" t="n">
        <f aca="false">IF(CL908&gt;0,CL908*MAX(1,AO908/X908),IF(BW908=1,IF(AO908&lt;=0,0,CA908*MAX(1,IF(H908&gt;0,AO908/H908,1))),IF(R908&gt;0,AP908/R908,0))/MAX(0.1,N(Parameter!$M$21)))</f>
        <v>0.0142857142857143</v>
      </c>
      <c r="AR908" s="50" t="n">
        <f aca="false">AQ908*BY908</f>
        <v>2.21428571428571</v>
      </c>
      <c r="AS908" s="50" t="n">
        <f aca="false">AO908*G908</f>
        <v>346.36</v>
      </c>
      <c r="AT908" s="50" t="n">
        <f aca="false">ROUNDUP(MAX(J908/IF(CD908&gt;0,CD908,MAX(0.1,N(Cockpit!$I$6))),CG908)/BV908,0)*BV908</f>
        <v>20</v>
      </c>
      <c r="AU908" s="51" t="n">
        <f aca="false">IF(AR908&gt;0,J908/AR908,-1)</f>
        <v>0.451612903225806</v>
      </c>
      <c r="AV908" s="51" t="n">
        <f aca="false">IF(AND(OR(CC908="L1",CC908="L23",CC908="LIFT"),AR908&gt;0),SUMIFS($AR$7:$AR$1843,$CC$7:$CC$1843,CC908,$AU$7:$AU$1843,"&gt;"&amp;AU908)+SUMIFS($AR$7:$AR$1843,$CC$7:$CC$1843,CC908,$AU$7:$AU$1843,AU908,$BT$7:$BT$1843,"&lt;="&amp;BT908),"")</f>
        <v>14794.6021062271</v>
      </c>
      <c r="AW908" s="58" t="n">
        <f aca="false">IF(AV908="",0,MAX(0,MIN(1,(IF(CC908="L1",Parameter!$H$5,IF(CC908="L23",Parameter!$H$6+Parameter!$H$7,Parameter!$H$5+Parameter!$H$6+Parameter!$H$7))-(AV908-AR908))/AR908)))</f>
        <v>1</v>
      </c>
      <c r="AX908" s="50" t="n">
        <f aca="false">IF(LEFT(Cockpit!$O$5,1)="A",H908,IF(CE908=1,CF908,IF(LEFT(Cockpit!$O$5,1)="B",BC908,MAX(BC908,H908))))</f>
        <v>28</v>
      </c>
      <c r="AY908" s="50" t="n">
        <f aca="false">IF(BW908=1,0,ROUNDUP(AX908/BV908,0))</f>
        <v>2</v>
      </c>
      <c r="AZ908" s="52" t="n">
        <f aca="false">IF(CL908&gt;0,CL908*MAX(1,AX908/X908),IF(BW908=1,IF(AX908&lt;=0,0,CA908*MAX(1,IF(H908&gt;0,AX908/H908,1))),IF(R908&gt;0,AY908/R908,0))/MAX(0.1,N(Parameter!$M$21)))</f>
        <v>0.0142857142857143</v>
      </c>
      <c r="BA908" s="50" t="n">
        <f aca="false">AZ908*BY908</f>
        <v>2.21428571428571</v>
      </c>
      <c r="BB908" s="50" t="n">
        <f aca="false">AX908*G908</f>
        <v>346.36</v>
      </c>
      <c r="BC908" s="50" t="n">
        <f aca="false">ROUNDUP(MAX(J908/IF(CD908&gt;0,CD908,MAX(0.1,N(Cockpit!$O$6))),CG908)/BV908,0)*BV908</f>
        <v>20</v>
      </c>
      <c r="BD908" s="51" t="n">
        <f aca="false">IF(BA908&gt;0,J908/BA908,-1)</f>
        <v>0.451612903225806</v>
      </c>
      <c r="BE908" s="51" t="n">
        <f aca="false">IF(AND(OR(CC908="L1",CC908="L23",CC908="LIFT"),BA908&gt;0),SUMIFS($BA$7:$BA$1843,$CC$7:$CC$1843,CC908,$BD$7:$BD$1843,"&gt;"&amp;BD908)+SUMIFS($BA$7:$BA$1843,$CC$7:$CC$1843,CC908,$BD$7:$BD$1843,BD908,$BT$7:$BT$1843,"&lt;="&amp;BT908),"")</f>
        <v>13427.7591575092</v>
      </c>
      <c r="BF908" s="58" t="n">
        <f aca="false">IF(BE908="",0,MAX(0,MIN(1,(IF(CC908="L1",Parameter!$H$5,IF(CC908="L23",Parameter!$H$6+Parameter!$H$7,Parameter!$H$5+Parameter!$H$6+Parameter!$H$7))-(BE908-BA908))/BA908)))</f>
        <v>1</v>
      </c>
      <c r="BG908" s="48" t="str">
        <f aca="false">IF(AI908&lt;=0,"",IF(CC908="Aussen","Aussenlager",IF(CC908="-","Nicht im Lift",IF(AN908&gt;=1,"Lift",IF(AN908&lt;=0,"Aussenlager","teilweise")))))</f>
        <v>Lift</v>
      </c>
      <c r="BH908" s="48" t="str">
        <f aca="false">IF(AR908&lt;=0,"",IF(CC908="Aussen","Aussenlager",IF(CC908="-","Nicht im Lift",IF(AW908&gt;=1,"Lift",IF(AW908&lt;=0,"Aussenlager","teilweise")))))</f>
        <v>Lift</v>
      </c>
      <c r="BI908" s="48" t="str">
        <f aca="false">IF(BA908&lt;=0,"",IF(CC908="Aussen","Aussenlager",IF(CC908="-","Nicht im Lift",IF(BF908&gt;=1,"Lift",IF(BF908&lt;=0,"Aussenlager","teilweise")))))</f>
        <v>Lift</v>
      </c>
      <c r="BJ908" s="48" t="str">
        <f aca="false">IF(A908="","",IF(BS908=1,"Neu; ","")&amp;IF(AND(BS908=0,BN908&lt;0),"negativer Bestand (Export "&amp;BN908&amp;"); ","")&amp;IF(J908&lt;=0,"Kein Verbrauch; ","")&amp;IF(CL908&gt;0,"Lift "&amp;W908&amp;" lt. Liftbericht (Fach "&amp;X908&amp;" Stk); ",IF(BX908=1,"Gebinde geschätzt ("&amp;T908&amp;"); ",IF(BW908=1,"Lose – Tablare geschätzt; ","")))&amp;IF(H908&gt;AT908,"Überbestand "&amp;ROUND(H908-AT908,0)&amp;" Stk / CHF "&amp;ROUND((H908-AT908)*G908,0)&amp;"; ","")&amp;IF(AND(CE908=1,CF908&lt;CG908),"MAX &lt; MB+LG; ","")&amp;IF(AND(CK908&gt;0,CJ908*10&gt;CK908),"zu hoch für Tablar; ","")&amp;IF(AND(BS908=0,OR(CE908=1,AA908&lt;&gt;"",U908&lt;&gt;"",V908&lt;&gt;"",AB908&lt;&gt;"")),"manuell übersteuert; ","")&amp;IF(AND(BW908=0,R908=0),"Gebinde unbekannt / Stellmass fehlt; ","")&amp;IF(AND(BW908=0,N(V908)&lt;=0,N(Q908)&lt;=0),"Menge pro Gebinde fehlt (Ist = 1 Gebinde); ","")&amp;BR908)</f>
        <v>negativer Bestand (Export -3); Überbestand 8 Stk / CHF 99; </v>
      </c>
      <c r="BK908" s="48"/>
      <c r="BL908" s="48"/>
      <c r="BM908" s="55"/>
      <c r="BN908" s="50" t="n">
        <v>-3</v>
      </c>
      <c r="BO908" s="50" t="n">
        <v>31</v>
      </c>
      <c r="BP908" s="49" t="n">
        <v>-37.11</v>
      </c>
      <c r="BQ908" s="50" t="n">
        <v>1</v>
      </c>
      <c r="BR908" s="48"/>
      <c r="BS908" s="53" t="n">
        <v>0</v>
      </c>
      <c r="BT908" s="53" t="n">
        <v>908</v>
      </c>
      <c r="BU908" s="48" t="str">
        <f aca="false">IF(U908&lt;&gt;"",UPPER(TRIM(U908)),IF(BX908=1,UPPER(VLOOKUP(T908,Parameter!$I$27:$K$29,2,0)),IF(P908="","LOSE",P908)))</f>
        <v>S22</v>
      </c>
      <c r="BV908" s="50" t="n">
        <f aca="false">IF(BU908="LOSE",1,IF(N(V908)&gt;0,V908,IF(BX908=1,MAX(1,N(VLOOKUP(T908,Parameter!$I$27:$K$29,3,0)),H908,N(N908)),IF(N(Q908)&gt;0,Q908,MAX(1,H908)))))</f>
        <v>20</v>
      </c>
      <c r="BW908" s="53" t="n">
        <f aca="false">IF(BU908="LOSE",1,0)</f>
        <v>0</v>
      </c>
      <c r="BX908" s="53" t="n">
        <f aca="false">IF(AND(U908="",OR(P908="",P908="LOSE"),T908&lt;&gt;"",N(S908)&lt;=0,ISNUMBER(MATCH(T908,Parameter!$I$27:$I$29,0))),1,0)</f>
        <v>0</v>
      </c>
      <c r="BY908" s="53" t="n">
        <f aca="false">IF(CL908&gt;0,INDEX(Parameter!$H$5:$H$7,W908)/INDEX(Parameter!$E$5:$E$7,W908),IF(AND(BW908=0,N(IFERROR(VLOOKUP(BU908,'Gebinde-Kategorie'!$A$5:$N$45,14,0),0))&gt;0),VLOOKUP(BU908,'Gebinde-Kategorie'!$A$5:$N$45,14,0)*10+Parameter!$M$23,Parameter!$M$24))</f>
        <v>155</v>
      </c>
      <c r="BZ908" s="48" t="str">
        <f aca="false">IF(AND(Parameter!$B$19="Ja",E908&lt;&gt;"",ISNUMBER(MATCH(E908,Parameter!$I$35:$I$52,0))),VLOOKUP(E908,Parameter!$I$35:$J$52,2,0),IFERROR(VLOOKUP(D908,Parameter!$A$35:$C$64,2,0),"Nein"))</f>
        <v>2+3</v>
      </c>
      <c r="CA908" s="52" t="n">
        <f aca="false">IF(BW908=0,0,IF(N(S908)&gt;0,S908,IFERROR(VLOOKUP(D908,Parameter!$A$35:$C$64,3,0)+0,0)))</f>
        <v>0</v>
      </c>
      <c r="CB908" s="48" t="n">
        <f aca="false">IF(AA908&lt;&gt;"",AA908,Z908)</f>
        <v>3</v>
      </c>
      <c r="CC908" s="48" t="str">
        <f aca="false">IF(OR(CB908=1,CB908=2,CB908=3),IF(Parameter!$E$27="Ja","LIFT",IF(CB908=1,"L1","L23")),IF(CB908="Aussen","Aussen","-"))</f>
        <v>LIFT</v>
      </c>
      <c r="CD908" s="59" t="n">
        <f aca="false">IF(N(AB908)&gt;0,AB908,0)</f>
        <v>0</v>
      </c>
      <c r="CE908" s="53" t="n">
        <f aca="false">IF(ISNUMBER(AE908),1,0)</f>
        <v>0</v>
      </c>
      <c r="CF908" s="50" t="n">
        <f aca="false">N(AE908)</f>
        <v>0</v>
      </c>
      <c r="CG908" s="50" t="n">
        <f aca="false">N(M908)+N(N908)</f>
        <v>1</v>
      </c>
      <c r="CH908" s="50" t="n">
        <f aca="false">ROUNDUP(H908/BV908,0)</f>
        <v>2</v>
      </c>
      <c r="CI908" s="50" t="n">
        <f aca="false">ROUNDUP(CF908/BV908,0)</f>
        <v>0</v>
      </c>
      <c r="CJ908" s="53" t="n">
        <f aca="false">IF(BW908=1,0,IFERROR(VLOOKUP(BU908,'Gebinde-Kategorie'!$A$5:$N$45,5,0)+0,0))</f>
        <v>8</v>
      </c>
      <c r="CK908" s="53" t="n">
        <f aca="false">IFERROR(IF(OR(CB908=1,CB908=2,CB908=3),N(INDEX(Parameter!$I$5:$I$7,CB908)),0),0)</f>
        <v>0</v>
      </c>
      <c r="CL908" s="52" t="n">
        <f aca="false">IF(AND(Parameter!$B$21="Ja",ISNUMBER(W908),N(X908)&gt;0),IFERROR(N(INDEX(Parameter!$L$5:$L$7,W908))*INDEX(Parameter!$E$5:$E$7,W908)*X908/SUMIFS($X$7:$X$1843,$W$7:$W$1843,W908),0),0)</f>
        <v>0</v>
      </c>
    </row>
    <row r="909" customFormat="false" ht="15" hidden="false" customHeight="false" outlineLevel="0" collapsed="false">
      <c r="A909" s="48" t="s">
        <v>1709</v>
      </c>
      <c r="B909" s="48" t="s">
        <v>1038</v>
      </c>
      <c r="C909" s="48" t="s">
        <v>168</v>
      </c>
      <c r="D909" s="48" t="s">
        <v>188</v>
      </c>
      <c r="E909" s="48" t="s">
        <v>189</v>
      </c>
      <c r="F909" s="48" t="s">
        <v>222</v>
      </c>
      <c r="G909" s="49" t="n">
        <v>7.19</v>
      </c>
      <c r="H909" s="50" t="n">
        <f aca="false">MAX(0,IF(AND(Parameter!$B$21="Ja",ISNUMBER(Y909)),Y909,IF(Parameter!$B$20="Jahresanfang 2025 + Export",BO909+BN909,BN909)))</f>
        <v>9</v>
      </c>
      <c r="I909" s="50" t="n">
        <f aca="false">H909*G909</f>
        <v>64.71</v>
      </c>
      <c r="J909" s="50" t="n">
        <f aca="false">BQ909*Parameter!$B$18</f>
        <v>22</v>
      </c>
      <c r="K909" s="51" t="n">
        <v>12.5</v>
      </c>
      <c r="L909" s="52" t="n">
        <v>1.76</v>
      </c>
      <c r="M909" s="50" t="n">
        <v>0</v>
      </c>
      <c r="N909" s="50" t="n">
        <v>20</v>
      </c>
      <c r="O909" s="53" t="n">
        <v>14</v>
      </c>
      <c r="P909" s="48" t="s">
        <v>425</v>
      </c>
      <c r="Q909" s="50" t="n">
        <v>22</v>
      </c>
      <c r="R909" s="53" t="n">
        <f aca="false">IF(BW909=1,0,IFERROR(VLOOKUP(BU909,'Gebinde-Kategorie'!$A$5:$N$45,13,0)+0,0))</f>
        <v>104</v>
      </c>
      <c r="S909" s="54"/>
      <c r="T909" s="55"/>
      <c r="U909" s="55"/>
      <c r="V909" s="55"/>
      <c r="W909" s="48"/>
      <c r="X909" s="50"/>
      <c r="Y909" s="50"/>
      <c r="Z909" s="48" t="n">
        <f aca="false">IF(A909="","",IF(AND(Parameter!$B$21="Ja",ISNUMBER(W909)),W909,IF(BZ909="2+3",IF(ISNUMBER(SEARCH("grosser Artikel",BR909)),2,IFERROR(VLOOKUP(BU909,Parameter!$F$35:$G$64,2,0),2)),IF(OR(BZ909="Nein",BZ909=""),"-",BZ909))))</f>
        <v>3</v>
      </c>
      <c r="AA909" s="55"/>
      <c r="AB909" s="56"/>
      <c r="AC909" s="50" t="n">
        <f aca="false">AT909</f>
        <v>22</v>
      </c>
      <c r="AD909" s="50" t="n">
        <f aca="false">MAX(AT909,H909)</f>
        <v>22</v>
      </c>
      <c r="AE909" s="57"/>
      <c r="AF909" s="50" t="n">
        <f aca="false">IF(LEFT(Cockpit!$C$5,1)="A",H909,IF(CE909=1,CF909,IF(LEFT(Cockpit!$C$5,1)="B",AK909,MAX(AK909,H909))))</f>
        <v>9</v>
      </c>
      <c r="AG909" s="50" t="n">
        <f aca="false">IF(BW909=1,0,ROUNDUP(AF909/BV909,0))</f>
        <v>1</v>
      </c>
      <c r="AH909" s="52" t="n">
        <f aca="false">IF(CL909&gt;0,CL909*MAX(1,AF909/X909),IF(BW909=1,IF(AF909&lt;=0,0,CA909*MAX(1,IF(H909&gt;0,AF909/H909,1))),IF(R909&gt;0,AG909/R909,0))/MAX(0.1,N(Parameter!$M$21)))</f>
        <v>0.00961538461538462</v>
      </c>
      <c r="AI909" s="50" t="n">
        <f aca="false">AH909*BY909</f>
        <v>1.49038461538462</v>
      </c>
      <c r="AJ909" s="50" t="n">
        <f aca="false">AF909*G909</f>
        <v>64.71</v>
      </c>
      <c r="AK909" s="50" t="n">
        <f aca="false">ROUNDUP(MAX(J909/IF(CD909&gt;0,CD909,MAX(0.1,N(Cockpit!$C$6))),CG909)/BV909,0)*BV909</f>
        <v>22</v>
      </c>
      <c r="AL909" s="51" t="n">
        <f aca="false">IF(AI909&gt;0,J909/AI909,-1)</f>
        <v>14.7612903225806</v>
      </c>
      <c r="AM909" s="51" t="n">
        <f aca="false">IF(AND(OR(CC909="L1",CC909="L23",CC909="LIFT"),AI909&gt;0),SUMIFS($AI$7:$AI$1843,$CC$7:$CC$1843,CC909,$AL$7:$AL$1843,"&gt;"&amp;AL909)+SUMIFS($AI$7:$AI$1843,$CC$7:$CC$1843,CC909,$AL$7:$AL$1843,AL909,$BT$7:$BT$1843,"&lt;="&amp;BT909),"")</f>
        <v>2098.02884615385</v>
      </c>
      <c r="AN909" s="58" t="n">
        <f aca="false">IF(AM909="",0,MAX(0,MIN(1,(IF(CC909="L1",Parameter!$H$5,IF(CC909="L23",Parameter!$H$6+Parameter!$H$7,Parameter!$H$5+Parameter!$H$6+Parameter!$H$7))-(AM909-AI909))/AI909)))</f>
        <v>1</v>
      </c>
      <c r="AO909" s="50" t="n">
        <f aca="false">IF(LEFT(Cockpit!$I$5,1)="A",H909,IF(CE909=1,CF909,IF(LEFT(Cockpit!$I$5,1)="B",AT909,MAX(AT909,H909))))</f>
        <v>22</v>
      </c>
      <c r="AP909" s="50" t="n">
        <f aca="false">IF(BW909=1,0,ROUNDUP(AO909/BV909,0))</f>
        <v>1</v>
      </c>
      <c r="AQ909" s="52" t="n">
        <f aca="false">IF(CL909&gt;0,CL909*MAX(1,AO909/X909),IF(BW909=1,IF(AO909&lt;=0,0,CA909*MAX(1,IF(H909&gt;0,AO909/H909,1))),IF(R909&gt;0,AP909/R909,0))/MAX(0.1,N(Parameter!$M$21)))</f>
        <v>0.00961538461538462</v>
      </c>
      <c r="AR909" s="50" t="n">
        <f aca="false">AQ909*BY909</f>
        <v>1.49038461538462</v>
      </c>
      <c r="AS909" s="50" t="n">
        <f aca="false">AO909*G909</f>
        <v>158.18</v>
      </c>
      <c r="AT909" s="50" t="n">
        <f aca="false">ROUNDUP(MAX(J909/IF(CD909&gt;0,CD909,MAX(0.1,N(Cockpit!$I$6))),CG909)/BV909,0)*BV909</f>
        <v>22</v>
      </c>
      <c r="AU909" s="51" t="n">
        <f aca="false">IF(AR909&gt;0,J909/AR909,-1)</f>
        <v>14.7612903225806</v>
      </c>
      <c r="AV909" s="51" t="n">
        <f aca="false">IF(AND(OR(CC909="L1",CC909="L23",CC909="LIFT"),AR909&gt;0),SUMIFS($AR$7:$AR$1843,$CC$7:$CC$1843,CC909,$AU$7:$AU$1843,"&gt;"&amp;AU909)+SUMIFS($AR$7:$AR$1843,$CC$7:$CC$1843,CC909,$AU$7:$AU$1843,AU909,$BT$7:$BT$1843,"&lt;="&amp;BT909),"")</f>
        <v>3290.43315018315</v>
      </c>
      <c r="AW909" s="58" t="n">
        <f aca="false">IF(AV909="",0,MAX(0,MIN(1,(IF(CC909="L1",Parameter!$H$5,IF(CC909="L23",Parameter!$H$6+Parameter!$H$7,Parameter!$H$5+Parameter!$H$6+Parameter!$H$7))-(AV909-AR909))/AR909)))</f>
        <v>1</v>
      </c>
      <c r="AX909" s="50" t="n">
        <f aca="false">IF(LEFT(Cockpit!$O$5,1)="A",H909,IF(CE909=1,CF909,IF(LEFT(Cockpit!$O$5,1)="B",BC909,MAX(BC909,H909))))</f>
        <v>22</v>
      </c>
      <c r="AY909" s="50" t="n">
        <f aca="false">IF(BW909=1,0,ROUNDUP(AX909/BV909,0))</f>
        <v>1</v>
      </c>
      <c r="AZ909" s="52" t="n">
        <f aca="false">IF(CL909&gt;0,CL909*MAX(1,AX909/X909),IF(BW909=1,IF(AX909&lt;=0,0,CA909*MAX(1,IF(H909&gt;0,AX909/H909,1))),IF(R909&gt;0,AY909/R909,0))/MAX(0.1,N(Parameter!$M$21)))</f>
        <v>0.00961538461538462</v>
      </c>
      <c r="BA909" s="50" t="n">
        <f aca="false">AZ909*BY909</f>
        <v>1.49038461538462</v>
      </c>
      <c r="BB909" s="50" t="n">
        <f aca="false">AX909*G909</f>
        <v>158.18</v>
      </c>
      <c r="BC909" s="50" t="n">
        <f aca="false">ROUNDUP(MAX(J909/IF(CD909&gt;0,CD909,MAX(0.1,N(Cockpit!$O$6))),CG909)/BV909,0)*BV909</f>
        <v>22</v>
      </c>
      <c r="BD909" s="51" t="n">
        <f aca="false">IF(BA909&gt;0,J909/BA909,-1)</f>
        <v>14.7612903225806</v>
      </c>
      <c r="BE909" s="51" t="n">
        <f aca="false">IF(AND(OR(CC909="L1",CC909="L23",CC909="LIFT"),BA909&gt;0),SUMIFS($BA$7:$BA$1843,$CC$7:$CC$1843,CC909,$BD$7:$BD$1843,"&gt;"&amp;BD909)+SUMIFS($BA$7:$BA$1843,$CC$7:$CC$1843,CC909,$BD$7:$BD$1843,BD909,$BT$7:$BT$1843,"&lt;="&amp;BT909),"")</f>
        <v>2964.87225274725</v>
      </c>
      <c r="BF909" s="58" t="n">
        <f aca="false">IF(BE909="",0,MAX(0,MIN(1,(IF(CC909="L1",Parameter!$H$5,IF(CC909="L23",Parameter!$H$6+Parameter!$H$7,Parameter!$H$5+Parameter!$H$6+Parameter!$H$7))-(BE909-BA909))/BA909)))</f>
        <v>1</v>
      </c>
      <c r="BG909" s="48" t="str">
        <f aca="false">IF(AI909&lt;=0,"",IF(CC909="Aussen","Aussenlager",IF(CC909="-","Nicht im Lift",IF(AN909&gt;=1,"Lift",IF(AN909&lt;=0,"Aussenlager","teilweise")))))</f>
        <v>Lift</v>
      </c>
      <c r="BH909" s="48" t="str">
        <f aca="false">IF(AR909&lt;=0,"",IF(CC909="Aussen","Aussenlager",IF(CC909="-","Nicht im Lift",IF(AW909&gt;=1,"Lift",IF(AW909&lt;=0,"Aussenlager","teilweise")))))</f>
        <v>Lift</v>
      </c>
      <c r="BI909" s="48" t="str">
        <f aca="false">IF(BA909&lt;=0,"",IF(CC909="Aussen","Aussenlager",IF(CC909="-","Nicht im Lift",IF(BF909&gt;=1,"Lift",IF(BF909&lt;=0,"Aussenlager","teilweise")))))</f>
        <v>Lift</v>
      </c>
      <c r="BJ909" s="48" t="str">
        <f aca="false">IF(A909="","",IF(BS909=1,"Neu; ","")&amp;IF(AND(BS909=0,BN909&lt;0),"negativer Bestand (Export "&amp;BN909&amp;"); ","")&amp;IF(J909&lt;=0,"Kein Verbrauch; ","")&amp;IF(CL909&gt;0,"Lift "&amp;W909&amp;" lt. Liftbericht (Fach "&amp;X909&amp;" Stk); ",IF(BX909=1,"Gebinde geschätzt ("&amp;T909&amp;"); ",IF(BW909=1,"Lose – Tablare geschätzt; ","")))&amp;IF(H909&gt;AT909,"Überbestand "&amp;ROUND(H909-AT909,0)&amp;" Stk / CHF "&amp;ROUND((H909-AT909)*G909,0)&amp;"; ","")&amp;IF(AND(CE909=1,CF909&lt;CG909),"MAX &lt; MB+LG; ","")&amp;IF(AND(CK909&gt;0,CJ909*10&gt;CK909),"zu hoch für Tablar; ","")&amp;IF(AND(BS909=0,OR(CE909=1,AA909&lt;&gt;"",U909&lt;&gt;"",V909&lt;&gt;"",AB909&lt;&gt;"")),"manuell übersteuert; ","")&amp;IF(AND(BW909=0,R909=0),"Gebinde unbekannt / Stellmass fehlt; ","")&amp;IF(AND(BW909=0,N(V909)&lt;=0,N(Q909)&lt;=0),"Menge pro Gebinde fehlt (Ist = 1 Gebinde); ","")&amp;BR909)</f>
        <v>negativer Bestand (Export -5); </v>
      </c>
      <c r="BK909" s="48"/>
      <c r="BL909" s="48"/>
      <c r="BM909" s="55"/>
      <c r="BN909" s="50" t="n">
        <v>-5</v>
      </c>
      <c r="BO909" s="50" t="n">
        <v>14</v>
      </c>
      <c r="BP909" s="49" t="n">
        <v>-37.35</v>
      </c>
      <c r="BQ909" s="50" t="n">
        <v>22</v>
      </c>
      <c r="BR909" s="48"/>
      <c r="BS909" s="53" t="n">
        <v>0</v>
      </c>
      <c r="BT909" s="53" t="n">
        <v>909</v>
      </c>
      <c r="BU909" s="48" t="str">
        <f aca="false">IF(U909&lt;&gt;"",UPPER(TRIM(U909)),IF(BX909=1,UPPER(VLOOKUP(T909,Parameter!$I$27:$K$29,2,0)),IF(P909="","LOSE",P909)))</f>
        <v>S32</v>
      </c>
      <c r="BV909" s="50" t="n">
        <f aca="false">IF(BU909="LOSE",1,IF(N(V909)&gt;0,V909,IF(BX909=1,MAX(1,N(VLOOKUP(T909,Parameter!$I$27:$K$29,3,0)),H909,N(N909)),IF(N(Q909)&gt;0,Q909,MAX(1,H909)))))</f>
        <v>22</v>
      </c>
      <c r="BW909" s="53" t="n">
        <f aca="false">IF(BU909="LOSE",1,0)</f>
        <v>0</v>
      </c>
      <c r="BX909" s="53" t="n">
        <f aca="false">IF(AND(U909="",OR(P909="",P909="LOSE"),T909&lt;&gt;"",N(S909)&lt;=0,ISNUMBER(MATCH(T909,Parameter!$I$27:$I$29,0))),1,0)</f>
        <v>0</v>
      </c>
      <c r="BY909" s="53" t="n">
        <f aca="false">IF(CL909&gt;0,INDEX(Parameter!$H$5:$H$7,W909)/INDEX(Parameter!$E$5:$E$7,W909),IF(AND(BW909=0,N(IFERROR(VLOOKUP(BU909,'Gebinde-Kategorie'!$A$5:$N$45,14,0),0))&gt;0),VLOOKUP(BU909,'Gebinde-Kategorie'!$A$5:$N$45,14,0)*10+Parameter!$M$23,Parameter!$M$24))</f>
        <v>155</v>
      </c>
      <c r="BZ909" s="48" t="str">
        <f aca="false">IF(AND(Parameter!$B$19="Ja",E909&lt;&gt;"",ISNUMBER(MATCH(E909,Parameter!$I$35:$I$52,0))),VLOOKUP(E909,Parameter!$I$35:$J$52,2,0),IFERROR(VLOOKUP(D909,Parameter!$A$35:$C$64,2,0),"Nein"))</f>
        <v>2+3</v>
      </c>
      <c r="CA909" s="52" t="n">
        <f aca="false">IF(BW909=0,0,IF(N(S909)&gt;0,S909,IFERROR(VLOOKUP(D909,Parameter!$A$35:$C$64,3,0)+0,0)))</f>
        <v>0</v>
      </c>
      <c r="CB909" s="48" t="n">
        <f aca="false">IF(AA909&lt;&gt;"",AA909,Z909)</f>
        <v>3</v>
      </c>
      <c r="CC909" s="48" t="str">
        <f aca="false">IF(OR(CB909=1,CB909=2,CB909=3),IF(Parameter!$E$27="Ja","LIFT",IF(CB909=1,"L1","L23")),IF(CB909="Aussen","Aussen","-"))</f>
        <v>LIFT</v>
      </c>
      <c r="CD909" s="59" t="n">
        <f aca="false">IF(N(AB909)&gt;0,AB909,0)</f>
        <v>0</v>
      </c>
      <c r="CE909" s="53" t="n">
        <f aca="false">IF(ISNUMBER(AE909),1,0)</f>
        <v>0</v>
      </c>
      <c r="CF909" s="50" t="n">
        <f aca="false">N(AE909)</f>
        <v>0</v>
      </c>
      <c r="CG909" s="50" t="n">
        <f aca="false">N(M909)+N(N909)</f>
        <v>20</v>
      </c>
      <c r="CH909" s="50" t="n">
        <f aca="false">ROUNDUP(H909/BV909,0)</f>
        <v>1</v>
      </c>
      <c r="CI909" s="50" t="n">
        <f aca="false">ROUNDUP(CF909/BV909,0)</f>
        <v>0</v>
      </c>
      <c r="CJ909" s="53" t="n">
        <f aca="false">IF(BW909=1,0,IFERROR(VLOOKUP(BU909,'Gebinde-Kategorie'!$A$5:$N$45,5,0)+0,0))</f>
        <v>8</v>
      </c>
      <c r="CK909" s="53" t="n">
        <f aca="false">IFERROR(IF(OR(CB909=1,CB909=2,CB909=3),N(INDEX(Parameter!$I$5:$I$7,CB909)),0),0)</f>
        <v>0</v>
      </c>
      <c r="CL909" s="52" t="n">
        <f aca="false">IF(AND(Parameter!$B$21="Ja",ISNUMBER(W909),N(X909)&gt;0),IFERROR(N(INDEX(Parameter!$L$5:$L$7,W909))*INDEX(Parameter!$E$5:$E$7,W909)*X909/SUMIFS($X$7:$X$1843,$W$7:$W$1843,W909),0),0)</f>
        <v>0</v>
      </c>
    </row>
    <row r="910" customFormat="false" ht="15" hidden="false" customHeight="false" outlineLevel="0" collapsed="false">
      <c r="A910" s="48" t="s">
        <v>1710</v>
      </c>
      <c r="B910" s="48" t="s">
        <v>1055</v>
      </c>
      <c r="C910" s="48" t="s">
        <v>168</v>
      </c>
      <c r="D910" s="48" t="s">
        <v>188</v>
      </c>
      <c r="E910" s="48"/>
      <c r="F910" s="48" t="s">
        <v>222</v>
      </c>
      <c r="G910" s="49" t="n">
        <v>37.68</v>
      </c>
      <c r="H910" s="50" t="n">
        <f aca="false">MAX(0,IF(AND(Parameter!$B$21="Ja",ISNUMBER(Y910)),Y910,IF(Parameter!$B$20="Jahresanfang 2025 + Export",BO910+BN910,BN910)))</f>
        <v>19</v>
      </c>
      <c r="I910" s="50" t="n">
        <f aca="false">H910*G910</f>
        <v>715.92</v>
      </c>
      <c r="J910" s="50" t="n">
        <f aca="false">BQ910*Parameter!$B$18</f>
        <v>0</v>
      </c>
      <c r="K910" s="51" t="n">
        <v>19.5</v>
      </c>
      <c r="L910" s="52" t="n">
        <v>0</v>
      </c>
      <c r="M910" s="50" t="n">
        <v>0</v>
      </c>
      <c r="N910" s="50" t="n">
        <v>1</v>
      </c>
      <c r="O910" s="53" t="n">
        <v>70</v>
      </c>
      <c r="P910" s="48" t="s">
        <v>172</v>
      </c>
      <c r="Q910" s="50"/>
      <c r="R910" s="53" t="n">
        <f aca="false">IF(BW910=1,0,IFERROR(VLOOKUP(BU910,'Gebinde-Kategorie'!$A$5:$N$45,13,0)+0,0))</f>
        <v>12</v>
      </c>
      <c r="S910" s="54"/>
      <c r="T910" s="55" t="s">
        <v>183</v>
      </c>
      <c r="U910" s="55"/>
      <c r="V910" s="55"/>
      <c r="W910" s="48"/>
      <c r="X910" s="50"/>
      <c r="Y910" s="50"/>
      <c r="Z910" s="48" t="n">
        <f aca="false">IF(A910="","",IF(AND(Parameter!$B$21="Ja",ISNUMBER(W910)),W910,IF(BZ910="2+3",IF(ISNUMBER(SEARCH("grosser Artikel",BR910)),2,IFERROR(VLOOKUP(BU910,Parameter!$F$35:$G$64,2,0),2)),IF(OR(BZ910="Nein",BZ910=""),"-",BZ910))))</f>
        <v>2</v>
      </c>
      <c r="AA910" s="55"/>
      <c r="AB910" s="56"/>
      <c r="AC910" s="50" t="n">
        <f aca="false">AT910</f>
        <v>19</v>
      </c>
      <c r="AD910" s="50" t="n">
        <f aca="false">MAX(AT910,H910)</f>
        <v>19</v>
      </c>
      <c r="AE910" s="57"/>
      <c r="AF910" s="50" t="n">
        <f aca="false">IF(LEFT(Cockpit!$C$5,1)="A",H910,IF(CE910=1,CF910,IF(LEFT(Cockpit!$C$5,1)="B",AK910,MAX(AK910,H910))))</f>
        <v>19</v>
      </c>
      <c r="AG910" s="50" t="n">
        <f aca="false">IF(BW910=1,0,ROUNDUP(AF910/BV910,0))</f>
        <v>1</v>
      </c>
      <c r="AH910" s="52" t="n">
        <f aca="false">IF(CL910&gt;0,CL910*MAX(1,AF910/X910),IF(BW910=1,IF(AF910&lt;=0,0,CA910*MAX(1,IF(H910&gt;0,AF910/H910,1))),IF(R910&gt;0,AG910/R910,0))/MAX(0.1,N(Parameter!$M$21)))</f>
        <v>0.0833333333333333</v>
      </c>
      <c r="AI910" s="50" t="n">
        <f aca="false">AH910*BY910</f>
        <v>12.0833333333333</v>
      </c>
      <c r="AJ910" s="50" t="n">
        <f aca="false">AF910*G910</f>
        <v>715.92</v>
      </c>
      <c r="AK910" s="50" t="n">
        <f aca="false">ROUNDUP(MAX(J910/IF(CD910&gt;0,CD910,MAX(0.1,N(Cockpit!$C$6))),CG910)/BV910,0)*BV910</f>
        <v>19</v>
      </c>
      <c r="AL910" s="51" t="n">
        <f aca="false">IF(AI910&gt;0,J910/AI910,-1)</f>
        <v>0</v>
      </c>
      <c r="AM910" s="51" t="n">
        <f aca="false">IF(AND(OR(CC910="L1",CC910="L23",CC910="LIFT"),AI910&gt;0),SUMIFS($AI$7:$AI$1843,$CC$7:$CC$1843,CC910,$AL$7:$AL$1843,"&gt;"&amp;AL910)+SUMIFS($AI$7:$AI$1843,$CC$7:$CC$1843,CC910,$AL$7:$AL$1843,AL910,$BT$7:$BT$1843,"&lt;="&amp;BT910),"")</f>
        <v>28847.6210472672</v>
      </c>
      <c r="AN910" s="58" t="n">
        <f aca="false">IF(AM910="",0,MAX(0,MIN(1,(IF(CC910="L1",Parameter!$H$5,IF(CC910="L23",Parameter!$H$6+Parameter!$H$7,Parameter!$H$5+Parameter!$H$6+Parameter!$H$7))-(AM910-AI910))/AI910)))</f>
        <v>1</v>
      </c>
      <c r="AO910" s="50" t="n">
        <f aca="false">IF(LEFT(Cockpit!$I$5,1)="A",H910,IF(CE910=1,CF910,IF(LEFT(Cockpit!$I$5,1)="B",AT910,MAX(AT910,H910))))</f>
        <v>19</v>
      </c>
      <c r="AP910" s="50" t="n">
        <f aca="false">IF(BW910=1,0,ROUNDUP(AO910/BV910,0))</f>
        <v>1</v>
      </c>
      <c r="AQ910" s="52" t="n">
        <f aca="false">IF(CL910&gt;0,CL910*MAX(1,AO910/X910),IF(BW910=1,IF(AO910&lt;=0,0,CA910*MAX(1,IF(H910&gt;0,AO910/H910,1))),IF(R910&gt;0,AP910/R910,0))/MAX(0.1,N(Parameter!$M$21)))</f>
        <v>0.0833333333333333</v>
      </c>
      <c r="AR910" s="50" t="n">
        <f aca="false">AQ910*BY910</f>
        <v>12.0833333333333</v>
      </c>
      <c r="AS910" s="50" t="n">
        <f aca="false">AO910*G910</f>
        <v>715.92</v>
      </c>
      <c r="AT910" s="50" t="n">
        <f aca="false">ROUNDUP(MAX(J910/IF(CD910&gt;0,CD910,MAX(0.1,N(Cockpit!$I$6))),CG910)/BV910,0)*BV910</f>
        <v>19</v>
      </c>
      <c r="AU910" s="51" t="n">
        <f aca="false">IF(AR910&gt;0,J910/AR910,-1)</f>
        <v>0</v>
      </c>
      <c r="AV910" s="51" t="n">
        <f aca="false">IF(AND(OR(CC910="L1",CC910="L23",CC910="LIFT"),AR910&gt;0),SUMIFS($AR$7:$AR$1843,$CC$7:$CC$1843,CC910,$AU$7:$AU$1843,"&gt;"&amp;AU910)+SUMIFS($AR$7:$AR$1843,$CC$7:$CC$1843,CC910,$AU$7:$AU$1843,AU910,$BT$7:$BT$1843,"&lt;="&amp;BT910),"")</f>
        <v>40463.941399702</v>
      </c>
      <c r="AW910" s="58" t="n">
        <f aca="false">IF(AV910="",0,MAX(0,MIN(1,(IF(CC910="L1",Parameter!$H$5,IF(CC910="L23",Parameter!$H$6+Parameter!$H$7,Parameter!$H$5+Parameter!$H$6+Parameter!$H$7))-(AV910-AR910))/AR910)))</f>
        <v>0</v>
      </c>
      <c r="AX910" s="50" t="n">
        <f aca="false">IF(LEFT(Cockpit!$O$5,1)="A",H910,IF(CE910=1,CF910,IF(LEFT(Cockpit!$O$5,1)="B",BC910,MAX(BC910,H910))))</f>
        <v>19</v>
      </c>
      <c r="AY910" s="50" t="n">
        <f aca="false">IF(BW910=1,0,ROUNDUP(AX910/BV910,0))</f>
        <v>1</v>
      </c>
      <c r="AZ910" s="52" t="n">
        <f aca="false">IF(CL910&gt;0,CL910*MAX(1,AX910/X910),IF(BW910=1,IF(AX910&lt;=0,0,CA910*MAX(1,IF(H910&gt;0,AX910/H910,1))),IF(R910&gt;0,AY910/R910,0))/MAX(0.1,N(Parameter!$M$21)))</f>
        <v>0.0833333333333333</v>
      </c>
      <c r="BA910" s="50" t="n">
        <f aca="false">AZ910*BY910</f>
        <v>12.0833333333333</v>
      </c>
      <c r="BB910" s="50" t="n">
        <f aca="false">AX910*G910</f>
        <v>715.92</v>
      </c>
      <c r="BC910" s="50" t="n">
        <f aca="false">ROUNDUP(MAX(J910/IF(CD910&gt;0,CD910,MAX(0.1,N(Cockpit!$O$6))),CG910)/BV910,0)*BV910</f>
        <v>19</v>
      </c>
      <c r="BD910" s="51" t="n">
        <f aca="false">IF(BA910&gt;0,J910/BA910,-1)</f>
        <v>0</v>
      </c>
      <c r="BE910" s="51" t="n">
        <f aca="false">IF(AND(OR(CC910="L1",CC910="L23",CC910="LIFT"),BA910&gt;0),SUMIFS($BA$7:$BA$1843,$CC$7:$CC$1843,CC910,$BD$7:$BD$1843,"&gt;"&amp;BD910)+SUMIFS($BA$7:$BA$1843,$CC$7:$CC$1843,CC910,$BD$7:$BD$1843,BD910,$BT$7:$BT$1843,"&lt;="&amp;BT910),"")</f>
        <v>37138.9534415679</v>
      </c>
      <c r="BF910" s="58" t="n">
        <f aca="false">IF(BE910="",0,MAX(0,MIN(1,(IF(CC910="L1",Parameter!$H$5,IF(CC910="L23",Parameter!$H$6+Parameter!$H$7,Parameter!$H$5+Parameter!$H$6+Parameter!$H$7))-(BE910-BA910))/BA910)))</f>
        <v>0</v>
      </c>
      <c r="BG910" s="48" t="str">
        <f aca="false">IF(AI910&lt;=0,"",IF(CC910="Aussen","Aussenlager",IF(CC910="-","Nicht im Lift",IF(AN910&gt;=1,"Lift",IF(AN910&lt;=0,"Aussenlager","teilweise")))))</f>
        <v>Lift</v>
      </c>
      <c r="BH910" s="48" t="str">
        <f aca="false">IF(AR910&lt;=0,"",IF(CC910="Aussen","Aussenlager",IF(CC910="-","Nicht im Lift",IF(AW910&gt;=1,"Lift",IF(AW910&lt;=0,"Aussenlager","teilweise")))))</f>
        <v>Aussenlager</v>
      </c>
      <c r="BI910" s="48" t="str">
        <f aca="false">IF(BA910&lt;=0,"",IF(CC910="Aussen","Aussenlager",IF(CC910="-","Nicht im Lift",IF(BF910&gt;=1,"Lift",IF(BF910&lt;=0,"Aussenlager","teilweise")))))</f>
        <v>Aussenlager</v>
      </c>
      <c r="BJ910" s="48" t="str">
        <f aca="false">IF(A910="","",IF(BS910=1,"Neu; ","")&amp;IF(AND(BS910=0,BN910&lt;0),"negativer Bestand (Export "&amp;BN910&amp;"); ","")&amp;IF(J910&lt;=0,"Kein Verbrauch; ","")&amp;IF(CL910&gt;0,"Lift "&amp;W910&amp;" lt. Liftbericht (Fach "&amp;X910&amp;" Stk); ",IF(BX910=1,"Gebinde geschätzt ("&amp;T910&amp;"); ",IF(BW910=1,"Lose – Tablare geschätzt; ","")))&amp;IF(H910&gt;AT910,"Überbestand "&amp;ROUND(H910-AT910,0)&amp;" Stk / CHF "&amp;ROUND((H910-AT910)*G910,0)&amp;"; ","")&amp;IF(AND(CE910=1,CF910&lt;CG910),"MAX &lt; MB+LG; ","")&amp;IF(AND(CK910&gt;0,CJ910*10&gt;CK910),"zu hoch für Tablar; ","")&amp;IF(AND(BS910=0,OR(CE910=1,AA910&lt;&gt;"",U910&lt;&gt;"",V910&lt;&gt;"",AB910&lt;&gt;"")),"manuell übersteuert; ","")&amp;IF(AND(BW910=0,R910=0),"Gebinde unbekannt / Stellmass fehlt; ","")&amp;IF(AND(BW910=0,N(V910)&lt;=0,N(Q910)&lt;=0),"Menge pro Gebinde fehlt (Ist = 1 Gebinde); ","")&amp;BR910)</f>
        <v>negativer Bestand (Export -1); Kein Verbrauch; Gebinde geschätzt (Mittel); Menge pro Gebinde fehlt (Ist = 1 Gebinde); </v>
      </c>
      <c r="BK910" s="48"/>
      <c r="BL910" s="48"/>
      <c r="BM910" s="55"/>
      <c r="BN910" s="50" t="n">
        <v>-1</v>
      </c>
      <c r="BO910" s="50" t="n">
        <v>20</v>
      </c>
      <c r="BP910" s="49" t="n">
        <v>-37.68</v>
      </c>
      <c r="BQ910" s="50" t="n">
        <v>0</v>
      </c>
      <c r="BR910" s="48"/>
      <c r="BS910" s="53" t="n">
        <v>0</v>
      </c>
      <c r="BT910" s="53" t="n">
        <v>910</v>
      </c>
      <c r="BU910" s="48" t="str">
        <f aca="false">IF(U910&lt;&gt;"",UPPER(TRIM(U910)),IF(BX910=1,UPPER(VLOOKUP(T910,Parameter!$I$27:$K$29,2,0)),IF(P910="","LOSE",P910)))</f>
        <v>S61</v>
      </c>
      <c r="BV910" s="50" t="n">
        <f aca="false">IF(BU910="LOSE",1,IF(N(V910)&gt;0,V910,IF(BX910=1,MAX(1,N(VLOOKUP(T910,Parameter!$I$27:$K$29,3,0)),H910,N(N910)),IF(N(Q910)&gt;0,Q910,MAX(1,H910)))))</f>
        <v>19</v>
      </c>
      <c r="BW910" s="53" t="n">
        <f aca="false">IF(BU910="LOSE",1,0)</f>
        <v>0</v>
      </c>
      <c r="BX910" s="53" t="n">
        <f aca="false">IF(AND(U910="",OR(P910="",P910="LOSE"),T910&lt;&gt;"",N(S910)&lt;=0,ISNUMBER(MATCH(T910,Parameter!$I$27:$I$29,0))),1,0)</f>
        <v>1</v>
      </c>
      <c r="BY910" s="53" t="n">
        <f aca="false">IF(CL910&gt;0,INDEX(Parameter!$H$5:$H$7,W910)/INDEX(Parameter!$E$5:$E$7,W910),IF(AND(BW910=0,N(IFERROR(VLOOKUP(BU910,'Gebinde-Kategorie'!$A$5:$N$45,14,0),0))&gt;0),VLOOKUP(BU910,'Gebinde-Kategorie'!$A$5:$N$45,14,0)*10+Parameter!$M$23,Parameter!$M$24))</f>
        <v>145</v>
      </c>
      <c r="BZ910" s="48" t="str">
        <f aca="false">IF(AND(Parameter!$B$19="Ja",E910&lt;&gt;"",ISNUMBER(MATCH(E910,Parameter!$I$35:$I$52,0))),VLOOKUP(E910,Parameter!$I$35:$J$52,2,0),IFERROR(VLOOKUP(D910,Parameter!$A$35:$C$64,2,0),"Nein"))</f>
        <v>2+3</v>
      </c>
      <c r="CA910" s="52" t="n">
        <f aca="false">IF(BW910=0,0,IF(N(S910)&gt;0,S910,IFERROR(VLOOKUP(D910,Parameter!$A$35:$C$64,3,0)+0,0)))</f>
        <v>0</v>
      </c>
      <c r="CB910" s="48" t="n">
        <f aca="false">IF(AA910&lt;&gt;"",AA910,Z910)</f>
        <v>2</v>
      </c>
      <c r="CC910" s="48" t="str">
        <f aca="false">IF(OR(CB910=1,CB910=2,CB910=3),IF(Parameter!$E$27="Ja","LIFT",IF(CB910=1,"L1","L23")),IF(CB910="Aussen","Aussen","-"))</f>
        <v>LIFT</v>
      </c>
      <c r="CD910" s="59" t="n">
        <f aca="false">IF(N(AB910)&gt;0,AB910,0)</f>
        <v>0</v>
      </c>
      <c r="CE910" s="53" t="n">
        <f aca="false">IF(ISNUMBER(AE910),1,0)</f>
        <v>0</v>
      </c>
      <c r="CF910" s="50" t="n">
        <f aca="false">N(AE910)</f>
        <v>0</v>
      </c>
      <c r="CG910" s="50" t="n">
        <f aca="false">N(M910)+N(N910)</f>
        <v>1</v>
      </c>
      <c r="CH910" s="50" t="n">
        <f aca="false">ROUNDUP(H910/BV910,0)</f>
        <v>1</v>
      </c>
      <c r="CI910" s="50" t="n">
        <f aca="false">ROUNDUP(CF910/BV910,0)</f>
        <v>0</v>
      </c>
      <c r="CJ910" s="53" t="n">
        <f aca="false">IF(BW910=1,0,IFERROR(VLOOKUP(BU910,'Gebinde-Kategorie'!$A$5:$N$45,5,0)+0,0))</f>
        <v>11</v>
      </c>
      <c r="CK910" s="53" t="n">
        <f aca="false">IFERROR(IF(OR(CB910=1,CB910=2,CB910=3),N(INDEX(Parameter!$I$5:$I$7,CB910)),0),0)</f>
        <v>0</v>
      </c>
      <c r="CL910" s="52" t="n">
        <f aca="false">IF(AND(Parameter!$B$21="Ja",ISNUMBER(W910),N(X910)&gt;0),IFERROR(N(INDEX(Parameter!$L$5:$L$7,W910))*INDEX(Parameter!$E$5:$E$7,W910)*X910/SUMIFS($X$7:$X$1843,$W$7:$W$1843,W910),0),0)</f>
        <v>0</v>
      </c>
    </row>
    <row r="911" customFormat="false" ht="15" hidden="false" customHeight="false" outlineLevel="0" collapsed="false">
      <c r="A911" s="48" t="s">
        <v>1711</v>
      </c>
      <c r="B911" s="48" t="s">
        <v>1712</v>
      </c>
      <c r="C911" s="48" t="s">
        <v>168</v>
      </c>
      <c r="D911" s="48" t="s">
        <v>188</v>
      </c>
      <c r="E911" s="48" t="s">
        <v>189</v>
      </c>
      <c r="F911" s="48" t="s">
        <v>222</v>
      </c>
      <c r="G911" s="49" t="n">
        <v>38.53</v>
      </c>
      <c r="H911" s="50" t="n">
        <f aca="false">MAX(0,IF(AND(Parameter!$B$21="Ja",ISNUMBER(Y911)),Y911,IF(Parameter!$B$20="Jahresanfang 2025 + Export",BO911+BN911,BN911)))</f>
        <v>7</v>
      </c>
      <c r="I911" s="50" t="n">
        <f aca="false">H911*G911</f>
        <v>269.71</v>
      </c>
      <c r="J911" s="50" t="n">
        <f aca="false">BQ911*Parameter!$B$18</f>
        <v>0</v>
      </c>
      <c r="K911" s="51" t="n">
        <v>8</v>
      </c>
      <c r="L911" s="52" t="n">
        <v>0</v>
      </c>
      <c r="M911" s="50" t="n">
        <v>0</v>
      </c>
      <c r="N911" s="50" t="n">
        <v>1</v>
      </c>
      <c r="O911" s="53" t="n">
        <v>70</v>
      </c>
      <c r="P911" s="48" t="s">
        <v>480</v>
      </c>
      <c r="Q911" s="50" t="n">
        <v>16</v>
      </c>
      <c r="R911" s="53" t="n">
        <f aca="false">IF(BW911=1,0,IFERROR(VLOOKUP(BU911,'Gebinde-Kategorie'!$A$5:$N$45,13,0)+0,0))</f>
        <v>52</v>
      </c>
      <c r="S911" s="54"/>
      <c r="T911" s="55"/>
      <c r="U911" s="55"/>
      <c r="V911" s="55"/>
      <c r="W911" s="48"/>
      <c r="X911" s="50"/>
      <c r="Y911" s="50"/>
      <c r="Z911" s="48" t="n">
        <f aca="false">IF(A911="","",IF(AND(Parameter!$B$21="Ja",ISNUMBER(W911)),W911,IF(BZ911="2+3",IF(ISNUMBER(SEARCH("grosser Artikel",BR911)),2,IFERROR(VLOOKUP(BU911,Parameter!$F$35:$G$64,2,0),2)),IF(OR(BZ911="Nein",BZ911=""),"-",BZ911))))</f>
        <v>3</v>
      </c>
      <c r="AA911" s="55"/>
      <c r="AB911" s="56"/>
      <c r="AC911" s="50" t="n">
        <f aca="false">AT911</f>
        <v>16</v>
      </c>
      <c r="AD911" s="50" t="n">
        <f aca="false">MAX(AT911,H911)</f>
        <v>16</v>
      </c>
      <c r="AE911" s="57"/>
      <c r="AF911" s="50" t="n">
        <f aca="false">IF(LEFT(Cockpit!$C$5,1)="A",H911,IF(CE911=1,CF911,IF(LEFT(Cockpit!$C$5,1)="B",AK911,MAX(AK911,H911))))</f>
        <v>7</v>
      </c>
      <c r="AG911" s="50" t="n">
        <f aca="false">IF(BW911=1,0,ROUNDUP(AF911/BV911,0))</f>
        <v>1</v>
      </c>
      <c r="AH911" s="52" t="n">
        <f aca="false">IF(CL911&gt;0,CL911*MAX(1,AF911/X911),IF(BW911=1,IF(AF911&lt;=0,0,CA911*MAX(1,IF(H911&gt;0,AF911/H911,1))),IF(R911&gt;0,AG911/R911,0))/MAX(0.1,N(Parameter!$M$21)))</f>
        <v>0.0192307692307692</v>
      </c>
      <c r="AI911" s="50" t="n">
        <f aca="false">AH911*BY911</f>
        <v>2.98076923076923</v>
      </c>
      <c r="AJ911" s="50" t="n">
        <f aca="false">AF911*G911</f>
        <v>269.71</v>
      </c>
      <c r="AK911" s="50" t="n">
        <f aca="false">ROUNDUP(MAX(J911/IF(CD911&gt;0,CD911,MAX(0.1,N(Cockpit!$C$6))),CG911)/BV911,0)*BV911</f>
        <v>16</v>
      </c>
      <c r="AL911" s="51" t="n">
        <f aca="false">IF(AI911&gt;0,J911/AI911,-1)</f>
        <v>0</v>
      </c>
      <c r="AM911" s="51" t="n">
        <f aca="false">IF(AND(OR(CC911="L1",CC911="L23",CC911="LIFT"),AI911&gt;0),SUMIFS($AI$7:$AI$1843,$CC$7:$CC$1843,CC911,$AL$7:$AL$1843,"&gt;"&amp;AL911)+SUMIFS($AI$7:$AI$1843,$CC$7:$CC$1843,CC911,$AL$7:$AL$1843,AL911,$BT$7:$BT$1843,"&lt;="&amp;BT911),"")</f>
        <v>28850.601816498</v>
      </c>
      <c r="AN911" s="58" t="n">
        <f aca="false">IF(AM911="",0,MAX(0,MIN(1,(IF(CC911="L1",Parameter!$H$5,IF(CC911="L23",Parameter!$H$6+Parameter!$H$7,Parameter!$H$5+Parameter!$H$6+Parameter!$H$7))-(AM911-AI911))/AI911)))</f>
        <v>1</v>
      </c>
      <c r="AO911" s="50" t="n">
        <f aca="false">IF(LEFT(Cockpit!$I$5,1)="A",H911,IF(CE911=1,CF911,IF(LEFT(Cockpit!$I$5,1)="B",AT911,MAX(AT911,H911))))</f>
        <v>16</v>
      </c>
      <c r="AP911" s="50" t="n">
        <f aca="false">IF(BW911=1,0,ROUNDUP(AO911/BV911,0))</f>
        <v>1</v>
      </c>
      <c r="AQ911" s="52" t="n">
        <f aca="false">IF(CL911&gt;0,CL911*MAX(1,AO911/X911),IF(BW911=1,IF(AO911&lt;=0,0,CA911*MAX(1,IF(H911&gt;0,AO911/H911,1))),IF(R911&gt;0,AP911/R911,0))/MAX(0.1,N(Parameter!$M$21)))</f>
        <v>0.0192307692307692</v>
      </c>
      <c r="AR911" s="50" t="n">
        <f aca="false">AQ911*BY911</f>
        <v>2.98076923076923</v>
      </c>
      <c r="AS911" s="50" t="n">
        <f aca="false">AO911*G911</f>
        <v>616.48</v>
      </c>
      <c r="AT911" s="50" t="n">
        <f aca="false">ROUNDUP(MAX(J911/IF(CD911&gt;0,CD911,MAX(0.1,N(Cockpit!$I$6))),CG911)/BV911,0)*BV911</f>
        <v>16</v>
      </c>
      <c r="AU911" s="51" t="n">
        <f aca="false">IF(AR911&gt;0,J911/AR911,-1)</f>
        <v>0</v>
      </c>
      <c r="AV911" s="51" t="n">
        <f aca="false">IF(AND(OR(CC911="L1",CC911="L23",CC911="LIFT"),AR911&gt;0),SUMIFS($AR$7:$AR$1843,$CC$7:$CC$1843,CC911,$AU$7:$AU$1843,"&gt;"&amp;AU911)+SUMIFS($AR$7:$AR$1843,$CC$7:$CC$1843,CC911,$AU$7:$AU$1843,AU911,$BT$7:$BT$1843,"&lt;="&amp;BT911),"")</f>
        <v>40466.9221689328</v>
      </c>
      <c r="AW911" s="58" t="n">
        <f aca="false">IF(AV911="",0,MAX(0,MIN(1,(IF(CC911="L1",Parameter!$H$5,IF(CC911="L23",Parameter!$H$6+Parameter!$H$7,Parameter!$H$5+Parameter!$H$6+Parameter!$H$7))-(AV911-AR911))/AR911)))</f>
        <v>0</v>
      </c>
      <c r="AX911" s="50" t="n">
        <f aca="false">IF(LEFT(Cockpit!$O$5,1)="A",H911,IF(CE911=1,CF911,IF(LEFT(Cockpit!$O$5,1)="B",BC911,MAX(BC911,H911))))</f>
        <v>16</v>
      </c>
      <c r="AY911" s="50" t="n">
        <f aca="false">IF(BW911=1,0,ROUNDUP(AX911/BV911,0))</f>
        <v>1</v>
      </c>
      <c r="AZ911" s="52" t="n">
        <f aca="false">IF(CL911&gt;0,CL911*MAX(1,AX911/X911),IF(BW911=1,IF(AX911&lt;=0,0,CA911*MAX(1,IF(H911&gt;0,AX911/H911,1))),IF(R911&gt;0,AY911/R911,0))/MAX(0.1,N(Parameter!$M$21)))</f>
        <v>0.0192307692307692</v>
      </c>
      <c r="BA911" s="50" t="n">
        <f aca="false">AZ911*BY911</f>
        <v>2.98076923076923</v>
      </c>
      <c r="BB911" s="50" t="n">
        <f aca="false">AX911*G911</f>
        <v>616.48</v>
      </c>
      <c r="BC911" s="50" t="n">
        <f aca="false">ROUNDUP(MAX(J911/IF(CD911&gt;0,CD911,MAX(0.1,N(Cockpit!$O$6))),CG911)/BV911,0)*BV911</f>
        <v>16</v>
      </c>
      <c r="BD911" s="51" t="n">
        <f aca="false">IF(BA911&gt;0,J911/BA911,-1)</f>
        <v>0</v>
      </c>
      <c r="BE911" s="51" t="n">
        <f aca="false">IF(AND(OR(CC911="L1",CC911="L23",CC911="LIFT"),BA911&gt;0),SUMIFS($BA$7:$BA$1843,$CC$7:$CC$1843,CC911,$BD$7:$BD$1843,"&gt;"&amp;BD911)+SUMIFS($BA$7:$BA$1843,$CC$7:$CC$1843,CC911,$BD$7:$BD$1843,BD911,$BT$7:$BT$1843,"&lt;="&amp;BT911),"")</f>
        <v>37141.9342107986</v>
      </c>
      <c r="BF911" s="58" t="n">
        <f aca="false">IF(BE911="",0,MAX(0,MIN(1,(IF(CC911="L1",Parameter!$H$5,IF(CC911="L23",Parameter!$H$6+Parameter!$H$7,Parameter!$H$5+Parameter!$H$6+Parameter!$H$7))-(BE911-BA911))/BA911)))</f>
        <v>0</v>
      </c>
      <c r="BG911" s="48" t="str">
        <f aca="false">IF(AI911&lt;=0,"",IF(CC911="Aussen","Aussenlager",IF(CC911="-","Nicht im Lift",IF(AN911&gt;=1,"Lift",IF(AN911&lt;=0,"Aussenlager","teilweise")))))</f>
        <v>Lift</v>
      </c>
      <c r="BH911" s="48" t="str">
        <f aca="false">IF(AR911&lt;=0,"",IF(CC911="Aussen","Aussenlager",IF(CC911="-","Nicht im Lift",IF(AW911&gt;=1,"Lift",IF(AW911&lt;=0,"Aussenlager","teilweise")))))</f>
        <v>Aussenlager</v>
      </c>
      <c r="BI911" s="48" t="str">
        <f aca="false">IF(BA911&lt;=0,"",IF(CC911="Aussen","Aussenlager",IF(CC911="-","Nicht im Lift",IF(BF911&gt;=1,"Lift",IF(BF911&lt;=0,"Aussenlager","teilweise")))))</f>
        <v>Aussenlager</v>
      </c>
      <c r="BJ911" s="48" t="str">
        <f aca="false">IF(A911="","",IF(BS911=1,"Neu; ","")&amp;IF(AND(BS911=0,BN911&lt;0),"negativer Bestand (Export "&amp;BN911&amp;"); ","")&amp;IF(J911&lt;=0,"Kein Verbrauch; ","")&amp;IF(CL911&gt;0,"Lift "&amp;W911&amp;" lt. Liftbericht (Fach "&amp;X911&amp;" Stk); ",IF(BX911=1,"Gebinde geschätzt ("&amp;T911&amp;"); ",IF(BW911=1,"Lose – Tablare geschätzt; ","")))&amp;IF(H911&gt;AT911,"Überbestand "&amp;ROUND(H911-AT911,0)&amp;" Stk / CHF "&amp;ROUND((H911-AT911)*G911,0)&amp;"; ","")&amp;IF(AND(CE911=1,CF911&lt;CG911),"MAX &lt; MB+LG; ","")&amp;IF(AND(CK911&gt;0,CJ911*10&gt;CK911),"zu hoch für Tablar; ","")&amp;IF(AND(BS911=0,OR(CE911=1,AA911&lt;&gt;"",U911&lt;&gt;"",V911&lt;&gt;"",AB911&lt;&gt;"")),"manuell übersteuert; ","")&amp;IF(AND(BW911=0,R911=0),"Gebinde unbekannt / Stellmass fehlt; ","")&amp;IF(AND(BW911=0,N(V911)&lt;=0,N(Q911)&lt;=0),"Menge pro Gebinde fehlt (Ist = 1 Gebinde); ","")&amp;BR911)</f>
        <v>negativer Bestand (Export -1); Kein Verbrauch; </v>
      </c>
      <c r="BK911" s="48"/>
      <c r="BL911" s="48"/>
      <c r="BM911" s="55"/>
      <c r="BN911" s="50" t="n">
        <v>-1</v>
      </c>
      <c r="BO911" s="50" t="n">
        <v>8</v>
      </c>
      <c r="BP911" s="49" t="n">
        <v>-38.53</v>
      </c>
      <c r="BQ911" s="50" t="n">
        <v>0</v>
      </c>
      <c r="BR911" s="48"/>
      <c r="BS911" s="53" t="n">
        <v>0</v>
      </c>
      <c r="BT911" s="53" t="n">
        <v>911</v>
      </c>
      <c r="BU911" s="48" t="str">
        <f aca="false">IF(U911&lt;&gt;"",UPPER(TRIM(U911)),IF(BX911=1,UPPER(VLOOKUP(T911,Parameter!$I$27:$K$29,2,0)),IF(P911="","LOSE",P911)))</f>
        <v>S33</v>
      </c>
      <c r="BV911" s="50" t="n">
        <f aca="false">IF(BU911="LOSE",1,IF(N(V911)&gt;0,V911,IF(BX911=1,MAX(1,N(VLOOKUP(T911,Parameter!$I$27:$K$29,3,0)),H911,N(N911)),IF(N(Q911)&gt;0,Q911,MAX(1,H911)))))</f>
        <v>16</v>
      </c>
      <c r="BW911" s="53" t="n">
        <f aca="false">IF(BU911="LOSE",1,0)</f>
        <v>0</v>
      </c>
      <c r="BX911" s="53" t="n">
        <f aca="false">IF(AND(U911="",OR(P911="",P911="LOSE"),T911&lt;&gt;"",N(S911)&lt;=0,ISNUMBER(MATCH(T911,Parameter!$I$27:$I$29,0))),1,0)</f>
        <v>0</v>
      </c>
      <c r="BY911" s="53" t="n">
        <f aca="false">IF(CL911&gt;0,INDEX(Parameter!$H$5:$H$7,W911)/INDEX(Parameter!$E$5:$E$7,W911),IF(AND(BW911=0,N(IFERROR(VLOOKUP(BU911,'Gebinde-Kategorie'!$A$5:$N$45,14,0),0))&gt;0),VLOOKUP(BU911,'Gebinde-Kategorie'!$A$5:$N$45,14,0)*10+Parameter!$M$23,Parameter!$M$24))</f>
        <v>155</v>
      </c>
      <c r="BZ911" s="48" t="str">
        <f aca="false">IF(AND(Parameter!$B$19="Ja",E911&lt;&gt;"",ISNUMBER(MATCH(E911,Parameter!$I$35:$I$52,0))),VLOOKUP(E911,Parameter!$I$35:$J$52,2,0),IFERROR(VLOOKUP(D911,Parameter!$A$35:$C$64,2,0),"Nein"))</f>
        <v>2+3</v>
      </c>
      <c r="CA911" s="52" t="n">
        <f aca="false">IF(BW911=0,0,IF(N(S911)&gt;0,S911,IFERROR(VLOOKUP(D911,Parameter!$A$35:$C$64,3,0)+0,0)))</f>
        <v>0</v>
      </c>
      <c r="CB911" s="48" t="n">
        <f aca="false">IF(AA911&lt;&gt;"",AA911,Z911)</f>
        <v>3</v>
      </c>
      <c r="CC911" s="48" t="str">
        <f aca="false">IF(OR(CB911=1,CB911=2,CB911=3),IF(Parameter!$E$27="Ja","LIFT",IF(CB911=1,"L1","L23")),IF(CB911="Aussen","Aussen","-"))</f>
        <v>LIFT</v>
      </c>
      <c r="CD911" s="59" t="n">
        <f aca="false">IF(N(AB911)&gt;0,AB911,0)</f>
        <v>0</v>
      </c>
      <c r="CE911" s="53" t="n">
        <f aca="false">IF(ISNUMBER(AE911),1,0)</f>
        <v>0</v>
      </c>
      <c r="CF911" s="50" t="n">
        <f aca="false">N(AE911)</f>
        <v>0</v>
      </c>
      <c r="CG911" s="50" t="n">
        <f aca="false">N(M911)+N(N911)</f>
        <v>1</v>
      </c>
      <c r="CH911" s="50" t="n">
        <f aca="false">ROUNDUP(H911/BV911,0)</f>
        <v>1</v>
      </c>
      <c r="CI911" s="50" t="n">
        <f aca="false">ROUNDUP(CF911/BV911,0)</f>
        <v>0</v>
      </c>
      <c r="CJ911" s="53" t="n">
        <f aca="false">IF(BW911=1,0,IFERROR(VLOOKUP(BU911,'Gebinde-Kategorie'!$A$5:$N$45,5,0)+0,0))</f>
        <v>8</v>
      </c>
      <c r="CK911" s="53" t="n">
        <f aca="false">IFERROR(IF(OR(CB911=1,CB911=2,CB911=3),N(INDEX(Parameter!$I$5:$I$7,CB911)),0),0)</f>
        <v>0</v>
      </c>
      <c r="CL911" s="52" t="n">
        <f aca="false">IF(AND(Parameter!$B$21="Ja",ISNUMBER(W911),N(X911)&gt;0),IFERROR(N(INDEX(Parameter!$L$5:$L$7,W911))*INDEX(Parameter!$E$5:$E$7,W911)*X911/SUMIFS($X$7:$X$1843,$W$7:$W$1843,W911),0),0)</f>
        <v>0</v>
      </c>
    </row>
    <row r="912" customFormat="false" ht="15" hidden="false" customHeight="false" outlineLevel="0" collapsed="false">
      <c r="A912" s="48" t="s">
        <v>1713</v>
      </c>
      <c r="B912" s="48" t="s">
        <v>409</v>
      </c>
      <c r="C912" s="48" t="s">
        <v>168</v>
      </c>
      <c r="D912" s="48" t="s">
        <v>188</v>
      </c>
      <c r="E912" s="48"/>
      <c r="F912" s="48" t="s">
        <v>222</v>
      </c>
      <c r="G912" s="49" t="n">
        <v>0.31</v>
      </c>
      <c r="H912" s="50" t="n">
        <f aca="false">MAX(0,IF(AND(Parameter!$B$21="Ja",ISNUMBER(Y912)),Y912,IF(Parameter!$B$20="Jahresanfang 2025 + Export",BO912+BN912,BN912)))</f>
        <v>14</v>
      </c>
      <c r="I912" s="50" t="n">
        <f aca="false">H912*G912</f>
        <v>4.34</v>
      </c>
      <c r="J912" s="50" t="n">
        <f aca="false">BQ912*Parameter!$B$18</f>
        <v>136</v>
      </c>
      <c r="K912" s="51" t="n">
        <v>122.5</v>
      </c>
      <c r="L912" s="52" t="n">
        <v>1.11020408163265</v>
      </c>
      <c r="M912" s="50" t="n">
        <v>5</v>
      </c>
      <c r="N912" s="50" t="n">
        <v>200</v>
      </c>
      <c r="O912" s="53" t="n">
        <v>14</v>
      </c>
      <c r="P912" s="48" t="s">
        <v>425</v>
      </c>
      <c r="Q912" s="50" t="n">
        <v>70</v>
      </c>
      <c r="R912" s="53" t="n">
        <f aca="false">IF(BW912=1,0,IFERROR(VLOOKUP(BU912,'Gebinde-Kategorie'!$A$5:$N$45,13,0)+0,0))</f>
        <v>104</v>
      </c>
      <c r="S912" s="54"/>
      <c r="T912" s="55"/>
      <c r="U912" s="55"/>
      <c r="V912" s="55"/>
      <c r="W912" s="48"/>
      <c r="X912" s="50"/>
      <c r="Y912" s="50"/>
      <c r="Z912" s="48" t="n">
        <f aca="false">IF(A912="","",IF(AND(Parameter!$B$21="Ja",ISNUMBER(W912)),W912,IF(BZ912="2+3",IF(ISNUMBER(SEARCH("grosser Artikel",BR912)),2,IFERROR(VLOOKUP(BU912,Parameter!$F$35:$G$64,2,0),2)),IF(OR(BZ912="Nein",BZ912=""),"-",BZ912))))</f>
        <v>3</v>
      </c>
      <c r="AA912" s="55"/>
      <c r="AB912" s="56"/>
      <c r="AC912" s="50" t="n">
        <f aca="false">AT912</f>
        <v>210</v>
      </c>
      <c r="AD912" s="50" t="n">
        <f aca="false">MAX(AT912,H912)</f>
        <v>210</v>
      </c>
      <c r="AE912" s="57"/>
      <c r="AF912" s="50" t="n">
        <f aca="false">IF(LEFT(Cockpit!$C$5,1)="A",H912,IF(CE912=1,CF912,IF(LEFT(Cockpit!$C$5,1)="B",AK912,MAX(AK912,H912))))</f>
        <v>14</v>
      </c>
      <c r="AG912" s="50" t="n">
        <f aca="false">IF(BW912=1,0,ROUNDUP(AF912/BV912,0))</f>
        <v>1</v>
      </c>
      <c r="AH912" s="52" t="n">
        <f aca="false">IF(CL912&gt;0,CL912*MAX(1,AF912/X912),IF(BW912=1,IF(AF912&lt;=0,0,CA912*MAX(1,IF(H912&gt;0,AF912/H912,1))),IF(R912&gt;0,AG912/R912,0))/MAX(0.1,N(Parameter!$M$21)))</f>
        <v>0.00961538461538462</v>
      </c>
      <c r="AI912" s="50" t="n">
        <f aca="false">AH912*BY912</f>
        <v>1.49038461538462</v>
      </c>
      <c r="AJ912" s="50" t="n">
        <f aca="false">AF912*G912</f>
        <v>4.34</v>
      </c>
      <c r="AK912" s="50" t="n">
        <f aca="false">ROUNDUP(MAX(J912/IF(CD912&gt;0,CD912,MAX(0.1,N(Cockpit!$C$6))),CG912)/BV912,0)*BV912</f>
        <v>210</v>
      </c>
      <c r="AL912" s="51" t="n">
        <f aca="false">IF(AI912&gt;0,J912/AI912,-1)</f>
        <v>91.2516129032258</v>
      </c>
      <c r="AM912" s="51" t="n">
        <f aca="false">IF(AND(OR(CC912="L1",CC912="L23",CC912="LIFT"),AI912&gt;0),SUMIFS($AI$7:$AI$1843,$CC$7:$CC$1843,CC912,$AL$7:$AL$1843,"&gt;"&amp;AL912)+SUMIFS($AI$7:$AI$1843,$CC$7:$CC$1843,CC912,$AL$7:$AL$1843,AL912,$BT$7:$BT$1843,"&lt;="&amp;BT912),"")</f>
        <v>818.993131868132</v>
      </c>
      <c r="AN912" s="58" t="n">
        <f aca="false">IF(AM912="",0,MAX(0,MIN(1,(IF(CC912="L1",Parameter!$H$5,IF(CC912="L23",Parameter!$H$6+Parameter!$H$7,Parameter!$H$5+Parameter!$H$6+Parameter!$H$7))-(AM912-AI912))/AI912)))</f>
        <v>1</v>
      </c>
      <c r="AO912" s="50" t="n">
        <f aca="false">IF(LEFT(Cockpit!$I$5,1)="A",H912,IF(CE912=1,CF912,IF(LEFT(Cockpit!$I$5,1)="B",AT912,MAX(AT912,H912))))</f>
        <v>210</v>
      </c>
      <c r="AP912" s="50" t="n">
        <f aca="false">IF(BW912=1,0,ROUNDUP(AO912/BV912,0))</f>
        <v>3</v>
      </c>
      <c r="AQ912" s="52" t="n">
        <f aca="false">IF(CL912&gt;0,CL912*MAX(1,AO912/X912),IF(BW912=1,IF(AO912&lt;=0,0,CA912*MAX(1,IF(H912&gt;0,AO912/H912,1))),IF(R912&gt;0,AP912/R912,0))/MAX(0.1,N(Parameter!$M$21)))</f>
        <v>0.0288461538461538</v>
      </c>
      <c r="AR912" s="50" t="n">
        <f aca="false">AQ912*BY912</f>
        <v>4.47115384615385</v>
      </c>
      <c r="AS912" s="50" t="n">
        <f aca="false">AO912*G912</f>
        <v>65.1</v>
      </c>
      <c r="AT912" s="50" t="n">
        <f aca="false">ROUNDUP(MAX(J912/IF(CD912&gt;0,CD912,MAX(0.1,N(Cockpit!$I$6))),CG912)/BV912,0)*BV912</f>
        <v>210</v>
      </c>
      <c r="AU912" s="51" t="n">
        <f aca="false">IF(AR912&gt;0,J912/AR912,-1)</f>
        <v>30.4172043010753</v>
      </c>
      <c r="AV912" s="51" t="n">
        <f aca="false">IF(AND(OR(CC912="L1",CC912="L23",CC912="LIFT"),AR912&gt;0),SUMIFS($AR$7:$AR$1843,$CC$7:$CC$1843,CC912,$AU$7:$AU$1843,"&gt;"&amp;AU912)+SUMIFS($AR$7:$AR$1843,$CC$7:$CC$1843,CC912,$AU$7:$AU$1843,AU912,$BT$7:$BT$1843,"&lt;="&amp;BT912),"")</f>
        <v>1907.06593406593</v>
      </c>
      <c r="AW912" s="58" t="n">
        <f aca="false">IF(AV912="",0,MAX(0,MIN(1,(IF(CC912="L1",Parameter!$H$5,IF(CC912="L23",Parameter!$H$6+Parameter!$H$7,Parameter!$H$5+Parameter!$H$6+Parameter!$H$7))-(AV912-AR912))/AR912)))</f>
        <v>1</v>
      </c>
      <c r="AX912" s="50" t="n">
        <f aca="false">IF(LEFT(Cockpit!$O$5,1)="A",H912,IF(CE912=1,CF912,IF(LEFT(Cockpit!$O$5,1)="B",BC912,MAX(BC912,H912))))</f>
        <v>210</v>
      </c>
      <c r="AY912" s="50" t="n">
        <f aca="false">IF(BW912=1,0,ROUNDUP(AX912/BV912,0))</f>
        <v>3</v>
      </c>
      <c r="AZ912" s="52" t="n">
        <f aca="false">IF(CL912&gt;0,CL912*MAX(1,AX912/X912),IF(BW912=1,IF(AX912&lt;=0,0,CA912*MAX(1,IF(H912&gt;0,AX912/H912,1))),IF(R912&gt;0,AY912/R912,0))/MAX(0.1,N(Parameter!$M$21)))</f>
        <v>0.0288461538461538</v>
      </c>
      <c r="BA912" s="50" t="n">
        <f aca="false">AZ912*BY912</f>
        <v>4.47115384615385</v>
      </c>
      <c r="BB912" s="50" t="n">
        <f aca="false">AX912*G912</f>
        <v>65.1</v>
      </c>
      <c r="BC912" s="50" t="n">
        <f aca="false">ROUNDUP(MAX(J912/IF(CD912&gt;0,CD912,MAX(0.1,N(Cockpit!$O$6))),CG912)/BV912,0)*BV912</f>
        <v>210</v>
      </c>
      <c r="BD912" s="51" t="n">
        <f aca="false">IF(BA912&gt;0,J912/BA912,-1)</f>
        <v>30.4172043010753</v>
      </c>
      <c r="BE912" s="51" t="n">
        <f aca="false">IF(AND(OR(CC912="L1",CC912="L23",CC912="LIFT"),BA912&gt;0),SUMIFS($BA$7:$BA$1843,$CC$7:$CC$1843,CC912,$BD$7:$BD$1843,"&gt;"&amp;BD912)+SUMIFS($BA$7:$BA$1843,$CC$7:$CC$1843,CC912,$BD$7:$BD$1843,BD912,$BT$7:$BT$1843,"&lt;="&amp;BT912),"")</f>
        <v>1791.40888278388</v>
      </c>
      <c r="BF912" s="58" t="n">
        <f aca="false">IF(BE912="",0,MAX(0,MIN(1,(IF(CC912="L1",Parameter!$H$5,IF(CC912="L23",Parameter!$H$6+Parameter!$H$7,Parameter!$H$5+Parameter!$H$6+Parameter!$H$7))-(BE912-BA912))/BA912)))</f>
        <v>1</v>
      </c>
      <c r="BG912" s="48" t="str">
        <f aca="false">IF(AI912&lt;=0,"",IF(CC912="Aussen","Aussenlager",IF(CC912="-","Nicht im Lift",IF(AN912&gt;=1,"Lift",IF(AN912&lt;=0,"Aussenlager","teilweise")))))</f>
        <v>Lift</v>
      </c>
      <c r="BH912" s="48" t="str">
        <f aca="false">IF(AR912&lt;=0,"",IF(CC912="Aussen","Aussenlager",IF(CC912="-","Nicht im Lift",IF(AW912&gt;=1,"Lift",IF(AW912&lt;=0,"Aussenlager","teilweise")))))</f>
        <v>Lift</v>
      </c>
      <c r="BI912" s="48" t="str">
        <f aca="false">IF(BA912&lt;=0,"",IF(CC912="Aussen","Aussenlager",IF(CC912="-","Nicht im Lift",IF(BF912&gt;=1,"Lift",IF(BF912&lt;=0,"Aussenlager","teilweise")))))</f>
        <v>Lift</v>
      </c>
      <c r="BJ912" s="48" t="str">
        <f aca="false">IF(A912="","",IF(BS912=1,"Neu; ","")&amp;IF(AND(BS912=0,BN912&lt;0),"negativer Bestand (Export "&amp;BN912&amp;"); ","")&amp;IF(J912&lt;=0,"Kein Verbrauch; ","")&amp;IF(CL912&gt;0,"Lift "&amp;W912&amp;" lt. Liftbericht (Fach "&amp;X912&amp;" Stk); ",IF(BX912=1,"Gebinde geschätzt ("&amp;T912&amp;"); ",IF(BW912=1,"Lose – Tablare geschätzt; ","")))&amp;IF(H912&gt;AT912,"Überbestand "&amp;ROUND(H912-AT912,0)&amp;" Stk / CHF "&amp;ROUND((H912-AT912)*G912,0)&amp;"; ","")&amp;IF(AND(CE912=1,CF912&lt;CG912),"MAX &lt; MB+LG; ","")&amp;IF(AND(CK912&gt;0,CJ912*10&gt;CK912),"zu hoch für Tablar; ","")&amp;IF(AND(BS912=0,OR(CE912=1,AA912&lt;&gt;"",U912&lt;&gt;"",V912&lt;&gt;"",AB912&lt;&gt;"")),"manuell übersteuert; ","")&amp;IF(AND(BW912=0,R912=0),"Gebinde unbekannt / Stellmass fehlt; ","")&amp;IF(AND(BW912=0,N(V912)&lt;=0,N(Q912)&lt;=0),"Menge pro Gebinde fehlt (Ist = 1 Gebinde); ","")&amp;BR912)</f>
        <v>negativer Bestand (Export -129); </v>
      </c>
      <c r="BK912" s="48"/>
      <c r="BL912" s="48"/>
      <c r="BM912" s="55"/>
      <c r="BN912" s="50" t="n">
        <v>-129</v>
      </c>
      <c r="BO912" s="50" t="n">
        <v>143</v>
      </c>
      <c r="BP912" s="49" t="n">
        <v>-38.56</v>
      </c>
      <c r="BQ912" s="50" t="n">
        <v>136</v>
      </c>
      <c r="BR912" s="48"/>
      <c r="BS912" s="53" t="n">
        <v>0</v>
      </c>
      <c r="BT912" s="53" t="n">
        <v>912</v>
      </c>
      <c r="BU912" s="48" t="str">
        <f aca="false">IF(U912&lt;&gt;"",UPPER(TRIM(U912)),IF(BX912=1,UPPER(VLOOKUP(T912,Parameter!$I$27:$K$29,2,0)),IF(P912="","LOSE",P912)))</f>
        <v>S32</v>
      </c>
      <c r="BV912" s="50" t="n">
        <f aca="false">IF(BU912="LOSE",1,IF(N(V912)&gt;0,V912,IF(BX912=1,MAX(1,N(VLOOKUP(T912,Parameter!$I$27:$K$29,3,0)),H912,N(N912)),IF(N(Q912)&gt;0,Q912,MAX(1,H912)))))</f>
        <v>70</v>
      </c>
      <c r="BW912" s="53" t="n">
        <f aca="false">IF(BU912="LOSE",1,0)</f>
        <v>0</v>
      </c>
      <c r="BX912" s="53" t="n">
        <f aca="false">IF(AND(U912="",OR(P912="",P912="LOSE"),T912&lt;&gt;"",N(S912)&lt;=0,ISNUMBER(MATCH(T912,Parameter!$I$27:$I$29,0))),1,0)</f>
        <v>0</v>
      </c>
      <c r="BY912" s="53" t="n">
        <f aca="false">IF(CL912&gt;0,INDEX(Parameter!$H$5:$H$7,W912)/INDEX(Parameter!$E$5:$E$7,W912),IF(AND(BW912=0,N(IFERROR(VLOOKUP(BU912,'Gebinde-Kategorie'!$A$5:$N$45,14,0),0))&gt;0),VLOOKUP(BU912,'Gebinde-Kategorie'!$A$5:$N$45,14,0)*10+Parameter!$M$23,Parameter!$M$24))</f>
        <v>155</v>
      </c>
      <c r="BZ912" s="48" t="str">
        <f aca="false">IF(AND(Parameter!$B$19="Ja",E912&lt;&gt;"",ISNUMBER(MATCH(E912,Parameter!$I$35:$I$52,0))),VLOOKUP(E912,Parameter!$I$35:$J$52,2,0),IFERROR(VLOOKUP(D912,Parameter!$A$35:$C$64,2,0),"Nein"))</f>
        <v>2+3</v>
      </c>
      <c r="CA912" s="52" t="n">
        <f aca="false">IF(BW912=0,0,IF(N(S912)&gt;0,S912,IFERROR(VLOOKUP(D912,Parameter!$A$35:$C$64,3,0)+0,0)))</f>
        <v>0</v>
      </c>
      <c r="CB912" s="48" t="n">
        <f aca="false">IF(AA912&lt;&gt;"",AA912,Z912)</f>
        <v>3</v>
      </c>
      <c r="CC912" s="48" t="str">
        <f aca="false">IF(OR(CB912=1,CB912=2,CB912=3),IF(Parameter!$E$27="Ja","LIFT",IF(CB912=1,"L1","L23")),IF(CB912="Aussen","Aussen","-"))</f>
        <v>LIFT</v>
      </c>
      <c r="CD912" s="59" t="n">
        <f aca="false">IF(N(AB912)&gt;0,AB912,0)</f>
        <v>0</v>
      </c>
      <c r="CE912" s="53" t="n">
        <f aca="false">IF(ISNUMBER(AE912),1,0)</f>
        <v>0</v>
      </c>
      <c r="CF912" s="50" t="n">
        <f aca="false">N(AE912)</f>
        <v>0</v>
      </c>
      <c r="CG912" s="50" t="n">
        <f aca="false">N(M912)+N(N912)</f>
        <v>205</v>
      </c>
      <c r="CH912" s="50" t="n">
        <f aca="false">ROUNDUP(H912/BV912,0)</f>
        <v>1</v>
      </c>
      <c r="CI912" s="50" t="n">
        <f aca="false">ROUNDUP(CF912/BV912,0)</f>
        <v>0</v>
      </c>
      <c r="CJ912" s="53" t="n">
        <f aca="false">IF(BW912=1,0,IFERROR(VLOOKUP(BU912,'Gebinde-Kategorie'!$A$5:$N$45,5,0)+0,0))</f>
        <v>8</v>
      </c>
      <c r="CK912" s="53" t="n">
        <f aca="false">IFERROR(IF(OR(CB912=1,CB912=2,CB912=3),N(INDEX(Parameter!$I$5:$I$7,CB912)),0),0)</f>
        <v>0</v>
      </c>
      <c r="CL912" s="52" t="n">
        <f aca="false">IF(AND(Parameter!$B$21="Ja",ISNUMBER(W912),N(X912)&gt;0),IFERROR(N(INDEX(Parameter!$L$5:$L$7,W912))*INDEX(Parameter!$E$5:$E$7,W912)*X912/SUMIFS($X$7:$X$1843,$W$7:$W$1843,W912),0),0)</f>
        <v>0</v>
      </c>
    </row>
    <row r="913" customFormat="false" ht="15" hidden="false" customHeight="false" outlineLevel="0" collapsed="false">
      <c r="A913" s="48" t="s">
        <v>1714</v>
      </c>
      <c r="B913" s="48" t="s">
        <v>953</v>
      </c>
      <c r="C913" s="48" t="s">
        <v>168</v>
      </c>
      <c r="D913" s="48" t="s">
        <v>188</v>
      </c>
      <c r="E913" s="48" t="s">
        <v>189</v>
      </c>
      <c r="F913" s="48" t="s">
        <v>222</v>
      </c>
      <c r="G913" s="49" t="n">
        <v>0.17</v>
      </c>
      <c r="H913" s="50" t="n">
        <f aca="false">MAX(0,IF(AND(Parameter!$B$21="Ja",ISNUMBER(Y913)),Y913,IF(Parameter!$B$20="Jahresanfang 2025 + Export",BO913+BN913,BN913)))</f>
        <v>646</v>
      </c>
      <c r="I913" s="50" t="n">
        <f aca="false">H913*G913</f>
        <v>109.82</v>
      </c>
      <c r="J913" s="50" t="n">
        <f aca="false">BQ913*Parameter!$B$18</f>
        <v>124</v>
      </c>
      <c r="K913" s="51" t="n">
        <v>812.5</v>
      </c>
      <c r="L913" s="52" t="n">
        <v>0.152615384615385</v>
      </c>
      <c r="M913" s="50" t="n">
        <v>7</v>
      </c>
      <c r="N913" s="50" t="n">
        <v>125</v>
      </c>
      <c r="O913" s="53" t="n">
        <v>21</v>
      </c>
      <c r="P913" s="48" t="s">
        <v>480</v>
      </c>
      <c r="Q913" s="50" t="n">
        <v>909</v>
      </c>
      <c r="R913" s="53" t="n">
        <f aca="false">IF(BW913=1,0,IFERROR(VLOOKUP(BU913,'Gebinde-Kategorie'!$A$5:$N$45,13,0)+0,0))</f>
        <v>52</v>
      </c>
      <c r="S913" s="54"/>
      <c r="T913" s="55"/>
      <c r="U913" s="55"/>
      <c r="V913" s="55"/>
      <c r="W913" s="48"/>
      <c r="X913" s="50"/>
      <c r="Y913" s="50"/>
      <c r="Z913" s="48" t="n">
        <f aca="false">IF(A913="","",IF(AND(Parameter!$B$21="Ja",ISNUMBER(W913)),W913,IF(BZ913="2+3",IF(ISNUMBER(SEARCH("grosser Artikel",BR913)),2,IFERROR(VLOOKUP(BU913,Parameter!$F$35:$G$64,2,0),2)),IF(OR(BZ913="Nein",BZ913=""),"-",BZ913))))</f>
        <v>3</v>
      </c>
      <c r="AA913" s="55"/>
      <c r="AB913" s="56"/>
      <c r="AC913" s="50" t="n">
        <f aca="false">AT913</f>
        <v>909</v>
      </c>
      <c r="AD913" s="50" t="n">
        <f aca="false">MAX(AT913,H913)</f>
        <v>909</v>
      </c>
      <c r="AE913" s="57"/>
      <c r="AF913" s="50" t="n">
        <f aca="false">IF(LEFT(Cockpit!$C$5,1)="A",H913,IF(CE913=1,CF913,IF(LEFT(Cockpit!$C$5,1)="B",AK913,MAX(AK913,H913))))</f>
        <v>646</v>
      </c>
      <c r="AG913" s="50" t="n">
        <f aca="false">IF(BW913=1,0,ROUNDUP(AF913/BV913,0))</f>
        <v>1</v>
      </c>
      <c r="AH913" s="52" t="n">
        <f aca="false">IF(CL913&gt;0,CL913*MAX(1,AF913/X913),IF(BW913=1,IF(AF913&lt;=0,0,CA913*MAX(1,IF(H913&gt;0,AF913/H913,1))),IF(R913&gt;0,AG913/R913,0))/MAX(0.1,N(Parameter!$M$21)))</f>
        <v>0.0192307692307692</v>
      </c>
      <c r="AI913" s="50" t="n">
        <f aca="false">AH913*BY913</f>
        <v>2.98076923076923</v>
      </c>
      <c r="AJ913" s="50" t="n">
        <f aca="false">AF913*G913</f>
        <v>109.82</v>
      </c>
      <c r="AK913" s="50" t="n">
        <f aca="false">ROUNDUP(MAX(J913/IF(CD913&gt;0,CD913,MAX(0.1,N(Cockpit!$C$6))),CG913)/BV913,0)*BV913</f>
        <v>909</v>
      </c>
      <c r="AL913" s="51" t="n">
        <f aca="false">IF(AI913&gt;0,J913/AI913,-1)</f>
        <v>41.6</v>
      </c>
      <c r="AM913" s="51" t="n">
        <f aca="false">IF(AND(OR(CC913="L1",CC913="L23",CC913="LIFT"),AI913&gt;0),SUMIFS($AI$7:$AI$1843,$CC$7:$CC$1843,CC913,$AL$7:$AL$1843,"&gt;"&amp;AL913)+SUMIFS($AI$7:$AI$1843,$CC$7:$CC$1843,CC913,$AL$7:$AL$1843,AL913,$BT$7:$BT$1843,"&lt;="&amp;BT913),"")</f>
        <v>1184.5</v>
      </c>
      <c r="AN913" s="58" t="n">
        <f aca="false">IF(AM913="",0,MAX(0,MIN(1,(IF(CC913="L1",Parameter!$H$5,IF(CC913="L23",Parameter!$H$6+Parameter!$H$7,Parameter!$H$5+Parameter!$H$6+Parameter!$H$7))-(AM913-AI913))/AI913)))</f>
        <v>1</v>
      </c>
      <c r="AO913" s="50" t="n">
        <f aca="false">IF(LEFT(Cockpit!$I$5,1)="A",H913,IF(CE913=1,CF913,IF(LEFT(Cockpit!$I$5,1)="B",AT913,MAX(AT913,H913))))</f>
        <v>909</v>
      </c>
      <c r="AP913" s="50" t="n">
        <f aca="false">IF(BW913=1,0,ROUNDUP(AO913/BV913,0))</f>
        <v>1</v>
      </c>
      <c r="AQ913" s="52" t="n">
        <f aca="false">IF(CL913&gt;0,CL913*MAX(1,AO913/X913),IF(BW913=1,IF(AO913&lt;=0,0,CA913*MAX(1,IF(H913&gt;0,AO913/H913,1))),IF(R913&gt;0,AP913/R913,0))/MAX(0.1,N(Parameter!$M$21)))</f>
        <v>0.0192307692307692</v>
      </c>
      <c r="AR913" s="50" t="n">
        <f aca="false">AQ913*BY913</f>
        <v>2.98076923076923</v>
      </c>
      <c r="AS913" s="50" t="n">
        <f aca="false">AO913*G913</f>
        <v>154.53</v>
      </c>
      <c r="AT913" s="50" t="n">
        <f aca="false">ROUNDUP(MAX(J913/IF(CD913&gt;0,CD913,MAX(0.1,N(Cockpit!$I$6))),CG913)/BV913,0)*BV913</f>
        <v>909</v>
      </c>
      <c r="AU913" s="51" t="n">
        <f aca="false">IF(AR913&gt;0,J913/AR913,-1)</f>
        <v>41.6</v>
      </c>
      <c r="AV913" s="51" t="n">
        <f aca="false">IF(AND(OR(CC913="L1",CC913="L23",CC913="LIFT"),AR913&gt;0),SUMIFS($AR$7:$AR$1843,$CC$7:$CC$1843,CC913,$AU$7:$AU$1843,"&gt;"&amp;AU913)+SUMIFS($AR$7:$AR$1843,$CC$7:$CC$1843,CC913,$AU$7:$AU$1843,AU913,$BT$7:$BT$1843,"&lt;="&amp;BT913),"")</f>
        <v>1694.00686813187</v>
      </c>
      <c r="AW913" s="58" t="n">
        <f aca="false">IF(AV913="",0,MAX(0,MIN(1,(IF(CC913="L1",Parameter!$H$5,IF(CC913="L23",Parameter!$H$6+Parameter!$H$7,Parameter!$H$5+Parameter!$H$6+Parameter!$H$7))-(AV913-AR913))/AR913)))</f>
        <v>1</v>
      </c>
      <c r="AX913" s="50" t="n">
        <f aca="false">IF(LEFT(Cockpit!$O$5,1)="A",H913,IF(CE913=1,CF913,IF(LEFT(Cockpit!$O$5,1)="B",BC913,MAX(BC913,H913))))</f>
        <v>909</v>
      </c>
      <c r="AY913" s="50" t="n">
        <f aca="false">IF(BW913=1,0,ROUNDUP(AX913/BV913,0))</f>
        <v>1</v>
      </c>
      <c r="AZ913" s="52" t="n">
        <f aca="false">IF(CL913&gt;0,CL913*MAX(1,AX913/X913),IF(BW913=1,IF(AX913&lt;=0,0,CA913*MAX(1,IF(H913&gt;0,AX913/H913,1))),IF(R913&gt;0,AY913/R913,0))/MAX(0.1,N(Parameter!$M$21)))</f>
        <v>0.0192307692307692</v>
      </c>
      <c r="BA913" s="50" t="n">
        <f aca="false">AZ913*BY913</f>
        <v>2.98076923076923</v>
      </c>
      <c r="BB913" s="50" t="n">
        <f aca="false">AX913*G913</f>
        <v>154.53</v>
      </c>
      <c r="BC913" s="50" t="n">
        <f aca="false">ROUNDUP(MAX(J913/IF(CD913&gt;0,CD913,MAX(0.1,N(Cockpit!$O$6))),CG913)/BV913,0)*BV913</f>
        <v>909</v>
      </c>
      <c r="BD913" s="51" t="n">
        <f aca="false">IF(BA913&gt;0,J913/BA913,-1)</f>
        <v>41.6</v>
      </c>
      <c r="BE913" s="51" t="n">
        <f aca="false">IF(AND(OR(CC913="L1",CC913="L23",CC913="LIFT"),BA913&gt;0),SUMIFS($BA$7:$BA$1843,$CC$7:$CC$1843,CC913,$BD$7:$BD$1843,"&gt;"&amp;BD913)+SUMIFS($BA$7:$BA$1843,$CC$7:$CC$1843,CC913,$BD$7:$BD$1843,BD913,$BT$7:$BT$1843,"&lt;="&amp;BT913),"")</f>
        <v>1558.92673992674</v>
      </c>
      <c r="BF913" s="58" t="n">
        <f aca="false">IF(BE913="",0,MAX(0,MIN(1,(IF(CC913="L1",Parameter!$H$5,IF(CC913="L23",Parameter!$H$6+Parameter!$H$7,Parameter!$H$5+Parameter!$H$6+Parameter!$H$7))-(BE913-BA913))/BA913)))</f>
        <v>1</v>
      </c>
      <c r="BG913" s="48" t="str">
        <f aca="false">IF(AI913&lt;=0,"",IF(CC913="Aussen","Aussenlager",IF(CC913="-","Nicht im Lift",IF(AN913&gt;=1,"Lift",IF(AN913&lt;=0,"Aussenlager","teilweise")))))</f>
        <v>Lift</v>
      </c>
      <c r="BH913" s="48" t="str">
        <f aca="false">IF(AR913&lt;=0,"",IF(CC913="Aussen","Aussenlager",IF(CC913="-","Nicht im Lift",IF(AW913&gt;=1,"Lift",IF(AW913&lt;=0,"Aussenlager","teilweise")))))</f>
        <v>Lift</v>
      </c>
      <c r="BI913" s="48" t="str">
        <f aca="false">IF(BA913&lt;=0,"",IF(CC913="Aussen","Aussenlager",IF(CC913="-","Nicht im Lift",IF(BF913&gt;=1,"Lift",IF(BF913&lt;=0,"Aussenlager","teilweise")))))</f>
        <v>Lift</v>
      </c>
      <c r="BJ913" s="48" t="str">
        <f aca="false">IF(A913="","",IF(BS913=1,"Neu; ","")&amp;IF(AND(BS913=0,BN913&lt;0),"negativer Bestand (Export "&amp;BN913&amp;"); ","")&amp;IF(J913&lt;=0,"Kein Verbrauch; ","")&amp;IF(CL913&gt;0,"Lift "&amp;W913&amp;" lt. Liftbericht (Fach "&amp;X913&amp;" Stk); ",IF(BX913=1,"Gebinde geschätzt ("&amp;T913&amp;"); ",IF(BW913=1,"Lose – Tablare geschätzt; ","")))&amp;IF(H913&gt;AT913,"Überbestand "&amp;ROUND(H913-AT913,0)&amp;" Stk / CHF "&amp;ROUND((H913-AT913)*G913,0)&amp;"; ","")&amp;IF(AND(CE913=1,CF913&lt;CG913),"MAX &lt; MB+LG; ","")&amp;IF(AND(CK913&gt;0,CJ913*10&gt;CK913),"zu hoch für Tablar; ","")&amp;IF(AND(BS913=0,OR(CE913=1,AA913&lt;&gt;"",U913&lt;&gt;"",V913&lt;&gt;"",AB913&lt;&gt;"")),"manuell übersteuert; ","")&amp;IF(AND(BW913=0,R913=0),"Gebinde unbekannt / Stellmass fehlt; ","")&amp;IF(AND(BW913=0,N(V913)&lt;=0,N(Q913)&lt;=0),"Menge pro Gebinde fehlt (Ist = 1 Gebinde); ","")&amp;BR913)</f>
        <v>negativer Bestand (Export -227); Überbestand</v>
      </c>
      <c r="BK913" s="48"/>
      <c r="BL913" s="48"/>
      <c r="BM913" s="55"/>
      <c r="BN913" s="50" t="n">
        <v>-227</v>
      </c>
      <c r="BO913" s="50" t="n">
        <v>873</v>
      </c>
      <c r="BP913" s="49" t="n">
        <v>-38.59</v>
      </c>
      <c r="BQ913" s="50" t="n">
        <v>124</v>
      </c>
      <c r="BR913" s="48" t="s">
        <v>396</v>
      </c>
      <c r="BS913" s="53" t="n">
        <v>0</v>
      </c>
      <c r="BT913" s="53" t="n">
        <v>913</v>
      </c>
      <c r="BU913" s="48" t="str">
        <f aca="false">IF(U913&lt;&gt;"",UPPER(TRIM(U913)),IF(BX913=1,UPPER(VLOOKUP(T913,Parameter!$I$27:$K$29,2,0)),IF(P913="","LOSE",P913)))</f>
        <v>S33</v>
      </c>
      <c r="BV913" s="50" t="n">
        <f aca="false">IF(BU913="LOSE",1,IF(N(V913)&gt;0,V913,IF(BX913=1,MAX(1,N(VLOOKUP(T913,Parameter!$I$27:$K$29,3,0)),H913,N(N913)),IF(N(Q913)&gt;0,Q913,MAX(1,H913)))))</f>
        <v>909</v>
      </c>
      <c r="BW913" s="53" t="n">
        <f aca="false">IF(BU913="LOSE",1,0)</f>
        <v>0</v>
      </c>
      <c r="BX913" s="53" t="n">
        <f aca="false">IF(AND(U913="",OR(P913="",P913="LOSE"),T913&lt;&gt;"",N(S913)&lt;=0,ISNUMBER(MATCH(T913,Parameter!$I$27:$I$29,0))),1,0)</f>
        <v>0</v>
      </c>
      <c r="BY913" s="53" t="n">
        <f aca="false">IF(CL913&gt;0,INDEX(Parameter!$H$5:$H$7,W913)/INDEX(Parameter!$E$5:$E$7,W913),IF(AND(BW913=0,N(IFERROR(VLOOKUP(BU913,'Gebinde-Kategorie'!$A$5:$N$45,14,0),0))&gt;0),VLOOKUP(BU913,'Gebinde-Kategorie'!$A$5:$N$45,14,0)*10+Parameter!$M$23,Parameter!$M$24))</f>
        <v>155</v>
      </c>
      <c r="BZ913" s="48" t="str">
        <f aca="false">IF(AND(Parameter!$B$19="Ja",E913&lt;&gt;"",ISNUMBER(MATCH(E913,Parameter!$I$35:$I$52,0))),VLOOKUP(E913,Parameter!$I$35:$J$52,2,0),IFERROR(VLOOKUP(D913,Parameter!$A$35:$C$64,2,0),"Nein"))</f>
        <v>2+3</v>
      </c>
      <c r="CA913" s="52" t="n">
        <f aca="false">IF(BW913=0,0,IF(N(S913)&gt;0,S913,IFERROR(VLOOKUP(D913,Parameter!$A$35:$C$64,3,0)+0,0)))</f>
        <v>0</v>
      </c>
      <c r="CB913" s="48" t="n">
        <f aca="false">IF(AA913&lt;&gt;"",AA913,Z913)</f>
        <v>3</v>
      </c>
      <c r="CC913" s="48" t="str">
        <f aca="false">IF(OR(CB913=1,CB913=2,CB913=3),IF(Parameter!$E$27="Ja","LIFT",IF(CB913=1,"L1","L23")),IF(CB913="Aussen","Aussen","-"))</f>
        <v>LIFT</v>
      </c>
      <c r="CD913" s="59" t="n">
        <f aca="false">IF(N(AB913)&gt;0,AB913,0)</f>
        <v>0</v>
      </c>
      <c r="CE913" s="53" t="n">
        <f aca="false">IF(ISNUMBER(AE913),1,0)</f>
        <v>0</v>
      </c>
      <c r="CF913" s="50" t="n">
        <f aca="false">N(AE913)</f>
        <v>0</v>
      </c>
      <c r="CG913" s="50" t="n">
        <f aca="false">N(M913)+N(N913)</f>
        <v>132</v>
      </c>
      <c r="CH913" s="50" t="n">
        <f aca="false">ROUNDUP(H913/BV913,0)</f>
        <v>1</v>
      </c>
      <c r="CI913" s="50" t="n">
        <f aca="false">ROUNDUP(CF913/BV913,0)</f>
        <v>0</v>
      </c>
      <c r="CJ913" s="53" t="n">
        <f aca="false">IF(BW913=1,0,IFERROR(VLOOKUP(BU913,'Gebinde-Kategorie'!$A$5:$N$45,5,0)+0,0))</f>
        <v>8</v>
      </c>
      <c r="CK913" s="53" t="n">
        <f aca="false">IFERROR(IF(OR(CB913=1,CB913=2,CB913=3),N(INDEX(Parameter!$I$5:$I$7,CB913)),0),0)</f>
        <v>0</v>
      </c>
      <c r="CL913" s="52" t="n">
        <f aca="false">IF(AND(Parameter!$B$21="Ja",ISNUMBER(W913),N(X913)&gt;0),IFERROR(N(INDEX(Parameter!$L$5:$L$7,W913))*INDEX(Parameter!$E$5:$E$7,W913)*X913/SUMIFS($X$7:$X$1843,$W$7:$W$1843,W913),0),0)</f>
        <v>0</v>
      </c>
    </row>
    <row r="914" customFormat="false" ht="15" hidden="false" customHeight="false" outlineLevel="0" collapsed="false">
      <c r="A914" s="48" t="s">
        <v>1715</v>
      </c>
      <c r="B914" s="48" t="s">
        <v>1716</v>
      </c>
      <c r="C914" s="48" t="s">
        <v>460</v>
      </c>
      <c r="D914" s="48" t="s">
        <v>188</v>
      </c>
      <c r="E914" s="48"/>
      <c r="F914" s="48" t="s">
        <v>222</v>
      </c>
      <c r="G914" s="49" t="n">
        <v>0.76</v>
      </c>
      <c r="H914" s="50" t="n">
        <f aca="false">MAX(0,IF(AND(Parameter!$B$21="Ja",ISNUMBER(Y914)),Y914,IF(Parameter!$B$20="Jahresanfang 2025 + Export",BO914+BN914,BN914)))</f>
        <v>0</v>
      </c>
      <c r="I914" s="50" t="n">
        <f aca="false">H914*G914</f>
        <v>0</v>
      </c>
      <c r="J914" s="50" t="n">
        <f aca="false">BQ914*Parameter!$B$18</f>
        <v>0</v>
      </c>
      <c r="K914" s="51" t="n">
        <v>40.5</v>
      </c>
      <c r="L914" s="52" t="n">
        <v>0</v>
      </c>
      <c r="M914" s="50" t="n">
        <v>0</v>
      </c>
      <c r="N914" s="50" t="n">
        <v>1</v>
      </c>
      <c r="O914" s="53" t="n">
        <v>21</v>
      </c>
      <c r="P914" s="48" t="s">
        <v>172</v>
      </c>
      <c r="Q914" s="50"/>
      <c r="R914" s="53" t="n">
        <f aca="false">IF(BW914=1,0,IFERROR(VLOOKUP(BU914,'Gebinde-Kategorie'!$A$5:$N$45,13,0)+0,0))</f>
        <v>26</v>
      </c>
      <c r="S914" s="54"/>
      <c r="T914" s="55" t="s">
        <v>279</v>
      </c>
      <c r="U914" s="55"/>
      <c r="V914" s="55"/>
      <c r="W914" s="48"/>
      <c r="X914" s="50"/>
      <c r="Y914" s="50"/>
      <c r="Z914" s="48" t="n">
        <f aca="false">IF(A914="","",IF(AND(Parameter!$B$21="Ja",ISNUMBER(W914)),W914,IF(BZ914="2+3",IF(ISNUMBER(SEARCH("grosser Artikel",BR914)),2,IFERROR(VLOOKUP(BU914,Parameter!$F$35:$G$64,2,0),2)),IF(OR(BZ914="Nein",BZ914=""),"-",BZ914))))</f>
        <v>3</v>
      </c>
      <c r="AA914" s="55"/>
      <c r="AB914" s="56"/>
      <c r="AC914" s="50" t="n">
        <f aca="false">AT914</f>
        <v>20</v>
      </c>
      <c r="AD914" s="50" t="n">
        <f aca="false">MAX(AT914,H914)</f>
        <v>20</v>
      </c>
      <c r="AE914" s="57"/>
      <c r="AF914" s="50" t="n">
        <f aca="false">IF(LEFT(Cockpit!$C$5,1)="A",H914,IF(CE914=1,CF914,IF(LEFT(Cockpit!$C$5,1)="B",AK914,MAX(AK914,H914))))</f>
        <v>0</v>
      </c>
      <c r="AG914" s="50" t="n">
        <f aca="false">IF(BW914=1,0,ROUNDUP(AF914/BV914,0))</f>
        <v>0</v>
      </c>
      <c r="AH914" s="52" t="n">
        <f aca="false">IF(CL914&gt;0,CL914*MAX(1,AF914/X914),IF(BW914=1,IF(AF914&lt;=0,0,CA914*MAX(1,IF(H914&gt;0,AF914/H914,1))),IF(R914&gt;0,AG914/R914,0))/MAX(0.1,N(Parameter!$M$21)))</f>
        <v>0</v>
      </c>
      <c r="AI914" s="50" t="n">
        <f aca="false">AH914*BY914</f>
        <v>0</v>
      </c>
      <c r="AJ914" s="50" t="n">
        <f aca="false">AF914*G914</f>
        <v>0</v>
      </c>
      <c r="AK914" s="50" t="n">
        <f aca="false">ROUNDUP(MAX(J914/IF(CD914&gt;0,CD914,MAX(0.1,N(Cockpit!$C$6))),CG914)/BV914,0)*BV914</f>
        <v>20</v>
      </c>
      <c r="AL914" s="51" t="n">
        <f aca="false">IF(AI914&gt;0,J914/AI914,-1)</f>
        <v>-1</v>
      </c>
      <c r="AM914" s="51" t="str">
        <f aca="false">IF(AND(OR(CC914="L1",CC914="L23",CC914="LIFT"),AI914&gt;0),SUMIFS($AI$7:$AI$1843,$CC$7:$CC$1843,CC914,$AL$7:$AL$1843,"&gt;"&amp;AL914)+SUMIFS($AI$7:$AI$1843,$CC$7:$CC$1843,CC914,$AL$7:$AL$1843,AL914,$BT$7:$BT$1843,"&lt;="&amp;BT914),"")</f>
        <v/>
      </c>
      <c r="AN914" s="58" t="n">
        <f aca="false">IF(AM914="",0,MAX(0,MIN(1,(IF(CC914="L1",Parameter!$H$5,IF(CC914="L23",Parameter!$H$6+Parameter!$H$7,Parameter!$H$5+Parameter!$H$6+Parameter!$H$7))-(AM914-AI914))/AI914)))</f>
        <v>0</v>
      </c>
      <c r="AO914" s="50" t="n">
        <f aca="false">IF(LEFT(Cockpit!$I$5,1)="A",H914,IF(CE914=1,CF914,IF(LEFT(Cockpit!$I$5,1)="B",AT914,MAX(AT914,H914))))</f>
        <v>20</v>
      </c>
      <c r="AP914" s="50" t="n">
        <f aca="false">IF(BW914=1,0,ROUNDUP(AO914/BV914,0))</f>
        <v>1</v>
      </c>
      <c r="AQ914" s="52" t="n">
        <f aca="false">IF(CL914&gt;0,CL914*MAX(1,AO914/X914),IF(BW914=1,IF(AO914&lt;=0,0,CA914*MAX(1,IF(H914&gt;0,AO914/H914,1))),IF(R914&gt;0,AP914/R914,0))/MAX(0.1,N(Parameter!$M$21)))</f>
        <v>0.0384615384615385</v>
      </c>
      <c r="AR914" s="50" t="n">
        <f aca="false">AQ914*BY914</f>
        <v>5.96153846153846</v>
      </c>
      <c r="AS914" s="50" t="n">
        <f aca="false">AO914*G914</f>
        <v>15.2</v>
      </c>
      <c r="AT914" s="50" t="n">
        <f aca="false">ROUNDUP(MAX(J914/IF(CD914&gt;0,CD914,MAX(0.1,N(Cockpit!$I$6))),CG914)/BV914,0)*BV914</f>
        <v>20</v>
      </c>
      <c r="AU914" s="51" t="n">
        <f aca="false">IF(AR914&gt;0,J914/AR914,-1)</f>
        <v>0</v>
      </c>
      <c r="AV914" s="51" t="n">
        <f aca="false">IF(AND(OR(CC914="L1",CC914="L23",CC914="LIFT"),AR914&gt;0),SUMIFS($AR$7:$AR$1843,$CC$7:$CC$1843,CC914,$AU$7:$AU$1843,"&gt;"&amp;AU914)+SUMIFS($AR$7:$AR$1843,$CC$7:$CC$1843,CC914,$AU$7:$AU$1843,AU914,$BT$7:$BT$1843,"&lt;="&amp;BT914),"")</f>
        <v>40472.8837073943</v>
      </c>
      <c r="AW914" s="58" t="n">
        <f aca="false">IF(AV914="",0,MAX(0,MIN(1,(IF(CC914="L1",Parameter!$H$5,IF(CC914="L23",Parameter!$H$6+Parameter!$H$7,Parameter!$H$5+Parameter!$H$6+Parameter!$H$7))-(AV914-AR914))/AR914)))</f>
        <v>0</v>
      </c>
      <c r="AX914" s="50" t="n">
        <f aca="false">IF(LEFT(Cockpit!$O$5,1)="A",H914,IF(CE914=1,CF914,IF(LEFT(Cockpit!$O$5,1)="B",BC914,MAX(BC914,H914))))</f>
        <v>20</v>
      </c>
      <c r="AY914" s="50" t="n">
        <f aca="false">IF(BW914=1,0,ROUNDUP(AX914/BV914,0))</f>
        <v>1</v>
      </c>
      <c r="AZ914" s="52" t="n">
        <f aca="false">IF(CL914&gt;0,CL914*MAX(1,AX914/X914),IF(BW914=1,IF(AX914&lt;=0,0,CA914*MAX(1,IF(H914&gt;0,AX914/H914,1))),IF(R914&gt;0,AY914/R914,0))/MAX(0.1,N(Parameter!$M$21)))</f>
        <v>0.0384615384615385</v>
      </c>
      <c r="BA914" s="50" t="n">
        <f aca="false">AZ914*BY914</f>
        <v>5.96153846153846</v>
      </c>
      <c r="BB914" s="50" t="n">
        <f aca="false">AX914*G914</f>
        <v>15.2</v>
      </c>
      <c r="BC914" s="50" t="n">
        <f aca="false">ROUNDUP(MAX(J914/IF(CD914&gt;0,CD914,MAX(0.1,N(Cockpit!$O$6))),CG914)/BV914,0)*BV914</f>
        <v>20</v>
      </c>
      <c r="BD914" s="51" t="n">
        <f aca="false">IF(BA914&gt;0,J914/BA914,-1)</f>
        <v>0</v>
      </c>
      <c r="BE914" s="51" t="n">
        <f aca="false">IF(AND(OR(CC914="L1",CC914="L23",CC914="LIFT"),BA914&gt;0),SUMIFS($BA$7:$BA$1843,$CC$7:$CC$1843,CC914,$BD$7:$BD$1843,"&gt;"&amp;BD914)+SUMIFS($BA$7:$BA$1843,$CC$7:$CC$1843,CC914,$BD$7:$BD$1843,BD914,$BT$7:$BT$1843,"&lt;="&amp;BT914),"")</f>
        <v>37147.8957492602</v>
      </c>
      <c r="BF914" s="58" t="n">
        <f aca="false">IF(BE914="",0,MAX(0,MIN(1,(IF(CC914="L1",Parameter!$H$5,IF(CC914="L23",Parameter!$H$6+Parameter!$H$7,Parameter!$H$5+Parameter!$H$6+Parameter!$H$7))-(BE914-BA914))/BA914)))</f>
        <v>0</v>
      </c>
      <c r="BG914" s="48" t="str">
        <f aca="false">IF(AI914&lt;=0,"",IF(CC914="Aussen","Aussenlager",IF(CC914="-","Nicht im Lift",IF(AN914&gt;=1,"Lift",IF(AN914&lt;=0,"Aussenlager","teilweise")))))</f>
        <v/>
      </c>
      <c r="BH914" s="48" t="str">
        <f aca="false">IF(AR914&lt;=0,"",IF(CC914="Aussen","Aussenlager",IF(CC914="-","Nicht im Lift",IF(AW914&gt;=1,"Lift",IF(AW914&lt;=0,"Aussenlager","teilweise")))))</f>
        <v>Aussenlager</v>
      </c>
      <c r="BI914" s="48" t="str">
        <f aca="false">IF(BA914&lt;=0,"",IF(CC914="Aussen","Aussenlager",IF(CC914="-","Nicht im Lift",IF(BF914&gt;=1,"Lift",IF(BF914&lt;=0,"Aussenlager","teilweise")))))</f>
        <v>Aussenlager</v>
      </c>
      <c r="BJ914" s="48" t="str">
        <f aca="false">IF(A914="","",IF(BS914=1,"Neu; ","")&amp;IF(AND(BS914=0,BN914&lt;0),"negativer Bestand (Export "&amp;BN914&amp;"); ","")&amp;IF(J914&lt;=0,"Kein Verbrauch; ","")&amp;IF(CL914&gt;0,"Lift "&amp;W914&amp;" lt. Liftbericht (Fach "&amp;X914&amp;" Stk); ",IF(BX914=1,"Gebinde geschätzt ("&amp;T914&amp;"); ",IF(BW914=1,"Lose – Tablare geschätzt; ","")))&amp;IF(H914&gt;AT914,"Überbestand "&amp;ROUND(H914-AT914,0)&amp;" Stk / CHF "&amp;ROUND((H914-AT914)*G914,0)&amp;"; ","")&amp;IF(AND(CE914=1,CF914&lt;CG914),"MAX &lt; MB+LG; ","")&amp;IF(AND(CK914&gt;0,CJ914*10&gt;CK914),"zu hoch für Tablar; ","")&amp;IF(AND(BS914=0,OR(CE914=1,AA914&lt;&gt;"",U914&lt;&gt;"",V914&lt;&gt;"",AB914&lt;&gt;"")),"manuell übersteuert; ","")&amp;IF(AND(BW914=0,R914=0),"Gebinde unbekannt / Stellmass fehlt; ","")&amp;IF(AND(BW914=0,N(V914)&lt;=0,N(Q914)&lt;=0),"Menge pro Gebinde fehlt (Ist = 1 Gebinde); ","")&amp;BR914)</f>
        <v>negativer Bestand (Export -51); Kein Verbrauch; Gebinde geschätzt (Klein); Menge pro Gebinde fehlt (Ist = 1 Gebinde); </v>
      </c>
      <c r="BK914" s="48"/>
      <c r="BL914" s="48"/>
      <c r="BM914" s="55"/>
      <c r="BN914" s="50" t="n">
        <v>-51</v>
      </c>
      <c r="BO914" s="50" t="n">
        <v>51</v>
      </c>
      <c r="BP914" s="49" t="n">
        <v>-38.76</v>
      </c>
      <c r="BQ914" s="50" t="n">
        <v>0</v>
      </c>
      <c r="BR914" s="48"/>
      <c r="BS914" s="53" t="n">
        <v>0</v>
      </c>
      <c r="BT914" s="53" t="n">
        <v>914</v>
      </c>
      <c r="BU914" s="48" t="str">
        <f aca="false">IF(U914&lt;&gt;"",UPPER(TRIM(U914)),IF(BX914=1,UPPER(VLOOKUP(T914,Parameter!$I$27:$K$29,2,0)),IF(P914="","LOSE",P914)))</f>
        <v>S51</v>
      </c>
      <c r="BV914" s="50" t="n">
        <f aca="false">IF(BU914="LOSE",1,IF(N(V914)&gt;0,V914,IF(BX914=1,MAX(1,N(VLOOKUP(T914,Parameter!$I$27:$K$29,3,0)),H914,N(N914)),IF(N(Q914)&gt;0,Q914,MAX(1,H914)))))</f>
        <v>20</v>
      </c>
      <c r="BW914" s="53" t="n">
        <f aca="false">IF(BU914="LOSE",1,0)</f>
        <v>0</v>
      </c>
      <c r="BX914" s="53" t="n">
        <f aca="false">IF(AND(U914="",OR(P914="",P914="LOSE"),T914&lt;&gt;"",N(S914)&lt;=0,ISNUMBER(MATCH(T914,Parameter!$I$27:$I$29,0))),1,0)</f>
        <v>1</v>
      </c>
      <c r="BY914" s="53" t="n">
        <f aca="false">IF(CL914&gt;0,INDEX(Parameter!$H$5:$H$7,W914)/INDEX(Parameter!$E$5:$E$7,W914),IF(AND(BW914=0,N(IFERROR(VLOOKUP(BU914,'Gebinde-Kategorie'!$A$5:$N$45,14,0),0))&gt;0),VLOOKUP(BU914,'Gebinde-Kategorie'!$A$5:$N$45,14,0)*10+Parameter!$M$23,Parameter!$M$24))</f>
        <v>155</v>
      </c>
      <c r="BZ914" s="48" t="str">
        <f aca="false">IF(AND(Parameter!$B$19="Ja",E914&lt;&gt;"",ISNUMBER(MATCH(E914,Parameter!$I$35:$I$52,0))),VLOOKUP(E914,Parameter!$I$35:$J$52,2,0),IFERROR(VLOOKUP(D914,Parameter!$A$35:$C$64,2,0),"Nein"))</f>
        <v>2+3</v>
      </c>
      <c r="CA914" s="52" t="n">
        <f aca="false">IF(BW914=0,0,IF(N(S914)&gt;0,S914,IFERROR(VLOOKUP(D914,Parameter!$A$35:$C$64,3,0)+0,0)))</f>
        <v>0</v>
      </c>
      <c r="CB914" s="48" t="n">
        <f aca="false">IF(AA914&lt;&gt;"",AA914,Z914)</f>
        <v>3</v>
      </c>
      <c r="CC914" s="48" t="str">
        <f aca="false">IF(OR(CB914=1,CB914=2,CB914=3),IF(Parameter!$E$27="Ja","LIFT",IF(CB914=1,"L1","L23")),IF(CB914="Aussen","Aussen","-"))</f>
        <v>LIFT</v>
      </c>
      <c r="CD914" s="59" t="n">
        <f aca="false">IF(N(AB914)&gt;0,AB914,0)</f>
        <v>0</v>
      </c>
      <c r="CE914" s="53" t="n">
        <f aca="false">IF(ISNUMBER(AE914),1,0)</f>
        <v>0</v>
      </c>
      <c r="CF914" s="50" t="n">
        <f aca="false">N(AE914)</f>
        <v>0</v>
      </c>
      <c r="CG914" s="50" t="n">
        <f aca="false">N(M914)+N(N914)</f>
        <v>1</v>
      </c>
      <c r="CH914" s="50" t="n">
        <f aca="false">ROUNDUP(H914/BV914,0)</f>
        <v>0</v>
      </c>
      <c r="CI914" s="50" t="n">
        <f aca="false">ROUNDUP(CF914/BV914,0)</f>
        <v>0</v>
      </c>
      <c r="CJ914" s="53" t="n">
        <f aca="false">IF(BW914=1,0,IFERROR(VLOOKUP(BU914,'Gebinde-Kategorie'!$A$5:$N$45,5,0)+0,0))</f>
        <v>11</v>
      </c>
      <c r="CK914" s="53" t="n">
        <f aca="false">IFERROR(IF(OR(CB914=1,CB914=2,CB914=3),N(INDEX(Parameter!$I$5:$I$7,CB914)),0),0)</f>
        <v>0</v>
      </c>
      <c r="CL914" s="52" t="n">
        <f aca="false">IF(AND(Parameter!$B$21="Ja",ISNUMBER(W914),N(X914)&gt;0),IFERROR(N(INDEX(Parameter!$L$5:$L$7,W914))*INDEX(Parameter!$E$5:$E$7,W914)*X914/SUMIFS($X$7:$X$1843,$W$7:$W$1843,W914),0),0)</f>
        <v>0</v>
      </c>
    </row>
    <row r="915" customFormat="false" ht="15" hidden="false" customHeight="false" outlineLevel="0" collapsed="false">
      <c r="A915" s="48" t="s">
        <v>1717</v>
      </c>
      <c r="B915" s="48" t="s">
        <v>1718</v>
      </c>
      <c r="C915" s="48" t="s">
        <v>168</v>
      </c>
      <c r="D915" s="48" t="s">
        <v>177</v>
      </c>
      <c r="E915" s="48"/>
      <c r="F915" s="48" t="s">
        <v>222</v>
      </c>
      <c r="G915" s="49" t="n">
        <v>2.09</v>
      </c>
      <c r="H915" s="50" t="n">
        <f aca="false">MAX(0,IF(AND(Parameter!$B$21="Ja",ISNUMBER(Y915)),Y915,IF(Parameter!$B$20="Jahresanfang 2025 + Export",BO915+BN915,BN915)))</f>
        <v>100</v>
      </c>
      <c r="I915" s="50" t="n">
        <f aca="false">H915*G915</f>
        <v>209</v>
      </c>
      <c r="J915" s="50" t="n">
        <f aca="false">BQ915*Parameter!$B$18</f>
        <v>160</v>
      </c>
      <c r="K915" s="51" t="n">
        <v>100</v>
      </c>
      <c r="L915" s="52" t="n">
        <v>1.6</v>
      </c>
      <c r="M915" s="50" t="n">
        <v>25</v>
      </c>
      <c r="N915" s="50" t="n">
        <v>100</v>
      </c>
      <c r="O915" s="53" t="n">
        <v>28</v>
      </c>
      <c r="P915" s="48" t="s">
        <v>172</v>
      </c>
      <c r="Q915" s="50"/>
      <c r="R915" s="53" t="n">
        <f aca="false">IF(BW915=1,0,IFERROR(VLOOKUP(BU915,'Gebinde-Kategorie'!$A$5:$N$45,13,0)+0,0))</f>
        <v>4</v>
      </c>
      <c r="S915" s="54"/>
      <c r="T915" s="55" t="s">
        <v>193</v>
      </c>
      <c r="U915" s="55"/>
      <c r="V915" s="55"/>
      <c r="W915" s="48"/>
      <c r="X915" s="50"/>
      <c r="Y915" s="50"/>
      <c r="Z915" s="48" t="n">
        <f aca="false">IF(A915="","",IF(AND(Parameter!$B$21="Ja",ISNUMBER(W915)),W915,IF(BZ915="2+3",IF(ISNUMBER(SEARCH("grosser Artikel",BR915)),2,IFERROR(VLOOKUP(BU915,Parameter!$F$35:$G$64,2,0),2)),IF(OR(BZ915="Nein",BZ915=""),"-",BZ915))))</f>
        <v>2</v>
      </c>
      <c r="AA915" s="55"/>
      <c r="AB915" s="56"/>
      <c r="AC915" s="50" t="n">
        <f aca="false">AT915</f>
        <v>200</v>
      </c>
      <c r="AD915" s="50" t="n">
        <f aca="false">MAX(AT915,H915)</f>
        <v>200</v>
      </c>
      <c r="AE915" s="57"/>
      <c r="AF915" s="50" t="n">
        <f aca="false">IF(LEFT(Cockpit!$C$5,1)="A",H915,IF(CE915=1,CF915,IF(LEFT(Cockpit!$C$5,1)="B",AK915,MAX(AK915,H915))))</f>
        <v>100</v>
      </c>
      <c r="AG915" s="50" t="n">
        <f aca="false">IF(BW915=1,0,ROUNDUP(AF915/BV915,0))</f>
        <v>1</v>
      </c>
      <c r="AH915" s="52" t="n">
        <f aca="false">IF(CL915&gt;0,CL915*MAX(1,AF915/X915),IF(BW915=1,IF(AF915&lt;=0,0,CA915*MAX(1,IF(H915&gt;0,AF915/H915,1))),IF(R915&gt;0,AG915/R915,0))/MAX(0.1,N(Parameter!$M$21)))</f>
        <v>0.25</v>
      </c>
      <c r="AI915" s="50" t="n">
        <f aca="false">AH915*BY915</f>
        <v>58.75</v>
      </c>
      <c r="AJ915" s="50" t="n">
        <f aca="false">AF915*G915</f>
        <v>209</v>
      </c>
      <c r="AK915" s="50" t="n">
        <f aca="false">ROUNDUP(MAX(J915/IF(CD915&gt;0,CD915,MAX(0.1,N(Cockpit!$C$6))),CG915)/BV915,0)*BV915</f>
        <v>200</v>
      </c>
      <c r="AL915" s="51" t="n">
        <f aca="false">IF(AI915&gt;0,J915/AI915,-1)</f>
        <v>2.72340425531915</v>
      </c>
      <c r="AM915" s="51" t="n">
        <f aca="false">IF(AND(OR(CC915="L1",CC915="L23",CC915="LIFT"),AI915&gt;0),SUMIFS($AI$7:$AI$1843,$CC$7:$CC$1843,CC915,$AL$7:$AL$1843,"&gt;"&amp;AL915)+SUMIFS($AI$7:$AI$1843,$CC$7:$CC$1843,CC915,$AL$7:$AL$1843,AL915,$BT$7:$BT$1843,"&lt;="&amp;BT915),"")</f>
        <v>5317.87957875458</v>
      </c>
      <c r="AN915" s="58" t="n">
        <f aca="false">IF(AM915="",0,MAX(0,MIN(1,(IF(CC915="L1",Parameter!$H$5,IF(CC915="L23",Parameter!$H$6+Parameter!$H$7,Parameter!$H$5+Parameter!$H$6+Parameter!$H$7))-(AM915-AI915))/AI915)))</f>
        <v>1</v>
      </c>
      <c r="AO915" s="50" t="n">
        <f aca="false">IF(LEFT(Cockpit!$I$5,1)="A",H915,IF(CE915=1,CF915,IF(LEFT(Cockpit!$I$5,1)="B",AT915,MAX(AT915,H915))))</f>
        <v>200</v>
      </c>
      <c r="AP915" s="50" t="n">
        <f aca="false">IF(BW915=1,0,ROUNDUP(AO915/BV915,0))</f>
        <v>2</v>
      </c>
      <c r="AQ915" s="52" t="n">
        <f aca="false">IF(CL915&gt;0,CL915*MAX(1,AO915/X915),IF(BW915=1,IF(AO915&lt;=0,0,CA915*MAX(1,IF(H915&gt;0,AO915/H915,1))),IF(R915&gt;0,AP915/R915,0))/MAX(0.1,N(Parameter!$M$21)))</f>
        <v>0.5</v>
      </c>
      <c r="AR915" s="50" t="n">
        <f aca="false">AQ915*BY915</f>
        <v>117.5</v>
      </c>
      <c r="AS915" s="50" t="n">
        <f aca="false">AO915*G915</f>
        <v>418</v>
      </c>
      <c r="AT915" s="50" t="n">
        <f aca="false">ROUNDUP(MAX(J915/IF(CD915&gt;0,CD915,MAX(0.1,N(Cockpit!$I$6))),CG915)/BV915,0)*BV915</f>
        <v>200</v>
      </c>
      <c r="AU915" s="51" t="n">
        <f aca="false">IF(AR915&gt;0,J915/AR915,-1)</f>
        <v>1.36170212765957</v>
      </c>
      <c r="AV915" s="51" t="n">
        <f aca="false">IF(AND(OR(CC915="L1",CC915="L23",CC915="LIFT"),AR915&gt;0),SUMIFS($AR$7:$AR$1843,$CC$7:$CC$1843,CC915,$AU$7:$AU$1843,"&gt;"&amp;AU915)+SUMIFS($AR$7:$AR$1843,$CC$7:$CC$1843,CC915,$AU$7:$AU$1843,AU915,$BT$7:$BT$1843,"&lt;="&amp;BT915),"")</f>
        <v>9260.28937728938</v>
      </c>
      <c r="AW915" s="58" t="n">
        <f aca="false">IF(AV915="",0,MAX(0,MIN(1,(IF(CC915="L1",Parameter!$H$5,IF(CC915="L23",Parameter!$H$6+Parameter!$H$7,Parameter!$H$5+Parameter!$H$6+Parameter!$H$7))-(AV915-AR915))/AR915)))</f>
        <v>1</v>
      </c>
      <c r="AX915" s="50" t="n">
        <f aca="false">IF(LEFT(Cockpit!$O$5,1)="A",H915,IF(CE915=1,CF915,IF(LEFT(Cockpit!$O$5,1)="B",BC915,MAX(BC915,H915))))</f>
        <v>200</v>
      </c>
      <c r="AY915" s="50" t="n">
        <f aca="false">IF(BW915=1,0,ROUNDUP(AX915/BV915,0))</f>
        <v>2</v>
      </c>
      <c r="AZ915" s="52" t="n">
        <f aca="false">IF(CL915&gt;0,CL915*MAX(1,AX915/X915),IF(BW915=1,IF(AX915&lt;=0,0,CA915*MAX(1,IF(H915&gt;0,AX915/H915,1))),IF(R915&gt;0,AY915/R915,0))/MAX(0.1,N(Parameter!$M$21)))</f>
        <v>0.5</v>
      </c>
      <c r="BA915" s="50" t="n">
        <f aca="false">AZ915*BY915</f>
        <v>117.5</v>
      </c>
      <c r="BB915" s="50" t="n">
        <f aca="false">AX915*G915</f>
        <v>418</v>
      </c>
      <c r="BC915" s="50" t="n">
        <f aca="false">ROUNDUP(MAX(J915/IF(CD915&gt;0,CD915,MAX(0.1,N(Cockpit!$O$6))),CG915)/BV915,0)*BV915</f>
        <v>200</v>
      </c>
      <c r="BD915" s="51" t="n">
        <f aca="false">IF(BA915&gt;0,J915/BA915,-1)</f>
        <v>1.36170212765957</v>
      </c>
      <c r="BE915" s="51" t="n">
        <f aca="false">IF(AND(OR(CC915="L1",CC915="L23",CC915="LIFT"),BA915&gt;0),SUMIFS($BA$7:$BA$1843,$CC$7:$CC$1843,CC915,$BD$7:$BD$1843,"&gt;"&amp;BD915)+SUMIFS($BA$7:$BA$1843,$CC$7:$CC$1843,CC915,$BD$7:$BD$1843,BD915,$BT$7:$BT$1843,"&lt;="&amp;BT915),"")</f>
        <v>8563.44642857143</v>
      </c>
      <c r="BF915" s="58" t="n">
        <f aca="false">IF(BE915="",0,MAX(0,MIN(1,(IF(CC915="L1",Parameter!$H$5,IF(CC915="L23",Parameter!$H$6+Parameter!$H$7,Parameter!$H$5+Parameter!$H$6+Parameter!$H$7))-(BE915-BA915))/BA915)))</f>
        <v>1</v>
      </c>
      <c r="BG915" s="48" t="str">
        <f aca="false">IF(AI915&lt;=0,"",IF(CC915="Aussen","Aussenlager",IF(CC915="-","Nicht im Lift",IF(AN915&gt;=1,"Lift",IF(AN915&lt;=0,"Aussenlager","teilweise")))))</f>
        <v>Lift</v>
      </c>
      <c r="BH915" s="48" t="str">
        <f aca="false">IF(AR915&lt;=0,"",IF(CC915="Aussen","Aussenlager",IF(CC915="-","Nicht im Lift",IF(AW915&gt;=1,"Lift",IF(AW915&lt;=0,"Aussenlager","teilweise")))))</f>
        <v>Lift</v>
      </c>
      <c r="BI915" s="48" t="str">
        <f aca="false">IF(BA915&lt;=0,"",IF(CC915="Aussen","Aussenlager",IF(CC915="-","Nicht im Lift",IF(BF915&gt;=1,"Lift",IF(BF915&lt;=0,"Aussenlager","teilweise")))))</f>
        <v>Lift</v>
      </c>
      <c r="BJ915" s="48" t="str">
        <f aca="false">IF(A915="","",IF(BS915=1,"Neu; ","")&amp;IF(AND(BS915=0,BN915&lt;0),"negativer Bestand (Export "&amp;BN915&amp;"); ","")&amp;IF(J915&lt;=0,"Kein Verbrauch; ","")&amp;IF(CL915&gt;0,"Lift "&amp;W915&amp;" lt. Liftbericht (Fach "&amp;X915&amp;" Stk); ",IF(BX915=1,"Gebinde geschätzt ("&amp;T915&amp;"); ",IF(BW915=1,"Lose – Tablare geschätzt; ","")))&amp;IF(H915&gt;AT915,"Überbestand "&amp;ROUND(H915-AT915,0)&amp;" Stk / CHF "&amp;ROUND((H915-AT915)*G915,0)&amp;"; ","")&amp;IF(AND(CE915=1,CF915&lt;CG915),"MAX &lt; MB+LG; ","")&amp;IF(AND(CK915&gt;0,CJ915*10&gt;CK915),"zu hoch für Tablar; ","")&amp;IF(AND(BS915=0,OR(CE915=1,AA915&lt;&gt;"",U915&lt;&gt;"",V915&lt;&gt;"",AB915&lt;&gt;"")),"manuell übersteuert; ","")&amp;IF(AND(BW915=0,R915=0),"Gebinde unbekannt / Stellmass fehlt; ","")&amp;IF(AND(BW915=0,N(V915)&lt;=0,N(Q915)&lt;=0),"Menge pro Gebinde fehlt (Ist = 1 Gebinde); ","")&amp;BR915)</f>
        <v>Gebinde geschätzt (Gross); Menge pro Gebinde fehlt (Ist = 1 Gebinde); </v>
      </c>
      <c r="BK915" s="48"/>
      <c r="BL915" s="48"/>
      <c r="BM915" s="55"/>
      <c r="BN915" s="50" t="n">
        <v>0</v>
      </c>
      <c r="BO915" s="50" t="n">
        <v>100</v>
      </c>
      <c r="BP915" s="49" t="n">
        <v>-40</v>
      </c>
      <c r="BQ915" s="50" t="n">
        <v>160</v>
      </c>
      <c r="BR915" s="48"/>
      <c r="BS915" s="53" t="n">
        <v>0</v>
      </c>
      <c r="BT915" s="53" t="n">
        <v>915</v>
      </c>
      <c r="BU915" s="48" t="str">
        <f aca="false">IF(U915&lt;&gt;"",UPPER(TRIM(U915)),IF(BX915=1,UPPER(VLOOKUP(T915,Parameter!$I$27:$K$29,2,0)),IF(P915="","LOSE",P915)))</f>
        <v>S81</v>
      </c>
      <c r="BV915" s="50" t="n">
        <f aca="false">IF(BU915="LOSE",1,IF(N(V915)&gt;0,V915,IF(BX915=1,MAX(1,N(VLOOKUP(T915,Parameter!$I$27:$K$29,3,0)),H915,N(N915)),IF(N(Q915)&gt;0,Q915,MAX(1,H915)))))</f>
        <v>100</v>
      </c>
      <c r="BW915" s="53" t="n">
        <f aca="false">IF(BU915="LOSE",1,0)</f>
        <v>0</v>
      </c>
      <c r="BX915" s="53" t="n">
        <f aca="false">IF(AND(U915="",OR(P915="",P915="LOSE"),T915&lt;&gt;"",N(S915)&lt;=0,ISNUMBER(MATCH(T915,Parameter!$I$27:$I$29,0))),1,0)</f>
        <v>1</v>
      </c>
      <c r="BY915" s="53" t="n">
        <f aca="false">IF(CL915&gt;0,INDEX(Parameter!$H$5:$H$7,W915)/INDEX(Parameter!$E$5:$E$7,W915),IF(AND(BW915=0,N(IFERROR(VLOOKUP(BU915,'Gebinde-Kategorie'!$A$5:$N$45,14,0),0))&gt;0),VLOOKUP(BU915,'Gebinde-Kategorie'!$A$5:$N$45,14,0)*10+Parameter!$M$23,Parameter!$M$24))</f>
        <v>235</v>
      </c>
      <c r="BZ915" s="48" t="str">
        <f aca="false">IF(AND(Parameter!$B$19="Ja",E915&lt;&gt;"",ISNUMBER(MATCH(E915,Parameter!$I$35:$I$52,0))),VLOOKUP(E915,Parameter!$I$35:$J$52,2,0),IFERROR(VLOOKUP(D915,Parameter!$A$35:$C$64,2,0),"Nein"))</f>
        <v>2+3</v>
      </c>
      <c r="CA915" s="52" t="n">
        <f aca="false">IF(BW915=0,0,IF(N(S915)&gt;0,S915,IFERROR(VLOOKUP(D915,Parameter!$A$35:$C$64,3,0)+0,0)))</f>
        <v>0</v>
      </c>
      <c r="CB915" s="48" t="n">
        <f aca="false">IF(AA915&lt;&gt;"",AA915,Z915)</f>
        <v>2</v>
      </c>
      <c r="CC915" s="48" t="str">
        <f aca="false">IF(OR(CB915=1,CB915=2,CB915=3),IF(Parameter!$E$27="Ja","LIFT",IF(CB915=1,"L1","L23")),IF(CB915="Aussen","Aussen","-"))</f>
        <v>LIFT</v>
      </c>
      <c r="CD915" s="59" t="n">
        <f aca="false">IF(N(AB915)&gt;0,AB915,0)</f>
        <v>0</v>
      </c>
      <c r="CE915" s="53" t="n">
        <f aca="false">IF(ISNUMBER(AE915),1,0)</f>
        <v>0</v>
      </c>
      <c r="CF915" s="50" t="n">
        <f aca="false">N(AE915)</f>
        <v>0</v>
      </c>
      <c r="CG915" s="50" t="n">
        <f aca="false">N(M915)+N(N915)</f>
        <v>125</v>
      </c>
      <c r="CH915" s="50" t="n">
        <f aca="false">ROUNDUP(H915/BV915,0)</f>
        <v>1</v>
      </c>
      <c r="CI915" s="50" t="n">
        <f aca="false">ROUNDUP(CF915/BV915,0)</f>
        <v>0</v>
      </c>
      <c r="CJ915" s="53" t="n">
        <f aca="false">IF(BW915=1,0,IFERROR(VLOOKUP(BU915,'Gebinde-Kategorie'!$A$5:$N$45,5,0)+0,0))</f>
        <v>20</v>
      </c>
      <c r="CK915" s="53" t="n">
        <f aca="false">IFERROR(IF(OR(CB915=1,CB915=2,CB915=3),N(INDEX(Parameter!$I$5:$I$7,CB915)),0),0)</f>
        <v>0</v>
      </c>
      <c r="CL915" s="52" t="n">
        <f aca="false">IF(AND(Parameter!$B$21="Ja",ISNUMBER(W915),N(X915)&gt;0),IFERROR(N(INDEX(Parameter!$L$5:$L$7,W915))*INDEX(Parameter!$E$5:$E$7,W915)*X915/SUMIFS($X$7:$X$1843,$W$7:$W$1843,W915),0),0)</f>
        <v>0</v>
      </c>
    </row>
    <row r="916" customFormat="false" ht="15" hidden="false" customHeight="false" outlineLevel="0" collapsed="false">
      <c r="A916" s="48" t="s">
        <v>1719</v>
      </c>
      <c r="B916" s="48" t="s">
        <v>1720</v>
      </c>
      <c r="C916" s="48" t="s">
        <v>168</v>
      </c>
      <c r="D916" s="48" t="s">
        <v>188</v>
      </c>
      <c r="E916" s="48" t="s">
        <v>189</v>
      </c>
      <c r="F916" s="48" t="s">
        <v>222</v>
      </c>
      <c r="G916" s="49" t="n">
        <v>14.19</v>
      </c>
      <c r="H916" s="50" t="n">
        <f aca="false">MAX(0,IF(AND(Parameter!$B$21="Ja",ISNUMBER(Y916)),Y916,IF(Parameter!$B$20="Jahresanfang 2025 + Export",BO916+BN916,BN916)))</f>
        <v>32.3</v>
      </c>
      <c r="I916" s="50" t="n">
        <f aca="false">H916*G916</f>
        <v>458.337</v>
      </c>
      <c r="J916" s="50" t="n">
        <f aca="false">BQ916*Parameter!$B$18</f>
        <v>0.3</v>
      </c>
      <c r="K916" s="51" t="n">
        <v>44.9</v>
      </c>
      <c r="L916" s="52" t="n">
        <v>0.0066815144766147</v>
      </c>
      <c r="M916" s="50" t="n">
        <v>0</v>
      </c>
      <c r="N916" s="50" t="n">
        <v>1</v>
      </c>
      <c r="O916" s="53" t="n">
        <v>21</v>
      </c>
      <c r="P916" s="48" t="s">
        <v>306</v>
      </c>
      <c r="Q916" s="50" t="n">
        <v>35</v>
      </c>
      <c r="R916" s="53" t="n">
        <f aca="false">IF(BW916=1,0,IFERROR(VLOOKUP(BU916,'Gebinde-Kategorie'!$A$5:$N$45,13,0)+0,0))</f>
        <v>26</v>
      </c>
      <c r="S916" s="54"/>
      <c r="T916" s="55"/>
      <c r="U916" s="55"/>
      <c r="V916" s="55"/>
      <c r="W916" s="48"/>
      <c r="X916" s="50"/>
      <c r="Y916" s="50"/>
      <c r="Z916" s="48" t="n">
        <f aca="false">IF(A916="","",IF(AND(Parameter!$B$21="Ja",ISNUMBER(W916)),W916,IF(BZ916="2+3",IF(ISNUMBER(SEARCH("grosser Artikel",BR916)),2,IFERROR(VLOOKUP(BU916,Parameter!$F$35:$G$64,2,0),2)),IF(OR(BZ916="Nein",BZ916=""),"-",BZ916))))</f>
        <v>3</v>
      </c>
      <c r="AA916" s="55"/>
      <c r="AB916" s="56"/>
      <c r="AC916" s="50" t="n">
        <f aca="false">AT916</f>
        <v>35</v>
      </c>
      <c r="AD916" s="50" t="n">
        <f aca="false">MAX(AT916,H916)</f>
        <v>35</v>
      </c>
      <c r="AE916" s="57"/>
      <c r="AF916" s="50" t="n">
        <f aca="false">IF(LEFT(Cockpit!$C$5,1)="A",H916,IF(CE916=1,CF916,IF(LEFT(Cockpit!$C$5,1)="B",AK916,MAX(AK916,H916))))</f>
        <v>32.3</v>
      </c>
      <c r="AG916" s="50" t="n">
        <f aca="false">IF(BW916=1,0,ROUNDUP(AF916/BV916,0))</f>
        <v>1</v>
      </c>
      <c r="AH916" s="52" t="n">
        <f aca="false">IF(CL916&gt;0,CL916*MAX(1,AF916/X916),IF(BW916=1,IF(AF916&lt;=0,0,CA916*MAX(1,IF(H916&gt;0,AF916/H916,1))),IF(R916&gt;0,AG916/R916,0))/MAX(0.1,N(Parameter!$M$21)))</f>
        <v>0.0384615384615385</v>
      </c>
      <c r="AI916" s="50" t="n">
        <f aca="false">AH916*BY916</f>
        <v>5.96153846153846</v>
      </c>
      <c r="AJ916" s="50" t="n">
        <f aca="false">AF916*G916</f>
        <v>458.337</v>
      </c>
      <c r="AK916" s="50" t="n">
        <f aca="false">ROUNDUP(MAX(J916/IF(CD916&gt;0,CD916,MAX(0.1,N(Cockpit!$C$6))),CG916)/BV916,0)*BV916</f>
        <v>35</v>
      </c>
      <c r="AL916" s="51" t="n">
        <f aca="false">IF(AI916&gt;0,J916/AI916,-1)</f>
        <v>0.0503225806451613</v>
      </c>
      <c r="AM916" s="51" t="n">
        <f aca="false">IF(AND(OR(CC916="L1",CC916="L23",CC916="LIFT"),AI916&gt;0),SUMIFS($AI$7:$AI$1843,$CC$7:$CC$1843,CC916,$AL$7:$AL$1843,"&gt;"&amp;AL916)+SUMIFS($AI$7:$AI$1843,$CC$7:$CC$1843,CC916,$AL$7:$AL$1843,AL916,$BT$7:$BT$1843,"&lt;="&amp;BT916),"")</f>
        <v>19323.7739931914</v>
      </c>
      <c r="AN916" s="58" t="n">
        <f aca="false">IF(AM916="",0,MAX(0,MIN(1,(IF(CC916="L1",Parameter!$H$5,IF(CC916="L23",Parameter!$H$6+Parameter!$H$7,Parameter!$H$5+Parameter!$H$6+Parameter!$H$7))-(AM916-AI916))/AI916)))</f>
        <v>1</v>
      </c>
      <c r="AO916" s="50" t="n">
        <f aca="false">IF(LEFT(Cockpit!$I$5,1)="A",H916,IF(CE916=1,CF916,IF(LEFT(Cockpit!$I$5,1)="B",AT916,MAX(AT916,H916))))</f>
        <v>35</v>
      </c>
      <c r="AP916" s="50" t="n">
        <f aca="false">IF(BW916=1,0,ROUNDUP(AO916/BV916,0))</f>
        <v>1</v>
      </c>
      <c r="AQ916" s="52" t="n">
        <f aca="false">IF(CL916&gt;0,CL916*MAX(1,AO916/X916),IF(BW916=1,IF(AO916&lt;=0,0,CA916*MAX(1,IF(H916&gt;0,AO916/H916,1))),IF(R916&gt;0,AP916/R916,0))/MAX(0.1,N(Parameter!$M$21)))</f>
        <v>0.0384615384615385</v>
      </c>
      <c r="AR916" s="50" t="n">
        <f aca="false">AQ916*BY916</f>
        <v>5.96153846153846</v>
      </c>
      <c r="AS916" s="50" t="n">
        <f aca="false">AO916*G916</f>
        <v>496.65</v>
      </c>
      <c r="AT916" s="50" t="n">
        <f aca="false">ROUNDUP(MAX(J916/IF(CD916&gt;0,CD916,MAX(0.1,N(Cockpit!$I$6))),CG916)/BV916,0)*BV916</f>
        <v>35</v>
      </c>
      <c r="AU916" s="51" t="n">
        <f aca="false">IF(AR916&gt;0,J916/AR916,-1)</f>
        <v>0.0503225806451613</v>
      </c>
      <c r="AV916" s="51" t="n">
        <f aca="false">IF(AND(OR(CC916="L1",CC916="L23",CC916="LIFT"),AR916&gt;0),SUMIFS($AR$7:$AR$1843,$CC$7:$CC$1843,CC916,$AU$7:$AU$1843,"&gt;"&amp;AU916)+SUMIFS($AR$7:$AR$1843,$CC$7:$CC$1843,CC916,$AU$7:$AU$1843,AU916,$BT$7:$BT$1843,"&lt;="&amp;BT916),"")</f>
        <v>30158.5815820244</v>
      </c>
      <c r="AW916" s="58" t="n">
        <f aca="false">IF(AV916="",0,MAX(0,MIN(1,(IF(CC916="L1",Parameter!$H$5,IF(CC916="L23",Parameter!$H$6+Parameter!$H$7,Parameter!$H$5+Parameter!$H$6+Parameter!$H$7))-(AV916-AR916))/AR916)))</f>
        <v>1</v>
      </c>
      <c r="AX916" s="50" t="n">
        <f aca="false">IF(LEFT(Cockpit!$O$5,1)="A",H916,IF(CE916=1,CF916,IF(LEFT(Cockpit!$O$5,1)="B",BC916,MAX(BC916,H916))))</f>
        <v>35</v>
      </c>
      <c r="AY916" s="50" t="n">
        <f aca="false">IF(BW916=1,0,ROUNDUP(AX916/BV916,0))</f>
        <v>1</v>
      </c>
      <c r="AZ916" s="52" t="n">
        <f aca="false">IF(CL916&gt;0,CL916*MAX(1,AX916/X916),IF(BW916=1,IF(AX916&lt;=0,0,CA916*MAX(1,IF(H916&gt;0,AX916/H916,1))),IF(R916&gt;0,AY916/R916,0))/MAX(0.1,N(Parameter!$M$21)))</f>
        <v>0.0384615384615385</v>
      </c>
      <c r="BA916" s="50" t="n">
        <f aca="false">AZ916*BY916</f>
        <v>5.96153846153846</v>
      </c>
      <c r="BB916" s="50" t="n">
        <f aca="false">AX916*G916</f>
        <v>496.65</v>
      </c>
      <c r="BC916" s="50" t="n">
        <f aca="false">ROUNDUP(MAX(J916/IF(CD916&gt;0,CD916,MAX(0.1,N(Cockpit!$O$6))),CG916)/BV916,0)*BV916</f>
        <v>35</v>
      </c>
      <c r="BD916" s="51" t="n">
        <f aca="false">IF(BA916&gt;0,J916/BA916,-1)</f>
        <v>0.0503225806451613</v>
      </c>
      <c r="BE916" s="51" t="n">
        <f aca="false">IF(AND(OR(CC916="L1",CC916="L23",CC916="LIFT"),BA916&gt;0),SUMIFS($BA$7:$BA$1843,$CC$7:$CC$1843,CC916,$BD$7:$BD$1843,"&gt;"&amp;BD916)+SUMIFS($BA$7:$BA$1843,$CC$7:$CC$1843,CC916,$BD$7:$BD$1843,BD916,$BT$7:$BT$1843,"&lt;="&amp;BT916),"")</f>
        <v>26833.5936238902</v>
      </c>
      <c r="BF916" s="58" t="n">
        <f aca="false">IF(BE916="",0,MAX(0,MIN(1,(IF(CC916="L1",Parameter!$H$5,IF(CC916="L23",Parameter!$H$6+Parameter!$H$7,Parameter!$H$5+Parameter!$H$6+Parameter!$H$7))-(BE916-BA916))/BA916)))</f>
        <v>1</v>
      </c>
      <c r="BG916" s="48" t="str">
        <f aca="false">IF(AI916&lt;=0,"",IF(CC916="Aussen","Aussenlager",IF(CC916="-","Nicht im Lift",IF(AN916&gt;=1,"Lift",IF(AN916&lt;=0,"Aussenlager","teilweise")))))</f>
        <v>Lift</v>
      </c>
      <c r="BH916" s="48" t="str">
        <f aca="false">IF(AR916&lt;=0,"",IF(CC916="Aussen","Aussenlager",IF(CC916="-","Nicht im Lift",IF(AW916&gt;=1,"Lift",IF(AW916&lt;=0,"Aussenlager","teilweise")))))</f>
        <v>Lift</v>
      </c>
      <c r="BI916" s="48" t="str">
        <f aca="false">IF(BA916&lt;=0,"",IF(CC916="Aussen","Aussenlager",IF(CC916="-","Nicht im Lift",IF(BF916&gt;=1,"Lift",IF(BF916&lt;=0,"Aussenlager","teilweise")))))</f>
        <v>Lift</v>
      </c>
      <c r="BJ916" s="48" t="str">
        <f aca="false">IF(A916="","",IF(BS916=1,"Neu; ","")&amp;IF(AND(BS916=0,BN916&lt;0),"negativer Bestand (Export "&amp;BN916&amp;"); ","")&amp;IF(J916&lt;=0,"Kein Verbrauch; ","")&amp;IF(CL916&gt;0,"Lift "&amp;W916&amp;" lt. Liftbericht (Fach "&amp;X916&amp;" Stk); ",IF(BX916=1,"Gebinde geschätzt ("&amp;T916&amp;"); ",IF(BW916=1,"Lose – Tablare geschätzt; ","")))&amp;IF(H916&gt;AT916,"Überbestand "&amp;ROUND(H916-AT916,0)&amp;" Stk / CHF "&amp;ROUND((H916-AT916)*G916,0)&amp;"; ","")&amp;IF(AND(CE916=1,CF916&lt;CG916),"MAX &lt; MB+LG; ","")&amp;IF(AND(CK916&gt;0,CJ916*10&gt;CK916),"zu hoch für Tablar; ","")&amp;IF(AND(BS916=0,OR(CE916=1,AA916&lt;&gt;"",U916&lt;&gt;"",V916&lt;&gt;"",AB916&lt;&gt;"")),"manuell übersteuert; ","")&amp;IF(AND(BW916=0,R916=0),"Gebinde unbekannt / Stellmass fehlt; ","")&amp;IF(AND(BW916=0,N(V916)&lt;=0,N(Q916)&lt;=0),"Menge pro Gebinde fehlt (Ist = 1 Gebinde); ","")&amp;BR916)</f>
        <v>negativer Bestand (Export -2.9); </v>
      </c>
      <c r="BK916" s="48"/>
      <c r="BL916" s="48"/>
      <c r="BM916" s="55"/>
      <c r="BN916" s="50" t="n">
        <v>-2.9</v>
      </c>
      <c r="BO916" s="50" t="n">
        <v>35.2</v>
      </c>
      <c r="BP916" s="49" t="n">
        <v>-41.15</v>
      </c>
      <c r="BQ916" s="50" t="n">
        <v>0.3</v>
      </c>
      <c r="BR916" s="48"/>
      <c r="BS916" s="53" t="n">
        <v>0</v>
      </c>
      <c r="BT916" s="53" t="n">
        <v>916</v>
      </c>
      <c r="BU916" s="48" t="str">
        <f aca="false">IF(U916&lt;&gt;"",UPPER(TRIM(U916)),IF(BX916=1,UPPER(VLOOKUP(T916,Parameter!$I$27:$K$29,2,0)),IF(P916="","LOSE",P916)))</f>
        <v>S51</v>
      </c>
      <c r="BV916" s="50" t="n">
        <f aca="false">IF(BU916="LOSE",1,IF(N(V916)&gt;0,V916,IF(BX916=1,MAX(1,N(VLOOKUP(T916,Parameter!$I$27:$K$29,3,0)),H916,N(N916)),IF(N(Q916)&gt;0,Q916,MAX(1,H916)))))</f>
        <v>35</v>
      </c>
      <c r="BW916" s="53" t="n">
        <f aca="false">IF(BU916="LOSE",1,0)</f>
        <v>0</v>
      </c>
      <c r="BX916" s="53" t="n">
        <f aca="false">IF(AND(U916="",OR(P916="",P916="LOSE"),T916&lt;&gt;"",N(S916)&lt;=0,ISNUMBER(MATCH(T916,Parameter!$I$27:$I$29,0))),1,0)</f>
        <v>0</v>
      </c>
      <c r="BY916" s="53" t="n">
        <f aca="false">IF(CL916&gt;0,INDEX(Parameter!$H$5:$H$7,W916)/INDEX(Parameter!$E$5:$E$7,W916),IF(AND(BW916=0,N(IFERROR(VLOOKUP(BU916,'Gebinde-Kategorie'!$A$5:$N$45,14,0),0))&gt;0),VLOOKUP(BU916,'Gebinde-Kategorie'!$A$5:$N$45,14,0)*10+Parameter!$M$23,Parameter!$M$24))</f>
        <v>155</v>
      </c>
      <c r="BZ916" s="48" t="str">
        <f aca="false">IF(AND(Parameter!$B$19="Ja",E916&lt;&gt;"",ISNUMBER(MATCH(E916,Parameter!$I$35:$I$52,0))),VLOOKUP(E916,Parameter!$I$35:$J$52,2,0),IFERROR(VLOOKUP(D916,Parameter!$A$35:$C$64,2,0),"Nein"))</f>
        <v>2+3</v>
      </c>
      <c r="CA916" s="52" t="n">
        <f aca="false">IF(BW916=0,0,IF(N(S916)&gt;0,S916,IFERROR(VLOOKUP(D916,Parameter!$A$35:$C$64,3,0)+0,0)))</f>
        <v>0</v>
      </c>
      <c r="CB916" s="48" t="n">
        <f aca="false">IF(AA916&lt;&gt;"",AA916,Z916)</f>
        <v>3</v>
      </c>
      <c r="CC916" s="48" t="str">
        <f aca="false">IF(OR(CB916=1,CB916=2,CB916=3),IF(Parameter!$E$27="Ja","LIFT",IF(CB916=1,"L1","L23")),IF(CB916="Aussen","Aussen","-"))</f>
        <v>LIFT</v>
      </c>
      <c r="CD916" s="59" t="n">
        <f aca="false">IF(N(AB916)&gt;0,AB916,0)</f>
        <v>0</v>
      </c>
      <c r="CE916" s="53" t="n">
        <f aca="false">IF(ISNUMBER(AE916),1,0)</f>
        <v>0</v>
      </c>
      <c r="CF916" s="50" t="n">
        <f aca="false">N(AE916)</f>
        <v>0</v>
      </c>
      <c r="CG916" s="50" t="n">
        <f aca="false">N(M916)+N(N916)</f>
        <v>1</v>
      </c>
      <c r="CH916" s="50" t="n">
        <f aca="false">ROUNDUP(H916/BV916,0)</f>
        <v>1</v>
      </c>
      <c r="CI916" s="50" t="n">
        <f aca="false">ROUNDUP(CF916/BV916,0)</f>
        <v>0</v>
      </c>
      <c r="CJ916" s="53" t="n">
        <f aca="false">IF(BW916=1,0,IFERROR(VLOOKUP(BU916,'Gebinde-Kategorie'!$A$5:$N$45,5,0)+0,0))</f>
        <v>11</v>
      </c>
      <c r="CK916" s="53" t="n">
        <f aca="false">IFERROR(IF(OR(CB916=1,CB916=2,CB916=3),N(INDEX(Parameter!$I$5:$I$7,CB916)),0),0)</f>
        <v>0</v>
      </c>
      <c r="CL916" s="52" t="n">
        <f aca="false">IF(AND(Parameter!$B$21="Ja",ISNUMBER(W916),N(X916)&gt;0),IFERROR(N(INDEX(Parameter!$L$5:$L$7,W916))*INDEX(Parameter!$E$5:$E$7,W916)*X916/SUMIFS($X$7:$X$1843,$W$7:$W$1843,W916),0),0)</f>
        <v>0</v>
      </c>
    </row>
    <row r="917" customFormat="false" ht="15" hidden="false" customHeight="false" outlineLevel="0" collapsed="false">
      <c r="A917" s="48" t="s">
        <v>1721</v>
      </c>
      <c r="B917" s="48" t="s">
        <v>1294</v>
      </c>
      <c r="C917" s="48" t="s">
        <v>168</v>
      </c>
      <c r="D917" s="48" t="s">
        <v>188</v>
      </c>
      <c r="E917" s="48" t="s">
        <v>189</v>
      </c>
      <c r="F917" s="48" t="s">
        <v>222</v>
      </c>
      <c r="G917" s="49" t="n">
        <v>1.1</v>
      </c>
      <c r="H917" s="50" t="n">
        <f aca="false">MAX(0,IF(AND(Parameter!$B$21="Ja",ISNUMBER(Y917)),Y917,IF(Parameter!$B$20="Jahresanfang 2025 + Export",BO917+BN917,BN917)))</f>
        <v>87</v>
      </c>
      <c r="I917" s="50" t="n">
        <f aca="false">H917*G917</f>
        <v>95.7</v>
      </c>
      <c r="J917" s="50" t="n">
        <f aca="false">BQ917*Parameter!$B$18</f>
        <v>27</v>
      </c>
      <c r="K917" s="51" t="n">
        <v>116.5</v>
      </c>
      <c r="L917" s="52" t="n">
        <v>0.231759656652361</v>
      </c>
      <c r="M917" s="50" t="n">
        <v>1</v>
      </c>
      <c r="N917" s="50" t="n">
        <v>25</v>
      </c>
      <c r="O917" s="53" t="n">
        <v>21</v>
      </c>
      <c r="P917" s="48" t="s">
        <v>230</v>
      </c>
      <c r="Q917" s="50" t="n">
        <v>179</v>
      </c>
      <c r="R917" s="53" t="n">
        <f aca="false">IF(BW917=1,0,IFERROR(VLOOKUP(BU917,'Gebinde-Kategorie'!$A$5:$N$45,13,0)+0,0))</f>
        <v>12</v>
      </c>
      <c r="S917" s="54"/>
      <c r="T917" s="55"/>
      <c r="U917" s="55"/>
      <c r="V917" s="55"/>
      <c r="W917" s="48"/>
      <c r="X917" s="50"/>
      <c r="Y917" s="50"/>
      <c r="Z917" s="48" t="n">
        <f aca="false">IF(A917="","",IF(AND(Parameter!$B$21="Ja",ISNUMBER(W917)),W917,IF(BZ917="2+3",IF(ISNUMBER(SEARCH("grosser Artikel",BR917)),2,IFERROR(VLOOKUP(BU917,Parameter!$F$35:$G$64,2,0),2)),IF(OR(BZ917="Nein",BZ917=""),"-",BZ917))))</f>
        <v>2</v>
      </c>
      <c r="AA917" s="55"/>
      <c r="AB917" s="56"/>
      <c r="AC917" s="50" t="n">
        <f aca="false">AT917</f>
        <v>179</v>
      </c>
      <c r="AD917" s="50" t="n">
        <f aca="false">MAX(AT917,H917)</f>
        <v>179</v>
      </c>
      <c r="AE917" s="57"/>
      <c r="AF917" s="50" t="n">
        <f aca="false">IF(LEFT(Cockpit!$C$5,1)="A",H917,IF(CE917=1,CF917,IF(LEFT(Cockpit!$C$5,1)="B",AK917,MAX(AK917,H917))))</f>
        <v>87</v>
      </c>
      <c r="AG917" s="50" t="n">
        <f aca="false">IF(BW917=1,0,ROUNDUP(AF917/BV917,0))</f>
        <v>1</v>
      </c>
      <c r="AH917" s="52" t="n">
        <f aca="false">IF(CL917&gt;0,CL917*MAX(1,AF917/X917),IF(BW917=1,IF(AF917&lt;=0,0,CA917*MAX(1,IF(H917&gt;0,AF917/H917,1))),IF(R917&gt;0,AG917/R917,0))/MAX(0.1,N(Parameter!$M$21)))</f>
        <v>0.0833333333333333</v>
      </c>
      <c r="AI917" s="50" t="n">
        <f aca="false">AH917*BY917</f>
        <v>28.75</v>
      </c>
      <c r="AJ917" s="50" t="n">
        <f aca="false">AF917*G917</f>
        <v>95.7</v>
      </c>
      <c r="AK917" s="50" t="n">
        <f aca="false">ROUNDUP(MAX(J917/IF(CD917&gt;0,CD917,MAX(0.1,N(Cockpit!$C$6))),CG917)/BV917,0)*BV917</f>
        <v>179</v>
      </c>
      <c r="AL917" s="51" t="n">
        <f aca="false">IF(AI917&gt;0,J917/AI917,-1)</f>
        <v>0.939130434782609</v>
      </c>
      <c r="AM917" s="51" t="n">
        <f aca="false">IF(AND(OR(CC917="L1",CC917="L23",CC917="LIFT"),AI917&gt;0),SUMIFS($AI$7:$AI$1843,$CC$7:$CC$1843,CC917,$AL$7:$AL$1843,"&gt;"&amp;AL917)+SUMIFS($AI$7:$AI$1843,$CC$7:$CC$1843,CC917,$AL$7:$AL$1843,AL917,$BT$7:$BT$1843,"&lt;="&amp;BT917),"")</f>
        <v>7335.12225274725</v>
      </c>
      <c r="AN917" s="58" t="n">
        <f aca="false">IF(AM917="",0,MAX(0,MIN(1,(IF(CC917="L1",Parameter!$H$5,IF(CC917="L23",Parameter!$H$6+Parameter!$H$7,Parameter!$H$5+Parameter!$H$6+Parameter!$H$7))-(AM917-AI917))/AI917)))</f>
        <v>1</v>
      </c>
      <c r="AO917" s="50" t="n">
        <f aca="false">IF(LEFT(Cockpit!$I$5,1)="A",H917,IF(CE917=1,CF917,IF(LEFT(Cockpit!$I$5,1)="B",AT917,MAX(AT917,H917))))</f>
        <v>179</v>
      </c>
      <c r="AP917" s="50" t="n">
        <f aca="false">IF(BW917=1,0,ROUNDUP(AO917/BV917,0))</f>
        <v>1</v>
      </c>
      <c r="AQ917" s="52" t="n">
        <f aca="false">IF(CL917&gt;0,CL917*MAX(1,AO917/X917),IF(BW917=1,IF(AO917&lt;=0,0,CA917*MAX(1,IF(H917&gt;0,AO917/H917,1))),IF(R917&gt;0,AP917/R917,0))/MAX(0.1,N(Parameter!$M$21)))</f>
        <v>0.0833333333333333</v>
      </c>
      <c r="AR917" s="50" t="n">
        <f aca="false">AQ917*BY917</f>
        <v>28.75</v>
      </c>
      <c r="AS917" s="50" t="n">
        <f aca="false">AO917*G917</f>
        <v>196.9</v>
      </c>
      <c r="AT917" s="50" t="n">
        <f aca="false">ROUNDUP(MAX(J917/IF(CD917&gt;0,CD917,MAX(0.1,N(Cockpit!$I$6))),CG917)/BV917,0)*BV917</f>
        <v>179</v>
      </c>
      <c r="AU917" s="51" t="n">
        <f aca="false">IF(AR917&gt;0,J917/AR917,-1)</f>
        <v>0.939130434782609</v>
      </c>
      <c r="AV917" s="51" t="n">
        <f aca="false">IF(AND(OR(CC917="L1",CC917="L23",CC917="LIFT"),AR917&gt;0),SUMIFS($AR$7:$AR$1843,$CC$7:$CC$1843,CC917,$AU$7:$AU$1843,"&gt;"&amp;AU917)+SUMIFS($AR$7:$AR$1843,$CC$7:$CC$1843,CC917,$AU$7:$AU$1843,AU917,$BT$7:$BT$1843,"&lt;="&amp;BT917),"")</f>
        <v>10409.2957875458</v>
      </c>
      <c r="AW917" s="58" t="n">
        <f aca="false">IF(AV917="",0,MAX(0,MIN(1,(IF(CC917="L1",Parameter!$H$5,IF(CC917="L23",Parameter!$H$6+Parameter!$H$7,Parameter!$H$5+Parameter!$H$6+Parameter!$H$7))-(AV917-AR917))/AR917)))</f>
        <v>1</v>
      </c>
      <c r="AX917" s="50" t="n">
        <f aca="false">IF(LEFT(Cockpit!$O$5,1)="A",H917,IF(CE917=1,CF917,IF(LEFT(Cockpit!$O$5,1)="B",BC917,MAX(BC917,H917))))</f>
        <v>179</v>
      </c>
      <c r="AY917" s="50" t="n">
        <f aca="false">IF(BW917=1,0,ROUNDUP(AX917/BV917,0))</f>
        <v>1</v>
      </c>
      <c r="AZ917" s="52" t="n">
        <f aca="false">IF(CL917&gt;0,CL917*MAX(1,AX917/X917),IF(BW917=1,IF(AX917&lt;=0,0,CA917*MAX(1,IF(H917&gt;0,AX917/H917,1))),IF(R917&gt;0,AY917/R917,0))/MAX(0.1,N(Parameter!$M$21)))</f>
        <v>0.0833333333333333</v>
      </c>
      <c r="BA917" s="50" t="n">
        <f aca="false">AZ917*BY917</f>
        <v>28.75</v>
      </c>
      <c r="BB917" s="50" t="n">
        <f aca="false">AX917*G917</f>
        <v>196.9</v>
      </c>
      <c r="BC917" s="50" t="n">
        <f aca="false">ROUNDUP(MAX(J917/IF(CD917&gt;0,CD917,MAX(0.1,N(Cockpit!$O$6))),CG917)/BV917,0)*BV917</f>
        <v>179</v>
      </c>
      <c r="BD917" s="51" t="n">
        <f aca="false">IF(BA917&gt;0,J917/BA917,-1)</f>
        <v>0.939130434782609</v>
      </c>
      <c r="BE917" s="51" t="n">
        <f aca="false">IF(AND(OR(CC917="L1",CC917="L23",CC917="LIFT"),BA917&gt;0),SUMIFS($BA$7:$BA$1843,$CC$7:$CC$1843,CC917,$BD$7:$BD$1843,"&gt;"&amp;BD917)+SUMIFS($BA$7:$BA$1843,$CC$7:$CC$1843,CC917,$BD$7:$BD$1843,BD917,$BT$7:$BT$1843,"&lt;="&amp;BT917),"")</f>
        <v>9522.45283882784</v>
      </c>
      <c r="BF917" s="58" t="n">
        <f aca="false">IF(BE917="",0,MAX(0,MIN(1,(IF(CC917="L1",Parameter!$H$5,IF(CC917="L23",Parameter!$H$6+Parameter!$H$7,Parameter!$H$5+Parameter!$H$6+Parameter!$H$7))-(BE917-BA917))/BA917)))</f>
        <v>1</v>
      </c>
      <c r="BG917" s="48" t="str">
        <f aca="false">IF(AI917&lt;=0,"",IF(CC917="Aussen","Aussenlager",IF(CC917="-","Nicht im Lift",IF(AN917&gt;=1,"Lift",IF(AN917&lt;=0,"Aussenlager","teilweise")))))</f>
        <v>Lift</v>
      </c>
      <c r="BH917" s="48" t="str">
        <f aca="false">IF(AR917&lt;=0,"",IF(CC917="Aussen","Aussenlager",IF(CC917="-","Nicht im Lift",IF(AW917&gt;=1,"Lift",IF(AW917&lt;=0,"Aussenlager","teilweise")))))</f>
        <v>Lift</v>
      </c>
      <c r="BI917" s="48" t="str">
        <f aca="false">IF(BA917&lt;=0,"",IF(CC917="Aussen","Aussenlager",IF(CC917="-","Nicht im Lift",IF(BF917&gt;=1,"Lift",IF(BF917&lt;=0,"Aussenlager","teilweise")))))</f>
        <v>Lift</v>
      </c>
      <c r="BJ917" s="48" t="str">
        <f aca="false">IF(A917="","",IF(BS917=1,"Neu; ","")&amp;IF(AND(BS917=0,BN917&lt;0),"negativer Bestand (Export "&amp;BN917&amp;"); ","")&amp;IF(J917&lt;=0,"Kein Verbrauch; ","")&amp;IF(CL917&gt;0,"Lift "&amp;W917&amp;" lt. Liftbericht (Fach "&amp;X917&amp;" Stk); ",IF(BX917=1,"Gebinde geschätzt ("&amp;T917&amp;"); ",IF(BW917=1,"Lose – Tablare geschätzt; ","")))&amp;IF(H917&gt;AT917,"Überbestand "&amp;ROUND(H917-AT917,0)&amp;" Stk / CHF "&amp;ROUND((H917-AT917)*G917,0)&amp;"; ","")&amp;IF(AND(CE917=1,CF917&lt;CG917),"MAX &lt; MB+LG; ","")&amp;IF(AND(CK917&gt;0,CJ917*10&gt;CK917),"zu hoch für Tablar; ","")&amp;IF(AND(BS917=0,OR(CE917=1,AA917&lt;&gt;"",U917&lt;&gt;"",V917&lt;&gt;"",AB917&lt;&gt;"")),"manuell übersteuert; ","")&amp;IF(AND(BW917=0,R917=0),"Gebinde unbekannt / Stellmass fehlt; ","")&amp;IF(AND(BW917=0,N(V917)&lt;=0,N(Q917)&lt;=0),"Menge pro Gebinde fehlt (Ist = 1 Gebinde); ","")&amp;BR917)</f>
        <v>negativer Bestand (Export -38); Neu</v>
      </c>
      <c r="BK917" s="48"/>
      <c r="BL917" s="48"/>
      <c r="BM917" s="55"/>
      <c r="BN917" s="50" t="n">
        <v>-38</v>
      </c>
      <c r="BO917" s="50" t="n">
        <v>125</v>
      </c>
      <c r="BP917" s="49" t="n">
        <v>-41.8</v>
      </c>
      <c r="BQ917" s="50" t="n">
        <v>27</v>
      </c>
      <c r="BR917" s="48" t="s">
        <v>630</v>
      </c>
      <c r="BS917" s="53" t="n">
        <v>0</v>
      </c>
      <c r="BT917" s="53" t="n">
        <v>917</v>
      </c>
      <c r="BU917" s="48" t="str">
        <f aca="false">IF(U917&lt;&gt;"",UPPER(TRIM(U917)),IF(BX917=1,UPPER(VLOOKUP(T917,Parameter!$I$27:$K$29,2,0)),IF(P917="","LOSE",P917)))</f>
        <v>S63</v>
      </c>
      <c r="BV917" s="50" t="n">
        <f aca="false">IF(BU917="LOSE",1,IF(N(V917)&gt;0,V917,IF(BX917=1,MAX(1,N(VLOOKUP(T917,Parameter!$I$27:$K$29,3,0)),H917,N(N917)),IF(N(Q917)&gt;0,Q917,MAX(1,H917)))))</f>
        <v>179</v>
      </c>
      <c r="BW917" s="53" t="n">
        <f aca="false">IF(BU917="LOSE",1,0)</f>
        <v>0</v>
      </c>
      <c r="BX917" s="53" t="n">
        <f aca="false">IF(AND(U917="",OR(P917="",P917="LOSE"),T917&lt;&gt;"",N(S917)&lt;=0,ISNUMBER(MATCH(T917,Parameter!$I$27:$I$29,0))),1,0)</f>
        <v>0</v>
      </c>
      <c r="BY917" s="53" t="n">
        <f aca="false">IF(CL917&gt;0,INDEX(Parameter!$H$5:$H$7,W917)/INDEX(Parameter!$E$5:$E$7,W917),IF(AND(BW917=0,N(IFERROR(VLOOKUP(BU917,'Gebinde-Kategorie'!$A$5:$N$45,14,0),0))&gt;0),VLOOKUP(BU917,'Gebinde-Kategorie'!$A$5:$N$45,14,0)*10+Parameter!$M$23,Parameter!$M$24))</f>
        <v>345</v>
      </c>
      <c r="BZ917" s="48" t="str">
        <f aca="false">IF(AND(Parameter!$B$19="Ja",E917&lt;&gt;"",ISNUMBER(MATCH(E917,Parameter!$I$35:$I$52,0))),VLOOKUP(E917,Parameter!$I$35:$J$52,2,0),IFERROR(VLOOKUP(D917,Parameter!$A$35:$C$64,2,0),"Nein"))</f>
        <v>2+3</v>
      </c>
      <c r="CA917" s="52" t="n">
        <f aca="false">IF(BW917=0,0,IF(N(S917)&gt;0,S917,IFERROR(VLOOKUP(D917,Parameter!$A$35:$C$64,3,0)+0,0)))</f>
        <v>0</v>
      </c>
      <c r="CB917" s="48" t="n">
        <f aca="false">IF(AA917&lt;&gt;"",AA917,Z917)</f>
        <v>2</v>
      </c>
      <c r="CC917" s="48" t="str">
        <f aca="false">IF(OR(CB917=1,CB917=2,CB917=3),IF(Parameter!$E$27="Ja","LIFT",IF(CB917=1,"L1","L23")),IF(CB917="Aussen","Aussen","-"))</f>
        <v>LIFT</v>
      </c>
      <c r="CD917" s="59" t="n">
        <f aca="false">IF(N(AB917)&gt;0,AB917,0)</f>
        <v>0</v>
      </c>
      <c r="CE917" s="53" t="n">
        <f aca="false">IF(ISNUMBER(AE917),1,0)</f>
        <v>0</v>
      </c>
      <c r="CF917" s="50" t="n">
        <f aca="false">N(AE917)</f>
        <v>0</v>
      </c>
      <c r="CG917" s="50" t="n">
        <f aca="false">N(M917)+N(N917)</f>
        <v>26</v>
      </c>
      <c r="CH917" s="50" t="n">
        <f aca="false">ROUNDUP(H917/BV917,0)</f>
        <v>1</v>
      </c>
      <c r="CI917" s="50" t="n">
        <f aca="false">ROUNDUP(CF917/BV917,0)</f>
        <v>0</v>
      </c>
      <c r="CJ917" s="53" t="n">
        <f aca="false">IF(BW917=1,0,IFERROR(VLOOKUP(BU917,'Gebinde-Kategorie'!$A$5:$N$45,5,0)+0,0))</f>
        <v>31</v>
      </c>
      <c r="CK917" s="53" t="n">
        <f aca="false">IFERROR(IF(OR(CB917=1,CB917=2,CB917=3),N(INDEX(Parameter!$I$5:$I$7,CB917)),0),0)</f>
        <v>0</v>
      </c>
      <c r="CL917" s="52" t="n">
        <f aca="false">IF(AND(Parameter!$B$21="Ja",ISNUMBER(W917),N(X917)&gt;0),IFERROR(N(INDEX(Parameter!$L$5:$L$7,W917))*INDEX(Parameter!$E$5:$E$7,W917)*X917/SUMIFS($X$7:$X$1843,$W$7:$W$1843,W917),0),0)</f>
        <v>0</v>
      </c>
    </row>
    <row r="918" customFormat="false" ht="15" hidden="false" customHeight="false" outlineLevel="0" collapsed="false">
      <c r="A918" s="48" t="s">
        <v>1722</v>
      </c>
      <c r="B918" s="48" t="s">
        <v>1723</v>
      </c>
      <c r="C918" s="48" t="s">
        <v>168</v>
      </c>
      <c r="D918" s="48" t="s">
        <v>177</v>
      </c>
      <c r="E918" s="48"/>
      <c r="F918" s="48" t="s">
        <v>222</v>
      </c>
      <c r="G918" s="49" t="n">
        <v>1.05</v>
      </c>
      <c r="H918" s="50" t="n">
        <f aca="false">MAX(0,IF(AND(Parameter!$B$21="Ja",ISNUMBER(Y918)),Y918,IF(Parameter!$B$20="Jahresanfang 2025 + Export",BO918+BN918,BN918)))</f>
        <v>5</v>
      </c>
      <c r="I918" s="50" t="n">
        <f aca="false">H918*G918</f>
        <v>5.25</v>
      </c>
      <c r="J918" s="50" t="n">
        <f aca="false">BQ918*Parameter!$B$18</f>
        <v>0</v>
      </c>
      <c r="K918" s="51" t="n">
        <v>25.5</v>
      </c>
      <c r="L918" s="52" t="n">
        <v>0</v>
      </c>
      <c r="M918" s="50" t="n">
        <v>0</v>
      </c>
      <c r="N918" s="50" t="n">
        <v>1</v>
      </c>
      <c r="O918" s="53" t="n">
        <v>35</v>
      </c>
      <c r="P918" s="48" t="s">
        <v>172</v>
      </c>
      <c r="Q918" s="50"/>
      <c r="R918" s="53" t="n">
        <f aca="false">IF(BW918=1,0,IFERROR(VLOOKUP(BU918,'Gebinde-Kategorie'!$A$5:$N$45,13,0)+0,0))</f>
        <v>26</v>
      </c>
      <c r="S918" s="54"/>
      <c r="T918" s="55" t="s">
        <v>279</v>
      </c>
      <c r="U918" s="55"/>
      <c r="V918" s="55"/>
      <c r="W918" s="48"/>
      <c r="X918" s="50"/>
      <c r="Y918" s="50"/>
      <c r="Z918" s="48" t="n">
        <f aca="false">IF(A918="","",IF(AND(Parameter!$B$21="Ja",ISNUMBER(W918)),W918,IF(BZ918="2+3",IF(ISNUMBER(SEARCH("grosser Artikel",BR918)),2,IFERROR(VLOOKUP(BU918,Parameter!$F$35:$G$64,2,0),2)),IF(OR(BZ918="Nein",BZ918=""),"-",BZ918))))</f>
        <v>3</v>
      </c>
      <c r="AA918" s="55"/>
      <c r="AB918" s="56"/>
      <c r="AC918" s="50" t="n">
        <f aca="false">AT918</f>
        <v>20</v>
      </c>
      <c r="AD918" s="50" t="n">
        <f aca="false">MAX(AT918,H918)</f>
        <v>20</v>
      </c>
      <c r="AE918" s="57"/>
      <c r="AF918" s="50" t="n">
        <f aca="false">IF(LEFT(Cockpit!$C$5,1)="A",H918,IF(CE918=1,CF918,IF(LEFT(Cockpit!$C$5,1)="B",AK918,MAX(AK918,H918))))</f>
        <v>5</v>
      </c>
      <c r="AG918" s="50" t="n">
        <f aca="false">IF(BW918=1,0,ROUNDUP(AF918/BV918,0))</f>
        <v>1</v>
      </c>
      <c r="AH918" s="52" t="n">
        <f aca="false">IF(CL918&gt;0,CL918*MAX(1,AF918/X918),IF(BW918=1,IF(AF918&lt;=0,0,CA918*MAX(1,IF(H918&gt;0,AF918/H918,1))),IF(R918&gt;0,AG918/R918,0))/MAX(0.1,N(Parameter!$M$21)))</f>
        <v>0.0384615384615385</v>
      </c>
      <c r="AI918" s="50" t="n">
        <f aca="false">AH918*BY918</f>
        <v>5.96153846153846</v>
      </c>
      <c r="AJ918" s="50" t="n">
        <f aca="false">AF918*G918</f>
        <v>5.25</v>
      </c>
      <c r="AK918" s="50" t="n">
        <f aca="false">ROUNDUP(MAX(J918/IF(CD918&gt;0,CD918,MAX(0.1,N(Cockpit!$C$6))),CG918)/BV918,0)*BV918</f>
        <v>20</v>
      </c>
      <c r="AL918" s="51" t="n">
        <f aca="false">IF(AI918&gt;0,J918/AI918,-1)</f>
        <v>0</v>
      </c>
      <c r="AM918" s="51" t="n">
        <f aca="false">IF(AND(OR(CC918="L1",CC918="L23",CC918="LIFT"),AI918&gt;0),SUMIFS($AI$7:$AI$1843,$CC$7:$CC$1843,CC918,$AL$7:$AL$1843,"&gt;"&amp;AL918)+SUMIFS($AI$7:$AI$1843,$CC$7:$CC$1843,CC918,$AL$7:$AL$1843,AL918,$BT$7:$BT$1843,"&lt;="&amp;BT918),"")</f>
        <v>28856.5633549595</v>
      </c>
      <c r="AN918" s="58" t="n">
        <f aca="false">IF(AM918="",0,MAX(0,MIN(1,(IF(CC918="L1",Parameter!$H$5,IF(CC918="L23",Parameter!$H$6+Parameter!$H$7,Parameter!$H$5+Parameter!$H$6+Parameter!$H$7))-(AM918-AI918))/AI918)))</f>
        <v>1</v>
      </c>
      <c r="AO918" s="50" t="n">
        <f aca="false">IF(LEFT(Cockpit!$I$5,1)="A",H918,IF(CE918=1,CF918,IF(LEFT(Cockpit!$I$5,1)="B",AT918,MAX(AT918,H918))))</f>
        <v>20</v>
      </c>
      <c r="AP918" s="50" t="n">
        <f aca="false">IF(BW918=1,0,ROUNDUP(AO918/BV918,0))</f>
        <v>1</v>
      </c>
      <c r="AQ918" s="52" t="n">
        <f aca="false">IF(CL918&gt;0,CL918*MAX(1,AO918/X918),IF(BW918=1,IF(AO918&lt;=0,0,CA918*MAX(1,IF(H918&gt;0,AO918/H918,1))),IF(R918&gt;0,AP918/R918,0))/MAX(0.1,N(Parameter!$M$21)))</f>
        <v>0.0384615384615385</v>
      </c>
      <c r="AR918" s="50" t="n">
        <f aca="false">AQ918*BY918</f>
        <v>5.96153846153846</v>
      </c>
      <c r="AS918" s="50" t="n">
        <f aca="false">AO918*G918</f>
        <v>21</v>
      </c>
      <c r="AT918" s="50" t="n">
        <f aca="false">ROUNDUP(MAX(J918/IF(CD918&gt;0,CD918,MAX(0.1,N(Cockpit!$I$6))),CG918)/BV918,0)*BV918</f>
        <v>20</v>
      </c>
      <c r="AU918" s="51" t="n">
        <f aca="false">IF(AR918&gt;0,J918/AR918,-1)</f>
        <v>0</v>
      </c>
      <c r="AV918" s="51" t="n">
        <f aca="false">IF(AND(OR(CC918="L1",CC918="L23",CC918="LIFT"),AR918&gt;0),SUMIFS($AR$7:$AR$1843,$CC$7:$CC$1843,CC918,$AU$7:$AU$1843,"&gt;"&amp;AU918)+SUMIFS($AR$7:$AR$1843,$CC$7:$CC$1843,CC918,$AU$7:$AU$1843,AU918,$BT$7:$BT$1843,"&lt;="&amp;BT918),"")</f>
        <v>40478.8452458558</v>
      </c>
      <c r="AW918" s="58" t="n">
        <f aca="false">IF(AV918="",0,MAX(0,MIN(1,(IF(CC918="L1",Parameter!$H$5,IF(CC918="L23",Parameter!$H$6+Parameter!$H$7,Parameter!$H$5+Parameter!$H$6+Parameter!$H$7))-(AV918-AR918))/AR918)))</f>
        <v>0</v>
      </c>
      <c r="AX918" s="50" t="n">
        <f aca="false">IF(LEFT(Cockpit!$O$5,1)="A",H918,IF(CE918=1,CF918,IF(LEFT(Cockpit!$O$5,1)="B",BC918,MAX(BC918,H918))))</f>
        <v>20</v>
      </c>
      <c r="AY918" s="50" t="n">
        <f aca="false">IF(BW918=1,0,ROUNDUP(AX918/BV918,0))</f>
        <v>1</v>
      </c>
      <c r="AZ918" s="52" t="n">
        <f aca="false">IF(CL918&gt;0,CL918*MAX(1,AX918/X918),IF(BW918=1,IF(AX918&lt;=0,0,CA918*MAX(1,IF(H918&gt;0,AX918/H918,1))),IF(R918&gt;0,AY918/R918,0))/MAX(0.1,N(Parameter!$M$21)))</f>
        <v>0.0384615384615385</v>
      </c>
      <c r="BA918" s="50" t="n">
        <f aca="false">AZ918*BY918</f>
        <v>5.96153846153846</v>
      </c>
      <c r="BB918" s="50" t="n">
        <f aca="false">AX918*G918</f>
        <v>21</v>
      </c>
      <c r="BC918" s="50" t="n">
        <f aca="false">ROUNDUP(MAX(J918/IF(CD918&gt;0,CD918,MAX(0.1,N(Cockpit!$O$6))),CG918)/BV918,0)*BV918</f>
        <v>20</v>
      </c>
      <c r="BD918" s="51" t="n">
        <f aca="false">IF(BA918&gt;0,J918/BA918,-1)</f>
        <v>0</v>
      </c>
      <c r="BE918" s="51" t="n">
        <f aca="false">IF(AND(OR(CC918="L1",CC918="L23",CC918="LIFT"),BA918&gt;0),SUMIFS($BA$7:$BA$1843,$CC$7:$CC$1843,CC918,$BD$7:$BD$1843,"&gt;"&amp;BD918)+SUMIFS($BA$7:$BA$1843,$CC$7:$CC$1843,CC918,$BD$7:$BD$1843,BD918,$BT$7:$BT$1843,"&lt;="&amp;BT918),"")</f>
        <v>37153.8572877217</v>
      </c>
      <c r="BF918" s="58" t="n">
        <f aca="false">IF(BE918="",0,MAX(0,MIN(1,(IF(CC918="L1",Parameter!$H$5,IF(CC918="L23",Parameter!$H$6+Parameter!$H$7,Parameter!$H$5+Parameter!$H$6+Parameter!$H$7))-(BE918-BA918))/BA918)))</f>
        <v>0</v>
      </c>
      <c r="BG918" s="48" t="str">
        <f aca="false">IF(AI918&lt;=0,"",IF(CC918="Aussen","Aussenlager",IF(CC918="-","Nicht im Lift",IF(AN918&gt;=1,"Lift",IF(AN918&lt;=0,"Aussenlager","teilweise")))))</f>
        <v>Lift</v>
      </c>
      <c r="BH918" s="48" t="str">
        <f aca="false">IF(AR918&lt;=0,"",IF(CC918="Aussen","Aussenlager",IF(CC918="-","Nicht im Lift",IF(AW918&gt;=1,"Lift",IF(AW918&lt;=0,"Aussenlager","teilweise")))))</f>
        <v>Aussenlager</v>
      </c>
      <c r="BI918" s="48" t="str">
        <f aca="false">IF(BA918&lt;=0,"",IF(CC918="Aussen","Aussenlager",IF(CC918="-","Nicht im Lift",IF(BF918&gt;=1,"Lift",IF(BF918&lt;=0,"Aussenlager","teilweise")))))</f>
        <v>Aussenlager</v>
      </c>
      <c r="BJ918" s="48" t="str">
        <f aca="false">IF(A918="","",IF(BS918=1,"Neu; ","")&amp;IF(AND(BS918=0,BN918&lt;0),"negativer Bestand (Export "&amp;BN918&amp;"); ","")&amp;IF(J918&lt;=0,"Kein Verbrauch; ","")&amp;IF(CL918&gt;0,"Lift "&amp;W918&amp;" lt. Liftbericht (Fach "&amp;X918&amp;" Stk); ",IF(BX918=1,"Gebinde geschätzt ("&amp;T918&amp;"); ",IF(BW918=1,"Lose – Tablare geschätzt; ","")))&amp;IF(H918&gt;AT918,"Überbestand "&amp;ROUND(H918-AT918,0)&amp;" Stk / CHF "&amp;ROUND((H918-AT918)*G918,0)&amp;"; ","")&amp;IF(AND(CE918=1,CF918&lt;CG918),"MAX &lt; MB+LG; ","")&amp;IF(AND(CK918&gt;0,CJ918*10&gt;CK918),"zu hoch für Tablar; ","")&amp;IF(AND(BS918=0,OR(CE918=1,AA918&lt;&gt;"",U918&lt;&gt;"",V918&lt;&gt;"",AB918&lt;&gt;"")),"manuell übersteuert; ","")&amp;IF(AND(BW918=0,R918=0),"Gebinde unbekannt / Stellmass fehlt; ","")&amp;IF(AND(BW918=0,N(V918)&lt;=0,N(Q918)&lt;=0),"Menge pro Gebinde fehlt (Ist = 1 Gebinde); ","")&amp;BR918)</f>
        <v>negativer Bestand (Export -41); Kein Verbrauch; Gebinde geschätzt (Klein); Menge pro Gebinde fehlt (Ist = 1 Gebinde); Neuer Art.</v>
      </c>
      <c r="BK918" s="48"/>
      <c r="BL918" s="48"/>
      <c r="BM918" s="55"/>
      <c r="BN918" s="50" t="n">
        <v>-41</v>
      </c>
      <c r="BO918" s="50" t="n">
        <v>46</v>
      </c>
      <c r="BP918" s="49" t="n">
        <v>-43.05</v>
      </c>
      <c r="BQ918" s="50" t="n">
        <v>0</v>
      </c>
      <c r="BR918" s="48" t="s">
        <v>516</v>
      </c>
      <c r="BS918" s="53" t="n">
        <v>0</v>
      </c>
      <c r="BT918" s="53" t="n">
        <v>918</v>
      </c>
      <c r="BU918" s="48" t="str">
        <f aca="false">IF(U918&lt;&gt;"",UPPER(TRIM(U918)),IF(BX918=1,UPPER(VLOOKUP(T918,Parameter!$I$27:$K$29,2,0)),IF(P918="","LOSE",P918)))</f>
        <v>S51</v>
      </c>
      <c r="BV918" s="50" t="n">
        <f aca="false">IF(BU918="LOSE",1,IF(N(V918)&gt;0,V918,IF(BX918=1,MAX(1,N(VLOOKUP(T918,Parameter!$I$27:$K$29,3,0)),H918,N(N918)),IF(N(Q918)&gt;0,Q918,MAX(1,H918)))))</f>
        <v>20</v>
      </c>
      <c r="BW918" s="53" t="n">
        <f aca="false">IF(BU918="LOSE",1,0)</f>
        <v>0</v>
      </c>
      <c r="BX918" s="53" t="n">
        <f aca="false">IF(AND(U918="",OR(P918="",P918="LOSE"),T918&lt;&gt;"",N(S918)&lt;=0,ISNUMBER(MATCH(T918,Parameter!$I$27:$I$29,0))),1,0)</f>
        <v>1</v>
      </c>
      <c r="BY918" s="53" t="n">
        <f aca="false">IF(CL918&gt;0,INDEX(Parameter!$H$5:$H$7,W918)/INDEX(Parameter!$E$5:$E$7,W918),IF(AND(BW918=0,N(IFERROR(VLOOKUP(BU918,'Gebinde-Kategorie'!$A$5:$N$45,14,0),0))&gt;0),VLOOKUP(BU918,'Gebinde-Kategorie'!$A$5:$N$45,14,0)*10+Parameter!$M$23,Parameter!$M$24))</f>
        <v>155</v>
      </c>
      <c r="BZ918" s="48" t="str">
        <f aca="false">IF(AND(Parameter!$B$19="Ja",E918&lt;&gt;"",ISNUMBER(MATCH(E918,Parameter!$I$35:$I$52,0))),VLOOKUP(E918,Parameter!$I$35:$J$52,2,0),IFERROR(VLOOKUP(D918,Parameter!$A$35:$C$64,2,0),"Nein"))</f>
        <v>2+3</v>
      </c>
      <c r="CA918" s="52" t="n">
        <f aca="false">IF(BW918=0,0,IF(N(S918)&gt;0,S918,IFERROR(VLOOKUP(D918,Parameter!$A$35:$C$64,3,0)+0,0)))</f>
        <v>0</v>
      </c>
      <c r="CB918" s="48" t="n">
        <f aca="false">IF(AA918&lt;&gt;"",AA918,Z918)</f>
        <v>3</v>
      </c>
      <c r="CC918" s="48" t="str">
        <f aca="false">IF(OR(CB918=1,CB918=2,CB918=3),IF(Parameter!$E$27="Ja","LIFT",IF(CB918=1,"L1","L23")),IF(CB918="Aussen","Aussen","-"))</f>
        <v>LIFT</v>
      </c>
      <c r="CD918" s="59" t="n">
        <f aca="false">IF(N(AB918)&gt;0,AB918,0)</f>
        <v>0</v>
      </c>
      <c r="CE918" s="53" t="n">
        <f aca="false">IF(ISNUMBER(AE918),1,0)</f>
        <v>0</v>
      </c>
      <c r="CF918" s="50" t="n">
        <f aca="false">N(AE918)</f>
        <v>0</v>
      </c>
      <c r="CG918" s="50" t="n">
        <f aca="false">N(M918)+N(N918)</f>
        <v>1</v>
      </c>
      <c r="CH918" s="50" t="n">
        <f aca="false">ROUNDUP(H918/BV918,0)</f>
        <v>1</v>
      </c>
      <c r="CI918" s="50" t="n">
        <f aca="false">ROUNDUP(CF918/BV918,0)</f>
        <v>0</v>
      </c>
      <c r="CJ918" s="53" t="n">
        <f aca="false">IF(BW918=1,0,IFERROR(VLOOKUP(BU918,'Gebinde-Kategorie'!$A$5:$N$45,5,0)+0,0))</f>
        <v>11</v>
      </c>
      <c r="CK918" s="53" t="n">
        <f aca="false">IFERROR(IF(OR(CB918=1,CB918=2,CB918=3),N(INDEX(Parameter!$I$5:$I$7,CB918)),0),0)</f>
        <v>0</v>
      </c>
      <c r="CL918" s="52" t="n">
        <f aca="false">IF(AND(Parameter!$B$21="Ja",ISNUMBER(W918),N(X918)&gt;0),IFERROR(N(INDEX(Parameter!$L$5:$L$7,W918))*INDEX(Parameter!$E$5:$E$7,W918)*X918/SUMIFS($X$7:$X$1843,$W$7:$W$1843,W918),0),0)</f>
        <v>0</v>
      </c>
    </row>
    <row r="919" customFormat="false" ht="15" hidden="false" customHeight="false" outlineLevel="0" collapsed="false">
      <c r="A919" s="48" t="s">
        <v>1724</v>
      </c>
      <c r="B919" s="48" t="s">
        <v>1681</v>
      </c>
      <c r="C919" s="48" t="s">
        <v>168</v>
      </c>
      <c r="D919" s="48" t="s">
        <v>188</v>
      </c>
      <c r="E919" s="48"/>
      <c r="F919" s="48" t="s">
        <v>222</v>
      </c>
      <c r="G919" s="49" t="n">
        <v>14.44</v>
      </c>
      <c r="H919" s="50" t="n">
        <f aca="false">MAX(0,IF(AND(Parameter!$B$21="Ja",ISNUMBER(Y919)),Y919,IF(Parameter!$B$20="Jahresanfang 2025 + Export",BO919+BN919,BN919)))</f>
        <v>0</v>
      </c>
      <c r="I919" s="50" t="n">
        <f aca="false">H919*G919</f>
        <v>0</v>
      </c>
      <c r="J919" s="50" t="n">
        <f aca="false">BQ919*Parameter!$B$18</f>
        <v>0</v>
      </c>
      <c r="K919" s="51" t="n">
        <v>2.5</v>
      </c>
      <c r="L919" s="52" t="n">
        <v>0</v>
      </c>
      <c r="M919" s="50" t="n">
        <v>0</v>
      </c>
      <c r="N919" s="50" t="n">
        <v>1</v>
      </c>
      <c r="O919" s="53" t="n">
        <v>14</v>
      </c>
      <c r="P919" s="48" t="s">
        <v>172</v>
      </c>
      <c r="Q919" s="50"/>
      <c r="R919" s="53" t="n">
        <f aca="false">IF(BW919=1,0,IFERROR(VLOOKUP(BU919,'Gebinde-Kategorie'!$A$5:$N$45,13,0)+0,0))</f>
        <v>26</v>
      </c>
      <c r="S919" s="54"/>
      <c r="T919" s="55" t="s">
        <v>279</v>
      </c>
      <c r="U919" s="55"/>
      <c r="V919" s="55"/>
      <c r="W919" s="48"/>
      <c r="X919" s="50"/>
      <c r="Y919" s="50"/>
      <c r="Z919" s="48" t="n">
        <f aca="false">IF(A919="","",IF(AND(Parameter!$B$21="Ja",ISNUMBER(W919)),W919,IF(BZ919="2+3",IF(ISNUMBER(SEARCH("grosser Artikel",BR919)),2,IFERROR(VLOOKUP(BU919,Parameter!$F$35:$G$64,2,0),2)),IF(OR(BZ919="Nein",BZ919=""),"-",BZ919))))</f>
        <v>3</v>
      </c>
      <c r="AA919" s="55"/>
      <c r="AB919" s="56"/>
      <c r="AC919" s="50" t="n">
        <f aca="false">AT919</f>
        <v>20</v>
      </c>
      <c r="AD919" s="50" t="n">
        <f aca="false">MAX(AT919,H919)</f>
        <v>20</v>
      </c>
      <c r="AE919" s="57"/>
      <c r="AF919" s="50" t="n">
        <f aca="false">IF(LEFT(Cockpit!$C$5,1)="A",H919,IF(CE919=1,CF919,IF(LEFT(Cockpit!$C$5,1)="B",AK919,MAX(AK919,H919))))</f>
        <v>0</v>
      </c>
      <c r="AG919" s="50" t="n">
        <f aca="false">IF(BW919=1,0,ROUNDUP(AF919/BV919,0))</f>
        <v>0</v>
      </c>
      <c r="AH919" s="52" t="n">
        <f aca="false">IF(CL919&gt;0,CL919*MAX(1,AF919/X919),IF(BW919=1,IF(AF919&lt;=0,0,CA919*MAX(1,IF(H919&gt;0,AF919/H919,1))),IF(R919&gt;0,AG919/R919,0))/MAX(0.1,N(Parameter!$M$21)))</f>
        <v>0</v>
      </c>
      <c r="AI919" s="50" t="n">
        <f aca="false">AH919*BY919</f>
        <v>0</v>
      </c>
      <c r="AJ919" s="50" t="n">
        <f aca="false">AF919*G919</f>
        <v>0</v>
      </c>
      <c r="AK919" s="50" t="n">
        <f aca="false">ROUNDUP(MAX(J919/IF(CD919&gt;0,CD919,MAX(0.1,N(Cockpit!$C$6))),CG919)/BV919,0)*BV919</f>
        <v>20</v>
      </c>
      <c r="AL919" s="51" t="n">
        <f aca="false">IF(AI919&gt;0,J919/AI919,-1)</f>
        <v>-1</v>
      </c>
      <c r="AM919" s="51" t="str">
        <f aca="false">IF(AND(OR(CC919="L1",CC919="L23",CC919="LIFT"),AI919&gt;0),SUMIFS($AI$7:$AI$1843,$CC$7:$CC$1843,CC919,$AL$7:$AL$1843,"&gt;"&amp;AL919)+SUMIFS($AI$7:$AI$1843,$CC$7:$CC$1843,CC919,$AL$7:$AL$1843,AL919,$BT$7:$BT$1843,"&lt;="&amp;BT919),"")</f>
        <v/>
      </c>
      <c r="AN919" s="58" t="n">
        <f aca="false">IF(AM919="",0,MAX(0,MIN(1,(IF(CC919="L1",Parameter!$H$5,IF(CC919="L23",Parameter!$H$6+Parameter!$H$7,Parameter!$H$5+Parameter!$H$6+Parameter!$H$7))-(AM919-AI919))/AI919)))</f>
        <v>0</v>
      </c>
      <c r="AO919" s="50" t="n">
        <f aca="false">IF(LEFT(Cockpit!$I$5,1)="A",H919,IF(CE919=1,CF919,IF(LEFT(Cockpit!$I$5,1)="B",AT919,MAX(AT919,H919))))</f>
        <v>20</v>
      </c>
      <c r="AP919" s="50" t="n">
        <f aca="false">IF(BW919=1,0,ROUNDUP(AO919/BV919,0))</f>
        <v>1</v>
      </c>
      <c r="AQ919" s="52" t="n">
        <f aca="false">IF(CL919&gt;0,CL919*MAX(1,AO919/X919),IF(BW919=1,IF(AO919&lt;=0,0,CA919*MAX(1,IF(H919&gt;0,AO919/H919,1))),IF(R919&gt;0,AP919/R919,0))/MAX(0.1,N(Parameter!$M$21)))</f>
        <v>0.0384615384615385</v>
      </c>
      <c r="AR919" s="50" t="n">
        <f aca="false">AQ919*BY919</f>
        <v>5.96153846153846</v>
      </c>
      <c r="AS919" s="50" t="n">
        <f aca="false">AO919*G919</f>
        <v>288.8</v>
      </c>
      <c r="AT919" s="50" t="n">
        <f aca="false">ROUNDUP(MAX(J919/IF(CD919&gt;0,CD919,MAX(0.1,N(Cockpit!$I$6))),CG919)/BV919,0)*BV919</f>
        <v>20</v>
      </c>
      <c r="AU919" s="51" t="n">
        <f aca="false">IF(AR919&gt;0,J919/AR919,-1)</f>
        <v>0</v>
      </c>
      <c r="AV919" s="51" t="n">
        <f aca="false">IF(AND(OR(CC919="L1",CC919="L23",CC919="LIFT"),AR919&gt;0),SUMIFS($AR$7:$AR$1843,$CC$7:$CC$1843,CC919,$AU$7:$AU$1843,"&gt;"&amp;AU919)+SUMIFS($AR$7:$AR$1843,$CC$7:$CC$1843,CC919,$AU$7:$AU$1843,AU919,$BT$7:$BT$1843,"&lt;="&amp;BT919),"")</f>
        <v>40484.8067843174</v>
      </c>
      <c r="AW919" s="58" t="n">
        <f aca="false">IF(AV919="",0,MAX(0,MIN(1,(IF(CC919="L1",Parameter!$H$5,IF(CC919="L23",Parameter!$H$6+Parameter!$H$7,Parameter!$H$5+Parameter!$H$6+Parameter!$H$7))-(AV919-AR919))/AR919)))</f>
        <v>0</v>
      </c>
      <c r="AX919" s="50" t="n">
        <f aca="false">IF(LEFT(Cockpit!$O$5,1)="A",H919,IF(CE919=1,CF919,IF(LEFT(Cockpit!$O$5,1)="B",BC919,MAX(BC919,H919))))</f>
        <v>20</v>
      </c>
      <c r="AY919" s="50" t="n">
        <f aca="false">IF(BW919=1,0,ROUNDUP(AX919/BV919,0))</f>
        <v>1</v>
      </c>
      <c r="AZ919" s="52" t="n">
        <f aca="false">IF(CL919&gt;0,CL919*MAX(1,AX919/X919),IF(BW919=1,IF(AX919&lt;=0,0,CA919*MAX(1,IF(H919&gt;0,AX919/H919,1))),IF(R919&gt;0,AY919/R919,0))/MAX(0.1,N(Parameter!$M$21)))</f>
        <v>0.0384615384615385</v>
      </c>
      <c r="BA919" s="50" t="n">
        <f aca="false">AZ919*BY919</f>
        <v>5.96153846153846</v>
      </c>
      <c r="BB919" s="50" t="n">
        <f aca="false">AX919*G919</f>
        <v>288.8</v>
      </c>
      <c r="BC919" s="50" t="n">
        <f aca="false">ROUNDUP(MAX(J919/IF(CD919&gt;0,CD919,MAX(0.1,N(Cockpit!$O$6))),CG919)/BV919,0)*BV919</f>
        <v>20</v>
      </c>
      <c r="BD919" s="51" t="n">
        <f aca="false">IF(BA919&gt;0,J919/BA919,-1)</f>
        <v>0</v>
      </c>
      <c r="BE919" s="51" t="n">
        <f aca="false">IF(AND(OR(CC919="L1",CC919="L23",CC919="LIFT"),BA919&gt;0),SUMIFS($BA$7:$BA$1843,$CC$7:$CC$1843,CC919,$BD$7:$BD$1843,"&gt;"&amp;BD919)+SUMIFS($BA$7:$BA$1843,$CC$7:$CC$1843,CC919,$BD$7:$BD$1843,BD919,$BT$7:$BT$1843,"&lt;="&amp;BT919),"")</f>
        <v>37159.8188261832</v>
      </c>
      <c r="BF919" s="58" t="n">
        <f aca="false">IF(BE919="",0,MAX(0,MIN(1,(IF(CC919="L1",Parameter!$H$5,IF(CC919="L23",Parameter!$H$6+Parameter!$H$7,Parameter!$H$5+Parameter!$H$6+Parameter!$H$7))-(BE919-BA919))/BA919)))</f>
        <v>0</v>
      </c>
      <c r="BG919" s="48" t="str">
        <f aca="false">IF(AI919&lt;=0,"",IF(CC919="Aussen","Aussenlager",IF(CC919="-","Nicht im Lift",IF(AN919&gt;=1,"Lift",IF(AN919&lt;=0,"Aussenlager","teilweise")))))</f>
        <v/>
      </c>
      <c r="BH919" s="48" t="str">
        <f aca="false">IF(AR919&lt;=0,"",IF(CC919="Aussen","Aussenlager",IF(CC919="-","Nicht im Lift",IF(AW919&gt;=1,"Lift",IF(AW919&lt;=0,"Aussenlager","teilweise")))))</f>
        <v>Aussenlager</v>
      </c>
      <c r="BI919" s="48" t="str">
        <f aca="false">IF(BA919&lt;=0,"",IF(CC919="Aussen","Aussenlager",IF(CC919="-","Nicht im Lift",IF(BF919&gt;=1,"Lift",IF(BF919&lt;=0,"Aussenlager","teilweise")))))</f>
        <v>Aussenlager</v>
      </c>
      <c r="BJ919" s="48" t="str">
        <f aca="false">IF(A919="","",IF(BS919=1,"Neu; ","")&amp;IF(AND(BS919=0,BN919&lt;0),"negativer Bestand (Export "&amp;BN919&amp;"); ","")&amp;IF(J919&lt;=0,"Kein Verbrauch; ","")&amp;IF(CL919&gt;0,"Lift "&amp;W919&amp;" lt. Liftbericht (Fach "&amp;X919&amp;" Stk); ",IF(BX919=1,"Gebinde geschätzt ("&amp;T919&amp;"); ",IF(BW919=1,"Lose – Tablare geschätzt; ","")))&amp;IF(H919&gt;AT919,"Überbestand "&amp;ROUND(H919-AT919,0)&amp;" Stk / CHF "&amp;ROUND((H919-AT919)*G919,0)&amp;"; ","")&amp;IF(AND(CE919=1,CF919&lt;CG919),"MAX &lt; MB+LG; ","")&amp;IF(AND(CK919&gt;0,CJ919*10&gt;CK919),"zu hoch für Tablar; ","")&amp;IF(AND(BS919=0,OR(CE919=1,AA919&lt;&gt;"",U919&lt;&gt;"",V919&lt;&gt;"",AB919&lt;&gt;"")),"manuell übersteuert; ","")&amp;IF(AND(BW919=0,R919=0),"Gebinde unbekannt / Stellmass fehlt; ","")&amp;IF(AND(BW919=0,N(V919)&lt;=0,N(Q919)&lt;=0),"Menge pro Gebinde fehlt (Ist = 1 Gebinde); ","")&amp;BR919)</f>
        <v>negativer Bestand (Export -3); Kein Verbrauch; Gebinde geschätzt (Klein); Menge pro Gebinde fehlt (Ist = 1 Gebinde); </v>
      </c>
      <c r="BK919" s="48"/>
      <c r="BL919" s="48"/>
      <c r="BM919" s="55"/>
      <c r="BN919" s="50" t="n">
        <v>-3</v>
      </c>
      <c r="BO919" s="50" t="n">
        <v>3</v>
      </c>
      <c r="BP919" s="49" t="n">
        <v>-43.32</v>
      </c>
      <c r="BQ919" s="50" t="n">
        <v>0</v>
      </c>
      <c r="BR919" s="48"/>
      <c r="BS919" s="53" t="n">
        <v>0</v>
      </c>
      <c r="BT919" s="53" t="n">
        <v>919</v>
      </c>
      <c r="BU919" s="48" t="str">
        <f aca="false">IF(U919&lt;&gt;"",UPPER(TRIM(U919)),IF(BX919=1,UPPER(VLOOKUP(T919,Parameter!$I$27:$K$29,2,0)),IF(P919="","LOSE",P919)))</f>
        <v>S51</v>
      </c>
      <c r="BV919" s="50" t="n">
        <f aca="false">IF(BU919="LOSE",1,IF(N(V919)&gt;0,V919,IF(BX919=1,MAX(1,N(VLOOKUP(T919,Parameter!$I$27:$K$29,3,0)),H919,N(N919)),IF(N(Q919)&gt;0,Q919,MAX(1,H919)))))</f>
        <v>20</v>
      </c>
      <c r="BW919" s="53" t="n">
        <f aca="false">IF(BU919="LOSE",1,0)</f>
        <v>0</v>
      </c>
      <c r="BX919" s="53" t="n">
        <f aca="false">IF(AND(U919="",OR(P919="",P919="LOSE"),T919&lt;&gt;"",N(S919)&lt;=0,ISNUMBER(MATCH(T919,Parameter!$I$27:$I$29,0))),1,0)</f>
        <v>1</v>
      </c>
      <c r="BY919" s="53" t="n">
        <f aca="false">IF(CL919&gt;0,INDEX(Parameter!$H$5:$H$7,W919)/INDEX(Parameter!$E$5:$E$7,W919),IF(AND(BW919=0,N(IFERROR(VLOOKUP(BU919,'Gebinde-Kategorie'!$A$5:$N$45,14,0),0))&gt;0),VLOOKUP(BU919,'Gebinde-Kategorie'!$A$5:$N$45,14,0)*10+Parameter!$M$23,Parameter!$M$24))</f>
        <v>155</v>
      </c>
      <c r="BZ919" s="48" t="str">
        <f aca="false">IF(AND(Parameter!$B$19="Ja",E919&lt;&gt;"",ISNUMBER(MATCH(E919,Parameter!$I$35:$I$52,0))),VLOOKUP(E919,Parameter!$I$35:$J$52,2,0),IFERROR(VLOOKUP(D919,Parameter!$A$35:$C$64,2,0),"Nein"))</f>
        <v>2+3</v>
      </c>
      <c r="CA919" s="52" t="n">
        <f aca="false">IF(BW919=0,0,IF(N(S919)&gt;0,S919,IFERROR(VLOOKUP(D919,Parameter!$A$35:$C$64,3,0)+0,0)))</f>
        <v>0</v>
      </c>
      <c r="CB919" s="48" t="n">
        <f aca="false">IF(AA919&lt;&gt;"",AA919,Z919)</f>
        <v>3</v>
      </c>
      <c r="CC919" s="48" t="str">
        <f aca="false">IF(OR(CB919=1,CB919=2,CB919=3),IF(Parameter!$E$27="Ja","LIFT",IF(CB919=1,"L1","L23")),IF(CB919="Aussen","Aussen","-"))</f>
        <v>LIFT</v>
      </c>
      <c r="CD919" s="59" t="n">
        <f aca="false">IF(N(AB919)&gt;0,AB919,0)</f>
        <v>0</v>
      </c>
      <c r="CE919" s="53" t="n">
        <f aca="false">IF(ISNUMBER(AE919),1,0)</f>
        <v>0</v>
      </c>
      <c r="CF919" s="50" t="n">
        <f aca="false">N(AE919)</f>
        <v>0</v>
      </c>
      <c r="CG919" s="50" t="n">
        <f aca="false">N(M919)+N(N919)</f>
        <v>1</v>
      </c>
      <c r="CH919" s="50" t="n">
        <f aca="false">ROUNDUP(H919/BV919,0)</f>
        <v>0</v>
      </c>
      <c r="CI919" s="50" t="n">
        <f aca="false">ROUNDUP(CF919/BV919,0)</f>
        <v>0</v>
      </c>
      <c r="CJ919" s="53" t="n">
        <f aca="false">IF(BW919=1,0,IFERROR(VLOOKUP(BU919,'Gebinde-Kategorie'!$A$5:$N$45,5,0)+0,0))</f>
        <v>11</v>
      </c>
      <c r="CK919" s="53" t="n">
        <f aca="false">IFERROR(IF(OR(CB919=1,CB919=2,CB919=3),N(INDEX(Parameter!$I$5:$I$7,CB919)),0),0)</f>
        <v>0</v>
      </c>
      <c r="CL919" s="52" t="n">
        <f aca="false">IF(AND(Parameter!$B$21="Ja",ISNUMBER(W919),N(X919)&gt;0),IFERROR(N(INDEX(Parameter!$L$5:$L$7,W919))*INDEX(Parameter!$E$5:$E$7,W919)*X919/SUMIFS($X$7:$X$1843,$W$7:$W$1843,W919),0),0)</f>
        <v>0</v>
      </c>
    </row>
    <row r="920" customFormat="false" ht="15" hidden="false" customHeight="false" outlineLevel="0" collapsed="false">
      <c r="A920" s="48" t="s">
        <v>1725</v>
      </c>
      <c r="B920" s="48" t="s">
        <v>409</v>
      </c>
      <c r="C920" s="48" t="s">
        <v>168</v>
      </c>
      <c r="D920" s="48" t="s">
        <v>188</v>
      </c>
      <c r="E920" s="48" t="s">
        <v>189</v>
      </c>
      <c r="F920" s="48" t="s">
        <v>222</v>
      </c>
      <c r="G920" s="49" t="n">
        <v>0.02</v>
      </c>
      <c r="H920" s="50" t="n">
        <f aca="false">MAX(0,IF(AND(Parameter!$B$21="Ja",ISNUMBER(Y920)),Y920,IF(Parameter!$B$20="Jahresanfang 2025 + Export",BO920+BN920,BN920)))</f>
        <v>695</v>
      </c>
      <c r="I920" s="50" t="n">
        <f aca="false">H920*G920</f>
        <v>13.9</v>
      </c>
      <c r="J920" s="50" t="n">
        <f aca="false">BQ920*Parameter!$B$18</f>
        <v>5412</v>
      </c>
      <c r="K920" s="51" t="n">
        <v>3182.5</v>
      </c>
      <c r="L920" s="52" t="n">
        <v>1.70054988216811</v>
      </c>
      <c r="M920" s="50" t="n">
        <v>315</v>
      </c>
      <c r="N920" s="50" t="n">
        <v>2000</v>
      </c>
      <c r="O920" s="53" t="n">
        <v>21</v>
      </c>
      <c r="P920" s="48" t="s">
        <v>306</v>
      </c>
      <c r="Q920" s="50" t="n">
        <v>2951</v>
      </c>
      <c r="R920" s="53" t="n">
        <f aca="false">IF(BW920=1,0,IFERROR(VLOOKUP(BU920,'Gebinde-Kategorie'!$A$5:$N$45,13,0)+0,0))</f>
        <v>26</v>
      </c>
      <c r="S920" s="54"/>
      <c r="T920" s="55"/>
      <c r="U920" s="55"/>
      <c r="V920" s="55"/>
      <c r="W920" s="48"/>
      <c r="X920" s="50"/>
      <c r="Y920" s="50"/>
      <c r="Z920" s="48" t="n">
        <f aca="false">IF(A920="","",IF(AND(Parameter!$B$21="Ja",ISNUMBER(W920)),W920,IF(BZ920="2+3",IF(ISNUMBER(SEARCH("grosser Artikel",BR920)),2,IFERROR(VLOOKUP(BU920,Parameter!$F$35:$G$64,2,0),2)),IF(OR(BZ920="Nein",BZ920=""),"-",BZ920))))</f>
        <v>3</v>
      </c>
      <c r="AA920" s="55"/>
      <c r="AB920" s="56"/>
      <c r="AC920" s="50" t="n">
        <f aca="false">AT920</f>
        <v>2951</v>
      </c>
      <c r="AD920" s="50" t="n">
        <f aca="false">MAX(AT920,H920)</f>
        <v>2951</v>
      </c>
      <c r="AE920" s="57"/>
      <c r="AF920" s="50" t="n">
        <f aca="false">IF(LEFT(Cockpit!$C$5,1)="A",H920,IF(CE920=1,CF920,IF(LEFT(Cockpit!$C$5,1)="B",AK920,MAX(AK920,H920))))</f>
        <v>695</v>
      </c>
      <c r="AG920" s="50" t="n">
        <f aca="false">IF(BW920=1,0,ROUNDUP(AF920/BV920,0))</f>
        <v>1</v>
      </c>
      <c r="AH920" s="52" t="n">
        <f aca="false">IF(CL920&gt;0,CL920*MAX(1,AF920/X920),IF(BW920=1,IF(AF920&lt;=0,0,CA920*MAX(1,IF(H920&gt;0,AF920/H920,1))),IF(R920&gt;0,AG920/R920,0))/MAX(0.1,N(Parameter!$M$21)))</f>
        <v>0.0384615384615385</v>
      </c>
      <c r="AI920" s="50" t="n">
        <f aca="false">AH920*BY920</f>
        <v>5.96153846153846</v>
      </c>
      <c r="AJ920" s="50" t="n">
        <f aca="false">AF920*G920</f>
        <v>13.9</v>
      </c>
      <c r="AK920" s="50" t="n">
        <f aca="false">ROUNDUP(MAX(J920/IF(CD920&gt;0,CD920,MAX(0.1,N(Cockpit!$C$6))),CG920)/BV920,0)*BV920</f>
        <v>2951</v>
      </c>
      <c r="AL920" s="51" t="n">
        <f aca="false">IF(AI920&gt;0,J920/AI920,-1)</f>
        <v>907.81935483871</v>
      </c>
      <c r="AM920" s="51" t="n">
        <f aca="false">IF(AND(OR(CC920="L1",CC920="L23",CC920="LIFT"),AI920&gt;0),SUMIFS($AI$7:$AI$1843,$CC$7:$CC$1843,CC920,$AL$7:$AL$1843,"&gt;"&amp;AL920)+SUMIFS($AI$7:$AI$1843,$CC$7:$CC$1843,CC920,$AL$7:$AL$1843,AL920,$BT$7:$BT$1843,"&lt;="&amp;BT920),"")</f>
        <v>24.9532967032967</v>
      </c>
      <c r="AN920" s="58" t="n">
        <f aca="false">IF(AM920="",0,MAX(0,MIN(1,(IF(CC920="L1",Parameter!$H$5,IF(CC920="L23",Parameter!$H$6+Parameter!$H$7,Parameter!$H$5+Parameter!$H$6+Parameter!$H$7))-(AM920-AI920))/AI920)))</f>
        <v>1</v>
      </c>
      <c r="AO920" s="50" t="n">
        <f aca="false">IF(LEFT(Cockpit!$I$5,1)="A",H920,IF(CE920=1,CF920,IF(LEFT(Cockpit!$I$5,1)="B",AT920,MAX(AT920,H920))))</f>
        <v>2951</v>
      </c>
      <c r="AP920" s="50" t="n">
        <f aca="false">IF(BW920=1,0,ROUNDUP(AO920/BV920,0))</f>
        <v>1</v>
      </c>
      <c r="AQ920" s="52" t="n">
        <f aca="false">IF(CL920&gt;0,CL920*MAX(1,AO920/X920),IF(BW920=1,IF(AO920&lt;=0,0,CA920*MAX(1,IF(H920&gt;0,AO920/H920,1))),IF(R920&gt;0,AP920/R920,0))/MAX(0.1,N(Parameter!$M$21)))</f>
        <v>0.0384615384615385</v>
      </c>
      <c r="AR920" s="50" t="n">
        <f aca="false">AQ920*BY920</f>
        <v>5.96153846153846</v>
      </c>
      <c r="AS920" s="50" t="n">
        <f aca="false">AO920*G920</f>
        <v>59.02</v>
      </c>
      <c r="AT920" s="50" t="n">
        <f aca="false">ROUNDUP(MAX(J920/IF(CD920&gt;0,CD920,MAX(0.1,N(Cockpit!$I$6))),CG920)/BV920,0)*BV920</f>
        <v>2951</v>
      </c>
      <c r="AU920" s="51" t="n">
        <f aca="false">IF(AR920&gt;0,J920/AR920,-1)</f>
        <v>907.81935483871</v>
      </c>
      <c r="AV920" s="51" t="n">
        <f aca="false">IF(AND(OR(CC920="L1",CC920="L23",CC920="LIFT"),AR920&gt;0),SUMIFS($AR$7:$AR$1843,$CC$7:$CC$1843,CC920,$AU$7:$AU$1843,"&gt;"&amp;AU920)+SUMIFS($AR$7:$AR$1843,$CC$7:$CC$1843,CC920,$AU$7:$AU$1843,AU920,$BT$7:$BT$1843,"&lt;="&amp;BT920),"")</f>
        <v>15.4574175824176</v>
      </c>
      <c r="AW920" s="58" t="n">
        <f aca="false">IF(AV920="",0,MAX(0,MIN(1,(IF(CC920="L1",Parameter!$H$5,IF(CC920="L23",Parameter!$H$6+Parameter!$H$7,Parameter!$H$5+Parameter!$H$6+Parameter!$H$7))-(AV920-AR920))/AR920)))</f>
        <v>1</v>
      </c>
      <c r="AX920" s="50" t="n">
        <f aca="false">IF(LEFT(Cockpit!$O$5,1)="A",H920,IF(CE920=1,CF920,IF(LEFT(Cockpit!$O$5,1)="B",BC920,MAX(BC920,H920))))</f>
        <v>2951</v>
      </c>
      <c r="AY920" s="50" t="n">
        <f aca="false">IF(BW920=1,0,ROUNDUP(AX920/BV920,0))</f>
        <v>1</v>
      </c>
      <c r="AZ920" s="52" t="n">
        <f aca="false">IF(CL920&gt;0,CL920*MAX(1,AX920/X920),IF(BW920=1,IF(AX920&lt;=0,0,CA920*MAX(1,IF(H920&gt;0,AX920/H920,1))),IF(R920&gt;0,AY920/R920,0))/MAX(0.1,N(Parameter!$M$21)))</f>
        <v>0.0384615384615385</v>
      </c>
      <c r="BA920" s="50" t="n">
        <f aca="false">AZ920*BY920</f>
        <v>5.96153846153846</v>
      </c>
      <c r="BB920" s="50" t="n">
        <f aca="false">AX920*G920</f>
        <v>59.02</v>
      </c>
      <c r="BC920" s="50" t="n">
        <f aca="false">ROUNDUP(MAX(J920/IF(CD920&gt;0,CD920,MAX(0.1,N(Cockpit!$O$6))),CG920)/BV920,0)*BV920</f>
        <v>2951</v>
      </c>
      <c r="BD920" s="51" t="n">
        <f aca="false">IF(BA920&gt;0,J920/BA920,-1)</f>
        <v>907.81935483871</v>
      </c>
      <c r="BE920" s="51" t="n">
        <f aca="false">IF(AND(OR(CC920="L1",CC920="L23",CC920="LIFT"),BA920&gt;0),SUMIFS($BA$7:$BA$1843,$CC$7:$CC$1843,CC920,$BD$7:$BD$1843,"&gt;"&amp;BD920)+SUMIFS($BA$7:$BA$1843,$CC$7:$CC$1843,CC920,$BD$7:$BD$1843,BD920,$BT$7:$BT$1843,"&lt;="&amp;BT920),"")</f>
        <v>15.4574175824176</v>
      </c>
      <c r="BF920" s="58" t="n">
        <f aca="false">IF(BE920="",0,MAX(0,MIN(1,(IF(CC920="L1",Parameter!$H$5,IF(CC920="L23",Parameter!$H$6+Parameter!$H$7,Parameter!$H$5+Parameter!$H$6+Parameter!$H$7))-(BE920-BA920))/BA920)))</f>
        <v>1</v>
      </c>
      <c r="BG920" s="48" t="str">
        <f aca="false">IF(AI920&lt;=0,"",IF(CC920="Aussen","Aussenlager",IF(CC920="-","Nicht im Lift",IF(AN920&gt;=1,"Lift",IF(AN920&lt;=0,"Aussenlager","teilweise")))))</f>
        <v>Lift</v>
      </c>
      <c r="BH920" s="48" t="str">
        <f aca="false">IF(AR920&lt;=0,"",IF(CC920="Aussen","Aussenlager",IF(CC920="-","Nicht im Lift",IF(AW920&gt;=1,"Lift",IF(AW920&lt;=0,"Aussenlager","teilweise")))))</f>
        <v>Lift</v>
      </c>
      <c r="BI920" s="48" t="str">
        <f aca="false">IF(BA920&lt;=0,"",IF(CC920="Aussen","Aussenlager",IF(CC920="-","Nicht im Lift",IF(BF920&gt;=1,"Lift",IF(BF920&lt;=0,"Aussenlager","teilweise")))))</f>
        <v>Lift</v>
      </c>
      <c r="BJ920" s="48" t="str">
        <f aca="false">IF(A920="","",IF(BS920=1,"Neu; ","")&amp;IF(AND(BS920=0,BN920&lt;0),"negativer Bestand (Export "&amp;BN920&amp;"); ","")&amp;IF(J920&lt;=0,"Kein Verbrauch; ","")&amp;IF(CL920&gt;0,"Lift "&amp;W920&amp;" lt. Liftbericht (Fach "&amp;X920&amp;" Stk); ",IF(BX920=1,"Gebinde geschätzt ("&amp;T920&amp;"); ",IF(BW920=1,"Lose – Tablare geschätzt; ","")))&amp;IF(H920&gt;AT920,"Überbestand "&amp;ROUND(H920-AT920,0)&amp;" Stk / CHF "&amp;ROUND((H920-AT920)*G920,0)&amp;"; ","")&amp;IF(AND(CE920=1,CF920&lt;CG920),"MAX &lt; MB+LG; ","")&amp;IF(AND(CK920&gt;0,CJ920*10&gt;CK920),"zu hoch für Tablar; ","")&amp;IF(AND(BS920=0,OR(CE920=1,AA920&lt;&gt;"",U920&lt;&gt;"",V920&lt;&gt;"",AB920&lt;&gt;"")),"manuell übersteuert; ","")&amp;IF(AND(BW920=0,R920=0),"Gebinde unbekannt / Stellmass fehlt; ","")&amp;IF(AND(BW920=0,N(V920)&lt;=0,N(Q920)&lt;=0),"Menge pro Gebinde fehlt (Ist = 1 Gebinde); ","")&amp;BR920)</f>
        <v>negativer Bestand (Export -2198); </v>
      </c>
      <c r="BK920" s="48"/>
      <c r="BL920" s="48"/>
      <c r="BM920" s="55"/>
      <c r="BN920" s="50" t="n">
        <v>-2198</v>
      </c>
      <c r="BO920" s="50" t="n">
        <v>2893</v>
      </c>
      <c r="BP920" s="49" t="n">
        <v>-43.96</v>
      </c>
      <c r="BQ920" s="50" t="n">
        <v>5412</v>
      </c>
      <c r="BR920" s="48"/>
      <c r="BS920" s="53" t="n">
        <v>0</v>
      </c>
      <c r="BT920" s="53" t="n">
        <v>920</v>
      </c>
      <c r="BU920" s="48" t="str">
        <f aca="false">IF(U920&lt;&gt;"",UPPER(TRIM(U920)),IF(BX920=1,UPPER(VLOOKUP(T920,Parameter!$I$27:$K$29,2,0)),IF(P920="","LOSE",P920)))</f>
        <v>S51</v>
      </c>
      <c r="BV920" s="50" t="n">
        <f aca="false">IF(BU920="LOSE",1,IF(N(V920)&gt;0,V920,IF(BX920=1,MAX(1,N(VLOOKUP(T920,Parameter!$I$27:$K$29,3,0)),H920,N(N920)),IF(N(Q920)&gt;0,Q920,MAX(1,H920)))))</f>
        <v>2951</v>
      </c>
      <c r="BW920" s="53" t="n">
        <f aca="false">IF(BU920="LOSE",1,0)</f>
        <v>0</v>
      </c>
      <c r="BX920" s="53" t="n">
        <f aca="false">IF(AND(U920="",OR(P920="",P920="LOSE"),T920&lt;&gt;"",N(S920)&lt;=0,ISNUMBER(MATCH(T920,Parameter!$I$27:$I$29,0))),1,0)</f>
        <v>0</v>
      </c>
      <c r="BY920" s="53" t="n">
        <f aca="false">IF(CL920&gt;0,INDEX(Parameter!$H$5:$H$7,W920)/INDEX(Parameter!$E$5:$E$7,W920),IF(AND(BW920=0,N(IFERROR(VLOOKUP(BU920,'Gebinde-Kategorie'!$A$5:$N$45,14,0),0))&gt;0),VLOOKUP(BU920,'Gebinde-Kategorie'!$A$5:$N$45,14,0)*10+Parameter!$M$23,Parameter!$M$24))</f>
        <v>155</v>
      </c>
      <c r="BZ920" s="48" t="str">
        <f aca="false">IF(AND(Parameter!$B$19="Ja",E920&lt;&gt;"",ISNUMBER(MATCH(E920,Parameter!$I$35:$I$52,0))),VLOOKUP(E920,Parameter!$I$35:$J$52,2,0),IFERROR(VLOOKUP(D920,Parameter!$A$35:$C$64,2,0),"Nein"))</f>
        <v>2+3</v>
      </c>
      <c r="CA920" s="52" t="n">
        <f aca="false">IF(BW920=0,0,IF(N(S920)&gt;0,S920,IFERROR(VLOOKUP(D920,Parameter!$A$35:$C$64,3,0)+0,0)))</f>
        <v>0</v>
      </c>
      <c r="CB920" s="48" t="n">
        <f aca="false">IF(AA920&lt;&gt;"",AA920,Z920)</f>
        <v>3</v>
      </c>
      <c r="CC920" s="48" t="str">
        <f aca="false">IF(OR(CB920=1,CB920=2,CB920=3),IF(Parameter!$E$27="Ja","LIFT",IF(CB920=1,"L1","L23")),IF(CB920="Aussen","Aussen","-"))</f>
        <v>LIFT</v>
      </c>
      <c r="CD920" s="59" t="n">
        <f aca="false">IF(N(AB920)&gt;0,AB920,0)</f>
        <v>0</v>
      </c>
      <c r="CE920" s="53" t="n">
        <f aca="false">IF(ISNUMBER(AE920),1,0)</f>
        <v>0</v>
      </c>
      <c r="CF920" s="50" t="n">
        <f aca="false">N(AE920)</f>
        <v>0</v>
      </c>
      <c r="CG920" s="50" t="n">
        <f aca="false">N(M920)+N(N920)</f>
        <v>2315</v>
      </c>
      <c r="CH920" s="50" t="n">
        <f aca="false">ROUNDUP(H920/BV920,0)</f>
        <v>1</v>
      </c>
      <c r="CI920" s="50" t="n">
        <f aca="false">ROUNDUP(CF920/BV920,0)</f>
        <v>0</v>
      </c>
      <c r="CJ920" s="53" t="n">
        <f aca="false">IF(BW920=1,0,IFERROR(VLOOKUP(BU920,'Gebinde-Kategorie'!$A$5:$N$45,5,0)+0,0))</f>
        <v>11</v>
      </c>
      <c r="CK920" s="53" t="n">
        <f aca="false">IFERROR(IF(OR(CB920=1,CB920=2,CB920=3),N(INDEX(Parameter!$I$5:$I$7,CB920)),0),0)</f>
        <v>0</v>
      </c>
      <c r="CL920" s="52" t="n">
        <f aca="false">IF(AND(Parameter!$B$21="Ja",ISNUMBER(W920),N(X920)&gt;0),IFERROR(N(INDEX(Parameter!$L$5:$L$7,W920))*INDEX(Parameter!$E$5:$E$7,W920)*X920/SUMIFS($X$7:$X$1843,$W$7:$W$1843,W920),0),0)</f>
        <v>0</v>
      </c>
    </row>
    <row r="921" customFormat="false" ht="15" hidden="false" customHeight="false" outlineLevel="0" collapsed="false">
      <c r="A921" s="48" t="s">
        <v>1726</v>
      </c>
      <c r="B921" s="48" t="s">
        <v>728</v>
      </c>
      <c r="C921" s="48" t="s">
        <v>168</v>
      </c>
      <c r="D921" s="48" t="s">
        <v>188</v>
      </c>
      <c r="E921" s="48" t="s">
        <v>189</v>
      </c>
      <c r="F921" s="48" t="s">
        <v>222</v>
      </c>
      <c r="G921" s="49" t="n">
        <v>39.78</v>
      </c>
      <c r="H921" s="50" t="n">
        <f aca="false">MAX(0,IF(AND(Parameter!$B$21="Ja",ISNUMBER(Y921)),Y921,IF(Parameter!$B$20="Jahresanfang 2025 + Export",BO921+BN921,BN921)))</f>
        <v>10</v>
      </c>
      <c r="I921" s="50" t="n">
        <f aca="false">H921*G921</f>
        <v>397.8</v>
      </c>
      <c r="J921" s="50" t="n">
        <f aca="false">BQ921*Parameter!$B$18</f>
        <v>4</v>
      </c>
      <c r="K921" s="51" t="n">
        <v>8</v>
      </c>
      <c r="L921" s="52" t="n">
        <v>0.5</v>
      </c>
      <c r="M921" s="50" t="n">
        <v>0</v>
      </c>
      <c r="N921" s="50" t="n">
        <v>5</v>
      </c>
      <c r="O921" s="53" t="n">
        <v>17</v>
      </c>
      <c r="P921" s="48" t="s">
        <v>425</v>
      </c>
      <c r="Q921" s="50" t="n">
        <v>13</v>
      </c>
      <c r="R921" s="53" t="n">
        <f aca="false">IF(BW921=1,0,IFERROR(VLOOKUP(BU921,'Gebinde-Kategorie'!$A$5:$N$45,13,0)+0,0))</f>
        <v>104</v>
      </c>
      <c r="S921" s="54"/>
      <c r="T921" s="55"/>
      <c r="U921" s="55"/>
      <c r="V921" s="55"/>
      <c r="W921" s="48"/>
      <c r="X921" s="50"/>
      <c r="Y921" s="50"/>
      <c r="Z921" s="48" t="n">
        <f aca="false">IF(A921="","",IF(AND(Parameter!$B$21="Ja",ISNUMBER(W921)),W921,IF(BZ921="2+3",IF(ISNUMBER(SEARCH("grosser Artikel",BR921)),2,IFERROR(VLOOKUP(BU921,Parameter!$F$35:$G$64,2,0),2)),IF(OR(BZ921="Nein",BZ921=""),"-",BZ921))))</f>
        <v>3</v>
      </c>
      <c r="AA921" s="55"/>
      <c r="AB921" s="56"/>
      <c r="AC921" s="50" t="n">
        <f aca="false">AT921</f>
        <v>13</v>
      </c>
      <c r="AD921" s="50" t="n">
        <f aca="false">MAX(AT921,H921)</f>
        <v>13</v>
      </c>
      <c r="AE921" s="57"/>
      <c r="AF921" s="50" t="n">
        <f aca="false">IF(LEFT(Cockpit!$C$5,1)="A",H921,IF(CE921=1,CF921,IF(LEFT(Cockpit!$C$5,1)="B",AK921,MAX(AK921,H921))))</f>
        <v>10</v>
      </c>
      <c r="AG921" s="50" t="n">
        <f aca="false">IF(BW921=1,0,ROUNDUP(AF921/BV921,0))</f>
        <v>1</v>
      </c>
      <c r="AH921" s="52" t="n">
        <f aca="false">IF(CL921&gt;0,CL921*MAX(1,AF921/X921),IF(BW921=1,IF(AF921&lt;=0,0,CA921*MAX(1,IF(H921&gt;0,AF921/H921,1))),IF(R921&gt;0,AG921/R921,0))/MAX(0.1,N(Parameter!$M$21)))</f>
        <v>0.00961538461538462</v>
      </c>
      <c r="AI921" s="50" t="n">
        <f aca="false">AH921*BY921</f>
        <v>1.49038461538462</v>
      </c>
      <c r="AJ921" s="50" t="n">
        <f aca="false">AF921*G921</f>
        <v>397.8</v>
      </c>
      <c r="AK921" s="50" t="n">
        <f aca="false">ROUNDUP(MAX(J921/IF(CD921&gt;0,CD921,MAX(0.1,N(Cockpit!$C$6))),CG921)/BV921,0)*BV921</f>
        <v>13</v>
      </c>
      <c r="AL921" s="51" t="n">
        <f aca="false">IF(AI921&gt;0,J921/AI921,-1)</f>
        <v>2.68387096774194</v>
      </c>
      <c r="AM921" s="51" t="n">
        <f aca="false">IF(AND(OR(CC921="L1",CC921="L23",CC921="LIFT"),AI921&gt;0),SUMIFS($AI$7:$AI$1843,$CC$7:$CC$1843,CC921,$AL$7:$AL$1843,"&gt;"&amp;AL921)+SUMIFS($AI$7:$AI$1843,$CC$7:$CC$1843,CC921,$AL$7:$AL$1843,AL921,$BT$7:$BT$1843,"&lt;="&amp;BT921),"")</f>
        <v>5332.40018315018</v>
      </c>
      <c r="AN921" s="58" t="n">
        <f aca="false">IF(AM921="",0,MAX(0,MIN(1,(IF(CC921="L1",Parameter!$H$5,IF(CC921="L23",Parameter!$H$6+Parameter!$H$7,Parameter!$H$5+Parameter!$H$6+Parameter!$H$7))-(AM921-AI921))/AI921)))</f>
        <v>1</v>
      </c>
      <c r="AO921" s="50" t="n">
        <f aca="false">IF(LEFT(Cockpit!$I$5,1)="A",H921,IF(CE921=1,CF921,IF(LEFT(Cockpit!$I$5,1)="B",AT921,MAX(AT921,H921))))</f>
        <v>13</v>
      </c>
      <c r="AP921" s="50" t="n">
        <f aca="false">IF(BW921=1,0,ROUNDUP(AO921/BV921,0))</f>
        <v>1</v>
      </c>
      <c r="AQ921" s="52" t="n">
        <f aca="false">IF(CL921&gt;0,CL921*MAX(1,AO921/X921),IF(BW921=1,IF(AO921&lt;=0,0,CA921*MAX(1,IF(H921&gt;0,AO921/H921,1))),IF(R921&gt;0,AP921/R921,0))/MAX(0.1,N(Parameter!$M$21)))</f>
        <v>0.00961538461538462</v>
      </c>
      <c r="AR921" s="50" t="n">
        <f aca="false">AQ921*BY921</f>
        <v>1.49038461538462</v>
      </c>
      <c r="AS921" s="50" t="n">
        <f aca="false">AO921*G921</f>
        <v>517.14</v>
      </c>
      <c r="AT921" s="50" t="n">
        <f aca="false">ROUNDUP(MAX(J921/IF(CD921&gt;0,CD921,MAX(0.1,N(Cockpit!$I$6))),CG921)/BV921,0)*BV921</f>
        <v>13</v>
      </c>
      <c r="AU921" s="51" t="n">
        <f aca="false">IF(AR921&gt;0,J921/AR921,-1)</f>
        <v>2.68387096774194</v>
      </c>
      <c r="AV921" s="51" t="n">
        <f aca="false">IF(AND(OR(CC921="L1",CC921="L23",CC921="LIFT"),AR921&gt;0),SUMIFS($AR$7:$AR$1843,$CC$7:$CC$1843,CC921,$AU$7:$AU$1843,"&gt;"&amp;AU921)+SUMIFS($AR$7:$AR$1843,$CC$7:$CC$1843,CC921,$AU$7:$AU$1843,AU921,$BT$7:$BT$1843,"&lt;="&amp;BT921),"")</f>
        <v>6712.10851648352</v>
      </c>
      <c r="AW921" s="58" t="n">
        <f aca="false">IF(AV921="",0,MAX(0,MIN(1,(IF(CC921="L1",Parameter!$H$5,IF(CC921="L23",Parameter!$H$6+Parameter!$H$7,Parameter!$H$5+Parameter!$H$6+Parameter!$H$7))-(AV921-AR921))/AR921)))</f>
        <v>1</v>
      </c>
      <c r="AX921" s="50" t="n">
        <f aca="false">IF(LEFT(Cockpit!$O$5,1)="A",H921,IF(CE921=1,CF921,IF(LEFT(Cockpit!$O$5,1)="B",BC921,MAX(BC921,H921))))</f>
        <v>13</v>
      </c>
      <c r="AY921" s="50" t="n">
        <f aca="false">IF(BW921=1,0,ROUNDUP(AX921/BV921,0))</f>
        <v>1</v>
      </c>
      <c r="AZ921" s="52" t="n">
        <f aca="false">IF(CL921&gt;0,CL921*MAX(1,AX921/X921),IF(BW921=1,IF(AX921&lt;=0,0,CA921*MAX(1,IF(H921&gt;0,AX921/H921,1))),IF(R921&gt;0,AY921/R921,0))/MAX(0.1,N(Parameter!$M$21)))</f>
        <v>0.00961538461538462</v>
      </c>
      <c r="BA921" s="50" t="n">
        <f aca="false">AZ921*BY921</f>
        <v>1.49038461538462</v>
      </c>
      <c r="BB921" s="50" t="n">
        <f aca="false">AX921*G921</f>
        <v>517.14</v>
      </c>
      <c r="BC921" s="50" t="n">
        <f aca="false">ROUNDUP(MAX(J921/IF(CD921&gt;0,CD921,MAX(0.1,N(Cockpit!$O$6))),CG921)/BV921,0)*BV921</f>
        <v>13</v>
      </c>
      <c r="BD921" s="51" t="n">
        <f aca="false">IF(BA921&gt;0,J921/BA921,-1)</f>
        <v>2.68387096774194</v>
      </c>
      <c r="BE921" s="51" t="n">
        <f aca="false">IF(AND(OR(CC921="L1",CC921="L23",CC921="LIFT"),BA921&gt;0),SUMIFS($BA$7:$BA$1843,$CC$7:$CC$1843,CC921,$BD$7:$BD$1843,"&gt;"&amp;BD921)+SUMIFS($BA$7:$BA$1843,$CC$7:$CC$1843,CC921,$BD$7:$BD$1843,BD921,$BT$7:$BT$1843,"&lt;="&amp;BT921),"")</f>
        <v>6495.26556776557</v>
      </c>
      <c r="BF921" s="58" t="n">
        <f aca="false">IF(BE921="",0,MAX(0,MIN(1,(IF(CC921="L1",Parameter!$H$5,IF(CC921="L23",Parameter!$H$6+Parameter!$H$7,Parameter!$H$5+Parameter!$H$6+Parameter!$H$7))-(BE921-BA921))/BA921)))</f>
        <v>1</v>
      </c>
      <c r="BG921" s="48" t="str">
        <f aca="false">IF(AI921&lt;=0,"",IF(CC921="Aussen","Aussenlager",IF(CC921="-","Nicht im Lift",IF(AN921&gt;=1,"Lift",IF(AN921&lt;=0,"Aussenlager","teilweise")))))</f>
        <v>Lift</v>
      </c>
      <c r="BH921" s="48" t="str">
        <f aca="false">IF(AR921&lt;=0,"",IF(CC921="Aussen","Aussenlager",IF(CC921="-","Nicht im Lift",IF(AW921&gt;=1,"Lift",IF(AW921&lt;=0,"Aussenlager","teilweise")))))</f>
        <v>Lift</v>
      </c>
      <c r="BI921" s="48" t="str">
        <f aca="false">IF(BA921&lt;=0,"",IF(CC921="Aussen","Aussenlager",IF(CC921="-","Nicht im Lift",IF(BF921&gt;=1,"Lift",IF(BF921&lt;=0,"Aussenlager","teilweise")))))</f>
        <v>Lift</v>
      </c>
      <c r="BJ921" s="48" t="str">
        <f aca="false">IF(A921="","",IF(BS921=1,"Neu; ","")&amp;IF(AND(BS921=0,BN921&lt;0),"negativer Bestand (Export "&amp;BN921&amp;"); ","")&amp;IF(J921&lt;=0,"Kein Verbrauch; ","")&amp;IF(CL921&gt;0,"Lift "&amp;W921&amp;" lt. Liftbericht (Fach "&amp;X921&amp;" Stk); ",IF(BX921=1,"Gebinde geschätzt ("&amp;T921&amp;"); ",IF(BW921=1,"Lose – Tablare geschätzt; ","")))&amp;IF(H921&gt;AT921,"Überbestand "&amp;ROUND(H921-AT921,0)&amp;" Stk / CHF "&amp;ROUND((H921-AT921)*G921,0)&amp;"; ","")&amp;IF(AND(CE921=1,CF921&lt;CG921),"MAX &lt; MB+LG; ","")&amp;IF(AND(CK921&gt;0,CJ921*10&gt;CK921),"zu hoch für Tablar; ","")&amp;IF(AND(BS921=0,OR(CE921=1,AA921&lt;&gt;"",U921&lt;&gt;"",V921&lt;&gt;"",AB921&lt;&gt;"")),"manuell übersteuert; ","")&amp;IF(AND(BW921=0,R921=0),"Gebinde unbekannt / Stellmass fehlt; ","")&amp;IF(AND(BW921=0,N(V921)&lt;=0,N(Q921)&lt;=0),"Menge pro Gebinde fehlt (Ist = 1 Gebinde); ","")&amp;BR921)</f>
        <v/>
      </c>
      <c r="BK921" s="48"/>
      <c r="BL921" s="48"/>
      <c r="BM921" s="55"/>
      <c r="BN921" s="50" t="n">
        <v>0</v>
      </c>
      <c r="BO921" s="50" t="n">
        <v>10</v>
      </c>
      <c r="BP921" s="49" t="n">
        <v>-44.0000000000001</v>
      </c>
      <c r="BQ921" s="50" t="n">
        <v>4</v>
      </c>
      <c r="BR921" s="48"/>
      <c r="BS921" s="53" t="n">
        <v>0</v>
      </c>
      <c r="BT921" s="53" t="n">
        <v>921</v>
      </c>
      <c r="BU921" s="48" t="str">
        <f aca="false">IF(U921&lt;&gt;"",UPPER(TRIM(U921)),IF(BX921=1,UPPER(VLOOKUP(T921,Parameter!$I$27:$K$29,2,0)),IF(P921="","LOSE",P921)))</f>
        <v>S32</v>
      </c>
      <c r="BV921" s="50" t="n">
        <f aca="false">IF(BU921="LOSE",1,IF(N(V921)&gt;0,V921,IF(BX921=1,MAX(1,N(VLOOKUP(T921,Parameter!$I$27:$K$29,3,0)),H921,N(N921)),IF(N(Q921)&gt;0,Q921,MAX(1,H921)))))</f>
        <v>13</v>
      </c>
      <c r="BW921" s="53" t="n">
        <f aca="false">IF(BU921="LOSE",1,0)</f>
        <v>0</v>
      </c>
      <c r="BX921" s="53" t="n">
        <f aca="false">IF(AND(U921="",OR(P921="",P921="LOSE"),T921&lt;&gt;"",N(S921)&lt;=0,ISNUMBER(MATCH(T921,Parameter!$I$27:$I$29,0))),1,0)</f>
        <v>0</v>
      </c>
      <c r="BY921" s="53" t="n">
        <f aca="false">IF(CL921&gt;0,INDEX(Parameter!$H$5:$H$7,W921)/INDEX(Parameter!$E$5:$E$7,W921),IF(AND(BW921=0,N(IFERROR(VLOOKUP(BU921,'Gebinde-Kategorie'!$A$5:$N$45,14,0),0))&gt;0),VLOOKUP(BU921,'Gebinde-Kategorie'!$A$5:$N$45,14,0)*10+Parameter!$M$23,Parameter!$M$24))</f>
        <v>155</v>
      </c>
      <c r="BZ921" s="48" t="str">
        <f aca="false">IF(AND(Parameter!$B$19="Ja",E921&lt;&gt;"",ISNUMBER(MATCH(E921,Parameter!$I$35:$I$52,0))),VLOOKUP(E921,Parameter!$I$35:$J$52,2,0),IFERROR(VLOOKUP(D921,Parameter!$A$35:$C$64,2,0),"Nein"))</f>
        <v>2+3</v>
      </c>
      <c r="CA921" s="52" t="n">
        <f aca="false">IF(BW921=0,0,IF(N(S921)&gt;0,S921,IFERROR(VLOOKUP(D921,Parameter!$A$35:$C$64,3,0)+0,0)))</f>
        <v>0</v>
      </c>
      <c r="CB921" s="48" t="n">
        <f aca="false">IF(AA921&lt;&gt;"",AA921,Z921)</f>
        <v>3</v>
      </c>
      <c r="CC921" s="48" t="str">
        <f aca="false">IF(OR(CB921=1,CB921=2,CB921=3),IF(Parameter!$E$27="Ja","LIFT",IF(CB921=1,"L1","L23")),IF(CB921="Aussen","Aussen","-"))</f>
        <v>LIFT</v>
      </c>
      <c r="CD921" s="59" t="n">
        <f aca="false">IF(N(AB921)&gt;0,AB921,0)</f>
        <v>0</v>
      </c>
      <c r="CE921" s="53" t="n">
        <f aca="false">IF(ISNUMBER(AE921),1,0)</f>
        <v>0</v>
      </c>
      <c r="CF921" s="50" t="n">
        <f aca="false">N(AE921)</f>
        <v>0</v>
      </c>
      <c r="CG921" s="50" t="n">
        <f aca="false">N(M921)+N(N921)</f>
        <v>5</v>
      </c>
      <c r="CH921" s="50" t="n">
        <f aca="false">ROUNDUP(H921/BV921,0)</f>
        <v>1</v>
      </c>
      <c r="CI921" s="50" t="n">
        <f aca="false">ROUNDUP(CF921/BV921,0)</f>
        <v>0</v>
      </c>
      <c r="CJ921" s="53" t="n">
        <f aca="false">IF(BW921=1,0,IFERROR(VLOOKUP(BU921,'Gebinde-Kategorie'!$A$5:$N$45,5,0)+0,0))</f>
        <v>8</v>
      </c>
      <c r="CK921" s="53" t="n">
        <f aca="false">IFERROR(IF(OR(CB921=1,CB921=2,CB921=3),N(INDEX(Parameter!$I$5:$I$7,CB921)),0),0)</f>
        <v>0</v>
      </c>
      <c r="CL921" s="52" t="n">
        <f aca="false">IF(AND(Parameter!$B$21="Ja",ISNUMBER(W921),N(X921)&gt;0),IFERROR(N(INDEX(Parameter!$L$5:$L$7,W921))*INDEX(Parameter!$E$5:$E$7,W921)*X921/SUMIFS($X$7:$X$1843,$W$7:$W$1843,W921),0),0)</f>
        <v>0</v>
      </c>
    </row>
    <row r="922" customFormat="false" ht="15" hidden="false" customHeight="false" outlineLevel="0" collapsed="false">
      <c r="A922" s="48" t="s">
        <v>1727</v>
      </c>
      <c r="B922" s="48" t="s">
        <v>1558</v>
      </c>
      <c r="C922" s="48" t="s">
        <v>168</v>
      </c>
      <c r="D922" s="48" t="s">
        <v>177</v>
      </c>
      <c r="E922" s="48" t="s">
        <v>469</v>
      </c>
      <c r="F922" s="48" t="s">
        <v>222</v>
      </c>
      <c r="G922" s="49" t="n">
        <v>0.75</v>
      </c>
      <c r="H922" s="50" t="n">
        <f aca="false">MAX(0,IF(AND(Parameter!$B$21="Ja",ISNUMBER(Y922)),Y922,IF(Parameter!$B$20="Jahresanfang 2025 + Export",BO922+BN922,BN922)))</f>
        <v>71</v>
      </c>
      <c r="I922" s="50" t="n">
        <f aca="false">H922*G922</f>
        <v>53.25</v>
      </c>
      <c r="J922" s="50" t="n">
        <f aca="false">BQ922*Parameter!$B$18</f>
        <v>463</v>
      </c>
      <c r="K922" s="51" t="n">
        <v>115.5</v>
      </c>
      <c r="L922" s="52" t="n">
        <v>4.00865800865801</v>
      </c>
      <c r="M922" s="50" t="n">
        <v>27</v>
      </c>
      <c r="N922" s="50" t="n">
        <v>100</v>
      </c>
      <c r="O922" s="53" t="n">
        <v>21</v>
      </c>
      <c r="P922" s="48" t="s">
        <v>172</v>
      </c>
      <c r="Q922" s="50"/>
      <c r="R922" s="53" t="n">
        <f aca="false">IF(BW922=1,0,IFERROR(VLOOKUP(BU922,'Gebinde-Kategorie'!$A$5:$N$45,13,0)+0,0))</f>
        <v>4</v>
      </c>
      <c r="S922" s="54"/>
      <c r="T922" s="55" t="s">
        <v>193</v>
      </c>
      <c r="U922" s="55"/>
      <c r="V922" s="55"/>
      <c r="W922" s="48"/>
      <c r="X922" s="50"/>
      <c r="Y922" s="50"/>
      <c r="Z922" s="48" t="str">
        <f aca="false">IF(A922="","",IF(AND(Parameter!$B$21="Ja",ISNUMBER(W922)),W922,IF(BZ922="2+3",IF(ISNUMBER(SEARCH("grosser Artikel",BR922)),2,IFERROR(VLOOKUP(BU922,Parameter!$F$35:$G$64,2,0),2)),IF(OR(BZ922="Nein",BZ922=""),"-",BZ922))))</f>
        <v>-</v>
      </c>
      <c r="AA922" s="55"/>
      <c r="AB922" s="56"/>
      <c r="AC922" s="50" t="n">
        <f aca="false">AT922</f>
        <v>300</v>
      </c>
      <c r="AD922" s="50" t="n">
        <f aca="false">MAX(AT922,H922)</f>
        <v>300</v>
      </c>
      <c r="AE922" s="57"/>
      <c r="AF922" s="50" t="n">
        <f aca="false">IF(LEFT(Cockpit!$C$5,1)="A",H922,IF(CE922=1,CF922,IF(LEFT(Cockpit!$C$5,1)="B",AK922,MAX(AK922,H922))))</f>
        <v>71</v>
      </c>
      <c r="AG922" s="50" t="n">
        <f aca="false">IF(BW922=1,0,ROUNDUP(AF922/BV922,0))</f>
        <v>1</v>
      </c>
      <c r="AH922" s="52" t="n">
        <f aca="false">IF(CL922&gt;0,CL922*MAX(1,AF922/X922),IF(BW922=1,IF(AF922&lt;=0,0,CA922*MAX(1,IF(H922&gt;0,AF922/H922,1))),IF(R922&gt;0,AG922/R922,0))/MAX(0.1,N(Parameter!$M$21)))</f>
        <v>0.25</v>
      </c>
      <c r="AI922" s="50" t="n">
        <f aca="false">AH922*BY922</f>
        <v>58.75</v>
      </c>
      <c r="AJ922" s="50" t="n">
        <f aca="false">AF922*G922</f>
        <v>53.25</v>
      </c>
      <c r="AK922" s="50" t="n">
        <f aca="false">ROUNDUP(MAX(J922/IF(CD922&gt;0,CD922,MAX(0.1,N(Cockpit!$C$6))),CG922)/BV922,0)*BV922</f>
        <v>300</v>
      </c>
      <c r="AL922" s="51" t="n">
        <f aca="false">IF(AI922&gt;0,J922/AI922,-1)</f>
        <v>7.88085106382979</v>
      </c>
      <c r="AM922" s="51" t="str">
        <f aca="false">IF(AND(OR(CC922="L1",CC922="L23",CC922="LIFT"),AI922&gt;0),SUMIFS($AI$7:$AI$1843,$CC$7:$CC$1843,CC922,$AL$7:$AL$1843,"&gt;"&amp;AL922)+SUMIFS($AI$7:$AI$1843,$CC$7:$CC$1843,CC922,$AL$7:$AL$1843,AL922,$BT$7:$BT$1843,"&lt;="&amp;BT922),"")</f>
        <v/>
      </c>
      <c r="AN922" s="58" t="n">
        <f aca="false">IF(AM922="",0,MAX(0,MIN(1,(IF(CC922="L1",Parameter!$H$5,IF(CC922="L23",Parameter!$H$6+Parameter!$H$7,Parameter!$H$5+Parameter!$H$6+Parameter!$H$7))-(AM922-AI922))/AI922)))</f>
        <v>0</v>
      </c>
      <c r="AO922" s="50" t="n">
        <f aca="false">IF(LEFT(Cockpit!$I$5,1)="A",H922,IF(CE922=1,CF922,IF(LEFT(Cockpit!$I$5,1)="B",AT922,MAX(AT922,H922))))</f>
        <v>300</v>
      </c>
      <c r="AP922" s="50" t="n">
        <f aca="false">IF(BW922=1,0,ROUNDUP(AO922/BV922,0))</f>
        <v>3</v>
      </c>
      <c r="AQ922" s="52" t="n">
        <f aca="false">IF(CL922&gt;0,CL922*MAX(1,AO922/X922),IF(BW922=1,IF(AO922&lt;=0,0,CA922*MAX(1,IF(H922&gt;0,AO922/H922,1))),IF(R922&gt;0,AP922/R922,0))/MAX(0.1,N(Parameter!$M$21)))</f>
        <v>0.75</v>
      </c>
      <c r="AR922" s="50" t="n">
        <f aca="false">AQ922*BY922</f>
        <v>176.25</v>
      </c>
      <c r="AS922" s="50" t="n">
        <f aca="false">AO922*G922</f>
        <v>225</v>
      </c>
      <c r="AT922" s="50" t="n">
        <f aca="false">ROUNDUP(MAX(J922/IF(CD922&gt;0,CD922,MAX(0.1,N(Cockpit!$I$6))),CG922)/BV922,0)*BV922</f>
        <v>300</v>
      </c>
      <c r="AU922" s="51" t="n">
        <f aca="false">IF(AR922&gt;0,J922/AR922,-1)</f>
        <v>2.62695035460993</v>
      </c>
      <c r="AV922" s="51" t="str">
        <f aca="false">IF(AND(OR(CC922="L1",CC922="L23",CC922="LIFT"),AR922&gt;0),SUMIFS($AR$7:$AR$1843,$CC$7:$CC$1843,CC922,$AU$7:$AU$1843,"&gt;"&amp;AU922)+SUMIFS($AR$7:$AR$1843,$CC$7:$CC$1843,CC922,$AU$7:$AU$1843,AU922,$BT$7:$BT$1843,"&lt;="&amp;BT922),"")</f>
        <v/>
      </c>
      <c r="AW922" s="58" t="n">
        <f aca="false">IF(AV922="",0,MAX(0,MIN(1,(IF(CC922="L1",Parameter!$H$5,IF(CC922="L23",Parameter!$H$6+Parameter!$H$7,Parameter!$H$5+Parameter!$H$6+Parameter!$H$7))-(AV922-AR922))/AR922)))</f>
        <v>0</v>
      </c>
      <c r="AX922" s="50" t="n">
        <f aca="false">IF(LEFT(Cockpit!$O$5,1)="A",H922,IF(CE922=1,CF922,IF(LEFT(Cockpit!$O$5,1)="B",BC922,MAX(BC922,H922))))</f>
        <v>200</v>
      </c>
      <c r="AY922" s="50" t="n">
        <f aca="false">IF(BW922=1,0,ROUNDUP(AX922/BV922,0))</f>
        <v>2</v>
      </c>
      <c r="AZ922" s="52" t="n">
        <f aca="false">IF(CL922&gt;0,CL922*MAX(1,AX922/X922),IF(BW922=1,IF(AX922&lt;=0,0,CA922*MAX(1,IF(H922&gt;0,AX922/H922,1))),IF(R922&gt;0,AY922/R922,0))/MAX(0.1,N(Parameter!$M$21)))</f>
        <v>0.5</v>
      </c>
      <c r="BA922" s="50" t="n">
        <f aca="false">AZ922*BY922</f>
        <v>117.5</v>
      </c>
      <c r="BB922" s="50" t="n">
        <f aca="false">AX922*G922</f>
        <v>150</v>
      </c>
      <c r="BC922" s="50" t="n">
        <f aca="false">ROUNDUP(MAX(J922/IF(CD922&gt;0,CD922,MAX(0.1,N(Cockpit!$O$6))),CG922)/BV922,0)*BV922</f>
        <v>200</v>
      </c>
      <c r="BD922" s="51" t="n">
        <f aca="false">IF(BA922&gt;0,J922/BA922,-1)</f>
        <v>3.94042553191489</v>
      </c>
      <c r="BE922" s="51" t="str">
        <f aca="false">IF(AND(OR(CC922="L1",CC922="L23",CC922="LIFT"),BA922&gt;0),SUMIFS($BA$7:$BA$1843,$CC$7:$CC$1843,CC922,$BD$7:$BD$1843,"&gt;"&amp;BD922)+SUMIFS($BA$7:$BA$1843,$CC$7:$CC$1843,CC922,$BD$7:$BD$1843,BD922,$BT$7:$BT$1843,"&lt;="&amp;BT922),"")</f>
        <v/>
      </c>
      <c r="BF922" s="58" t="n">
        <f aca="false">IF(BE922="",0,MAX(0,MIN(1,(IF(CC922="L1",Parameter!$H$5,IF(CC922="L23",Parameter!$H$6+Parameter!$H$7,Parameter!$H$5+Parameter!$H$6+Parameter!$H$7))-(BE922-BA922))/BA922)))</f>
        <v>0</v>
      </c>
      <c r="BG922" s="48" t="str">
        <f aca="false">IF(AI922&lt;=0,"",IF(CC922="Aussen","Aussenlager",IF(CC922="-","Nicht im Lift",IF(AN922&gt;=1,"Lift",IF(AN922&lt;=0,"Aussenlager","teilweise")))))</f>
        <v>Nicht im Lift</v>
      </c>
      <c r="BH922" s="48" t="str">
        <f aca="false">IF(AR922&lt;=0,"",IF(CC922="Aussen","Aussenlager",IF(CC922="-","Nicht im Lift",IF(AW922&gt;=1,"Lift",IF(AW922&lt;=0,"Aussenlager","teilweise")))))</f>
        <v>Nicht im Lift</v>
      </c>
      <c r="BI922" s="48" t="str">
        <f aca="false">IF(BA922&lt;=0,"",IF(CC922="Aussen","Aussenlager",IF(CC922="-","Nicht im Lift",IF(BF922&gt;=1,"Lift",IF(BF922&lt;=0,"Aussenlager","teilweise")))))</f>
        <v>Nicht im Lift</v>
      </c>
      <c r="BJ922" s="48" t="str">
        <f aca="false">IF(A922="","",IF(BS922=1,"Neu; ","")&amp;IF(AND(BS922=0,BN922&lt;0),"negativer Bestand (Export "&amp;BN922&amp;"); ","")&amp;IF(J922&lt;=0,"Kein Verbrauch; ","")&amp;IF(CL922&gt;0,"Lift "&amp;W922&amp;" lt. Liftbericht (Fach "&amp;X922&amp;" Stk); ",IF(BX922=1,"Gebinde geschätzt ("&amp;T922&amp;"); ",IF(BW922=1,"Lose – Tablare geschätzt; ","")))&amp;IF(H922&gt;AT922,"Überbestand "&amp;ROUND(H922-AT922,0)&amp;" Stk / CHF "&amp;ROUND((H922-AT922)*G922,0)&amp;"; ","")&amp;IF(AND(CE922=1,CF922&lt;CG922),"MAX &lt; MB+LG; ","")&amp;IF(AND(CK922&gt;0,CJ922*10&gt;CK922),"zu hoch für Tablar; ","")&amp;IF(AND(BS922=0,OR(CE922=1,AA922&lt;&gt;"",U922&lt;&gt;"",V922&lt;&gt;"",AB922&lt;&gt;"")),"manuell übersteuert; ","")&amp;IF(AND(BW922=0,R922=0),"Gebinde unbekannt / Stellmass fehlt; ","")&amp;IF(AND(BW922=0,N(V922)&lt;=0,N(Q922)&lt;=0),"Menge pro Gebinde fehlt (Ist = 1 Gebinde); ","")&amp;BR922)</f>
        <v>negativer Bestand (Export -86); Gebinde geschätzt (Gross); Menge pro Gebinde fehlt (Ist = 1 Gebinde); </v>
      </c>
      <c r="BK922" s="48"/>
      <c r="BL922" s="48"/>
      <c r="BM922" s="55"/>
      <c r="BN922" s="50" t="n">
        <v>-86</v>
      </c>
      <c r="BO922" s="50" t="n">
        <v>157</v>
      </c>
      <c r="BP922" s="49" t="n">
        <v>-44.09</v>
      </c>
      <c r="BQ922" s="50" t="n">
        <v>463</v>
      </c>
      <c r="BR922" s="48"/>
      <c r="BS922" s="53" t="n">
        <v>0</v>
      </c>
      <c r="BT922" s="53" t="n">
        <v>922</v>
      </c>
      <c r="BU922" s="48" t="str">
        <f aca="false">IF(U922&lt;&gt;"",UPPER(TRIM(U922)),IF(BX922=1,UPPER(VLOOKUP(T922,Parameter!$I$27:$K$29,2,0)),IF(P922="","LOSE",P922)))</f>
        <v>S81</v>
      </c>
      <c r="BV922" s="50" t="n">
        <f aca="false">IF(BU922="LOSE",1,IF(N(V922)&gt;0,V922,IF(BX922=1,MAX(1,N(VLOOKUP(T922,Parameter!$I$27:$K$29,3,0)),H922,N(N922)),IF(N(Q922)&gt;0,Q922,MAX(1,H922)))))</f>
        <v>100</v>
      </c>
      <c r="BW922" s="53" t="n">
        <f aca="false">IF(BU922="LOSE",1,0)</f>
        <v>0</v>
      </c>
      <c r="BX922" s="53" t="n">
        <f aca="false">IF(AND(U922="",OR(P922="",P922="LOSE"),T922&lt;&gt;"",N(S922)&lt;=0,ISNUMBER(MATCH(T922,Parameter!$I$27:$I$29,0))),1,0)</f>
        <v>1</v>
      </c>
      <c r="BY922" s="53" t="n">
        <f aca="false">IF(CL922&gt;0,INDEX(Parameter!$H$5:$H$7,W922)/INDEX(Parameter!$E$5:$E$7,W922),IF(AND(BW922=0,N(IFERROR(VLOOKUP(BU922,'Gebinde-Kategorie'!$A$5:$N$45,14,0),0))&gt;0),VLOOKUP(BU922,'Gebinde-Kategorie'!$A$5:$N$45,14,0)*10+Parameter!$M$23,Parameter!$M$24))</f>
        <v>235</v>
      </c>
      <c r="BZ922" s="48" t="str">
        <f aca="false">IF(AND(Parameter!$B$19="Ja",E922&lt;&gt;"",ISNUMBER(MATCH(E922,Parameter!$I$35:$I$52,0))),VLOOKUP(E922,Parameter!$I$35:$J$52,2,0),IFERROR(VLOOKUP(D922,Parameter!$A$35:$C$64,2,0),"Nein"))</f>
        <v>Nein</v>
      </c>
      <c r="CA922" s="52" t="n">
        <f aca="false">IF(BW922=0,0,IF(N(S922)&gt;0,S922,IFERROR(VLOOKUP(D922,Parameter!$A$35:$C$64,3,0)+0,0)))</f>
        <v>0</v>
      </c>
      <c r="CB922" s="48" t="str">
        <f aca="false">IF(AA922&lt;&gt;"",AA922,Z922)</f>
        <v>-</v>
      </c>
      <c r="CC922" s="48" t="str">
        <f aca="false">IF(OR(CB922=1,CB922=2,CB922=3),IF(Parameter!$E$27="Ja","LIFT",IF(CB922=1,"L1","L23")),IF(CB922="Aussen","Aussen","-"))</f>
        <v>-</v>
      </c>
      <c r="CD922" s="59" t="n">
        <f aca="false">IF(N(AB922)&gt;0,AB922,0)</f>
        <v>0</v>
      </c>
      <c r="CE922" s="53" t="n">
        <f aca="false">IF(ISNUMBER(AE922),1,0)</f>
        <v>0</v>
      </c>
      <c r="CF922" s="50" t="n">
        <f aca="false">N(AE922)</f>
        <v>0</v>
      </c>
      <c r="CG922" s="50" t="n">
        <f aca="false">N(M922)+N(N922)</f>
        <v>127</v>
      </c>
      <c r="CH922" s="50" t="n">
        <f aca="false">ROUNDUP(H922/BV922,0)</f>
        <v>1</v>
      </c>
      <c r="CI922" s="50" t="n">
        <f aca="false">ROUNDUP(CF922/BV922,0)</f>
        <v>0</v>
      </c>
      <c r="CJ922" s="53" t="n">
        <f aca="false">IF(BW922=1,0,IFERROR(VLOOKUP(BU922,'Gebinde-Kategorie'!$A$5:$N$45,5,0)+0,0))</f>
        <v>20</v>
      </c>
      <c r="CK922" s="53" t="n">
        <f aca="false">IFERROR(IF(OR(CB922=1,CB922=2,CB922=3),N(INDEX(Parameter!$I$5:$I$7,CB922)),0),0)</f>
        <v>0</v>
      </c>
      <c r="CL922" s="52" t="n">
        <f aca="false">IF(AND(Parameter!$B$21="Ja",ISNUMBER(W922),N(X922)&gt;0),IFERROR(N(INDEX(Parameter!$L$5:$L$7,W922))*INDEX(Parameter!$E$5:$E$7,W922)*X922/SUMIFS($X$7:$X$1843,$W$7:$W$1843,W922),0),0)</f>
        <v>0</v>
      </c>
    </row>
    <row r="923" customFormat="false" ht="15" hidden="false" customHeight="false" outlineLevel="0" collapsed="false">
      <c r="A923" s="48" t="s">
        <v>1728</v>
      </c>
      <c r="B923" s="48" t="s">
        <v>1729</v>
      </c>
      <c r="C923" s="48" t="s">
        <v>168</v>
      </c>
      <c r="D923" s="48" t="s">
        <v>177</v>
      </c>
      <c r="E923" s="48" t="s">
        <v>189</v>
      </c>
      <c r="F923" s="48" t="s">
        <v>222</v>
      </c>
      <c r="G923" s="49" t="n">
        <v>2.29</v>
      </c>
      <c r="H923" s="50" t="n">
        <f aca="false">MAX(0,IF(AND(Parameter!$B$21="Ja",ISNUMBER(Y923)),Y923,IF(Parameter!$B$20="Jahresanfang 2025 + Export",BO923+BN923,BN923)))</f>
        <v>870</v>
      </c>
      <c r="I923" s="50" t="n">
        <f aca="false">H923*G923</f>
        <v>1992.3</v>
      </c>
      <c r="J923" s="50" t="n">
        <f aca="false">BQ923*Parameter!$B$18</f>
        <v>20</v>
      </c>
      <c r="K923" s="51" t="n">
        <v>880</v>
      </c>
      <c r="L923" s="52" t="n">
        <v>0.0227272727272727</v>
      </c>
      <c r="M923" s="50" t="n">
        <v>1</v>
      </c>
      <c r="N923" s="50" t="n">
        <v>20</v>
      </c>
      <c r="O923" s="53" t="n">
        <v>21</v>
      </c>
      <c r="P923" s="48" t="s">
        <v>172</v>
      </c>
      <c r="Q923" s="50"/>
      <c r="R923" s="53" t="n">
        <f aca="false">IF(BW923=1,0,IFERROR(VLOOKUP(BU923,'Gebinde-Kategorie'!$A$5:$N$45,13,0)+0,0))</f>
        <v>12</v>
      </c>
      <c r="S923" s="54"/>
      <c r="T923" s="55" t="s">
        <v>183</v>
      </c>
      <c r="U923" s="55"/>
      <c r="V923" s="55"/>
      <c r="W923" s="48"/>
      <c r="X923" s="50"/>
      <c r="Y923" s="50"/>
      <c r="Z923" s="48" t="n">
        <f aca="false">IF(A923="","",IF(AND(Parameter!$B$21="Ja",ISNUMBER(W923)),W923,IF(BZ923="2+3",IF(ISNUMBER(SEARCH("grosser Artikel",BR923)),2,IFERROR(VLOOKUP(BU923,Parameter!$F$35:$G$64,2,0),2)),IF(OR(BZ923="Nein",BZ923=""),"-",BZ923))))</f>
        <v>2</v>
      </c>
      <c r="AA923" s="55"/>
      <c r="AB923" s="56"/>
      <c r="AC923" s="50" t="n">
        <f aca="false">AT923</f>
        <v>870</v>
      </c>
      <c r="AD923" s="50" t="n">
        <f aca="false">MAX(AT923,H923)</f>
        <v>870</v>
      </c>
      <c r="AE923" s="57"/>
      <c r="AF923" s="50" t="n">
        <f aca="false">IF(LEFT(Cockpit!$C$5,1)="A",H923,IF(CE923=1,CF923,IF(LEFT(Cockpit!$C$5,1)="B",AK923,MAX(AK923,H923))))</f>
        <v>870</v>
      </c>
      <c r="AG923" s="50" t="n">
        <f aca="false">IF(BW923=1,0,ROUNDUP(AF923/BV923,0))</f>
        <v>1</v>
      </c>
      <c r="AH923" s="52" t="n">
        <f aca="false">IF(CL923&gt;0,CL923*MAX(1,AF923/X923),IF(BW923=1,IF(AF923&lt;=0,0,CA923*MAX(1,IF(H923&gt;0,AF923/H923,1))),IF(R923&gt;0,AG923/R923,0))/MAX(0.1,N(Parameter!$M$21)))</f>
        <v>0.0833333333333333</v>
      </c>
      <c r="AI923" s="50" t="n">
        <f aca="false">AH923*BY923</f>
        <v>12.0833333333333</v>
      </c>
      <c r="AJ923" s="50" t="n">
        <f aca="false">AF923*G923</f>
        <v>1992.3</v>
      </c>
      <c r="AK923" s="50" t="n">
        <f aca="false">ROUNDUP(MAX(J923/IF(CD923&gt;0,CD923,MAX(0.1,N(Cockpit!$C$6))),CG923)/BV923,0)*BV923</f>
        <v>870</v>
      </c>
      <c r="AL923" s="51" t="n">
        <f aca="false">IF(AI923&gt;0,J923/AI923,-1)</f>
        <v>1.6551724137931</v>
      </c>
      <c r="AM923" s="51" t="n">
        <f aca="false">IF(AND(OR(CC923="L1",CC923="L23",CC923="LIFT"),AI923&gt;0),SUMIFS($AI$7:$AI$1843,$CC$7:$CC$1843,CC923,$AL$7:$AL$1843,"&gt;"&amp;AL923)+SUMIFS($AI$7:$AI$1843,$CC$7:$CC$1843,CC923,$AL$7:$AL$1843,AL923,$BT$7:$BT$1843,"&lt;="&amp;BT923),"")</f>
        <v>6128.7760989011</v>
      </c>
      <c r="AN923" s="58" t="n">
        <f aca="false">IF(AM923="",0,MAX(0,MIN(1,(IF(CC923="L1",Parameter!$H$5,IF(CC923="L23",Parameter!$H$6+Parameter!$H$7,Parameter!$H$5+Parameter!$H$6+Parameter!$H$7))-(AM923-AI923))/AI923)))</f>
        <v>1</v>
      </c>
      <c r="AO923" s="50" t="n">
        <f aca="false">IF(LEFT(Cockpit!$I$5,1)="A",H923,IF(CE923=1,CF923,IF(LEFT(Cockpit!$I$5,1)="B",AT923,MAX(AT923,H923))))</f>
        <v>870</v>
      </c>
      <c r="AP923" s="50" t="n">
        <f aca="false">IF(BW923=1,0,ROUNDUP(AO923/BV923,0))</f>
        <v>1</v>
      </c>
      <c r="AQ923" s="52" t="n">
        <f aca="false">IF(CL923&gt;0,CL923*MAX(1,AO923/X923),IF(BW923=1,IF(AO923&lt;=0,0,CA923*MAX(1,IF(H923&gt;0,AO923/H923,1))),IF(R923&gt;0,AP923/R923,0))/MAX(0.1,N(Parameter!$M$21)))</f>
        <v>0.0833333333333333</v>
      </c>
      <c r="AR923" s="50" t="n">
        <f aca="false">AQ923*BY923</f>
        <v>12.0833333333333</v>
      </c>
      <c r="AS923" s="50" t="n">
        <f aca="false">AO923*G923</f>
        <v>1992.3</v>
      </c>
      <c r="AT923" s="50" t="n">
        <f aca="false">ROUNDUP(MAX(J923/IF(CD923&gt;0,CD923,MAX(0.1,N(Cockpit!$I$6))),CG923)/BV923,0)*BV923</f>
        <v>870</v>
      </c>
      <c r="AU923" s="51" t="n">
        <f aca="false">IF(AR923&gt;0,J923/AR923,-1)</f>
        <v>1.6551724137931</v>
      </c>
      <c r="AV923" s="51" t="n">
        <f aca="false">IF(AND(OR(CC923="L1",CC923="L23",CC923="LIFT"),AR923&gt;0),SUMIFS($AR$7:$AR$1843,$CC$7:$CC$1843,CC923,$AU$7:$AU$1843,"&gt;"&amp;AU923)+SUMIFS($AR$7:$AR$1843,$CC$7:$CC$1843,CC923,$AU$7:$AU$1843,AU923,$BT$7:$BT$1843,"&lt;="&amp;BT923),"")</f>
        <v>8290.70604395604</v>
      </c>
      <c r="AW923" s="58" t="n">
        <f aca="false">IF(AV923="",0,MAX(0,MIN(1,(IF(CC923="L1",Parameter!$H$5,IF(CC923="L23",Parameter!$H$6+Parameter!$H$7,Parameter!$H$5+Parameter!$H$6+Parameter!$H$7))-(AV923-AR923))/AR923)))</f>
        <v>1</v>
      </c>
      <c r="AX923" s="50" t="n">
        <f aca="false">IF(LEFT(Cockpit!$O$5,1)="A",H923,IF(CE923=1,CF923,IF(LEFT(Cockpit!$O$5,1)="B",BC923,MAX(BC923,H923))))</f>
        <v>870</v>
      </c>
      <c r="AY923" s="50" t="n">
        <f aca="false">IF(BW923=1,0,ROUNDUP(AX923/BV923,0))</f>
        <v>1</v>
      </c>
      <c r="AZ923" s="52" t="n">
        <f aca="false">IF(CL923&gt;0,CL923*MAX(1,AX923/X923),IF(BW923=1,IF(AX923&lt;=0,0,CA923*MAX(1,IF(H923&gt;0,AX923/H923,1))),IF(R923&gt;0,AY923/R923,0))/MAX(0.1,N(Parameter!$M$21)))</f>
        <v>0.0833333333333333</v>
      </c>
      <c r="BA923" s="50" t="n">
        <f aca="false">AZ923*BY923</f>
        <v>12.0833333333333</v>
      </c>
      <c r="BB923" s="50" t="n">
        <f aca="false">AX923*G923</f>
        <v>1992.3</v>
      </c>
      <c r="BC923" s="50" t="n">
        <f aca="false">ROUNDUP(MAX(J923/IF(CD923&gt;0,CD923,MAX(0.1,N(Cockpit!$O$6))),CG923)/BV923,0)*BV923</f>
        <v>870</v>
      </c>
      <c r="BD923" s="51" t="n">
        <f aca="false">IF(BA923&gt;0,J923/BA923,-1)</f>
        <v>1.6551724137931</v>
      </c>
      <c r="BE923" s="51" t="n">
        <f aca="false">IF(AND(OR(CC923="L1",CC923="L23",CC923="LIFT"),BA923&gt;0),SUMIFS($BA$7:$BA$1843,$CC$7:$CC$1843,CC923,$BD$7:$BD$1843,"&gt;"&amp;BD923)+SUMIFS($BA$7:$BA$1843,$CC$7:$CC$1843,CC923,$BD$7:$BD$1843,BD923,$BT$7:$BT$1843,"&lt;="&amp;BT923),"")</f>
        <v>8205.1130952381</v>
      </c>
      <c r="BF923" s="58" t="n">
        <f aca="false">IF(BE923="",0,MAX(0,MIN(1,(IF(CC923="L1",Parameter!$H$5,IF(CC923="L23",Parameter!$H$6+Parameter!$H$7,Parameter!$H$5+Parameter!$H$6+Parameter!$H$7))-(BE923-BA923))/BA923)))</f>
        <v>1</v>
      </c>
      <c r="BG923" s="48" t="str">
        <f aca="false">IF(AI923&lt;=0,"",IF(CC923="Aussen","Aussenlager",IF(CC923="-","Nicht im Lift",IF(AN923&gt;=1,"Lift",IF(AN923&lt;=0,"Aussenlager","teilweise")))))</f>
        <v>Lift</v>
      </c>
      <c r="BH923" s="48" t="str">
        <f aca="false">IF(AR923&lt;=0,"",IF(CC923="Aussen","Aussenlager",IF(CC923="-","Nicht im Lift",IF(AW923&gt;=1,"Lift",IF(AW923&lt;=0,"Aussenlager","teilweise")))))</f>
        <v>Lift</v>
      </c>
      <c r="BI923" s="48" t="str">
        <f aca="false">IF(BA923&lt;=0,"",IF(CC923="Aussen","Aussenlager",IF(CC923="-","Nicht im Lift",IF(BF923&gt;=1,"Lift",IF(BF923&lt;=0,"Aussenlager","teilweise")))))</f>
        <v>Lift</v>
      </c>
      <c r="BJ923" s="48" t="str">
        <f aca="false">IF(A923="","",IF(BS923=1,"Neu; ","")&amp;IF(AND(BS923=0,BN923&lt;0),"negativer Bestand (Export "&amp;BN923&amp;"); ","")&amp;IF(J923&lt;=0,"Kein Verbrauch; ","")&amp;IF(CL923&gt;0,"Lift "&amp;W923&amp;" lt. Liftbericht (Fach "&amp;X923&amp;" Stk); ",IF(BX923=1,"Gebinde geschätzt ("&amp;T923&amp;"); ",IF(BW923=1,"Lose – Tablare geschätzt; ","")))&amp;IF(H923&gt;AT923,"Überbestand "&amp;ROUND(H923-AT923,0)&amp;" Stk / CHF "&amp;ROUND((H923-AT923)*G923,0)&amp;"; ","")&amp;IF(AND(CE923=1,CF923&lt;CG923),"MAX &lt; MB+LG; ","")&amp;IF(AND(CK923&gt;0,CJ923*10&gt;CK923),"zu hoch für Tablar; ","")&amp;IF(AND(BS923=0,OR(CE923=1,AA923&lt;&gt;"",U923&lt;&gt;"",V923&lt;&gt;"",AB923&lt;&gt;"")),"manuell übersteuert; ","")&amp;IF(AND(BW923=0,R923=0),"Gebinde unbekannt / Stellmass fehlt; ","")&amp;IF(AND(BW923=0,N(V923)&lt;=0,N(Q923)&lt;=0),"Menge pro Gebinde fehlt (Ist = 1 Gebinde); ","")&amp;BR923)</f>
        <v>negativer Bestand (Export -20); Gebinde geschätzt (Mittel); Menge pro Gebinde fehlt (Ist = 1 Gebinde); Überbestand; grosser Artikel &amp; nicht im KTL</v>
      </c>
      <c r="BK923" s="48"/>
      <c r="BL923" s="48"/>
      <c r="BM923" s="55"/>
      <c r="BN923" s="50" t="n">
        <v>-20</v>
      </c>
      <c r="BO923" s="50" t="n">
        <v>890</v>
      </c>
      <c r="BP923" s="49" t="n">
        <v>-45.8</v>
      </c>
      <c r="BQ923" s="50" t="n">
        <v>20</v>
      </c>
      <c r="BR923" s="48" t="s">
        <v>363</v>
      </c>
      <c r="BS923" s="53" t="n">
        <v>0</v>
      </c>
      <c r="BT923" s="53" t="n">
        <v>923</v>
      </c>
      <c r="BU923" s="48" t="str">
        <f aca="false">IF(U923&lt;&gt;"",UPPER(TRIM(U923)),IF(BX923=1,UPPER(VLOOKUP(T923,Parameter!$I$27:$K$29,2,0)),IF(P923="","LOSE",P923)))</f>
        <v>S61</v>
      </c>
      <c r="BV923" s="50" t="n">
        <f aca="false">IF(BU923="LOSE",1,IF(N(V923)&gt;0,V923,IF(BX923=1,MAX(1,N(VLOOKUP(T923,Parameter!$I$27:$K$29,3,0)),H923,N(N923)),IF(N(Q923)&gt;0,Q923,MAX(1,H923)))))</f>
        <v>870</v>
      </c>
      <c r="BW923" s="53" t="n">
        <f aca="false">IF(BU923="LOSE",1,0)</f>
        <v>0</v>
      </c>
      <c r="BX923" s="53" t="n">
        <f aca="false">IF(AND(U923="",OR(P923="",P923="LOSE"),T923&lt;&gt;"",N(S923)&lt;=0,ISNUMBER(MATCH(T923,Parameter!$I$27:$I$29,0))),1,0)</f>
        <v>1</v>
      </c>
      <c r="BY923" s="53" t="n">
        <f aca="false">IF(CL923&gt;0,INDEX(Parameter!$H$5:$H$7,W923)/INDEX(Parameter!$E$5:$E$7,W923),IF(AND(BW923=0,N(IFERROR(VLOOKUP(BU923,'Gebinde-Kategorie'!$A$5:$N$45,14,0),0))&gt;0),VLOOKUP(BU923,'Gebinde-Kategorie'!$A$5:$N$45,14,0)*10+Parameter!$M$23,Parameter!$M$24))</f>
        <v>145</v>
      </c>
      <c r="BZ923" s="48" t="str">
        <f aca="false">IF(AND(Parameter!$B$19="Ja",E923&lt;&gt;"",ISNUMBER(MATCH(E923,Parameter!$I$35:$I$52,0))),VLOOKUP(E923,Parameter!$I$35:$J$52,2,0),IFERROR(VLOOKUP(D923,Parameter!$A$35:$C$64,2,0),"Nein"))</f>
        <v>2+3</v>
      </c>
      <c r="CA923" s="52" t="n">
        <f aca="false">IF(BW923=0,0,IF(N(S923)&gt;0,S923,IFERROR(VLOOKUP(D923,Parameter!$A$35:$C$64,3,0)+0,0)))</f>
        <v>0</v>
      </c>
      <c r="CB923" s="48" t="n">
        <f aca="false">IF(AA923&lt;&gt;"",AA923,Z923)</f>
        <v>2</v>
      </c>
      <c r="CC923" s="48" t="str">
        <f aca="false">IF(OR(CB923=1,CB923=2,CB923=3),IF(Parameter!$E$27="Ja","LIFT",IF(CB923=1,"L1","L23")),IF(CB923="Aussen","Aussen","-"))</f>
        <v>LIFT</v>
      </c>
      <c r="CD923" s="59" t="n">
        <f aca="false">IF(N(AB923)&gt;0,AB923,0)</f>
        <v>0</v>
      </c>
      <c r="CE923" s="53" t="n">
        <f aca="false">IF(ISNUMBER(AE923),1,0)</f>
        <v>0</v>
      </c>
      <c r="CF923" s="50" t="n">
        <f aca="false">N(AE923)</f>
        <v>0</v>
      </c>
      <c r="CG923" s="50" t="n">
        <f aca="false">N(M923)+N(N923)</f>
        <v>21</v>
      </c>
      <c r="CH923" s="50" t="n">
        <f aca="false">ROUNDUP(H923/BV923,0)</f>
        <v>1</v>
      </c>
      <c r="CI923" s="50" t="n">
        <f aca="false">ROUNDUP(CF923/BV923,0)</f>
        <v>0</v>
      </c>
      <c r="CJ923" s="53" t="n">
        <f aca="false">IF(BW923=1,0,IFERROR(VLOOKUP(BU923,'Gebinde-Kategorie'!$A$5:$N$45,5,0)+0,0))</f>
        <v>11</v>
      </c>
      <c r="CK923" s="53" t="n">
        <f aca="false">IFERROR(IF(OR(CB923=1,CB923=2,CB923=3),N(INDEX(Parameter!$I$5:$I$7,CB923)),0),0)</f>
        <v>0</v>
      </c>
      <c r="CL923" s="52" t="n">
        <f aca="false">IF(AND(Parameter!$B$21="Ja",ISNUMBER(W923),N(X923)&gt;0),IFERROR(N(INDEX(Parameter!$L$5:$L$7,W923))*INDEX(Parameter!$E$5:$E$7,W923)*X923/SUMIFS($X$7:$X$1843,$W$7:$W$1843,W923),0),0)</f>
        <v>0</v>
      </c>
    </row>
    <row r="924" customFormat="false" ht="15" hidden="false" customHeight="false" outlineLevel="0" collapsed="false">
      <c r="A924" s="48" t="s">
        <v>1730</v>
      </c>
      <c r="B924" s="48" t="s">
        <v>499</v>
      </c>
      <c r="C924" s="48" t="s">
        <v>168</v>
      </c>
      <c r="D924" s="48" t="s">
        <v>188</v>
      </c>
      <c r="E924" s="48" t="s">
        <v>189</v>
      </c>
      <c r="F924" s="48" t="s">
        <v>222</v>
      </c>
      <c r="G924" s="49" t="n">
        <v>0.25</v>
      </c>
      <c r="H924" s="50" t="n">
        <f aca="false">MAX(0,IF(AND(Parameter!$B$21="Ja",ISNUMBER(Y924)),Y924,IF(Parameter!$B$20="Jahresanfang 2025 + Export",BO924+BN924,BN924)))</f>
        <v>49</v>
      </c>
      <c r="I924" s="50" t="n">
        <f aca="false">H924*G924</f>
        <v>12.25</v>
      </c>
      <c r="J924" s="50" t="n">
        <f aca="false">BQ924*Parameter!$B$18</f>
        <v>310</v>
      </c>
      <c r="K924" s="51" t="n">
        <v>143</v>
      </c>
      <c r="L924" s="52" t="n">
        <v>2.16783216783217</v>
      </c>
      <c r="M924" s="50" t="n">
        <v>18</v>
      </c>
      <c r="N924" s="50" t="n">
        <v>310</v>
      </c>
      <c r="O924" s="53" t="n">
        <v>21</v>
      </c>
      <c r="P924" s="48" t="s">
        <v>405</v>
      </c>
      <c r="Q924" s="50" t="n">
        <v>185</v>
      </c>
      <c r="R924" s="53" t="n">
        <f aca="false">IF(BW924=1,0,IFERROR(VLOOKUP(BU924,'Gebinde-Kategorie'!$A$5:$N$45,13,0)+0,0))</f>
        <v>280</v>
      </c>
      <c r="S924" s="54"/>
      <c r="T924" s="55"/>
      <c r="U924" s="55"/>
      <c r="V924" s="55"/>
      <c r="W924" s="48"/>
      <c r="X924" s="50"/>
      <c r="Y924" s="50"/>
      <c r="Z924" s="48" t="n">
        <f aca="false">IF(A924="","",IF(AND(Parameter!$B$21="Ja",ISNUMBER(W924)),W924,IF(BZ924="2+3",IF(ISNUMBER(SEARCH("grosser Artikel",BR924)),2,IFERROR(VLOOKUP(BU924,Parameter!$F$35:$G$64,2,0),2)),IF(OR(BZ924="Nein",BZ924=""),"-",BZ924))))</f>
        <v>3</v>
      </c>
      <c r="AA924" s="55"/>
      <c r="AB924" s="56"/>
      <c r="AC924" s="50" t="n">
        <f aca="false">AT924</f>
        <v>370</v>
      </c>
      <c r="AD924" s="50" t="n">
        <f aca="false">MAX(AT924,H924)</f>
        <v>370</v>
      </c>
      <c r="AE924" s="57"/>
      <c r="AF924" s="50" t="n">
        <f aca="false">IF(LEFT(Cockpit!$C$5,1)="A",H924,IF(CE924=1,CF924,IF(LEFT(Cockpit!$C$5,1)="B",AK924,MAX(AK924,H924))))</f>
        <v>49</v>
      </c>
      <c r="AG924" s="50" t="n">
        <f aca="false">IF(BW924=1,0,ROUNDUP(AF924/BV924,0))</f>
        <v>1</v>
      </c>
      <c r="AH924" s="52" t="n">
        <f aca="false">IF(CL924&gt;0,CL924*MAX(1,AF924/X924),IF(BW924=1,IF(AF924&lt;=0,0,CA924*MAX(1,IF(H924&gt;0,AF924/H924,1))),IF(R924&gt;0,AG924/R924,0))/MAX(0.1,N(Parameter!$M$21)))</f>
        <v>0.00357142857142857</v>
      </c>
      <c r="AI924" s="50" t="n">
        <f aca="false">AH924*BY924</f>
        <v>0.553571428571429</v>
      </c>
      <c r="AJ924" s="50" t="n">
        <f aca="false">AF924*G924</f>
        <v>12.25</v>
      </c>
      <c r="AK924" s="50" t="n">
        <f aca="false">ROUNDUP(MAX(J924/IF(CD924&gt;0,CD924,MAX(0.1,N(Cockpit!$C$6))),CG924)/BV924,0)*BV924</f>
        <v>370</v>
      </c>
      <c r="AL924" s="51" t="n">
        <f aca="false">IF(AI924&gt;0,J924/AI924,-1)</f>
        <v>560</v>
      </c>
      <c r="AM924" s="51" t="n">
        <f aca="false">IF(AND(OR(CC924="L1",CC924="L23",CC924="LIFT"),AI924&gt;0),SUMIFS($AI$7:$AI$1843,$CC$7:$CC$1843,CC924,$AL$7:$AL$1843,"&gt;"&amp;AL924)+SUMIFS($AI$7:$AI$1843,$CC$7:$CC$1843,CC924,$AL$7:$AL$1843,AL924,$BT$7:$BT$1843,"&lt;="&amp;BT924),"")</f>
        <v>50.5576923076923</v>
      </c>
      <c r="AN924" s="58" t="n">
        <f aca="false">IF(AM924="",0,MAX(0,MIN(1,(IF(CC924="L1",Parameter!$H$5,IF(CC924="L23",Parameter!$H$6+Parameter!$H$7,Parameter!$H$5+Parameter!$H$6+Parameter!$H$7))-(AM924-AI924))/AI924)))</f>
        <v>1</v>
      </c>
      <c r="AO924" s="50" t="n">
        <f aca="false">IF(LEFT(Cockpit!$I$5,1)="A",H924,IF(CE924=1,CF924,IF(LEFT(Cockpit!$I$5,1)="B",AT924,MAX(AT924,H924))))</f>
        <v>370</v>
      </c>
      <c r="AP924" s="50" t="n">
        <f aca="false">IF(BW924=1,0,ROUNDUP(AO924/BV924,0))</f>
        <v>2</v>
      </c>
      <c r="AQ924" s="52" t="n">
        <f aca="false">IF(CL924&gt;0,CL924*MAX(1,AO924/X924),IF(BW924=1,IF(AO924&lt;=0,0,CA924*MAX(1,IF(H924&gt;0,AO924/H924,1))),IF(R924&gt;0,AP924/R924,0))/MAX(0.1,N(Parameter!$M$21)))</f>
        <v>0.00714285714285714</v>
      </c>
      <c r="AR924" s="50" t="n">
        <f aca="false">AQ924*BY924</f>
        <v>1.10714285714286</v>
      </c>
      <c r="AS924" s="50" t="n">
        <f aca="false">AO924*G924</f>
        <v>92.5</v>
      </c>
      <c r="AT924" s="50" t="n">
        <f aca="false">ROUNDUP(MAX(J924/IF(CD924&gt;0,CD924,MAX(0.1,N(Cockpit!$I$6))),CG924)/BV924,0)*BV924</f>
        <v>370</v>
      </c>
      <c r="AU924" s="51" t="n">
        <f aca="false">IF(AR924&gt;0,J924/AR924,-1)</f>
        <v>280</v>
      </c>
      <c r="AV924" s="51" t="n">
        <f aca="false">IF(AND(OR(CC924="L1",CC924="L23",CC924="LIFT"),AR924&gt;0),SUMIFS($AR$7:$AR$1843,$CC$7:$CC$1843,CC924,$AU$7:$AU$1843,"&gt;"&amp;AU924)+SUMIFS($AR$7:$AR$1843,$CC$7:$CC$1843,CC924,$AU$7:$AU$1843,AU924,$BT$7:$BT$1843,"&lt;="&amp;BT924),"")</f>
        <v>198.057234432234</v>
      </c>
      <c r="AW924" s="58" t="n">
        <f aca="false">IF(AV924="",0,MAX(0,MIN(1,(IF(CC924="L1",Parameter!$H$5,IF(CC924="L23",Parameter!$H$6+Parameter!$H$7,Parameter!$H$5+Parameter!$H$6+Parameter!$H$7))-(AV924-AR924))/AR924)))</f>
        <v>1</v>
      </c>
      <c r="AX924" s="50" t="n">
        <f aca="false">IF(LEFT(Cockpit!$O$5,1)="A",H924,IF(CE924=1,CF924,IF(LEFT(Cockpit!$O$5,1)="B",BC924,MAX(BC924,H924))))</f>
        <v>370</v>
      </c>
      <c r="AY924" s="50" t="n">
        <f aca="false">IF(BW924=1,0,ROUNDUP(AX924/BV924,0))</f>
        <v>2</v>
      </c>
      <c r="AZ924" s="52" t="n">
        <f aca="false">IF(CL924&gt;0,CL924*MAX(1,AX924/X924),IF(BW924=1,IF(AX924&lt;=0,0,CA924*MAX(1,IF(H924&gt;0,AX924/H924,1))),IF(R924&gt;0,AY924/R924,0))/MAX(0.1,N(Parameter!$M$21)))</f>
        <v>0.00714285714285714</v>
      </c>
      <c r="BA924" s="50" t="n">
        <f aca="false">AZ924*BY924</f>
        <v>1.10714285714286</v>
      </c>
      <c r="BB924" s="50" t="n">
        <f aca="false">AX924*G924</f>
        <v>92.5</v>
      </c>
      <c r="BC924" s="50" t="n">
        <f aca="false">ROUNDUP(MAX(J924/IF(CD924&gt;0,CD924,MAX(0.1,N(Cockpit!$O$6))),CG924)/BV924,0)*BV924</f>
        <v>370</v>
      </c>
      <c r="BD924" s="51" t="n">
        <f aca="false">IF(BA924&gt;0,J924/BA924,-1)</f>
        <v>280</v>
      </c>
      <c r="BE924" s="51" t="n">
        <f aca="false">IF(AND(OR(CC924="L1",CC924="L23",CC924="LIFT"),BA924&gt;0),SUMIFS($BA$7:$BA$1843,$CC$7:$CC$1843,CC924,$BD$7:$BD$1843,"&gt;"&amp;BD924)+SUMIFS($BA$7:$BA$1843,$CC$7:$CC$1843,CC924,$BD$7:$BD$1843,BD924,$BT$7:$BT$1843,"&lt;="&amp;BT924),"")</f>
        <v>210.94184981685</v>
      </c>
      <c r="BF924" s="58" t="n">
        <f aca="false">IF(BE924="",0,MAX(0,MIN(1,(IF(CC924="L1",Parameter!$H$5,IF(CC924="L23",Parameter!$H$6+Parameter!$H$7,Parameter!$H$5+Parameter!$H$6+Parameter!$H$7))-(BE924-BA924))/BA924)))</f>
        <v>1</v>
      </c>
      <c r="BG924" s="48" t="str">
        <f aca="false">IF(AI924&lt;=0,"",IF(CC924="Aussen","Aussenlager",IF(CC924="-","Nicht im Lift",IF(AN924&gt;=1,"Lift",IF(AN924&lt;=0,"Aussenlager","teilweise")))))</f>
        <v>Lift</v>
      </c>
      <c r="BH924" s="48" t="str">
        <f aca="false">IF(AR924&lt;=0,"",IF(CC924="Aussen","Aussenlager",IF(CC924="-","Nicht im Lift",IF(AW924&gt;=1,"Lift",IF(AW924&lt;=0,"Aussenlager","teilweise")))))</f>
        <v>Lift</v>
      </c>
      <c r="BI924" s="48" t="str">
        <f aca="false">IF(BA924&lt;=0,"",IF(CC924="Aussen","Aussenlager",IF(CC924="-","Nicht im Lift",IF(BF924&gt;=1,"Lift",IF(BF924&lt;=0,"Aussenlager","teilweise")))))</f>
        <v>Lift</v>
      </c>
      <c r="BJ924" s="48" t="str">
        <f aca="false">IF(A924="","",IF(BS924=1,"Neu; ","")&amp;IF(AND(BS924=0,BN924&lt;0),"negativer Bestand (Export "&amp;BN924&amp;"); ","")&amp;IF(J924&lt;=0,"Kein Verbrauch; ","")&amp;IF(CL924&gt;0,"Lift "&amp;W924&amp;" lt. Liftbericht (Fach "&amp;X924&amp;" Stk); ",IF(BX924=1,"Gebinde geschätzt ("&amp;T924&amp;"); ",IF(BW924=1,"Lose – Tablare geschätzt; ","")))&amp;IF(H924&gt;AT924,"Überbestand "&amp;ROUND(H924-AT924,0)&amp;" Stk / CHF "&amp;ROUND((H924-AT924)*G924,0)&amp;"; ","")&amp;IF(AND(CE924=1,CF924&lt;CG924),"MAX &lt; MB+LG; ","")&amp;IF(AND(CK924&gt;0,CJ924*10&gt;CK924),"zu hoch für Tablar; ","")&amp;IF(AND(BS924=0,OR(CE924=1,AA924&lt;&gt;"",U924&lt;&gt;"",V924&lt;&gt;"",AB924&lt;&gt;"")),"manuell übersteuert; ","")&amp;IF(AND(BW924=0,R924=0),"Gebinde unbekannt / Stellmass fehlt; ","")&amp;IF(AND(BW924=0,N(V924)&lt;=0,N(Q924)&lt;=0),"Menge pro Gebinde fehlt (Ist = 1 Gebinde); ","")&amp;BR924)</f>
        <v>negativer Bestand (Export -152); </v>
      </c>
      <c r="BK924" s="48"/>
      <c r="BL924" s="48"/>
      <c r="BM924" s="55"/>
      <c r="BN924" s="50" t="n">
        <v>-152</v>
      </c>
      <c r="BO924" s="50" t="n">
        <v>201</v>
      </c>
      <c r="BP924" s="49" t="n">
        <v>-46.04</v>
      </c>
      <c r="BQ924" s="50" t="n">
        <v>310</v>
      </c>
      <c r="BR924" s="48"/>
      <c r="BS924" s="53" t="n">
        <v>0</v>
      </c>
      <c r="BT924" s="53" t="n">
        <v>924</v>
      </c>
      <c r="BU924" s="48" t="str">
        <f aca="false">IF(U924&lt;&gt;"",UPPER(TRIM(U924)),IF(BX924=1,UPPER(VLOOKUP(T924,Parameter!$I$27:$K$29,2,0)),IF(P924="","LOSE",P924)))</f>
        <v>S21</v>
      </c>
      <c r="BV924" s="50" t="n">
        <f aca="false">IF(BU924="LOSE",1,IF(N(V924)&gt;0,V924,IF(BX924=1,MAX(1,N(VLOOKUP(T924,Parameter!$I$27:$K$29,3,0)),H924,N(N924)),IF(N(Q924)&gt;0,Q924,MAX(1,H924)))))</f>
        <v>185</v>
      </c>
      <c r="BW924" s="53" t="n">
        <f aca="false">IF(BU924="LOSE",1,0)</f>
        <v>0</v>
      </c>
      <c r="BX924" s="53" t="n">
        <f aca="false">IF(AND(U924="",OR(P924="",P924="LOSE"),T924&lt;&gt;"",N(S924)&lt;=0,ISNUMBER(MATCH(T924,Parameter!$I$27:$I$29,0))),1,0)</f>
        <v>0</v>
      </c>
      <c r="BY924" s="53" t="n">
        <f aca="false">IF(CL924&gt;0,INDEX(Parameter!$H$5:$H$7,W924)/INDEX(Parameter!$E$5:$E$7,W924),IF(AND(BW924=0,N(IFERROR(VLOOKUP(BU924,'Gebinde-Kategorie'!$A$5:$N$45,14,0),0))&gt;0),VLOOKUP(BU924,'Gebinde-Kategorie'!$A$5:$N$45,14,0)*10+Parameter!$M$23,Parameter!$M$24))</f>
        <v>155</v>
      </c>
      <c r="BZ924" s="48" t="str">
        <f aca="false">IF(AND(Parameter!$B$19="Ja",E924&lt;&gt;"",ISNUMBER(MATCH(E924,Parameter!$I$35:$I$52,0))),VLOOKUP(E924,Parameter!$I$35:$J$52,2,0),IFERROR(VLOOKUP(D924,Parameter!$A$35:$C$64,2,0),"Nein"))</f>
        <v>2+3</v>
      </c>
      <c r="CA924" s="52" t="n">
        <f aca="false">IF(BW924=0,0,IF(N(S924)&gt;0,S924,IFERROR(VLOOKUP(D924,Parameter!$A$35:$C$64,3,0)+0,0)))</f>
        <v>0</v>
      </c>
      <c r="CB924" s="48" t="n">
        <f aca="false">IF(AA924&lt;&gt;"",AA924,Z924)</f>
        <v>3</v>
      </c>
      <c r="CC924" s="48" t="str">
        <f aca="false">IF(OR(CB924=1,CB924=2,CB924=3),IF(Parameter!$E$27="Ja","LIFT",IF(CB924=1,"L1","L23")),IF(CB924="Aussen","Aussen","-"))</f>
        <v>LIFT</v>
      </c>
      <c r="CD924" s="59" t="n">
        <f aca="false">IF(N(AB924)&gt;0,AB924,0)</f>
        <v>0</v>
      </c>
      <c r="CE924" s="53" t="n">
        <f aca="false">IF(ISNUMBER(AE924),1,0)</f>
        <v>0</v>
      </c>
      <c r="CF924" s="50" t="n">
        <f aca="false">N(AE924)</f>
        <v>0</v>
      </c>
      <c r="CG924" s="50" t="n">
        <f aca="false">N(M924)+N(N924)</f>
        <v>328</v>
      </c>
      <c r="CH924" s="50" t="n">
        <f aca="false">ROUNDUP(H924/BV924,0)</f>
        <v>1</v>
      </c>
      <c r="CI924" s="50" t="n">
        <f aca="false">ROUNDUP(CF924/BV924,0)</f>
        <v>0</v>
      </c>
      <c r="CJ924" s="53" t="n">
        <f aca="false">IF(BW924=1,0,IFERROR(VLOOKUP(BU924,'Gebinde-Kategorie'!$A$5:$N$45,5,0)+0,0))</f>
        <v>8</v>
      </c>
      <c r="CK924" s="53" t="n">
        <f aca="false">IFERROR(IF(OR(CB924=1,CB924=2,CB924=3),N(INDEX(Parameter!$I$5:$I$7,CB924)),0),0)</f>
        <v>0</v>
      </c>
      <c r="CL924" s="52" t="n">
        <f aca="false">IF(AND(Parameter!$B$21="Ja",ISNUMBER(W924),N(X924)&gt;0),IFERROR(N(INDEX(Parameter!$L$5:$L$7,W924))*INDEX(Parameter!$E$5:$E$7,W924)*X924/SUMIFS($X$7:$X$1843,$W$7:$W$1843,W924),0),0)</f>
        <v>0</v>
      </c>
    </row>
    <row r="925" customFormat="false" ht="15" hidden="false" customHeight="false" outlineLevel="0" collapsed="false">
      <c r="A925" s="48" t="s">
        <v>1731</v>
      </c>
      <c r="B925" s="48" t="s">
        <v>896</v>
      </c>
      <c r="C925" s="48" t="s">
        <v>168</v>
      </c>
      <c r="D925" s="48" t="s">
        <v>188</v>
      </c>
      <c r="E925" s="48" t="s">
        <v>189</v>
      </c>
      <c r="F925" s="48" t="s">
        <v>222</v>
      </c>
      <c r="G925" s="49" t="n">
        <v>10.02</v>
      </c>
      <c r="H925" s="50" t="n">
        <f aca="false">MAX(0,IF(AND(Parameter!$B$21="Ja",ISNUMBER(Y925)),Y925,IF(Parameter!$B$20="Jahresanfang 2025 + Export",BO925+BN925,BN925)))</f>
        <v>3</v>
      </c>
      <c r="I925" s="50" t="n">
        <f aca="false">H925*G925</f>
        <v>30.06</v>
      </c>
      <c r="J925" s="50" t="n">
        <f aca="false">BQ925*Parameter!$B$18</f>
        <v>11</v>
      </c>
      <c r="K925" s="51" t="n">
        <v>7.5</v>
      </c>
      <c r="L925" s="52" t="n">
        <v>1.46666666666667</v>
      </c>
      <c r="M925" s="50" t="n">
        <v>0</v>
      </c>
      <c r="N925" s="50" t="n">
        <v>10</v>
      </c>
      <c r="O925" s="53" t="n">
        <v>14</v>
      </c>
      <c r="P925" s="48" t="s">
        <v>425</v>
      </c>
      <c r="Q925" s="50" t="n">
        <v>27</v>
      </c>
      <c r="R925" s="53" t="n">
        <f aca="false">IF(BW925=1,0,IFERROR(VLOOKUP(BU925,'Gebinde-Kategorie'!$A$5:$N$45,13,0)+0,0))</f>
        <v>104</v>
      </c>
      <c r="S925" s="54"/>
      <c r="T925" s="55"/>
      <c r="U925" s="55"/>
      <c r="V925" s="55"/>
      <c r="W925" s="48"/>
      <c r="X925" s="50"/>
      <c r="Y925" s="50"/>
      <c r="Z925" s="48" t="n">
        <f aca="false">IF(A925="","",IF(AND(Parameter!$B$21="Ja",ISNUMBER(W925)),W925,IF(BZ925="2+3",IF(ISNUMBER(SEARCH("grosser Artikel",BR925)),2,IFERROR(VLOOKUP(BU925,Parameter!$F$35:$G$64,2,0),2)),IF(OR(BZ925="Nein",BZ925=""),"-",BZ925))))</f>
        <v>3</v>
      </c>
      <c r="AA925" s="55"/>
      <c r="AB925" s="56"/>
      <c r="AC925" s="50" t="n">
        <f aca="false">AT925</f>
        <v>27</v>
      </c>
      <c r="AD925" s="50" t="n">
        <f aca="false">MAX(AT925,H925)</f>
        <v>27</v>
      </c>
      <c r="AE925" s="57"/>
      <c r="AF925" s="50" t="n">
        <f aca="false">IF(LEFT(Cockpit!$C$5,1)="A",H925,IF(CE925=1,CF925,IF(LEFT(Cockpit!$C$5,1)="B",AK925,MAX(AK925,H925))))</f>
        <v>3</v>
      </c>
      <c r="AG925" s="50" t="n">
        <f aca="false">IF(BW925=1,0,ROUNDUP(AF925/BV925,0))</f>
        <v>1</v>
      </c>
      <c r="AH925" s="52" t="n">
        <f aca="false">IF(CL925&gt;0,CL925*MAX(1,AF925/X925),IF(BW925=1,IF(AF925&lt;=0,0,CA925*MAX(1,IF(H925&gt;0,AF925/H925,1))),IF(R925&gt;0,AG925/R925,0))/MAX(0.1,N(Parameter!$M$21)))</f>
        <v>0.00961538461538462</v>
      </c>
      <c r="AI925" s="50" t="n">
        <f aca="false">AH925*BY925</f>
        <v>1.49038461538462</v>
      </c>
      <c r="AJ925" s="50" t="n">
        <f aca="false">AF925*G925</f>
        <v>30.06</v>
      </c>
      <c r="AK925" s="50" t="n">
        <f aca="false">ROUNDUP(MAX(J925/IF(CD925&gt;0,CD925,MAX(0.1,N(Cockpit!$C$6))),CG925)/BV925,0)*BV925</f>
        <v>27</v>
      </c>
      <c r="AL925" s="51" t="n">
        <f aca="false">IF(AI925&gt;0,J925/AI925,-1)</f>
        <v>7.38064516129032</v>
      </c>
      <c r="AM925" s="51" t="n">
        <f aca="false">IF(AND(OR(CC925="L1",CC925="L23",CC925="LIFT"),AI925&gt;0),SUMIFS($AI$7:$AI$1843,$CC$7:$CC$1843,CC925,$AL$7:$AL$1843,"&gt;"&amp;AL925)+SUMIFS($AI$7:$AI$1843,$CC$7:$CC$1843,CC925,$AL$7:$AL$1843,AL925,$BT$7:$BT$1843,"&lt;="&amp;BT925),"")</f>
        <v>3153.36858974359</v>
      </c>
      <c r="AN925" s="58" t="n">
        <f aca="false">IF(AM925="",0,MAX(0,MIN(1,(IF(CC925="L1",Parameter!$H$5,IF(CC925="L23",Parameter!$H$6+Parameter!$H$7,Parameter!$H$5+Parameter!$H$6+Parameter!$H$7))-(AM925-AI925))/AI925)))</f>
        <v>1</v>
      </c>
      <c r="AO925" s="50" t="n">
        <f aca="false">IF(LEFT(Cockpit!$I$5,1)="A",H925,IF(CE925=1,CF925,IF(LEFT(Cockpit!$I$5,1)="B",AT925,MAX(AT925,H925))))</f>
        <v>27</v>
      </c>
      <c r="AP925" s="50" t="n">
        <f aca="false">IF(BW925=1,0,ROUNDUP(AO925/BV925,0))</f>
        <v>1</v>
      </c>
      <c r="AQ925" s="52" t="n">
        <f aca="false">IF(CL925&gt;0,CL925*MAX(1,AO925/X925),IF(BW925=1,IF(AO925&lt;=0,0,CA925*MAX(1,IF(H925&gt;0,AO925/H925,1))),IF(R925&gt;0,AP925/R925,0))/MAX(0.1,N(Parameter!$M$21)))</f>
        <v>0.00961538461538462</v>
      </c>
      <c r="AR925" s="50" t="n">
        <f aca="false">AQ925*BY925</f>
        <v>1.49038461538462</v>
      </c>
      <c r="AS925" s="50" t="n">
        <f aca="false">AO925*G925</f>
        <v>270.54</v>
      </c>
      <c r="AT925" s="50" t="n">
        <f aca="false">ROUNDUP(MAX(J925/IF(CD925&gt;0,CD925,MAX(0.1,N(Cockpit!$I$6))),CG925)/BV925,0)*BV925</f>
        <v>27</v>
      </c>
      <c r="AU925" s="51" t="n">
        <f aca="false">IF(AR925&gt;0,J925/AR925,-1)</f>
        <v>7.38064516129032</v>
      </c>
      <c r="AV925" s="51" t="n">
        <f aca="false">IF(AND(OR(CC925="L1",CC925="L23",CC925="LIFT"),AR925&gt;0),SUMIFS($AR$7:$AR$1843,$CC$7:$CC$1843,CC925,$AU$7:$AU$1843,"&gt;"&amp;AU925)+SUMIFS($AR$7:$AR$1843,$CC$7:$CC$1843,CC925,$AU$7:$AU$1843,AU925,$BT$7:$BT$1843,"&lt;="&amp;BT925),"")</f>
        <v>4337.38278388278</v>
      </c>
      <c r="AW925" s="58" t="n">
        <f aca="false">IF(AV925="",0,MAX(0,MIN(1,(IF(CC925="L1",Parameter!$H$5,IF(CC925="L23",Parameter!$H$6+Parameter!$H$7,Parameter!$H$5+Parameter!$H$6+Parameter!$H$7))-(AV925-AR925))/AR925)))</f>
        <v>1</v>
      </c>
      <c r="AX925" s="50" t="n">
        <f aca="false">IF(LEFT(Cockpit!$O$5,1)="A",H925,IF(CE925=1,CF925,IF(LEFT(Cockpit!$O$5,1)="B",BC925,MAX(BC925,H925))))</f>
        <v>27</v>
      </c>
      <c r="AY925" s="50" t="n">
        <f aca="false">IF(BW925=1,0,ROUNDUP(AX925/BV925,0))</f>
        <v>1</v>
      </c>
      <c r="AZ925" s="52" t="n">
        <f aca="false">IF(CL925&gt;0,CL925*MAX(1,AX925/X925),IF(BW925=1,IF(AX925&lt;=0,0,CA925*MAX(1,IF(H925&gt;0,AX925/H925,1))),IF(R925&gt;0,AY925/R925,0))/MAX(0.1,N(Parameter!$M$21)))</f>
        <v>0.00961538461538462</v>
      </c>
      <c r="BA925" s="50" t="n">
        <f aca="false">AZ925*BY925</f>
        <v>1.49038461538462</v>
      </c>
      <c r="BB925" s="50" t="n">
        <f aca="false">AX925*G925</f>
        <v>270.54</v>
      </c>
      <c r="BC925" s="50" t="n">
        <f aca="false">ROUNDUP(MAX(J925/IF(CD925&gt;0,CD925,MAX(0.1,N(Cockpit!$O$6))),CG925)/BV925,0)*BV925</f>
        <v>27</v>
      </c>
      <c r="BD925" s="51" t="n">
        <f aca="false">IF(BA925&gt;0,J925/BA925,-1)</f>
        <v>7.38064516129032</v>
      </c>
      <c r="BE925" s="51" t="n">
        <f aca="false">IF(AND(OR(CC925="L1",CC925="L23",CC925="LIFT"),BA925&gt;0),SUMIFS($BA$7:$BA$1843,$CC$7:$CC$1843,CC925,$BD$7:$BD$1843,"&gt;"&amp;BD925)+SUMIFS($BA$7:$BA$1843,$CC$7:$CC$1843,CC925,$BD$7:$BD$1843,BD925,$BT$7:$BT$1843,"&lt;="&amp;BT925),"")</f>
        <v>4080.34752747253</v>
      </c>
      <c r="BF925" s="58" t="n">
        <f aca="false">IF(BE925="",0,MAX(0,MIN(1,(IF(CC925="L1",Parameter!$H$5,IF(CC925="L23",Parameter!$H$6+Parameter!$H$7,Parameter!$H$5+Parameter!$H$6+Parameter!$H$7))-(BE925-BA925))/BA925)))</f>
        <v>1</v>
      </c>
      <c r="BG925" s="48" t="str">
        <f aca="false">IF(AI925&lt;=0,"",IF(CC925="Aussen","Aussenlager",IF(CC925="-","Nicht im Lift",IF(AN925&gt;=1,"Lift",IF(AN925&lt;=0,"Aussenlager","teilweise")))))</f>
        <v>Lift</v>
      </c>
      <c r="BH925" s="48" t="str">
        <f aca="false">IF(AR925&lt;=0,"",IF(CC925="Aussen","Aussenlager",IF(CC925="-","Nicht im Lift",IF(AW925&gt;=1,"Lift",IF(AW925&lt;=0,"Aussenlager","teilweise")))))</f>
        <v>Lift</v>
      </c>
      <c r="BI925" s="48" t="str">
        <f aca="false">IF(BA925&lt;=0,"",IF(CC925="Aussen","Aussenlager",IF(CC925="-","Nicht im Lift",IF(BF925&gt;=1,"Lift",IF(BF925&lt;=0,"Aussenlager","teilweise")))))</f>
        <v>Lift</v>
      </c>
      <c r="BJ925" s="48" t="str">
        <f aca="false">IF(A925="","",IF(BS925=1,"Neu; ","")&amp;IF(AND(BS925=0,BN925&lt;0),"negativer Bestand (Export "&amp;BN925&amp;"); ","")&amp;IF(J925&lt;=0,"Kein Verbrauch; ","")&amp;IF(CL925&gt;0,"Lift "&amp;W925&amp;" lt. Liftbericht (Fach "&amp;X925&amp;" Stk); ",IF(BX925=1,"Gebinde geschätzt ("&amp;T925&amp;"); ",IF(BW925=1,"Lose – Tablare geschätzt; ","")))&amp;IF(H925&gt;AT925,"Überbestand "&amp;ROUND(H925-AT925,0)&amp;" Stk / CHF "&amp;ROUND((H925-AT925)*G925,0)&amp;"; ","")&amp;IF(AND(CE925=1,CF925&lt;CG925),"MAX &lt; MB+LG; ","")&amp;IF(AND(CK925&gt;0,CJ925*10&gt;CK925),"zu hoch für Tablar; ","")&amp;IF(AND(BS925=0,OR(CE925=1,AA925&lt;&gt;"",U925&lt;&gt;"",V925&lt;&gt;"",AB925&lt;&gt;"")),"manuell übersteuert; ","")&amp;IF(AND(BW925=0,R925=0),"Gebinde unbekannt / Stellmass fehlt; ","")&amp;IF(AND(BW925=0,N(V925)&lt;=0,N(Q925)&lt;=0),"Menge pro Gebinde fehlt (Ist = 1 Gebinde); ","")&amp;BR925)</f>
        <v>negativer Bestand (Export -5); </v>
      </c>
      <c r="BK925" s="48"/>
      <c r="BL925" s="48"/>
      <c r="BM925" s="55"/>
      <c r="BN925" s="50" t="n">
        <v>-5</v>
      </c>
      <c r="BO925" s="50" t="n">
        <v>8</v>
      </c>
      <c r="BP925" s="49" t="n">
        <v>-46.74</v>
      </c>
      <c r="BQ925" s="50" t="n">
        <v>11</v>
      </c>
      <c r="BR925" s="48"/>
      <c r="BS925" s="53" t="n">
        <v>0</v>
      </c>
      <c r="BT925" s="53" t="n">
        <v>925</v>
      </c>
      <c r="BU925" s="48" t="str">
        <f aca="false">IF(U925&lt;&gt;"",UPPER(TRIM(U925)),IF(BX925=1,UPPER(VLOOKUP(T925,Parameter!$I$27:$K$29,2,0)),IF(P925="","LOSE",P925)))</f>
        <v>S32</v>
      </c>
      <c r="BV925" s="50" t="n">
        <f aca="false">IF(BU925="LOSE",1,IF(N(V925)&gt;0,V925,IF(BX925=1,MAX(1,N(VLOOKUP(T925,Parameter!$I$27:$K$29,3,0)),H925,N(N925)),IF(N(Q925)&gt;0,Q925,MAX(1,H925)))))</f>
        <v>27</v>
      </c>
      <c r="BW925" s="53" t="n">
        <f aca="false">IF(BU925="LOSE",1,0)</f>
        <v>0</v>
      </c>
      <c r="BX925" s="53" t="n">
        <f aca="false">IF(AND(U925="",OR(P925="",P925="LOSE"),T925&lt;&gt;"",N(S925)&lt;=0,ISNUMBER(MATCH(T925,Parameter!$I$27:$I$29,0))),1,0)</f>
        <v>0</v>
      </c>
      <c r="BY925" s="53" t="n">
        <f aca="false">IF(CL925&gt;0,INDEX(Parameter!$H$5:$H$7,W925)/INDEX(Parameter!$E$5:$E$7,W925),IF(AND(BW925=0,N(IFERROR(VLOOKUP(BU925,'Gebinde-Kategorie'!$A$5:$N$45,14,0),0))&gt;0),VLOOKUP(BU925,'Gebinde-Kategorie'!$A$5:$N$45,14,0)*10+Parameter!$M$23,Parameter!$M$24))</f>
        <v>155</v>
      </c>
      <c r="BZ925" s="48" t="str">
        <f aca="false">IF(AND(Parameter!$B$19="Ja",E925&lt;&gt;"",ISNUMBER(MATCH(E925,Parameter!$I$35:$I$52,0))),VLOOKUP(E925,Parameter!$I$35:$J$52,2,0),IFERROR(VLOOKUP(D925,Parameter!$A$35:$C$64,2,0),"Nein"))</f>
        <v>2+3</v>
      </c>
      <c r="CA925" s="52" t="n">
        <f aca="false">IF(BW925=0,0,IF(N(S925)&gt;0,S925,IFERROR(VLOOKUP(D925,Parameter!$A$35:$C$64,3,0)+0,0)))</f>
        <v>0</v>
      </c>
      <c r="CB925" s="48" t="n">
        <f aca="false">IF(AA925&lt;&gt;"",AA925,Z925)</f>
        <v>3</v>
      </c>
      <c r="CC925" s="48" t="str">
        <f aca="false">IF(OR(CB925=1,CB925=2,CB925=3),IF(Parameter!$E$27="Ja","LIFT",IF(CB925=1,"L1","L23")),IF(CB925="Aussen","Aussen","-"))</f>
        <v>LIFT</v>
      </c>
      <c r="CD925" s="59" t="n">
        <f aca="false">IF(N(AB925)&gt;0,AB925,0)</f>
        <v>0</v>
      </c>
      <c r="CE925" s="53" t="n">
        <f aca="false">IF(ISNUMBER(AE925),1,0)</f>
        <v>0</v>
      </c>
      <c r="CF925" s="50" t="n">
        <f aca="false">N(AE925)</f>
        <v>0</v>
      </c>
      <c r="CG925" s="50" t="n">
        <f aca="false">N(M925)+N(N925)</f>
        <v>10</v>
      </c>
      <c r="CH925" s="50" t="n">
        <f aca="false">ROUNDUP(H925/BV925,0)</f>
        <v>1</v>
      </c>
      <c r="CI925" s="50" t="n">
        <f aca="false">ROUNDUP(CF925/BV925,0)</f>
        <v>0</v>
      </c>
      <c r="CJ925" s="53" t="n">
        <f aca="false">IF(BW925=1,0,IFERROR(VLOOKUP(BU925,'Gebinde-Kategorie'!$A$5:$N$45,5,0)+0,0))</f>
        <v>8</v>
      </c>
      <c r="CK925" s="53" t="n">
        <f aca="false">IFERROR(IF(OR(CB925=1,CB925=2,CB925=3),N(INDEX(Parameter!$I$5:$I$7,CB925)),0),0)</f>
        <v>0</v>
      </c>
      <c r="CL925" s="52" t="n">
        <f aca="false">IF(AND(Parameter!$B$21="Ja",ISNUMBER(W925),N(X925)&gt;0),IFERROR(N(INDEX(Parameter!$L$5:$L$7,W925))*INDEX(Parameter!$E$5:$E$7,W925)*X925/SUMIFS($X$7:$X$1843,$W$7:$W$1843,W925),0),0)</f>
        <v>0</v>
      </c>
    </row>
    <row r="926" customFormat="false" ht="15" hidden="false" customHeight="false" outlineLevel="0" collapsed="false">
      <c r="A926" s="48" t="s">
        <v>1732</v>
      </c>
      <c r="B926" s="48" t="s">
        <v>1733</v>
      </c>
      <c r="C926" s="48" t="s">
        <v>168</v>
      </c>
      <c r="D926" s="48" t="s">
        <v>188</v>
      </c>
      <c r="E926" s="48"/>
      <c r="F926" s="48" t="s">
        <v>222</v>
      </c>
      <c r="G926" s="49" t="n">
        <v>9.45</v>
      </c>
      <c r="H926" s="50" t="n">
        <f aca="false">MAX(0,IF(AND(Parameter!$B$21="Ja",ISNUMBER(Y926)),Y926,IF(Parameter!$B$20="Jahresanfang 2025 + Export",BO926+BN926,BN926)))</f>
        <v>1</v>
      </c>
      <c r="I926" s="50" t="n">
        <f aca="false">H926*G926</f>
        <v>9.45</v>
      </c>
      <c r="J926" s="50" t="n">
        <f aca="false">BQ926*Parameter!$B$18</f>
        <v>5</v>
      </c>
      <c r="K926" s="51" t="n">
        <v>4.5</v>
      </c>
      <c r="L926" s="52" t="n">
        <v>1.11111111111111</v>
      </c>
      <c r="M926" s="50" t="n">
        <v>0</v>
      </c>
      <c r="N926" s="50" t="n">
        <v>5</v>
      </c>
      <c r="O926" s="53" t="n">
        <v>35</v>
      </c>
      <c r="P926" s="48" t="s">
        <v>405</v>
      </c>
      <c r="Q926" s="50" t="n">
        <v>3</v>
      </c>
      <c r="R926" s="53" t="n">
        <f aca="false">IF(BW926=1,0,IFERROR(VLOOKUP(BU926,'Gebinde-Kategorie'!$A$5:$N$45,13,0)+0,0))</f>
        <v>280</v>
      </c>
      <c r="S926" s="54"/>
      <c r="T926" s="55"/>
      <c r="U926" s="55"/>
      <c r="V926" s="55"/>
      <c r="W926" s="48"/>
      <c r="X926" s="50"/>
      <c r="Y926" s="50"/>
      <c r="Z926" s="48" t="n">
        <f aca="false">IF(A926="","",IF(AND(Parameter!$B$21="Ja",ISNUMBER(W926)),W926,IF(BZ926="2+3",IF(ISNUMBER(SEARCH("grosser Artikel",BR926)),2,IFERROR(VLOOKUP(BU926,Parameter!$F$35:$G$64,2,0),2)),IF(OR(BZ926="Nein",BZ926=""),"-",BZ926))))</f>
        <v>3</v>
      </c>
      <c r="AA926" s="55"/>
      <c r="AB926" s="56"/>
      <c r="AC926" s="50" t="n">
        <f aca="false">AT926</f>
        <v>6</v>
      </c>
      <c r="AD926" s="50" t="n">
        <f aca="false">MAX(AT926,H926)</f>
        <v>6</v>
      </c>
      <c r="AE926" s="57"/>
      <c r="AF926" s="50" t="n">
        <f aca="false">IF(LEFT(Cockpit!$C$5,1)="A",H926,IF(CE926=1,CF926,IF(LEFT(Cockpit!$C$5,1)="B",AK926,MAX(AK926,H926))))</f>
        <v>1</v>
      </c>
      <c r="AG926" s="50" t="n">
        <f aca="false">IF(BW926=1,0,ROUNDUP(AF926/BV926,0))</f>
        <v>1</v>
      </c>
      <c r="AH926" s="52" t="n">
        <f aca="false">IF(CL926&gt;0,CL926*MAX(1,AF926/X926),IF(BW926=1,IF(AF926&lt;=0,0,CA926*MAX(1,IF(H926&gt;0,AF926/H926,1))),IF(R926&gt;0,AG926/R926,0))/MAX(0.1,N(Parameter!$M$21)))</f>
        <v>0.00357142857142857</v>
      </c>
      <c r="AI926" s="50" t="n">
        <f aca="false">AH926*BY926</f>
        <v>0.553571428571429</v>
      </c>
      <c r="AJ926" s="50" t="n">
        <f aca="false">AF926*G926</f>
        <v>9.45</v>
      </c>
      <c r="AK926" s="50" t="n">
        <f aca="false">ROUNDUP(MAX(J926/IF(CD926&gt;0,CD926,MAX(0.1,N(Cockpit!$C$6))),CG926)/BV926,0)*BV926</f>
        <v>6</v>
      </c>
      <c r="AL926" s="51" t="n">
        <f aca="false">IF(AI926&gt;0,J926/AI926,-1)</f>
        <v>9.03225806451613</v>
      </c>
      <c r="AM926" s="51" t="n">
        <f aca="false">IF(AND(OR(CC926="L1",CC926="L23",CC926="LIFT"),AI926&gt;0),SUMIFS($AI$7:$AI$1843,$CC$7:$CC$1843,CC926,$AL$7:$AL$1843,"&gt;"&amp;AL926)+SUMIFS($AI$7:$AI$1843,$CC$7:$CC$1843,CC926,$AL$7:$AL$1843,AL926,$BT$7:$BT$1843,"&lt;="&amp;BT926),"")</f>
        <v>2922.99587912088</v>
      </c>
      <c r="AN926" s="58" t="n">
        <f aca="false">IF(AM926="",0,MAX(0,MIN(1,(IF(CC926="L1",Parameter!$H$5,IF(CC926="L23",Parameter!$H$6+Parameter!$H$7,Parameter!$H$5+Parameter!$H$6+Parameter!$H$7))-(AM926-AI926))/AI926)))</f>
        <v>1</v>
      </c>
      <c r="AO926" s="50" t="n">
        <f aca="false">IF(LEFT(Cockpit!$I$5,1)="A",H926,IF(CE926=1,CF926,IF(LEFT(Cockpit!$I$5,1)="B",AT926,MAX(AT926,H926))))</f>
        <v>6</v>
      </c>
      <c r="AP926" s="50" t="n">
        <f aca="false">IF(BW926=1,0,ROUNDUP(AO926/BV926,0))</f>
        <v>2</v>
      </c>
      <c r="AQ926" s="52" t="n">
        <f aca="false">IF(CL926&gt;0,CL926*MAX(1,AO926/X926),IF(BW926=1,IF(AO926&lt;=0,0,CA926*MAX(1,IF(H926&gt;0,AO926/H926,1))),IF(R926&gt;0,AP926/R926,0))/MAX(0.1,N(Parameter!$M$21)))</f>
        <v>0.00714285714285714</v>
      </c>
      <c r="AR926" s="50" t="n">
        <f aca="false">AQ926*BY926</f>
        <v>1.10714285714286</v>
      </c>
      <c r="AS926" s="50" t="n">
        <f aca="false">AO926*G926</f>
        <v>56.7</v>
      </c>
      <c r="AT926" s="50" t="n">
        <f aca="false">ROUNDUP(MAX(J926/IF(CD926&gt;0,CD926,MAX(0.1,N(Cockpit!$I$6))),CG926)/BV926,0)*BV926</f>
        <v>6</v>
      </c>
      <c r="AU926" s="51" t="n">
        <f aca="false">IF(AR926&gt;0,J926/AR926,-1)</f>
        <v>4.51612903225806</v>
      </c>
      <c r="AV926" s="51" t="n">
        <f aca="false">IF(AND(OR(CC926="L1",CC926="L23",CC926="LIFT"),AR926&gt;0),SUMIFS($AR$7:$AR$1843,$CC$7:$CC$1843,CC926,$AU$7:$AU$1843,"&gt;"&amp;AU926)+SUMIFS($AR$7:$AR$1843,$CC$7:$CC$1843,CC926,$AU$7:$AU$1843,AU926,$BT$7:$BT$1843,"&lt;="&amp;BT926),"")</f>
        <v>5320.98672161172</v>
      </c>
      <c r="AW926" s="58" t="n">
        <f aca="false">IF(AV926="",0,MAX(0,MIN(1,(IF(CC926="L1",Parameter!$H$5,IF(CC926="L23",Parameter!$H$6+Parameter!$H$7,Parameter!$H$5+Parameter!$H$6+Parameter!$H$7))-(AV926-AR926))/AR926)))</f>
        <v>1</v>
      </c>
      <c r="AX926" s="50" t="n">
        <f aca="false">IF(LEFT(Cockpit!$O$5,1)="A",H926,IF(CE926=1,CF926,IF(LEFT(Cockpit!$O$5,1)="B",BC926,MAX(BC926,H926))))</f>
        <v>6</v>
      </c>
      <c r="AY926" s="50" t="n">
        <f aca="false">IF(BW926=1,0,ROUNDUP(AX926/BV926,0))</f>
        <v>2</v>
      </c>
      <c r="AZ926" s="52" t="n">
        <f aca="false">IF(CL926&gt;0,CL926*MAX(1,AX926/X926),IF(BW926=1,IF(AX926&lt;=0,0,CA926*MAX(1,IF(H926&gt;0,AX926/H926,1))),IF(R926&gt;0,AY926/R926,0))/MAX(0.1,N(Parameter!$M$21)))</f>
        <v>0.00714285714285714</v>
      </c>
      <c r="BA926" s="50" t="n">
        <f aca="false">AZ926*BY926</f>
        <v>1.10714285714286</v>
      </c>
      <c r="BB926" s="50" t="n">
        <f aca="false">AX926*G926</f>
        <v>56.7</v>
      </c>
      <c r="BC926" s="50" t="n">
        <f aca="false">ROUNDUP(MAX(J926/IF(CD926&gt;0,CD926,MAX(0.1,N(Cockpit!$O$6))),CG926)/BV926,0)*BV926</f>
        <v>6</v>
      </c>
      <c r="BD926" s="51" t="n">
        <f aca="false">IF(BA926&gt;0,J926/BA926,-1)</f>
        <v>4.51612903225806</v>
      </c>
      <c r="BE926" s="51" t="n">
        <f aca="false">IF(AND(OR(CC926="L1",CC926="L23",CC926="LIFT"),BA926&gt;0),SUMIFS($BA$7:$BA$1843,$CC$7:$CC$1843,CC926,$BD$7:$BD$1843,"&gt;"&amp;BD926)+SUMIFS($BA$7:$BA$1843,$CC$7:$CC$1843,CC926,$BD$7:$BD$1843,BD926,$BT$7:$BT$1843,"&lt;="&amp;BT926),"")</f>
        <v>4991.45146520147</v>
      </c>
      <c r="BF926" s="58" t="n">
        <f aca="false">IF(BE926="",0,MAX(0,MIN(1,(IF(CC926="L1",Parameter!$H$5,IF(CC926="L23",Parameter!$H$6+Parameter!$H$7,Parameter!$H$5+Parameter!$H$6+Parameter!$H$7))-(BE926-BA926))/BA926)))</f>
        <v>1</v>
      </c>
      <c r="BG926" s="48" t="str">
        <f aca="false">IF(AI926&lt;=0,"",IF(CC926="Aussen","Aussenlager",IF(CC926="-","Nicht im Lift",IF(AN926&gt;=1,"Lift",IF(AN926&lt;=0,"Aussenlager","teilweise")))))</f>
        <v>Lift</v>
      </c>
      <c r="BH926" s="48" t="str">
        <f aca="false">IF(AR926&lt;=0,"",IF(CC926="Aussen","Aussenlager",IF(CC926="-","Nicht im Lift",IF(AW926&gt;=1,"Lift",IF(AW926&lt;=0,"Aussenlager","teilweise")))))</f>
        <v>Lift</v>
      </c>
      <c r="BI926" s="48" t="str">
        <f aca="false">IF(BA926&lt;=0,"",IF(CC926="Aussen","Aussenlager",IF(CC926="-","Nicht im Lift",IF(BF926&gt;=1,"Lift",IF(BF926&lt;=0,"Aussenlager","teilweise")))))</f>
        <v>Lift</v>
      </c>
      <c r="BJ926" s="48" t="str">
        <f aca="false">IF(A926="","",IF(BS926=1,"Neu; ","")&amp;IF(AND(BS926=0,BN926&lt;0),"negativer Bestand (Export "&amp;BN926&amp;"); ","")&amp;IF(J926&lt;=0,"Kein Verbrauch; ","")&amp;IF(CL926&gt;0,"Lift "&amp;W926&amp;" lt. Liftbericht (Fach "&amp;X926&amp;" Stk); ",IF(BX926=1,"Gebinde geschätzt ("&amp;T926&amp;"); ",IF(BW926=1,"Lose – Tablare geschätzt; ","")))&amp;IF(H926&gt;AT926,"Überbestand "&amp;ROUND(H926-AT926,0)&amp;" Stk / CHF "&amp;ROUND((H926-AT926)*G926,0)&amp;"; ","")&amp;IF(AND(CE926=1,CF926&lt;CG926),"MAX &lt; MB+LG; ","")&amp;IF(AND(CK926&gt;0,CJ926*10&gt;CK926),"zu hoch für Tablar; ","")&amp;IF(AND(BS926=0,OR(CE926=1,AA926&lt;&gt;"",U926&lt;&gt;"",V926&lt;&gt;"",AB926&lt;&gt;"")),"manuell übersteuert; ","")&amp;IF(AND(BW926=0,R926=0),"Gebinde unbekannt / Stellmass fehlt; ","")&amp;IF(AND(BW926=0,N(V926)&lt;=0,N(Q926)&lt;=0),"Menge pro Gebinde fehlt (Ist = 1 Gebinde); ","")&amp;BR926)</f>
        <v>negativer Bestand (Export -5); </v>
      </c>
      <c r="BK926" s="48"/>
      <c r="BL926" s="48"/>
      <c r="BM926" s="55"/>
      <c r="BN926" s="50" t="n">
        <v>-5</v>
      </c>
      <c r="BO926" s="50" t="n">
        <v>6</v>
      </c>
      <c r="BP926" s="49" t="n">
        <v>-47.25</v>
      </c>
      <c r="BQ926" s="50" t="n">
        <v>5</v>
      </c>
      <c r="BR926" s="48"/>
      <c r="BS926" s="53" t="n">
        <v>0</v>
      </c>
      <c r="BT926" s="53" t="n">
        <v>926</v>
      </c>
      <c r="BU926" s="48" t="str">
        <f aca="false">IF(U926&lt;&gt;"",UPPER(TRIM(U926)),IF(BX926=1,UPPER(VLOOKUP(T926,Parameter!$I$27:$K$29,2,0)),IF(P926="","LOSE",P926)))</f>
        <v>S21</v>
      </c>
      <c r="BV926" s="50" t="n">
        <f aca="false">IF(BU926="LOSE",1,IF(N(V926)&gt;0,V926,IF(BX926=1,MAX(1,N(VLOOKUP(T926,Parameter!$I$27:$K$29,3,0)),H926,N(N926)),IF(N(Q926)&gt;0,Q926,MAX(1,H926)))))</f>
        <v>3</v>
      </c>
      <c r="BW926" s="53" t="n">
        <f aca="false">IF(BU926="LOSE",1,0)</f>
        <v>0</v>
      </c>
      <c r="BX926" s="53" t="n">
        <f aca="false">IF(AND(U926="",OR(P926="",P926="LOSE"),T926&lt;&gt;"",N(S926)&lt;=0,ISNUMBER(MATCH(T926,Parameter!$I$27:$I$29,0))),1,0)</f>
        <v>0</v>
      </c>
      <c r="BY926" s="53" t="n">
        <f aca="false">IF(CL926&gt;0,INDEX(Parameter!$H$5:$H$7,W926)/INDEX(Parameter!$E$5:$E$7,W926),IF(AND(BW926=0,N(IFERROR(VLOOKUP(BU926,'Gebinde-Kategorie'!$A$5:$N$45,14,0),0))&gt;0),VLOOKUP(BU926,'Gebinde-Kategorie'!$A$5:$N$45,14,0)*10+Parameter!$M$23,Parameter!$M$24))</f>
        <v>155</v>
      </c>
      <c r="BZ926" s="48" t="str">
        <f aca="false">IF(AND(Parameter!$B$19="Ja",E926&lt;&gt;"",ISNUMBER(MATCH(E926,Parameter!$I$35:$I$52,0))),VLOOKUP(E926,Parameter!$I$35:$J$52,2,0),IFERROR(VLOOKUP(D926,Parameter!$A$35:$C$64,2,0),"Nein"))</f>
        <v>2+3</v>
      </c>
      <c r="CA926" s="52" t="n">
        <f aca="false">IF(BW926=0,0,IF(N(S926)&gt;0,S926,IFERROR(VLOOKUP(D926,Parameter!$A$35:$C$64,3,0)+0,0)))</f>
        <v>0</v>
      </c>
      <c r="CB926" s="48" t="n">
        <f aca="false">IF(AA926&lt;&gt;"",AA926,Z926)</f>
        <v>3</v>
      </c>
      <c r="CC926" s="48" t="str">
        <f aca="false">IF(OR(CB926=1,CB926=2,CB926=3),IF(Parameter!$E$27="Ja","LIFT",IF(CB926=1,"L1","L23")),IF(CB926="Aussen","Aussen","-"))</f>
        <v>LIFT</v>
      </c>
      <c r="CD926" s="59" t="n">
        <f aca="false">IF(N(AB926)&gt;0,AB926,0)</f>
        <v>0</v>
      </c>
      <c r="CE926" s="53" t="n">
        <f aca="false">IF(ISNUMBER(AE926),1,0)</f>
        <v>0</v>
      </c>
      <c r="CF926" s="50" t="n">
        <f aca="false">N(AE926)</f>
        <v>0</v>
      </c>
      <c r="CG926" s="50" t="n">
        <f aca="false">N(M926)+N(N926)</f>
        <v>5</v>
      </c>
      <c r="CH926" s="50" t="n">
        <f aca="false">ROUNDUP(H926/BV926,0)</f>
        <v>1</v>
      </c>
      <c r="CI926" s="50" t="n">
        <f aca="false">ROUNDUP(CF926/BV926,0)</f>
        <v>0</v>
      </c>
      <c r="CJ926" s="53" t="n">
        <f aca="false">IF(BW926=1,0,IFERROR(VLOOKUP(BU926,'Gebinde-Kategorie'!$A$5:$N$45,5,0)+0,0))</f>
        <v>8</v>
      </c>
      <c r="CK926" s="53" t="n">
        <f aca="false">IFERROR(IF(OR(CB926=1,CB926=2,CB926=3),N(INDEX(Parameter!$I$5:$I$7,CB926)),0),0)</f>
        <v>0</v>
      </c>
      <c r="CL926" s="52" t="n">
        <f aca="false">IF(AND(Parameter!$B$21="Ja",ISNUMBER(W926),N(X926)&gt;0),IFERROR(N(INDEX(Parameter!$L$5:$L$7,W926))*INDEX(Parameter!$E$5:$E$7,W926)*X926/SUMIFS($X$7:$X$1843,$W$7:$W$1843,W926),0),0)</f>
        <v>0</v>
      </c>
    </row>
    <row r="927" customFormat="false" ht="15" hidden="false" customHeight="false" outlineLevel="0" collapsed="false">
      <c r="A927" s="48" t="s">
        <v>1734</v>
      </c>
      <c r="B927" s="48" t="s">
        <v>668</v>
      </c>
      <c r="C927" s="48" t="s">
        <v>168</v>
      </c>
      <c r="D927" s="48" t="s">
        <v>188</v>
      </c>
      <c r="E927" s="48" t="s">
        <v>189</v>
      </c>
      <c r="F927" s="48" t="s">
        <v>222</v>
      </c>
      <c r="G927" s="49" t="n">
        <v>8</v>
      </c>
      <c r="H927" s="50" t="n">
        <f aca="false">MAX(0,IF(AND(Parameter!$B$21="Ja",ISNUMBER(Y927)),Y927,IF(Parameter!$B$20="Jahresanfang 2025 + Export",BO927+BN927,BN927)))</f>
        <v>6</v>
      </c>
      <c r="I927" s="50" t="n">
        <f aca="false">H927*G927</f>
        <v>48</v>
      </c>
      <c r="J927" s="50" t="n">
        <f aca="false">BQ927*Parameter!$B$18</f>
        <v>11</v>
      </c>
      <c r="K927" s="51" t="n">
        <v>11</v>
      </c>
      <c r="L927" s="52" t="n">
        <v>1</v>
      </c>
      <c r="M927" s="50" t="n">
        <v>0</v>
      </c>
      <c r="N927" s="50" t="n">
        <v>10</v>
      </c>
      <c r="O927" s="53" t="n">
        <v>14</v>
      </c>
      <c r="P927" s="48" t="s">
        <v>297</v>
      </c>
      <c r="Q927" s="50" t="n">
        <v>20</v>
      </c>
      <c r="R927" s="53" t="n">
        <f aca="false">IF(BW927=1,0,IFERROR(VLOOKUP(BU927,'Gebinde-Kategorie'!$A$5:$N$45,13,0)+0,0))</f>
        <v>12</v>
      </c>
      <c r="S927" s="54"/>
      <c r="T927" s="55"/>
      <c r="U927" s="55"/>
      <c r="V927" s="55"/>
      <c r="W927" s="48"/>
      <c r="X927" s="50"/>
      <c r="Y927" s="50"/>
      <c r="Z927" s="48" t="n">
        <f aca="false">IF(A927="","",IF(AND(Parameter!$B$21="Ja",ISNUMBER(W927)),W927,IF(BZ927="2+3",IF(ISNUMBER(SEARCH("grosser Artikel",BR927)),2,IFERROR(VLOOKUP(BU927,Parameter!$F$35:$G$64,2,0),2)),IF(OR(BZ927="Nein",BZ927=""),"-",BZ927))))</f>
        <v>2</v>
      </c>
      <c r="AA927" s="55"/>
      <c r="AB927" s="56"/>
      <c r="AC927" s="50" t="n">
        <f aca="false">AT927</f>
        <v>20</v>
      </c>
      <c r="AD927" s="50" t="n">
        <f aca="false">MAX(AT927,H927)</f>
        <v>20</v>
      </c>
      <c r="AE927" s="57"/>
      <c r="AF927" s="50" t="n">
        <f aca="false">IF(LEFT(Cockpit!$C$5,1)="A",H927,IF(CE927=1,CF927,IF(LEFT(Cockpit!$C$5,1)="B",AK927,MAX(AK927,H927))))</f>
        <v>6</v>
      </c>
      <c r="AG927" s="50" t="n">
        <f aca="false">IF(BW927=1,0,ROUNDUP(AF927/BV927,0))</f>
        <v>1</v>
      </c>
      <c r="AH927" s="52" t="n">
        <f aca="false">IF(CL927&gt;0,CL927*MAX(1,AF927/X927),IF(BW927=1,IF(AF927&lt;=0,0,CA927*MAX(1,IF(H927&gt;0,AF927/H927,1))),IF(R927&gt;0,AG927/R927,0))/MAX(0.1,N(Parameter!$M$21)))</f>
        <v>0.0833333333333333</v>
      </c>
      <c r="AI927" s="50" t="n">
        <f aca="false">AH927*BY927</f>
        <v>20.4166666666667</v>
      </c>
      <c r="AJ927" s="50" t="n">
        <f aca="false">AF927*G927</f>
        <v>48</v>
      </c>
      <c r="AK927" s="50" t="n">
        <f aca="false">ROUNDUP(MAX(J927/IF(CD927&gt;0,CD927,MAX(0.1,N(Cockpit!$C$6))),CG927)/BV927,0)*BV927</f>
        <v>20</v>
      </c>
      <c r="AL927" s="51" t="n">
        <f aca="false">IF(AI927&gt;0,J927/AI927,-1)</f>
        <v>0.538775510204082</v>
      </c>
      <c r="AM927" s="51" t="n">
        <f aca="false">IF(AND(OR(CC927="L1",CC927="L23",CC927="LIFT"),AI927&gt;0),SUMIFS($AI$7:$AI$1843,$CC$7:$CC$1843,CC927,$AL$7:$AL$1843,"&gt;"&amp;AL927)+SUMIFS($AI$7:$AI$1843,$CC$7:$CC$1843,CC927,$AL$7:$AL$1843,AL927,$BT$7:$BT$1843,"&lt;="&amp;BT927),"")</f>
        <v>9461.04255396205</v>
      </c>
      <c r="AN927" s="58" t="n">
        <f aca="false">IF(AM927="",0,MAX(0,MIN(1,(IF(CC927="L1",Parameter!$H$5,IF(CC927="L23",Parameter!$H$6+Parameter!$H$7,Parameter!$H$5+Parameter!$H$6+Parameter!$H$7))-(AM927-AI927))/AI927)))</f>
        <v>1</v>
      </c>
      <c r="AO927" s="50" t="n">
        <f aca="false">IF(LEFT(Cockpit!$I$5,1)="A",H927,IF(CE927=1,CF927,IF(LEFT(Cockpit!$I$5,1)="B",AT927,MAX(AT927,H927))))</f>
        <v>20</v>
      </c>
      <c r="AP927" s="50" t="n">
        <f aca="false">IF(BW927=1,0,ROUNDUP(AO927/BV927,0))</f>
        <v>1</v>
      </c>
      <c r="AQ927" s="52" t="n">
        <f aca="false">IF(CL927&gt;0,CL927*MAX(1,AO927/X927),IF(BW927=1,IF(AO927&lt;=0,0,CA927*MAX(1,IF(H927&gt;0,AO927/H927,1))),IF(R927&gt;0,AP927/R927,0))/MAX(0.1,N(Parameter!$M$21)))</f>
        <v>0.0833333333333333</v>
      </c>
      <c r="AR927" s="50" t="n">
        <f aca="false">AQ927*BY927</f>
        <v>20.4166666666667</v>
      </c>
      <c r="AS927" s="50" t="n">
        <f aca="false">AO927*G927</f>
        <v>160</v>
      </c>
      <c r="AT927" s="50" t="n">
        <f aca="false">ROUNDUP(MAX(J927/IF(CD927&gt;0,CD927,MAX(0.1,N(Cockpit!$I$6))),CG927)/BV927,0)*BV927</f>
        <v>20</v>
      </c>
      <c r="AU927" s="51" t="n">
        <f aca="false">IF(AR927&gt;0,J927/AR927,-1)</f>
        <v>0.538775510204082</v>
      </c>
      <c r="AV927" s="51" t="n">
        <f aca="false">IF(AND(OR(CC927="L1",CC927="L23",CC927="LIFT"),AR927&gt;0),SUMIFS($AR$7:$AR$1843,$CC$7:$CC$1843,CC927,$AU$7:$AU$1843,"&gt;"&amp;AU927)+SUMIFS($AR$7:$AR$1843,$CC$7:$CC$1843,CC927,$AU$7:$AU$1843,AU927,$BT$7:$BT$1843,"&lt;="&amp;BT927),"")</f>
        <v>13903.8273809524</v>
      </c>
      <c r="AW927" s="58" t="n">
        <f aca="false">IF(AV927="",0,MAX(0,MIN(1,(IF(CC927="L1",Parameter!$H$5,IF(CC927="L23",Parameter!$H$6+Parameter!$H$7,Parameter!$H$5+Parameter!$H$6+Parameter!$H$7))-(AV927-AR927))/AR927)))</f>
        <v>1</v>
      </c>
      <c r="AX927" s="50" t="n">
        <f aca="false">IF(LEFT(Cockpit!$O$5,1)="A",H927,IF(CE927=1,CF927,IF(LEFT(Cockpit!$O$5,1)="B",BC927,MAX(BC927,H927))))</f>
        <v>20</v>
      </c>
      <c r="AY927" s="50" t="n">
        <f aca="false">IF(BW927=1,0,ROUNDUP(AX927/BV927,0))</f>
        <v>1</v>
      </c>
      <c r="AZ927" s="52" t="n">
        <f aca="false">IF(CL927&gt;0,CL927*MAX(1,AX927/X927),IF(BW927=1,IF(AX927&lt;=0,0,CA927*MAX(1,IF(H927&gt;0,AX927/H927,1))),IF(R927&gt;0,AY927/R927,0))/MAX(0.1,N(Parameter!$M$21)))</f>
        <v>0.0833333333333333</v>
      </c>
      <c r="BA927" s="50" t="n">
        <f aca="false">AZ927*BY927</f>
        <v>20.4166666666667</v>
      </c>
      <c r="BB927" s="50" t="n">
        <f aca="false">AX927*G927</f>
        <v>160</v>
      </c>
      <c r="BC927" s="50" t="n">
        <f aca="false">ROUNDUP(MAX(J927/IF(CD927&gt;0,CD927,MAX(0.1,N(Cockpit!$O$6))),CG927)/BV927,0)*BV927</f>
        <v>20</v>
      </c>
      <c r="BD927" s="51" t="n">
        <f aca="false">IF(BA927&gt;0,J927/BA927,-1)</f>
        <v>0.538775510204082</v>
      </c>
      <c r="BE927" s="51" t="n">
        <f aca="false">IF(AND(OR(CC927="L1",CC927="L23",CC927="LIFT"),BA927&gt;0),SUMIFS($BA$7:$BA$1843,$CC$7:$CC$1843,CC927,$BD$7:$BD$1843,"&gt;"&amp;BD927)+SUMIFS($BA$7:$BA$1843,$CC$7:$CC$1843,CC927,$BD$7:$BD$1843,BD927,$BT$7:$BT$1843,"&lt;="&amp;BT927),"")</f>
        <v>12899.4844322344</v>
      </c>
      <c r="BF927" s="58" t="n">
        <f aca="false">IF(BE927="",0,MAX(0,MIN(1,(IF(CC927="L1",Parameter!$H$5,IF(CC927="L23",Parameter!$H$6+Parameter!$H$7,Parameter!$H$5+Parameter!$H$6+Parameter!$H$7))-(BE927-BA927))/BA927)))</f>
        <v>1</v>
      </c>
      <c r="BG927" s="48" t="str">
        <f aca="false">IF(AI927&lt;=0,"",IF(CC927="Aussen","Aussenlager",IF(CC927="-","Nicht im Lift",IF(AN927&gt;=1,"Lift",IF(AN927&lt;=0,"Aussenlager","teilweise")))))</f>
        <v>Lift</v>
      </c>
      <c r="BH927" s="48" t="str">
        <f aca="false">IF(AR927&lt;=0,"",IF(CC927="Aussen","Aussenlager",IF(CC927="-","Nicht im Lift",IF(AW927&gt;=1,"Lift",IF(AW927&lt;=0,"Aussenlager","teilweise")))))</f>
        <v>Lift</v>
      </c>
      <c r="BI927" s="48" t="str">
        <f aca="false">IF(BA927&lt;=0,"",IF(CC927="Aussen","Aussenlager",IF(CC927="-","Nicht im Lift",IF(BF927&gt;=1,"Lift",IF(BF927&lt;=0,"Aussenlager","teilweise")))))</f>
        <v>Lift</v>
      </c>
      <c r="BJ927" s="48" t="str">
        <f aca="false">IF(A927="","",IF(BS927=1,"Neu; ","")&amp;IF(AND(BS927=0,BN927&lt;0),"negativer Bestand (Export "&amp;BN927&amp;"); ","")&amp;IF(J927&lt;=0,"Kein Verbrauch; ","")&amp;IF(CL927&gt;0,"Lift "&amp;W927&amp;" lt. Liftbericht (Fach "&amp;X927&amp;" Stk); ",IF(BX927=1,"Gebinde geschätzt ("&amp;T927&amp;"); ",IF(BW927=1,"Lose – Tablare geschätzt; ","")))&amp;IF(H927&gt;AT927,"Überbestand "&amp;ROUND(H927-AT927,0)&amp;" Stk / CHF "&amp;ROUND((H927-AT927)*G927,0)&amp;"; ","")&amp;IF(AND(CE927=1,CF927&lt;CG927),"MAX &lt; MB+LG; ","")&amp;IF(AND(CK927&gt;0,CJ927*10&gt;CK927),"zu hoch für Tablar; ","")&amp;IF(AND(BS927=0,OR(CE927=1,AA927&lt;&gt;"",U927&lt;&gt;"",V927&lt;&gt;"",AB927&lt;&gt;"")),"manuell übersteuert; ","")&amp;IF(AND(BW927=0,R927=0),"Gebinde unbekannt / Stellmass fehlt; ","")&amp;IF(AND(BW927=0,N(V927)&lt;=0,N(Q927)&lt;=0),"Menge pro Gebinde fehlt (Ist = 1 Gebinde); ","")&amp;BR927)</f>
        <v>negativer Bestand (Export -6); </v>
      </c>
      <c r="BK927" s="48"/>
      <c r="BL927" s="48"/>
      <c r="BM927" s="55"/>
      <c r="BN927" s="50" t="n">
        <v>-6</v>
      </c>
      <c r="BO927" s="50" t="n">
        <v>12</v>
      </c>
      <c r="BP927" s="49" t="n">
        <v>-48</v>
      </c>
      <c r="BQ927" s="50" t="n">
        <v>11</v>
      </c>
      <c r="BR927" s="48"/>
      <c r="BS927" s="53" t="n">
        <v>0</v>
      </c>
      <c r="BT927" s="53" t="n">
        <v>927</v>
      </c>
      <c r="BU927" s="48" t="str">
        <f aca="false">IF(U927&lt;&gt;"",UPPER(TRIM(U927)),IF(BX927=1,UPPER(VLOOKUP(T927,Parameter!$I$27:$K$29,2,0)),IF(P927="","LOSE",P927)))</f>
        <v>S62</v>
      </c>
      <c r="BV927" s="50" t="n">
        <f aca="false">IF(BU927="LOSE",1,IF(N(V927)&gt;0,V927,IF(BX927=1,MAX(1,N(VLOOKUP(T927,Parameter!$I$27:$K$29,3,0)),H927,N(N927)),IF(N(Q927)&gt;0,Q927,MAX(1,H927)))))</f>
        <v>20</v>
      </c>
      <c r="BW927" s="53" t="n">
        <f aca="false">IF(BU927="LOSE",1,0)</f>
        <v>0</v>
      </c>
      <c r="BX927" s="53" t="n">
        <f aca="false">IF(AND(U927="",OR(P927="",P927="LOSE"),T927&lt;&gt;"",N(S927)&lt;=0,ISNUMBER(MATCH(T927,Parameter!$I$27:$I$29,0))),1,0)</f>
        <v>0</v>
      </c>
      <c r="BY927" s="53" t="n">
        <f aca="false">IF(CL927&gt;0,INDEX(Parameter!$H$5:$H$7,W927)/INDEX(Parameter!$E$5:$E$7,W927),IF(AND(BW927=0,N(IFERROR(VLOOKUP(BU927,'Gebinde-Kategorie'!$A$5:$N$45,14,0),0))&gt;0),VLOOKUP(BU927,'Gebinde-Kategorie'!$A$5:$N$45,14,0)*10+Parameter!$M$23,Parameter!$M$24))</f>
        <v>245</v>
      </c>
      <c r="BZ927" s="48" t="str">
        <f aca="false">IF(AND(Parameter!$B$19="Ja",E927&lt;&gt;"",ISNUMBER(MATCH(E927,Parameter!$I$35:$I$52,0))),VLOOKUP(E927,Parameter!$I$35:$J$52,2,0),IFERROR(VLOOKUP(D927,Parameter!$A$35:$C$64,2,0),"Nein"))</f>
        <v>2+3</v>
      </c>
      <c r="CA927" s="52" t="n">
        <f aca="false">IF(BW927=0,0,IF(N(S927)&gt;0,S927,IFERROR(VLOOKUP(D927,Parameter!$A$35:$C$64,3,0)+0,0)))</f>
        <v>0</v>
      </c>
      <c r="CB927" s="48" t="n">
        <f aca="false">IF(AA927&lt;&gt;"",AA927,Z927)</f>
        <v>2</v>
      </c>
      <c r="CC927" s="48" t="str">
        <f aca="false">IF(OR(CB927=1,CB927=2,CB927=3),IF(Parameter!$E$27="Ja","LIFT",IF(CB927=1,"L1","L23")),IF(CB927="Aussen","Aussen","-"))</f>
        <v>LIFT</v>
      </c>
      <c r="CD927" s="59" t="n">
        <f aca="false">IF(N(AB927)&gt;0,AB927,0)</f>
        <v>0</v>
      </c>
      <c r="CE927" s="53" t="n">
        <f aca="false">IF(ISNUMBER(AE927),1,0)</f>
        <v>0</v>
      </c>
      <c r="CF927" s="50" t="n">
        <f aca="false">N(AE927)</f>
        <v>0</v>
      </c>
      <c r="CG927" s="50" t="n">
        <f aca="false">N(M927)+N(N927)</f>
        <v>10</v>
      </c>
      <c r="CH927" s="50" t="n">
        <f aca="false">ROUNDUP(H927/BV927,0)</f>
        <v>1</v>
      </c>
      <c r="CI927" s="50" t="n">
        <f aca="false">ROUNDUP(CF927/BV927,0)</f>
        <v>0</v>
      </c>
      <c r="CJ927" s="53" t="n">
        <f aca="false">IF(BW927=1,0,IFERROR(VLOOKUP(BU927,'Gebinde-Kategorie'!$A$5:$N$45,5,0)+0,0))</f>
        <v>21</v>
      </c>
      <c r="CK927" s="53" t="n">
        <f aca="false">IFERROR(IF(OR(CB927=1,CB927=2,CB927=3),N(INDEX(Parameter!$I$5:$I$7,CB927)),0),0)</f>
        <v>0</v>
      </c>
      <c r="CL927" s="52" t="n">
        <f aca="false">IF(AND(Parameter!$B$21="Ja",ISNUMBER(W927),N(X927)&gt;0),IFERROR(N(INDEX(Parameter!$L$5:$L$7,W927))*INDEX(Parameter!$E$5:$E$7,W927)*X927/SUMIFS($X$7:$X$1843,$W$7:$W$1843,W927),0),0)</f>
        <v>0</v>
      </c>
    </row>
    <row r="928" customFormat="false" ht="15" hidden="false" customHeight="false" outlineLevel="0" collapsed="false">
      <c r="A928" s="48" t="s">
        <v>1735</v>
      </c>
      <c r="B928" s="48" t="s">
        <v>721</v>
      </c>
      <c r="C928" s="48" t="s">
        <v>168</v>
      </c>
      <c r="D928" s="48" t="s">
        <v>177</v>
      </c>
      <c r="E928" s="48" t="s">
        <v>170</v>
      </c>
      <c r="F928" s="48" t="s">
        <v>222</v>
      </c>
      <c r="G928" s="49" t="n">
        <v>48.24</v>
      </c>
      <c r="H928" s="50" t="n">
        <f aca="false">MAX(0,IF(AND(Parameter!$B$21="Ja",ISNUMBER(Y928)),Y928,IF(Parameter!$B$20="Jahresanfang 2025 + Export",BO928+BN928,BN928)))</f>
        <v>2</v>
      </c>
      <c r="I928" s="50" t="n">
        <f aca="false">H928*G928</f>
        <v>96.48</v>
      </c>
      <c r="J928" s="50" t="n">
        <f aca="false">BQ928*Parameter!$B$18</f>
        <v>0</v>
      </c>
      <c r="K928" s="51" t="n">
        <v>3</v>
      </c>
      <c r="L928" s="52" t="n">
        <v>0</v>
      </c>
      <c r="M928" s="50" t="n">
        <v>0</v>
      </c>
      <c r="N928" s="50" t="n">
        <v>1</v>
      </c>
      <c r="O928" s="53" t="n">
        <v>28</v>
      </c>
      <c r="P928" s="48" t="s">
        <v>306</v>
      </c>
      <c r="Q928" s="50" t="n">
        <v>20</v>
      </c>
      <c r="R928" s="53" t="n">
        <f aca="false">IF(BW928=1,0,IFERROR(VLOOKUP(BU928,'Gebinde-Kategorie'!$A$5:$N$45,13,0)+0,0))</f>
        <v>26</v>
      </c>
      <c r="S928" s="54"/>
      <c r="T928" s="55"/>
      <c r="U928" s="55"/>
      <c r="V928" s="55"/>
      <c r="W928" s="48"/>
      <c r="X928" s="50"/>
      <c r="Y928" s="50"/>
      <c r="Z928" s="48" t="n">
        <f aca="false">IF(A928="","",IF(AND(Parameter!$B$21="Ja",ISNUMBER(W928)),W928,IF(BZ928="2+3",IF(ISNUMBER(SEARCH("grosser Artikel",BR928)),2,IFERROR(VLOOKUP(BU928,Parameter!$F$35:$G$64,2,0),2)),IF(OR(BZ928="Nein",BZ928=""),"-",BZ928))))</f>
        <v>1</v>
      </c>
      <c r="AA928" s="55"/>
      <c r="AB928" s="56"/>
      <c r="AC928" s="50" t="n">
        <f aca="false">AT928</f>
        <v>20</v>
      </c>
      <c r="AD928" s="50" t="n">
        <f aca="false">MAX(AT928,H928)</f>
        <v>20</v>
      </c>
      <c r="AE928" s="57"/>
      <c r="AF928" s="50" t="n">
        <f aca="false">IF(LEFT(Cockpit!$C$5,1)="A",H928,IF(CE928=1,CF928,IF(LEFT(Cockpit!$C$5,1)="B",AK928,MAX(AK928,H928))))</f>
        <v>2</v>
      </c>
      <c r="AG928" s="50" t="n">
        <f aca="false">IF(BW928=1,0,ROUNDUP(AF928/BV928,0))</f>
        <v>1</v>
      </c>
      <c r="AH928" s="52" t="n">
        <f aca="false">IF(CL928&gt;0,CL928*MAX(1,AF928/X928),IF(BW928=1,IF(AF928&lt;=0,0,CA928*MAX(1,IF(H928&gt;0,AF928/H928,1))),IF(R928&gt;0,AG928/R928,0))/MAX(0.1,N(Parameter!$M$21)))</f>
        <v>0.0384615384615385</v>
      </c>
      <c r="AI928" s="50" t="n">
        <f aca="false">AH928*BY928</f>
        <v>5.96153846153846</v>
      </c>
      <c r="AJ928" s="50" t="n">
        <f aca="false">AF928*G928</f>
        <v>96.48</v>
      </c>
      <c r="AK928" s="50" t="n">
        <f aca="false">ROUNDUP(MAX(J928/IF(CD928&gt;0,CD928,MAX(0.1,N(Cockpit!$C$6))),CG928)/BV928,0)*BV928</f>
        <v>20</v>
      </c>
      <c r="AL928" s="51" t="n">
        <f aca="false">IF(AI928&gt;0,J928/AI928,-1)</f>
        <v>0</v>
      </c>
      <c r="AM928" s="51" t="n">
        <f aca="false">IF(AND(OR(CC928="L1",CC928="L23",CC928="LIFT"),AI928&gt;0),SUMIFS($AI$7:$AI$1843,$CC$7:$CC$1843,CC928,$AL$7:$AL$1843,"&gt;"&amp;AL928)+SUMIFS($AI$7:$AI$1843,$CC$7:$CC$1843,CC928,$AL$7:$AL$1843,AL928,$BT$7:$BT$1843,"&lt;="&amp;BT928),"")</f>
        <v>28862.5248934211</v>
      </c>
      <c r="AN928" s="58" t="n">
        <f aca="false">IF(AM928="",0,MAX(0,MIN(1,(IF(CC928="L1",Parameter!$H$5,IF(CC928="L23",Parameter!$H$6+Parameter!$H$7,Parameter!$H$5+Parameter!$H$6+Parameter!$H$7))-(AM928-AI928))/AI928)))</f>
        <v>1</v>
      </c>
      <c r="AO928" s="50" t="n">
        <f aca="false">IF(LEFT(Cockpit!$I$5,1)="A",H928,IF(CE928=1,CF928,IF(LEFT(Cockpit!$I$5,1)="B",AT928,MAX(AT928,H928))))</f>
        <v>20</v>
      </c>
      <c r="AP928" s="50" t="n">
        <f aca="false">IF(BW928=1,0,ROUNDUP(AO928/BV928,0))</f>
        <v>1</v>
      </c>
      <c r="AQ928" s="52" t="n">
        <f aca="false">IF(CL928&gt;0,CL928*MAX(1,AO928/X928),IF(BW928=1,IF(AO928&lt;=0,0,CA928*MAX(1,IF(H928&gt;0,AO928/H928,1))),IF(R928&gt;0,AP928/R928,0))/MAX(0.1,N(Parameter!$M$21)))</f>
        <v>0.0384615384615385</v>
      </c>
      <c r="AR928" s="50" t="n">
        <f aca="false">AQ928*BY928</f>
        <v>5.96153846153846</v>
      </c>
      <c r="AS928" s="50" t="n">
        <f aca="false">AO928*G928</f>
        <v>964.8</v>
      </c>
      <c r="AT928" s="50" t="n">
        <f aca="false">ROUNDUP(MAX(J928/IF(CD928&gt;0,CD928,MAX(0.1,N(Cockpit!$I$6))),CG928)/BV928,0)*BV928</f>
        <v>20</v>
      </c>
      <c r="AU928" s="51" t="n">
        <f aca="false">IF(AR928&gt;0,J928/AR928,-1)</f>
        <v>0</v>
      </c>
      <c r="AV928" s="51" t="n">
        <f aca="false">IF(AND(OR(CC928="L1",CC928="L23",CC928="LIFT"),AR928&gt;0),SUMIFS($AR$7:$AR$1843,$CC$7:$CC$1843,CC928,$AU$7:$AU$1843,"&gt;"&amp;AU928)+SUMIFS($AR$7:$AR$1843,$CC$7:$CC$1843,CC928,$AU$7:$AU$1843,AU928,$BT$7:$BT$1843,"&lt;="&amp;BT928),"")</f>
        <v>40490.7683227789</v>
      </c>
      <c r="AW928" s="58" t="n">
        <f aca="false">IF(AV928="",0,MAX(0,MIN(1,(IF(CC928="L1",Parameter!$H$5,IF(CC928="L23",Parameter!$H$6+Parameter!$H$7,Parameter!$H$5+Parameter!$H$6+Parameter!$H$7))-(AV928-AR928))/AR928)))</f>
        <v>0</v>
      </c>
      <c r="AX928" s="50" t="n">
        <f aca="false">IF(LEFT(Cockpit!$O$5,1)="A",H928,IF(CE928=1,CF928,IF(LEFT(Cockpit!$O$5,1)="B",BC928,MAX(BC928,H928))))</f>
        <v>20</v>
      </c>
      <c r="AY928" s="50" t="n">
        <f aca="false">IF(BW928=1,0,ROUNDUP(AX928/BV928,0))</f>
        <v>1</v>
      </c>
      <c r="AZ928" s="52" t="n">
        <f aca="false">IF(CL928&gt;0,CL928*MAX(1,AX928/X928),IF(BW928=1,IF(AX928&lt;=0,0,CA928*MAX(1,IF(H928&gt;0,AX928/H928,1))),IF(R928&gt;0,AY928/R928,0))/MAX(0.1,N(Parameter!$M$21)))</f>
        <v>0.0384615384615385</v>
      </c>
      <c r="BA928" s="50" t="n">
        <f aca="false">AZ928*BY928</f>
        <v>5.96153846153846</v>
      </c>
      <c r="BB928" s="50" t="n">
        <f aca="false">AX928*G928</f>
        <v>964.8</v>
      </c>
      <c r="BC928" s="50" t="n">
        <f aca="false">ROUNDUP(MAX(J928/IF(CD928&gt;0,CD928,MAX(0.1,N(Cockpit!$O$6))),CG928)/BV928,0)*BV928</f>
        <v>20</v>
      </c>
      <c r="BD928" s="51" t="n">
        <f aca="false">IF(BA928&gt;0,J928/BA928,-1)</f>
        <v>0</v>
      </c>
      <c r="BE928" s="51" t="n">
        <f aca="false">IF(AND(OR(CC928="L1",CC928="L23",CC928="LIFT"),BA928&gt;0),SUMIFS($BA$7:$BA$1843,$CC$7:$CC$1843,CC928,$BD$7:$BD$1843,"&gt;"&amp;BD928)+SUMIFS($BA$7:$BA$1843,$CC$7:$CC$1843,CC928,$BD$7:$BD$1843,BD928,$BT$7:$BT$1843,"&lt;="&amp;BT928),"")</f>
        <v>37165.7803646448</v>
      </c>
      <c r="BF928" s="58" t="n">
        <f aca="false">IF(BE928="",0,MAX(0,MIN(1,(IF(CC928="L1",Parameter!$H$5,IF(CC928="L23",Parameter!$H$6+Parameter!$H$7,Parameter!$H$5+Parameter!$H$6+Parameter!$H$7))-(BE928-BA928))/BA928)))</f>
        <v>0</v>
      </c>
      <c r="BG928" s="48" t="str">
        <f aca="false">IF(AI928&lt;=0,"",IF(CC928="Aussen","Aussenlager",IF(CC928="-","Nicht im Lift",IF(AN928&gt;=1,"Lift",IF(AN928&lt;=0,"Aussenlager","teilweise")))))</f>
        <v>Lift</v>
      </c>
      <c r="BH928" s="48" t="str">
        <f aca="false">IF(AR928&lt;=0,"",IF(CC928="Aussen","Aussenlager",IF(CC928="-","Nicht im Lift",IF(AW928&gt;=1,"Lift",IF(AW928&lt;=0,"Aussenlager","teilweise")))))</f>
        <v>Aussenlager</v>
      </c>
      <c r="BI928" s="48" t="str">
        <f aca="false">IF(BA928&lt;=0,"",IF(CC928="Aussen","Aussenlager",IF(CC928="-","Nicht im Lift",IF(BF928&gt;=1,"Lift",IF(BF928&lt;=0,"Aussenlager","teilweise")))))</f>
        <v>Aussenlager</v>
      </c>
      <c r="BJ928" s="48" t="str">
        <f aca="false">IF(A928="","",IF(BS928=1,"Neu; ","")&amp;IF(AND(BS928=0,BN928&lt;0),"negativer Bestand (Export "&amp;BN928&amp;"); ","")&amp;IF(J928&lt;=0,"Kein Verbrauch; ","")&amp;IF(CL928&gt;0,"Lift "&amp;W928&amp;" lt. Liftbericht (Fach "&amp;X928&amp;" Stk); ",IF(BX928=1,"Gebinde geschätzt ("&amp;T928&amp;"); ",IF(BW928=1,"Lose – Tablare geschätzt; ","")))&amp;IF(H928&gt;AT928,"Überbestand "&amp;ROUND(H928-AT928,0)&amp;" Stk / CHF "&amp;ROUND((H928-AT928)*G928,0)&amp;"; ","")&amp;IF(AND(CE928=1,CF928&lt;CG928),"MAX &lt; MB+LG; ","")&amp;IF(AND(CK928&gt;0,CJ928*10&gt;CK928),"zu hoch für Tablar; ","")&amp;IF(AND(BS928=0,OR(CE928=1,AA928&lt;&gt;"",U928&lt;&gt;"",V928&lt;&gt;"",AB928&lt;&gt;"")),"manuell übersteuert; ","")&amp;IF(AND(BW928=0,R928=0),"Gebinde unbekannt / Stellmass fehlt; ","")&amp;IF(AND(BW928=0,N(V928)&lt;=0,N(Q928)&lt;=0),"Menge pro Gebinde fehlt (Ist = 1 Gebinde); ","")&amp;BR928)</f>
        <v>negativer Bestand (Export -1); Kein Verbrauch; </v>
      </c>
      <c r="BK928" s="48"/>
      <c r="BL928" s="48"/>
      <c r="BM928" s="55"/>
      <c r="BN928" s="50" t="n">
        <v>-1</v>
      </c>
      <c r="BO928" s="50" t="n">
        <v>3</v>
      </c>
      <c r="BP928" s="49" t="n">
        <v>-48.24</v>
      </c>
      <c r="BQ928" s="50" t="n">
        <v>0</v>
      </c>
      <c r="BR928" s="48"/>
      <c r="BS928" s="53" t="n">
        <v>0</v>
      </c>
      <c r="BT928" s="53" t="n">
        <v>928</v>
      </c>
      <c r="BU928" s="48" t="str">
        <f aca="false">IF(U928&lt;&gt;"",UPPER(TRIM(U928)),IF(BX928=1,UPPER(VLOOKUP(T928,Parameter!$I$27:$K$29,2,0)),IF(P928="","LOSE",P928)))</f>
        <v>S51</v>
      </c>
      <c r="BV928" s="50" t="n">
        <f aca="false">IF(BU928="LOSE",1,IF(N(V928)&gt;0,V928,IF(BX928=1,MAX(1,N(VLOOKUP(T928,Parameter!$I$27:$K$29,3,0)),H928,N(N928)),IF(N(Q928)&gt;0,Q928,MAX(1,H928)))))</f>
        <v>20</v>
      </c>
      <c r="BW928" s="53" t="n">
        <f aca="false">IF(BU928="LOSE",1,0)</f>
        <v>0</v>
      </c>
      <c r="BX928" s="53" t="n">
        <f aca="false">IF(AND(U928="",OR(P928="",P928="LOSE"),T928&lt;&gt;"",N(S928)&lt;=0,ISNUMBER(MATCH(T928,Parameter!$I$27:$I$29,0))),1,0)</f>
        <v>0</v>
      </c>
      <c r="BY928" s="53" t="n">
        <f aca="false">IF(CL928&gt;0,INDEX(Parameter!$H$5:$H$7,W928)/INDEX(Parameter!$E$5:$E$7,W928),IF(AND(BW928=0,N(IFERROR(VLOOKUP(BU928,'Gebinde-Kategorie'!$A$5:$N$45,14,0),0))&gt;0),VLOOKUP(BU928,'Gebinde-Kategorie'!$A$5:$N$45,14,0)*10+Parameter!$M$23,Parameter!$M$24))</f>
        <v>155</v>
      </c>
      <c r="BZ928" s="48" t="n">
        <f aca="false">IF(AND(Parameter!$B$19="Ja",E928&lt;&gt;"",ISNUMBER(MATCH(E928,Parameter!$I$35:$I$52,0))),VLOOKUP(E928,Parameter!$I$35:$J$52,2,0),IFERROR(VLOOKUP(D928,Parameter!$A$35:$C$64,2,0),"Nein"))</f>
        <v>1</v>
      </c>
      <c r="CA928" s="52" t="n">
        <f aca="false">IF(BW928=0,0,IF(N(S928)&gt;0,S928,IFERROR(VLOOKUP(D928,Parameter!$A$35:$C$64,3,0)+0,0)))</f>
        <v>0</v>
      </c>
      <c r="CB928" s="48" t="n">
        <f aca="false">IF(AA928&lt;&gt;"",AA928,Z928)</f>
        <v>1</v>
      </c>
      <c r="CC928" s="48" t="str">
        <f aca="false">IF(OR(CB928=1,CB928=2,CB928=3),IF(Parameter!$E$27="Ja","LIFT",IF(CB928=1,"L1","L23")),IF(CB928="Aussen","Aussen","-"))</f>
        <v>LIFT</v>
      </c>
      <c r="CD928" s="59" t="n">
        <f aca="false">IF(N(AB928)&gt;0,AB928,0)</f>
        <v>0</v>
      </c>
      <c r="CE928" s="53" t="n">
        <f aca="false">IF(ISNUMBER(AE928),1,0)</f>
        <v>0</v>
      </c>
      <c r="CF928" s="50" t="n">
        <f aca="false">N(AE928)</f>
        <v>0</v>
      </c>
      <c r="CG928" s="50" t="n">
        <f aca="false">N(M928)+N(N928)</f>
        <v>1</v>
      </c>
      <c r="CH928" s="50" t="n">
        <f aca="false">ROUNDUP(H928/BV928,0)</f>
        <v>1</v>
      </c>
      <c r="CI928" s="50" t="n">
        <f aca="false">ROUNDUP(CF928/BV928,0)</f>
        <v>0</v>
      </c>
      <c r="CJ928" s="53" t="n">
        <f aca="false">IF(BW928=1,0,IFERROR(VLOOKUP(BU928,'Gebinde-Kategorie'!$A$5:$N$45,5,0)+0,0))</f>
        <v>11</v>
      </c>
      <c r="CK928" s="53" t="n">
        <f aca="false">IFERROR(IF(OR(CB928=1,CB928=2,CB928=3),N(INDEX(Parameter!$I$5:$I$7,CB928)),0),0)</f>
        <v>0</v>
      </c>
      <c r="CL928" s="52" t="n">
        <f aca="false">IF(AND(Parameter!$B$21="Ja",ISNUMBER(W928),N(X928)&gt;0),IFERROR(N(INDEX(Parameter!$L$5:$L$7,W928))*INDEX(Parameter!$E$5:$E$7,W928)*X928/SUMIFS($X$7:$X$1843,$W$7:$W$1843,W928),0),0)</f>
        <v>0</v>
      </c>
    </row>
    <row r="929" customFormat="false" ht="15" hidden="false" customHeight="false" outlineLevel="0" collapsed="false">
      <c r="A929" s="48" t="s">
        <v>1736</v>
      </c>
      <c r="B929" s="48" t="s">
        <v>1737</v>
      </c>
      <c r="C929" s="48" t="s">
        <v>168</v>
      </c>
      <c r="D929" s="48" t="s">
        <v>188</v>
      </c>
      <c r="E929" s="48" t="s">
        <v>189</v>
      </c>
      <c r="F929" s="48" t="s">
        <v>222</v>
      </c>
      <c r="G929" s="49" t="n">
        <v>14.45</v>
      </c>
      <c r="H929" s="50" t="n">
        <f aca="false">MAX(0,IF(AND(Parameter!$B$21="Ja",ISNUMBER(Y929)),Y929,IF(Parameter!$B$20="Jahresanfang 2025 + Export",BO929+BN929,BN929)))</f>
        <v>8</v>
      </c>
      <c r="I929" s="50" t="n">
        <f aca="false">H929*G929</f>
        <v>115.6</v>
      </c>
      <c r="J929" s="50" t="n">
        <f aca="false">BQ929*Parameter!$B$18</f>
        <v>7</v>
      </c>
      <c r="K929" s="51" t="n">
        <v>10</v>
      </c>
      <c r="L929" s="52" t="n">
        <v>0.7</v>
      </c>
      <c r="M929" s="50" t="n">
        <v>0</v>
      </c>
      <c r="N929" s="50" t="n">
        <v>5</v>
      </c>
      <c r="O929" s="53" t="n">
        <v>22</v>
      </c>
      <c r="P929" s="48" t="s">
        <v>332</v>
      </c>
      <c r="Q929" s="50" t="n">
        <v>22</v>
      </c>
      <c r="R929" s="53" t="n">
        <f aca="false">IF(BW929=1,0,IFERROR(VLOOKUP(BU929,'Gebinde-Kategorie'!$A$5:$N$45,13,0)+0,0))</f>
        <v>52</v>
      </c>
      <c r="S929" s="54"/>
      <c r="T929" s="55"/>
      <c r="U929" s="55"/>
      <c r="V929" s="55"/>
      <c r="W929" s="48"/>
      <c r="X929" s="50"/>
      <c r="Y929" s="50"/>
      <c r="Z929" s="48" t="n">
        <f aca="false">IF(A929="","",IF(AND(Parameter!$B$21="Ja",ISNUMBER(W929)),W929,IF(BZ929="2+3",IF(ISNUMBER(SEARCH("grosser Artikel",BR929)),2,IFERROR(VLOOKUP(BU929,Parameter!$F$35:$G$64,2,0),2)),IF(OR(BZ929="Nein",BZ929=""),"-",BZ929))))</f>
        <v>3</v>
      </c>
      <c r="AA929" s="55"/>
      <c r="AB929" s="56"/>
      <c r="AC929" s="50" t="n">
        <f aca="false">AT929</f>
        <v>22</v>
      </c>
      <c r="AD929" s="50" t="n">
        <f aca="false">MAX(AT929,H929)</f>
        <v>22</v>
      </c>
      <c r="AE929" s="57"/>
      <c r="AF929" s="50" t="n">
        <f aca="false">IF(LEFT(Cockpit!$C$5,1)="A",H929,IF(CE929=1,CF929,IF(LEFT(Cockpit!$C$5,1)="B",AK929,MAX(AK929,H929))))</f>
        <v>8</v>
      </c>
      <c r="AG929" s="50" t="n">
        <f aca="false">IF(BW929=1,0,ROUNDUP(AF929/BV929,0))</f>
        <v>1</v>
      </c>
      <c r="AH929" s="52" t="n">
        <f aca="false">IF(CL929&gt;0,CL929*MAX(1,AF929/X929),IF(BW929=1,IF(AF929&lt;=0,0,CA929*MAX(1,IF(H929&gt;0,AF929/H929,1))),IF(R929&gt;0,AG929/R929,0))/MAX(0.1,N(Parameter!$M$21)))</f>
        <v>0.0192307692307692</v>
      </c>
      <c r="AI929" s="50" t="n">
        <f aca="false">AH929*BY929</f>
        <v>2.98076923076923</v>
      </c>
      <c r="AJ929" s="50" t="n">
        <f aca="false">AF929*G929</f>
        <v>115.6</v>
      </c>
      <c r="AK929" s="50" t="n">
        <f aca="false">ROUNDUP(MAX(J929/IF(CD929&gt;0,CD929,MAX(0.1,N(Cockpit!$C$6))),CG929)/BV929,0)*BV929</f>
        <v>22</v>
      </c>
      <c r="AL929" s="51" t="n">
        <f aca="false">IF(AI929&gt;0,J929/AI929,-1)</f>
        <v>2.34838709677419</v>
      </c>
      <c r="AM929" s="51" t="n">
        <f aca="false">IF(AND(OR(CC929="L1",CC929="L23",CC929="LIFT"),AI929&gt;0),SUMIFS($AI$7:$AI$1843,$CC$7:$CC$1843,CC929,$AL$7:$AL$1843,"&gt;"&amp;AL929)+SUMIFS($AI$7:$AI$1843,$CC$7:$CC$1843,CC929,$AL$7:$AL$1843,AL929,$BT$7:$BT$1843,"&lt;="&amp;BT929),"")</f>
        <v>5634.19917582418</v>
      </c>
      <c r="AN929" s="58" t="n">
        <f aca="false">IF(AM929="",0,MAX(0,MIN(1,(IF(CC929="L1",Parameter!$H$5,IF(CC929="L23",Parameter!$H$6+Parameter!$H$7,Parameter!$H$5+Parameter!$H$6+Parameter!$H$7))-(AM929-AI929))/AI929)))</f>
        <v>1</v>
      </c>
      <c r="AO929" s="50" t="n">
        <f aca="false">IF(LEFT(Cockpit!$I$5,1)="A",H929,IF(CE929=1,CF929,IF(LEFT(Cockpit!$I$5,1)="B",AT929,MAX(AT929,H929))))</f>
        <v>22</v>
      </c>
      <c r="AP929" s="50" t="n">
        <f aca="false">IF(BW929=1,0,ROUNDUP(AO929/BV929,0))</f>
        <v>1</v>
      </c>
      <c r="AQ929" s="52" t="n">
        <f aca="false">IF(CL929&gt;0,CL929*MAX(1,AO929/X929),IF(BW929=1,IF(AO929&lt;=0,0,CA929*MAX(1,IF(H929&gt;0,AO929/H929,1))),IF(R929&gt;0,AP929/R929,0))/MAX(0.1,N(Parameter!$M$21)))</f>
        <v>0.0192307692307692</v>
      </c>
      <c r="AR929" s="50" t="n">
        <f aca="false">AQ929*BY929</f>
        <v>2.98076923076923</v>
      </c>
      <c r="AS929" s="50" t="n">
        <f aca="false">AO929*G929</f>
        <v>317.9</v>
      </c>
      <c r="AT929" s="50" t="n">
        <f aca="false">ROUNDUP(MAX(J929/IF(CD929&gt;0,CD929,MAX(0.1,N(Cockpit!$I$6))),CG929)/BV929,0)*BV929</f>
        <v>22</v>
      </c>
      <c r="AU929" s="51" t="n">
        <f aca="false">IF(AR929&gt;0,J929/AR929,-1)</f>
        <v>2.34838709677419</v>
      </c>
      <c r="AV929" s="51" t="n">
        <f aca="false">IF(AND(OR(CC929="L1",CC929="L23",CC929="LIFT"),AR929&gt;0),SUMIFS($AR$7:$AR$1843,$CC$7:$CC$1843,CC929,$AU$7:$AU$1843,"&gt;"&amp;AU929)+SUMIFS($AR$7:$AR$1843,$CC$7:$CC$1843,CC929,$AU$7:$AU$1843,AU929,$BT$7:$BT$1843,"&lt;="&amp;BT929),"")</f>
        <v>6959.46840659341</v>
      </c>
      <c r="AW929" s="58" t="n">
        <f aca="false">IF(AV929="",0,MAX(0,MIN(1,(IF(CC929="L1",Parameter!$H$5,IF(CC929="L23",Parameter!$H$6+Parameter!$H$7,Parameter!$H$5+Parameter!$H$6+Parameter!$H$7))-(AV929-AR929))/AR929)))</f>
        <v>1</v>
      </c>
      <c r="AX929" s="50" t="n">
        <f aca="false">IF(LEFT(Cockpit!$O$5,1)="A",H929,IF(CE929=1,CF929,IF(LEFT(Cockpit!$O$5,1)="B",BC929,MAX(BC929,H929))))</f>
        <v>22</v>
      </c>
      <c r="AY929" s="50" t="n">
        <f aca="false">IF(BW929=1,0,ROUNDUP(AX929/BV929,0))</f>
        <v>1</v>
      </c>
      <c r="AZ929" s="52" t="n">
        <f aca="false">IF(CL929&gt;0,CL929*MAX(1,AX929/X929),IF(BW929=1,IF(AX929&lt;=0,0,CA929*MAX(1,IF(H929&gt;0,AX929/H929,1))),IF(R929&gt;0,AY929/R929,0))/MAX(0.1,N(Parameter!$M$21)))</f>
        <v>0.0192307692307692</v>
      </c>
      <c r="BA929" s="50" t="n">
        <f aca="false">AZ929*BY929</f>
        <v>2.98076923076923</v>
      </c>
      <c r="BB929" s="50" t="n">
        <f aca="false">AX929*G929</f>
        <v>317.9</v>
      </c>
      <c r="BC929" s="50" t="n">
        <f aca="false">ROUNDUP(MAX(J929/IF(CD929&gt;0,CD929,MAX(0.1,N(Cockpit!$O$6))),CG929)/BV929,0)*BV929</f>
        <v>22</v>
      </c>
      <c r="BD929" s="51" t="n">
        <f aca="false">IF(BA929&gt;0,J929/BA929,-1)</f>
        <v>2.34838709677419</v>
      </c>
      <c r="BE929" s="51" t="n">
        <f aca="false">IF(AND(OR(CC929="L1",CC929="L23",CC929="LIFT"),BA929&gt;0),SUMIFS($BA$7:$BA$1843,$CC$7:$CC$1843,CC929,$BD$7:$BD$1843,"&gt;"&amp;BD929)+SUMIFS($BA$7:$BA$1843,$CC$7:$CC$1843,CC929,$BD$7:$BD$1843,BD929,$BT$7:$BT$1843,"&lt;="&amp;BT929),"")</f>
        <v>6728.04212454213</v>
      </c>
      <c r="BF929" s="58" t="n">
        <f aca="false">IF(BE929="",0,MAX(0,MIN(1,(IF(CC929="L1",Parameter!$H$5,IF(CC929="L23",Parameter!$H$6+Parameter!$H$7,Parameter!$H$5+Parameter!$H$6+Parameter!$H$7))-(BE929-BA929))/BA929)))</f>
        <v>1</v>
      </c>
      <c r="BG929" s="48" t="str">
        <f aca="false">IF(AI929&lt;=0,"",IF(CC929="Aussen","Aussenlager",IF(CC929="-","Nicht im Lift",IF(AN929&gt;=1,"Lift",IF(AN929&lt;=0,"Aussenlager","teilweise")))))</f>
        <v>Lift</v>
      </c>
      <c r="BH929" s="48" t="str">
        <f aca="false">IF(AR929&lt;=0,"",IF(CC929="Aussen","Aussenlager",IF(CC929="-","Nicht im Lift",IF(AW929&gt;=1,"Lift",IF(AW929&lt;=0,"Aussenlager","teilweise")))))</f>
        <v>Lift</v>
      </c>
      <c r="BI929" s="48" t="str">
        <f aca="false">IF(BA929&lt;=0,"",IF(CC929="Aussen","Aussenlager",IF(CC929="-","Nicht im Lift",IF(BF929&gt;=1,"Lift",IF(BF929&lt;=0,"Aussenlager","teilweise")))))</f>
        <v>Lift</v>
      </c>
      <c r="BJ929" s="48" t="str">
        <f aca="false">IF(A929="","",IF(BS929=1,"Neu; ","")&amp;IF(AND(BS929=0,BN929&lt;0),"negativer Bestand (Export "&amp;BN929&amp;"); ","")&amp;IF(J929&lt;=0,"Kein Verbrauch; ","")&amp;IF(CL929&gt;0,"Lift "&amp;W929&amp;" lt. Liftbericht (Fach "&amp;X929&amp;" Stk); ",IF(BX929=1,"Gebinde geschätzt ("&amp;T929&amp;"); ",IF(BW929=1,"Lose – Tablare geschätzt; ","")))&amp;IF(H929&gt;AT929,"Überbestand "&amp;ROUND(H929-AT929,0)&amp;" Stk / CHF "&amp;ROUND((H929-AT929)*G929,0)&amp;"; ","")&amp;IF(AND(CE929=1,CF929&lt;CG929),"MAX &lt; MB+LG; ","")&amp;IF(AND(CK929&gt;0,CJ929*10&gt;CK929),"zu hoch für Tablar; ","")&amp;IF(AND(BS929=0,OR(CE929=1,AA929&lt;&gt;"",U929&lt;&gt;"",V929&lt;&gt;"",AB929&lt;&gt;"")),"manuell übersteuert; ","")&amp;IF(AND(BW929=0,R929=0),"Gebinde unbekannt / Stellmass fehlt; ","")&amp;IF(AND(BW929=0,N(V929)&lt;=0,N(Q929)&lt;=0),"Menge pro Gebinde fehlt (Ist = 1 Gebinde); ","")&amp;BR929)</f>
        <v>negativer Bestand (Export -3); </v>
      </c>
      <c r="BK929" s="48"/>
      <c r="BL929" s="48"/>
      <c r="BM929" s="55"/>
      <c r="BN929" s="50" t="n">
        <v>-3</v>
      </c>
      <c r="BO929" s="50" t="n">
        <v>11</v>
      </c>
      <c r="BP929" s="49" t="n">
        <v>-48.63</v>
      </c>
      <c r="BQ929" s="50" t="n">
        <v>7</v>
      </c>
      <c r="BR929" s="48"/>
      <c r="BS929" s="53" t="n">
        <v>0</v>
      </c>
      <c r="BT929" s="53" t="n">
        <v>929</v>
      </c>
      <c r="BU929" s="48" t="str">
        <f aca="false">IF(U929&lt;&gt;"",UPPER(TRIM(U929)),IF(BX929=1,UPPER(VLOOKUP(T929,Parameter!$I$27:$K$29,2,0)),IF(P929="","LOSE",P929)))</f>
        <v>S41</v>
      </c>
      <c r="BV929" s="50" t="n">
        <f aca="false">IF(BU929="LOSE",1,IF(N(V929)&gt;0,V929,IF(BX929=1,MAX(1,N(VLOOKUP(T929,Parameter!$I$27:$K$29,3,0)),H929,N(N929)),IF(N(Q929)&gt;0,Q929,MAX(1,H929)))))</f>
        <v>22</v>
      </c>
      <c r="BW929" s="53" t="n">
        <f aca="false">IF(BU929="LOSE",1,0)</f>
        <v>0</v>
      </c>
      <c r="BX929" s="53" t="n">
        <f aca="false">IF(AND(U929="",OR(P929="",P929="LOSE"),T929&lt;&gt;"",N(S929)&lt;=0,ISNUMBER(MATCH(T929,Parameter!$I$27:$I$29,0))),1,0)</f>
        <v>0</v>
      </c>
      <c r="BY929" s="53" t="n">
        <f aca="false">IF(CL929&gt;0,INDEX(Parameter!$H$5:$H$7,W929)/INDEX(Parameter!$E$5:$E$7,W929),IF(AND(BW929=0,N(IFERROR(VLOOKUP(BU929,'Gebinde-Kategorie'!$A$5:$N$45,14,0),0))&gt;0),VLOOKUP(BU929,'Gebinde-Kategorie'!$A$5:$N$45,14,0)*10+Parameter!$M$23,Parameter!$M$24))</f>
        <v>155</v>
      </c>
      <c r="BZ929" s="48" t="str">
        <f aca="false">IF(AND(Parameter!$B$19="Ja",E929&lt;&gt;"",ISNUMBER(MATCH(E929,Parameter!$I$35:$I$52,0))),VLOOKUP(E929,Parameter!$I$35:$J$52,2,0),IFERROR(VLOOKUP(D929,Parameter!$A$35:$C$64,2,0),"Nein"))</f>
        <v>2+3</v>
      </c>
      <c r="CA929" s="52" t="n">
        <f aca="false">IF(BW929=0,0,IF(N(S929)&gt;0,S929,IFERROR(VLOOKUP(D929,Parameter!$A$35:$C$64,3,0)+0,0)))</f>
        <v>0</v>
      </c>
      <c r="CB929" s="48" t="n">
        <f aca="false">IF(AA929&lt;&gt;"",AA929,Z929)</f>
        <v>3</v>
      </c>
      <c r="CC929" s="48" t="str">
        <f aca="false">IF(OR(CB929=1,CB929=2,CB929=3),IF(Parameter!$E$27="Ja","LIFT",IF(CB929=1,"L1","L23")),IF(CB929="Aussen","Aussen","-"))</f>
        <v>LIFT</v>
      </c>
      <c r="CD929" s="59" t="n">
        <f aca="false">IF(N(AB929)&gt;0,AB929,0)</f>
        <v>0</v>
      </c>
      <c r="CE929" s="53" t="n">
        <f aca="false">IF(ISNUMBER(AE929),1,0)</f>
        <v>0</v>
      </c>
      <c r="CF929" s="50" t="n">
        <f aca="false">N(AE929)</f>
        <v>0</v>
      </c>
      <c r="CG929" s="50" t="n">
        <f aca="false">N(M929)+N(N929)</f>
        <v>5</v>
      </c>
      <c r="CH929" s="50" t="n">
        <f aca="false">ROUNDUP(H929/BV929,0)</f>
        <v>1</v>
      </c>
      <c r="CI929" s="50" t="n">
        <f aca="false">ROUNDUP(CF929/BV929,0)</f>
        <v>0</v>
      </c>
      <c r="CJ929" s="53" t="n">
        <f aca="false">IF(BW929=1,0,IFERROR(VLOOKUP(BU929,'Gebinde-Kategorie'!$A$5:$N$45,5,0)+0,0))</f>
        <v>11</v>
      </c>
      <c r="CK929" s="53" t="n">
        <f aca="false">IFERROR(IF(OR(CB929=1,CB929=2,CB929=3),N(INDEX(Parameter!$I$5:$I$7,CB929)),0),0)</f>
        <v>0</v>
      </c>
      <c r="CL929" s="52" t="n">
        <f aca="false">IF(AND(Parameter!$B$21="Ja",ISNUMBER(W929),N(X929)&gt;0),IFERROR(N(INDEX(Parameter!$L$5:$L$7,W929))*INDEX(Parameter!$E$5:$E$7,W929)*X929/SUMIFS($X$7:$X$1843,$W$7:$W$1843,W929),0),0)</f>
        <v>0</v>
      </c>
    </row>
    <row r="930" customFormat="false" ht="15" hidden="false" customHeight="false" outlineLevel="0" collapsed="false">
      <c r="A930" s="48" t="s">
        <v>1738</v>
      </c>
      <c r="B930" s="48" t="s">
        <v>1739</v>
      </c>
      <c r="C930" s="48" t="s">
        <v>168</v>
      </c>
      <c r="D930" s="48" t="s">
        <v>188</v>
      </c>
      <c r="E930" s="48" t="s">
        <v>189</v>
      </c>
      <c r="F930" s="48" t="s">
        <v>222</v>
      </c>
      <c r="G930" s="49" t="n">
        <v>48.79</v>
      </c>
      <c r="H930" s="50" t="n">
        <f aca="false">MAX(0,IF(AND(Parameter!$B$21="Ja",ISNUMBER(Y930)),Y930,IF(Parameter!$B$20="Jahresanfang 2025 + Export",BO930+BN930,BN930)))</f>
        <v>4</v>
      </c>
      <c r="I930" s="50" t="n">
        <f aca="false">H930*G930</f>
        <v>195.16</v>
      </c>
      <c r="J930" s="50" t="n">
        <f aca="false">BQ930*Parameter!$B$18</f>
        <v>0</v>
      </c>
      <c r="K930" s="51" t="n">
        <v>5</v>
      </c>
      <c r="L930" s="52" t="n">
        <v>0</v>
      </c>
      <c r="M930" s="50" t="n">
        <v>0</v>
      </c>
      <c r="N930" s="50" t="n">
        <v>1</v>
      </c>
      <c r="O930" s="53" t="n">
        <v>42</v>
      </c>
      <c r="P930" s="48" t="s">
        <v>405</v>
      </c>
      <c r="Q930" s="50" t="n">
        <v>5</v>
      </c>
      <c r="R930" s="53" t="n">
        <f aca="false">IF(BW930=1,0,IFERROR(VLOOKUP(BU930,'Gebinde-Kategorie'!$A$5:$N$45,13,0)+0,0))</f>
        <v>280</v>
      </c>
      <c r="S930" s="54"/>
      <c r="T930" s="55"/>
      <c r="U930" s="55"/>
      <c r="V930" s="55"/>
      <c r="W930" s="48"/>
      <c r="X930" s="50"/>
      <c r="Y930" s="50"/>
      <c r="Z930" s="48" t="n">
        <f aca="false">IF(A930="","",IF(AND(Parameter!$B$21="Ja",ISNUMBER(W930)),W930,IF(BZ930="2+3",IF(ISNUMBER(SEARCH("grosser Artikel",BR930)),2,IFERROR(VLOOKUP(BU930,Parameter!$F$35:$G$64,2,0),2)),IF(OR(BZ930="Nein",BZ930=""),"-",BZ930))))</f>
        <v>3</v>
      </c>
      <c r="AA930" s="55"/>
      <c r="AB930" s="56"/>
      <c r="AC930" s="50" t="n">
        <f aca="false">AT930</f>
        <v>5</v>
      </c>
      <c r="AD930" s="50" t="n">
        <f aca="false">MAX(AT930,H930)</f>
        <v>5</v>
      </c>
      <c r="AE930" s="57"/>
      <c r="AF930" s="50" t="n">
        <f aca="false">IF(LEFT(Cockpit!$C$5,1)="A",H930,IF(CE930=1,CF930,IF(LEFT(Cockpit!$C$5,1)="B",AK930,MAX(AK930,H930))))</f>
        <v>4</v>
      </c>
      <c r="AG930" s="50" t="n">
        <f aca="false">IF(BW930=1,0,ROUNDUP(AF930/BV930,0))</f>
        <v>1</v>
      </c>
      <c r="AH930" s="52" t="n">
        <f aca="false">IF(CL930&gt;0,CL930*MAX(1,AF930/X930),IF(BW930=1,IF(AF930&lt;=0,0,CA930*MAX(1,IF(H930&gt;0,AF930/H930,1))),IF(R930&gt;0,AG930/R930,0))/MAX(0.1,N(Parameter!$M$21)))</f>
        <v>0.00357142857142857</v>
      </c>
      <c r="AI930" s="50" t="n">
        <f aca="false">AH930*BY930</f>
        <v>0.553571428571429</v>
      </c>
      <c r="AJ930" s="50" t="n">
        <f aca="false">AF930*G930</f>
        <v>195.16</v>
      </c>
      <c r="AK930" s="50" t="n">
        <f aca="false">ROUNDUP(MAX(J930/IF(CD930&gt;0,CD930,MAX(0.1,N(Cockpit!$C$6))),CG930)/BV930,0)*BV930</f>
        <v>5</v>
      </c>
      <c r="AL930" s="51" t="n">
        <f aca="false">IF(AI930&gt;0,J930/AI930,-1)</f>
        <v>0</v>
      </c>
      <c r="AM930" s="51" t="n">
        <f aca="false">IF(AND(OR(CC930="L1",CC930="L23",CC930="LIFT"),AI930&gt;0),SUMIFS($AI$7:$AI$1843,$CC$7:$CC$1843,CC930,$AL$7:$AL$1843,"&gt;"&amp;AL930)+SUMIFS($AI$7:$AI$1843,$CC$7:$CC$1843,CC930,$AL$7:$AL$1843,AL930,$BT$7:$BT$1843,"&lt;="&amp;BT930),"")</f>
        <v>28863.0784648497</v>
      </c>
      <c r="AN930" s="58" t="n">
        <f aca="false">IF(AM930="",0,MAX(0,MIN(1,(IF(CC930="L1",Parameter!$H$5,IF(CC930="L23",Parameter!$H$6+Parameter!$H$7,Parameter!$H$5+Parameter!$H$6+Parameter!$H$7))-(AM930-AI930))/AI930)))</f>
        <v>1</v>
      </c>
      <c r="AO930" s="50" t="n">
        <f aca="false">IF(LEFT(Cockpit!$I$5,1)="A",H930,IF(CE930=1,CF930,IF(LEFT(Cockpit!$I$5,1)="B",AT930,MAX(AT930,H930))))</f>
        <v>5</v>
      </c>
      <c r="AP930" s="50" t="n">
        <f aca="false">IF(BW930=1,0,ROUNDUP(AO930/BV930,0))</f>
        <v>1</v>
      </c>
      <c r="AQ930" s="52" t="n">
        <f aca="false">IF(CL930&gt;0,CL930*MAX(1,AO930/X930),IF(BW930=1,IF(AO930&lt;=0,0,CA930*MAX(1,IF(H930&gt;0,AO930/H930,1))),IF(R930&gt;0,AP930/R930,0))/MAX(0.1,N(Parameter!$M$21)))</f>
        <v>0.00357142857142857</v>
      </c>
      <c r="AR930" s="50" t="n">
        <f aca="false">AQ930*BY930</f>
        <v>0.553571428571429</v>
      </c>
      <c r="AS930" s="50" t="n">
        <f aca="false">AO930*G930</f>
        <v>243.95</v>
      </c>
      <c r="AT930" s="50" t="n">
        <f aca="false">ROUNDUP(MAX(J930/IF(CD930&gt;0,CD930,MAX(0.1,N(Cockpit!$I$6))),CG930)/BV930,0)*BV930</f>
        <v>5</v>
      </c>
      <c r="AU930" s="51" t="n">
        <f aca="false">IF(AR930&gt;0,J930/AR930,-1)</f>
        <v>0</v>
      </c>
      <c r="AV930" s="51" t="n">
        <f aca="false">IF(AND(OR(CC930="L1",CC930="L23",CC930="LIFT"),AR930&gt;0),SUMIFS($AR$7:$AR$1843,$CC$7:$CC$1843,CC930,$AU$7:$AU$1843,"&gt;"&amp;AU930)+SUMIFS($AR$7:$AR$1843,$CC$7:$CC$1843,CC930,$AU$7:$AU$1843,AU930,$BT$7:$BT$1843,"&lt;="&amp;BT930),"")</f>
        <v>40491.3218942075</v>
      </c>
      <c r="AW930" s="58" t="n">
        <f aca="false">IF(AV930="",0,MAX(0,MIN(1,(IF(CC930="L1",Parameter!$H$5,IF(CC930="L23",Parameter!$H$6+Parameter!$H$7,Parameter!$H$5+Parameter!$H$6+Parameter!$H$7))-(AV930-AR930))/AR930)))</f>
        <v>0</v>
      </c>
      <c r="AX930" s="50" t="n">
        <f aca="false">IF(LEFT(Cockpit!$O$5,1)="A",H930,IF(CE930=1,CF930,IF(LEFT(Cockpit!$O$5,1)="B",BC930,MAX(BC930,H930))))</f>
        <v>5</v>
      </c>
      <c r="AY930" s="50" t="n">
        <f aca="false">IF(BW930=1,0,ROUNDUP(AX930/BV930,0))</f>
        <v>1</v>
      </c>
      <c r="AZ930" s="52" t="n">
        <f aca="false">IF(CL930&gt;0,CL930*MAX(1,AX930/X930),IF(BW930=1,IF(AX930&lt;=0,0,CA930*MAX(1,IF(H930&gt;0,AX930/H930,1))),IF(R930&gt;0,AY930/R930,0))/MAX(0.1,N(Parameter!$M$21)))</f>
        <v>0.00357142857142857</v>
      </c>
      <c r="BA930" s="50" t="n">
        <f aca="false">AZ930*BY930</f>
        <v>0.553571428571429</v>
      </c>
      <c r="BB930" s="50" t="n">
        <f aca="false">AX930*G930</f>
        <v>243.95</v>
      </c>
      <c r="BC930" s="50" t="n">
        <f aca="false">ROUNDUP(MAX(J930/IF(CD930&gt;0,CD930,MAX(0.1,N(Cockpit!$O$6))),CG930)/BV930,0)*BV930</f>
        <v>5</v>
      </c>
      <c r="BD930" s="51" t="n">
        <f aca="false">IF(BA930&gt;0,J930/BA930,-1)</f>
        <v>0</v>
      </c>
      <c r="BE930" s="51" t="n">
        <f aca="false">IF(AND(OR(CC930="L1",CC930="L23",CC930="LIFT"),BA930&gt;0),SUMIFS($BA$7:$BA$1843,$CC$7:$CC$1843,CC930,$BD$7:$BD$1843,"&gt;"&amp;BD930)+SUMIFS($BA$7:$BA$1843,$CC$7:$CC$1843,CC930,$BD$7:$BD$1843,BD930,$BT$7:$BT$1843,"&lt;="&amp;BT930),"")</f>
        <v>37166.3339360733</v>
      </c>
      <c r="BF930" s="58" t="n">
        <f aca="false">IF(BE930="",0,MAX(0,MIN(1,(IF(CC930="L1",Parameter!$H$5,IF(CC930="L23",Parameter!$H$6+Parameter!$H$7,Parameter!$H$5+Parameter!$H$6+Parameter!$H$7))-(BE930-BA930))/BA930)))</f>
        <v>0</v>
      </c>
      <c r="BG930" s="48" t="str">
        <f aca="false">IF(AI930&lt;=0,"",IF(CC930="Aussen","Aussenlager",IF(CC930="-","Nicht im Lift",IF(AN930&gt;=1,"Lift",IF(AN930&lt;=0,"Aussenlager","teilweise")))))</f>
        <v>Lift</v>
      </c>
      <c r="BH930" s="48" t="str">
        <f aca="false">IF(AR930&lt;=0,"",IF(CC930="Aussen","Aussenlager",IF(CC930="-","Nicht im Lift",IF(AW930&gt;=1,"Lift",IF(AW930&lt;=0,"Aussenlager","teilweise")))))</f>
        <v>Aussenlager</v>
      </c>
      <c r="BI930" s="48" t="str">
        <f aca="false">IF(BA930&lt;=0,"",IF(CC930="Aussen","Aussenlager",IF(CC930="-","Nicht im Lift",IF(BF930&gt;=1,"Lift",IF(BF930&lt;=0,"Aussenlager","teilweise")))))</f>
        <v>Aussenlager</v>
      </c>
      <c r="BJ930" s="48" t="str">
        <f aca="false">IF(A930="","",IF(BS930=1,"Neu; ","")&amp;IF(AND(BS930=0,BN930&lt;0),"negativer Bestand (Export "&amp;BN930&amp;"); ","")&amp;IF(J930&lt;=0,"Kein Verbrauch; ","")&amp;IF(CL930&gt;0,"Lift "&amp;W930&amp;" lt. Liftbericht (Fach "&amp;X930&amp;" Stk); ",IF(BX930=1,"Gebinde geschätzt ("&amp;T930&amp;"); ",IF(BW930=1,"Lose – Tablare geschätzt; ","")))&amp;IF(H930&gt;AT930,"Überbestand "&amp;ROUND(H930-AT930,0)&amp;" Stk / CHF "&amp;ROUND((H930-AT930)*G930,0)&amp;"; ","")&amp;IF(AND(CE930=1,CF930&lt;CG930),"MAX &lt; MB+LG; ","")&amp;IF(AND(CK930&gt;0,CJ930*10&gt;CK930),"zu hoch für Tablar; ","")&amp;IF(AND(BS930=0,OR(CE930=1,AA930&lt;&gt;"",U930&lt;&gt;"",V930&lt;&gt;"",AB930&lt;&gt;"")),"manuell übersteuert; ","")&amp;IF(AND(BW930=0,R930=0),"Gebinde unbekannt / Stellmass fehlt; ","")&amp;IF(AND(BW930=0,N(V930)&lt;=0,N(Q930)&lt;=0),"Menge pro Gebinde fehlt (Ist = 1 Gebinde); ","")&amp;BR930)</f>
        <v>negativer Bestand (Export -1); Kein Verbrauch; B&amp;R; nicht im KTL vorhanden</v>
      </c>
      <c r="BK930" s="48"/>
      <c r="BL930" s="48"/>
      <c r="BM930" s="55"/>
      <c r="BN930" s="50" t="n">
        <v>-1</v>
      </c>
      <c r="BO930" s="50" t="n">
        <v>5</v>
      </c>
      <c r="BP930" s="49" t="n">
        <v>-48.79</v>
      </c>
      <c r="BQ930" s="50" t="n">
        <v>0</v>
      </c>
      <c r="BR930" s="48" t="s">
        <v>1740</v>
      </c>
      <c r="BS930" s="53" t="n">
        <v>0</v>
      </c>
      <c r="BT930" s="53" t="n">
        <v>930</v>
      </c>
      <c r="BU930" s="48" t="str">
        <f aca="false">IF(U930&lt;&gt;"",UPPER(TRIM(U930)),IF(BX930=1,UPPER(VLOOKUP(T930,Parameter!$I$27:$K$29,2,0)),IF(P930="","LOSE",P930)))</f>
        <v>S21</v>
      </c>
      <c r="BV930" s="50" t="n">
        <f aca="false">IF(BU930="LOSE",1,IF(N(V930)&gt;0,V930,IF(BX930=1,MAX(1,N(VLOOKUP(T930,Parameter!$I$27:$K$29,3,0)),H930,N(N930)),IF(N(Q930)&gt;0,Q930,MAX(1,H930)))))</f>
        <v>5</v>
      </c>
      <c r="BW930" s="53" t="n">
        <f aca="false">IF(BU930="LOSE",1,0)</f>
        <v>0</v>
      </c>
      <c r="BX930" s="53" t="n">
        <f aca="false">IF(AND(U930="",OR(P930="",P930="LOSE"),T930&lt;&gt;"",N(S930)&lt;=0,ISNUMBER(MATCH(T930,Parameter!$I$27:$I$29,0))),1,0)</f>
        <v>0</v>
      </c>
      <c r="BY930" s="53" t="n">
        <f aca="false">IF(CL930&gt;0,INDEX(Parameter!$H$5:$H$7,W930)/INDEX(Parameter!$E$5:$E$7,W930),IF(AND(BW930=0,N(IFERROR(VLOOKUP(BU930,'Gebinde-Kategorie'!$A$5:$N$45,14,0),0))&gt;0),VLOOKUP(BU930,'Gebinde-Kategorie'!$A$5:$N$45,14,0)*10+Parameter!$M$23,Parameter!$M$24))</f>
        <v>155</v>
      </c>
      <c r="BZ930" s="48" t="str">
        <f aca="false">IF(AND(Parameter!$B$19="Ja",E930&lt;&gt;"",ISNUMBER(MATCH(E930,Parameter!$I$35:$I$52,0))),VLOOKUP(E930,Parameter!$I$35:$J$52,2,0),IFERROR(VLOOKUP(D930,Parameter!$A$35:$C$64,2,0),"Nein"))</f>
        <v>2+3</v>
      </c>
      <c r="CA930" s="52" t="n">
        <f aca="false">IF(BW930=0,0,IF(N(S930)&gt;0,S930,IFERROR(VLOOKUP(D930,Parameter!$A$35:$C$64,3,0)+0,0)))</f>
        <v>0</v>
      </c>
      <c r="CB930" s="48" t="n">
        <f aca="false">IF(AA930&lt;&gt;"",AA930,Z930)</f>
        <v>3</v>
      </c>
      <c r="CC930" s="48" t="str">
        <f aca="false">IF(OR(CB930=1,CB930=2,CB930=3),IF(Parameter!$E$27="Ja","LIFT",IF(CB930=1,"L1","L23")),IF(CB930="Aussen","Aussen","-"))</f>
        <v>LIFT</v>
      </c>
      <c r="CD930" s="59" t="n">
        <f aca="false">IF(N(AB930)&gt;0,AB930,0)</f>
        <v>0</v>
      </c>
      <c r="CE930" s="53" t="n">
        <f aca="false">IF(ISNUMBER(AE930),1,0)</f>
        <v>0</v>
      </c>
      <c r="CF930" s="50" t="n">
        <f aca="false">N(AE930)</f>
        <v>0</v>
      </c>
      <c r="CG930" s="50" t="n">
        <f aca="false">N(M930)+N(N930)</f>
        <v>1</v>
      </c>
      <c r="CH930" s="50" t="n">
        <f aca="false">ROUNDUP(H930/BV930,0)</f>
        <v>1</v>
      </c>
      <c r="CI930" s="50" t="n">
        <f aca="false">ROUNDUP(CF930/BV930,0)</f>
        <v>0</v>
      </c>
      <c r="CJ930" s="53" t="n">
        <f aca="false">IF(BW930=1,0,IFERROR(VLOOKUP(BU930,'Gebinde-Kategorie'!$A$5:$N$45,5,0)+0,0))</f>
        <v>8</v>
      </c>
      <c r="CK930" s="53" t="n">
        <f aca="false">IFERROR(IF(OR(CB930=1,CB930=2,CB930=3),N(INDEX(Parameter!$I$5:$I$7,CB930)),0),0)</f>
        <v>0</v>
      </c>
      <c r="CL930" s="52" t="n">
        <f aca="false">IF(AND(Parameter!$B$21="Ja",ISNUMBER(W930),N(X930)&gt;0),IFERROR(N(INDEX(Parameter!$L$5:$L$7,W930))*INDEX(Parameter!$E$5:$E$7,W930)*X930/SUMIFS($X$7:$X$1843,$W$7:$W$1843,W930),0),0)</f>
        <v>0</v>
      </c>
    </row>
    <row r="931" customFormat="false" ht="15" hidden="false" customHeight="false" outlineLevel="0" collapsed="false">
      <c r="A931" s="48" t="s">
        <v>1741</v>
      </c>
      <c r="B931" s="48" t="s">
        <v>1742</v>
      </c>
      <c r="C931" s="48" t="s">
        <v>168</v>
      </c>
      <c r="D931" s="48" t="s">
        <v>188</v>
      </c>
      <c r="E931" s="48" t="s">
        <v>189</v>
      </c>
      <c r="F931" s="48" t="s">
        <v>222</v>
      </c>
      <c r="G931" s="49" t="n">
        <v>1.2</v>
      </c>
      <c r="H931" s="50" t="n">
        <f aca="false">MAX(0,IF(AND(Parameter!$B$21="Ja",ISNUMBER(Y931)),Y931,IF(Parameter!$B$20="Jahresanfang 2025 + Export",BO931+BN931,BN931)))</f>
        <v>69</v>
      </c>
      <c r="I931" s="50" t="n">
        <f aca="false">H931*G931</f>
        <v>82.8</v>
      </c>
      <c r="J931" s="50" t="n">
        <f aca="false">BQ931*Parameter!$B$18</f>
        <v>23</v>
      </c>
      <c r="K931" s="51" t="n">
        <v>96.5</v>
      </c>
      <c r="L931" s="52" t="n">
        <v>0.238341968911917</v>
      </c>
      <c r="M931" s="50" t="n">
        <v>0</v>
      </c>
      <c r="N931" s="50" t="n">
        <v>25</v>
      </c>
      <c r="O931" s="53" t="n">
        <v>14</v>
      </c>
      <c r="P931" s="48" t="s">
        <v>306</v>
      </c>
      <c r="Q931" s="50" t="n">
        <v>54</v>
      </c>
      <c r="R931" s="53" t="n">
        <f aca="false">IF(BW931=1,0,IFERROR(VLOOKUP(BU931,'Gebinde-Kategorie'!$A$5:$N$45,13,0)+0,0))</f>
        <v>26</v>
      </c>
      <c r="S931" s="54"/>
      <c r="T931" s="55"/>
      <c r="U931" s="55"/>
      <c r="V931" s="55"/>
      <c r="W931" s="48"/>
      <c r="X931" s="50"/>
      <c r="Y931" s="50"/>
      <c r="Z931" s="48" t="n">
        <f aca="false">IF(A931="","",IF(AND(Parameter!$B$21="Ja",ISNUMBER(W931)),W931,IF(BZ931="2+3",IF(ISNUMBER(SEARCH("grosser Artikel",BR931)),2,IFERROR(VLOOKUP(BU931,Parameter!$F$35:$G$64,2,0),2)),IF(OR(BZ931="Nein",BZ931=""),"-",BZ931))))</f>
        <v>3</v>
      </c>
      <c r="AA931" s="55"/>
      <c r="AB931" s="56"/>
      <c r="AC931" s="50" t="n">
        <f aca="false">AT931</f>
        <v>54</v>
      </c>
      <c r="AD931" s="50" t="n">
        <f aca="false">MAX(AT931,H931)</f>
        <v>69</v>
      </c>
      <c r="AE931" s="57"/>
      <c r="AF931" s="50" t="n">
        <f aca="false">IF(LEFT(Cockpit!$C$5,1)="A",H931,IF(CE931=1,CF931,IF(LEFT(Cockpit!$C$5,1)="B",AK931,MAX(AK931,H931))))</f>
        <v>69</v>
      </c>
      <c r="AG931" s="50" t="n">
        <f aca="false">IF(BW931=1,0,ROUNDUP(AF931/BV931,0))</f>
        <v>2</v>
      </c>
      <c r="AH931" s="52" t="n">
        <f aca="false">IF(CL931&gt;0,CL931*MAX(1,AF931/X931),IF(BW931=1,IF(AF931&lt;=0,0,CA931*MAX(1,IF(H931&gt;0,AF931/H931,1))),IF(R931&gt;0,AG931/R931,0))/MAX(0.1,N(Parameter!$M$21)))</f>
        <v>0.0769230769230769</v>
      </c>
      <c r="AI931" s="50" t="n">
        <f aca="false">AH931*BY931</f>
        <v>11.9230769230769</v>
      </c>
      <c r="AJ931" s="50" t="n">
        <f aca="false">AF931*G931</f>
        <v>82.8</v>
      </c>
      <c r="AK931" s="50" t="n">
        <f aca="false">ROUNDUP(MAX(J931/IF(CD931&gt;0,CD931,MAX(0.1,N(Cockpit!$C$6))),CG931)/BV931,0)*BV931</f>
        <v>54</v>
      </c>
      <c r="AL931" s="51" t="n">
        <f aca="false">IF(AI931&gt;0,J931/AI931,-1)</f>
        <v>1.92903225806452</v>
      </c>
      <c r="AM931" s="51" t="n">
        <f aca="false">IF(AND(OR(CC931="L1",CC931="L23",CC931="LIFT"),AI931&gt;0),SUMIFS($AI$7:$AI$1843,$CC$7:$CC$1843,CC931,$AL$7:$AL$1843,"&gt;"&amp;AL931)+SUMIFS($AI$7:$AI$1843,$CC$7:$CC$1843,CC931,$AL$7:$AL$1843,AL931,$BT$7:$BT$1843,"&lt;="&amp;BT931),"")</f>
        <v>5863.42994505495</v>
      </c>
      <c r="AN931" s="58" t="n">
        <f aca="false">IF(AM931="",0,MAX(0,MIN(1,(IF(CC931="L1",Parameter!$H$5,IF(CC931="L23",Parameter!$H$6+Parameter!$H$7,Parameter!$H$5+Parameter!$H$6+Parameter!$H$7))-(AM931-AI931))/AI931)))</f>
        <v>1</v>
      </c>
      <c r="AO931" s="50" t="n">
        <f aca="false">IF(LEFT(Cockpit!$I$5,1)="A",H931,IF(CE931=1,CF931,IF(LEFT(Cockpit!$I$5,1)="B",AT931,MAX(AT931,H931))))</f>
        <v>69</v>
      </c>
      <c r="AP931" s="50" t="n">
        <f aca="false">IF(BW931=1,0,ROUNDUP(AO931/BV931,0))</f>
        <v>2</v>
      </c>
      <c r="AQ931" s="52" t="n">
        <f aca="false">IF(CL931&gt;0,CL931*MAX(1,AO931/X931),IF(BW931=1,IF(AO931&lt;=0,0,CA931*MAX(1,IF(H931&gt;0,AO931/H931,1))),IF(R931&gt;0,AP931/R931,0))/MAX(0.1,N(Parameter!$M$21)))</f>
        <v>0.0769230769230769</v>
      </c>
      <c r="AR931" s="50" t="n">
        <f aca="false">AQ931*BY931</f>
        <v>11.9230769230769</v>
      </c>
      <c r="AS931" s="50" t="n">
        <f aca="false">AO931*G931</f>
        <v>82.8</v>
      </c>
      <c r="AT931" s="50" t="n">
        <f aca="false">ROUNDUP(MAX(J931/IF(CD931&gt;0,CD931,MAX(0.1,N(Cockpit!$I$6))),CG931)/BV931,0)*BV931</f>
        <v>54</v>
      </c>
      <c r="AU931" s="51" t="n">
        <f aca="false">IF(AR931&gt;0,J931/AR931,-1)</f>
        <v>1.92903225806452</v>
      </c>
      <c r="AV931" s="51" t="n">
        <f aca="false">IF(AND(OR(CC931="L1",CC931="L23",CC931="LIFT"),AR931&gt;0),SUMIFS($AR$7:$AR$1843,$CC$7:$CC$1843,CC931,$AU$7:$AU$1843,"&gt;"&amp;AU931)+SUMIFS($AR$7:$AR$1843,$CC$7:$CC$1843,CC931,$AU$7:$AU$1843,AU931,$BT$7:$BT$1843,"&lt;="&amp;BT931),"")</f>
        <v>7851.45558608059</v>
      </c>
      <c r="AW931" s="58" t="n">
        <f aca="false">IF(AV931="",0,MAX(0,MIN(1,(IF(CC931="L1",Parameter!$H$5,IF(CC931="L23",Parameter!$H$6+Parameter!$H$7,Parameter!$H$5+Parameter!$H$6+Parameter!$H$7))-(AV931-AR931))/AR931)))</f>
        <v>1</v>
      </c>
      <c r="AX931" s="50" t="n">
        <f aca="false">IF(LEFT(Cockpit!$O$5,1)="A",H931,IF(CE931=1,CF931,IF(LEFT(Cockpit!$O$5,1)="B",BC931,MAX(BC931,H931))))</f>
        <v>69</v>
      </c>
      <c r="AY931" s="50" t="n">
        <f aca="false">IF(BW931=1,0,ROUNDUP(AX931/BV931,0))</f>
        <v>2</v>
      </c>
      <c r="AZ931" s="52" t="n">
        <f aca="false">IF(CL931&gt;0,CL931*MAX(1,AX931/X931),IF(BW931=1,IF(AX931&lt;=0,0,CA931*MAX(1,IF(H931&gt;0,AX931/H931,1))),IF(R931&gt;0,AY931/R931,0))/MAX(0.1,N(Parameter!$M$21)))</f>
        <v>0.0769230769230769</v>
      </c>
      <c r="BA931" s="50" t="n">
        <f aca="false">AZ931*BY931</f>
        <v>11.9230769230769</v>
      </c>
      <c r="BB931" s="50" t="n">
        <f aca="false">AX931*G931</f>
        <v>82.8</v>
      </c>
      <c r="BC931" s="50" t="n">
        <f aca="false">ROUNDUP(MAX(J931/IF(CD931&gt;0,CD931,MAX(0.1,N(Cockpit!$O$6))),CG931)/BV931,0)*BV931</f>
        <v>54</v>
      </c>
      <c r="BD931" s="51" t="n">
        <f aca="false">IF(BA931&gt;0,J931/BA931,-1)</f>
        <v>1.92903225806452</v>
      </c>
      <c r="BE931" s="51" t="n">
        <f aca="false">IF(AND(OR(CC931="L1",CC931="L23",CC931="LIFT"),BA931&gt;0),SUMIFS($BA$7:$BA$1843,$CC$7:$CC$1843,CC931,$BD$7:$BD$1843,"&gt;"&amp;BD931)+SUMIFS($BA$7:$BA$1843,$CC$7:$CC$1843,CC931,$BD$7:$BD$1843,BD931,$BT$7:$BT$1843,"&lt;="&amp;BT931),"")</f>
        <v>7672.11263736264</v>
      </c>
      <c r="BF931" s="58" t="n">
        <f aca="false">IF(BE931="",0,MAX(0,MIN(1,(IF(CC931="L1",Parameter!$H$5,IF(CC931="L23",Parameter!$H$6+Parameter!$H$7,Parameter!$H$5+Parameter!$H$6+Parameter!$H$7))-(BE931-BA931))/BA931)))</f>
        <v>1</v>
      </c>
      <c r="BG931" s="48" t="str">
        <f aca="false">IF(AI931&lt;=0,"",IF(CC931="Aussen","Aussenlager",IF(CC931="-","Nicht im Lift",IF(AN931&gt;=1,"Lift",IF(AN931&lt;=0,"Aussenlager","teilweise")))))</f>
        <v>Lift</v>
      </c>
      <c r="BH931" s="48" t="str">
        <f aca="false">IF(AR931&lt;=0,"",IF(CC931="Aussen","Aussenlager",IF(CC931="-","Nicht im Lift",IF(AW931&gt;=1,"Lift",IF(AW931&lt;=0,"Aussenlager","teilweise")))))</f>
        <v>Lift</v>
      </c>
      <c r="BI931" s="48" t="str">
        <f aca="false">IF(BA931&lt;=0,"",IF(CC931="Aussen","Aussenlager",IF(CC931="-","Nicht im Lift",IF(BF931&gt;=1,"Lift",IF(BF931&lt;=0,"Aussenlager","teilweise")))))</f>
        <v>Lift</v>
      </c>
      <c r="BJ931" s="48" t="str">
        <f aca="false">IF(A931="","",IF(BS931=1,"Neu; ","")&amp;IF(AND(BS931=0,BN931&lt;0),"negativer Bestand (Export "&amp;BN931&amp;"); ","")&amp;IF(J931&lt;=0,"Kein Verbrauch; ","")&amp;IF(CL931&gt;0,"Lift "&amp;W931&amp;" lt. Liftbericht (Fach "&amp;X931&amp;" Stk); ",IF(BX931=1,"Gebinde geschätzt ("&amp;T931&amp;"); ",IF(BW931=1,"Lose – Tablare geschätzt; ","")))&amp;IF(H931&gt;AT931,"Überbestand "&amp;ROUND(H931-AT931,0)&amp;" Stk / CHF "&amp;ROUND((H931-AT931)*G931,0)&amp;"; ","")&amp;IF(AND(CE931=1,CF931&lt;CG931),"MAX &lt; MB+LG; ","")&amp;IF(AND(CK931&gt;0,CJ931*10&gt;CK931),"zu hoch für Tablar; ","")&amp;IF(AND(BS931=0,OR(CE931=1,AA931&lt;&gt;"",U931&lt;&gt;"",V931&lt;&gt;"",AB931&lt;&gt;"")),"manuell übersteuert; ","")&amp;IF(AND(BW931=0,R931=0),"Gebinde unbekannt / Stellmass fehlt; ","")&amp;IF(AND(BW931=0,N(V931)&lt;=0,N(Q931)&lt;=0),"Menge pro Gebinde fehlt (Ist = 1 Gebinde); ","")&amp;BR931)</f>
        <v>negativer Bestand (Export -41); Überbestand 15 Stk / CHF 18; </v>
      </c>
      <c r="BK931" s="48"/>
      <c r="BL931" s="48"/>
      <c r="BM931" s="55"/>
      <c r="BN931" s="50" t="n">
        <v>-41</v>
      </c>
      <c r="BO931" s="50" t="n">
        <v>110</v>
      </c>
      <c r="BP931" s="49" t="n">
        <v>-49.2</v>
      </c>
      <c r="BQ931" s="50" t="n">
        <v>23</v>
      </c>
      <c r="BR931" s="48"/>
      <c r="BS931" s="53" t="n">
        <v>0</v>
      </c>
      <c r="BT931" s="53" t="n">
        <v>931</v>
      </c>
      <c r="BU931" s="48" t="str">
        <f aca="false">IF(U931&lt;&gt;"",UPPER(TRIM(U931)),IF(BX931=1,UPPER(VLOOKUP(T931,Parameter!$I$27:$K$29,2,0)),IF(P931="","LOSE",P931)))</f>
        <v>S51</v>
      </c>
      <c r="BV931" s="50" t="n">
        <f aca="false">IF(BU931="LOSE",1,IF(N(V931)&gt;0,V931,IF(BX931=1,MAX(1,N(VLOOKUP(T931,Parameter!$I$27:$K$29,3,0)),H931,N(N931)),IF(N(Q931)&gt;0,Q931,MAX(1,H931)))))</f>
        <v>54</v>
      </c>
      <c r="BW931" s="53" t="n">
        <f aca="false">IF(BU931="LOSE",1,0)</f>
        <v>0</v>
      </c>
      <c r="BX931" s="53" t="n">
        <f aca="false">IF(AND(U931="",OR(P931="",P931="LOSE"),T931&lt;&gt;"",N(S931)&lt;=0,ISNUMBER(MATCH(T931,Parameter!$I$27:$I$29,0))),1,0)</f>
        <v>0</v>
      </c>
      <c r="BY931" s="53" t="n">
        <f aca="false">IF(CL931&gt;0,INDEX(Parameter!$H$5:$H$7,W931)/INDEX(Parameter!$E$5:$E$7,W931),IF(AND(BW931=0,N(IFERROR(VLOOKUP(BU931,'Gebinde-Kategorie'!$A$5:$N$45,14,0),0))&gt;0),VLOOKUP(BU931,'Gebinde-Kategorie'!$A$5:$N$45,14,0)*10+Parameter!$M$23,Parameter!$M$24))</f>
        <v>155</v>
      </c>
      <c r="BZ931" s="48" t="str">
        <f aca="false">IF(AND(Parameter!$B$19="Ja",E931&lt;&gt;"",ISNUMBER(MATCH(E931,Parameter!$I$35:$I$52,0))),VLOOKUP(E931,Parameter!$I$35:$J$52,2,0),IFERROR(VLOOKUP(D931,Parameter!$A$35:$C$64,2,0),"Nein"))</f>
        <v>2+3</v>
      </c>
      <c r="CA931" s="52" t="n">
        <f aca="false">IF(BW931=0,0,IF(N(S931)&gt;0,S931,IFERROR(VLOOKUP(D931,Parameter!$A$35:$C$64,3,0)+0,0)))</f>
        <v>0</v>
      </c>
      <c r="CB931" s="48" t="n">
        <f aca="false">IF(AA931&lt;&gt;"",AA931,Z931)</f>
        <v>3</v>
      </c>
      <c r="CC931" s="48" t="str">
        <f aca="false">IF(OR(CB931=1,CB931=2,CB931=3),IF(Parameter!$E$27="Ja","LIFT",IF(CB931=1,"L1","L23")),IF(CB931="Aussen","Aussen","-"))</f>
        <v>LIFT</v>
      </c>
      <c r="CD931" s="59" t="n">
        <f aca="false">IF(N(AB931)&gt;0,AB931,0)</f>
        <v>0</v>
      </c>
      <c r="CE931" s="53" t="n">
        <f aca="false">IF(ISNUMBER(AE931),1,0)</f>
        <v>0</v>
      </c>
      <c r="CF931" s="50" t="n">
        <f aca="false">N(AE931)</f>
        <v>0</v>
      </c>
      <c r="CG931" s="50" t="n">
        <f aca="false">N(M931)+N(N931)</f>
        <v>25</v>
      </c>
      <c r="CH931" s="50" t="n">
        <f aca="false">ROUNDUP(H931/BV931,0)</f>
        <v>2</v>
      </c>
      <c r="CI931" s="50" t="n">
        <f aca="false">ROUNDUP(CF931/BV931,0)</f>
        <v>0</v>
      </c>
      <c r="CJ931" s="53" t="n">
        <f aca="false">IF(BW931=1,0,IFERROR(VLOOKUP(BU931,'Gebinde-Kategorie'!$A$5:$N$45,5,0)+0,0))</f>
        <v>11</v>
      </c>
      <c r="CK931" s="53" t="n">
        <f aca="false">IFERROR(IF(OR(CB931=1,CB931=2,CB931=3),N(INDEX(Parameter!$I$5:$I$7,CB931)),0),0)</f>
        <v>0</v>
      </c>
      <c r="CL931" s="52" t="n">
        <f aca="false">IF(AND(Parameter!$B$21="Ja",ISNUMBER(W931),N(X931)&gt;0),IFERROR(N(INDEX(Parameter!$L$5:$L$7,W931))*INDEX(Parameter!$E$5:$E$7,W931)*X931/SUMIFS($X$7:$X$1843,$W$7:$W$1843,W931),0),0)</f>
        <v>0</v>
      </c>
    </row>
    <row r="932" customFormat="false" ht="15" hidden="false" customHeight="false" outlineLevel="0" collapsed="false">
      <c r="A932" s="48" t="s">
        <v>1743</v>
      </c>
      <c r="B932" s="48" t="s">
        <v>1744</v>
      </c>
      <c r="C932" s="48" t="s">
        <v>168</v>
      </c>
      <c r="D932" s="48" t="s">
        <v>188</v>
      </c>
      <c r="E932" s="48" t="s">
        <v>189</v>
      </c>
      <c r="F932" s="48" t="s">
        <v>222</v>
      </c>
      <c r="G932" s="49" t="n">
        <v>24.9</v>
      </c>
      <c r="H932" s="50" t="n">
        <f aca="false">MAX(0,IF(AND(Parameter!$B$21="Ja",ISNUMBER(Y932)),Y932,IF(Parameter!$B$20="Jahresanfang 2025 + Export",BO932+BN932,BN932)))</f>
        <v>21</v>
      </c>
      <c r="I932" s="50" t="n">
        <f aca="false">H932*G932</f>
        <v>522.9</v>
      </c>
      <c r="J932" s="50" t="n">
        <f aca="false">BQ932*Parameter!$B$18</f>
        <v>2</v>
      </c>
      <c r="K932" s="51" t="n">
        <v>22</v>
      </c>
      <c r="L932" s="52" t="n">
        <v>0.0909090909090909</v>
      </c>
      <c r="M932" s="50" t="n">
        <v>0</v>
      </c>
      <c r="N932" s="50" t="n">
        <v>1</v>
      </c>
      <c r="O932" s="53" t="n">
        <v>35</v>
      </c>
      <c r="P932" s="48" t="s">
        <v>425</v>
      </c>
      <c r="Q932" s="50" t="n">
        <v>26</v>
      </c>
      <c r="R932" s="53" t="n">
        <f aca="false">IF(BW932=1,0,IFERROR(VLOOKUP(BU932,'Gebinde-Kategorie'!$A$5:$N$45,13,0)+0,0))</f>
        <v>104</v>
      </c>
      <c r="S932" s="54"/>
      <c r="T932" s="55"/>
      <c r="U932" s="55"/>
      <c r="V932" s="55"/>
      <c r="W932" s="48"/>
      <c r="X932" s="50"/>
      <c r="Y932" s="50"/>
      <c r="Z932" s="48" t="n">
        <f aca="false">IF(A932="","",IF(AND(Parameter!$B$21="Ja",ISNUMBER(W932)),W932,IF(BZ932="2+3",IF(ISNUMBER(SEARCH("grosser Artikel",BR932)),2,IFERROR(VLOOKUP(BU932,Parameter!$F$35:$G$64,2,0),2)),IF(OR(BZ932="Nein",BZ932=""),"-",BZ932))))</f>
        <v>3</v>
      </c>
      <c r="AA932" s="55"/>
      <c r="AB932" s="56"/>
      <c r="AC932" s="50" t="n">
        <f aca="false">AT932</f>
        <v>26</v>
      </c>
      <c r="AD932" s="50" t="n">
        <f aca="false">MAX(AT932,H932)</f>
        <v>26</v>
      </c>
      <c r="AE932" s="57"/>
      <c r="AF932" s="50" t="n">
        <f aca="false">IF(LEFT(Cockpit!$C$5,1)="A",H932,IF(CE932=1,CF932,IF(LEFT(Cockpit!$C$5,1)="B",AK932,MAX(AK932,H932))))</f>
        <v>21</v>
      </c>
      <c r="AG932" s="50" t="n">
        <f aca="false">IF(BW932=1,0,ROUNDUP(AF932/BV932,0))</f>
        <v>1</v>
      </c>
      <c r="AH932" s="52" t="n">
        <f aca="false">IF(CL932&gt;0,CL932*MAX(1,AF932/X932),IF(BW932=1,IF(AF932&lt;=0,0,CA932*MAX(1,IF(H932&gt;0,AF932/H932,1))),IF(R932&gt;0,AG932/R932,0))/MAX(0.1,N(Parameter!$M$21)))</f>
        <v>0.00961538461538462</v>
      </c>
      <c r="AI932" s="50" t="n">
        <f aca="false">AH932*BY932</f>
        <v>1.49038461538462</v>
      </c>
      <c r="AJ932" s="50" t="n">
        <f aca="false">AF932*G932</f>
        <v>522.9</v>
      </c>
      <c r="AK932" s="50" t="n">
        <f aca="false">ROUNDUP(MAX(J932/IF(CD932&gt;0,CD932,MAX(0.1,N(Cockpit!$C$6))),CG932)/BV932,0)*BV932</f>
        <v>26</v>
      </c>
      <c r="AL932" s="51" t="n">
        <f aca="false">IF(AI932&gt;0,J932/AI932,-1)</f>
        <v>1.34193548387097</v>
      </c>
      <c r="AM932" s="51" t="n">
        <f aca="false">IF(AND(OR(CC932="L1",CC932="L23",CC932="LIFT"),AI932&gt;0),SUMIFS($AI$7:$AI$1843,$CC$7:$CC$1843,CC932,$AL$7:$AL$1843,"&gt;"&amp;AL932)+SUMIFS($AI$7:$AI$1843,$CC$7:$CC$1843,CC932,$AL$7:$AL$1843,AL932,$BT$7:$BT$1843,"&lt;="&amp;BT932),"")</f>
        <v>6337.10943223443</v>
      </c>
      <c r="AN932" s="58" t="n">
        <f aca="false">IF(AM932="",0,MAX(0,MIN(1,(IF(CC932="L1",Parameter!$H$5,IF(CC932="L23",Parameter!$H$6+Parameter!$H$7,Parameter!$H$5+Parameter!$H$6+Parameter!$H$7))-(AM932-AI932))/AI932)))</f>
        <v>1</v>
      </c>
      <c r="AO932" s="50" t="n">
        <f aca="false">IF(LEFT(Cockpit!$I$5,1)="A",H932,IF(CE932=1,CF932,IF(LEFT(Cockpit!$I$5,1)="B",AT932,MAX(AT932,H932))))</f>
        <v>26</v>
      </c>
      <c r="AP932" s="50" t="n">
        <f aca="false">IF(BW932=1,0,ROUNDUP(AO932/BV932,0))</f>
        <v>1</v>
      </c>
      <c r="AQ932" s="52" t="n">
        <f aca="false">IF(CL932&gt;0,CL932*MAX(1,AO932/X932),IF(BW932=1,IF(AO932&lt;=0,0,CA932*MAX(1,IF(H932&gt;0,AO932/H932,1))),IF(R932&gt;0,AP932/R932,0))/MAX(0.1,N(Parameter!$M$21)))</f>
        <v>0.00961538461538462</v>
      </c>
      <c r="AR932" s="50" t="n">
        <f aca="false">AQ932*BY932</f>
        <v>1.49038461538462</v>
      </c>
      <c r="AS932" s="50" t="n">
        <f aca="false">AO932*G932</f>
        <v>647.4</v>
      </c>
      <c r="AT932" s="50" t="n">
        <f aca="false">ROUNDUP(MAX(J932/IF(CD932&gt;0,CD932,MAX(0.1,N(Cockpit!$I$6))),CG932)/BV932,0)*BV932</f>
        <v>26</v>
      </c>
      <c r="AU932" s="51" t="n">
        <f aca="false">IF(AR932&gt;0,J932/AR932,-1)</f>
        <v>1.34193548387097</v>
      </c>
      <c r="AV932" s="51" t="n">
        <f aca="false">IF(AND(OR(CC932="L1",CC932="L23",CC932="LIFT"),AR932&gt;0),SUMIFS($AR$7:$AR$1843,$CC$7:$CC$1843,CC932,$AU$7:$AU$1843,"&gt;"&amp;AU932)+SUMIFS($AR$7:$AR$1843,$CC$7:$CC$1843,CC932,$AU$7:$AU$1843,AU932,$BT$7:$BT$1843,"&lt;="&amp;BT932),"")</f>
        <v>9401.63553113553</v>
      </c>
      <c r="AW932" s="58" t="n">
        <f aca="false">IF(AV932="",0,MAX(0,MIN(1,(IF(CC932="L1",Parameter!$H$5,IF(CC932="L23",Parameter!$H$6+Parameter!$H$7,Parameter!$H$5+Parameter!$H$6+Parameter!$H$7))-(AV932-AR932))/AR932)))</f>
        <v>1</v>
      </c>
      <c r="AX932" s="50" t="n">
        <f aca="false">IF(LEFT(Cockpit!$O$5,1)="A",H932,IF(CE932=1,CF932,IF(LEFT(Cockpit!$O$5,1)="B",BC932,MAX(BC932,H932))))</f>
        <v>26</v>
      </c>
      <c r="AY932" s="50" t="n">
        <f aca="false">IF(BW932=1,0,ROUNDUP(AX932/BV932,0))</f>
        <v>1</v>
      </c>
      <c r="AZ932" s="52" t="n">
        <f aca="false">IF(CL932&gt;0,CL932*MAX(1,AX932/X932),IF(BW932=1,IF(AX932&lt;=0,0,CA932*MAX(1,IF(H932&gt;0,AX932/H932,1))),IF(R932&gt;0,AY932/R932,0))/MAX(0.1,N(Parameter!$M$21)))</f>
        <v>0.00961538461538462</v>
      </c>
      <c r="BA932" s="50" t="n">
        <f aca="false">AZ932*BY932</f>
        <v>1.49038461538462</v>
      </c>
      <c r="BB932" s="50" t="n">
        <f aca="false">AX932*G932</f>
        <v>647.4</v>
      </c>
      <c r="BC932" s="50" t="n">
        <f aca="false">ROUNDUP(MAX(J932/IF(CD932&gt;0,CD932,MAX(0.1,N(Cockpit!$O$6))),CG932)/BV932,0)*BV932</f>
        <v>26</v>
      </c>
      <c r="BD932" s="51" t="n">
        <f aca="false">IF(BA932&gt;0,J932/BA932,-1)</f>
        <v>1.34193548387097</v>
      </c>
      <c r="BE932" s="51" t="n">
        <f aca="false">IF(AND(OR(CC932="L1",CC932="L23",CC932="LIFT"),BA932&gt;0),SUMIFS($BA$7:$BA$1843,$CC$7:$CC$1843,CC932,$BD$7:$BD$1843,"&gt;"&amp;BD932)+SUMIFS($BA$7:$BA$1843,$CC$7:$CC$1843,CC932,$BD$7:$BD$1843,BD932,$BT$7:$BT$1843,"&lt;="&amp;BT932),"")</f>
        <v>8587.29258241758</v>
      </c>
      <c r="BF932" s="58" t="n">
        <f aca="false">IF(BE932="",0,MAX(0,MIN(1,(IF(CC932="L1",Parameter!$H$5,IF(CC932="L23",Parameter!$H$6+Parameter!$H$7,Parameter!$H$5+Parameter!$H$6+Parameter!$H$7))-(BE932-BA932))/BA932)))</f>
        <v>1</v>
      </c>
      <c r="BG932" s="48" t="str">
        <f aca="false">IF(AI932&lt;=0,"",IF(CC932="Aussen","Aussenlager",IF(CC932="-","Nicht im Lift",IF(AN932&gt;=1,"Lift",IF(AN932&lt;=0,"Aussenlager","teilweise")))))</f>
        <v>Lift</v>
      </c>
      <c r="BH932" s="48" t="str">
        <f aca="false">IF(AR932&lt;=0,"",IF(CC932="Aussen","Aussenlager",IF(CC932="-","Nicht im Lift",IF(AW932&gt;=1,"Lift",IF(AW932&lt;=0,"Aussenlager","teilweise")))))</f>
        <v>Lift</v>
      </c>
      <c r="BI932" s="48" t="str">
        <f aca="false">IF(BA932&lt;=0,"",IF(CC932="Aussen","Aussenlager",IF(CC932="-","Nicht im Lift",IF(BF932&gt;=1,"Lift",IF(BF932&lt;=0,"Aussenlager","teilweise")))))</f>
        <v>Lift</v>
      </c>
      <c r="BJ932" s="48" t="str">
        <f aca="false">IF(A932="","",IF(BS932=1,"Neu; ","")&amp;IF(AND(BS932=0,BN932&lt;0),"negativer Bestand (Export "&amp;BN932&amp;"); ","")&amp;IF(J932&lt;=0,"Kein Verbrauch; ","")&amp;IF(CL932&gt;0,"Lift "&amp;W932&amp;" lt. Liftbericht (Fach "&amp;X932&amp;" Stk); ",IF(BX932=1,"Gebinde geschätzt ("&amp;T932&amp;"); ",IF(BW932=1,"Lose – Tablare geschätzt; ","")))&amp;IF(H932&gt;AT932,"Überbestand "&amp;ROUND(H932-AT932,0)&amp;" Stk / CHF "&amp;ROUND((H932-AT932)*G932,0)&amp;"; ","")&amp;IF(AND(CE932=1,CF932&lt;CG932),"MAX &lt; MB+LG; ","")&amp;IF(AND(CK932&gt;0,CJ932*10&gt;CK932),"zu hoch für Tablar; ","")&amp;IF(AND(BS932=0,OR(CE932=1,AA932&lt;&gt;"",U932&lt;&gt;"",V932&lt;&gt;"",AB932&lt;&gt;"")),"manuell übersteuert; ","")&amp;IF(AND(BW932=0,R932=0),"Gebinde unbekannt / Stellmass fehlt; ","")&amp;IF(AND(BW932=0,N(V932)&lt;=0,N(Q932)&lt;=0),"Menge pro Gebinde fehlt (Ist = 1 Gebinde); ","")&amp;BR932)</f>
        <v>negativer Bestand (Export -2); twin</v>
      </c>
      <c r="BK932" s="48"/>
      <c r="BL932" s="48"/>
      <c r="BM932" s="55"/>
      <c r="BN932" s="50" t="n">
        <v>-2</v>
      </c>
      <c r="BO932" s="50" t="n">
        <v>23</v>
      </c>
      <c r="BP932" s="49" t="n">
        <v>-49.8</v>
      </c>
      <c r="BQ932" s="50" t="n">
        <v>2</v>
      </c>
      <c r="BR932" s="48" t="s">
        <v>1745</v>
      </c>
      <c r="BS932" s="53" t="n">
        <v>0</v>
      </c>
      <c r="BT932" s="53" t="n">
        <v>932</v>
      </c>
      <c r="BU932" s="48" t="str">
        <f aca="false">IF(U932&lt;&gt;"",UPPER(TRIM(U932)),IF(BX932=1,UPPER(VLOOKUP(T932,Parameter!$I$27:$K$29,2,0)),IF(P932="","LOSE",P932)))</f>
        <v>S32</v>
      </c>
      <c r="BV932" s="50" t="n">
        <f aca="false">IF(BU932="LOSE",1,IF(N(V932)&gt;0,V932,IF(BX932=1,MAX(1,N(VLOOKUP(T932,Parameter!$I$27:$K$29,3,0)),H932,N(N932)),IF(N(Q932)&gt;0,Q932,MAX(1,H932)))))</f>
        <v>26</v>
      </c>
      <c r="BW932" s="53" t="n">
        <f aca="false">IF(BU932="LOSE",1,0)</f>
        <v>0</v>
      </c>
      <c r="BX932" s="53" t="n">
        <f aca="false">IF(AND(U932="",OR(P932="",P932="LOSE"),T932&lt;&gt;"",N(S932)&lt;=0,ISNUMBER(MATCH(T932,Parameter!$I$27:$I$29,0))),1,0)</f>
        <v>0</v>
      </c>
      <c r="BY932" s="53" t="n">
        <f aca="false">IF(CL932&gt;0,INDEX(Parameter!$H$5:$H$7,W932)/INDEX(Parameter!$E$5:$E$7,W932),IF(AND(BW932=0,N(IFERROR(VLOOKUP(BU932,'Gebinde-Kategorie'!$A$5:$N$45,14,0),0))&gt;0),VLOOKUP(BU932,'Gebinde-Kategorie'!$A$5:$N$45,14,0)*10+Parameter!$M$23,Parameter!$M$24))</f>
        <v>155</v>
      </c>
      <c r="BZ932" s="48" t="str">
        <f aca="false">IF(AND(Parameter!$B$19="Ja",E932&lt;&gt;"",ISNUMBER(MATCH(E932,Parameter!$I$35:$I$52,0))),VLOOKUP(E932,Parameter!$I$35:$J$52,2,0),IFERROR(VLOOKUP(D932,Parameter!$A$35:$C$64,2,0),"Nein"))</f>
        <v>2+3</v>
      </c>
      <c r="CA932" s="52" t="n">
        <f aca="false">IF(BW932=0,0,IF(N(S932)&gt;0,S932,IFERROR(VLOOKUP(D932,Parameter!$A$35:$C$64,3,0)+0,0)))</f>
        <v>0</v>
      </c>
      <c r="CB932" s="48" t="n">
        <f aca="false">IF(AA932&lt;&gt;"",AA932,Z932)</f>
        <v>3</v>
      </c>
      <c r="CC932" s="48" t="str">
        <f aca="false">IF(OR(CB932=1,CB932=2,CB932=3),IF(Parameter!$E$27="Ja","LIFT",IF(CB932=1,"L1","L23")),IF(CB932="Aussen","Aussen","-"))</f>
        <v>LIFT</v>
      </c>
      <c r="CD932" s="59" t="n">
        <f aca="false">IF(N(AB932)&gt;0,AB932,0)</f>
        <v>0</v>
      </c>
      <c r="CE932" s="53" t="n">
        <f aca="false">IF(ISNUMBER(AE932),1,0)</f>
        <v>0</v>
      </c>
      <c r="CF932" s="50" t="n">
        <f aca="false">N(AE932)</f>
        <v>0</v>
      </c>
      <c r="CG932" s="50" t="n">
        <f aca="false">N(M932)+N(N932)</f>
        <v>1</v>
      </c>
      <c r="CH932" s="50" t="n">
        <f aca="false">ROUNDUP(H932/BV932,0)</f>
        <v>1</v>
      </c>
      <c r="CI932" s="50" t="n">
        <f aca="false">ROUNDUP(CF932/BV932,0)</f>
        <v>0</v>
      </c>
      <c r="CJ932" s="53" t="n">
        <f aca="false">IF(BW932=1,0,IFERROR(VLOOKUP(BU932,'Gebinde-Kategorie'!$A$5:$N$45,5,0)+0,0))</f>
        <v>8</v>
      </c>
      <c r="CK932" s="53" t="n">
        <f aca="false">IFERROR(IF(OR(CB932=1,CB932=2,CB932=3),N(INDEX(Parameter!$I$5:$I$7,CB932)),0),0)</f>
        <v>0</v>
      </c>
      <c r="CL932" s="52" t="n">
        <f aca="false">IF(AND(Parameter!$B$21="Ja",ISNUMBER(W932),N(X932)&gt;0),IFERROR(N(INDEX(Parameter!$L$5:$L$7,W932))*INDEX(Parameter!$E$5:$E$7,W932)*X932/SUMIFS($X$7:$X$1843,$W$7:$W$1843,W932),0),0)</f>
        <v>0</v>
      </c>
    </row>
    <row r="933" customFormat="false" ht="15" hidden="false" customHeight="false" outlineLevel="0" collapsed="false">
      <c r="A933" s="48" t="s">
        <v>1746</v>
      </c>
      <c r="B933" s="48" t="s">
        <v>1747</v>
      </c>
      <c r="C933" s="48" t="s">
        <v>168</v>
      </c>
      <c r="D933" s="48" t="s">
        <v>188</v>
      </c>
      <c r="E933" s="48"/>
      <c r="F933" s="48" t="s">
        <v>222</v>
      </c>
      <c r="G933" s="49" t="n">
        <v>10</v>
      </c>
      <c r="H933" s="50" t="n">
        <f aca="false">MAX(0,IF(AND(Parameter!$B$21="Ja",ISNUMBER(Y933)),Y933,IF(Parameter!$B$20="Jahresanfang 2025 + Export",BO933+BN933,BN933)))</f>
        <v>73</v>
      </c>
      <c r="I933" s="50" t="n">
        <f aca="false">H933*G933</f>
        <v>730</v>
      </c>
      <c r="J933" s="50" t="n">
        <f aca="false">BQ933*Parameter!$B$18</f>
        <v>0</v>
      </c>
      <c r="K933" s="51" t="n">
        <v>75.5</v>
      </c>
      <c r="L933" s="52" t="n">
        <v>0</v>
      </c>
      <c r="M933" s="50" t="n">
        <v>0</v>
      </c>
      <c r="N933" s="50" t="n">
        <v>1</v>
      </c>
      <c r="O933" s="53" t="n">
        <v>21</v>
      </c>
      <c r="P933" s="48" t="s">
        <v>430</v>
      </c>
      <c r="Q933" s="50" t="n">
        <v>67</v>
      </c>
      <c r="R933" s="53" t="n">
        <f aca="false">IF(BW933=1,0,IFERROR(VLOOKUP(BU933,'Gebinde-Kategorie'!$A$5:$N$45,13,0)+0,0))</f>
        <v>140</v>
      </c>
      <c r="S933" s="54"/>
      <c r="T933" s="55"/>
      <c r="U933" s="55"/>
      <c r="V933" s="55"/>
      <c r="W933" s="48"/>
      <c r="X933" s="50"/>
      <c r="Y933" s="50"/>
      <c r="Z933" s="48" t="n">
        <f aca="false">IF(A933="","",IF(AND(Parameter!$B$21="Ja",ISNUMBER(W933)),W933,IF(BZ933="2+3",IF(ISNUMBER(SEARCH("grosser Artikel",BR933)),2,IFERROR(VLOOKUP(BU933,Parameter!$F$35:$G$64,2,0),2)),IF(OR(BZ933="Nein",BZ933=""),"-",BZ933))))</f>
        <v>3</v>
      </c>
      <c r="AA933" s="55"/>
      <c r="AB933" s="56"/>
      <c r="AC933" s="50" t="n">
        <f aca="false">AT933</f>
        <v>67</v>
      </c>
      <c r="AD933" s="50" t="n">
        <f aca="false">MAX(AT933,H933)</f>
        <v>73</v>
      </c>
      <c r="AE933" s="57"/>
      <c r="AF933" s="50" t="n">
        <f aca="false">IF(LEFT(Cockpit!$C$5,1)="A",H933,IF(CE933=1,CF933,IF(LEFT(Cockpit!$C$5,1)="B",AK933,MAX(AK933,H933))))</f>
        <v>73</v>
      </c>
      <c r="AG933" s="50" t="n">
        <f aca="false">IF(BW933=1,0,ROUNDUP(AF933/BV933,0))</f>
        <v>2</v>
      </c>
      <c r="AH933" s="52" t="n">
        <f aca="false">IF(CL933&gt;0,CL933*MAX(1,AF933/X933),IF(BW933=1,IF(AF933&lt;=0,0,CA933*MAX(1,IF(H933&gt;0,AF933/H933,1))),IF(R933&gt;0,AG933/R933,0))/MAX(0.1,N(Parameter!$M$21)))</f>
        <v>0.0142857142857143</v>
      </c>
      <c r="AI933" s="50" t="n">
        <f aca="false">AH933*BY933</f>
        <v>2.21428571428571</v>
      </c>
      <c r="AJ933" s="50" t="n">
        <f aca="false">AF933*G933</f>
        <v>730</v>
      </c>
      <c r="AK933" s="50" t="n">
        <f aca="false">ROUNDUP(MAX(J933/IF(CD933&gt;0,CD933,MAX(0.1,N(Cockpit!$C$6))),CG933)/BV933,0)*BV933</f>
        <v>67</v>
      </c>
      <c r="AL933" s="51" t="n">
        <f aca="false">IF(AI933&gt;0,J933/AI933,-1)</f>
        <v>0</v>
      </c>
      <c r="AM933" s="51" t="n">
        <f aca="false">IF(AND(OR(CC933="L1",CC933="L23",CC933="LIFT"),AI933&gt;0),SUMIFS($AI$7:$AI$1843,$CC$7:$CC$1843,CC933,$AL$7:$AL$1843,"&gt;"&amp;AL933)+SUMIFS($AI$7:$AI$1843,$CC$7:$CC$1843,CC933,$AL$7:$AL$1843,AL933,$BT$7:$BT$1843,"&lt;="&amp;BT933),"")</f>
        <v>28865.2927505639</v>
      </c>
      <c r="AN933" s="58" t="n">
        <f aca="false">IF(AM933="",0,MAX(0,MIN(1,(IF(CC933="L1",Parameter!$H$5,IF(CC933="L23",Parameter!$H$6+Parameter!$H$7,Parameter!$H$5+Parameter!$H$6+Parameter!$H$7))-(AM933-AI933))/AI933)))</f>
        <v>1</v>
      </c>
      <c r="AO933" s="50" t="n">
        <f aca="false">IF(LEFT(Cockpit!$I$5,1)="A",H933,IF(CE933=1,CF933,IF(LEFT(Cockpit!$I$5,1)="B",AT933,MAX(AT933,H933))))</f>
        <v>73</v>
      </c>
      <c r="AP933" s="50" t="n">
        <f aca="false">IF(BW933=1,0,ROUNDUP(AO933/BV933,0))</f>
        <v>2</v>
      </c>
      <c r="AQ933" s="52" t="n">
        <f aca="false">IF(CL933&gt;0,CL933*MAX(1,AO933/X933),IF(BW933=1,IF(AO933&lt;=0,0,CA933*MAX(1,IF(H933&gt;0,AO933/H933,1))),IF(R933&gt;0,AP933/R933,0))/MAX(0.1,N(Parameter!$M$21)))</f>
        <v>0.0142857142857143</v>
      </c>
      <c r="AR933" s="50" t="n">
        <f aca="false">AQ933*BY933</f>
        <v>2.21428571428571</v>
      </c>
      <c r="AS933" s="50" t="n">
        <f aca="false">AO933*G933</f>
        <v>730</v>
      </c>
      <c r="AT933" s="50" t="n">
        <f aca="false">ROUNDUP(MAX(J933/IF(CD933&gt;0,CD933,MAX(0.1,N(Cockpit!$I$6))),CG933)/BV933,0)*BV933</f>
        <v>67</v>
      </c>
      <c r="AU933" s="51" t="n">
        <f aca="false">IF(AR933&gt;0,J933/AR933,-1)</f>
        <v>0</v>
      </c>
      <c r="AV933" s="51" t="n">
        <f aca="false">IF(AND(OR(CC933="L1",CC933="L23",CC933="LIFT"),AR933&gt;0),SUMIFS($AR$7:$AR$1843,$CC$7:$CC$1843,CC933,$AU$7:$AU$1843,"&gt;"&amp;AU933)+SUMIFS($AR$7:$AR$1843,$CC$7:$CC$1843,CC933,$AU$7:$AU$1843,AU933,$BT$7:$BT$1843,"&lt;="&amp;BT933),"")</f>
        <v>40493.5361799218</v>
      </c>
      <c r="AW933" s="58" t="n">
        <f aca="false">IF(AV933="",0,MAX(0,MIN(1,(IF(CC933="L1",Parameter!$H$5,IF(CC933="L23",Parameter!$H$6+Parameter!$H$7,Parameter!$H$5+Parameter!$H$6+Parameter!$H$7))-(AV933-AR933))/AR933)))</f>
        <v>0</v>
      </c>
      <c r="AX933" s="50" t="n">
        <f aca="false">IF(LEFT(Cockpit!$O$5,1)="A",H933,IF(CE933=1,CF933,IF(LEFT(Cockpit!$O$5,1)="B",BC933,MAX(BC933,H933))))</f>
        <v>73</v>
      </c>
      <c r="AY933" s="50" t="n">
        <f aca="false">IF(BW933=1,0,ROUNDUP(AX933/BV933,0))</f>
        <v>2</v>
      </c>
      <c r="AZ933" s="52" t="n">
        <f aca="false">IF(CL933&gt;0,CL933*MAX(1,AX933/X933),IF(BW933=1,IF(AX933&lt;=0,0,CA933*MAX(1,IF(H933&gt;0,AX933/H933,1))),IF(R933&gt;0,AY933/R933,0))/MAX(0.1,N(Parameter!$M$21)))</f>
        <v>0.0142857142857143</v>
      </c>
      <c r="BA933" s="50" t="n">
        <f aca="false">AZ933*BY933</f>
        <v>2.21428571428571</v>
      </c>
      <c r="BB933" s="50" t="n">
        <f aca="false">AX933*G933</f>
        <v>730</v>
      </c>
      <c r="BC933" s="50" t="n">
        <f aca="false">ROUNDUP(MAX(J933/IF(CD933&gt;0,CD933,MAX(0.1,N(Cockpit!$O$6))),CG933)/BV933,0)*BV933</f>
        <v>67</v>
      </c>
      <c r="BD933" s="51" t="n">
        <f aca="false">IF(BA933&gt;0,J933/BA933,-1)</f>
        <v>0</v>
      </c>
      <c r="BE933" s="51" t="n">
        <f aca="false">IF(AND(OR(CC933="L1",CC933="L23",CC933="LIFT"),BA933&gt;0),SUMIFS($BA$7:$BA$1843,$CC$7:$CC$1843,CC933,$BD$7:$BD$1843,"&gt;"&amp;BD933)+SUMIFS($BA$7:$BA$1843,$CC$7:$CC$1843,CC933,$BD$7:$BD$1843,BD933,$BT$7:$BT$1843,"&lt;="&amp;BT933),"")</f>
        <v>37168.5482217876</v>
      </c>
      <c r="BF933" s="58" t="n">
        <f aca="false">IF(BE933="",0,MAX(0,MIN(1,(IF(CC933="L1",Parameter!$H$5,IF(CC933="L23",Parameter!$H$6+Parameter!$H$7,Parameter!$H$5+Parameter!$H$6+Parameter!$H$7))-(BE933-BA933))/BA933)))</f>
        <v>0</v>
      </c>
      <c r="BG933" s="48" t="str">
        <f aca="false">IF(AI933&lt;=0,"",IF(CC933="Aussen","Aussenlager",IF(CC933="-","Nicht im Lift",IF(AN933&gt;=1,"Lift",IF(AN933&lt;=0,"Aussenlager","teilweise")))))</f>
        <v>Lift</v>
      </c>
      <c r="BH933" s="48" t="str">
        <f aca="false">IF(AR933&lt;=0,"",IF(CC933="Aussen","Aussenlager",IF(CC933="-","Nicht im Lift",IF(AW933&gt;=1,"Lift",IF(AW933&lt;=0,"Aussenlager","teilweise")))))</f>
        <v>Aussenlager</v>
      </c>
      <c r="BI933" s="48" t="str">
        <f aca="false">IF(BA933&lt;=0,"",IF(CC933="Aussen","Aussenlager",IF(CC933="-","Nicht im Lift",IF(BF933&gt;=1,"Lift",IF(BF933&lt;=0,"Aussenlager","teilweise")))))</f>
        <v>Aussenlager</v>
      </c>
      <c r="BJ933" s="48" t="str">
        <f aca="false">IF(A933="","",IF(BS933=1,"Neu; ","")&amp;IF(AND(BS933=0,BN933&lt;0),"negativer Bestand (Export "&amp;BN933&amp;"); ","")&amp;IF(J933&lt;=0,"Kein Verbrauch; ","")&amp;IF(CL933&gt;0,"Lift "&amp;W933&amp;" lt. Liftbericht (Fach "&amp;X933&amp;" Stk); ",IF(BX933=1,"Gebinde geschätzt ("&amp;T933&amp;"); ",IF(BW933=1,"Lose – Tablare geschätzt; ","")))&amp;IF(H933&gt;AT933,"Überbestand "&amp;ROUND(H933-AT933,0)&amp;" Stk / CHF "&amp;ROUND((H933-AT933)*G933,0)&amp;"; ","")&amp;IF(AND(CE933=1,CF933&lt;CG933),"MAX &lt; MB+LG; ","")&amp;IF(AND(CK933&gt;0,CJ933*10&gt;CK933),"zu hoch für Tablar; ","")&amp;IF(AND(BS933=0,OR(CE933=1,AA933&lt;&gt;"",U933&lt;&gt;"",V933&lt;&gt;"",AB933&lt;&gt;"")),"manuell übersteuert; ","")&amp;IF(AND(BW933=0,R933=0),"Gebinde unbekannt / Stellmass fehlt; ","")&amp;IF(AND(BW933=0,N(V933)&lt;=0,N(Q933)&lt;=0),"Menge pro Gebinde fehlt (Ist = 1 Gebinde); ","")&amp;BR933)</f>
        <v>negativer Bestand (Export -5); Kein Verbrauch; Überbestand 6 Stk / CHF 60; </v>
      </c>
      <c r="BK933" s="48"/>
      <c r="BL933" s="48"/>
      <c r="BM933" s="55"/>
      <c r="BN933" s="50" t="n">
        <v>-5</v>
      </c>
      <c r="BO933" s="50" t="n">
        <v>78</v>
      </c>
      <c r="BP933" s="49" t="n">
        <v>-50</v>
      </c>
      <c r="BQ933" s="50" t="n">
        <v>0</v>
      </c>
      <c r="BR933" s="48"/>
      <c r="BS933" s="53" t="n">
        <v>0</v>
      </c>
      <c r="BT933" s="53" t="n">
        <v>933</v>
      </c>
      <c r="BU933" s="48" t="str">
        <f aca="false">IF(U933&lt;&gt;"",UPPER(TRIM(U933)),IF(BX933=1,UPPER(VLOOKUP(T933,Parameter!$I$27:$K$29,2,0)),IF(P933="","LOSE",P933)))</f>
        <v>S22</v>
      </c>
      <c r="BV933" s="50" t="n">
        <f aca="false">IF(BU933="LOSE",1,IF(N(V933)&gt;0,V933,IF(BX933=1,MAX(1,N(VLOOKUP(T933,Parameter!$I$27:$K$29,3,0)),H933,N(N933)),IF(N(Q933)&gt;0,Q933,MAX(1,H933)))))</f>
        <v>67</v>
      </c>
      <c r="BW933" s="53" t="n">
        <f aca="false">IF(BU933="LOSE",1,0)</f>
        <v>0</v>
      </c>
      <c r="BX933" s="53" t="n">
        <f aca="false">IF(AND(U933="",OR(P933="",P933="LOSE"),T933&lt;&gt;"",N(S933)&lt;=0,ISNUMBER(MATCH(T933,Parameter!$I$27:$I$29,0))),1,0)</f>
        <v>0</v>
      </c>
      <c r="BY933" s="53" t="n">
        <f aca="false">IF(CL933&gt;0,INDEX(Parameter!$H$5:$H$7,W933)/INDEX(Parameter!$E$5:$E$7,W933),IF(AND(BW933=0,N(IFERROR(VLOOKUP(BU933,'Gebinde-Kategorie'!$A$5:$N$45,14,0),0))&gt;0),VLOOKUP(BU933,'Gebinde-Kategorie'!$A$5:$N$45,14,0)*10+Parameter!$M$23,Parameter!$M$24))</f>
        <v>155</v>
      </c>
      <c r="BZ933" s="48" t="str">
        <f aca="false">IF(AND(Parameter!$B$19="Ja",E933&lt;&gt;"",ISNUMBER(MATCH(E933,Parameter!$I$35:$I$52,0))),VLOOKUP(E933,Parameter!$I$35:$J$52,2,0),IFERROR(VLOOKUP(D933,Parameter!$A$35:$C$64,2,0),"Nein"))</f>
        <v>2+3</v>
      </c>
      <c r="CA933" s="52" t="n">
        <f aca="false">IF(BW933=0,0,IF(N(S933)&gt;0,S933,IFERROR(VLOOKUP(D933,Parameter!$A$35:$C$64,3,0)+0,0)))</f>
        <v>0</v>
      </c>
      <c r="CB933" s="48" t="n">
        <f aca="false">IF(AA933&lt;&gt;"",AA933,Z933)</f>
        <v>3</v>
      </c>
      <c r="CC933" s="48" t="str">
        <f aca="false">IF(OR(CB933=1,CB933=2,CB933=3),IF(Parameter!$E$27="Ja","LIFT",IF(CB933=1,"L1","L23")),IF(CB933="Aussen","Aussen","-"))</f>
        <v>LIFT</v>
      </c>
      <c r="CD933" s="59" t="n">
        <f aca="false">IF(N(AB933)&gt;0,AB933,0)</f>
        <v>0</v>
      </c>
      <c r="CE933" s="53" t="n">
        <f aca="false">IF(ISNUMBER(AE933),1,0)</f>
        <v>0</v>
      </c>
      <c r="CF933" s="50" t="n">
        <f aca="false">N(AE933)</f>
        <v>0</v>
      </c>
      <c r="CG933" s="50" t="n">
        <f aca="false">N(M933)+N(N933)</f>
        <v>1</v>
      </c>
      <c r="CH933" s="50" t="n">
        <f aca="false">ROUNDUP(H933/BV933,0)</f>
        <v>2</v>
      </c>
      <c r="CI933" s="50" t="n">
        <f aca="false">ROUNDUP(CF933/BV933,0)</f>
        <v>0</v>
      </c>
      <c r="CJ933" s="53" t="n">
        <f aca="false">IF(BW933=1,0,IFERROR(VLOOKUP(BU933,'Gebinde-Kategorie'!$A$5:$N$45,5,0)+0,0))</f>
        <v>8</v>
      </c>
      <c r="CK933" s="53" t="n">
        <f aca="false">IFERROR(IF(OR(CB933=1,CB933=2,CB933=3),N(INDEX(Parameter!$I$5:$I$7,CB933)),0),0)</f>
        <v>0</v>
      </c>
      <c r="CL933" s="52" t="n">
        <f aca="false">IF(AND(Parameter!$B$21="Ja",ISNUMBER(W933),N(X933)&gt;0),IFERROR(N(INDEX(Parameter!$L$5:$L$7,W933))*INDEX(Parameter!$E$5:$E$7,W933)*X933/SUMIFS($X$7:$X$1843,$W$7:$W$1843,W933),0),0)</f>
        <v>0</v>
      </c>
    </row>
    <row r="934" customFormat="false" ht="15" hidden="false" customHeight="false" outlineLevel="0" collapsed="false">
      <c r="A934" s="48" t="s">
        <v>1748</v>
      </c>
      <c r="B934" s="48" t="s">
        <v>692</v>
      </c>
      <c r="C934" s="48" t="s">
        <v>168</v>
      </c>
      <c r="D934" s="48" t="s">
        <v>188</v>
      </c>
      <c r="E934" s="48" t="s">
        <v>189</v>
      </c>
      <c r="F934" s="48" t="s">
        <v>222</v>
      </c>
      <c r="G934" s="49" t="n">
        <v>14.65</v>
      </c>
      <c r="H934" s="50" t="n">
        <f aca="false">MAX(0,IF(AND(Parameter!$B$21="Ja",ISNUMBER(Y934)),Y934,IF(Parameter!$B$20="Jahresanfang 2025 + Export",BO934+BN934,BN934)))</f>
        <v>22</v>
      </c>
      <c r="I934" s="50" t="n">
        <f aca="false">H934*G934</f>
        <v>322.3</v>
      </c>
      <c r="J934" s="50" t="n">
        <f aca="false">BQ934*Parameter!$B$18</f>
        <v>29</v>
      </c>
      <c r="K934" s="51" t="n">
        <v>25.5</v>
      </c>
      <c r="L934" s="52" t="n">
        <v>1.13725490196078</v>
      </c>
      <c r="M934" s="50" t="n">
        <v>2</v>
      </c>
      <c r="N934" s="50" t="n">
        <v>30</v>
      </c>
      <c r="O934" s="53" t="n">
        <v>28</v>
      </c>
      <c r="P934" s="48" t="s">
        <v>237</v>
      </c>
      <c r="Q934" s="50" t="n">
        <v>46</v>
      </c>
      <c r="R934" s="53" t="n">
        <f aca="false">IF(BW934=1,0,IFERROR(VLOOKUP(BU934,'Gebinde-Kategorie'!$A$5:$N$45,13,0)+0,0))</f>
        <v>26</v>
      </c>
      <c r="S934" s="54"/>
      <c r="T934" s="55"/>
      <c r="U934" s="55"/>
      <c r="V934" s="55"/>
      <c r="W934" s="48"/>
      <c r="X934" s="50"/>
      <c r="Y934" s="50"/>
      <c r="Z934" s="48" t="n">
        <f aca="false">IF(A934="","",IF(AND(Parameter!$B$21="Ja",ISNUMBER(W934)),W934,IF(BZ934="2+3",IF(ISNUMBER(SEARCH("grosser Artikel",BR934)),2,IFERROR(VLOOKUP(BU934,Parameter!$F$35:$G$64,2,0),2)),IF(OR(BZ934="Nein",BZ934=""),"-",BZ934))))</f>
        <v>3</v>
      </c>
      <c r="AA934" s="55"/>
      <c r="AB934" s="56"/>
      <c r="AC934" s="50" t="n">
        <f aca="false">AT934</f>
        <v>46</v>
      </c>
      <c r="AD934" s="50" t="n">
        <f aca="false">MAX(AT934,H934)</f>
        <v>46</v>
      </c>
      <c r="AE934" s="57"/>
      <c r="AF934" s="50" t="n">
        <f aca="false">IF(LEFT(Cockpit!$C$5,1)="A",H934,IF(CE934=1,CF934,IF(LEFT(Cockpit!$C$5,1)="B",AK934,MAX(AK934,H934))))</f>
        <v>22</v>
      </c>
      <c r="AG934" s="50" t="n">
        <f aca="false">IF(BW934=1,0,ROUNDUP(AF934/BV934,0))</f>
        <v>1</v>
      </c>
      <c r="AH934" s="52" t="n">
        <f aca="false">IF(CL934&gt;0,CL934*MAX(1,AF934/X934),IF(BW934=1,IF(AF934&lt;=0,0,CA934*MAX(1,IF(H934&gt;0,AF934/H934,1))),IF(R934&gt;0,AG934/R934,0))/MAX(0.1,N(Parameter!$M$21)))</f>
        <v>0.0384615384615385</v>
      </c>
      <c r="AI934" s="50" t="n">
        <f aca="false">AH934*BY934</f>
        <v>9.42307692307692</v>
      </c>
      <c r="AJ934" s="50" t="n">
        <f aca="false">AF934*G934</f>
        <v>322.3</v>
      </c>
      <c r="AK934" s="50" t="n">
        <f aca="false">ROUNDUP(MAX(J934/IF(CD934&gt;0,CD934,MAX(0.1,N(Cockpit!$C$6))),CG934)/BV934,0)*BV934</f>
        <v>46</v>
      </c>
      <c r="AL934" s="51" t="n">
        <f aca="false">IF(AI934&gt;0,J934/AI934,-1)</f>
        <v>3.07755102040816</v>
      </c>
      <c r="AM934" s="51" t="n">
        <f aca="false">IF(AND(OR(CC934="L1",CC934="L23",CC934="LIFT"),AI934&gt;0),SUMIFS($AI$7:$AI$1843,$CC$7:$CC$1843,CC934,$AL$7:$AL$1843,"&gt;"&amp;AL934)+SUMIFS($AI$7:$AI$1843,$CC$7:$CC$1843,CC934,$AL$7:$AL$1843,AL934,$BT$7:$BT$1843,"&lt;="&amp;BT934),"")</f>
        <v>5012.81547619048</v>
      </c>
      <c r="AN934" s="58" t="n">
        <f aca="false">IF(AM934="",0,MAX(0,MIN(1,(IF(CC934="L1",Parameter!$H$5,IF(CC934="L23",Parameter!$H$6+Parameter!$H$7,Parameter!$H$5+Parameter!$H$6+Parameter!$H$7))-(AM934-AI934))/AI934)))</f>
        <v>1</v>
      </c>
      <c r="AO934" s="50" t="n">
        <f aca="false">IF(LEFT(Cockpit!$I$5,1)="A",H934,IF(CE934=1,CF934,IF(LEFT(Cockpit!$I$5,1)="B",AT934,MAX(AT934,H934))))</f>
        <v>46</v>
      </c>
      <c r="AP934" s="50" t="n">
        <f aca="false">IF(BW934=1,0,ROUNDUP(AO934/BV934,0))</f>
        <v>1</v>
      </c>
      <c r="AQ934" s="52" t="n">
        <f aca="false">IF(CL934&gt;0,CL934*MAX(1,AO934/X934),IF(BW934=1,IF(AO934&lt;=0,0,CA934*MAX(1,IF(H934&gt;0,AO934/H934,1))),IF(R934&gt;0,AP934/R934,0))/MAX(0.1,N(Parameter!$M$21)))</f>
        <v>0.0384615384615385</v>
      </c>
      <c r="AR934" s="50" t="n">
        <f aca="false">AQ934*BY934</f>
        <v>9.42307692307692</v>
      </c>
      <c r="AS934" s="50" t="n">
        <f aca="false">AO934*G934</f>
        <v>673.9</v>
      </c>
      <c r="AT934" s="50" t="n">
        <f aca="false">ROUNDUP(MAX(J934/IF(CD934&gt;0,CD934,MAX(0.1,N(Cockpit!$I$6))),CG934)/BV934,0)*BV934</f>
        <v>46</v>
      </c>
      <c r="AU934" s="51" t="n">
        <f aca="false">IF(AR934&gt;0,J934/AR934,-1)</f>
        <v>3.07755102040816</v>
      </c>
      <c r="AV934" s="51" t="n">
        <f aca="false">IF(AND(OR(CC934="L1",CC934="L23",CC934="LIFT"),AR934&gt;0),SUMIFS($AR$7:$AR$1843,$CC$7:$CC$1843,CC934,$AU$7:$AU$1843,"&gt;"&amp;AU934)+SUMIFS($AR$7:$AR$1843,$CC$7:$CC$1843,CC934,$AU$7:$AU$1843,AU934,$BT$7:$BT$1843,"&lt;="&amp;BT934),"")</f>
        <v>6201.30586080586</v>
      </c>
      <c r="AW934" s="58" t="n">
        <f aca="false">IF(AV934="",0,MAX(0,MIN(1,(IF(CC934="L1",Parameter!$H$5,IF(CC934="L23",Parameter!$H$6+Parameter!$H$7,Parameter!$H$5+Parameter!$H$6+Parameter!$H$7))-(AV934-AR934))/AR934)))</f>
        <v>1</v>
      </c>
      <c r="AX934" s="50" t="n">
        <f aca="false">IF(LEFT(Cockpit!$O$5,1)="A",H934,IF(CE934=1,CF934,IF(LEFT(Cockpit!$O$5,1)="B",BC934,MAX(BC934,H934))))</f>
        <v>46</v>
      </c>
      <c r="AY934" s="50" t="n">
        <f aca="false">IF(BW934=1,0,ROUNDUP(AX934/BV934,0))</f>
        <v>1</v>
      </c>
      <c r="AZ934" s="52" t="n">
        <f aca="false">IF(CL934&gt;0,CL934*MAX(1,AX934/X934),IF(BW934=1,IF(AX934&lt;=0,0,CA934*MAX(1,IF(H934&gt;0,AX934/H934,1))),IF(R934&gt;0,AY934/R934,0))/MAX(0.1,N(Parameter!$M$21)))</f>
        <v>0.0384615384615385</v>
      </c>
      <c r="BA934" s="50" t="n">
        <f aca="false">AZ934*BY934</f>
        <v>9.42307692307692</v>
      </c>
      <c r="BB934" s="50" t="n">
        <f aca="false">AX934*G934</f>
        <v>673.9</v>
      </c>
      <c r="BC934" s="50" t="n">
        <f aca="false">ROUNDUP(MAX(J934/IF(CD934&gt;0,CD934,MAX(0.1,N(Cockpit!$O$6))),CG934)/BV934,0)*BV934</f>
        <v>46</v>
      </c>
      <c r="BD934" s="51" t="n">
        <f aca="false">IF(BA934&gt;0,J934/BA934,-1)</f>
        <v>3.07755102040816</v>
      </c>
      <c r="BE934" s="51" t="n">
        <f aca="false">IF(AND(OR(CC934="L1",CC934="L23",CC934="LIFT"),BA934&gt;0),SUMIFS($BA$7:$BA$1843,$CC$7:$CC$1843,CC934,$BD$7:$BD$1843,"&gt;"&amp;BD934)+SUMIFS($BA$7:$BA$1843,$CC$7:$CC$1843,CC934,$BD$7:$BD$1843,BD934,$BT$7:$BT$1843,"&lt;="&amp;BT934),"")</f>
        <v>6189.1423992674</v>
      </c>
      <c r="BF934" s="58" t="n">
        <f aca="false">IF(BE934="",0,MAX(0,MIN(1,(IF(CC934="L1",Parameter!$H$5,IF(CC934="L23",Parameter!$H$6+Parameter!$H$7,Parameter!$H$5+Parameter!$H$6+Parameter!$H$7))-(BE934-BA934))/BA934)))</f>
        <v>1</v>
      </c>
      <c r="BG934" s="48" t="str">
        <f aca="false">IF(AI934&lt;=0,"",IF(CC934="Aussen","Aussenlager",IF(CC934="-","Nicht im Lift",IF(AN934&gt;=1,"Lift",IF(AN934&lt;=0,"Aussenlager","teilweise")))))</f>
        <v>Lift</v>
      </c>
      <c r="BH934" s="48" t="str">
        <f aca="false">IF(AR934&lt;=0,"",IF(CC934="Aussen","Aussenlager",IF(CC934="-","Nicht im Lift",IF(AW934&gt;=1,"Lift",IF(AW934&lt;=0,"Aussenlager","teilweise")))))</f>
        <v>Lift</v>
      </c>
      <c r="BI934" s="48" t="str">
        <f aca="false">IF(BA934&lt;=0,"",IF(CC934="Aussen","Aussenlager",IF(CC934="-","Nicht im Lift",IF(BF934&gt;=1,"Lift",IF(BF934&lt;=0,"Aussenlager","teilweise")))))</f>
        <v>Lift</v>
      </c>
      <c r="BJ934" s="48" t="str">
        <f aca="false">IF(A934="","",IF(BS934=1,"Neu; ","")&amp;IF(AND(BS934=0,BN934&lt;0),"negativer Bestand (Export "&amp;BN934&amp;"); ","")&amp;IF(J934&lt;=0,"Kein Verbrauch; ","")&amp;IF(CL934&gt;0,"Lift "&amp;W934&amp;" lt. Liftbericht (Fach "&amp;X934&amp;" Stk); ",IF(BX934=1,"Gebinde geschätzt ("&amp;T934&amp;"); ",IF(BW934=1,"Lose – Tablare geschätzt; ","")))&amp;IF(H934&gt;AT934,"Überbestand "&amp;ROUND(H934-AT934,0)&amp;" Stk / CHF "&amp;ROUND((H934-AT934)*G934,0)&amp;"; ","")&amp;IF(AND(CE934=1,CF934&lt;CG934),"MAX &lt; MB+LG; ","")&amp;IF(AND(CK934&gt;0,CJ934*10&gt;CK934),"zu hoch für Tablar; ","")&amp;IF(AND(BS934=0,OR(CE934=1,AA934&lt;&gt;"",U934&lt;&gt;"",V934&lt;&gt;"",AB934&lt;&gt;"")),"manuell übersteuert; ","")&amp;IF(AND(BW934=0,R934=0),"Gebinde unbekannt / Stellmass fehlt; ","")&amp;IF(AND(BW934=0,N(V934)&lt;=0,N(Q934)&lt;=0),"Menge pro Gebinde fehlt (Ist = 1 Gebinde); ","")&amp;BR934)</f>
        <v/>
      </c>
      <c r="BK934" s="48"/>
      <c r="BL934" s="48"/>
      <c r="BM934" s="55"/>
      <c r="BN934" s="50" t="n">
        <v>2</v>
      </c>
      <c r="BO934" s="50" t="n">
        <v>20</v>
      </c>
      <c r="BP934" s="49" t="n">
        <v>-50.7000000000002</v>
      </c>
      <c r="BQ934" s="50" t="n">
        <v>29</v>
      </c>
      <c r="BR934" s="48"/>
      <c r="BS934" s="53" t="n">
        <v>0</v>
      </c>
      <c r="BT934" s="53" t="n">
        <v>934</v>
      </c>
      <c r="BU934" s="48" t="str">
        <f aca="false">IF(U934&lt;&gt;"",UPPER(TRIM(U934)),IF(BX934=1,UPPER(VLOOKUP(T934,Parameter!$I$27:$K$29,2,0)),IF(P934="","LOSE",P934)))</f>
        <v>S52</v>
      </c>
      <c r="BV934" s="50" t="n">
        <f aca="false">IF(BU934="LOSE",1,IF(N(V934)&gt;0,V934,IF(BX934=1,MAX(1,N(VLOOKUP(T934,Parameter!$I$27:$K$29,3,0)),H934,N(N934)),IF(N(Q934)&gt;0,Q934,MAX(1,H934)))))</f>
        <v>46</v>
      </c>
      <c r="BW934" s="53" t="n">
        <f aca="false">IF(BU934="LOSE",1,0)</f>
        <v>0</v>
      </c>
      <c r="BX934" s="53" t="n">
        <f aca="false">IF(AND(U934="",OR(P934="",P934="LOSE"),T934&lt;&gt;"",N(S934)&lt;=0,ISNUMBER(MATCH(T934,Parameter!$I$27:$I$29,0))),1,0)</f>
        <v>0</v>
      </c>
      <c r="BY934" s="53" t="n">
        <f aca="false">IF(CL934&gt;0,INDEX(Parameter!$H$5:$H$7,W934)/INDEX(Parameter!$E$5:$E$7,W934),IF(AND(BW934=0,N(IFERROR(VLOOKUP(BU934,'Gebinde-Kategorie'!$A$5:$N$45,14,0),0))&gt;0),VLOOKUP(BU934,'Gebinde-Kategorie'!$A$5:$N$45,14,0)*10+Parameter!$M$23,Parameter!$M$24))</f>
        <v>245</v>
      </c>
      <c r="BZ934" s="48" t="str">
        <f aca="false">IF(AND(Parameter!$B$19="Ja",E934&lt;&gt;"",ISNUMBER(MATCH(E934,Parameter!$I$35:$I$52,0))),VLOOKUP(E934,Parameter!$I$35:$J$52,2,0),IFERROR(VLOOKUP(D934,Parameter!$A$35:$C$64,2,0),"Nein"))</f>
        <v>2+3</v>
      </c>
      <c r="CA934" s="52" t="n">
        <f aca="false">IF(BW934=0,0,IF(N(S934)&gt;0,S934,IFERROR(VLOOKUP(D934,Parameter!$A$35:$C$64,3,0)+0,0)))</f>
        <v>0</v>
      </c>
      <c r="CB934" s="48" t="n">
        <f aca="false">IF(AA934&lt;&gt;"",AA934,Z934)</f>
        <v>3</v>
      </c>
      <c r="CC934" s="48" t="str">
        <f aca="false">IF(OR(CB934=1,CB934=2,CB934=3),IF(Parameter!$E$27="Ja","LIFT",IF(CB934=1,"L1","L23")),IF(CB934="Aussen","Aussen","-"))</f>
        <v>LIFT</v>
      </c>
      <c r="CD934" s="59" t="n">
        <f aca="false">IF(N(AB934)&gt;0,AB934,0)</f>
        <v>0</v>
      </c>
      <c r="CE934" s="53" t="n">
        <f aca="false">IF(ISNUMBER(AE934),1,0)</f>
        <v>0</v>
      </c>
      <c r="CF934" s="50" t="n">
        <f aca="false">N(AE934)</f>
        <v>0</v>
      </c>
      <c r="CG934" s="50" t="n">
        <f aca="false">N(M934)+N(N934)</f>
        <v>32</v>
      </c>
      <c r="CH934" s="50" t="n">
        <f aca="false">ROUNDUP(H934/BV934,0)</f>
        <v>1</v>
      </c>
      <c r="CI934" s="50" t="n">
        <f aca="false">ROUNDUP(CF934/BV934,0)</f>
        <v>0</v>
      </c>
      <c r="CJ934" s="53" t="n">
        <f aca="false">IF(BW934=1,0,IFERROR(VLOOKUP(BU934,'Gebinde-Kategorie'!$A$5:$N$45,5,0)+0,0))</f>
        <v>21</v>
      </c>
      <c r="CK934" s="53" t="n">
        <f aca="false">IFERROR(IF(OR(CB934=1,CB934=2,CB934=3),N(INDEX(Parameter!$I$5:$I$7,CB934)),0),0)</f>
        <v>0</v>
      </c>
      <c r="CL934" s="52" t="n">
        <f aca="false">IF(AND(Parameter!$B$21="Ja",ISNUMBER(W934),N(X934)&gt;0),IFERROR(N(INDEX(Parameter!$L$5:$L$7,W934))*INDEX(Parameter!$E$5:$E$7,W934)*X934/SUMIFS($X$7:$X$1843,$W$7:$W$1843,W934),0),0)</f>
        <v>0</v>
      </c>
    </row>
    <row r="935" customFormat="false" ht="15" hidden="false" customHeight="false" outlineLevel="0" collapsed="false">
      <c r="A935" s="48" t="s">
        <v>1749</v>
      </c>
      <c r="B935" s="48" t="s">
        <v>1750</v>
      </c>
      <c r="C935" s="48" t="s">
        <v>168</v>
      </c>
      <c r="D935" s="48" t="s">
        <v>188</v>
      </c>
      <c r="E935" s="48"/>
      <c r="F935" s="48" t="s">
        <v>222</v>
      </c>
      <c r="G935" s="49" t="n">
        <v>16.96</v>
      </c>
      <c r="H935" s="50" t="n">
        <f aca="false">MAX(0,IF(AND(Parameter!$B$21="Ja",ISNUMBER(Y935)),Y935,IF(Parameter!$B$20="Jahresanfang 2025 + Export",BO935+BN935,BN935)))</f>
        <v>4</v>
      </c>
      <c r="I935" s="50" t="n">
        <f aca="false">H935*G935</f>
        <v>67.84</v>
      </c>
      <c r="J935" s="50" t="n">
        <f aca="false">BQ935*Parameter!$B$18</f>
        <v>3</v>
      </c>
      <c r="K935" s="51" t="n">
        <v>5.5</v>
      </c>
      <c r="L935" s="52" t="n">
        <v>0.545454545454545</v>
      </c>
      <c r="M935" s="50" t="n">
        <v>0</v>
      </c>
      <c r="N935" s="50" t="n">
        <v>5</v>
      </c>
      <c r="O935" s="53" t="n">
        <v>42</v>
      </c>
      <c r="P935" s="48" t="s">
        <v>405</v>
      </c>
      <c r="Q935" s="50" t="n">
        <v>5</v>
      </c>
      <c r="R935" s="53" t="n">
        <f aca="false">IF(BW935=1,0,IFERROR(VLOOKUP(BU935,'Gebinde-Kategorie'!$A$5:$N$45,13,0)+0,0))</f>
        <v>280</v>
      </c>
      <c r="S935" s="54"/>
      <c r="T935" s="55"/>
      <c r="U935" s="55"/>
      <c r="V935" s="55"/>
      <c r="W935" s="48"/>
      <c r="X935" s="50"/>
      <c r="Y935" s="50"/>
      <c r="Z935" s="48" t="n">
        <f aca="false">IF(A935="","",IF(AND(Parameter!$B$21="Ja",ISNUMBER(W935)),W935,IF(BZ935="2+3",IF(ISNUMBER(SEARCH("grosser Artikel",BR935)),2,IFERROR(VLOOKUP(BU935,Parameter!$F$35:$G$64,2,0),2)),IF(OR(BZ935="Nein",BZ935=""),"-",BZ935))))</f>
        <v>3</v>
      </c>
      <c r="AA935" s="55"/>
      <c r="AB935" s="56"/>
      <c r="AC935" s="50" t="n">
        <f aca="false">AT935</f>
        <v>5</v>
      </c>
      <c r="AD935" s="50" t="n">
        <f aca="false">MAX(AT935,H935)</f>
        <v>5</v>
      </c>
      <c r="AE935" s="57"/>
      <c r="AF935" s="50" t="n">
        <f aca="false">IF(LEFT(Cockpit!$C$5,1)="A",H935,IF(CE935=1,CF935,IF(LEFT(Cockpit!$C$5,1)="B",AK935,MAX(AK935,H935))))</f>
        <v>4</v>
      </c>
      <c r="AG935" s="50" t="n">
        <f aca="false">IF(BW935=1,0,ROUNDUP(AF935/BV935,0))</f>
        <v>1</v>
      </c>
      <c r="AH935" s="52" t="n">
        <f aca="false">IF(CL935&gt;0,CL935*MAX(1,AF935/X935),IF(BW935=1,IF(AF935&lt;=0,0,CA935*MAX(1,IF(H935&gt;0,AF935/H935,1))),IF(R935&gt;0,AG935/R935,0))/MAX(0.1,N(Parameter!$M$21)))</f>
        <v>0.00357142857142857</v>
      </c>
      <c r="AI935" s="50" t="n">
        <f aca="false">AH935*BY935</f>
        <v>0.553571428571429</v>
      </c>
      <c r="AJ935" s="50" t="n">
        <f aca="false">AF935*G935</f>
        <v>67.84</v>
      </c>
      <c r="AK935" s="50" t="n">
        <f aca="false">ROUNDUP(MAX(J935/IF(CD935&gt;0,CD935,MAX(0.1,N(Cockpit!$C$6))),CG935)/BV935,0)*BV935</f>
        <v>5</v>
      </c>
      <c r="AL935" s="51" t="n">
        <f aca="false">IF(AI935&gt;0,J935/AI935,-1)</f>
        <v>5.41935483870968</v>
      </c>
      <c r="AM935" s="51" t="n">
        <f aca="false">IF(AND(OR(CC935="L1",CC935="L23",CC935="LIFT"),AI935&gt;0),SUMIFS($AI$7:$AI$1843,$CC$7:$CC$1843,CC935,$AL$7:$AL$1843,"&gt;"&amp;AL935)+SUMIFS($AI$7:$AI$1843,$CC$7:$CC$1843,CC935,$AL$7:$AL$1843,AL935,$BT$7:$BT$1843,"&lt;="&amp;BT935),"")</f>
        <v>3716.69551282051</v>
      </c>
      <c r="AN935" s="58" t="n">
        <f aca="false">IF(AM935="",0,MAX(0,MIN(1,(IF(CC935="L1",Parameter!$H$5,IF(CC935="L23",Parameter!$H$6+Parameter!$H$7,Parameter!$H$5+Parameter!$H$6+Parameter!$H$7))-(AM935-AI935))/AI935)))</f>
        <v>1</v>
      </c>
      <c r="AO935" s="50" t="n">
        <f aca="false">IF(LEFT(Cockpit!$I$5,1)="A",H935,IF(CE935=1,CF935,IF(LEFT(Cockpit!$I$5,1)="B",AT935,MAX(AT935,H935))))</f>
        <v>5</v>
      </c>
      <c r="AP935" s="50" t="n">
        <f aca="false">IF(BW935=1,0,ROUNDUP(AO935/BV935,0))</f>
        <v>1</v>
      </c>
      <c r="AQ935" s="52" t="n">
        <f aca="false">IF(CL935&gt;0,CL935*MAX(1,AO935/X935),IF(BW935=1,IF(AO935&lt;=0,0,CA935*MAX(1,IF(H935&gt;0,AO935/H935,1))),IF(R935&gt;0,AP935/R935,0))/MAX(0.1,N(Parameter!$M$21)))</f>
        <v>0.00357142857142857</v>
      </c>
      <c r="AR935" s="50" t="n">
        <f aca="false">AQ935*BY935</f>
        <v>0.553571428571429</v>
      </c>
      <c r="AS935" s="50" t="n">
        <f aca="false">AO935*G935</f>
        <v>84.8</v>
      </c>
      <c r="AT935" s="50" t="n">
        <f aca="false">ROUNDUP(MAX(J935/IF(CD935&gt;0,CD935,MAX(0.1,N(Cockpit!$I$6))),CG935)/BV935,0)*BV935</f>
        <v>5</v>
      </c>
      <c r="AU935" s="51" t="n">
        <f aca="false">IF(AR935&gt;0,J935/AR935,-1)</f>
        <v>5.41935483870968</v>
      </c>
      <c r="AV935" s="51" t="n">
        <f aca="false">IF(AND(OR(CC935="L1",CC935="L23",CC935="LIFT"),AR935&gt;0),SUMIFS($AR$7:$AR$1843,$CC$7:$CC$1843,CC935,$AU$7:$AU$1843,"&gt;"&amp;AU935)+SUMIFS($AR$7:$AR$1843,$CC$7:$CC$1843,CC935,$AU$7:$AU$1843,AU935,$BT$7:$BT$1843,"&lt;="&amp;BT935),"")</f>
        <v>4900.99496336996</v>
      </c>
      <c r="AW935" s="58" t="n">
        <f aca="false">IF(AV935="",0,MAX(0,MIN(1,(IF(CC935="L1",Parameter!$H$5,IF(CC935="L23",Parameter!$H$6+Parameter!$H$7,Parameter!$H$5+Parameter!$H$6+Parameter!$H$7))-(AV935-AR935))/AR935)))</f>
        <v>1</v>
      </c>
      <c r="AX935" s="50" t="n">
        <f aca="false">IF(LEFT(Cockpit!$O$5,1)="A",H935,IF(CE935=1,CF935,IF(LEFT(Cockpit!$O$5,1)="B",BC935,MAX(BC935,H935))))</f>
        <v>5</v>
      </c>
      <c r="AY935" s="50" t="n">
        <f aca="false">IF(BW935=1,0,ROUNDUP(AX935/BV935,0))</f>
        <v>1</v>
      </c>
      <c r="AZ935" s="52" t="n">
        <f aca="false">IF(CL935&gt;0,CL935*MAX(1,AX935/X935),IF(BW935=1,IF(AX935&lt;=0,0,CA935*MAX(1,IF(H935&gt;0,AX935/H935,1))),IF(R935&gt;0,AY935/R935,0))/MAX(0.1,N(Parameter!$M$21)))</f>
        <v>0.00357142857142857</v>
      </c>
      <c r="BA935" s="50" t="n">
        <f aca="false">AZ935*BY935</f>
        <v>0.553571428571429</v>
      </c>
      <c r="BB935" s="50" t="n">
        <f aca="false">AX935*G935</f>
        <v>84.8</v>
      </c>
      <c r="BC935" s="50" t="n">
        <f aca="false">ROUNDUP(MAX(J935/IF(CD935&gt;0,CD935,MAX(0.1,N(Cockpit!$O$6))),CG935)/BV935,0)*BV935</f>
        <v>5</v>
      </c>
      <c r="BD935" s="51" t="n">
        <f aca="false">IF(BA935&gt;0,J935/BA935,-1)</f>
        <v>5.41935483870968</v>
      </c>
      <c r="BE935" s="51" t="n">
        <f aca="false">IF(AND(OR(CC935="L1",CC935="L23",CC935="LIFT"),BA935&gt;0),SUMIFS($BA$7:$BA$1843,$CC$7:$CC$1843,CC935,$BD$7:$BD$1843,"&gt;"&amp;BD935)+SUMIFS($BA$7:$BA$1843,$CC$7:$CC$1843,CC935,$BD$7:$BD$1843,BD935,$BT$7:$BT$1843,"&lt;="&amp;BT935),"")</f>
        <v>4571.45970695971</v>
      </c>
      <c r="BF935" s="58" t="n">
        <f aca="false">IF(BE935="",0,MAX(0,MIN(1,(IF(CC935="L1",Parameter!$H$5,IF(CC935="L23",Parameter!$H$6+Parameter!$H$7,Parameter!$H$5+Parameter!$H$6+Parameter!$H$7))-(BE935-BA935))/BA935)))</f>
        <v>1</v>
      </c>
      <c r="BG935" s="48" t="str">
        <f aca="false">IF(AI935&lt;=0,"",IF(CC935="Aussen","Aussenlager",IF(CC935="-","Nicht im Lift",IF(AN935&gt;=1,"Lift",IF(AN935&lt;=0,"Aussenlager","teilweise")))))</f>
        <v>Lift</v>
      </c>
      <c r="BH935" s="48" t="str">
        <f aca="false">IF(AR935&lt;=0,"",IF(CC935="Aussen","Aussenlager",IF(CC935="-","Nicht im Lift",IF(AW935&gt;=1,"Lift",IF(AW935&lt;=0,"Aussenlager","teilweise")))))</f>
        <v>Lift</v>
      </c>
      <c r="BI935" s="48" t="str">
        <f aca="false">IF(BA935&lt;=0,"",IF(CC935="Aussen","Aussenlager",IF(CC935="-","Nicht im Lift",IF(BF935&gt;=1,"Lift",IF(BF935&lt;=0,"Aussenlager","teilweise")))))</f>
        <v>Lift</v>
      </c>
      <c r="BJ935" s="48" t="str">
        <f aca="false">IF(A935="","",IF(BS935=1,"Neu; ","")&amp;IF(AND(BS935=0,BN935&lt;0),"negativer Bestand (Export "&amp;BN935&amp;"); ","")&amp;IF(J935&lt;=0,"Kein Verbrauch; ","")&amp;IF(CL935&gt;0,"Lift "&amp;W935&amp;" lt. Liftbericht (Fach "&amp;X935&amp;" Stk); ",IF(BX935=1,"Gebinde geschätzt ("&amp;T935&amp;"); ",IF(BW935=1,"Lose – Tablare geschätzt; ","")))&amp;IF(H935&gt;AT935,"Überbestand "&amp;ROUND(H935-AT935,0)&amp;" Stk / CHF "&amp;ROUND((H935-AT935)*G935,0)&amp;"; ","")&amp;IF(AND(CE935=1,CF935&lt;CG935),"MAX &lt; MB+LG; ","")&amp;IF(AND(CK935&gt;0,CJ935*10&gt;CK935),"zu hoch für Tablar; ","")&amp;IF(AND(BS935=0,OR(CE935=1,AA935&lt;&gt;"",U935&lt;&gt;"",V935&lt;&gt;"",AB935&lt;&gt;"")),"manuell übersteuert; ","")&amp;IF(AND(BW935=0,R935=0),"Gebinde unbekannt / Stellmass fehlt; ","")&amp;IF(AND(BW935=0,N(V935)&lt;=0,N(Q935)&lt;=0),"Menge pro Gebinde fehlt (Ist = 1 Gebinde); ","")&amp;BR935)</f>
        <v>negativer Bestand (Export -3); </v>
      </c>
      <c r="BK935" s="48"/>
      <c r="BL935" s="48"/>
      <c r="BM935" s="55"/>
      <c r="BN935" s="50" t="n">
        <v>-3</v>
      </c>
      <c r="BO935" s="50" t="n">
        <v>7</v>
      </c>
      <c r="BP935" s="49" t="n">
        <v>-50.88</v>
      </c>
      <c r="BQ935" s="50" t="n">
        <v>3</v>
      </c>
      <c r="BR935" s="48"/>
      <c r="BS935" s="53" t="n">
        <v>0</v>
      </c>
      <c r="BT935" s="53" t="n">
        <v>935</v>
      </c>
      <c r="BU935" s="48" t="str">
        <f aca="false">IF(U935&lt;&gt;"",UPPER(TRIM(U935)),IF(BX935=1,UPPER(VLOOKUP(T935,Parameter!$I$27:$K$29,2,0)),IF(P935="","LOSE",P935)))</f>
        <v>S21</v>
      </c>
      <c r="BV935" s="50" t="n">
        <f aca="false">IF(BU935="LOSE",1,IF(N(V935)&gt;0,V935,IF(BX935=1,MAX(1,N(VLOOKUP(T935,Parameter!$I$27:$K$29,3,0)),H935,N(N935)),IF(N(Q935)&gt;0,Q935,MAX(1,H935)))))</f>
        <v>5</v>
      </c>
      <c r="BW935" s="53" t="n">
        <f aca="false">IF(BU935="LOSE",1,0)</f>
        <v>0</v>
      </c>
      <c r="BX935" s="53" t="n">
        <f aca="false">IF(AND(U935="",OR(P935="",P935="LOSE"),T935&lt;&gt;"",N(S935)&lt;=0,ISNUMBER(MATCH(T935,Parameter!$I$27:$I$29,0))),1,0)</f>
        <v>0</v>
      </c>
      <c r="BY935" s="53" t="n">
        <f aca="false">IF(CL935&gt;0,INDEX(Parameter!$H$5:$H$7,W935)/INDEX(Parameter!$E$5:$E$7,W935),IF(AND(BW935=0,N(IFERROR(VLOOKUP(BU935,'Gebinde-Kategorie'!$A$5:$N$45,14,0),0))&gt;0),VLOOKUP(BU935,'Gebinde-Kategorie'!$A$5:$N$45,14,0)*10+Parameter!$M$23,Parameter!$M$24))</f>
        <v>155</v>
      </c>
      <c r="BZ935" s="48" t="str">
        <f aca="false">IF(AND(Parameter!$B$19="Ja",E935&lt;&gt;"",ISNUMBER(MATCH(E935,Parameter!$I$35:$I$52,0))),VLOOKUP(E935,Parameter!$I$35:$J$52,2,0),IFERROR(VLOOKUP(D935,Parameter!$A$35:$C$64,2,0),"Nein"))</f>
        <v>2+3</v>
      </c>
      <c r="CA935" s="52" t="n">
        <f aca="false">IF(BW935=0,0,IF(N(S935)&gt;0,S935,IFERROR(VLOOKUP(D935,Parameter!$A$35:$C$64,3,0)+0,0)))</f>
        <v>0</v>
      </c>
      <c r="CB935" s="48" t="n">
        <f aca="false">IF(AA935&lt;&gt;"",AA935,Z935)</f>
        <v>3</v>
      </c>
      <c r="CC935" s="48" t="str">
        <f aca="false">IF(OR(CB935=1,CB935=2,CB935=3),IF(Parameter!$E$27="Ja","LIFT",IF(CB935=1,"L1","L23")),IF(CB935="Aussen","Aussen","-"))</f>
        <v>LIFT</v>
      </c>
      <c r="CD935" s="59" t="n">
        <f aca="false">IF(N(AB935)&gt;0,AB935,0)</f>
        <v>0</v>
      </c>
      <c r="CE935" s="53" t="n">
        <f aca="false">IF(ISNUMBER(AE935),1,0)</f>
        <v>0</v>
      </c>
      <c r="CF935" s="50" t="n">
        <f aca="false">N(AE935)</f>
        <v>0</v>
      </c>
      <c r="CG935" s="50" t="n">
        <f aca="false">N(M935)+N(N935)</f>
        <v>5</v>
      </c>
      <c r="CH935" s="50" t="n">
        <f aca="false">ROUNDUP(H935/BV935,0)</f>
        <v>1</v>
      </c>
      <c r="CI935" s="50" t="n">
        <f aca="false">ROUNDUP(CF935/BV935,0)</f>
        <v>0</v>
      </c>
      <c r="CJ935" s="53" t="n">
        <f aca="false">IF(BW935=1,0,IFERROR(VLOOKUP(BU935,'Gebinde-Kategorie'!$A$5:$N$45,5,0)+0,0))</f>
        <v>8</v>
      </c>
      <c r="CK935" s="53" t="n">
        <f aca="false">IFERROR(IF(OR(CB935=1,CB935=2,CB935=3),N(INDEX(Parameter!$I$5:$I$7,CB935)),0),0)</f>
        <v>0</v>
      </c>
      <c r="CL935" s="52" t="n">
        <f aca="false">IF(AND(Parameter!$B$21="Ja",ISNUMBER(W935),N(X935)&gt;0),IFERROR(N(INDEX(Parameter!$L$5:$L$7,W935))*INDEX(Parameter!$E$5:$E$7,W935)*X935/SUMIFS($X$7:$X$1843,$W$7:$W$1843,W935),0),0)</f>
        <v>0</v>
      </c>
    </row>
    <row r="936" customFormat="false" ht="15" hidden="false" customHeight="false" outlineLevel="0" collapsed="false">
      <c r="A936" s="48" t="s">
        <v>1751</v>
      </c>
      <c r="B936" s="48" t="s">
        <v>1752</v>
      </c>
      <c r="C936" s="48" t="s">
        <v>168</v>
      </c>
      <c r="D936" s="48" t="s">
        <v>188</v>
      </c>
      <c r="E936" s="48"/>
      <c r="F936" s="48" t="s">
        <v>222</v>
      </c>
      <c r="G936" s="49" t="n">
        <v>35.41</v>
      </c>
      <c r="H936" s="50" t="n">
        <f aca="false">MAX(0,IF(AND(Parameter!$B$21="Ja",ISNUMBER(Y936)),Y936,IF(Parameter!$B$20="Jahresanfang 2025 + Export",BO936+BN936,BN936)))</f>
        <v>3</v>
      </c>
      <c r="I936" s="50" t="n">
        <f aca="false">H936*G936</f>
        <v>106.23</v>
      </c>
      <c r="J936" s="50" t="n">
        <f aca="false">BQ936*Parameter!$B$18</f>
        <v>0</v>
      </c>
      <c r="K936" s="51" t="n">
        <v>2.5</v>
      </c>
      <c r="L936" s="52" t="n">
        <v>0</v>
      </c>
      <c r="M936" s="50" t="n">
        <v>0</v>
      </c>
      <c r="N936" s="50" t="n">
        <v>1</v>
      </c>
      <c r="O936" s="53" t="n">
        <v>14</v>
      </c>
      <c r="P936" s="48" t="s">
        <v>172</v>
      </c>
      <c r="Q936" s="50"/>
      <c r="R936" s="53" t="n">
        <f aca="false">IF(BW936=1,0,IFERROR(VLOOKUP(BU936,'Gebinde-Kategorie'!$A$5:$N$45,13,0)+0,0))</f>
        <v>26</v>
      </c>
      <c r="S936" s="54"/>
      <c r="T936" s="55" t="s">
        <v>279</v>
      </c>
      <c r="U936" s="55"/>
      <c r="V936" s="55"/>
      <c r="W936" s="48"/>
      <c r="X936" s="50"/>
      <c r="Y936" s="50"/>
      <c r="Z936" s="48" t="n">
        <f aca="false">IF(A936="","",IF(AND(Parameter!$B$21="Ja",ISNUMBER(W936)),W936,IF(BZ936="2+3",IF(ISNUMBER(SEARCH("grosser Artikel",BR936)),2,IFERROR(VLOOKUP(BU936,Parameter!$F$35:$G$64,2,0),2)),IF(OR(BZ936="Nein",BZ936=""),"-",BZ936))))</f>
        <v>3</v>
      </c>
      <c r="AA936" s="55"/>
      <c r="AB936" s="56"/>
      <c r="AC936" s="50" t="n">
        <f aca="false">AT936</f>
        <v>20</v>
      </c>
      <c r="AD936" s="50" t="n">
        <f aca="false">MAX(AT936,H936)</f>
        <v>20</v>
      </c>
      <c r="AE936" s="57"/>
      <c r="AF936" s="50" t="n">
        <f aca="false">IF(LEFT(Cockpit!$C$5,1)="A",H936,IF(CE936=1,CF936,IF(LEFT(Cockpit!$C$5,1)="B",AK936,MAX(AK936,H936))))</f>
        <v>3</v>
      </c>
      <c r="AG936" s="50" t="n">
        <f aca="false">IF(BW936=1,0,ROUNDUP(AF936/BV936,0))</f>
        <v>1</v>
      </c>
      <c r="AH936" s="52" t="n">
        <f aca="false">IF(CL936&gt;0,CL936*MAX(1,AF936/X936),IF(BW936=1,IF(AF936&lt;=0,0,CA936*MAX(1,IF(H936&gt;0,AF936/H936,1))),IF(R936&gt;0,AG936/R936,0))/MAX(0.1,N(Parameter!$M$21)))</f>
        <v>0.0384615384615385</v>
      </c>
      <c r="AI936" s="50" t="n">
        <f aca="false">AH936*BY936</f>
        <v>5.96153846153846</v>
      </c>
      <c r="AJ936" s="50" t="n">
        <f aca="false">AF936*G936</f>
        <v>106.23</v>
      </c>
      <c r="AK936" s="50" t="n">
        <f aca="false">ROUNDUP(MAX(J936/IF(CD936&gt;0,CD936,MAX(0.1,N(Cockpit!$C$6))),CG936)/BV936,0)*BV936</f>
        <v>20</v>
      </c>
      <c r="AL936" s="51" t="n">
        <f aca="false">IF(AI936&gt;0,J936/AI936,-1)</f>
        <v>0</v>
      </c>
      <c r="AM936" s="51" t="n">
        <f aca="false">IF(AND(OR(CC936="L1",CC936="L23",CC936="LIFT"),AI936&gt;0),SUMIFS($AI$7:$AI$1843,$CC$7:$CC$1843,CC936,$AL$7:$AL$1843,"&gt;"&amp;AL936)+SUMIFS($AI$7:$AI$1843,$CC$7:$CC$1843,CC936,$AL$7:$AL$1843,AL936,$BT$7:$BT$1843,"&lt;="&amp;BT936),"")</f>
        <v>28871.2542890255</v>
      </c>
      <c r="AN936" s="58" t="n">
        <f aca="false">IF(AM936="",0,MAX(0,MIN(1,(IF(CC936="L1",Parameter!$H$5,IF(CC936="L23",Parameter!$H$6+Parameter!$H$7,Parameter!$H$5+Parameter!$H$6+Parameter!$H$7))-(AM936-AI936))/AI936)))</f>
        <v>1</v>
      </c>
      <c r="AO936" s="50" t="n">
        <f aca="false">IF(LEFT(Cockpit!$I$5,1)="A",H936,IF(CE936=1,CF936,IF(LEFT(Cockpit!$I$5,1)="B",AT936,MAX(AT936,H936))))</f>
        <v>20</v>
      </c>
      <c r="AP936" s="50" t="n">
        <f aca="false">IF(BW936=1,0,ROUNDUP(AO936/BV936,0))</f>
        <v>1</v>
      </c>
      <c r="AQ936" s="52" t="n">
        <f aca="false">IF(CL936&gt;0,CL936*MAX(1,AO936/X936),IF(BW936=1,IF(AO936&lt;=0,0,CA936*MAX(1,IF(H936&gt;0,AO936/H936,1))),IF(R936&gt;0,AP936/R936,0))/MAX(0.1,N(Parameter!$M$21)))</f>
        <v>0.0384615384615385</v>
      </c>
      <c r="AR936" s="50" t="n">
        <f aca="false">AQ936*BY936</f>
        <v>5.96153846153846</v>
      </c>
      <c r="AS936" s="50" t="n">
        <f aca="false">AO936*G936</f>
        <v>708.2</v>
      </c>
      <c r="AT936" s="50" t="n">
        <f aca="false">ROUNDUP(MAX(J936/IF(CD936&gt;0,CD936,MAX(0.1,N(Cockpit!$I$6))),CG936)/BV936,0)*BV936</f>
        <v>20</v>
      </c>
      <c r="AU936" s="51" t="n">
        <f aca="false">IF(AR936&gt;0,J936/AR936,-1)</f>
        <v>0</v>
      </c>
      <c r="AV936" s="51" t="n">
        <f aca="false">IF(AND(OR(CC936="L1",CC936="L23",CC936="LIFT"),AR936&gt;0),SUMIFS($AR$7:$AR$1843,$CC$7:$CC$1843,CC936,$AU$7:$AU$1843,"&gt;"&amp;AU936)+SUMIFS($AR$7:$AR$1843,$CC$7:$CC$1843,CC936,$AU$7:$AU$1843,AU936,$BT$7:$BT$1843,"&lt;="&amp;BT936),"")</f>
        <v>40499.4977183833</v>
      </c>
      <c r="AW936" s="58" t="n">
        <f aca="false">IF(AV936="",0,MAX(0,MIN(1,(IF(CC936="L1",Parameter!$H$5,IF(CC936="L23",Parameter!$H$6+Parameter!$H$7,Parameter!$H$5+Parameter!$H$6+Parameter!$H$7))-(AV936-AR936))/AR936)))</f>
        <v>0</v>
      </c>
      <c r="AX936" s="50" t="n">
        <f aca="false">IF(LEFT(Cockpit!$O$5,1)="A",H936,IF(CE936=1,CF936,IF(LEFT(Cockpit!$O$5,1)="B",BC936,MAX(BC936,H936))))</f>
        <v>20</v>
      </c>
      <c r="AY936" s="50" t="n">
        <f aca="false">IF(BW936=1,0,ROUNDUP(AX936/BV936,0))</f>
        <v>1</v>
      </c>
      <c r="AZ936" s="52" t="n">
        <f aca="false">IF(CL936&gt;0,CL936*MAX(1,AX936/X936),IF(BW936=1,IF(AX936&lt;=0,0,CA936*MAX(1,IF(H936&gt;0,AX936/H936,1))),IF(R936&gt;0,AY936/R936,0))/MAX(0.1,N(Parameter!$M$21)))</f>
        <v>0.0384615384615385</v>
      </c>
      <c r="BA936" s="50" t="n">
        <f aca="false">AZ936*BY936</f>
        <v>5.96153846153846</v>
      </c>
      <c r="BB936" s="50" t="n">
        <f aca="false">AX936*G936</f>
        <v>708.2</v>
      </c>
      <c r="BC936" s="50" t="n">
        <f aca="false">ROUNDUP(MAX(J936/IF(CD936&gt;0,CD936,MAX(0.1,N(Cockpit!$O$6))),CG936)/BV936,0)*BV936</f>
        <v>20</v>
      </c>
      <c r="BD936" s="51" t="n">
        <f aca="false">IF(BA936&gt;0,J936/BA936,-1)</f>
        <v>0</v>
      </c>
      <c r="BE936" s="51" t="n">
        <f aca="false">IF(AND(OR(CC936="L1",CC936="L23",CC936="LIFT"),BA936&gt;0),SUMIFS($BA$7:$BA$1843,$CC$7:$CC$1843,CC936,$BD$7:$BD$1843,"&gt;"&amp;BD936)+SUMIFS($BA$7:$BA$1843,$CC$7:$CC$1843,CC936,$BD$7:$BD$1843,BD936,$BT$7:$BT$1843,"&lt;="&amp;BT936),"")</f>
        <v>37174.5097602492</v>
      </c>
      <c r="BF936" s="58" t="n">
        <f aca="false">IF(BE936="",0,MAX(0,MIN(1,(IF(CC936="L1",Parameter!$H$5,IF(CC936="L23",Parameter!$H$6+Parameter!$H$7,Parameter!$H$5+Parameter!$H$6+Parameter!$H$7))-(BE936-BA936))/BA936)))</f>
        <v>0</v>
      </c>
      <c r="BG936" s="48" t="str">
        <f aca="false">IF(AI936&lt;=0,"",IF(CC936="Aussen","Aussenlager",IF(CC936="-","Nicht im Lift",IF(AN936&gt;=1,"Lift",IF(AN936&lt;=0,"Aussenlager","teilweise")))))</f>
        <v>Lift</v>
      </c>
      <c r="BH936" s="48" t="str">
        <f aca="false">IF(AR936&lt;=0,"",IF(CC936="Aussen","Aussenlager",IF(CC936="-","Nicht im Lift",IF(AW936&gt;=1,"Lift",IF(AW936&lt;=0,"Aussenlager","teilweise")))))</f>
        <v>Aussenlager</v>
      </c>
      <c r="BI936" s="48" t="str">
        <f aca="false">IF(BA936&lt;=0,"",IF(CC936="Aussen","Aussenlager",IF(CC936="-","Nicht im Lift",IF(BF936&gt;=1,"Lift",IF(BF936&lt;=0,"Aussenlager","teilweise")))))</f>
        <v>Aussenlager</v>
      </c>
      <c r="BJ936" s="48" t="str">
        <f aca="false">IF(A936="","",IF(BS936=1,"Neu; ","")&amp;IF(AND(BS936=0,BN936&lt;0),"negativer Bestand (Export "&amp;BN936&amp;"); ","")&amp;IF(J936&lt;=0,"Kein Verbrauch; ","")&amp;IF(CL936&gt;0,"Lift "&amp;W936&amp;" lt. Liftbericht (Fach "&amp;X936&amp;" Stk); ",IF(BX936=1,"Gebinde geschätzt ("&amp;T936&amp;"); ",IF(BW936=1,"Lose – Tablare geschätzt; ","")))&amp;IF(H936&gt;AT936,"Überbestand "&amp;ROUND(H936-AT936,0)&amp;" Stk / CHF "&amp;ROUND((H936-AT936)*G936,0)&amp;"; ","")&amp;IF(AND(CE936=1,CF936&lt;CG936),"MAX &lt; MB+LG; ","")&amp;IF(AND(CK936&gt;0,CJ936*10&gt;CK936),"zu hoch für Tablar; ","")&amp;IF(AND(BS936=0,OR(CE936=1,AA936&lt;&gt;"",U936&lt;&gt;"",V936&lt;&gt;"",AB936&lt;&gt;"")),"manuell übersteuert; ","")&amp;IF(AND(BW936=0,R936=0),"Gebinde unbekannt / Stellmass fehlt; ","")&amp;IF(AND(BW936=0,N(V936)&lt;=0,N(Q936)&lt;=0),"Menge pro Gebinde fehlt (Ist = 1 Gebinde); ","")&amp;BR936)</f>
        <v>Kein Verbrauch; Gebinde geschätzt (Klein); Menge pro Gebinde fehlt (Ist = 1 Gebinde); </v>
      </c>
      <c r="BK936" s="48"/>
      <c r="BL936" s="48"/>
      <c r="BM936" s="55"/>
      <c r="BN936" s="50" t="n">
        <v>0</v>
      </c>
      <c r="BO936" s="50" t="n">
        <v>3</v>
      </c>
      <c r="BP936" s="49" t="n">
        <v>-51.54</v>
      </c>
      <c r="BQ936" s="50" t="n">
        <v>0</v>
      </c>
      <c r="BR936" s="48"/>
      <c r="BS936" s="53" t="n">
        <v>0</v>
      </c>
      <c r="BT936" s="53" t="n">
        <v>936</v>
      </c>
      <c r="BU936" s="48" t="str">
        <f aca="false">IF(U936&lt;&gt;"",UPPER(TRIM(U936)),IF(BX936=1,UPPER(VLOOKUP(T936,Parameter!$I$27:$K$29,2,0)),IF(P936="","LOSE",P936)))</f>
        <v>S51</v>
      </c>
      <c r="BV936" s="50" t="n">
        <f aca="false">IF(BU936="LOSE",1,IF(N(V936)&gt;0,V936,IF(BX936=1,MAX(1,N(VLOOKUP(T936,Parameter!$I$27:$K$29,3,0)),H936,N(N936)),IF(N(Q936)&gt;0,Q936,MAX(1,H936)))))</f>
        <v>20</v>
      </c>
      <c r="BW936" s="53" t="n">
        <f aca="false">IF(BU936="LOSE",1,0)</f>
        <v>0</v>
      </c>
      <c r="BX936" s="53" t="n">
        <f aca="false">IF(AND(U936="",OR(P936="",P936="LOSE"),T936&lt;&gt;"",N(S936)&lt;=0,ISNUMBER(MATCH(T936,Parameter!$I$27:$I$29,0))),1,0)</f>
        <v>1</v>
      </c>
      <c r="BY936" s="53" t="n">
        <f aca="false">IF(CL936&gt;0,INDEX(Parameter!$H$5:$H$7,W936)/INDEX(Parameter!$E$5:$E$7,W936),IF(AND(BW936=0,N(IFERROR(VLOOKUP(BU936,'Gebinde-Kategorie'!$A$5:$N$45,14,0),0))&gt;0),VLOOKUP(BU936,'Gebinde-Kategorie'!$A$5:$N$45,14,0)*10+Parameter!$M$23,Parameter!$M$24))</f>
        <v>155</v>
      </c>
      <c r="BZ936" s="48" t="str">
        <f aca="false">IF(AND(Parameter!$B$19="Ja",E936&lt;&gt;"",ISNUMBER(MATCH(E936,Parameter!$I$35:$I$52,0))),VLOOKUP(E936,Parameter!$I$35:$J$52,2,0),IFERROR(VLOOKUP(D936,Parameter!$A$35:$C$64,2,0),"Nein"))</f>
        <v>2+3</v>
      </c>
      <c r="CA936" s="52" t="n">
        <f aca="false">IF(BW936=0,0,IF(N(S936)&gt;0,S936,IFERROR(VLOOKUP(D936,Parameter!$A$35:$C$64,3,0)+0,0)))</f>
        <v>0</v>
      </c>
      <c r="CB936" s="48" t="n">
        <f aca="false">IF(AA936&lt;&gt;"",AA936,Z936)</f>
        <v>3</v>
      </c>
      <c r="CC936" s="48" t="str">
        <f aca="false">IF(OR(CB936=1,CB936=2,CB936=3),IF(Parameter!$E$27="Ja","LIFT",IF(CB936=1,"L1","L23")),IF(CB936="Aussen","Aussen","-"))</f>
        <v>LIFT</v>
      </c>
      <c r="CD936" s="59" t="n">
        <f aca="false">IF(N(AB936)&gt;0,AB936,0)</f>
        <v>0</v>
      </c>
      <c r="CE936" s="53" t="n">
        <f aca="false">IF(ISNUMBER(AE936),1,0)</f>
        <v>0</v>
      </c>
      <c r="CF936" s="50" t="n">
        <f aca="false">N(AE936)</f>
        <v>0</v>
      </c>
      <c r="CG936" s="50" t="n">
        <f aca="false">N(M936)+N(N936)</f>
        <v>1</v>
      </c>
      <c r="CH936" s="50" t="n">
        <f aca="false">ROUNDUP(H936/BV936,0)</f>
        <v>1</v>
      </c>
      <c r="CI936" s="50" t="n">
        <f aca="false">ROUNDUP(CF936/BV936,0)</f>
        <v>0</v>
      </c>
      <c r="CJ936" s="53" t="n">
        <f aca="false">IF(BW936=1,0,IFERROR(VLOOKUP(BU936,'Gebinde-Kategorie'!$A$5:$N$45,5,0)+0,0))</f>
        <v>11</v>
      </c>
      <c r="CK936" s="53" t="n">
        <f aca="false">IFERROR(IF(OR(CB936=1,CB936=2,CB936=3),N(INDEX(Parameter!$I$5:$I$7,CB936)),0),0)</f>
        <v>0</v>
      </c>
      <c r="CL936" s="52" t="n">
        <f aca="false">IF(AND(Parameter!$B$21="Ja",ISNUMBER(W936),N(X936)&gt;0),IFERROR(N(INDEX(Parameter!$L$5:$L$7,W936))*INDEX(Parameter!$E$5:$E$7,W936)*X936/SUMIFS($X$7:$X$1843,$W$7:$W$1843,W936),0),0)</f>
        <v>0</v>
      </c>
    </row>
    <row r="937" customFormat="false" ht="15" hidden="false" customHeight="false" outlineLevel="0" collapsed="false">
      <c r="A937" s="48" t="s">
        <v>1753</v>
      </c>
      <c r="B937" s="48" t="s">
        <v>1754</v>
      </c>
      <c r="C937" s="48" t="s">
        <v>168</v>
      </c>
      <c r="D937" s="48" t="s">
        <v>188</v>
      </c>
      <c r="E937" s="48" t="s">
        <v>189</v>
      </c>
      <c r="F937" s="48" t="s">
        <v>222</v>
      </c>
      <c r="G937" s="49" t="n">
        <v>9</v>
      </c>
      <c r="H937" s="50" t="n">
        <f aca="false">MAX(0,IF(AND(Parameter!$B$21="Ja",ISNUMBER(Y937)),Y937,IF(Parameter!$B$20="Jahresanfang 2025 + Export",BO937+BN937,BN937)))</f>
        <v>3</v>
      </c>
      <c r="I937" s="50" t="n">
        <f aca="false">H937*G937</f>
        <v>27</v>
      </c>
      <c r="J937" s="50" t="n">
        <f aca="false">BQ937*Parameter!$B$18</f>
        <v>0</v>
      </c>
      <c r="K937" s="51" t="n">
        <v>6.5</v>
      </c>
      <c r="L937" s="52" t="n">
        <v>0</v>
      </c>
      <c r="M937" s="50" t="n">
        <v>0</v>
      </c>
      <c r="N937" s="50" t="n">
        <v>1</v>
      </c>
      <c r="O937" s="53" t="n">
        <v>14</v>
      </c>
      <c r="P937" s="48" t="s">
        <v>172</v>
      </c>
      <c r="Q937" s="50"/>
      <c r="R937" s="53" t="n">
        <f aca="false">IF(BW937=1,0,IFERROR(VLOOKUP(BU937,'Gebinde-Kategorie'!$A$5:$N$45,13,0)+0,0))</f>
        <v>26</v>
      </c>
      <c r="S937" s="54"/>
      <c r="T937" s="55" t="s">
        <v>279</v>
      </c>
      <c r="U937" s="55"/>
      <c r="V937" s="55"/>
      <c r="W937" s="48"/>
      <c r="X937" s="50"/>
      <c r="Y937" s="50"/>
      <c r="Z937" s="48" t="n">
        <f aca="false">IF(A937="","",IF(AND(Parameter!$B$21="Ja",ISNUMBER(W937)),W937,IF(BZ937="2+3",IF(ISNUMBER(SEARCH("grosser Artikel",BR937)),2,IFERROR(VLOOKUP(BU937,Parameter!$F$35:$G$64,2,0),2)),IF(OR(BZ937="Nein",BZ937=""),"-",BZ937))))</f>
        <v>3</v>
      </c>
      <c r="AA937" s="55"/>
      <c r="AB937" s="56"/>
      <c r="AC937" s="50" t="n">
        <f aca="false">AT937</f>
        <v>20</v>
      </c>
      <c r="AD937" s="50" t="n">
        <f aca="false">MAX(AT937,H937)</f>
        <v>20</v>
      </c>
      <c r="AE937" s="57"/>
      <c r="AF937" s="50" t="n">
        <f aca="false">IF(LEFT(Cockpit!$C$5,1)="A",H937,IF(CE937=1,CF937,IF(LEFT(Cockpit!$C$5,1)="B",AK937,MAX(AK937,H937))))</f>
        <v>3</v>
      </c>
      <c r="AG937" s="50" t="n">
        <f aca="false">IF(BW937=1,0,ROUNDUP(AF937/BV937,0))</f>
        <v>1</v>
      </c>
      <c r="AH937" s="52" t="n">
        <f aca="false">IF(CL937&gt;0,CL937*MAX(1,AF937/X937),IF(BW937=1,IF(AF937&lt;=0,0,CA937*MAX(1,IF(H937&gt;0,AF937/H937,1))),IF(R937&gt;0,AG937/R937,0))/MAX(0.1,N(Parameter!$M$21)))</f>
        <v>0.0384615384615385</v>
      </c>
      <c r="AI937" s="50" t="n">
        <f aca="false">AH937*BY937</f>
        <v>5.96153846153846</v>
      </c>
      <c r="AJ937" s="50" t="n">
        <f aca="false">AF937*G937</f>
        <v>27</v>
      </c>
      <c r="AK937" s="50" t="n">
        <f aca="false">ROUNDUP(MAX(J937/IF(CD937&gt;0,CD937,MAX(0.1,N(Cockpit!$C$6))),CG937)/BV937,0)*BV937</f>
        <v>20</v>
      </c>
      <c r="AL937" s="51" t="n">
        <f aca="false">IF(AI937&gt;0,J937/AI937,-1)</f>
        <v>0</v>
      </c>
      <c r="AM937" s="51" t="n">
        <f aca="false">IF(AND(OR(CC937="L1",CC937="L23",CC937="LIFT"),AI937&gt;0),SUMIFS($AI$7:$AI$1843,$CC$7:$CC$1843,CC937,$AL$7:$AL$1843,"&gt;"&amp;AL937)+SUMIFS($AI$7:$AI$1843,$CC$7:$CC$1843,CC937,$AL$7:$AL$1843,AL937,$BT$7:$BT$1843,"&lt;="&amp;BT937),"")</f>
        <v>28877.215827487</v>
      </c>
      <c r="AN937" s="58" t="n">
        <f aca="false">IF(AM937="",0,MAX(0,MIN(1,(IF(CC937="L1",Parameter!$H$5,IF(CC937="L23",Parameter!$H$6+Parameter!$H$7,Parameter!$H$5+Parameter!$H$6+Parameter!$H$7))-(AM937-AI937))/AI937)))</f>
        <v>1</v>
      </c>
      <c r="AO937" s="50" t="n">
        <f aca="false">IF(LEFT(Cockpit!$I$5,1)="A",H937,IF(CE937=1,CF937,IF(LEFT(Cockpit!$I$5,1)="B",AT937,MAX(AT937,H937))))</f>
        <v>20</v>
      </c>
      <c r="AP937" s="50" t="n">
        <f aca="false">IF(BW937=1,0,ROUNDUP(AO937/BV937,0))</f>
        <v>1</v>
      </c>
      <c r="AQ937" s="52" t="n">
        <f aca="false">IF(CL937&gt;0,CL937*MAX(1,AO937/X937),IF(BW937=1,IF(AO937&lt;=0,0,CA937*MAX(1,IF(H937&gt;0,AO937/H937,1))),IF(R937&gt;0,AP937/R937,0))/MAX(0.1,N(Parameter!$M$21)))</f>
        <v>0.0384615384615385</v>
      </c>
      <c r="AR937" s="50" t="n">
        <f aca="false">AQ937*BY937</f>
        <v>5.96153846153846</v>
      </c>
      <c r="AS937" s="50" t="n">
        <f aca="false">AO937*G937</f>
        <v>180</v>
      </c>
      <c r="AT937" s="50" t="n">
        <f aca="false">ROUNDUP(MAX(J937/IF(CD937&gt;0,CD937,MAX(0.1,N(Cockpit!$I$6))),CG937)/BV937,0)*BV937</f>
        <v>20</v>
      </c>
      <c r="AU937" s="51" t="n">
        <f aca="false">IF(AR937&gt;0,J937/AR937,-1)</f>
        <v>0</v>
      </c>
      <c r="AV937" s="51" t="n">
        <f aca="false">IF(AND(OR(CC937="L1",CC937="L23",CC937="LIFT"),AR937&gt;0),SUMIFS($AR$7:$AR$1843,$CC$7:$CC$1843,CC937,$AU$7:$AU$1843,"&gt;"&amp;AU937)+SUMIFS($AR$7:$AR$1843,$CC$7:$CC$1843,CC937,$AU$7:$AU$1843,AU937,$BT$7:$BT$1843,"&lt;="&amp;BT937),"")</f>
        <v>40505.4592568449</v>
      </c>
      <c r="AW937" s="58" t="n">
        <f aca="false">IF(AV937="",0,MAX(0,MIN(1,(IF(CC937="L1",Parameter!$H$5,IF(CC937="L23",Parameter!$H$6+Parameter!$H$7,Parameter!$H$5+Parameter!$H$6+Parameter!$H$7))-(AV937-AR937))/AR937)))</f>
        <v>0</v>
      </c>
      <c r="AX937" s="50" t="n">
        <f aca="false">IF(LEFT(Cockpit!$O$5,1)="A",H937,IF(CE937=1,CF937,IF(LEFT(Cockpit!$O$5,1)="B",BC937,MAX(BC937,H937))))</f>
        <v>20</v>
      </c>
      <c r="AY937" s="50" t="n">
        <f aca="false">IF(BW937=1,0,ROUNDUP(AX937/BV937,0))</f>
        <v>1</v>
      </c>
      <c r="AZ937" s="52" t="n">
        <f aca="false">IF(CL937&gt;0,CL937*MAX(1,AX937/X937),IF(BW937=1,IF(AX937&lt;=0,0,CA937*MAX(1,IF(H937&gt;0,AX937/H937,1))),IF(R937&gt;0,AY937/R937,0))/MAX(0.1,N(Parameter!$M$21)))</f>
        <v>0.0384615384615385</v>
      </c>
      <c r="BA937" s="50" t="n">
        <f aca="false">AZ937*BY937</f>
        <v>5.96153846153846</v>
      </c>
      <c r="BB937" s="50" t="n">
        <f aca="false">AX937*G937</f>
        <v>180</v>
      </c>
      <c r="BC937" s="50" t="n">
        <f aca="false">ROUNDUP(MAX(J937/IF(CD937&gt;0,CD937,MAX(0.1,N(Cockpit!$O$6))),CG937)/BV937,0)*BV937</f>
        <v>20</v>
      </c>
      <c r="BD937" s="51" t="n">
        <f aca="false">IF(BA937&gt;0,J937/BA937,-1)</f>
        <v>0</v>
      </c>
      <c r="BE937" s="51" t="n">
        <f aca="false">IF(AND(OR(CC937="L1",CC937="L23",CC937="LIFT"),BA937&gt;0),SUMIFS($BA$7:$BA$1843,$CC$7:$CC$1843,CC937,$BD$7:$BD$1843,"&gt;"&amp;BD937)+SUMIFS($BA$7:$BA$1843,$CC$7:$CC$1843,CC937,$BD$7:$BD$1843,BD937,$BT$7:$BT$1843,"&lt;="&amp;BT937),"")</f>
        <v>37180.4712987107</v>
      </c>
      <c r="BF937" s="58" t="n">
        <f aca="false">IF(BE937="",0,MAX(0,MIN(1,(IF(CC937="L1",Parameter!$H$5,IF(CC937="L23",Parameter!$H$6+Parameter!$H$7,Parameter!$H$5+Parameter!$H$6+Parameter!$H$7))-(BE937-BA937))/BA937)))</f>
        <v>0</v>
      </c>
      <c r="BG937" s="48" t="str">
        <f aca="false">IF(AI937&lt;=0,"",IF(CC937="Aussen","Aussenlager",IF(CC937="-","Nicht im Lift",IF(AN937&gt;=1,"Lift",IF(AN937&lt;=0,"Aussenlager","teilweise")))))</f>
        <v>Lift</v>
      </c>
      <c r="BH937" s="48" t="str">
        <f aca="false">IF(AR937&lt;=0,"",IF(CC937="Aussen","Aussenlager",IF(CC937="-","Nicht im Lift",IF(AW937&gt;=1,"Lift",IF(AW937&lt;=0,"Aussenlager","teilweise")))))</f>
        <v>Aussenlager</v>
      </c>
      <c r="BI937" s="48" t="str">
        <f aca="false">IF(BA937&lt;=0,"",IF(CC937="Aussen","Aussenlager",IF(CC937="-","Nicht im Lift",IF(BF937&gt;=1,"Lift",IF(BF937&lt;=0,"Aussenlager","teilweise")))))</f>
        <v>Aussenlager</v>
      </c>
      <c r="BJ937" s="48" t="str">
        <f aca="false">IF(A937="","",IF(BS937=1,"Neu; ","")&amp;IF(AND(BS937=0,BN937&lt;0),"negativer Bestand (Export "&amp;BN937&amp;"); ","")&amp;IF(J937&lt;=0,"Kein Verbrauch; ","")&amp;IF(CL937&gt;0,"Lift "&amp;W937&amp;" lt. Liftbericht (Fach "&amp;X937&amp;" Stk); ",IF(BX937=1,"Gebinde geschätzt ("&amp;T937&amp;"); ",IF(BW937=1,"Lose – Tablare geschätzt; ","")))&amp;IF(H937&gt;AT937,"Überbestand "&amp;ROUND(H937-AT937,0)&amp;" Stk / CHF "&amp;ROUND((H937-AT937)*G937,0)&amp;"; ","")&amp;IF(AND(CE937=1,CF937&lt;CG937),"MAX &lt; MB+LG; ","")&amp;IF(AND(CK937&gt;0,CJ937*10&gt;CK937),"zu hoch für Tablar; ","")&amp;IF(AND(BS937=0,OR(CE937=1,AA937&lt;&gt;"",U937&lt;&gt;"",V937&lt;&gt;"",AB937&lt;&gt;"")),"manuell übersteuert; ","")&amp;IF(AND(BW937=0,R937=0),"Gebinde unbekannt / Stellmass fehlt; ","")&amp;IF(AND(BW937=0,N(V937)&lt;=0,N(Q937)&lt;=0),"Menge pro Gebinde fehlt (Ist = 1 Gebinde); ","")&amp;BR937)</f>
        <v>negativer Bestand (Export -7); Kein Verbrauch; Gebinde geschätzt (Klein); Menge pro Gebinde fehlt (Ist = 1 Gebinde); Verb.Lager; nicht im KTL vorhanden</v>
      </c>
      <c r="BK937" s="48"/>
      <c r="BL937" s="48"/>
      <c r="BM937" s="55"/>
      <c r="BN937" s="50" t="n">
        <v>-7</v>
      </c>
      <c r="BO937" s="50" t="n">
        <v>10</v>
      </c>
      <c r="BP937" s="49" t="n">
        <v>-52.5</v>
      </c>
      <c r="BQ937" s="50" t="n">
        <v>0</v>
      </c>
      <c r="BR937" s="48" t="s">
        <v>1755</v>
      </c>
      <c r="BS937" s="53" t="n">
        <v>0</v>
      </c>
      <c r="BT937" s="53" t="n">
        <v>937</v>
      </c>
      <c r="BU937" s="48" t="str">
        <f aca="false">IF(U937&lt;&gt;"",UPPER(TRIM(U937)),IF(BX937=1,UPPER(VLOOKUP(T937,Parameter!$I$27:$K$29,2,0)),IF(P937="","LOSE",P937)))</f>
        <v>S51</v>
      </c>
      <c r="BV937" s="50" t="n">
        <f aca="false">IF(BU937="LOSE",1,IF(N(V937)&gt;0,V937,IF(BX937=1,MAX(1,N(VLOOKUP(T937,Parameter!$I$27:$K$29,3,0)),H937,N(N937)),IF(N(Q937)&gt;0,Q937,MAX(1,H937)))))</f>
        <v>20</v>
      </c>
      <c r="BW937" s="53" t="n">
        <f aca="false">IF(BU937="LOSE",1,0)</f>
        <v>0</v>
      </c>
      <c r="BX937" s="53" t="n">
        <f aca="false">IF(AND(U937="",OR(P937="",P937="LOSE"),T937&lt;&gt;"",N(S937)&lt;=0,ISNUMBER(MATCH(T937,Parameter!$I$27:$I$29,0))),1,0)</f>
        <v>1</v>
      </c>
      <c r="BY937" s="53" t="n">
        <f aca="false">IF(CL937&gt;0,INDEX(Parameter!$H$5:$H$7,W937)/INDEX(Parameter!$E$5:$E$7,W937),IF(AND(BW937=0,N(IFERROR(VLOOKUP(BU937,'Gebinde-Kategorie'!$A$5:$N$45,14,0),0))&gt;0),VLOOKUP(BU937,'Gebinde-Kategorie'!$A$5:$N$45,14,0)*10+Parameter!$M$23,Parameter!$M$24))</f>
        <v>155</v>
      </c>
      <c r="BZ937" s="48" t="str">
        <f aca="false">IF(AND(Parameter!$B$19="Ja",E937&lt;&gt;"",ISNUMBER(MATCH(E937,Parameter!$I$35:$I$52,0))),VLOOKUP(E937,Parameter!$I$35:$J$52,2,0),IFERROR(VLOOKUP(D937,Parameter!$A$35:$C$64,2,0),"Nein"))</f>
        <v>2+3</v>
      </c>
      <c r="CA937" s="52" t="n">
        <f aca="false">IF(BW937=0,0,IF(N(S937)&gt;0,S937,IFERROR(VLOOKUP(D937,Parameter!$A$35:$C$64,3,0)+0,0)))</f>
        <v>0</v>
      </c>
      <c r="CB937" s="48" t="n">
        <f aca="false">IF(AA937&lt;&gt;"",AA937,Z937)</f>
        <v>3</v>
      </c>
      <c r="CC937" s="48" t="str">
        <f aca="false">IF(OR(CB937=1,CB937=2,CB937=3),IF(Parameter!$E$27="Ja","LIFT",IF(CB937=1,"L1","L23")),IF(CB937="Aussen","Aussen","-"))</f>
        <v>LIFT</v>
      </c>
      <c r="CD937" s="59" t="n">
        <f aca="false">IF(N(AB937)&gt;0,AB937,0)</f>
        <v>0</v>
      </c>
      <c r="CE937" s="53" t="n">
        <f aca="false">IF(ISNUMBER(AE937),1,0)</f>
        <v>0</v>
      </c>
      <c r="CF937" s="50" t="n">
        <f aca="false">N(AE937)</f>
        <v>0</v>
      </c>
      <c r="CG937" s="50" t="n">
        <f aca="false">N(M937)+N(N937)</f>
        <v>1</v>
      </c>
      <c r="CH937" s="50" t="n">
        <f aca="false">ROUNDUP(H937/BV937,0)</f>
        <v>1</v>
      </c>
      <c r="CI937" s="50" t="n">
        <f aca="false">ROUNDUP(CF937/BV937,0)</f>
        <v>0</v>
      </c>
      <c r="CJ937" s="53" t="n">
        <f aca="false">IF(BW937=1,0,IFERROR(VLOOKUP(BU937,'Gebinde-Kategorie'!$A$5:$N$45,5,0)+0,0))</f>
        <v>11</v>
      </c>
      <c r="CK937" s="53" t="n">
        <f aca="false">IFERROR(IF(OR(CB937=1,CB937=2,CB937=3),N(INDEX(Parameter!$I$5:$I$7,CB937)),0),0)</f>
        <v>0</v>
      </c>
      <c r="CL937" s="52" t="n">
        <f aca="false">IF(AND(Parameter!$B$21="Ja",ISNUMBER(W937),N(X937)&gt;0),IFERROR(N(INDEX(Parameter!$L$5:$L$7,W937))*INDEX(Parameter!$E$5:$E$7,W937)*X937/SUMIFS($X$7:$X$1843,$W$7:$W$1843,W937),0),0)</f>
        <v>0</v>
      </c>
    </row>
    <row r="938" customFormat="false" ht="15" hidden="false" customHeight="false" outlineLevel="0" collapsed="false">
      <c r="A938" s="48" t="s">
        <v>1756</v>
      </c>
      <c r="B938" s="48" t="s">
        <v>812</v>
      </c>
      <c r="C938" s="48" t="s">
        <v>168</v>
      </c>
      <c r="D938" s="48" t="s">
        <v>188</v>
      </c>
      <c r="E938" s="48" t="s">
        <v>189</v>
      </c>
      <c r="F938" s="48" t="s">
        <v>222</v>
      </c>
      <c r="G938" s="49" t="n">
        <v>3.68</v>
      </c>
      <c r="H938" s="50" t="n">
        <f aca="false">MAX(0,IF(AND(Parameter!$B$21="Ja",ISNUMBER(Y938)),Y938,IF(Parameter!$B$20="Jahresanfang 2025 + Export",BO938+BN938,BN938)))</f>
        <v>24</v>
      </c>
      <c r="I938" s="50" t="n">
        <f aca="false">H938*G938</f>
        <v>88.32</v>
      </c>
      <c r="J938" s="50" t="n">
        <f aca="false">BQ938*Parameter!$B$18</f>
        <v>65</v>
      </c>
      <c r="K938" s="51" t="n">
        <v>55.5</v>
      </c>
      <c r="L938" s="52" t="n">
        <v>1.17117117117117</v>
      </c>
      <c r="M938" s="50" t="n">
        <v>2</v>
      </c>
      <c r="N938" s="50" t="n">
        <v>65</v>
      </c>
      <c r="O938" s="53" t="n">
        <v>14</v>
      </c>
      <c r="P938" s="48" t="s">
        <v>430</v>
      </c>
      <c r="Q938" s="50" t="n">
        <v>60</v>
      </c>
      <c r="R938" s="53" t="n">
        <f aca="false">IF(BW938=1,0,IFERROR(VLOOKUP(BU938,'Gebinde-Kategorie'!$A$5:$N$45,13,0)+0,0))</f>
        <v>140</v>
      </c>
      <c r="S938" s="54"/>
      <c r="T938" s="55"/>
      <c r="U938" s="55"/>
      <c r="V938" s="55"/>
      <c r="W938" s="48"/>
      <c r="X938" s="50"/>
      <c r="Y938" s="50"/>
      <c r="Z938" s="48" t="n">
        <f aca="false">IF(A938="","",IF(AND(Parameter!$B$21="Ja",ISNUMBER(W938)),W938,IF(BZ938="2+3",IF(ISNUMBER(SEARCH("grosser Artikel",BR938)),2,IFERROR(VLOOKUP(BU938,Parameter!$F$35:$G$64,2,0),2)),IF(OR(BZ938="Nein",BZ938=""),"-",BZ938))))</f>
        <v>3</v>
      </c>
      <c r="AA938" s="55"/>
      <c r="AB938" s="56"/>
      <c r="AC938" s="50" t="n">
        <f aca="false">AT938</f>
        <v>120</v>
      </c>
      <c r="AD938" s="50" t="n">
        <f aca="false">MAX(AT938,H938)</f>
        <v>120</v>
      </c>
      <c r="AE938" s="57"/>
      <c r="AF938" s="50" t="n">
        <f aca="false">IF(LEFT(Cockpit!$C$5,1)="A",H938,IF(CE938=1,CF938,IF(LEFT(Cockpit!$C$5,1)="B",AK938,MAX(AK938,H938))))</f>
        <v>24</v>
      </c>
      <c r="AG938" s="50" t="n">
        <f aca="false">IF(BW938=1,0,ROUNDUP(AF938/BV938,0))</f>
        <v>1</v>
      </c>
      <c r="AH938" s="52" t="n">
        <f aca="false">IF(CL938&gt;0,CL938*MAX(1,AF938/X938),IF(BW938=1,IF(AF938&lt;=0,0,CA938*MAX(1,IF(H938&gt;0,AF938/H938,1))),IF(R938&gt;0,AG938/R938,0))/MAX(0.1,N(Parameter!$M$21)))</f>
        <v>0.00714285714285714</v>
      </c>
      <c r="AI938" s="50" t="n">
        <f aca="false">AH938*BY938</f>
        <v>1.10714285714286</v>
      </c>
      <c r="AJ938" s="50" t="n">
        <f aca="false">AF938*G938</f>
        <v>88.32</v>
      </c>
      <c r="AK938" s="50" t="n">
        <f aca="false">ROUNDUP(MAX(J938/IF(CD938&gt;0,CD938,MAX(0.1,N(Cockpit!$C$6))),CG938)/BV938,0)*BV938</f>
        <v>120</v>
      </c>
      <c r="AL938" s="51" t="n">
        <f aca="false">IF(AI938&gt;0,J938/AI938,-1)</f>
        <v>58.7096774193548</v>
      </c>
      <c r="AM938" s="51" t="n">
        <f aca="false">IF(AND(OR(CC938="L1",CC938="L23",CC938="LIFT"),AI938&gt;0),SUMIFS($AI$7:$AI$1843,$CC$7:$CC$1843,CC938,$AL$7:$AL$1843,"&gt;"&amp;AL938)+SUMIFS($AI$7:$AI$1843,$CC$7:$CC$1843,CC938,$AL$7:$AL$1843,AL938,$BT$7:$BT$1843,"&lt;="&amp;BT938),"")</f>
        <v>992.498626373626</v>
      </c>
      <c r="AN938" s="58" t="n">
        <f aca="false">IF(AM938="",0,MAX(0,MIN(1,(IF(CC938="L1",Parameter!$H$5,IF(CC938="L23",Parameter!$H$6+Parameter!$H$7,Parameter!$H$5+Parameter!$H$6+Parameter!$H$7))-(AM938-AI938))/AI938)))</f>
        <v>1</v>
      </c>
      <c r="AO938" s="50" t="n">
        <f aca="false">IF(LEFT(Cockpit!$I$5,1)="A",H938,IF(CE938=1,CF938,IF(LEFT(Cockpit!$I$5,1)="B",AT938,MAX(AT938,H938))))</f>
        <v>120</v>
      </c>
      <c r="AP938" s="50" t="n">
        <f aca="false">IF(BW938=1,0,ROUNDUP(AO938/BV938,0))</f>
        <v>2</v>
      </c>
      <c r="AQ938" s="52" t="n">
        <f aca="false">IF(CL938&gt;0,CL938*MAX(1,AO938/X938),IF(BW938=1,IF(AO938&lt;=0,0,CA938*MAX(1,IF(H938&gt;0,AO938/H938,1))),IF(R938&gt;0,AP938/R938,0))/MAX(0.1,N(Parameter!$M$21)))</f>
        <v>0.0142857142857143</v>
      </c>
      <c r="AR938" s="50" t="n">
        <f aca="false">AQ938*BY938</f>
        <v>2.21428571428571</v>
      </c>
      <c r="AS938" s="50" t="n">
        <f aca="false">AO938*G938</f>
        <v>441.6</v>
      </c>
      <c r="AT938" s="50" t="n">
        <f aca="false">ROUNDUP(MAX(J938/IF(CD938&gt;0,CD938,MAX(0.1,N(Cockpit!$I$6))),CG938)/BV938,0)*BV938</f>
        <v>120</v>
      </c>
      <c r="AU938" s="51" t="n">
        <f aca="false">IF(AR938&gt;0,J938/AR938,-1)</f>
        <v>29.3548387096774</v>
      </c>
      <c r="AV938" s="51" t="n">
        <f aca="false">IF(AND(OR(CC938="L1",CC938="L23",CC938="LIFT"),AR938&gt;0),SUMIFS($AR$7:$AR$1843,$CC$7:$CC$1843,CC938,$AU$7:$AU$1843,"&gt;"&amp;AU938)+SUMIFS($AR$7:$AR$1843,$CC$7:$CC$1843,CC938,$AU$7:$AU$1843,AU938,$BT$7:$BT$1843,"&lt;="&amp;BT938),"")</f>
        <v>2004.00778388278</v>
      </c>
      <c r="AW938" s="58" t="n">
        <f aca="false">IF(AV938="",0,MAX(0,MIN(1,(IF(CC938="L1",Parameter!$H$5,IF(CC938="L23",Parameter!$H$6+Parameter!$H$7,Parameter!$H$5+Parameter!$H$6+Parameter!$H$7))-(AV938-AR938))/AR938)))</f>
        <v>1</v>
      </c>
      <c r="AX938" s="50" t="n">
        <f aca="false">IF(LEFT(Cockpit!$O$5,1)="A",H938,IF(CE938=1,CF938,IF(LEFT(Cockpit!$O$5,1)="B",BC938,MAX(BC938,H938))))</f>
        <v>120</v>
      </c>
      <c r="AY938" s="50" t="n">
        <f aca="false">IF(BW938=1,0,ROUNDUP(AX938/BV938,0))</f>
        <v>2</v>
      </c>
      <c r="AZ938" s="52" t="n">
        <f aca="false">IF(CL938&gt;0,CL938*MAX(1,AX938/X938),IF(BW938=1,IF(AX938&lt;=0,0,CA938*MAX(1,IF(H938&gt;0,AX938/H938,1))),IF(R938&gt;0,AY938/R938,0))/MAX(0.1,N(Parameter!$M$21)))</f>
        <v>0.0142857142857143</v>
      </c>
      <c r="BA938" s="50" t="n">
        <f aca="false">AZ938*BY938</f>
        <v>2.21428571428571</v>
      </c>
      <c r="BB938" s="50" t="n">
        <f aca="false">AX938*G938</f>
        <v>441.6</v>
      </c>
      <c r="BC938" s="50" t="n">
        <f aca="false">ROUNDUP(MAX(J938/IF(CD938&gt;0,CD938,MAX(0.1,N(Cockpit!$O$6))),CG938)/BV938,0)*BV938</f>
        <v>120</v>
      </c>
      <c r="BD938" s="51" t="n">
        <f aca="false">IF(BA938&gt;0,J938/BA938,-1)</f>
        <v>29.3548387096774</v>
      </c>
      <c r="BE938" s="51" t="n">
        <f aca="false">IF(AND(OR(CC938="L1",CC938="L23",CC938="LIFT"),BA938&gt;0),SUMIFS($BA$7:$BA$1843,$CC$7:$CC$1843,CC938,$BD$7:$BD$1843,"&gt;"&amp;BD938)+SUMIFS($BA$7:$BA$1843,$CC$7:$CC$1843,CC938,$BD$7:$BD$1843,BD938,$BT$7:$BT$1843,"&lt;="&amp;BT938),"")</f>
        <v>1888.35073260073</v>
      </c>
      <c r="BF938" s="58" t="n">
        <f aca="false">IF(BE938="",0,MAX(0,MIN(1,(IF(CC938="L1",Parameter!$H$5,IF(CC938="L23",Parameter!$H$6+Parameter!$H$7,Parameter!$H$5+Parameter!$H$6+Parameter!$H$7))-(BE938-BA938))/BA938)))</f>
        <v>1</v>
      </c>
      <c r="BG938" s="48" t="str">
        <f aca="false">IF(AI938&lt;=0,"",IF(CC938="Aussen","Aussenlager",IF(CC938="-","Nicht im Lift",IF(AN938&gt;=1,"Lift",IF(AN938&lt;=0,"Aussenlager","teilweise")))))</f>
        <v>Lift</v>
      </c>
      <c r="BH938" s="48" t="str">
        <f aca="false">IF(AR938&lt;=0,"",IF(CC938="Aussen","Aussenlager",IF(CC938="-","Nicht im Lift",IF(AW938&gt;=1,"Lift",IF(AW938&lt;=0,"Aussenlager","teilweise")))))</f>
        <v>Lift</v>
      </c>
      <c r="BI938" s="48" t="str">
        <f aca="false">IF(BA938&lt;=0,"",IF(CC938="Aussen","Aussenlager",IF(CC938="-","Nicht im Lift",IF(BF938&gt;=1,"Lift",IF(BF938&lt;=0,"Aussenlager","teilweise")))))</f>
        <v>Lift</v>
      </c>
      <c r="BJ938" s="48" t="str">
        <f aca="false">IF(A938="","",IF(BS938=1,"Neu; ","")&amp;IF(AND(BS938=0,BN938&lt;0),"negativer Bestand (Export "&amp;BN938&amp;"); ","")&amp;IF(J938&lt;=0,"Kein Verbrauch; ","")&amp;IF(CL938&gt;0,"Lift "&amp;W938&amp;" lt. Liftbericht (Fach "&amp;X938&amp;" Stk); ",IF(BX938=1,"Gebinde geschätzt ("&amp;T938&amp;"); ",IF(BW938=1,"Lose – Tablare geschätzt; ","")))&amp;IF(H938&gt;AT938,"Überbestand "&amp;ROUND(H938-AT938,0)&amp;" Stk / CHF "&amp;ROUND((H938-AT938)*G938,0)&amp;"; ","")&amp;IF(AND(CE938=1,CF938&lt;CG938),"MAX &lt; MB+LG; ","")&amp;IF(AND(CK938&gt;0,CJ938*10&gt;CK938),"zu hoch für Tablar; ","")&amp;IF(AND(BS938=0,OR(CE938=1,AA938&lt;&gt;"",U938&lt;&gt;"",V938&lt;&gt;"",AB938&lt;&gt;"")),"manuell übersteuert; ","")&amp;IF(AND(BW938=0,R938=0),"Gebinde unbekannt / Stellmass fehlt; ","")&amp;IF(AND(BW938=0,N(V938)&lt;=0,N(Q938)&lt;=0),"Menge pro Gebinde fehlt (Ist = 1 Gebinde); ","")&amp;BR938)</f>
        <v>negativer Bestand (Export -15); </v>
      </c>
      <c r="BK938" s="48"/>
      <c r="BL938" s="48"/>
      <c r="BM938" s="55"/>
      <c r="BN938" s="50" t="n">
        <v>-15</v>
      </c>
      <c r="BO938" s="50" t="n">
        <v>39</v>
      </c>
      <c r="BP938" s="49" t="n">
        <v>-53.22</v>
      </c>
      <c r="BQ938" s="50" t="n">
        <v>65</v>
      </c>
      <c r="BR938" s="48"/>
      <c r="BS938" s="53" t="n">
        <v>0</v>
      </c>
      <c r="BT938" s="53" t="n">
        <v>938</v>
      </c>
      <c r="BU938" s="48" t="str">
        <f aca="false">IF(U938&lt;&gt;"",UPPER(TRIM(U938)),IF(BX938=1,UPPER(VLOOKUP(T938,Parameter!$I$27:$K$29,2,0)),IF(P938="","LOSE",P938)))</f>
        <v>S22</v>
      </c>
      <c r="BV938" s="50" t="n">
        <f aca="false">IF(BU938="LOSE",1,IF(N(V938)&gt;0,V938,IF(BX938=1,MAX(1,N(VLOOKUP(T938,Parameter!$I$27:$K$29,3,0)),H938,N(N938)),IF(N(Q938)&gt;0,Q938,MAX(1,H938)))))</f>
        <v>60</v>
      </c>
      <c r="BW938" s="53" t="n">
        <f aca="false">IF(BU938="LOSE",1,0)</f>
        <v>0</v>
      </c>
      <c r="BX938" s="53" t="n">
        <f aca="false">IF(AND(U938="",OR(P938="",P938="LOSE"),T938&lt;&gt;"",N(S938)&lt;=0,ISNUMBER(MATCH(T938,Parameter!$I$27:$I$29,0))),1,0)</f>
        <v>0</v>
      </c>
      <c r="BY938" s="53" t="n">
        <f aca="false">IF(CL938&gt;0,INDEX(Parameter!$H$5:$H$7,W938)/INDEX(Parameter!$E$5:$E$7,W938),IF(AND(BW938=0,N(IFERROR(VLOOKUP(BU938,'Gebinde-Kategorie'!$A$5:$N$45,14,0),0))&gt;0),VLOOKUP(BU938,'Gebinde-Kategorie'!$A$5:$N$45,14,0)*10+Parameter!$M$23,Parameter!$M$24))</f>
        <v>155</v>
      </c>
      <c r="BZ938" s="48" t="str">
        <f aca="false">IF(AND(Parameter!$B$19="Ja",E938&lt;&gt;"",ISNUMBER(MATCH(E938,Parameter!$I$35:$I$52,0))),VLOOKUP(E938,Parameter!$I$35:$J$52,2,0),IFERROR(VLOOKUP(D938,Parameter!$A$35:$C$64,2,0),"Nein"))</f>
        <v>2+3</v>
      </c>
      <c r="CA938" s="52" t="n">
        <f aca="false">IF(BW938=0,0,IF(N(S938)&gt;0,S938,IFERROR(VLOOKUP(D938,Parameter!$A$35:$C$64,3,0)+0,0)))</f>
        <v>0</v>
      </c>
      <c r="CB938" s="48" t="n">
        <f aca="false">IF(AA938&lt;&gt;"",AA938,Z938)</f>
        <v>3</v>
      </c>
      <c r="CC938" s="48" t="str">
        <f aca="false">IF(OR(CB938=1,CB938=2,CB938=3),IF(Parameter!$E$27="Ja","LIFT",IF(CB938=1,"L1","L23")),IF(CB938="Aussen","Aussen","-"))</f>
        <v>LIFT</v>
      </c>
      <c r="CD938" s="59" t="n">
        <f aca="false">IF(N(AB938)&gt;0,AB938,0)</f>
        <v>0</v>
      </c>
      <c r="CE938" s="53" t="n">
        <f aca="false">IF(ISNUMBER(AE938),1,0)</f>
        <v>0</v>
      </c>
      <c r="CF938" s="50" t="n">
        <f aca="false">N(AE938)</f>
        <v>0</v>
      </c>
      <c r="CG938" s="50" t="n">
        <f aca="false">N(M938)+N(N938)</f>
        <v>67</v>
      </c>
      <c r="CH938" s="50" t="n">
        <f aca="false">ROUNDUP(H938/BV938,0)</f>
        <v>1</v>
      </c>
      <c r="CI938" s="50" t="n">
        <f aca="false">ROUNDUP(CF938/BV938,0)</f>
        <v>0</v>
      </c>
      <c r="CJ938" s="53" t="n">
        <f aca="false">IF(BW938=1,0,IFERROR(VLOOKUP(BU938,'Gebinde-Kategorie'!$A$5:$N$45,5,0)+0,0))</f>
        <v>8</v>
      </c>
      <c r="CK938" s="53" t="n">
        <f aca="false">IFERROR(IF(OR(CB938=1,CB938=2,CB938=3),N(INDEX(Parameter!$I$5:$I$7,CB938)),0),0)</f>
        <v>0</v>
      </c>
      <c r="CL938" s="52" t="n">
        <f aca="false">IF(AND(Parameter!$B$21="Ja",ISNUMBER(W938),N(X938)&gt;0),IFERROR(N(INDEX(Parameter!$L$5:$L$7,W938))*INDEX(Parameter!$E$5:$E$7,W938)*X938/SUMIFS($X$7:$X$1843,$W$7:$W$1843,W938),0),0)</f>
        <v>0</v>
      </c>
    </row>
    <row r="939" customFormat="false" ht="15" hidden="false" customHeight="false" outlineLevel="0" collapsed="false">
      <c r="A939" s="48" t="s">
        <v>1757</v>
      </c>
      <c r="B939" s="48" t="s">
        <v>593</v>
      </c>
      <c r="C939" s="48" t="s">
        <v>168</v>
      </c>
      <c r="D939" s="48" t="s">
        <v>188</v>
      </c>
      <c r="E939" s="48" t="s">
        <v>189</v>
      </c>
      <c r="F939" s="48" t="s">
        <v>222</v>
      </c>
      <c r="G939" s="49" t="n">
        <v>17.75</v>
      </c>
      <c r="H939" s="50" t="n">
        <f aca="false">MAX(0,IF(AND(Parameter!$B$21="Ja",ISNUMBER(Y939)),Y939,IF(Parameter!$B$20="Jahresanfang 2025 + Export",BO939+BN939,BN939)))</f>
        <v>48</v>
      </c>
      <c r="I939" s="50" t="n">
        <f aca="false">H939*G939</f>
        <v>852</v>
      </c>
      <c r="J939" s="50" t="n">
        <f aca="false">BQ939*Parameter!$B$18</f>
        <v>15</v>
      </c>
      <c r="K939" s="51" t="n">
        <v>49.5</v>
      </c>
      <c r="L939" s="52" t="n">
        <v>0.303030303030303</v>
      </c>
      <c r="M939" s="50" t="n">
        <v>1</v>
      </c>
      <c r="N939" s="50" t="n">
        <v>15</v>
      </c>
      <c r="O939" s="53" t="n">
        <v>28</v>
      </c>
      <c r="P939" s="48" t="s">
        <v>430</v>
      </c>
      <c r="Q939" s="50" t="n">
        <v>64</v>
      </c>
      <c r="R939" s="53" t="n">
        <f aca="false">IF(BW939=1,0,IFERROR(VLOOKUP(BU939,'Gebinde-Kategorie'!$A$5:$N$45,13,0)+0,0))</f>
        <v>140</v>
      </c>
      <c r="S939" s="54"/>
      <c r="T939" s="55"/>
      <c r="U939" s="55"/>
      <c r="V939" s="55"/>
      <c r="W939" s="48"/>
      <c r="X939" s="50"/>
      <c r="Y939" s="50"/>
      <c r="Z939" s="48" t="n">
        <f aca="false">IF(A939="","",IF(AND(Parameter!$B$21="Ja",ISNUMBER(W939)),W939,IF(BZ939="2+3",IF(ISNUMBER(SEARCH("grosser Artikel",BR939)),2,IFERROR(VLOOKUP(BU939,Parameter!$F$35:$G$64,2,0),2)),IF(OR(BZ939="Nein",BZ939=""),"-",BZ939))))</f>
        <v>3</v>
      </c>
      <c r="AA939" s="55"/>
      <c r="AB939" s="56"/>
      <c r="AC939" s="50" t="n">
        <f aca="false">AT939</f>
        <v>64</v>
      </c>
      <c r="AD939" s="50" t="n">
        <f aca="false">MAX(AT939,H939)</f>
        <v>64</v>
      </c>
      <c r="AE939" s="57"/>
      <c r="AF939" s="50" t="n">
        <f aca="false">IF(LEFT(Cockpit!$C$5,1)="A",H939,IF(CE939=1,CF939,IF(LEFT(Cockpit!$C$5,1)="B",AK939,MAX(AK939,H939))))</f>
        <v>48</v>
      </c>
      <c r="AG939" s="50" t="n">
        <f aca="false">IF(BW939=1,0,ROUNDUP(AF939/BV939,0))</f>
        <v>1</v>
      </c>
      <c r="AH939" s="52" t="n">
        <f aca="false">IF(CL939&gt;0,CL939*MAX(1,AF939/X939),IF(BW939=1,IF(AF939&lt;=0,0,CA939*MAX(1,IF(H939&gt;0,AF939/H939,1))),IF(R939&gt;0,AG939/R939,0))/MAX(0.1,N(Parameter!$M$21)))</f>
        <v>0.00714285714285714</v>
      </c>
      <c r="AI939" s="50" t="n">
        <f aca="false">AH939*BY939</f>
        <v>1.10714285714286</v>
      </c>
      <c r="AJ939" s="50" t="n">
        <f aca="false">AF939*G939</f>
        <v>852</v>
      </c>
      <c r="AK939" s="50" t="n">
        <f aca="false">ROUNDUP(MAX(J939/IF(CD939&gt;0,CD939,MAX(0.1,N(Cockpit!$C$6))),CG939)/BV939,0)*BV939</f>
        <v>64</v>
      </c>
      <c r="AL939" s="51" t="n">
        <f aca="false">IF(AI939&gt;0,J939/AI939,-1)</f>
        <v>13.5483870967742</v>
      </c>
      <c r="AM939" s="51" t="n">
        <f aca="false">IF(AND(OR(CC939="L1",CC939="L23",CC939="LIFT"),AI939&gt;0),SUMIFS($AI$7:$AI$1843,$CC$7:$CC$1843,CC939,$AL$7:$AL$1843,"&gt;"&amp;AL939)+SUMIFS($AI$7:$AI$1843,$CC$7:$CC$1843,CC939,$AL$7:$AL$1843,AL939,$BT$7:$BT$1843,"&lt;="&amp;BT939),"")</f>
        <v>2341.72893772894</v>
      </c>
      <c r="AN939" s="58" t="n">
        <f aca="false">IF(AM939="",0,MAX(0,MIN(1,(IF(CC939="L1",Parameter!$H$5,IF(CC939="L23",Parameter!$H$6+Parameter!$H$7,Parameter!$H$5+Parameter!$H$6+Parameter!$H$7))-(AM939-AI939))/AI939)))</f>
        <v>1</v>
      </c>
      <c r="AO939" s="50" t="n">
        <f aca="false">IF(LEFT(Cockpit!$I$5,1)="A",H939,IF(CE939=1,CF939,IF(LEFT(Cockpit!$I$5,1)="B",AT939,MAX(AT939,H939))))</f>
        <v>64</v>
      </c>
      <c r="AP939" s="50" t="n">
        <f aca="false">IF(BW939=1,0,ROUNDUP(AO939/BV939,0))</f>
        <v>1</v>
      </c>
      <c r="AQ939" s="52" t="n">
        <f aca="false">IF(CL939&gt;0,CL939*MAX(1,AO939/X939),IF(BW939=1,IF(AO939&lt;=0,0,CA939*MAX(1,IF(H939&gt;0,AO939/H939,1))),IF(R939&gt;0,AP939/R939,0))/MAX(0.1,N(Parameter!$M$21)))</f>
        <v>0.00714285714285714</v>
      </c>
      <c r="AR939" s="50" t="n">
        <f aca="false">AQ939*BY939</f>
        <v>1.10714285714286</v>
      </c>
      <c r="AS939" s="50" t="n">
        <f aca="false">AO939*G939</f>
        <v>1136</v>
      </c>
      <c r="AT939" s="50" t="n">
        <f aca="false">ROUNDUP(MAX(J939/IF(CD939&gt;0,CD939,MAX(0.1,N(Cockpit!$I$6))),CG939)/BV939,0)*BV939</f>
        <v>64</v>
      </c>
      <c r="AU939" s="51" t="n">
        <f aca="false">IF(AR939&gt;0,J939/AR939,-1)</f>
        <v>13.5483870967742</v>
      </c>
      <c r="AV939" s="51" t="n">
        <f aca="false">IF(AND(OR(CC939="L1",CC939="L23",CC939="LIFT"),AR939&gt;0),SUMIFS($AR$7:$AR$1843,$CC$7:$CC$1843,CC939,$AU$7:$AU$1843,"&gt;"&amp;AU939)+SUMIFS($AR$7:$AR$1843,$CC$7:$CC$1843,CC939,$AU$7:$AU$1843,AU939,$BT$7:$BT$1843,"&lt;="&amp;BT939),"")</f>
        <v>3521.82554945055</v>
      </c>
      <c r="AW939" s="58" t="n">
        <f aca="false">IF(AV939="",0,MAX(0,MIN(1,(IF(CC939="L1",Parameter!$H$5,IF(CC939="L23",Parameter!$H$6+Parameter!$H$7,Parameter!$H$5+Parameter!$H$6+Parameter!$H$7))-(AV939-AR939))/AR939)))</f>
        <v>1</v>
      </c>
      <c r="AX939" s="50" t="n">
        <f aca="false">IF(LEFT(Cockpit!$O$5,1)="A",H939,IF(CE939=1,CF939,IF(LEFT(Cockpit!$O$5,1)="B",BC939,MAX(BC939,H939))))</f>
        <v>64</v>
      </c>
      <c r="AY939" s="50" t="n">
        <f aca="false">IF(BW939=1,0,ROUNDUP(AX939/BV939,0))</f>
        <v>1</v>
      </c>
      <c r="AZ939" s="52" t="n">
        <f aca="false">IF(CL939&gt;0,CL939*MAX(1,AX939/X939),IF(BW939=1,IF(AX939&lt;=0,0,CA939*MAX(1,IF(H939&gt;0,AX939/H939,1))),IF(R939&gt;0,AY939/R939,0))/MAX(0.1,N(Parameter!$M$21)))</f>
        <v>0.00714285714285714</v>
      </c>
      <c r="BA939" s="50" t="n">
        <f aca="false">AZ939*BY939</f>
        <v>1.10714285714286</v>
      </c>
      <c r="BB939" s="50" t="n">
        <f aca="false">AX939*G939</f>
        <v>1136</v>
      </c>
      <c r="BC939" s="50" t="n">
        <f aca="false">ROUNDUP(MAX(J939/IF(CD939&gt;0,CD939,MAX(0.1,N(Cockpit!$O$6))),CG939)/BV939,0)*BV939</f>
        <v>64</v>
      </c>
      <c r="BD939" s="51" t="n">
        <f aca="false">IF(BA939&gt;0,J939/BA939,-1)</f>
        <v>13.5483870967742</v>
      </c>
      <c r="BE939" s="51" t="n">
        <f aca="false">IF(AND(OR(CC939="L1",CC939="L23",CC939="LIFT"),BA939&gt;0),SUMIFS($BA$7:$BA$1843,$CC$7:$CC$1843,CC939,$BD$7:$BD$1843,"&gt;"&amp;BD939)+SUMIFS($BA$7:$BA$1843,$CC$7:$CC$1843,CC939,$BD$7:$BD$1843,BD939,$BT$7:$BT$1843,"&lt;="&amp;BT939),"")</f>
        <v>3178.38003663004</v>
      </c>
      <c r="BF939" s="58" t="n">
        <f aca="false">IF(BE939="",0,MAX(0,MIN(1,(IF(CC939="L1",Parameter!$H$5,IF(CC939="L23",Parameter!$H$6+Parameter!$H$7,Parameter!$H$5+Parameter!$H$6+Parameter!$H$7))-(BE939-BA939))/BA939)))</f>
        <v>1</v>
      </c>
      <c r="BG939" s="48" t="str">
        <f aca="false">IF(AI939&lt;=0,"",IF(CC939="Aussen","Aussenlager",IF(CC939="-","Nicht im Lift",IF(AN939&gt;=1,"Lift",IF(AN939&lt;=0,"Aussenlager","teilweise")))))</f>
        <v>Lift</v>
      </c>
      <c r="BH939" s="48" t="str">
        <f aca="false">IF(AR939&lt;=0,"",IF(CC939="Aussen","Aussenlager",IF(CC939="-","Nicht im Lift",IF(AW939&gt;=1,"Lift",IF(AW939&lt;=0,"Aussenlager","teilweise")))))</f>
        <v>Lift</v>
      </c>
      <c r="BI939" s="48" t="str">
        <f aca="false">IF(BA939&lt;=0,"",IF(CC939="Aussen","Aussenlager",IF(CC939="-","Nicht im Lift",IF(BF939&gt;=1,"Lift",IF(BF939&lt;=0,"Aussenlager","teilweise")))))</f>
        <v>Lift</v>
      </c>
      <c r="BJ939" s="48" t="str">
        <f aca="false">IF(A939="","",IF(BS939=1,"Neu; ","")&amp;IF(AND(BS939=0,BN939&lt;0),"negativer Bestand (Export "&amp;BN939&amp;"); ","")&amp;IF(J939&lt;=0,"Kein Verbrauch; ","")&amp;IF(CL939&gt;0,"Lift "&amp;W939&amp;" lt. Liftbericht (Fach "&amp;X939&amp;" Stk); ",IF(BX939=1,"Gebinde geschätzt ("&amp;T939&amp;"); ",IF(BW939=1,"Lose – Tablare geschätzt; ","")))&amp;IF(H939&gt;AT939,"Überbestand "&amp;ROUND(H939-AT939,0)&amp;" Stk / CHF "&amp;ROUND((H939-AT939)*G939,0)&amp;"; ","")&amp;IF(AND(CE939=1,CF939&lt;CG939),"MAX &lt; MB+LG; ","")&amp;IF(AND(CK939&gt;0,CJ939*10&gt;CK939),"zu hoch für Tablar; ","")&amp;IF(AND(BS939=0,OR(CE939=1,AA939&lt;&gt;"",U939&lt;&gt;"",V939&lt;&gt;"",AB939&lt;&gt;"")),"manuell übersteuert; ","")&amp;IF(AND(BW939=0,R939=0),"Gebinde unbekannt / Stellmass fehlt; ","")&amp;IF(AND(BW939=0,N(V939)&lt;=0,N(Q939)&lt;=0),"Menge pro Gebinde fehlt (Ist = 1 Gebinde); ","")&amp;BR939)</f>
        <v>negativer Bestand (Export -3); twin</v>
      </c>
      <c r="BK939" s="48"/>
      <c r="BL939" s="48"/>
      <c r="BM939" s="55"/>
      <c r="BN939" s="50" t="n">
        <v>-3</v>
      </c>
      <c r="BO939" s="50" t="n">
        <v>51</v>
      </c>
      <c r="BP939" s="49" t="n">
        <v>-53.25</v>
      </c>
      <c r="BQ939" s="50" t="n">
        <v>15</v>
      </c>
      <c r="BR939" s="48" t="s">
        <v>1745</v>
      </c>
      <c r="BS939" s="53" t="n">
        <v>0</v>
      </c>
      <c r="BT939" s="53" t="n">
        <v>939</v>
      </c>
      <c r="BU939" s="48" t="str">
        <f aca="false">IF(U939&lt;&gt;"",UPPER(TRIM(U939)),IF(BX939=1,UPPER(VLOOKUP(T939,Parameter!$I$27:$K$29,2,0)),IF(P939="","LOSE",P939)))</f>
        <v>S22</v>
      </c>
      <c r="BV939" s="50" t="n">
        <f aca="false">IF(BU939="LOSE",1,IF(N(V939)&gt;0,V939,IF(BX939=1,MAX(1,N(VLOOKUP(T939,Parameter!$I$27:$K$29,3,0)),H939,N(N939)),IF(N(Q939)&gt;0,Q939,MAX(1,H939)))))</f>
        <v>64</v>
      </c>
      <c r="BW939" s="53" t="n">
        <f aca="false">IF(BU939="LOSE",1,0)</f>
        <v>0</v>
      </c>
      <c r="BX939" s="53" t="n">
        <f aca="false">IF(AND(U939="",OR(P939="",P939="LOSE"),T939&lt;&gt;"",N(S939)&lt;=0,ISNUMBER(MATCH(T939,Parameter!$I$27:$I$29,0))),1,0)</f>
        <v>0</v>
      </c>
      <c r="BY939" s="53" t="n">
        <f aca="false">IF(CL939&gt;0,INDEX(Parameter!$H$5:$H$7,W939)/INDEX(Parameter!$E$5:$E$7,W939),IF(AND(BW939=0,N(IFERROR(VLOOKUP(BU939,'Gebinde-Kategorie'!$A$5:$N$45,14,0),0))&gt;0),VLOOKUP(BU939,'Gebinde-Kategorie'!$A$5:$N$45,14,0)*10+Parameter!$M$23,Parameter!$M$24))</f>
        <v>155</v>
      </c>
      <c r="BZ939" s="48" t="str">
        <f aca="false">IF(AND(Parameter!$B$19="Ja",E939&lt;&gt;"",ISNUMBER(MATCH(E939,Parameter!$I$35:$I$52,0))),VLOOKUP(E939,Parameter!$I$35:$J$52,2,0),IFERROR(VLOOKUP(D939,Parameter!$A$35:$C$64,2,0),"Nein"))</f>
        <v>2+3</v>
      </c>
      <c r="CA939" s="52" t="n">
        <f aca="false">IF(BW939=0,0,IF(N(S939)&gt;0,S939,IFERROR(VLOOKUP(D939,Parameter!$A$35:$C$64,3,0)+0,0)))</f>
        <v>0</v>
      </c>
      <c r="CB939" s="48" t="n">
        <f aca="false">IF(AA939&lt;&gt;"",AA939,Z939)</f>
        <v>3</v>
      </c>
      <c r="CC939" s="48" t="str">
        <f aca="false">IF(OR(CB939=1,CB939=2,CB939=3),IF(Parameter!$E$27="Ja","LIFT",IF(CB939=1,"L1","L23")),IF(CB939="Aussen","Aussen","-"))</f>
        <v>LIFT</v>
      </c>
      <c r="CD939" s="59" t="n">
        <f aca="false">IF(N(AB939)&gt;0,AB939,0)</f>
        <v>0</v>
      </c>
      <c r="CE939" s="53" t="n">
        <f aca="false">IF(ISNUMBER(AE939),1,0)</f>
        <v>0</v>
      </c>
      <c r="CF939" s="50" t="n">
        <f aca="false">N(AE939)</f>
        <v>0</v>
      </c>
      <c r="CG939" s="50" t="n">
        <f aca="false">N(M939)+N(N939)</f>
        <v>16</v>
      </c>
      <c r="CH939" s="50" t="n">
        <f aca="false">ROUNDUP(H939/BV939,0)</f>
        <v>1</v>
      </c>
      <c r="CI939" s="50" t="n">
        <f aca="false">ROUNDUP(CF939/BV939,0)</f>
        <v>0</v>
      </c>
      <c r="CJ939" s="53" t="n">
        <f aca="false">IF(BW939=1,0,IFERROR(VLOOKUP(BU939,'Gebinde-Kategorie'!$A$5:$N$45,5,0)+0,0))</f>
        <v>8</v>
      </c>
      <c r="CK939" s="53" t="n">
        <f aca="false">IFERROR(IF(OR(CB939=1,CB939=2,CB939=3),N(INDEX(Parameter!$I$5:$I$7,CB939)),0),0)</f>
        <v>0</v>
      </c>
      <c r="CL939" s="52" t="n">
        <f aca="false">IF(AND(Parameter!$B$21="Ja",ISNUMBER(W939),N(X939)&gt;0),IFERROR(N(INDEX(Parameter!$L$5:$L$7,W939))*INDEX(Parameter!$E$5:$E$7,W939)*X939/SUMIFS($X$7:$X$1843,$W$7:$W$1843,W939),0),0)</f>
        <v>0</v>
      </c>
    </row>
    <row r="940" customFormat="false" ht="15" hidden="false" customHeight="false" outlineLevel="0" collapsed="false">
      <c r="A940" s="48" t="s">
        <v>1758</v>
      </c>
      <c r="B940" s="48" t="s">
        <v>1759</v>
      </c>
      <c r="C940" s="48" t="s">
        <v>460</v>
      </c>
      <c r="D940" s="48" t="s">
        <v>188</v>
      </c>
      <c r="E940" s="48"/>
      <c r="F940" s="48" t="s">
        <v>222</v>
      </c>
      <c r="G940" s="49" t="n">
        <v>7.7</v>
      </c>
      <c r="H940" s="50" t="n">
        <f aca="false">MAX(0,IF(AND(Parameter!$B$21="Ja",ISNUMBER(Y940)),Y940,IF(Parameter!$B$20="Jahresanfang 2025 + Export",BO940+BN940,BN940)))</f>
        <v>7</v>
      </c>
      <c r="I940" s="50" t="n">
        <f aca="false">H940*G940</f>
        <v>53.9</v>
      </c>
      <c r="J940" s="50" t="n">
        <f aca="false">BQ940*Parameter!$B$18</f>
        <v>7</v>
      </c>
      <c r="K940" s="51" t="n">
        <v>7</v>
      </c>
      <c r="L940" s="52" t="n">
        <v>1</v>
      </c>
      <c r="M940" s="50" t="n">
        <v>0</v>
      </c>
      <c r="N940" s="50" t="n">
        <v>5</v>
      </c>
      <c r="O940" s="53" t="n">
        <v>21</v>
      </c>
      <c r="P940" s="48" t="s">
        <v>172</v>
      </c>
      <c r="Q940" s="50"/>
      <c r="R940" s="53" t="n">
        <f aca="false">IF(BW940=1,0,IFERROR(VLOOKUP(BU940,'Gebinde-Kategorie'!$A$5:$N$45,13,0)+0,0))</f>
        <v>26</v>
      </c>
      <c r="S940" s="54"/>
      <c r="T940" s="55" t="s">
        <v>279</v>
      </c>
      <c r="U940" s="55"/>
      <c r="V940" s="55"/>
      <c r="W940" s="48"/>
      <c r="X940" s="50"/>
      <c r="Y940" s="50"/>
      <c r="Z940" s="48" t="n">
        <f aca="false">IF(A940="","",IF(AND(Parameter!$B$21="Ja",ISNUMBER(W940)),W940,IF(BZ940="2+3",IF(ISNUMBER(SEARCH("grosser Artikel",BR940)),2,IFERROR(VLOOKUP(BU940,Parameter!$F$35:$G$64,2,0),2)),IF(OR(BZ940="Nein",BZ940=""),"-",BZ940))))</f>
        <v>3</v>
      </c>
      <c r="AA940" s="55"/>
      <c r="AB940" s="56"/>
      <c r="AC940" s="50" t="n">
        <f aca="false">AT940</f>
        <v>20</v>
      </c>
      <c r="AD940" s="50" t="n">
        <f aca="false">MAX(AT940,H940)</f>
        <v>20</v>
      </c>
      <c r="AE940" s="57"/>
      <c r="AF940" s="50" t="n">
        <f aca="false">IF(LEFT(Cockpit!$C$5,1)="A",H940,IF(CE940=1,CF940,IF(LEFT(Cockpit!$C$5,1)="B",AK940,MAX(AK940,H940))))</f>
        <v>7</v>
      </c>
      <c r="AG940" s="50" t="n">
        <f aca="false">IF(BW940=1,0,ROUNDUP(AF940/BV940,0))</f>
        <v>1</v>
      </c>
      <c r="AH940" s="52" t="n">
        <f aca="false">IF(CL940&gt;0,CL940*MAX(1,AF940/X940),IF(BW940=1,IF(AF940&lt;=0,0,CA940*MAX(1,IF(H940&gt;0,AF940/H940,1))),IF(R940&gt;0,AG940/R940,0))/MAX(0.1,N(Parameter!$M$21)))</f>
        <v>0.0384615384615385</v>
      </c>
      <c r="AI940" s="50" t="n">
        <f aca="false">AH940*BY940</f>
        <v>5.96153846153846</v>
      </c>
      <c r="AJ940" s="50" t="n">
        <f aca="false">AF940*G940</f>
        <v>53.9</v>
      </c>
      <c r="AK940" s="50" t="n">
        <f aca="false">ROUNDUP(MAX(J940/IF(CD940&gt;0,CD940,MAX(0.1,N(Cockpit!$C$6))),CG940)/BV940,0)*BV940</f>
        <v>20</v>
      </c>
      <c r="AL940" s="51" t="n">
        <f aca="false">IF(AI940&gt;0,J940/AI940,-1)</f>
        <v>1.1741935483871</v>
      </c>
      <c r="AM940" s="51" t="n">
        <f aca="false">IF(AND(OR(CC940="L1",CC940="L23",CC940="LIFT"),AI940&gt;0),SUMIFS($AI$7:$AI$1843,$CC$7:$CC$1843,CC940,$AL$7:$AL$1843,"&gt;"&amp;AL940)+SUMIFS($AI$7:$AI$1843,$CC$7:$CC$1843,CC940,$AL$7:$AL$1843,AL940,$BT$7:$BT$1843,"&lt;="&amp;BT940),"")</f>
        <v>6703.51968864469</v>
      </c>
      <c r="AN940" s="58" t="n">
        <f aca="false">IF(AM940="",0,MAX(0,MIN(1,(IF(CC940="L1",Parameter!$H$5,IF(CC940="L23",Parameter!$H$6+Parameter!$H$7,Parameter!$H$5+Parameter!$H$6+Parameter!$H$7))-(AM940-AI940))/AI940)))</f>
        <v>1</v>
      </c>
      <c r="AO940" s="50" t="n">
        <f aca="false">IF(LEFT(Cockpit!$I$5,1)="A",H940,IF(CE940=1,CF940,IF(LEFT(Cockpit!$I$5,1)="B",AT940,MAX(AT940,H940))))</f>
        <v>20</v>
      </c>
      <c r="AP940" s="50" t="n">
        <f aca="false">IF(BW940=1,0,ROUNDUP(AO940/BV940,0))</f>
        <v>1</v>
      </c>
      <c r="AQ940" s="52" t="n">
        <f aca="false">IF(CL940&gt;0,CL940*MAX(1,AO940/X940),IF(BW940=1,IF(AO940&lt;=0,0,CA940*MAX(1,IF(H940&gt;0,AO940/H940,1))),IF(R940&gt;0,AP940/R940,0))/MAX(0.1,N(Parameter!$M$21)))</f>
        <v>0.0384615384615385</v>
      </c>
      <c r="AR940" s="50" t="n">
        <f aca="false">AQ940*BY940</f>
        <v>5.96153846153846</v>
      </c>
      <c r="AS940" s="50" t="n">
        <f aca="false">AO940*G940</f>
        <v>154</v>
      </c>
      <c r="AT940" s="50" t="n">
        <f aca="false">ROUNDUP(MAX(J940/IF(CD940&gt;0,CD940,MAX(0.1,N(Cockpit!$I$6))),CG940)/BV940,0)*BV940</f>
        <v>20</v>
      </c>
      <c r="AU940" s="51" t="n">
        <f aca="false">IF(AR940&gt;0,J940/AR940,-1)</f>
        <v>1.1741935483871</v>
      </c>
      <c r="AV940" s="51" t="n">
        <f aca="false">IF(AND(OR(CC940="L1",CC940="L23",CC940="LIFT"),AR940&gt;0),SUMIFS($AR$7:$AR$1843,$CC$7:$CC$1843,CC940,$AU$7:$AU$1843,"&gt;"&amp;AU940)+SUMIFS($AR$7:$AR$1843,$CC$7:$CC$1843,CC940,$AU$7:$AU$1843,AU940,$BT$7:$BT$1843,"&lt;="&amp;BT940),"")</f>
        <v>9845.25732600733</v>
      </c>
      <c r="AW940" s="58" t="n">
        <f aca="false">IF(AV940="",0,MAX(0,MIN(1,(IF(CC940="L1",Parameter!$H$5,IF(CC940="L23",Parameter!$H$6+Parameter!$H$7,Parameter!$H$5+Parameter!$H$6+Parameter!$H$7))-(AV940-AR940))/AR940)))</f>
        <v>1</v>
      </c>
      <c r="AX940" s="50" t="n">
        <f aca="false">IF(LEFT(Cockpit!$O$5,1)="A",H940,IF(CE940=1,CF940,IF(LEFT(Cockpit!$O$5,1)="B",BC940,MAX(BC940,H940))))</f>
        <v>20</v>
      </c>
      <c r="AY940" s="50" t="n">
        <f aca="false">IF(BW940=1,0,ROUNDUP(AX940/BV940,0))</f>
        <v>1</v>
      </c>
      <c r="AZ940" s="52" t="n">
        <f aca="false">IF(CL940&gt;0,CL940*MAX(1,AX940/X940),IF(BW940=1,IF(AX940&lt;=0,0,CA940*MAX(1,IF(H940&gt;0,AX940/H940,1))),IF(R940&gt;0,AY940/R940,0))/MAX(0.1,N(Parameter!$M$21)))</f>
        <v>0.0384615384615385</v>
      </c>
      <c r="BA940" s="50" t="n">
        <f aca="false">AZ940*BY940</f>
        <v>5.96153846153846</v>
      </c>
      <c r="BB940" s="50" t="n">
        <f aca="false">AX940*G940</f>
        <v>154</v>
      </c>
      <c r="BC940" s="50" t="n">
        <f aca="false">ROUNDUP(MAX(J940/IF(CD940&gt;0,CD940,MAX(0.1,N(Cockpit!$O$6))),CG940)/BV940,0)*BV940</f>
        <v>20</v>
      </c>
      <c r="BD940" s="51" t="n">
        <f aca="false">IF(BA940&gt;0,J940/BA940,-1)</f>
        <v>1.1741935483871</v>
      </c>
      <c r="BE940" s="51" t="n">
        <f aca="false">IF(AND(OR(CC940="L1",CC940="L23",CC940="LIFT"),BA940&gt;0),SUMIFS($BA$7:$BA$1843,$CC$7:$CC$1843,CC940,$BD$7:$BD$1843,"&gt;"&amp;BD940)+SUMIFS($BA$7:$BA$1843,$CC$7:$CC$1843,CC940,$BD$7:$BD$1843,BD940,$BT$7:$BT$1843,"&lt;="&amp;BT940),"")</f>
        <v>8855.91437728938</v>
      </c>
      <c r="BF940" s="58" t="n">
        <f aca="false">IF(BE940="",0,MAX(0,MIN(1,(IF(CC940="L1",Parameter!$H$5,IF(CC940="L23",Parameter!$H$6+Parameter!$H$7,Parameter!$H$5+Parameter!$H$6+Parameter!$H$7))-(BE940-BA940))/BA940)))</f>
        <v>1</v>
      </c>
      <c r="BG940" s="48" t="str">
        <f aca="false">IF(AI940&lt;=0,"",IF(CC940="Aussen","Aussenlager",IF(CC940="-","Nicht im Lift",IF(AN940&gt;=1,"Lift",IF(AN940&lt;=0,"Aussenlager","teilweise")))))</f>
        <v>Lift</v>
      </c>
      <c r="BH940" s="48" t="str">
        <f aca="false">IF(AR940&lt;=0,"",IF(CC940="Aussen","Aussenlager",IF(CC940="-","Nicht im Lift",IF(AW940&gt;=1,"Lift",IF(AW940&lt;=0,"Aussenlager","teilweise")))))</f>
        <v>Lift</v>
      </c>
      <c r="BI940" s="48" t="str">
        <f aca="false">IF(BA940&lt;=0,"",IF(CC940="Aussen","Aussenlager",IF(CC940="-","Nicht im Lift",IF(BF940&gt;=1,"Lift",IF(BF940&lt;=0,"Aussenlager","teilweise")))))</f>
        <v>Lift</v>
      </c>
      <c r="BJ940" s="48" t="str">
        <f aca="false">IF(A940="","",IF(BS940=1,"Neu; ","")&amp;IF(AND(BS940=0,BN940&lt;0),"negativer Bestand (Export "&amp;BN940&amp;"); ","")&amp;IF(J940&lt;=0,"Kein Verbrauch; ","")&amp;IF(CL940&gt;0,"Lift "&amp;W940&amp;" lt. Liftbericht (Fach "&amp;X940&amp;" Stk); ",IF(BX940=1,"Gebinde geschätzt ("&amp;T940&amp;"); ",IF(BW940=1,"Lose – Tablare geschätzt; ","")))&amp;IF(H940&gt;AT940,"Überbestand "&amp;ROUND(H940-AT940,0)&amp;" Stk / CHF "&amp;ROUND((H940-AT940)*G940,0)&amp;"; ","")&amp;IF(AND(CE940=1,CF940&lt;CG940),"MAX &lt; MB+LG; ","")&amp;IF(AND(CK940&gt;0,CJ940*10&gt;CK940),"zu hoch für Tablar; ","")&amp;IF(AND(BS940=0,OR(CE940=1,AA940&lt;&gt;"",U940&lt;&gt;"",V940&lt;&gt;"",AB940&lt;&gt;"")),"manuell übersteuert; ","")&amp;IF(AND(BW940=0,R940=0),"Gebinde unbekannt / Stellmass fehlt; ","")&amp;IF(AND(BW940=0,N(V940)&lt;=0,N(Q940)&lt;=0),"Menge pro Gebinde fehlt (Ist = 1 Gebinde); ","")&amp;BR940)</f>
        <v>negativer Bestand (Export -7); Gebinde geschätzt (Klein); Menge pro Gebinde fehlt (Ist = 1 Gebinde); </v>
      </c>
      <c r="BK940" s="48"/>
      <c r="BL940" s="48"/>
      <c r="BM940" s="55"/>
      <c r="BN940" s="50" t="n">
        <v>-7</v>
      </c>
      <c r="BO940" s="50" t="n">
        <v>14</v>
      </c>
      <c r="BP940" s="49" t="n">
        <v>-53.9</v>
      </c>
      <c r="BQ940" s="50" t="n">
        <v>7</v>
      </c>
      <c r="BR940" s="48"/>
      <c r="BS940" s="53" t="n">
        <v>0</v>
      </c>
      <c r="BT940" s="53" t="n">
        <v>940</v>
      </c>
      <c r="BU940" s="48" t="str">
        <f aca="false">IF(U940&lt;&gt;"",UPPER(TRIM(U940)),IF(BX940=1,UPPER(VLOOKUP(T940,Parameter!$I$27:$K$29,2,0)),IF(P940="","LOSE",P940)))</f>
        <v>S51</v>
      </c>
      <c r="BV940" s="50" t="n">
        <f aca="false">IF(BU940="LOSE",1,IF(N(V940)&gt;0,V940,IF(BX940=1,MAX(1,N(VLOOKUP(T940,Parameter!$I$27:$K$29,3,0)),H940,N(N940)),IF(N(Q940)&gt;0,Q940,MAX(1,H940)))))</f>
        <v>20</v>
      </c>
      <c r="BW940" s="53" t="n">
        <f aca="false">IF(BU940="LOSE",1,0)</f>
        <v>0</v>
      </c>
      <c r="BX940" s="53" t="n">
        <f aca="false">IF(AND(U940="",OR(P940="",P940="LOSE"),T940&lt;&gt;"",N(S940)&lt;=0,ISNUMBER(MATCH(T940,Parameter!$I$27:$I$29,0))),1,0)</f>
        <v>1</v>
      </c>
      <c r="BY940" s="53" t="n">
        <f aca="false">IF(CL940&gt;0,INDEX(Parameter!$H$5:$H$7,W940)/INDEX(Parameter!$E$5:$E$7,W940),IF(AND(BW940=0,N(IFERROR(VLOOKUP(BU940,'Gebinde-Kategorie'!$A$5:$N$45,14,0),0))&gt;0),VLOOKUP(BU940,'Gebinde-Kategorie'!$A$5:$N$45,14,0)*10+Parameter!$M$23,Parameter!$M$24))</f>
        <v>155</v>
      </c>
      <c r="BZ940" s="48" t="str">
        <f aca="false">IF(AND(Parameter!$B$19="Ja",E940&lt;&gt;"",ISNUMBER(MATCH(E940,Parameter!$I$35:$I$52,0))),VLOOKUP(E940,Parameter!$I$35:$J$52,2,0),IFERROR(VLOOKUP(D940,Parameter!$A$35:$C$64,2,0),"Nein"))</f>
        <v>2+3</v>
      </c>
      <c r="CA940" s="52" t="n">
        <f aca="false">IF(BW940=0,0,IF(N(S940)&gt;0,S940,IFERROR(VLOOKUP(D940,Parameter!$A$35:$C$64,3,0)+0,0)))</f>
        <v>0</v>
      </c>
      <c r="CB940" s="48" t="n">
        <f aca="false">IF(AA940&lt;&gt;"",AA940,Z940)</f>
        <v>3</v>
      </c>
      <c r="CC940" s="48" t="str">
        <f aca="false">IF(OR(CB940=1,CB940=2,CB940=3),IF(Parameter!$E$27="Ja","LIFT",IF(CB940=1,"L1","L23")),IF(CB940="Aussen","Aussen","-"))</f>
        <v>LIFT</v>
      </c>
      <c r="CD940" s="59" t="n">
        <f aca="false">IF(N(AB940)&gt;0,AB940,0)</f>
        <v>0</v>
      </c>
      <c r="CE940" s="53" t="n">
        <f aca="false">IF(ISNUMBER(AE940),1,0)</f>
        <v>0</v>
      </c>
      <c r="CF940" s="50" t="n">
        <f aca="false">N(AE940)</f>
        <v>0</v>
      </c>
      <c r="CG940" s="50" t="n">
        <f aca="false">N(M940)+N(N940)</f>
        <v>5</v>
      </c>
      <c r="CH940" s="50" t="n">
        <f aca="false">ROUNDUP(H940/BV940,0)</f>
        <v>1</v>
      </c>
      <c r="CI940" s="50" t="n">
        <f aca="false">ROUNDUP(CF940/BV940,0)</f>
        <v>0</v>
      </c>
      <c r="CJ940" s="53" t="n">
        <f aca="false">IF(BW940=1,0,IFERROR(VLOOKUP(BU940,'Gebinde-Kategorie'!$A$5:$N$45,5,0)+0,0))</f>
        <v>11</v>
      </c>
      <c r="CK940" s="53" t="n">
        <f aca="false">IFERROR(IF(OR(CB940=1,CB940=2,CB940=3),N(INDEX(Parameter!$I$5:$I$7,CB940)),0),0)</f>
        <v>0</v>
      </c>
      <c r="CL940" s="52" t="n">
        <f aca="false">IF(AND(Parameter!$B$21="Ja",ISNUMBER(W940),N(X940)&gt;0),IFERROR(N(INDEX(Parameter!$L$5:$L$7,W940))*INDEX(Parameter!$E$5:$E$7,W940)*X940/SUMIFS($X$7:$X$1843,$W$7:$W$1843,W940),0),0)</f>
        <v>0</v>
      </c>
    </row>
    <row r="941" customFormat="false" ht="15" hidden="false" customHeight="false" outlineLevel="0" collapsed="false">
      <c r="A941" s="48" t="s">
        <v>1760</v>
      </c>
      <c r="B941" s="48" t="s">
        <v>409</v>
      </c>
      <c r="C941" s="48" t="s">
        <v>168</v>
      </c>
      <c r="D941" s="48" t="s">
        <v>188</v>
      </c>
      <c r="E941" s="48" t="s">
        <v>189</v>
      </c>
      <c r="F941" s="48" t="s">
        <v>222</v>
      </c>
      <c r="G941" s="49" t="n">
        <v>0.17</v>
      </c>
      <c r="H941" s="50" t="n">
        <f aca="false">MAX(0,IF(AND(Parameter!$B$21="Ja",ISNUMBER(Y941)),Y941,IF(Parameter!$B$20="Jahresanfang 2025 + Export",BO941+BN941,BN941)))</f>
        <v>179</v>
      </c>
      <c r="I941" s="50" t="n">
        <f aca="false">H941*G941</f>
        <v>30.43</v>
      </c>
      <c r="J941" s="50" t="n">
        <f aca="false">BQ941*Parameter!$B$18</f>
        <v>1200</v>
      </c>
      <c r="K941" s="51" t="n">
        <v>458</v>
      </c>
      <c r="L941" s="52" t="n">
        <v>2.62008733624454</v>
      </c>
      <c r="M941" s="50" t="n">
        <v>70</v>
      </c>
      <c r="N941" s="50" t="n">
        <v>600</v>
      </c>
      <c r="O941" s="53" t="n">
        <v>21</v>
      </c>
      <c r="P941" s="48" t="s">
        <v>237</v>
      </c>
      <c r="Q941" s="50" t="n">
        <v>884</v>
      </c>
      <c r="R941" s="53" t="n">
        <f aca="false">IF(BW941=1,0,IFERROR(VLOOKUP(BU941,'Gebinde-Kategorie'!$A$5:$N$45,13,0)+0,0))</f>
        <v>26</v>
      </c>
      <c r="S941" s="54"/>
      <c r="T941" s="55"/>
      <c r="U941" s="55"/>
      <c r="V941" s="55"/>
      <c r="W941" s="48"/>
      <c r="X941" s="50"/>
      <c r="Y941" s="50"/>
      <c r="Z941" s="48" t="n">
        <f aca="false">IF(A941="","",IF(AND(Parameter!$B$21="Ja",ISNUMBER(W941)),W941,IF(BZ941="2+3",IF(ISNUMBER(SEARCH("grosser Artikel",BR941)),2,IFERROR(VLOOKUP(BU941,Parameter!$F$35:$G$64,2,0),2)),IF(OR(BZ941="Nein",BZ941=""),"-",BZ941))))</f>
        <v>3</v>
      </c>
      <c r="AA941" s="55"/>
      <c r="AB941" s="56"/>
      <c r="AC941" s="50" t="n">
        <f aca="false">AT941</f>
        <v>884</v>
      </c>
      <c r="AD941" s="50" t="n">
        <f aca="false">MAX(AT941,H941)</f>
        <v>884</v>
      </c>
      <c r="AE941" s="57"/>
      <c r="AF941" s="50" t="n">
        <f aca="false">IF(LEFT(Cockpit!$C$5,1)="A",H941,IF(CE941=1,CF941,IF(LEFT(Cockpit!$C$5,1)="B",AK941,MAX(AK941,H941))))</f>
        <v>179</v>
      </c>
      <c r="AG941" s="50" t="n">
        <f aca="false">IF(BW941=1,0,ROUNDUP(AF941/BV941,0))</f>
        <v>1</v>
      </c>
      <c r="AH941" s="52" t="n">
        <f aca="false">IF(CL941&gt;0,CL941*MAX(1,AF941/X941),IF(BW941=1,IF(AF941&lt;=0,0,CA941*MAX(1,IF(H941&gt;0,AF941/H941,1))),IF(R941&gt;0,AG941/R941,0))/MAX(0.1,N(Parameter!$M$21)))</f>
        <v>0.0384615384615385</v>
      </c>
      <c r="AI941" s="50" t="n">
        <f aca="false">AH941*BY941</f>
        <v>9.42307692307692</v>
      </c>
      <c r="AJ941" s="50" t="n">
        <f aca="false">AF941*G941</f>
        <v>30.43</v>
      </c>
      <c r="AK941" s="50" t="n">
        <f aca="false">ROUNDUP(MAX(J941/IF(CD941&gt;0,CD941,MAX(0.1,N(Cockpit!$C$6))),CG941)/BV941,0)*BV941</f>
        <v>884</v>
      </c>
      <c r="AL941" s="51" t="n">
        <f aca="false">IF(AI941&gt;0,J941/AI941,-1)</f>
        <v>127.34693877551</v>
      </c>
      <c r="AM941" s="51" t="n">
        <f aca="false">IF(AND(OR(CC941="L1",CC941="L23",CC941="LIFT"),AI941&gt;0),SUMIFS($AI$7:$AI$1843,$CC$7:$CC$1843,CC941,$AL$7:$AL$1843,"&gt;"&amp;AL941)+SUMIFS($AI$7:$AI$1843,$CC$7:$CC$1843,CC941,$AL$7:$AL$1843,AL941,$BT$7:$BT$1843,"&lt;="&amp;BT941),"")</f>
        <v>650.43315018315</v>
      </c>
      <c r="AN941" s="58" t="n">
        <f aca="false">IF(AM941="",0,MAX(0,MIN(1,(IF(CC941="L1",Parameter!$H$5,IF(CC941="L23",Parameter!$H$6+Parameter!$H$7,Parameter!$H$5+Parameter!$H$6+Parameter!$H$7))-(AM941-AI941))/AI941)))</f>
        <v>1</v>
      </c>
      <c r="AO941" s="50" t="n">
        <f aca="false">IF(LEFT(Cockpit!$I$5,1)="A",H941,IF(CE941=1,CF941,IF(LEFT(Cockpit!$I$5,1)="B",AT941,MAX(AT941,H941))))</f>
        <v>884</v>
      </c>
      <c r="AP941" s="50" t="n">
        <f aca="false">IF(BW941=1,0,ROUNDUP(AO941/BV941,0))</f>
        <v>1</v>
      </c>
      <c r="AQ941" s="52" t="n">
        <f aca="false">IF(CL941&gt;0,CL941*MAX(1,AO941/X941),IF(BW941=1,IF(AO941&lt;=0,0,CA941*MAX(1,IF(H941&gt;0,AO941/H941,1))),IF(R941&gt;0,AP941/R941,0))/MAX(0.1,N(Parameter!$M$21)))</f>
        <v>0.0384615384615385</v>
      </c>
      <c r="AR941" s="50" t="n">
        <f aca="false">AQ941*BY941</f>
        <v>9.42307692307692</v>
      </c>
      <c r="AS941" s="50" t="n">
        <f aca="false">AO941*G941</f>
        <v>150.28</v>
      </c>
      <c r="AT941" s="50" t="n">
        <f aca="false">ROUNDUP(MAX(J941/IF(CD941&gt;0,CD941,MAX(0.1,N(Cockpit!$I$6))),CG941)/BV941,0)*BV941</f>
        <v>884</v>
      </c>
      <c r="AU941" s="51" t="n">
        <f aca="false">IF(AR941&gt;0,J941/AR941,-1)</f>
        <v>127.34693877551</v>
      </c>
      <c r="AV941" s="51" t="n">
        <f aca="false">IF(AND(OR(CC941="L1",CC941="L23",CC941="LIFT"),AR941&gt;0),SUMIFS($AR$7:$AR$1843,$CC$7:$CC$1843,CC941,$AU$7:$AU$1843,"&gt;"&amp;AU941)+SUMIFS($AR$7:$AR$1843,$CC$7:$CC$1843,CC941,$AU$7:$AU$1843,AU941,$BT$7:$BT$1843,"&lt;="&amp;BT941),"")</f>
        <v>775.846611721612</v>
      </c>
      <c r="AW941" s="58" t="n">
        <f aca="false">IF(AV941="",0,MAX(0,MIN(1,(IF(CC941="L1",Parameter!$H$5,IF(CC941="L23",Parameter!$H$6+Parameter!$H$7,Parameter!$H$5+Parameter!$H$6+Parameter!$H$7))-(AV941-AR941))/AR941)))</f>
        <v>1</v>
      </c>
      <c r="AX941" s="50" t="n">
        <f aca="false">IF(LEFT(Cockpit!$O$5,1)="A",H941,IF(CE941=1,CF941,IF(LEFT(Cockpit!$O$5,1)="B",BC941,MAX(BC941,H941))))</f>
        <v>884</v>
      </c>
      <c r="AY941" s="50" t="n">
        <f aca="false">IF(BW941=1,0,ROUNDUP(AX941/BV941,0))</f>
        <v>1</v>
      </c>
      <c r="AZ941" s="52" t="n">
        <f aca="false">IF(CL941&gt;0,CL941*MAX(1,AX941/X941),IF(BW941=1,IF(AX941&lt;=0,0,CA941*MAX(1,IF(H941&gt;0,AX941/H941,1))),IF(R941&gt;0,AY941/R941,0))/MAX(0.1,N(Parameter!$M$21)))</f>
        <v>0.0384615384615385</v>
      </c>
      <c r="BA941" s="50" t="n">
        <f aca="false">AZ941*BY941</f>
        <v>9.42307692307692</v>
      </c>
      <c r="BB941" s="50" t="n">
        <f aca="false">AX941*G941</f>
        <v>150.28</v>
      </c>
      <c r="BC941" s="50" t="n">
        <f aca="false">ROUNDUP(MAX(J941/IF(CD941&gt;0,CD941,MAX(0.1,N(Cockpit!$O$6))),CG941)/BV941,0)*BV941</f>
        <v>884</v>
      </c>
      <c r="BD941" s="51" t="n">
        <f aca="false">IF(BA941&gt;0,J941/BA941,-1)</f>
        <v>127.34693877551</v>
      </c>
      <c r="BE941" s="51" t="n">
        <f aca="false">IF(AND(OR(CC941="L1",CC941="L23",CC941="LIFT"),BA941&gt;0),SUMIFS($BA$7:$BA$1843,$CC$7:$CC$1843,CC941,$BD$7:$BD$1843,"&gt;"&amp;BD941)+SUMIFS($BA$7:$BA$1843,$CC$7:$CC$1843,CC941,$BD$7:$BD$1843,BD941,$BT$7:$BT$1843,"&lt;="&amp;BT941),"")</f>
        <v>720.285714285714</v>
      </c>
      <c r="BF941" s="58" t="n">
        <f aca="false">IF(BE941="",0,MAX(0,MIN(1,(IF(CC941="L1",Parameter!$H$5,IF(CC941="L23",Parameter!$H$6+Parameter!$H$7,Parameter!$H$5+Parameter!$H$6+Parameter!$H$7))-(BE941-BA941))/BA941)))</f>
        <v>1</v>
      </c>
      <c r="BG941" s="48" t="str">
        <f aca="false">IF(AI941&lt;=0,"",IF(CC941="Aussen","Aussenlager",IF(CC941="-","Nicht im Lift",IF(AN941&gt;=1,"Lift",IF(AN941&lt;=0,"Aussenlager","teilweise")))))</f>
        <v>Lift</v>
      </c>
      <c r="BH941" s="48" t="str">
        <f aca="false">IF(AR941&lt;=0,"",IF(CC941="Aussen","Aussenlager",IF(CC941="-","Nicht im Lift",IF(AW941&gt;=1,"Lift",IF(AW941&lt;=0,"Aussenlager","teilweise")))))</f>
        <v>Lift</v>
      </c>
      <c r="BI941" s="48" t="str">
        <f aca="false">IF(BA941&lt;=0,"",IF(CC941="Aussen","Aussenlager",IF(CC941="-","Nicht im Lift",IF(BF941&gt;=1,"Lift",IF(BF941&lt;=0,"Aussenlager","teilweise")))))</f>
        <v>Lift</v>
      </c>
      <c r="BJ941" s="48" t="str">
        <f aca="false">IF(A941="","",IF(BS941=1,"Neu; ","")&amp;IF(AND(BS941=0,BN941&lt;0),"negativer Bestand (Export "&amp;BN941&amp;"); ","")&amp;IF(J941&lt;=0,"Kein Verbrauch; ","")&amp;IF(CL941&gt;0,"Lift "&amp;W941&amp;" lt. Liftbericht (Fach "&amp;X941&amp;" Stk); ",IF(BX941=1,"Gebinde geschätzt ("&amp;T941&amp;"); ",IF(BW941=1,"Lose – Tablare geschätzt; ","")))&amp;IF(H941&gt;AT941,"Überbestand "&amp;ROUND(H941-AT941,0)&amp;" Stk / CHF "&amp;ROUND((H941-AT941)*G941,0)&amp;"; ","")&amp;IF(AND(CE941=1,CF941&lt;CG941),"MAX &lt; MB+LG; ","")&amp;IF(AND(CK941&gt;0,CJ941*10&gt;CK941),"zu hoch für Tablar; ","")&amp;IF(AND(BS941=0,OR(CE941=1,AA941&lt;&gt;"",U941&lt;&gt;"",V941&lt;&gt;"",AB941&lt;&gt;"")),"manuell übersteuert; ","")&amp;IF(AND(BW941=0,R941=0),"Gebinde unbekannt / Stellmass fehlt; ","")&amp;IF(AND(BW941=0,N(V941)&lt;=0,N(Q941)&lt;=0),"Menge pro Gebinde fehlt (Ist = 1 Gebinde); ","")&amp;BR941)</f>
        <v>negativer Bestand (Export -292); </v>
      </c>
      <c r="BK941" s="48"/>
      <c r="BL941" s="48"/>
      <c r="BM941" s="55"/>
      <c r="BN941" s="50" t="n">
        <v>-292</v>
      </c>
      <c r="BO941" s="50" t="n">
        <v>471</v>
      </c>
      <c r="BP941" s="49" t="n">
        <v>-54.29</v>
      </c>
      <c r="BQ941" s="50" t="n">
        <v>1200</v>
      </c>
      <c r="BR941" s="48"/>
      <c r="BS941" s="53" t="n">
        <v>0</v>
      </c>
      <c r="BT941" s="53" t="n">
        <v>941</v>
      </c>
      <c r="BU941" s="48" t="str">
        <f aca="false">IF(U941&lt;&gt;"",UPPER(TRIM(U941)),IF(BX941=1,UPPER(VLOOKUP(T941,Parameter!$I$27:$K$29,2,0)),IF(P941="","LOSE",P941)))</f>
        <v>S52</v>
      </c>
      <c r="BV941" s="50" t="n">
        <f aca="false">IF(BU941="LOSE",1,IF(N(V941)&gt;0,V941,IF(BX941=1,MAX(1,N(VLOOKUP(T941,Parameter!$I$27:$K$29,3,0)),H941,N(N941)),IF(N(Q941)&gt;0,Q941,MAX(1,H941)))))</f>
        <v>884</v>
      </c>
      <c r="BW941" s="53" t="n">
        <f aca="false">IF(BU941="LOSE",1,0)</f>
        <v>0</v>
      </c>
      <c r="BX941" s="53" t="n">
        <f aca="false">IF(AND(U941="",OR(P941="",P941="LOSE"),T941&lt;&gt;"",N(S941)&lt;=0,ISNUMBER(MATCH(T941,Parameter!$I$27:$I$29,0))),1,0)</f>
        <v>0</v>
      </c>
      <c r="BY941" s="53" t="n">
        <f aca="false">IF(CL941&gt;0,INDEX(Parameter!$H$5:$H$7,W941)/INDEX(Parameter!$E$5:$E$7,W941),IF(AND(BW941=0,N(IFERROR(VLOOKUP(BU941,'Gebinde-Kategorie'!$A$5:$N$45,14,0),0))&gt;0),VLOOKUP(BU941,'Gebinde-Kategorie'!$A$5:$N$45,14,0)*10+Parameter!$M$23,Parameter!$M$24))</f>
        <v>245</v>
      </c>
      <c r="BZ941" s="48" t="str">
        <f aca="false">IF(AND(Parameter!$B$19="Ja",E941&lt;&gt;"",ISNUMBER(MATCH(E941,Parameter!$I$35:$I$52,0))),VLOOKUP(E941,Parameter!$I$35:$J$52,2,0),IFERROR(VLOOKUP(D941,Parameter!$A$35:$C$64,2,0),"Nein"))</f>
        <v>2+3</v>
      </c>
      <c r="CA941" s="52" t="n">
        <f aca="false">IF(BW941=0,0,IF(N(S941)&gt;0,S941,IFERROR(VLOOKUP(D941,Parameter!$A$35:$C$64,3,0)+0,0)))</f>
        <v>0</v>
      </c>
      <c r="CB941" s="48" t="n">
        <f aca="false">IF(AA941&lt;&gt;"",AA941,Z941)</f>
        <v>3</v>
      </c>
      <c r="CC941" s="48" t="str">
        <f aca="false">IF(OR(CB941=1,CB941=2,CB941=3),IF(Parameter!$E$27="Ja","LIFT",IF(CB941=1,"L1","L23")),IF(CB941="Aussen","Aussen","-"))</f>
        <v>LIFT</v>
      </c>
      <c r="CD941" s="59" t="n">
        <f aca="false">IF(N(AB941)&gt;0,AB941,0)</f>
        <v>0</v>
      </c>
      <c r="CE941" s="53" t="n">
        <f aca="false">IF(ISNUMBER(AE941),1,0)</f>
        <v>0</v>
      </c>
      <c r="CF941" s="50" t="n">
        <f aca="false">N(AE941)</f>
        <v>0</v>
      </c>
      <c r="CG941" s="50" t="n">
        <f aca="false">N(M941)+N(N941)</f>
        <v>670</v>
      </c>
      <c r="CH941" s="50" t="n">
        <f aca="false">ROUNDUP(H941/BV941,0)</f>
        <v>1</v>
      </c>
      <c r="CI941" s="50" t="n">
        <f aca="false">ROUNDUP(CF941/BV941,0)</f>
        <v>0</v>
      </c>
      <c r="CJ941" s="53" t="n">
        <f aca="false">IF(BW941=1,0,IFERROR(VLOOKUP(BU941,'Gebinde-Kategorie'!$A$5:$N$45,5,0)+0,0))</f>
        <v>21</v>
      </c>
      <c r="CK941" s="53" t="n">
        <f aca="false">IFERROR(IF(OR(CB941=1,CB941=2,CB941=3),N(INDEX(Parameter!$I$5:$I$7,CB941)),0),0)</f>
        <v>0</v>
      </c>
      <c r="CL941" s="52" t="n">
        <f aca="false">IF(AND(Parameter!$B$21="Ja",ISNUMBER(W941),N(X941)&gt;0),IFERROR(N(INDEX(Parameter!$L$5:$L$7,W941))*INDEX(Parameter!$E$5:$E$7,W941)*X941/SUMIFS($X$7:$X$1843,$W$7:$W$1843,W941),0),0)</f>
        <v>0</v>
      </c>
    </row>
    <row r="942" customFormat="false" ht="15" hidden="false" customHeight="false" outlineLevel="0" collapsed="false">
      <c r="A942" s="48" t="s">
        <v>1761</v>
      </c>
      <c r="B942" s="48" t="s">
        <v>1169</v>
      </c>
      <c r="C942" s="48" t="s">
        <v>168</v>
      </c>
      <c r="D942" s="48" t="s">
        <v>188</v>
      </c>
      <c r="E942" s="48" t="s">
        <v>189</v>
      </c>
      <c r="F942" s="48" t="s">
        <v>222</v>
      </c>
      <c r="G942" s="49" t="n">
        <v>18.23</v>
      </c>
      <c r="H942" s="50" t="n">
        <f aca="false">MAX(0,IF(AND(Parameter!$B$21="Ja",ISNUMBER(Y942)),Y942,IF(Parameter!$B$20="Jahresanfang 2025 + Export",BO942+BN942,BN942)))</f>
        <v>4</v>
      </c>
      <c r="I942" s="50" t="n">
        <f aca="false">H942*G942</f>
        <v>72.92</v>
      </c>
      <c r="J942" s="50" t="n">
        <f aca="false">BQ942*Parameter!$B$18</f>
        <v>8</v>
      </c>
      <c r="K942" s="51" t="n">
        <v>3.5</v>
      </c>
      <c r="L942" s="52" t="n">
        <v>2.28571428571429</v>
      </c>
      <c r="M942" s="50" t="n">
        <v>0</v>
      </c>
      <c r="N942" s="50" t="n">
        <v>10</v>
      </c>
      <c r="O942" s="53" t="n">
        <v>18</v>
      </c>
      <c r="P942" s="48" t="s">
        <v>480</v>
      </c>
      <c r="Q942" s="50" t="n">
        <v>16</v>
      </c>
      <c r="R942" s="53" t="n">
        <f aca="false">IF(BW942=1,0,IFERROR(VLOOKUP(BU942,'Gebinde-Kategorie'!$A$5:$N$45,13,0)+0,0))</f>
        <v>52</v>
      </c>
      <c r="S942" s="54"/>
      <c r="T942" s="55"/>
      <c r="U942" s="55"/>
      <c r="V942" s="55"/>
      <c r="W942" s="48"/>
      <c r="X942" s="50"/>
      <c r="Y942" s="50"/>
      <c r="Z942" s="48" t="n">
        <f aca="false">IF(A942="","",IF(AND(Parameter!$B$21="Ja",ISNUMBER(W942)),W942,IF(BZ942="2+3",IF(ISNUMBER(SEARCH("grosser Artikel",BR942)),2,IFERROR(VLOOKUP(BU942,Parameter!$F$35:$G$64,2,0),2)),IF(OR(BZ942="Nein",BZ942=""),"-",BZ942))))</f>
        <v>3</v>
      </c>
      <c r="AA942" s="55"/>
      <c r="AB942" s="56"/>
      <c r="AC942" s="50" t="n">
        <f aca="false">AT942</f>
        <v>16</v>
      </c>
      <c r="AD942" s="50" t="n">
        <f aca="false">MAX(AT942,H942)</f>
        <v>16</v>
      </c>
      <c r="AE942" s="57"/>
      <c r="AF942" s="50" t="n">
        <f aca="false">IF(LEFT(Cockpit!$C$5,1)="A",H942,IF(CE942=1,CF942,IF(LEFT(Cockpit!$C$5,1)="B",AK942,MAX(AK942,H942))))</f>
        <v>4</v>
      </c>
      <c r="AG942" s="50" t="n">
        <f aca="false">IF(BW942=1,0,ROUNDUP(AF942/BV942,0))</f>
        <v>1</v>
      </c>
      <c r="AH942" s="52" t="n">
        <f aca="false">IF(CL942&gt;0,CL942*MAX(1,AF942/X942),IF(BW942=1,IF(AF942&lt;=0,0,CA942*MAX(1,IF(H942&gt;0,AF942/H942,1))),IF(R942&gt;0,AG942/R942,0))/MAX(0.1,N(Parameter!$M$21)))</f>
        <v>0.0192307692307692</v>
      </c>
      <c r="AI942" s="50" t="n">
        <f aca="false">AH942*BY942</f>
        <v>2.98076923076923</v>
      </c>
      <c r="AJ942" s="50" t="n">
        <f aca="false">AF942*G942</f>
        <v>72.92</v>
      </c>
      <c r="AK942" s="50" t="n">
        <f aca="false">ROUNDUP(MAX(J942/IF(CD942&gt;0,CD942,MAX(0.1,N(Cockpit!$C$6))),CG942)/BV942,0)*BV942</f>
        <v>16</v>
      </c>
      <c r="AL942" s="51" t="n">
        <f aca="false">IF(AI942&gt;0,J942/AI942,-1)</f>
        <v>2.68387096774194</v>
      </c>
      <c r="AM942" s="51" t="n">
        <f aca="false">IF(AND(OR(CC942="L1",CC942="L23",CC942="LIFT"),AI942&gt;0),SUMIFS($AI$7:$AI$1843,$CC$7:$CC$1843,CC942,$AL$7:$AL$1843,"&gt;"&amp;AL942)+SUMIFS($AI$7:$AI$1843,$CC$7:$CC$1843,CC942,$AL$7:$AL$1843,AL942,$BT$7:$BT$1843,"&lt;="&amp;BT942),"")</f>
        <v>5335.38095238095</v>
      </c>
      <c r="AN942" s="58" t="n">
        <f aca="false">IF(AM942="",0,MAX(0,MIN(1,(IF(CC942="L1",Parameter!$H$5,IF(CC942="L23",Parameter!$H$6+Parameter!$H$7,Parameter!$H$5+Parameter!$H$6+Parameter!$H$7))-(AM942-AI942))/AI942)))</f>
        <v>1</v>
      </c>
      <c r="AO942" s="50" t="n">
        <f aca="false">IF(LEFT(Cockpit!$I$5,1)="A",H942,IF(CE942=1,CF942,IF(LEFT(Cockpit!$I$5,1)="B",AT942,MAX(AT942,H942))))</f>
        <v>16</v>
      </c>
      <c r="AP942" s="50" t="n">
        <f aca="false">IF(BW942=1,0,ROUNDUP(AO942/BV942,0))</f>
        <v>1</v>
      </c>
      <c r="AQ942" s="52" t="n">
        <f aca="false">IF(CL942&gt;0,CL942*MAX(1,AO942/X942),IF(BW942=1,IF(AO942&lt;=0,0,CA942*MAX(1,IF(H942&gt;0,AO942/H942,1))),IF(R942&gt;0,AP942/R942,0))/MAX(0.1,N(Parameter!$M$21)))</f>
        <v>0.0192307692307692</v>
      </c>
      <c r="AR942" s="50" t="n">
        <f aca="false">AQ942*BY942</f>
        <v>2.98076923076923</v>
      </c>
      <c r="AS942" s="50" t="n">
        <f aca="false">AO942*G942</f>
        <v>291.68</v>
      </c>
      <c r="AT942" s="50" t="n">
        <f aca="false">ROUNDUP(MAX(J942/IF(CD942&gt;0,CD942,MAX(0.1,N(Cockpit!$I$6))),CG942)/BV942,0)*BV942</f>
        <v>16</v>
      </c>
      <c r="AU942" s="51" t="n">
        <f aca="false">IF(AR942&gt;0,J942/AR942,-1)</f>
        <v>2.68387096774194</v>
      </c>
      <c r="AV942" s="51" t="n">
        <f aca="false">IF(AND(OR(CC942="L1",CC942="L23",CC942="LIFT"),AR942&gt;0),SUMIFS($AR$7:$AR$1843,$CC$7:$CC$1843,CC942,$AU$7:$AU$1843,"&gt;"&amp;AU942)+SUMIFS($AR$7:$AR$1843,$CC$7:$CC$1843,CC942,$AU$7:$AU$1843,AU942,$BT$7:$BT$1843,"&lt;="&amp;BT942),"")</f>
        <v>6715.08928571429</v>
      </c>
      <c r="AW942" s="58" t="n">
        <f aca="false">IF(AV942="",0,MAX(0,MIN(1,(IF(CC942="L1",Parameter!$H$5,IF(CC942="L23",Parameter!$H$6+Parameter!$H$7,Parameter!$H$5+Parameter!$H$6+Parameter!$H$7))-(AV942-AR942))/AR942)))</f>
        <v>1</v>
      </c>
      <c r="AX942" s="50" t="n">
        <f aca="false">IF(LEFT(Cockpit!$O$5,1)="A",H942,IF(CE942=1,CF942,IF(LEFT(Cockpit!$O$5,1)="B",BC942,MAX(BC942,H942))))</f>
        <v>16</v>
      </c>
      <c r="AY942" s="50" t="n">
        <f aca="false">IF(BW942=1,0,ROUNDUP(AX942/BV942,0))</f>
        <v>1</v>
      </c>
      <c r="AZ942" s="52" t="n">
        <f aca="false">IF(CL942&gt;0,CL942*MAX(1,AX942/X942),IF(BW942=1,IF(AX942&lt;=0,0,CA942*MAX(1,IF(H942&gt;0,AX942/H942,1))),IF(R942&gt;0,AY942/R942,0))/MAX(0.1,N(Parameter!$M$21)))</f>
        <v>0.0192307692307692</v>
      </c>
      <c r="BA942" s="50" t="n">
        <f aca="false">AZ942*BY942</f>
        <v>2.98076923076923</v>
      </c>
      <c r="BB942" s="50" t="n">
        <f aca="false">AX942*G942</f>
        <v>291.68</v>
      </c>
      <c r="BC942" s="50" t="n">
        <f aca="false">ROUNDUP(MAX(J942/IF(CD942&gt;0,CD942,MAX(0.1,N(Cockpit!$O$6))),CG942)/BV942,0)*BV942</f>
        <v>16</v>
      </c>
      <c r="BD942" s="51" t="n">
        <f aca="false">IF(BA942&gt;0,J942/BA942,-1)</f>
        <v>2.68387096774194</v>
      </c>
      <c r="BE942" s="51" t="n">
        <f aca="false">IF(AND(OR(CC942="L1",CC942="L23",CC942="LIFT"),BA942&gt;0),SUMIFS($BA$7:$BA$1843,$CC$7:$CC$1843,CC942,$BD$7:$BD$1843,"&gt;"&amp;BD942)+SUMIFS($BA$7:$BA$1843,$CC$7:$CC$1843,CC942,$BD$7:$BD$1843,BD942,$BT$7:$BT$1843,"&lt;="&amp;BT942),"")</f>
        <v>6498.24633699634</v>
      </c>
      <c r="BF942" s="58" t="n">
        <f aca="false">IF(BE942="",0,MAX(0,MIN(1,(IF(CC942="L1",Parameter!$H$5,IF(CC942="L23",Parameter!$H$6+Parameter!$H$7,Parameter!$H$5+Parameter!$H$6+Parameter!$H$7))-(BE942-BA942))/BA942)))</f>
        <v>1</v>
      </c>
      <c r="BG942" s="48" t="str">
        <f aca="false">IF(AI942&lt;=0,"",IF(CC942="Aussen","Aussenlager",IF(CC942="-","Nicht im Lift",IF(AN942&gt;=1,"Lift",IF(AN942&lt;=0,"Aussenlager","teilweise")))))</f>
        <v>Lift</v>
      </c>
      <c r="BH942" s="48" t="str">
        <f aca="false">IF(AR942&lt;=0,"",IF(CC942="Aussen","Aussenlager",IF(CC942="-","Nicht im Lift",IF(AW942&gt;=1,"Lift",IF(AW942&lt;=0,"Aussenlager","teilweise")))))</f>
        <v>Lift</v>
      </c>
      <c r="BI942" s="48" t="str">
        <f aca="false">IF(BA942&lt;=0,"",IF(CC942="Aussen","Aussenlager",IF(CC942="-","Nicht im Lift",IF(BF942&gt;=1,"Lift",IF(BF942&lt;=0,"Aussenlager","teilweise")))))</f>
        <v>Lift</v>
      </c>
      <c r="BJ942" s="48" t="str">
        <f aca="false">IF(A942="","",IF(BS942=1,"Neu; ","")&amp;IF(AND(BS942=0,BN942&lt;0),"negativer Bestand (Export "&amp;BN942&amp;"); ","")&amp;IF(J942&lt;=0,"Kein Verbrauch; ","")&amp;IF(CL942&gt;0,"Lift "&amp;W942&amp;" lt. Liftbericht (Fach "&amp;X942&amp;" Stk); ",IF(BX942=1,"Gebinde geschätzt ("&amp;T942&amp;"); ",IF(BW942=1,"Lose – Tablare geschätzt; ","")))&amp;IF(H942&gt;AT942,"Überbestand "&amp;ROUND(H942-AT942,0)&amp;" Stk / CHF "&amp;ROUND((H942-AT942)*G942,0)&amp;"; ","")&amp;IF(AND(CE942=1,CF942&lt;CG942),"MAX &lt; MB+LG; ","")&amp;IF(AND(CK942&gt;0,CJ942*10&gt;CK942),"zu hoch für Tablar; ","")&amp;IF(AND(BS942=0,OR(CE942=1,AA942&lt;&gt;"",U942&lt;&gt;"",V942&lt;&gt;"",AB942&lt;&gt;"")),"manuell übersteuert; ","")&amp;IF(AND(BW942=0,R942=0),"Gebinde unbekannt / Stellmass fehlt; ","")&amp;IF(AND(BW942=0,N(V942)&lt;=0,N(Q942)&lt;=0),"Menge pro Gebinde fehlt (Ist = 1 Gebinde); ","")&amp;BR942)</f>
        <v>negativer Bestand (Export -1); </v>
      </c>
      <c r="BK942" s="48"/>
      <c r="BL942" s="48"/>
      <c r="BM942" s="55"/>
      <c r="BN942" s="50" t="n">
        <v>-1</v>
      </c>
      <c r="BO942" s="50" t="n">
        <v>5</v>
      </c>
      <c r="BP942" s="49" t="n">
        <v>-54.78</v>
      </c>
      <c r="BQ942" s="50" t="n">
        <v>8</v>
      </c>
      <c r="BR942" s="48"/>
      <c r="BS942" s="53" t="n">
        <v>0</v>
      </c>
      <c r="BT942" s="53" t="n">
        <v>942</v>
      </c>
      <c r="BU942" s="48" t="str">
        <f aca="false">IF(U942&lt;&gt;"",UPPER(TRIM(U942)),IF(BX942=1,UPPER(VLOOKUP(T942,Parameter!$I$27:$K$29,2,0)),IF(P942="","LOSE",P942)))</f>
        <v>S33</v>
      </c>
      <c r="BV942" s="50" t="n">
        <f aca="false">IF(BU942="LOSE",1,IF(N(V942)&gt;0,V942,IF(BX942=1,MAX(1,N(VLOOKUP(T942,Parameter!$I$27:$K$29,3,0)),H942,N(N942)),IF(N(Q942)&gt;0,Q942,MAX(1,H942)))))</f>
        <v>16</v>
      </c>
      <c r="BW942" s="53" t="n">
        <f aca="false">IF(BU942="LOSE",1,0)</f>
        <v>0</v>
      </c>
      <c r="BX942" s="53" t="n">
        <f aca="false">IF(AND(U942="",OR(P942="",P942="LOSE"),T942&lt;&gt;"",N(S942)&lt;=0,ISNUMBER(MATCH(T942,Parameter!$I$27:$I$29,0))),1,0)</f>
        <v>0</v>
      </c>
      <c r="BY942" s="53" t="n">
        <f aca="false">IF(CL942&gt;0,INDEX(Parameter!$H$5:$H$7,W942)/INDEX(Parameter!$E$5:$E$7,W942),IF(AND(BW942=0,N(IFERROR(VLOOKUP(BU942,'Gebinde-Kategorie'!$A$5:$N$45,14,0),0))&gt;0),VLOOKUP(BU942,'Gebinde-Kategorie'!$A$5:$N$45,14,0)*10+Parameter!$M$23,Parameter!$M$24))</f>
        <v>155</v>
      </c>
      <c r="BZ942" s="48" t="str">
        <f aca="false">IF(AND(Parameter!$B$19="Ja",E942&lt;&gt;"",ISNUMBER(MATCH(E942,Parameter!$I$35:$I$52,0))),VLOOKUP(E942,Parameter!$I$35:$J$52,2,0),IFERROR(VLOOKUP(D942,Parameter!$A$35:$C$64,2,0),"Nein"))</f>
        <v>2+3</v>
      </c>
      <c r="CA942" s="52" t="n">
        <f aca="false">IF(BW942=0,0,IF(N(S942)&gt;0,S942,IFERROR(VLOOKUP(D942,Parameter!$A$35:$C$64,3,0)+0,0)))</f>
        <v>0</v>
      </c>
      <c r="CB942" s="48" t="n">
        <f aca="false">IF(AA942&lt;&gt;"",AA942,Z942)</f>
        <v>3</v>
      </c>
      <c r="CC942" s="48" t="str">
        <f aca="false">IF(OR(CB942=1,CB942=2,CB942=3),IF(Parameter!$E$27="Ja","LIFT",IF(CB942=1,"L1","L23")),IF(CB942="Aussen","Aussen","-"))</f>
        <v>LIFT</v>
      </c>
      <c r="CD942" s="59" t="n">
        <f aca="false">IF(N(AB942)&gt;0,AB942,0)</f>
        <v>0</v>
      </c>
      <c r="CE942" s="53" t="n">
        <f aca="false">IF(ISNUMBER(AE942),1,0)</f>
        <v>0</v>
      </c>
      <c r="CF942" s="50" t="n">
        <f aca="false">N(AE942)</f>
        <v>0</v>
      </c>
      <c r="CG942" s="50" t="n">
        <f aca="false">N(M942)+N(N942)</f>
        <v>10</v>
      </c>
      <c r="CH942" s="50" t="n">
        <f aca="false">ROUNDUP(H942/BV942,0)</f>
        <v>1</v>
      </c>
      <c r="CI942" s="50" t="n">
        <f aca="false">ROUNDUP(CF942/BV942,0)</f>
        <v>0</v>
      </c>
      <c r="CJ942" s="53" t="n">
        <f aca="false">IF(BW942=1,0,IFERROR(VLOOKUP(BU942,'Gebinde-Kategorie'!$A$5:$N$45,5,0)+0,0))</f>
        <v>8</v>
      </c>
      <c r="CK942" s="53" t="n">
        <f aca="false">IFERROR(IF(OR(CB942=1,CB942=2,CB942=3),N(INDEX(Parameter!$I$5:$I$7,CB942)),0),0)</f>
        <v>0</v>
      </c>
      <c r="CL942" s="52" t="n">
        <f aca="false">IF(AND(Parameter!$B$21="Ja",ISNUMBER(W942),N(X942)&gt;0),IFERROR(N(INDEX(Parameter!$L$5:$L$7,W942))*INDEX(Parameter!$E$5:$E$7,W942)*X942/SUMIFS($X$7:$X$1843,$W$7:$W$1843,W942),0),0)</f>
        <v>0</v>
      </c>
    </row>
    <row r="943" customFormat="false" ht="15" hidden="false" customHeight="false" outlineLevel="0" collapsed="false">
      <c r="A943" s="48" t="s">
        <v>1762</v>
      </c>
      <c r="B943" s="48" t="s">
        <v>1763</v>
      </c>
      <c r="C943" s="48" t="s">
        <v>460</v>
      </c>
      <c r="D943" s="48" t="s">
        <v>188</v>
      </c>
      <c r="E943" s="48"/>
      <c r="F943" s="48" t="s">
        <v>222</v>
      </c>
      <c r="G943" s="49" t="n">
        <v>2.05</v>
      </c>
      <c r="H943" s="50" t="n">
        <f aca="false">MAX(0,IF(AND(Parameter!$B$21="Ja",ISNUMBER(Y943)),Y943,IF(Parameter!$B$20="Jahresanfang 2025 + Export",BO943+BN943,BN943)))</f>
        <v>27</v>
      </c>
      <c r="I943" s="50" t="n">
        <f aca="false">H943*G943</f>
        <v>55.35</v>
      </c>
      <c r="J943" s="50" t="n">
        <f aca="false">BQ943*Parameter!$B$18</f>
        <v>27</v>
      </c>
      <c r="K943" s="51" t="n">
        <v>27</v>
      </c>
      <c r="L943" s="52" t="n">
        <v>1</v>
      </c>
      <c r="M943" s="50" t="n">
        <v>1</v>
      </c>
      <c r="N943" s="50" t="n">
        <v>25</v>
      </c>
      <c r="O943" s="53" t="n">
        <v>21</v>
      </c>
      <c r="P943" s="48" t="s">
        <v>172</v>
      </c>
      <c r="Q943" s="50"/>
      <c r="R943" s="53" t="n">
        <f aca="false">IF(BW943=1,0,IFERROR(VLOOKUP(BU943,'Gebinde-Kategorie'!$A$5:$N$45,13,0)+0,0))</f>
        <v>26</v>
      </c>
      <c r="S943" s="54"/>
      <c r="T943" s="55" t="s">
        <v>279</v>
      </c>
      <c r="U943" s="55"/>
      <c r="V943" s="55"/>
      <c r="W943" s="48"/>
      <c r="X943" s="50"/>
      <c r="Y943" s="50"/>
      <c r="Z943" s="48" t="n">
        <f aca="false">IF(A943="","",IF(AND(Parameter!$B$21="Ja",ISNUMBER(W943)),W943,IF(BZ943="2+3",IF(ISNUMBER(SEARCH("grosser Artikel",BR943)),2,IFERROR(VLOOKUP(BU943,Parameter!$F$35:$G$64,2,0),2)),IF(OR(BZ943="Nein",BZ943=""),"-",BZ943))))</f>
        <v>3</v>
      </c>
      <c r="AA943" s="55"/>
      <c r="AB943" s="56"/>
      <c r="AC943" s="50" t="n">
        <f aca="false">AT943</f>
        <v>27</v>
      </c>
      <c r="AD943" s="50" t="n">
        <f aca="false">MAX(AT943,H943)</f>
        <v>27</v>
      </c>
      <c r="AE943" s="57"/>
      <c r="AF943" s="50" t="n">
        <f aca="false">IF(LEFT(Cockpit!$C$5,1)="A",H943,IF(CE943=1,CF943,IF(LEFT(Cockpit!$C$5,1)="B",AK943,MAX(AK943,H943))))</f>
        <v>27</v>
      </c>
      <c r="AG943" s="50" t="n">
        <f aca="false">IF(BW943=1,0,ROUNDUP(AF943/BV943,0))</f>
        <v>1</v>
      </c>
      <c r="AH943" s="52" t="n">
        <f aca="false">IF(CL943&gt;0,CL943*MAX(1,AF943/X943),IF(BW943=1,IF(AF943&lt;=0,0,CA943*MAX(1,IF(H943&gt;0,AF943/H943,1))),IF(R943&gt;0,AG943/R943,0))/MAX(0.1,N(Parameter!$M$21)))</f>
        <v>0.0384615384615385</v>
      </c>
      <c r="AI943" s="50" t="n">
        <f aca="false">AH943*BY943</f>
        <v>5.96153846153846</v>
      </c>
      <c r="AJ943" s="50" t="n">
        <f aca="false">AF943*G943</f>
        <v>55.35</v>
      </c>
      <c r="AK943" s="50" t="n">
        <f aca="false">ROUNDUP(MAX(J943/IF(CD943&gt;0,CD943,MAX(0.1,N(Cockpit!$C$6))),CG943)/BV943,0)*BV943</f>
        <v>27</v>
      </c>
      <c r="AL943" s="51" t="n">
        <f aca="false">IF(AI943&gt;0,J943/AI943,-1)</f>
        <v>4.52903225806452</v>
      </c>
      <c r="AM943" s="51" t="n">
        <f aca="false">IF(AND(OR(CC943="L1",CC943="L23",CC943="LIFT"),AI943&gt;0),SUMIFS($AI$7:$AI$1843,$CC$7:$CC$1843,CC943,$AL$7:$AL$1843,"&gt;"&amp;AL943)+SUMIFS($AI$7:$AI$1843,$CC$7:$CC$1843,CC943,$AL$7:$AL$1843,AL943,$BT$7:$BT$1843,"&lt;="&amp;BT943),"")</f>
        <v>4147.77426739927</v>
      </c>
      <c r="AN943" s="58" t="n">
        <f aca="false">IF(AM943="",0,MAX(0,MIN(1,(IF(CC943="L1",Parameter!$H$5,IF(CC943="L23",Parameter!$H$6+Parameter!$H$7,Parameter!$H$5+Parameter!$H$6+Parameter!$H$7))-(AM943-AI943))/AI943)))</f>
        <v>1</v>
      </c>
      <c r="AO943" s="50" t="n">
        <f aca="false">IF(LEFT(Cockpit!$I$5,1)="A",H943,IF(CE943=1,CF943,IF(LEFT(Cockpit!$I$5,1)="B",AT943,MAX(AT943,H943))))</f>
        <v>27</v>
      </c>
      <c r="AP943" s="50" t="n">
        <f aca="false">IF(BW943=1,0,ROUNDUP(AO943/BV943,0))</f>
        <v>1</v>
      </c>
      <c r="AQ943" s="52" t="n">
        <f aca="false">IF(CL943&gt;0,CL943*MAX(1,AO943/X943),IF(BW943=1,IF(AO943&lt;=0,0,CA943*MAX(1,IF(H943&gt;0,AO943/H943,1))),IF(R943&gt;0,AP943/R943,0))/MAX(0.1,N(Parameter!$M$21)))</f>
        <v>0.0384615384615385</v>
      </c>
      <c r="AR943" s="50" t="n">
        <f aca="false">AQ943*BY943</f>
        <v>5.96153846153846</v>
      </c>
      <c r="AS943" s="50" t="n">
        <f aca="false">AO943*G943</f>
        <v>55.35</v>
      </c>
      <c r="AT943" s="50" t="n">
        <f aca="false">ROUNDUP(MAX(J943/IF(CD943&gt;0,CD943,MAX(0.1,N(Cockpit!$I$6))),CG943)/BV943,0)*BV943</f>
        <v>27</v>
      </c>
      <c r="AU943" s="51" t="n">
        <f aca="false">IF(AR943&gt;0,J943/AR943,-1)</f>
        <v>4.52903225806452</v>
      </c>
      <c r="AV943" s="51" t="n">
        <f aca="false">IF(AND(OR(CC943="L1",CC943="L23",CC943="LIFT"),AR943&gt;0),SUMIFS($AR$7:$AR$1843,$CC$7:$CC$1843,CC943,$AU$7:$AU$1843,"&gt;"&amp;AU943)+SUMIFS($AR$7:$AR$1843,$CC$7:$CC$1843,CC943,$AU$7:$AU$1843,AU943,$BT$7:$BT$1843,"&lt;="&amp;BT943),"")</f>
        <v>5318.77243589744</v>
      </c>
      <c r="AW943" s="58" t="n">
        <f aca="false">IF(AV943="",0,MAX(0,MIN(1,(IF(CC943="L1",Parameter!$H$5,IF(CC943="L23",Parameter!$H$6+Parameter!$H$7,Parameter!$H$5+Parameter!$H$6+Parameter!$H$7))-(AV943-AR943))/AR943)))</f>
        <v>1</v>
      </c>
      <c r="AX943" s="50" t="n">
        <f aca="false">IF(LEFT(Cockpit!$O$5,1)="A",H943,IF(CE943=1,CF943,IF(LEFT(Cockpit!$O$5,1)="B",BC943,MAX(BC943,H943))))</f>
        <v>27</v>
      </c>
      <c r="AY943" s="50" t="n">
        <f aca="false">IF(BW943=1,0,ROUNDUP(AX943/BV943,0))</f>
        <v>1</v>
      </c>
      <c r="AZ943" s="52" t="n">
        <f aca="false">IF(CL943&gt;0,CL943*MAX(1,AX943/X943),IF(BW943=1,IF(AX943&lt;=0,0,CA943*MAX(1,IF(H943&gt;0,AX943/H943,1))),IF(R943&gt;0,AY943/R943,0))/MAX(0.1,N(Parameter!$M$21)))</f>
        <v>0.0384615384615385</v>
      </c>
      <c r="BA943" s="50" t="n">
        <f aca="false">AZ943*BY943</f>
        <v>5.96153846153846</v>
      </c>
      <c r="BB943" s="50" t="n">
        <f aca="false">AX943*G943</f>
        <v>55.35</v>
      </c>
      <c r="BC943" s="50" t="n">
        <f aca="false">ROUNDUP(MAX(J943/IF(CD943&gt;0,CD943,MAX(0.1,N(Cockpit!$O$6))),CG943)/BV943,0)*BV943</f>
        <v>27</v>
      </c>
      <c r="BD943" s="51" t="n">
        <f aca="false">IF(BA943&gt;0,J943/BA943,-1)</f>
        <v>4.52903225806452</v>
      </c>
      <c r="BE943" s="51" t="n">
        <f aca="false">IF(AND(OR(CC943="L1",CC943="L23",CC943="LIFT"),BA943&gt;0),SUMIFS($BA$7:$BA$1843,$CC$7:$CC$1843,CC943,$BD$7:$BD$1843,"&gt;"&amp;BD943)+SUMIFS($BA$7:$BA$1843,$CC$7:$CC$1843,CC943,$BD$7:$BD$1843,BD943,$BT$7:$BT$1843,"&lt;="&amp;BT943),"")</f>
        <v>4989.23717948718</v>
      </c>
      <c r="BF943" s="58" t="n">
        <f aca="false">IF(BE943="",0,MAX(0,MIN(1,(IF(CC943="L1",Parameter!$H$5,IF(CC943="L23",Parameter!$H$6+Parameter!$H$7,Parameter!$H$5+Parameter!$H$6+Parameter!$H$7))-(BE943-BA943))/BA943)))</f>
        <v>1</v>
      </c>
      <c r="BG943" s="48" t="str">
        <f aca="false">IF(AI943&lt;=0,"",IF(CC943="Aussen","Aussenlager",IF(CC943="-","Nicht im Lift",IF(AN943&gt;=1,"Lift",IF(AN943&lt;=0,"Aussenlager","teilweise")))))</f>
        <v>Lift</v>
      </c>
      <c r="BH943" s="48" t="str">
        <f aca="false">IF(AR943&lt;=0,"",IF(CC943="Aussen","Aussenlager",IF(CC943="-","Nicht im Lift",IF(AW943&gt;=1,"Lift",IF(AW943&lt;=0,"Aussenlager","teilweise")))))</f>
        <v>Lift</v>
      </c>
      <c r="BI943" s="48" t="str">
        <f aca="false">IF(BA943&lt;=0,"",IF(CC943="Aussen","Aussenlager",IF(CC943="-","Nicht im Lift",IF(BF943&gt;=1,"Lift",IF(BF943&lt;=0,"Aussenlager","teilweise")))))</f>
        <v>Lift</v>
      </c>
      <c r="BJ943" s="48" t="str">
        <f aca="false">IF(A943="","",IF(BS943=1,"Neu; ","")&amp;IF(AND(BS943=0,BN943&lt;0),"negativer Bestand (Export "&amp;BN943&amp;"); ","")&amp;IF(J943&lt;=0,"Kein Verbrauch; ","")&amp;IF(CL943&gt;0,"Lift "&amp;W943&amp;" lt. Liftbericht (Fach "&amp;X943&amp;" Stk); ",IF(BX943=1,"Gebinde geschätzt ("&amp;T943&amp;"); ",IF(BW943=1,"Lose – Tablare geschätzt; ","")))&amp;IF(H943&gt;AT943,"Überbestand "&amp;ROUND(H943-AT943,0)&amp;" Stk / CHF "&amp;ROUND((H943-AT943)*G943,0)&amp;"; ","")&amp;IF(AND(CE943=1,CF943&lt;CG943),"MAX &lt; MB+LG; ","")&amp;IF(AND(CK943&gt;0,CJ943*10&gt;CK943),"zu hoch für Tablar; ","")&amp;IF(AND(BS943=0,OR(CE943=1,AA943&lt;&gt;"",U943&lt;&gt;"",V943&lt;&gt;"",AB943&lt;&gt;"")),"manuell übersteuert; ","")&amp;IF(AND(BW943=0,R943=0),"Gebinde unbekannt / Stellmass fehlt; ","")&amp;IF(AND(BW943=0,N(V943)&lt;=0,N(Q943)&lt;=0),"Menge pro Gebinde fehlt (Ist = 1 Gebinde); ","")&amp;BR943)</f>
        <v>negativer Bestand (Export -27); Gebinde geschätzt (Klein); Menge pro Gebinde fehlt (Ist = 1 Gebinde); </v>
      </c>
      <c r="BK943" s="48"/>
      <c r="BL943" s="48"/>
      <c r="BM943" s="55"/>
      <c r="BN943" s="50" t="n">
        <v>-27</v>
      </c>
      <c r="BO943" s="50" t="n">
        <v>54</v>
      </c>
      <c r="BP943" s="49" t="n">
        <v>-55.35</v>
      </c>
      <c r="BQ943" s="50" t="n">
        <v>27</v>
      </c>
      <c r="BR943" s="48"/>
      <c r="BS943" s="53" t="n">
        <v>0</v>
      </c>
      <c r="BT943" s="53" t="n">
        <v>943</v>
      </c>
      <c r="BU943" s="48" t="str">
        <f aca="false">IF(U943&lt;&gt;"",UPPER(TRIM(U943)),IF(BX943=1,UPPER(VLOOKUP(T943,Parameter!$I$27:$K$29,2,0)),IF(P943="","LOSE",P943)))</f>
        <v>S51</v>
      </c>
      <c r="BV943" s="50" t="n">
        <f aca="false">IF(BU943="LOSE",1,IF(N(V943)&gt;0,V943,IF(BX943=1,MAX(1,N(VLOOKUP(T943,Parameter!$I$27:$K$29,3,0)),H943,N(N943)),IF(N(Q943)&gt;0,Q943,MAX(1,H943)))))</f>
        <v>27</v>
      </c>
      <c r="BW943" s="53" t="n">
        <f aca="false">IF(BU943="LOSE",1,0)</f>
        <v>0</v>
      </c>
      <c r="BX943" s="53" t="n">
        <f aca="false">IF(AND(U943="",OR(P943="",P943="LOSE"),T943&lt;&gt;"",N(S943)&lt;=0,ISNUMBER(MATCH(T943,Parameter!$I$27:$I$29,0))),1,0)</f>
        <v>1</v>
      </c>
      <c r="BY943" s="53" t="n">
        <f aca="false">IF(CL943&gt;0,INDEX(Parameter!$H$5:$H$7,W943)/INDEX(Parameter!$E$5:$E$7,W943),IF(AND(BW943=0,N(IFERROR(VLOOKUP(BU943,'Gebinde-Kategorie'!$A$5:$N$45,14,0),0))&gt;0),VLOOKUP(BU943,'Gebinde-Kategorie'!$A$5:$N$45,14,0)*10+Parameter!$M$23,Parameter!$M$24))</f>
        <v>155</v>
      </c>
      <c r="BZ943" s="48" t="str">
        <f aca="false">IF(AND(Parameter!$B$19="Ja",E943&lt;&gt;"",ISNUMBER(MATCH(E943,Parameter!$I$35:$I$52,0))),VLOOKUP(E943,Parameter!$I$35:$J$52,2,0),IFERROR(VLOOKUP(D943,Parameter!$A$35:$C$64,2,0),"Nein"))</f>
        <v>2+3</v>
      </c>
      <c r="CA943" s="52" t="n">
        <f aca="false">IF(BW943=0,0,IF(N(S943)&gt;0,S943,IFERROR(VLOOKUP(D943,Parameter!$A$35:$C$64,3,0)+0,0)))</f>
        <v>0</v>
      </c>
      <c r="CB943" s="48" t="n">
        <f aca="false">IF(AA943&lt;&gt;"",AA943,Z943)</f>
        <v>3</v>
      </c>
      <c r="CC943" s="48" t="str">
        <f aca="false">IF(OR(CB943=1,CB943=2,CB943=3),IF(Parameter!$E$27="Ja","LIFT",IF(CB943=1,"L1","L23")),IF(CB943="Aussen","Aussen","-"))</f>
        <v>LIFT</v>
      </c>
      <c r="CD943" s="59" t="n">
        <f aca="false">IF(N(AB943)&gt;0,AB943,0)</f>
        <v>0</v>
      </c>
      <c r="CE943" s="53" t="n">
        <f aca="false">IF(ISNUMBER(AE943),1,0)</f>
        <v>0</v>
      </c>
      <c r="CF943" s="50" t="n">
        <f aca="false">N(AE943)</f>
        <v>0</v>
      </c>
      <c r="CG943" s="50" t="n">
        <f aca="false">N(M943)+N(N943)</f>
        <v>26</v>
      </c>
      <c r="CH943" s="50" t="n">
        <f aca="false">ROUNDUP(H943/BV943,0)</f>
        <v>1</v>
      </c>
      <c r="CI943" s="50" t="n">
        <f aca="false">ROUNDUP(CF943/BV943,0)</f>
        <v>0</v>
      </c>
      <c r="CJ943" s="53" t="n">
        <f aca="false">IF(BW943=1,0,IFERROR(VLOOKUP(BU943,'Gebinde-Kategorie'!$A$5:$N$45,5,0)+0,0))</f>
        <v>11</v>
      </c>
      <c r="CK943" s="53" t="n">
        <f aca="false">IFERROR(IF(OR(CB943=1,CB943=2,CB943=3),N(INDEX(Parameter!$I$5:$I$7,CB943)),0),0)</f>
        <v>0</v>
      </c>
      <c r="CL943" s="52" t="n">
        <f aca="false">IF(AND(Parameter!$B$21="Ja",ISNUMBER(W943),N(X943)&gt;0),IFERROR(N(INDEX(Parameter!$L$5:$L$7,W943))*INDEX(Parameter!$E$5:$E$7,W943)*X943/SUMIFS($X$7:$X$1843,$W$7:$W$1843,W943),0),0)</f>
        <v>0</v>
      </c>
    </row>
    <row r="944" customFormat="false" ht="15" hidden="false" customHeight="false" outlineLevel="0" collapsed="false">
      <c r="A944" s="48" t="s">
        <v>1764</v>
      </c>
      <c r="B944" s="48" t="s">
        <v>1765</v>
      </c>
      <c r="C944" s="48" t="s">
        <v>460</v>
      </c>
      <c r="D944" s="48" t="s">
        <v>188</v>
      </c>
      <c r="E944" s="48"/>
      <c r="F944" s="48" t="s">
        <v>222</v>
      </c>
      <c r="G944" s="49" t="n">
        <v>6.15</v>
      </c>
      <c r="H944" s="50" t="n">
        <f aca="false">MAX(0,IF(AND(Parameter!$B$21="Ja",ISNUMBER(Y944)),Y944,IF(Parameter!$B$20="Jahresanfang 2025 + Export",BO944+BN944,BN944)))</f>
        <v>9</v>
      </c>
      <c r="I944" s="50" t="n">
        <f aca="false">H944*G944</f>
        <v>55.35</v>
      </c>
      <c r="J944" s="50" t="n">
        <f aca="false">BQ944*Parameter!$B$18</f>
        <v>9</v>
      </c>
      <c r="K944" s="51" t="n">
        <v>9</v>
      </c>
      <c r="L944" s="52" t="n">
        <v>1</v>
      </c>
      <c r="M944" s="50" t="n">
        <v>0</v>
      </c>
      <c r="N944" s="50" t="n">
        <v>10</v>
      </c>
      <c r="O944" s="53" t="n">
        <v>21</v>
      </c>
      <c r="P944" s="48" t="s">
        <v>172</v>
      </c>
      <c r="Q944" s="50"/>
      <c r="R944" s="53" t="n">
        <f aca="false">IF(BW944=1,0,IFERROR(VLOOKUP(BU944,'Gebinde-Kategorie'!$A$5:$N$45,13,0)+0,0))</f>
        <v>26</v>
      </c>
      <c r="S944" s="54"/>
      <c r="T944" s="55" t="s">
        <v>279</v>
      </c>
      <c r="U944" s="55"/>
      <c r="V944" s="55"/>
      <c r="W944" s="48"/>
      <c r="X944" s="50"/>
      <c r="Y944" s="50"/>
      <c r="Z944" s="48" t="n">
        <f aca="false">IF(A944="","",IF(AND(Parameter!$B$21="Ja",ISNUMBER(W944)),W944,IF(BZ944="2+3",IF(ISNUMBER(SEARCH("grosser Artikel",BR944)),2,IFERROR(VLOOKUP(BU944,Parameter!$F$35:$G$64,2,0),2)),IF(OR(BZ944="Nein",BZ944=""),"-",BZ944))))</f>
        <v>3</v>
      </c>
      <c r="AA944" s="55"/>
      <c r="AB944" s="56"/>
      <c r="AC944" s="50" t="n">
        <f aca="false">AT944</f>
        <v>20</v>
      </c>
      <c r="AD944" s="50" t="n">
        <f aca="false">MAX(AT944,H944)</f>
        <v>20</v>
      </c>
      <c r="AE944" s="57"/>
      <c r="AF944" s="50" t="n">
        <f aca="false">IF(LEFT(Cockpit!$C$5,1)="A",H944,IF(CE944=1,CF944,IF(LEFT(Cockpit!$C$5,1)="B",AK944,MAX(AK944,H944))))</f>
        <v>9</v>
      </c>
      <c r="AG944" s="50" t="n">
        <f aca="false">IF(BW944=1,0,ROUNDUP(AF944/BV944,0))</f>
        <v>1</v>
      </c>
      <c r="AH944" s="52" t="n">
        <f aca="false">IF(CL944&gt;0,CL944*MAX(1,AF944/X944),IF(BW944=1,IF(AF944&lt;=0,0,CA944*MAX(1,IF(H944&gt;0,AF944/H944,1))),IF(R944&gt;0,AG944/R944,0))/MAX(0.1,N(Parameter!$M$21)))</f>
        <v>0.0384615384615385</v>
      </c>
      <c r="AI944" s="50" t="n">
        <f aca="false">AH944*BY944</f>
        <v>5.96153846153846</v>
      </c>
      <c r="AJ944" s="50" t="n">
        <f aca="false">AF944*G944</f>
        <v>55.35</v>
      </c>
      <c r="AK944" s="50" t="n">
        <f aca="false">ROUNDUP(MAX(J944/IF(CD944&gt;0,CD944,MAX(0.1,N(Cockpit!$C$6))),CG944)/BV944,0)*BV944</f>
        <v>20</v>
      </c>
      <c r="AL944" s="51" t="n">
        <f aca="false">IF(AI944&gt;0,J944/AI944,-1)</f>
        <v>1.50967741935484</v>
      </c>
      <c r="AM944" s="51" t="n">
        <f aca="false">IF(AND(OR(CC944="L1",CC944="L23",CC944="LIFT"),AI944&gt;0),SUMIFS($AI$7:$AI$1843,$CC$7:$CC$1843,CC944,$AL$7:$AL$1843,"&gt;"&amp;AL944)+SUMIFS($AI$7:$AI$1843,$CC$7:$CC$1843,CC944,$AL$7:$AL$1843,AL944,$BT$7:$BT$1843,"&lt;="&amp;BT944),"")</f>
        <v>6221.85302197802</v>
      </c>
      <c r="AN944" s="58" t="n">
        <f aca="false">IF(AM944="",0,MAX(0,MIN(1,(IF(CC944="L1",Parameter!$H$5,IF(CC944="L23",Parameter!$H$6+Parameter!$H$7,Parameter!$H$5+Parameter!$H$6+Parameter!$H$7))-(AM944-AI944))/AI944)))</f>
        <v>1</v>
      </c>
      <c r="AO944" s="50" t="n">
        <f aca="false">IF(LEFT(Cockpit!$I$5,1)="A",H944,IF(CE944=1,CF944,IF(LEFT(Cockpit!$I$5,1)="B",AT944,MAX(AT944,H944))))</f>
        <v>20</v>
      </c>
      <c r="AP944" s="50" t="n">
        <f aca="false">IF(BW944=1,0,ROUNDUP(AO944/BV944,0))</f>
        <v>1</v>
      </c>
      <c r="AQ944" s="52" t="n">
        <f aca="false">IF(CL944&gt;0,CL944*MAX(1,AO944/X944),IF(BW944=1,IF(AO944&lt;=0,0,CA944*MAX(1,IF(H944&gt;0,AO944/H944,1))),IF(R944&gt;0,AP944/R944,0))/MAX(0.1,N(Parameter!$M$21)))</f>
        <v>0.0384615384615385</v>
      </c>
      <c r="AR944" s="50" t="n">
        <f aca="false">AQ944*BY944</f>
        <v>5.96153846153846</v>
      </c>
      <c r="AS944" s="50" t="n">
        <f aca="false">AO944*G944</f>
        <v>123</v>
      </c>
      <c r="AT944" s="50" t="n">
        <f aca="false">ROUNDUP(MAX(J944/IF(CD944&gt;0,CD944,MAX(0.1,N(Cockpit!$I$6))),CG944)/BV944,0)*BV944</f>
        <v>20</v>
      </c>
      <c r="AU944" s="51" t="n">
        <f aca="false">IF(AR944&gt;0,J944/AR944,-1)</f>
        <v>1.50967741935484</v>
      </c>
      <c r="AV944" s="51" t="n">
        <f aca="false">IF(AND(OR(CC944="L1",CC944="L23",CC944="LIFT"),AR944&gt;0),SUMIFS($AR$7:$AR$1843,$CC$7:$CC$1843,CC944,$AU$7:$AU$1843,"&gt;"&amp;AU944)+SUMIFS($AR$7:$AR$1843,$CC$7:$CC$1843,CC944,$AU$7:$AU$1843,AU944,$BT$7:$BT$1843,"&lt;="&amp;BT944),"")</f>
        <v>8384.74450549451</v>
      </c>
      <c r="AW944" s="58" t="n">
        <f aca="false">IF(AV944="",0,MAX(0,MIN(1,(IF(CC944="L1",Parameter!$H$5,IF(CC944="L23",Parameter!$H$6+Parameter!$H$7,Parameter!$H$5+Parameter!$H$6+Parameter!$H$7))-(AV944-AR944))/AR944)))</f>
        <v>1</v>
      </c>
      <c r="AX944" s="50" t="n">
        <f aca="false">IF(LEFT(Cockpit!$O$5,1)="A",H944,IF(CE944=1,CF944,IF(LEFT(Cockpit!$O$5,1)="B",BC944,MAX(BC944,H944))))</f>
        <v>20</v>
      </c>
      <c r="AY944" s="50" t="n">
        <f aca="false">IF(BW944=1,0,ROUNDUP(AX944/BV944,0))</f>
        <v>1</v>
      </c>
      <c r="AZ944" s="52" t="n">
        <f aca="false">IF(CL944&gt;0,CL944*MAX(1,AX944/X944),IF(BW944=1,IF(AX944&lt;=0,0,CA944*MAX(1,IF(H944&gt;0,AX944/H944,1))),IF(R944&gt;0,AY944/R944,0))/MAX(0.1,N(Parameter!$M$21)))</f>
        <v>0.0384615384615385</v>
      </c>
      <c r="BA944" s="50" t="n">
        <f aca="false">AZ944*BY944</f>
        <v>5.96153846153846</v>
      </c>
      <c r="BB944" s="50" t="n">
        <f aca="false">AX944*G944</f>
        <v>123</v>
      </c>
      <c r="BC944" s="50" t="n">
        <f aca="false">ROUNDUP(MAX(J944/IF(CD944&gt;0,CD944,MAX(0.1,N(Cockpit!$O$6))),CG944)/BV944,0)*BV944</f>
        <v>20</v>
      </c>
      <c r="BD944" s="51" t="n">
        <f aca="false">IF(BA944&gt;0,J944/BA944,-1)</f>
        <v>1.50967741935484</v>
      </c>
      <c r="BE944" s="51" t="n">
        <f aca="false">IF(AND(OR(CC944="L1",CC944="L23",CC944="LIFT"),BA944&gt;0),SUMIFS($BA$7:$BA$1843,$CC$7:$CC$1843,CC944,$BD$7:$BD$1843,"&gt;"&amp;BD944)+SUMIFS($BA$7:$BA$1843,$CC$7:$CC$1843,CC944,$BD$7:$BD$1843,BD944,$BT$7:$BT$1843,"&lt;="&amp;BT944),"")</f>
        <v>8299.15155677656</v>
      </c>
      <c r="BF944" s="58" t="n">
        <f aca="false">IF(BE944="",0,MAX(0,MIN(1,(IF(CC944="L1",Parameter!$H$5,IF(CC944="L23",Parameter!$H$6+Parameter!$H$7,Parameter!$H$5+Parameter!$H$6+Parameter!$H$7))-(BE944-BA944))/BA944)))</f>
        <v>1</v>
      </c>
      <c r="BG944" s="48" t="str">
        <f aca="false">IF(AI944&lt;=0,"",IF(CC944="Aussen","Aussenlager",IF(CC944="-","Nicht im Lift",IF(AN944&gt;=1,"Lift",IF(AN944&lt;=0,"Aussenlager","teilweise")))))</f>
        <v>Lift</v>
      </c>
      <c r="BH944" s="48" t="str">
        <f aca="false">IF(AR944&lt;=0,"",IF(CC944="Aussen","Aussenlager",IF(CC944="-","Nicht im Lift",IF(AW944&gt;=1,"Lift",IF(AW944&lt;=0,"Aussenlager","teilweise")))))</f>
        <v>Lift</v>
      </c>
      <c r="BI944" s="48" t="str">
        <f aca="false">IF(BA944&lt;=0,"",IF(CC944="Aussen","Aussenlager",IF(CC944="-","Nicht im Lift",IF(BF944&gt;=1,"Lift",IF(BF944&lt;=0,"Aussenlager","teilweise")))))</f>
        <v>Lift</v>
      </c>
      <c r="BJ944" s="48" t="str">
        <f aca="false">IF(A944="","",IF(BS944=1,"Neu; ","")&amp;IF(AND(BS944=0,BN944&lt;0),"negativer Bestand (Export "&amp;BN944&amp;"); ","")&amp;IF(J944&lt;=0,"Kein Verbrauch; ","")&amp;IF(CL944&gt;0,"Lift "&amp;W944&amp;" lt. Liftbericht (Fach "&amp;X944&amp;" Stk); ",IF(BX944=1,"Gebinde geschätzt ("&amp;T944&amp;"); ",IF(BW944=1,"Lose – Tablare geschätzt; ","")))&amp;IF(H944&gt;AT944,"Überbestand "&amp;ROUND(H944-AT944,0)&amp;" Stk / CHF "&amp;ROUND((H944-AT944)*G944,0)&amp;"; ","")&amp;IF(AND(CE944=1,CF944&lt;CG944),"MAX &lt; MB+LG; ","")&amp;IF(AND(CK944&gt;0,CJ944*10&gt;CK944),"zu hoch für Tablar; ","")&amp;IF(AND(BS944=0,OR(CE944=1,AA944&lt;&gt;"",U944&lt;&gt;"",V944&lt;&gt;"",AB944&lt;&gt;"")),"manuell übersteuert; ","")&amp;IF(AND(BW944=0,R944=0),"Gebinde unbekannt / Stellmass fehlt; ","")&amp;IF(AND(BW944=0,N(V944)&lt;=0,N(Q944)&lt;=0),"Menge pro Gebinde fehlt (Ist = 1 Gebinde); ","")&amp;BR944)</f>
        <v>negativer Bestand (Export -9); Gebinde geschätzt (Klein); Menge pro Gebinde fehlt (Ist = 1 Gebinde); </v>
      </c>
      <c r="BK944" s="48"/>
      <c r="BL944" s="48"/>
      <c r="BM944" s="55"/>
      <c r="BN944" s="50" t="n">
        <v>-9</v>
      </c>
      <c r="BO944" s="50" t="n">
        <v>18</v>
      </c>
      <c r="BP944" s="49" t="n">
        <v>-55.35</v>
      </c>
      <c r="BQ944" s="50" t="n">
        <v>9</v>
      </c>
      <c r="BR944" s="48"/>
      <c r="BS944" s="53" t="n">
        <v>0</v>
      </c>
      <c r="BT944" s="53" t="n">
        <v>944</v>
      </c>
      <c r="BU944" s="48" t="str">
        <f aca="false">IF(U944&lt;&gt;"",UPPER(TRIM(U944)),IF(BX944=1,UPPER(VLOOKUP(T944,Parameter!$I$27:$K$29,2,0)),IF(P944="","LOSE",P944)))</f>
        <v>S51</v>
      </c>
      <c r="BV944" s="50" t="n">
        <f aca="false">IF(BU944="LOSE",1,IF(N(V944)&gt;0,V944,IF(BX944=1,MAX(1,N(VLOOKUP(T944,Parameter!$I$27:$K$29,3,0)),H944,N(N944)),IF(N(Q944)&gt;0,Q944,MAX(1,H944)))))</f>
        <v>20</v>
      </c>
      <c r="BW944" s="53" t="n">
        <f aca="false">IF(BU944="LOSE",1,0)</f>
        <v>0</v>
      </c>
      <c r="BX944" s="53" t="n">
        <f aca="false">IF(AND(U944="",OR(P944="",P944="LOSE"),T944&lt;&gt;"",N(S944)&lt;=0,ISNUMBER(MATCH(T944,Parameter!$I$27:$I$29,0))),1,0)</f>
        <v>1</v>
      </c>
      <c r="BY944" s="53" t="n">
        <f aca="false">IF(CL944&gt;0,INDEX(Parameter!$H$5:$H$7,W944)/INDEX(Parameter!$E$5:$E$7,W944),IF(AND(BW944=0,N(IFERROR(VLOOKUP(BU944,'Gebinde-Kategorie'!$A$5:$N$45,14,0),0))&gt;0),VLOOKUP(BU944,'Gebinde-Kategorie'!$A$5:$N$45,14,0)*10+Parameter!$M$23,Parameter!$M$24))</f>
        <v>155</v>
      </c>
      <c r="BZ944" s="48" t="str">
        <f aca="false">IF(AND(Parameter!$B$19="Ja",E944&lt;&gt;"",ISNUMBER(MATCH(E944,Parameter!$I$35:$I$52,0))),VLOOKUP(E944,Parameter!$I$35:$J$52,2,0),IFERROR(VLOOKUP(D944,Parameter!$A$35:$C$64,2,0),"Nein"))</f>
        <v>2+3</v>
      </c>
      <c r="CA944" s="52" t="n">
        <f aca="false">IF(BW944=0,0,IF(N(S944)&gt;0,S944,IFERROR(VLOOKUP(D944,Parameter!$A$35:$C$64,3,0)+0,0)))</f>
        <v>0</v>
      </c>
      <c r="CB944" s="48" t="n">
        <f aca="false">IF(AA944&lt;&gt;"",AA944,Z944)</f>
        <v>3</v>
      </c>
      <c r="CC944" s="48" t="str">
        <f aca="false">IF(OR(CB944=1,CB944=2,CB944=3),IF(Parameter!$E$27="Ja","LIFT",IF(CB944=1,"L1","L23")),IF(CB944="Aussen","Aussen","-"))</f>
        <v>LIFT</v>
      </c>
      <c r="CD944" s="59" t="n">
        <f aca="false">IF(N(AB944)&gt;0,AB944,0)</f>
        <v>0</v>
      </c>
      <c r="CE944" s="53" t="n">
        <f aca="false">IF(ISNUMBER(AE944),1,0)</f>
        <v>0</v>
      </c>
      <c r="CF944" s="50" t="n">
        <f aca="false">N(AE944)</f>
        <v>0</v>
      </c>
      <c r="CG944" s="50" t="n">
        <f aca="false">N(M944)+N(N944)</f>
        <v>10</v>
      </c>
      <c r="CH944" s="50" t="n">
        <f aca="false">ROUNDUP(H944/BV944,0)</f>
        <v>1</v>
      </c>
      <c r="CI944" s="50" t="n">
        <f aca="false">ROUNDUP(CF944/BV944,0)</f>
        <v>0</v>
      </c>
      <c r="CJ944" s="53" t="n">
        <f aca="false">IF(BW944=1,0,IFERROR(VLOOKUP(BU944,'Gebinde-Kategorie'!$A$5:$N$45,5,0)+0,0))</f>
        <v>11</v>
      </c>
      <c r="CK944" s="53" t="n">
        <f aca="false">IFERROR(IF(OR(CB944=1,CB944=2,CB944=3),N(INDEX(Parameter!$I$5:$I$7,CB944)),0),0)</f>
        <v>0</v>
      </c>
      <c r="CL944" s="52" t="n">
        <f aca="false">IF(AND(Parameter!$B$21="Ja",ISNUMBER(W944),N(X944)&gt;0),IFERROR(N(INDEX(Parameter!$L$5:$L$7,W944))*INDEX(Parameter!$E$5:$E$7,W944)*X944/SUMIFS($X$7:$X$1843,$W$7:$W$1843,W944),0),0)</f>
        <v>0</v>
      </c>
    </row>
    <row r="945" customFormat="false" ht="15" hidden="false" customHeight="false" outlineLevel="0" collapsed="false">
      <c r="A945" s="48" t="s">
        <v>1766</v>
      </c>
      <c r="B945" s="48" t="s">
        <v>1767</v>
      </c>
      <c r="C945" s="48" t="s">
        <v>168</v>
      </c>
      <c r="D945" s="48" t="s">
        <v>188</v>
      </c>
      <c r="E945" s="48"/>
      <c r="F945" s="48" t="s">
        <v>222</v>
      </c>
      <c r="G945" s="49" t="n">
        <v>28</v>
      </c>
      <c r="H945" s="50" t="n">
        <f aca="false">MAX(0,IF(AND(Parameter!$B$21="Ja",ISNUMBER(Y945)),Y945,IF(Parameter!$B$20="Jahresanfang 2025 + Export",BO945+BN945,BN945)))</f>
        <v>0</v>
      </c>
      <c r="I945" s="50" t="n">
        <f aca="false">H945*G945</f>
        <v>0</v>
      </c>
      <c r="J945" s="50" t="n">
        <f aca="false">BQ945*Parameter!$B$18</f>
        <v>0</v>
      </c>
      <c r="K945" s="51" t="n">
        <v>1</v>
      </c>
      <c r="L945" s="52" t="n">
        <v>0</v>
      </c>
      <c r="M945" s="50" t="n">
        <v>0</v>
      </c>
      <c r="N945" s="50" t="n">
        <v>1</v>
      </c>
      <c r="O945" s="53" t="n">
        <v>49</v>
      </c>
      <c r="P945" s="48" t="s">
        <v>172</v>
      </c>
      <c r="Q945" s="50"/>
      <c r="R945" s="53" t="n">
        <f aca="false">IF(BW945=1,0,IFERROR(VLOOKUP(BU945,'Gebinde-Kategorie'!$A$5:$N$45,13,0)+0,0))</f>
        <v>26</v>
      </c>
      <c r="S945" s="54"/>
      <c r="T945" s="55" t="s">
        <v>279</v>
      </c>
      <c r="U945" s="55"/>
      <c r="V945" s="55"/>
      <c r="W945" s="48"/>
      <c r="X945" s="50"/>
      <c r="Y945" s="50"/>
      <c r="Z945" s="48" t="n">
        <f aca="false">IF(A945="","",IF(AND(Parameter!$B$21="Ja",ISNUMBER(W945)),W945,IF(BZ945="2+3",IF(ISNUMBER(SEARCH("grosser Artikel",BR945)),2,IFERROR(VLOOKUP(BU945,Parameter!$F$35:$G$64,2,0),2)),IF(OR(BZ945="Nein",BZ945=""),"-",BZ945))))</f>
        <v>3</v>
      </c>
      <c r="AA945" s="55"/>
      <c r="AB945" s="56"/>
      <c r="AC945" s="50" t="n">
        <f aca="false">AT945</f>
        <v>20</v>
      </c>
      <c r="AD945" s="50" t="n">
        <f aca="false">MAX(AT945,H945)</f>
        <v>20</v>
      </c>
      <c r="AE945" s="57"/>
      <c r="AF945" s="50" t="n">
        <f aca="false">IF(LEFT(Cockpit!$C$5,1)="A",H945,IF(CE945=1,CF945,IF(LEFT(Cockpit!$C$5,1)="B",AK945,MAX(AK945,H945))))</f>
        <v>0</v>
      </c>
      <c r="AG945" s="50" t="n">
        <f aca="false">IF(BW945=1,0,ROUNDUP(AF945/BV945,0))</f>
        <v>0</v>
      </c>
      <c r="AH945" s="52" t="n">
        <f aca="false">IF(CL945&gt;0,CL945*MAX(1,AF945/X945),IF(BW945=1,IF(AF945&lt;=0,0,CA945*MAX(1,IF(H945&gt;0,AF945/H945,1))),IF(R945&gt;0,AG945/R945,0))/MAX(0.1,N(Parameter!$M$21)))</f>
        <v>0</v>
      </c>
      <c r="AI945" s="50" t="n">
        <f aca="false">AH945*BY945</f>
        <v>0</v>
      </c>
      <c r="AJ945" s="50" t="n">
        <f aca="false">AF945*G945</f>
        <v>0</v>
      </c>
      <c r="AK945" s="50" t="n">
        <f aca="false">ROUNDUP(MAX(J945/IF(CD945&gt;0,CD945,MAX(0.1,N(Cockpit!$C$6))),CG945)/BV945,0)*BV945</f>
        <v>20</v>
      </c>
      <c r="AL945" s="51" t="n">
        <f aca="false">IF(AI945&gt;0,J945/AI945,-1)</f>
        <v>-1</v>
      </c>
      <c r="AM945" s="51" t="str">
        <f aca="false">IF(AND(OR(CC945="L1",CC945="L23",CC945="LIFT"),AI945&gt;0),SUMIFS($AI$7:$AI$1843,$CC$7:$CC$1843,CC945,$AL$7:$AL$1843,"&gt;"&amp;AL945)+SUMIFS($AI$7:$AI$1843,$CC$7:$CC$1843,CC945,$AL$7:$AL$1843,AL945,$BT$7:$BT$1843,"&lt;="&amp;BT945),"")</f>
        <v/>
      </c>
      <c r="AN945" s="58" t="n">
        <f aca="false">IF(AM945="",0,MAX(0,MIN(1,(IF(CC945="L1",Parameter!$H$5,IF(CC945="L23",Parameter!$H$6+Parameter!$H$7,Parameter!$H$5+Parameter!$H$6+Parameter!$H$7))-(AM945-AI945))/AI945)))</f>
        <v>0</v>
      </c>
      <c r="AO945" s="50" t="n">
        <f aca="false">IF(LEFT(Cockpit!$I$5,1)="A",H945,IF(CE945=1,CF945,IF(LEFT(Cockpit!$I$5,1)="B",AT945,MAX(AT945,H945))))</f>
        <v>20</v>
      </c>
      <c r="AP945" s="50" t="n">
        <f aca="false">IF(BW945=1,0,ROUNDUP(AO945/BV945,0))</f>
        <v>1</v>
      </c>
      <c r="AQ945" s="52" t="n">
        <f aca="false">IF(CL945&gt;0,CL945*MAX(1,AO945/X945),IF(BW945=1,IF(AO945&lt;=0,0,CA945*MAX(1,IF(H945&gt;0,AO945/H945,1))),IF(R945&gt;0,AP945/R945,0))/MAX(0.1,N(Parameter!$M$21)))</f>
        <v>0.0384615384615385</v>
      </c>
      <c r="AR945" s="50" t="n">
        <f aca="false">AQ945*BY945</f>
        <v>5.96153846153846</v>
      </c>
      <c r="AS945" s="50" t="n">
        <f aca="false">AO945*G945</f>
        <v>560</v>
      </c>
      <c r="AT945" s="50" t="n">
        <f aca="false">ROUNDUP(MAX(J945/IF(CD945&gt;0,CD945,MAX(0.1,N(Cockpit!$I$6))),CG945)/BV945,0)*BV945</f>
        <v>20</v>
      </c>
      <c r="AU945" s="51" t="n">
        <f aca="false">IF(AR945&gt;0,J945/AR945,-1)</f>
        <v>0</v>
      </c>
      <c r="AV945" s="51" t="n">
        <f aca="false">IF(AND(OR(CC945="L1",CC945="L23",CC945="LIFT"),AR945&gt;0),SUMIFS($AR$7:$AR$1843,$CC$7:$CC$1843,CC945,$AU$7:$AU$1843,"&gt;"&amp;AU945)+SUMIFS($AR$7:$AR$1843,$CC$7:$CC$1843,CC945,$AU$7:$AU$1843,AU945,$BT$7:$BT$1843,"&lt;="&amp;BT945),"")</f>
        <v>40511.4207953064</v>
      </c>
      <c r="AW945" s="58" t="n">
        <f aca="false">IF(AV945="",0,MAX(0,MIN(1,(IF(CC945="L1",Parameter!$H$5,IF(CC945="L23",Parameter!$H$6+Parameter!$H$7,Parameter!$H$5+Parameter!$H$6+Parameter!$H$7))-(AV945-AR945))/AR945)))</f>
        <v>0</v>
      </c>
      <c r="AX945" s="50" t="n">
        <f aca="false">IF(LEFT(Cockpit!$O$5,1)="A",H945,IF(CE945=1,CF945,IF(LEFT(Cockpit!$O$5,1)="B",BC945,MAX(BC945,H945))))</f>
        <v>20</v>
      </c>
      <c r="AY945" s="50" t="n">
        <f aca="false">IF(BW945=1,0,ROUNDUP(AX945/BV945,0))</f>
        <v>1</v>
      </c>
      <c r="AZ945" s="52" t="n">
        <f aca="false">IF(CL945&gt;0,CL945*MAX(1,AX945/X945),IF(BW945=1,IF(AX945&lt;=0,0,CA945*MAX(1,IF(H945&gt;0,AX945/H945,1))),IF(R945&gt;0,AY945/R945,0))/MAX(0.1,N(Parameter!$M$21)))</f>
        <v>0.0384615384615385</v>
      </c>
      <c r="BA945" s="50" t="n">
        <f aca="false">AZ945*BY945</f>
        <v>5.96153846153846</v>
      </c>
      <c r="BB945" s="50" t="n">
        <f aca="false">AX945*G945</f>
        <v>560</v>
      </c>
      <c r="BC945" s="50" t="n">
        <f aca="false">ROUNDUP(MAX(J945/IF(CD945&gt;0,CD945,MAX(0.1,N(Cockpit!$O$6))),CG945)/BV945,0)*BV945</f>
        <v>20</v>
      </c>
      <c r="BD945" s="51" t="n">
        <f aca="false">IF(BA945&gt;0,J945/BA945,-1)</f>
        <v>0</v>
      </c>
      <c r="BE945" s="51" t="n">
        <f aca="false">IF(AND(OR(CC945="L1",CC945="L23",CC945="LIFT"),BA945&gt;0),SUMIFS($BA$7:$BA$1843,$CC$7:$CC$1843,CC945,$BD$7:$BD$1843,"&gt;"&amp;BD945)+SUMIFS($BA$7:$BA$1843,$CC$7:$CC$1843,CC945,$BD$7:$BD$1843,BD945,$BT$7:$BT$1843,"&lt;="&amp;BT945),"")</f>
        <v>37186.4328371722</v>
      </c>
      <c r="BF945" s="58" t="n">
        <f aca="false">IF(BE945="",0,MAX(0,MIN(1,(IF(CC945="L1",Parameter!$H$5,IF(CC945="L23",Parameter!$H$6+Parameter!$H$7,Parameter!$H$5+Parameter!$H$6+Parameter!$H$7))-(BE945-BA945))/BA945)))</f>
        <v>0</v>
      </c>
      <c r="BG945" s="48" t="str">
        <f aca="false">IF(AI945&lt;=0,"",IF(CC945="Aussen","Aussenlager",IF(CC945="-","Nicht im Lift",IF(AN945&gt;=1,"Lift",IF(AN945&lt;=0,"Aussenlager","teilweise")))))</f>
        <v/>
      </c>
      <c r="BH945" s="48" t="str">
        <f aca="false">IF(AR945&lt;=0,"",IF(CC945="Aussen","Aussenlager",IF(CC945="-","Nicht im Lift",IF(AW945&gt;=1,"Lift",IF(AW945&lt;=0,"Aussenlager","teilweise")))))</f>
        <v>Aussenlager</v>
      </c>
      <c r="BI945" s="48" t="str">
        <f aca="false">IF(BA945&lt;=0,"",IF(CC945="Aussen","Aussenlager",IF(CC945="-","Nicht im Lift",IF(BF945&gt;=1,"Lift",IF(BF945&lt;=0,"Aussenlager","teilweise")))))</f>
        <v>Aussenlager</v>
      </c>
      <c r="BJ945" s="48" t="str">
        <f aca="false">IF(A945="","",IF(BS945=1,"Neu; ","")&amp;IF(AND(BS945=0,BN945&lt;0),"negativer Bestand (Export "&amp;BN945&amp;"); ","")&amp;IF(J945&lt;=0,"Kein Verbrauch; ","")&amp;IF(CL945&gt;0,"Lift "&amp;W945&amp;" lt. Liftbericht (Fach "&amp;X945&amp;" Stk); ",IF(BX945=1,"Gebinde geschätzt ("&amp;T945&amp;"); ",IF(BW945=1,"Lose – Tablare geschätzt; ","")))&amp;IF(H945&gt;AT945,"Überbestand "&amp;ROUND(H945-AT945,0)&amp;" Stk / CHF "&amp;ROUND((H945-AT945)*G945,0)&amp;"; ","")&amp;IF(AND(CE945=1,CF945&lt;CG945),"MAX &lt; MB+LG; ","")&amp;IF(AND(CK945&gt;0,CJ945*10&gt;CK945),"zu hoch für Tablar; ","")&amp;IF(AND(BS945=0,OR(CE945=1,AA945&lt;&gt;"",U945&lt;&gt;"",V945&lt;&gt;"",AB945&lt;&gt;"")),"manuell übersteuert; ","")&amp;IF(AND(BW945=0,R945=0),"Gebinde unbekannt / Stellmass fehlt; ","")&amp;IF(AND(BW945=0,N(V945)&lt;=0,N(Q945)&lt;=0),"Menge pro Gebinde fehlt (Ist = 1 Gebinde); ","")&amp;BR945)</f>
        <v>negativer Bestand (Export -2); Kein Verbrauch; Gebinde geschätzt (Klein); Menge pro Gebinde fehlt (Ist = 1 Gebinde); </v>
      </c>
      <c r="BK945" s="48"/>
      <c r="BL945" s="48"/>
      <c r="BM945" s="55"/>
      <c r="BN945" s="50" t="n">
        <v>-2</v>
      </c>
      <c r="BO945" s="50" t="n">
        <v>2</v>
      </c>
      <c r="BP945" s="49" t="n">
        <v>-56</v>
      </c>
      <c r="BQ945" s="50" t="n">
        <v>0</v>
      </c>
      <c r="BR945" s="48"/>
      <c r="BS945" s="53" t="n">
        <v>0</v>
      </c>
      <c r="BT945" s="53" t="n">
        <v>945</v>
      </c>
      <c r="BU945" s="48" t="str">
        <f aca="false">IF(U945&lt;&gt;"",UPPER(TRIM(U945)),IF(BX945=1,UPPER(VLOOKUP(T945,Parameter!$I$27:$K$29,2,0)),IF(P945="","LOSE",P945)))</f>
        <v>S51</v>
      </c>
      <c r="BV945" s="50" t="n">
        <f aca="false">IF(BU945="LOSE",1,IF(N(V945)&gt;0,V945,IF(BX945=1,MAX(1,N(VLOOKUP(T945,Parameter!$I$27:$K$29,3,0)),H945,N(N945)),IF(N(Q945)&gt;0,Q945,MAX(1,H945)))))</f>
        <v>20</v>
      </c>
      <c r="BW945" s="53" t="n">
        <f aca="false">IF(BU945="LOSE",1,0)</f>
        <v>0</v>
      </c>
      <c r="BX945" s="53" t="n">
        <f aca="false">IF(AND(U945="",OR(P945="",P945="LOSE"),T945&lt;&gt;"",N(S945)&lt;=0,ISNUMBER(MATCH(T945,Parameter!$I$27:$I$29,0))),1,0)</f>
        <v>1</v>
      </c>
      <c r="BY945" s="53" t="n">
        <f aca="false">IF(CL945&gt;0,INDEX(Parameter!$H$5:$H$7,W945)/INDEX(Parameter!$E$5:$E$7,W945),IF(AND(BW945=0,N(IFERROR(VLOOKUP(BU945,'Gebinde-Kategorie'!$A$5:$N$45,14,0),0))&gt;0),VLOOKUP(BU945,'Gebinde-Kategorie'!$A$5:$N$45,14,0)*10+Parameter!$M$23,Parameter!$M$24))</f>
        <v>155</v>
      </c>
      <c r="BZ945" s="48" t="str">
        <f aca="false">IF(AND(Parameter!$B$19="Ja",E945&lt;&gt;"",ISNUMBER(MATCH(E945,Parameter!$I$35:$I$52,0))),VLOOKUP(E945,Parameter!$I$35:$J$52,2,0),IFERROR(VLOOKUP(D945,Parameter!$A$35:$C$64,2,0),"Nein"))</f>
        <v>2+3</v>
      </c>
      <c r="CA945" s="52" t="n">
        <f aca="false">IF(BW945=0,0,IF(N(S945)&gt;0,S945,IFERROR(VLOOKUP(D945,Parameter!$A$35:$C$64,3,0)+0,0)))</f>
        <v>0</v>
      </c>
      <c r="CB945" s="48" t="n">
        <f aca="false">IF(AA945&lt;&gt;"",AA945,Z945)</f>
        <v>3</v>
      </c>
      <c r="CC945" s="48" t="str">
        <f aca="false">IF(OR(CB945=1,CB945=2,CB945=3),IF(Parameter!$E$27="Ja","LIFT",IF(CB945=1,"L1","L23")),IF(CB945="Aussen","Aussen","-"))</f>
        <v>LIFT</v>
      </c>
      <c r="CD945" s="59" t="n">
        <f aca="false">IF(N(AB945)&gt;0,AB945,0)</f>
        <v>0</v>
      </c>
      <c r="CE945" s="53" t="n">
        <f aca="false">IF(ISNUMBER(AE945),1,0)</f>
        <v>0</v>
      </c>
      <c r="CF945" s="50" t="n">
        <f aca="false">N(AE945)</f>
        <v>0</v>
      </c>
      <c r="CG945" s="50" t="n">
        <f aca="false">N(M945)+N(N945)</f>
        <v>1</v>
      </c>
      <c r="CH945" s="50" t="n">
        <f aca="false">ROUNDUP(H945/BV945,0)</f>
        <v>0</v>
      </c>
      <c r="CI945" s="50" t="n">
        <f aca="false">ROUNDUP(CF945/BV945,0)</f>
        <v>0</v>
      </c>
      <c r="CJ945" s="53" t="n">
        <f aca="false">IF(BW945=1,0,IFERROR(VLOOKUP(BU945,'Gebinde-Kategorie'!$A$5:$N$45,5,0)+0,0))</f>
        <v>11</v>
      </c>
      <c r="CK945" s="53" t="n">
        <f aca="false">IFERROR(IF(OR(CB945=1,CB945=2,CB945=3),N(INDEX(Parameter!$I$5:$I$7,CB945)),0),0)</f>
        <v>0</v>
      </c>
      <c r="CL945" s="52" t="n">
        <f aca="false">IF(AND(Parameter!$B$21="Ja",ISNUMBER(W945),N(X945)&gt;0),IFERROR(N(INDEX(Parameter!$L$5:$L$7,W945))*INDEX(Parameter!$E$5:$E$7,W945)*X945/SUMIFS($X$7:$X$1843,$W$7:$W$1843,W945),0),0)</f>
        <v>0</v>
      </c>
    </row>
    <row r="946" customFormat="false" ht="15" hidden="false" customHeight="false" outlineLevel="0" collapsed="false">
      <c r="A946" s="48" t="s">
        <v>1768</v>
      </c>
      <c r="B946" s="48" t="s">
        <v>987</v>
      </c>
      <c r="C946" s="48" t="s">
        <v>168</v>
      </c>
      <c r="D946" s="48" t="s">
        <v>188</v>
      </c>
      <c r="E946" s="48" t="s">
        <v>189</v>
      </c>
      <c r="F946" s="48" t="s">
        <v>222</v>
      </c>
      <c r="G946" s="49" t="n">
        <v>18.9</v>
      </c>
      <c r="H946" s="50" t="n">
        <f aca="false">MAX(0,IF(AND(Parameter!$B$21="Ja",ISNUMBER(Y946)),Y946,IF(Parameter!$B$20="Jahresanfang 2025 + Export",BO946+BN946,BN946)))</f>
        <v>2</v>
      </c>
      <c r="I946" s="50" t="n">
        <f aca="false">H946*G946</f>
        <v>37.8</v>
      </c>
      <c r="J946" s="50" t="n">
        <f aca="false">BQ946*Parameter!$B$18</f>
        <v>8</v>
      </c>
      <c r="K946" s="51" t="n">
        <v>3.5</v>
      </c>
      <c r="L946" s="52" t="n">
        <v>2.28571428571429</v>
      </c>
      <c r="M946" s="50" t="n">
        <v>0</v>
      </c>
      <c r="N946" s="50" t="n">
        <v>10</v>
      </c>
      <c r="O946" s="53" t="n">
        <v>21</v>
      </c>
      <c r="P946" s="48" t="s">
        <v>306</v>
      </c>
      <c r="Q946" s="50" t="n">
        <v>10</v>
      </c>
      <c r="R946" s="53" t="n">
        <f aca="false">IF(BW946=1,0,IFERROR(VLOOKUP(BU946,'Gebinde-Kategorie'!$A$5:$N$45,13,0)+0,0))</f>
        <v>26</v>
      </c>
      <c r="S946" s="54"/>
      <c r="T946" s="55"/>
      <c r="U946" s="55"/>
      <c r="V946" s="55"/>
      <c r="W946" s="48"/>
      <c r="X946" s="50"/>
      <c r="Y946" s="50"/>
      <c r="Z946" s="48" t="n">
        <f aca="false">IF(A946="","",IF(AND(Parameter!$B$21="Ja",ISNUMBER(W946)),W946,IF(BZ946="2+3",IF(ISNUMBER(SEARCH("grosser Artikel",BR946)),2,IFERROR(VLOOKUP(BU946,Parameter!$F$35:$G$64,2,0),2)),IF(OR(BZ946="Nein",BZ946=""),"-",BZ946))))</f>
        <v>3</v>
      </c>
      <c r="AA946" s="55"/>
      <c r="AB946" s="56"/>
      <c r="AC946" s="50" t="n">
        <f aca="false">AT946</f>
        <v>10</v>
      </c>
      <c r="AD946" s="50" t="n">
        <f aca="false">MAX(AT946,H946)</f>
        <v>10</v>
      </c>
      <c r="AE946" s="57"/>
      <c r="AF946" s="50" t="n">
        <f aca="false">IF(LEFT(Cockpit!$C$5,1)="A",H946,IF(CE946=1,CF946,IF(LEFT(Cockpit!$C$5,1)="B",AK946,MAX(AK946,H946))))</f>
        <v>2</v>
      </c>
      <c r="AG946" s="50" t="n">
        <f aca="false">IF(BW946=1,0,ROUNDUP(AF946/BV946,0))</f>
        <v>1</v>
      </c>
      <c r="AH946" s="52" t="n">
        <f aca="false">IF(CL946&gt;0,CL946*MAX(1,AF946/X946),IF(BW946=1,IF(AF946&lt;=0,0,CA946*MAX(1,IF(H946&gt;0,AF946/H946,1))),IF(R946&gt;0,AG946/R946,0))/MAX(0.1,N(Parameter!$M$21)))</f>
        <v>0.0384615384615385</v>
      </c>
      <c r="AI946" s="50" t="n">
        <f aca="false">AH946*BY946</f>
        <v>5.96153846153846</v>
      </c>
      <c r="AJ946" s="50" t="n">
        <f aca="false">AF946*G946</f>
        <v>37.8</v>
      </c>
      <c r="AK946" s="50" t="n">
        <f aca="false">ROUNDUP(MAX(J946/IF(CD946&gt;0,CD946,MAX(0.1,N(Cockpit!$C$6))),CG946)/BV946,0)*BV946</f>
        <v>10</v>
      </c>
      <c r="AL946" s="51" t="n">
        <f aca="false">IF(AI946&gt;0,J946/AI946,-1)</f>
        <v>1.34193548387097</v>
      </c>
      <c r="AM946" s="51" t="n">
        <f aca="false">IF(AND(OR(CC946="L1",CC946="L23",CC946="LIFT"),AI946&gt;0),SUMIFS($AI$7:$AI$1843,$CC$7:$CC$1843,CC946,$AL$7:$AL$1843,"&gt;"&amp;AL946)+SUMIFS($AI$7:$AI$1843,$CC$7:$CC$1843,CC946,$AL$7:$AL$1843,AL946,$BT$7:$BT$1843,"&lt;="&amp;BT946),"")</f>
        <v>6343.07097069597</v>
      </c>
      <c r="AN946" s="58" t="n">
        <f aca="false">IF(AM946="",0,MAX(0,MIN(1,(IF(CC946="L1",Parameter!$H$5,IF(CC946="L23",Parameter!$H$6+Parameter!$H$7,Parameter!$H$5+Parameter!$H$6+Parameter!$H$7))-(AM946-AI946))/AI946)))</f>
        <v>1</v>
      </c>
      <c r="AO946" s="50" t="n">
        <f aca="false">IF(LEFT(Cockpit!$I$5,1)="A",H946,IF(CE946=1,CF946,IF(LEFT(Cockpit!$I$5,1)="B",AT946,MAX(AT946,H946))))</f>
        <v>10</v>
      </c>
      <c r="AP946" s="50" t="n">
        <f aca="false">IF(BW946=1,0,ROUNDUP(AO946/BV946,0))</f>
        <v>1</v>
      </c>
      <c r="AQ946" s="52" t="n">
        <f aca="false">IF(CL946&gt;0,CL946*MAX(1,AO946/X946),IF(BW946=1,IF(AO946&lt;=0,0,CA946*MAX(1,IF(H946&gt;0,AO946/H946,1))),IF(R946&gt;0,AP946/R946,0))/MAX(0.1,N(Parameter!$M$21)))</f>
        <v>0.0384615384615385</v>
      </c>
      <c r="AR946" s="50" t="n">
        <f aca="false">AQ946*BY946</f>
        <v>5.96153846153846</v>
      </c>
      <c r="AS946" s="50" t="n">
        <f aca="false">AO946*G946</f>
        <v>189</v>
      </c>
      <c r="AT946" s="50" t="n">
        <f aca="false">ROUNDUP(MAX(J946/IF(CD946&gt;0,CD946,MAX(0.1,N(Cockpit!$I$6))),CG946)/BV946,0)*BV946</f>
        <v>10</v>
      </c>
      <c r="AU946" s="51" t="n">
        <f aca="false">IF(AR946&gt;0,J946/AR946,-1)</f>
        <v>1.34193548387097</v>
      </c>
      <c r="AV946" s="51" t="n">
        <f aca="false">IF(AND(OR(CC946="L1",CC946="L23",CC946="LIFT"),AR946&gt;0),SUMIFS($AR$7:$AR$1843,$CC$7:$CC$1843,CC946,$AU$7:$AU$1843,"&gt;"&amp;AU946)+SUMIFS($AR$7:$AR$1843,$CC$7:$CC$1843,CC946,$AU$7:$AU$1843,AU946,$BT$7:$BT$1843,"&lt;="&amp;BT946),"")</f>
        <v>9407.59706959707</v>
      </c>
      <c r="AW946" s="58" t="n">
        <f aca="false">IF(AV946="",0,MAX(0,MIN(1,(IF(CC946="L1",Parameter!$H$5,IF(CC946="L23",Parameter!$H$6+Parameter!$H$7,Parameter!$H$5+Parameter!$H$6+Parameter!$H$7))-(AV946-AR946))/AR946)))</f>
        <v>1</v>
      </c>
      <c r="AX946" s="50" t="n">
        <f aca="false">IF(LEFT(Cockpit!$O$5,1)="A",H946,IF(CE946=1,CF946,IF(LEFT(Cockpit!$O$5,1)="B",BC946,MAX(BC946,H946))))</f>
        <v>10</v>
      </c>
      <c r="AY946" s="50" t="n">
        <f aca="false">IF(BW946=1,0,ROUNDUP(AX946/BV946,0))</f>
        <v>1</v>
      </c>
      <c r="AZ946" s="52" t="n">
        <f aca="false">IF(CL946&gt;0,CL946*MAX(1,AX946/X946),IF(BW946=1,IF(AX946&lt;=0,0,CA946*MAX(1,IF(H946&gt;0,AX946/H946,1))),IF(R946&gt;0,AY946/R946,0))/MAX(0.1,N(Parameter!$M$21)))</f>
        <v>0.0384615384615385</v>
      </c>
      <c r="BA946" s="50" t="n">
        <f aca="false">AZ946*BY946</f>
        <v>5.96153846153846</v>
      </c>
      <c r="BB946" s="50" t="n">
        <f aca="false">AX946*G946</f>
        <v>189</v>
      </c>
      <c r="BC946" s="50" t="n">
        <f aca="false">ROUNDUP(MAX(J946/IF(CD946&gt;0,CD946,MAX(0.1,N(Cockpit!$O$6))),CG946)/BV946,0)*BV946</f>
        <v>10</v>
      </c>
      <c r="BD946" s="51" t="n">
        <f aca="false">IF(BA946&gt;0,J946/BA946,-1)</f>
        <v>1.34193548387097</v>
      </c>
      <c r="BE946" s="51" t="n">
        <f aca="false">IF(AND(OR(CC946="L1",CC946="L23",CC946="LIFT"),BA946&gt;0),SUMIFS($BA$7:$BA$1843,$CC$7:$CC$1843,CC946,$BD$7:$BD$1843,"&gt;"&amp;BD946)+SUMIFS($BA$7:$BA$1843,$CC$7:$CC$1843,CC946,$BD$7:$BD$1843,BD946,$BT$7:$BT$1843,"&lt;="&amp;BT946),"")</f>
        <v>8593.25412087912</v>
      </c>
      <c r="BF946" s="58" t="n">
        <f aca="false">IF(BE946="",0,MAX(0,MIN(1,(IF(CC946="L1",Parameter!$H$5,IF(CC946="L23",Parameter!$H$6+Parameter!$H$7,Parameter!$H$5+Parameter!$H$6+Parameter!$H$7))-(BE946-BA946))/BA946)))</f>
        <v>1</v>
      </c>
      <c r="BG946" s="48" t="str">
        <f aca="false">IF(AI946&lt;=0,"",IF(CC946="Aussen","Aussenlager",IF(CC946="-","Nicht im Lift",IF(AN946&gt;=1,"Lift",IF(AN946&lt;=0,"Aussenlager","teilweise")))))</f>
        <v>Lift</v>
      </c>
      <c r="BH946" s="48" t="str">
        <f aca="false">IF(AR946&lt;=0,"",IF(CC946="Aussen","Aussenlager",IF(CC946="-","Nicht im Lift",IF(AW946&gt;=1,"Lift",IF(AW946&lt;=0,"Aussenlager","teilweise")))))</f>
        <v>Lift</v>
      </c>
      <c r="BI946" s="48" t="str">
        <f aca="false">IF(BA946&lt;=0,"",IF(CC946="Aussen","Aussenlager",IF(CC946="-","Nicht im Lift",IF(BF946&gt;=1,"Lift",IF(BF946&lt;=0,"Aussenlager","teilweise")))))</f>
        <v>Lift</v>
      </c>
      <c r="BJ946" s="48" t="str">
        <f aca="false">IF(A946="","",IF(BS946=1,"Neu; ","")&amp;IF(AND(BS946=0,BN946&lt;0),"negativer Bestand (Export "&amp;BN946&amp;"); ","")&amp;IF(J946&lt;=0,"Kein Verbrauch; ","")&amp;IF(CL946&gt;0,"Lift "&amp;W946&amp;" lt. Liftbericht (Fach "&amp;X946&amp;" Stk); ",IF(BX946=1,"Gebinde geschätzt ("&amp;T946&amp;"); ",IF(BW946=1,"Lose – Tablare geschätzt; ","")))&amp;IF(H946&gt;AT946,"Überbestand "&amp;ROUND(H946-AT946,0)&amp;" Stk / CHF "&amp;ROUND((H946-AT946)*G946,0)&amp;"; ","")&amp;IF(AND(CE946=1,CF946&lt;CG946),"MAX &lt; MB+LG; ","")&amp;IF(AND(CK946&gt;0,CJ946*10&gt;CK946),"zu hoch für Tablar; ","")&amp;IF(AND(BS946=0,OR(CE946=1,AA946&lt;&gt;"",U946&lt;&gt;"",V946&lt;&gt;"",AB946&lt;&gt;"")),"manuell übersteuert; ","")&amp;IF(AND(BW946=0,R946=0),"Gebinde unbekannt / Stellmass fehlt; ","")&amp;IF(AND(BW946=0,N(V946)&lt;=0,N(Q946)&lt;=0),"Menge pro Gebinde fehlt (Ist = 1 Gebinde); ","")&amp;BR946)</f>
        <v>negativer Bestand (Export -3); </v>
      </c>
      <c r="BK946" s="48"/>
      <c r="BL946" s="48"/>
      <c r="BM946" s="55"/>
      <c r="BN946" s="50" t="n">
        <v>-3</v>
      </c>
      <c r="BO946" s="50" t="n">
        <v>5</v>
      </c>
      <c r="BP946" s="49" t="n">
        <v>-56.7</v>
      </c>
      <c r="BQ946" s="50" t="n">
        <v>8</v>
      </c>
      <c r="BR946" s="48"/>
      <c r="BS946" s="53" t="n">
        <v>0</v>
      </c>
      <c r="BT946" s="53" t="n">
        <v>946</v>
      </c>
      <c r="BU946" s="48" t="str">
        <f aca="false">IF(U946&lt;&gt;"",UPPER(TRIM(U946)),IF(BX946=1,UPPER(VLOOKUP(T946,Parameter!$I$27:$K$29,2,0)),IF(P946="","LOSE",P946)))</f>
        <v>S51</v>
      </c>
      <c r="BV946" s="50" t="n">
        <f aca="false">IF(BU946="LOSE",1,IF(N(V946)&gt;0,V946,IF(BX946=1,MAX(1,N(VLOOKUP(T946,Parameter!$I$27:$K$29,3,0)),H946,N(N946)),IF(N(Q946)&gt;0,Q946,MAX(1,H946)))))</f>
        <v>10</v>
      </c>
      <c r="BW946" s="53" t="n">
        <f aca="false">IF(BU946="LOSE",1,0)</f>
        <v>0</v>
      </c>
      <c r="BX946" s="53" t="n">
        <f aca="false">IF(AND(U946="",OR(P946="",P946="LOSE"),T946&lt;&gt;"",N(S946)&lt;=0,ISNUMBER(MATCH(T946,Parameter!$I$27:$I$29,0))),1,0)</f>
        <v>0</v>
      </c>
      <c r="BY946" s="53" t="n">
        <f aca="false">IF(CL946&gt;0,INDEX(Parameter!$H$5:$H$7,W946)/INDEX(Parameter!$E$5:$E$7,W946),IF(AND(BW946=0,N(IFERROR(VLOOKUP(BU946,'Gebinde-Kategorie'!$A$5:$N$45,14,0),0))&gt;0),VLOOKUP(BU946,'Gebinde-Kategorie'!$A$5:$N$45,14,0)*10+Parameter!$M$23,Parameter!$M$24))</f>
        <v>155</v>
      </c>
      <c r="BZ946" s="48" t="str">
        <f aca="false">IF(AND(Parameter!$B$19="Ja",E946&lt;&gt;"",ISNUMBER(MATCH(E946,Parameter!$I$35:$I$52,0))),VLOOKUP(E946,Parameter!$I$35:$J$52,2,0),IFERROR(VLOOKUP(D946,Parameter!$A$35:$C$64,2,0),"Nein"))</f>
        <v>2+3</v>
      </c>
      <c r="CA946" s="52" t="n">
        <f aca="false">IF(BW946=0,0,IF(N(S946)&gt;0,S946,IFERROR(VLOOKUP(D946,Parameter!$A$35:$C$64,3,0)+0,0)))</f>
        <v>0</v>
      </c>
      <c r="CB946" s="48" t="n">
        <f aca="false">IF(AA946&lt;&gt;"",AA946,Z946)</f>
        <v>3</v>
      </c>
      <c r="CC946" s="48" t="str">
        <f aca="false">IF(OR(CB946=1,CB946=2,CB946=3),IF(Parameter!$E$27="Ja","LIFT",IF(CB946=1,"L1","L23")),IF(CB946="Aussen","Aussen","-"))</f>
        <v>LIFT</v>
      </c>
      <c r="CD946" s="59" t="n">
        <f aca="false">IF(N(AB946)&gt;0,AB946,0)</f>
        <v>0</v>
      </c>
      <c r="CE946" s="53" t="n">
        <f aca="false">IF(ISNUMBER(AE946),1,0)</f>
        <v>0</v>
      </c>
      <c r="CF946" s="50" t="n">
        <f aca="false">N(AE946)</f>
        <v>0</v>
      </c>
      <c r="CG946" s="50" t="n">
        <f aca="false">N(M946)+N(N946)</f>
        <v>10</v>
      </c>
      <c r="CH946" s="50" t="n">
        <f aca="false">ROUNDUP(H946/BV946,0)</f>
        <v>1</v>
      </c>
      <c r="CI946" s="50" t="n">
        <f aca="false">ROUNDUP(CF946/BV946,0)</f>
        <v>0</v>
      </c>
      <c r="CJ946" s="53" t="n">
        <f aca="false">IF(BW946=1,0,IFERROR(VLOOKUP(BU946,'Gebinde-Kategorie'!$A$5:$N$45,5,0)+0,0))</f>
        <v>11</v>
      </c>
      <c r="CK946" s="53" t="n">
        <f aca="false">IFERROR(IF(OR(CB946=1,CB946=2,CB946=3),N(INDEX(Parameter!$I$5:$I$7,CB946)),0),0)</f>
        <v>0</v>
      </c>
      <c r="CL946" s="52" t="n">
        <f aca="false">IF(AND(Parameter!$B$21="Ja",ISNUMBER(W946),N(X946)&gt;0),IFERROR(N(INDEX(Parameter!$L$5:$L$7,W946))*INDEX(Parameter!$E$5:$E$7,W946)*X946/SUMIFS($X$7:$X$1843,$W$7:$W$1843,W946),0),0)</f>
        <v>0</v>
      </c>
    </row>
    <row r="947" customFormat="false" ht="15" hidden="false" customHeight="false" outlineLevel="0" collapsed="false">
      <c r="A947" s="48" t="s">
        <v>1769</v>
      </c>
      <c r="B947" s="48" t="s">
        <v>1770</v>
      </c>
      <c r="C947" s="48" t="s">
        <v>168</v>
      </c>
      <c r="D947" s="48" t="s">
        <v>188</v>
      </c>
      <c r="E947" s="48" t="s">
        <v>189</v>
      </c>
      <c r="F947" s="48" t="s">
        <v>222</v>
      </c>
      <c r="G947" s="49" t="n">
        <v>28.49</v>
      </c>
      <c r="H947" s="50" t="n">
        <f aca="false">MAX(0,IF(AND(Parameter!$B$21="Ja",ISNUMBER(Y947)),Y947,IF(Parameter!$B$20="Jahresanfang 2025 + Export",BO947+BN947,BN947)))</f>
        <v>2</v>
      </c>
      <c r="I947" s="50" t="n">
        <f aca="false">H947*G947</f>
        <v>56.98</v>
      </c>
      <c r="J947" s="50" t="n">
        <f aca="false">BQ947*Parameter!$B$18</f>
        <v>0</v>
      </c>
      <c r="K947" s="51" t="n">
        <v>4</v>
      </c>
      <c r="L947" s="52" t="n">
        <v>0</v>
      </c>
      <c r="M947" s="50" t="n">
        <v>0</v>
      </c>
      <c r="N947" s="50" t="n">
        <v>1</v>
      </c>
      <c r="O947" s="53" t="n">
        <v>28</v>
      </c>
      <c r="P947" s="48" t="s">
        <v>332</v>
      </c>
      <c r="Q947" s="50" t="n">
        <v>3</v>
      </c>
      <c r="R947" s="53" t="n">
        <f aca="false">IF(BW947=1,0,IFERROR(VLOOKUP(BU947,'Gebinde-Kategorie'!$A$5:$N$45,13,0)+0,0))</f>
        <v>52</v>
      </c>
      <c r="S947" s="54"/>
      <c r="T947" s="55"/>
      <c r="U947" s="55"/>
      <c r="V947" s="55"/>
      <c r="W947" s="48"/>
      <c r="X947" s="50"/>
      <c r="Y947" s="50"/>
      <c r="Z947" s="48" t="n">
        <f aca="false">IF(A947="","",IF(AND(Parameter!$B$21="Ja",ISNUMBER(W947)),W947,IF(BZ947="2+3",IF(ISNUMBER(SEARCH("grosser Artikel",BR947)),2,IFERROR(VLOOKUP(BU947,Parameter!$F$35:$G$64,2,0),2)),IF(OR(BZ947="Nein",BZ947=""),"-",BZ947))))</f>
        <v>3</v>
      </c>
      <c r="AA947" s="55"/>
      <c r="AB947" s="56"/>
      <c r="AC947" s="50" t="n">
        <f aca="false">AT947</f>
        <v>3</v>
      </c>
      <c r="AD947" s="50" t="n">
        <f aca="false">MAX(AT947,H947)</f>
        <v>3</v>
      </c>
      <c r="AE947" s="57"/>
      <c r="AF947" s="50" t="n">
        <f aca="false">IF(LEFT(Cockpit!$C$5,1)="A",H947,IF(CE947=1,CF947,IF(LEFT(Cockpit!$C$5,1)="B",AK947,MAX(AK947,H947))))</f>
        <v>2</v>
      </c>
      <c r="AG947" s="50" t="n">
        <f aca="false">IF(BW947=1,0,ROUNDUP(AF947/BV947,0))</f>
        <v>1</v>
      </c>
      <c r="AH947" s="52" t="n">
        <f aca="false">IF(CL947&gt;0,CL947*MAX(1,AF947/X947),IF(BW947=1,IF(AF947&lt;=0,0,CA947*MAX(1,IF(H947&gt;0,AF947/H947,1))),IF(R947&gt;0,AG947/R947,0))/MAX(0.1,N(Parameter!$M$21)))</f>
        <v>0.0192307692307692</v>
      </c>
      <c r="AI947" s="50" t="n">
        <f aca="false">AH947*BY947</f>
        <v>2.98076923076923</v>
      </c>
      <c r="AJ947" s="50" t="n">
        <f aca="false">AF947*G947</f>
        <v>56.98</v>
      </c>
      <c r="AK947" s="50" t="n">
        <f aca="false">ROUNDUP(MAX(J947/IF(CD947&gt;0,CD947,MAX(0.1,N(Cockpit!$C$6))),CG947)/BV947,0)*BV947</f>
        <v>3</v>
      </c>
      <c r="AL947" s="51" t="n">
        <f aca="false">IF(AI947&gt;0,J947/AI947,-1)</f>
        <v>0</v>
      </c>
      <c r="AM947" s="51" t="n">
        <f aca="false">IF(AND(OR(CC947="L1",CC947="L23",CC947="LIFT"),AI947&gt;0),SUMIFS($AI$7:$AI$1843,$CC$7:$CC$1843,CC947,$AL$7:$AL$1843,"&gt;"&amp;AL947)+SUMIFS($AI$7:$AI$1843,$CC$7:$CC$1843,CC947,$AL$7:$AL$1843,AL947,$BT$7:$BT$1843,"&lt;="&amp;BT947),"")</f>
        <v>28880.1965967178</v>
      </c>
      <c r="AN947" s="58" t="n">
        <f aca="false">IF(AM947="",0,MAX(0,MIN(1,(IF(CC947="L1",Parameter!$H$5,IF(CC947="L23",Parameter!$H$6+Parameter!$H$7,Parameter!$H$5+Parameter!$H$6+Parameter!$H$7))-(AM947-AI947))/AI947)))</f>
        <v>1</v>
      </c>
      <c r="AO947" s="50" t="n">
        <f aca="false">IF(LEFT(Cockpit!$I$5,1)="A",H947,IF(CE947=1,CF947,IF(LEFT(Cockpit!$I$5,1)="B",AT947,MAX(AT947,H947))))</f>
        <v>3</v>
      </c>
      <c r="AP947" s="50" t="n">
        <f aca="false">IF(BW947=1,0,ROUNDUP(AO947/BV947,0))</f>
        <v>1</v>
      </c>
      <c r="AQ947" s="52" t="n">
        <f aca="false">IF(CL947&gt;0,CL947*MAX(1,AO947/X947),IF(BW947=1,IF(AO947&lt;=0,0,CA947*MAX(1,IF(H947&gt;0,AO947/H947,1))),IF(R947&gt;0,AP947/R947,0))/MAX(0.1,N(Parameter!$M$21)))</f>
        <v>0.0192307692307692</v>
      </c>
      <c r="AR947" s="50" t="n">
        <f aca="false">AQ947*BY947</f>
        <v>2.98076923076923</v>
      </c>
      <c r="AS947" s="50" t="n">
        <f aca="false">AO947*G947</f>
        <v>85.47</v>
      </c>
      <c r="AT947" s="50" t="n">
        <f aca="false">ROUNDUP(MAX(J947/IF(CD947&gt;0,CD947,MAX(0.1,N(Cockpit!$I$6))),CG947)/BV947,0)*BV947</f>
        <v>3</v>
      </c>
      <c r="AU947" s="51" t="n">
        <f aca="false">IF(AR947&gt;0,J947/AR947,-1)</f>
        <v>0</v>
      </c>
      <c r="AV947" s="51" t="n">
        <f aca="false">IF(AND(OR(CC947="L1",CC947="L23",CC947="LIFT"),AR947&gt;0),SUMIFS($AR$7:$AR$1843,$CC$7:$CC$1843,CC947,$AU$7:$AU$1843,"&gt;"&amp;AU947)+SUMIFS($AR$7:$AR$1843,$CC$7:$CC$1843,CC947,$AU$7:$AU$1843,AU947,$BT$7:$BT$1843,"&lt;="&amp;BT947),"")</f>
        <v>40514.4015645372</v>
      </c>
      <c r="AW947" s="58" t="n">
        <f aca="false">IF(AV947="",0,MAX(0,MIN(1,(IF(CC947="L1",Parameter!$H$5,IF(CC947="L23",Parameter!$H$6+Parameter!$H$7,Parameter!$H$5+Parameter!$H$6+Parameter!$H$7))-(AV947-AR947))/AR947)))</f>
        <v>0</v>
      </c>
      <c r="AX947" s="50" t="n">
        <f aca="false">IF(LEFT(Cockpit!$O$5,1)="A",H947,IF(CE947=1,CF947,IF(LEFT(Cockpit!$O$5,1)="B",BC947,MAX(BC947,H947))))</f>
        <v>3</v>
      </c>
      <c r="AY947" s="50" t="n">
        <f aca="false">IF(BW947=1,0,ROUNDUP(AX947/BV947,0))</f>
        <v>1</v>
      </c>
      <c r="AZ947" s="52" t="n">
        <f aca="false">IF(CL947&gt;0,CL947*MAX(1,AX947/X947),IF(BW947=1,IF(AX947&lt;=0,0,CA947*MAX(1,IF(H947&gt;0,AX947/H947,1))),IF(R947&gt;0,AY947/R947,0))/MAX(0.1,N(Parameter!$M$21)))</f>
        <v>0.0192307692307692</v>
      </c>
      <c r="BA947" s="50" t="n">
        <f aca="false">AZ947*BY947</f>
        <v>2.98076923076923</v>
      </c>
      <c r="BB947" s="50" t="n">
        <f aca="false">AX947*G947</f>
        <v>85.47</v>
      </c>
      <c r="BC947" s="50" t="n">
        <f aca="false">ROUNDUP(MAX(J947/IF(CD947&gt;0,CD947,MAX(0.1,N(Cockpit!$O$6))),CG947)/BV947,0)*BV947</f>
        <v>3</v>
      </c>
      <c r="BD947" s="51" t="n">
        <f aca="false">IF(BA947&gt;0,J947/BA947,-1)</f>
        <v>0</v>
      </c>
      <c r="BE947" s="51" t="n">
        <f aca="false">IF(AND(OR(CC947="L1",CC947="L23",CC947="LIFT"),BA947&gt;0),SUMIFS($BA$7:$BA$1843,$CC$7:$CC$1843,CC947,$BD$7:$BD$1843,"&gt;"&amp;BD947)+SUMIFS($BA$7:$BA$1843,$CC$7:$CC$1843,CC947,$BD$7:$BD$1843,BD947,$BT$7:$BT$1843,"&lt;="&amp;BT947),"")</f>
        <v>37189.413606403</v>
      </c>
      <c r="BF947" s="58" t="n">
        <f aca="false">IF(BE947="",0,MAX(0,MIN(1,(IF(CC947="L1",Parameter!$H$5,IF(CC947="L23",Parameter!$H$6+Parameter!$H$7,Parameter!$H$5+Parameter!$H$6+Parameter!$H$7))-(BE947-BA947))/BA947)))</f>
        <v>0</v>
      </c>
      <c r="BG947" s="48" t="str">
        <f aca="false">IF(AI947&lt;=0,"",IF(CC947="Aussen","Aussenlager",IF(CC947="-","Nicht im Lift",IF(AN947&gt;=1,"Lift",IF(AN947&lt;=0,"Aussenlager","teilweise")))))</f>
        <v>Lift</v>
      </c>
      <c r="BH947" s="48" t="str">
        <f aca="false">IF(AR947&lt;=0,"",IF(CC947="Aussen","Aussenlager",IF(CC947="-","Nicht im Lift",IF(AW947&gt;=1,"Lift",IF(AW947&lt;=0,"Aussenlager","teilweise")))))</f>
        <v>Aussenlager</v>
      </c>
      <c r="BI947" s="48" t="str">
        <f aca="false">IF(BA947&lt;=0,"",IF(CC947="Aussen","Aussenlager",IF(CC947="-","Nicht im Lift",IF(BF947&gt;=1,"Lift",IF(BF947&lt;=0,"Aussenlager","teilweise")))))</f>
        <v>Aussenlager</v>
      </c>
      <c r="BJ947" s="48" t="str">
        <f aca="false">IF(A947="","",IF(BS947=1,"Neu; ","")&amp;IF(AND(BS947=0,BN947&lt;0),"negativer Bestand (Export "&amp;BN947&amp;"); ","")&amp;IF(J947&lt;=0,"Kein Verbrauch; ","")&amp;IF(CL947&gt;0,"Lift "&amp;W947&amp;" lt. Liftbericht (Fach "&amp;X947&amp;" Stk); ",IF(BX947=1,"Gebinde geschätzt ("&amp;T947&amp;"); ",IF(BW947=1,"Lose – Tablare geschätzt; ","")))&amp;IF(H947&gt;AT947,"Überbestand "&amp;ROUND(H947-AT947,0)&amp;" Stk / CHF "&amp;ROUND((H947-AT947)*G947,0)&amp;"; ","")&amp;IF(AND(CE947=1,CF947&lt;CG947),"MAX &lt; MB+LG; ","")&amp;IF(AND(CK947&gt;0,CJ947*10&gt;CK947),"zu hoch für Tablar; ","")&amp;IF(AND(BS947=0,OR(CE947=1,AA947&lt;&gt;"",U947&lt;&gt;"",V947&lt;&gt;"",AB947&lt;&gt;"")),"manuell übersteuert; ","")&amp;IF(AND(BW947=0,R947=0),"Gebinde unbekannt / Stellmass fehlt; ","")&amp;IF(AND(BW947=0,N(V947)&lt;=0,N(Q947)&lt;=0),"Menge pro Gebinde fehlt (Ist = 1 Gebinde); ","")&amp;BR947)</f>
        <v>negativer Bestand (Export -2); Kein Verbrauch; </v>
      </c>
      <c r="BK947" s="48"/>
      <c r="BL947" s="48"/>
      <c r="BM947" s="55"/>
      <c r="BN947" s="50" t="n">
        <v>-2</v>
      </c>
      <c r="BO947" s="50" t="n">
        <v>4</v>
      </c>
      <c r="BP947" s="49" t="n">
        <v>-56.98</v>
      </c>
      <c r="BQ947" s="50" t="n">
        <v>0</v>
      </c>
      <c r="BR947" s="48"/>
      <c r="BS947" s="53" t="n">
        <v>0</v>
      </c>
      <c r="BT947" s="53" t="n">
        <v>947</v>
      </c>
      <c r="BU947" s="48" t="str">
        <f aca="false">IF(U947&lt;&gt;"",UPPER(TRIM(U947)),IF(BX947=1,UPPER(VLOOKUP(T947,Parameter!$I$27:$K$29,2,0)),IF(P947="","LOSE",P947)))</f>
        <v>S41</v>
      </c>
      <c r="BV947" s="50" t="n">
        <f aca="false">IF(BU947="LOSE",1,IF(N(V947)&gt;0,V947,IF(BX947=1,MAX(1,N(VLOOKUP(T947,Parameter!$I$27:$K$29,3,0)),H947,N(N947)),IF(N(Q947)&gt;0,Q947,MAX(1,H947)))))</f>
        <v>3</v>
      </c>
      <c r="BW947" s="53" t="n">
        <f aca="false">IF(BU947="LOSE",1,0)</f>
        <v>0</v>
      </c>
      <c r="BX947" s="53" t="n">
        <f aca="false">IF(AND(U947="",OR(P947="",P947="LOSE"),T947&lt;&gt;"",N(S947)&lt;=0,ISNUMBER(MATCH(T947,Parameter!$I$27:$I$29,0))),1,0)</f>
        <v>0</v>
      </c>
      <c r="BY947" s="53" t="n">
        <f aca="false">IF(CL947&gt;0,INDEX(Parameter!$H$5:$H$7,W947)/INDEX(Parameter!$E$5:$E$7,W947),IF(AND(BW947=0,N(IFERROR(VLOOKUP(BU947,'Gebinde-Kategorie'!$A$5:$N$45,14,0),0))&gt;0),VLOOKUP(BU947,'Gebinde-Kategorie'!$A$5:$N$45,14,0)*10+Parameter!$M$23,Parameter!$M$24))</f>
        <v>155</v>
      </c>
      <c r="BZ947" s="48" t="str">
        <f aca="false">IF(AND(Parameter!$B$19="Ja",E947&lt;&gt;"",ISNUMBER(MATCH(E947,Parameter!$I$35:$I$52,0))),VLOOKUP(E947,Parameter!$I$35:$J$52,2,0),IFERROR(VLOOKUP(D947,Parameter!$A$35:$C$64,2,0),"Nein"))</f>
        <v>2+3</v>
      </c>
      <c r="CA947" s="52" t="n">
        <f aca="false">IF(BW947=0,0,IF(N(S947)&gt;0,S947,IFERROR(VLOOKUP(D947,Parameter!$A$35:$C$64,3,0)+0,0)))</f>
        <v>0</v>
      </c>
      <c r="CB947" s="48" t="n">
        <f aca="false">IF(AA947&lt;&gt;"",AA947,Z947)</f>
        <v>3</v>
      </c>
      <c r="CC947" s="48" t="str">
        <f aca="false">IF(OR(CB947=1,CB947=2,CB947=3),IF(Parameter!$E$27="Ja","LIFT",IF(CB947=1,"L1","L23")),IF(CB947="Aussen","Aussen","-"))</f>
        <v>LIFT</v>
      </c>
      <c r="CD947" s="59" t="n">
        <f aca="false">IF(N(AB947)&gt;0,AB947,0)</f>
        <v>0</v>
      </c>
      <c r="CE947" s="53" t="n">
        <f aca="false">IF(ISNUMBER(AE947),1,0)</f>
        <v>0</v>
      </c>
      <c r="CF947" s="50" t="n">
        <f aca="false">N(AE947)</f>
        <v>0</v>
      </c>
      <c r="CG947" s="50" t="n">
        <f aca="false">N(M947)+N(N947)</f>
        <v>1</v>
      </c>
      <c r="CH947" s="50" t="n">
        <f aca="false">ROUNDUP(H947/BV947,0)</f>
        <v>1</v>
      </c>
      <c r="CI947" s="50" t="n">
        <f aca="false">ROUNDUP(CF947/BV947,0)</f>
        <v>0</v>
      </c>
      <c r="CJ947" s="53" t="n">
        <f aca="false">IF(BW947=1,0,IFERROR(VLOOKUP(BU947,'Gebinde-Kategorie'!$A$5:$N$45,5,0)+0,0))</f>
        <v>11</v>
      </c>
      <c r="CK947" s="53" t="n">
        <f aca="false">IFERROR(IF(OR(CB947=1,CB947=2,CB947=3),N(INDEX(Parameter!$I$5:$I$7,CB947)),0),0)</f>
        <v>0</v>
      </c>
      <c r="CL947" s="52" t="n">
        <f aca="false">IF(AND(Parameter!$B$21="Ja",ISNUMBER(W947),N(X947)&gt;0),IFERROR(N(INDEX(Parameter!$L$5:$L$7,W947))*INDEX(Parameter!$E$5:$E$7,W947)*X947/SUMIFS($X$7:$X$1843,$W$7:$W$1843,W947),0),0)</f>
        <v>0</v>
      </c>
    </row>
    <row r="948" customFormat="false" ht="15" hidden="false" customHeight="false" outlineLevel="0" collapsed="false">
      <c r="A948" s="48" t="s">
        <v>1771</v>
      </c>
      <c r="B948" s="48" t="s">
        <v>1772</v>
      </c>
      <c r="C948" s="48" t="s">
        <v>168</v>
      </c>
      <c r="D948" s="48" t="s">
        <v>188</v>
      </c>
      <c r="E948" s="48" t="s">
        <v>189</v>
      </c>
      <c r="F948" s="48" t="s">
        <v>222</v>
      </c>
      <c r="G948" s="49" t="n">
        <v>3.79</v>
      </c>
      <c r="H948" s="50" t="n">
        <f aca="false">MAX(0,IF(AND(Parameter!$B$21="Ja",ISNUMBER(Y948)),Y948,IF(Parameter!$B$20="Jahresanfang 2025 + Export",BO948+BN948,BN948)))</f>
        <v>22</v>
      </c>
      <c r="I948" s="50" t="n">
        <f aca="false">H948*G948</f>
        <v>83.38</v>
      </c>
      <c r="J948" s="50" t="n">
        <f aca="false">BQ948*Parameter!$B$18</f>
        <v>35</v>
      </c>
      <c r="K948" s="51" t="n">
        <v>28.5</v>
      </c>
      <c r="L948" s="52" t="n">
        <v>1.2280701754386</v>
      </c>
      <c r="M948" s="50" t="n">
        <v>1</v>
      </c>
      <c r="N948" s="50" t="n">
        <v>35</v>
      </c>
      <c r="O948" s="53" t="n">
        <v>14</v>
      </c>
      <c r="P948" s="48" t="s">
        <v>237</v>
      </c>
      <c r="Q948" s="50" t="n">
        <v>48</v>
      </c>
      <c r="R948" s="53" t="n">
        <f aca="false">IF(BW948=1,0,IFERROR(VLOOKUP(BU948,'Gebinde-Kategorie'!$A$5:$N$45,13,0)+0,0))</f>
        <v>26</v>
      </c>
      <c r="S948" s="54"/>
      <c r="T948" s="55"/>
      <c r="U948" s="55"/>
      <c r="V948" s="55"/>
      <c r="W948" s="48"/>
      <c r="X948" s="50"/>
      <c r="Y948" s="50"/>
      <c r="Z948" s="48" t="n">
        <f aca="false">IF(A948="","",IF(AND(Parameter!$B$21="Ja",ISNUMBER(W948)),W948,IF(BZ948="2+3",IF(ISNUMBER(SEARCH("grosser Artikel",BR948)),2,IFERROR(VLOOKUP(BU948,Parameter!$F$35:$G$64,2,0),2)),IF(OR(BZ948="Nein",BZ948=""),"-",BZ948))))</f>
        <v>3</v>
      </c>
      <c r="AA948" s="55"/>
      <c r="AB948" s="56"/>
      <c r="AC948" s="50" t="n">
        <f aca="false">AT948</f>
        <v>48</v>
      </c>
      <c r="AD948" s="50" t="n">
        <f aca="false">MAX(AT948,H948)</f>
        <v>48</v>
      </c>
      <c r="AE948" s="57"/>
      <c r="AF948" s="50" t="n">
        <f aca="false">IF(LEFT(Cockpit!$C$5,1)="A",H948,IF(CE948=1,CF948,IF(LEFT(Cockpit!$C$5,1)="B",AK948,MAX(AK948,H948))))</f>
        <v>22</v>
      </c>
      <c r="AG948" s="50" t="n">
        <f aca="false">IF(BW948=1,0,ROUNDUP(AF948/BV948,0))</f>
        <v>1</v>
      </c>
      <c r="AH948" s="52" t="n">
        <f aca="false">IF(CL948&gt;0,CL948*MAX(1,AF948/X948),IF(BW948=1,IF(AF948&lt;=0,0,CA948*MAX(1,IF(H948&gt;0,AF948/H948,1))),IF(R948&gt;0,AG948/R948,0))/MAX(0.1,N(Parameter!$M$21)))</f>
        <v>0.0384615384615385</v>
      </c>
      <c r="AI948" s="50" t="n">
        <f aca="false">AH948*BY948</f>
        <v>9.42307692307692</v>
      </c>
      <c r="AJ948" s="50" t="n">
        <f aca="false">AF948*G948</f>
        <v>83.38</v>
      </c>
      <c r="AK948" s="50" t="n">
        <f aca="false">ROUNDUP(MAX(J948/IF(CD948&gt;0,CD948,MAX(0.1,N(Cockpit!$C$6))),CG948)/BV948,0)*BV948</f>
        <v>48</v>
      </c>
      <c r="AL948" s="51" t="n">
        <f aca="false">IF(AI948&gt;0,J948/AI948,-1)</f>
        <v>3.71428571428571</v>
      </c>
      <c r="AM948" s="51" t="n">
        <f aca="false">IF(AND(OR(CC948="L1",CC948="L23",CC948="LIFT"),AI948&gt;0),SUMIFS($AI$7:$AI$1843,$CC$7:$CC$1843,CC948,$AL$7:$AL$1843,"&gt;"&amp;AL948)+SUMIFS($AI$7:$AI$1843,$CC$7:$CC$1843,CC948,$AL$7:$AL$1843,AL948,$BT$7:$BT$1843,"&lt;="&amp;BT948),"")</f>
        <v>4727.64743589744</v>
      </c>
      <c r="AN948" s="58" t="n">
        <f aca="false">IF(AM948="",0,MAX(0,MIN(1,(IF(CC948="L1",Parameter!$H$5,IF(CC948="L23",Parameter!$H$6+Parameter!$H$7,Parameter!$H$5+Parameter!$H$6+Parameter!$H$7))-(AM948-AI948))/AI948)))</f>
        <v>1</v>
      </c>
      <c r="AO948" s="50" t="n">
        <f aca="false">IF(LEFT(Cockpit!$I$5,1)="A",H948,IF(CE948=1,CF948,IF(LEFT(Cockpit!$I$5,1)="B",AT948,MAX(AT948,H948))))</f>
        <v>48</v>
      </c>
      <c r="AP948" s="50" t="n">
        <f aca="false">IF(BW948=1,0,ROUNDUP(AO948/BV948,0))</f>
        <v>1</v>
      </c>
      <c r="AQ948" s="52" t="n">
        <f aca="false">IF(CL948&gt;0,CL948*MAX(1,AO948/X948),IF(BW948=1,IF(AO948&lt;=0,0,CA948*MAX(1,IF(H948&gt;0,AO948/H948,1))),IF(R948&gt;0,AP948/R948,0))/MAX(0.1,N(Parameter!$M$21)))</f>
        <v>0.0384615384615385</v>
      </c>
      <c r="AR948" s="50" t="n">
        <f aca="false">AQ948*BY948</f>
        <v>9.42307692307692</v>
      </c>
      <c r="AS948" s="50" t="n">
        <f aca="false">AO948*G948</f>
        <v>181.92</v>
      </c>
      <c r="AT948" s="50" t="n">
        <f aca="false">ROUNDUP(MAX(J948/IF(CD948&gt;0,CD948,MAX(0.1,N(Cockpit!$I$6))),CG948)/BV948,0)*BV948</f>
        <v>48</v>
      </c>
      <c r="AU948" s="51" t="n">
        <f aca="false">IF(AR948&gt;0,J948/AR948,-1)</f>
        <v>3.71428571428571</v>
      </c>
      <c r="AV948" s="51" t="n">
        <f aca="false">IF(AND(OR(CC948="L1",CC948="L23",CC948="LIFT"),AR948&gt;0),SUMIFS($AR$7:$AR$1843,$CC$7:$CC$1843,CC948,$AU$7:$AU$1843,"&gt;"&amp;AU948)+SUMIFS($AR$7:$AR$1843,$CC$7:$CC$1843,CC948,$AU$7:$AU$1843,AU948,$BT$7:$BT$1843,"&lt;="&amp;BT948),"")</f>
        <v>5899.73946886447</v>
      </c>
      <c r="AW948" s="58" t="n">
        <f aca="false">IF(AV948="",0,MAX(0,MIN(1,(IF(CC948="L1",Parameter!$H$5,IF(CC948="L23",Parameter!$H$6+Parameter!$H$7,Parameter!$H$5+Parameter!$H$6+Parameter!$H$7))-(AV948-AR948))/AR948)))</f>
        <v>1</v>
      </c>
      <c r="AX948" s="50" t="n">
        <f aca="false">IF(LEFT(Cockpit!$O$5,1)="A",H948,IF(CE948=1,CF948,IF(LEFT(Cockpit!$O$5,1)="B",BC948,MAX(BC948,H948))))</f>
        <v>48</v>
      </c>
      <c r="AY948" s="50" t="n">
        <f aca="false">IF(BW948=1,0,ROUNDUP(AX948/BV948,0))</f>
        <v>1</v>
      </c>
      <c r="AZ948" s="52" t="n">
        <f aca="false">IF(CL948&gt;0,CL948*MAX(1,AX948/X948),IF(BW948=1,IF(AX948&lt;=0,0,CA948*MAX(1,IF(H948&gt;0,AX948/H948,1))),IF(R948&gt;0,AY948/R948,0))/MAX(0.1,N(Parameter!$M$21)))</f>
        <v>0.0384615384615385</v>
      </c>
      <c r="BA948" s="50" t="n">
        <f aca="false">AZ948*BY948</f>
        <v>9.42307692307692</v>
      </c>
      <c r="BB948" s="50" t="n">
        <f aca="false">AX948*G948</f>
        <v>181.92</v>
      </c>
      <c r="BC948" s="50" t="n">
        <f aca="false">ROUNDUP(MAX(J948/IF(CD948&gt;0,CD948,MAX(0.1,N(Cockpit!$O$6))),CG948)/BV948,0)*BV948</f>
        <v>48</v>
      </c>
      <c r="BD948" s="51" t="n">
        <f aca="false">IF(BA948&gt;0,J948/BA948,-1)</f>
        <v>3.71428571428571</v>
      </c>
      <c r="BE948" s="51" t="n">
        <f aca="false">IF(AND(OR(CC948="L1",CC948="L23",CC948="LIFT"),BA948&gt;0),SUMIFS($BA$7:$BA$1843,$CC$7:$CC$1843,CC948,$BD$7:$BD$1843,"&gt;"&amp;BD948)+SUMIFS($BA$7:$BA$1843,$CC$7:$CC$1843,CC948,$BD$7:$BD$1843,BD948,$BT$7:$BT$1843,"&lt;="&amp;BT948),"")</f>
        <v>5801.32600732601</v>
      </c>
      <c r="BF948" s="58" t="n">
        <f aca="false">IF(BE948="",0,MAX(0,MIN(1,(IF(CC948="L1",Parameter!$H$5,IF(CC948="L23",Parameter!$H$6+Parameter!$H$7,Parameter!$H$5+Parameter!$H$6+Parameter!$H$7))-(BE948-BA948))/BA948)))</f>
        <v>1</v>
      </c>
      <c r="BG948" s="48" t="str">
        <f aca="false">IF(AI948&lt;=0,"",IF(CC948="Aussen","Aussenlager",IF(CC948="-","Nicht im Lift",IF(AN948&gt;=1,"Lift",IF(AN948&lt;=0,"Aussenlager","teilweise")))))</f>
        <v>Lift</v>
      </c>
      <c r="BH948" s="48" t="str">
        <f aca="false">IF(AR948&lt;=0,"",IF(CC948="Aussen","Aussenlager",IF(CC948="-","Nicht im Lift",IF(AW948&gt;=1,"Lift",IF(AW948&lt;=0,"Aussenlager","teilweise")))))</f>
        <v>Lift</v>
      </c>
      <c r="BI948" s="48" t="str">
        <f aca="false">IF(BA948&lt;=0,"",IF(CC948="Aussen","Aussenlager",IF(CC948="-","Nicht im Lift",IF(BF948&gt;=1,"Lift",IF(BF948&lt;=0,"Aussenlager","teilweise")))))</f>
        <v>Lift</v>
      </c>
      <c r="BJ948" s="48" t="str">
        <f aca="false">IF(A948="","",IF(BS948=1,"Neu; ","")&amp;IF(AND(BS948=0,BN948&lt;0),"negativer Bestand (Export "&amp;BN948&amp;"); ","")&amp;IF(J948&lt;=0,"Kein Verbrauch; ","")&amp;IF(CL948&gt;0,"Lift "&amp;W948&amp;" lt. Liftbericht (Fach "&amp;X948&amp;" Stk); ",IF(BX948=1,"Gebinde geschätzt ("&amp;T948&amp;"); ",IF(BW948=1,"Lose – Tablare geschätzt; ","")))&amp;IF(H948&gt;AT948,"Überbestand "&amp;ROUND(H948-AT948,0)&amp;" Stk / CHF "&amp;ROUND((H948-AT948)*G948,0)&amp;"; ","")&amp;IF(AND(CE948=1,CF948&lt;CG948),"MAX &lt; MB+LG; ","")&amp;IF(AND(CK948&gt;0,CJ948*10&gt;CK948),"zu hoch für Tablar; ","")&amp;IF(AND(BS948=0,OR(CE948=1,AA948&lt;&gt;"",U948&lt;&gt;"",V948&lt;&gt;"",AB948&lt;&gt;"")),"manuell übersteuert; ","")&amp;IF(AND(BW948=0,R948=0),"Gebinde unbekannt / Stellmass fehlt; ","")&amp;IF(AND(BW948=0,N(V948)&lt;=0,N(Q948)&lt;=0),"Menge pro Gebinde fehlt (Ist = 1 Gebinde); ","")&amp;BR948)</f>
        <v>negativer Bestand (Export -14); </v>
      </c>
      <c r="BK948" s="48"/>
      <c r="BL948" s="48"/>
      <c r="BM948" s="55"/>
      <c r="BN948" s="50" t="n">
        <v>-14</v>
      </c>
      <c r="BO948" s="50" t="n">
        <v>36</v>
      </c>
      <c r="BP948" s="49" t="n">
        <v>-58.1</v>
      </c>
      <c r="BQ948" s="50" t="n">
        <v>35</v>
      </c>
      <c r="BR948" s="48"/>
      <c r="BS948" s="53" t="n">
        <v>0</v>
      </c>
      <c r="BT948" s="53" t="n">
        <v>948</v>
      </c>
      <c r="BU948" s="48" t="str">
        <f aca="false">IF(U948&lt;&gt;"",UPPER(TRIM(U948)),IF(BX948=1,UPPER(VLOOKUP(T948,Parameter!$I$27:$K$29,2,0)),IF(P948="","LOSE",P948)))</f>
        <v>S52</v>
      </c>
      <c r="BV948" s="50" t="n">
        <f aca="false">IF(BU948="LOSE",1,IF(N(V948)&gt;0,V948,IF(BX948=1,MAX(1,N(VLOOKUP(T948,Parameter!$I$27:$K$29,3,0)),H948,N(N948)),IF(N(Q948)&gt;0,Q948,MAX(1,H948)))))</f>
        <v>48</v>
      </c>
      <c r="BW948" s="53" t="n">
        <f aca="false">IF(BU948="LOSE",1,0)</f>
        <v>0</v>
      </c>
      <c r="BX948" s="53" t="n">
        <f aca="false">IF(AND(U948="",OR(P948="",P948="LOSE"),T948&lt;&gt;"",N(S948)&lt;=0,ISNUMBER(MATCH(T948,Parameter!$I$27:$I$29,0))),1,0)</f>
        <v>0</v>
      </c>
      <c r="BY948" s="53" t="n">
        <f aca="false">IF(CL948&gt;0,INDEX(Parameter!$H$5:$H$7,W948)/INDEX(Parameter!$E$5:$E$7,W948),IF(AND(BW948=0,N(IFERROR(VLOOKUP(BU948,'Gebinde-Kategorie'!$A$5:$N$45,14,0),0))&gt;0),VLOOKUP(BU948,'Gebinde-Kategorie'!$A$5:$N$45,14,0)*10+Parameter!$M$23,Parameter!$M$24))</f>
        <v>245</v>
      </c>
      <c r="BZ948" s="48" t="str">
        <f aca="false">IF(AND(Parameter!$B$19="Ja",E948&lt;&gt;"",ISNUMBER(MATCH(E948,Parameter!$I$35:$I$52,0))),VLOOKUP(E948,Parameter!$I$35:$J$52,2,0),IFERROR(VLOOKUP(D948,Parameter!$A$35:$C$64,2,0),"Nein"))</f>
        <v>2+3</v>
      </c>
      <c r="CA948" s="52" t="n">
        <f aca="false">IF(BW948=0,0,IF(N(S948)&gt;0,S948,IFERROR(VLOOKUP(D948,Parameter!$A$35:$C$64,3,0)+0,0)))</f>
        <v>0</v>
      </c>
      <c r="CB948" s="48" t="n">
        <f aca="false">IF(AA948&lt;&gt;"",AA948,Z948)</f>
        <v>3</v>
      </c>
      <c r="CC948" s="48" t="str">
        <f aca="false">IF(OR(CB948=1,CB948=2,CB948=3),IF(Parameter!$E$27="Ja","LIFT",IF(CB948=1,"L1","L23")),IF(CB948="Aussen","Aussen","-"))</f>
        <v>LIFT</v>
      </c>
      <c r="CD948" s="59" t="n">
        <f aca="false">IF(N(AB948)&gt;0,AB948,0)</f>
        <v>0</v>
      </c>
      <c r="CE948" s="53" t="n">
        <f aca="false">IF(ISNUMBER(AE948),1,0)</f>
        <v>0</v>
      </c>
      <c r="CF948" s="50" t="n">
        <f aca="false">N(AE948)</f>
        <v>0</v>
      </c>
      <c r="CG948" s="50" t="n">
        <f aca="false">N(M948)+N(N948)</f>
        <v>36</v>
      </c>
      <c r="CH948" s="50" t="n">
        <f aca="false">ROUNDUP(H948/BV948,0)</f>
        <v>1</v>
      </c>
      <c r="CI948" s="50" t="n">
        <f aca="false">ROUNDUP(CF948/BV948,0)</f>
        <v>0</v>
      </c>
      <c r="CJ948" s="53" t="n">
        <f aca="false">IF(BW948=1,0,IFERROR(VLOOKUP(BU948,'Gebinde-Kategorie'!$A$5:$N$45,5,0)+0,0))</f>
        <v>21</v>
      </c>
      <c r="CK948" s="53" t="n">
        <f aca="false">IFERROR(IF(OR(CB948=1,CB948=2,CB948=3),N(INDEX(Parameter!$I$5:$I$7,CB948)),0),0)</f>
        <v>0</v>
      </c>
      <c r="CL948" s="52" t="n">
        <f aca="false">IF(AND(Parameter!$B$21="Ja",ISNUMBER(W948),N(X948)&gt;0),IFERROR(N(INDEX(Parameter!$L$5:$L$7,W948))*INDEX(Parameter!$E$5:$E$7,W948)*X948/SUMIFS($X$7:$X$1843,$W$7:$W$1843,W948),0),0)</f>
        <v>0</v>
      </c>
    </row>
    <row r="949" customFormat="false" ht="15" hidden="false" customHeight="false" outlineLevel="0" collapsed="false">
      <c r="A949" s="48" t="s">
        <v>1773</v>
      </c>
      <c r="B949" s="48" t="s">
        <v>472</v>
      </c>
      <c r="C949" s="48" t="s">
        <v>168</v>
      </c>
      <c r="D949" s="48" t="s">
        <v>188</v>
      </c>
      <c r="E949" s="48" t="s">
        <v>189</v>
      </c>
      <c r="F949" s="48" t="s">
        <v>222</v>
      </c>
      <c r="G949" s="49" t="n">
        <v>0.84</v>
      </c>
      <c r="H949" s="50" t="n">
        <f aca="false">MAX(0,IF(AND(Parameter!$B$21="Ja",ISNUMBER(Y949)),Y949,IF(Parameter!$B$20="Jahresanfang 2025 + Export",BO949+BN949,BN949)))</f>
        <v>113</v>
      </c>
      <c r="I949" s="50" t="n">
        <f aca="false">H949*G949</f>
        <v>94.92</v>
      </c>
      <c r="J949" s="50" t="n">
        <f aca="false">BQ949*Parameter!$B$18</f>
        <v>136</v>
      </c>
      <c r="K949" s="51" t="n">
        <v>196.5</v>
      </c>
      <c r="L949" s="52" t="n">
        <v>0.692111959287532</v>
      </c>
      <c r="M949" s="50" t="n">
        <v>5</v>
      </c>
      <c r="N949" s="50" t="n">
        <v>135</v>
      </c>
      <c r="O949" s="53" t="n">
        <v>14</v>
      </c>
      <c r="P949" s="48" t="s">
        <v>480</v>
      </c>
      <c r="Q949" s="50" t="n">
        <v>371</v>
      </c>
      <c r="R949" s="53" t="n">
        <f aca="false">IF(BW949=1,0,IFERROR(VLOOKUP(BU949,'Gebinde-Kategorie'!$A$5:$N$45,13,0)+0,0))</f>
        <v>52</v>
      </c>
      <c r="S949" s="54"/>
      <c r="T949" s="55"/>
      <c r="U949" s="55"/>
      <c r="V949" s="55"/>
      <c r="W949" s="48"/>
      <c r="X949" s="50"/>
      <c r="Y949" s="50"/>
      <c r="Z949" s="48" t="n">
        <f aca="false">IF(A949="","",IF(AND(Parameter!$B$21="Ja",ISNUMBER(W949)),W949,IF(BZ949="2+3",IF(ISNUMBER(SEARCH("grosser Artikel",BR949)),2,IFERROR(VLOOKUP(BU949,Parameter!$F$35:$G$64,2,0),2)),IF(OR(BZ949="Nein",BZ949=""),"-",BZ949))))</f>
        <v>3</v>
      </c>
      <c r="AA949" s="55"/>
      <c r="AB949" s="56"/>
      <c r="AC949" s="50" t="n">
        <f aca="false">AT949</f>
        <v>371</v>
      </c>
      <c r="AD949" s="50" t="n">
        <f aca="false">MAX(AT949,H949)</f>
        <v>371</v>
      </c>
      <c r="AE949" s="57"/>
      <c r="AF949" s="50" t="n">
        <f aca="false">IF(LEFT(Cockpit!$C$5,1)="A",H949,IF(CE949=1,CF949,IF(LEFT(Cockpit!$C$5,1)="B",AK949,MAX(AK949,H949))))</f>
        <v>113</v>
      </c>
      <c r="AG949" s="50" t="n">
        <f aca="false">IF(BW949=1,0,ROUNDUP(AF949/BV949,0))</f>
        <v>1</v>
      </c>
      <c r="AH949" s="52" t="n">
        <f aca="false">IF(CL949&gt;0,CL949*MAX(1,AF949/X949),IF(BW949=1,IF(AF949&lt;=0,0,CA949*MAX(1,IF(H949&gt;0,AF949/H949,1))),IF(R949&gt;0,AG949/R949,0))/MAX(0.1,N(Parameter!$M$21)))</f>
        <v>0.0192307692307692</v>
      </c>
      <c r="AI949" s="50" t="n">
        <f aca="false">AH949*BY949</f>
        <v>2.98076923076923</v>
      </c>
      <c r="AJ949" s="50" t="n">
        <f aca="false">AF949*G949</f>
        <v>94.92</v>
      </c>
      <c r="AK949" s="50" t="n">
        <f aca="false">ROUNDUP(MAX(J949/IF(CD949&gt;0,CD949,MAX(0.1,N(Cockpit!$C$6))),CG949)/BV949,0)*BV949</f>
        <v>371</v>
      </c>
      <c r="AL949" s="51" t="n">
        <f aca="false">IF(AI949&gt;0,J949/AI949,-1)</f>
        <v>45.6258064516129</v>
      </c>
      <c r="AM949" s="51" t="n">
        <f aca="false">IF(AND(OR(CC949="L1",CC949="L23",CC949="LIFT"),AI949&gt;0),SUMIFS($AI$7:$AI$1843,$CC$7:$CC$1843,CC949,$AL$7:$AL$1843,"&gt;"&amp;AL949)+SUMIFS($AI$7:$AI$1843,$CC$7:$CC$1843,CC949,$AL$7:$AL$1843,AL949,$BT$7:$BT$1843,"&lt;="&amp;BT949),"")</f>
        <v>1163.84752747253</v>
      </c>
      <c r="AN949" s="58" t="n">
        <f aca="false">IF(AM949="",0,MAX(0,MIN(1,(IF(CC949="L1",Parameter!$H$5,IF(CC949="L23",Parameter!$H$6+Parameter!$H$7,Parameter!$H$5+Parameter!$H$6+Parameter!$H$7))-(AM949-AI949))/AI949)))</f>
        <v>1</v>
      </c>
      <c r="AO949" s="50" t="n">
        <f aca="false">IF(LEFT(Cockpit!$I$5,1)="A",H949,IF(CE949=1,CF949,IF(LEFT(Cockpit!$I$5,1)="B",AT949,MAX(AT949,H949))))</f>
        <v>371</v>
      </c>
      <c r="AP949" s="50" t="n">
        <f aca="false">IF(BW949=1,0,ROUNDUP(AO949/BV949,0))</f>
        <v>1</v>
      </c>
      <c r="AQ949" s="52" t="n">
        <f aca="false">IF(CL949&gt;0,CL949*MAX(1,AO949/X949),IF(BW949=1,IF(AO949&lt;=0,0,CA949*MAX(1,IF(H949&gt;0,AO949/H949,1))),IF(R949&gt;0,AP949/R949,0))/MAX(0.1,N(Parameter!$M$21)))</f>
        <v>0.0192307692307692</v>
      </c>
      <c r="AR949" s="50" t="n">
        <f aca="false">AQ949*BY949</f>
        <v>2.98076923076923</v>
      </c>
      <c r="AS949" s="50" t="n">
        <f aca="false">AO949*G949</f>
        <v>311.64</v>
      </c>
      <c r="AT949" s="50" t="n">
        <f aca="false">ROUNDUP(MAX(J949/IF(CD949&gt;0,CD949,MAX(0.1,N(Cockpit!$I$6))),CG949)/BV949,0)*BV949</f>
        <v>371</v>
      </c>
      <c r="AU949" s="51" t="n">
        <f aca="false">IF(AR949&gt;0,J949/AR949,-1)</f>
        <v>45.6258064516129</v>
      </c>
      <c r="AV949" s="51" t="n">
        <f aca="false">IF(AND(OR(CC949="L1",CC949="L23",CC949="LIFT"),AR949&gt;0),SUMIFS($AR$7:$AR$1843,$CC$7:$CC$1843,CC949,$AU$7:$AU$1843,"&gt;"&amp;AU949)+SUMIFS($AR$7:$AR$1843,$CC$7:$CC$1843,CC949,$AU$7:$AU$1843,AU949,$BT$7:$BT$1843,"&lt;="&amp;BT949),"")</f>
        <v>1632.07234432234</v>
      </c>
      <c r="AW949" s="58" t="n">
        <f aca="false">IF(AV949="",0,MAX(0,MIN(1,(IF(CC949="L1",Parameter!$H$5,IF(CC949="L23",Parameter!$H$6+Parameter!$H$7,Parameter!$H$5+Parameter!$H$6+Parameter!$H$7))-(AV949-AR949))/AR949)))</f>
        <v>1</v>
      </c>
      <c r="AX949" s="50" t="n">
        <f aca="false">IF(LEFT(Cockpit!$O$5,1)="A",H949,IF(CE949=1,CF949,IF(LEFT(Cockpit!$O$5,1)="B",BC949,MAX(BC949,H949))))</f>
        <v>371</v>
      </c>
      <c r="AY949" s="50" t="n">
        <f aca="false">IF(BW949=1,0,ROUNDUP(AX949/BV949,0))</f>
        <v>1</v>
      </c>
      <c r="AZ949" s="52" t="n">
        <f aca="false">IF(CL949&gt;0,CL949*MAX(1,AX949/X949),IF(BW949=1,IF(AX949&lt;=0,0,CA949*MAX(1,IF(H949&gt;0,AX949/H949,1))),IF(R949&gt;0,AY949/R949,0))/MAX(0.1,N(Parameter!$M$21)))</f>
        <v>0.0192307692307692</v>
      </c>
      <c r="BA949" s="50" t="n">
        <f aca="false">AZ949*BY949</f>
        <v>2.98076923076923</v>
      </c>
      <c r="BB949" s="50" t="n">
        <f aca="false">AX949*G949</f>
        <v>311.64</v>
      </c>
      <c r="BC949" s="50" t="n">
        <f aca="false">ROUNDUP(MAX(J949/IF(CD949&gt;0,CD949,MAX(0.1,N(Cockpit!$O$6))),CG949)/BV949,0)*BV949</f>
        <v>371</v>
      </c>
      <c r="BD949" s="51" t="n">
        <f aca="false">IF(BA949&gt;0,J949/BA949,-1)</f>
        <v>45.6258064516129</v>
      </c>
      <c r="BE949" s="51" t="n">
        <f aca="false">IF(AND(OR(CC949="L1",CC949="L23",CC949="LIFT"),BA949&gt;0),SUMIFS($BA$7:$BA$1843,$CC$7:$CC$1843,CC949,$BD$7:$BD$1843,"&gt;"&amp;BD949)+SUMIFS($BA$7:$BA$1843,$CC$7:$CC$1843,CC949,$BD$7:$BD$1843,BD949,$BT$7:$BT$1843,"&lt;="&amp;BT949),"")</f>
        <v>1496.99221611722</v>
      </c>
      <c r="BF949" s="58" t="n">
        <f aca="false">IF(BE949="",0,MAX(0,MIN(1,(IF(CC949="L1",Parameter!$H$5,IF(CC949="L23",Parameter!$H$6+Parameter!$H$7,Parameter!$H$5+Parameter!$H$6+Parameter!$H$7))-(BE949-BA949))/BA949)))</f>
        <v>1</v>
      </c>
      <c r="BG949" s="48" t="str">
        <f aca="false">IF(AI949&lt;=0,"",IF(CC949="Aussen","Aussenlager",IF(CC949="-","Nicht im Lift",IF(AN949&gt;=1,"Lift",IF(AN949&lt;=0,"Aussenlager","teilweise")))))</f>
        <v>Lift</v>
      </c>
      <c r="BH949" s="48" t="str">
        <f aca="false">IF(AR949&lt;=0,"",IF(CC949="Aussen","Aussenlager",IF(CC949="-","Nicht im Lift",IF(AW949&gt;=1,"Lift",IF(AW949&lt;=0,"Aussenlager","teilweise")))))</f>
        <v>Lift</v>
      </c>
      <c r="BI949" s="48" t="str">
        <f aca="false">IF(BA949&lt;=0,"",IF(CC949="Aussen","Aussenlager",IF(CC949="-","Nicht im Lift",IF(BF949&gt;=1,"Lift",IF(BF949&lt;=0,"Aussenlager","teilweise")))))</f>
        <v>Lift</v>
      </c>
      <c r="BJ949" s="48" t="str">
        <f aca="false">IF(A949="","",IF(BS949=1,"Neu; ","")&amp;IF(AND(BS949=0,BN949&lt;0),"negativer Bestand (Export "&amp;BN949&amp;"); ","")&amp;IF(J949&lt;=0,"Kein Verbrauch; ","")&amp;IF(CL949&gt;0,"Lift "&amp;W949&amp;" lt. Liftbericht (Fach "&amp;X949&amp;" Stk); ",IF(BX949=1,"Gebinde geschätzt ("&amp;T949&amp;"); ",IF(BW949=1,"Lose – Tablare geschätzt; ","")))&amp;IF(H949&gt;AT949,"Überbestand "&amp;ROUND(H949-AT949,0)&amp;" Stk / CHF "&amp;ROUND((H949-AT949)*G949,0)&amp;"; ","")&amp;IF(AND(CE949=1,CF949&lt;CG949),"MAX &lt; MB+LG; ","")&amp;IF(AND(CK949&gt;0,CJ949*10&gt;CK949),"zu hoch für Tablar; ","")&amp;IF(AND(BS949=0,OR(CE949=1,AA949&lt;&gt;"",U949&lt;&gt;"",V949&lt;&gt;"",AB949&lt;&gt;"")),"manuell übersteuert; ","")&amp;IF(AND(BW949=0,R949=0),"Gebinde unbekannt / Stellmass fehlt; ","")&amp;IF(AND(BW949=0,N(V949)&lt;=0,N(Q949)&lt;=0),"Menge pro Gebinde fehlt (Ist = 1 Gebinde); ","")&amp;BR949)</f>
        <v>negativer Bestand (Export -62); </v>
      </c>
      <c r="BK949" s="48"/>
      <c r="BL949" s="48"/>
      <c r="BM949" s="55"/>
      <c r="BN949" s="50" t="n">
        <v>-62</v>
      </c>
      <c r="BO949" s="50" t="n">
        <v>175</v>
      </c>
      <c r="BP949" s="49" t="n">
        <v>-58.7599999999999</v>
      </c>
      <c r="BQ949" s="50" t="n">
        <v>136</v>
      </c>
      <c r="BR949" s="48"/>
      <c r="BS949" s="53" t="n">
        <v>0</v>
      </c>
      <c r="BT949" s="53" t="n">
        <v>949</v>
      </c>
      <c r="BU949" s="48" t="str">
        <f aca="false">IF(U949&lt;&gt;"",UPPER(TRIM(U949)),IF(BX949=1,UPPER(VLOOKUP(T949,Parameter!$I$27:$K$29,2,0)),IF(P949="","LOSE",P949)))</f>
        <v>S33</v>
      </c>
      <c r="BV949" s="50" t="n">
        <f aca="false">IF(BU949="LOSE",1,IF(N(V949)&gt;0,V949,IF(BX949=1,MAX(1,N(VLOOKUP(T949,Parameter!$I$27:$K$29,3,0)),H949,N(N949)),IF(N(Q949)&gt;0,Q949,MAX(1,H949)))))</f>
        <v>371</v>
      </c>
      <c r="BW949" s="53" t="n">
        <f aca="false">IF(BU949="LOSE",1,0)</f>
        <v>0</v>
      </c>
      <c r="BX949" s="53" t="n">
        <f aca="false">IF(AND(U949="",OR(P949="",P949="LOSE"),T949&lt;&gt;"",N(S949)&lt;=0,ISNUMBER(MATCH(T949,Parameter!$I$27:$I$29,0))),1,0)</f>
        <v>0</v>
      </c>
      <c r="BY949" s="53" t="n">
        <f aca="false">IF(CL949&gt;0,INDEX(Parameter!$H$5:$H$7,W949)/INDEX(Parameter!$E$5:$E$7,W949),IF(AND(BW949=0,N(IFERROR(VLOOKUP(BU949,'Gebinde-Kategorie'!$A$5:$N$45,14,0),0))&gt;0),VLOOKUP(BU949,'Gebinde-Kategorie'!$A$5:$N$45,14,0)*10+Parameter!$M$23,Parameter!$M$24))</f>
        <v>155</v>
      </c>
      <c r="BZ949" s="48" t="str">
        <f aca="false">IF(AND(Parameter!$B$19="Ja",E949&lt;&gt;"",ISNUMBER(MATCH(E949,Parameter!$I$35:$I$52,0))),VLOOKUP(E949,Parameter!$I$35:$J$52,2,0),IFERROR(VLOOKUP(D949,Parameter!$A$35:$C$64,2,0),"Nein"))</f>
        <v>2+3</v>
      </c>
      <c r="CA949" s="52" t="n">
        <f aca="false">IF(BW949=0,0,IF(N(S949)&gt;0,S949,IFERROR(VLOOKUP(D949,Parameter!$A$35:$C$64,3,0)+0,0)))</f>
        <v>0</v>
      </c>
      <c r="CB949" s="48" t="n">
        <f aca="false">IF(AA949&lt;&gt;"",AA949,Z949)</f>
        <v>3</v>
      </c>
      <c r="CC949" s="48" t="str">
        <f aca="false">IF(OR(CB949=1,CB949=2,CB949=3),IF(Parameter!$E$27="Ja","LIFT",IF(CB949=1,"L1","L23")),IF(CB949="Aussen","Aussen","-"))</f>
        <v>LIFT</v>
      </c>
      <c r="CD949" s="59" t="n">
        <f aca="false">IF(N(AB949)&gt;0,AB949,0)</f>
        <v>0</v>
      </c>
      <c r="CE949" s="53" t="n">
        <f aca="false">IF(ISNUMBER(AE949),1,0)</f>
        <v>0</v>
      </c>
      <c r="CF949" s="50" t="n">
        <f aca="false">N(AE949)</f>
        <v>0</v>
      </c>
      <c r="CG949" s="50" t="n">
        <f aca="false">N(M949)+N(N949)</f>
        <v>140</v>
      </c>
      <c r="CH949" s="50" t="n">
        <f aca="false">ROUNDUP(H949/BV949,0)</f>
        <v>1</v>
      </c>
      <c r="CI949" s="50" t="n">
        <f aca="false">ROUNDUP(CF949/BV949,0)</f>
        <v>0</v>
      </c>
      <c r="CJ949" s="53" t="n">
        <f aca="false">IF(BW949=1,0,IFERROR(VLOOKUP(BU949,'Gebinde-Kategorie'!$A$5:$N$45,5,0)+0,0))</f>
        <v>8</v>
      </c>
      <c r="CK949" s="53" t="n">
        <f aca="false">IFERROR(IF(OR(CB949=1,CB949=2,CB949=3),N(INDEX(Parameter!$I$5:$I$7,CB949)),0),0)</f>
        <v>0</v>
      </c>
      <c r="CL949" s="52" t="n">
        <f aca="false">IF(AND(Parameter!$B$21="Ja",ISNUMBER(W949),N(X949)&gt;0),IFERROR(N(INDEX(Parameter!$L$5:$L$7,W949))*INDEX(Parameter!$E$5:$E$7,W949)*X949/SUMIFS($X$7:$X$1843,$W$7:$W$1843,W949),0),0)</f>
        <v>0</v>
      </c>
    </row>
    <row r="950" customFormat="false" ht="15" hidden="false" customHeight="false" outlineLevel="0" collapsed="false">
      <c r="A950" s="48" t="s">
        <v>1774</v>
      </c>
      <c r="B950" s="48" t="s">
        <v>1775</v>
      </c>
      <c r="C950" s="48" t="s">
        <v>168</v>
      </c>
      <c r="D950" s="48" t="s">
        <v>188</v>
      </c>
      <c r="E950" s="48" t="s">
        <v>189</v>
      </c>
      <c r="F950" s="48" t="s">
        <v>222</v>
      </c>
      <c r="G950" s="49" t="n">
        <v>58.07</v>
      </c>
      <c r="H950" s="50" t="n">
        <f aca="false">MAX(0,IF(AND(Parameter!$B$21="Ja",ISNUMBER(Y950)),Y950,IF(Parameter!$B$20="Jahresanfang 2025 + Export",BO950+BN950,BN950)))</f>
        <v>9</v>
      </c>
      <c r="I950" s="50" t="n">
        <f aca="false">H950*G950</f>
        <v>522.63</v>
      </c>
      <c r="J950" s="50" t="n">
        <f aca="false">BQ950*Parameter!$B$18</f>
        <v>7</v>
      </c>
      <c r="K950" s="51" t="n">
        <v>9</v>
      </c>
      <c r="L950" s="52" t="n">
        <v>0.777777777777778</v>
      </c>
      <c r="M950" s="50" t="n">
        <v>0</v>
      </c>
      <c r="N950" s="50" t="n">
        <v>5</v>
      </c>
      <c r="O950" s="53" t="n">
        <v>28</v>
      </c>
      <c r="P950" s="48" t="s">
        <v>237</v>
      </c>
      <c r="Q950" s="50" t="n">
        <v>21</v>
      </c>
      <c r="R950" s="53" t="n">
        <f aca="false">IF(BW950=1,0,IFERROR(VLOOKUP(BU950,'Gebinde-Kategorie'!$A$5:$N$45,13,0)+0,0))</f>
        <v>26</v>
      </c>
      <c r="S950" s="54"/>
      <c r="T950" s="55"/>
      <c r="U950" s="55"/>
      <c r="V950" s="55"/>
      <c r="W950" s="48"/>
      <c r="X950" s="50"/>
      <c r="Y950" s="50"/>
      <c r="Z950" s="48" t="n">
        <f aca="false">IF(A950="","",IF(AND(Parameter!$B$21="Ja",ISNUMBER(W950)),W950,IF(BZ950="2+3",IF(ISNUMBER(SEARCH("grosser Artikel",BR950)),2,IFERROR(VLOOKUP(BU950,Parameter!$F$35:$G$64,2,0),2)),IF(OR(BZ950="Nein",BZ950=""),"-",BZ950))))</f>
        <v>3</v>
      </c>
      <c r="AA950" s="55"/>
      <c r="AB950" s="56"/>
      <c r="AC950" s="50" t="n">
        <f aca="false">AT950</f>
        <v>21</v>
      </c>
      <c r="AD950" s="50" t="n">
        <f aca="false">MAX(AT950,H950)</f>
        <v>21</v>
      </c>
      <c r="AE950" s="57"/>
      <c r="AF950" s="50" t="n">
        <f aca="false">IF(LEFT(Cockpit!$C$5,1)="A",H950,IF(CE950=1,CF950,IF(LEFT(Cockpit!$C$5,1)="B",AK950,MAX(AK950,H950))))</f>
        <v>9</v>
      </c>
      <c r="AG950" s="50" t="n">
        <f aca="false">IF(BW950=1,0,ROUNDUP(AF950/BV950,0))</f>
        <v>1</v>
      </c>
      <c r="AH950" s="52" t="n">
        <f aca="false">IF(CL950&gt;0,CL950*MAX(1,AF950/X950),IF(BW950=1,IF(AF950&lt;=0,0,CA950*MAX(1,IF(H950&gt;0,AF950/H950,1))),IF(R950&gt;0,AG950/R950,0))/MAX(0.1,N(Parameter!$M$21)))</f>
        <v>0.0384615384615385</v>
      </c>
      <c r="AI950" s="50" t="n">
        <f aca="false">AH950*BY950</f>
        <v>9.42307692307692</v>
      </c>
      <c r="AJ950" s="50" t="n">
        <f aca="false">AF950*G950</f>
        <v>522.63</v>
      </c>
      <c r="AK950" s="50" t="n">
        <f aca="false">ROUNDUP(MAX(J950/IF(CD950&gt;0,CD950,MAX(0.1,N(Cockpit!$C$6))),CG950)/BV950,0)*BV950</f>
        <v>21</v>
      </c>
      <c r="AL950" s="51" t="n">
        <f aca="false">IF(AI950&gt;0,J950/AI950,-1)</f>
        <v>0.742857142857143</v>
      </c>
      <c r="AM950" s="51" t="n">
        <f aca="false">IF(AND(OR(CC950="L1",CC950="L23",CC950="LIFT"),AI950&gt;0),SUMIFS($AI$7:$AI$1843,$CC$7:$CC$1843,CC950,$AL$7:$AL$1843,"&gt;"&amp;AL950)+SUMIFS($AI$7:$AI$1843,$CC$7:$CC$1843,CC950,$AL$7:$AL$1843,AL950,$BT$7:$BT$1843,"&lt;="&amp;BT950),"")</f>
        <v>8388.9967948718</v>
      </c>
      <c r="AN950" s="58" t="n">
        <f aca="false">IF(AM950="",0,MAX(0,MIN(1,(IF(CC950="L1",Parameter!$H$5,IF(CC950="L23",Parameter!$H$6+Parameter!$H$7,Parameter!$H$5+Parameter!$H$6+Parameter!$H$7))-(AM950-AI950))/AI950)))</f>
        <v>1</v>
      </c>
      <c r="AO950" s="50" t="n">
        <f aca="false">IF(LEFT(Cockpit!$I$5,1)="A",H950,IF(CE950=1,CF950,IF(LEFT(Cockpit!$I$5,1)="B",AT950,MAX(AT950,H950))))</f>
        <v>21</v>
      </c>
      <c r="AP950" s="50" t="n">
        <f aca="false">IF(BW950=1,0,ROUNDUP(AO950/BV950,0))</f>
        <v>1</v>
      </c>
      <c r="AQ950" s="52" t="n">
        <f aca="false">IF(CL950&gt;0,CL950*MAX(1,AO950/X950),IF(BW950=1,IF(AO950&lt;=0,0,CA950*MAX(1,IF(H950&gt;0,AO950/H950,1))),IF(R950&gt;0,AP950/R950,0))/MAX(0.1,N(Parameter!$M$21)))</f>
        <v>0.0384615384615385</v>
      </c>
      <c r="AR950" s="50" t="n">
        <f aca="false">AQ950*BY950</f>
        <v>9.42307692307692</v>
      </c>
      <c r="AS950" s="50" t="n">
        <f aca="false">AO950*G950</f>
        <v>1219.47</v>
      </c>
      <c r="AT950" s="50" t="n">
        <f aca="false">ROUNDUP(MAX(J950/IF(CD950&gt;0,CD950,MAX(0.1,N(Cockpit!$I$6))),CG950)/BV950,0)*BV950</f>
        <v>21</v>
      </c>
      <c r="AU950" s="51" t="n">
        <f aca="false">IF(AR950&gt;0,J950/AR950,-1)</f>
        <v>0.742857142857143</v>
      </c>
      <c r="AV950" s="51" t="n">
        <f aca="false">IF(AND(OR(CC950="L1",CC950="L23",CC950="LIFT"),AR950&gt;0),SUMIFS($AR$7:$AR$1843,$CC$7:$CC$1843,CC950,$AU$7:$AU$1843,"&gt;"&amp;AU950)+SUMIFS($AR$7:$AR$1843,$CC$7:$CC$1843,CC950,$AU$7:$AU$1843,AU950,$BT$7:$BT$1843,"&lt;="&amp;BT950),"")</f>
        <v>11489.5485347985</v>
      </c>
      <c r="AW950" s="58" t="n">
        <f aca="false">IF(AV950="",0,MAX(0,MIN(1,(IF(CC950="L1",Parameter!$H$5,IF(CC950="L23",Parameter!$H$6+Parameter!$H$7,Parameter!$H$5+Parameter!$H$6+Parameter!$H$7))-(AV950-AR950))/AR950)))</f>
        <v>1</v>
      </c>
      <c r="AX950" s="50" t="n">
        <f aca="false">IF(LEFT(Cockpit!$O$5,1)="A",H950,IF(CE950=1,CF950,IF(LEFT(Cockpit!$O$5,1)="B",BC950,MAX(BC950,H950))))</f>
        <v>21</v>
      </c>
      <c r="AY950" s="50" t="n">
        <f aca="false">IF(BW950=1,0,ROUNDUP(AX950/BV950,0))</f>
        <v>1</v>
      </c>
      <c r="AZ950" s="52" t="n">
        <f aca="false">IF(CL950&gt;0,CL950*MAX(1,AX950/X950),IF(BW950=1,IF(AX950&lt;=0,0,CA950*MAX(1,IF(H950&gt;0,AX950/H950,1))),IF(R950&gt;0,AY950/R950,0))/MAX(0.1,N(Parameter!$M$21)))</f>
        <v>0.0384615384615385</v>
      </c>
      <c r="BA950" s="50" t="n">
        <f aca="false">AZ950*BY950</f>
        <v>9.42307692307692</v>
      </c>
      <c r="BB950" s="50" t="n">
        <f aca="false">AX950*G950</f>
        <v>1219.47</v>
      </c>
      <c r="BC950" s="50" t="n">
        <f aca="false">ROUNDUP(MAX(J950/IF(CD950&gt;0,CD950,MAX(0.1,N(Cockpit!$O$6))),CG950)/BV950,0)*BV950</f>
        <v>21</v>
      </c>
      <c r="BD950" s="51" t="n">
        <f aca="false">IF(BA950&gt;0,J950/BA950,-1)</f>
        <v>0.742857142857143</v>
      </c>
      <c r="BE950" s="51" t="n">
        <f aca="false">IF(AND(OR(CC950="L1",CC950="L23",CC950="LIFT"),BA950&gt;0),SUMIFS($BA$7:$BA$1843,$CC$7:$CC$1843,CC950,$BD$7:$BD$1843,"&gt;"&amp;BD950)+SUMIFS($BA$7:$BA$1843,$CC$7:$CC$1843,CC950,$BD$7:$BD$1843,BD950,$BT$7:$BT$1843,"&lt;="&amp;BT950),"")</f>
        <v>11089.3722527473</v>
      </c>
      <c r="BF950" s="58" t="n">
        <f aca="false">IF(BE950="",0,MAX(0,MIN(1,(IF(CC950="L1",Parameter!$H$5,IF(CC950="L23",Parameter!$H$6+Parameter!$H$7,Parameter!$H$5+Parameter!$H$6+Parameter!$H$7))-(BE950-BA950))/BA950)))</f>
        <v>1</v>
      </c>
      <c r="BG950" s="48" t="str">
        <f aca="false">IF(AI950&lt;=0,"",IF(CC950="Aussen","Aussenlager",IF(CC950="-","Nicht im Lift",IF(AN950&gt;=1,"Lift",IF(AN950&lt;=0,"Aussenlager","teilweise")))))</f>
        <v>Lift</v>
      </c>
      <c r="BH950" s="48" t="str">
        <f aca="false">IF(AR950&lt;=0,"",IF(CC950="Aussen","Aussenlager",IF(CC950="-","Nicht im Lift",IF(AW950&gt;=1,"Lift",IF(AW950&lt;=0,"Aussenlager","teilweise")))))</f>
        <v>Lift</v>
      </c>
      <c r="BI950" s="48" t="str">
        <f aca="false">IF(BA950&lt;=0,"",IF(CC950="Aussen","Aussenlager",IF(CC950="-","Nicht im Lift",IF(BF950&gt;=1,"Lift",IF(BF950&lt;=0,"Aussenlager","teilweise")))))</f>
        <v>Lift</v>
      </c>
      <c r="BJ950" s="48" t="str">
        <f aca="false">IF(A950="","",IF(BS950=1,"Neu; ","")&amp;IF(AND(BS950=0,BN950&lt;0),"negativer Bestand (Export "&amp;BN950&amp;"); ","")&amp;IF(J950&lt;=0,"Kein Verbrauch; ","")&amp;IF(CL950&gt;0,"Lift "&amp;W950&amp;" lt. Liftbericht (Fach "&amp;X950&amp;" Stk); ",IF(BX950=1,"Gebinde geschätzt ("&amp;T950&amp;"); ",IF(BW950=1,"Lose – Tablare geschätzt; ","")))&amp;IF(H950&gt;AT950,"Überbestand "&amp;ROUND(H950-AT950,0)&amp;" Stk / CHF "&amp;ROUND((H950-AT950)*G950,0)&amp;"; ","")&amp;IF(AND(CE950=1,CF950&lt;CG950),"MAX &lt; MB+LG; ","")&amp;IF(AND(CK950&gt;0,CJ950*10&gt;CK950),"zu hoch für Tablar; ","")&amp;IF(AND(BS950=0,OR(CE950=1,AA950&lt;&gt;"",U950&lt;&gt;"",V950&lt;&gt;"",AB950&lt;&gt;"")),"manuell übersteuert; ","")&amp;IF(AND(BW950=0,R950=0),"Gebinde unbekannt / Stellmass fehlt; ","")&amp;IF(AND(BW950=0,N(V950)&lt;=0,N(Q950)&lt;=0),"Menge pro Gebinde fehlt (Ist = 1 Gebinde); ","")&amp;BR950)</f>
        <v>negativer Bestand (Export -1); </v>
      </c>
      <c r="BK950" s="48"/>
      <c r="BL950" s="48"/>
      <c r="BM950" s="55"/>
      <c r="BN950" s="50" t="n">
        <v>-1</v>
      </c>
      <c r="BO950" s="50" t="n">
        <v>10</v>
      </c>
      <c r="BP950" s="49" t="n">
        <v>-59.4699999999999</v>
      </c>
      <c r="BQ950" s="50" t="n">
        <v>7</v>
      </c>
      <c r="BR950" s="48"/>
      <c r="BS950" s="53" t="n">
        <v>0</v>
      </c>
      <c r="BT950" s="53" t="n">
        <v>950</v>
      </c>
      <c r="BU950" s="48" t="str">
        <f aca="false">IF(U950&lt;&gt;"",UPPER(TRIM(U950)),IF(BX950=1,UPPER(VLOOKUP(T950,Parameter!$I$27:$K$29,2,0)),IF(P950="","LOSE",P950)))</f>
        <v>S52</v>
      </c>
      <c r="BV950" s="50" t="n">
        <f aca="false">IF(BU950="LOSE",1,IF(N(V950)&gt;0,V950,IF(BX950=1,MAX(1,N(VLOOKUP(T950,Parameter!$I$27:$K$29,3,0)),H950,N(N950)),IF(N(Q950)&gt;0,Q950,MAX(1,H950)))))</f>
        <v>21</v>
      </c>
      <c r="BW950" s="53" t="n">
        <f aca="false">IF(BU950="LOSE",1,0)</f>
        <v>0</v>
      </c>
      <c r="BX950" s="53" t="n">
        <f aca="false">IF(AND(U950="",OR(P950="",P950="LOSE"),T950&lt;&gt;"",N(S950)&lt;=0,ISNUMBER(MATCH(T950,Parameter!$I$27:$I$29,0))),1,0)</f>
        <v>0</v>
      </c>
      <c r="BY950" s="53" t="n">
        <f aca="false">IF(CL950&gt;0,INDEX(Parameter!$H$5:$H$7,W950)/INDEX(Parameter!$E$5:$E$7,W950),IF(AND(BW950=0,N(IFERROR(VLOOKUP(BU950,'Gebinde-Kategorie'!$A$5:$N$45,14,0),0))&gt;0),VLOOKUP(BU950,'Gebinde-Kategorie'!$A$5:$N$45,14,0)*10+Parameter!$M$23,Parameter!$M$24))</f>
        <v>245</v>
      </c>
      <c r="BZ950" s="48" t="str">
        <f aca="false">IF(AND(Parameter!$B$19="Ja",E950&lt;&gt;"",ISNUMBER(MATCH(E950,Parameter!$I$35:$I$52,0))),VLOOKUP(E950,Parameter!$I$35:$J$52,2,0),IFERROR(VLOOKUP(D950,Parameter!$A$35:$C$64,2,0),"Nein"))</f>
        <v>2+3</v>
      </c>
      <c r="CA950" s="52" t="n">
        <f aca="false">IF(BW950=0,0,IF(N(S950)&gt;0,S950,IFERROR(VLOOKUP(D950,Parameter!$A$35:$C$64,3,0)+0,0)))</f>
        <v>0</v>
      </c>
      <c r="CB950" s="48" t="n">
        <f aca="false">IF(AA950&lt;&gt;"",AA950,Z950)</f>
        <v>3</v>
      </c>
      <c r="CC950" s="48" t="str">
        <f aca="false">IF(OR(CB950=1,CB950=2,CB950=3),IF(Parameter!$E$27="Ja","LIFT",IF(CB950=1,"L1","L23")),IF(CB950="Aussen","Aussen","-"))</f>
        <v>LIFT</v>
      </c>
      <c r="CD950" s="59" t="n">
        <f aca="false">IF(N(AB950)&gt;0,AB950,0)</f>
        <v>0</v>
      </c>
      <c r="CE950" s="53" t="n">
        <f aca="false">IF(ISNUMBER(AE950),1,0)</f>
        <v>0</v>
      </c>
      <c r="CF950" s="50" t="n">
        <f aca="false">N(AE950)</f>
        <v>0</v>
      </c>
      <c r="CG950" s="50" t="n">
        <f aca="false">N(M950)+N(N950)</f>
        <v>5</v>
      </c>
      <c r="CH950" s="50" t="n">
        <f aca="false">ROUNDUP(H950/BV950,0)</f>
        <v>1</v>
      </c>
      <c r="CI950" s="50" t="n">
        <f aca="false">ROUNDUP(CF950/BV950,0)</f>
        <v>0</v>
      </c>
      <c r="CJ950" s="53" t="n">
        <f aca="false">IF(BW950=1,0,IFERROR(VLOOKUP(BU950,'Gebinde-Kategorie'!$A$5:$N$45,5,0)+0,0))</f>
        <v>21</v>
      </c>
      <c r="CK950" s="53" t="n">
        <f aca="false">IFERROR(IF(OR(CB950=1,CB950=2,CB950=3),N(INDEX(Parameter!$I$5:$I$7,CB950)),0),0)</f>
        <v>0</v>
      </c>
      <c r="CL950" s="52" t="n">
        <f aca="false">IF(AND(Parameter!$B$21="Ja",ISNUMBER(W950),N(X950)&gt;0),IFERROR(N(INDEX(Parameter!$L$5:$L$7,W950))*INDEX(Parameter!$E$5:$E$7,W950)*X950/SUMIFS($X$7:$X$1843,$W$7:$W$1843,W950),0),0)</f>
        <v>0</v>
      </c>
    </row>
    <row r="951" customFormat="false" ht="15" hidden="false" customHeight="false" outlineLevel="0" collapsed="false">
      <c r="A951" s="48" t="s">
        <v>1776</v>
      </c>
      <c r="B951" s="48" t="s">
        <v>1777</v>
      </c>
      <c r="C951" s="48" t="s">
        <v>168</v>
      </c>
      <c r="D951" s="48" t="s">
        <v>188</v>
      </c>
      <c r="E951" s="48"/>
      <c r="F951" s="48" t="s">
        <v>222</v>
      </c>
      <c r="G951" s="49" t="n">
        <v>19.99</v>
      </c>
      <c r="H951" s="50" t="n">
        <f aca="false">MAX(0,IF(AND(Parameter!$B$21="Ja",ISNUMBER(Y951)),Y951,IF(Parameter!$B$20="Jahresanfang 2025 + Export",BO951+BN951,BN951)))</f>
        <v>4</v>
      </c>
      <c r="I951" s="50" t="n">
        <f aca="false">H951*G951</f>
        <v>79.96</v>
      </c>
      <c r="J951" s="50" t="n">
        <f aca="false">BQ951*Parameter!$B$18</f>
        <v>1</v>
      </c>
      <c r="K951" s="51" t="n">
        <v>6</v>
      </c>
      <c r="L951" s="52" t="n">
        <v>0.166666666666667</v>
      </c>
      <c r="M951" s="50" t="n">
        <v>0</v>
      </c>
      <c r="N951" s="50" t="n">
        <v>1</v>
      </c>
      <c r="O951" s="53" t="n">
        <v>35</v>
      </c>
      <c r="P951" s="48" t="s">
        <v>430</v>
      </c>
      <c r="Q951" s="50" t="n">
        <v>5</v>
      </c>
      <c r="R951" s="53" t="n">
        <f aca="false">IF(BW951=1,0,IFERROR(VLOOKUP(BU951,'Gebinde-Kategorie'!$A$5:$N$45,13,0)+0,0))</f>
        <v>140</v>
      </c>
      <c r="S951" s="54"/>
      <c r="T951" s="55"/>
      <c r="U951" s="55"/>
      <c r="V951" s="55"/>
      <c r="W951" s="48"/>
      <c r="X951" s="50"/>
      <c r="Y951" s="50"/>
      <c r="Z951" s="48" t="n">
        <f aca="false">IF(A951="","",IF(AND(Parameter!$B$21="Ja",ISNUMBER(W951)),W951,IF(BZ951="2+3",IF(ISNUMBER(SEARCH("grosser Artikel",BR951)),2,IFERROR(VLOOKUP(BU951,Parameter!$F$35:$G$64,2,0),2)),IF(OR(BZ951="Nein",BZ951=""),"-",BZ951))))</f>
        <v>3</v>
      </c>
      <c r="AA951" s="55"/>
      <c r="AB951" s="56"/>
      <c r="AC951" s="50" t="n">
        <f aca="false">AT951</f>
        <v>5</v>
      </c>
      <c r="AD951" s="50" t="n">
        <f aca="false">MAX(AT951,H951)</f>
        <v>5</v>
      </c>
      <c r="AE951" s="57"/>
      <c r="AF951" s="50" t="n">
        <f aca="false">IF(LEFT(Cockpit!$C$5,1)="A",H951,IF(CE951=1,CF951,IF(LEFT(Cockpit!$C$5,1)="B",AK951,MAX(AK951,H951))))</f>
        <v>4</v>
      </c>
      <c r="AG951" s="50" t="n">
        <f aca="false">IF(BW951=1,0,ROUNDUP(AF951/BV951,0))</f>
        <v>1</v>
      </c>
      <c r="AH951" s="52" t="n">
        <f aca="false">IF(CL951&gt;0,CL951*MAX(1,AF951/X951),IF(BW951=1,IF(AF951&lt;=0,0,CA951*MAX(1,IF(H951&gt;0,AF951/H951,1))),IF(R951&gt;0,AG951/R951,0))/MAX(0.1,N(Parameter!$M$21)))</f>
        <v>0.00714285714285714</v>
      </c>
      <c r="AI951" s="50" t="n">
        <f aca="false">AH951*BY951</f>
        <v>1.10714285714286</v>
      </c>
      <c r="AJ951" s="50" t="n">
        <f aca="false">AF951*G951</f>
        <v>79.96</v>
      </c>
      <c r="AK951" s="50" t="n">
        <f aca="false">ROUNDUP(MAX(J951/IF(CD951&gt;0,CD951,MAX(0.1,N(Cockpit!$C$6))),CG951)/BV951,0)*BV951</f>
        <v>5</v>
      </c>
      <c r="AL951" s="51" t="n">
        <f aca="false">IF(AI951&gt;0,J951/AI951,-1)</f>
        <v>0.903225806451613</v>
      </c>
      <c r="AM951" s="51" t="n">
        <f aca="false">IF(AND(OR(CC951="L1",CC951="L23",CC951="LIFT"),AI951&gt;0),SUMIFS($AI$7:$AI$1843,$CC$7:$CC$1843,CC951,$AL$7:$AL$1843,"&gt;"&amp;AL951)+SUMIFS($AI$7:$AI$1843,$CC$7:$CC$1843,CC951,$AL$7:$AL$1843,AL951,$BT$7:$BT$1843,"&lt;="&amp;BT951),"")</f>
        <v>7621.06272893773</v>
      </c>
      <c r="AN951" s="58" t="n">
        <f aca="false">IF(AM951="",0,MAX(0,MIN(1,(IF(CC951="L1",Parameter!$H$5,IF(CC951="L23",Parameter!$H$6+Parameter!$H$7,Parameter!$H$5+Parameter!$H$6+Parameter!$H$7))-(AM951-AI951))/AI951)))</f>
        <v>1</v>
      </c>
      <c r="AO951" s="50" t="n">
        <f aca="false">IF(LEFT(Cockpit!$I$5,1)="A",H951,IF(CE951=1,CF951,IF(LEFT(Cockpit!$I$5,1)="B",AT951,MAX(AT951,H951))))</f>
        <v>5</v>
      </c>
      <c r="AP951" s="50" t="n">
        <f aca="false">IF(BW951=1,0,ROUNDUP(AO951/BV951,0))</f>
        <v>1</v>
      </c>
      <c r="AQ951" s="52" t="n">
        <f aca="false">IF(CL951&gt;0,CL951*MAX(1,AO951/X951),IF(BW951=1,IF(AO951&lt;=0,0,CA951*MAX(1,IF(H951&gt;0,AO951/H951,1))),IF(R951&gt;0,AP951/R951,0))/MAX(0.1,N(Parameter!$M$21)))</f>
        <v>0.00714285714285714</v>
      </c>
      <c r="AR951" s="50" t="n">
        <f aca="false">AQ951*BY951</f>
        <v>1.10714285714286</v>
      </c>
      <c r="AS951" s="50" t="n">
        <f aca="false">AO951*G951</f>
        <v>99.95</v>
      </c>
      <c r="AT951" s="50" t="n">
        <f aca="false">ROUNDUP(MAX(J951/IF(CD951&gt;0,CD951,MAX(0.1,N(Cockpit!$I$6))),CG951)/BV951,0)*BV951</f>
        <v>5</v>
      </c>
      <c r="AU951" s="51" t="n">
        <f aca="false">IF(AR951&gt;0,J951/AR951,-1)</f>
        <v>0.903225806451613</v>
      </c>
      <c r="AV951" s="51" t="n">
        <f aca="false">IF(AND(OR(CC951="L1",CC951="L23",CC951="LIFT"),AR951&gt;0),SUMIFS($AR$7:$AR$1843,$CC$7:$CC$1843,CC951,$AU$7:$AU$1843,"&gt;"&amp;AU951)+SUMIFS($AR$7:$AR$1843,$CC$7:$CC$1843,CC951,$AU$7:$AU$1843,AU951,$BT$7:$BT$1843,"&lt;="&amp;BT951),"")</f>
        <v>10732.3195970696</v>
      </c>
      <c r="AW951" s="58" t="n">
        <f aca="false">IF(AV951="",0,MAX(0,MIN(1,(IF(CC951="L1",Parameter!$H$5,IF(CC951="L23",Parameter!$H$6+Parameter!$H$7,Parameter!$H$5+Parameter!$H$6+Parameter!$H$7))-(AV951-AR951))/AR951)))</f>
        <v>1</v>
      </c>
      <c r="AX951" s="50" t="n">
        <f aca="false">IF(LEFT(Cockpit!$O$5,1)="A",H951,IF(CE951=1,CF951,IF(LEFT(Cockpit!$O$5,1)="B",BC951,MAX(BC951,H951))))</f>
        <v>5</v>
      </c>
      <c r="AY951" s="50" t="n">
        <f aca="false">IF(BW951=1,0,ROUNDUP(AX951/BV951,0))</f>
        <v>1</v>
      </c>
      <c r="AZ951" s="52" t="n">
        <f aca="false">IF(CL951&gt;0,CL951*MAX(1,AX951/X951),IF(BW951=1,IF(AX951&lt;=0,0,CA951*MAX(1,IF(H951&gt;0,AX951/H951,1))),IF(R951&gt;0,AY951/R951,0))/MAX(0.1,N(Parameter!$M$21)))</f>
        <v>0.00714285714285714</v>
      </c>
      <c r="BA951" s="50" t="n">
        <f aca="false">AZ951*BY951</f>
        <v>1.10714285714286</v>
      </c>
      <c r="BB951" s="50" t="n">
        <f aca="false">AX951*G951</f>
        <v>99.95</v>
      </c>
      <c r="BC951" s="50" t="n">
        <f aca="false">ROUNDUP(MAX(J951/IF(CD951&gt;0,CD951,MAX(0.1,N(Cockpit!$O$6))),CG951)/BV951,0)*BV951</f>
        <v>5</v>
      </c>
      <c r="BD951" s="51" t="n">
        <f aca="false">IF(BA951&gt;0,J951/BA951,-1)</f>
        <v>0.903225806451613</v>
      </c>
      <c r="BE951" s="51" t="n">
        <f aca="false">IF(AND(OR(CC951="L1",CC951="L23",CC951="LIFT"),BA951&gt;0),SUMIFS($BA$7:$BA$1843,$CC$7:$CC$1843,CC951,$BD$7:$BD$1843,"&gt;"&amp;BD951)+SUMIFS($BA$7:$BA$1843,$CC$7:$CC$1843,CC951,$BD$7:$BD$1843,BD951,$BT$7:$BT$1843,"&lt;="&amp;BT951),"")</f>
        <v>9990.47664835165</v>
      </c>
      <c r="BF951" s="58" t="n">
        <f aca="false">IF(BE951="",0,MAX(0,MIN(1,(IF(CC951="L1",Parameter!$H$5,IF(CC951="L23",Parameter!$H$6+Parameter!$H$7,Parameter!$H$5+Parameter!$H$6+Parameter!$H$7))-(BE951-BA951))/BA951)))</f>
        <v>1</v>
      </c>
      <c r="BG951" s="48" t="str">
        <f aca="false">IF(AI951&lt;=0,"",IF(CC951="Aussen","Aussenlager",IF(CC951="-","Nicht im Lift",IF(AN951&gt;=1,"Lift",IF(AN951&lt;=0,"Aussenlager","teilweise")))))</f>
        <v>Lift</v>
      </c>
      <c r="BH951" s="48" t="str">
        <f aca="false">IF(AR951&lt;=0,"",IF(CC951="Aussen","Aussenlager",IF(CC951="-","Nicht im Lift",IF(AW951&gt;=1,"Lift",IF(AW951&lt;=0,"Aussenlager","teilweise")))))</f>
        <v>Lift</v>
      </c>
      <c r="BI951" s="48" t="str">
        <f aca="false">IF(BA951&lt;=0,"",IF(CC951="Aussen","Aussenlager",IF(CC951="-","Nicht im Lift",IF(BF951&gt;=1,"Lift",IF(BF951&lt;=0,"Aussenlager","teilweise")))))</f>
        <v>Lift</v>
      </c>
      <c r="BJ951" s="48" t="str">
        <f aca="false">IF(A951="","",IF(BS951=1,"Neu; ","")&amp;IF(AND(BS951=0,BN951&lt;0),"negativer Bestand (Export "&amp;BN951&amp;"); ","")&amp;IF(J951&lt;=0,"Kein Verbrauch; ","")&amp;IF(CL951&gt;0,"Lift "&amp;W951&amp;" lt. Liftbericht (Fach "&amp;X951&amp;" Stk); ",IF(BX951=1,"Gebinde geschätzt ("&amp;T951&amp;"); ",IF(BW951=1,"Lose – Tablare geschätzt; ","")))&amp;IF(H951&gt;AT951,"Überbestand "&amp;ROUND(H951-AT951,0)&amp;" Stk / CHF "&amp;ROUND((H951-AT951)*G951,0)&amp;"; ","")&amp;IF(AND(CE951=1,CF951&lt;CG951),"MAX &lt; MB+LG; ","")&amp;IF(AND(CK951&gt;0,CJ951*10&gt;CK951),"zu hoch für Tablar; ","")&amp;IF(AND(BS951=0,OR(CE951=1,AA951&lt;&gt;"",U951&lt;&gt;"",V951&lt;&gt;"",AB951&lt;&gt;"")),"manuell übersteuert; ","")&amp;IF(AND(BW951=0,R951=0),"Gebinde unbekannt / Stellmass fehlt; ","")&amp;IF(AND(BW951=0,N(V951)&lt;=0,N(Q951)&lt;=0),"Menge pro Gebinde fehlt (Ist = 1 Gebinde); ","")&amp;BR951)</f>
        <v>negativer Bestand (Export -3); Neuer Art.</v>
      </c>
      <c r="BK951" s="48"/>
      <c r="BL951" s="48"/>
      <c r="BM951" s="55"/>
      <c r="BN951" s="50" t="n">
        <v>-3</v>
      </c>
      <c r="BO951" s="50" t="n">
        <v>7</v>
      </c>
      <c r="BP951" s="49" t="n">
        <v>-59.97</v>
      </c>
      <c r="BQ951" s="50" t="n">
        <v>1</v>
      </c>
      <c r="BR951" s="48" t="s">
        <v>516</v>
      </c>
      <c r="BS951" s="53" t="n">
        <v>0</v>
      </c>
      <c r="BT951" s="53" t="n">
        <v>951</v>
      </c>
      <c r="BU951" s="48" t="str">
        <f aca="false">IF(U951&lt;&gt;"",UPPER(TRIM(U951)),IF(BX951=1,UPPER(VLOOKUP(T951,Parameter!$I$27:$K$29,2,0)),IF(P951="","LOSE",P951)))</f>
        <v>S22</v>
      </c>
      <c r="BV951" s="50" t="n">
        <f aca="false">IF(BU951="LOSE",1,IF(N(V951)&gt;0,V951,IF(BX951=1,MAX(1,N(VLOOKUP(T951,Parameter!$I$27:$K$29,3,0)),H951,N(N951)),IF(N(Q951)&gt;0,Q951,MAX(1,H951)))))</f>
        <v>5</v>
      </c>
      <c r="BW951" s="53" t="n">
        <f aca="false">IF(BU951="LOSE",1,0)</f>
        <v>0</v>
      </c>
      <c r="BX951" s="53" t="n">
        <f aca="false">IF(AND(U951="",OR(P951="",P951="LOSE"),T951&lt;&gt;"",N(S951)&lt;=0,ISNUMBER(MATCH(T951,Parameter!$I$27:$I$29,0))),1,0)</f>
        <v>0</v>
      </c>
      <c r="BY951" s="53" t="n">
        <f aca="false">IF(CL951&gt;0,INDEX(Parameter!$H$5:$H$7,W951)/INDEX(Parameter!$E$5:$E$7,W951),IF(AND(BW951=0,N(IFERROR(VLOOKUP(BU951,'Gebinde-Kategorie'!$A$5:$N$45,14,0),0))&gt;0),VLOOKUP(BU951,'Gebinde-Kategorie'!$A$5:$N$45,14,0)*10+Parameter!$M$23,Parameter!$M$24))</f>
        <v>155</v>
      </c>
      <c r="BZ951" s="48" t="str">
        <f aca="false">IF(AND(Parameter!$B$19="Ja",E951&lt;&gt;"",ISNUMBER(MATCH(E951,Parameter!$I$35:$I$52,0))),VLOOKUP(E951,Parameter!$I$35:$J$52,2,0),IFERROR(VLOOKUP(D951,Parameter!$A$35:$C$64,2,0),"Nein"))</f>
        <v>2+3</v>
      </c>
      <c r="CA951" s="52" t="n">
        <f aca="false">IF(BW951=0,0,IF(N(S951)&gt;0,S951,IFERROR(VLOOKUP(D951,Parameter!$A$35:$C$64,3,0)+0,0)))</f>
        <v>0</v>
      </c>
      <c r="CB951" s="48" t="n">
        <f aca="false">IF(AA951&lt;&gt;"",AA951,Z951)</f>
        <v>3</v>
      </c>
      <c r="CC951" s="48" t="str">
        <f aca="false">IF(OR(CB951=1,CB951=2,CB951=3),IF(Parameter!$E$27="Ja","LIFT",IF(CB951=1,"L1","L23")),IF(CB951="Aussen","Aussen","-"))</f>
        <v>LIFT</v>
      </c>
      <c r="CD951" s="59" t="n">
        <f aca="false">IF(N(AB951)&gt;0,AB951,0)</f>
        <v>0</v>
      </c>
      <c r="CE951" s="53" t="n">
        <f aca="false">IF(ISNUMBER(AE951),1,0)</f>
        <v>0</v>
      </c>
      <c r="CF951" s="50" t="n">
        <f aca="false">N(AE951)</f>
        <v>0</v>
      </c>
      <c r="CG951" s="50" t="n">
        <f aca="false">N(M951)+N(N951)</f>
        <v>1</v>
      </c>
      <c r="CH951" s="50" t="n">
        <f aca="false">ROUNDUP(H951/BV951,0)</f>
        <v>1</v>
      </c>
      <c r="CI951" s="50" t="n">
        <f aca="false">ROUNDUP(CF951/BV951,0)</f>
        <v>0</v>
      </c>
      <c r="CJ951" s="53" t="n">
        <f aca="false">IF(BW951=1,0,IFERROR(VLOOKUP(BU951,'Gebinde-Kategorie'!$A$5:$N$45,5,0)+0,0))</f>
        <v>8</v>
      </c>
      <c r="CK951" s="53" t="n">
        <f aca="false">IFERROR(IF(OR(CB951=1,CB951=2,CB951=3),N(INDEX(Parameter!$I$5:$I$7,CB951)),0),0)</f>
        <v>0</v>
      </c>
      <c r="CL951" s="52" t="n">
        <f aca="false">IF(AND(Parameter!$B$21="Ja",ISNUMBER(W951),N(X951)&gt;0),IFERROR(N(INDEX(Parameter!$L$5:$L$7,W951))*INDEX(Parameter!$E$5:$E$7,W951)*X951/SUMIFS($X$7:$X$1843,$W$7:$W$1843,W951),0),0)</f>
        <v>0</v>
      </c>
    </row>
    <row r="952" customFormat="false" ht="15" hidden="false" customHeight="false" outlineLevel="0" collapsed="false">
      <c r="A952" s="48" t="s">
        <v>1778</v>
      </c>
      <c r="B952" s="48" t="s">
        <v>1779</v>
      </c>
      <c r="C952" s="48" t="s">
        <v>168</v>
      </c>
      <c r="D952" s="48" t="s">
        <v>188</v>
      </c>
      <c r="E952" s="48" t="s">
        <v>189</v>
      </c>
      <c r="F952" s="48" t="s">
        <v>222</v>
      </c>
      <c r="G952" s="49" t="n">
        <v>12.28</v>
      </c>
      <c r="H952" s="50" t="n">
        <f aca="false">MAX(0,IF(AND(Parameter!$B$21="Ja",ISNUMBER(Y952)),Y952,IF(Parameter!$B$20="Jahresanfang 2025 + Export",BO952+BN952,BN952)))</f>
        <v>0</v>
      </c>
      <c r="I952" s="50" t="n">
        <f aca="false">H952*G952</f>
        <v>0</v>
      </c>
      <c r="J952" s="50" t="n">
        <f aca="false">BQ952*Parameter!$B$18</f>
        <v>4</v>
      </c>
      <c r="K952" s="51" t="n">
        <v>2.5</v>
      </c>
      <c r="L952" s="52" t="n">
        <v>1.6</v>
      </c>
      <c r="M952" s="50" t="n">
        <v>0</v>
      </c>
      <c r="N952" s="50" t="n">
        <v>5</v>
      </c>
      <c r="O952" s="53" t="n">
        <v>28</v>
      </c>
      <c r="P952" s="48" t="s">
        <v>480</v>
      </c>
      <c r="Q952" s="50" t="n">
        <v>6</v>
      </c>
      <c r="R952" s="53" t="n">
        <f aca="false">IF(BW952=1,0,IFERROR(VLOOKUP(BU952,'Gebinde-Kategorie'!$A$5:$N$45,13,0)+0,0))</f>
        <v>52</v>
      </c>
      <c r="S952" s="54"/>
      <c r="T952" s="55"/>
      <c r="U952" s="55"/>
      <c r="V952" s="55"/>
      <c r="W952" s="48"/>
      <c r="X952" s="50"/>
      <c r="Y952" s="50"/>
      <c r="Z952" s="48" t="n">
        <f aca="false">IF(A952="","",IF(AND(Parameter!$B$21="Ja",ISNUMBER(W952)),W952,IF(BZ952="2+3",IF(ISNUMBER(SEARCH("grosser Artikel",BR952)),2,IFERROR(VLOOKUP(BU952,Parameter!$F$35:$G$64,2,0),2)),IF(OR(BZ952="Nein",BZ952=""),"-",BZ952))))</f>
        <v>3</v>
      </c>
      <c r="AA952" s="55"/>
      <c r="AB952" s="56"/>
      <c r="AC952" s="50" t="n">
        <f aca="false">AT952</f>
        <v>6</v>
      </c>
      <c r="AD952" s="50" t="n">
        <f aca="false">MAX(AT952,H952)</f>
        <v>6</v>
      </c>
      <c r="AE952" s="57"/>
      <c r="AF952" s="50" t="n">
        <f aca="false">IF(LEFT(Cockpit!$C$5,1)="A",H952,IF(CE952=1,CF952,IF(LEFT(Cockpit!$C$5,1)="B",AK952,MAX(AK952,H952))))</f>
        <v>0</v>
      </c>
      <c r="AG952" s="50" t="n">
        <f aca="false">IF(BW952=1,0,ROUNDUP(AF952/BV952,0))</f>
        <v>0</v>
      </c>
      <c r="AH952" s="52" t="n">
        <f aca="false">IF(CL952&gt;0,CL952*MAX(1,AF952/X952),IF(BW952=1,IF(AF952&lt;=0,0,CA952*MAX(1,IF(H952&gt;0,AF952/H952,1))),IF(R952&gt;0,AG952/R952,0))/MAX(0.1,N(Parameter!$M$21)))</f>
        <v>0</v>
      </c>
      <c r="AI952" s="50" t="n">
        <f aca="false">AH952*BY952</f>
        <v>0</v>
      </c>
      <c r="AJ952" s="50" t="n">
        <f aca="false">AF952*G952</f>
        <v>0</v>
      </c>
      <c r="AK952" s="50" t="n">
        <f aca="false">ROUNDUP(MAX(J952/IF(CD952&gt;0,CD952,MAX(0.1,N(Cockpit!$C$6))),CG952)/BV952,0)*BV952</f>
        <v>6</v>
      </c>
      <c r="AL952" s="51" t="n">
        <f aca="false">IF(AI952&gt;0,J952/AI952,-1)</f>
        <v>-1</v>
      </c>
      <c r="AM952" s="51" t="str">
        <f aca="false">IF(AND(OR(CC952="L1",CC952="L23",CC952="LIFT"),AI952&gt;0),SUMIFS($AI$7:$AI$1843,$CC$7:$CC$1843,CC952,$AL$7:$AL$1843,"&gt;"&amp;AL952)+SUMIFS($AI$7:$AI$1843,$CC$7:$CC$1843,CC952,$AL$7:$AL$1843,AL952,$BT$7:$BT$1843,"&lt;="&amp;BT952),"")</f>
        <v/>
      </c>
      <c r="AN952" s="58" t="n">
        <f aca="false">IF(AM952="",0,MAX(0,MIN(1,(IF(CC952="L1",Parameter!$H$5,IF(CC952="L23",Parameter!$H$6+Parameter!$H$7,Parameter!$H$5+Parameter!$H$6+Parameter!$H$7))-(AM952-AI952))/AI952)))</f>
        <v>0</v>
      </c>
      <c r="AO952" s="50" t="n">
        <f aca="false">IF(LEFT(Cockpit!$I$5,1)="A",H952,IF(CE952=1,CF952,IF(LEFT(Cockpit!$I$5,1)="B",AT952,MAX(AT952,H952))))</f>
        <v>6</v>
      </c>
      <c r="AP952" s="50" t="n">
        <f aca="false">IF(BW952=1,0,ROUNDUP(AO952/BV952,0))</f>
        <v>1</v>
      </c>
      <c r="AQ952" s="52" t="n">
        <f aca="false">IF(CL952&gt;0,CL952*MAX(1,AO952/X952),IF(BW952=1,IF(AO952&lt;=0,0,CA952*MAX(1,IF(H952&gt;0,AO952/H952,1))),IF(R952&gt;0,AP952/R952,0))/MAX(0.1,N(Parameter!$M$21)))</f>
        <v>0.0192307692307692</v>
      </c>
      <c r="AR952" s="50" t="n">
        <f aca="false">AQ952*BY952</f>
        <v>2.98076923076923</v>
      </c>
      <c r="AS952" s="50" t="n">
        <f aca="false">AO952*G952</f>
        <v>73.68</v>
      </c>
      <c r="AT952" s="50" t="n">
        <f aca="false">ROUNDUP(MAX(J952/IF(CD952&gt;0,CD952,MAX(0.1,N(Cockpit!$I$6))),CG952)/BV952,0)*BV952</f>
        <v>6</v>
      </c>
      <c r="AU952" s="51" t="n">
        <f aca="false">IF(AR952&gt;0,J952/AR952,-1)</f>
        <v>1.34193548387097</v>
      </c>
      <c r="AV952" s="51" t="n">
        <f aca="false">IF(AND(OR(CC952="L1",CC952="L23",CC952="LIFT"),AR952&gt;0),SUMIFS($AR$7:$AR$1843,$CC$7:$CC$1843,CC952,$AU$7:$AU$1843,"&gt;"&amp;AU952)+SUMIFS($AR$7:$AR$1843,$CC$7:$CC$1843,CC952,$AU$7:$AU$1843,AU952,$BT$7:$BT$1843,"&lt;="&amp;BT952),"")</f>
        <v>9410.57783882784</v>
      </c>
      <c r="AW952" s="58" t="n">
        <f aca="false">IF(AV952="",0,MAX(0,MIN(1,(IF(CC952="L1",Parameter!$H$5,IF(CC952="L23",Parameter!$H$6+Parameter!$H$7,Parameter!$H$5+Parameter!$H$6+Parameter!$H$7))-(AV952-AR952))/AR952)))</f>
        <v>1</v>
      </c>
      <c r="AX952" s="50" t="n">
        <f aca="false">IF(LEFT(Cockpit!$O$5,1)="A",H952,IF(CE952=1,CF952,IF(LEFT(Cockpit!$O$5,1)="B",BC952,MAX(BC952,H952))))</f>
        <v>6</v>
      </c>
      <c r="AY952" s="50" t="n">
        <f aca="false">IF(BW952=1,0,ROUNDUP(AX952/BV952,0))</f>
        <v>1</v>
      </c>
      <c r="AZ952" s="52" t="n">
        <f aca="false">IF(CL952&gt;0,CL952*MAX(1,AX952/X952),IF(BW952=1,IF(AX952&lt;=0,0,CA952*MAX(1,IF(H952&gt;0,AX952/H952,1))),IF(R952&gt;0,AY952/R952,0))/MAX(0.1,N(Parameter!$M$21)))</f>
        <v>0.0192307692307692</v>
      </c>
      <c r="BA952" s="50" t="n">
        <f aca="false">AZ952*BY952</f>
        <v>2.98076923076923</v>
      </c>
      <c r="BB952" s="50" t="n">
        <f aca="false">AX952*G952</f>
        <v>73.68</v>
      </c>
      <c r="BC952" s="50" t="n">
        <f aca="false">ROUNDUP(MAX(J952/IF(CD952&gt;0,CD952,MAX(0.1,N(Cockpit!$O$6))),CG952)/BV952,0)*BV952</f>
        <v>6</v>
      </c>
      <c r="BD952" s="51" t="n">
        <f aca="false">IF(BA952&gt;0,J952/BA952,-1)</f>
        <v>1.34193548387097</v>
      </c>
      <c r="BE952" s="51" t="n">
        <f aca="false">IF(AND(OR(CC952="L1",CC952="L23",CC952="LIFT"),BA952&gt;0),SUMIFS($BA$7:$BA$1843,$CC$7:$CC$1843,CC952,$BD$7:$BD$1843,"&gt;"&amp;BD952)+SUMIFS($BA$7:$BA$1843,$CC$7:$CC$1843,CC952,$BD$7:$BD$1843,BD952,$BT$7:$BT$1843,"&lt;="&amp;BT952),"")</f>
        <v>8596.23489010989</v>
      </c>
      <c r="BF952" s="58" t="n">
        <f aca="false">IF(BE952="",0,MAX(0,MIN(1,(IF(CC952="L1",Parameter!$H$5,IF(CC952="L23",Parameter!$H$6+Parameter!$H$7,Parameter!$H$5+Parameter!$H$6+Parameter!$H$7))-(BE952-BA952))/BA952)))</f>
        <v>1</v>
      </c>
      <c r="BG952" s="48" t="str">
        <f aca="false">IF(AI952&lt;=0,"",IF(CC952="Aussen","Aussenlager",IF(CC952="-","Nicht im Lift",IF(AN952&gt;=1,"Lift",IF(AN952&lt;=0,"Aussenlager","teilweise")))))</f>
        <v/>
      </c>
      <c r="BH952" s="48" t="str">
        <f aca="false">IF(AR952&lt;=0,"",IF(CC952="Aussen","Aussenlager",IF(CC952="-","Nicht im Lift",IF(AW952&gt;=1,"Lift",IF(AW952&lt;=0,"Aussenlager","teilweise")))))</f>
        <v>Lift</v>
      </c>
      <c r="BI952" s="48" t="str">
        <f aca="false">IF(BA952&lt;=0,"",IF(CC952="Aussen","Aussenlager",IF(CC952="-","Nicht im Lift",IF(BF952&gt;=1,"Lift",IF(BF952&lt;=0,"Aussenlager","teilweise")))))</f>
        <v>Lift</v>
      </c>
      <c r="BJ952" s="48" t="str">
        <f aca="false">IF(A952="","",IF(BS952=1,"Neu; ","")&amp;IF(AND(BS952=0,BN952&lt;0),"negativer Bestand (Export "&amp;BN952&amp;"); ","")&amp;IF(J952&lt;=0,"Kein Verbrauch; ","")&amp;IF(CL952&gt;0,"Lift "&amp;W952&amp;" lt. Liftbericht (Fach "&amp;X952&amp;" Stk); ",IF(BX952=1,"Gebinde geschätzt ("&amp;T952&amp;"); ",IF(BW952=1,"Lose – Tablare geschätzt; ","")))&amp;IF(H952&gt;AT952,"Überbestand "&amp;ROUND(H952-AT952,0)&amp;" Stk / CHF "&amp;ROUND((H952-AT952)*G952,0)&amp;"; ","")&amp;IF(AND(CE952=1,CF952&lt;CG952),"MAX &lt; MB+LG; ","")&amp;IF(AND(CK952&gt;0,CJ952*10&gt;CK952),"zu hoch für Tablar; ","")&amp;IF(AND(BS952=0,OR(CE952=1,AA952&lt;&gt;"",U952&lt;&gt;"",V952&lt;&gt;"",AB952&lt;&gt;"")),"manuell übersteuert; ","")&amp;IF(AND(BW952=0,R952=0),"Gebinde unbekannt / Stellmass fehlt; ","")&amp;IF(AND(BW952=0,N(V952)&lt;=0,N(Q952)&lt;=0),"Menge pro Gebinde fehlt (Ist = 1 Gebinde); ","")&amp;BR952)</f>
        <v>negativer Bestand (Export -5); Verb.Lager</v>
      </c>
      <c r="BK952" s="48"/>
      <c r="BL952" s="48"/>
      <c r="BM952" s="55"/>
      <c r="BN952" s="50" t="n">
        <v>-5</v>
      </c>
      <c r="BO952" s="50" t="n">
        <v>5</v>
      </c>
      <c r="BP952" s="49" t="n">
        <v>-61.4</v>
      </c>
      <c r="BQ952" s="50" t="n">
        <v>4</v>
      </c>
      <c r="BR952" s="48" t="s">
        <v>1034</v>
      </c>
      <c r="BS952" s="53" t="n">
        <v>0</v>
      </c>
      <c r="BT952" s="53" t="n">
        <v>952</v>
      </c>
      <c r="BU952" s="48" t="str">
        <f aca="false">IF(U952&lt;&gt;"",UPPER(TRIM(U952)),IF(BX952=1,UPPER(VLOOKUP(T952,Parameter!$I$27:$K$29,2,0)),IF(P952="","LOSE",P952)))</f>
        <v>S33</v>
      </c>
      <c r="BV952" s="50" t="n">
        <f aca="false">IF(BU952="LOSE",1,IF(N(V952)&gt;0,V952,IF(BX952=1,MAX(1,N(VLOOKUP(T952,Parameter!$I$27:$K$29,3,0)),H952,N(N952)),IF(N(Q952)&gt;0,Q952,MAX(1,H952)))))</f>
        <v>6</v>
      </c>
      <c r="BW952" s="53" t="n">
        <f aca="false">IF(BU952="LOSE",1,0)</f>
        <v>0</v>
      </c>
      <c r="BX952" s="53" t="n">
        <f aca="false">IF(AND(U952="",OR(P952="",P952="LOSE"),T952&lt;&gt;"",N(S952)&lt;=0,ISNUMBER(MATCH(T952,Parameter!$I$27:$I$29,0))),1,0)</f>
        <v>0</v>
      </c>
      <c r="BY952" s="53" t="n">
        <f aca="false">IF(CL952&gt;0,INDEX(Parameter!$H$5:$H$7,W952)/INDEX(Parameter!$E$5:$E$7,W952),IF(AND(BW952=0,N(IFERROR(VLOOKUP(BU952,'Gebinde-Kategorie'!$A$5:$N$45,14,0),0))&gt;0),VLOOKUP(BU952,'Gebinde-Kategorie'!$A$5:$N$45,14,0)*10+Parameter!$M$23,Parameter!$M$24))</f>
        <v>155</v>
      </c>
      <c r="BZ952" s="48" t="str">
        <f aca="false">IF(AND(Parameter!$B$19="Ja",E952&lt;&gt;"",ISNUMBER(MATCH(E952,Parameter!$I$35:$I$52,0))),VLOOKUP(E952,Parameter!$I$35:$J$52,2,0),IFERROR(VLOOKUP(D952,Parameter!$A$35:$C$64,2,0),"Nein"))</f>
        <v>2+3</v>
      </c>
      <c r="CA952" s="52" t="n">
        <f aca="false">IF(BW952=0,0,IF(N(S952)&gt;0,S952,IFERROR(VLOOKUP(D952,Parameter!$A$35:$C$64,3,0)+0,0)))</f>
        <v>0</v>
      </c>
      <c r="CB952" s="48" t="n">
        <f aca="false">IF(AA952&lt;&gt;"",AA952,Z952)</f>
        <v>3</v>
      </c>
      <c r="CC952" s="48" t="str">
        <f aca="false">IF(OR(CB952=1,CB952=2,CB952=3),IF(Parameter!$E$27="Ja","LIFT",IF(CB952=1,"L1","L23")),IF(CB952="Aussen","Aussen","-"))</f>
        <v>LIFT</v>
      </c>
      <c r="CD952" s="59" t="n">
        <f aca="false">IF(N(AB952)&gt;0,AB952,0)</f>
        <v>0</v>
      </c>
      <c r="CE952" s="53" t="n">
        <f aca="false">IF(ISNUMBER(AE952),1,0)</f>
        <v>0</v>
      </c>
      <c r="CF952" s="50" t="n">
        <f aca="false">N(AE952)</f>
        <v>0</v>
      </c>
      <c r="CG952" s="50" t="n">
        <f aca="false">N(M952)+N(N952)</f>
        <v>5</v>
      </c>
      <c r="CH952" s="50" t="n">
        <f aca="false">ROUNDUP(H952/BV952,0)</f>
        <v>0</v>
      </c>
      <c r="CI952" s="50" t="n">
        <f aca="false">ROUNDUP(CF952/BV952,0)</f>
        <v>0</v>
      </c>
      <c r="CJ952" s="53" t="n">
        <f aca="false">IF(BW952=1,0,IFERROR(VLOOKUP(BU952,'Gebinde-Kategorie'!$A$5:$N$45,5,0)+0,0))</f>
        <v>8</v>
      </c>
      <c r="CK952" s="53" t="n">
        <f aca="false">IFERROR(IF(OR(CB952=1,CB952=2,CB952=3),N(INDEX(Parameter!$I$5:$I$7,CB952)),0),0)</f>
        <v>0</v>
      </c>
      <c r="CL952" s="52" t="n">
        <f aca="false">IF(AND(Parameter!$B$21="Ja",ISNUMBER(W952),N(X952)&gt;0),IFERROR(N(INDEX(Parameter!$L$5:$L$7,W952))*INDEX(Parameter!$E$5:$E$7,W952)*X952/SUMIFS($X$7:$X$1843,$W$7:$W$1843,W952),0),0)</f>
        <v>0</v>
      </c>
    </row>
    <row r="953" customFormat="false" ht="15" hidden="false" customHeight="false" outlineLevel="0" collapsed="false">
      <c r="A953" s="48" t="s">
        <v>1780</v>
      </c>
      <c r="B953" s="48" t="s">
        <v>548</v>
      </c>
      <c r="C953" s="48" t="s">
        <v>168</v>
      </c>
      <c r="D953" s="48" t="s">
        <v>188</v>
      </c>
      <c r="E953" s="48"/>
      <c r="F953" s="48" t="s">
        <v>222</v>
      </c>
      <c r="G953" s="49" t="n">
        <v>15.4</v>
      </c>
      <c r="H953" s="50" t="n">
        <f aca="false">MAX(0,IF(AND(Parameter!$B$21="Ja",ISNUMBER(Y953)),Y953,IF(Parameter!$B$20="Jahresanfang 2025 + Export",BO953+BN953,BN953)))</f>
        <v>25</v>
      </c>
      <c r="I953" s="50" t="n">
        <f aca="false">H953*G953</f>
        <v>385</v>
      </c>
      <c r="J953" s="50" t="n">
        <f aca="false">BQ953*Parameter!$B$18</f>
        <v>0</v>
      </c>
      <c r="K953" s="51" t="n">
        <v>27</v>
      </c>
      <c r="L953" s="52" t="n">
        <v>0</v>
      </c>
      <c r="M953" s="50" t="n">
        <v>0</v>
      </c>
      <c r="N953" s="50" t="n">
        <v>1</v>
      </c>
      <c r="O953" s="53" t="n">
        <v>28</v>
      </c>
      <c r="P953" s="48" t="s">
        <v>430</v>
      </c>
      <c r="Q953" s="50" t="n">
        <v>25</v>
      </c>
      <c r="R953" s="53" t="n">
        <f aca="false">IF(BW953=1,0,IFERROR(VLOOKUP(BU953,'Gebinde-Kategorie'!$A$5:$N$45,13,0)+0,0))</f>
        <v>140</v>
      </c>
      <c r="S953" s="54"/>
      <c r="T953" s="55"/>
      <c r="U953" s="55"/>
      <c r="V953" s="55"/>
      <c r="W953" s="48"/>
      <c r="X953" s="50"/>
      <c r="Y953" s="50"/>
      <c r="Z953" s="48" t="n">
        <f aca="false">IF(A953="","",IF(AND(Parameter!$B$21="Ja",ISNUMBER(W953)),W953,IF(BZ953="2+3",IF(ISNUMBER(SEARCH("grosser Artikel",BR953)),2,IFERROR(VLOOKUP(BU953,Parameter!$F$35:$G$64,2,0),2)),IF(OR(BZ953="Nein",BZ953=""),"-",BZ953))))</f>
        <v>3</v>
      </c>
      <c r="AA953" s="55"/>
      <c r="AB953" s="56"/>
      <c r="AC953" s="50" t="n">
        <f aca="false">AT953</f>
        <v>25</v>
      </c>
      <c r="AD953" s="50" t="n">
        <f aca="false">MAX(AT953,H953)</f>
        <v>25</v>
      </c>
      <c r="AE953" s="57"/>
      <c r="AF953" s="50" t="n">
        <f aca="false">IF(LEFT(Cockpit!$C$5,1)="A",H953,IF(CE953=1,CF953,IF(LEFT(Cockpit!$C$5,1)="B",AK953,MAX(AK953,H953))))</f>
        <v>25</v>
      </c>
      <c r="AG953" s="50" t="n">
        <f aca="false">IF(BW953=1,0,ROUNDUP(AF953/BV953,0))</f>
        <v>1</v>
      </c>
      <c r="AH953" s="52" t="n">
        <f aca="false">IF(CL953&gt;0,CL953*MAX(1,AF953/X953),IF(BW953=1,IF(AF953&lt;=0,0,CA953*MAX(1,IF(H953&gt;0,AF953/H953,1))),IF(R953&gt;0,AG953/R953,0))/MAX(0.1,N(Parameter!$M$21)))</f>
        <v>0.00714285714285714</v>
      </c>
      <c r="AI953" s="50" t="n">
        <f aca="false">AH953*BY953</f>
        <v>1.10714285714286</v>
      </c>
      <c r="AJ953" s="50" t="n">
        <f aca="false">AF953*G953</f>
        <v>385</v>
      </c>
      <c r="AK953" s="50" t="n">
        <f aca="false">ROUNDUP(MAX(J953/IF(CD953&gt;0,CD953,MAX(0.1,N(Cockpit!$C$6))),CG953)/BV953,0)*BV953</f>
        <v>25</v>
      </c>
      <c r="AL953" s="51" t="n">
        <f aca="false">IF(AI953&gt;0,J953/AI953,-1)</f>
        <v>0</v>
      </c>
      <c r="AM953" s="51" t="n">
        <f aca="false">IF(AND(OR(CC953="L1",CC953="L23",CC953="LIFT"),AI953&gt;0),SUMIFS($AI$7:$AI$1843,$CC$7:$CC$1843,CC953,$AL$7:$AL$1843,"&gt;"&amp;AL953)+SUMIFS($AI$7:$AI$1843,$CC$7:$CC$1843,CC953,$AL$7:$AL$1843,AL953,$BT$7:$BT$1843,"&lt;="&amp;BT953),"")</f>
        <v>28881.3037395749</v>
      </c>
      <c r="AN953" s="58" t="n">
        <f aca="false">IF(AM953="",0,MAX(0,MIN(1,(IF(CC953="L1",Parameter!$H$5,IF(CC953="L23",Parameter!$H$6+Parameter!$H$7,Parameter!$H$5+Parameter!$H$6+Parameter!$H$7))-(AM953-AI953))/AI953)))</f>
        <v>1</v>
      </c>
      <c r="AO953" s="50" t="n">
        <f aca="false">IF(LEFT(Cockpit!$I$5,1)="A",H953,IF(CE953=1,CF953,IF(LEFT(Cockpit!$I$5,1)="B",AT953,MAX(AT953,H953))))</f>
        <v>25</v>
      </c>
      <c r="AP953" s="50" t="n">
        <f aca="false">IF(BW953=1,0,ROUNDUP(AO953/BV953,0))</f>
        <v>1</v>
      </c>
      <c r="AQ953" s="52" t="n">
        <f aca="false">IF(CL953&gt;0,CL953*MAX(1,AO953/X953),IF(BW953=1,IF(AO953&lt;=0,0,CA953*MAX(1,IF(H953&gt;0,AO953/H953,1))),IF(R953&gt;0,AP953/R953,0))/MAX(0.1,N(Parameter!$M$21)))</f>
        <v>0.00714285714285714</v>
      </c>
      <c r="AR953" s="50" t="n">
        <f aca="false">AQ953*BY953</f>
        <v>1.10714285714286</v>
      </c>
      <c r="AS953" s="50" t="n">
        <f aca="false">AO953*G953</f>
        <v>385</v>
      </c>
      <c r="AT953" s="50" t="n">
        <f aca="false">ROUNDUP(MAX(J953/IF(CD953&gt;0,CD953,MAX(0.1,N(Cockpit!$I$6))),CG953)/BV953,0)*BV953</f>
        <v>25</v>
      </c>
      <c r="AU953" s="51" t="n">
        <f aca="false">IF(AR953&gt;0,J953/AR953,-1)</f>
        <v>0</v>
      </c>
      <c r="AV953" s="51" t="n">
        <f aca="false">IF(AND(OR(CC953="L1",CC953="L23",CC953="LIFT"),AR953&gt;0),SUMIFS($AR$7:$AR$1843,$CC$7:$CC$1843,CC953,$AU$7:$AU$1843,"&gt;"&amp;AU953)+SUMIFS($AR$7:$AR$1843,$CC$7:$CC$1843,CC953,$AU$7:$AU$1843,AU953,$BT$7:$BT$1843,"&lt;="&amp;BT953),"")</f>
        <v>40515.5087073943</v>
      </c>
      <c r="AW953" s="58" t="n">
        <f aca="false">IF(AV953="",0,MAX(0,MIN(1,(IF(CC953="L1",Parameter!$H$5,IF(CC953="L23",Parameter!$H$6+Parameter!$H$7,Parameter!$H$5+Parameter!$H$6+Parameter!$H$7))-(AV953-AR953))/AR953)))</f>
        <v>0</v>
      </c>
      <c r="AX953" s="50" t="n">
        <f aca="false">IF(LEFT(Cockpit!$O$5,1)="A",H953,IF(CE953=1,CF953,IF(LEFT(Cockpit!$O$5,1)="B",BC953,MAX(BC953,H953))))</f>
        <v>25</v>
      </c>
      <c r="AY953" s="50" t="n">
        <f aca="false">IF(BW953=1,0,ROUNDUP(AX953/BV953,0))</f>
        <v>1</v>
      </c>
      <c r="AZ953" s="52" t="n">
        <f aca="false">IF(CL953&gt;0,CL953*MAX(1,AX953/X953),IF(BW953=1,IF(AX953&lt;=0,0,CA953*MAX(1,IF(H953&gt;0,AX953/H953,1))),IF(R953&gt;0,AY953/R953,0))/MAX(0.1,N(Parameter!$M$21)))</f>
        <v>0.00714285714285714</v>
      </c>
      <c r="BA953" s="50" t="n">
        <f aca="false">AZ953*BY953</f>
        <v>1.10714285714286</v>
      </c>
      <c r="BB953" s="50" t="n">
        <f aca="false">AX953*G953</f>
        <v>385</v>
      </c>
      <c r="BC953" s="50" t="n">
        <f aca="false">ROUNDUP(MAX(J953/IF(CD953&gt;0,CD953,MAX(0.1,N(Cockpit!$O$6))),CG953)/BV953,0)*BV953</f>
        <v>25</v>
      </c>
      <c r="BD953" s="51" t="n">
        <f aca="false">IF(BA953&gt;0,J953/BA953,-1)</f>
        <v>0</v>
      </c>
      <c r="BE953" s="51" t="n">
        <f aca="false">IF(AND(OR(CC953="L1",CC953="L23",CC953="LIFT"),BA953&gt;0),SUMIFS($BA$7:$BA$1843,$CC$7:$CC$1843,CC953,$BD$7:$BD$1843,"&gt;"&amp;BD953)+SUMIFS($BA$7:$BA$1843,$CC$7:$CC$1843,CC953,$BD$7:$BD$1843,BD953,$BT$7:$BT$1843,"&lt;="&amp;BT953),"")</f>
        <v>37190.5207492602</v>
      </c>
      <c r="BF953" s="58" t="n">
        <f aca="false">IF(BE953="",0,MAX(0,MIN(1,(IF(CC953="L1",Parameter!$H$5,IF(CC953="L23",Parameter!$H$6+Parameter!$H$7,Parameter!$H$5+Parameter!$H$6+Parameter!$H$7))-(BE953-BA953))/BA953)))</f>
        <v>0</v>
      </c>
      <c r="BG953" s="48" t="str">
        <f aca="false">IF(AI953&lt;=0,"",IF(CC953="Aussen","Aussenlager",IF(CC953="-","Nicht im Lift",IF(AN953&gt;=1,"Lift",IF(AN953&lt;=0,"Aussenlager","teilweise")))))</f>
        <v>Lift</v>
      </c>
      <c r="BH953" s="48" t="str">
        <f aca="false">IF(AR953&lt;=0,"",IF(CC953="Aussen","Aussenlager",IF(CC953="-","Nicht im Lift",IF(AW953&gt;=1,"Lift",IF(AW953&lt;=0,"Aussenlager","teilweise")))))</f>
        <v>Aussenlager</v>
      </c>
      <c r="BI953" s="48" t="str">
        <f aca="false">IF(BA953&lt;=0,"",IF(CC953="Aussen","Aussenlager",IF(CC953="-","Nicht im Lift",IF(BF953&gt;=1,"Lift",IF(BF953&lt;=0,"Aussenlager","teilweise")))))</f>
        <v>Aussenlager</v>
      </c>
      <c r="BJ953" s="48" t="str">
        <f aca="false">IF(A953="","",IF(BS953=1,"Neu; ","")&amp;IF(AND(BS953=0,BN953&lt;0),"negativer Bestand (Export "&amp;BN953&amp;"); ","")&amp;IF(J953&lt;=0,"Kein Verbrauch; ","")&amp;IF(CL953&gt;0,"Lift "&amp;W953&amp;" lt. Liftbericht (Fach "&amp;X953&amp;" Stk); ",IF(BX953=1,"Gebinde geschätzt ("&amp;T953&amp;"); ",IF(BW953=1,"Lose – Tablare geschätzt; ","")))&amp;IF(H953&gt;AT953,"Überbestand "&amp;ROUND(H953-AT953,0)&amp;" Stk / CHF "&amp;ROUND((H953-AT953)*G953,0)&amp;"; ","")&amp;IF(AND(CE953=1,CF953&lt;CG953),"MAX &lt; MB+LG; ","")&amp;IF(AND(CK953&gt;0,CJ953*10&gt;CK953),"zu hoch für Tablar; ","")&amp;IF(AND(BS953=0,OR(CE953=1,AA953&lt;&gt;"",U953&lt;&gt;"",V953&lt;&gt;"",AB953&lt;&gt;"")),"manuell übersteuert; ","")&amp;IF(AND(BW953=0,R953=0),"Gebinde unbekannt / Stellmass fehlt; ","")&amp;IF(AND(BW953=0,N(V953)&lt;=0,N(Q953)&lt;=0),"Menge pro Gebinde fehlt (Ist = 1 Gebinde); ","")&amp;BR953)</f>
        <v>negativer Bestand (Export -4); Kein Verbrauch; Neuer Art.</v>
      </c>
      <c r="BK953" s="48"/>
      <c r="BL953" s="48"/>
      <c r="BM953" s="55"/>
      <c r="BN953" s="50" t="n">
        <v>-4</v>
      </c>
      <c r="BO953" s="50" t="n">
        <v>29</v>
      </c>
      <c r="BP953" s="49" t="n">
        <v>-61.6</v>
      </c>
      <c r="BQ953" s="50" t="n">
        <v>0</v>
      </c>
      <c r="BR953" s="48" t="s">
        <v>516</v>
      </c>
      <c r="BS953" s="53" t="n">
        <v>0</v>
      </c>
      <c r="BT953" s="53" t="n">
        <v>953</v>
      </c>
      <c r="BU953" s="48" t="str">
        <f aca="false">IF(U953&lt;&gt;"",UPPER(TRIM(U953)),IF(BX953=1,UPPER(VLOOKUP(T953,Parameter!$I$27:$K$29,2,0)),IF(P953="","LOSE",P953)))</f>
        <v>S22</v>
      </c>
      <c r="BV953" s="50" t="n">
        <f aca="false">IF(BU953="LOSE",1,IF(N(V953)&gt;0,V953,IF(BX953=1,MAX(1,N(VLOOKUP(T953,Parameter!$I$27:$K$29,3,0)),H953,N(N953)),IF(N(Q953)&gt;0,Q953,MAX(1,H953)))))</f>
        <v>25</v>
      </c>
      <c r="BW953" s="53" t="n">
        <f aca="false">IF(BU953="LOSE",1,0)</f>
        <v>0</v>
      </c>
      <c r="BX953" s="53" t="n">
        <f aca="false">IF(AND(U953="",OR(P953="",P953="LOSE"),T953&lt;&gt;"",N(S953)&lt;=0,ISNUMBER(MATCH(T953,Parameter!$I$27:$I$29,0))),1,0)</f>
        <v>0</v>
      </c>
      <c r="BY953" s="53" t="n">
        <f aca="false">IF(CL953&gt;0,INDEX(Parameter!$H$5:$H$7,W953)/INDEX(Parameter!$E$5:$E$7,W953),IF(AND(BW953=0,N(IFERROR(VLOOKUP(BU953,'Gebinde-Kategorie'!$A$5:$N$45,14,0),0))&gt;0),VLOOKUP(BU953,'Gebinde-Kategorie'!$A$5:$N$45,14,0)*10+Parameter!$M$23,Parameter!$M$24))</f>
        <v>155</v>
      </c>
      <c r="BZ953" s="48" t="str">
        <f aca="false">IF(AND(Parameter!$B$19="Ja",E953&lt;&gt;"",ISNUMBER(MATCH(E953,Parameter!$I$35:$I$52,0))),VLOOKUP(E953,Parameter!$I$35:$J$52,2,0),IFERROR(VLOOKUP(D953,Parameter!$A$35:$C$64,2,0),"Nein"))</f>
        <v>2+3</v>
      </c>
      <c r="CA953" s="52" t="n">
        <f aca="false">IF(BW953=0,0,IF(N(S953)&gt;0,S953,IFERROR(VLOOKUP(D953,Parameter!$A$35:$C$64,3,0)+0,0)))</f>
        <v>0</v>
      </c>
      <c r="CB953" s="48" t="n">
        <f aca="false">IF(AA953&lt;&gt;"",AA953,Z953)</f>
        <v>3</v>
      </c>
      <c r="CC953" s="48" t="str">
        <f aca="false">IF(OR(CB953=1,CB953=2,CB953=3),IF(Parameter!$E$27="Ja","LIFT",IF(CB953=1,"L1","L23")),IF(CB953="Aussen","Aussen","-"))</f>
        <v>LIFT</v>
      </c>
      <c r="CD953" s="59" t="n">
        <f aca="false">IF(N(AB953)&gt;0,AB953,0)</f>
        <v>0</v>
      </c>
      <c r="CE953" s="53" t="n">
        <f aca="false">IF(ISNUMBER(AE953),1,0)</f>
        <v>0</v>
      </c>
      <c r="CF953" s="50" t="n">
        <f aca="false">N(AE953)</f>
        <v>0</v>
      </c>
      <c r="CG953" s="50" t="n">
        <f aca="false">N(M953)+N(N953)</f>
        <v>1</v>
      </c>
      <c r="CH953" s="50" t="n">
        <f aca="false">ROUNDUP(H953/BV953,0)</f>
        <v>1</v>
      </c>
      <c r="CI953" s="50" t="n">
        <f aca="false">ROUNDUP(CF953/BV953,0)</f>
        <v>0</v>
      </c>
      <c r="CJ953" s="53" t="n">
        <f aca="false">IF(BW953=1,0,IFERROR(VLOOKUP(BU953,'Gebinde-Kategorie'!$A$5:$N$45,5,0)+0,0))</f>
        <v>8</v>
      </c>
      <c r="CK953" s="53" t="n">
        <f aca="false">IFERROR(IF(OR(CB953=1,CB953=2,CB953=3),N(INDEX(Parameter!$I$5:$I$7,CB953)),0),0)</f>
        <v>0</v>
      </c>
      <c r="CL953" s="52" t="n">
        <f aca="false">IF(AND(Parameter!$B$21="Ja",ISNUMBER(W953),N(X953)&gt;0),IFERROR(N(INDEX(Parameter!$L$5:$L$7,W953))*INDEX(Parameter!$E$5:$E$7,W953)*X953/SUMIFS($X$7:$X$1843,$W$7:$W$1843,W953),0),0)</f>
        <v>0</v>
      </c>
    </row>
    <row r="954" customFormat="false" ht="15" hidden="false" customHeight="false" outlineLevel="0" collapsed="false">
      <c r="A954" s="48" t="s">
        <v>1781</v>
      </c>
      <c r="B954" s="48" t="s">
        <v>1782</v>
      </c>
      <c r="C954" s="48" t="s">
        <v>168</v>
      </c>
      <c r="D954" s="48" t="s">
        <v>188</v>
      </c>
      <c r="E954" s="48"/>
      <c r="F954" s="48" t="s">
        <v>222</v>
      </c>
      <c r="G954" s="49" t="n">
        <v>62.04</v>
      </c>
      <c r="H954" s="50" t="n">
        <f aca="false">MAX(0,IF(AND(Parameter!$B$21="Ja",ISNUMBER(Y954)),Y954,IF(Parameter!$B$20="Jahresanfang 2025 + Export",BO954+BN954,BN954)))</f>
        <v>1</v>
      </c>
      <c r="I954" s="50" t="n">
        <f aca="false">H954*G954</f>
        <v>62.04</v>
      </c>
      <c r="J954" s="50" t="n">
        <f aca="false">BQ954*Parameter!$B$18</f>
        <v>1</v>
      </c>
      <c r="K954" s="51" t="n">
        <v>1.5</v>
      </c>
      <c r="L954" s="52" t="n">
        <v>0.666666666666667</v>
      </c>
      <c r="M954" s="50" t="n">
        <v>0</v>
      </c>
      <c r="N954" s="50" t="n">
        <v>1</v>
      </c>
      <c r="O954" s="53" t="n">
        <v>35</v>
      </c>
      <c r="P954" s="48" t="s">
        <v>425</v>
      </c>
      <c r="Q954" s="50" t="n">
        <v>2</v>
      </c>
      <c r="R954" s="53" t="n">
        <f aca="false">IF(BW954=1,0,IFERROR(VLOOKUP(BU954,'Gebinde-Kategorie'!$A$5:$N$45,13,0)+0,0))</f>
        <v>104</v>
      </c>
      <c r="S954" s="54"/>
      <c r="T954" s="55"/>
      <c r="U954" s="55"/>
      <c r="V954" s="55"/>
      <c r="W954" s="48"/>
      <c r="X954" s="50"/>
      <c r="Y954" s="50"/>
      <c r="Z954" s="48" t="n">
        <f aca="false">IF(A954="","",IF(AND(Parameter!$B$21="Ja",ISNUMBER(W954)),W954,IF(BZ954="2+3",IF(ISNUMBER(SEARCH("grosser Artikel",BR954)),2,IFERROR(VLOOKUP(BU954,Parameter!$F$35:$G$64,2,0),2)),IF(OR(BZ954="Nein",BZ954=""),"-",BZ954))))</f>
        <v>3</v>
      </c>
      <c r="AA954" s="55"/>
      <c r="AB954" s="56"/>
      <c r="AC954" s="50" t="n">
        <f aca="false">AT954</f>
        <v>2</v>
      </c>
      <c r="AD954" s="50" t="n">
        <f aca="false">MAX(AT954,H954)</f>
        <v>2</v>
      </c>
      <c r="AE954" s="57"/>
      <c r="AF954" s="50" t="n">
        <f aca="false">IF(LEFT(Cockpit!$C$5,1)="A",H954,IF(CE954=1,CF954,IF(LEFT(Cockpit!$C$5,1)="B",AK954,MAX(AK954,H954))))</f>
        <v>1</v>
      </c>
      <c r="AG954" s="50" t="n">
        <f aca="false">IF(BW954=1,0,ROUNDUP(AF954/BV954,0))</f>
        <v>1</v>
      </c>
      <c r="AH954" s="52" t="n">
        <f aca="false">IF(CL954&gt;0,CL954*MAX(1,AF954/X954),IF(BW954=1,IF(AF954&lt;=0,0,CA954*MAX(1,IF(H954&gt;0,AF954/H954,1))),IF(R954&gt;0,AG954/R954,0))/MAX(0.1,N(Parameter!$M$21)))</f>
        <v>0.00961538461538462</v>
      </c>
      <c r="AI954" s="50" t="n">
        <f aca="false">AH954*BY954</f>
        <v>1.49038461538462</v>
      </c>
      <c r="AJ954" s="50" t="n">
        <f aca="false">AF954*G954</f>
        <v>62.04</v>
      </c>
      <c r="AK954" s="50" t="n">
        <f aca="false">ROUNDUP(MAX(J954/IF(CD954&gt;0,CD954,MAX(0.1,N(Cockpit!$C$6))),CG954)/BV954,0)*BV954</f>
        <v>2</v>
      </c>
      <c r="AL954" s="51" t="n">
        <f aca="false">IF(AI954&gt;0,J954/AI954,-1)</f>
        <v>0.670967741935484</v>
      </c>
      <c r="AM954" s="51" t="n">
        <f aca="false">IF(AND(OR(CC954="L1",CC954="L23",CC954="LIFT"),AI954&gt;0),SUMIFS($AI$7:$AI$1843,$CC$7:$CC$1843,CC954,$AL$7:$AL$1843,"&gt;"&amp;AL954)+SUMIFS($AI$7:$AI$1843,$CC$7:$CC$1843,CC954,$AL$7:$AL$1843,AL954,$BT$7:$BT$1843,"&lt;="&amp;BT954),"")</f>
        <v>8622.07371794872</v>
      </c>
      <c r="AN954" s="58" t="n">
        <f aca="false">IF(AM954="",0,MAX(0,MIN(1,(IF(CC954="L1",Parameter!$H$5,IF(CC954="L23",Parameter!$H$6+Parameter!$H$7,Parameter!$H$5+Parameter!$H$6+Parameter!$H$7))-(AM954-AI954))/AI954)))</f>
        <v>1</v>
      </c>
      <c r="AO954" s="50" t="n">
        <f aca="false">IF(LEFT(Cockpit!$I$5,1)="A",H954,IF(CE954=1,CF954,IF(LEFT(Cockpit!$I$5,1)="B",AT954,MAX(AT954,H954))))</f>
        <v>2</v>
      </c>
      <c r="AP954" s="50" t="n">
        <f aca="false">IF(BW954=1,0,ROUNDUP(AO954/BV954,0))</f>
        <v>1</v>
      </c>
      <c r="AQ954" s="52" t="n">
        <f aca="false">IF(CL954&gt;0,CL954*MAX(1,AO954/X954),IF(BW954=1,IF(AO954&lt;=0,0,CA954*MAX(1,IF(H954&gt;0,AO954/H954,1))),IF(R954&gt;0,AP954/R954,0))/MAX(0.1,N(Parameter!$M$21)))</f>
        <v>0.00961538461538462</v>
      </c>
      <c r="AR954" s="50" t="n">
        <f aca="false">AQ954*BY954</f>
        <v>1.49038461538462</v>
      </c>
      <c r="AS954" s="50" t="n">
        <f aca="false">AO954*G954</f>
        <v>124.08</v>
      </c>
      <c r="AT954" s="50" t="n">
        <f aca="false">ROUNDUP(MAX(J954/IF(CD954&gt;0,CD954,MAX(0.1,N(Cockpit!$I$6))),CG954)/BV954,0)*BV954</f>
        <v>2</v>
      </c>
      <c r="AU954" s="51" t="n">
        <f aca="false">IF(AR954&gt;0,J954/AR954,-1)</f>
        <v>0.670967741935484</v>
      </c>
      <c r="AV954" s="51" t="n">
        <f aca="false">IF(AND(OR(CC954="L1",CC954="L23",CC954="LIFT"),AR954&gt;0),SUMIFS($AR$7:$AR$1843,$CC$7:$CC$1843,CC954,$AU$7:$AU$1843,"&gt;"&amp;AU954)+SUMIFS($AR$7:$AR$1843,$CC$7:$CC$1843,CC954,$AU$7:$AU$1843,AU954,$BT$7:$BT$1843,"&lt;="&amp;BT954),"")</f>
        <v>11764.195970696</v>
      </c>
      <c r="AW954" s="58" t="n">
        <f aca="false">IF(AV954="",0,MAX(0,MIN(1,(IF(CC954="L1",Parameter!$H$5,IF(CC954="L23",Parameter!$H$6+Parameter!$H$7,Parameter!$H$5+Parameter!$H$6+Parameter!$H$7))-(AV954-AR954))/AR954)))</f>
        <v>1</v>
      </c>
      <c r="AX954" s="50" t="n">
        <f aca="false">IF(LEFT(Cockpit!$O$5,1)="A",H954,IF(CE954=1,CF954,IF(LEFT(Cockpit!$O$5,1)="B",BC954,MAX(BC954,H954))))</f>
        <v>2</v>
      </c>
      <c r="AY954" s="50" t="n">
        <f aca="false">IF(BW954=1,0,ROUNDUP(AX954/BV954,0))</f>
        <v>1</v>
      </c>
      <c r="AZ954" s="52" t="n">
        <f aca="false">IF(CL954&gt;0,CL954*MAX(1,AX954/X954),IF(BW954=1,IF(AX954&lt;=0,0,CA954*MAX(1,IF(H954&gt;0,AX954/H954,1))),IF(R954&gt;0,AY954/R954,0))/MAX(0.1,N(Parameter!$M$21)))</f>
        <v>0.00961538461538462</v>
      </c>
      <c r="BA954" s="50" t="n">
        <f aca="false">AZ954*BY954</f>
        <v>1.49038461538462</v>
      </c>
      <c r="BB954" s="50" t="n">
        <f aca="false">AX954*G954</f>
        <v>124.08</v>
      </c>
      <c r="BC954" s="50" t="n">
        <f aca="false">ROUNDUP(MAX(J954/IF(CD954&gt;0,CD954,MAX(0.1,N(Cockpit!$O$6))),CG954)/BV954,0)*BV954</f>
        <v>2</v>
      </c>
      <c r="BD954" s="51" t="n">
        <f aca="false">IF(BA954&gt;0,J954/BA954,-1)</f>
        <v>0.670967741935484</v>
      </c>
      <c r="BE954" s="51" t="n">
        <f aca="false">IF(AND(OR(CC954="L1",CC954="L23",CC954="LIFT"),BA954&gt;0),SUMIFS($BA$7:$BA$1843,$CC$7:$CC$1843,CC954,$BD$7:$BD$1843,"&gt;"&amp;BD954)+SUMIFS($BA$7:$BA$1843,$CC$7:$CC$1843,CC954,$BD$7:$BD$1843,BD954,$BT$7:$BT$1843,"&lt;="&amp;BT954),"")</f>
        <v>11364.0196886447</v>
      </c>
      <c r="BF954" s="58" t="n">
        <f aca="false">IF(BE954="",0,MAX(0,MIN(1,(IF(CC954="L1",Parameter!$H$5,IF(CC954="L23",Parameter!$H$6+Parameter!$H$7,Parameter!$H$5+Parameter!$H$6+Parameter!$H$7))-(BE954-BA954))/BA954)))</f>
        <v>1</v>
      </c>
      <c r="BG954" s="48" t="str">
        <f aca="false">IF(AI954&lt;=0,"",IF(CC954="Aussen","Aussenlager",IF(CC954="-","Nicht im Lift",IF(AN954&gt;=1,"Lift",IF(AN954&lt;=0,"Aussenlager","teilweise")))))</f>
        <v>Lift</v>
      </c>
      <c r="BH954" s="48" t="str">
        <f aca="false">IF(AR954&lt;=0,"",IF(CC954="Aussen","Aussenlager",IF(CC954="-","Nicht im Lift",IF(AW954&gt;=1,"Lift",IF(AW954&lt;=0,"Aussenlager","teilweise")))))</f>
        <v>Lift</v>
      </c>
      <c r="BI954" s="48" t="str">
        <f aca="false">IF(BA954&lt;=0,"",IF(CC954="Aussen","Aussenlager",IF(CC954="-","Nicht im Lift",IF(BF954&gt;=1,"Lift",IF(BF954&lt;=0,"Aussenlager","teilweise")))))</f>
        <v>Lift</v>
      </c>
      <c r="BJ954" s="48" t="str">
        <f aca="false">IF(A954="","",IF(BS954=1,"Neu; ","")&amp;IF(AND(BS954=0,BN954&lt;0),"negativer Bestand (Export "&amp;BN954&amp;"); ","")&amp;IF(J954&lt;=0,"Kein Verbrauch; ","")&amp;IF(CL954&gt;0,"Lift "&amp;W954&amp;" lt. Liftbericht (Fach "&amp;X954&amp;" Stk); ",IF(BX954=1,"Gebinde geschätzt ("&amp;T954&amp;"); ",IF(BW954=1,"Lose – Tablare geschätzt; ","")))&amp;IF(H954&gt;AT954,"Überbestand "&amp;ROUND(H954-AT954,0)&amp;" Stk / CHF "&amp;ROUND((H954-AT954)*G954,0)&amp;"; ","")&amp;IF(AND(CE954=1,CF954&lt;CG954),"MAX &lt; MB+LG; ","")&amp;IF(AND(CK954&gt;0,CJ954*10&gt;CK954),"zu hoch für Tablar; ","")&amp;IF(AND(BS954=0,OR(CE954=1,AA954&lt;&gt;"",U954&lt;&gt;"",V954&lt;&gt;"",AB954&lt;&gt;"")),"manuell übersteuert; ","")&amp;IF(AND(BW954=0,R954=0),"Gebinde unbekannt / Stellmass fehlt; ","")&amp;IF(AND(BW954=0,N(V954)&lt;=0,N(Q954)&lt;=0),"Menge pro Gebinde fehlt (Ist = 1 Gebinde); ","")&amp;BR954)</f>
        <v>negativer Bestand (Export -1); </v>
      </c>
      <c r="BK954" s="48"/>
      <c r="BL954" s="48"/>
      <c r="BM954" s="55"/>
      <c r="BN954" s="50" t="n">
        <v>-1</v>
      </c>
      <c r="BO954" s="50" t="n">
        <v>2</v>
      </c>
      <c r="BP954" s="49" t="n">
        <v>-62.04</v>
      </c>
      <c r="BQ954" s="50" t="n">
        <v>1</v>
      </c>
      <c r="BR954" s="48"/>
      <c r="BS954" s="53" t="n">
        <v>0</v>
      </c>
      <c r="BT954" s="53" t="n">
        <v>954</v>
      </c>
      <c r="BU954" s="48" t="str">
        <f aca="false">IF(U954&lt;&gt;"",UPPER(TRIM(U954)),IF(BX954=1,UPPER(VLOOKUP(T954,Parameter!$I$27:$K$29,2,0)),IF(P954="","LOSE",P954)))</f>
        <v>S32</v>
      </c>
      <c r="BV954" s="50" t="n">
        <f aca="false">IF(BU954="LOSE",1,IF(N(V954)&gt;0,V954,IF(BX954=1,MAX(1,N(VLOOKUP(T954,Parameter!$I$27:$K$29,3,0)),H954,N(N954)),IF(N(Q954)&gt;0,Q954,MAX(1,H954)))))</f>
        <v>2</v>
      </c>
      <c r="BW954" s="53" t="n">
        <f aca="false">IF(BU954="LOSE",1,0)</f>
        <v>0</v>
      </c>
      <c r="BX954" s="53" t="n">
        <f aca="false">IF(AND(U954="",OR(P954="",P954="LOSE"),T954&lt;&gt;"",N(S954)&lt;=0,ISNUMBER(MATCH(T954,Parameter!$I$27:$I$29,0))),1,0)</f>
        <v>0</v>
      </c>
      <c r="BY954" s="53" t="n">
        <f aca="false">IF(CL954&gt;0,INDEX(Parameter!$H$5:$H$7,W954)/INDEX(Parameter!$E$5:$E$7,W954),IF(AND(BW954=0,N(IFERROR(VLOOKUP(BU954,'Gebinde-Kategorie'!$A$5:$N$45,14,0),0))&gt;0),VLOOKUP(BU954,'Gebinde-Kategorie'!$A$5:$N$45,14,0)*10+Parameter!$M$23,Parameter!$M$24))</f>
        <v>155</v>
      </c>
      <c r="BZ954" s="48" t="str">
        <f aca="false">IF(AND(Parameter!$B$19="Ja",E954&lt;&gt;"",ISNUMBER(MATCH(E954,Parameter!$I$35:$I$52,0))),VLOOKUP(E954,Parameter!$I$35:$J$52,2,0),IFERROR(VLOOKUP(D954,Parameter!$A$35:$C$64,2,0),"Nein"))</f>
        <v>2+3</v>
      </c>
      <c r="CA954" s="52" t="n">
        <f aca="false">IF(BW954=0,0,IF(N(S954)&gt;0,S954,IFERROR(VLOOKUP(D954,Parameter!$A$35:$C$64,3,0)+0,0)))</f>
        <v>0</v>
      </c>
      <c r="CB954" s="48" t="n">
        <f aca="false">IF(AA954&lt;&gt;"",AA954,Z954)</f>
        <v>3</v>
      </c>
      <c r="CC954" s="48" t="str">
        <f aca="false">IF(OR(CB954=1,CB954=2,CB954=3),IF(Parameter!$E$27="Ja","LIFT",IF(CB954=1,"L1","L23")),IF(CB954="Aussen","Aussen","-"))</f>
        <v>LIFT</v>
      </c>
      <c r="CD954" s="59" t="n">
        <f aca="false">IF(N(AB954)&gt;0,AB954,0)</f>
        <v>0</v>
      </c>
      <c r="CE954" s="53" t="n">
        <f aca="false">IF(ISNUMBER(AE954),1,0)</f>
        <v>0</v>
      </c>
      <c r="CF954" s="50" t="n">
        <f aca="false">N(AE954)</f>
        <v>0</v>
      </c>
      <c r="CG954" s="50" t="n">
        <f aca="false">N(M954)+N(N954)</f>
        <v>1</v>
      </c>
      <c r="CH954" s="50" t="n">
        <f aca="false">ROUNDUP(H954/BV954,0)</f>
        <v>1</v>
      </c>
      <c r="CI954" s="50" t="n">
        <f aca="false">ROUNDUP(CF954/BV954,0)</f>
        <v>0</v>
      </c>
      <c r="CJ954" s="53" t="n">
        <f aca="false">IF(BW954=1,0,IFERROR(VLOOKUP(BU954,'Gebinde-Kategorie'!$A$5:$N$45,5,0)+0,0))</f>
        <v>8</v>
      </c>
      <c r="CK954" s="53" t="n">
        <f aca="false">IFERROR(IF(OR(CB954=1,CB954=2,CB954=3),N(INDEX(Parameter!$I$5:$I$7,CB954)),0),0)</f>
        <v>0</v>
      </c>
      <c r="CL954" s="52" t="n">
        <f aca="false">IF(AND(Parameter!$B$21="Ja",ISNUMBER(W954),N(X954)&gt;0),IFERROR(N(INDEX(Parameter!$L$5:$L$7,W954))*INDEX(Parameter!$E$5:$E$7,W954)*X954/SUMIFS($X$7:$X$1843,$W$7:$W$1843,W954),0),0)</f>
        <v>0</v>
      </c>
    </row>
    <row r="955" customFormat="false" ht="15" hidden="false" customHeight="false" outlineLevel="0" collapsed="false">
      <c r="A955" s="48" t="s">
        <v>1783</v>
      </c>
      <c r="B955" s="48" t="s">
        <v>1784</v>
      </c>
      <c r="C955" s="48" t="s">
        <v>168</v>
      </c>
      <c r="D955" s="48" t="s">
        <v>188</v>
      </c>
      <c r="E955" s="48" t="s">
        <v>189</v>
      </c>
      <c r="F955" s="48" t="s">
        <v>222</v>
      </c>
      <c r="G955" s="49" t="n">
        <v>9.01</v>
      </c>
      <c r="H955" s="50" t="n">
        <f aca="false">MAX(0,IF(AND(Parameter!$B$21="Ja",ISNUMBER(Y955)),Y955,IF(Parameter!$B$20="Jahresanfang 2025 + Export",BO955+BN955,BN955)))</f>
        <v>4</v>
      </c>
      <c r="I955" s="50" t="n">
        <f aca="false">H955*G955</f>
        <v>36.04</v>
      </c>
      <c r="J955" s="50" t="n">
        <f aca="false">BQ955*Parameter!$B$18</f>
        <v>9</v>
      </c>
      <c r="K955" s="51" t="n">
        <v>8.5</v>
      </c>
      <c r="L955" s="52" t="n">
        <v>1.05882352941177</v>
      </c>
      <c r="M955" s="50" t="n">
        <v>0</v>
      </c>
      <c r="N955" s="50" t="n">
        <v>10</v>
      </c>
      <c r="O955" s="53" t="n">
        <v>17</v>
      </c>
      <c r="P955" s="48" t="s">
        <v>480</v>
      </c>
      <c r="Q955" s="50" t="n">
        <v>23</v>
      </c>
      <c r="R955" s="53" t="n">
        <f aca="false">IF(BW955=1,0,IFERROR(VLOOKUP(BU955,'Gebinde-Kategorie'!$A$5:$N$45,13,0)+0,0))</f>
        <v>52</v>
      </c>
      <c r="S955" s="54"/>
      <c r="T955" s="55"/>
      <c r="U955" s="55"/>
      <c r="V955" s="55"/>
      <c r="W955" s="48"/>
      <c r="X955" s="50"/>
      <c r="Y955" s="50"/>
      <c r="Z955" s="48" t="n">
        <f aca="false">IF(A955="","",IF(AND(Parameter!$B$21="Ja",ISNUMBER(W955)),W955,IF(BZ955="2+3",IF(ISNUMBER(SEARCH("grosser Artikel",BR955)),2,IFERROR(VLOOKUP(BU955,Parameter!$F$35:$G$64,2,0),2)),IF(OR(BZ955="Nein",BZ955=""),"-",BZ955))))</f>
        <v>3</v>
      </c>
      <c r="AA955" s="55"/>
      <c r="AB955" s="56"/>
      <c r="AC955" s="50" t="n">
        <f aca="false">AT955</f>
        <v>23</v>
      </c>
      <c r="AD955" s="50" t="n">
        <f aca="false">MAX(AT955,H955)</f>
        <v>23</v>
      </c>
      <c r="AE955" s="57"/>
      <c r="AF955" s="50" t="n">
        <f aca="false">IF(LEFT(Cockpit!$C$5,1)="A",H955,IF(CE955=1,CF955,IF(LEFT(Cockpit!$C$5,1)="B",AK955,MAX(AK955,H955))))</f>
        <v>4</v>
      </c>
      <c r="AG955" s="50" t="n">
        <f aca="false">IF(BW955=1,0,ROUNDUP(AF955/BV955,0))</f>
        <v>1</v>
      </c>
      <c r="AH955" s="52" t="n">
        <f aca="false">IF(CL955&gt;0,CL955*MAX(1,AF955/X955),IF(BW955=1,IF(AF955&lt;=0,0,CA955*MAX(1,IF(H955&gt;0,AF955/H955,1))),IF(R955&gt;0,AG955/R955,0))/MAX(0.1,N(Parameter!$M$21)))</f>
        <v>0.0192307692307692</v>
      </c>
      <c r="AI955" s="50" t="n">
        <f aca="false">AH955*BY955</f>
        <v>2.98076923076923</v>
      </c>
      <c r="AJ955" s="50" t="n">
        <f aca="false">AF955*G955</f>
        <v>36.04</v>
      </c>
      <c r="AK955" s="50" t="n">
        <f aca="false">ROUNDUP(MAX(J955/IF(CD955&gt;0,CD955,MAX(0.1,N(Cockpit!$C$6))),CG955)/BV955,0)*BV955</f>
        <v>23</v>
      </c>
      <c r="AL955" s="51" t="n">
        <f aca="false">IF(AI955&gt;0,J955/AI955,-1)</f>
        <v>3.01935483870968</v>
      </c>
      <c r="AM955" s="51" t="n">
        <f aca="false">IF(AND(OR(CC955="L1",CC955="L23",CC955="LIFT"),AI955&gt;0),SUMIFS($AI$7:$AI$1843,$CC$7:$CC$1843,CC955,$AL$7:$AL$1843,"&gt;"&amp;AL955)+SUMIFS($AI$7:$AI$1843,$CC$7:$CC$1843,CC955,$AL$7:$AL$1843,AL955,$BT$7:$BT$1843,"&lt;="&amp;BT955),"")</f>
        <v>5075.79624542125</v>
      </c>
      <c r="AN955" s="58" t="n">
        <f aca="false">IF(AM955="",0,MAX(0,MIN(1,(IF(CC955="L1",Parameter!$H$5,IF(CC955="L23",Parameter!$H$6+Parameter!$H$7,Parameter!$H$5+Parameter!$H$6+Parameter!$H$7))-(AM955-AI955))/AI955)))</f>
        <v>1</v>
      </c>
      <c r="AO955" s="50" t="n">
        <f aca="false">IF(LEFT(Cockpit!$I$5,1)="A",H955,IF(CE955=1,CF955,IF(LEFT(Cockpit!$I$5,1)="B",AT955,MAX(AT955,H955))))</f>
        <v>23</v>
      </c>
      <c r="AP955" s="50" t="n">
        <f aca="false">IF(BW955=1,0,ROUNDUP(AO955/BV955,0))</f>
        <v>1</v>
      </c>
      <c r="AQ955" s="52" t="n">
        <f aca="false">IF(CL955&gt;0,CL955*MAX(1,AO955/X955),IF(BW955=1,IF(AO955&lt;=0,0,CA955*MAX(1,IF(H955&gt;0,AO955/H955,1))),IF(R955&gt;0,AP955/R955,0))/MAX(0.1,N(Parameter!$M$21)))</f>
        <v>0.0192307692307692</v>
      </c>
      <c r="AR955" s="50" t="n">
        <f aca="false">AQ955*BY955</f>
        <v>2.98076923076923</v>
      </c>
      <c r="AS955" s="50" t="n">
        <f aca="false">AO955*G955</f>
        <v>207.23</v>
      </c>
      <c r="AT955" s="50" t="n">
        <f aca="false">ROUNDUP(MAX(J955/IF(CD955&gt;0,CD955,MAX(0.1,N(Cockpit!$I$6))),CG955)/BV955,0)*BV955</f>
        <v>23</v>
      </c>
      <c r="AU955" s="51" t="n">
        <f aca="false">IF(AR955&gt;0,J955/AR955,-1)</f>
        <v>3.01935483870968</v>
      </c>
      <c r="AV955" s="51" t="n">
        <f aca="false">IF(AND(OR(CC955="L1",CC955="L23",CC955="LIFT"),AR955&gt;0),SUMIFS($AR$7:$AR$1843,$CC$7:$CC$1843,CC955,$AU$7:$AU$1843,"&gt;"&amp;AU955)+SUMIFS($AR$7:$AR$1843,$CC$7:$CC$1843,CC955,$AU$7:$AU$1843,AU955,$BT$7:$BT$1843,"&lt;="&amp;BT955),"")</f>
        <v>6312.61996336996</v>
      </c>
      <c r="AW955" s="58" t="n">
        <f aca="false">IF(AV955="",0,MAX(0,MIN(1,(IF(CC955="L1",Parameter!$H$5,IF(CC955="L23",Parameter!$H$6+Parameter!$H$7,Parameter!$H$5+Parameter!$H$6+Parameter!$H$7))-(AV955-AR955))/AR955)))</f>
        <v>1</v>
      </c>
      <c r="AX955" s="50" t="n">
        <f aca="false">IF(LEFT(Cockpit!$O$5,1)="A",H955,IF(CE955=1,CF955,IF(LEFT(Cockpit!$O$5,1)="B",BC955,MAX(BC955,H955))))</f>
        <v>23</v>
      </c>
      <c r="AY955" s="50" t="n">
        <f aca="false">IF(BW955=1,0,ROUNDUP(AX955/BV955,0))</f>
        <v>1</v>
      </c>
      <c r="AZ955" s="52" t="n">
        <f aca="false">IF(CL955&gt;0,CL955*MAX(1,AX955/X955),IF(BW955=1,IF(AX955&lt;=0,0,CA955*MAX(1,IF(H955&gt;0,AX955/H955,1))),IF(R955&gt;0,AY955/R955,0))/MAX(0.1,N(Parameter!$M$21)))</f>
        <v>0.0192307692307692</v>
      </c>
      <c r="BA955" s="50" t="n">
        <f aca="false">AZ955*BY955</f>
        <v>2.98076923076923</v>
      </c>
      <c r="BB955" s="50" t="n">
        <f aca="false">AX955*G955</f>
        <v>207.23</v>
      </c>
      <c r="BC955" s="50" t="n">
        <f aca="false">ROUNDUP(MAX(J955/IF(CD955&gt;0,CD955,MAX(0.1,N(Cockpit!$O$6))),CG955)/BV955,0)*BV955</f>
        <v>23</v>
      </c>
      <c r="BD955" s="51" t="n">
        <f aca="false">IF(BA955&gt;0,J955/BA955,-1)</f>
        <v>3.01935483870968</v>
      </c>
      <c r="BE955" s="51" t="n">
        <f aca="false">IF(AND(OR(CC955="L1",CC955="L23",CC955="LIFT"),BA955&gt;0),SUMIFS($BA$7:$BA$1843,$CC$7:$CC$1843,CC955,$BD$7:$BD$1843,"&gt;"&amp;BD955)+SUMIFS($BA$7:$BA$1843,$CC$7:$CC$1843,CC955,$BD$7:$BD$1843,BD955,$BT$7:$BT$1843,"&lt;="&amp;BT955),"")</f>
        <v>6333.78983516484</v>
      </c>
      <c r="BF955" s="58" t="n">
        <f aca="false">IF(BE955="",0,MAX(0,MIN(1,(IF(CC955="L1",Parameter!$H$5,IF(CC955="L23",Parameter!$H$6+Parameter!$H$7,Parameter!$H$5+Parameter!$H$6+Parameter!$H$7))-(BE955-BA955))/BA955)))</f>
        <v>1</v>
      </c>
      <c r="BG955" s="48" t="str">
        <f aca="false">IF(AI955&lt;=0,"",IF(CC955="Aussen","Aussenlager",IF(CC955="-","Nicht im Lift",IF(AN955&gt;=1,"Lift",IF(AN955&lt;=0,"Aussenlager","teilweise")))))</f>
        <v>Lift</v>
      </c>
      <c r="BH955" s="48" t="str">
        <f aca="false">IF(AR955&lt;=0,"",IF(CC955="Aussen","Aussenlager",IF(CC955="-","Nicht im Lift",IF(AW955&gt;=1,"Lift",IF(AW955&lt;=0,"Aussenlager","teilweise")))))</f>
        <v>Lift</v>
      </c>
      <c r="BI955" s="48" t="str">
        <f aca="false">IF(BA955&lt;=0,"",IF(CC955="Aussen","Aussenlager",IF(CC955="-","Nicht im Lift",IF(BF955&gt;=1,"Lift",IF(BF955&lt;=0,"Aussenlager","teilweise")))))</f>
        <v>Lift</v>
      </c>
      <c r="BJ955" s="48" t="str">
        <f aca="false">IF(A955="","",IF(BS955=1,"Neu; ","")&amp;IF(AND(BS955=0,BN955&lt;0),"negativer Bestand (Export "&amp;BN955&amp;"); ","")&amp;IF(J955&lt;=0,"Kein Verbrauch; ","")&amp;IF(CL955&gt;0,"Lift "&amp;W955&amp;" lt. Liftbericht (Fach "&amp;X955&amp;" Stk); ",IF(BX955=1,"Gebinde geschätzt ("&amp;T955&amp;"); ",IF(BW955=1,"Lose – Tablare geschätzt; ","")))&amp;IF(H955&gt;AT955,"Überbestand "&amp;ROUND(H955-AT955,0)&amp;" Stk / CHF "&amp;ROUND((H955-AT955)*G955,0)&amp;"; ","")&amp;IF(AND(CE955=1,CF955&lt;CG955),"MAX &lt; MB+LG; ","")&amp;IF(AND(CK955&gt;0,CJ955*10&gt;CK955),"zu hoch für Tablar; ","")&amp;IF(AND(BS955=0,OR(CE955=1,AA955&lt;&gt;"",U955&lt;&gt;"",V955&lt;&gt;"",AB955&lt;&gt;"")),"manuell übersteuert; ","")&amp;IF(AND(BW955=0,R955=0),"Gebinde unbekannt / Stellmass fehlt; ","")&amp;IF(AND(BW955=0,N(V955)&lt;=0,N(Q955)&lt;=0),"Menge pro Gebinde fehlt (Ist = 1 Gebinde); ","")&amp;BR955)</f>
        <v>negativer Bestand (Export -8); </v>
      </c>
      <c r="BK955" s="48"/>
      <c r="BL955" s="48"/>
      <c r="BM955" s="55"/>
      <c r="BN955" s="50" t="n">
        <v>-8</v>
      </c>
      <c r="BO955" s="50" t="n">
        <v>12</v>
      </c>
      <c r="BP955" s="49" t="n">
        <v>-62.6</v>
      </c>
      <c r="BQ955" s="50" t="n">
        <v>9</v>
      </c>
      <c r="BR955" s="48"/>
      <c r="BS955" s="53" t="n">
        <v>0</v>
      </c>
      <c r="BT955" s="53" t="n">
        <v>955</v>
      </c>
      <c r="BU955" s="48" t="str">
        <f aca="false">IF(U955&lt;&gt;"",UPPER(TRIM(U955)),IF(BX955=1,UPPER(VLOOKUP(T955,Parameter!$I$27:$K$29,2,0)),IF(P955="","LOSE",P955)))</f>
        <v>S33</v>
      </c>
      <c r="BV955" s="50" t="n">
        <f aca="false">IF(BU955="LOSE",1,IF(N(V955)&gt;0,V955,IF(BX955=1,MAX(1,N(VLOOKUP(T955,Parameter!$I$27:$K$29,3,0)),H955,N(N955)),IF(N(Q955)&gt;0,Q955,MAX(1,H955)))))</f>
        <v>23</v>
      </c>
      <c r="BW955" s="53" t="n">
        <f aca="false">IF(BU955="LOSE",1,0)</f>
        <v>0</v>
      </c>
      <c r="BX955" s="53" t="n">
        <f aca="false">IF(AND(U955="",OR(P955="",P955="LOSE"),T955&lt;&gt;"",N(S955)&lt;=0,ISNUMBER(MATCH(T955,Parameter!$I$27:$I$29,0))),1,0)</f>
        <v>0</v>
      </c>
      <c r="BY955" s="53" t="n">
        <f aca="false">IF(CL955&gt;0,INDEX(Parameter!$H$5:$H$7,W955)/INDEX(Parameter!$E$5:$E$7,W955),IF(AND(BW955=0,N(IFERROR(VLOOKUP(BU955,'Gebinde-Kategorie'!$A$5:$N$45,14,0),0))&gt;0),VLOOKUP(BU955,'Gebinde-Kategorie'!$A$5:$N$45,14,0)*10+Parameter!$M$23,Parameter!$M$24))</f>
        <v>155</v>
      </c>
      <c r="BZ955" s="48" t="str">
        <f aca="false">IF(AND(Parameter!$B$19="Ja",E955&lt;&gt;"",ISNUMBER(MATCH(E955,Parameter!$I$35:$I$52,0))),VLOOKUP(E955,Parameter!$I$35:$J$52,2,0),IFERROR(VLOOKUP(D955,Parameter!$A$35:$C$64,2,0),"Nein"))</f>
        <v>2+3</v>
      </c>
      <c r="CA955" s="52" t="n">
        <f aca="false">IF(BW955=0,0,IF(N(S955)&gt;0,S955,IFERROR(VLOOKUP(D955,Parameter!$A$35:$C$64,3,0)+0,0)))</f>
        <v>0</v>
      </c>
      <c r="CB955" s="48" t="n">
        <f aca="false">IF(AA955&lt;&gt;"",AA955,Z955)</f>
        <v>3</v>
      </c>
      <c r="CC955" s="48" t="str">
        <f aca="false">IF(OR(CB955=1,CB955=2,CB955=3),IF(Parameter!$E$27="Ja","LIFT",IF(CB955=1,"L1","L23")),IF(CB955="Aussen","Aussen","-"))</f>
        <v>LIFT</v>
      </c>
      <c r="CD955" s="59" t="n">
        <f aca="false">IF(N(AB955)&gt;0,AB955,0)</f>
        <v>0</v>
      </c>
      <c r="CE955" s="53" t="n">
        <f aca="false">IF(ISNUMBER(AE955),1,0)</f>
        <v>0</v>
      </c>
      <c r="CF955" s="50" t="n">
        <f aca="false">N(AE955)</f>
        <v>0</v>
      </c>
      <c r="CG955" s="50" t="n">
        <f aca="false">N(M955)+N(N955)</f>
        <v>10</v>
      </c>
      <c r="CH955" s="50" t="n">
        <f aca="false">ROUNDUP(H955/BV955,0)</f>
        <v>1</v>
      </c>
      <c r="CI955" s="50" t="n">
        <f aca="false">ROUNDUP(CF955/BV955,0)</f>
        <v>0</v>
      </c>
      <c r="CJ955" s="53" t="n">
        <f aca="false">IF(BW955=1,0,IFERROR(VLOOKUP(BU955,'Gebinde-Kategorie'!$A$5:$N$45,5,0)+0,0))</f>
        <v>8</v>
      </c>
      <c r="CK955" s="53" t="n">
        <f aca="false">IFERROR(IF(OR(CB955=1,CB955=2,CB955=3),N(INDEX(Parameter!$I$5:$I$7,CB955)),0),0)</f>
        <v>0</v>
      </c>
      <c r="CL955" s="52" t="n">
        <f aca="false">IF(AND(Parameter!$B$21="Ja",ISNUMBER(W955),N(X955)&gt;0),IFERROR(N(INDEX(Parameter!$L$5:$L$7,W955))*INDEX(Parameter!$E$5:$E$7,W955)*X955/SUMIFS($X$7:$X$1843,$W$7:$W$1843,W955),0),0)</f>
        <v>0</v>
      </c>
    </row>
    <row r="956" customFormat="false" ht="15" hidden="false" customHeight="false" outlineLevel="0" collapsed="false">
      <c r="A956" s="48" t="s">
        <v>1785</v>
      </c>
      <c r="B956" s="48" t="s">
        <v>1712</v>
      </c>
      <c r="C956" s="48" t="s">
        <v>168</v>
      </c>
      <c r="D956" s="48" t="s">
        <v>188</v>
      </c>
      <c r="E956" s="48" t="s">
        <v>189</v>
      </c>
      <c r="F956" s="48" t="s">
        <v>222</v>
      </c>
      <c r="G956" s="49" t="n">
        <v>31.64</v>
      </c>
      <c r="H956" s="50" t="n">
        <f aca="false">MAX(0,IF(AND(Parameter!$B$21="Ja",ISNUMBER(Y956)),Y956,IF(Parameter!$B$20="Jahresanfang 2025 + Export",BO956+BN956,BN956)))</f>
        <v>15</v>
      </c>
      <c r="I956" s="50" t="n">
        <f aca="false">H956*G956</f>
        <v>474.6</v>
      </c>
      <c r="J956" s="50" t="n">
        <f aca="false">BQ956*Parameter!$B$18</f>
        <v>1</v>
      </c>
      <c r="K956" s="51" t="n">
        <v>16</v>
      </c>
      <c r="L956" s="52" t="n">
        <v>0.0625</v>
      </c>
      <c r="M956" s="50" t="n">
        <v>0</v>
      </c>
      <c r="N956" s="50" t="n">
        <v>5</v>
      </c>
      <c r="O956" s="53" t="n">
        <v>56</v>
      </c>
      <c r="P956" s="48" t="s">
        <v>480</v>
      </c>
      <c r="Q956" s="50" t="n">
        <v>22</v>
      </c>
      <c r="R956" s="53" t="n">
        <f aca="false">IF(BW956=1,0,IFERROR(VLOOKUP(BU956,'Gebinde-Kategorie'!$A$5:$N$45,13,0)+0,0))</f>
        <v>52</v>
      </c>
      <c r="S956" s="54"/>
      <c r="T956" s="55"/>
      <c r="U956" s="55"/>
      <c r="V956" s="55"/>
      <c r="W956" s="48"/>
      <c r="X956" s="50"/>
      <c r="Y956" s="50"/>
      <c r="Z956" s="48" t="n">
        <f aca="false">IF(A956="","",IF(AND(Parameter!$B$21="Ja",ISNUMBER(W956)),W956,IF(BZ956="2+3",IF(ISNUMBER(SEARCH("grosser Artikel",BR956)),2,IFERROR(VLOOKUP(BU956,Parameter!$F$35:$G$64,2,0),2)),IF(OR(BZ956="Nein",BZ956=""),"-",BZ956))))</f>
        <v>3</v>
      </c>
      <c r="AA956" s="55"/>
      <c r="AB956" s="56"/>
      <c r="AC956" s="50" t="n">
        <f aca="false">AT956</f>
        <v>22</v>
      </c>
      <c r="AD956" s="50" t="n">
        <f aca="false">MAX(AT956,H956)</f>
        <v>22</v>
      </c>
      <c r="AE956" s="57"/>
      <c r="AF956" s="50" t="n">
        <f aca="false">IF(LEFT(Cockpit!$C$5,1)="A",H956,IF(CE956=1,CF956,IF(LEFT(Cockpit!$C$5,1)="B",AK956,MAX(AK956,H956))))</f>
        <v>15</v>
      </c>
      <c r="AG956" s="50" t="n">
        <f aca="false">IF(BW956=1,0,ROUNDUP(AF956/BV956,0))</f>
        <v>1</v>
      </c>
      <c r="AH956" s="52" t="n">
        <f aca="false">IF(CL956&gt;0,CL956*MAX(1,AF956/X956),IF(BW956=1,IF(AF956&lt;=0,0,CA956*MAX(1,IF(H956&gt;0,AF956/H956,1))),IF(R956&gt;0,AG956/R956,0))/MAX(0.1,N(Parameter!$M$21)))</f>
        <v>0.0192307692307692</v>
      </c>
      <c r="AI956" s="50" t="n">
        <f aca="false">AH956*BY956</f>
        <v>2.98076923076923</v>
      </c>
      <c r="AJ956" s="50" t="n">
        <f aca="false">AF956*G956</f>
        <v>474.6</v>
      </c>
      <c r="AK956" s="50" t="n">
        <f aca="false">ROUNDUP(MAX(J956/IF(CD956&gt;0,CD956,MAX(0.1,N(Cockpit!$C$6))),CG956)/BV956,0)*BV956</f>
        <v>22</v>
      </c>
      <c r="AL956" s="51" t="n">
        <f aca="false">IF(AI956&gt;0,J956/AI956,-1)</f>
        <v>0.335483870967742</v>
      </c>
      <c r="AM956" s="51" t="n">
        <f aca="false">IF(AND(OR(CC956="L1",CC956="L23",CC956="LIFT"),AI956&gt;0),SUMIFS($AI$7:$AI$1843,$CC$7:$CC$1843,CC956,$AL$7:$AL$1843,"&gt;"&amp;AL956)+SUMIFS($AI$7:$AI$1843,$CC$7:$CC$1843,CC956,$AL$7:$AL$1843,AL956,$BT$7:$BT$1843,"&lt;="&amp;BT956),"")</f>
        <v>11215.8270394859</v>
      </c>
      <c r="AN956" s="58" t="n">
        <f aca="false">IF(AM956="",0,MAX(0,MIN(1,(IF(CC956="L1",Parameter!$H$5,IF(CC956="L23",Parameter!$H$6+Parameter!$H$7,Parameter!$H$5+Parameter!$H$6+Parameter!$H$7))-(AM956-AI956))/AI956)))</f>
        <v>1</v>
      </c>
      <c r="AO956" s="50" t="n">
        <f aca="false">IF(LEFT(Cockpit!$I$5,1)="A",H956,IF(CE956=1,CF956,IF(LEFT(Cockpit!$I$5,1)="B",AT956,MAX(AT956,H956))))</f>
        <v>22</v>
      </c>
      <c r="AP956" s="50" t="n">
        <f aca="false">IF(BW956=1,0,ROUNDUP(AO956/BV956,0))</f>
        <v>1</v>
      </c>
      <c r="AQ956" s="52" t="n">
        <f aca="false">IF(CL956&gt;0,CL956*MAX(1,AO956/X956),IF(BW956=1,IF(AO956&lt;=0,0,CA956*MAX(1,IF(H956&gt;0,AO956/H956,1))),IF(R956&gt;0,AP956/R956,0))/MAX(0.1,N(Parameter!$M$21)))</f>
        <v>0.0192307692307692</v>
      </c>
      <c r="AR956" s="50" t="n">
        <f aca="false">AQ956*BY956</f>
        <v>2.98076923076923</v>
      </c>
      <c r="AS956" s="50" t="n">
        <f aca="false">AO956*G956</f>
        <v>696.08</v>
      </c>
      <c r="AT956" s="50" t="n">
        <f aca="false">ROUNDUP(MAX(J956/IF(CD956&gt;0,CD956,MAX(0.1,N(Cockpit!$I$6))),CG956)/BV956,0)*BV956</f>
        <v>22</v>
      </c>
      <c r="AU956" s="51" t="n">
        <f aca="false">IF(AR956&gt;0,J956/AR956,-1)</f>
        <v>0.335483870967742</v>
      </c>
      <c r="AV956" s="51" t="n">
        <f aca="false">IF(AND(OR(CC956="L1",CC956="L23",CC956="LIFT"),AR956&gt;0),SUMIFS($AR$7:$AR$1843,$CC$7:$CC$1843,CC956,$AU$7:$AU$1843,"&gt;"&amp;AU956)+SUMIFS($AR$7:$AR$1843,$CC$7:$CC$1843,CC956,$AU$7:$AU$1843,AU956,$BT$7:$BT$1843,"&lt;="&amp;BT956),"")</f>
        <v>16341.5251831502</v>
      </c>
      <c r="AW956" s="58" t="n">
        <f aca="false">IF(AV956="",0,MAX(0,MIN(1,(IF(CC956="L1",Parameter!$H$5,IF(CC956="L23",Parameter!$H$6+Parameter!$H$7,Parameter!$H$5+Parameter!$H$6+Parameter!$H$7))-(AV956-AR956))/AR956)))</f>
        <v>1</v>
      </c>
      <c r="AX956" s="50" t="n">
        <f aca="false">IF(LEFT(Cockpit!$O$5,1)="A",H956,IF(CE956=1,CF956,IF(LEFT(Cockpit!$O$5,1)="B",BC956,MAX(BC956,H956))))</f>
        <v>22</v>
      </c>
      <c r="AY956" s="50" t="n">
        <f aca="false">IF(BW956=1,0,ROUNDUP(AX956/BV956,0))</f>
        <v>1</v>
      </c>
      <c r="AZ956" s="52" t="n">
        <f aca="false">IF(CL956&gt;0,CL956*MAX(1,AX956/X956),IF(BW956=1,IF(AX956&lt;=0,0,CA956*MAX(1,IF(H956&gt;0,AX956/H956,1))),IF(R956&gt;0,AY956/R956,0))/MAX(0.1,N(Parameter!$M$21)))</f>
        <v>0.0192307692307692</v>
      </c>
      <c r="BA956" s="50" t="n">
        <f aca="false">AZ956*BY956</f>
        <v>2.98076923076923</v>
      </c>
      <c r="BB956" s="50" t="n">
        <f aca="false">AX956*G956</f>
        <v>696.08</v>
      </c>
      <c r="BC956" s="50" t="n">
        <f aca="false">ROUNDUP(MAX(J956/IF(CD956&gt;0,CD956,MAX(0.1,N(Cockpit!$O$6))),CG956)/BV956,0)*BV956</f>
        <v>22</v>
      </c>
      <c r="BD956" s="51" t="n">
        <f aca="false">IF(BA956&gt;0,J956/BA956,-1)</f>
        <v>0.335483870967742</v>
      </c>
      <c r="BE956" s="51" t="n">
        <f aca="false">IF(AND(OR(CC956="L1",CC956="L23",CC956="LIFT"),BA956&gt;0),SUMIFS($BA$7:$BA$1843,$CC$7:$CC$1843,CC956,$BD$7:$BD$1843,"&gt;"&amp;BD956)+SUMIFS($BA$7:$BA$1843,$CC$7:$CC$1843,CC956,$BD$7:$BD$1843,BD956,$BT$7:$BT$1843,"&lt;="&amp;BT956),"")</f>
        <v>15092.1822344322</v>
      </c>
      <c r="BF956" s="58" t="n">
        <f aca="false">IF(BE956="",0,MAX(0,MIN(1,(IF(CC956="L1",Parameter!$H$5,IF(CC956="L23",Parameter!$H$6+Parameter!$H$7,Parameter!$H$5+Parameter!$H$6+Parameter!$H$7))-(BE956-BA956))/BA956)))</f>
        <v>1</v>
      </c>
      <c r="BG956" s="48" t="str">
        <f aca="false">IF(AI956&lt;=0,"",IF(CC956="Aussen","Aussenlager",IF(CC956="-","Nicht im Lift",IF(AN956&gt;=1,"Lift",IF(AN956&lt;=0,"Aussenlager","teilweise")))))</f>
        <v>Lift</v>
      </c>
      <c r="BH956" s="48" t="str">
        <f aca="false">IF(AR956&lt;=0,"",IF(CC956="Aussen","Aussenlager",IF(CC956="-","Nicht im Lift",IF(AW956&gt;=1,"Lift",IF(AW956&lt;=0,"Aussenlager","teilweise")))))</f>
        <v>Lift</v>
      </c>
      <c r="BI956" s="48" t="str">
        <f aca="false">IF(BA956&lt;=0,"",IF(CC956="Aussen","Aussenlager",IF(CC956="-","Nicht im Lift",IF(BF956&gt;=1,"Lift",IF(BF956&lt;=0,"Aussenlager","teilweise")))))</f>
        <v>Lift</v>
      </c>
      <c r="BJ956" s="48" t="str">
        <f aca="false">IF(A956="","",IF(BS956=1,"Neu; ","")&amp;IF(AND(BS956=0,BN956&lt;0),"negativer Bestand (Export "&amp;BN956&amp;"); ","")&amp;IF(J956&lt;=0,"Kein Verbrauch; ","")&amp;IF(CL956&gt;0,"Lift "&amp;W956&amp;" lt. Liftbericht (Fach "&amp;X956&amp;" Stk); ",IF(BX956=1,"Gebinde geschätzt ("&amp;T956&amp;"); ",IF(BW956=1,"Lose – Tablare geschätzt; ","")))&amp;IF(H956&gt;AT956,"Überbestand "&amp;ROUND(H956-AT956,0)&amp;" Stk / CHF "&amp;ROUND((H956-AT956)*G956,0)&amp;"; ","")&amp;IF(AND(CE956=1,CF956&lt;CG956),"MAX &lt; MB+LG; ","")&amp;IF(AND(CK956&gt;0,CJ956*10&gt;CK956),"zu hoch für Tablar; ","")&amp;IF(AND(BS956=0,OR(CE956=1,AA956&lt;&gt;"",U956&lt;&gt;"",V956&lt;&gt;"",AB956&lt;&gt;"")),"manuell übersteuert; ","")&amp;IF(AND(BW956=0,R956=0),"Gebinde unbekannt / Stellmass fehlt; ","")&amp;IF(AND(BW956=0,N(V956)&lt;=0,N(Q956)&lt;=0),"Menge pro Gebinde fehlt (Ist = 1 Gebinde); ","")&amp;BR956)</f>
        <v>negativer Bestand (Export -2); </v>
      </c>
      <c r="BK956" s="48"/>
      <c r="BL956" s="48"/>
      <c r="BM956" s="55"/>
      <c r="BN956" s="50" t="n">
        <v>-2</v>
      </c>
      <c r="BO956" s="50" t="n">
        <v>17</v>
      </c>
      <c r="BP956" s="49" t="n">
        <v>-63.28</v>
      </c>
      <c r="BQ956" s="50" t="n">
        <v>1</v>
      </c>
      <c r="BR956" s="48"/>
      <c r="BS956" s="53" t="n">
        <v>0</v>
      </c>
      <c r="BT956" s="53" t="n">
        <v>956</v>
      </c>
      <c r="BU956" s="48" t="str">
        <f aca="false">IF(U956&lt;&gt;"",UPPER(TRIM(U956)),IF(BX956=1,UPPER(VLOOKUP(T956,Parameter!$I$27:$K$29,2,0)),IF(P956="","LOSE",P956)))</f>
        <v>S33</v>
      </c>
      <c r="BV956" s="50" t="n">
        <f aca="false">IF(BU956="LOSE",1,IF(N(V956)&gt;0,V956,IF(BX956=1,MAX(1,N(VLOOKUP(T956,Parameter!$I$27:$K$29,3,0)),H956,N(N956)),IF(N(Q956)&gt;0,Q956,MAX(1,H956)))))</f>
        <v>22</v>
      </c>
      <c r="BW956" s="53" t="n">
        <f aca="false">IF(BU956="LOSE",1,0)</f>
        <v>0</v>
      </c>
      <c r="BX956" s="53" t="n">
        <f aca="false">IF(AND(U956="",OR(P956="",P956="LOSE"),T956&lt;&gt;"",N(S956)&lt;=0,ISNUMBER(MATCH(T956,Parameter!$I$27:$I$29,0))),1,0)</f>
        <v>0</v>
      </c>
      <c r="BY956" s="53" t="n">
        <f aca="false">IF(CL956&gt;0,INDEX(Parameter!$H$5:$H$7,W956)/INDEX(Parameter!$E$5:$E$7,W956),IF(AND(BW956=0,N(IFERROR(VLOOKUP(BU956,'Gebinde-Kategorie'!$A$5:$N$45,14,0),0))&gt;0),VLOOKUP(BU956,'Gebinde-Kategorie'!$A$5:$N$45,14,0)*10+Parameter!$M$23,Parameter!$M$24))</f>
        <v>155</v>
      </c>
      <c r="BZ956" s="48" t="str">
        <f aca="false">IF(AND(Parameter!$B$19="Ja",E956&lt;&gt;"",ISNUMBER(MATCH(E956,Parameter!$I$35:$I$52,0))),VLOOKUP(E956,Parameter!$I$35:$J$52,2,0),IFERROR(VLOOKUP(D956,Parameter!$A$35:$C$64,2,0),"Nein"))</f>
        <v>2+3</v>
      </c>
      <c r="CA956" s="52" t="n">
        <f aca="false">IF(BW956=0,0,IF(N(S956)&gt;0,S956,IFERROR(VLOOKUP(D956,Parameter!$A$35:$C$64,3,0)+0,0)))</f>
        <v>0</v>
      </c>
      <c r="CB956" s="48" t="n">
        <f aca="false">IF(AA956&lt;&gt;"",AA956,Z956)</f>
        <v>3</v>
      </c>
      <c r="CC956" s="48" t="str">
        <f aca="false">IF(OR(CB956=1,CB956=2,CB956=3),IF(Parameter!$E$27="Ja","LIFT",IF(CB956=1,"L1","L23")),IF(CB956="Aussen","Aussen","-"))</f>
        <v>LIFT</v>
      </c>
      <c r="CD956" s="59" t="n">
        <f aca="false">IF(N(AB956)&gt;0,AB956,0)</f>
        <v>0</v>
      </c>
      <c r="CE956" s="53" t="n">
        <f aca="false">IF(ISNUMBER(AE956),1,0)</f>
        <v>0</v>
      </c>
      <c r="CF956" s="50" t="n">
        <f aca="false">N(AE956)</f>
        <v>0</v>
      </c>
      <c r="CG956" s="50" t="n">
        <f aca="false">N(M956)+N(N956)</f>
        <v>5</v>
      </c>
      <c r="CH956" s="50" t="n">
        <f aca="false">ROUNDUP(H956/BV956,0)</f>
        <v>1</v>
      </c>
      <c r="CI956" s="50" t="n">
        <f aca="false">ROUNDUP(CF956/BV956,0)</f>
        <v>0</v>
      </c>
      <c r="CJ956" s="53" t="n">
        <f aca="false">IF(BW956=1,0,IFERROR(VLOOKUP(BU956,'Gebinde-Kategorie'!$A$5:$N$45,5,0)+0,0))</f>
        <v>8</v>
      </c>
      <c r="CK956" s="53" t="n">
        <f aca="false">IFERROR(IF(OR(CB956=1,CB956=2,CB956=3),N(INDEX(Parameter!$I$5:$I$7,CB956)),0),0)</f>
        <v>0</v>
      </c>
      <c r="CL956" s="52" t="n">
        <f aca="false">IF(AND(Parameter!$B$21="Ja",ISNUMBER(W956),N(X956)&gt;0),IFERROR(N(INDEX(Parameter!$L$5:$L$7,W956))*INDEX(Parameter!$E$5:$E$7,W956)*X956/SUMIFS($X$7:$X$1843,$W$7:$W$1843,W956),0),0)</f>
        <v>0</v>
      </c>
    </row>
    <row r="957" customFormat="false" ht="15" hidden="false" customHeight="false" outlineLevel="0" collapsed="false">
      <c r="A957" s="48" t="s">
        <v>1786</v>
      </c>
      <c r="B957" s="48" t="s">
        <v>1765</v>
      </c>
      <c r="C957" s="48" t="s">
        <v>168</v>
      </c>
      <c r="D957" s="48" t="s">
        <v>188</v>
      </c>
      <c r="E957" s="48" t="s">
        <v>189</v>
      </c>
      <c r="F957" s="48" t="s">
        <v>222</v>
      </c>
      <c r="G957" s="49" t="n">
        <v>21.34</v>
      </c>
      <c r="H957" s="50" t="n">
        <f aca="false">MAX(0,IF(AND(Parameter!$B$21="Ja",ISNUMBER(Y957)),Y957,IF(Parameter!$B$20="Jahresanfang 2025 + Export",BO957+BN957,BN957)))</f>
        <v>42</v>
      </c>
      <c r="I957" s="50" t="n">
        <f aca="false">H957*G957</f>
        <v>896.28</v>
      </c>
      <c r="J957" s="50" t="n">
        <f aca="false">BQ957*Parameter!$B$18</f>
        <v>0</v>
      </c>
      <c r="K957" s="51" t="n">
        <v>45</v>
      </c>
      <c r="L957" s="52" t="n">
        <v>0</v>
      </c>
      <c r="M957" s="50" t="n">
        <v>0</v>
      </c>
      <c r="N957" s="50" t="n">
        <v>1</v>
      </c>
      <c r="O957" s="53" t="n">
        <v>35</v>
      </c>
      <c r="P957" s="48" t="s">
        <v>425</v>
      </c>
      <c r="Q957" s="50" t="n">
        <v>54</v>
      </c>
      <c r="R957" s="53" t="n">
        <f aca="false">IF(BW957=1,0,IFERROR(VLOOKUP(BU957,'Gebinde-Kategorie'!$A$5:$N$45,13,0)+0,0))</f>
        <v>104</v>
      </c>
      <c r="S957" s="54"/>
      <c r="T957" s="55"/>
      <c r="U957" s="55"/>
      <c r="V957" s="55"/>
      <c r="W957" s="48"/>
      <c r="X957" s="50"/>
      <c r="Y957" s="50"/>
      <c r="Z957" s="48" t="n">
        <f aca="false">IF(A957="","",IF(AND(Parameter!$B$21="Ja",ISNUMBER(W957)),W957,IF(BZ957="2+3",IF(ISNUMBER(SEARCH("grosser Artikel",BR957)),2,IFERROR(VLOOKUP(BU957,Parameter!$F$35:$G$64,2,0),2)),IF(OR(BZ957="Nein",BZ957=""),"-",BZ957))))</f>
        <v>3</v>
      </c>
      <c r="AA957" s="55"/>
      <c r="AB957" s="56"/>
      <c r="AC957" s="50" t="n">
        <f aca="false">AT957</f>
        <v>54</v>
      </c>
      <c r="AD957" s="50" t="n">
        <f aca="false">MAX(AT957,H957)</f>
        <v>54</v>
      </c>
      <c r="AE957" s="57"/>
      <c r="AF957" s="50" t="n">
        <f aca="false">IF(LEFT(Cockpit!$C$5,1)="A",H957,IF(CE957=1,CF957,IF(LEFT(Cockpit!$C$5,1)="B",AK957,MAX(AK957,H957))))</f>
        <v>42</v>
      </c>
      <c r="AG957" s="50" t="n">
        <f aca="false">IF(BW957=1,0,ROUNDUP(AF957/BV957,0))</f>
        <v>1</v>
      </c>
      <c r="AH957" s="52" t="n">
        <f aca="false">IF(CL957&gt;0,CL957*MAX(1,AF957/X957),IF(BW957=1,IF(AF957&lt;=0,0,CA957*MAX(1,IF(H957&gt;0,AF957/H957,1))),IF(R957&gt;0,AG957/R957,0))/MAX(0.1,N(Parameter!$M$21)))</f>
        <v>0.00961538461538462</v>
      </c>
      <c r="AI957" s="50" t="n">
        <f aca="false">AH957*BY957</f>
        <v>1.49038461538462</v>
      </c>
      <c r="AJ957" s="50" t="n">
        <f aca="false">AF957*G957</f>
        <v>896.28</v>
      </c>
      <c r="AK957" s="50" t="n">
        <f aca="false">ROUNDUP(MAX(J957/IF(CD957&gt;0,CD957,MAX(0.1,N(Cockpit!$C$6))),CG957)/BV957,0)*BV957</f>
        <v>54</v>
      </c>
      <c r="AL957" s="51" t="n">
        <f aca="false">IF(AI957&gt;0,J957/AI957,-1)</f>
        <v>0</v>
      </c>
      <c r="AM957" s="51" t="n">
        <f aca="false">IF(AND(OR(CC957="L1",CC957="L23",CC957="LIFT"),AI957&gt;0),SUMIFS($AI$7:$AI$1843,$CC$7:$CC$1843,CC957,$AL$7:$AL$1843,"&gt;"&amp;AL957)+SUMIFS($AI$7:$AI$1843,$CC$7:$CC$1843,CC957,$AL$7:$AL$1843,AL957,$BT$7:$BT$1843,"&lt;="&amp;BT957),"")</f>
        <v>28882.7941241903</v>
      </c>
      <c r="AN957" s="58" t="n">
        <f aca="false">IF(AM957="",0,MAX(0,MIN(1,(IF(CC957="L1",Parameter!$H$5,IF(CC957="L23",Parameter!$H$6+Parameter!$H$7,Parameter!$H$5+Parameter!$H$6+Parameter!$H$7))-(AM957-AI957))/AI957)))</f>
        <v>1</v>
      </c>
      <c r="AO957" s="50" t="n">
        <f aca="false">IF(LEFT(Cockpit!$I$5,1)="A",H957,IF(CE957=1,CF957,IF(LEFT(Cockpit!$I$5,1)="B",AT957,MAX(AT957,H957))))</f>
        <v>54</v>
      </c>
      <c r="AP957" s="50" t="n">
        <f aca="false">IF(BW957=1,0,ROUNDUP(AO957/BV957,0))</f>
        <v>1</v>
      </c>
      <c r="AQ957" s="52" t="n">
        <f aca="false">IF(CL957&gt;0,CL957*MAX(1,AO957/X957),IF(BW957=1,IF(AO957&lt;=0,0,CA957*MAX(1,IF(H957&gt;0,AO957/H957,1))),IF(R957&gt;0,AP957/R957,0))/MAX(0.1,N(Parameter!$M$21)))</f>
        <v>0.00961538461538462</v>
      </c>
      <c r="AR957" s="50" t="n">
        <f aca="false">AQ957*BY957</f>
        <v>1.49038461538462</v>
      </c>
      <c r="AS957" s="50" t="n">
        <f aca="false">AO957*G957</f>
        <v>1152.36</v>
      </c>
      <c r="AT957" s="50" t="n">
        <f aca="false">ROUNDUP(MAX(J957/IF(CD957&gt;0,CD957,MAX(0.1,N(Cockpit!$I$6))),CG957)/BV957,0)*BV957</f>
        <v>54</v>
      </c>
      <c r="AU957" s="51" t="n">
        <f aca="false">IF(AR957&gt;0,J957/AR957,-1)</f>
        <v>0</v>
      </c>
      <c r="AV957" s="51" t="n">
        <f aca="false">IF(AND(OR(CC957="L1",CC957="L23",CC957="LIFT"),AR957&gt;0),SUMIFS($AR$7:$AR$1843,$CC$7:$CC$1843,CC957,$AU$7:$AU$1843,"&gt;"&amp;AU957)+SUMIFS($AR$7:$AR$1843,$CC$7:$CC$1843,CC957,$AU$7:$AU$1843,AU957,$BT$7:$BT$1843,"&lt;="&amp;BT957),"")</f>
        <v>40516.9990920097</v>
      </c>
      <c r="AW957" s="58" t="n">
        <f aca="false">IF(AV957="",0,MAX(0,MIN(1,(IF(CC957="L1",Parameter!$H$5,IF(CC957="L23",Parameter!$H$6+Parameter!$H$7,Parameter!$H$5+Parameter!$H$6+Parameter!$H$7))-(AV957-AR957))/AR957)))</f>
        <v>0</v>
      </c>
      <c r="AX957" s="50" t="n">
        <f aca="false">IF(LEFT(Cockpit!$O$5,1)="A",H957,IF(CE957=1,CF957,IF(LEFT(Cockpit!$O$5,1)="B",BC957,MAX(BC957,H957))))</f>
        <v>54</v>
      </c>
      <c r="AY957" s="50" t="n">
        <f aca="false">IF(BW957=1,0,ROUNDUP(AX957/BV957,0))</f>
        <v>1</v>
      </c>
      <c r="AZ957" s="52" t="n">
        <f aca="false">IF(CL957&gt;0,CL957*MAX(1,AX957/X957),IF(BW957=1,IF(AX957&lt;=0,0,CA957*MAX(1,IF(H957&gt;0,AX957/H957,1))),IF(R957&gt;0,AY957/R957,0))/MAX(0.1,N(Parameter!$M$21)))</f>
        <v>0.00961538461538462</v>
      </c>
      <c r="BA957" s="50" t="n">
        <f aca="false">AZ957*BY957</f>
        <v>1.49038461538462</v>
      </c>
      <c r="BB957" s="50" t="n">
        <f aca="false">AX957*G957</f>
        <v>1152.36</v>
      </c>
      <c r="BC957" s="50" t="n">
        <f aca="false">ROUNDUP(MAX(J957/IF(CD957&gt;0,CD957,MAX(0.1,N(Cockpit!$O$6))),CG957)/BV957,0)*BV957</f>
        <v>54</v>
      </c>
      <c r="BD957" s="51" t="n">
        <f aca="false">IF(BA957&gt;0,J957/BA957,-1)</f>
        <v>0</v>
      </c>
      <c r="BE957" s="51" t="n">
        <f aca="false">IF(AND(OR(CC957="L1",CC957="L23",CC957="LIFT"),BA957&gt;0),SUMIFS($BA$7:$BA$1843,$CC$7:$CC$1843,CC957,$BD$7:$BD$1843,"&gt;"&amp;BD957)+SUMIFS($BA$7:$BA$1843,$CC$7:$CC$1843,CC957,$BD$7:$BD$1843,BD957,$BT$7:$BT$1843,"&lt;="&amp;BT957),"")</f>
        <v>37192.0111338755</v>
      </c>
      <c r="BF957" s="58" t="n">
        <f aca="false">IF(BE957="",0,MAX(0,MIN(1,(IF(CC957="L1",Parameter!$H$5,IF(CC957="L23",Parameter!$H$6+Parameter!$H$7,Parameter!$H$5+Parameter!$H$6+Parameter!$H$7))-(BE957-BA957))/BA957)))</f>
        <v>0</v>
      </c>
      <c r="BG957" s="48" t="str">
        <f aca="false">IF(AI957&lt;=0,"",IF(CC957="Aussen","Aussenlager",IF(CC957="-","Nicht im Lift",IF(AN957&gt;=1,"Lift",IF(AN957&lt;=0,"Aussenlager","teilweise")))))</f>
        <v>Lift</v>
      </c>
      <c r="BH957" s="48" t="str">
        <f aca="false">IF(AR957&lt;=0,"",IF(CC957="Aussen","Aussenlager",IF(CC957="-","Nicht im Lift",IF(AW957&gt;=1,"Lift",IF(AW957&lt;=0,"Aussenlager","teilweise")))))</f>
        <v>Aussenlager</v>
      </c>
      <c r="BI957" s="48" t="str">
        <f aca="false">IF(BA957&lt;=0,"",IF(CC957="Aussen","Aussenlager",IF(CC957="-","Nicht im Lift",IF(BF957&gt;=1,"Lift",IF(BF957&lt;=0,"Aussenlager","teilweise")))))</f>
        <v>Aussenlager</v>
      </c>
      <c r="BJ957" s="48" t="str">
        <f aca="false">IF(A957="","",IF(BS957=1,"Neu; ","")&amp;IF(AND(BS957=0,BN957&lt;0),"negativer Bestand (Export "&amp;BN957&amp;"); ","")&amp;IF(J957&lt;=0,"Kein Verbrauch; ","")&amp;IF(CL957&gt;0,"Lift "&amp;W957&amp;" lt. Liftbericht (Fach "&amp;X957&amp;" Stk); ",IF(BX957=1,"Gebinde geschätzt ("&amp;T957&amp;"); ",IF(BW957=1,"Lose – Tablare geschätzt; ","")))&amp;IF(H957&gt;AT957,"Überbestand "&amp;ROUND(H957-AT957,0)&amp;" Stk / CHF "&amp;ROUND((H957-AT957)*G957,0)&amp;"; ","")&amp;IF(AND(CE957=1,CF957&lt;CG957),"MAX &lt; MB+LG; ","")&amp;IF(AND(CK957&gt;0,CJ957*10&gt;CK957),"zu hoch für Tablar; ","")&amp;IF(AND(BS957=0,OR(CE957=1,AA957&lt;&gt;"",U957&lt;&gt;"",V957&lt;&gt;"",AB957&lt;&gt;"")),"manuell übersteuert; ","")&amp;IF(AND(BW957=0,R957=0),"Gebinde unbekannt / Stellmass fehlt; ","")&amp;IF(AND(BW957=0,N(V957)&lt;=0,N(Q957)&lt;=0),"Menge pro Gebinde fehlt (Ist = 1 Gebinde); ","")&amp;BR957)</f>
        <v>negativer Bestand (Export -3); Kein Verbrauch; Twin</v>
      </c>
      <c r="BK957" s="48"/>
      <c r="BL957" s="48"/>
      <c r="BM957" s="55"/>
      <c r="BN957" s="50" t="n">
        <v>-3</v>
      </c>
      <c r="BO957" s="50" t="n">
        <v>45</v>
      </c>
      <c r="BP957" s="49" t="n">
        <v>-64.02</v>
      </c>
      <c r="BQ957" s="50" t="n">
        <v>0</v>
      </c>
      <c r="BR957" s="48" t="s">
        <v>218</v>
      </c>
      <c r="BS957" s="53" t="n">
        <v>0</v>
      </c>
      <c r="BT957" s="53" t="n">
        <v>957</v>
      </c>
      <c r="BU957" s="48" t="str">
        <f aca="false">IF(U957&lt;&gt;"",UPPER(TRIM(U957)),IF(BX957=1,UPPER(VLOOKUP(T957,Parameter!$I$27:$K$29,2,0)),IF(P957="","LOSE",P957)))</f>
        <v>S32</v>
      </c>
      <c r="BV957" s="50" t="n">
        <f aca="false">IF(BU957="LOSE",1,IF(N(V957)&gt;0,V957,IF(BX957=1,MAX(1,N(VLOOKUP(T957,Parameter!$I$27:$K$29,3,0)),H957,N(N957)),IF(N(Q957)&gt;0,Q957,MAX(1,H957)))))</f>
        <v>54</v>
      </c>
      <c r="BW957" s="53" t="n">
        <f aca="false">IF(BU957="LOSE",1,0)</f>
        <v>0</v>
      </c>
      <c r="BX957" s="53" t="n">
        <f aca="false">IF(AND(U957="",OR(P957="",P957="LOSE"),T957&lt;&gt;"",N(S957)&lt;=0,ISNUMBER(MATCH(T957,Parameter!$I$27:$I$29,0))),1,0)</f>
        <v>0</v>
      </c>
      <c r="BY957" s="53" t="n">
        <f aca="false">IF(CL957&gt;0,INDEX(Parameter!$H$5:$H$7,W957)/INDEX(Parameter!$E$5:$E$7,W957),IF(AND(BW957=0,N(IFERROR(VLOOKUP(BU957,'Gebinde-Kategorie'!$A$5:$N$45,14,0),0))&gt;0),VLOOKUP(BU957,'Gebinde-Kategorie'!$A$5:$N$45,14,0)*10+Parameter!$M$23,Parameter!$M$24))</f>
        <v>155</v>
      </c>
      <c r="BZ957" s="48" t="str">
        <f aca="false">IF(AND(Parameter!$B$19="Ja",E957&lt;&gt;"",ISNUMBER(MATCH(E957,Parameter!$I$35:$I$52,0))),VLOOKUP(E957,Parameter!$I$35:$J$52,2,0),IFERROR(VLOOKUP(D957,Parameter!$A$35:$C$64,2,0),"Nein"))</f>
        <v>2+3</v>
      </c>
      <c r="CA957" s="52" t="n">
        <f aca="false">IF(BW957=0,0,IF(N(S957)&gt;0,S957,IFERROR(VLOOKUP(D957,Parameter!$A$35:$C$64,3,0)+0,0)))</f>
        <v>0</v>
      </c>
      <c r="CB957" s="48" t="n">
        <f aca="false">IF(AA957&lt;&gt;"",AA957,Z957)</f>
        <v>3</v>
      </c>
      <c r="CC957" s="48" t="str">
        <f aca="false">IF(OR(CB957=1,CB957=2,CB957=3),IF(Parameter!$E$27="Ja","LIFT",IF(CB957=1,"L1","L23")),IF(CB957="Aussen","Aussen","-"))</f>
        <v>LIFT</v>
      </c>
      <c r="CD957" s="59" t="n">
        <f aca="false">IF(N(AB957)&gt;0,AB957,0)</f>
        <v>0</v>
      </c>
      <c r="CE957" s="53" t="n">
        <f aca="false">IF(ISNUMBER(AE957),1,0)</f>
        <v>0</v>
      </c>
      <c r="CF957" s="50" t="n">
        <f aca="false">N(AE957)</f>
        <v>0</v>
      </c>
      <c r="CG957" s="50" t="n">
        <f aca="false">N(M957)+N(N957)</f>
        <v>1</v>
      </c>
      <c r="CH957" s="50" t="n">
        <f aca="false">ROUNDUP(H957/BV957,0)</f>
        <v>1</v>
      </c>
      <c r="CI957" s="50" t="n">
        <f aca="false">ROUNDUP(CF957/BV957,0)</f>
        <v>0</v>
      </c>
      <c r="CJ957" s="53" t="n">
        <f aca="false">IF(BW957=1,0,IFERROR(VLOOKUP(BU957,'Gebinde-Kategorie'!$A$5:$N$45,5,0)+0,0))</f>
        <v>8</v>
      </c>
      <c r="CK957" s="53" t="n">
        <f aca="false">IFERROR(IF(OR(CB957=1,CB957=2,CB957=3),N(INDEX(Parameter!$I$5:$I$7,CB957)),0),0)</f>
        <v>0</v>
      </c>
      <c r="CL957" s="52" t="n">
        <f aca="false">IF(AND(Parameter!$B$21="Ja",ISNUMBER(W957),N(X957)&gt;0),IFERROR(N(INDEX(Parameter!$L$5:$L$7,W957))*INDEX(Parameter!$E$5:$E$7,W957)*X957/SUMIFS($X$7:$X$1843,$W$7:$W$1843,W957),0),0)</f>
        <v>0</v>
      </c>
    </row>
    <row r="958" customFormat="false" ht="15" hidden="false" customHeight="false" outlineLevel="0" collapsed="false">
      <c r="A958" s="48" t="s">
        <v>1787</v>
      </c>
      <c r="B958" s="48" t="s">
        <v>1788</v>
      </c>
      <c r="C958" s="48" t="s">
        <v>168</v>
      </c>
      <c r="D958" s="48" t="s">
        <v>188</v>
      </c>
      <c r="E958" s="48" t="s">
        <v>189</v>
      </c>
      <c r="F958" s="48" t="s">
        <v>222</v>
      </c>
      <c r="G958" s="49" t="n">
        <v>65.36</v>
      </c>
      <c r="H958" s="50" t="n">
        <f aca="false">MAX(0,IF(AND(Parameter!$B$21="Ja",ISNUMBER(Y958)),Y958,IF(Parameter!$B$20="Jahresanfang 2025 + Export",BO958+BN958,BN958)))</f>
        <v>5</v>
      </c>
      <c r="I958" s="50" t="n">
        <f aca="false">H958*G958</f>
        <v>326.8</v>
      </c>
      <c r="J958" s="50" t="n">
        <f aca="false">BQ958*Parameter!$B$18</f>
        <v>0</v>
      </c>
      <c r="K958" s="51" t="n">
        <v>5.5</v>
      </c>
      <c r="L958" s="52" t="n">
        <v>0</v>
      </c>
      <c r="M958" s="50" t="n">
        <v>0</v>
      </c>
      <c r="N958" s="50" t="n">
        <v>1</v>
      </c>
      <c r="O958" s="53" t="n">
        <v>28</v>
      </c>
      <c r="P958" s="48" t="s">
        <v>332</v>
      </c>
      <c r="Q958" s="50" t="n">
        <v>10</v>
      </c>
      <c r="R958" s="53" t="n">
        <f aca="false">IF(BW958=1,0,IFERROR(VLOOKUP(BU958,'Gebinde-Kategorie'!$A$5:$N$45,13,0)+0,0))</f>
        <v>52</v>
      </c>
      <c r="S958" s="54"/>
      <c r="T958" s="55"/>
      <c r="U958" s="55"/>
      <c r="V958" s="55"/>
      <c r="W958" s="48"/>
      <c r="X958" s="50"/>
      <c r="Y958" s="50"/>
      <c r="Z958" s="48" t="n">
        <f aca="false">IF(A958="","",IF(AND(Parameter!$B$21="Ja",ISNUMBER(W958)),W958,IF(BZ958="2+3",IF(ISNUMBER(SEARCH("grosser Artikel",BR958)),2,IFERROR(VLOOKUP(BU958,Parameter!$F$35:$G$64,2,0),2)),IF(OR(BZ958="Nein",BZ958=""),"-",BZ958))))</f>
        <v>3</v>
      </c>
      <c r="AA958" s="55"/>
      <c r="AB958" s="56"/>
      <c r="AC958" s="50" t="n">
        <f aca="false">AT958</f>
        <v>10</v>
      </c>
      <c r="AD958" s="50" t="n">
        <f aca="false">MAX(AT958,H958)</f>
        <v>10</v>
      </c>
      <c r="AE958" s="57"/>
      <c r="AF958" s="50" t="n">
        <f aca="false">IF(LEFT(Cockpit!$C$5,1)="A",H958,IF(CE958=1,CF958,IF(LEFT(Cockpit!$C$5,1)="B",AK958,MAX(AK958,H958))))</f>
        <v>5</v>
      </c>
      <c r="AG958" s="50" t="n">
        <f aca="false">IF(BW958=1,0,ROUNDUP(AF958/BV958,0))</f>
        <v>1</v>
      </c>
      <c r="AH958" s="52" t="n">
        <f aca="false">IF(CL958&gt;0,CL958*MAX(1,AF958/X958),IF(BW958=1,IF(AF958&lt;=0,0,CA958*MAX(1,IF(H958&gt;0,AF958/H958,1))),IF(R958&gt;0,AG958/R958,0))/MAX(0.1,N(Parameter!$M$21)))</f>
        <v>0.0192307692307692</v>
      </c>
      <c r="AI958" s="50" t="n">
        <f aca="false">AH958*BY958</f>
        <v>2.98076923076923</v>
      </c>
      <c r="AJ958" s="50" t="n">
        <f aca="false">AF958*G958</f>
        <v>326.8</v>
      </c>
      <c r="AK958" s="50" t="n">
        <f aca="false">ROUNDUP(MAX(J958/IF(CD958&gt;0,CD958,MAX(0.1,N(Cockpit!$C$6))),CG958)/BV958,0)*BV958</f>
        <v>10</v>
      </c>
      <c r="AL958" s="51" t="n">
        <f aca="false">IF(AI958&gt;0,J958/AI958,-1)</f>
        <v>0</v>
      </c>
      <c r="AM958" s="51" t="n">
        <f aca="false">IF(AND(OR(CC958="L1",CC958="L23",CC958="LIFT"),AI958&gt;0),SUMIFS($AI$7:$AI$1843,$CC$7:$CC$1843,CC958,$AL$7:$AL$1843,"&gt;"&amp;AL958)+SUMIFS($AI$7:$AI$1843,$CC$7:$CC$1843,CC958,$AL$7:$AL$1843,AL958,$BT$7:$BT$1843,"&lt;="&amp;BT958),"")</f>
        <v>28885.7748934211</v>
      </c>
      <c r="AN958" s="58" t="n">
        <f aca="false">IF(AM958="",0,MAX(0,MIN(1,(IF(CC958="L1",Parameter!$H$5,IF(CC958="L23",Parameter!$H$6+Parameter!$H$7,Parameter!$H$5+Parameter!$H$6+Parameter!$H$7))-(AM958-AI958))/AI958)))</f>
        <v>1</v>
      </c>
      <c r="AO958" s="50" t="n">
        <f aca="false">IF(LEFT(Cockpit!$I$5,1)="A",H958,IF(CE958=1,CF958,IF(LEFT(Cockpit!$I$5,1)="B",AT958,MAX(AT958,H958))))</f>
        <v>10</v>
      </c>
      <c r="AP958" s="50" t="n">
        <f aca="false">IF(BW958=1,0,ROUNDUP(AO958/BV958,0))</f>
        <v>1</v>
      </c>
      <c r="AQ958" s="52" t="n">
        <f aca="false">IF(CL958&gt;0,CL958*MAX(1,AO958/X958),IF(BW958=1,IF(AO958&lt;=0,0,CA958*MAX(1,IF(H958&gt;0,AO958/H958,1))),IF(R958&gt;0,AP958/R958,0))/MAX(0.1,N(Parameter!$M$21)))</f>
        <v>0.0192307692307692</v>
      </c>
      <c r="AR958" s="50" t="n">
        <f aca="false">AQ958*BY958</f>
        <v>2.98076923076923</v>
      </c>
      <c r="AS958" s="50" t="n">
        <f aca="false">AO958*G958</f>
        <v>653.6</v>
      </c>
      <c r="AT958" s="50" t="n">
        <f aca="false">ROUNDUP(MAX(J958/IF(CD958&gt;0,CD958,MAX(0.1,N(Cockpit!$I$6))),CG958)/BV958,0)*BV958</f>
        <v>10</v>
      </c>
      <c r="AU958" s="51" t="n">
        <f aca="false">IF(AR958&gt;0,J958/AR958,-1)</f>
        <v>0</v>
      </c>
      <c r="AV958" s="51" t="n">
        <f aca="false">IF(AND(OR(CC958="L1",CC958="L23",CC958="LIFT"),AR958&gt;0),SUMIFS($AR$7:$AR$1843,$CC$7:$CC$1843,CC958,$AU$7:$AU$1843,"&gt;"&amp;AU958)+SUMIFS($AR$7:$AR$1843,$CC$7:$CC$1843,CC958,$AU$7:$AU$1843,AU958,$BT$7:$BT$1843,"&lt;="&amp;BT958),"")</f>
        <v>40519.9798612405</v>
      </c>
      <c r="AW958" s="58" t="n">
        <f aca="false">IF(AV958="",0,MAX(0,MIN(1,(IF(CC958="L1",Parameter!$H$5,IF(CC958="L23",Parameter!$H$6+Parameter!$H$7,Parameter!$H$5+Parameter!$H$6+Parameter!$H$7))-(AV958-AR958))/AR958)))</f>
        <v>0</v>
      </c>
      <c r="AX958" s="50" t="n">
        <f aca="false">IF(LEFT(Cockpit!$O$5,1)="A",H958,IF(CE958=1,CF958,IF(LEFT(Cockpit!$O$5,1)="B",BC958,MAX(BC958,H958))))</f>
        <v>10</v>
      </c>
      <c r="AY958" s="50" t="n">
        <f aca="false">IF(BW958=1,0,ROUNDUP(AX958/BV958,0))</f>
        <v>1</v>
      </c>
      <c r="AZ958" s="52" t="n">
        <f aca="false">IF(CL958&gt;0,CL958*MAX(1,AX958/X958),IF(BW958=1,IF(AX958&lt;=0,0,CA958*MAX(1,IF(H958&gt;0,AX958/H958,1))),IF(R958&gt;0,AY958/R958,0))/MAX(0.1,N(Parameter!$M$21)))</f>
        <v>0.0192307692307692</v>
      </c>
      <c r="BA958" s="50" t="n">
        <f aca="false">AZ958*BY958</f>
        <v>2.98076923076923</v>
      </c>
      <c r="BB958" s="50" t="n">
        <f aca="false">AX958*G958</f>
        <v>653.6</v>
      </c>
      <c r="BC958" s="50" t="n">
        <f aca="false">ROUNDUP(MAX(J958/IF(CD958&gt;0,CD958,MAX(0.1,N(Cockpit!$O$6))),CG958)/BV958,0)*BV958</f>
        <v>10</v>
      </c>
      <c r="BD958" s="51" t="n">
        <f aca="false">IF(BA958&gt;0,J958/BA958,-1)</f>
        <v>0</v>
      </c>
      <c r="BE958" s="51" t="n">
        <f aca="false">IF(AND(OR(CC958="L1",CC958="L23",CC958="LIFT"),BA958&gt;0),SUMIFS($BA$7:$BA$1843,$CC$7:$CC$1843,CC958,$BD$7:$BD$1843,"&gt;"&amp;BD958)+SUMIFS($BA$7:$BA$1843,$CC$7:$CC$1843,CC958,$BD$7:$BD$1843,BD958,$BT$7:$BT$1843,"&lt;="&amp;BT958),"")</f>
        <v>37194.9919031063</v>
      </c>
      <c r="BF958" s="58" t="n">
        <f aca="false">IF(BE958="",0,MAX(0,MIN(1,(IF(CC958="L1",Parameter!$H$5,IF(CC958="L23",Parameter!$H$6+Parameter!$H$7,Parameter!$H$5+Parameter!$H$6+Parameter!$H$7))-(BE958-BA958))/BA958)))</f>
        <v>0</v>
      </c>
      <c r="BG958" s="48" t="str">
        <f aca="false">IF(AI958&lt;=0,"",IF(CC958="Aussen","Aussenlager",IF(CC958="-","Nicht im Lift",IF(AN958&gt;=1,"Lift",IF(AN958&lt;=0,"Aussenlager","teilweise")))))</f>
        <v>Lift</v>
      </c>
      <c r="BH958" s="48" t="str">
        <f aca="false">IF(AR958&lt;=0,"",IF(CC958="Aussen","Aussenlager",IF(CC958="-","Nicht im Lift",IF(AW958&gt;=1,"Lift",IF(AW958&lt;=0,"Aussenlager","teilweise")))))</f>
        <v>Aussenlager</v>
      </c>
      <c r="BI958" s="48" t="str">
        <f aca="false">IF(BA958&lt;=0,"",IF(CC958="Aussen","Aussenlager",IF(CC958="-","Nicht im Lift",IF(BF958&gt;=1,"Lift",IF(BF958&lt;=0,"Aussenlager","teilweise")))))</f>
        <v>Aussenlager</v>
      </c>
      <c r="BJ958" s="48" t="str">
        <f aca="false">IF(A958="","",IF(BS958=1,"Neu; ","")&amp;IF(AND(BS958=0,BN958&lt;0),"negativer Bestand (Export "&amp;BN958&amp;"); ","")&amp;IF(J958&lt;=0,"Kein Verbrauch; ","")&amp;IF(CL958&gt;0,"Lift "&amp;W958&amp;" lt. Liftbericht (Fach "&amp;X958&amp;" Stk); ",IF(BX958=1,"Gebinde geschätzt ("&amp;T958&amp;"); ",IF(BW958=1,"Lose – Tablare geschätzt; ","")))&amp;IF(H958&gt;AT958,"Überbestand "&amp;ROUND(H958-AT958,0)&amp;" Stk / CHF "&amp;ROUND((H958-AT958)*G958,0)&amp;"; ","")&amp;IF(AND(CE958=1,CF958&lt;CG958),"MAX &lt; MB+LG; ","")&amp;IF(AND(CK958&gt;0,CJ958*10&gt;CK958),"zu hoch für Tablar; ","")&amp;IF(AND(BS958=0,OR(CE958=1,AA958&lt;&gt;"",U958&lt;&gt;"",V958&lt;&gt;"",AB958&lt;&gt;"")),"manuell übersteuert; ","")&amp;IF(AND(BW958=0,R958=0),"Gebinde unbekannt / Stellmass fehlt; ","")&amp;IF(AND(BW958=0,N(V958)&lt;=0,N(Q958)&lt;=0),"Menge pro Gebinde fehlt (Ist = 1 Gebinde); ","")&amp;BR958)</f>
        <v>negativer Bestand (Export -1); Kein Verbrauch; Verb.Lager</v>
      </c>
      <c r="BK958" s="48"/>
      <c r="BL958" s="48"/>
      <c r="BM958" s="55"/>
      <c r="BN958" s="50" t="n">
        <v>-1</v>
      </c>
      <c r="BO958" s="50" t="n">
        <v>6</v>
      </c>
      <c r="BP958" s="49" t="n">
        <v>-65.36</v>
      </c>
      <c r="BQ958" s="50" t="n">
        <v>0</v>
      </c>
      <c r="BR958" s="48" t="s">
        <v>1034</v>
      </c>
      <c r="BS958" s="53" t="n">
        <v>0</v>
      </c>
      <c r="BT958" s="53" t="n">
        <v>958</v>
      </c>
      <c r="BU958" s="48" t="str">
        <f aca="false">IF(U958&lt;&gt;"",UPPER(TRIM(U958)),IF(BX958=1,UPPER(VLOOKUP(T958,Parameter!$I$27:$K$29,2,0)),IF(P958="","LOSE",P958)))</f>
        <v>S41</v>
      </c>
      <c r="BV958" s="50" t="n">
        <f aca="false">IF(BU958="LOSE",1,IF(N(V958)&gt;0,V958,IF(BX958=1,MAX(1,N(VLOOKUP(T958,Parameter!$I$27:$K$29,3,0)),H958,N(N958)),IF(N(Q958)&gt;0,Q958,MAX(1,H958)))))</f>
        <v>10</v>
      </c>
      <c r="BW958" s="53" t="n">
        <f aca="false">IF(BU958="LOSE",1,0)</f>
        <v>0</v>
      </c>
      <c r="BX958" s="53" t="n">
        <f aca="false">IF(AND(U958="",OR(P958="",P958="LOSE"),T958&lt;&gt;"",N(S958)&lt;=0,ISNUMBER(MATCH(T958,Parameter!$I$27:$I$29,0))),1,0)</f>
        <v>0</v>
      </c>
      <c r="BY958" s="53" t="n">
        <f aca="false">IF(CL958&gt;0,INDEX(Parameter!$H$5:$H$7,W958)/INDEX(Parameter!$E$5:$E$7,W958),IF(AND(BW958=0,N(IFERROR(VLOOKUP(BU958,'Gebinde-Kategorie'!$A$5:$N$45,14,0),0))&gt;0),VLOOKUP(BU958,'Gebinde-Kategorie'!$A$5:$N$45,14,0)*10+Parameter!$M$23,Parameter!$M$24))</f>
        <v>155</v>
      </c>
      <c r="BZ958" s="48" t="str">
        <f aca="false">IF(AND(Parameter!$B$19="Ja",E958&lt;&gt;"",ISNUMBER(MATCH(E958,Parameter!$I$35:$I$52,0))),VLOOKUP(E958,Parameter!$I$35:$J$52,2,0),IFERROR(VLOOKUP(D958,Parameter!$A$35:$C$64,2,0),"Nein"))</f>
        <v>2+3</v>
      </c>
      <c r="CA958" s="52" t="n">
        <f aca="false">IF(BW958=0,0,IF(N(S958)&gt;0,S958,IFERROR(VLOOKUP(D958,Parameter!$A$35:$C$64,3,0)+0,0)))</f>
        <v>0</v>
      </c>
      <c r="CB958" s="48" t="n">
        <f aca="false">IF(AA958&lt;&gt;"",AA958,Z958)</f>
        <v>3</v>
      </c>
      <c r="CC958" s="48" t="str">
        <f aca="false">IF(OR(CB958=1,CB958=2,CB958=3),IF(Parameter!$E$27="Ja","LIFT",IF(CB958=1,"L1","L23")),IF(CB958="Aussen","Aussen","-"))</f>
        <v>LIFT</v>
      </c>
      <c r="CD958" s="59" t="n">
        <f aca="false">IF(N(AB958)&gt;0,AB958,0)</f>
        <v>0</v>
      </c>
      <c r="CE958" s="53" t="n">
        <f aca="false">IF(ISNUMBER(AE958),1,0)</f>
        <v>0</v>
      </c>
      <c r="CF958" s="50" t="n">
        <f aca="false">N(AE958)</f>
        <v>0</v>
      </c>
      <c r="CG958" s="50" t="n">
        <f aca="false">N(M958)+N(N958)</f>
        <v>1</v>
      </c>
      <c r="CH958" s="50" t="n">
        <f aca="false">ROUNDUP(H958/BV958,0)</f>
        <v>1</v>
      </c>
      <c r="CI958" s="50" t="n">
        <f aca="false">ROUNDUP(CF958/BV958,0)</f>
        <v>0</v>
      </c>
      <c r="CJ958" s="53" t="n">
        <f aca="false">IF(BW958=1,0,IFERROR(VLOOKUP(BU958,'Gebinde-Kategorie'!$A$5:$N$45,5,0)+0,0))</f>
        <v>11</v>
      </c>
      <c r="CK958" s="53" t="n">
        <f aca="false">IFERROR(IF(OR(CB958=1,CB958=2,CB958=3),N(INDEX(Parameter!$I$5:$I$7,CB958)),0),0)</f>
        <v>0</v>
      </c>
      <c r="CL958" s="52" t="n">
        <f aca="false">IF(AND(Parameter!$B$21="Ja",ISNUMBER(W958),N(X958)&gt;0),IFERROR(N(INDEX(Parameter!$L$5:$L$7,W958))*INDEX(Parameter!$E$5:$E$7,W958)*X958/SUMIFS($X$7:$X$1843,$W$7:$W$1843,W958),0),0)</f>
        <v>0</v>
      </c>
    </row>
    <row r="959" customFormat="false" ht="15" hidden="false" customHeight="false" outlineLevel="0" collapsed="false">
      <c r="A959" s="48" t="s">
        <v>1789</v>
      </c>
      <c r="B959" s="48" t="s">
        <v>1790</v>
      </c>
      <c r="C959" s="48" t="s">
        <v>168</v>
      </c>
      <c r="D959" s="48" t="s">
        <v>188</v>
      </c>
      <c r="E959" s="48" t="s">
        <v>189</v>
      </c>
      <c r="F959" s="48" t="s">
        <v>222</v>
      </c>
      <c r="G959" s="49" t="n">
        <v>21.84</v>
      </c>
      <c r="H959" s="50" t="n">
        <f aca="false">MAX(0,IF(AND(Parameter!$B$21="Ja",ISNUMBER(Y959)),Y959,IF(Parameter!$B$20="Jahresanfang 2025 + Export",BO959+BN959,BN959)))</f>
        <v>6</v>
      </c>
      <c r="I959" s="50" t="n">
        <f aca="false">H959*G959</f>
        <v>131.04</v>
      </c>
      <c r="J959" s="50" t="n">
        <f aca="false">BQ959*Parameter!$B$18</f>
        <v>2.01</v>
      </c>
      <c r="K959" s="51" t="n">
        <v>7.5</v>
      </c>
      <c r="L959" s="52" t="n">
        <v>0.268</v>
      </c>
      <c r="M959" s="50" t="n">
        <v>0</v>
      </c>
      <c r="N959" s="50" t="n">
        <v>1</v>
      </c>
      <c r="O959" s="53" t="n">
        <v>28</v>
      </c>
      <c r="P959" s="48" t="s">
        <v>332</v>
      </c>
      <c r="Q959" s="50" t="n">
        <v>12</v>
      </c>
      <c r="R959" s="53" t="n">
        <f aca="false">IF(BW959=1,0,IFERROR(VLOOKUP(BU959,'Gebinde-Kategorie'!$A$5:$N$45,13,0)+0,0))</f>
        <v>52</v>
      </c>
      <c r="S959" s="54"/>
      <c r="T959" s="55"/>
      <c r="U959" s="55"/>
      <c r="V959" s="55"/>
      <c r="W959" s="48"/>
      <c r="X959" s="50"/>
      <c r="Y959" s="50"/>
      <c r="Z959" s="48" t="n">
        <f aca="false">IF(A959="","",IF(AND(Parameter!$B$21="Ja",ISNUMBER(W959)),W959,IF(BZ959="2+3",IF(ISNUMBER(SEARCH("grosser Artikel",BR959)),2,IFERROR(VLOOKUP(BU959,Parameter!$F$35:$G$64,2,0),2)),IF(OR(BZ959="Nein",BZ959=""),"-",BZ959))))</f>
        <v>3</v>
      </c>
      <c r="AA959" s="55"/>
      <c r="AB959" s="56"/>
      <c r="AC959" s="50" t="n">
        <f aca="false">AT959</f>
        <v>12</v>
      </c>
      <c r="AD959" s="50" t="n">
        <f aca="false">MAX(AT959,H959)</f>
        <v>12</v>
      </c>
      <c r="AE959" s="57"/>
      <c r="AF959" s="50" t="n">
        <f aca="false">IF(LEFT(Cockpit!$C$5,1)="A",H959,IF(CE959=1,CF959,IF(LEFT(Cockpit!$C$5,1)="B",AK959,MAX(AK959,H959))))</f>
        <v>6</v>
      </c>
      <c r="AG959" s="50" t="n">
        <f aca="false">IF(BW959=1,0,ROUNDUP(AF959/BV959,0))</f>
        <v>1</v>
      </c>
      <c r="AH959" s="52" t="n">
        <f aca="false">IF(CL959&gt;0,CL959*MAX(1,AF959/X959),IF(BW959=1,IF(AF959&lt;=0,0,CA959*MAX(1,IF(H959&gt;0,AF959/H959,1))),IF(R959&gt;0,AG959/R959,0))/MAX(0.1,N(Parameter!$M$21)))</f>
        <v>0.0192307692307692</v>
      </c>
      <c r="AI959" s="50" t="n">
        <f aca="false">AH959*BY959</f>
        <v>2.98076923076923</v>
      </c>
      <c r="AJ959" s="50" t="n">
        <f aca="false">AF959*G959</f>
        <v>131.04</v>
      </c>
      <c r="AK959" s="50" t="n">
        <f aca="false">ROUNDUP(MAX(J959/IF(CD959&gt;0,CD959,MAX(0.1,N(Cockpit!$C$6))),CG959)/BV959,0)*BV959</f>
        <v>12</v>
      </c>
      <c r="AL959" s="51" t="n">
        <f aca="false">IF(AI959&gt;0,J959/AI959,-1)</f>
        <v>0.674322580645161</v>
      </c>
      <c r="AM959" s="51" t="n">
        <f aca="false">IF(AND(OR(CC959="L1",CC959="L23",CC959="LIFT"),AI959&gt;0),SUMIFS($AI$7:$AI$1843,$CC$7:$CC$1843,CC959,$AL$7:$AL$1843,"&gt;"&amp;AL959)+SUMIFS($AI$7:$AI$1843,$CC$7:$CC$1843,CC959,$AL$7:$AL$1843,AL959,$BT$7:$BT$1843,"&lt;="&amp;BT959),"")</f>
        <v>8595.2467948718</v>
      </c>
      <c r="AN959" s="58" t="n">
        <f aca="false">IF(AM959="",0,MAX(0,MIN(1,(IF(CC959="L1",Parameter!$H$5,IF(CC959="L23",Parameter!$H$6+Parameter!$H$7,Parameter!$H$5+Parameter!$H$6+Parameter!$H$7))-(AM959-AI959))/AI959)))</f>
        <v>1</v>
      </c>
      <c r="AO959" s="50" t="n">
        <f aca="false">IF(LEFT(Cockpit!$I$5,1)="A",H959,IF(CE959=1,CF959,IF(LEFT(Cockpit!$I$5,1)="B",AT959,MAX(AT959,H959))))</f>
        <v>12</v>
      </c>
      <c r="AP959" s="50" t="n">
        <f aca="false">IF(BW959=1,0,ROUNDUP(AO959/BV959,0))</f>
        <v>1</v>
      </c>
      <c r="AQ959" s="52" t="n">
        <f aca="false">IF(CL959&gt;0,CL959*MAX(1,AO959/X959),IF(BW959=1,IF(AO959&lt;=0,0,CA959*MAX(1,IF(H959&gt;0,AO959/H959,1))),IF(R959&gt;0,AP959/R959,0))/MAX(0.1,N(Parameter!$M$21)))</f>
        <v>0.0192307692307692</v>
      </c>
      <c r="AR959" s="50" t="n">
        <f aca="false">AQ959*BY959</f>
        <v>2.98076923076923</v>
      </c>
      <c r="AS959" s="50" t="n">
        <f aca="false">AO959*G959</f>
        <v>262.08</v>
      </c>
      <c r="AT959" s="50" t="n">
        <f aca="false">ROUNDUP(MAX(J959/IF(CD959&gt;0,CD959,MAX(0.1,N(Cockpit!$I$6))),CG959)/BV959,0)*BV959</f>
        <v>12</v>
      </c>
      <c r="AU959" s="51" t="n">
        <f aca="false">IF(AR959&gt;0,J959/AR959,-1)</f>
        <v>0.674322580645161</v>
      </c>
      <c r="AV959" s="51" t="n">
        <f aca="false">IF(AND(OR(CC959="L1",CC959="L23",CC959="LIFT"),AR959&gt;0),SUMIFS($AR$7:$AR$1843,$CC$7:$CC$1843,CC959,$AU$7:$AU$1843,"&gt;"&amp;AU959)+SUMIFS($AR$7:$AR$1843,$CC$7:$CC$1843,CC959,$AU$7:$AU$1843,AU959,$BT$7:$BT$1843,"&lt;="&amp;BT959),"")</f>
        <v>11737.369047619</v>
      </c>
      <c r="AW959" s="58" t="n">
        <f aca="false">IF(AV959="",0,MAX(0,MIN(1,(IF(CC959="L1",Parameter!$H$5,IF(CC959="L23",Parameter!$H$6+Parameter!$H$7,Parameter!$H$5+Parameter!$H$6+Parameter!$H$7))-(AV959-AR959))/AR959)))</f>
        <v>1</v>
      </c>
      <c r="AX959" s="50" t="n">
        <f aca="false">IF(LEFT(Cockpit!$O$5,1)="A",H959,IF(CE959=1,CF959,IF(LEFT(Cockpit!$O$5,1)="B",BC959,MAX(BC959,H959))))</f>
        <v>12</v>
      </c>
      <c r="AY959" s="50" t="n">
        <f aca="false">IF(BW959=1,0,ROUNDUP(AX959/BV959,0))</f>
        <v>1</v>
      </c>
      <c r="AZ959" s="52" t="n">
        <f aca="false">IF(CL959&gt;0,CL959*MAX(1,AX959/X959),IF(BW959=1,IF(AX959&lt;=0,0,CA959*MAX(1,IF(H959&gt;0,AX959/H959,1))),IF(R959&gt;0,AY959/R959,0))/MAX(0.1,N(Parameter!$M$21)))</f>
        <v>0.0192307692307692</v>
      </c>
      <c r="BA959" s="50" t="n">
        <f aca="false">AZ959*BY959</f>
        <v>2.98076923076923</v>
      </c>
      <c r="BB959" s="50" t="n">
        <f aca="false">AX959*G959</f>
        <v>262.08</v>
      </c>
      <c r="BC959" s="50" t="n">
        <f aca="false">ROUNDUP(MAX(J959/IF(CD959&gt;0,CD959,MAX(0.1,N(Cockpit!$O$6))),CG959)/BV959,0)*BV959</f>
        <v>12</v>
      </c>
      <c r="BD959" s="51" t="n">
        <f aca="false">IF(BA959&gt;0,J959/BA959,-1)</f>
        <v>0.674322580645161</v>
      </c>
      <c r="BE959" s="51" t="n">
        <f aca="false">IF(AND(OR(CC959="L1",CC959="L23",CC959="LIFT"),BA959&gt;0),SUMIFS($BA$7:$BA$1843,$CC$7:$CC$1843,CC959,$BD$7:$BD$1843,"&gt;"&amp;BD959)+SUMIFS($BA$7:$BA$1843,$CC$7:$CC$1843,CC959,$BD$7:$BD$1843,BD959,$BT$7:$BT$1843,"&lt;="&amp;BT959),"")</f>
        <v>11337.1927655678</v>
      </c>
      <c r="BF959" s="58" t="n">
        <f aca="false">IF(BE959="",0,MAX(0,MIN(1,(IF(CC959="L1",Parameter!$H$5,IF(CC959="L23",Parameter!$H$6+Parameter!$H$7,Parameter!$H$5+Parameter!$H$6+Parameter!$H$7))-(BE959-BA959))/BA959)))</f>
        <v>1</v>
      </c>
      <c r="BG959" s="48" t="str">
        <f aca="false">IF(AI959&lt;=0,"",IF(CC959="Aussen","Aussenlager",IF(CC959="-","Nicht im Lift",IF(AN959&gt;=1,"Lift",IF(AN959&lt;=0,"Aussenlager","teilweise")))))</f>
        <v>Lift</v>
      </c>
      <c r="BH959" s="48" t="str">
        <f aca="false">IF(AR959&lt;=0,"",IF(CC959="Aussen","Aussenlager",IF(CC959="-","Nicht im Lift",IF(AW959&gt;=1,"Lift",IF(AW959&lt;=0,"Aussenlager","teilweise")))))</f>
        <v>Lift</v>
      </c>
      <c r="BI959" s="48" t="str">
        <f aca="false">IF(BA959&lt;=0,"",IF(CC959="Aussen","Aussenlager",IF(CC959="-","Nicht im Lift",IF(BF959&gt;=1,"Lift",IF(BF959&lt;=0,"Aussenlager","teilweise")))))</f>
        <v>Lift</v>
      </c>
      <c r="BJ959" s="48" t="str">
        <f aca="false">IF(A959="","",IF(BS959=1,"Neu; ","")&amp;IF(AND(BS959=0,BN959&lt;0),"negativer Bestand (Export "&amp;BN959&amp;"); ","")&amp;IF(J959&lt;=0,"Kein Verbrauch; ","")&amp;IF(CL959&gt;0,"Lift "&amp;W959&amp;" lt. Liftbericht (Fach "&amp;X959&amp;" Stk); ",IF(BX959=1,"Gebinde geschätzt ("&amp;T959&amp;"); ",IF(BW959=1,"Lose – Tablare geschätzt; ","")))&amp;IF(H959&gt;AT959,"Überbestand "&amp;ROUND(H959-AT959,0)&amp;" Stk / CHF "&amp;ROUND((H959-AT959)*G959,0)&amp;"; ","")&amp;IF(AND(CE959=1,CF959&lt;CG959),"MAX &lt; MB+LG; ","")&amp;IF(AND(CK959&gt;0,CJ959*10&gt;CK959),"zu hoch für Tablar; ","")&amp;IF(AND(BS959=0,OR(CE959=1,AA959&lt;&gt;"",U959&lt;&gt;"",V959&lt;&gt;"",AB959&lt;&gt;"")),"manuell übersteuert; ","")&amp;IF(AND(BW959=0,R959=0),"Gebinde unbekannt / Stellmass fehlt; ","")&amp;IF(AND(BW959=0,N(V959)&lt;=0,N(Q959)&lt;=0),"Menge pro Gebinde fehlt (Ist = 1 Gebinde); ","")&amp;BR959)</f>
        <v>negativer Bestand (Export -3); </v>
      </c>
      <c r="BK959" s="48"/>
      <c r="BL959" s="48"/>
      <c r="BM959" s="55"/>
      <c r="BN959" s="50" t="n">
        <v>-3</v>
      </c>
      <c r="BO959" s="50" t="n">
        <v>9</v>
      </c>
      <c r="BP959" s="49" t="n">
        <v>-65.52</v>
      </c>
      <c r="BQ959" s="50" t="n">
        <v>2.01</v>
      </c>
      <c r="BR959" s="48"/>
      <c r="BS959" s="53" t="n">
        <v>0</v>
      </c>
      <c r="BT959" s="53" t="n">
        <v>959</v>
      </c>
      <c r="BU959" s="48" t="str">
        <f aca="false">IF(U959&lt;&gt;"",UPPER(TRIM(U959)),IF(BX959=1,UPPER(VLOOKUP(T959,Parameter!$I$27:$K$29,2,0)),IF(P959="","LOSE",P959)))</f>
        <v>S41</v>
      </c>
      <c r="BV959" s="50" t="n">
        <f aca="false">IF(BU959="LOSE",1,IF(N(V959)&gt;0,V959,IF(BX959=1,MAX(1,N(VLOOKUP(T959,Parameter!$I$27:$K$29,3,0)),H959,N(N959)),IF(N(Q959)&gt;0,Q959,MAX(1,H959)))))</f>
        <v>12</v>
      </c>
      <c r="BW959" s="53" t="n">
        <f aca="false">IF(BU959="LOSE",1,0)</f>
        <v>0</v>
      </c>
      <c r="BX959" s="53" t="n">
        <f aca="false">IF(AND(U959="",OR(P959="",P959="LOSE"),T959&lt;&gt;"",N(S959)&lt;=0,ISNUMBER(MATCH(T959,Parameter!$I$27:$I$29,0))),1,0)</f>
        <v>0</v>
      </c>
      <c r="BY959" s="53" t="n">
        <f aca="false">IF(CL959&gt;0,INDEX(Parameter!$H$5:$H$7,W959)/INDEX(Parameter!$E$5:$E$7,W959),IF(AND(BW959=0,N(IFERROR(VLOOKUP(BU959,'Gebinde-Kategorie'!$A$5:$N$45,14,0),0))&gt;0),VLOOKUP(BU959,'Gebinde-Kategorie'!$A$5:$N$45,14,0)*10+Parameter!$M$23,Parameter!$M$24))</f>
        <v>155</v>
      </c>
      <c r="BZ959" s="48" t="str">
        <f aca="false">IF(AND(Parameter!$B$19="Ja",E959&lt;&gt;"",ISNUMBER(MATCH(E959,Parameter!$I$35:$I$52,0))),VLOOKUP(E959,Parameter!$I$35:$J$52,2,0),IFERROR(VLOOKUP(D959,Parameter!$A$35:$C$64,2,0),"Nein"))</f>
        <v>2+3</v>
      </c>
      <c r="CA959" s="52" t="n">
        <f aca="false">IF(BW959=0,0,IF(N(S959)&gt;0,S959,IFERROR(VLOOKUP(D959,Parameter!$A$35:$C$64,3,0)+0,0)))</f>
        <v>0</v>
      </c>
      <c r="CB959" s="48" t="n">
        <f aca="false">IF(AA959&lt;&gt;"",AA959,Z959)</f>
        <v>3</v>
      </c>
      <c r="CC959" s="48" t="str">
        <f aca="false">IF(OR(CB959=1,CB959=2,CB959=3),IF(Parameter!$E$27="Ja","LIFT",IF(CB959=1,"L1","L23")),IF(CB959="Aussen","Aussen","-"))</f>
        <v>LIFT</v>
      </c>
      <c r="CD959" s="59" t="n">
        <f aca="false">IF(N(AB959)&gt;0,AB959,0)</f>
        <v>0</v>
      </c>
      <c r="CE959" s="53" t="n">
        <f aca="false">IF(ISNUMBER(AE959),1,0)</f>
        <v>0</v>
      </c>
      <c r="CF959" s="50" t="n">
        <f aca="false">N(AE959)</f>
        <v>0</v>
      </c>
      <c r="CG959" s="50" t="n">
        <f aca="false">N(M959)+N(N959)</f>
        <v>1</v>
      </c>
      <c r="CH959" s="50" t="n">
        <f aca="false">ROUNDUP(H959/BV959,0)</f>
        <v>1</v>
      </c>
      <c r="CI959" s="50" t="n">
        <f aca="false">ROUNDUP(CF959/BV959,0)</f>
        <v>0</v>
      </c>
      <c r="CJ959" s="53" t="n">
        <f aca="false">IF(BW959=1,0,IFERROR(VLOOKUP(BU959,'Gebinde-Kategorie'!$A$5:$N$45,5,0)+0,0))</f>
        <v>11</v>
      </c>
      <c r="CK959" s="53" t="n">
        <f aca="false">IFERROR(IF(OR(CB959=1,CB959=2,CB959=3),N(INDEX(Parameter!$I$5:$I$7,CB959)),0),0)</f>
        <v>0</v>
      </c>
      <c r="CL959" s="52" t="n">
        <f aca="false">IF(AND(Parameter!$B$21="Ja",ISNUMBER(W959),N(X959)&gt;0),IFERROR(N(INDEX(Parameter!$L$5:$L$7,W959))*INDEX(Parameter!$E$5:$E$7,W959)*X959/SUMIFS($X$7:$X$1843,$W$7:$W$1843,W959),0),0)</f>
        <v>0</v>
      </c>
    </row>
    <row r="960" customFormat="false" ht="15" hidden="false" customHeight="false" outlineLevel="0" collapsed="false">
      <c r="A960" s="48" t="s">
        <v>1791</v>
      </c>
      <c r="B960" s="48" t="s">
        <v>969</v>
      </c>
      <c r="C960" s="48" t="s">
        <v>168</v>
      </c>
      <c r="D960" s="48" t="s">
        <v>188</v>
      </c>
      <c r="E960" s="48" t="s">
        <v>189</v>
      </c>
      <c r="F960" s="48" t="s">
        <v>222</v>
      </c>
      <c r="G960" s="49" t="n">
        <v>16.51</v>
      </c>
      <c r="H960" s="50" t="n">
        <f aca="false">MAX(0,IF(AND(Parameter!$B$21="Ja",ISNUMBER(Y960)),Y960,IF(Parameter!$B$20="Jahresanfang 2025 + Export",BO960+BN960,BN960)))</f>
        <v>8</v>
      </c>
      <c r="I960" s="50" t="n">
        <f aca="false">H960*G960</f>
        <v>132.08</v>
      </c>
      <c r="J960" s="50" t="n">
        <f aca="false">BQ960*Parameter!$B$18</f>
        <v>0</v>
      </c>
      <c r="K960" s="51" t="n">
        <v>10.5</v>
      </c>
      <c r="L960" s="52" t="n">
        <v>0</v>
      </c>
      <c r="M960" s="50" t="n">
        <v>0</v>
      </c>
      <c r="N960" s="50" t="n">
        <v>1</v>
      </c>
      <c r="O960" s="53" t="n">
        <v>35</v>
      </c>
      <c r="P960" s="48" t="s">
        <v>480</v>
      </c>
      <c r="Q960" s="50" t="n">
        <v>14</v>
      </c>
      <c r="R960" s="53" t="n">
        <f aca="false">IF(BW960=1,0,IFERROR(VLOOKUP(BU960,'Gebinde-Kategorie'!$A$5:$N$45,13,0)+0,0))</f>
        <v>52</v>
      </c>
      <c r="S960" s="54"/>
      <c r="T960" s="55"/>
      <c r="U960" s="55"/>
      <c r="V960" s="55"/>
      <c r="W960" s="48"/>
      <c r="X960" s="50"/>
      <c r="Y960" s="50"/>
      <c r="Z960" s="48" t="n">
        <f aca="false">IF(A960="","",IF(AND(Parameter!$B$21="Ja",ISNUMBER(W960)),W960,IF(BZ960="2+3",IF(ISNUMBER(SEARCH("grosser Artikel",BR960)),2,IFERROR(VLOOKUP(BU960,Parameter!$F$35:$G$64,2,0),2)),IF(OR(BZ960="Nein",BZ960=""),"-",BZ960))))</f>
        <v>3</v>
      </c>
      <c r="AA960" s="55"/>
      <c r="AB960" s="56"/>
      <c r="AC960" s="50" t="n">
        <f aca="false">AT960</f>
        <v>14</v>
      </c>
      <c r="AD960" s="50" t="n">
        <f aca="false">MAX(AT960,H960)</f>
        <v>14</v>
      </c>
      <c r="AE960" s="57"/>
      <c r="AF960" s="50" t="n">
        <f aca="false">IF(LEFT(Cockpit!$C$5,1)="A",H960,IF(CE960=1,CF960,IF(LEFT(Cockpit!$C$5,1)="B",AK960,MAX(AK960,H960))))</f>
        <v>8</v>
      </c>
      <c r="AG960" s="50" t="n">
        <f aca="false">IF(BW960=1,0,ROUNDUP(AF960/BV960,0))</f>
        <v>1</v>
      </c>
      <c r="AH960" s="52" t="n">
        <f aca="false">IF(CL960&gt;0,CL960*MAX(1,AF960/X960),IF(BW960=1,IF(AF960&lt;=0,0,CA960*MAX(1,IF(H960&gt;0,AF960/H960,1))),IF(R960&gt;0,AG960/R960,0))/MAX(0.1,N(Parameter!$M$21)))</f>
        <v>0.0192307692307692</v>
      </c>
      <c r="AI960" s="50" t="n">
        <f aca="false">AH960*BY960</f>
        <v>2.98076923076923</v>
      </c>
      <c r="AJ960" s="50" t="n">
        <f aca="false">AF960*G960</f>
        <v>132.08</v>
      </c>
      <c r="AK960" s="50" t="n">
        <f aca="false">ROUNDUP(MAX(J960/IF(CD960&gt;0,CD960,MAX(0.1,N(Cockpit!$C$6))),CG960)/BV960,0)*BV960</f>
        <v>14</v>
      </c>
      <c r="AL960" s="51" t="n">
        <f aca="false">IF(AI960&gt;0,J960/AI960,-1)</f>
        <v>0</v>
      </c>
      <c r="AM960" s="51" t="n">
        <f aca="false">IF(AND(OR(CC960="L1",CC960="L23",CC960="LIFT"),AI960&gt;0),SUMIFS($AI$7:$AI$1843,$CC$7:$CC$1843,CC960,$AL$7:$AL$1843,"&gt;"&amp;AL960)+SUMIFS($AI$7:$AI$1843,$CC$7:$CC$1843,CC960,$AL$7:$AL$1843,AL960,$BT$7:$BT$1843,"&lt;="&amp;BT960),"")</f>
        <v>28888.7556626519</v>
      </c>
      <c r="AN960" s="58" t="n">
        <f aca="false">IF(AM960="",0,MAX(0,MIN(1,(IF(CC960="L1",Parameter!$H$5,IF(CC960="L23",Parameter!$H$6+Parameter!$H$7,Parameter!$H$5+Parameter!$H$6+Parameter!$H$7))-(AM960-AI960))/AI960)))</f>
        <v>1</v>
      </c>
      <c r="AO960" s="50" t="n">
        <f aca="false">IF(LEFT(Cockpit!$I$5,1)="A",H960,IF(CE960=1,CF960,IF(LEFT(Cockpit!$I$5,1)="B",AT960,MAX(AT960,H960))))</f>
        <v>14</v>
      </c>
      <c r="AP960" s="50" t="n">
        <f aca="false">IF(BW960=1,0,ROUNDUP(AO960/BV960,0))</f>
        <v>1</v>
      </c>
      <c r="AQ960" s="52" t="n">
        <f aca="false">IF(CL960&gt;0,CL960*MAX(1,AO960/X960),IF(BW960=1,IF(AO960&lt;=0,0,CA960*MAX(1,IF(H960&gt;0,AO960/H960,1))),IF(R960&gt;0,AP960/R960,0))/MAX(0.1,N(Parameter!$M$21)))</f>
        <v>0.0192307692307692</v>
      </c>
      <c r="AR960" s="50" t="n">
        <f aca="false">AQ960*BY960</f>
        <v>2.98076923076923</v>
      </c>
      <c r="AS960" s="50" t="n">
        <f aca="false">AO960*G960</f>
        <v>231.14</v>
      </c>
      <c r="AT960" s="50" t="n">
        <f aca="false">ROUNDUP(MAX(J960/IF(CD960&gt;0,CD960,MAX(0.1,N(Cockpit!$I$6))),CG960)/BV960,0)*BV960</f>
        <v>14</v>
      </c>
      <c r="AU960" s="51" t="n">
        <f aca="false">IF(AR960&gt;0,J960/AR960,-1)</f>
        <v>0</v>
      </c>
      <c r="AV960" s="51" t="n">
        <f aca="false">IF(AND(OR(CC960="L1",CC960="L23",CC960="LIFT"),AR960&gt;0),SUMIFS($AR$7:$AR$1843,$CC$7:$CC$1843,CC960,$AU$7:$AU$1843,"&gt;"&amp;AU960)+SUMIFS($AR$7:$AR$1843,$CC$7:$CC$1843,CC960,$AU$7:$AU$1843,AU960,$BT$7:$BT$1843,"&lt;="&amp;BT960),"")</f>
        <v>40522.9606304712</v>
      </c>
      <c r="AW960" s="58" t="n">
        <f aca="false">IF(AV960="",0,MAX(0,MIN(1,(IF(CC960="L1",Parameter!$H$5,IF(CC960="L23",Parameter!$H$6+Parameter!$H$7,Parameter!$H$5+Parameter!$H$6+Parameter!$H$7))-(AV960-AR960))/AR960)))</f>
        <v>0</v>
      </c>
      <c r="AX960" s="50" t="n">
        <f aca="false">IF(LEFT(Cockpit!$O$5,1)="A",H960,IF(CE960=1,CF960,IF(LEFT(Cockpit!$O$5,1)="B",BC960,MAX(BC960,H960))))</f>
        <v>14</v>
      </c>
      <c r="AY960" s="50" t="n">
        <f aca="false">IF(BW960=1,0,ROUNDUP(AX960/BV960,0))</f>
        <v>1</v>
      </c>
      <c r="AZ960" s="52" t="n">
        <f aca="false">IF(CL960&gt;0,CL960*MAX(1,AX960/X960),IF(BW960=1,IF(AX960&lt;=0,0,CA960*MAX(1,IF(H960&gt;0,AX960/H960,1))),IF(R960&gt;0,AY960/R960,0))/MAX(0.1,N(Parameter!$M$21)))</f>
        <v>0.0192307692307692</v>
      </c>
      <c r="BA960" s="50" t="n">
        <f aca="false">AZ960*BY960</f>
        <v>2.98076923076923</v>
      </c>
      <c r="BB960" s="50" t="n">
        <f aca="false">AX960*G960</f>
        <v>231.14</v>
      </c>
      <c r="BC960" s="50" t="n">
        <f aca="false">ROUNDUP(MAX(J960/IF(CD960&gt;0,CD960,MAX(0.1,N(Cockpit!$O$6))),CG960)/BV960,0)*BV960</f>
        <v>14</v>
      </c>
      <c r="BD960" s="51" t="n">
        <f aca="false">IF(BA960&gt;0,J960/BA960,-1)</f>
        <v>0</v>
      </c>
      <c r="BE960" s="51" t="n">
        <f aca="false">IF(AND(OR(CC960="L1",CC960="L23",CC960="LIFT"),BA960&gt;0),SUMIFS($BA$7:$BA$1843,$CC$7:$CC$1843,CC960,$BD$7:$BD$1843,"&gt;"&amp;BD960)+SUMIFS($BA$7:$BA$1843,$CC$7:$CC$1843,CC960,$BD$7:$BD$1843,BD960,$BT$7:$BT$1843,"&lt;="&amp;BT960),"")</f>
        <v>37197.9726723371</v>
      </c>
      <c r="BF960" s="58" t="n">
        <f aca="false">IF(BE960="",0,MAX(0,MIN(1,(IF(CC960="L1",Parameter!$H$5,IF(CC960="L23",Parameter!$H$6+Parameter!$H$7,Parameter!$H$5+Parameter!$H$6+Parameter!$H$7))-(BE960-BA960))/BA960)))</f>
        <v>0</v>
      </c>
      <c r="BG960" s="48" t="str">
        <f aca="false">IF(AI960&lt;=0,"",IF(CC960="Aussen","Aussenlager",IF(CC960="-","Nicht im Lift",IF(AN960&gt;=1,"Lift",IF(AN960&lt;=0,"Aussenlager","teilweise")))))</f>
        <v>Lift</v>
      </c>
      <c r="BH960" s="48" t="str">
        <f aca="false">IF(AR960&lt;=0,"",IF(CC960="Aussen","Aussenlager",IF(CC960="-","Nicht im Lift",IF(AW960&gt;=1,"Lift",IF(AW960&lt;=0,"Aussenlager","teilweise")))))</f>
        <v>Aussenlager</v>
      </c>
      <c r="BI960" s="48" t="str">
        <f aca="false">IF(BA960&lt;=0,"",IF(CC960="Aussen","Aussenlager",IF(CC960="-","Nicht im Lift",IF(BF960&gt;=1,"Lift",IF(BF960&lt;=0,"Aussenlager","teilweise")))))</f>
        <v>Aussenlager</v>
      </c>
      <c r="BJ960" s="48" t="str">
        <f aca="false">IF(A960="","",IF(BS960=1,"Neu; ","")&amp;IF(AND(BS960=0,BN960&lt;0),"negativer Bestand (Export "&amp;BN960&amp;"); ","")&amp;IF(J960&lt;=0,"Kein Verbrauch; ","")&amp;IF(CL960&gt;0,"Lift "&amp;W960&amp;" lt. Liftbericht (Fach "&amp;X960&amp;" Stk); ",IF(BX960=1,"Gebinde geschätzt ("&amp;T960&amp;"); ",IF(BW960=1,"Lose – Tablare geschätzt; ","")))&amp;IF(H960&gt;AT960,"Überbestand "&amp;ROUND(H960-AT960,0)&amp;" Stk / CHF "&amp;ROUND((H960-AT960)*G960,0)&amp;"; ","")&amp;IF(AND(CE960=1,CF960&lt;CG960),"MAX &lt; MB+LG; ","")&amp;IF(AND(CK960&gt;0,CJ960*10&gt;CK960),"zu hoch für Tablar; ","")&amp;IF(AND(BS960=0,OR(CE960=1,AA960&lt;&gt;"",U960&lt;&gt;"",V960&lt;&gt;"",AB960&lt;&gt;"")),"manuell übersteuert; ","")&amp;IF(AND(BW960=0,R960=0),"Gebinde unbekannt / Stellmass fehlt; ","")&amp;IF(AND(BW960=0,N(V960)&lt;=0,N(Q960)&lt;=0),"Menge pro Gebinde fehlt (Ist = 1 Gebinde); ","")&amp;BR960)</f>
        <v>negativer Bestand (Export -4); Kein Verbrauch; </v>
      </c>
      <c r="BK960" s="48"/>
      <c r="BL960" s="48"/>
      <c r="BM960" s="55"/>
      <c r="BN960" s="50" t="n">
        <v>-4</v>
      </c>
      <c r="BO960" s="50" t="n">
        <v>12</v>
      </c>
      <c r="BP960" s="49" t="n">
        <v>-66.04</v>
      </c>
      <c r="BQ960" s="50" t="n">
        <v>0</v>
      </c>
      <c r="BR960" s="48"/>
      <c r="BS960" s="53" t="n">
        <v>0</v>
      </c>
      <c r="BT960" s="53" t="n">
        <v>960</v>
      </c>
      <c r="BU960" s="48" t="str">
        <f aca="false">IF(U960&lt;&gt;"",UPPER(TRIM(U960)),IF(BX960=1,UPPER(VLOOKUP(T960,Parameter!$I$27:$K$29,2,0)),IF(P960="","LOSE",P960)))</f>
        <v>S33</v>
      </c>
      <c r="BV960" s="50" t="n">
        <f aca="false">IF(BU960="LOSE",1,IF(N(V960)&gt;0,V960,IF(BX960=1,MAX(1,N(VLOOKUP(T960,Parameter!$I$27:$K$29,3,0)),H960,N(N960)),IF(N(Q960)&gt;0,Q960,MAX(1,H960)))))</f>
        <v>14</v>
      </c>
      <c r="BW960" s="53" t="n">
        <f aca="false">IF(BU960="LOSE",1,0)</f>
        <v>0</v>
      </c>
      <c r="BX960" s="53" t="n">
        <f aca="false">IF(AND(U960="",OR(P960="",P960="LOSE"),T960&lt;&gt;"",N(S960)&lt;=0,ISNUMBER(MATCH(T960,Parameter!$I$27:$I$29,0))),1,0)</f>
        <v>0</v>
      </c>
      <c r="BY960" s="53" t="n">
        <f aca="false">IF(CL960&gt;0,INDEX(Parameter!$H$5:$H$7,W960)/INDEX(Parameter!$E$5:$E$7,W960),IF(AND(BW960=0,N(IFERROR(VLOOKUP(BU960,'Gebinde-Kategorie'!$A$5:$N$45,14,0),0))&gt;0),VLOOKUP(BU960,'Gebinde-Kategorie'!$A$5:$N$45,14,0)*10+Parameter!$M$23,Parameter!$M$24))</f>
        <v>155</v>
      </c>
      <c r="BZ960" s="48" t="str">
        <f aca="false">IF(AND(Parameter!$B$19="Ja",E960&lt;&gt;"",ISNUMBER(MATCH(E960,Parameter!$I$35:$I$52,0))),VLOOKUP(E960,Parameter!$I$35:$J$52,2,0),IFERROR(VLOOKUP(D960,Parameter!$A$35:$C$64,2,0),"Nein"))</f>
        <v>2+3</v>
      </c>
      <c r="CA960" s="52" t="n">
        <f aca="false">IF(BW960=0,0,IF(N(S960)&gt;0,S960,IFERROR(VLOOKUP(D960,Parameter!$A$35:$C$64,3,0)+0,0)))</f>
        <v>0</v>
      </c>
      <c r="CB960" s="48" t="n">
        <f aca="false">IF(AA960&lt;&gt;"",AA960,Z960)</f>
        <v>3</v>
      </c>
      <c r="CC960" s="48" t="str">
        <f aca="false">IF(OR(CB960=1,CB960=2,CB960=3),IF(Parameter!$E$27="Ja","LIFT",IF(CB960=1,"L1","L23")),IF(CB960="Aussen","Aussen","-"))</f>
        <v>LIFT</v>
      </c>
      <c r="CD960" s="59" t="n">
        <f aca="false">IF(N(AB960)&gt;0,AB960,0)</f>
        <v>0</v>
      </c>
      <c r="CE960" s="53" t="n">
        <f aca="false">IF(ISNUMBER(AE960),1,0)</f>
        <v>0</v>
      </c>
      <c r="CF960" s="50" t="n">
        <f aca="false">N(AE960)</f>
        <v>0</v>
      </c>
      <c r="CG960" s="50" t="n">
        <f aca="false">N(M960)+N(N960)</f>
        <v>1</v>
      </c>
      <c r="CH960" s="50" t="n">
        <f aca="false">ROUNDUP(H960/BV960,0)</f>
        <v>1</v>
      </c>
      <c r="CI960" s="50" t="n">
        <f aca="false">ROUNDUP(CF960/BV960,0)</f>
        <v>0</v>
      </c>
      <c r="CJ960" s="53" t="n">
        <f aca="false">IF(BW960=1,0,IFERROR(VLOOKUP(BU960,'Gebinde-Kategorie'!$A$5:$N$45,5,0)+0,0))</f>
        <v>8</v>
      </c>
      <c r="CK960" s="53" t="n">
        <f aca="false">IFERROR(IF(OR(CB960=1,CB960=2,CB960=3),N(INDEX(Parameter!$I$5:$I$7,CB960)),0),0)</f>
        <v>0</v>
      </c>
      <c r="CL960" s="52" t="n">
        <f aca="false">IF(AND(Parameter!$B$21="Ja",ISNUMBER(W960),N(X960)&gt;0),IFERROR(N(INDEX(Parameter!$L$5:$L$7,W960))*INDEX(Parameter!$E$5:$E$7,W960)*X960/SUMIFS($X$7:$X$1843,$W$7:$W$1843,W960),0),0)</f>
        <v>0</v>
      </c>
    </row>
    <row r="961" customFormat="false" ht="15" hidden="false" customHeight="false" outlineLevel="0" collapsed="false">
      <c r="A961" s="48" t="s">
        <v>1792</v>
      </c>
      <c r="B961" s="48" t="s">
        <v>1793</v>
      </c>
      <c r="C961" s="48" t="s">
        <v>168</v>
      </c>
      <c r="D961" s="48" t="s">
        <v>188</v>
      </c>
      <c r="E961" s="48" t="s">
        <v>189</v>
      </c>
      <c r="F961" s="48" t="s">
        <v>222</v>
      </c>
      <c r="G961" s="49" t="n">
        <v>67.24</v>
      </c>
      <c r="H961" s="50" t="n">
        <f aca="false">MAX(0,IF(AND(Parameter!$B$21="Ja",ISNUMBER(Y961)),Y961,IF(Parameter!$B$20="Jahresanfang 2025 + Export",BO961+BN961,BN961)))</f>
        <v>3</v>
      </c>
      <c r="I961" s="50" t="n">
        <f aca="false">H961*G961</f>
        <v>201.72</v>
      </c>
      <c r="J961" s="50" t="n">
        <f aca="false">BQ961*Parameter!$B$18</f>
        <v>1</v>
      </c>
      <c r="K961" s="51" t="n">
        <v>4</v>
      </c>
      <c r="L961" s="52" t="n">
        <v>0.25</v>
      </c>
      <c r="M961" s="50" t="n">
        <v>0</v>
      </c>
      <c r="N961" s="50" t="n">
        <v>1</v>
      </c>
      <c r="O961" s="53" t="n">
        <v>21</v>
      </c>
      <c r="P961" s="48" t="s">
        <v>306</v>
      </c>
      <c r="Q961" s="50" t="n">
        <v>6</v>
      </c>
      <c r="R961" s="53" t="n">
        <f aca="false">IF(BW961=1,0,IFERROR(VLOOKUP(BU961,'Gebinde-Kategorie'!$A$5:$N$45,13,0)+0,0))</f>
        <v>26</v>
      </c>
      <c r="S961" s="54"/>
      <c r="T961" s="55"/>
      <c r="U961" s="55"/>
      <c r="V961" s="55"/>
      <c r="W961" s="48"/>
      <c r="X961" s="50"/>
      <c r="Y961" s="50"/>
      <c r="Z961" s="48" t="n">
        <f aca="false">IF(A961="","",IF(AND(Parameter!$B$21="Ja",ISNUMBER(W961)),W961,IF(BZ961="2+3",IF(ISNUMBER(SEARCH("grosser Artikel",BR961)),2,IFERROR(VLOOKUP(BU961,Parameter!$F$35:$G$64,2,0),2)),IF(OR(BZ961="Nein",BZ961=""),"-",BZ961))))</f>
        <v>3</v>
      </c>
      <c r="AA961" s="55"/>
      <c r="AB961" s="56"/>
      <c r="AC961" s="50" t="n">
        <f aca="false">AT961</f>
        <v>6</v>
      </c>
      <c r="AD961" s="50" t="n">
        <f aca="false">MAX(AT961,H961)</f>
        <v>6</v>
      </c>
      <c r="AE961" s="57"/>
      <c r="AF961" s="50" t="n">
        <f aca="false">IF(LEFT(Cockpit!$C$5,1)="A",H961,IF(CE961=1,CF961,IF(LEFT(Cockpit!$C$5,1)="B",AK961,MAX(AK961,H961))))</f>
        <v>3</v>
      </c>
      <c r="AG961" s="50" t="n">
        <f aca="false">IF(BW961=1,0,ROUNDUP(AF961/BV961,0))</f>
        <v>1</v>
      </c>
      <c r="AH961" s="52" t="n">
        <f aca="false">IF(CL961&gt;0,CL961*MAX(1,AF961/X961),IF(BW961=1,IF(AF961&lt;=0,0,CA961*MAX(1,IF(H961&gt;0,AF961/H961,1))),IF(R961&gt;0,AG961/R961,0))/MAX(0.1,N(Parameter!$M$21)))</f>
        <v>0.0384615384615385</v>
      </c>
      <c r="AI961" s="50" t="n">
        <f aca="false">AH961*BY961</f>
        <v>5.96153846153846</v>
      </c>
      <c r="AJ961" s="50" t="n">
        <f aca="false">AF961*G961</f>
        <v>201.72</v>
      </c>
      <c r="AK961" s="50" t="n">
        <f aca="false">ROUNDUP(MAX(J961/IF(CD961&gt;0,CD961,MAX(0.1,N(Cockpit!$C$6))),CG961)/BV961,0)*BV961</f>
        <v>6</v>
      </c>
      <c r="AL961" s="51" t="n">
        <f aca="false">IF(AI961&gt;0,J961/AI961,-1)</f>
        <v>0.167741935483871</v>
      </c>
      <c r="AM961" s="51" t="n">
        <f aca="false">IF(AND(OR(CC961="L1",CC961="L23",CC961="LIFT"),AI961&gt;0),SUMIFS($AI$7:$AI$1843,$CC$7:$CC$1843,CC961,$AL$7:$AL$1843,"&gt;"&amp;AL961)+SUMIFS($AI$7:$AI$1843,$CC$7:$CC$1843,CC961,$AL$7:$AL$1843,AL961,$BT$7:$BT$1843,"&lt;="&amp;BT961),"")</f>
        <v>12733.3875669999</v>
      </c>
      <c r="AN961" s="58" t="n">
        <f aca="false">IF(AM961="",0,MAX(0,MIN(1,(IF(CC961="L1",Parameter!$H$5,IF(CC961="L23",Parameter!$H$6+Parameter!$H$7,Parameter!$H$5+Parameter!$H$6+Parameter!$H$7))-(AM961-AI961))/AI961)))</f>
        <v>1</v>
      </c>
      <c r="AO961" s="50" t="n">
        <f aca="false">IF(LEFT(Cockpit!$I$5,1)="A",H961,IF(CE961=1,CF961,IF(LEFT(Cockpit!$I$5,1)="B",AT961,MAX(AT961,H961))))</f>
        <v>6</v>
      </c>
      <c r="AP961" s="50" t="n">
        <f aca="false">IF(BW961=1,0,ROUNDUP(AO961/BV961,0))</f>
        <v>1</v>
      </c>
      <c r="AQ961" s="52" t="n">
        <f aca="false">IF(CL961&gt;0,CL961*MAX(1,AO961/X961),IF(BW961=1,IF(AO961&lt;=0,0,CA961*MAX(1,IF(H961&gt;0,AO961/H961,1))),IF(R961&gt;0,AP961/R961,0))/MAX(0.1,N(Parameter!$M$21)))</f>
        <v>0.0384615384615385</v>
      </c>
      <c r="AR961" s="50" t="n">
        <f aca="false">AQ961*BY961</f>
        <v>5.96153846153846</v>
      </c>
      <c r="AS961" s="50" t="n">
        <f aca="false">AO961*G961</f>
        <v>403.44</v>
      </c>
      <c r="AT961" s="50" t="n">
        <f aca="false">ROUNDUP(MAX(J961/IF(CD961&gt;0,CD961,MAX(0.1,N(Cockpit!$I$6))),CG961)/BV961,0)*BV961</f>
        <v>6</v>
      </c>
      <c r="AU961" s="51" t="n">
        <f aca="false">IF(AR961&gt;0,J961/AR961,-1)</f>
        <v>0.167741935483871</v>
      </c>
      <c r="AV961" s="51" t="n">
        <f aca="false">IF(AND(OR(CC961="L1",CC961="L23",CC961="LIFT"),AR961&gt;0),SUMIFS($AR$7:$AR$1843,$CC$7:$CC$1843,CC961,$AU$7:$AU$1843,"&gt;"&amp;AU961)+SUMIFS($AR$7:$AR$1843,$CC$7:$CC$1843,CC961,$AU$7:$AU$1843,AU961,$BT$7:$BT$1843,"&lt;="&amp;BT961),"")</f>
        <v>19314.461996337</v>
      </c>
      <c r="AW961" s="58" t="n">
        <f aca="false">IF(AV961="",0,MAX(0,MIN(1,(IF(CC961="L1",Parameter!$H$5,IF(CC961="L23",Parameter!$H$6+Parameter!$H$7,Parameter!$H$5+Parameter!$H$6+Parameter!$H$7))-(AV961-AR961))/AR961)))</f>
        <v>1</v>
      </c>
      <c r="AX961" s="50" t="n">
        <f aca="false">IF(LEFT(Cockpit!$O$5,1)="A",H961,IF(CE961=1,CF961,IF(LEFT(Cockpit!$O$5,1)="B",BC961,MAX(BC961,H961))))</f>
        <v>6</v>
      </c>
      <c r="AY961" s="50" t="n">
        <f aca="false">IF(BW961=1,0,ROUNDUP(AX961/BV961,0))</f>
        <v>1</v>
      </c>
      <c r="AZ961" s="52" t="n">
        <f aca="false">IF(CL961&gt;0,CL961*MAX(1,AX961/X961),IF(BW961=1,IF(AX961&lt;=0,0,CA961*MAX(1,IF(H961&gt;0,AX961/H961,1))),IF(R961&gt;0,AY961/R961,0))/MAX(0.1,N(Parameter!$M$21)))</f>
        <v>0.0384615384615385</v>
      </c>
      <c r="BA961" s="50" t="n">
        <f aca="false">AZ961*BY961</f>
        <v>5.96153846153846</v>
      </c>
      <c r="BB961" s="50" t="n">
        <f aca="false">AX961*G961</f>
        <v>403.44</v>
      </c>
      <c r="BC961" s="50" t="n">
        <f aca="false">ROUNDUP(MAX(J961/IF(CD961&gt;0,CD961,MAX(0.1,N(Cockpit!$O$6))),CG961)/BV961,0)*BV961</f>
        <v>6</v>
      </c>
      <c r="BD961" s="51" t="n">
        <f aca="false">IF(BA961&gt;0,J961/BA961,-1)</f>
        <v>0.167741935483871</v>
      </c>
      <c r="BE961" s="51" t="n">
        <f aca="false">IF(AND(OR(CC961="L1",CC961="L23",CC961="LIFT"),BA961&gt;0),SUMIFS($BA$7:$BA$1843,$CC$7:$CC$1843,CC961,$BD$7:$BD$1843,"&gt;"&amp;BD961)+SUMIFS($BA$7:$BA$1843,$CC$7:$CC$1843,CC961,$BD$7:$BD$1843,BD961,$BT$7:$BT$1843,"&lt;="&amp;BT961),"")</f>
        <v>17340.5357142857</v>
      </c>
      <c r="BF961" s="58" t="n">
        <f aca="false">IF(BE961="",0,MAX(0,MIN(1,(IF(CC961="L1",Parameter!$H$5,IF(CC961="L23",Parameter!$H$6+Parameter!$H$7,Parameter!$H$5+Parameter!$H$6+Parameter!$H$7))-(BE961-BA961))/BA961)))</f>
        <v>1</v>
      </c>
      <c r="BG961" s="48" t="str">
        <f aca="false">IF(AI961&lt;=0,"",IF(CC961="Aussen","Aussenlager",IF(CC961="-","Nicht im Lift",IF(AN961&gt;=1,"Lift",IF(AN961&lt;=0,"Aussenlager","teilweise")))))</f>
        <v>Lift</v>
      </c>
      <c r="BH961" s="48" t="str">
        <f aca="false">IF(AR961&lt;=0,"",IF(CC961="Aussen","Aussenlager",IF(CC961="-","Nicht im Lift",IF(AW961&gt;=1,"Lift",IF(AW961&lt;=0,"Aussenlager","teilweise")))))</f>
        <v>Lift</v>
      </c>
      <c r="BI961" s="48" t="str">
        <f aca="false">IF(BA961&lt;=0,"",IF(CC961="Aussen","Aussenlager",IF(CC961="-","Nicht im Lift",IF(BF961&gt;=1,"Lift",IF(BF961&lt;=0,"Aussenlager","teilweise")))))</f>
        <v>Lift</v>
      </c>
      <c r="BJ961" s="48" t="str">
        <f aca="false">IF(A961="","",IF(BS961=1,"Neu; ","")&amp;IF(AND(BS961=0,BN961&lt;0),"negativer Bestand (Export "&amp;BN961&amp;"); ","")&amp;IF(J961&lt;=0,"Kein Verbrauch; ","")&amp;IF(CL961&gt;0,"Lift "&amp;W961&amp;" lt. Liftbericht (Fach "&amp;X961&amp;" Stk); ",IF(BX961=1,"Gebinde geschätzt ("&amp;T961&amp;"); ",IF(BW961=1,"Lose – Tablare geschätzt; ","")))&amp;IF(H961&gt;AT961,"Überbestand "&amp;ROUND(H961-AT961,0)&amp;" Stk / CHF "&amp;ROUND((H961-AT961)*G961,0)&amp;"; ","")&amp;IF(AND(CE961=1,CF961&lt;CG961),"MAX &lt; MB+LG; ","")&amp;IF(AND(CK961&gt;0,CJ961*10&gt;CK961),"zu hoch für Tablar; ","")&amp;IF(AND(BS961=0,OR(CE961=1,AA961&lt;&gt;"",U961&lt;&gt;"",V961&lt;&gt;"",AB961&lt;&gt;"")),"manuell übersteuert; ","")&amp;IF(AND(BW961=0,R961=0),"Gebinde unbekannt / Stellmass fehlt; ","")&amp;IF(AND(BW961=0,N(V961)&lt;=0,N(Q961)&lt;=0),"Menge pro Gebinde fehlt (Ist = 1 Gebinde); ","")&amp;BR961)</f>
        <v>negativer Bestand (Export -1); </v>
      </c>
      <c r="BK961" s="48"/>
      <c r="BL961" s="48"/>
      <c r="BM961" s="55"/>
      <c r="BN961" s="50" t="n">
        <v>-1</v>
      </c>
      <c r="BO961" s="50" t="n">
        <v>4</v>
      </c>
      <c r="BP961" s="49" t="n">
        <v>-67.24</v>
      </c>
      <c r="BQ961" s="50" t="n">
        <v>1</v>
      </c>
      <c r="BR961" s="48"/>
      <c r="BS961" s="53" t="n">
        <v>0</v>
      </c>
      <c r="BT961" s="53" t="n">
        <v>961</v>
      </c>
      <c r="BU961" s="48" t="str">
        <f aca="false">IF(U961&lt;&gt;"",UPPER(TRIM(U961)),IF(BX961=1,UPPER(VLOOKUP(T961,Parameter!$I$27:$K$29,2,0)),IF(P961="","LOSE",P961)))</f>
        <v>S51</v>
      </c>
      <c r="BV961" s="50" t="n">
        <f aca="false">IF(BU961="LOSE",1,IF(N(V961)&gt;0,V961,IF(BX961=1,MAX(1,N(VLOOKUP(T961,Parameter!$I$27:$K$29,3,0)),H961,N(N961)),IF(N(Q961)&gt;0,Q961,MAX(1,H961)))))</f>
        <v>6</v>
      </c>
      <c r="BW961" s="53" t="n">
        <f aca="false">IF(BU961="LOSE",1,0)</f>
        <v>0</v>
      </c>
      <c r="BX961" s="53" t="n">
        <f aca="false">IF(AND(U961="",OR(P961="",P961="LOSE"),T961&lt;&gt;"",N(S961)&lt;=0,ISNUMBER(MATCH(T961,Parameter!$I$27:$I$29,0))),1,0)</f>
        <v>0</v>
      </c>
      <c r="BY961" s="53" t="n">
        <f aca="false">IF(CL961&gt;0,INDEX(Parameter!$H$5:$H$7,W961)/INDEX(Parameter!$E$5:$E$7,W961),IF(AND(BW961=0,N(IFERROR(VLOOKUP(BU961,'Gebinde-Kategorie'!$A$5:$N$45,14,0),0))&gt;0),VLOOKUP(BU961,'Gebinde-Kategorie'!$A$5:$N$45,14,0)*10+Parameter!$M$23,Parameter!$M$24))</f>
        <v>155</v>
      </c>
      <c r="BZ961" s="48" t="str">
        <f aca="false">IF(AND(Parameter!$B$19="Ja",E961&lt;&gt;"",ISNUMBER(MATCH(E961,Parameter!$I$35:$I$52,0))),VLOOKUP(E961,Parameter!$I$35:$J$52,2,0),IFERROR(VLOOKUP(D961,Parameter!$A$35:$C$64,2,0),"Nein"))</f>
        <v>2+3</v>
      </c>
      <c r="CA961" s="52" t="n">
        <f aca="false">IF(BW961=0,0,IF(N(S961)&gt;0,S961,IFERROR(VLOOKUP(D961,Parameter!$A$35:$C$64,3,0)+0,0)))</f>
        <v>0</v>
      </c>
      <c r="CB961" s="48" t="n">
        <f aca="false">IF(AA961&lt;&gt;"",AA961,Z961)</f>
        <v>3</v>
      </c>
      <c r="CC961" s="48" t="str">
        <f aca="false">IF(OR(CB961=1,CB961=2,CB961=3),IF(Parameter!$E$27="Ja","LIFT",IF(CB961=1,"L1","L23")),IF(CB961="Aussen","Aussen","-"))</f>
        <v>LIFT</v>
      </c>
      <c r="CD961" s="59" t="n">
        <f aca="false">IF(N(AB961)&gt;0,AB961,0)</f>
        <v>0</v>
      </c>
      <c r="CE961" s="53" t="n">
        <f aca="false">IF(ISNUMBER(AE961),1,0)</f>
        <v>0</v>
      </c>
      <c r="CF961" s="50" t="n">
        <f aca="false">N(AE961)</f>
        <v>0</v>
      </c>
      <c r="CG961" s="50" t="n">
        <f aca="false">N(M961)+N(N961)</f>
        <v>1</v>
      </c>
      <c r="CH961" s="50" t="n">
        <f aca="false">ROUNDUP(H961/BV961,0)</f>
        <v>1</v>
      </c>
      <c r="CI961" s="50" t="n">
        <f aca="false">ROUNDUP(CF961/BV961,0)</f>
        <v>0</v>
      </c>
      <c r="CJ961" s="53" t="n">
        <f aca="false">IF(BW961=1,0,IFERROR(VLOOKUP(BU961,'Gebinde-Kategorie'!$A$5:$N$45,5,0)+0,0))</f>
        <v>11</v>
      </c>
      <c r="CK961" s="53" t="n">
        <f aca="false">IFERROR(IF(OR(CB961=1,CB961=2,CB961=3),N(INDEX(Parameter!$I$5:$I$7,CB961)),0),0)</f>
        <v>0</v>
      </c>
      <c r="CL961" s="52" t="n">
        <f aca="false">IF(AND(Parameter!$B$21="Ja",ISNUMBER(W961),N(X961)&gt;0),IFERROR(N(INDEX(Parameter!$L$5:$L$7,W961))*INDEX(Parameter!$E$5:$E$7,W961)*X961/SUMIFS($X$7:$X$1843,$W$7:$W$1843,W961),0),0)</f>
        <v>0</v>
      </c>
    </row>
    <row r="962" customFormat="false" ht="15" hidden="false" customHeight="false" outlineLevel="0" collapsed="false">
      <c r="A962" s="48" t="s">
        <v>1794</v>
      </c>
      <c r="B962" s="48" t="s">
        <v>1795</v>
      </c>
      <c r="C962" s="48" t="s">
        <v>168</v>
      </c>
      <c r="D962" s="48" t="s">
        <v>188</v>
      </c>
      <c r="E962" s="48" t="s">
        <v>189</v>
      </c>
      <c r="F962" s="48" t="s">
        <v>222</v>
      </c>
      <c r="G962" s="49" t="n">
        <v>68.34</v>
      </c>
      <c r="H962" s="50" t="n">
        <f aca="false">MAX(0,IF(AND(Parameter!$B$21="Ja",ISNUMBER(Y962)),Y962,IF(Parameter!$B$20="Jahresanfang 2025 + Export",BO962+BN962,BN962)))</f>
        <v>7</v>
      </c>
      <c r="I962" s="50" t="n">
        <f aca="false">H962*G962</f>
        <v>478.38</v>
      </c>
      <c r="J962" s="50" t="n">
        <f aca="false">BQ962*Parameter!$B$18</f>
        <v>3</v>
      </c>
      <c r="K962" s="51" t="n">
        <v>7</v>
      </c>
      <c r="L962" s="52" t="n">
        <v>0.428571428571429</v>
      </c>
      <c r="M962" s="50" t="n">
        <v>0</v>
      </c>
      <c r="N962" s="50" t="n">
        <v>5</v>
      </c>
      <c r="O962" s="53" t="n">
        <v>14</v>
      </c>
      <c r="P962" s="48" t="s">
        <v>297</v>
      </c>
      <c r="Q962" s="50" t="n">
        <v>13</v>
      </c>
      <c r="R962" s="53" t="n">
        <f aca="false">IF(BW962=1,0,IFERROR(VLOOKUP(BU962,'Gebinde-Kategorie'!$A$5:$N$45,13,0)+0,0))</f>
        <v>12</v>
      </c>
      <c r="S962" s="54"/>
      <c r="T962" s="55"/>
      <c r="U962" s="55"/>
      <c r="V962" s="55"/>
      <c r="W962" s="48"/>
      <c r="X962" s="50"/>
      <c r="Y962" s="50"/>
      <c r="Z962" s="48" t="n">
        <f aca="false">IF(A962="","",IF(AND(Parameter!$B$21="Ja",ISNUMBER(W962)),W962,IF(BZ962="2+3",IF(ISNUMBER(SEARCH("grosser Artikel",BR962)),2,IFERROR(VLOOKUP(BU962,Parameter!$F$35:$G$64,2,0),2)),IF(OR(BZ962="Nein",BZ962=""),"-",BZ962))))</f>
        <v>2</v>
      </c>
      <c r="AA962" s="55"/>
      <c r="AB962" s="56"/>
      <c r="AC962" s="50" t="n">
        <f aca="false">AT962</f>
        <v>13</v>
      </c>
      <c r="AD962" s="50" t="n">
        <f aca="false">MAX(AT962,H962)</f>
        <v>13</v>
      </c>
      <c r="AE962" s="57"/>
      <c r="AF962" s="50" t="n">
        <f aca="false">IF(LEFT(Cockpit!$C$5,1)="A",H962,IF(CE962=1,CF962,IF(LEFT(Cockpit!$C$5,1)="B",AK962,MAX(AK962,H962))))</f>
        <v>7</v>
      </c>
      <c r="AG962" s="50" t="n">
        <f aca="false">IF(BW962=1,0,ROUNDUP(AF962/BV962,0))</f>
        <v>1</v>
      </c>
      <c r="AH962" s="52" t="n">
        <f aca="false">IF(CL962&gt;0,CL962*MAX(1,AF962/X962),IF(BW962=1,IF(AF962&lt;=0,0,CA962*MAX(1,IF(H962&gt;0,AF962/H962,1))),IF(R962&gt;0,AG962/R962,0))/MAX(0.1,N(Parameter!$M$21)))</f>
        <v>0.0833333333333333</v>
      </c>
      <c r="AI962" s="50" t="n">
        <f aca="false">AH962*BY962</f>
        <v>20.4166666666667</v>
      </c>
      <c r="AJ962" s="50" t="n">
        <f aca="false">AF962*G962</f>
        <v>478.38</v>
      </c>
      <c r="AK962" s="50" t="n">
        <f aca="false">ROUNDUP(MAX(J962/IF(CD962&gt;0,CD962,MAX(0.1,N(Cockpit!$C$6))),CG962)/BV962,0)*BV962</f>
        <v>13</v>
      </c>
      <c r="AL962" s="51" t="n">
        <f aca="false">IF(AI962&gt;0,J962/AI962,-1)</f>
        <v>0.146938775510204</v>
      </c>
      <c r="AM962" s="51" t="n">
        <f aca="false">IF(AND(OR(CC962="L1",CC962="L23",CC962="LIFT"),AI962&gt;0),SUMIFS($AI$7:$AI$1843,$CC$7:$CC$1843,CC962,$AL$7:$AL$1843,"&gt;"&amp;AL962)+SUMIFS($AI$7:$AI$1843,$CC$7:$CC$1843,CC962,$AL$7:$AL$1843,AL962,$BT$7:$BT$1843,"&lt;="&amp;BT962),"")</f>
        <v>13042.9067977691</v>
      </c>
      <c r="AN962" s="58" t="n">
        <f aca="false">IF(AM962="",0,MAX(0,MIN(1,(IF(CC962="L1",Parameter!$H$5,IF(CC962="L23",Parameter!$H$6+Parameter!$H$7,Parameter!$H$5+Parameter!$H$6+Parameter!$H$7))-(AM962-AI962))/AI962)))</f>
        <v>1</v>
      </c>
      <c r="AO962" s="50" t="n">
        <f aca="false">IF(LEFT(Cockpit!$I$5,1)="A",H962,IF(CE962=1,CF962,IF(LEFT(Cockpit!$I$5,1)="B",AT962,MAX(AT962,H962))))</f>
        <v>13</v>
      </c>
      <c r="AP962" s="50" t="n">
        <f aca="false">IF(BW962=1,0,ROUNDUP(AO962/BV962,0))</f>
        <v>1</v>
      </c>
      <c r="AQ962" s="52" t="n">
        <f aca="false">IF(CL962&gt;0,CL962*MAX(1,AO962/X962),IF(BW962=1,IF(AO962&lt;=0,0,CA962*MAX(1,IF(H962&gt;0,AO962/H962,1))),IF(R962&gt;0,AP962/R962,0))/MAX(0.1,N(Parameter!$M$21)))</f>
        <v>0.0833333333333333</v>
      </c>
      <c r="AR962" s="50" t="n">
        <f aca="false">AQ962*BY962</f>
        <v>20.4166666666667</v>
      </c>
      <c r="AS962" s="50" t="n">
        <f aca="false">AO962*G962</f>
        <v>888.42</v>
      </c>
      <c r="AT962" s="50" t="n">
        <f aca="false">ROUNDUP(MAX(J962/IF(CD962&gt;0,CD962,MAX(0.1,N(Cockpit!$I$6))),CG962)/BV962,0)*BV962</f>
        <v>13</v>
      </c>
      <c r="AU962" s="51" t="n">
        <f aca="false">IF(AR962&gt;0,J962/AR962,-1)</f>
        <v>0.146938775510204</v>
      </c>
      <c r="AV962" s="51" t="n">
        <f aca="false">IF(AND(OR(CC962="L1",CC962="L23",CC962="LIFT"),AR962&gt;0),SUMIFS($AR$7:$AR$1843,$CC$7:$CC$1843,CC962,$AU$7:$AU$1843,"&gt;"&amp;AU962)+SUMIFS($AR$7:$AR$1843,$CC$7:$CC$1843,CC962,$AU$7:$AU$1843,AU962,$BT$7:$BT$1843,"&lt;="&amp;BT962),"")</f>
        <v>19862.8273809524</v>
      </c>
      <c r="AW962" s="58" t="n">
        <f aca="false">IF(AV962="",0,MAX(0,MIN(1,(IF(CC962="L1",Parameter!$H$5,IF(CC962="L23",Parameter!$H$6+Parameter!$H$7,Parameter!$H$5+Parameter!$H$6+Parameter!$H$7))-(AV962-AR962))/AR962)))</f>
        <v>1</v>
      </c>
      <c r="AX962" s="50" t="n">
        <f aca="false">IF(LEFT(Cockpit!$O$5,1)="A",H962,IF(CE962=1,CF962,IF(LEFT(Cockpit!$O$5,1)="B",BC962,MAX(BC962,H962))))</f>
        <v>13</v>
      </c>
      <c r="AY962" s="50" t="n">
        <f aca="false">IF(BW962=1,0,ROUNDUP(AX962/BV962,0))</f>
        <v>1</v>
      </c>
      <c r="AZ962" s="52" t="n">
        <f aca="false">IF(CL962&gt;0,CL962*MAX(1,AX962/X962),IF(BW962=1,IF(AX962&lt;=0,0,CA962*MAX(1,IF(H962&gt;0,AX962/H962,1))),IF(R962&gt;0,AY962/R962,0))/MAX(0.1,N(Parameter!$M$21)))</f>
        <v>0.0833333333333333</v>
      </c>
      <c r="BA962" s="50" t="n">
        <f aca="false">AZ962*BY962</f>
        <v>20.4166666666667</v>
      </c>
      <c r="BB962" s="50" t="n">
        <f aca="false">AX962*G962</f>
        <v>888.42</v>
      </c>
      <c r="BC962" s="50" t="n">
        <f aca="false">ROUNDUP(MAX(J962/IF(CD962&gt;0,CD962,MAX(0.1,N(Cockpit!$O$6))),CG962)/BV962,0)*BV962</f>
        <v>13</v>
      </c>
      <c r="BD962" s="51" t="n">
        <f aca="false">IF(BA962&gt;0,J962/BA962,-1)</f>
        <v>0.146938775510204</v>
      </c>
      <c r="BE962" s="51" t="n">
        <f aca="false">IF(AND(OR(CC962="L1",CC962="L23",CC962="LIFT"),BA962&gt;0),SUMIFS($BA$7:$BA$1843,$CC$7:$CC$1843,CC962,$BD$7:$BD$1843,"&gt;"&amp;BD962)+SUMIFS($BA$7:$BA$1843,$CC$7:$CC$1843,CC962,$BD$7:$BD$1843,BD962,$BT$7:$BT$1843,"&lt;="&amp;BT962),"")</f>
        <v>18884.2565602947</v>
      </c>
      <c r="BF962" s="58" t="n">
        <f aca="false">IF(BE962="",0,MAX(0,MIN(1,(IF(CC962="L1",Parameter!$H$5,IF(CC962="L23",Parameter!$H$6+Parameter!$H$7,Parameter!$H$5+Parameter!$H$6+Parameter!$H$7))-(BE962-BA962))/BA962)))</f>
        <v>1</v>
      </c>
      <c r="BG962" s="48" t="str">
        <f aca="false">IF(AI962&lt;=0,"",IF(CC962="Aussen","Aussenlager",IF(CC962="-","Nicht im Lift",IF(AN962&gt;=1,"Lift",IF(AN962&lt;=0,"Aussenlager","teilweise")))))</f>
        <v>Lift</v>
      </c>
      <c r="BH962" s="48" t="str">
        <f aca="false">IF(AR962&lt;=0,"",IF(CC962="Aussen","Aussenlager",IF(CC962="-","Nicht im Lift",IF(AW962&gt;=1,"Lift",IF(AW962&lt;=0,"Aussenlager","teilweise")))))</f>
        <v>Lift</v>
      </c>
      <c r="BI962" s="48" t="str">
        <f aca="false">IF(BA962&lt;=0,"",IF(CC962="Aussen","Aussenlager",IF(CC962="-","Nicht im Lift",IF(BF962&gt;=1,"Lift",IF(BF962&lt;=0,"Aussenlager","teilweise")))))</f>
        <v>Lift</v>
      </c>
      <c r="BJ962" s="48" t="str">
        <f aca="false">IF(A962="","",IF(BS962=1,"Neu; ","")&amp;IF(AND(BS962=0,BN962&lt;0),"negativer Bestand (Export "&amp;BN962&amp;"); ","")&amp;IF(J962&lt;=0,"Kein Verbrauch; ","")&amp;IF(CL962&gt;0,"Lift "&amp;W962&amp;" lt. Liftbericht (Fach "&amp;X962&amp;" Stk); ",IF(BX962=1,"Gebinde geschätzt ("&amp;T962&amp;"); ",IF(BW962=1,"Lose – Tablare geschätzt; ","")))&amp;IF(H962&gt;AT962,"Überbestand "&amp;ROUND(H962-AT962,0)&amp;" Stk / CHF "&amp;ROUND((H962-AT962)*G962,0)&amp;"; ","")&amp;IF(AND(CE962=1,CF962&lt;CG962),"MAX &lt; MB+LG; ","")&amp;IF(AND(CK962&gt;0,CJ962*10&gt;CK962),"zu hoch für Tablar; ","")&amp;IF(AND(BS962=0,OR(CE962=1,AA962&lt;&gt;"",U962&lt;&gt;"",V962&lt;&gt;"",AB962&lt;&gt;"")),"manuell übersteuert; ","")&amp;IF(AND(BW962=0,R962=0),"Gebinde unbekannt / Stellmass fehlt; ","")&amp;IF(AND(BW962=0,N(V962)&lt;=0,N(Q962)&lt;=0),"Menge pro Gebinde fehlt (Ist = 1 Gebinde); ","")&amp;BR962)</f>
        <v>negativer Bestand (Export -1); </v>
      </c>
      <c r="BK962" s="48"/>
      <c r="BL962" s="48"/>
      <c r="BM962" s="55"/>
      <c r="BN962" s="50" t="n">
        <v>-1</v>
      </c>
      <c r="BO962" s="50" t="n">
        <v>8</v>
      </c>
      <c r="BP962" s="49" t="n">
        <v>-68.34</v>
      </c>
      <c r="BQ962" s="50" t="n">
        <v>3</v>
      </c>
      <c r="BR962" s="48"/>
      <c r="BS962" s="53" t="n">
        <v>0</v>
      </c>
      <c r="BT962" s="53" t="n">
        <v>962</v>
      </c>
      <c r="BU962" s="48" t="str">
        <f aca="false">IF(U962&lt;&gt;"",UPPER(TRIM(U962)),IF(BX962=1,UPPER(VLOOKUP(T962,Parameter!$I$27:$K$29,2,0)),IF(P962="","LOSE",P962)))</f>
        <v>S62</v>
      </c>
      <c r="BV962" s="50" t="n">
        <f aca="false">IF(BU962="LOSE",1,IF(N(V962)&gt;0,V962,IF(BX962=1,MAX(1,N(VLOOKUP(T962,Parameter!$I$27:$K$29,3,0)),H962,N(N962)),IF(N(Q962)&gt;0,Q962,MAX(1,H962)))))</f>
        <v>13</v>
      </c>
      <c r="BW962" s="53" t="n">
        <f aca="false">IF(BU962="LOSE",1,0)</f>
        <v>0</v>
      </c>
      <c r="BX962" s="53" t="n">
        <f aca="false">IF(AND(U962="",OR(P962="",P962="LOSE"),T962&lt;&gt;"",N(S962)&lt;=0,ISNUMBER(MATCH(T962,Parameter!$I$27:$I$29,0))),1,0)</f>
        <v>0</v>
      </c>
      <c r="BY962" s="53" t="n">
        <f aca="false">IF(CL962&gt;0,INDEX(Parameter!$H$5:$H$7,W962)/INDEX(Parameter!$E$5:$E$7,W962),IF(AND(BW962=0,N(IFERROR(VLOOKUP(BU962,'Gebinde-Kategorie'!$A$5:$N$45,14,0),0))&gt;0),VLOOKUP(BU962,'Gebinde-Kategorie'!$A$5:$N$45,14,0)*10+Parameter!$M$23,Parameter!$M$24))</f>
        <v>245</v>
      </c>
      <c r="BZ962" s="48" t="str">
        <f aca="false">IF(AND(Parameter!$B$19="Ja",E962&lt;&gt;"",ISNUMBER(MATCH(E962,Parameter!$I$35:$I$52,0))),VLOOKUP(E962,Parameter!$I$35:$J$52,2,0),IFERROR(VLOOKUP(D962,Parameter!$A$35:$C$64,2,0),"Nein"))</f>
        <v>2+3</v>
      </c>
      <c r="CA962" s="52" t="n">
        <f aca="false">IF(BW962=0,0,IF(N(S962)&gt;0,S962,IFERROR(VLOOKUP(D962,Parameter!$A$35:$C$64,3,0)+0,0)))</f>
        <v>0</v>
      </c>
      <c r="CB962" s="48" t="n">
        <f aca="false">IF(AA962&lt;&gt;"",AA962,Z962)</f>
        <v>2</v>
      </c>
      <c r="CC962" s="48" t="str">
        <f aca="false">IF(OR(CB962=1,CB962=2,CB962=3),IF(Parameter!$E$27="Ja","LIFT",IF(CB962=1,"L1","L23")),IF(CB962="Aussen","Aussen","-"))</f>
        <v>LIFT</v>
      </c>
      <c r="CD962" s="59" t="n">
        <f aca="false">IF(N(AB962)&gt;0,AB962,0)</f>
        <v>0</v>
      </c>
      <c r="CE962" s="53" t="n">
        <f aca="false">IF(ISNUMBER(AE962),1,0)</f>
        <v>0</v>
      </c>
      <c r="CF962" s="50" t="n">
        <f aca="false">N(AE962)</f>
        <v>0</v>
      </c>
      <c r="CG962" s="50" t="n">
        <f aca="false">N(M962)+N(N962)</f>
        <v>5</v>
      </c>
      <c r="CH962" s="50" t="n">
        <f aca="false">ROUNDUP(H962/BV962,0)</f>
        <v>1</v>
      </c>
      <c r="CI962" s="50" t="n">
        <f aca="false">ROUNDUP(CF962/BV962,0)</f>
        <v>0</v>
      </c>
      <c r="CJ962" s="53" t="n">
        <f aca="false">IF(BW962=1,0,IFERROR(VLOOKUP(BU962,'Gebinde-Kategorie'!$A$5:$N$45,5,0)+0,0))</f>
        <v>21</v>
      </c>
      <c r="CK962" s="53" t="n">
        <f aca="false">IFERROR(IF(OR(CB962=1,CB962=2,CB962=3),N(INDEX(Parameter!$I$5:$I$7,CB962)),0),0)</f>
        <v>0</v>
      </c>
      <c r="CL962" s="52" t="n">
        <f aca="false">IF(AND(Parameter!$B$21="Ja",ISNUMBER(W962),N(X962)&gt;0),IFERROR(N(INDEX(Parameter!$L$5:$L$7,W962))*INDEX(Parameter!$E$5:$E$7,W962)*X962/SUMIFS($X$7:$X$1843,$W$7:$W$1843,W962),0),0)</f>
        <v>0</v>
      </c>
    </row>
    <row r="963" customFormat="false" ht="15" hidden="false" customHeight="false" outlineLevel="0" collapsed="false">
      <c r="A963" s="48" t="s">
        <v>1796</v>
      </c>
      <c r="B963" s="48" t="s">
        <v>493</v>
      </c>
      <c r="C963" s="48" t="s">
        <v>168</v>
      </c>
      <c r="D963" s="48" t="s">
        <v>188</v>
      </c>
      <c r="E963" s="48" t="s">
        <v>189</v>
      </c>
      <c r="F963" s="48" t="s">
        <v>222</v>
      </c>
      <c r="G963" s="49" t="n">
        <v>1.22</v>
      </c>
      <c r="H963" s="50" t="n">
        <f aca="false">MAX(0,IF(AND(Parameter!$B$21="Ja",ISNUMBER(Y963)),Y963,IF(Parameter!$B$20="Jahresanfang 2025 + Export",BO963+BN963,BN963)))</f>
        <v>187</v>
      </c>
      <c r="I963" s="50" t="n">
        <f aca="false">H963*G963</f>
        <v>228.14</v>
      </c>
      <c r="J963" s="50" t="n">
        <f aca="false">BQ963*Parameter!$B$18</f>
        <v>422</v>
      </c>
      <c r="K963" s="51" t="n">
        <v>345.5</v>
      </c>
      <c r="L963" s="52" t="n">
        <v>1.22141823444284</v>
      </c>
      <c r="M963" s="50" t="n">
        <v>16</v>
      </c>
      <c r="N963" s="50" t="n">
        <v>420</v>
      </c>
      <c r="O963" s="53" t="n">
        <v>14</v>
      </c>
      <c r="P963" s="48" t="s">
        <v>306</v>
      </c>
      <c r="Q963" s="50" t="n">
        <v>621</v>
      </c>
      <c r="R963" s="53" t="n">
        <f aca="false">IF(BW963=1,0,IFERROR(VLOOKUP(BU963,'Gebinde-Kategorie'!$A$5:$N$45,13,0)+0,0))</f>
        <v>26</v>
      </c>
      <c r="S963" s="54"/>
      <c r="T963" s="55"/>
      <c r="U963" s="55"/>
      <c r="V963" s="55"/>
      <c r="W963" s="48"/>
      <c r="X963" s="50"/>
      <c r="Y963" s="50"/>
      <c r="Z963" s="48" t="n">
        <f aca="false">IF(A963="","",IF(AND(Parameter!$B$21="Ja",ISNUMBER(W963)),W963,IF(BZ963="2+3",IF(ISNUMBER(SEARCH("grosser Artikel",BR963)),2,IFERROR(VLOOKUP(BU963,Parameter!$F$35:$G$64,2,0),2)),IF(OR(BZ963="Nein",BZ963=""),"-",BZ963))))</f>
        <v>3</v>
      </c>
      <c r="AA963" s="55"/>
      <c r="AB963" s="56"/>
      <c r="AC963" s="50" t="n">
        <f aca="false">AT963</f>
        <v>621</v>
      </c>
      <c r="AD963" s="50" t="n">
        <f aca="false">MAX(AT963,H963)</f>
        <v>621</v>
      </c>
      <c r="AE963" s="57"/>
      <c r="AF963" s="50" t="n">
        <f aca="false">IF(LEFT(Cockpit!$C$5,1)="A",H963,IF(CE963=1,CF963,IF(LEFT(Cockpit!$C$5,1)="B",AK963,MAX(AK963,H963))))</f>
        <v>187</v>
      </c>
      <c r="AG963" s="50" t="n">
        <f aca="false">IF(BW963=1,0,ROUNDUP(AF963/BV963,0))</f>
        <v>1</v>
      </c>
      <c r="AH963" s="52" t="n">
        <f aca="false">IF(CL963&gt;0,CL963*MAX(1,AF963/X963),IF(BW963=1,IF(AF963&lt;=0,0,CA963*MAX(1,IF(H963&gt;0,AF963/H963,1))),IF(R963&gt;0,AG963/R963,0))/MAX(0.1,N(Parameter!$M$21)))</f>
        <v>0.0384615384615385</v>
      </c>
      <c r="AI963" s="50" t="n">
        <f aca="false">AH963*BY963</f>
        <v>5.96153846153846</v>
      </c>
      <c r="AJ963" s="50" t="n">
        <f aca="false">AF963*G963</f>
        <v>228.14</v>
      </c>
      <c r="AK963" s="50" t="n">
        <f aca="false">ROUNDUP(MAX(J963/IF(CD963&gt;0,CD963,MAX(0.1,N(Cockpit!$C$6))),CG963)/BV963,0)*BV963</f>
        <v>621</v>
      </c>
      <c r="AL963" s="51" t="n">
        <f aca="false">IF(AI963&gt;0,J963/AI963,-1)</f>
        <v>70.7870967741935</v>
      </c>
      <c r="AM963" s="51" t="n">
        <f aca="false">IF(AND(OR(CC963="L1",CC963="L23",CC963="LIFT"),AI963&gt;0),SUMIFS($AI$7:$AI$1843,$CC$7:$CC$1843,CC963,$AL$7:$AL$1843,"&gt;"&amp;AL963)+SUMIFS($AI$7:$AI$1843,$CC$7:$CC$1843,CC963,$AL$7:$AL$1843,AL963,$BT$7:$BT$1843,"&lt;="&amp;BT963),"")</f>
        <v>892.460164835165</v>
      </c>
      <c r="AN963" s="58" t="n">
        <f aca="false">IF(AM963="",0,MAX(0,MIN(1,(IF(CC963="L1",Parameter!$H$5,IF(CC963="L23",Parameter!$H$6+Parameter!$H$7,Parameter!$H$5+Parameter!$H$6+Parameter!$H$7))-(AM963-AI963))/AI963)))</f>
        <v>1</v>
      </c>
      <c r="AO963" s="50" t="n">
        <f aca="false">IF(LEFT(Cockpit!$I$5,1)="A",H963,IF(CE963=1,CF963,IF(LEFT(Cockpit!$I$5,1)="B",AT963,MAX(AT963,H963))))</f>
        <v>621</v>
      </c>
      <c r="AP963" s="50" t="n">
        <f aca="false">IF(BW963=1,0,ROUNDUP(AO963/BV963,0))</f>
        <v>1</v>
      </c>
      <c r="AQ963" s="52" t="n">
        <f aca="false">IF(CL963&gt;0,CL963*MAX(1,AO963/X963),IF(BW963=1,IF(AO963&lt;=0,0,CA963*MAX(1,IF(H963&gt;0,AO963/H963,1))),IF(R963&gt;0,AP963/R963,0))/MAX(0.1,N(Parameter!$M$21)))</f>
        <v>0.0384615384615385</v>
      </c>
      <c r="AR963" s="50" t="n">
        <f aca="false">AQ963*BY963</f>
        <v>5.96153846153846</v>
      </c>
      <c r="AS963" s="50" t="n">
        <f aca="false">AO963*G963</f>
        <v>757.62</v>
      </c>
      <c r="AT963" s="50" t="n">
        <f aca="false">ROUNDUP(MAX(J963/IF(CD963&gt;0,CD963,MAX(0.1,N(Cockpit!$I$6))),CG963)/BV963,0)*BV963</f>
        <v>621</v>
      </c>
      <c r="AU963" s="51" t="n">
        <f aca="false">IF(AR963&gt;0,J963/AR963,-1)</f>
        <v>70.7870967741935</v>
      </c>
      <c r="AV963" s="51" t="n">
        <f aca="false">IF(AND(OR(CC963="L1",CC963="L23",CC963="LIFT"),AR963&gt;0),SUMIFS($AR$7:$AR$1843,$CC$7:$CC$1843,CC963,$AU$7:$AU$1843,"&gt;"&amp;AU963)+SUMIFS($AR$7:$AR$1843,$CC$7:$CC$1843,CC963,$AU$7:$AU$1843,AU963,$BT$7:$BT$1843,"&lt;="&amp;BT963),"")</f>
        <v>1006.2793040293</v>
      </c>
      <c r="AW963" s="58" t="n">
        <f aca="false">IF(AV963="",0,MAX(0,MIN(1,(IF(CC963="L1",Parameter!$H$5,IF(CC963="L23",Parameter!$H$6+Parameter!$H$7,Parameter!$H$5+Parameter!$H$6+Parameter!$H$7))-(AV963-AR963))/AR963)))</f>
        <v>1</v>
      </c>
      <c r="AX963" s="50" t="n">
        <f aca="false">IF(LEFT(Cockpit!$O$5,1)="A",H963,IF(CE963=1,CF963,IF(LEFT(Cockpit!$O$5,1)="B",BC963,MAX(BC963,H963))))</f>
        <v>621</v>
      </c>
      <c r="AY963" s="50" t="n">
        <f aca="false">IF(BW963=1,0,ROUNDUP(AX963/BV963,0))</f>
        <v>1</v>
      </c>
      <c r="AZ963" s="52" t="n">
        <f aca="false">IF(CL963&gt;0,CL963*MAX(1,AX963/X963),IF(BW963=1,IF(AX963&lt;=0,0,CA963*MAX(1,IF(H963&gt;0,AX963/H963,1))),IF(R963&gt;0,AY963/R963,0))/MAX(0.1,N(Parameter!$M$21)))</f>
        <v>0.0384615384615385</v>
      </c>
      <c r="BA963" s="50" t="n">
        <f aca="false">AZ963*BY963</f>
        <v>5.96153846153846</v>
      </c>
      <c r="BB963" s="50" t="n">
        <f aca="false">AX963*G963</f>
        <v>757.62</v>
      </c>
      <c r="BC963" s="50" t="n">
        <f aca="false">ROUNDUP(MAX(J963/IF(CD963&gt;0,CD963,MAX(0.1,N(Cockpit!$O$6))),CG963)/BV963,0)*BV963</f>
        <v>621</v>
      </c>
      <c r="BD963" s="51" t="n">
        <f aca="false">IF(BA963&gt;0,J963/BA963,-1)</f>
        <v>70.7870967741935</v>
      </c>
      <c r="BE963" s="51" t="n">
        <f aca="false">IF(AND(OR(CC963="L1",CC963="L23",CC963="LIFT"),BA963&gt;0),SUMIFS($BA$7:$BA$1843,$CC$7:$CC$1843,CC963,$BD$7:$BD$1843,"&gt;"&amp;BD963)+SUMIFS($BA$7:$BA$1843,$CC$7:$CC$1843,CC963,$BD$7:$BD$1843,BD963,$BT$7:$BT$1843,"&lt;="&amp;BT963),"")</f>
        <v>1113.69917582418</v>
      </c>
      <c r="BF963" s="58" t="n">
        <f aca="false">IF(BE963="",0,MAX(0,MIN(1,(IF(CC963="L1",Parameter!$H$5,IF(CC963="L23",Parameter!$H$6+Parameter!$H$7,Parameter!$H$5+Parameter!$H$6+Parameter!$H$7))-(BE963-BA963))/BA963)))</f>
        <v>1</v>
      </c>
      <c r="BG963" s="48" t="str">
        <f aca="false">IF(AI963&lt;=0,"",IF(CC963="Aussen","Aussenlager",IF(CC963="-","Nicht im Lift",IF(AN963&gt;=1,"Lift",IF(AN963&lt;=0,"Aussenlager","teilweise")))))</f>
        <v>Lift</v>
      </c>
      <c r="BH963" s="48" t="str">
        <f aca="false">IF(AR963&lt;=0,"",IF(CC963="Aussen","Aussenlager",IF(CC963="-","Nicht im Lift",IF(AW963&gt;=1,"Lift",IF(AW963&lt;=0,"Aussenlager","teilweise")))))</f>
        <v>Lift</v>
      </c>
      <c r="BI963" s="48" t="str">
        <f aca="false">IF(BA963&lt;=0,"",IF(CC963="Aussen","Aussenlager",IF(CC963="-","Nicht im Lift",IF(BF963&gt;=1,"Lift",IF(BF963&lt;=0,"Aussenlager","teilweise")))))</f>
        <v>Lift</v>
      </c>
      <c r="BJ963" s="48" t="str">
        <f aca="false">IF(A963="","",IF(BS963=1,"Neu; ","")&amp;IF(AND(BS963=0,BN963&lt;0),"negativer Bestand (Export "&amp;BN963&amp;"); ","")&amp;IF(J963&lt;=0,"Kein Verbrauch; ","")&amp;IF(CL963&gt;0,"Lift "&amp;W963&amp;" lt. Liftbericht (Fach "&amp;X963&amp;" Stk); ",IF(BX963=1,"Gebinde geschätzt ("&amp;T963&amp;"); ",IF(BW963=1,"Lose – Tablare geschätzt; ","")))&amp;IF(H963&gt;AT963,"Überbestand "&amp;ROUND(H963-AT963,0)&amp;" Stk / CHF "&amp;ROUND((H963-AT963)*G963,0)&amp;"; ","")&amp;IF(AND(CE963=1,CF963&lt;CG963),"MAX &lt; MB+LG; ","")&amp;IF(AND(CK963&gt;0,CJ963*10&gt;CK963),"zu hoch für Tablar; ","")&amp;IF(AND(BS963=0,OR(CE963=1,AA963&lt;&gt;"",U963&lt;&gt;"",V963&lt;&gt;"",AB963&lt;&gt;"")),"manuell übersteuert; ","")&amp;IF(AND(BW963=0,R963=0),"Gebinde unbekannt / Stellmass fehlt; ","")&amp;IF(AND(BW963=0,N(V963)&lt;=0,N(Q963)&lt;=0),"Menge pro Gebinde fehlt (Ist = 1 Gebinde); ","")&amp;BR963)</f>
        <v>negativer Bestand (Export -65); </v>
      </c>
      <c r="BK963" s="48"/>
      <c r="BL963" s="48"/>
      <c r="BM963" s="55"/>
      <c r="BN963" s="50" t="n">
        <v>-65</v>
      </c>
      <c r="BO963" s="50" t="n">
        <v>252</v>
      </c>
      <c r="BP963" s="49" t="n">
        <v>-69.22</v>
      </c>
      <c r="BQ963" s="50" t="n">
        <v>422</v>
      </c>
      <c r="BR963" s="48"/>
      <c r="BS963" s="53" t="n">
        <v>0</v>
      </c>
      <c r="BT963" s="53" t="n">
        <v>963</v>
      </c>
      <c r="BU963" s="48" t="str">
        <f aca="false">IF(U963&lt;&gt;"",UPPER(TRIM(U963)),IF(BX963=1,UPPER(VLOOKUP(T963,Parameter!$I$27:$K$29,2,0)),IF(P963="","LOSE",P963)))</f>
        <v>S51</v>
      </c>
      <c r="BV963" s="50" t="n">
        <f aca="false">IF(BU963="LOSE",1,IF(N(V963)&gt;0,V963,IF(BX963=1,MAX(1,N(VLOOKUP(T963,Parameter!$I$27:$K$29,3,0)),H963,N(N963)),IF(N(Q963)&gt;0,Q963,MAX(1,H963)))))</f>
        <v>621</v>
      </c>
      <c r="BW963" s="53" t="n">
        <f aca="false">IF(BU963="LOSE",1,0)</f>
        <v>0</v>
      </c>
      <c r="BX963" s="53" t="n">
        <f aca="false">IF(AND(U963="",OR(P963="",P963="LOSE"),T963&lt;&gt;"",N(S963)&lt;=0,ISNUMBER(MATCH(T963,Parameter!$I$27:$I$29,0))),1,0)</f>
        <v>0</v>
      </c>
      <c r="BY963" s="53" t="n">
        <f aca="false">IF(CL963&gt;0,INDEX(Parameter!$H$5:$H$7,W963)/INDEX(Parameter!$E$5:$E$7,W963),IF(AND(BW963=0,N(IFERROR(VLOOKUP(BU963,'Gebinde-Kategorie'!$A$5:$N$45,14,0),0))&gt;0),VLOOKUP(BU963,'Gebinde-Kategorie'!$A$5:$N$45,14,0)*10+Parameter!$M$23,Parameter!$M$24))</f>
        <v>155</v>
      </c>
      <c r="BZ963" s="48" t="str">
        <f aca="false">IF(AND(Parameter!$B$19="Ja",E963&lt;&gt;"",ISNUMBER(MATCH(E963,Parameter!$I$35:$I$52,0))),VLOOKUP(E963,Parameter!$I$35:$J$52,2,0),IFERROR(VLOOKUP(D963,Parameter!$A$35:$C$64,2,0),"Nein"))</f>
        <v>2+3</v>
      </c>
      <c r="CA963" s="52" t="n">
        <f aca="false">IF(BW963=0,0,IF(N(S963)&gt;0,S963,IFERROR(VLOOKUP(D963,Parameter!$A$35:$C$64,3,0)+0,0)))</f>
        <v>0</v>
      </c>
      <c r="CB963" s="48" t="n">
        <f aca="false">IF(AA963&lt;&gt;"",AA963,Z963)</f>
        <v>3</v>
      </c>
      <c r="CC963" s="48" t="str">
        <f aca="false">IF(OR(CB963=1,CB963=2,CB963=3),IF(Parameter!$E$27="Ja","LIFT",IF(CB963=1,"L1","L23")),IF(CB963="Aussen","Aussen","-"))</f>
        <v>LIFT</v>
      </c>
      <c r="CD963" s="59" t="n">
        <f aca="false">IF(N(AB963)&gt;0,AB963,0)</f>
        <v>0</v>
      </c>
      <c r="CE963" s="53" t="n">
        <f aca="false">IF(ISNUMBER(AE963),1,0)</f>
        <v>0</v>
      </c>
      <c r="CF963" s="50" t="n">
        <f aca="false">N(AE963)</f>
        <v>0</v>
      </c>
      <c r="CG963" s="50" t="n">
        <f aca="false">N(M963)+N(N963)</f>
        <v>436</v>
      </c>
      <c r="CH963" s="50" t="n">
        <f aca="false">ROUNDUP(H963/BV963,0)</f>
        <v>1</v>
      </c>
      <c r="CI963" s="50" t="n">
        <f aca="false">ROUNDUP(CF963/BV963,0)</f>
        <v>0</v>
      </c>
      <c r="CJ963" s="53" t="n">
        <f aca="false">IF(BW963=1,0,IFERROR(VLOOKUP(BU963,'Gebinde-Kategorie'!$A$5:$N$45,5,0)+0,0))</f>
        <v>11</v>
      </c>
      <c r="CK963" s="53" t="n">
        <f aca="false">IFERROR(IF(OR(CB963=1,CB963=2,CB963=3),N(INDEX(Parameter!$I$5:$I$7,CB963)),0),0)</f>
        <v>0</v>
      </c>
      <c r="CL963" s="52" t="n">
        <f aca="false">IF(AND(Parameter!$B$21="Ja",ISNUMBER(W963),N(X963)&gt;0),IFERROR(N(INDEX(Parameter!$L$5:$L$7,W963))*INDEX(Parameter!$E$5:$E$7,W963)*X963/SUMIFS($X$7:$X$1843,$W$7:$W$1843,W963),0),0)</f>
        <v>0</v>
      </c>
    </row>
    <row r="964" customFormat="false" ht="15" hidden="false" customHeight="false" outlineLevel="0" collapsed="false">
      <c r="A964" s="48" t="s">
        <v>1797</v>
      </c>
      <c r="B964" s="48" t="s">
        <v>493</v>
      </c>
      <c r="C964" s="48" t="s">
        <v>168</v>
      </c>
      <c r="D964" s="48" t="s">
        <v>188</v>
      </c>
      <c r="E964" s="48" t="s">
        <v>189</v>
      </c>
      <c r="F964" s="48" t="s">
        <v>222</v>
      </c>
      <c r="G964" s="49" t="n">
        <v>1.74</v>
      </c>
      <c r="H964" s="50" t="n">
        <f aca="false">MAX(0,IF(AND(Parameter!$B$21="Ja",ISNUMBER(Y964)),Y964,IF(Parameter!$B$20="Jahresanfang 2025 + Export",BO964+BN964,BN964)))</f>
        <v>54</v>
      </c>
      <c r="I964" s="50" t="n">
        <f aca="false">H964*G964</f>
        <v>93.96</v>
      </c>
      <c r="J964" s="50" t="n">
        <f aca="false">BQ964*Parameter!$B$18</f>
        <v>272</v>
      </c>
      <c r="K964" s="51" t="n">
        <v>157</v>
      </c>
      <c r="L964" s="52" t="n">
        <v>1.73248407643312</v>
      </c>
      <c r="M964" s="50" t="n">
        <v>10</v>
      </c>
      <c r="N964" s="50" t="n">
        <v>300</v>
      </c>
      <c r="O964" s="53" t="n">
        <v>14</v>
      </c>
      <c r="P964" s="48" t="s">
        <v>480</v>
      </c>
      <c r="Q964" s="50" t="n">
        <v>486</v>
      </c>
      <c r="R964" s="53" t="n">
        <f aca="false">IF(BW964=1,0,IFERROR(VLOOKUP(BU964,'Gebinde-Kategorie'!$A$5:$N$45,13,0)+0,0))</f>
        <v>52</v>
      </c>
      <c r="S964" s="54"/>
      <c r="T964" s="55"/>
      <c r="U964" s="55"/>
      <c r="V964" s="55"/>
      <c r="W964" s="48"/>
      <c r="X964" s="50"/>
      <c r="Y964" s="50"/>
      <c r="Z964" s="48" t="n">
        <f aca="false">IF(A964="","",IF(AND(Parameter!$B$21="Ja",ISNUMBER(W964)),W964,IF(BZ964="2+3",IF(ISNUMBER(SEARCH("grosser Artikel",BR964)),2,IFERROR(VLOOKUP(BU964,Parameter!$F$35:$G$64,2,0),2)),IF(OR(BZ964="Nein",BZ964=""),"-",BZ964))))</f>
        <v>3</v>
      </c>
      <c r="AA964" s="55"/>
      <c r="AB964" s="56"/>
      <c r="AC964" s="50" t="n">
        <f aca="false">AT964</f>
        <v>486</v>
      </c>
      <c r="AD964" s="50" t="n">
        <f aca="false">MAX(AT964,H964)</f>
        <v>486</v>
      </c>
      <c r="AE964" s="57"/>
      <c r="AF964" s="50" t="n">
        <f aca="false">IF(LEFT(Cockpit!$C$5,1)="A",H964,IF(CE964=1,CF964,IF(LEFT(Cockpit!$C$5,1)="B",AK964,MAX(AK964,H964))))</f>
        <v>54</v>
      </c>
      <c r="AG964" s="50" t="n">
        <f aca="false">IF(BW964=1,0,ROUNDUP(AF964/BV964,0))</f>
        <v>1</v>
      </c>
      <c r="AH964" s="52" t="n">
        <f aca="false">IF(CL964&gt;0,CL964*MAX(1,AF964/X964),IF(BW964=1,IF(AF964&lt;=0,0,CA964*MAX(1,IF(H964&gt;0,AF964/H964,1))),IF(R964&gt;0,AG964/R964,0))/MAX(0.1,N(Parameter!$M$21)))</f>
        <v>0.0192307692307692</v>
      </c>
      <c r="AI964" s="50" t="n">
        <f aca="false">AH964*BY964</f>
        <v>2.98076923076923</v>
      </c>
      <c r="AJ964" s="50" t="n">
        <f aca="false">AF964*G964</f>
        <v>93.96</v>
      </c>
      <c r="AK964" s="50" t="n">
        <f aca="false">ROUNDUP(MAX(J964/IF(CD964&gt;0,CD964,MAX(0.1,N(Cockpit!$C$6))),CG964)/BV964,0)*BV964</f>
        <v>486</v>
      </c>
      <c r="AL964" s="51" t="n">
        <f aca="false">IF(AI964&gt;0,J964/AI964,-1)</f>
        <v>91.2516129032258</v>
      </c>
      <c r="AM964" s="51" t="n">
        <f aca="false">IF(AND(OR(CC964="L1",CC964="L23",CC964="LIFT"),AI964&gt;0),SUMIFS($AI$7:$AI$1843,$CC$7:$CC$1843,CC964,$AL$7:$AL$1843,"&gt;"&amp;AL964)+SUMIFS($AI$7:$AI$1843,$CC$7:$CC$1843,CC964,$AL$7:$AL$1843,AL964,$BT$7:$BT$1843,"&lt;="&amp;BT964),"")</f>
        <v>821.973901098901</v>
      </c>
      <c r="AN964" s="58" t="n">
        <f aca="false">IF(AM964="",0,MAX(0,MIN(1,(IF(CC964="L1",Parameter!$H$5,IF(CC964="L23",Parameter!$H$6+Parameter!$H$7,Parameter!$H$5+Parameter!$H$6+Parameter!$H$7))-(AM964-AI964))/AI964)))</f>
        <v>1</v>
      </c>
      <c r="AO964" s="50" t="n">
        <f aca="false">IF(LEFT(Cockpit!$I$5,1)="A",H964,IF(CE964=1,CF964,IF(LEFT(Cockpit!$I$5,1)="B",AT964,MAX(AT964,H964))))</f>
        <v>486</v>
      </c>
      <c r="AP964" s="50" t="n">
        <f aca="false">IF(BW964=1,0,ROUNDUP(AO964/BV964,0))</f>
        <v>1</v>
      </c>
      <c r="AQ964" s="52" t="n">
        <f aca="false">IF(CL964&gt;0,CL964*MAX(1,AO964/X964),IF(BW964=1,IF(AO964&lt;=0,0,CA964*MAX(1,IF(H964&gt;0,AO964/H964,1))),IF(R964&gt;0,AP964/R964,0))/MAX(0.1,N(Parameter!$M$21)))</f>
        <v>0.0192307692307692</v>
      </c>
      <c r="AR964" s="50" t="n">
        <f aca="false">AQ964*BY964</f>
        <v>2.98076923076923</v>
      </c>
      <c r="AS964" s="50" t="n">
        <f aca="false">AO964*G964</f>
        <v>845.64</v>
      </c>
      <c r="AT964" s="50" t="n">
        <f aca="false">ROUNDUP(MAX(J964/IF(CD964&gt;0,CD964,MAX(0.1,N(Cockpit!$I$6))),CG964)/BV964,0)*BV964</f>
        <v>486</v>
      </c>
      <c r="AU964" s="51" t="n">
        <f aca="false">IF(AR964&gt;0,J964/AR964,-1)</f>
        <v>91.2516129032258</v>
      </c>
      <c r="AV964" s="51" t="n">
        <f aca="false">IF(AND(OR(CC964="L1",CC964="L23",CC964="LIFT"),AR964&gt;0),SUMIFS($AR$7:$AR$1843,$CC$7:$CC$1843,CC964,$AU$7:$AU$1843,"&gt;"&amp;AU964)+SUMIFS($AR$7:$AR$1843,$CC$7:$CC$1843,CC964,$AU$7:$AU$1843,AU964,$BT$7:$BT$1843,"&lt;="&amp;BT964),"")</f>
        <v>926.893315018315</v>
      </c>
      <c r="AW964" s="58" t="n">
        <f aca="false">IF(AV964="",0,MAX(0,MIN(1,(IF(CC964="L1",Parameter!$H$5,IF(CC964="L23",Parameter!$H$6+Parameter!$H$7,Parameter!$H$5+Parameter!$H$6+Parameter!$H$7))-(AV964-AR964))/AR964)))</f>
        <v>1</v>
      </c>
      <c r="AX964" s="50" t="n">
        <f aca="false">IF(LEFT(Cockpit!$O$5,1)="A",H964,IF(CE964=1,CF964,IF(LEFT(Cockpit!$O$5,1)="B",BC964,MAX(BC964,H964))))</f>
        <v>486</v>
      </c>
      <c r="AY964" s="50" t="n">
        <f aca="false">IF(BW964=1,0,ROUNDUP(AX964/BV964,0))</f>
        <v>1</v>
      </c>
      <c r="AZ964" s="52" t="n">
        <f aca="false">IF(CL964&gt;0,CL964*MAX(1,AX964/X964),IF(BW964=1,IF(AX964&lt;=0,0,CA964*MAX(1,IF(H964&gt;0,AX964/H964,1))),IF(R964&gt;0,AY964/R964,0))/MAX(0.1,N(Parameter!$M$21)))</f>
        <v>0.0192307692307692</v>
      </c>
      <c r="BA964" s="50" t="n">
        <f aca="false">AZ964*BY964</f>
        <v>2.98076923076923</v>
      </c>
      <c r="BB964" s="50" t="n">
        <f aca="false">AX964*G964</f>
        <v>845.64</v>
      </c>
      <c r="BC964" s="50" t="n">
        <f aca="false">ROUNDUP(MAX(J964/IF(CD964&gt;0,CD964,MAX(0.1,N(Cockpit!$O$6))),CG964)/BV964,0)*BV964</f>
        <v>486</v>
      </c>
      <c r="BD964" s="51" t="n">
        <f aca="false">IF(BA964&gt;0,J964/BA964,-1)</f>
        <v>91.2516129032258</v>
      </c>
      <c r="BE964" s="51" t="n">
        <f aca="false">IF(AND(OR(CC964="L1",CC964="L23",CC964="LIFT"),BA964&gt;0),SUMIFS($BA$7:$BA$1843,$CC$7:$CC$1843,CC964,$BD$7:$BD$1843,"&gt;"&amp;BD964)+SUMIFS($BA$7:$BA$1843,$CC$7:$CC$1843,CC964,$BD$7:$BD$1843,BD964,$BT$7:$BT$1843,"&lt;="&amp;BT964),"")</f>
        <v>1034.31318681319</v>
      </c>
      <c r="BF964" s="58" t="n">
        <f aca="false">IF(BE964="",0,MAX(0,MIN(1,(IF(CC964="L1",Parameter!$H$5,IF(CC964="L23",Parameter!$H$6+Parameter!$H$7,Parameter!$H$5+Parameter!$H$6+Parameter!$H$7))-(BE964-BA964))/BA964)))</f>
        <v>1</v>
      </c>
      <c r="BG964" s="48" t="str">
        <f aca="false">IF(AI964&lt;=0,"",IF(CC964="Aussen","Aussenlager",IF(CC964="-","Nicht im Lift",IF(AN964&gt;=1,"Lift",IF(AN964&lt;=0,"Aussenlager","teilweise")))))</f>
        <v>Lift</v>
      </c>
      <c r="BH964" s="48" t="str">
        <f aca="false">IF(AR964&lt;=0,"",IF(CC964="Aussen","Aussenlager",IF(CC964="-","Nicht im Lift",IF(AW964&gt;=1,"Lift",IF(AW964&lt;=0,"Aussenlager","teilweise")))))</f>
        <v>Lift</v>
      </c>
      <c r="BI964" s="48" t="str">
        <f aca="false">IF(BA964&lt;=0,"",IF(CC964="Aussen","Aussenlager",IF(CC964="-","Nicht im Lift",IF(BF964&gt;=1,"Lift",IF(BF964&lt;=0,"Aussenlager","teilweise")))))</f>
        <v>Lift</v>
      </c>
      <c r="BJ964" s="48" t="str">
        <f aca="false">IF(A964="","",IF(BS964=1,"Neu; ","")&amp;IF(AND(BS964=0,BN964&lt;0),"negativer Bestand (Export "&amp;BN964&amp;"); ","")&amp;IF(J964&lt;=0,"Kein Verbrauch; ","")&amp;IF(CL964&gt;0,"Lift "&amp;W964&amp;" lt. Liftbericht (Fach "&amp;X964&amp;" Stk); ",IF(BX964=1,"Gebinde geschätzt ("&amp;T964&amp;"); ",IF(BW964=1,"Lose – Tablare geschätzt; ","")))&amp;IF(H964&gt;AT964,"Überbestand "&amp;ROUND(H964-AT964,0)&amp;" Stk / CHF "&amp;ROUND((H964-AT964)*G964,0)&amp;"; ","")&amp;IF(AND(CE964=1,CF964&lt;CG964),"MAX &lt; MB+LG; ","")&amp;IF(AND(CK964&gt;0,CJ964*10&gt;CK964),"zu hoch für Tablar; ","")&amp;IF(AND(BS964=0,OR(CE964=1,AA964&lt;&gt;"",U964&lt;&gt;"",V964&lt;&gt;"",AB964&lt;&gt;"")),"manuell übersteuert; ","")&amp;IF(AND(BW964=0,R964=0),"Gebinde unbekannt / Stellmass fehlt; ","")&amp;IF(AND(BW964=0,N(V964)&lt;=0,N(Q964)&lt;=0),"Menge pro Gebinde fehlt (Ist = 1 Gebinde); ","")&amp;BR964)</f>
        <v>negativer Bestand (Export -39); </v>
      </c>
      <c r="BK964" s="48"/>
      <c r="BL964" s="48"/>
      <c r="BM964" s="55"/>
      <c r="BN964" s="50" t="n">
        <v>-39</v>
      </c>
      <c r="BO964" s="50" t="n">
        <v>93</v>
      </c>
      <c r="BP964" s="49" t="n">
        <v>-69.3999999999999</v>
      </c>
      <c r="BQ964" s="50" t="n">
        <v>272</v>
      </c>
      <c r="BR964" s="48"/>
      <c r="BS964" s="53" t="n">
        <v>0</v>
      </c>
      <c r="BT964" s="53" t="n">
        <v>964</v>
      </c>
      <c r="BU964" s="48" t="str">
        <f aca="false">IF(U964&lt;&gt;"",UPPER(TRIM(U964)),IF(BX964=1,UPPER(VLOOKUP(T964,Parameter!$I$27:$K$29,2,0)),IF(P964="","LOSE",P964)))</f>
        <v>S33</v>
      </c>
      <c r="BV964" s="50" t="n">
        <f aca="false">IF(BU964="LOSE",1,IF(N(V964)&gt;0,V964,IF(BX964=1,MAX(1,N(VLOOKUP(T964,Parameter!$I$27:$K$29,3,0)),H964,N(N964)),IF(N(Q964)&gt;0,Q964,MAX(1,H964)))))</f>
        <v>486</v>
      </c>
      <c r="BW964" s="53" t="n">
        <f aca="false">IF(BU964="LOSE",1,0)</f>
        <v>0</v>
      </c>
      <c r="BX964" s="53" t="n">
        <f aca="false">IF(AND(U964="",OR(P964="",P964="LOSE"),T964&lt;&gt;"",N(S964)&lt;=0,ISNUMBER(MATCH(T964,Parameter!$I$27:$I$29,0))),1,0)</f>
        <v>0</v>
      </c>
      <c r="BY964" s="53" t="n">
        <f aca="false">IF(CL964&gt;0,INDEX(Parameter!$H$5:$H$7,W964)/INDEX(Parameter!$E$5:$E$7,W964),IF(AND(BW964=0,N(IFERROR(VLOOKUP(BU964,'Gebinde-Kategorie'!$A$5:$N$45,14,0),0))&gt;0),VLOOKUP(BU964,'Gebinde-Kategorie'!$A$5:$N$45,14,0)*10+Parameter!$M$23,Parameter!$M$24))</f>
        <v>155</v>
      </c>
      <c r="BZ964" s="48" t="str">
        <f aca="false">IF(AND(Parameter!$B$19="Ja",E964&lt;&gt;"",ISNUMBER(MATCH(E964,Parameter!$I$35:$I$52,0))),VLOOKUP(E964,Parameter!$I$35:$J$52,2,0),IFERROR(VLOOKUP(D964,Parameter!$A$35:$C$64,2,0),"Nein"))</f>
        <v>2+3</v>
      </c>
      <c r="CA964" s="52" t="n">
        <f aca="false">IF(BW964=0,0,IF(N(S964)&gt;0,S964,IFERROR(VLOOKUP(D964,Parameter!$A$35:$C$64,3,0)+0,0)))</f>
        <v>0</v>
      </c>
      <c r="CB964" s="48" t="n">
        <f aca="false">IF(AA964&lt;&gt;"",AA964,Z964)</f>
        <v>3</v>
      </c>
      <c r="CC964" s="48" t="str">
        <f aca="false">IF(OR(CB964=1,CB964=2,CB964=3),IF(Parameter!$E$27="Ja","LIFT",IF(CB964=1,"L1","L23")),IF(CB964="Aussen","Aussen","-"))</f>
        <v>LIFT</v>
      </c>
      <c r="CD964" s="59" t="n">
        <f aca="false">IF(N(AB964)&gt;0,AB964,0)</f>
        <v>0</v>
      </c>
      <c r="CE964" s="53" t="n">
        <f aca="false">IF(ISNUMBER(AE964),1,0)</f>
        <v>0</v>
      </c>
      <c r="CF964" s="50" t="n">
        <f aca="false">N(AE964)</f>
        <v>0</v>
      </c>
      <c r="CG964" s="50" t="n">
        <f aca="false">N(M964)+N(N964)</f>
        <v>310</v>
      </c>
      <c r="CH964" s="50" t="n">
        <f aca="false">ROUNDUP(H964/BV964,0)</f>
        <v>1</v>
      </c>
      <c r="CI964" s="50" t="n">
        <f aca="false">ROUNDUP(CF964/BV964,0)</f>
        <v>0</v>
      </c>
      <c r="CJ964" s="53" t="n">
        <f aca="false">IF(BW964=1,0,IFERROR(VLOOKUP(BU964,'Gebinde-Kategorie'!$A$5:$N$45,5,0)+0,0))</f>
        <v>8</v>
      </c>
      <c r="CK964" s="53" t="n">
        <f aca="false">IFERROR(IF(OR(CB964=1,CB964=2,CB964=3),N(INDEX(Parameter!$I$5:$I$7,CB964)),0),0)</f>
        <v>0</v>
      </c>
      <c r="CL964" s="52" t="n">
        <f aca="false">IF(AND(Parameter!$B$21="Ja",ISNUMBER(W964),N(X964)&gt;0),IFERROR(N(INDEX(Parameter!$L$5:$L$7,W964))*INDEX(Parameter!$E$5:$E$7,W964)*X964/SUMIFS($X$7:$X$1843,$W$7:$W$1843,W964),0),0)</f>
        <v>0</v>
      </c>
    </row>
    <row r="965" customFormat="false" ht="15" hidden="false" customHeight="false" outlineLevel="0" collapsed="false">
      <c r="A965" s="48" t="s">
        <v>1798</v>
      </c>
      <c r="B965" s="48" t="s">
        <v>472</v>
      </c>
      <c r="C965" s="48" t="s">
        <v>168</v>
      </c>
      <c r="D965" s="48" t="s">
        <v>188</v>
      </c>
      <c r="E965" s="48" t="s">
        <v>189</v>
      </c>
      <c r="F965" s="48" t="s">
        <v>222</v>
      </c>
      <c r="G965" s="49" t="n">
        <v>5.06</v>
      </c>
      <c r="H965" s="50" t="n">
        <f aca="false">MAX(0,IF(AND(Parameter!$B$21="Ja",ISNUMBER(Y965)),Y965,IF(Parameter!$B$20="Jahresanfang 2025 + Export",BO965+BN965,BN965)))</f>
        <v>190</v>
      </c>
      <c r="I965" s="50" t="n">
        <f aca="false">H965*G965</f>
        <v>961.4</v>
      </c>
      <c r="J965" s="50" t="n">
        <f aca="false">BQ965*Parameter!$B$18</f>
        <v>264</v>
      </c>
      <c r="K965" s="51" t="n">
        <v>130</v>
      </c>
      <c r="L965" s="52" t="n">
        <v>2.03076923076923</v>
      </c>
      <c r="M965" s="50" t="n">
        <v>10</v>
      </c>
      <c r="N965" s="50" t="n">
        <v>265</v>
      </c>
      <c r="O965" s="53" t="n">
        <v>14</v>
      </c>
      <c r="P965" s="48" t="s">
        <v>480</v>
      </c>
      <c r="Q965" s="50" t="n">
        <v>61</v>
      </c>
      <c r="R965" s="53" t="n">
        <f aca="false">IF(BW965=1,0,IFERROR(VLOOKUP(BU965,'Gebinde-Kategorie'!$A$5:$N$45,13,0)+0,0))</f>
        <v>52</v>
      </c>
      <c r="S965" s="54"/>
      <c r="T965" s="55"/>
      <c r="U965" s="55"/>
      <c r="V965" s="55"/>
      <c r="W965" s="48"/>
      <c r="X965" s="50"/>
      <c r="Y965" s="50"/>
      <c r="Z965" s="48" t="n">
        <f aca="false">IF(A965="","",IF(AND(Parameter!$B$21="Ja",ISNUMBER(W965)),W965,IF(BZ965="2+3",IF(ISNUMBER(SEARCH("grosser Artikel",BR965)),2,IFERROR(VLOOKUP(BU965,Parameter!$F$35:$G$64,2,0),2)),IF(OR(BZ965="Nein",BZ965=""),"-",BZ965))))</f>
        <v>3</v>
      </c>
      <c r="AA965" s="55"/>
      <c r="AB965" s="56"/>
      <c r="AC965" s="50" t="n">
        <f aca="false">AT965</f>
        <v>305</v>
      </c>
      <c r="AD965" s="50" t="n">
        <f aca="false">MAX(AT965,H965)</f>
        <v>305</v>
      </c>
      <c r="AE965" s="57"/>
      <c r="AF965" s="50" t="n">
        <f aca="false">IF(LEFT(Cockpit!$C$5,1)="A",H965,IF(CE965=1,CF965,IF(LEFT(Cockpit!$C$5,1)="B",AK965,MAX(AK965,H965))))</f>
        <v>190</v>
      </c>
      <c r="AG965" s="50" t="n">
        <f aca="false">IF(BW965=1,0,ROUNDUP(AF965/BV965,0))</f>
        <v>4</v>
      </c>
      <c r="AH965" s="52" t="n">
        <f aca="false">IF(CL965&gt;0,CL965*MAX(1,AF965/X965),IF(BW965=1,IF(AF965&lt;=0,0,CA965*MAX(1,IF(H965&gt;0,AF965/H965,1))),IF(R965&gt;0,AG965/R965,0))/MAX(0.1,N(Parameter!$M$21)))</f>
        <v>0.0769230769230769</v>
      </c>
      <c r="AI965" s="50" t="n">
        <f aca="false">AH965*BY965</f>
        <v>11.9230769230769</v>
      </c>
      <c r="AJ965" s="50" t="n">
        <f aca="false">AF965*G965</f>
        <v>961.4</v>
      </c>
      <c r="AK965" s="50" t="n">
        <f aca="false">ROUNDUP(MAX(J965/IF(CD965&gt;0,CD965,MAX(0.1,N(Cockpit!$C$6))),CG965)/BV965,0)*BV965</f>
        <v>305</v>
      </c>
      <c r="AL965" s="51" t="n">
        <f aca="false">IF(AI965&gt;0,J965/AI965,-1)</f>
        <v>22.141935483871</v>
      </c>
      <c r="AM965" s="51" t="n">
        <f aca="false">IF(AND(OR(CC965="L1",CC965="L23",CC965="LIFT"),AI965&gt;0),SUMIFS($AI$7:$AI$1843,$CC$7:$CC$1843,CC965,$AL$7:$AL$1843,"&gt;"&amp;AL965)+SUMIFS($AI$7:$AI$1843,$CC$7:$CC$1843,CC965,$AL$7:$AL$1843,AL965,$BT$7:$BT$1843,"&lt;="&amp;BT965),"")</f>
        <v>1613.41391941392</v>
      </c>
      <c r="AN965" s="58" t="n">
        <f aca="false">IF(AM965="",0,MAX(0,MIN(1,(IF(CC965="L1",Parameter!$H$5,IF(CC965="L23",Parameter!$H$6+Parameter!$H$7,Parameter!$H$5+Parameter!$H$6+Parameter!$H$7))-(AM965-AI965))/AI965)))</f>
        <v>1</v>
      </c>
      <c r="AO965" s="50" t="n">
        <f aca="false">IF(LEFT(Cockpit!$I$5,1)="A",H965,IF(CE965=1,CF965,IF(LEFT(Cockpit!$I$5,1)="B",AT965,MAX(AT965,H965))))</f>
        <v>305</v>
      </c>
      <c r="AP965" s="50" t="n">
        <f aca="false">IF(BW965=1,0,ROUNDUP(AO965/BV965,0))</f>
        <v>5</v>
      </c>
      <c r="AQ965" s="52" t="n">
        <f aca="false">IF(CL965&gt;0,CL965*MAX(1,AO965/X965),IF(BW965=1,IF(AO965&lt;=0,0,CA965*MAX(1,IF(H965&gt;0,AO965/H965,1))),IF(R965&gt;0,AP965/R965,0))/MAX(0.1,N(Parameter!$M$21)))</f>
        <v>0.0961538461538462</v>
      </c>
      <c r="AR965" s="50" t="n">
        <f aca="false">AQ965*BY965</f>
        <v>14.9038461538462</v>
      </c>
      <c r="AS965" s="50" t="n">
        <f aca="false">AO965*G965</f>
        <v>1543.3</v>
      </c>
      <c r="AT965" s="50" t="n">
        <f aca="false">ROUNDUP(MAX(J965/IF(CD965&gt;0,CD965,MAX(0.1,N(Cockpit!$I$6))),CG965)/BV965,0)*BV965</f>
        <v>305</v>
      </c>
      <c r="AU965" s="51" t="n">
        <f aca="false">IF(AR965&gt;0,J965/AR965,-1)</f>
        <v>17.7135483870968</v>
      </c>
      <c r="AV965" s="51" t="n">
        <f aca="false">IF(AND(OR(CC965="L1",CC965="L23",CC965="LIFT"),AR965&gt;0),SUMIFS($AR$7:$AR$1843,$CC$7:$CC$1843,CC965,$AU$7:$AU$1843,"&gt;"&amp;AU965)+SUMIFS($AR$7:$AR$1843,$CC$7:$CC$1843,CC965,$AU$7:$AU$1843,AU965,$BT$7:$BT$1843,"&lt;="&amp;BT965),"")</f>
        <v>2831.20970695971</v>
      </c>
      <c r="AW965" s="58" t="n">
        <f aca="false">IF(AV965="",0,MAX(0,MIN(1,(IF(CC965="L1",Parameter!$H$5,IF(CC965="L23",Parameter!$H$6+Parameter!$H$7,Parameter!$H$5+Parameter!$H$6+Parameter!$H$7))-(AV965-AR965))/AR965)))</f>
        <v>1</v>
      </c>
      <c r="AX965" s="50" t="n">
        <f aca="false">IF(LEFT(Cockpit!$O$5,1)="A",H965,IF(CE965=1,CF965,IF(LEFT(Cockpit!$O$5,1)="B",BC965,MAX(BC965,H965))))</f>
        <v>305</v>
      </c>
      <c r="AY965" s="50" t="n">
        <f aca="false">IF(BW965=1,0,ROUNDUP(AX965/BV965,0))</f>
        <v>5</v>
      </c>
      <c r="AZ965" s="52" t="n">
        <f aca="false">IF(CL965&gt;0,CL965*MAX(1,AX965/X965),IF(BW965=1,IF(AX965&lt;=0,0,CA965*MAX(1,IF(H965&gt;0,AX965/H965,1))),IF(R965&gt;0,AY965/R965,0))/MAX(0.1,N(Parameter!$M$21)))</f>
        <v>0.0961538461538462</v>
      </c>
      <c r="BA965" s="50" t="n">
        <f aca="false">AZ965*BY965</f>
        <v>14.9038461538462</v>
      </c>
      <c r="BB965" s="50" t="n">
        <f aca="false">AX965*G965</f>
        <v>1543.3</v>
      </c>
      <c r="BC965" s="50" t="n">
        <f aca="false">ROUNDUP(MAX(J965/IF(CD965&gt;0,CD965,MAX(0.1,N(Cockpit!$O$6))),CG965)/BV965,0)*BV965</f>
        <v>305</v>
      </c>
      <c r="BD965" s="51" t="n">
        <f aca="false">IF(BA965&gt;0,J965/BA965,-1)</f>
        <v>17.7135483870968</v>
      </c>
      <c r="BE965" s="51" t="n">
        <f aca="false">IF(AND(OR(CC965="L1",CC965="L23",CC965="LIFT"),BA965&gt;0),SUMIFS($BA$7:$BA$1843,$CC$7:$CC$1843,CC965,$BD$7:$BD$1843,"&gt;"&amp;BD965)+SUMIFS($BA$7:$BA$1843,$CC$7:$CC$1843,CC965,$BD$7:$BD$1843,BD965,$BT$7:$BT$1843,"&lt;="&amp;BT965),"")</f>
        <v>2650.64880952381</v>
      </c>
      <c r="BF965" s="58" t="n">
        <f aca="false">IF(BE965="",0,MAX(0,MIN(1,(IF(CC965="L1",Parameter!$H$5,IF(CC965="L23",Parameter!$H$6+Parameter!$H$7,Parameter!$H$5+Parameter!$H$6+Parameter!$H$7))-(BE965-BA965))/BA965)))</f>
        <v>1</v>
      </c>
      <c r="BG965" s="48" t="str">
        <f aca="false">IF(AI965&lt;=0,"",IF(CC965="Aussen","Aussenlager",IF(CC965="-","Nicht im Lift",IF(AN965&gt;=1,"Lift",IF(AN965&lt;=0,"Aussenlager","teilweise")))))</f>
        <v>Lift</v>
      </c>
      <c r="BH965" s="48" t="str">
        <f aca="false">IF(AR965&lt;=0,"",IF(CC965="Aussen","Aussenlager",IF(CC965="-","Nicht im Lift",IF(AW965&gt;=1,"Lift",IF(AW965&lt;=0,"Aussenlager","teilweise")))))</f>
        <v>Lift</v>
      </c>
      <c r="BI965" s="48" t="str">
        <f aca="false">IF(BA965&lt;=0,"",IF(CC965="Aussen","Aussenlager",IF(CC965="-","Nicht im Lift",IF(BF965&gt;=1,"Lift",IF(BF965&lt;=0,"Aussenlager","teilweise")))))</f>
        <v>Lift</v>
      </c>
      <c r="BJ965" s="48" t="str">
        <f aca="false">IF(A965="","",IF(BS965=1,"Neu; ","")&amp;IF(AND(BS965=0,BN965&lt;0),"negativer Bestand (Export "&amp;BN965&amp;"); ","")&amp;IF(J965&lt;=0,"Kein Verbrauch; ","")&amp;IF(CL965&gt;0,"Lift "&amp;W965&amp;" lt. Liftbericht (Fach "&amp;X965&amp;" Stk); ",IF(BX965=1,"Gebinde geschätzt ("&amp;T965&amp;"); ",IF(BW965=1,"Lose – Tablare geschätzt; ","")))&amp;IF(H965&gt;AT965,"Überbestand "&amp;ROUND(H965-AT965,0)&amp;" Stk / CHF "&amp;ROUND((H965-AT965)*G965,0)&amp;"; ","")&amp;IF(AND(CE965=1,CF965&lt;CG965),"MAX &lt; MB+LG; ","")&amp;IF(AND(CK965&gt;0,CJ965*10&gt;CK965),"zu hoch für Tablar; ","")&amp;IF(AND(BS965=0,OR(CE965=1,AA965&lt;&gt;"",U965&lt;&gt;"",V965&lt;&gt;"",AB965&lt;&gt;"")),"manuell übersteuert; ","")&amp;IF(AND(BW965=0,R965=0),"Gebinde unbekannt / Stellmass fehlt; ","")&amp;IF(AND(BW965=0,N(V965)&lt;=0,N(Q965)&lt;=0),"Menge pro Gebinde fehlt (Ist = 1 Gebinde); ","")&amp;BR965)</f>
        <v/>
      </c>
      <c r="BK965" s="48"/>
      <c r="BL965" s="48"/>
      <c r="BM965" s="55"/>
      <c r="BN965" s="50" t="n">
        <v>2</v>
      </c>
      <c r="BO965" s="50" t="n">
        <v>188</v>
      </c>
      <c r="BP965" s="49" t="n">
        <v>-69.8600000000007</v>
      </c>
      <c r="BQ965" s="50" t="n">
        <v>264</v>
      </c>
      <c r="BR965" s="48"/>
      <c r="BS965" s="53" t="n">
        <v>0</v>
      </c>
      <c r="BT965" s="53" t="n">
        <v>965</v>
      </c>
      <c r="BU965" s="48" t="str">
        <f aca="false">IF(U965&lt;&gt;"",UPPER(TRIM(U965)),IF(BX965=1,UPPER(VLOOKUP(T965,Parameter!$I$27:$K$29,2,0)),IF(P965="","LOSE",P965)))</f>
        <v>S33</v>
      </c>
      <c r="BV965" s="50" t="n">
        <f aca="false">IF(BU965="LOSE",1,IF(N(V965)&gt;0,V965,IF(BX965=1,MAX(1,N(VLOOKUP(T965,Parameter!$I$27:$K$29,3,0)),H965,N(N965)),IF(N(Q965)&gt;0,Q965,MAX(1,H965)))))</f>
        <v>61</v>
      </c>
      <c r="BW965" s="53" t="n">
        <f aca="false">IF(BU965="LOSE",1,0)</f>
        <v>0</v>
      </c>
      <c r="BX965" s="53" t="n">
        <f aca="false">IF(AND(U965="",OR(P965="",P965="LOSE"),T965&lt;&gt;"",N(S965)&lt;=0,ISNUMBER(MATCH(T965,Parameter!$I$27:$I$29,0))),1,0)</f>
        <v>0</v>
      </c>
      <c r="BY965" s="53" t="n">
        <f aca="false">IF(CL965&gt;0,INDEX(Parameter!$H$5:$H$7,W965)/INDEX(Parameter!$E$5:$E$7,W965),IF(AND(BW965=0,N(IFERROR(VLOOKUP(BU965,'Gebinde-Kategorie'!$A$5:$N$45,14,0),0))&gt;0),VLOOKUP(BU965,'Gebinde-Kategorie'!$A$5:$N$45,14,0)*10+Parameter!$M$23,Parameter!$M$24))</f>
        <v>155</v>
      </c>
      <c r="BZ965" s="48" t="str">
        <f aca="false">IF(AND(Parameter!$B$19="Ja",E965&lt;&gt;"",ISNUMBER(MATCH(E965,Parameter!$I$35:$I$52,0))),VLOOKUP(E965,Parameter!$I$35:$J$52,2,0),IFERROR(VLOOKUP(D965,Parameter!$A$35:$C$64,2,0),"Nein"))</f>
        <v>2+3</v>
      </c>
      <c r="CA965" s="52" t="n">
        <f aca="false">IF(BW965=0,0,IF(N(S965)&gt;0,S965,IFERROR(VLOOKUP(D965,Parameter!$A$35:$C$64,3,0)+0,0)))</f>
        <v>0</v>
      </c>
      <c r="CB965" s="48" t="n">
        <f aca="false">IF(AA965&lt;&gt;"",AA965,Z965)</f>
        <v>3</v>
      </c>
      <c r="CC965" s="48" t="str">
        <f aca="false">IF(OR(CB965=1,CB965=2,CB965=3),IF(Parameter!$E$27="Ja","LIFT",IF(CB965=1,"L1","L23")),IF(CB965="Aussen","Aussen","-"))</f>
        <v>LIFT</v>
      </c>
      <c r="CD965" s="59" t="n">
        <f aca="false">IF(N(AB965)&gt;0,AB965,0)</f>
        <v>0</v>
      </c>
      <c r="CE965" s="53" t="n">
        <f aca="false">IF(ISNUMBER(AE965),1,0)</f>
        <v>0</v>
      </c>
      <c r="CF965" s="50" t="n">
        <f aca="false">N(AE965)</f>
        <v>0</v>
      </c>
      <c r="CG965" s="50" t="n">
        <f aca="false">N(M965)+N(N965)</f>
        <v>275</v>
      </c>
      <c r="CH965" s="50" t="n">
        <f aca="false">ROUNDUP(H965/BV965,0)</f>
        <v>4</v>
      </c>
      <c r="CI965" s="50" t="n">
        <f aca="false">ROUNDUP(CF965/BV965,0)</f>
        <v>0</v>
      </c>
      <c r="CJ965" s="53" t="n">
        <f aca="false">IF(BW965=1,0,IFERROR(VLOOKUP(BU965,'Gebinde-Kategorie'!$A$5:$N$45,5,0)+0,0))</f>
        <v>8</v>
      </c>
      <c r="CK965" s="53" t="n">
        <f aca="false">IFERROR(IF(OR(CB965=1,CB965=2,CB965=3),N(INDEX(Parameter!$I$5:$I$7,CB965)),0),0)</f>
        <v>0</v>
      </c>
      <c r="CL965" s="52" t="n">
        <f aca="false">IF(AND(Parameter!$B$21="Ja",ISNUMBER(W965),N(X965)&gt;0),IFERROR(N(INDEX(Parameter!$L$5:$L$7,W965))*INDEX(Parameter!$E$5:$E$7,W965)*X965/SUMIFS($X$7:$X$1843,$W$7:$W$1843,W965),0),0)</f>
        <v>0</v>
      </c>
    </row>
    <row r="966" customFormat="false" ht="15" hidden="false" customHeight="false" outlineLevel="0" collapsed="false">
      <c r="A966" s="48" t="s">
        <v>1799</v>
      </c>
      <c r="B966" s="48" t="s">
        <v>1800</v>
      </c>
      <c r="C966" s="48" t="s">
        <v>168</v>
      </c>
      <c r="D966" s="48" t="s">
        <v>357</v>
      </c>
      <c r="E966" s="48"/>
      <c r="F966" s="48" t="s">
        <v>222</v>
      </c>
      <c r="G966" s="49" t="n">
        <v>71.23</v>
      </c>
      <c r="H966" s="50" t="n">
        <f aca="false">MAX(0,IF(AND(Parameter!$B$21="Ja",ISNUMBER(Y966)),Y966,IF(Parameter!$B$20="Jahresanfang 2025 + Export",BO966+BN966,BN966)))</f>
        <v>0</v>
      </c>
      <c r="I966" s="50" t="n">
        <f aca="false">H966*G966</f>
        <v>0</v>
      </c>
      <c r="J966" s="50" t="n">
        <f aca="false">BQ966*Parameter!$B$18</f>
        <v>0</v>
      </c>
      <c r="K966" s="51" t="n">
        <v>0.5</v>
      </c>
      <c r="L966" s="52" t="n">
        <v>0</v>
      </c>
      <c r="M966" s="50" t="n">
        <v>0</v>
      </c>
      <c r="N966" s="50" t="n">
        <v>0</v>
      </c>
      <c r="O966" s="53" t="n">
        <v>28</v>
      </c>
      <c r="P966" s="48" t="s">
        <v>172</v>
      </c>
      <c r="Q966" s="50"/>
      <c r="R966" s="53" t="n">
        <f aca="false">IF(BW966=1,0,IFERROR(VLOOKUP(BU966,'Gebinde-Kategorie'!$A$5:$N$45,13,0)+0,0))</f>
        <v>0</v>
      </c>
      <c r="S966" s="54"/>
      <c r="T966" s="55"/>
      <c r="U966" s="55"/>
      <c r="V966" s="55"/>
      <c r="W966" s="48"/>
      <c r="X966" s="50"/>
      <c r="Y966" s="50"/>
      <c r="Z966" s="48" t="str">
        <f aca="false">IF(A966="","",IF(AND(Parameter!$B$21="Ja",ISNUMBER(W966)),W966,IF(BZ966="2+3",IF(ISNUMBER(SEARCH("grosser Artikel",BR966)),2,IFERROR(VLOOKUP(BU966,Parameter!$F$35:$G$64,2,0),2)),IF(OR(BZ966="Nein",BZ966=""),"-",BZ966))))</f>
        <v>-</v>
      </c>
      <c r="AA966" s="55"/>
      <c r="AB966" s="56"/>
      <c r="AC966" s="50" t="n">
        <f aca="false">AT966</f>
        <v>0</v>
      </c>
      <c r="AD966" s="50" t="n">
        <f aca="false">MAX(AT966,H966)</f>
        <v>0</v>
      </c>
      <c r="AE966" s="57"/>
      <c r="AF966" s="50" t="n">
        <f aca="false">IF(LEFT(Cockpit!$C$5,1)="A",H966,IF(CE966=1,CF966,IF(LEFT(Cockpit!$C$5,1)="B",AK966,MAX(AK966,H966))))</f>
        <v>0</v>
      </c>
      <c r="AG966" s="50" t="n">
        <f aca="false">IF(BW966=1,0,ROUNDUP(AF966/BV966,0))</f>
        <v>0</v>
      </c>
      <c r="AH966" s="52" t="n">
        <f aca="false">IF(CL966&gt;0,CL966*MAX(1,AF966/X966),IF(BW966=1,IF(AF966&lt;=0,0,CA966*MAX(1,IF(H966&gt;0,AF966/H966,1))),IF(R966&gt;0,AG966/R966,0))/MAX(0.1,N(Parameter!$M$21)))</f>
        <v>0</v>
      </c>
      <c r="AI966" s="50" t="n">
        <f aca="false">AH966*BY966</f>
        <v>0</v>
      </c>
      <c r="AJ966" s="50" t="n">
        <f aca="false">AF966*G966</f>
        <v>0</v>
      </c>
      <c r="AK966" s="50" t="n">
        <f aca="false">ROUNDUP(MAX(J966/IF(CD966&gt;0,CD966,MAX(0.1,N(Cockpit!$C$6))),CG966)/BV966,0)*BV966</f>
        <v>0</v>
      </c>
      <c r="AL966" s="51" t="n">
        <f aca="false">IF(AI966&gt;0,J966/AI966,-1)</f>
        <v>-1</v>
      </c>
      <c r="AM966" s="51" t="str">
        <f aca="false">IF(AND(OR(CC966="L1",CC966="L23",CC966="LIFT"),AI966&gt;0),SUMIFS($AI$7:$AI$1843,$CC$7:$CC$1843,CC966,$AL$7:$AL$1843,"&gt;"&amp;AL966)+SUMIFS($AI$7:$AI$1843,$CC$7:$CC$1843,CC966,$AL$7:$AL$1843,AL966,$BT$7:$BT$1843,"&lt;="&amp;BT966),"")</f>
        <v/>
      </c>
      <c r="AN966" s="58" t="n">
        <f aca="false">IF(AM966="",0,MAX(0,MIN(1,(IF(CC966="L1",Parameter!$H$5,IF(CC966="L23",Parameter!$H$6+Parameter!$H$7,Parameter!$H$5+Parameter!$H$6+Parameter!$H$7))-(AM966-AI966))/AI966)))</f>
        <v>0</v>
      </c>
      <c r="AO966" s="50" t="n">
        <f aca="false">IF(LEFT(Cockpit!$I$5,1)="A",H966,IF(CE966=1,CF966,IF(LEFT(Cockpit!$I$5,1)="B",AT966,MAX(AT966,H966))))</f>
        <v>0</v>
      </c>
      <c r="AP966" s="50" t="n">
        <f aca="false">IF(BW966=1,0,ROUNDUP(AO966/BV966,0))</f>
        <v>0</v>
      </c>
      <c r="AQ966" s="52" t="n">
        <f aca="false">IF(CL966&gt;0,CL966*MAX(1,AO966/X966),IF(BW966=1,IF(AO966&lt;=0,0,CA966*MAX(1,IF(H966&gt;0,AO966/H966,1))),IF(R966&gt;0,AP966/R966,0))/MAX(0.1,N(Parameter!$M$21)))</f>
        <v>0</v>
      </c>
      <c r="AR966" s="50" t="n">
        <f aca="false">AQ966*BY966</f>
        <v>0</v>
      </c>
      <c r="AS966" s="50" t="n">
        <f aca="false">AO966*G966</f>
        <v>0</v>
      </c>
      <c r="AT966" s="50" t="n">
        <f aca="false">ROUNDUP(MAX(J966/IF(CD966&gt;0,CD966,MAX(0.1,N(Cockpit!$I$6))),CG966)/BV966,0)*BV966</f>
        <v>0</v>
      </c>
      <c r="AU966" s="51" t="n">
        <f aca="false">IF(AR966&gt;0,J966/AR966,-1)</f>
        <v>-1</v>
      </c>
      <c r="AV966" s="51" t="str">
        <f aca="false">IF(AND(OR(CC966="L1",CC966="L23",CC966="LIFT"),AR966&gt;0),SUMIFS($AR$7:$AR$1843,$CC$7:$CC$1843,CC966,$AU$7:$AU$1843,"&gt;"&amp;AU966)+SUMIFS($AR$7:$AR$1843,$CC$7:$CC$1843,CC966,$AU$7:$AU$1843,AU966,$BT$7:$BT$1843,"&lt;="&amp;BT966),"")</f>
        <v/>
      </c>
      <c r="AW966" s="58" t="n">
        <f aca="false">IF(AV966="",0,MAX(0,MIN(1,(IF(CC966="L1",Parameter!$H$5,IF(CC966="L23",Parameter!$H$6+Parameter!$H$7,Parameter!$H$5+Parameter!$H$6+Parameter!$H$7))-(AV966-AR966))/AR966)))</f>
        <v>0</v>
      </c>
      <c r="AX966" s="50" t="n">
        <f aca="false">IF(LEFT(Cockpit!$O$5,1)="A",H966,IF(CE966=1,CF966,IF(LEFT(Cockpit!$O$5,1)="B",BC966,MAX(BC966,H966))))</f>
        <v>0</v>
      </c>
      <c r="AY966" s="50" t="n">
        <f aca="false">IF(BW966=1,0,ROUNDUP(AX966/BV966,0))</f>
        <v>0</v>
      </c>
      <c r="AZ966" s="52" t="n">
        <f aca="false">IF(CL966&gt;0,CL966*MAX(1,AX966/X966),IF(BW966=1,IF(AX966&lt;=0,0,CA966*MAX(1,IF(H966&gt;0,AX966/H966,1))),IF(R966&gt;0,AY966/R966,0))/MAX(0.1,N(Parameter!$M$21)))</f>
        <v>0</v>
      </c>
      <c r="BA966" s="50" t="n">
        <f aca="false">AZ966*BY966</f>
        <v>0</v>
      </c>
      <c r="BB966" s="50" t="n">
        <f aca="false">AX966*G966</f>
        <v>0</v>
      </c>
      <c r="BC966" s="50" t="n">
        <f aca="false">ROUNDUP(MAX(J966/IF(CD966&gt;0,CD966,MAX(0.1,N(Cockpit!$O$6))),CG966)/BV966,0)*BV966</f>
        <v>0</v>
      </c>
      <c r="BD966" s="51" t="n">
        <f aca="false">IF(BA966&gt;0,J966/BA966,-1)</f>
        <v>-1</v>
      </c>
      <c r="BE966" s="51" t="str">
        <f aca="false">IF(AND(OR(CC966="L1",CC966="L23",CC966="LIFT"),BA966&gt;0),SUMIFS($BA$7:$BA$1843,$CC$7:$CC$1843,CC966,$BD$7:$BD$1843,"&gt;"&amp;BD966)+SUMIFS($BA$7:$BA$1843,$CC$7:$CC$1843,CC966,$BD$7:$BD$1843,BD966,$BT$7:$BT$1843,"&lt;="&amp;BT966),"")</f>
        <v/>
      </c>
      <c r="BF966" s="58" t="n">
        <f aca="false">IF(BE966="",0,MAX(0,MIN(1,(IF(CC966="L1",Parameter!$H$5,IF(CC966="L23",Parameter!$H$6+Parameter!$H$7,Parameter!$H$5+Parameter!$H$6+Parameter!$H$7))-(BE966-BA966))/BA966)))</f>
        <v>0</v>
      </c>
      <c r="BG966" s="48" t="str">
        <f aca="false">IF(AI966&lt;=0,"",IF(CC966="Aussen","Aussenlager",IF(CC966="-","Nicht im Lift",IF(AN966&gt;=1,"Lift",IF(AN966&lt;=0,"Aussenlager","teilweise")))))</f>
        <v/>
      </c>
      <c r="BH966" s="48" t="str">
        <f aca="false">IF(AR966&lt;=0,"",IF(CC966="Aussen","Aussenlager",IF(CC966="-","Nicht im Lift",IF(AW966&gt;=1,"Lift",IF(AW966&lt;=0,"Aussenlager","teilweise")))))</f>
        <v/>
      </c>
      <c r="BI966" s="48" t="str">
        <f aca="false">IF(BA966&lt;=0,"",IF(CC966="Aussen","Aussenlager",IF(CC966="-","Nicht im Lift",IF(BF966&gt;=1,"Lift",IF(BF966&lt;=0,"Aussenlager","teilweise")))))</f>
        <v/>
      </c>
      <c r="BJ966" s="48" t="str">
        <f aca="false">IF(A966="","",IF(BS966=1,"Neu; ","")&amp;IF(AND(BS966=0,BN966&lt;0),"negativer Bestand (Export "&amp;BN966&amp;"); ","")&amp;IF(J966&lt;=0,"Kein Verbrauch; ","")&amp;IF(CL966&gt;0,"Lift "&amp;W966&amp;" lt. Liftbericht (Fach "&amp;X966&amp;" Stk); ",IF(BX966=1,"Gebinde geschätzt ("&amp;T966&amp;"); ",IF(BW966=1,"Lose – Tablare geschätzt; ","")))&amp;IF(H966&gt;AT966,"Überbestand "&amp;ROUND(H966-AT966,0)&amp;" Stk / CHF "&amp;ROUND((H966-AT966)*G966,0)&amp;"; ","")&amp;IF(AND(CE966=1,CF966&lt;CG966),"MAX &lt; MB+LG; ","")&amp;IF(AND(CK966&gt;0,CJ966*10&gt;CK966),"zu hoch für Tablar; ","")&amp;IF(AND(BS966=0,OR(CE966=1,AA966&lt;&gt;"",U966&lt;&gt;"",V966&lt;&gt;"",AB966&lt;&gt;"")),"manuell übersteuert; ","")&amp;IF(AND(BW966=0,R966=0),"Gebinde unbekannt / Stellmass fehlt; ","")&amp;IF(AND(BW966=0,N(V966)&lt;=0,N(Q966)&lt;=0),"Menge pro Gebinde fehlt (Ist = 1 Gebinde); ","")&amp;BR966)</f>
        <v>negativer Bestand (Export -1); Kein Verbrauch; Lose – Tablare geschätzt; </v>
      </c>
      <c r="BK966" s="48"/>
      <c r="BL966" s="48"/>
      <c r="BM966" s="55"/>
      <c r="BN966" s="50" t="n">
        <v>-1</v>
      </c>
      <c r="BO966" s="50" t="n">
        <v>1</v>
      </c>
      <c r="BP966" s="49" t="n">
        <v>-71.23</v>
      </c>
      <c r="BQ966" s="50" t="n">
        <v>0</v>
      </c>
      <c r="BR966" s="48"/>
      <c r="BS966" s="53" t="n">
        <v>0</v>
      </c>
      <c r="BT966" s="53" t="n">
        <v>966</v>
      </c>
      <c r="BU966" s="48" t="str">
        <f aca="false">IF(U966&lt;&gt;"",UPPER(TRIM(U966)),IF(BX966=1,UPPER(VLOOKUP(T966,Parameter!$I$27:$K$29,2,0)),IF(P966="","LOSE",P966)))</f>
        <v>LOSE</v>
      </c>
      <c r="BV966" s="50" t="n">
        <f aca="false">IF(BU966="LOSE",1,IF(N(V966)&gt;0,V966,IF(BX966=1,MAX(1,N(VLOOKUP(T966,Parameter!$I$27:$K$29,3,0)),H966,N(N966)),IF(N(Q966)&gt;0,Q966,MAX(1,H966)))))</f>
        <v>1</v>
      </c>
      <c r="BW966" s="53" t="n">
        <f aca="false">IF(BU966="LOSE",1,0)</f>
        <v>1</v>
      </c>
      <c r="BX966" s="53" t="n">
        <f aca="false">IF(AND(U966="",OR(P966="",P966="LOSE"),T966&lt;&gt;"",N(S966)&lt;=0,ISNUMBER(MATCH(T966,Parameter!$I$27:$I$29,0))),1,0)</f>
        <v>0</v>
      </c>
      <c r="BY966" s="53" t="n">
        <f aca="false">IF(CL966&gt;0,INDEX(Parameter!$H$5:$H$7,W966)/INDEX(Parameter!$E$5:$E$7,W966),IF(AND(BW966=0,N(IFERROR(VLOOKUP(BU966,'Gebinde-Kategorie'!$A$5:$N$45,14,0),0))&gt;0),VLOOKUP(BU966,'Gebinde-Kategorie'!$A$5:$N$45,14,0)*10+Parameter!$M$23,Parameter!$M$24))</f>
        <v>235</v>
      </c>
      <c r="BZ966" s="48" t="str">
        <f aca="false">IF(AND(Parameter!$B$19="Ja",E966&lt;&gt;"",ISNUMBER(MATCH(E966,Parameter!$I$35:$I$52,0))),VLOOKUP(E966,Parameter!$I$35:$J$52,2,0),IFERROR(VLOOKUP(D966,Parameter!$A$35:$C$64,2,0),"Nein"))</f>
        <v>Nein</v>
      </c>
      <c r="CA966" s="52" t="n">
        <f aca="false">IF(BW966=0,0,IF(N(S966)&gt;0,S966,IFERROR(VLOOKUP(D966,Parameter!$A$35:$C$64,3,0)+0,0)))</f>
        <v>0.15</v>
      </c>
      <c r="CB966" s="48" t="str">
        <f aca="false">IF(AA966&lt;&gt;"",AA966,Z966)</f>
        <v>-</v>
      </c>
      <c r="CC966" s="48" t="str">
        <f aca="false">IF(OR(CB966=1,CB966=2,CB966=3),IF(Parameter!$E$27="Ja","LIFT",IF(CB966=1,"L1","L23")),IF(CB966="Aussen","Aussen","-"))</f>
        <v>-</v>
      </c>
      <c r="CD966" s="59" t="n">
        <f aca="false">IF(N(AB966)&gt;0,AB966,0)</f>
        <v>0</v>
      </c>
      <c r="CE966" s="53" t="n">
        <f aca="false">IF(ISNUMBER(AE966),1,0)</f>
        <v>0</v>
      </c>
      <c r="CF966" s="50" t="n">
        <f aca="false">N(AE966)</f>
        <v>0</v>
      </c>
      <c r="CG966" s="50" t="n">
        <f aca="false">N(M966)+N(N966)</f>
        <v>0</v>
      </c>
      <c r="CH966" s="50" t="n">
        <f aca="false">ROUNDUP(H966/BV966,0)</f>
        <v>0</v>
      </c>
      <c r="CI966" s="50" t="n">
        <f aca="false">ROUNDUP(CF966/BV966,0)</f>
        <v>0</v>
      </c>
      <c r="CJ966" s="53" t="n">
        <f aca="false">IF(BW966=1,0,IFERROR(VLOOKUP(BU966,'Gebinde-Kategorie'!$A$5:$N$45,5,0)+0,0))</f>
        <v>0</v>
      </c>
      <c r="CK966" s="53" t="n">
        <f aca="false">IFERROR(IF(OR(CB966=1,CB966=2,CB966=3),N(INDEX(Parameter!$I$5:$I$7,CB966)),0),0)</f>
        <v>0</v>
      </c>
      <c r="CL966" s="52" t="n">
        <f aca="false">IF(AND(Parameter!$B$21="Ja",ISNUMBER(W966),N(X966)&gt;0),IFERROR(N(INDEX(Parameter!$L$5:$L$7,W966))*INDEX(Parameter!$E$5:$E$7,W966)*X966/SUMIFS($X$7:$X$1843,$W$7:$W$1843,W966),0),0)</f>
        <v>0</v>
      </c>
    </row>
    <row r="967" customFormat="false" ht="15" hidden="false" customHeight="false" outlineLevel="0" collapsed="false">
      <c r="A967" s="48" t="s">
        <v>1801</v>
      </c>
      <c r="B967" s="48" t="s">
        <v>1283</v>
      </c>
      <c r="C967" s="48" t="s">
        <v>168</v>
      </c>
      <c r="D967" s="48" t="s">
        <v>188</v>
      </c>
      <c r="E967" s="48" t="s">
        <v>189</v>
      </c>
      <c r="F967" s="48" t="s">
        <v>222</v>
      </c>
      <c r="G967" s="49" t="n">
        <v>2.5</v>
      </c>
      <c r="H967" s="50" t="n">
        <f aca="false">MAX(0,IF(AND(Parameter!$B$21="Ja",ISNUMBER(Y967)),Y967,IF(Parameter!$B$20="Jahresanfang 2025 + Export",BO967+BN967,BN967)))</f>
        <v>0</v>
      </c>
      <c r="I967" s="50" t="n">
        <f aca="false">H967*G967</f>
        <v>0</v>
      </c>
      <c r="J967" s="50" t="n">
        <f aca="false">BQ967*Parameter!$B$18</f>
        <v>17</v>
      </c>
      <c r="K967" s="51" t="n">
        <v>26</v>
      </c>
      <c r="L967" s="52" t="n">
        <v>0.653846153846154</v>
      </c>
      <c r="M967" s="50" t="n">
        <v>0</v>
      </c>
      <c r="N967" s="50" t="n">
        <v>15</v>
      </c>
      <c r="O967" s="53" t="n">
        <v>14</v>
      </c>
      <c r="P967" s="48" t="s">
        <v>405</v>
      </c>
      <c r="Q967" s="50" t="n">
        <v>20</v>
      </c>
      <c r="R967" s="53" t="n">
        <f aca="false">IF(BW967=1,0,IFERROR(VLOOKUP(BU967,'Gebinde-Kategorie'!$A$5:$N$45,13,0)+0,0))</f>
        <v>280</v>
      </c>
      <c r="S967" s="54"/>
      <c r="T967" s="55"/>
      <c r="U967" s="55"/>
      <c r="V967" s="55"/>
      <c r="W967" s="48"/>
      <c r="X967" s="50"/>
      <c r="Y967" s="50"/>
      <c r="Z967" s="48" t="n">
        <f aca="false">IF(A967="","",IF(AND(Parameter!$B$21="Ja",ISNUMBER(W967)),W967,IF(BZ967="2+3",IF(ISNUMBER(SEARCH("grosser Artikel",BR967)),2,IFERROR(VLOOKUP(BU967,Parameter!$F$35:$G$64,2,0),2)),IF(OR(BZ967="Nein",BZ967=""),"-",BZ967))))</f>
        <v>3</v>
      </c>
      <c r="AA967" s="55"/>
      <c r="AB967" s="56"/>
      <c r="AC967" s="50" t="n">
        <f aca="false">AT967</f>
        <v>20</v>
      </c>
      <c r="AD967" s="50" t="n">
        <f aca="false">MAX(AT967,H967)</f>
        <v>20</v>
      </c>
      <c r="AE967" s="57"/>
      <c r="AF967" s="50" t="n">
        <f aca="false">IF(LEFT(Cockpit!$C$5,1)="A",H967,IF(CE967=1,CF967,IF(LEFT(Cockpit!$C$5,1)="B",AK967,MAX(AK967,H967))))</f>
        <v>0</v>
      </c>
      <c r="AG967" s="50" t="n">
        <f aca="false">IF(BW967=1,0,ROUNDUP(AF967/BV967,0))</f>
        <v>0</v>
      </c>
      <c r="AH967" s="52" t="n">
        <f aca="false">IF(CL967&gt;0,CL967*MAX(1,AF967/X967),IF(BW967=1,IF(AF967&lt;=0,0,CA967*MAX(1,IF(H967&gt;0,AF967/H967,1))),IF(R967&gt;0,AG967/R967,0))/MAX(0.1,N(Parameter!$M$21)))</f>
        <v>0</v>
      </c>
      <c r="AI967" s="50" t="n">
        <f aca="false">AH967*BY967</f>
        <v>0</v>
      </c>
      <c r="AJ967" s="50" t="n">
        <f aca="false">AF967*G967</f>
        <v>0</v>
      </c>
      <c r="AK967" s="50" t="n">
        <f aca="false">ROUNDUP(MAX(J967/IF(CD967&gt;0,CD967,MAX(0.1,N(Cockpit!$C$6))),CG967)/BV967,0)*BV967</f>
        <v>20</v>
      </c>
      <c r="AL967" s="51" t="n">
        <f aca="false">IF(AI967&gt;0,J967/AI967,-1)</f>
        <v>-1</v>
      </c>
      <c r="AM967" s="51" t="str">
        <f aca="false">IF(AND(OR(CC967="L1",CC967="L23",CC967="LIFT"),AI967&gt;0),SUMIFS($AI$7:$AI$1843,$CC$7:$CC$1843,CC967,$AL$7:$AL$1843,"&gt;"&amp;AL967)+SUMIFS($AI$7:$AI$1843,$CC$7:$CC$1843,CC967,$AL$7:$AL$1843,AL967,$BT$7:$BT$1843,"&lt;="&amp;BT967),"")</f>
        <v/>
      </c>
      <c r="AN967" s="58" t="n">
        <f aca="false">IF(AM967="",0,MAX(0,MIN(1,(IF(CC967="L1",Parameter!$H$5,IF(CC967="L23",Parameter!$H$6+Parameter!$H$7,Parameter!$H$5+Parameter!$H$6+Parameter!$H$7))-(AM967-AI967))/AI967)))</f>
        <v>0</v>
      </c>
      <c r="AO967" s="50" t="n">
        <f aca="false">IF(LEFT(Cockpit!$I$5,1)="A",H967,IF(CE967=1,CF967,IF(LEFT(Cockpit!$I$5,1)="B",AT967,MAX(AT967,H967))))</f>
        <v>20</v>
      </c>
      <c r="AP967" s="50" t="n">
        <f aca="false">IF(BW967=1,0,ROUNDUP(AO967/BV967,0))</f>
        <v>1</v>
      </c>
      <c r="AQ967" s="52" t="n">
        <f aca="false">IF(CL967&gt;0,CL967*MAX(1,AO967/X967),IF(BW967=1,IF(AO967&lt;=0,0,CA967*MAX(1,IF(H967&gt;0,AO967/H967,1))),IF(R967&gt;0,AP967/R967,0))/MAX(0.1,N(Parameter!$M$21)))</f>
        <v>0.00357142857142857</v>
      </c>
      <c r="AR967" s="50" t="n">
        <f aca="false">AQ967*BY967</f>
        <v>0.553571428571429</v>
      </c>
      <c r="AS967" s="50" t="n">
        <f aca="false">AO967*G967</f>
        <v>50</v>
      </c>
      <c r="AT967" s="50" t="n">
        <f aca="false">ROUNDUP(MAX(J967/IF(CD967&gt;0,CD967,MAX(0.1,N(Cockpit!$I$6))),CG967)/BV967,0)*BV967</f>
        <v>20</v>
      </c>
      <c r="AU967" s="51" t="n">
        <f aca="false">IF(AR967&gt;0,J967/AR967,-1)</f>
        <v>30.7096774193548</v>
      </c>
      <c r="AV967" s="51" t="n">
        <f aca="false">IF(AND(OR(CC967="L1",CC967="L23",CC967="LIFT"),AR967&gt;0),SUMIFS($AR$7:$AR$1843,$CC$7:$CC$1843,CC967,$AU$7:$AU$1843,"&gt;"&amp;AU967)+SUMIFS($AR$7:$AR$1843,$CC$7:$CC$1843,CC967,$AU$7:$AU$1843,AU967,$BT$7:$BT$1843,"&lt;="&amp;BT967),"")</f>
        <v>1902.59478021978</v>
      </c>
      <c r="AW967" s="58" t="n">
        <f aca="false">IF(AV967="",0,MAX(0,MIN(1,(IF(CC967="L1",Parameter!$H$5,IF(CC967="L23",Parameter!$H$6+Parameter!$H$7,Parameter!$H$5+Parameter!$H$6+Parameter!$H$7))-(AV967-AR967))/AR967)))</f>
        <v>1</v>
      </c>
      <c r="AX967" s="50" t="n">
        <f aca="false">IF(LEFT(Cockpit!$O$5,1)="A",H967,IF(CE967=1,CF967,IF(LEFT(Cockpit!$O$5,1)="B",BC967,MAX(BC967,H967))))</f>
        <v>20</v>
      </c>
      <c r="AY967" s="50" t="n">
        <f aca="false">IF(BW967=1,0,ROUNDUP(AX967/BV967,0))</f>
        <v>1</v>
      </c>
      <c r="AZ967" s="52" t="n">
        <f aca="false">IF(CL967&gt;0,CL967*MAX(1,AX967/X967),IF(BW967=1,IF(AX967&lt;=0,0,CA967*MAX(1,IF(H967&gt;0,AX967/H967,1))),IF(R967&gt;0,AY967/R967,0))/MAX(0.1,N(Parameter!$M$21)))</f>
        <v>0.00357142857142857</v>
      </c>
      <c r="BA967" s="50" t="n">
        <f aca="false">AZ967*BY967</f>
        <v>0.553571428571429</v>
      </c>
      <c r="BB967" s="50" t="n">
        <f aca="false">AX967*G967</f>
        <v>50</v>
      </c>
      <c r="BC967" s="50" t="n">
        <f aca="false">ROUNDUP(MAX(J967/IF(CD967&gt;0,CD967,MAX(0.1,N(Cockpit!$O$6))),CG967)/BV967,0)*BV967</f>
        <v>20</v>
      </c>
      <c r="BD967" s="51" t="n">
        <f aca="false">IF(BA967&gt;0,J967/BA967,-1)</f>
        <v>30.7096774193548</v>
      </c>
      <c r="BE967" s="51" t="n">
        <f aca="false">IF(AND(OR(CC967="L1",CC967="L23",CC967="LIFT"),BA967&gt;0),SUMIFS($BA$7:$BA$1843,$CC$7:$CC$1843,CC967,$BD$7:$BD$1843,"&gt;"&amp;BD967)+SUMIFS($BA$7:$BA$1843,$CC$7:$CC$1843,CC967,$BD$7:$BD$1843,BD967,$BT$7:$BT$1843,"&lt;="&amp;BT967),"")</f>
        <v>1786.93772893773</v>
      </c>
      <c r="BF967" s="58" t="n">
        <f aca="false">IF(BE967="",0,MAX(0,MIN(1,(IF(CC967="L1",Parameter!$H$5,IF(CC967="L23",Parameter!$H$6+Parameter!$H$7,Parameter!$H$5+Parameter!$H$6+Parameter!$H$7))-(BE967-BA967))/BA967)))</f>
        <v>1</v>
      </c>
      <c r="BG967" s="48" t="str">
        <f aca="false">IF(AI967&lt;=0,"",IF(CC967="Aussen","Aussenlager",IF(CC967="-","Nicht im Lift",IF(AN967&gt;=1,"Lift",IF(AN967&lt;=0,"Aussenlager","teilweise")))))</f>
        <v/>
      </c>
      <c r="BH967" s="48" t="str">
        <f aca="false">IF(AR967&lt;=0,"",IF(CC967="Aussen","Aussenlager",IF(CC967="-","Nicht im Lift",IF(AW967&gt;=1,"Lift",IF(AW967&lt;=0,"Aussenlager","teilweise")))))</f>
        <v>Lift</v>
      </c>
      <c r="BI967" s="48" t="str">
        <f aca="false">IF(BA967&lt;=0,"",IF(CC967="Aussen","Aussenlager",IF(CC967="-","Nicht im Lift",IF(BF967&gt;=1,"Lift",IF(BF967&lt;=0,"Aussenlager","teilweise")))))</f>
        <v>Lift</v>
      </c>
      <c r="BJ967" s="48" t="str">
        <f aca="false">IF(A967="","",IF(BS967=1,"Neu; ","")&amp;IF(AND(BS967=0,BN967&lt;0),"negativer Bestand (Export "&amp;BN967&amp;"); ","")&amp;IF(J967&lt;=0,"Kein Verbrauch; ","")&amp;IF(CL967&gt;0,"Lift "&amp;W967&amp;" lt. Liftbericht (Fach "&amp;X967&amp;" Stk); ",IF(BX967=1,"Gebinde geschätzt ("&amp;T967&amp;"); ",IF(BW967=1,"Lose – Tablare geschätzt; ","")))&amp;IF(H967&gt;AT967,"Überbestand "&amp;ROUND(H967-AT967,0)&amp;" Stk / CHF "&amp;ROUND((H967-AT967)*G967,0)&amp;"; ","")&amp;IF(AND(CE967=1,CF967&lt;CG967),"MAX &lt; MB+LG; ","")&amp;IF(AND(CK967&gt;0,CJ967*10&gt;CK967),"zu hoch für Tablar; ","")&amp;IF(AND(BS967=0,OR(CE967=1,AA967&lt;&gt;"",U967&lt;&gt;"",V967&lt;&gt;"",AB967&lt;&gt;"")),"manuell übersteuert; ","")&amp;IF(AND(BW967=0,R967=0),"Gebinde unbekannt / Stellmass fehlt; ","")&amp;IF(AND(BW967=0,N(V967)&lt;=0,N(Q967)&lt;=0),"Menge pro Gebinde fehlt (Ist = 1 Gebinde); ","")&amp;BR967)</f>
        <v>negativer Bestand (Export -29); </v>
      </c>
      <c r="BK967" s="48"/>
      <c r="BL967" s="48"/>
      <c r="BM967" s="55"/>
      <c r="BN967" s="50" t="n">
        <v>-29</v>
      </c>
      <c r="BO967" s="50" t="n">
        <v>29</v>
      </c>
      <c r="BP967" s="49" t="n">
        <v>-71.63</v>
      </c>
      <c r="BQ967" s="50" t="n">
        <v>17</v>
      </c>
      <c r="BR967" s="48"/>
      <c r="BS967" s="53" t="n">
        <v>0</v>
      </c>
      <c r="BT967" s="53" t="n">
        <v>967</v>
      </c>
      <c r="BU967" s="48" t="str">
        <f aca="false">IF(U967&lt;&gt;"",UPPER(TRIM(U967)),IF(BX967=1,UPPER(VLOOKUP(T967,Parameter!$I$27:$K$29,2,0)),IF(P967="","LOSE",P967)))</f>
        <v>S21</v>
      </c>
      <c r="BV967" s="50" t="n">
        <f aca="false">IF(BU967="LOSE",1,IF(N(V967)&gt;0,V967,IF(BX967=1,MAX(1,N(VLOOKUP(T967,Parameter!$I$27:$K$29,3,0)),H967,N(N967)),IF(N(Q967)&gt;0,Q967,MAX(1,H967)))))</f>
        <v>20</v>
      </c>
      <c r="BW967" s="53" t="n">
        <f aca="false">IF(BU967="LOSE",1,0)</f>
        <v>0</v>
      </c>
      <c r="BX967" s="53" t="n">
        <f aca="false">IF(AND(U967="",OR(P967="",P967="LOSE"),T967&lt;&gt;"",N(S967)&lt;=0,ISNUMBER(MATCH(T967,Parameter!$I$27:$I$29,0))),1,0)</f>
        <v>0</v>
      </c>
      <c r="BY967" s="53" t="n">
        <f aca="false">IF(CL967&gt;0,INDEX(Parameter!$H$5:$H$7,W967)/INDEX(Parameter!$E$5:$E$7,W967),IF(AND(BW967=0,N(IFERROR(VLOOKUP(BU967,'Gebinde-Kategorie'!$A$5:$N$45,14,0),0))&gt;0),VLOOKUP(BU967,'Gebinde-Kategorie'!$A$5:$N$45,14,0)*10+Parameter!$M$23,Parameter!$M$24))</f>
        <v>155</v>
      </c>
      <c r="BZ967" s="48" t="str">
        <f aca="false">IF(AND(Parameter!$B$19="Ja",E967&lt;&gt;"",ISNUMBER(MATCH(E967,Parameter!$I$35:$I$52,0))),VLOOKUP(E967,Parameter!$I$35:$J$52,2,0),IFERROR(VLOOKUP(D967,Parameter!$A$35:$C$64,2,0),"Nein"))</f>
        <v>2+3</v>
      </c>
      <c r="CA967" s="52" t="n">
        <f aca="false">IF(BW967=0,0,IF(N(S967)&gt;0,S967,IFERROR(VLOOKUP(D967,Parameter!$A$35:$C$64,3,0)+0,0)))</f>
        <v>0</v>
      </c>
      <c r="CB967" s="48" t="n">
        <f aca="false">IF(AA967&lt;&gt;"",AA967,Z967)</f>
        <v>3</v>
      </c>
      <c r="CC967" s="48" t="str">
        <f aca="false">IF(OR(CB967=1,CB967=2,CB967=3),IF(Parameter!$E$27="Ja","LIFT",IF(CB967=1,"L1","L23")),IF(CB967="Aussen","Aussen","-"))</f>
        <v>LIFT</v>
      </c>
      <c r="CD967" s="59" t="n">
        <f aca="false">IF(N(AB967)&gt;0,AB967,0)</f>
        <v>0</v>
      </c>
      <c r="CE967" s="53" t="n">
        <f aca="false">IF(ISNUMBER(AE967),1,0)</f>
        <v>0</v>
      </c>
      <c r="CF967" s="50" t="n">
        <f aca="false">N(AE967)</f>
        <v>0</v>
      </c>
      <c r="CG967" s="50" t="n">
        <f aca="false">N(M967)+N(N967)</f>
        <v>15</v>
      </c>
      <c r="CH967" s="50" t="n">
        <f aca="false">ROUNDUP(H967/BV967,0)</f>
        <v>0</v>
      </c>
      <c r="CI967" s="50" t="n">
        <f aca="false">ROUNDUP(CF967/BV967,0)</f>
        <v>0</v>
      </c>
      <c r="CJ967" s="53" t="n">
        <f aca="false">IF(BW967=1,0,IFERROR(VLOOKUP(BU967,'Gebinde-Kategorie'!$A$5:$N$45,5,0)+0,0))</f>
        <v>8</v>
      </c>
      <c r="CK967" s="53" t="n">
        <f aca="false">IFERROR(IF(OR(CB967=1,CB967=2,CB967=3),N(INDEX(Parameter!$I$5:$I$7,CB967)),0),0)</f>
        <v>0</v>
      </c>
      <c r="CL967" s="52" t="n">
        <f aca="false">IF(AND(Parameter!$B$21="Ja",ISNUMBER(W967),N(X967)&gt;0),IFERROR(N(INDEX(Parameter!$L$5:$L$7,W967))*INDEX(Parameter!$E$5:$E$7,W967)*X967/SUMIFS($X$7:$X$1843,$W$7:$W$1843,W967),0),0)</f>
        <v>0</v>
      </c>
    </row>
    <row r="968" customFormat="false" ht="15" hidden="false" customHeight="false" outlineLevel="0" collapsed="false">
      <c r="A968" s="48" t="s">
        <v>1802</v>
      </c>
      <c r="B968" s="48" t="s">
        <v>1803</v>
      </c>
      <c r="C968" s="48" t="s">
        <v>168</v>
      </c>
      <c r="D968" s="48" t="s">
        <v>188</v>
      </c>
      <c r="E968" s="48" t="s">
        <v>189</v>
      </c>
      <c r="F968" s="48" t="s">
        <v>222</v>
      </c>
      <c r="G968" s="49" t="n">
        <v>72.05</v>
      </c>
      <c r="H968" s="50" t="n">
        <f aca="false">MAX(0,IF(AND(Parameter!$B$21="Ja",ISNUMBER(Y968)),Y968,IF(Parameter!$B$20="Jahresanfang 2025 + Export",BO968+BN968,BN968)))</f>
        <v>6</v>
      </c>
      <c r="I968" s="50" t="n">
        <f aca="false">H968*G968</f>
        <v>432.3</v>
      </c>
      <c r="J968" s="50" t="n">
        <f aca="false">BQ968*Parameter!$B$18</f>
        <v>1</v>
      </c>
      <c r="K968" s="51" t="n">
        <v>6</v>
      </c>
      <c r="L968" s="52" t="n">
        <v>0.166666666666667</v>
      </c>
      <c r="M968" s="50" t="n">
        <v>0</v>
      </c>
      <c r="N968" s="50" t="n">
        <v>1</v>
      </c>
      <c r="O968" s="53" t="n">
        <v>14</v>
      </c>
      <c r="P968" s="48" t="s">
        <v>237</v>
      </c>
      <c r="Q968" s="50" t="n">
        <v>12</v>
      </c>
      <c r="R968" s="53" t="n">
        <f aca="false">IF(BW968=1,0,IFERROR(VLOOKUP(BU968,'Gebinde-Kategorie'!$A$5:$N$45,13,0)+0,0))</f>
        <v>26</v>
      </c>
      <c r="S968" s="54"/>
      <c r="T968" s="55"/>
      <c r="U968" s="55"/>
      <c r="V968" s="55"/>
      <c r="W968" s="48"/>
      <c r="X968" s="50"/>
      <c r="Y968" s="50"/>
      <c r="Z968" s="48" t="n">
        <f aca="false">IF(A968="","",IF(AND(Parameter!$B$21="Ja",ISNUMBER(W968)),W968,IF(BZ968="2+3",IF(ISNUMBER(SEARCH("grosser Artikel",BR968)),2,IFERROR(VLOOKUP(BU968,Parameter!$F$35:$G$64,2,0),2)),IF(OR(BZ968="Nein",BZ968=""),"-",BZ968))))</f>
        <v>3</v>
      </c>
      <c r="AA968" s="55"/>
      <c r="AB968" s="56"/>
      <c r="AC968" s="50" t="n">
        <f aca="false">AT968</f>
        <v>12</v>
      </c>
      <c r="AD968" s="50" t="n">
        <f aca="false">MAX(AT968,H968)</f>
        <v>12</v>
      </c>
      <c r="AE968" s="57"/>
      <c r="AF968" s="50" t="n">
        <f aca="false">IF(LEFT(Cockpit!$C$5,1)="A",H968,IF(CE968=1,CF968,IF(LEFT(Cockpit!$C$5,1)="B",AK968,MAX(AK968,H968))))</f>
        <v>6</v>
      </c>
      <c r="AG968" s="50" t="n">
        <f aca="false">IF(BW968=1,0,ROUNDUP(AF968/BV968,0))</f>
        <v>1</v>
      </c>
      <c r="AH968" s="52" t="n">
        <f aca="false">IF(CL968&gt;0,CL968*MAX(1,AF968/X968),IF(BW968=1,IF(AF968&lt;=0,0,CA968*MAX(1,IF(H968&gt;0,AF968/H968,1))),IF(R968&gt;0,AG968/R968,0))/MAX(0.1,N(Parameter!$M$21)))</f>
        <v>0.0384615384615385</v>
      </c>
      <c r="AI968" s="50" t="n">
        <f aca="false">AH968*BY968</f>
        <v>9.42307692307692</v>
      </c>
      <c r="AJ968" s="50" t="n">
        <f aca="false">AF968*G968</f>
        <v>432.3</v>
      </c>
      <c r="AK968" s="50" t="n">
        <f aca="false">ROUNDUP(MAX(J968/IF(CD968&gt;0,CD968,MAX(0.1,N(Cockpit!$C$6))),CG968)/BV968,0)*BV968</f>
        <v>12</v>
      </c>
      <c r="AL968" s="51" t="n">
        <f aca="false">IF(AI968&gt;0,J968/AI968,-1)</f>
        <v>0.106122448979592</v>
      </c>
      <c r="AM968" s="51" t="n">
        <f aca="false">IF(AND(OR(CC968="L1",CC968="L23",CC968="LIFT"),AI968&gt;0),SUMIFS($AI$7:$AI$1843,$CC$7:$CC$1843,CC968,$AL$7:$AL$1843,"&gt;"&amp;AL968)+SUMIFS($AI$7:$AI$1843,$CC$7:$CC$1843,CC968,$AL$7:$AL$1843,AL968,$BT$7:$BT$1843,"&lt;="&amp;BT968),"")</f>
        <v>15314.0758547009</v>
      </c>
      <c r="AN968" s="58" t="n">
        <f aca="false">IF(AM968="",0,MAX(0,MIN(1,(IF(CC968="L1",Parameter!$H$5,IF(CC968="L23",Parameter!$H$6+Parameter!$H$7,Parameter!$H$5+Parameter!$H$6+Parameter!$H$7))-(AM968-AI968))/AI968)))</f>
        <v>1</v>
      </c>
      <c r="AO968" s="50" t="n">
        <f aca="false">IF(LEFT(Cockpit!$I$5,1)="A",H968,IF(CE968=1,CF968,IF(LEFT(Cockpit!$I$5,1)="B",AT968,MAX(AT968,H968))))</f>
        <v>12</v>
      </c>
      <c r="AP968" s="50" t="n">
        <f aca="false">IF(BW968=1,0,ROUNDUP(AO968/BV968,0))</f>
        <v>1</v>
      </c>
      <c r="AQ968" s="52" t="n">
        <f aca="false">IF(CL968&gt;0,CL968*MAX(1,AO968/X968),IF(BW968=1,IF(AO968&lt;=0,0,CA968*MAX(1,IF(H968&gt;0,AO968/H968,1))),IF(R968&gt;0,AP968/R968,0))/MAX(0.1,N(Parameter!$M$21)))</f>
        <v>0.0384615384615385</v>
      </c>
      <c r="AR968" s="50" t="n">
        <f aca="false">AQ968*BY968</f>
        <v>9.42307692307692</v>
      </c>
      <c r="AS968" s="50" t="n">
        <f aca="false">AO968*G968</f>
        <v>864.6</v>
      </c>
      <c r="AT968" s="50" t="n">
        <f aca="false">ROUNDUP(MAX(J968/IF(CD968&gt;0,CD968,MAX(0.1,N(Cockpit!$I$6))),CG968)/BV968,0)*BV968</f>
        <v>12</v>
      </c>
      <c r="AU968" s="51" t="n">
        <f aca="false">IF(AR968&gt;0,J968/AR968,-1)</f>
        <v>0.106122448979592</v>
      </c>
      <c r="AV968" s="51" t="n">
        <f aca="false">IF(AND(OR(CC968="L1",CC968="L23",CC968="LIFT"),AR968&gt;0),SUMIFS($AR$7:$AR$1843,$CC$7:$CC$1843,CC968,$AU$7:$AU$1843,"&gt;"&amp;AU968)+SUMIFS($AR$7:$AR$1843,$CC$7:$CC$1843,CC968,$AU$7:$AU$1843,AU968,$BT$7:$BT$1843,"&lt;="&amp;BT968),"")</f>
        <v>20368.2760989011</v>
      </c>
      <c r="AW968" s="58" t="n">
        <f aca="false">IF(AV968="",0,MAX(0,MIN(1,(IF(CC968="L1",Parameter!$H$5,IF(CC968="L23",Parameter!$H$6+Parameter!$H$7,Parameter!$H$5+Parameter!$H$6+Parameter!$H$7))-(AV968-AR968))/AR968)))</f>
        <v>1</v>
      </c>
      <c r="AX968" s="50" t="n">
        <f aca="false">IF(LEFT(Cockpit!$O$5,1)="A",H968,IF(CE968=1,CF968,IF(LEFT(Cockpit!$O$5,1)="B",BC968,MAX(BC968,H968))))</f>
        <v>12</v>
      </c>
      <c r="AY968" s="50" t="n">
        <f aca="false">IF(BW968=1,0,ROUNDUP(AX968/BV968,0))</f>
        <v>1</v>
      </c>
      <c r="AZ968" s="52" t="n">
        <f aca="false">IF(CL968&gt;0,CL968*MAX(1,AX968/X968),IF(BW968=1,IF(AX968&lt;=0,0,CA968*MAX(1,IF(H968&gt;0,AX968/H968,1))),IF(R968&gt;0,AY968/R968,0))/MAX(0.1,N(Parameter!$M$21)))</f>
        <v>0.0384615384615385</v>
      </c>
      <c r="BA968" s="50" t="n">
        <f aca="false">AZ968*BY968</f>
        <v>9.42307692307692</v>
      </c>
      <c r="BB968" s="50" t="n">
        <f aca="false">AX968*G968</f>
        <v>864.6</v>
      </c>
      <c r="BC968" s="50" t="n">
        <f aca="false">ROUNDUP(MAX(J968/IF(CD968&gt;0,CD968,MAX(0.1,N(Cockpit!$O$6))),CG968)/BV968,0)*BV968</f>
        <v>12</v>
      </c>
      <c r="BD968" s="51" t="n">
        <f aca="false">IF(BA968&gt;0,J968/BA968,-1)</f>
        <v>0.106122448979592</v>
      </c>
      <c r="BE968" s="51" t="n">
        <f aca="false">IF(AND(OR(CC968="L1",CC968="L23",CC968="LIFT"),BA968&gt;0),SUMIFS($BA$7:$BA$1843,$CC$7:$CC$1843,CC968,$BD$7:$BD$1843,"&gt;"&amp;BD968)+SUMIFS($BA$7:$BA$1843,$CC$7:$CC$1843,CC968,$BD$7:$BD$1843,BD968,$BT$7:$BT$1843,"&lt;="&amp;BT968),"")</f>
        <v>20989.8182725937</v>
      </c>
      <c r="BF968" s="58" t="n">
        <f aca="false">IF(BE968="",0,MAX(0,MIN(1,(IF(CC968="L1",Parameter!$H$5,IF(CC968="L23",Parameter!$H$6+Parameter!$H$7,Parameter!$H$5+Parameter!$H$6+Parameter!$H$7))-(BE968-BA968))/BA968)))</f>
        <v>1</v>
      </c>
      <c r="BG968" s="48" t="str">
        <f aca="false">IF(AI968&lt;=0,"",IF(CC968="Aussen","Aussenlager",IF(CC968="-","Nicht im Lift",IF(AN968&gt;=1,"Lift",IF(AN968&lt;=0,"Aussenlager","teilweise")))))</f>
        <v>Lift</v>
      </c>
      <c r="BH968" s="48" t="str">
        <f aca="false">IF(AR968&lt;=0,"",IF(CC968="Aussen","Aussenlager",IF(CC968="-","Nicht im Lift",IF(AW968&gt;=1,"Lift",IF(AW968&lt;=0,"Aussenlager","teilweise")))))</f>
        <v>Lift</v>
      </c>
      <c r="BI968" s="48" t="str">
        <f aca="false">IF(BA968&lt;=0,"",IF(CC968="Aussen","Aussenlager",IF(CC968="-","Nicht im Lift",IF(BF968&gt;=1,"Lift",IF(BF968&lt;=0,"Aussenlager","teilweise")))))</f>
        <v>Lift</v>
      </c>
      <c r="BJ968" s="48" t="str">
        <f aca="false">IF(A968="","",IF(BS968=1,"Neu; ","")&amp;IF(AND(BS968=0,BN968&lt;0),"negativer Bestand (Export "&amp;BN968&amp;"); ","")&amp;IF(J968&lt;=0,"Kein Verbrauch; ","")&amp;IF(CL968&gt;0,"Lift "&amp;W968&amp;" lt. Liftbericht (Fach "&amp;X968&amp;" Stk); ",IF(BX968=1,"Gebinde geschätzt ("&amp;T968&amp;"); ",IF(BW968=1,"Lose – Tablare geschätzt; ","")))&amp;IF(H968&gt;AT968,"Überbestand "&amp;ROUND(H968-AT968,0)&amp;" Stk / CHF "&amp;ROUND((H968-AT968)*G968,0)&amp;"; ","")&amp;IF(AND(CE968=1,CF968&lt;CG968),"MAX &lt; MB+LG; ","")&amp;IF(AND(CK968&gt;0,CJ968*10&gt;CK968),"zu hoch für Tablar; ","")&amp;IF(AND(BS968=0,OR(CE968=1,AA968&lt;&gt;"",U968&lt;&gt;"",V968&lt;&gt;"",AB968&lt;&gt;"")),"manuell übersteuert; ","")&amp;IF(AND(BW968=0,R968=0),"Gebinde unbekannt / Stellmass fehlt; ","")&amp;IF(AND(BW968=0,N(V968)&lt;=0,N(Q968)&lt;=0),"Menge pro Gebinde fehlt (Ist = 1 Gebinde); ","")&amp;BR968)</f>
        <v>negativer Bestand (Export -1); </v>
      </c>
      <c r="BK968" s="48"/>
      <c r="BL968" s="48"/>
      <c r="BM968" s="55"/>
      <c r="BN968" s="50" t="n">
        <v>-1</v>
      </c>
      <c r="BO968" s="50" t="n">
        <v>7</v>
      </c>
      <c r="BP968" s="49" t="n">
        <v>-72.05</v>
      </c>
      <c r="BQ968" s="50" t="n">
        <v>1</v>
      </c>
      <c r="BR968" s="48"/>
      <c r="BS968" s="53" t="n">
        <v>0</v>
      </c>
      <c r="BT968" s="53" t="n">
        <v>968</v>
      </c>
      <c r="BU968" s="48" t="str">
        <f aca="false">IF(U968&lt;&gt;"",UPPER(TRIM(U968)),IF(BX968=1,UPPER(VLOOKUP(T968,Parameter!$I$27:$K$29,2,0)),IF(P968="","LOSE",P968)))</f>
        <v>S52</v>
      </c>
      <c r="BV968" s="50" t="n">
        <f aca="false">IF(BU968="LOSE",1,IF(N(V968)&gt;0,V968,IF(BX968=1,MAX(1,N(VLOOKUP(T968,Parameter!$I$27:$K$29,3,0)),H968,N(N968)),IF(N(Q968)&gt;0,Q968,MAX(1,H968)))))</f>
        <v>12</v>
      </c>
      <c r="BW968" s="53" t="n">
        <f aca="false">IF(BU968="LOSE",1,0)</f>
        <v>0</v>
      </c>
      <c r="BX968" s="53" t="n">
        <f aca="false">IF(AND(U968="",OR(P968="",P968="LOSE"),T968&lt;&gt;"",N(S968)&lt;=0,ISNUMBER(MATCH(T968,Parameter!$I$27:$I$29,0))),1,0)</f>
        <v>0</v>
      </c>
      <c r="BY968" s="53" t="n">
        <f aca="false">IF(CL968&gt;0,INDEX(Parameter!$H$5:$H$7,W968)/INDEX(Parameter!$E$5:$E$7,W968),IF(AND(BW968=0,N(IFERROR(VLOOKUP(BU968,'Gebinde-Kategorie'!$A$5:$N$45,14,0),0))&gt;0),VLOOKUP(BU968,'Gebinde-Kategorie'!$A$5:$N$45,14,0)*10+Parameter!$M$23,Parameter!$M$24))</f>
        <v>245</v>
      </c>
      <c r="BZ968" s="48" t="str">
        <f aca="false">IF(AND(Parameter!$B$19="Ja",E968&lt;&gt;"",ISNUMBER(MATCH(E968,Parameter!$I$35:$I$52,0))),VLOOKUP(E968,Parameter!$I$35:$J$52,2,0),IFERROR(VLOOKUP(D968,Parameter!$A$35:$C$64,2,0),"Nein"))</f>
        <v>2+3</v>
      </c>
      <c r="CA968" s="52" t="n">
        <f aca="false">IF(BW968=0,0,IF(N(S968)&gt;0,S968,IFERROR(VLOOKUP(D968,Parameter!$A$35:$C$64,3,0)+0,0)))</f>
        <v>0</v>
      </c>
      <c r="CB968" s="48" t="n">
        <f aca="false">IF(AA968&lt;&gt;"",AA968,Z968)</f>
        <v>3</v>
      </c>
      <c r="CC968" s="48" t="str">
        <f aca="false">IF(OR(CB968=1,CB968=2,CB968=3),IF(Parameter!$E$27="Ja","LIFT",IF(CB968=1,"L1","L23")),IF(CB968="Aussen","Aussen","-"))</f>
        <v>LIFT</v>
      </c>
      <c r="CD968" s="59" t="n">
        <f aca="false">IF(N(AB968)&gt;0,AB968,0)</f>
        <v>0</v>
      </c>
      <c r="CE968" s="53" t="n">
        <f aca="false">IF(ISNUMBER(AE968),1,0)</f>
        <v>0</v>
      </c>
      <c r="CF968" s="50" t="n">
        <f aca="false">N(AE968)</f>
        <v>0</v>
      </c>
      <c r="CG968" s="50" t="n">
        <f aca="false">N(M968)+N(N968)</f>
        <v>1</v>
      </c>
      <c r="CH968" s="50" t="n">
        <f aca="false">ROUNDUP(H968/BV968,0)</f>
        <v>1</v>
      </c>
      <c r="CI968" s="50" t="n">
        <f aca="false">ROUNDUP(CF968/BV968,0)</f>
        <v>0</v>
      </c>
      <c r="CJ968" s="53" t="n">
        <f aca="false">IF(BW968=1,0,IFERROR(VLOOKUP(BU968,'Gebinde-Kategorie'!$A$5:$N$45,5,0)+0,0))</f>
        <v>21</v>
      </c>
      <c r="CK968" s="53" t="n">
        <f aca="false">IFERROR(IF(OR(CB968=1,CB968=2,CB968=3),N(INDEX(Parameter!$I$5:$I$7,CB968)),0),0)</f>
        <v>0</v>
      </c>
      <c r="CL968" s="52" t="n">
        <f aca="false">IF(AND(Parameter!$B$21="Ja",ISNUMBER(W968),N(X968)&gt;0),IFERROR(N(INDEX(Parameter!$L$5:$L$7,W968))*INDEX(Parameter!$E$5:$E$7,W968)*X968/SUMIFS($X$7:$X$1843,$W$7:$W$1843,W968),0),0)</f>
        <v>0</v>
      </c>
    </row>
    <row r="969" customFormat="false" ht="15" hidden="false" customHeight="false" outlineLevel="0" collapsed="false">
      <c r="A969" s="48" t="s">
        <v>1804</v>
      </c>
      <c r="B969" s="48" t="s">
        <v>639</v>
      </c>
      <c r="C969" s="48" t="s">
        <v>168</v>
      </c>
      <c r="D969" s="48" t="s">
        <v>177</v>
      </c>
      <c r="E969" s="48"/>
      <c r="F969" s="48" t="s">
        <v>222</v>
      </c>
      <c r="G969" s="49" t="n">
        <v>36.14</v>
      </c>
      <c r="H969" s="50" t="n">
        <f aca="false">MAX(0,IF(AND(Parameter!$B$21="Ja",ISNUMBER(Y969)),Y969,IF(Parameter!$B$20="Jahresanfang 2025 + Export",BO969+BN969,BN969)))</f>
        <v>17</v>
      </c>
      <c r="I969" s="50" t="n">
        <f aca="false">H969*G969</f>
        <v>614.38</v>
      </c>
      <c r="J969" s="50" t="n">
        <f aca="false">BQ969*Parameter!$B$18</f>
        <v>2</v>
      </c>
      <c r="K969" s="51" t="n">
        <v>18</v>
      </c>
      <c r="L969" s="52" t="n">
        <v>0.111111111111111</v>
      </c>
      <c r="M969" s="50" t="n">
        <v>10</v>
      </c>
      <c r="N969" s="50" t="n">
        <v>1</v>
      </c>
      <c r="O969" s="53" t="n">
        <v>28</v>
      </c>
      <c r="P969" s="48" t="s">
        <v>172</v>
      </c>
      <c r="Q969" s="50"/>
      <c r="R969" s="53" t="n">
        <f aca="false">IF(BW969=1,0,IFERROR(VLOOKUP(BU969,'Gebinde-Kategorie'!$A$5:$N$45,13,0)+0,0))</f>
        <v>12</v>
      </c>
      <c r="S969" s="54"/>
      <c r="T969" s="55" t="s">
        <v>183</v>
      </c>
      <c r="U969" s="55"/>
      <c r="V969" s="55"/>
      <c r="W969" s="48"/>
      <c r="X969" s="50"/>
      <c r="Y969" s="50"/>
      <c r="Z969" s="48" t="n">
        <f aca="false">IF(A969="","",IF(AND(Parameter!$B$21="Ja",ISNUMBER(W969)),W969,IF(BZ969="2+3",IF(ISNUMBER(SEARCH("grosser Artikel",BR969)),2,IFERROR(VLOOKUP(BU969,Parameter!$F$35:$G$64,2,0),2)),IF(OR(BZ969="Nein",BZ969=""),"-",BZ969))))</f>
        <v>2</v>
      </c>
      <c r="AA969" s="55"/>
      <c r="AB969" s="56"/>
      <c r="AC969" s="50" t="n">
        <f aca="false">AT969</f>
        <v>17</v>
      </c>
      <c r="AD969" s="50" t="n">
        <f aca="false">MAX(AT969,H969)</f>
        <v>17</v>
      </c>
      <c r="AE969" s="57"/>
      <c r="AF969" s="50" t="n">
        <f aca="false">IF(LEFT(Cockpit!$C$5,1)="A",H969,IF(CE969=1,CF969,IF(LEFT(Cockpit!$C$5,1)="B",AK969,MAX(AK969,H969))))</f>
        <v>17</v>
      </c>
      <c r="AG969" s="50" t="n">
        <f aca="false">IF(BW969=1,0,ROUNDUP(AF969/BV969,0))</f>
        <v>1</v>
      </c>
      <c r="AH969" s="52" t="n">
        <f aca="false">IF(CL969&gt;0,CL969*MAX(1,AF969/X969),IF(BW969=1,IF(AF969&lt;=0,0,CA969*MAX(1,IF(H969&gt;0,AF969/H969,1))),IF(R969&gt;0,AG969/R969,0))/MAX(0.1,N(Parameter!$M$21)))</f>
        <v>0.0833333333333333</v>
      </c>
      <c r="AI969" s="50" t="n">
        <f aca="false">AH969*BY969</f>
        <v>12.0833333333333</v>
      </c>
      <c r="AJ969" s="50" t="n">
        <f aca="false">AF969*G969</f>
        <v>614.38</v>
      </c>
      <c r="AK969" s="50" t="n">
        <f aca="false">ROUNDUP(MAX(J969/IF(CD969&gt;0,CD969,MAX(0.1,N(Cockpit!$C$6))),CG969)/BV969,0)*BV969</f>
        <v>17</v>
      </c>
      <c r="AL969" s="51" t="n">
        <f aca="false">IF(AI969&gt;0,J969/AI969,-1)</f>
        <v>0.16551724137931</v>
      </c>
      <c r="AM969" s="51" t="n">
        <f aca="false">IF(AND(OR(CC969="L1",CC969="L23",CC969="LIFT"),AI969&gt;0),SUMIFS($AI$7:$AI$1843,$CC$7:$CC$1843,CC969,$AL$7:$AL$1843,"&gt;"&amp;AL969)+SUMIFS($AI$7:$AI$1843,$CC$7:$CC$1843,CC969,$AL$7:$AL$1843,AL969,$BT$7:$BT$1843,"&lt;="&amp;BT969),"")</f>
        <v>12829.5734644358</v>
      </c>
      <c r="AN969" s="58" t="n">
        <f aca="false">IF(AM969="",0,MAX(0,MIN(1,(IF(CC969="L1",Parameter!$H$5,IF(CC969="L23",Parameter!$H$6+Parameter!$H$7,Parameter!$H$5+Parameter!$H$6+Parameter!$H$7))-(AM969-AI969))/AI969)))</f>
        <v>1</v>
      </c>
      <c r="AO969" s="50" t="n">
        <f aca="false">IF(LEFT(Cockpit!$I$5,1)="A",H969,IF(CE969=1,CF969,IF(LEFT(Cockpit!$I$5,1)="B",AT969,MAX(AT969,H969))))</f>
        <v>17</v>
      </c>
      <c r="AP969" s="50" t="n">
        <f aca="false">IF(BW969=1,0,ROUNDUP(AO969/BV969,0))</f>
        <v>1</v>
      </c>
      <c r="AQ969" s="52" t="n">
        <f aca="false">IF(CL969&gt;0,CL969*MAX(1,AO969/X969),IF(BW969=1,IF(AO969&lt;=0,0,CA969*MAX(1,IF(H969&gt;0,AO969/H969,1))),IF(R969&gt;0,AP969/R969,0))/MAX(0.1,N(Parameter!$M$21)))</f>
        <v>0.0833333333333333</v>
      </c>
      <c r="AR969" s="50" t="n">
        <f aca="false">AQ969*BY969</f>
        <v>12.0833333333333</v>
      </c>
      <c r="AS969" s="50" t="n">
        <f aca="false">AO969*G969</f>
        <v>614.38</v>
      </c>
      <c r="AT969" s="50" t="n">
        <f aca="false">ROUNDUP(MAX(J969/IF(CD969&gt;0,CD969,MAX(0.1,N(Cockpit!$I$6))),CG969)/BV969,0)*BV969</f>
        <v>17</v>
      </c>
      <c r="AU969" s="51" t="n">
        <f aca="false">IF(AR969&gt;0,J969/AR969,-1)</f>
        <v>0.16551724137931</v>
      </c>
      <c r="AV969" s="51" t="n">
        <f aca="false">IF(AND(OR(CC969="L1",CC969="L23",CC969="LIFT"),AR969&gt;0),SUMIFS($AR$7:$AR$1843,$CC$7:$CC$1843,CC969,$AU$7:$AU$1843,"&gt;"&amp;AU969)+SUMIFS($AR$7:$AR$1843,$CC$7:$CC$1843,CC969,$AU$7:$AU$1843,AU969,$BT$7:$BT$1843,"&lt;="&amp;BT969),"")</f>
        <v>19410.6478937729</v>
      </c>
      <c r="AW969" s="58" t="n">
        <f aca="false">IF(AV969="",0,MAX(0,MIN(1,(IF(CC969="L1",Parameter!$H$5,IF(CC969="L23",Parameter!$H$6+Parameter!$H$7,Parameter!$H$5+Parameter!$H$6+Parameter!$H$7))-(AV969-AR969))/AR969)))</f>
        <v>1</v>
      </c>
      <c r="AX969" s="50" t="n">
        <f aca="false">IF(LEFT(Cockpit!$O$5,1)="A",H969,IF(CE969=1,CF969,IF(LEFT(Cockpit!$O$5,1)="B",BC969,MAX(BC969,H969))))</f>
        <v>17</v>
      </c>
      <c r="AY969" s="50" t="n">
        <f aca="false">IF(BW969=1,0,ROUNDUP(AX969/BV969,0))</f>
        <v>1</v>
      </c>
      <c r="AZ969" s="52" t="n">
        <f aca="false">IF(CL969&gt;0,CL969*MAX(1,AX969/X969),IF(BW969=1,IF(AX969&lt;=0,0,CA969*MAX(1,IF(H969&gt;0,AX969/H969,1))),IF(R969&gt;0,AY969/R969,0))/MAX(0.1,N(Parameter!$M$21)))</f>
        <v>0.0833333333333333</v>
      </c>
      <c r="BA969" s="50" t="n">
        <f aca="false">AZ969*BY969</f>
        <v>12.0833333333333</v>
      </c>
      <c r="BB969" s="50" t="n">
        <f aca="false">AX969*G969</f>
        <v>614.38</v>
      </c>
      <c r="BC969" s="50" t="n">
        <f aca="false">ROUNDUP(MAX(J969/IF(CD969&gt;0,CD969,MAX(0.1,N(Cockpit!$O$6))),CG969)/BV969,0)*BV969</f>
        <v>17</v>
      </c>
      <c r="BD969" s="51" t="n">
        <f aca="false">IF(BA969&gt;0,J969/BA969,-1)</f>
        <v>0.16551724137931</v>
      </c>
      <c r="BE969" s="51" t="n">
        <f aca="false">IF(AND(OR(CC969="L1",CC969="L23",CC969="LIFT"),BA969&gt;0),SUMIFS($BA$7:$BA$1843,$CC$7:$CC$1843,CC969,$BD$7:$BD$1843,"&gt;"&amp;BD969)+SUMIFS($BA$7:$BA$1843,$CC$7:$CC$1843,CC969,$BD$7:$BD$1843,BD969,$BT$7:$BT$1843,"&lt;="&amp;BT969),"")</f>
        <v>17436.7216117216</v>
      </c>
      <c r="BF969" s="58" t="n">
        <f aca="false">IF(BE969="",0,MAX(0,MIN(1,(IF(CC969="L1",Parameter!$H$5,IF(CC969="L23",Parameter!$H$6+Parameter!$H$7,Parameter!$H$5+Parameter!$H$6+Parameter!$H$7))-(BE969-BA969))/BA969)))</f>
        <v>1</v>
      </c>
      <c r="BG969" s="48" t="str">
        <f aca="false">IF(AI969&lt;=0,"",IF(CC969="Aussen","Aussenlager",IF(CC969="-","Nicht im Lift",IF(AN969&gt;=1,"Lift",IF(AN969&lt;=0,"Aussenlager","teilweise")))))</f>
        <v>Lift</v>
      </c>
      <c r="BH969" s="48" t="str">
        <f aca="false">IF(AR969&lt;=0,"",IF(CC969="Aussen","Aussenlager",IF(CC969="-","Nicht im Lift",IF(AW969&gt;=1,"Lift",IF(AW969&lt;=0,"Aussenlager","teilweise")))))</f>
        <v>Lift</v>
      </c>
      <c r="BI969" s="48" t="str">
        <f aca="false">IF(BA969&lt;=0,"",IF(CC969="Aussen","Aussenlager",IF(CC969="-","Nicht im Lift",IF(BF969&gt;=1,"Lift",IF(BF969&lt;=0,"Aussenlager","teilweise")))))</f>
        <v>Lift</v>
      </c>
      <c r="BJ969" s="48" t="str">
        <f aca="false">IF(A969="","",IF(BS969=1,"Neu; ","")&amp;IF(AND(BS969=0,BN969&lt;0),"negativer Bestand (Export "&amp;BN969&amp;"); ","")&amp;IF(J969&lt;=0,"Kein Verbrauch; ","")&amp;IF(CL969&gt;0,"Lift "&amp;W969&amp;" lt. Liftbericht (Fach "&amp;X969&amp;" Stk); ",IF(BX969=1,"Gebinde geschätzt ("&amp;T969&amp;"); ",IF(BW969=1,"Lose – Tablare geschätzt; ","")))&amp;IF(H969&gt;AT969,"Überbestand "&amp;ROUND(H969-AT969,0)&amp;" Stk / CHF "&amp;ROUND((H969-AT969)*G969,0)&amp;"; ","")&amp;IF(AND(CE969=1,CF969&lt;CG969),"MAX &lt; MB+LG; ","")&amp;IF(AND(CK969&gt;0,CJ969*10&gt;CK969),"zu hoch für Tablar; ","")&amp;IF(AND(BS969=0,OR(CE969=1,AA969&lt;&gt;"",U969&lt;&gt;"",V969&lt;&gt;"",AB969&lt;&gt;"")),"manuell übersteuert; ","")&amp;IF(AND(BW969=0,R969=0),"Gebinde unbekannt / Stellmass fehlt; ","")&amp;IF(AND(BW969=0,N(V969)&lt;=0,N(Q969)&lt;=0),"Menge pro Gebinde fehlt (Ist = 1 Gebinde); ","")&amp;BR969)</f>
        <v>negativer Bestand (Export -2); Gebinde geschätzt (Mittel); Menge pro Gebinde fehlt (Ist = 1 Gebinde); </v>
      </c>
      <c r="BK969" s="48"/>
      <c r="BL969" s="48"/>
      <c r="BM969" s="55"/>
      <c r="BN969" s="50" t="n">
        <v>-2</v>
      </c>
      <c r="BO969" s="50" t="n">
        <v>19</v>
      </c>
      <c r="BP969" s="49" t="n">
        <v>-72.28</v>
      </c>
      <c r="BQ969" s="50" t="n">
        <v>2</v>
      </c>
      <c r="BR969" s="48"/>
      <c r="BS969" s="53" t="n">
        <v>0</v>
      </c>
      <c r="BT969" s="53" t="n">
        <v>969</v>
      </c>
      <c r="BU969" s="48" t="str">
        <f aca="false">IF(U969&lt;&gt;"",UPPER(TRIM(U969)),IF(BX969=1,UPPER(VLOOKUP(T969,Parameter!$I$27:$K$29,2,0)),IF(P969="","LOSE",P969)))</f>
        <v>S61</v>
      </c>
      <c r="BV969" s="50" t="n">
        <f aca="false">IF(BU969="LOSE",1,IF(N(V969)&gt;0,V969,IF(BX969=1,MAX(1,N(VLOOKUP(T969,Parameter!$I$27:$K$29,3,0)),H969,N(N969)),IF(N(Q969)&gt;0,Q969,MAX(1,H969)))))</f>
        <v>17</v>
      </c>
      <c r="BW969" s="53" t="n">
        <f aca="false">IF(BU969="LOSE",1,0)</f>
        <v>0</v>
      </c>
      <c r="BX969" s="53" t="n">
        <f aca="false">IF(AND(U969="",OR(P969="",P969="LOSE"),T969&lt;&gt;"",N(S969)&lt;=0,ISNUMBER(MATCH(T969,Parameter!$I$27:$I$29,0))),1,0)</f>
        <v>1</v>
      </c>
      <c r="BY969" s="53" t="n">
        <f aca="false">IF(CL969&gt;0,INDEX(Parameter!$H$5:$H$7,W969)/INDEX(Parameter!$E$5:$E$7,W969),IF(AND(BW969=0,N(IFERROR(VLOOKUP(BU969,'Gebinde-Kategorie'!$A$5:$N$45,14,0),0))&gt;0),VLOOKUP(BU969,'Gebinde-Kategorie'!$A$5:$N$45,14,0)*10+Parameter!$M$23,Parameter!$M$24))</f>
        <v>145</v>
      </c>
      <c r="BZ969" s="48" t="str">
        <f aca="false">IF(AND(Parameter!$B$19="Ja",E969&lt;&gt;"",ISNUMBER(MATCH(E969,Parameter!$I$35:$I$52,0))),VLOOKUP(E969,Parameter!$I$35:$J$52,2,0),IFERROR(VLOOKUP(D969,Parameter!$A$35:$C$64,2,0),"Nein"))</f>
        <v>2+3</v>
      </c>
      <c r="CA969" s="52" t="n">
        <f aca="false">IF(BW969=0,0,IF(N(S969)&gt;0,S969,IFERROR(VLOOKUP(D969,Parameter!$A$35:$C$64,3,0)+0,0)))</f>
        <v>0</v>
      </c>
      <c r="CB969" s="48" t="n">
        <f aca="false">IF(AA969&lt;&gt;"",AA969,Z969)</f>
        <v>2</v>
      </c>
      <c r="CC969" s="48" t="str">
        <f aca="false">IF(OR(CB969=1,CB969=2,CB969=3),IF(Parameter!$E$27="Ja","LIFT",IF(CB969=1,"L1","L23")),IF(CB969="Aussen","Aussen","-"))</f>
        <v>LIFT</v>
      </c>
      <c r="CD969" s="59" t="n">
        <f aca="false">IF(N(AB969)&gt;0,AB969,0)</f>
        <v>0</v>
      </c>
      <c r="CE969" s="53" t="n">
        <f aca="false">IF(ISNUMBER(AE969),1,0)</f>
        <v>0</v>
      </c>
      <c r="CF969" s="50" t="n">
        <f aca="false">N(AE969)</f>
        <v>0</v>
      </c>
      <c r="CG969" s="50" t="n">
        <f aca="false">N(M969)+N(N969)</f>
        <v>11</v>
      </c>
      <c r="CH969" s="50" t="n">
        <f aca="false">ROUNDUP(H969/BV969,0)</f>
        <v>1</v>
      </c>
      <c r="CI969" s="50" t="n">
        <f aca="false">ROUNDUP(CF969/BV969,0)</f>
        <v>0</v>
      </c>
      <c r="CJ969" s="53" t="n">
        <f aca="false">IF(BW969=1,0,IFERROR(VLOOKUP(BU969,'Gebinde-Kategorie'!$A$5:$N$45,5,0)+0,0))</f>
        <v>11</v>
      </c>
      <c r="CK969" s="53" t="n">
        <f aca="false">IFERROR(IF(OR(CB969=1,CB969=2,CB969=3),N(INDEX(Parameter!$I$5:$I$7,CB969)),0),0)</f>
        <v>0</v>
      </c>
      <c r="CL969" s="52" t="n">
        <f aca="false">IF(AND(Parameter!$B$21="Ja",ISNUMBER(W969),N(X969)&gt;0),IFERROR(N(INDEX(Parameter!$L$5:$L$7,W969))*INDEX(Parameter!$E$5:$E$7,W969)*X969/SUMIFS($X$7:$X$1843,$W$7:$W$1843,W969),0),0)</f>
        <v>0</v>
      </c>
    </row>
    <row r="970" customFormat="false" ht="15" hidden="false" customHeight="false" outlineLevel="0" collapsed="false">
      <c r="A970" s="48" t="s">
        <v>1805</v>
      </c>
      <c r="B970" s="48" t="s">
        <v>721</v>
      </c>
      <c r="C970" s="48" t="s">
        <v>168</v>
      </c>
      <c r="D970" s="48" t="s">
        <v>177</v>
      </c>
      <c r="E970" s="48" t="s">
        <v>170</v>
      </c>
      <c r="F970" s="48" t="s">
        <v>222</v>
      </c>
      <c r="G970" s="49" t="n">
        <v>72.28</v>
      </c>
      <c r="H970" s="50" t="n">
        <f aca="false">MAX(0,IF(AND(Parameter!$B$21="Ja",ISNUMBER(Y970)),Y970,IF(Parameter!$B$20="Jahresanfang 2025 + Export",BO970+BN970,BN970)))</f>
        <v>25</v>
      </c>
      <c r="I970" s="50" t="n">
        <f aca="false">H970*G970</f>
        <v>1807</v>
      </c>
      <c r="J970" s="50" t="n">
        <f aca="false">BQ970*Parameter!$B$18</f>
        <v>0</v>
      </c>
      <c r="K970" s="51" t="n">
        <v>26</v>
      </c>
      <c r="L970" s="52" t="n">
        <v>0</v>
      </c>
      <c r="M970" s="50" t="n">
        <v>0</v>
      </c>
      <c r="N970" s="50" t="n">
        <v>1</v>
      </c>
      <c r="O970" s="53" t="n">
        <v>28</v>
      </c>
      <c r="P970" s="48" t="s">
        <v>190</v>
      </c>
      <c r="Q970" s="50" t="n">
        <v>26</v>
      </c>
      <c r="R970" s="53" t="n">
        <f aca="false">IF(BW970=1,0,IFERROR(VLOOKUP(BU970,'Gebinde-Kategorie'!$A$5:$N$45,13,0)+0,0))</f>
        <v>12</v>
      </c>
      <c r="S970" s="54"/>
      <c r="T970" s="55"/>
      <c r="U970" s="55"/>
      <c r="V970" s="55"/>
      <c r="W970" s="48"/>
      <c r="X970" s="50"/>
      <c r="Y970" s="50"/>
      <c r="Z970" s="48" t="n">
        <f aca="false">IF(A970="","",IF(AND(Parameter!$B$21="Ja",ISNUMBER(W970)),W970,IF(BZ970="2+3",IF(ISNUMBER(SEARCH("grosser Artikel",BR970)),2,IFERROR(VLOOKUP(BU970,Parameter!$F$35:$G$64,2,0),2)),IF(OR(BZ970="Nein",BZ970=""),"-",BZ970))))</f>
        <v>1</v>
      </c>
      <c r="AA970" s="55"/>
      <c r="AB970" s="56"/>
      <c r="AC970" s="50" t="n">
        <f aca="false">AT970</f>
        <v>26</v>
      </c>
      <c r="AD970" s="50" t="n">
        <f aca="false">MAX(AT970,H970)</f>
        <v>26</v>
      </c>
      <c r="AE970" s="57"/>
      <c r="AF970" s="50" t="n">
        <f aca="false">IF(LEFT(Cockpit!$C$5,1)="A",H970,IF(CE970=1,CF970,IF(LEFT(Cockpit!$C$5,1)="B",AK970,MAX(AK970,H970))))</f>
        <v>25</v>
      </c>
      <c r="AG970" s="50" t="n">
        <f aca="false">IF(BW970=1,0,ROUNDUP(AF970/BV970,0))</f>
        <v>1</v>
      </c>
      <c r="AH970" s="52" t="n">
        <f aca="false">IF(CL970&gt;0,CL970*MAX(1,AF970/X970),IF(BW970=1,IF(AF970&lt;=0,0,CA970*MAX(1,IF(H970&gt;0,AF970/H970,1))),IF(R970&gt;0,AG970/R970,0))/MAX(0.1,N(Parameter!$M$21)))</f>
        <v>0.0833333333333333</v>
      </c>
      <c r="AI970" s="50" t="n">
        <f aca="false">AH970*BY970</f>
        <v>12.0833333333333</v>
      </c>
      <c r="AJ970" s="50" t="n">
        <f aca="false">AF970*G970</f>
        <v>1807</v>
      </c>
      <c r="AK970" s="50" t="n">
        <f aca="false">ROUNDUP(MAX(J970/IF(CD970&gt;0,CD970,MAX(0.1,N(Cockpit!$C$6))),CG970)/BV970,0)*BV970</f>
        <v>26</v>
      </c>
      <c r="AL970" s="51" t="n">
        <f aca="false">IF(AI970&gt;0,J970/AI970,-1)</f>
        <v>0</v>
      </c>
      <c r="AM970" s="51" t="n">
        <f aca="false">IF(AND(OR(CC970="L1",CC970="L23",CC970="LIFT"),AI970&gt;0),SUMIFS($AI$7:$AI$1843,$CC$7:$CC$1843,CC970,$AL$7:$AL$1843,"&gt;"&amp;AL970)+SUMIFS($AI$7:$AI$1843,$CC$7:$CC$1843,CC970,$AL$7:$AL$1843,AL970,$BT$7:$BT$1843,"&lt;="&amp;BT970),"")</f>
        <v>28900.8389959852</v>
      </c>
      <c r="AN970" s="58" t="n">
        <f aca="false">IF(AM970="",0,MAX(0,MIN(1,(IF(CC970="L1",Parameter!$H$5,IF(CC970="L23",Parameter!$H$6+Parameter!$H$7,Parameter!$H$5+Parameter!$H$6+Parameter!$H$7))-(AM970-AI970))/AI970)))</f>
        <v>1</v>
      </c>
      <c r="AO970" s="50" t="n">
        <f aca="false">IF(LEFT(Cockpit!$I$5,1)="A",H970,IF(CE970=1,CF970,IF(LEFT(Cockpit!$I$5,1)="B",AT970,MAX(AT970,H970))))</f>
        <v>26</v>
      </c>
      <c r="AP970" s="50" t="n">
        <f aca="false">IF(BW970=1,0,ROUNDUP(AO970/BV970,0))</f>
        <v>1</v>
      </c>
      <c r="AQ970" s="52" t="n">
        <f aca="false">IF(CL970&gt;0,CL970*MAX(1,AO970/X970),IF(BW970=1,IF(AO970&lt;=0,0,CA970*MAX(1,IF(H970&gt;0,AO970/H970,1))),IF(R970&gt;0,AP970/R970,0))/MAX(0.1,N(Parameter!$M$21)))</f>
        <v>0.0833333333333333</v>
      </c>
      <c r="AR970" s="50" t="n">
        <f aca="false">AQ970*BY970</f>
        <v>12.0833333333333</v>
      </c>
      <c r="AS970" s="50" t="n">
        <f aca="false">AO970*G970</f>
        <v>1879.28</v>
      </c>
      <c r="AT970" s="50" t="n">
        <f aca="false">ROUNDUP(MAX(J970/IF(CD970&gt;0,CD970,MAX(0.1,N(Cockpit!$I$6))),CG970)/BV970,0)*BV970</f>
        <v>26</v>
      </c>
      <c r="AU970" s="51" t="n">
        <f aca="false">IF(AR970&gt;0,J970/AR970,-1)</f>
        <v>0</v>
      </c>
      <c r="AV970" s="51" t="n">
        <f aca="false">IF(AND(OR(CC970="L1",CC970="L23",CC970="LIFT"),AR970&gt;0),SUMIFS($AR$7:$AR$1843,$CC$7:$CC$1843,CC970,$AU$7:$AU$1843,"&gt;"&amp;AU970)+SUMIFS($AR$7:$AR$1843,$CC$7:$CC$1843,CC970,$AU$7:$AU$1843,AU970,$BT$7:$BT$1843,"&lt;="&amp;BT970),"")</f>
        <v>40535.0439638046</v>
      </c>
      <c r="AW970" s="58" t="n">
        <f aca="false">IF(AV970="",0,MAX(0,MIN(1,(IF(CC970="L1",Parameter!$H$5,IF(CC970="L23",Parameter!$H$6+Parameter!$H$7,Parameter!$H$5+Parameter!$H$6+Parameter!$H$7))-(AV970-AR970))/AR970)))</f>
        <v>0</v>
      </c>
      <c r="AX970" s="50" t="n">
        <f aca="false">IF(LEFT(Cockpit!$O$5,1)="A",H970,IF(CE970=1,CF970,IF(LEFT(Cockpit!$O$5,1)="B",BC970,MAX(BC970,H970))))</f>
        <v>26</v>
      </c>
      <c r="AY970" s="50" t="n">
        <f aca="false">IF(BW970=1,0,ROUNDUP(AX970/BV970,0))</f>
        <v>1</v>
      </c>
      <c r="AZ970" s="52" t="n">
        <f aca="false">IF(CL970&gt;0,CL970*MAX(1,AX970/X970),IF(BW970=1,IF(AX970&lt;=0,0,CA970*MAX(1,IF(H970&gt;0,AX970/H970,1))),IF(R970&gt;0,AY970/R970,0))/MAX(0.1,N(Parameter!$M$21)))</f>
        <v>0.0833333333333333</v>
      </c>
      <c r="BA970" s="50" t="n">
        <f aca="false">AZ970*BY970</f>
        <v>12.0833333333333</v>
      </c>
      <c r="BB970" s="50" t="n">
        <f aca="false">AX970*G970</f>
        <v>1879.28</v>
      </c>
      <c r="BC970" s="50" t="n">
        <f aca="false">ROUNDUP(MAX(J970/IF(CD970&gt;0,CD970,MAX(0.1,N(Cockpit!$O$6))),CG970)/BV970,0)*BV970</f>
        <v>26</v>
      </c>
      <c r="BD970" s="51" t="n">
        <f aca="false">IF(BA970&gt;0,J970/BA970,-1)</f>
        <v>0</v>
      </c>
      <c r="BE970" s="51" t="n">
        <f aca="false">IF(AND(OR(CC970="L1",CC970="L23",CC970="LIFT"),BA970&gt;0),SUMIFS($BA$7:$BA$1843,$CC$7:$CC$1843,CC970,$BD$7:$BD$1843,"&gt;"&amp;BD970)+SUMIFS($BA$7:$BA$1843,$CC$7:$CC$1843,CC970,$BD$7:$BD$1843,BD970,$BT$7:$BT$1843,"&lt;="&amp;BT970),"")</f>
        <v>37210.0560056704</v>
      </c>
      <c r="BF970" s="58" t="n">
        <f aca="false">IF(BE970="",0,MAX(0,MIN(1,(IF(CC970="L1",Parameter!$H$5,IF(CC970="L23",Parameter!$H$6+Parameter!$H$7,Parameter!$H$5+Parameter!$H$6+Parameter!$H$7))-(BE970-BA970))/BA970)))</f>
        <v>0</v>
      </c>
      <c r="BG970" s="48" t="str">
        <f aca="false">IF(AI970&lt;=0,"",IF(CC970="Aussen","Aussenlager",IF(CC970="-","Nicht im Lift",IF(AN970&gt;=1,"Lift",IF(AN970&lt;=0,"Aussenlager","teilweise")))))</f>
        <v>Lift</v>
      </c>
      <c r="BH970" s="48" t="str">
        <f aca="false">IF(AR970&lt;=0,"",IF(CC970="Aussen","Aussenlager",IF(CC970="-","Nicht im Lift",IF(AW970&gt;=1,"Lift",IF(AW970&lt;=0,"Aussenlager","teilweise")))))</f>
        <v>Aussenlager</v>
      </c>
      <c r="BI970" s="48" t="str">
        <f aca="false">IF(BA970&lt;=0,"",IF(CC970="Aussen","Aussenlager",IF(CC970="-","Nicht im Lift",IF(BF970&gt;=1,"Lift",IF(BF970&lt;=0,"Aussenlager","teilweise")))))</f>
        <v>Aussenlager</v>
      </c>
      <c r="BJ970" s="48" t="str">
        <f aca="false">IF(A970="","",IF(BS970=1,"Neu; ","")&amp;IF(AND(BS970=0,BN970&lt;0),"negativer Bestand (Export "&amp;BN970&amp;"); ","")&amp;IF(J970&lt;=0,"Kein Verbrauch; ","")&amp;IF(CL970&gt;0,"Lift "&amp;W970&amp;" lt. Liftbericht (Fach "&amp;X970&amp;" Stk); ",IF(BX970=1,"Gebinde geschätzt ("&amp;T970&amp;"); ",IF(BW970=1,"Lose – Tablare geschätzt; ","")))&amp;IF(H970&gt;AT970,"Überbestand "&amp;ROUND(H970-AT970,0)&amp;" Stk / CHF "&amp;ROUND((H970-AT970)*G970,0)&amp;"; ","")&amp;IF(AND(CE970=1,CF970&lt;CG970),"MAX &lt; MB+LG; ","")&amp;IF(AND(CK970&gt;0,CJ970*10&gt;CK970),"zu hoch für Tablar; ","")&amp;IF(AND(BS970=0,OR(CE970=1,AA970&lt;&gt;"",U970&lt;&gt;"",V970&lt;&gt;"",AB970&lt;&gt;"")),"manuell übersteuert; ","")&amp;IF(AND(BW970=0,R970=0),"Gebinde unbekannt / Stellmass fehlt; ","")&amp;IF(AND(BW970=0,N(V970)&lt;=0,N(Q970)&lt;=0),"Menge pro Gebinde fehlt (Ist = 1 Gebinde); ","")&amp;BR970)</f>
        <v>negativer Bestand (Export -1); Kein Verbrauch; </v>
      </c>
      <c r="BK970" s="48"/>
      <c r="BL970" s="48"/>
      <c r="BM970" s="55"/>
      <c r="BN970" s="50" t="n">
        <v>-1</v>
      </c>
      <c r="BO970" s="50" t="n">
        <v>26</v>
      </c>
      <c r="BP970" s="49" t="n">
        <v>-72.28</v>
      </c>
      <c r="BQ970" s="50" t="n">
        <v>0</v>
      </c>
      <c r="BR970" s="48"/>
      <c r="BS970" s="53" t="n">
        <v>0</v>
      </c>
      <c r="BT970" s="53" t="n">
        <v>970</v>
      </c>
      <c r="BU970" s="48" t="str">
        <f aca="false">IF(U970&lt;&gt;"",UPPER(TRIM(U970)),IF(BX970=1,UPPER(VLOOKUP(T970,Parameter!$I$27:$K$29,2,0)),IF(P970="","LOSE",P970)))</f>
        <v>S61</v>
      </c>
      <c r="BV970" s="50" t="n">
        <f aca="false">IF(BU970="LOSE",1,IF(N(V970)&gt;0,V970,IF(BX970=1,MAX(1,N(VLOOKUP(T970,Parameter!$I$27:$K$29,3,0)),H970,N(N970)),IF(N(Q970)&gt;0,Q970,MAX(1,H970)))))</f>
        <v>26</v>
      </c>
      <c r="BW970" s="53" t="n">
        <f aca="false">IF(BU970="LOSE",1,0)</f>
        <v>0</v>
      </c>
      <c r="BX970" s="53" t="n">
        <f aca="false">IF(AND(U970="",OR(P970="",P970="LOSE"),T970&lt;&gt;"",N(S970)&lt;=0,ISNUMBER(MATCH(T970,Parameter!$I$27:$I$29,0))),1,0)</f>
        <v>0</v>
      </c>
      <c r="BY970" s="53" t="n">
        <f aca="false">IF(CL970&gt;0,INDEX(Parameter!$H$5:$H$7,W970)/INDEX(Parameter!$E$5:$E$7,W970),IF(AND(BW970=0,N(IFERROR(VLOOKUP(BU970,'Gebinde-Kategorie'!$A$5:$N$45,14,0),0))&gt;0),VLOOKUP(BU970,'Gebinde-Kategorie'!$A$5:$N$45,14,0)*10+Parameter!$M$23,Parameter!$M$24))</f>
        <v>145</v>
      </c>
      <c r="BZ970" s="48" t="n">
        <f aca="false">IF(AND(Parameter!$B$19="Ja",E970&lt;&gt;"",ISNUMBER(MATCH(E970,Parameter!$I$35:$I$52,0))),VLOOKUP(E970,Parameter!$I$35:$J$52,2,0),IFERROR(VLOOKUP(D970,Parameter!$A$35:$C$64,2,0),"Nein"))</f>
        <v>1</v>
      </c>
      <c r="CA970" s="52" t="n">
        <f aca="false">IF(BW970=0,0,IF(N(S970)&gt;0,S970,IFERROR(VLOOKUP(D970,Parameter!$A$35:$C$64,3,0)+0,0)))</f>
        <v>0</v>
      </c>
      <c r="CB970" s="48" t="n">
        <f aca="false">IF(AA970&lt;&gt;"",AA970,Z970)</f>
        <v>1</v>
      </c>
      <c r="CC970" s="48" t="str">
        <f aca="false">IF(OR(CB970=1,CB970=2,CB970=3),IF(Parameter!$E$27="Ja","LIFT",IF(CB970=1,"L1","L23")),IF(CB970="Aussen","Aussen","-"))</f>
        <v>LIFT</v>
      </c>
      <c r="CD970" s="59" t="n">
        <f aca="false">IF(N(AB970)&gt;0,AB970,0)</f>
        <v>0</v>
      </c>
      <c r="CE970" s="53" t="n">
        <f aca="false">IF(ISNUMBER(AE970),1,0)</f>
        <v>0</v>
      </c>
      <c r="CF970" s="50" t="n">
        <f aca="false">N(AE970)</f>
        <v>0</v>
      </c>
      <c r="CG970" s="50" t="n">
        <f aca="false">N(M970)+N(N970)</f>
        <v>1</v>
      </c>
      <c r="CH970" s="50" t="n">
        <f aca="false">ROUNDUP(H970/BV970,0)</f>
        <v>1</v>
      </c>
      <c r="CI970" s="50" t="n">
        <f aca="false">ROUNDUP(CF970/BV970,0)</f>
        <v>0</v>
      </c>
      <c r="CJ970" s="53" t="n">
        <f aca="false">IF(BW970=1,0,IFERROR(VLOOKUP(BU970,'Gebinde-Kategorie'!$A$5:$N$45,5,0)+0,0))</f>
        <v>11</v>
      </c>
      <c r="CK970" s="53" t="n">
        <f aca="false">IFERROR(IF(OR(CB970=1,CB970=2,CB970=3),N(INDEX(Parameter!$I$5:$I$7,CB970)),0),0)</f>
        <v>0</v>
      </c>
      <c r="CL970" s="52" t="n">
        <f aca="false">IF(AND(Parameter!$B$21="Ja",ISNUMBER(W970),N(X970)&gt;0),IFERROR(N(INDEX(Parameter!$L$5:$L$7,W970))*INDEX(Parameter!$E$5:$E$7,W970)*X970/SUMIFS($X$7:$X$1843,$W$7:$W$1843,W970),0),0)</f>
        <v>0</v>
      </c>
    </row>
    <row r="971" customFormat="false" ht="15" hidden="false" customHeight="false" outlineLevel="0" collapsed="false">
      <c r="A971" s="48" t="s">
        <v>1806</v>
      </c>
      <c r="B971" s="48" t="s">
        <v>1807</v>
      </c>
      <c r="C971" s="48" t="s">
        <v>168</v>
      </c>
      <c r="D971" s="48" t="s">
        <v>188</v>
      </c>
      <c r="E971" s="48" t="s">
        <v>189</v>
      </c>
      <c r="F971" s="48" t="s">
        <v>222</v>
      </c>
      <c r="G971" s="49" t="n">
        <v>72.69</v>
      </c>
      <c r="H971" s="50" t="n">
        <f aca="false">MAX(0,IF(AND(Parameter!$B$21="Ja",ISNUMBER(Y971)),Y971,IF(Parameter!$B$20="Jahresanfang 2025 + Export",BO971+BN971,BN971)))</f>
        <v>9</v>
      </c>
      <c r="I971" s="50" t="n">
        <f aca="false">H971*G971</f>
        <v>654.21</v>
      </c>
      <c r="J971" s="50" t="n">
        <f aca="false">BQ971*Parameter!$B$18</f>
        <v>0</v>
      </c>
      <c r="K971" s="51" t="n">
        <v>9.5</v>
      </c>
      <c r="L971" s="52" t="n">
        <v>0</v>
      </c>
      <c r="M971" s="50" t="n">
        <v>0</v>
      </c>
      <c r="N971" s="50" t="n">
        <v>1</v>
      </c>
      <c r="O971" s="53" t="n">
        <v>97</v>
      </c>
      <c r="P971" s="48" t="s">
        <v>237</v>
      </c>
      <c r="Q971" s="50" t="n">
        <v>10</v>
      </c>
      <c r="R971" s="53" t="n">
        <f aca="false">IF(BW971=1,0,IFERROR(VLOOKUP(BU971,'Gebinde-Kategorie'!$A$5:$N$45,13,0)+0,0))</f>
        <v>26</v>
      </c>
      <c r="S971" s="54"/>
      <c r="T971" s="55"/>
      <c r="U971" s="55"/>
      <c r="V971" s="55"/>
      <c r="W971" s="48"/>
      <c r="X971" s="50"/>
      <c r="Y971" s="50"/>
      <c r="Z971" s="48" t="n">
        <f aca="false">IF(A971="","",IF(AND(Parameter!$B$21="Ja",ISNUMBER(W971)),W971,IF(BZ971="2+3",IF(ISNUMBER(SEARCH("grosser Artikel",BR971)),2,IFERROR(VLOOKUP(BU971,Parameter!$F$35:$G$64,2,0),2)),IF(OR(BZ971="Nein",BZ971=""),"-",BZ971))))</f>
        <v>3</v>
      </c>
      <c r="AA971" s="55"/>
      <c r="AB971" s="56"/>
      <c r="AC971" s="50" t="n">
        <f aca="false">AT971</f>
        <v>10</v>
      </c>
      <c r="AD971" s="50" t="n">
        <f aca="false">MAX(AT971,H971)</f>
        <v>10</v>
      </c>
      <c r="AE971" s="57"/>
      <c r="AF971" s="50" t="n">
        <f aca="false">IF(LEFT(Cockpit!$C$5,1)="A",H971,IF(CE971=1,CF971,IF(LEFT(Cockpit!$C$5,1)="B",AK971,MAX(AK971,H971))))</f>
        <v>9</v>
      </c>
      <c r="AG971" s="50" t="n">
        <f aca="false">IF(BW971=1,0,ROUNDUP(AF971/BV971,0))</f>
        <v>1</v>
      </c>
      <c r="AH971" s="52" t="n">
        <f aca="false">IF(CL971&gt;0,CL971*MAX(1,AF971/X971),IF(BW971=1,IF(AF971&lt;=0,0,CA971*MAX(1,IF(H971&gt;0,AF971/H971,1))),IF(R971&gt;0,AG971/R971,0))/MAX(0.1,N(Parameter!$M$21)))</f>
        <v>0.0384615384615385</v>
      </c>
      <c r="AI971" s="50" t="n">
        <f aca="false">AH971*BY971</f>
        <v>9.42307692307692</v>
      </c>
      <c r="AJ971" s="50" t="n">
        <f aca="false">AF971*G971</f>
        <v>654.21</v>
      </c>
      <c r="AK971" s="50" t="n">
        <f aca="false">ROUNDUP(MAX(J971/IF(CD971&gt;0,CD971,MAX(0.1,N(Cockpit!$C$6))),CG971)/BV971,0)*BV971</f>
        <v>10</v>
      </c>
      <c r="AL971" s="51" t="n">
        <f aca="false">IF(AI971&gt;0,J971/AI971,-1)</f>
        <v>0</v>
      </c>
      <c r="AM971" s="51" t="n">
        <f aca="false">IF(AND(OR(CC971="L1",CC971="L23",CC971="LIFT"),AI971&gt;0),SUMIFS($AI$7:$AI$1843,$CC$7:$CC$1843,CC971,$AL$7:$AL$1843,"&gt;"&amp;AL971)+SUMIFS($AI$7:$AI$1843,$CC$7:$CC$1843,CC971,$AL$7:$AL$1843,AL971,$BT$7:$BT$1843,"&lt;="&amp;BT971),"")</f>
        <v>28910.2620729083</v>
      </c>
      <c r="AN971" s="58" t="n">
        <f aca="false">IF(AM971="",0,MAX(0,MIN(1,(IF(CC971="L1",Parameter!$H$5,IF(CC971="L23",Parameter!$H$6+Parameter!$H$7,Parameter!$H$5+Parameter!$H$6+Parameter!$H$7))-(AM971-AI971))/AI971)))</f>
        <v>1</v>
      </c>
      <c r="AO971" s="50" t="n">
        <f aca="false">IF(LEFT(Cockpit!$I$5,1)="A",H971,IF(CE971=1,CF971,IF(LEFT(Cockpit!$I$5,1)="B",AT971,MAX(AT971,H971))))</f>
        <v>10</v>
      </c>
      <c r="AP971" s="50" t="n">
        <f aca="false">IF(BW971=1,0,ROUNDUP(AO971/BV971,0))</f>
        <v>1</v>
      </c>
      <c r="AQ971" s="52" t="n">
        <f aca="false">IF(CL971&gt;0,CL971*MAX(1,AO971/X971),IF(BW971=1,IF(AO971&lt;=0,0,CA971*MAX(1,IF(H971&gt;0,AO971/H971,1))),IF(R971&gt;0,AP971/R971,0))/MAX(0.1,N(Parameter!$M$21)))</f>
        <v>0.0384615384615385</v>
      </c>
      <c r="AR971" s="50" t="n">
        <f aca="false">AQ971*BY971</f>
        <v>9.42307692307692</v>
      </c>
      <c r="AS971" s="50" t="n">
        <f aca="false">AO971*G971</f>
        <v>726.9</v>
      </c>
      <c r="AT971" s="50" t="n">
        <f aca="false">ROUNDUP(MAX(J971/IF(CD971&gt;0,CD971,MAX(0.1,N(Cockpit!$I$6))),CG971)/BV971,0)*BV971</f>
        <v>10</v>
      </c>
      <c r="AU971" s="51" t="n">
        <f aca="false">IF(AR971&gt;0,J971/AR971,-1)</f>
        <v>0</v>
      </c>
      <c r="AV971" s="51" t="n">
        <f aca="false">IF(AND(OR(CC971="L1",CC971="L23",CC971="LIFT"),AR971&gt;0),SUMIFS($AR$7:$AR$1843,$CC$7:$CC$1843,CC971,$AU$7:$AU$1843,"&gt;"&amp;AU971)+SUMIFS($AR$7:$AR$1843,$CC$7:$CC$1843,CC971,$AU$7:$AU$1843,AU971,$BT$7:$BT$1843,"&lt;="&amp;BT971),"")</f>
        <v>40544.4670407276</v>
      </c>
      <c r="AW971" s="58" t="n">
        <f aca="false">IF(AV971="",0,MAX(0,MIN(1,(IF(CC971="L1",Parameter!$H$5,IF(CC971="L23",Parameter!$H$6+Parameter!$H$7,Parameter!$H$5+Parameter!$H$6+Parameter!$H$7))-(AV971-AR971))/AR971)))</f>
        <v>0</v>
      </c>
      <c r="AX971" s="50" t="n">
        <f aca="false">IF(LEFT(Cockpit!$O$5,1)="A",H971,IF(CE971=1,CF971,IF(LEFT(Cockpit!$O$5,1)="B",BC971,MAX(BC971,H971))))</f>
        <v>10</v>
      </c>
      <c r="AY971" s="50" t="n">
        <f aca="false">IF(BW971=1,0,ROUNDUP(AX971/BV971,0))</f>
        <v>1</v>
      </c>
      <c r="AZ971" s="52" t="n">
        <f aca="false">IF(CL971&gt;0,CL971*MAX(1,AX971/X971),IF(BW971=1,IF(AX971&lt;=0,0,CA971*MAX(1,IF(H971&gt;0,AX971/H971,1))),IF(R971&gt;0,AY971/R971,0))/MAX(0.1,N(Parameter!$M$21)))</f>
        <v>0.0384615384615385</v>
      </c>
      <c r="BA971" s="50" t="n">
        <f aca="false">AZ971*BY971</f>
        <v>9.42307692307692</v>
      </c>
      <c r="BB971" s="50" t="n">
        <f aca="false">AX971*G971</f>
        <v>726.9</v>
      </c>
      <c r="BC971" s="50" t="n">
        <f aca="false">ROUNDUP(MAX(J971/IF(CD971&gt;0,CD971,MAX(0.1,N(Cockpit!$O$6))),CG971)/BV971,0)*BV971</f>
        <v>10</v>
      </c>
      <c r="BD971" s="51" t="n">
        <f aca="false">IF(BA971&gt;0,J971/BA971,-1)</f>
        <v>0</v>
      </c>
      <c r="BE971" s="51" t="n">
        <f aca="false">IF(AND(OR(CC971="L1",CC971="L23",CC971="LIFT"),BA971&gt;0),SUMIFS($BA$7:$BA$1843,$CC$7:$CC$1843,CC971,$BD$7:$BD$1843,"&gt;"&amp;BD971)+SUMIFS($BA$7:$BA$1843,$CC$7:$CC$1843,CC971,$BD$7:$BD$1843,BD971,$BT$7:$BT$1843,"&lt;="&amp;BT971),"")</f>
        <v>37219.4790825935</v>
      </c>
      <c r="BF971" s="58" t="n">
        <f aca="false">IF(BE971="",0,MAX(0,MIN(1,(IF(CC971="L1",Parameter!$H$5,IF(CC971="L23",Parameter!$H$6+Parameter!$H$7,Parameter!$H$5+Parameter!$H$6+Parameter!$H$7))-(BE971-BA971))/BA971)))</f>
        <v>0</v>
      </c>
      <c r="BG971" s="48" t="str">
        <f aca="false">IF(AI971&lt;=0,"",IF(CC971="Aussen","Aussenlager",IF(CC971="-","Nicht im Lift",IF(AN971&gt;=1,"Lift",IF(AN971&lt;=0,"Aussenlager","teilweise")))))</f>
        <v>Lift</v>
      </c>
      <c r="BH971" s="48" t="str">
        <f aca="false">IF(AR971&lt;=0,"",IF(CC971="Aussen","Aussenlager",IF(CC971="-","Nicht im Lift",IF(AW971&gt;=1,"Lift",IF(AW971&lt;=0,"Aussenlager","teilweise")))))</f>
        <v>Aussenlager</v>
      </c>
      <c r="BI971" s="48" t="str">
        <f aca="false">IF(BA971&lt;=0,"",IF(CC971="Aussen","Aussenlager",IF(CC971="-","Nicht im Lift",IF(BF971&gt;=1,"Lift",IF(BF971&lt;=0,"Aussenlager","teilweise")))))</f>
        <v>Aussenlager</v>
      </c>
      <c r="BJ971" s="48" t="str">
        <f aca="false">IF(A971="","",IF(BS971=1,"Neu; ","")&amp;IF(AND(BS971=0,BN971&lt;0),"negativer Bestand (Export "&amp;BN971&amp;"); ","")&amp;IF(J971&lt;=0,"Kein Verbrauch; ","")&amp;IF(CL971&gt;0,"Lift "&amp;W971&amp;" lt. Liftbericht (Fach "&amp;X971&amp;" Stk); ",IF(BX971=1,"Gebinde geschätzt ("&amp;T971&amp;"); ",IF(BW971=1,"Lose – Tablare geschätzt; ","")))&amp;IF(H971&gt;AT971,"Überbestand "&amp;ROUND(H971-AT971,0)&amp;" Stk / CHF "&amp;ROUND((H971-AT971)*G971,0)&amp;"; ","")&amp;IF(AND(CE971=1,CF971&lt;CG971),"MAX &lt; MB+LG; ","")&amp;IF(AND(CK971&gt;0,CJ971*10&gt;CK971),"zu hoch für Tablar; ","")&amp;IF(AND(BS971=0,OR(CE971=1,AA971&lt;&gt;"",U971&lt;&gt;"",V971&lt;&gt;"",AB971&lt;&gt;"")),"manuell übersteuert; ","")&amp;IF(AND(BW971=0,R971=0),"Gebinde unbekannt / Stellmass fehlt; ","")&amp;IF(AND(BW971=0,N(V971)&lt;=0,N(Q971)&lt;=0),"Menge pro Gebinde fehlt (Ist = 1 Gebinde); ","")&amp;BR971)</f>
        <v>negativer Bestand (Export -1); Kein Verbrauch; Überbestand</v>
      </c>
      <c r="BK971" s="48"/>
      <c r="BL971" s="48"/>
      <c r="BM971" s="55"/>
      <c r="BN971" s="50" t="n">
        <v>-1</v>
      </c>
      <c r="BO971" s="50" t="n">
        <v>10</v>
      </c>
      <c r="BP971" s="49" t="n">
        <v>-72.69</v>
      </c>
      <c r="BQ971" s="50" t="n">
        <v>0</v>
      </c>
      <c r="BR971" s="48" t="s">
        <v>396</v>
      </c>
      <c r="BS971" s="53" t="n">
        <v>0</v>
      </c>
      <c r="BT971" s="53" t="n">
        <v>971</v>
      </c>
      <c r="BU971" s="48" t="str">
        <f aca="false">IF(U971&lt;&gt;"",UPPER(TRIM(U971)),IF(BX971=1,UPPER(VLOOKUP(T971,Parameter!$I$27:$K$29,2,0)),IF(P971="","LOSE",P971)))</f>
        <v>S52</v>
      </c>
      <c r="BV971" s="50" t="n">
        <f aca="false">IF(BU971="LOSE",1,IF(N(V971)&gt;0,V971,IF(BX971=1,MAX(1,N(VLOOKUP(T971,Parameter!$I$27:$K$29,3,0)),H971,N(N971)),IF(N(Q971)&gt;0,Q971,MAX(1,H971)))))</f>
        <v>10</v>
      </c>
      <c r="BW971" s="53" t="n">
        <f aca="false">IF(BU971="LOSE",1,0)</f>
        <v>0</v>
      </c>
      <c r="BX971" s="53" t="n">
        <f aca="false">IF(AND(U971="",OR(P971="",P971="LOSE"),T971&lt;&gt;"",N(S971)&lt;=0,ISNUMBER(MATCH(T971,Parameter!$I$27:$I$29,0))),1,0)</f>
        <v>0</v>
      </c>
      <c r="BY971" s="53" t="n">
        <f aca="false">IF(CL971&gt;0,INDEX(Parameter!$H$5:$H$7,W971)/INDEX(Parameter!$E$5:$E$7,W971),IF(AND(BW971=0,N(IFERROR(VLOOKUP(BU971,'Gebinde-Kategorie'!$A$5:$N$45,14,0),0))&gt;0),VLOOKUP(BU971,'Gebinde-Kategorie'!$A$5:$N$45,14,0)*10+Parameter!$M$23,Parameter!$M$24))</f>
        <v>245</v>
      </c>
      <c r="BZ971" s="48" t="str">
        <f aca="false">IF(AND(Parameter!$B$19="Ja",E971&lt;&gt;"",ISNUMBER(MATCH(E971,Parameter!$I$35:$I$52,0))),VLOOKUP(E971,Parameter!$I$35:$J$52,2,0),IFERROR(VLOOKUP(D971,Parameter!$A$35:$C$64,2,0),"Nein"))</f>
        <v>2+3</v>
      </c>
      <c r="CA971" s="52" t="n">
        <f aca="false">IF(BW971=0,0,IF(N(S971)&gt;0,S971,IFERROR(VLOOKUP(D971,Parameter!$A$35:$C$64,3,0)+0,0)))</f>
        <v>0</v>
      </c>
      <c r="CB971" s="48" t="n">
        <f aca="false">IF(AA971&lt;&gt;"",AA971,Z971)</f>
        <v>3</v>
      </c>
      <c r="CC971" s="48" t="str">
        <f aca="false">IF(OR(CB971=1,CB971=2,CB971=3),IF(Parameter!$E$27="Ja","LIFT",IF(CB971=1,"L1","L23")),IF(CB971="Aussen","Aussen","-"))</f>
        <v>LIFT</v>
      </c>
      <c r="CD971" s="59" t="n">
        <f aca="false">IF(N(AB971)&gt;0,AB971,0)</f>
        <v>0</v>
      </c>
      <c r="CE971" s="53" t="n">
        <f aca="false">IF(ISNUMBER(AE971),1,0)</f>
        <v>0</v>
      </c>
      <c r="CF971" s="50" t="n">
        <f aca="false">N(AE971)</f>
        <v>0</v>
      </c>
      <c r="CG971" s="50" t="n">
        <f aca="false">N(M971)+N(N971)</f>
        <v>1</v>
      </c>
      <c r="CH971" s="50" t="n">
        <f aca="false">ROUNDUP(H971/BV971,0)</f>
        <v>1</v>
      </c>
      <c r="CI971" s="50" t="n">
        <f aca="false">ROUNDUP(CF971/BV971,0)</f>
        <v>0</v>
      </c>
      <c r="CJ971" s="53" t="n">
        <f aca="false">IF(BW971=1,0,IFERROR(VLOOKUP(BU971,'Gebinde-Kategorie'!$A$5:$N$45,5,0)+0,0))</f>
        <v>21</v>
      </c>
      <c r="CK971" s="53" t="n">
        <f aca="false">IFERROR(IF(OR(CB971=1,CB971=2,CB971=3),N(INDEX(Parameter!$I$5:$I$7,CB971)),0),0)</f>
        <v>0</v>
      </c>
      <c r="CL971" s="52" t="n">
        <f aca="false">IF(AND(Parameter!$B$21="Ja",ISNUMBER(W971),N(X971)&gt;0),IFERROR(N(INDEX(Parameter!$L$5:$L$7,W971))*INDEX(Parameter!$E$5:$E$7,W971)*X971/SUMIFS($X$7:$X$1843,$W$7:$W$1843,W971),0),0)</f>
        <v>0</v>
      </c>
    </row>
    <row r="972" customFormat="false" ht="15" hidden="false" customHeight="false" outlineLevel="0" collapsed="false">
      <c r="A972" s="48" t="s">
        <v>1808</v>
      </c>
      <c r="B972" s="48" t="s">
        <v>493</v>
      </c>
      <c r="C972" s="48" t="s">
        <v>168</v>
      </c>
      <c r="D972" s="48" t="s">
        <v>188</v>
      </c>
      <c r="E972" s="48" t="s">
        <v>189</v>
      </c>
      <c r="F972" s="48" t="s">
        <v>222</v>
      </c>
      <c r="G972" s="49" t="n">
        <v>1.36</v>
      </c>
      <c r="H972" s="50" t="n">
        <f aca="false">MAX(0,IF(AND(Parameter!$B$21="Ja",ISNUMBER(Y972)),Y972,IF(Parameter!$B$20="Jahresanfang 2025 + Export",BO972+BN972,BN972)))</f>
        <v>371</v>
      </c>
      <c r="I972" s="50" t="n">
        <f aca="false">H972*G972</f>
        <v>504.56</v>
      </c>
      <c r="J972" s="50" t="n">
        <f aca="false">BQ972*Parameter!$B$18</f>
        <v>674</v>
      </c>
      <c r="K972" s="51" t="n">
        <v>352.5</v>
      </c>
      <c r="L972" s="52" t="n">
        <v>1.91205673758865</v>
      </c>
      <c r="M972" s="50" t="n">
        <v>26</v>
      </c>
      <c r="N972" s="50" t="n">
        <v>675</v>
      </c>
      <c r="O972" s="53" t="n">
        <v>14</v>
      </c>
      <c r="P972" s="48" t="s">
        <v>306</v>
      </c>
      <c r="Q972" s="50" t="n">
        <v>1739</v>
      </c>
      <c r="R972" s="53" t="n">
        <f aca="false">IF(BW972=1,0,IFERROR(VLOOKUP(BU972,'Gebinde-Kategorie'!$A$5:$N$45,13,0)+0,0))</f>
        <v>26</v>
      </c>
      <c r="S972" s="54"/>
      <c r="T972" s="55"/>
      <c r="U972" s="55"/>
      <c r="V972" s="55"/>
      <c r="W972" s="48"/>
      <c r="X972" s="50"/>
      <c r="Y972" s="50"/>
      <c r="Z972" s="48" t="n">
        <f aca="false">IF(A972="","",IF(AND(Parameter!$B$21="Ja",ISNUMBER(W972)),W972,IF(BZ972="2+3",IF(ISNUMBER(SEARCH("grosser Artikel",BR972)),2,IFERROR(VLOOKUP(BU972,Parameter!$F$35:$G$64,2,0),2)),IF(OR(BZ972="Nein",BZ972=""),"-",BZ972))))</f>
        <v>3</v>
      </c>
      <c r="AA972" s="55"/>
      <c r="AB972" s="56"/>
      <c r="AC972" s="50" t="n">
        <f aca="false">AT972</f>
        <v>1739</v>
      </c>
      <c r="AD972" s="50" t="n">
        <f aca="false">MAX(AT972,H972)</f>
        <v>1739</v>
      </c>
      <c r="AE972" s="57"/>
      <c r="AF972" s="50" t="n">
        <f aca="false">IF(LEFT(Cockpit!$C$5,1)="A",H972,IF(CE972=1,CF972,IF(LEFT(Cockpit!$C$5,1)="B",AK972,MAX(AK972,H972))))</f>
        <v>371</v>
      </c>
      <c r="AG972" s="50" t="n">
        <f aca="false">IF(BW972=1,0,ROUNDUP(AF972/BV972,0))</f>
        <v>1</v>
      </c>
      <c r="AH972" s="52" t="n">
        <f aca="false">IF(CL972&gt;0,CL972*MAX(1,AF972/X972),IF(BW972=1,IF(AF972&lt;=0,0,CA972*MAX(1,IF(H972&gt;0,AF972/H972,1))),IF(R972&gt;0,AG972/R972,0))/MAX(0.1,N(Parameter!$M$21)))</f>
        <v>0.0384615384615385</v>
      </c>
      <c r="AI972" s="50" t="n">
        <f aca="false">AH972*BY972</f>
        <v>5.96153846153846</v>
      </c>
      <c r="AJ972" s="50" t="n">
        <f aca="false">AF972*G972</f>
        <v>504.56</v>
      </c>
      <c r="AK972" s="50" t="n">
        <f aca="false">ROUNDUP(MAX(J972/IF(CD972&gt;0,CD972,MAX(0.1,N(Cockpit!$C$6))),CG972)/BV972,0)*BV972</f>
        <v>1739</v>
      </c>
      <c r="AL972" s="51" t="n">
        <f aca="false">IF(AI972&gt;0,J972/AI972,-1)</f>
        <v>113.058064516129</v>
      </c>
      <c r="AM972" s="51" t="n">
        <f aca="false">IF(AND(OR(CC972="L1",CC972="L23",CC972="LIFT"),AI972&gt;0),SUMIFS($AI$7:$AI$1843,$CC$7:$CC$1843,CC972,$AL$7:$AL$1843,"&gt;"&amp;AL972)+SUMIFS($AI$7:$AI$1843,$CC$7:$CC$1843,CC972,$AL$7:$AL$1843,AL972,$BT$7:$BT$1843,"&lt;="&amp;BT972),"")</f>
        <v>739.744047619048</v>
      </c>
      <c r="AN972" s="58" t="n">
        <f aca="false">IF(AM972="",0,MAX(0,MIN(1,(IF(CC972="L1",Parameter!$H$5,IF(CC972="L23",Parameter!$H$6+Parameter!$H$7,Parameter!$H$5+Parameter!$H$6+Parameter!$H$7))-(AM972-AI972))/AI972)))</f>
        <v>1</v>
      </c>
      <c r="AO972" s="50" t="n">
        <f aca="false">IF(LEFT(Cockpit!$I$5,1)="A",H972,IF(CE972=1,CF972,IF(LEFT(Cockpit!$I$5,1)="B",AT972,MAX(AT972,H972))))</f>
        <v>1739</v>
      </c>
      <c r="AP972" s="50" t="n">
        <f aca="false">IF(BW972=1,0,ROUNDUP(AO972/BV972,0))</f>
        <v>1</v>
      </c>
      <c r="AQ972" s="52" t="n">
        <f aca="false">IF(CL972&gt;0,CL972*MAX(1,AO972/X972),IF(BW972=1,IF(AO972&lt;=0,0,CA972*MAX(1,IF(H972&gt;0,AO972/H972,1))),IF(R972&gt;0,AP972/R972,0))/MAX(0.1,N(Parameter!$M$21)))</f>
        <v>0.0384615384615385</v>
      </c>
      <c r="AR972" s="50" t="n">
        <f aca="false">AQ972*BY972</f>
        <v>5.96153846153846</v>
      </c>
      <c r="AS972" s="50" t="n">
        <f aca="false">AO972*G972</f>
        <v>2365.04</v>
      </c>
      <c r="AT972" s="50" t="n">
        <f aca="false">ROUNDUP(MAX(J972/IF(CD972&gt;0,CD972,MAX(0.1,N(Cockpit!$I$6))),CG972)/BV972,0)*BV972</f>
        <v>1739</v>
      </c>
      <c r="AU972" s="51" t="n">
        <f aca="false">IF(AR972&gt;0,J972/AR972,-1)</f>
        <v>113.058064516129</v>
      </c>
      <c r="AV972" s="51" t="n">
        <f aca="false">IF(AND(OR(CC972="L1",CC972="L23",CC972="LIFT"),AR972&gt;0),SUMIFS($AR$7:$AR$1843,$CC$7:$CC$1843,CC972,$AU$7:$AU$1843,"&gt;"&amp;AU972)+SUMIFS($AR$7:$AR$1843,$CC$7:$CC$1843,CC972,$AU$7:$AU$1843,AU972,$BT$7:$BT$1843,"&lt;="&amp;BT972),"")</f>
        <v>850.560897435898</v>
      </c>
      <c r="AW972" s="58" t="n">
        <f aca="false">IF(AV972="",0,MAX(0,MIN(1,(IF(CC972="L1",Parameter!$H$5,IF(CC972="L23",Parameter!$H$6+Parameter!$H$7,Parameter!$H$5+Parameter!$H$6+Parameter!$H$7))-(AV972-AR972))/AR972)))</f>
        <v>1</v>
      </c>
      <c r="AX972" s="50" t="n">
        <f aca="false">IF(LEFT(Cockpit!$O$5,1)="A",H972,IF(CE972=1,CF972,IF(LEFT(Cockpit!$O$5,1)="B",BC972,MAX(BC972,H972))))</f>
        <v>1739</v>
      </c>
      <c r="AY972" s="50" t="n">
        <f aca="false">IF(BW972=1,0,ROUNDUP(AX972/BV972,0))</f>
        <v>1</v>
      </c>
      <c r="AZ972" s="52" t="n">
        <f aca="false">IF(CL972&gt;0,CL972*MAX(1,AX972/X972),IF(BW972=1,IF(AX972&lt;=0,0,CA972*MAX(1,IF(H972&gt;0,AX972/H972,1))),IF(R972&gt;0,AY972/R972,0))/MAX(0.1,N(Parameter!$M$21)))</f>
        <v>0.0384615384615385</v>
      </c>
      <c r="BA972" s="50" t="n">
        <f aca="false">AZ972*BY972</f>
        <v>5.96153846153846</v>
      </c>
      <c r="BB972" s="50" t="n">
        <f aca="false">AX972*G972</f>
        <v>2365.04</v>
      </c>
      <c r="BC972" s="50" t="n">
        <f aca="false">ROUNDUP(MAX(J972/IF(CD972&gt;0,CD972,MAX(0.1,N(Cockpit!$O$6))),CG972)/BV972,0)*BV972</f>
        <v>1739</v>
      </c>
      <c r="BD972" s="51" t="n">
        <f aca="false">IF(BA972&gt;0,J972/BA972,-1)</f>
        <v>113.058064516129</v>
      </c>
      <c r="BE972" s="51" t="n">
        <f aca="false">IF(AND(OR(CC972="L1",CC972="L23",CC972="LIFT"),BA972&gt;0),SUMIFS($BA$7:$BA$1843,$CC$7:$CC$1843,CC972,$BD$7:$BD$1843,"&gt;"&amp;BD972)+SUMIFS($BA$7:$BA$1843,$CC$7:$CC$1843,CC972,$BD$7:$BD$1843,BD972,$BT$7:$BT$1843,"&lt;="&amp;BT972),"")</f>
        <v>795</v>
      </c>
      <c r="BF972" s="58" t="n">
        <f aca="false">IF(BE972="",0,MAX(0,MIN(1,(IF(CC972="L1",Parameter!$H$5,IF(CC972="L23",Parameter!$H$6+Parameter!$H$7,Parameter!$H$5+Parameter!$H$6+Parameter!$H$7))-(BE972-BA972))/BA972)))</f>
        <v>1</v>
      </c>
      <c r="BG972" s="48" t="str">
        <f aca="false">IF(AI972&lt;=0,"",IF(CC972="Aussen","Aussenlager",IF(CC972="-","Nicht im Lift",IF(AN972&gt;=1,"Lift",IF(AN972&lt;=0,"Aussenlager","teilweise")))))</f>
        <v>Lift</v>
      </c>
      <c r="BH972" s="48" t="str">
        <f aca="false">IF(AR972&lt;=0,"",IF(CC972="Aussen","Aussenlager",IF(CC972="-","Nicht im Lift",IF(AW972&gt;=1,"Lift",IF(AW972&lt;=0,"Aussenlager","teilweise")))))</f>
        <v>Lift</v>
      </c>
      <c r="BI972" s="48" t="str">
        <f aca="false">IF(BA972&lt;=0,"",IF(CC972="Aussen","Aussenlager",IF(CC972="-","Nicht im Lift",IF(BF972&gt;=1,"Lift",IF(BF972&lt;=0,"Aussenlager","teilweise")))))</f>
        <v>Lift</v>
      </c>
      <c r="BJ972" s="48" t="str">
        <f aca="false">IF(A972="","",IF(BS972=1,"Neu; ","")&amp;IF(AND(BS972=0,BN972&lt;0),"negativer Bestand (Export "&amp;BN972&amp;"); ","")&amp;IF(J972&lt;=0,"Kein Verbrauch; ","")&amp;IF(CL972&gt;0,"Lift "&amp;W972&amp;" lt. Liftbericht (Fach "&amp;X972&amp;" Stk); ",IF(BX972=1,"Gebinde geschätzt ("&amp;T972&amp;"); ",IF(BW972=1,"Lose – Tablare geschätzt; ","")))&amp;IF(H972&gt;AT972,"Überbestand "&amp;ROUND(H972-AT972,0)&amp;" Stk / CHF "&amp;ROUND((H972-AT972)*G972,0)&amp;"; ","")&amp;IF(AND(CE972=1,CF972&lt;CG972),"MAX &lt; MB+LG; ","")&amp;IF(AND(CK972&gt;0,CJ972*10&gt;CK972),"zu hoch für Tablar; ","")&amp;IF(AND(BS972=0,OR(CE972=1,AA972&lt;&gt;"",U972&lt;&gt;"",V972&lt;&gt;"",AB972&lt;&gt;"")),"manuell übersteuert; ","")&amp;IF(AND(BW972=0,R972=0),"Gebinde unbekannt / Stellmass fehlt; ","")&amp;IF(AND(BW972=0,N(V972)&lt;=0,N(Q972)&lt;=0),"Menge pro Gebinde fehlt (Ist = 1 Gebinde); ","")&amp;BR972)</f>
        <v>negativer Bestand (Export -54); </v>
      </c>
      <c r="BK972" s="48"/>
      <c r="BL972" s="48"/>
      <c r="BM972" s="55"/>
      <c r="BN972" s="50" t="n">
        <v>-54</v>
      </c>
      <c r="BO972" s="50" t="n">
        <v>425</v>
      </c>
      <c r="BP972" s="49" t="n">
        <v>-73.4399999999998</v>
      </c>
      <c r="BQ972" s="50" t="n">
        <v>674</v>
      </c>
      <c r="BR972" s="48"/>
      <c r="BS972" s="53" t="n">
        <v>0</v>
      </c>
      <c r="BT972" s="53" t="n">
        <v>972</v>
      </c>
      <c r="BU972" s="48" t="str">
        <f aca="false">IF(U972&lt;&gt;"",UPPER(TRIM(U972)),IF(BX972=1,UPPER(VLOOKUP(T972,Parameter!$I$27:$K$29,2,0)),IF(P972="","LOSE",P972)))</f>
        <v>S51</v>
      </c>
      <c r="BV972" s="50" t="n">
        <f aca="false">IF(BU972="LOSE",1,IF(N(V972)&gt;0,V972,IF(BX972=1,MAX(1,N(VLOOKUP(T972,Parameter!$I$27:$K$29,3,0)),H972,N(N972)),IF(N(Q972)&gt;0,Q972,MAX(1,H972)))))</f>
        <v>1739</v>
      </c>
      <c r="BW972" s="53" t="n">
        <f aca="false">IF(BU972="LOSE",1,0)</f>
        <v>0</v>
      </c>
      <c r="BX972" s="53" t="n">
        <f aca="false">IF(AND(U972="",OR(P972="",P972="LOSE"),T972&lt;&gt;"",N(S972)&lt;=0,ISNUMBER(MATCH(T972,Parameter!$I$27:$I$29,0))),1,0)</f>
        <v>0</v>
      </c>
      <c r="BY972" s="53" t="n">
        <f aca="false">IF(CL972&gt;0,INDEX(Parameter!$H$5:$H$7,W972)/INDEX(Parameter!$E$5:$E$7,W972),IF(AND(BW972=0,N(IFERROR(VLOOKUP(BU972,'Gebinde-Kategorie'!$A$5:$N$45,14,0),0))&gt;0),VLOOKUP(BU972,'Gebinde-Kategorie'!$A$5:$N$45,14,0)*10+Parameter!$M$23,Parameter!$M$24))</f>
        <v>155</v>
      </c>
      <c r="BZ972" s="48" t="str">
        <f aca="false">IF(AND(Parameter!$B$19="Ja",E972&lt;&gt;"",ISNUMBER(MATCH(E972,Parameter!$I$35:$I$52,0))),VLOOKUP(E972,Parameter!$I$35:$J$52,2,0),IFERROR(VLOOKUP(D972,Parameter!$A$35:$C$64,2,0),"Nein"))</f>
        <v>2+3</v>
      </c>
      <c r="CA972" s="52" t="n">
        <f aca="false">IF(BW972=0,0,IF(N(S972)&gt;0,S972,IFERROR(VLOOKUP(D972,Parameter!$A$35:$C$64,3,0)+0,0)))</f>
        <v>0</v>
      </c>
      <c r="CB972" s="48" t="n">
        <f aca="false">IF(AA972&lt;&gt;"",AA972,Z972)</f>
        <v>3</v>
      </c>
      <c r="CC972" s="48" t="str">
        <f aca="false">IF(OR(CB972=1,CB972=2,CB972=3),IF(Parameter!$E$27="Ja","LIFT",IF(CB972=1,"L1","L23")),IF(CB972="Aussen","Aussen","-"))</f>
        <v>LIFT</v>
      </c>
      <c r="CD972" s="59" t="n">
        <f aca="false">IF(N(AB972)&gt;0,AB972,0)</f>
        <v>0</v>
      </c>
      <c r="CE972" s="53" t="n">
        <f aca="false">IF(ISNUMBER(AE972),1,0)</f>
        <v>0</v>
      </c>
      <c r="CF972" s="50" t="n">
        <f aca="false">N(AE972)</f>
        <v>0</v>
      </c>
      <c r="CG972" s="50" t="n">
        <f aca="false">N(M972)+N(N972)</f>
        <v>701</v>
      </c>
      <c r="CH972" s="50" t="n">
        <f aca="false">ROUNDUP(H972/BV972,0)</f>
        <v>1</v>
      </c>
      <c r="CI972" s="50" t="n">
        <f aca="false">ROUNDUP(CF972/BV972,0)</f>
        <v>0</v>
      </c>
      <c r="CJ972" s="53" t="n">
        <f aca="false">IF(BW972=1,0,IFERROR(VLOOKUP(BU972,'Gebinde-Kategorie'!$A$5:$N$45,5,0)+0,0))</f>
        <v>11</v>
      </c>
      <c r="CK972" s="53" t="n">
        <f aca="false">IFERROR(IF(OR(CB972=1,CB972=2,CB972=3),N(INDEX(Parameter!$I$5:$I$7,CB972)),0),0)</f>
        <v>0</v>
      </c>
      <c r="CL972" s="52" t="n">
        <f aca="false">IF(AND(Parameter!$B$21="Ja",ISNUMBER(W972),N(X972)&gt;0),IFERROR(N(INDEX(Parameter!$L$5:$L$7,W972))*INDEX(Parameter!$E$5:$E$7,W972)*X972/SUMIFS($X$7:$X$1843,$W$7:$W$1843,W972),0),0)</f>
        <v>0</v>
      </c>
    </row>
    <row r="973" customFormat="false" ht="15" hidden="false" customHeight="false" outlineLevel="0" collapsed="false">
      <c r="A973" s="48" t="s">
        <v>1809</v>
      </c>
      <c r="B973" s="48" t="s">
        <v>865</v>
      </c>
      <c r="C973" s="48" t="s">
        <v>168</v>
      </c>
      <c r="D973" s="48" t="s">
        <v>188</v>
      </c>
      <c r="E973" s="48" t="s">
        <v>189</v>
      </c>
      <c r="F973" s="48" t="s">
        <v>222</v>
      </c>
      <c r="G973" s="49" t="n">
        <v>9.2</v>
      </c>
      <c r="H973" s="50" t="n">
        <f aca="false">MAX(0,IF(AND(Parameter!$B$21="Ja",ISNUMBER(Y973)),Y973,IF(Parameter!$B$20="Jahresanfang 2025 + Export",BO973+BN973,BN973)))</f>
        <v>147</v>
      </c>
      <c r="I973" s="50" t="n">
        <f aca="false">H973*G973</f>
        <v>1352.4</v>
      </c>
      <c r="J973" s="50" t="n">
        <f aca="false">BQ973*Parameter!$B$18</f>
        <v>6</v>
      </c>
      <c r="K973" s="51" t="n">
        <v>152.5</v>
      </c>
      <c r="L973" s="52" t="n">
        <v>0.039344262295082</v>
      </c>
      <c r="M973" s="50" t="n">
        <v>0</v>
      </c>
      <c r="N973" s="50" t="n">
        <v>5</v>
      </c>
      <c r="O973" s="53" t="n">
        <v>35</v>
      </c>
      <c r="P973" s="48" t="s">
        <v>332</v>
      </c>
      <c r="Q973" s="50" t="n">
        <v>157</v>
      </c>
      <c r="R973" s="53" t="n">
        <f aca="false">IF(BW973=1,0,IFERROR(VLOOKUP(BU973,'Gebinde-Kategorie'!$A$5:$N$45,13,0)+0,0))</f>
        <v>52</v>
      </c>
      <c r="S973" s="54"/>
      <c r="T973" s="55"/>
      <c r="U973" s="55"/>
      <c r="V973" s="55"/>
      <c r="W973" s="48"/>
      <c r="X973" s="50"/>
      <c r="Y973" s="50"/>
      <c r="Z973" s="48" t="n">
        <f aca="false">IF(A973="","",IF(AND(Parameter!$B$21="Ja",ISNUMBER(W973)),W973,IF(BZ973="2+3",IF(ISNUMBER(SEARCH("grosser Artikel",BR973)),2,IFERROR(VLOOKUP(BU973,Parameter!$F$35:$G$64,2,0),2)),IF(OR(BZ973="Nein",BZ973=""),"-",BZ973))))</f>
        <v>3</v>
      </c>
      <c r="AA973" s="55"/>
      <c r="AB973" s="56"/>
      <c r="AC973" s="50" t="n">
        <f aca="false">AT973</f>
        <v>157</v>
      </c>
      <c r="AD973" s="50" t="n">
        <f aca="false">MAX(AT973,H973)</f>
        <v>157</v>
      </c>
      <c r="AE973" s="57"/>
      <c r="AF973" s="50" t="n">
        <f aca="false">IF(LEFT(Cockpit!$C$5,1)="A",H973,IF(CE973=1,CF973,IF(LEFT(Cockpit!$C$5,1)="B",AK973,MAX(AK973,H973))))</f>
        <v>147</v>
      </c>
      <c r="AG973" s="50" t="n">
        <f aca="false">IF(BW973=1,0,ROUNDUP(AF973/BV973,0))</f>
        <v>1</v>
      </c>
      <c r="AH973" s="52" t="n">
        <f aca="false">IF(CL973&gt;0,CL973*MAX(1,AF973/X973),IF(BW973=1,IF(AF973&lt;=0,0,CA973*MAX(1,IF(H973&gt;0,AF973/H973,1))),IF(R973&gt;0,AG973/R973,0))/MAX(0.1,N(Parameter!$M$21)))</f>
        <v>0.0192307692307692</v>
      </c>
      <c r="AI973" s="50" t="n">
        <f aca="false">AH973*BY973</f>
        <v>2.98076923076923</v>
      </c>
      <c r="AJ973" s="50" t="n">
        <f aca="false">AF973*G973</f>
        <v>1352.4</v>
      </c>
      <c r="AK973" s="50" t="n">
        <f aca="false">ROUNDUP(MAX(J973/IF(CD973&gt;0,CD973,MAX(0.1,N(Cockpit!$C$6))),CG973)/BV973,0)*BV973</f>
        <v>157</v>
      </c>
      <c r="AL973" s="51" t="n">
        <f aca="false">IF(AI973&gt;0,J973/AI973,-1)</f>
        <v>2.01290322580645</v>
      </c>
      <c r="AM973" s="51" t="n">
        <f aca="false">IF(AND(OR(CC973="L1",CC973="L23",CC973="LIFT"),AI973&gt;0),SUMIFS($AI$7:$AI$1843,$CC$7:$CC$1843,CC973,$AL$7:$AL$1843,"&gt;"&amp;AL973)+SUMIFS($AI$7:$AI$1843,$CC$7:$CC$1843,CC973,$AL$7:$AL$1843,AL973,$BT$7:$BT$1843,"&lt;="&amp;BT973),"")</f>
        <v>5793.83058608059</v>
      </c>
      <c r="AN973" s="58" t="n">
        <f aca="false">IF(AM973="",0,MAX(0,MIN(1,(IF(CC973="L1",Parameter!$H$5,IF(CC973="L23",Parameter!$H$6+Parameter!$H$7,Parameter!$H$5+Parameter!$H$6+Parameter!$H$7))-(AM973-AI973))/AI973)))</f>
        <v>1</v>
      </c>
      <c r="AO973" s="50" t="n">
        <f aca="false">IF(LEFT(Cockpit!$I$5,1)="A",H973,IF(CE973=1,CF973,IF(LEFT(Cockpit!$I$5,1)="B",AT973,MAX(AT973,H973))))</f>
        <v>157</v>
      </c>
      <c r="AP973" s="50" t="n">
        <f aca="false">IF(BW973=1,0,ROUNDUP(AO973/BV973,0))</f>
        <v>1</v>
      </c>
      <c r="AQ973" s="52" t="n">
        <f aca="false">IF(CL973&gt;0,CL973*MAX(1,AO973/X973),IF(BW973=1,IF(AO973&lt;=0,0,CA973*MAX(1,IF(H973&gt;0,AO973/H973,1))),IF(R973&gt;0,AP973/R973,0))/MAX(0.1,N(Parameter!$M$21)))</f>
        <v>0.0192307692307692</v>
      </c>
      <c r="AR973" s="50" t="n">
        <f aca="false">AQ973*BY973</f>
        <v>2.98076923076923</v>
      </c>
      <c r="AS973" s="50" t="n">
        <f aca="false">AO973*G973</f>
        <v>1444.4</v>
      </c>
      <c r="AT973" s="50" t="n">
        <f aca="false">ROUNDUP(MAX(J973/IF(CD973&gt;0,CD973,MAX(0.1,N(Cockpit!$I$6))),CG973)/BV973,0)*BV973</f>
        <v>157</v>
      </c>
      <c r="AU973" s="51" t="n">
        <f aca="false">IF(AR973&gt;0,J973/AR973,-1)</f>
        <v>2.01290322580645</v>
      </c>
      <c r="AV973" s="51" t="n">
        <f aca="false">IF(AND(OR(CC973="L1",CC973="L23",CC973="LIFT"),AR973&gt;0),SUMIFS($AR$7:$AR$1843,$CC$7:$CC$1843,CC973,$AU$7:$AU$1843,"&gt;"&amp;AU973)+SUMIFS($AR$7:$AR$1843,$CC$7:$CC$1843,CC973,$AU$7:$AU$1843,AU973,$BT$7:$BT$1843,"&lt;="&amp;BT973),"")</f>
        <v>7703.52289377289</v>
      </c>
      <c r="AW973" s="58" t="n">
        <f aca="false">IF(AV973="",0,MAX(0,MIN(1,(IF(CC973="L1",Parameter!$H$5,IF(CC973="L23",Parameter!$H$6+Parameter!$H$7,Parameter!$H$5+Parameter!$H$6+Parameter!$H$7))-(AV973-AR973))/AR973)))</f>
        <v>1</v>
      </c>
      <c r="AX973" s="50" t="n">
        <f aca="false">IF(LEFT(Cockpit!$O$5,1)="A",H973,IF(CE973=1,CF973,IF(LEFT(Cockpit!$O$5,1)="B",BC973,MAX(BC973,H973))))</f>
        <v>157</v>
      </c>
      <c r="AY973" s="50" t="n">
        <f aca="false">IF(BW973=1,0,ROUNDUP(AX973/BV973,0))</f>
        <v>1</v>
      </c>
      <c r="AZ973" s="52" t="n">
        <f aca="false">IF(CL973&gt;0,CL973*MAX(1,AX973/X973),IF(BW973=1,IF(AX973&lt;=0,0,CA973*MAX(1,IF(H973&gt;0,AX973/H973,1))),IF(R973&gt;0,AY973/R973,0))/MAX(0.1,N(Parameter!$M$21)))</f>
        <v>0.0192307692307692</v>
      </c>
      <c r="BA973" s="50" t="n">
        <f aca="false">AZ973*BY973</f>
        <v>2.98076923076923</v>
      </c>
      <c r="BB973" s="50" t="n">
        <f aca="false">AX973*G973</f>
        <v>1444.4</v>
      </c>
      <c r="BC973" s="50" t="n">
        <f aca="false">ROUNDUP(MAX(J973/IF(CD973&gt;0,CD973,MAX(0.1,N(Cockpit!$O$6))),CG973)/BV973,0)*BV973</f>
        <v>157</v>
      </c>
      <c r="BD973" s="51" t="n">
        <f aca="false">IF(BA973&gt;0,J973/BA973,-1)</f>
        <v>2.01290322580645</v>
      </c>
      <c r="BE973" s="51" t="n">
        <f aca="false">IF(AND(OR(CC973="L1",CC973="L23",CC973="LIFT"),BA973&gt;0),SUMIFS($BA$7:$BA$1843,$CC$7:$CC$1843,CC973,$BD$7:$BD$1843,"&gt;"&amp;BD973)+SUMIFS($BA$7:$BA$1843,$CC$7:$CC$1843,CC973,$BD$7:$BD$1843,BD973,$BT$7:$BT$1843,"&lt;="&amp;BT973),"")</f>
        <v>7602.51327838828</v>
      </c>
      <c r="BF973" s="58" t="n">
        <f aca="false">IF(BE973="",0,MAX(0,MIN(1,(IF(CC973="L1",Parameter!$H$5,IF(CC973="L23",Parameter!$H$6+Parameter!$H$7,Parameter!$H$5+Parameter!$H$6+Parameter!$H$7))-(BE973-BA973))/BA973)))</f>
        <v>1</v>
      </c>
      <c r="BG973" s="48" t="str">
        <f aca="false">IF(AI973&lt;=0,"",IF(CC973="Aussen","Aussenlager",IF(CC973="-","Nicht im Lift",IF(AN973&gt;=1,"Lift",IF(AN973&lt;=0,"Aussenlager","teilweise")))))</f>
        <v>Lift</v>
      </c>
      <c r="BH973" s="48" t="str">
        <f aca="false">IF(AR973&lt;=0,"",IF(CC973="Aussen","Aussenlager",IF(CC973="-","Nicht im Lift",IF(AW973&gt;=1,"Lift",IF(AW973&lt;=0,"Aussenlager","teilweise")))))</f>
        <v>Lift</v>
      </c>
      <c r="BI973" s="48" t="str">
        <f aca="false">IF(BA973&lt;=0,"",IF(CC973="Aussen","Aussenlager",IF(CC973="-","Nicht im Lift",IF(BF973&gt;=1,"Lift",IF(BF973&lt;=0,"Aussenlager","teilweise")))))</f>
        <v>Lift</v>
      </c>
      <c r="BJ973" s="48" t="str">
        <f aca="false">IF(A973="","",IF(BS973=1,"Neu; ","")&amp;IF(AND(BS973=0,BN973&lt;0),"negativer Bestand (Export "&amp;BN973&amp;"); ","")&amp;IF(J973&lt;=0,"Kein Verbrauch; ","")&amp;IF(CL973&gt;0,"Lift "&amp;W973&amp;" lt. Liftbericht (Fach "&amp;X973&amp;" Stk); ",IF(BX973=1,"Gebinde geschätzt ("&amp;T973&amp;"); ",IF(BW973=1,"Lose – Tablare geschätzt; ","")))&amp;IF(H973&gt;AT973,"Überbestand "&amp;ROUND(H973-AT973,0)&amp;" Stk / CHF "&amp;ROUND((H973-AT973)*G973,0)&amp;"; ","")&amp;IF(AND(CE973=1,CF973&lt;CG973),"MAX &lt; MB+LG; ","")&amp;IF(AND(CK973&gt;0,CJ973*10&gt;CK973),"zu hoch für Tablar; ","")&amp;IF(AND(BS973=0,OR(CE973=1,AA973&lt;&gt;"",U973&lt;&gt;"",V973&lt;&gt;"",AB973&lt;&gt;"")),"manuell übersteuert; ","")&amp;IF(AND(BW973=0,R973=0),"Gebinde unbekannt / Stellmass fehlt; ","")&amp;IF(AND(BW973=0,N(V973)&lt;=0,N(Q973)&lt;=0),"Menge pro Gebinde fehlt (Ist = 1 Gebinde); ","")&amp;BR973)</f>
        <v>negativer Bestand (Export -8); Überbestand</v>
      </c>
      <c r="BK973" s="48"/>
      <c r="BL973" s="48"/>
      <c r="BM973" s="55"/>
      <c r="BN973" s="50" t="n">
        <v>-8</v>
      </c>
      <c r="BO973" s="50" t="n">
        <v>155</v>
      </c>
      <c r="BP973" s="49" t="n">
        <v>-73.6</v>
      </c>
      <c r="BQ973" s="50" t="n">
        <v>6</v>
      </c>
      <c r="BR973" s="48" t="s">
        <v>396</v>
      </c>
      <c r="BS973" s="53" t="n">
        <v>0</v>
      </c>
      <c r="BT973" s="53" t="n">
        <v>973</v>
      </c>
      <c r="BU973" s="48" t="str">
        <f aca="false">IF(U973&lt;&gt;"",UPPER(TRIM(U973)),IF(BX973=1,UPPER(VLOOKUP(T973,Parameter!$I$27:$K$29,2,0)),IF(P973="","LOSE",P973)))</f>
        <v>S41</v>
      </c>
      <c r="BV973" s="50" t="n">
        <f aca="false">IF(BU973="LOSE",1,IF(N(V973)&gt;0,V973,IF(BX973=1,MAX(1,N(VLOOKUP(T973,Parameter!$I$27:$K$29,3,0)),H973,N(N973)),IF(N(Q973)&gt;0,Q973,MAX(1,H973)))))</f>
        <v>157</v>
      </c>
      <c r="BW973" s="53" t="n">
        <f aca="false">IF(BU973="LOSE",1,0)</f>
        <v>0</v>
      </c>
      <c r="BX973" s="53" t="n">
        <f aca="false">IF(AND(U973="",OR(P973="",P973="LOSE"),T973&lt;&gt;"",N(S973)&lt;=0,ISNUMBER(MATCH(T973,Parameter!$I$27:$I$29,0))),1,0)</f>
        <v>0</v>
      </c>
      <c r="BY973" s="53" t="n">
        <f aca="false">IF(CL973&gt;0,INDEX(Parameter!$H$5:$H$7,W973)/INDEX(Parameter!$E$5:$E$7,W973),IF(AND(BW973=0,N(IFERROR(VLOOKUP(BU973,'Gebinde-Kategorie'!$A$5:$N$45,14,0),0))&gt;0),VLOOKUP(BU973,'Gebinde-Kategorie'!$A$5:$N$45,14,0)*10+Parameter!$M$23,Parameter!$M$24))</f>
        <v>155</v>
      </c>
      <c r="BZ973" s="48" t="str">
        <f aca="false">IF(AND(Parameter!$B$19="Ja",E973&lt;&gt;"",ISNUMBER(MATCH(E973,Parameter!$I$35:$I$52,0))),VLOOKUP(E973,Parameter!$I$35:$J$52,2,0),IFERROR(VLOOKUP(D973,Parameter!$A$35:$C$64,2,0),"Nein"))</f>
        <v>2+3</v>
      </c>
      <c r="CA973" s="52" t="n">
        <f aca="false">IF(BW973=0,0,IF(N(S973)&gt;0,S973,IFERROR(VLOOKUP(D973,Parameter!$A$35:$C$64,3,0)+0,0)))</f>
        <v>0</v>
      </c>
      <c r="CB973" s="48" t="n">
        <f aca="false">IF(AA973&lt;&gt;"",AA973,Z973)</f>
        <v>3</v>
      </c>
      <c r="CC973" s="48" t="str">
        <f aca="false">IF(OR(CB973=1,CB973=2,CB973=3),IF(Parameter!$E$27="Ja","LIFT",IF(CB973=1,"L1","L23")),IF(CB973="Aussen","Aussen","-"))</f>
        <v>LIFT</v>
      </c>
      <c r="CD973" s="59" t="n">
        <f aca="false">IF(N(AB973)&gt;0,AB973,0)</f>
        <v>0</v>
      </c>
      <c r="CE973" s="53" t="n">
        <f aca="false">IF(ISNUMBER(AE973),1,0)</f>
        <v>0</v>
      </c>
      <c r="CF973" s="50" t="n">
        <f aca="false">N(AE973)</f>
        <v>0</v>
      </c>
      <c r="CG973" s="50" t="n">
        <f aca="false">N(M973)+N(N973)</f>
        <v>5</v>
      </c>
      <c r="CH973" s="50" t="n">
        <f aca="false">ROUNDUP(H973/BV973,0)</f>
        <v>1</v>
      </c>
      <c r="CI973" s="50" t="n">
        <f aca="false">ROUNDUP(CF973/BV973,0)</f>
        <v>0</v>
      </c>
      <c r="CJ973" s="53" t="n">
        <f aca="false">IF(BW973=1,0,IFERROR(VLOOKUP(BU973,'Gebinde-Kategorie'!$A$5:$N$45,5,0)+0,0))</f>
        <v>11</v>
      </c>
      <c r="CK973" s="53" t="n">
        <f aca="false">IFERROR(IF(OR(CB973=1,CB973=2,CB973=3),N(INDEX(Parameter!$I$5:$I$7,CB973)),0),0)</f>
        <v>0</v>
      </c>
      <c r="CL973" s="52" t="n">
        <f aca="false">IF(AND(Parameter!$B$21="Ja",ISNUMBER(W973),N(X973)&gt;0),IFERROR(N(INDEX(Parameter!$L$5:$L$7,W973))*INDEX(Parameter!$E$5:$E$7,W973)*X973/SUMIFS($X$7:$X$1843,$W$7:$W$1843,W973),0),0)</f>
        <v>0</v>
      </c>
    </row>
    <row r="974" customFormat="false" ht="15" hidden="false" customHeight="false" outlineLevel="0" collapsed="false">
      <c r="A974" s="48" t="s">
        <v>1810</v>
      </c>
      <c r="B974" s="48" t="s">
        <v>1811</v>
      </c>
      <c r="C974" s="48" t="s">
        <v>168</v>
      </c>
      <c r="D974" s="48" t="s">
        <v>188</v>
      </c>
      <c r="E974" s="48" t="s">
        <v>189</v>
      </c>
      <c r="F974" s="48" t="s">
        <v>222</v>
      </c>
      <c r="G974" s="49" t="n">
        <v>68.15</v>
      </c>
      <c r="H974" s="50" t="n">
        <f aca="false">MAX(0,IF(AND(Parameter!$B$21="Ja",ISNUMBER(Y974)),Y974,IF(Parameter!$B$20="Jahresanfang 2025 + Export",BO974+BN974,BN974)))</f>
        <v>4</v>
      </c>
      <c r="I974" s="50" t="n">
        <f aca="false">H974*G974</f>
        <v>272.6</v>
      </c>
      <c r="J974" s="50" t="n">
        <f aca="false">BQ974*Parameter!$B$18</f>
        <v>5</v>
      </c>
      <c r="K974" s="51" t="n">
        <v>4.5</v>
      </c>
      <c r="L974" s="52" t="n">
        <v>1.11111111111111</v>
      </c>
      <c r="M974" s="50" t="n">
        <v>0</v>
      </c>
      <c r="N974" s="50" t="n">
        <v>5</v>
      </c>
      <c r="O974" s="53" t="n">
        <v>21</v>
      </c>
      <c r="P974" s="48" t="s">
        <v>480</v>
      </c>
      <c r="Q974" s="50" t="n">
        <v>11</v>
      </c>
      <c r="R974" s="53" t="n">
        <f aca="false">IF(BW974=1,0,IFERROR(VLOOKUP(BU974,'Gebinde-Kategorie'!$A$5:$N$45,13,0)+0,0))</f>
        <v>52</v>
      </c>
      <c r="S974" s="54"/>
      <c r="T974" s="55"/>
      <c r="U974" s="55"/>
      <c r="V974" s="55"/>
      <c r="W974" s="48"/>
      <c r="X974" s="50"/>
      <c r="Y974" s="50"/>
      <c r="Z974" s="48" t="n">
        <f aca="false">IF(A974="","",IF(AND(Parameter!$B$21="Ja",ISNUMBER(W974)),W974,IF(BZ974="2+3",IF(ISNUMBER(SEARCH("grosser Artikel",BR974)),2,IFERROR(VLOOKUP(BU974,Parameter!$F$35:$G$64,2,0),2)),IF(OR(BZ974="Nein",BZ974=""),"-",BZ974))))</f>
        <v>3</v>
      </c>
      <c r="AA974" s="55"/>
      <c r="AB974" s="56"/>
      <c r="AC974" s="50" t="n">
        <f aca="false">AT974</f>
        <v>11</v>
      </c>
      <c r="AD974" s="50" t="n">
        <f aca="false">MAX(AT974,H974)</f>
        <v>11</v>
      </c>
      <c r="AE974" s="57"/>
      <c r="AF974" s="50" t="n">
        <f aca="false">IF(LEFT(Cockpit!$C$5,1)="A",H974,IF(CE974=1,CF974,IF(LEFT(Cockpit!$C$5,1)="B",AK974,MAX(AK974,H974))))</f>
        <v>4</v>
      </c>
      <c r="AG974" s="50" t="n">
        <f aca="false">IF(BW974=1,0,ROUNDUP(AF974/BV974,0))</f>
        <v>1</v>
      </c>
      <c r="AH974" s="52" t="n">
        <f aca="false">IF(CL974&gt;0,CL974*MAX(1,AF974/X974),IF(BW974=1,IF(AF974&lt;=0,0,CA974*MAX(1,IF(H974&gt;0,AF974/H974,1))),IF(R974&gt;0,AG974/R974,0))/MAX(0.1,N(Parameter!$M$21)))</f>
        <v>0.0192307692307692</v>
      </c>
      <c r="AI974" s="50" t="n">
        <f aca="false">AH974*BY974</f>
        <v>2.98076923076923</v>
      </c>
      <c r="AJ974" s="50" t="n">
        <f aca="false">AF974*G974</f>
        <v>272.6</v>
      </c>
      <c r="AK974" s="50" t="n">
        <f aca="false">ROUNDUP(MAX(J974/IF(CD974&gt;0,CD974,MAX(0.1,N(Cockpit!$C$6))),CG974)/BV974,0)*BV974</f>
        <v>11</v>
      </c>
      <c r="AL974" s="51" t="n">
        <f aca="false">IF(AI974&gt;0,J974/AI974,-1)</f>
        <v>1.67741935483871</v>
      </c>
      <c r="AM974" s="51" t="n">
        <f aca="false">IF(AND(OR(CC974="L1",CC974="L23",CC974="LIFT"),AI974&gt;0),SUMIFS($AI$7:$AI$1843,$CC$7:$CC$1843,CC974,$AL$7:$AL$1843,"&gt;"&amp;AL974)+SUMIFS($AI$7:$AI$1843,$CC$7:$CC$1843,CC974,$AL$7:$AL$1843,AL974,$BT$7:$BT$1843,"&lt;="&amp;BT974),"")</f>
        <v>6057.81456043956</v>
      </c>
      <c r="AN974" s="58" t="n">
        <f aca="false">IF(AM974="",0,MAX(0,MIN(1,(IF(CC974="L1",Parameter!$H$5,IF(CC974="L23",Parameter!$H$6+Parameter!$H$7,Parameter!$H$5+Parameter!$H$6+Parameter!$H$7))-(AM974-AI974))/AI974)))</f>
        <v>1</v>
      </c>
      <c r="AO974" s="50" t="n">
        <f aca="false">IF(LEFT(Cockpit!$I$5,1)="A",H974,IF(CE974=1,CF974,IF(LEFT(Cockpit!$I$5,1)="B",AT974,MAX(AT974,H974))))</f>
        <v>11</v>
      </c>
      <c r="AP974" s="50" t="n">
        <f aca="false">IF(BW974=1,0,ROUNDUP(AO974/BV974,0))</f>
        <v>1</v>
      </c>
      <c r="AQ974" s="52" t="n">
        <f aca="false">IF(CL974&gt;0,CL974*MAX(1,AO974/X974),IF(BW974=1,IF(AO974&lt;=0,0,CA974*MAX(1,IF(H974&gt;0,AO974/H974,1))),IF(R974&gt;0,AP974/R974,0))/MAX(0.1,N(Parameter!$M$21)))</f>
        <v>0.0192307692307692</v>
      </c>
      <c r="AR974" s="50" t="n">
        <f aca="false">AQ974*BY974</f>
        <v>2.98076923076923</v>
      </c>
      <c r="AS974" s="50" t="n">
        <f aca="false">AO974*G974</f>
        <v>749.65</v>
      </c>
      <c r="AT974" s="50" t="n">
        <f aca="false">ROUNDUP(MAX(J974/IF(CD974&gt;0,CD974,MAX(0.1,N(Cockpit!$I$6))),CG974)/BV974,0)*BV974</f>
        <v>11</v>
      </c>
      <c r="AU974" s="51" t="n">
        <f aca="false">IF(AR974&gt;0,J974/AR974,-1)</f>
        <v>1.67741935483871</v>
      </c>
      <c r="AV974" s="51" t="n">
        <f aca="false">IF(AND(OR(CC974="L1",CC974="L23",CC974="LIFT"),AR974&gt;0),SUMIFS($AR$7:$AR$1843,$CC$7:$CC$1843,CC974,$AU$7:$AU$1843,"&gt;"&amp;AU974)+SUMIFS($AR$7:$AR$1843,$CC$7:$CC$1843,CC974,$AU$7:$AU$1843,AU974,$BT$7:$BT$1843,"&lt;="&amp;BT974),"")</f>
        <v>8201.85989010989</v>
      </c>
      <c r="AW974" s="58" t="n">
        <f aca="false">IF(AV974="",0,MAX(0,MIN(1,(IF(CC974="L1",Parameter!$H$5,IF(CC974="L23",Parameter!$H$6+Parameter!$H$7,Parameter!$H$5+Parameter!$H$6+Parameter!$H$7))-(AV974-AR974))/AR974)))</f>
        <v>1</v>
      </c>
      <c r="AX974" s="50" t="n">
        <f aca="false">IF(LEFT(Cockpit!$O$5,1)="A",H974,IF(CE974=1,CF974,IF(LEFT(Cockpit!$O$5,1)="B",BC974,MAX(BC974,H974))))</f>
        <v>11</v>
      </c>
      <c r="AY974" s="50" t="n">
        <f aca="false">IF(BW974=1,0,ROUNDUP(AX974/BV974,0))</f>
        <v>1</v>
      </c>
      <c r="AZ974" s="52" t="n">
        <f aca="false">IF(CL974&gt;0,CL974*MAX(1,AX974/X974),IF(BW974=1,IF(AX974&lt;=0,0,CA974*MAX(1,IF(H974&gt;0,AX974/H974,1))),IF(R974&gt;0,AY974/R974,0))/MAX(0.1,N(Parameter!$M$21)))</f>
        <v>0.0192307692307692</v>
      </c>
      <c r="BA974" s="50" t="n">
        <f aca="false">AZ974*BY974</f>
        <v>2.98076923076923</v>
      </c>
      <c r="BB974" s="50" t="n">
        <f aca="false">AX974*G974</f>
        <v>749.65</v>
      </c>
      <c r="BC974" s="50" t="n">
        <f aca="false">ROUNDUP(MAX(J974/IF(CD974&gt;0,CD974,MAX(0.1,N(Cockpit!$O$6))),CG974)/BV974,0)*BV974</f>
        <v>11</v>
      </c>
      <c r="BD974" s="51" t="n">
        <f aca="false">IF(BA974&gt;0,J974/BA974,-1)</f>
        <v>1.67741935483871</v>
      </c>
      <c r="BE974" s="51" t="n">
        <f aca="false">IF(AND(OR(CC974="L1",CC974="L23",CC974="LIFT"),BA974&gt;0),SUMIFS($BA$7:$BA$1843,$CC$7:$CC$1843,CC974,$BD$7:$BD$1843,"&gt;"&amp;BD974)+SUMIFS($BA$7:$BA$1843,$CC$7:$CC$1843,CC974,$BD$7:$BD$1843,BD974,$BT$7:$BT$1843,"&lt;="&amp;BT974),"")</f>
        <v>8116.26694139194</v>
      </c>
      <c r="BF974" s="58" t="n">
        <f aca="false">IF(BE974="",0,MAX(0,MIN(1,(IF(CC974="L1",Parameter!$H$5,IF(CC974="L23",Parameter!$H$6+Parameter!$H$7,Parameter!$H$5+Parameter!$H$6+Parameter!$H$7))-(BE974-BA974))/BA974)))</f>
        <v>1</v>
      </c>
      <c r="BG974" s="48" t="str">
        <f aca="false">IF(AI974&lt;=0,"",IF(CC974="Aussen","Aussenlager",IF(CC974="-","Nicht im Lift",IF(AN974&gt;=1,"Lift",IF(AN974&lt;=0,"Aussenlager","teilweise")))))</f>
        <v>Lift</v>
      </c>
      <c r="BH974" s="48" t="str">
        <f aca="false">IF(AR974&lt;=0,"",IF(CC974="Aussen","Aussenlager",IF(CC974="-","Nicht im Lift",IF(AW974&gt;=1,"Lift",IF(AW974&lt;=0,"Aussenlager","teilweise")))))</f>
        <v>Lift</v>
      </c>
      <c r="BI974" s="48" t="str">
        <f aca="false">IF(BA974&lt;=0,"",IF(CC974="Aussen","Aussenlager",IF(CC974="-","Nicht im Lift",IF(BF974&gt;=1,"Lift",IF(BF974&lt;=0,"Aussenlager","teilweise")))))</f>
        <v>Lift</v>
      </c>
      <c r="BJ974" s="48" t="str">
        <f aca="false">IF(A974="","",IF(BS974=1,"Neu; ","")&amp;IF(AND(BS974=0,BN974&lt;0),"negativer Bestand (Export "&amp;BN974&amp;"); ","")&amp;IF(J974&lt;=0,"Kein Verbrauch; ","")&amp;IF(CL974&gt;0,"Lift "&amp;W974&amp;" lt. Liftbericht (Fach "&amp;X974&amp;" Stk); ",IF(BX974=1,"Gebinde geschätzt ("&amp;T974&amp;"); ",IF(BW974=1,"Lose – Tablare geschätzt; ","")))&amp;IF(H974&gt;AT974,"Überbestand "&amp;ROUND(H974-AT974,0)&amp;" Stk / CHF "&amp;ROUND((H974-AT974)*G974,0)&amp;"; ","")&amp;IF(AND(CE974=1,CF974&lt;CG974),"MAX &lt; MB+LG; ","")&amp;IF(AND(CK974&gt;0,CJ974*10&gt;CK974),"zu hoch für Tablar; ","")&amp;IF(AND(BS974=0,OR(CE974=1,AA974&lt;&gt;"",U974&lt;&gt;"",V974&lt;&gt;"",AB974&lt;&gt;"")),"manuell übersteuert; ","")&amp;IF(AND(BW974=0,R974=0),"Gebinde unbekannt / Stellmass fehlt; ","")&amp;IF(AND(BW974=0,N(V974)&lt;=0,N(Q974)&lt;=0),"Menge pro Gebinde fehlt (Ist = 1 Gebinde); ","")&amp;BR974)</f>
        <v>negativer Bestand (Export -2); </v>
      </c>
      <c r="BK974" s="48"/>
      <c r="BL974" s="48"/>
      <c r="BM974" s="55"/>
      <c r="BN974" s="50" t="n">
        <v>-2</v>
      </c>
      <c r="BO974" s="50" t="n">
        <v>6</v>
      </c>
      <c r="BP974" s="49" t="n">
        <v>-73.66</v>
      </c>
      <c r="BQ974" s="50" t="n">
        <v>5</v>
      </c>
      <c r="BR974" s="48"/>
      <c r="BS974" s="53" t="n">
        <v>0</v>
      </c>
      <c r="BT974" s="53" t="n">
        <v>974</v>
      </c>
      <c r="BU974" s="48" t="str">
        <f aca="false">IF(U974&lt;&gt;"",UPPER(TRIM(U974)),IF(BX974=1,UPPER(VLOOKUP(T974,Parameter!$I$27:$K$29,2,0)),IF(P974="","LOSE",P974)))</f>
        <v>S33</v>
      </c>
      <c r="BV974" s="50" t="n">
        <f aca="false">IF(BU974="LOSE",1,IF(N(V974)&gt;0,V974,IF(BX974=1,MAX(1,N(VLOOKUP(T974,Parameter!$I$27:$K$29,3,0)),H974,N(N974)),IF(N(Q974)&gt;0,Q974,MAX(1,H974)))))</f>
        <v>11</v>
      </c>
      <c r="BW974" s="53" t="n">
        <f aca="false">IF(BU974="LOSE",1,0)</f>
        <v>0</v>
      </c>
      <c r="BX974" s="53" t="n">
        <f aca="false">IF(AND(U974="",OR(P974="",P974="LOSE"),T974&lt;&gt;"",N(S974)&lt;=0,ISNUMBER(MATCH(T974,Parameter!$I$27:$I$29,0))),1,0)</f>
        <v>0</v>
      </c>
      <c r="BY974" s="53" t="n">
        <f aca="false">IF(CL974&gt;0,INDEX(Parameter!$H$5:$H$7,W974)/INDEX(Parameter!$E$5:$E$7,W974),IF(AND(BW974=0,N(IFERROR(VLOOKUP(BU974,'Gebinde-Kategorie'!$A$5:$N$45,14,0),0))&gt;0),VLOOKUP(BU974,'Gebinde-Kategorie'!$A$5:$N$45,14,0)*10+Parameter!$M$23,Parameter!$M$24))</f>
        <v>155</v>
      </c>
      <c r="BZ974" s="48" t="str">
        <f aca="false">IF(AND(Parameter!$B$19="Ja",E974&lt;&gt;"",ISNUMBER(MATCH(E974,Parameter!$I$35:$I$52,0))),VLOOKUP(E974,Parameter!$I$35:$J$52,2,0),IFERROR(VLOOKUP(D974,Parameter!$A$35:$C$64,2,0),"Nein"))</f>
        <v>2+3</v>
      </c>
      <c r="CA974" s="52" t="n">
        <f aca="false">IF(BW974=0,0,IF(N(S974)&gt;0,S974,IFERROR(VLOOKUP(D974,Parameter!$A$35:$C$64,3,0)+0,0)))</f>
        <v>0</v>
      </c>
      <c r="CB974" s="48" t="n">
        <f aca="false">IF(AA974&lt;&gt;"",AA974,Z974)</f>
        <v>3</v>
      </c>
      <c r="CC974" s="48" t="str">
        <f aca="false">IF(OR(CB974=1,CB974=2,CB974=3),IF(Parameter!$E$27="Ja","LIFT",IF(CB974=1,"L1","L23")),IF(CB974="Aussen","Aussen","-"))</f>
        <v>LIFT</v>
      </c>
      <c r="CD974" s="59" t="n">
        <f aca="false">IF(N(AB974)&gt;0,AB974,0)</f>
        <v>0</v>
      </c>
      <c r="CE974" s="53" t="n">
        <f aca="false">IF(ISNUMBER(AE974),1,0)</f>
        <v>0</v>
      </c>
      <c r="CF974" s="50" t="n">
        <f aca="false">N(AE974)</f>
        <v>0</v>
      </c>
      <c r="CG974" s="50" t="n">
        <f aca="false">N(M974)+N(N974)</f>
        <v>5</v>
      </c>
      <c r="CH974" s="50" t="n">
        <f aca="false">ROUNDUP(H974/BV974,0)</f>
        <v>1</v>
      </c>
      <c r="CI974" s="50" t="n">
        <f aca="false">ROUNDUP(CF974/BV974,0)</f>
        <v>0</v>
      </c>
      <c r="CJ974" s="53" t="n">
        <f aca="false">IF(BW974=1,0,IFERROR(VLOOKUP(BU974,'Gebinde-Kategorie'!$A$5:$N$45,5,0)+0,0))</f>
        <v>8</v>
      </c>
      <c r="CK974" s="53" t="n">
        <f aca="false">IFERROR(IF(OR(CB974=1,CB974=2,CB974=3),N(INDEX(Parameter!$I$5:$I$7,CB974)),0),0)</f>
        <v>0</v>
      </c>
      <c r="CL974" s="52" t="n">
        <f aca="false">IF(AND(Parameter!$B$21="Ja",ISNUMBER(W974),N(X974)&gt;0),IFERROR(N(INDEX(Parameter!$L$5:$L$7,W974))*INDEX(Parameter!$E$5:$E$7,W974)*X974/SUMIFS($X$7:$X$1843,$W$7:$W$1843,W974),0),0)</f>
        <v>0</v>
      </c>
    </row>
    <row r="975" customFormat="false" ht="15" hidden="false" customHeight="false" outlineLevel="0" collapsed="false">
      <c r="A975" s="48" t="s">
        <v>1812</v>
      </c>
      <c r="B975" s="48" t="s">
        <v>816</v>
      </c>
      <c r="C975" s="48" t="s">
        <v>168</v>
      </c>
      <c r="D975" s="48" t="s">
        <v>188</v>
      </c>
      <c r="E975" s="48" t="s">
        <v>189</v>
      </c>
      <c r="F975" s="48" t="s">
        <v>222</v>
      </c>
      <c r="G975" s="49" t="n">
        <v>0.16</v>
      </c>
      <c r="H975" s="50" t="n">
        <f aca="false">MAX(0,IF(AND(Parameter!$B$21="Ja",ISNUMBER(Y975)),Y975,IF(Parameter!$B$20="Jahresanfang 2025 + Export",BO975+BN975,BN975)))</f>
        <v>242</v>
      </c>
      <c r="I975" s="50" t="n">
        <f aca="false">H975*G975</f>
        <v>38.72</v>
      </c>
      <c r="J975" s="50" t="n">
        <f aca="false">BQ975*Parameter!$B$18</f>
        <v>196</v>
      </c>
      <c r="K975" s="51" t="n">
        <v>565.5</v>
      </c>
      <c r="L975" s="52" t="n">
        <v>0.346595932802829</v>
      </c>
      <c r="M975" s="50" t="n">
        <v>11</v>
      </c>
      <c r="N975" s="50" t="n">
        <v>195</v>
      </c>
      <c r="O975" s="53" t="n">
        <v>21</v>
      </c>
      <c r="P975" s="48" t="s">
        <v>237</v>
      </c>
      <c r="Q975" s="50" t="n">
        <v>609</v>
      </c>
      <c r="R975" s="53" t="n">
        <f aca="false">IF(BW975=1,0,IFERROR(VLOOKUP(BU975,'Gebinde-Kategorie'!$A$5:$N$45,13,0)+0,0))</f>
        <v>26</v>
      </c>
      <c r="S975" s="54"/>
      <c r="T975" s="55"/>
      <c r="U975" s="55"/>
      <c r="V975" s="55"/>
      <c r="W975" s="48"/>
      <c r="X975" s="50"/>
      <c r="Y975" s="50"/>
      <c r="Z975" s="48" t="n">
        <f aca="false">IF(A975="","",IF(AND(Parameter!$B$21="Ja",ISNUMBER(W975)),W975,IF(BZ975="2+3",IF(ISNUMBER(SEARCH("grosser Artikel",BR975)),2,IFERROR(VLOOKUP(BU975,Parameter!$F$35:$G$64,2,0),2)),IF(OR(BZ975="Nein",BZ975=""),"-",BZ975))))</f>
        <v>3</v>
      </c>
      <c r="AA975" s="55"/>
      <c r="AB975" s="56"/>
      <c r="AC975" s="50" t="n">
        <f aca="false">AT975</f>
        <v>609</v>
      </c>
      <c r="AD975" s="50" t="n">
        <f aca="false">MAX(AT975,H975)</f>
        <v>609</v>
      </c>
      <c r="AE975" s="57"/>
      <c r="AF975" s="50" t="n">
        <f aca="false">IF(LEFT(Cockpit!$C$5,1)="A",H975,IF(CE975=1,CF975,IF(LEFT(Cockpit!$C$5,1)="B",AK975,MAX(AK975,H975))))</f>
        <v>242</v>
      </c>
      <c r="AG975" s="50" t="n">
        <f aca="false">IF(BW975=1,0,ROUNDUP(AF975/BV975,0))</f>
        <v>1</v>
      </c>
      <c r="AH975" s="52" t="n">
        <f aca="false">IF(CL975&gt;0,CL975*MAX(1,AF975/X975),IF(BW975=1,IF(AF975&lt;=0,0,CA975*MAX(1,IF(H975&gt;0,AF975/H975,1))),IF(R975&gt;0,AG975/R975,0))/MAX(0.1,N(Parameter!$M$21)))</f>
        <v>0.0384615384615385</v>
      </c>
      <c r="AI975" s="50" t="n">
        <f aca="false">AH975*BY975</f>
        <v>9.42307692307692</v>
      </c>
      <c r="AJ975" s="50" t="n">
        <f aca="false">AF975*G975</f>
        <v>38.72</v>
      </c>
      <c r="AK975" s="50" t="n">
        <f aca="false">ROUNDUP(MAX(J975/IF(CD975&gt;0,CD975,MAX(0.1,N(Cockpit!$C$6))),CG975)/BV975,0)*BV975</f>
        <v>609</v>
      </c>
      <c r="AL975" s="51" t="n">
        <f aca="false">IF(AI975&gt;0,J975/AI975,-1)</f>
        <v>20.8</v>
      </c>
      <c r="AM975" s="51" t="n">
        <f aca="false">IF(AND(OR(CC975="L1",CC975="L23",CC975="LIFT"),AI975&gt;0),SUMIFS($AI$7:$AI$1843,$CC$7:$CC$1843,CC975,$AL$7:$AL$1843,"&gt;"&amp;AL975)+SUMIFS($AI$7:$AI$1843,$CC$7:$CC$1843,CC975,$AL$7:$AL$1843,AL975,$BT$7:$BT$1843,"&lt;="&amp;BT975),"")</f>
        <v>1652.64468864469</v>
      </c>
      <c r="AN975" s="58" t="n">
        <f aca="false">IF(AM975="",0,MAX(0,MIN(1,(IF(CC975="L1",Parameter!$H$5,IF(CC975="L23",Parameter!$H$6+Parameter!$H$7,Parameter!$H$5+Parameter!$H$6+Parameter!$H$7))-(AM975-AI975))/AI975)))</f>
        <v>1</v>
      </c>
      <c r="AO975" s="50" t="n">
        <f aca="false">IF(LEFT(Cockpit!$I$5,1)="A",H975,IF(CE975=1,CF975,IF(LEFT(Cockpit!$I$5,1)="B",AT975,MAX(AT975,H975))))</f>
        <v>609</v>
      </c>
      <c r="AP975" s="50" t="n">
        <f aca="false">IF(BW975=1,0,ROUNDUP(AO975/BV975,0))</f>
        <v>1</v>
      </c>
      <c r="AQ975" s="52" t="n">
        <f aca="false">IF(CL975&gt;0,CL975*MAX(1,AO975/X975),IF(BW975=1,IF(AO975&lt;=0,0,CA975*MAX(1,IF(H975&gt;0,AO975/H975,1))),IF(R975&gt;0,AP975/R975,0))/MAX(0.1,N(Parameter!$M$21)))</f>
        <v>0.0384615384615385</v>
      </c>
      <c r="AR975" s="50" t="n">
        <f aca="false">AQ975*BY975</f>
        <v>9.42307692307692</v>
      </c>
      <c r="AS975" s="50" t="n">
        <f aca="false">AO975*G975</f>
        <v>97.44</v>
      </c>
      <c r="AT975" s="50" t="n">
        <f aca="false">ROUNDUP(MAX(J975/IF(CD975&gt;0,CD975,MAX(0.1,N(Cockpit!$I$6))),CG975)/BV975,0)*BV975</f>
        <v>609</v>
      </c>
      <c r="AU975" s="51" t="n">
        <f aca="false">IF(AR975&gt;0,J975/AR975,-1)</f>
        <v>20.8</v>
      </c>
      <c r="AV975" s="51" t="n">
        <f aca="false">IF(AND(OR(CC975="L1",CC975="L23",CC975="LIFT"),AR975&gt;0),SUMIFS($AR$7:$AR$1843,$CC$7:$CC$1843,CC975,$AU$7:$AU$1843,"&gt;"&amp;AU975)+SUMIFS($AR$7:$AR$1843,$CC$7:$CC$1843,CC975,$AU$7:$AU$1843,AU975,$BT$7:$BT$1843,"&lt;="&amp;BT975),"")</f>
        <v>2236.01327838828</v>
      </c>
      <c r="AW975" s="58" t="n">
        <f aca="false">IF(AV975="",0,MAX(0,MIN(1,(IF(CC975="L1",Parameter!$H$5,IF(CC975="L23",Parameter!$H$6+Parameter!$H$7,Parameter!$H$5+Parameter!$H$6+Parameter!$H$7))-(AV975-AR975))/AR975)))</f>
        <v>1</v>
      </c>
      <c r="AX975" s="50" t="n">
        <f aca="false">IF(LEFT(Cockpit!$O$5,1)="A",H975,IF(CE975=1,CF975,IF(LEFT(Cockpit!$O$5,1)="B",BC975,MAX(BC975,H975))))</f>
        <v>609</v>
      </c>
      <c r="AY975" s="50" t="n">
        <f aca="false">IF(BW975=1,0,ROUNDUP(AX975/BV975,0))</f>
        <v>1</v>
      </c>
      <c r="AZ975" s="52" t="n">
        <f aca="false">IF(CL975&gt;0,CL975*MAX(1,AX975/X975),IF(BW975=1,IF(AX975&lt;=0,0,CA975*MAX(1,IF(H975&gt;0,AX975/H975,1))),IF(R975&gt;0,AY975/R975,0))/MAX(0.1,N(Parameter!$M$21)))</f>
        <v>0.0384615384615385</v>
      </c>
      <c r="BA975" s="50" t="n">
        <f aca="false">AZ975*BY975</f>
        <v>9.42307692307692</v>
      </c>
      <c r="BB975" s="50" t="n">
        <f aca="false">AX975*G975</f>
        <v>97.44</v>
      </c>
      <c r="BC975" s="50" t="n">
        <f aca="false">ROUNDUP(MAX(J975/IF(CD975&gt;0,CD975,MAX(0.1,N(Cockpit!$O$6))),CG975)/BV975,0)*BV975</f>
        <v>609</v>
      </c>
      <c r="BD975" s="51" t="n">
        <f aca="false">IF(BA975&gt;0,J975/BA975,-1)</f>
        <v>20.8</v>
      </c>
      <c r="BE975" s="51" t="n">
        <f aca="false">IF(AND(OR(CC975="L1",CC975="L23",CC975="LIFT"),BA975&gt;0),SUMIFS($BA$7:$BA$1843,$CC$7:$CC$1843,CC975,$BD$7:$BD$1843,"&gt;"&amp;BD975)+SUMIFS($BA$7:$BA$1843,$CC$7:$CC$1843,CC975,$BD$7:$BD$1843,BD975,$BT$7:$BT$1843,"&lt;="&amp;BT975),"")</f>
        <v>2342.95238095238</v>
      </c>
      <c r="BF975" s="58" t="n">
        <f aca="false">IF(BE975="",0,MAX(0,MIN(1,(IF(CC975="L1",Parameter!$H$5,IF(CC975="L23",Parameter!$H$6+Parameter!$H$7,Parameter!$H$5+Parameter!$H$6+Parameter!$H$7))-(BE975-BA975))/BA975)))</f>
        <v>1</v>
      </c>
      <c r="BG975" s="48" t="str">
        <f aca="false">IF(AI975&lt;=0,"",IF(CC975="Aussen","Aussenlager",IF(CC975="-","Nicht im Lift",IF(AN975&gt;=1,"Lift",IF(AN975&lt;=0,"Aussenlager","teilweise")))))</f>
        <v>Lift</v>
      </c>
      <c r="BH975" s="48" t="str">
        <f aca="false">IF(AR975&lt;=0,"",IF(CC975="Aussen","Aussenlager",IF(CC975="-","Nicht im Lift",IF(AW975&gt;=1,"Lift",IF(AW975&lt;=0,"Aussenlager","teilweise")))))</f>
        <v>Lift</v>
      </c>
      <c r="BI975" s="48" t="str">
        <f aca="false">IF(BA975&lt;=0,"",IF(CC975="Aussen","Aussenlager",IF(CC975="-","Nicht im Lift",IF(BF975&gt;=1,"Lift",IF(BF975&lt;=0,"Aussenlager","teilweise")))))</f>
        <v>Lift</v>
      </c>
      <c r="BJ975" s="48" t="str">
        <f aca="false">IF(A975="","",IF(BS975=1,"Neu; ","")&amp;IF(AND(BS975=0,BN975&lt;0),"negativer Bestand (Export "&amp;BN975&amp;"); ","")&amp;IF(J975&lt;=0,"Kein Verbrauch; ","")&amp;IF(CL975&gt;0,"Lift "&amp;W975&amp;" lt. Liftbericht (Fach "&amp;X975&amp;" Stk); ",IF(BX975=1,"Gebinde geschätzt ("&amp;T975&amp;"); ",IF(BW975=1,"Lose – Tablare geschätzt; ","")))&amp;IF(H975&gt;AT975,"Überbestand "&amp;ROUND(H975-AT975,0)&amp;" Stk / CHF "&amp;ROUND((H975-AT975)*G975,0)&amp;"; ","")&amp;IF(AND(CE975=1,CF975&lt;CG975),"MAX &lt; MB+LG; ","")&amp;IF(AND(CK975&gt;0,CJ975*10&gt;CK975),"zu hoch für Tablar; ","")&amp;IF(AND(BS975=0,OR(CE975=1,AA975&lt;&gt;"",U975&lt;&gt;"",V975&lt;&gt;"",AB975&lt;&gt;"")),"manuell übersteuert; ","")&amp;IF(AND(BW975=0,R975=0),"Gebinde unbekannt / Stellmass fehlt; ","")&amp;IF(AND(BW975=0,N(V975)&lt;=0,N(Q975)&lt;=0),"Menge pro Gebinde fehlt (Ist = 1 Gebinde); ","")&amp;BR975)</f>
        <v>negativer Bestand (Export -464); </v>
      </c>
      <c r="BK975" s="48"/>
      <c r="BL975" s="48"/>
      <c r="BM975" s="55"/>
      <c r="BN975" s="50" t="n">
        <v>-464</v>
      </c>
      <c r="BO975" s="50" t="n">
        <v>706</v>
      </c>
      <c r="BP975" s="49" t="n">
        <v>-74.24</v>
      </c>
      <c r="BQ975" s="50" t="n">
        <v>196</v>
      </c>
      <c r="BR975" s="48"/>
      <c r="BS975" s="53" t="n">
        <v>0</v>
      </c>
      <c r="BT975" s="53" t="n">
        <v>975</v>
      </c>
      <c r="BU975" s="48" t="str">
        <f aca="false">IF(U975&lt;&gt;"",UPPER(TRIM(U975)),IF(BX975=1,UPPER(VLOOKUP(T975,Parameter!$I$27:$K$29,2,0)),IF(P975="","LOSE",P975)))</f>
        <v>S52</v>
      </c>
      <c r="BV975" s="50" t="n">
        <f aca="false">IF(BU975="LOSE",1,IF(N(V975)&gt;0,V975,IF(BX975=1,MAX(1,N(VLOOKUP(T975,Parameter!$I$27:$K$29,3,0)),H975,N(N975)),IF(N(Q975)&gt;0,Q975,MAX(1,H975)))))</f>
        <v>609</v>
      </c>
      <c r="BW975" s="53" t="n">
        <f aca="false">IF(BU975="LOSE",1,0)</f>
        <v>0</v>
      </c>
      <c r="BX975" s="53" t="n">
        <f aca="false">IF(AND(U975="",OR(P975="",P975="LOSE"),T975&lt;&gt;"",N(S975)&lt;=0,ISNUMBER(MATCH(T975,Parameter!$I$27:$I$29,0))),1,0)</f>
        <v>0</v>
      </c>
      <c r="BY975" s="53" t="n">
        <f aca="false">IF(CL975&gt;0,INDEX(Parameter!$H$5:$H$7,W975)/INDEX(Parameter!$E$5:$E$7,W975),IF(AND(BW975=0,N(IFERROR(VLOOKUP(BU975,'Gebinde-Kategorie'!$A$5:$N$45,14,0),0))&gt;0),VLOOKUP(BU975,'Gebinde-Kategorie'!$A$5:$N$45,14,0)*10+Parameter!$M$23,Parameter!$M$24))</f>
        <v>245</v>
      </c>
      <c r="BZ975" s="48" t="str">
        <f aca="false">IF(AND(Parameter!$B$19="Ja",E975&lt;&gt;"",ISNUMBER(MATCH(E975,Parameter!$I$35:$I$52,0))),VLOOKUP(E975,Parameter!$I$35:$J$52,2,0),IFERROR(VLOOKUP(D975,Parameter!$A$35:$C$64,2,0),"Nein"))</f>
        <v>2+3</v>
      </c>
      <c r="CA975" s="52" t="n">
        <f aca="false">IF(BW975=0,0,IF(N(S975)&gt;0,S975,IFERROR(VLOOKUP(D975,Parameter!$A$35:$C$64,3,0)+0,0)))</f>
        <v>0</v>
      </c>
      <c r="CB975" s="48" t="n">
        <f aca="false">IF(AA975&lt;&gt;"",AA975,Z975)</f>
        <v>3</v>
      </c>
      <c r="CC975" s="48" t="str">
        <f aca="false">IF(OR(CB975=1,CB975=2,CB975=3),IF(Parameter!$E$27="Ja","LIFT",IF(CB975=1,"L1","L23")),IF(CB975="Aussen","Aussen","-"))</f>
        <v>LIFT</v>
      </c>
      <c r="CD975" s="59" t="n">
        <f aca="false">IF(N(AB975)&gt;0,AB975,0)</f>
        <v>0</v>
      </c>
      <c r="CE975" s="53" t="n">
        <f aca="false">IF(ISNUMBER(AE975),1,0)</f>
        <v>0</v>
      </c>
      <c r="CF975" s="50" t="n">
        <f aca="false">N(AE975)</f>
        <v>0</v>
      </c>
      <c r="CG975" s="50" t="n">
        <f aca="false">N(M975)+N(N975)</f>
        <v>206</v>
      </c>
      <c r="CH975" s="50" t="n">
        <f aca="false">ROUNDUP(H975/BV975,0)</f>
        <v>1</v>
      </c>
      <c r="CI975" s="50" t="n">
        <f aca="false">ROUNDUP(CF975/BV975,0)</f>
        <v>0</v>
      </c>
      <c r="CJ975" s="53" t="n">
        <f aca="false">IF(BW975=1,0,IFERROR(VLOOKUP(BU975,'Gebinde-Kategorie'!$A$5:$N$45,5,0)+0,0))</f>
        <v>21</v>
      </c>
      <c r="CK975" s="53" t="n">
        <f aca="false">IFERROR(IF(OR(CB975=1,CB975=2,CB975=3),N(INDEX(Parameter!$I$5:$I$7,CB975)),0),0)</f>
        <v>0</v>
      </c>
      <c r="CL975" s="52" t="n">
        <f aca="false">IF(AND(Parameter!$B$21="Ja",ISNUMBER(W975),N(X975)&gt;0),IFERROR(N(INDEX(Parameter!$L$5:$L$7,W975))*INDEX(Parameter!$E$5:$E$7,W975)*X975/SUMIFS($X$7:$X$1843,$W$7:$W$1843,W975),0),0)</f>
        <v>0</v>
      </c>
    </row>
    <row r="976" customFormat="false" ht="15" hidden="false" customHeight="false" outlineLevel="0" collapsed="false">
      <c r="A976" s="48" t="s">
        <v>1813</v>
      </c>
      <c r="B976" s="48" t="s">
        <v>472</v>
      </c>
      <c r="C976" s="48" t="s">
        <v>168</v>
      </c>
      <c r="D976" s="48" t="s">
        <v>188</v>
      </c>
      <c r="E976" s="48" t="s">
        <v>189</v>
      </c>
      <c r="F976" s="48" t="s">
        <v>222</v>
      </c>
      <c r="G976" s="49" t="n">
        <v>0.87</v>
      </c>
      <c r="H976" s="50" t="n">
        <f aca="false">MAX(0,IF(AND(Parameter!$B$21="Ja",ISNUMBER(Y976)),Y976,IF(Parameter!$B$20="Jahresanfang 2025 + Export",BO976+BN976,BN976)))</f>
        <v>93</v>
      </c>
      <c r="I976" s="50" t="n">
        <f aca="false">H976*G976</f>
        <v>80.91</v>
      </c>
      <c r="J976" s="50" t="n">
        <f aca="false">BQ976*Parameter!$B$18</f>
        <v>145</v>
      </c>
      <c r="K976" s="51" t="n">
        <v>181</v>
      </c>
      <c r="L976" s="52" t="n">
        <v>0.801104972375691</v>
      </c>
      <c r="M976" s="50" t="n">
        <v>5</v>
      </c>
      <c r="N976" s="50" t="n">
        <v>145</v>
      </c>
      <c r="O976" s="53" t="n">
        <v>14</v>
      </c>
      <c r="P976" s="48" t="s">
        <v>306</v>
      </c>
      <c r="Q976" s="50" t="n">
        <v>165</v>
      </c>
      <c r="R976" s="53" t="n">
        <f aca="false">IF(BW976=1,0,IFERROR(VLOOKUP(BU976,'Gebinde-Kategorie'!$A$5:$N$45,13,0)+0,0))</f>
        <v>26</v>
      </c>
      <c r="S976" s="54"/>
      <c r="T976" s="55"/>
      <c r="U976" s="55"/>
      <c r="V976" s="55"/>
      <c r="W976" s="48"/>
      <c r="X976" s="50"/>
      <c r="Y976" s="50"/>
      <c r="Z976" s="48" t="n">
        <f aca="false">IF(A976="","",IF(AND(Parameter!$B$21="Ja",ISNUMBER(W976)),W976,IF(BZ976="2+3",IF(ISNUMBER(SEARCH("grosser Artikel",BR976)),2,IFERROR(VLOOKUP(BU976,Parameter!$F$35:$G$64,2,0),2)),IF(OR(BZ976="Nein",BZ976=""),"-",BZ976))))</f>
        <v>3</v>
      </c>
      <c r="AA976" s="55"/>
      <c r="AB976" s="56"/>
      <c r="AC976" s="50" t="n">
        <f aca="false">AT976</f>
        <v>165</v>
      </c>
      <c r="AD976" s="50" t="n">
        <f aca="false">MAX(AT976,H976)</f>
        <v>165</v>
      </c>
      <c r="AE976" s="57"/>
      <c r="AF976" s="50" t="n">
        <f aca="false">IF(LEFT(Cockpit!$C$5,1)="A",H976,IF(CE976=1,CF976,IF(LEFT(Cockpit!$C$5,1)="B",AK976,MAX(AK976,H976))))</f>
        <v>93</v>
      </c>
      <c r="AG976" s="50" t="n">
        <f aca="false">IF(BW976=1,0,ROUNDUP(AF976/BV976,0))</f>
        <v>1</v>
      </c>
      <c r="AH976" s="52" t="n">
        <f aca="false">IF(CL976&gt;0,CL976*MAX(1,AF976/X976),IF(BW976=1,IF(AF976&lt;=0,0,CA976*MAX(1,IF(H976&gt;0,AF976/H976,1))),IF(R976&gt;0,AG976/R976,0))/MAX(0.1,N(Parameter!$M$21)))</f>
        <v>0.0384615384615385</v>
      </c>
      <c r="AI976" s="50" t="n">
        <f aca="false">AH976*BY976</f>
        <v>5.96153846153846</v>
      </c>
      <c r="AJ976" s="50" t="n">
        <f aca="false">AF976*G976</f>
        <v>80.91</v>
      </c>
      <c r="AK976" s="50" t="n">
        <f aca="false">ROUNDUP(MAX(J976/IF(CD976&gt;0,CD976,MAX(0.1,N(Cockpit!$C$6))),CG976)/BV976,0)*BV976</f>
        <v>165</v>
      </c>
      <c r="AL976" s="51" t="n">
        <f aca="false">IF(AI976&gt;0,J976/AI976,-1)</f>
        <v>24.3225806451613</v>
      </c>
      <c r="AM976" s="51" t="n">
        <f aca="false">IF(AND(OR(CC976="L1",CC976="L23",CC976="LIFT"),AI976&gt;0),SUMIFS($AI$7:$AI$1843,$CC$7:$CC$1843,CC976,$AL$7:$AL$1843,"&gt;"&amp;AL976)+SUMIFS($AI$7:$AI$1843,$CC$7:$CC$1843,CC976,$AL$7:$AL$1843,AL976,$BT$7:$BT$1843,"&lt;="&amp;BT976),"")</f>
        <v>1550.07921245421</v>
      </c>
      <c r="AN976" s="58" t="n">
        <f aca="false">IF(AM976="",0,MAX(0,MIN(1,(IF(CC976="L1",Parameter!$H$5,IF(CC976="L23",Parameter!$H$6+Parameter!$H$7,Parameter!$H$5+Parameter!$H$6+Parameter!$H$7))-(AM976-AI976))/AI976)))</f>
        <v>1</v>
      </c>
      <c r="AO976" s="50" t="n">
        <f aca="false">IF(LEFT(Cockpit!$I$5,1)="A",H976,IF(CE976=1,CF976,IF(LEFT(Cockpit!$I$5,1)="B",AT976,MAX(AT976,H976))))</f>
        <v>165</v>
      </c>
      <c r="AP976" s="50" t="n">
        <f aca="false">IF(BW976=1,0,ROUNDUP(AO976/BV976,0))</f>
        <v>1</v>
      </c>
      <c r="AQ976" s="52" t="n">
        <f aca="false">IF(CL976&gt;0,CL976*MAX(1,AO976/X976),IF(BW976=1,IF(AO976&lt;=0,0,CA976*MAX(1,IF(H976&gt;0,AO976/H976,1))),IF(R976&gt;0,AP976/R976,0))/MAX(0.1,N(Parameter!$M$21)))</f>
        <v>0.0384615384615385</v>
      </c>
      <c r="AR976" s="50" t="n">
        <f aca="false">AQ976*BY976</f>
        <v>5.96153846153846</v>
      </c>
      <c r="AS976" s="50" t="n">
        <f aca="false">AO976*G976</f>
        <v>143.55</v>
      </c>
      <c r="AT976" s="50" t="n">
        <f aca="false">ROUNDUP(MAX(J976/IF(CD976&gt;0,CD976,MAX(0.1,N(Cockpit!$I$6))),CG976)/BV976,0)*BV976</f>
        <v>165</v>
      </c>
      <c r="AU976" s="51" t="n">
        <f aca="false">IF(AR976&gt;0,J976/AR976,-1)</f>
        <v>24.3225806451613</v>
      </c>
      <c r="AV976" s="51" t="n">
        <f aca="false">IF(AND(OR(CC976="L1",CC976="L23",CC976="LIFT"),AR976&gt;0),SUMIFS($AR$7:$AR$1843,$CC$7:$CC$1843,CC976,$AU$7:$AU$1843,"&gt;"&amp;AU976)+SUMIFS($AR$7:$AR$1843,$CC$7:$CC$1843,CC976,$AU$7:$AU$1843,AU976,$BT$7:$BT$1843,"&lt;="&amp;BT976),"")</f>
        <v>2193.84432234432</v>
      </c>
      <c r="AW976" s="58" t="n">
        <f aca="false">IF(AV976="",0,MAX(0,MIN(1,(IF(CC976="L1",Parameter!$H$5,IF(CC976="L23",Parameter!$H$6+Parameter!$H$7,Parameter!$H$5+Parameter!$H$6+Parameter!$H$7))-(AV976-AR976))/AR976)))</f>
        <v>1</v>
      </c>
      <c r="AX976" s="50" t="n">
        <f aca="false">IF(LEFT(Cockpit!$O$5,1)="A",H976,IF(CE976=1,CF976,IF(LEFT(Cockpit!$O$5,1)="B",BC976,MAX(BC976,H976))))</f>
        <v>165</v>
      </c>
      <c r="AY976" s="50" t="n">
        <f aca="false">IF(BW976=1,0,ROUNDUP(AX976/BV976,0))</f>
        <v>1</v>
      </c>
      <c r="AZ976" s="52" t="n">
        <f aca="false">IF(CL976&gt;0,CL976*MAX(1,AX976/X976),IF(BW976=1,IF(AX976&lt;=0,0,CA976*MAX(1,IF(H976&gt;0,AX976/H976,1))),IF(R976&gt;0,AY976/R976,0))/MAX(0.1,N(Parameter!$M$21)))</f>
        <v>0.0384615384615385</v>
      </c>
      <c r="BA976" s="50" t="n">
        <f aca="false">AZ976*BY976</f>
        <v>5.96153846153846</v>
      </c>
      <c r="BB976" s="50" t="n">
        <f aca="false">AX976*G976</f>
        <v>143.55</v>
      </c>
      <c r="BC976" s="50" t="n">
        <f aca="false">ROUNDUP(MAX(J976/IF(CD976&gt;0,CD976,MAX(0.1,N(Cockpit!$O$6))),CG976)/BV976,0)*BV976</f>
        <v>165</v>
      </c>
      <c r="BD976" s="51" t="n">
        <f aca="false">IF(BA976&gt;0,J976/BA976,-1)</f>
        <v>24.3225806451613</v>
      </c>
      <c r="BE976" s="51" t="n">
        <f aca="false">IF(AND(OR(CC976="L1",CC976="L23",CC976="LIFT"),BA976&gt;0),SUMIFS($BA$7:$BA$1843,$CC$7:$CC$1843,CC976,$BD$7:$BD$1843,"&gt;"&amp;BD976)+SUMIFS($BA$7:$BA$1843,$CC$7:$CC$1843,CC976,$BD$7:$BD$1843,BD976,$BT$7:$BT$1843,"&lt;="&amp;BT976),"")</f>
        <v>2279.43727106227</v>
      </c>
      <c r="BF976" s="58" t="n">
        <f aca="false">IF(BE976="",0,MAX(0,MIN(1,(IF(CC976="L1",Parameter!$H$5,IF(CC976="L23",Parameter!$H$6+Parameter!$H$7,Parameter!$H$5+Parameter!$H$6+Parameter!$H$7))-(BE976-BA976))/BA976)))</f>
        <v>1</v>
      </c>
      <c r="BG976" s="48" t="str">
        <f aca="false">IF(AI976&lt;=0,"",IF(CC976="Aussen","Aussenlager",IF(CC976="-","Nicht im Lift",IF(AN976&gt;=1,"Lift",IF(AN976&lt;=0,"Aussenlager","teilweise")))))</f>
        <v>Lift</v>
      </c>
      <c r="BH976" s="48" t="str">
        <f aca="false">IF(AR976&lt;=0,"",IF(CC976="Aussen","Aussenlager",IF(CC976="-","Nicht im Lift",IF(AW976&gt;=1,"Lift",IF(AW976&lt;=0,"Aussenlager","teilweise")))))</f>
        <v>Lift</v>
      </c>
      <c r="BI976" s="48" t="str">
        <f aca="false">IF(BA976&lt;=0,"",IF(CC976="Aussen","Aussenlager",IF(CC976="-","Nicht im Lift",IF(BF976&gt;=1,"Lift",IF(BF976&lt;=0,"Aussenlager","teilweise")))))</f>
        <v>Lift</v>
      </c>
      <c r="BJ976" s="48" t="str">
        <f aca="false">IF(A976="","",IF(BS976=1,"Neu; ","")&amp;IF(AND(BS976=0,BN976&lt;0),"negativer Bestand (Export "&amp;BN976&amp;"); ","")&amp;IF(J976&lt;=0,"Kein Verbrauch; ","")&amp;IF(CL976&gt;0,"Lift "&amp;W976&amp;" lt. Liftbericht (Fach "&amp;X976&amp;" Stk); ",IF(BX976=1,"Gebinde geschätzt ("&amp;T976&amp;"); ",IF(BW976=1,"Lose – Tablare geschätzt; ","")))&amp;IF(H976&gt;AT976,"Überbestand "&amp;ROUND(H976-AT976,0)&amp;" Stk / CHF "&amp;ROUND((H976-AT976)*G976,0)&amp;"; ","")&amp;IF(AND(CE976=1,CF976&lt;CG976),"MAX &lt; MB+LG; ","")&amp;IF(AND(CK976&gt;0,CJ976*10&gt;CK976),"zu hoch für Tablar; ","")&amp;IF(AND(BS976=0,OR(CE976=1,AA976&lt;&gt;"",U976&lt;&gt;"",V976&lt;&gt;"",AB976&lt;&gt;"")),"manuell übersteuert; ","")&amp;IF(AND(BW976=0,R976=0),"Gebinde unbekannt / Stellmass fehlt; ","")&amp;IF(AND(BW976=0,N(V976)&lt;=0,N(Q976)&lt;=0),"Menge pro Gebinde fehlt (Ist = 1 Gebinde); ","")&amp;BR976)</f>
        <v>negativer Bestand (Export -94); </v>
      </c>
      <c r="BK976" s="48"/>
      <c r="BL976" s="48"/>
      <c r="BM976" s="55"/>
      <c r="BN976" s="50" t="n">
        <v>-94</v>
      </c>
      <c r="BO976" s="50" t="n">
        <v>187</v>
      </c>
      <c r="BP976" s="49" t="n">
        <v>-74.4999999999999</v>
      </c>
      <c r="BQ976" s="50" t="n">
        <v>145</v>
      </c>
      <c r="BR976" s="48"/>
      <c r="BS976" s="53" t="n">
        <v>0</v>
      </c>
      <c r="BT976" s="53" t="n">
        <v>976</v>
      </c>
      <c r="BU976" s="48" t="str">
        <f aca="false">IF(U976&lt;&gt;"",UPPER(TRIM(U976)),IF(BX976=1,UPPER(VLOOKUP(T976,Parameter!$I$27:$K$29,2,0)),IF(P976="","LOSE",P976)))</f>
        <v>S51</v>
      </c>
      <c r="BV976" s="50" t="n">
        <f aca="false">IF(BU976="LOSE",1,IF(N(V976)&gt;0,V976,IF(BX976=1,MAX(1,N(VLOOKUP(T976,Parameter!$I$27:$K$29,3,0)),H976,N(N976)),IF(N(Q976)&gt;0,Q976,MAX(1,H976)))))</f>
        <v>165</v>
      </c>
      <c r="BW976" s="53" t="n">
        <f aca="false">IF(BU976="LOSE",1,0)</f>
        <v>0</v>
      </c>
      <c r="BX976" s="53" t="n">
        <f aca="false">IF(AND(U976="",OR(P976="",P976="LOSE"),T976&lt;&gt;"",N(S976)&lt;=0,ISNUMBER(MATCH(T976,Parameter!$I$27:$I$29,0))),1,0)</f>
        <v>0</v>
      </c>
      <c r="BY976" s="53" t="n">
        <f aca="false">IF(CL976&gt;0,INDEX(Parameter!$H$5:$H$7,W976)/INDEX(Parameter!$E$5:$E$7,W976),IF(AND(BW976=0,N(IFERROR(VLOOKUP(BU976,'Gebinde-Kategorie'!$A$5:$N$45,14,0),0))&gt;0),VLOOKUP(BU976,'Gebinde-Kategorie'!$A$5:$N$45,14,0)*10+Parameter!$M$23,Parameter!$M$24))</f>
        <v>155</v>
      </c>
      <c r="BZ976" s="48" t="str">
        <f aca="false">IF(AND(Parameter!$B$19="Ja",E976&lt;&gt;"",ISNUMBER(MATCH(E976,Parameter!$I$35:$I$52,0))),VLOOKUP(E976,Parameter!$I$35:$J$52,2,0),IFERROR(VLOOKUP(D976,Parameter!$A$35:$C$64,2,0),"Nein"))</f>
        <v>2+3</v>
      </c>
      <c r="CA976" s="52" t="n">
        <f aca="false">IF(BW976=0,0,IF(N(S976)&gt;0,S976,IFERROR(VLOOKUP(D976,Parameter!$A$35:$C$64,3,0)+0,0)))</f>
        <v>0</v>
      </c>
      <c r="CB976" s="48" t="n">
        <f aca="false">IF(AA976&lt;&gt;"",AA976,Z976)</f>
        <v>3</v>
      </c>
      <c r="CC976" s="48" t="str">
        <f aca="false">IF(OR(CB976=1,CB976=2,CB976=3),IF(Parameter!$E$27="Ja","LIFT",IF(CB976=1,"L1","L23")),IF(CB976="Aussen","Aussen","-"))</f>
        <v>LIFT</v>
      </c>
      <c r="CD976" s="59" t="n">
        <f aca="false">IF(N(AB976)&gt;0,AB976,0)</f>
        <v>0</v>
      </c>
      <c r="CE976" s="53" t="n">
        <f aca="false">IF(ISNUMBER(AE976),1,0)</f>
        <v>0</v>
      </c>
      <c r="CF976" s="50" t="n">
        <f aca="false">N(AE976)</f>
        <v>0</v>
      </c>
      <c r="CG976" s="50" t="n">
        <f aca="false">N(M976)+N(N976)</f>
        <v>150</v>
      </c>
      <c r="CH976" s="50" t="n">
        <f aca="false">ROUNDUP(H976/BV976,0)</f>
        <v>1</v>
      </c>
      <c r="CI976" s="50" t="n">
        <f aca="false">ROUNDUP(CF976/BV976,0)</f>
        <v>0</v>
      </c>
      <c r="CJ976" s="53" t="n">
        <f aca="false">IF(BW976=1,0,IFERROR(VLOOKUP(BU976,'Gebinde-Kategorie'!$A$5:$N$45,5,0)+0,0))</f>
        <v>11</v>
      </c>
      <c r="CK976" s="53" t="n">
        <f aca="false">IFERROR(IF(OR(CB976=1,CB976=2,CB976=3),N(INDEX(Parameter!$I$5:$I$7,CB976)),0),0)</f>
        <v>0</v>
      </c>
      <c r="CL976" s="52" t="n">
        <f aca="false">IF(AND(Parameter!$B$21="Ja",ISNUMBER(W976),N(X976)&gt;0),IFERROR(N(INDEX(Parameter!$L$5:$L$7,W976))*INDEX(Parameter!$E$5:$E$7,W976)*X976/SUMIFS($X$7:$X$1843,$W$7:$W$1843,W976),0),0)</f>
        <v>0</v>
      </c>
    </row>
    <row r="977" customFormat="false" ht="15" hidden="false" customHeight="false" outlineLevel="0" collapsed="false">
      <c r="A977" s="48" t="s">
        <v>1814</v>
      </c>
      <c r="B977" s="48" t="s">
        <v>1784</v>
      </c>
      <c r="C977" s="48" t="s">
        <v>168</v>
      </c>
      <c r="D977" s="48" t="s">
        <v>188</v>
      </c>
      <c r="E977" s="48" t="s">
        <v>189</v>
      </c>
      <c r="F977" s="48" t="s">
        <v>222</v>
      </c>
      <c r="G977" s="49" t="n">
        <v>8.33</v>
      </c>
      <c r="H977" s="50" t="n">
        <f aca="false">MAX(0,IF(AND(Parameter!$B$21="Ja",ISNUMBER(Y977)),Y977,IF(Parameter!$B$20="Jahresanfang 2025 + Export",BO977+BN977,BN977)))</f>
        <v>3</v>
      </c>
      <c r="I977" s="50" t="n">
        <f aca="false">H977*G977</f>
        <v>24.99</v>
      </c>
      <c r="J977" s="50" t="n">
        <f aca="false">BQ977*Parameter!$B$18</f>
        <v>8</v>
      </c>
      <c r="K977" s="51" t="n">
        <v>8</v>
      </c>
      <c r="L977" s="52" t="n">
        <v>1</v>
      </c>
      <c r="M977" s="50" t="n">
        <v>0</v>
      </c>
      <c r="N977" s="50" t="n">
        <v>10</v>
      </c>
      <c r="O977" s="53" t="n">
        <v>17</v>
      </c>
      <c r="P977" s="48" t="s">
        <v>480</v>
      </c>
      <c r="Q977" s="50" t="n">
        <v>23</v>
      </c>
      <c r="R977" s="53" t="n">
        <f aca="false">IF(BW977=1,0,IFERROR(VLOOKUP(BU977,'Gebinde-Kategorie'!$A$5:$N$45,13,0)+0,0))</f>
        <v>52</v>
      </c>
      <c r="S977" s="54"/>
      <c r="T977" s="55"/>
      <c r="U977" s="55"/>
      <c r="V977" s="55"/>
      <c r="W977" s="48"/>
      <c r="X977" s="50"/>
      <c r="Y977" s="50"/>
      <c r="Z977" s="48" t="n">
        <f aca="false">IF(A977="","",IF(AND(Parameter!$B$21="Ja",ISNUMBER(W977)),W977,IF(BZ977="2+3",IF(ISNUMBER(SEARCH("grosser Artikel",BR977)),2,IFERROR(VLOOKUP(BU977,Parameter!$F$35:$G$64,2,0),2)),IF(OR(BZ977="Nein",BZ977=""),"-",BZ977))))</f>
        <v>3</v>
      </c>
      <c r="AA977" s="55"/>
      <c r="AB977" s="56"/>
      <c r="AC977" s="50" t="n">
        <f aca="false">AT977</f>
        <v>23</v>
      </c>
      <c r="AD977" s="50" t="n">
        <f aca="false">MAX(AT977,H977)</f>
        <v>23</v>
      </c>
      <c r="AE977" s="57"/>
      <c r="AF977" s="50" t="n">
        <f aca="false">IF(LEFT(Cockpit!$C$5,1)="A",H977,IF(CE977=1,CF977,IF(LEFT(Cockpit!$C$5,1)="B",AK977,MAX(AK977,H977))))</f>
        <v>3</v>
      </c>
      <c r="AG977" s="50" t="n">
        <f aca="false">IF(BW977=1,0,ROUNDUP(AF977/BV977,0))</f>
        <v>1</v>
      </c>
      <c r="AH977" s="52" t="n">
        <f aca="false">IF(CL977&gt;0,CL977*MAX(1,AF977/X977),IF(BW977=1,IF(AF977&lt;=0,0,CA977*MAX(1,IF(H977&gt;0,AF977/H977,1))),IF(R977&gt;0,AG977/R977,0))/MAX(0.1,N(Parameter!$M$21)))</f>
        <v>0.0192307692307692</v>
      </c>
      <c r="AI977" s="50" t="n">
        <f aca="false">AH977*BY977</f>
        <v>2.98076923076923</v>
      </c>
      <c r="AJ977" s="50" t="n">
        <f aca="false">AF977*G977</f>
        <v>24.99</v>
      </c>
      <c r="AK977" s="50" t="n">
        <f aca="false">ROUNDUP(MAX(J977/IF(CD977&gt;0,CD977,MAX(0.1,N(Cockpit!$C$6))),CG977)/BV977,0)*BV977</f>
        <v>23</v>
      </c>
      <c r="AL977" s="51" t="n">
        <f aca="false">IF(AI977&gt;0,J977/AI977,-1)</f>
        <v>2.68387096774194</v>
      </c>
      <c r="AM977" s="51" t="n">
        <f aca="false">IF(AND(OR(CC977="L1",CC977="L23",CC977="LIFT"),AI977&gt;0),SUMIFS($AI$7:$AI$1843,$CC$7:$CC$1843,CC977,$AL$7:$AL$1843,"&gt;"&amp;AL977)+SUMIFS($AI$7:$AI$1843,$CC$7:$CC$1843,CC977,$AL$7:$AL$1843,AL977,$BT$7:$BT$1843,"&lt;="&amp;BT977),"")</f>
        <v>5338.36172161172</v>
      </c>
      <c r="AN977" s="58" t="n">
        <f aca="false">IF(AM977="",0,MAX(0,MIN(1,(IF(CC977="L1",Parameter!$H$5,IF(CC977="L23",Parameter!$H$6+Parameter!$H$7,Parameter!$H$5+Parameter!$H$6+Parameter!$H$7))-(AM977-AI977))/AI977)))</f>
        <v>1</v>
      </c>
      <c r="AO977" s="50" t="n">
        <f aca="false">IF(LEFT(Cockpit!$I$5,1)="A",H977,IF(CE977=1,CF977,IF(LEFT(Cockpit!$I$5,1)="B",AT977,MAX(AT977,H977))))</f>
        <v>23</v>
      </c>
      <c r="AP977" s="50" t="n">
        <f aca="false">IF(BW977=1,0,ROUNDUP(AO977/BV977,0))</f>
        <v>1</v>
      </c>
      <c r="AQ977" s="52" t="n">
        <f aca="false">IF(CL977&gt;0,CL977*MAX(1,AO977/X977),IF(BW977=1,IF(AO977&lt;=0,0,CA977*MAX(1,IF(H977&gt;0,AO977/H977,1))),IF(R977&gt;0,AP977/R977,0))/MAX(0.1,N(Parameter!$M$21)))</f>
        <v>0.0192307692307692</v>
      </c>
      <c r="AR977" s="50" t="n">
        <f aca="false">AQ977*BY977</f>
        <v>2.98076923076923</v>
      </c>
      <c r="AS977" s="50" t="n">
        <f aca="false">AO977*G977</f>
        <v>191.59</v>
      </c>
      <c r="AT977" s="50" t="n">
        <f aca="false">ROUNDUP(MAX(J977/IF(CD977&gt;0,CD977,MAX(0.1,N(Cockpit!$I$6))),CG977)/BV977,0)*BV977</f>
        <v>23</v>
      </c>
      <c r="AU977" s="51" t="n">
        <f aca="false">IF(AR977&gt;0,J977/AR977,-1)</f>
        <v>2.68387096774194</v>
      </c>
      <c r="AV977" s="51" t="n">
        <f aca="false">IF(AND(OR(CC977="L1",CC977="L23",CC977="LIFT"),AR977&gt;0),SUMIFS($AR$7:$AR$1843,$CC$7:$CC$1843,CC977,$AU$7:$AU$1843,"&gt;"&amp;AU977)+SUMIFS($AR$7:$AR$1843,$CC$7:$CC$1843,CC977,$AU$7:$AU$1843,AU977,$BT$7:$BT$1843,"&lt;="&amp;BT977),"")</f>
        <v>6718.07005494506</v>
      </c>
      <c r="AW977" s="58" t="n">
        <f aca="false">IF(AV977="",0,MAX(0,MIN(1,(IF(CC977="L1",Parameter!$H$5,IF(CC977="L23",Parameter!$H$6+Parameter!$H$7,Parameter!$H$5+Parameter!$H$6+Parameter!$H$7))-(AV977-AR977))/AR977)))</f>
        <v>1</v>
      </c>
      <c r="AX977" s="50" t="n">
        <f aca="false">IF(LEFT(Cockpit!$O$5,1)="A",H977,IF(CE977=1,CF977,IF(LEFT(Cockpit!$O$5,1)="B",BC977,MAX(BC977,H977))))</f>
        <v>23</v>
      </c>
      <c r="AY977" s="50" t="n">
        <f aca="false">IF(BW977=1,0,ROUNDUP(AX977/BV977,0))</f>
        <v>1</v>
      </c>
      <c r="AZ977" s="52" t="n">
        <f aca="false">IF(CL977&gt;0,CL977*MAX(1,AX977/X977),IF(BW977=1,IF(AX977&lt;=0,0,CA977*MAX(1,IF(H977&gt;0,AX977/H977,1))),IF(R977&gt;0,AY977/R977,0))/MAX(0.1,N(Parameter!$M$21)))</f>
        <v>0.0192307692307692</v>
      </c>
      <c r="BA977" s="50" t="n">
        <f aca="false">AZ977*BY977</f>
        <v>2.98076923076923</v>
      </c>
      <c r="BB977" s="50" t="n">
        <f aca="false">AX977*G977</f>
        <v>191.59</v>
      </c>
      <c r="BC977" s="50" t="n">
        <f aca="false">ROUNDUP(MAX(J977/IF(CD977&gt;0,CD977,MAX(0.1,N(Cockpit!$O$6))),CG977)/BV977,0)*BV977</f>
        <v>23</v>
      </c>
      <c r="BD977" s="51" t="n">
        <f aca="false">IF(BA977&gt;0,J977/BA977,-1)</f>
        <v>2.68387096774194</v>
      </c>
      <c r="BE977" s="51" t="n">
        <f aca="false">IF(AND(OR(CC977="L1",CC977="L23",CC977="LIFT"),BA977&gt;0),SUMIFS($BA$7:$BA$1843,$CC$7:$CC$1843,CC977,$BD$7:$BD$1843,"&gt;"&amp;BD977)+SUMIFS($BA$7:$BA$1843,$CC$7:$CC$1843,CC977,$BD$7:$BD$1843,BD977,$BT$7:$BT$1843,"&lt;="&amp;BT977),"")</f>
        <v>6501.22710622711</v>
      </c>
      <c r="BF977" s="58" t="n">
        <f aca="false">IF(BE977="",0,MAX(0,MIN(1,(IF(CC977="L1",Parameter!$H$5,IF(CC977="L23",Parameter!$H$6+Parameter!$H$7,Parameter!$H$5+Parameter!$H$6+Parameter!$H$7))-(BE977-BA977))/BA977)))</f>
        <v>1</v>
      </c>
      <c r="BG977" s="48" t="str">
        <f aca="false">IF(AI977&lt;=0,"",IF(CC977="Aussen","Aussenlager",IF(CC977="-","Nicht im Lift",IF(AN977&gt;=1,"Lift",IF(AN977&lt;=0,"Aussenlager","teilweise")))))</f>
        <v>Lift</v>
      </c>
      <c r="BH977" s="48" t="str">
        <f aca="false">IF(AR977&lt;=0,"",IF(CC977="Aussen","Aussenlager",IF(CC977="-","Nicht im Lift",IF(AW977&gt;=1,"Lift",IF(AW977&lt;=0,"Aussenlager","teilweise")))))</f>
        <v>Lift</v>
      </c>
      <c r="BI977" s="48" t="str">
        <f aca="false">IF(BA977&lt;=0,"",IF(CC977="Aussen","Aussenlager",IF(CC977="-","Nicht im Lift",IF(BF977&gt;=1,"Lift",IF(BF977&lt;=0,"Aussenlager","teilweise")))))</f>
        <v>Lift</v>
      </c>
      <c r="BJ977" s="48" t="str">
        <f aca="false">IF(A977="","",IF(BS977=1,"Neu; ","")&amp;IF(AND(BS977=0,BN977&lt;0),"negativer Bestand (Export "&amp;BN977&amp;"); ","")&amp;IF(J977&lt;=0,"Kein Verbrauch; ","")&amp;IF(CL977&gt;0,"Lift "&amp;W977&amp;" lt. Liftbericht (Fach "&amp;X977&amp;" Stk); ",IF(BX977=1,"Gebinde geschätzt ("&amp;T977&amp;"); ",IF(BW977=1,"Lose – Tablare geschätzt; ","")))&amp;IF(H977&gt;AT977,"Überbestand "&amp;ROUND(H977-AT977,0)&amp;" Stk / CHF "&amp;ROUND((H977-AT977)*G977,0)&amp;"; ","")&amp;IF(AND(CE977=1,CF977&lt;CG977),"MAX &lt; MB+LG; ","")&amp;IF(AND(CK977&gt;0,CJ977*10&gt;CK977),"zu hoch für Tablar; ","")&amp;IF(AND(BS977=0,OR(CE977=1,AA977&lt;&gt;"",U977&lt;&gt;"",V977&lt;&gt;"",AB977&lt;&gt;"")),"manuell übersteuert; ","")&amp;IF(AND(BW977=0,R977=0),"Gebinde unbekannt / Stellmass fehlt; ","")&amp;IF(AND(BW977=0,N(V977)&lt;=0,N(Q977)&lt;=0),"Menge pro Gebinde fehlt (Ist = 1 Gebinde); ","")&amp;BR977)</f>
        <v>negativer Bestand (Export -9); </v>
      </c>
      <c r="BK977" s="48"/>
      <c r="BL977" s="48"/>
      <c r="BM977" s="55"/>
      <c r="BN977" s="50" t="n">
        <v>-9</v>
      </c>
      <c r="BO977" s="50" t="n">
        <v>12</v>
      </c>
      <c r="BP977" s="49" t="n">
        <v>-74.97</v>
      </c>
      <c r="BQ977" s="50" t="n">
        <v>8</v>
      </c>
      <c r="BR977" s="48"/>
      <c r="BS977" s="53" t="n">
        <v>0</v>
      </c>
      <c r="BT977" s="53" t="n">
        <v>977</v>
      </c>
      <c r="BU977" s="48" t="str">
        <f aca="false">IF(U977&lt;&gt;"",UPPER(TRIM(U977)),IF(BX977=1,UPPER(VLOOKUP(T977,Parameter!$I$27:$K$29,2,0)),IF(P977="","LOSE",P977)))</f>
        <v>S33</v>
      </c>
      <c r="BV977" s="50" t="n">
        <f aca="false">IF(BU977="LOSE",1,IF(N(V977)&gt;0,V977,IF(BX977=1,MAX(1,N(VLOOKUP(T977,Parameter!$I$27:$K$29,3,0)),H977,N(N977)),IF(N(Q977)&gt;0,Q977,MAX(1,H977)))))</f>
        <v>23</v>
      </c>
      <c r="BW977" s="53" t="n">
        <f aca="false">IF(BU977="LOSE",1,0)</f>
        <v>0</v>
      </c>
      <c r="BX977" s="53" t="n">
        <f aca="false">IF(AND(U977="",OR(P977="",P977="LOSE"),T977&lt;&gt;"",N(S977)&lt;=0,ISNUMBER(MATCH(T977,Parameter!$I$27:$I$29,0))),1,0)</f>
        <v>0</v>
      </c>
      <c r="BY977" s="53" t="n">
        <f aca="false">IF(CL977&gt;0,INDEX(Parameter!$H$5:$H$7,W977)/INDEX(Parameter!$E$5:$E$7,W977),IF(AND(BW977=0,N(IFERROR(VLOOKUP(BU977,'Gebinde-Kategorie'!$A$5:$N$45,14,0),0))&gt;0),VLOOKUP(BU977,'Gebinde-Kategorie'!$A$5:$N$45,14,0)*10+Parameter!$M$23,Parameter!$M$24))</f>
        <v>155</v>
      </c>
      <c r="BZ977" s="48" t="str">
        <f aca="false">IF(AND(Parameter!$B$19="Ja",E977&lt;&gt;"",ISNUMBER(MATCH(E977,Parameter!$I$35:$I$52,0))),VLOOKUP(E977,Parameter!$I$35:$J$52,2,0),IFERROR(VLOOKUP(D977,Parameter!$A$35:$C$64,2,0),"Nein"))</f>
        <v>2+3</v>
      </c>
      <c r="CA977" s="52" t="n">
        <f aca="false">IF(BW977=0,0,IF(N(S977)&gt;0,S977,IFERROR(VLOOKUP(D977,Parameter!$A$35:$C$64,3,0)+0,0)))</f>
        <v>0</v>
      </c>
      <c r="CB977" s="48" t="n">
        <f aca="false">IF(AA977&lt;&gt;"",AA977,Z977)</f>
        <v>3</v>
      </c>
      <c r="CC977" s="48" t="str">
        <f aca="false">IF(OR(CB977=1,CB977=2,CB977=3),IF(Parameter!$E$27="Ja","LIFT",IF(CB977=1,"L1","L23")),IF(CB977="Aussen","Aussen","-"))</f>
        <v>LIFT</v>
      </c>
      <c r="CD977" s="59" t="n">
        <f aca="false">IF(N(AB977)&gt;0,AB977,0)</f>
        <v>0</v>
      </c>
      <c r="CE977" s="53" t="n">
        <f aca="false">IF(ISNUMBER(AE977),1,0)</f>
        <v>0</v>
      </c>
      <c r="CF977" s="50" t="n">
        <f aca="false">N(AE977)</f>
        <v>0</v>
      </c>
      <c r="CG977" s="50" t="n">
        <f aca="false">N(M977)+N(N977)</f>
        <v>10</v>
      </c>
      <c r="CH977" s="50" t="n">
        <f aca="false">ROUNDUP(H977/BV977,0)</f>
        <v>1</v>
      </c>
      <c r="CI977" s="50" t="n">
        <f aca="false">ROUNDUP(CF977/BV977,0)</f>
        <v>0</v>
      </c>
      <c r="CJ977" s="53" t="n">
        <f aca="false">IF(BW977=1,0,IFERROR(VLOOKUP(BU977,'Gebinde-Kategorie'!$A$5:$N$45,5,0)+0,0))</f>
        <v>8</v>
      </c>
      <c r="CK977" s="53" t="n">
        <f aca="false">IFERROR(IF(OR(CB977=1,CB977=2,CB977=3),N(INDEX(Parameter!$I$5:$I$7,CB977)),0),0)</f>
        <v>0</v>
      </c>
      <c r="CL977" s="52" t="n">
        <f aca="false">IF(AND(Parameter!$B$21="Ja",ISNUMBER(W977),N(X977)&gt;0),IFERROR(N(INDEX(Parameter!$L$5:$L$7,W977))*INDEX(Parameter!$E$5:$E$7,W977)*X977/SUMIFS($X$7:$X$1843,$W$7:$W$1843,W977),0),0)</f>
        <v>0</v>
      </c>
    </row>
    <row r="978" customFormat="false" ht="15" hidden="false" customHeight="false" outlineLevel="0" collapsed="false">
      <c r="A978" s="48" t="s">
        <v>1815</v>
      </c>
      <c r="B978" s="48" t="s">
        <v>957</v>
      </c>
      <c r="C978" s="48" t="s">
        <v>168</v>
      </c>
      <c r="D978" s="48" t="s">
        <v>188</v>
      </c>
      <c r="E978" s="48"/>
      <c r="F978" s="48" t="s">
        <v>222</v>
      </c>
      <c r="G978" s="49" t="n">
        <v>0.63</v>
      </c>
      <c r="H978" s="50" t="n">
        <f aca="false">MAX(0,IF(AND(Parameter!$B$21="Ja",ISNUMBER(Y978)),Y978,IF(Parameter!$B$20="Jahresanfang 2025 + Export",BO978+BN978,BN978)))</f>
        <v>0</v>
      </c>
      <c r="I978" s="50" t="n">
        <f aca="false">H978*G978</f>
        <v>0</v>
      </c>
      <c r="J978" s="50" t="n">
        <f aca="false">BQ978*Parameter!$B$18</f>
        <v>0</v>
      </c>
      <c r="K978" s="51" t="n">
        <v>60</v>
      </c>
      <c r="L978" s="52" t="n">
        <v>0</v>
      </c>
      <c r="M978" s="50" t="n">
        <v>0</v>
      </c>
      <c r="N978" s="50" t="n">
        <v>1</v>
      </c>
      <c r="O978" s="53" t="n">
        <v>14</v>
      </c>
      <c r="P978" s="48" t="s">
        <v>172</v>
      </c>
      <c r="Q978" s="50"/>
      <c r="R978" s="53" t="n">
        <f aca="false">IF(BW978=1,0,IFERROR(VLOOKUP(BU978,'Gebinde-Kategorie'!$A$5:$N$45,13,0)+0,0))</f>
        <v>26</v>
      </c>
      <c r="S978" s="54"/>
      <c r="T978" s="55" t="s">
        <v>279</v>
      </c>
      <c r="U978" s="55"/>
      <c r="V978" s="55"/>
      <c r="W978" s="48"/>
      <c r="X978" s="50"/>
      <c r="Y978" s="50"/>
      <c r="Z978" s="48" t="n">
        <f aca="false">IF(A978="","",IF(AND(Parameter!$B$21="Ja",ISNUMBER(W978)),W978,IF(BZ978="2+3",IF(ISNUMBER(SEARCH("grosser Artikel",BR978)),2,IFERROR(VLOOKUP(BU978,Parameter!$F$35:$G$64,2,0),2)),IF(OR(BZ978="Nein",BZ978=""),"-",BZ978))))</f>
        <v>3</v>
      </c>
      <c r="AA978" s="55"/>
      <c r="AB978" s="56"/>
      <c r="AC978" s="50" t="n">
        <f aca="false">AT978</f>
        <v>20</v>
      </c>
      <c r="AD978" s="50" t="n">
        <f aca="false">MAX(AT978,H978)</f>
        <v>20</v>
      </c>
      <c r="AE978" s="57"/>
      <c r="AF978" s="50" t="n">
        <f aca="false">IF(LEFT(Cockpit!$C$5,1)="A",H978,IF(CE978=1,CF978,IF(LEFT(Cockpit!$C$5,1)="B",AK978,MAX(AK978,H978))))</f>
        <v>0</v>
      </c>
      <c r="AG978" s="50" t="n">
        <f aca="false">IF(BW978=1,0,ROUNDUP(AF978/BV978,0))</f>
        <v>0</v>
      </c>
      <c r="AH978" s="52" t="n">
        <f aca="false">IF(CL978&gt;0,CL978*MAX(1,AF978/X978),IF(BW978=1,IF(AF978&lt;=0,0,CA978*MAX(1,IF(H978&gt;0,AF978/H978,1))),IF(R978&gt;0,AG978/R978,0))/MAX(0.1,N(Parameter!$M$21)))</f>
        <v>0</v>
      </c>
      <c r="AI978" s="50" t="n">
        <f aca="false">AH978*BY978</f>
        <v>0</v>
      </c>
      <c r="AJ978" s="50" t="n">
        <f aca="false">AF978*G978</f>
        <v>0</v>
      </c>
      <c r="AK978" s="50" t="n">
        <f aca="false">ROUNDUP(MAX(J978/IF(CD978&gt;0,CD978,MAX(0.1,N(Cockpit!$C$6))),CG978)/BV978,0)*BV978</f>
        <v>20</v>
      </c>
      <c r="AL978" s="51" t="n">
        <f aca="false">IF(AI978&gt;0,J978/AI978,-1)</f>
        <v>-1</v>
      </c>
      <c r="AM978" s="51" t="str">
        <f aca="false">IF(AND(OR(CC978="L1",CC978="L23",CC978="LIFT"),AI978&gt;0),SUMIFS($AI$7:$AI$1843,$CC$7:$CC$1843,CC978,$AL$7:$AL$1843,"&gt;"&amp;AL978)+SUMIFS($AI$7:$AI$1843,$CC$7:$CC$1843,CC978,$AL$7:$AL$1843,AL978,$BT$7:$BT$1843,"&lt;="&amp;BT978),"")</f>
        <v/>
      </c>
      <c r="AN978" s="58" t="n">
        <f aca="false">IF(AM978="",0,MAX(0,MIN(1,(IF(CC978="L1",Parameter!$H$5,IF(CC978="L23",Parameter!$H$6+Parameter!$H$7,Parameter!$H$5+Parameter!$H$6+Parameter!$H$7))-(AM978-AI978))/AI978)))</f>
        <v>0</v>
      </c>
      <c r="AO978" s="50" t="n">
        <f aca="false">IF(LEFT(Cockpit!$I$5,1)="A",H978,IF(CE978=1,CF978,IF(LEFT(Cockpit!$I$5,1)="B",AT978,MAX(AT978,H978))))</f>
        <v>20</v>
      </c>
      <c r="AP978" s="50" t="n">
        <f aca="false">IF(BW978=1,0,ROUNDUP(AO978/BV978,0))</f>
        <v>1</v>
      </c>
      <c r="AQ978" s="52" t="n">
        <f aca="false">IF(CL978&gt;0,CL978*MAX(1,AO978/X978),IF(BW978=1,IF(AO978&lt;=0,0,CA978*MAX(1,IF(H978&gt;0,AO978/H978,1))),IF(R978&gt;0,AP978/R978,0))/MAX(0.1,N(Parameter!$M$21)))</f>
        <v>0.0384615384615385</v>
      </c>
      <c r="AR978" s="50" t="n">
        <f aca="false">AQ978*BY978</f>
        <v>5.96153846153846</v>
      </c>
      <c r="AS978" s="50" t="n">
        <f aca="false">AO978*G978</f>
        <v>12.6</v>
      </c>
      <c r="AT978" s="50" t="n">
        <f aca="false">ROUNDUP(MAX(J978/IF(CD978&gt;0,CD978,MAX(0.1,N(Cockpit!$I$6))),CG978)/BV978,0)*BV978</f>
        <v>20</v>
      </c>
      <c r="AU978" s="51" t="n">
        <f aca="false">IF(AR978&gt;0,J978/AR978,-1)</f>
        <v>0</v>
      </c>
      <c r="AV978" s="51" t="n">
        <f aca="false">IF(AND(OR(CC978="L1",CC978="L23",CC978="LIFT"),AR978&gt;0),SUMIFS($AR$7:$AR$1843,$CC$7:$CC$1843,CC978,$AU$7:$AU$1843,"&gt;"&amp;AU978)+SUMIFS($AR$7:$AR$1843,$CC$7:$CC$1843,CC978,$AU$7:$AU$1843,AU978,$BT$7:$BT$1843,"&lt;="&amp;BT978),"")</f>
        <v>40550.4285791892</v>
      </c>
      <c r="AW978" s="58" t="n">
        <f aca="false">IF(AV978="",0,MAX(0,MIN(1,(IF(CC978="L1",Parameter!$H$5,IF(CC978="L23",Parameter!$H$6+Parameter!$H$7,Parameter!$H$5+Parameter!$H$6+Parameter!$H$7))-(AV978-AR978))/AR978)))</f>
        <v>0</v>
      </c>
      <c r="AX978" s="50" t="n">
        <f aca="false">IF(LEFT(Cockpit!$O$5,1)="A",H978,IF(CE978=1,CF978,IF(LEFT(Cockpit!$O$5,1)="B",BC978,MAX(BC978,H978))))</f>
        <v>20</v>
      </c>
      <c r="AY978" s="50" t="n">
        <f aca="false">IF(BW978=1,0,ROUNDUP(AX978/BV978,0))</f>
        <v>1</v>
      </c>
      <c r="AZ978" s="52" t="n">
        <f aca="false">IF(CL978&gt;0,CL978*MAX(1,AX978/X978),IF(BW978=1,IF(AX978&lt;=0,0,CA978*MAX(1,IF(H978&gt;0,AX978/H978,1))),IF(R978&gt;0,AY978/R978,0))/MAX(0.1,N(Parameter!$M$21)))</f>
        <v>0.0384615384615385</v>
      </c>
      <c r="BA978" s="50" t="n">
        <f aca="false">AZ978*BY978</f>
        <v>5.96153846153846</v>
      </c>
      <c r="BB978" s="50" t="n">
        <f aca="false">AX978*G978</f>
        <v>12.6</v>
      </c>
      <c r="BC978" s="50" t="n">
        <f aca="false">ROUNDUP(MAX(J978/IF(CD978&gt;0,CD978,MAX(0.1,N(Cockpit!$O$6))),CG978)/BV978,0)*BV978</f>
        <v>20</v>
      </c>
      <c r="BD978" s="51" t="n">
        <f aca="false">IF(BA978&gt;0,J978/BA978,-1)</f>
        <v>0</v>
      </c>
      <c r="BE978" s="51" t="n">
        <f aca="false">IF(AND(OR(CC978="L1",CC978="L23",CC978="LIFT"),BA978&gt;0),SUMIFS($BA$7:$BA$1843,$CC$7:$CC$1843,CC978,$BD$7:$BD$1843,"&gt;"&amp;BD978)+SUMIFS($BA$7:$BA$1843,$CC$7:$CC$1843,CC978,$BD$7:$BD$1843,BD978,$BT$7:$BT$1843,"&lt;="&amp;BT978),"")</f>
        <v>37225.440621055</v>
      </c>
      <c r="BF978" s="58" t="n">
        <f aca="false">IF(BE978="",0,MAX(0,MIN(1,(IF(CC978="L1",Parameter!$H$5,IF(CC978="L23",Parameter!$H$6+Parameter!$H$7,Parameter!$H$5+Parameter!$H$6+Parameter!$H$7))-(BE978-BA978))/BA978)))</f>
        <v>0</v>
      </c>
      <c r="BG978" s="48" t="str">
        <f aca="false">IF(AI978&lt;=0,"",IF(CC978="Aussen","Aussenlager",IF(CC978="-","Nicht im Lift",IF(AN978&gt;=1,"Lift",IF(AN978&lt;=0,"Aussenlager","teilweise")))))</f>
        <v/>
      </c>
      <c r="BH978" s="48" t="str">
        <f aca="false">IF(AR978&lt;=0,"",IF(CC978="Aussen","Aussenlager",IF(CC978="-","Nicht im Lift",IF(AW978&gt;=1,"Lift",IF(AW978&lt;=0,"Aussenlager","teilweise")))))</f>
        <v>Aussenlager</v>
      </c>
      <c r="BI978" s="48" t="str">
        <f aca="false">IF(BA978&lt;=0,"",IF(CC978="Aussen","Aussenlager",IF(CC978="-","Nicht im Lift",IF(BF978&gt;=1,"Lift",IF(BF978&lt;=0,"Aussenlager","teilweise")))))</f>
        <v>Aussenlager</v>
      </c>
      <c r="BJ978" s="48" t="str">
        <f aca="false">IF(A978="","",IF(BS978=1,"Neu; ","")&amp;IF(AND(BS978=0,BN978&lt;0),"negativer Bestand (Export "&amp;BN978&amp;"); ","")&amp;IF(J978&lt;=0,"Kein Verbrauch; ","")&amp;IF(CL978&gt;0,"Lift "&amp;W978&amp;" lt. Liftbericht (Fach "&amp;X978&amp;" Stk); ",IF(BX978=1,"Gebinde geschätzt ("&amp;T978&amp;"); ",IF(BW978=1,"Lose – Tablare geschätzt; ","")))&amp;IF(H978&gt;AT978,"Überbestand "&amp;ROUND(H978-AT978,0)&amp;" Stk / CHF "&amp;ROUND((H978-AT978)*G978,0)&amp;"; ","")&amp;IF(AND(CE978=1,CF978&lt;CG978),"MAX &lt; MB+LG; ","")&amp;IF(AND(CK978&gt;0,CJ978*10&gt;CK978),"zu hoch für Tablar; ","")&amp;IF(AND(BS978=0,OR(CE978=1,AA978&lt;&gt;"",U978&lt;&gt;"",V978&lt;&gt;"",AB978&lt;&gt;"")),"manuell übersteuert; ","")&amp;IF(AND(BW978=0,R978=0),"Gebinde unbekannt / Stellmass fehlt; ","")&amp;IF(AND(BW978=0,N(V978)&lt;=0,N(Q978)&lt;=0),"Menge pro Gebinde fehlt (Ist = 1 Gebinde); ","")&amp;BR978)</f>
        <v>negativer Bestand (Export -120); Kein Verbrauch; Gebinde geschätzt (Klein); Menge pro Gebinde fehlt (Ist = 1 Gebinde); </v>
      </c>
      <c r="BK978" s="48"/>
      <c r="BL978" s="48"/>
      <c r="BM978" s="55"/>
      <c r="BN978" s="50" t="n">
        <v>-120</v>
      </c>
      <c r="BO978" s="50" t="n">
        <v>120</v>
      </c>
      <c r="BP978" s="49" t="n">
        <v>-75.6</v>
      </c>
      <c r="BQ978" s="50" t="n">
        <v>0</v>
      </c>
      <c r="BR978" s="48"/>
      <c r="BS978" s="53" t="n">
        <v>0</v>
      </c>
      <c r="BT978" s="53" t="n">
        <v>978</v>
      </c>
      <c r="BU978" s="48" t="str">
        <f aca="false">IF(U978&lt;&gt;"",UPPER(TRIM(U978)),IF(BX978=1,UPPER(VLOOKUP(T978,Parameter!$I$27:$K$29,2,0)),IF(P978="","LOSE",P978)))</f>
        <v>S51</v>
      </c>
      <c r="BV978" s="50" t="n">
        <f aca="false">IF(BU978="LOSE",1,IF(N(V978)&gt;0,V978,IF(BX978=1,MAX(1,N(VLOOKUP(T978,Parameter!$I$27:$K$29,3,0)),H978,N(N978)),IF(N(Q978)&gt;0,Q978,MAX(1,H978)))))</f>
        <v>20</v>
      </c>
      <c r="BW978" s="53" t="n">
        <f aca="false">IF(BU978="LOSE",1,0)</f>
        <v>0</v>
      </c>
      <c r="BX978" s="53" t="n">
        <f aca="false">IF(AND(U978="",OR(P978="",P978="LOSE"),T978&lt;&gt;"",N(S978)&lt;=0,ISNUMBER(MATCH(T978,Parameter!$I$27:$I$29,0))),1,0)</f>
        <v>1</v>
      </c>
      <c r="BY978" s="53" t="n">
        <f aca="false">IF(CL978&gt;0,INDEX(Parameter!$H$5:$H$7,W978)/INDEX(Parameter!$E$5:$E$7,W978),IF(AND(BW978=0,N(IFERROR(VLOOKUP(BU978,'Gebinde-Kategorie'!$A$5:$N$45,14,0),0))&gt;0),VLOOKUP(BU978,'Gebinde-Kategorie'!$A$5:$N$45,14,0)*10+Parameter!$M$23,Parameter!$M$24))</f>
        <v>155</v>
      </c>
      <c r="BZ978" s="48" t="str">
        <f aca="false">IF(AND(Parameter!$B$19="Ja",E978&lt;&gt;"",ISNUMBER(MATCH(E978,Parameter!$I$35:$I$52,0))),VLOOKUP(E978,Parameter!$I$35:$J$52,2,0),IFERROR(VLOOKUP(D978,Parameter!$A$35:$C$64,2,0),"Nein"))</f>
        <v>2+3</v>
      </c>
      <c r="CA978" s="52" t="n">
        <f aca="false">IF(BW978=0,0,IF(N(S978)&gt;0,S978,IFERROR(VLOOKUP(D978,Parameter!$A$35:$C$64,3,0)+0,0)))</f>
        <v>0</v>
      </c>
      <c r="CB978" s="48" t="n">
        <f aca="false">IF(AA978&lt;&gt;"",AA978,Z978)</f>
        <v>3</v>
      </c>
      <c r="CC978" s="48" t="str">
        <f aca="false">IF(OR(CB978=1,CB978=2,CB978=3),IF(Parameter!$E$27="Ja","LIFT",IF(CB978=1,"L1","L23")),IF(CB978="Aussen","Aussen","-"))</f>
        <v>LIFT</v>
      </c>
      <c r="CD978" s="59" t="n">
        <f aca="false">IF(N(AB978)&gt;0,AB978,0)</f>
        <v>0</v>
      </c>
      <c r="CE978" s="53" t="n">
        <f aca="false">IF(ISNUMBER(AE978),1,0)</f>
        <v>0</v>
      </c>
      <c r="CF978" s="50" t="n">
        <f aca="false">N(AE978)</f>
        <v>0</v>
      </c>
      <c r="CG978" s="50" t="n">
        <f aca="false">N(M978)+N(N978)</f>
        <v>1</v>
      </c>
      <c r="CH978" s="50" t="n">
        <f aca="false">ROUNDUP(H978/BV978,0)</f>
        <v>0</v>
      </c>
      <c r="CI978" s="50" t="n">
        <f aca="false">ROUNDUP(CF978/BV978,0)</f>
        <v>0</v>
      </c>
      <c r="CJ978" s="53" t="n">
        <f aca="false">IF(BW978=1,0,IFERROR(VLOOKUP(BU978,'Gebinde-Kategorie'!$A$5:$N$45,5,0)+0,0))</f>
        <v>11</v>
      </c>
      <c r="CK978" s="53" t="n">
        <f aca="false">IFERROR(IF(OR(CB978=1,CB978=2,CB978=3),N(INDEX(Parameter!$I$5:$I$7,CB978)),0),0)</f>
        <v>0</v>
      </c>
      <c r="CL978" s="52" t="n">
        <f aca="false">IF(AND(Parameter!$B$21="Ja",ISNUMBER(W978),N(X978)&gt;0),IFERROR(N(INDEX(Parameter!$L$5:$L$7,W978))*INDEX(Parameter!$E$5:$E$7,W978)*X978/SUMIFS($X$7:$X$1843,$W$7:$W$1843,W978),0),0)</f>
        <v>0</v>
      </c>
    </row>
    <row r="979" customFormat="false" ht="15" hidden="false" customHeight="false" outlineLevel="0" collapsed="false">
      <c r="A979" s="48" t="s">
        <v>1816</v>
      </c>
      <c r="B979" s="48" t="s">
        <v>1817</v>
      </c>
      <c r="C979" s="48" t="s">
        <v>168</v>
      </c>
      <c r="D979" s="48" t="s">
        <v>188</v>
      </c>
      <c r="E979" s="48"/>
      <c r="F979" s="48" t="s">
        <v>222</v>
      </c>
      <c r="G979" s="49" t="n">
        <v>37.82</v>
      </c>
      <c r="H979" s="50" t="n">
        <f aca="false">MAX(0,IF(AND(Parameter!$B$21="Ja",ISNUMBER(Y979)),Y979,IF(Parameter!$B$20="Jahresanfang 2025 + Export",BO979+BN979,BN979)))</f>
        <v>3</v>
      </c>
      <c r="I979" s="50" t="n">
        <f aca="false">H979*G979</f>
        <v>113.46</v>
      </c>
      <c r="J979" s="50" t="n">
        <f aca="false">BQ979*Parameter!$B$18</f>
        <v>3</v>
      </c>
      <c r="K979" s="51" t="n">
        <v>3.5</v>
      </c>
      <c r="L979" s="52" t="n">
        <v>0.857142857142857</v>
      </c>
      <c r="M979" s="50" t="n">
        <v>0</v>
      </c>
      <c r="N979" s="50" t="n">
        <v>5</v>
      </c>
      <c r="O979" s="53" t="n">
        <v>70</v>
      </c>
      <c r="P979" s="48" t="s">
        <v>332</v>
      </c>
      <c r="Q979" s="50" t="n">
        <v>5</v>
      </c>
      <c r="R979" s="53" t="n">
        <f aca="false">IF(BW979=1,0,IFERROR(VLOOKUP(BU979,'Gebinde-Kategorie'!$A$5:$N$45,13,0)+0,0))</f>
        <v>52</v>
      </c>
      <c r="S979" s="54"/>
      <c r="T979" s="55"/>
      <c r="U979" s="55"/>
      <c r="V979" s="55"/>
      <c r="W979" s="48"/>
      <c r="X979" s="50"/>
      <c r="Y979" s="50"/>
      <c r="Z979" s="48" t="n">
        <f aca="false">IF(A979="","",IF(AND(Parameter!$B$21="Ja",ISNUMBER(W979)),W979,IF(BZ979="2+3",IF(ISNUMBER(SEARCH("grosser Artikel",BR979)),2,IFERROR(VLOOKUP(BU979,Parameter!$F$35:$G$64,2,0),2)),IF(OR(BZ979="Nein",BZ979=""),"-",BZ979))))</f>
        <v>3</v>
      </c>
      <c r="AA979" s="55"/>
      <c r="AB979" s="56"/>
      <c r="AC979" s="50" t="n">
        <f aca="false">AT979</f>
        <v>5</v>
      </c>
      <c r="AD979" s="50" t="n">
        <f aca="false">MAX(AT979,H979)</f>
        <v>5</v>
      </c>
      <c r="AE979" s="57"/>
      <c r="AF979" s="50" t="n">
        <f aca="false">IF(LEFT(Cockpit!$C$5,1)="A",H979,IF(CE979=1,CF979,IF(LEFT(Cockpit!$C$5,1)="B",AK979,MAX(AK979,H979))))</f>
        <v>3</v>
      </c>
      <c r="AG979" s="50" t="n">
        <f aca="false">IF(BW979=1,0,ROUNDUP(AF979/BV979,0))</f>
        <v>1</v>
      </c>
      <c r="AH979" s="52" t="n">
        <f aca="false">IF(CL979&gt;0,CL979*MAX(1,AF979/X979),IF(BW979=1,IF(AF979&lt;=0,0,CA979*MAX(1,IF(H979&gt;0,AF979/H979,1))),IF(R979&gt;0,AG979/R979,0))/MAX(0.1,N(Parameter!$M$21)))</f>
        <v>0.0192307692307692</v>
      </c>
      <c r="AI979" s="50" t="n">
        <f aca="false">AH979*BY979</f>
        <v>2.98076923076923</v>
      </c>
      <c r="AJ979" s="50" t="n">
        <f aca="false">AF979*G979</f>
        <v>113.46</v>
      </c>
      <c r="AK979" s="50" t="n">
        <f aca="false">ROUNDUP(MAX(J979/IF(CD979&gt;0,CD979,MAX(0.1,N(Cockpit!$C$6))),CG979)/BV979,0)*BV979</f>
        <v>5</v>
      </c>
      <c r="AL979" s="51" t="n">
        <f aca="false">IF(AI979&gt;0,J979/AI979,-1)</f>
        <v>1.00645161290323</v>
      </c>
      <c r="AM979" s="51" t="n">
        <f aca="false">IF(AND(OR(CC979="L1",CC979="L23",CC979="LIFT"),AI979&gt;0),SUMIFS($AI$7:$AI$1843,$CC$7:$CC$1843,CC979,$AL$7:$AL$1843,"&gt;"&amp;AL979)+SUMIFS($AI$7:$AI$1843,$CC$7:$CC$1843,CC979,$AL$7:$AL$1843,AL979,$BT$7:$BT$1843,"&lt;="&amp;BT979),"")</f>
        <v>7041.50045787546</v>
      </c>
      <c r="AN979" s="58" t="n">
        <f aca="false">IF(AM979="",0,MAX(0,MIN(1,(IF(CC979="L1",Parameter!$H$5,IF(CC979="L23",Parameter!$H$6+Parameter!$H$7,Parameter!$H$5+Parameter!$H$6+Parameter!$H$7))-(AM979-AI979))/AI979)))</f>
        <v>1</v>
      </c>
      <c r="AO979" s="50" t="n">
        <f aca="false">IF(LEFT(Cockpit!$I$5,1)="A",H979,IF(CE979=1,CF979,IF(LEFT(Cockpit!$I$5,1)="B",AT979,MAX(AT979,H979))))</f>
        <v>5</v>
      </c>
      <c r="AP979" s="50" t="n">
        <f aca="false">IF(BW979=1,0,ROUNDUP(AO979/BV979,0))</f>
        <v>1</v>
      </c>
      <c r="AQ979" s="52" t="n">
        <f aca="false">IF(CL979&gt;0,CL979*MAX(1,AO979/X979),IF(BW979=1,IF(AO979&lt;=0,0,CA979*MAX(1,IF(H979&gt;0,AO979/H979,1))),IF(R979&gt;0,AP979/R979,0))/MAX(0.1,N(Parameter!$M$21)))</f>
        <v>0.0192307692307692</v>
      </c>
      <c r="AR979" s="50" t="n">
        <f aca="false">AQ979*BY979</f>
        <v>2.98076923076923</v>
      </c>
      <c r="AS979" s="50" t="n">
        <f aca="false">AO979*G979</f>
        <v>189.1</v>
      </c>
      <c r="AT979" s="50" t="n">
        <f aca="false">ROUNDUP(MAX(J979/IF(CD979&gt;0,CD979,MAX(0.1,N(Cockpit!$I$6))),CG979)/BV979,0)*BV979</f>
        <v>5</v>
      </c>
      <c r="AU979" s="51" t="n">
        <f aca="false">IF(AR979&gt;0,J979/AR979,-1)</f>
        <v>1.00645161290323</v>
      </c>
      <c r="AV979" s="51" t="n">
        <f aca="false">IF(AND(OR(CC979="L1",CC979="L23",CC979="LIFT"),AR979&gt;0),SUMIFS($AR$7:$AR$1843,$CC$7:$CC$1843,CC979,$AU$7:$AU$1843,"&gt;"&amp;AU979)+SUMIFS($AR$7:$AR$1843,$CC$7:$CC$1843,CC979,$AU$7:$AU$1843,AU979,$BT$7:$BT$1843,"&lt;="&amp;BT979),"")</f>
        <v>10098.5265567766</v>
      </c>
      <c r="AW979" s="58" t="n">
        <f aca="false">IF(AV979="",0,MAX(0,MIN(1,(IF(CC979="L1",Parameter!$H$5,IF(CC979="L23",Parameter!$H$6+Parameter!$H$7,Parameter!$H$5+Parameter!$H$6+Parameter!$H$7))-(AV979-AR979))/AR979)))</f>
        <v>1</v>
      </c>
      <c r="AX979" s="50" t="n">
        <f aca="false">IF(LEFT(Cockpit!$O$5,1)="A",H979,IF(CE979=1,CF979,IF(LEFT(Cockpit!$O$5,1)="B",BC979,MAX(BC979,H979))))</f>
        <v>5</v>
      </c>
      <c r="AY979" s="50" t="n">
        <f aca="false">IF(BW979=1,0,ROUNDUP(AX979/BV979,0))</f>
        <v>1</v>
      </c>
      <c r="AZ979" s="52" t="n">
        <f aca="false">IF(CL979&gt;0,CL979*MAX(1,AX979/X979),IF(BW979=1,IF(AX979&lt;=0,0,CA979*MAX(1,IF(H979&gt;0,AX979/H979,1))),IF(R979&gt;0,AY979/R979,0))/MAX(0.1,N(Parameter!$M$21)))</f>
        <v>0.0192307692307692</v>
      </c>
      <c r="BA979" s="50" t="n">
        <f aca="false">AZ979*BY979</f>
        <v>2.98076923076923</v>
      </c>
      <c r="BB979" s="50" t="n">
        <f aca="false">AX979*G979</f>
        <v>189.1</v>
      </c>
      <c r="BC979" s="50" t="n">
        <f aca="false">ROUNDUP(MAX(J979/IF(CD979&gt;0,CD979,MAX(0.1,N(Cockpit!$O$6))),CG979)/BV979,0)*BV979</f>
        <v>5</v>
      </c>
      <c r="BD979" s="51" t="n">
        <f aca="false">IF(BA979&gt;0,J979/BA979,-1)</f>
        <v>1.00645161290323</v>
      </c>
      <c r="BE979" s="51" t="n">
        <f aca="false">IF(AND(OR(CC979="L1",CC979="L23",CC979="LIFT"),BA979&gt;0),SUMIFS($BA$7:$BA$1843,$CC$7:$CC$1843,CC979,$BD$7:$BD$1843,"&gt;"&amp;BD979)+SUMIFS($BA$7:$BA$1843,$CC$7:$CC$1843,CC979,$BD$7:$BD$1843,BD979,$BT$7:$BT$1843,"&lt;="&amp;BT979),"")</f>
        <v>9305.01694139194</v>
      </c>
      <c r="BF979" s="58" t="n">
        <f aca="false">IF(BE979="",0,MAX(0,MIN(1,(IF(CC979="L1",Parameter!$H$5,IF(CC979="L23",Parameter!$H$6+Parameter!$H$7,Parameter!$H$5+Parameter!$H$6+Parameter!$H$7))-(BE979-BA979))/BA979)))</f>
        <v>1</v>
      </c>
      <c r="BG979" s="48" t="str">
        <f aca="false">IF(AI979&lt;=0,"",IF(CC979="Aussen","Aussenlager",IF(CC979="-","Nicht im Lift",IF(AN979&gt;=1,"Lift",IF(AN979&lt;=0,"Aussenlager","teilweise")))))</f>
        <v>Lift</v>
      </c>
      <c r="BH979" s="48" t="str">
        <f aca="false">IF(AR979&lt;=0,"",IF(CC979="Aussen","Aussenlager",IF(CC979="-","Nicht im Lift",IF(AW979&gt;=1,"Lift",IF(AW979&lt;=0,"Aussenlager","teilweise")))))</f>
        <v>Lift</v>
      </c>
      <c r="BI979" s="48" t="str">
        <f aca="false">IF(BA979&lt;=0,"",IF(CC979="Aussen","Aussenlager",IF(CC979="-","Nicht im Lift",IF(BF979&gt;=1,"Lift",IF(BF979&lt;=0,"Aussenlager","teilweise")))))</f>
        <v>Lift</v>
      </c>
      <c r="BJ979" s="48" t="str">
        <f aca="false">IF(A979="","",IF(BS979=1,"Neu; ","")&amp;IF(AND(BS979=0,BN979&lt;0),"negativer Bestand (Export "&amp;BN979&amp;"); ","")&amp;IF(J979&lt;=0,"Kein Verbrauch; ","")&amp;IF(CL979&gt;0,"Lift "&amp;W979&amp;" lt. Liftbericht (Fach "&amp;X979&amp;" Stk); ",IF(BX979=1,"Gebinde geschätzt ("&amp;T979&amp;"); ",IF(BW979=1,"Lose – Tablare geschätzt; ","")))&amp;IF(H979&gt;AT979,"Überbestand "&amp;ROUND(H979-AT979,0)&amp;" Stk / CHF "&amp;ROUND((H979-AT979)*G979,0)&amp;"; ","")&amp;IF(AND(CE979=1,CF979&lt;CG979),"MAX &lt; MB+LG; ","")&amp;IF(AND(CK979&gt;0,CJ979*10&gt;CK979),"zu hoch für Tablar; ","")&amp;IF(AND(BS979=0,OR(CE979=1,AA979&lt;&gt;"",U979&lt;&gt;"",V979&lt;&gt;"",AB979&lt;&gt;"")),"manuell übersteuert; ","")&amp;IF(AND(BW979=0,R979=0),"Gebinde unbekannt / Stellmass fehlt; ","")&amp;IF(AND(BW979=0,N(V979)&lt;=0,N(Q979)&lt;=0),"Menge pro Gebinde fehlt (Ist = 1 Gebinde); ","")&amp;BR979)</f>
        <v>negativer Bestand (Export -2); Überbestand</v>
      </c>
      <c r="BK979" s="48"/>
      <c r="BL979" s="48"/>
      <c r="BM979" s="55"/>
      <c r="BN979" s="50" t="n">
        <v>-2</v>
      </c>
      <c r="BO979" s="50" t="n">
        <v>5</v>
      </c>
      <c r="BP979" s="49" t="n">
        <v>-75.64</v>
      </c>
      <c r="BQ979" s="50" t="n">
        <v>3</v>
      </c>
      <c r="BR979" s="48" t="s">
        <v>396</v>
      </c>
      <c r="BS979" s="53" t="n">
        <v>0</v>
      </c>
      <c r="BT979" s="53" t="n">
        <v>979</v>
      </c>
      <c r="BU979" s="48" t="str">
        <f aca="false">IF(U979&lt;&gt;"",UPPER(TRIM(U979)),IF(BX979=1,UPPER(VLOOKUP(T979,Parameter!$I$27:$K$29,2,0)),IF(P979="","LOSE",P979)))</f>
        <v>S41</v>
      </c>
      <c r="BV979" s="50" t="n">
        <f aca="false">IF(BU979="LOSE",1,IF(N(V979)&gt;0,V979,IF(BX979=1,MAX(1,N(VLOOKUP(T979,Parameter!$I$27:$K$29,3,0)),H979,N(N979)),IF(N(Q979)&gt;0,Q979,MAX(1,H979)))))</f>
        <v>5</v>
      </c>
      <c r="BW979" s="53" t="n">
        <f aca="false">IF(BU979="LOSE",1,0)</f>
        <v>0</v>
      </c>
      <c r="BX979" s="53" t="n">
        <f aca="false">IF(AND(U979="",OR(P979="",P979="LOSE"),T979&lt;&gt;"",N(S979)&lt;=0,ISNUMBER(MATCH(T979,Parameter!$I$27:$I$29,0))),1,0)</f>
        <v>0</v>
      </c>
      <c r="BY979" s="53" t="n">
        <f aca="false">IF(CL979&gt;0,INDEX(Parameter!$H$5:$H$7,W979)/INDEX(Parameter!$E$5:$E$7,W979),IF(AND(BW979=0,N(IFERROR(VLOOKUP(BU979,'Gebinde-Kategorie'!$A$5:$N$45,14,0),0))&gt;0),VLOOKUP(BU979,'Gebinde-Kategorie'!$A$5:$N$45,14,0)*10+Parameter!$M$23,Parameter!$M$24))</f>
        <v>155</v>
      </c>
      <c r="BZ979" s="48" t="str">
        <f aca="false">IF(AND(Parameter!$B$19="Ja",E979&lt;&gt;"",ISNUMBER(MATCH(E979,Parameter!$I$35:$I$52,0))),VLOOKUP(E979,Parameter!$I$35:$J$52,2,0),IFERROR(VLOOKUP(D979,Parameter!$A$35:$C$64,2,0),"Nein"))</f>
        <v>2+3</v>
      </c>
      <c r="CA979" s="52" t="n">
        <f aca="false">IF(BW979=0,0,IF(N(S979)&gt;0,S979,IFERROR(VLOOKUP(D979,Parameter!$A$35:$C$64,3,0)+0,0)))</f>
        <v>0</v>
      </c>
      <c r="CB979" s="48" t="n">
        <f aca="false">IF(AA979&lt;&gt;"",AA979,Z979)</f>
        <v>3</v>
      </c>
      <c r="CC979" s="48" t="str">
        <f aca="false">IF(OR(CB979=1,CB979=2,CB979=3),IF(Parameter!$E$27="Ja","LIFT",IF(CB979=1,"L1","L23")),IF(CB979="Aussen","Aussen","-"))</f>
        <v>LIFT</v>
      </c>
      <c r="CD979" s="59" t="n">
        <f aca="false">IF(N(AB979)&gt;0,AB979,0)</f>
        <v>0</v>
      </c>
      <c r="CE979" s="53" t="n">
        <f aca="false">IF(ISNUMBER(AE979),1,0)</f>
        <v>0</v>
      </c>
      <c r="CF979" s="50" t="n">
        <f aca="false">N(AE979)</f>
        <v>0</v>
      </c>
      <c r="CG979" s="50" t="n">
        <f aca="false">N(M979)+N(N979)</f>
        <v>5</v>
      </c>
      <c r="CH979" s="50" t="n">
        <f aca="false">ROUNDUP(H979/BV979,0)</f>
        <v>1</v>
      </c>
      <c r="CI979" s="50" t="n">
        <f aca="false">ROUNDUP(CF979/BV979,0)</f>
        <v>0</v>
      </c>
      <c r="CJ979" s="53" t="n">
        <f aca="false">IF(BW979=1,0,IFERROR(VLOOKUP(BU979,'Gebinde-Kategorie'!$A$5:$N$45,5,0)+0,0))</f>
        <v>11</v>
      </c>
      <c r="CK979" s="53" t="n">
        <f aca="false">IFERROR(IF(OR(CB979=1,CB979=2,CB979=3),N(INDEX(Parameter!$I$5:$I$7,CB979)),0),0)</f>
        <v>0</v>
      </c>
      <c r="CL979" s="52" t="n">
        <f aca="false">IF(AND(Parameter!$B$21="Ja",ISNUMBER(W979),N(X979)&gt;0),IFERROR(N(INDEX(Parameter!$L$5:$L$7,W979))*INDEX(Parameter!$E$5:$E$7,W979)*X979/SUMIFS($X$7:$X$1843,$W$7:$W$1843,W979),0),0)</f>
        <v>0</v>
      </c>
    </row>
    <row r="980" customFormat="false" ht="15" hidden="false" customHeight="false" outlineLevel="0" collapsed="false">
      <c r="A980" s="48" t="s">
        <v>1818</v>
      </c>
      <c r="B980" s="48" t="s">
        <v>1819</v>
      </c>
      <c r="C980" s="48" t="s">
        <v>171</v>
      </c>
      <c r="D980" s="48" t="s">
        <v>188</v>
      </c>
      <c r="E980" s="48" t="s">
        <v>189</v>
      </c>
      <c r="F980" s="48" t="s">
        <v>222</v>
      </c>
      <c r="G980" s="49" t="n">
        <v>4.45</v>
      </c>
      <c r="H980" s="50" t="n">
        <f aca="false">MAX(0,IF(AND(Parameter!$B$21="Ja",ISNUMBER(Y980)),Y980,IF(Parameter!$B$20="Jahresanfang 2025 + Export",BO980+BN980,BN980)))</f>
        <v>98</v>
      </c>
      <c r="I980" s="50" t="n">
        <f aca="false">H980*G980</f>
        <v>436.1</v>
      </c>
      <c r="J980" s="50" t="n">
        <f aca="false">BQ980*Parameter!$B$18</f>
        <v>0</v>
      </c>
      <c r="K980" s="51" t="n">
        <v>110</v>
      </c>
      <c r="L980" s="52" t="n">
        <v>0</v>
      </c>
      <c r="M980" s="50" t="n">
        <v>0</v>
      </c>
      <c r="N980" s="50" t="n">
        <v>1</v>
      </c>
      <c r="O980" s="53" t="n">
        <v>14</v>
      </c>
      <c r="P980" s="48" t="s">
        <v>425</v>
      </c>
      <c r="Q980" s="50" t="n">
        <v>20</v>
      </c>
      <c r="R980" s="53" t="n">
        <f aca="false">IF(BW980=1,0,IFERROR(VLOOKUP(BU980,'Gebinde-Kategorie'!$A$5:$N$45,13,0)+0,0))</f>
        <v>104</v>
      </c>
      <c r="S980" s="54"/>
      <c r="T980" s="55"/>
      <c r="U980" s="55"/>
      <c r="V980" s="55"/>
      <c r="W980" s="48"/>
      <c r="X980" s="50"/>
      <c r="Y980" s="50"/>
      <c r="Z980" s="48" t="n">
        <f aca="false">IF(A980="","",IF(AND(Parameter!$B$21="Ja",ISNUMBER(W980)),W980,IF(BZ980="2+3",IF(ISNUMBER(SEARCH("grosser Artikel",BR980)),2,IFERROR(VLOOKUP(BU980,Parameter!$F$35:$G$64,2,0),2)),IF(OR(BZ980="Nein",BZ980=""),"-",BZ980))))</f>
        <v>3</v>
      </c>
      <c r="AA980" s="55"/>
      <c r="AB980" s="56"/>
      <c r="AC980" s="50" t="n">
        <f aca="false">AT980</f>
        <v>20</v>
      </c>
      <c r="AD980" s="50" t="n">
        <f aca="false">MAX(AT980,H980)</f>
        <v>98</v>
      </c>
      <c r="AE980" s="57"/>
      <c r="AF980" s="50" t="n">
        <f aca="false">IF(LEFT(Cockpit!$C$5,1)="A",H980,IF(CE980=1,CF980,IF(LEFT(Cockpit!$C$5,1)="B",AK980,MAX(AK980,H980))))</f>
        <v>98</v>
      </c>
      <c r="AG980" s="50" t="n">
        <f aca="false">IF(BW980=1,0,ROUNDUP(AF980/BV980,0))</f>
        <v>5</v>
      </c>
      <c r="AH980" s="52" t="n">
        <f aca="false">IF(CL980&gt;0,CL980*MAX(1,AF980/X980),IF(BW980=1,IF(AF980&lt;=0,0,CA980*MAX(1,IF(H980&gt;0,AF980/H980,1))),IF(R980&gt;0,AG980/R980,0))/MAX(0.1,N(Parameter!$M$21)))</f>
        <v>0.0480769230769231</v>
      </c>
      <c r="AI980" s="50" t="n">
        <f aca="false">AH980*BY980</f>
        <v>7.45192307692308</v>
      </c>
      <c r="AJ980" s="50" t="n">
        <f aca="false">AF980*G980</f>
        <v>436.1</v>
      </c>
      <c r="AK980" s="50" t="n">
        <f aca="false">ROUNDUP(MAX(J980/IF(CD980&gt;0,CD980,MAX(0.1,N(Cockpit!$C$6))),CG980)/BV980,0)*BV980</f>
        <v>20</v>
      </c>
      <c r="AL980" s="51" t="n">
        <f aca="false">IF(AI980&gt;0,J980/AI980,-1)</f>
        <v>0</v>
      </c>
      <c r="AM980" s="51" t="n">
        <f aca="false">IF(AND(OR(CC980="L1",CC980="L23",CC980="LIFT"),AI980&gt;0),SUMIFS($AI$7:$AI$1843,$CC$7:$CC$1843,CC980,$AL$7:$AL$1843,"&gt;"&amp;AL980)+SUMIFS($AI$7:$AI$1843,$CC$7:$CC$1843,CC980,$AL$7:$AL$1843,AL980,$BT$7:$BT$1843,"&lt;="&amp;BT980),"")</f>
        <v>28917.7139959852</v>
      </c>
      <c r="AN980" s="58" t="n">
        <f aca="false">IF(AM980="",0,MAX(0,MIN(1,(IF(CC980="L1",Parameter!$H$5,IF(CC980="L23",Parameter!$H$6+Parameter!$H$7,Parameter!$H$5+Parameter!$H$6+Parameter!$H$7))-(AM980-AI980))/AI980)))</f>
        <v>1</v>
      </c>
      <c r="AO980" s="50" t="n">
        <f aca="false">IF(LEFT(Cockpit!$I$5,1)="A",H980,IF(CE980=1,CF980,IF(LEFT(Cockpit!$I$5,1)="B",AT980,MAX(AT980,H980))))</f>
        <v>98</v>
      </c>
      <c r="AP980" s="50" t="n">
        <f aca="false">IF(BW980=1,0,ROUNDUP(AO980/BV980,0))</f>
        <v>5</v>
      </c>
      <c r="AQ980" s="52" t="n">
        <f aca="false">IF(CL980&gt;0,CL980*MAX(1,AO980/X980),IF(BW980=1,IF(AO980&lt;=0,0,CA980*MAX(1,IF(H980&gt;0,AO980/H980,1))),IF(R980&gt;0,AP980/R980,0))/MAX(0.1,N(Parameter!$M$21)))</f>
        <v>0.0480769230769231</v>
      </c>
      <c r="AR980" s="50" t="n">
        <f aca="false">AQ980*BY980</f>
        <v>7.45192307692308</v>
      </c>
      <c r="AS980" s="50" t="n">
        <f aca="false">AO980*G980</f>
        <v>436.1</v>
      </c>
      <c r="AT980" s="50" t="n">
        <f aca="false">ROUNDUP(MAX(J980/IF(CD980&gt;0,CD980,MAX(0.1,N(Cockpit!$I$6))),CG980)/BV980,0)*BV980</f>
        <v>20</v>
      </c>
      <c r="AU980" s="51" t="n">
        <f aca="false">IF(AR980&gt;0,J980/AR980,-1)</f>
        <v>0</v>
      </c>
      <c r="AV980" s="51" t="n">
        <f aca="false">IF(AND(OR(CC980="L1",CC980="L23",CC980="LIFT"),AR980&gt;0),SUMIFS($AR$7:$AR$1843,$CC$7:$CC$1843,CC980,$AU$7:$AU$1843,"&gt;"&amp;AU980)+SUMIFS($AR$7:$AR$1843,$CC$7:$CC$1843,CC980,$AU$7:$AU$1843,AU980,$BT$7:$BT$1843,"&lt;="&amp;BT980),"")</f>
        <v>40557.8805022661</v>
      </c>
      <c r="AW980" s="58" t="n">
        <f aca="false">IF(AV980="",0,MAX(0,MIN(1,(IF(CC980="L1",Parameter!$H$5,IF(CC980="L23",Parameter!$H$6+Parameter!$H$7,Parameter!$H$5+Parameter!$H$6+Parameter!$H$7))-(AV980-AR980))/AR980)))</f>
        <v>0</v>
      </c>
      <c r="AX980" s="50" t="n">
        <f aca="false">IF(LEFT(Cockpit!$O$5,1)="A",H980,IF(CE980=1,CF980,IF(LEFT(Cockpit!$O$5,1)="B",BC980,MAX(BC980,H980))))</f>
        <v>98</v>
      </c>
      <c r="AY980" s="50" t="n">
        <f aca="false">IF(BW980=1,0,ROUNDUP(AX980/BV980,0))</f>
        <v>5</v>
      </c>
      <c r="AZ980" s="52" t="n">
        <f aca="false">IF(CL980&gt;0,CL980*MAX(1,AX980/X980),IF(BW980=1,IF(AX980&lt;=0,0,CA980*MAX(1,IF(H980&gt;0,AX980/H980,1))),IF(R980&gt;0,AY980/R980,0))/MAX(0.1,N(Parameter!$M$21)))</f>
        <v>0.0480769230769231</v>
      </c>
      <c r="BA980" s="50" t="n">
        <f aca="false">AZ980*BY980</f>
        <v>7.45192307692308</v>
      </c>
      <c r="BB980" s="50" t="n">
        <f aca="false">AX980*G980</f>
        <v>436.1</v>
      </c>
      <c r="BC980" s="50" t="n">
        <f aca="false">ROUNDUP(MAX(J980/IF(CD980&gt;0,CD980,MAX(0.1,N(Cockpit!$O$6))),CG980)/BV980,0)*BV980</f>
        <v>20</v>
      </c>
      <c r="BD980" s="51" t="n">
        <f aca="false">IF(BA980&gt;0,J980/BA980,-1)</f>
        <v>0</v>
      </c>
      <c r="BE980" s="51" t="n">
        <f aca="false">IF(AND(OR(CC980="L1",CC980="L23",CC980="LIFT"),BA980&gt;0),SUMIFS($BA$7:$BA$1843,$CC$7:$CC$1843,CC980,$BD$7:$BD$1843,"&gt;"&amp;BD980)+SUMIFS($BA$7:$BA$1843,$CC$7:$CC$1843,CC980,$BD$7:$BD$1843,BD980,$BT$7:$BT$1843,"&lt;="&amp;BT980),"")</f>
        <v>37232.892544132</v>
      </c>
      <c r="BF980" s="58" t="n">
        <f aca="false">IF(BE980="",0,MAX(0,MIN(1,(IF(CC980="L1",Parameter!$H$5,IF(CC980="L23",Parameter!$H$6+Parameter!$H$7,Parameter!$H$5+Parameter!$H$6+Parameter!$H$7))-(BE980-BA980))/BA980)))</f>
        <v>0</v>
      </c>
      <c r="BG980" s="48" t="str">
        <f aca="false">IF(AI980&lt;=0,"",IF(CC980="Aussen","Aussenlager",IF(CC980="-","Nicht im Lift",IF(AN980&gt;=1,"Lift",IF(AN980&lt;=0,"Aussenlager","teilweise")))))</f>
        <v>Lift</v>
      </c>
      <c r="BH980" s="48" t="str">
        <f aca="false">IF(AR980&lt;=0,"",IF(CC980="Aussen","Aussenlager",IF(CC980="-","Nicht im Lift",IF(AW980&gt;=1,"Lift",IF(AW980&lt;=0,"Aussenlager","teilweise")))))</f>
        <v>Aussenlager</v>
      </c>
      <c r="BI980" s="48" t="str">
        <f aca="false">IF(BA980&lt;=0,"",IF(CC980="Aussen","Aussenlager",IF(CC980="-","Nicht im Lift",IF(BF980&gt;=1,"Lift",IF(BF980&lt;=0,"Aussenlager","teilweise")))))</f>
        <v>Aussenlager</v>
      </c>
      <c r="BJ980" s="48" t="str">
        <f aca="false">IF(A980="","",IF(BS980=1,"Neu; ","")&amp;IF(AND(BS980=0,BN980&lt;0),"negativer Bestand (Export "&amp;BN980&amp;"); ","")&amp;IF(J980&lt;=0,"Kein Verbrauch; ","")&amp;IF(CL980&gt;0,"Lift "&amp;W980&amp;" lt. Liftbericht (Fach "&amp;X980&amp;" Stk); ",IF(BX980=1,"Gebinde geschätzt ("&amp;T980&amp;"); ",IF(BW980=1,"Lose – Tablare geschätzt; ","")))&amp;IF(H980&gt;AT980,"Überbestand "&amp;ROUND(H980-AT980,0)&amp;" Stk / CHF "&amp;ROUND((H980-AT980)*G980,0)&amp;"; ","")&amp;IF(AND(CE980=1,CF980&lt;CG980),"MAX &lt; MB+LG; ","")&amp;IF(AND(CK980&gt;0,CJ980*10&gt;CK980),"zu hoch für Tablar; ","")&amp;IF(AND(BS980=0,OR(CE980=1,AA980&lt;&gt;"",U980&lt;&gt;"",V980&lt;&gt;"",AB980&lt;&gt;"")),"manuell übersteuert; ","")&amp;IF(AND(BW980=0,R980=0),"Gebinde unbekannt / Stellmass fehlt; ","")&amp;IF(AND(BW980=0,N(V980)&lt;=0,N(Q980)&lt;=0),"Menge pro Gebinde fehlt (Ist = 1 Gebinde); ","")&amp;BR980)</f>
        <v>negativer Bestand (Export -17); Kein Verbrauch; Überbestand 78 Stk / CHF 347; Verb.Lager</v>
      </c>
      <c r="BK980" s="48"/>
      <c r="BL980" s="48"/>
      <c r="BM980" s="55"/>
      <c r="BN980" s="50" t="n">
        <v>-17</v>
      </c>
      <c r="BO980" s="50" t="n">
        <v>115</v>
      </c>
      <c r="BP980" s="49" t="n">
        <v>-75.65</v>
      </c>
      <c r="BQ980" s="50" t="n">
        <v>0</v>
      </c>
      <c r="BR980" s="48" t="s">
        <v>1034</v>
      </c>
      <c r="BS980" s="53" t="n">
        <v>0</v>
      </c>
      <c r="BT980" s="53" t="n">
        <v>980</v>
      </c>
      <c r="BU980" s="48" t="str">
        <f aca="false">IF(U980&lt;&gt;"",UPPER(TRIM(U980)),IF(BX980=1,UPPER(VLOOKUP(T980,Parameter!$I$27:$K$29,2,0)),IF(P980="","LOSE",P980)))</f>
        <v>S32</v>
      </c>
      <c r="BV980" s="50" t="n">
        <f aca="false">IF(BU980="LOSE",1,IF(N(V980)&gt;0,V980,IF(BX980=1,MAX(1,N(VLOOKUP(T980,Parameter!$I$27:$K$29,3,0)),H980,N(N980)),IF(N(Q980)&gt;0,Q980,MAX(1,H980)))))</f>
        <v>20</v>
      </c>
      <c r="BW980" s="53" t="n">
        <f aca="false">IF(BU980="LOSE",1,0)</f>
        <v>0</v>
      </c>
      <c r="BX980" s="53" t="n">
        <f aca="false">IF(AND(U980="",OR(P980="",P980="LOSE"),T980&lt;&gt;"",N(S980)&lt;=0,ISNUMBER(MATCH(T980,Parameter!$I$27:$I$29,0))),1,0)</f>
        <v>0</v>
      </c>
      <c r="BY980" s="53" t="n">
        <f aca="false">IF(CL980&gt;0,INDEX(Parameter!$H$5:$H$7,W980)/INDEX(Parameter!$E$5:$E$7,W980),IF(AND(BW980=0,N(IFERROR(VLOOKUP(BU980,'Gebinde-Kategorie'!$A$5:$N$45,14,0),0))&gt;0),VLOOKUP(BU980,'Gebinde-Kategorie'!$A$5:$N$45,14,0)*10+Parameter!$M$23,Parameter!$M$24))</f>
        <v>155</v>
      </c>
      <c r="BZ980" s="48" t="str">
        <f aca="false">IF(AND(Parameter!$B$19="Ja",E980&lt;&gt;"",ISNUMBER(MATCH(E980,Parameter!$I$35:$I$52,0))),VLOOKUP(E980,Parameter!$I$35:$J$52,2,0),IFERROR(VLOOKUP(D980,Parameter!$A$35:$C$64,2,0),"Nein"))</f>
        <v>2+3</v>
      </c>
      <c r="CA980" s="52" t="n">
        <f aca="false">IF(BW980=0,0,IF(N(S980)&gt;0,S980,IFERROR(VLOOKUP(D980,Parameter!$A$35:$C$64,3,0)+0,0)))</f>
        <v>0</v>
      </c>
      <c r="CB980" s="48" t="n">
        <f aca="false">IF(AA980&lt;&gt;"",AA980,Z980)</f>
        <v>3</v>
      </c>
      <c r="CC980" s="48" t="str">
        <f aca="false">IF(OR(CB980=1,CB980=2,CB980=3),IF(Parameter!$E$27="Ja","LIFT",IF(CB980=1,"L1","L23")),IF(CB980="Aussen","Aussen","-"))</f>
        <v>LIFT</v>
      </c>
      <c r="CD980" s="59" t="n">
        <f aca="false">IF(N(AB980)&gt;0,AB980,0)</f>
        <v>0</v>
      </c>
      <c r="CE980" s="53" t="n">
        <f aca="false">IF(ISNUMBER(AE980),1,0)</f>
        <v>0</v>
      </c>
      <c r="CF980" s="50" t="n">
        <f aca="false">N(AE980)</f>
        <v>0</v>
      </c>
      <c r="CG980" s="50" t="n">
        <f aca="false">N(M980)+N(N980)</f>
        <v>1</v>
      </c>
      <c r="CH980" s="50" t="n">
        <f aca="false">ROUNDUP(H980/BV980,0)</f>
        <v>5</v>
      </c>
      <c r="CI980" s="50" t="n">
        <f aca="false">ROUNDUP(CF980/BV980,0)</f>
        <v>0</v>
      </c>
      <c r="CJ980" s="53" t="n">
        <f aca="false">IF(BW980=1,0,IFERROR(VLOOKUP(BU980,'Gebinde-Kategorie'!$A$5:$N$45,5,0)+0,0))</f>
        <v>8</v>
      </c>
      <c r="CK980" s="53" t="n">
        <f aca="false">IFERROR(IF(OR(CB980=1,CB980=2,CB980=3),N(INDEX(Parameter!$I$5:$I$7,CB980)),0),0)</f>
        <v>0</v>
      </c>
      <c r="CL980" s="52" t="n">
        <f aca="false">IF(AND(Parameter!$B$21="Ja",ISNUMBER(W980),N(X980)&gt;0),IFERROR(N(INDEX(Parameter!$L$5:$L$7,W980))*INDEX(Parameter!$E$5:$E$7,W980)*X980/SUMIFS($X$7:$X$1843,$W$7:$W$1843,W980),0),0)</f>
        <v>0</v>
      </c>
    </row>
    <row r="981" customFormat="false" ht="15" hidden="false" customHeight="false" outlineLevel="0" collapsed="false">
      <c r="A981" s="48" t="s">
        <v>1820</v>
      </c>
      <c r="B981" s="48" t="s">
        <v>865</v>
      </c>
      <c r="C981" s="48" t="s">
        <v>168</v>
      </c>
      <c r="D981" s="48" t="s">
        <v>188</v>
      </c>
      <c r="E981" s="48"/>
      <c r="F981" s="48" t="s">
        <v>222</v>
      </c>
      <c r="G981" s="49" t="n">
        <v>37.92</v>
      </c>
      <c r="H981" s="50" t="n">
        <f aca="false">MAX(0,IF(AND(Parameter!$B$21="Ja",ISNUMBER(Y981)),Y981,IF(Parameter!$B$20="Jahresanfang 2025 + Export",BO981+BN981,BN981)))</f>
        <v>18</v>
      </c>
      <c r="I981" s="50" t="n">
        <f aca="false">H981*G981</f>
        <v>682.56</v>
      </c>
      <c r="J981" s="50" t="n">
        <f aca="false">BQ981*Parameter!$B$18</f>
        <v>4</v>
      </c>
      <c r="K981" s="51" t="n">
        <v>19</v>
      </c>
      <c r="L981" s="52" t="n">
        <v>0.210526315789474</v>
      </c>
      <c r="M981" s="50" t="n">
        <v>0</v>
      </c>
      <c r="N981" s="50" t="n">
        <v>5</v>
      </c>
      <c r="O981" s="53" t="n">
        <v>28</v>
      </c>
      <c r="P981" s="48" t="s">
        <v>430</v>
      </c>
      <c r="Q981" s="50" t="n">
        <v>20</v>
      </c>
      <c r="R981" s="53" t="n">
        <f aca="false">IF(BW981=1,0,IFERROR(VLOOKUP(BU981,'Gebinde-Kategorie'!$A$5:$N$45,13,0)+0,0))</f>
        <v>140</v>
      </c>
      <c r="S981" s="54"/>
      <c r="T981" s="55"/>
      <c r="U981" s="55"/>
      <c r="V981" s="55"/>
      <c r="W981" s="48"/>
      <c r="X981" s="50"/>
      <c r="Y981" s="50"/>
      <c r="Z981" s="48" t="n">
        <f aca="false">IF(A981="","",IF(AND(Parameter!$B$21="Ja",ISNUMBER(W981)),W981,IF(BZ981="2+3",IF(ISNUMBER(SEARCH("grosser Artikel",BR981)),2,IFERROR(VLOOKUP(BU981,Parameter!$F$35:$G$64,2,0),2)),IF(OR(BZ981="Nein",BZ981=""),"-",BZ981))))</f>
        <v>3</v>
      </c>
      <c r="AA981" s="55"/>
      <c r="AB981" s="56"/>
      <c r="AC981" s="50" t="n">
        <f aca="false">AT981</f>
        <v>20</v>
      </c>
      <c r="AD981" s="50" t="n">
        <f aca="false">MAX(AT981,H981)</f>
        <v>20</v>
      </c>
      <c r="AE981" s="57"/>
      <c r="AF981" s="50" t="n">
        <f aca="false">IF(LEFT(Cockpit!$C$5,1)="A",H981,IF(CE981=1,CF981,IF(LEFT(Cockpit!$C$5,1)="B",AK981,MAX(AK981,H981))))</f>
        <v>18</v>
      </c>
      <c r="AG981" s="50" t="n">
        <f aca="false">IF(BW981=1,0,ROUNDUP(AF981/BV981,0))</f>
        <v>1</v>
      </c>
      <c r="AH981" s="52" t="n">
        <f aca="false">IF(CL981&gt;0,CL981*MAX(1,AF981/X981),IF(BW981=1,IF(AF981&lt;=0,0,CA981*MAX(1,IF(H981&gt;0,AF981/H981,1))),IF(R981&gt;0,AG981/R981,0))/MAX(0.1,N(Parameter!$M$21)))</f>
        <v>0.00714285714285714</v>
      </c>
      <c r="AI981" s="50" t="n">
        <f aca="false">AH981*BY981</f>
        <v>1.10714285714286</v>
      </c>
      <c r="AJ981" s="50" t="n">
        <f aca="false">AF981*G981</f>
        <v>682.56</v>
      </c>
      <c r="AK981" s="50" t="n">
        <f aca="false">ROUNDUP(MAX(J981/IF(CD981&gt;0,CD981,MAX(0.1,N(Cockpit!$C$6))),CG981)/BV981,0)*BV981</f>
        <v>20</v>
      </c>
      <c r="AL981" s="51" t="n">
        <f aca="false">IF(AI981&gt;0,J981/AI981,-1)</f>
        <v>3.61290322580645</v>
      </c>
      <c r="AM981" s="51" t="n">
        <f aca="false">IF(AND(OR(CC981="L1",CC981="L23",CC981="LIFT"),AI981&gt;0),SUMIFS($AI$7:$AI$1843,$CC$7:$CC$1843,CC981,$AL$7:$AL$1843,"&gt;"&amp;AL981)+SUMIFS($AI$7:$AI$1843,$CC$7:$CC$1843,CC981,$AL$7:$AL$1843,AL981,$BT$7:$BT$1843,"&lt;="&amp;BT981),"")</f>
        <v>4830.08836996337</v>
      </c>
      <c r="AN981" s="58" t="n">
        <f aca="false">IF(AM981="",0,MAX(0,MIN(1,(IF(CC981="L1",Parameter!$H$5,IF(CC981="L23",Parameter!$H$6+Parameter!$H$7,Parameter!$H$5+Parameter!$H$6+Parameter!$H$7))-(AM981-AI981))/AI981)))</f>
        <v>1</v>
      </c>
      <c r="AO981" s="50" t="n">
        <f aca="false">IF(LEFT(Cockpit!$I$5,1)="A",H981,IF(CE981=1,CF981,IF(LEFT(Cockpit!$I$5,1)="B",AT981,MAX(AT981,H981))))</f>
        <v>20</v>
      </c>
      <c r="AP981" s="50" t="n">
        <f aca="false">IF(BW981=1,0,ROUNDUP(AO981/BV981,0))</f>
        <v>1</v>
      </c>
      <c r="AQ981" s="52" t="n">
        <f aca="false">IF(CL981&gt;0,CL981*MAX(1,AO981/X981),IF(BW981=1,IF(AO981&lt;=0,0,CA981*MAX(1,IF(H981&gt;0,AO981/H981,1))),IF(R981&gt;0,AP981/R981,0))/MAX(0.1,N(Parameter!$M$21)))</f>
        <v>0.00714285714285714</v>
      </c>
      <c r="AR981" s="50" t="n">
        <f aca="false">AQ981*BY981</f>
        <v>1.10714285714286</v>
      </c>
      <c r="AS981" s="50" t="n">
        <f aca="false">AO981*G981</f>
        <v>758.4</v>
      </c>
      <c r="AT981" s="50" t="n">
        <f aca="false">ROUNDUP(MAX(J981/IF(CD981&gt;0,CD981,MAX(0.1,N(Cockpit!$I$6))),CG981)/BV981,0)*BV981</f>
        <v>20</v>
      </c>
      <c r="AU981" s="51" t="n">
        <f aca="false">IF(AR981&gt;0,J981/AR981,-1)</f>
        <v>3.61290322580645</v>
      </c>
      <c r="AV981" s="51" t="n">
        <f aca="false">IF(AND(OR(CC981="L1",CC981="L23",CC981="LIFT"),AR981&gt;0),SUMIFS($AR$7:$AR$1843,$CC$7:$CC$1843,CC981,$AU$7:$AU$1843,"&gt;"&amp;AU981)+SUMIFS($AR$7:$AR$1843,$CC$7:$CC$1843,CC981,$AU$7:$AU$1843,AU981,$BT$7:$BT$1843,"&lt;="&amp;BT981),"")</f>
        <v>5958.70695970696</v>
      </c>
      <c r="AW981" s="58" t="n">
        <f aca="false">IF(AV981="",0,MAX(0,MIN(1,(IF(CC981="L1",Parameter!$H$5,IF(CC981="L23",Parameter!$H$6+Parameter!$H$7,Parameter!$H$5+Parameter!$H$6+Parameter!$H$7))-(AV981-AR981))/AR981)))</f>
        <v>1</v>
      </c>
      <c r="AX981" s="50" t="n">
        <f aca="false">IF(LEFT(Cockpit!$O$5,1)="A",H981,IF(CE981=1,CF981,IF(LEFT(Cockpit!$O$5,1)="B",BC981,MAX(BC981,H981))))</f>
        <v>20</v>
      </c>
      <c r="AY981" s="50" t="n">
        <f aca="false">IF(BW981=1,0,ROUNDUP(AX981/BV981,0))</f>
        <v>1</v>
      </c>
      <c r="AZ981" s="52" t="n">
        <f aca="false">IF(CL981&gt;0,CL981*MAX(1,AX981/X981),IF(BW981=1,IF(AX981&lt;=0,0,CA981*MAX(1,IF(H981&gt;0,AX981/H981,1))),IF(R981&gt;0,AY981/R981,0))/MAX(0.1,N(Parameter!$M$21)))</f>
        <v>0.00714285714285714</v>
      </c>
      <c r="BA981" s="50" t="n">
        <f aca="false">AZ981*BY981</f>
        <v>1.10714285714286</v>
      </c>
      <c r="BB981" s="50" t="n">
        <f aca="false">AX981*G981</f>
        <v>758.4</v>
      </c>
      <c r="BC981" s="50" t="n">
        <f aca="false">ROUNDUP(MAX(J981/IF(CD981&gt;0,CD981,MAX(0.1,N(Cockpit!$O$6))),CG981)/BV981,0)*BV981</f>
        <v>20</v>
      </c>
      <c r="BD981" s="51" t="n">
        <f aca="false">IF(BA981&gt;0,J981/BA981,-1)</f>
        <v>3.61290322580645</v>
      </c>
      <c r="BE981" s="51" t="n">
        <f aca="false">IF(AND(OR(CC981="L1",CC981="L23",CC981="LIFT"),BA981&gt;0),SUMIFS($BA$7:$BA$1843,$CC$7:$CC$1843,CC981,$BD$7:$BD$1843,"&gt;"&amp;BD981)+SUMIFS($BA$7:$BA$1843,$CC$7:$CC$1843,CC981,$BD$7:$BD$1843,BD981,$BT$7:$BT$1843,"&lt;="&amp;BT981),"")</f>
        <v>5860.2934981685</v>
      </c>
      <c r="BF981" s="58" t="n">
        <f aca="false">IF(BE981="",0,MAX(0,MIN(1,(IF(CC981="L1",Parameter!$H$5,IF(CC981="L23",Parameter!$H$6+Parameter!$H$7,Parameter!$H$5+Parameter!$H$6+Parameter!$H$7))-(BE981-BA981))/BA981)))</f>
        <v>1</v>
      </c>
      <c r="BG981" s="48" t="str">
        <f aca="false">IF(AI981&lt;=0,"",IF(CC981="Aussen","Aussenlager",IF(CC981="-","Nicht im Lift",IF(AN981&gt;=1,"Lift",IF(AN981&lt;=0,"Aussenlager","teilweise")))))</f>
        <v>Lift</v>
      </c>
      <c r="BH981" s="48" t="str">
        <f aca="false">IF(AR981&lt;=0,"",IF(CC981="Aussen","Aussenlager",IF(CC981="-","Nicht im Lift",IF(AW981&gt;=1,"Lift",IF(AW981&lt;=0,"Aussenlager","teilweise")))))</f>
        <v>Lift</v>
      </c>
      <c r="BI981" s="48" t="str">
        <f aca="false">IF(BA981&lt;=0,"",IF(CC981="Aussen","Aussenlager",IF(CC981="-","Nicht im Lift",IF(BF981&gt;=1,"Lift",IF(BF981&lt;=0,"Aussenlager","teilweise")))))</f>
        <v>Lift</v>
      </c>
      <c r="BJ981" s="48" t="str">
        <f aca="false">IF(A981="","",IF(BS981=1,"Neu; ","")&amp;IF(AND(BS981=0,BN981&lt;0),"negativer Bestand (Export "&amp;BN981&amp;"); ","")&amp;IF(J981&lt;=0,"Kein Verbrauch; ","")&amp;IF(CL981&gt;0,"Lift "&amp;W981&amp;" lt. Liftbericht (Fach "&amp;X981&amp;" Stk); ",IF(BX981=1,"Gebinde geschätzt ("&amp;T981&amp;"); ",IF(BW981=1,"Lose – Tablare geschätzt; ","")))&amp;IF(H981&gt;AT981,"Überbestand "&amp;ROUND(H981-AT981,0)&amp;" Stk / CHF "&amp;ROUND((H981-AT981)*G981,0)&amp;"; ","")&amp;IF(AND(CE981=1,CF981&lt;CG981),"MAX &lt; MB+LG; ","")&amp;IF(AND(CK981&gt;0,CJ981*10&gt;CK981),"zu hoch für Tablar; ","")&amp;IF(AND(BS981=0,OR(CE981=1,AA981&lt;&gt;"",U981&lt;&gt;"",V981&lt;&gt;"",AB981&lt;&gt;"")),"manuell übersteuert; ","")&amp;IF(AND(BW981=0,R981=0),"Gebinde unbekannt / Stellmass fehlt; ","")&amp;IF(AND(BW981=0,N(V981)&lt;=0,N(Q981)&lt;=0),"Menge pro Gebinde fehlt (Ist = 1 Gebinde); ","")&amp;BR981)</f>
        <v>negativer Bestand (Export -2); </v>
      </c>
      <c r="BK981" s="48"/>
      <c r="BL981" s="48"/>
      <c r="BM981" s="55"/>
      <c r="BN981" s="50" t="n">
        <v>-2</v>
      </c>
      <c r="BO981" s="50" t="n">
        <v>20</v>
      </c>
      <c r="BP981" s="49" t="n">
        <v>-75.84</v>
      </c>
      <c r="BQ981" s="50" t="n">
        <v>4</v>
      </c>
      <c r="BR981" s="48"/>
      <c r="BS981" s="53" t="n">
        <v>0</v>
      </c>
      <c r="BT981" s="53" t="n">
        <v>981</v>
      </c>
      <c r="BU981" s="48" t="str">
        <f aca="false">IF(U981&lt;&gt;"",UPPER(TRIM(U981)),IF(BX981=1,UPPER(VLOOKUP(T981,Parameter!$I$27:$K$29,2,0)),IF(P981="","LOSE",P981)))</f>
        <v>S22</v>
      </c>
      <c r="BV981" s="50" t="n">
        <f aca="false">IF(BU981="LOSE",1,IF(N(V981)&gt;0,V981,IF(BX981=1,MAX(1,N(VLOOKUP(T981,Parameter!$I$27:$K$29,3,0)),H981,N(N981)),IF(N(Q981)&gt;0,Q981,MAX(1,H981)))))</f>
        <v>20</v>
      </c>
      <c r="BW981" s="53" t="n">
        <f aca="false">IF(BU981="LOSE",1,0)</f>
        <v>0</v>
      </c>
      <c r="BX981" s="53" t="n">
        <f aca="false">IF(AND(U981="",OR(P981="",P981="LOSE"),T981&lt;&gt;"",N(S981)&lt;=0,ISNUMBER(MATCH(T981,Parameter!$I$27:$I$29,0))),1,0)</f>
        <v>0</v>
      </c>
      <c r="BY981" s="53" t="n">
        <f aca="false">IF(CL981&gt;0,INDEX(Parameter!$H$5:$H$7,W981)/INDEX(Parameter!$E$5:$E$7,W981),IF(AND(BW981=0,N(IFERROR(VLOOKUP(BU981,'Gebinde-Kategorie'!$A$5:$N$45,14,0),0))&gt;0),VLOOKUP(BU981,'Gebinde-Kategorie'!$A$5:$N$45,14,0)*10+Parameter!$M$23,Parameter!$M$24))</f>
        <v>155</v>
      </c>
      <c r="BZ981" s="48" t="str">
        <f aca="false">IF(AND(Parameter!$B$19="Ja",E981&lt;&gt;"",ISNUMBER(MATCH(E981,Parameter!$I$35:$I$52,0))),VLOOKUP(E981,Parameter!$I$35:$J$52,2,0),IFERROR(VLOOKUP(D981,Parameter!$A$35:$C$64,2,0),"Nein"))</f>
        <v>2+3</v>
      </c>
      <c r="CA981" s="52" t="n">
        <f aca="false">IF(BW981=0,0,IF(N(S981)&gt;0,S981,IFERROR(VLOOKUP(D981,Parameter!$A$35:$C$64,3,0)+0,0)))</f>
        <v>0</v>
      </c>
      <c r="CB981" s="48" t="n">
        <f aca="false">IF(AA981&lt;&gt;"",AA981,Z981)</f>
        <v>3</v>
      </c>
      <c r="CC981" s="48" t="str">
        <f aca="false">IF(OR(CB981=1,CB981=2,CB981=3),IF(Parameter!$E$27="Ja","LIFT",IF(CB981=1,"L1","L23")),IF(CB981="Aussen","Aussen","-"))</f>
        <v>LIFT</v>
      </c>
      <c r="CD981" s="59" t="n">
        <f aca="false">IF(N(AB981)&gt;0,AB981,0)</f>
        <v>0</v>
      </c>
      <c r="CE981" s="53" t="n">
        <f aca="false">IF(ISNUMBER(AE981),1,0)</f>
        <v>0</v>
      </c>
      <c r="CF981" s="50" t="n">
        <f aca="false">N(AE981)</f>
        <v>0</v>
      </c>
      <c r="CG981" s="50" t="n">
        <f aca="false">N(M981)+N(N981)</f>
        <v>5</v>
      </c>
      <c r="CH981" s="50" t="n">
        <f aca="false">ROUNDUP(H981/BV981,0)</f>
        <v>1</v>
      </c>
      <c r="CI981" s="50" t="n">
        <f aca="false">ROUNDUP(CF981/BV981,0)</f>
        <v>0</v>
      </c>
      <c r="CJ981" s="53" t="n">
        <f aca="false">IF(BW981=1,0,IFERROR(VLOOKUP(BU981,'Gebinde-Kategorie'!$A$5:$N$45,5,0)+0,0))</f>
        <v>8</v>
      </c>
      <c r="CK981" s="53" t="n">
        <f aca="false">IFERROR(IF(OR(CB981=1,CB981=2,CB981=3),N(INDEX(Parameter!$I$5:$I$7,CB981)),0),0)</f>
        <v>0</v>
      </c>
      <c r="CL981" s="52" t="n">
        <f aca="false">IF(AND(Parameter!$B$21="Ja",ISNUMBER(W981),N(X981)&gt;0),IFERROR(N(INDEX(Parameter!$L$5:$L$7,W981))*INDEX(Parameter!$E$5:$E$7,W981)*X981/SUMIFS($X$7:$X$1843,$W$7:$W$1843,W981),0),0)</f>
        <v>0</v>
      </c>
    </row>
    <row r="982" customFormat="false" ht="15" hidden="false" customHeight="false" outlineLevel="0" collapsed="false">
      <c r="A982" s="48" t="s">
        <v>1821</v>
      </c>
      <c r="B982" s="48" t="s">
        <v>409</v>
      </c>
      <c r="C982" s="48" t="s">
        <v>168</v>
      </c>
      <c r="D982" s="48" t="s">
        <v>188</v>
      </c>
      <c r="E982" s="48" t="s">
        <v>189</v>
      </c>
      <c r="F982" s="48" t="s">
        <v>222</v>
      </c>
      <c r="G982" s="49" t="n">
        <v>1.54</v>
      </c>
      <c r="H982" s="50" t="n">
        <f aca="false">MAX(0,IF(AND(Parameter!$B$21="Ja",ISNUMBER(Y982)),Y982,IF(Parameter!$B$20="Jahresanfang 2025 + Export",BO982+BN982,BN982)))</f>
        <v>197</v>
      </c>
      <c r="I982" s="50" t="n">
        <f aca="false">H982*G982</f>
        <v>303.38</v>
      </c>
      <c r="J982" s="50" t="n">
        <f aca="false">BQ982*Parameter!$B$18</f>
        <v>42</v>
      </c>
      <c r="K982" s="51" t="n">
        <v>225.5</v>
      </c>
      <c r="L982" s="52" t="n">
        <v>0.186252771618625</v>
      </c>
      <c r="M982" s="50" t="n">
        <v>3</v>
      </c>
      <c r="N982" s="50" t="n">
        <v>40</v>
      </c>
      <c r="O982" s="53" t="n">
        <v>28</v>
      </c>
      <c r="P982" s="48" t="s">
        <v>306</v>
      </c>
      <c r="Q982" s="50" t="n">
        <v>196</v>
      </c>
      <c r="R982" s="53" t="n">
        <f aca="false">IF(BW982=1,0,IFERROR(VLOOKUP(BU982,'Gebinde-Kategorie'!$A$5:$N$45,13,0)+0,0))</f>
        <v>26</v>
      </c>
      <c r="S982" s="54"/>
      <c r="T982" s="55"/>
      <c r="U982" s="55"/>
      <c r="V982" s="55"/>
      <c r="W982" s="48"/>
      <c r="X982" s="50"/>
      <c r="Y982" s="50"/>
      <c r="Z982" s="48" t="n">
        <f aca="false">IF(A982="","",IF(AND(Parameter!$B$21="Ja",ISNUMBER(W982)),W982,IF(BZ982="2+3",IF(ISNUMBER(SEARCH("grosser Artikel",BR982)),2,IFERROR(VLOOKUP(BU982,Parameter!$F$35:$G$64,2,0),2)),IF(OR(BZ982="Nein",BZ982=""),"-",BZ982))))</f>
        <v>3</v>
      </c>
      <c r="AA982" s="55"/>
      <c r="AB982" s="56"/>
      <c r="AC982" s="50" t="n">
        <f aca="false">AT982</f>
        <v>196</v>
      </c>
      <c r="AD982" s="50" t="n">
        <f aca="false">MAX(AT982,H982)</f>
        <v>197</v>
      </c>
      <c r="AE982" s="57"/>
      <c r="AF982" s="50" t="n">
        <f aca="false">IF(LEFT(Cockpit!$C$5,1)="A",H982,IF(CE982=1,CF982,IF(LEFT(Cockpit!$C$5,1)="B",AK982,MAX(AK982,H982))))</f>
        <v>197</v>
      </c>
      <c r="AG982" s="50" t="n">
        <f aca="false">IF(BW982=1,0,ROUNDUP(AF982/BV982,0))</f>
        <v>2</v>
      </c>
      <c r="AH982" s="52" t="n">
        <f aca="false">IF(CL982&gt;0,CL982*MAX(1,AF982/X982),IF(BW982=1,IF(AF982&lt;=0,0,CA982*MAX(1,IF(H982&gt;0,AF982/H982,1))),IF(R982&gt;0,AG982/R982,0))/MAX(0.1,N(Parameter!$M$21)))</f>
        <v>0.0769230769230769</v>
      </c>
      <c r="AI982" s="50" t="n">
        <f aca="false">AH982*BY982</f>
        <v>11.9230769230769</v>
      </c>
      <c r="AJ982" s="50" t="n">
        <f aca="false">AF982*G982</f>
        <v>303.38</v>
      </c>
      <c r="AK982" s="50" t="n">
        <f aca="false">ROUNDUP(MAX(J982/IF(CD982&gt;0,CD982,MAX(0.1,N(Cockpit!$C$6))),CG982)/BV982,0)*BV982</f>
        <v>196</v>
      </c>
      <c r="AL982" s="51" t="n">
        <f aca="false">IF(AI982&gt;0,J982/AI982,-1)</f>
        <v>3.52258064516129</v>
      </c>
      <c r="AM982" s="51" t="n">
        <f aca="false">IF(AND(OR(CC982="L1",CC982="L23",CC982="LIFT"),AI982&gt;0),SUMIFS($AI$7:$AI$1843,$CC$7:$CC$1843,CC982,$AL$7:$AL$1843,"&gt;"&amp;AL982)+SUMIFS($AI$7:$AI$1843,$CC$7:$CC$1843,CC982,$AL$7:$AL$1843,AL982,$BT$7:$BT$1843,"&lt;="&amp;BT982),"")</f>
        <v>4894.48214285714</v>
      </c>
      <c r="AN982" s="58" t="n">
        <f aca="false">IF(AM982="",0,MAX(0,MIN(1,(IF(CC982="L1",Parameter!$H$5,IF(CC982="L23",Parameter!$H$6+Parameter!$H$7,Parameter!$H$5+Parameter!$H$6+Parameter!$H$7))-(AM982-AI982))/AI982)))</f>
        <v>1</v>
      </c>
      <c r="AO982" s="50" t="n">
        <f aca="false">IF(LEFT(Cockpit!$I$5,1)="A",H982,IF(CE982=1,CF982,IF(LEFT(Cockpit!$I$5,1)="B",AT982,MAX(AT982,H982))))</f>
        <v>197</v>
      </c>
      <c r="AP982" s="50" t="n">
        <f aca="false">IF(BW982=1,0,ROUNDUP(AO982/BV982,0))</f>
        <v>2</v>
      </c>
      <c r="AQ982" s="52" t="n">
        <f aca="false">IF(CL982&gt;0,CL982*MAX(1,AO982/X982),IF(BW982=1,IF(AO982&lt;=0,0,CA982*MAX(1,IF(H982&gt;0,AO982/H982,1))),IF(R982&gt;0,AP982/R982,0))/MAX(0.1,N(Parameter!$M$21)))</f>
        <v>0.0769230769230769</v>
      </c>
      <c r="AR982" s="50" t="n">
        <f aca="false">AQ982*BY982</f>
        <v>11.9230769230769</v>
      </c>
      <c r="AS982" s="50" t="n">
        <f aca="false">AO982*G982</f>
        <v>303.38</v>
      </c>
      <c r="AT982" s="50" t="n">
        <f aca="false">ROUNDUP(MAX(J982/IF(CD982&gt;0,CD982,MAX(0.1,N(Cockpit!$I$6))),CG982)/BV982,0)*BV982</f>
        <v>196</v>
      </c>
      <c r="AU982" s="51" t="n">
        <f aca="false">IF(AR982&gt;0,J982/AR982,-1)</f>
        <v>3.52258064516129</v>
      </c>
      <c r="AV982" s="51" t="n">
        <f aca="false">IF(AND(OR(CC982="L1",CC982="L23",CC982="LIFT"),AR982&gt;0),SUMIFS($AR$7:$AR$1843,$CC$7:$CC$1843,CC982,$AU$7:$AU$1843,"&gt;"&amp;AU982)+SUMIFS($AR$7:$AR$1843,$CC$7:$CC$1843,CC982,$AU$7:$AU$1843,AU982,$BT$7:$BT$1843,"&lt;="&amp;BT982),"")</f>
        <v>5993.26098901099</v>
      </c>
      <c r="AW982" s="58" t="n">
        <f aca="false">IF(AV982="",0,MAX(0,MIN(1,(IF(CC982="L1",Parameter!$H$5,IF(CC982="L23",Parameter!$H$6+Parameter!$H$7,Parameter!$H$5+Parameter!$H$6+Parameter!$H$7))-(AV982-AR982))/AR982)))</f>
        <v>1</v>
      </c>
      <c r="AX982" s="50" t="n">
        <f aca="false">IF(LEFT(Cockpit!$O$5,1)="A",H982,IF(CE982=1,CF982,IF(LEFT(Cockpit!$O$5,1)="B",BC982,MAX(BC982,H982))))</f>
        <v>197</v>
      </c>
      <c r="AY982" s="50" t="n">
        <f aca="false">IF(BW982=1,0,ROUNDUP(AX982/BV982,0))</f>
        <v>2</v>
      </c>
      <c r="AZ982" s="52" t="n">
        <f aca="false">IF(CL982&gt;0,CL982*MAX(1,AX982/X982),IF(BW982=1,IF(AX982&lt;=0,0,CA982*MAX(1,IF(H982&gt;0,AX982/H982,1))),IF(R982&gt;0,AY982/R982,0))/MAX(0.1,N(Parameter!$M$21)))</f>
        <v>0.0769230769230769</v>
      </c>
      <c r="BA982" s="50" t="n">
        <f aca="false">AZ982*BY982</f>
        <v>11.9230769230769</v>
      </c>
      <c r="BB982" s="50" t="n">
        <f aca="false">AX982*G982</f>
        <v>303.38</v>
      </c>
      <c r="BC982" s="50" t="n">
        <f aca="false">ROUNDUP(MAX(J982/IF(CD982&gt;0,CD982,MAX(0.1,N(Cockpit!$O$6))),CG982)/BV982,0)*BV982</f>
        <v>196</v>
      </c>
      <c r="BD982" s="51" t="n">
        <f aca="false">IF(BA982&gt;0,J982/BA982,-1)</f>
        <v>3.52258064516129</v>
      </c>
      <c r="BE982" s="51" t="n">
        <f aca="false">IF(AND(OR(CC982="L1",CC982="L23",CC982="LIFT"),BA982&gt;0),SUMIFS($BA$7:$BA$1843,$CC$7:$CC$1843,CC982,$BD$7:$BD$1843,"&gt;"&amp;BD982)+SUMIFS($BA$7:$BA$1843,$CC$7:$CC$1843,CC982,$BD$7:$BD$1843,BD982,$BT$7:$BT$1843,"&lt;="&amp;BT982),"")</f>
        <v>5894.84752747253</v>
      </c>
      <c r="BF982" s="58" t="n">
        <f aca="false">IF(BE982="",0,MAX(0,MIN(1,(IF(CC982="L1",Parameter!$H$5,IF(CC982="L23",Parameter!$H$6+Parameter!$H$7,Parameter!$H$5+Parameter!$H$6+Parameter!$H$7))-(BE982-BA982))/BA982)))</f>
        <v>1</v>
      </c>
      <c r="BG982" s="48" t="str">
        <f aca="false">IF(AI982&lt;=0,"",IF(CC982="Aussen","Aussenlager",IF(CC982="-","Nicht im Lift",IF(AN982&gt;=1,"Lift",IF(AN982&lt;=0,"Aussenlager","teilweise")))))</f>
        <v>Lift</v>
      </c>
      <c r="BH982" s="48" t="str">
        <f aca="false">IF(AR982&lt;=0,"",IF(CC982="Aussen","Aussenlager",IF(CC982="-","Nicht im Lift",IF(AW982&gt;=1,"Lift",IF(AW982&lt;=0,"Aussenlager","teilweise")))))</f>
        <v>Lift</v>
      </c>
      <c r="BI982" s="48" t="str">
        <f aca="false">IF(BA982&lt;=0,"",IF(CC982="Aussen","Aussenlager",IF(CC982="-","Nicht im Lift",IF(BF982&gt;=1,"Lift",IF(BF982&lt;=0,"Aussenlager","teilweise")))))</f>
        <v>Lift</v>
      </c>
      <c r="BJ982" s="48" t="str">
        <f aca="false">IF(A982="","",IF(BS982=1,"Neu; ","")&amp;IF(AND(BS982=0,BN982&lt;0),"negativer Bestand (Export "&amp;BN982&amp;"); ","")&amp;IF(J982&lt;=0,"Kein Verbrauch; ","")&amp;IF(CL982&gt;0,"Lift "&amp;W982&amp;" lt. Liftbericht (Fach "&amp;X982&amp;" Stk); ",IF(BX982=1,"Gebinde geschätzt ("&amp;T982&amp;"); ",IF(BW982=1,"Lose – Tablare geschätzt; ","")))&amp;IF(H982&gt;AT982,"Überbestand "&amp;ROUND(H982-AT982,0)&amp;" Stk / CHF "&amp;ROUND((H982-AT982)*G982,0)&amp;"; ","")&amp;IF(AND(CE982=1,CF982&lt;CG982),"MAX &lt; MB+LG; ","")&amp;IF(AND(CK982&gt;0,CJ982*10&gt;CK982),"zu hoch für Tablar; ","")&amp;IF(AND(BS982=0,OR(CE982=1,AA982&lt;&gt;"",U982&lt;&gt;"",V982&lt;&gt;"",AB982&lt;&gt;"")),"manuell übersteuert; ","")&amp;IF(AND(BW982=0,R982=0),"Gebinde unbekannt / Stellmass fehlt; ","")&amp;IF(AND(BW982=0,N(V982)&lt;=0,N(Q982)&lt;=0),"Menge pro Gebinde fehlt (Ist = 1 Gebinde); ","")&amp;BR982)</f>
        <v>negativer Bestand (Export -50); Überbestand 1 Stk / CHF 2; </v>
      </c>
      <c r="BK982" s="48"/>
      <c r="BL982" s="48"/>
      <c r="BM982" s="55"/>
      <c r="BN982" s="50" t="n">
        <v>-50</v>
      </c>
      <c r="BO982" s="50" t="n">
        <v>247</v>
      </c>
      <c r="BP982" s="49" t="n">
        <v>-77</v>
      </c>
      <c r="BQ982" s="50" t="n">
        <v>42</v>
      </c>
      <c r="BR982" s="48"/>
      <c r="BS982" s="53" t="n">
        <v>0</v>
      </c>
      <c r="BT982" s="53" t="n">
        <v>982</v>
      </c>
      <c r="BU982" s="48" t="str">
        <f aca="false">IF(U982&lt;&gt;"",UPPER(TRIM(U982)),IF(BX982=1,UPPER(VLOOKUP(T982,Parameter!$I$27:$K$29,2,0)),IF(P982="","LOSE",P982)))</f>
        <v>S51</v>
      </c>
      <c r="BV982" s="50" t="n">
        <f aca="false">IF(BU982="LOSE",1,IF(N(V982)&gt;0,V982,IF(BX982=1,MAX(1,N(VLOOKUP(T982,Parameter!$I$27:$K$29,3,0)),H982,N(N982)),IF(N(Q982)&gt;0,Q982,MAX(1,H982)))))</f>
        <v>196</v>
      </c>
      <c r="BW982" s="53" t="n">
        <f aca="false">IF(BU982="LOSE",1,0)</f>
        <v>0</v>
      </c>
      <c r="BX982" s="53" t="n">
        <f aca="false">IF(AND(U982="",OR(P982="",P982="LOSE"),T982&lt;&gt;"",N(S982)&lt;=0,ISNUMBER(MATCH(T982,Parameter!$I$27:$I$29,0))),1,0)</f>
        <v>0</v>
      </c>
      <c r="BY982" s="53" t="n">
        <f aca="false">IF(CL982&gt;0,INDEX(Parameter!$H$5:$H$7,W982)/INDEX(Parameter!$E$5:$E$7,W982),IF(AND(BW982=0,N(IFERROR(VLOOKUP(BU982,'Gebinde-Kategorie'!$A$5:$N$45,14,0),0))&gt;0),VLOOKUP(BU982,'Gebinde-Kategorie'!$A$5:$N$45,14,0)*10+Parameter!$M$23,Parameter!$M$24))</f>
        <v>155</v>
      </c>
      <c r="BZ982" s="48" t="str">
        <f aca="false">IF(AND(Parameter!$B$19="Ja",E982&lt;&gt;"",ISNUMBER(MATCH(E982,Parameter!$I$35:$I$52,0))),VLOOKUP(E982,Parameter!$I$35:$J$52,2,0),IFERROR(VLOOKUP(D982,Parameter!$A$35:$C$64,2,0),"Nein"))</f>
        <v>2+3</v>
      </c>
      <c r="CA982" s="52" t="n">
        <f aca="false">IF(BW982=0,0,IF(N(S982)&gt;0,S982,IFERROR(VLOOKUP(D982,Parameter!$A$35:$C$64,3,0)+0,0)))</f>
        <v>0</v>
      </c>
      <c r="CB982" s="48" t="n">
        <f aca="false">IF(AA982&lt;&gt;"",AA982,Z982)</f>
        <v>3</v>
      </c>
      <c r="CC982" s="48" t="str">
        <f aca="false">IF(OR(CB982=1,CB982=2,CB982=3),IF(Parameter!$E$27="Ja","LIFT",IF(CB982=1,"L1","L23")),IF(CB982="Aussen","Aussen","-"))</f>
        <v>LIFT</v>
      </c>
      <c r="CD982" s="59" t="n">
        <f aca="false">IF(N(AB982)&gt;0,AB982,0)</f>
        <v>0</v>
      </c>
      <c r="CE982" s="53" t="n">
        <f aca="false">IF(ISNUMBER(AE982),1,0)</f>
        <v>0</v>
      </c>
      <c r="CF982" s="50" t="n">
        <f aca="false">N(AE982)</f>
        <v>0</v>
      </c>
      <c r="CG982" s="50" t="n">
        <f aca="false">N(M982)+N(N982)</f>
        <v>43</v>
      </c>
      <c r="CH982" s="50" t="n">
        <f aca="false">ROUNDUP(H982/BV982,0)</f>
        <v>2</v>
      </c>
      <c r="CI982" s="50" t="n">
        <f aca="false">ROUNDUP(CF982/BV982,0)</f>
        <v>0</v>
      </c>
      <c r="CJ982" s="53" t="n">
        <f aca="false">IF(BW982=1,0,IFERROR(VLOOKUP(BU982,'Gebinde-Kategorie'!$A$5:$N$45,5,0)+0,0))</f>
        <v>11</v>
      </c>
      <c r="CK982" s="53" t="n">
        <f aca="false">IFERROR(IF(OR(CB982=1,CB982=2,CB982=3),N(INDEX(Parameter!$I$5:$I$7,CB982)),0),0)</f>
        <v>0</v>
      </c>
      <c r="CL982" s="52" t="n">
        <f aca="false">IF(AND(Parameter!$B$21="Ja",ISNUMBER(W982),N(X982)&gt;0),IFERROR(N(INDEX(Parameter!$L$5:$L$7,W982))*INDEX(Parameter!$E$5:$E$7,W982)*X982/SUMIFS($X$7:$X$1843,$W$7:$W$1843,W982),0),0)</f>
        <v>0</v>
      </c>
    </row>
    <row r="983" customFormat="false" ht="15" hidden="false" customHeight="false" outlineLevel="0" collapsed="false">
      <c r="A983" s="48" t="s">
        <v>1822</v>
      </c>
      <c r="B983" s="48" t="s">
        <v>593</v>
      </c>
      <c r="C983" s="48" t="s">
        <v>168</v>
      </c>
      <c r="D983" s="48" t="s">
        <v>188</v>
      </c>
      <c r="E983" s="48" t="s">
        <v>189</v>
      </c>
      <c r="F983" s="48" t="s">
        <v>222</v>
      </c>
      <c r="G983" s="49" t="n">
        <v>1.66</v>
      </c>
      <c r="H983" s="50" t="n">
        <f aca="false">MAX(0,IF(AND(Parameter!$B$21="Ja",ISNUMBER(Y983)),Y983,IF(Parameter!$B$20="Jahresanfang 2025 + Export",BO983+BN983,BN983)))</f>
        <v>158</v>
      </c>
      <c r="I983" s="50" t="n">
        <f aca="false">H983*G983</f>
        <v>262.28</v>
      </c>
      <c r="J983" s="50" t="n">
        <f aca="false">BQ983*Parameter!$B$18</f>
        <v>310</v>
      </c>
      <c r="K983" s="51" t="n">
        <v>148</v>
      </c>
      <c r="L983" s="52" t="n">
        <v>2.0945945945946</v>
      </c>
      <c r="M983" s="50" t="n">
        <v>12</v>
      </c>
      <c r="N983" s="50" t="n">
        <v>310</v>
      </c>
      <c r="O983" s="53" t="n">
        <v>14</v>
      </c>
      <c r="P983" s="48" t="s">
        <v>405</v>
      </c>
      <c r="Q983" s="50" t="n">
        <v>74</v>
      </c>
      <c r="R983" s="53" t="n">
        <f aca="false">IF(BW983=1,0,IFERROR(VLOOKUP(BU983,'Gebinde-Kategorie'!$A$5:$N$45,13,0)+0,0))</f>
        <v>280</v>
      </c>
      <c r="S983" s="54"/>
      <c r="T983" s="55"/>
      <c r="U983" s="55"/>
      <c r="V983" s="55"/>
      <c r="W983" s="48"/>
      <c r="X983" s="50"/>
      <c r="Y983" s="50"/>
      <c r="Z983" s="48" t="n">
        <f aca="false">IF(A983="","",IF(AND(Parameter!$B$21="Ja",ISNUMBER(W983)),W983,IF(BZ983="2+3",IF(ISNUMBER(SEARCH("grosser Artikel",BR983)),2,IFERROR(VLOOKUP(BU983,Parameter!$F$35:$G$64,2,0),2)),IF(OR(BZ983="Nein",BZ983=""),"-",BZ983))))</f>
        <v>3</v>
      </c>
      <c r="AA983" s="55"/>
      <c r="AB983" s="56"/>
      <c r="AC983" s="50" t="n">
        <f aca="false">AT983</f>
        <v>370</v>
      </c>
      <c r="AD983" s="50" t="n">
        <f aca="false">MAX(AT983,H983)</f>
        <v>370</v>
      </c>
      <c r="AE983" s="57"/>
      <c r="AF983" s="50" t="n">
        <f aca="false">IF(LEFT(Cockpit!$C$5,1)="A",H983,IF(CE983=1,CF983,IF(LEFT(Cockpit!$C$5,1)="B",AK983,MAX(AK983,H983))))</f>
        <v>158</v>
      </c>
      <c r="AG983" s="50" t="n">
        <f aca="false">IF(BW983=1,0,ROUNDUP(AF983/BV983,0))</f>
        <v>3</v>
      </c>
      <c r="AH983" s="52" t="n">
        <f aca="false">IF(CL983&gt;0,CL983*MAX(1,AF983/X983),IF(BW983=1,IF(AF983&lt;=0,0,CA983*MAX(1,IF(H983&gt;0,AF983/H983,1))),IF(R983&gt;0,AG983/R983,0))/MAX(0.1,N(Parameter!$M$21)))</f>
        <v>0.0107142857142857</v>
      </c>
      <c r="AI983" s="50" t="n">
        <f aca="false">AH983*BY983</f>
        <v>1.66071428571429</v>
      </c>
      <c r="AJ983" s="50" t="n">
        <f aca="false">AF983*G983</f>
        <v>262.28</v>
      </c>
      <c r="AK983" s="50" t="n">
        <f aca="false">ROUNDUP(MAX(J983/IF(CD983&gt;0,CD983,MAX(0.1,N(Cockpit!$C$6))),CG983)/BV983,0)*BV983</f>
        <v>370</v>
      </c>
      <c r="AL983" s="51" t="n">
        <f aca="false">IF(AI983&gt;0,J983/AI983,-1)</f>
        <v>186.666666666667</v>
      </c>
      <c r="AM983" s="51" t="n">
        <f aca="false">IF(AND(OR(CC983="L1",CC983="L23",CC983="LIFT"),AI983&gt;0),SUMIFS($AI$7:$AI$1843,$CC$7:$CC$1843,CC983,$AL$7:$AL$1843,"&gt;"&amp;AL983)+SUMIFS($AI$7:$AI$1843,$CC$7:$CC$1843,CC983,$AL$7:$AL$1843,AL983,$BT$7:$BT$1843,"&lt;="&amp;BT983),"")</f>
        <v>381.217490842491</v>
      </c>
      <c r="AN983" s="58" t="n">
        <f aca="false">IF(AM983="",0,MAX(0,MIN(1,(IF(CC983="L1",Parameter!$H$5,IF(CC983="L23",Parameter!$H$6+Parameter!$H$7,Parameter!$H$5+Parameter!$H$6+Parameter!$H$7))-(AM983-AI983))/AI983)))</f>
        <v>1</v>
      </c>
      <c r="AO983" s="50" t="n">
        <f aca="false">IF(LEFT(Cockpit!$I$5,1)="A",H983,IF(CE983=1,CF983,IF(LEFT(Cockpit!$I$5,1)="B",AT983,MAX(AT983,H983))))</f>
        <v>370</v>
      </c>
      <c r="AP983" s="50" t="n">
        <f aca="false">IF(BW983=1,0,ROUNDUP(AO983/BV983,0))</f>
        <v>5</v>
      </c>
      <c r="AQ983" s="52" t="n">
        <f aca="false">IF(CL983&gt;0,CL983*MAX(1,AO983/X983),IF(BW983=1,IF(AO983&lt;=0,0,CA983*MAX(1,IF(H983&gt;0,AO983/H983,1))),IF(R983&gt;0,AP983/R983,0))/MAX(0.1,N(Parameter!$M$21)))</f>
        <v>0.0178571428571429</v>
      </c>
      <c r="AR983" s="50" t="n">
        <f aca="false">AQ983*BY983</f>
        <v>2.76785714285714</v>
      </c>
      <c r="AS983" s="50" t="n">
        <f aca="false">AO983*G983</f>
        <v>614.2</v>
      </c>
      <c r="AT983" s="50" t="n">
        <f aca="false">ROUNDUP(MAX(J983/IF(CD983&gt;0,CD983,MAX(0.1,N(Cockpit!$I$6))),CG983)/BV983,0)*BV983</f>
        <v>370</v>
      </c>
      <c r="AU983" s="51" t="n">
        <f aca="false">IF(AR983&gt;0,J983/AR983,-1)</f>
        <v>112</v>
      </c>
      <c r="AV983" s="51" t="n">
        <f aca="false">IF(AND(OR(CC983="L1",CC983="L23",CC983="LIFT"),AR983&gt;0),SUMIFS($AR$7:$AR$1843,$CC$7:$CC$1843,CC983,$AU$7:$AU$1843,"&gt;"&amp;AU983)+SUMIFS($AR$7:$AR$1843,$CC$7:$CC$1843,CC983,$AU$7:$AU$1843,AU983,$BT$7:$BT$1843,"&lt;="&amp;BT983),"")</f>
        <v>854.435897435898</v>
      </c>
      <c r="AW983" s="58" t="n">
        <f aca="false">IF(AV983="",0,MAX(0,MIN(1,(IF(CC983="L1",Parameter!$H$5,IF(CC983="L23",Parameter!$H$6+Parameter!$H$7,Parameter!$H$5+Parameter!$H$6+Parameter!$H$7))-(AV983-AR983))/AR983)))</f>
        <v>1</v>
      </c>
      <c r="AX983" s="50" t="n">
        <f aca="false">IF(LEFT(Cockpit!$O$5,1)="A",H983,IF(CE983=1,CF983,IF(LEFT(Cockpit!$O$5,1)="B",BC983,MAX(BC983,H983))))</f>
        <v>370</v>
      </c>
      <c r="AY983" s="50" t="n">
        <f aca="false">IF(BW983=1,0,ROUNDUP(AX983/BV983,0))</f>
        <v>5</v>
      </c>
      <c r="AZ983" s="52" t="n">
        <f aca="false">IF(CL983&gt;0,CL983*MAX(1,AX983/X983),IF(BW983=1,IF(AX983&lt;=0,0,CA983*MAX(1,IF(H983&gt;0,AX983/H983,1))),IF(R983&gt;0,AY983/R983,0))/MAX(0.1,N(Parameter!$M$21)))</f>
        <v>0.0178571428571429</v>
      </c>
      <c r="BA983" s="50" t="n">
        <f aca="false">AZ983*BY983</f>
        <v>2.76785714285714</v>
      </c>
      <c r="BB983" s="50" t="n">
        <f aca="false">AX983*G983</f>
        <v>614.2</v>
      </c>
      <c r="BC983" s="50" t="n">
        <f aca="false">ROUNDUP(MAX(J983/IF(CD983&gt;0,CD983,MAX(0.1,N(Cockpit!$O$6))),CG983)/BV983,0)*BV983</f>
        <v>370</v>
      </c>
      <c r="BD983" s="51" t="n">
        <f aca="false">IF(BA983&gt;0,J983/BA983,-1)</f>
        <v>112</v>
      </c>
      <c r="BE983" s="51" t="n">
        <f aca="false">IF(AND(OR(CC983="L1",CC983="L23",CC983="LIFT"),BA983&gt;0),SUMIFS($BA$7:$BA$1843,$CC$7:$CC$1843,CC983,$BD$7:$BD$1843,"&gt;"&amp;BD983)+SUMIFS($BA$7:$BA$1843,$CC$7:$CC$1843,CC983,$BD$7:$BD$1843,BD983,$BT$7:$BT$1843,"&lt;="&amp;BT983),"")</f>
        <v>804.836538461539</v>
      </c>
      <c r="BF983" s="58" t="n">
        <f aca="false">IF(BE983="",0,MAX(0,MIN(1,(IF(CC983="L1",Parameter!$H$5,IF(CC983="L23",Parameter!$H$6+Parameter!$H$7,Parameter!$H$5+Parameter!$H$6+Parameter!$H$7))-(BE983-BA983))/BA983)))</f>
        <v>1</v>
      </c>
      <c r="BG983" s="48" t="str">
        <f aca="false">IF(AI983&lt;=0,"",IF(CC983="Aussen","Aussenlager",IF(CC983="-","Nicht im Lift",IF(AN983&gt;=1,"Lift",IF(AN983&lt;=0,"Aussenlager","teilweise")))))</f>
        <v>Lift</v>
      </c>
      <c r="BH983" s="48" t="str">
        <f aca="false">IF(AR983&lt;=0,"",IF(CC983="Aussen","Aussenlager",IF(CC983="-","Nicht im Lift",IF(AW983&gt;=1,"Lift",IF(AW983&lt;=0,"Aussenlager","teilweise")))))</f>
        <v>Lift</v>
      </c>
      <c r="BI983" s="48" t="str">
        <f aca="false">IF(BA983&lt;=0,"",IF(CC983="Aussen","Aussenlager",IF(CC983="-","Nicht im Lift",IF(BF983&gt;=1,"Lift",IF(BF983&lt;=0,"Aussenlager","teilweise")))))</f>
        <v>Lift</v>
      </c>
      <c r="BJ983" s="48" t="str">
        <f aca="false">IF(A983="","",IF(BS983=1,"Neu; ","")&amp;IF(AND(BS983=0,BN983&lt;0),"negativer Bestand (Export "&amp;BN983&amp;"); ","")&amp;IF(J983&lt;=0,"Kein Verbrauch; ","")&amp;IF(CL983&gt;0,"Lift "&amp;W983&amp;" lt. Liftbericht (Fach "&amp;X983&amp;" Stk); ",IF(BX983=1,"Gebinde geschätzt ("&amp;T983&amp;"); ",IF(BW983=1,"Lose – Tablare geschätzt; ","")))&amp;IF(H983&gt;AT983,"Überbestand "&amp;ROUND(H983-AT983,0)&amp;" Stk / CHF "&amp;ROUND((H983-AT983)*G983,0)&amp;"; ","")&amp;IF(AND(CE983=1,CF983&lt;CG983),"MAX &lt; MB+LG; ","")&amp;IF(AND(CK983&gt;0,CJ983*10&gt;CK983),"zu hoch für Tablar; ","")&amp;IF(AND(BS983=0,OR(CE983=1,AA983&lt;&gt;"",U983&lt;&gt;"",V983&lt;&gt;"",AB983&lt;&gt;"")),"manuell übersteuert; ","")&amp;IF(AND(BW983=0,R983=0),"Gebinde unbekannt / Stellmass fehlt; ","")&amp;IF(AND(BW983=0,N(V983)&lt;=0,N(Q983)&lt;=0),"Menge pro Gebinde fehlt (Ist = 1 Gebinde); ","")&amp;BR983)</f>
        <v>negativer Bestand (Export -44); </v>
      </c>
      <c r="BK983" s="48"/>
      <c r="BL983" s="48"/>
      <c r="BM983" s="55"/>
      <c r="BN983" s="50" t="n">
        <v>-44</v>
      </c>
      <c r="BO983" s="50" t="n">
        <v>202</v>
      </c>
      <c r="BP983" s="49" t="n">
        <v>-77.0799999999999</v>
      </c>
      <c r="BQ983" s="50" t="n">
        <v>310</v>
      </c>
      <c r="BR983" s="48"/>
      <c r="BS983" s="53" t="n">
        <v>0</v>
      </c>
      <c r="BT983" s="53" t="n">
        <v>983</v>
      </c>
      <c r="BU983" s="48" t="str">
        <f aca="false">IF(U983&lt;&gt;"",UPPER(TRIM(U983)),IF(BX983=1,UPPER(VLOOKUP(T983,Parameter!$I$27:$K$29,2,0)),IF(P983="","LOSE",P983)))</f>
        <v>S21</v>
      </c>
      <c r="BV983" s="50" t="n">
        <f aca="false">IF(BU983="LOSE",1,IF(N(V983)&gt;0,V983,IF(BX983=1,MAX(1,N(VLOOKUP(T983,Parameter!$I$27:$K$29,3,0)),H983,N(N983)),IF(N(Q983)&gt;0,Q983,MAX(1,H983)))))</f>
        <v>74</v>
      </c>
      <c r="BW983" s="53" t="n">
        <f aca="false">IF(BU983="LOSE",1,0)</f>
        <v>0</v>
      </c>
      <c r="BX983" s="53" t="n">
        <f aca="false">IF(AND(U983="",OR(P983="",P983="LOSE"),T983&lt;&gt;"",N(S983)&lt;=0,ISNUMBER(MATCH(T983,Parameter!$I$27:$I$29,0))),1,0)</f>
        <v>0</v>
      </c>
      <c r="BY983" s="53" t="n">
        <f aca="false">IF(CL983&gt;0,INDEX(Parameter!$H$5:$H$7,W983)/INDEX(Parameter!$E$5:$E$7,W983),IF(AND(BW983=0,N(IFERROR(VLOOKUP(BU983,'Gebinde-Kategorie'!$A$5:$N$45,14,0),0))&gt;0),VLOOKUP(BU983,'Gebinde-Kategorie'!$A$5:$N$45,14,0)*10+Parameter!$M$23,Parameter!$M$24))</f>
        <v>155</v>
      </c>
      <c r="BZ983" s="48" t="str">
        <f aca="false">IF(AND(Parameter!$B$19="Ja",E983&lt;&gt;"",ISNUMBER(MATCH(E983,Parameter!$I$35:$I$52,0))),VLOOKUP(E983,Parameter!$I$35:$J$52,2,0),IFERROR(VLOOKUP(D983,Parameter!$A$35:$C$64,2,0),"Nein"))</f>
        <v>2+3</v>
      </c>
      <c r="CA983" s="52" t="n">
        <f aca="false">IF(BW983=0,0,IF(N(S983)&gt;0,S983,IFERROR(VLOOKUP(D983,Parameter!$A$35:$C$64,3,0)+0,0)))</f>
        <v>0</v>
      </c>
      <c r="CB983" s="48" t="n">
        <f aca="false">IF(AA983&lt;&gt;"",AA983,Z983)</f>
        <v>3</v>
      </c>
      <c r="CC983" s="48" t="str">
        <f aca="false">IF(OR(CB983=1,CB983=2,CB983=3),IF(Parameter!$E$27="Ja","LIFT",IF(CB983=1,"L1","L23")),IF(CB983="Aussen","Aussen","-"))</f>
        <v>LIFT</v>
      </c>
      <c r="CD983" s="59" t="n">
        <f aca="false">IF(N(AB983)&gt;0,AB983,0)</f>
        <v>0</v>
      </c>
      <c r="CE983" s="53" t="n">
        <f aca="false">IF(ISNUMBER(AE983),1,0)</f>
        <v>0</v>
      </c>
      <c r="CF983" s="50" t="n">
        <f aca="false">N(AE983)</f>
        <v>0</v>
      </c>
      <c r="CG983" s="50" t="n">
        <f aca="false">N(M983)+N(N983)</f>
        <v>322</v>
      </c>
      <c r="CH983" s="50" t="n">
        <f aca="false">ROUNDUP(H983/BV983,0)</f>
        <v>3</v>
      </c>
      <c r="CI983" s="50" t="n">
        <f aca="false">ROUNDUP(CF983/BV983,0)</f>
        <v>0</v>
      </c>
      <c r="CJ983" s="53" t="n">
        <f aca="false">IF(BW983=1,0,IFERROR(VLOOKUP(BU983,'Gebinde-Kategorie'!$A$5:$N$45,5,0)+0,0))</f>
        <v>8</v>
      </c>
      <c r="CK983" s="53" t="n">
        <f aca="false">IFERROR(IF(OR(CB983=1,CB983=2,CB983=3),N(INDEX(Parameter!$I$5:$I$7,CB983)),0),0)</f>
        <v>0</v>
      </c>
      <c r="CL983" s="52" t="n">
        <f aca="false">IF(AND(Parameter!$B$21="Ja",ISNUMBER(W983),N(X983)&gt;0),IFERROR(N(INDEX(Parameter!$L$5:$L$7,W983))*INDEX(Parameter!$E$5:$E$7,W983)*X983/SUMIFS($X$7:$X$1843,$W$7:$W$1843,W983),0),0)</f>
        <v>0</v>
      </c>
    </row>
    <row r="984" customFormat="false" ht="15" hidden="false" customHeight="false" outlineLevel="0" collapsed="false">
      <c r="A984" s="48" t="s">
        <v>1823</v>
      </c>
      <c r="B984" s="48" t="s">
        <v>1824</v>
      </c>
      <c r="C984" s="48" t="s">
        <v>168</v>
      </c>
      <c r="D984" s="48" t="s">
        <v>188</v>
      </c>
      <c r="E984" s="48" t="s">
        <v>189</v>
      </c>
      <c r="F984" s="48" t="s">
        <v>222</v>
      </c>
      <c r="G984" s="49" t="n">
        <v>25.86</v>
      </c>
      <c r="H984" s="50" t="n">
        <f aca="false">MAX(0,IF(AND(Parameter!$B$21="Ja",ISNUMBER(Y984)),Y984,IF(Parameter!$B$20="Jahresanfang 2025 + Export",BO984+BN984,BN984)))</f>
        <v>59</v>
      </c>
      <c r="I984" s="50" t="n">
        <f aca="false">H984*G984</f>
        <v>1525.74</v>
      </c>
      <c r="J984" s="50" t="n">
        <f aca="false">BQ984*Parameter!$B$18</f>
        <v>0</v>
      </c>
      <c r="K984" s="51" t="n">
        <v>62</v>
      </c>
      <c r="L984" s="52" t="n">
        <v>0</v>
      </c>
      <c r="M984" s="50" t="n">
        <v>0</v>
      </c>
      <c r="N984" s="50" t="n">
        <v>1</v>
      </c>
      <c r="O984" s="53" t="n">
        <v>14</v>
      </c>
      <c r="P984" s="48" t="s">
        <v>425</v>
      </c>
      <c r="Q984" s="50" t="n">
        <v>78</v>
      </c>
      <c r="R984" s="53" t="n">
        <f aca="false">IF(BW984=1,0,IFERROR(VLOOKUP(BU984,'Gebinde-Kategorie'!$A$5:$N$45,13,0)+0,0))</f>
        <v>104</v>
      </c>
      <c r="S984" s="54"/>
      <c r="T984" s="55"/>
      <c r="U984" s="55"/>
      <c r="V984" s="55"/>
      <c r="W984" s="48"/>
      <c r="X984" s="50"/>
      <c r="Y984" s="50"/>
      <c r="Z984" s="48" t="n">
        <f aca="false">IF(A984="","",IF(AND(Parameter!$B$21="Ja",ISNUMBER(W984)),W984,IF(BZ984="2+3",IF(ISNUMBER(SEARCH("grosser Artikel",BR984)),2,IFERROR(VLOOKUP(BU984,Parameter!$F$35:$G$64,2,0),2)),IF(OR(BZ984="Nein",BZ984=""),"-",BZ984))))</f>
        <v>3</v>
      </c>
      <c r="AA984" s="55"/>
      <c r="AB984" s="56"/>
      <c r="AC984" s="50" t="n">
        <f aca="false">AT984</f>
        <v>78</v>
      </c>
      <c r="AD984" s="50" t="n">
        <f aca="false">MAX(AT984,H984)</f>
        <v>78</v>
      </c>
      <c r="AE984" s="57"/>
      <c r="AF984" s="50" t="n">
        <f aca="false">IF(LEFT(Cockpit!$C$5,1)="A",H984,IF(CE984=1,CF984,IF(LEFT(Cockpit!$C$5,1)="B",AK984,MAX(AK984,H984))))</f>
        <v>59</v>
      </c>
      <c r="AG984" s="50" t="n">
        <f aca="false">IF(BW984=1,0,ROUNDUP(AF984/BV984,0))</f>
        <v>1</v>
      </c>
      <c r="AH984" s="52" t="n">
        <f aca="false">IF(CL984&gt;0,CL984*MAX(1,AF984/X984),IF(BW984=1,IF(AF984&lt;=0,0,CA984*MAX(1,IF(H984&gt;0,AF984/H984,1))),IF(R984&gt;0,AG984/R984,0))/MAX(0.1,N(Parameter!$M$21)))</f>
        <v>0.00961538461538462</v>
      </c>
      <c r="AI984" s="50" t="n">
        <f aca="false">AH984*BY984</f>
        <v>1.49038461538462</v>
      </c>
      <c r="AJ984" s="50" t="n">
        <f aca="false">AF984*G984</f>
        <v>1525.74</v>
      </c>
      <c r="AK984" s="50" t="n">
        <f aca="false">ROUNDUP(MAX(J984/IF(CD984&gt;0,CD984,MAX(0.1,N(Cockpit!$C$6))),CG984)/BV984,0)*BV984</f>
        <v>78</v>
      </c>
      <c r="AL984" s="51" t="n">
        <f aca="false">IF(AI984&gt;0,J984/AI984,-1)</f>
        <v>0</v>
      </c>
      <c r="AM984" s="51" t="n">
        <f aca="false">IF(AND(OR(CC984="L1",CC984="L23",CC984="LIFT"),AI984&gt;0),SUMIFS($AI$7:$AI$1843,$CC$7:$CC$1843,CC984,$AL$7:$AL$1843,"&gt;"&amp;AL984)+SUMIFS($AI$7:$AI$1843,$CC$7:$CC$1843,CC984,$AL$7:$AL$1843,AL984,$BT$7:$BT$1843,"&lt;="&amp;BT984),"")</f>
        <v>28919.2043806006</v>
      </c>
      <c r="AN984" s="58" t="n">
        <f aca="false">IF(AM984="",0,MAX(0,MIN(1,(IF(CC984="L1",Parameter!$H$5,IF(CC984="L23",Parameter!$H$6+Parameter!$H$7,Parameter!$H$5+Parameter!$H$6+Parameter!$H$7))-(AM984-AI984))/AI984)))</f>
        <v>1</v>
      </c>
      <c r="AO984" s="50" t="n">
        <f aca="false">IF(LEFT(Cockpit!$I$5,1)="A",H984,IF(CE984=1,CF984,IF(LEFT(Cockpit!$I$5,1)="B",AT984,MAX(AT984,H984))))</f>
        <v>78</v>
      </c>
      <c r="AP984" s="50" t="n">
        <f aca="false">IF(BW984=1,0,ROUNDUP(AO984/BV984,0))</f>
        <v>1</v>
      </c>
      <c r="AQ984" s="52" t="n">
        <f aca="false">IF(CL984&gt;0,CL984*MAX(1,AO984/X984),IF(BW984=1,IF(AO984&lt;=0,0,CA984*MAX(1,IF(H984&gt;0,AO984/H984,1))),IF(R984&gt;0,AP984/R984,0))/MAX(0.1,N(Parameter!$M$21)))</f>
        <v>0.00961538461538462</v>
      </c>
      <c r="AR984" s="50" t="n">
        <f aca="false">AQ984*BY984</f>
        <v>1.49038461538462</v>
      </c>
      <c r="AS984" s="50" t="n">
        <f aca="false">AO984*G984</f>
        <v>2017.08</v>
      </c>
      <c r="AT984" s="50" t="n">
        <f aca="false">ROUNDUP(MAX(J984/IF(CD984&gt;0,CD984,MAX(0.1,N(Cockpit!$I$6))),CG984)/BV984,0)*BV984</f>
        <v>78</v>
      </c>
      <c r="AU984" s="51" t="n">
        <f aca="false">IF(AR984&gt;0,J984/AR984,-1)</f>
        <v>0</v>
      </c>
      <c r="AV984" s="51" t="n">
        <f aca="false">IF(AND(OR(CC984="L1",CC984="L23",CC984="LIFT"),AR984&gt;0),SUMIFS($AR$7:$AR$1843,$CC$7:$CC$1843,CC984,$AU$7:$AU$1843,"&gt;"&amp;AU984)+SUMIFS($AR$7:$AR$1843,$CC$7:$CC$1843,CC984,$AU$7:$AU$1843,AU984,$BT$7:$BT$1843,"&lt;="&amp;BT984),"")</f>
        <v>40559.3708868815</v>
      </c>
      <c r="AW984" s="58" t="n">
        <f aca="false">IF(AV984="",0,MAX(0,MIN(1,(IF(CC984="L1",Parameter!$H$5,IF(CC984="L23",Parameter!$H$6+Parameter!$H$7,Parameter!$H$5+Parameter!$H$6+Parameter!$H$7))-(AV984-AR984))/AR984)))</f>
        <v>0</v>
      </c>
      <c r="AX984" s="50" t="n">
        <f aca="false">IF(LEFT(Cockpit!$O$5,1)="A",H984,IF(CE984=1,CF984,IF(LEFT(Cockpit!$O$5,1)="B",BC984,MAX(BC984,H984))))</f>
        <v>78</v>
      </c>
      <c r="AY984" s="50" t="n">
        <f aca="false">IF(BW984=1,0,ROUNDUP(AX984/BV984,0))</f>
        <v>1</v>
      </c>
      <c r="AZ984" s="52" t="n">
        <f aca="false">IF(CL984&gt;0,CL984*MAX(1,AX984/X984),IF(BW984=1,IF(AX984&lt;=0,0,CA984*MAX(1,IF(H984&gt;0,AX984/H984,1))),IF(R984&gt;0,AY984/R984,0))/MAX(0.1,N(Parameter!$M$21)))</f>
        <v>0.00961538461538462</v>
      </c>
      <c r="BA984" s="50" t="n">
        <f aca="false">AZ984*BY984</f>
        <v>1.49038461538462</v>
      </c>
      <c r="BB984" s="50" t="n">
        <f aca="false">AX984*G984</f>
        <v>2017.08</v>
      </c>
      <c r="BC984" s="50" t="n">
        <f aca="false">ROUNDUP(MAX(J984/IF(CD984&gt;0,CD984,MAX(0.1,N(Cockpit!$O$6))),CG984)/BV984,0)*BV984</f>
        <v>78</v>
      </c>
      <c r="BD984" s="51" t="n">
        <f aca="false">IF(BA984&gt;0,J984/BA984,-1)</f>
        <v>0</v>
      </c>
      <c r="BE984" s="51" t="n">
        <f aca="false">IF(AND(OR(CC984="L1",CC984="L23",CC984="LIFT"),BA984&gt;0),SUMIFS($BA$7:$BA$1843,$CC$7:$CC$1843,CC984,$BD$7:$BD$1843,"&gt;"&amp;BD984)+SUMIFS($BA$7:$BA$1843,$CC$7:$CC$1843,CC984,$BD$7:$BD$1843,BD984,$BT$7:$BT$1843,"&lt;="&amp;BT984),"")</f>
        <v>37234.3829287473</v>
      </c>
      <c r="BF984" s="58" t="n">
        <f aca="false">IF(BE984="",0,MAX(0,MIN(1,(IF(CC984="L1",Parameter!$H$5,IF(CC984="L23",Parameter!$H$6+Parameter!$H$7,Parameter!$H$5+Parameter!$H$6+Parameter!$H$7))-(BE984-BA984))/BA984)))</f>
        <v>0</v>
      </c>
      <c r="BG984" s="48" t="str">
        <f aca="false">IF(AI984&lt;=0,"",IF(CC984="Aussen","Aussenlager",IF(CC984="-","Nicht im Lift",IF(AN984&gt;=1,"Lift",IF(AN984&lt;=0,"Aussenlager","teilweise")))))</f>
        <v>Lift</v>
      </c>
      <c r="BH984" s="48" t="str">
        <f aca="false">IF(AR984&lt;=0,"",IF(CC984="Aussen","Aussenlager",IF(CC984="-","Nicht im Lift",IF(AW984&gt;=1,"Lift",IF(AW984&lt;=0,"Aussenlager","teilweise")))))</f>
        <v>Aussenlager</v>
      </c>
      <c r="BI984" s="48" t="str">
        <f aca="false">IF(BA984&lt;=0,"",IF(CC984="Aussen","Aussenlager",IF(CC984="-","Nicht im Lift",IF(BF984&gt;=1,"Lift",IF(BF984&lt;=0,"Aussenlager","teilweise")))))</f>
        <v>Aussenlager</v>
      </c>
      <c r="BJ984" s="48" t="str">
        <f aca="false">IF(A984="","",IF(BS984=1,"Neu; ","")&amp;IF(AND(BS984=0,BN984&lt;0),"negativer Bestand (Export "&amp;BN984&amp;"); ","")&amp;IF(J984&lt;=0,"Kein Verbrauch; ","")&amp;IF(CL984&gt;0,"Lift "&amp;W984&amp;" lt. Liftbericht (Fach "&amp;X984&amp;" Stk); ",IF(BX984=1,"Gebinde geschätzt ("&amp;T984&amp;"); ",IF(BW984=1,"Lose – Tablare geschätzt; ","")))&amp;IF(H984&gt;AT984,"Überbestand "&amp;ROUND(H984-AT984,0)&amp;" Stk / CHF "&amp;ROUND((H984-AT984)*G984,0)&amp;"; ","")&amp;IF(AND(CE984=1,CF984&lt;CG984),"MAX &lt; MB+LG; ","")&amp;IF(AND(CK984&gt;0,CJ984*10&gt;CK984),"zu hoch für Tablar; ","")&amp;IF(AND(BS984=0,OR(CE984=1,AA984&lt;&gt;"",U984&lt;&gt;"",V984&lt;&gt;"",AB984&lt;&gt;"")),"manuell übersteuert; ","")&amp;IF(AND(BW984=0,R984=0),"Gebinde unbekannt / Stellmass fehlt; ","")&amp;IF(AND(BW984=0,N(V984)&lt;=0,N(Q984)&lt;=0),"Menge pro Gebinde fehlt (Ist = 1 Gebinde); ","")&amp;BR984)</f>
        <v>negativer Bestand (Export -3); Kein Verbrauch; </v>
      </c>
      <c r="BK984" s="48"/>
      <c r="BL984" s="48"/>
      <c r="BM984" s="55"/>
      <c r="BN984" s="50" t="n">
        <v>-3</v>
      </c>
      <c r="BO984" s="50" t="n">
        <v>62</v>
      </c>
      <c r="BP984" s="49" t="n">
        <v>-77.58</v>
      </c>
      <c r="BQ984" s="50" t="n">
        <v>0</v>
      </c>
      <c r="BR984" s="48"/>
      <c r="BS984" s="53" t="n">
        <v>0</v>
      </c>
      <c r="BT984" s="53" t="n">
        <v>984</v>
      </c>
      <c r="BU984" s="48" t="str">
        <f aca="false">IF(U984&lt;&gt;"",UPPER(TRIM(U984)),IF(BX984=1,UPPER(VLOOKUP(T984,Parameter!$I$27:$K$29,2,0)),IF(P984="","LOSE",P984)))</f>
        <v>S32</v>
      </c>
      <c r="BV984" s="50" t="n">
        <f aca="false">IF(BU984="LOSE",1,IF(N(V984)&gt;0,V984,IF(BX984=1,MAX(1,N(VLOOKUP(T984,Parameter!$I$27:$K$29,3,0)),H984,N(N984)),IF(N(Q984)&gt;0,Q984,MAX(1,H984)))))</f>
        <v>78</v>
      </c>
      <c r="BW984" s="53" t="n">
        <f aca="false">IF(BU984="LOSE",1,0)</f>
        <v>0</v>
      </c>
      <c r="BX984" s="53" t="n">
        <f aca="false">IF(AND(U984="",OR(P984="",P984="LOSE"),T984&lt;&gt;"",N(S984)&lt;=0,ISNUMBER(MATCH(T984,Parameter!$I$27:$I$29,0))),1,0)</f>
        <v>0</v>
      </c>
      <c r="BY984" s="53" t="n">
        <f aca="false">IF(CL984&gt;0,INDEX(Parameter!$H$5:$H$7,W984)/INDEX(Parameter!$E$5:$E$7,W984),IF(AND(BW984=0,N(IFERROR(VLOOKUP(BU984,'Gebinde-Kategorie'!$A$5:$N$45,14,0),0))&gt;0),VLOOKUP(BU984,'Gebinde-Kategorie'!$A$5:$N$45,14,0)*10+Parameter!$M$23,Parameter!$M$24))</f>
        <v>155</v>
      </c>
      <c r="BZ984" s="48" t="str">
        <f aca="false">IF(AND(Parameter!$B$19="Ja",E984&lt;&gt;"",ISNUMBER(MATCH(E984,Parameter!$I$35:$I$52,0))),VLOOKUP(E984,Parameter!$I$35:$J$52,2,0),IFERROR(VLOOKUP(D984,Parameter!$A$35:$C$64,2,0),"Nein"))</f>
        <v>2+3</v>
      </c>
      <c r="CA984" s="52" t="n">
        <f aca="false">IF(BW984=0,0,IF(N(S984)&gt;0,S984,IFERROR(VLOOKUP(D984,Parameter!$A$35:$C$64,3,0)+0,0)))</f>
        <v>0</v>
      </c>
      <c r="CB984" s="48" t="n">
        <f aca="false">IF(AA984&lt;&gt;"",AA984,Z984)</f>
        <v>3</v>
      </c>
      <c r="CC984" s="48" t="str">
        <f aca="false">IF(OR(CB984=1,CB984=2,CB984=3),IF(Parameter!$E$27="Ja","LIFT",IF(CB984=1,"L1","L23")),IF(CB984="Aussen","Aussen","-"))</f>
        <v>LIFT</v>
      </c>
      <c r="CD984" s="59" t="n">
        <f aca="false">IF(N(AB984)&gt;0,AB984,0)</f>
        <v>0</v>
      </c>
      <c r="CE984" s="53" t="n">
        <f aca="false">IF(ISNUMBER(AE984),1,0)</f>
        <v>0</v>
      </c>
      <c r="CF984" s="50" t="n">
        <f aca="false">N(AE984)</f>
        <v>0</v>
      </c>
      <c r="CG984" s="50" t="n">
        <f aca="false">N(M984)+N(N984)</f>
        <v>1</v>
      </c>
      <c r="CH984" s="50" t="n">
        <f aca="false">ROUNDUP(H984/BV984,0)</f>
        <v>1</v>
      </c>
      <c r="CI984" s="50" t="n">
        <f aca="false">ROUNDUP(CF984/BV984,0)</f>
        <v>0</v>
      </c>
      <c r="CJ984" s="53" t="n">
        <f aca="false">IF(BW984=1,0,IFERROR(VLOOKUP(BU984,'Gebinde-Kategorie'!$A$5:$N$45,5,0)+0,0))</f>
        <v>8</v>
      </c>
      <c r="CK984" s="53" t="n">
        <f aca="false">IFERROR(IF(OR(CB984=1,CB984=2,CB984=3),N(INDEX(Parameter!$I$5:$I$7,CB984)),0),0)</f>
        <v>0</v>
      </c>
      <c r="CL984" s="52" t="n">
        <f aca="false">IF(AND(Parameter!$B$21="Ja",ISNUMBER(W984),N(X984)&gt;0),IFERROR(N(INDEX(Parameter!$L$5:$L$7,W984))*INDEX(Parameter!$E$5:$E$7,W984)*X984/SUMIFS($X$7:$X$1843,$W$7:$W$1843,W984),0),0)</f>
        <v>0</v>
      </c>
    </row>
    <row r="985" customFormat="false" ht="15" hidden="false" customHeight="false" outlineLevel="0" collapsed="false">
      <c r="A985" s="48" t="s">
        <v>1825</v>
      </c>
      <c r="B985" s="48" t="s">
        <v>1826</v>
      </c>
      <c r="C985" s="48" t="s">
        <v>460</v>
      </c>
      <c r="D985" s="48" t="s">
        <v>188</v>
      </c>
      <c r="E985" s="48"/>
      <c r="F985" s="48" t="s">
        <v>222</v>
      </c>
      <c r="G985" s="49" t="n">
        <v>2</v>
      </c>
      <c r="H985" s="50" t="n">
        <f aca="false">MAX(0,IF(AND(Parameter!$B$21="Ja",ISNUMBER(Y985)),Y985,IF(Parameter!$B$20="Jahresanfang 2025 + Export",BO985+BN985,BN985)))</f>
        <v>0</v>
      </c>
      <c r="I985" s="50" t="n">
        <f aca="false">H985*G985</f>
        <v>0</v>
      </c>
      <c r="J985" s="50" t="n">
        <f aca="false">BQ985*Parameter!$B$18</f>
        <v>0</v>
      </c>
      <c r="K985" s="51" t="n">
        <v>40</v>
      </c>
      <c r="L985" s="52" t="n">
        <v>0</v>
      </c>
      <c r="M985" s="50" t="n">
        <v>0</v>
      </c>
      <c r="N985" s="50" t="n">
        <v>1</v>
      </c>
      <c r="O985" s="53" t="n">
        <v>21</v>
      </c>
      <c r="P985" s="48" t="s">
        <v>172</v>
      </c>
      <c r="Q985" s="50"/>
      <c r="R985" s="53" t="n">
        <f aca="false">IF(BW985=1,0,IFERROR(VLOOKUP(BU985,'Gebinde-Kategorie'!$A$5:$N$45,13,0)+0,0))</f>
        <v>26</v>
      </c>
      <c r="S985" s="54"/>
      <c r="T985" s="55" t="s">
        <v>279</v>
      </c>
      <c r="U985" s="55"/>
      <c r="V985" s="55"/>
      <c r="W985" s="48"/>
      <c r="X985" s="50"/>
      <c r="Y985" s="50"/>
      <c r="Z985" s="48" t="n">
        <f aca="false">IF(A985="","",IF(AND(Parameter!$B$21="Ja",ISNUMBER(W985)),W985,IF(BZ985="2+3",IF(ISNUMBER(SEARCH("grosser Artikel",BR985)),2,IFERROR(VLOOKUP(BU985,Parameter!$F$35:$G$64,2,0),2)),IF(OR(BZ985="Nein",BZ985=""),"-",BZ985))))</f>
        <v>3</v>
      </c>
      <c r="AA985" s="55"/>
      <c r="AB985" s="56"/>
      <c r="AC985" s="50" t="n">
        <f aca="false">AT985</f>
        <v>20</v>
      </c>
      <c r="AD985" s="50" t="n">
        <f aca="false">MAX(AT985,H985)</f>
        <v>20</v>
      </c>
      <c r="AE985" s="57"/>
      <c r="AF985" s="50" t="n">
        <f aca="false">IF(LEFT(Cockpit!$C$5,1)="A",H985,IF(CE985=1,CF985,IF(LEFT(Cockpit!$C$5,1)="B",AK985,MAX(AK985,H985))))</f>
        <v>0</v>
      </c>
      <c r="AG985" s="50" t="n">
        <f aca="false">IF(BW985=1,0,ROUNDUP(AF985/BV985,0))</f>
        <v>0</v>
      </c>
      <c r="AH985" s="52" t="n">
        <f aca="false">IF(CL985&gt;0,CL985*MAX(1,AF985/X985),IF(BW985=1,IF(AF985&lt;=0,0,CA985*MAX(1,IF(H985&gt;0,AF985/H985,1))),IF(R985&gt;0,AG985/R985,0))/MAX(0.1,N(Parameter!$M$21)))</f>
        <v>0</v>
      </c>
      <c r="AI985" s="50" t="n">
        <f aca="false">AH985*BY985</f>
        <v>0</v>
      </c>
      <c r="AJ985" s="50" t="n">
        <f aca="false">AF985*G985</f>
        <v>0</v>
      </c>
      <c r="AK985" s="50" t="n">
        <f aca="false">ROUNDUP(MAX(J985/IF(CD985&gt;0,CD985,MAX(0.1,N(Cockpit!$C$6))),CG985)/BV985,0)*BV985</f>
        <v>20</v>
      </c>
      <c r="AL985" s="51" t="n">
        <f aca="false">IF(AI985&gt;0,J985/AI985,-1)</f>
        <v>-1</v>
      </c>
      <c r="AM985" s="51" t="str">
        <f aca="false">IF(AND(OR(CC985="L1",CC985="L23",CC985="LIFT"),AI985&gt;0),SUMIFS($AI$7:$AI$1843,$CC$7:$CC$1843,CC985,$AL$7:$AL$1843,"&gt;"&amp;AL985)+SUMIFS($AI$7:$AI$1843,$CC$7:$CC$1843,CC985,$AL$7:$AL$1843,AL985,$BT$7:$BT$1843,"&lt;="&amp;BT985),"")</f>
        <v/>
      </c>
      <c r="AN985" s="58" t="n">
        <f aca="false">IF(AM985="",0,MAX(0,MIN(1,(IF(CC985="L1",Parameter!$H$5,IF(CC985="L23",Parameter!$H$6+Parameter!$H$7,Parameter!$H$5+Parameter!$H$6+Parameter!$H$7))-(AM985-AI985))/AI985)))</f>
        <v>0</v>
      </c>
      <c r="AO985" s="50" t="n">
        <f aca="false">IF(LEFT(Cockpit!$I$5,1)="A",H985,IF(CE985=1,CF985,IF(LEFT(Cockpit!$I$5,1)="B",AT985,MAX(AT985,H985))))</f>
        <v>20</v>
      </c>
      <c r="AP985" s="50" t="n">
        <f aca="false">IF(BW985=1,0,ROUNDUP(AO985/BV985,0))</f>
        <v>1</v>
      </c>
      <c r="AQ985" s="52" t="n">
        <f aca="false">IF(CL985&gt;0,CL985*MAX(1,AO985/X985),IF(BW985=1,IF(AO985&lt;=0,0,CA985*MAX(1,IF(H985&gt;0,AO985/H985,1))),IF(R985&gt;0,AP985/R985,0))/MAX(0.1,N(Parameter!$M$21)))</f>
        <v>0.0384615384615385</v>
      </c>
      <c r="AR985" s="50" t="n">
        <f aca="false">AQ985*BY985</f>
        <v>5.96153846153846</v>
      </c>
      <c r="AS985" s="50" t="n">
        <f aca="false">AO985*G985</f>
        <v>40</v>
      </c>
      <c r="AT985" s="50" t="n">
        <f aca="false">ROUNDUP(MAX(J985/IF(CD985&gt;0,CD985,MAX(0.1,N(Cockpit!$I$6))),CG985)/BV985,0)*BV985</f>
        <v>20</v>
      </c>
      <c r="AU985" s="51" t="n">
        <f aca="false">IF(AR985&gt;0,J985/AR985,-1)</f>
        <v>0</v>
      </c>
      <c r="AV985" s="51" t="n">
        <f aca="false">IF(AND(OR(CC985="L1",CC985="L23",CC985="LIFT"),AR985&gt;0),SUMIFS($AR$7:$AR$1843,$CC$7:$CC$1843,CC985,$AU$7:$AU$1843,"&gt;"&amp;AU985)+SUMIFS($AR$7:$AR$1843,$CC$7:$CC$1843,CC985,$AU$7:$AU$1843,AU985,$BT$7:$BT$1843,"&lt;="&amp;BT985),"")</f>
        <v>40565.332425343</v>
      </c>
      <c r="AW985" s="58" t="n">
        <f aca="false">IF(AV985="",0,MAX(0,MIN(1,(IF(CC985="L1",Parameter!$H$5,IF(CC985="L23",Parameter!$H$6+Parameter!$H$7,Parameter!$H$5+Parameter!$H$6+Parameter!$H$7))-(AV985-AR985))/AR985)))</f>
        <v>0</v>
      </c>
      <c r="AX985" s="50" t="n">
        <f aca="false">IF(LEFT(Cockpit!$O$5,1)="A",H985,IF(CE985=1,CF985,IF(LEFT(Cockpit!$O$5,1)="B",BC985,MAX(BC985,H985))))</f>
        <v>20</v>
      </c>
      <c r="AY985" s="50" t="n">
        <f aca="false">IF(BW985=1,0,ROUNDUP(AX985/BV985,0))</f>
        <v>1</v>
      </c>
      <c r="AZ985" s="52" t="n">
        <f aca="false">IF(CL985&gt;0,CL985*MAX(1,AX985/X985),IF(BW985=1,IF(AX985&lt;=0,0,CA985*MAX(1,IF(H985&gt;0,AX985/H985,1))),IF(R985&gt;0,AY985/R985,0))/MAX(0.1,N(Parameter!$M$21)))</f>
        <v>0.0384615384615385</v>
      </c>
      <c r="BA985" s="50" t="n">
        <f aca="false">AZ985*BY985</f>
        <v>5.96153846153846</v>
      </c>
      <c r="BB985" s="50" t="n">
        <f aca="false">AX985*G985</f>
        <v>40</v>
      </c>
      <c r="BC985" s="50" t="n">
        <f aca="false">ROUNDUP(MAX(J985/IF(CD985&gt;0,CD985,MAX(0.1,N(Cockpit!$O$6))),CG985)/BV985,0)*BV985</f>
        <v>20</v>
      </c>
      <c r="BD985" s="51" t="n">
        <f aca="false">IF(BA985&gt;0,J985/BA985,-1)</f>
        <v>0</v>
      </c>
      <c r="BE985" s="51" t="n">
        <f aca="false">IF(AND(OR(CC985="L1",CC985="L23",CC985="LIFT"),BA985&gt;0),SUMIFS($BA$7:$BA$1843,$CC$7:$CC$1843,CC985,$BD$7:$BD$1843,"&gt;"&amp;BD985)+SUMIFS($BA$7:$BA$1843,$CC$7:$CC$1843,CC985,$BD$7:$BD$1843,BD985,$BT$7:$BT$1843,"&lt;="&amp;BT985),"")</f>
        <v>37240.3444672089</v>
      </c>
      <c r="BF985" s="58" t="n">
        <f aca="false">IF(BE985="",0,MAX(0,MIN(1,(IF(CC985="L1",Parameter!$H$5,IF(CC985="L23",Parameter!$H$6+Parameter!$H$7,Parameter!$H$5+Parameter!$H$6+Parameter!$H$7))-(BE985-BA985))/BA985)))</f>
        <v>0</v>
      </c>
      <c r="BG985" s="48" t="str">
        <f aca="false">IF(AI985&lt;=0,"",IF(CC985="Aussen","Aussenlager",IF(CC985="-","Nicht im Lift",IF(AN985&gt;=1,"Lift",IF(AN985&lt;=0,"Aussenlager","teilweise")))))</f>
        <v/>
      </c>
      <c r="BH985" s="48" t="str">
        <f aca="false">IF(AR985&lt;=0,"",IF(CC985="Aussen","Aussenlager",IF(CC985="-","Nicht im Lift",IF(AW985&gt;=1,"Lift",IF(AW985&lt;=0,"Aussenlager","teilweise")))))</f>
        <v>Aussenlager</v>
      </c>
      <c r="BI985" s="48" t="str">
        <f aca="false">IF(BA985&lt;=0,"",IF(CC985="Aussen","Aussenlager",IF(CC985="-","Nicht im Lift",IF(BF985&gt;=1,"Lift",IF(BF985&lt;=0,"Aussenlager","teilweise")))))</f>
        <v>Aussenlager</v>
      </c>
      <c r="BJ985" s="48" t="str">
        <f aca="false">IF(A985="","",IF(BS985=1,"Neu; ","")&amp;IF(AND(BS985=0,BN985&lt;0),"negativer Bestand (Export "&amp;BN985&amp;"); ","")&amp;IF(J985&lt;=0,"Kein Verbrauch; ","")&amp;IF(CL985&gt;0,"Lift "&amp;W985&amp;" lt. Liftbericht (Fach "&amp;X985&amp;" Stk); ",IF(BX985=1,"Gebinde geschätzt ("&amp;T985&amp;"); ",IF(BW985=1,"Lose – Tablare geschätzt; ","")))&amp;IF(H985&gt;AT985,"Überbestand "&amp;ROUND(H985-AT985,0)&amp;" Stk / CHF "&amp;ROUND((H985-AT985)*G985,0)&amp;"; ","")&amp;IF(AND(CE985=1,CF985&lt;CG985),"MAX &lt; MB+LG; ","")&amp;IF(AND(CK985&gt;0,CJ985*10&gt;CK985),"zu hoch für Tablar; ","")&amp;IF(AND(BS985=0,OR(CE985=1,AA985&lt;&gt;"",U985&lt;&gt;"",V985&lt;&gt;"",AB985&lt;&gt;"")),"manuell übersteuert; ","")&amp;IF(AND(BW985=0,R985=0),"Gebinde unbekannt / Stellmass fehlt; ","")&amp;IF(AND(BW985=0,N(V985)&lt;=0,N(Q985)&lt;=0),"Menge pro Gebinde fehlt (Ist = 1 Gebinde); ","")&amp;BR985)</f>
        <v>negativer Bestand (Export -40); Kein Verbrauch; Gebinde geschätzt (Klein); Menge pro Gebinde fehlt (Ist = 1 Gebinde); </v>
      </c>
      <c r="BK985" s="48"/>
      <c r="BL985" s="48"/>
      <c r="BM985" s="55"/>
      <c r="BN985" s="50" t="n">
        <v>-40</v>
      </c>
      <c r="BO985" s="50" t="n">
        <v>40</v>
      </c>
      <c r="BP985" s="49" t="n">
        <v>-80</v>
      </c>
      <c r="BQ985" s="50" t="n">
        <v>0</v>
      </c>
      <c r="BR985" s="48"/>
      <c r="BS985" s="53" t="n">
        <v>0</v>
      </c>
      <c r="BT985" s="53" t="n">
        <v>985</v>
      </c>
      <c r="BU985" s="48" t="str">
        <f aca="false">IF(U985&lt;&gt;"",UPPER(TRIM(U985)),IF(BX985=1,UPPER(VLOOKUP(T985,Parameter!$I$27:$K$29,2,0)),IF(P985="","LOSE",P985)))</f>
        <v>S51</v>
      </c>
      <c r="BV985" s="50" t="n">
        <f aca="false">IF(BU985="LOSE",1,IF(N(V985)&gt;0,V985,IF(BX985=1,MAX(1,N(VLOOKUP(T985,Parameter!$I$27:$K$29,3,0)),H985,N(N985)),IF(N(Q985)&gt;0,Q985,MAX(1,H985)))))</f>
        <v>20</v>
      </c>
      <c r="BW985" s="53" t="n">
        <f aca="false">IF(BU985="LOSE",1,0)</f>
        <v>0</v>
      </c>
      <c r="BX985" s="53" t="n">
        <f aca="false">IF(AND(U985="",OR(P985="",P985="LOSE"),T985&lt;&gt;"",N(S985)&lt;=0,ISNUMBER(MATCH(T985,Parameter!$I$27:$I$29,0))),1,0)</f>
        <v>1</v>
      </c>
      <c r="BY985" s="53" t="n">
        <f aca="false">IF(CL985&gt;0,INDEX(Parameter!$H$5:$H$7,W985)/INDEX(Parameter!$E$5:$E$7,W985),IF(AND(BW985=0,N(IFERROR(VLOOKUP(BU985,'Gebinde-Kategorie'!$A$5:$N$45,14,0),0))&gt;0),VLOOKUP(BU985,'Gebinde-Kategorie'!$A$5:$N$45,14,0)*10+Parameter!$M$23,Parameter!$M$24))</f>
        <v>155</v>
      </c>
      <c r="BZ985" s="48" t="str">
        <f aca="false">IF(AND(Parameter!$B$19="Ja",E985&lt;&gt;"",ISNUMBER(MATCH(E985,Parameter!$I$35:$I$52,0))),VLOOKUP(E985,Parameter!$I$35:$J$52,2,0),IFERROR(VLOOKUP(D985,Parameter!$A$35:$C$64,2,0),"Nein"))</f>
        <v>2+3</v>
      </c>
      <c r="CA985" s="52" t="n">
        <f aca="false">IF(BW985=0,0,IF(N(S985)&gt;0,S985,IFERROR(VLOOKUP(D985,Parameter!$A$35:$C$64,3,0)+0,0)))</f>
        <v>0</v>
      </c>
      <c r="CB985" s="48" t="n">
        <f aca="false">IF(AA985&lt;&gt;"",AA985,Z985)</f>
        <v>3</v>
      </c>
      <c r="CC985" s="48" t="str">
        <f aca="false">IF(OR(CB985=1,CB985=2,CB985=3),IF(Parameter!$E$27="Ja","LIFT",IF(CB985=1,"L1","L23")),IF(CB985="Aussen","Aussen","-"))</f>
        <v>LIFT</v>
      </c>
      <c r="CD985" s="59" t="n">
        <f aca="false">IF(N(AB985)&gt;0,AB985,0)</f>
        <v>0</v>
      </c>
      <c r="CE985" s="53" t="n">
        <f aca="false">IF(ISNUMBER(AE985),1,0)</f>
        <v>0</v>
      </c>
      <c r="CF985" s="50" t="n">
        <f aca="false">N(AE985)</f>
        <v>0</v>
      </c>
      <c r="CG985" s="50" t="n">
        <f aca="false">N(M985)+N(N985)</f>
        <v>1</v>
      </c>
      <c r="CH985" s="50" t="n">
        <f aca="false">ROUNDUP(H985/BV985,0)</f>
        <v>0</v>
      </c>
      <c r="CI985" s="50" t="n">
        <f aca="false">ROUNDUP(CF985/BV985,0)</f>
        <v>0</v>
      </c>
      <c r="CJ985" s="53" t="n">
        <f aca="false">IF(BW985=1,0,IFERROR(VLOOKUP(BU985,'Gebinde-Kategorie'!$A$5:$N$45,5,0)+0,0))</f>
        <v>11</v>
      </c>
      <c r="CK985" s="53" t="n">
        <f aca="false">IFERROR(IF(OR(CB985=1,CB985=2,CB985=3),N(INDEX(Parameter!$I$5:$I$7,CB985)),0),0)</f>
        <v>0</v>
      </c>
      <c r="CL985" s="52" t="n">
        <f aca="false">IF(AND(Parameter!$B$21="Ja",ISNUMBER(W985),N(X985)&gt;0),IFERROR(N(INDEX(Parameter!$L$5:$L$7,W985))*INDEX(Parameter!$E$5:$E$7,W985)*X985/SUMIFS($X$7:$X$1843,$W$7:$W$1843,W985),0),0)</f>
        <v>0</v>
      </c>
    </row>
    <row r="986" customFormat="false" ht="15" hidden="false" customHeight="false" outlineLevel="0" collapsed="false">
      <c r="A986" s="48" t="s">
        <v>1827</v>
      </c>
      <c r="B986" s="48" t="s">
        <v>1828</v>
      </c>
      <c r="C986" s="48" t="s">
        <v>460</v>
      </c>
      <c r="D986" s="48" t="s">
        <v>188</v>
      </c>
      <c r="E986" s="48"/>
      <c r="F986" s="48" t="s">
        <v>222</v>
      </c>
      <c r="G986" s="49" t="n">
        <v>2</v>
      </c>
      <c r="H986" s="50" t="n">
        <f aca="false">MAX(0,IF(AND(Parameter!$B$21="Ja",ISNUMBER(Y986)),Y986,IF(Parameter!$B$20="Jahresanfang 2025 + Export",BO986+BN986,BN986)))</f>
        <v>0</v>
      </c>
      <c r="I986" s="50" t="n">
        <f aca="false">H986*G986</f>
        <v>0</v>
      </c>
      <c r="J986" s="50" t="n">
        <f aca="false">BQ986*Parameter!$B$18</f>
        <v>0</v>
      </c>
      <c r="K986" s="51" t="n">
        <v>37.5</v>
      </c>
      <c r="L986" s="52" t="n">
        <v>0</v>
      </c>
      <c r="M986" s="50" t="n">
        <v>0</v>
      </c>
      <c r="N986" s="50" t="n">
        <v>1</v>
      </c>
      <c r="O986" s="53" t="n">
        <v>21</v>
      </c>
      <c r="P986" s="48" t="s">
        <v>172</v>
      </c>
      <c r="Q986" s="50"/>
      <c r="R986" s="53" t="n">
        <f aca="false">IF(BW986=1,0,IFERROR(VLOOKUP(BU986,'Gebinde-Kategorie'!$A$5:$N$45,13,0)+0,0))</f>
        <v>26</v>
      </c>
      <c r="S986" s="54"/>
      <c r="T986" s="55" t="s">
        <v>279</v>
      </c>
      <c r="U986" s="55"/>
      <c r="V986" s="55"/>
      <c r="W986" s="48"/>
      <c r="X986" s="50"/>
      <c r="Y986" s="50"/>
      <c r="Z986" s="48" t="n">
        <f aca="false">IF(A986="","",IF(AND(Parameter!$B$21="Ja",ISNUMBER(W986)),W986,IF(BZ986="2+3",IF(ISNUMBER(SEARCH("grosser Artikel",BR986)),2,IFERROR(VLOOKUP(BU986,Parameter!$F$35:$G$64,2,0),2)),IF(OR(BZ986="Nein",BZ986=""),"-",BZ986))))</f>
        <v>3</v>
      </c>
      <c r="AA986" s="55"/>
      <c r="AB986" s="56"/>
      <c r="AC986" s="50" t="n">
        <f aca="false">AT986</f>
        <v>20</v>
      </c>
      <c r="AD986" s="50" t="n">
        <f aca="false">MAX(AT986,H986)</f>
        <v>20</v>
      </c>
      <c r="AE986" s="57"/>
      <c r="AF986" s="50" t="n">
        <f aca="false">IF(LEFT(Cockpit!$C$5,1)="A",H986,IF(CE986=1,CF986,IF(LEFT(Cockpit!$C$5,1)="B",AK986,MAX(AK986,H986))))</f>
        <v>0</v>
      </c>
      <c r="AG986" s="50" t="n">
        <f aca="false">IF(BW986=1,0,ROUNDUP(AF986/BV986,0))</f>
        <v>0</v>
      </c>
      <c r="AH986" s="52" t="n">
        <f aca="false">IF(CL986&gt;0,CL986*MAX(1,AF986/X986),IF(BW986=1,IF(AF986&lt;=0,0,CA986*MAX(1,IF(H986&gt;0,AF986/H986,1))),IF(R986&gt;0,AG986/R986,0))/MAX(0.1,N(Parameter!$M$21)))</f>
        <v>0</v>
      </c>
      <c r="AI986" s="50" t="n">
        <f aca="false">AH986*BY986</f>
        <v>0</v>
      </c>
      <c r="AJ986" s="50" t="n">
        <f aca="false">AF986*G986</f>
        <v>0</v>
      </c>
      <c r="AK986" s="50" t="n">
        <f aca="false">ROUNDUP(MAX(J986/IF(CD986&gt;0,CD986,MAX(0.1,N(Cockpit!$C$6))),CG986)/BV986,0)*BV986</f>
        <v>20</v>
      </c>
      <c r="AL986" s="51" t="n">
        <f aca="false">IF(AI986&gt;0,J986/AI986,-1)</f>
        <v>-1</v>
      </c>
      <c r="AM986" s="51" t="str">
        <f aca="false">IF(AND(OR(CC986="L1",CC986="L23",CC986="LIFT"),AI986&gt;0),SUMIFS($AI$7:$AI$1843,$CC$7:$CC$1843,CC986,$AL$7:$AL$1843,"&gt;"&amp;AL986)+SUMIFS($AI$7:$AI$1843,$CC$7:$CC$1843,CC986,$AL$7:$AL$1843,AL986,$BT$7:$BT$1843,"&lt;="&amp;BT986),"")</f>
        <v/>
      </c>
      <c r="AN986" s="58" t="n">
        <f aca="false">IF(AM986="",0,MAX(0,MIN(1,(IF(CC986="L1",Parameter!$H$5,IF(CC986="L23",Parameter!$H$6+Parameter!$H$7,Parameter!$H$5+Parameter!$H$6+Parameter!$H$7))-(AM986-AI986))/AI986)))</f>
        <v>0</v>
      </c>
      <c r="AO986" s="50" t="n">
        <f aca="false">IF(LEFT(Cockpit!$I$5,1)="A",H986,IF(CE986=1,CF986,IF(LEFT(Cockpit!$I$5,1)="B",AT986,MAX(AT986,H986))))</f>
        <v>20</v>
      </c>
      <c r="AP986" s="50" t="n">
        <f aca="false">IF(BW986=1,0,ROUNDUP(AO986/BV986,0))</f>
        <v>1</v>
      </c>
      <c r="AQ986" s="52" t="n">
        <f aca="false">IF(CL986&gt;0,CL986*MAX(1,AO986/X986),IF(BW986=1,IF(AO986&lt;=0,0,CA986*MAX(1,IF(H986&gt;0,AO986/H986,1))),IF(R986&gt;0,AP986/R986,0))/MAX(0.1,N(Parameter!$M$21)))</f>
        <v>0.0384615384615385</v>
      </c>
      <c r="AR986" s="50" t="n">
        <f aca="false">AQ986*BY986</f>
        <v>5.96153846153846</v>
      </c>
      <c r="AS986" s="50" t="n">
        <f aca="false">AO986*G986</f>
        <v>40</v>
      </c>
      <c r="AT986" s="50" t="n">
        <f aca="false">ROUNDUP(MAX(J986/IF(CD986&gt;0,CD986,MAX(0.1,N(Cockpit!$I$6))),CG986)/BV986,0)*BV986</f>
        <v>20</v>
      </c>
      <c r="AU986" s="51" t="n">
        <f aca="false">IF(AR986&gt;0,J986/AR986,-1)</f>
        <v>0</v>
      </c>
      <c r="AV986" s="51" t="n">
        <f aca="false">IF(AND(OR(CC986="L1",CC986="L23",CC986="LIFT"),AR986&gt;0),SUMIFS($AR$7:$AR$1843,$CC$7:$CC$1843,CC986,$AU$7:$AU$1843,"&gt;"&amp;AU986)+SUMIFS($AR$7:$AR$1843,$CC$7:$CC$1843,CC986,$AU$7:$AU$1843,AU986,$BT$7:$BT$1843,"&lt;="&amp;BT986),"")</f>
        <v>40571.2939638046</v>
      </c>
      <c r="AW986" s="58" t="n">
        <f aca="false">IF(AV986="",0,MAX(0,MIN(1,(IF(CC986="L1",Parameter!$H$5,IF(CC986="L23",Parameter!$H$6+Parameter!$H$7,Parameter!$H$5+Parameter!$H$6+Parameter!$H$7))-(AV986-AR986))/AR986)))</f>
        <v>0</v>
      </c>
      <c r="AX986" s="50" t="n">
        <f aca="false">IF(LEFT(Cockpit!$O$5,1)="A",H986,IF(CE986=1,CF986,IF(LEFT(Cockpit!$O$5,1)="B",BC986,MAX(BC986,H986))))</f>
        <v>20</v>
      </c>
      <c r="AY986" s="50" t="n">
        <f aca="false">IF(BW986=1,0,ROUNDUP(AX986/BV986,0))</f>
        <v>1</v>
      </c>
      <c r="AZ986" s="52" t="n">
        <f aca="false">IF(CL986&gt;0,CL986*MAX(1,AX986/X986),IF(BW986=1,IF(AX986&lt;=0,0,CA986*MAX(1,IF(H986&gt;0,AX986/H986,1))),IF(R986&gt;0,AY986/R986,0))/MAX(0.1,N(Parameter!$M$21)))</f>
        <v>0.0384615384615385</v>
      </c>
      <c r="BA986" s="50" t="n">
        <f aca="false">AZ986*BY986</f>
        <v>5.96153846153846</v>
      </c>
      <c r="BB986" s="50" t="n">
        <f aca="false">AX986*G986</f>
        <v>40</v>
      </c>
      <c r="BC986" s="50" t="n">
        <f aca="false">ROUNDUP(MAX(J986/IF(CD986&gt;0,CD986,MAX(0.1,N(Cockpit!$O$6))),CG986)/BV986,0)*BV986</f>
        <v>20</v>
      </c>
      <c r="BD986" s="51" t="n">
        <f aca="false">IF(BA986&gt;0,J986/BA986,-1)</f>
        <v>0</v>
      </c>
      <c r="BE986" s="51" t="n">
        <f aca="false">IF(AND(OR(CC986="L1",CC986="L23",CC986="LIFT"),BA986&gt;0),SUMIFS($BA$7:$BA$1843,$CC$7:$CC$1843,CC986,$BD$7:$BD$1843,"&gt;"&amp;BD986)+SUMIFS($BA$7:$BA$1843,$CC$7:$CC$1843,CC986,$BD$7:$BD$1843,BD986,$BT$7:$BT$1843,"&lt;="&amp;BT986),"")</f>
        <v>37246.3060056704</v>
      </c>
      <c r="BF986" s="58" t="n">
        <f aca="false">IF(BE986="",0,MAX(0,MIN(1,(IF(CC986="L1",Parameter!$H$5,IF(CC986="L23",Parameter!$H$6+Parameter!$H$7,Parameter!$H$5+Parameter!$H$6+Parameter!$H$7))-(BE986-BA986))/BA986)))</f>
        <v>0</v>
      </c>
      <c r="BG986" s="48" t="str">
        <f aca="false">IF(AI986&lt;=0,"",IF(CC986="Aussen","Aussenlager",IF(CC986="-","Nicht im Lift",IF(AN986&gt;=1,"Lift",IF(AN986&lt;=0,"Aussenlager","teilweise")))))</f>
        <v/>
      </c>
      <c r="BH986" s="48" t="str">
        <f aca="false">IF(AR986&lt;=0,"",IF(CC986="Aussen","Aussenlager",IF(CC986="-","Nicht im Lift",IF(AW986&gt;=1,"Lift",IF(AW986&lt;=0,"Aussenlager","teilweise")))))</f>
        <v>Aussenlager</v>
      </c>
      <c r="BI986" s="48" t="str">
        <f aca="false">IF(BA986&lt;=0,"",IF(CC986="Aussen","Aussenlager",IF(CC986="-","Nicht im Lift",IF(BF986&gt;=1,"Lift",IF(BF986&lt;=0,"Aussenlager","teilweise")))))</f>
        <v>Aussenlager</v>
      </c>
      <c r="BJ986" s="48" t="str">
        <f aca="false">IF(A986="","",IF(BS986=1,"Neu; ","")&amp;IF(AND(BS986=0,BN986&lt;0),"negativer Bestand (Export "&amp;BN986&amp;"); ","")&amp;IF(J986&lt;=0,"Kein Verbrauch; ","")&amp;IF(CL986&gt;0,"Lift "&amp;W986&amp;" lt. Liftbericht (Fach "&amp;X986&amp;" Stk); ",IF(BX986=1,"Gebinde geschätzt ("&amp;T986&amp;"); ",IF(BW986=1,"Lose – Tablare geschätzt; ","")))&amp;IF(H986&gt;AT986,"Überbestand "&amp;ROUND(H986-AT986,0)&amp;" Stk / CHF "&amp;ROUND((H986-AT986)*G986,0)&amp;"; ","")&amp;IF(AND(CE986=1,CF986&lt;CG986),"MAX &lt; MB+LG; ","")&amp;IF(AND(CK986&gt;0,CJ986*10&gt;CK986),"zu hoch für Tablar; ","")&amp;IF(AND(BS986=0,OR(CE986=1,AA986&lt;&gt;"",U986&lt;&gt;"",V986&lt;&gt;"",AB986&lt;&gt;"")),"manuell übersteuert; ","")&amp;IF(AND(BW986=0,R986=0),"Gebinde unbekannt / Stellmass fehlt; ","")&amp;IF(AND(BW986=0,N(V986)&lt;=0,N(Q986)&lt;=0),"Menge pro Gebinde fehlt (Ist = 1 Gebinde); ","")&amp;BR986)</f>
        <v>negativer Bestand (Export -40); Kein Verbrauch; Gebinde geschätzt (Klein); Menge pro Gebinde fehlt (Ist = 1 Gebinde); </v>
      </c>
      <c r="BK986" s="48"/>
      <c r="BL986" s="48"/>
      <c r="BM986" s="55"/>
      <c r="BN986" s="50" t="n">
        <v>-40</v>
      </c>
      <c r="BO986" s="50" t="n">
        <v>40</v>
      </c>
      <c r="BP986" s="49" t="n">
        <v>-80</v>
      </c>
      <c r="BQ986" s="50" t="n">
        <v>0</v>
      </c>
      <c r="BR986" s="48"/>
      <c r="BS986" s="53" t="n">
        <v>0</v>
      </c>
      <c r="BT986" s="53" t="n">
        <v>986</v>
      </c>
      <c r="BU986" s="48" t="str">
        <f aca="false">IF(U986&lt;&gt;"",UPPER(TRIM(U986)),IF(BX986=1,UPPER(VLOOKUP(T986,Parameter!$I$27:$K$29,2,0)),IF(P986="","LOSE",P986)))</f>
        <v>S51</v>
      </c>
      <c r="BV986" s="50" t="n">
        <f aca="false">IF(BU986="LOSE",1,IF(N(V986)&gt;0,V986,IF(BX986=1,MAX(1,N(VLOOKUP(T986,Parameter!$I$27:$K$29,3,0)),H986,N(N986)),IF(N(Q986)&gt;0,Q986,MAX(1,H986)))))</f>
        <v>20</v>
      </c>
      <c r="BW986" s="53" t="n">
        <f aca="false">IF(BU986="LOSE",1,0)</f>
        <v>0</v>
      </c>
      <c r="BX986" s="53" t="n">
        <f aca="false">IF(AND(U986="",OR(P986="",P986="LOSE"),T986&lt;&gt;"",N(S986)&lt;=0,ISNUMBER(MATCH(T986,Parameter!$I$27:$I$29,0))),1,0)</f>
        <v>1</v>
      </c>
      <c r="BY986" s="53" t="n">
        <f aca="false">IF(CL986&gt;0,INDEX(Parameter!$H$5:$H$7,W986)/INDEX(Parameter!$E$5:$E$7,W986),IF(AND(BW986=0,N(IFERROR(VLOOKUP(BU986,'Gebinde-Kategorie'!$A$5:$N$45,14,0),0))&gt;0),VLOOKUP(BU986,'Gebinde-Kategorie'!$A$5:$N$45,14,0)*10+Parameter!$M$23,Parameter!$M$24))</f>
        <v>155</v>
      </c>
      <c r="BZ986" s="48" t="str">
        <f aca="false">IF(AND(Parameter!$B$19="Ja",E986&lt;&gt;"",ISNUMBER(MATCH(E986,Parameter!$I$35:$I$52,0))),VLOOKUP(E986,Parameter!$I$35:$J$52,2,0),IFERROR(VLOOKUP(D986,Parameter!$A$35:$C$64,2,0),"Nein"))</f>
        <v>2+3</v>
      </c>
      <c r="CA986" s="52" t="n">
        <f aca="false">IF(BW986=0,0,IF(N(S986)&gt;0,S986,IFERROR(VLOOKUP(D986,Parameter!$A$35:$C$64,3,0)+0,0)))</f>
        <v>0</v>
      </c>
      <c r="CB986" s="48" t="n">
        <f aca="false">IF(AA986&lt;&gt;"",AA986,Z986)</f>
        <v>3</v>
      </c>
      <c r="CC986" s="48" t="str">
        <f aca="false">IF(OR(CB986=1,CB986=2,CB986=3),IF(Parameter!$E$27="Ja","LIFT",IF(CB986=1,"L1","L23")),IF(CB986="Aussen","Aussen","-"))</f>
        <v>LIFT</v>
      </c>
      <c r="CD986" s="59" t="n">
        <f aca="false">IF(N(AB986)&gt;0,AB986,0)</f>
        <v>0</v>
      </c>
      <c r="CE986" s="53" t="n">
        <f aca="false">IF(ISNUMBER(AE986),1,0)</f>
        <v>0</v>
      </c>
      <c r="CF986" s="50" t="n">
        <f aca="false">N(AE986)</f>
        <v>0</v>
      </c>
      <c r="CG986" s="50" t="n">
        <f aca="false">N(M986)+N(N986)</f>
        <v>1</v>
      </c>
      <c r="CH986" s="50" t="n">
        <f aca="false">ROUNDUP(H986/BV986,0)</f>
        <v>0</v>
      </c>
      <c r="CI986" s="50" t="n">
        <f aca="false">ROUNDUP(CF986/BV986,0)</f>
        <v>0</v>
      </c>
      <c r="CJ986" s="53" t="n">
        <f aca="false">IF(BW986=1,0,IFERROR(VLOOKUP(BU986,'Gebinde-Kategorie'!$A$5:$N$45,5,0)+0,0))</f>
        <v>11</v>
      </c>
      <c r="CK986" s="53" t="n">
        <f aca="false">IFERROR(IF(OR(CB986=1,CB986=2,CB986=3),N(INDEX(Parameter!$I$5:$I$7,CB986)),0),0)</f>
        <v>0</v>
      </c>
      <c r="CL986" s="52" t="n">
        <f aca="false">IF(AND(Parameter!$B$21="Ja",ISNUMBER(W986),N(X986)&gt;0),IFERROR(N(INDEX(Parameter!$L$5:$L$7,W986))*INDEX(Parameter!$E$5:$E$7,W986)*X986/SUMIFS($X$7:$X$1843,$W$7:$W$1843,W986),0),0)</f>
        <v>0</v>
      </c>
    </row>
    <row r="987" customFormat="false" ht="15" hidden="false" customHeight="false" outlineLevel="0" collapsed="false">
      <c r="A987" s="48" t="s">
        <v>1829</v>
      </c>
      <c r="B987" s="48" t="s">
        <v>1830</v>
      </c>
      <c r="C987" s="48" t="s">
        <v>168</v>
      </c>
      <c r="D987" s="48" t="s">
        <v>188</v>
      </c>
      <c r="E987" s="48" t="s">
        <v>189</v>
      </c>
      <c r="F987" s="48" t="s">
        <v>222</v>
      </c>
      <c r="G987" s="49" t="n">
        <v>80.81</v>
      </c>
      <c r="H987" s="50" t="n">
        <f aca="false">MAX(0,IF(AND(Parameter!$B$21="Ja",ISNUMBER(Y987)),Y987,IF(Parameter!$B$20="Jahresanfang 2025 + Export",BO987+BN987,BN987)))</f>
        <v>1</v>
      </c>
      <c r="I987" s="50" t="n">
        <f aca="false">H987*G987</f>
        <v>80.81</v>
      </c>
      <c r="J987" s="50" t="n">
        <f aca="false">BQ987*Parameter!$B$18</f>
        <v>1</v>
      </c>
      <c r="K987" s="51" t="n">
        <v>1.5</v>
      </c>
      <c r="L987" s="52" t="n">
        <v>0.666666666666667</v>
      </c>
      <c r="M987" s="50" t="n">
        <v>0</v>
      </c>
      <c r="N987" s="50" t="n">
        <v>1</v>
      </c>
      <c r="O987" s="53" t="n">
        <v>14</v>
      </c>
      <c r="P987" s="48" t="s">
        <v>306</v>
      </c>
      <c r="Q987" s="50" t="n">
        <v>8</v>
      </c>
      <c r="R987" s="53" t="n">
        <f aca="false">IF(BW987=1,0,IFERROR(VLOOKUP(BU987,'Gebinde-Kategorie'!$A$5:$N$45,13,0)+0,0))</f>
        <v>26</v>
      </c>
      <c r="S987" s="54"/>
      <c r="T987" s="55"/>
      <c r="U987" s="55"/>
      <c r="V987" s="55"/>
      <c r="W987" s="48"/>
      <c r="X987" s="50"/>
      <c r="Y987" s="50"/>
      <c r="Z987" s="48" t="n">
        <f aca="false">IF(A987="","",IF(AND(Parameter!$B$21="Ja",ISNUMBER(W987)),W987,IF(BZ987="2+3",IF(ISNUMBER(SEARCH("grosser Artikel",BR987)),2,IFERROR(VLOOKUP(BU987,Parameter!$F$35:$G$64,2,0),2)),IF(OR(BZ987="Nein",BZ987=""),"-",BZ987))))</f>
        <v>3</v>
      </c>
      <c r="AA987" s="55"/>
      <c r="AB987" s="56"/>
      <c r="AC987" s="50" t="n">
        <f aca="false">AT987</f>
        <v>8</v>
      </c>
      <c r="AD987" s="50" t="n">
        <f aca="false">MAX(AT987,H987)</f>
        <v>8</v>
      </c>
      <c r="AE987" s="57"/>
      <c r="AF987" s="50" t="n">
        <f aca="false">IF(LEFT(Cockpit!$C$5,1)="A",H987,IF(CE987=1,CF987,IF(LEFT(Cockpit!$C$5,1)="B",AK987,MAX(AK987,H987))))</f>
        <v>1</v>
      </c>
      <c r="AG987" s="50" t="n">
        <f aca="false">IF(BW987=1,0,ROUNDUP(AF987/BV987,0))</f>
        <v>1</v>
      </c>
      <c r="AH987" s="52" t="n">
        <f aca="false">IF(CL987&gt;0,CL987*MAX(1,AF987/X987),IF(BW987=1,IF(AF987&lt;=0,0,CA987*MAX(1,IF(H987&gt;0,AF987/H987,1))),IF(R987&gt;0,AG987/R987,0))/MAX(0.1,N(Parameter!$M$21)))</f>
        <v>0.0384615384615385</v>
      </c>
      <c r="AI987" s="50" t="n">
        <f aca="false">AH987*BY987</f>
        <v>5.96153846153846</v>
      </c>
      <c r="AJ987" s="50" t="n">
        <f aca="false">AF987*G987</f>
        <v>80.81</v>
      </c>
      <c r="AK987" s="50" t="n">
        <f aca="false">ROUNDUP(MAX(J987/IF(CD987&gt;0,CD987,MAX(0.1,N(Cockpit!$C$6))),CG987)/BV987,0)*BV987</f>
        <v>8</v>
      </c>
      <c r="AL987" s="51" t="n">
        <f aca="false">IF(AI987&gt;0,J987/AI987,-1)</f>
        <v>0.167741935483871</v>
      </c>
      <c r="AM987" s="51" t="n">
        <f aca="false">IF(AND(OR(CC987="L1",CC987="L23",CC987="LIFT"),AI987&gt;0),SUMIFS($AI$7:$AI$1843,$CC$7:$CC$1843,CC987,$AL$7:$AL$1843,"&gt;"&amp;AL987)+SUMIFS($AI$7:$AI$1843,$CC$7:$CC$1843,CC987,$AL$7:$AL$1843,AL987,$BT$7:$BT$1843,"&lt;="&amp;BT987),"")</f>
        <v>12739.3491054614</v>
      </c>
      <c r="AN987" s="58" t="n">
        <f aca="false">IF(AM987="",0,MAX(0,MIN(1,(IF(CC987="L1",Parameter!$H$5,IF(CC987="L23",Parameter!$H$6+Parameter!$H$7,Parameter!$H$5+Parameter!$H$6+Parameter!$H$7))-(AM987-AI987))/AI987)))</f>
        <v>1</v>
      </c>
      <c r="AO987" s="50" t="n">
        <f aca="false">IF(LEFT(Cockpit!$I$5,1)="A",H987,IF(CE987=1,CF987,IF(LEFT(Cockpit!$I$5,1)="B",AT987,MAX(AT987,H987))))</f>
        <v>8</v>
      </c>
      <c r="AP987" s="50" t="n">
        <f aca="false">IF(BW987=1,0,ROUNDUP(AO987/BV987,0))</f>
        <v>1</v>
      </c>
      <c r="AQ987" s="52" t="n">
        <f aca="false">IF(CL987&gt;0,CL987*MAX(1,AO987/X987),IF(BW987=1,IF(AO987&lt;=0,0,CA987*MAX(1,IF(H987&gt;0,AO987/H987,1))),IF(R987&gt;0,AP987/R987,0))/MAX(0.1,N(Parameter!$M$21)))</f>
        <v>0.0384615384615385</v>
      </c>
      <c r="AR987" s="50" t="n">
        <f aca="false">AQ987*BY987</f>
        <v>5.96153846153846</v>
      </c>
      <c r="AS987" s="50" t="n">
        <f aca="false">AO987*G987</f>
        <v>646.48</v>
      </c>
      <c r="AT987" s="50" t="n">
        <f aca="false">ROUNDUP(MAX(J987/IF(CD987&gt;0,CD987,MAX(0.1,N(Cockpit!$I$6))),CG987)/BV987,0)*BV987</f>
        <v>8</v>
      </c>
      <c r="AU987" s="51" t="n">
        <f aca="false">IF(AR987&gt;0,J987/AR987,-1)</f>
        <v>0.167741935483871</v>
      </c>
      <c r="AV987" s="51" t="n">
        <f aca="false">IF(AND(OR(CC987="L1",CC987="L23",CC987="LIFT"),AR987&gt;0),SUMIFS($AR$7:$AR$1843,$CC$7:$CC$1843,CC987,$AU$7:$AU$1843,"&gt;"&amp;AU987)+SUMIFS($AR$7:$AR$1843,$CC$7:$CC$1843,CC987,$AU$7:$AU$1843,AU987,$BT$7:$BT$1843,"&lt;="&amp;BT987),"")</f>
        <v>19320.4235347985</v>
      </c>
      <c r="AW987" s="58" t="n">
        <f aca="false">IF(AV987="",0,MAX(0,MIN(1,(IF(CC987="L1",Parameter!$H$5,IF(CC987="L23",Parameter!$H$6+Parameter!$H$7,Parameter!$H$5+Parameter!$H$6+Parameter!$H$7))-(AV987-AR987))/AR987)))</f>
        <v>1</v>
      </c>
      <c r="AX987" s="50" t="n">
        <f aca="false">IF(LEFT(Cockpit!$O$5,1)="A",H987,IF(CE987=1,CF987,IF(LEFT(Cockpit!$O$5,1)="B",BC987,MAX(BC987,H987))))</f>
        <v>8</v>
      </c>
      <c r="AY987" s="50" t="n">
        <f aca="false">IF(BW987=1,0,ROUNDUP(AX987/BV987,0))</f>
        <v>1</v>
      </c>
      <c r="AZ987" s="52" t="n">
        <f aca="false">IF(CL987&gt;0,CL987*MAX(1,AX987/X987),IF(BW987=1,IF(AX987&lt;=0,0,CA987*MAX(1,IF(H987&gt;0,AX987/H987,1))),IF(R987&gt;0,AY987/R987,0))/MAX(0.1,N(Parameter!$M$21)))</f>
        <v>0.0384615384615385</v>
      </c>
      <c r="BA987" s="50" t="n">
        <f aca="false">AZ987*BY987</f>
        <v>5.96153846153846</v>
      </c>
      <c r="BB987" s="50" t="n">
        <f aca="false">AX987*G987</f>
        <v>646.48</v>
      </c>
      <c r="BC987" s="50" t="n">
        <f aca="false">ROUNDUP(MAX(J987/IF(CD987&gt;0,CD987,MAX(0.1,N(Cockpit!$O$6))),CG987)/BV987,0)*BV987</f>
        <v>8</v>
      </c>
      <c r="BD987" s="51" t="n">
        <f aca="false">IF(BA987&gt;0,J987/BA987,-1)</f>
        <v>0.167741935483871</v>
      </c>
      <c r="BE987" s="51" t="n">
        <f aca="false">IF(AND(OR(CC987="L1",CC987="L23",CC987="LIFT"),BA987&gt;0),SUMIFS($BA$7:$BA$1843,$CC$7:$CC$1843,CC987,$BD$7:$BD$1843,"&gt;"&amp;BD987)+SUMIFS($BA$7:$BA$1843,$CC$7:$CC$1843,CC987,$BD$7:$BD$1843,BD987,$BT$7:$BT$1843,"&lt;="&amp;BT987),"")</f>
        <v>17346.4972527473</v>
      </c>
      <c r="BF987" s="58" t="n">
        <f aca="false">IF(BE987="",0,MAX(0,MIN(1,(IF(CC987="L1",Parameter!$H$5,IF(CC987="L23",Parameter!$H$6+Parameter!$H$7,Parameter!$H$5+Parameter!$H$6+Parameter!$H$7))-(BE987-BA987))/BA987)))</f>
        <v>1</v>
      </c>
      <c r="BG987" s="48" t="str">
        <f aca="false">IF(AI987&lt;=0,"",IF(CC987="Aussen","Aussenlager",IF(CC987="-","Nicht im Lift",IF(AN987&gt;=1,"Lift",IF(AN987&lt;=0,"Aussenlager","teilweise")))))</f>
        <v>Lift</v>
      </c>
      <c r="BH987" s="48" t="str">
        <f aca="false">IF(AR987&lt;=0,"",IF(CC987="Aussen","Aussenlager",IF(CC987="-","Nicht im Lift",IF(AW987&gt;=1,"Lift",IF(AW987&lt;=0,"Aussenlager","teilweise")))))</f>
        <v>Lift</v>
      </c>
      <c r="BI987" s="48" t="str">
        <f aca="false">IF(BA987&lt;=0,"",IF(CC987="Aussen","Aussenlager",IF(CC987="-","Nicht im Lift",IF(BF987&gt;=1,"Lift",IF(BF987&lt;=0,"Aussenlager","teilweise")))))</f>
        <v>Lift</v>
      </c>
      <c r="BJ987" s="48" t="str">
        <f aca="false">IF(A987="","",IF(BS987=1,"Neu; ","")&amp;IF(AND(BS987=0,BN987&lt;0),"negativer Bestand (Export "&amp;BN987&amp;"); ","")&amp;IF(J987&lt;=0,"Kein Verbrauch; ","")&amp;IF(CL987&gt;0,"Lift "&amp;W987&amp;" lt. Liftbericht (Fach "&amp;X987&amp;" Stk); ",IF(BX987=1,"Gebinde geschätzt ("&amp;T987&amp;"); ",IF(BW987=1,"Lose – Tablare geschätzt; ","")))&amp;IF(H987&gt;AT987,"Überbestand "&amp;ROUND(H987-AT987,0)&amp;" Stk / CHF "&amp;ROUND((H987-AT987)*G987,0)&amp;"; ","")&amp;IF(AND(CE987=1,CF987&lt;CG987),"MAX &lt; MB+LG; ","")&amp;IF(AND(CK987&gt;0,CJ987*10&gt;CK987),"zu hoch für Tablar; ","")&amp;IF(AND(BS987=0,OR(CE987=1,AA987&lt;&gt;"",U987&lt;&gt;"",V987&lt;&gt;"",AB987&lt;&gt;"")),"manuell übersteuert; ","")&amp;IF(AND(BW987=0,R987=0),"Gebinde unbekannt / Stellmass fehlt; ","")&amp;IF(AND(BW987=0,N(V987)&lt;=0,N(Q987)&lt;=0),"Menge pro Gebinde fehlt (Ist = 1 Gebinde); ","")&amp;BR987)</f>
        <v>negativer Bestand (Export -1); </v>
      </c>
      <c r="BK987" s="48"/>
      <c r="BL987" s="48"/>
      <c r="BM987" s="55"/>
      <c r="BN987" s="50" t="n">
        <v>-1</v>
      </c>
      <c r="BO987" s="50" t="n">
        <v>2</v>
      </c>
      <c r="BP987" s="49" t="n">
        <v>-80.81</v>
      </c>
      <c r="BQ987" s="50" t="n">
        <v>1</v>
      </c>
      <c r="BR987" s="48"/>
      <c r="BS987" s="53" t="n">
        <v>0</v>
      </c>
      <c r="BT987" s="53" t="n">
        <v>987</v>
      </c>
      <c r="BU987" s="48" t="str">
        <f aca="false">IF(U987&lt;&gt;"",UPPER(TRIM(U987)),IF(BX987=1,UPPER(VLOOKUP(T987,Parameter!$I$27:$K$29,2,0)),IF(P987="","LOSE",P987)))</f>
        <v>S51</v>
      </c>
      <c r="BV987" s="50" t="n">
        <f aca="false">IF(BU987="LOSE",1,IF(N(V987)&gt;0,V987,IF(BX987=1,MAX(1,N(VLOOKUP(T987,Parameter!$I$27:$K$29,3,0)),H987,N(N987)),IF(N(Q987)&gt;0,Q987,MAX(1,H987)))))</f>
        <v>8</v>
      </c>
      <c r="BW987" s="53" t="n">
        <f aca="false">IF(BU987="LOSE",1,0)</f>
        <v>0</v>
      </c>
      <c r="BX987" s="53" t="n">
        <f aca="false">IF(AND(U987="",OR(P987="",P987="LOSE"),T987&lt;&gt;"",N(S987)&lt;=0,ISNUMBER(MATCH(T987,Parameter!$I$27:$I$29,0))),1,0)</f>
        <v>0</v>
      </c>
      <c r="BY987" s="53" t="n">
        <f aca="false">IF(CL987&gt;0,INDEX(Parameter!$H$5:$H$7,W987)/INDEX(Parameter!$E$5:$E$7,W987),IF(AND(BW987=0,N(IFERROR(VLOOKUP(BU987,'Gebinde-Kategorie'!$A$5:$N$45,14,0),0))&gt;0),VLOOKUP(BU987,'Gebinde-Kategorie'!$A$5:$N$45,14,0)*10+Parameter!$M$23,Parameter!$M$24))</f>
        <v>155</v>
      </c>
      <c r="BZ987" s="48" t="str">
        <f aca="false">IF(AND(Parameter!$B$19="Ja",E987&lt;&gt;"",ISNUMBER(MATCH(E987,Parameter!$I$35:$I$52,0))),VLOOKUP(E987,Parameter!$I$35:$J$52,2,0),IFERROR(VLOOKUP(D987,Parameter!$A$35:$C$64,2,0),"Nein"))</f>
        <v>2+3</v>
      </c>
      <c r="CA987" s="52" t="n">
        <f aca="false">IF(BW987=0,0,IF(N(S987)&gt;0,S987,IFERROR(VLOOKUP(D987,Parameter!$A$35:$C$64,3,0)+0,0)))</f>
        <v>0</v>
      </c>
      <c r="CB987" s="48" t="n">
        <f aca="false">IF(AA987&lt;&gt;"",AA987,Z987)</f>
        <v>3</v>
      </c>
      <c r="CC987" s="48" t="str">
        <f aca="false">IF(OR(CB987=1,CB987=2,CB987=3),IF(Parameter!$E$27="Ja","LIFT",IF(CB987=1,"L1","L23")),IF(CB987="Aussen","Aussen","-"))</f>
        <v>LIFT</v>
      </c>
      <c r="CD987" s="59" t="n">
        <f aca="false">IF(N(AB987)&gt;0,AB987,0)</f>
        <v>0</v>
      </c>
      <c r="CE987" s="53" t="n">
        <f aca="false">IF(ISNUMBER(AE987),1,0)</f>
        <v>0</v>
      </c>
      <c r="CF987" s="50" t="n">
        <f aca="false">N(AE987)</f>
        <v>0</v>
      </c>
      <c r="CG987" s="50" t="n">
        <f aca="false">N(M987)+N(N987)</f>
        <v>1</v>
      </c>
      <c r="CH987" s="50" t="n">
        <f aca="false">ROUNDUP(H987/BV987,0)</f>
        <v>1</v>
      </c>
      <c r="CI987" s="50" t="n">
        <f aca="false">ROUNDUP(CF987/BV987,0)</f>
        <v>0</v>
      </c>
      <c r="CJ987" s="53" t="n">
        <f aca="false">IF(BW987=1,0,IFERROR(VLOOKUP(BU987,'Gebinde-Kategorie'!$A$5:$N$45,5,0)+0,0))</f>
        <v>11</v>
      </c>
      <c r="CK987" s="53" t="n">
        <f aca="false">IFERROR(IF(OR(CB987=1,CB987=2,CB987=3),N(INDEX(Parameter!$I$5:$I$7,CB987)),0),0)</f>
        <v>0</v>
      </c>
      <c r="CL987" s="52" t="n">
        <f aca="false">IF(AND(Parameter!$B$21="Ja",ISNUMBER(W987),N(X987)&gt;0),IFERROR(N(INDEX(Parameter!$L$5:$L$7,W987))*INDEX(Parameter!$E$5:$E$7,W987)*X987/SUMIFS($X$7:$X$1843,$W$7:$W$1843,W987),0),0)</f>
        <v>0</v>
      </c>
    </row>
    <row r="988" customFormat="false" ht="15" hidden="false" customHeight="false" outlineLevel="0" collapsed="false">
      <c r="A988" s="48" t="s">
        <v>1831</v>
      </c>
      <c r="B988" s="48" t="s">
        <v>1737</v>
      </c>
      <c r="C988" s="48" t="s">
        <v>168</v>
      </c>
      <c r="D988" s="48" t="s">
        <v>188</v>
      </c>
      <c r="E988" s="48" t="s">
        <v>189</v>
      </c>
      <c r="F988" s="48" t="s">
        <v>222</v>
      </c>
      <c r="G988" s="49" t="n">
        <v>40.5</v>
      </c>
      <c r="H988" s="50" t="n">
        <f aca="false">MAX(0,IF(AND(Parameter!$B$21="Ja",ISNUMBER(Y988)),Y988,IF(Parameter!$B$20="Jahresanfang 2025 + Export",BO988+BN988,BN988)))</f>
        <v>25</v>
      </c>
      <c r="I988" s="50" t="n">
        <f aca="false">H988*G988</f>
        <v>1012.5</v>
      </c>
      <c r="J988" s="50" t="n">
        <f aca="false">BQ988*Parameter!$B$18</f>
        <v>4</v>
      </c>
      <c r="K988" s="51" t="n">
        <v>25.5</v>
      </c>
      <c r="L988" s="52" t="n">
        <v>0.156862745098039</v>
      </c>
      <c r="M988" s="50" t="n">
        <v>0</v>
      </c>
      <c r="N988" s="50" t="n">
        <v>5</v>
      </c>
      <c r="O988" s="53" t="n">
        <v>14</v>
      </c>
      <c r="P988" s="48" t="s">
        <v>425</v>
      </c>
      <c r="Q988" s="50" t="n">
        <v>29</v>
      </c>
      <c r="R988" s="53" t="n">
        <f aca="false">IF(BW988=1,0,IFERROR(VLOOKUP(BU988,'Gebinde-Kategorie'!$A$5:$N$45,13,0)+0,0))</f>
        <v>104</v>
      </c>
      <c r="S988" s="54"/>
      <c r="T988" s="55"/>
      <c r="U988" s="55"/>
      <c r="V988" s="55"/>
      <c r="W988" s="48"/>
      <c r="X988" s="50"/>
      <c r="Y988" s="50"/>
      <c r="Z988" s="48" t="n">
        <f aca="false">IF(A988="","",IF(AND(Parameter!$B$21="Ja",ISNUMBER(W988)),W988,IF(BZ988="2+3",IF(ISNUMBER(SEARCH("grosser Artikel",BR988)),2,IFERROR(VLOOKUP(BU988,Parameter!$F$35:$G$64,2,0),2)),IF(OR(BZ988="Nein",BZ988=""),"-",BZ988))))</f>
        <v>3</v>
      </c>
      <c r="AA988" s="55"/>
      <c r="AB988" s="56"/>
      <c r="AC988" s="50" t="n">
        <f aca="false">AT988</f>
        <v>29</v>
      </c>
      <c r="AD988" s="50" t="n">
        <f aca="false">MAX(AT988,H988)</f>
        <v>29</v>
      </c>
      <c r="AE988" s="57"/>
      <c r="AF988" s="50" t="n">
        <f aca="false">IF(LEFT(Cockpit!$C$5,1)="A",H988,IF(CE988=1,CF988,IF(LEFT(Cockpit!$C$5,1)="B",AK988,MAX(AK988,H988))))</f>
        <v>25</v>
      </c>
      <c r="AG988" s="50" t="n">
        <f aca="false">IF(BW988=1,0,ROUNDUP(AF988/BV988,0))</f>
        <v>1</v>
      </c>
      <c r="AH988" s="52" t="n">
        <f aca="false">IF(CL988&gt;0,CL988*MAX(1,AF988/X988),IF(BW988=1,IF(AF988&lt;=0,0,CA988*MAX(1,IF(H988&gt;0,AF988/H988,1))),IF(R988&gt;0,AG988/R988,0))/MAX(0.1,N(Parameter!$M$21)))</f>
        <v>0.00961538461538462</v>
      </c>
      <c r="AI988" s="50" t="n">
        <f aca="false">AH988*BY988</f>
        <v>1.49038461538462</v>
      </c>
      <c r="AJ988" s="50" t="n">
        <f aca="false">AF988*G988</f>
        <v>1012.5</v>
      </c>
      <c r="AK988" s="50" t="n">
        <f aca="false">ROUNDUP(MAX(J988/IF(CD988&gt;0,CD988,MAX(0.1,N(Cockpit!$C$6))),CG988)/BV988,0)*BV988</f>
        <v>29</v>
      </c>
      <c r="AL988" s="51" t="n">
        <f aca="false">IF(AI988&gt;0,J988/AI988,-1)</f>
        <v>2.68387096774194</v>
      </c>
      <c r="AM988" s="51" t="n">
        <f aca="false">IF(AND(OR(CC988="L1",CC988="L23",CC988="LIFT"),AI988&gt;0),SUMIFS($AI$7:$AI$1843,$CC$7:$CC$1843,CC988,$AL$7:$AL$1843,"&gt;"&amp;AL988)+SUMIFS($AI$7:$AI$1843,$CC$7:$CC$1843,CC988,$AL$7:$AL$1843,AL988,$BT$7:$BT$1843,"&lt;="&amp;BT988),"")</f>
        <v>5339.85210622711</v>
      </c>
      <c r="AN988" s="58" t="n">
        <f aca="false">IF(AM988="",0,MAX(0,MIN(1,(IF(CC988="L1",Parameter!$H$5,IF(CC988="L23",Parameter!$H$6+Parameter!$H$7,Parameter!$H$5+Parameter!$H$6+Parameter!$H$7))-(AM988-AI988))/AI988)))</f>
        <v>1</v>
      </c>
      <c r="AO988" s="50" t="n">
        <f aca="false">IF(LEFT(Cockpit!$I$5,1)="A",H988,IF(CE988=1,CF988,IF(LEFT(Cockpit!$I$5,1)="B",AT988,MAX(AT988,H988))))</f>
        <v>29</v>
      </c>
      <c r="AP988" s="50" t="n">
        <f aca="false">IF(BW988=1,0,ROUNDUP(AO988/BV988,0))</f>
        <v>1</v>
      </c>
      <c r="AQ988" s="52" t="n">
        <f aca="false">IF(CL988&gt;0,CL988*MAX(1,AO988/X988),IF(BW988=1,IF(AO988&lt;=0,0,CA988*MAX(1,IF(H988&gt;0,AO988/H988,1))),IF(R988&gt;0,AP988/R988,0))/MAX(0.1,N(Parameter!$M$21)))</f>
        <v>0.00961538461538462</v>
      </c>
      <c r="AR988" s="50" t="n">
        <f aca="false">AQ988*BY988</f>
        <v>1.49038461538462</v>
      </c>
      <c r="AS988" s="50" t="n">
        <f aca="false">AO988*G988</f>
        <v>1174.5</v>
      </c>
      <c r="AT988" s="50" t="n">
        <f aca="false">ROUNDUP(MAX(J988/IF(CD988&gt;0,CD988,MAX(0.1,N(Cockpit!$I$6))),CG988)/BV988,0)*BV988</f>
        <v>29</v>
      </c>
      <c r="AU988" s="51" t="n">
        <f aca="false">IF(AR988&gt;0,J988/AR988,-1)</f>
        <v>2.68387096774194</v>
      </c>
      <c r="AV988" s="51" t="n">
        <f aca="false">IF(AND(OR(CC988="L1",CC988="L23",CC988="LIFT"),AR988&gt;0),SUMIFS($AR$7:$AR$1843,$CC$7:$CC$1843,CC988,$AU$7:$AU$1843,"&gt;"&amp;AU988)+SUMIFS($AR$7:$AR$1843,$CC$7:$CC$1843,CC988,$AU$7:$AU$1843,AU988,$BT$7:$BT$1843,"&lt;="&amp;BT988),"")</f>
        <v>6719.56043956044</v>
      </c>
      <c r="AW988" s="58" t="n">
        <f aca="false">IF(AV988="",0,MAX(0,MIN(1,(IF(CC988="L1",Parameter!$H$5,IF(CC988="L23",Parameter!$H$6+Parameter!$H$7,Parameter!$H$5+Parameter!$H$6+Parameter!$H$7))-(AV988-AR988))/AR988)))</f>
        <v>1</v>
      </c>
      <c r="AX988" s="50" t="n">
        <f aca="false">IF(LEFT(Cockpit!$O$5,1)="A",H988,IF(CE988=1,CF988,IF(LEFT(Cockpit!$O$5,1)="B",BC988,MAX(BC988,H988))))</f>
        <v>29</v>
      </c>
      <c r="AY988" s="50" t="n">
        <f aca="false">IF(BW988=1,0,ROUNDUP(AX988/BV988,0))</f>
        <v>1</v>
      </c>
      <c r="AZ988" s="52" t="n">
        <f aca="false">IF(CL988&gt;0,CL988*MAX(1,AX988/X988),IF(BW988=1,IF(AX988&lt;=0,0,CA988*MAX(1,IF(H988&gt;0,AX988/H988,1))),IF(R988&gt;0,AY988/R988,0))/MAX(0.1,N(Parameter!$M$21)))</f>
        <v>0.00961538461538462</v>
      </c>
      <c r="BA988" s="50" t="n">
        <f aca="false">AZ988*BY988</f>
        <v>1.49038461538462</v>
      </c>
      <c r="BB988" s="50" t="n">
        <f aca="false">AX988*G988</f>
        <v>1174.5</v>
      </c>
      <c r="BC988" s="50" t="n">
        <f aca="false">ROUNDUP(MAX(J988/IF(CD988&gt;0,CD988,MAX(0.1,N(Cockpit!$O$6))),CG988)/BV988,0)*BV988</f>
        <v>29</v>
      </c>
      <c r="BD988" s="51" t="n">
        <f aca="false">IF(BA988&gt;0,J988/BA988,-1)</f>
        <v>2.68387096774194</v>
      </c>
      <c r="BE988" s="51" t="n">
        <f aca="false">IF(AND(OR(CC988="L1",CC988="L23",CC988="LIFT"),BA988&gt;0),SUMIFS($BA$7:$BA$1843,$CC$7:$CC$1843,CC988,$BD$7:$BD$1843,"&gt;"&amp;BD988)+SUMIFS($BA$7:$BA$1843,$CC$7:$CC$1843,CC988,$BD$7:$BD$1843,BD988,$BT$7:$BT$1843,"&lt;="&amp;BT988),"")</f>
        <v>6502.71749084249</v>
      </c>
      <c r="BF988" s="58" t="n">
        <f aca="false">IF(BE988="",0,MAX(0,MIN(1,(IF(CC988="L1",Parameter!$H$5,IF(CC988="L23",Parameter!$H$6+Parameter!$H$7,Parameter!$H$5+Parameter!$H$6+Parameter!$H$7))-(BE988-BA988))/BA988)))</f>
        <v>1</v>
      </c>
      <c r="BG988" s="48" t="str">
        <f aca="false">IF(AI988&lt;=0,"",IF(CC988="Aussen","Aussenlager",IF(CC988="-","Nicht im Lift",IF(AN988&gt;=1,"Lift",IF(AN988&lt;=0,"Aussenlager","teilweise")))))</f>
        <v>Lift</v>
      </c>
      <c r="BH988" s="48" t="str">
        <f aca="false">IF(AR988&lt;=0,"",IF(CC988="Aussen","Aussenlager",IF(CC988="-","Nicht im Lift",IF(AW988&gt;=1,"Lift",IF(AW988&lt;=0,"Aussenlager","teilweise")))))</f>
        <v>Lift</v>
      </c>
      <c r="BI988" s="48" t="str">
        <f aca="false">IF(BA988&lt;=0,"",IF(CC988="Aussen","Aussenlager",IF(CC988="-","Nicht im Lift",IF(BF988&gt;=1,"Lift",IF(BF988&lt;=0,"Aussenlager","teilweise")))))</f>
        <v>Lift</v>
      </c>
      <c r="BJ988" s="48" t="str">
        <f aca="false">IF(A988="","",IF(BS988=1,"Neu; ","")&amp;IF(AND(BS988=0,BN988&lt;0),"negativer Bestand (Export "&amp;BN988&amp;"); ","")&amp;IF(J988&lt;=0,"Kein Verbrauch; ","")&amp;IF(CL988&gt;0,"Lift "&amp;W988&amp;" lt. Liftbericht (Fach "&amp;X988&amp;" Stk); ",IF(BX988=1,"Gebinde geschätzt ("&amp;T988&amp;"); ",IF(BW988=1,"Lose – Tablare geschätzt; ","")))&amp;IF(H988&gt;AT988,"Überbestand "&amp;ROUND(H988-AT988,0)&amp;" Stk / CHF "&amp;ROUND((H988-AT988)*G988,0)&amp;"; ","")&amp;IF(AND(CE988=1,CF988&lt;CG988),"MAX &lt; MB+LG; ","")&amp;IF(AND(CK988&gt;0,CJ988*10&gt;CK988),"zu hoch für Tablar; ","")&amp;IF(AND(BS988=0,OR(CE988=1,AA988&lt;&gt;"",U988&lt;&gt;"",V988&lt;&gt;"",AB988&lt;&gt;"")),"manuell übersteuert; ","")&amp;IF(AND(BW988=0,R988=0),"Gebinde unbekannt / Stellmass fehlt; ","")&amp;IF(AND(BW988=0,N(V988)&lt;=0,N(Q988)&lt;=0),"Menge pro Gebinde fehlt (Ist = 1 Gebinde); ","")&amp;BR988)</f>
        <v>negativer Bestand (Export -2); </v>
      </c>
      <c r="BK988" s="48"/>
      <c r="BL988" s="48"/>
      <c r="BM988" s="55"/>
      <c r="BN988" s="50" t="n">
        <v>-2</v>
      </c>
      <c r="BO988" s="50" t="n">
        <v>27</v>
      </c>
      <c r="BP988" s="49" t="n">
        <v>-81</v>
      </c>
      <c r="BQ988" s="50" t="n">
        <v>4</v>
      </c>
      <c r="BR988" s="48"/>
      <c r="BS988" s="53" t="n">
        <v>0</v>
      </c>
      <c r="BT988" s="53" t="n">
        <v>988</v>
      </c>
      <c r="BU988" s="48" t="str">
        <f aca="false">IF(U988&lt;&gt;"",UPPER(TRIM(U988)),IF(BX988=1,UPPER(VLOOKUP(T988,Parameter!$I$27:$K$29,2,0)),IF(P988="","LOSE",P988)))</f>
        <v>S32</v>
      </c>
      <c r="BV988" s="50" t="n">
        <f aca="false">IF(BU988="LOSE",1,IF(N(V988)&gt;0,V988,IF(BX988=1,MAX(1,N(VLOOKUP(T988,Parameter!$I$27:$K$29,3,0)),H988,N(N988)),IF(N(Q988)&gt;0,Q988,MAX(1,H988)))))</f>
        <v>29</v>
      </c>
      <c r="BW988" s="53" t="n">
        <f aca="false">IF(BU988="LOSE",1,0)</f>
        <v>0</v>
      </c>
      <c r="BX988" s="53" t="n">
        <f aca="false">IF(AND(U988="",OR(P988="",P988="LOSE"),T988&lt;&gt;"",N(S988)&lt;=0,ISNUMBER(MATCH(T988,Parameter!$I$27:$I$29,0))),1,0)</f>
        <v>0</v>
      </c>
      <c r="BY988" s="53" t="n">
        <f aca="false">IF(CL988&gt;0,INDEX(Parameter!$H$5:$H$7,W988)/INDEX(Parameter!$E$5:$E$7,W988),IF(AND(BW988=0,N(IFERROR(VLOOKUP(BU988,'Gebinde-Kategorie'!$A$5:$N$45,14,0),0))&gt;0),VLOOKUP(BU988,'Gebinde-Kategorie'!$A$5:$N$45,14,0)*10+Parameter!$M$23,Parameter!$M$24))</f>
        <v>155</v>
      </c>
      <c r="BZ988" s="48" t="str">
        <f aca="false">IF(AND(Parameter!$B$19="Ja",E988&lt;&gt;"",ISNUMBER(MATCH(E988,Parameter!$I$35:$I$52,0))),VLOOKUP(E988,Parameter!$I$35:$J$52,2,0),IFERROR(VLOOKUP(D988,Parameter!$A$35:$C$64,2,0),"Nein"))</f>
        <v>2+3</v>
      </c>
      <c r="CA988" s="52" t="n">
        <f aca="false">IF(BW988=0,0,IF(N(S988)&gt;0,S988,IFERROR(VLOOKUP(D988,Parameter!$A$35:$C$64,3,0)+0,0)))</f>
        <v>0</v>
      </c>
      <c r="CB988" s="48" t="n">
        <f aca="false">IF(AA988&lt;&gt;"",AA988,Z988)</f>
        <v>3</v>
      </c>
      <c r="CC988" s="48" t="str">
        <f aca="false">IF(OR(CB988=1,CB988=2,CB988=3),IF(Parameter!$E$27="Ja","LIFT",IF(CB988=1,"L1","L23")),IF(CB988="Aussen","Aussen","-"))</f>
        <v>LIFT</v>
      </c>
      <c r="CD988" s="59" t="n">
        <f aca="false">IF(N(AB988)&gt;0,AB988,0)</f>
        <v>0</v>
      </c>
      <c r="CE988" s="53" t="n">
        <f aca="false">IF(ISNUMBER(AE988),1,0)</f>
        <v>0</v>
      </c>
      <c r="CF988" s="50" t="n">
        <f aca="false">N(AE988)</f>
        <v>0</v>
      </c>
      <c r="CG988" s="50" t="n">
        <f aca="false">N(M988)+N(N988)</f>
        <v>5</v>
      </c>
      <c r="CH988" s="50" t="n">
        <f aca="false">ROUNDUP(H988/BV988,0)</f>
        <v>1</v>
      </c>
      <c r="CI988" s="50" t="n">
        <f aca="false">ROUNDUP(CF988/BV988,0)</f>
        <v>0</v>
      </c>
      <c r="CJ988" s="53" t="n">
        <f aca="false">IF(BW988=1,0,IFERROR(VLOOKUP(BU988,'Gebinde-Kategorie'!$A$5:$N$45,5,0)+0,0))</f>
        <v>8</v>
      </c>
      <c r="CK988" s="53" t="n">
        <f aca="false">IFERROR(IF(OR(CB988=1,CB988=2,CB988=3),N(INDEX(Parameter!$I$5:$I$7,CB988)),0),0)</f>
        <v>0</v>
      </c>
      <c r="CL988" s="52" t="n">
        <f aca="false">IF(AND(Parameter!$B$21="Ja",ISNUMBER(W988),N(X988)&gt;0),IFERROR(N(INDEX(Parameter!$L$5:$L$7,W988))*INDEX(Parameter!$E$5:$E$7,W988)*X988/SUMIFS($X$7:$X$1843,$W$7:$W$1843,W988),0),0)</f>
        <v>0</v>
      </c>
    </row>
    <row r="989" customFormat="false" ht="15" hidden="false" customHeight="false" outlineLevel="0" collapsed="false">
      <c r="A989" s="48" t="s">
        <v>1832</v>
      </c>
      <c r="B989" s="48" t="s">
        <v>1833</v>
      </c>
      <c r="C989" s="48" t="s">
        <v>168</v>
      </c>
      <c r="D989" s="48" t="s">
        <v>188</v>
      </c>
      <c r="E989" s="48" t="s">
        <v>189</v>
      </c>
      <c r="F989" s="48" t="s">
        <v>222</v>
      </c>
      <c r="G989" s="49" t="n">
        <v>20.42</v>
      </c>
      <c r="H989" s="50" t="n">
        <f aca="false">MAX(0,IF(AND(Parameter!$B$21="Ja",ISNUMBER(Y989)),Y989,IF(Parameter!$B$20="Jahresanfang 2025 + Export",BO989+BN989,BN989)))</f>
        <v>56</v>
      </c>
      <c r="I989" s="50" t="n">
        <f aca="false">H989*G989</f>
        <v>1143.52</v>
      </c>
      <c r="J989" s="50" t="n">
        <f aca="false">BQ989*Parameter!$B$18</f>
        <v>0</v>
      </c>
      <c r="K989" s="51" t="n">
        <v>60</v>
      </c>
      <c r="L989" s="52" t="n">
        <v>0</v>
      </c>
      <c r="M989" s="50" t="n">
        <v>0</v>
      </c>
      <c r="N989" s="50" t="n">
        <v>1</v>
      </c>
      <c r="O989" s="53" t="n">
        <v>14</v>
      </c>
      <c r="P989" s="48" t="s">
        <v>480</v>
      </c>
      <c r="Q989" s="50" t="n">
        <v>88</v>
      </c>
      <c r="R989" s="53" t="n">
        <f aca="false">IF(BW989=1,0,IFERROR(VLOOKUP(BU989,'Gebinde-Kategorie'!$A$5:$N$45,13,0)+0,0))</f>
        <v>52</v>
      </c>
      <c r="S989" s="54"/>
      <c r="T989" s="55"/>
      <c r="U989" s="55"/>
      <c r="V989" s="55"/>
      <c r="W989" s="48"/>
      <c r="X989" s="50"/>
      <c r="Y989" s="50"/>
      <c r="Z989" s="48" t="n">
        <f aca="false">IF(A989="","",IF(AND(Parameter!$B$21="Ja",ISNUMBER(W989)),W989,IF(BZ989="2+3",IF(ISNUMBER(SEARCH("grosser Artikel",BR989)),2,IFERROR(VLOOKUP(BU989,Parameter!$F$35:$G$64,2,0),2)),IF(OR(BZ989="Nein",BZ989=""),"-",BZ989))))</f>
        <v>3</v>
      </c>
      <c r="AA989" s="55"/>
      <c r="AB989" s="56"/>
      <c r="AC989" s="50" t="n">
        <f aca="false">AT989</f>
        <v>88</v>
      </c>
      <c r="AD989" s="50" t="n">
        <f aca="false">MAX(AT989,H989)</f>
        <v>88</v>
      </c>
      <c r="AE989" s="57"/>
      <c r="AF989" s="50" t="n">
        <f aca="false">IF(LEFT(Cockpit!$C$5,1)="A",H989,IF(CE989=1,CF989,IF(LEFT(Cockpit!$C$5,1)="B",AK989,MAX(AK989,H989))))</f>
        <v>56</v>
      </c>
      <c r="AG989" s="50" t="n">
        <f aca="false">IF(BW989=1,0,ROUNDUP(AF989/BV989,0))</f>
        <v>1</v>
      </c>
      <c r="AH989" s="52" t="n">
        <f aca="false">IF(CL989&gt;0,CL989*MAX(1,AF989/X989),IF(BW989=1,IF(AF989&lt;=0,0,CA989*MAX(1,IF(H989&gt;0,AF989/H989,1))),IF(R989&gt;0,AG989/R989,0))/MAX(0.1,N(Parameter!$M$21)))</f>
        <v>0.0192307692307692</v>
      </c>
      <c r="AI989" s="50" t="n">
        <f aca="false">AH989*BY989</f>
        <v>2.98076923076923</v>
      </c>
      <c r="AJ989" s="50" t="n">
        <f aca="false">AF989*G989</f>
        <v>1143.52</v>
      </c>
      <c r="AK989" s="50" t="n">
        <f aca="false">ROUNDUP(MAX(J989/IF(CD989&gt;0,CD989,MAX(0.1,N(Cockpit!$C$6))),CG989)/BV989,0)*BV989</f>
        <v>88</v>
      </c>
      <c r="AL989" s="51" t="n">
        <f aca="false">IF(AI989&gt;0,J989/AI989,-1)</f>
        <v>0</v>
      </c>
      <c r="AM989" s="51" t="n">
        <f aca="false">IF(AND(OR(CC989="L1",CC989="L23",CC989="LIFT"),AI989&gt;0),SUMIFS($AI$7:$AI$1843,$CC$7:$CC$1843,CC989,$AL$7:$AL$1843,"&gt;"&amp;AL989)+SUMIFS($AI$7:$AI$1843,$CC$7:$CC$1843,CC989,$AL$7:$AL$1843,AL989,$BT$7:$BT$1843,"&lt;="&amp;BT989),"")</f>
        <v>28922.1851498313</v>
      </c>
      <c r="AN989" s="58" t="n">
        <f aca="false">IF(AM989="",0,MAX(0,MIN(1,(IF(CC989="L1",Parameter!$H$5,IF(CC989="L23",Parameter!$H$6+Parameter!$H$7,Parameter!$H$5+Parameter!$H$6+Parameter!$H$7))-(AM989-AI989))/AI989)))</f>
        <v>1</v>
      </c>
      <c r="AO989" s="50" t="n">
        <f aca="false">IF(LEFT(Cockpit!$I$5,1)="A",H989,IF(CE989=1,CF989,IF(LEFT(Cockpit!$I$5,1)="B",AT989,MAX(AT989,H989))))</f>
        <v>88</v>
      </c>
      <c r="AP989" s="50" t="n">
        <f aca="false">IF(BW989=1,0,ROUNDUP(AO989/BV989,0))</f>
        <v>1</v>
      </c>
      <c r="AQ989" s="52" t="n">
        <f aca="false">IF(CL989&gt;0,CL989*MAX(1,AO989/X989),IF(BW989=1,IF(AO989&lt;=0,0,CA989*MAX(1,IF(H989&gt;0,AO989/H989,1))),IF(R989&gt;0,AP989/R989,0))/MAX(0.1,N(Parameter!$M$21)))</f>
        <v>0.0192307692307692</v>
      </c>
      <c r="AR989" s="50" t="n">
        <f aca="false">AQ989*BY989</f>
        <v>2.98076923076923</v>
      </c>
      <c r="AS989" s="50" t="n">
        <f aca="false">AO989*G989</f>
        <v>1796.96</v>
      </c>
      <c r="AT989" s="50" t="n">
        <f aca="false">ROUNDUP(MAX(J989/IF(CD989&gt;0,CD989,MAX(0.1,N(Cockpit!$I$6))),CG989)/BV989,0)*BV989</f>
        <v>88</v>
      </c>
      <c r="AU989" s="51" t="n">
        <f aca="false">IF(AR989&gt;0,J989/AR989,-1)</f>
        <v>0</v>
      </c>
      <c r="AV989" s="51" t="n">
        <f aca="false">IF(AND(OR(CC989="L1",CC989="L23",CC989="LIFT"),AR989&gt;0),SUMIFS($AR$7:$AR$1843,$CC$7:$CC$1843,CC989,$AU$7:$AU$1843,"&gt;"&amp;AU989)+SUMIFS($AR$7:$AR$1843,$CC$7:$CC$1843,CC989,$AU$7:$AU$1843,AU989,$BT$7:$BT$1843,"&lt;="&amp;BT989),"")</f>
        <v>40574.2747330353</v>
      </c>
      <c r="AW989" s="58" t="n">
        <f aca="false">IF(AV989="",0,MAX(0,MIN(1,(IF(CC989="L1",Parameter!$H$5,IF(CC989="L23",Parameter!$H$6+Parameter!$H$7,Parameter!$H$5+Parameter!$H$6+Parameter!$H$7))-(AV989-AR989))/AR989)))</f>
        <v>0</v>
      </c>
      <c r="AX989" s="50" t="n">
        <f aca="false">IF(LEFT(Cockpit!$O$5,1)="A",H989,IF(CE989=1,CF989,IF(LEFT(Cockpit!$O$5,1)="B",BC989,MAX(BC989,H989))))</f>
        <v>88</v>
      </c>
      <c r="AY989" s="50" t="n">
        <f aca="false">IF(BW989=1,0,ROUNDUP(AX989/BV989,0))</f>
        <v>1</v>
      </c>
      <c r="AZ989" s="52" t="n">
        <f aca="false">IF(CL989&gt;0,CL989*MAX(1,AX989/X989),IF(BW989=1,IF(AX989&lt;=0,0,CA989*MAX(1,IF(H989&gt;0,AX989/H989,1))),IF(R989&gt;0,AY989/R989,0))/MAX(0.1,N(Parameter!$M$21)))</f>
        <v>0.0192307692307692</v>
      </c>
      <c r="BA989" s="50" t="n">
        <f aca="false">AZ989*BY989</f>
        <v>2.98076923076923</v>
      </c>
      <c r="BB989" s="50" t="n">
        <f aca="false">AX989*G989</f>
        <v>1796.96</v>
      </c>
      <c r="BC989" s="50" t="n">
        <f aca="false">ROUNDUP(MAX(J989/IF(CD989&gt;0,CD989,MAX(0.1,N(Cockpit!$O$6))),CG989)/BV989,0)*BV989</f>
        <v>88</v>
      </c>
      <c r="BD989" s="51" t="n">
        <f aca="false">IF(BA989&gt;0,J989/BA989,-1)</f>
        <v>0</v>
      </c>
      <c r="BE989" s="51" t="n">
        <f aca="false">IF(AND(OR(CC989="L1",CC989="L23",CC989="LIFT"),BA989&gt;0),SUMIFS($BA$7:$BA$1843,$CC$7:$CC$1843,CC989,$BD$7:$BD$1843,"&gt;"&amp;BD989)+SUMIFS($BA$7:$BA$1843,$CC$7:$CC$1843,CC989,$BD$7:$BD$1843,BD989,$BT$7:$BT$1843,"&lt;="&amp;BT989),"")</f>
        <v>37249.2867749012</v>
      </c>
      <c r="BF989" s="58" t="n">
        <f aca="false">IF(BE989="",0,MAX(0,MIN(1,(IF(CC989="L1",Parameter!$H$5,IF(CC989="L23",Parameter!$H$6+Parameter!$H$7,Parameter!$H$5+Parameter!$H$6+Parameter!$H$7))-(BE989-BA989))/BA989)))</f>
        <v>0</v>
      </c>
      <c r="BG989" s="48" t="str">
        <f aca="false">IF(AI989&lt;=0,"",IF(CC989="Aussen","Aussenlager",IF(CC989="-","Nicht im Lift",IF(AN989&gt;=1,"Lift",IF(AN989&lt;=0,"Aussenlager","teilweise")))))</f>
        <v>Lift</v>
      </c>
      <c r="BH989" s="48" t="str">
        <f aca="false">IF(AR989&lt;=0,"",IF(CC989="Aussen","Aussenlager",IF(CC989="-","Nicht im Lift",IF(AW989&gt;=1,"Lift",IF(AW989&lt;=0,"Aussenlager","teilweise")))))</f>
        <v>Aussenlager</v>
      </c>
      <c r="BI989" s="48" t="str">
        <f aca="false">IF(BA989&lt;=0,"",IF(CC989="Aussen","Aussenlager",IF(CC989="-","Nicht im Lift",IF(BF989&gt;=1,"Lift",IF(BF989&lt;=0,"Aussenlager","teilweise")))))</f>
        <v>Aussenlager</v>
      </c>
      <c r="BJ989" s="48" t="str">
        <f aca="false">IF(A989="","",IF(BS989=1,"Neu; ","")&amp;IF(AND(BS989=0,BN989&lt;0),"negativer Bestand (Export "&amp;BN989&amp;"); ","")&amp;IF(J989&lt;=0,"Kein Verbrauch; ","")&amp;IF(CL989&gt;0,"Lift "&amp;W989&amp;" lt. Liftbericht (Fach "&amp;X989&amp;" Stk); ",IF(BX989=1,"Gebinde geschätzt ("&amp;T989&amp;"); ",IF(BW989=1,"Lose – Tablare geschätzt; ","")))&amp;IF(H989&gt;AT989,"Überbestand "&amp;ROUND(H989-AT989,0)&amp;" Stk / CHF "&amp;ROUND((H989-AT989)*G989,0)&amp;"; ","")&amp;IF(AND(CE989=1,CF989&lt;CG989),"MAX &lt; MB+LG; ","")&amp;IF(AND(CK989&gt;0,CJ989*10&gt;CK989),"zu hoch für Tablar; ","")&amp;IF(AND(BS989=0,OR(CE989=1,AA989&lt;&gt;"",U989&lt;&gt;"",V989&lt;&gt;"",AB989&lt;&gt;"")),"manuell übersteuert; ","")&amp;IF(AND(BW989=0,R989=0),"Gebinde unbekannt / Stellmass fehlt; ","")&amp;IF(AND(BW989=0,N(V989)&lt;=0,N(Q989)&lt;=0),"Menge pro Gebinde fehlt (Ist = 1 Gebinde); ","")&amp;BR989)</f>
        <v>negativer Bestand (Export -4); Kein Verbrauch; Überbestand</v>
      </c>
      <c r="BK989" s="48"/>
      <c r="BL989" s="48"/>
      <c r="BM989" s="55"/>
      <c r="BN989" s="50" t="n">
        <v>-4</v>
      </c>
      <c r="BO989" s="50" t="n">
        <v>60</v>
      </c>
      <c r="BP989" s="49" t="n">
        <v>-81.68</v>
      </c>
      <c r="BQ989" s="50" t="n">
        <v>0</v>
      </c>
      <c r="BR989" s="48" t="s">
        <v>396</v>
      </c>
      <c r="BS989" s="53" t="n">
        <v>0</v>
      </c>
      <c r="BT989" s="53" t="n">
        <v>989</v>
      </c>
      <c r="BU989" s="48" t="str">
        <f aca="false">IF(U989&lt;&gt;"",UPPER(TRIM(U989)),IF(BX989=1,UPPER(VLOOKUP(T989,Parameter!$I$27:$K$29,2,0)),IF(P989="","LOSE",P989)))</f>
        <v>S33</v>
      </c>
      <c r="BV989" s="50" t="n">
        <f aca="false">IF(BU989="LOSE",1,IF(N(V989)&gt;0,V989,IF(BX989=1,MAX(1,N(VLOOKUP(T989,Parameter!$I$27:$K$29,3,0)),H989,N(N989)),IF(N(Q989)&gt;0,Q989,MAX(1,H989)))))</f>
        <v>88</v>
      </c>
      <c r="BW989" s="53" t="n">
        <f aca="false">IF(BU989="LOSE",1,0)</f>
        <v>0</v>
      </c>
      <c r="BX989" s="53" t="n">
        <f aca="false">IF(AND(U989="",OR(P989="",P989="LOSE"),T989&lt;&gt;"",N(S989)&lt;=0,ISNUMBER(MATCH(T989,Parameter!$I$27:$I$29,0))),1,0)</f>
        <v>0</v>
      </c>
      <c r="BY989" s="53" t="n">
        <f aca="false">IF(CL989&gt;0,INDEX(Parameter!$H$5:$H$7,W989)/INDEX(Parameter!$E$5:$E$7,W989),IF(AND(BW989=0,N(IFERROR(VLOOKUP(BU989,'Gebinde-Kategorie'!$A$5:$N$45,14,0),0))&gt;0),VLOOKUP(BU989,'Gebinde-Kategorie'!$A$5:$N$45,14,0)*10+Parameter!$M$23,Parameter!$M$24))</f>
        <v>155</v>
      </c>
      <c r="BZ989" s="48" t="str">
        <f aca="false">IF(AND(Parameter!$B$19="Ja",E989&lt;&gt;"",ISNUMBER(MATCH(E989,Parameter!$I$35:$I$52,0))),VLOOKUP(E989,Parameter!$I$35:$J$52,2,0),IFERROR(VLOOKUP(D989,Parameter!$A$35:$C$64,2,0),"Nein"))</f>
        <v>2+3</v>
      </c>
      <c r="CA989" s="52" t="n">
        <f aca="false">IF(BW989=0,0,IF(N(S989)&gt;0,S989,IFERROR(VLOOKUP(D989,Parameter!$A$35:$C$64,3,0)+0,0)))</f>
        <v>0</v>
      </c>
      <c r="CB989" s="48" t="n">
        <f aca="false">IF(AA989&lt;&gt;"",AA989,Z989)</f>
        <v>3</v>
      </c>
      <c r="CC989" s="48" t="str">
        <f aca="false">IF(OR(CB989=1,CB989=2,CB989=3),IF(Parameter!$E$27="Ja","LIFT",IF(CB989=1,"L1","L23")),IF(CB989="Aussen","Aussen","-"))</f>
        <v>LIFT</v>
      </c>
      <c r="CD989" s="59" t="n">
        <f aca="false">IF(N(AB989)&gt;0,AB989,0)</f>
        <v>0</v>
      </c>
      <c r="CE989" s="53" t="n">
        <f aca="false">IF(ISNUMBER(AE989),1,0)</f>
        <v>0</v>
      </c>
      <c r="CF989" s="50" t="n">
        <f aca="false">N(AE989)</f>
        <v>0</v>
      </c>
      <c r="CG989" s="50" t="n">
        <f aca="false">N(M989)+N(N989)</f>
        <v>1</v>
      </c>
      <c r="CH989" s="50" t="n">
        <f aca="false">ROUNDUP(H989/BV989,0)</f>
        <v>1</v>
      </c>
      <c r="CI989" s="50" t="n">
        <f aca="false">ROUNDUP(CF989/BV989,0)</f>
        <v>0</v>
      </c>
      <c r="CJ989" s="53" t="n">
        <f aca="false">IF(BW989=1,0,IFERROR(VLOOKUP(BU989,'Gebinde-Kategorie'!$A$5:$N$45,5,0)+0,0))</f>
        <v>8</v>
      </c>
      <c r="CK989" s="53" t="n">
        <f aca="false">IFERROR(IF(OR(CB989=1,CB989=2,CB989=3),N(INDEX(Parameter!$I$5:$I$7,CB989)),0),0)</f>
        <v>0</v>
      </c>
      <c r="CL989" s="52" t="n">
        <f aca="false">IF(AND(Parameter!$B$21="Ja",ISNUMBER(W989),N(X989)&gt;0),IFERROR(N(INDEX(Parameter!$L$5:$L$7,W989))*INDEX(Parameter!$E$5:$E$7,W989)*X989/SUMIFS($X$7:$X$1843,$W$7:$W$1843,W989),0),0)</f>
        <v>0</v>
      </c>
    </row>
    <row r="990" customFormat="false" ht="15" hidden="false" customHeight="false" outlineLevel="0" collapsed="false">
      <c r="A990" s="48" t="s">
        <v>1834</v>
      </c>
      <c r="B990" s="48" t="s">
        <v>953</v>
      </c>
      <c r="C990" s="48" t="s">
        <v>168</v>
      </c>
      <c r="D990" s="48" t="s">
        <v>188</v>
      </c>
      <c r="E990" s="48" t="s">
        <v>189</v>
      </c>
      <c r="F990" s="48" t="s">
        <v>222</v>
      </c>
      <c r="G990" s="49" t="n">
        <v>0.32</v>
      </c>
      <c r="H990" s="50" t="n">
        <f aca="false">MAX(0,IF(AND(Parameter!$B$21="Ja",ISNUMBER(Y990)),Y990,IF(Parameter!$B$20="Jahresanfang 2025 + Export",BO990+BN990,BN990)))</f>
        <v>0</v>
      </c>
      <c r="I990" s="50" t="n">
        <f aca="false">H990*G990</f>
        <v>0</v>
      </c>
      <c r="J990" s="50" t="n">
        <f aca="false">BQ990*Parameter!$B$18</f>
        <v>140</v>
      </c>
      <c r="K990" s="51" t="n">
        <v>691.5</v>
      </c>
      <c r="L990" s="52" t="n">
        <v>0.202458423716558</v>
      </c>
      <c r="M990" s="50" t="n">
        <v>8</v>
      </c>
      <c r="N990" s="50" t="n">
        <v>200</v>
      </c>
      <c r="O990" s="53" t="n">
        <v>21</v>
      </c>
      <c r="P990" s="48" t="s">
        <v>430</v>
      </c>
      <c r="Q990" s="50" t="n">
        <v>787</v>
      </c>
      <c r="R990" s="53" t="n">
        <f aca="false">IF(BW990=1,0,IFERROR(VLOOKUP(BU990,'Gebinde-Kategorie'!$A$5:$N$45,13,0)+0,0))</f>
        <v>140</v>
      </c>
      <c r="S990" s="54"/>
      <c r="T990" s="55"/>
      <c r="U990" s="55"/>
      <c r="V990" s="55"/>
      <c r="W990" s="48"/>
      <c r="X990" s="50"/>
      <c r="Y990" s="50"/>
      <c r="Z990" s="48" t="n">
        <f aca="false">IF(A990="","",IF(AND(Parameter!$B$21="Ja",ISNUMBER(W990)),W990,IF(BZ990="2+3",IF(ISNUMBER(SEARCH("grosser Artikel",BR990)),2,IFERROR(VLOOKUP(BU990,Parameter!$F$35:$G$64,2,0),2)),IF(OR(BZ990="Nein",BZ990=""),"-",BZ990))))</f>
        <v>3</v>
      </c>
      <c r="AA990" s="55"/>
      <c r="AB990" s="56"/>
      <c r="AC990" s="50" t="n">
        <f aca="false">AT990</f>
        <v>787</v>
      </c>
      <c r="AD990" s="50" t="n">
        <f aca="false">MAX(AT990,H990)</f>
        <v>787</v>
      </c>
      <c r="AE990" s="57"/>
      <c r="AF990" s="50" t="n">
        <f aca="false">IF(LEFT(Cockpit!$C$5,1)="A",H990,IF(CE990=1,CF990,IF(LEFT(Cockpit!$C$5,1)="B",AK990,MAX(AK990,H990))))</f>
        <v>0</v>
      </c>
      <c r="AG990" s="50" t="n">
        <f aca="false">IF(BW990=1,0,ROUNDUP(AF990/BV990,0))</f>
        <v>0</v>
      </c>
      <c r="AH990" s="52" t="n">
        <f aca="false">IF(CL990&gt;0,CL990*MAX(1,AF990/X990),IF(BW990=1,IF(AF990&lt;=0,0,CA990*MAX(1,IF(H990&gt;0,AF990/H990,1))),IF(R990&gt;0,AG990/R990,0))/MAX(0.1,N(Parameter!$M$21)))</f>
        <v>0</v>
      </c>
      <c r="AI990" s="50" t="n">
        <f aca="false">AH990*BY990</f>
        <v>0</v>
      </c>
      <c r="AJ990" s="50" t="n">
        <f aca="false">AF990*G990</f>
        <v>0</v>
      </c>
      <c r="AK990" s="50" t="n">
        <f aca="false">ROUNDUP(MAX(J990/IF(CD990&gt;0,CD990,MAX(0.1,N(Cockpit!$C$6))),CG990)/BV990,0)*BV990</f>
        <v>787</v>
      </c>
      <c r="AL990" s="51" t="n">
        <f aca="false">IF(AI990&gt;0,J990/AI990,-1)</f>
        <v>-1</v>
      </c>
      <c r="AM990" s="51" t="str">
        <f aca="false">IF(AND(OR(CC990="L1",CC990="L23",CC990="LIFT"),AI990&gt;0),SUMIFS($AI$7:$AI$1843,$CC$7:$CC$1843,CC990,$AL$7:$AL$1843,"&gt;"&amp;AL990)+SUMIFS($AI$7:$AI$1843,$CC$7:$CC$1843,CC990,$AL$7:$AL$1843,AL990,$BT$7:$BT$1843,"&lt;="&amp;BT990),"")</f>
        <v/>
      </c>
      <c r="AN990" s="58" t="n">
        <f aca="false">IF(AM990="",0,MAX(0,MIN(1,(IF(CC990="L1",Parameter!$H$5,IF(CC990="L23",Parameter!$H$6+Parameter!$H$7,Parameter!$H$5+Parameter!$H$6+Parameter!$H$7))-(AM990-AI990))/AI990)))</f>
        <v>0</v>
      </c>
      <c r="AO990" s="50" t="n">
        <f aca="false">IF(LEFT(Cockpit!$I$5,1)="A",H990,IF(CE990=1,CF990,IF(LEFT(Cockpit!$I$5,1)="B",AT990,MAX(AT990,H990))))</f>
        <v>787</v>
      </c>
      <c r="AP990" s="50" t="n">
        <f aca="false">IF(BW990=1,0,ROUNDUP(AO990/BV990,0))</f>
        <v>1</v>
      </c>
      <c r="AQ990" s="52" t="n">
        <f aca="false">IF(CL990&gt;0,CL990*MAX(1,AO990/X990),IF(BW990=1,IF(AO990&lt;=0,0,CA990*MAX(1,IF(H990&gt;0,AO990/H990,1))),IF(R990&gt;0,AP990/R990,0))/MAX(0.1,N(Parameter!$M$21)))</f>
        <v>0.00714285714285714</v>
      </c>
      <c r="AR990" s="50" t="n">
        <f aca="false">AQ990*BY990</f>
        <v>1.10714285714286</v>
      </c>
      <c r="AS990" s="50" t="n">
        <f aca="false">AO990*G990</f>
        <v>251.84</v>
      </c>
      <c r="AT990" s="50" t="n">
        <f aca="false">ROUNDUP(MAX(J990/IF(CD990&gt;0,CD990,MAX(0.1,N(Cockpit!$I$6))),CG990)/BV990,0)*BV990</f>
        <v>787</v>
      </c>
      <c r="AU990" s="51" t="n">
        <f aca="false">IF(AR990&gt;0,J990/AR990,-1)</f>
        <v>126.451612903226</v>
      </c>
      <c r="AV990" s="51" t="n">
        <f aca="false">IF(AND(OR(CC990="L1",CC990="L23",CC990="LIFT"),AR990&gt;0),SUMIFS($AR$7:$AR$1843,$CC$7:$CC$1843,CC990,$AU$7:$AU$1843,"&gt;"&amp;AU990)+SUMIFS($AR$7:$AR$1843,$CC$7:$CC$1843,CC990,$AU$7:$AU$1843,AU990,$BT$7:$BT$1843,"&lt;="&amp;BT990),"")</f>
        <v>776.953754578755</v>
      </c>
      <c r="AW990" s="58" t="n">
        <f aca="false">IF(AV990="",0,MAX(0,MIN(1,(IF(CC990="L1",Parameter!$H$5,IF(CC990="L23",Parameter!$H$6+Parameter!$H$7,Parameter!$H$5+Parameter!$H$6+Parameter!$H$7))-(AV990-AR990))/AR990)))</f>
        <v>1</v>
      </c>
      <c r="AX990" s="50" t="n">
        <f aca="false">IF(LEFT(Cockpit!$O$5,1)="A",H990,IF(CE990=1,CF990,IF(LEFT(Cockpit!$O$5,1)="B",BC990,MAX(BC990,H990))))</f>
        <v>787</v>
      </c>
      <c r="AY990" s="50" t="n">
        <f aca="false">IF(BW990=1,0,ROUNDUP(AX990/BV990,0))</f>
        <v>1</v>
      </c>
      <c r="AZ990" s="52" t="n">
        <f aca="false">IF(CL990&gt;0,CL990*MAX(1,AX990/X990),IF(BW990=1,IF(AX990&lt;=0,0,CA990*MAX(1,IF(H990&gt;0,AX990/H990,1))),IF(R990&gt;0,AY990/R990,0))/MAX(0.1,N(Parameter!$M$21)))</f>
        <v>0.00714285714285714</v>
      </c>
      <c r="BA990" s="50" t="n">
        <f aca="false">AZ990*BY990</f>
        <v>1.10714285714286</v>
      </c>
      <c r="BB990" s="50" t="n">
        <f aca="false">AX990*G990</f>
        <v>251.84</v>
      </c>
      <c r="BC990" s="50" t="n">
        <f aca="false">ROUNDUP(MAX(J990/IF(CD990&gt;0,CD990,MAX(0.1,N(Cockpit!$O$6))),CG990)/BV990,0)*BV990</f>
        <v>787</v>
      </c>
      <c r="BD990" s="51" t="n">
        <f aca="false">IF(BA990&gt;0,J990/BA990,-1)</f>
        <v>126.451612903226</v>
      </c>
      <c r="BE990" s="51" t="n">
        <f aca="false">IF(AND(OR(CC990="L1",CC990="L23",CC990="LIFT"),BA990&gt;0),SUMIFS($BA$7:$BA$1843,$CC$7:$CC$1843,CC990,$BD$7:$BD$1843,"&gt;"&amp;BD990)+SUMIFS($BA$7:$BA$1843,$CC$7:$CC$1843,CC990,$BD$7:$BD$1843,BD990,$BT$7:$BT$1843,"&lt;="&amp;BT990),"")</f>
        <v>721.392857142857</v>
      </c>
      <c r="BF990" s="58" t="n">
        <f aca="false">IF(BE990="",0,MAX(0,MIN(1,(IF(CC990="L1",Parameter!$H$5,IF(CC990="L23",Parameter!$H$6+Parameter!$H$7,Parameter!$H$5+Parameter!$H$6+Parameter!$H$7))-(BE990-BA990))/BA990)))</f>
        <v>1</v>
      </c>
      <c r="BG990" s="48" t="str">
        <f aca="false">IF(AI990&lt;=0,"",IF(CC990="Aussen","Aussenlager",IF(CC990="-","Nicht im Lift",IF(AN990&gt;=1,"Lift",IF(AN990&lt;=0,"Aussenlager","teilweise")))))</f>
        <v/>
      </c>
      <c r="BH990" s="48" t="str">
        <f aca="false">IF(AR990&lt;=0,"",IF(CC990="Aussen","Aussenlager",IF(CC990="-","Nicht im Lift",IF(AW990&gt;=1,"Lift",IF(AW990&lt;=0,"Aussenlager","teilweise")))))</f>
        <v>Lift</v>
      </c>
      <c r="BI990" s="48" t="str">
        <f aca="false">IF(BA990&lt;=0,"",IF(CC990="Aussen","Aussenlager",IF(CC990="-","Nicht im Lift",IF(BF990&gt;=1,"Lift",IF(BF990&lt;=0,"Aussenlager","teilweise")))))</f>
        <v>Lift</v>
      </c>
      <c r="BJ990" s="48" t="str">
        <f aca="false">IF(A990="","",IF(BS990=1,"Neu; ","")&amp;IF(AND(BS990=0,BN990&lt;0),"negativer Bestand (Export "&amp;BN990&amp;"); ","")&amp;IF(J990&lt;=0,"Kein Verbrauch; ","")&amp;IF(CL990&gt;0,"Lift "&amp;W990&amp;" lt. Liftbericht (Fach "&amp;X990&amp;" Stk); ",IF(BX990=1,"Gebinde geschätzt ("&amp;T990&amp;"); ",IF(BW990=1,"Lose – Tablare geschätzt; ","")))&amp;IF(H990&gt;AT990,"Überbestand "&amp;ROUND(H990-AT990,0)&amp;" Stk / CHF "&amp;ROUND((H990-AT990)*G990,0)&amp;"; ","")&amp;IF(AND(CE990=1,CF990&lt;CG990),"MAX &lt; MB+LG; ","")&amp;IF(AND(CK990&gt;0,CJ990*10&gt;CK990),"zu hoch für Tablar; ","")&amp;IF(AND(BS990=0,OR(CE990=1,AA990&lt;&gt;"",U990&lt;&gt;"",V990&lt;&gt;"",AB990&lt;&gt;"")),"manuell übersteuert; ","")&amp;IF(AND(BW990=0,R990=0),"Gebinde unbekannt / Stellmass fehlt; ","")&amp;IF(AND(BW990=0,N(V990)&lt;=0,N(Q990)&lt;=0),"Menge pro Gebinde fehlt (Ist = 1 Gebinde); ","")&amp;BR990)</f>
        <v>negativer Bestand (Export -1036); </v>
      </c>
      <c r="BK990" s="48"/>
      <c r="BL990" s="48"/>
      <c r="BM990" s="55"/>
      <c r="BN990" s="50" t="n">
        <v>-1036</v>
      </c>
      <c r="BO990" s="50" t="n">
        <v>1036</v>
      </c>
      <c r="BP990" s="49" t="n">
        <v>-82.88</v>
      </c>
      <c r="BQ990" s="50" t="n">
        <v>140</v>
      </c>
      <c r="BR990" s="48"/>
      <c r="BS990" s="53" t="n">
        <v>0</v>
      </c>
      <c r="BT990" s="53" t="n">
        <v>990</v>
      </c>
      <c r="BU990" s="48" t="str">
        <f aca="false">IF(U990&lt;&gt;"",UPPER(TRIM(U990)),IF(BX990=1,UPPER(VLOOKUP(T990,Parameter!$I$27:$K$29,2,0)),IF(P990="","LOSE",P990)))</f>
        <v>S22</v>
      </c>
      <c r="BV990" s="50" t="n">
        <f aca="false">IF(BU990="LOSE",1,IF(N(V990)&gt;0,V990,IF(BX990=1,MAX(1,N(VLOOKUP(T990,Parameter!$I$27:$K$29,3,0)),H990,N(N990)),IF(N(Q990)&gt;0,Q990,MAX(1,H990)))))</f>
        <v>787</v>
      </c>
      <c r="BW990" s="53" t="n">
        <f aca="false">IF(BU990="LOSE",1,0)</f>
        <v>0</v>
      </c>
      <c r="BX990" s="53" t="n">
        <f aca="false">IF(AND(U990="",OR(P990="",P990="LOSE"),T990&lt;&gt;"",N(S990)&lt;=0,ISNUMBER(MATCH(T990,Parameter!$I$27:$I$29,0))),1,0)</f>
        <v>0</v>
      </c>
      <c r="BY990" s="53" t="n">
        <f aca="false">IF(CL990&gt;0,INDEX(Parameter!$H$5:$H$7,W990)/INDEX(Parameter!$E$5:$E$7,W990),IF(AND(BW990=0,N(IFERROR(VLOOKUP(BU990,'Gebinde-Kategorie'!$A$5:$N$45,14,0),0))&gt;0),VLOOKUP(BU990,'Gebinde-Kategorie'!$A$5:$N$45,14,0)*10+Parameter!$M$23,Parameter!$M$24))</f>
        <v>155</v>
      </c>
      <c r="BZ990" s="48" t="str">
        <f aca="false">IF(AND(Parameter!$B$19="Ja",E990&lt;&gt;"",ISNUMBER(MATCH(E990,Parameter!$I$35:$I$52,0))),VLOOKUP(E990,Parameter!$I$35:$J$52,2,0),IFERROR(VLOOKUP(D990,Parameter!$A$35:$C$64,2,0),"Nein"))</f>
        <v>2+3</v>
      </c>
      <c r="CA990" s="52" t="n">
        <f aca="false">IF(BW990=0,0,IF(N(S990)&gt;0,S990,IFERROR(VLOOKUP(D990,Parameter!$A$35:$C$64,3,0)+0,0)))</f>
        <v>0</v>
      </c>
      <c r="CB990" s="48" t="n">
        <f aca="false">IF(AA990&lt;&gt;"",AA990,Z990)</f>
        <v>3</v>
      </c>
      <c r="CC990" s="48" t="str">
        <f aca="false">IF(OR(CB990=1,CB990=2,CB990=3),IF(Parameter!$E$27="Ja","LIFT",IF(CB990=1,"L1","L23")),IF(CB990="Aussen","Aussen","-"))</f>
        <v>LIFT</v>
      </c>
      <c r="CD990" s="59" t="n">
        <f aca="false">IF(N(AB990)&gt;0,AB990,0)</f>
        <v>0</v>
      </c>
      <c r="CE990" s="53" t="n">
        <f aca="false">IF(ISNUMBER(AE990),1,0)</f>
        <v>0</v>
      </c>
      <c r="CF990" s="50" t="n">
        <f aca="false">N(AE990)</f>
        <v>0</v>
      </c>
      <c r="CG990" s="50" t="n">
        <f aca="false">N(M990)+N(N990)</f>
        <v>208</v>
      </c>
      <c r="CH990" s="50" t="n">
        <f aca="false">ROUNDUP(H990/BV990,0)</f>
        <v>0</v>
      </c>
      <c r="CI990" s="50" t="n">
        <f aca="false">ROUNDUP(CF990/BV990,0)</f>
        <v>0</v>
      </c>
      <c r="CJ990" s="53" t="n">
        <f aca="false">IF(BW990=1,0,IFERROR(VLOOKUP(BU990,'Gebinde-Kategorie'!$A$5:$N$45,5,0)+0,0))</f>
        <v>8</v>
      </c>
      <c r="CK990" s="53" t="n">
        <f aca="false">IFERROR(IF(OR(CB990=1,CB990=2,CB990=3),N(INDEX(Parameter!$I$5:$I$7,CB990)),0),0)</f>
        <v>0</v>
      </c>
      <c r="CL990" s="52" t="n">
        <f aca="false">IF(AND(Parameter!$B$21="Ja",ISNUMBER(W990),N(X990)&gt;0),IFERROR(N(INDEX(Parameter!$L$5:$L$7,W990))*INDEX(Parameter!$E$5:$E$7,W990)*X990/SUMIFS($X$7:$X$1843,$W$7:$W$1843,W990),0),0)</f>
        <v>0</v>
      </c>
    </row>
    <row r="991" customFormat="false" ht="15" hidden="false" customHeight="false" outlineLevel="0" collapsed="false">
      <c r="A991" s="48" t="s">
        <v>1835</v>
      </c>
      <c r="B991" s="48" t="s">
        <v>1836</v>
      </c>
      <c r="C991" s="48" t="s">
        <v>168</v>
      </c>
      <c r="D991" s="48" t="s">
        <v>188</v>
      </c>
      <c r="E991" s="48" t="s">
        <v>189</v>
      </c>
      <c r="F991" s="48" t="s">
        <v>222</v>
      </c>
      <c r="G991" s="49" t="n">
        <v>35.92</v>
      </c>
      <c r="H991" s="50" t="n">
        <f aca="false">MAX(0,IF(AND(Parameter!$B$21="Ja",ISNUMBER(Y991)),Y991,IF(Parameter!$B$20="Jahresanfang 2025 + Export",BO991+BN991,BN991)))</f>
        <v>3</v>
      </c>
      <c r="I991" s="50" t="n">
        <f aca="false">H991*G991</f>
        <v>107.76</v>
      </c>
      <c r="J991" s="50" t="n">
        <f aca="false">BQ991*Parameter!$B$18</f>
        <v>5</v>
      </c>
      <c r="K991" s="51" t="n">
        <v>5</v>
      </c>
      <c r="L991" s="52" t="n">
        <v>1</v>
      </c>
      <c r="M991" s="50" t="n">
        <v>0</v>
      </c>
      <c r="N991" s="50" t="n">
        <v>5</v>
      </c>
      <c r="O991" s="53" t="n">
        <v>21</v>
      </c>
      <c r="P991" s="48" t="s">
        <v>306</v>
      </c>
      <c r="Q991" s="50" t="n">
        <v>11</v>
      </c>
      <c r="R991" s="53" t="n">
        <f aca="false">IF(BW991=1,0,IFERROR(VLOOKUP(BU991,'Gebinde-Kategorie'!$A$5:$N$45,13,0)+0,0))</f>
        <v>26</v>
      </c>
      <c r="S991" s="54"/>
      <c r="T991" s="55"/>
      <c r="U991" s="55"/>
      <c r="V991" s="55"/>
      <c r="W991" s="48"/>
      <c r="X991" s="50"/>
      <c r="Y991" s="50"/>
      <c r="Z991" s="48" t="n">
        <f aca="false">IF(A991="","",IF(AND(Parameter!$B$21="Ja",ISNUMBER(W991)),W991,IF(BZ991="2+3",IF(ISNUMBER(SEARCH("grosser Artikel",BR991)),2,IFERROR(VLOOKUP(BU991,Parameter!$F$35:$G$64,2,0),2)),IF(OR(BZ991="Nein",BZ991=""),"-",BZ991))))</f>
        <v>3</v>
      </c>
      <c r="AA991" s="55"/>
      <c r="AB991" s="56"/>
      <c r="AC991" s="50" t="n">
        <f aca="false">AT991</f>
        <v>11</v>
      </c>
      <c r="AD991" s="50" t="n">
        <f aca="false">MAX(AT991,H991)</f>
        <v>11</v>
      </c>
      <c r="AE991" s="57"/>
      <c r="AF991" s="50" t="n">
        <f aca="false">IF(LEFT(Cockpit!$C$5,1)="A",H991,IF(CE991=1,CF991,IF(LEFT(Cockpit!$C$5,1)="B",AK991,MAX(AK991,H991))))</f>
        <v>3</v>
      </c>
      <c r="AG991" s="50" t="n">
        <f aca="false">IF(BW991=1,0,ROUNDUP(AF991/BV991,0))</f>
        <v>1</v>
      </c>
      <c r="AH991" s="52" t="n">
        <f aca="false">IF(CL991&gt;0,CL991*MAX(1,AF991/X991),IF(BW991=1,IF(AF991&lt;=0,0,CA991*MAX(1,IF(H991&gt;0,AF991/H991,1))),IF(R991&gt;0,AG991/R991,0))/MAX(0.1,N(Parameter!$M$21)))</f>
        <v>0.0384615384615385</v>
      </c>
      <c r="AI991" s="50" t="n">
        <f aca="false">AH991*BY991</f>
        <v>5.96153846153846</v>
      </c>
      <c r="AJ991" s="50" t="n">
        <f aca="false">AF991*G991</f>
        <v>107.76</v>
      </c>
      <c r="AK991" s="50" t="n">
        <f aca="false">ROUNDUP(MAX(J991/IF(CD991&gt;0,CD991,MAX(0.1,N(Cockpit!$C$6))),CG991)/BV991,0)*BV991</f>
        <v>11</v>
      </c>
      <c r="AL991" s="51" t="n">
        <f aca="false">IF(AI991&gt;0,J991/AI991,-1)</f>
        <v>0.838709677419355</v>
      </c>
      <c r="AM991" s="51" t="n">
        <f aca="false">IF(AND(OR(CC991="L1",CC991="L23",CC991="LIFT"),AI991&gt;0),SUMIFS($AI$7:$AI$1843,$CC$7:$CC$1843,CC991,$AL$7:$AL$1843,"&gt;"&amp;AL991)+SUMIFS($AI$7:$AI$1843,$CC$7:$CC$1843,CC991,$AL$7:$AL$1843,AL991,$BT$7:$BT$1843,"&lt;="&amp;BT991),"")</f>
        <v>7890.66346153846</v>
      </c>
      <c r="AN991" s="58" t="n">
        <f aca="false">IF(AM991="",0,MAX(0,MIN(1,(IF(CC991="L1",Parameter!$H$5,IF(CC991="L23",Parameter!$H$6+Parameter!$H$7,Parameter!$H$5+Parameter!$H$6+Parameter!$H$7))-(AM991-AI991))/AI991)))</f>
        <v>1</v>
      </c>
      <c r="AO991" s="50" t="n">
        <f aca="false">IF(LEFT(Cockpit!$I$5,1)="A",H991,IF(CE991=1,CF991,IF(LEFT(Cockpit!$I$5,1)="B",AT991,MAX(AT991,H991))))</f>
        <v>11</v>
      </c>
      <c r="AP991" s="50" t="n">
        <f aca="false">IF(BW991=1,0,ROUNDUP(AO991/BV991,0))</f>
        <v>1</v>
      </c>
      <c r="AQ991" s="52" t="n">
        <f aca="false">IF(CL991&gt;0,CL991*MAX(1,AO991/X991),IF(BW991=1,IF(AO991&lt;=0,0,CA991*MAX(1,IF(H991&gt;0,AO991/H991,1))),IF(R991&gt;0,AP991/R991,0))/MAX(0.1,N(Parameter!$M$21)))</f>
        <v>0.0384615384615385</v>
      </c>
      <c r="AR991" s="50" t="n">
        <f aca="false">AQ991*BY991</f>
        <v>5.96153846153846</v>
      </c>
      <c r="AS991" s="50" t="n">
        <f aca="false">AO991*G991</f>
        <v>395.12</v>
      </c>
      <c r="AT991" s="50" t="n">
        <f aca="false">ROUNDUP(MAX(J991/IF(CD991&gt;0,CD991,MAX(0.1,N(Cockpit!$I$6))),CG991)/BV991,0)*BV991</f>
        <v>11</v>
      </c>
      <c r="AU991" s="51" t="n">
        <f aca="false">IF(AR991&gt;0,J991/AR991,-1)</f>
        <v>0.838709677419355</v>
      </c>
      <c r="AV991" s="51" t="n">
        <f aca="false">IF(AND(OR(CC991="L1",CC991="L23",CC991="LIFT"),AR991&gt;0),SUMIFS($AR$7:$AR$1843,$CC$7:$CC$1843,CC991,$AU$7:$AU$1843,"&gt;"&amp;AU991)+SUMIFS($AR$7:$AR$1843,$CC$7:$CC$1843,CC991,$AU$7:$AU$1843,AU991,$BT$7:$BT$1843,"&lt;="&amp;BT991),"")</f>
        <v>11267.0485347985</v>
      </c>
      <c r="AW991" s="58" t="n">
        <f aca="false">IF(AV991="",0,MAX(0,MIN(1,(IF(CC991="L1",Parameter!$H$5,IF(CC991="L23",Parameter!$H$6+Parameter!$H$7,Parameter!$H$5+Parameter!$H$6+Parameter!$H$7))-(AV991-AR991))/AR991)))</f>
        <v>1</v>
      </c>
      <c r="AX991" s="50" t="n">
        <f aca="false">IF(LEFT(Cockpit!$O$5,1)="A",H991,IF(CE991=1,CF991,IF(LEFT(Cockpit!$O$5,1)="B",BC991,MAX(BC991,H991))))</f>
        <v>11</v>
      </c>
      <c r="AY991" s="50" t="n">
        <f aca="false">IF(BW991=1,0,ROUNDUP(AX991/BV991,0))</f>
        <v>1</v>
      </c>
      <c r="AZ991" s="52" t="n">
        <f aca="false">IF(CL991&gt;0,CL991*MAX(1,AX991/X991),IF(BW991=1,IF(AX991&lt;=0,0,CA991*MAX(1,IF(H991&gt;0,AX991/H991,1))),IF(R991&gt;0,AY991/R991,0))/MAX(0.1,N(Parameter!$M$21)))</f>
        <v>0.0384615384615385</v>
      </c>
      <c r="BA991" s="50" t="n">
        <f aca="false">AZ991*BY991</f>
        <v>5.96153846153846</v>
      </c>
      <c r="BB991" s="50" t="n">
        <f aca="false">AX991*G991</f>
        <v>395.12</v>
      </c>
      <c r="BC991" s="50" t="n">
        <f aca="false">ROUNDUP(MAX(J991/IF(CD991&gt;0,CD991,MAX(0.1,N(Cockpit!$O$6))),CG991)/BV991,0)*BV991</f>
        <v>11</v>
      </c>
      <c r="BD991" s="51" t="n">
        <f aca="false">IF(BA991&gt;0,J991/BA991,-1)</f>
        <v>0.838709677419355</v>
      </c>
      <c r="BE991" s="51" t="n">
        <f aca="false">IF(AND(OR(CC991="L1",CC991="L23",CC991="LIFT"),BA991&gt;0),SUMIFS($BA$7:$BA$1843,$CC$7:$CC$1843,CC991,$BD$7:$BD$1843,"&gt;"&amp;BD991)+SUMIFS($BA$7:$BA$1843,$CC$7:$CC$1843,CC991,$BD$7:$BD$1843,BD991,$BT$7:$BT$1843,"&lt;="&amp;BT991),"")</f>
        <v>10362.7055860806</v>
      </c>
      <c r="BF991" s="58" t="n">
        <f aca="false">IF(BE991="",0,MAX(0,MIN(1,(IF(CC991="L1",Parameter!$H$5,IF(CC991="L23",Parameter!$H$6+Parameter!$H$7,Parameter!$H$5+Parameter!$H$6+Parameter!$H$7))-(BE991-BA991))/BA991)))</f>
        <v>1</v>
      </c>
      <c r="BG991" s="48" t="str">
        <f aca="false">IF(AI991&lt;=0,"",IF(CC991="Aussen","Aussenlager",IF(CC991="-","Nicht im Lift",IF(AN991&gt;=1,"Lift",IF(AN991&lt;=0,"Aussenlager","teilweise")))))</f>
        <v>Lift</v>
      </c>
      <c r="BH991" s="48" t="str">
        <f aca="false">IF(AR991&lt;=0,"",IF(CC991="Aussen","Aussenlager",IF(CC991="-","Nicht im Lift",IF(AW991&gt;=1,"Lift",IF(AW991&lt;=0,"Aussenlager","teilweise")))))</f>
        <v>Lift</v>
      </c>
      <c r="BI991" s="48" t="str">
        <f aca="false">IF(BA991&lt;=0,"",IF(CC991="Aussen","Aussenlager",IF(CC991="-","Nicht im Lift",IF(BF991&gt;=1,"Lift",IF(BF991&lt;=0,"Aussenlager","teilweise")))))</f>
        <v>Lift</v>
      </c>
      <c r="BJ991" s="48" t="str">
        <f aca="false">IF(A991="","",IF(BS991=1,"Neu; ","")&amp;IF(AND(BS991=0,BN991&lt;0),"negativer Bestand (Export "&amp;BN991&amp;"); ","")&amp;IF(J991&lt;=0,"Kein Verbrauch; ","")&amp;IF(CL991&gt;0,"Lift "&amp;W991&amp;" lt. Liftbericht (Fach "&amp;X991&amp;" Stk); ",IF(BX991=1,"Gebinde geschätzt ("&amp;T991&amp;"); ",IF(BW991=1,"Lose – Tablare geschätzt; ","")))&amp;IF(H991&gt;AT991,"Überbestand "&amp;ROUND(H991-AT991,0)&amp;" Stk / CHF "&amp;ROUND((H991-AT991)*G991,0)&amp;"; ","")&amp;IF(AND(CE991=1,CF991&lt;CG991),"MAX &lt; MB+LG; ","")&amp;IF(AND(CK991&gt;0,CJ991*10&gt;CK991),"zu hoch für Tablar; ","")&amp;IF(AND(BS991=0,OR(CE991=1,AA991&lt;&gt;"",U991&lt;&gt;"",V991&lt;&gt;"",AB991&lt;&gt;"")),"manuell übersteuert; ","")&amp;IF(AND(BW991=0,R991=0),"Gebinde unbekannt / Stellmass fehlt; ","")&amp;IF(AND(BW991=0,N(V991)&lt;=0,N(Q991)&lt;=0),"Menge pro Gebinde fehlt (Ist = 1 Gebinde); ","")&amp;BR991)</f>
        <v>negativer Bestand (Export -3); </v>
      </c>
      <c r="BK991" s="48"/>
      <c r="BL991" s="48"/>
      <c r="BM991" s="55"/>
      <c r="BN991" s="50" t="n">
        <v>-3</v>
      </c>
      <c r="BO991" s="50" t="n">
        <v>6</v>
      </c>
      <c r="BP991" s="49" t="n">
        <v>-84.84</v>
      </c>
      <c r="BQ991" s="50" t="n">
        <v>5</v>
      </c>
      <c r="BR991" s="48"/>
      <c r="BS991" s="53" t="n">
        <v>0</v>
      </c>
      <c r="BT991" s="53" t="n">
        <v>991</v>
      </c>
      <c r="BU991" s="48" t="str">
        <f aca="false">IF(U991&lt;&gt;"",UPPER(TRIM(U991)),IF(BX991=1,UPPER(VLOOKUP(T991,Parameter!$I$27:$K$29,2,0)),IF(P991="","LOSE",P991)))</f>
        <v>S51</v>
      </c>
      <c r="BV991" s="50" t="n">
        <f aca="false">IF(BU991="LOSE",1,IF(N(V991)&gt;0,V991,IF(BX991=1,MAX(1,N(VLOOKUP(T991,Parameter!$I$27:$K$29,3,0)),H991,N(N991)),IF(N(Q991)&gt;0,Q991,MAX(1,H991)))))</f>
        <v>11</v>
      </c>
      <c r="BW991" s="53" t="n">
        <f aca="false">IF(BU991="LOSE",1,0)</f>
        <v>0</v>
      </c>
      <c r="BX991" s="53" t="n">
        <f aca="false">IF(AND(U991="",OR(P991="",P991="LOSE"),T991&lt;&gt;"",N(S991)&lt;=0,ISNUMBER(MATCH(T991,Parameter!$I$27:$I$29,0))),1,0)</f>
        <v>0</v>
      </c>
      <c r="BY991" s="53" t="n">
        <f aca="false">IF(CL991&gt;0,INDEX(Parameter!$H$5:$H$7,W991)/INDEX(Parameter!$E$5:$E$7,W991),IF(AND(BW991=0,N(IFERROR(VLOOKUP(BU991,'Gebinde-Kategorie'!$A$5:$N$45,14,0),0))&gt;0),VLOOKUP(BU991,'Gebinde-Kategorie'!$A$5:$N$45,14,0)*10+Parameter!$M$23,Parameter!$M$24))</f>
        <v>155</v>
      </c>
      <c r="BZ991" s="48" t="str">
        <f aca="false">IF(AND(Parameter!$B$19="Ja",E991&lt;&gt;"",ISNUMBER(MATCH(E991,Parameter!$I$35:$I$52,0))),VLOOKUP(E991,Parameter!$I$35:$J$52,2,0),IFERROR(VLOOKUP(D991,Parameter!$A$35:$C$64,2,0),"Nein"))</f>
        <v>2+3</v>
      </c>
      <c r="CA991" s="52" t="n">
        <f aca="false">IF(BW991=0,0,IF(N(S991)&gt;0,S991,IFERROR(VLOOKUP(D991,Parameter!$A$35:$C$64,3,0)+0,0)))</f>
        <v>0</v>
      </c>
      <c r="CB991" s="48" t="n">
        <f aca="false">IF(AA991&lt;&gt;"",AA991,Z991)</f>
        <v>3</v>
      </c>
      <c r="CC991" s="48" t="str">
        <f aca="false">IF(OR(CB991=1,CB991=2,CB991=3),IF(Parameter!$E$27="Ja","LIFT",IF(CB991=1,"L1","L23")),IF(CB991="Aussen","Aussen","-"))</f>
        <v>LIFT</v>
      </c>
      <c r="CD991" s="59" t="n">
        <f aca="false">IF(N(AB991)&gt;0,AB991,0)</f>
        <v>0</v>
      </c>
      <c r="CE991" s="53" t="n">
        <f aca="false">IF(ISNUMBER(AE991),1,0)</f>
        <v>0</v>
      </c>
      <c r="CF991" s="50" t="n">
        <f aca="false">N(AE991)</f>
        <v>0</v>
      </c>
      <c r="CG991" s="50" t="n">
        <f aca="false">N(M991)+N(N991)</f>
        <v>5</v>
      </c>
      <c r="CH991" s="50" t="n">
        <f aca="false">ROUNDUP(H991/BV991,0)</f>
        <v>1</v>
      </c>
      <c r="CI991" s="50" t="n">
        <f aca="false">ROUNDUP(CF991/BV991,0)</f>
        <v>0</v>
      </c>
      <c r="CJ991" s="53" t="n">
        <f aca="false">IF(BW991=1,0,IFERROR(VLOOKUP(BU991,'Gebinde-Kategorie'!$A$5:$N$45,5,0)+0,0))</f>
        <v>11</v>
      </c>
      <c r="CK991" s="53" t="n">
        <f aca="false">IFERROR(IF(OR(CB991=1,CB991=2,CB991=3),N(INDEX(Parameter!$I$5:$I$7,CB991)),0),0)</f>
        <v>0</v>
      </c>
      <c r="CL991" s="52" t="n">
        <f aca="false">IF(AND(Parameter!$B$21="Ja",ISNUMBER(W991),N(X991)&gt;0),IFERROR(N(INDEX(Parameter!$L$5:$L$7,W991))*INDEX(Parameter!$E$5:$E$7,W991)*X991/SUMIFS($X$7:$X$1843,$W$7:$W$1843,W991),0),0)</f>
        <v>0</v>
      </c>
    </row>
    <row r="992" customFormat="false" ht="15" hidden="false" customHeight="false" outlineLevel="0" collapsed="false">
      <c r="A992" s="48" t="s">
        <v>1837</v>
      </c>
      <c r="B992" s="48" t="s">
        <v>1838</v>
      </c>
      <c r="C992" s="48" t="s">
        <v>168</v>
      </c>
      <c r="D992" s="48" t="s">
        <v>188</v>
      </c>
      <c r="E992" s="48" t="s">
        <v>189</v>
      </c>
      <c r="F992" s="48" t="s">
        <v>222</v>
      </c>
      <c r="G992" s="49" t="n">
        <v>43.78</v>
      </c>
      <c r="H992" s="50" t="n">
        <f aca="false">MAX(0,IF(AND(Parameter!$B$21="Ja",ISNUMBER(Y992)),Y992,IF(Parameter!$B$20="Jahresanfang 2025 + Export",BO992+BN992,BN992)))</f>
        <v>13</v>
      </c>
      <c r="I992" s="50" t="n">
        <f aca="false">H992*G992</f>
        <v>569.14</v>
      </c>
      <c r="J992" s="50" t="n">
        <f aca="false">BQ992*Parameter!$B$18</f>
        <v>4</v>
      </c>
      <c r="K992" s="51" t="n">
        <v>13.5</v>
      </c>
      <c r="L992" s="52" t="n">
        <v>0.296296296296296</v>
      </c>
      <c r="M992" s="50" t="n">
        <v>0</v>
      </c>
      <c r="N992" s="50" t="n">
        <v>5</v>
      </c>
      <c r="O992" s="53" t="n">
        <v>16</v>
      </c>
      <c r="P992" s="48" t="s">
        <v>430</v>
      </c>
      <c r="Q992" s="50" t="n">
        <v>17</v>
      </c>
      <c r="R992" s="53" t="n">
        <f aca="false">IF(BW992=1,0,IFERROR(VLOOKUP(BU992,'Gebinde-Kategorie'!$A$5:$N$45,13,0)+0,0))</f>
        <v>140</v>
      </c>
      <c r="S992" s="54"/>
      <c r="T992" s="55"/>
      <c r="U992" s="55"/>
      <c r="V992" s="55"/>
      <c r="W992" s="48"/>
      <c r="X992" s="50"/>
      <c r="Y992" s="50"/>
      <c r="Z992" s="48" t="n">
        <f aca="false">IF(A992="","",IF(AND(Parameter!$B$21="Ja",ISNUMBER(W992)),W992,IF(BZ992="2+3",IF(ISNUMBER(SEARCH("grosser Artikel",BR992)),2,IFERROR(VLOOKUP(BU992,Parameter!$F$35:$G$64,2,0),2)),IF(OR(BZ992="Nein",BZ992=""),"-",BZ992))))</f>
        <v>3</v>
      </c>
      <c r="AA992" s="55"/>
      <c r="AB992" s="56"/>
      <c r="AC992" s="50" t="n">
        <f aca="false">AT992</f>
        <v>17</v>
      </c>
      <c r="AD992" s="50" t="n">
        <f aca="false">MAX(AT992,H992)</f>
        <v>17</v>
      </c>
      <c r="AE992" s="57"/>
      <c r="AF992" s="50" t="n">
        <f aca="false">IF(LEFT(Cockpit!$C$5,1)="A",H992,IF(CE992=1,CF992,IF(LEFT(Cockpit!$C$5,1)="B",AK992,MAX(AK992,H992))))</f>
        <v>13</v>
      </c>
      <c r="AG992" s="50" t="n">
        <f aca="false">IF(BW992=1,0,ROUNDUP(AF992/BV992,0))</f>
        <v>1</v>
      </c>
      <c r="AH992" s="52" t="n">
        <f aca="false">IF(CL992&gt;0,CL992*MAX(1,AF992/X992),IF(BW992=1,IF(AF992&lt;=0,0,CA992*MAX(1,IF(H992&gt;0,AF992/H992,1))),IF(R992&gt;0,AG992/R992,0))/MAX(0.1,N(Parameter!$M$21)))</f>
        <v>0.00714285714285714</v>
      </c>
      <c r="AI992" s="50" t="n">
        <f aca="false">AH992*BY992</f>
        <v>1.10714285714286</v>
      </c>
      <c r="AJ992" s="50" t="n">
        <f aca="false">AF992*G992</f>
        <v>569.14</v>
      </c>
      <c r="AK992" s="50" t="n">
        <f aca="false">ROUNDUP(MAX(J992/IF(CD992&gt;0,CD992,MAX(0.1,N(Cockpit!$C$6))),CG992)/BV992,0)*BV992</f>
        <v>17</v>
      </c>
      <c r="AL992" s="51" t="n">
        <f aca="false">IF(AI992&gt;0,J992/AI992,-1)</f>
        <v>3.61290322580645</v>
      </c>
      <c r="AM992" s="51" t="n">
        <f aca="false">IF(AND(OR(CC992="L1",CC992="L23",CC992="LIFT"),AI992&gt;0),SUMIFS($AI$7:$AI$1843,$CC$7:$CC$1843,CC992,$AL$7:$AL$1843,"&gt;"&amp;AL992)+SUMIFS($AI$7:$AI$1843,$CC$7:$CC$1843,CC992,$AL$7:$AL$1843,AL992,$BT$7:$BT$1843,"&lt;="&amp;BT992),"")</f>
        <v>4831.19551282051</v>
      </c>
      <c r="AN992" s="58" t="n">
        <f aca="false">IF(AM992="",0,MAX(0,MIN(1,(IF(CC992="L1",Parameter!$H$5,IF(CC992="L23",Parameter!$H$6+Parameter!$H$7,Parameter!$H$5+Parameter!$H$6+Parameter!$H$7))-(AM992-AI992))/AI992)))</f>
        <v>1</v>
      </c>
      <c r="AO992" s="50" t="n">
        <f aca="false">IF(LEFT(Cockpit!$I$5,1)="A",H992,IF(CE992=1,CF992,IF(LEFT(Cockpit!$I$5,1)="B",AT992,MAX(AT992,H992))))</f>
        <v>17</v>
      </c>
      <c r="AP992" s="50" t="n">
        <f aca="false">IF(BW992=1,0,ROUNDUP(AO992/BV992,0))</f>
        <v>1</v>
      </c>
      <c r="AQ992" s="52" t="n">
        <f aca="false">IF(CL992&gt;0,CL992*MAX(1,AO992/X992),IF(BW992=1,IF(AO992&lt;=0,0,CA992*MAX(1,IF(H992&gt;0,AO992/H992,1))),IF(R992&gt;0,AP992/R992,0))/MAX(0.1,N(Parameter!$M$21)))</f>
        <v>0.00714285714285714</v>
      </c>
      <c r="AR992" s="50" t="n">
        <f aca="false">AQ992*BY992</f>
        <v>1.10714285714286</v>
      </c>
      <c r="AS992" s="50" t="n">
        <f aca="false">AO992*G992</f>
        <v>744.26</v>
      </c>
      <c r="AT992" s="50" t="n">
        <f aca="false">ROUNDUP(MAX(J992/IF(CD992&gt;0,CD992,MAX(0.1,N(Cockpit!$I$6))),CG992)/BV992,0)*BV992</f>
        <v>17</v>
      </c>
      <c r="AU992" s="51" t="n">
        <f aca="false">IF(AR992&gt;0,J992/AR992,-1)</f>
        <v>3.61290322580645</v>
      </c>
      <c r="AV992" s="51" t="n">
        <f aca="false">IF(AND(OR(CC992="L1",CC992="L23",CC992="LIFT"),AR992&gt;0),SUMIFS($AR$7:$AR$1843,$CC$7:$CC$1843,CC992,$AU$7:$AU$1843,"&gt;"&amp;AU992)+SUMIFS($AR$7:$AR$1843,$CC$7:$CC$1843,CC992,$AU$7:$AU$1843,AU992,$BT$7:$BT$1843,"&lt;="&amp;BT992),"")</f>
        <v>5959.8141025641</v>
      </c>
      <c r="AW992" s="58" t="n">
        <f aca="false">IF(AV992="",0,MAX(0,MIN(1,(IF(CC992="L1",Parameter!$H$5,IF(CC992="L23",Parameter!$H$6+Parameter!$H$7,Parameter!$H$5+Parameter!$H$6+Parameter!$H$7))-(AV992-AR992))/AR992)))</f>
        <v>1</v>
      </c>
      <c r="AX992" s="50" t="n">
        <f aca="false">IF(LEFT(Cockpit!$O$5,1)="A",H992,IF(CE992=1,CF992,IF(LEFT(Cockpit!$O$5,1)="B",BC992,MAX(BC992,H992))))</f>
        <v>17</v>
      </c>
      <c r="AY992" s="50" t="n">
        <f aca="false">IF(BW992=1,0,ROUNDUP(AX992/BV992,0))</f>
        <v>1</v>
      </c>
      <c r="AZ992" s="52" t="n">
        <f aca="false">IF(CL992&gt;0,CL992*MAX(1,AX992/X992),IF(BW992=1,IF(AX992&lt;=0,0,CA992*MAX(1,IF(H992&gt;0,AX992/H992,1))),IF(R992&gt;0,AY992/R992,0))/MAX(0.1,N(Parameter!$M$21)))</f>
        <v>0.00714285714285714</v>
      </c>
      <c r="BA992" s="50" t="n">
        <f aca="false">AZ992*BY992</f>
        <v>1.10714285714286</v>
      </c>
      <c r="BB992" s="50" t="n">
        <f aca="false">AX992*G992</f>
        <v>744.26</v>
      </c>
      <c r="BC992" s="50" t="n">
        <f aca="false">ROUNDUP(MAX(J992/IF(CD992&gt;0,CD992,MAX(0.1,N(Cockpit!$O$6))),CG992)/BV992,0)*BV992</f>
        <v>17</v>
      </c>
      <c r="BD992" s="51" t="n">
        <f aca="false">IF(BA992&gt;0,J992/BA992,-1)</f>
        <v>3.61290322580645</v>
      </c>
      <c r="BE992" s="51" t="n">
        <f aca="false">IF(AND(OR(CC992="L1",CC992="L23",CC992="LIFT"),BA992&gt;0),SUMIFS($BA$7:$BA$1843,$CC$7:$CC$1843,CC992,$BD$7:$BD$1843,"&gt;"&amp;BD992)+SUMIFS($BA$7:$BA$1843,$CC$7:$CC$1843,CC992,$BD$7:$BD$1843,BD992,$BT$7:$BT$1843,"&lt;="&amp;BT992),"")</f>
        <v>5861.40064102564</v>
      </c>
      <c r="BF992" s="58" t="n">
        <f aca="false">IF(BE992="",0,MAX(0,MIN(1,(IF(CC992="L1",Parameter!$H$5,IF(CC992="L23",Parameter!$H$6+Parameter!$H$7,Parameter!$H$5+Parameter!$H$6+Parameter!$H$7))-(BE992-BA992))/BA992)))</f>
        <v>1</v>
      </c>
      <c r="BG992" s="48" t="str">
        <f aca="false">IF(AI992&lt;=0,"",IF(CC992="Aussen","Aussenlager",IF(CC992="-","Nicht im Lift",IF(AN992&gt;=1,"Lift",IF(AN992&lt;=0,"Aussenlager","teilweise")))))</f>
        <v>Lift</v>
      </c>
      <c r="BH992" s="48" t="str">
        <f aca="false">IF(AR992&lt;=0,"",IF(CC992="Aussen","Aussenlager",IF(CC992="-","Nicht im Lift",IF(AW992&gt;=1,"Lift",IF(AW992&lt;=0,"Aussenlager","teilweise")))))</f>
        <v>Lift</v>
      </c>
      <c r="BI992" s="48" t="str">
        <f aca="false">IF(BA992&lt;=0,"",IF(CC992="Aussen","Aussenlager",IF(CC992="-","Nicht im Lift",IF(BF992&gt;=1,"Lift",IF(BF992&lt;=0,"Aussenlager","teilweise")))))</f>
        <v>Lift</v>
      </c>
      <c r="BJ992" s="48" t="str">
        <f aca="false">IF(A992="","",IF(BS992=1,"Neu; ","")&amp;IF(AND(BS992=0,BN992&lt;0),"negativer Bestand (Export "&amp;BN992&amp;"); ","")&amp;IF(J992&lt;=0,"Kein Verbrauch; ","")&amp;IF(CL992&gt;0,"Lift "&amp;W992&amp;" lt. Liftbericht (Fach "&amp;X992&amp;" Stk); ",IF(BX992=1,"Gebinde geschätzt ("&amp;T992&amp;"); ",IF(BW992=1,"Lose – Tablare geschätzt; ","")))&amp;IF(H992&gt;AT992,"Überbestand "&amp;ROUND(H992-AT992,0)&amp;" Stk / CHF "&amp;ROUND((H992-AT992)*G992,0)&amp;"; ","")&amp;IF(AND(CE992=1,CF992&lt;CG992),"MAX &lt; MB+LG; ","")&amp;IF(AND(CK992&gt;0,CJ992*10&gt;CK992),"zu hoch für Tablar; ","")&amp;IF(AND(BS992=0,OR(CE992=1,AA992&lt;&gt;"",U992&lt;&gt;"",V992&lt;&gt;"",AB992&lt;&gt;"")),"manuell übersteuert; ","")&amp;IF(AND(BW992=0,R992=0),"Gebinde unbekannt / Stellmass fehlt; ","")&amp;IF(AND(BW992=0,N(V992)&lt;=0,N(Q992)&lt;=0),"Menge pro Gebinde fehlt (Ist = 1 Gebinde); ","")&amp;BR992)</f>
        <v>negativer Bestand (Export -2); </v>
      </c>
      <c r="BK992" s="48"/>
      <c r="BL992" s="48"/>
      <c r="BM992" s="55"/>
      <c r="BN992" s="50" t="n">
        <v>-2</v>
      </c>
      <c r="BO992" s="50" t="n">
        <v>15</v>
      </c>
      <c r="BP992" s="49" t="n">
        <v>-87.56</v>
      </c>
      <c r="BQ992" s="50" t="n">
        <v>4</v>
      </c>
      <c r="BR992" s="48"/>
      <c r="BS992" s="53" t="n">
        <v>0</v>
      </c>
      <c r="BT992" s="53" t="n">
        <v>992</v>
      </c>
      <c r="BU992" s="48" t="str">
        <f aca="false">IF(U992&lt;&gt;"",UPPER(TRIM(U992)),IF(BX992=1,UPPER(VLOOKUP(T992,Parameter!$I$27:$K$29,2,0)),IF(P992="","LOSE",P992)))</f>
        <v>S22</v>
      </c>
      <c r="BV992" s="50" t="n">
        <f aca="false">IF(BU992="LOSE",1,IF(N(V992)&gt;0,V992,IF(BX992=1,MAX(1,N(VLOOKUP(T992,Parameter!$I$27:$K$29,3,0)),H992,N(N992)),IF(N(Q992)&gt;0,Q992,MAX(1,H992)))))</f>
        <v>17</v>
      </c>
      <c r="BW992" s="53" t="n">
        <f aca="false">IF(BU992="LOSE",1,0)</f>
        <v>0</v>
      </c>
      <c r="BX992" s="53" t="n">
        <f aca="false">IF(AND(U992="",OR(P992="",P992="LOSE"),T992&lt;&gt;"",N(S992)&lt;=0,ISNUMBER(MATCH(T992,Parameter!$I$27:$I$29,0))),1,0)</f>
        <v>0</v>
      </c>
      <c r="BY992" s="53" t="n">
        <f aca="false">IF(CL992&gt;0,INDEX(Parameter!$H$5:$H$7,W992)/INDEX(Parameter!$E$5:$E$7,W992),IF(AND(BW992=0,N(IFERROR(VLOOKUP(BU992,'Gebinde-Kategorie'!$A$5:$N$45,14,0),0))&gt;0),VLOOKUP(BU992,'Gebinde-Kategorie'!$A$5:$N$45,14,0)*10+Parameter!$M$23,Parameter!$M$24))</f>
        <v>155</v>
      </c>
      <c r="BZ992" s="48" t="str">
        <f aca="false">IF(AND(Parameter!$B$19="Ja",E992&lt;&gt;"",ISNUMBER(MATCH(E992,Parameter!$I$35:$I$52,0))),VLOOKUP(E992,Parameter!$I$35:$J$52,2,0),IFERROR(VLOOKUP(D992,Parameter!$A$35:$C$64,2,0),"Nein"))</f>
        <v>2+3</v>
      </c>
      <c r="CA992" s="52" t="n">
        <f aca="false">IF(BW992=0,0,IF(N(S992)&gt;0,S992,IFERROR(VLOOKUP(D992,Parameter!$A$35:$C$64,3,0)+0,0)))</f>
        <v>0</v>
      </c>
      <c r="CB992" s="48" t="n">
        <f aca="false">IF(AA992&lt;&gt;"",AA992,Z992)</f>
        <v>3</v>
      </c>
      <c r="CC992" s="48" t="str">
        <f aca="false">IF(OR(CB992=1,CB992=2,CB992=3),IF(Parameter!$E$27="Ja","LIFT",IF(CB992=1,"L1","L23")),IF(CB992="Aussen","Aussen","-"))</f>
        <v>LIFT</v>
      </c>
      <c r="CD992" s="59" t="n">
        <f aca="false">IF(N(AB992)&gt;0,AB992,0)</f>
        <v>0</v>
      </c>
      <c r="CE992" s="53" t="n">
        <f aca="false">IF(ISNUMBER(AE992),1,0)</f>
        <v>0</v>
      </c>
      <c r="CF992" s="50" t="n">
        <f aca="false">N(AE992)</f>
        <v>0</v>
      </c>
      <c r="CG992" s="50" t="n">
        <f aca="false">N(M992)+N(N992)</f>
        <v>5</v>
      </c>
      <c r="CH992" s="50" t="n">
        <f aca="false">ROUNDUP(H992/BV992,0)</f>
        <v>1</v>
      </c>
      <c r="CI992" s="50" t="n">
        <f aca="false">ROUNDUP(CF992/BV992,0)</f>
        <v>0</v>
      </c>
      <c r="CJ992" s="53" t="n">
        <f aca="false">IF(BW992=1,0,IFERROR(VLOOKUP(BU992,'Gebinde-Kategorie'!$A$5:$N$45,5,0)+0,0))</f>
        <v>8</v>
      </c>
      <c r="CK992" s="53" t="n">
        <f aca="false">IFERROR(IF(OR(CB992=1,CB992=2,CB992=3),N(INDEX(Parameter!$I$5:$I$7,CB992)),0),0)</f>
        <v>0</v>
      </c>
      <c r="CL992" s="52" t="n">
        <f aca="false">IF(AND(Parameter!$B$21="Ja",ISNUMBER(W992),N(X992)&gt;0),IFERROR(N(INDEX(Parameter!$L$5:$L$7,W992))*INDEX(Parameter!$E$5:$E$7,W992)*X992/SUMIFS($X$7:$X$1843,$W$7:$W$1843,W992),0),0)</f>
        <v>0</v>
      </c>
    </row>
    <row r="993" customFormat="false" ht="15" hidden="false" customHeight="false" outlineLevel="0" collapsed="false">
      <c r="A993" s="48" t="s">
        <v>1839</v>
      </c>
      <c r="B993" s="48" t="s">
        <v>728</v>
      </c>
      <c r="C993" s="48" t="s">
        <v>168</v>
      </c>
      <c r="D993" s="48" t="s">
        <v>188</v>
      </c>
      <c r="E993" s="48" t="s">
        <v>189</v>
      </c>
      <c r="F993" s="48" t="s">
        <v>222</v>
      </c>
      <c r="G993" s="49" t="n">
        <v>14.65</v>
      </c>
      <c r="H993" s="50" t="n">
        <f aca="false">MAX(0,IF(AND(Parameter!$B$21="Ja",ISNUMBER(Y993)),Y993,IF(Parameter!$B$20="Jahresanfang 2025 + Export",BO993+BN993,BN993)))</f>
        <v>5</v>
      </c>
      <c r="I993" s="50" t="n">
        <f aca="false">H993*G993</f>
        <v>73.25</v>
      </c>
      <c r="J993" s="50" t="n">
        <f aca="false">BQ993*Parameter!$B$18</f>
        <v>6</v>
      </c>
      <c r="K993" s="51" t="n">
        <v>8</v>
      </c>
      <c r="L993" s="52" t="n">
        <v>0.75</v>
      </c>
      <c r="M993" s="50" t="n">
        <v>0</v>
      </c>
      <c r="N993" s="50" t="n">
        <v>5</v>
      </c>
      <c r="O993" s="53" t="n">
        <v>14</v>
      </c>
      <c r="P993" s="48" t="s">
        <v>425</v>
      </c>
      <c r="Q993" s="50" t="n">
        <v>19</v>
      </c>
      <c r="R993" s="53" t="n">
        <f aca="false">IF(BW993=1,0,IFERROR(VLOOKUP(BU993,'Gebinde-Kategorie'!$A$5:$N$45,13,0)+0,0))</f>
        <v>104</v>
      </c>
      <c r="S993" s="54"/>
      <c r="T993" s="55"/>
      <c r="U993" s="55"/>
      <c r="V993" s="55"/>
      <c r="W993" s="48"/>
      <c r="X993" s="50"/>
      <c r="Y993" s="50"/>
      <c r="Z993" s="48" t="n">
        <f aca="false">IF(A993="","",IF(AND(Parameter!$B$21="Ja",ISNUMBER(W993)),W993,IF(BZ993="2+3",IF(ISNUMBER(SEARCH("grosser Artikel",BR993)),2,IFERROR(VLOOKUP(BU993,Parameter!$F$35:$G$64,2,0),2)),IF(OR(BZ993="Nein",BZ993=""),"-",BZ993))))</f>
        <v>3</v>
      </c>
      <c r="AA993" s="55"/>
      <c r="AB993" s="56"/>
      <c r="AC993" s="50" t="n">
        <f aca="false">AT993</f>
        <v>19</v>
      </c>
      <c r="AD993" s="50" t="n">
        <f aca="false">MAX(AT993,H993)</f>
        <v>19</v>
      </c>
      <c r="AE993" s="57"/>
      <c r="AF993" s="50" t="n">
        <f aca="false">IF(LEFT(Cockpit!$C$5,1)="A",H993,IF(CE993=1,CF993,IF(LEFT(Cockpit!$C$5,1)="B",AK993,MAX(AK993,H993))))</f>
        <v>5</v>
      </c>
      <c r="AG993" s="50" t="n">
        <f aca="false">IF(BW993=1,0,ROUNDUP(AF993/BV993,0))</f>
        <v>1</v>
      </c>
      <c r="AH993" s="52" t="n">
        <f aca="false">IF(CL993&gt;0,CL993*MAX(1,AF993/X993),IF(BW993=1,IF(AF993&lt;=0,0,CA993*MAX(1,IF(H993&gt;0,AF993/H993,1))),IF(R993&gt;0,AG993/R993,0))/MAX(0.1,N(Parameter!$M$21)))</f>
        <v>0.00961538461538462</v>
      </c>
      <c r="AI993" s="50" t="n">
        <f aca="false">AH993*BY993</f>
        <v>1.49038461538462</v>
      </c>
      <c r="AJ993" s="50" t="n">
        <f aca="false">AF993*G993</f>
        <v>73.25</v>
      </c>
      <c r="AK993" s="50" t="n">
        <f aca="false">ROUNDUP(MAX(J993/IF(CD993&gt;0,CD993,MAX(0.1,N(Cockpit!$C$6))),CG993)/BV993,0)*BV993</f>
        <v>19</v>
      </c>
      <c r="AL993" s="51" t="n">
        <f aca="false">IF(AI993&gt;0,J993/AI993,-1)</f>
        <v>4.0258064516129</v>
      </c>
      <c r="AM993" s="51" t="n">
        <f aca="false">IF(AND(OR(CC993="L1",CC993="L23",CC993="LIFT"),AI993&gt;0),SUMIFS($AI$7:$AI$1843,$CC$7:$CC$1843,CC993,$AL$7:$AL$1843,"&gt;"&amp;AL993)+SUMIFS($AI$7:$AI$1843,$CC$7:$CC$1843,CC993,$AL$7:$AL$1843,AL993,$BT$7:$BT$1843,"&lt;="&amp;BT993),"")</f>
        <v>4355.70833333333</v>
      </c>
      <c r="AN993" s="58" t="n">
        <f aca="false">IF(AM993="",0,MAX(0,MIN(1,(IF(CC993="L1",Parameter!$H$5,IF(CC993="L23",Parameter!$H$6+Parameter!$H$7,Parameter!$H$5+Parameter!$H$6+Parameter!$H$7))-(AM993-AI993))/AI993)))</f>
        <v>1</v>
      </c>
      <c r="AO993" s="50" t="n">
        <f aca="false">IF(LEFT(Cockpit!$I$5,1)="A",H993,IF(CE993=1,CF993,IF(LEFT(Cockpit!$I$5,1)="B",AT993,MAX(AT993,H993))))</f>
        <v>19</v>
      </c>
      <c r="AP993" s="50" t="n">
        <f aca="false">IF(BW993=1,0,ROUNDUP(AO993/BV993,0))</f>
        <v>1</v>
      </c>
      <c r="AQ993" s="52" t="n">
        <f aca="false">IF(CL993&gt;0,CL993*MAX(1,AO993/X993),IF(BW993=1,IF(AO993&lt;=0,0,CA993*MAX(1,IF(H993&gt;0,AO993/H993,1))),IF(R993&gt;0,AP993/R993,0))/MAX(0.1,N(Parameter!$M$21)))</f>
        <v>0.00961538461538462</v>
      </c>
      <c r="AR993" s="50" t="n">
        <f aca="false">AQ993*BY993</f>
        <v>1.49038461538462</v>
      </c>
      <c r="AS993" s="50" t="n">
        <f aca="false">AO993*G993</f>
        <v>278.35</v>
      </c>
      <c r="AT993" s="50" t="n">
        <f aca="false">ROUNDUP(MAX(J993/IF(CD993&gt;0,CD993,MAX(0.1,N(Cockpit!$I$6))),CG993)/BV993,0)*BV993</f>
        <v>19</v>
      </c>
      <c r="AU993" s="51" t="n">
        <f aca="false">IF(AR993&gt;0,J993/AR993,-1)</f>
        <v>4.0258064516129</v>
      </c>
      <c r="AV993" s="51" t="n">
        <f aca="false">IF(AND(OR(CC993="L1",CC993="L23",CC993="LIFT"),AR993&gt;0),SUMIFS($AR$7:$AR$1843,$CC$7:$CC$1843,CC993,$AU$7:$AU$1843,"&gt;"&amp;AU993)+SUMIFS($AR$7:$AR$1843,$CC$7:$CC$1843,CC993,$AU$7:$AU$1843,AU993,$BT$7:$BT$1843,"&lt;="&amp;BT993),"")</f>
        <v>5598.24908424908</v>
      </c>
      <c r="AW993" s="58" t="n">
        <f aca="false">IF(AV993="",0,MAX(0,MIN(1,(IF(CC993="L1",Parameter!$H$5,IF(CC993="L23",Parameter!$H$6+Parameter!$H$7,Parameter!$H$5+Parameter!$H$6+Parameter!$H$7))-(AV993-AR993))/AR993)))</f>
        <v>1</v>
      </c>
      <c r="AX993" s="50" t="n">
        <f aca="false">IF(LEFT(Cockpit!$O$5,1)="A",H993,IF(CE993=1,CF993,IF(LEFT(Cockpit!$O$5,1)="B",BC993,MAX(BC993,H993))))</f>
        <v>19</v>
      </c>
      <c r="AY993" s="50" t="n">
        <f aca="false">IF(BW993=1,0,ROUNDUP(AX993/BV993,0))</f>
        <v>1</v>
      </c>
      <c r="AZ993" s="52" t="n">
        <f aca="false">IF(CL993&gt;0,CL993*MAX(1,AX993/X993),IF(BW993=1,IF(AX993&lt;=0,0,CA993*MAX(1,IF(H993&gt;0,AX993/H993,1))),IF(R993&gt;0,AY993/R993,0))/MAX(0.1,N(Parameter!$M$21)))</f>
        <v>0.00961538461538462</v>
      </c>
      <c r="BA993" s="50" t="n">
        <f aca="false">AZ993*BY993</f>
        <v>1.49038461538462</v>
      </c>
      <c r="BB993" s="50" t="n">
        <f aca="false">AX993*G993</f>
        <v>278.35</v>
      </c>
      <c r="BC993" s="50" t="n">
        <f aca="false">ROUNDUP(MAX(J993/IF(CD993&gt;0,CD993,MAX(0.1,N(Cockpit!$O$6))),CG993)/BV993,0)*BV993</f>
        <v>19</v>
      </c>
      <c r="BD993" s="51" t="n">
        <f aca="false">IF(BA993&gt;0,J993/BA993,-1)</f>
        <v>4.0258064516129</v>
      </c>
      <c r="BE993" s="51" t="n">
        <f aca="false">IF(AND(OR(CC993="L1",CC993="L23",CC993="LIFT"),BA993&gt;0),SUMIFS($BA$7:$BA$1843,$CC$7:$CC$1843,CC993,$BD$7:$BD$1843,"&gt;"&amp;BD993)+SUMIFS($BA$7:$BA$1843,$CC$7:$CC$1843,CC993,$BD$7:$BD$1843,BD993,$BT$7:$BT$1843,"&lt;="&amp;BT993),"")</f>
        <v>5286.11767399267</v>
      </c>
      <c r="BF993" s="58" t="n">
        <f aca="false">IF(BE993="",0,MAX(0,MIN(1,(IF(CC993="L1",Parameter!$H$5,IF(CC993="L23",Parameter!$H$6+Parameter!$H$7,Parameter!$H$5+Parameter!$H$6+Parameter!$H$7))-(BE993-BA993))/BA993)))</f>
        <v>1</v>
      </c>
      <c r="BG993" s="48" t="str">
        <f aca="false">IF(AI993&lt;=0,"",IF(CC993="Aussen","Aussenlager",IF(CC993="-","Nicht im Lift",IF(AN993&gt;=1,"Lift",IF(AN993&lt;=0,"Aussenlager","teilweise")))))</f>
        <v>Lift</v>
      </c>
      <c r="BH993" s="48" t="str">
        <f aca="false">IF(AR993&lt;=0,"",IF(CC993="Aussen","Aussenlager",IF(CC993="-","Nicht im Lift",IF(AW993&gt;=1,"Lift",IF(AW993&lt;=0,"Aussenlager","teilweise")))))</f>
        <v>Lift</v>
      </c>
      <c r="BI993" s="48" t="str">
        <f aca="false">IF(BA993&lt;=0,"",IF(CC993="Aussen","Aussenlager",IF(CC993="-","Nicht im Lift",IF(BF993&gt;=1,"Lift",IF(BF993&lt;=0,"Aussenlager","teilweise")))))</f>
        <v>Lift</v>
      </c>
      <c r="BJ993" s="48" t="str">
        <f aca="false">IF(A993="","",IF(BS993=1,"Neu; ","")&amp;IF(AND(BS993=0,BN993&lt;0),"negativer Bestand (Export "&amp;BN993&amp;"); ","")&amp;IF(J993&lt;=0,"Kein Verbrauch; ","")&amp;IF(CL993&gt;0,"Lift "&amp;W993&amp;" lt. Liftbericht (Fach "&amp;X993&amp;" Stk); ",IF(BX993=1,"Gebinde geschätzt ("&amp;T993&amp;"); ",IF(BW993=1,"Lose – Tablare geschätzt; ","")))&amp;IF(H993&gt;AT993,"Überbestand "&amp;ROUND(H993-AT993,0)&amp;" Stk / CHF "&amp;ROUND((H993-AT993)*G993,0)&amp;"; ","")&amp;IF(AND(CE993=1,CF993&lt;CG993),"MAX &lt; MB+LG; ","")&amp;IF(AND(CK993&gt;0,CJ993*10&gt;CK993),"zu hoch für Tablar; ","")&amp;IF(AND(BS993=0,OR(CE993=1,AA993&lt;&gt;"",U993&lt;&gt;"",V993&lt;&gt;"",AB993&lt;&gt;"")),"manuell übersteuert; ","")&amp;IF(AND(BW993=0,R993=0),"Gebinde unbekannt / Stellmass fehlt; ","")&amp;IF(AND(BW993=0,N(V993)&lt;=0,N(Q993)&lt;=0),"Menge pro Gebinde fehlt (Ist = 1 Gebinde); ","")&amp;BR993)</f>
        <v>negativer Bestand (Export -6); </v>
      </c>
      <c r="BK993" s="48"/>
      <c r="BL993" s="48"/>
      <c r="BM993" s="55"/>
      <c r="BN993" s="50" t="n">
        <v>-6</v>
      </c>
      <c r="BO993" s="50" t="n">
        <v>11</v>
      </c>
      <c r="BP993" s="49" t="n">
        <v>-87.9</v>
      </c>
      <c r="BQ993" s="50" t="n">
        <v>6</v>
      </c>
      <c r="BR993" s="48"/>
      <c r="BS993" s="53" t="n">
        <v>0</v>
      </c>
      <c r="BT993" s="53" t="n">
        <v>993</v>
      </c>
      <c r="BU993" s="48" t="str">
        <f aca="false">IF(U993&lt;&gt;"",UPPER(TRIM(U993)),IF(BX993=1,UPPER(VLOOKUP(T993,Parameter!$I$27:$K$29,2,0)),IF(P993="","LOSE",P993)))</f>
        <v>S32</v>
      </c>
      <c r="BV993" s="50" t="n">
        <f aca="false">IF(BU993="LOSE",1,IF(N(V993)&gt;0,V993,IF(BX993=1,MAX(1,N(VLOOKUP(T993,Parameter!$I$27:$K$29,3,0)),H993,N(N993)),IF(N(Q993)&gt;0,Q993,MAX(1,H993)))))</f>
        <v>19</v>
      </c>
      <c r="BW993" s="53" t="n">
        <f aca="false">IF(BU993="LOSE",1,0)</f>
        <v>0</v>
      </c>
      <c r="BX993" s="53" t="n">
        <f aca="false">IF(AND(U993="",OR(P993="",P993="LOSE"),T993&lt;&gt;"",N(S993)&lt;=0,ISNUMBER(MATCH(T993,Parameter!$I$27:$I$29,0))),1,0)</f>
        <v>0</v>
      </c>
      <c r="BY993" s="53" t="n">
        <f aca="false">IF(CL993&gt;0,INDEX(Parameter!$H$5:$H$7,W993)/INDEX(Parameter!$E$5:$E$7,W993),IF(AND(BW993=0,N(IFERROR(VLOOKUP(BU993,'Gebinde-Kategorie'!$A$5:$N$45,14,0),0))&gt;0),VLOOKUP(BU993,'Gebinde-Kategorie'!$A$5:$N$45,14,0)*10+Parameter!$M$23,Parameter!$M$24))</f>
        <v>155</v>
      </c>
      <c r="BZ993" s="48" t="str">
        <f aca="false">IF(AND(Parameter!$B$19="Ja",E993&lt;&gt;"",ISNUMBER(MATCH(E993,Parameter!$I$35:$I$52,0))),VLOOKUP(E993,Parameter!$I$35:$J$52,2,0),IFERROR(VLOOKUP(D993,Parameter!$A$35:$C$64,2,0),"Nein"))</f>
        <v>2+3</v>
      </c>
      <c r="CA993" s="52" t="n">
        <f aca="false">IF(BW993=0,0,IF(N(S993)&gt;0,S993,IFERROR(VLOOKUP(D993,Parameter!$A$35:$C$64,3,0)+0,0)))</f>
        <v>0</v>
      </c>
      <c r="CB993" s="48" t="n">
        <f aca="false">IF(AA993&lt;&gt;"",AA993,Z993)</f>
        <v>3</v>
      </c>
      <c r="CC993" s="48" t="str">
        <f aca="false">IF(OR(CB993=1,CB993=2,CB993=3),IF(Parameter!$E$27="Ja","LIFT",IF(CB993=1,"L1","L23")),IF(CB993="Aussen","Aussen","-"))</f>
        <v>LIFT</v>
      </c>
      <c r="CD993" s="59" t="n">
        <f aca="false">IF(N(AB993)&gt;0,AB993,0)</f>
        <v>0</v>
      </c>
      <c r="CE993" s="53" t="n">
        <f aca="false">IF(ISNUMBER(AE993),1,0)</f>
        <v>0</v>
      </c>
      <c r="CF993" s="50" t="n">
        <f aca="false">N(AE993)</f>
        <v>0</v>
      </c>
      <c r="CG993" s="50" t="n">
        <f aca="false">N(M993)+N(N993)</f>
        <v>5</v>
      </c>
      <c r="CH993" s="50" t="n">
        <f aca="false">ROUNDUP(H993/BV993,0)</f>
        <v>1</v>
      </c>
      <c r="CI993" s="50" t="n">
        <f aca="false">ROUNDUP(CF993/BV993,0)</f>
        <v>0</v>
      </c>
      <c r="CJ993" s="53" t="n">
        <f aca="false">IF(BW993=1,0,IFERROR(VLOOKUP(BU993,'Gebinde-Kategorie'!$A$5:$N$45,5,0)+0,0))</f>
        <v>8</v>
      </c>
      <c r="CK993" s="53" t="n">
        <f aca="false">IFERROR(IF(OR(CB993=1,CB993=2,CB993=3),N(INDEX(Parameter!$I$5:$I$7,CB993)),0),0)</f>
        <v>0</v>
      </c>
      <c r="CL993" s="52" t="n">
        <f aca="false">IF(AND(Parameter!$B$21="Ja",ISNUMBER(W993),N(X993)&gt;0),IFERROR(N(INDEX(Parameter!$L$5:$L$7,W993))*INDEX(Parameter!$E$5:$E$7,W993)*X993/SUMIFS($X$7:$X$1843,$W$7:$W$1843,W993),0),0)</f>
        <v>0</v>
      </c>
    </row>
    <row r="994" customFormat="false" ht="15" hidden="false" customHeight="false" outlineLevel="0" collapsed="false">
      <c r="A994" s="48" t="s">
        <v>1840</v>
      </c>
      <c r="B994" s="48" t="s">
        <v>1841</v>
      </c>
      <c r="C994" s="48" t="s">
        <v>168</v>
      </c>
      <c r="D994" s="48" t="s">
        <v>188</v>
      </c>
      <c r="E994" s="48" t="s">
        <v>189</v>
      </c>
      <c r="F994" s="48" t="s">
        <v>222</v>
      </c>
      <c r="G994" s="49" t="n">
        <v>3.58</v>
      </c>
      <c r="H994" s="50" t="n">
        <f aca="false">MAX(0,IF(AND(Parameter!$B$21="Ja",ISNUMBER(Y994)),Y994,IF(Parameter!$B$20="Jahresanfang 2025 + Export",BO994+BN994,BN994)))</f>
        <v>0</v>
      </c>
      <c r="I994" s="50" t="n">
        <f aca="false">H994*G994</f>
        <v>0</v>
      </c>
      <c r="J994" s="50" t="n">
        <f aca="false">BQ994*Parameter!$B$18</f>
        <v>0</v>
      </c>
      <c r="K994" s="51" t="n">
        <v>45</v>
      </c>
      <c r="L994" s="52" t="n">
        <v>0</v>
      </c>
      <c r="M994" s="50" t="n">
        <v>0</v>
      </c>
      <c r="N994" s="50" t="n">
        <v>1</v>
      </c>
      <c r="O994" s="53" t="n">
        <v>21</v>
      </c>
      <c r="P994" s="48" t="s">
        <v>480</v>
      </c>
      <c r="Q994" s="50" t="n">
        <v>71</v>
      </c>
      <c r="R994" s="53" t="n">
        <f aca="false">IF(BW994=1,0,IFERROR(VLOOKUP(BU994,'Gebinde-Kategorie'!$A$5:$N$45,13,0)+0,0))</f>
        <v>52</v>
      </c>
      <c r="S994" s="54"/>
      <c r="T994" s="55"/>
      <c r="U994" s="55"/>
      <c r="V994" s="55"/>
      <c r="W994" s="48"/>
      <c r="X994" s="50"/>
      <c r="Y994" s="50"/>
      <c r="Z994" s="48" t="n">
        <f aca="false">IF(A994="","",IF(AND(Parameter!$B$21="Ja",ISNUMBER(W994)),W994,IF(BZ994="2+3",IF(ISNUMBER(SEARCH("grosser Artikel",BR994)),2,IFERROR(VLOOKUP(BU994,Parameter!$F$35:$G$64,2,0),2)),IF(OR(BZ994="Nein",BZ994=""),"-",BZ994))))</f>
        <v>3</v>
      </c>
      <c r="AA994" s="55"/>
      <c r="AB994" s="56"/>
      <c r="AC994" s="50" t="n">
        <f aca="false">AT994</f>
        <v>71</v>
      </c>
      <c r="AD994" s="50" t="n">
        <f aca="false">MAX(AT994,H994)</f>
        <v>71</v>
      </c>
      <c r="AE994" s="57"/>
      <c r="AF994" s="50" t="n">
        <f aca="false">IF(LEFT(Cockpit!$C$5,1)="A",H994,IF(CE994=1,CF994,IF(LEFT(Cockpit!$C$5,1)="B",AK994,MAX(AK994,H994))))</f>
        <v>0</v>
      </c>
      <c r="AG994" s="50" t="n">
        <f aca="false">IF(BW994=1,0,ROUNDUP(AF994/BV994,0))</f>
        <v>0</v>
      </c>
      <c r="AH994" s="52" t="n">
        <f aca="false">IF(CL994&gt;0,CL994*MAX(1,AF994/X994),IF(BW994=1,IF(AF994&lt;=0,0,CA994*MAX(1,IF(H994&gt;0,AF994/H994,1))),IF(R994&gt;0,AG994/R994,0))/MAX(0.1,N(Parameter!$M$21)))</f>
        <v>0</v>
      </c>
      <c r="AI994" s="50" t="n">
        <f aca="false">AH994*BY994</f>
        <v>0</v>
      </c>
      <c r="AJ994" s="50" t="n">
        <f aca="false">AF994*G994</f>
        <v>0</v>
      </c>
      <c r="AK994" s="50" t="n">
        <f aca="false">ROUNDUP(MAX(J994/IF(CD994&gt;0,CD994,MAX(0.1,N(Cockpit!$C$6))),CG994)/BV994,0)*BV994</f>
        <v>71</v>
      </c>
      <c r="AL994" s="51" t="n">
        <f aca="false">IF(AI994&gt;0,J994/AI994,-1)</f>
        <v>-1</v>
      </c>
      <c r="AM994" s="51" t="str">
        <f aca="false">IF(AND(OR(CC994="L1",CC994="L23",CC994="LIFT"),AI994&gt;0),SUMIFS($AI$7:$AI$1843,$CC$7:$CC$1843,CC994,$AL$7:$AL$1843,"&gt;"&amp;AL994)+SUMIFS($AI$7:$AI$1843,$CC$7:$CC$1843,CC994,$AL$7:$AL$1843,AL994,$BT$7:$BT$1843,"&lt;="&amp;BT994),"")</f>
        <v/>
      </c>
      <c r="AN994" s="58" t="n">
        <f aca="false">IF(AM994="",0,MAX(0,MIN(1,(IF(CC994="L1",Parameter!$H$5,IF(CC994="L23",Parameter!$H$6+Parameter!$H$7,Parameter!$H$5+Parameter!$H$6+Parameter!$H$7))-(AM994-AI994))/AI994)))</f>
        <v>0</v>
      </c>
      <c r="AO994" s="50" t="n">
        <f aca="false">IF(LEFT(Cockpit!$I$5,1)="A",H994,IF(CE994=1,CF994,IF(LEFT(Cockpit!$I$5,1)="B",AT994,MAX(AT994,H994))))</f>
        <v>71</v>
      </c>
      <c r="AP994" s="50" t="n">
        <f aca="false">IF(BW994=1,0,ROUNDUP(AO994/BV994,0))</f>
        <v>1</v>
      </c>
      <c r="AQ994" s="52" t="n">
        <f aca="false">IF(CL994&gt;0,CL994*MAX(1,AO994/X994),IF(BW994=1,IF(AO994&lt;=0,0,CA994*MAX(1,IF(H994&gt;0,AO994/H994,1))),IF(R994&gt;0,AP994/R994,0))/MAX(0.1,N(Parameter!$M$21)))</f>
        <v>0.0192307692307692</v>
      </c>
      <c r="AR994" s="50" t="n">
        <f aca="false">AQ994*BY994</f>
        <v>2.98076923076923</v>
      </c>
      <c r="AS994" s="50" t="n">
        <f aca="false">AO994*G994</f>
        <v>254.18</v>
      </c>
      <c r="AT994" s="50" t="n">
        <f aca="false">ROUNDUP(MAX(J994/IF(CD994&gt;0,CD994,MAX(0.1,N(Cockpit!$I$6))),CG994)/BV994,0)*BV994</f>
        <v>71</v>
      </c>
      <c r="AU994" s="51" t="n">
        <f aca="false">IF(AR994&gt;0,J994/AR994,-1)</f>
        <v>0</v>
      </c>
      <c r="AV994" s="51" t="n">
        <f aca="false">IF(AND(OR(CC994="L1",CC994="L23",CC994="LIFT"),AR994&gt;0),SUMIFS($AR$7:$AR$1843,$CC$7:$CC$1843,CC994,$AU$7:$AU$1843,"&gt;"&amp;AU994)+SUMIFS($AR$7:$AR$1843,$CC$7:$CC$1843,CC994,$AU$7:$AU$1843,AU994,$BT$7:$BT$1843,"&lt;="&amp;BT994),"")</f>
        <v>40577.2555022661</v>
      </c>
      <c r="AW994" s="58" t="n">
        <f aca="false">IF(AV994="",0,MAX(0,MIN(1,(IF(CC994="L1",Parameter!$H$5,IF(CC994="L23",Parameter!$H$6+Parameter!$H$7,Parameter!$H$5+Parameter!$H$6+Parameter!$H$7))-(AV994-AR994))/AR994)))</f>
        <v>0</v>
      </c>
      <c r="AX994" s="50" t="n">
        <f aca="false">IF(LEFT(Cockpit!$O$5,1)="A",H994,IF(CE994=1,CF994,IF(LEFT(Cockpit!$O$5,1)="B",BC994,MAX(BC994,H994))))</f>
        <v>71</v>
      </c>
      <c r="AY994" s="50" t="n">
        <f aca="false">IF(BW994=1,0,ROUNDUP(AX994/BV994,0))</f>
        <v>1</v>
      </c>
      <c r="AZ994" s="52" t="n">
        <f aca="false">IF(CL994&gt;0,CL994*MAX(1,AX994/X994),IF(BW994=1,IF(AX994&lt;=0,0,CA994*MAX(1,IF(H994&gt;0,AX994/H994,1))),IF(R994&gt;0,AY994/R994,0))/MAX(0.1,N(Parameter!$M$21)))</f>
        <v>0.0192307692307692</v>
      </c>
      <c r="BA994" s="50" t="n">
        <f aca="false">AZ994*BY994</f>
        <v>2.98076923076923</v>
      </c>
      <c r="BB994" s="50" t="n">
        <f aca="false">AX994*G994</f>
        <v>254.18</v>
      </c>
      <c r="BC994" s="50" t="n">
        <f aca="false">ROUNDUP(MAX(J994/IF(CD994&gt;0,CD994,MAX(0.1,N(Cockpit!$O$6))),CG994)/BV994,0)*BV994</f>
        <v>71</v>
      </c>
      <c r="BD994" s="51" t="n">
        <f aca="false">IF(BA994&gt;0,J994/BA994,-1)</f>
        <v>0</v>
      </c>
      <c r="BE994" s="51" t="n">
        <f aca="false">IF(AND(OR(CC994="L1",CC994="L23",CC994="LIFT"),BA994&gt;0),SUMIFS($BA$7:$BA$1843,$CC$7:$CC$1843,CC994,$BD$7:$BD$1843,"&gt;"&amp;BD994)+SUMIFS($BA$7:$BA$1843,$CC$7:$CC$1843,CC994,$BD$7:$BD$1843,BD994,$BT$7:$BT$1843,"&lt;="&amp;BT994),"")</f>
        <v>37252.267544132</v>
      </c>
      <c r="BF994" s="58" t="n">
        <f aca="false">IF(BE994="",0,MAX(0,MIN(1,(IF(CC994="L1",Parameter!$H$5,IF(CC994="L23",Parameter!$H$6+Parameter!$H$7,Parameter!$H$5+Parameter!$H$6+Parameter!$H$7))-(BE994-BA994))/BA994)))</f>
        <v>0</v>
      </c>
      <c r="BG994" s="48" t="str">
        <f aca="false">IF(AI994&lt;=0,"",IF(CC994="Aussen","Aussenlager",IF(CC994="-","Nicht im Lift",IF(AN994&gt;=1,"Lift",IF(AN994&lt;=0,"Aussenlager","teilweise")))))</f>
        <v/>
      </c>
      <c r="BH994" s="48" t="str">
        <f aca="false">IF(AR994&lt;=0,"",IF(CC994="Aussen","Aussenlager",IF(CC994="-","Nicht im Lift",IF(AW994&gt;=1,"Lift",IF(AW994&lt;=0,"Aussenlager","teilweise")))))</f>
        <v>Aussenlager</v>
      </c>
      <c r="BI994" s="48" t="str">
        <f aca="false">IF(BA994&lt;=0,"",IF(CC994="Aussen","Aussenlager",IF(CC994="-","Nicht im Lift",IF(BF994&gt;=1,"Lift",IF(BF994&lt;=0,"Aussenlager","teilweise")))))</f>
        <v>Aussenlager</v>
      </c>
      <c r="BJ994" s="48" t="str">
        <f aca="false">IF(A994="","",IF(BS994=1,"Neu; ","")&amp;IF(AND(BS994=0,BN994&lt;0),"negativer Bestand (Export "&amp;BN994&amp;"); ","")&amp;IF(J994&lt;=0,"Kein Verbrauch; ","")&amp;IF(CL994&gt;0,"Lift "&amp;W994&amp;" lt. Liftbericht (Fach "&amp;X994&amp;" Stk); ",IF(BX994=1,"Gebinde geschätzt ("&amp;T994&amp;"); ",IF(BW994=1,"Lose – Tablare geschätzt; ","")))&amp;IF(H994&gt;AT994,"Überbestand "&amp;ROUND(H994-AT994,0)&amp;" Stk / CHF "&amp;ROUND((H994-AT994)*G994,0)&amp;"; ","")&amp;IF(AND(CE994=1,CF994&lt;CG994),"MAX &lt; MB+LG; ","")&amp;IF(AND(CK994&gt;0,CJ994*10&gt;CK994),"zu hoch für Tablar; ","")&amp;IF(AND(BS994=0,OR(CE994=1,AA994&lt;&gt;"",U994&lt;&gt;"",V994&lt;&gt;"",AB994&lt;&gt;"")),"manuell übersteuert; ","")&amp;IF(AND(BW994=0,R994=0),"Gebinde unbekannt / Stellmass fehlt; ","")&amp;IF(AND(BW994=0,N(V994)&lt;=0,N(Q994)&lt;=0),"Menge pro Gebinde fehlt (Ist = 1 Gebinde); ","")&amp;BR994)</f>
        <v>negativer Bestand (Export -60); Kein Verbrauch; Überbestand</v>
      </c>
      <c r="BK994" s="48"/>
      <c r="BL994" s="48"/>
      <c r="BM994" s="55"/>
      <c r="BN994" s="50" t="n">
        <v>-60</v>
      </c>
      <c r="BO994" s="50" t="n">
        <v>60</v>
      </c>
      <c r="BP994" s="49" t="n">
        <v>-88.2</v>
      </c>
      <c r="BQ994" s="50" t="n">
        <v>0</v>
      </c>
      <c r="BR994" s="48" t="s">
        <v>396</v>
      </c>
      <c r="BS994" s="53" t="n">
        <v>0</v>
      </c>
      <c r="BT994" s="53" t="n">
        <v>994</v>
      </c>
      <c r="BU994" s="48" t="str">
        <f aca="false">IF(U994&lt;&gt;"",UPPER(TRIM(U994)),IF(BX994=1,UPPER(VLOOKUP(T994,Parameter!$I$27:$K$29,2,0)),IF(P994="","LOSE",P994)))</f>
        <v>S33</v>
      </c>
      <c r="BV994" s="50" t="n">
        <f aca="false">IF(BU994="LOSE",1,IF(N(V994)&gt;0,V994,IF(BX994=1,MAX(1,N(VLOOKUP(T994,Parameter!$I$27:$K$29,3,0)),H994,N(N994)),IF(N(Q994)&gt;0,Q994,MAX(1,H994)))))</f>
        <v>71</v>
      </c>
      <c r="BW994" s="53" t="n">
        <f aca="false">IF(BU994="LOSE",1,0)</f>
        <v>0</v>
      </c>
      <c r="BX994" s="53" t="n">
        <f aca="false">IF(AND(U994="",OR(P994="",P994="LOSE"),T994&lt;&gt;"",N(S994)&lt;=0,ISNUMBER(MATCH(T994,Parameter!$I$27:$I$29,0))),1,0)</f>
        <v>0</v>
      </c>
      <c r="BY994" s="53" t="n">
        <f aca="false">IF(CL994&gt;0,INDEX(Parameter!$H$5:$H$7,W994)/INDEX(Parameter!$E$5:$E$7,W994),IF(AND(BW994=0,N(IFERROR(VLOOKUP(BU994,'Gebinde-Kategorie'!$A$5:$N$45,14,0),0))&gt;0),VLOOKUP(BU994,'Gebinde-Kategorie'!$A$5:$N$45,14,0)*10+Parameter!$M$23,Parameter!$M$24))</f>
        <v>155</v>
      </c>
      <c r="BZ994" s="48" t="str">
        <f aca="false">IF(AND(Parameter!$B$19="Ja",E994&lt;&gt;"",ISNUMBER(MATCH(E994,Parameter!$I$35:$I$52,0))),VLOOKUP(E994,Parameter!$I$35:$J$52,2,0),IFERROR(VLOOKUP(D994,Parameter!$A$35:$C$64,2,0),"Nein"))</f>
        <v>2+3</v>
      </c>
      <c r="CA994" s="52" t="n">
        <f aca="false">IF(BW994=0,0,IF(N(S994)&gt;0,S994,IFERROR(VLOOKUP(D994,Parameter!$A$35:$C$64,3,0)+0,0)))</f>
        <v>0</v>
      </c>
      <c r="CB994" s="48" t="n">
        <f aca="false">IF(AA994&lt;&gt;"",AA994,Z994)</f>
        <v>3</v>
      </c>
      <c r="CC994" s="48" t="str">
        <f aca="false">IF(OR(CB994=1,CB994=2,CB994=3),IF(Parameter!$E$27="Ja","LIFT",IF(CB994=1,"L1","L23")),IF(CB994="Aussen","Aussen","-"))</f>
        <v>LIFT</v>
      </c>
      <c r="CD994" s="59" t="n">
        <f aca="false">IF(N(AB994)&gt;0,AB994,0)</f>
        <v>0</v>
      </c>
      <c r="CE994" s="53" t="n">
        <f aca="false">IF(ISNUMBER(AE994),1,0)</f>
        <v>0</v>
      </c>
      <c r="CF994" s="50" t="n">
        <f aca="false">N(AE994)</f>
        <v>0</v>
      </c>
      <c r="CG994" s="50" t="n">
        <f aca="false">N(M994)+N(N994)</f>
        <v>1</v>
      </c>
      <c r="CH994" s="50" t="n">
        <f aca="false">ROUNDUP(H994/BV994,0)</f>
        <v>0</v>
      </c>
      <c r="CI994" s="50" t="n">
        <f aca="false">ROUNDUP(CF994/BV994,0)</f>
        <v>0</v>
      </c>
      <c r="CJ994" s="53" t="n">
        <f aca="false">IF(BW994=1,0,IFERROR(VLOOKUP(BU994,'Gebinde-Kategorie'!$A$5:$N$45,5,0)+0,0))</f>
        <v>8</v>
      </c>
      <c r="CK994" s="53" t="n">
        <f aca="false">IFERROR(IF(OR(CB994=1,CB994=2,CB994=3),N(INDEX(Parameter!$I$5:$I$7,CB994)),0),0)</f>
        <v>0</v>
      </c>
      <c r="CL994" s="52" t="n">
        <f aca="false">IF(AND(Parameter!$B$21="Ja",ISNUMBER(W994),N(X994)&gt;0),IFERROR(N(INDEX(Parameter!$L$5:$L$7,W994))*INDEX(Parameter!$E$5:$E$7,W994)*X994/SUMIFS($X$7:$X$1843,$W$7:$W$1843,W994),0),0)</f>
        <v>0</v>
      </c>
    </row>
    <row r="995" customFormat="false" ht="15" hidden="false" customHeight="false" outlineLevel="0" collapsed="false">
      <c r="A995" s="48" t="s">
        <v>1842</v>
      </c>
      <c r="B995" s="48" t="s">
        <v>728</v>
      </c>
      <c r="C995" s="48" t="s">
        <v>168</v>
      </c>
      <c r="D995" s="48" t="s">
        <v>188</v>
      </c>
      <c r="E995" s="48" t="s">
        <v>189</v>
      </c>
      <c r="F995" s="48" t="s">
        <v>222</v>
      </c>
      <c r="G995" s="49" t="n">
        <v>13.01</v>
      </c>
      <c r="H995" s="50" t="n">
        <f aca="false">MAX(0,IF(AND(Parameter!$B$21="Ja",ISNUMBER(Y995)),Y995,IF(Parameter!$B$20="Jahresanfang 2025 + Export",BO995+BN995,BN995)))</f>
        <v>13</v>
      </c>
      <c r="I995" s="50" t="n">
        <f aca="false">H995*G995</f>
        <v>169.13</v>
      </c>
      <c r="J995" s="50" t="n">
        <f aca="false">BQ995*Parameter!$B$18</f>
        <v>7</v>
      </c>
      <c r="K995" s="51" t="n">
        <v>16.5</v>
      </c>
      <c r="L995" s="52" t="n">
        <v>0.424242424242424</v>
      </c>
      <c r="M995" s="50" t="n">
        <v>0</v>
      </c>
      <c r="N995" s="50" t="n">
        <v>5</v>
      </c>
      <c r="O995" s="53" t="n">
        <v>18</v>
      </c>
      <c r="P995" s="48" t="s">
        <v>425</v>
      </c>
      <c r="Q995" s="50" t="n">
        <v>28</v>
      </c>
      <c r="R995" s="53" t="n">
        <f aca="false">IF(BW995=1,0,IFERROR(VLOOKUP(BU995,'Gebinde-Kategorie'!$A$5:$N$45,13,0)+0,0))</f>
        <v>104</v>
      </c>
      <c r="S995" s="54"/>
      <c r="T995" s="55"/>
      <c r="U995" s="55"/>
      <c r="V995" s="55"/>
      <c r="W995" s="48"/>
      <c r="X995" s="50"/>
      <c r="Y995" s="50"/>
      <c r="Z995" s="48" t="n">
        <f aca="false">IF(A995="","",IF(AND(Parameter!$B$21="Ja",ISNUMBER(W995)),W995,IF(BZ995="2+3",IF(ISNUMBER(SEARCH("grosser Artikel",BR995)),2,IFERROR(VLOOKUP(BU995,Parameter!$F$35:$G$64,2,0),2)),IF(OR(BZ995="Nein",BZ995=""),"-",BZ995))))</f>
        <v>3</v>
      </c>
      <c r="AA995" s="55"/>
      <c r="AB995" s="56"/>
      <c r="AC995" s="50" t="n">
        <f aca="false">AT995</f>
        <v>28</v>
      </c>
      <c r="AD995" s="50" t="n">
        <f aca="false">MAX(AT995,H995)</f>
        <v>28</v>
      </c>
      <c r="AE995" s="57"/>
      <c r="AF995" s="50" t="n">
        <f aca="false">IF(LEFT(Cockpit!$C$5,1)="A",H995,IF(CE995=1,CF995,IF(LEFT(Cockpit!$C$5,1)="B",AK995,MAX(AK995,H995))))</f>
        <v>13</v>
      </c>
      <c r="AG995" s="50" t="n">
        <f aca="false">IF(BW995=1,0,ROUNDUP(AF995/BV995,0))</f>
        <v>1</v>
      </c>
      <c r="AH995" s="52" t="n">
        <f aca="false">IF(CL995&gt;0,CL995*MAX(1,AF995/X995),IF(BW995=1,IF(AF995&lt;=0,0,CA995*MAX(1,IF(H995&gt;0,AF995/H995,1))),IF(R995&gt;0,AG995/R995,0))/MAX(0.1,N(Parameter!$M$21)))</f>
        <v>0.00961538461538462</v>
      </c>
      <c r="AI995" s="50" t="n">
        <f aca="false">AH995*BY995</f>
        <v>1.49038461538462</v>
      </c>
      <c r="AJ995" s="50" t="n">
        <f aca="false">AF995*G995</f>
        <v>169.13</v>
      </c>
      <c r="AK995" s="50" t="n">
        <f aca="false">ROUNDUP(MAX(J995/IF(CD995&gt;0,CD995,MAX(0.1,N(Cockpit!$C$6))),CG995)/BV995,0)*BV995</f>
        <v>28</v>
      </c>
      <c r="AL995" s="51" t="n">
        <f aca="false">IF(AI995&gt;0,J995/AI995,-1)</f>
        <v>4.69677419354839</v>
      </c>
      <c r="AM995" s="51" t="n">
        <f aca="false">IF(AND(OR(CC995="L1",CC995="L23",CC995="LIFT"),AI995&gt;0),SUMIFS($AI$7:$AI$1843,$CC$7:$CC$1843,CC995,$AL$7:$AL$1843,"&gt;"&amp;AL995)+SUMIFS($AI$7:$AI$1843,$CC$7:$CC$1843,CC995,$AL$7:$AL$1843,AL995,$BT$7:$BT$1843,"&lt;="&amp;BT995),"")</f>
        <v>4118.97619047619</v>
      </c>
      <c r="AN995" s="58" t="n">
        <f aca="false">IF(AM995="",0,MAX(0,MIN(1,(IF(CC995="L1",Parameter!$H$5,IF(CC995="L23",Parameter!$H$6+Parameter!$H$7,Parameter!$H$5+Parameter!$H$6+Parameter!$H$7))-(AM995-AI995))/AI995)))</f>
        <v>1</v>
      </c>
      <c r="AO995" s="50" t="n">
        <f aca="false">IF(LEFT(Cockpit!$I$5,1)="A",H995,IF(CE995=1,CF995,IF(LEFT(Cockpit!$I$5,1)="B",AT995,MAX(AT995,H995))))</f>
        <v>28</v>
      </c>
      <c r="AP995" s="50" t="n">
        <f aca="false">IF(BW995=1,0,ROUNDUP(AO995/BV995,0))</f>
        <v>1</v>
      </c>
      <c r="AQ995" s="52" t="n">
        <f aca="false">IF(CL995&gt;0,CL995*MAX(1,AO995/X995),IF(BW995=1,IF(AO995&lt;=0,0,CA995*MAX(1,IF(H995&gt;0,AO995/H995,1))),IF(R995&gt;0,AP995/R995,0))/MAX(0.1,N(Parameter!$M$21)))</f>
        <v>0.00961538461538462</v>
      </c>
      <c r="AR995" s="50" t="n">
        <f aca="false">AQ995*BY995</f>
        <v>1.49038461538462</v>
      </c>
      <c r="AS995" s="50" t="n">
        <f aca="false">AO995*G995</f>
        <v>364.28</v>
      </c>
      <c r="AT995" s="50" t="n">
        <f aca="false">ROUNDUP(MAX(J995/IF(CD995&gt;0,CD995,MAX(0.1,N(Cockpit!$I$6))),CG995)/BV995,0)*BV995</f>
        <v>28</v>
      </c>
      <c r="AU995" s="51" t="n">
        <f aca="false">IF(AR995&gt;0,J995/AR995,-1)</f>
        <v>4.69677419354839</v>
      </c>
      <c r="AV995" s="51" t="n">
        <f aca="false">IF(AND(OR(CC995="L1",CC995="L23",CC995="LIFT"),AR995&gt;0),SUMIFS($AR$7:$AR$1843,$CC$7:$CC$1843,CC995,$AU$7:$AU$1843,"&gt;"&amp;AU995)+SUMIFS($AR$7:$AR$1843,$CC$7:$CC$1843,CC995,$AU$7:$AU$1843,AU995,$BT$7:$BT$1843,"&lt;="&amp;BT995),"")</f>
        <v>5213.14743589744</v>
      </c>
      <c r="AW995" s="58" t="n">
        <f aca="false">IF(AV995="",0,MAX(0,MIN(1,(IF(CC995="L1",Parameter!$H$5,IF(CC995="L23",Parameter!$H$6+Parameter!$H$7,Parameter!$H$5+Parameter!$H$6+Parameter!$H$7))-(AV995-AR995))/AR995)))</f>
        <v>1</v>
      </c>
      <c r="AX995" s="50" t="n">
        <f aca="false">IF(LEFT(Cockpit!$O$5,1)="A",H995,IF(CE995=1,CF995,IF(LEFT(Cockpit!$O$5,1)="B",BC995,MAX(BC995,H995))))</f>
        <v>28</v>
      </c>
      <c r="AY995" s="50" t="n">
        <f aca="false">IF(BW995=1,0,ROUNDUP(AX995/BV995,0))</f>
        <v>1</v>
      </c>
      <c r="AZ995" s="52" t="n">
        <f aca="false">IF(CL995&gt;0,CL995*MAX(1,AX995/X995),IF(BW995=1,IF(AX995&lt;=0,0,CA995*MAX(1,IF(H995&gt;0,AX995/H995,1))),IF(R995&gt;0,AY995/R995,0))/MAX(0.1,N(Parameter!$M$21)))</f>
        <v>0.00961538461538462</v>
      </c>
      <c r="BA995" s="50" t="n">
        <f aca="false">AZ995*BY995</f>
        <v>1.49038461538462</v>
      </c>
      <c r="BB995" s="50" t="n">
        <f aca="false">AX995*G995</f>
        <v>364.28</v>
      </c>
      <c r="BC995" s="50" t="n">
        <f aca="false">ROUNDUP(MAX(J995/IF(CD995&gt;0,CD995,MAX(0.1,N(Cockpit!$O$6))),CG995)/BV995,0)*BV995</f>
        <v>28</v>
      </c>
      <c r="BD995" s="51" t="n">
        <f aca="false">IF(BA995&gt;0,J995/BA995,-1)</f>
        <v>4.69677419354839</v>
      </c>
      <c r="BE995" s="51" t="n">
        <f aca="false">IF(AND(OR(CC995="L1",CC995="L23",CC995="LIFT"),BA995&gt;0),SUMIFS($BA$7:$BA$1843,$CC$7:$CC$1843,CC995,$BD$7:$BD$1843,"&gt;"&amp;BD995)+SUMIFS($BA$7:$BA$1843,$CC$7:$CC$1843,CC995,$BD$7:$BD$1843,BD995,$BT$7:$BT$1843,"&lt;="&amp;BT995),"")</f>
        <v>4883.61217948718</v>
      </c>
      <c r="BF995" s="58" t="n">
        <f aca="false">IF(BE995="",0,MAX(0,MIN(1,(IF(CC995="L1",Parameter!$H$5,IF(CC995="L23",Parameter!$H$6+Parameter!$H$7,Parameter!$H$5+Parameter!$H$6+Parameter!$H$7))-(BE995-BA995))/BA995)))</f>
        <v>1</v>
      </c>
      <c r="BG995" s="48" t="str">
        <f aca="false">IF(AI995&lt;=0,"",IF(CC995="Aussen","Aussenlager",IF(CC995="-","Nicht im Lift",IF(AN995&gt;=1,"Lift",IF(AN995&lt;=0,"Aussenlager","teilweise")))))</f>
        <v>Lift</v>
      </c>
      <c r="BH995" s="48" t="str">
        <f aca="false">IF(AR995&lt;=0,"",IF(CC995="Aussen","Aussenlager",IF(CC995="-","Nicht im Lift",IF(AW995&gt;=1,"Lift",IF(AW995&lt;=0,"Aussenlager","teilweise")))))</f>
        <v>Lift</v>
      </c>
      <c r="BI995" s="48" t="str">
        <f aca="false">IF(BA995&lt;=0,"",IF(CC995="Aussen","Aussenlager",IF(CC995="-","Nicht im Lift",IF(BF995&gt;=1,"Lift",IF(BF995&lt;=0,"Aussenlager","teilweise")))))</f>
        <v>Lift</v>
      </c>
      <c r="BJ995" s="48" t="str">
        <f aca="false">IF(A995="","",IF(BS995=1,"Neu; ","")&amp;IF(AND(BS995=0,BN995&lt;0),"negativer Bestand (Export "&amp;BN995&amp;"); ","")&amp;IF(J995&lt;=0,"Kein Verbrauch; ","")&amp;IF(CL995&gt;0,"Lift "&amp;W995&amp;" lt. Liftbericht (Fach "&amp;X995&amp;" Stk); ",IF(BX995=1,"Gebinde geschätzt ("&amp;T995&amp;"); ",IF(BW995=1,"Lose – Tablare geschätzt; ","")))&amp;IF(H995&gt;AT995,"Überbestand "&amp;ROUND(H995-AT995,0)&amp;" Stk / CHF "&amp;ROUND((H995-AT995)*G995,0)&amp;"; ","")&amp;IF(AND(CE995=1,CF995&lt;CG995),"MAX &lt; MB+LG; ","")&amp;IF(AND(CK995&gt;0,CJ995*10&gt;CK995),"zu hoch für Tablar; ","")&amp;IF(AND(BS995=0,OR(CE995=1,AA995&lt;&gt;"",U995&lt;&gt;"",V995&lt;&gt;"",AB995&lt;&gt;"")),"manuell übersteuert; ","")&amp;IF(AND(BW995=0,R995=0),"Gebinde unbekannt / Stellmass fehlt; ","")&amp;IF(AND(BW995=0,N(V995)&lt;=0,N(Q995)&lt;=0),"Menge pro Gebinde fehlt (Ist = 1 Gebinde); ","")&amp;BR995)</f>
        <v>negativer Bestand (Export -7); </v>
      </c>
      <c r="BK995" s="48"/>
      <c r="BL995" s="48"/>
      <c r="BM995" s="55"/>
      <c r="BN995" s="50" t="n">
        <v>-7</v>
      </c>
      <c r="BO995" s="50" t="n">
        <v>20</v>
      </c>
      <c r="BP995" s="49" t="n">
        <v>-91.07</v>
      </c>
      <c r="BQ995" s="50" t="n">
        <v>7</v>
      </c>
      <c r="BR995" s="48"/>
      <c r="BS995" s="53" t="n">
        <v>0</v>
      </c>
      <c r="BT995" s="53" t="n">
        <v>995</v>
      </c>
      <c r="BU995" s="48" t="str">
        <f aca="false">IF(U995&lt;&gt;"",UPPER(TRIM(U995)),IF(BX995=1,UPPER(VLOOKUP(T995,Parameter!$I$27:$K$29,2,0)),IF(P995="","LOSE",P995)))</f>
        <v>S32</v>
      </c>
      <c r="BV995" s="50" t="n">
        <f aca="false">IF(BU995="LOSE",1,IF(N(V995)&gt;0,V995,IF(BX995=1,MAX(1,N(VLOOKUP(T995,Parameter!$I$27:$K$29,3,0)),H995,N(N995)),IF(N(Q995)&gt;0,Q995,MAX(1,H995)))))</f>
        <v>28</v>
      </c>
      <c r="BW995" s="53" t="n">
        <f aca="false">IF(BU995="LOSE",1,0)</f>
        <v>0</v>
      </c>
      <c r="BX995" s="53" t="n">
        <f aca="false">IF(AND(U995="",OR(P995="",P995="LOSE"),T995&lt;&gt;"",N(S995)&lt;=0,ISNUMBER(MATCH(T995,Parameter!$I$27:$I$29,0))),1,0)</f>
        <v>0</v>
      </c>
      <c r="BY995" s="53" t="n">
        <f aca="false">IF(CL995&gt;0,INDEX(Parameter!$H$5:$H$7,W995)/INDEX(Parameter!$E$5:$E$7,W995),IF(AND(BW995=0,N(IFERROR(VLOOKUP(BU995,'Gebinde-Kategorie'!$A$5:$N$45,14,0),0))&gt;0),VLOOKUP(BU995,'Gebinde-Kategorie'!$A$5:$N$45,14,0)*10+Parameter!$M$23,Parameter!$M$24))</f>
        <v>155</v>
      </c>
      <c r="BZ995" s="48" t="str">
        <f aca="false">IF(AND(Parameter!$B$19="Ja",E995&lt;&gt;"",ISNUMBER(MATCH(E995,Parameter!$I$35:$I$52,0))),VLOOKUP(E995,Parameter!$I$35:$J$52,2,0),IFERROR(VLOOKUP(D995,Parameter!$A$35:$C$64,2,0),"Nein"))</f>
        <v>2+3</v>
      </c>
      <c r="CA995" s="52" t="n">
        <f aca="false">IF(BW995=0,0,IF(N(S995)&gt;0,S995,IFERROR(VLOOKUP(D995,Parameter!$A$35:$C$64,3,0)+0,0)))</f>
        <v>0</v>
      </c>
      <c r="CB995" s="48" t="n">
        <f aca="false">IF(AA995&lt;&gt;"",AA995,Z995)</f>
        <v>3</v>
      </c>
      <c r="CC995" s="48" t="str">
        <f aca="false">IF(OR(CB995=1,CB995=2,CB995=3),IF(Parameter!$E$27="Ja","LIFT",IF(CB995=1,"L1","L23")),IF(CB995="Aussen","Aussen","-"))</f>
        <v>LIFT</v>
      </c>
      <c r="CD995" s="59" t="n">
        <f aca="false">IF(N(AB995)&gt;0,AB995,0)</f>
        <v>0</v>
      </c>
      <c r="CE995" s="53" t="n">
        <f aca="false">IF(ISNUMBER(AE995),1,0)</f>
        <v>0</v>
      </c>
      <c r="CF995" s="50" t="n">
        <f aca="false">N(AE995)</f>
        <v>0</v>
      </c>
      <c r="CG995" s="50" t="n">
        <f aca="false">N(M995)+N(N995)</f>
        <v>5</v>
      </c>
      <c r="CH995" s="50" t="n">
        <f aca="false">ROUNDUP(H995/BV995,0)</f>
        <v>1</v>
      </c>
      <c r="CI995" s="50" t="n">
        <f aca="false">ROUNDUP(CF995/BV995,0)</f>
        <v>0</v>
      </c>
      <c r="CJ995" s="53" t="n">
        <f aca="false">IF(BW995=1,0,IFERROR(VLOOKUP(BU995,'Gebinde-Kategorie'!$A$5:$N$45,5,0)+0,0))</f>
        <v>8</v>
      </c>
      <c r="CK995" s="53" t="n">
        <f aca="false">IFERROR(IF(OR(CB995=1,CB995=2,CB995=3),N(INDEX(Parameter!$I$5:$I$7,CB995)),0),0)</f>
        <v>0</v>
      </c>
      <c r="CL995" s="52" t="n">
        <f aca="false">IF(AND(Parameter!$B$21="Ja",ISNUMBER(W995),N(X995)&gt;0),IFERROR(N(INDEX(Parameter!$L$5:$L$7,W995))*INDEX(Parameter!$E$5:$E$7,W995)*X995/SUMIFS($X$7:$X$1843,$W$7:$W$1843,W995),0),0)</f>
        <v>0</v>
      </c>
    </row>
    <row r="996" customFormat="false" ht="15" hidden="false" customHeight="false" outlineLevel="0" collapsed="false">
      <c r="A996" s="48" t="s">
        <v>1843</v>
      </c>
      <c r="B996" s="48" t="s">
        <v>738</v>
      </c>
      <c r="C996" s="48" t="s">
        <v>168</v>
      </c>
      <c r="D996" s="48" t="s">
        <v>188</v>
      </c>
      <c r="E996" s="48"/>
      <c r="F996" s="48" t="s">
        <v>222</v>
      </c>
      <c r="G996" s="49" t="n">
        <v>42.17</v>
      </c>
      <c r="H996" s="50" t="n">
        <f aca="false">MAX(0,IF(AND(Parameter!$B$21="Ja",ISNUMBER(Y996)),Y996,IF(Parameter!$B$20="Jahresanfang 2025 + Export",BO996+BN996,BN996)))</f>
        <v>4</v>
      </c>
      <c r="I996" s="50" t="n">
        <f aca="false">H996*G996</f>
        <v>168.68</v>
      </c>
      <c r="J996" s="50" t="n">
        <f aca="false">BQ996*Parameter!$B$18</f>
        <v>5</v>
      </c>
      <c r="K996" s="51" t="n">
        <v>3.5</v>
      </c>
      <c r="L996" s="52" t="n">
        <v>1.42857142857143</v>
      </c>
      <c r="M996" s="50" t="n">
        <v>0</v>
      </c>
      <c r="N996" s="50" t="n">
        <v>5</v>
      </c>
      <c r="O996" s="53" t="n">
        <v>28</v>
      </c>
      <c r="P996" s="48" t="s">
        <v>332</v>
      </c>
      <c r="Q996" s="50" t="n">
        <v>20</v>
      </c>
      <c r="R996" s="53" t="n">
        <f aca="false">IF(BW996=1,0,IFERROR(VLOOKUP(BU996,'Gebinde-Kategorie'!$A$5:$N$45,13,0)+0,0))</f>
        <v>52</v>
      </c>
      <c r="S996" s="54"/>
      <c r="T996" s="55"/>
      <c r="U996" s="55"/>
      <c r="V996" s="55"/>
      <c r="W996" s="48"/>
      <c r="X996" s="50"/>
      <c r="Y996" s="50"/>
      <c r="Z996" s="48" t="n">
        <f aca="false">IF(A996="","",IF(AND(Parameter!$B$21="Ja",ISNUMBER(W996)),W996,IF(BZ996="2+3",IF(ISNUMBER(SEARCH("grosser Artikel",BR996)),2,IFERROR(VLOOKUP(BU996,Parameter!$F$35:$G$64,2,0),2)),IF(OR(BZ996="Nein",BZ996=""),"-",BZ996))))</f>
        <v>3</v>
      </c>
      <c r="AA996" s="55"/>
      <c r="AB996" s="56"/>
      <c r="AC996" s="50" t="n">
        <f aca="false">AT996</f>
        <v>20</v>
      </c>
      <c r="AD996" s="50" t="n">
        <f aca="false">MAX(AT996,H996)</f>
        <v>20</v>
      </c>
      <c r="AE996" s="57"/>
      <c r="AF996" s="50" t="n">
        <f aca="false">IF(LEFT(Cockpit!$C$5,1)="A",H996,IF(CE996=1,CF996,IF(LEFT(Cockpit!$C$5,1)="B",AK996,MAX(AK996,H996))))</f>
        <v>4</v>
      </c>
      <c r="AG996" s="50" t="n">
        <f aca="false">IF(BW996=1,0,ROUNDUP(AF996/BV996,0))</f>
        <v>1</v>
      </c>
      <c r="AH996" s="52" t="n">
        <f aca="false">IF(CL996&gt;0,CL996*MAX(1,AF996/X996),IF(BW996=1,IF(AF996&lt;=0,0,CA996*MAX(1,IF(H996&gt;0,AF996/H996,1))),IF(R996&gt;0,AG996/R996,0))/MAX(0.1,N(Parameter!$M$21)))</f>
        <v>0.0192307692307692</v>
      </c>
      <c r="AI996" s="50" t="n">
        <f aca="false">AH996*BY996</f>
        <v>2.98076923076923</v>
      </c>
      <c r="AJ996" s="50" t="n">
        <f aca="false">AF996*G996</f>
        <v>168.68</v>
      </c>
      <c r="AK996" s="50" t="n">
        <f aca="false">ROUNDUP(MAX(J996/IF(CD996&gt;0,CD996,MAX(0.1,N(Cockpit!$C$6))),CG996)/BV996,0)*BV996</f>
        <v>20</v>
      </c>
      <c r="AL996" s="51" t="n">
        <f aca="false">IF(AI996&gt;0,J996/AI996,-1)</f>
        <v>1.67741935483871</v>
      </c>
      <c r="AM996" s="51" t="n">
        <f aca="false">IF(AND(OR(CC996="L1",CC996="L23",CC996="LIFT"),AI996&gt;0),SUMIFS($AI$7:$AI$1843,$CC$7:$CC$1843,CC996,$AL$7:$AL$1843,"&gt;"&amp;AL996)+SUMIFS($AI$7:$AI$1843,$CC$7:$CC$1843,CC996,$AL$7:$AL$1843,AL996,$BT$7:$BT$1843,"&lt;="&amp;BT996),"")</f>
        <v>6060.79532967033</v>
      </c>
      <c r="AN996" s="58" t="n">
        <f aca="false">IF(AM996="",0,MAX(0,MIN(1,(IF(CC996="L1",Parameter!$H$5,IF(CC996="L23",Parameter!$H$6+Parameter!$H$7,Parameter!$H$5+Parameter!$H$6+Parameter!$H$7))-(AM996-AI996))/AI996)))</f>
        <v>1</v>
      </c>
      <c r="AO996" s="50" t="n">
        <f aca="false">IF(LEFT(Cockpit!$I$5,1)="A",H996,IF(CE996=1,CF996,IF(LEFT(Cockpit!$I$5,1)="B",AT996,MAX(AT996,H996))))</f>
        <v>20</v>
      </c>
      <c r="AP996" s="50" t="n">
        <f aca="false">IF(BW996=1,0,ROUNDUP(AO996/BV996,0))</f>
        <v>1</v>
      </c>
      <c r="AQ996" s="52" t="n">
        <f aca="false">IF(CL996&gt;0,CL996*MAX(1,AO996/X996),IF(BW996=1,IF(AO996&lt;=0,0,CA996*MAX(1,IF(H996&gt;0,AO996/H996,1))),IF(R996&gt;0,AP996/R996,0))/MAX(0.1,N(Parameter!$M$21)))</f>
        <v>0.0192307692307692</v>
      </c>
      <c r="AR996" s="50" t="n">
        <f aca="false">AQ996*BY996</f>
        <v>2.98076923076923</v>
      </c>
      <c r="AS996" s="50" t="n">
        <f aca="false">AO996*G996</f>
        <v>843.4</v>
      </c>
      <c r="AT996" s="50" t="n">
        <f aca="false">ROUNDUP(MAX(J996/IF(CD996&gt;0,CD996,MAX(0.1,N(Cockpit!$I$6))),CG996)/BV996,0)*BV996</f>
        <v>20</v>
      </c>
      <c r="AU996" s="51" t="n">
        <f aca="false">IF(AR996&gt;0,J996/AR996,-1)</f>
        <v>1.67741935483871</v>
      </c>
      <c r="AV996" s="51" t="n">
        <f aca="false">IF(AND(OR(CC996="L1",CC996="L23",CC996="LIFT"),AR996&gt;0),SUMIFS($AR$7:$AR$1843,$CC$7:$CC$1843,CC996,$AU$7:$AU$1843,"&gt;"&amp;AU996)+SUMIFS($AR$7:$AR$1843,$CC$7:$CC$1843,CC996,$AU$7:$AU$1843,AU996,$BT$7:$BT$1843,"&lt;="&amp;BT996),"")</f>
        <v>8204.84065934066</v>
      </c>
      <c r="AW996" s="58" t="n">
        <f aca="false">IF(AV996="",0,MAX(0,MIN(1,(IF(CC996="L1",Parameter!$H$5,IF(CC996="L23",Parameter!$H$6+Parameter!$H$7,Parameter!$H$5+Parameter!$H$6+Parameter!$H$7))-(AV996-AR996))/AR996)))</f>
        <v>1</v>
      </c>
      <c r="AX996" s="50" t="n">
        <f aca="false">IF(LEFT(Cockpit!$O$5,1)="A",H996,IF(CE996=1,CF996,IF(LEFT(Cockpit!$O$5,1)="B",BC996,MAX(BC996,H996))))</f>
        <v>20</v>
      </c>
      <c r="AY996" s="50" t="n">
        <f aca="false">IF(BW996=1,0,ROUNDUP(AX996/BV996,0))</f>
        <v>1</v>
      </c>
      <c r="AZ996" s="52" t="n">
        <f aca="false">IF(CL996&gt;0,CL996*MAX(1,AX996/X996),IF(BW996=1,IF(AX996&lt;=0,0,CA996*MAX(1,IF(H996&gt;0,AX996/H996,1))),IF(R996&gt;0,AY996/R996,0))/MAX(0.1,N(Parameter!$M$21)))</f>
        <v>0.0192307692307692</v>
      </c>
      <c r="BA996" s="50" t="n">
        <f aca="false">AZ996*BY996</f>
        <v>2.98076923076923</v>
      </c>
      <c r="BB996" s="50" t="n">
        <f aca="false">AX996*G996</f>
        <v>843.4</v>
      </c>
      <c r="BC996" s="50" t="n">
        <f aca="false">ROUNDUP(MAX(J996/IF(CD996&gt;0,CD996,MAX(0.1,N(Cockpit!$O$6))),CG996)/BV996,0)*BV996</f>
        <v>20</v>
      </c>
      <c r="BD996" s="51" t="n">
        <f aca="false">IF(BA996&gt;0,J996/BA996,-1)</f>
        <v>1.67741935483871</v>
      </c>
      <c r="BE996" s="51" t="n">
        <f aca="false">IF(AND(OR(CC996="L1",CC996="L23",CC996="LIFT"),BA996&gt;0),SUMIFS($BA$7:$BA$1843,$CC$7:$CC$1843,CC996,$BD$7:$BD$1843,"&gt;"&amp;BD996)+SUMIFS($BA$7:$BA$1843,$CC$7:$CC$1843,CC996,$BD$7:$BD$1843,BD996,$BT$7:$BT$1843,"&lt;="&amp;BT996),"")</f>
        <v>8119.24771062271</v>
      </c>
      <c r="BF996" s="58" t="n">
        <f aca="false">IF(BE996="",0,MAX(0,MIN(1,(IF(CC996="L1",Parameter!$H$5,IF(CC996="L23",Parameter!$H$6+Parameter!$H$7,Parameter!$H$5+Parameter!$H$6+Parameter!$H$7))-(BE996-BA996))/BA996)))</f>
        <v>1</v>
      </c>
      <c r="BG996" s="48" t="str">
        <f aca="false">IF(AI996&lt;=0,"",IF(CC996="Aussen","Aussenlager",IF(CC996="-","Nicht im Lift",IF(AN996&gt;=1,"Lift",IF(AN996&lt;=0,"Aussenlager","teilweise")))))</f>
        <v>Lift</v>
      </c>
      <c r="BH996" s="48" t="str">
        <f aca="false">IF(AR996&lt;=0,"",IF(CC996="Aussen","Aussenlager",IF(CC996="-","Nicht im Lift",IF(AW996&gt;=1,"Lift",IF(AW996&lt;=0,"Aussenlager","teilweise")))))</f>
        <v>Lift</v>
      </c>
      <c r="BI996" s="48" t="str">
        <f aca="false">IF(BA996&lt;=0,"",IF(CC996="Aussen","Aussenlager",IF(CC996="-","Nicht im Lift",IF(BF996&gt;=1,"Lift",IF(BF996&lt;=0,"Aussenlager","teilweise")))))</f>
        <v>Lift</v>
      </c>
      <c r="BJ996" s="48" t="str">
        <f aca="false">IF(A996="","",IF(BS996=1,"Neu; ","")&amp;IF(AND(BS996=0,BN996&lt;0),"negativer Bestand (Export "&amp;BN996&amp;"); ","")&amp;IF(J996&lt;=0,"Kein Verbrauch; ","")&amp;IF(CL996&gt;0,"Lift "&amp;W996&amp;" lt. Liftbericht (Fach "&amp;X996&amp;" Stk); ",IF(BX996=1,"Gebinde geschätzt ("&amp;T996&amp;"); ",IF(BW996=1,"Lose – Tablare geschätzt; ","")))&amp;IF(H996&gt;AT996,"Überbestand "&amp;ROUND(H996-AT996,0)&amp;" Stk / CHF "&amp;ROUND((H996-AT996)*G996,0)&amp;"; ","")&amp;IF(AND(CE996=1,CF996&lt;CG996),"MAX &lt; MB+LG; ","")&amp;IF(AND(CK996&gt;0,CJ996*10&gt;CK996),"zu hoch für Tablar; ","")&amp;IF(AND(BS996=0,OR(CE996=1,AA996&lt;&gt;"",U996&lt;&gt;"",V996&lt;&gt;"",AB996&lt;&gt;"")),"manuell übersteuert; ","")&amp;IF(AND(BW996=0,R996=0),"Gebinde unbekannt / Stellmass fehlt; ","")&amp;IF(AND(BW996=0,N(V996)&lt;=0,N(Q996)&lt;=0),"Menge pro Gebinde fehlt (Ist = 1 Gebinde); ","")&amp;BR996)</f>
        <v/>
      </c>
      <c r="BK996" s="48"/>
      <c r="BL996" s="48"/>
      <c r="BM996" s="55"/>
      <c r="BN996" s="50" t="n">
        <v>0</v>
      </c>
      <c r="BO996" s="50" t="n">
        <v>4</v>
      </c>
      <c r="BP996" s="49" t="n">
        <v>-91.72</v>
      </c>
      <c r="BQ996" s="50" t="n">
        <v>5</v>
      </c>
      <c r="BR996" s="48"/>
      <c r="BS996" s="53" t="n">
        <v>0</v>
      </c>
      <c r="BT996" s="53" t="n">
        <v>996</v>
      </c>
      <c r="BU996" s="48" t="str">
        <f aca="false">IF(U996&lt;&gt;"",UPPER(TRIM(U996)),IF(BX996=1,UPPER(VLOOKUP(T996,Parameter!$I$27:$K$29,2,0)),IF(P996="","LOSE",P996)))</f>
        <v>S41</v>
      </c>
      <c r="BV996" s="50" t="n">
        <f aca="false">IF(BU996="LOSE",1,IF(N(V996)&gt;0,V996,IF(BX996=1,MAX(1,N(VLOOKUP(T996,Parameter!$I$27:$K$29,3,0)),H996,N(N996)),IF(N(Q996)&gt;0,Q996,MAX(1,H996)))))</f>
        <v>20</v>
      </c>
      <c r="BW996" s="53" t="n">
        <f aca="false">IF(BU996="LOSE",1,0)</f>
        <v>0</v>
      </c>
      <c r="BX996" s="53" t="n">
        <f aca="false">IF(AND(U996="",OR(P996="",P996="LOSE"),T996&lt;&gt;"",N(S996)&lt;=0,ISNUMBER(MATCH(T996,Parameter!$I$27:$I$29,0))),1,0)</f>
        <v>0</v>
      </c>
      <c r="BY996" s="53" t="n">
        <f aca="false">IF(CL996&gt;0,INDEX(Parameter!$H$5:$H$7,W996)/INDEX(Parameter!$E$5:$E$7,W996),IF(AND(BW996=0,N(IFERROR(VLOOKUP(BU996,'Gebinde-Kategorie'!$A$5:$N$45,14,0),0))&gt;0),VLOOKUP(BU996,'Gebinde-Kategorie'!$A$5:$N$45,14,0)*10+Parameter!$M$23,Parameter!$M$24))</f>
        <v>155</v>
      </c>
      <c r="BZ996" s="48" t="str">
        <f aca="false">IF(AND(Parameter!$B$19="Ja",E996&lt;&gt;"",ISNUMBER(MATCH(E996,Parameter!$I$35:$I$52,0))),VLOOKUP(E996,Parameter!$I$35:$J$52,2,0),IFERROR(VLOOKUP(D996,Parameter!$A$35:$C$64,2,0),"Nein"))</f>
        <v>2+3</v>
      </c>
      <c r="CA996" s="52" t="n">
        <f aca="false">IF(BW996=0,0,IF(N(S996)&gt;0,S996,IFERROR(VLOOKUP(D996,Parameter!$A$35:$C$64,3,0)+0,0)))</f>
        <v>0</v>
      </c>
      <c r="CB996" s="48" t="n">
        <f aca="false">IF(AA996&lt;&gt;"",AA996,Z996)</f>
        <v>3</v>
      </c>
      <c r="CC996" s="48" t="str">
        <f aca="false">IF(OR(CB996=1,CB996=2,CB996=3),IF(Parameter!$E$27="Ja","LIFT",IF(CB996=1,"L1","L23")),IF(CB996="Aussen","Aussen","-"))</f>
        <v>LIFT</v>
      </c>
      <c r="CD996" s="59" t="n">
        <f aca="false">IF(N(AB996)&gt;0,AB996,0)</f>
        <v>0</v>
      </c>
      <c r="CE996" s="53" t="n">
        <f aca="false">IF(ISNUMBER(AE996),1,0)</f>
        <v>0</v>
      </c>
      <c r="CF996" s="50" t="n">
        <f aca="false">N(AE996)</f>
        <v>0</v>
      </c>
      <c r="CG996" s="50" t="n">
        <f aca="false">N(M996)+N(N996)</f>
        <v>5</v>
      </c>
      <c r="CH996" s="50" t="n">
        <f aca="false">ROUNDUP(H996/BV996,0)</f>
        <v>1</v>
      </c>
      <c r="CI996" s="50" t="n">
        <f aca="false">ROUNDUP(CF996/BV996,0)</f>
        <v>0</v>
      </c>
      <c r="CJ996" s="53" t="n">
        <f aca="false">IF(BW996=1,0,IFERROR(VLOOKUP(BU996,'Gebinde-Kategorie'!$A$5:$N$45,5,0)+0,0))</f>
        <v>11</v>
      </c>
      <c r="CK996" s="53" t="n">
        <f aca="false">IFERROR(IF(OR(CB996=1,CB996=2,CB996=3),N(INDEX(Parameter!$I$5:$I$7,CB996)),0),0)</f>
        <v>0</v>
      </c>
      <c r="CL996" s="52" t="n">
        <f aca="false">IF(AND(Parameter!$B$21="Ja",ISNUMBER(W996),N(X996)&gt;0),IFERROR(N(INDEX(Parameter!$L$5:$L$7,W996))*INDEX(Parameter!$E$5:$E$7,W996)*X996/SUMIFS($X$7:$X$1843,$W$7:$W$1843,W996),0),0)</f>
        <v>0</v>
      </c>
    </row>
    <row r="997" customFormat="false" ht="15" hidden="false" customHeight="false" outlineLevel="0" collapsed="false">
      <c r="A997" s="48" t="s">
        <v>1844</v>
      </c>
      <c r="B997" s="48" t="s">
        <v>1845</v>
      </c>
      <c r="C997" s="48" t="s">
        <v>168</v>
      </c>
      <c r="D997" s="48" t="s">
        <v>188</v>
      </c>
      <c r="E997" s="48" t="s">
        <v>189</v>
      </c>
      <c r="F997" s="48" t="s">
        <v>222</v>
      </c>
      <c r="G997" s="49" t="n">
        <v>2.13</v>
      </c>
      <c r="H997" s="50" t="n">
        <f aca="false">MAX(0,IF(AND(Parameter!$B$21="Ja",ISNUMBER(Y997)),Y997,IF(Parameter!$B$20="Jahresanfang 2025 + Export",BO997+BN997,BN997)))</f>
        <v>72</v>
      </c>
      <c r="I997" s="50" t="n">
        <f aca="false">H997*G997</f>
        <v>153.36</v>
      </c>
      <c r="J997" s="50" t="n">
        <f aca="false">BQ997*Parameter!$B$18</f>
        <v>325</v>
      </c>
      <c r="K997" s="51" t="n">
        <v>112</v>
      </c>
      <c r="L997" s="52" t="n">
        <v>2.90178571428571</v>
      </c>
      <c r="M997" s="50" t="n">
        <v>18</v>
      </c>
      <c r="N997" s="50" t="n">
        <v>100</v>
      </c>
      <c r="O997" s="53" t="n">
        <v>2</v>
      </c>
      <c r="P997" s="48" t="s">
        <v>425</v>
      </c>
      <c r="Q997" s="50" t="n">
        <v>120</v>
      </c>
      <c r="R997" s="53" t="n">
        <f aca="false">IF(BW997=1,0,IFERROR(VLOOKUP(BU997,'Gebinde-Kategorie'!$A$5:$N$45,13,0)+0,0))</f>
        <v>104</v>
      </c>
      <c r="S997" s="54"/>
      <c r="T997" s="55"/>
      <c r="U997" s="55"/>
      <c r="V997" s="55"/>
      <c r="W997" s="48"/>
      <c r="X997" s="50"/>
      <c r="Y997" s="50"/>
      <c r="Z997" s="48" t="n">
        <f aca="false">IF(A997="","",IF(AND(Parameter!$B$21="Ja",ISNUMBER(W997)),W997,IF(BZ997="2+3",IF(ISNUMBER(SEARCH("grosser Artikel",BR997)),2,IFERROR(VLOOKUP(BU997,Parameter!$F$35:$G$64,2,0),2)),IF(OR(BZ997="Nein",BZ997=""),"-",BZ997))))</f>
        <v>3</v>
      </c>
      <c r="AA997" s="55"/>
      <c r="AB997" s="56"/>
      <c r="AC997" s="50" t="n">
        <f aca="false">AT997</f>
        <v>240</v>
      </c>
      <c r="AD997" s="50" t="n">
        <f aca="false">MAX(AT997,H997)</f>
        <v>240</v>
      </c>
      <c r="AE997" s="57"/>
      <c r="AF997" s="50" t="n">
        <f aca="false">IF(LEFT(Cockpit!$C$5,1)="A",H997,IF(CE997=1,CF997,IF(LEFT(Cockpit!$C$5,1)="B",AK997,MAX(AK997,H997))))</f>
        <v>72</v>
      </c>
      <c r="AG997" s="50" t="n">
        <f aca="false">IF(BW997=1,0,ROUNDUP(AF997/BV997,0))</f>
        <v>1</v>
      </c>
      <c r="AH997" s="52" t="n">
        <f aca="false">IF(CL997&gt;0,CL997*MAX(1,AF997/X997),IF(BW997=1,IF(AF997&lt;=0,0,CA997*MAX(1,IF(H997&gt;0,AF997/H997,1))),IF(R997&gt;0,AG997/R997,0))/MAX(0.1,N(Parameter!$M$21)))</f>
        <v>0.00961538461538462</v>
      </c>
      <c r="AI997" s="50" t="n">
        <f aca="false">AH997*BY997</f>
        <v>1.49038461538462</v>
      </c>
      <c r="AJ997" s="50" t="n">
        <f aca="false">AF997*G997</f>
        <v>153.36</v>
      </c>
      <c r="AK997" s="50" t="n">
        <f aca="false">ROUNDUP(MAX(J997/IF(CD997&gt;0,CD997,MAX(0.1,N(Cockpit!$C$6))),CG997)/BV997,0)*BV997</f>
        <v>240</v>
      </c>
      <c r="AL997" s="51" t="n">
        <f aca="false">IF(AI997&gt;0,J997/AI997,-1)</f>
        <v>218.064516129032</v>
      </c>
      <c r="AM997" s="51" t="n">
        <f aca="false">IF(AND(OR(CC997="L1",CC997="L23",CC997="LIFT"),AI997&gt;0),SUMIFS($AI$7:$AI$1843,$CC$7:$CC$1843,CC997,$AL$7:$AL$1843,"&gt;"&amp;AL997)+SUMIFS($AI$7:$AI$1843,$CC$7:$CC$1843,CC997,$AL$7:$AL$1843,AL997,$BT$7:$BT$1843,"&lt;="&amp;BT997),"")</f>
        <v>316.157051282051</v>
      </c>
      <c r="AN997" s="58" t="n">
        <f aca="false">IF(AM997="",0,MAX(0,MIN(1,(IF(CC997="L1",Parameter!$H$5,IF(CC997="L23",Parameter!$H$6+Parameter!$H$7,Parameter!$H$5+Parameter!$H$6+Parameter!$H$7))-(AM997-AI997))/AI997)))</f>
        <v>1</v>
      </c>
      <c r="AO997" s="50" t="n">
        <f aca="false">IF(LEFT(Cockpit!$I$5,1)="A",H997,IF(CE997=1,CF997,IF(LEFT(Cockpit!$I$5,1)="B",AT997,MAX(AT997,H997))))</f>
        <v>240</v>
      </c>
      <c r="AP997" s="50" t="n">
        <f aca="false">IF(BW997=1,0,ROUNDUP(AO997/BV997,0))</f>
        <v>2</v>
      </c>
      <c r="AQ997" s="52" t="n">
        <f aca="false">IF(CL997&gt;0,CL997*MAX(1,AO997/X997),IF(BW997=1,IF(AO997&lt;=0,0,CA997*MAX(1,IF(H997&gt;0,AO997/H997,1))),IF(R997&gt;0,AP997/R997,0))/MAX(0.1,N(Parameter!$M$21)))</f>
        <v>0.0192307692307692</v>
      </c>
      <c r="AR997" s="50" t="n">
        <f aca="false">AQ997*BY997</f>
        <v>2.98076923076923</v>
      </c>
      <c r="AS997" s="50" t="n">
        <f aca="false">AO997*G997</f>
        <v>511.2</v>
      </c>
      <c r="AT997" s="50" t="n">
        <f aca="false">ROUNDUP(MAX(J997/IF(CD997&gt;0,CD997,MAX(0.1,N(Cockpit!$I$6))),CG997)/BV997,0)*BV997</f>
        <v>240</v>
      </c>
      <c r="AU997" s="51" t="n">
        <f aca="false">IF(AR997&gt;0,J997/AR997,-1)</f>
        <v>109.032258064516</v>
      </c>
      <c r="AV997" s="51" t="n">
        <f aca="false">IF(AND(OR(CC997="L1",CC997="L23",CC997="LIFT"),AR997&gt;0),SUMIFS($AR$7:$AR$1843,$CC$7:$CC$1843,CC997,$AU$7:$AU$1843,"&gt;"&amp;AU997)+SUMIFS($AR$7:$AR$1843,$CC$7:$CC$1843,CC997,$AU$7:$AU$1843,AU997,$BT$7:$BT$1843,"&lt;="&amp;BT997),"")</f>
        <v>866.358974358975</v>
      </c>
      <c r="AW997" s="58" t="n">
        <f aca="false">IF(AV997="",0,MAX(0,MIN(1,(IF(CC997="L1",Parameter!$H$5,IF(CC997="L23",Parameter!$H$6+Parameter!$H$7,Parameter!$H$5+Parameter!$H$6+Parameter!$H$7))-(AV997-AR997))/AR997)))</f>
        <v>1</v>
      </c>
      <c r="AX997" s="50" t="n">
        <f aca="false">IF(LEFT(Cockpit!$O$5,1)="A",H997,IF(CE997=1,CF997,IF(LEFT(Cockpit!$O$5,1)="B",BC997,MAX(BC997,H997))))</f>
        <v>120</v>
      </c>
      <c r="AY997" s="50" t="n">
        <f aca="false">IF(BW997=1,0,ROUNDUP(AX997/BV997,0))</f>
        <v>1</v>
      </c>
      <c r="AZ997" s="52" t="n">
        <f aca="false">IF(CL997&gt;0,CL997*MAX(1,AX997/X997),IF(BW997=1,IF(AX997&lt;=0,0,CA997*MAX(1,IF(H997&gt;0,AX997/H997,1))),IF(R997&gt;0,AY997/R997,0))/MAX(0.1,N(Parameter!$M$21)))</f>
        <v>0.00961538461538462</v>
      </c>
      <c r="BA997" s="50" t="n">
        <f aca="false">AZ997*BY997</f>
        <v>1.49038461538462</v>
      </c>
      <c r="BB997" s="50" t="n">
        <f aca="false">AX997*G997</f>
        <v>255.6</v>
      </c>
      <c r="BC997" s="50" t="n">
        <f aca="false">ROUNDUP(MAX(J997/IF(CD997&gt;0,CD997,MAX(0.1,N(Cockpit!$O$6))),CG997)/BV997,0)*BV997</f>
        <v>120</v>
      </c>
      <c r="BD997" s="51" t="n">
        <f aca="false">IF(BA997&gt;0,J997/BA997,-1)</f>
        <v>218.064516129032</v>
      </c>
      <c r="BE997" s="51" t="n">
        <f aca="false">IF(AND(OR(CC997="L1",CC997="L23",CC997="LIFT"),BA997&gt;0),SUMIFS($BA$7:$BA$1843,$CC$7:$CC$1843,CC997,$BD$7:$BD$1843,"&gt;"&amp;BD997)+SUMIFS($BA$7:$BA$1843,$CC$7:$CC$1843,CC997,$BD$7:$BD$1843,BD997,$BT$7:$BT$1843,"&lt;="&amp;BT997),"")</f>
        <v>336.18315018315</v>
      </c>
      <c r="BF997" s="58" t="n">
        <f aca="false">IF(BE997="",0,MAX(0,MIN(1,(IF(CC997="L1",Parameter!$H$5,IF(CC997="L23",Parameter!$H$6+Parameter!$H$7,Parameter!$H$5+Parameter!$H$6+Parameter!$H$7))-(BE997-BA997))/BA997)))</f>
        <v>1</v>
      </c>
      <c r="BG997" s="48" t="str">
        <f aca="false">IF(AI997&lt;=0,"",IF(CC997="Aussen","Aussenlager",IF(CC997="-","Nicht im Lift",IF(AN997&gt;=1,"Lift",IF(AN997&lt;=0,"Aussenlager","teilweise")))))</f>
        <v>Lift</v>
      </c>
      <c r="BH997" s="48" t="str">
        <f aca="false">IF(AR997&lt;=0,"",IF(CC997="Aussen","Aussenlager",IF(CC997="-","Nicht im Lift",IF(AW997&gt;=1,"Lift",IF(AW997&lt;=0,"Aussenlager","teilweise")))))</f>
        <v>Lift</v>
      </c>
      <c r="BI997" s="48" t="str">
        <f aca="false">IF(BA997&lt;=0,"",IF(CC997="Aussen","Aussenlager",IF(CC997="-","Nicht im Lift",IF(BF997&gt;=1,"Lift",IF(BF997&lt;=0,"Aussenlager","teilweise")))))</f>
        <v>Lift</v>
      </c>
      <c r="BJ997" s="48" t="str">
        <f aca="false">IF(A997="","",IF(BS997=1,"Neu; ","")&amp;IF(AND(BS997=0,BN997&lt;0),"negativer Bestand (Export "&amp;BN997&amp;"); ","")&amp;IF(J997&lt;=0,"Kein Verbrauch; ","")&amp;IF(CL997&gt;0,"Lift "&amp;W997&amp;" lt. Liftbericht (Fach "&amp;X997&amp;" Stk); ",IF(BX997=1,"Gebinde geschätzt ("&amp;T997&amp;"); ",IF(BW997=1,"Lose – Tablare geschätzt; ","")))&amp;IF(H997&gt;AT997,"Überbestand "&amp;ROUND(H997-AT997,0)&amp;" Stk / CHF "&amp;ROUND((H997-AT997)*G997,0)&amp;"; ","")&amp;IF(AND(CE997=1,CF997&lt;CG997),"MAX &lt; MB+LG; ","")&amp;IF(AND(CK997&gt;0,CJ997*10&gt;CK997),"zu hoch für Tablar; ","")&amp;IF(AND(BS997=0,OR(CE997=1,AA997&lt;&gt;"",U997&lt;&gt;"",V997&lt;&gt;"",AB997&lt;&gt;"")),"manuell übersteuert; ","")&amp;IF(AND(BW997=0,R997=0),"Gebinde unbekannt / Stellmass fehlt; ","")&amp;IF(AND(BW997=0,N(V997)&lt;=0,N(Q997)&lt;=0),"Menge pro Gebinde fehlt (Ist = 1 Gebinde); ","")&amp;BR997)</f>
        <v>negativer Bestand (Export -44); </v>
      </c>
      <c r="BK997" s="48"/>
      <c r="BL997" s="48"/>
      <c r="BM997" s="55"/>
      <c r="BN997" s="50" t="n">
        <v>-44</v>
      </c>
      <c r="BO997" s="50" t="n">
        <v>116</v>
      </c>
      <c r="BP997" s="49" t="n">
        <v>-93.7199999999999</v>
      </c>
      <c r="BQ997" s="50" t="n">
        <v>325</v>
      </c>
      <c r="BR997" s="48"/>
      <c r="BS997" s="53" t="n">
        <v>0</v>
      </c>
      <c r="BT997" s="53" t="n">
        <v>997</v>
      </c>
      <c r="BU997" s="48" t="str">
        <f aca="false">IF(U997&lt;&gt;"",UPPER(TRIM(U997)),IF(BX997=1,UPPER(VLOOKUP(T997,Parameter!$I$27:$K$29,2,0)),IF(P997="","LOSE",P997)))</f>
        <v>S32</v>
      </c>
      <c r="BV997" s="50" t="n">
        <f aca="false">IF(BU997="LOSE",1,IF(N(V997)&gt;0,V997,IF(BX997=1,MAX(1,N(VLOOKUP(T997,Parameter!$I$27:$K$29,3,0)),H997,N(N997)),IF(N(Q997)&gt;0,Q997,MAX(1,H997)))))</f>
        <v>120</v>
      </c>
      <c r="BW997" s="53" t="n">
        <f aca="false">IF(BU997="LOSE",1,0)</f>
        <v>0</v>
      </c>
      <c r="BX997" s="53" t="n">
        <f aca="false">IF(AND(U997="",OR(P997="",P997="LOSE"),T997&lt;&gt;"",N(S997)&lt;=0,ISNUMBER(MATCH(T997,Parameter!$I$27:$I$29,0))),1,0)</f>
        <v>0</v>
      </c>
      <c r="BY997" s="53" t="n">
        <f aca="false">IF(CL997&gt;0,INDEX(Parameter!$H$5:$H$7,W997)/INDEX(Parameter!$E$5:$E$7,W997),IF(AND(BW997=0,N(IFERROR(VLOOKUP(BU997,'Gebinde-Kategorie'!$A$5:$N$45,14,0),0))&gt;0),VLOOKUP(BU997,'Gebinde-Kategorie'!$A$5:$N$45,14,0)*10+Parameter!$M$23,Parameter!$M$24))</f>
        <v>155</v>
      </c>
      <c r="BZ997" s="48" t="str">
        <f aca="false">IF(AND(Parameter!$B$19="Ja",E997&lt;&gt;"",ISNUMBER(MATCH(E997,Parameter!$I$35:$I$52,0))),VLOOKUP(E997,Parameter!$I$35:$J$52,2,0),IFERROR(VLOOKUP(D997,Parameter!$A$35:$C$64,2,0),"Nein"))</f>
        <v>2+3</v>
      </c>
      <c r="CA997" s="52" t="n">
        <f aca="false">IF(BW997=0,0,IF(N(S997)&gt;0,S997,IFERROR(VLOOKUP(D997,Parameter!$A$35:$C$64,3,0)+0,0)))</f>
        <v>0</v>
      </c>
      <c r="CB997" s="48" t="n">
        <f aca="false">IF(AA997&lt;&gt;"",AA997,Z997)</f>
        <v>3</v>
      </c>
      <c r="CC997" s="48" t="str">
        <f aca="false">IF(OR(CB997=1,CB997=2,CB997=3),IF(Parameter!$E$27="Ja","LIFT",IF(CB997=1,"L1","L23")),IF(CB997="Aussen","Aussen","-"))</f>
        <v>LIFT</v>
      </c>
      <c r="CD997" s="59" t="n">
        <f aca="false">IF(N(AB997)&gt;0,AB997,0)</f>
        <v>0</v>
      </c>
      <c r="CE997" s="53" t="n">
        <f aca="false">IF(ISNUMBER(AE997),1,0)</f>
        <v>0</v>
      </c>
      <c r="CF997" s="50" t="n">
        <f aca="false">N(AE997)</f>
        <v>0</v>
      </c>
      <c r="CG997" s="50" t="n">
        <f aca="false">N(M997)+N(N997)</f>
        <v>118</v>
      </c>
      <c r="CH997" s="50" t="n">
        <f aca="false">ROUNDUP(H997/BV997,0)</f>
        <v>1</v>
      </c>
      <c r="CI997" s="50" t="n">
        <f aca="false">ROUNDUP(CF997/BV997,0)</f>
        <v>0</v>
      </c>
      <c r="CJ997" s="53" t="n">
        <f aca="false">IF(BW997=1,0,IFERROR(VLOOKUP(BU997,'Gebinde-Kategorie'!$A$5:$N$45,5,0)+0,0))</f>
        <v>8</v>
      </c>
      <c r="CK997" s="53" t="n">
        <f aca="false">IFERROR(IF(OR(CB997=1,CB997=2,CB997=3),N(INDEX(Parameter!$I$5:$I$7,CB997)),0),0)</f>
        <v>0</v>
      </c>
      <c r="CL997" s="52" t="n">
        <f aca="false">IF(AND(Parameter!$B$21="Ja",ISNUMBER(W997),N(X997)&gt;0),IFERROR(N(INDEX(Parameter!$L$5:$L$7,W997))*INDEX(Parameter!$E$5:$E$7,W997)*X997/SUMIFS($X$7:$X$1843,$W$7:$W$1843,W997),0),0)</f>
        <v>0</v>
      </c>
    </row>
    <row r="998" customFormat="false" ht="15" hidden="false" customHeight="false" outlineLevel="0" collapsed="false">
      <c r="A998" s="48" t="s">
        <v>1846</v>
      </c>
      <c r="B998" s="48" t="s">
        <v>839</v>
      </c>
      <c r="C998" s="48" t="s">
        <v>168</v>
      </c>
      <c r="D998" s="48" t="s">
        <v>188</v>
      </c>
      <c r="E998" s="48" t="s">
        <v>189</v>
      </c>
      <c r="F998" s="48" t="s">
        <v>222</v>
      </c>
      <c r="G998" s="49" t="n">
        <v>8.57</v>
      </c>
      <c r="H998" s="50" t="n">
        <f aca="false">MAX(0,IF(AND(Parameter!$B$21="Ja",ISNUMBER(Y998)),Y998,IF(Parameter!$B$20="Jahresanfang 2025 + Export",BO998+BN998,BN998)))</f>
        <v>22</v>
      </c>
      <c r="I998" s="50" t="n">
        <f aca="false">H998*G998</f>
        <v>188.54</v>
      </c>
      <c r="J998" s="50" t="n">
        <f aca="false">BQ998*Parameter!$B$18</f>
        <v>0</v>
      </c>
      <c r="K998" s="51" t="n">
        <v>27</v>
      </c>
      <c r="L998" s="52" t="n">
        <v>0</v>
      </c>
      <c r="M998" s="50" t="n">
        <v>0</v>
      </c>
      <c r="N998" s="50" t="n">
        <v>10</v>
      </c>
      <c r="O998" s="53" t="n">
        <v>28</v>
      </c>
      <c r="P998" s="48" t="s">
        <v>237</v>
      </c>
      <c r="Q998" s="50" t="n">
        <v>18</v>
      </c>
      <c r="R998" s="53" t="n">
        <f aca="false">IF(BW998=1,0,IFERROR(VLOOKUP(BU998,'Gebinde-Kategorie'!$A$5:$N$45,13,0)+0,0))</f>
        <v>26</v>
      </c>
      <c r="S998" s="54"/>
      <c r="T998" s="55"/>
      <c r="U998" s="55"/>
      <c r="V998" s="55"/>
      <c r="W998" s="48"/>
      <c r="X998" s="50"/>
      <c r="Y998" s="50"/>
      <c r="Z998" s="48" t="n">
        <f aca="false">IF(A998="","",IF(AND(Parameter!$B$21="Ja",ISNUMBER(W998)),W998,IF(BZ998="2+3",IF(ISNUMBER(SEARCH("grosser Artikel",BR998)),2,IFERROR(VLOOKUP(BU998,Parameter!$F$35:$G$64,2,0),2)),IF(OR(BZ998="Nein",BZ998=""),"-",BZ998))))</f>
        <v>3</v>
      </c>
      <c r="AA998" s="55"/>
      <c r="AB998" s="56"/>
      <c r="AC998" s="50" t="n">
        <f aca="false">AT998</f>
        <v>18</v>
      </c>
      <c r="AD998" s="50" t="n">
        <f aca="false">MAX(AT998,H998)</f>
        <v>22</v>
      </c>
      <c r="AE998" s="57"/>
      <c r="AF998" s="50" t="n">
        <f aca="false">IF(LEFT(Cockpit!$C$5,1)="A",H998,IF(CE998=1,CF998,IF(LEFT(Cockpit!$C$5,1)="B",AK998,MAX(AK998,H998))))</f>
        <v>22</v>
      </c>
      <c r="AG998" s="50" t="n">
        <f aca="false">IF(BW998=1,0,ROUNDUP(AF998/BV998,0))</f>
        <v>2</v>
      </c>
      <c r="AH998" s="52" t="n">
        <f aca="false">IF(CL998&gt;0,CL998*MAX(1,AF998/X998),IF(BW998=1,IF(AF998&lt;=0,0,CA998*MAX(1,IF(H998&gt;0,AF998/H998,1))),IF(R998&gt;0,AG998/R998,0))/MAX(0.1,N(Parameter!$M$21)))</f>
        <v>0.0769230769230769</v>
      </c>
      <c r="AI998" s="50" t="n">
        <f aca="false">AH998*BY998</f>
        <v>18.8461538461538</v>
      </c>
      <c r="AJ998" s="50" t="n">
        <f aca="false">AF998*G998</f>
        <v>188.54</v>
      </c>
      <c r="AK998" s="50" t="n">
        <f aca="false">ROUNDUP(MAX(J998/IF(CD998&gt;0,CD998,MAX(0.1,N(Cockpit!$C$6))),CG998)/BV998,0)*BV998</f>
        <v>18</v>
      </c>
      <c r="AL998" s="51" t="n">
        <f aca="false">IF(AI998&gt;0,J998/AI998,-1)</f>
        <v>0</v>
      </c>
      <c r="AM998" s="51" t="n">
        <f aca="false">IF(AND(OR(CC998="L1",CC998="L23",CC998="LIFT"),AI998&gt;0),SUMIFS($AI$7:$AI$1843,$CC$7:$CC$1843,CC998,$AL$7:$AL$1843,"&gt;"&amp;AL998)+SUMIFS($AI$7:$AI$1843,$CC$7:$CC$1843,CC998,$AL$7:$AL$1843,AL998,$BT$7:$BT$1843,"&lt;="&amp;BT998),"")</f>
        <v>28941.0313036775</v>
      </c>
      <c r="AN998" s="58" t="n">
        <f aca="false">IF(AM998="",0,MAX(0,MIN(1,(IF(CC998="L1",Parameter!$H$5,IF(CC998="L23",Parameter!$H$6+Parameter!$H$7,Parameter!$H$5+Parameter!$H$6+Parameter!$H$7))-(AM998-AI998))/AI998)))</f>
        <v>1</v>
      </c>
      <c r="AO998" s="50" t="n">
        <f aca="false">IF(LEFT(Cockpit!$I$5,1)="A",H998,IF(CE998=1,CF998,IF(LEFT(Cockpit!$I$5,1)="B",AT998,MAX(AT998,H998))))</f>
        <v>22</v>
      </c>
      <c r="AP998" s="50" t="n">
        <f aca="false">IF(BW998=1,0,ROUNDUP(AO998/BV998,0))</f>
        <v>2</v>
      </c>
      <c r="AQ998" s="52" t="n">
        <f aca="false">IF(CL998&gt;0,CL998*MAX(1,AO998/X998),IF(BW998=1,IF(AO998&lt;=0,0,CA998*MAX(1,IF(H998&gt;0,AO998/H998,1))),IF(R998&gt;0,AP998/R998,0))/MAX(0.1,N(Parameter!$M$21)))</f>
        <v>0.0769230769230769</v>
      </c>
      <c r="AR998" s="50" t="n">
        <f aca="false">AQ998*BY998</f>
        <v>18.8461538461538</v>
      </c>
      <c r="AS998" s="50" t="n">
        <f aca="false">AO998*G998</f>
        <v>188.54</v>
      </c>
      <c r="AT998" s="50" t="n">
        <f aca="false">ROUNDUP(MAX(J998/IF(CD998&gt;0,CD998,MAX(0.1,N(Cockpit!$I$6))),CG998)/BV998,0)*BV998</f>
        <v>18</v>
      </c>
      <c r="AU998" s="51" t="n">
        <f aca="false">IF(AR998&gt;0,J998/AR998,-1)</f>
        <v>0</v>
      </c>
      <c r="AV998" s="51" t="n">
        <f aca="false">IF(AND(OR(CC998="L1",CC998="L23",CC998="LIFT"),AR998&gt;0),SUMIFS($AR$7:$AR$1843,$CC$7:$CC$1843,CC998,$AU$7:$AU$1843,"&gt;"&amp;AU998)+SUMIFS($AR$7:$AR$1843,$CC$7:$CC$1843,CC998,$AU$7:$AU$1843,AU998,$BT$7:$BT$1843,"&lt;="&amp;BT998),"")</f>
        <v>40596.1016561123</v>
      </c>
      <c r="AW998" s="58" t="n">
        <f aca="false">IF(AV998="",0,MAX(0,MIN(1,(IF(CC998="L1",Parameter!$H$5,IF(CC998="L23",Parameter!$H$6+Parameter!$H$7,Parameter!$H$5+Parameter!$H$6+Parameter!$H$7))-(AV998-AR998))/AR998)))</f>
        <v>0</v>
      </c>
      <c r="AX998" s="50" t="n">
        <f aca="false">IF(LEFT(Cockpit!$O$5,1)="A",H998,IF(CE998=1,CF998,IF(LEFT(Cockpit!$O$5,1)="B",BC998,MAX(BC998,H998))))</f>
        <v>22</v>
      </c>
      <c r="AY998" s="50" t="n">
        <f aca="false">IF(BW998=1,0,ROUNDUP(AX998/BV998,0))</f>
        <v>2</v>
      </c>
      <c r="AZ998" s="52" t="n">
        <f aca="false">IF(CL998&gt;0,CL998*MAX(1,AX998/X998),IF(BW998=1,IF(AX998&lt;=0,0,CA998*MAX(1,IF(H998&gt;0,AX998/H998,1))),IF(R998&gt;0,AY998/R998,0))/MAX(0.1,N(Parameter!$M$21)))</f>
        <v>0.0769230769230769</v>
      </c>
      <c r="BA998" s="50" t="n">
        <f aca="false">AZ998*BY998</f>
        <v>18.8461538461538</v>
      </c>
      <c r="BB998" s="50" t="n">
        <f aca="false">AX998*G998</f>
        <v>188.54</v>
      </c>
      <c r="BC998" s="50" t="n">
        <f aca="false">ROUNDUP(MAX(J998/IF(CD998&gt;0,CD998,MAX(0.1,N(Cockpit!$O$6))),CG998)/BV998,0)*BV998</f>
        <v>18</v>
      </c>
      <c r="BD998" s="51" t="n">
        <f aca="false">IF(BA998&gt;0,J998/BA998,-1)</f>
        <v>0</v>
      </c>
      <c r="BE998" s="51" t="n">
        <f aca="false">IF(AND(OR(CC998="L1",CC998="L23",CC998="LIFT"),BA998&gt;0),SUMIFS($BA$7:$BA$1843,$CC$7:$CC$1843,CC998,$BD$7:$BD$1843,"&gt;"&amp;BD998)+SUMIFS($BA$7:$BA$1843,$CC$7:$CC$1843,CC998,$BD$7:$BD$1843,BD998,$BT$7:$BT$1843,"&lt;="&amp;BT998),"")</f>
        <v>37271.1136979781</v>
      </c>
      <c r="BF998" s="58" t="n">
        <f aca="false">IF(BE998="",0,MAX(0,MIN(1,(IF(CC998="L1",Parameter!$H$5,IF(CC998="L23",Parameter!$H$6+Parameter!$H$7,Parameter!$H$5+Parameter!$H$6+Parameter!$H$7))-(BE998-BA998))/BA998)))</f>
        <v>0</v>
      </c>
      <c r="BG998" s="48" t="str">
        <f aca="false">IF(AI998&lt;=0,"",IF(CC998="Aussen","Aussenlager",IF(CC998="-","Nicht im Lift",IF(AN998&gt;=1,"Lift",IF(AN998&lt;=0,"Aussenlager","teilweise")))))</f>
        <v>Lift</v>
      </c>
      <c r="BH998" s="48" t="str">
        <f aca="false">IF(AR998&lt;=0,"",IF(CC998="Aussen","Aussenlager",IF(CC998="-","Nicht im Lift",IF(AW998&gt;=1,"Lift",IF(AW998&lt;=0,"Aussenlager","teilweise")))))</f>
        <v>Aussenlager</v>
      </c>
      <c r="BI998" s="48" t="str">
        <f aca="false">IF(BA998&lt;=0,"",IF(CC998="Aussen","Aussenlager",IF(CC998="-","Nicht im Lift",IF(BF998&gt;=1,"Lift",IF(BF998&lt;=0,"Aussenlager","teilweise")))))</f>
        <v>Aussenlager</v>
      </c>
      <c r="BJ998" s="48" t="str">
        <f aca="false">IF(A998="","",IF(BS998=1,"Neu; ","")&amp;IF(AND(BS998=0,BN998&lt;0),"negativer Bestand (Export "&amp;BN998&amp;"); ","")&amp;IF(J998&lt;=0,"Kein Verbrauch; ","")&amp;IF(CL998&gt;0,"Lift "&amp;W998&amp;" lt. Liftbericht (Fach "&amp;X998&amp;" Stk); ",IF(BX998=1,"Gebinde geschätzt ("&amp;T998&amp;"); ",IF(BW998=1,"Lose – Tablare geschätzt; ","")))&amp;IF(H998&gt;AT998,"Überbestand "&amp;ROUND(H998-AT998,0)&amp;" Stk / CHF "&amp;ROUND((H998-AT998)*G998,0)&amp;"; ","")&amp;IF(AND(CE998=1,CF998&lt;CG998),"MAX &lt; MB+LG; ","")&amp;IF(AND(CK998&gt;0,CJ998*10&gt;CK998),"zu hoch für Tablar; ","")&amp;IF(AND(BS998=0,OR(CE998=1,AA998&lt;&gt;"",U998&lt;&gt;"",V998&lt;&gt;"",AB998&lt;&gt;"")),"manuell übersteuert; ","")&amp;IF(AND(BW998=0,R998=0),"Gebinde unbekannt / Stellmass fehlt; ","")&amp;IF(AND(BW998=0,N(V998)&lt;=0,N(Q998)&lt;=0),"Menge pro Gebinde fehlt (Ist = 1 Gebinde); ","")&amp;BR998)</f>
        <v>negativer Bestand (Export -11); Kein Verbrauch; Überbestand 4 Stk / CHF 34; </v>
      </c>
      <c r="BK998" s="48"/>
      <c r="BL998" s="48"/>
      <c r="BM998" s="55"/>
      <c r="BN998" s="50" t="n">
        <v>-11</v>
      </c>
      <c r="BO998" s="50" t="n">
        <v>33</v>
      </c>
      <c r="BP998" s="49" t="n">
        <v>-94.27</v>
      </c>
      <c r="BQ998" s="50" t="n">
        <v>0</v>
      </c>
      <c r="BR998" s="48"/>
      <c r="BS998" s="53" t="n">
        <v>0</v>
      </c>
      <c r="BT998" s="53" t="n">
        <v>998</v>
      </c>
      <c r="BU998" s="48" t="str">
        <f aca="false">IF(U998&lt;&gt;"",UPPER(TRIM(U998)),IF(BX998=1,UPPER(VLOOKUP(T998,Parameter!$I$27:$K$29,2,0)),IF(P998="","LOSE",P998)))</f>
        <v>S52</v>
      </c>
      <c r="BV998" s="50" t="n">
        <f aca="false">IF(BU998="LOSE",1,IF(N(V998)&gt;0,V998,IF(BX998=1,MAX(1,N(VLOOKUP(T998,Parameter!$I$27:$K$29,3,0)),H998,N(N998)),IF(N(Q998)&gt;0,Q998,MAX(1,H998)))))</f>
        <v>18</v>
      </c>
      <c r="BW998" s="53" t="n">
        <f aca="false">IF(BU998="LOSE",1,0)</f>
        <v>0</v>
      </c>
      <c r="BX998" s="53" t="n">
        <f aca="false">IF(AND(U998="",OR(P998="",P998="LOSE"),T998&lt;&gt;"",N(S998)&lt;=0,ISNUMBER(MATCH(T998,Parameter!$I$27:$I$29,0))),1,0)</f>
        <v>0</v>
      </c>
      <c r="BY998" s="53" t="n">
        <f aca="false">IF(CL998&gt;0,INDEX(Parameter!$H$5:$H$7,W998)/INDEX(Parameter!$E$5:$E$7,W998),IF(AND(BW998=0,N(IFERROR(VLOOKUP(BU998,'Gebinde-Kategorie'!$A$5:$N$45,14,0),0))&gt;0),VLOOKUP(BU998,'Gebinde-Kategorie'!$A$5:$N$45,14,0)*10+Parameter!$M$23,Parameter!$M$24))</f>
        <v>245</v>
      </c>
      <c r="BZ998" s="48" t="str">
        <f aca="false">IF(AND(Parameter!$B$19="Ja",E998&lt;&gt;"",ISNUMBER(MATCH(E998,Parameter!$I$35:$I$52,0))),VLOOKUP(E998,Parameter!$I$35:$J$52,2,0),IFERROR(VLOOKUP(D998,Parameter!$A$35:$C$64,2,0),"Nein"))</f>
        <v>2+3</v>
      </c>
      <c r="CA998" s="52" t="n">
        <f aca="false">IF(BW998=0,0,IF(N(S998)&gt;0,S998,IFERROR(VLOOKUP(D998,Parameter!$A$35:$C$64,3,0)+0,0)))</f>
        <v>0</v>
      </c>
      <c r="CB998" s="48" t="n">
        <f aca="false">IF(AA998&lt;&gt;"",AA998,Z998)</f>
        <v>3</v>
      </c>
      <c r="CC998" s="48" t="str">
        <f aca="false">IF(OR(CB998=1,CB998=2,CB998=3),IF(Parameter!$E$27="Ja","LIFT",IF(CB998=1,"L1","L23")),IF(CB998="Aussen","Aussen","-"))</f>
        <v>LIFT</v>
      </c>
      <c r="CD998" s="59" t="n">
        <f aca="false">IF(N(AB998)&gt;0,AB998,0)</f>
        <v>0</v>
      </c>
      <c r="CE998" s="53" t="n">
        <f aca="false">IF(ISNUMBER(AE998),1,0)</f>
        <v>0</v>
      </c>
      <c r="CF998" s="50" t="n">
        <f aca="false">N(AE998)</f>
        <v>0</v>
      </c>
      <c r="CG998" s="50" t="n">
        <f aca="false">N(M998)+N(N998)</f>
        <v>10</v>
      </c>
      <c r="CH998" s="50" t="n">
        <f aca="false">ROUNDUP(H998/BV998,0)</f>
        <v>2</v>
      </c>
      <c r="CI998" s="50" t="n">
        <f aca="false">ROUNDUP(CF998/BV998,0)</f>
        <v>0</v>
      </c>
      <c r="CJ998" s="53" t="n">
        <f aca="false">IF(BW998=1,0,IFERROR(VLOOKUP(BU998,'Gebinde-Kategorie'!$A$5:$N$45,5,0)+0,0))</f>
        <v>21</v>
      </c>
      <c r="CK998" s="53" t="n">
        <f aca="false">IFERROR(IF(OR(CB998=1,CB998=2,CB998=3),N(INDEX(Parameter!$I$5:$I$7,CB998)),0),0)</f>
        <v>0</v>
      </c>
      <c r="CL998" s="52" t="n">
        <f aca="false">IF(AND(Parameter!$B$21="Ja",ISNUMBER(W998),N(X998)&gt;0),IFERROR(N(INDEX(Parameter!$L$5:$L$7,W998))*INDEX(Parameter!$E$5:$E$7,W998)*X998/SUMIFS($X$7:$X$1843,$W$7:$W$1843,W998),0),0)</f>
        <v>0</v>
      </c>
    </row>
    <row r="999" customFormat="false" ht="15" hidden="false" customHeight="false" outlineLevel="0" collapsed="false">
      <c r="A999" s="48" t="s">
        <v>1847</v>
      </c>
      <c r="B999" s="48" t="s">
        <v>472</v>
      </c>
      <c r="C999" s="48" t="s">
        <v>168</v>
      </c>
      <c r="D999" s="48" t="s">
        <v>188</v>
      </c>
      <c r="E999" s="48" t="s">
        <v>189</v>
      </c>
      <c r="F999" s="48" t="s">
        <v>222</v>
      </c>
      <c r="G999" s="49" t="n">
        <v>0.44</v>
      </c>
      <c r="H999" s="50" t="n">
        <f aca="false">MAX(0,IF(AND(Parameter!$B$21="Ja",ISNUMBER(Y999)),Y999,IF(Parameter!$B$20="Jahresanfang 2025 + Export",BO999+BN999,BN999)))</f>
        <v>137</v>
      </c>
      <c r="I999" s="50" t="n">
        <f aca="false">H999*G999</f>
        <v>60.28</v>
      </c>
      <c r="J999" s="50" t="n">
        <f aca="false">BQ999*Parameter!$B$18</f>
        <v>235</v>
      </c>
      <c r="K999" s="51" t="n">
        <v>343.5</v>
      </c>
      <c r="L999" s="52" t="n">
        <v>0.684133915574964</v>
      </c>
      <c r="M999" s="50" t="n">
        <v>9</v>
      </c>
      <c r="N999" s="50" t="n">
        <v>235</v>
      </c>
      <c r="O999" s="53" t="n">
        <v>14</v>
      </c>
      <c r="P999" s="48" t="s">
        <v>332</v>
      </c>
      <c r="Q999" s="50" t="n">
        <v>224</v>
      </c>
      <c r="R999" s="53" t="n">
        <f aca="false">IF(BW999=1,0,IFERROR(VLOOKUP(BU999,'Gebinde-Kategorie'!$A$5:$N$45,13,0)+0,0))</f>
        <v>52</v>
      </c>
      <c r="S999" s="54"/>
      <c r="T999" s="55"/>
      <c r="U999" s="55"/>
      <c r="V999" s="55"/>
      <c r="W999" s="48"/>
      <c r="X999" s="50"/>
      <c r="Y999" s="50"/>
      <c r="Z999" s="48" t="n">
        <f aca="false">IF(A999="","",IF(AND(Parameter!$B$21="Ja",ISNUMBER(W999)),W999,IF(BZ999="2+3",IF(ISNUMBER(SEARCH("grosser Artikel",BR999)),2,IFERROR(VLOOKUP(BU999,Parameter!$F$35:$G$64,2,0),2)),IF(OR(BZ999="Nein",BZ999=""),"-",BZ999))))</f>
        <v>3</v>
      </c>
      <c r="AA999" s="55"/>
      <c r="AB999" s="56"/>
      <c r="AC999" s="50" t="n">
        <f aca="false">AT999</f>
        <v>448</v>
      </c>
      <c r="AD999" s="50" t="n">
        <f aca="false">MAX(AT999,H999)</f>
        <v>448</v>
      </c>
      <c r="AE999" s="57"/>
      <c r="AF999" s="50" t="n">
        <f aca="false">IF(LEFT(Cockpit!$C$5,1)="A",H999,IF(CE999=1,CF999,IF(LEFT(Cockpit!$C$5,1)="B",AK999,MAX(AK999,H999))))</f>
        <v>137</v>
      </c>
      <c r="AG999" s="50" t="n">
        <f aca="false">IF(BW999=1,0,ROUNDUP(AF999/BV999,0))</f>
        <v>1</v>
      </c>
      <c r="AH999" s="52" t="n">
        <f aca="false">IF(CL999&gt;0,CL999*MAX(1,AF999/X999),IF(BW999=1,IF(AF999&lt;=0,0,CA999*MAX(1,IF(H999&gt;0,AF999/H999,1))),IF(R999&gt;0,AG999/R999,0))/MAX(0.1,N(Parameter!$M$21)))</f>
        <v>0.0192307692307692</v>
      </c>
      <c r="AI999" s="50" t="n">
        <f aca="false">AH999*BY999</f>
        <v>2.98076923076923</v>
      </c>
      <c r="AJ999" s="50" t="n">
        <f aca="false">AF999*G999</f>
        <v>60.28</v>
      </c>
      <c r="AK999" s="50" t="n">
        <f aca="false">ROUNDUP(MAX(J999/IF(CD999&gt;0,CD999,MAX(0.1,N(Cockpit!$C$6))),CG999)/BV999,0)*BV999</f>
        <v>448</v>
      </c>
      <c r="AL999" s="51" t="n">
        <f aca="false">IF(AI999&gt;0,J999/AI999,-1)</f>
        <v>78.8387096774194</v>
      </c>
      <c r="AM999" s="51" t="n">
        <f aca="false">IF(AND(OR(CC999="L1",CC999="L23",CC999="LIFT"),AI999&gt;0),SUMIFS($AI$7:$AI$1843,$CC$7:$CC$1843,CC999,$AL$7:$AL$1843,"&gt;"&amp;AL999)+SUMIFS($AI$7:$AI$1843,$CC$7:$CC$1843,CC999,$AL$7:$AL$1843,AL999,$BT$7:$BT$1843,"&lt;="&amp;BT999),"")</f>
        <v>864.428571428571</v>
      </c>
      <c r="AN999" s="58" t="n">
        <f aca="false">IF(AM999="",0,MAX(0,MIN(1,(IF(CC999="L1",Parameter!$H$5,IF(CC999="L23",Parameter!$H$6+Parameter!$H$7,Parameter!$H$5+Parameter!$H$6+Parameter!$H$7))-(AM999-AI999))/AI999)))</f>
        <v>1</v>
      </c>
      <c r="AO999" s="50" t="n">
        <f aca="false">IF(LEFT(Cockpit!$I$5,1)="A",H999,IF(CE999=1,CF999,IF(LEFT(Cockpit!$I$5,1)="B",AT999,MAX(AT999,H999))))</f>
        <v>448</v>
      </c>
      <c r="AP999" s="50" t="n">
        <f aca="false">IF(BW999=1,0,ROUNDUP(AO999/BV999,0))</f>
        <v>2</v>
      </c>
      <c r="AQ999" s="52" t="n">
        <f aca="false">IF(CL999&gt;0,CL999*MAX(1,AO999/X999),IF(BW999=1,IF(AO999&lt;=0,0,CA999*MAX(1,IF(H999&gt;0,AO999/H999,1))),IF(R999&gt;0,AP999/R999,0))/MAX(0.1,N(Parameter!$M$21)))</f>
        <v>0.0384615384615385</v>
      </c>
      <c r="AR999" s="50" t="n">
        <f aca="false">AQ999*BY999</f>
        <v>5.96153846153846</v>
      </c>
      <c r="AS999" s="50" t="n">
        <f aca="false">AO999*G999</f>
        <v>197.12</v>
      </c>
      <c r="AT999" s="50" t="n">
        <f aca="false">ROUNDUP(MAX(J999/IF(CD999&gt;0,CD999,MAX(0.1,N(Cockpit!$I$6))),CG999)/BV999,0)*BV999</f>
        <v>448</v>
      </c>
      <c r="AU999" s="51" t="n">
        <f aca="false">IF(AR999&gt;0,J999/AR999,-1)</f>
        <v>39.4193548387097</v>
      </c>
      <c r="AV999" s="51" t="n">
        <f aca="false">IF(AND(OR(CC999="L1",CC999="L23",CC999="LIFT"),AR999&gt;0),SUMIFS($AR$7:$AR$1843,$CC$7:$CC$1843,CC999,$AU$7:$AU$1843,"&gt;"&amp;AU999)+SUMIFS($AR$7:$AR$1843,$CC$7:$CC$1843,CC999,$AU$7:$AU$1843,AU999,$BT$7:$BT$1843,"&lt;="&amp;BT999),"")</f>
        <v>1717.85302197802</v>
      </c>
      <c r="AW999" s="58" t="n">
        <f aca="false">IF(AV999="",0,MAX(0,MIN(1,(IF(CC999="L1",Parameter!$H$5,IF(CC999="L23",Parameter!$H$6+Parameter!$H$7,Parameter!$H$5+Parameter!$H$6+Parameter!$H$7))-(AV999-AR999))/AR999)))</f>
        <v>1</v>
      </c>
      <c r="AX999" s="50" t="n">
        <f aca="false">IF(LEFT(Cockpit!$O$5,1)="A",H999,IF(CE999=1,CF999,IF(LEFT(Cockpit!$O$5,1)="B",BC999,MAX(BC999,H999))))</f>
        <v>448</v>
      </c>
      <c r="AY999" s="50" t="n">
        <f aca="false">IF(BW999=1,0,ROUNDUP(AX999/BV999,0))</f>
        <v>2</v>
      </c>
      <c r="AZ999" s="52" t="n">
        <f aca="false">IF(CL999&gt;0,CL999*MAX(1,AX999/X999),IF(BW999=1,IF(AX999&lt;=0,0,CA999*MAX(1,IF(H999&gt;0,AX999/H999,1))),IF(R999&gt;0,AY999/R999,0))/MAX(0.1,N(Parameter!$M$21)))</f>
        <v>0.0384615384615385</v>
      </c>
      <c r="BA999" s="50" t="n">
        <f aca="false">AZ999*BY999</f>
        <v>5.96153846153846</v>
      </c>
      <c r="BB999" s="50" t="n">
        <f aca="false">AX999*G999</f>
        <v>197.12</v>
      </c>
      <c r="BC999" s="50" t="n">
        <f aca="false">ROUNDUP(MAX(J999/IF(CD999&gt;0,CD999,MAX(0.1,N(Cockpit!$O$6))),CG999)/BV999,0)*BV999</f>
        <v>448</v>
      </c>
      <c r="BD999" s="51" t="n">
        <f aca="false">IF(BA999&gt;0,J999/BA999,-1)</f>
        <v>39.4193548387097</v>
      </c>
      <c r="BE999" s="51" t="n">
        <f aca="false">IF(AND(OR(CC999="L1",CC999="L23",CC999="LIFT"),BA999&gt;0),SUMIFS($BA$7:$BA$1843,$CC$7:$CC$1843,CC999,$BD$7:$BD$1843,"&gt;"&amp;BD999)+SUMIFS($BA$7:$BA$1843,$CC$7:$CC$1843,CC999,$BD$7:$BD$1843,BD999,$BT$7:$BT$1843,"&lt;="&amp;BT999),"")</f>
        <v>1600.65750915751</v>
      </c>
      <c r="BF999" s="58" t="n">
        <f aca="false">IF(BE999="",0,MAX(0,MIN(1,(IF(CC999="L1",Parameter!$H$5,IF(CC999="L23",Parameter!$H$6+Parameter!$H$7,Parameter!$H$5+Parameter!$H$6+Parameter!$H$7))-(BE999-BA999))/BA999)))</f>
        <v>1</v>
      </c>
      <c r="BG999" s="48" t="str">
        <f aca="false">IF(AI999&lt;=0,"",IF(CC999="Aussen","Aussenlager",IF(CC999="-","Nicht im Lift",IF(AN999&gt;=1,"Lift",IF(AN999&lt;=0,"Aussenlager","teilweise")))))</f>
        <v>Lift</v>
      </c>
      <c r="BH999" s="48" t="str">
        <f aca="false">IF(AR999&lt;=0,"",IF(CC999="Aussen","Aussenlager",IF(CC999="-","Nicht im Lift",IF(AW999&gt;=1,"Lift",IF(AW999&lt;=0,"Aussenlager","teilweise")))))</f>
        <v>Lift</v>
      </c>
      <c r="BI999" s="48" t="str">
        <f aca="false">IF(BA999&lt;=0,"",IF(CC999="Aussen","Aussenlager",IF(CC999="-","Nicht im Lift",IF(BF999&gt;=1,"Lift",IF(BF999&lt;=0,"Aussenlager","teilweise")))))</f>
        <v>Lift</v>
      </c>
      <c r="BJ999" s="48" t="str">
        <f aca="false">IF(A999="","",IF(BS999=1,"Neu; ","")&amp;IF(AND(BS999=0,BN999&lt;0),"negativer Bestand (Export "&amp;BN999&amp;"); ","")&amp;IF(J999&lt;=0,"Kein Verbrauch; ","")&amp;IF(CL999&gt;0,"Lift "&amp;W999&amp;" lt. Liftbericht (Fach "&amp;X999&amp;" Stk); ",IF(BX999=1,"Gebinde geschätzt ("&amp;T999&amp;"); ",IF(BW999=1,"Lose – Tablare geschätzt; ","")))&amp;IF(H999&gt;AT999,"Überbestand "&amp;ROUND(H999-AT999,0)&amp;" Stk / CHF "&amp;ROUND((H999-AT999)*G999,0)&amp;"; ","")&amp;IF(AND(CE999=1,CF999&lt;CG999),"MAX &lt; MB+LG; ","")&amp;IF(AND(CK999&gt;0,CJ999*10&gt;CK999),"zu hoch für Tablar; ","")&amp;IF(AND(BS999=0,OR(CE999=1,AA999&lt;&gt;"",U999&lt;&gt;"",V999&lt;&gt;"",AB999&lt;&gt;"")),"manuell übersteuert; ","")&amp;IF(AND(BW999=0,R999=0),"Gebinde unbekannt / Stellmass fehlt; ","")&amp;IF(AND(BW999=0,N(V999)&lt;=0,N(Q999)&lt;=0),"Menge pro Gebinde fehlt (Ist = 1 Gebinde); ","")&amp;BR999)</f>
        <v>negativer Bestand (Export -224); </v>
      </c>
      <c r="BK999" s="48"/>
      <c r="BL999" s="48"/>
      <c r="BM999" s="55"/>
      <c r="BN999" s="50" t="n">
        <v>-224</v>
      </c>
      <c r="BO999" s="50" t="n">
        <v>361</v>
      </c>
      <c r="BP999" s="49" t="n">
        <v>-95.0999999999999</v>
      </c>
      <c r="BQ999" s="50" t="n">
        <v>235</v>
      </c>
      <c r="BR999" s="48"/>
      <c r="BS999" s="53" t="n">
        <v>0</v>
      </c>
      <c r="BT999" s="53" t="n">
        <v>999</v>
      </c>
      <c r="BU999" s="48" t="str">
        <f aca="false">IF(U999&lt;&gt;"",UPPER(TRIM(U999)),IF(BX999=1,UPPER(VLOOKUP(T999,Parameter!$I$27:$K$29,2,0)),IF(P999="","LOSE",P999)))</f>
        <v>S41</v>
      </c>
      <c r="BV999" s="50" t="n">
        <f aca="false">IF(BU999="LOSE",1,IF(N(V999)&gt;0,V999,IF(BX999=1,MAX(1,N(VLOOKUP(T999,Parameter!$I$27:$K$29,3,0)),H999,N(N999)),IF(N(Q999)&gt;0,Q999,MAX(1,H999)))))</f>
        <v>224</v>
      </c>
      <c r="BW999" s="53" t="n">
        <f aca="false">IF(BU999="LOSE",1,0)</f>
        <v>0</v>
      </c>
      <c r="BX999" s="53" t="n">
        <f aca="false">IF(AND(U999="",OR(P999="",P999="LOSE"),T999&lt;&gt;"",N(S999)&lt;=0,ISNUMBER(MATCH(T999,Parameter!$I$27:$I$29,0))),1,0)</f>
        <v>0</v>
      </c>
      <c r="BY999" s="53" t="n">
        <f aca="false">IF(CL999&gt;0,INDEX(Parameter!$H$5:$H$7,W999)/INDEX(Parameter!$E$5:$E$7,W999),IF(AND(BW999=0,N(IFERROR(VLOOKUP(BU999,'Gebinde-Kategorie'!$A$5:$N$45,14,0),0))&gt;0),VLOOKUP(BU999,'Gebinde-Kategorie'!$A$5:$N$45,14,0)*10+Parameter!$M$23,Parameter!$M$24))</f>
        <v>155</v>
      </c>
      <c r="BZ999" s="48" t="str">
        <f aca="false">IF(AND(Parameter!$B$19="Ja",E999&lt;&gt;"",ISNUMBER(MATCH(E999,Parameter!$I$35:$I$52,0))),VLOOKUP(E999,Parameter!$I$35:$J$52,2,0),IFERROR(VLOOKUP(D999,Parameter!$A$35:$C$64,2,0),"Nein"))</f>
        <v>2+3</v>
      </c>
      <c r="CA999" s="52" t="n">
        <f aca="false">IF(BW999=0,0,IF(N(S999)&gt;0,S999,IFERROR(VLOOKUP(D999,Parameter!$A$35:$C$64,3,0)+0,0)))</f>
        <v>0</v>
      </c>
      <c r="CB999" s="48" t="n">
        <f aca="false">IF(AA999&lt;&gt;"",AA999,Z999)</f>
        <v>3</v>
      </c>
      <c r="CC999" s="48" t="str">
        <f aca="false">IF(OR(CB999=1,CB999=2,CB999=3),IF(Parameter!$E$27="Ja","LIFT",IF(CB999=1,"L1","L23")),IF(CB999="Aussen","Aussen","-"))</f>
        <v>LIFT</v>
      </c>
      <c r="CD999" s="59" t="n">
        <f aca="false">IF(N(AB999)&gt;0,AB999,0)</f>
        <v>0</v>
      </c>
      <c r="CE999" s="53" t="n">
        <f aca="false">IF(ISNUMBER(AE999),1,0)</f>
        <v>0</v>
      </c>
      <c r="CF999" s="50" t="n">
        <f aca="false">N(AE999)</f>
        <v>0</v>
      </c>
      <c r="CG999" s="50" t="n">
        <f aca="false">N(M999)+N(N999)</f>
        <v>244</v>
      </c>
      <c r="CH999" s="50" t="n">
        <f aca="false">ROUNDUP(H999/BV999,0)</f>
        <v>1</v>
      </c>
      <c r="CI999" s="50" t="n">
        <f aca="false">ROUNDUP(CF999/BV999,0)</f>
        <v>0</v>
      </c>
      <c r="CJ999" s="53" t="n">
        <f aca="false">IF(BW999=1,0,IFERROR(VLOOKUP(BU999,'Gebinde-Kategorie'!$A$5:$N$45,5,0)+0,0))</f>
        <v>11</v>
      </c>
      <c r="CK999" s="53" t="n">
        <f aca="false">IFERROR(IF(OR(CB999=1,CB999=2,CB999=3),N(INDEX(Parameter!$I$5:$I$7,CB999)),0),0)</f>
        <v>0</v>
      </c>
      <c r="CL999" s="52" t="n">
        <f aca="false">IF(AND(Parameter!$B$21="Ja",ISNUMBER(W999),N(X999)&gt;0),IFERROR(N(INDEX(Parameter!$L$5:$L$7,W999))*INDEX(Parameter!$E$5:$E$7,W999)*X999/SUMIFS($X$7:$X$1843,$W$7:$W$1843,W999),0),0)</f>
        <v>0</v>
      </c>
    </row>
    <row r="1000" customFormat="false" ht="15" hidden="false" customHeight="false" outlineLevel="0" collapsed="false">
      <c r="A1000" s="48" t="s">
        <v>1848</v>
      </c>
      <c r="B1000" s="48" t="s">
        <v>1849</v>
      </c>
      <c r="C1000" s="48" t="s">
        <v>168</v>
      </c>
      <c r="D1000" s="48" t="s">
        <v>188</v>
      </c>
      <c r="E1000" s="48"/>
      <c r="F1000" s="48" t="s">
        <v>222</v>
      </c>
      <c r="G1000" s="49" t="n">
        <v>28.43</v>
      </c>
      <c r="H1000" s="50" t="n">
        <f aca="false">MAX(0,IF(AND(Parameter!$B$21="Ja",ISNUMBER(Y1000)),Y1000,IF(Parameter!$B$20="Jahresanfang 2025 + Export",BO1000+BN1000,BN1000)))</f>
        <v>5</v>
      </c>
      <c r="I1000" s="50" t="n">
        <f aca="false">H1000*G1000</f>
        <v>142.15</v>
      </c>
      <c r="J1000" s="50" t="n">
        <f aca="false">BQ1000*Parameter!$B$18</f>
        <v>5</v>
      </c>
      <c r="K1000" s="51" t="n">
        <v>11.5</v>
      </c>
      <c r="L1000" s="52" t="n">
        <v>0.434782608695652</v>
      </c>
      <c r="M1000" s="50" t="n">
        <v>0</v>
      </c>
      <c r="N1000" s="50" t="n">
        <v>5</v>
      </c>
      <c r="O1000" s="53" t="n">
        <v>21</v>
      </c>
      <c r="P1000" s="48" t="s">
        <v>332</v>
      </c>
      <c r="Q1000" s="50" t="n">
        <v>5</v>
      </c>
      <c r="R1000" s="53" t="n">
        <f aca="false">IF(BW1000=1,0,IFERROR(VLOOKUP(BU1000,'Gebinde-Kategorie'!$A$5:$N$45,13,0)+0,0))</f>
        <v>52</v>
      </c>
      <c r="S1000" s="54"/>
      <c r="T1000" s="55"/>
      <c r="U1000" s="55"/>
      <c r="V1000" s="55"/>
      <c r="W1000" s="48"/>
      <c r="X1000" s="50"/>
      <c r="Y1000" s="50"/>
      <c r="Z1000" s="48" t="n">
        <f aca="false">IF(A1000="","",IF(AND(Parameter!$B$21="Ja",ISNUMBER(W1000)),W1000,IF(BZ1000="2+3",IF(ISNUMBER(SEARCH("grosser Artikel",BR1000)),2,IFERROR(VLOOKUP(BU1000,Parameter!$F$35:$G$64,2,0),2)),IF(OR(BZ1000="Nein",BZ1000=""),"-",BZ1000))))</f>
        <v>3</v>
      </c>
      <c r="AA1000" s="55"/>
      <c r="AB1000" s="56"/>
      <c r="AC1000" s="50" t="n">
        <f aca="false">AT1000</f>
        <v>5</v>
      </c>
      <c r="AD1000" s="50" t="n">
        <f aca="false">MAX(AT1000,H1000)</f>
        <v>5</v>
      </c>
      <c r="AE1000" s="57"/>
      <c r="AF1000" s="50" t="n">
        <f aca="false">IF(LEFT(Cockpit!$C$5,1)="A",H1000,IF(CE1000=1,CF1000,IF(LEFT(Cockpit!$C$5,1)="B",AK1000,MAX(AK1000,H1000))))</f>
        <v>5</v>
      </c>
      <c r="AG1000" s="50" t="n">
        <f aca="false">IF(BW1000=1,0,ROUNDUP(AF1000/BV1000,0))</f>
        <v>1</v>
      </c>
      <c r="AH1000" s="52" t="n">
        <f aca="false">IF(CL1000&gt;0,CL1000*MAX(1,AF1000/X1000),IF(BW1000=1,IF(AF1000&lt;=0,0,CA1000*MAX(1,IF(H1000&gt;0,AF1000/H1000,1))),IF(R1000&gt;0,AG1000/R1000,0))/MAX(0.1,N(Parameter!$M$21)))</f>
        <v>0.0192307692307692</v>
      </c>
      <c r="AI1000" s="50" t="n">
        <f aca="false">AH1000*BY1000</f>
        <v>2.98076923076923</v>
      </c>
      <c r="AJ1000" s="50" t="n">
        <f aca="false">AF1000*G1000</f>
        <v>142.15</v>
      </c>
      <c r="AK1000" s="50" t="n">
        <f aca="false">ROUNDUP(MAX(J1000/IF(CD1000&gt;0,CD1000,MAX(0.1,N(Cockpit!$C$6))),CG1000)/BV1000,0)*BV1000</f>
        <v>5</v>
      </c>
      <c r="AL1000" s="51" t="n">
        <f aca="false">IF(AI1000&gt;0,J1000/AI1000,-1)</f>
        <v>1.67741935483871</v>
      </c>
      <c r="AM1000" s="51" t="n">
        <f aca="false">IF(AND(OR(CC1000="L1",CC1000="L23",CC1000="LIFT"),AI1000&gt;0),SUMIFS($AI$7:$AI$1843,$CC$7:$CC$1843,CC1000,$AL$7:$AL$1843,"&gt;"&amp;AL1000)+SUMIFS($AI$7:$AI$1843,$CC$7:$CC$1843,CC1000,$AL$7:$AL$1843,AL1000,$BT$7:$BT$1843,"&lt;="&amp;BT1000),"")</f>
        <v>6063.7760989011</v>
      </c>
      <c r="AN1000" s="58" t="n">
        <f aca="false">IF(AM1000="",0,MAX(0,MIN(1,(IF(CC1000="L1",Parameter!$H$5,IF(CC1000="L23",Parameter!$H$6+Parameter!$H$7,Parameter!$H$5+Parameter!$H$6+Parameter!$H$7))-(AM1000-AI1000))/AI1000)))</f>
        <v>1</v>
      </c>
      <c r="AO1000" s="50" t="n">
        <f aca="false">IF(LEFT(Cockpit!$I$5,1)="A",H1000,IF(CE1000=1,CF1000,IF(LEFT(Cockpit!$I$5,1)="B",AT1000,MAX(AT1000,H1000))))</f>
        <v>5</v>
      </c>
      <c r="AP1000" s="50" t="n">
        <f aca="false">IF(BW1000=1,0,ROUNDUP(AO1000/BV1000,0))</f>
        <v>1</v>
      </c>
      <c r="AQ1000" s="52" t="n">
        <f aca="false">IF(CL1000&gt;0,CL1000*MAX(1,AO1000/X1000),IF(BW1000=1,IF(AO1000&lt;=0,0,CA1000*MAX(1,IF(H1000&gt;0,AO1000/H1000,1))),IF(R1000&gt;0,AP1000/R1000,0))/MAX(0.1,N(Parameter!$M$21)))</f>
        <v>0.0192307692307692</v>
      </c>
      <c r="AR1000" s="50" t="n">
        <f aca="false">AQ1000*BY1000</f>
        <v>2.98076923076923</v>
      </c>
      <c r="AS1000" s="50" t="n">
        <f aca="false">AO1000*G1000</f>
        <v>142.15</v>
      </c>
      <c r="AT1000" s="50" t="n">
        <f aca="false">ROUNDUP(MAX(J1000/IF(CD1000&gt;0,CD1000,MAX(0.1,N(Cockpit!$I$6))),CG1000)/BV1000,0)*BV1000</f>
        <v>5</v>
      </c>
      <c r="AU1000" s="51" t="n">
        <f aca="false">IF(AR1000&gt;0,J1000/AR1000,-1)</f>
        <v>1.67741935483871</v>
      </c>
      <c r="AV1000" s="51" t="n">
        <f aca="false">IF(AND(OR(CC1000="L1",CC1000="L23",CC1000="LIFT"),AR1000&gt;0),SUMIFS($AR$7:$AR$1843,$CC$7:$CC$1843,CC1000,$AU$7:$AU$1843,"&gt;"&amp;AU1000)+SUMIFS($AR$7:$AR$1843,$CC$7:$CC$1843,CC1000,$AU$7:$AU$1843,AU1000,$BT$7:$BT$1843,"&lt;="&amp;BT1000),"")</f>
        <v>8207.82142857143</v>
      </c>
      <c r="AW1000" s="58" t="n">
        <f aca="false">IF(AV1000="",0,MAX(0,MIN(1,(IF(CC1000="L1",Parameter!$H$5,IF(CC1000="L23",Parameter!$H$6+Parameter!$H$7,Parameter!$H$5+Parameter!$H$6+Parameter!$H$7))-(AV1000-AR1000))/AR1000)))</f>
        <v>1</v>
      </c>
      <c r="AX1000" s="50" t="n">
        <f aca="false">IF(LEFT(Cockpit!$O$5,1)="A",H1000,IF(CE1000=1,CF1000,IF(LEFT(Cockpit!$O$5,1)="B",BC1000,MAX(BC1000,H1000))))</f>
        <v>5</v>
      </c>
      <c r="AY1000" s="50" t="n">
        <f aca="false">IF(BW1000=1,0,ROUNDUP(AX1000/BV1000,0))</f>
        <v>1</v>
      </c>
      <c r="AZ1000" s="52" t="n">
        <f aca="false">IF(CL1000&gt;0,CL1000*MAX(1,AX1000/X1000),IF(BW1000=1,IF(AX1000&lt;=0,0,CA1000*MAX(1,IF(H1000&gt;0,AX1000/H1000,1))),IF(R1000&gt;0,AY1000/R1000,0))/MAX(0.1,N(Parameter!$M$21)))</f>
        <v>0.0192307692307692</v>
      </c>
      <c r="BA1000" s="50" t="n">
        <f aca="false">AZ1000*BY1000</f>
        <v>2.98076923076923</v>
      </c>
      <c r="BB1000" s="50" t="n">
        <f aca="false">AX1000*G1000</f>
        <v>142.15</v>
      </c>
      <c r="BC1000" s="50" t="n">
        <f aca="false">ROUNDUP(MAX(J1000/IF(CD1000&gt;0,CD1000,MAX(0.1,N(Cockpit!$O$6))),CG1000)/BV1000,0)*BV1000</f>
        <v>5</v>
      </c>
      <c r="BD1000" s="51" t="n">
        <f aca="false">IF(BA1000&gt;0,J1000/BA1000,-1)</f>
        <v>1.67741935483871</v>
      </c>
      <c r="BE1000" s="51" t="n">
        <f aca="false">IF(AND(OR(CC1000="L1",CC1000="L23",CC1000="LIFT"),BA1000&gt;0),SUMIFS($BA$7:$BA$1843,$CC$7:$CC$1843,CC1000,$BD$7:$BD$1843,"&gt;"&amp;BD1000)+SUMIFS($BA$7:$BA$1843,$CC$7:$CC$1843,CC1000,$BD$7:$BD$1843,BD1000,$BT$7:$BT$1843,"&lt;="&amp;BT1000),"")</f>
        <v>8122.22847985348</v>
      </c>
      <c r="BF1000" s="58" t="n">
        <f aca="false">IF(BE1000="",0,MAX(0,MIN(1,(IF(CC1000="L1",Parameter!$H$5,IF(CC1000="L23",Parameter!$H$6+Parameter!$H$7,Parameter!$H$5+Parameter!$H$6+Parameter!$H$7))-(BE1000-BA1000))/BA1000)))</f>
        <v>1</v>
      </c>
      <c r="BG1000" s="48" t="str">
        <f aca="false">IF(AI1000&lt;=0,"",IF(CC1000="Aussen","Aussenlager",IF(CC1000="-","Nicht im Lift",IF(AN1000&gt;=1,"Lift",IF(AN1000&lt;=0,"Aussenlager","teilweise")))))</f>
        <v>Lift</v>
      </c>
      <c r="BH1000" s="48" t="str">
        <f aca="false">IF(AR1000&lt;=0,"",IF(CC1000="Aussen","Aussenlager",IF(CC1000="-","Nicht im Lift",IF(AW1000&gt;=1,"Lift",IF(AW1000&lt;=0,"Aussenlager","teilweise")))))</f>
        <v>Lift</v>
      </c>
      <c r="BI1000" s="48" t="str">
        <f aca="false">IF(BA1000&lt;=0,"",IF(CC1000="Aussen","Aussenlager",IF(CC1000="-","Nicht im Lift",IF(BF1000&gt;=1,"Lift",IF(BF1000&lt;=0,"Aussenlager","teilweise")))))</f>
        <v>Lift</v>
      </c>
      <c r="BJ1000" s="48" t="str">
        <f aca="false">IF(A1000="","",IF(BS1000=1,"Neu; ","")&amp;IF(AND(BS1000=0,BN1000&lt;0),"negativer Bestand (Export "&amp;BN1000&amp;"); ","")&amp;IF(J1000&lt;=0,"Kein Verbrauch; ","")&amp;IF(CL1000&gt;0,"Lift "&amp;W1000&amp;" lt. Liftbericht (Fach "&amp;X1000&amp;" Stk); ",IF(BX1000=1,"Gebinde geschätzt ("&amp;T1000&amp;"); ",IF(BW1000=1,"Lose – Tablare geschätzt; ","")))&amp;IF(H1000&gt;AT1000,"Überbestand "&amp;ROUND(H1000-AT1000,0)&amp;" Stk / CHF "&amp;ROUND((H1000-AT1000)*G1000,0)&amp;"; ","")&amp;IF(AND(CE1000=1,CF1000&lt;CG1000),"MAX &lt; MB+LG; ","")&amp;IF(AND(CK1000&gt;0,CJ1000*10&gt;CK1000),"zu hoch für Tablar; ","")&amp;IF(AND(BS1000=0,OR(CE1000=1,AA1000&lt;&gt;"",U1000&lt;&gt;"",V1000&lt;&gt;"",AB1000&lt;&gt;"")),"manuell übersteuert; ","")&amp;IF(AND(BW1000=0,R1000=0),"Gebinde unbekannt / Stellmass fehlt; ","")&amp;IF(AND(BW1000=0,N(V1000)&lt;=0,N(Q1000)&lt;=0),"Menge pro Gebinde fehlt (Ist = 1 Gebinde); ","")&amp;BR1000)</f>
        <v>negativer Bestand (Export -9); </v>
      </c>
      <c r="BK1000" s="48"/>
      <c r="BL1000" s="48"/>
      <c r="BM1000" s="55"/>
      <c r="BN1000" s="50" t="n">
        <v>-9</v>
      </c>
      <c r="BO1000" s="50" t="n">
        <v>14</v>
      </c>
      <c r="BP1000" s="49" t="n">
        <v>-95.85</v>
      </c>
      <c r="BQ1000" s="50" t="n">
        <v>5</v>
      </c>
      <c r="BR1000" s="48"/>
      <c r="BS1000" s="53" t="n">
        <v>0</v>
      </c>
      <c r="BT1000" s="53" t="n">
        <v>1000</v>
      </c>
      <c r="BU1000" s="48" t="str">
        <f aca="false">IF(U1000&lt;&gt;"",UPPER(TRIM(U1000)),IF(BX1000=1,UPPER(VLOOKUP(T1000,Parameter!$I$27:$K$29,2,0)),IF(P1000="","LOSE",P1000)))</f>
        <v>S41</v>
      </c>
      <c r="BV1000" s="50" t="n">
        <f aca="false">IF(BU1000="LOSE",1,IF(N(V1000)&gt;0,V1000,IF(BX1000=1,MAX(1,N(VLOOKUP(T1000,Parameter!$I$27:$K$29,3,0)),H1000,N(N1000)),IF(N(Q1000)&gt;0,Q1000,MAX(1,H1000)))))</f>
        <v>5</v>
      </c>
      <c r="BW1000" s="53" t="n">
        <f aca="false">IF(BU1000="LOSE",1,0)</f>
        <v>0</v>
      </c>
      <c r="BX1000" s="53" t="n">
        <f aca="false">IF(AND(U1000="",OR(P1000="",P1000="LOSE"),T1000&lt;&gt;"",N(S1000)&lt;=0,ISNUMBER(MATCH(T1000,Parameter!$I$27:$I$29,0))),1,0)</f>
        <v>0</v>
      </c>
      <c r="BY1000" s="53" t="n">
        <f aca="false">IF(CL1000&gt;0,INDEX(Parameter!$H$5:$H$7,W1000)/INDEX(Parameter!$E$5:$E$7,W1000),IF(AND(BW1000=0,N(IFERROR(VLOOKUP(BU1000,'Gebinde-Kategorie'!$A$5:$N$45,14,0),0))&gt;0),VLOOKUP(BU1000,'Gebinde-Kategorie'!$A$5:$N$45,14,0)*10+Parameter!$M$23,Parameter!$M$24))</f>
        <v>155</v>
      </c>
      <c r="BZ1000" s="48" t="str">
        <f aca="false">IF(AND(Parameter!$B$19="Ja",E1000&lt;&gt;"",ISNUMBER(MATCH(E1000,Parameter!$I$35:$I$52,0))),VLOOKUP(E1000,Parameter!$I$35:$J$52,2,0),IFERROR(VLOOKUP(D1000,Parameter!$A$35:$C$64,2,0),"Nein"))</f>
        <v>2+3</v>
      </c>
      <c r="CA1000" s="52" t="n">
        <f aca="false">IF(BW1000=0,0,IF(N(S1000)&gt;0,S1000,IFERROR(VLOOKUP(D1000,Parameter!$A$35:$C$64,3,0)+0,0)))</f>
        <v>0</v>
      </c>
      <c r="CB1000" s="48" t="n">
        <f aca="false">IF(AA1000&lt;&gt;"",AA1000,Z1000)</f>
        <v>3</v>
      </c>
      <c r="CC1000" s="48" t="str">
        <f aca="false">IF(OR(CB1000=1,CB1000=2,CB1000=3),IF(Parameter!$E$27="Ja","LIFT",IF(CB1000=1,"L1","L23")),IF(CB1000="Aussen","Aussen","-"))</f>
        <v>LIFT</v>
      </c>
      <c r="CD1000" s="59" t="n">
        <f aca="false">IF(N(AB1000)&gt;0,AB1000,0)</f>
        <v>0</v>
      </c>
      <c r="CE1000" s="53" t="n">
        <f aca="false">IF(ISNUMBER(AE1000),1,0)</f>
        <v>0</v>
      </c>
      <c r="CF1000" s="50" t="n">
        <f aca="false">N(AE1000)</f>
        <v>0</v>
      </c>
      <c r="CG1000" s="50" t="n">
        <f aca="false">N(M1000)+N(N1000)</f>
        <v>5</v>
      </c>
      <c r="CH1000" s="50" t="n">
        <f aca="false">ROUNDUP(H1000/BV1000,0)</f>
        <v>1</v>
      </c>
      <c r="CI1000" s="50" t="n">
        <f aca="false">ROUNDUP(CF1000/BV1000,0)</f>
        <v>0</v>
      </c>
      <c r="CJ1000" s="53" t="n">
        <f aca="false">IF(BW1000=1,0,IFERROR(VLOOKUP(BU1000,'Gebinde-Kategorie'!$A$5:$N$45,5,0)+0,0))</f>
        <v>11</v>
      </c>
      <c r="CK1000" s="53" t="n">
        <f aca="false">IFERROR(IF(OR(CB1000=1,CB1000=2,CB1000=3),N(INDEX(Parameter!$I$5:$I$7,CB1000)),0),0)</f>
        <v>0</v>
      </c>
      <c r="CL1000" s="52" t="n">
        <f aca="false">IF(AND(Parameter!$B$21="Ja",ISNUMBER(W1000),N(X1000)&gt;0),IFERROR(N(INDEX(Parameter!$L$5:$L$7,W1000))*INDEX(Parameter!$E$5:$E$7,W1000)*X1000/SUMIFS($X$7:$X$1843,$W$7:$W$1843,W1000),0),0)</f>
        <v>0</v>
      </c>
    </row>
    <row r="1001" customFormat="false" ht="15" hidden="false" customHeight="false" outlineLevel="0" collapsed="false">
      <c r="A1001" s="48" t="s">
        <v>1850</v>
      </c>
      <c r="B1001" s="48" t="s">
        <v>896</v>
      </c>
      <c r="C1001" s="48" t="s">
        <v>168</v>
      </c>
      <c r="D1001" s="48" t="s">
        <v>188</v>
      </c>
      <c r="E1001" s="48" t="s">
        <v>189</v>
      </c>
      <c r="F1001" s="48" t="s">
        <v>222</v>
      </c>
      <c r="G1001" s="49" t="n">
        <v>12.08</v>
      </c>
      <c r="H1001" s="50" t="n">
        <f aca="false">MAX(0,IF(AND(Parameter!$B$21="Ja",ISNUMBER(Y1001)),Y1001,IF(Parameter!$B$20="Jahresanfang 2025 + Export",BO1001+BN1001,BN1001)))</f>
        <v>4</v>
      </c>
      <c r="I1001" s="50" t="n">
        <f aca="false">H1001*G1001</f>
        <v>48.32</v>
      </c>
      <c r="J1001" s="50" t="n">
        <f aca="false">BQ1001*Parameter!$B$18</f>
        <v>5</v>
      </c>
      <c r="K1001" s="51" t="n">
        <v>8.5</v>
      </c>
      <c r="L1001" s="52" t="n">
        <v>0.588235294117647</v>
      </c>
      <c r="M1001" s="50" t="n">
        <v>0</v>
      </c>
      <c r="N1001" s="50" t="n">
        <v>5</v>
      </c>
      <c r="O1001" s="53" t="n">
        <v>21</v>
      </c>
      <c r="P1001" s="48" t="s">
        <v>425</v>
      </c>
      <c r="Q1001" s="50" t="n">
        <v>18</v>
      </c>
      <c r="R1001" s="53" t="n">
        <f aca="false">IF(BW1001=1,0,IFERROR(VLOOKUP(BU1001,'Gebinde-Kategorie'!$A$5:$N$45,13,0)+0,0))</f>
        <v>104</v>
      </c>
      <c r="S1001" s="54"/>
      <c r="T1001" s="55"/>
      <c r="U1001" s="55"/>
      <c r="V1001" s="55"/>
      <c r="W1001" s="48"/>
      <c r="X1001" s="50"/>
      <c r="Y1001" s="50"/>
      <c r="Z1001" s="48" t="n">
        <f aca="false">IF(A1001="","",IF(AND(Parameter!$B$21="Ja",ISNUMBER(W1001)),W1001,IF(BZ1001="2+3",IF(ISNUMBER(SEARCH("grosser Artikel",BR1001)),2,IFERROR(VLOOKUP(BU1001,Parameter!$F$35:$G$64,2,0),2)),IF(OR(BZ1001="Nein",BZ1001=""),"-",BZ1001))))</f>
        <v>3</v>
      </c>
      <c r="AA1001" s="55"/>
      <c r="AB1001" s="56"/>
      <c r="AC1001" s="50" t="n">
        <f aca="false">AT1001</f>
        <v>18</v>
      </c>
      <c r="AD1001" s="50" t="n">
        <f aca="false">MAX(AT1001,H1001)</f>
        <v>18</v>
      </c>
      <c r="AE1001" s="57"/>
      <c r="AF1001" s="50" t="n">
        <f aca="false">IF(LEFT(Cockpit!$C$5,1)="A",H1001,IF(CE1001=1,CF1001,IF(LEFT(Cockpit!$C$5,1)="B",AK1001,MAX(AK1001,H1001))))</f>
        <v>4</v>
      </c>
      <c r="AG1001" s="50" t="n">
        <f aca="false">IF(BW1001=1,0,ROUNDUP(AF1001/BV1001,0))</f>
        <v>1</v>
      </c>
      <c r="AH1001" s="52" t="n">
        <f aca="false">IF(CL1001&gt;0,CL1001*MAX(1,AF1001/X1001),IF(BW1001=1,IF(AF1001&lt;=0,0,CA1001*MAX(1,IF(H1001&gt;0,AF1001/H1001,1))),IF(R1001&gt;0,AG1001/R1001,0))/MAX(0.1,N(Parameter!$M$21)))</f>
        <v>0.00961538461538462</v>
      </c>
      <c r="AI1001" s="50" t="n">
        <f aca="false">AH1001*BY1001</f>
        <v>1.49038461538462</v>
      </c>
      <c r="AJ1001" s="50" t="n">
        <f aca="false">AF1001*G1001</f>
        <v>48.32</v>
      </c>
      <c r="AK1001" s="50" t="n">
        <f aca="false">ROUNDUP(MAX(J1001/IF(CD1001&gt;0,CD1001,MAX(0.1,N(Cockpit!$C$6))),CG1001)/BV1001,0)*BV1001</f>
        <v>18</v>
      </c>
      <c r="AL1001" s="51" t="n">
        <f aca="false">IF(AI1001&gt;0,J1001/AI1001,-1)</f>
        <v>3.35483870967742</v>
      </c>
      <c r="AM1001" s="51" t="n">
        <f aca="false">IF(AND(OR(CC1001="L1",CC1001="L23",CC1001="LIFT"),AI1001&gt;0),SUMIFS($AI$7:$AI$1843,$CC$7:$CC$1843,CC1001,$AL$7:$AL$1843,"&gt;"&amp;AL1001)+SUMIFS($AI$7:$AI$1843,$CC$7:$CC$1843,CC1001,$AL$7:$AL$1843,AL1001,$BT$7:$BT$1843,"&lt;="&amp;BT1001),"")</f>
        <v>4946.6456043956</v>
      </c>
      <c r="AN1001" s="58" t="n">
        <f aca="false">IF(AM1001="",0,MAX(0,MIN(1,(IF(CC1001="L1",Parameter!$H$5,IF(CC1001="L23",Parameter!$H$6+Parameter!$H$7,Parameter!$H$5+Parameter!$H$6+Parameter!$H$7))-(AM1001-AI1001))/AI1001)))</f>
        <v>1</v>
      </c>
      <c r="AO1001" s="50" t="n">
        <f aca="false">IF(LEFT(Cockpit!$I$5,1)="A",H1001,IF(CE1001=1,CF1001,IF(LEFT(Cockpit!$I$5,1)="B",AT1001,MAX(AT1001,H1001))))</f>
        <v>18</v>
      </c>
      <c r="AP1001" s="50" t="n">
        <f aca="false">IF(BW1001=1,0,ROUNDUP(AO1001/BV1001,0))</f>
        <v>1</v>
      </c>
      <c r="AQ1001" s="52" t="n">
        <f aca="false">IF(CL1001&gt;0,CL1001*MAX(1,AO1001/X1001),IF(BW1001=1,IF(AO1001&lt;=0,0,CA1001*MAX(1,IF(H1001&gt;0,AO1001/H1001,1))),IF(R1001&gt;0,AP1001/R1001,0))/MAX(0.1,N(Parameter!$M$21)))</f>
        <v>0.00961538461538462</v>
      </c>
      <c r="AR1001" s="50" t="n">
        <f aca="false">AQ1001*BY1001</f>
        <v>1.49038461538462</v>
      </c>
      <c r="AS1001" s="50" t="n">
        <f aca="false">AO1001*G1001</f>
        <v>217.44</v>
      </c>
      <c r="AT1001" s="50" t="n">
        <f aca="false">ROUNDUP(MAX(J1001/IF(CD1001&gt;0,CD1001,MAX(0.1,N(Cockpit!$I$6))),CG1001)/BV1001,0)*BV1001</f>
        <v>18</v>
      </c>
      <c r="AU1001" s="51" t="n">
        <f aca="false">IF(AR1001&gt;0,J1001/AR1001,-1)</f>
        <v>3.35483870967742</v>
      </c>
      <c r="AV1001" s="51" t="n">
        <f aca="false">IF(AND(OR(CC1001="L1",CC1001="L23",CC1001="LIFT"),AR1001&gt;0),SUMIFS($AR$7:$AR$1843,$CC$7:$CC$1843,CC1001,$AU$7:$AU$1843,"&gt;"&amp;AU1001)+SUMIFS($AR$7:$AR$1843,$CC$7:$CC$1843,CC1001,$AU$7:$AU$1843,AU1001,$BT$7:$BT$1843,"&lt;="&amp;BT1001),"")</f>
        <v>6045.42445054945</v>
      </c>
      <c r="AW1001" s="58" t="n">
        <f aca="false">IF(AV1001="",0,MAX(0,MIN(1,(IF(CC1001="L1",Parameter!$H$5,IF(CC1001="L23",Parameter!$H$6+Parameter!$H$7,Parameter!$H$5+Parameter!$H$6+Parameter!$H$7))-(AV1001-AR1001))/AR1001)))</f>
        <v>1</v>
      </c>
      <c r="AX1001" s="50" t="n">
        <f aca="false">IF(LEFT(Cockpit!$O$5,1)="A",H1001,IF(CE1001=1,CF1001,IF(LEFT(Cockpit!$O$5,1)="B",BC1001,MAX(BC1001,H1001))))</f>
        <v>18</v>
      </c>
      <c r="AY1001" s="50" t="n">
        <f aca="false">IF(BW1001=1,0,ROUNDUP(AX1001/BV1001,0))</f>
        <v>1</v>
      </c>
      <c r="AZ1001" s="52" t="n">
        <f aca="false">IF(CL1001&gt;0,CL1001*MAX(1,AX1001/X1001),IF(BW1001=1,IF(AX1001&lt;=0,0,CA1001*MAX(1,IF(H1001&gt;0,AX1001/H1001,1))),IF(R1001&gt;0,AY1001/R1001,0))/MAX(0.1,N(Parameter!$M$21)))</f>
        <v>0.00961538461538462</v>
      </c>
      <c r="BA1001" s="50" t="n">
        <f aca="false">AZ1001*BY1001</f>
        <v>1.49038461538462</v>
      </c>
      <c r="BB1001" s="50" t="n">
        <f aca="false">AX1001*G1001</f>
        <v>217.44</v>
      </c>
      <c r="BC1001" s="50" t="n">
        <f aca="false">ROUNDUP(MAX(J1001/IF(CD1001&gt;0,CD1001,MAX(0.1,N(Cockpit!$O$6))),CG1001)/BV1001,0)*BV1001</f>
        <v>18</v>
      </c>
      <c r="BD1001" s="51" t="n">
        <f aca="false">IF(BA1001&gt;0,J1001/BA1001,-1)</f>
        <v>3.35483870967742</v>
      </c>
      <c r="BE1001" s="51" t="n">
        <f aca="false">IF(AND(OR(CC1001="L1",CC1001="L23",CC1001="LIFT"),BA1001&gt;0),SUMIFS($BA$7:$BA$1843,$CC$7:$CC$1843,CC1001,$BD$7:$BD$1843,"&gt;"&amp;BD1001)+SUMIFS($BA$7:$BA$1843,$CC$7:$CC$1843,CC1001,$BD$7:$BD$1843,BD1001,$BT$7:$BT$1843,"&lt;="&amp;BT1001),"")</f>
        <v>6033.26098901099</v>
      </c>
      <c r="BF1001" s="58" t="n">
        <f aca="false">IF(BE1001="",0,MAX(0,MIN(1,(IF(CC1001="L1",Parameter!$H$5,IF(CC1001="L23",Parameter!$H$6+Parameter!$H$7,Parameter!$H$5+Parameter!$H$6+Parameter!$H$7))-(BE1001-BA1001))/BA1001)))</f>
        <v>1</v>
      </c>
      <c r="BG1001" s="48" t="str">
        <f aca="false">IF(AI1001&lt;=0,"",IF(CC1001="Aussen","Aussenlager",IF(CC1001="-","Nicht im Lift",IF(AN1001&gt;=1,"Lift",IF(AN1001&lt;=0,"Aussenlager","teilweise")))))</f>
        <v>Lift</v>
      </c>
      <c r="BH1001" s="48" t="str">
        <f aca="false">IF(AR1001&lt;=0,"",IF(CC1001="Aussen","Aussenlager",IF(CC1001="-","Nicht im Lift",IF(AW1001&gt;=1,"Lift",IF(AW1001&lt;=0,"Aussenlager","teilweise")))))</f>
        <v>Lift</v>
      </c>
      <c r="BI1001" s="48" t="str">
        <f aca="false">IF(BA1001&lt;=0,"",IF(CC1001="Aussen","Aussenlager",IF(CC1001="-","Nicht im Lift",IF(BF1001&gt;=1,"Lift",IF(BF1001&lt;=0,"Aussenlager","teilweise")))))</f>
        <v>Lift</v>
      </c>
      <c r="BJ1001" s="48" t="str">
        <f aca="false">IF(A1001="","",IF(BS1001=1,"Neu; ","")&amp;IF(AND(BS1001=0,BN1001&lt;0),"negativer Bestand (Export "&amp;BN1001&amp;"); ","")&amp;IF(J1001&lt;=0,"Kein Verbrauch; ","")&amp;IF(CL1001&gt;0,"Lift "&amp;W1001&amp;" lt. Liftbericht (Fach "&amp;X1001&amp;" Stk); ",IF(BX1001=1,"Gebinde geschätzt ("&amp;T1001&amp;"); ",IF(BW1001=1,"Lose – Tablare geschätzt; ","")))&amp;IF(H1001&gt;AT1001,"Überbestand "&amp;ROUND(H1001-AT1001,0)&amp;" Stk / CHF "&amp;ROUND((H1001-AT1001)*G1001,0)&amp;"; ","")&amp;IF(AND(CE1001=1,CF1001&lt;CG1001),"MAX &lt; MB+LG; ","")&amp;IF(AND(CK1001&gt;0,CJ1001*10&gt;CK1001),"zu hoch für Tablar; ","")&amp;IF(AND(BS1001=0,OR(CE1001=1,AA1001&lt;&gt;"",U1001&lt;&gt;"",V1001&lt;&gt;"",AB1001&lt;&gt;"")),"manuell übersteuert; ","")&amp;IF(AND(BW1001=0,R1001=0),"Gebinde unbekannt / Stellmass fehlt; ","")&amp;IF(AND(BW1001=0,N(V1001)&lt;=0,N(Q1001)&lt;=0),"Menge pro Gebinde fehlt (Ist = 1 Gebinde); ","")&amp;BR1001)</f>
        <v>negativer Bestand (Export -8); Neu</v>
      </c>
      <c r="BK1001" s="48"/>
      <c r="BL1001" s="48"/>
      <c r="BM1001" s="55"/>
      <c r="BN1001" s="50" t="n">
        <v>-8</v>
      </c>
      <c r="BO1001" s="50" t="n">
        <v>12</v>
      </c>
      <c r="BP1001" s="49" t="n">
        <v>-96.64</v>
      </c>
      <c r="BQ1001" s="50" t="n">
        <v>5</v>
      </c>
      <c r="BR1001" s="48" t="s">
        <v>630</v>
      </c>
      <c r="BS1001" s="53" t="n">
        <v>0</v>
      </c>
      <c r="BT1001" s="53" t="n">
        <v>1001</v>
      </c>
      <c r="BU1001" s="48" t="str">
        <f aca="false">IF(U1001&lt;&gt;"",UPPER(TRIM(U1001)),IF(BX1001=1,UPPER(VLOOKUP(T1001,Parameter!$I$27:$K$29,2,0)),IF(P1001="","LOSE",P1001)))</f>
        <v>S32</v>
      </c>
      <c r="BV1001" s="50" t="n">
        <f aca="false">IF(BU1001="LOSE",1,IF(N(V1001)&gt;0,V1001,IF(BX1001=1,MAX(1,N(VLOOKUP(T1001,Parameter!$I$27:$K$29,3,0)),H1001,N(N1001)),IF(N(Q1001)&gt;0,Q1001,MAX(1,H1001)))))</f>
        <v>18</v>
      </c>
      <c r="BW1001" s="53" t="n">
        <f aca="false">IF(BU1001="LOSE",1,0)</f>
        <v>0</v>
      </c>
      <c r="BX1001" s="53" t="n">
        <f aca="false">IF(AND(U1001="",OR(P1001="",P1001="LOSE"),T1001&lt;&gt;"",N(S1001)&lt;=0,ISNUMBER(MATCH(T1001,Parameter!$I$27:$I$29,0))),1,0)</f>
        <v>0</v>
      </c>
      <c r="BY1001" s="53" t="n">
        <f aca="false">IF(CL1001&gt;0,INDEX(Parameter!$H$5:$H$7,W1001)/INDEX(Parameter!$E$5:$E$7,W1001),IF(AND(BW1001=0,N(IFERROR(VLOOKUP(BU1001,'Gebinde-Kategorie'!$A$5:$N$45,14,0),0))&gt;0),VLOOKUP(BU1001,'Gebinde-Kategorie'!$A$5:$N$45,14,0)*10+Parameter!$M$23,Parameter!$M$24))</f>
        <v>155</v>
      </c>
      <c r="BZ1001" s="48" t="str">
        <f aca="false">IF(AND(Parameter!$B$19="Ja",E1001&lt;&gt;"",ISNUMBER(MATCH(E1001,Parameter!$I$35:$I$52,0))),VLOOKUP(E1001,Parameter!$I$35:$J$52,2,0),IFERROR(VLOOKUP(D1001,Parameter!$A$35:$C$64,2,0),"Nein"))</f>
        <v>2+3</v>
      </c>
      <c r="CA1001" s="52" t="n">
        <f aca="false">IF(BW1001=0,0,IF(N(S1001)&gt;0,S1001,IFERROR(VLOOKUP(D1001,Parameter!$A$35:$C$64,3,0)+0,0)))</f>
        <v>0</v>
      </c>
      <c r="CB1001" s="48" t="n">
        <f aca="false">IF(AA1001&lt;&gt;"",AA1001,Z1001)</f>
        <v>3</v>
      </c>
      <c r="CC1001" s="48" t="str">
        <f aca="false">IF(OR(CB1001=1,CB1001=2,CB1001=3),IF(Parameter!$E$27="Ja","LIFT",IF(CB1001=1,"L1","L23")),IF(CB1001="Aussen","Aussen","-"))</f>
        <v>LIFT</v>
      </c>
      <c r="CD1001" s="59" t="n">
        <f aca="false">IF(N(AB1001)&gt;0,AB1001,0)</f>
        <v>0</v>
      </c>
      <c r="CE1001" s="53" t="n">
        <f aca="false">IF(ISNUMBER(AE1001),1,0)</f>
        <v>0</v>
      </c>
      <c r="CF1001" s="50" t="n">
        <f aca="false">N(AE1001)</f>
        <v>0</v>
      </c>
      <c r="CG1001" s="50" t="n">
        <f aca="false">N(M1001)+N(N1001)</f>
        <v>5</v>
      </c>
      <c r="CH1001" s="50" t="n">
        <f aca="false">ROUNDUP(H1001/BV1001,0)</f>
        <v>1</v>
      </c>
      <c r="CI1001" s="50" t="n">
        <f aca="false">ROUNDUP(CF1001/BV1001,0)</f>
        <v>0</v>
      </c>
      <c r="CJ1001" s="53" t="n">
        <f aca="false">IF(BW1001=1,0,IFERROR(VLOOKUP(BU1001,'Gebinde-Kategorie'!$A$5:$N$45,5,0)+0,0))</f>
        <v>8</v>
      </c>
      <c r="CK1001" s="53" t="n">
        <f aca="false">IFERROR(IF(OR(CB1001=1,CB1001=2,CB1001=3),N(INDEX(Parameter!$I$5:$I$7,CB1001)),0),0)</f>
        <v>0</v>
      </c>
      <c r="CL1001" s="52" t="n">
        <f aca="false">IF(AND(Parameter!$B$21="Ja",ISNUMBER(W1001),N(X1001)&gt;0),IFERROR(N(INDEX(Parameter!$L$5:$L$7,W1001))*INDEX(Parameter!$E$5:$E$7,W1001)*X1001/SUMIFS($X$7:$X$1843,$W$7:$W$1843,W1001),0),0)</f>
        <v>0</v>
      </c>
    </row>
    <row r="1002" customFormat="false" ht="15" hidden="false" customHeight="false" outlineLevel="0" collapsed="false">
      <c r="A1002" s="48" t="s">
        <v>1851</v>
      </c>
      <c r="B1002" s="48" t="s">
        <v>1852</v>
      </c>
      <c r="C1002" s="48" t="s">
        <v>168</v>
      </c>
      <c r="D1002" s="48" t="s">
        <v>177</v>
      </c>
      <c r="E1002" s="48" t="s">
        <v>469</v>
      </c>
      <c r="F1002" s="48" t="s">
        <v>222</v>
      </c>
      <c r="G1002" s="49" t="n">
        <v>14.63</v>
      </c>
      <c r="H1002" s="50" t="n">
        <f aca="false">MAX(0,IF(AND(Parameter!$B$21="Ja",ISNUMBER(Y1002)),Y1002,IF(Parameter!$B$20="Jahresanfang 2025 + Export",BO1002+BN1002,BN1002)))</f>
        <v>10</v>
      </c>
      <c r="I1002" s="50" t="n">
        <f aca="false">H1002*G1002</f>
        <v>146.3</v>
      </c>
      <c r="J1002" s="50" t="n">
        <f aca="false">BQ1002*Parameter!$B$18</f>
        <v>24</v>
      </c>
      <c r="K1002" s="51" t="n">
        <v>13.5</v>
      </c>
      <c r="L1002" s="52" t="n">
        <v>1.77777777777778</v>
      </c>
      <c r="M1002" s="50" t="n">
        <v>1</v>
      </c>
      <c r="N1002" s="50" t="n">
        <v>10</v>
      </c>
      <c r="O1002" s="53" t="n">
        <v>21</v>
      </c>
      <c r="P1002" s="48" t="s">
        <v>172</v>
      </c>
      <c r="Q1002" s="50"/>
      <c r="R1002" s="53" t="n">
        <f aca="false">IF(BW1002=1,0,IFERROR(VLOOKUP(BU1002,'Gebinde-Kategorie'!$A$5:$N$45,13,0)+0,0))</f>
        <v>12</v>
      </c>
      <c r="S1002" s="54"/>
      <c r="T1002" s="55" t="s">
        <v>183</v>
      </c>
      <c r="U1002" s="55"/>
      <c r="V1002" s="55"/>
      <c r="W1002" s="48"/>
      <c r="X1002" s="50"/>
      <c r="Y1002" s="50"/>
      <c r="Z1002" s="48" t="str">
        <f aca="false">IF(A1002="","",IF(AND(Parameter!$B$21="Ja",ISNUMBER(W1002)),W1002,IF(BZ1002="2+3",IF(ISNUMBER(SEARCH("grosser Artikel",BR1002)),2,IFERROR(VLOOKUP(BU1002,Parameter!$F$35:$G$64,2,0),2)),IF(OR(BZ1002="Nein",BZ1002=""),"-",BZ1002))))</f>
        <v>-</v>
      </c>
      <c r="AA1002" s="55"/>
      <c r="AB1002" s="56"/>
      <c r="AC1002" s="50" t="n">
        <f aca="false">AT1002</f>
        <v>20</v>
      </c>
      <c r="AD1002" s="50" t="n">
        <f aca="false">MAX(AT1002,H1002)</f>
        <v>20</v>
      </c>
      <c r="AE1002" s="57"/>
      <c r="AF1002" s="50" t="n">
        <f aca="false">IF(LEFT(Cockpit!$C$5,1)="A",H1002,IF(CE1002=1,CF1002,IF(LEFT(Cockpit!$C$5,1)="B",AK1002,MAX(AK1002,H1002))))</f>
        <v>10</v>
      </c>
      <c r="AG1002" s="50" t="n">
        <f aca="false">IF(BW1002=1,0,ROUNDUP(AF1002/BV1002,0))</f>
        <v>1</v>
      </c>
      <c r="AH1002" s="52" t="n">
        <f aca="false">IF(CL1002&gt;0,CL1002*MAX(1,AF1002/X1002),IF(BW1002=1,IF(AF1002&lt;=0,0,CA1002*MAX(1,IF(H1002&gt;0,AF1002/H1002,1))),IF(R1002&gt;0,AG1002/R1002,0))/MAX(0.1,N(Parameter!$M$21)))</f>
        <v>0.0833333333333333</v>
      </c>
      <c r="AI1002" s="50" t="n">
        <f aca="false">AH1002*BY1002</f>
        <v>12.0833333333333</v>
      </c>
      <c r="AJ1002" s="50" t="n">
        <f aca="false">AF1002*G1002</f>
        <v>146.3</v>
      </c>
      <c r="AK1002" s="50" t="n">
        <f aca="false">ROUNDUP(MAX(J1002/IF(CD1002&gt;0,CD1002,MAX(0.1,N(Cockpit!$C$6))),CG1002)/BV1002,0)*BV1002</f>
        <v>20</v>
      </c>
      <c r="AL1002" s="51" t="n">
        <f aca="false">IF(AI1002&gt;0,J1002/AI1002,-1)</f>
        <v>1.98620689655172</v>
      </c>
      <c r="AM1002" s="51" t="str">
        <f aca="false">IF(AND(OR(CC1002="L1",CC1002="L23",CC1002="LIFT"),AI1002&gt;0),SUMIFS($AI$7:$AI$1843,$CC$7:$CC$1843,CC1002,$AL$7:$AL$1843,"&gt;"&amp;AL1002)+SUMIFS($AI$7:$AI$1843,$CC$7:$CC$1843,CC1002,$AL$7:$AL$1843,AL1002,$BT$7:$BT$1843,"&lt;="&amp;BT1002),"")</f>
        <v/>
      </c>
      <c r="AN1002" s="58" t="n">
        <f aca="false">IF(AM1002="",0,MAX(0,MIN(1,(IF(CC1002="L1",Parameter!$H$5,IF(CC1002="L23",Parameter!$H$6+Parameter!$H$7,Parameter!$H$5+Parameter!$H$6+Parameter!$H$7))-(AM1002-AI1002))/AI1002)))</f>
        <v>0</v>
      </c>
      <c r="AO1002" s="50" t="n">
        <f aca="false">IF(LEFT(Cockpit!$I$5,1)="A",H1002,IF(CE1002=1,CF1002,IF(LEFT(Cockpit!$I$5,1)="B",AT1002,MAX(AT1002,H1002))))</f>
        <v>20</v>
      </c>
      <c r="AP1002" s="50" t="n">
        <f aca="false">IF(BW1002=1,0,ROUNDUP(AO1002/BV1002,0))</f>
        <v>2</v>
      </c>
      <c r="AQ1002" s="52" t="n">
        <f aca="false">IF(CL1002&gt;0,CL1002*MAX(1,AO1002/X1002),IF(BW1002=1,IF(AO1002&lt;=0,0,CA1002*MAX(1,IF(H1002&gt;0,AO1002/H1002,1))),IF(R1002&gt;0,AP1002/R1002,0))/MAX(0.1,N(Parameter!$M$21)))</f>
        <v>0.166666666666667</v>
      </c>
      <c r="AR1002" s="50" t="n">
        <f aca="false">AQ1002*BY1002</f>
        <v>24.1666666666667</v>
      </c>
      <c r="AS1002" s="50" t="n">
        <f aca="false">AO1002*G1002</f>
        <v>292.6</v>
      </c>
      <c r="AT1002" s="50" t="n">
        <f aca="false">ROUNDUP(MAX(J1002/IF(CD1002&gt;0,CD1002,MAX(0.1,N(Cockpit!$I$6))),CG1002)/BV1002,0)*BV1002</f>
        <v>20</v>
      </c>
      <c r="AU1002" s="51" t="n">
        <f aca="false">IF(AR1002&gt;0,J1002/AR1002,-1)</f>
        <v>0.993103448275862</v>
      </c>
      <c r="AV1002" s="51" t="str">
        <f aca="false">IF(AND(OR(CC1002="L1",CC1002="L23",CC1002="LIFT"),AR1002&gt;0),SUMIFS($AR$7:$AR$1843,$CC$7:$CC$1843,CC1002,$AU$7:$AU$1843,"&gt;"&amp;AU1002)+SUMIFS($AR$7:$AR$1843,$CC$7:$CC$1843,CC1002,$AU$7:$AU$1843,AU1002,$BT$7:$BT$1843,"&lt;="&amp;BT1002),"")</f>
        <v/>
      </c>
      <c r="AW1002" s="58" t="n">
        <f aca="false">IF(AV1002="",0,MAX(0,MIN(1,(IF(CC1002="L1",Parameter!$H$5,IF(CC1002="L23",Parameter!$H$6+Parameter!$H$7,Parameter!$H$5+Parameter!$H$6+Parameter!$H$7))-(AV1002-AR1002))/AR1002)))</f>
        <v>0</v>
      </c>
      <c r="AX1002" s="50" t="n">
        <f aca="false">IF(LEFT(Cockpit!$O$5,1)="A",H1002,IF(CE1002=1,CF1002,IF(LEFT(Cockpit!$O$5,1)="B",BC1002,MAX(BC1002,H1002))))</f>
        <v>20</v>
      </c>
      <c r="AY1002" s="50" t="n">
        <f aca="false">IF(BW1002=1,0,ROUNDUP(AX1002/BV1002,0))</f>
        <v>2</v>
      </c>
      <c r="AZ1002" s="52" t="n">
        <f aca="false">IF(CL1002&gt;0,CL1002*MAX(1,AX1002/X1002),IF(BW1002=1,IF(AX1002&lt;=0,0,CA1002*MAX(1,IF(H1002&gt;0,AX1002/H1002,1))),IF(R1002&gt;0,AY1002/R1002,0))/MAX(0.1,N(Parameter!$M$21)))</f>
        <v>0.166666666666667</v>
      </c>
      <c r="BA1002" s="50" t="n">
        <f aca="false">AZ1002*BY1002</f>
        <v>24.1666666666667</v>
      </c>
      <c r="BB1002" s="50" t="n">
        <f aca="false">AX1002*G1002</f>
        <v>292.6</v>
      </c>
      <c r="BC1002" s="50" t="n">
        <f aca="false">ROUNDUP(MAX(J1002/IF(CD1002&gt;0,CD1002,MAX(0.1,N(Cockpit!$O$6))),CG1002)/BV1002,0)*BV1002</f>
        <v>20</v>
      </c>
      <c r="BD1002" s="51" t="n">
        <f aca="false">IF(BA1002&gt;0,J1002/BA1002,-1)</f>
        <v>0.993103448275862</v>
      </c>
      <c r="BE1002" s="51" t="str">
        <f aca="false">IF(AND(OR(CC1002="L1",CC1002="L23",CC1002="LIFT"),BA1002&gt;0),SUMIFS($BA$7:$BA$1843,$CC$7:$CC$1843,CC1002,$BD$7:$BD$1843,"&gt;"&amp;BD1002)+SUMIFS($BA$7:$BA$1843,$CC$7:$CC$1843,CC1002,$BD$7:$BD$1843,BD1002,$BT$7:$BT$1843,"&lt;="&amp;BT1002),"")</f>
        <v/>
      </c>
      <c r="BF1002" s="58" t="n">
        <f aca="false">IF(BE1002="",0,MAX(0,MIN(1,(IF(CC1002="L1",Parameter!$H$5,IF(CC1002="L23",Parameter!$H$6+Parameter!$H$7,Parameter!$H$5+Parameter!$H$6+Parameter!$H$7))-(BE1002-BA1002))/BA1002)))</f>
        <v>0</v>
      </c>
      <c r="BG1002" s="48" t="str">
        <f aca="false">IF(AI1002&lt;=0,"",IF(CC1002="Aussen","Aussenlager",IF(CC1002="-","Nicht im Lift",IF(AN1002&gt;=1,"Lift",IF(AN1002&lt;=0,"Aussenlager","teilweise")))))</f>
        <v>Nicht im Lift</v>
      </c>
      <c r="BH1002" s="48" t="str">
        <f aca="false">IF(AR1002&lt;=0,"",IF(CC1002="Aussen","Aussenlager",IF(CC1002="-","Nicht im Lift",IF(AW1002&gt;=1,"Lift",IF(AW1002&lt;=0,"Aussenlager","teilweise")))))</f>
        <v>Nicht im Lift</v>
      </c>
      <c r="BI1002" s="48" t="str">
        <f aca="false">IF(BA1002&lt;=0,"",IF(CC1002="Aussen","Aussenlager",IF(CC1002="-","Nicht im Lift",IF(BF1002&gt;=1,"Lift",IF(BF1002&lt;=0,"Aussenlager","teilweise")))))</f>
        <v>Nicht im Lift</v>
      </c>
      <c r="BJ1002" s="48" t="str">
        <f aca="false">IF(A1002="","",IF(BS1002=1,"Neu; ","")&amp;IF(AND(BS1002=0,BN1002&lt;0),"negativer Bestand (Export "&amp;BN1002&amp;"); ","")&amp;IF(J1002&lt;=0,"Kein Verbrauch; ","")&amp;IF(CL1002&gt;0,"Lift "&amp;W1002&amp;" lt. Liftbericht (Fach "&amp;X1002&amp;" Stk); ",IF(BX1002=1,"Gebinde geschätzt ("&amp;T1002&amp;"); ",IF(BW1002=1,"Lose – Tablare geschätzt; ","")))&amp;IF(H1002&gt;AT1002,"Überbestand "&amp;ROUND(H1002-AT1002,0)&amp;" Stk / CHF "&amp;ROUND((H1002-AT1002)*G1002,0)&amp;"; ","")&amp;IF(AND(CE1002=1,CF1002&lt;CG1002),"MAX &lt; MB+LG; ","")&amp;IF(AND(CK1002&gt;0,CJ1002*10&gt;CK1002),"zu hoch für Tablar; ","")&amp;IF(AND(BS1002=0,OR(CE1002=1,AA1002&lt;&gt;"",U1002&lt;&gt;"",V1002&lt;&gt;"",AB1002&lt;&gt;"")),"manuell übersteuert; ","")&amp;IF(AND(BW1002=0,R1002=0),"Gebinde unbekannt / Stellmass fehlt; ","")&amp;IF(AND(BW1002=0,N(V1002)&lt;=0,N(Q1002)&lt;=0),"Menge pro Gebinde fehlt (Ist = 1 Gebinde); ","")&amp;BR1002)</f>
        <v>negativer Bestand (Export -6); Gebinde geschätzt (Mittel); Menge pro Gebinde fehlt (Ist = 1 Gebinde); </v>
      </c>
      <c r="BK1002" s="48"/>
      <c r="BL1002" s="48"/>
      <c r="BM1002" s="55"/>
      <c r="BN1002" s="50" t="n">
        <v>-6</v>
      </c>
      <c r="BO1002" s="50" t="n">
        <v>16</v>
      </c>
      <c r="BP1002" s="49" t="n">
        <v>-98.5000000000001</v>
      </c>
      <c r="BQ1002" s="50" t="n">
        <v>24</v>
      </c>
      <c r="BR1002" s="48"/>
      <c r="BS1002" s="53" t="n">
        <v>0</v>
      </c>
      <c r="BT1002" s="53" t="n">
        <v>1002</v>
      </c>
      <c r="BU1002" s="48" t="str">
        <f aca="false">IF(U1002&lt;&gt;"",UPPER(TRIM(U1002)),IF(BX1002=1,UPPER(VLOOKUP(T1002,Parameter!$I$27:$K$29,2,0)),IF(P1002="","LOSE",P1002)))</f>
        <v>S61</v>
      </c>
      <c r="BV1002" s="50" t="n">
        <f aca="false">IF(BU1002="LOSE",1,IF(N(V1002)&gt;0,V1002,IF(BX1002=1,MAX(1,N(VLOOKUP(T1002,Parameter!$I$27:$K$29,3,0)),H1002,N(N1002)),IF(N(Q1002)&gt;0,Q1002,MAX(1,H1002)))))</f>
        <v>10</v>
      </c>
      <c r="BW1002" s="53" t="n">
        <f aca="false">IF(BU1002="LOSE",1,0)</f>
        <v>0</v>
      </c>
      <c r="BX1002" s="53" t="n">
        <f aca="false">IF(AND(U1002="",OR(P1002="",P1002="LOSE"),T1002&lt;&gt;"",N(S1002)&lt;=0,ISNUMBER(MATCH(T1002,Parameter!$I$27:$I$29,0))),1,0)</f>
        <v>1</v>
      </c>
      <c r="BY1002" s="53" t="n">
        <f aca="false">IF(CL1002&gt;0,INDEX(Parameter!$H$5:$H$7,W1002)/INDEX(Parameter!$E$5:$E$7,W1002),IF(AND(BW1002=0,N(IFERROR(VLOOKUP(BU1002,'Gebinde-Kategorie'!$A$5:$N$45,14,0),0))&gt;0),VLOOKUP(BU1002,'Gebinde-Kategorie'!$A$5:$N$45,14,0)*10+Parameter!$M$23,Parameter!$M$24))</f>
        <v>145</v>
      </c>
      <c r="BZ1002" s="48" t="str">
        <f aca="false">IF(AND(Parameter!$B$19="Ja",E1002&lt;&gt;"",ISNUMBER(MATCH(E1002,Parameter!$I$35:$I$52,0))),VLOOKUP(E1002,Parameter!$I$35:$J$52,2,0),IFERROR(VLOOKUP(D1002,Parameter!$A$35:$C$64,2,0),"Nein"))</f>
        <v>Nein</v>
      </c>
      <c r="CA1002" s="52" t="n">
        <f aca="false">IF(BW1002=0,0,IF(N(S1002)&gt;0,S1002,IFERROR(VLOOKUP(D1002,Parameter!$A$35:$C$64,3,0)+0,0)))</f>
        <v>0</v>
      </c>
      <c r="CB1002" s="48" t="str">
        <f aca="false">IF(AA1002&lt;&gt;"",AA1002,Z1002)</f>
        <v>-</v>
      </c>
      <c r="CC1002" s="48" t="str">
        <f aca="false">IF(OR(CB1002=1,CB1002=2,CB1002=3),IF(Parameter!$E$27="Ja","LIFT",IF(CB1002=1,"L1","L23")),IF(CB1002="Aussen","Aussen","-"))</f>
        <v>-</v>
      </c>
      <c r="CD1002" s="59" t="n">
        <f aca="false">IF(N(AB1002)&gt;0,AB1002,0)</f>
        <v>0</v>
      </c>
      <c r="CE1002" s="53" t="n">
        <f aca="false">IF(ISNUMBER(AE1002),1,0)</f>
        <v>0</v>
      </c>
      <c r="CF1002" s="50" t="n">
        <f aca="false">N(AE1002)</f>
        <v>0</v>
      </c>
      <c r="CG1002" s="50" t="n">
        <f aca="false">N(M1002)+N(N1002)</f>
        <v>11</v>
      </c>
      <c r="CH1002" s="50" t="n">
        <f aca="false">ROUNDUP(H1002/BV1002,0)</f>
        <v>1</v>
      </c>
      <c r="CI1002" s="50" t="n">
        <f aca="false">ROUNDUP(CF1002/BV1002,0)</f>
        <v>0</v>
      </c>
      <c r="CJ1002" s="53" t="n">
        <f aca="false">IF(BW1002=1,0,IFERROR(VLOOKUP(BU1002,'Gebinde-Kategorie'!$A$5:$N$45,5,0)+0,0))</f>
        <v>11</v>
      </c>
      <c r="CK1002" s="53" t="n">
        <f aca="false">IFERROR(IF(OR(CB1002=1,CB1002=2,CB1002=3),N(INDEX(Parameter!$I$5:$I$7,CB1002)),0),0)</f>
        <v>0</v>
      </c>
      <c r="CL1002" s="52" t="n">
        <f aca="false">IF(AND(Parameter!$B$21="Ja",ISNUMBER(W1002),N(X1002)&gt;0),IFERROR(N(INDEX(Parameter!$L$5:$L$7,W1002))*INDEX(Parameter!$E$5:$E$7,W1002)*X1002/SUMIFS($X$7:$X$1843,$W$7:$W$1843,W1002),0),0)</f>
        <v>0</v>
      </c>
    </row>
    <row r="1003" customFormat="false" ht="15" hidden="false" customHeight="false" outlineLevel="0" collapsed="false">
      <c r="A1003" s="48" t="s">
        <v>1853</v>
      </c>
      <c r="B1003" s="48" t="s">
        <v>1854</v>
      </c>
      <c r="C1003" s="48" t="s">
        <v>168</v>
      </c>
      <c r="D1003" s="48" t="s">
        <v>177</v>
      </c>
      <c r="E1003" s="48"/>
      <c r="F1003" s="48" t="s">
        <v>222</v>
      </c>
      <c r="G1003" s="49" t="n">
        <v>99.06</v>
      </c>
      <c r="H1003" s="50" t="n">
        <f aca="false">MAX(0,IF(AND(Parameter!$B$21="Ja",ISNUMBER(Y1003)),Y1003,IF(Parameter!$B$20="Jahresanfang 2025 + Export",BO1003+BN1003,BN1003)))</f>
        <v>1</v>
      </c>
      <c r="I1003" s="50" t="n">
        <f aca="false">H1003*G1003</f>
        <v>99.06</v>
      </c>
      <c r="J1003" s="50" t="n">
        <f aca="false">BQ1003*Parameter!$B$18</f>
        <v>0</v>
      </c>
      <c r="K1003" s="51" t="n">
        <v>1.5</v>
      </c>
      <c r="L1003" s="52" t="n">
        <v>0</v>
      </c>
      <c r="M1003" s="50" t="n">
        <v>0</v>
      </c>
      <c r="N1003" s="50" t="n">
        <v>1</v>
      </c>
      <c r="O1003" s="53" t="n">
        <v>28</v>
      </c>
      <c r="P1003" s="48" t="s">
        <v>172</v>
      </c>
      <c r="Q1003" s="50"/>
      <c r="R1003" s="53" t="n">
        <f aca="false">IF(BW1003=1,0,IFERROR(VLOOKUP(BU1003,'Gebinde-Kategorie'!$A$5:$N$45,13,0)+0,0))</f>
        <v>12</v>
      </c>
      <c r="S1003" s="54"/>
      <c r="T1003" s="55" t="s">
        <v>183</v>
      </c>
      <c r="U1003" s="55"/>
      <c r="V1003" s="55"/>
      <c r="W1003" s="48"/>
      <c r="X1003" s="50"/>
      <c r="Y1003" s="50"/>
      <c r="Z1003" s="48" t="n">
        <f aca="false">IF(A1003="","",IF(AND(Parameter!$B$21="Ja",ISNUMBER(W1003)),W1003,IF(BZ1003="2+3",IF(ISNUMBER(SEARCH("grosser Artikel",BR1003)),2,IFERROR(VLOOKUP(BU1003,Parameter!$F$35:$G$64,2,0),2)),IF(OR(BZ1003="Nein",BZ1003=""),"-",BZ1003))))</f>
        <v>2</v>
      </c>
      <c r="AA1003" s="55"/>
      <c r="AB1003" s="56"/>
      <c r="AC1003" s="50" t="n">
        <f aca="false">AT1003</f>
        <v>4</v>
      </c>
      <c r="AD1003" s="50" t="n">
        <f aca="false">MAX(AT1003,H1003)</f>
        <v>4</v>
      </c>
      <c r="AE1003" s="57"/>
      <c r="AF1003" s="50" t="n">
        <f aca="false">IF(LEFT(Cockpit!$C$5,1)="A",H1003,IF(CE1003=1,CF1003,IF(LEFT(Cockpit!$C$5,1)="B",AK1003,MAX(AK1003,H1003))))</f>
        <v>1</v>
      </c>
      <c r="AG1003" s="50" t="n">
        <f aca="false">IF(BW1003=1,0,ROUNDUP(AF1003/BV1003,0))</f>
        <v>1</v>
      </c>
      <c r="AH1003" s="52" t="n">
        <f aca="false">IF(CL1003&gt;0,CL1003*MAX(1,AF1003/X1003),IF(BW1003=1,IF(AF1003&lt;=0,0,CA1003*MAX(1,IF(H1003&gt;0,AF1003/H1003,1))),IF(R1003&gt;0,AG1003/R1003,0))/MAX(0.1,N(Parameter!$M$21)))</f>
        <v>0.0833333333333333</v>
      </c>
      <c r="AI1003" s="50" t="n">
        <f aca="false">AH1003*BY1003</f>
        <v>12.0833333333333</v>
      </c>
      <c r="AJ1003" s="50" t="n">
        <f aca="false">AF1003*G1003</f>
        <v>99.06</v>
      </c>
      <c r="AK1003" s="50" t="n">
        <f aca="false">ROUNDUP(MAX(J1003/IF(CD1003&gt;0,CD1003,MAX(0.1,N(Cockpit!$C$6))),CG1003)/BV1003,0)*BV1003</f>
        <v>4</v>
      </c>
      <c r="AL1003" s="51" t="n">
        <f aca="false">IF(AI1003&gt;0,J1003/AI1003,-1)</f>
        <v>0</v>
      </c>
      <c r="AM1003" s="51" t="n">
        <f aca="false">IF(AND(OR(CC1003="L1",CC1003="L23",CC1003="LIFT"),AI1003&gt;0),SUMIFS($AI$7:$AI$1843,$CC$7:$CC$1843,CC1003,$AL$7:$AL$1843,"&gt;"&amp;AL1003)+SUMIFS($AI$7:$AI$1843,$CC$7:$CC$1843,CC1003,$AL$7:$AL$1843,AL1003,$BT$7:$BT$1843,"&lt;="&amp;BT1003),"")</f>
        <v>28953.1146370108</v>
      </c>
      <c r="AN1003" s="58" t="n">
        <f aca="false">IF(AM1003="",0,MAX(0,MIN(1,(IF(CC1003="L1",Parameter!$H$5,IF(CC1003="L23",Parameter!$H$6+Parameter!$H$7,Parameter!$H$5+Parameter!$H$6+Parameter!$H$7))-(AM1003-AI1003))/AI1003)))</f>
        <v>1</v>
      </c>
      <c r="AO1003" s="50" t="n">
        <f aca="false">IF(LEFT(Cockpit!$I$5,1)="A",H1003,IF(CE1003=1,CF1003,IF(LEFT(Cockpit!$I$5,1)="B",AT1003,MAX(AT1003,H1003))))</f>
        <v>4</v>
      </c>
      <c r="AP1003" s="50" t="n">
        <f aca="false">IF(BW1003=1,0,ROUNDUP(AO1003/BV1003,0))</f>
        <v>1</v>
      </c>
      <c r="AQ1003" s="52" t="n">
        <f aca="false">IF(CL1003&gt;0,CL1003*MAX(1,AO1003/X1003),IF(BW1003=1,IF(AO1003&lt;=0,0,CA1003*MAX(1,IF(H1003&gt;0,AO1003/H1003,1))),IF(R1003&gt;0,AP1003/R1003,0))/MAX(0.1,N(Parameter!$M$21)))</f>
        <v>0.0833333333333333</v>
      </c>
      <c r="AR1003" s="50" t="n">
        <f aca="false">AQ1003*BY1003</f>
        <v>12.0833333333333</v>
      </c>
      <c r="AS1003" s="50" t="n">
        <f aca="false">AO1003*G1003</f>
        <v>396.24</v>
      </c>
      <c r="AT1003" s="50" t="n">
        <f aca="false">ROUNDUP(MAX(J1003/IF(CD1003&gt;0,CD1003,MAX(0.1,N(Cockpit!$I$6))),CG1003)/BV1003,0)*BV1003</f>
        <v>4</v>
      </c>
      <c r="AU1003" s="51" t="n">
        <f aca="false">IF(AR1003&gt;0,J1003/AR1003,-1)</f>
        <v>0</v>
      </c>
      <c r="AV1003" s="51" t="n">
        <f aca="false">IF(AND(OR(CC1003="L1",CC1003="L23",CC1003="LIFT"),AR1003&gt;0),SUMIFS($AR$7:$AR$1843,$CC$7:$CC$1843,CC1003,$AU$7:$AU$1843,"&gt;"&amp;AU1003)+SUMIFS($AR$7:$AR$1843,$CC$7:$CC$1843,CC1003,$AU$7:$AU$1843,AU1003,$BT$7:$BT$1843,"&lt;="&amp;BT1003),"")</f>
        <v>40608.1849894456</v>
      </c>
      <c r="AW1003" s="58" t="n">
        <f aca="false">IF(AV1003="",0,MAX(0,MIN(1,(IF(CC1003="L1",Parameter!$H$5,IF(CC1003="L23",Parameter!$H$6+Parameter!$H$7,Parameter!$H$5+Parameter!$H$6+Parameter!$H$7))-(AV1003-AR1003))/AR1003)))</f>
        <v>0</v>
      </c>
      <c r="AX1003" s="50" t="n">
        <f aca="false">IF(LEFT(Cockpit!$O$5,1)="A",H1003,IF(CE1003=1,CF1003,IF(LEFT(Cockpit!$O$5,1)="B",BC1003,MAX(BC1003,H1003))))</f>
        <v>4</v>
      </c>
      <c r="AY1003" s="50" t="n">
        <f aca="false">IF(BW1003=1,0,ROUNDUP(AX1003/BV1003,0))</f>
        <v>1</v>
      </c>
      <c r="AZ1003" s="52" t="n">
        <f aca="false">IF(CL1003&gt;0,CL1003*MAX(1,AX1003/X1003),IF(BW1003=1,IF(AX1003&lt;=0,0,CA1003*MAX(1,IF(H1003&gt;0,AX1003/H1003,1))),IF(R1003&gt;0,AY1003/R1003,0))/MAX(0.1,N(Parameter!$M$21)))</f>
        <v>0.0833333333333333</v>
      </c>
      <c r="BA1003" s="50" t="n">
        <f aca="false">AZ1003*BY1003</f>
        <v>12.0833333333333</v>
      </c>
      <c r="BB1003" s="50" t="n">
        <f aca="false">AX1003*G1003</f>
        <v>396.24</v>
      </c>
      <c r="BC1003" s="50" t="n">
        <f aca="false">ROUNDUP(MAX(J1003/IF(CD1003&gt;0,CD1003,MAX(0.1,N(Cockpit!$O$6))),CG1003)/BV1003,0)*BV1003</f>
        <v>4</v>
      </c>
      <c r="BD1003" s="51" t="n">
        <f aca="false">IF(BA1003&gt;0,J1003/BA1003,-1)</f>
        <v>0</v>
      </c>
      <c r="BE1003" s="51" t="n">
        <f aca="false">IF(AND(OR(CC1003="L1",CC1003="L23",CC1003="LIFT"),BA1003&gt;0),SUMIFS($BA$7:$BA$1843,$CC$7:$CC$1843,CC1003,$BD$7:$BD$1843,"&gt;"&amp;BD1003)+SUMIFS($BA$7:$BA$1843,$CC$7:$CC$1843,CC1003,$BD$7:$BD$1843,BD1003,$BT$7:$BT$1843,"&lt;="&amp;BT1003),"")</f>
        <v>37283.1970313114</v>
      </c>
      <c r="BF1003" s="58" t="n">
        <f aca="false">IF(BE1003="",0,MAX(0,MIN(1,(IF(CC1003="L1",Parameter!$H$5,IF(CC1003="L23",Parameter!$H$6+Parameter!$H$7,Parameter!$H$5+Parameter!$H$6+Parameter!$H$7))-(BE1003-BA1003))/BA1003)))</f>
        <v>0</v>
      </c>
      <c r="BG1003" s="48" t="str">
        <f aca="false">IF(AI1003&lt;=0,"",IF(CC1003="Aussen","Aussenlager",IF(CC1003="-","Nicht im Lift",IF(AN1003&gt;=1,"Lift",IF(AN1003&lt;=0,"Aussenlager","teilweise")))))</f>
        <v>Lift</v>
      </c>
      <c r="BH1003" s="48" t="str">
        <f aca="false">IF(AR1003&lt;=0,"",IF(CC1003="Aussen","Aussenlager",IF(CC1003="-","Nicht im Lift",IF(AW1003&gt;=1,"Lift",IF(AW1003&lt;=0,"Aussenlager","teilweise")))))</f>
        <v>Aussenlager</v>
      </c>
      <c r="BI1003" s="48" t="str">
        <f aca="false">IF(BA1003&lt;=0,"",IF(CC1003="Aussen","Aussenlager",IF(CC1003="-","Nicht im Lift",IF(BF1003&gt;=1,"Lift",IF(BF1003&lt;=0,"Aussenlager","teilweise")))))</f>
        <v>Aussenlager</v>
      </c>
      <c r="BJ1003" s="48" t="str">
        <f aca="false">IF(A1003="","",IF(BS1003=1,"Neu; ","")&amp;IF(AND(BS1003=0,BN1003&lt;0),"negativer Bestand (Export "&amp;BN1003&amp;"); ","")&amp;IF(J1003&lt;=0,"Kein Verbrauch; ","")&amp;IF(CL1003&gt;0,"Lift "&amp;W1003&amp;" lt. Liftbericht (Fach "&amp;X1003&amp;" Stk); ",IF(BX1003=1,"Gebinde geschätzt ("&amp;T1003&amp;"); ",IF(BW1003=1,"Lose – Tablare geschätzt; ","")))&amp;IF(H1003&gt;AT1003,"Überbestand "&amp;ROUND(H1003-AT1003,0)&amp;" Stk / CHF "&amp;ROUND((H1003-AT1003)*G1003,0)&amp;"; ","")&amp;IF(AND(CE1003=1,CF1003&lt;CG1003),"MAX &lt; MB+LG; ","")&amp;IF(AND(CK1003&gt;0,CJ1003*10&gt;CK1003),"zu hoch für Tablar; ","")&amp;IF(AND(BS1003=0,OR(CE1003=1,AA1003&lt;&gt;"",U1003&lt;&gt;"",V1003&lt;&gt;"",AB1003&lt;&gt;"")),"manuell übersteuert; ","")&amp;IF(AND(BW1003=0,R1003=0),"Gebinde unbekannt / Stellmass fehlt; ","")&amp;IF(AND(BW1003=0,N(V1003)&lt;=0,N(Q1003)&lt;=0),"Menge pro Gebinde fehlt (Ist = 1 Gebinde); ","")&amp;BR1003)</f>
        <v>negativer Bestand (Export -1); Kein Verbrauch; Gebinde geschätzt (Mittel); Menge pro Gebinde fehlt (Ist = 1 Gebinde); </v>
      </c>
      <c r="BK1003" s="48"/>
      <c r="BL1003" s="48"/>
      <c r="BM1003" s="55"/>
      <c r="BN1003" s="50" t="n">
        <v>-1</v>
      </c>
      <c r="BO1003" s="50" t="n">
        <v>2</v>
      </c>
      <c r="BP1003" s="49" t="n">
        <v>-99.06</v>
      </c>
      <c r="BQ1003" s="50" t="n">
        <v>0</v>
      </c>
      <c r="BR1003" s="48"/>
      <c r="BS1003" s="53" t="n">
        <v>0</v>
      </c>
      <c r="BT1003" s="53" t="n">
        <v>1003</v>
      </c>
      <c r="BU1003" s="48" t="str">
        <f aca="false">IF(U1003&lt;&gt;"",UPPER(TRIM(U1003)),IF(BX1003=1,UPPER(VLOOKUP(T1003,Parameter!$I$27:$K$29,2,0)),IF(P1003="","LOSE",P1003)))</f>
        <v>S61</v>
      </c>
      <c r="BV1003" s="50" t="n">
        <f aca="false">IF(BU1003="LOSE",1,IF(N(V1003)&gt;0,V1003,IF(BX1003=1,MAX(1,N(VLOOKUP(T1003,Parameter!$I$27:$K$29,3,0)),H1003,N(N1003)),IF(N(Q1003)&gt;0,Q1003,MAX(1,H1003)))))</f>
        <v>4</v>
      </c>
      <c r="BW1003" s="53" t="n">
        <f aca="false">IF(BU1003="LOSE",1,0)</f>
        <v>0</v>
      </c>
      <c r="BX1003" s="53" t="n">
        <f aca="false">IF(AND(U1003="",OR(P1003="",P1003="LOSE"),T1003&lt;&gt;"",N(S1003)&lt;=0,ISNUMBER(MATCH(T1003,Parameter!$I$27:$I$29,0))),1,0)</f>
        <v>1</v>
      </c>
      <c r="BY1003" s="53" t="n">
        <f aca="false">IF(CL1003&gt;0,INDEX(Parameter!$H$5:$H$7,W1003)/INDEX(Parameter!$E$5:$E$7,W1003),IF(AND(BW1003=0,N(IFERROR(VLOOKUP(BU1003,'Gebinde-Kategorie'!$A$5:$N$45,14,0),0))&gt;0),VLOOKUP(BU1003,'Gebinde-Kategorie'!$A$5:$N$45,14,0)*10+Parameter!$M$23,Parameter!$M$24))</f>
        <v>145</v>
      </c>
      <c r="BZ1003" s="48" t="str">
        <f aca="false">IF(AND(Parameter!$B$19="Ja",E1003&lt;&gt;"",ISNUMBER(MATCH(E1003,Parameter!$I$35:$I$52,0))),VLOOKUP(E1003,Parameter!$I$35:$J$52,2,0),IFERROR(VLOOKUP(D1003,Parameter!$A$35:$C$64,2,0),"Nein"))</f>
        <v>2+3</v>
      </c>
      <c r="CA1003" s="52" t="n">
        <f aca="false">IF(BW1003=0,0,IF(N(S1003)&gt;0,S1003,IFERROR(VLOOKUP(D1003,Parameter!$A$35:$C$64,3,0)+0,0)))</f>
        <v>0</v>
      </c>
      <c r="CB1003" s="48" t="n">
        <f aca="false">IF(AA1003&lt;&gt;"",AA1003,Z1003)</f>
        <v>2</v>
      </c>
      <c r="CC1003" s="48" t="str">
        <f aca="false">IF(OR(CB1003=1,CB1003=2,CB1003=3),IF(Parameter!$E$27="Ja","LIFT",IF(CB1003=1,"L1","L23")),IF(CB1003="Aussen","Aussen","-"))</f>
        <v>LIFT</v>
      </c>
      <c r="CD1003" s="59" t="n">
        <f aca="false">IF(N(AB1003)&gt;0,AB1003,0)</f>
        <v>0</v>
      </c>
      <c r="CE1003" s="53" t="n">
        <f aca="false">IF(ISNUMBER(AE1003),1,0)</f>
        <v>0</v>
      </c>
      <c r="CF1003" s="50" t="n">
        <f aca="false">N(AE1003)</f>
        <v>0</v>
      </c>
      <c r="CG1003" s="50" t="n">
        <f aca="false">N(M1003)+N(N1003)</f>
        <v>1</v>
      </c>
      <c r="CH1003" s="50" t="n">
        <f aca="false">ROUNDUP(H1003/BV1003,0)</f>
        <v>1</v>
      </c>
      <c r="CI1003" s="50" t="n">
        <f aca="false">ROUNDUP(CF1003/BV1003,0)</f>
        <v>0</v>
      </c>
      <c r="CJ1003" s="53" t="n">
        <f aca="false">IF(BW1003=1,0,IFERROR(VLOOKUP(BU1003,'Gebinde-Kategorie'!$A$5:$N$45,5,0)+0,0))</f>
        <v>11</v>
      </c>
      <c r="CK1003" s="53" t="n">
        <f aca="false">IFERROR(IF(OR(CB1003=1,CB1003=2,CB1003=3),N(INDEX(Parameter!$I$5:$I$7,CB1003)),0),0)</f>
        <v>0</v>
      </c>
      <c r="CL1003" s="52" t="n">
        <f aca="false">IF(AND(Parameter!$B$21="Ja",ISNUMBER(W1003),N(X1003)&gt;0),IFERROR(N(INDEX(Parameter!$L$5:$L$7,W1003))*INDEX(Parameter!$E$5:$E$7,W1003)*X1003/SUMIFS($X$7:$X$1843,$W$7:$W$1843,W1003),0),0)</f>
        <v>0</v>
      </c>
    </row>
    <row r="1004" customFormat="false" ht="15" hidden="false" customHeight="false" outlineLevel="0" collapsed="false">
      <c r="A1004" s="48" t="s">
        <v>1855</v>
      </c>
      <c r="B1004" s="48" t="s">
        <v>1856</v>
      </c>
      <c r="C1004" s="48" t="s">
        <v>460</v>
      </c>
      <c r="D1004" s="48" t="s">
        <v>177</v>
      </c>
      <c r="E1004" s="48"/>
      <c r="F1004" s="48" t="s">
        <v>222</v>
      </c>
      <c r="G1004" s="49" t="n">
        <v>12.5</v>
      </c>
      <c r="H1004" s="50" t="n">
        <f aca="false">MAX(0,IF(AND(Parameter!$B$21="Ja",ISNUMBER(Y1004)),Y1004,IF(Parameter!$B$20="Jahresanfang 2025 + Export",BO1004+BN1004,BN1004)))</f>
        <v>8</v>
      </c>
      <c r="I1004" s="50" t="n">
        <f aca="false">H1004*G1004</f>
        <v>100</v>
      </c>
      <c r="J1004" s="50" t="n">
        <f aca="false">BQ1004*Parameter!$B$18</f>
        <v>8</v>
      </c>
      <c r="K1004" s="51" t="n">
        <v>8</v>
      </c>
      <c r="L1004" s="52" t="n">
        <v>1</v>
      </c>
      <c r="M1004" s="50" t="n">
        <v>0</v>
      </c>
      <c r="N1004" s="50" t="n">
        <v>10</v>
      </c>
      <c r="O1004" s="53" t="n">
        <v>28</v>
      </c>
      <c r="P1004" s="48" t="s">
        <v>172</v>
      </c>
      <c r="Q1004" s="50"/>
      <c r="R1004" s="53" t="n">
        <f aca="false">IF(BW1004=1,0,IFERROR(VLOOKUP(BU1004,'Gebinde-Kategorie'!$A$5:$N$45,13,0)+0,0))</f>
        <v>12</v>
      </c>
      <c r="S1004" s="54"/>
      <c r="T1004" s="55" t="s">
        <v>183</v>
      </c>
      <c r="U1004" s="55"/>
      <c r="V1004" s="55"/>
      <c r="W1004" s="48"/>
      <c r="X1004" s="50"/>
      <c r="Y1004" s="50"/>
      <c r="Z1004" s="48" t="n">
        <f aca="false">IF(A1004="","",IF(AND(Parameter!$B$21="Ja",ISNUMBER(W1004)),W1004,IF(BZ1004="2+3",IF(ISNUMBER(SEARCH("grosser Artikel",BR1004)),2,IFERROR(VLOOKUP(BU1004,Parameter!$F$35:$G$64,2,0),2)),IF(OR(BZ1004="Nein",BZ1004=""),"-",BZ1004))))</f>
        <v>2</v>
      </c>
      <c r="AA1004" s="55"/>
      <c r="AB1004" s="56"/>
      <c r="AC1004" s="50" t="n">
        <f aca="false">AT1004</f>
        <v>10</v>
      </c>
      <c r="AD1004" s="50" t="n">
        <f aca="false">MAX(AT1004,H1004)</f>
        <v>10</v>
      </c>
      <c r="AE1004" s="57"/>
      <c r="AF1004" s="50" t="n">
        <f aca="false">IF(LEFT(Cockpit!$C$5,1)="A",H1004,IF(CE1004=1,CF1004,IF(LEFT(Cockpit!$C$5,1)="B",AK1004,MAX(AK1004,H1004))))</f>
        <v>8</v>
      </c>
      <c r="AG1004" s="50" t="n">
        <f aca="false">IF(BW1004=1,0,ROUNDUP(AF1004/BV1004,0))</f>
        <v>1</v>
      </c>
      <c r="AH1004" s="52" t="n">
        <f aca="false">IF(CL1004&gt;0,CL1004*MAX(1,AF1004/X1004),IF(BW1004=1,IF(AF1004&lt;=0,0,CA1004*MAX(1,IF(H1004&gt;0,AF1004/H1004,1))),IF(R1004&gt;0,AG1004/R1004,0))/MAX(0.1,N(Parameter!$M$21)))</f>
        <v>0.0833333333333333</v>
      </c>
      <c r="AI1004" s="50" t="n">
        <f aca="false">AH1004*BY1004</f>
        <v>12.0833333333333</v>
      </c>
      <c r="AJ1004" s="50" t="n">
        <f aca="false">AF1004*G1004</f>
        <v>100</v>
      </c>
      <c r="AK1004" s="50" t="n">
        <f aca="false">ROUNDUP(MAX(J1004/IF(CD1004&gt;0,CD1004,MAX(0.1,N(Cockpit!$C$6))),CG1004)/BV1004,0)*BV1004</f>
        <v>10</v>
      </c>
      <c r="AL1004" s="51" t="n">
        <f aca="false">IF(AI1004&gt;0,J1004/AI1004,-1)</f>
        <v>0.662068965517242</v>
      </c>
      <c r="AM1004" s="51" t="n">
        <f aca="false">IF(AND(OR(CC1004="L1",CC1004="L23",CC1004="LIFT"),AI1004&gt;0),SUMIFS($AI$7:$AI$1843,$CC$7:$CC$1843,CC1004,$AL$7:$AL$1843,"&gt;"&amp;AL1004)+SUMIFS($AI$7:$AI$1843,$CC$7:$CC$1843,CC1004,$AL$7:$AL$1843,AL1004,$BT$7:$BT$1843,"&lt;="&amp;BT1004),"")</f>
        <v>8704.6217948718</v>
      </c>
      <c r="AN1004" s="58" t="n">
        <f aca="false">IF(AM1004="",0,MAX(0,MIN(1,(IF(CC1004="L1",Parameter!$H$5,IF(CC1004="L23",Parameter!$H$6+Parameter!$H$7,Parameter!$H$5+Parameter!$H$6+Parameter!$H$7))-(AM1004-AI1004))/AI1004)))</f>
        <v>1</v>
      </c>
      <c r="AO1004" s="50" t="n">
        <f aca="false">IF(LEFT(Cockpit!$I$5,1)="A",H1004,IF(CE1004=1,CF1004,IF(LEFT(Cockpit!$I$5,1)="B",AT1004,MAX(AT1004,H1004))))</f>
        <v>10</v>
      </c>
      <c r="AP1004" s="50" t="n">
        <f aca="false">IF(BW1004=1,0,ROUNDUP(AO1004/BV1004,0))</f>
        <v>1</v>
      </c>
      <c r="AQ1004" s="52" t="n">
        <f aca="false">IF(CL1004&gt;0,CL1004*MAX(1,AO1004/X1004),IF(BW1004=1,IF(AO1004&lt;=0,0,CA1004*MAX(1,IF(H1004&gt;0,AO1004/H1004,1))),IF(R1004&gt;0,AP1004/R1004,0))/MAX(0.1,N(Parameter!$M$21)))</f>
        <v>0.0833333333333333</v>
      </c>
      <c r="AR1004" s="50" t="n">
        <f aca="false">AQ1004*BY1004</f>
        <v>12.0833333333333</v>
      </c>
      <c r="AS1004" s="50" t="n">
        <f aca="false">AO1004*G1004</f>
        <v>125</v>
      </c>
      <c r="AT1004" s="50" t="n">
        <f aca="false">ROUNDUP(MAX(J1004/IF(CD1004&gt;0,CD1004,MAX(0.1,N(Cockpit!$I$6))),CG1004)/BV1004,0)*BV1004</f>
        <v>10</v>
      </c>
      <c r="AU1004" s="51" t="n">
        <f aca="false">IF(AR1004&gt;0,J1004/AR1004,-1)</f>
        <v>0.662068965517242</v>
      </c>
      <c r="AV1004" s="51" t="n">
        <f aca="false">IF(AND(OR(CC1004="L1",CC1004="L23",CC1004="LIFT"),AR1004&gt;0),SUMIFS($AR$7:$AR$1843,$CC$7:$CC$1843,CC1004,$AU$7:$AU$1843,"&gt;"&amp;AU1004)+SUMIFS($AR$7:$AR$1843,$CC$7:$CC$1843,CC1004,$AU$7:$AU$1843,AU1004,$BT$7:$BT$1843,"&lt;="&amp;BT1004),"")</f>
        <v>11913.1222527473</v>
      </c>
      <c r="AW1004" s="58" t="n">
        <f aca="false">IF(AV1004="",0,MAX(0,MIN(1,(IF(CC1004="L1",Parameter!$H$5,IF(CC1004="L23",Parameter!$H$6+Parameter!$H$7,Parameter!$H$5+Parameter!$H$6+Parameter!$H$7))-(AV1004-AR1004))/AR1004)))</f>
        <v>1</v>
      </c>
      <c r="AX1004" s="50" t="n">
        <f aca="false">IF(LEFT(Cockpit!$O$5,1)="A",H1004,IF(CE1004=1,CF1004,IF(LEFT(Cockpit!$O$5,1)="B",BC1004,MAX(BC1004,H1004))))</f>
        <v>10</v>
      </c>
      <c r="AY1004" s="50" t="n">
        <f aca="false">IF(BW1004=1,0,ROUNDUP(AX1004/BV1004,0))</f>
        <v>1</v>
      </c>
      <c r="AZ1004" s="52" t="n">
        <f aca="false">IF(CL1004&gt;0,CL1004*MAX(1,AX1004/X1004),IF(BW1004=1,IF(AX1004&lt;=0,0,CA1004*MAX(1,IF(H1004&gt;0,AX1004/H1004,1))),IF(R1004&gt;0,AY1004/R1004,0))/MAX(0.1,N(Parameter!$M$21)))</f>
        <v>0.0833333333333333</v>
      </c>
      <c r="BA1004" s="50" t="n">
        <f aca="false">AZ1004*BY1004</f>
        <v>12.0833333333333</v>
      </c>
      <c r="BB1004" s="50" t="n">
        <f aca="false">AX1004*G1004</f>
        <v>125</v>
      </c>
      <c r="BC1004" s="50" t="n">
        <f aca="false">ROUNDUP(MAX(J1004/IF(CD1004&gt;0,CD1004,MAX(0.1,N(Cockpit!$O$6))),CG1004)/BV1004,0)*BV1004</f>
        <v>10</v>
      </c>
      <c r="BD1004" s="51" t="n">
        <f aca="false">IF(BA1004&gt;0,J1004/BA1004,-1)</f>
        <v>0.662068965517242</v>
      </c>
      <c r="BE1004" s="51" t="n">
        <f aca="false">IF(AND(OR(CC1004="L1",CC1004="L23",CC1004="LIFT"),BA1004&gt;0),SUMIFS($BA$7:$BA$1843,$CC$7:$CC$1843,CC1004,$BD$7:$BD$1843,"&gt;"&amp;BD1004)+SUMIFS($BA$7:$BA$1843,$CC$7:$CC$1843,CC1004,$BD$7:$BD$1843,BD1004,$BT$7:$BT$1843,"&lt;="&amp;BT1004),"")</f>
        <v>11452.5293040293</v>
      </c>
      <c r="BF1004" s="58" t="n">
        <f aca="false">IF(BE1004="",0,MAX(0,MIN(1,(IF(CC1004="L1",Parameter!$H$5,IF(CC1004="L23",Parameter!$H$6+Parameter!$H$7,Parameter!$H$5+Parameter!$H$6+Parameter!$H$7))-(BE1004-BA1004))/BA1004)))</f>
        <v>1</v>
      </c>
      <c r="BG1004" s="48" t="str">
        <f aca="false">IF(AI1004&lt;=0,"",IF(CC1004="Aussen","Aussenlager",IF(CC1004="-","Nicht im Lift",IF(AN1004&gt;=1,"Lift",IF(AN1004&lt;=0,"Aussenlager","teilweise")))))</f>
        <v>Lift</v>
      </c>
      <c r="BH1004" s="48" t="str">
        <f aca="false">IF(AR1004&lt;=0,"",IF(CC1004="Aussen","Aussenlager",IF(CC1004="-","Nicht im Lift",IF(AW1004&gt;=1,"Lift",IF(AW1004&lt;=0,"Aussenlager","teilweise")))))</f>
        <v>Lift</v>
      </c>
      <c r="BI1004" s="48" t="str">
        <f aca="false">IF(BA1004&lt;=0,"",IF(CC1004="Aussen","Aussenlager",IF(CC1004="-","Nicht im Lift",IF(BF1004&gt;=1,"Lift",IF(BF1004&lt;=0,"Aussenlager","teilweise")))))</f>
        <v>Lift</v>
      </c>
      <c r="BJ1004" s="48" t="str">
        <f aca="false">IF(A1004="","",IF(BS1004=1,"Neu; ","")&amp;IF(AND(BS1004=0,BN1004&lt;0),"negativer Bestand (Export "&amp;BN1004&amp;"); ","")&amp;IF(J1004&lt;=0,"Kein Verbrauch; ","")&amp;IF(CL1004&gt;0,"Lift "&amp;W1004&amp;" lt. Liftbericht (Fach "&amp;X1004&amp;" Stk); ",IF(BX1004=1,"Gebinde geschätzt ("&amp;T1004&amp;"); ",IF(BW1004=1,"Lose – Tablare geschätzt; ","")))&amp;IF(H1004&gt;AT1004,"Überbestand "&amp;ROUND(H1004-AT1004,0)&amp;" Stk / CHF "&amp;ROUND((H1004-AT1004)*G1004,0)&amp;"; ","")&amp;IF(AND(CE1004=1,CF1004&lt;CG1004),"MAX &lt; MB+LG; ","")&amp;IF(AND(CK1004&gt;0,CJ1004*10&gt;CK1004),"zu hoch für Tablar; ","")&amp;IF(AND(BS1004=0,OR(CE1004=1,AA1004&lt;&gt;"",U1004&lt;&gt;"",V1004&lt;&gt;"",AB1004&lt;&gt;"")),"manuell übersteuert; ","")&amp;IF(AND(BW1004=0,R1004=0),"Gebinde unbekannt / Stellmass fehlt; ","")&amp;IF(AND(BW1004=0,N(V1004)&lt;=0,N(Q1004)&lt;=0),"Menge pro Gebinde fehlt (Ist = 1 Gebinde); ","")&amp;BR1004)</f>
        <v>negativer Bestand (Export -8); Gebinde geschätzt (Mittel); Menge pro Gebinde fehlt (Ist = 1 Gebinde); </v>
      </c>
      <c r="BK1004" s="48"/>
      <c r="BL1004" s="48"/>
      <c r="BM1004" s="55"/>
      <c r="BN1004" s="50" t="n">
        <v>-8</v>
      </c>
      <c r="BO1004" s="50" t="n">
        <v>16</v>
      </c>
      <c r="BP1004" s="49" t="n">
        <v>-100</v>
      </c>
      <c r="BQ1004" s="50" t="n">
        <v>8</v>
      </c>
      <c r="BR1004" s="48"/>
      <c r="BS1004" s="53" t="n">
        <v>0</v>
      </c>
      <c r="BT1004" s="53" t="n">
        <v>1004</v>
      </c>
      <c r="BU1004" s="48" t="str">
        <f aca="false">IF(U1004&lt;&gt;"",UPPER(TRIM(U1004)),IF(BX1004=1,UPPER(VLOOKUP(T1004,Parameter!$I$27:$K$29,2,0)),IF(P1004="","LOSE",P1004)))</f>
        <v>S61</v>
      </c>
      <c r="BV1004" s="50" t="n">
        <f aca="false">IF(BU1004="LOSE",1,IF(N(V1004)&gt;0,V1004,IF(BX1004=1,MAX(1,N(VLOOKUP(T1004,Parameter!$I$27:$K$29,3,0)),H1004,N(N1004)),IF(N(Q1004)&gt;0,Q1004,MAX(1,H1004)))))</f>
        <v>10</v>
      </c>
      <c r="BW1004" s="53" t="n">
        <f aca="false">IF(BU1004="LOSE",1,0)</f>
        <v>0</v>
      </c>
      <c r="BX1004" s="53" t="n">
        <f aca="false">IF(AND(U1004="",OR(P1004="",P1004="LOSE"),T1004&lt;&gt;"",N(S1004)&lt;=0,ISNUMBER(MATCH(T1004,Parameter!$I$27:$I$29,0))),1,0)</f>
        <v>1</v>
      </c>
      <c r="BY1004" s="53" t="n">
        <f aca="false">IF(CL1004&gt;0,INDEX(Parameter!$H$5:$H$7,W1004)/INDEX(Parameter!$E$5:$E$7,W1004),IF(AND(BW1004=0,N(IFERROR(VLOOKUP(BU1004,'Gebinde-Kategorie'!$A$5:$N$45,14,0),0))&gt;0),VLOOKUP(BU1004,'Gebinde-Kategorie'!$A$5:$N$45,14,0)*10+Parameter!$M$23,Parameter!$M$24))</f>
        <v>145</v>
      </c>
      <c r="BZ1004" s="48" t="str">
        <f aca="false">IF(AND(Parameter!$B$19="Ja",E1004&lt;&gt;"",ISNUMBER(MATCH(E1004,Parameter!$I$35:$I$52,0))),VLOOKUP(E1004,Parameter!$I$35:$J$52,2,0),IFERROR(VLOOKUP(D1004,Parameter!$A$35:$C$64,2,0),"Nein"))</f>
        <v>2+3</v>
      </c>
      <c r="CA1004" s="52" t="n">
        <f aca="false">IF(BW1004=0,0,IF(N(S1004)&gt;0,S1004,IFERROR(VLOOKUP(D1004,Parameter!$A$35:$C$64,3,0)+0,0)))</f>
        <v>0</v>
      </c>
      <c r="CB1004" s="48" t="n">
        <f aca="false">IF(AA1004&lt;&gt;"",AA1004,Z1004)</f>
        <v>2</v>
      </c>
      <c r="CC1004" s="48" t="str">
        <f aca="false">IF(OR(CB1004=1,CB1004=2,CB1004=3),IF(Parameter!$E$27="Ja","LIFT",IF(CB1004=1,"L1","L23")),IF(CB1004="Aussen","Aussen","-"))</f>
        <v>LIFT</v>
      </c>
      <c r="CD1004" s="59" t="n">
        <f aca="false">IF(N(AB1004)&gt;0,AB1004,0)</f>
        <v>0</v>
      </c>
      <c r="CE1004" s="53" t="n">
        <f aca="false">IF(ISNUMBER(AE1004),1,0)</f>
        <v>0</v>
      </c>
      <c r="CF1004" s="50" t="n">
        <f aca="false">N(AE1004)</f>
        <v>0</v>
      </c>
      <c r="CG1004" s="50" t="n">
        <f aca="false">N(M1004)+N(N1004)</f>
        <v>10</v>
      </c>
      <c r="CH1004" s="50" t="n">
        <f aca="false">ROUNDUP(H1004/BV1004,0)</f>
        <v>1</v>
      </c>
      <c r="CI1004" s="50" t="n">
        <f aca="false">ROUNDUP(CF1004/BV1004,0)</f>
        <v>0</v>
      </c>
      <c r="CJ1004" s="53" t="n">
        <f aca="false">IF(BW1004=1,0,IFERROR(VLOOKUP(BU1004,'Gebinde-Kategorie'!$A$5:$N$45,5,0)+0,0))</f>
        <v>11</v>
      </c>
      <c r="CK1004" s="53" t="n">
        <f aca="false">IFERROR(IF(OR(CB1004=1,CB1004=2,CB1004=3),N(INDEX(Parameter!$I$5:$I$7,CB1004)),0),0)</f>
        <v>0</v>
      </c>
      <c r="CL1004" s="52" t="n">
        <f aca="false">IF(AND(Parameter!$B$21="Ja",ISNUMBER(W1004),N(X1004)&gt;0),IFERROR(N(INDEX(Parameter!$L$5:$L$7,W1004))*INDEX(Parameter!$E$5:$E$7,W1004)*X1004/SUMIFS($X$7:$X$1843,$W$7:$W$1843,W1004),0),0)</f>
        <v>0</v>
      </c>
    </row>
    <row r="1005" customFormat="false" ht="15" hidden="false" customHeight="false" outlineLevel="0" collapsed="false">
      <c r="A1005" s="48" t="s">
        <v>1857</v>
      </c>
      <c r="B1005" s="48" t="s">
        <v>1858</v>
      </c>
      <c r="C1005" s="48" t="s">
        <v>168</v>
      </c>
      <c r="D1005" s="48" t="s">
        <v>188</v>
      </c>
      <c r="E1005" s="48" t="s">
        <v>189</v>
      </c>
      <c r="F1005" s="48" t="s">
        <v>222</v>
      </c>
      <c r="G1005" s="49" t="n">
        <v>7.57</v>
      </c>
      <c r="H1005" s="50" t="n">
        <f aca="false">MAX(0,IF(AND(Parameter!$B$21="Ja",ISNUMBER(Y1005)),Y1005,IF(Parameter!$B$20="Jahresanfang 2025 + Export",BO1005+BN1005,BN1005)))</f>
        <v>13</v>
      </c>
      <c r="I1005" s="50" t="n">
        <f aca="false">H1005*G1005</f>
        <v>98.41</v>
      </c>
      <c r="J1005" s="50" t="n">
        <f aca="false">BQ1005*Parameter!$B$18</f>
        <v>53</v>
      </c>
      <c r="K1005" s="51" t="n">
        <v>26.5</v>
      </c>
      <c r="L1005" s="52" t="n">
        <v>2</v>
      </c>
      <c r="M1005" s="50" t="n">
        <v>3</v>
      </c>
      <c r="N1005" s="50" t="n">
        <v>55</v>
      </c>
      <c r="O1005" s="53" t="n">
        <v>21</v>
      </c>
      <c r="P1005" s="48" t="s">
        <v>332</v>
      </c>
      <c r="Q1005" s="50" t="n">
        <v>41</v>
      </c>
      <c r="R1005" s="53" t="n">
        <f aca="false">IF(BW1005=1,0,IFERROR(VLOOKUP(BU1005,'Gebinde-Kategorie'!$A$5:$N$45,13,0)+0,0))</f>
        <v>52</v>
      </c>
      <c r="S1005" s="54"/>
      <c r="T1005" s="55"/>
      <c r="U1005" s="55"/>
      <c r="V1005" s="55"/>
      <c r="W1005" s="48"/>
      <c r="X1005" s="50"/>
      <c r="Y1005" s="50"/>
      <c r="Z1005" s="48" t="n">
        <f aca="false">IF(A1005="","",IF(AND(Parameter!$B$21="Ja",ISNUMBER(W1005)),W1005,IF(BZ1005="2+3",IF(ISNUMBER(SEARCH("grosser Artikel",BR1005)),2,IFERROR(VLOOKUP(BU1005,Parameter!$F$35:$G$64,2,0),2)),IF(OR(BZ1005="Nein",BZ1005=""),"-",BZ1005))))</f>
        <v>3</v>
      </c>
      <c r="AA1005" s="55"/>
      <c r="AB1005" s="56"/>
      <c r="AC1005" s="50" t="n">
        <f aca="false">AT1005</f>
        <v>82</v>
      </c>
      <c r="AD1005" s="50" t="n">
        <f aca="false">MAX(AT1005,H1005)</f>
        <v>82</v>
      </c>
      <c r="AE1005" s="57"/>
      <c r="AF1005" s="50" t="n">
        <f aca="false">IF(LEFT(Cockpit!$C$5,1)="A",H1005,IF(CE1005=1,CF1005,IF(LEFT(Cockpit!$C$5,1)="B",AK1005,MAX(AK1005,H1005))))</f>
        <v>13</v>
      </c>
      <c r="AG1005" s="50" t="n">
        <f aca="false">IF(BW1005=1,0,ROUNDUP(AF1005/BV1005,0))</f>
        <v>1</v>
      </c>
      <c r="AH1005" s="52" t="n">
        <f aca="false">IF(CL1005&gt;0,CL1005*MAX(1,AF1005/X1005),IF(BW1005=1,IF(AF1005&lt;=0,0,CA1005*MAX(1,IF(H1005&gt;0,AF1005/H1005,1))),IF(R1005&gt;0,AG1005/R1005,0))/MAX(0.1,N(Parameter!$M$21)))</f>
        <v>0.0192307692307692</v>
      </c>
      <c r="AI1005" s="50" t="n">
        <f aca="false">AH1005*BY1005</f>
        <v>2.98076923076923</v>
      </c>
      <c r="AJ1005" s="50" t="n">
        <f aca="false">AF1005*G1005</f>
        <v>98.41</v>
      </c>
      <c r="AK1005" s="50" t="n">
        <f aca="false">ROUNDUP(MAX(J1005/IF(CD1005&gt;0,CD1005,MAX(0.1,N(Cockpit!$C$6))),CG1005)/BV1005,0)*BV1005</f>
        <v>82</v>
      </c>
      <c r="AL1005" s="51" t="n">
        <f aca="false">IF(AI1005&gt;0,J1005/AI1005,-1)</f>
        <v>17.7806451612903</v>
      </c>
      <c r="AM1005" s="51" t="n">
        <f aca="false">IF(AND(OR(CC1005="L1",CC1005="L23",CC1005="LIFT"),AI1005&gt;0),SUMIFS($AI$7:$AI$1843,$CC$7:$CC$1843,CC1005,$AL$7:$AL$1843,"&gt;"&amp;AL1005)+SUMIFS($AI$7:$AI$1843,$CC$7:$CC$1843,CC1005,$AL$7:$AL$1843,AL1005,$BT$7:$BT$1843,"&lt;="&amp;BT1005),"")</f>
        <v>1943.56364468865</v>
      </c>
      <c r="AN1005" s="58" t="n">
        <f aca="false">IF(AM1005="",0,MAX(0,MIN(1,(IF(CC1005="L1",Parameter!$H$5,IF(CC1005="L23",Parameter!$H$6+Parameter!$H$7,Parameter!$H$5+Parameter!$H$6+Parameter!$H$7))-(AM1005-AI1005))/AI1005)))</f>
        <v>1</v>
      </c>
      <c r="AO1005" s="50" t="n">
        <f aca="false">IF(LEFT(Cockpit!$I$5,1)="A",H1005,IF(CE1005=1,CF1005,IF(LEFT(Cockpit!$I$5,1)="B",AT1005,MAX(AT1005,H1005))))</f>
        <v>82</v>
      </c>
      <c r="AP1005" s="50" t="n">
        <f aca="false">IF(BW1005=1,0,ROUNDUP(AO1005/BV1005,0))</f>
        <v>2</v>
      </c>
      <c r="AQ1005" s="52" t="n">
        <f aca="false">IF(CL1005&gt;0,CL1005*MAX(1,AO1005/X1005),IF(BW1005=1,IF(AO1005&lt;=0,0,CA1005*MAX(1,IF(H1005&gt;0,AO1005/H1005,1))),IF(R1005&gt;0,AP1005/R1005,0))/MAX(0.1,N(Parameter!$M$21)))</f>
        <v>0.0384615384615385</v>
      </c>
      <c r="AR1005" s="50" t="n">
        <f aca="false">AQ1005*BY1005</f>
        <v>5.96153846153846</v>
      </c>
      <c r="AS1005" s="50" t="n">
        <f aca="false">AO1005*G1005</f>
        <v>620.74</v>
      </c>
      <c r="AT1005" s="50" t="n">
        <f aca="false">ROUNDUP(MAX(J1005/IF(CD1005&gt;0,CD1005,MAX(0.1,N(Cockpit!$I$6))),CG1005)/BV1005,0)*BV1005</f>
        <v>82</v>
      </c>
      <c r="AU1005" s="51" t="n">
        <f aca="false">IF(AR1005&gt;0,J1005/AR1005,-1)</f>
        <v>8.89032258064516</v>
      </c>
      <c r="AV1005" s="51" t="n">
        <f aca="false">IF(AND(OR(CC1005="L1",CC1005="L23",CC1005="LIFT"),AR1005&gt;0),SUMIFS($AR$7:$AR$1843,$CC$7:$CC$1843,CC1005,$AU$7:$AU$1843,"&gt;"&amp;AU1005)+SUMIFS($AR$7:$AR$1843,$CC$7:$CC$1843,CC1005,$AU$7:$AU$1843,AU1005,$BT$7:$BT$1843,"&lt;="&amp;BT1005),"")</f>
        <v>4169.70375457875</v>
      </c>
      <c r="AW1005" s="58" t="n">
        <f aca="false">IF(AV1005="",0,MAX(0,MIN(1,(IF(CC1005="L1",Parameter!$H$5,IF(CC1005="L23",Parameter!$H$6+Parameter!$H$7,Parameter!$H$5+Parameter!$H$6+Parameter!$H$7))-(AV1005-AR1005))/AR1005)))</f>
        <v>1</v>
      </c>
      <c r="AX1005" s="50" t="n">
        <f aca="false">IF(LEFT(Cockpit!$O$5,1)="A",H1005,IF(CE1005=1,CF1005,IF(LEFT(Cockpit!$O$5,1)="B",BC1005,MAX(BC1005,H1005))))</f>
        <v>82</v>
      </c>
      <c r="AY1005" s="50" t="n">
        <f aca="false">IF(BW1005=1,0,ROUNDUP(AX1005/BV1005,0))</f>
        <v>2</v>
      </c>
      <c r="AZ1005" s="52" t="n">
        <f aca="false">IF(CL1005&gt;0,CL1005*MAX(1,AX1005/X1005),IF(BW1005=1,IF(AX1005&lt;=0,0,CA1005*MAX(1,IF(H1005&gt;0,AX1005/H1005,1))),IF(R1005&gt;0,AY1005/R1005,0))/MAX(0.1,N(Parameter!$M$21)))</f>
        <v>0.0384615384615385</v>
      </c>
      <c r="BA1005" s="50" t="n">
        <f aca="false">AZ1005*BY1005</f>
        <v>5.96153846153846</v>
      </c>
      <c r="BB1005" s="50" t="n">
        <f aca="false">AX1005*G1005</f>
        <v>620.74</v>
      </c>
      <c r="BC1005" s="50" t="n">
        <f aca="false">ROUNDUP(MAX(J1005/IF(CD1005&gt;0,CD1005,MAX(0.1,N(Cockpit!$O$6))),CG1005)/BV1005,0)*BV1005</f>
        <v>82</v>
      </c>
      <c r="BD1005" s="51" t="n">
        <f aca="false">IF(BA1005&gt;0,J1005/BA1005,-1)</f>
        <v>8.89032258064516</v>
      </c>
      <c r="BE1005" s="51" t="n">
        <f aca="false">IF(AND(OR(CC1005="L1",CC1005="L23",CC1005="LIFT"),BA1005&gt;0),SUMIFS($BA$7:$BA$1843,$CC$7:$CC$1843,CC1005,$BD$7:$BD$1843,"&gt;"&amp;BD1005)+SUMIFS($BA$7:$BA$1843,$CC$7:$CC$1843,CC1005,$BD$7:$BD$1843,BD1005,$BT$7:$BT$1843,"&lt;="&amp;BT1005),"")</f>
        <v>3827.82875457876</v>
      </c>
      <c r="BF1005" s="58" t="n">
        <f aca="false">IF(BE1005="",0,MAX(0,MIN(1,(IF(CC1005="L1",Parameter!$H$5,IF(CC1005="L23",Parameter!$H$6+Parameter!$H$7,Parameter!$H$5+Parameter!$H$6+Parameter!$H$7))-(BE1005-BA1005))/BA1005)))</f>
        <v>1</v>
      </c>
      <c r="BG1005" s="48" t="str">
        <f aca="false">IF(AI1005&lt;=0,"",IF(CC1005="Aussen","Aussenlager",IF(CC1005="-","Nicht im Lift",IF(AN1005&gt;=1,"Lift",IF(AN1005&lt;=0,"Aussenlager","teilweise")))))</f>
        <v>Lift</v>
      </c>
      <c r="BH1005" s="48" t="str">
        <f aca="false">IF(AR1005&lt;=0,"",IF(CC1005="Aussen","Aussenlager",IF(CC1005="-","Nicht im Lift",IF(AW1005&gt;=1,"Lift",IF(AW1005&lt;=0,"Aussenlager","teilweise")))))</f>
        <v>Lift</v>
      </c>
      <c r="BI1005" s="48" t="str">
        <f aca="false">IF(BA1005&lt;=0,"",IF(CC1005="Aussen","Aussenlager",IF(CC1005="-","Nicht im Lift",IF(BF1005&gt;=1,"Lift",IF(BF1005&lt;=0,"Aussenlager","teilweise")))))</f>
        <v>Lift</v>
      </c>
      <c r="BJ1005" s="48" t="str">
        <f aca="false">IF(A1005="","",IF(BS1005=1,"Neu; ","")&amp;IF(AND(BS1005=0,BN1005&lt;0),"negativer Bestand (Export "&amp;BN1005&amp;"); ","")&amp;IF(J1005&lt;=0,"Kein Verbrauch; ","")&amp;IF(CL1005&gt;0,"Lift "&amp;W1005&amp;" lt. Liftbericht (Fach "&amp;X1005&amp;" Stk); ",IF(BX1005=1,"Gebinde geschätzt ("&amp;T1005&amp;"); ",IF(BW1005=1,"Lose – Tablare geschätzt; ","")))&amp;IF(H1005&gt;AT1005,"Überbestand "&amp;ROUND(H1005-AT1005,0)&amp;" Stk / CHF "&amp;ROUND((H1005-AT1005)*G1005,0)&amp;"; ","")&amp;IF(AND(CE1005=1,CF1005&lt;CG1005),"MAX &lt; MB+LG; ","")&amp;IF(AND(CK1005&gt;0,CJ1005*10&gt;CK1005),"zu hoch für Tablar; ","")&amp;IF(AND(BS1005=0,OR(CE1005=1,AA1005&lt;&gt;"",U1005&lt;&gt;"",V1005&lt;&gt;"",AB1005&lt;&gt;"")),"manuell übersteuert; ","")&amp;IF(AND(BW1005=0,R1005=0),"Gebinde unbekannt / Stellmass fehlt; ","")&amp;IF(AND(BW1005=0,N(V1005)&lt;=0,N(Q1005)&lt;=0),"Menge pro Gebinde fehlt (Ist = 1 Gebinde); ","")&amp;BR1005)</f>
        <v>negativer Bestand (Export -10); </v>
      </c>
      <c r="BK1005" s="48"/>
      <c r="BL1005" s="48"/>
      <c r="BM1005" s="55"/>
      <c r="BN1005" s="50" t="n">
        <v>-10</v>
      </c>
      <c r="BO1005" s="50" t="n">
        <v>23</v>
      </c>
      <c r="BP1005" s="49" t="n">
        <v>-101.69</v>
      </c>
      <c r="BQ1005" s="50" t="n">
        <v>53</v>
      </c>
      <c r="BR1005" s="48"/>
      <c r="BS1005" s="53" t="n">
        <v>0</v>
      </c>
      <c r="BT1005" s="53" t="n">
        <v>1005</v>
      </c>
      <c r="BU1005" s="48" t="str">
        <f aca="false">IF(U1005&lt;&gt;"",UPPER(TRIM(U1005)),IF(BX1005=1,UPPER(VLOOKUP(T1005,Parameter!$I$27:$K$29,2,0)),IF(P1005="","LOSE",P1005)))</f>
        <v>S41</v>
      </c>
      <c r="BV1005" s="50" t="n">
        <f aca="false">IF(BU1005="LOSE",1,IF(N(V1005)&gt;0,V1005,IF(BX1005=1,MAX(1,N(VLOOKUP(T1005,Parameter!$I$27:$K$29,3,0)),H1005,N(N1005)),IF(N(Q1005)&gt;0,Q1005,MAX(1,H1005)))))</f>
        <v>41</v>
      </c>
      <c r="BW1005" s="53" t="n">
        <f aca="false">IF(BU1005="LOSE",1,0)</f>
        <v>0</v>
      </c>
      <c r="BX1005" s="53" t="n">
        <f aca="false">IF(AND(U1005="",OR(P1005="",P1005="LOSE"),T1005&lt;&gt;"",N(S1005)&lt;=0,ISNUMBER(MATCH(T1005,Parameter!$I$27:$I$29,0))),1,0)</f>
        <v>0</v>
      </c>
      <c r="BY1005" s="53" t="n">
        <f aca="false">IF(CL1005&gt;0,INDEX(Parameter!$H$5:$H$7,W1005)/INDEX(Parameter!$E$5:$E$7,W1005),IF(AND(BW1005=0,N(IFERROR(VLOOKUP(BU1005,'Gebinde-Kategorie'!$A$5:$N$45,14,0),0))&gt;0),VLOOKUP(BU1005,'Gebinde-Kategorie'!$A$5:$N$45,14,0)*10+Parameter!$M$23,Parameter!$M$24))</f>
        <v>155</v>
      </c>
      <c r="BZ1005" s="48" t="str">
        <f aca="false">IF(AND(Parameter!$B$19="Ja",E1005&lt;&gt;"",ISNUMBER(MATCH(E1005,Parameter!$I$35:$I$52,0))),VLOOKUP(E1005,Parameter!$I$35:$J$52,2,0),IFERROR(VLOOKUP(D1005,Parameter!$A$35:$C$64,2,0),"Nein"))</f>
        <v>2+3</v>
      </c>
      <c r="CA1005" s="52" t="n">
        <f aca="false">IF(BW1005=0,0,IF(N(S1005)&gt;0,S1005,IFERROR(VLOOKUP(D1005,Parameter!$A$35:$C$64,3,0)+0,0)))</f>
        <v>0</v>
      </c>
      <c r="CB1005" s="48" t="n">
        <f aca="false">IF(AA1005&lt;&gt;"",AA1005,Z1005)</f>
        <v>3</v>
      </c>
      <c r="CC1005" s="48" t="str">
        <f aca="false">IF(OR(CB1005=1,CB1005=2,CB1005=3),IF(Parameter!$E$27="Ja","LIFT",IF(CB1005=1,"L1","L23")),IF(CB1005="Aussen","Aussen","-"))</f>
        <v>LIFT</v>
      </c>
      <c r="CD1005" s="59" t="n">
        <f aca="false">IF(N(AB1005)&gt;0,AB1005,0)</f>
        <v>0</v>
      </c>
      <c r="CE1005" s="53" t="n">
        <f aca="false">IF(ISNUMBER(AE1005),1,0)</f>
        <v>0</v>
      </c>
      <c r="CF1005" s="50" t="n">
        <f aca="false">N(AE1005)</f>
        <v>0</v>
      </c>
      <c r="CG1005" s="50" t="n">
        <f aca="false">N(M1005)+N(N1005)</f>
        <v>58</v>
      </c>
      <c r="CH1005" s="50" t="n">
        <f aca="false">ROUNDUP(H1005/BV1005,0)</f>
        <v>1</v>
      </c>
      <c r="CI1005" s="50" t="n">
        <f aca="false">ROUNDUP(CF1005/BV1005,0)</f>
        <v>0</v>
      </c>
      <c r="CJ1005" s="53" t="n">
        <f aca="false">IF(BW1005=1,0,IFERROR(VLOOKUP(BU1005,'Gebinde-Kategorie'!$A$5:$N$45,5,0)+0,0))</f>
        <v>11</v>
      </c>
      <c r="CK1005" s="53" t="n">
        <f aca="false">IFERROR(IF(OR(CB1005=1,CB1005=2,CB1005=3),N(INDEX(Parameter!$I$5:$I$7,CB1005)),0),0)</f>
        <v>0</v>
      </c>
      <c r="CL1005" s="52" t="n">
        <f aca="false">IF(AND(Parameter!$B$21="Ja",ISNUMBER(W1005),N(X1005)&gt;0),IFERROR(N(INDEX(Parameter!$L$5:$L$7,W1005))*INDEX(Parameter!$E$5:$E$7,W1005)*X1005/SUMIFS($X$7:$X$1843,$W$7:$W$1843,W1005),0),0)</f>
        <v>0</v>
      </c>
    </row>
    <row r="1006" customFormat="false" ht="15" hidden="false" customHeight="false" outlineLevel="0" collapsed="false">
      <c r="A1006" s="48" t="s">
        <v>1859</v>
      </c>
      <c r="B1006" s="48" t="s">
        <v>1860</v>
      </c>
      <c r="C1006" s="48" t="s">
        <v>168</v>
      </c>
      <c r="D1006" s="48" t="s">
        <v>177</v>
      </c>
      <c r="E1006" s="48"/>
      <c r="F1006" s="48" t="s">
        <v>222</v>
      </c>
      <c r="G1006" s="49" t="n">
        <v>20.83</v>
      </c>
      <c r="H1006" s="50" t="n">
        <f aca="false">MAX(0,IF(AND(Parameter!$B$21="Ja",ISNUMBER(Y1006)),Y1006,IF(Parameter!$B$20="Jahresanfang 2025 + Export",BO1006+BN1006,BN1006)))</f>
        <v>0</v>
      </c>
      <c r="I1006" s="50" t="n">
        <f aca="false">H1006*G1006</f>
        <v>0</v>
      </c>
      <c r="J1006" s="50" t="n">
        <f aca="false">BQ1006*Parameter!$B$18</f>
        <v>0</v>
      </c>
      <c r="K1006" s="51" t="n">
        <v>2.5</v>
      </c>
      <c r="L1006" s="52" t="n">
        <v>0</v>
      </c>
      <c r="M1006" s="50" t="n">
        <v>0</v>
      </c>
      <c r="N1006" s="50" t="n">
        <v>1</v>
      </c>
      <c r="O1006" s="53" t="n">
        <v>42</v>
      </c>
      <c r="P1006" s="48" t="s">
        <v>172</v>
      </c>
      <c r="Q1006" s="50"/>
      <c r="R1006" s="53" t="n">
        <f aca="false">IF(BW1006=1,0,IFERROR(VLOOKUP(BU1006,'Gebinde-Kategorie'!$A$5:$N$45,13,0)+0,0))</f>
        <v>12</v>
      </c>
      <c r="S1006" s="54"/>
      <c r="T1006" s="55" t="s">
        <v>183</v>
      </c>
      <c r="U1006" s="55"/>
      <c r="V1006" s="55"/>
      <c r="W1006" s="48"/>
      <c r="X1006" s="50"/>
      <c r="Y1006" s="50"/>
      <c r="Z1006" s="48" t="n">
        <f aca="false">IF(A1006="","",IF(AND(Parameter!$B$21="Ja",ISNUMBER(W1006)),W1006,IF(BZ1006="2+3",IF(ISNUMBER(SEARCH("grosser Artikel",BR1006)),2,IFERROR(VLOOKUP(BU1006,Parameter!$F$35:$G$64,2,0),2)),IF(OR(BZ1006="Nein",BZ1006=""),"-",BZ1006))))</f>
        <v>2</v>
      </c>
      <c r="AA1006" s="55"/>
      <c r="AB1006" s="56"/>
      <c r="AC1006" s="50" t="n">
        <f aca="false">AT1006</f>
        <v>4</v>
      </c>
      <c r="AD1006" s="50" t="n">
        <f aca="false">MAX(AT1006,H1006)</f>
        <v>4</v>
      </c>
      <c r="AE1006" s="57"/>
      <c r="AF1006" s="50" t="n">
        <f aca="false">IF(LEFT(Cockpit!$C$5,1)="A",H1006,IF(CE1006=1,CF1006,IF(LEFT(Cockpit!$C$5,1)="B",AK1006,MAX(AK1006,H1006))))</f>
        <v>0</v>
      </c>
      <c r="AG1006" s="50" t="n">
        <f aca="false">IF(BW1006=1,0,ROUNDUP(AF1006/BV1006,0))</f>
        <v>0</v>
      </c>
      <c r="AH1006" s="52" t="n">
        <f aca="false">IF(CL1006&gt;0,CL1006*MAX(1,AF1006/X1006),IF(BW1006=1,IF(AF1006&lt;=0,0,CA1006*MAX(1,IF(H1006&gt;0,AF1006/H1006,1))),IF(R1006&gt;0,AG1006/R1006,0))/MAX(0.1,N(Parameter!$M$21)))</f>
        <v>0</v>
      </c>
      <c r="AI1006" s="50" t="n">
        <f aca="false">AH1006*BY1006</f>
        <v>0</v>
      </c>
      <c r="AJ1006" s="50" t="n">
        <f aca="false">AF1006*G1006</f>
        <v>0</v>
      </c>
      <c r="AK1006" s="50" t="n">
        <f aca="false">ROUNDUP(MAX(J1006/IF(CD1006&gt;0,CD1006,MAX(0.1,N(Cockpit!$C$6))),CG1006)/BV1006,0)*BV1006</f>
        <v>4</v>
      </c>
      <c r="AL1006" s="51" t="n">
        <f aca="false">IF(AI1006&gt;0,J1006/AI1006,-1)</f>
        <v>-1</v>
      </c>
      <c r="AM1006" s="51" t="str">
        <f aca="false">IF(AND(OR(CC1006="L1",CC1006="L23",CC1006="LIFT"),AI1006&gt;0),SUMIFS($AI$7:$AI$1843,$CC$7:$CC$1843,CC1006,$AL$7:$AL$1843,"&gt;"&amp;AL1006)+SUMIFS($AI$7:$AI$1843,$CC$7:$CC$1843,CC1006,$AL$7:$AL$1843,AL1006,$BT$7:$BT$1843,"&lt;="&amp;BT1006),"")</f>
        <v/>
      </c>
      <c r="AN1006" s="58" t="n">
        <f aca="false">IF(AM1006="",0,MAX(0,MIN(1,(IF(CC1006="L1",Parameter!$H$5,IF(CC1006="L23",Parameter!$H$6+Parameter!$H$7,Parameter!$H$5+Parameter!$H$6+Parameter!$H$7))-(AM1006-AI1006))/AI1006)))</f>
        <v>0</v>
      </c>
      <c r="AO1006" s="50" t="n">
        <f aca="false">IF(LEFT(Cockpit!$I$5,1)="A",H1006,IF(CE1006=1,CF1006,IF(LEFT(Cockpit!$I$5,1)="B",AT1006,MAX(AT1006,H1006))))</f>
        <v>4</v>
      </c>
      <c r="AP1006" s="50" t="n">
        <f aca="false">IF(BW1006=1,0,ROUNDUP(AO1006/BV1006,0))</f>
        <v>1</v>
      </c>
      <c r="AQ1006" s="52" t="n">
        <f aca="false">IF(CL1006&gt;0,CL1006*MAX(1,AO1006/X1006),IF(BW1006=1,IF(AO1006&lt;=0,0,CA1006*MAX(1,IF(H1006&gt;0,AO1006/H1006,1))),IF(R1006&gt;0,AP1006/R1006,0))/MAX(0.1,N(Parameter!$M$21)))</f>
        <v>0.0833333333333333</v>
      </c>
      <c r="AR1006" s="50" t="n">
        <f aca="false">AQ1006*BY1006</f>
        <v>12.0833333333333</v>
      </c>
      <c r="AS1006" s="50" t="n">
        <f aca="false">AO1006*G1006</f>
        <v>83.32</v>
      </c>
      <c r="AT1006" s="50" t="n">
        <f aca="false">ROUNDUP(MAX(J1006/IF(CD1006&gt;0,CD1006,MAX(0.1,N(Cockpit!$I$6))),CG1006)/BV1006,0)*BV1006</f>
        <v>4</v>
      </c>
      <c r="AU1006" s="51" t="n">
        <f aca="false">IF(AR1006&gt;0,J1006/AR1006,-1)</f>
        <v>0</v>
      </c>
      <c r="AV1006" s="51" t="n">
        <f aca="false">IF(AND(OR(CC1006="L1",CC1006="L23",CC1006="LIFT"),AR1006&gt;0),SUMIFS($AR$7:$AR$1843,$CC$7:$CC$1843,CC1006,$AU$7:$AU$1843,"&gt;"&amp;AU1006)+SUMIFS($AR$7:$AR$1843,$CC$7:$CC$1843,CC1006,$AU$7:$AU$1843,AU1006,$BT$7:$BT$1843,"&lt;="&amp;BT1006),"")</f>
        <v>40620.2683227789</v>
      </c>
      <c r="AW1006" s="58" t="n">
        <f aca="false">IF(AV1006="",0,MAX(0,MIN(1,(IF(CC1006="L1",Parameter!$H$5,IF(CC1006="L23",Parameter!$H$6+Parameter!$H$7,Parameter!$H$5+Parameter!$H$6+Parameter!$H$7))-(AV1006-AR1006))/AR1006)))</f>
        <v>0</v>
      </c>
      <c r="AX1006" s="50" t="n">
        <f aca="false">IF(LEFT(Cockpit!$O$5,1)="A",H1006,IF(CE1006=1,CF1006,IF(LEFT(Cockpit!$O$5,1)="B",BC1006,MAX(BC1006,H1006))))</f>
        <v>4</v>
      </c>
      <c r="AY1006" s="50" t="n">
        <f aca="false">IF(BW1006=1,0,ROUNDUP(AX1006/BV1006,0))</f>
        <v>1</v>
      </c>
      <c r="AZ1006" s="52" t="n">
        <f aca="false">IF(CL1006&gt;0,CL1006*MAX(1,AX1006/X1006),IF(BW1006=1,IF(AX1006&lt;=0,0,CA1006*MAX(1,IF(H1006&gt;0,AX1006/H1006,1))),IF(R1006&gt;0,AY1006/R1006,0))/MAX(0.1,N(Parameter!$M$21)))</f>
        <v>0.0833333333333333</v>
      </c>
      <c r="BA1006" s="50" t="n">
        <f aca="false">AZ1006*BY1006</f>
        <v>12.0833333333333</v>
      </c>
      <c r="BB1006" s="50" t="n">
        <f aca="false">AX1006*G1006</f>
        <v>83.32</v>
      </c>
      <c r="BC1006" s="50" t="n">
        <f aca="false">ROUNDUP(MAX(J1006/IF(CD1006&gt;0,CD1006,MAX(0.1,N(Cockpit!$O$6))),CG1006)/BV1006,0)*BV1006</f>
        <v>4</v>
      </c>
      <c r="BD1006" s="51" t="n">
        <f aca="false">IF(BA1006&gt;0,J1006/BA1006,-1)</f>
        <v>0</v>
      </c>
      <c r="BE1006" s="51" t="n">
        <f aca="false">IF(AND(OR(CC1006="L1",CC1006="L23",CC1006="LIFT"),BA1006&gt;0),SUMIFS($BA$7:$BA$1843,$CC$7:$CC$1843,CC1006,$BD$7:$BD$1843,"&gt;"&amp;BD1006)+SUMIFS($BA$7:$BA$1843,$CC$7:$CC$1843,CC1006,$BD$7:$BD$1843,BD1006,$BT$7:$BT$1843,"&lt;="&amp;BT1006),"")</f>
        <v>37295.2803646448</v>
      </c>
      <c r="BF1006" s="58" t="n">
        <f aca="false">IF(BE1006="",0,MAX(0,MIN(1,(IF(CC1006="L1",Parameter!$H$5,IF(CC1006="L23",Parameter!$H$6+Parameter!$H$7,Parameter!$H$5+Parameter!$H$6+Parameter!$H$7))-(BE1006-BA1006))/BA1006)))</f>
        <v>0</v>
      </c>
      <c r="BG1006" s="48" t="str">
        <f aca="false">IF(AI1006&lt;=0,"",IF(CC1006="Aussen","Aussenlager",IF(CC1006="-","Nicht im Lift",IF(AN1006&gt;=1,"Lift",IF(AN1006&lt;=0,"Aussenlager","teilweise")))))</f>
        <v/>
      </c>
      <c r="BH1006" s="48" t="str">
        <f aca="false">IF(AR1006&lt;=0,"",IF(CC1006="Aussen","Aussenlager",IF(CC1006="-","Nicht im Lift",IF(AW1006&gt;=1,"Lift",IF(AW1006&lt;=0,"Aussenlager","teilweise")))))</f>
        <v>Aussenlager</v>
      </c>
      <c r="BI1006" s="48" t="str">
        <f aca="false">IF(BA1006&lt;=0,"",IF(CC1006="Aussen","Aussenlager",IF(CC1006="-","Nicht im Lift",IF(BF1006&gt;=1,"Lift",IF(BF1006&lt;=0,"Aussenlager","teilweise")))))</f>
        <v>Aussenlager</v>
      </c>
      <c r="BJ1006" s="48" t="str">
        <f aca="false">IF(A1006="","",IF(BS1006=1,"Neu; ","")&amp;IF(AND(BS1006=0,BN1006&lt;0),"negativer Bestand (Export "&amp;BN1006&amp;"); ","")&amp;IF(J1006&lt;=0,"Kein Verbrauch; ","")&amp;IF(CL1006&gt;0,"Lift "&amp;W1006&amp;" lt. Liftbericht (Fach "&amp;X1006&amp;" Stk); ",IF(BX1006=1,"Gebinde geschätzt ("&amp;T1006&amp;"); ",IF(BW1006=1,"Lose – Tablare geschätzt; ","")))&amp;IF(H1006&gt;AT1006,"Überbestand "&amp;ROUND(H1006-AT1006,0)&amp;" Stk / CHF "&amp;ROUND((H1006-AT1006)*G1006,0)&amp;"; ","")&amp;IF(AND(CE1006=1,CF1006&lt;CG1006),"MAX &lt; MB+LG; ","")&amp;IF(AND(CK1006&gt;0,CJ1006*10&gt;CK1006),"zu hoch für Tablar; ","")&amp;IF(AND(BS1006=0,OR(CE1006=1,AA1006&lt;&gt;"",U1006&lt;&gt;"",V1006&lt;&gt;"",AB1006&lt;&gt;"")),"manuell übersteuert; ","")&amp;IF(AND(BW1006=0,R1006=0),"Gebinde unbekannt / Stellmass fehlt; ","")&amp;IF(AND(BW1006=0,N(V1006)&lt;=0,N(Q1006)&lt;=0),"Menge pro Gebinde fehlt (Ist = 1 Gebinde); ","")&amp;BR1006)</f>
        <v>negativer Bestand (Export -5); Kein Verbrauch; Gebinde geschätzt (Mittel); Menge pro Gebinde fehlt (Ist = 1 Gebinde); </v>
      </c>
      <c r="BK1006" s="48"/>
      <c r="BL1006" s="48"/>
      <c r="BM1006" s="55"/>
      <c r="BN1006" s="50" t="n">
        <v>-5</v>
      </c>
      <c r="BO1006" s="50" t="n">
        <v>5</v>
      </c>
      <c r="BP1006" s="49" t="n">
        <v>-104.15</v>
      </c>
      <c r="BQ1006" s="50" t="n">
        <v>0</v>
      </c>
      <c r="BR1006" s="48"/>
      <c r="BS1006" s="53" t="n">
        <v>0</v>
      </c>
      <c r="BT1006" s="53" t="n">
        <v>1006</v>
      </c>
      <c r="BU1006" s="48" t="str">
        <f aca="false">IF(U1006&lt;&gt;"",UPPER(TRIM(U1006)),IF(BX1006=1,UPPER(VLOOKUP(T1006,Parameter!$I$27:$K$29,2,0)),IF(P1006="","LOSE",P1006)))</f>
        <v>S61</v>
      </c>
      <c r="BV1006" s="50" t="n">
        <f aca="false">IF(BU1006="LOSE",1,IF(N(V1006)&gt;0,V1006,IF(BX1006=1,MAX(1,N(VLOOKUP(T1006,Parameter!$I$27:$K$29,3,0)),H1006,N(N1006)),IF(N(Q1006)&gt;0,Q1006,MAX(1,H1006)))))</f>
        <v>4</v>
      </c>
      <c r="BW1006" s="53" t="n">
        <f aca="false">IF(BU1006="LOSE",1,0)</f>
        <v>0</v>
      </c>
      <c r="BX1006" s="53" t="n">
        <f aca="false">IF(AND(U1006="",OR(P1006="",P1006="LOSE"),T1006&lt;&gt;"",N(S1006)&lt;=0,ISNUMBER(MATCH(T1006,Parameter!$I$27:$I$29,0))),1,0)</f>
        <v>1</v>
      </c>
      <c r="BY1006" s="53" t="n">
        <f aca="false">IF(CL1006&gt;0,INDEX(Parameter!$H$5:$H$7,W1006)/INDEX(Parameter!$E$5:$E$7,W1006),IF(AND(BW1006=0,N(IFERROR(VLOOKUP(BU1006,'Gebinde-Kategorie'!$A$5:$N$45,14,0),0))&gt;0),VLOOKUP(BU1006,'Gebinde-Kategorie'!$A$5:$N$45,14,0)*10+Parameter!$M$23,Parameter!$M$24))</f>
        <v>145</v>
      </c>
      <c r="BZ1006" s="48" t="str">
        <f aca="false">IF(AND(Parameter!$B$19="Ja",E1006&lt;&gt;"",ISNUMBER(MATCH(E1006,Parameter!$I$35:$I$52,0))),VLOOKUP(E1006,Parameter!$I$35:$J$52,2,0),IFERROR(VLOOKUP(D1006,Parameter!$A$35:$C$64,2,0),"Nein"))</f>
        <v>2+3</v>
      </c>
      <c r="CA1006" s="52" t="n">
        <f aca="false">IF(BW1006=0,0,IF(N(S1006)&gt;0,S1006,IFERROR(VLOOKUP(D1006,Parameter!$A$35:$C$64,3,0)+0,0)))</f>
        <v>0</v>
      </c>
      <c r="CB1006" s="48" t="n">
        <f aca="false">IF(AA1006&lt;&gt;"",AA1006,Z1006)</f>
        <v>2</v>
      </c>
      <c r="CC1006" s="48" t="str">
        <f aca="false">IF(OR(CB1006=1,CB1006=2,CB1006=3),IF(Parameter!$E$27="Ja","LIFT",IF(CB1006=1,"L1","L23")),IF(CB1006="Aussen","Aussen","-"))</f>
        <v>LIFT</v>
      </c>
      <c r="CD1006" s="59" t="n">
        <f aca="false">IF(N(AB1006)&gt;0,AB1006,0)</f>
        <v>0</v>
      </c>
      <c r="CE1006" s="53" t="n">
        <f aca="false">IF(ISNUMBER(AE1006),1,0)</f>
        <v>0</v>
      </c>
      <c r="CF1006" s="50" t="n">
        <f aca="false">N(AE1006)</f>
        <v>0</v>
      </c>
      <c r="CG1006" s="50" t="n">
        <f aca="false">N(M1006)+N(N1006)</f>
        <v>1</v>
      </c>
      <c r="CH1006" s="50" t="n">
        <f aca="false">ROUNDUP(H1006/BV1006,0)</f>
        <v>0</v>
      </c>
      <c r="CI1006" s="50" t="n">
        <f aca="false">ROUNDUP(CF1006/BV1006,0)</f>
        <v>0</v>
      </c>
      <c r="CJ1006" s="53" t="n">
        <f aca="false">IF(BW1006=1,0,IFERROR(VLOOKUP(BU1006,'Gebinde-Kategorie'!$A$5:$N$45,5,0)+0,0))</f>
        <v>11</v>
      </c>
      <c r="CK1006" s="53" t="n">
        <f aca="false">IFERROR(IF(OR(CB1006=1,CB1006=2,CB1006=3),N(INDEX(Parameter!$I$5:$I$7,CB1006)),0),0)</f>
        <v>0</v>
      </c>
      <c r="CL1006" s="52" t="n">
        <f aca="false">IF(AND(Parameter!$B$21="Ja",ISNUMBER(W1006),N(X1006)&gt;0),IFERROR(N(INDEX(Parameter!$L$5:$L$7,W1006))*INDEX(Parameter!$E$5:$E$7,W1006)*X1006/SUMIFS($X$7:$X$1843,$W$7:$W$1843,W1006),0),0)</f>
        <v>0</v>
      </c>
    </row>
    <row r="1007" customFormat="false" ht="15" hidden="false" customHeight="false" outlineLevel="0" collapsed="false">
      <c r="A1007" s="48" t="s">
        <v>1861</v>
      </c>
      <c r="B1007" s="48" t="s">
        <v>1862</v>
      </c>
      <c r="C1007" s="48" t="s">
        <v>168</v>
      </c>
      <c r="D1007" s="48" t="s">
        <v>188</v>
      </c>
      <c r="E1007" s="48" t="s">
        <v>189</v>
      </c>
      <c r="F1007" s="48" t="s">
        <v>222</v>
      </c>
      <c r="G1007" s="49" t="n">
        <v>7.39</v>
      </c>
      <c r="H1007" s="50" t="n">
        <f aca="false">MAX(0,IF(AND(Parameter!$B$21="Ja",ISNUMBER(Y1007)),Y1007,IF(Parameter!$B$20="Jahresanfang 2025 + Export",BO1007+BN1007,BN1007)))</f>
        <v>42</v>
      </c>
      <c r="I1007" s="50" t="n">
        <f aca="false">H1007*G1007</f>
        <v>310.38</v>
      </c>
      <c r="J1007" s="50" t="n">
        <f aca="false">BQ1007*Parameter!$B$18</f>
        <v>103</v>
      </c>
      <c r="K1007" s="51" t="n">
        <v>102</v>
      </c>
      <c r="L1007" s="52" t="n">
        <v>1.00980392156863</v>
      </c>
      <c r="M1007" s="50" t="n">
        <v>4</v>
      </c>
      <c r="N1007" s="50" t="n">
        <v>110</v>
      </c>
      <c r="O1007" s="53" t="n">
        <v>14</v>
      </c>
      <c r="P1007" s="48" t="s">
        <v>480</v>
      </c>
      <c r="Q1007" s="50" t="n">
        <v>229</v>
      </c>
      <c r="R1007" s="53" t="n">
        <f aca="false">IF(BW1007=1,0,IFERROR(VLOOKUP(BU1007,'Gebinde-Kategorie'!$A$5:$N$45,13,0)+0,0))</f>
        <v>52</v>
      </c>
      <c r="S1007" s="54"/>
      <c r="T1007" s="55"/>
      <c r="U1007" s="55"/>
      <c r="V1007" s="55"/>
      <c r="W1007" s="48"/>
      <c r="X1007" s="50"/>
      <c r="Y1007" s="50"/>
      <c r="Z1007" s="48" t="n">
        <f aca="false">IF(A1007="","",IF(AND(Parameter!$B$21="Ja",ISNUMBER(W1007)),W1007,IF(BZ1007="2+3",IF(ISNUMBER(SEARCH("grosser Artikel",BR1007)),2,IFERROR(VLOOKUP(BU1007,Parameter!$F$35:$G$64,2,0),2)),IF(OR(BZ1007="Nein",BZ1007=""),"-",BZ1007))))</f>
        <v>3</v>
      </c>
      <c r="AA1007" s="55"/>
      <c r="AB1007" s="56"/>
      <c r="AC1007" s="50" t="n">
        <f aca="false">AT1007</f>
        <v>229</v>
      </c>
      <c r="AD1007" s="50" t="n">
        <f aca="false">MAX(AT1007,H1007)</f>
        <v>229</v>
      </c>
      <c r="AE1007" s="57"/>
      <c r="AF1007" s="50" t="n">
        <f aca="false">IF(LEFT(Cockpit!$C$5,1)="A",H1007,IF(CE1007=1,CF1007,IF(LEFT(Cockpit!$C$5,1)="B",AK1007,MAX(AK1007,H1007))))</f>
        <v>42</v>
      </c>
      <c r="AG1007" s="50" t="n">
        <f aca="false">IF(BW1007=1,0,ROUNDUP(AF1007/BV1007,0))</f>
        <v>1</v>
      </c>
      <c r="AH1007" s="52" t="n">
        <f aca="false">IF(CL1007&gt;0,CL1007*MAX(1,AF1007/X1007),IF(BW1007=1,IF(AF1007&lt;=0,0,CA1007*MAX(1,IF(H1007&gt;0,AF1007/H1007,1))),IF(R1007&gt;0,AG1007/R1007,0))/MAX(0.1,N(Parameter!$M$21)))</f>
        <v>0.0192307692307692</v>
      </c>
      <c r="AI1007" s="50" t="n">
        <f aca="false">AH1007*BY1007</f>
        <v>2.98076923076923</v>
      </c>
      <c r="AJ1007" s="50" t="n">
        <f aca="false">AF1007*G1007</f>
        <v>310.38</v>
      </c>
      <c r="AK1007" s="50" t="n">
        <f aca="false">ROUNDUP(MAX(J1007/IF(CD1007&gt;0,CD1007,MAX(0.1,N(Cockpit!$C$6))),CG1007)/BV1007,0)*BV1007</f>
        <v>229</v>
      </c>
      <c r="AL1007" s="51" t="n">
        <f aca="false">IF(AI1007&gt;0,J1007/AI1007,-1)</f>
        <v>34.5548387096774</v>
      </c>
      <c r="AM1007" s="51" t="n">
        <f aca="false">IF(AND(OR(CC1007="L1",CC1007="L23",CC1007="LIFT"),AI1007&gt;0),SUMIFS($AI$7:$AI$1843,$CC$7:$CC$1843,CC1007,$AL$7:$AL$1843,"&gt;"&amp;AL1007)+SUMIFS($AI$7:$AI$1843,$CC$7:$CC$1843,CC1007,$AL$7:$AL$1843,AL1007,$BT$7:$BT$1843,"&lt;="&amp;BT1007),"")</f>
        <v>1301.73763736264</v>
      </c>
      <c r="AN1007" s="58" t="n">
        <f aca="false">IF(AM1007="",0,MAX(0,MIN(1,(IF(CC1007="L1",Parameter!$H$5,IF(CC1007="L23",Parameter!$H$6+Parameter!$H$7,Parameter!$H$5+Parameter!$H$6+Parameter!$H$7))-(AM1007-AI1007))/AI1007)))</f>
        <v>1</v>
      </c>
      <c r="AO1007" s="50" t="n">
        <f aca="false">IF(LEFT(Cockpit!$I$5,1)="A",H1007,IF(CE1007=1,CF1007,IF(LEFT(Cockpit!$I$5,1)="B",AT1007,MAX(AT1007,H1007))))</f>
        <v>229</v>
      </c>
      <c r="AP1007" s="50" t="n">
        <f aca="false">IF(BW1007=1,0,ROUNDUP(AO1007/BV1007,0))</f>
        <v>1</v>
      </c>
      <c r="AQ1007" s="52" t="n">
        <f aca="false">IF(CL1007&gt;0,CL1007*MAX(1,AO1007/X1007),IF(BW1007=1,IF(AO1007&lt;=0,0,CA1007*MAX(1,IF(H1007&gt;0,AO1007/H1007,1))),IF(R1007&gt;0,AP1007/R1007,0))/MAX(0.1,N(Parameter!$M$21)))</f>
        <v>0.0192307692307692</v>
      </c>
      <c r="AR1007" s="50" t="n">
        <f aca="false">AQ1007*BY1007</f>
        <v>2.98076923076923</v>
      </c>
      <c r="AS1007" s="50" t="n">
        <f aca="false">AO1007*G1007</f>
        <v>1692.31</v>
      </c>
      <c r="AT1007" s="50" t="n">
        <f aca="false">ROUNDUP(MAX(J1007/IF(CD1007&gt;0,CD1007,MAX(0.1,N(Cockpit!$I$6))),CG1007)/BV1007,0)*BV1007</f>
        <v>229</v>
      </c>
      <c r="AU1007" s="51" t="n">
        <f aca="false">IF(AR1007&gt;0,J1007/AR1007,-1)</f>
        <v>34.5548387096774</v>
      </c>
      <c r="AV1007" s="51" t="n">
        <f aca="false">IF(AND(OR(CC1007="L1",CC1007="L23",CC1007="LIFT"),AR1007&gt;0),SUMIFS($AR$7:$AR$1843,$CC$7:$CC$1843,CC1007,$AU$7:$AU$1843,"&gt;"&amp;AU1007)+SUMIFS($AR$7:$AR$1843,$CC$7:$CC$1843,CC1007,$AU$7:$AU$1843,AU1007,$BT$7:$BT$1843,"&lt;="&amp;BT1007),"")</f>
        <v>1818.79258241758</v>
      </c>
      <c r="AW1007" s="58" t="n">
        <f aca="false">IF(AV1007="",0,MAX(0,MIN(1,(IF(CC1007="L1",Parameter!$H$5,IF(CC1007="L23",Parameter!$H$6+Parameter!$H$7,Parameter!$H$5+Parameter!$H$6+Parameter!$H$7))-(AV1007-AR1007))/AR1007)))</f>
        <v>1</v>
      </c>
      <c r="AX1007" s="50" t="n">
        <f aca="false">IF(LEFT(Cockpit!$O$5,1)="A",H1007,IF(CE1007=1,CF1007,IF(LEFT(Cockpit!$O$5,1)="B",BC1007,MAX(BC1007,H1007))))</f>
        <v>229</v>
      </c>
      <c r="AY1007" s="50" t="n">
        <f aca="false">IF(BW1007=1,0,ROUNDUP(AX1007/BV1007,0))</f>
        <v>1</v>
      </c>
      <c r="AZ1007" s="52" t="n">
        <f aca="false">IF(CL1007&gt;0,CL1007*MAX(1,AX1007/X1007),IF(BW1007=1,IF(AX1007&lt;=0,0,CA1007*MAX(1,IF(H1007&gt;0,AX1007/H1007,1))),IF(R1007&gt;0,AY1007/R1007,0))/MAX(0.1,N(Parameter!$M$21)))</f>
        <v>0.0192307692307692</v>
      </c>
      <c r="BA1007" s="50" t="n">
        <f aca="false">AZ1007*BY1007</f>
        <v>2.98076923076923</v>
      </c>
      <c r="BB1007" s="50" t="n">
        <f aca="false">AX1007*G1007</f>
        <v>1692.31</v>
      </c>
      <c r="BC1007" s="50" t="n">
        <f aca="false">ROUNDUP(MAX(J1007/IF(CD1007&gt;0,CD1007,MAX(0.1,N(Cockpit!$O$6))),CG1007)/BV1007,0)*BV1007</f>
        <v>229</v>
      </c>
      <c r="BD1007" s="51" t="n">
        <f aca="false">IF(BA1007&gt;0,J1007/BA1007,-1)</f>
        <v>34.5548387096774</v>
      </c>
      <c r="BE1007" s="51" t="n">
        <f aca="false">IF(AND(OR(CC1007="L1",CC1007="L23",CC1007="LIFT"),BA1007&gt;0),SUMIFS($BA$7:$BA$1843,$CC$7:$CC$1843,CC1007,$BD$7:$BD$1843,"&gt;"&amp;BD1007)+SUMIFS($BA$7:$BA$1843,$CC$7:$CC$1843,CC1007,$BD$7:$BD$1843,BD1007,$BT$7:$BT$1843,"&lt;="&amp;BT1007),"")</f>
        <v>1654.48168498169</v>
      </c>
      <c r="BF1007" s="58" t="n">
        <f aca="false">IF(BE1007="",0,MAX(0,MIN(1,(IF(CC1007="L1",Parameter!$H$5,IF(CC1007="L23",Parameter!$H$6+Parameter!$H$7,Parameter!$H$5+Parameter!$H$6+Parameter!$H$7))-(BE1007-BA1007))/BA1007)))</f>
        <v>1</v>
      </c>
      <c r="BG1007" s="48" t="str">
        <f aca="false">IF(AI1007&lt;=0,"",IF(CC1007="Aussen","Aussenlager",IF(CC1007="-","Nicht im Lift",IF(AN1007&gt;=1,"Lift",IF(AN1007&lt;=0,"Aussenlager","teilweise")))))</f>
        <v>Lift</v>
      </c>
      <c r="BH1007" s="48" t="str">
        <f aca="false">IF(AR1007&lt;=0,"",IF(CC1007="Aussen","Aussenlager",IF(CC1007="-","Nicht im Lift",IF(AW1007&gt;=1,"Lift",IF(AW1007&lt;=0,"Aussenlager","teilweise")))))</f>
        <v>Lift</v>
      </c>
      <c r="BI1007" s="48" t="str">
        <f aca="false">IF(BA1007&lt;=0,"",IF(CC1007="Aussen","Aussenlager",IF(CC1007="-","Nicht im Lift",IF(BF1007&gt;=1,"Lift",IF(BF1007&lt;=0,"Aussenlager","teilweise")))))</f>
        <v>Lift</v>
      </c>
      <c r="BJ1007" s="48" t="str">
        <f aca="false">IF(A1007="","",IF(BS1007=1,"Neu; ","")&amp;IF(AND(BS1007=0,BN1007&lt;0),"negativer Bestand (Export "&amp;BN1007&amp;"); ","")&amp;IF(J1007&lt;=0,"Kein Verbrauch; ","")&amp;IF(CL1007&gt;0,"Lift "&amp;W1007&amp;" lt. Liftbericht (Fach "&amp;X1007&amp;" Stk); ",IF(BX1007=1,"Gebinde geschätzt ("&amp;T1007&amp;"); ",IF(BW1007=1,"Lose – Tablare geschätzt; ","")))&amp;IF(H1007&gt;AT1007,"Überbestand "&amp;ROUND(H1007-AT1007,0)&amp;" Stk / CHF "&amp;ROUND((H1007-AT1007)*G1007,0)&amp;"; ","")&amp;IF(AND(CE1007=1,CF1007&lt;CG1007),"MAX &lt; MB+LG; ","")&amp;IF(AND(CK1007&gt;0,CJ1007*10&gt;CK1007),"zu hoch für Tablar; ","")&amp;IF(AND(BS1007=0,OR(CE1007=1,AA1007&lt;&gt;"",U1007&lt;&gt;"",V1007&lt;&gt;"",AB1007&lt;&gt;"")),"manuell übersteuert; ","")&amp;IF(AND(BW1007=0,R1007=0),"Gebinde unbekannt / Stellmass fehlt; ","")&amp;IF(AND(BW1007=0,N(V1007)&lt;=0,N(Q1007)&lt;=0),"Menge pro Gebinde fehlt (Ist = 1 Gebinde); ","")&amp;BR1007)</f>
        <v>negativer Bestand (Export -16); </v>
      </c>
      <c r="BK1007" s="48"/>
      <c r="BL1007" s="48"/>
      <c r="BM1007" s="55"/>
      <c r="BN1007" s="50" t="n">
        <v>-16</v>
      </c>
      <c r="BO1007" s="50" t="n">
        <v>58</v>
      </c>
      <c r="BP1007" s="49" t="n">
        <v>-105.24</v>
      </c>
      <c r="BQ1007" s="50" t="n">
        <v>103</v>
      </c>
      <c r="BR1007" s="48"/>
      <c r="BS1007" s="53" t="n">
        <v>0</v>
      </c>
      <c r="BT1007" s="53" t="n">
        <v>1007</v>
      </c>
      <c r="BU1007" s="48" t="str">
        <f aca="false">IF(U1007&lt;&gt;"",UPPER(TRIM(U1007)),IF(BX1007=1,UPPER(VLOOKUP(T1007,Parameter!$I$27:$K$29,2,0)),IF(P1007="","LOSE",P1007)))</f>
        <v>S33</v>
      </c>
      <c r="BV1007" s="50" t="n">
        <f aca="false">IF(BU1007="LOSE",1,IF(N(V1007)&gt;0,V1007,IF(BX1007=1,MAX(1,N(VLOOKUP(T1007,Parameter!$I$27:$K$29,3,0)),H1007,N(N1007)),IF(N(Q1007)&gt;0,Q1007,MAX(1,H1007)))))</f>
        <v>229</v>
      </c>
      <c r="BW1007" s="53" t="n">
        <f aca="false">IF(BU1007="LOSE",1,0)</f>
        <v>0</v>
      </c>
      <c r="BX1007" s="53" t="n">
        <f aca="false">IF(AND(U1007="",OR(P1007="",P1007="LOSE"),T1007&lt;&gt;"",N(S1007)&lt;=0,ISNUMBER(MATCH(T1007,Parameter!$I$27:$I$29,0))),1,0)</f>
        <v>0</v>
      </c>
      <c r="BY1007" s="53" t="n">
        <f aca="false">IF(CL1007&gt;0,INDEX(Parameter!$H$5:$H$7,W1007)/INDEX(Parameter!$E$5:$E$7,W1007),IF(AND(BW1007=0,N(IFERROR(VLOOKUP(BU1007,'Gebinde-Kategorie'!$A$5:$N$45,14,0),0))&gt;0),VLOOKUP(BU1007,'Gebinde-Kategorie'!$A$5:$N$45,14,0)*10+Parameter!$M$23,Parameter!$M$24))</f>
        <v>155</v>
      </c>
      <c r="BZ1007" s="48" t="str">
        <f aca="false">IF(AND(Parameter!$B$19="Ja",E1007&lt;&gt;"",ISNUMBER(MATCH(E1007,Parameter!$I$35:$I$52,0))),VLOOKUP(E1007,Parameter!$I$35:$J$52,2,0),IFERROR(VLOOKUP(D1007,Parameter!$A$35:$C$64,2,0),"Nein"))</f>
        <v>2+3</v>
      </c>
      <c r="CA1007" s="52" t="n">
        <f aca="false">IF(BW1007=0,0,IF(N(S1007)&gt;0,S1007,IFERROR(VLOOKUP(D1007,Parameter!$A$35:$C$64,3,0)+0,0)))</f>
        <v>0</v>
      </c>
      <c r="CB1007" s="48" t="n">
        <f aca="false">IF(AA1007&lt;&gt;"",AA1007,Z1007)</f>
        <v>3</v>
      </c>
      <c r="CC1007" s="48" t="str">
        <f aca="false">IF(OR(CB1007=1,CB1007=2,CB1007=3),IF(Parameter!$E$27="Ja","LIFT",IF(CB1007=1,"L1","L23")),IF(CB1007="Aussen","Aussen","-"))</f>
        <v>LIFT</v>
      </c>
      <c r="CD1007" s="59" t="n">
        <f aca="false">IF(N(AB1007)&gt;0,AB1007,0)</f>
        <v>0</v>
      </c>
      <c r="CE1007" s="53" t="n">
        <f aca="false">IF(ISNUMBER(AE1007),1,0)</f>
        <v>0</v>
      </c>
      <c r="CF1007" s="50" t="n">
        <f aca="false">N(AE1007)</f>
        <v>0</v>
      </c>
      <c r="CG1007" s="50" t="n">
        <f aca="false">N(M1007)+N(N1007)</f>
        <v>114</v>
      </c>
      <c r="CH1007" s="50" t="n">
        <f aca="false">ROUNDUP(H1007/BV1007,0)</f>
        <v>1</v>
      </c>
      <c r="CI1007" s="50" t="n">
        <f aca="false">ROUNDUP(CF1007/BV1007,0)</f>
        <v>0</v>
      </c>
      <c r="CJ1007" s="53" t="n">
        <f aca="false">IF(BW1007=1,0,IFERROR(VLOOKUP(BU1007,'Gebinde-Kategorie'!$A$5:$N$45,5,0)+0,0))</f>
        <v>8</v>
      </c>
      <c r="CK1007" s="53" t="n">
        <f aca="false">IFERROR(IF(OR(CB1007=1,CB1007=2,CB1007=3),N(INDEX(Parameter!$I$5:$I$7,CB1007)),0),0)</f>
        <v>0</v>
      </c>
      <c r="CL1007" s="52" t="n">
        <f aca="false">IF(AND(Parameter!$B$21="Ja",ISNUMBER(W1007),N(X1007)&gt;0),IFERROR(N(INDEX(Parameter!$L$5:$L$7,W1007))*INDEX(Parameter!$E$5:$E$7,W1007)*X1007/SUMIFS($X$7:$X$1843,$W$7:$W$1843,W1007),0),0)</f>
        <v>0</v>
      </c>
    </row>
    <row r="1008" customFormat="false" ht="15" hidden="false" customHeight="false" outlineLevel="0" collapsed="false">
      <c r="A1008" s="48" t="s">
        <v>1863</v>
      </c>
      <c r="B1008" s="48" t="s">
        <v>1800</v>
      </c>
      <c r="C1008" s="48" t="s">
        <v>168</v>
      </c>
      <c r="D1008" s="48" t="s">
        <v>357</v>
      </c>
      <c r="E1008" s="48"/>
      <c r="F1008" s="48" t="s">
        <v>222</v>
      </c>
      <c r="G1008" s="49" t="n">
        <v>106.63</v>
      </c>
      <c r="H1008" s="50" t="n">
        <f aca="false">MAX(0,IF(AND(Parameter!$B$21="Ja",ISNUMBER(Y1008)),Y1008,IF(Parameter!$B$20="Jahresanfang 2025 + Export",BO1008+BN1008,BN1008)))</f>
        <v>0</v>
      </c>
      <c r="I1008" s="50" t="n">
        <f aca="false">H1008*G1008</f>
        <v>0</v>
      </c>
      <c r="J1008" s="50" t="n">
        <f aca="false">BQ1008*Parameter!$B$18</f>
        <v>0</v>
      </c>
      <c r="K1008" s="51" t="n">
        <v>0.5</v>
      </c>
      <c r="L1008" s="52" t="n">
        <v>0</v>
      </c>
      <c r="M1008" s="50" t="n">
        <v>0</v>
      </c>
      <c r="N1008" s="50" t="n">
        <v>0</v>
      </c>
      <c r="O1008" s="53" t="n">
        <v>28</v>
      </c>
      <c r="P1008" s="48" t="s">
        <v>172</v>
      </c>
      <c r="Q1008" s="50"/>
      <c r="R1008" s="53" t="n">
        <f aca="false">IF(BW1008=1,0,IFERROR(VLOOKUP(BU1008,'Gebinde-Kategorie'!$A$5:$N$45,13,0)+0,0))</f>
        <v>0</v>
      </c>
      <c r="S1008" s="54"/>
      <c r="T1008" s="55"/>
      <c r="U1008" s="55"/>
      <c r="V1008" s="55"/>
      <c r="W1008" s="48"/>
      <c r="X1008" s="50"/>
      <c r="Y1008" s="50"/>
      <c r="Z1008" s="48" t="str">
        <f aca="false">IF(A1008="","",IF(AND(Parameter!$B$21="Ja",ISNUMBER(W1008)),W1008,IF(BZ1008="2+3",IF(ISNUMBER(SEARCH("grosser Artikel",BR1008)),2,IFERROR(VLOOKUP(BU1008,Parameter!$F$35:$G$64,2,0),2)),IF(OR(BZ1008="Nein",BZ1008=""),"-",BZ1008))))</f>
        <v>-</v>
      </c>
      <c r="AA1008" s="55"/>
      <c r="AB1008" s="56"/>
      <c r="AC1008" s="50" t="n">
        <f aca="false">AT1008</f>
        <v>0</v>
      </c>
      <c r="AD1008" s="50" t="n">
        <f aca="false">MAX(AT1008,H1008)</f>
        <v>0</v>
      </c>
      <c r="AE1008" s="57"/>
      <c r="AF1008" s="50" t="n">
        <f aca="false">IF(LEFT(Cockpit!$C$5,1)="A",H1008,IF(CE1008=1,CF1008,IF(LEFT(Cockpit!$C$5,1)="B",AK1008,MAX(AK1008,H1008))))</f>
        <v>0</v>
      </c>
      <c r="AG1008" s="50" t="n">
        <f aca="false">IF(BW1008=1,0,ROUNDUP(AF1008/BV1008,0))</f>
        <v>0</v>
      </c>
      <c r="AH1008" s="52" t="n">
        <f aca="false">IF(CL1008&gt;0,CL1008*MAX(1,AF1008/X1008),IF(BW1008=1,IF(AF1008&lt;=0,0,CA1008*MAX(1,IF(H1008&gt;0,AF1008/H1008,1))),IF(R1008&gt;0,AG1008/R1008,0))/MAX(0.1,N(Parameter!$M$21)))</f>
        <v>0</v>
      </c>
      <c r="AI1008" s="50" t="n">
        <f aca="false">AH1008*BY1008</f>
        <v>0</v>
      </c>
      <c r="AJ1008" s="50" t="n">
        <f aca="false">AF1008*G1008</f>
        <v>0</v>
      </c>
      <c r="AK1008" s="50" t="n">
        <f aca="false">ROUNDUP(MAX(J1008/IF(CD1008&gt;0,CD1008,MAX(0.1,N(Cockpit!$C$6))),CG1008)/BV1008,0)*BV1008</f>
        <v>0</v>
      </c>
      <c r="AL1008" s="51" t="n">
        <f aca="false">IF(AI1008&gt;0,J1008/AI1008,-1)</f>
        <v>-1</v>
      </c>
      <c r="AM1008" s="51" t="str">
        <f aca="false">IF(AND(OR(CC1008="L1",CC1008="L23",CC1008="LIFT"),AI1008&gt;0),SUMIFS($AI$7:$AI$1843,$CC$7:$CC$1843,CC1008,$AL$7:$AL$1843,"&gt;"&amp;AL1008)+SUMIFS($AI$7:$AI$1843,$CC$7:$CC$1843,CC1008,$AL$7:$AL$1843,AL1008,$BT$7:$BT$1843,"&lt;="&amp;BT1008),"")</f>
        <v/>
      </c>
      <c r="AN1008" s="58" t="n">
        <f aca="false">IF(AM1008="",0,MAX(0,MIN(1,(IF(CC1008="L1",Parameter!$H$5,IF(CC1008="L23",Parameter!$H$6+Parameter!$H$7,Parameter!$H$5+Parameter!$H$6+Parameter!$H$7))-(AM1008-AI1008))/AI1008)))</f>
        <v>0</v>
      </c>
      <c r="AO1008" s="50" t="n">
        <f aca="false">IF(LEFT(Cockpit!$I$5,1)="A",H1008,IF(CE1008=1,CF1008,IF(LEFT(Cockpit!$I$5,1)="B",AT1008,MAX(AT1008,H1008))))</f>
        <v>0</v>
      </c>
      <c r="AP1008" s="50" t="n">
        <f aca="false">IF(BW1008=1,0,ROUNDUP(AO1008/BV1008,0))</f>
        <v>0</v>
      </c>
      <c r="AQ1008" s="52" t="n">
        <f aca="false">IF(CL1008&gt;0,CL1008*MAX(1,AO1008/X1008),IF(BW1008=1,IF(AO1008&lt;=0,0,CA1008*MAX(1,IF(H1008&gt;0,AO1008/H1008,1))),IF(R1008&gt;0,AP1008/R1008,0))/MAX(0.1,N(Parameter!$M$21)))</f>
        <v>0</v>
      </c>
      <c r="AR1008" s="50" t="n">
        <f aca="false">AQ1008*BY1008</f>
        <v>0</v>
      </c>
      <c r="AS1008" s="50" t="n">
        <f aca="false">AO1008*G1008</f>
        <v>0</v>
      </c>
      <c r="AT1008" s="50" t="n">
        <f aca="false">ROUNDUP(MAX(J1008/IF(CD1008&gt;0,CD1008,MAX(0.1,N(Cockpit!$I$6))),CG1008)/BV1008,0)*BV1008</f>
        <v>0</v>
      </c>
      <c r="AU1008" s="51" t="n">
        <f aca="false">IF(AR1008&gt;0,J1008/AR1008,-1)</f>
        <v>-1</v>
      </c>
      <c r="AV1008" s="51" t="str">
        <f aca="false">IF(AND(OR(CC1008="L1",CC1008="L23",CC1008="LIFT"),AR1008&gt;0),SUMIFS($AR$7:$AR$1843,$CC$7:$CC$1843,CC1008,$AU$7:$AU$1843,"&gt;"&amp;AU1008)+SUMIFS($AR$7:$AR$1843,$CC$7:$CC$1843,CC1008,$AU$7:$AU$1843,AU1008,$BT$7:$BT$1843,"&lt;="&amp;BT1008),"")</f>
        <v/>
      </c>
      <c r="AW1008" s="58" t="n">
        <f aca="false">IF(AV1008="",0,MAX(0,MIN(1,(IF(CC1008="L1",Parameter!$H$5,IF(CC1008="L23",Parameter!$H$6+Parameter!$H$7,Parameter!$H$5+Parameter!$H$6+Parameter!$H$7))-(AV1008-AR1008))/AR1008)))</f>
        <v>0</v>
      </c>
      <c r="AX1008" s="50" t="n">
        <f aca="false">IF(LEFT(Cockpit!$O$5,1)="A",H1008,IF(CE1008=1,CF1008,IF(LEFT(Cockpit!$O$5,1)="B",BC1008,MAX(BC1008,H1008))))</f>
        <v>0</v>
      </c>
      <c r="AY1008" s="50" t="n">
        <f aca="false">IF(BW1008=1,0,ROUNDUP(AX1008/BV1008,0))</f>
        <v>0</v>
      </c>
      <c r="AZ1008" s="52" t="n">
        <f aca="false">IF(CL1008&gt;0,CL1008*MAX(1,AX1008/X1008),IF(BW1008=1,IF(AX1008&lt;=0,0,CA1008*MAX(1,IF(H1008&gt;0,AX1008/H1008,1))),IF(R1008&gt;0,AY1008/R1008,0))/MAX(0.1,N(Parameter!$M$21)))</f>
        <v>0</v>
      </c>
      <c r="BA1008" s="50" t="n">
        <f aca="false">AZ1008*BY1008</f>
        <v>0</v>
      </c>
      <c r="BB1008" s="50" t="n">
        <f aca="false">AX1008*G1008</f>
        <v>0</v>
      </c>
      <c r="BC1008" s="50" t="n">
        <f aca="false">ROUNDUP(MAX(J1008/IF(CD1008&gt;0,CD1008,MAX(0.1,N(Cockpit!$O$6))),CG1008)/BV1008,0)*BV1008</f>
        <v>0</v>
      </c>
      <c r="BD1008" s="51" t="n">
        <f aca="false">IF(BA1008&gt;0,J1008/BA1008,-1)</f>
        <v>-1</v>
      </c>
      <c r="BE1008" s="51" t="str">
        <f aca="false">IF(AND(OR(CC1008="L1",CC1008="L23",CC1008="LIFT"),BA1008&gt;0),SUMIFS($BA$7:$BA$1843,$CC$7:$CC$1843,CC1008,$BD$7:$BD$1843,"&gt;"&amp;BD1008)+SUMIFS($BA$7:$BA$1843,$CC$7:$CC$1843,CC1008,$BD$7:$BD$1843,BD1008,$BT$7:$BT$1843,"&lt;="&amp;BT1008),"")</f>
        <v/>
      </c>
      <c r="BF1008" s="58" t="n">
        <f aca="false">IF(BE1008="",0,MAX(0,MIN(1,(IF(CC1008="L1",Parameter!$H$5,IF(CC1008="L23",Parameter!$H$6+Parameter!$H$7,Parameter!$H$5+Parameter!$H$6+Parameter!$H$7))-(BE1008-BA1008))/BA1008)))</f>
        <v>0</v>
      </c>
      <c r="BG1008" s="48" t="str">
        <f aca="false">IF(AI1008&lt;=0,"",IF(CC1008="Aussen","Aussenlager",IF(CC1008="-","Nicht im Lift",IF(AN1008&gt;=1,"Lift",IF(AN1008&lt;=0,"Aussenlager","teilweise")))))</f>
        <v/>
      </c>
      <c r="BH1008" s="48" t="str">
        <f aca="false">IF(AR1008&lt;=0,"",IF(CC1008="Aussen","Aussenlager",IF(CC1008="-","Nicht im Lift",IF(AW1008&gt;=1,"Lift",IF(AW1008&lt;=0,"Aussenlager","teilweise")))))</f>
        <v/>
      </c>
      <c r="BI1008" s="48" t="str">
        <f aca="false">IF(BA1008&lt;=0,"",IF(CC1008="Aussen","Aussenlager",IF(CC1008="-","Nicht im Lift",IF(BF1008&gt;=1,"Lift",IF(BF1008&lt;=0,"Aussenlager","teilweise")))))</f>
        <v/>
      </c>
      <c r="BJ1008" s="48" t="str">
        <f aca="false">IF(A1008="","",IF(BS1008=1,"Neu; ","")&amp;IF(AND(BS1008=0,BN1008&lt;0),"negativer Bestand (Export "&amp;BN1008&amp;"); ","")&amp;IF(J1008&lt;=0,"Kein Verbrauch; ","")&amp;IF(CL1008&gt;0,"Lift "&amp;W1008&amp;" lt. Liftbericht (Fach "&amp;X1008&amp;" Stk); ",IF(BX1008=1,"Gebinde geschätzt ("&amp;T1008&amp;"); ",IF(BW1008=1,"Lose – Tablare geschätzt; ","")))&amp;IF(H1008&gt;AT1008,"Überbestand "&amp;ROUND(H1008-AT1008,0)&amp;" Stk / CHF "&amp;ROUND((H1008-AT1008)*G1008,0)&amp;"; ","")&amp;IF(AND(CE1008=1,CF1008&lt;CG1008),"MAX &lt; MB+LG; ","")&amp;IF(AND(CK1008&gt;0,CJ1008*10&gt;CK1008),"zu hoch für Tablar; ","")&amp;IF(AND(BS1008=0,OR(CE1008=1,AA1008&lt;&gt;"",U1008&lt;&gt;"",V1008&lt;&gt;"",AB1008&lt;&gt;"")),"manuell übersteuert; ","")&amp;IF(AND(BW1008=0,R1008=0),"Gebinde unbekannt / Stellmass fehlt; ","")&amp;IF(AND(BW1008=0,N(V1008)&lt;=0,N(Q1008)&lt;=0),"Menge pro Gebinde fehlt (Ist = 1 Gebinde); ","")&amp;BR1008)</f>
        <v>negativer Bestand (Export -1); Kein Verbrauch; Lose – Tablare geschätzt; </v>
      </c>
      <c r="BK1008" s="48"/>
      <c r="BL1008" s="48"/>
      <c r="BM1008" s="55"/>
      <c r="BN1008" s="50" t="n">
        <v>-1</v>
      </c>
      <c r="BO1008" s="50" t="n">
        <v>1</v>
      </c>
      <c r="BP1008" s="49" t="n">
        <v>-106.63</v>
      </c>
      <c r="BQ1008" s="50" t="n">
        <v>0</v>
      </c>
      <c r="BR1008" s="48"/>
      <c r="BS1008" s="53" t="n">
        <v>0</v>
      </c>
      <c r="BT1008" s="53" t="n">
        <v>1008</v>
      </c>
      <c r="BU1008" s="48" t="str">
        <f aca="false">IF(U1008&lt;&gt;"",UPPER(TRIM(U1008)),IF(BX1008=1,UPPER(VLOOKUP(T1008,Parameter!$I$27:$K$29,2,0)),IF(P1008="","LOSE",P1008)))</f>
        <v>LOSE</v>
      </c>
      <c r="BV1008" s="50" t="n">
        <f aca="false">IF(BU1008="LOSE",1,IF(N(V1008)&gt;0,V1008,IF(BX1008=1,MAX(1,N(VLOOKUP(T1008,Parameter!$I$27:$K$29,3,0)),H1008,N(N1008)),IF(N(Q1008)&gt;0,Q1008,MAX(1,H1008)))))</f>
        <v>1</v>
      </c>
      <c r="BW1008" s="53" t="n">
        <f aca="false">IF(BU1008="LOSE",1,0)</f>
        <v>1</v>
      </c>
      <c r="BX1008" s="53" t="n">
        <f aca="false">IF(AND(U1008="",OR(P1008="",P1008="LOSE"),T1008&lt;&gt;"",N(S1008)&lt;=0,ISNUMBER(MATCH(T1008,Parameter!$I$27:$I$29,0))),1,0)</f>
        <v>0</v>
      </c>
      <c r="BY1008" s="53" t="n">
        <f aca="false">IF(CL1008&gt;0,INDEX(Parameter!$H$5:$H$7,W1008)/INDEX(Parameter!$E$5:$E$7,W1008),IF(AND(BW1008=0,N(IFERROR(VLOOKUP(BU1008,'Gebinde-Kategorie'!$A$5:$N$45,14,0),0))&gt;0),VLOOKUP(BU1008,'Gebinde-Kategorie'!$A$5:$N$45,14,0)*10+Parameter!$M$23,Parameter!$M$24))</f>
        <v>235</v>
      </c>
      <c r="BZ1008" s="48" t="str">
        <f aca="false">IF(AND(Parameter!$B$19="Ja",E1008&lt;&gt;"",ISNUMBER(MATCH(E1008,Parameter!$I$35:$I$52,0))),VLOOKUP(E1008,Parameter!$I$35:$J$52,2,0),IFERROR(VLOOKUP(D1008,Parameter!$A$35:$C$64,2,0),"Nein"))</f>
        <v>Nein</v>
      </c>
      <c r="CA1008" s="52" t="n">
        <f aca="false">IF(BW1008=0,0,IF(N(S1008)&gt;0,S1008,IFERROR(VLOOKUP(D1008,Parameter!$A$35:$C$64,3,0)+0,0)))</f>
        <v>0.15</v>
      </c>
      <c r="CB1008" s="48" t="str">
        <f aca="false">IF(AA1008&lt;&gt;"",AA1008,Z1008)</f>
        <v>-</v>
      </c>
      <c r="CC1008" s="48" t="str">
        <f aca="false">IF(OR(CB1008=1,CB1008=2,CB1008=3),IF(Parameter!$E$27="Ja","LIFT",IF(CB1008=1,"L1","L23")),IF(CB1008="Aussen","Aussen","-"))</f>
        <v>-</v>
      </c>
      <c r="CD1008" s="59" t="n">
        <f aca="false">IF(N(AB1008)&gt;0,AB1008,0)</f>
        <v>0</v>
      </c>
      <c r="CE1008" s="53" t="n">
        <f aca="false">IF(ISNUMBER(AE1008),1,0)</f>
        <v>0</v>
      </c>
      <c r="CF1008" s="50" t="n">
        <f aca="false">N(AE1008)</f>
        <v>0</v>
      </c>
      <c r="CG1008" s="50" t="n">
        <f aca="false">N(M1008)+N(N1008)</f>
        <v>0</v>
      </c>
      <c r="CH1008" s="50" t="n">
        <f aca="false">ROUNDUP(H1008/BV1008,0)</f>
        <v>0</v>
      </c>
      <c r="CI1008" s="50" t="n">
        <f aca="false">ROUNDUP(CF1008/BV1008,0)</f>
        <v>0</v>
      </c>
      <c r="CJ1008" s="53" t="n">
        <f aca="false">IF(BW1008=1,0,IFERROR(VLOOKUP(BU1008,'Gebinde-Kategorie'!$A$5:$N$45,5,0)+0,0))</f>
        <v>0</v>
      </c>
      <c r="CK1008" s="53" t="n">
        <f aca="false">IFERROR(IF(OR(CB1008=1,CB1008=2,CB1008=3),N(INDEX(Parameter!$I$5:$I$7,CB1008)),0),0)</f>
        <v>0</v>
      </c>
      <c r="CL1008" s="52" t="n">
        <f aca="false">IF(AND(Parameter!$B$21="Ja",ISNUMBER(W1008),N(X1008)&gt;0),IFERROR(N(INDEX(Parameter!$L$5:$L$7,W1008))*INDEX(Parameter!$E$5:$E$7,W1008)*X1008/SUMIFS($X$7:$X$1843,$W$7:$W$1843,W1008),0),0)</f>
        <v>0</v>
      </c>
    </row>
    <row r="1009" customFormat="false" ht="15" hidden="false" customHeight="false" outlineLevel="0" collapsed="false">
      <c r="A1009" s="48" t="s">
        <v>1864</v>
      </c>
      <c r="B1009" s="48" t="s">
        <v>1865</v>
      </c>
      <c r="C1009" s="48" t="s">
        <v>168</v>
      </c>
      <c r="D1009" s="48" t="s">
        <v>188</v>
      </c>
      <c r="E1009" s="48"/>
      <c r="F1009" s="48" t="s">
        <v>222</v>
      </c>
      <c r="G1009" s="49" t="n">
        <v>106.76</v>
      </c>
      <c r="H1009" s="50" t="n">
        <f aca="false">MAX(0,IF(AND(Parameter!$B$21="Ja",ISNUMBER(Y1009)),Y1009,IF(Parameter!$B$20="Jahresanfang 2025 + Export",BO1009+BN1009,BN1009)))</f>
        <v>6</v>
      </c>
      <c r="I1009" s="50" t="n">
        <f aca="false">H1009*G1009</f>
        <v>640.56</v>
      </c>
      <c r="J1009" s="50" t="n">
        <f aca="false">BQ1009*Parameter!$B$18</f>
        <v>0</v>
      </c>
      <c r="K1009" s="51" t="n">
        <v>7</v>
      </c>
      <c r="L1009" s="52" t="n">
        <v>0</v>
      </c>
      <c r="M1009" s="50" t="n">
        <v>0</v>
      </c>
      <c r="N1009" s="50" t="n">
        <v>1</v>
      </c>
      <c r="O1009" s="53" t="n">
        <v>35</v>
      </c>
      <c r="P1009" s="48" t="s">
        <v>172</v>
      </c>
      <c r="Q1009" s="50"/>
      <c r="R1009" s="53" t="n">
        <f aca="false">IF(BW1009=1,0,IFERROR(VLOOKUP(BU1009,'Gebinde-Kategorie'!$A$5:$N$45,13,0)+0,0))</f>
        <v>12</v>
      </c>
      <c r="S1009" s="54"/>
      <c r="T1009" s="55" t="s">
        <v>183</v>
      </c>
      <c r="U1009" s="55"/>
      <c r="V1009" s="55"/>
      <c r="W1009" s="48"/>
      <c r="X1009" s="50"/>
      <c r="Y1009" s="50"/>
      <c r="Z1009" s="48" t="n">
        <f aca="false">IF(A1009="","",IF(AND(Parameter!$B$21="Ja",ISNUMBER(W1009)),W1009,IF(BZ1009="2+3",IF(ISNUMBER(SEARCH("grosser Artikel",BR1009)),2,IFERROR(VLOOKUP(BU1009,Parameter!$F$35:$G$64,2,0),2)),IF(OR(BZ1009="Nein",BZ1009=""),"-",BZ1009))))</f>
        <v>2</v>
      </c>
      <c r="AA1009" s="55"/>
      <c r="AB1009" s="56"/>
      <c r="AC1009" s="50" t="n">
        <f aca="false">AT1009</f>
        <v>6</v>
      </c>
      <c r="AD1009" s="50" t="n">
        <f aca="false">MAX(AT1009,H1009)</f>
        <v>6</v>
      </c>
      <c r="AE1009" s="57"/>
      <c r="AF1009" s="50" t="n">
        <f aca="false">IF(LEFT(Cockpit!$C$5,1)="A",H1009,IF(CE1009=1,CF1009,IF(LEFT(Cockpit!$C$5,1)="B",AK1009,MAX(AK1009,H1009))))</f>
        <v>6</v>
      </c>
      <c r="AG1009" s="50" t="n">
        <f aca="false">IF(BW1009=1,0,ROUNDUP(AF1009/BV1009,0))</f>
        <v>1</v>
      </c>
      <c r="AH1009" s="52" t="n">
        <f aca="false">IF(CL1009&gt;0,CL1009*MAX(1,AF1009/X1009),IF(BW1009=1,IF(AF1009&lt;=0,0,CA1009*MAX(1,IF(H1009&gt;0,AF1009/H1009,1))),IF(R1009&gt;0,AG1009/R1009,0))/MAX(0.1,N(Parameter!$M$21)))</f>
        <v>0.0833333333333333</v>
      </c>
      <c r="AI1009" s="50" t="n">
        <f aca="false">AH1009*BY1009</f>
        <v>12.0833333333333</v>
      </c>
      <c r="AJ1009" s="50" t="n">
        <f aca="false">AF1009*G1009</f>
        <v>640.56</v>
      </c>
      <c r="AK1009" s="50" t="n">
        <f aca="false">ROUNDUP(MAX(J1009/IF(CD1009&gt;0,CD1009,MAX(0.1,N(Cockpit!$C$6))),CG1009)/BV1009,0)*BV1009</f>
        <v>6</v>
      </c>
      <c r="AL1009" s="51" t="n">
        <f aca="false">IF(AI1009&gt;0,J1009/AI1009,-1)</f>
        <v>0</v>
      </c>
      <c r="AM1009" s="51" t="n">
        <f aca="false">IF(AND(OR(CC1009="L1",CC1009="L23",CC1009="LIFT"),AI1009&gt;0),SUMIFS($AI$7:$AI$1843,$CC$7:$CC$1843,CC1009,$AL$7:$AL$1843,"&gt;"&amp;AL1009)+SUMIFS($AI$7:$AI$1843,$CC$7:$CC$1843,CC1009,$AL$7:$AL$1843,AL1009,$BT$7:$BT$1843,"&lt;="&amp;BT1009),"")</f>
        <v>28965.1979703442</v>
      </c>
      <c r="AN1009" s="58" t="n">
        <f aca="false">IF(AM1009="",0,MAX(0,MIN(1,(IF(CC1009="L1",Parameter!$H$5,IF(CC1009="L23",Parameter!$H$6+Parameter!$H$7,Parameter!$H$5+Parameter!$H$6+Parameter!$H$7))-(AM1009-AI1009))/AI1009)))</f>
        <v>1</v>
      </c>
      <c r="AO1009" s="50" t="n">
        <f aca="false">IF(LEFT(Cockpit!$I$5,1)="A",H1009,IF(CE1009=1,CF1009,IF(LEFT(Cockpit!$I$5,1)="B",AT1009,MAX(AT1009,H1009))))</f>
        <v>6</v>
      </c>
      <c r="AP1009" s="50" t="n">
        <f aca="false">IF(BW1009=1,0,ROUNDUP(AO1009/BV1009,0))</f>
        <v>1</v>
      </c>
      <c r="AQ1009" s="52" t="n">
        <f aca="false">IF(CL1009&gt;0,CL1009*MAX(1,AO1009/X1009),IF(BW1009=1,IF(AO1009&lt;=0,0,CA1009*MAX(1,IF(H1009&gt;0,AO1009/H1009,1))),IF(R1009&gt;0,AP1009/R1009,0))/MAX(0.1,N(Parameter!$M$21)))</f>
        <v>0.0833333333333333</v>
      </c>
      <c r="AR1009" s="50" t="n">
        <f aca="false">AQ1009*BY1009</f>
        <v>12.0833333333333</v>
      </c>
      <c r="AS1009" s="50" t="n">
        <f aca="false">AO1009*G1009</f>
        <v>640.56</v>
      </c>
      <c r="AT1009" s="50" t="n">
        <f aca="false">ROUNDUP(MAX(J1009/IF(CD1009&gt;0,CD1009,MAX(0.1,N(Cockpit!$I$6))),CG1009)/BV1009,0)*BV1009</f>
        <v>6</v>
      </c>
      <c r="AU1009" s="51" t="n">
        <f aca="false">IF(AR1009&gt;0,J1009/AR1009,-1)</f>
        <v>0</v>
      </c>
      <c r="AV1009" s="51" t="n">
        <f aca="false">IF(AND(OR(CC1009="L1",CC1009="L23",CC1009="LIFT"),AR1009&gt;0),SUMIFS($AR$7:$AR$1843,$CC$7:$CC$1843,CC1009,$AU$7:$AU$1843,"&gt;"&amp;AU1009)+SUMIFS($AR$7:$AR$1843,$CC$7:$CC$1843,CC1009,$AU$7:$AU$1843,AU1009,$BT$7:$BT$1843,"&lt;="&amp;BT1009),"")</f>
        <v>40632.3516561123</v>
      </c>
      <c r="AW1009" s="58" t="n">
        <f aca="false">IF(AV1009="",0,MAX(0,MIN(1,(IF(CC1009="L1",Parameter!$H$5,IF(CC1009="L23",Parameter!$H$6+Parameter!$H$7,Parameter!$H$5+Parameter!$H$6+Parameter!$H$7))-(AV1009-AR1009))/AR1009)))</f>
        <v>0</v>
      </c>
      <c r="AX1009" s="50" t="n">
        <f aca="false">IF(LEFT(Cockpit!$O$5,1)="A",H1009,IF(CE1009=1,CF1009,IF(LEFT(Cockpit!$O$5,1)="B",BC1009,MAX(BC1009,H1009))))</f>
        <v>6</v>
      </c>
      <c r="AY1009" s="50" t="n">
        <f aca="false">IF(BW1009=1,0,ROUNDUP(AX1009/BV1009,0))</f>
        <v>1</v>
      </c>
      <c r="AZ1009" s="52" t="n">
        <f aca="false">IF(CL1009&gt;0,CL1009*MAX(1,AX1009/X1009),IF(BW1009=1,IF(AX1009&lt;=0,0,CA1009*MAX(1,IF(H1009&gt;0,AX1009/H1009,1))),IF(R1009&gt;0,AY1009/R1009,0))/MAX(0.1,N(Parameter!$M$21)))</f>
        <v>0.0833333333333333</v>
      </c>
      <c r="BA1009" s="50" t="n">
        <f aca="false">AZ1009*BY1009</f>
        <v>12.0833333333333</v>
      </c>
      <c r="BB1009" s="50" t="n">
        <f aca="false">AX1009*G1009</f>
        <v>640.56</v>
      </c>
      <c r="BC1009" s="50" t="n">
        <f aca="false">ROUNDUP(MAX(J1009/IF(CD1009&gt;0,CD1009,MAX(0.1,N(Cockpit!$O$6))),CG1009)/BV1009,0)*BV1009</f>
        <v>6</v>
      </c>
      <c r="BD1009" s="51" t="n">
        <f aca="false">IF(BA1009&gt;0,J1009/BA1009,-1)</f>
        <v>0</v>
      </c>
      <c r="BE1009" s="51" t="n">
        <f aca="false">IF(AND(OR(CC1009="L1",CC1009="L23",CC1009="LIFT"),BA1009&gt;0),SUMIFS($BA$7:$BA$1843,$CC$7:$CC$1843,CC1009,$BD$7:$BD$1843,"&gt;"&amp;BD1009)+SUMIFS($BA$7:$BA$1843,$CC$7:$CC$1843,CC1009,$BD$7:$BD$1843,BD1009,$BT$7:$BT$1843,"&lt;="&amp;BT1009),"")</f>
        <v>37307.3636979781</v>
      </c>
      <c r="BF1009" s="58" t="n">
        <f aca="false">IF(BE1009="",0,MAX(0,MIN(1,(IF(CC1009="L1",Parameter!$H$5,IF(CC1009="L23",Parameter!$H$6+Parameter!$H$7,Parameter!$H$5+Parameter!$H$6+Parameter!$H$7))-(BE1009-BA1009))/BA1009)))</f>
        <v>0</v>
      </c>
      <c r="BG1009" s="48" t="str">
        <f aca="false">IF(AI1009&lt;=0,"",IF(CC1009="Aussen","Aussenlager",IF(CC1009="-","Nicht im Lift",IF(AN1009&gt;=1,"Lift",IF(AN1009&lt;=0,"Aussenlager","teilweise")))))</f>
        <v>Lift</v>
      </c>
      <c r="BH1009" s="48" t="str">
        <f aca="false">IF(AR1009&lt;=0,"",IF(CC1009="Aussen","Aussenlager",IF(CC1009="-","Nicht im Lift",IF(AW1009&gt;=1,"Lift",IF(AW1009&lt;=0,"Aussenlager","teilweise")))))</f>
        <v>Aussenlager</v>
      </c>
      <c r="BI1009" s="48" t="str">
        <f aca="false">IF(BA1009&lt;=0,"",IF(CC1009="Aussen","Aussenlager",IF(CC1009="-","Nicht im Lift",IF(BF1009&gt;=1,"Lift",IF(BF1009&lt;=0,"Aussenlager","teilweise")))))</f>
        <v>Aussenlager</v>
      </c>
      <c r="BJ1009" s="48" t="str">
        <f aca="false">IF(A1009="","",IF(BS1009=1,"Neu; ","")&amp;IF(AND(BS1009=0,BN1009&lt;0),"negativer Bestand (Export "&amp;BN1009&amp;"); ","")&amp;IF(J1009&lt;=0,"Kein Verbrauch; ","")&amp;IF(CL1009&gt;0,"Lift "&amp;W1009&amp;" lt. Liftbericht (Fach "&amp;X1009&amp;" Stk); ",IF(BX1009=1,"Gebinde geschätzt ("&amp;T1009&amp;"); ",IF(BW1009=1,"Lose – Tablare geschätzt; ","")))&amp;IF(H1009&gt;AT1009,"Überbestand "&amp;ROUND(H1009-AT1009,0)&amp;" Stk / CHF "&amp;ROUND((H1009-AT1009)*G1009,0)&amp;"; ","")&amp;IF(AND(CE1009=1,CF1009&lt;CG1009),"MAX &lt; MB+LG; ","")&amp;IF(AND(CK1009&gt;0,CJ1009*10&gt;CK1009),"zu hoch für Tablar; ","")&amp;IF(AND(BS1009=0,OR(CE1009=1,AA1009&lt;&gt;"",U1009&lt;&gt;"",V1009&lt;&gt;"",AB1009&lt;&gt;"")),"manuell übersteuert; ","")&amp;IF(AND(BW1009=0,R1009=0),"Gebinde unbekannt / Stellmass fehlt; ","")&amp;IF(AND(BW1009=0,N(V1009)&lt;=0,N(Q1009)&lt;=0),"Menge pro Gebinde fehlt (Ist = 1 Gebinde); ","")&amp;BR1009)</f>
        <v>negativer Bestand (Export -1); Kein Verbrauch; Gebinde geschätzt (Mittel); Menge pro Gebinde fehlt (Ist = 1 Gebinde); </v>
      </c>
      <c r="BK1009" s="48"/>
      <c r="BL1009" s="48"/>
      <c r="BM1009" s="55"/>
      <c r="BN1009" s="50" t="n">
        <v>-1</v>
      </c>
      <c r="BO1009" s="50" t="n">
        <v>7</v>
      </c>
      <c r="BP1009" s="49" t="n">
        <v>-106.76</v>
      </c>
      <c r="BQ1009" s="50" t="n">
        <v>0</v>
      </c>
      <c r="BR1009" s="48"/>
      <c r="BS1009" s="53" t="n">
        <v>0</v>
      </c>
      <c r="BT1009" s="53" t="n">
        <v>1009</v>
      </c>
      <c r="BU1009" s="48" t="str">
        <f aca="false">IF(U1009&lt;&gt;"",UPPER(TRIM(U1009)),IF(BX1009=1,UPPER(VLOOKUP(T1009,Parameter!$I$27:$K$29,2,0)),IF(P1009="","LOSE",P1009)))</f>
        <v>S61</v>
      </c>
      <c r="BV1009" s="50" t="n">
        <f aca="false">IF(BU1009="LOSE",1,IF(N(V1009)&gt;0,V1009,IF(BX1009=1,MAX(1,N(VLOOKUP(T1009,Parameter!$I$27:$K$29,3,0)),H1009,N(N1009)),IF(N(Q1009)&gt;0,Q1009,MAX(1,H1009)))))</f>
        <v>6</v>
      </c>
      <c r="BW1009" s="53" t="n">
        <f aca="false">IF(BU1009="LOSE",1,0)</f>
        <v>0</v>
      </c>
      <c r="BX1009" s="53" t="n">
        <f aca="false">IF(AND(U1009="",OR(P1009="",P1009="LOSE"),T1009&lt;&gt;"",N(S1009)&lt;=0,ISNUMBER(MATCH(T1009,Parameter!$I$27:$I$29,0))),1,0)</f>
        <v>1</v>
      </c>
      <c r="BY1009" s="53" t="n">
        <f aca="false">IF(CL1009&gt;0,INDEX(Parameter!$H$5:$H$7,W1009)/INDEX(Parameter!$E$5:$E$7,W1009),IF(AND(BW1009=0,N(IFERROR(VLOOKUP(BU1009,'Gebinde-Kategorie'!$A$5:$N$45,14,0),0))&gt;0),VLOOKUP(BU1009,'Gebinde-Kategorie'!$A$5:$N$45,14,0)*10+Parameter!$M$23,Parameter!$M$24))</f>
        <v>145</v>
      </c>
      <c r="BZ1009" s="48" t="str">
        <f aca="false">IF(AND(Parameter!$B$19="Ja",E1009&lt;&gt;"",ISNUMBER(MATCH(E1009,Parameter!$I$35:$I$52,0))),VLOOKUP(E1009,Parameter!$I$35:$J$52,2,0),IFERROR(VLOOKUP(D1009,Parameter!$A$35:$C$64,2,0),"Nein"))</f>
        <v>2+3</v>
      </c>
      <c r="CA1009" s="52" t="n">
        <f aca="false">IF(BW1009=0,0,IF(N(S1009)&gt;0,S1009,IFERROR(VLOOKUP(D1009,Parameter!$A$35:$C$64,3,0)+0,0)))</f>
        <v>0</v>
      </c>
      <c r="CB1009" s="48" t="n">
        <f aca="false">IF(AA1009&lt;&gt;"",AA1009,Z1009)</f>
        <v>2</v>
      </c>
      <c r="CC1009" s="48" t="str">
        <f aca="false">IF(OR(CB1009=1,CB1009=2,CB1009=3),IF(Parameter!$E$27="Ja","LIFT",IF(CB1009=1,"L1","L23")),IF(CB1009="Aussen","Aussen","-"))</f>
        <v>LIFT</v>
      </c>
      <c r="CD1009" s="59" t="n">
        <f aca="false">IF(N(AB1009)&gt;0,AB1009,0)</f>
        <v>0</v>
      </c>
      <c r="CE1009" s="53" t="n">
        <f aca="false">IF(ISNUMBER(AE1009),1,0)</f>
        <v>0</v>
      </c>
      <c r="CF1009" s="50" t="n">
        <f aca="false">N(AE1009)</f>
        <v>0</v>
      </c>
      <c r="CG1009" s="50" t="n">
        <f aca="false">N(M1009)+N(N1009)</f>
        <v>1</v>
      </c>
      <c r="CH1009" s="50" t="n">
        <f aca="false">ROUNDUP(H1009/BV1009,0)</f>
        <v>1</v>
      </c>
      <c r="CI1009" s="50" t="n">
        <f aca="false">ROUNDUP(CF1009/BV1009,0)</f>
        <v>0</v>
      </c>
      <c r="CJ1009" s="53" t="n">
        <f aca="false">IF(BW1009=1,0,IFERROR(VLOOKUP(BU1009,'Gebinde-Kategorie'!$A$5:$N$45,5,0)+0,0))</f>
        <v>11</v>
      </c>
      <c r="CK1009" s="53" t="n">
        <f aca="false">IFERROR(IF(OR(CB1009=1,CB1009=2,CB1009=3),N(INDEX(Parameter!$I$5:$I$7,CB1009)),0),0)</f>
        <v>0</v>
      </c>
      <c r="CL1009" s="52" t="n">
        <f aca="false">IF(AND(Parameter!$B$21="Ja",ISNUMBER(W1009),N(X1009)&gt;0),IFERROR(N(INDEX(Parameter!$L$5:$L$7,W1009))*INDEX(Parameter!$E$5:$E$7,W1009)*X1009/SUMIFS($X$7:$X$1843,$W$7:$W$1843,W1009),0),0)</f>
        <v>0</v>
      </c>
    </row>
    <row r="1010" customFormat="false" ht="15" hidden="false" customHeight="false" outlineLevel="0" collapsed="false">
      <c r="A1010" s="48" t="s">
        <v>1866</v>
      </c>
      <c r="B1010" s="48" t="s">
        <v>505</v>
      </c>
      <c r="C1010" s="48" t="s">
        <v>168</v>
      </c>
      <c r="D1010" s="48" t="s">
        <v>188</v>
      </c>
      <c r="E1010" s="48" t="s">
        <v>189</v>
      </c>
      <c r="F1010" s="48" t="s">
        <v>222</v>
      </c>
      <c r="G1010" s="49" t="n">
        <v>10.06</v>
      </c>
      <c r="H1010" s="50" t="n">
        <f aca="false">MAX(0,IF(AND(Parameter!$B$21="Ja",ISNUMBER(Y1010)),Y1010,IF(Parameter!$B$20="Jahresanfang 2025 + Export",BO1010+BN1010,BN1010)))</f>
        <v>137</v>
      </c>
      <c r="I1010" s="50" t="n">
        <f aca="false">H1010*G1010</f>
        <v>1378.22</v>
      </c>
      <c r="J1010" s="50" t="n">
        <f aca="false">BQ1010*Parameter!$B$18</f>
        <v>184</v>
      </c>
      <c r="K1010" s="51" t="n">
        <v>124</v>
      </c>
      <c r="L1010" s="52" t="n">
        <v>1.48387096774194</v>
      </c>
      <c r="M1010" s="50" t="n">
        <v>11</v>
      </c>
      <c r="N1010" s="50" t="n">
        <v>190</v>
      </c>
      <c r="O1010" s="53" t="n">
        <v>21</v>
      </c>
      <c r="P1010" s="48" t="s">
        <v>237</v>
      </c>
      <c r="Q1010" s="50" t="n">
        <v>131</v>
      </c>
      <c r="R1010" s="53" t="n">
        <f aca="false">IF(BW1010=1,0,IFERROR(VLOOKUP(BU1010,'Gebinde-Kategorie'!$A$5:$N$45,13,0)+0,0))</f>
        <v>26</v>
      </c>
      <c r="S1010" s="54"/>
      <c r="T1010" s="55"/>
      <c r="U1010" s="55"/>
      <c r="V1010" s="55"/>
      <c r="W1010" s="48"/>
      <c r="X1010" s="50"/>
      <c r="Y1010" s="50"/>
      <c r="Z1010" s="48" t="n">
        <f aca="false">IF(A1010="","",IF(AND(Parameter!$B$21="Ja",ISNUMBER(W1010)),W1010,IF(BZ1010="2+3",IF(ISNUMBER(SEARCH("grosser Artikel",BR1010)),2,IFERROR(VLOOKUP(BU1010,Parameter!$F$35:$G$64,2,0),2)),IF(OR(BZ1010="Nein",BZ1010=""),"-",BZ1010))))</f>
        <v>3</v>
      </c>
      <c r="AA1010" s="55"/>
      <c r="AB1010" s="56"/>
      <c r="AC1010" s="50" t="n">
        <f aca="false">AT1010</f>
        <v>262</v>
      </c>
      <c r="AD1010" s="50" t="n">
        <f aca="false">MAX(AT1010,H1010)</f>
        <v>262</v>
      </c>
      <c r="AE1010" s="57"/>
      <c r="AF1010" s="50" t="n">
        <f aca="false">IF(LEFT(Cockpit!$C$5,1)="A",H1010,IF(CE1010=1,CF1010,IF(LEFT(Cockpit!$C$5,1)="B",AK1010,MAX(AK1010,H1010))))</f>
        <v>137</v>
      </c>
      <c r="AG1010" s="50" t="n">
        <f aca="false">IF(BW1010=1,0,ROUNDUP(AF1010/BV1010,0))</f>
        <v>2</v>
      </c>
      <c r="AH1010" s="52" t="n">
        <f aca="false">IF(CL1010&gt;0,CL1010*MAX(1,AF1010/X1010),IF(BW1010=1,IF(AF1010&lt;=0,0,CA1010*MAX(1,IF(H1010&gt;0,AF1010/H1010,1))),IF(R1010&gt;0,AG1010/R1010,0))/MAX(0.1,N(Parameter!$M$21)))</f>
        <v>0.0769230769230769</v>
      </c>
      <c r="AI1010" s="50" t="n">
        <f aca="false">AH1010*BY1010</f>
        <v>18.8461538461538</v>
      </c>
      <c r="AJ1010" s="50" t="n">
        <f aca="false">AF1010*G1010</f>
        <v>1378.22</v>
      </c>
      <c r="AK1010" s="50" t="n">
        <f aca="false">ROUNDUP(MAX(J1010/IF(CD1010&gt;0,CD1010,MAX(0.1,N(Cockpit!$C$6))),CG1010)/BV1010,0)*BV1010</f>
        <v>262</v>
      </c>
      <c r="AL1010" s="51" t="n">
        <f aca="false">IF(AI1010&gt;0,J1010/AI1010,-1)</f>
        <v>9.76326530612245</v>
      </c>
      <c r="AM1010" s="51" t="n">
        <f aca="false">IF(AND(OR(CC1010="L1",CC1010="L23",CC1010="LIFT"),AI1010&gt;0),SUMIFS($AI$7:$AI$1843,$CC$7:$CC$1843,CC1010,$AL$7:$AL$1843,"&gt;"&amp;AL1010)+SUMIFS($AI$7:$AI$1843,$CC$7:$CC$1843,CC1010,$AL$7:$AL$1843,AL1010,$BT$7:$BT$1843,"&lt;="&amp;BT1010),"")</f>
        <v>2891.25228937729</v>
      </c>
      <c r="AN1010" s="58" t="n">
        <f aca="false">IF(AM1010="",0,MAX(0,MIN(1,(IF(CC1010="L1",Parameter!$H$5,IF(CC1010="L23",Parameter!$H$6+Parameter!$H$7,Parameter!$H$5+Parameter!$H$6+Parameter!$H$7))-(AM1010-AI1010))/AI1010)))</f>
        <v>1</v>
      </c>
      <c r="AO1010" s="50" t="n">
        <f aca="false">IF(LEFT(Cockpit!$I$5,1)="A",H1010,IF(CE1010=1,CF1010,IF(LEFT(Cockpit!$I$5,1)="B",AT1010,MAX(AT1010,H1010))))</f>
        <v>262</v>
      </c>
      <c r="AP1010" s="50" t="n">
        <f aca="false">IF(BW1010=1,0,ROUNDUP(AO1010/BV1010,0))</f>
        <v>2</v>
      </c>
      <c r="AQ1010" s="52" t="n">
        <f aca="false">IF(CL1010&gt;0,CL1010*MAX(1,AO1010/X1010),IF(BW1010=1,IF(AO1010&lt;=0,0,CA1010*MAX(1,IF(H1010&gt;0,AO1010/H1010,1))),IF(R1010&gt;0,AP1010/R1010,0))/MAX(0.1,N(Parameter!$M$21)))</f>
        <v>0.0769230769230769</v>
      </c>
      <c r="AR1010" s="50" t="n">
        <f aca="false">AQ1010*BY1010</f>
        <v>18.8461538461538</v>
      </c>
      <c r="AS1010" s="50" t="n">
        <f aca="false">AO1010*G1010</f>
        <v>2635.72</v>
      </c>
      <c r="AT1010" s="50" t="n">
        <f aca="false">ROUNDUP(MAX(J1010/IF(CD1010&gt;0,CD1010,MAX(0.1,N(Cockpit!$I$6))),CG1010)/BV1010,0)*BV1010</f>
        <v>262</v>
      </c>
      <c r="AU1010" s="51" t="n">
        <f aca="false">IF(AR1010&gt;0,J1010/AR1010,-1)</f>
        <v>9.76326530612245</v>
      </c>
      <c r="AV1010" s="51" t="n">
        <f aca="false">IF(AND(OR(CC1010="L1",CC1010="L23",CC1010="LIFT"),AR1010&gt;0),SUMIFS($AR$7:$AR$1843,$CC$7:$CC$1843,CC1010,$AU$7:$AU$1843,"&gt;"&amp;AU1010)+SUMIFS($AR$7:$AR$1843,$CC$7:$CC$1843,CC1010,$AU$7:$AU$1843,AU1010,$BT$7:$BT$1843,"&lt;="&amp;BT1010),"")</f>
        <v>4068.79945054945</v>
      </c>
      <c r="AW1010" s="58" t="n">
        <f aca="false">IF(AV1010="",0,MAX(0,MIN(1,(IF(CC1010="L1",Parameter!$H$5,IF(CC1010="L23",Parameter!$H$6+Parameter!$H$7,Parameter!$H$5+Parameter!$H$6+Parameter!$H$7))-(AV1010-AR1010))/AR1010)))</f>
        <v>1</v>
      </c>
      <c r="AX1010" s="50" t="n">
        <f aca="false">IF(LEFT(Cockpit!$O$5,1)="A",H1010,IF(CE1010=1,CF1010,IF(LEFT(Cockpit!$O$5,1)="B",BC1010,MAX(BC1010,H1010))))</f>
        <v>262</v>
      </c>
      <c r="AY1010" s="50" t="n">
        <f aca="false">IF(BW1010=1,0,ROUNDUP(AX1010/BV1010,0))</f>
        <v>2</v>
      </c>
      <c r="AZ1010" s="52" t="n">
        <f aca="false">IF(CL1010&gt;0,CL1010*MAX(1,AX1010/X1010),IF(BW1010=1,IF(AX1010&lt;=0,0,CA1010*MAX(1,IF(H1010&gt;0,AX1010/H1010,1))),IF(R1010&gt;0,AY1010/R1010,0))/MAX(0.1,N(Parameter!$M$21)))</f>
        <v>0.0769230769230769</v>
      </c>
      <c r="BA1010" s="50" t="n">
        <f aca="false">AZ1010*BY1010</f>
        <v>18.8461538461538</v>
      </c>
      <c r="BB1010" s="50" t="n">
        <f aca="false">AX1010*G1010</f>
        <v>2635.72</v>
      </c>
      <c r="BC1010" s="50" t="n">
        <f aca="false">ROUNDUP(MAX(J1010/IF(CD1010&gt;0,CD1010,MAX(0.1,N(Cockpit!$O$6))),CG1010)/BV1010,0)*BV1010</f>
        <v>262</v>
      </c>
      <c r="BD1010" s="51" t="n">
        <f aca="false">IF(BA1010&gt;0,J1010/BA1010,-1)</f>
        <v>9.76326530612245</v>
      </c>
      <c r="BE1010" s="51" t="n">
        <f aca="false">IF(AND(OR(CC1010="L1",CC1010="L23",CC1010="LIFT"),BA1010&gt;0),SUMIFS($BA$7:$BA$1843,$CC$7:$CC$1843,CC1010,$BD$7:$BD$1843,"&gt;"&amp;BD1010)+SUMIFS($BA$7:$BA$1843,$CC$7:$CC$1843,CC1010,$BD$7:$BD$1843,BD1010,$BT$7:$BT$1843,"&lt;="&amp;BT1010),"")</f>
        <v>3726.92445054945</v>
      </c>
      <c r="BF1010" s="58" t="n">
        <f aca="false">IF(BE1010="",0,MAX(0,MIN(1,(IF(CC1010="L1",Parameter!$H$5,IF(CC1010="L23",Parameter!$H$6+Parameter!$H$7,Parameter!$H$5+Parameter!$H$6+Parameter!$H$7))-(BE1010-BA1010))/BA1010)))</f>
        <v>1</v>
      </c>
      <c r="BG1010" s="48" t="str">
        <f aca="false">IF(AI1010&lt;=0,"",IF(CC1010="Aussen","Aussenlager",IF(CC1010="-","Nicht im Lift",IF(AN1010&gt;=1,"Lift",IF(AN1010&lt;=0,"Aussenlager","teilweise")))))</f>
        <v>Lift</v>
      </c>
      <c r="BH1010" s="48" t="str">
        <f aca="false">IF(AR1010&lt;=0,"",IF(CC1010="Aussen","Aussenlager",IF(CC1010="-","Nicht im Lift",IF(AW1010&gt;=1,"Lift",IF(AW1010&lt;=0,"Aussenlager","teilweise")))))</f>
        <v>Lift</v>
      </c>
      <c r="BI1010" s="48" t="str">
        <f aca="false">IF(BA1010&lt;=0,"",IF(CC1010="Aussen","Aussenlager",IF(CC1010="-","Nicht im Lift",IF(BF1010&gt;=1,"Lift",IF(BF1010&lt;=0,"Aussenlager","teilweise")))))</f>
        <v>Lift</v>
      </c>
      <c r="BJ1010" s="48" t="str">
        <f aca="false">IF(A1010="","",IF(BS1010=1,"Neu; ","")&amp;IF(AND(BS1010=0,BN1010&lt;0),"negativer Bestand (Export "&amp;BN1010&amp;"); ","")&amp;IF(J1010&lt;=0,"Kein Verbrauch; ","")&amp;IF(CL1010&gt;0,"Lift "&amp;W1010&amp;" lt. Liftbericht (Fach "&amp;X1010&amp;" Stk); ",IF(BX1010=1,"Gebinde geschätzt ("&amp;T1010&amp;"); ",IF(BW1010=1,"Lose – Tablare geschätzt; ","")))&amp;IF(H1010&gt;AT1010,"Überbestand "&amp;ROUND(H1010-AT1010,0)&amp;" Stk / CHF "&amp;ROUND((H1010-AT1010)*G1010,0)&amp;"; ","")&amp;IF(AND(CE1010=1,CF1010&lt;CG1010),"MAX &lt; MB+LG; ","")&amp;IF(AND(CK1010&gt;0,CJ1010*10&gt;CK1010),"zu hoch für Tablar; ","")&amp;IF(AND(BS1010=0,OR(CE1010=1,AA1010&lt;&gt;"",U1010&lt;&gt;"",V1010&lt;&gt;"",AB1010&lt;&gt;"")),"manuell übersteuert; ","")&amp;IF(AND(BW1010=0,R1010=0),"Gebinde unbekannt / Stellmass fehlt; ","")&amp;IF(AND(BW1010=0,N(V1010)&lt;=0,N(Q1010)&lt;=0),"Menge pro Gebinde fehlt (Ist = 1 Gebinde); ","")&amp;BR1010)</f>
        <v>negativer Bestand (Export -27); </v>
      </c>
      <c r="BK1010" s="48"/>
      <c r="BL1010" s="48"/>
      <c r="BM1010" s="55"/>
      <c r="BN1010" s="50" t="n">
        <v>-27</v>
      </c>
      <c r="BO1010" s="50" t="n">
        <v>164</v>
      </c>
      <c r="BP1010" s="49" t="n">
        <v>-107.619999999999</v>
      </c>
      <c r="BQ1010" s="50" t="n">
        <v>184</v>
      </c>
      <c r="BR1010" s="48"/>
      <c r="BS1010" s="53" t="n">
        <v>0</v>
      </c>
      <c r="BT1010" s="53" t="n">
        <v>1010</v>
      </c>
      <c r="BU1010" s="48" t="str">
        <f aca="false">IF(U1010&lt;&gt;"",UPPER(TRIM(U1010)),IF(BX1010=1,UPPER(VLOOKUP(T1010,Parameter!$I$27:$K$29,2,0)),IF(P1010="","LOSE",P1010)))</f>
        <v>S52</v>
      </c>
      <c r="BV1010" s="50" t="n">
        <f aca="false">IF(BU1010="LOSE",1,IF(N(V1010)&gt;0,V1010,IF(BX1010=1,MAX(1,N(VLOOKUP(T1010,Parameter!$I$27:$K$29,3,0)),H1010,N(N1010)),IF(N(Q1010)&gt;0,Q1010,MAX(1,H1010)))))</f>
        <v>131</v>
      </c>
      <c r="BW1010" s="53" t="n">
        <f aca="false">IF(BU1010="LOSE",1,0)</f>
        <v>0</v>
      </c>
      <c r="BX1010" s="53" t="n">
        <f aca="false">IF(AND(U1010="",OR(P1010="",P1010="LOSE"),T1010&lt;&gt;"",N(S1010)&lt;=0,ISNUMBER(MATCH(T1010,Parameter!$I$27:$I$29,0))),1,0)</f>
        <v>0</v>
      </c>
      <c r="BY1010" s="53" t="n">
        <f aca="false">IF(CL1010&gt;0,INDEX(Parameter!$H$5:$H$7,W1010)/INDEX(Parameter!$E$5:$E$7,W1010),IF(AND(BW1010=0,N(IFERROR(VLOOKUP(BU1010,'Gebinde-Kategorie'!$A$5:$N$45,14,0),0))&gt;0),VLOOKUP(BU1010,'Gebinde-Kategorie'!$A$5:$N$45,14,0)*10+Parameter!$M$23,Parameter!$M$24))</f>
        <v>245</v>
      </c>
      <c r="BZ1010" s="48" t="str">
        <f aca="false">IF(AND(Parameter!$B$19="Ja",E1010&lt;&gt;"",ISNUMBER(MATCH(E1010,Parameter!$I$35:$I$52,0))),VLOOKUP(E1010,Parameter!$I$35:$J$52,2,0),IFERROR(VLOOKUP(D1010,Parameter!$A$35:$C$64,2,0),"Nein"))</f>
        <v>2+3</v>
      </c>
      <c r="CA1010" s="52" t="n">
        <f aca="false">IF(BW1010=0,0,IF(N(S1010)&gt;0,S1010,IFERROR(VLOOKUP(D1010,Parameter!$A$35:$C$64,3,0)+0,0)))</f>
        <v>0</v>
      </c>
      <c r="CB1010" s="48" t="n">
        <f aca="false">IF(AA1010&lt;&gt;"",AA1010,Z1010)</f>
        <v>3</v>
      </c>
      <c r="CC1010" s="48" t="str">
        <f aca="false">IF(OR(CB1010=1,CB1010=2,CB1010=3),IF(Parameter!$E$27="Ja","LIFT",IF(CB1010=1,"L1","L23")),IF(CB1010="Aussen","Aussen","-"))</f>
        <v>LIFT</v>
      </c>
      <c r="CD1010" s="59" t="n">
        <f aca="false">IF(N(AB1010)&gt;0,AB1010,0)</f>
        <v>0</v>
      </c>
      <c r="CE1010" s="53" t="n">
        <f aca="false">IF(ISNUMBER(AE1010),1,0)</f>
        <v>0</v>
      </c>
      <c r="CF1010" s="50" t="n">
        <f aca="false">N(AE1010)</f>
        <v>0</v>
      </c>
      <c r="CG1010" s="50" t="n">
        <f aca="false">N(M1010)+N(N1010)</f>
        <v>201</v>
      </c>
      <c r="CH1010" s="50" t="n">
        <f aca="false">ROUNDUP(H1010/BV1010,0)</f>
        <v>2</v>
      </c>
      <c r="CI1010" s="50" t="n">
        <f aca="false">ROUNDUP(CF1010/BV1010,0)</f>
        <v>0</v>
      </c>
      <c r="CJ1010" s="53" t="n">
        <f aca="false">IF(BW1010=1,0,IFERROR(VLOOKUP(BU1010,'Gebinde-Kategorie'!$A$5:$N$45,5,0)+0,0))</f>
        <v>21</v>
      </c>
      <c r="CK1010" s="53" t="n">
        <f aca="false">IFERROR(IF(OR(CB1010=1,CB1010=2,CB1010=3),N(INDEX(Parameter!$I$5:$I$7,CB1010)),0),0)</f>
        <v>0</v>
      </c>
      <c r="CL1010" s="52" t="n">
        <f aca="false">IF(AND(Parameter!$B$21="Ja",ISNUMBER(W1010),N(X1010)&gt;0),IFERROR(N(INDEX(Parameter!$L$5:$L$7,W1010))*INDEX(Parameter!$E$5:$E$7,W1010)*X1010/SUMIFS($X$7:$X$1843,$W$7:$W$1843,W1010),0),0)</f>
        <v>0</v>
      </c>
    </row>
    <row r="1011" customFormat="false" ht="15" hidden="false" customHeight="false" outlineLevel="0" collapsed="false">
      <c r="A1011" s="48" t="s">
        <v>1867</v>
      </c>
      <c r="B1011" s="48" t="s">
        <v>1868</v>
      </c>
      <c r="C1011" s="48" t="s">
        <v>168</v>
      </c>
      <c r="D1011" s="48" t="s">
        <v>177</v>
      </c>
      <c r="E1011" s="48" t="s">
        <v>189</v>
      </c>
      <c r="F1011" s="48" t="s">
        <v>222</v>
      </c>
      <c r="G1011" s="49" t="n">
        <v>54.04</v>
      </c>
      <c r="H1011" s="50" t="n">
        <f aca="false">MAX(0,IF(AND(Parameter!$B$21="Ja",ISNUMBER(Y1011)),Y1011,IF(Parameter!$B$20="Jahresanfang 2025 + Export",BO1011+BN1011,BN1011)))</f>
        <v>30</v>
      </c>
      <c r="I1011" s="50" t="n">
        <f aca="false">H1011*G1011</f>
        <v>1621.2</v>
      </c>
      <c r="J1011" s="50" t="n">
        <f aca="false">BQ1011*Parameter!$B$18</f>
        <v>0</v>
      </c>
      <c r="K1011" s="51" t="n">
        <v>31</v>
      </c>
      <c r="L1011" s="52" t="n">
        <v>0</v>
      </c>
      <c r="M1011" s="50" t="n">
        <v>0</v>
      </c>
      <c r="N1011" s="50" t="n">
        <v>1</v>
      </c>
      <c r="O1011" s="53" t="n">
        <v>42</v>
      </c>
      <c r="P1011" s="48" t="s">
        <v>297</v>
      </c>
      <c r="Q1011" s="50" t="n">
        <v>32</v>
      </c>
      <c r="R1011" s="53" t="n">
        <f aca="false">IF(BW1011=1,0,IFERROR(VLOOKUP(BU1011,'Gebinde-Kategorie'!$A$5:$N$45,13,0)+0,0))</f>
        <v>12</v>
      </c>
      <c r="S1011" s="54"/>
      <c r="T1011" s="55"/>
      <c r="U1011" s="55"/>
      <c r="V1011" s="55"/>
      <c r="W1011" s="48"/>
      <c r="X1011" s="50"/>
      <c r="Y1011" s="50"/>
      <c r="Z1011" s="48" t="n">
        <f aca="false">IF(A1011="","",IF(AND(Parameter!$B$21="Ja",ISNUMBER(W1011)),W1011,IF(BZ1011="2+3",IF(ISNUMBER(SEARCH("grosser Artikel",BR1011)),2,IFERROR(VLOOKUP(BU1011,Parameter!$F$35:$G$64,2,0),2)),IF(OR(BZ1011="Nein",BZ1011=""),"-",BZ1011))))</f>
        <v>2</v>
      </c>
      <c r="AA1011" s="55"/>
      <c r="AB1011" s="56"/>
      <c r="AC1011" s="50" t="n">
        <f aca="false">AT1011</f>
        <v>32</v>
      </c>
      <c r="AD1011" s="50" t="n">
        <f aca="false">MAX(AT1011,H1011)</f>
        <v>32</v>
      </c>
      <c r="AE1011" s="57"/>
      <c r="AF1011" s="50" t="n">
        <f aca="false">IF(LEFT(Cockpit!$C$5,1)="A",H1011,IF(CE1011=1,CF1011,IF(LEFT(Cockpit!$C$5,1)="B",AK1011,MAX(AK1011,H1011))))</f>
        <v>30</v>
      </c>
      <c r="AG1011" s="50" t="n">
        <f aca="false">IF(BW1011=1,0,ROUNDUP(AF1011/BV1011,0))</f>
        <v>1</v>
      </c>
      <c r="AH1011" s="52" t="n">
        <f aca="false">IF(CL1011&gt;0,CL1011*MAX(1,AF1011/X1011),IF(BW1011=1,IF(AF1011&lt;=0,0,CA1011*MAX(1,IF(H1011&gt;0,AF1011/H1011,1))),IF(R1011&gt;0,AG1011/R1011,0))/MAX(0.1,N(Parameter!$M$21)))</f>
        <v>0.0833333333333333</v>
      </c>
      <c r="AI1011" s="50" t="n">
        <f aca="false">AH1011*BY1011</f>
        <v>20.4166666666667</v>
      </c>
      <c r="AJ1011" s="50" t="n">
        <f aca="false">AF1011*G1011</f>
        <v>1621.2</v>
      </c>
      <c r="AK1011" s="50" t="n">
        <f aca="false">ROUNDUP(MAX(J1011/IF(CD1011&gt;0,CD1011,MAX(0.1,N(Cockpit!$C$6))),CG1011)/BV1011,0)*BV1011</f>
        <v>32</v>
      </c>
      <c r="AL1011" s="51" t="n">
        <f aca="false">IF(AI1011&gt;0,J1011/AI1011,-1)</f>
        <v>0</v>
      </c>
      <c r="AM1011" s="51" t="n">
        <f aca="false">IF(AND(OR(CC1011="L1",CC1011="L23",CC1011="LIFT"),AI1011&gt;0),SUMIFS($AI$7:$AI$1843,$CC$7:$CC$1843,CC1011,$AL$7:$AL$1843,"&gt;"&amp;AL1011)+SUMIFS($AI$7:$AI$1843,$CC$7:$CC$1843,CC1011,$AL$7:$AL$1843,AL1011,$BT$7:$BT$1843,"&lt;="&amp;BT1011),"")</f>
        <v>28985.6146370108</v>
      </c>
      <c r="AN1011" s="58" t="n">
        <f aca="false">IF(AM1011="",0,MAX(0,MIN(1,(IF(CC1011="L1",Parameter!$H$5,IF(CC1011="L23",Parameter!$H$6+Parameter!$H$7,Parameter!$H$5+Parameter!$H$6+Parameter!$H$7))-(AM1011-AI1011))/AI1011)))</f>
        <v>1</v>
      </c>
      <c r="AO1011" s="50" t="n">
        <f aca="false">IF(LEFT(Cockpit!$I$5,1)="A",H1011,IF(CE1011=1,CF1011,IF(LEFT(Cockpit!$I$5,1)="B",AT1011,MAX(AT1011,H1011))))</f>
        <v>32</v>
      </c>
      <c r="AP1011" s="50" t="n">
        <f aca="false">IF(BW1011=1,0,ROUNDUP(AO1011/BV1011,0))</f>
        <v>1</v>
      </c>
      <c r="AQ1011" s="52" t="n">
        <f aca="false">IF(CL1011&gt;0,CL1011*MAX(1,AO1011/X1011),IF(BW1011=1,IF(AO1011&lt;=0,0,CA1011*MAX(1,IF(H1011&gt;0,AO1011/H1011,1))),IF(R1011&gt;0,AP1011/R1011,0))/MAX(0.1,N(Parameter!$M$21)))</f>
        <v>0.0833333333333333</v>
      </c>
      <c r="AR1011" s="50" t="n">
        <f aca="false">AQ1011*BY1011</f>
        <v>20.4166666666667</v>
      </c>
      <c r="AS1011" s="50" t="n">
        <f aca="false">AO1011*G1011</f>
        <v>1729.28</v>
      </c>
      <c r="AT1011" s="50" t="n">
        <f aca="false">ROUNDUP(MAX(J1011/IF(CD1011&gt;0,CD1011,MAX(0.1,N(Cockpit!$I$6))),CG1011)/BV1011,0)*BV1011</f>
        <v>32</v>
      </c>
      <c r="AU1011" s="51" t="n">
        <f aca="false">IF(AR1011&gt;0,J1011/AR1011,-1)</f>
        <v>0</v>
      </c>
      <c r="AV1011" s="51" t="n">
        <f aca="false">IF(AND(OR(CC1011="L1",CC1011="L23",CC1011="LIFT"),AR1011&gt;0),SUMIFS($AR$7:$AR$1843,$CC$7:$CC$1843,CC1011,$AU$7:$AU$1843,"&gt;"&amp;AU1011)+SUMIFS($AR$7:$AR$1843,$CC$7:$CC$1843,CC1011,$AU$7:$AU$1843,AU1011,$BT$7:$BT$1843,"&lt;="&amp;BT1011),"")</f>
        <v>40652.7683227789</v>
      </c>
      <c r="AW1011" s="58" t="n">
        <f aca="false">IF(AV1011="",0,MAX(0,MIN(1,(IF(CC1011="L1",Parameter!$H$5,IF(CC1011="L23",Parameter!$H$6+Parameter!$H$7,Parameter!$H$5+Parameter!$H$6+Parameter!$H$7))-(AV1011-AR1011))/AR1011)))</f>
        <v>0</v>
      </c>
      <c r="AX1011" s="50" t="n">
        <f aca="false">IF(LEFT(Cockpit!$O$5,1)="A",H1011,IF(CE1011=1,CF1011,IF(LEFT(Cockpit!$O$5,1)="B",BC1011,MAX(BC1011,H1011))))</f>
        <v>32</v>
      </c>
      <c r="AY1011" s="50" t="n">
        <f aca="false">IF(BW1011=1,0,ROUNDUP(AX1011/BV1011,0))</f>
        <v>1</v>
      </c>
      <c r="AZ1011" s="52" t="n">
        <f aca="false">IF(CL1011&gt;0,CL1011*MAX(1,AX1011/X1011),IF(BW1011=1,IF(AX1011&lt;=0,0,CA1011*MAX(1,IF(H1011&gt;0,AX1011/H1011,1))),IF(R1011&gt;0,AY1011/R1011,0))/MAX(0.1,N(Parameter!$M$21)))</f>
        <v>0.0833333333333333</v>
      </c>
      <c r="BA1011" s="50" t="n">
        <f aca="false">AZ1011*BY1011</f>
        <v>20.4166666666667</v>
      </c>
      <c r="BB1011" s="50" t="n">
        <f aca="false">AX1011*G1011</f>
        <v>1729.28</v>
      </c>
      <c r="BC1011" s="50" t="n">
        <f aca="false">ROUNDUP(MAX(J1011/IF(CD1011&gt;0,CD1011,MAX(0.1,N(Cockpit!$O$6))),CG1011)/BV1011,0)*BV1011</f>
        <v>32</v>
      </c>
      <c r="BD1011" s="51" t="n">
        <f aca="false">IF(BA1011&gt;0,J1011/BA1011,-1)</f>
        <v>0</v>
      </c>
      <c r="BE1011" s="51" t="n">
        <f aca="false">IF(AND(OR(CC1011="L1",CC1011="L23",CC1011="LIFT"),BA1011&gt;0),SUMIFS($BA$7:$BA$1843,$CC$7:$CC$1843,CC1011,$BD$7:$BD$1843,"&gt;"&amp;BD1011)+SUMIFS($BA$7:$BA$1843,$CC$7:$CC$1843,CC1011,$BD$7:$BD$1843,BD1011,$BT$7:$BT$1843,"&lt;="&amp;BT1011),"")</f>
        <v>37327.7803646448</v>
      </c>
      <c r="BF1011" s="58" t="n">
        <f aca="false">IF(BE1011="",0,MAX(0,MIN(1,(IF(CC1011="L1",Parameter!$H$5,IF(CC1011="L23",Parameter!$H$6+Parameter!$H$7,Parameter!$H$5+Parameter!$H$6+Parameter!$H$7))-(BE1011-BA1011))/BA1011)))</f>
        <v>0</v>
      </c>
      <c r="BG1011" s="48" t="str">
        <f aca="false">IF(AI1011&lt;=0,"",IF(CC1011="Aussen","Aussenlager",IF(CC1011="-","Nicht im Lift",IF(AN1011&gt;=1,"Lift",IF(AN1011&lt;=0,"Aussenlager","teilweise")))))</f>
        <v>Lift</v>
      </c>
      <c r="BH1011" s="48" t="str">
        <f aca="false">IF(AR1011&lt;=0,"",IF(CC1011="Aussen","Aussenlager",IF(CC1011="-","Nicht im Lift",IF(AW1011&gt;=1,"Lift",IF(AW1011&lt;=0,"Aussenlager","teilweise")))))</f>
        <v>Aussenlager</v>
      </c>
      <c r="BI1011" s="48" t="str">
        <f aca="false">IF(BA1011&lt;=0,"",IF(CC1011="Aussen","Aussenlager",IF(CC1011="-","Nicht im Lift",IF(BF1011&gt;=1,"Lift",IF(BF1011&lt;=0,"Aussenlager","teilweise")))))</f>
        <v>Aussenlager</v>
      </c>
      <c r="BJ1011" s="48" t="str">
        <f aca="false">IF(A1011="","",IF(BS1011=1,"Neu; ","")&amp;IF(AND(BS1011=0,BN1011&lt;0),"negativer Bestand (Export "&amp;BN1011&amp;"); ","")&amp;IF(J1011&lt;=0,"Kein Verbrauch; ","")&amp;IF(CL1011&gt;0,"Lift "&amp;W1011&amp;" lt. Liftbericht (Fach "&amp;X1011&amp;" Stk); ",IF(BX1011=1,"Gebinde geschätzt ("&amp;T1011&amp;"); ",IF(BW1011=1,"Lose – Tablare geschätzt; ","")))&amp;IF(H1011&gt;AT1011,"Überbestand "&amp;ROUND(H1011-AT1011,0)&amp;" Stk / CHF "&amp;ROUND((H1011-AT1011)*G1011,0)&amp;"; ","")&amp;IF(AND(CE1011=1,CF1011&lt;CG1011),"MAX &lt; MB+LG; ","")&amp;IF(AND(CK1011&gt;0,CJ1011*10&gt;CK1011),"zu hoch für Tablar; ","")&amp;IF(AND(BS1011=0,OR(CE1011=1,AA1011&lt;&gt;"",U1011&lt;&gt;"",V1011&lt;&gt;"",AB1011&lt;&gt;"")),"manuell übersteuert; ","")&amp;IF(AND(BW1011=0,R1011=0),"Gebinde unbekannt / Stellmass fehlt; ","")&amp;IF(AND(BW1011=0,N(V1011)&lt;=0,N(Q1011)&lt;=0),"Menge pro Gebinde fehlt (Ist = 1 Gebinde); ","")&amp;BR1011)</f>
        <v>negativer Bestand (Export -2); Kein Verbrauch; </v>
      </c>
      <c r="BK1011" s="48"/>
      <c r="BL1011" s="48"/>
      <c r="BM1011" s="55"/>
      <c r="BN1011" s="50" t="n">
        <v>-2</v>
      </c>
      <c r="BO1011" s="50" t="n">
        <v>32</v>
      </c>
      <c r="BP1011" s="49" t="n">
        <v>-108.08</v>
      </c>
      <c r="BQ1011" s="50" t="n">
        <v>0</v>
      </c>
      <c r="BR1011" s="48"/>
      <c r="BS1011" s="53" t="n">
        <v>0</v>
      </c>
      <c r="BT1011" s="53" t="n">
        <v>1011</v>
      </c>
      <c r="BU1011" s="48" t="str">
        <f aca="false">IF(U1011&lt;&gt;"",UPPER(TRIM(U1011)),IF(BX1011=1,UPPER(VLOOKUP(T1011,Parameter!$I$27:$K$29,2,0)),IF(P1011="","LOSE",P1011)))</f>
        <v>S62</v>
      </c>
      <c r="BV1011" s="50" t="n">
        <f aca="false">IF(BU1011="LOSE",1,IF(N(V1011)&gt;0,V1011,IF(BX1011=1,MAX(1,N(VLOOKUP(T1011,Parameter!$I$27:$K$29,3,0)),H1011,N(N1011)),IF(N(Q1011)&gt;0,Q1011,MAX(1,H1011)))))</f>
        <v>32</v>
      </c>
      <c r="BW1011" s="53" t="n">
        <f aca="false">IF(BU1011="LOSE",1,0)</f>
        <v>0</v>
      </c>
      <c r="BX1011" s="53" t="n">
        <f aca="false">IF(AND(U1011="",OR(P1011="",P1011="LOSE"),T1011&lt;&gt;"",N(S1011)&lt;=0,ISNUMBER(MATCH(T1011,Parameter!$I$27:$I$29,0))),1,0)</f>
        <v>0</v>
      </c>
      <c r="BY1011" s="53" t="n">
        <f aca="false">IF(CL1011&gt;0,INDEX(Parameter!$H$5:$H$7,W1011)/INDEX(Parameter!$E$5:$E$7,W1011),IF(AND(BW1011=0,N(IFERROR(VLOOKUP(BU1011,'Gebinde-Kategorie'!$A$5:$N$45,14,0),0))&gt;0),VLOOKUP(BU1011,'Gebinde-Kategorie'!$A$5:$N$45,14,0)*10+Parameter!$M$23,Parameter!$M$24))</f>
        <v>245</v>
      </c>
      <c r="BZ1011" s="48" t="str">
        <f aca="false">IF(AND(Parameter!$B$19="Ja",E1011&lt;&gt;"",ISNUMBER(MATCH(E1011,Parameter!$I$35:$I$52,0))),VLOOKUP(E1011,Parameter!$I$35:$J$52,2,0),IFERROR(VLOOKUP(D1011,Parameter!$A$35:$C$64,2,0),"Nein"))</f>
        <v>2+3</v>
      </c>
      <c r="CA1011" s="52" t="n">
        <f aca="false">IF(BW1011=0,0,IF(N(S1011)&gt;0,S1011,IFERROR(VLOOKUP(D1011,Parameter!$A$35:$C$64,3,0)+0,0)))</f>
        <v>0</v>
      </c>
      <c r="CB1011" s="48" t="n">
        <f aca="false">IF(AA1011&lt;&gt;"",AA1011,Z1011)</f>
        <v>2</v>
      </c>
      <c r="CC1011" s="48" t="str">
        <f aca="false">IF(OR(CB1011=1,CB1011=2,CB1011=3),IF(Parameter!$E$27="Ja","LIFT",IF(CB1011=1,"L1","L23")),IF(CB1011="Aussen","Aussen","-"))</f>
        <v>LIFT</v>
      </c>
      <c r="CD1011" s="59" t="n">
        <f aca="false">IF(N(AB1011)&gt;0,AB1011,0)</f>
        <v>0</v>
      </c>
      <c r="CE1011" s="53" t="n">
        <f aca="false">IF(ISNUMBER(AE1011),1,0)</f>
        <v>0</v>
      </c>
      <c r="CF1011" s="50" t="n">
        <f aca="false">N(AE1011)</f>
        <v>0</v>
      </c>
      <c r="CG1011" s="50" t="n">
        <f aca="false">N(M1011)+N(N1011)</f>
        <v>1</v>
      </c>
      <c r="CH1011" s="50" t="n">
        <f aca="false">ROUNDUP(H1011/BV1011,0)</f>
        <v>1</v>
      </c>
      <c r="CI1011" s="50" t="n">
        <f aca="false">ROUNDUP(CF1011/BV1011,0)</f>
        <v>0</v>
      </c>
      <c r="CJ1011" s="53" t="n">
        <f aca="false">IF(BW1011=1,0,IFERROR(VLOOKUP(BU1011,'Gebinde-Kategorie'!$A$5:$N$45,5,0)+0,0))</f>
        <v>21</v>
      </c>
      <c r="CK1011" s="53" t="n">
        <f aca="false">IFERROR(IF(OR(CB1011=1,CB1011=2,CB1011=3),N(INDEX(Parameter!$I$5:$I$7,CB1011)),0),0)</f>
        <v>0</v>
      </c>
      <c r="CL1011" s="52" t="n">
        <f aca="false">IF(AND(Parameter!$B$21="Ja",ISNUMBER(W1011),N(X1011)&gt;0),IFERROR(N(INDEX(Parameter!$L$5:$L$7,W1011))*INDEX(Parameter!$E$5:$E$7,W1011)*X1011/SUMIFS($X$7:$X$1843,$W$7:$W$1843,W1011),0),0)</f>
        <v>0</v>
      </c>
    </row>
    <row r="1012" customFormat="false" ht="15" hidden="false" customHeight="false" outlineLevel="0" collapsed="false">
      <c r="A1012" s="48" t="s">
        <v>1869</v>
      </c>
      <c r="B1012" s="48" t="s">
        <v>439</v>
      </c>
      <c r="C1012" s="48" t="s">
        <v>168</v>
      </c>
      <c r="D1012" s="48" t="s">
        <v>188</v>
      </c>
      <c r="E1012" s="48" t="s">
        <v>189</v>
      </c>
      <c r="F1012" s="48" t="s">
        <v>222</v>
      </c>
      <c r="G1012" s="49" t="n">
        <v>2.71</v>
      </c>
      <c r="H1012" s="50" t="n">
        <f aca="false">MAX(0,IF(AND(Parameter!$B$21="Ja",ISNUMBER(Y1012)),Y1012,IF(Parameter!$B$20="Jahresanfang 2025 + Export",BO1012+BN1012,BN1012)))</f>
        <v>47</v>
      </c>
      <c r="I1012" s="50" t="n">
        <f aca="false">H1012*G1012</f>
        <v>127.37</v>
      </c>
      <c r="J1012" s="50" t="n">
        <f aca="false">BQ1012*Parameter!$B$18</f>
        <v>0</v>
      </c>
      <c r="K1012" s="51" t="n">
        <v>69</v>
      </c>
      <c r="L1012" s="52" t="n">
        <v>0</v>
      </c>
      <c r="M1012" s="50" t="n">
        <v>0</v>
      </c>
      <c r="N1012" s="50" t="n">
        <v>1</v>
      </c>
      <c r="O1012" s="53" t="n">
        <v>14</v>
      </c>
      <c r="P1012" s="48" t="s">
        <v>306</v>
      </c>
      <c r="Q1012" s="50" t="n">
        <v>94</v>
      </c>
      <c r="R1012" s="53" t="n">
        <f aca="false">IF(BW1012=1,0,IFERROR(VLOOKUP(BU1012,'Gebinde-Kategorie'!$A$5:$N$45,13,0)+0,0))</f>
        <v>26</v>
      </c>
      <c r="S1012" s="54"/>
      <c r="T1012" s="55"/>
      <c r="U1012" s="55"/>
      <c r="V1012" s="55"/>
      <c r="W1012" s="48"/>
      <c r="X1012" s="50"/>
      <c r="Y1012" s="50"/>
      <c r="Z1012" s="48" t="n">
        <f aca="false">IF(A1012="","",IF(AND(Parameter!$B$21="Ja",ISNUMBER(W1012)),W1012,IF(BZ1012="2+3",IF(ISNUMBER(SEARCH("grosser Artikel",BR1012)),2,IFERROR(VLOOKUP(BU1012,Parameter!$F$35:$G$64,2,0),2)),IF(OR(BZ1012="Nein",BZ1012=""),"-",BZ1012))))</f>
        <v>3</v>
      </c>
      <c r="AA1012" s="55"/>
      <c r="AB1012" s="56"/>
      <c r="AC1012" s="50" t="n">
        <f aca="false">AT1012</f>
        <v>94</v>
      </c>
      <c r="AD1012" s="50" t="n">
        <f aca="false">MAX(AT1012,H1012)</f>
        <v>94</v>
      </c>
      <c r="AE1012" s="57"/>
      <c r="AF1012" s="50" t="n">
        <f aca="false">IF(LEFT(Cockpit!$C$5,1)="A",H1012,IF(CE1012=1,CF1012,IF(LEFT(Cockpit!$C$5,1)="B",AK1012,MAX(AK1012,H1012))))</f>
        <v>47</v>
      </c>
      <c r="AG1012" s="50" t="n">
        <f aca="false">IF(BW1012=1,0,ROUNDUP(AF1012/BV1012,0))</f>
        <v>1</v>
      </c>
      <c r="AH1012" s="52" t="n">
        <f aca="false">IF(CL1012&gt;0,CL1012*MAX(1,AF1012/X1012),IF(BW1012=1,IF(AF1012&lt;=0,0,CA1012*MAX(1,IF(H1012&gt;0,AF1012/H1012,1))),IF(R1012&gt;0,AG1012/R1012,0))/MAX(0.1,N(Parameter!$M$21)))</f>
        <v>0.0384615384615385</v>
      </c>
      <c r="AI1012" s="50" t="n">
        <f aca="false">AH1012*BY1012</f>
        <v>5.96153846153846</v>
      </c>
      <c r="AJ1012" s="50" t="n">
        <f aca="false">AF1012*G1012</f>
        <v>127.37</v>
      </c>
      <c r="AK1012" s="50" t="n">
        <f aca="false">ROUNDUP(MAX(J1012/IF(CD1012&gt;0,CD1012,MAX(0.1,N(Cockpit!$C$6))),CG1012)/BV1012,0)*BV1012</f>
        <v>94</v>
      </c>
      <c r="AL1012" s="51" t="n">
        <f aca="false">IF(AI1012&gt;0,J1012/AI1012,-1)</f>
        <v>0</v>
      </c>
      <c r="AM1012" s="51" t="n">
        <f aca="false">IF(AND(OR(CC1012="L1",CC1012="L23",CC1012="LIFT"),AI1012&gt;0),SUMIFS($AI$7:$AI$1843,$CC$7:$CC$1843,CC1012,$AL$7:$AL$1843,"&gt;"&amp;AL1012)+SUMIFS($AI$7:$AI$1843,$CC$7:$CC$1843,CC1012,$AL$7:$AL$1843,AL1012,$BT$7:$BT$1843,"&lt;="&amp;BT1012),"")</f>
        <v>28991.5761754724</v>
      </c>
      <c r="AN1012" s="58" t="n">
        <f aca="false">IF(AM1012="",0,MAX(0,MIN(1,(IF(CC1012="L1",Parameter!$H$5,IF(CC1012="L23",Parameter!$H$6+Parameter!$H$7,Parameter!$H$5+Parameter!$H$6+Parameter!$H$7))-(AM1012-AI1012))/AI1012)))</f>
        <v>1</v>
      </c>
      <c r="AO1012" s="50" t="n">
        <f aca="false">IF(LEFT(Cockpit!$I$5,1)="A",H1012,IF(CE1012=1,CF1012,IF(LEFT(Cockpit!$I$5,1)="B",AT1012,MAX(AT1012,H1012))))</f>
        <v>94</v>
      </c>
      <c r="AP1012" s="50" t="n">
        <f aca="false">IF(BW1012=1,0,ROUNDUP(AO1012/BV1012,0))</f>
        <v>1</v>
      </c>
      <c r="AQ1012" s="52" t="n">
        <f aca="false">IF(CL1012&gt;0,CL1012*MAX(1,AO1012/X1012),IF(BW1012=1,IF(AO1012&lt;=0,0,CA1012*MAX(1,IF(H1012&gt;0,AO1012/H1012,1))),IF(R1012&gt;0,AP1012/R1012,0))/MAX(0.1,N(Parameter!$M$21)))</f>
        <v>0.0384615384615385</v>
      </c>
      <c r="AR1012" s="50" t="n">
        <f aca="false">AQ1012*BY1012</f>
        <v>5.96153846153846</v>
      </c>
      <c r="AS1012" s="50" t="n">
        <f aca="false">AO1012*G1012</f>
        <v>254.74</v>
      </c>
      <c r="AT1012" s="50" t="n">
        <f aca="false">ROUNDUP(MAX(J1012/IF(CD1012&gt;0,CD1012,MAX(0.1,N(Cockpit!$I$6))),CG1012)/BV1012,0)*BV1012</f>
        <v>94</v>
      </c>
      <c r="AU1012" s="51" t="n">
        <f aca="false">IF(AR1012&gt;0,J1012/AR1012,-1)</f>
        <v>0</v>
      </c>
      <c r="AV1012" s="51" t="n">
        <f aca="false">IF(AND(OR(CC1012="L1",CC1012="L23",CC1012="LIFT"),AR1012&gt;0),SUMIFS($AR$7:$AR$1843,$CC$7:$CC$1843,CC1012,$AU$7:$AU$1843,"&gt;"&amp;AU1012)+SUMIFS($AR$7:$AR$1843,$CC$7:$CC$1843,CC1012,$AU$7:$AU$1843,AU1012,$BT$7:$BT$1843,"&lt;="&amp;BT1012),"")</f>
        <v>40658.7298612405</v>
      </c>
      <c r="AW1012" s="58" t="n">
        <f aca="false">IF(AV1012="",0,MAX(0,MIN(1,(IF(CC1012="L1",Parameter!$H$5,IF(CC1012="L23",Parameter!$H$6+Parameter!$H$7,Parameter!$H$5+Parameter!$H$6+Parameter!$H$7))-(AV1012-AR1012))/AR1012)))</f>
        <v>0</v>
      </c>
      <c r="AX1012" s="50" t="n">
        <f aca="false">IF(LEFT(Cockpit!$O$5,1)="A",H1012,IF(CE1012=1,CF1012,IF(LEFT(Cockpit!$O$5,1)="B",BC1012,MAX(BC1012,H1012))))</f>
        <v>94</v>
      </c>
      <c r="AY1012" s="50" t="n">
        <f aca="false">IF(BW1012=1,0,ROUNDUP(AX1012/BV1012,0))</f>
        <v>1</v>
      </c>
      <c r="AZ1012" s="52" t="n">
        <f aca="false">IF(CL1012&gt;0,CL1012*MAX(1,AX1012/X1012),IF(BW1012=1,IF(AX1012&lt;=0,0,CA1012*MAX(1,IF(H1012&gt;0,AX1012/H1012,1))),IF(R1012&gt;0,AY1012/R1012,0))/MAX(0.1,N(Parameter!$M$21)))</f>
        <v>0.0384615384615385</v>
      </c>
      <c r="BA1012" s="50" t="n">
        <f aca="false">AZ1012*BY1012</f>
        <v>5.96153846153846</v>
      </c>
      <c r="BB1012" s="50" t="n">
        <f aca="false">AX1012*G1012</f>
        <v>254.74</v>
      </c>
      <c r="BC1012" s="50" t="n">
        <f aca="false">ROUNDUP(MAX(J1012/IF(CD1012&gt;0,CD1012,MAX(0.1,N(Cockpit!$O$6))),CG1012)/BV1012,0)*BV1012</f>
        <v>94</v>
      </c>
      <c r="BD1012" s="51" t="n">
        <f aca="false">IF(BA1012&gt;0,J1012/BA1012,-1)</f>
        <v>0</v>
      </c>
      <c r="BE1012" s="51" t="n">
        <f aca="false">IF(AND(OR(CC1012="L1",CC1012="L23",CC1012="LIFT"),BA1012&gt;0),SUMIFS($BA$7:$BA$1843,$CC$7:$CC$1843,CC1012,$BD$7:$BD$1843,"&gt;"&amp;BD1012)+SUMIFS($BA$7:$BA$1843,$CC$7:$CC$1843,CC1012,$BD$7:$BD$1843,BD1012,$BT$7:$BT$1843,"&lt;="&amp;BT1012),"")</f>
        <v>37333.7419031063</v>
      </c>
      <c r="BF1012" s="58" t="n">
        <f aca="false">IF(BE1012="",0,MAX(0,MIN(1,(IF(CC1012="L1",Parameter!$H$5,IF(CC1012="L23",Parameter!$H$6+Parameter!$H$7,Parameter!$H$5+Parameter!$H$6+Parameter!$H$7))-(BE1012-BA1012))/BA1012)))</f>
        <v>0</v>
      </c>
      <c r="BG1012" s="48" t="str">
        <f aca="false">IF(AI1012&lt;=0,"",IF(CC1012="Aussen","Aussenlager",IF(CC1012="-","Nicht im Lift",IF(AN1012&gt;=1,"Lift",IF(AN1012&lt;=0,"Aussenlager","teilweise")))))</f>
        <v>Lift</v>
      </c>
      <c r="BH1012" s="48" t="str">
        <f aca="false">IF(AR1012&lt;=0,"",IF(CC1012="Aussen","Aussenlager",IF(CC1012="-","Nicht im Lift",IF(AW1012&gt;=1,"Lift",IF(AW1012&lt;=0,"Aussenlager","teilweise")))))</f>
        <v>Aussenlager</v>
      </c>
      <c r="BI1012" s="48" t="str">
        <f aca="false">IF(BA1012&lt;=0,"",IF(CC1012="Aussen","Aussenlager",IF(CC1012="-","Nicht im Lift",IF(BF1012&gt;=1,"Lift",IF(BF1012&lt;=0,"Aussenlager","teilweise")))))</f>
        <v>Aussenlager</v>
      </c>
      <c r="BJ1012" s="48" t="str">
        <f aca="false">IF(A1012="","",IF(BS1012=1,"Neu; ","")&amp;IF(AND(BS1012=0,BN1012&lt;0),"negativer Bestand (Export "&amp;BN1012&amp;"); ","")&amp;IF(J1012&lt;=0,"Kein Verbrauch; ","")&amp;IF(CL1012&gt;0,"Lift "&amp;W1012&amp;" lt. Liftbericht (Fach "&amp;X1012&amp;" Stk); ",IF(BX1012=1,"Gebinde geschätzt ("&amp;T1012&amp;"); ",IF(BW1012=1,"Lose – Tablare geschätzt; ","")))&amp;IF(H1012&gt;AT1012,"Überbestand "&amp;ROUND(H1012-AT1012,0)&amp;" Stk / CHF "&amp;ROUND((H1012-AT1012)*G1012,0)&amp;"; ","")&amp;IF(AND(CE1012=1,CF1012&lt;CG1012),"MAX &lt; MB+LG; ","")&amp;IF(AND(CK1012&gt;0,CJ1012*10&gt;CK1012),"zu hoch für Tablar; ","")&amp;IF(AND(BS1012=0,OR(CE1012=1,AA1012&lt;&gt;"",U1012&lt;&gt;"",V1012&lt;&gt;"",AB1012&lt;&gt;"")),"manuell übersteuert; ","")&amp;IF(AND(BW1012=0,R1012=0),"Gebinde unbekannt / Stellmass fehlt; ","")&amp;IF(AND(BW1012=0,N(V1012)&lt;=0,N(Q1012)&lt;=0),"Menge pro Gebinde fehlt (Ist = 1 Gebinde); ","")&amp;BR1012)</f>
        <v>negativer Bestand (Export -41); Kein Verbrauch; Überbestand</v>
      </c>
      <c r="BK1012" s="48"/>
      <c r="BL1012" s="48"/>
      <c r="BM1012" s="55"/>
      <c r="BN1012" s="50" t="n">
        <v>-41</v>
      </c>
      <c r="BO1012" s="50" t="n">
        <v>88</v>
      </c>
      <c r="BP1012" s="49" t="n">
        <v>-110.23</v>
      </c>
      <c r="BQ1012" s="50" t="n">
        <v>0</v>
      </c>
      <c r="BR1012" s="48" t="s">
        <v>396</v>
      </c>
      <c r="BS1012" s="53" t="n">
        <v>0</v>
      </c>
      <c r="BT1012" s="53" t="n">
        <v>1012</v>
      </c>
      <c r="BU1012" s="48" t="str">
        <f aca="false">IF(U1012&lt;&gt;"",UPPER(TRIM(U1012)),IF(BX1012=1,UPPER(VLOOKUP(T1012,Parameter!$I$27:$K$29,2,0)),IF(P1012="","LOSE",P1012)))</f>
        <v>S51</v>
      </c>
      <c r="BV1012" s="50" t="n">
        <f aca="false">IF(BU1012="LOSE",1,IF(N(V1012)&gt;0,V1012,IF(BX1012=1,MAX(1,N(VLOOKUP(T1012,Parameter!$I$27:$K$29,3,0)),H1012,N(N1012)),IF(N(Q1012)&gt;0,Q1012,MAX(1,H1012)))))</f>
        <v>94</v>
      </c>
      <c r="BW1012" s="53" t="n">
        <f aca="false">IF(BU1012="LOSE",1,0)</f>
        <v>0</v>
      </c>
      <c r="BX1012" s="53" t="n">
        <f aca="false">IF(AND(U1012="",OR(P1012="",P1012="LOSE"),T1012&lt;&gt;"",N(S1012)&lt;=0,ISNUMBER(MATCH(T1012,Parameter!$I$27:$I$29,0))),1,0)</f>
        <v>0</v>
      </c>
      <c r="BY1012" s="53" t="n">
        <f aca="false">IF(CL1012&gt;0,INDEX(Parameter!$H$5:$H$7,W1012)/INDEX(Parameter!$E$5:$E$7,W1012),IF(AND(BW1012=0,N(IFERROR(VLOOKUP(BU1012,'Gebinde-Kategorie'!$A$5:$N$45,14,0),0))&gt;0),VLOOKUP(BU1012,'Gebinde-Kategorie'!$A$5:$N$45,14,0)*10+Parameter!$M$23,Parameter!$M$24))</f>
        <v>155</v>
      </c>
      <c r="BZ1012" s="48" t="str">
        <f aca="false">IF(AND(Parameter!$B$19="Ja",E1012&lt;&gt;"",ISNUMBER(MATCH(E1012,Parameter!$I$35:$I$52,0))),VLOOKUP(E1012,Parameter!$I$35:$J$52,2,0),IFERROR(VLOOKUP(D1012,Parameter!$A$35:$C$64,2,0),"Nein"))</f>
        <v>2+3</v>
      </c>
      <c r="CA1012" s="52" t="n">
        <f aca="false">IF(BW1012=0,0,IF(N(S1012)&gt;0,S1012,IFERROR(VLOOKUP(D1012,Parameter!$A$35:$C$64,3,0)+0,0)))</f>
        <v>0</v>
      </c>
      <c r="CB1012" s="48" t="n">
        <f aca="false">IF(AA1012&lt;&gt;"",AA1012,Z1012)</f>
        <v>3</v>
      </c>
      <c r="CC1012" s="48" t="str">
        <f aca="false">IF(OR(CB1012=1,CB1012=2,CB1012=3),IF(Parameter!$E$27="Ja","LIFT",IF(CB1012=1,"L1","L23")),IF(CB1012="Aussen","Aussen","-"))</f>
        <v>LIFT</v>
      </c>
      <c r="CD1012" s="59" t="n">
        <f aca="false">IF(N(AB1012)&gt;0,AB1012,0)</f>
        <v>0</v>
      </c>
      <c r="CE1012" s="53" t="n">
        <f aca="false">IF(ISNUMBER(AE1012),1,0)</f>
        <v>0</v>
      </c>
      <c r="CF1012" s="50" t="n">
        <f aca="false">N(AE1012)</f>
        <v>0</v>
      </c>
      <c r="CG1012" s="50" t="n">
        <f aca="false">N(M1012)+N(N1012)</f>
        <v>1</v>
      </c>
      <c r="CH1012" s="50" t="n">
        <f aca="false">ROUNDUP(H1012/BV1012,0)</f>
        <v>1</v>
      </c>
      <c r="CI1012" s="50" t="n">
        <f aca="false">ROUNDUP(CF1012/BV1012,0)</f>
        <v>0</v>
      </c>
      <c r="CJ1012" s="53" t="n">
        <f aca="false">IF(BW1012=1,0,IFERROR(VLOOKUP(BU1012,'Gebinde-Kategorie'!$A$5:$N$45,5,0)+0,0))</f>
        <v>11</v>
      </c>
      <c r="CK1012" s="53" t="n">
        <f aca="false">IFERROR(IF(OR(CB1012=1,CB1012=2,CB1012=3),N(INDEX(Parameter!$I$5:$I$7,CB1012)),0),0)</f>
        <v>0</v>
      </c>
      <c r="CL1012" s="52" t="n">
        <f aca="false">IF(AND(Parameter!$B$21="Ja",ISNUMBER(W1012),N(X1012)&gt;0),IFERROR(N(INDEX(Parameter!$L$5:$L$7,W1012))*INDEX(Parameter!$E$5:$E$7,W1012)*X1012/SUMIFS($X$7:$X$1843,$W$7:$W$1843,W1012),0),0)</f>
        <v>0</v>
      </c>
    </row>
    <row r="1013" customFormat="false" ht="15" hidden="false" customHeight="false" outlineLevel="0" collapsed="false">
      <c r="A1013" s="48" t="s">
        <v>1870</v>
      </c>
      <c r="B1013" s="48" t="s">
        <v>832</v>
      </c>
      <c r="C1013" s="48" t="s">
        <v>168</v>
      </c>
      <c r="D1013" s="48" t="s">
        <v>177</v>
      </c>
      <c r="E1013" s="48"/>
      <c r="F1013" s="48" t="s">
        <v>222</v>
      </c>
      <c r="G1013" s="49" t="n">
        <v>8.73</v>
      </c>
      <c r="H1013" s="50" t="n">
        <f aca="false">MAX(0,IF(AND(Parameter!$B$21="Ja",ISNUMBER(Y1013)),Y1013,IF(Parameter!$B$20="Jahresanfang 2025 + Export",BO1013+BN1013,BN1013)))</f>
        <v>10</v>
      </c>
      <c r="I1013" s="50" t="n">
        <f aca="false">H1013*G1013</f>
        <v>87.3</v>
      </c>
      <c r="J1013" s="50" t="n">
        <f aca="false">BQ1013*Parameter!$B$18</f>
        <v>20</v>
      </c>
      <c r="K1013" s="51" t="n">
        <v>26</v>
      </c>
      <c r="L1013" s="52" t="n">
        <v>0.769230769230769</v>
      </c>
      <c r="M1013" s="50" t="n">
        <v>2</v>
      </c>
      <c r="N1013" s="50" t="n">
        <v>20</v>
      </c>
      <c r="O1013" s="53" t="n">
        <v>42</v>
      </c>
      <c r="P1013" s="48" t="s">
        <v>178</v>
      </c>
      <c r="Q1013" s="50" t="n">
        <v>24</v>
      </c>
      <c r="R1013" s="53" t="n">
        <f aca="false">IF(BW1013=1,0,IFERROR(VLOOKUP(BU1013,'Gebinde-Kategorie'!$A$5:$N$45,13,0)+0,0))</f>
        <v>6</v>
      </c>
      <c r="S1013" s="54"/>
      <c r="T1013" s="55"/>
      <c r="U1013" s="55"/>
      <c r="V1013" s="55"/>
      <c r="W1013" s="48"/>
      <c r="X1013" s="50"/>
      <c r="Y1013" s="50"/>
      <c r="Z1013" s="48" t="n">
        <f aca="false">IF(A1013="","",IF(AND(Parameter!$B$21="Ja",ISNUMBER(W1013)),W1013,IF(BZ1013="2+3",IF(ISNUMBER(SEARCH("grosser Artikel",BR1013)),2,IFERROR(VLOOKUP(BU1013,Parameter!$F$35:$G$64,2,0),2)),IF(OR(BZ1013="Nein",BZ1013=""),"-",BZ1013))))</f>
        <v>2</v>
      </c>
      <c r="AA1013" s="55"/>
      <c r="AB1013" s="56"/>
      <c r="AC1013" s="50" t="n">
        <f aca="false">AT1013</f>
        <v>24</v>
      </c>
      <c r="AD1013" s="50" t="n">
        <f aca="false">MAX(AT1013,H1013)</f>
        <v>24</v>
      </c>
      <c r="AE1013" s="57"/>
      <c r="AF1013" s="50" t="n">
        <f aca="false">IF(LEFT(Cockpit!$C$5,1)="A",H1013,IF(CE1013=1,CF1013,IF(LEFT(Cockpit!$C$5,1)="B",AK1013,MAX(AK1013,H1013))))</f>
        <v>10</v>
      </c>
      <c r="AG1013" s="50" t="n">
        <f aca="false">IF(BW1013=1,0,ROUNDUP(AF1013/BV1013,0))</f>
        <v>1</v>
      </c>
      <c r="AH1013" s="52" t="n">
        <f aca="false">IF(CL1013&gt;0,CL1013*MAX(1,AF1013/X1013),IF(BW1013=1,IF(AF1013&lt;=0,0,CA1013*MAX(1,IF(H1013&gt;0,AF1013/H1013,1))),IF(R1013&gt;0,AG1013/R1013,0))/MAX(0.1,N(Parameter!$M$21)))</f>
        <v>0.166666666666667</v>
      </c>
      <c r="AI1013" s="50" t="n">
        <f aca="false">AH1013*BY1013</f>
        <v>39.1666666666667</v>
      </c>
      <c r="AJ1013" s="50" t="n">
        <f aca="false">AF1013*G1013</f>
        <v>87.3</v>
      </c>
      <c r="AK1013" s="50" t="n">
        <f aca="false">ROUNDUP(MAX(J1013/IF(CD1013&gt;0,CD1013,MAX(0.1,N(Cockpit!$C$6))),CG1013)/BV1013,0)*BV1013</f>
        <v>24</v>
      </c>
      <c r="AL1013" s="51" t="n">
        <f aca="false">IF(AI1013&gt;0,J1013/AI1013,-1)</f>
        <v>0.510638297872341</v>
      </c>
      <c r="AM1013" s="51" t="n">
        <f aca="false">IF(AND(OR(CC1013="L1",CC1013="L23",CC1013="LIFT"),AI1013&gt;0),SUMIFS($AI$7:$AI$1843,$CC$7:$CC$1843,CC1013,$AL$7:$AL$1843,"&gt;"&amp;AL1013)+SUMIFS($AI$7:$AI$1843,$CC$7:$CC$1843,CC1013,$AL$7:$AL$1843,AL1013,$BT$7:$BT$1843,"&lt;="&amp;BT1013),"")</f>
        <v>9568.12588729538</v>
      </c>
      <c r="AN1013" s="58" t="n">
        <f aca="false">IF(AM1013="",0,MAX(0,MIN(1,(IF(CC1013="L1",Parameter!$H$5,IF(CC1013="L23",Parameter!$H$6+Parameter!$H$7,Parameter!$H$5+Parameter!$H$6+Parameter!$H$7))-(AM1013-AI1013))/AI1013)))</f>
        <v>1</v>
      </c>
      <c r="AO1013" s="50" t="n">
        <f aca="false">IF(LEFT(Cockpit!$I$5,1)="A",H1013,IF(CE1013=1,CF1013,IF(LEFT(Cockpit!$I$5,1)="B",AT1013,MAX(AT1013,H1013))))</f>
        <v>24</v>
      </c>
      <c r="AP1013" s="50" t="n">
        <f aca="false">IF(BW1013=1,0,ROUNDUP(AO1013/BV1013,0))</f>
        <v>1</v>
      </c>
      <c r="AQ1013" s="52" t="n">
        <f aca="false">IF(CL1013&gt;0,CL1013*MAX(1,AO1013/X1013),IF(BW1013=1,IF(AO1013&lt;=0,0,CA1013*MAX(1,IF(H1013&gt;0,AO1013/H1013,1))),IF(R1013&gt;0,AP1013/R1013,0))/MAX(0.1,N(Parameter!$M$21)))</f>
        <v>0.166666666666667</v>
      </c>
      <c r="AR1013" s="50" t="n">
        <f aca="false">AQ1013*BY1013</f>
        <v>39.1666666666667</v>
      </c>
      <c r="AS1013" s="50" t="n">
        <f aca="false">AO1013*G1013</f>
        <v>209.52</v>
      </c>
      <c r="AT1013" s="50" t="n">
        <f aca="false">ROUNDUP(MAX(J1013/IF(CD1013&gt;0,CD1013,MAX(0.1,N(Cockpit!$I$6))),CG1013)/BV1013,0)*BV1013</f>
        <v>24</v>
      </c>
      <c r="AU1013" s="51" t="n">
        <f aca="false">IF(AR1013&gt;0,J1013/AR1013,-1)</f>
        <v>0.510638297872341</v>
      </c>
      <c r="AV1013" s="51" t="n">
        <f aca="false">IF(AND(OR(CC1013="L1",CC1013="L23",CC1013="LIFT"),AR1013&gt;0),SUMIFS($AR$7:$AR$1843,$CC$7:$CC$1843,CC1013,$AU$7:$AU$1843,"&gt;"&amp;AU1013)+SUMIFS($AR$7:$AR$1843,$CC$7:$CC$1843,CC1013,$AU$7:$AU$1843,AU1013,$BT$7:$BT$1843,"&lt;="&amp;BT1013),"")</f>
        <v>14006.3273809524</v>
      </c>
      <c r="AW1013" s="58" t="n">
        <f aca="false">IF(AV1013="",0,MAX(0,MIN(1,(IF(CC1013="L1",Parameter!$H$5,IF(CC1013="L23",Parameter!$H$6+Parameter!$H$7,Parameter!$H$5+Parameter!$H$6+Parameter!$H$7))-(AV1013-AR1013))/AR1013)))</f>
        <v>1</v>
      </c>
      <c r="AX1013" s="50" t="n">
        <f aca="false">IF(LEFT(Cockpit!$O$5,1)="A",H1013,IF(CE1013=1,CF1013,IF(LEFT(Cockpit!$O$5,1)="B",BC1013,MAX(BC1013,H1013))))</f>
        <v>24</v>
      </c>
      <c r="AY1013" s="50" t="n">
        <f aca="false">IF(BW1013=1,0,ROUNDUP(AX1013/BV1013,0))</f>
        <v>1</v>
      </c>
      <c r="AZ1013" s="52" t="n">
        <f aca="false">IF(CL1013&gt;0,CL1013*MAX(1,AX1013/X1013),IF(BW1013=1,IF(AX1013&lt;=0,0,CA1013*MAX(1,IF(H1013&gt;0,AX1013/H1013,1))),IF(R1013&gt;0,AY1013/R1013,0))/MAX(0.1,N(Parameter!$M$21)))</f>
        <v>0.166666666666667</v>
      </c>
      <c r="BA1013" s="50" t="n">
        <f aca="false">AZ1013*BY1013</f>
        <v>39.1666666666667</v>
      </c>
      <c r="BB1013" s="50" t="n">
        <f aca="false">AX1013*G1013</f>
        <v>209.52</v>
      </c>
      <c r="BC1013" s="50" t="n">
        <f aca="false">ROUNDUP(MAX(J1013/IF(CD1013&gt;0,CD1013,MAX(0.1,N(Cockpit!$O$6))),CG1013)/BV1013,0)*BV1013</f>
        <v>24</v>
      </c>
      <c r="BD1013" s="51" t="n">
        <f aca="false">IF(BA1013&gt;0,J1013/BA1013,-1)</f>
        <v>0.510638297872341</v>
      </c>
      <c r="BE1013" s="51" t="n">
        <f aca="false">IF(AND(OR(CC1013="L1",CC1013="L23",CC1013="LIFT"),BA1013&gt;0),SUMIFS($BA$7:$BA$1843,$CC$7:$CC$1843,CC1013,$BD$7:$BD$1843,"&gt;"&amp;BD1013)+SUMIFS($BA$7:$BA$1843,$CC$7:$CC$1843,CC1013,$BD$7:$BD$1843,BD1013,$BT$7:$BT$1843,"&lt;="&amp;BT1013),"")</f>
        <v>13001.9844322344</v>
      </c>
      <c r="BF1013" s="58" t="n">
        <f aca="false">IF(BE1013="",0,MAX(0,MIN(1,(IF(CC1013="L1",Parameter!$H$5,IF(CC1013="L23",Parameter!$H$6+Parameter!$H$7,Parameter!$H$5+Parameter!$H$6+Parameter!$H$7))-(BE1013-BA1013))/BA1013)))</f>
        <v>1</v>
      </c>
      <c r="BG1013" s="48" t="str">
        <f aca="false">IF(AI1013&lt;=0,"",IF(CC1013="Aussen","Aussenlager",IF(CC1013="-","Nicht im Lift",IF(AN1013&gt;=1,"Lift",IF(AN1013&lt;=0,"Aussenlager","teilweise")))))</f>
        <v>Lift</v>
      </c>
      <c r="BH1013" s="48" t="str">
        <f aca="false">IF(AR1013&lt;=0,"",IF(CC1013="Aussen","Aussenlager",IF(CC1013="-","Nicht im Lift",IF(AW1013&gt;=1,"Lift",IF(AW1013&lt;=0,"Aussenlager","teilweise")))))</f>
        <v>Lift</v>
      </c>
      <c r="BI1013" s="48" t="str">
        <f aca="false">IF(BA1013&lt;=0,"",IF(CC1013="Aussen","Aussenlager",IF(CC1013="-","Nicht im Lift",IF(BF1013&gt;=1,"Lift",IF(BF1013&lt;=0,"Aussenlager","teilweise")))))</f>
        <v>Lift</v>
      </c>
      <c r="BJ1013" s="48" t="str">
        <f aca="false">IF(A1013="","",IF(BS1013=1,"Neu; ","")&amp;IF(AND(BS1013=0,BN1013&lt;0),"negativer Bestand (Export "&amp;BN1013&amp;"); ","")&amp;IF(J1013&lt;=0,"Kein Verbrauch; ","")&amp;IF(CL1013&gt;0,"Lift "&amp;W1013&amp;" lt. Liftbericht (Fach "&amp;X1013&amp;" Stk); ",IF(BX1013=1,"Gebinde geschätzt ("&amp;T1013&amp;"); ",IF(BW1013=1,"Lose – Tablare geschätzt; ","")))&amp;IF(H1013&gt;AT1013,"Überbestand "&amp;ROUND(H1013-AT1013,0)&amp;" Stk / CHF "&amp;ROUND((H1013-AT1013)*G1013,0)&amp;"; ","")&amp;IF(AND(CE1013=1,CF1013&lt;CG1013),"MAX &lt; MB+LG; ","")&amp;IF(AND(CK1013&gt;0,CJ1013*10&gt;CK1013),"zu hoch für Tablar; ","")&amp;IF(AND(BS1013=0,OR(CE1013=1,AA1013&lt;&gt;"",U1013&lt;&gt;"",V1013&lt;&gt;"",AB1013&lt;&gt;"")),"manuell übersteuert; ","")&amp;IF(AND(BW1013=0,R1013=0),"Gebinde unbekannt / Stellmass fehlt; ","")&amp;IF(AND(BW1013=0,N(V1013)&lt;=0,N(Q1013)&lt;=0),"Menge pro Gebinde fehlt (Ist = 1 Gebinde); ","")&amp;BR1013)</f>
        <v>negativer Bestand (Export -6); </v>
      </c>
      <c r="BK1013" s="48"/>
      <c r="BL1013" s="48"/>
      <c r="BM1013" s="55"/>
      <c r="BN1013" s="50" t="n">
        <v>-6</v>
      </c>
      <c r="BO1013" s="50" t="n">
        <v>16</v>
      </c>
      <c r="BP1013" s="49" t="n">
        <v>-111.58</v>
      </c>
      <c r="BQ1013" s="50" t="n">
        <v>20</v>
      </c>
      <c r="BR1013" s="48"/>
      <c r="BS1013" s="53" t="n">
        <v>0</v>
      </c>
      <c r="BT1013" s="53" t="n">
        <v>1013</v>
      </c>
      <c r="BU1013" s="48" t="str">
        <f aca="false">IF(U1013&lt;&gt;"",UPPER(TRIM(U1013)),IF(BX1013=1,UPPER(VLOOKUP(T1013,Parameter!$I$27:$K$29,2,0)),IF(P1013="","LOSE",P1013)))</f>
        <v>S71</v>
      </c>
      <c r="BV1013" s="50" t="n">
        <f aca="false">IF(BU1013="LOSE",1,IF(N(V1013)&gt;0,V1013,IF(BX1013=1,MAX(1,N(VLOOKUP(T1013,Parameter!$I$27:$K$29,3,0)),H1013,N(N1013)),IF(N(Q1013)&gt;0,Q1013,MAX(1,H1013)))))</f>
        <v>24</v>
      </c>
      <c r="BW1013" s="53" t="n">
        <f aca="false">IF(BU1013="LOSE",1,0)</f>
        <v>0</v>
      </c>
      <c r="BX1013" s="53" t="n">
        <f aca="false">IF(AND(U1013="",OR(P1013="",P1013="LOSE"),T1013&lt;&gt;"",N(S1013)&lt;=0,ISNUMBER(MATCH(T1013,Parameter!$I$27:$I$29,0))),1,0)</f>
        <v>0</v>
      </c>
      <c r="BY1013" s="53" t="n">
        <f aca="false">IF(CL1013&gt;0,INDEX(Parameter!$H$5:$H$7,W1013)/INDEX(Parameter!$E$5:$E$7,W1013),IF(AND(BW1013=0,N(IFERROR(VLOOKUP(BU1013,'Gebinde-Kategorie'!$A$5:$N$45,14,0),0))&gt;0),VLOOKUP(BU1013,'Gebinde-Kategorie'!$A$5:$N$45,14,0)*10+Parameter!$M$23,Parameter!$M$24))</f>
        <v>235</v>
      </c>
      <c r="BZ1013" s="48" t="str">
        <f aca="false">IF(AND(Parameter!$B$19="Ja",E1013&lt;&gt;"",ISNUMBER(MATCH(E1013,Parameter!$I$35:$I$52,0))),VLOOKUP(E1013,Parameter!$I$35:$J$52,2,0),IFERROR(VLOOKUP(D1013,Parameter!$A$35:$C$64,2,0),"Nein"))</f>
        <v>2+3</v>
      </c>
      <c r="CA1013" s="52" t="n">
        <f aca="false">IF(BW1013=0,0,IF(N(S1013)&gt;0,S1013,IFERROR(VLOOKUP(D1013,Parameter!$A$35:$C$64,3,0)+0,0)))</f>
        <v>0</v>
      </c>
      <c r="CB1013" s="48" t="n">
        <f aca="false">IF(AA1013&lt;&gt;"",AA1013,Z1013)</f>
        <v>2</v>
      </c>
      <c r="CC1013" s="48" t="str">
        <f aca="false">IF(OR(CB1013=1,CB1013=2,CB1013=3),IF(Parameter!$E$27="Ja","LIFT",IF(CB1013=1,"L1","L23")),IF(CB1013="Aussen","Aussen","-"))</f>
        <v>LIFT</v>
      </c>
      <c r="CD1013" s="59" t="n">
        <f aca="false">IF(N(AB1013)&gt;0,AB1013,0)</f>
        <v>0</v>
      </c>
      <c r="CE1013" s="53" t="n">
        <f aca="false">IF(ISNUMBER(AE1013),1,0)</f>
        <v>0</v>
      </c>
      <c r="CF1013" s="50" t="n">
        <f aca="false">N(AE1013)</f>
        <v>0</v>
      </c>
      <c r="CG1013" s="50" t="n">
        <f aca="false">N(M1013)+N(N1013)</f>
        <v>22</v>
      </c>
      <c r="CH1013" s="50" t="n">
        <f aca="false">ROUNDUP(H1013/BV1013,0)</f>
        <v>1</v>
      </c>
      <c r="CI1013" s="50" t="n">
        <f aca="false">ROUNDUP(CF1013/BV1013,0)</f>
        <v>0</v>
      </c>
      <c r="CJ1013" s="53" t="n">
        <f aca="false">IF(BW1013=1,0,IFERROR(VLOOKUP(BU1013,'Gebinde-Kategorie'!$A$5:$N$45,5,0)+0,0))</f>
        <v>20</v>
      </c>
      <c r="CK1013" s="53" t="n">
        <f aca="false">IFERROR(IF(OR(CB1013=1,CB1013=2,CB1013=3),N(INDEX(Parameter!$I$5:$I$7,CB1013)),0),0)</f>
        <v>0</v>
      </c>
      <c r="CL1013" s="52" t="n">
        <f aca="false">IF(AND(Parameter!$B$21="Ja",ISNUMBER(W1013),N(X1013)&gt;0),IFERROR(N(INDEX(Parameter!$L$5:$L$7,W1013))*INDEX(Parameter!$E$5:$E$7,W1013)*X1013/SUMIFS($X$7:$X$1843,$W$7:$W$1843,W1013),0),0)</f>
        <v>0</v>
      </c>
    </row>
    <row r="1014" customFormat="false" ht="15" hidden="false" customHeight="false" outlineLevel="0" collapsed="false">
      <c r="A1014" s="48" t="s">
        <v>1871</v>
      </c>
      <c r="B1014" s="48" t="s">
        <v>1872</v>
      </c>
      <c r="C1014" s="48" t="s">
        <v>168</v>
      </c>
      <c r="D1014" s="48" t="s">
        <v>188</v>
      </c>
      <c r="E1014" s="48" t="s">
        <v>189</v>
      </c>
      <c r="F1014" s="48" t="s">
        <v>222</v>
      </c>
      <c r="G1014" s="49" t="n">
        <v>112.6</v>
      </c>
      <c r="H1014" s="50" t="n">
        <f aca="false">MAX(0,IF(AND(Parameter!$B$21="Ja",ISNUMBER(Y1014)),Y1014,IF(Parameter!$B$20="Jahresanfang 2025 + Export",BO1014+BN1014,BN1014)))</f>
        <v>7</v>
      </c>
      <c r="I1014" s="50" t="n">
        <f aca="false">H1014*G1014</f>
        <v>788.2</v>
      </c>
      <c r="J1014" s="50" t="n">
        <f aca="false">BQ1014*Parameter!$B$18</f>
        <v>0</v>
      </c>
      <c r="K1014" s="51" t="n">
        <v>8</v>
      </c>
      <c r="L1014" s="52" t="n">
        <v>0</v>
      </c>
      <c r="M1014" s="50" t="n">
        <v>0</v>
      </c>
      <c r="N1014" s="50" t="n">
        <v>1</v>
      </c>
      <c r="O1014" s="53" t="n">
        <v>56</v>
      </c>
      <c r="P1014" s="48" t="s">
        <v>332</v>
      </c>
      <c r="Q1014" s="50" t="n">
        <v>8</v>
      </c>
      <c r="R1014" s="53" t="n">
        <f aca="false">IF(BW1014=1,0,IFERROR(VLOOKUP(BU1014,'Gebinde-Kategorie'!$A$5:$N$45,13,0)+0,0))</f>
        <v>52</v>
      </c>
      <c r="S1014" s="54"/>
      <c r="T1014" s="55"/>
      <c r="U1014" s="55"/>
      <c r="V1014" s="55"/>
      <c r="W1014" s="48"/>
      <c r="X1014" s="50"/>
      <c r="Y1014" s="50"/>
      <c r="Z1014" s="48" t="n">
        <f aca="false">IF(A1014="","",IF(AND(Parameter!$B$21="Ja",ISNUMBER(W1014)),W1014,IF(BZ1014="2+3",IF(ISNUMBER(SEARCH("grosser Artikel",BR1014)),2,IFERROR(VLOOKUP(BU1014,Parameter!$F$35:$G$64,2,0),2)),IF(OR(BZ1014="Nein",BZ1014=""),"-",BZ1014))))</f>
        <v>3</v>
      </c>
      <c r="AA1014" s="55"/>
      <c r="AB1014" s="56"/>
      <c r="AC1014" s="50" t="n">
        <f aca="false">AT1014</f>
        <v>8</v>
      </c>
      <c r="AD1014" s="50" t="n">
        <f aca="false">MAX(AT1014,H1014)</f>
        <v>8</v>
      </c>
      <c r="AE1014" s="57"/>
      <c r="AF1014" s="50" t="n">
        <f aca="false">IF(LEFT(Cockpit!$C$5,1)="A",H1014,IF(CE1014=1,CF1014,IF(LEFT(Cockpit!$C$5,1)="B",AK1014,MAX(AK1014,H1014))))</f>
        <v>7</v>
      </c>
      <c r="AG1014" s="50" t="n">
        <f aca="false">IF(BW1014=1,0,ROUNDUP(AF1014/BV1014,0))</f>
        <v>1</v>
      </c>
      <c r="AH1014" s="52" t="n">
        <f aca="false">IF(CL1014&gt;0,CL1014*MAX(1,AF1014/X1014),IF(BW1014=1,IF(AF1014&lt;=0,0,CA1014*MAX(1,IF(H1014&gt;0,AF1014/H1014,1))),IF(R1014&gt;0,AG1014/R1014,0))/MAX(0.1,N(Parameter!$M$21)))</f>
        <v>0.0192307692307692</v>
      </c>
      <c r="AI1014" s="50" t="n">
        <f aca="false">AH1014*BY1014</f>
        <v>2.98076923076923</v>
      </c>
      <c r="AJ1014" s="50" t="n">
        <f aca="false">AF1014*G1014</f>
        <v>788.2</v>
      </c>
      <c r="AK1014" s="50" t="n">
        <f aca="false">ROUNDUP(MAX(J1014/IF(CD1014&gt;0,CD1014,MAX(0.1,N(Cockpit!$C$6))),CG1014)/BV1014,0)*BV1014</f>
        <v>8</v>
      </c>
      <c r="AL1014" s="51" t="n">
        <f aca="false">IF(AI1014&gt;0,J1014/AI1014,-1)</f>
        <v>0</v>
      </c>
      <c r="AM1014" s="51" t="n">
        <f aca="false">IF(AND(OR(CC1014="L1",CC1014="L23",CC1014="LIFT"),AI1014&gt;0),SUMIFS($AI$7:$AI$1843,$CC$7:$CC$1843,CC1014,$AL$7:$AL$1843,"&gt;"&amp;AL1014)+SUMIFS($AI$7:$AI$1843,$CC$7:$CC$1843,CC1014,$AL$7:$AL$1843,AL1014,$BT$7:$BT$1843,"&lt;="&amp;BT1014),"")</f>
        <v>28994.5569447031</v>
      </c>
      <c r="AN1014" s="58" t="n">
        <f aca="false">IF(AM1014="",0,MAX(0,MIN(1,(IF(CC1014="L1",Parameter!$H$5,IF(CC1014="L23",Parameter!$H$6+Parameter!$H$7,Parameter!$H$5+Parameter!$H$6+Parameter!$H$7))-(AM1014-AI1014))/AI1014)))</f>
        <v>1</v>
      </c>
      <c r="AO1014" s="50" t="n">
        <f aca="false">IF(LEFT(Cockpit!$I$5,1)="A",H1014,IF(CE1014=1,CF1014,IF(LEFT(Cockpit!$I$5,1)="B",AT1014,MAX(AT1014,H1014))))</f>
        <v>8</v>
      </c>
      <c r="AP1014" s="50" t="n">
        <f aca="false">IF(BW1014=1,0,ROUNDUP(AO1014/BV1014,0))</f>
        <v>1</v>
      </c>
      <c r="AQ1014" s="52" t="n">
        <f aca="false">IF(CL1014&gt;0,CL1014*MAX(1,AO1014/X1014),IF(BW1014=1,IF(AO1014&lt;=0,0,CA1014*MAX(1,IF(H1014&gt;0,AO1014/H1014,1))),IF(R1014&gt;0,AP1014/R1014,0))/MAX(0.1,N(Parameter!$M$21)))</f>
        <v>0.0192307692307692</v>
      </c>
      <c r="AR1014" s="50" t="n">
        <f aca="false">AQ1014*BY1014</f>
        <v>2.98076923076923</v>
      </c>
      <c r="AS1014" s="50" t="n">
        <f aca="false">AO1014*G1014</f>
        <v>900.8</v>
      </c>
      <c r="AT1014" s="50" t="n">
        <f aca="false">ROUNDUP(MAX(J1014/IF(CD1014&gt;0,CD1014,MAX(0.1,N(Cockpit!$I$6))),CG1014)/BV1014,0)*BV1014</f>
        <v>8</v>
      </c>
      <c r="AU1014" s="51" t="n">
        <f aca="false">IF(AR1014&gt;0,J1014/AR1014,-1)</f>
        <v>0</v>
      </c>
      <c r="AV1014" s="51" t="n">
        <f aca="false">IF(AND(OR(CC1014="L1",CC1014="L23",CC1014="LIFT"),AR1014&gt;0),SUMIFS($AR$7:$AR$1843,$CC$7:$CC$1843,CC1014,$AU$7:$AU$1843,"&gt;"&amp;AU1014)+SUMIFS($AR$7:$AR$1843,$CC$7:$CC$1843,CC1014,$AU$7:$AU$1843,AU1014,$BT$7:$BT$1843,"&lt;="&amp;BT1014),"")</f>
        <v>40661.7106304712</v>
      </c>
      <c r="AW1014" s="58" t="n">
        <f aca="false">IF(AV1014="",0,MAX(0,MIN(1,(IF(CC1014="L1",Parameter!$H$5,IF(CC1014="L23",Parameter!$H$6+Parameter!$H$7,Parameter!$H$5+Parameter!$H$6+Parameter!$H$7))-(AV1014-AR1014))/AR1014)))</f>
        <v>0</v>
      </c>
      <c r="AX1014" s="50" t="n">
        <f aca="false">IF(LEFT(Cockpit!$O$5,1)="A",H1014,IF(CE1014=1,CF1014,IF(LEFT(Cockpit!$O$5,1)="B",BC1014,MAX(BC1014,H1014))))</f>
        <v>8</v>
      </c>
      <c r="AY1014" s="50" t="n">
        <f aca="false">IF(BW1014=1,0,ROUNDUP(AX1014/BV1014,0))</f>
        <v>1</v>
      </c>
      <c r="AZ1014" s="52" t="n">
        <f aca="false">IF(CL1014&gt;0,CL1014*MAX(1,AX1014/X1014),IF(BW1014=1,IF(AX1014&lt;=0,0,CA1014*MAX(1,IF(H1014&gt;0,AX1014/H1014,1))),IF(R1014&gt;0,AY1014/R1014,0))/MAX(0.1,N(Parameter!$M$21)))</f>
        <v>0.0192307692307692</v>
      </c>
      <c r="BA1014" s="50" t="n">
        <f aca="false">AZ1014*BY1014</f>
        <v>2.98076923076923</v>
      </c>
      <c r="BB1014" s="50" t="n">
        <f aca="false">AX1014*G1014</f>
        <v>900.8</v>
      </c>
      <c r="BC1014" s="50" t="n">
        <f aca="false">ROUNDUP(MAX(J1014/IF(CD1014&gt;0,CD1014,MAX(0.1,N(Cockpit!$O$6))),CG1014)/BV1014,0)*BV1014</f>
        <v>8</v>
      </c>
      <c r="BD1014" s="51" t="n">
        <f aca="false">IF(BA1014&gt;0,J1014/BA1014,-1)</f>
        <v>0</v>
      </c>
      <c r="BE1014" s="51" t="n">
        <f aca="false">IF(AND(OR(CC1014="L1",CC1014="L23",CC1014="LIFT"),BA1014&gt;0),SUMIFS($BA$7:$BA$1843,$CC$7:$CC$1843,CC1014,$BD$7:$BD$1843,"&gt;"&amp;BD1014)+SUMIFS($BA$7:$BA$1843,$CC$7:$CC$1843,CC1014,$BD$7:$BD$1843,BD1014,$BT$7:$BT$1843,"&lt;="&amp;BT1014),"")</f>
        <v>37336.7226723371</v>
      </c>
      <c r="BF1014" s="58" t="n">
        <f aca="false">IF(BE1014="",0,MAX(0,MIN(1,(IF(CC1014="L1",Parameter!$H$5,IF(CC1014="L23",Parameter!$H$6+Parameter!$H$7,Parameter!$H$5+Parameter!$H$6+Parameter!$H$7))-(BE1014-BA1014))/BA1014)))</f>
        <v>0</v>
      </c>
      <c r="BG1014" s="48" t="str">
        <f aca="false">IF(AI1014&lt;=0,"",IF(CC1014="Aussen","Aussenlager",IF(CC1014="-","Nicht im Lift",IF(AN1014&gt;=1,"Lift",IF(AN1014&lt;=0,"Aussenlager","teilweise")))))</f>
        <v>Lift</v>
      </c>
      <c r="BH1014" s="48" t="str">
        <f aca="false">IF(AR1014&lt;=0,"",IF(CC1014="Aussen","Aussenlager",IF(CC1014="-","Nicht im Lift",IF(AW1014&gt;=1,"Lift",IF(AW1014&lt;=0,"Aussenlager","teilweise")))))</f>
        <v>Aussenlager</v>
      </c>
      <c r="BI1014" s="48" t="str">
        <f aca="false">IF(BA1014&lt;=0,"",IF(CC1014="Aussen","Aussenlager",IF(CC1014="-","Nicht im Lift",IF(BF1014&gt;=1,"Lift",IF(BF1014&lt;=0,"Aussenlager","teilweise")))))</f>
        <v>Aussenlager</v>
      </c>
      <c r="BJ1014" s="48" t="str">
        <f aca="false">IF(A1014="","",IF(BS1014=1,"Neu; ","")&amp;IF(AND(BS1014=0,BN1014&lt;0),"negativer Bestand (Export "&amp;BN1014&amp;"); ","")&amp;IF(J1014&lt;=0,"Kein Verbrauch; ","")&amp;IF(CL1014&gt;0,"Lift "&amp;W1014&amp;" lt. Liftbericht (Fach "&amp;X1014&amp;" Stk); ",IF(BX1014=1,"Gebinde geschätzt ("&amp;T1014&amp;"); ",IF(BW1014=1,"Lose – Tablare geschätzt; ","")))&amp;IF(H1014&gt;AT1014,"Überbestand "&amp;ROUND(H1014-AT1014,0)&amp;" Stk / CHF "&amp;ROUND((H1014-AT1014)*G1014,0)&amp;"; ","")&amp;IF(AND(CE1014=1,CF1014&lt;CG1014),"MAX &lt; MB+LG; ","")&amp;IF(AND(CK1014&gt;0,CJ1014*10&gt;CK1014),"zu hoch für Tablar; ","")&amp;IF(AND(BS1014=0,OR(CE1014=1,AA1014&lt;&gt;"",U1014&lt;&gt;"",V1014&lt;&gt;"",AB1014&lt;&gt;"")),"manuell übersteuert; ","")&amp;IF(AND(BW1014=0,R1014=0),"Gebinde unbekannt / Stellmass fehlt; ","")&amp;IF(AND(BW1014=0,N(V1014)&lt;=0,N(Q1014)&lt;=0),"Menge pro Gebinde fehlt (Ist = 1 Gebinde); ","")&amp;BR1014)</f>
        <v>negativer Bestand (Export -1); Kein Verbrauch; Überbestand</v>
      </c>
      <c r="BK1014" s="48"/>
      <c r="BL1014" s="48"/>
      <c r="BM1014" s="55"/>
      <c r="BN1014" s="50" t="n">
        <v>-1</v>
      </c>
      <c r="BO1014" s="50" t="n">
        <v>8</v>
      </c>
      <c r="BP1014" s="49" t="n">
        <v>-112.6</v>
      </c>
      <c r="BQ1014" s="50" t="n">
        <v>0</v>
      </c>
      <c r="BR1014" s="48" t="s">
        <v>396</v>
      </c>
      <c r="BS1014" s="53" t="n">
        <v>0</v>
      </c>
      <c r="BT1014" s="53" t="n">
        <v>1014</v>
      </c>
      <c r="BU1014" s="48" t="str">
        <f aca="false">IF(U1014&lt;&gt;"",UPPER(TRIM(U1014)),IF(BX1014=1,UPPER(VLOOKUP(T1014,Parameter!$I$27:$K$29,2,0)),IF(P1014="","LOSE",P1014)))</f>
        <v>S41</v>
      </c>
      <c r="BV1014" s="50" t="n">
        <f aca="false">IF(BU1014="LOSE",1,IF(N(V1014)&gt;0,V1014,IF(BX1014=1,MAX(1,N(VLOOKUP(T1014,Parameter!$I$27:$K$29,3,0)),H1014,N(N1014)),IF(N(Q1014)&gt;0,Q1014,MAX(1,H1014)))))</f>
        <v>8</v>
      </c>
      <c r="BW1014" s="53" t="n">
        <f aca="false">IF(BU1014="LOSE",1,0)</f>
        <v>0</v>
      </c>
      <c r="BX1014" s="53" t="n">
        <f aca="false">IF(AND(U1014="",OR(P1014="",P1014="LOSE"),T1014&lt;&gt;"",N(S1014)&lt;=0,ISNUMBER(MATCH(T1014,Parameter!$I$27:$I$29,0))),1,0)</f>
        <v>0</v>
      </c>
      <c r="BY1014" s="53" t="n">
        <f aca="false">IF(CL1014&gt;0,INDEX(Parameter!$H$5:$H$7,W1014)/INDEX(Parameter!$E$5:$E$7,W1014),IF(AND(BW1014=0,N(IFERROR(VLOOKUP(BU1014,'Gebinde-Kategorie'!$A$5:$N$45,14,0),0))&gt;0),VLOOKUP(BU1014,'Gebinde-Kategorie'!$A$5:$N$45,14,0)*10+Parameter!$M$23,Parameter!$M$24))</f>
        <v>155</v>
      </c>
      <c r="BZ1014" s="48" t="str">
        <f aca="false">IF(AND(Parameter!$B$19="Ja",E1014&lt;&gt;"",ISNUMBER(MATCH(E1014,Parameter!$I$35:$I$52,0))),VLOOKUP(E1014,Parameter!$I$35:$J$52,2,0),IFERROR(VLOOKUP(D1014,Parameter!$A$35:$C$64,2,0),"Nein"))</f>
        <v>2+3</v>
      </c>
      <c r="CA1014" s="52" t="n">
        <f aca="false">IF(BW1014=0,0,IF(N(S1014)&gt;0,S1014,IFERROR(VLOOKUP(D1014,Parameter!$A$35:$C$64,3,0)+0,0)))</f>
        <v>0</v>
      </c>
      <c r="CB1014" s="48" t="n">
        <f aca="false">IF(AA1014&lt;&gt;"",AA1014,Z1014)</f>
        <v>3</v>
      </c>
      <c r="CC1014" s="48" t="str">
        <f aca="false">IF(OR(CB1014=1,CB1014=2,CB1014=3),IF(Parameter!$E$27="Ja","LIFT",IF(CB1014=1,"L1","L23")),IF(CB1014="Aussen","Aussen","-"))</f>
        <v>LIFT</v>
      </c>
      <c r="CD1014" s="59" t="n">
        <f aca="false">IF(N(AB1014)&gt;0,AB1014,0)</f>
        <v>0</v>
      </c>
      <c r="CE1014" s="53" t="n">
        <f aca="false">IF(ISNUMBER(AE1014),1,0)</f>
        <v>0</v>
      </c>
      <c r="CF1014" s="50" t="n">
        <f aca="false">N(AE1014)</f>
        <v>0</v>
      </c>
      <c r="CG1014" s="50" t="n">
        <f aca="false">N(M1014)+N(N1014)</f>
        <v>1</v>
      </c>
      <c r="CH1014" s="50" t="n">
        <f aca="false">ROUNDUP(H1014/BV1014,0)</f>
        <v>1</v>
      </c>
      <c r="CI1014" s="50" t="n">
        <f aca="false">ROUNDUP(CF1014/BV1014,0)</f>
        <v>0</v>
      </c>
      <c r="CJ1014" s="53" t="n">
        <f aca="false">IF(BW1014=1,0,IFERROR(VLOOKUP(BU1014,'Gebinde-Kategorie'!$A$5:$N$45,5,0)+0,0))</f>
        <v>11</v>
      </c>
      <c r="CK1014" s="53" t="n">
        <f aca="false">IFERROR(IF(OR(CB1014=1,CB1014=2,CB1014=3),N(INDEX(Parameter!$I$5:$I$7,CB1014)),0),0)</f>
        <v>0</v>
      </c>
      <c r="CL1014" s="52" t="n">
        <f aca="false">IF(AND(Parameter!$B$21="Ja",ISNUMBER(W1014),N(X1014)&gt;0),IFERROR(N(INDEX(Parameter!$L$5:$L$7,W1014))*INDEX(Parameter!$E$5:$E$7,W1014)*X1014/SUMIFS($X$7:$X$1843,$W$7:$W$1843,W1014),0),0)</f>
        <v>0</v>
      </c>
    </row>
    <row r="1015" customFormat="false" ht="15" hidden="false" customHeight="false" outlineLevel="0" collapsed="false">
      <c r="A1015" s="48" t="s">
        <v>1873</v>
      </c>
      <c r="B1015" s="48" t="s">
        <v>987</v>
      </c>
      <c r="C1015" s="48" t="s">
        <v>168</v>
      </c>
      <c r="D1015" s="48" t="s">
        <v>188</v>
      </c>
      <c r="E1015" s="48"/>
      <c r="F1015" s="48" t="s">
        <v>222</v>
      </c>
      <c r="G1015" s="49" t="n">
        <v>37.57</v>
      </c>
      <c r="H1015" s="50" t="n">
        <f aca="false">MAX(0,IF(AND(Parameter!$B$21="Ja",ISNUMBER(Y1015)),Y1015,IF(Parameter!$B$20="Jahresanfang 2025 + Export",BO1015+BN1015,BN1015)))</f>
        <v>9</v>
      </c>
      <c r="I1015" s="50" t="n">
        <f aca="false">H1015*G1015</f>
        <v>338.13</v>
      </c>
      <c r="J1015" s="50" t="n">
        <f aca="false">BQ1015*Parameter!$B$18</f>
        <v>0</v>
      </c>
      <c r="K1015" s="51" t="n">
        <v>10.5</v>
      </c>
      <c r="L1015" s="52" t="n">
        <v>0</v>
      </c>
      <c r="M1015" s="50" t="n">
        <v>0</v>
      </c>
      <c r="N1015" s="50" t="n">
        <v>1</v>
      </c>
      <c r="O1015" s="53" t="n">
        <v>14</v>
      </c>
      <c r="P1015" s="48" t="s">
        <v>190</v>
      </c>
      <c r="Q1015" s="50" t="n">
        <v>10</v>
      </c>
      <c r="R1015" s="53" t="n">
        <f aca="false">IF(BW1015=1,0,IFERROR(VLOOKUP(BU1015,'Gebinde-Kategorie'!$A$5:$N$45,13,0)+0,0))</f>
        <v>12</v>
      </c>
      <c r="S1015" s="54"/>
      <c r="T1015" s="55"/>
      <c r="U1015" s="55"/>
      <c r="V1015" s="55"/>
      <c r="W1015" s="48"/>
      <c r="X1015" s="50"/>
      <c r="Y1015" s="50"/>
      <c r="Z1015" s="48" t="n">
        <f aca="false">IF(A1015="","",IF(AND(Parameter!$B$21="Ja",ISNUMBER(W1015)),W1015,IF(BZ1015="2+3",IF(ISNUMBER(SEARCH("grosser Artikel",BR1015)),2,IFERROR(VLOOKUP(BU1015,Parameter!$F$35:$G$64,2,0),2)),IF(OR(BZ1015="Nein",BZ1015=""),"-",BZ1015))))</f>
        <v>2</v>
      </c>
      <c r="AA1015" s="55"/>
      <c r="AB1015" s="56"/>
      <c r="AC1015" s="50" t="n">
        <f aca="false">AT1015</f>
        <v>10</v>
      </c>
      <c r="AD1015" s="50" t="n">
        <f aca="false">MAX(AT1015,H1015)</f>
        <v>10</v>
      </c>
      <c r="AE1015" s="57"/>
      <c r="AF1015" s="50" t="n">
        <f aca="false">IF(LEFT(Cockpit!$C$5,1)="A",H1015,IF(CE1015=1,CF1015,IF(LEFT(Cockpit!$C$5,1)="B",AK1015,MAX(AK1015,H1015))))</f>
        <v>9</v>
      </c>
      <c r="AG1015" s="50" t="n">
        <f aca="false">IF(BW1015=1,0,ROUNDUP(AF1015/BV1015,0))</f>
        <v>1</v>
      </c>
      <c r="AH1015" s="52" t="n">
        <f aca="false">IF(CL1015&gt;0,CL1015*MAX(1,AF1015/X1015),IF(BW1015=1,IF(AF1015&lt;=0,0,CA1015*MAX(1,IF(H1015&gt;0,AF1015/H1015,1))),IF(R1015&gt;0,AG1015/R1015,0))/MAX(0.1,N(Parameter!$M$21)))</f>
        <v>0.0833333333333333</v>
      </c>
      <c r="AI1015" s="50" t="n">
        <f aca="false">AH1015*BY1015</f>
        <v>12.0833333333333</v>
      </c>
      <c r="AJ1015" s="50" t="n">
        <f aca="false">AF1015*G1015</f>
        <v>338.13</v>
      </c>
      <c r="AK1015" s="50" t="n">
        <f aca="false">ROUNDUP(MAX(J1015/IF(CD1015&gt;0,CD1015,MAX(0.1,N(Cockpit!$C$6))),CG1015)/BV1015,0)*BV1015</f>
        <v>10</v>
      </c>
      <c r="AL1015" s="51" t="n">
        <f aca="false">IF(AI1015&gt;0,J1015/AI1015,-1)</f>
        <v>0</v>
      </c>
      <c r="AM1015" s="51" t="n">
        <f aca="false">IF(AND(OR(CC1015="L1",CC1015="L23",CC1015="LIFT"),AI1015&gt;0),SUMIFS($AI$7:$AI$1843,$CC$7:$CC$1843,CC1015,$AL$7:$AL$1843,"&gt;"&amp;AL1015)+SUMIFS($AI$7:$AI$1843,$CC$7:$CC$1843,CC1015,$AL$7:$AL$1843,AL1015,$BT$7:$BT$1843,"&lt;="&amp;BT1015),"")</f>
        <v>29006.6402780365</v>
      </c>
      <c r="AN1015" s="58" t="n">
        <f aca="false">IF(AM1015="",0,MAX(0,MIN(1,(IF(CC1015="L1",Parameter!$H$5,IF(CC1015="L23",Parameter!$H$6+Parameter!$H$7,Parameter!$H$5+Parameter!$H$6+Parameter!$H$7))-(AM1015-AI1015))/AI1015)))</f>
        <v>1</v>
      </c>
      <c r="AO1015" s="50" t="n">
        <f aca="false">IF(LEFT(Cockpit!$I$5,1)="A",H1015,IF(CE1015=1,CF1015,IF(LEFT(Cockpit!$I$5,1)="B",AT1015,MAX(AT1015,H1015))))</f>
        <v>10</v>
      </c>
      <c r="AP1015" s="50" t="n">
        <f aca="false">IF(BW1015=1,0,ROUNDUP(AO1015/BV1015,0))</f>
        <v>1</v>
      </c>
      <c r="AQ1015" s="52" t="n">
        <f aca="false">IF(CL1015&gt;0,CL1015*MAX(1,AO1015/X1015),IF(BW1015=1,IF(AO1015&lt;=0,0,CA1015*MAX(1,IF(H1015&gt;0,AO1015/H1015,1))),IF(R1015&gt;0,AP1015/R1015,0))/MAX(0.1,N(Parameter!$M$21)))</f>
        <v>0.0833333333333333</v>
      </c>
      <c r="AR1015" s="50" t="n">
        <f aca="false">AQ1015*BY1015</f>
        <v>12.0833333333333</v>
      </c>
      <c r="AS1015" s="50" t="n">
        <f aca="false">AO1015*G1015</f>
        <v>375.7</v>
      </c>
      <c r="AT1015" s="50" t="n">
        <f aca="false">ROUNDUP(MAX(J1015/IF(CD1015&gt;0,CD1015,MAX(0.1,N(Cockpit!$I$6))),CG1015)/BV1015,0)*BV1015</f>
        <v>10</v>
      </c>
      <c r="AU1015" s="51" t="n">
        <f aca="false">IF(AR1015&gt;0,J1015/AR1015,-1)</f>
        <v>0</v>
      </c>
      <c r="AV1015" s="51" t="n">
        <f aca="false">IF(AND(OR(CC1015="L1",CC1015="L23",CC1015="LIFT"),AR1015&gt;0),SUMIFS($AR$7:$AR$1843,$CC$7:$CC$1843,CC1015,$AU$7:$AU$1843,"&gt;"&amp;AU1015)+SUMIFS($AR$7:$AR$1843,$CC$7:$CC$1843,CC1015,$AU$7:$AU$1843,AU1015,$BT$7:$BT$1843,"&lt;="&amp;BT1015),"")</f>
        <v>40673.7939638046</v>
      </c>
      <c r="AW1015" s="58" t="n">
        <f aca="false">IF(AV1015="",0,MAX(0,MIN(1,(IF(CC1015="L1",Parameter!$H$5,IF(CC1015="L23",Parameter!$H$6+Parameter!$H$7,Parameter!$H$5+Parameter!$H$6+Parameter!$H$7))-(AV1015-AR1015))/AR1015)))</f>
        <v>0</v>
      </c>
      <c r="AX1015" s="50" t="n">
        <f aca="false">IF(LEFT(Cockpit!$O$5,1)="A",H1015,IF(CE1015=1,CF1015,IF(LEFT(Cockpit!$O$5,1)="B",BC1015,MAX(BC1015,H1015))))</f>
        <v>10</v>
      </c>
      <c r="AY1015" s="50" t="n">
        <f aca="false">IF(BW1015=1,0,ROUNDUP(AX1015/BV1015,0))</f>
        <v>1</v>
      </c>
      <c r="AZ1015" s="52" t="n">
        <f aca="false">IF(CL1015&gt;0,CL1015*MAX(1,AX1015/X1015),IF(BW1015=1,IF(AX1015&lt;=0,0,CA1015*MAX(1,IF(H1015&gt;0,AX1015/H1015,1))),IF(R1015&gt;0,AY1015/R1015,0))/MAX(0.1,N(Parameter!$M$21)))</f>
        <v>0.0833333333333333</v>
      </c>
      <c r="BA1015" s="50" t="n">
        <f aca="false">AZ1015*BY1015</f>
        <v>12.0833333333333</v>
      </c>
      <c r="BB1015" s="50" t="n">
        <f aca="false">AX1015*G1015</f>
        <v>375.7</v>
      </c>
      <c r="BC1015" s="50" t="n">
        <f aca="false">ROUNDUP(MAX(J1015/IF(CD1015&gt;0,CD1015,MAX(0.1,N(Cockpit!$O$6))),CG1015)/BV1015,0)*BV1015</f>
        <v>10</v>
      </c>
      <c r="BD1015" s="51" t="n">
        <f aca="false">IF(BA1015&gt;0,J1015/BA1015,-1)</f>
        <v>0</v>
      </c>
      <c r="BE1015" s="51" t="n">
        <f aca="false">IF(AND(OR(CC1015="L1",CC1015="L23",CC1015="LIFT"),BA1015&gt;0),SUMIFS($BA$7:$BA$1843,$CC$7:$CC$1843,CC1015,$BD$7:$BD$1843,"&gt;"&amp;BD1015)+SUMIFS($BA$7:$BA$1843,$CC$7:$CC$1843,CC1015,$BD$7:$BD$1843,BD1015,$BT$7:$BT$1843,"&lt;="&amp;BT1015),"")</f>
        <v>37348.8060056704</v>
      </c>
      <c r="BF1015" s="58" t="n">
        <f aca="false">IF(BE1015="",0,MAX(0,MIN(1,(IF(CC1015="L1",Parameter!$H$5,IF(CC1015="L23",Parameter!$H$6+Parameter!$H$7,Parameter!$H$5+Parameter!$H$6+Parameter!$H$7))-(BE1015-BA1015))/BA1015)))</f>
        <v>0</v>
      </c>
      <c r="BG1015" s="48" t="str">
        <f aca="false">IF(AI1015&lt;=0,"",IF(CC1015="Aussen","Aussenlager",IF(CC1015="-","Nicht im Lift",IF(AN1015&gt;=1,"Lift",IF(AN1015&lt;=0,"Aussenlager","teilweise")))))</f>
        <v>Lift</v>
      </c>
      <c r="BH1015" s="48" t="str">
        <f aca="false">IF(AR1015&lt;=0,"",IF(CC1015="Aussen","Aussenlager",IF(CC1015="-","Nicht im Lift",IF(AW1015&gt;=1,"Lift",IF(AW1015&lt;=0,"Aussenlager","teilweise")))))</f>
        <v>Aussenlager</v>
      </c>
      <c r="BI1015" s="48" t="str">
        <f aca="false">IF(BA1015&lt;=0,"",IF(CC1015="Aussen","Aussenlager",IF(CC1015="-","Nicht im Lift",IF(BF1015&gt;=1,"Lift",IF(BF1015&lt;=0,"Aussenlager","teilweise")))))</f>
        <v>Aussenlager</v>
      </c>
      <c r="BJ1015" s="48" t="str">
        <f aca="false">IF(A1015="","",IF(BS1015=1,"Neu; ","")&amp;IF(AND(BS1015=0,BN1015&lt;0),"negativer Bestand (Export "&amp;BN1015&amp;"); ","")&amp;IF(J1015&lt;=0,"Kein Verbrauch; ","")&amp;IF(CL1015&gt;0,"Lift "&amp;W1015&amp;" lt. Liftbericht (Fach "&amp;X1015&amp;" Stk); ",IF(BX1015=1,"Gebinde geschätzt ("&amp;T1015&amp;"); ",IF(BW1015=1,"Lose – Tablare geschätzt; ","")))&amp;IF(H1015&gt;AT1015,"Überbestand "&amp;ROUND(H1015-AT1015,0)&amp;" Stk / CHF "&amp;ROUND((H1015-AT1015)*G1015,0)&amp;"; ","")&amp;IF(AND(CE1015=1,CF1015&lt;CG1015),"MAX &lt; MB+LG; ","")&amp;IF(AND(CK1015&gt;0,CJ1015*10&gt;CK1015),"zu hoch für Tablar; ","")&amp;IF(AND(BS1015=0,OR(CE1015=1,AA1015&lt;&gt;"",U1015&lt;&gt;"",V1015&lt;&gt;"",AB1015&lt;&gt;"")),"manuell übersteuert; ","")&amp;IF(AND(BW1015=0,R1015=0),"Gebinde unbekannt / Stellmass fehlt; ","")&amp;IF(AND(BW1015=0,N(V1015)&lt;=0,N(Q1015)&lt;=0),"Menge pro Gebinde fehlt (Ist = 1 Gebinde); ","")&amp;BR1015)</f>
        <v>negativer Bestand (Export -3); Kein Verbrauch; </v>
      </c>
      <c r="BK1015" s="48"/>
      <c r="BL1015" s="48"/>
      <c r="BM1015" s="55"/>
      <c r="BN1015" s="50" t="n">
        <v>-3</v>
      </c>
      <c r="BO1015" s="50" t="n">
        <v>12</v>
      </c>
      <c r="BP1015" s="49" t="n">
        <v>-112.71</v>
      </c>
      <c r="BQ1015" s="50" t="n">
        <v>0</v>
      </c>
      <c r="BR1015" s="48"/>
      <c r="BS1015" s="53" t="n">
        <v>0</v>
      </c>
      <c r="BT1015" s="53" t="n">
        <v>1015</v>
      </c>
      <c r="BU1015" s="48" t="str">
        <f aca="false">IF(U1015&lt;&gt;"",UPPER(TRIM(U1015)),IF(BX1015=1,UPPER(VLOOKUP(T1015,Parameter!$I$27:$K$29,2,0)),IF(P1015="","LOSE",P1015)))</f>
        <v>S61</v>
      </c>
      <c r="BV1015" s="50" t="n">
        <f aca="false">IF(BU1015="LOSE",1,IF(N(V1015)&gt;0,V1015,IF(BX1015=1,MAX(1,N(VLOOKUP(T1015,Parameter!$I$27:$K$29,3,0)),H1015,N(N1015)),IF(N(Q1015)&gt;0,Q1015,MAX(1,H1015)))))</f>
        <v>10</v>
      </c>
      <c r="BW1015" s="53" t="n">
        <f aca="false">IF(BU1015="LOSE",1,0)</f>
        <v>0</v>
      </c>
      <c r="BX1015" s="53" t="n">
        <f aca="false">IF(AND(U1015="",OR(P1015="",P1015="LOSE"),T1015&lt;&gt;"",N(S1015)&lt;=0,ISNUMBER(MATCH(T1015,Parameter!$I$27:$I$29,0))),1,0)</f>
        <v>0</v>
      </c>
      <c r="BY1015" s="53" t="n">
        <f aca="false">IF(CL1015&gt;0,INDEX(Parameter!$H$5:$H$7,W1015)/INDEX(Parameter!$E$5:$E$7,W1015),IF(AND(BW1015=0,N(IFERROR(VLOOKUP(BU1015,'Gebinde-Kategorie'!$A$5:$N$45,14,0),0))&gt;0),VLOOKUP(BU1015,'Gebinde-Kategorie'!$A$5:$N$45,14,0)*10+Parameter!$M$23,Parameter!$M$24))</f>
        <v>145</v>
      </c>
      <c r="BZ1015" s="48" t="str">
        <f aca="false">IF(AND(Parameter!$B$19="Ja",E1015&lt;&gt;"",ISNUMBER(MATCH(E1015,Parameter!$I$35:$I$52,0))),VLOOKUP(E1015,Parameter!$I$35:$J$52,2,0),IFERROR(VLOOKUP(D1015,Parameter!$A$35:$C$64,2,0),"Nein"))</f>
        <v>2+3</v>
      </c>
      <c r="CA1015" s="52" t="n">
        <f aca="false">IF(BW1015=0,0,IF(N(S1015)&gt;0,S1015,IFERROR(VLOOKUP(D1015,Parameter!$A$35:$C$64,3,0)+0,0)))</f>
        <v>0</v>
      </c>
      <c r="CB1015" s="48" t="n">
        <f aca="false">IF(AA1015&lt;&gt;"",AA1015,Z1015)</f>
        <v>2</v>
      </c>
      <c r="CC1015" s="48" t="str">
        <f aca="false">IF(OR(CB1015=1,CB1015=2,CB1015=3),IF(Parameter!$E$27="Ja","LIFT",IF(CB1015=1,"L1","L23")),IF(CB1015="Aussen","Aussen","-"))</f>
        <v>LIFT</v>
      </c>
      <c r="CD1015" s="59" t="n">
        <f aca="false">IF(N(AB1015)&gt;0,AB1015,0)</f>
        <v>0</v>
      </c>
      <c r="CE1015" s="53" t="n">
        <f aca="false">IF(ISNUMBER(AE1015),1,0)</f>
        <v>0</v>
      </c>
      <c r="CF1015" s="50" t="n">
        <f aca="false">N(AE1015)</f>
        <v>0</v>
      </c>
      <c r="CG1015" s="50" t="n">
        <f aca="false">N(M1015)+N(N1015)</f>
        <v>1</v>
      </c>
      <c r="CH1015" s="50" t="n">
        <f aca="false">ROUNDUP(H1015/BV1015,0)</f>
        <v>1</v>
      </c>
      <c r="CI1015" s="50" t="n">
        <f aca="false">ROUNDUP(CF1015/BV1015,0)</f>
        <v>0</v>
      </c>
      <c r="CJ1015" s="53" t="n">
        <f aca="false">IF(BW1015=1,0,IFERROR(VLOOKUP(BU1015,'Gebinde-Kategorie'!$A$5:$N$45,5,0)+0,0))</f>
        <v>11</v>
      </c>
      <c r="CK1015" s="53" t="n">
        <f aca="false">IFERROR(IF(OR(CB1015=1,CB1015=2,CB1015=3),N(INDEX(Parameter!$I$5:$I$7,CB1015)),0),0)</f>
        <v>0</v>
      </c>
      <c r="CL1015" s="52" t="n">
        <f aca="false">IF(AND(Parameter!$B$21="Ja",ISNUMBER(W1015),N(X1015)&gt;0),IFERROR(N(INDEX(Parameter!$L$5:$L$7,W1015))*INDEX(Parameter!$E$5:$E$7,W1015)*X1015/SUMIFS($X$7:$X$1843,$W$7:$W$1843,W1015),0),0)</f>
        <v>0</v>
      </c>
    </row>
    <row r="1016" customFormat="false" ht="15" hidden="false" customHeight="false" outlineLevel="0" collapsed="false">
      <c r="A1016" s="48" t="s">
        <v>1874</v>
      </c>
      <c r="B1016" s="48" t="s">
        <v>1875</v>
      </c>
      <c r="C1016" s="48" t="s">
        <v>460</v>
      </c>
      <c r="D1016" s="48" t="s">
        <v>188</v>
      </c>
      <c r="E1016" s="48"/>
      <c r="F1016" s="48" t="s">
        <v>222</v>
      </c>
      <c r="G1016" s="49" t="n">
        <v>8.06</v>
      </c>
      <c r="H1016" s="50" t="n">
        <f aca="false">MAX(0,IF(AND(Parameter!$B$21="Ja",ISNUMBER(Y1016)),Y1016,IF(Parameter!$B$20="Jahresanfang 2025 + Export",BO1016+BN1016,BN1016)))</f>
        <v>14</v>
      </c>
      <c r="I1016" s="50" t="n">
        <f aca="false">H1016*G1016</f>
        <v>112.84</v>
      </c>
      <c r="J1016" s="50" t="n">
        <f aca="false">BQ1016*Parameter!$B$18</f>
        <v>14</v>
      </c>
      <c r="K1016" s="51" t="n">
        <v>14</v>
      </c>
      <c r="L1016" s="52" t="n">
        <v>1</v>
      </c>
      <c r="M1016" s="50" t="n">
        <v>0</v>
      </c>
      <c r="N1016" s="50" t="n">
        <v>15</v>
      </c>
      <c r="O1016" s="53" t="n">
        <v>14</v>
      </c>
      <c r="P1016" s="48" t="s">
        <v>172</v>
      </c>
      <c r="Q1016" s="50"/>
      <c r="R1016" s="53" t="n">
        <f aca="false">IF(BW1016=1,0,IFERROR(VLOOKUP(BU1016,'Gebinde-Kategorie'!$A$5:$N$45,13,0)+0,0))</f>
        <v>26</v>
      </c>
      <c r="S1016" s="54"/>
      <c r="T1016" s="55" t="s">
        <v>279</v>
      </c>
      <c r="U1016" s="55"/>
      <c r="V1016" s="55"/>
      <c r="W1016" s="48"/>
      <c r="X1016" s="50"/>
      <c r="Y1016" s="50"/>
      <c r="Z1016" s="48" t="n">
        <f aca="false">IF(A1016="","",IF(AND(Parameter!$B$21="Ja",ISNUMBER(W1016)),W1016,IF(BZ1016="2+3",IF(ISNUMBER(SEARCH("grosser Artikel",BR1016)),2,IFERROR(VLOOKUP(BU1016,Parameter!$F$35:$G$64,2,0),2)),IF(OR(BZ1016="Nein",BZ1016=""),"-",BZ1016))))</f>
        <v>3</v>
      </c>
      <c r="AA1016" s="55"/>
      <c r="AB1016" s="56"/>
      <c r="AC1016" s="50" t="n">
        <f aca="false">AT1016</f>
        <v>20</v>
      </c>
      <c r="AD1016" s="50" t="n">
        <f aca="false">MAX(AT1016,H1016)</f>
        <v>20</v>
      </c>
      <c r="AE1016" s="57"/>
      <c r="AF1016" s="50" t="n">
        <f aca="false">IF(LEFT(Cockpit!$C$5,1)="A",H1016,IF(CE1016=1,CF1016,IF(LEFT(Cockpit!$C$5,1)="B",AK1016,MAX(AK1016,H1016))))</f>
        <v>14</v>
      </c>
      <c r="AG1016" s="50" t="n">
        <f aca="false">IF(BW1016=1,0,ROUNDUP(AF1016/BV1016,0))</f>
        <v>1</v>
      </c>
      <c r="AH1016" s="52" t="n">
        <f aca="false">IF(CL1016&gt;0,CL1016*MAX(1,AF1016/X1016),IF(BW1016=1,IF(AF1016&lt;=0,0,CA1016*MAX(1,IF(H1016&gt;0,AF1016/H1016,1))),IF(R1016&gt;0,AG1016/R1016,0))/MAX(0.1,N(Parameter!$M$21)))</f>
        <v>0.0384615384615385</v>
      </c>
      <c r="AI1016" s="50" t="n">
        <f aca="false">AH1016*BY1016</f>
        <v>5.96153846153846</v>
      </c>
      <c r="AJ1016" s="50" t="n">
        <f aca="false">AF1016*G1016</f>
        <v>112.84</v>
      </c>
      <c r="AK1016" s="50" t="n">
        <f aca="false">ROUNDUP(MAX(J1016/IF(CD1016&gt;0,CD1016,MAX(0.1,N(Cockpit!$C$6))),CG1016)/BV1016,0)*BV1016</f>
        <v>20</v>
      </c>
      <c r="AL1016" s="51" t="n">
        <f aca="false">IF(AI1016&gt;0,J1016/AI1016,-1)</f>
        <v>2.34838709677419</v>
      </c>
      <c r="AM1016" s="51" t="n">
        <f aca="false">IF(AND(OR(CC1016="L1",CC1016="L23",CC1016="LIFT"),AI1016&gt;0),SUMIFS($AI$7:$AI$1843,$CC$7:$CC$1843,CC1016,$AL$7:$AL$1843,"&gt;"&amp;AL1016)+SUMIFS($AI$7:$AI$1843,$CC$7:$CC$1843,CC1016,$AL$7:$AL$1843,AL1016,$BT$7:$BT$1843,"&lt;="&amp;BT1016),"")</f>
        <v>5640.16071428571</v>
      </c>
      <c r="AN1016" s="58" t="n">
        <f aca="false">IF(AM1016="",0,MAX(0,MIN(1,(IF(CC1016="L1",Parameter!$H$5,IF(CC1016="L23",Parameter!$H$6+Parameter!$H$7,Parameter!$H$5+Parameter!$H$6+Parameter!$H$7))-(AM1016-AI1016))/AI1016)))</f>
        <v>1</v>
      </c>
      <c r="AO1016" s="50" t="n">
        <f aca="false">IF(LEFT(Cockpit!$I$5,1)="A",H1016,IF(CE1016=1,CF1016,IF(LEFT(Cockpit!$I$5,1)="B",AT1016,MAX(AT1016,H1016))))</f>
        <v>20</v>
      </c>
      <c r="AP1016" s="50" t="n">
        <f aca="false">IF(BW1016=1,0,ROUNDUP(AO1016/BV1016,0))</f>
        <v>1</v>
      </c>
      <c r="AQ1016" s="52" t="n">
        <f aca="false">IF(CL1016&gt;0,CL1016*MAX(1,AO1016/X1016),IF(BW1016=1,IF(AO1016&lt;=0,0,CA1016*MAX(1,IF(H1016&gt;0,AO1016/H1016,1))),IF(R1016&gt;0,AP1016/R1016,0))/MAX(0.1,N(Parameter!$M$21)))</f>
        <v>0.0384615384615385</v>
      </c>
      <c r="AR1016" s="50" t="n">
        <f aca="false">AQ1016*BY1016</f>
        <v>5.96153846153846</v>
      </c>
      <c r="AS1016" s="50" t="n">
        <f aca="false">AO1016*G1016</f>
        <v>161.2</v>
      </c>
      <c r="AT1016" s="50" t="n">
        <f aca="false">ROUNDUP(MAX(J1016/IF(CD1016&gt;0,CD1016,MAX(0.1,N(Cockpit!$I$6))),CG1016)/BV1016,0)*BV1016</f>
        <v>20</v>
      </c>
      <c r="AU1016" s="51" t="n">
        <f aca="false">IF(AR1016&gt;0,J1016/AR1016,-1)</f>
        <v>2.34838709677419</v>
      </c>
      <c r="AV1016" s="51" t="n">
        <f aca="false">IF(AND(OR(CC1016="L1",CC1016="L23",CC1016="LIFT"),AR1016&gt;0),SUMIFS($AR$7:$AR$1843,$CC$7:$CC$1843,CC1016,$AU$7:$AU$1843,"&gt;"&amp;AU1016)+SUMIFS($AR$7:$AR$1843,$CC$7:$CC$1843,CC1016,$AU$7:$AU$1843,AU1016,$BT$7:$BT$1843,"&lt;="&amp;BT1016),"")</f>
        <v>6965.42994505495</v>
      </c>
      <c r="AW1016" s="58" t="n">
        <f aca="false">IF(AV1016="",0,MAX(0,MIN(1,(IF(CC1016="L1",Parameter!$H$5,IF(CC1016="L23",Parameter!$H$6+Parameter!$H$7,Parameter!$H$5+Parameter!$H$6+Parameter!$H$7))-(AV1016-AR1016))/AR1016)))</f>
        <v>1</v>
      </c>
      <c r="AX1016" s="50" t="n">
        <f aca="false">IF(LEFT(Cockpit!$O$5,1)="A",H1016,IF(CE1016=1,CF1016,IF(LEFT(Cockpit!$O$5,1)="B",BC1016,MAX(BC1016,H1016))))</f>
        <v>20</v>
      </c>
      <c r="AY1016" s="50" t="n">
        <f aca="false">IF(BW1016=1,0,ROUNDUP(AX1016/BV1016,0))</f>
        <v>1</v>
      </c>
      <c r="AZ1016" s="52" t="n">
        <f aca="false">IF(CL1016&gt;0,CL1016*MAX(1,AX1016/X1016),IF(BW1016=1,IF(AX1016&lt;=0,0,CA1016*MAX(1,IF(H1016&gt;0,AX1016/H1016,1))),IF(R1016&gt;0,AY1016/R1016,0))/MAX(0.1,N(Parameter!$M$21)))</f>
        <v>0.0384615384615385</v>
      </c>
      <c r="BA1016" s="50" t="n">
        <f aca="false">AZ1016*BY1016</f>
        <v>5.96153846153846</v>
      </c>
      <c r="BB1016" s="50" t="n">
        <f aca="false">AX1016*G1016</f>
        <v>161.2</v>
      </c>
      <c r="BC1016" s="50" t="n">
        <f aca="false">ROUNDUP(MAX(J1016/IF(CD1016&gt;0,CD1016,MAX(0.1,N(Cockpit!$O$6))),CG1016)/BV1016,0)*BV1016</f>
        <v>20</v>
      </c>
      <c r="BD1016" s="51" t="n">
        <f aca="false">IF(BA1016&gt;0,J1016/BA1016,-1)</f>
        <v>2.34838709677419</v>
      </c>
      <c r="BE1016" s="51" t="n">
        <f aca="false">IF(AND(OR(CC1016="L1",CC1016="L23",CC1016="LIFT"),BA1016&gt;0),SUMIFS($BA$7:$BA$1843,$CC$7:$CC$1843,CC1016,$BD$7:$BD$1843,"&gt;"&amp;BD1016)+SUMIFS($BA$7:$BA$1843,$CC$7:$CC$1843,CC1016,$BD$7:$BD$1843,BD1016,$BT$7:$BT$1843,"&lt;="&amp;BT1016),"")</f>
        <v>6734.00366300366</v>
      </c>
      <c r="BF1016" s="58" t="n">
        <f aca="false">IF(BE1016="",0,MAX(0,MIN(1,(IF(CC1016="L1",Parameter!$H$5,IF(CC1016="L23",Parameter!$H$6+Parameter!$H$7,Parameter!$H$5+Parameter!$H$6+Parameter!$H$7))-(BE1016-BA1016))/BA1016)))</f>
        <v>1</v>
      </c>
      <c r="BG1016" s="48" t="str">
        <f aca="false">IF(AI1016&lt;=0,"",IF(CC1016="Aussen","Aussenlager",IF(CC1016="-","Nicht im Lift",IF(AN1016&gt;=1,"Lift",IF(AN1016&lt;=0,"Aussenlager","teilweise")))))</f>
        <v>Lift</v>
      </c>
      <c r="BH1016" s="48" t="str">
        <f aca="false">IF(AR1016&lt;=0,"",IF(CC1016="Aussen","Aussenlager",IF(CC1016="-","Nicht im Lift",IF(AW1016&gt;=1,"Lift",IF(AW1016&lt;=0,"Aussenlager","teilweise")))))</f>
        <v>Lift</v>
      </c>
      <c r="BI1016" s="48" t="str">
        <f aca="false">IF(BA1016&lt;=0,"",IF(CC1016="Aussen","Aussenlager",IF(CC1016="-","Nicht im Lift",IF(BF1016&gt;=1,"Lift",IF(BF1016&lt;=0,"Aussenlager","teilweise")))))</f>
        <v>Lift</v>
      </c>
      <c r="BJ1016" s="48" t="str">
        <f aca="false">IF(A1016="","",IF(BS1016=1,"Neu; ","")&amp;IF(AND(BS1016=0,BN1016&lt;0),"negativer Bestand (Export "&amp;BN1016&amp;"); ","")&amp;IF(J1016&lt;=0,"Kein Verbrauch; ","")&amp;IF(CL1016&gt;0,"Lift "&amp;W1016&amp;" lt. Liftbericht (Fach "&amp;X1016&amp;" Stk); ",IF(BX1016=1,"Gebinde geschätzt ("&amp;T1016&amp;"); ",IF(BW1016=1,"Lose – Tablare geschätzt; ","")))&amp;IF(H1016&gt;AT1016,"Überbestand "&amp;ROUND(H1016-AT1016,0)&amp;" Stk / CHF "&amp;ROUND((H1016-AT1016)*G1016,0)&amp;"; ","")&amp;IF(AND(CE1016=1,CF1016&lt;CG1016),"MAX &lt; MB+LG; ","")&amp;IF(AND(CK1016&gt;0,CJ1016*10&gt;CK1016),"zu hoch für Tablar; ","")&amp;IF(AND(BS1016=0,OR(CE1016=1,AA1016&lt;&gt;"",U1016&lt;&gt;"",V1016&lt;&gt;"",AB1016&lt;&gt;"")),"manuell übersteuert; ","")&amp;IF(AND(BW1016=0,R1016=0),"Gebinde unbekannt / Stellmass fehlt; ","")&amp;IF(AND(BW1016=0,N(V1016)&lt;=0,N(Q1016)&lt;=0),"Menge pro Gebinde fehlt (Ist = 1 Gebinde); ","")&amp;BR1016)</f>
        <v>negativer Bestand (Export -14); Gebinde geschätzt (Klein); Menge pro Gebinde fehlt (Ist = 1 Gebinde); </v>
      </c>
      <c r="BK1016" s="48"/>
      <c r="BL1016" s="48"/>
      <c r="BM1016" s="55"/>
      <c r="BN1016" s="50" t="n">
        <v>-14</v>
      </c>
      <c r="BO1016" s="50" t="n">
        <v>28</v>
      </c>
      <c r="BP1016" s="49" t="n">
        <v>-112.84</v>
      </c>
      <c r="BQ1016" s="50" t="n">
        <v>14</v>
      </c>
      <c r="BR1016" s="48"/>
      <c r="BS1016" s="53" t="n">
        <v>0</v>
      </c>
      <c r="BT1016" s="53" t="n">
        <v>1016</v>
      </c>
      <c r="BU1016" s="48" t="str">
        <f aca="false">IF(U1016&lt;&gt;"",UPPER(TRIM(U1016)),IF(BX1016=1,UPPER(VLOOKUP(T1016,Parameter!$I$27:$K$29,2,0)),IF(P1016="","LOSE",P1016)))</f>
        <v>S51</v>
      </c>
      <c r="BV1016" s="50" t="n">
        <f aca="false">IF(BU1016="LOSE",1,IF(N(V1016)&gt;0,V1016,IF(BX1016=1,MAX(1,N(VLOOKUP(T1016,Parameter!$I$27:$K$29,3,0)),H1016,N(N1016)),IF(N(Q1016)&gt;0,Q1016,MAX(1,H1016)))))</f>
        <v>20</v>
      </c>
      <c r="BW1016" s="53" t="n">
        <f aca="false">IF(BU1016="LOSE",1,0)</f>
        <v>0</v>
      </c>
      <c r="BX1016" s="53" t="n">
        <f aca="false">IF(AND(U1016="",OR(P1016="",P1016="LOSE"),T1016&lt;&gt;"",N(S1016)&lt;=0,ISNUMBER(MATCH(T1016,Parameter!$I$27:$I$29,0))),1,0)</f>
        <v>1</v>
      </c>
      <c r="BY1016" s="53" t="n">
        <f aca="false">IF(CL1016&gt;0,INDEX(Parameter!$H$5:$H$7,W1016)/INDEX(Parameter!$E$5:$E$7,W1016),IF(AND(BW1016=0,N(IFERROR(VLOOKUP(BU1016,'Gebinde-Kategorie'!$A$5:$N$45,14,0),0))&gt;0),VLOOKUP(BU1016,'Gebinde-Kategorie'!$A$5:$N$45,14,0)*10+Parameter!$M$23,Parameter!$M$24))</f>
        <v>155</v>
      </c>
      <c r="BZ1016" s="48" t="str">
        <f aca="false">IF(AND(Parameter!$B$19="Ja",E1016&lt;&gt;"",ISNUMBER(MATCH(E1016,Parameter!$I$35:$I$52,0))),VLOOKUP(E1016,Parameter!$I$35:$J$52,2,0),IFERROR(VLOOKUP(D1016,Parameter!$A$35:$C$64,2,0),"Nein"))</f>
        <v>2+3</v>
      </c>
      <c r="CA1016" s="52" t="n">
        <f aca="false">IF(BW1016=0,0,IF(N(S1016)&gt;0,S1016,IFERROR(VLOOKUP(D1016,Parameter!$A$35:$C$64,3,0)+0,0)))</f>
        <v>0</v>
      </c>
      <c r="CB1016" s="48" t="n">
        <f aca="false">IF(AA1016&lt;&gt;"",AA1016,Z1016)</f>
        <v>3</v>
      </c>
      <c r="CC1016" s="48" t="str">
        <f aca="false">IF(OR(CB1016=1,CB1016=2,CB1016=3),IF(Parameter!$E$27="Ja","LIFT",IF(CB1016=1,"L1","L23")),IF(CB1016="Aussen","Aussen","-"))</f>
        <v>LIFT</v>
      </c>
      <c r="CD1016" s="59" t="n">
        <f aca="false">IF(N(AB1016)&gt;0,AB1016,0)</f>
        <v>0</v>
      </c>
      <c r="CE1016" s="53" t="n">
        <f aca="false">IF(ISNUMBER(AE1016),1,0)</f>
        <v>0</v>
      </c>
      <c r="CF1016" s="50" t="n">
        <f aca="false">N(AE1016)</f>
        <v>0</v>
      </c>
      <c r="CG1016" s="50" t="n">
        <f aca="false">N(M1016)+N(N1016)</f>
        <v>15</v>
      </c>
      <c r="CH1016" s="50" t="n">
        <f aca="false">ROUNDUP(H1016/BV1016,0)</f>
        <v>1</v>
      </c>
      <c r="CI1016" s="50" t="n">
        <f aca="false">ROUNDUP(CF1016/BV1016,0)</f>
        <v>0</v>
      </c>
      <c r="CJ1016" s="53" t="n">
        <f aca="false">IF(BW1016=1,0,IFERROR(VLOOKUP(BU1016,'Gebinde-Kategorie'!$A$5:$N$45,5,0)+0,0))</f>
        <v>11</v>
      </c>
      <c r="CK1016" s="53" t="n">
        <f aca="false">IFERROR(IF(OR(CB1016=1,CB1016=2,CB1016=3),N(INDEX(Parameter!$I$5:$I$7,CB1016)),0),0)</f>
        <v>0</v>
      </c>
      <c r="CL1016" s="52" t="n">
        <f aca="false">IF(AND(Parameter!$B$21="Ja",ISNUMBER(W1016),N(X1016)&gt;0),IFERROR(N(INDEX(Parameter!$L$5:$L$7,W1016))*INDEX(Parameter!$E$5:$E$7,W1016)*X1016/SUMIFS($X$7:$X$1843,$W$7:$W$1843,W1016),0),0)</f>
        <v>0</v>
      </c>
    </row>
    <row r="1017" customFormat="false" ht="15" hidden="false" customHeight="false" outlineLevel="0" collapsed="false">
      <c r="A1017" s="48" t="s">
        <v>1876</v>
      </c>
      <c r="B1017" s="48" t="s">
        <v>896</v>
      </c>
      <c r="C1017" s="48" t="s">
        <v>168</v>
      </c>
      <c r="D1017" s="48" t="s">
        <v>188</v>
      </c>
      <c r="E1017" s="48" t="s">
        <v>189</v>
      </c>
      <c r="F1017" s="48" t="s">
        <v>222</v>
      </c>
      <c r="G1017" s="49" t="n">
        <v>10.72</v>
      </c>
      <c r="H1017" s="50" t="n">
        <f aca="false">MAX(0,IF(AND(Parameter!$B$21="Ja",ISNUMBER(Y1017)),Y1017,IF(Parameter!$B$20="Jahresanfang 2025 + Export",BO1017+BN1017,BN1017)))</f>
        <v>3</v>
      </c>
      <c r="I1017" s="50" t="n">
        <f aca="false">H1017*G1017</f>
        <v>32.16</v>
      </c>
      <c r="J1017" s="50" t="n">
        <f aca="false">BQ1017*Parameter!$B$18</f>
        <v>8</v>
      </c>
      <c r="K1017" s="51" t="n">
        <v>7.5</v>
      </c>
      <c r="L1017" s="52" t="n">
        <v>1.06666666666667</v>
      </c>
      <c r="M1017" s="50" t="n">
        <v>0</v>
      </c>
      <c r="N1017" s="50" t="n">
        <v>10</v>
      </c>
      <c r="O1017" s="53" t="n">
        <v>18</v>
      </c>
      <c r="P1017" s="48" t="s">
        <v>425</v>
      </c>
      <c r="Q1017" s="50" t="n">
        <v>23</v>
      </c>
      <c r="R1017" s="53" t="n">
        <f aca="false">IF(BW1017=1,0,IFERROR(VLOOKUP(BU1017,'Gebinde-Kategorie'!$A$5:$N$45,13,0)+0,0))</f>
        <v>104</v>
      </c>
      <c r="S1017" s="54"/>
      <c r="T1017" s="55"/>
      <c r="U1017" s="55"/>
      <c r="V1017" s="55"/>
      <c r="W1017" s="48"/>
      <c r="X1017" s="50"/>
      <c r="Y1017" s="50"/>
      <c r="Z1017" s="48" t="n">
        <f aca="false">IF(A1017="","",IF(AND(Parameter!$B$21="Ja",ISNUMBER(W1017)),W1017,IF(BZ1017="2+3",IF(ISNUMBER(SEARCH("grosser Artikel",BR1017)),2,IFERROR(VLOOKUP(BU1017,Parameter!$F$35:$G$64,2,0),2)),IF(OR(BZ1017="Nein",BZ1017=""),"-",BZ1017))))</f>
        <v>3</v>
      </c>
      <c r="AA1017" s="55"/>
      <c r="AB1017" s="56"/>
      <c r="AC1017" s="50" t="n">
        <f aca="false">AT1017</f>
        <v>23</v>
      </c>
      <c r="AD1017" s="50" t="n">
        <f aca="false">MAX(AT1017,H1017)</f>
        <v>23</v>
      </c>
      <c r="AE1017" s="57"/>
      <c r="AF1017" s="50" t="n">
        <f aca="false">IF(LEFT(Cockpit!$C$5,1)="A",H1017,IF(CE1017=1,CF1017,IF(LEFT(Cockpit!$C$5,1)="B",AK1017,MAX(AK1017,H1017))))</f>
        <v>3</v>
      </c>
      <c r="AG1017" s="50" t="n">
        <f aca="false">IF(BW1017=1,0,ROUNDUP(AF1017/BV1017,0))</f>
        <v>1</v>
      </c>
      <c r="AH1017" s="52" t="n">
        <f aca="false">IF(CL1017&gt;0,CL1017*MAX(1,AF1017/X1017),IF(BW1017=1,IF(AF1017&lt;=0,0,CA1017*MAX(1,IF(H1017&gt;0,AF1017/H1017,1))),IF(R1017&gt;0,AG1017/R1017,0))/MAX(0.1,N(Parameter!$M$21)))</f>
        <v>0.00961538461538462</v>
      </c>
      <c r="AI1017" s="50" t="n">
        <f aca="false">AH1017*BY1017</f>
        <v>1.49038461538462</v>
      </c>
      <c r="AJ1017" s="50" t="n">
        <f aca="false">AF1017*G1017</f>
        <v>32.16</v>
      </c>
      <c r="AK1017" s="50" t="n">
        <f aca="false">ROUNDUP(MAX(J1017/IF(CD1017&gt;0,CD1017,MAX(0.1,N(Cockpit!$C$6))),CG1017)/BV1017,0)*BV1017</f>
        <v>23</v>
      </c>
      <c r="AL1017" s="51" t="n">
        <f aca="false">IF(AI1017&gt;0,J1017/AI1017,-1)</f>
        <v>5.36774193548387</v>
      </c>
      <c r="AM1017" s="51" t="n">
        <f aca="false">IF(AND(OR(CC1017="L1",CC1017="L23",CC1017="LIFT"),AI1017&gt;0),SUMIFS($AI$7:$AI$1843,$CC$7:$CC$1843,CC1017,$AL$7:$AL$1843,"&gt;"&amp;AL1017)+SUMIFS($AI$7:$AI$1843,$CC$7:$CC$1843,CC1017,$AL$7:$AL$1843,AL1017,$BT$7:$BT$1843,"&lt;="&amp;BT1017),"")</f>
        <v>3730.66254578755</v>
      </c>
      <c r="AN1017" s="58" t="n">
        <f aca="false">IF(AM1017="",0,MAX(0,MIN(1,(IF(CC1017="L1",Parameter!$H$5,IF(CC1017="L23",Parameter!$H$6+Parameter!$H$7,Parameter!$H$5+Parameter!$H$6+Parameter!$H$7))-(AM1017-AI1017))/AI1017)))</f>
        <v>1</v>
      </c>
      <c r="AO1017" s="50" t="n">
        <f aca="false">IF(LEFT(Cockpit!$I$5,1)="A",H1017,IF(CE1017=1,CF1017,IF(LEFT(Cockpit!$I$5,1)="B",AT1017,MAX(AT1017,H1017))))</f>
        <v>23</v>
      </c>
      <c r="AP1017" s="50" t="n">
        <f aca="false">IF(BW1017=1,0,ROUNDUP(AO1017/BV1017,0))</f>
        <v>1</v>
      </c>
      <c r="AQ1017" s="52" t="n">
        <f aca="false">IF(CL1017&gt;0,CL1017*MAX(1,AO1017/X1017),IF(BW1017=1,IF(AO1017&lt;=0,0,CA1017*MAX(1,IF(H1017&gt;0,AO1017/H1017,1))),IF(R1017&gt;0,AP1017/R1017,0))/MAX(0.1,N(Parameter!$M$21)))</f>
        <v>0.00961538461538462</v>
      </c>
      <c r="AR1017" s="50" t="n">
        <f aca="false">AQ1017*BY1017</f>
        <v>1.49038461538462</v>
      </c>
      <c r="AS1017" s="50" t="n">
        <f aca="false">AO1017*G1017</f>
        <v>246.56</v>
      </c>
      <c r="AT1017" s="50" t="n">
        <f aca="false">ROUNDUP(MAX(J1017/IF(CD1017&gt;0,CD1017,MAX(0.1,N(Cockpit!$I$6))),CG1017)/BV1017,0)*BV1017</f>
        <v>23</v>
      </c>
      <c r="AU1017" s="51" t="n">
        <f aca="false">IF(AR1017&gt;0,J1017/AR1017,-1)</f>
        <v>5.36774193548387</v>
      </c>
      <c r="AV1017" s="51" t="n">
        <f aca="false">IF(AND(OR(CC1017="L1",CC1017="L23",CC1017="LIFT"),AR1017&gt;0),SUMIFS($AR$7:$AR$1843,$CC$7:$CC$1843,CC1017,$AU$7:$AU$1843,"&gt;"&amp;AU1017)+SUMIFS($AR$7:$AR$1843,$CC$7:$CC$1843,CC1017,$AU$7:$AU$1843,AU1017,$BT$7:$BT$1843,"&lt;="&amp;BT1017),"")</f>
        <v>4914.961996337</v>
      </c>
      <c r="AW1017" s="58" t="n">
        <f aca="false">IF(AV1017="",0,MAX(0,MIN(1,(IF(CC1017="L1",Parameter!$H$5,IF(CC1017="L23",Parameter!$H$6+Parameter!$H$7,Parameter!$H$5+Parameter!$H$6+Parameter!$H$7))-(AV1017-AR1017))/AR1017)))</f>
        <v>1</v>
      </c>
      <c r="AX1017" s="50" t="n">
        <f aca="false">IF(LEFT(Cockpit!$O$5,1)="A",H1017,IF(CE1017=1,CF1017,IF(LEFT(Cockpit!$O$5,1)="B",BC1017,MAX(BC1017,H1017))))</f>
        <v>23</v>
      </c>
      <c r="AY1017" s="50" t="n">
        <f aca="false">IF(BW1017=1,0,ROUNDUP(AX1017/BV1017,0))</f>
        <v>1</v>
      </c>
      <c r="AZ1017" s="52" t="n">
        <f aca="false">IF(CL1017&gt;0,CL1017*MAX(1,AX1017/X1017),IF(BW1017=1,IF(AX1017&lt;=0,0,CA1017*MAX(1,IF(H1017&gt;0,AX1017/H1017,1))),IF(R1017&gt;0,AY1017/R1017,0))/MAX(0.1,N(Parameter!$M$21)))</f>
        <v>0.00961538461538462</v>
      </c>
      <c r="BA1017" s="50" t="n">
        <f aca="false">AZ1017*BY1017</f>
        <v>1.49038461538462</v>
      </c>
      <c r="BB1017" s="50" t="n">
        <f aca="false">AX1017*G1017</f>
        <v>246.56</v>
      </c>
      <c r="BC1017" s="50" t="n">
        <f aca="false">ROUNDUP(MAX(J1017/IF(CD1017&gt;0,CD1017,MAX(0.1,N(Cockpit!$O$6))),CG1017)/BV1017,0)*BV1017</f>
        <v>23</v>
      </c>
      <c r="BD1017" s="51" t="n">
        <f aca="false">IF(BA1017&gt;0,J1017/BA1017,-1)</f>
        <v>5.36774193548387</v>
      </c>
      <c r="BE1017" s="51" t="n">
        <f aca="false">IF(AND(OR(CC1017="L1",CC1017="L23",CC1017="LIFT"),BA1017&gt;0),SUMIFS($BA$7:$BA$1843,$CC$7:$CC$1843,CC1017,$BD$7:$BD$1843,"&gt;"&amp;BD1017)+SUMIFS($BA$7:$BA$1843,$CC$7:$CC$1843,CC1017,$BD$7:$BD$1843,BD1017,$BT$7:$BT$1843,"&lt;="&amp;BT1017),"")</f>
        <v>4585.42673992674</v>
      </c>
      <c r="BF1017" s="58" t="n">
        <f aca="false">IF(BE1017="",0,MAX(0,MIN(1,(IF(CC1017="L1",Parameter!$H$5,IF(CC1017="L23",Parameter!$H$6+Parameter!$H$7,Parameter!$H$5+Parameter!$H$6+Parameter!$H$7))-(BE1017-BA1017))/BA1017)))</f>
        <v>1</v>
      </c>
      <c r="BG1017" s="48" t="str">
        <f aca="false">IF(AI1017&lt;=0,"",IF(CC1017="Aussen","Aussenlager",IF(CC1017="-","Nicht im Lift",IF(AN1017&gt;=1,"Lift",IF(AN1017&lt;=0,"Aussenlager","teilweise")))))</f>
        <v>Lift</v>
      </c>
      <c r="BH1017" s="48" t="str">
        <f aca="false">IF(AR1017&lt;=0,"",IF(CC1017="Aussen","Aussenlager",IF(CC1017="-","Nicht im Lift",IF(AW1017&gt;=1,"Lift",IF(AW1017&lt;=0,"Aussenlager","teilweise")))))</f>
        <v>Lift</v>
      </c>
      <c r="BI1017" s="48" t="str">
        <f aca="false">IF(BA1017&lt;=0,"",IF(CC1017="Aussen","Aussenlager",IF(CC1017="-","Nicht im Lift",IF(BF1017&gt;=1,"Lift",IF(BF1017&lt;=0,"Aussenlager","teilweise")))))</f>
        <v>Lift</v>
      </c>
      <c r="BJ1017" s="48" t="str">
        <f aca="false">IF(A1017="","",IF(BS1017=1,"Neu; ","")&amp;IF(AND(BS1017=0,BN1017&lt;0),"negativer Bestand (Export "&amp;BN1017&amp;"); ","")&amp;IF(J1017&lt;=0,"Kein Verbrauch; ","")&amp;IF(CL1017&gt;0,"Lift "&amp;W1017&amp;" lt. Liftbericht (Fach "&amp;X1017&amp;" Stk); ",IF(BX1017=1,"Gebinde geschätzt ("&amp;T1017&amp;"); ",IF(BW1017=1,"Lose – Tablare geschätzt; ","")))&amp;IF(H1017&gt;AT1017,"Überbestand "&amp;ROUND(H1017-AT1017,0)&amp;" Stk / CHF "&amp;ROUND((H1017-AT1017)*G1017,0)&amp;"; ","")&amp;IF(AND(CE1017=1,CF1017&lt;CG1017),"MAX &lt; MB+LG; ","")&amp;IF(AND(CK1017&gt;0,CJ1017*10&gt;CK1017),"zu hoch für Tablar; ","")&amp;IF(AND(BS1017=0,OR(CE1017=1,AA1017&lt;&gt;"",U1017&lt;&gt;"",V1017&lt;&gt;"",AB1017&lt;&gt;"")),"manuell übersteuert; ","")&amp;IF(AND(BW1017=0,R1017=0),"Gebinde unbekannt / Stellmass fehlt; ","")&amp;IF(AND(BW1017=0,N(V1017)&lt;=0,N(Q1017)&lt;=0),"Menge pro Gebinde fehlt (Ist = 1 Gebinde); ","")&amp;BR1017)</f>
        <v>negativer Bestand (Export -9); </v>
      </c>
      <c r="BK1017" s="48"/>
      <c r="BL1017" s="48"/>
      <c r="BM1017" s="55"/>
      <c r="BN1017" s="50" t="n">
        <v>-9</v>
      </c>
      <c r="BO1017" s="50" t="n">
        <v>12</v>
      </c>
      <c r="BP1017" s="49" t="n">
        <v>-113.16</v>
      </c>
      <c r="BQ1017" s="50" t="n">
        <v>8</v>
      </c>
      <c r="BR1017" s="48"/>
      <c r="BS1017" s="53" t="n">
        <v>0</v>
      </c>
      <c r="BT1017" s="53" t="n">
        <v>1017</v>
      </c>
      <c r="BU1017" s="48" t="str">
        <f aca="false">IF(U1017&lt;&gt;"",UPPER(TRIM(U1017)),IF(BX1017=1,UPPER(VLOOKUP(T1017,Parameter!$I$27:$K$29,2,0)),IF(P1017="","LOSE",P1017)))</f>
        <v>S32</v>
      </c>
      <c r="BV1017" s="50" t="n">
        <f aca="false">IF(BU1017="LOSE",1,IF(N(V1017)&gt;0,V1017,IF(BX1017=1,MAX(1,N(VLOOKUP(T1017,Parameter!$I$27:$K$29,3,0)),H1017,N(N1017)),IF(N(Q1017)&gt;0,Q1017,MAX(1,H1017)))))</f>
        <v>23</v>
      </c>
      <c r="BW1017" s="53" t="n">
        <f aca="false">IF(BU1017="LOSE",1,0)</f>
        <v>0</v>
      </c>
      <c r="BX1017" s="53" t="n">
        <f aca="false">IF(AND(U1017="",OR(P1017="",P1017="LOSE"),T1017&lt;&gt;"",N(S1017)&lt;=0,ISNUMBER(MATCH(T1017,Parameter!$I$27:$I$29,0))),1,0)</f>
        <v>0</v>
      </c>
      <c r="BY1017" s="53" t="n">
        <f aca="false">IF(CL1017&gt;0,INDEX(Parameter!$H$5:$H$7,W1017)/INDEX(Parameter!$E$5:$E$7,W1017),IF(AND(BW1017=0,N(IFERROR(VLOOKUP(BU1017,'Gebinde-Kategorie'!$A$5:$N$45,14,0),0))&gt;0),VLOOKUP(BU1017,'Gebinde-Kategorie'!$A$5:$N$45,14,0)*10+Parameter!$M$23,Parameter!$M$24))</f>
        <v>155</v>
      </c>
      <c r="BZ1017" s="48" t="str">
        <f aca="false">IF(AND(Parameter!$B$19="Ja",E1017&lt;&gt;"",ISNUMBER(MATCH(E1017,Parameter!$I$35:$I$52,0))),VLOOKUP(E1017,Parameter!$I$35:$J$52,2,0),IFERROR(VLOOKUP(D1017,Parameter!$A$35:$C$64,2,0),"Nein"))</f>
        <v>2+3</v>
      </c>
      <c r="CA1017" s="52" t="n">
        <f aca="false">IF(BW1017=0,0,IF(N(S1017)&gt;0,S1017,IFERROR(VLOOKUP(D1017,Parameter!$A$35:$C$64,3,0)+0,0)))</f>
        <v>0</v>
      </c>
      <c r="CB1017" s="48" t="n">
        <f aca="false">IF(AA1017&lt;&gt;"",AA1017,Z1017)</f>
        <v>3</v>
      </c>
      <c r="CC1017" s="48" t="str">
        <f aca="false">IF(OR(CB1017=1,CB1017=2,CB1017=3),IF(Parameter!$E$27="Ja","LIFT",IF(CB1017=1,"L1","L23")),IF(CB1017="Aussen","Aussen","-"))</f>
        <v>LIFT</v>
      </c>
      <c r="CD1017" s="59" t="n">
        <f aca="false">IF(N(AB1017)&gt;0,AB1017,0)</f>
        <v>0</v>
      </c>
      <c r="CE1017" s="53" t="n">
        <f aca="false">IF(ISNUMBER(AE1017),1,0)</f>
        <v>0</v>
      </c>
      <c r="CF1017" s="50" t="n">
        <f aca="false">N(AE1017)</f>
        <v>0</v>
      </c>
      <c r="CG1017" s="50" t="n">
        <f aca="false">N(M1017)+N(N1017)</f>
        <v>10</v>
      </c>
      <c r="CH1017" s="50" t="n">
        <f aca="false">ROUNDUP(H1017/BV1017,0)</f>
        <v>1</v>
      </c>
      <c r="CI1017" s="50" t="n">
        <f aca="false">ROUNDUP(CF1017/BV1017,0)</f>
        <v>0</v>
      </c>
      <c r="CJ1017" s="53" t="n">
        <f aca="false">IF(BW1017=1,0,IFERROR(VLOOKUP(BU1017,'Gebinde-Kategorie'!$A$5:$N$45,5,0)+0,0))</f>
        <v>8</v>
      </c>
      <c r="CK1017" s="53" t="n">
        <f aca="false">IFERROR(IF(OR(CB1017=1,CB1017=2,CB1017=3),N(INDEX(Parameter!$I$5:$I$7,CB1017)),0),0)</f>
        <v>0</v>
      </c>
      <c r="CL1017" s="52" t="n">
        <f aca="false">IF(AND(Parameter!$B$21="Ja",ISNUMBER(W1017),N(X1017)&gt;0),IFERROR(N(INDEX(Parameter!$L$5:$L$7,W1017))*INDEX(Parameter!$E$5:$E$7,W1017)*X1017/SUMIFS($X$7:$X$1843,$W$7:$W$1843,W1017),0),0)</f>
        <v>0</v>
      </c>
    </row>
    <row r="1018" customFormat="false" ht="15" hidden="false" customHeight="false" outlineLevel="0" collapsed="false">
      <c r="A1018" s="48" t="s">
        <v>1877</v>
      </c>
      <c r="B1018" s="48" t="s">
        <v>1878</v>
      </c>
      <c r="C1018" s="48" t="s">
        <v>460</v>
      </c>
      <c r="D1018" s="48" t="s">
        <v>177</v>
      </c>
      <c r="E1018" s="48" t="s">
        <v>1483</v>
      </c>
      <c r="F1018" s="48" t="s">
        <v>222</v>
      </c>
      <c r="G1018" s="49" t="n">
        <v>114.36</v>
      </c>
      <c r="H1018" s="50" t="n">
        <f aca="false">MAX(0,IF(AND(Parameter!$B$21="Ja",ISNUMBER(Y1018)),Y1018,IF(Parameter!$B$20="Jahresanfang 2025 + Export",BO1018+BN1018,BN1018)))</f>
        <v>0</v>
      </c>
      <c r="I1018" s="50" t="n">
        <f aca="false">H1018*G1018</f>
        <v>0</v>
      </c>
      <c r="J1018" s="50" t="n">
        <f aca="false">BQ1018*Parameter!$B$18</f>
        <v>0</v>
      </c>
      <c r="K1018" s="51" t="n">
        <v>0.5</v>
      </c>
      <c r="L1018" s="52" t="n">
        <v>0</v>
      </c>
      <c r="M1018" s="50" t="n">
        <v>0</v>
      </c>
      <c r="N1018" s="50" t="n">
        <v>1</v>
      </c>
      <c r="O1018" s="53" t="n">
        <v>56</v>
      </c>
      <c r="P1018" s="48" t="s">
        <v>172</v>
      </c>
      <c r="Q1018" s="50"/>
      <c r="R1018" s="53" t="n">
        <f aca="false">IF(BW1018=1,0,IFERROR(VLOOKUP(BU1018,'Gebinde-Kategorie'!$A$5:$N$45,13,0)+0,0))</f>
        <v>4</v>
      </c>
      <c r="S1018" s="54"/>
      <c r="T1018" s="55" t="s">
        <v>193</v>
      </c>
      <c r="U1018" s="55"/>
      <c r="V1018" s="55"/>
      <c r="W1018" s="48"/>
      <c r="X1018" s="50"/>
      <c r="Y1018" s="50"/>
      <c r="Z1018" s="48" t="str">
        <f aca="false">IF(A1018="","",IF(AND(Parameter!$B$21="Ja",ISNUMBER(W1018)),W1018,IF(BZ1018="2+3",IF(ISNUMBER(SEARCH("grosser Artikel",BR1018)),2,IFERROR(VLOOKUP(BU1018,Parameter!$F$35:$G$64,2,0),2)),IF(OR(BZ1018="Nein",BZ1018=""),"-",BZ1018))))</f>
        <v>-</v>
      </c>
      <c r="AA1018" s="55"/>
      <c r="AB1018" s="56"/>
      <c r="AC1018" s="50" t="n">
        <f aca="false">AT1018</f>
        <v>2</v>
      </c>
      <c r="AD1018" s="50" t="n">
        <f aca="false">MAX(AT1018,H1018)</f>
        <v>2</v>
      </c>
      <c r="AE1018" s="57"/>
      <c r="AF1018" s="50" t="n">
        <f aca="false">IF(LEFT(Cockpit!$C$5,1)="A",H1018,IF(CE1018=1,CF1018,IF(LEFT(Cockpit!$C$5,1)="B",AK1018,MAX(AK1018,H1018))))</f>
        <v>0</v>
      </c>
      <c r="AG1018" s="50" t="n">
        <f aca="false">IF(BW1018=1,0,ROUNDUP(AF1018/BV1018,0))</f>
        <v>0</v>
      </c>
      <c r="AH1018" s="52" t="n">
        <f aca="false">IF(CL1018&gt;0,CL1018*MAX(1,AF1018/X1018),IF(BW1018=1,IF(AF1018&lt;=0,0,CA1018*MAX(1,IF(H1018&gt;0,AF1018/H1018,1))),IF(R1018&gt;0,AG1018/R1018,0))/MAX(0.1,N(Parameter!$M$21)))</f>
        <v>0</v>
      </c>
      <c r="AI1018" s="50" t="n">
        <f aca="false">AH1018*BY1018</f>
        <v>0</v>
      </c>
      <c r="AJ1018" s="50" t="n">
        <f aca="false">AF1018*G1018</f>
        <v>0</v>
      </c>
      <c r="AK1018" s="50" t="n">
        <f aca="false">ROUNDUP(MAX(J1018/IF(CD1018&gt;0,CD1018,MAX(0.1,N(Cockpit!$C$6))),CG1018)/BV1018,0)*BV1018</f>
        <v>2</v>
      </c>
      <c r="AL1018" s="51" t="n">
        <f aca="false">IF(AI1018&gt;0,J1018/AI1018,-1)</f>
        <v>-1</v>
      </c>
      <c r="AM1018" s="51" t="str">
        <f aca="false">IF(AND(OR(CC1018="L1",CC1018="L23",CC1018="LIFT"),AI1018&gt;0),SUMIFS($AI$7:$AI$1843,$CC$7:$CC$1843,CC1018,$AL$7:$AL$1843,"&gt;"&amp;AL1018)+SUMIFS($AI$7:$AI$1843,$CC$7:$CC$1843,CC1018,$AL$7:$AL$1843,AL1018,$BT$7:$BT$1843,"&lt;="&amp;BT1018),"")</f>
        <v/>
      </c>
      <c r="AN1018" s="58" t="n">
        <f aca="false">IF(AM1018="",0,MAX(0,MIN(1,(IF(CC1018="L1",Parameter!$H$5,IF(CC1018="L23",Parameter!$H$6+Parameter!$H$7,Parameter!$H$5+Parameter!$H$6+Parameter!$H$7))-(AM1018-AI1018))/AI1018)))</f>
        <v>0</v>
      </c>
      <c r="AO1018" s="50" t="n">
        <f aca="false">IF(LEFT(Cockpit!$I$5,1)="A",H1018,IF(CE1018=1,CF1018,IF(LEFT(Cockpit!$I$5,1)="B",AT1018,MAX(AT1018,H1018))))</f>
        <v>2</v>
      </c>
      <c r="AP1018" s="50" t="n">
        <f aca="false">IF(BW1018=1,0,ROUNDUP(AO1018/BV1018,0))</f>
        <v>1</v>
      </c>
      <c r="AQ1018" s="52" t="n">
        <f aca="false">IF(CL1018&gt;0,CL1018*MAX(1,AO1018/X1018),IF(BW1018=1,IF(AO1018&lt;=0,0,CA1018*MAX(1,IF(H1018&gt;0,AO1018/H1018,1))),IF(R1018&gt;0,AP1018/R1018,0))/MAX(0.1,N(Parameter!$M$21)))</f>
        <v>0.25</v>
      </c>
      <c r="AR1018" s="50" t="n">
        <f aca="false">AQ1018*BY1018</f>
        <v>58.75</v>
      </c>
      <c r="AS1018" s="50" t="n">
        <f aca="false">AO1018*G1018</f>
        <v>228.72</v>
      </c>
      <c r="AT1018" s="50" t="n">
        <f aca="false">ROUNDUP(MAX(J1018/IF(CD1018&gt;0,CD1018,MAX(0.1,N(Cockpit!$I$6))),CG1018)/BV1018,0)*BV1018</f>
        <v>2</v>
      </c>
      <c r="AU1018" s="51" t="n">
        <f aca="false">IF(AR1018&gt;0,J1018/AR1018,-1)</f>
        <v>0</v>
      </c>
      <c r="AV1018" s="51" t="str">
        <f aca="false">IF(AND(OR(CC1018="L1",CC1018="L23",CC1018="LIFT"),AR1018&gt;0),SUMIFS($AR$7:$AR$1843,$CC$7:$CC$1843,CC1018,$AU$7:$AU$1843,"&gt;"&amp;AU1018)+SUMIFS($AR$7:$AR$1843,$CC$7:$CC$1843,CC1018,$AU$7:$AU$1843,AU1018,$BT$7:$BT$1843,"&lt;="&amp;BT1018),"")</f>
        <v/>
      </c>
      <c r="AW1018" s="58" t="n">
        <f aca="false">IF(AV1018="",0,MAX(0,MIN(1,(IF(CC1018="L1",Parameter!$H$5,IF(CC1018="L23",Parameter!$H$6+Parameter!$H$7,Parameter!$H$5+Parameter!$H$6+Parameter!$H$7))-(AV1018-AR1018))/AR1018)))</f>
        <v>0</v>
      </c>
      <c r="AX1018" s="50" t="n">
        <f aca="false">IF(LEFT(Cockpit!$O$5,1)="A",H1018,IF(CE1018=1,CF1018,IF(LEFT(Cockpit!$O$5,1)="B",BC1018,MAX(BC1018,H1018))))</f>
        <v>2</v>
      </c>
      <c r="AY1018" s="50" t="n">
        <f aca="false">IF(BW1018=1,0,ROUNDUP(AX1018/BV1018,0))</f>
        <v>1</v>
      </c>
      <c r="AZ1018" s="52" t="n">
        <f aca="false">IF(CL1018&gt;0,CL1018*MAX(1,AX1018/X1018),IF(BW1018=1,IF(AX1018&lt;=0,0,CA1018*MAX(1,IF(H1018&gt;0,AX1018/H1018,1))),IF(R1018&gt;0,AY1018/R1018,0))/MAX(0.1,N(Parameter!$M$21)))</f>
        <v>0.25</v>
      </c>
      <c r="BA1018" s="50" t="n">
        <f aca="false">AZ1018*BY1018</f>
        <v>58.75</v>
      </c>
      <c r="BB1018" s="50" t="n">
        <f aca="false">AX1018*G1018</f>
        <v>228.72</v>
      </c>
      <c r="BC1018" s="50" t="n">
        <f aca="false">ROUNDUP(MAX(J1018/IF(CD1018&gt;0,CD1018,MAX(0.1,N(Cockpit!$O$6))),CG1018)/BV1018,0)*BV1018</f>
        <v>2</v>
      </c>
      <c r="BD1018" s="51" t="n">
        <f aca="false">IF(BA1018&gt;0,J1018/BA1018,-1)</f>
        <v>0</v>
      </c>
      <c r="BE1018" s="51" t="str">
        <f aca="false">IF(AND(OR(CC1018="L1",CC1018="L23",CC1018="LIFT"),BA1018&gt;0),SUMIFS($BA$7:$BA$1843,$CC$7:$CC$1843,CC1018,$BD$7:$BD$1843,"&gt;"&amp;BD1018)+SUMIFS($BA$7:$BA$1843,$CC$7:$CC$1843,CC1018,$BD$7:$BD$1843,BD1018,$BT$7:$BT$1843,"&lt;="&amp;BT1018),"")</f>
        <v/>
      </c>
      <c r="BF1018" s="58" t="n">
        <f aca="false">IF(BE1018="",0,MAX(0,MIN(1,(IF(CC1018="L1",Parameter!$H$5,IF(CC1018="L23",Parameter!$H$6+Parameter!$H$7,Parameter!$H$5+Parameter!$H$6+Parameter!$H$7))-(BE1018-BA1018))/BA1018)))</f>
        <v>0</v>
      </c>
      <c r="BG1018" s="48" t="str">
        <f aca="false">IF(AI1018&lt;=0,"",IF(CC1018="Aussen","Aussenlager",IF(CC1018="-","Nicht im Lift",IF(AN1018&gt;=1,"Lift",IF(AN1018&lt;=0,"Aussenlager","teilweise")))))</f>
        <v/>
      </c>
      <c r="BH1018" s="48" t="str">
        <f aca="false">IF(AR1018&lt;=0,"",IF(CC1018="Aussen","Aussenlager",IF(CC1018="-","Nicht im Lift",IF(AW1018&gt;=1,"Lift",IF(AW1018&lt;=0,"Aussenlager","teilweise")))))</f>
        <v>Nicht im Lift</v>
      </c>
      <c r="BI1018" s="48" t="str">
        <f aca="false">IF(BA1018&lt;=0,"",IF(CC1018="Aussen","Aussenlager",IF(CC1018="-","Nicht im Lift",IF(BF1018&gt;=1,"Lift",IF(BF1018&lt;=0,"Aussenlager","teilweise")))))</f>
        <v>Nicht im Lift</v>
      </c>
      <c r="BJ1018" s="48" t="str">
        <f aca="false">IF(A1018="","",IF(BS1018=1,"Neu; ","")&amp;IF(AND(BS1018=0,BN1018&lt;0),"negativer Bestand (Export "&amp;BN1018&amp;"); ","")&amp;IF(J1018&lt;=0,"Kein Verbrauch; ","")&amp;IF(CL1018&gt;0,"Lift "&amp;W1018&amp;" lt. Liftbericht (Fach "&amp;X1018&amp;" Stk); ",IF(BX1018=1,"Gebinde geschätzt ("&amp;T1018&amp;"); ",IF(BW1018=1,"Lose – Tablare geschätzt; ","")))&amp;IF(H1018&gt;AT1018,"Überbestand "&amp;ROUND(H1018-AT1018,0)&amp;" Stk / CHF "&amp;ROUND((H1018-AT1018)*G1018,0)&amp;"; ","")&amp;IF(AND(CE1018=1,CF1018&lt;CG1018),"MAX &lt; MB+LG; ","")&amp;IF(AND(CK1018&gt;0,CJ1018*10&gt;CK1018),"zu hoch für Tablar; ","")&amp;IF(AND(BS1018=0,OR(CE1018=1,AA1018&lt;&gt;"",U1018&lt;&gt;"",V1018&lt;&gt;"",AB1018&lt;&gt;"")),"manuell übersteuert; ","")&amp;IF(AND(BW1018=0,R1018=0),"Gebinde unbekannt / Stellmass fehlt; ","")&amp;IF(AND(BW1018=0,N(V1018)&lt;=0,N(Q1018)&lt;=0),"Menge pro Gebinde fehlt (Ist = 1 Gebinde); ","")&amp;BR1018)</f>
        <v>negativer Bestand (Export -1); Kein Verbrauch; Gebinde geschätzt (Gross); Menge pro Gebinde fehlt (Ist = 1 Gebinde); Neu</v>
      </c>
      <c r="BK1018" s="48"/>
      <c r="BL1018" s="48"/>
      <c r="BM1018" s="55"/>
      <c r="BN1018" s="50" t="n">
        <v>-1</v>
      </c>
      <c r="BO1018" s="50" t="n">
        <v>1</v>
      </c>
      <c r="BP1018" s="49" t="n">
        <v>-114.36</v>
      </c>
      <c r="BQ1018" s="50" t="n">
        <v>0</v>
      </c>
      <c r="BR1018" s="48" t="s">
        <v>630</v>
      </c>
      <c r="BS1018" s="53" t="n">
        <v>0</v>
      </c>
      <c r="BT1018" s="53" t="n">
        <v>1018</v>
      </c>
      <c r="BU1018" s="48" t="str">
        <f aca="false">IF(U1018&lt;&gt;"",UPPER(TRIM(U1018)),IF(BX1018=1,UPPER(VLOOKUP(T1018,Parameter!$I$27:$K$29,2,0)),IF(P1018="","LOSE",P1018)))</f>
        <v>S81</v>
      </c>
      <c r="BV1018" s="50" t="n">
        <f aca="false">IF(BU1018="LOSE",1,IF(N(V1018)&gt;0,V1018,IF(BX1018=1,MAX(1,N(VLOOKUP(T1018,Parameter!$I$27:$K$29,3,0)),H1018,N(N1018)),IF(N(Q1018)&gt;0,Q1018,MAX(1,H1018)))))</f>
        <v>2</v>
      </c>
      <c r="BW1018" s="53" t="n">
        <f aca="false">IF(BU1018="LOSE",1,0)</f>
        <v>0</v>
      </c>
      <c r="BX1018" s="53" t="n">
        <f aca="false">IF(AND(U1018="",OR(P1018="",P1018="LOSE"),T1018&lt;&gt;"",N(S1018)&lt;=0,ISNUMBER(MATCH(T1018,Parameter!$I$27:$I$29,0))),1,0)</f>
        <v>1</v>
      </c>
      <c r="BY1018" s="53" t="n">
        <f aca="false">IF(CL1018&gt;0,INDEX(Parameter!$H$5:$H$7,W1018)/INDEX(Parameter!$E$5:$E$7,W1018),IF(AND(BW1018=0,N(IFERROR(VLOOKUP(BU1018,'Gebinde-Kategorie'!$A$5:$N$45,14,0),0))&gt;0),VLOOKUP(BU1018,'Gebinde-Kategorie'!$A$5:$N$45,14,0)*10+Parameter!$M$23,Parameter!$M$24))</f>
        <v>235</v>
      </c>
      <c r="BZ1018" s="48" t="str">
        <f aca="false">IF(AND(Parameter!$B$19="Ja",E1018&lt;&gt;"",ISNUMBER(MATCH(E1018,Parameter!$I$35:$I$52,0))),VLOOKUP(E1018,Parameter!$I$35:$J$52,2,0),IFERROR(VLOOKUP(D1018,Parameter!$A$35:$C$64,2,0),"Nein"))</f>
        <v>Nein</v>
      </c>
      <c r="CA1018" s="52" t="n">
        <f aca="false">IF(BW1018=0,0,IF(N(S1018)&gt;0,S1018,IFERROR(VLOOKUP(D1018,Parameter!$A$35:$C$64,3,0)+0,0)))</f>
        <v>0</v>
      </c>
      <c r="CB1018" s="48" t="str">
        <f aca="false">IF(AA1018&lt;&gt;"",AA1018,Z1018)</f>
        <v>-</v>
      </c>
      <c r="CC1018" s="48" t="str">
        <f aca="false">IF(OR(CB1018=1,CB1018=2,CB1018=3),IF(Parameter!$E$27="Ja","LIFT",IF(CB1018=1,"L1","L23")),IF(CB1018="Aussen","Aussen","-"))</f>
        <v>-</v>
      </c>
      <c r="CD1018" s="59" t="n">
        <f aca="false">IF(N(AB1018)&gt;0,AB1018,0)</f>
        <v>0</v>
      </c>
      <c r="CE1018" s="53" t="n">
        <f aca="false">IF(ISNUMBER(AE1018),1,0)</f>
        <v>0</v>
      </c>
      <c r="CF1018" s="50" t="n">
        <f aca="false">N(AE1018)</f>
        <v>0</v>
      </c>
      <c r="CG1018" s="50" t="n">
        <f aca="false">N(M1018)+N(N1018)</f>
        <v>1</v>
      </c>
      <c r="CH1018" s="50" t="n">
        <f aca="false">ROUNDUP(H1018/BV1018,0)</f>
        <v>0</v>
      </c>
      <c r="CI1018" s="50" t="n">
        <f aca="false">ROUNDUP(CF1018/BV1018,0)</f>
        <v>0</v>
      </c>
      <c r="CJ1018" s="53" t="n">
        <f aca="false">IF(BW1018=1,0,IFERROR(VLOOKUP(BU1018,'Gebinde-Kategorie'!$A$5:$N$45,5,0)+0,0))</f>
        <v>20</v>
      </c>
      <c r="CK1018" s="53" t="n">
        <f aca="false">IFERROR(IF(OR(CB1018=1,CB1018=2,CB1018=3),N(INDEX(Parameter!$I$5:$I$7,CB1018)),0),0)</f>
        <v>0</v>
      </c>
      <c r="CL1018" s="52" t="n">
        <f aca="false">IF(AND(Parameter!$B$21="Ja",ISNUMBER(W1018),N(X1018)&gt;0),IFERROR(N(INDEX(Parameter!$L$5:$L$7,W1018))*INDEX(Parameter!$E$5:$E$7,W1018)*X1018/SUMIFS($X$7:$X$1843,$W$7:$W$1843,W1018),0),0)</f>
        <v>0</v>
      </c>
    </row>
    <row r="1019" customFormat="false" ht="15" hidden="false" customHeight="false" outlineLevel="0" collapsed="false">
      <c r="A1019" s="48" t="s">
        <v>1879</v>
      </c>
      <c r="B1019" s="48" t="s">
        <v>493</v>
      </c>
      <c r="C1019" s="48" t="s">
        <v>168</v>
      </c>
      <c r="D1019" s="48" t="s">
        <v>188</v>
      </c>
      <c r="E1019" s="48" t="s">
        <v>189</v>
      </c>
      <c r="F1019" s="48" t="s">
        <v>222</v>
      </c>
      <c r="G1019" s="49" t="n">
        <v>2.19</v>
      </c>
      <c r="H1019" s="50" t="n">
        <f aca="false">MAX(0,IF(AND(Parameter!$B$21="Ja",ISNUMBER(Y1019)),Y1019,IF(Parameter!$B$20="Jahresanfang 2025 + Export",BO1019+BN1019,BN1019)))</f>
        <v>77</v>
      </c>
      <c r="I1019" s="50" t="n">
        <f aca="false">H1019*G1019</f>
        <v>168.63</v>
      </c>
      <c r="J1019" s="50" t="n">
        <f aca="false">BQ1019*Parameter!$B$18</f>
        <v>145</v>
      </c>
      <c r="K1019" s="51" t="n">
        <v>145</v>
      </c>
      <c r="L1019" s="52" t="n">
        <v>1</v>
      </c>
      <c r="M1019" s="50" t="n">
        <v>5</v>
      </c>
      <c r="N1019" s="50" t="n">
        <v>145</v>
      </c>
      <c r="O1019" s="53" t="n">
        <v>14</v>
      </c>
      <c r="P1019" s="48" t="s">
        <v>425</v>
      </c>
      <c r="Q1019" s="50" t="n">
        <v>275</v>
      </c>
      <c r="R1019" s="53" t="n">
        <f aca="false">IF(BW1019=1,0,IFERROR(VLOOKUP(BU1019,'Gebinde-Kategorie'!$A$5:$N$45,13,0)+0,0))</f>
        <v>104</v>
      </c>
      <c r="S1019" s="54"/>
      <c r="T1019" s="55"/>
      <c r="U1019" s="55"/>
      <c r="V1019" s="55"/>
      <c r="W1019" s="48"/>
      <c r="X1019" s="50"/>
      <c r="Y1019" s="50"/>
      <c r="Z1019" s="48" t="n">
        <f aca="false">IF(A1019="","",IF(AND(Parameter!$B$21="Ja",ISNUMBER(W1019)),W1019,IF(BZ1019="2+3",IF(ISNUMBER(SEARCH("grosser Artikel",BR1019)),2,IFERROR(VLOOKUP(BU1019,Parameter!$F$35:$G$64,2,0),2)),IF(OR(BZ1019="Nein",BZ1019=""),"-",BZ1019))))</f>
        <v>3</v>
      </c>
      <c r="AA1019" s="55"/>
      <c r="AB1019" s="56"/>
      <c r="AC1019" s="50" t="n">
        <f aca="false">AT1019</f>
        <v>275</v>
      </c>
      <c r="AD1019" s="50" t="n">
        <f aca="false">MAX(AT1019,H1019)</f>
        <v>275</v>
      </c>
      <c r="AE1019" s="57"/>
      <c r="AF1019" s="50" t="n">
        <f aca="false">IF(LEFT(Cockpit!$C$5,1)="A",H1019,IF(CE1019=1,CF1019,IF(LEFT(Cockpit!$C$5,1)="B",AK1019,MAX(AK1019,H1019))))</f>
        <v>77</v>
      </c>
      <c r="AG1019" s="50" t="n">
        <f aca="false">IF(BW1019=1,0,ROUNDUP(AF1019/BV1019,0))</f>
        <v>1</v>
      </c>
      <c r="AH1019" s="52" t="n">
        <f aca="false">IF(CL1019&gt;0,CL1019*MAX(1,AF1019/X1019),IF(BW1019=1,IF(AF1019&lt;=0,0,CA1019*MAX(1,IF(H1019&gt;0,AF1019/H1019,1))),IF(R1019&gt;0,AG1019/R1019,0))/MAX(0.1,N(Parameter!$M$21)))</f>
        <v>0.00961538461538462</v>
      </c>
      <c r="AI1019" s="50" t="n">
        <f aca="false">AH1019*BY1019</f>
        <v>1.49038461538462</v>
      </c>
      <c r="AJ1019" s="50" t="n">
        <f aca="false">AF1019*G1019</f>
        <v>168.63</v>
      </c>
      <c r="AK1019" s="50" t="n">
        <f aca="false">ROUNDUP(MAX(J1019/IF(CD1019&gt;0,CD1019,MAX(0.1,N(Cockpit!$C$6))),CG1019)/BV1019,0)*BV1019</f>
        <v>275</v>
      </c>
      <c r="AL1019" s="51" t="n">
        <f aca="false">IF(AI1019&gt;0,J1019/AI1019,-1)</f>
        <v>97.2903225806452</v>
      </c>
      <c r="AM1019" s="51" t="n">
        <f aca="false">IF(AND(OR(CC1019="L1",CC1019="L23",CC1019="LIFT"),AI1019&gt;0),SUMIFS($AI$7:$AI$1843,$CC$7:$CC$1843,CC1019,$AL$7:$AL$1843,"&gt;"&amp;AL1019)+SUMIFS($AI$7:$AI$1843,$CC$7:$CC$1843,CC1019,$AL$7:$AL$1843,AL1019,$BT$7:$BT$1843,"&lt;="&amp;BT1019),"")</f>
        <v>768.913003663004</v>
      </c>
      <c r="AN1019" s="58" t="n">
        <f aca="false">IF(AM1019="",0,MAX(0,MIN(1,(IF(CC1019="L1",Parameter!$H$5,IF(CC1019="L23",Parameter!$H$6+Parameter!$H$7,Parameter!$H$5+Parameter!$H$6+Parameter!$H$7))-(AM1019-AI1019))/AI1019)))</f>
        <v>1</v>
      </c>
      <c r="AO1019" s="50" t="n">
        <f aca="false">IF(LEFT(Cockpit!$I$5,1)="A",H1019,IF(CE1019=1,CF1019,IF(LEFT(Cockpit!$I$5,1)="B",AT1019,MAX(AT1019,H1019))))</f>
        <v>275</v>
      </c>
      <c r="AP1019" s="50" t="n">
        <f aca="false">IF(BW1019=1,0,ROUNDUP(AO1019/BV1019,0))</f>
        <v>1</v>
      </c>
      <c r="AQ1019" s="52" t="n">
        <f aca="false">IF(CL1019&gt;0,CL1019*MAX(1,AO1019/X1019),IF(BW1019=1,IF(AO1019&lt;=0,0,CA1019*MAX(1,IF(H1019&gt;0,AO1019/H1019,1))),IF(R1019&gt;0,AP1019/R1019,0))/MAX(0.1,N(Parameter!$M$21)))</f>
        <v>0.00961538461538462</v>
      </c>
      <c r="AR1019" s="50" t="n">
        <f aca="false">AQ1019*BY1019</f>
        <v>1.49038461538462</v>
      </c>
      <c r="AS1019" s="50" t="n">
        <f aca="false">AO1019*G1019</f>
        <v>602.25</v>
      </c>
      <c r="AT1019" s="50" t="n">
        <f aca="false">ROUNDUP(MAX(J1019/IF(CD1019&gt;0,CD1019,MAX(0.1,N(Cockpit!$I$6))),CG1019)/BV1019,0)*BV1019</f>
        <v>275</v>
      </c>
      <c r="AU1019" s="51" t="n">
        <f aca="false">IF(AR1019&gt;0,J1019/AR1019,-1)</f>
        <v>97.2903225806452</v>
      </c>
      <c r="AV1019" s="51" t="n">
        <f aca="false">IF(AND(OR(CC1019="L1",CC1019="L23",CC1019="LIFT"),AR1019&gt;0),SUMIFS($AR$7:$AR$1843,$CC$7:$CC$1843,CC1019,$AU$7:$AU$1843,"&gt;"&amp;AU1019)+SUMIFS($AR$7:$AR$1843,$CC$7:$CC$1843,CC1019,$AU$7:$AU$1843,AU1019,$BT$7:$BT$1843,"&lt;="&amp;BT1019),"")</f>
        <v>920.591117216117</v>
      </c>
      <c r="AW1019" s="58" t="n">
        <f aca="false">IF(AV1019="",0,MAX(0,MIN(1,(IF(CC1019="L1",Parameter!$H$5,IF(CC1019="L23",Parameter!$H$6+Parameter!$H$7,Parameter!$H$5+Parameter!$H$6+Parameter!$H$7))-(AV1019-AR1019))/AR1019)))</f>
        <v>1</v>
      </c>
      <c r="AX1019" s="50" t="n">
        <f aca="false">IF(LEFT(Cockpit!$O$5,1)="A",H1019,IF(CE1019=1,CF1019,IF(LEFT(Cockpit!$O$5,1)="B",BC1019,MAX(BC1019,H1019))))</f>
        <v>275</v>
      </c>
      <c r="AY1019" s="50" t="n">
        <f aca="false">IF(BW1019=1,0,ROUNDUP(AX1019/BV1019,0))</f>
        <v>1</v>
      </c>
      <c r="AZ1019" s="52" t="n">
        <f aca="false">IF(CL1019&gt;0,CL1019*MAX(1,AX1019/X1019),IF(BW1019=1,IF(AX1019&lt;=0,0,CA1019*MAX(1,IF(H1019&gt;0,AX1019/H1019,1))),IF(R1019&gt;0,AY1019/R1019,0))/MAX(0.1,N(Parameter!$M$21)))</f>
        <v>0.00961538461538462</v>
      </c>
      <c r="BA1019" s="50" t="n">
        <f aca="false">AZ1019*BY1019</f>
        <v>1.49038461538462</v>
      </c>
      <c r="BB1019" s="50" t="n">
        <f aca="false">AX1019*G1019</f>
        <v>602.25</v>
      </c>
      <c r="BC1019" s="50" t="n">
        <f aca="false">ROUNDUP(MAX(J1019/IF(CD1019&gt;0,CD1019,MAX(0.1,N(Cockpit!$O$6))),CG1019)/BV1019,0)*BV1019</f>
        <v>275</v>
      </c>
      <c r="BD1019" s="51" t="n">
        <f aca="false">IF(BA1019&gt;0,J1019/BA1019,-1)</f>
        <v>97.2903225806452</v>
      </c>
      <c r="BE1019" s="51" t="n">
        <f aca="false">IF(AND(OR(CC1019="L1",CC1019="L23",CC1019="LIFT"),BA1019&gt;0),SUMIFS($BA$7:$BA$1843,$CC$7:$CC$1843,CC1019,$BD$7:$BD$1843,"&gt;"&amp;BD1019)+SUMIFS($BA$7:$BA$1843,$CC$7:$CC$1843,CC1019,$BD$7:$BD$1843,BD1019,$BT$7:$BT$1843,"&lt;="&amp;BT1019),"")</f>
        <v>1028.01098901099</v>
      </c>
      <c r="BF1019" s="58" t="n">
        <f aca="false">IF(BE1019="",0,MAX(0,MIN(1,(IF(CC1019="L1",Parameter!$H$5,IF(CC1019="L23",Parameter!$H$6+Parameter!$H$7,Parameter!$H$5+Parameter!$H$6+Parameter!$H$7))-(BE1019-BA1019))/BA1019)))</f>
        <v>1</v>
      </c>
      <c r="BG1019" s="48" t="str">
        <f aca="false">IF(AI1019&lt;=0,"",IF(CC1019="Aussen","Aussenlager",IF(CC1019="-","Nicht im Lift",IF(AN1019&gt;=1,"Lift",IF(AN1019&lt;=0,"Aussenlager","teilweise")))))</f>
        <v>Lift</v>
      </c>
      <c r="BH1019" s="48" t="str">
        <f aca="false">IF(AR1019&lt;=0,"",IF(CC1019="Aussen","Aussenlager",IF(CC1019="-","Nicht im Lift",IF(AW1019&gt;=1,"Lift",IF(AW1019&lt;=0,"Aussenlager","teilweise")))))</f>
        <v>Lift</v>
      </c>
      <c r="BI1019" s="48" t="str">
        <f aca="false">IF(BA1019&lt;=0,"",IF(CC1019="Aussen","Aussenlager",IF(CC1019="-","Nicht im Lift",IF(BF1019&gt;=1,"Lift",IF(BF1019&lt;=0,"Aussenlager","teilweise")))))</f>
        <v>Lift</v>
      </c>
      <c r="BJ1019" s="48" t="str">
        <f aca="false">IF(A1019="","",IF(BS1019=1,"Neu; ","")&amp;IF(AND(BS1019=0,BN1019&lt;0),"negativer Bestand (Export "&amp;BN1019&amp;"); ","")&amp;IF(J1019&lt;=0,"Kein Verbrauch; ","")&amp;IF(CL1019&gt;0,"Lift "&amp;W1019&amp;" lt. Liftbericht (Fach "&amp;X1019&amp;" Stk); ",IF(BX1019=1,"Gebinde geschätzt ("&amp;T1019&amp;"); ",IF(BW1019=1,"Lose – Tablare geschätzt; ","")))&amp;IF(H1019&gt;AT1019,"Überbestand "&amp;ROUND(H1019-AT1019,0)&amp;" Stk / CHF "&amp;ROUND((H1019-AT1019)*G1019,0)&amp;"; ","")&amp;IF(AND(CE1019=1,CF1019&lt;CG1019),"MAX &lt; MB+LG; ","")&amp;IF(AND(CK1019&gt;0,CJ1019*10&gt;CK1019),"zu hoch für Tablar; ","")&amp;IF(AND(BS1019=0,OR(CE1019=1,AA1019&lt;&gt;"",U1019&lt;&gt;"",V1019&lt;&gt;"",AB1019&lt;&gt;"")),"manuell übersteuert; ","")&amp;IF(AND(BW1019=0,R1019=0),"Gebinde unbekannt / Stellmass fehlt; ","")&amp;IF(AND(BW1019=0,N(V1019)&lt;=0,N(Q1019)&lt;=0),"Menge pro Gebinde fehlt (Ist = 1 Gebinde); ","")&amp;BR1019)</f>
        <v>negativer Bestand (Export -52); </v>
      </c>
      <c r="BK1019" s="48"/>
      <c r="BL1019" s="48"/>
      <c r="BM1019" s="55"/>
      <c r="BN1019" s="50" t="n">
        <v>-52</v>
      </c>
      <c r="BO1019" s="50" t="n">
        <v>129</v>
      </c>
      <c r="BP1019" s="49" t="n">
        <v>-115.13</v>
      </c>
      <c r="BQ1019" s="50" t="n">
        <v>145</v>
      </c>
      <c r="BR1019" s="48"/>
      <c r="BS1019" s="53" t="n">
        <v>0</v>
      </c>
      <c r="BT1019" s="53" t="n">
        <v>1019</v>
      </c>
      <c r="BU1019" s="48" t="str">
        <f aca="false">IF(U1019&lt;&gt;"",UPPER(TRIM(U1019)),IF(BX1019=1,UPPER(VLOOKUP(T1019,Parameter!$I$27:$K$29,2,0)),IF(P1019="","LOSE",P1019)))</f>
        <v>S32</v>
      </c>
      <c r="BV1019" s="50" t="n">
        <f aca="false">IF(BU1019="LOSE",1,IF(N(V1019)&gt;0,V1019,IF(BX1019=1,MAX(1,N(VLOOKUP(T1019,Parameter!$I$27:$K$29,3,0)),H1019,N(N1019)),IF(N(Q1019)&gt;0,Q1019,MAX(1,H1019)))))</f>
        <v>275</v>
      </c>
      <c r="BW1019" s="53" t="n">
        <f aca="false">IF(BU1019="LOSE",1,0)</f>
        <v>0</v>
      </c>
      <c r="BX1019" s="53" t="n">
        <f aca="false">IF(AND(U1019="",OR(P1019="",P1019="LOSE"),T1019&lt;&gt;"",N(S1019)&lt;=0,ISNUMBER(MATCH(T1019,Parameter!$I$27:$I$29,0))),1,0)</f>
        <v>0</v>
      </c>
      <c r="BY1019" s="53" t="n">
        <f aca="false">IF(CL1019&gt;0,INDEX(Parameter!$H$5:$H$7,W1019)/INDEX(Parameter!$E$5:$E$7,W1019),IF(AND(BW1019=0,N(IFERROR(VLOOKUP(BU1019,'Gebinde-Kategorie'!$A$5:$N$45,14,0),0))&gt;0),VLOOKUP(BU1019,'Gebinde-Kategorie'!$A$5:$N$45,14,0)*10+Parameter!$M$23,Parameter!$M$24))</f>
        <v>155</v>
      </c>
      <c r="BZ1019" s="48" t="str">
        <f aca="false">IF(AND(Parameter!$B$19="Ja",E1019&lt;&gt;"",ISNUMBER(MATCH(E1019,Parameter!$I$35:$I$52,0))),VLOOKUP(E1019,Parameter!$I$35:$J$52,2,0),IFERROR(VLOOKUP(D1019,Parameter!$A$35:$C$64,2,0),"Nein"))</f>
        <v>2+3</v>
      </c>
      <c r="CA1019" s="52" t="n">
        <f aca="false">IF(BW1019=0,0,IF(N(S1019)&gt;0,S1019,IFERROR(VLOOKUP(D1019,Parameter!$A$35:$C$64,3,0)+0,0)))</f>
        <v>0</v>
      </c>
      <c r="CB1019" s="48" t="n">
        <f aca="false">IF(AA1019&lt;&gt;"",AA1019,Z1019)</f>
        <v>3</v>
      </c>
      <c r="CC1019" s="48" t="str">
        <f aca="false">IF(OR(CB1019=1,CB1019=2,CB1019=3),IF(Parameter!$E$27="Ja","LIFT",IF(CB1019=1,"L1","L23")),IF(CB1019="Aussen","Aussen","-"))</f>
        <v>LIFT</v>
      </c>
      <c r="CD1019" s="59" t="n">
        <f aca="false">IF(N(AB1019)&gt;0,AB1019,0)</f>
        <v>0</v>
      </c>
      <c r="CE1019" s="53" t="n">
        <f aca="false">IF(ISNUMBER(AE1019),1,0)</f>
        <v>0</v>
      </c>
      <c r="CF1019" s="50" t="n">
        <f aca="false">N(AE1019)</f>
        <v>0</v>
      </c>
      <c r="CG1019" s="50" t="n">
        <f aca="false">N(M1019)+N(N1019)</f>
        <v>150</v>
      </c>
      <c r="CH1019" s="50" t="n">
        <f aca="false">ROUNDUP(H1019/BV1019,0)</f>
        <v>1</v>
      </c>
      <c r="CI1019" s="50" t="n">
        <f aca="false">ROUNDUP(CF1019/BV1019,0)</f>
        <v>0</v>
      </c>
      <c r="CJ1019" s="53" t="n">
        <f aca="false">IF(BW1019=1,0,IFERROR(VLOOKUP(BU1019,'Gebinde-Kategorie'!$A$5:$N$45,5,0)+0,0))</f>
        <v>8</v>
      </c>
      <c r="CK1019" s="53" t="n">
        <f aca="false">IFERROR(IF(OR(CB1019=1,CB1019=2,CB1019=3),N(INDEX(Parameter!$I$5:$I$7,CB1019)),0),0)</f>
        <v>0</v>
      </c>
      <c r="CL1019" s="52" t="n">
        <f aca="false">IF(AND(Parameter!$B$21="Ja",ISNUMBER(W1019),N(X1019)&gt;0),IFERROR(N(INDEX(Parameter!$L$5:$L$7,W1019))*INDEX(Parameter!$E$5:$E$7,W1019)*X1019/SUMIFS($X$7:$X$1843,$W$7:$W$1843,W1019),0),0)</f>
        <v>0</v>
      </c>
    </row>
    <row r="1020" customFormat="false" ht="15" hidden="false" customHeight="false" outlineLevel="0" collapsed="false">
      <c r="A1020" s="48" t="s">
        <v>1880</v>
      </c>
      <c r="B1020" s="48" t="s">
        <v>1881</v>
      </c>
      <c r="C1020" s="48" t="s">
        <v>168</v>
      </c>
      <c r="D1020" s="48" t="s">
        <v>188</v>
      </c>
      <c r="E1020" s="48" t="s">
        <v>189</v>
      </c>
      <c r="F1020" s="48" t="s">
        <v>222</v>
      </c>
      <c r="G1020" s="49" t="n">
        <v>42.1</v>
      </c>
      <c r="H1020" s="50" t="n">
        <f aca="false">MAX(0,IF(AND(Parameter!$B$21="Ja",ISNUMBER(Y1020)),Y1020,IF(Parameter!$B$20="Jahresanfang 2025 + Export",BO1020+BN1020,BN1020)))</f>
        <v>2</v>
      </c>
      <c r="I1020" s="50" t="n">
        <f aca="false">H1020*G1020</f>
        <v>84.2</v>
      </c>
      <c r="J1020" s="50" t="n">
        <f aca="false">BQ1020*Parameter!$B$18</f>
        <v>6</v>
      </c>
      <c r="K1020" s="51" t="n">
        <v>3.5</v>
      </c>
      <c r="L1020" s="52" t="n">
        <v>1.71428571428571</v>
      </c>
      <c r="M1020" s="50" t="n">
        <v>0</v>
      </c>
      <c r="N1020" s="50" t="n">
        <v>5</v>
      </c>
      <c r="O1020" s="53" t="n">
        <v>20</v>
      </c>
      <c r="P1020" s="48" t="s">
        <v>480</v>
      </c>
      <c r="Q1020" s="50" t="n">
        <v>10</v>
      </c>
      <c r="R1020" s="53" t="n">
        <f aca="false">IF(BW1020=1,0,IFERROR(VLOOKUP(BU1020,'Gebinde-Kategorie'!$A$5:$N$45,13,0)+0,0))</f>
        <v>52</v>
      </c>
      <c r="S1020" s="54"/>
      <c r="T1020" s="55"/>
      <c r="U1020" s="55"/>
      <c r="V1020" s="55"/>
      <c r="W1020" s="48"/>
      <c r="X1020" s="50"/>
      <c r="Y1020" s="50"/>
      <c r="Z1020" s="48" t="n">
        <f aca="false">IF(A1020="","",IF(AND(Parameter!$B$21="Ja",ISNUMBER(W1020)),W1020,IF(BZ1020="2+3",IF(ISNUMBER(SEARCH("grosser Artikel",BR1020)),2,IFERROR(VLOOKUP(BU1020,Parameter!$F$35:$G$64,2,0),2)),IF(OR(BZ1020="Nein",BZ1020=""),"-",BZ1020))))</f>
        <v>3</v>
      </c>
      <c r="AA1020" s="55"/>
      <c r="AB1020" s="56"/>
      <c r="AC1020" s="50" t="n">
        <f aca="false">AT1020</f>
        <v>10</v>
      </c>
      <c r="AD1020" s="50" t="n">
        <f aca="false">MAX(AT1020,H1020)</f>
        <v>10</v>
      </c>
      <c r="AE1020" s="57"/>
      <c r="AF1020" s="50" t="n">
        <f aca="false">IF(LEFT(Cockpit!$C$5,1)="A",H1020,IF(CE1020=1,CF1020,IF(LEFT(Cockpit!$C$5,1)="B",AK1020,MAX(AK1020,H1020))))</f>
        <v>2</v>
      </c>
      <c r="AG1020" s="50" t="n">
        <f aca="false">IF(BW1020=1,0,ROUNDUP(AF1020/BV1020,0))</f>
        <v>1</v>
      </c>
      <c r="AH1020" s="52" t="n">
        <f aca="false">IF(CL1020&gt;0,CL1020*MAX(1,AF1020/X1020),IF(BW1020=1,IF(AF1020&lt;=0,0,CA1020*MAX(1,IF(H1020&gt;0,AF1020/H1020,1))),IF(R1020&gt;0,AG1020/R1020,0))/MAX(0.1,N(Parameter!$M$21)))</f>
        <v>0.0192307692307692</v>
      </c>
      <c r="AI1020" s="50" t="n">
        <f aca="false">AH1020*BY1020</f>
        <v>2.98076923076923</v>
      </c>
      <c r="AJ1020" s="50" t="n">
        <f aca="false">AF1020*G1020</f>
        <v>84.2</v>
      </c>
      <c r="AK1020" s="50" t="n">
        <f aca="false">ROUNDUP(MAX(J1020/IF(CD1020&gt;0,CD1020,MAX(0.1,N(Cockpit!$C$6))),CG1020)/BV1020,0)*BV1020</f>
        <v>10</v>
      </c>
      <c r="AL1020" s="51" t="n">
        <f aca="false">IF(AI1020&gt;0,J1020/AI1020,-1)</f>
        <v>2.01290322580645</v>
      </c>
      <c r="AM1020" s="51" t="n">
        <f aca="false">IF(AND(OR(CC1020="L1",CC1020="L23",CC1020="LIFT"),AI1020&gt;0),SUMIFS($AI$7:$AI$1843,$CC$7:$CC$1843,CC1020,$AL$7:$AL$1843,"&gt;"&amp;AL1020)+SUMIFS($AI$7:$AI$1843,$CC$7:$CC$1843,CC1020,$AL$7:$AL$1843,AL1020,$BT$7:$BT$1843,"&lt;="&amp;BT1020),"")</f>
        <v>5796.81135531136</v>
      </c>
      <c r="AN1020" s="58" t="n">
        <f aca="false">IF(AM1020="",0,MAX(0,MIN(1,(IF(CC1020="L1",Parameter!$H$5,IF(CC1020="L23",Parameter!$H$6+Parameter!$H$7,Parameter!$H$5+Parameter!$H$6+Parameter!$H$7))-(AM1020-AI1020))/AI1020)))</f>
        <v>1</v>
      </c>
      <c r="AO1020" s="50" t="n">
        <f aca="false">IF(LEFT(Cockpit!$I$5,1)="A",H1020,IF(CE1020=1,CF1020,IF(LEFT(Cockpit!$I$5,1)="B",AT1020,MAX(AT1020,H1020))))</f>
        <v>10</v>
      </c>
      <c r="AP1020" s="50" t="n">
        <f aca="false">IF(BW1020=1,0,ROUNDUP(AO1020/BV1020,0))</f>
        <v>1</v>
      </c>
      <c r="AQ1020" s="52" t="n">
        <f aca="false">IF(CL1020&gt;0,CL1020*MAX(1,AO1020/X1020),IF(BW1020=1,IF(AO1020&lt;=0,0,CA1020*MAX(1,IF(H1020&gt;0,AO1020/H1020,1))),IF(R1020&gt;0,AP1020/R1020,0))/MAX(0.1,N(Parameter!$M$21)))</f>
        <v>0.0192307692307692</v>
      </c>
      <c r="AR1020" s="50" t="n">
        <f aca="false">AQ1020*BY1020</f>
        <v>2.98076923076923</v>
      </c>
      <c r="AS1020" s="50" t="n">
        <f aca="false">AO1020*G1020</f>
        <v>421</v>
      </c>
      <c r="AT1020" s="50" t="n">
        <f aca="false">ROUNDUP(MAX(J1020/IF(CD1020&gt;0,CD1020,MAX(0.1,N(Cockpit!$I$6))),CG1020)/BV1020,0)*BV1020</f>
        <v>10</v>
      </c>
      <c r="AU1020" s="51" t="n">
        <f aca="false">IF(AR1020&gt;0,J1020/AR1020,-1)</f>
        <v>2.01290322580645</v>
      </c>
      <c r="AV1020" s="51" t="n">
        <f aca="false">IF(AND(OR(CC1020="L1",CC1020="L23",CC1020="LIFT"),AR1020&gt;0),SUMIFS($AR$7:$AR$1843,$CC$7:$CC$1843,CC1020,$AU$7:$AU$1843,"&gt;"&amp;AU1020)+SUMIFS($AR$7:$AR$1843,$CC$7:$CC$1843,CC1020,$AU$7:$AU$1843,AU1020,$BT$7:$BT$1843,"&lt;="&amp;BT1020),"")</f>
        <v>7706.50366300366</v>
      </c>
      <c r="AW1020" s="58" t="n">
        <f aca="false">IF(AV1020="",0,MAX(0,MIN(1,(IF(CC1020="L1",Parameter!$H$5,IF(CC1020="L23",Parameter!$H$6+Parameter!$H$7,Parameter!$H$5+Parameter!$H$6+Parameter!$H$7))-(AV1020-AR1020))/AR1020)))</f>
        <v>1</v>
      </c>
      <c r="AX1020" s="50" t="n">
        <f aca="false">IF(LEFT(Cockpit!$O$5,1)="A",H1020,IF(CE1020=1,CF1020,IF(LEFT(Cockpit!$O$5,1)="B",BC1020,MAX(BC1020,H1020))))</f>
        <v>10</v>
      </c>
      <c r="AY1020" s="50" t="n">
        <f aca="false">IF(BW1020=1,0,ROUNDUP(AX1020/BV1020,0))</f>
        <v>1</v>
      </c>
      <c r="AZ1020" s="52" t="n">
        <f aca="false">IF(CL1020&gt;0,CL1020*MAX(1,AX1020/X1020),IF(BW1020=1,IF(AX1020&lt;=0,0,CA1020*MAX(1,IF(H1020&gt;0,AX1020/H1020,1))),IF(R1020&gt;0,AY1020/R1020,0))/MAX(0.1,N(Parameter!$M$21)))</f>
        <v>0.0192307692307692</v>
      </c>
      <c r="BA1020" s="50" t="n">
        <f aca="false">AZ1020*BY1020</f>
        <v>2.98076923076923</v>
      </c>
      <c r="BB1020" s="50" t="n">
        <f aca="false">AX1020*G1020</f>
        <v>421</v>
      </c>
      <c r="BC1020" s="50" t="n">
        <f aca="false">ROUNDUP(MAX(J1020/IF(CD1020&gt;0,CD1020,MAX(0.1,N(Cockpit!$O$6))),CG1020)/BV1020,0)*BV1020</f>
        <v>10</v>
      </c>
      <c r="BD1020" s="51" t="n">
        <f aca="false">IF(BA1020&gt;0,J1020/BA1020,-1)</f>
        <v>2.01290322580645</v>
      </c>
      <c r="BE1020" s="51" t="n">
        <f aca="false">IF(AND(OR(CC1020="L1",CC1020="L23",CC1020="LIFT"),BA1020&gt;0),SUMIFS($BA$7:$BA$1843,$CC$7:$CC$1843,CC1020,$BD$7:$BD$1843,"&gt;"&amp;BD1020)+SUMIFS($BA$7:$BA$1843,$CC$7:$CC$1843,CC1020,$BD$7:$BD$1843,BD1020,$BT$7:$BT$1843,"&lt;="&amp;BT1020),"")</f>
        <v>7605.49404761905</v>
      </c>
      <c r="BF1020" s="58" t="n">
        <f aca="false">IF(BE1020="",0,MAX(0,MIN(1,(IF(CC1020="L1",Parameter!$H$5,IF(CC1020="L23",Parameter!$H$6+Parameter!$H$7,Parameter!$H$5+Parameter!$H$6+Parameter!$H$7))-(BE1020-BA1020))/BA1020)))</f>
        <v>1</v>
      </c>
      <c r="BG1020" s="48" t="str">
        <f aca="false">IF(AI1020&lt;=0,"",IF(CC1020="Aussen","Aussenlager",IF(CC1020="-","Nicht im Lift",IF(AN1020&gt;=1,"Lift",IF(AN1020&lt;=0,"Aussenlager","teilweise")))))</f>
        <v>Lift</v>
      </c>
      <c r="BH1020" s="48" t="str">
        <f aca="false">IF(AR1020&lt;=0,"",IF(CC1020="Aussen","Aussenlager",IF(CC1020="-","Nicht im Lift",IF(AW1020&gt;=1,"Lift",IF(AW1020&lt;=0,"Aussenlager","teilweise")))))</f>
        <v>Lift</v>
      </c>
      <c r="BI1020" s="48" t="str">
        <f aca="false">IF(BA1020&lt;=0,"",IF(CC1020="Aussen","Aussenlager",IF(CC1020="-","Nicht im Lift",IF(BF1020&gt;=1,"Lift",IF(BF1020&lt;=0,"Aussenlager","teilweise")))))</f>
        <v>Lift</v>
      </c>
      <c r="BJ1020" s="48" t="str">
        <f aca="false">IF(A1020="","",IF(BS1020=1,"Neu; ","")&amp;IF(AND(BS1020=0,BN1020&lt;0),"negativer Bestand (Export "&amp;BN1020&amp;"); ","")&amp;IF(J1020&lt;=0,"Kein Verbrauch; ","")&amp;IF(CL1020&gt;0,"Lift "&amp;W1020&amp;" lt. Liftbericht (Fach "&amp;X1020&amp;" Stk); ",IF(BX1020=1,"Gebinde geschätzt ("&amp;T1020&amp;"); ",IF(BW1020=1,"Lose – Tablare geschätzt; ","")))&amp;IF(H1020&gt;AT1020,"Überbestand "&amp;ROUND(H1020-AT1020,0)&amp;" Stk / CHF "&amp;ROUND((H1020-AT1020)*G1020,0)&amp;"; ","")&amp;IF(AND(CE1020=1,CF1020&lt;CG1020),"MAX &lt; MB+LG; ","")&amp;IF(AND(CK1020&gt;0,CJ1020*10&gt;CK1020),"zu hoch für Tablar; ","")&amp;IF(AND(BS1020=0,OR(CE1020=1,AA1020&lt;&gt;"",U1020&lt;&gt;"",V1020&lt;&gt;"",AB1020&lt;&gt;"")),"manuell übersteuert; ","")&amp;IF(AND(BW1020=0,R1020=0),"Gebinde unbekannt / Stellmass fehlt; ","")&amp;IF(AND(BW1020=0,N(V1020)&lt;=0,N(Q1020)&lt;=0),"Menge pro Gebinde fehlt (Ist = 1 Gebinde); ","")&amp;BR1020)</f>
        <v>negativer Bestand (Export -3); </v>
      </c>
      <c r="BK1020" s="48"/>
      <c r="BL1020" s="48"/>
      <c r="BM1020" s="55"/>
      <c r="BN1020" s="50" t="n">
        <v>-3</v>
      </c>
      <c r="BO1020" s="50" t="n">
        <v>5</v>
      </c>
      <c r="BP1020" s="49" t="n">
        <v>-116.35</v>
      </c>
      <c r="BQ1020" s="50" t="n">
        <v>6</v>
      </c>
      <c r="BR1020" s="48"/>
      <c r="BS1020" s="53" t="n">
        <v>0</v>
      </c>
      <c r="BT1020" s="53" t="n">
        <v>1020</v>
      </c>
      <c r="BU1020" s="48" t="str">
        <f aca="false">IF(U1020&lt;&gt;"",UPPER(TRIM(U1020)),IF(BX1020=1,UPPER(VLOOKUP(T1020,Parameter!$I$27:$K$29,2,0)),IF(P1020="","LOSE",P1020)))</f>
        <v>S33</v>
      </c>
      <c r="BV1020" s="50" t="n">
        <f aca="false">IF(BU1020="LOSE",1,IF(N(V1020)&gt;0,V1020,IF(BX1020=1,MAX(1,N(VLOOKUP(T1020,Parameter!$I$27:$K$29,3,0)),H1020,N(N1020)),IF(N(Q1020)&gt;0,Q1020,MAX(1,H1020)))))</f>
        <v>10</v>
      </c>
      <c r="BW1020" s="53" t="n">
        <f aca="false">IF(BU1020="LOSE",1,0)</f>
        <v>0</v>
      </c>
      <c r="BX1020" s="53" t="n">
        <f aca="false">IF(AND(U1020="",OR(P1020="",P1020="LOSE"),T1020&lt;&gt;"",N(S1020)&lt;=0,ISNUMBER(MATCH(T1020,Parameter!$I$27:$I$29,0))),1,0)</f>
        <v>0</v>
      </c>
      <c r="BY1020" s="53" t="n">
        <f aca="false">IF(CL1020&gt;0,INDEX(Parameter!$H$5:$H$7,W1020)/INDEX(Parameter!$E$5:$E$7,W1020),IF(AND(BW1020=0,N(IFERROR(VLOOKUP(BU1020,'Gebinde-Kategorie'!$A$5:$N$45,14,0),0))&gt;0),VLOOKUP(BU1020,'Gebinde-Kategorie'!$A$5:$N$45,14,0)*10+Parameter!$M$23,Parameter!$M$24))</f>
        <v>155</v>
      </c>
      <c r="BZ1020" s="48" t="str">
        <f aca="false">IF(AND(Parameter!$B$19="Ja",E1020&lt;&gt;"",ISNUMBER(MATCH(E1020,Parameter!$I$35:$I$52,0))),VLOOKUP(E1020,Parameter!$I$35:$J$52,2,0),IFERROR(VLOOKUP(D1020,Parameter!$A$35:$C$64,2,0),"Nein"))</f>
        <v>2+3</v>
      </c>
      <c r="CA1020" s="52" t="n">
        <f aca="false">IF(BW1020=0,0,IF(N(S1020)&gt;0,S1020,IFERROR(VLOOKUP(D1020,Parameter!$A$35:$C$64,3,0)+0,0)))</f>
        <v>0</v>
      </c>
      <c r="CB1020" s="48" t="n">
        <f aca="false">IF(AA1020&lt;&gt;"",AA1020,Z1020)</f>
        <v>3</v>
      </c>
      <c r="CC1020" s="48" t="str">
        <f aca="false">IF(OR(CB1020=1,CB1020=2,CB1020=3),IF(Parameter!$E$27="Ja","LIFT",IF(CB1020=1,"L1","L23")),IF(CB1020="Aussen","Aussen","-"))</f>
        <v>LIFT</v>
      </c>
      <c r="CD1020" s="59" t="n">
        <f aca="false">IF(N(AB1020)&gt;0,AB1020,0)</f>
        <v>0</v>
      </c>
      <c r="CE1020" s="53" t="n">
        <f aca="false">IF(ISNUMBER(AE1020),1,0)</f>
        <v>0</v>
      </c>
      <c r="CF1020" s="50" t="n">
        <f aca="false">N(AE1020)</f>
        <v>0</v>
      </c>
      <c r="CG1020" s="50" t="n">
        <f aca="false">N(M1020)+N(N1020)</f>
        <v>5</v>
      </c>
      <c r="CH1020" s="50" t="n">
        <f aca="false">ROUNDUP(H1020/BV1020,0)</f>
        <v>1</v>
      </c>
      <c r="CI1020" s="50" t="n">
        <f aca="false">ROUNDUP(CF1020/BV1020,0)</f>
        <v>0</v>
      </c>
      <c r="CJ1020" s="53" t="n">
        <f aca="false">IF(BW1020=1,0,IFERROR(VLOOKUP(BU1020,'Gebinde-Kategorie'!$A$5:$N$45,5,0)+0,0))</f>
        <v>8</v>
      </c>
      <c r="CK1020" s="53" t="n">
        <f aca="false">IFERROR(IF(OR(CB1020=1,CB1020=2,CB1020=3),N(INDEX(Parameter!$I$5:$I$7,CB1020)),0),0)</f>
        <v>0</v>
      </c>
      <c r="CL1020" s="52" t="n">
        <f aca="false">IF(AND(Parameter!$B$21="Ja",ISNUMBER(W1020),N(X1020)&gt;0),IFERROR(N(INDEX(Parameter!$L$5:$L$7,W1020))*INDEX(Parameter!$E$5:$E$7,W1020)*X1020/SUMIFS($X$7:$X$1843,$W$7:$W$1843,W1020),0),0)</f>
        <v>0</v>
      </c>
    </row>
    <row r="1021" customFormat="false" ht="15" hidden="false" customHeight="false" outlineLevel="0" collapsed="false">
      <c r="A1021" s="48" t="s">
        <v>1882</v>
      </c>
      <c r="B1021" s="48" t="s">
        <v>409</v>
      </c>
      <c r="C1021" s="48" t="s">
        <v>168</v>
      </c>
      <c r="D1021" s="48" t="s">
        <v>188</v>
      </c>
      <c r="E1021" s="48" t="s">
        <v>189</v>
      </c>
      <c r="F1021" s="48" t="s">
        <v>222</v>
      </c>
      <c r="G1021" s="49" t="n">
        <v>2.49</v>
      </c>
      <c r="H1021" s="50" t="n">
        <f aca="false">MAX(0,IF(AND(Parameter!$B$21="Ja",ISNUMBER(Y1021)),Y1021,IF(Parameter!$B$20="Jahresanfang 2025 + Export",BO1021+BN1021,BN1021)))</f>
        <v>129</v>
      </c>
      <c r="I1021" s="50" t="n">
        <f aca="false">H1021*G1021</f>
        <v>321.21</v>
      </c>
      <c r="J1021" s="50" t="n">
        <f aca="false">BQ1021*Parameter!$B$18</f>
        <v>43</v>
      </c>
      <c r="K1021" s="51" t="n">
        <v>156.5</v>
      </c>
      <c r="L1021" s="52" t="n">
        <v>0.274760383386582</v>
      </c>
      <c r="M1021" s="50" t="n">
        <v>14</v>
      </c>
      <c r="N1021" s="50" t="n">
        <v>45</v>
      </c>
      <c r="O1021" s="53" t="n">
        <v>119</v>
      </c>
      <c r="P1021" s="48" t="s">
        <v>306</v>
      </c>
      <c r="Q1021" s="50" t="n">
        <v>480</v>
      </c>
      <c r="R1021" s="53" t="n">
        <f aca="false">IF(BW1021=1,0,IFERROR(VLOOKUP(BU1021,'Gebinde-Kategorie'!$A$5:$N$45,13,0)+0,0))</f>
        <v>26</v>
      </c>
      <c r="S1021" s="54"/>
      <c r="T1021" s="55"/>
      <c r="U1021" s="55"/>
      <c r="V1021" s="55"/>
      <c r="W1021" s="48"/>
      <c r="X1021" s="50"/>
      <c r="Y1021" s="50"/>
      <c r="Z1021" s="48" t="n">
        <f aca="false">IF(A1021="","",IF(AND(Parameter!$B$21="Ja",ISNUMBER(W1021)),W1021,IF(BZ1021="2+3",IF(ISNUMBER(SEARCH("grosser Artikel",BR1021)),2,IFERROR(VLOOKUP(BU1021,Parameter!$F$35:$G$64,2,0),2)),IF(OR(BZ1021="Nein",BZ1021=""),"-",BZ1021))))</f>
        <v>3</v>
      </c>
      <c r="AA1021" s="55"/>
      <c r="AB1021" s="56"/>
      <c r="AC1021" s="50" t="n">
        <f aca="false">AT1021</f>
        <v>480</v>
      </c>
      <c r="AD1021" s="50" t="n">
        <f aca="false">MAX(AT1021,H1021)</f>
        <v>480</v>
      </c>
      <c r="AE1021" s="57"/>
      <c r="AF1021" s="50" t="n">
        <f aca="false">IF(LEFT(Cockpit!$C$5,1)="A",H1021,IF(CE1021=1,CF1021,IF(LEFT(Cockpit!$C$5,1)="B",AK1021,MAX(AK1021,H1021))))</f>
        <v>129</v>
      </c>
      <c r="AG1021" s="50" t="n">
        <f aca="false">IF(BW1021=1,0,ROUNDUP(AF1021/BV1021,0))</f>
        <v>1</v>
      </c>
      <c r="AH1021" s="52" t="n">
        <f aca="false">IF(CL1021&gt;0,CL1021*MAX(1,AF1021/X1021),IF(BW1021=1,IF(AF1021&lt;=0,0,CA1021*MAX(1,IF(H1021&gt;0,AF1021/H1021,1))),IF(R1021&gt;0,AG1021/R1021,0))/MAX(0.1,N(Parameter!$M$21)))</f>
        <v>0.0384615384615385</v>
      </c>
      <c r="AI1021" s="50" t="n">
        <f aca="false">AH1021*BY1021</f>
        <v>5.96153846153846</v>
      </c>
      <c r="AJ1021" s="50" t="n">
        <f aca="false">AF1021*G1021</f>
        <v>321.21</v>
      </c>
      <c r="AK1021" s="50" t="n">
        <f aca="false">ROUNDUP(MAX(J1021/IF(CD1021&gt;0,CD1021,MAX(0.1,N(Cockpit!$C$6))),CG1021)/BV1021,0)*BV1021</f>
        <v>480</v>
      </c>
      <c r="AL1021" s="51" t="n">
        <f aca="false">IF(AI1021&gt;0,J1021/AI1021,-1)</f>
        <v>7.21290322580645</v>
      </c>
      <c r="AM1021" s="51" t="n">
        <f aca="false">IF(AND(OR(CC1021="L1",CC1021="L23",CC1021="LIFT"),AI1021&gt;0),SUMIFS($AI$7:$AI$1843,$CC$7:$CC$1843,CC1021,$AL$7:$AL$1843,"&gt;"&amp;AL1021)+SUMIFS($AI$7:$AI$1843,$CC$7:$CC$1843,CC1021,$AL$7:$AL$1843,AL1021,$BT$7:$BT$1843,"&lt;="&amp;BT1021),"")</f>
        <v>3163.7586996337</v>
      </c>
      <c r="AN1021" s="58" t="n">
        <f aca="false">IF(AM1021="",0,MAX(0,MIN(1,(IF(CC1021="L1",Parameter!$H$5,IF(CC1021="L23",Parameter!$H$6+Parameter!$H$7,Parameter!$H$5+Parameter!$H$6+Parameter!$H$7))-(AM1021-AI1021))/AI1021)))</f>
        <v>1</v>
      </c>
      <c r="AO1021" s="50" t="n">
        <f aca="false">IF(LEFT(Cockpit!$I$5,1)="A",H1021,IF(CE1021=1,CF1021,IF(LEFT(Cockpit!$I$5,1)="B",AT1021,MAX(AT1021,H1021))))</f>
        <v>480</v>
      </c>
      <c r="AP1021" s="50" t="n">
        <f aca="false">IF(BW1021=1,0,ROUNDUP(AO1021/BV1021,0))</f>
        <v>1</v>
      </c>
      <c r="AQ1021" s="52" t="n">
        <f aca="false">IF(CL1021&gt;0,CL1021*MAX(1,AO1021/X1021),IF(BW1021=1,IF(AO1021&lt;=0,0,CA1021*MAX(1,IF(H1021&gt;0,AO1021/H1021,1))),IF(R1021&gt;0,AP1021/R1021,0))/MAX(0.1,N(Parameter!$M$21)))</f>
        <v>0.0384615384615385</v>
      </c>
      <c r="AR1021" s="50" t="n">
        <f aca="false">AQ1021*BY1021</f>
        <v>5.96153846153846</v>
      </c>
      <c r="AS1021" s="50" t="n">
        <f aca="false">AO1021*G1021</f>
        <v>1195.2</v>
      </c>
      <c r="AT1021" s="50" t="n">
        <f aca="false">ROUNDUP(MAX(J1021/IF(CD1021&gt;0,CD1021,MAX(0.1,N(Cockpit!$I$6))),CG1021)/BV1021,0)*BV1021</f>
        <v>480</v>
      </c>
      <c r="AU1021" s="51" t="n">
        <f aca="false">IF(AR1021&gt;0,J1021/AR1021,-1)</f>
        <v>7.21290322580645</v>
      </c>
      <c r="AV1021" s="51" t="n">
        <f aca="false">IF(AND(OR(CC1021="L1",CC1021="L23",CC1021="LIFT"),AR1021&gt;0),SUMIFS($AR$7:$AR$1843,$CC$7:$CC$1843,CC1021,$AU$7:$AU$1843,"&gt;"&amp;AU1021)+SUMIFS($AR$7:$AR$1843,$CC$7:$CC$1843,CC1021,$AU$7:$AU$1843,AU1021,$BT$7:$BT$1843,"&lt;="&amp;BT1021),"")</f>
        <v>4346.11217948718</v>
      </c>
      <c r="AW1021" s="58" t="n">
        <f aca="false">IF(AV1021="",0,MAX(0,MIN(1,(IF(CC1021="L1",Parameter!$H$5,IF(CC1021="L23",Parameter!$H$6+Parameter!$H$7,Parameter!$H$5+Parameter!$H$6+Parameter!$H$7))-(AV1021-AR1021))/AR1021)))</f>
        <v>1</v>
      </c>
      <c r="AX1021" s="50" t="n">
        <f aca="false">IF(LEFT(Cockpit!$O$5,1)="A",H1021,IF(CE1021=1,CF1021,IF(LEFT(Cockpit!$O$5,1)="B",BC1021,MAX(BC1021,H1021))))</f>
        <v>480</v>
      </c>
      <c r="AY1021" s="50" t="n">
        <f aca="false">IF(BW1021=1,0,ROUNDUP(AX1021/BV1021,0))</f>
        <v>1</v>
      </c>
      <c r="AZ1021" s="52" t="n">
        <f aca="false">IF(CL1021&gt;0,CL1021*MAX(1,AX1021/X1021),IF(BW1021=1,IF(AX1021&lt;=0,0,CA1021*MAX(1,IF(H1021&gt;0,AX1021/H1021,1))),IF(R1021&gt;0,AY1021/R1021,0))/MAX(0.1,N(Parameter!$M$21)))</f>
        <v>0.0384615384615385</v>
      </c>
      <c r="BA1021" s="50" t="n">
        <f aca="false">AZ1021*BY1021</f>
        <v>5.96153846153846</v>
      </c>
      <c r="BB1021" s="50" t="n">
        <f aca="false">AX1021*G1021</f>
        <v>1195.2</v>
      </c>
      <c r="BC1021" s="50" t="n">
        <f aca="false">ROUNDUP(MAX(J1021/IF(CD1021&gt;0,CD1021,MAX(0.1,N(Cockpit!$O$6))),CG1021)/BV1021,0)*BV1021</f>
        <v>480</v>
      </c>
      <c r="BD1021" s="51" t="n">
        <f aca="false">IF(BA1021&gt;0,J1021/BA1021,-1)</f>
        <v>7.21290322580645</v>
      </c>
      <c r="BE1021" s="51" t="n">
        <f aca="false">IF(AND(OR(CC1021="L1",CC1021="L23",CC1021="LIFT"),BA1021&gt;0),SUMIFS($BA$7:$BA$1843,$CC$7:$CC$1843,CC1021,$BD$7:$BD$1843,"&gt;"&amp;BD1021)+SUMIFS($BA$7:$BA$1843,$CC$7:$CC$1843,CC1021,$BD$7:$BD$1843,BD1021,$BT$7:$BT$1843,"&lt;="&amp;BT1021),"")</f>
        <v>4089.07692307692</v>
      </c>
      <c r="BF1021" s="58" t="n">
        <f aca="false">IF(BE1021="",0,MAX(0,MIN(1,(IF(CC1021="L1",Parameter!$H$5,IF(CC1021="L23",Parameter!$H$6+Parameter!$H$7,Parameter!$H$5+Parameter!$H$6+Parameter!$H$7))-(BE1021-BA1021))/BA1021)))</f>
        <v>1</v>
      </c>
      <c r="BG1021" s="48" t="str">
        <f aca="false">IF(AI1021&lt;=0,"",IF(CC1021="Aussen","Aussenlager",IF(CC1021="-","Nicht im Lift",IF(AN1021&gt;=1,"Lift",IF(AN1021&lt;=0,"Aussenlager","teilweise")))))</f>
        <v>Lift</v>
      </c>
      <c r="BH1021" s="48" t="str">
        <f aca="false">IF(AR1021&lt;=0,"",IF(CC1021="Aussen","Aussenlager",IF(CC1021="-","Nicht im Lift",IF(AW1021&gt;=1,"Lift",IF(AW1021&lt;=0,"Aussenlager","teilweise")))))</f>
        <v>Lift</v>
      </c>
      <c r="BI1021" s="48" t="str">
        <f aca="false">IF(BA1021&lt;=0,"",IF(CC1021="Aussen","Aussenlager",IF(CC1021="-","Nicht im Lift",IF(BF1021&gt;=1,"Lift",IF(BF1021&lt;=0,"Aussenlager","teilweise")))))</f>
        <v>Lift</v>
      </c>
      <c r="BJ1021" s="48" t="str">
        <f aca="false">IF(A1021="","",IF(BS1021=1,"Neu; ","")&amp;IF(AND(BS1021=0,BN1021&lt;0),"negativer Bestand (Export "&amp;BN1021&amp;"); ","")&amp;IF(J1021&lt;=0,"Kein Verbrauch; ","")&amp;IF(CL1021&gt;0,"Lift "&amp;W1021&amp;" lt. Liftbericht (Fach "&amp;X1021&amp;" Stk); ",IF(BX1021=1,"Gebinde geschätzt ("&amp;T1021&amp;"); ",IF(BW1021=1,"Lose – Tablare geschätzt; ","")))&amp;IF(H1021&gt;AT1021,"Überbestand "&amp;ROUND(H1021-AT1021,0)&amp;" Stk / CHF "&amp;ROUND((H1021-AT1021)*G1021,0)&amp;"; ","")&amp;IF(AND(CE1021=1,CF1021&lt;CG1021),"MAX &lt; MB+LG; ","")&amp;IF(AND(CK1021&gt;0,CJ1021*10&gt;CK1021),"zu hoch für Tablar; ","")&amp;IF(AND(BS1021=0,OR(CE1021=1,AA1021&lt;&gt;"",U1021&lt;&gt;"",V1021&lt;&gt;"",AB1021&lt;&gt;"")),"manuell übersteuert; ","")&amp;IF(AND(BW1021=0,R1021=0),"Gebinde unbekannt / Stellmass fehlt; ","")&amp;IF(AND(BW1021=0,N(V1021)&lt;=0,N(Q1021)&lt;=0),"Menge pro Gebinde fehlt (Ist = 1 Gebinde); ","")&amp;BR1021)</f>
        <v>negativer Bestand (Export -48); twin</v>
      </c>
      <c r="BK1021" s="48"/>
      <c r="BL1021" s="48"/>
      <c r="BM1021" s="55"/>
      <c r="BN1021" s="50" t="n">
        <v>-48</v>
      </c>
      <c r="BO1021" s="50" t="n">
        <v>177</v>
      </c>
      <c r="BP1021" s="49" t="n">
        <v>-119.52</v>
      </c>
      <c r="BQ1021" s="50" t="n">
        <v>43</v>
      </c>
      <c r="BR1021" s="48" t="s">
        <v>1745</v>
      </c>
      <c r="BS1021" s="53" t="n">
        <v>0</v>
      </c>
      <c r="BT1021" s="53" t="n">
        <v>1021</v>
      </c>
      <c r="BU1021" s="48" t="str">
        <f aca="false">IF(U1021&lt;&gt;"",UPPER(TRIM(U1021)),IF(BX1021=1,UPPER(VLOOKUP(T1021,Parameter!$I$27:$K$29,2,0)),IF(P1021="","LOSE",P1021)))</f>
        <v>S51</v>
      </c>
      <c r="BV1021" s="50" t="n">
        <f aca="false">IF(BU1021="LOSE",1,IF(N(V1021)&gt;0,V1021,IF(BX1021=1,MAX(1,N(VLOOKUP(T1021,Parameter!$I$27:$K$29,3,0)),H1021,N(N1021)),IF(N(Q1021)&gt;0,Q1021,MAX(1,H1021)))))</f>
        <v>480</v>
      </c>
      <c r="BW1021" s="53" t="n">
        <f aca="false">IF(BU1021="LOSE",1,0)</f>
        <v>0</v>
      </c>
      <c r="BX1021" s="53" t="n">
        <f aca="false">IF(AND(U1021="",OR(P1021="",P1021="LOSE"),T1021&lt;&gt;"",N(S1021)&lt;=0,ISNUMBER(MATCH(T1021,Parameter!$I$27:$I$29,0))),1,0)</f>
        <v>0</v>
      </c>
      <c r="BY1021" s="53" t="n">
        <f aca="false">IF(CL1021&gt;0,INDEX(Parameter!$H$5:$H$7,W1021)/INDEX(Parameter!$E$5:$E$7,W1021),IF(AND(BW1021=0,N(IFERROR(VLOOKUP(BU1021,'Gebinde-Kategorie'!$A$5:$N$45,14,0),0))&gt;0),VLOOKUP(BU1021,'Gebinde-Kategorie'!$A$5:$N$45,14,0)*10+Parameter!$M$23,Parameter!$M$24))</f>
        <v>155</v>
      </c>
      <c r="BZ1021" s="48" t="str">
        <f aca="false">IF(AND(Parameter!$B$19="Ja",E1021&lt;&gt;"",ISNUMBER(MATCH(E1021,Parameter!$I$35:$I$52,0))),VLOOKUP(E1021,Parameter!$I$35:$J$52,2,0),IFERROR(VLOOKUP(D1021,Parameter!$A$35:$C$64,2,0),"Nein"))</f>
        <v>2+3</v>
      </c>
      <c r="CA1021" s="52" t="n">
        <f aca="false">IF(BW1021=0,0,IF(N(S1021)&gt;0,S1021,IFERROR(VLOOKUP(D1021,Parameter!$A$35:$C$64,3,0)+0,0)))</f>
        <v>0</v>
      </c>
      <c r="CB1021" s="48" t="n">
        <f aca="false">IF(AA1021&lt;&gt;"",AA1021,Z1021)</f>
        <v>3</v>
      </c>
      <c r="CC1021" s="48" t="str">
        <f aca="false">IF(OR(CB1021=1,CB1021=2,CB1021=3),IF(Parameter!$E$27="Ja","LIFT",IF(CB1021=1,"L1","L23")),IF(CB1021="Aussen","Aussen","-"))</f>
        <v>LIFT</v>
      </c>
      <c r="CD1021" s="59" t="n">
        <f aca="false">IF(N(AB1021)&gt;0,AB1021,0)</f>
        <v>0</v>
      </c>
      <c r="CE1021" s="53" t="n">
        <f aca="false">IF(ISNUMBER(AE1021),1,0)</f>
        <v>0</v>
      </c>
      <c r="CF1021" s="50" t="n">
        <f aca="false">N(AE1021)</f>
        <v>0</v>
      </c>
      <c r="CG1021" s="50" t="n">
        <f aca="false">N(M1021)+N(N1021)</f>
        <v>59</v>
      </c>
      <c r="CH1021" s="50" t="n">
        <f aca="false">ROUNDUP(H1021/BV1021,0)</f>
        <v>1</v>
      </c>
      <c r="CI1021" s="50" t="n">
        <f aca="false">ROUNDUP(CF1021/BV1021,0)</f>
        <v>0</v>
      </c>
      <c r="CJ1021" s="53" t="n">
        <f aca="false">IF(BW1021=1,0,IFERROR(VLOOKUP(BU1021,'Gebinde-Kategorie'!$A$5:$N$45,5,0)+0,0))</f>
        <v>11</v>
      </c>
      <c r="CK1021" s="53" t="n">
        <f aca="false">IFERROR(IF(OR(CB1021=1,CB1021=2,CB1021=3),N(INDEX(Parameter!$I$5:$I$7,CB1021)),0),0)</f>
        <v>0</v>
      </c>
      <c r="CL1021" s="52" t="n">
        <f aca="false">IF(AND(Parameter!$B$21="Ja",ISNUMBER(W1021),N(X1021)&gt;0),IFERROR(N(INDEX(Parameter!$L$5:$L$7,W1021))*INDEX(Parameter!$E$5:$E$7,W1021)*X1021/SUMIFS($X$7:$X$1843,$W$7:$W$1843,W1021),0),0)</f>
        <v>0</v>
      </c>
    </row>
    <row r="1022" customFormat="false" ht="15" hidden="false" customHeight="false" outlineLevel="0" collapsed="false">
      <c r="A1022" s="48" t="s">
        <v>1883</v>
      </c>
      <c r="B1022" s="48" t="s">
        <v>875</v>
      </c>
      <c r="C1022" s="48" t="s">
        <v>460</v>
      </c>
      <c r="D1022" s="48" t="s">
        <v>188</v>
      </c>
      <c r="E1022" s="48"/>
      <c r="F1022" s="48" t="s">
        <v>222</v>
      </c>
      <c r="G1022" s="49" t="n">
        <v>15.27</v>
      </c>
      <c r="H1022" s="50" t="n">
        <f aca="false">MAX(0,IF(AND(Parameter!$B$21="Ja",ISNUMBER(Y1022)),Y1022,IF(Parameter!$B$20="Jahresanfang 2025 + Export",BO1022+BN1022,BN1022)))</f>
        <v>8</v>
      </c>
      <c r="I1022" s="50" t="n">
        <f aca="false">H1022*G1022</f>
        <v>122.16</v>
      </c>
      <c r="J1022" s="50" t="n">
        <f aca="false">BQ1022*Parameter!$B$18</f>
        <v>8</v>
      </c>
      <c r="K1022" s="51" t="n">
        <v>8</v>
      </c>
      <c r="L1022" s="52" t="n">
        <v>1</v>
      </c>
      <c r="M1022" s="50" t="n">
        <v>1</v>
      </c>
      <c r="N1022" s="50" t="n">
        <v>10</v>
      </c>
      <c r="O1022" s="53" t="n">
        <v>56</v>
      </c>
      <c r="P1022" s="48" t="s">
        <v>172</v>
      </c>
      <c r="Q1022" s="50"/>
      <c r="R1022" s="53" t="n">
        <f aca="false">IF(BW1022=1,0,IFERROR(VLOOKUP(BU1022,'Gebinde-Kategorie'!$A$5:$N$45,13,0)+0,0))</f>
        <v>26</v>
      </c>
      <c r="S1022" s="54"/>
      <c r="T1022" s="55" t="s">
        <v>279</v>
      </c>
      <c r="U1022" s="55"/>
      <c r="V1022" s="55"/>
      <c r="W1022" s="48"/>
      <c r="X1022" s="50"/>
      <c r="Y1022" s="50"/>
      <c r="Z1022" s="48" t="n">
        <f aca="false">IF(A1022="","",IF(AND(Parameter!$B$21="Ja",ISNUMBER(W1022)),W1022,IF(BZ1022="2+3",IF(ISNUMBER(SEARCH("grosser Artikel",BR1022)),2,IFERROR(VLOOKUP(BU1022,Parameter!$F$35:$G$64,2,0),2)),IF(OR(BZ1022="Nein",BZ1022=""),"-",BZ1022))))</f>
        <v>3</v>
      </c>
      <c r="AA1022" s="55"/>
      <c r="AB1022" s="56"/>
      <c r="AC1022" s="50" t="n">
        <f aca="false">AT1022</f>
        <v>20</v>
      </c>
      <c r="AD1022" s="50" t="n">
        <f aca="false">MAX(AT1022,H1022)</f>
        <v>20</v>
      </c>
      <c r="AE1022" s="57"/>
      <c r="AF1022" s="50" t="n">
        <f aca="false">IF(LEFT(Cockpit!$C$5,1)="A",H1022,IF(CE1022=1,CF1022,IF(LEFT(Cockpit!$C$5,1)="B",AK1022,MAX(AK1022,H1022))))</f>
        <v>8</v>
      </c>
      <c r="AG1022" s="50" t="n">
        <f aca="false">IF(BW1022=1,0,ROUNDUP(AF1022/BV1022,0))</f>
        <v>1</v>
      </c>
      <c r="AH1022" s="52" t="n">
        <f aca="false">IF(CL1022&gt;0,CL1022*MAX(1,AF1022/X1022),IF(BW1022=1,IF(AF1022&lt;=0,0,CA1022*MAX(1,IF(H1022&gt;0,AF1022/H1022,1))),IF(R1022&gt;0,AG1022/R1022,0))/MAX(0.1,N(Parameter!$M$21)))</f>
        <v>0.0384615384615385</v>
      </c>
      <c r="AI1022" s="50" t="n">
        <f aca="false">AH1022*BY1022</f>
        <v>5.96153846153846</v>
      </c>
      <c r="AJ1022" s="50" t="n">
        <f aca="false">AF1022*G1022</f>
        <v>122.16</v>
      </c>
      <c r="AK1022" s="50" t="n">
        <f aca="false">ROUNDUP(MAX(J1022/IF(CD1022&gt;0,CD1022,MAX(0.1,N(Cockpit!$C$6))),CG1022)/BV1022,0)*BV1022</f>
        <v>20</v>
      </c>
      <c r="AL1022" s="51" t="n">
        <f aca="false">IF(AI1022&gt;0,J1022/AI1022,-1)</f>
        <v>1.34193548387097</v>
      </c>
      <c r="AM1022" s="51" t="n">
        <f aca="false">IF(AND(OR(CC1022="L1",CC1022="L23",CC1022="LIFT"),AI1022&gt;0),SUMIFS($AI$7:$AI$1843,$CC$7:$CC$1843,CC1022,$AL$7:$AL$1843,"&gt;"&amp;AL1022)+SUMIFS($AI$7:$AI$1843,$CC$7:$CC$1843,CC1022,$AL$7:$AL$1843,AL1022,$BT$7:$BT$1843,"&lt;="&amp;BT1022),"")</f>
        <v>6349.03250915751</v>
      </c>
      <c r="AN1022" s="58" t="n">
        <f aca="false">IF(AM1022="",0,MAX(0,MIN(1,(IF(CC1022="L1",Parameter!$H$5,IF(CC1022="L23",Parameter!$H$6+Parameter!$H$7,Parameter!$H$5+Parameter!$H$6+Parameter!$H$7))-(AM1022-AI1022))/AI1022)))</f>
        <v>1</v>
      </c>
      <c r="AO1022" s="50" t="n">
        <f aca="false">IF(LEFT(Cockpit!$I$5,1)="A",H1022,IF(CE1022=1,CF1022,IF(LEFT(Cockpit!$I$5,1)="B",AT1022,MAX(AT1022,H1022))))</f>
        <v>20</v>
      </c>
      <c r="AP1022" s="50" t="n">
        <f aca="false">IF(BW1022=1,0,ROUNDUP(AO1022/BV1022,0))</f>
        <v>1</v>
      </c>
      <c r="AQ1022" s="52" t="n">
        <f aca="false">IF(CL1022&gt;0,CL1022*MAX(1,AO1022/X1022),IF(BW1022=1,IF(AO1022&lt;=0,0,CA1022*MAX(1,IF(H1022&gt;0,AO1022/H1022,1))),IF(R1022&gt;0,AP1022/R1022,0))/MAX(0.1,N(Parameter!$M$21)))</f>
        <v>0.0384615384615385</v>
      </c>
      <c r="AR1022" s="50" t="n">
        <f aca="false">AQ1022*BY1022</f>
        <v>5.96153846153846</v>
      </c>
      <c r="AS1022" s="50" t="n">
        <f aca="false">AO1022*G1022</f>
        <v>305.4</v>
      </c>
      <c r="AT1022" s="50" t="n">
        <f aca="false">ROUNDUP(MAX(J1022/IF(CD1022&gt;0,CD1022,MAX(0.1,N(Cockpit!$I$6))),CG1022)/BV1022,0)*BV1022</f>
        <v>20</v>
      </c>
      <c r="AU1022" s="51" t="n">
        <f aca="false">IF(AR1022&gt;0,J1022/AR1022,-1)</f>
        <v>1.34193548387097</v>
      </c>
      <c r="AV1022" s="51" t="n">
        <f aca="false">IF(AND(OR(CC1022="L1",CC1022="L23",CC1022="LIFT"),AR1022&gt;0),SUMIFS($AR$7:$AR$1843,$CC$7:$CC$1843,CC1022,$AU$7:$AU$1843,"&gt;"&amp;AU1022)+SUMIFS($AR$7:$AR$1843,$CC$7:$CC$1843,CC1022,$AU$7:$AU$1843,AU1022,$BT$7:$BT$1843,"&lt;="&amp;BT1022),"")</f>
        <v>9416.53937728938</v>
      </c>
      <c r="AW1022" s="58" t="n">
        <f aca="false">IF(AV1022="",0,MAX(0,MIN(1,(IF(CC1022="L1",Parameter!$H$5,IF(CC1022="L23",Parameter!$H$6+Parameter!$H$7,Parameter!$H$5+Parameter!$H$6+Parameter!$H$7))-(AV1022-AR1022))/AR1022)))</f>
        <v>1</v>
      </c>
      <c r="AX1022" s="50" t="n">
        <f aca="false">IF(LEFT(Cockpit!$O$5,1)="A",H1022,IF(CE1022=1,CF1022,IF(LEFT(Cockpit!$O$5,1)="B",BC1022,MAX(BC1022,H1022))))</f>
        <v>20</v>
      </c>
      <c r="AY1022" s="50" t="n">
        <f aca="false">IF(BW1022=1,0,ROUNDUP(AX1022/BV1022,0))</f>
        <v>1</v>
      </c>
      <c r="AZ1022" s="52" t="n">
        <f aca="false">IF(CL1022&gt;0,CL1022*MAX(1,AX1022/X1022),IF(BW1022=1,IF(AX1022&lt;=0,0,CA1022*MAX(1,IF(H1022&gt;0,AX1022/H1022,1))),IF(R1022&gt;0,AY1022/R1022,0))/MAX(0.1,N(Parameter!$M$21)))</f>
        <v>0.0384615384615385</v>
      </c>
      <c r="BA1022" s="50" t="n">
        <f aca="false">AZ1022*BY1022</f>
        <v>5.96153846153846</v>
      </c>
      <c r="BB1022" s="50" t="n">
        <f aca="false">AX1022*G1022</f>
        <v>305.4</v>
      </c>
      <c r="BC1022" s="50" t="n">
        <f aca="false">ROUNDUP(MAX(J1022/IF(CD1022&gt;0,CD1022,MAX(0.1,N(Cockpit!$O$6))),CG1022)/BV1022,0)*BV1022</f>
        <v>20</v>
      </c>
      <c r="BD1022" s="51" t="n">
        <f aca="false">IF(BA1022&gt;0,J1022/BA1022,-1)</f>
        <v>1.34193548387097</v>
      </c>
      <c r="BE1022" s="51" t="n">
        <f aca="false">IF(AND(OR(CC1022="L1",CC1022="L23",CC1022="LIFT"),BA1022&gt;0),SUMIFS($BA$7:$BA$1843,$CC$7:$CC$1843,CC1022,$BD$7:$BD$1843,"&gt;"&amp;BD1022)+SUMIFS($BA$7:$BA$1843,$CC$7:$CC$1843,CC1022,$BD$7:$BD$1843,BD1022,$BT$7:$BT$1843,"&lt;="&amp;BT1022),"")</f>
        <v>8602.19642857143</v>
      </c>
      <c r="BF1022" s="58" t="n">
        <f aca="false">IF(BE1022="",0,MAX(0,MIN(1,(IF(CC1022="L1",Parameter!$H$5,IF(CC1022="L23",Parameter!$H$6+Parameter!$H$7,Parameter!$H$5+Parameter!$H$6+Parameter!$H$7))-(BE1022-BA1022))/BA1022)))</f>
        <v>1</v>
      </c>
      <c r="BG1022" s="48" t="str">
        <f aca="false">IF(AI1022&lt;=0,"",IF(CC1022="Aussen","Aussenlager",IF(CC1022="-","Nicht im Lift",IF(AN1022&gt;=1,"Lift",IF(AN1022&lt;=0,"Aussenlager","teilweise")))))</f>
        <v>Lift</v>
      </c>
      <c r="BH1022" s="48" t="str">
        <f aca="false">IF(AR1022&lt;=0,"",IF(CC1022="Aussen","Aussenlager",IF(CC1022="-","Nicht im Lift",IF(AW1022&gt;=1,"Lift",IF(AW1022&lt;=0,"Aussenlager","teilweise")))))</f>
        <v>Lift</v>
      </c>
      <c r="BI1022" s="48" t="str">
        <f aca="false">IF(BA1022&lt;=0,"",IF(CC1022="Aussen","Aussenlager",IF(CC1022="-","Nicht im Lift",IF(BF1022&gt;=1,"Lift",IF(BF1022&lt;=0,"Aussenlager","teilweise")))))</f>
        <v>Lift</v>
      </c>
      <c r="BJ1022" s="48" t="str">
        <f aca="false">IF(A1022="","",IF(BS1022=1,"Neu; ","")&amp;IF(AND(BS1022=0,BN1022&lt;0),"negativer Bestand (Export "&amp;BN1022&amp;"); ","")&amp;IF(J1022&lt;=0,"Kein Verbrauch; ","")&amp;IF(CL1022&gt;0,"Lift "&amp;W1022&amp;" lt. Liftbericht (Fach "&amp;X1022&amp;" Stk); ",IF(BX1022=1,"Gebinde geschätzt ("&amp;T1022&amp;"); ",IF(BW1022=1,"Lose – Tablare geschätzt; ","")))&amp;IF(H1022&gt;AT1022,"Überbestand "&amp;ROUND(H1022-AT1022,0)&amp;" Stk / CHF "&amp;ROUND((H1022-AT1022)*G1022,0)&amp;"; ","")&amp;IF(AND(CE1022=1,CF1022&lt;CG1022),"MAX &lt; MB+LG; ","")&amp;IF(AND(CK1022&gt;0,CJ1022*10&gt;CK1022),"zu hoch für Tablar; ","")&amp;IF(AND(BS1022=0,OR(CE1022=1,AA1022&lt;&gt;"",U1022&lt;&gt;"",V1022&lt;&gt;"",AB1022&lt;&gt;"")),"manuell übersteuert; ","")&amp;IF(AND(BW1022=0,R1022=0),"Gebinde unbekannt / Stellmass fehlt; ","")&amp;IF(AND(BW1022=0,N(V1022)&lt;=0,N(Q1022)&lt;=0),"Menge pro Gebinde fehlt (Ist = 1 Gebinde); ","")&amp;BR1022)</f>
        <v>negativer Bestand (Export -8); Gebinde geschätzt (Klein); Menge pro Gebinde fehlt (Ist = 1 Gebinde); </v>
      </c>
      <c r="BK1022" s="48"/>
      <c r="BL1022" s="48"/>
      <c r="BM1022" s="55"/>
      <c r="BN1022" s="50" t="n">
        <v>-8</v>
      </c>
      <c r="BO1022" s="50" t="n">
        <v>16</v>
      </c>
      <c r="BP1022" s="49" t="n">
        <v>-122.16</v>
      </c>
      <c r="BQ1022" s="50" t="n">
        <v>8</v>
      </c>
      <c r="BR1022" s="48"/>
      <c r="BS1022" s="53" t="n">
        <v>0</v>
      </c>
      <c r="BT1022" s="53" t="n">
        <v>1022</v>
      </c>
      <c r="BU1022" s="48" t="str">
        <f aca="false">IF(U1022&lt;&gt;"",UPPER(TRIM(U1022)),IF(BX1022=1,UPPER(VLOOKUP(T1022,Parameter!$I$27:$K$29,2,0)),IF(P1022="","LOSE",P1022)))</f>
        <v>S51</v>
      </c>
      <c r="BV1022" s="50" t="n">
        <f aca="false">IF(BU1022="LOSE",1,IF(N(V1022)&gt;0,V1022,IF(BX1022=1,MAX(1,N(VLOOKUP(T1022,Parameter!$I$27:$K$29,3,0)),H1022,N(N1022)),IF(N(Q1022)&gt;0,Q1022,MAX(1,H1022)))))</f>
        <v>20</v>
      </c>
      <c r="BW1022" s="53" t="n">
        <f aca="false">IF(BU1022="LOSE",1,0)</f>
        <v>0</v>
      </c>
      <c r="BX1022" s="53" t="n">
        <f aca="false">IF(AND(U1022="",OR(P1022="",P1022="LOSE"),T1022&lt;&gt;"",N(S1022)&lt;=0,ISNUMBER(MATCH(T1022,Parameter!$I$27:$I$29,0))),1,0)</f>
        <v>1</v>
      </c>
      <c r="BY1022" s="53" t="n">
        <f aca="false">IF(CL1022&gt;0,INDEX(Parameter!$H$5:$H$7,W1022)/INDEX(Parameter!$E$5:$E$7,W1022),IF(AND(BW1022=0,N(IFERROR(VLOOKUP(BU1022,'Gebinde-Kategorie'!$A$5:$N$45,14,0),0))&gt;0),VLOOKUP(BU1022,'Gebinde-Kategorie'!$A$5:$N$45,14,0)*10+Parameter!$M$23,Parameter!$M$24))</f>
        <v>155</v>
      </c>
      <c r="BZ1022" s="48" t="str">
        <f aca="false">IF(AND(Parameter!$B$19="Ja",E1022&lt;&gt;"",ISNUMBER(MATCH(E1022,Parameter!$I$35:$I$52,0))),VLOOKUP(E1022,Parameter!$I$35:$J$52,2,0),IFERROR(VLOOKUP(D1022,Parameter!$A$35:$C$64,2,0),"Nein"))</f>
        <v>2+3</v>
      </c>
      <c r="CA1022" s="52" t="n">
        <f aca="false">IF(BW1022=0,0,IF(N(S1022)&gt;0,S1022,IFERROR(VLOOKUP(D1022,Parameter!$A$35:$C$64,3,0)+0,0)))</f>
        <v>0</v>
      </c>
      <c r="CB1022" s="48" t="n">
        <f aca="false">IF(AA1022&lt;&gt;"",AA1022,Z1022)</f>
        <v>3</v>
      </c>
      <c r="CC1022" s="48" t="str">
        <f aca="false">IF(OR(CB1022=1,CB1022=2,CB1022=3),IF(Parameter!$E$27="Ja","LIFT",IF(CB1022=1,"L1","L23")),IF(CB1022="Aussen","Aussen","-"))</f>
        <v>LIFT</v>
      </c>
      <c r="CD1022" s="59" t="n">
        <f aca="false">IF(N(AB1022)&gt;0,AB1022,0)</f>
        <v>0</v>
      </c>
      <c r="CE1022" s="53" t="n">
        <f aca="false">IF(ISNUMBER(AE1022),1,0)</f>
        <v>0</v>
      </c>
      <c r="CF1022" s="50" t="n">
        <f aca="false">N(AE1022)</f>
        <v>0</v>
      </c>
      <c r="CG1022" s="50" t="n">
        <f aca="false">N(M1022)+N(N1022)</f>
        <v>11</v>
      </c>
      <c r="CH1022" s="50" t="n">
        <f aca="false">ROUNDUP(H1022/BV1022,0)</f>
        <v>1</v>
      </c>
      <c r="CI1022" s="50" t="n">
        <f aca="false">ROUNDUP(CF1022/BV1022,0)</f>
        <v>0</v>
      </c>
      <c r="CJ1022" s="53" t="n">
        <f aca="false">IF(BW1022=1,0,IFERROR(VLOOKUP(BU1022,'Gebinde-Kategorie'!$A$5:$N$45,5,0)+0,0))</f>
        <v>11</v>
      </c>
      <c r="CK1022" s="53" t="n">
        <f aca="false">IFERROR(IF(OR(CB1022=1,CB1022=2,CB1022=3),N(INDEX(Parameter!$I$5:$I$7,CB1022)),0),0)</f>
        <v>0</v>
      </c>
      <c r="CL1022" s="52" t="n">
        <f aca="false">IF(AND(Parameter!$B$21="Ja",ISNUMBER(W1022),N(X1022)&gt;0),IFERROR(N(INDEX(Parameter!$L$5:$L$7,W1022))*INDEX(Parameter!$E$5:$E$7,W1022)*X1022/SUMIFS($X$7:$X$1843,$W$7:$W$1843,W1022),0),0)</f>
        <v>0</v>
      </c>
    </row>
    <row r="1023" customFormat="false" ht="15" hidden="false" customHeight="false" outlineLevel="0" collapsed="false">
      <c r="A1023" s="48" t="s">
        <v>1884</v>
      </c>
      <c r="B1023" s="48" t="s">
        <v>1885</v>
      </c>
      <c r="C1023" s="48" t="s">
        <v>168</v>
      </c>
      <c r="D1023" s="48" t="s">
        <v>188</v>
      </c>
      <c r="E1023" s="48" t="s">
        <v>189</v>
      </c>
      <c r="F1023" s="48" t="s">
        <v>222</v>
      </c>
      <c r="G1023" s="49" t="n">
        <v>42.42</v>
      </c>
      <c r="H1023" s="50" t="n">
        <f aca="false">MAX(0,IF(AND(Parameter!$B$21="Ja",ISNUMBER(Y1023)),Y1023,IF(Parameter!$B$20="Jahresanfang 2025 + Export",BO1023+BN1023,BN1023)))</f>
        <v>4</v>
      </c>
      <c r="I1023" s="50" t="n">
        <f aca="false">H1023*G1023</f>
        <v>169.68</v>
      </c>
      <c r="J1023" s="50" t="n">
        <f aca="false">BQ1023*Parameter!$B$18</f>
        <v>0</v>
      </c>
      <c r="K1023" s="51" t="n">
        <v>7</v>
      </c>
      <c r="L1023" s="52" t="n">
        <v>0</v>
      </c>
      <c r="M1023" s="50" t="n">
        <v>0</v>
      </c>
      <c r="N1023" s="50" t="n">
        <v>1</v>
      </c>
      <c r="O1023" s="53" t="n">
        <v>28</v>
      </c>
      <c r="P1023" s="48" t="s">
        <v>237</v>
      </c>
      <c r="Q1023" s="50" t="n">
        <v>12</v>
      </c>
      <c r="R1023" s="53" t="n">
        <f aca="false">IF(BW1023=1,0,IFERROR(VLOOKUP(BU1023,'Gebinde-Kategorie'!$A$5:$N$45,13,0)+0,0))</f>
        <v>26</v>
      </c>
      <c r="S1023" s="54"/>
      <c r="T1023" s="55"/>
      <c r="U1023" s="55"/>
      <c r="V1023" s="55"/>
      <c r="W1023" s="48"/>
      <c r="X1023" s="50"/>
      <c r="Y1023" s="50"/>
      <c r="Z1023" s="48" t="n">
        <f aca="false">IF(A1023="","",IF(AND(Parameter!$B$21="Ja",ISNUMBER(W1023)),W1023,IF(BZ1023="2+3",IF(ISNUMBER(SEARCH("grosser Artikel",BR1023)),2,IFERROR(VLOOKUP(BU1023,Parameter!$F$35:$G$64,2,0),2)),IF(OR(BZ1023="Nein",BZ1023=""),"-",BZ1023))))</f>
        <v>3</v>
      </c>
      <c r="AA1023" s="55"/>
      <c r="AB1023" s="56"/>
      <c r="AC1023" s="50" t="n">
        <f aca="false">AT1023</f>
        <v>12</v>
      </c>
      <c r="AD1023" s="50" t="n">
        <f aca="false">MAX(AT1023,H1023)</f>
        <v>12</v>
      </c>
      <c r="AE1023" s="57"/>
      <c r="AF1023" s="50" t="n">
        <f aca="false">IF(LEFT(Cockpit!$C$5,1)="A",H1023,IF(CE1023=1,CF1023,IF(LEFT(Cockpit!$C$5,1)="B",AK1023,MAX(AK1023,H1023))))</f>
        <v>4</v>
      </c>
      <c r="AG1023" s="50" t="n">
        <f aca="false">IF(BW1023=1,0,ROUNDUP(AF1023/BV1023,0))</f>
        <v>1</v>
      </c>
      <c r="AH1023" s="52" t="n">
        <f aca="false">IF(CL1023&gt;0,CL1023*MAX(1,AF1023/X1023),IF(BW1023=1,IF(AF1023&lt;=0,0,CA1023*MAX(1,IF(H1023&gt;0,AF1023/H1023,1))),IF(R1023&gt;0,AG1023/R1023,0))/MAX(0.1,N(Parameter!$M$21)))</f>
        <v>0.0384615384615385</v>
      </c>
      <c r="AI1023" s="50" t="n">
        <f aca="false">AH1023*BY1023</f>
        <v>9.42307692307692</v>
      </c>
      <c r="AJ1023" s="50" t="n">
        <f aca="false">AF1023*G1023</f>
        <v>169.68</v>
      </c>
      <c r="AK1023" s="50" t="n">
        <f aca="false">ROUNDUP(MAX(J1023/IF(CD1023&gt;0,CD1023,MAX(0.1,N(Cockpit!$C$6))),CG1023)/BV1023,0)*BV1023</f>
        <v>12</v>
      </c>
      <c r="AL1023" s="51" t="n">
        <f aca="false">IF(AI1023&gt;0,J1023/AI1023,-1)</f>
        <v>0</v>
      </c>
      <c r="AM1023" s="51" t="n">
        <f aca="false">IF(AND(OR(CC1023="L1",CC1023="L23",CC1023="LIFT"),AI1023&gt;0),SUMIFS($AI$7:$AI$1843,$CC$7:$CC$1843,CC1023,$AL$7:$AL$1843,"&gt;"&amp;AL1023)+SUMIFS($AI$7:$AI$1843,$CC$7:$CC$1843,CC1023,$AL$7:$AL$1843,AL1023,$BT$7:$BT$1843,"&lt;="&amp;BT1023),"")</f>
        <v>29016.0633549595</v>
      </c>
      <c r="AN1023" s="58" t="n">
        <f aca="false">IF(AM1023="",0,MAX(0,MIN(1,(IF(CC1023="L1",Parameter!$H$5,IF(CC1023="L23",Parameter!$H$6+Parameter!$H$7,Parameter!$H$5+Parameter!$H$6+Parameter!$H$7))-(AM1023-AI1023))/AI1023)))</f>
        <v>1</v>
      </c>
      <c r="AO1023" s="50" t="n">
        <f aca="false">IF(LEFT(Cockpit!$I$5,1)="A",H1023,IF(CE1023=1,CF1023,IF(LEFT(Cockpit!$I$5,1)="B",AT1023,MAX(AT1023,H1023))))</f>
        <v>12</v>
      </c>
      <c r="AP1023" s="50" t="n">
        <f aca="false">IF(BW1023=1,0,ROUNDUP(AO1023/BV1023,0))</f>
        <v>1</v>
      </c>
      <c r="AQ1023" s="52" t="n">
        <f aca="false">IF(CL1023&gt;0,CL1023*MAX(1,AO1023/X1023),IF(BW1023=1,IF(AO1023&lt;=0,0,CA1023*MAX(1,IF(H1023&gt;0,AO1023/H1023,1))),IF(R1023&gt;0,AP1023/R1023,0))/MAX(0.1,N(Parameter!$M$21)))</f>
        <v>0.0384615384615385</v>
      </c>
      <c r="AR1023" s="50" t="n">
        <f aca="false">AQ1023*BY1023</f>
        <v>9.42307692307692</v>
      </c>
      <c r="AS1023" s="50" t="n">
        <f aca="false">AO1023*G1023</f>
        <v>509.04</v>
      </c>
      <c r="AT1023" s="50" t="n">
        <f aca="false">ROUNDUP(MAX(J1023/IF(CD1023&gt;0,CD1023,MAX(0.1,N(Cockpit!$I$6))),CG1023)/BV1023,0)*BV1023</f>
        <v>12</v>
      </c>
      <c r="AU1023" s="51" t="n">
        <f aca="false">IF(AR1023&gt;0,J1023/AR1023,-1)</f>
        <v>0</v>
      </c>
      <c r="AV1023" s="51" t="n">
        <f aca="false">IF(AND(OR(CC1023="L1",CC1023="L23",CC1023="LIFT"),AR1023&gt;0),SUMIFS($AR$7:$AR$1843,$CC$7:$CC$1843,CC1023,$AU$7:$AU$1843,"&gt;"&amp;AU1023)+SUMIFS($AR$7:$AR$1843,$CC$7:$CC$1843,CC1023,$AU$7:$AU$1843,AU1023,$BT$7:$BT$1843,"&lt;="&amp;BT1023),"")</f>
        <v>40683.2170407276</v>
      </c>
      <c r="AW1023" s="58" t="n">
        <f aca="false">IF(AV1023="",0,MAX(0,MIN(1,(IF(CC1023="L1",Parameter!$H$5,IF(CC1023="L23",Parameter!$H$6+Parameter!$H$7,Parameter!$H$5+Parameter!$H$6+Parameter!$H$7))-(AV1023-AR1023))/AR1023)))</f>
        <v>0</v>
      </c>
      <c r="AX1023" s="50" t="n">
        <f aca="false">IF(LEFT(Cockpit!$O$5,1)="A",H1023,IF(CE1023=1,CF1023,IF(LEFT(Cockpit!$O$5,1)="B",BC1023,MAX(BC1023,H1023))))</f>
        <v>12</v>
      </c>
      <c r="AY1023" s="50" t="n">
        <f aca="false">IF(BW1023=1,0,ROUNDUP(AX1023/BV1023,0))</f>
        <v>1</v>
      </c>
      <c r="AZ1023" s="52" t="n">
        <f aca="false">IF(CL1023&gt;0,CL1023*MAX(1,AX1023/X1023),IF(BW1023=1,IF(AX1023&lt;=0,0,CA1023*MAX(1,IF(H1023&gt;0,AX1023/H1023,1))),IF(R1023&gt;0,AY1023/R1023,0))/MAX(0.1,N(Parameter!$M$21)))</f>
        <v>0.0384615384615385</v>
      </c>
      <c r="BA1023" s="50" t="n">
        <f aca="false">AZ1023*BY1023</f>
        <v>9.42307692307692</v>
      </c>
      <c r="BB1023" s="50" t="n">
        <f aca="false">AX1023*G1023</f>
        <v>509.04</v>
      </c>
      <c r="BC1023" s="50" t="n">
        <f aca="false">ROUNDUP(MAX(J1023/IF(CD1023&gt;0,CD1023,MAX(0.1,N(Cockpit!$O$6))),CG1023)/BV1023,0)*BV1023</f>
        <v>12</v>
      </c>
      <c r="BD1023" s="51" t="n">
        <f aca="false">IF(BA1023&gt;0,J1023/BA1023,-1)</f>
        <v>0</v>
      </c>
      <c r="BE1023" s="51" t="n">
        <f aca="false">IF(AND(OR(CC1023="L1",CC1023="L23",CC1023="LIFT"),BA1023&gt;0),SUMIFS($BA$7:$BA$1843,$CC$7:$CC$1843,CC1023,$BD$7:$BD$1843,"&gt;"&amp;BD1023)+SUMIFS($BA$7:$BA$1843,$CC$7:$CC$1843,CC1023,$BD$7:$BD$1843,BD1023,$BT$7:$BT$1843,"&lt;="&amp;BT1023),"")</f>
        <v>37358.2290825935</v>
      </c>
      <c r="BF1023" s="58" t="n">
        <f aca="false">IF(BE1023="",0,MAX(0,MIN(1,(IF(CC1023="L1",Parameter!$H$5,IF(CC1023="L23",Parameter!$H$6+Parameter!$H$7,Parameter!$H$5+Parameter!$H$6+Parameter!$H$7))-(BE1023-BA1023))/BA1023)))</f>
        <v>0</v>
      </c>
      <c r="BG1023" s="48" t="str">
        <f aca="false">IF(AI1023&lt;=0,"",IF(CC1023="Aussen","Aussenlager",IF(CC1023="-","Nicht im Lift",IF(AN1023&gt;=1,"Lift",IF(AN1023&lt;=0,"Aussenlager","teilweise")))))</f>
        <v>Lift</v>
      </c>
      <c r="BH1023" s="48" t="str">
        <f aca="false">IF(AR1023&lt;=0,"",IF(CC1023="Aussen","Aussenlager",IF(CC1023="-","Nicht im Lift",IF(AW1023&gt;=1,"Lift",IF(AW1023&lt;=0,"Aussenlager","teilweise")))))</f>
        <v>Aussenlager</v>
      </c>
      <c r="BI1023" s="48" t="str">
        <f aca="false">IF(BA1023&lt;=0,"",IF(CC1023="Aussen","Aussenlager",IF(CC1023="-","Nicht im Lift",IF(BF1023&gt;=1,"Lift",IF(BF1023&lt;=0,"Aussenlager","teilweise")))))</f>
        <v>Aussenlager</v>
      </c>
      <c r="BJ1023" s="48" t="str">
        <f aca="false">IF(A1023="","",IF(BS1023=1,"Neu; ","")&amp;IF(AND(BS1023=0,BN1023&lt;0),"negativer Bestand (Export "&amp;BN1023&amp;"); ","")&amp;IF(J1023&lt;=0,"Kein Verbrauch; ","")&amp;IF(CL1023&gt;0,"Lift "&amp;W1023&amp;" lt. Liftbericht (Fach "&amp;X1023&amp;" Stk); ",IF(BX1023=1,"Gebinde geschätzt ("&amp;T1023&amp;"); ",IF(BW1023=1,"Lose – Tablare geschätzt; ","")))&amp;IF(H1023&gt;AT1023,"Überbestand "&amp;ROUND(H1023-AT1023,0)&amp;" Stk / CHF "&amp;ROUND((H1023-AT1023)*G1023,0)&amp;"; ","")&amp;IF(AND(CE1023=1,CF1023&lt;CG1023),"MAX &lt; MB+LG; ","")&amp;IF(AND(CK1023&gt;0,CJ1023*10&gt;CK1023),"zu hoch für Tablar; ","")&amp;IF(AND(BS1023=0,OR(CE1023=1,AA1023&lt;&gt;"",U1023&lt;&gt;"",V1023&lt;&gt;"",AB1023&lt;&gt;"")),"manuell übersteuert; ","")&amp;IF(AND(BW1023=0,R1023=0),"Gebinde unbekannt / Stellmass fehlt; ","")&amp;IF(AND(BW1023=0,N(V1023)&lt;=0,N(Q1023)&lt;=0),"Menge pro Gebinde fehlt (Ist = 1 Gebinde); ","")&amp;BR1023)</f>
        <v>negativer Bestand (Export -3); Kein Verbrauch; Neu</v>
      </c>
      <c r="BK1023" s="48"/>
      <c r="BL1023" s="48"/>
      <c r="BM1023" s="55"/>
      <c r="BN1023" s="50" t="n">
        <v>-3</v>
      </c>
      <c r="BO1023" s="50" t="n">
        <v>7</v>
      </c>
      <c r="BP1023" s="49" t="n">
        <v>-122.22</v>
      </c>
      <c r="BQ1023" s="50" t="n">
        <v>0</v>
      </c>
      <c r="BR1023" s="48" t="s">
        <v>630</v>
      </c>
      <c r="BS1023" s="53" t="n">
        <v>0</v>
      </c>
      <c r="BT1023" s="53" t="n">
        <v>1023</v>
      </c>
      <c r="BU1023" s="48" t="str">
        <f aca="false">IF(U1023&lt;&gt;"",UPPER(TRIM(U1023)),IF(BX1023=1,UPPER(VLOOKUP(T1023,Parameter!$I$27:$K$29,2,0)),IF(P1023="","LOSE",P1023)))</f>
        <v>S52</v>
      </c>
      <c r="BV1023" s="50" t="n">
        <f aca="false">IF(BU1023="LOSE",1,IF(N(V1023)&gt;0,V1023,IF(BX1023=1,MAX(1,N(VLOOKUP(T1023,Parameter!$I$27:$K$29,3,0)),H1023,N(N1023)),IF(N(Q1023)&gt;0,Q1023,MAX(1,H1023)))))</f>
        <v>12</v>
      </c>
      <c r="BW1023" s="53" t="n">
        <f aca="false">IF(BU1023="LOSE",1,0)</f>
        <v>0</v>
      </c>
      <c r="BX1023" s="53" t="n">
        <f aca="false">IF(AND(U1023="",OR(P1023="",P1023="LOSE"),T1023&lt;&gt;"",N(S1023)&lt;=0,ISNUMBER(MATCH(T1023,Parameter!$I$27:$I$29,0))),1,0)</f>
        <v>0</v>
      </c>
      <c r="BY1023" s="53" t="n">
        <f aca="false">IF(CL1023&gt;0,INDEX(Parameter!$H$5:$H$7,W1023)/INDEX(Parameter!$E$5:$E$7,W1023),IF(AND(BW1023=0,N(IFERROR(VLOOKUP(BU1023,'Gebinde-Kategorie'!$A$5:$N$45,14,0),0))&gt;0),VLOOKUP(BU1023,'Gebinde-Kategorie'!$A$5:$N$45,14,0)*10+Parameter!$M$23,Parameter!$M$24))</f>
        <v>245</v>
      </c>
      <c r="BZ1023" s="48" t="str">
        <f aca="false">IF(AND(Parameter!$B$19="Ja",E1023&lt;&gt;"",ISNUMBER(MATCH(E1023,Parameter!$I$35:$I$52,0))),VLOOKUP(E1023,Parameter!$I$35:$J$52,2,0),IFERROR(VLOOKUP(D1023,Parameter!$A$35:$C$64,2,0),"Nein"))</f>
        <v>2+3</v>
      </c>
      <c r="CA1023" s="52" t="n">
        <f aca="false">IF(BW1023=0,0,IF(N(S1023)&gt;0,S1023,IFERROR(VLOOKUP(D1023,Parameter!$A$35:$C$64,3,0)+0,0)))</f>
        <v>0</v>
      </c>
      <c r="CB1023" s="48" t="n">
        <f aca="false">IF(AA1023&lt;&gt;"",AA1023,Z1023)</f>
        <v>3</v>
      </c>
      <c r="CC1023" s="48" t="str">
        <f aca="false">IF(OR(CB1023=1,CB1023=2,CB1023=3),IF(Parameter!$E$27="Ja","LIFT",IF(CB1023=1,"L1","L23")),IF(CB1023="Aussen","Aussen","-"))</f>
        <v>LIFT</v>
      </c>
      <c r="CD1023" s="59" t="n">
        <f aca="false">IF(N(AB1023)&gt;0,AB1023,0)</f>
        <v>0</v>
      </c>
      <c r="CE1023" s="53" t="n">
        <f aca="false">IF(ISNUMBER(AE1023),1,0)</f>
        <v>0</v>
      </c>
      <c r="CF1023" s="50" t="n">
        <f aca="false">N(AE1023)</f>
        <v>0</v>
      </c>
      <c r="CG1023" s="50" t="n">
        <f aca="false">N(M1023)+N(N1023)</f>
        <v>1</v>
      </c>
      <c r="CH1023" s="50" t="n">
        <f aca="false">ROUNDUP(H1023/BV1023,0)</f>
        <v>1</v>
      </c>
      <c r="CI1023" s="50" t="n">
        <f aca="false">ROUNDUP(CF1023/BV1023,0)</f>
        <v>0</v>
      </c>
      <c r="CJ1023" s="53" t="n">
        <f aca="false">IF(BW1023=1,0,IFERROR(VLOOKUP(BU1023,'Gebinde-Kategorie'!$A$5:$N$45,5,0)+0,0))</f>
        <v>21</v>
      </c>
      <c r="CK1023" s="53" t="n">
        <f aca="false">IFERROR(IF(OR(CB1023=1,CB1023=2,CB1023=3),N(INDEX(Parameter!$I$5:$I$7,CB1023)),0),0)</f>
        <v>0</v>
      </c>
      <c r="CL1023" s="52" t="n">
        <f aca="false">IF(AND(Parameter!$B$21="Ja",ISNUMBER(W1023),N(X1023)&gt;0),IFERROR(N(INDEX(Parameter!$L$5:$L$7,W1023))*INDEX(Parameter!$E$5:$E$7,W1023)*X1023/SUMIFS($X$7:$X$1843,$W$7:$W$1843,W1023),0),0)</f>
        <v>0</v>
      </c>
    </row>
    <row r="1024" customFormat="false" ht="15" hidden="false" customHeight="false" outlineLevel="0" collapsed="false">
      <c r="A1024" s="48" t="s">
        <v>1886</v>
      </c>
      <c r="B1024" s="48" t="s">
        <v>1887</v>
      </c>
      <c r="C1024" s="48" t="s">
        <v>168</v>
      </c>
      <c r="D1024" s="48" t="s">
        <v>188</v>
      </c>
      <c r="E1024" s="48" t="s">
        <v>189</v>
      </c>
      <c r="F1024" s="48" t="s">
        <v>222</v>
      </c>
      <c r="G1024" s="49" t="n">
        <v>124</v>
      </c>
      <c r="H1024" s="50" t="n">
        <f aca="false">MAX(0,IF(AND(Parameter!$B$21="Ja",ISNUMBER(Y1024)),Y1024,IF(Parameter!$B$20="Jahresanfang 2025 + Export",BO1024+BN1024,BN1024)))</f>
        <v>39</v>
      </c>
      <c r="I1024" s="50" t="n">
        <f aca="false">H1024*G1024</f>
        <v>4836</v>
      </c>
      <c r="J1024" s="50" t="n">
        <f aca="false">BQ1024*Parameter!$B$18</f>
        <v>2</v>
      </c>
      <c r="K1024" s="51" t="n">
        <v>39</v>
      </c>
      <c r="L1024" s="52" t="n">
        <v>0.0512820512820513</v>
      </c>
      <c r="M1024" s="50" t="n">
        <v>0</v>
      </c>
      <c r="N1024" s="50" t="n">
        <v>1</v>
      </c>
      <c r="O1024" s="53" t="n">
        <v>35</v>
      </c>
      <c r="P1024" s="48" t="s">
        <v>237</v>
      </c>
      <c r="Q1024" s="50" t="n">
        <v>45</v>
      </c>
      <c r="R1024" s="53" t="n">
        <f aca="false">IF(BW1024=1,0,IFERROR(VLOOKUP(BU1024,'Gebinde-Kategorie'!$A$5:$N$45,13,0)+0,0))</f>
        <v>26</v>
      </c>
      <c r="S1024" s="54"/>
      <c r="T1024" s="55"/>
      <c r="U1024" s="55"/>
      <c r="V1024" s="55"/>
      <c r="W1024" s="48"/>
      <c r="X1024" s="50"/>
      <c r="Y1024" s="50"/>
      <c r="Z1024" s="48" t="n">
        <f aca="false">IF(A1024="","",IF(AND(Parameter!$B$21="Ja",ISNUMBER(W1024)),W1024,IF(BZ1024="2+3",IF(ISNUMBER(SEARCH("grosser Artikel",BR1024)),2,IFERROR(VLOOKUP(BU1024,Parameter!$F$35:$G$64,2,0),2)),IF(OR(BZ1024="Nein",BZ1024=""),"-",BZ1024))))</f>
        <v>3</v>
      </c>
      <c r="AA1024" s="55"/>
      <c r="AB1024" s="56"/>
      <c r="AC1024" s="50" t="n">
        <f aca="false">AT1024</f>
        <v>45</v>
      </c>
      <c r="AD1024" s="50" t="n">
        <f aca="false">MAX(AT1024,H1024)</f>
        <v>45</v>
      </c>
      <c r="AE1024" s="57"/>
      <c r="AF1024" s="50" t="n">
        <f aca="false">IF(LEFT(Cockpit!$C$5,1)="A",H1024,IF(CE1024=1,CF1024,IF(LEFT(Cockpit!$C$5,1)="B",AK1024,MAX(AK1024,H1024))))</f>
        <v>39</v>
      </c>
      <c r="AG1024" s="50" t="n">
        <f aca="false">IF(BW1024=1,0,ROUNDUP(AF1024/BV1024,0))</f>
        <v>1</v>
      </c>
      <c r="AH1024" s="52" t="n">
        <f aca="false">IF(CL1024&gt;0,CL1024*MAX(1,AF1024/X1024),IF(BW1024=1,IF(AF1024&lt;=0,0,CA1024*MAX(1,IF(H1024&gt;0,AF1024/H1024,1))),IF(R1024&gt;0,AG1024/R1024,0))/MAX(0.1,N(Parameter!$M$21)))</f>
        <v>0.0384615384615385</v>
      </c>
      <c r="AI1024" s="50" t="n">
        <f aca="false">AH1024*BY1024</f>
        <v>9.42307692307692</v>
      </c>
      <c r="AJ1024" s="50" t="n">
        <f aca="false">AF1024*G1024</f>
        <v>4836</v>
      </c>
      <c r="AK1024" s="50" t="n">
        <f aca="false">ROUNDUP(MAX(J1024/IF(CD1024&gt;0,CD1024,MAX(0.1,N(Cockpit!$C$6))),CG1024)/BV1024,0)*BV1024</f>
        <v>45</v>
      </c>
      <c r="AL1024" s="51" t="n">
        <f aca="false">IF(AI1024&gt;0,J1024/AI1024,-1)</f>
        <v>0.212244897959184</v>
      </c>
      <c r="AM1024" s="51" t="n">
        <f aca="false">IF(AND(OR(CC1024="L1",CC1024="L23",CC1024="LIFT"),AI1024&gt;0),SUMIFS($AI$7:$AI$1843,$CC$7:$CC$1843,CC1024,$AL$7:$AL$1843,"&gt;"&amp;AL1024)+SUMIFS($AI$7:$AI$1843,$CC$7:$CC$1843,CC1024,$AL$7:$AL$1843,AL1024,$BT$7:$BT$1843,"&lt;="&amp;BT1024),"")</f>
        <v>12373.5478234101</v>
      </c>
      <c r="AN1024" s="58" t="n">
        <f aca="false">IF(AM1024="",0,MAX(0,MIN(1,(IF(CC1024="L1",Parameter!$H$5,IF(CC1024="L23",Parameter!$H$6+Parameter!$H$7,Parameter!$H$5+Parameter!$H$6+Parameter!$H$7))-(AM1024-AI1024))/AI1024)))</f>
        <v>1</v>
      </c>
      <c r="AO1024" s="50" t="n">
        <f aca="false">IF(LEFT(Cockpit!$I$5,1)="A",H1024,IF(CE1024=1,CF1024,IF(LEFT(Cockpit!$I$5,1)="B",AT1024,MAX(AT1024,H1024))))</f>
        <v>45</v>
      </c>
      <c r="AP1024" s="50" t="n">
        <f aca="false">IF(BW1024=1,0,ROUNDUP(AO1024/BV1024,0))</f>
        <v>1</v>
      </c>
      <c r="AQ1024" s="52" t="n">
        <f aca="false">IF(CL1024&gt;0,CL1024*MAX(1,AO1024/X1024),IF(BW1024=1,IF(AO1024&lt;=0,0,CA1024*MAX(1,IF(H1024&gt;0,AO1024/H1024,1))),IF(R1024&gt;0,AP1024/R1024,0))/MAX(0.1,N(Parameter!$M$21)))</f>
        <v>0.0384615384615385</v>
      </c>
      <c r="AR1024" s="50" t="n">
        <f aca="false">AQ1024*BY1024</f>
        <v>9.42307692307692</v>
      </c>
      <c r="AS1024" s="50" t="n">
        <f aca="false">AO1024*G1024</f>
        <v>5580</v>
      </c>
      <c r="AT1024" s="50" t="n">
        <f aca="false">ROUNDUP(MAX(J1024/IF(CD1024&gt;0,CD1024,MAX(0.1,N(Cockpit!$I$6))),CG1024)/BV1024,0)*BV1024</f>
        <v>45</v>
      </c>
      <c r="AU1024" s="51" t="n">
        <f aca="false">IF(AR1024&gt;0,J1024/AR1024,-1)</f>
        <v>0.212244897959184</v>
      </c>
      <c r="AV1024" s="51" t="n">
        <f aca="false">IF(AND(OR(CC1024="L1",CC1024="L23",CC1024="LIFT"),AR1024&gt;0),SUMIFS($AR$7:$AR$1843,$CC$7:$CC$1843,CC1024,$AU$7:$AU$1843,"&gt;"&amp;AU1024)+SUMIFS($AR$7:$AR$1843,$CC$7:$CC$1843,CC1024,$AU$7:$AU$1843,AU1024,$BT$7:$BT$1843,"&lt;="&amp;BT1024),"")</f>
        <v>18287.2825091575</v>
      </c>
      <c r="AW1024" s="58" t="n">
        <f aca="false">IF(AV1024="",0,MAX(0,MIN(1,(IF(CC1024="L1",Parameter!$H$5,IF(CC1024="L23",Parameter!$H$6+Parameter!$H$7,Parameter!$H$5+Parameter!$H$6+Parameter!$H$7))-(AV1024-AR1024))/AR1024)))</f>
        <v>1</v>
      </c>
      <c r="AX1024" s="50" t="n">
        <f aca="false">IF(LEFT(Cockpit!$O$5,1)="A",H1024,IF(CE1024=1,CF1024,IF(LEFT(Cockpit!$O$5,1)="B",BC1024,MAX(BC1024,H1024))))</f>
        <v>45</v>
      </c>
      <c r="AY1024" s="50" t="n">
        <f aca="false">IF(BW1024=1,0,ROUNDUP(AX1024/BV1024,0))</f>
        <v>1</v>
      </c>
      <c r="AZ1024" s="52" t="n">
        <f aca="false">IF(CL1024&gt;0,CL1024*MAX(1,AX1024/X1024),IF(BW1024=1,IF(AX1024&lt;=0,0,CA1024*MAX(1,IF(H1024&gt;0,AX1024/H1024,1))),IF(R1024&gt;0,AY1024/R1024,0))/MAX(0.1,N(Parameter!$M$21)))</f>
        <v>0.0384615384615385</v>
      </c>
      <c r="BA1024" s="50" t="n">
        <f aca="false">AZ1024*BY1024</f>
        <v>9.42307692307692</v>
      </c>
      <c r="BB1024" s="50" t="n">
        <f aca="false">AX1024*G1024</f>
        <v>5580</v>
      </c>
      <c r="BC1024" s="50" t="n">
        <f aca="false">ROUNDUP(MAX(J1024/IF(CD1024&gt;0,CD1024,MAX(0.1,N(Cockpit!$O$6))),CG1024)/BV1024,0)*BV1024</f>
        <v>45</v>
      </c>
      <c r="BD1024" s="51" t="n">
        <f aca="false">IF(BA1024&gt;0,J1024/BA1024,-1)</f>
        <v>0.212244897959184</v>
      </c>
      <c r="BE1024" s="51" t="n">
        <f aca="false">IF(AND(OR(CC1024="L1",CC1024="L23",CC1024="LIFT"),BA1024&gt;0),SUMIFS($BA$7:$BA$1843,$CC$7:$CC$1843,CC1024,$BD$7:$BD$1843,"&gt;"&amp;BD1024)+SUMIFS($BA$7:$BA$1843,$CC$7:$CC$1843,CC1024,$BD$7:$BD$1843,BD1024,$BT$7:$BT$1843,"&lt;="&amp;BT1024),"")</f>
        <v>16940.0228937729</v>
      </c>
      <c r="BF1024" s="58" t="n">
        <f aca="false">IF(BE1024="",0,MAX(0,MIN(1,(IF(CC1024="L1",Parameter!$H$5,IF(CC1024="L23",Parameter!$H$6+Parameter!$H$7,Parameter!$H$5+Parameter!$H$6+Parameter!$H$7))-(BE1024-BA1024))/BA1024)))</f>
        <v>1</v>
      </c>
      <c r="BG1024" s="48" t="str">
        <f aca="false">IF(AI1024&lt;=0,"",IF(CC1024="Aussen","Aussenlager",IF(CC1024="-","Nicht im Lift",IF(AN1024&gt;=1,"Lift",IF(AN1024&lt;=0,"Aussenlager","teilweise")))))</f>
        <v>Lift</v>
      </c>
      <c r="BH1024" s="48" t="str">
        <f aca="false">IF(AR1024&lt;=0,"",IF(CC1024="Aussen","Aussenlager",IF(CC1024="-","Nicht im Lift",IF(AW1024&gt;=1,"Lift",IF(AW1024&lt;=0,"Aussenlager","teilweise")))))</f>
        <v>Lift</v>
      </c>
      <c r="BI1024" s="48" t="str">
        <f aca="false">IF(BA1024&lt;=0,"",IF(CC1024="Aussen","Aussenlager",IF(CC1024="-","Nicht im Lift",IF(BF1024&gt;=1,"Lift",IF(BF1024&lt;=0,"Aussenlager","teilweise")))))</f>
        <v>Lift</v>
      </c>
      <c r="BJ1024" s="48" t="str">
        <f aca="false">IF(A1024="","",IF(BS1024=1,"Neu; ","")&amp;IF(AND(BS1024=0,BN1024&lt;0),"negativer Bestand (Export "&amp;BN1024&amp;"); ","")&amp;IF(J1024&lt;=0,"Kein Verbrauch; ","")&amp;IF(CL1024&gt;0,"Lift "&amp;W1024&amp;" lt. Liftbericht (Fach "&amp;X1024&amp;" Stk); ",IF(BX1024=1,"Gebinde geschätzt ("&amp;T1024&amp;"); ",IF(BW1024=1,"Lose – Tablare geschätzt; ","")))&amp;IF(H1024&gt;AT1024,"Überbestand "&amp;ROUND(H1024-AT1024,0)&amp;" Stk / CHF "&amp;ROUND((H1024-AT1024)*G1024,0)&amp;"; ","")&amp;IF(AND(CE1024=1,CF1024&lt;CG1024),"MAX &lt; MB+LG; ","")&amp;IF(AND(CK1024&gt;0,CJ1024*10&gt;CK1024),"zu hoch für Tablar; ","")&amp;IF(AND(BS1024=0,OR(CE1024=1,AA1024&lt;&gt;"",U1024&lt;&gt;"",V1024&lt;&gt;"",AB1024&lt;&gt;"")),"manuell übersteuert; ","")&amp;IF(AND(BW1024=0,R1024=0),"Gebinde unbekannt / Stellmass fehlt; ","")&amp;IF(AND(BW1024=0,N(V1024)&lt;=0,N(Q1024)&lt;=0),"Menge pro Gebinde fehlt (Ist = 1 Gebinde); ","")&amp;BR1024)</f>
        <v>negativer Bestand (Export -1); </v>
      </c>
      <c r="BK1024" s="48"/>
      <c r="BL1024" s="48"/>
      <c r="BM1024" s="55"/>
      <c r="BN1024" s="50" t="n">
        <v>-1</v>
      </c>
      <c r="BO1024" s="50" t="n">
        <v>40</v>
      </c>
      <c r="BP1024" s="49" t="n">
        <v>-124</v>
      </c>
      <c r="BQ1024" s="50" t="n">
        <v>2</v>
      </c>
      <c r="BR1024" s="48"/>
      <c r="BS1024" s="53" t="n">
        <v>0</v>
      </c>
      <c r="BT1024" s="53" t="n">
        <v>1024</v>
      </c>
      <c r="BU1024" s="48" t="str">
        <f aca="false">IF(U1024&lt;&gt;"",UPPER(TRIM(U1024)),IF(BX1024=1,UPPER(VLOOKUP(T1024,Parameter!$I$27:$K$29,2,0)),IF(P1024="","LOSE",P1024)))</f>
        <v>S52</v>
      </c>
      <c r="BV1024" s="50" t="n">
        <f aca="false">IF(BU1024="LOSE",1,IF(N(V1024)&gt;0,V1024,IF(BX1024=1,MAX(1,N(VLOOKUP(T1024,Parameter!$I$27:$K$29,3,0)),H1024,N(N1024)),IF(N(Q1024)&gt;0,Q1024,MAX(1,H1024)))))</f>
        <v>45</v>
      </c>
      <c r="BW1024" s="53" t="n">
        <f aca="false">IF(BU1024="LOSE",1,0)</f>
        <v>0</v>
      </c>
      <c r="BX1024" s="53" t="n">
        <f aca="false">IF(AND(U1024="",OR(P1024="",P1024="LOSE"),T1024&lt;&gt;"",N(S1024)&lt;=0,ISNUMBER(MATCH(T1024,Parameter!$I$27:$I$29,0))),1,0)</f>
        <v>0</v>
      </c>
      <c r="BY1024" s="53" t="n">
        <f aca="false">IF(CL1024&gt;0,INDEX(Parameter!$H$5:$H$7,W1024)/INDEX(Parameter!$E$5:$E$7,W1024),IF(AND(BW1024=0,N(IFERROR(VLOOKUP(BU1024,'Gebinde-Kategorie'!$A$5:$N$45,14,0),0))&gt;0),VLOOKUP(BU1024,'Gebinde-Kategorie'!$A$5:$N$45,14,0)*10+Parameter!$M$23,Parameter!$M$24))</f>
        <v>245</v>
      </c>
      <c r="BZ1024" s="48" t="str">
        <f aca="false">IF(AND(Parameter!$B$19="Ja",E1024&lt;&gt;"",ISNUMBER(MATCH(E1024,Parameter!$I$35:$I$52,0))),VLOOKUP(E1024,Parameter!$I$35:$J$52,2,0),IFERROR(VLOOKUP(D1024,Parameter!$A$35:$C$64,2,0),"Nein"))</f>
        <v>2+3</v>
      </c>
      <c r="CA1024" s="52" t="n">
        <f aca="false">IF(BW1024=0,0,IF(N(S1024)&gt;0,S1024,IFERROR(VLOOKUP(D1024,Parameter!$A$35:$C$64,3,0)+0,0)))</f>
        <v>0</v>
      </c>
      <c r="CB1024" s="48" t="n">
        <f aca="false">IF(AA1024&lt;&gt;"",AA1024,Z1024)</f>
        <v>3</v>
      </c>
      <c r="CC1024" s="48" t="str">
        <f aca="false">IF(OR(CB1024=1,CB1024=2,CB1024=3),IF(Parameter!$E$27="Ja","LIFT",IF(CB1024=1,"L1","L23")),IF(CB1024="Aussen","Aussen","-"))</f>
        <v>LIFT</v>
      </c>
      <c r="CD1024" s="59" t="n">
        <f aca="false">IF(N(AB1024)&gt;0,AB1024,0)</f>
        <v>0</v>
      </c>
      <c r="CE1024" s="53" t="n">
        <f aca="false">IF(ISNUMBER(AE1024),1,0)</f>
        <v>0</v>
      </c>
      <c r="CF1024" s="50" t="n">
        <f aca="false">N(AE1024)</f>
        <v>0</v>
      </c>
      <c r="CG1024" s="50" t="n">
        <f aca="false">N(M1024)+N(N1024)</f>
        <v>1</v>
      </c>
      <c r="CH1024" s="50" t="n">
        <f aca="false">ROUNDUP(H1024/BV1024,0)</f>
        <v>1</v>
      </c>
      <c r="CI1024" s="50" t="n">
        <f aca="false">ROUNDUP(CF1024/BV1024,0)</f>
        <v>0</v>
      </c>
      <c r="CJ1024" s="53" t="n">
        <f aca="false">IF(BW1024=1,0,IFERROR(VLOOKUP(BU1024,'Gebinde-Kategorie'!$A$5:$N$45,5,0)+0,0))</f>
        <v>21</v>
      </c>
      <c r="CK1024" s="53" t="n">
        <f aca="false">IFERROR(IF(OR(CB1024=1,CB1024=2,CB1024=3),N(INDEX(Parameter!$I$5:$I$7,CB1024)),0),0)</f>
        <v>0</v>
      </c>
      <c r="CL1024" s="52" t="n">
        <f aca="false">IF(AND(Parameter!$B$21="Ja",ISNUMBER(W1024),N(X1024)&gt;0),IFERROR(N(INDEX(Parameter!$L$5:$L$7,W1024))*INDEX(Parameter!$E$5:$E$7,W1024)*X1024/SUMIFS($X$7:$X$1843,$W$7:$W$1843,W1024),0),0)</f>
        <v>0</v>
      </c>
    </row>
    <row r="1025" customFormat="false" ht="15" hidden="false" customHeight="false" outlineLevel="0" collapsed="false">
      <c r="A1025" s="48" t="s">
        <v>1888</v>
      </c>
      <c r="B1025" s="48" t="s">
        <v>1889</v>
      </c>
      <c r="C1025" s="48" t="s">
        <v>168</v>
      </c>
      <c r="D1025" s="48" t="s">
        <v>188</v>
      </c>
      <c r="E1025" s="48"/>
      <c r="F1025" s="48" t="s">
        <v>222</v>
      </c>
      <c r="G1025" s="49" t="n">
        <v>27.84</v>
      </c>
      <c r="H1025" s="50" t="n">
        <f aca="false">MAX(0,IF(AND(Parameter!$B$21="Ja",ISNUMBER(Y1025)),Y1025,IF(Parameter!$B$20="Jahresanfang 2025 + Export",BO1025+BN1025,BN1025)))</f>
        <v>10</v>
      </c>
      <c r="I1025" s="50" t="n">
        <f aca="false">H1025*G1025</f>
        <v>278.4</v>
      </c>
      <c r="J1025" s="50" t="n">
        <f aca="false">BQ1025*Parameter!$B$18</f>
        <v>20</v>
      </c>
      <c r="K1025" s="51" t="n">
        <v>19</v>
      </c>
      <c r="L1025" s="52" t="n">
        <v>1.05263157894737</v>
      </c>
      <c r="M1025" s="50" t="n">
        <v>1</v>
      </c>
      <c r="N1025" s="50" t="n">
        <v>20</v>
      </c>
      <c r="O1025" s="53" t="n">
        <v>21</v>
      </c>
      <c r="P1025" s="48" t="s">
        <v>430</v>
      </c>
      <c r="Q1025" s="50" t="n">
        <v>17</v>
      </c>
      <c r="R1025" s="53" t="n">
        <f aca="false">IF(BW1025=1,0,IFERROR(VLOOKUP(BU1025,'Gebinde-Kategorie'!$A$5:$N$45,13,0)+0,0))</f>
        <v>140</v>
      </c>
      <c r="S1025" s="54"/>
      <c r="T1025" s="55"/>
      <c r="U1025" s="55"/>
      <c r="V1025" s="55"/>
      <c r="W1025" s="48"/>
      <c r="X1025" s="50"/>
      <c r="Y1025" s="50"/>
      <c r="Z1025" s="48" t="n">
        <f aca="false">IF(A1025="","",IF(AND(Parameter!$B$21="Ja",ISNUMBER(W1025)),W1025,IF(BZ1025="2+3",IF(ISNUMBER(SEARCH("grosser Artikel",BR1025)),2,IFERROR(VLOOKUP(BU1025,Parameter!$F$35:$G$64,2,0),2)),IF(OR(BZ1025="Nein",BZ1025=""),"-",BZ1025))))</f>
        <v>3</v>
      </c>
      <c r="AA1025" s="55"/>
      <c r="AB1025" s="56"/>
      <c r="AC1025" s="50" t="n">
        <f aca="false">AT1025</f>
        <v>34</v>
      </c>
      <c r="AD1025" s="50" t="n">
        <f aca="false">MAX(AT1025,H1025)</f>
        <v>34</v>
      </c>
      <c r="AE1025" s="57"/>
      <c r="AF1025" s="50" t="n">
        <f aca="false">IF(LEFT(Cockpit!$C$5,1)="A",H1025,IF(CE1025=1,CF1025,IF(LEFT(Cockpit!$C$5,1)="B",AK1025,MAX(AK1025,H1025))))</f>
        <v>10</v>
      </c>
      <c r="AG1025" s="50" t="n">
        <f aca="false">IF(BW1025=1,0,ROUNDUP(AF1025/BV1025,0))</f>
        <v>1</v>
      </c>
      <c r="AH1025" s="52" t="n">
        <f aca="false">IF(CL1025&gt;0,CL1025*MAX(1,AF1025/X1025),IF(BW1025=1,IF(AF1025&lt;=0,0,CA1025*MAX(1,IF(H1025&gt;0,AF1025/H1025,1))),IF(R1025&gt;0,AG1025/R1025,0))/MAX(0.1,N(Parameter!$M$21)))</f>
        <v>0.00714285714285714</v>
      </c>
      <c r="AI1025" s="50" t="n">
        <f aca="false">AH1025*BY1025</f>
        <v>1.10714285714286</v>
      </c>
      <c r="AJ1025" s="50" t="n">
        <f aca="false">AF1025*G1025</f>
        <v>278.4</v>
      </c>
      <c r="AK1025" s="50" t="n">
        <f aca="false">ROUNDUP(MAX(J1025/IF(CD1025&gt;0,CD1025,MAX(0.1,N(Cockpit!$C$6))),CG1025)/BV1025,0)*BV1025</f>
        <v>34</v>
      </c>
      <c r="AL1025" s="51" t="n">
        <f aca="false">IF(AI1025&gt;0,J1025/AI1025,-1)</f>
        <v>18.0645161290323</v>
      </c>
      <c r="AM1025" s="51" t="n">
        <f aca="false">IF(AND(OR(CC1025="L1",CC1025="L23",CC1025="LIFT"),AI1025&gt;0),SUMIFS($AI$7:$AI$1843,$CC$7:$CC$1843,CC1025,$AL$7:$AL$1843,"&gt;"&amp;AL1025)+SUMIFS($AI$7:$AI$1843,$CC$7:$CC$1843,CC1025,$AL$7:$AL$1843,AL1025,$BT$7:$BT$1843,"&lt;="&amp;BT1025),"")</f>
        <v>1771.92902930403</v>
      </c>
      <c r="AN1025" s="58" t="n">
        <f aca="false">IF(AM1025="",0,MAX(0,MIN(1,(IF(CC1025="L1",Parameter!$H$5,IF(CC1025="L23",Parameter!$H$6+Parameter!$H$7,Parameter!$H$5+Parameter!$H$6+Parameter!$H$7))-(AM1025-AI1025))/AI1025)))</f>
        <v>1</v>
      </c>
      <c r="AO1025" s="50" t="n">
        <f aca="false">IF(LEFT(Cockpit!$I$5,1)="A",H1025,IF(CE1025=1,CF1025,IF(LEFT(Cockpit!$I$5,1)="B",AT1025,MAX(AT1025,H1025))))</f>
        <v>34</v>
      </c>
      <c r="AP1025" s="50" t="n">
        <f aca="false">IF(BW1025=1,0,ROUNDUP(AO1025/BV1025,0))</f>
        <v>2</v>
      </c>
      <c r="AQ1025" s="52" t="n">
        <f aca="false">IF(CL1025&gt;0,CL1025*MAX(1,AO1025/X1025),IF(BW1025=1,IF(AO1025&lt;=0,0,CA1025*MAX(1,IF(H1025&gt;0,AO1025/H1025,1))),IF(R1025&gt;0,AP1025/R1025,0))/MAX(0.1,N(Parameter!$M$21)))</f>
        <v>0.0142857142857143</v>
      </c>
      <c r="AR1025" s="50" t="n">
        <f aca="false">AQ1025*BY1025</f>
        <v>2.21428571428571</v>
      </c>
      <c r="AS1025" s="50" t="n">
        <f aca="false">AO1025*G1025</f>
        <v>946.56</v>
      </c>
      <c r="AT1025" s="50" t="n">
        <f aca="false">ROUNDUP(MAX(J1025/IF(CD1025&gt;0,CD1025,MAX(0.1,N(Cockpit!$I$6))),CG1025)/BV1025,0)*BV1025</f>
        <v>34</v>
      </c>
      <c r="AU1025" s="51" t="n">
        <f aca="false">IF(AR1025&gt;0,J1025/AR1025,-1)</f>
        <v>9.03225806451613</v>
      </c>
      <c r="AV1025" s="51" t="n">
        <f aca="false">IF(AND(OR(CC1025="L1",CC1025="L23",CC1025="LIFT"),AR1025&gt;0),SUMIFS($AR$7:$AR$1843,$CC$7:$CC$1843,CC1025,$AU$7:$AU$1843,"&gt;"&amp;AU1025)+SUMIFS($AR$7:$AR$1843,$CC$7:$CC$1843,CC1025,$AU$7:$AU$1843,AU1025,$BT$7:$BT$1843,"&lt;="&amp;BT1025),"")</f>
        <v>4144.89606227106</v>
      </c>
      <c r="AW1025" s="58" t="n">
        <f aca="false">IF(AV1025="",0,MAX(0,MIN(1,(IF(CC1025="L1",Parameter!$H$5,IF(CC1025="L23",Parameter!$H$6+Parameter!$H$7,Parameter!$H$5+Parameter!$H$6+Parameter!$H$7))-(AV1025-AR1025))/AR1025)))</f>
        <v>1</v>
      </c>
      <c r="AX1025" s="50" t="n">
        <f aca="false">IF(LEFT(Cockpit!$O$5,1)="A",H1025,IF(CE1025=1,CF1025,IF(LEFT(Cockpit!$O$5,1)="B",BC1025,MAX(BC1025,H1025))))</f>
        <v>34</v>
      </c>
      <c r="AY1025" s="50" t="n">
        <f aca="false">IF(BW1025=1,0,ROUNDUP(AX1025/BV1025,0))</f>
        <v>2</v>
      </c>
      <c r="AZ1025" s="52" t="n">
        <f aca="false">IF(CL1025&gt;0,CL1025*MAX(1,AX1025/X1025),IF(BW1025=1,IF(AX1025&lt;=0,0,CA1025*MAX(1,IF(H1025&gt;0,AX1025/H1025,1))),IF(R1025&gt;0,AY1025/R1025,0))/MAX(0.1,N(Parameter!$M$21)))</f>
        <v>0.0142857142857143</v>
      </c>
      <c r="BA1025" s="50" t="n">
        <f aca="false">AZ1025*BY1025</f>
        <v>2.21428571428571</v>
      </c>
      <c r="BB1025" s="50" t="n">
        <f aca="false">AX1025*G1025</f>
        <v>946.56</v>
      </c>
      <c r="BC1025" s="50" t="n">
        <f aca="false">ROUNDUP(MAX(J1025/IF(CD1025&gt;0,CD1025,MAX(0.1,N(Cockpit!$O$6))),CG1025)/BV1025,0)*BV1025</f>
        <v>34</v>
      </c>
      <c r="BD1025" s="51" t="n">
        <f aca="false">IF(BA1025&gt;0,J1025/BA1025,-1)</f>
        <v>9.03225806451613</v>
      </c>
      <c r="BE1025" s="51" t="n">
        <f aca="false">IF(AND(OR(CC1025="L1",CC1025="L23",CC1025="LIFT"),BA1025&gt;0),SUMIFS($BA$7:$BA$1843,$CC$7:$CC$1843,CC1025,$BD$7:$BD$1843,"&gt;"&amp;BD1025)+SUMIFS($BA$7:$BA$1843,$CC$7:$CC$1843,CC1025,$BD$7:$BD$1843,BD1025,$BT$7:$BT$1843,"&lt;="&amp;BT1025),"")</f>
        <v>3803.02106227106</v>
      </c>
      <c r="BF1025" s="58" t="n">
        <f aca="false">IF(BE1025="",0,MAX(0,MIN(1,(IF(CC1025="L1",Parameter!$H$5,IF(CC1025="L23",Parameter!$H$6+Parameter!$H$7,Parameter!$H$5+Parameter!$H$6+Parameter!$H$7))-(BE1025-BA1025))/BA1025)))</f>
        <v>1</v>
      </c>
      <c r="BG1025" s="48" t="str">
        <f aca="false">IF(AI1025&lt;=0,"",IF(CC1025="Aussen","Aussenlager",IF(CC1025="-","Nicht im Lift",IF(AN1025&gt;=1,"Lift",IF(AN1025&lt;=0,"Aussenlager","teilweise")))))</f>
        <v>Lift</v>
      </c>
      <c r="BH1025" s="48" t="str">
        <f aca="false">IF(AR1025&lt;=0,"",IF(CC1025="Aussen","Aussenlager",IF(CC1025="-","Nicht im Lift",IF(AW1025&gt;=1,"Lift",IF(AW1025&lt;=0,"Aussenlager","teilweise")))))</f>
        <v>Lift</v>
      </c>
      <c r="BI1025" s="48" t="str">
        <f aca="false">IF(BA1025&lt;=0,"",IF(CC1025="Aussen","Aussenlager",IF(CC1025="-","Nicht im Lift",IF(BF1025&gt;=1,"Lift",IF(BF1025&lt;=0,"Aussenlager","teilweise")))))</f>
        <v>Lift</v>
      </c>
      <c r="BJ1025" s="48" t="str">
        <f aca="false">IF(A1025="","",IF(BS1025=1,"Neu; ","")&amp;IF(AND(BS1025=0,BN1025&lt;0),"negativer Bestand (Export "&amp;BN1025&amp;"); ","")&amp;IF(J1025&lt;=0,"Kein Verbrauch; ","")&amp;IF(CL1025&gt;0,"Lift "&amp;W1025&amp;" lt. Liftbericht (Fach "&amp;X1025&amp;" Stk); ",IF(BX1025=1,"Gebinde geschätzt ("&amp;T1025&amp;"); ",IF(BW1025=1,"Lose – Tablare geschätzt; ","")))&amp;IF(H1025&gt;AT1025,"Überbestand "&amp;ROUND(H1025-AT1025,0)&amp;" Stk / CHF "&amp;ROUND((H1025-AT1025)*G1025,0)&amp;"; ","")&amp;IF(AND(CE1025=1,CF1025&lt;CG1025),"MAX &lt; MB+LG; ","")&amp;IF(AND(CK1025&gt;0,CJ1025*10&gt;CK1025),"zu hoch für Tablar; ","")&amp;IF(AND(BS1025=0,OR(CE1025=1,AA1025&lt;&gt;"",U1025&lt;&gt;"",V1025&lt;&gt;"",AB1025&lt;&gt;"")),"manuell übersteuert; ","")&amp;IF(AND(BW1025=0,R1025=0),"Gebinde unbekannt / Stellmass fehlt; ","")&amp;IF(AND(BW1025=0,N(V1025)&lt;=0,N(Q1025)&lt;=0),"Menge pro Gebinde fehlt (Ist = 1 Gebinde); ","")&amp;BR1025)</f>
        <v>negativer Bestand (Export -4); </v>
      </c>
      <c r="BK1025" s="48"/>
      <c r="BL1025" s="48"/>
      <c r="BM1025" s="55"/>
      <c r="BN1025" s="50" t="n">
        <v>-4</v>
      </c>
      <c r="BO1025" s="50" t="n">
        <v>14</v>
      </c>
      <c r="BP1025" s="49" t="n">
        <v>-124.24</v>
      </c>
      <c r="BQ1025" s="50" t="n">
        <v>20</v>
      </c>
      <c r="BR1025" s="48"/>
      <c r="BS1025" s="53" t="n">
        <v>0</v>
      </c>
      <c r="BT1025" s="53" t="n">
        <v>1025</v>
      </c>
      <c r="BU1025" s="48" t="str">
        <f aca="false">IF(U1025&lt;&gt;"",UPPER(TRIM(U1025)),IF(BX1025=1,UPPER(VLOOKUP(T1025,Parameter!$I$27:$K$29,2,0)),IF(P1025="","LOSE",P1025)))</f>
        <v>S22</v>
      </c>
      <c r="BV1025" s="50" t="n">
        <f aca="false">IF(BU1025="LOSE",1,IF(N(V1025)&gt;0,V1025,IF(BX1025=1,MAX(1,N(VLOOKUP(T1025,Parameter!$I$27:$K$29,3,0)),H1025,N(N1025)),IF(N(Q1025)&gt;0,Q1025,MAX(1,H1025)))))</f>
        <v>17</v>
      </c>
      <c r="BW1025" s="53" t="n">
        <f aca="false">IF(BU1025="LOSE",1,0)</f>
        <v>0</v>
      </c>
      <c r="BX1025" s="53" t="n">
        <f aca="false">IF(AND(U1025="",OR(P1025="",P1025="LOSE"),T1025&lt;&gt;"",N(S1025)&lt;=0,ISNUMBER(MATCH(T1025,Parameter!$I$27:$I$29,0))),1,0)</f>
        <v>0</v>
      </c>
      <c r="BY1025" s="53" t="n">
        <f aca="false">IF(CL1025&gt;0,INDEX(Parameter!$H$5:$H$7,W1025)/INDEX(Parameter!$E$5:$E$7,W1025),IF(AND(BW1025=0,N(IFERROR(VLOOKUP(BU1025,'Gebinde-Kategorie'!$A$5:$N$45,14,0),0))&gt;0),VLOOKUP(BU1025,'Gebinde-Kategorie'!$A$5:$N$45,14,0)*10+Parameter!$M$23,Parameter!$M$24))</f>
        <v>155</v>
      </c>
      <c r="BZ1025" s="48" t="str">
        <f aca="false">IF(AND(Parameter!$B$19="Ja",E1025&lt;&gt;"",ISNUMBER(MATCH(E1025,Parameter!$I$35:$I$52,0))),VLOOKUP(E1025,Parameter!$I$35:$J$52,2,0),IFERROR(VLOOKUP(D1025,Parameter!$A$35:$C$64,2,0),"Nein"))</f>
        <v>2+3</v>
      </c>
      <c r="CA1025" s="52" t="n">
        <f aca="false">IF(BW1025=0,0,IF(N(S1025)&gt;0,S1025,IFERROR(VLOOKUP(D1025,Parameter!$A$35:$C$64,3,0)+0,0)))</f>
        <v>0</v>
      </c>
      <c r="CB1025" s="48" t="n">
        <f aca="false">IF(AA1025&lt;&gt;"",AA1025,Z1025)</f>
        <v>3</v>
      </c>
      <c r="CC1025" s="48" t="str">
        <f aca="false">IF(OR(CB1025=1,CB1025=2,CB1025=3),IF(Parameter!$E$27="Ja","LIFT",IF(CB1025=1,"L1","L23")),IF(CB1025="Aussen","Aussen","-"))</f>
        <v>LIFT</v>
      </c>
      <c r="CD1025" s="59" t="n">
        <f aca="false">IF(N(AB1025)&gt;0,AB1025,0)</f>
        <v>0</v>
      </c>
      <c r="CE1025" s="53" t="n">
        <f aca="false">IF(ISNUMBER(AE1025),1,0)</f>
        <v>0</v>
      </c>
      <c r="CF1025" s="50" t="n">
        <f aca="false">N(AE1025)</f>
        <v>0</v>
      </c>
      <c r="CG1025" s="50" t="n">
        <f aca="false">N(M1025)+N(N1025)</f>
        <v>21</v>
      </c>
      <c r="CH1025" s="50" t="n">
        <f aca="false">ROUNDUP(H1025/BV1025,0)</f>
        <v>1</v>
      </c>
      <c r="CI1025" s="50" t="n">
        <f aca="false">ROUNDUP(CF1025/BV1025,0)</f>
        <v>0</v>
      </c>
      <c r="CJ1025" s="53" t="n">
        <f aca="false">IF(BW1025=1,0,IFERROR(VLOOKUP(BU1025,'Gebinde-Kategorie'!$A$5:$N$45,5,0)+0,0))</f>
        <v>8</v>
      </c>
      <c r="CK1025" s="53" t="n">
        <f aca="false">IFERROR(IF(OR(CB1025=1,CB1025=2,CB1025=3),N(INDEX(Parameter!$I$5:$I$7,CB1025)),0),0)</f>
        <v>0</v>
      </c>
      <c r="CL1025" s="52" t="n">
        <f aca="false">IF(AND(Parameter!$B$21="Ja",ISNUMBER(W1025),N(X1025)&gt;0),IFERROR(N(INDEX(Parameter!$L$5:$L$7,W1025))*INDEX(Parameter!$E$5:$E$7,W1025)*X1025/SUMIFS($X$7:$X$1843,$W$7:$W$1843,W1025),0),0)</f>
        <v>0</v>
      </c>
    </row>
    <row r="1026" customFormat="false" ht="15" hidden="false" customHeight="false" outlineLevel="0" collapsed="false">
      <c r="A1026" s="48" t="s">
        <v>1890</v>
      </c>
      <c r="B1026" s="48" t="s">
        <v>1891</v>
      </c>
      <c r="C1026" s="48" t="s">
        <v>168</v>
      </c>
      <c r="D1026" s="48" t="s">
        <v>188</v>
      </c>
      <c r="E1026" s="48" t="s">
        <v>189</v>
      </c>
      <c r="F1026" s="48" t="s">
        <v>222</v>
      </c>
      <c r="G1026" s="49" t="n">
        <v>11.33</v>
      </c>
      <c r="H1026" s="50" t="n">
        <f aca="false">MAX(0,IF(AND(Parameter!$B$21="Ja",ISNUMBER(Y1026)),Y1026,IF(Parameter!$B$20="Jahresanfang 2025 + Export",BO1026+BN1026,BN1026)))</f>
        <v>4</v>
      </c>
      <c r="I1026" s="50" t="n">
        <f aca="false">H1026*G1026</f>
        <v>45.32</v>
      </c>
      <c r="J1026" s="50" t="n">
        <f aca="false">BQ1026*Parameter!$B$18</f>
        <v>6</v>
      </c>
      <c r="K1026" s="51" t="n">
        <v>12</v>
      </c>
      <c r="L1026" s="52" t="n">
        <v>0.5</v>
      </c>
      <c r="M1026" s="50" t="n">
        <v>0</v>
      </c>
      <c r="N1026" s="50" t="n">
        <v>5</v>
      </c>
      <c r="O1026" s="53" t="n">
        <v>35</v>
      </c>
      <c r="P1026" s="48" t="s">
        <v>425</v>
      </c>
      <c r="Q1026" s="50" t="n">
        <v>9</v>
      </c>
      <c r="R1026" s="53" t="n">
        <f aca="false">IF(BW1026=1,0,IFERROR(VLOOKUP(BU1026,'Gebinde-Kategorie'!$A$5:$N$45,13,0)+0,0))</f>
        <v>104</v>
      </c>
      <c r="S1026" s="54"/>
      <c r="T1026" s="55"/>
      <c r="U1026" s="55"/>
      <c r="V1026" s="55"/>
      <c r="W1026" s="48"/>
      <c r="X1026" s="50"/>
      <c r="Y1026" s="50"/>
      <c r="Z1026" s="48" t="n">
        <f aca="false">IF(A1026="","",IF(AND(Parameter!$B$21="Ja",ISNUMBER(W1026)),W1026,IF(BZ1026="2+3",IF(ISNUMBER(SEARCH("grosser Artikel",BR1026)),2,IFERROR(VLOOKUP(BU1026,Parameter!$F$35:$G$64,2,0),2)),IF(OR(BZ1026="Nein",BZ1026=""),"-",BZ1026))))</f>
        <v>3</v>
      </c>
      <c r="AA1026" s="55"/>
      <c r="AB1026" s="56"/>
      <c r="AC1026" s="50" t="n">
        <f aca="false">AT1026</f>
        <v>9</v>
      </c>
      <c r="AD1026" s="50" t="n">
        <f aca="false">MAX(AT1026,H1026)</f>
        <v>9</v>
      </c>
      <c r="AE1026" s="57"/>
      <c r="AF1026" s="50" t="n">
        <f aca="false">IF(LEFT(Cockpit!$C$5,1)="A",H1026,IF(CE1026=1,CF1026,IF(LEFT(Cockpit!$C$5,1)="B",AK1026,MAX(AK1026,H1026))))</f>
        <v>4</v>
      </c>
      <c r="AG1026" s="50" t="n">
        <f aca="false">IF(BW1026=1,0,ROUNDUP(AF1026/BV1026,0))</f>
        <v>1</v>
      </c>
      <c r="AH1026" s="52" t="n">
        <f aca="false">IF(CL1026&gt;0,CL1026*MAX(1,AF1026/X1026),IF(BW1026=1,IF(AF1026&lt;=0,0,CA1026*MAX(1,IF(H1026&gt;0,AF1026/H1026,1))),IF(R1026&gt;0,AG1026/R1026,0))/MAX(0.1,N(Parameter!$M$21)))</f>
        <v>0.00961538461538462</v>
      </c>
      <c r="AI1026" s="50" t="n">
        <f aca="false">AH1026*BY1026</f>
        <v>1.49038461538462</v>
      </c>
      <c r="AJ1026" s="50" t="n">
        <f aca="false">AF1026*G1026</f>
        <v>45.32</v>
      </c>
      <c r="AK1026" s="50" t="n">
        <f aca="false">ROUNDUP(MAX(J1026/IF(CD1026&gt;0,CD1026,MAX(0.1,N(Cockpit!$C$6))),CG1026)/BV1026,0)*BV1026</f>
        <v>9</v>
      </c>
      <c r="AL1026" s="51" t="n">
        <f aca="false">IF(AI1026&gt;0,J1026/AI1026,-1)</f>
        <v>4.0258064516129</v>
      </c>
      <c r="AM1026" s="51" t="n">
        <f aca="false">IF(AND(OR(CC1026="L1",CC1026="L23",CC1026="LIFT"),AI1026&gt;0),SUMIFS($AI$7:$AI$1843,$CC$7:$CC$1843,CC1026,$AL$7:$AL$1843,"&gt;"&amp;AL1026)+SUMIFS($AI$7:$AI$1843,$CC$7:$CC$1843,CC1026,$AL$7:$AL$1843,AL1026,$BT$7:$BT$1843,"&lt;="&amp;BT1026),"")</f>
        <v>4357.19871794872</v>
      </c>
      <c r="AN1026" s="58" t="n">
        <f aca="false">IF(AM1026="",0,MAX(0,MIN(1,(IF(CC1026="L1",Parameter!$H$5,IF(CC1026="L23",Parameter!$H$6+Parameter!$H$7,Parameter!$H$5+Parameter!$H$6+Parameter!$H$7))-(AM1026-AI1026))/AI1026)))</f>
        <v>1</v>
      </c>
      <c r="AO1026" s="50" t="n">
        <f aca="false">IF(LEFT(Cockpit!$I$5,1)="A",H1026,IF(CE1026=1,CF1026,IF(LEFT(Cockpit!$I$5,1)="B",AT1026,MAX(AT1026,H1026))))</f>
        <v>9</v>
      </c>
      <c r="AP1026" s="50" t="n">
        <f aca="false">IF(BW1026=1,0,ROUNDUP(AO1026/BV1026,0))</f>
        <v>1</v>
      </c>
      <c r="AQ1026" s="52" t="n">
        <f aca="false">IF(CL1026&gt;0,CL1026*MAX(1,AO1026/X1026),IF(BW1026=1,IF(AO1026&lt;=0,0,CA1026*MAX(1,IF(H1026&gt;0,AO1026/H1026,1))),IF(R1026&gt;0,AP1026/R1026,0))/MAX(0.1,N(Parameter!$M$21)))</f>
        <v>0.00961538461538462</v>
      </c>
      <c r="AR1026" s="50" t="n">
        <f aca="false">AQ1026*BY1026</f>
        <v>1.49038461538462</v>
      </c>
      <c r="AS1026" s="50" t="n">
        <f aca="false">AO1026*G1026</f>
        <v>101.97</v>
      </c>
      <c r="AT1026" s="50" t="n">
        <f aca="false">ROUNDUP(MAX(J1026/IF(CD1026&gt;0,CD1026,MAX(0.1,N(Cockpit!$I$6))),CG1026)/BV1026,0)*BV1026</f>
        <v>9</v>
      </c>
      <c r="AU1026" s="51" t="n">
        <f aca="false">IF(AR1026&gt;0,J1026/AR1026,-1)</f>
        <v>4.0258064516129</v>
      </c>
      <c r="AV1026" s="51" t="n">
        <f aca="false">IF(AND(OR(CC1026="L1",CC1026="L23",CC1026="LIFT"),AR1026&gt;0),SUMIFS($AR$7:$AR$1843,$CC$7:$CC$1843,CC1026,$AU$7:$AU$1843,"&gt;"&amp;AU1026)+SUMIFS($AR$7:$AR$1843,$CC$7:$CC$1843,CC1026,$AU$7:$AU$1843,AU1026,$BT$7:$BT$1843,"&lt;="&amp;BT1026),"")</f>
        <v>5599.73946886447</v>
      </c>
      <c r="AW1026" s="58" t="n">
        <f aca="false">IF(AV1026="",0,MAX(0,MIN(1,(IF(CC1026="L1",Parameter!$H$5,IF(CC1026="L23",Parameter!$H$6+Parameter!$H$7,Parameter!$H$5+Parameter!$H$6+Parameter!$H$7))-(AV1026-AR1026))/AR1026)))</f>
        <v>1</v>
      </c>
      <c r="AX1026" s="50" t="n">
        <f aca="false">IF(LEFT(Cockpit!$O$5,1)="A",H1026,IF(CE1026=1,CF1026,IF(LEFT(Cockpit!$O$5,1)="B",BC1026,MAX(BC1026,H1026))))</f>
        <v>9</v>
      </c>
      <c r="AY1026" s="50" t="n">
        <f aca="false">IF(BW1026=1,0,ROUNDUP(AX1026/BV1026,0))</f>
        <v>1</v>
      </c>
      <c r="AZ1026" s="52" t="n">
        <f aca="false">IF(CL1026&gt;0,CL1026*MAX(1,AX1026/X1026),IF(BW1026=1,IF(AX1026&lt;=0,0,CA1026*MAX(1,IF(H1026&gt;0,AX1026/H1026,1))),IF(R1026&gt;0,AY1026/R1026,0))/MAX(0.1,N(Parameter!$M$21)))</f>
        <v>0.00961538461538462</v>
      </c>
      <c r="BA1026" s="50" t="n">
        <f aca="false">AZ1026*BY1026</f>
        <v>1.49038461538462</v>
      </c>
      <c r="BB1026" s="50" t="n">
        <f aca="false">AX1026*G1026</f>
        <v>101.97</v>
      </c>
      <c r="BC1026" s="50" t="n">
        <f aca="false">ROUNDUP(MAX(J1026/IF(CD1026&gt;0,CD1026,MAX(0.1,N(Cockpit!$O$6))),CG1026)/BV1026,0)*BV1026</f>
        <v>9</v>
      </c>
      <c r="BD1026" s="51" t="n">
        <f aca="false">IF(BA1026&gt;0,J1026/BA1026,-1)</f>
        <v>4.0258064516129</v>
      </c>
      <c r="BE1026" s="51" t="n">
        <f aca="false">IF(AND(OR(CC1026="L1",CC1026="L23",CC1026="LIFT"),BA1026&gt;0),SUMIFS($BA$7:$BA$1843,$CC$7:$CC$1843,CC1026,$BD$7:$BD$1843,"&gt;"&amp;BD1026)+SUMIFS($BA$7:$BA$1843,$CC$7:$CC$1843,CC1026,$BD$7:$BD$1843,BD1026,$BT$7:$BT$1843,"&lt;="&amp;BT1026),"")</f>
        <v>5287.60805860806</v>
      </c>
      <c r="BF1026" s="58" t="n">
        <f aca="false">IF(BE1026="",0,MAX(0,MIN(1,(IF(CC1026="L1",Parameter!$H$5,IF(CC1026="L23",Parameter!$H$6+Parameter!$H$7,Parameter!$H$5+Parameter!$H$6+Parameter!$H$7))-(BE1026-BA1026))/BA1026)))</f>
        <v>1</v>
      </c>
      <c r="BG1026" s="48" t="str">
        <f aca="false">IF(AI1026&lt;=0,"",IF(CC1026="Aussen","Aussenlager",IF(CC1026="-","Nicht im Lift",IF(AN1026&gt;=1,"Lift",IF(AN1026&lt;=0,"Aussenlager","teilweise")))))</f>
        <v>Lift</v>
      </c>
      <c r="BH1026" s="48" t="str">
        <f aca="false">IF(AR1026&lt;=0,"",IF(CC1026="Aussen","Aussenlager",IF(CC1026="-","Nicht im Lift",IF(AW1026&gt;=1,"Lift",IF(AW1026&lt;=0,"Aussenlager","teilweise")))))</f>
        <v>Lift</v>
      </c>
      <c r="BI1026" s="48" t="str">
        <f aca="false">IF(BA1026&lt;=0,"",IF(CC1026="Aussen","Aussenlager",IF(CC1026="-","Nicht im Lift",IF(BF1026&gt;=1,"Lift",IF(BF1026&lt;=0,"Aussenlager","teilweise")))))</f>
        <v>Lift</v>
      </c>
      <c r="BJ1026" s="48" t="str">
        <f aca="false">IF(A1026="","",IF(BS1026=1,"Neu; ","")&amp;IF(AND(BS1026=0,BN1026&lt;0),"negativer Bestand (Export "&amp;BN1026&amp;"); ","")&amp;IF(J1026&lt;=0,"Kein Verbrauch; ","")&amp;IF(CL1026&gt;0,"Lift "&amp;W1026&amp;" lt. Liftbericht (Fach "&amp;X1026&amp;" Stk); ",IF(BX1026=1,"Gebinde geschätzt ("&amp;T1026&amp;"); ",IF(BW1026=1,"Lose – Tablare geschätzt; ","")))&amp;IF(H1026&gt;AT1026,"Überbestand "&amp;ROUND(H1026-AT1026,0)&amp;" Stk / CHF "&amp;ROUND((H1026-AT1026)*G1026,0)&amp;"; ","")&amp;IF(AND(CE1026=1,CF1026&lt;CG1026),"MAX &lt; MB+LG; ","")&amp;IF(AND(CK1026&gt;0,CJ1026*10&gt;CK1026),"zu hoch für Tablar; ","")&amp;IF(AND(BS1026=0,OR(CE1026=1,AA1026&lt;&gt;"",U1026&lt;&gt;"",V1026&lt;&gt;"",AB1026&lt;&gt;"")),"manuell übersteuert; ","")&amp;IF(AND(BW1026=0,R1026=0),"Gebinde unbekannt / Stellmass fehlt; ","")&amp;IF(AND(BW1026=0,N(V1026)&lt;=0,N(Q1026)&lt;=0),"Menge pro Gebinde fehlt (Ist = 1 Gebinde); ","")&amp;BR1026)</f>
        <v>negativer Bestand (Export -11); </v>
      </c>
      <c r="BK1026" s="48"/>
      <c r="BL1026" s="48"/>
      <c r="BM1026" s="55"/>
      <c r="BN1026" s="50" t="n">
        <v>-11</v>
      </c>
      <c r="BO1026" s="50" t="n">
        <v>15</v>
      </c>
      <c r="BP1026" s="49" t="n">
        <v>-124.63</v>
      </c>
      <c r="BQ1026" s="50" t="n">
        <v>6</v>
      </c>
      <c r="BR1026" s="48"/>
      <c r="BS1026" s="53" t="n">
        <v>0</v>
      </c>
      <c r="BT1026" s="53" t="n">
        <v>1026</v>
      </c>
      <c r="BU1026" s="48" t="str">
        <f aca="false">IF(U1026&lt;&gt;"",UPPER(TRIM(U1026)),IF(BX1026=1,UPPER(VLOOKUP(T1026,Parameter!$I$27:$K$29,2,0)),IF(P1026="","LOSE",P1026)))</f>
        <v>S32</v>
      </c>
      <c r="BV1026" s="50" t="n">
        <f aca="false">IF(BU1026="LOSE",1,IF(N(V1026)&gt;0,V1026,IF(BX1026=1,MAX(1,N(VLOOKUP(T1026,Parameter!$I$27:$K$29,3,0)),H1026,N(N1026)),IF(N(Q1026)&gt;0,Q1026,MAX(1,H1026)))))</f>
        <v>9</v>
      </c>
      <c r="BW1026" s="53" t="n">
        <f aca="false">IF(BU1026="LOSE",1,0)</f>
        <v>0</v>
      </c>
      <c r="BX1026" s="53" t="n">
        <f aca="false">IF(AND(U1026="",OR(P1026="",P1026="LOSE"),T1026&lt;&gt;"",N(S1026)&lt;=0,ISNUMBER(MATCH(T1026,Parameter!$I$27:$I$29,0))),1,0)</f>
        <v>0</v>
      </c>
      <c r="BY1026" s="53" t="n">
        <f aca="false">IF(CL1026&gt;0,INDEX(Parameter!$H$5:$H$7,W1026)/INDEX(Parameter!$E$5:$E$7,W1026),IF(AND(BW1026=0,N(IFERROR(VLOOKUP(BU1026,'Gebinde-Kategorie'!$A$5:$N$45,14,0),0))&gt;0),VLOOKUP(BU1026,'Gebinde-Kategorie'!$A$5:$N$45,14,0)*10+Parameter!$M$23,Parameter!$M$24))</f>
        <v>155</v>
      </c>
      <c r="BZ1026" s="48" t="str">
        <f aca="false">IF(AND(Parameter!$B$19="Ja",E1026&lt;&gt;"",ISNUMBER(MATCH(E1026,Parameter!$I$35:$I$52,0))),VLOOKUP(E1026,Parameter!$I$35:$J$52,2,0),IFERROR(VLOOKUP(D1026,Parameter!$A$35:$C$64,2,0),"Nein"))</f>
        <v>2+3</v>
      </c>
      <c r="CA1026" s="52" t="n">
        <f aca="false">IF(BW1026=0,0,IF(N(S1026)&gt;0,S1026,IFERROR(VLOOKUP(D1026,Parameter!$A$35:$C$64,3,0)+0,0)))</f>
        <v>0</v>
      </c>
      <c r="CB1026" s="48" t="n">
        <f aca="false">IF(AA1026&lt;&gt;"",AA1026,Z1026)</f>
        <v>3</v>
      </c>
      <c r="CC1026" s="48" t="str">
        <f aca="false">IF(OR(CB1026=1,CB1026=2,CB1026=3),IF(Parameter!$E$27="Ja","LIFT",IF(CB1026=1,"L1","L23")),IF(CB1026="Aussen","Aussen","-"))</f>
        <v>LIFT</v>
      </c>
      <c r="CD1026" s="59" t="n">
        <f aca="false">IF(N(AB1026)&gt;0,AB1026,0)</f>
        <v>0</v>
      </c>
      <c r="CE1026" s="53" t="n">
        <f aca="false">IF(ISNUMBER(AE1026),1,0)</f>
        <v>0</v>
      </c>
      <c r="CF1026" s="50" t="n">
        <f aca="false">N(AE1026)</f>
        <v>0</v>
      </c>
      <c r="CG1026" s="50" t="n">
        <f aca="false">N(M1026)+N(N1026)</f>
        <v>5</v>
      </c>
      <c r="CH1026" s="50" t="n">
        <f aca="false">ROUNDUP(H1026/BV1026,0)</f>
        <v>1</v>
      </c>
      <c r="CI1026" s="50" t="n">
        <f aca="false">ROUNDUP(CF1026/BV1026,0)</f>
        <v>0</v>
      </c>
      <c r="CJ1026" s="53" t="n">
        <f aca="false">IF(BW1026=1,0,IFERROR(VLOOKUP(BU1026,'Gebinde-Kategorie'!$A$5:$N$45,5,0)+0,0))</f>
        <v>8</v>
      </c>
      <c r="CK1026" s="53" t="n">
        <f aca="false">IFERROR(IF(OR(CB1026=1,CB1026=2,CB1026=3),N(INDEX(Parameter!$I$5:$I$7,CB1026)),0),0)</f>
        <v>0</v>
      </c>
      <c r="CL1026" s="52" t="n">
        <f aca="false">IF(AND(Parameter!$B$21="Ja",ISNUMBER(W1026),N(X1026)&gt;0),IFERROR(N(INDEX(Parameter!$L$5:$L$7,W1026))*INDEX(Parameter!$E$5:$E$7,W1026)*X1026/SUMIFS($X$7:$X$1843,$W$7:$W$1843,W1026),0),0)</f>
        <v>0</v>
      </c>
    </row>
    <row r="1027" customFormat="false" ht="15" hidden="false" customHeight="false" outlineLevel="0" collapsed="false">
      <c r="A1027" s="48" t="s">
        <v>1892</v>
      </c>
      <c r="B1027" s="48" t="s">
        <v>1893</v>
      </c>
      <c r="C1027" s="48" t="s">
        <v>168</v>
      </c>
      <c r="D1027" s="48" t="s">
        <v>188</v>
      </c>
      <c r="E1027" s="48"/>
      <c r="F1027" s="48" t="s">
        <v>222</v>
      </c>
      <c r="G1027" s="49" t="n">
        <v>125</v>
      </c>
      <c r="H1027" s="50" t="n">
        <f aca="false">MAX(0,IF(AND(Parameter!$B$21="Ja",ISNUMBER(Y1027)),Y1027,IF(Parameter!$B$20="Jahresanfang 2025 + Export",BO1027+BN1027,BN1027)))</f>
        <v>10</v>
      </c>
      <c r="I1027" s="50" t="n">
        <f aca="false">H1027*G1027</f>
        <v>1250</v>
      </c>
      <c r="J1027" s="50" t="n">
        <f aca="false">BQ1027*Parameter!$B$18</f>
        <v>0</v>
      </c>
      <c r="K1027" s="51" t="n">
        <v>11</v>
      </c>
      <c r="L1027" s="52" t="n">
        <v>0</v>
      </c>
      <c r="M1027" s="50" t="n">
        <v>0</v>
      </c>
      <c r="N1027" s="50" t="n">
        <v>1</v>
      </c>
      <c r="O1027" s="53" t="n">
        <v>35</v>
      </c>
      <c r="P1027" s="48" t="s">
        <v>297</v>
      </c>
      <c r="Q1027" s="50" t="n">
        <v>15</v>
      </c>
      <c r="R1027" s="53" t="n">
        <f aca="false">IF(BW1027=1,0,IFERROR(VLOOKUP(BU1027,'Gebinde-Kategorie'!$A$5:$N$45,13,0)+0,0))</f>
        <v>12</v>
      </c>
      <c r="S1027" s="54"/>
      <c r="T1027" s="55"/>
      <c r="U1027" s="55"/>
      <c r="V1027" s="55"/>
      <c r="W1027" s="48"/>
      <c r="X1027" s="50"/>
      <c r="Y1027" s="50"/>
      <c r="Z1027" s="48" t="n">
        <f aca="false">IF(A1027="","",IF(AND(Parameter!$B$21="Ja",ISNUMBER(W1027)),W1027,IF(BZ1027="2+3",IF(ISNUMBER(SEARCH("grosser Artikel",BR1027)),2,IFERROR(VLOOKUP(BU1027,Parameter!$F$35:$G$64,2,0),2)),IF(OR(BZ1027="Nein",BZ1027=""),"-",BZ1027))))</f>
        <v>2</v>
      </c>
      <c r="AA1027" s="55"/>
      <c r="AB1027" s="56"/>
      <c r="AC1027" s="50" t="n">
        <f aca="false">AT1027</f>
        <v>15</v>
      </c>
      <c r="AD1027" s="50" t="n">
        <f aca="false">MAX(AT1027,H1027)</f>
        <v>15</v>
      </c>
      <c r="AE1027" s="57"/>
      <c r="AF1027" s="50" t="n">
        <f aca="false">IF(LEFT(Cockpit!$C$5,1)="A",H1027,IF(CE1027=1,CF1027,IF(LEFT(Cockpit!$C$5,1)="B",AK1027,MAX(AK1027,H1027))))</f>
        <v>10</v>
      </c>
      <c r="AG1027" s="50" t="n">
        <f aca="false">IF(BW1027=1,0,ROUNDUP(AF1027/BV1027,0))</f>
        <v>1</v>
      </c>
      <c r="AH1027" s="52" t="n">
        <f aca="false">IF(CL1027&gt;0,CL1027*MAX(1,AF1027/X1027),IF(BW1027=1,IF(AF1027&lt;=0,0,CA1027*MAX(1,IF(H1027&gt;0,AF1027/H1027,1))),IF(R1027&gt;0,AG1027/R1027,0))/MAX(0.1,N(Parameter!$M$21)))</f>
        <v>0.0833333333333333</v>
      </c>
      <c r="AI1027" s="50" t="n">
        <f aca="false">AH1027*BY1027</f>
        <v>20.4166666666667</v>
      </c>
      <c r="AJ1027" s="50" t="n">
        <f aca="false">AF1027*G1027</f>
        <v>1250</v>
      </c>
      <c r="AK1027" s="50" t="n">
        <f aca="false">ROUNDUP(MAX(J1027/IF(CD1027&gt;0,CD1027,MAX(0.1,N(Cockpit!$C$6))),CG1027)/BV1027,0)*BV1027</f>
        <v>15</v>
      </c>
      <c r="AL1027" s="51" t="n">
        <f aca="false">IF(AI1027&gt;0,J1027/AI1027,-1)</f>
        <v>0</v>
      </c>
      <c r="AM1027" s="51" t="n">
        <f aca="false">IF(AND(OR(CC1027="L1",CC1027="L23",CC1027="LIFT"),AI1027&gt;0),SUMIFS($AI$7:$AI$1843,$CC$7:$CC$1843,CC1027,$AL$7:$AL$1843,"&gt;"&amp;AL1027)+SUMIFS($AI$7:$AI$1843,$CC$7:$CC$1843,CC1027,$AL$7:$AL$1843,AL1027,$BT$7:$BT$1843,"&lt;="&amp;BT1027),"")</f>
        <v>29036.4800216262</v>
      </c>
      <c r="AN1027" s="58" t="n">
        <f aca="false">IF(AM1027="",0,MAX(0,MIN(1,(IF(CC1027="L1",Parameter!$H$5,IF(CC1027="L23",Parameter!$H$6+Parameter!$H$7,Parameter!$H$5+Parameter!$H$6+Parameter!$H$7))-(AM1027-AI1027))/AI1027)))</f>
        <v>1</v>
      </c>
      <c r="AO1027" s="50" t="n">
        <f aca="false">IF(LEFT(Cockpit!$I$5,1)="A",H1027,IF(CE1027=1,CF1027,IF(LEFT(Cockpit!$I$5,1)="B",AT1027,MAX(AT1027,H1027))))</f>
        <v>15</v>
      </c>
      <c r="AP1027" s="50" t="n">
        <f aca="false">IF(BW1027=1,0,ROUNDUP(AO1027/BV1027,0))</f>
        <v>1</v>
      </c>
      <c r="AQ1027" s="52" t="n">
        <f aca="false">IF(CL1027&gt;0,CL1027*MAX(1,AO1027/X1027),IF(BW1027=1,IF(AO1027&lt;=0,0,CA1027*MAX(1,IF(H1027&gt;0,AO1027/H1027,1))),IF(R1027&gt;0,AP1027/R1027,0))/MAX(0.1,N(Parameter!$M$21)))</f>
        <v>0.0833333333333333</v>
      </c>
      <c r="AR1027" s="50" t="n">
        <f aca="false">AQ1027*BY1027</f>
        <v>20.4166666666667</v>
      </c>
      <c r="AS1027" s="50" t="n">
        <f aca="false">AO1027*G1027</f>
        <v>1875</v>
      </c>
      <c r="AT1027" s="50" t="n">
        <f aca="false">ROUNDUP(MAX(J1027/IF(CD1027&gt;0,CD1027,MAX(0.1,N(Cockpit!$I$6))),CG1027)/BV1027,0)*BV1027</f>
        <v>15</v>
      </c>
      <c r="AU1027" s="51" t="n">
        <f aca="false">IF(AR1027&gt;0,J1027/AR1027,-1)</f>
        <v>0</v>
      </c>
      <c r="AV1027" s="51" t="n">
        <f aca="false">IF(AND(OR(CC1027="L1",CC1027="L23",CC1027="LIFT"),AR1027&gt;0),SUMIFS($AR$7:$AR$1843,$CC$7:$CC$1843,CC1027,$AU$7:$AU$1843,"&gt;"&amp;AU1027)+SUMIFS($AR$7:$AR$1843,$CC$7:$CC$1843,CC1027,$AU$7:$AU$1843,AU1027,$BT$7:$BT$1843,"&lt;="&amp;BT1027),"")</f>
        <v>40703.6337073943</v>
      </c>
      <c r="AW1027" s="58" t="n">
        <f aca="false">IF(AV1027="",0,MAX(0,MIN(1,(IF(CC1027="L1",Parameter!$H$5,IF(CC1027="L23",Parameter!$H$6+Parameter!$H$7,Parameter!$H$5+Parameter!$H$6+Parameter!$H$7))-(AV1027-AR1027))/AR1027)))</f>
        <v>0</v>
      </c>
      <c r="AX1027" s="50" t="n">
        <f aca="false">IF(LEFT(Cockpit!$O$5,1)="A",H1027,IF(CE1027=1,CF1027,IF(LEFT(Cockpit!$O$5,1)="B",BC1027,MAX(BC1027,H1027))))</f>
        <v>15</v>
      </c>
      <c r="AY1027" s="50" t="n">
        <f aca="false">IF(BW1027=1,0,ROUNDUP(AX1027/BV1027,0))</f>
        <v>1</v>
      </c>
      <c r="AZ1027" s="52" t="n">
        <f aca="false">IF(CL1027&gt;0,CL1027*MAX(1,AX1027/X1027),IF(BW1027=1,IF(AX1027&lt;=0,0,CA1027*MAX(1,IF(H1027&gt;0,AX1027/H1027,1))),IF(R1027&gt;0,AY1027/R1027,0))/MAX(0.1,N(Parameter!$M$21)))</f>
        <v>0.0833333333333333</v>
      </c>
      <c r="BA1027" s="50" t="n">
        <f aca="false">AZ1027*BY1027</f>
        <v>20.4166666666667</v>
      </c>
      <c r="BB1027" s="50" t="n">
        <f aca="false">AX1027*G1027</f>
        <v>1875</v>
      </c>
      <c r="BC1027" s="50" t="n">
        <f aca="false">ROUNDUP(MAX(J1027/IF(CD1027&gt;0,CD1027,MAX(0.1,N(Cockpit!$O$6))),CG1027)/BV1027,0)*BV1027</f>
        <v>15</v>
      </c>
      <c r="BD1027" s="51" t="n">
        <f aca="false">IF(BA1027&gt;0,J1027/BA1027,-1)</f>
        <v>0</v>
      </c>
      <c r="BE1027" s="51" t="n">
        <f aca="false">IF(AND(OR(CC1027="L1",CC1027="L23",CC1027="LIFT"),BA1027&gt;0),SUMIFS($BA$7:$BA$1843,$CC$7:$CC$1843,CC1027,$BD$7:$BD$1843,"&gt;"&amp;BD1027)+SUMIFS($BA$7:$BA$1843,$CC$7:$CC$1843,CC1027,$BD$7:$BD$1843,BD1027,$BT$7:$BT$1843,"&lt;="&amp;BT1027),"")</f>
        <v>37378.6457492602</v>
      </c>
      <c r="BF1027" s="58" t="n">
        <f aca="false">IF(BE1027="",0,MAX(0,MIN(1,(IF(CC1027="L1",Parameter!$H$5,IF(CC1027="L23",Parameter!$H$6+Parameter!$H$7,Parameter!$H$5+Parameter!$H$6+Parameter!$H$7))-(BE1027-BA1027))/BA1027)))</f>
        <v>0</v>
      </c>
      <c r="BG1027" s="48" t="str">
        <f aca="false">IF(AI1027&lt;=0,"",IF(CC1027="Aussen","Aussenlager",IF(CC1027="-","Nicht im Lift",IF(AN1027&gt;=1,"Lift",IF(AN1027&lt;=0,"Aussenlager","teilweise")))))</f>
        <v>Lift</v>
      </c>
      <c r="BH1027" s="48" t="str">
        <f aca="false">IF(AR1027&lt;=0,"",IF(CC1027="Aussen","Aussenlager",IF(CC1027="-","Nicht im Lift",IF(AW1027&gt;=1,"Lift",IF(AW1027&lt;=0,"Aussenlager","teilweise")))))</f>
        <v>Aussenlager</v>
      </c>
      <c r="BI1027" s="48" t="str">
        <f aca="false">IF(BA1027&lt;=0,"",IF(CC1027="Aussen","Aussenlager",IF(CC1027="-","Nicht im Lift",IF(BF1027&gt;=1,"Lift",IF(BF1027&lt;=0,"Aussenlager","teilweise")))))</f>
        <v>Aussenlager</v>
      </c>
      <c r="BJ1027" s="48" t="str">
        <f aca="false">IF(A1027="","",IF(BS1027=1,"Neu; ","")&amp;IF(AND(BS1027=0,BN1027&lt;0),"negativer Bestand (Export "&amp;BN1027&amp;"); ","")&amp;IF(J1027&lt;=0,"Kein Verbrauch; ","")&amp;IF(CL1027&gt;0,"Lift "&amp;W1027&amp;" lt. Liftbericht (Fach "&amp;X1027&amp;" Stk); ",IF(BX1027=1,"Gebinde geschätzt ("&amp;T1027&amp;"); ",IF(BW1027=1,"Lose – Tablare geschätzt; ","")))&amp;IF(H1027&gt;AT1027,"Überbestand "&amp;ROUND(H1027-AT1027,0)&amp;" Stk / CHF "&amp;ROUND((H1027-AT1027)*G1027,0)&amp;"; ","")&amp;IF(AND(CE1027=1,CF1027&lt;CG1027),"MAX &lt; MB+LG; ","")&amp;IF(AND(CK1027&gt;0,CJ1027*10&gt;CK1027),"zu hoch für Tablar; ","")&amp;IF(AND(BS1027=0,OR(CE1027=1,AA1027&lt;&gt;"",U1027&lt;&gt;"",V1027&lt;&gt;"",AB1027&lt;&gt;"")),"manuell übersteuert; ","")&amp;IF(AND(BW1027=0,R1027=0),"Gebinde unbekannt / Stellmass fehlt; ","")&amp;IF(AND(BW1027=0,N(V1027)&lt;=0,N(Q1027)&lt;=0),"Menge pro Gebinde fehlt (Ist = 1 Gebinde); ","")&amp;BR1027)</f>
        <v>negativer Bestand (Export -1); Kein Verbrauch; </v>
      </c>
      <c r="BK1027" s="48"/>
      <c r="BL1027" s="48"/>
      <c r="BM1027" s="55"/>
      <c r="BN1027" s="50" t="n">
        <v>-1</v>
      </c>
      <c r="BO1027" s="50" t="n">
        <v>11</v>
      </c>
      <c r="BP1027" s="49" t="n">
        <v>-125</v>
      </c>
      <c r="BQ1027" s="50" t="n">
        <v>0</v>
      </c>
      <c r="BR1027" s="48"/>
      <c r="BS1027" s="53" t="n">
        <v>0</v>
      </c>
      <c r="BT1027" s="53" t="n">
        <v>1027</v>
      </c>
      <c r="BU1027" s="48" t="str">
        <f aca="false">IF(U1027&lt;&gt;"",UPPER(TRIM(U1027)),IF(BX1027=1,UPPER(VLOOKUP(T1027,Parameter!$I$27:$K$29,2,0)),IF(P1027="","LOSE",P1027)))</f>
        <v>S62</v>
      </c>
      <c r="BV1027" s="50" t="n">
        <f aca="false">IF(BU1027="LOSE",1,IF(N(V1027)&gt;0,V1027,IF(BX1027=1,MAX(1,N(VLOOKUP(T1027,Parameter!$I$27:$K$29,3,0)),H1027,N(N1027)),IF(N(Q1027)&gt;0,Q1027,MAX(1,H1027)))))</f>
        <v>15</v>
      </c>
      <c r="BW1027" s="53" t="n">
        <f aca="false">IF(BU1027="LOSE",1,0)</f>
        <v>0</v>
      </c>
      <c r="BX1027" s="53" t="n">
        <f aca="false">IF(AND(U1027="",OR(P1027="",P1027="LOSE"),T1027&lt;&gt;"",N(S1027)&lt;=0,ISNUMBER(MATCH(T1027,Parameter!$I$27:$I$29,0))),1,0)</f>
        <v>0</v>
      </c>
      <c r="BY1027" s="53" t="n">
        <f aca="false">IF(CL1027&gt;0,INDEX(Parameter!$H$5:$H$7,W1027)/INDEX(Parameter!$E$5:$E$7,W1027),IF(AND(BW1027=0,N(IFERROR(VLOOKUP(BU1027,'Gebinde-Kategorie'!$A$5:$N$45,14,0),0))&gt;0),VLOOKUP(BU1027,'Gebinde-Kategorie'!$A$5:$N$45,14,0)*10+Parameter!$M$23,Parameter!$M$24))</f>
        <v>245</v>
      </c>
      <c r="BZ1027" s="48" t="str">
        <f aca="false">IF(AND(Parameter!$B$19="Ja",E1027&lt;&gt;"",ISNUMBER(MATCH(E1027,Parameter!$I$35:$I$52,0))),VLOOKUP(E1027,Parameter!$I$35:$J$52,2,0),IFERROR(VLOOKUP(D1027,Parameter!$A$35:$C$64,2,0),"Nein"))</f>
        <v>2+3</v>
      </c>
      <c r="CA1027" s="52" t="n">
        <f aca="false">IF(BW1027=0,0,IF(N(S1027)&gt;0,S1027,IFERROR(VLOOKUP(D1027,Parameter!$A$35:$C$64,3,0)+0,0)))</f>
        <v>0</v>
      </c>
      <c r="CB1027" s="48" t="n">
        <f aca="false">IF(AA1027&lt;&gt;"",AA1027,Z1027)</f>
        <v>2</v>
      </c>
      <c r="CC1027" s="48" t="str">
        <f aca="false">IF(OR(CB1027=1,CB1027=2,CB1027=3),IF(Parameter!$E$27="Ja","LIFT",IF(CB1027=1,"L1","L23")),IF(CB1027="Aussen","Aussen","-"))</f>
        <v>LIFT</v>
      </c>
      <c r="CD1027" s="59" t="n">
        <f aca="false">IF(N(AB1027)&gt;0,AB1027,0)</f>
        <v>0</v>
      </c>
      <c r="CE1027" s="53" t="n">
        <f aca="false">IF(ISNUMBER(AE1027),1,0)</f>
        <v>0</v>
      </c>
      <c r="CF1027" s="50" t="n">
        <f aca="false">N(AE1027)</f>
        <v>0</v>
      </c>
      <c r="CG1027" s="50" t="n">
        <f aca="false">N(M1027)+N(N1027)</f>
        <v>1</v>
      </c>
      <c r="CH1027" s="50" t="n">
        <f aca="false">ROUNDUP(H1027/BV1027,0)</f>
        <v>1</v>
      </c>
      <c r="CI1027" s="50" t="n">
        <f aca="false">ROUNDUP(CF1027/BV1027,0)</f>
        <v>0</v>
      </c>
      <c r="CJ1027" s="53" t="n">
        <f aca="false">IF(BW1027=1,0,IFERROR(VLOOKUP(BU1027,'Gebinde-Kategorie'!$A$5:$N$45,5,0)+0,0))</f>
        <v>21</v>
      </c>
      <c r="CK1027" s="53" t="n">
        <f aca="false">IFERROR(IF(OR(CB1027=1,CB1027=2,CB1027=3),N(INDEX(Parameter!$I$5:$I$7,CB1027)),0),0)</f>
        <v>0</v>
      </c>
      <c r="CL1027" s="52" t="n">
        <f aca="false">IF(AND(Parameter!$B$21="Ja",ISNUMBER(W1027),N(X1027)&gt;0),IFERROR(N(INDEX(Parameter!$L$5:$L$7,W1027))*INDEX(Parameter!$E$5:$E$7,W1027)*X1027/SUMIFS($X$7:$X$1843,$W$7:$W$1843,W1027),0),0)</f>
        <v>0</v>
      </c>
    </row>
    <row r="1028" customFormat="false" ht="15" hidden="false" customHeight="false" outlineLevel="0" collapsed="false">
      <c r="A1028" s="48" t="s">
        <v>1894</v>
      </c>
      <c r="B1028" s="48" t="s">
        <v>548</v>
      </c>
      <c r="C1028" s="48" t="s">
        <v>168</v>
      </c>
      <c r="D1028" s="48" t="s">
        <v>188</v>
      </c>
      <c r="E1028" s="48" t="s">
        <v>189</v>
      </c>
      <c r="F1028" s="48" t="s">
        <v>222</v>
      </c>
      <c r="G1028" s="49" t="n">
        <v>20.71</v>
      </c>
      <c r="H1028" s="50" t="n">
        <f aca="false">MAX(0,IF(AND(Parameter!$B$21="Ja",ISNUMBER(Y1028)),Y1028,IF(Parameter!$B$20="Jahresanfang 2025 + Export",BO1028+BN1028,BN1028)))</f>
        <v>14</v>
      </c>
      <c r="I1028" s="50" t="n">
        <f aca="false">H1028*G1028</f>
        <v>289.94</v>
      </c>
      <c r="J1028" s="50" t="n">
        <f aca="false">BQ1028*Parameter!$B$18</f>
        <v>13</v>
      </c>
      <c r="K1028" s="51" t="n">
        <v>19.5</v>
      </c>
      <c r="L1028" s="52" t="n">
        <v>0.666666666666667</v>
      </c>
      <c r="M1028" s="50" t="n">
        <v>0</v>
      </c>
      <c r="N1028" s="50" t="n">
        <v>15</v>
      </c>
      <c r="O1028" s="53" t="n">
        <v>21</v>
      </c>
      <c r="P1028" s="48" t="s">
        <v>425</v>
      </c>
      <c r="Q1028" s="50" t="n">
        <v>13</v>
      </c>
      <c r="R1028" s="53" t="n">
        <f aca="false">IF(BW1028=1,0,IFERROR(VLOOKUP(BU1028,'Gebinde-Kategorie'!$A$5:$N$45,13,0)+0,0))</f>
        <v>104</v>
      </c>
      <c r="S1028" s="54"/>
      <c r="T1028" s="55"/>
      <c r="U1028" s="55"/>
      <c r="V1028" s="55"/>
      <c r="W1028" s="48"/>
      <c r="X1028" s="50"/>
      <c r="Y1028" s="50"/>
      <c r="Z1028" s="48" t="n">
        <f aca="false">IF(A1028="","",IF(AND(Parameter!$B$21="Ja",ISNUMBER(W1028)),W1028,IF(BZ1028="2+3",IF(ISNUMBER(SEARCH("grosser Artikel",BR1028)),2,IFERROR(VLOOKUP(BU1028,Parameter!$F$35:$G$64,2,0),2)),IF(OR(BZ1028="Nein",BZ1028=""),"-",BZ1028))))</f>
        <v>3</v>
      </c>
      <c r="AA1028" s="55"/>
      <c r="AB1028" s="56"/>
      <c r="AC1028" s="50" t="n">
        <f aca="false">AT1028</f>
        <v>26</v>
      </c>
      <c r="AD1028" s="50" t="n">
        <f aca="false">MAX(AT1028,H1028)</f>
        <v>26</v>
      </c>
      <c r="AE1028" s="57"/>
      <c r="AF1028" s="50" t="n">
        <f aca="false">IF(LEFT(Cockpit!$C$5,1)="A",H1028,IF(CE1028=1,CF1028,IF(LEFT(Cockpit!$C$5,1)="B",AK1028,MAX(AK1028,H1028))))</f>
        <v>14</v>
      </c>
      <c r="AG1028" s="50" t="n">
        <f aca="false">IF(BW1028=1,0,ROUNDUP(AF1028/BV1028,0))</f>
        <v>2</v>
      </c>
      <c r="AH1028" s="52" t="n">
        <f aca="false">IF(CL1028&gt;0,CL1028*MAX(1,AF1028/X1028),IF(BW1028=1,IF(AF1028&lt;=0,0,CA1028*MAX(1,IF(H1028&gt;0,AF1028/H1028,1))),IF(R1028&gt;0,AG1028/R1028,0))/MAX(0.1,N(Parameter!$M$21)))</f>
        <v>0.0192307692307692</v>
      </c>
      <c r="AI1028" s="50" t="n">
        <f aca="false">AH1028*BY1028</f>
        <v>2.98076923076923</v>
      </c>
      <c r="AJ1028" s="50" t="n">
        <f aca="false">AF1028*G1028</f>
        <v>289.94</v>
      </c>
      <c r="AK1028" s="50" t="n">
        <f aca="false">ROUNDUP(MAX(J1028/IF(CD1028&gt;0,CD1028,MAX(0.1,N(Cockpit!$C$6))),CG1028)/BV1028,0)*BV1028</f>
        <v>26</v>
      </c>
      <c r="AL1028" s="51" t="n">
        <f aca="false">IF(AI1028&gt;0,J1028/AI1028,-1)</f>
        <v>4.36129032258065</v>
      </c>
      <c r="AM1028" s="51" t="n">
        <f aca="false">IF(AND(OR(CC1028="L1",CC1028="L23",CC1028="LIFT"),AI1028&gt;0),SUMIFS($AI$7:$AI$1843,$CC$7:$CC$1843,CC1028,$AL$7:$AL$1843,"&gt;"&amp;AL1028)+SUMIFS($AI$7:$AI$1843,$CC$7:$CC$1843,CC1028,$AL$7:$AL$1843,AL1028,$BT$7:$BT$1843,"&lt;="&amp;BT1028),"")</f>
        <v>4186.57371794872</v>
      </c>
      <c r="AN1028" s="58" t="n">
        <f aca="false">IF(AM1028="",0,MAX(0,MIN(1,(IF(CC1028="L1",Parameter!$H$5,IF(CC1028="L23",Parameter!$H$6+Parameter!$H$7,Parameter!$H$5+Parameter!$H$6+Parameter!$H$7))-(AM1028-AI1028))/AI1028)))</f>
        <v>1</v>
      </c>
      <c r="AO1028" s="50" t="n">
        <f aca="false">IF(LEFT(Cockpit!$I$5,1)="A",H1028,IF(CE1028=1,CF1028,IF(LEFT(Cockpit!$I$5,1)="B",AT1028,MAX(AT1028,H1028))))</f>
        <v>26</v>
      </c>
      <c r="AP1028" s="50" t="n">
        <f aca="false">IF(BW1028=1,0,ROUNDUP(AO1028/BV1028,0))</f>
        <v>2</v>
      </c>
      <c r="AQ1028" s="52" t="n">
        <f aca="false">IF(CL1028&gt;0,CL1028*MAX(1,AO1028/X1028),IF(BW1028=1,IF(AO1028&lt;=0,0,CA1028*MAX(1,IF(H1028&gt;0,AO1028/H1028,1))),IF(R1028&gt;0,AP1028/R1028,0))/MAX(0.1,N(Parameter!$M$21)))</f>
        <v>0.0192307692307692</v>
      </c>
      <c r="AR1028" s="50" t="n">
        <f aca="false">AQ1028*BY1028</f>
        <v>2.98076923076923</v>
      </c>
      <c r="AS1028" s="50" t="n">
        <f aca="false">AO1028*G1028</f>
        <v>538.46</v>
      </c>
      <c r="AT1028" s="50" t="n">
        <f aca="false">ROUNDUP(MAX(J1028/IF(CD1028&gt;0,CD1028,MAX(0.1,N(Cockpit!$I$6))),CG1028)/BV1028,0)*BV1028</f>
        <v>26</v>
      </c>
      <c r="AU1028" s="51" t="n">
        <f aca="false">IF(AR1028&gt;0,J1028/AR1028,-1)</f>
        <v>4.36129032258065</v>
      </c>
      <c r="AV1028" s="51" t="n">
        <f aca="false">IF(AND(OR(CC1028="L1",CC1028="L23",CC1028="LIFT"),AR1028&gt;0),SUMIFS($AR$7:$AR$1843,$CC$7:$CC$1843,CC1028,$AU$7:$AU$1843,"&gt;"&amp;AU1028)+SUMIFS($AR$7:$AR$1843,$CC$7:$CC$1843,CC1028,$AU$7:$AU$1843,AU1028,$BT$7:$BT$1843,"&lt;="&amp;BT1028),"")</f>
        <v>5335.12408424908</v>
      </c>
      <c r="AW1028" s="58" t="n">
        <f aca="false">IF(AV1028="",0,MAX(0,MIN(1,(IF(CC1028="L1",Parameter!$H$5,IF(CC1028="L23",Parameter!$H$6+Parameter!$H$7,Parameter!$H$5+Parameter!$H$6+Parameter!$H$7))-(AV1028-AR1028))/AR1028)))</f>
        <v>1</v>
      </c>
      <c r="AX1028" s="50" t="n">
        <f aca="false">IF(LEFT(Cockpit!$O$5,1)="A",H1028,IF(CE1028=1,CF1028,IF(LEFT(Cockpit!$O$5,1)="B",BC1028,MAX(BC1028,H1028))))</f>
        <v>26</v>
      </c>
      <c r="AY1028" s="50" t="n">
        <f aca="false">IF(BW1028=1,0,ROUNDUP(AX1028/BV1028,0))</f>
        <v>2</v>
      </c>
      <c r="AZ1028" s="52" t="n">
        <f aca="false">IF(CL1028&gt;0,CL1028*MAX(1,AX1028/X1028),IF(BW1028=1,IF(AX1028&lt;=0,0,CA1028*MAX(1,IF(H1028&gt;0,AX1028/H1028,1))),IF(R1028&gt;0,AY1028/R1028,0))/MAX(0.1,N(Parameter!$M$21)))</f>
        <v>0.0192307692307692</v>
      </c>
      <c r="BA1028" s="50" t="n">
        <f aca="false">AZ1028*BY1028</f>
        <v>2.98076923076923</v>
      </c>
      <c r="BB1028" s="50" t="n">
        <f aca="false">AX1028*G1028</f>
        <v>538.46</v>
      </c>
      <c r="BC1028" s="50" t="n">
        <f aca="false">ROUNDUP(MAX(J1028/IF(CD1028&gt;0,CD1028,MAX(0.1,N(Cockpit!$O$6))),CG1028)/BV1028,0)*BV1028</f>
        <v>26</v>
      </c>
      <c r="BD1028" s="51" t="n">
        <f aca="false">IF(BA1028&gt;0,J1028/BA1028,-1)</f>
        <v>4.36129032258065</v>
      </c>
      <c r="BE1028" s="51" t="n">
        <f aca="false">IF(AND(OR(CC1028="L1",CC1028="L23",CC1028="LIFT"),BA1028&gt;0),SUMIFS($BA$7:$BA$1843,$CC$7:$CC$1843,CC1028,$BD$7:$BD$1843,"&gt;"&amp;BD1028)+SUMIFS($BA$7:$BA$1843,$CC$7:$CC$1843,CC1028,$BD$7:$BD$1843,BD1028,$BT$7:$BT$1843,"&lt;="&amp;BT1028),"")</f>
        <v>5005.58882783883</v>
      </c>
      <c r="BF1028" s="58" t="n">
        <f aca="false">IF(BE1028="",0,MAX(0,MIN(1,(IF(CC1028="L1",Parameter!$H$5,IF(CC1028="L23",Parameter!$H$6+Parameter!$H$7,Parameter!$H$5+Parameter!$H$6+Parameter!$H$7))-(BE1028-BA1028))/BA1028)))</f>
        <v>1</v>
      </c>
      <c r="BG1028" s="48" t="str">
        <f aca="false">IF(AI1028&lt;=0,"",IF(CC1028="Aussen","Aussenlager",IF(CC1028="-","Nicht im Lift",IF(AN1028&gt;=1,"Lift",IF(AN1028&lt;=0,"Aussenlager","teilweise")))))</f>
        <v>Lift</v>
      </c>
      <c r="BH1028" s="48" t="str">
        <f aca="false">IF(AR1028&lt;=0,"",IF(CC1028="Aussen","Aussenlager",IF(CC1028="-","Nicht im Lift",IF(AW1028&gt;=1,"Lift",IF(AW1028&lt;=0,"Aussenlager","teilweise")))))</f>
        <v>Lift</v>
      </c>
      <c r="BI1028" s="48" t="str">
        <f aca="false">IF(BA1028&lt;=0,"",IF(CC1028="Aussen","Aussenlager",IF(CC1028="-","Nicht im Lift",IF(BF1028&gt;=1,"Lift",IF(BF1028&lt;=0,"Aussenlager","teilweise")))))</f>
        <v>Lift</v>
      </c>
      <c r="BJ1028" s="48" t="str">
        <f aca="false">IF(A1028="","",IF(BS1028=1,"Neu; ","")&amp;IF(AND(BS1028=0,BN1028&lt;0),"negativer Bestand (Export "&amp;BN1028&amp;"); ","")&amp;IF(J1028&lt;=0,"Kein Verbrauch; ","")&amp;IF(CL1028&gt;0,"Lift "&amp;W1028&amp;" lt. Liftbericht (Fach "&amp;X1028&amp;" Stk); ",IF(BX1028=1,"Gebinde geschätzt ("&amp;T1028&amp;"); ",IF(BW1028=1,"Lose – Tablare geschätzt; ","")))&amp;IF(H1028&gt;AT1028,"Überbestand "&amp;ROUND(H1028-AT1028,0)&amp;" Stk / CHF "&amp;ROUND((H1028-AT1028)*G1028,0)&amp;"; ","")&amp;IF(AND(CE1028=1,CF1028&lt;CG1028),"MAX &lt; MB+LG; ","")&amp;IF(AND(CK1028&gt;0,CJ1028*10&gt;CK1028),"zu hoch für Tablar; ","")&amp;IF(AND(BS1028=0,OR(CE1028=1,AA1028&lt;&gt;"",U1028&lt;&gt;"",V1028&lt;&gt;"",AB1028&lt;&gt;"")),"manuell übersteuert; ","")&amp;IF(AND(BW1028=0,R1028=0),"Gebinde unbekannt / Stellmass fehlt; ","")&amp;IF(AND(BW1028=0,N(V1028)&lt;=0,N(Q1028)&lt;=0),"Menge pro Gebinde fehlt (Ist = 1 Gebinde); ","")&amp;BR1028)</f>
        <v>negativer Bestand (Export -7); </v>
      </c>
      <c r="BK1028" s="48"/>
      <c r="BL1028" s="48"/>
      <c r="BM1028" s="55"/>
      <c r="BN1028" s="50" t="n">
        <v>-7</v>
      </c>
      <c r="BO1028" s="50" t="n">
        <v>21</v>
      </c>
      <c r="BP1028" s="49" t="n">
        <v>-127.12</v>
      </c>
      <c r="BQ1028" s="50" t="n">
        <v>13</v>
      </c>
      <c r="BR1028" s="48"/>
      <c r="BS1028" s="53" t="n">
        <v>0</v>
      </c>
      <c r="BT1028" s="53" t="n">
        <v>1028</v>
      </c>
      <c r="BU1028" s="48" t="str">
        <f aca="false">IF(U1028&lt;&gt;"",UPPER(TRIM(U1028)),IF(BX1028=1,UPPER(VLOOKUP(T1028,Parameter!$I$27:$K$29,2,0)),IF(P1028="","LOSE",P1028)))</f>
        <v>S32</v>
      </c>
      <c r="BV1028" s="50" t="n">
        <f aca="false">IF(BU1028="LOSE",1,IF(N(V1028)&gt;0,V1028,IF(BX1028=1,MAX(1,N(VLOOKUP(T1028,Parameter!$I$27:$K$29,3,0)),H1028,N(N1028)),IF(N(Q1028)&gt;0,Q1028,MAX(1,H1028)))))</f>
        <v>13</v>
      </c>
      <c r="BW1028" s="53" t="n">
        <f aca="false">IF(BU1028="LOSE",1,0)</f>
        <v>0</v>
      </c>
      <c r="BX1028" s="53" t="n">
        <f aca="false">IF(AND(U1028="",OR(P1028="",P1028="LOSE"),T1028&lt;&gt;"",N(S1028)&lt;=0,ISNUMBER(MATCH(T1028,Parameter!$I$27:$I$29,0))),1,0)</f>
        <v>0</v>
      </c>
      <c r="BY1028" s="53" t="n">
        <f aca="false">IF(CL1028&gt;0,INDEX(Parameter!$H$5:$H$7,W1028)/INDEX(Parameter!$E$5:$E$7,W1028),IF(AND(BW1028=0,N(IFERROR(VLOOKUP(BU1028,'Gebinde-Kategorie'!$A$5:$N$45,14,0),0))&gt;0),VLOOKUP(BU1028,'Gebinde-Kategorie'!$A$5:$N$45,14,0)*10+Parameter!$M$23,Parameter!$M$24))</f>
        <v>155</v>
      </c>
      <c r="BZ1028" s="48" t="str">
        <f aca="false">IF(AND(Parameter!$B$19="Ja",E1028&lt;&gt;"",ISNUMBER(MATCH(E1028,Parameter!$I$35:$I$52,0))),VLOOKUP(E1028,Parameter!$I$35:$J$52,2,0),IFERROR(VLOOKUP(D1028,Parameter!$A$35:$C$64,2,0),"Nein"))</f>
        <v>2+3</v>
      </c>
      <c r="CA1028" s="52" t="n">
        <f aca="false">IF(BW1028=0,0,IF(N(S1028)&gt;0,S1028,IFERROR(VLOOKUP(D1028,Parameter!$A$35:$C$64,3,0)+0,0)))</f>
        <v>0</v>
      </c>
      <c r="CB1028" s="48" t="n">
        <f aca="false">IF(AA1028&lt;&gt;"",AA1028,Z1028)</f>
        <v>3</v>
      </c>
      <c r="CC1028" s="48" t="str">
        <f aca="false">IF(OR(CB1028=1,CB1028=2,CB1028=3),IF(Parameter!$E$27="Ja","LIFT",IF(CB1028=1,"L1","L23")),IF(CB1028="Aussen","Aussen","-"))</f>
        <v>LIFT</v>
      </c>
      <c r="CD1028" s="59" t="n">
        <f aca="false">IF(N(AB1028)&gt;0,AB1028,0)</f>
        <v>0</v>
      </c>
      <c r="CE1028" s="53" t="n">
        <f aca="false">IF(ISNUMBER(AE1028),1,0)</f>
        <v>0</v>
      </c>
      <c r="CF1028" s="50" t="n">
        <f aca="false">N(AE1028)</f>
        <v>0</v>
      </c>
      <c r="CG1028" s="50" t="n">
        <f aca="false">N(M1028)+N(N1028)</f>
        <v>15</v>
      </c>
      <c r="CH1028" s="50" t="n">
        <f aca="false">ROUNDUP(H1028/BV1028,0)</f>
        <v>2</v>
      </c>
      <c r="CI1028" s="50" t="n">
        <f aca="false">ROUNDUP(CF1028/BV1028,0)</f>
        <v>0</v>
      </c>
      <c r="CJ1028" s="53" t="n">
        <f aca="false">IF(BW1028=1,0,IFERROR(VLOOKUP(BU1028,'Gebinde-Kategorie'!$A$5:$N$45,5,0)+0,0))</f>
        <v>8</v>
      </c>
      <c r="CK1028" s="53" t="n">
        <f aca="false">IFERROR(IF(OR(CB1028=1,CB1028=2,CB1028=3),N(INDEX(Parameter!$I$5:$I$7,CB1028)),0),0)</f>
        <v>0</v>
      </c>
      <c r="CL1028" s="52" t="n">
        <f aca="false">IF(AND(Parameter!$B$21="Ja",ISNUMBER(W1028),N(X1028)&gt;0),IFERROR(N(INDEX(Parameter!$L$5:$L$7,W1028))*INDEX(Parameter!$E$5:$E$7,W1028)*X1028/SUMIFS($X$7:$X$1843,$W$7:$W$1843,W1028),0),0)</f>
        <v>0</v>
      </c>
    </row>
    <row r="1029" customFormat="false" ht="15" hidden="false" customHeight="false" outlineLevel="0" collapsed="false">
      <c r="A1029" s="48" t="s">
        <v>1895</v>
      </c>
      <c r="B1029" s="48" t="s">
        <v>1896</v>
      </c>
      <c r="C1029" s="48" t="s">
        <v>168</v>
      </c>
      <c r="D1029" s="48" t="s">
        <v>188</v>
      </c>
      <c r="E1029" s="48" t="s">
        <v>189</v>
      </c>
      <c r="F1029" s="48" t="s">
        <v>222</v>
      </c>
      <c r="G1029" s="49" t="n">
        <v>15.9</v>
      </c>
      <c r="H1029" s="50" t="n">
        <f aca="false">MAX(0,IF(AND(Parameter!$B$21="Ja",ISNUMBER(Y1029)),Y1029,IF(Parameter!$B$20="Jahresanfang 2025 + Export",BO1029+BN1029,BN1029)))</f>
        <v>73</v>
      </c>
      <c r="I1029" s="50" t="n">
        <f aca="false">H1029*G1029</f>
        <v>1160.7</v>
      </c>
      <c r="J1029" s="50" t="n">
        <f aca="false">BQ1029*Parameter!$B$18</f>
        <v>6</v>
      </c>
      <c r="K1029" s="51" t="n">
        <v>78</v>
      </c>
      <c r="L1029" s="52" t="n">
        <v>0.0769230769230769</v>
      </c>
      <c r="M1029" s="50" t="n">
        <v>0</v>
      </c>
      <c r="N1029" s="50" t="n">
        <v>5</v>
      </c>
      <c r="O1029" s="53" t="n">
        <v>35</v>
      </c>
      <c r="P1029" s="48" t="s">
        <v>332</v>
      </c>
      <c r="Q1029" s="50" t="n">
        <v>119</v>
      </c>
      <c r="R1029" s="53" t="n">
        <f aca="false">IF(BW1029=1,0,IFERROR(VLOOKUP(BU1029,'Gebinde-Kategorie'!$A$5:$N$45,13,0)+0,0))</f>
        <v>52</v>
      </c>
      <c r="S1029" s="54"/>
      <c r="T1029" s="55"/>
      <c r="U1029" s="55"/>
      <c r="V1029" s="55"/>
      <c r="W1029" s="48"/>
      <c r="X1029" s="50"/>
      <c r="Y1029" s="50"/>
      <c r="Z1029" s="48" t="n">
        <f aca="false">IF(A1029="","",IF(AND(Parameter!$B$21="Ja",ISNUMBER(W1029)),W1029,IF(BZ1029="2+3",IF(ISNUMBER(SEARCH("grosser Artikel",BR1029)),2,IFERROR(VLOOKUP(BU1029,Parameter!$F$35:$G$64,2,0),2)),IF(OR(BZ1029="Nein",BZ1029=""),"-",BZ1029))))</f>
        <v>3</v>
      </c>
      <c r="AA1029" s="55"/>
      <c r="AB1029" s="56"/>
      <c r="AC1029" s="50" t="n">
        <f aca="false">AT1029</f>
        <v>119</v>
      </c>
      <c r="AD1029" s="50" t="n">
        <f aca="false">MAX(AT1029,H1029)</f>
        <v>119</v>
      </c>
      <c r="AE1029" s="57"/>
      <c r="AF1029" s="50" t="n">
        <f aca="false">IF(LEFT(Cockpit!$C$5,1)="A",H1029,IF(CE1029=1,CF1029,IF(LEFT(Cockpit!$C$5,1)="B",AK1029,MAX(AK1029,H1029))))</f>
        <v>73</v>
      </c>
      <c r="AG1029" s="50" t="n">
        <f aca="false">IF(BW1029=1,0,ROUNDUP(AF1029/BV1029,0))</f>
        <v>1</v>
      </c>
      <c r="AH1029" s="52" t="n">
        <f aca="false">IF(CL1029&gt;0,CL1029*MAX(1,AF1029/X1029),IF(BW1029=1,IF(AF1029&lt;=0,0,CA1029*MAX(1,IF(H1029&gt;0,AF1029/H1029,1))),IF(R1029&gt;0,AG1029/R1029,0))/MAX(0.1,N(Parameter!$M$21)))</f>
        <v>0.0192307692307692</v>
      </c>
      <c r="AI1029" s="50" t="n">
        <f aca="false">AH1029*BY1029</f>
        <v>2.98076923076923</v>
      </c>
      <c r="AJ1029" s="50" t="n">
        <f aca="false">AF1029*G1029</f>
        <v>1160.7</v>
      </c>
      <c r="AK1029" s="50" t="n">
        <f aca="false">ROUNDUP(MAX(J1029/IF(CD1029&gt;0,CD1029,MAX(0.1,N(Cockpit!$C$6))),CG1029)/BV1029,0)*BV1029</f>
        <v>119</v>
      </c>
      <c r="AL1029" s="51" t="n">
        <f aca="false">IF(AI1029&gt;0,J1029/AI1029,-1)</f>
        <v>2.01290322580645</v>
      </c>
      <c r="AM1029" s="51" t="n">
        <f aca="false">IF(AND(OR(CC1029="L1",CC1029="L23",CC1029="LIFT"),AI1029&gt;0),SUMIFS($AI$7:$AI$1843,$CC$7:$CC$1843,CC1029,$AL$7:$AL$1843,"&gt;"&amp;AL1029)+SUMIFS($AI$7:$AI$1843,$CC$7:$CC$1843,CC1029,$AL$7:$AL$1843,AL1029,$BT$7:$BT$1843,"&lt;="&amp;BT1029),"")</f>
        <v>5799.79212454213</v>
      </c>
      <c r="AN1029" s="58" t="n">
        <f aca="false">IF(AM1029="",0,MAX(0,MIN(1,(IF(CC1029="L1",Parameter!$H$5,IF(CC1029="L23",Parameter!$H$6+Parameter!$H$7,Parameter!$H$5+Parameter!$H$6+Parameter!$H$7))-(AM1029-AI1029))/AI1029)))</f>
        <v>1</v>
      </c>
      <c r="AO1029" s="50" t="n">
        <f aca="false">IF(LEFT(Cockpit!$I$5,1)="A",H1029,IF(CE1029=1,CF1029,IF(LEFT(Cockpit!$I$5,1)="B",AT1029,MAX(AT1029,H1029))))</f>
        <v>119</v>
      </c>
      <c r="AP1029" s="50" t="n">
        <f aca="false">IF(BW1029=1,0,ROUNDUP(AO1029/BV1029,0))</f>
        <v>1</v>
      </c>
      <c r="AQ1029" s="52" t="n">
        <f aca="false">IF(CL1029&gt;0,CL1029*MAX(1,AO1029/X1029),IF(BW1029=1,IF(AO1029&lt;=0,0,CA1029*MAX(1,IF(H1029&gt;0,AO1029/H1029,1))),IF(R1029&gt;0,AP1029/R1029,0))/MAX(0.1,N(Parameter!$M$21)))</f>
        <v>0.0192307692307692</v>
      </c>
      <c r="AR1029" s="50" t="n">
        <f aca="false">AQ1029*BY1029</f>
        <v>2.98076923076923</v>
      </c>
      <c r="AS1029" s="50" t="n">
        <f aca="false">AO1029*G1029</f>
        <v>1892.1</v>
      </c>
      <c r="AT1029" s="50" t="n">
        <f aca="false">ROUNDUP(MAX(J1029/IF(CD1029&gt;0,CD1029,MAX(0.1,N(Cockpit!$I$6))),CG1029)/BV1029,0)*BV1029</f>
        <v>119</v>
      </c>
      <c r="AU1029" s="51" t="n">
        <f aca="false">IF(AR1029&gt;0,J1029/AR1029,-1)</f>
        <v>2.01290322580645</v>
      </c>
      <c r="AV1029" s="51" t="n">
        <f aca="false">IF(AND(OR(CC1029="L1",CC1029="L23",CC1029="LIFT"),AR1029&gt;0),SUMIFS($AR$7:$AR$1843,$CC$7:$CC$1843,CC1029,$AU$7:$AU$1843,"&gt;"&amp;AU1029)+SUMIFS($AR$7:$AR$1843,$CC$7:$CC$1843,CC1029,$AU$7:$AU$1843,AU1029,$BT$7:$BT$1843,"&lt;="&amp;BT1029),"")</f>
        <v>7709.48443223443</v>
      </c>
      <c r="AW1029" s="58" t="n">
        <f aca="false">IF(AV1029="",0,MAX(0,MIN(1,(IF(CC1029="L1",Parameter!$H$5,IF(CC1029="L23",Parameter!$H$6+Parameter!$H$7,Parameter!$H$5+Parameter!$H$6+Parameter!$H$7))-(AV1029-AR1029))/AR1029)))</f>
        <v>1</v>
      </c>
      <c r="AX1029" s="50" t="n">
        <f aca="false">IF(LEFT(Cockpit!$O$5,1)="A",H1029,IF(CE1029=1,CF1029,IF(LEFT(Cockpit!$O$5,1)="B",BC1029,MAX(BC1029,H1029))))</f>
        <v>119</v>
      </c>
      <c r="AY1029" s="50" t="n">
        <f aca="false">IF(BW1029=1,0,ROUNDUP(AX1029/BV1029,0))</f>
        <v>1</v>
      </c>
      <c r="AZ1029" s="52" t="n">
        <f aca="false">IF(CL1029&gt;0,CL1029*MAX(1,AX1029/X1029),IF(BW1029=1,IF(AX1029&lt;=0,0,CA1029*MAX(1,IF(H1029&gt;0,AX1029/H1029,1))),IF(R1029&gt;0,AY1029/R1029,0))/MAX(0.1,N(Parameter!$M$21)))</f>
        <v>0.0192307692307692</v>
      </c>
      <c r="BA1029" s="50" t="n">
        <f aca="false">AZ1029*BY1029</f>
        <v>2.98076923076923</v>
      </c>
      <c r="BB1029" s="50" t="n">
        <f aca="false">AX1029*G1029</f>
        <v>1892.1</v>
      </c>
      <c r="BC1029" s="50" t="n">
        <f aca="false">ROUNDUP(MAX(J1029/IF(CD1029&gt;0,CD1029,MAX(0.1,N(Cockpit!$O$6))),CG1029)/BV1029,0)*BV1029</f>
        <v>119</v>
      </c>
      <c r="BD1029" s="51" t="n">
        <f aca="false">IF(BA1029&gt;0,J1029/BA1029,-1)</f>
        <v>2.01290322580645</v>
      </c>
      <c r="BE1029" s="51" t="n">
        <f aca="false">IF(AND(OR(CC1029="L1",CC1029="L23",CC1029="LIFT"),BA1029&gt;0),SUMIFS($BA$7:$BA$1843,$CC$7:$CC$1843,CC1029,$BD$7:$BD$1843,"&gt;"&amp;BD1029)+SUMIFS($BA$7:$BA$1843,$CC$7:$CC$1843,CC1029,$BD$7:$BD$1843,BD1029,$BT$7:$BT$1843,"&lt;="&amp;BT1029),"")</f>
        <v>7608.47481684982</v>
      </c>
      <c r="BF1029" s="58" t="n">
        <f aca="false">IF(BE1029="",0,MAX(0,MIN(1,(IF(CC1029="L1",Parameter!$H$5,IF(CC1029="L23",Parameter!$H$6+Parameter!$H$7,Parameter!$H$5+Parameter!$H$6+Parameter!$H$7))-(BE1029-BA1029))/BA1029)))</f>
        <v>1</v>
      </c>
      <c r="BG1029" s="48" t="str">
        <f aca="false">IF(AI1029&lt;=0,"",IF(CC1029="Aussen","Aussenlager",IF(CC1029="-","Nicht im Lift",IF(AN1029&gt;=1,"Lift",IF(AN1029&lt;=0,"Aussenlager","teilweise")))))</f>
        <v>Lift</v>
      </c>
      <c r="BH1029" s="48" t="str">
        <f aca="false">IF(AR1029&lt;=0,"",IF(CC1029="Aussen","Aussenlager",IF(CC1029="-","Nicht im Lift",IF(AW1029&gt;=1,"Lift",IF(AW1029&lt;=0,"Aussenlager","teilweise")))))</f>
        <v>Lift</v>
      </c>
      <c r="BI1029" s="48" t="str">
        <f aca="false">IF(BA1029&lt;=0,"",IF(CC1029="Aussen","Aussenlager",IF(CC1029="-","Nicht im Lift",IF(BF1029&gt;=1,"Lift",IF(BF1029&lt;=0,"Aussenlager","teilweise")))))</f>
        <v>Lift</v>
      </c>
      <c r="BJ1029" s="48" t="str">
        <f aca="false">IF(A1029="","",IF(BS1029=1,"Neu; ","")&amp;IF(AND(BS1029=0,BN1029&lt;0),"negativer Bestand (Export "&amp;BN1029&amp;"); ","")&amp;IF(J1029&lt;=0,"Kein Verbrauch; ","")&amp;IF(CL1029&gt;0,"Lift "&amp;W1029&amp;" lt. Liftbericht (Fach "&amp;X1029&amp;" Stk); ",IF(BX1029=1,"Gebinde geschätzt ("&amp;T1029&amp;"); ",IF(BW1029=1,"Lose – Tablare geschätzt; ","")))&amp;IF(H1029&gt;AT1029,"Überbestand "&amp;ROUND(H1029-AT1029,0)&amp;" Stk / CHF "&amp;ROUND((H1029-AT1029)*G1029,0)&amp;"; ","")&amp;IF(AND(CE1029=1,CF1029&lt;CG1029),"MAX &lt; MB+LG; ","")&amp;IF(AND(CK1029&gt;0,CJ1029*10&gt;CK1029),"zu hoch für Tablar; ","")&amp;IF(AND(BS1029=0,OR(CE1029=1,AA1029&lt;&gt;"",U1029&lt;&gt;"",V1029&lt;&gt;"",AB1029&lt;&gt;"")),"manuell übersteuert; ","")&amp;IF(AND(BW1029=0,R1029=0),"Gebinde unbekannt / Stellmass fehlt; ","")&amp;IF(AND(BW1029=0,N(V1029)&lt;=0,N(Q1029)&lt;=0),"Menge pro Gebinde fehlt (Ist = 1 Gebinde); ","")&amp;BR1029)</f>
        <v>negativer Bestand (Export -8); twin</v>
      </c>
      <c r="BK1029" s="48"/>
      <c r="BL1029" s="48"/>
      <c r="BM1029" s="55"/>
      <c r="BN1029" s="50" t="n">
        <v>-8</v>
      </c>
      <c r="BO1029" s="50" t="n">
        <v>81</v>
      </c>
      <c r="BP1029" s="49" t="n">
        <v>-127.2</v>
      </c>
      <c r="BQ1029" s="50" t="n">
        <v>6</v>
      </c>
      <c r="BR1029" s="48" t="s">
        <v>1745</v>
      </c>
      <c r="BS1029" s="53" t="n">
        <v>0</v>
      </c>
      <c r="BT1029" s="53" t="n">
        <v>1029</v>
      </c>
      <c r="BU1029" s="48" t="str">
        <f aca="false">IF(U1029&lt;&gt;"",UPPER(TRIM(U1029)),IF(BX1029=1,UPPER(VLOOKUP(T1029,Parameter!$I$27:$K$29,2,0)),IF(P1029="","LOSE",P1029)))</f>
        <v>S41</v>
      </c>
      <c r="BV1029" s="50" t="n">
        <f aca="false">IF(BU1029="LOSE",1,IF(N(V1029)&gt;0,V1029,IF(BX1029=1,MAX(1,N(VLOOKUP(T1029,Parameter!$I$27:$K$29,3,0)),H1029,N(N1029)),IF(N(Q1029)&gt;0,Q1029,MAX(1,H1029)))))</f>
        <v>119</v>
      </c>
      <c r="BW1029" s="53" t="n">
        <f aca="false">IF(BU1029="LOSE",1,0)</f>
        <v>0</v>
      </c>
      <c r="BX1029" s="53" t="n">
        <f aca="false">IF(AND(U1029="",OR(P1029="",P1029="LOSE"),T1029&lt;&gt;"",N(S1029)&lt;=0,ISNUMBER(MATCH(T1029,Parameter!$I$27:$I$29,0))),1,0)</f>
        <v>0</v>
      </c>
      <c r="BY1029" s="53" t="n">
        <f aca="false">IF(CL1029&gt;0,INDEX(Parameter!$H$5:$H$7,W1029)/INDEX(Parameter!$E$5:$E$7,W1029),IF(AND(BW1029=0,N(IFERROR(VLOOKUP(BU1029,'Gebinde-Kategorie'!$A$5:$N$45,14,0),0))&gt;0),VLOOKUP(BU1029,'Gebinde-Kategorie'!$A$5:$N$45,14,0)*10+Parameter!$M$23,Parameter!$M$24))</f>
        <v>155</v>
      </c>
      <c r="BZ1029" s="48" t="str">
        <f aca="false">IF(AND(Parameter!$B$19="Ja",E1029&lt;&gt;"",ISNUMBER(MATCH(E1029,Parameter!$I$35:$I$52,0))),VLOOKUP(E1029,Parameter!$I$35:$J$52,2,0),IFERROR(VLOOKUP(D1029,Parameter!$A$35:$C$64,2,0),"Nein"))</f>
        <v>2+3</v>
      </c>
      <c r="CA1029" s="52" t="n">
        <f aca="false">IF(BW1029=0,0,IF(N(S1029)&gt;0,S1029,IFERROR(VLOOKUP(D1029,Parameter!$A$35:$C$64,3,0)+0,0)))</f>
        <v>0</v>
      </c>
      <c r="CB1029" s="48" t="n">
        <f aca="false">IF(AA1029&lt;&gt;"",AA1029,Z1029)</f>
        <v>3</v>
      </c>
      <c r="CC1029" s="48" t="str">
        <f aca="false">IF(OR(CB1029=1,CB1029=2,CB1029=3),IF(Parameter!$E$27="Ja","LIFT",IF(CB1029=1,"L1","L23")),IF(CB1029="Aussen","Aussen","-"))</f>
        <v>LIFT</v>
      </c>
      <c r="CD1029" s="59" t="n">
        <f aca="false">IF(N(AB1029)&gt;0,AB1029,0)</f>
        <v>0</v>
      </c>
      <c r="CE1029" s="53" t="n">
        <f aca="false">IF(ISNUMBER(AE1029),1,0)</f>
        <v>0</v>
      </c>
      <c r="CF1029" s="50" t="n">
        <f aca="false">N(AE1029)</f>
        <v>0</v>
      </c>
      <c r="CG1029" s="50" t="n">
        <f aca="false">N(M1029)+N(N1029)</f>
        <v>5</v>
      </c>
      <c r="CH1029" s="50" t="n">
        <f aca="false">ROUNDUP(H1029/BV1029,0)</f>
        <v>1</v>
      </c>
      <c r="CI1029" s="50" t="n">
        <f aca="false">ROUNDUP(CF1029/BV1029,0)</f>
        <v>0</v>
      </c>
      <c r="CJ1029" s="53" t="n">
        <f aca="false">IF(BW1029=1,0,IFERROR(VLOOKUP(BU1029,'Gebinde-Kategorie'!$A$5:$N$45,5,0)+0,0))</f>
        <v>11</v>
      </c>
      <c r="CK1029" s="53" t="n">
        <f aca="false">IFERROR(IF(OR(CB1029=1,CB1029=2,CB1029=3),N(INDEX(Parameter!$I$5:$I$7,CB1029)),0),0)</f>
        <v>0</v>
      </c>
      <c r="CL1029" s="52" t="n">
        <f aca="false">IF(AND(Parameter!$B$21="Ja",ISNUMBER(W1029),N(X1029)&gt;0),IFERROR(N(INDEX(Parameter!$L$5:$L$7,W1029))*INDEX(Parameter!$E$5:$E$7,W1029)*X1029/SUMIFS($X$7:$X$1843,$W$7:$W$1843,W1029),0),0)</f>
        <v>0</v>
      </c>
    </row>
    <row r="1030" customFormat="false" ht="15" hidden="false" customHeight="false" outlineLevel="0" collapsed="false">
      <c r="A1030" s="48" t="s">
        <v>1897</v>
      </c>
      <c r="B1030" s="48" t="s">
        <v>1898</v>
      </c>
      <c r="C1030" s="48" t="s">
        <v>168</v>
      </c>
      <c r="D1030" s="48" t="s">
        <v>188</v>
      </c>
      <c r="E1030" s="48"/>
      <c r="F1030" s="48" t="s">
        <v>222</v>
      </c>
      <c r="G1030" s="49" t="n">
        <v>7.61</v>
      </c>
      <c r="H1030" s="50" t="n">
        <f aca="false">MAX(0,IF(AND(Parameter!$B$21="Ja",ISNUMBER(Y1030)),Y1030,IF(Parameter!$B$20="Jahresanfang 2025 + Export",BO1030+BN1030,BN1030)))</f>
        <v>24</v>
      </c>
      <c r="I1030" s="50" t="n">
        <f aca="false">H1030*G1030</f>
        <v>182.64</v>
      </c>
      <c r="J1030" s="50" t="n">
        <f aca="false">BQ1030*Parameter!$B$18</f>
        <v>13</v>
      </c>
      <c r="K1030" s="51" t="n">
        <v>31.5</v>
      </c>
      <c r="L1030" s="52" t="n">
        <v>0.412698412698413</v>
      </c>
      <c r="M1030" s="50" t="n">
        <v>0</v>
      </c>
      <c r="N1030" s="50" t="n">
        <v>15</v>
      </c>
      <c r="O1030" s="53" t="n">
        <v>14</v>
      </c>
      <c r="P1030" s="48" t="s">
        <v>405</v>
      </c>
      <c r="Q1030" s="50" t="n">
        <v>15</v>
      </c>
      <c r="R1030" s="53" t="n">
        <f aca="false">IF(BW1030=1,0,IFERROR(VLOOKUP(BU1030,'Gebinde-Kategorie'!$A$5:$N$45,13,0)+0,0))</f>
        <v>280</v>
      </c>
      <c r="S1030" s="54"/>
      <c r="T1030" s="55"/>
      <c r="U1030" s="55"/>
      <c r="V1030" s="55"/>
      <c r="W1030" s="48"/>
      <c r="X1030" s="50"/>
      <c r="Y1030" s="50"/>
      <c r="Z1030" s="48" t="n">
        <f aca="false">IF(A1030="","",IF(AND(Parameter!$B$21="Ja",ISNUMBER(W1030)),W1030,IF(BZ1030="2+3",IF(ISNUMBER(SEARCH("grosser Artikel",BR1030)),2,IFERROR(VLOOKUP(BU1030,Parameter!$F$35:$G$64,2,0),2)),IF(OR(BZ1030="Nein",BZ1030=""),"-",BZ1030))))</f>
        <v>3</v>
      </c>
      <c r="AA1030" s="55"/>
      <c r="AB1030" s="56"/>
      <c r="AC1030" s="50" t="n">
        <f aca="false">AT1030</f>
        <v>15</v>
      </c>
      <c r="AD1030" s="50" t="n">
        <f aca="false">MAX(AT1030,H1030)</f>
        <v>24</v>
      </c>
      <c r="AE1030" s="57"/>
      <c r="AF1030" s="50" t="n">
        <f aca="false">IF(LEFT(Cockpit!$C$5,1)="A",H1030,IF(CE1030=1,CF1030,IF(LEFT(Cockpit!$C$5,1)="B",AK1030,MAX(AK1030,H1030))))</f>
        <v>24</v>
      </c>
      <c r="AG1030" s="50" t="n">
        <f aca="false">IF(BW1030=1,0,ROUNDUP(AF1030/BV1030,0))</f>
        <v>2</v>
      </c>
      <c r="AH1030" s="52" t="n">
        <f aca="false">IF(CL1030&gt;0,CL1030*MAX(1,AF1030/X1030),IF(BW1030=1,IF(AF1030&lt;=0,0,CA1030*MAX(1,IF(H1030&gt;0,AF1030/H1030,1))),IF(R1030&gt;0,AG1030/R1030,0))/MAX(0.1,N(Parameter!$M$21)))</f>
        <v>0.00714285714285714</v>
      </c>
      <c r="AI1030" s="50" t="n">
        <f aca="false">AH1030*BY1030</f>
        <v>1.10714285714286</v>
      </c>
      <c r="AJ1030" s="50" t="n">
        <f aca="false">AF1030*G1030</f>
        <v>182.64</v>
      </c>
      <c r="AK1030" s="50" t="n">
        <f aca="false">ROUNDUP(MAX(J1030/IF(CD1030&gt;0,CD1030,MAX(0.1,N(Cockpit!$C$6))),CG1030)/BV1030,0)*BV1030</f>
        <v>15</v>
      </c>
      <c r="AL1030" s="51" t="n">
        <f aca="false">IF(AI1030&gt;0,J1030/AI1030,-1)</f>
        <v>11.741935483871</v>
      </c>
      <c r="AM1030" s="51" t="n">
        <f aca="false">IF(AND(OR(CC1030="L1",CC1030="L23",CC1030="LIFT"),AI1030&gt;0),SUMIFS($AI$7:$AI$1843,$CC$7:$CC$1843,CC1030,$AL$7:$AL$1843,"&gt;"&amp;AL1030)+SUMIFS($AI$7:$AI$1843,$CC$7:$CC$1843,CC1030,$AL$7:$AL$1843,AL1030,$BT$7:$BT$1843,"&lt;="&amp;BT1030),"")</f>
        <v>2535.51373626374</v>
      </c>
      <c r="AN1030" s="58" t="n">
        <f aca="false">IF(AM1030="",0,MAX(0,MIN(1,(IF(CC1030="L1",Parameter!$H$5,IF(CC1030="L23",Parameter!$H$6+Parameter!$H$7,Parameter!$H$5+Parameter!$H$6+Parameter!$H$7))-(AM1030-AI1030))/AI1030)))</f>
        <v>1</v>
      </c>
      <c r="AO1030" s="50" t="n">
        <f aca="false">IF(LEFT(Cockpit!$I$5,1)="A",H1030,IF(CE1030=1,CF1030,IF(LEFT(Cockpit!$I$5,1)="B",AT1030,MAX(AT1030,H1030))))</f>
        <v>24</v>
      </c>
      <c r="AP1030" s="50" t="n">
        <f aca="false">IF(BW1030=1,0,ROUNDUP(AO1030/BV1030,0))</f>
        <v>2</v>
      </c>
      <c r="AQ1030" s="52" t="n">
        <f aca="false">IF(CL1030&gt;0,CL1030*MAX(1,AO1030/X1030),IF(BW1030=1,IF(AO1030&lt;=0,0,CA1030*MAX(1,IF(H1030&gt;0,AO1030/H1030,1))),IF(R1030&gt;0,AP1030/R1030,0))/MAX(0.1,N(Parameter!$M$21)))</f>
        <v>0.00714285714285714</v>
      </c>
      <c r="AR1030" s="50" t="n">
        <f aca="false">AQ1030*BY1030</f>
        <v>1.10714285714286</v>
      </c>
      <c r="AS1030" s="50" t="n">
        <f aca="false">AO1030*G1030</f>
        <v>182.64</v>
      </c>
      <c r="AT1030" s="50" t="n">
        <f aca="false">ROUNDUP(MAX(J1030/IF(CD1030&gt;0,CD1030,MAX(0.1,N(Cockpit!$I$6))),CG1030)/BV1030,0)*BV1030</f>
        <v>15</v>
      </c>
      <c r="AU1030" s="51" t="n">
        <f aca="false">IF(AR1030&gt;0,J1030/AR1030,-1)</f>
        <v>11.741935483871</v>
      </c>
      <c r="AV1030" s="51" t="n">
        <f aca="false">IF(AND(OR(CC1030="L1",CC1030="L23",CC1030="LIFT"),AR1030&gt;0),SUMIFS($AR$7:$AR$1843,$CC$7:$CC$1843,CC1030,$AU$7:$AU$1843,"&gt;"&amp;AU1030)+SUMIFS($AR$7:$AR$1843,$CC$7:$CC$1843,CC1030,$AU$7:$AU$1843,AU1030,$BT$7:$BT$1843,"&lt;="&amp;BT1030),"")</f>
        <v>3691.29807692308</v>
      </c>
      <c r="AW1030" s="58" t="n">
        <f aca="false">IF(AV1030="",0,MAX(0,MIN(1,(IF(CC1030="L1",Parameter!$H$5,IF(CC1030="L23",Parameter!$H$6+Parameter!$H$7,Parameter!$H$5+Parameter!$H$6+Parameter!$H$7))-(AV1030-AR1030))/AR1030)))</f>
        <v>1</v>
      </c>
      <c r="AX1030" s="50" t="n">
        <f aca="false">IF(LEFT(Cockpit!$O$5,1)="A",H1030,IF(CE1030=1,CF1030,IF(LEFT(Cockpit!$O$5,1)="B",BC1030,MAX(BC1030,H1030))))</f>
        <v>24</v>
      </c>
      <c r="AY1030" s="50" t="n">
        <f aca="false">IF(BW1030=1,0,ROUNDUP(AX1030/BV1030,0))</f>
        <v>2</v>
      </c>
      <c r="AZ1030" s="52" t="n">
        <f aca="false">IF(CL1030&gt;0,CL1030*MAX(1,AX1030/X1030),IF(BW1030=1,IF(AX1030&lt;=0,0,CA1030*MAX(1,IF(H1030&gt;0,AX1030/H1030,1))),IF(R1030&gt;0,AY1030/R1030,0))/MAX(0.1,N(Parameter!$M$21)))</f>
        <v>0.00714285714285714</v>
      </c>
      <c r="BA1030" s="50" t="n">
        <f aca="false">AZ1030*BY1030</f>
        <v>1.10714285714286</v>
      </c>
      <c r="BB1030" s="50" t="n">
        <f aca="false">AX1030*G1030</f>
        <v>182.64</v>
      </c>
      <c r="BC1030" s="50" t="n">
        <f aca="false">ROUNDUP(MAX(J1030/IF(CD1030&gt;0,CD1030,MAX(0.1,N(Cockpit!$O$6))),CG1030)/BV1030,0)*BV1030</f>
        <v>15</v>
      </c>
      <c r="BD1030" s="51" t="n">
        <f aca="false">IF(BA1030&gt;0,J1030/BA1030,-1)</f>
        <v>11.741935483871</v>
      </c>
      <c r="BE1030" s="51" t="n">
        <f aca="false">IF(AND(OR(CC1030="L1",CC1030="L23",CC1030="LIFT"),BA1030&gt;0),SUMIFS($BA$7:$BA$1843,$CC$7:$CC$1843,CC1030,$BD$7:$BD$1843,"&gt;"&amp;BD1030)+SUMIFS($BA$7:$BA$1843,$CC$7:$CC$1843,CC1030,$BD$7:$BD$1843,BD1030,$BT$7:$BT$1843,"&lt;="&amp;BT1030),"")</f>
        <v>3329.00641025641</v>
      </c>
      <c r="BF1030" s="58" t="n">
        <f aca="false">IF(BE1030="",0,MAX(0,MIN(1,(IF(CC1030="L1",Parameter!$H$5,IF(CC1030="L23",Parameter!$H$6+Parameter!$H$7,Parameter!$H$5+Parameter!$H$6+Parameter!$H$7))-(BE1030-BA1030))/BA1030)))</f>
        <v>1</v>
      </c>
      <c r="BG1030" s="48" t="str">
        <f aca="false">IF(AI1030&lt;=0,"",IF(CC1030="Aussen","Aussenlager",IF(CC1030="-","Nicht im Lift",IF(AN1030&gt;=1,"Lift",IF(AN1030&lt;=0,"Aussenlager","teilweise")))))</f>
        <v>Lift</v>
      </c>
      <c r="BH1030" s="48" t="str">
        <f aca="false">IF(AR1030&lt;=0,"",IF(CC1030="Aussen","Aussenlager",IF(CC1030="-","Nicht im Lift",IF(AW1030&gt;=1,"Lift",IF(AW1030&lt;=0,"Aussenlager","teilweise")))))</f>
        <v>Lift</v>
      </c>
      <c r="BI1030" s="48" t="str">
        <f aca="false">IF(BA1030&lt;=0,"",IF(CC1030="Aussen","Aussenlager",IF(CC1030="-","Nicht im Lift",IF(BF1030&gt;=1,"Lift",IF(BF1030&lt;=0,"Aussenlager","teilweise")))))</f>
        <v>Lift</v>
      </c>
      <c r="BJ1030" s="48" t="str">
        <f aca="false">IF(A1030="","",IF(BS1030=1,"Neu; ","")&amp;IF(AND(BS1030=0,BN1030&lt;0),"negativer Bestand (Export "&amp;BN1030&amp;"); ","")&amp;IF(J1030&lt;=0,"Kein Verbrauch; ","")&amp;IF(CL1030&gt;0,"Lift "&amp;W1030&amp;" lt. Liftbericht (Fach "&amp;X1030&amp;" Stk); ",IF(BX1030=1,"Gebinde geschätzt ("&amp;T1030&amp;"); ",IF(BW1030=1,"Lose – Tablare geschätzt; ","")))&amp;IF(H1030&gt;AT1030,"Überbestand "&amp;ROUND(H1030-AT1030,0)&amp;" Stk / CHF "&amp;ROUND((H1030-AT1030)*G1030,0)&amp;"; ","")&amp;IF(AND(CE1030=1,CF1030&lt;CG1030),"MAX &lt; MB+LG; ","")&amp;IF(AND(CK1030&gt;0,CJ1030*10&gt;CK1030),"zu hoch für Tablar; ","")&amp;IF(AND(BS1030=0,OR(CE1030=1,AA1030&lt;&gt;"",U1030&lt;&gt;"",V1030&lt;&gt;"",AB1030&lt;&gt;"")),"manuell übersteuert; ","")&amp;IF(AND(BW1030=0,R1030=0),"Gebinde unbekannt / Stellmass fehlt; ","")&amp;IF(AND(BW1030=0,N(V1030)&lt;=0,N(Q1030)&lt;=0),"Menge pro Gebinde fehlt (Ist = 1 Gebinde); ","")&amp;BR1030)</f>
        <v>negativer Bestand (Export -17); Überbestand 9 Stk / CHF 68; </v>
      </c>
      <c r="BK1030" s="48"/>
      <c r="BL1030" s="48"/>
      <c r="BM1030" s="55"/>
      <c r="BN1030" s="50" t="n">
        <v>-17</v>
      </c>
      <c r="BO1030" s="50" t="n">
        <v>41</v>
      </c>
      <c r="BP1030" s="49" t="n">
        <v>-129.37</v>
      </c>
      <c r="BQ1030" s="50" t="n">
        <v>13</v>
      </c>
      <c r="BR1030" s="48"/>
      <c r="BS1030" s="53" t="n">
        <v>0</v>
      </c>
      <c r="BT1030" s="53" t="n">
        <v>1030</v>
      </c>
      <c r="BU1030" s="48" t="str">
        <f aca="false">IF(U1030&lt;&gt;"",UPPER(TRIM(U1030)),IF(BX1030=1,UPPER(VLOOKUP(T1030,Parameter!$I$27:$K$29,2,0)),IF(P1030="","LOSE",P1030)))</f>
        <v>S21</v>
      </c>
      <c r="BV1030" s="50" t="n">
        <f aca="false">IF(BU1030="LOSE",1,IF(N(V1030)&gt;0,V1030,IF(BX1030=1,MAX(1,N(VLOOKUP(T1030,Parameter!$I$27:$K$29,3,0)),H1030,N(N1030)),IF(N(Q1030)&gt;0,Q1030,MAX(1,H1030)))))</f>
        <v>15</v>
      </c>
      <c r="BW1030" s="53" t="n">
        <f aca="false">IF(BU1030="LOSE",1,0)</f>
        <v>0</v>
      </c>
      <c r="BX1030" s="53" t="n">
        <f aca="false">IF(AND(U1030="",OR(P1030="",P1030="LOSE"),T1030&lt;&gt;"",N(S1030)&lt;=0,ISNUMBER(MATCH(T1030,Parameter!$I$27:$I$29,0))),1,0)</f>
        <v>0</v>
      </c>
      <c r="BY1030" s="53" t="n">
        <f aca="false">IF(CL1030&gt;0,INDEX(Parameter!$H$5:$H$7,W1030)/INDEX(Parameter!$E$5:$E$7,W1030),IF(AND(BW1030=0,N(IFERROR(VLOOKUP(BU1030,'Gebinde-Kategorie'!$A$5:$N$45,14,0),0))&gt;0),VLOOKUP(BU1030,'Gebinde-Kategorie'!$A$5:$N$45,14,0)*10+Parameter!$M$23,Parameter!$M$24))</f>
        <v>155</v>
      </c>
      <c r="BZ1030" s="48" t="str">
        <f aca="false">IF(AND(Parameter!$B$19="Ja",E1030&lt;&gt;"",ISNUMBER(MATCH(E1030,Parameter!$I$35:$I$52,0))),VLOOKUP(E1030,Parameter!$I$35:$J$52,2,0),IFERROR(VLOOKUP(D1030,Parameter!$A$35:$C$64,2,0),"Nein"))</f>
        <v>2+3</v>
      </c>
      <c r="CA1030" s="52" t="n">
        <f aca="false">IF(BW1030=0,0,IF(N(S1030)&gt;0,S1030,IFERROR(VLOOKUP(D1030,Parameter!$A$35:$C$64,3,0)+0,0)))</f>
        <v>0</v>
      </c>
      <c r="CB1030" s="48" t="n">
        <f aca="false">IF(AA1030&lt;&gt;"",AA1030,Z1030)</f>
        <v>3</v>
      </c>
      <c r="CC1030" s="48" t="str">
        <f aca="false">IF(OR(CB1030=1,CB1030=2,CB1030=3),IF(Parameter!$E$27="Ja","LIFT",IF(CB1030=1,"L1","L23")),IF(CB1030="Aussen","Aussen","-"))</f>
        <v>LIFT</v>
      </c>
      <c r="CD1030" s="59" t="n">
        <f aca="false">IF(N(AB1030)&gt;0,AB1030,0)</f>
        <v>0</v>
      </c>
      <c r="CE1030" s="53" t="n">
        <f aca="false">IF(ISNUMBER(AE1030),1,0)</f>
        <v>0</v>
      </c>
      <c r="CF1030" s="50" t="n">
        <f aca="false">N(AE1030)</f>
        <v>0</v>
      </c>
      <c r="CG1030" s="50" t="n">
        <f aca="false">N(M1030)+N(N1030)</f>
        <v>15</v>
      </c>
      <c r="CH1030" s="50" t="n">
        <f aca="false">ROUNDUP(H1030/BV1030,0)</f>
        <v>2</v>
      </c>
      <c r="CI1030" s="50" t="n">
        <f aca="false">ROUNDUP(CF1030/BV1030,0)</f>
        <v>0</v>
      </c>
      <c r="CJ1030" s="53" t="n">
        <f aca="false">IF(BW1030=1,0,IFERROR(VLOOKUP(BU1030,'Gebinde-Kategorie'!$A$5:$N$45,5,0)+0,0))</f>
        <v>8</v>
      </c>
      <c r="CK1030" s="53" t="n">
        <f aca="false">IFERROR(IF(OR(CB1030=1,CB1030=2,CB1030=3),N(INDEX(Parameter!$I$5:$I$7,CB1030)),0),0)</f>
        <v>0</v>
      </c>
      <c r="CL1030" s="52" t="n">
        <f aca="false">IF(AND(Parameter!$B$21="Ja",ISNUMBER(W1030),N(X1030)&gt;0),IFERROR(N(INDEX(Parameter!$L$5:$L$7,W1030))*INDEX(Parameter!$E$5:$E$7,W1030)*X1030/SUMIFS($X$7:$X$1843,$W$7:$W$1843,W1030),0),0)</f>
        <v>0</v>
      </c>
    </row>
    <row r="1031" customFormat="false" ht="15" hidden="false" customHeight="false" outlineLevel="0" collapsed="false">
      <c r="A1031" s="48" t="s">
        <v>1899</v>
      </c>
      <c r="B1031" s="48" t="s">
        <v>1900</v>
      </c>
      <c r="C1031" s="48" t="s">
        <v>460</v>
      </c>
      <c r="D1031" s="48" t="s">
        <v>177</v>
      </c>
      <c r="E1031" s="48" t="s">
        <v>1483</v>
      </c>
      <c r="F1031" s="48" t="s">
        <v>222</v>
      </c>
      <c r="G1031" s="49" t="n">
        <v>130.2</v>
      </c>
      <c r="H1031" s="50" t="n">
        <f aca="false">MAX(0,IF(AND(Parameter!$B$21="Ja",ISNUMBER(Y1031)),Y1031,IF(Parameter!$B$20="Jahresanfang 2025 + Export",BO1031+BN1031,BN1031)))</f>
        <v>0</v>
      </c>
      <c r="I1031" s="50" t="n">
        <f aca="false">H1031*G1031</f>
        <v>0</v>
      </c>
      <c r="J1031" s="50" t="n">
        <f aca="false">BQ1031*Parameter!$B$18</f>
        <v>0</v>
      </c>
      <c r="K1031" s="51" t="n">
        <v>0.5</v>
      </c>
      <c r="L1031" s="52" t="n">
        <v>0</v>
      </c>
      <c r="M1031" s="50" t="n">
        <v>0</v>
      </c>
      <c r="N1031" s="50" t="n">
        <v>1</v>
      </c>
      <c r="O1031" s="53" t="n">
        <v>56</v>
      </c>
      <c r="P1031" s="48" t="s">
        <v>172</v>
      </c>
      <c r="Q1031" s="50"/>
      <c r="R1031" s="53" t="n">
        <f aca="false">IF(BW1031=1,0,IFERROR(VLOOKUP(BU1031,'Gebinde-Kategorie'!$A$5:$N$45,13,0)+0,0))</f>
        <v>4</v>
      </c>
      <c r="S1031" s="54"/>
      <c r="T1031" s="55" t="s">
        <v>193</v>
      </c>
      <c r="U1031" s="55"/>
      <c r="V1031" s="55"/>
      <c r="W1031" s="48"/>
      <c r="X1031" s="50"/>
      <c r="Y1031" s="50"/>
      <c r="Z1031" s="48" t="str">
        <f aca="false">IF(A1031="","",IF(AND(Parameter!$B$21="Ja",ISNUMBER(W1031)),W1031,IF(BZ1031="2+3",IF(ISNUMBER(SEARCH("grosser Artikel",BR1031)),2,IFERROR(VLOOKUP(BU1031,Parameter!$F$35:$G$64,2,0),2)),IF(OR(BZ1031="Nein",BZ1031=""),"-",BZ1031))))</f>
        <v>-</v>
      </c>
      <c r="AA1031" s="55"/>
      <c r="AB1031" s="56"/>
      <c r="AC1031" s="50" t="n">
        <f aca="false">AT1031</f>
        <v>2</v>
      </c>
      <c r="AD1031" s="50" t="n">
        <f aca="false">MAX(AT1031,H1031)</f>
        <v>2</v>
      </c>
      <c r="AE1031" s="57"/>
      <c r="AF1031" s="50" t="n">
        <f aca="false">IF(LEFT(Cockpit!$C$5,1)="A",H1031,IF(CE1031=1,CF1031,IF(LEFT(Cockpit!$C$5,1)="B",AK1031,MAX(AK1031,H1031))))</f>
        <v>0</v>
      </c>
      <c r="AG1031" s="50" t="n">
        <f aca="false">IF(BW1031=1,0,ROUNDUP(AF1031/BV1031,0))</f>
        <v>0</v>
      </c>
      <c r="AH1031" s="52" t="n">
        <f aca="false">IF(CL1031&gt;0,CL1031*MAX(1,AF1031/X1031),IF(BW1031=1,IF(AF1031&lt;=0,0,CA1031*MAX(1,IF(H1031&gt;0,AF1031/H1031,1))),IF(R1031&gt;0,AG1031/R1031,0))/MAX(0.1,N(Parameter!$M$21)))</f>
        <v>0</v>
      </c>
      <c r="AI1031" s="50" t="n">
        <f aca="false">AH1031*BY1031</f>
        <v>0</v>
      </c>
      <c r="AJ1031" s="50" t="n">
        <f aca="false">AF1031*G1031</f>
        <v>0</v>
      </c>
      <c r="AK1031" s="50" t="n">
        <f aca="false">ROUNDUP(MAX(J1031/IF(CD1031&gt;0,CD1031,MAX(0.1,N(Cockpit!$C$6))),CG1031)/BV1031,0)*BV1031</f>
        <v>2</v>
      </c>
      <c r="AL1031" s="51" t="n">
        <f aca="false">IF(AI1031&gt;0,J1031/AI1031,-1)</f>
        <v>-1</v>
      </c>
      <c r="AM1031" s="51" t="str">
        <f aca="false">IF(AND(OR(CC1031="L1",CC1031="L23",CC1031="LIFT"),AI1031&gt;0),SUMIFS($AI$7:$AI$1843,$CC$7:$CC$1843,CC1031,$AL$7:$AL$1843,"&gt;"&amp;AL1031)+SUMIFS($AI$7:$AI$1843,$CC$7:$CC$1843,CC1031,$AL$7:$AL$1843,AL1031,$BT$7:$BT$1843,"&lt;="&amp;BT1031),"")</f>
        <v/>
      </c>
      <c r="AN1031" s="58" t="n">
        <f aca="false">IF(AM1031="",0,MAX(0,MIN(1,(IF(CC1031="L1",Parameter!$H$5,IF(CC1031="L23",Parameter!$H$6+Parameter!$H$7,Parameter!$H$5+Parameter!$H$6+Parameter!$H$7))-(AM1031-AI1031))/AI1031)))</f>
        <v>0</v>
      </c>
      <c r="AO1031" s="50" t="n">
        <f aca="false">IF(LEFT(Cockpit!$I$5,1)="A",H1031,IF(CE1031=1,CF1031,IF(LEFT(Cockpit!$I$5,1)="B",AT1031,MAX(AT1031,H1031))))</f>
        <v>2</v>
      </c>
      <c r="AP1031" s="50" t="n">
        <f aca="false">IF(BW1031=1,0,ROUNDUP(AO1031/BV1031,0))</f>
        <v>1</v>
      </c>
      <c r="AQ1031" s="52" t="n">
        <f aca="false">IF(CL1031&gt;0,CL1031*MAX(1,AO1031/X1031),IF(BW1031=1,IF(AO1031&lt;=0,0,CA1031*MAX(1,IF(H1031&gt;0,AO1031/H1031,1))),IF(R1031&gt;0,AP1031/R1031,0))/MAX(0.1,N(Parameter!$M$21)))</f>
        <v>0.25</v>
      </c>
      <c r="AR1031" s="50" t="n">
        <f aca="false">AQ1031*BY1031</f>
        <v>58.75</v>
      </c>
      <c r="AS1031" s="50" t="n">
        <f aca="false">AO1031*G1031</f>
        <v>260.4</v>
      </c>
      <c r="AT1031" s="50" t="n">
        <f aca="false">ROUNDUP(MAX(J1031/IF(CD1031&gt;0,CD1031,MAX(0.1,N(Cockpit!$I$6))),CG1031)/BV1031,0)*BV1031</f>
        <v>2</v>
      </c>
      <c r="AU1031" s="51" t="n">
        <f aca="false">IF(AR1031&gt;0,J1031/AR1031,-1)</f>
        <v>0</v>
      </c>
      <c r="AV1031" s="51" t="str">
        <f aca="false">IF(AND(OR(CC1031="L1",CC1031="L23",CC1031="LIFT"),AR1031&gt;0),SUMIFS($AR$7:$AR$1843,$CC$7:$CC$1843,CC1031,$AU$7:$AU$1843,"&gt;"&amp;AU1031)+SUMIFS($AR$7:$AR$1843,$CC$7:$CC$1843,CC1031,$AU$7:$AU$1843,AU1031,$BT$7:$BT$1843,"&lt;="&amp;BT1031),"")</f>
        <v/>
      </c>
      <c r="AW1031" s="58" t="n">
        <f aca="false">IF(AV1031="",0,MAX(0,MIN(1,(IF(CC1031="L1",Parameter!$H$5,IF(CC1031="L23",Parameter!$H$6+Parameter!$H$7,Parameter!$H$5+Parameter!$H$6+Parameter!$H$7))-(AV1031-AR1031))/AR1031)))</f>
        <v>0</v>
      </c>
      <c r="AX1031" s="50" t="n">
        <f aca="false">IF(LEFT(Cockpit!$O$5,1)="A",H1031,IF(CE1031=1,CF1031,IF(LEFT(Cockpit!$O$5,1)="B",BC1031,MAX(BC1031,H1031))))</f>
        <v>2</v>
      </c>
      <c r="AY1031" s="50" t="n">
        <f aca="false">IF(BW1031=1,0,ROUNDUP(AX1031/BV1031,0))</f>
        <v>1</v>
      </c>
      <c r="AZ1031" s="52" t="n">
        <f aca="false">IF(CL1031&gt;0,CL1031*MAX(1,AX1031/X1031),IF(BW1031=1,IF(AX1031&lt;=0,0,CA1031*MAX(1,IF(H1031&gt;0,AX1031/H1031,1))),IF(R1031&gt;0,AY1031/R1031,0))/MAX(0.1,N(Parameter!$M$21)))</f>
        <v>0.25</v>
      </c>
      <c r="BA1031" s="50" t="n">
        <f aca="false">AZ1031*BY1031</f>
        <v>58.75</v>
      </c>
      <c r="BB1031" s="50" t="n">
        <f aca="false">AX1031*G1031</f>
        <v>260.4</v>
      </c>
      <c r="BC1031" s="50" t="n">
        <f aca="false">ROUNDUP(MAX(J1031/IF(CD1031&gt;0,CD1031,MAX(0.1,N(Cockpit!$O$6))),CG1031)/BV1031,0)*BV1031</f>
        <v>2</v>
      </c>
      <c r="BD1031" s="51" t="n">
        <f aca="false">IF(BA1031&gt;0,J1031/BA1031,-1)</f>
        <v>0</v>
      </c>
      <c r="BE1031" s="51" t="str">
        <f aca="false">IF(AND(OR(CC1031="L1",CC1031="L23",CC1031="LIFT"),BA1031&gt;0),SUMIFS($BA$7:$BA$1843,$CC$7:$CC$1843,CC1031,$BD$7:$BD$1843,"&gt;"&amp;BD1031)+SUMIFS($BA$7:$BA$1843,$CC$7:$CC$1843,CC1031,$BD$7:$BD$1843,BD1031,$BT$7:$BT$1843,"&lt;="&amp;BT1031),"")</f>
        <v/>
      </c>
      <c r="BF1031" s="58" t="n">
        <f aca="false">IF(BE1031="",0,MAX(0,MIN(1,(IF(CC1031="L1",Parameter!$H$5,IF(CC1031="L23",Parameter!$H$6+Parameter!$H$7,Parameter!$H$5+Parameter!$H$6+Parameter!$H$7))-(BE1031-BA1031))/BA1031)))</f>
        <v>0</v>
      </c>
      <c r="BG1031" s="48" t="str">
        <f aca="false">IF(AI1031&lt;=0,"",IF(CC1031="Aussen","Aussenlager",IF(CC1031="-","Nicht im Lift",IF(AN1031&gt;=1,"Lift",IF(AN1031&lt;=0,"Aussenlager","teilweise")))))</f>
        <v/>
      </c>
      <c r="BH1031" s="48" t="str">
        <f aca="false">IF(AR1031&lt;=0,"",IF(CC1031="Aussen","Aussenlager",IF(CC1031="-","Nicht im Lift",IF(AW1031&gt;=1,"Lift",IF(AW1031&lt;=0,"Aussenlager","teilweise")))))</f>
        <v>Nicht im Lift</v>
      </c>
      <c r="BI1031" s="48" t="str">
        <f aca="false">IF(BA1031&lt;=0,"",IF(CC1031="Aussen","Aussenlager",IF(CC1031="-","Nicht im Lift",IF(BF1031&gt;=1,"Lift",IF(BF1031&lt;=0,"Aussenlager","teilweise")))))</f>
        <v>Nicht im Lift</v>
      </c>
      <c r="BJ1031" s="48" t="str">
        <f aca="false">IF(A1031="","",IF(BS1031=1,"Neu; ","")&amp;IF(AND(BS1031=0,BN1031&lt;0),"negativer Bestand (Export "&amp;BN1031&amp;"); ","")&amp;IF(J1031&lt;=0,"Kein Verbrauch; ","")&amp;IF(CL1031&gt;0,"Lift "&amp;W1031&amp;" lt. Liftbericht (Fach "&amp;X1031&amp;" Stk); ",IF(BX1031=1,"Gebinde geschätzt ("&amp;T1031&amp;"); ",IF(BW1031=1,"Lose – Tablare geschätzt; ","")))&amp;IF(H1031&gt;AT1031,"Überbestand "&amp;ROUND(H1031-AT1031,0)&amp;" Stk / CHF "&amp;ROUND((H1031-AT1031)*G1031,0)&amp;"; ","")&amp;IF(AND(CE1031=1,CF1031&lt;CG1031),"MAX &lt; MB+LG; ","")&amp;IF(AND(CK1031&gt;0,CJ1031*10&gt;CK1031),"zu hoch für Tablar; ","")&amp;IF(AND(BS1031=0,OR(CE1031=1,AA1031&lt;&gt;"",U1031&lt;&gt;"",V1031&lt;&gt;"",AB1031&lt;&gt;"")),"manuell übersteuert; ","")&amp;IF(AND(BW1031=0,R1031=0),"Gebinde unbekannt / Stellmass fehlt; ","")&amp;IF(AND(BW1031=0,N(V1031)&lt;=0,N(Q1031)&lt;=0),"Menge pro Gebinde fehlt (Ist = 1 Gebinde); ","")&amp;BR1031)</f>
        <v>negativer Bestand (Export -1); Kein Verbrauch; Gebinde geschätzt (Gross); Menge pro Gebinde fehlt (Ist = 1 Gebinde); Neu</v>
      </c>
      <c r="BK1031" s="48"/>
      <c r="BL1031" s="48"/>
      <c r="BM1031" s="55"/>
      <c r="BN1031" s="50" t="n">
        <v>-1</v>
      </c>
      <c r="BO1031" s="50" t="n">
        <v>1</v>
      </c>
      <c r="BP1031" s="49" t="n">
        <v>-130.2</v>
      </c>
      <c r="BQ1031" s="50" t="n">
        <v>0</v>
      </c>
      <c r="BR1031" s="48" t="s">
        <v>630</v>
      </c>
      <c r="BS1031" s="53" t="n">
        <v>0</v>
      </c>
      <c r="BT1031" s="53" t="n">
        <v>1031</v>
      </c>
      <c r="BU1031" s="48" t="str">
        <f aca="false">IF(U1031&lt;&gt;"",UPPER(TRIM(U1031)),IF(BX1031=1,UPPER(VLOOKUP(T1031,Parameter!$I$27:$K$29,2,0)),IF(P1031="","LOSE",P1031)))</f>
        <v>S81</v>
      </c>
      <c r="BV1031" s="50" t="n">
        <f aca="false">IF(BU1031="LOSE",1,IF(N(V1031)&gt;0,V1031,IF(BX1031=1,MAX(1,N(VLOOKUP(T1031,Parameter!$I$27:$K$29,3,0)),H1031,N(N1031)),IF(N(Q1031)&gt;0,Q1031,MAX(1,H1031)))))</f>
        <v>2</v>
      </c>
      <c r="BW1031" s="53" t="n">
        <f aca="false">IF(BU1031="LOSE",1,0)</f>
        <v>0</v>
      </c>
      <c r="BX1031" s="53" t="n">
        <f aca="false">IF(AND(U1031="",OR(P1031="",P1031="LOSE"),T1031&lt;&gt;"",N(S1031)&lt;=0,ISNUMBER(MATCH(T1031,Parameter!$I$27:$I$29,0))),1,0)</f>
        <v>1</v>
      </c>
      <c r="BY1031" s="53" t="n">
        <f aca="false">IF(CL1031&gt;0,INDEX(Parameter!$H$5:$H$7,W1031)/INDEX(Parameter!$E$5:$E$7,W1031),IF(AND(BW1031=0,N(IFERROR(VLOOKUP(BU1031,'Gebinde-Kategorie'!$A$5:$N$45,14,0),0))&gt;0),VLOOKUP(BU1031,'Gebinde-Kategorie'!$A$5:$N$45,14,0)*10+Parameter!$M$23,Parameter!$M$24))</f>
        <v>235</v>
      </c>
      <c r="BZ1031" s="48" t="str">
        <f aca="false">IF(AND(Parameter!$B$19="Ja",E1031&lt;&gt;"",ISNUMBER(MATCH(E1031,Parameter!$I$35:$I$52,0))),VLOOKUP(E1031,Parameter!$I$35:$J$52,2,0),IFERROR(VLOOKUP(D1031,Parameter!$A$35:$C$64,2,0),"Nein"))</f>
        <v>Nein</v>
      </c>
      <c r="CA1031" s="52" t="n">
        <f aca="false">IF(BW1031=0,0,IF(N(S1031)&gt;0,S1031,IFERROR(VLOOKUP(D1031,Parameter!$A$35:$C$64,3,0)+0,0)))</f>
        <v>0</v>
      </c>
      <c r="CB1031" s="48" t="str">
        <f aca="false">IF(AA1031&lt;&gt;"",AA1031,Z1031)</f>
        <v>-</v>
      </c>
      <c r="CC1031" s="48" t="str">
        <f aca="false">IF(OR(CB1031=1,CB1031=2,CB1031=3),IF(Parameter!$E$27="Ja","LIFT",IF(CB1031=1,"L1","L23")),IF(CB1031="Aussen","Aussen","-"))</f>
        <v>-</v>
      </c>
      <c r="CD1031" s="59" t="n">
        <f aca="false">IF(N(AB1031)&gt;0,AB1031,0)</f>
        <v>0</v>
      </c>
      <c r="CE1031" s="53" t="n">
        <f aca="false">IF(ISNUMBER(AE1031),1,0)</f>
        <v>0</v>
      </c>
      <c r="CF1031" s="50" t="n">
        <f aca="false">N(AE1031)</f>
        <v>0</v>
      </c>
      <c r="CG1031" s="50" t="n">
        <f aca="false">N(M1031)+N(N1031)</f>
        <v>1</v>
      </c>
      <c r="CH1031" s="50" t="n">
        <f aca="false">ROUNDUP(H1031/BV1031,0)</f>
        <v>0</v>
      </c>
      <c r="CI1031" s="50" t="n">
        <f aca="false">ROUNDUP(CF1031/BV1031,0)</f>
        <v>0</v>
      </c>
      <c r="CJ1031" s="53" t="n">
        <f aca="false">IF(BW1031=1,0,IFERROR(VLOOKUP(BU1031,'Gebinde-Kategorie'!$A$5:$N$45,5,0)+0,0))</f>
        <v>20</v>
      </c>
      <c r="CK1031" s="53" t="n">
        <f aca="false">IFERROR(IF(OR(CB1031=1,CB1031=2,CB1031=3),N(INDEX(Parameter!$I$5:$I$7,CB1031)),0),0)</f>
        <v>0</v>
      </c>
      <c r="CL1031" s="52" t="n">
        <f aca="false">IF(AND(Parameter!$B$21="Ja",ISNUMBER(W1031),N(X1031)&gt;0),IFERROR(N(INDEX(Parameter!$L$5:$L$7,W1031))*INDEX(Parameter!$E$5:$E$7,W1031)*X1031/SUMIFS($X$7:$X$1843,$W$7:$W$1843,W1031),0),0)</f>
        <v>0</v>
      </c>
    </row>
    <row r="1032" customFormat="false" ht="15" hidden="false" customHeight="false" outlineLevel="0" collapsed="false">
      <c r="A1032" s="48" t="s">
        <v>1901</v>
      </c>
      <c r="B1032" s="48" t="s">
        <v>1902</v>
      </c>
      <c r="C1032" s="48" t="s">
        <v>168</v>
      </c>
      <c r="D1032" s="48" t="s">
        <v>188</v>
      </c>
      <c r="E1032" s="48" t="s">
        <v>189</v>
      </c>
      <c r="F1032" s="48" t="s">
        <v>222</v>
      </c>
      <c r="G1032" s="49" t="n">
        <v>22.57</v>
      </c>
      <c r="H1032" s="50" t="n">
        <f aca="false">MAX(0,IF(AND(Parameter!$B$21="Ja",ISNUMBER(Y1032)),Y1032,IF(Parameter!$B$20="Jahresanfang 2025 + Export",BO1032+BN1032,BN1032)))</f>
        <v>8</v>
      </c>
      <c r="I1032" s="50" t="n">
        <f aca="false">H1032*G1032</f>
        <v>180.56</v>
      </c>
      <c r="J1032" s="50" t="n">
        <f aca="false">BQ1032*Parameter!$B$18</f>
        <v>20</v>
      </c>
      <c r="K1032" s="51" t="n">
        <v>11</v>
      </c>
      <c r="L1032" s="52" t="n">
        <v>1.81818181818182</v>
      </c>
      <c r="M1032" s="50" t="n">
        <v>1</v>
      </c>
      <c r="N1032" s="50" t="n">
        <v>20</v>
      </c>
      <c r="O1032" s="53" t="n">
        <v>24</v>
      </c>
      <c r="P1032" s="48" t="s">
        <v>306</v>
      </c>
      <c r="Q1032" s="50" t="n">
        <v>43</v>
      </c>
      <c r="R1032" s="53" t="n">
        <f aca="false">IF(BW1032=1,0,IFERROR(VLOOKUP(BU1032,'Gebinde-Kategorie'!$A$5:$N$45,13,0)+0,0))</f>
        <v>26</v>
      </c>
      <c r="S1032" s="54"/>
      <c r="T1032" s="55"/>
      <c r="U1032" s="55"/>
      <c r="V1032" s="55"/>
      <c r="W1032" s="48"/>
      <c r="X1032" s="50"/>
      <c r="Y1032" s="50"/>
      <c r="Z1032" s="48" t="n">
        <f aca="false">IF(A1032="","",IF(AND(Parameter!$B$21="Ja",ISNUMBER(W1032)),W1032,IF(BZ1032="2+3",IF(ISNUMBER(SEARCH("grosser Artikel",BR1032)),2,IFERROR(VLOOKUP(BU1032,Parameter!$F$35:$G$64,2,0),2)),IF(OR(BZ1032="Nein",BZ1032=""),"-",BZ1032))))</f>
        <v>3</v>
      </c>
      <c r="AA1032" s="55"/>
      <c r="AB1032" s="56"/>
      <c r="AC1032" s="50" t="n">
        <f aca="false">AT1032</f>
        <v>43</v>
      </c>
      <c r="AD1032" s="50" t="n">
        <f aca="false">MAX(AT1032,H1032)</f>
        <v>43</v>
      </c>
      <c r="AE1032" s="57"/>
      <c r="AF1032" s="50" t="n">
        <f aca="false">IF(LEFT(Cockpit!$C$5,1)="A",H1032,IF(CE1032=1,CF1032,IF(LEFT(Cockpit!$C$5,1)="B",AK1032,MAX(AK1032,H1032))))</f>
        <v>8</v>
      </c>
      <c r="AG1032" s="50" t="n">
        <f aca="false">IF(BW1032=1,0,ROUNDUP(AF1032/BV1032,0))</f>
        <v>1</v>
      </c>
      <c r="AH1032" s="52" t="n">
        <f aca="false">IF(CL1032&gt;0,CL1032*MAX(1,AF1032/X1032),IF(BW1032=1,IF(AF1032&lt;=0,0,CA1032*MAX(1,IF(H1032&gt;0,AF1032/H1032,1))),IF(R1032&gt;0,AG1032/R1032,0))/MAX(0.1,N(Parameter!$M$21)))</f>
        <v>0.0384615384615385</v>
      </c>
      <c r="AI1032" s="50" t="n">
        <f aca="false">AH1032*BY1032</f>
        <v>5.96153846153846</v>
      </c>
      <c r="AJ1032" s="50" t="n">
        <f aca="false">AF1032*G1032</f>
        <v>180.56</v>
      </c>
      <c r="AK1032" s="50" t="n">
        <f aca="false">ROUNDUP(MAX(J1032/IF(CD1032&gt;0,CD1032,MAX(0.1,N(Cockpit!$C$6))),CG1032)/BV1032,0)*BV1032</f>
        <v>43</v>
      </c>
      <c r="AL1032" s="51" t="n">
        <f aca="false">IF(AI1032&gt;0,J1032/AI1032,-1)</f>
        <v>3.35483870967742</v>
      </c>
      <c r="AM1032" s="51" t="n">
        <f aca="false">IF(AND(OR(CC1032="L1",CC1032="L23",CC1032="LIFT"),AI1032&gt;0),SUMIFS($AI$7:$AI$1843,$CC$7:$CC$1843,CC1032,$AL$7:$AL$1843,"&gt;"&amp;AL1032)+SUMIFS($AI$7:$AI$1843,$CC$7:$CC$1843,CC1032,$AL$7:$AL$1843,AL1032,$BT$7:$BT$1843,"&lt;="&amp;BT1032),"")</f>
        <v>4952.60714285714</v>
      </c>
      <c r="AN1032" s="58" t="n">
        <f aca="false">IF(AM1032="",0,MAX(0,MIN(1,(IF(CC1032="L1",Parameter!$H$5,IF(CC1032="L23",Parameter!$H$6+Parameter!$H$7,Parameter!$H$5+Parameter!$H$6+Parameter!$H$7))-(AM1032-AI1032))/AI1032)))</f>
        <v>1</v>
      </c>
      <c r="AO1032" s="50" t="n">
        <f aca="false">IF(LEFT(Cockpit!$I$5,1)="A",H1032,IF(CE1032=1,CF1032,IF(LEFT(Cockpit!$I$5,1)="B",AT1032,MAX(AT1032,H1032))))</f>
        <v>43</v>
      </c>
      <c r="AP1032" s="50" t="n">
        <f aca="false">IF(BW1032=1,0,ROUNDUP(AO1032/BV1032,0))</f>
        <v>1</v>
      </c>
      <c r="AQ1032" s="52" t="n">
        <f aca="false">IF(CL1032&gt;0,CL1032*MAX(1,AO1032/X1032),IF(BW1032=1,IF(AO1032&lt;=0,0,CA1032*MAX(1,IF(H1032&gt;0,AO1032/H1032,1))),IF(R1032&gt;0,AP1032/R1032,0))/MAX(0.1,N(Parameter!$M$21)))</f>
        <v>0.0384615384615385</v>
      </c>
      <c r="AR1032" s="50" t="n">
        <f aca="false">AQ1032*BY1032</f>
        <v>5.96153846153846</v>
      </c>
      <c r="AS1032" s="50" t="n">
        <f aca="false">AO1032*G1032</f>
        <v>970.51</v>
      </c>
      <c r="AT1032" s="50" t="n">
        <f aca="false">ROUNDUP(MAX(J1032/IF(CD1032&gt;0,CD1032,MAX(0.1,N(Cockpit!$I$6))),CG1032)/BV1032,0)*BV1032</f>
        <v>43</v>
      </c>
      <c r="AU1032" s="51" t="n">
        <f aca="false">IF(AR1032&gt;0,J1032/AR1032,-1)</f>
        <v>3.35483870967742</v>
      </c>
      <c r="AV1032" s="51" t="n">
        <f aca="false">IF(AND(OR(CC1032="L1",CC1032="L23",CC1032="LIFT"),AR1032&gt;0),SUMIFS($AR$7:$AR$1843,$CC$7:$CC$1843,CC1032,$AU$7:$AU$1843,"&gt;"&amp;AU1032)+SUMIFS($AR$7:$AR$1843,$CC$7:$CC$1843,CC1032,$AU$7:$AU$1843,AU1032,$BT$7:$BT$1843,"&lt;="&amp;BT1032),"")</f>
        <v>6051.38598901099</v>
      </c>
      <c r="AW1032" s="58" t="n">
        <f aca="false">IF(AV1032="",0,MAX(0,MIN(1,(IF(CC1032="L1",Parameter!$H$5,IF(CC1032="L23",Parameter!$H$6+Parameter!$H$7,Parameter!$H$5+Parameter!$H$6+Parameter!$H$7))-(AV1032-AR1032))/AR1032)))</f>
        <v>1</v>
      </c>
      <c r="AX1032" s="50" t="n">
        <f aca="false">IF(LEFT(Cockpit!$O$5,1)="A",H1032,IF(CE1032=1,CF1032,IF(LEFT(Cockpit!$O$5,1)="B",BC1032,MAX(BC1032,H1032))))</f>
        <v>43</v>
      </c>
      <c r="AY1032" s="50" t="n">
        <f aca="false">IF(BW1032=1,0,ROUNDUP(AX1032/BV1032,0))</f>
        <v>1</v>
      </c>
      <c r="AZ1032" s="52" t="n">
        <f aca="false">IF(CL1032&gt;0,CL1032*MAX(1,AX1032/X1032),IF(BW1032=1,IF(AX1032&lt;=0,0,CA1032*MAX(1,IF(H1032&gt;0,AX1032/H1032,1))),IF(R1032&gt;0,AY1032/R1032,0))/MAX(0.1,N(Parameter!$M$21)))</f>
        <v>0.0384615384615385</v>
      </c>
      <c r="BA1032" s="50" t="n">
        <f aca="false">AZ1032*BY1032</f>
        <v>5.96153846153846</v>
      </c>
      <c r="BB1032" s="50" t="n">
        <f aca="false">AX1032*G1032</f>
        <v>970.51</v>
      </c>
      <c r="BC1032" s="50" t="n">
        <f aca="false">ROUNDUP(MAX(J1032/IF(CD1032&gt;0,CD1032,MAX(0.1,N(Cockpit!$O$6))),CG1032)/BV1032,0)*BV1032</f>
        <v>43</v>
      </c>
      <c r="BD1032" s="51" t="n">
        <f aca="false">IF(BA1032&gt;0,J1032/BA1032,-1)</f>
        <v>3.35483870967742</v>
      </c>
      <c r="BE1032" s="51" t="n">
        <f aca="false">IF(AND(OR(CC1032="L1",CC1032="L23",CC1032="LIFT"),BA1032&gt;0),SUMIFS($BA$7:$BA$1843,$CC$7:$CC$1843,CC1032,$BD$7:$BD$1843,"&gt;"&amp;BD1032)+SUMIFS($BA$7:$BA$1843,$CC$7:$CC$1843,CC1032,$BD$7:$BD$1843,BD1032,$BT$7:$BT$1843,"&lt;="&amp;BT1032),"")</f>
        <v>6039.22252747253</v>
      </c>
      <c r="BF1032" s="58" t="n">
        <f aca="false">IF(BE1032="",0,MAX(0,MIN(1,(IF(CC1032="L1",Parameter!$H$5,IF(CC1032="L23",Parameter!$H$6+Parameter!$H$7,Parameter!$H$5+Parameter!$H$6+Parameter!$H$7))-(BE1032-BA1032))/BA1032)))</f>
        <v>1</v>
      </c>
      <c r="BG1032" s="48" t="str">
        <f aca="false">IF(AI1032&lt;=0,"",IF(CC1032="Aussen","Aussenlager",IF(CC1032="-","Nicht im Lift",IF(AN1032&gt;=1,"Lift",IF(AN1032&lt;=0,"Aussenlager","teilweise")))))</f>
        <v>Lift</v>
      </c>
      <c r="BH1032" s="48" t="str">
        <f aca="false">IF(AR1032&lt;=0,"",IF(CC1032="Aussen","Aussenlager",IF(CC1032="-","Nicht im Lift",IF(AW1032&gt;=1,"Lift",IF(AW1032&lt;=0,"Aussenlager","teilweise")))))</f>
        <v>Lift</v>
      </c>
      <c r="BI1032" s="48" t="str">
        <f aca="false">IF(BA1032&lt;=0,"",IF(CC1032="Aussen","Aussenlager",IF(CC1032="-","Nicht im Lift",IF(BF1032&gt;=1,"Lift",IF(BF1032&lt;=0,"Aussenlager","teilweise")))))</f>
        <v>Lift</v>
      </c>
      <c r="BJ1032" s="48" t="str">
        <f aca="false">IF(A1032="","",IF(BS1032=1,"Neu; ","")&amp;IF(AND(BS1032=0,BN1032&lt;0),"negativer Bestand (Export "&amp;BN1032&amp;"); ","")&amp;IF(J1032&lt;=0,"Kein Verbrauch; ","")&amp;IF(CL1032&gt;0,"Lift "&amp;W1032&amp;" lt. Liftbericht (Fach "&amp;X1032&amp;" Stk); ",IF(BX1032=1,"Gebinde geschätzt ("&amp;T1032&amp;"); ",IF(BW1032=1,"Lose – Tablare geschätzt; ","")))&amp;IF(H1032&gt;AT1032,"Überbestand "&amp;ROUND(H1032-AT1032,0)&amp;" Stk / CHF "&amp;ROUND((H1032-AT1032)*G1032,0)&amp;"; ","")&amp;IF(AND(CE1032=1,CF1032&lt;CG1032),"MAX &lt; MB+LG; ","")&amp;IF(AND(CK1032&gt;0,CJ1032*10&gt;CK1032),"zu hoch für Tablar; ","")&amp;IF(AND(BS1032=0,OR(CE1032=1,AA1032&lt;&gt;"",U1032&lt;&gt;"",V1032&lt;&gt;"",AB1032&lt;&gt;"")),"manuell übersteuert; ","")&amp;IF(AND(BW1032=0,R1032=0),"Gebinde unbekannt / Stellmass fehlt; ","")&amp;IF(AND(BW1032=0,N(V1032)&lt;=0,N(Q1032)&lt;=0),"Menge pro Gebinde fehlt (Ist = 1 Gebinde); ","")&amp;BR1032)</f>
        <v>negativer Bestand (Export -6); </v>
      </c>
      <c r="BK1032" s="48"/>
      <c r="BL1032" s="48"/>
      <c r="BM1032" s="55"/>
      <c r="BN1032" s="50" t="n">
        <v>-6</v>
      </c>
      <c r="BO1032" s="50" t="n">
        <v>14</v>
      </c>
      <c r="BP1032" s="49" t="n">
        <v>-130.66</v>
      </c>
      <c r="BQ1032" s="50" t="n">
        <v>20</v>
      </c>
      <c r="BR1032" s="48"/>
      <c r="BS1032" s="53" t="n">
        <v>0</v>
      </c>
      <c r="BT1032" s="53" t="n">
        <v>1032</v>
      </c>
      <c r="BU1032" s="48" t="str">
        <f aca="false">IF(U1032&lt;&gt;"",UPPER(TRIM(U1032)),IF(BX1032=1,UPPER(VLOOKUP(T1032,Parameter!$I$27:$K$29,2,0)),IF(P1032="","LOSE",P1032)))</f>
        <v>S51</v>
      </c>
      <c r="BV1032" s="50" t="n">
        <f aca="false">IF(BU1032="LOSE",1,IF(N(V1032)&gt;0,V1032,IF(BX1032=1,MAX(1,N(VLOOKUP(T1032,Parameter!$I$27:$K$29,3,0)),H1032,N(N1032)),IF(N(Q1032)&gt;0,Q1032,MAX(1,H1032)))))</f>
        <v>43</v>
      </c>
      <c r="BW1032" s="53" t="n">
        <f aca="false">IF(BU1032="LOSE",1,0)</f>
        <v>0</v>
      </c>
      <c r="BX1032" s="53" t="n">
        <f aca="false">IF(AND(U1032="",OR(P1032="",P1032="LOSE"),T1032&lt;&gt;"",N(S1032)&lt;=0,ISNUMBER(MATCH(T1032,Parameter!$I$27:$I$29,0))),1,0)</f>
        <v>0</v>
      </c>
      <c r="BY1032" s="53" t="n">
        <f aca="false">IF(CL1032&gt;0,INDEX(Parameter!$H$5:$H$7,W1032)/INDEX(Parameter!$E$5:$E$7,W1032),IF(AND(BW1032=0,N(IFERROR(VLOOKUP(BU1032,'Gebinde-Kategorie'!$A$5:$N$45,14,0),0))&gt;0),VLOOKUP(BU1032,'Gebinde-Kategorie'!$A$5:$N$45,14,0)*10+Parameter!$M$23,Parameter!$M$24))</f>
        <v>155</v>
      </c>
      <c r="BZ1032" s="48" t="str">
        <f aca="false">IF(AND(Parameter!$B$19="Ja",E1032&lt;&gt;"",ISNUMBER(MATCH(E1032,Parameter!$I$35:$I$52,0))),VLOOKUP(E1032,Parameter!$I$35:$J$52,2,0),IFERROR(VLOOKUP(D1032,Parameter!$A$35:$C$64,2,0),"Nein"))</f>
        <v>2+3</v>
      </c>
      <c r="CA1032" s="52" t="n">
        <f aca="false">IF(BW1032=0,0,IF(N(S1032)&gt;0,S1032,IFERROR(VLOOKUP(D1032,Parameter!$A$35:$C$64,3,0)+0,0)))</f>
        <v>0</v>
      </c>
      <c r="CB1032" s="48" t="n">
        <f aca="false">IF(AA1032&lt;&gt;"",AA1032,Z1032)</f>
        <v>3</v>
      </c>
      <c r="CC1032" s="48" t="str">
        <f aca="false">IF(OR(CB1032=1,CB1032=2,CB1032=3),IF(Parameter!$E$27="Ja","LIFT",IF(CB1032=1,"L1","L23")),IF(CB1032="Aussen","Aussen","-"))</f>
        <v>LIFT</v>
      </c>
      <c r="CD1032" s="59" t="n">
        <f aca="false">IF(N(AB1032)&gt;0,AB1032,0)</f>
        <v>0</v>
      </c>
      <c r="CE1032" s="53" t="n">
        <f aca="false">IF(ISNUMBER(AE1032),1,0)</f>
        <v>0</v>
      </c>
      <c r="CF1032" s="50" t="n">
        <f aca="false">N(AE1032)</f>
        <v>0</v>
      </c>
      <c r="CG1032" s="50" t="n">
        <f aca="false">N(M1032)+N(N1032)</f>
        <v>21</v>
      </c>
      <c r="CH1032" s="50" t="n">
        <f aca="false">ROUNDUP(H1032/BV1032,0)</f>
        <v>1</v>
      </c>
      <c r="CI1032" s="50" t="n">
        <f aca="false">ROUNDUP(CF1032/BV1032,0)</f>
        <v>0</v>
      </c>
      <c r="CJ1032" s="53" t="n">
        <f aca="false">IF(BW1032=1,0,IFERROR(VLOOKUP(BU1032,'Gebinde-Kategorie'!$A$5:$N$45,5,0)+0,0))</f>
        <v>11</v>
      </c>
      <c r="CK1032" s="53" t="n">
        <f aca="false">IFERROR(IF(OR(CB1032=1,CB1032=2,CB1032=3),N(INDEX(Parameter!$I$5:$I$7,CB1032)),0),0)</f>
        <v>0</v>
      </c>
      <c r="CL1032" s="52" t="n">
        <f aca="false">IF(AND(Parameter!$B$21="Ja",ISNUMBER(W1032),N(X1032)&gt;0),IFERROR(N(INDEX(Parameter!$L$5:$L$7,W1032))*INDEX(Parameter!$E$5:$E$7,W1032)*X1032/SUMIFS($X$7:$X$1843,$W$7:$W$1843,W1032),0),0)</f>
        <v>0</v>
      </c>
    </row>
    <row r="1033" customFormat="false" ht="15" hidden="false" customHeight="false" outlineLevel="0" collapsed="false">
      <c r="A1033" s="48" t="s">
        <v>1903</v>
      </c>
      <c r="B1033" s="48" t="s">
        <v>435</v>
      </c>
      <c r="C1033" s="48" t="s">
        <v>168</v>
      </c>
      <c r="D1033" s="48" t="s">
        <v>188</v>
      </c>
      <c r="E1033" s="48" t="s">
        <v>189</v>
      </c>
      <c r="F1033" s="48" t="s">
        <v>222</v>
      </c>
      <c r="G1033" s="49" t="n">
        <v>133.9</v>
      </c>
      <c r="H1033" s="50" t="n">
        <f aca="false">MAX(0,IF(AND(Parameter!$B$21="Ja",ISNUMBER(Y1033)),Y1033,IF(Parameter!$B$20="Jahresanfang 2025 + Export",BO1033+BN1033,BN1033)))</f>
        <v>1</v>
      </c>
      <c r="I1033" s="50" t="n">
        <f aca="false">H1033*G1033</f>
        <v>133.9</v>
      </c>
      <c r="J1033" s="50" t="n">
        <f aca="false">BQ1033*Parameter!$B$18</f>
        <v>0.002</v>
      </c>
      <c r="K1033" s="51" t="n">
        <v>1.5</v>
      </c>
      <c r="L1033" s="52" t="n">
        <v>0.00133333333333333</v>
      </c>
      <c r="M1033" s="50" t="n">
        <v>0</v>
      </c>
      <c r="N1033" s="50" t="n">
        <v>1</v>
      </c>
      <c r="O1033" s="53" t="n">
        <v>70</v>
      </c>
      <c r="P1033" s="48" t="s">
        <v>430</v>
      </c>
      <c r="Q1033" s="50" t="n">
        <v>2</v>
      </c>
      <c r="R1033" s="53" t="n">
        <f aca="false">IF(BW1033=1,0,IFERROR(VLOOKUP(BU1033,'Gebinde-Kategorie'!$A$5:$N$45,13,0)+0,0))</f>
        <v>140</v>
      </c>
      <c r="S1033" s="54"/>
      <c r="T1033" s="55"/>
      <c r="U1033" s="55"/>
      <c r="V1033" s="55"/>
      <c r="W1033" s="48"/>
      <c r="X1033" s="50"/>
      <c r="Y1033" s="50"/>
      <c r="Z1033" s="48" t="n">
        <f aca="false">IF(A1033="","",IF(AND(Parameter!$B$21="Ja",ISNUMBER(W1033)),W1033,IF(BZ1033="2+3",IF(ISNUMBER(SEARCH("grosser Artikel",BR1033)),2,IFERROR(VLOOKUP(BU1033,Parameter!$F$35:$G$64,2,0),2)),IF(OR(BZ1033="Nein",BZ1033=""),"-",BZ1033))))</f>
        <v>3</v>
      </c>
      <c r="AA1033" s="55"/>
      <c r="AB1033" s="56"/>
      <c r="AC1033" s="50" t="n">
        <f aca="false">AT1033</f>
        <v>2</v>
      </c>
      <c r="AD1033" s="50" t="n">
        <f aca="false">MAX(AT1033,H1033)</f>
        <v>2</v>
      </c>
      <c r="AE1033" s="57"/>
      <c r="AF1033" s="50" t="n">
        <f aca="false">IF(LEFT(Cockpit!$C$5,1)="A",H1033,IF(CE1033=1,CF1033,IF(LEFT(Cockpit!$C$5,1)="B",AK1033,MAX(AK1033,H1033))))</f>
        <v>1</v>
      </c>
      <c r="AG1033" s="50" t="n">
        <f aca="false">IF(BW1033=1,0,ROUNDUP(AF1033/BV1033,0))</f>
        <v>1</v>
      </c>
      <c r="AH1033" s="52" t="n">
        <f aca="false">IF(CL1033&gt;0,CL1033*MAX(1,AF1033/X1033),IF(BW1033=1,IF(AF1033&lt;=0,0,CA1033*MAX(1,IF(H1033&gt;0,AF1033/H1033,1))),IF(R1033&gt;0,AG1033/R1033,0))/MAX(0.1,N(Parameter!$M$21)))</f>
        <v>0.00714285714285714</v>
      </c>
      <c r="AI1033" s="50" t="n">
        <f aca="false">AH1033*BY1033</f>
        <v>1.10714285714286</v>
      </c>
      <c r="AJ1033" s="50" t="n">
        <f aca="false">AF1033*G1033</f>
        <v>133.9</v>
      </c>
      <c r="AK1033" s="50" t="n">
        <f aca="false">ROUNDUP(MAX(J1033/IF(CD1033&gt;0,CD1033,MAX(0.1,N(Cockpit!$C$6))),CG1033)/BV1033,0)*BV1033</f>
        <v>2</v>
      </c>
      <c r="AL1033" s="51" t="n">
        <f aca="false">IF(AI1033&gt;0,J1033/AI1033,-1)</f>
        <v>0.00180645161290323</v>
      </c>
      <c r="AM1033" s="51" t="n">
        <f aca="false">IF(AND(OR(CC1033="L1",CC1033="L23",CC1033="LIFT"),AI1033&gt;0),SUMIFS($AI$7:$AI$1843,$CC$7:$CC$1843,CC1033,$AL$7:$AL$1843,"&gt;"&amp;AL1033)+SUMIFS($AI$7:$AI$1843,$CC$7:$CC$1843,CC1033,$AL$7:$AL$1843,AL1033,$BT$7:$BT$1843,"&lt;="&amp;BT1033),"")</f>
        <v>25429.0219081766</v>
      </c>
      <c r="AN1033" s="58" t="n">
        <f aca="false">IF(AM1033="",0,MAX(0,MIN(1,(IF(CC1033="L1",Parameter!$H$5,IF(CC1033="L23",Parameter!$H$6+Parameter!$H$7,Parameter!$H$5+Parameter!$H$6+Parameter!$H$7))-(AM1033-AI1033))/AI1033)))</f>
        <v>1</v>
      </c>
      <c r="AO1033" s="50" t="n">
        <f aca="false">IF(LEFT(Cockpit!$I$5,1)="A",H1033,IF(CE1033=1,CF1033,IF(LEFT(Cockpit!$I$5,1)="B",AT1033,MAX(AT1033,H1033))))</f>
        <v>2</v>
      </c>
      <c r="AP1033" s="50" t="n">
        <f aca="false">IF(BW1033=1,0,ROUNDUP(AO1033/BV1033,0))</f>
        <v>1</v>
      </c>
      <c r="AQ1033" s="52" t="n">
        <f aca="false">IF(CL1033&gt;0,CL1033*MAX(1,AO1033/X1033),IF(BW1033=1,IF(AO1033&lt;=0,0,CA1033*MAX(1,IF(H1033&gt;0,AO1033/H1033,1))),IF(R1033&gt;0,AP1033/R1033,0))/MAX(0.1,N(Parameter!$M$21)))</f>
        <v>0.00714285714285714</v>
      </c>
      <c r="AR1033" s="50" t="n">
        <f aca="false">AQ1033*BY1033</f>
        <v>1.10714285714286</v>
      </c>
      <c r="AS1033" s="50" t="n">
        <f aca="false">AO1033*G1033</f>
        <v>267.8</v>
      </c>
      <c r="AT1033" s="50" t="n">
        <f aca="false">ROUNDUP(MAX(J1033/IF(CD1033&gt;0,CD1033,MAX(0.1,N(Cockpit!$I$6))),CG1033)/BV1033,0)*BV1033</f>
        <v>2</v>
      </c>
      <c r="AU1033" s="51" t="n">
        <f aca="false">IF(AR1033&gt;0,J1033/AR1033,-1)</f>
        <v>0.00180645161290323</v>
      </c>
      <c r="AV1033" s="51" t="n">
        <f aca="false">IF(AND(OR(CC1033="L1",CC1033="L23",CC1033="LIFT"),AR1033&gt;0),SUMIFS($AR$7:$AR$1843,$CC$7:$CC$1843,CC1033,$AU$7:$AU$1843,"&gt;"&amp;AU1033)+SUMIFS($AR$7:$AR$1843,$CC$7:$CC$1843,CC1033,$AU$7:$AU$1843,AU1033,$BT$7:$BT$1843,"&lt;="&amp;BT1033),"")</f>
        <v>36674.5451278947</v>
      </c>
      <c r="AW1033" s="58" t="n">
        <f aca="false">IF(AV1033="",0,MAX(0,MIN(1,(IF(CC1033="L1",Parameter!$H$5,IF(CC1033="L23",Parameter!$H$6+Parameter!$H$7,Parameter!$H$5+Parameter!$H$6+Parameter!$H$7))-(AV1033-AR1033))/AR1033)))</f>
        <v>0</v>
      </c>
      <c r="AX1033" s="50" t="n">
        <f aca="false">IF(LEFT(Cockpit!$O$5,1)="A",H1033,IF(CE1033=1,CF1033,IF(LEFT(Cockpit!$O$5,1)="B",BC1033,MAX(BC1033,H1033))))</f>
        <v>2</v>
      </c>
      <c r="AY1033" s="50" t="n">
        <f aca="false">IF(BW1033=1,0,ROUNDUP(AX1033/BV1033,0))</f>
        <v>1</v>
      </c>
      <c r="AZ1033" s="52" t="n">
        <f aca="false">IF(CL1033&gt;0,CL1033*MAX(1,AX1033/X1033),IF(BW1033=1,IF(AX1033&lt;=0,0,CA1033*MAX(1,IF(H1033&gt;0,AX1033/H1033,1))),IF(R1033&gt;0,AY1033/R1033,0))/MAX(0.1,N(Parameter!$M$21)))</f>
        <v>0.00714285714285714</v>
      </c>
      <c r="BA1033" s="50" t="n">
        <f aca="false">AZ1033*BY1033</f>
        <v>1.10714285714286</v>
      </c>
      <c r="BB1033" s="50" t="n">
        <f aca="false">AX1033*G1033</f>
        <v>267.8</v>
      </c>
      <c r="BC1033" s="50" t="n">
        <f aca="false">ROUNDUP(MAX(J1033/IF(CD1033&gt;0,CD1033,MAX(0.1,N(Cockpit!$O$6))),CG1033)/BV1033,0)*BV1033</f>
        <v>2</v>
      </c>
      <c r="BD1033" s="51" t="n">
        <f aca="false">IF(BA1033&gt;0,J1033/BA1033,-1)</f>
        <v>0.00180645161290323</v>
      </c>
      <c r="BE1033" s="51" t="n">
        <f aca="false">IF(AND(OR(CC1033="L1",CC1033="L23",CC1033="LIFT"),BA1033&gt;0),SUMIFS($BA$7:$BA$1843,$CC$7:$CC$1843,CC1033,$BD$7:$BD$1843,"&gt;"&amp;BD1033)+SUMIFS($BA$7:$BA$1843,$CC$7:$CC$1843,CC1033,$BD$7:$BD$1843,BD1033,$BT$7:$BT$1843,"&lt;="&amp;BT1033),"")</f>
        <v>33349.5571697606</v>
      </c>
      <c r="BF1033" s="58" t="n">
        <f aca="false">IF(BE1033="",0,MAX(0,MIN(1,(IF(CC1033="L1",Parameter!$H$5,IF(CC1033="L23",Parameter!$H$6+Parameter!$H$7,Parameter!$H$5+Parameter!$H$6+Parameter!$H$7))-(BE1033-BA1033))/BA1033)))</f>
        <v>1</v>
      </c>
      <c r="BG1033" s="48" t="str">
        <f aca="false">IF(AI1033&lt;=0,"",IF(CC1033="Aussen","Aussenlager",IF(CC1033="-","Nicht im Lift",IF(AN1033&gt;=1,"Lift",IF(AN1033&lt;=0,"Aussenlager","teilweise")))))</f>
        <v>Lift</v>
      </c>
      <c r="BH1033" s="48" t="str">
        <f aca="false">IF(AR1033&lt;=0,"",IF(CC1033="Aussen","Aussenlager",IF(CC1033="-","Nicht im Lift",IF(AW1033&gt;=1,"Lift",IF(AW1033&lt;=0,"Aussenlager","teilweise")))))</f>
        <v>Aussenlager</v>
      </c>
      <c r="BI1033" s="48" t="str">
        <f aca="false">IF(BA1033&lt;=0,"",IF(CC1033="Aussen","Aussenlager",IF(CC1033="-","Nicht im Lift",IF(BF1033&gt;=1,"Lift",IF(BF1033&lt;=0,"Aussenlager","teilweise")))))</f>
        <v>Lift</v>
      </c>
      <c r="BJ1033" s="48" t="str">
        <f aca="false">IF(A1033="","",IF(BS1033=1,"Neu; ","")&amp;IF(AND(BS1033=0,BN1033&lt;0),"negativer Bestand (Export "&amp;BN1033&amp;"); ","")&amp;IF(J1033&lt;=0,"Kein Verbrauch; ","")&amp;IF(CL1033&gt;0,"Lift "&amp;W1033&amp;" lt. Liftbericht (Fach "&amp;X1033&amp;" Stk); ",IF(BX1033=1,"Gebinde geschätzt ("&amp;T1033&amp;"); ",IF(BW1033=1,"Lose – Tablare geschätzt; ","")))&amp;IF(H1033&gt;AT1033,"Überbestand "&amp;ROUND(H1033-AT1033,0)&amp;" Stk / CHF "&amp;ROUND((H1033-AT1033)*G1033,0)&amp;"; ","")&amp;IF(AND(CE1033=1,CF1033&lt;CG1033),"MAX &lt; MB+LG; ","")&amp;IF(AND(CK1033&gt;0,CJ1033*10&gt;CK1033),"zu hoch für Tablar; ","")&amp;IF(AND(BS1033=0,OR(CE1033=1,AA1033&lt;&gt;"",U1033&lt;&gt;"",V1033&lt;&gt;"",AB1033&lt;&gt;"")),"manuell übersteuert; ","")&amp;IF(AND(BW1033=0,R1033=0),"Gebinde unbekannt / Stellmass fehlt; ","")&amp;IF(AND(BW1033=0,N(V1033)&lt;=0,N(Q1033)&lt;=0),"Menge pro Gebinde fehlt (Ist = 1 Gebinde); ","")&amp;BR1033)</f>
        <v>negativer Bestand (Export -1); </v>
      </c>
      <c r="BK1033" s="48"/>
      <c r="BL1033" s="48"/>
      <c r="BM1033" s="55"/>
      <c r="BN1033" s="50" t="n">
        <v>-1</v>
      </c>
      <c r="BO1033" s="50" t="n">
        <v>2</v>
      </c>
      <c r="BP1033" s="49" t="n">
        <v>-130.7</v>
      </c>
      <c r="BQ1033" s="50" t="n">
        <v>0.002</v>
      </c>
      <c r="BR1033" s="48"/>
      <c r="BS1033" s="53" t="n">
        <v>0</v>
      </c>
      <c r="BT1033" s="53" t="n">
        <v>1033</v>
      </c>
      <c r="BU1033" s="48" t="str">
        <f aca="false">IF(U1033&lt;&gt;"",UPPER(TRIM(U1033)),IF(BX1033=1,UPPER(VLOOKUP(T1033,Parameter!$I$27:$K$29,2,0)),IF(P1033="","LOSE",P1033)))</f>
        <v>S22</v>
      </c>
      <c r="BV1033" s="50" t="n">
        <f aca="false">IF(BU1033="LOSE",1,IF(N(V1033)&gt;0,V1033,IF(BX1033=1,MAX(1,N(VLOOKUP(T1033,Parameter!$I$27:$K$29,3,0)),H1033,N(N1033)),IF(N(Q1033)&gt;0,Q1033,MAX(1,H1033)))))</f>
        <v>2</v>
      </c>
      <c r="BW1033" s="53" t="n">
        <f aca="false">IF(BU1033="LOSE",1,0)</f>
        <v>0</v>
      </c>
      <c r="BX1033" s="53" t="n">
        <f aca="false">IF(AND(U1033="",OR(P1033="",P1033="LOSE"),T1033&lt;&gt;"",N(S1033)&lt;=0,ISNUMBER(MATCH(T1033,Parameter!$I$27:$I$29,0))),1,0)</f>
        <v>0</v>
      </c>
      <c r="BY1033" s="53" t="n">
        <f aca="false">IF(CL1033&gt;0,INDEX(Parameter!$H$5:$H$7,W1033)/INDEX(Parameter!$E$5:$E$7,W1033),IF(AND(BW1033=0,N(IFERROR(VLOOKUP(BU1033,'Gebinde-Kategorie'!$A$5:$N$45,14,0),0))&gt;0),VLOOKUP(BU1033,'Gebinde-Kategorie'!$A$5:$N$45,14,0)*10+Parameter!$M$23,Parameter!$M$24))</f>
        <v>155</v>
      </c>
      <c r="BZ1033" s="48" t="str">
        <f aca="false">IF(AND(Parameter!$B$19="Ja",E1033&lt;&gt;"",ISNUMBER(MATCH(E1033,Parameter!$I$35:$I$52,0))),VLOOKUP(E1033,Parameter!$I$35:$J$52,2,0),IFERROR(VLOOKUP(D1033,Parameter!$A$35:$C$64,2,0),"Nein"))</f>
        <v>2+3</v>
      </c>
      <c r="CA1033" s="52" t="n">
        <f aca="false">IF(BW1033=0,0,IF(N(S1033)&gt;0,S1033,IFERROR(VLOOKUP(D1033,Parameter!$A$35:$C$64,3,0)+0,0)))</f>
        <v>0</v>
      </c>
      <c r="CB1033" s="48" t="n">
        <f aca="false">IF(AA1033&lt;&gt;"",AA1033,Z1033)</f>
        <v>3</v>
      </c>
      <c r="CC1033" s="48" t="str">
        <f aca="false">IF(OR(CB1033=1,CB1033=2,CB1033=3),IF(Parameter!$E$27="Ja","LIFT",IF(CB1033=1,"L1","L23")),IF(CB1033="Aussen","Aussen","-"))</f>
        <v>LIFT</v>
      </c>
      <c r="CD1033" s="59" t="n">
        <f aca="false">IF(N(AB1033)&gt;0,AB1033,0)</f>
        <v>0</v>
      </c>
      <c r="CE1033" s="53" t="n">
        <f aca="false">IF(ISNUMBER(AE1033),1,0)</f>
        <v>0</v>
      </c>
      <c r="CF1033" s="50" t="n">
        <f aca="false">N(AE1033)</f>
        <v>0</v>
      </c>
      <c r="CG1033" s="50" t="n">
        <f aca="false">N(M1033)+N(N1033)</f>
        <v>1</v>
      </c>
      <c r="CH1033" s="50" t="n">
        <f aca="false">ROUNDUP(H1033/BV1033,0)</f>
        <v>1</v>
      </c>
      <c r="CI1033" s="50" t="n">
        <f aca="false">ROUNDUP(CF1033/BV1033,0)</f>
        <v>0</v>
      </c>
      <c r="CJ1033" s="53" t="n">
        <f aca="false">IF(BW1033=1,0,IFERROR(VLOOKUP(BU1033,'Gebinde-Kategorie'!$A$5:$N$45,5,0)+0,0))</f>
        <v>8</v>
      </c>
      <c r="CK1033" s="53" t="n">
        <f aca="false">IFERROR(IF(OR(CB1033=1,CB1033=2,CB1033=3),N(INDEX(Parameter!$I$5:$I$7,CB1033)),0),0)</f>
        <v>0</v>
      </c>
      <c r="CL1033" s="52" t="n">
        <f aca="false">IF(AND(Parameter!$B$21="Ja",ISNUMBER(W1033),N(X1033)&gt;0),IFERROR(N(INDEX(Parameter!$L$5:$L$7,W1033))*INDEX(Parameter!$E$5:$E$7,W1033)*X1033/SUMIFS($X$7:$X$1843,$W$7:$W$1843,W1033),0),0)</f>
        <v>0</v>
      </c>
    </row>
    <row r="1034" customFormat="false" ht="15" hidden="false" customHeight="false" outlineLevel="0" collapsed="false">
      <c r="A1034" s="48" t="s">
        <v>1904</v>
      </c>
      <c r="B1034" s="48" t="s">
        <v>413</v>
      </c>
      <c r="C1034" s="48" t="s">
        <v>168</v>
      </c>
      <c r="D1034" s="48" t="s">
        <v>188</v>
      </c>
      <c r="E1034" s="48" t="s">
        <v>189</v>
      </c>
      <c r="F1034" s="48" t="s">
        <v>222</v>
      </c>
      <c r="G1034" s="49" t="n">
        <v>43.75</v>
      </c>
      <c r="H1034" s="50" t="n">
        <f aca="false">MAX(0,IF(AND(Parameter!$B$21="Ja",ISNUMBER(Y1034)),Y1034,IF(Parameter!$B$20="Jahresanfang 2025 + Export",BO1034+BN1034,BN1034)))</f>
        <v>38</v>
      </c>
      <c r="I1034" s="50" t="n">
        <f aca="false">H1034*G1034</f>
        <v>1662.5</v>
      </c>
      <c r="J1034" s="50" t="n">
        <f aca="false">BQ1034*Parameter!$B$18</f>
        <v>0</v>
      </c>
      <c r="K1034" s="51" t="n">
        <v>39.5</v>
      </c>
      <c r="L1034" s="52" t="n">
        <v>0</v>
      </c>
      <c r="M1034" s="50" t="n">
        <v>0</v>
      </c>
      <c r="N1034" s="50" t="n">
        <v>1</v>
      </c>
      <c r="O1034" s="53" t="n">
        <v>28</v>
      </c>
      <c r="P1034" s="48" t="s">
        <v>306</v>
      </c>
      <c r="Q1034" s="50" t="n">
        <v>42</v>
      </c>
      <c r="R1034" s="53" t="n">
        <f aca="false">IF(BW1034=1,0,IFERROR(VLOOKUP(BU1034,'Gebinde-Kategorie'!$A$5:$N$45,13,0)+0,0))</f>
        <v>26</v>
      </c>
      <c r="S1034" s="54"/>
      <c r="T1034" s="55"/>
      <c r="U1034" s="55"/>
      <c r="V1034" s="55"/>
      <c r="W1034" s="48"/>
      <c r="X1034" s="50"/>
      <c r="Y1034" s="50"/>
      <c r="Z1034" s="48" t="n">
        <f aca="false">IF(A1034="","",IF(AND(Parameter!$B$21="Ja",ISNUMBER(W1034)),W1034,IF(BZ1034="2+3",IF(ISNUMBER(SEARCH("grosser Artikel",BR1034)),2,IFERROR(VLOOKUP(BU1034,Parameter!$F$35:$G$64,2,0),2)),IF(OR(BZ1034="Nein",BZ1034=""),"-",BZ1034))))</f>
        <v>3</v>
      </c>
      <c r="AA1034" s="55"/>
      <c r="AB1034" s="56"/>
      <c r="AC1034" s="50" t="n">
        <f aca="false">AT1034</f>
        <v>42</v>
      </c>
      <c r="AD1034" s="50" t="n">
        <f aca="false">MAX(AT1034,H1034)</f>
        <v>42</v>
      </c>
      <c r="AE1034" s="57"/>
      <c r="AF1034" s="50" t="n">
        <f aca="false">IF(LEFT(Cockpit!$C$5,1)="A",H1034,IF(CE1034=1,CF1034,IF(LEFT(Cockpit!$C$5,1)="B",AK1034,MAX(AK1034,H1034))))</f>
        <v>38</v>
      </c>
      <c r="AG1034" s="50" t="n">
        <f aca="false">IF(BW1034=1,0,ROUNDUP(AF1034/BV1034,0))</f>
        <v>1</v>
      </c>
      <c r="AH1034" s="52" t="n">
        <f aca="false">IF(CL1034&gt;0,CL1034*MAX(1,AF1034/X1034),IF(BW1034=1,IF(AF1034&lt;=0,0,CA1034*MAX(1,IF(H1034&gt;0,AF1034/H1034,1))),IF(R1034&gt;0,AG1034/R1034,0))/MAX(0.1,N(Parameter!$M$21)))</f>
        <v>0.0384615384615385</v>
      </c>
      <c r="AI1034" s="50" t="n">
        <f aca="false">AH1034*BY1034</f>
        <v>5.96153846153846</v>
      </c>
      <c r="AJ1034" s="50" t="n">
        <f aca="false">AF1034*G1034</f>
        <v>1662.5</v>
      </c>
      <c r="AK1034" s="50" t="n">
        <f aca="false">ROUNDUP(MAX(J1034/IF(CD1034&gt;0,CD1034,MAX(0.1,N(Cockpit!$C$6))),CG1034)/BV1034,0)*BV1034</f>
        <v>42</v>
      </c>
      <c r="AL1034" s="51" t="n">
        <f aca="false">IF(AI1034&gt;0,J1034/AI1034,-1)</f>
        <v>0</v>
      </c>
      <c r="AM1034" s="51" t="n">
        <f aca="false">IF(AND(OR(CC1034="L1",CC1034="L23",CC1034="LIFT"),AI1034&gt;0),SUMIFS($AI$7:$AI$1843,$CC$7:$CC$1843,CC1034,$AL$7:$AL$1843,"&gt;"&amp;AL1034)+SUMIFS($AI$7:$AI$1843,$CC$7:$CC$1843,CC1034,$AL$7:$AL$1843,AL1034,$BT$7:$BT$1843,"&lt;="&amp;BT1034),"")</f>
        <v>29042.4415600877</v>
      </c>
      <c r="AN1034" s="58" t="n">
        <f aca="false">IF(AM1034="",0,MAX(0,MIN(1,(IF(CC1034="L1",Parameter!$H$5,IF(CC1034="L23",Parameter!$H$6+Parameter!$H$7,Parameter!$H$5+Parameter!$H$6+Parameter!$H$7))-(AM1034-AI1034))/AI1034)))</f>
        <v>1</v>
      </c>
      <c r="AO1034" s="50" t="n">
        <f aca="false">IF(LEFT(Cockpit!$I$5,1)="A",H1034,IF(CE1034=1,CF1034,IF(LEFT(Cockpit!$I$5,1)="B",AT1034,MAX(AT1034,H1034))))</f>
        <v>42</v>
      </c>
      <c r="AP1034" s="50" t="n">
        <f aca="false">IF(BW1034=1,0,ROUNDUP(AO1034/BV1034,0))</f>
        <v>1</v>
      </c>
      <c r="AQ1034" s="52" t="n">
        <f aca="false">IF(CL1034&gt;0,CL1034*MAX(1,AO1034/X1034),IF(BW1034=1,IF(AO1034&lt;=0,0,CA1034*MAX(1,IF(H1034&gt;0,AO1034/H1034,1))),IF(R1034&gt;0,AP1034/R1034,0))/MAX(0.1,N(Parameter!$M$21)))</f>
        <v>0.0384615384615385</v>
      </c>
      <c r="AR1034" s="50" t="n">
        <f aca="false">AQ1034*BY1034</f>
        <v>5.96153846153846</v>
      </c>
      <c r="AS1034" s="50" t="n">
        <f aca="false">AO1034*G1034</f>
        <v>1837.5</v>
      </c>
      <c r="AT1034" s="50" t="n">
        <f aca="false">ROUNDUP(MAX(J1034/IF(CD1034&gt;0,CD1034,MAX(0.1,N(Cockpit!$I$6))),CG1034)/BV1034,0)*BV1034</f>
        <v>42</v>
      </c>
      <c r="AU1034" s="51" t="n">
        <f aca="false">IF(AR1034&gt;0,J1034/AR1034,-1)</f>
        <v>0</v>
      </c>
      <c r="AV1034" s="51" t="n">
        <f aca="false">IF(AND(OR(CC1034="L1",CC1034="L23",CC1034="LIFT"),AR1034&gt;0),SUMIFS($AR$7:$AR$1843,$CC$7:$CC$1843,CC1034,$AU$7:$AU$1843,"&gt;"&amp;AU1034)+SUMIFS($AR$7:$AR$1843,$CC$7:$CC$1843,CC1034,$AU$7:$AU$1843,AU1034,$BT$7:$BT$1843,"&lt;="&amp;BT1034),"")</f>
        <v>40709.5952458558</v>
      </c>
      <c r="AW1034" s="58" t="n">
        <f aca="false">IF(AV1034="",0,MAX(0,MIN(1,(IF(CC1034="L1",Parameter!$H$5,IF(CC1034="L23",Parameter!$H$6+Parameter!$H$7,Parameter!$H$5+Parameter!$H$6+Parameter!$H$7))-(AV1034-AR1034))/AR1034)))</f>
        <v>0</v>
      </c>
      <c r="AX1034" s="50" t="n">
        <f aca="false">IF(LEFT(Cockpit!$O$5,1)="A",H1034,IF(CE1034=1,CF1034,IF(LEFT(Cockpit!$O$5,1)="B",BC1034,MAX(BC1034,H1034))))</f>
        <v>42</v>
      </c>
      <c r="AY1034" s="50" t="n">
        <f aca="false">IF(BW1034=1,0,ROUNDUP(AX1034/BV1034,0))</f>
        <v>1</v>
      </c>
      <c r="AZ1034" s="52" t="n">
        <f aca="false">IF(CL1034&gt;0,CL1034*MAX(1,AX1034/X1034),IF(BW1034=1,IF(AX1034&lt;=0,0,CA1034*MAX(1,IF(H1034&gt;0,AX1034/H1034,1))),IF(R1034&gt;0,AY1034/R1034,0))/MAX(0.1,N(Parameter!$M$21)))</f>
        <v>0.0384615384615385</v>
      </c>
      <c r="BA1034" s="50" t="n">
        <f aca="false">AZ1034*BY1034</f>
        <v>5.96153846153846</v>
      </c>
      <c r="BB1034" s="50" t="n">
        <f aca="false">AX1034*G1034</f>
        <v>1837.5</v>
      </c>
      <c r="BC1034" s="50" t="n">
        <f aca="false">ROUNDUP(MAX(J1034/IF(CD1034&gt;0,CD1034,MAX(0.1,N(Cockpit!$O$6))),CG1034)/BV1034,0)*BV1034</f>
        <v>42</v>
      </c>
      <c r="BD1034" s="51" t="n">
        <f aca="false">IF(BA1034&gt;0,J1034/BA1034,-1)</f>
        <v>0</v>
      </c>
      <c r="BE1034" s="51" t="n">
        <f aca="false">IF(AND(OR(CC1034="L1",CC1034="L23",CC1034="LIFT"),BA1034&gt;0),SUMIFS($BA$7:$BA$1843,$CC$7:$CC$1843,CC1034,$BD$7:$BD$1843,"&gt;"&amp;BD1034)+SUMIFS($BA$7:$BA$1843,$CC$7:$CC$1843,CC1034,$BD$7:$BD$1843,BD1034,$BT$7:$BT$1843,"&lt;="&amp;BT1034),"")</f>
        <v>37384.6072877217</v>
      </c>
      <c r="BF1034" s="58" t="n">
        <f aca="false">IF(BE1034="",0,MAX(0,MIN(1,(IF(CC1034="L1",Parameter!$H$5,IF(CC1034="L23",Parameter!$H$6+Parameter!$H$7,Parameter!$H$5+Parameter!$H$6+Parameter!$H$7))-(BE1034-BA1034))/BA1034)))</f>
        <v>0</v>
      </c>
      <c r="BG1034" s="48" t="str">
        <f aca="false">IF(AI1034&lt;=0,"",IF(CC1034="Aussen","Aussenlager",IF(CC1034="-","Nicht im Lift",IF(AN1034&gt;=1,"Lift",IF(AN1034&lt;=0,"Aussenlager","teilweise")))))</f>
        <v>Lift</v>
      </c>
      <c r="BH1034" s="48" t="str">
        <f aca="false">IF(AR1034&lt;=0,"",IF(CC1034="Aussen","Aussenlager",IF(CC1034="-","Nicht im Lift",IF(AW1034&gt;=1,"Lift",IF(AW1034&lt;=0,"Aussenlager","teilweise")))))</f>
        <v>Aussenlager</v>
      </c>
      <c r="BI1034" s="48" t="str">
        <f aca="false">IF(BA1034&lt;=0,"",IF(CC1034="Aussen","Aussenlager",IF(CC1034="-","Nicht im Lift",IF(BF1034&gt;=1,"Lift",IF(BF1034&lt;=0,"Aussenlager","teilweise")))))</f>
        <v>Aussenlager</v>
      </c>
      <c r="BJ1034" s="48" t="str">
        <f aca="false">IF(A1034="","",IF(BS1034=1,"Neu; ","")&amp;IF(AND(BS1034=0,BN1034&lt;0),"negativer Bestand (Export "&amp;BN1034&amp;"); ","")&amp;IF(J1034&lt;=0,"Kein Verbrauch; ","")&amp;IF(CL1034&gt;0,"Lift "&amp;W1034&amp;" lt. Liftbericht (Fach "&amp;X1034&amp;" Stk); ",IF(BX1034=1,"Gebinde geschätzt ("&amp;T1034&amp;"); ",IF(BW1034=1,"Lose – Tablare geschätzt; ","")))&amp;IF(H1034&gt;AT1034,"Überbestand "&amp;ROUND(H1034-AT1034,0)&amp;" Stk / CHF "&amp;ROUND((H1034-AT1034)*G1034,0)&amp;"; ","")&amp;IF(AND(CE1034=1,CF1034&lt;CG1034),"MAX &lt; MB+LG; ","")&amp;IF(AND(CK1034&gt;0,CJ1034*10&gt;CK1034),"zu hoch für Tablar; ","")&amp;IF(AND(BS1034=0,OR(CE1034=1,AA1034&lt;&gt;"",U1034&lt;&gt;"",V1034&lt;&gt;"",AB1034&lt;&gt;"")),"manuell übersteuert; ","")&amp;IF(AND(BW1034=0,R1034=0),"Gebinde unbekannt / Stellmass fehlt; ","")&amp;IF(AND(BW1034=0,N(V1034)&lt;=0,N(Q1034)&lt;=0),"Menge pro Gebinde fehlt (Ist = 1 Gebinde); ","")&amp;BR1034)</f>
        <v>negativer Bestand (Export -3); Kein Verbrauch; </v>
      </c>
      <c r="BK1034" s="48"/>
      <c r="BL1034" s="48"/>
      <c r="BM1034" s="55"/>
      <c r="BN1034" s="50" t="n">
        <v>-3</v>
      </c>
      <c r="BO1034" s="50" t="n">
        <v>41</v>
      </c>
      <c r="BP1034" s="49" t="n">
        <v>-131.25</v>
      </c>
      <c r="BQ1034" s="50" t="n">
        <v>0</v>
      </c>
      <c r="BR1034" s="48"/>
      <c r="BS1034" s="53" t="n">
        <v>0</v>
      </c>
      <c r="BT1034" s="53" t="n">
        <v>1034</v>
      </c>
      <c r="BU1034" s="48" t="str">
        <f aca="false">IF(U1034&lt;&gt;"",UPPER(TRIM(U1034)),IF(BX1034=1,UPPER(VLOOKUP(T1034,Parameter!$I$27:$K$29,2,0)),IF(P1034="","LOSE",P1034)))</f>
        <v>S51</v>
      </c>
      <c r="BV1034" s="50" t="n">
        <f aca="false">IF(BU1034="LOSE",1,IF(N(V1034)&gt;0,V1034,IF(BX1034=1,MAX(1,N(VLOOKUP(T1034,Parameter!$I$27:$K$29,3,0)),H1034,N(N1034)),IF(N(Q1034)&gt;0,Q1034,MAX(1,H1034)))))</f>
        <v>42</v>
      </c>
      <c r="BW1034" s="53" t="n">
        <f aca="false">IF(BU1034="LOSE",1,0)</f>
        <v>0</v>
      </c>
      <c r="BX1034" s="53" t="n">
        <f aca="false">IF(AND(U1034="",OR(P1034="",P1034="LOSE"),T1034&lt;&gt;"",N(S1034)&lt;=0,ISNUMBER(MATCH(T1034,Parameter!$I$27:$I$29,0))),1,0)</f>
        <v>0</v>
      </c>
      <c r="BY1034" s="53" t="n">
        <f aca="false">IF(CL1034&gt;0,INDEX(Parameter!$H$5:$H$7,W1034)/INDEX(Parameter!$E$5:$E$7,W1034),IF(AND(BW1034=0,N(IFERROR(VLOOKUP(BU1034,'Gebinde-Kategorie'!$A$5:$N$45,14,0),0))&gt;0),VLOOKUP(BU1034,'Gebinde-Kategorie'!$A$5:$N$45,14,0)*10+Parameter!$M$23,Parameter!$M$24))</f>
        <v>155</v>
      </c>
      <c r="BZ1034" s="48" t="str">
        <f aca="false">IF(AND(Parameter!$B$19="Ja",E1034&lt;&gt;"",ISNUMBER(MATCH(E1034,Parameter!$I$35:$I$52,0))),VLOOKUP(E1034,Parameter!$I$35:$J$52,2,0),IFERROR(VLOOKUP(D1034,Parameter!$A$35:$C$64,2,0),"Nein"))</f>
        <v>2+3</v>
      </c>
      <c r="CA1034" s="52" t="n">
        <f aca="false">IF(BW1034=0,0,IF(N(S1034)&gt;0,S1034,IFERROR(VLOOKUP(D1034,Parameter!$A$35:$C$64,3,0)+0,0)))</f>
        <v>0</v>
      </c>
      <c r="CB1034" s="48" t="n">
        <f aca="false">IF(AA1034&lt;&gt;"",AA1034,Z1034)</f>
        <v>3</v>
      </c>
      <c r="CC1034" s="48" t="str">
        <f aca="false">IF(OR(CB1034=1,CB1034=2,CB1034=3),IF(Parameter!$E$27="Ja","LIFT",IF(CB1034=1,"L1","L23")),IF(CB1034="Aussen","Aussen","-"))</f>
        <v>LIFT</v>
      </c>
      <c r="CD1034" s="59" t="n">
        <f aca="false">IF(N(AB1034)&gt;0,AB1034,0)</f>
        <v>0</v>
      </c>
      <c r="CE1034" s="53" t="n">
        <f aca="false">IF(ISNUMBER(AE1034),1,0)</f>
        <v>0</v>
      </c>
      <c r="CF1034" s="50" t="n">
        <f aca="false">N(AE1034)</f>
        <v>0</v>
      </c>
      <c r="CG1034" s="50" t="n">
        <f aca="false">N(M1034)+N(N1034)</f>
        <v>1</v>
      </c>
      <c r="CH1034" s="50" t="n">
        <f aca="false">ROUNDUP(H1034/BV1034,0)</f>
        <v>1</v>
      </c>
      <c r="CI1034" s="50" t="n">
        <f aca="false">ROUNDUP(CF1034/BV1034,0)</f>
        <v>0</v>
      </c>
      <c r="CJ1034" s="53" t="n">
        <f aca="false">IF(BW1034=1,0,IFERROR(VLOOKUP(BU1034,'Gebinde-Kategorie'!$A$5:$N$45,5,0)+0,0))</f>
        <v>11</v>
      </c>
      <c r="CK1034" s="53" t="n">
        <f aca="false">IFERROR(IF(OR(CB1034=1,CB1034=2,CB1034=3),N(INDEX(Parameter!$I$5:$I$7,CB1034)),0),0)</f>
        <v>0</v>
      </c>
      <c r="CL1034" s="52" t="n">
        <f aca="false">IF(AND(Parameter!$B$21="Ja",ISNUMBER(W1034),N(X1034)&gt;0),IFERROR(N(INDEX(Parameter!$L$5:$L$7,W1034))*INDEX(Parameter!$E$5:$E$7,W1034)*X1034/SUMIFS($X$7:$X$1843,$W$7:$W$1843,W1034),0),0)</f>
        <v>0</v>
      </c>
    </row>
    <row r="1035" customFormat="false" ht="15" hidden="false" customHeight="false" outlineLevel="0" collapsed="false">
      <c r="A1035" s="48" t="s">
        <v>1905</v>
      </c>
      <c r="B1035" s="48" t="s">
        <v>1906</v>
      </c>
      <c r="C1035" s="48" t="s">
        <v>168</v>
      </c>
      <c r="D1035" s="48" t="s">
        <v>188</v>
      </c>
      <c r="E1035" s="48" t="s">
        <v>189</v>
      </c>
      <c r="F1035" s="48" t="s">
        <v>222</v>
      </c>
      <c r="G1035" s="49" t="n">
        <v>32.82</v>
      </c>
      <c r="H1035" s="50" t="n">
        <f aca="false">MAX(0,IF(AND(Parameter!$B$21="Ja",ISNUMBER(Y1035)),Y1035,IF(Parameter!$B$20="Jahresanfang 2025 + Export",BO1035+BN1035,BN1035)))</f>
        <v>44</v>
      </c>
      <c r="I1035" s="50" t="n">
        <f aca="false">H1035*G1035</f>
        <v>1444.08</v>
      </c>
      <c r="J1035" s="50" t="n">
        <f aca="false">BQ1035*Parameter!$B$18</f>
        <v>24</v>
      </c>
      <c r="K1035" s="51" t="n">
        <v>46.5</v>
      </c>
      <c r="L1035" s="52" t="n">
        <v>0.516129032258065</v>
      </c>
      <c r="M1035" s="50" t="n">
        <v>1</v>
      </c>
      <c r="N1035" s="50" t="n">
        <v>25</v>
      </c>
      <c r="O1035" s="53" t="n">
        <v>28</v>
      </c>
      <c r="P1035" s="48" t="s">
        <v>306</v>
      </c>
      <c r="Q1035" s="50" t="n">
        <v>30</v>
      </c>
      <c r="R1035" s="53" t="n">
        <f aca="false">IF(BW1035=1,0,IFERROR(VLOOKUP(BU1035,'Gebinde-Kategorie'!$A$5:$N$45,13,0)+0,0))</f>
        <v>26</v>
      </c>
      <c r="S1035" s="54"/>
      <c r="T1035" s="55"/>
      <c r="U1035" s="55"/>
      <c r="V1035" s="55"/>
      <c r="W1035" s="48"/>
      <c r="X1035" s="50"/>
      <c r="Y1035" s="50"/>
      <c r="Z1035" s="48" t="n">
        <f aca="false">IF(A1035="","",IF(AND(Parameter!$B$21="Ja",ISNUMBER(W1035)),W1035,IF(BZ1035="2+3",IF(ISNUMBER(SEARCH("grosser Artikel",BR1035)),2,IFERROR(VLOOKUP(BU1035,Parameter!$F$35:$G$64,2,0),2)),IF(OR(BZ1035="Nein",BZ1035=""),"-",BZ1035))))</f>
        <v>3</v>
      </c>
      <c r="AA1035" s="55"/>
      <c r="AB1035" s="56"/>
      <c r="AC1035" s="50" t="n">
        <f aca="false">AT1035</f>
        <v>30</v>
      </c>
      <c r="AD1035" s="50" t="n">
        <f aca="false">MAX(AT1035,H1035)</f>
        <v>44</v>
      </c>
      <c r="AE1035" s="57"/>
      <c r="AF1035" s="50" t="n">
        <f aca="false">IF(LEFT(Cockpit!$C$5,1)="A",H1035,IF(CE1035=1,CF1035,IF(LEFT(Cockpit!$C$5,1)="B",AK1035,MAX(AK1035,H1035))))</f>
        <v>44</v>
      </c>
      <c r="AG1035" s="50" t="n">
        <f aca="false">IF(BW1035=1,0,ROUNDUP(AF1035/BV1035,0))</f>
        <v>2</v>
      </c>
      <c r="AH1035" s="52" t="n">
        <f aca="false">IF(CL1035&gt;0,CL1035*MAX(1,AF1035/X1035),IF(BW1035=1,IF(AF1035&lt;=0,0,CA1035*MAX(1,IF(H1035&gt;0,AF1035/H1035,1))),IF(R1035&gt;0,AG1035/R1035,0))/MAX(0.1,N(Parameter!$M$21)))</f>
        <v>0.0769230769230769</v>
      </c>
      <c r="AI1035" s="50" t="n">
        <f aca="false">AH1035*BY1035</f>
        <v>11.9230769230769</v>
      </c>
      <c r="AJ1035" s="50" t="n">
        <f aca="false">AF1035*G1035</f>
        <v>1444.08</v>
      </c>
      <c r="AK1035" s="50" t="n">
        <f aca="false">ROUNDUP(MAX(J1035/IF(CD1035&gt;0,CD1035,MAX(0.1,N(Cockpit!$C$6))),CG1035)/BV1035,0)*BV1035</f>
        <v>30</v>
      </c>
      <c r="AL1035" s="51" t="n">
        <f aca="false">IF(AI1035&gt;0,J1035/AI1035,-1)</f>
        <v>2.01290322580645</v>
      </c>
      <c r="AM1035" s="51" t="n">
        <f aca="false">IF(AND(OR(CC1035="L1",CC1035="L23",CC1035="LIFT"),AI1035&gt;0),SUMIFS($AI$7:$AI$1843,$CC$7:$CC$1843,CC1035,$AL$7:$AL$1843,"&gt;"&amp;AL1035)+SUMIFS($AI$7:$AI$1843,$CC$7:$CC$1843,CC1035,$AL$7:$AL$1843,AL1035,$BT$7:$BT$1843,"&lt;="&amp;BT1035),"")</f>
        <v>5811.7152014652</v>
      </c>
      <c r="AN1035" s="58" t="n">
        <f aca="false">IF(AM1035="",0,MAX(0,MIN(1,(IF(CC1035="L1",Parameter!$H$5,IF(CC1035="L23",Parameter!$H$6+Parameter!$H$7,Parameter!$H$5+Parameter!$H$6+Parameter!$H$7))-(AM1035-AI1035))/AI1035)))</f>
        <v>1</v>
      </c>
      <c r="AO1035" s="50" t="n">
        <f aca="false">IF(LEFT(Cockpit!$I$5,1)="A",H1035,IF(CE1035=1,CF1035,IF(LEFT(Cockpit!$I$5,1)="B",AT1035,MAX(AT1035,H1035))))</f>
        <v>44</v>
      </c>
      <c r="AP1035" s="50" t="n">
        <f aca="false">IF(BW1035=1,0,ROUNDUP(AO1035/BV1035,0))</f>
        <v>2</v>
      </c>
      <c r="AQ1035" s="52" t="n">
        <f aca="false">IF(CL1035&gt;0,CL1035*MAX(1,AO1035/X1035),IF(BW1035=1,IF(AO1035&lt;=0,0,CA1035*MAX(1,IF(H1035&gt;0,AO1035/H1035,1))),IF(R1035&gt;0,AP1035/R1035,0))/MAX(0.1,N(Parameter!$M$21)))</f>
        <v>0.0769230769230769</v>
      </c>
      <c r="AR1035" s="50" t="n">
        <f aca="false">AQ1035*BY1035</f>
        <v>11.9230769230769</v>
      </c>
      <c r="AS1035" s="50" t="n">
        <f aca="false">AO1035*G1035</f>
        <v>1444.08</v>
      </c>
      <c r="AT1035" s="50" t="n">
        <f aca="false">ROUNDUP(MAX(J1035/IF(CD1035&gt;0,CD1035,MAX(0.1,N(Cockpit!$I$6))),CG1035)/BV1035,0)*BV1035</f>
        <v>30</v>
      </c>
      <c r="AU1035" s="51" t="n">
        <f aca="false">IF(AR1035&gt;0,J1035/AR1035,-1)</f>
        <v>2.01290322580645</v>
      </c>
      <c r="AV1035" s="51" t="n">
        <f aca="false">IF(AND(OR(CC1035="L1",CC1035="L23",CC1035="LIFT"),AR1035&gt;0),SUMIFS($AR$7:$AR$1843,$CC$7:$CC$1843,CC1035,$AU$7:$AU$1843,"&gt;"&amp;AU1035)+SUMIFS($AR$7:$AR$1843,$CC$7:$CC$1843,CC1035,$AU$7:$AU$1843,AU1035,$BT$7:$BT$1843,"&lt;="&amp;BT1035),"")</f>
        <v>7721.40750915751</v>
      </c>
      <c r="AW1035" s="58" t="n">
        <f aca="false">IF(AV1035="",0,MAX(0,MIN(1,(IF(CC1035="L1",Parameter!$H$5,IF(CC1035="L23",Parameter!$H$6+Parameter!$H$7,Parameter!$H$5+Parameter!$H$6+Parameter!$H$7))-(AV1035-AR1035))/AR1035)))</f>
        <v>1</v>
      </c>
      <c r="AX1035" s="50" t="n">
        <f aca="false">IF(LEFT(Cockpit!$O$5,1)="A",H1035,IF(CE1035=1,CF1035,IF(LEFT(Cockpit!$O$5,1)="B",BC1035,MAX(BC1035,H1035))))</f>
        <v>44</v>
      </c>
      <c r="AY1035" s="50" t="n">
        <f aca="false">IF(BW1035=1,0,ROUNDUP(AX1035/BV1035,0))</f>
        <v>2</v>
      </c>
      <c r="AZ1035" s="52" t="n">
        <f aca="false">IF(CL1035&gt;0,CL1035*MAX(1,AX1035/X1035),IF(BW1035=1,IF(AX1035&lt;=0,0,CA1035*MAX(1,IF(H1035&gt;0,AX1035/H1035,1))),IF(R1035&gt;0,AY1035/R1035,0))/MAX(0.1,N(Parameter!$M$21)))</f>
        <v>0.0769230769230769</v>
      </c>
      <c r="BA1035" s="50" t="n">
        <f aca="false">AZ1035*BY1035</f>
        <v>11.9230769230769</v>
      </c>
      <c r="BB1035" s="50" t="n">
        <f aca="false">AX1035*G1035</f>
        <v>1444.08</v>
      </c>
      <c r="BC1035" s="50" t="n">
        <f aca="false">ROUNDUP(MAX(J1035/IF(CD1035&gt;0,CD1035,MAX(0.1,N(Cockpit!$O$6))),CG1035)/BV1035,0)*BV1035</f>
        <v>30</v>
      </c>
      <c r="BD1035" s="51" t="n">
        <f aca="false">IF(BA1035&gt;0,J1035/BA1035,-1)</f>
        <v>2.01290322580645</v>
      </c>
      <c r="BE1035" s="51" t="n">
        <f aca="false">IF(AND(OR(CC1035="L1",CC1035="L23",CC1035="LIFT"),BA1035&gt;0),SUMIFS($BA$7:$BA$1843,$CC$7:$CC$1843,CC1035,$BD$7:$BD$1843,"&gt;"&amp;BD1035)+SUMIFS($BA$7:$BA$1843,$CC$7:$CC$1843,CC1035,$BD$7:$BD$1843,BD1035,$BT$7:$BT$1843,"&lt;="&amp;BT1035),"")</f>
        <v>7620.39789377289</v>
      </c>
      <c r="BF1035" s="58" t="n">
        <f aca="false">IF(BE1035="",0,MAX(0,MIN(1,(IF(CC1035="L1",Parameter!$H$5,IF(CC1035="L23",Parameter!$H$6+Parameter!$H$7,Parameter!$H$5+Parameter!$H$6+Parameter!$H$7))-(BE1035-BA1035))/BA1035)))</f>
        <v>1</v>
      </c>
      <c r="BG1035" s="48" t="str">
        <f aca="false">IF(AI1035&lt;=0,"",IF(CC1035="Aussen","Aussenlager",IF(CC1035="-","Nicht im Lift",IF(AN1035&gt;=1,"Lift",IF(AN1035&lt;=0,"Aussenlager","teilweise")))))</f>
        <v>Lift</v>
      </c>
      <c r="BH1035" s="48" t="str">
        <f aca="false">IF(AR1035&lt;=0,"",IF(CC1035="Aussen","Aussenlager",IF(CC1035="-","Nicht im Lift",IF(AW1035&gt;=1,"Lift",IF(AW1035&lt;=0,"Aussenlager","teilweise")))))</f>
        <v>Lift</v>
      </c>
      <c r="BI1035" s="48" t="str">
        <f aca="false">IF(BA1035&lt;=0,"",IF(CC1035="Aussen","Aussenlager",IF(CC1035="-","Nicht im Lift",IF(BF1035&gt;=1,"Lift",IF(BF1035&lt;=0,"Aussenlager","teilweise")))))</f>
        <v>Lift</v>
      </c>
      <c r="BJ1035" s="48" t="str">
        <f aca="false">IF(A1035="","",IF(BS1035=1,"Neu; ","")&amp;IF(AND(BS1035=0,BN1035&lt;0),"negativer Bestand (Export "&amp;BN1035&amp;"); ","")&amp;IF(J1035&lt;=0,"Kein Verbrauch; ","")&amp;IF(CL1035&gt;0,"Lift "&amp;W1035&amp;" lt. Liftbericht (Fach "&amp;X1035&amp;" Stk); ",IF(BX1035=1,"Gebinde geschätzt ("&amp;T1035&amp;"); ",IF(BW1035=1,"Lose – Tablare geschätzt; ","")))&amp;IF(H1035&gt;AT1035,"Überbestand "&amp;ROUND(H1035-AT1035,0)&amp;" Stk / CHF "&amp;ROUND((H1035-AT1035)*G1035,0)&amp;"; ","")&amp;IF(AND(CE1035=1,CF1035&lt;CG1035),"MAX &lt; MB+LG; ","")&amp;IF(AND(CK1035&gt;0,CJ1035*10&gt;CK1035),"zu hoch für Tablar; ","")&amp;IF(AND(BS1035=0,OR(CE1035=1,AA1035&lt;&gt;"",U1035&lt;&gt;"",V1035&lt;&gt;"",AB1035&lt;&gt;"")),"manuell übersteuert; ","")&amp;IF(AND(BW1035=0,R1035=0),"Gebinde unbekannt / Stellmass fehlt; ","")&amp;IF(AND(BW1035=0,N(V1035)&lt;=0,N(Q1035)&lt;=0),"Menge pro Gebinde fehlt (Ist = 1 Gebinde); ","")&amp;BR1035)</f>
        <v>negativer Bestand (Export -4); Überbestand 14 Stk / CHF 459; Neu</v>
      </c>
      <c r="BK1035" s="48"/>
      <c r="BL1035" s="48"/>
      <c r="BM1035" s="55"/>
      <c r="BN1035" s="50" t="n">
        <v>-4</v>
      </c>
      <c r="BO1035" s="50" t="n">
        <v>48</v>
      </c>
      <c r="BP1035" s="49" t="n">
        <v>-131.28</v>
      </c>
      <c r="BQ1035" s="50" t="n">
        <v>24</v>
      </c>
      <c r="BR1035" s="48" t="s">
        <v>630</v>
      </c>
      <c r="BS1035" s="53" t="n">
        <v>0</v>
      </c>
      <c r="BT1035" s="53" t="n">
        <v>1035</v>
      </c>
      <c r="BU1035" s="48" t="str">
        <f aca="false">IF(U1035&lt;&gt;"",UPPER(TRIM(U1035)),IF(BX1035=1,UPPER(VLOOKUP(T1035,Parameter!$I$27:$K$29,2,0)),IF(P1035="","LOSE",P1035)))</f>
        <v>S51</v>
      </c>
      <c r="BV1035" s="50" t="n">
        <f aca="false">IF(BU1035="LOSE",1,IF(N(V1035)&gt;0,V1035,IF(BX1035=1,MAX(1,N(VLOOKUP(T1035,Parameter!$I$27:$K$29,3,0)),H1035,N(N1035)),IF(N(Q1035)&gt;0,Q1035,MAX(1,H1035)))))</f>
        <v>30</v>
      </c>
      <c r="BW1035" s="53" t="n">
        <f aca="false">IF(BU1035="LOSE",1,0)</f>
        <v>0</v>
      </c>
      <c r="BX1035" s="53" t="n">
        <f aca="false">IF(AND(U1035="",OR(P1035="",P1035="LOSE"),T1035&lt;&gt;"",N(S1035)&lt;=0,ISNUMBER(MATCH(T1035,Parameter!$I$27:$I$29,0))),1,0)</f>
        <v>0</v>
      </c>
      <c r="BY1035" s="53" t="n">
        <f aca="false">IF(CL1035&gt;0,INDEX(Parameter!$H$5:$H$7,W1035)/INDEX(Parameter!$E$5:$E$7,W1035),IF(AND(BW1035=0,N(IFERROR(VLOOKUP(BU1035,'Gebinde-Kategorie'!$A$5:$N$45,14,0),0))&gt;0),VLOOKUP(BU1035,'Gebinde-Kategorie'!$A$5:$N$45,14,0)*10+Parameter!$M$23,Parameter!$M$24))</f>
        <v>155</v>
      </c>
      <c r="BZ1035" s="48" t="str">
        <f aca="false">IF(AND(Parameter!$B$19="Ja",E1035&lt;&gt;"",ISNUMBER(MATCH(E1035,Parameter!$I$35:$I$52,0))),VLOOKUP(E1035,Parameter!$I$35:$J$52,2,0),IFERROR(VLOOKUP(D1035,Parameter!$A$35:$C$64,2,0),"Nein"))</f>
        <v>2+3</v>
      </c>
      <c r="CA1035" s="52" t="n">
        <f aca="false">IF(BW1035=0,0,IF(N(S1035)&gt;0,S1035,IFERROR(VLOOKUP(D1035,Parameter!$A$35:$C$64,3,0)+0,0)))</f>
        <v>0</v>
      </c>
      <c r="CB1035" s="48" t="n">
        <f aca="false">IF(AA1035&lt;&gt;"",AA1035,Z1035)</f>
        <v>3</v>
      </c>
      <c r="CC1035" s="48" t="str">
        <f aca="false">IF(OR(CB1035=1,CB1035=2,CB1035=3),IF(Parameter!$E$27="Ja","LIFT",IF(CB1035=1,"L1","L23")),IF(CB1035="Aussen","Aussen","-"))</f>
        <v>LIFT</v>
      </c>
      <c r="CD1035" s="59" t="n">
        <f aca="false">IF(N(AB1035)&gt;0,AB1035,0)</f>
        <v>0</v>
      </c>
      <c r="CE1035" s="53" t="n">
        <f aca="false">IF(ISNUMBER(AE1035),1,0)</f>
        <v>0</v>
      </c>
      <c r="CF1035" s="50" t="n">
        <f aca="false">N(AE1035)</f>
        <v>0</v>
      </c>
      <c r="CG1035" s="50" t="n">
        <f aca="false">N(M1035)+N(N1035)</f>
        <v>26</v>
      </c>
      <c r="CH1035" s="50" t="n">
        <f aca="false">ROUNDUP(H1035/BV1035,0)</f>
        <v>2</v>
      </c>
      <c r="CI1035" s="50" t="n">
        <f aca="false">ROUNDUP(CF1035/BV1035,0)</f>
        <v>0</v>
      </c>
      <c r="CJ1035" s="53" t="n">
        <f aca="false">IF(BW1035=1,0,IFERROR(VLOOKUP(BU1035,'Gebinde-Kategorie'!$A$5:$N$45,5,0)+0,0))</f>
        <v>11</v>
      </c>
      <c r="CK1035" s="53" t="n">
        <f aca="false">IFERROR(IF(OR(CB1035=1,CB1035=2,CB1035=3),N(INDEX(Parameter!$I$5:$I$7,CB1035)),0),0)</f>
        <v>0</v>
      </c>
      <c r="CL1035" s="52" t="n">
        <f aca="false">IF(AND(Parameter!$B$21="Ja",ISNUMBER(W1035),N(X1035)&gt;0),IFERROR(N(INDEX(Parameter!$L$5:$L$7,W1035))*INDEX(Parameter!$E$5:$E$7,W1035)*X1035/SUMIFS($X$7:$X$1843,$W$7:$W$1843,W1035),0),0)</f>
        <v>0</v>
      </c>
    </row>
    <row r="1036" customFormat="false" ht="15" hidden="false" customHeight="false" outlineLevel="0" collapsed="false">
      <c r="A1036" s="48" t="s">
        <v>1907</v>
      </c>
      <c r="B1036" s="48" t="s">
        <v>1790</v>
      </c>
      <c r="C1036" s="48" t="s">
        <v>168</v>
      </c>
      <c r="D1036" s="48" t="s">
        <v>188</v>
      </c>
      <c r="E1036" s="48" t="s">
        <v>189</v>
      </c>
      <c r="F1036" s="48" t="s">
        <v>222</v>
      </c>
      <c r="G1036" s="49" t="n">
        <v>30.34</v>
      </c>
      <c r="H1036" s="50" t="n">
        <f aca="false">MAX(0,IF(AND(Parameter!$B$21="Ja",ISNUMBER(Y1036)),Y1036,IF(Parameter!$B$20="Jahresanfang 2025 + Export",BO1036+BN1036,BN1036)))</f>
        <v>6</v>
      </c>
      <c r="I1036" s="50" t="n">
        <f aca="false">H1036*G1036</f>
        <v>182.04</v>
      </c>
      <c r="J1036" s="50" t="n">
        <f aca="false">BQ1036*Parameter!$B$18</f>
        <v>2</v>
      </c>
      <c r="K1036" s="51" t="n">
        <v>9</v>
      </c>
      <c r="L1036" s="52" t="n">
        <v>0.222222222222222</v>
      </c>
      <c r="M1036" s="50" t="n">
        <v>0</v>
      </c>
      <c r="N1036" s="50" t="n">
        <v>1</v>
      </c>
      <c r="O1036" s="53" t="n">
        <v>19</v>
      </c>
      <c r="P1036" s="48" t="s">
        <v>405</v>
      </c>
      <c r="Q1036" s="50" t="n">
        <v>16</v>
      </c>
      <c r="R1036" s="53" t="n">
        <f aca="false">IF(BW1036=1,0,IFERROR(VLOOKUP(BU1036,'Gebinde-Kategorie'!$A$5:$N$45,13,0)+0,0))</f>
        <v>280</v>
      </c>
      <c r="S1036" s="54"/>
      <c r="T1036" s="55"/>
      <c r="U1036" s="55"/>
      <c r="V1036" s="55"/>
      <c r="W1036" s="48"/>
      <c r="X1036" s="50"/>
      <c r="Y1036" s="50"/>
      <c r="Z1036" s="48" t="n">
        <f aca="false">IF(A1036="","",IF(AND(Parameter!$B$21="Ja",ISNUMBER(W1036)),W1036,IF(BZ1036="2+3",IF(ISNUMBER(SEARCH("grosser Artikel",BR1036)),2,IFERROR(VLOOKUP(BU1036,Parameter!$F$35:$G$64,2,0),2)),IF(OR(BZ1036="Nein",BZ1036=""),"-",BZ1036))))</f>
        <v>3</v>
      </c>
      <c r="AA1036" s="55"/>
      <c r="AB1036" s="56"/>
      <c r="AC1036" s="50" t="n">
        <f aca="false">AT1036</f>
        <v>16</v>
      </c>
      <c r="AD1036" s="50" t="n">
        <f aca="false">MAX(AT1036,H1036)</f>
        <v>16</v>
      </c>
      <c r="AE1036" s="57"/>
      <c r="AF1036" s="50" t="n">
        <f aca="false">IF(LEFT(Cockpit!$C$5,1)="A",H1036,IF(CE1036=1,CF1036,IF(LEFT(Cockpit!$C$5,1)="B",AK1036,MAX(AK1036,H1036))))</f>
        <v>6</v>
      </c>
      <c r="AG1036" s="50" t="n">
        <f aca="false">IF(BW1036=1,0,ROUNDUP(AF1036/BV1036,0))</f>
        <v>1</v>
      </c>
      <c r="AH1036" s="52" t="n">
        <f aca="false">IF(CL1036&gt;0,CL1036*MAX(1,AF1036/X1036),IF(BW1036=1,IF(AF1036&lt;=0,0,CA1036*MAX(1,IF(H1036&gt;0,AF1036/H1036,1))),IF(R1036&gt;0,AG1036/R1036,0))/MAX(0.1,N(Parameter!$M$21)))</f>
        <v>0.00357142857142857</v>
      </c>
      <c r="AI1036" s="50" t="n">
        <f aca="false">AH1036*BY1036</f>
        <v>0.553571428571429</v>
      </c>
      <c r="AJ1036" s="50" t="n">
        <f aca="false">AF1036*G1036</f>
        <v>182.04</v>
      </c>
      <c r="AK1036" s="50" t="n">
        <f aca="false">ROUNDUP(MAX(J1036/IF(CD1036&gt;0,CD1036,MAX(0.1,N(Cockpit!$C$6))),CG1036)/BV1036,0)*BV1036</f>
        <v>16</v>
      </c>
      <c r="AL1036" s="51" t="n">
        <f aca="false">IF(AI1036&gt;0,J1036/AI1036,-1)</f>
        <v>3.61290322580645</v>
      </c>
      <c r="AM1036" s="51" t="n">
        <f aca="false">IF(AND(OR(CC1036="L1",CC1036="L23",CC1036="LIFT"),AI1036&gt;0),SUMIFS($AI$7:$AI$1843,$CC$7:$CC$1843,CC1036,$AL$7:$AL$1843,"&gt;"&amp;AL1036)+SUMIFS($AI$7:$AI$1843,$CC$7:$CC$1843,CC1036,$AL$7:$AL$1843,AL1036,$BT$7:$BT$1843,"&lt;="&amp;BT1036),"")</f>
        <v>4831.74908424908</v>
      </c>
      <c r="AN1036" s="58" t="n">
        <f aca="false">IF(AM1036="",0,MAX(0,MIN(1,(IF(CC1036="L1",Parameter!$H$5,IF(CC1036="L23",Parameter!$H$6+Parameter!$H$7,Parameter!$H$5+Parameter!$H$6+Parameter!$H$7))-(AM1036-AI1036))/AI1036)))</f>
        <v>1</v>
      </c>
      <c r="AO1036" s="50" t="n">
        <f aca="false">IF(LEFT(Cockpit!$I$5,1)="A",H1036,IF(CE1036=1,CF1036,IF(LEFT(Cockpit!$I$5,1)="B",AT1036,MAX(AT1036,H1036))))</f>
        <v>16</v>
      </c>
      <c r="AP1036" s="50" t="n">
        <f aca="false">IF(BW1036=1,0,ROUNDUP(AO1036/BV1036,0))</f>
        <v>1</v>
      </c>
      <c r="AQ1036" s="52" t="n">
        <f aca="false">IF(CL1036&gt;0,CL1036*MAX(1,AO1036/X1036),IF(BW1036=1,IF(AO1036&lt;=0,0,CA1036*MAX(1,IF(H1036&gt;0,AO1036/H1036,1))),IF(R1036&gt;0,AP1036/R1036,0))/MAX(0.1,N(Parameter!$M$21)))</f>
        <v>0.00357142857142857</v>
      </c>
      <c r="AR1036" s="50" t="n">
        <f aca="false">AQ1036*BY1036</f>
        <v>0.553571428571429</v>
      </c>
      <c r="AS1036" s="50" t="n">
        <f aca="false">AO1036*G1036</f>
        <v>485.44</v>
      </c>
      <c r="AT1036" s="50" t="n">
        <f aca="false">ROUNDUP(MAX(J1036/IF(CD1036&gt;0,CD1036,MAX(0.1,N(Cockpit!$I$6))),CG1036)/BV1036,0)*BV1036</f>
        <v>16</v>
      </c>
      <c r="AU1036" s="51" t="n">
        <f aca="false">IF(AR1036&gt;0,J1036/AR1036,-1)</f>
        <v>3.61290322580645</v>
      </c>
      <c r="AV1036" s="51" t="n">
        <f aca="false">IF(AND(OR(CC1036="L1",CC1036="L23",CC1036="LIFT"),AR1036&gt;0),SUMIFS($AR$7:$AR$1843,$CC$7:$CC$1843,CC1036,$AU$7:$AU$1843,"&gt;"&amp;AU1036)+SUMIFS($AR$7:$AR$1843,$CC$7:$CC$1843,CC1036,$AU$7:$AU$1843,AU1036,$BT$7:$BT$1843,"&lt;="&amp;BT1036),"")</f>
        <v>5960.36767399267</v>
      </c>
      <c r="AW1036" s="58" t="n">
        <f aca="false">IF(AV1036="",0,MAX(0,MIN(1,(IF(CC1036="L1",Parameter!$H$5,IF(CC1036="L23",Parameter!$H$6+Parameter!$H$7,Parameter!$H$5+Parameter!$H$6+Parameter!$H$7))-(AV1036-AR1036))/AR1036)))</f>
        <v>1</v>
      </c>
      <c r="AX1036" s="50" t="n">
        <f aca="false">IF(LEFT(Cockpit!$O$5,1)="A",H1036,IF(CE1036=1,CF1036,IF(LEFT(Cockpit!$O$5,1)="B",BC1036,MAX(BC1036,H1036))))</f>
        <v>16</v>
      </c>
      <c r="AY1036" s="50" t="n">
        <f aca="false">IF(BW1036=1,0,ROUNDUP(AX1036/BV1036,0))</f>
        <v>1</v>
      </c>
      <c r="AZ1036" s="52" t="n">
        <f aca="false">IF(CL1036&gt;0,CL1036*MAX(1,AX1036/X1036),IF(BW1036=1,IF(AX1036&lt;=0,0,CA1036*MAX(1,IF(H1036&gt;0,AX1036/H1036,1))),IF(R1036&gt;0,AY1036/R1036,0))/MAX(0.1,N(Parameter!$M$21)))</f>
        <v>0.00357142857142857</v>
      </c>
      <c r="BA1036" s="50" t="n">
        <f aca="false">AZ1036*BY1036</f>
        <v>0.553571428571429</v>
      </c>
      <c r="BB1036" s="50" t="n">
        <f aca="false">AX1036*G1036</f>
        <v>485.44</v>
      </c>
      <c r="BC1036" s="50" t="n">
        <f aca="false">ROUNDUP(MAX(J1036/IF(CD1036&gt;0,CD1036,MAX(0.1,N(Cockpit!$O$6))),CG1036)/BV1036,0)*BV1036</f>
        <v>16</v>
      </c>
      <c r="BD1036" s="51" t="n">
        <f aca="false">IF(BA1036&gt;0,J1036/BA1036,-1)</f>
        <v>3.61290322580645</v>
      </c>
      <c r="BE1036" s="51" t="n">
        <f aca="false">IF(AND(OR(CC1036="L1",CC1036="L23",CC1036="LIFT"),BA1036&gt;0),SUMIFS($BA$7:$BA$1843,$CC$7:$CC$1843,CC1036,$BD$7:$BD$1843,"&gt;"&amp;BD1036)+SUMIFS($BA$7:$BA$1843,$CC$7:$CC$1843,CC1036,$BD$7:$BD$1843,BD1036,$BT$7:$BT$1843,"&lt;="&amp;BT1036),"")</f>
        <v>5861.95421245421</v>
      </c>
      <c r="BF1036" s="58" t="n">
        <f aca="false">IF(BE1036="",0,MAX(0,MIN(1,(IF(CC1036="L1",Parameter!$H$5,IF(CC1036="L23",Parameter!$H$6+Parameter!$H$7,Parameter!$H$5+Parameter!$H$6+Parameter!$H$7))-(BE1036-BA1036))/BA1036)))</f>
        <v>1</v>
      </c>
      <c r="BG1036" s="48" t="str">
        <f aca="false">IF(AI1036&lt;=0,"",IF(CC1036="Aussen","Aussenlager",IF(CC1036="-","Nicht im Lift",IF(AN1036&gt;=1,"Lift",IF(AN1036&lt;=0,"Aussenlager","teilweise")))))</f>
        <v>Lift</v>
      </c>
      <c r="BH1036" s="48" t="str">
        <f aca="false">IF(AR1036&lt;=0,"",IF(CC1036="Aussen","Aussenlager",IF(CC1036="-","Nicht im Lift",IF(AW1036&gt;=1,"Lift",IF(AW1036&lt;=0,"Aussenlager","teilweise")))))</f>
        <v>Lift</v>
      </c>
      <c r="BI1036" s="48" t="str">
        <f aca="false">IF(BA1036&lt;=0,"",IF(CC1036="Aussen","Aussenlager",IF(CC1036="-","Nicht im Lift",IF(BF1036&gt;=1,"Lift",IF(BF1036&lt;=0,"Aussenlager","teilweise")))))</f>
        <v>Lift</v>
      </c>
      <c r="BJ1036" s="48" t="str">
        <f aca="false">IF(A1036="","",IF(BS1036=1,"Neu; ","")&amp;IF(AND(BS1036=0,BN1036&lt;0),"negativer Bestand (Export "&amp;BN1036&amp;"); ","")&amp;IF(J1036&lt;=0,"Kein Verbrauch; ","")&amp;IF(CL1036&gt;0,"Lift "&amp;W1036&amp;" lt. Liftbericht (Fach "&amp;X1036&amp;" Stk); ",IF(BX1036=1,"Gebinde geschätzt ("&amp;T1036&amp;"); ",IF(BW1036=1,"Lose – Tablare geschätzt; ","")))&amp;IF(H1036&gt;AT1036,"Überbestand "&amp;ROUND(H1036-AT1036,0)&amp;" Stk / CHF "&amp;ROUND((H1036-AT1036)*G1036,0)&amp;"; ","")&amp;IF(AND(CE1036=1,CF1036&lt;CG1036),"MAX &lt; MB+LG; ","")&amp;IF(AND(CK1036&gt;0,CJ1036*10&gt;CK1036),"zu hoch für Tablar; ","")&amp;IF(AND(BS1036=0,OR(CE1036=1,AA1036&lt;&gt;"",U1036&lt;&gt;"",V1036&lt;&gt;"",AB1036&lt;&gt;"")),"manuell übersteuert; ","")&amp;IF(AND(BW1036=0,R1036=0),"Gebinde unbekannt / Stellmass fehlt; ","")&amp;IF(AND(BW1036=0,N(V1036)&lt;=0,N(Q1036)&lt;=0),"Menge pro Gebinde fehlt (Ist = 1 Gebinde); ","")&amp;BR1036)</f>
        <v>negativer Bestand (Export -4); Überbestand</v>
      </c>
      <c r="BK1036" s="48"/>
      <c r="BL1036" s="48"/>
      <c r="BM1036" s="55"/>
      <c r="BN1036" s="50" t="n">
        <v>-4</v>
      </c>
      <c r="BO1036" s="50" t="n">
        <v>10</v>
      </c>
      <c r="BP1036" s="49" t="n">
        <v>-131.66</v>
      </c>
      <c r="BQ1036" s="50" t="n">
        <v>2</v>
      </c>
      <c r="BR1036" s="48" t="s">
        <v>396</v>
      </c>
      <c r="BS1036" s="53" t="n">
        <v>0</v>
      </c>
      <c r="BT1036" s="53" t="n">
        <v>1036</v>
      </c>
      <c r="BU1036" s="48" t="str">
        <f aca="false">IF(U1036&lt;&gt;"",UPPER(TRIM(U1036)),IF(BX1036=1,UPPER(VLOOKUP(T1036,Parameter!$I$27:$K$29,2,0)),IF(P1036="","LOSE",P1036)))</f>
        <v>S21</v>
      </c>
      <c r="BV1036" s="50" t="n">
        <f aca="false">IF(BU1036="LOSE",1,IF(N(V1036)&gt;0,V1036,IF(BX1036=1,MAX(1,N(VLOOKUP(T1036,Parameter!$I$27:$K$29,3,0)),H1036,N(N1036)),IF(N(Q1036)&gt;0,Q1036,MAX(1,H1036)))))</f>
        <v>16</v>
      </c>
      <c r="BW1036" s="53" t="n">
        <f aca="false">IF(BU1036="LOSE",1,0)</f>
        <v>0</v>
      </c>
      <c r="BX1036" s="53" t="n">
        <f aca="false">IF(AND(U1036="",OR(P1036="",P1036="LOSE"),T1036&lt;&gt;"",N(S1036)&lt;=0,ISNUMBER(MATCH(T1036,Parameter!$I$27:$I$29,0))),1,0)</f>
        <v>0</v>
      </c>
      <c r="BY1036" s="53" t="n">
        <f aca="false">IF(CL1036&gt;0,INDEX(Parameter!$H$5:$H$7,W1036)/INDEX(Parameter!$E$5:$E$7,W1036),IF(AND(BW1036=0,N(IFERROR(VLOOKUP(BU1036,'Gebinde-Kategorie'!$A$5:$N$45,14,0),0))&gt;0),VLOOKUP(BU1036,'Gebinde-Kategorie'!$A$5:$N$45,14,0)*10+Parameter!$M$23,Parameter!$M$24))</f>
        <v>155</v>
      </c>
      <c r="BZ1036" s="48" t="str">
        <f aca="false">IF(AND(Parameter!$B$19="Ja",E1036&lt;&gt;"",ISNUMBER(MATCH(E1036,Parameter!$I$35:$I$52,0))),VLOOKUP(E1036,Parameter!$I$35:$J$52,2,0),IFERROR(VLOOKUP(D1036,Parameter!$A$35:$C$64,2,0),"Nein"))</f>
        <v>2+3</v>
      </c>
      <c r="CA1036" s="52" t="n">
        <f aca="false">IF(BW1036=0,0,IF(N(S1036)&gt;0,S1036,IFERROR(VLOOKUP(D1036,Parameter!$A$35:$C$64,3,0)+0,0)))</f>
        <v>0</v>
      </c>
      <c r="CB1036" s="48" t="n">
        <f aca="false">IF(AA1036&lt;&gt;"",AA1036,Z1036)</f>
        <v>3</v>
      </c>
      <c r="CC1036" s="48" t="str">
        <f aca="false">IF(OR(CB1036=1,CB1036=2,CB1036=3),IF(Parameter!$E$27="Ja","LIFT",IF(CB1036=1,"L1","L23")),IF(CB1036="Aussen","Aussen","-"))</f>
        <v>LIFT</v>
      </c>
      <c r="CD1036" s="59" t="n">
        <f aca="false">IF(N(AB1036)&gt;0,AB1036,0)</f>
        <v>0</v>
      </c>
      <c r="CE1036" s="53" t="n">
        <f aca="false">IF(ISNUMBER(AE1036),1,0)</f>
        <v>0</v>
      </c>
      <c r="CF1036" s="50" t="n">
        <f aca="false">N(AE1036)</f>
        <v>0</v>
      </c>
      <c r="CG1036" s="50" t="n">
        <f aca="false">N(M1036)+N(N1036)</f>
        <v>1</v>
      </c>
      <c r="CH1036" s="50" t="n">
        <f aca="false">ROUNDUP(H1036/BV1036,0)</f>
        <v>1</v>
      </c>
      <c r="CI1036" s="50" t="n">
        <f aca="false">ROUNDUP(CF1036/BV1036,0)</f>
        <v>0</v>
      </c>
      <c r="CJ1036" s="53" t="n">
        <f aca="false">IF(BW1036=1,0,IFERROR(VLOOKUP(BU1036,'Gebinde-Kategorie'!$A$5:$N$45,5,0)+0,0))</f>
        <v>8</v>
      </c>
      <c r="CK1036" s="53" t="n">
        <f aca="false">IFERROR(IF(OR(CB1036=1,CB1036=2,CB1036=3),N(INDEX(Parameter!$I$5:$I$7,CB1036)),0),0)</f>
        <v>0</v>
      </c>
      <c r="CL1036" s="52" t="n">
        <f aca="false">IF(AND(Parameter!$B$21="Ja",ISNUMBER(W1036),N(X1036)&gt;0),IFERROR(N(INDEX(Parameter!$L$5:$L$7,W1036))*INDEX(Parameter!$E$5:$E$7,W1036)*X1036/SUMIFS($X$7:$X$1843,$W$7:$W$1843,W1036),0),0)</f>
        <v>0</v>
      </c>
    </row>
    <row r="1037" customFormat="false" ht="15" hidden="false" customHeight="false" outlineLevel="0" collapsed="false">
      <c r="A1037" s="48" t="s">
        <v>1908</v>
      </c>
      <c r="B1037" s="48" t="s">
        <v>1872</v>
      </c>
      <c r="C1037" s="48" t="s">
        <v>168</v>
      </c>
      <c r="D1037" s="48" t="s">
        <v>188</v>
      </c>
      <c r="E1037" s="48" t="s">
        <v>189</v>
      </c>
      <c r="F1037" s="48" t="s">
        <v>222</v>
      </c>
      <c r="G1037" s="49" t="n">
        <v>133.49</v>
      </c>
      <c r="H1037" s="50" t="n">
        <f aca="false">MAX(0,IF(AND(Parameter!$B$21="Ja",ISNUMBER(Y1037)),Y1037,IF(Parameter!$B$20="Jahresanfang 2025 + Export",BO1037+BN1037,BN1037)))</f>
        <v>21</v>
      </c>
      <c r="I1037" s="50" t="n">
        <f aca="false">H1037*G1037</f>
        <v>2803.29</v>
      </c>
      <c r="J1037" s="50" t="n">
        <f aca="false">BQ1037*Parameter!$B$18</f>
        <v>0</v>
      </c>
      <c r="K1037" s="51" t="n">
        <v>21.5</v>
      </c>
      <c r="L1037" s="52" t="n">
        <v>0</v>
      </c>
      <c r="M1037" s="50" t="n">
        <v>0</v>
      </c>
      <c r="N1037" s="50" t="n">
        <v>1</v>
      </c>
      <c r="O1037" s="53" t="n">
        <v>56</v>
      </c>
      <c r="P1037" s="48" t="s">
        <v>306</v>
      </c>
      <c r="Q1037" s="50" t="n">
        <v>6</v>
      </c>
      <c r="R1037" s="53" t="n">
        <f aca="false">IF(BW1037=1,0,IFERROR(VLOOKUP(BU1037,'Gebinde-Kategorie'!$A$5:$N$45,13,0)+0,0))</f>
        <v>26</v>
      </c>
      <c r="S1037" s="54"/>
      <c r="T1037" s="55"/>
      <c r="U1037" s="55"/>
      <c r="V1037" s="55"/>
      <c r="W1037" s="48"/>
      <c r="X1037" s="50"/>
      <c r="Y1037" s="50"/>
      <c r="Z1037" s="48" t="n">
        <f aca="false">IF(A1037="","",IF(AND(Parameter!$B$21="Ja",ISNUMBER(W1037)),W1037,IF(BZ1037="2+3",IF(ISNUMBER(SEARCH("grosser Artikel",BR1037)),2,IFERROR(VLOOKUP(BU1037,Parameter!$F$35:$G$64,2,0),2)),IF(OR(BZ1037="Nein",BZ1037=""),"-",BZ1037))))</f>
        <v>3</v>
      </c>
      <c r="AA1037" s="55"/>
      <c r="AB1037" s="56"/>
      <c r="AC1037" s="50" t="n">
        <f aca="false">AT1037</f>
        <v>6</v>
      </c>
      <c r="AD1037" s="50" t="n">
        <f aca="false">MAX(AT1037,H1037)</f>
        <v>21</v>
      </c>
      <c r="AE1037" s="57"/>
      <c r="AF1037" s="50" t="n">
        <f aca="false">IF(LEFT(Cockpit!$C$5,1)="A",H1037,IF(CE1037=1,CF1037,IF(LEFT(Cockpit!$C$5,1)="B",AK1037,MAX(AK1037,H1037))))</f>
        <v>21</v>
      </c>
      <c r="AG1037" s="50" t="n">
        <f aca="false">IF(BW1037=1,0,ROUNDUP(AF1037/BV1037,0))</f>
        <v>4</v>
      </c>
      <c r="AH1037" s="52" t="n">
        <f aca="false">IF(CL1037&gt;0,CL1037*MAX(1,AF1037/X1037),IF(BW1037=1,IF(AF1037&lt;=0,0,CA1037*MAX(1,IF(H1037&gt;0,AF1037/H1037,1))),IF(R1037&gt;0,AG1037/R1037,0))/MAX(0.1,N(Parameter!$M$21)))</f>
        <v>0.153846153846154</v>
      </c>
      <c r="AI1037" s="50" t="n">
        <f aca="false">AH1037*BY1037</f>
        <v>23.8461538461538</v>
      </c>
      <c r="AJ1037" s="50" t="n">
        <f aca="false">AF1037*G1037</f>
        <v>2803.29</v>
      </c>
      <c r="AK1037" s="50" t="n">
        <f aca="false">ROUNDUP(MAX(J1037/IF(CD1037&gt;0,CD1037,MAX(0.1,N(Cockpit!$C$6))),CG1037)/BV1037,0)*BV1037</f>
        <v>6</v>
      </c>
      <c r="AL1037" s="51" t="n">
        <f aca="false">IF(AI1037&gt;0,J1037/AI1037,-1)</f>
        <v>0</v>
      </c>
      <c r="AM1037" s="51" t="n">
        <f aca="false">IF(AND(OR(CC1037="L1",CC1037="L23",CC1037="LIFT"),AI1037&gt;0),SUMIFS($AI$7:$AI$1843,$CC$7:$CC$1843,CC1037,$AL$7:$AL$1843,"&gt;"&amp;AL1037)+SUMIFS($AI$7:$AI$1843,$CC$7:$CC$1843,CC1037,$AL$7:$AL$1843,AL1037,$BT$7:$BT$1843,"&lt;="&amp;BT1037),"")</f>
        <v>29066.2877139339</v>
      </c>
      <c r="AN1037" s="58" t="n">
        <f aca="false">IF(AM1037="",0,MAX(0,MIN(1,(IF(CC1037="L1",Parameter!$H$5,IF(CC1037="L23",Parameter!$H$6+Parameter!$H$7,Parameter!$H$5+Parameter!$H$6+Parameter!$H$7))-(AM1037-AI1037))/AI1037)))</f>
        <v>1</v>
      </c>
      <c r="AO1037" s="50" t="n">
        <f aca="false">IF(LEFT(Cockpit!$I$5,1)="A",H1037,IF(CE1037=1,CF1037,IF(LEFT(Cockpit!$I$5,1)="B",AT1037,MAX(AT1037,H1037))))</f>
        <v>21</v>
      </c>
      <c r="AP1037" s="50" t="n">
        <f aca="false">IF(BW1037=1,0,ROUNDUP(AO1037/BV1037,0))</f>
        <v>4</v>
      </c>
      <c r="AQ1037" s="52" t="n">
        <f aca="false">IF(CL1037&gt;0,CL1037*MAX(1,AO1037/X1037),IF(BW1037=1,IF(AO1037&lt;=0,0,CA1037*MAX(1,IF(H1037&gt;0,AO1037/H1037,1))),IF(R1037&gt;0,AP1037/R1037,0))/MAX(0.1,N(Parameter!$M$21)))</f>
        <v>0.153846153846154</v>
      </c>
      <c r="AR1037" s="50" t="n">
        <f aca="false">AQ1037*BY1037</f>
        <v>23.8461538461538</v>
      </c>
      <c r="AS1037" s="50" t="n">
        <f aca="false">AO1037*G1037</f>
        <v>2803.29</v>
      </c>
      <c r="AT1037" s="50" t="n">
        <f aca="false">ROUNDUP(MAX(J1037/IF(CD1037&gt;0,CD1037,MAX(0.1,N(Cockpit!$I$6))),CG1037)/BV1037,0)*BV1037</f>
        <v>6</v>
      </c>
      <c r="AU1037" s="51" t="n">
        <f aca="false">IF(AR1037&gt;0,J1037/AR1037,-1)</f>
        <v>0</v>
      </c>
      <c r="AV1037" s="51" t="n">
        <f aca="false">IF(AND(OR(CC1037="L1",CC1037="L23",CC1037="LIFT"),AR1037&gt;0),SUMIFS($AR$7:$AR$1843,$CC$7:$CC$1843,CC1037,$AU$7:$AU$1843,"&gt;"&amp;AU1037)+SUMIFS($AR$7:$AR$1843,$CC$7:$CC$1843,CC1037,$AU$7:$AU$1843,AU1037,$BT$7:$BT$1843,"&lt;="&amp;BT1037),"")</f>
        <v>40733.441399702</v>
      </c>
      <c r="AW1037" s="58" t="n">
        <f aca="false">IF(AV1037="",0,MAX(0,MIN(1,(IF(CC1037="L1",Parameter!$H$5,IF(CC1037="L23",Parameter!$H$6+Parameter!$H$7,Parameter!$H$5+Parameter!$H$6+Parameter!$H$7))-(AV1037-AR1037))/AR1037)))</f>
        <v>0</v>
      </c>
      <c r="AX1037" s="50" t="n">
        <f aca="false">IF(LEFT(Cockpit!$O$5,1)="A",H1037,IF(CE1037=1,CF1037,IF(LEFT(Cockpit!$O$5,1)="B",BC1037,MAX(BC1037,H1037))))</f>
        <v>21</v>
      </c>
      <c r="AY1037" s="50" t="n">
        <f aca="false">IF(BW1037=1,0,ROUNDUP(AX1037/BV1037,0))</f>
        <v>4</v>
      </c>
      <c r="AZ1037" s="52" t="n">
        <f aca="false">IF(CL1037&gt;0,CL1037*MAX(1,AX1037/X1037),IF(BW1037=1,IF(AX1037&lt;=0,0,CA1037*MAX(1,IF(H1037&gt;0,AX1037/H1037,1))),IF(R1037&gt;0,AY1037/R1037,0))/MAX(0.1,N(Parameter!$M$21)))</f>
        <v>0.153846153846154</v>
      </c>
      <c r="BA1037" s="50" t="n">
        <f aca="false">AZ1037*BY1037</f>
        <v>23.8461538461538</v>
      </c>
      <c r="BB1037" s="50" t="n">
        <f aca="false">AX1037*G1037</f>
        <v>2803.29</v>
      </c>
      <c r="BC1037" s="50" t="n">
        <f aca="false">ROUNDUP(MAX(J1037/IF(CD1037&gt;0,CD1037,MAX(0.1,N(Cockpit!$O$6))),CG1037)/BV1037,0)*BV1037</f>
        <v>6</v>
      </c>
      <c r="BD1037" s="51" t="n">
        <f aca="false">IF(BA1037&gt;0,J1037/BA1037,-1)</f>
        <v>0</v>
      </c>
      <c r="BE1037" s="51" t="n">
        <f aca="false">IF(AND(OR(CC1037="L1",CC1037="L23",CC1037="LIFT"),BA1037&gt;0),SUMIFS($BA$7:$BA$1843,$CC$7:$CC$1843,CC1037,$BD$7:$BD$1843,"&gt;"&amp;BD1037)+SUMIFS($BA$7:$BA$1843,$CC$7:$CC$1843,CC1037,$BD$7:$BD$1843,BD1037,$BT$7:$BT$1843,"&lt;="&amp;BT1037),"")</f>
        <v>37408.4534415679</v>
      </c>
      <c r="BF1037" s="58" t="n">
        <f aca="false">IF(BE1037="",0,MAX(0,MIN(1,(IF(CC1037="L1",Parameter!$H$5,IF(CC1037="L23",Parameter!$H$6+Parameter!$H$7,Parameter!$H$5+Parameter!$H$6+Parameter!$H$7))-(BE1037-BA1037))/BA1037)))</f>
        <v>0</v>
      </c>
      <c r="BG1037" s="48" t="str">
        <f aca="false">IF(AI1037&lt;=0,"",IF(CC1037="Aussen","Aussenlager",IF(CC1037="-","Nicht im Lift",IF(AN1037&gt;=1,"Lift",IF(AN1037&lt;=0,"Aussenlager","teilweise")))))</f>
        <v>Lift</v>
      </c>
      <c r="BH1037" s="48" t="str">
        <f aca="false">IF(AR1037&lt;=0,"",IF(CC1037="Aussen","Aussenlager",IF(CC1037="-","Nicht im Lift",IF(AW1037&gt;=1,"Lift",IF(AW1037&lt;=0,"Aussenlager","teilweise")))))</f>
        <v>Aussenlager</v>
      </c>
      <c r="BI1037" s="48" t="str">
        <f aca="false">IF(BA1037&lt;=0,"",IF(CC1037="Aussen","Aussenlager",IF(CC1037="-","Nicht im Lift",IF(BF1037&gt;=1,"Lift",IF(BF1037&lt;=0,"Aussenlager","teilweise")))))</f>
        <v>Aussenlager</v>
      </c>
      <c r="BJ1037" s="48" t="str">
        <f aca="false">IF(A1037="","",IF(BS1037=1,"Neu; ","")&amp;IF(AND(BS1037=0,BN1037&lt;0),"negativer Bestand (Export "&amp;BN1037&amp;"); ","")&amp;IF(J1037&lt;=0,"Kein Verbrauch; ","")&amp;IF(CL1037&gt;0,"Lift "&amp;W1037&amp;" lt. Liftbericht (Fach "&amp;X1037&amp;" Stk); ",IF(BX1037=1,"Gebinde geschätzt ("&amp;T1037&amp;"); ",IF(BW1037=1,"Lose – Tablare geschätzt; ","")))&amp;IF(H1037&gt;AT1037,"Überbestand "&amp;ROUND(H1037-AT1037,0)&amp;" Stk / CHF "&amp;ROUND((H1037-AT1037)*G1037,0)&amp;"; ","")&amp;IF(AND(CE1037=1,CF1037&lt;CG1037),"MAX &lt; MB+LG; ","")&amp;IF(AND(CK1037&gt;0,CJ1037*10&gt;CK1037),"zu hoch für Tablar; ","")&amp;IF(AND(BS1037=0,OR(CE1037=1,AA1037&lt;&gt;"",U1037&lt;&gt;"",V1037&lt;&gt;"",AB1037&lt;&gt;"")),"manuell übersteuert; ","")&amp;IF(AND(BW1037=0,R1037=0),"Gebinde unbekannt / Stellmass fehlt; ","")&amp;IF(AND(BW1037=0,N(V1037)&lt;=0,N(Q1037)&lt;=0),"Menge pro Gebinde fehlt (Ist = 1 Gebinde); ","")&amp;BR1037)</f>
        <v>negativer Bestand (Export -1); Kein Verbrauch; Überbestand 15 Stk / CHF 2002; </v>
      </c>
      <c r="BK1037" s="48"/>
      <c r="BL1037" s="48"/>
      <c r="BM1037" s="55"/>
      <c r="BN1037" s="50" t="n">
        <v>-1</v>
      </c>
      <c r="BO1037" s="50" t="n">
        <v>22</v>
      </c>
      <c r="BP1037" s="49" t="n">
        <v>-133.49</v>
      </c>
      <c r="BQ1037" s="50" t="n">
        <v>0</v>
      </c>
      <c r="BR1037" s="48"/>
      <c r="BS1037" s="53" t="n">
        <v>0</v>
      </c>
      <c r="BT1037" s="53" t="n">
        <v>1037</v>
      </c>
      <c r="BU1037" s="48" t="str">
        <f aca="false">IF(U1037&lt;&gt;"",UPPER(TRIM(U1037)),IF(BX1037=1,UPPER(VLOOKUP(T1037,Parameter!$I$27:$K$29,2,0)),IF(P1037="","LOSE",P1037)))</f>
        <v>S51</v>
      </c>
      <c r="BV1037" s="50" t="n">
        <f aca="false">IF(BU1037="LOSE",1,IF(N(V1037)&gt;0,V1037,IF(BX1037=1,MAX(1,N(VLOOKUP(T1037,Parameter!$I$27:$K$29,3,0)),H1037,N(N1037)),IF(N(Q1037)&gt;0,Q1037,MAX(1,H1037)))))</f>
        <v>6</v>
      </c>
      <c r="BW1037" s="53" t="n">
        <f aca="false">IF(BU1037="LOSE",1,0)</f>
        <v>0</v>
      </c>
      <c r="BX1037" s="53" t="n">
        <f aca="false">IF(AND(U1037="",OR(P1037="",P1037="LOSE"),T1037&lt;&gt;"",N(S1037)&lt;=0,ISNUMBER(MATCH(T1037,Parameter!$I$27:$I$29,0))),1,0)</f>
        <v>0</v>
      </c>
      <c r="BY1037" s="53" t="n">
        <f aca="false">IF(CL1037&gt;0,INDEX(Parameter!$H$5:$H$7,W1037)/INDEX(Parameter!$E$5:$E$7,W1037),IF(AND(BW1037=0,N(IFERROR(VLOOKUP(BU1037,'Gebinde-Kategorie'!$A$5:$N$45,14,0),0))&gt;0),VLOOKUP(BU1037,'Gebinde-Kategorie'!$A$5:$N$45,14,0)*10+Parameter!$M$23,Parameter!$M$24))</f>
        <v>155</v>
      </c>
      <c r="BZ1037" s="48" t="str">
        <f aca="false">IF(AND(Parameter!$B$19="Ja",E1037&lt;&gt;"",ISNUMBER(MATCH(E1037,Parameter!$I$35:$I$52,0))),VLOOKUP(E1037,Parameter!$I$35:$J$52,2,0),IFERROR(VLOOKUP(D1037,Parameter!$A$35:$C$64,2,0),"Nein"))</f>
        <v>2+3</v>
      </c>
      <c r="CA1037" s="52" t="n">
        <f aca="false">IF(BW1037=0,0,IF(N(S1037)&gt;0,S1037,IFERROR(VLOOKUP(D1037,Parameter!$A$35:$C$64,3,0)+0,0)))</f>
        <v>0</v>
      </c>
      <c r="CB1037" s="48" t="n">
        <f aca="false">IF(AA1037&lt;&gt;"",AA1037,Z1037)</f>
        <v>3</v>
      </c>
      <c r="CC1037" s="48" t="str">
        <f aca="false">IF(OR(CB1037=1,CB1037=2,CB1037=3),IF(Parameter!$E$27="Ja","LIFT",IF(CB1037=1,"L1","L23")),IF(CB1037="Aussen","Aussen","-"))</f>
        <v>LIFT</v>
      </c>
      <c r="CD1037" s="59" t="n">
        <f aca="false">IF(N(AB1037)&gt;0,AB1037,0)</f>
        <v>0</v>
      </c>
      <c r="CE1037" s="53" t="n">
        <f aca="false">IF(ISNUMBER(AE1037),1,0)</f>
        <v>0</v>
      </c>
      <c r="CF1037" s="50" t="n">
        <f aca="false">N(AE1037)</f>
        <v>0</v>
      </c>
      <c r="CG1037" s="50" t="n">
        <f aca="false">N(M1037)+N(N1037)</f>
        <v>1</v>
      </c>
      <c r="CH1037" s="50" t="n">
        <f aca="false">ROUNDUP(H1037/BV1037,0)</f>
        <v>4</v>
      </c>
      <c r="CI1037" s="50" t="n">
        <f aca="false">ROUNDUP(CF1037/BV1037,0)</f>
        <v>0</v>
      </c>
      <c r="CJ1037" s="53" t="n">
        <f aca="false">IF(BW1037=1,0,IFERROR(VLOOKUP(BU1037,'Gebinde-Kategorie'!$A$5:$N$45,5,0)+0,0))</f>
        <v>11</v>
      </c>
      <c r="CK1037" s="53" t="n">
        <f aca="false">IFERROR(IF(OR(CB1037=1,CB1037=2,CB1037=3),N(INDEX(Parameter!$I$5:$I$7,CB1037)),0),0)</f>
        <v>0</v>
      </c>
      <c r="CL1037" s="52" t="n">
        <f aca="false">IF(AND(Parameter!$B$21="Ja",ISNUMBER(W1037),N(X1037)&gt;0),IFERROR(N(INDEX(Parameter!$L$5:$L$7,W1037))*INDEX(Parameter!$E$5:$E$7,W1037)*X1037/SUMIFS($X$7:$X$1843,$W$7:$W$1843,W1037),0),0)</f>
        <v>0</v>
      </c>
    </row>
    <row r="1038" customFormat="false" ht="15" hidden="false" customHeight="false" outlineLevel="0" collapsed="false">
      <c r="A1038" s="48" t="s">
        <v>1909</v>
      </c>
      <c r="B1038" s="48" t="s">
        <v>1910</v>
      </c>
      <c r="C1038" s="48" t="s">
        <v>460</v>
      </c>
      <c r="D1038" s="48" t="s">
        <v>177</v>
      </c>
      <c r="E1038" s="48" t="s">
        <v>1483</v>
      </c>
      <c r="F1038" s="48" t="s">
        <v>222</v>
      </c>
      <c r="G1038" s="49" t="n">
        <v>133.51</v>
      </c>
      <c r="H1038" s="50" t="n">
        <f aca="false">MAX(0,IF(AND(Parameter!$B$21="Ja",ISNUMBER(Y1038)),Y1038,IF(Parameter!$B$20="Jahresanfang 2025 + Export",BO1038+BN1038,BN1038)))</f>
        <v>0</v>
      </c>
      <c r="I1038" s="50" t="n">
        <f aca="false">H1038*G1038</f>
        <v>0</v>
      </c>
      <c r="J1038" s="50" t="n">
        <f aca="false">BQ1038*Parameter!$B$18</f>
        <v>0</v>
      </c>
      <c r="K1038" s="51" t="n">
        <v>0.5</v>
      </c>
      <c r="L1038" s="52" t="n">
        <v>0</v>
      </c>
      <c r="M1038" s="50" t="n">
        <v>0</v>
      </c>
      <c r="N1038" s="50" t="n">
        <v>1</v>
      </c>
      <c r="O1038" s="53" t="n">
        <v>56</v>
      </c>
      <c r="P1038" s="48" t="s">
        <v>172</v>
      </c>
      <c r="Q1038" s="50"/>
      <c r="R1038" s="53" t="n">
        <f aca="false">IF(BW1038=1,0,IFERROR(VLOOKUP(BU1038,'Gebinde-Kategorie'!$A$5:$N$45,13,0)+0,0))</f>
        <v>4</v>
      </c>
      <c r="S1038" s="54"/>
      <c r="T1038" s="55" t="s">
        <v>193</v>
      </c>
      <c r="U1038" s="55"/>
      <c r="V1038" s="55"/>
      <c r="W1038" s="48"/>
      <c r="X1038" s="50"/>
      <c r="Y1038" s="50"/>
      <c r="Z1038" s="48" t="str">
        <f aca="false">IF(A1038="","",IF(AND(Parameter!$B$21="Ja",ISNUMBER(W1038)),W1038,IF(BZ1038="2+3",IF(ISNUMBER(SEARCH("grosser Artikel",BR1038)),2,IFERROR(VLOOKUP(BU1038,Parameter!$F$35:$G$64,2,0),2)),IF(OR(BZ1038="Nein",BZ1038=""),"-",BZ1038))))</f>
        <v>-</v>
      </c>
      <c r="AA1038" s="55"/>
      <c r="AB1038" s="56"/>
      <c r="AC1038" s="50" t="n">
        <f aca="false">AT1038</f>
        <v>2</v>
      </c>
      <c r="AD1038" s="50" t="n">
        <f aca="false">MAX(AT1038,H1038)</f>
        <v>2</v>
      </c>
      <c r="AE1038" s="57"/>
      <c r="AF1038" s="50" t="n">
        <f aca="false">IF(LEFT(Cockpit!$C$5,1)="A",H1038,IF(CE1038=1,CF1038,IF(LEFT(Cockpit!$C$5,1)="B",AK1038,MAX(AK1038,H1038))))</f>
        <v>0</v>
      </c>
      <c r="AG1038" s="50" t="n">
        <f aca="false">IF(BW1038=1,0,ROUNDUP(AF1038/BV1038,0))</f>
        <v>0</v>
      </c>
      <c r="AH1038" s="52" t="n">
        <f aca="false">IF(CL1038&gt;0,CL1038*MAX(1,AF1038/X1038),IF(BW1038=1,IF(AF1038&lt;=0,0,CA1038*MAX(1,IF(H1038&gt;0,AF1038/H1038,1))),IF(R1038&gt;0,AG1038/R1038,0))/MAX(0.1,N(Parameter!$M$21)))</f>
        <v>0</v>
      </c>
      <c r="AI1038" s="50" t="n">
        <f aca="false">AH1038*BY1038</f>
        <v>0</v>
      </c>
      <c r="AJ1038" s="50" t="n">
        <f aca="false">AF1038*G1038</f>
        <v>0</v>
      </c>
      <c r="AK1038" s="50" t="n">
        <f aca="false">ROUNDUP(MAX(J1038/IF(CD1038&gt;0,CD1038,MAX(0.1,N(Cockpit!$C$6))),CG1038)/BV1038,0)*BV1038</f>
        <v>2</v>
      </c>
      <c r="AL1038" s="51" t="n">
        <f aca="false">IF(AI1038&gt;0,J1038/AI1038,-1)</f>
        <v>-1</v>
      </c>
      <c r="AM1038" s="51" t="str">
        <f aca="false">IF(AND(OR(CC1038="L1",CC1038="L23",CC1038="LIFT"),AI1038&gt;0),SUMIFS($AI$7:$AI$1843,$CC$7:$CC$1843,CC1038,$AL$7:$AL$1843,"&gt;"&amp;AL1038)+SUMIFS($AI$7:$AI$1843,$CC$7:$CC$1843,CC1038,$AL$7:$AL$1843,AL1038,$BT$7:$BT$1843,"&lt;="&amp;BT1038),"")</f>
        <v/>
      </c>
      <c r="AN1038" s="58" t="n">
        <f aca="false">IF(AM1038="",0,MAX(0,MIN(1,(IF(CC1038="L1",Parameter!$H$5,IF(CC1038="L23",Parameter!$H$6+Parameter!$H$7,Parameter!$H$5+Parameter!$H$6+Parameter!$H$7))-(AM1038-AI1038))/AI1038)))</f>
        <v>0</v>
      </c>
      <c r="AO1038" s="50" t="n">
        <f aca="false">IF(LEFT(Cockpit!$I$5,1)="A",H1038,IF(CE1038=1,CF1038,IF(LEFT(Cockpit!$I$5,1)="B",AT1038,MAX(AT1038,H1038))))</f>
        <v>2</v>
      </c>
      <c r="AP1038" s="50" t="n">
        <f aca="false">IF(BW1038=1,0,ROUNDUP(AO1038/BV1038,0))</f>
        <v>1</v>
      </c>
      <c r="AQ1038" s="52" t="n">
        <f aca="false">IF(CL1038&gt;0,CL1038*MAX(1,AO1038/X1038),IF(BW1038=1,IF(AO1038&lt;=0,0,CA1038*MAX(1,IF(H1038&gt;0,AO1038/H1038,1))),IF(R1038&gt;0,AP1038/R1038,0))/MAX(0.1,N(Parameter!$M$21)))</f>
        <v>0.25</v>
      </c>
      <c r="AR1038" s="50" t="n">
        <f aca="false">AQ1038*BY1038</f>
        <v>58.75</v>
      </c>
      <c r="AS1038" s="50" t="n">
        <f aca="false">AO1038*G1038</f>
        <v>267.02</v>
      </c>
      <c r="AT1038" s="50" t="n">
        <f aca="false">ROUNDUP(MAX(J1038/IF(CD1038&gt;0,CD1038,MAX(0.1,N(Cockpit!$I$6))),CG1038)/BV1038,0)*BV1038</f>
        <v>2</v>
      </c>
      <c r="AU1038" s="51" t="n">
        <f aca="false">IF(AR1038&gt;0,J1038/AR1038,-1)</f>
        <v>0</v>
      </c>
      <c r="AV1038" s="51" t="str">
        <f aca="false">IF(AND(OR(CC1038="L1",CC1038="L23",CC1038="LIFT"),AR1038&gt;0),SUMIFS($AR$7:$AR$1843,$CC$7:$CC$1843,CC1038,$AU$7:$AU$1843,"&gt;"&amp;AU1038)+SUMIFS($AR$7:$AR$1843,$CC$7:$CC$1843,CC1038,$AU$7:$AU$1843,AU1038,$BT$7:$BT$1843,"&lt;="&amp;BT1038),"")</f>
        <v/>
      </c>
      <c r="AW1038" s="58" t="n">
        <f aca="false">IF(AV1038="",0,MAX(0,MIN(1,(IF(CC1038="L1",Parameter!$H$5,IF(CC1038="L23",Parameter!$H$6+Parameter!$H$7,Parameter!$H$5+Parameter!$H$6+Parameter!$H$7))-(AV1038-AR1038))/AR1038)))</f>
        <v>0</v>
      </c>
      <c r="AX1038" s="50" t="n">
        <f aca="false">IF(LEFT(Cockpit!$O$5,1)="A",H1038,IF(CE1038=1,CF1038,IF(LEFT(Cockpit!$O$5,1)="B",BC1038,MAX(BC1038,H1038))))</f>
        <v>2</v>
      </c>
      <c r="AY1038" s="50" t="n">
        <f aca="false">IF(BW1038=1,0,ROUNDUP(AX1038/BV1038,0))</f>
        <v>1</v>
      </c>
      <c r="AZ1038" s="52" t="n">
        <f aca="false">IF(CL1038&gt;0,CL1038*MAX(1,AX1038/X1038),IF(BW1038=1,IF(AX1038&lt;=0,0,CA1038*MAX(1,IF(H1038&gt;0,AX1038/H1038,1))),IF(R1038&gt;0,AY1038/R1038,0))/MAX(0.1,N(Parameter!$M$21)))</f>
        <v>0.25</v>
      </c>
      <c r="BA1038" s="50" t="n">
        <f aca="false">AZ1038*BY1038</f>
        <v>58.75</v>
      </c>
      <c r="BB1038" s="50" t="n">
        <f aca="false">AX1038*G1038</f>
        <v>267.02</v>
      </c>
      <c r="BC1038" s="50" t="n">
        <f aca="false">ROUNDUP(MAX(J1038/IF(CD1038&gt;0,CD1038,MAX(0.1,N(Cockpit!$O$6))),CG1038)/BV1038,0)*BV1038</f>
        <v>2</v>
      </c>
      <c r="BD1038" s="51" t="n">
        <f aca="false">IF(BA1038&gt;0,J1038/BA1038,-1)</f>
        <v>0</v>
      </c>
      <c r="BE1038" s="51" t="str">
        <f aca="false">IF(AND(OR(CC1038="L1",CC1038="L23",CC1038="LIFT"),BA1038&gt;0),SUMIFS($BA$7:$BA$1843,$CC$7:$CC$1843,CC1038,$BD$7:$BD$1843,"&gt;"&amp;BD1038)+SUMIFS($BA$7:$BA$1843,$CC$7:$CC$1843,CC1038,$BD$7:$BD$1843,BD1038,$BT$7:$BT$1843,"&lt;="&amp;BT1038),"")</f>
        <v/>
      </c>
      <c r="BF1038" s="58" t="n">
        <f aca="false">IF(BE1038="",0,MAX(0,MIN(1,(IF(CC1038="L1",Parameter!$H$5,IF(CC1038="L23",Parameter!$H$6+Parameter!$H$7,Parameter!$H$5+Parameter!$H$6+Parameter!$H$7))-(BE1038-BA1038))/BA1038)))</f>
        <v>0</v>
      </c>
      <c r="BG1038" s="48" t="str">
        <f aca="false">IF(AI1038&lt;=0,"",IF(CC1038="Aussen","Aussenlager",IF(CC1038="-","Nicht im Lift",IF(AN1038&gt;=1,"Lift",IF(AN1038&lt;=0,"Aussenlager","teilweise")))))</f>
        <v/>
      </c>
      <c r="BH1038" s="48" t="str">
        <f aca="false">IF(AR1038&lt;=0,"",IF(CC1038="Aussen","Aussenlager",IF(CC1038="-","Nicht im Lift",IF(AW1038&gt;=1,"Lift",IF(AW1038&lt;=0,"Aussenlager","teilweise")))))</f>
        <v>Nicht im Lift</v>
      </c>
      <c r="BI1038" s="48" t="str">
        <f aca="false">IF(BA1038&lt;=0,"",IF(CC1038="Aussen","Aussenlager",IF(CC1038="-","Nicht im Lift",IF(BF1038&gt;=1,"Lift",IF(BF1038&lt;=0,"Aussenlager","teilweise")))))</f>
        <v>Nicht im Lift</v>
      </c>
      <c r="BJ1038" s="48" t="str">
        <f aca="false">IF(A1038="","",IF(BS1038=1,"Neu; ","")&amp;IF(AND(BS1038=0,BN1038&lt;0),"negativer Bestand (Export "&amp;BN1038&amp;"); ","")&amp;IF(J1038&lt;=0,"Kein Verbrauch; ","")&amp;IF(CL1038&gt;0,"Lift "&amp;W1038&amp;" lt. Liftbericht (Fach "&amp;X1038&amp;" Stk); ",IF(BX1038=1,"Gebinde geschätzt ("&amp;T1038&amp;"); ",IF(BW1038=1,"Lose – Tablare geschätzt; ","")))&amp;IF(H1038&gt;AT1038,"Überbestand "&amp;ROUND(H1038-AT1038,0)&amp;" Stk / CHF "&amp;ROUND((H1038-AT1038)*G1038,0)&amp;"; ","")&amp;IF(AND(CE1038=1,CF1038&lt;CG1038),"MAX &lt; MB+LG; ","")&amp;IF(AND(CK1038&gt;0,CJ1038*10&gt;CK1038),"zu hoch für Tablar; ","")&amp;IF(AND(BS1038=0,OR(CE1038=1,AA1038&lt;&gt;"",U1038&lt;&gt;"",V1038&lt;&gt;"",AB1038&lt;&gt;"")),"manuell übersteuert; ","")&amp;IF(AND(BW1038=0,R1038=0),"Gebinde unbekannt / Stellmass fehlt; ","")&amp;IF(AND(BW1038=0,N(V1038)&lt;=0,N(Q1038)&lt;=0),"Menge pro Gebinde fehlt (Ist = 1 Gebinde); ","")&amp;BR1038)</f>
        <v>negativer Bestand (Export -1); Kein Verbrauch; Gebinde geschätzt (Gross); Menge pro Gebinde fehlt (Ist = 1 Gebinde); Neu</v>
      </c>
      <c r="BK1038" s="48"/>
      <c r="BL1038" s="48"/>
      <c r="BM1038" s="55"/>
      <c r="BN1038" s="50" t="n">
        <v>-1</v>
      </c>
      <c r="BO1038" s="50" t="n">
        <v>1</v>
      </c>
      <c r="BP1038" s="49" t="n">
        <v>-133.51</v>
      </c>
      <c r="BQ1038" s="50" t="n">
        <v>0</v>
      </c>
      <c r="BR1038" s="48" t="s">
        <v>630</v>
      </c>
      <c r="BS1038" s="53" t="n">
        <v>0</v>
      </c>
      <c r="BT1038" s="53" t="n">
        <v>1038</v>
      </c>
      <c r="BU1038" s="48" t="str">
        <f aca="false">IF(U1038&lt;&gt;"",UPPER(TRIM(U1038)),IF(BX1038=1,UPPER(VLOOKUP(T1038,Parameter!$I$27:$K$29,2,0)),IF(P1038="","LOSE",P1038)))</f>
        <v>S81</v>
      </c>
      <c r="BV1038" s="50" t="n">
        <f aca="false">IF(BU1038="LOSE",1,IF(N(V1038)&gt;0,V1038,IF(BX1038=1,MAX(1,N(VLOOKUP(T1038,Parameter!$I$27:$K$29,3,0)),H1038,N(N1038)),IF(N(Q1038)&gt;0,Q1038,MAX(1,H1038)))))</f>
        <v>2</v>
      </c>
      <c r="BW1038" s="53" t="n">
        <f aca="false">IF(BU1038="LOSE",1,0)</f>
        <v>0</v>
      </c>
      <c r="BX1038" s="53" t="n">
        <f aca="false">IF(AND(U1038="",OR(P1038="",P1038="LOSE"),T1038&lt;&gt;"",N(S1038)&lt;=0,ISNUMBER(MATCH(T1038,Parameter!$I$27:$I$29,0))),1,0)</f>
        <v>1</v>
      </c>
      <c r="BY1038" s="53" t="n">
        <f aca="false">IF(CL1038&gt;0,INDEX(Parameter!$H$5:$H$7,W1038)/INDEX(Parameter!$E$5:$E$7,W1038),IF(AND(BW1038=0,N(IFERROR(VLOOKUP(BU1038,'Gebinde-Kategorie'!$A$5:$N$45,14,0),0))&gt;0),VLOOKUP(BU1038,'Gebinde-Kategorie'!$A$5:$N$45,14,0)*10+Parameter!$M$23,Parameter!$M$24))</f>
        <v>235</v>
      </c>
      <c r="BZ1038" s="48" t="str">
        <f aca="false">IF(AND(Parameter!$B$19="Ja",E1038&lt;&gt;"",ISNUMBER(MATCH(E1038,Parameter!$I$35:$I$52,0))),VLOOKUP(E1038,Parameter!$I$35:$J$52,2,0),IFERROR(VLOOKUP(D1038,Parameter!$A$35:$C$64,2,0),"Nein"))</f>
        <v>Nein</v>
      </c>
      <c r="CA1038" s="52" t="n">
        <f aca="false">IF(BW1038=0,0,IF(N(S1038)&gt;0,S1038,IFERROR(VLOOKUP(D1038,Parameter!$A$35:$C$64,3,0)+0,0)))</f>
        <v>0</v>
      </c>
      <c r="CB1038" s="48" t="str">
        <f aca="false">IF(AA1038&lt;&gt;"",AA1038,Z1038)</f>
        <v>-</v>
      </c>
      <c r="CC1038" s="48" t="str">
        <f aca="false">IF(OR(CB1038=1,CB1038=2,CB1038=3),IF(Parameter!$E$27="Ja","LIFT",IF(CB1038=1,"L1","L23")),IF(CB1038="Aussen","Aussen","-"))</f>
        <v>-</v>
      </c>
      <c r="CD1038" s="59" t="n">
        <f aca="false">IF(N(AB1038)&gt;0,AB1038,0)</f>
        <v>0</v>
      </c>
      <c r="CE1038" s="53" t="n">
        <f aca="false">IF(ISNUMBER(AE1038),1,0)</f>
        <v>0</v>
      </c>
      <c r="CF1038" s="50" t="n">
        <f aca="false">N(AE1038)</f>
        <v>0</v>
      </c>
      <c r="CG1038" s="50" t="n">
        <f aca="false">N(M1038)+N(N1038)</f>
        <v>1</v>
      </c>
      <c r="CH1038" s="50" t="n">
        <f aca="false">ROUNDUP(H1038/BV1038,0)</f>
        <v>0</v>
      </c>
      <c r="CI1038" s="50" t="n">
        <f aca="false">ROUNDUP(CF1038/BV1038,0)</f>
        <v>0</v>
      </c>
      <c r="CJ1038" s="53" t="n">
        <f aca="false">IF(BW1038=1,0,IFERROR(VLOOKUP(BU1038,'Gebinde-Kategorie'!$A$5:$N$45,5,0)+0,0))</f>
        <v>20</v>
      </c>
      <c r="CK1038" s="53" t="n">
        <f aca="false">IFERROR(IF(OR(CB1038=1,CB1038=2,CB1038=3),N(INDEX(Parameter!$I$5:$I$7,CB1038)),0),0)</f>
        <v>0</v>
      </c>
      <c r="CL1038" s="52" t="n">
        <f aca="false">IF(AND(Parameter!$B$21="Ja",ISNUMBER(W1038),N(X1038)&gt;0),IFERROR(N(INDEX(Parameter!$L$5:$L$7,W1038))*INDEX(Parameter!$E$5:$E$7,W1038)*X1038/SUMIFS($X$7:$X$1843,$W$7:$W$1843,W1038),0),0)</f>
        <v>0</v>
      </c>
    </row>
    <row r="1039" customFormat="false" ht="15" hidden="false" customHeight="false" outlineLevel="0" collapsed="false">
      <c r="A1039" s="48" t="s">
        <v>1911</v>
      </c>
      <c r="B1039" s="48" t="s">
        <v>851</v>
      </c>
      <c r="C1039" s="48" t="s">
        <v>168</v>
      </c>
      <c r="D1039" s="48" t="s">
        <v>188</v>
      </c>
      <c r="E1039" s="48" t="s">
        <v>189</v>
      </c>
      <c r="F1039" s="48" t="s">
        <v>222</v>
      </c>
      <c r="G1039" s="49" t="n">
        <v>19.2</v>
      </c>
      <c r="H1039" s="50" t="n">
        <f aca="false">MAX(0,IF(AND(Parameter!$B$21="Ja",ISNUMBER(Y1039)),Y1039,IF(Parameter!$B$20="Jahresanfang 2025 + Export",BO1039+BN1039,BN1039)))</f>
        <v>9</v>
      </c>
      <c r="I1039" s="50" t="n">
        <f aca="false">H1039*G1039</f>
        <v>172.8</v>
      </c>
      <c r="J1039" s="50" t="n">
        <f aca="false">BQ1039*Parameter!$B$18</f>
        <v>6</v>
      </c>
      <c r="K1039" s="51" t="n">
        <v>13</v>
      </c>
      <c r="L1039" s="52" t="n">
        <v>0.461538461538462</v>
      </c>
      <c r="M1039" s="50" t="n">
        <v>0</v>
      </c>
      <c r="N1039" s="50" t="n">
        <v>5</v>
      </c>
      <c r="O1039" s="53" t="n">
        <v>31</v>
      </c>
      <c r="P1039" s="48" t="s">
        <v>480</v>
      </c>
      <c r="Q1039" s="50" t="n">
        <v>19</v>
      </c>
      <c r="R1039" s="53" t="n">
        <f aca="false">IF(BW1039=1,0,IFERROR(VLOOKUP(BU1039,'Gebinde-Kategorie'!$A$5:$N$45,13,0)+0,0))</f>
        <v>52</v>
      </c>
      <c r="S1039" s="54"/>
      <c r="T1039" s="55"/>
      <c r="U1039" s="55"/>
      <c r="V1039" s="55"/>
      <c r="W1039" s="48"/>
      <c r="X1039" s="50"/>
      <c r="Y1039" s="50"/>
      <c r="Z1039" s="48" t="n">
        <f aca="false">IF(A1039="","",IF(AND(Parameter!$B$21="Ja",ISNUMBER(W1039)),W1039,IF(BZ1039="2+3",IF(ISNUMBER(SEARCH("grosser Artikel",BR1039)),2,IFERROR(VLOOKUP(BU1039,Parameter!$F$35:$G$64,2,0),2)),IF(OR(BZ1039="Nein",BZ1039=""),"-",BZ1039))))</f>
        <v>3</v>
      </c>
      <c r="AA1039" s="55"/>
      <c r="AB1039" s="56"/>
      <c r="AC1039" s="50" t="n">
        <f aca="false">AT1039</f>
        <v>19</v>
      </c>
      <c r="AD1039" s="50" t="n">
        <f aca="false">MAX(AT1039,H1039)</f>
        <v>19</v>
      </c>
      <c r="AE1039" s="57"/>
      <c r="AF1039" s="50" t="n">
        <f aca="false">IF(LEFT(Cockpit!$C$5,1)="A",H1039,IF(CE1039=1,CF1039,IF(LEFT(Cockpit!$C$5,1)="B",AK1039,MAX(AK1039,H1039))))</f>
        <v>9</v>
      </c>
      <c r="AG1039" s="50" t="n">
        <f aca="false">IF(BW1039=1,0,ROUNDUP(AF1039/BV1039,0))</f>
        <v>1</v>
      </c>
      <c r="AH1039" s="52" t="n">
        <f aca="false">IF(CL1039&gt;0,CL1039*MAX(1,AF1039/X1039),IF(BW1039=1,IF(AF1039&lt;=0,0,CA1039*MAX(1,IF(H1039&gt;0,AF1039/H1039,1))),IF(R1039&gt;0,AG1039/R1039,0))/MAX(0.1,N(Parameter!$M$21)))</f>
        <v>0.0192307692307692</v>
      </c>
      <c r="AI1039" s="50" t="n">
        <f aca="false">AH1039*BY1039</f>
        <v>2.98076923076923</v>
      </c>
      <c r="AJ1039" s="50" t="n">
        <f aca="false">AF1039*G1039</f>
        <v>172.8</v>
      </c>
      <c r="AK1039" s="50" t="n">
        <f aca="false">ROUNDUP(MAX(J1039/IF(CD1039&gt;0,CD1039,MAX(0.1,N(Cockpit!$C$6))),CG1039)/BV1039,0)*BV1039</f>
        <v>19</v>
      </c>
      <c r="AL1039" s="51" t="n">
        <f aca="false">IF(AI1039&gt;0,J1039/AI1039,-1)</f>
        <v>2.01290322580645</v>
      </c>
      <c r="AM1039" s="51" t="n">
        <f aca="false">IF(AND(OR(CC1039="L1",CC1039="L23",CC1039="LIFT"),AI1039&gt;0),SUMIFS($AI$7:$AI$1843,$CC$7:$CC$1843,CC1039,$AL$7:$AL$1843,"&gt;"&amp;AL1039)+SUMIFS($AI$7:$AI$1843,$CC$7:$CC$1843,CC1039,$AL$7:$AL$1843,AL1039,$BT$7:$BT$1843,"&lt;="&amp;BT1039),"")</f>
        <v>5814.69597069597</v>
      </c>
      <c r="AN1039" s="58" t="n">
        <f aca="false">IF(AM1039="",0,MAX(0,MIN(1,(IF(CC1039="L1",Parameter!$H$5,IF(CC1039="L23",Parameter!$H$6+Parameter!$H$7,Parameter!$H$5+Parameter!$H$6+Parameter!$H$7))-(AM1039-AI1039))/AI1039)))</f>
        <v>1</v>
      </c>
      <c r="AO1039" s="50" t="n">
        <f aca="false">IF(LEFT(Cockpit!$I$5,1)="A",H1039,IF(CE1039=1,CF1039,IF(LEFT(Cockpit!$I$5,1)="B",AT1039,MAX(AT1039,H1039))))</f>
        <v>19</v>
      </c>
      <c r="AP1039" s="50" t="n">
        <f aca="false">IF(BW1039=1,0,ROUNDUP(AO1039/BV1039,0))</f>
        <v>1</v>
      </c>
      <c r="AQ1039" s="52" t="n">
        <f aca="false">IF(CL1039&gt;0,CL1039*MAX(1,AO1039/X1039),IF(BW1039=1,IF(AO1039&lt;=0,0,CA1039*MAX(1,IF(H1039&gt;0,AO1039/H1039,1))),IF(R1039&gt;0,AP1039/R1039,0))/MAX(0.1,N(Parameter!$M$21)))</f>
        <v>0.0192307692307692</v>
      </c>
      <c r="AR1039" s="50" t="n">
        <f aca="false">AQ1039*BY1039</f>
        <v>2.98076923076923</v>
      </c>
      <c r="AS1039" s="50" t="n">
        <f aca="false">AO1039*G1039</f>
        <v>364.8</v>
      </c>
      <c r="AT1039" s="50" t="n">
        <f aca="false">ROUNDUP(MAX(J1039/IF(CD1039&gt;0,CD1039,MAX(0.1,N(Cockpit!$I$6))),CG1039)/BV1039,0)*BV1039</f>
        <v>19</v>
      </c>
      <c r="AU1039" s="51" t="n">
        <f aca="false">IF(AR1039&gt;0,J1039/AR1039,-1)</f>
        <v>2.01290322580645</v>
      </c>
      <c r="AV1039" s="51" t="n">
        <f aca="false">IF(AND(OR(CC1039="L1",CC1039="L23",CC1039="LIFT"),AR1039&gt;0),SUMIFS($AR$7:$AR$1843,$CC$7:$CC$1843,CC1039,$AU$7:$AU$1843,"&gt;"&amp;AU1039)+SUMIFS($AR$7:$AR$1843,$CC$7:$CC$1843,CC1039,$AU$7:$AU$1843,AU1039,$BT$7:$BT$1843,"&lt;="&amp;BT1039),"")</f>
        <v>7724.38827838828</v>
      </c>
      <c r="AW1039" s="58" t="n">
        <f aca="false">IF(AV1039="",0,MAX(0,MIN(1,(IF(CC1039="L1",Parameter!$H$5,IF(CC1039="L23",Parameter!$H$6+Parameter!$H$7,Parameter!$H$5+Parameter!$H$6+Parameter!$H$7))-(AV1039-AR1039))/AR1039)))</f>
        <v>1</v>
      </c>
      <c r="AX1039" s="50" t="n">
        <f aca="false">IF(LEFT(Cockpit!$O$5,1)="A",H1039,IF(CE1039=1,CF1039,IF(LEFT(Cockpit!$O$5,1)="B",BC1039,MAX(BC1039,H1039))))</f>
        <v>19</v>
      </c>
      <c r="AY1039" s="50" t="n">
        <f aca="false">IF(BW1039=1,0,ROUNDUP(AX1039/BV1039,0))</f>
        <v>1</v>
      </c>
      <c r="AZ1039" s="52" t="n">
        <f aca="false">IF(CL1039&gt;0,CL1039*MAX(1,AX1039/X1039),IF(BW1039=1,IF(AX1039&lt;=0,0,CA1039*MAX(1,IF(H1039&gt;0,AX1039/H1039,1))),IF(R1039&gt;0,AY1039/R1039,0))/MAX(0.1,N(Parameter!$M$21)))</f>
        <v>0.0192307692307692</v>
      </c>
      <c r="BA1039" s="50" t="n">
        <f aca="false">AZ1039*BY1039</f>
        <v>2.98076923076923</v>
      </c>
      <c r="BB1039" s="50" t="n">
        <f aca="false">AX1039*G1039</f>
        <v>364.8</v>
      </c>
      <c r="BC1039" s="50" t="n">
        <f aca="false">ROUNDUP(MAX(J1039/IF(CD1039&gt;0,CD1039,MAX(0.1,N(Cockpit!$O$6))),CG1039)/BV1039,0)*BV1039</f>
        <v>19</v>
      </c>
      <c r="BD1039" s="51" t="n">
        <f aca="false">IF(BA1039&gt;0,J1039/BA1039,-1)</f>
        <v>2.01290322580645</v>
      </c>
      <c r="BE1039" s="51" t="n">
        <f aca="false">IF(AND(OR(CC1039="L1",CC1039="L23",CC1039="LIFT"),BA1039&gt;0),SUMIFS($BA$7:$BA$1843,$CC$7:$CC$1843,CC1039,$BD$7:$BD$1843,"&gt;"&amp;BD1039)+SUMIFS($BA$7:$BA$1843,$CC$7:$CC$1843,CC1039,$BD$7:$BD$1843,BD1039,$BT$7:$BT$1843,"&lt;="&amp;BT1039),"")</f>
        <v>7623.37866300366</v>
      </c>
      <c r="BF1039" s="58" t="n">
        <f aca="false">IF(BE1039="",0,MAX(0,MIN(1,(IF(CC1039="L1",Parameter!$H$5,IF(CC1039="L23",Parameter!$H$6+Parameter!$H$7,Parameter!$H$5+Parameter!$H$6+Parameter!$H$7))-(BE1039-BA1039))/BA1039)))</f>
        <v>1</v>
      </c>
      <c r="BG1039" s="48" t="str">
        <f aca="false">IF(AI1039&lt;=0,"",IF(CC1039="Aussen","Aussenlager",IF(CC1039="-","Nicht im Lift",IF(AN1039&gt;=1,"Lift",IF(AN1039&lt;=0,"Aussenlager","teilweise")))))</f>
        <v>Lift</v>
      </c>
      <c r="BH1039" s="48" t="str">
        <f aca="false">IF(AR1039&lt;=0,"",IF(CC1039="Aussen","Aussenlager",IF(CC1039="-","Nicht im Lift",IF(AW1039&gt;=1,"Lift",IF(AW1039&lt;=0,"Aussenlager","teilweise")))))</f>
        <v>Lift</v>
      </c>
      <c r="BI1039" s="48" t="str">
        <f aca="false">IF(BA1039&lt;=0,"",IF(CC1039="Aussen","Aussenlager",IF(CC1039="-","Nicht im Lift",IF(BF1039&gt;=1,"Lift",IF(BF1039&lt;=0,"Aussenlager","teilweise")))))</f>
        <v>Lift</v>
      </c>
      <c r="BJ1039" s="48" t="str">
        <f aca="false">IF(A1039="","",IF(BS1039=1,"Neu; ","")&amp;IF(AND(BS1039=0,BN1039&lt;0),"negativer Bestand (Export "&amp;BN1039&amp;"); ","")&amp;IF(J1039&lt;=0,"Kein Verbrauch; ","")&amp;IF(CL1039&gt;0,"Lift "&amp;W1039&amp;" lt. Liftbericht (Fach "&amp;X1039&amp;" Stk); ",IF(BX1039=1,"Gebinde geschätzt ("&amp;T1039&amp;"); ",IF(BW1039=1,"Lose – Tablare geschätzt; ","")))&amp;IF(H1039&gt;AT1039,"Überbestand "&amp;ROUND(H1039-AT1039,0)&amp;" Stk / CHF "&amp;ROUND((H1039-AT1039)*G1039,0)&amp;"; ","")&amp;IF(AND(CE1039=1,CF1039&lt;CG1039),"MAX &lt; MB+LG; ","")&amp;IF(AND(CK1039&gt;0,CJ1039*10&gt;CK1039),"zu hoch für Tablar; ","")&amp;IF(AND(BS1039=0,OR(CE1039=1,AA1039&lt;&gt;"",U1039&lt;&gt;"",V1039&lt;&gt;"",AB1039&lt;&gt;"")),"manuell übersteuert; ","")&amp;IF(AND(BW1039=0,R1039=0),"Gebinde unbekannt / Stellmass fehlt; ","")&amp;IF(AND(BW1039=0,N(V1039)&lt;=0,N(Q1039)&lt;=0),"Menge pro Gebinde fehlt (Ist = 1 Gebinde); ","")&amp;BR1039)</f>
        <v>negativer Bestand (Export -7); Überbestand</v>
      </c>
      <c r="BK1039" s="48"/>
      <c r="BL1039" s="48"/>
      <c r="BM1039" s="55"/>
      <c r="BN1039" s="50" t="n">
        <v>-7</v>
      </c>
      <c r="BO1039" s="50" t="n">
        <v>16</v>
      </c>
      <c r="BP1039" s="49" t="n">
        <v>-134.4</v>
      </c>
      <c r="BQ1039" s="50" t="n">
        <v>6</v>
      </c>
      <c r="BR1039" s="48" t="s">
        <v>396</v>
      </c>
      <c r="BS1039" s="53" t="n">
        <v>0</v>
      </c>
      <c r="BT1039" s="53" t="n">
        <v>1039</v>
      </c>
      <c r="BU1039" s="48" t="str">
        <f aca="false">IF(U1039&lt;&gt;"",UPPER(TRIM(U1039)),IF(BX1039=1,UPPER(VLOOKUP(T1039,Parameter!$I$27:$K$29,2,0)),IF(P1039="","LOSE",P1039)))</f>
        <v>S33</v>
      </c>
      <c r="BV1039" s="50" t="n">
        <f aca="false">IF(BU1039="LOSE",1,IF(N(V1039)&gt;0,V1039,IF(BX1039=1,MAX(1,N(VLOOKUP(T1039,Parameter!$I$27:$K$29,3,0)),H1039,N(N1039)),IF(N(Q1039)&gt;0,Q1039,MAX(1,H1039)))))</f>
        <v>19</v>
      </c>
      <c r="BW1039" s="53" t="n">
        <f aca="false">IF(BU1039="LOSE",1,0)</f>
        <v>0</v>
      </c>
      <c r="BX1039" s="53" t="n">
        <f aca="false">IF(AND(U1039="",OR(P1039="",P1039="LOSE"),T1039&lt;&gt;"",N(S1039)&lt;=0,ISNUMBER(MATCH(T1039,Parameter!$I$27:$I$29,0))),1,0)</f>
        <v>0</v>
      </c>
      <c r="BY1039" s="53" t="n">
        <f aca="false">IF(CL1039&gt;0,INDEX(Parameter!$H$5:$H$7,W1039)/INDEX(Parameter!$E$5:$E$7,W1039),IF(AND(BW1039=0,N(IFERROR(VLOOKUP(BU1039,'Gebinde-Kategorie'!$A$5:$N$45,14,0),0))&gt;0),VLOOKUP(BU1039,'Gebinde-Kategorie'!$A$5:$N$45,14,0)*10+Parameter!$M$23,Parameter!$M$24))</f>
        <v>155</v>
      </c>
      <c r="BZ1039" s="48" t="str">
        <f aca="false">IF(AND(Parameter!$B$19="Ja",E1039&lt;&gt;"",ISNUMBER(MATCH(E1039,Parameter!$I$35:$I$52,0))),VLOOKUP(E1039,Parameter!$I$35:$J$52,2,0),IFERROR(VLOOKUP(D1039,Parameter!$A$35:$C$64,2,0),"Nein"))</f>
        <v>2+3</v>
      </c>
      <c r="CA1039" s="52" t="n">
        <f aca="false">IF(BW1039=0,0,IF(N(S1039)&gt;0,S1039,IFERROR(VLOOKUP(D1039,Parameter!$A$35:$C$64,3,0)+0,0)))</f>
        <v>0</v>
      </c>
      <c r="CB1039" s="48" t="n">
        <f aca="false">IF(AA1039&lt;&gt;"",AA1039,Z1039)</f>
        <v>3</v>
      </c>
      <c r="CC1039" s="48" t="str">
        <f aca="false">IF(OR(CB1039=1,CB1039=2,CB1039=3),IF(Parameter!$E$27="Ja","LIFT",IF(CB1039=1,"L1","L23")),IF(CB1039="Aussen","Aussen","-"))</f>
        <v>LIFT</v>
      </c>
      <c r="CD1039" s="59" t="n">
        <f aca="false">IF(N(AB1039)&gt;0,AB1039,0)</f>
        <v>0</v>
      </c>
      <c r="CE1039" s="53" t="n">
        <f aca="false">IF(ISNUMBER(AE1039),1,0)</f>
        <v>0</v>
      </c>
      <c r="CF1039" s="50" t="n">
        <f aca="false">N(AE1039)</f>
        <v>0</v>
      </c>
      <c r="CG1039" s="50" t="n">
        <f aca="false">N(M1039)+N(N1039)</f>
        <v>5</v>
      </c>
      <c r="CH1039" s="50" t="n">
        <f aca="false">ROUNDUP(H1039/BV1039,0)</f>
        <v>1</v>
      </c>
      <c r="CI1039" s="50" t="n">
        <f aca="false">ROUNDUP(CF1039/BV1039,0)</f>
        <v>0</v>
      </c>
      <c r="CJ1039" s="53" t="n">
        <f aca="false">IF(BW1039=1,0,IFERROR(VLOOKUP(BU1039,'Gebinde-Kategorie'!$A$5:$N$45,5,0)+0,0))</f>
        <v>8</v>
      </c>
      <c r="CK1039" s="53" t="n">
        <f aca="false">IFERROR(IF(OR(CB1039=1,CB1039=2,CB1039=3),N(INDEX(Parameter!$I$5:$I$7,CB1039)),0),0)</f>
        <v>0</v>
      </c>
      <c r="CL1039" s="52" t="n">
        <f aca="false">IF(AND(Parameter!$B$21="Ja",ISNUMBER(W1039),N(X1039)&gt;0),IFERROR(N(INDEX(Parameter!$L$5:$L$7,W1039))*INDEX(Parameter!$E$5:$E$7,W1039)*X1039/SUMIFS($X$7:$X$1843,$W$7:$W$1843,W1039),0),0)</f>
        <v>0</v>
      </c>
    </row>
    <row r="1040" customFormat="false" ht="15" hidden="false" customHeight="false" outlineLevel="0" collapsed="false">
      <c r="A1040" s="48" t="s">
        <v>1912</v>
      </c>
      <c r="B1040" s="48" t="s">
        <v>1285</v>
      </c>
      <c r="C1040" s="48" t="s">
        <v>168</v>
      </c>
      <c r="D1040" s="48" t="s">
        <v>188</v>
      </c>
      <c r="E1040" s="48" t="s">
        <v>189</v>
      </c>
      <c r="F1040" s="48" t="s">
        <v>222</v>
      </c>
      <c r="G1040" s="49" t="n">
        <v>11.25</v>
      </c>
      <c r="H1040" s="50" t="n">
        <f aca="false">MAX(0,IF(AND(Parameter!$B$21="Ja",ISNUMBER(Y1040)),Y1040,IF(Parameter!$B$20="Jahresanfang 2025 + Export",BO1040+BN1040,BN1040)))</f>
        <v>70</v>
      </c>
      <c r="I1040" s="50" t="n">
        <f aca="false">H1040*G1040</f>
        <v>787.5</v>
      </c>
      <c r="J1040" s="50" t="n">
        <f aca="false">BQ1040*Parameter!$B$18</f>
        <v>3</v>
      </c>
      <c r="K1040" s="51" t="n">
        <v>80.5</v>
      </c>
      <c r="L1040" s="52" t="n">
        <v>0.0372670807453416</v>
      </c>
      <c r="M1040" s="50" t="n">
        <v>0</v>
      </c>
      <c r="N1040" s="50" t="n">
        <v>5</v>
      </c>
      <c r="O1040" s="53" t="n">
        <v>21</v>
      </c>
      <c r="P1040" s="48" t="s">
        <v>425</v>
      </c>
      <c r="Q1040" s="50" t="n">
        <v>83</v>
      </c>
      <c r="R1040" s="53" t="n">
        <f aca="false">IF(BW1040=1,0,IFERROR(VLOOKUP(BU1040,'Gebinde-Kategorie'!$A$5:$N$45,13,0)+0,0))</f>
        <v>104</v>
      </c>
      <c r="S1040" s="54"/>
      <c r="T1040" s="55"/>
      <c r="U1040" s="55"/>
      <c r="V1040" s="55"/>
      <c r="W1040" s="48"/>
      <c r="X1040" s="50"/>
      <c r="Y1040" s="50"/>
      <c r="Z1040" s="48" t="n">
        <f aca="false">IF(A1040="","",IF(AND(Parameter!$B$21="Ja",ISNUMBER(W1040)),W1040,IF(BZ1040="2+3",IF(ISNUMBER(SEARCH("grosser Artikel",BR1040)),2,IFERROR(VLOOKUP(BU1040,Parameter!$F$35:$G$64,2,0),2)),IF(OR(BZ1040="Nein",BZ1040=""),"-",BZ1040))))</f>
        <v>3</v>
      </c>
      <c r="AA1040" s="55"/>
      <c r="AB1040" s="56"/>
      <c r="AC1040" s="50" t="n">
        <f aca="false">AT1040</f>
        <v>83</v>
      </c>
      <c r="AD1040" s="50" t="n">
        <f aca="false">MAX(AT1040,H1040)</f>
        <v>83</v>
      </c>
      <c r="AE1040" s="57"/>
      <c r="AF1040" s="50" t="n">
        <f aca="false">IF(LEFT(Cockpit!$C$5,1)="A",H1040,IF(CE1040=1,CF1040,IF(LEFT(Cockpit!$C$5,1)="B",AK1040,MAX(AK1040,H1040))))</f>
        <v>70</v>
      </c>
      <c r="AG1040" s="50" t="n">
        <f aca="false">IF(BW1040=1,0,ROUNDUP(AF1040/BV1040,0))</f>
        <v>1</v>
      </c>
      <c r="AH1040" s="52" t="n">
        <f aca="false">IF(CL1040&gt;0,CL1040*MAX(1,AF1040/X1040),IF(BW1040=1,IF(AF1040&lt;=0,0,CA1040*MAX(1,IF(H1040&gt;0,AF1040/H1040,1))),IF(R1040&gt;0,AG1040/R1040,0))/MAX(0.1,N(Parameter!$M$21)))</f>
        <v>0.00961538461538462</v>
      </c>
      <c r="AI1040" s="50" t="n">
        <f aca="false">AH1040*BY1040</f>
        <v>1.49038461538462</v>
      </c>
      <c r="AJ1040" s="50" t="n">
        <f aca="false">AF1040*G1040</f>
        <v>787.5</v>
      </c>
      <c r="AK1040" s="50" t="n">
        <f aca="false">ROUNDUP(MAX(J1040/IF(CD1040&gt;0,CD1040,MAX(0.1,N(Cockpit!$C$6))),CG1040)/BV1040,0)*BV1040</f>
        <v>83</v>
      </c>
      <c r="AL1040" s="51" t="n">
        <f aca="false">IF(AI1040&gt;0,J1040/AI1040,-1)</f>
        <v>2.01290322580645</v>
      </c>
      <c r="AM1040" s="51" t="n">
        <f aca="false">IF(AND(OR(CC1040="L1",CC1040="L23",CC1040="LIFT"),AI1040&gt;0),SUMIFS($AI$7:$AI$1843,$CC$7:$CC$1843,CC1040,$AL$7:$AL$1843,"&gt;"&amp;AL1040)+SUMIFS($AI$7:$AI$1843,$CC$7:$CC$1843,CC1040,$AL$7:$AL$1843,AL1040,$BT$7:$BT$1843,"&lt;="&amp;BT1040),"")</f>
        <v>5816.18635531136</v>
      </c>
      <c r="AN1040" s="58" t="n">
        <f aca="false">IF(AM1040="",0,MAX(0,MIN(1,(IF(CC1040="L1",Parameter!$H$5,IF(CC1040="L23",Parameter!$H$6+Parameter!$H$7,Parameter!$H$5+Parameter!$H$6+Parameter!$H$7))-(AM1040-AI1040))/AI1040)))</f>
        <v>1</v>
      </c>
      <c r="AO1040" s="50" t="n">
        <f aca="false">IF(LEFT(Cockpit!$I$5,1)="A",H1040,IF(CE1040=1,CF1040,IF(LEFT(Cockpit!$I$5,1)="B",AT1040,MAX(AT1040,H1040))))</f>
        <v>83</v>
      </c>
      <c r="AP1040" s="50" t="n">
        <f aca="false">IF(BW1040=1,0,ROUNDUP(AO1040/BV1040,0))</f>
        <v>1</v>
      </c>
      <c r="AQ1040" s="52" t="n">
        <f aca="false">IF(CL1040&gt;0,CL1040*MAX(1,AO1040/X1040),IF(BW1040=1,IF(AO1040&lt;=0,0,CA1040*MAX(1,IF(H1040&gt;0,AO1040/H1040,1))),IF(R1040&gt;0,AP1040/R1040,0))/MAX(0.1,N(Parameter!$M$21)))</f>
        <v>0.00961538461538462</v>
      </c>
      <c r="AR1040" s="50" t="n">
        <f aca="false">AQ1040*BY1040</f>
        <v>1.49038461538462</v>
      </c>
      <c r="AS1040" s="50" t="n">
        <f aca="false">AO1040*G1040</f>
        <v>933.75</v>
      </c>
      <c r="AT1040" s="50" t="n">
        <f aca="false">ROUNDUP(MAX(J1040/IF(CD1040&gt;0,CD1040,MAX(0.1,N(Cockpit!$I$6))),CG1040)/BV1040,0)*BV1040</f>
        <v>83</v>
      </c>
      <c r="AU1040" s="51" t="n">
        <f aca="false">IF(AR1040&gt;0,J1040/AR1040,-1)</f>
        <v>2.01290322580645</v>
      </c>
      <c r="AV1040" s="51" t="n">
        <f aca="false">IF(AND(OR(CC1040="L1",CC1040="L23",CC1040="LIFT"),AR1040&gt;0),SUMIFS($AR$7:$AR$1843,$CC$7:$CC$1843,CC1040,$AU$7:$AU$1843,"&gt;"&amp;AU1040)+SUMIFS($AR$7:$AR$1843,$CC$7:$CC$1843,CC1040,$AU$7:$AU$1843,AU1040,$BT$7:$BT$1843,"&lt;="&amp;BT1040),"")</f>
        <v>7725.87866300366</v>
      </c>
      <c r="AW1040" s="58" t="n">
        <f aca="false">IF(AV1040="",0,MAX(0,MIN(1,(IF(CC1040="L1",Parameter!$H$5,IF(CC1040="L23",Parameter!$H$6+Parameter!$H$7,Parameter!$H$5+Parameter!$H$6+Parameter!$H$7))-(AV1040-AR1040))/AR1040)))</f>
        <v>1</v>
      </c>
      <c r="AX1040" s="50" t="n">
        <f aca="false">IF(LEFT(Cockpit!$O$5,1)="A",H1040,IF(CE1040=1,CF1040,IF(LEFT(Cockpit!$O$5,1)="B",BC1040,MAX(BC1040,H1040))))</f>
        <v>83</v>
      </c>
      <c r="AY1040" s="50" t="n">
        <f aca="false">IF(BW1040=1,0,ROUNDUP(AX1040/BV1040,0))</f>
        <v>1</v>
      </c>
      <c r="AZ1040" s="52" t="n">
        <f aca="false">IF(CL1040&gt;0,CL1040*MAX(1,AX1040/X1040),IF(BW1040=1,IF(AX1040&lt;=0,0,CA1040*MAX(1,IF(H1040&gt;0,AX1040/H1040,1))),IF(R1040&gt;0,AY1040/R1040,0))/MAX(0.1,N(Parameter!$M$21)))</f>
        <v>0.00961538461538462</v>
      </c>
      <c r="BA1040" s="50" t="n">
        <f aca="false">AZ1040*BY1040</f>
        <v>1.49038461538462</v>
      </c>
      <c r="BB1040" s="50" t="n">
        <f aca="false">AX1040*G1040</f>
        <v>933.75</v>
      </c>
      <c r="BC1040" s="50" t="n">
        <f aca="false">ROUNDUP(MAX(J1040/IF(CD1040&gt;0,CD1040,MAX(0.1,N(Cockpit!$O$6))),CG1040)/BV1040,0)*BV1040</f>
        <v>83</v>
      </c>
      <c r="BD1040" s="51" t="n">
        <f aca="false">IF(BA1040&gt;0,J1040/BA1040,-1)</f>
        <v>2.01290322580645</v>
      </c>
      <c r="BE1040" s="51" t="n">
        <f aca="false">IF(AND(OR(CC1040="L1",CC1040="L23",CC1040="LIFT"),BA1040&gt;0),SUMIFS($BA$7:$BA$1843,$CC$7:$CC$1843,CC1040,$BD$7:$BD$1843,"&gt;"&amp;BD1040)+SUMIFS($BA$7:$BA$1843,$CC$7:$CC$1843,CC1040,$BD$7:$BD$1843,BD1040,$BT$7:$BT$1843,"&lt;="&amp;BT1040),"")</f>
        <v>7624.86904761905</v>
      </c>
      <c r="BF1040" s="58" t="n">
        <f aca="false">IF(BE1040="",0,MAX(0,MIN(1,(IF(CC1040="L1",Parameter!$H$5,IF(CC1040="L23",Parameter!$H$6+Parameter!$H$7,Parameter!$H$5+Parameter!$H$6+Parameter!$H$7))-(BE1040-BA1040))/BA1040)))</f>
        <v>1</v>
      </c>
      <c r="BG1040" s="48" t="str">
        <f aca="false">IF(AI1040&lt;=0,"",IF(CC1040="Aussen","Aussenlager",IF(CC1040="-","Nicht im Lift",IF(AN1040&gt;=1,"Lift",IF(AN1040&lt;=0,"Aussenlager","teilweise")))))</f>
        <v>Lift</v>
      </c>
      <c r="BH1040" s="48" t="str">
        <f aca="false">IF(AR1040&lt;=0,"",IF(CC1040="Aussen","Aussenlager",IF(CC1040="-","Nicht im Lift",IF(AW1040&gt;=1,"Lift",IF(AW1040&lt;=0,"Aussenlager","teilweise")))))</f>
        <v>Lift</v>
      </c>
      <c r="BI1040" s="48" t="str">
        <f aca="false">IF(BA1040&lt;=0,"",IF(CC1040="Aussen","Aussenlager",IF(CC1040="-","Nicht im Lift",IF(BF1040&gt;=1,"Lift",IF(BF1040&lt;=0,"Aussenlager","teilweise")))))</f>
        <v>Lift</v>
      </c>
      <c r="BJ1040" s="48" t="str">
        <f aca="false">IF(A1040="","",IF(BS1040=1,"Neu; ","")&amp;IF(AND(BS1040=0,BN1040&lt;0),"negativer Bestand (Export "&amp;BN1040&amp;"); ","")&amp;IF(J1040&lt;=0,"Kein Verbrauch; ","")&amp;IF(CL1040&gt;0,"Lift "&amp;W1040&amp;" lt. Liftbericht (Fach "&amp;X1040&amp;" Stk); ",IF(BX1040=1,"Gebinde geschätzt ("&amp;T1040&amp;"); ",IF(BW1040=1,"Lose – Tablare geschätzt; ","")))&amp;IF(H1040&gt;AT1040,"Überbestand "&amp;ROUND(H1040-AT1040,0)&amp;" Stk / CHF "&amp;ROUND((H1040-AT1040)*G1040,0)&amp;"; ","")&amp;IF(AND(CE1040=1,CF1040&lt;CG1040),"MAX &lt; MB+LG; ","")&amp;IF(AND(CK1040&gt;0,CJ1040*10&gt;CK1040),"zu hoch für Tablar; ","")&amp;IF(AND(BS1040=0,OR(CE1040=1,AA1040&lt;&gt;"",U1040&lt;&gt;"",V1040&lt;&gt;"",AB1040&lt;&gt;"")),"manuell übersteuert; ","")&amp;IF(AND(BW1040=0,R1040=0),"Gebinde unbekannt / Stellmass fehlt; ","")&amp;IF(AND(BW1040=0,N(V1040)&lt;=0,N(Q1040)&lt;=0),"Menge pro Gebinde fehlt (Ist = 1 Gebinde); ","")&amp;BR1040)</f>
        <v>negativer Bestand (Export -12); Überbestand</v>
      </c>
      <c r="BK1040" s="48"/>
      <c r="BL1040" s="48"/>
      <c r="BM1040" s="55"/>
      <c r="BN1040" s="50" t="n">
        <v>-12</v>
      </c>
      <c r="BO1040" s="50" t="n">
        <v>82</v>
      </c>
      <c r="BP1040" s="49" t="n">
        <v>-135</v>
      </c>
      <c r="BQ1040" s="50" t="n">
        <v>3</v>
      </c>
      <c r="BR1040" s="48" t="s">
        <v>396</v>
      </c>
      <c r="BS1040" s="53" t="n">
        <v>0</v>
      </c>
      <c r="BT1040" s="53" t="n">
        <v>1040</v>
      </c>
      <c r="BU1040" s="48" t="str">
        <f aca="false">IF(U1040&lt;&gt;"",UPPER(TRIM(U1040)),IF(BX1040=1,UPPER(VLOOKUP(T1040,Parameter!$I$27:$K$29,2,0)),IF(P1040="","LOSE",P1040)))</f>
        <v>S32</v>
      </c>
      <c r="BV1040" s="50" t="n">
        <f aca="false">IF(BU1040="LOSE",1,IF(N(V1040)&gt;0,V1040,IF(BX1040=1,MAX(1,N(VLOOKUP(T1040,Parameter!$I$27:$K$29,3,0)),H1040,N(N1040)),IF(N(Q1040)&gt;0,Q1040,MAX(1,H1040)))))</f>
        <v>83</v>
      </c>
      <c r="BW1040" s="53" t="n">
        <f aca="false">IF(BU1040="LOSE",1,0)</f>
        <v>0</v>
      </c>
      <c r="BX1040" s="53" t="n">
        <f aca="false">IF(AND(U1040="",OR(P1040="",P1040="LOSE"),T1040&lt;&gt;"",N(S1040)&lt;=0,ISNUMBER(MATCH(T1040,Parameter!$I$27:$I$29,0))),1,0)</f>
        <v>0</v>
      </c>
      <c r="BY1040" s="53" t="n">
        <f aca="false">IF(CL1040&gt;0,INDEX(Parameter!$H$5:$H$7,W1040)/INDEX(Parameter!$E$5:$E$7,W1040),IF(AND(BW1040=0,N(IFERROR(VLOOKUP(BU1040,'Gebinde-Kategorie'!$A$5:$N$45,14,0),0))&gt;0),VLOOKUP(BU1040,'Gebinde-Kategorie'!$A$5:$N$45,14,0)*10+Parameter!$M$23,Parameter!$M$24))</f>
        <v>155</v>
      </c>
      <c r="BZ1040" s="48" t="str">
        <f aca="false">IF(AND(Parameter!$B$19="Ja",E1040&lt;&gt;"",ISNUMBER(MATCH(E1040,Parameter!$I$35:$I$52,0))),VLOOKUP(E1040,Parameter!$I$35:$J$52,2,0),IFERROR(VLOOKUP(D1040,Parameter!$A$35:$C$64,2,0),"Nein"))</f>
        <v>2+3</v>
      </c>
      <c r="CA1040" s="52" t="n">
        <f aca="false">IF(BW1040=0,0,IF(N(S1040)&gt;0,S1040,IFERROR(VLOOKUP(D1040,Parameter!$A$35:$C$64,3,0)+0,0)))</f>
        <v>0</v>
      </c>
      <c r="CB1040" s="48" t="n">
        <f aca="false">IF(AA1040&lt;&gt;"",AA1040,Z1040)</f>
        <v>3</v>
      </c>
      <c r="CC1040" s="48" t="str">
        <f aca="false">IF(OR(CB1040=1,CB1040=2,CB1040=3),IF(Parameter!$E$27="Ja","LIFT",IF(CB1040=1,"L1","L23")),IF(CB1040="Aussen","Aussen","-"))</f>
        <v>LIFT</v>
      </c>
      <c r="CD1040" s="59" t="n">
        <f aca="false">IF(N(AB1040)&gt;0,AB1040,0)</f>
        <v>0</v>
      </c>
      <c r="CE1040" s="53" t="n">
        <f aca="false">IF(ISNUMBER(AE1040),1,0)</f>
        <v>0</v>
      </c>
      <c r="CF1040" s="50" t="n">
        <f aca="false">N(AE1040)</f>
        <v>0</v>
      </c>
      <c r="CG1040" s="50" t="n">
        <f aca="false">N(M1040)+N(N1040)</f>
        <v>5</v>
      </c>
      <c r="CH1040" s="50" t="n">
        <f aca="false">ROUNDUP(H1040/BV1040,0)</f>
        <v>1</v>
      </c>
      <c r="CI1040" s="50" t="n">
        <f aca="false">ROUNDUP(CF1040/BV1040,0)</f>
        <v>0</v>
      </c>
      <c r="CJ1040" s="53" t="n">
        <f aca="false">IF(BW1040=1,0,IFERROR(VLOOKUP(BU1040,'Gebinde-Kategorie'!$A$5:$N$45,5,0)+0,0))</f>
        <v>8</v>
      </c>
      <c r="CK1040" s="53" t="n">
        <f aca="false">IFERROR(IF(OR(CB1040=1,CB1040=2,CB1040=3),N(INDEX(Parameter!$I$5:$I$7,CB1040)),0),0)</f>
        <v>0</v>
      </c>
      <c r="CL1040" s="52" t="n">
        <f aca="false">IF(AND(Parameter!$B$21="Ja",ISNUMBER(W1040),N(X1040)&gt;0),IFERROR(N(INDEX(Parameter!$L$5:$L$7,W1040))*INDEX(Parameter!$E$5:$E$7,W1040)*X1040/SUMIFS($X$7:$X$1843,$W$7:$W$1843,W1040),0),0)</f>
        <v>0</v>
      </c>
    </row>
    <row r="1041" customFormat="false" ht="15" hidden="false" customHeight="false" outlineLevel="0" collapsed="false">
      <c r="A1041" s="48" t="s">
        <v>1913</v>
      </c>
      <c r="B1041" s="48" t="s">
        <v>1914</v>
      </c>
      <c r="C1041" s="48" t="s">
        <v>168</v>
      </c>
      <c r="D1041" s="48" t="s">
        <v>188</v>
      </c>
      <c r="E1041" s="48" t="s">
        <v>189</v>
      </c>
      <c r="F1041" s="48" t="s">
        <v>222</v>
      </c>
      <c r="G1041" s="49" t="n">
        <v>11.4</v>
      </c>
      <c r="H1041" s="50" t="n">
        <f aca="false">MAX(0,IF(AND(Parameter!$B$21="Ja",ISNUMBER(Y1041)),Y1041,IF(Parameter!$B$20="Jahresanfang 2025 + Export",BO1041+BN1041,BN1041)))</f>
        <v>54</v>
      </c>
      <c r="I1041" s="50" t="n">
        <f aca="false">H1041*G1041</f>
        <v>615.6</v>
      </c>
      <c r="J1041" s="50" t="n">
        <f aca="false">BQ1041*Parameter!$B$18</f>
        <v>153</v>
      </c>
      <c r="K1041" s="51" t="n">
        <v>65</v>
      </c>
      <c r="L1041" s="52" t="n">
        <v>2.35384615384615</v>
      </c>
      <c r="M1041" s="50" t="n">
        <v>17</v>
      </c>
      <c r="N1041" s="50" t="n">
        <v>50</v>
      </c>
      <c r="O1041" s="53" t="n">
        <v>42</v>
      </c>
      <c r="P1041" s="48" t="s">
        <v>297</v>
      </c>
      <c r="Q1041" s="50" t="n">
        <v>101</v>
      </c>
      <c r="R1041" s="53" t="n">
        <f aca="false">IF(BW1041=1,0,IFERROR(VLOOKUP(BU1041,'Gebinde-Kategorie'!$A$5:$N$45,13,0)+0,0))</f>
        <v>12</v>
      </c>
      <c r="S1041" s="54"/>
      <c r="T1041" s="55"/>
      <c r="U1041" s="55"/>
      <c r="V1041" s="55"/>
      <c r="W1041" s="48"/>
      <c r="X1041" s="50"/>
      <c r="Y1041" s="50"/>
      <c r="Z1041" s="48" t="n">
        <f aca="false">IF(A1041="","",IF(AND(Parameter!$B$21="Ja",ISNUMBER(W1041)),W1041,IF(BZ1041="2+3",IF(ISNUMBER(SEARCH("grosser Artikel",BR1041)),2,IFERROR(VLOOKUP(BU1041,Parameter!$F$35:$G$64,2,0),2)),IF(OR(BZ1041="Nein",BZ1041=""),"-",BZ1041))))</f>
        <v>2</v>
      </c>
      <c r="AA1041" s="55"/>
      <c r="AB1041" s="56"/>
      <c r="AC1041" s="50" t="n">
        <f aca="false">AT1041</f>
        <v>101</v>
      </c>
      <c r="AD1041" s="50" t="n">
        <f aca="false">MAX(AT1041,H1041)</f>
        <v>101</v>
      </c>
      <c r="AE1041" s="57"/>
      <c r="AF1041" s="50" t="n">
        <f aca="false">IF(LEFT(Cockpit!$C$5,1)="A",H1041,IF(CE1041=1,CF1041,IF(LEFT(Cockpit!$C$5,1)="B",AK1041,MAX(AK1041,H1041))))</f>
        <v>54</v>
      </c>
      <c r="AG1041" s="50" t="n">
        <f aca="false">IF(BW1041=1,0,ROUNDUP(AF1041/BV1041,0))</f>
        <v>1</v>
      </c>
      <c r="AH1041" s="52" t="n">
        <f aca="false">IF(CL1041&gt;0,CL1041*MAX(1,AF1041/X1041),IF(BW1041=1,IF(AF1041&lt;=0,0,CA1041*MAX(1,IF(H1041&gt;0,AF1041/H1041,1))),IF(R1041&gt;0,AG1041/R1041,0))/MAX(0.1,N(Parameter!$M$21)))</f>
        <v>0.0833333333333333</v>
      </c>
      <c r="AI1041" s="50" t="n">
        <f aca="false">AH1041*BY1041</f>
        <v>20.4166666666667</v>
      </c>
      <c r="AJ1041" s="50" t="n">
        <f aca="false">AF1041*G1041</f>
        <v>615.6</v>
      </c>
      <c r="AK1041" s="50" t="n">
        <f aca="false">ROUNDUP(MAX(J1041/IF(CD1041&gt;0,CD1041,MAX(0.1,N(Cockpit!$C$6))),CG1041)/BV1041,0)*BV1041</f>
        <v>101</v>
      </c>
      <c r="AL1041" s="51" t="n">
        <f aca="false">IF(AI1041&gt;0,J1041/AI1041,-1)</f>
        <v>7.49387755102041</v>
      </c>
      <c r="AM1041" s="51" t="n">
        <f aca="false">IF(AND(OR(CC1041="L1",CC1041="L23",CC1041="LIFT"),AI1041&gt;0),SUMIFS($AI$7:$AI$1843,$CC$7:$CC$1843,CC1041,$AL$7:$AL$1843,"&gt;"&amp;AL1041)+SUMIFS($AI$7:$AI$1843,$CC$7:$CC$1843,CC1041,$AL$7:$AL$1843,AL1041,$BT$7:$BT$1843,"&lt;="&amp;BT1041),"")</f>
        <v>3148.89743589744</v>
      </c>
      <c r="AN1041" s="58" t="n">
        <f aca="false">IF(AM1041="",0,MAX(0,MIN(1,(IF(CC1041="L1",Parameter!$H$5,IF(CC1041="L23",Parameter!$H$6+Parameter!$H$7,Parameter!$H$5+Parameter!$H$6+Parameter!$H$7))-(AM1041-AI1041))/AI1041)))</f>
        <v>1</v>
      </c>
      <c r="AO1041" s="50" t="n">
        <f aca="false">IF(LEFT(Cockpit!$I$5,1)="A",H1041,IF(CE1041=1,CF1041,IF(LEFT(Cockpit!$I$5,1)="B",AT1041,MAX(AT1041,H1041))))</f>
        <v>101</v>
      </c>
      <c r="AP1041" s="50" t="n">
        <f aca="false">IF(BW1041=1,0,ROUNDUP(AO1041/BV1041,0))</f>
        <v>1</v>
      </c>
      <c r="AQ1041" s="52" t="n">
        <f aca="false">IF(CL1041&gt;0,CL1041*MAX(1,AO1041/X1041),IF(BW1041=1,IF(AO1041&lt;=0,0,CA1041*MAX(1,IF(H1041&gt;0,AO1041/H1041,1))),IF(R1041&gt;0,AP1041/R1041,0))/MAX(0.1,N(Parameter!$M$21)))</f>
        <v>0.0833333333333333</v>
      </c>
      <c r="AR1041" s="50" t="n">
        <f aca="false">AQ1041*BY1041</f>
        <v>20.4166666666667</v>
      </c>
      <c r="AS1041" s="50" t="n">
        <f aca="false">AO1041*G1041</f>
        <v>1151.4</v>
      </c>
      <c r="AT1041" s="50" t="n">
        <f aca="false">ROUNDUP(MAX(J1041/IF(CD1041&gt;0,CD1041,MAX(0.1,N(Cockpit!$I$6))),CG1041)/BV1041,0)*BV1041</f>
        <v>101</v>
      </c>
      <c r="AU1041" s="51" t="n">
        <f aca="false">IF(AR1041&gt;0,J1041/AR1041,-1)</f>
        <v>7.49387755102041</v>
      </c>
      <c r="AV1041" s="51" t="n">
        <f aca="false">IF(AND(OR(CC1041="L1",CC1041="L23",CC1041="LIFT"),AR1041&gt;0),SUMIFS($AR$7:$AR$1843,$CC$7:$CC$1843,CC1041,$AU$7:$AU$1843,"&gt;"&amp;AU1041)+SUMIFS($AR$7:$AR$1843,$CC$7:$CC$1843,CC1041,$AU$7:$AU$1843,AU1041,$BT$7:$BT$1843,"&lt;="&amp;BT1041),"")</f>
        <v>4326.95009157509</v>
      </c>
      <c r="AW1041" s="58" t="n">
        <f aca="false">IF(AV1041="",0,MAX(0,MIN(1,(IF(CC1041="L1",Parameter!$H$5,IF(CC1041="L23",Parameter!$H$6+Parameter!$H$7,Parameter!$H$5+Parameter!$H$6+Parameter!$H$7))-(AV1041-AR1041))/AR1041)))</f>
        <v>1</v>
      </c>
      <c r="AX1041" s="50" t="n">
        <f aca="false">IF(LEFT(Cockpit!$O$5,1)="A",H1041,IF(CE1041=1,CF1041,IF(LEFT(Cockpit!$O$5,1)="B",BC1041,MAX(BC1041,H1041))))</f>
        <v>101</v>
      </c>
      <c r="AY1041" s="50" t="n">
        <f aca="false">IF(BW1041=1,0,ROUNDUP(AX1041/BV1041,0))</f>
        <v>1</v>
      </c>
      <c r="AZ1041" s="52" t="n">
        <f aca="false">IF(CL1041&gt;0,CL1041*MAX(1,AX1041/X1041),IF(BW1041=1,IF(AX1041&lt;=0,0,CA1041*MAX(1,IF(H1041&gt;0,AX1041/H1041,1))),IF(R1041&gt;0,AY1041/R1041,0))/MAX(0.1,N(Parameter!$M$21)))</f>
        <v>0.0833333333333333</v>
      </c>
      <c r="BA1041" s="50" t="n">
        <f aca="false">AZ1041*BY1041</f>
        <v>20.4166666666667</v>
      </c>
      <c r="BB1041" s="50" t="n">
        <f aca="false">AX1041*G1041</f>
        <v>1151.4</v>
      </c>
      <c r="BC1041" s="50" t="n">
        <f aca="false">ROUNDUP(MAX(J1041/IF(CD1041&gt;0,CD1041,MAX(0.1,N(Cockpit!$O$6))),CG1041)/BV1041,0)*BV1041</f>
        <v>101</v>
      </c>
      <c r="BD1041" s="51" t="n">
        <f aca="false">IF(BA1041&gt;0,J1041/BA1041,-1)</f>
        <v>7.49387755102041</v>
      </c>
      <c r="BE1041" s="51" t="n">
        <f aca="false">IF(AND(OR(CC1041="L1",CC1041="L23",CC1041="LIFT"),BA1041&gt;0),SUMIFS($BA$7:$BA$1843,$CC$7:$CC$1843,CC1041,$BD$7:$BD$1843,"&gt;"&amp;BD1041)+SUMIFS($BA$7:$BA$1843,$CC$7:$CC$1843,CC1041,$BD$7:$BD$1843,BD1041,$BT$7:$BT$1843,"&lt;="&amp;BT1041),"")</f>
        <v>4069.91483516484</v>
      </c>
      <c r="BF1041" s="58" t="n">
        <f aca="false">IF(BE1041="",0,MAX(0,MIN(1,(IF(CC1041="L1",Parameter!$H$5,IF(CC1041="L23",Parameter!$H$6+Parameter!$H$7,Parameter!$H$5+Parameter!$H$6+Parameter!$H$7))-(BE1041-BA1041))/BA1041)))</f>
        <v>1</v>
      </c>
      <c r="BG1041" s="48" t="str">
        <f aca="false">IF(AI1041&lt;=0,"",IF(CC1041="Aussen","Aussenlager",IF(CC1041="-","Nicht im Lift",IF(AN1041&gt;=1,"Lift",IF(AN1041&lt;=0,"Aussenlager","teilweise")))))</f>
        <v>Lift</v>
      </c>
      <c r="BH1041" s="48" t="str">
        <f aca="false">IF(AR1041&lt;=0,"",IF(CC1041="Aussen","Aussenlager",IF(CC1041="-","Nicht im Lift",IF(AW1041&gt;=1,"Lift",IF(AW1041&lt;=0,"Aussenlager","teilweise")))))</f>
        <v>Lift</v>
      </c>
      <c r="BI1041" s="48" t="str">
        <f aca="false">IF(BA1041&lt;=0,"",IF(CC1041="Aussen","Aussenlager",IF(CC1041="-","Nicht im Lift",IF(BF1041&gt;=1,"Lift",IF(BF1041&lt;=0,"Aussenlager","teilweise")))))</f>
        <v>Lift</v>
      </c>
      <c r="BJ1041" s="48" t="str">
        <f aca="false">IF(A1041="","",IF(BS1041=1,"Neu; ","")&amp;IF(AND(BS1041=0,BN1041&lt;0),"negativer Bestand (Export "&amp;BN1041&amp;"); ","")&amp;IF(J1041&lt;=0,"Kein Verbrauch; ","")&amp;IF(CL1041&gt;0,"Lift "&amp;W1041&amp;" lt. Liftbericht (Fach "&amp;X1041&amp;" Stk); ",IF(BX1041=1,"Gebinde geschätzt ("&amp;T1041&amp;"); ",IF(BW1041=1,"Lose – Tablare geschätzt; ","")))&amp;IF(H1041&gt;AT1041,"Überbestand "&amp;ROUND(H1041-AT1041,0)&amp;" Stk / CHF "&amp;ROUND((H1041-AT1041)*G1041,0)&amp;"; ","")&amp;IF(AND(CE1041=1,CF1041&lt;CG1041),"MAX &lt; MB+LG; ","")&amp;IF(AND(CK1041&gt;0,CJ1041*10&gt;CK1041),"zu hoch für Tablar; ","")&amp;IF(AND(BS1041=0,OR(CE1041=1,AA1041&lt;&gt;"",U1041&lt;&gt;"",V1041&lt;&gt;"",AB1041&lt;&gt;"")),"manuell übersteuert; ","")&amp;IF(AND(BW1041=0,R1041=0),"Gebinde unbekannt / Stellmass fehlt; ","")&amp;IF(AND(BW1041=0,N(V1041)&lt;=0,N(Q1041)&lt;=0),"Menge pro Gebinde fehlt (Ist = 1 Gebinde); ","")&amp;BR1041)</f>
        <v>negativer Bestand (Export -12); </v>
      </c>
      <c r="BK1041" s="48"/>
      <c r="BL1041" s="48"/>
      <c r="BM1041" s="55"/>
      <c r="BN1041" s="50" t="n">
        <v>-12</v>
      </c>
      <c r="BO1041" s="50" t="n">
        <v>66</v>
      </c>
      <c r="BP1041" s="49" t="n">
        <v>-136.8</v>
      </c>
      <c r="BQ1041" s="50" t="n">
        <v>153</v>
      </c>
      <c r="BR1041" s="48"/>
      <c r="BS1041" s="53" t="n">
        <v>0</v>
      </c>
      <c r="BT1041" s="53" t="n">
        <v>1041</v>
      </c>
      <c r="BU1041" s="48" t="str">
        <f aca="false">IF(U1041&lt;&gt;"",UPPER(TRIM(U1041)),IF(BX1041=1,UPPER(VLOOKUP(T1041,Parameter!$I$27:$K$29,2,0)),IF(P1041="","LOSE",P1041)))</f>
        <v>S62</v>
      </c>
      <c r="BV1041" s="50" t="n">
        <f aca="false">IF(BU1041="LOSE",1,IF(N(V1041)&gt;0,V1041,IF(BX1041=1,MAX(1,N(VLOOKUP(T1041,Parameter!$I$27:$K$29,3,0)),H1041,N(N1041)),IF(N(Q1041)&gt;0,Q1041,MAX(1,H1041)))))</f>
        <v>101</v>
      </c>
      <c r="BW1041" s="53" t="n">
        <f aca="false">IF(BU1041="LOSE",1,0)</f>
        <v>0</v>
      </c>
      <c r="BX1041" s="53" t="n">
        <f aca="false">IF(AND(U1041="",OR(P1041="",P1041="LOSE"),T1041&lt;&gt;"",N(S1041)&lt;=0,ISNUMBER(MATCH(T1041,Parameter!$I$27:$I$29,0))),1,0)</f>
        <v>0</v>
      </c>
      <c r="BY1041" s="53" t="n">
        <f aca="false">IF(CL1041&gt;0,INDEX(Parameter!$H$5:$H$7,W1041)/INDEX(Parameter!$E$5:$E$7,W1041),IF(AND(BW1041=0,N(IFERROR(VLOOKUP(BU1041,'Gebinde-Kategorie'!$A$5:$N$45,14,0),0))&gt;0),VLOOKUP(BU1041,'Gebinde-Kategorie'!$A$5:$N$45,14,0)*10+Parameter!$M$23,Parameter!$M$24))</f>
        <v>245</v>
      </c>
      <c r="BZ1041" s="48" t="str">
        <f aca="false">IF(AND(Parameter!$B$19="Ja",E1041&lt;&gt;"",ISNUMBER(MATCH(E1041,Parameter!$I$35:$I$52,0))),VLOOKUP(E1041,Parameter!$I$35:$J$52,2,0),IFERROR(VLOOKUP(D1041,Parameter!$A$35:$C$64,2,0),"Nein"))</f>
        <v>2+3</v>
      </c>
      <c r="CA1041" s="52" t="n">
        <f aca="false">IF(BW1041=0,0,IF(N(S1041)&gt;0,S1041,IFERROR(VLOOKUP(D1041,Parameter!$A$35:$C$64,3,0)+0,0)))</f>
        <v>0</v>
      </c>
      <c r="CB1041" s="48" t="n">
        <f aca="false">IF(AA1041&lt;&gt;"",AA1041,Z1041)</f>
        <v>2</v>
      </c>
      <c r="CC1041" s="48" t="str">
        <f aca="false">IF(OR(CB1041=1,CB1041=2,CB1041=3),IF(Parameter!$E$27="Ja","LIFT",IF(CB1041=1,"L1","L23")),IF(CB1041="Aussen","Aussen","-"))</f>
        <v>LIFT</v>
      </c>
      <c r="CD1041" s="59" t="n">
        <f aca="false">IF(N(AB1041)&gt;0,AB1041,0)</f>
        <v>0</v>
      </c>
      <c r="CE1041" s="53" t="n">
        <f aca="false">IF(ISNUMBER(AE1041),1,0)</f>
        <v>0</v>
      </c>
      <c r="CF1041" s="50" t="n">
        <f aca="false">N(AE1041)</f>
        <v>0</v>
      </c>
      <c r="CG1041" s="50" t="n">
        <f aca="false">N(M1041)+N(N1041)</f>
        <v>67</v>
      </c>
      <c r="CH1041" s="50" t="n">
        <f aca="false">ROUNDUP(H1041/BV1041,0)</f>
        <v>1</v>
      </c>
      <c r="CI1041" s="50" t="n">
        <f aca="false">ROUNDUP(CF1041/BV1041,0)</f>
        <v>0</v>
      </c>
      <c r="CJ1041" s="53" t="n">
        <f aca="false">IF(BW1041=1,0,IFERROR(VLOOKUP(BU1041,'Gebinde-Kategorie'!$A$5:$N$45,5,0)+0,0))</f>
        <v>21</v>
      </c>
      <c r="CK1041" s="53" t="n">
        <f aca="false">IFERROR(IF(OR(CB1041=1,CB1041=2,CB1041=3),N(INDEX(Parameter!$I$5:$I$7,CB1041)),0),0)</f>
        <v>0</v>
      </c>
      <c r="CL1041" s="52" t="n">
        <f aca="false">IF(AND(Parameter!$B$21="Ja",ISNUMBER(W1041),N(X1041)&gt;0),IFERROR(N(INDEX(Parameter!$L$5:$L$7,W1041))*INDEX(Parameter!$E$5:$E$7,W1041)*X1041/SUMIFS($X$7:$X$1843,$W$7:$W$1843,W1041),0),0)</f>
        <v>0</v>
      </c>
    </row>
    <row r="1042" customFormat="false" ht="15" hidden="false" customHeight="false" outlineLevel="0" collapsed="false">
      <c r="A1042" s="48" t="s">
        <v>1915</v>
      </c>
      <c r="B1042" s="48" t="s">
        <v>1916</v>
      </c>
      <c r="C1042" s="48" t="s">
        <v>168</v>
      </c>
      <c r="D1042" s="48" t="s">
        <v>177</v>
      </c>
      <c r="E1042" s="48"/>
      <c r="F1042" s="48" t="s">
        <v>222</v>
      </c>
      <c r="G1042" s="49" t="n">
        <v>18.72</v>
      </c>
      <c r="H1042" s="50" t="n">
        <f aca="false">MAX(0,IF(AND(Parameter!$B$21="Ja",ISNUMBER(Y1042)),Y1042,IF(Parameter!$B$20="Jahresanfang 2025 + Export",BO1042+BN1042,BN1042)))</f>
        <v>3</v>
      </c>
      <c r="I1042" s="50" t="n">
        <f aca="false">H1042*G1042</f>
        <v>56.16</v>
      </c>
      <c r="J1042" s="50" t="n">
        <f aca="false">BQ1042*Parameter!$B$18</f>
        <v>15</v>
      </c>
      <c r="K1042" s="51" t="n">
        <v>8.5</v>
      </c>
      <c r="L1042" s="52" t="n">
        <v>1.76470588235294</v>
      </c>
      <c r="M1042" s="50" t="n">
        <v>1</v>
      </c>
      <c r="N1042" s="50" t="n">
        <v>15</v>
      </c>
      <c r="O1042" s="53" t="n">
        <v>35</v>
      </c>
      <c r="P1042" s="48" t="s">
        <v>430</v>
      </c>
      <c r="Q1042" s="50" t="n">
        <v>10</v>
      </c>
      <c r="R1042" s="53" t="n">
        <f aca="false">IF(BW1042=1,0,IFERROR(VLOOKUP(BU1042,'Gebinde-Kategorie'!$A$5:$N$45,13,0)+0,0))</f>
        <v>140</v>
      </c>
      <c r="S1042" s="54"/>
      <c r="T1042" s="55"/>
      <c r="U1042" s="55"/>
      <c r="V1042" s="55"/>
      <c r="W1042" s="48"/>
      <c r="X1042" s="50"/>
      <c r="Y1042" s="50"/>
      <c r="Z1042" s="48" t="n">
        <f aca="false">IF(A1042="","",IF(AND(Parameter!$B$21="Ja",ISNUMBER(W1042)),W1042,IF(BZ1042="2+3",IF(ISNUMBER(SEARCH("grosser Artikel",BR1042)),2,IFERROR(VLOOKUP(BU1042,Parameter!$F$35:$G$64,2,0),2)),IF(OR(BZ1042="Nein",BZ1042=""),"-",BZ1042))))</f>
        <v>3</v>
      </c>
      <c r="AA1042" s="55"/>
      <c r="AB1042" s="56"/>
      <c r="AC1042" s="50" t="n">
        <f aca="false">AT1042</f>
        <v>20</v>
      </c>
      <c r="AD1042" s="50" t="n">
        <f aca="false">MAX(AT1042,H1042)</f>
        <v>20</v>
      </c>
      <c r="AE1042" s="57"/>
      <c r="AF1042" s="50" t="n">
        <f aca="false">IF(LEFT(Cockpit!$C$5,1)="A",H1042,IF(CE1042=1,CF1042,IF(LEFT(Cockpit!$C$5,1)="B",AK1042,MAX(AK1042,H1042))))</f>
        <v>3</v>
      </c>
      <c r="AG1042" s="50" t="n">
        <f aca="false">IF(BW1042=1,0,ROUNDUP(AF1042/BV1042,0))</f>
        <v>1</v>
      </c>
      <c r="AH1042" s="52" t="n">
        <f aca="false">IF(CL1042&gt;0,CL1042*MAX(1,AF1042/X1042),IF(BW1042=1,IF(AF1042&lt;=0,0,CA1042*MAX(1,IF(H1042&gt;0,AF1042/H1042,1))),IF(R1042&gt;0,AG1042/R1042,0))/MAX(0.1,N(Parameter!$M$21)))</f>
        <v>0.00714285714285714</v>
      </c>
      <c r="AI1042" s="50" t="n">
        <f aca="false">AH1042*BY1042</f>
        <v>1.10714285714286</v>
      </c>
      <c r="AJ1042" s="50" t="n">
        <f aca="false">AF1042*G1042</f>
        <v>56.16</v>
      </c>
      <c r="AK1042" s="50" t="n">
        <f aca="false">ROUNDUP(MAX(J1042/IF(CD1042&gt;0,CD1042,MAX(0.1,N(Cockpit!$C$6))),CG1042)/BV1042,0)*BV1042</f>
        <v>20</v>
      </c>
      <c r="AL1042" s="51" t="n">
        <f aca="false">IF(AI1042&gt;0,J1042/AI1042,-1)</f>
        <v>13.5483870967742</v>
      </c>
      <c r="AM1042" s="51" t="n">
        <f aca="false">IF(AND(OR(CC1042="L1",CC1042="L23",CC1042="LIFT"),AI1042&gt;0),SUMIFS($AI$7:$AI$1843,$CC$7:$CC$1843,CC1042,$AL$7:$AL$1843,"&gt;"&amp;AL1042)+SUMIFS($AI$7:$AI$1843,$CC$7:$CC$1843,CC1042,$AL$7:$AL$1843,AL1042,$BT$7:$BT$1843,"&lt;="&amp;BT1042),"")</f>
        <v>2342.83608058608</v>
      </c>
      <c r="AN1042" s="58" t="n">
        <f aca="false">IF(AM1042="",0,MAX(0,MIN(1,(IF(CC1042="L1",Parameter!$H$5,IF(CC1042="L23",Parameter!$H$6+Parameter!$H$7,Parameter!$H$5+Parameter!$H$6+Parameter!$H$7))-(AM1042-AI1042))/AI1042)))</f>
        <v>1</v>
      </c>
      <c r="AO1042" s="50" t="n">
        <f aca="false">IF(LEFT(Cockpit!$I$5,1)="A",H1042,IF(CE1042=1,CF1042,IF(LEFT(Cockpit!$I$5,1)="B",AT1042,MAX(AT1042,H1042))))</f>
        <v>20</v>
      </c>
      <c r="AP1042" s="50" t="n">
        <f aca="false">IF(BW1042=1,0,ROUNDUP(AO1042/BV1042,0))</f>
        <v>2</v>
      </c>
      <c r="AQ1042" s="52" t="n">
        <f aca="false">IF(CL1042&gt;0,CL1042*MAX(1,AO1042/X1042),IF(BW1042=1,IF(AO1042&lt;=0,0,CA1042*MAX(1,IF(H1042&gt;0,AO1042/H1042,1))),IF(R1042&gt;0,AP1042/R1042,0))/MAX(0.1,N(Parameter!$M$21)))</f>
        <v>0.0142857142857143</v>
      </c>
      <c r="AR1042" s="50" t="n">
        <f aca="false">AQ1042*BY1042</f>
        <v>2.21428571428571</v>
      </c>
      <c r="AS1042" s="50" t="n">
        <f aca="false">AO1042*G1042</f>
        <v>374.4</v>
      </c>
      <c r="AT1042" s="50" t="n">
        <f aca="false">ROUNDUP(MAX(J1042/IF(CD1042&gt;0,CD1042,MAX(0.1,N(Cockpit!$I$6))),CG1042)/BV1042,0)*BV1042</f>
        <v>20</v>
      </c>
      <c r="AU1042" s="51" t="n">
        <f aca="false">IF(AR1042&gt;0,J1042/AR1042,-1)</f>
        <v>6.7741935483871</v>
      </c>
      <c r="AV1042" s="51" t="n">
        <f aca="false">IF(AND(OR(CC1042="L1",CC1042="L23",CC1042="LIFT"),AR1042&gt;0),SUMIFS($AR$7:$AR$1843,$CC$7:$CC$1843,CC1042,$AU$7:$AU$1843,"&gt;"&amp;AU1042)+SUMIFS($AR$7:$AR$1843,$CC$7:$CC$1843,CC1042,$AU$7:$AU$1843,AU1042,$BT$7:$BT$1843,"&lt;="&amp;BT1042),"")</f>
        <v>4518.45467032967</v>
      </c>
      <c r="AW1042" s="58" t="n">
        <f aca="false">IF(AV1042="",0,MAX(0,MIN(1,(IF(CC1042="L1",Parameter!$H$5,IF(CC1042="L23",Parameter!$H$6+Parameter!$H$7,Parameter!$H$5+Parameter!$H$6+Parameter!$H$7))-(AV1042-AR1042))/AR1042)))</f>
        <v>1</v>
      </c>
      <c r="AX1042" s="50" t="n">
        <f aca="false">IF(LEFT(Cockpit!$O$5,1)="A",H1042,IF(CE1042=1,CF1042,IF(LEFT(Cockpit!$O$5,1)="B",BC1042,MAX(BC1042,H1042))))</f>
        <v>20</v>
      </c>
      <c r="AY1042" s="50" t="n">
        <f aca="false">IF(BW1042=1,0,ROUNDUP(AX1042/BV1042,0))</f>
        <v>2</v>
      </c>
      <c r="AZ1042" s="52" t="n">
        <f aca="false">IF(CL1042&gt;0,CL1042*MAX(1,AX1042/X1042),IF(BW1042=1,IF(AX1042&lt;=0,0,CA1042*MAX(1,IF(H1042&gt;0,AX1042/H1042,1))),IF(R1042&gt;0,AY1042/R1042,0))/MAX(0.1,N(Parameter!$M$21)))</f>
        <v>0.0142857142857143</v>
      </c>
      <c r="BA1042" s="50" t="n">
        <f aca="false">AZ1042*BY1042</f>
        <v>2.21428571428571</v>
      </c>
      <c r="BB1042" s="50" t="n">
        <f aca="false">AX1042*G1042</f>
        <v>374.4</v>
      </c>
      <c r="BC1042" s="50" t="n">
        <f aca="false">ROUNDUP(MAX(J1042/IF(CD1042&gt;0,CD1042,MAX(0.1,N(Cockpit!$O$6))),CG1042)/BV1042,0)*BV1042</f>
        <v>20</v>
      </c>
      <c r="BD1042" s="51" t="n">
        <f aca="false">IF(BA1042&gt;0,J1042/BA1042,-1)</f>
        <v>6.7741935483871</v>
      </c>
      <c r="BE1042" s="51" t="n">
        <f aca="false">IF(AND(OR(CC1042="L1",CC1042="L23",CC1042="LIFT"),BA1042&gt;0),SUMIFS($BA$7:$BA$1843,$CC$7:$CC$1843,CC1042,$BD$7:$BD$1843,"&gt;"&amp;BD1042)+SUMIFS($BA$7:$BA$1843,$CC$7:$CC$1843,CC1042,$BD$7:$BD$1843,BD1042,$BT$7:$BT$1843,"&lt;="&amp;BT1042),"")</f>
        <v>4309.75274725275</v>
      </c>
      <c r="BF1042" s="58" t="n">
        <f aca="false">IF(BE1042="",0,MAX(0,MIN(1,(IF(CC1042="L1",Parameter!$H$5,IF(CC1042="L23",Parameter!$H$6+Parameter!$H$7,Parameter!$H$5+Parameter!$H$6+Parameter!$H$7))-(BE1042-BA1042))/BA1042)))</f>
        <v>1</v>
      </c>
      <c r="BG1042" s="48" t="str">
        <f aca="false">IF(AI1042&lt;=0,"",IF(CC1042="Aussen","Aussenlager",IF(CC1042="-","Nicht im Lift",IF(AN1042&gt;=1,"Lift",IF(AN1042&lt;=0,"Aussenlager","teilweise")))))</f>
        <v>Lift</v>
      </c>
      <c r="BH1042" s="48" t="str">
        <f aca="false">IF(AR1042&lt;=0,"",IF(CC1042="Aussen","Aussenlager",IF(CC1042="-","Nicht im Lift",IF(AW1042&gt;=1,"Lift",IF(AW1042&lt;=0,"Aussenlager","teilweise")))))</f>
        <v>Lift</v>
      </c>
      <c r="BI1042" s="48" t="str">
        <f aca="false">IF(BA1042&lt;=0,"",IF(CC1042="Aussen","Aussenlager",IF(CC1042="-","Nicht im Lift",IF(BF1042&gt;=1,"Lift",IF(BF1042&lt;=0,"Aussenlager","teilweise")))))</f>
        <v>Lift</v>
      </c>
      <c r="BJ1042" s="48" t="str">
        <f aca="false">IF(A1042="","",IF(BS1042=1,"Neu; ","")&amp;IF(AND(BS1042=0,BN1042&lt;0),"negativer Bestand (Export "&amp;BN1042&amp;"); ","")&amp;IF(J1042&lt;=0,"Kein Verbrauch; ","")&amp;IF(CL1042&gt;0,"Lift "&amp;W1042&amp;" lt. Liftbericht (Fach "&amp;X1042&amp;" Stk); ",IF(BX1042=1,"Gebinde geschätzt ("&amp;T1042&amp;"); ",IF(BW1042=1,"Lose – Tablare geschätzt; ","")))&amp;IF(H1042&gt;AT1042,"Überbestand "&amp;ROUND(H1042-AT1042,0)&amp;" Stk / CHF "&amp;ROUND((H1042-AT1042)*G1042,0)&amp;"; ","")&amp;IF(AND(CE1042=1,CF1042&lt;CG1042),"MAX &lt; MB+LG; ","")&amp;IF(AND(CK1042&gt;0,CJ1042*10&gt;CK1042),"zu hoch für Tablar; ","")&amp;IF(AND(BS1042=0,OR(CE1042=1,AA1042&lt;&gt;"",U1042&lt;&gt;"",V1042&lt;&gt;"",AB1042&lt;&gt;"")),"manuell übersteuert; ","")&amp;IF(AND(BW1042=0,R1042=0),"Gebinde unbekannt / Stellmass fehlt; ","")&amp;IF(AND(BW1042=0,N(V1042)&lt;=0,N(Q1042)&lt;=0),"Menge pro Gebinde fehlt (Ist = 1 Gebinde); ","")&amp;BR1042)</f>
        <v>negativer Bestand (Export -8); </v>
      </c>
      <c r="BK1042" s="48"/>
      <c r="BL1042" s="48"/>
      <c r="BM1042" s="55"/>
      <c r="BN1042" s="50" t="n">
        <v>-8</v>
      </c>
      <c r="BO1042" s="50" t="n">
        <v>11</v>
      </c>
      <c r="BP1042" s="49" t="n">
        <v>-137.11</v>
      </c>
      <c r="BQ1042" s="50" t="n">
        <v>15</v>
      </c>
      <c r="BR1042" s="48"/>
      <c r="BS1042" s="53" t="n">
        <v>0</v>
      </c>
      <c r="BT1042" s="53" t="n">
        <v>1042</v>
      </c>
      <c r="BU1042" s="48" t="str">
        <f aca="false">IF(U1042&lt;&gt;"",UPPER(TRIM(U1042)),IF(BX1042=1,UPPER(VLOOKUP(T1042,Parameter!$I$27:$K$29,2,0)),IF(P1042="","LOSE",P1042)))</f>
        <v>S22</v>
      </c>
      <c r="BV1042" s="50" t="n">
        <f aca="false">IF(BU1042="LOSE",1,IF(N(V1042)&gt;0,V1042,IF(BX1042=1,MAX(1,N(VLOOKUP(T1042,Parameter!$I$27:$K$29,3,0)),H1042,N(N1042)),IF(N(Q1042)&gt;0,Q1042,MAX(1,H1042)))))</f>
        <v>10</v>
      </c>
      <c r="BW1042" s="53" t="n">
        <f aca="false">IF(BU1042="LOSE",1,0)</f>
        <v>0</v>
      </c>
      <c r="BX1042" s="53" t="n">
        <f aca="false">IF(AND(U1042="",OR(P1042="",P1042="LOSE"),T1042&lt;&gt;"",N(S1042)&lt;=0,ISNUMBER(MATCH(T1042,Parameter!$I$27:$I$29,0))),1,0)</f>
        <v>0</v>
      </c>
      <c r="BY1042" s="53" t="n">
        <f aca="false">IF(CL1042&gt;0,INDEX(Parameter!$H$5:$H$7,W1042)/INDEX(Parameter!$E$5:$E$7,W1042),IF(AND(BW1042=0,N(IFERROR(VLOOKUP(BU1042,'Gebinde-Kategorie'!$A$5:$N$45,14,0),0))&gt;0),VLOOKUP(BU1042,'Gebinde-Kategorie'!$A$5:$N$45,14,0)*10+Parameter!$M$23,Parameter!$M$24))</f>
        <v>155</v>
      </c>
      <c r="BZ1042" s="48" t="str">
        <f aca="false">IF(AND(Parameter!$B$19="Ja",E1042&lt;&gt;"",ISNUMBER(MATCH(E1042,Parameter!$I$35:$I$52,0))),VLOOKUP(E1042,Parameter!$I$35:$J$52,2,0),IFERROR(VLOOKUP(D1042,Parameter!$A$35:$C$64,2,0),"Nein"))</f>
        <v>2+3</v>
      </c>
      <c r="CA1042" s="52" t="n">
        <f aca="false">IF(BW1042=0,0,IF(N(S1042)&gt;0,S1042,IFERROR(VLOOKUP(D1042,Parameter!$A$35:$C$64,3,0)+0,0)))</f>
        <v>0</v>
      </c>
      <c r="CB1042" s="48" t="n">
        <f aca="false">IF(AA1042&lt;&gt;"",AA1042,Z1042)</f>
        <v>3</v>
      </c>
      <c r="CC1042" s="48" t="str">
        <f aca="false">IF(OR(CB1042=1,CB1042=2,CB1042=3),IF(Parameter!$E$27="Ja","LIFT",IF(CB1042=1,"L1","L23")),IF(CB1042="Aussen","Aussen","-"))</f>
        <v>LIFT</v>
      </c>
      <c r="CD1042" s="59" t="n">
        <f aca="false">IF(N(AB1042)&gt;0,AB1042,0)</f>
        <v>0</v>
      </c>
      <c r="CE1042" s="53" t="n">
        <f aca="false">IF(ISNUMBER(AE1042),1,0)</f>
        <v>0</v>
      </c>
      <c r="CF1042" s="50" t="n">
        <f aca="false">N(AE1042)</f>
        <v>0</v>
      </c>
      <c r="CG1042" s="50" t="n">
        <f aca="false">N(M1042)+N(N1042)</f>
        <v>16</v>
      </c>
      <c r="CH1042" s="50" t="n">
        <f aca="false">ROUNDUP(H1042/BV1042,0)</f>
        <v>1</v>
      </c>
      <c r="CI1042" s="50" t="n">
        <f aca="false">ROUNDUP(CF1042/BV1042,0)</f>
        <v>0</v>
      </c>
      <c r="CJ1042" s="53" t="n">
        <f aca="false">IF(BW1042=1,0,IFERROR(VLOOKUP(BU1042,'Gebinde-Kategorie'!$A$5:$N$45,5,0)+0,0))</f>
        <v>8</v>
      </c>
      <c r="CK1042" s="53" t="n">
        <f aca="false">IFERROR(IF(OR(CB1042=1,CB1042=2,CB1042=3),N(INDEX(Parameter!$I$5:$I$7,CB1042)),0),0)</f>
        <v>0</v>
      </c>
      <c r="CL1042" s="52" t="n">
        <f aca="false">IF(AND(Parameter!$B$21="Ja",ISNUMBER(W1042),N(X1042)&gt;0),IFERROR(N(INDEX(Parameter!$L$5:$L$7,W1042))*INDEX(Parameter!$E$5:$E$7,W1042)*X1042/SUMIFS($X$7:$X$1843,$W$7:$W$1843,W1042),0),0)</f>
        <v>0</v>
      </c>
    </row>
    <row r="1043" customFormat="false" ht="15" hidden="false" customHeight="false" outlineLevel="0" collapsed="false">
      <c r="A1043" s="48" t="s">
        <v>1917</v>
      </c>
      <c r="B1043" s="48" t="s">
        <v>1918</v>
      </c>
      <c r="C1043" s="48" t="s">
        <v>168</v>
      </c>
      <c r="D1043" s="48" t="s">
        <v>188</v>
      </c>
      <c r="E1043" s="48" t="s">
        <v>189</v>
      </c>
      <c r="F1043" s="48" t="s">
        <v>222</v>
      </c>
      <c r="G1043" s="49" t="n">
        <v>137.89</v>
      </c>
      <c r="H1043" s="50" t="n">
        <f aca="false">MAX(0,IF(AND(Parameter!$B$21="Ja",ISNUMBER(Y1043)),Y1043,IF(Parameter!$B$20="Jahresanfang 2025 + Export",BO1043+BN1043,BN1043)))</f>
        <v>22</v>
      </c>
      <c r="I1043" s="50" t="n">
        <f aca="false">H1043*G1043</f>
        <v>3033.58</v>
      </c>
      <c r="J1043" s="50" t="n">
        <f aca="false">BQ1043*Parameter!$B$18</f>
        <v>1</v>
      </c>
      <c r="K1043" s="51" t="n">
        <v>22.5</v>
      </c>
      <c r="L1043" s="52" t="n">
        <v>0.0444444444444445</v>
      </c>
      <c r="M1043" s="50" t="n">
        <v>0</v>
      </c>
      <c r="N1043" s="50" t="n">
        <v>1</v>
      </c>
      <c r="O1043" s="53" t="n">
        <v>14</v>
      </c>
      <c r="P1043" s="48" t="s">
        <v>332</v>
      </c>
      <c r="Q1043" s="50" t="n">
        <v>47</v>
      </c>
      <c r="R1043" s="53" t="n">
        <f aca="false">IF(BW1043=1,0,IFERROR(VLOOKUP(BU1043,'Gebinde-Kategorie'!$A$5:$N$45,13,0)+0,0))</f>
        <v>52</v>
      </c>
      <c r="S1043" s="54"/>
      <c r="T1043" s="55"/>
      <c r="U1043" s="55"/>
      <c r="V1043" s="55"/>
      <c r="W1043" s="48"/>
      <c r="X1043" s="50"/>
      <c r="Y1043" s="50"/>
      <c r="Z1043" s="48" t="n">
        <f aca="false">IF(A1043="","",IF(AND(Parameter!$B$21="Ja",ISNUMBER(W1043)),W1043,IF(BZ1043="2+3",IF(ISNUMBER(SEARCH("grosser Artikel",BR1043)),2,IFERROR(VLOOKUP(BU1043,Parameter!$F$35:$G$64,2,0),2)),IF(OR(BZ1043="Nein",BZ1043=""),"-",BZ1043))))</f>
        <v>3</v>
      </c>
      <c r="AA1043" s="55"/>
      <c r="AB1043" s="56"/>
      <c r="AC1043" s="50" t="n">
        <f aca="false">AT1043</f>
        <v>47</v>
      </c>
      <c r="AD1043" s="50" t="n">
        <f aca="false">MAX(AT1043,H1043)</f>
        <v>47</v>
      </c>
      <c r="AE1043" s="57"/>
      <c r="AF1043" s="50" t="n">
        <f aca="false">IF(LEFT(Cockpit!$C$5,1)="A",H1043,IF(CE1043=1,CF1043,IF(LEFT(Cockpit!$C$5,1)="B",AK1043,MAX(AK1043,H1043))))</f>
        <v>22</v>
      </c>
      <c r="AG1043" s="50" t="n">
        <f aca="false">IF(BW1043=1,0,ROUNDUP(AF1043/BV1043,0))</f>
        <v>1</v>
      </c>
      <c r="AH1043" s="52" t="n">
        <f aca="false">IF(CL1043&gt;0,CL1043*MAX(1,AF1043/X1043),IF(BW1043=1,IF(AF1043&lt;=0,0,CA1043*MAX(1,IF(H1043&gt;0,AF1043/H1043,1))),IF(R1043&gt;0,AG1043/R1043,0))/MAX(0.1,N(Parameter!$M$21)))</f>
        <v>0.0192307692307692</v>
      </c>
      <c r="AI1043" s="50" t="n">
        <f aca="false">AH1043*BY1043</f>
        <v>2.98076923076923</v>
      </c>
      <c r="AJ1043" s="50" t="n">
        <f aca="false">AF1043*G1043</f>
        <v>3033.58</v>
      </c>
      <c r="AK1043" s="50" t="n">
        <f aca="false">ROUNDUP(MAX(J1043/IF(CD1043&gt;0,CD1043,MAX(0.1,N(Cockpit!$C$6))),CG1043)/BV1043,0)*BV1043</f>
        <v>47</v>
      </c>
      <c r="AL1043" s="51" t="n">
        <f aca="false">IF(AI1043&gt;0,J1043/AI1043,-1)</f>
        <v>0.335483870967742</v>
      </c>
      <c r="AM1043" s="51" t="n">
        <f aca="false">IF(AND(OR(CC1043="L1",CC1043="L23",CC1043="LIFT"),AI1043&gt;0),SUMIFS($AI$7:$AI$1843,$CC$7:$CC$1843,CC1043,$AL$7:$AL$1843,"&gt;"&amp;AL1043)+SUMIFS($AI$7:$AI$1843,$CC$7:$CC$1843,CC1043,$AL$7:$AL$1843,AL1043,$BT$7:$BT$1843,"&lt;="&amp;BT1043),"")</f>
        <v>11218.8078087167</v>
      </c>
      <c r="AN1043" s="58" t="n">
        <f aca="false">IF(AM1043="",0,MAX(0,MIN(1,(IF(CC1043="L1",Parameter!$H$5,IF(CC1043="L23",Parameter!$H$6+Parameter!$H$7,Parameter!$H$5+Parameter!$H$6+Parameter!$H$7))-(AM1043-AI1043))/AI1043)))</f>
        <v>1</v>
      </c>
      <c r="AO1043" s="50" t="n">
        <f aca="false">IF(LEFT(Cockpit!$I$5,1)="A",H1043,IF(CE1043=1,CF1043,IF(LEFT(Cockpit!$I$5,1)="B",AT1043,MAX(AT1043,H1043))))</f>
        <v>47</v>
      </c>
      <c r="AP1043" s="50" t="n">
        <f aca="false">IF(BW1043=1,0,ROUNDUP(AO1043/BV1043,0))</f>
        <v>1</v>
      </c>
      <c r="AQ1043" s="52" t="n">
        <f aca="false">IF(CL1043&gt;0,CL1043*MAX(1,AO1043/X1043),IF(BW1043=1,IF(AO1043&lt;=0,0,CA1043*MAX(1,IF(H1043&gt;0,AO1043/H1043,1))),IF(R1043&gt;0,AP1043/R1043,0))/MAX(0.1,N(Parameter!$M$21)))</f>
        <v>0.0192307692307692</v>
      </c>
      <c r="AR1043" s="50" t="n">
        <f aca="false">AQ1043*BY1043</f>
        <v>2.98076923076923</v>
      </c>
      <c r="AS1043" s="50" t="n">
        <f aca="false">AO1043*G1043</f>
        <v>6480.83</v>
      </c>
      <c r="AT1043" s="50" t="n">
        <f aca="false">ROUNDUP(MAX(J1043/IF(CD1043&gt;0,CD1043,MAX(0.1,N(Cockpit!$I$6))),CG1043)/BV1043,0)*BV1043</f>
        <v>47</v>
      </c>
      <c r="AU1043" s="51" t="n">
        <f aca="false">IF(AR1043&gt;0,J1043/AR1043,-1)</f>
        <v>0.335483870967742</v>
      </c>
      <c r="AV1043" s="51" t="n">
        <f aca="false">IF(AND(OR(CC1043="L1",CC1043="L23",CC1043="LIFT"),AR1043&gt;0),SUMIFS($AR$7:$AR$1843,$CC$7:$CC$1843,CC1043,$AU$7:$AU$1843,"&gt;"&amp;AU1043)+SUMIFS($AR$7:$AR$1843,$CC$7:$CC$1843,CC1043,$AU$7:$AU$1843,AU1043,$BT$7:$BT$1843,"&lt;="&amp;BT1043),"")</f>
        <v>16344.505952381</v>
      </c>
      <c r="AW1043" s="58" t="n">
        <f aca="false">IF(AV1043="",0,MAX(0,MIN(1,(IF(CC1043="L1",Parameter!$H$5,IF(CC1043="L23",Parameter!$H$6+Parameter!$H$7,Parameter!$H$5+Parameter!$H$6+Parameter!$H$7))-(AV1043-AR1043))/AR1043)))</f>
        <v>1</v>
      </c>
      <c r="AX1043" s="50" t="n">
        <f aca="false">IF(LEFT(Cockpit!$O$5,1)="A",H1043,IF(CE1043=1,CF1043,IF(LEFT(Cockpit!$O$5,1)="B",BC1043,MAX(BC1043,H1043))))</f>
        <v>47</v>
      </c>
      <c r="AY1043" s="50" t="n">
        <f aca="false">IF(BW1043=1,0,ROUNDUP(AX1043/BV1043,0))</f>
        <v>1</v>
      </c>
      <c r="AZ1043" s="52" t="n">
        <f aca="false">IF(CL1043&gt;0,CL1043*MAX(1,AX1043/X1043),IF(BW1043=1,IF(AX1043&lt;=0,0,CA1043*MAX(1,IF(H1043&gt;0,AX1043/H1043,1))),IF(R1043&gt;0,AY1043/R1043,0))/MAX(0.1,N(Parameter!$M$21)))</f>
        <v>0.0192307692307692</v>
      </c>
      <c r="BA1043" s="50" t="n">
        <f aca="false">AZ1043*BY1043</f>
        <v>2.98076923076923</v>
      </c>
      <c r="BB1043" s="50" t="n">
        <f aca="false">AX1043*G1043</f>
        <v>6480.83</v>
      </c>
      <c r="BC1043" s="50" t="n">
        <f aca="false">ROUNDUP(MAX(J1043/IF(CD1043&gt;0,CD1043,MAX(0.1,N(Cockpit!$O$6))),CG1043)/BV1043,0)*BV1043</f>
        <v>47</v>
      </c>
      <c r="BD1043" s="51" t="n">
        <f aca="false">IF(BA1043&gt;0,J1043/BA1043,-1)</f>
        <v>0.335483870967742</v>
      </c>
      <c r="BE1043" s="51" t="n">
        <f aca="false">IF(AND(OR(CC1043="L1",CC1043="L23",CC1043="LIFT"),BA1043&gt;0),SUMIFS($BA$7:$BA$1843,$CC$7:$CC$1843,CC1043,$BD$7:$BD$1843,"&gt;"&amp;BD1043)+SUMIFS($BA$7:$BA$1843,$CC$7:$CC$1843,CC1043,$BD$7:$BD$1843,BD1043,$BT$7:$BT$1843,"&lt;="&amp;BT1043),"")</f>
        <v>15095.163003663</v>
      </c>
      <c r="BF1043" s="58" t="n">
        <f aca="false">IF(BE1043="",0,MAX(0,MIN(1,(IF(CC1043="L1",Parameter!$H$5,IF(CC1043="L23",Parameter!$H$6+Parameter!$H$7,Parameter!$H$5+Parameter!$H$6+Parameter!$H$7))-(BE1043-BA1043))/BA1043)))</f>
        <v>1</v>
      </c>
      <c r="BG1043" s="48" t="str">
        <f aca="false">IF(AI1043&lt;=0,"",IF(CC1043="Aussen","Aussenlager",IF(CC1043="-","Nicht im Lift",IF(AN1043&gt;=1,"Lift",IF(AN1043&lt;=0,"Aussenlager","teilweise")))))</f>
        <v>Lift</v>
      </c>
      <c r="BH1043" s="48" t="str">
        <f aca="false">IF(AR1043&lt;=0,"",IF(CC1043="Aussen","Aussenlager",IF(CC1043="-","Nicht im Lift",IF(AW1043&gt;=1,"Lift",IF(AW1043&lt;=0,"Aussenlager","teilweise")))))</f>
        <v>Lift</v>
      </c>
      <c r="BI1043" s="48" t="str">
        <f aca="false">IF(BA1043&lt;=0,"",IF(CC1043="Aussen","Aussenlager",IF(CC1043="-","Nicht im Lift",IF(BF1043&gt;=1,"Lift",IF(BF1043&lt;=0,"Aussenlager","teilweise")))))</f>
        <v>Lift</v>
      </c>
      <c r="BJ1043" s="48" t="str">
        <f aca="false">IF(A1043="","",IF(BS1043=1,"Neu; ","")&amp;IF(AND(BS1043=0,BN1043&lt;0),"negativer Bestand (Export "&amp;BN1043&amp;"); ","")&amp;IF(J1043&lt;=0,"Kein Verbrauch; ","")&amp;IF(CL1043&gt;0,"Lift "&amp;W1043&amp;" lt. Liftbericht (Fach "&amp;X1043&amp;" Stk); ",IF(BX1043=1,"Gebinde geschätzt ("&amp;T1043&amp;"); ",IF(BW1043=1,"Lose – Tablare geschätzt; ","")))&amp;IF(H1043&gt;AT1043,"Überbestand "&amp;ROUND(H1043-AT1043,0)&amp;" Stk / CHF "&amp;ROUND((H1043-AT1043)*G1043,0)&amp;"; ","")&amp;IF(AND(CE1043=1,CF1043&lt;CG1043),"MAX &lt; MB+LG; ","")&amp;IF(AND(CK1043&gt;0,CJ1043*10&gt;CK1043),"zu hoch für Tablar; ","")&amp;IF(AND(BS1043=0,OR(CE1043=1,AA1043&lt;&gt;"",U1043&lt;&gt;"",V1043&lt;&gt;"",AB1043&lt;&gt;"")),"manuell übersteuert; ","")&amp;IF(AND(BW1043=0,R1043=0),"Gebinde unbekannt / Stellmass fehlt; ","")&amp;IF(AND(BW1043=0,N(V1043)&lt;=0,N(Q1043)&lt;=0),"Menge pro Gebinde fehlt (Ist = 1 Gebinde); ","")&amp;BR1043)</f>
        <v>negativer Bestand (Export -1); Überbestand</v>
      </c>
      <c r="BK1043" s="48"/>
      <c r="BL1043" s="48"/>
      <c r="BM1043" s="55"/>
      <c r="BN1043" s="50" t="n">
        <v>-1</v>
      </c>
      <c r="BO1043" s="50" t="n">
        <v>23</v>
      </c>
      <c r="BP1043" s="49" t="n">
        <v>-137.89</v>
      </c>
      <c r="BQ1043" s="50" t="n">
        <v>1</v>
      </c>
      <c r="BR1043" s="48" t="s">
        <v>396</v>
      </c>
      <c r="BS1043" s="53" t="n">
        <v>0</v>
      </c>
      <c r="BT1043" s="53" t="n">
        <v>1043</v>
      </c>
      <c r="BU1043" s="48" t="str">
        <f aca="false">IF(U1043&lt;&gt;"",UPPER(TRIM(U1043)),IF(BX1043=1,UPPER(VLOOKUP(T1043,Parameter!$I$27:$K$29,2,0)),IF(P1043="","LOSE",P1043)))</f>
        <v>S41</v>
      </c>
      <c r="BV1043" s="50" t="n">
        <f aca="false">IF(BU1043="LOSE",1,IF(N(V1043)&gt;0,V1043,IF(BX1043=1,MAX(1,N(VLOOKUP(T1043,Parameter!$I$27:$K$29,3,0)),H1043,N(N1043)),IF(N(Q1043)&gt;0,Q1043,MAX(1,H1043)))))</f>
        <v>47</v>
      </c>
      <c r="BW1043" s="53" t="n">
        <f aca="false">IF(BU1043="LOSE",1,0)</f>
        <v>0</v>
      </c>
      <c r="BX1043" s="53" t="n">
        <f aca="false">IF(AND(U1043="",OR(P1043="",P1043="LOSE"),T1043&lt;&gt;"",N(S1043)&lt;=0,ISNUMBER(MATCH(T1043,Parameter!$I$27:$I$29,0))),1,0)</f>
        <v>0</v>
      </c>
      <c r="BY1043" s="53" t="n">
        <f aca="false">IF(CL1043&gt;0,INDEX(Parameter!$H$5:$H$7,W1043)/INDEX(Parameter!$E$5:$E$7,W1043),IF(AND(BW1043=0,N(IFERROR(VLOOKUP(BU1043,'Gebinde-Kategorie'!$A$5:$N$45,14,0),0))&gt;0),VLOOKUP(BU1043,'Gebinde-Kategorie'!$A$5:$N$45,14,0)*10+Parameter!$M$23,Parameter!$M$24))</f>
        <v>155</v>
      </c>
      <c r="BZ1043" s="48" t="str">
        <f aca="false">IF(AND(Parameter!$B$19="Ja",E1043&lt;&gt;"",ISNUMBER(MATCH(E1043,Parameter!$I$35:$I$52,0))),VLOOKUP(E1043,Parameter!$I$35:$J$52,2,0),IFERROR(VLOOKUP(D1043,Parameter!$A$35:$C$64,2,0),"Nein"))</f>
        <v>2+3</v>
      </c>
      <c r="CA1043" s="52" t="n">
        <f aca="false">IF(BW1043=0,0,IF(N(S1043)&gt;0,S1043,IFERROR(VLOOKUP(D1043,Parameter!$A$35:$C$64,3,0)+0,0)))</f>
        <v>0</v>
      </c>
      <c r="CB1043" s="48" t="n">
        <f aca="false">IF(AA1043&lt;&gt;"",AA1043,Z1043)</f>
        <v>3</v>
      </c>
      <c r="CC1043" s="48" t="str">
        <f aca="false">IF(OR(CB1043=1,CB1043=2,CB1043=3),IF(Parameter!$E$27="Ja","LIFT",IF(CB1043=1,"L1","L23")),IF(CB1043="Aussen","Aussen","-"))</f>
        <v>LIFT</v>
      </c>
      <c r="CD1043" s="59" t="n">
        <f aca="false">IF(N(AB1043)&gt;0,AB1043,0)</f>
        <v>0</v>
      </c>
      <c r="CE1043" s="53" t="n">
        <f aca="false">IF(ISNUMBER(AE1043),1,0)</f>
        <v>0</v>
      </c>
      <c r="CF1043" s="50" t="n">
        <f aca="false">N(AE1043)</f>
        <v>0</v>
      </c>
      <c r="CG1043" s="50" t="n">
        <f aca="false">N(M1043)+N(N1043)</f>
        <v>1</v>
      </c>
      <c r="CH1043" s="50" t="n">
        <f aca="false">ROUNDUP(H1043/BV1043,0)</f>
        <v>1</v>
      </c>
      <c r="CI1043" s="50" t="n">
        <f aca="false">ROUNDUP(CF1043/BV1043,0)</f>
        <v>0</v>
      </c>
      <c r="CJ1043" s="53" t="n">
        <f aca="false">IF(BW1043=1,0,IFERROR(VLOOKUP(BU1043,'Gebinde-Kategorie'!$A$5:$N$45,5,0)+0,0))</f>
        <v>11</v>
      </c>
      <c r="CK1043" s="53" t="n">
        <f aca="false">IFERROR(IF(OR(CB1043=1,CB1043=2,CB1043=3),N(INDEX(Parameter!$I$5:$I$7,CB1043)),0),0)</f>
        <v>0</v>
      </c>
      <c r="CL1043" s="52" t="n">
        <f aca="false">IF(AND(Parameter!$B$21="Ja",ISNUMBER(W1043),N(X1043)&gt;0),IFERROR(N(INDEX(Parameter!$L$5:$L$7,W1043))*INDEX(Parameter!$E$5:$E$7,W1043)*X1043/SUMIFS($X$7:$X$1843,$W$7:$W$1843,W1043),0),0)</f>
        <v>0</v>
      </c>
    </row>
    <row r="1044" customFormat="false" ht="15" hidden="false" customHeight="false" outlineLevel="0" collapsed="false">
      <c r="A1044" s="48" t="s">
        <v>1919</v>
      </c>
      <c r="B1044" s="48" t="s">
        <v>1920</v>
      </c>
      <c r="C1044" s="48" t="s">
        <v>168</v>
      </c>
      <c r="D1044" s="48" t="s">
        <v>188</v>
      </c>
      <c r="E1044" s="48" t="s">
        <v>189</v>
      </c>
      <c r="F1044" s="48" t="s">
        <v>222</v>
      </c>
      <c r="G1044" s="49" t="n">
        <v>69.28</v>
      </c>
      <c r="H1044" s="50" t="n">
        <f aca="false">MAX(0,IF(AND(Parameter!$B$21="Ja",ISNUMBER(Y1044)),Y1044,IF(Parameter!$B$20="Jahresanfang 2025 + Export",BO1044+BN1044,BN1044)))</f>
        <v>8</v>
      </c>
      <c r="I1044" s="50" t="n">
        <f aca="false">H1044*G1044</f>
        <v>554.24</v>
      </c>
      <c r="J1044" s="50" t="n">
        <f aca="false">BQ1044*Parameter!$B$18</f>
        <v>0</v>
      </c>
      <c r="K1044" s="51" t="n">
        <v>10</v>
      </c>
      <c r="L1044" s="52" t="n">
        <v>0</v>
      </c>
      <c r="M1044" s="50" t="n">
        <v>0</v>
      </c>
      <c r="N1044" s="50" t="n">
        <v>1</v>
      </c>
      <c r="O1044" s="53" t="n">
        <v>42</v>
      </c>
      <c r="P1044" s="48" t="s">
        <v>480</v>
      </c>
      <c r="Q1044" s="50" t="n">
        <v>12</v>
      </c>
      <c r="R1044" s="53" t="n">
        <f aca="false">IF(BW1044=1,0,IFERROR(VLOOKUP(BU1044,'Gebinde-Kategorie'!$A$5:$N$45,13,0)+0,0))</f>
        <v>52</v>
      </c>
      <c r="S1044" s="54"/>
      <c r="T1044" s="55"/>
      <c r="U1044" s="55"/>
      <c r="V1044" s="55"/>
      <c r="W1044" s="48"/>
      <c r="X1044" s="50"/>
      <c r="Y1044" s="50"/>
      <c r="Z1044" s="48" t="n">
        <f aca="false">IF(A1044="","",IF(AND(Parameter!$B$21="Ja",ISNUMBER(W1044)),W1044,IF(BZ1044="2+3",IF(ISNUMBER(SEARCH("grosser Artikel",BR1044)),2,IFERROR(VLOOKUP(BU1044,Parameter!$F$35:$G$64,2,0),2)),IF(OR(BZ1044="Nein",BZ1044=""),"-",BZ1044))))</f>
        <v>3</v>
      </c>
      <c r="AA1044" s="55"/>
      <c r="AB1044" s="56"/>
      <c r="AC1044" s="50" t="n">
        <f aca="false">AT1044</f>
        <v>12</v>
      </c>
      <c r="AD1044" s="50" t="n">
        <f aca="false">MAX(AT1044,H1044)</f>
        <v>12</v>
      </c>
      <c r="AE1044" s="57"/>
      <c r="AF1044" s="50" t="n">
        <f aca="false">IF(LEFT(Cockpit!$C$5,1)="A",H1044,IF(CE1044=1,CF1044,IF(LEFT(Cockpit!$C$5,1)="B",AK1044,MAX(AK1044,H1044))))</f>
        <v>8</v>
      </c>
      <c r="AG1044" s="50" t="n">
        <f aca="false">IF(BW1044=1,0,ROUNDUP(AF1044/BV1044,0))</f>
        <v>1</v>
      </c>
      <c r="AH1044" s="52" t="n">
        <f aca="false">IF(CL1044&gt;0,CL1044*MAX(1,AF1044/X1044),IF(BW1044=1,IF(AF1044&lt;=0,0,CA1044*MAX(1,IF(H1044&gt;0,AF1044/H1044,1))),IF(R1044&gt;0,AG1044/R1044,0))/MAX(0.1,N(Parameter!$M$21)))</f>
        <v>0.0192307692307692</v>
      </c>
      <c r="AI1044" s="50" t="n">
        <f aca="false">AH1044*BY1044</f>
        <v>2.98076923076923</v>
      </c>
      <c r="AJ1044" s="50" t="n">
        <f aca="false">AF1044*G1044</f>
        <v>554.24</v>
      </c>
      <c r="AK1044" s="50" t="n">
        <f aca="false">ROUNDUP(MAX(J1044/IF(CD1044&gt;0,CD1044,MAX(0.1,N(Cockpit!$C$6))),CG1044)/BV1044,0)*BV1044</f>
        <v>12</v>
      </c>
      <c r="AL1044" s="51" t="n">
        <f aca="false">IF(AI1044&gt;0,J1044/AI1044,-1)</f>
        <v>0</v>
      </c>
      <c r="AM1044" s="51" t="n">
        <f aca="false">IF(AND(OR(CC1044="L1",CC1044="L23",CC1044="LIFT"),AI1044&gt;0),SUMIFS($AI$7:$AI$1843,$CC$7:$CC$1843,CC1044,$AL$7:$AL$1843,"&gt;"&amp;AL1044)+SUMIFS($AI$7:$AI$1843,$CC$7:$CC$1843,CC1044,$AL$7:$AL$1843,AL1044,$BT$7:$BT$1843,"&lt;="&amp;BT1044),"")</f>
        <v>29069.2684831647</v>
      </c>
      <c r="AN1044" s="58" t="n">
        <f aca="false">IF(AM1044="",0,MAX(0,MIN(1,(IF(CC1044="L1",Parameter!$H$5,IF(CC1044="L23",Parameter!$H$6+Parameter!$H$7,Parameter!$H$5+Parameter!$H$6+Parameter!$H$7))-(AM1044-AI1044))/AI1044)))</f>
        <v>1</v>
      </c>
      <c r="AO1044" s="50" t="n">
        <f aca="false">IF(LEFT(Cockpit!$I$5,1)="A",H1044,IF(CE1044=1,CF1044,IF(LEFT(Cockpit!$I$5,1)="B",AT1044,MAX(AT1044,H1044))))</f>
        <v>12</v>
      </c>
      <c r="AP1044" s="50" t="n">
        <f aca="false">IF(BW1044=1,0,ROUNDUP(AO1044/BV1044,0))</f>
        <v>1</v>
      </c>
      <c r="AQ1044" s="52" t="n">
        <f aca="false">IF(CL1044&gt;0,CL1044*MAX(1,AO1044/X1044),IF(BW1044=1,IF(AO1044&lt;=0,0,CA1044*MAX(1,IF(H1044&gt;0,AO1044/H1044,1))),IF(R1044&gt;0,AP1044/R1044,0))/MAX(0.1,N(Parameter!$M$21)))</f>
        <v>0.0192307692307692</v>
      </c>
      <c r="AR1044" s="50" t="n">
        <f aca="false">AQ1044*BY1044</f>
        <v>2.98076923076923</v>
      </c>
      <c r="AS1044" s="50" t="n">
        <f aca="false">AO1044*G1044</f>
        <v>831.36</v>
      </c>
      <c r="AT1044" s="50" t="n">
        <f aca="false">ROUNDUP(MAX(J1044/IF(CD1044&gt;0,CD1044,MAX(0.1,N(Cockpit!$I$6))),CG1044)/BV1044,0)*BV1044</f>
        <v>12</v>
      </c>
      <c r="AU1044" s="51" t="n">
        <f aca="false">IF(AR1044&gt;0,J1044/AR1044,-1)</f>
        <v>0</v>
      </c>
      <c r="AV1044" s="51" t="n">
        <f aca="false">IF(AND(OR(CC1044="L1",CC1044="L23",CC1044="LIFT"),AR1044&gt;0),SUMIFS($AR$7:$AR$1843,$CC$7:$CC$1843,CC1044,$AU$7:$AU$1843,"&gt;"&amp;AU1044)+SUMIFS($AR$7:$AR$1843,$CC$7:$CC$1843,CC1044,$AU$7:$AU$1843,AU1044,$BT$7:$BT$1843,"&lt;="&amp;BT1044),"")</f>
        <v>40736.4221689328</v>
      </c>
      <c r="AW1044" s="58" t="n">
        <f aca="false">IF(AV1044="",0,MAX(0,MIN(1,(IF(CC1044="L1",Parameter!$H$5,IF(CC1044="L23",Parameter!$H$6+Parameter!$H$7,Parameter!$H$5+Parameter!$H$6+Parameter!$H$7))-(AV1044-AR1044))/AR1044)))</f>
        <v>0</v>
      </c>
      <c r="AX1044" s="50" t="n">
        <f aca="false">IF(LEFT(Cockpit!$O$5,1)="A",H1044,IF(CE1044=1,CF1044,IF(LEFT(Cockpit!$O$5,1)="B",BC1044,MAX(BC1044,H1044))))</f>
        <v>12</v>
      </c>
      <c r="AY1044" s="50" t="n">
        <f aca="false">IF(BW1044=1,0,ROUNDUP(AX1044/BV1044,0))</f>
        <v>1</v>
      </c>
      <c r="AZ1044" s="52" t="n">
        <f aca="false">IF(CL1044&gt;0,CL1044*MAX(1,AX1044/X1044),IF(BW1044=1,IF(AX1044&lt;=0,0,CA1044*MAX(1,IF(H1044&gt;0,AX1044/H1044,1))),IF(R1044&gt;0,AY1044/R1044,0))/MAX(0.1,N(Parameter!$M$21)))</f>
        <v>0.0192307692307692</v>
      </c>
      <c r="BA1044" s="50" t="n">
        <f aca="false">AZ1044*BY1044</f>
        <v>2.98076923076923</v>
      </c>
      <c r="BB1044" s="50" t="n">
        <f aca="false">AX1044*G1044</f>
        <v>831.36</v>
      </c>
      <c r="BC1044" s="50" t="n">
        <f aca="false">ROUNDUP(MAX(J1044/IF(CD1044&gt;0,CD1044,MAX(0.1,N(Cockpit!$O$6))),CG1044)/BV1044,0)*BV1044</f>
        <v>12</v>
      </c>
      <c r="BD1044" s="51" t="n">
        <f aca="false">IF(BA1044&gt;0,J1044/BA1044,-1)</f>
        <v>0</v>
      </c>
      <c r="BE1044" s="51" t="n">
        <f aca="false">IF(AND(OR(CC1044="L1",CC1044="L23",CC1044="LIFT"),BA1044&gt;0),SUMIFS($BA$7:$BA$1843,$CC$7:$CC$1843,CC1044,$BD$7:$BD$1843,"&gt;"&amp;BD1044)+SUMIFS($BA$7:$BA$1843,$CC$7:$CC$1843,CC1044,$BD$7:$BD$1843,BD1044,$BT$7:$BT$1843,"&lt;="&amp;BT1044),"")</f>
        <v>37411.4342107986</v>
      </c>
      <c r="BF1044" s="58" t="n">
        <f aca="false">IF(BE1044="",0,MAX(0,MIN(1,(IF(CC1044="L1",Parameter!$H$5,IF(CC1044="L23",Parameter!$H$6+Parameter!$H$7,Parameter!$H$5+Parameter!$H$6+Parameter!$H$7))-(BE1044-BA1044))/BA1044)))</f>
        <v>0</v>
      </c>
      <c r="BG1044" s="48" t="str">
        <f aca="false">IF(AI1044&lt;=0,"",IF(CC1044="Aussen","Aussenlager",IF(CC1044="-","Nicht im Lift",IF(AN1044&gt;=1,"Lift",IF(AN1044&lt;=0,"Aussenlager","teilweise")))))</f>
        <v>Lift</v>
      </c>
      <c r="BH1044" s="48" t="str">
        <f aca="false">IF(AR1044&lt;=0,"",IF(CC1044="Aussen","Aussenlager",IF(CC1044="-","Nicht im Lift",IF(AW1044&gt;=1,"Lift",IF(AW1044&lt;=0,"Aussenlager","teilweise")))))</f>
        <v>Aussenlager</v>
      </c>
      <c r="BI1044" s="48" t="str">
        <f aca="false">IF(BA1044&lt;=0,"",IF(CC1044="Aussen","Aussenlager",IF(CC1044="-","Nicht im Lift",IF(BF1044&gt;=1,"Lift",IF(BF1044&lt;=0,"Aussenlager","teilweise")))))</f>
        <v>Aussenlager</v>
      </c>
      <c r="BJ1044" s="48" t="str">
        <f aca="false">IF(A1044="","",IF(BS1044=1,"Neu; ","")&amp;IF(AND(BS1044=0,BN1044&lt;0),"negativer Bestand (Export "&amp;BN1044&amp;"); ","")&amp;IF(J1044&lt;=0,"Kein Verbrauch; ","")&amp;IF(CL1044&gt;0,"Lift "&amp;W1044&amp;" lt. Liftbericht (Fach "&amp;X1044&amp;" Stk); ",IF(BX1044=1,"Gebinde geschätzt ("&amp;T1044&amp;"); ",IF(BW1044=1,"Lose – Tablare geschätzt; ","")))&amp;IF(H1044&gt;AT1044,"Überbestand "&amp;ROUND(H1044-AT1044,0)&amp;" Stk / CHF "&amp;ROUND((H1044-AT1044)*G1044,0)&amp;"; ","")&amp;IF(AND(CE1044=1,CF1044&lt;CG1044),"MAX &lt; MB+LG; ","")&amp;IF(AND(CK1044&gt;0,CJ1044*10&gt;CK1044),"zu hoch für Tablar; ","")&amp;IF(AND(BS1044=0,OR(CE1044=1,AA1044&lt;&gt;"",U1044&lt;&gt;"",V1044&lt;&gt;"",AB1044&lt;&gt;"")),"manuell übersteuert; ","")&amp;IF(AND(BW1044=0,R1044=0),"Gebinde unbekannt / Stellmass fehlt; ","")&amp;IF(AND(BW1044=0,N(V1044)&lt;=0,N(Q1044)&lt;=0),"Menge pro Gebinde fehlt (Ist = 1 Gebinde); ","")&amp;BR1044)</f>
        <v>negativer Bestand (Export -2); Kein Verbrauch; </v>
      </c>
      <c r="BK1044" s="48"/>
      <c r="BL1044" s="48"/>
      <c r="BM1044" s="55"/>
      <c r="BN1044" s="50" t="n">
        <v>-2</v>
      </c>
      <c r="BO1044" s="50" t="n">
        <v>10</v>
      </c>
      <c r="BP1044" s="49" t="n">
        <v>-138.56</v>
      </c>
      <c r="BQ1044" s="50" t="n">
        <v>0</v>
      </c>
      <c r="BR1044" s="48"/>
      <c r="BS1044" s="53" t="n">
        <v>0</v>
      </c>
      <c r="BT1044" s="53" t="n">
        <v>1044</v>
      </c>
      <c r="BU1044" s="48" t="str">
        <f aca="false">IF(U1044&lt;&gt;"",UPPER(TRIM(U1044)),IF(BX1044=1,UPPER(VLOOKUP(T1044,Parameter!$I$27:$K$29,2,0)),IF(P1044="","LOSE",P1044)))</f>
        <v>S33</v>
      </c>
      <c r="BV1044" s="50" t="n">
        <f aca="false">IF(BU1044="LOSE",1,IF(N(V1044)&gt;0,V1044,IF(BX1044=1,MAX(1,N(VLOOKUP(T1044,Parameter!$I$27:$K$29,3,0)),H1044,N(N1044)),IF(N(Q1044)&gt;0,Q1044,MAX(1,H1044)))))</f>
        <v>12</v>
      </c>
      <c r="BW1044" s="53" t="n">
        <f aca="false">IF(BU1044="LOSE",1,0)</f>
        <v>0</v>
      </c>
      <c r="BX1044" s="53" t="n">
        <f aca="false">IF(AND(U1044="",OR(P1044="",P1044="LOSE"),T1044&lt;&gt;"",N(S1044)&lt;=0,ISNUMBER(MATCH(T1044,Parameter!$I$27:$I$29,0))),1,0)</f>
        <v>0</v>
      </c>
      <c r="BY1044" s="53" t="n">
        <f aca="false">IF(CL1044&gt;0,INDEX(Parameter!$H$5:$H$7,W1044)/INDEX(Parameter!$E$5:$E$7,W1044),IF(AND(BW1044=0,N(IFERROR(VLOOKUP(BU1044,'Gebinde-Kategorie'!$A$5:$N$45,14,0),0))&gt;0),VLOOKUP(BU1044,'Gebinde-Kategorie'!$A$5:$N$45,14,0)*10+Parameter!$M$23,Parameter!$M$24))</f>
        <v>155</v>
      </c>
      <c r="BZ1044" s="48" t="str">
        <f aca="false">IF(AND(Parameter!$B$19="Ja",E1044&lt;&gt;"",ISNUMBER(MATCH(E1044,Parameter!$I$35:$I$52,0))),VLOOKUP(E1044,Parameter!$I$35:$J$52,2,0),IFERROR(VLOOKUP(D1044,Parameter!$A$35:$C$64,2,0),"Nein"))</f>
        <v>2+3</v>
      </c>
      <c r="CA1044" s="52" t="n">
        <f aca="false">IF(BW1044=0,0,IF(N(S1044)&gt;0,S1044,IFERROR(VLOOKUP(D1044,Parameter!$A$35:$C$64,3,0)+0,0)))</f>
        <v>0</v>
      </c>
      <c r="CB1044" s="48" t="n">
        <f aca="false">IF(AA1044&lt;&gt;"",AA1044,Z1044)</f>
        <v>3</v>
      </c>
      <c r="CC1044" s="48" t="str">
        <f aca="false">IF(OR(CB1044=1,CB1044=2,CB1044=3),IF(Parameter!$E$27="Ja","LIFT",IF(CB1044=1,"L1","L23")),IF(CB1044="Aussen","Aussen","-"))</f>
        <v>LIFT</v>
      </c>
      <c r="CD1044" s="59" t="n">
        <f aca="false">IF(N(AB1044)&gt;0,AB1044,0)</f>
        <v>0</v>
      </c>
      <c r="CE1044" s="53" t="n">
        <f aca="false">IF(ISNUMBER(AE1044),1,0)</f>
        <v>0</v>
      </c>
      <c r="CF1044" s="50" t="n">
        <f aca="false">N(AE1044)</f>
        <v>0</v>
      </c>
      <c r="CG1044" s="50" t="n">
        <f aca="false">N(M1044)+N(N1044)</f>
        <v>1</v>
      </c>
      <c r="CH1044" s="50" t="n">
        <f aca="false">ROUNDUP(H1044/BV1044,0)</f>
        <v>1</v>
      </c>
      <c r="CI1044" s="50" t="n">
        <f aca="false">ROUNDUP(CF1044/BV1044,0)</f>
        <v>0</v>
      </c>
      <c r="CJ1044" s="53" t="n">
        <f aca="false">IF(BW1044=1,0,IFERROR(VLOOKUP(BU1044,'Gebinde-Kategorie'!$A$5:$N$45,5,0)+0,0))</f>
        <v>8</v>
      </c>
      <c r="CK1044" s="53" t="n">
        <f aca="false">IFERROR(IF(OR(CB1044=1,CB1044=2,CB1044=3),N(INDEX(Parameter!$I$5:$I$7,CB1044)),0),0)</f>
        <v>0</v>
      </c>
      <c r="CL1044" s="52" t="n">
        <f aca="false">IF(AND(Parameter!$B$21="Ja",ISNUMBER(W1044),N(X1044)&gt;0),IFERROR(N(INDEX(Parameter!$L$5:$L$7,W1044))*INDEX(Parameter!$E$5:$E$7,W1044)*X1044/SUMIFS($X$7:$X$1843,$W$7:$W$1843,W1044),0),0)</f>
        <v>0</v>
      </c>
    </row>
    <row r="1045" customFormat="false" ht="15" hidden="false" customHeight="false" outlineLevel="0" collapsed="false">
      <c r="A1045" s="48" t="s">
        <v>1921</v>
      </c>
      <c r="B1045" s="48" t="s">
        <v>1922</v>
      </c>
      <c r="C1045" s="48" t="s">
        <v>168</v>
      </c>
      <c r="D1045" s="48" t="s">
        <v>188</v>
      </c>
      <c r="E1045" s="48" t="s">
        <v>189</v>
      </c>
      <c r="F1045" s="48" t="s">
        <v>222</v>
      </c>
      <c r="G1045" s="49" t="n">
        <v>15.88</v>
      </c>
      <c r="H1045" s="50" t="n">
        <f aca="false">MAX(0,IF(AND(Parameter!$B$21="Ja",ISNUMBER(Y1045)),Y1045,IF(Parameter!$B$20="Jahresanfang 2025 + Export",BO1045+BN1045,BN1045)))</f>
        <v>9</v>
      </c>
      <c r="I1045" s="50" t="n">
        <f aca="false">H1045*G1045</f>
        <v>142.92</v>
      </c>
      <c r="J1045" s="50" t="n">
        <f aca="false">BQ1045*Parameter!$B$18</f>
        <v>4</v>
      </c>
      <c r="K1045" s="51" t="n">
        <v>26</v>
      </c>
      <c r="L1045" s="52" t="n">
        <v>0.153846153846154</v>
      </c>
      <c r="M1045" s="50" t="n">
        <v>0</v>
      </c>
      <c r="N1045" s="50" t="n">
        <v>5</v>
      </c>
      <c r="O1045" s="53" t="n">
        <v>28</v>
      </c>
      <c r="P1045" s="48" t="s">
        <v>306</v>
      </c>
      <c r="Q1045" s="50" t="n">
        <v>20</v>
      </c>
      <c r="R1045" s="53" t="n">
        <f aca="false">IF(BW1045=1,0,IFERROR(VLOOKUP(BU1045,'Gebinde-Kategorie'!$A$5:$N$45,13,0)+0,0))</f>
        <v>26</v>
      </c>
      <c r="S1045" s="54"/>
      <c r="T1045" s="55"/>
      <c r="U1045" s="55"/>
      <c r="V1045" s="55"/>
      <c r="W1045" s="48"/>
      <c r="X1045" s="50"/>
      <c r="Y1045" s="50"/>
      <c r="Z1045" s="48" t="n">
        <f aca="false">IF(A1045="","",IF(AND(Parameter!$B$21="Ja",ISNUMBER(W1045)),W1045,IF(BZ1045="2+3",IF(ISNUMBER(SEARCH("grosser Artikel",BR1045)),2,IFERROR(VLOOKUP(BU1045,Parameter!$F$35:$G$64,2,0),2)),IF(OR(BZ1045="Nein",BZ1045=""),"-",BZ1045))))</f>
        <v>3</v>
      </c>
      <c r="AA1045" s="55"/>
      <c r="AB1045" s="56"/>
      <c r="AC1045" s="50" t="n">
        <f aca="false">AT1045</f>
        <v>20</v>
      </c>
      <c r="AD1045" s="50" t="n">
        <f aca="false">MAX(AT1045,H1045)</f>
        <v>20</v>
      </c>
      <c r="AE1045" s="57"/>
      <c r="AF1045" s="50" t="n">
        <f aca="false">IF(LEFT(Cockpit!$C$5,1)="A",H1045,IF(CE1045=1,CF1045,IF(LEFT(Cockpit!$C$5,1)="B",AK1045,MAX(AK1045,H1045))))</f>
        <v>9</v>
      </c>
      <c r="AG1045" s="50" t="n">
        <f aca="false">IF(BW1045=1,0,ROUNDUP(AF1045/BV1045,0))</f>
        <v>1</v>
      </c>
      <c r="AH1045" s="52" t="n">
        <f aca="false">IF(CL1045&gt;0,CL1045*MAX(1,AF1045/X1045),IF(BW1045=1,IF(AF1045&lt;=0,0,CA1045*MAX(1,IF(H1045&gt;0,AF1045/H1045,1))),IF(R1045&gt;0,AG1045/R1045,0))/MAX(0.1,N(Parameter!$M$21)))</f>
        <v>0.0384615384615385</v>
      </c>
      <c r="AI1045" s="50" t="n">
        <f aca="false">AH1045*BY1045</f>
        <v>5.96153846153846</v>
      </c>
      <c r="AJ1045" s="50" t="n">
        <f aca="false">AF1045*G1045</f>
        <v>142.92</v>
      </c>
      <c r="AK1045" s="50" t="n">
        <f aca="false">ROUNDUP(MAX(J1045/IF(CD1045&gt;0,CD1045,MAX(0.1,N(Cockpit!$C$6))),CG1045)/BV1045,0)*BV1045</f>
        <v>20</v>
      </c>
      <c r="AL1045" s="51" t="n">
        <f aca="false">IF(AI1045&gt;0,J1045/AI1045,-1)</f>
        <v>0.670967741935484</v>
      </c>
      <c r="AM1045" s="51" t="n">
        <f aca="false">IF(AND(OR(CC1045="L1",CC1045="L23",CC1045="LIFT"),AI1045&gt;0),SUMIFS($AI$7:$AI$1843,$CC$7:$CC$1843,CC1045,$AL$7:$AL$1843,"&gt;"&amp;AL1045)+SUMIFS($AI$7:$AI$1843,$CC$7:$CC$1843,CC1045,$AL$7:$AL$1843,AL1045,$BT$7:$BT$1843,"&lt;="&amp;BT1045),"")</f>
        <v>8628.03525641026</v>
      </c>
      <c r="AN1045" s="58" t="n">
        <f aca="false">IF(AM1045="",0,MAX(0,MIN(1,(IF(CC1045="L1",Parameter!$H$5,IF(CC1045="L23",Parameter!$H$6+Parameter!$H$7,Parameter!$H$5+Parameter!$H$6+Parameter!$H$7))-(AM1045-AI1045))/AI1045)))</f>
        <v>1</v>
      </c>
      <c r="AO1045" s="50" t="n">
        <f aca="false">IF(LEFT(Cockpit!$I$5,1)="A",H1045,IF(CE1045=1,CF1045,IF(LEFT(Cockpit!$I$5,1)="B",AT1045,MAX(AT1045,H1045))))</f>
        <v>20</v>
      </c>
      <c r="AP1045" s="50" t="n">
        <f aca="false">IF(BW1045=1,0,ROUNDUP(AO1045/BV1045,0))</f>
        <v>1</v>
      </c>
      <c r="AQ1045" s="52" t="n">
        <f aca="false">IF(CL1045&gt;0,CL1045*MAX(1,AO1045/X1045),IF(BW1045=1,IF(AO1045&lt;=0,0,CA1045*MAX(1,IF(H1045&gt;0,AO1045/H1045,1))),IF(R1045&gt;0,AP1045/R1045,0))/MAX(0.1,N(Parameter!$M$21)))</f>
        <v>0.0384615384615385</v>
      </c>
      <c r="AR1045" s="50" t="n">
        <f aca="false">AQ1045*BY1045</f>
        <v>5.96153846153846</v>
      </c>
      <c r="AS1045" s="50" t="n">
        <f aca="false">AO1045*G1045</f>
        <v>317.6</v>
      </c>
      <c r="AT1045" s="50" t="n">
        <f aca="false">ROUNDUP(MAX(J1045/IF(CD1045&gt;0,CD1045,MAX(0.1,N(Cockpit!$I$6))),CG1045)/BV1045,0)*BV1045</f>
        <v>20</v>
      </c>
      <c r="AU1045" s="51" t="n">
        <f aca="false">IF(AR1045&gt;0,J1045/AR1045,-1)</f>
        <v>0.670967741935484</v>
      </c>
      <c r="AV1045" s="51" t="n">
        <f aca="false">IF(AND(OR(CC1045="L1",CC1045="L23",CC1045="LIFT"),AR1045&gt;0),SUMIFS($AR$7:$AR$1843,$CC$7:$CC$1843,CC1045,$AU$7:$AU$1843,"&gt;"&amp;AU1045)+SUMIFS($AR$7:$AR$1843,$CC$7:$CC$1843,CC1045,$AU$7:$AU$1843,AU1045,$BT$7:$BT$1843,"&lt;="&amp;BT1045),"")</f>
        <v>11770.1575091575</v>
      </c>
      <c r="AW1045" s="58" t="n">
        <f aca="false">IF(AV1045="",0,MAX(0,MIN(1,(IF(CC1045="L1",Parameter!$H$5,IF(CC1045="L23",Parameter!$H$6+Parameter!$H$7,Parameter!$H$5+Parameter!$H$6+Parameter!$H$7))-(AV1045-AR1045))/AR1045)))</f>
        <v>1</v>
      </c>
      <c r="AX1045" s="50" t="n">
        <f aca="false">IF(LEFT(Cockpit!$O$5,1)="A",H1045,IF(CE1045=1,CF1045,IF(LEFT(Cockpit!$O$5,1)="B",BC1045,MAX(BC1045,H1045))))</f>
        <v>20</v>
      </c>
      <c r="AY1045" s="50" t="n">
        <f aca="false">IF(BW1045=1,0,ROUNDUP(AX1045/BV1045,0))</f>
        <v>1</v>
      </c>
      <c r="AZ1045" s="52" t="n">
        <f aca="false">IF(CL1045&gt;0,CL1045*MAX(1,AX1045/X1045),IF(BW1045=1,IF(AX1045&lt;=0,0,CA1045*MAX(1,IF(H1045&gt;0,AX1045/H1045,1))),IF(R1045&gt;0,AY1045/R1045,0))/MAX(0.1,N(Parameter!$M$21)))</f>
        <v>0.0384615384615385</v>
      </c>
      <c r="BA1045" s="50" t="n">
        <f aca="false">AZ1045*BY1045</f>
        <v>5.96153846153846</v>
      </c>
      <c r="BB1045" s="50" t="n">
        <f aca="false">AX1045*G1045</f>
        <v>317.6</v>
      </c>
      <c r="BC1045" s="50" t="n">
        <f aca="false">ROUNDUP(MAX(J1045/IF(CD1045&gt;0,CD1045,MAX(0.1,N(Cockpit!$O$6))),CG1045)/BV1045,0)*BV1045</f>
        <v>20</v>
      </c>
      <c r="BD1045" s="51" t="n">
        <f aca="false">IF(BA1045&gt;0,J1045/BA1045,-1)</f>
        <v>0.670967741935484</v>
      </c>
      <c r="BE1045" s="51" t="n">
        <f aca="false">IF(AND(OR(CC1045="L1",CC1045="L23",CC1045="LIFT"),BA1045&gt;0),SUMIFS($BA$7:$BA$1843,$CC$7:$CC$1843,CC1045,$BD$7:$BD$1843,"&gt;"&amp;BD1045)+SUMIFS($BA$7:$BA$1843,$CC$7:$CC$1843,CC1045,$BD$7:$BD$1843,BD1045,$BT$7:$BT$1843,"&lt;="&amp;BT1045),"")</f>
        <v>11369.9812271062</v>
      </c>
      <c r="BF1045" s="58" t="n">
        <f aca="false">IF(BE1045="",0,MAX(0,MIN(1,(IF(CC1045="L1",Parameter!$H$5,IF(CC1045="L23",Parameter!$H$6+Parameter!$H$7,Parameter!$H$5+Parameter!$H$6+Parameter!$H$7))-(BE1045-BA1045))/BA1045)))</f>
        <v>1</v>
      </c>
      <c r="BG1045" s="48" t="str">
        <f aca="false">IF(AI1045&lt;=0,"",IF(CC1045="Aussen","Aussenlager",IF(CC1045="-","Nicht im Lift",IF(AN1045&gt;=1,"Lift",IF(AN1045&lt;=0,"Aussenlager","teilweise")))))</f>
        <v>Lift</v>
      </c>
      <c r="BH1045" s="48" t="str">
        <f aca="false">IF(AR1045&lt;=0,"",IF(CC1045="Aussen","Aussenlager",IF(CC1045="-","Nicht im Lift",IF(AW1045&gt;=1,"Lift",IF(AW1045&lt;=0,"Aussenlager","teilweise")))))</f>
        <v>Lift</v>
      </c>
      <c r="BI1045" s="48" t="str">
        <f aca="false">IF(BA1045&lt;=0,"",IF(CC1045="Aussen","Aussenlager",IF(CC1045="-","Nicht im Lift",IF(BF1045&gt;=1,"Lift",IF(BF1045&lt;=0,"Aussenlager","teilweise")))))</f>
        <v>Lift</v>
      </c>
      <c r="BJ1045" s="48" t="str">
        <f aca="false">IF(A1045="","",IF(BS1045=1,"Neu; ","")&amp;IF(AND(BS1045=0,BN1045&lt;0),"negativer Bestand (Export "&amp;BN1045&amp;"); ","")&amp;IF(J1045&lt;=0,"Kein Verbrauch; ","")&amp;IF(CL1045&gt;0,"Lift "&amp;W1045&amp;" lt. Liftbericht (Fach "&amp;X1045&amp;" Stk); ",IF(BX1045=1,"Gebinde geschätzt ("&amp;T1045&amp;"); ",IF(BW1045=1,"Lose – Tablare geschätzt; ","")))&amp;IF(H1045&gt;AT1045,"Überbestand "&amp;ROUND(H1045-AT1045,0)&amp;" Stk / CHF "&amp;ROUND((H1045-AT1045)*G1045,0)&amp;"; ","")&amp;IF(AND(CE1045=1,CF1045&lt;CG1045),"MAX &lt; MB+LG; ","")&amp;IF(AND(CK1045&gt;0,CJ1045*10&gt;CK1045),"zu hoch für Tablar; ","")&amp;IF(AND(BS1045=0,OR(CE1045=1,AA1045&lt;&gt;"",U1045&lt;&gt;"",V1045&lt;&gt;"",AB1045&lt;&gt;"")),"manuell übersteuert; ","")&amp;IF(AND(BW1045=0,R1045=0),"Gebinde unbekannt / Stellmass fehlt; ","")&amp;IF(AND(BW1045=0,N(V1045)&lt;=0,N(Q1045)&lt;=0),"Menge pro Gebinde fehlt (Ist = 1 Gebinde); ","")&amp;BR1045)</f>
        <v>negativer Bestand (Export -9); </v>
      </c>
      <c r="BK1045" s="48"/>
      <c r="BL1045" s="48"/>
      <c r="BM1045" s="55"/>
      <c r="BN1045" s="50" t="n">
        <v>-9</v>
      </c>
      <c r="BO1045" s="50" t="n">
        <v>18</v>
      </c>
      <c r="BP1045" s="49" t="n">
        <v>-138.78</v>
      </c>
      <c r="BQ1045" s="50" t="n">
        <v>4</v>
      </c>
      <c r="BR1045" s="48"/>
      <c r="BS1045" s="53" t="n">
        <v>0</v>
      </c>
      <c r="BT1045" s="53" t="n">
        <v>1045</v>
      </c>
      <c r="BU1045" s="48" t="str">
        <f aca="false">IF(U1045&lt;&gt;"",UPPER(TRIM(U1045)),IF(BX1045=1,UPPER(VLOOKUP(T1045,Parameter!$I$27:$K$29,2,0)),IF(P1045="","LOSE",P1045)))</f>
        <v>S51</v>
      </c>
      <c r="BV1045" s="50" t="n">
        <f aca="false">IF(BU1045="LOSE",1,IF(N(V1045)&gt;0,V1045,IF(BX1045=1,MAX(1,N(VLOOKUP(T1045,Parameter!$I$27:$K$29,3,0)),H1045,N(N1045)),IF(N(Q1045)&gt;0,Q1045,MAX(1,H1045)))))</f>
        <v>20</v>
      </c>
      <c r="BW1045" s="53" t="n">
        <f aca="false">IF(BU1045="LOSE",1,0)</f>
        <v>0</v>
      </c>
      <c r="BX1045" s="53" t="n">
        <f aca="false">IF(AND(U1045="",OR(P1045="",P1045="LOSE"),T1045&lt;&gt;"",N(S1045)&lt;=0,ISNUMBER(MATCH(T1045,Parameter!$I$27:$I$29,0))),1,0)</f>
        <v>0</v>
      </c>
      <c r="BY1045" s="53" t="n">
        <f aca="false">IF(CL1045&gt;0,INDEX(Parameter!$H$5:$H$7,W1045)/INDEX(Parameter!$E$5:$E$7,W1045),IF(AND(BW1045=0,N(IFERROR(VLOOKUP(BU1045,'Gebinde-Kategorie'!$A$5:$N$45,14,0),0))&gt;0),VLOOKUP(BU1045,'Gebinde-Kategorie'!$A$5:$N$45,14,0)*10+Parameter!$M$23,Parameter!$M$24))</f>
        <v>155</v>
      </c>
      <c r="BZ1045" s="48" t="str">
        <f aca="false">IF(AND(Parameter!$B$19="Ja",E1045&lt;&gt;"",ISNUMBER(MATCH(E1045,Parameter!$I$35:$I$52,0))),VLOOKUP(E1045,Parameter!$I$35:$J$52,2,0),IFERROR(VLOOKUP(D1045,Parameter!$A$35:$C$64,2,0),"Nein"))</f>
        <v>2+3</v>
      </c>
      <c r="CA1045" s="52" t="n">
        <f aca="false">IF(BW1045=0,0,IF(N(S1045)&gt;0,S1045,IFERROR(VLOOKUP(D1045,Parameter!$A$35:$C$64,3,0)+0,0)))</f>
        <v>0</v>
      </c>
      <c r="CB1045" s="48" t="n">
        <f aca="false">IF(AA1045&lt;&gt;"",AA1045,Z1045)</f>
        <v>3</v>
      </c>
      <c r="CC1045" s="48" t="str">
        <f aca="false">IF(OR(CB1045=1,CB1045=2,CB1045=3),IF(Parameter!$E$27="Ja","LIFT",IF(CB1045=1,"L1","L23")),IF(CB1045="Aussen","Aussen","-"))</f>
        <v>LIFT</v>
      </c>
      <c r="CD1045" s="59" t="n">
        <f aca="false">IF(N(AB1045)&gt;0,AB1045,0)</f>
        <v>0</v>
      </c>
      <c r="CE1045" s="53" t="n">
        <f aca="false">IF(ISNUMBER(AE1045),1,0)</f>
        <v>0</v>
      </c>
      <c r="CF1045" s="50" t="n">
        <f aca="false">N(AE1045)</f>
        <v>0</v>
      </c>
      <c r="CG1045" s="50" t="n">
        <f aca="false">N(M1045)+N(N1045)</f>
        <v>5</v>
      </c>
      <c r="CH1045" s="50" t="n">
        <f aca="false">ROUNDUP(H1045/BV1045,0)</f>
        <v>1</v>
      </c>
      <c r="CI1045" s="50" t="n">
        <f aca="false">ROUNDUP(CF1045/BV1045,0)</f>
        <v>0</v>
      </c>
      <c r="CJ1045" s="53" t="n">
        <f aca="false">IF(BW1045=1,0,IFERROR(VLOOKUP(BU1045,'Gebinde-Kategorie'!$A$5:$N$45,5,0)+0,0))</f>
        <v>11</v>
      </c>
      <c r="CK1045" s="53" t="n">
        <f aca="false">IFERROR(IF(OR(CB1045=1,CB1045=2,CB1045=3),N(INDEX(Parameter!$I$5:$I$7,CB1045)),0),0)</f>
        <v>0</v>
      </c>
      <c r="CL1045" s="52" t="n">
        <f aca="false">IF(AND(Parameter!$B$21="Ja",ISNUMBER(W1045),N(X1045)&gt;0),IFERROR(N(INDEX(Parameter!$L$5:$L$7,W1045))*INDEX(Parameter!$E$5:$E$7,W1045)*X1045/SUMIFS($X$7:$X$1843,$W$7:$W$1843,W1045),0),0)</f>
        <v>0</v>
      </c>
    </row>
    <row r="1046" customFormat="false" ht="15" hidden="false" customHeight="false" outlineLevel="0" collapsed="false">
      <c r="A1046" s="48" t="s">
        <v>1923</v>
      </c>
      <c r="B1046" s="48" t="s">
        <v>602</v>
      </c>
      <c r="C1046" s="48" t="s">
        <v>168</v>
      </c>
      <c r="D1046" s="48" t="s">
        <v>188</v>
      </c>
      <c r="E1046" s="48" t="s">
        <v>189</v>
      </c>
      <c r="F1046" s="48" t="s">
        <v>222</v>
      </c>
      <c r="G1046" s="49" t="n">
        <v>7.91</v>
      </c>
      <c r="H1046" s="50" t="n">
        <f aca="false">MAX(0,IF(AND(Parameter!$B$21="Ja",ISNUMBER(Y1046)),Y1046,IF(Parameter!$B$20="Jahresanfang 2025 + Export",BO1046+BN1046,BN1046)))</f>
        <v>108</v>
      </c>
      <c r="I1046" s="50" t="n">
        <f aca="false">H1046*G1046</f>
        <v>854.28</v>
      </c>
      <c r="J1046" s="50" t="n">
        <f aca="false">BQ1046*Parameter!$B$18</f>
        <v>380</v>
      </c>
      <c r="K1046" s="51" t="n">
        <v>133</v>
      </c>
      <c r="L1046" s="52" t="n">
        <v>2.85714285714286</v>
      </c>
      <c r="M1046" s="50" t="n">
        <v>25</v>
      </c>
      <c r="N1046" s="50" t="n">
        <v>80</v>
      </c>
      <c r="O1046" s="53" t="n">
        <v>21</v>
      </c>
      <c r="P1046" s="48" t="s">
        <v>480</v>
      </c>
      <c r="Q1046" s="50" t="n">
        <v>117</v>
      </c>
      <c r="R1046" s="53" t="n">
        <f aca="false">IF(BW1046=1,0,IFERROR(VLOOKUP(BU1046,'Gebinde-Kategorie'!$A$5:$N$45,13,0)+0,0))</f>
        <v>52</v>
      </c>
      <c r="S1046" s="54"/>
      <c r="T1046" s="55"/>
      <c r="U1046" s="55"/>
      <c r="V1046" s="55"/>
      <c r="W1046" s="48"/>
      <c r="X1046" s="50"/>
      <c r="Y1046" s="50"/>
      <c r="Z1046" s="48" t="n">
        <f aca="false">IF(A1046="","",IF(AND(Parameter!$B$21="Ja",ISNUMBER(W1046)),W1046,IF(BZ1046="2+3",IF(ISNUMBER(SEARCH("grosser Artikel",BR1046)),2,IFERROR(VLOOKUP(BU1046,Parameter!$F$35:$G$64,2,0),2)),IF(OR(BZ1046="Nein",BZ1046=""),"-",BZ1046))))</f>
        <v>3</v>
      </c>
      <c r="AA1046" s="55"/>
      <c r="AB1046" s="56"/>
      <c r="AC1046" s="50" t="n">
        <f aca="false">AT1046</f>
        <v>234</v>
      </c>
      <c r="AD1046" s="50" t="n">
        <f aca="false">MAX(AT1046,H1046)</f>
        <v>234</v>
      </c>
      <c r="AE1046" s="57"/>
      <c r="AF1046" s="50" t="n">
        <f aca="false">IF(LEFT(Cockpit!$C$5,1)="A",H1046,IF(CE1046=1,CF1046,IF(LEFT(Cockpit!$C$5,1)="B",AK1046,MAX(AK1046,H1046))))</f>
        <v>108</v>
      </c>
      <c r="AG1046" s="50" t="n">
        <f aca="false">IF(BW1046=1,0,ROUNDUP(AF1046/BV1046,0))</f>
        <v>1</v>
      </c>
      <c r="AH1046" s="52" t="n">
        <f aca="false">IF(CL1046&gt;0,CL1046*MAX(1,AF1046/X1046),IF(BW1046=1,IF(AF1046&lt;=0,0,CA1046*MAX(1,IF(H1046&gt;0,AF1046/H1046,1))),IF(R1046&gt;0,AG1046/R1046,0))/MAX(0.1,N(Parameter!$M$21)))</f>
        <v>0.0192307692307692</v>
      </c>
      <c r="AI1046" s="50" t="n">
        <f aca="false">AH1046*BY1046</f>
        <v>2.98076923076923</v>
      </c>
      <c r="AJ1046" s="50" t="n">
        <f aca="false">AF1046*G1046</f>
        <v>854.28</v>
      </c>
      <c r="AK1046" s="50" t="n">
        <f aca="false">ROUNDUP(MAX(J1046/IF(CD1046&gt;0,CD1046,MAX(0.1,N(Cockpit!$C$6))),CG1046)/BV1046,0)*BV1046</f>
        <v>234</v>
      </c>
      <c r="AL1046" s="51" t="n">
        <f aca="false">IF(AI1046&gt;0,J1046/AI1046,-1)</f>
        <v>127.483870967742</v>
      </c>
      <c r="AM1046" s="51" t="n">
        <f aca="false">IF(AND(OR(CC1046="L1",CC1046="L23",CC1046="LIFT"),AI1046&gt;0),SUMIFS($AI$7:$AI$1843,$CC$7:$CC$1843,CC1046,$AL$7:$AL$1843,"&gt;"&amp;AL1046)+SUMIFS($AI$7:$AI$1843,$CC$7:$CC$1843,CC1046,$AL$7:$AL$1843,AL1046,$BT$7:$BT$1843,"&lt;="&amp;BT1046),"")</f>
        <v>641.010073260073</v>
      </c>
      <c r="AN1046" s="58" t="n">
        <f aca="false">IF(AM1046="",0,MAX(0,MIN(1,(IF(CC1046="L1",Parameter!$H$5,IF(CC1046="L23",Parameter!$H$6+Parameter!$H$7,Parameter!$H$5+Parameter!$H$6+Parameter!$H$7))-(AM1046-AI1046))/AI1046)))</f>
        <v>1</v>
      </c>
      <c r="AO1046" s="50" t="n">
        <f aca="false">IF(LEFT(Cockpit!$I$5,1)="A",H1046,IF(CE1046=1,CF1046,IF(LEFT(Cockpit!$I$5,1)="B",AT1046,MAX(AT1046,H1046))))</f>
        <v>234</v>
      </c>
      <c r="AP1046" s="50" t="n">
        <f aca="false">IF(BW1046=1,0,ROUNDUP(AO1046/BV1046,0))</f>
        <v>2</v>
      </c>
      <c r="AQ1046" s="52" t="n">
        <f aca="false">IF(CL1046&gt;0,CL1046*MAX(1,AO1046/X1046),IF(BW1046=1,IF(AO1046&lt;=0,0,CA1046*MAX(1,IF(H1046&gt;0,AO1046/H1046,1))),IF(R1046&gt;0,AP1046/R1046,0))/MAX(0.1,N(Parameter!$M$21)))</f>
        <v>0.0384615384615385</v>
      </c>
      <c r="AR1046" s="50" t="n">
        <f aca="false">AQ1046*BY1046</f>
        <v>5.96153846153846</v>
      </c>
      <c r="AS1046" s="50" t="n">
        <f aca="false">AO1046*G1046</f>
        <v>1850.94</v>
      </c>
      <c r="AT1046" s="50" t="n">
        <f aca="false">ROUNDUP(MAX(J1046/IF(CD1046&gt;0,CD1046,MAX(0.1,N(Cockpit!$I$6))),CG1046)/BV1046,0)*BV1046</f>
        <v>234</v>
      </c>
      <c r="AU1046" s="51" t="n">
        <f aca="false">IF(AR1046&gt;0,J1046/AR1046,-1)</f>
        <v>63.741935483871</v>
      </c>
      <c r="AV1046" s="51" t="n">
        <f aca="false">IF(AND(OR(CC1046="L1",CC1046="L23",CC1046="LIFT"),AR1046&gt;0),SUMIFS($AR$7:$AR$1843,$CC$7:$CC$1843,CC1046,$AU$7:$AU$1843,"&gt;"&amp;AU1046)+SUMIFS($AR$7:$AR$1843,$CC$7:$CC$1843,CC1046,$AU$7:$AU$1843,AU1046,$BT$7:$BT$1843,"&lt;="&amp;BT1046),"")</f>
        <v>1385.78754578755</v>
      </c>
      <c r="AW1046" s="58" t="n">
        <f aca="false">IF(AV1046="",0,MAX(0,MIN(1,(IF(CC1046="L1",Parameter!$H$5,IF(CC1046="L23",Parameter!$H$6+Parameter!$H$7,Parameter!$H$5+Parameter!$H$6+Parameter!$H$7))-(AV1046-AR1046))/AR1046)))</f>
        <v>1</v>
      </c>
      <c r="AX1046" s="50" t="n">
        <f aca="false">IF(LEFT(Cockpit!$O$5,1)="A",H1046,IF(CE1046=1,CF1046,IF(LEFT(Cockpit!$O$5,1)="B",BC1046,MAX(BC1046,H1046))))</f>
        <v>234</v>
      </c>
      <c r="AY1046" s="50" t="n">
        <f aca="false">IF(BW1046=1,0,ROUNDUP(AX1046/BV1046,0))</f>
        <v>2</v>
      </c>
      <c r="AZ1046" s="52" t="n">
        <f aca="false">IF(CL1046&gt;0,CL1046*MAX(1,AX1046/X1046),IF(BW1046=1,IF(AX1046&lt;=0,0,CA1046*MAX(1,IF(H1046&gt;0,AX1046/H1046,1))),IF(R1046&gt;0,AY1046/R1046,0))/MAX(0.1,N(Parameter!$M$21)))</f>
        <v>0.0384615384615385</v>
      </c>
      <c r="BA1046" s="50" t="n">
        <f aca="false">AZ1046*BY1046</f>
        <v>5.96153846153846</v>
      </c>
      <c r="BB1046" s="50" t="n">
        <f aca="false">AX1046*G1046</f>
        <v>1850.94</v>
      </c>
      <c r="BC1046" s="50" t="n">
        <f aca="false">ROUNDUP(MAX(J1046/IF(CD1046&gt;0,CD1046,MAX(0.1,N(Cockpit!$O$6))),CG1046)/BV1046,0)*BV1046</f>
        <v>234</v>
      </c>
      <c r="BD1046" s="51" t="n">
        <f aca="false">IF(BA1046&gt;0,J1046/BA1046,-1)</f>
        <v>63.741935483871</v>
      </c>
      <c r="BE1046" s="51" t="n">
        <f aca="false">IF(AND(OR(CC1046="L1",CC1046="L23",CC1046="LIFT"),BA1046&gt;0),SUMIFS($BA$7:$BA$1843,$CC$7:$CC$1843,CC1046,$BD$7:$BD$1843,"&gt;"&amp;BD1046)+SUMIFS($BA$7:$BA$1843,$CC$7:$CC$1843,CC1046,$BD$7:$BD$1843,BD1046,$BT$7:$BT$1843,"&lt;="&amp;BT1046),"")</f>
        <v>1224.93818681319</v>
      </c>
      <c r="BF1046" s="58" t="n">
        <f aca="false">IF(BE1046="",0,MAX(0,MIN(1,(IF(CC1046="L1",Parameter!$H$5,IF(CC1046="L23",Parameter!$H$6+Parameter!$H$7,Parameter!$H$5+Parameter!$H$6+Parameter!$H$7))-(BE1046-BA1046))/BA1046)))</f>
        <v>1</v>
      </c>
      <c r="BG1046" s="48" t="str">
        <f aca="false">IF(AI1046&lt;=0,"",IF(CC1046="Aussen","Aussenlager",IF(CC1046="-","Nicht im Lift",IF(AN1046&gt;=1,"Lift",IF(AN1046&lt;=0,"Aussenlager","teilweise")))))</f>
        <v>Lift</v>
      </c>
      <c r="BH1046" s="48" t="str">
        <f aca="false">IF(AR1046&lt;=0,"",IF(CC1046="Aussen","Aussenlager",IF(CC1046="-","Nicht im Lift",IF(AW1046&gt;=1,"Lift",IF(AW1046&lt;=0,"Aussenlager","teilweise")))))</f>
        <v>Lift</v>
      </c>
      <c r="BI1046" s="48" t="str">
        <f aca="false">IF(BA1046&lt;=0,"",IF(CC1046="Aussen","Aussenlager",IF(CC1046="-","Nicht im Lift",IF(BF1046&gt;=1,"Lift",IF(BF1046&lt;=0,"Aussenlager","teilweise")))))</f>
        <v>Lift</v>
      </c>
      <c r="BJ1046" s="48" t="str">
        <f aca="false">IF(A1046="","",IF(BS1046=1,"Neu; ","")&amp;IF(AND(BS1046=0,BN1046&lt;0),"negativer Bestand (Export "&amp;BN1046&amp;"); ","")&amp;IF(J1046&lt;=0,"Kein Verbrauch; ","")&amp;IF(CL1046&gt;0,"Lift "&amp;W1046&amp;" lt. Liftbericht (Fach "&amp;X1046&amp;" Stk); ",IF(BX1046=1,"Gebinde geschätzt ("&amp;T1046&amp;"); ",IF(BW1046=1,"Lose – Tablare geschätzt; ","")))&amp;IF(H1046&gt;AT1046,"Überbestand "&amp;ROUND(H1046-AT1046,0)&amp;" Stk / CHF "&amp;ROUND((H1046-AT1046)*G1046,0)&amp;"; ","")&amp;IF(AND(CE1046=1,CF1046&lt;CG1046),"MAX &lt; MB+LG; ","")&amp;IF(AND(CK1046&gt;0,CJ1046*10&gt;CK1046),"zu hoch für Tablar; ","")&amp;IF(AND(BS1046=0,OR(CE1046=1,AA1046&lt;&gt;"",U1046&lt;&gt;"",V1046&lt;&gt;"",AB1046&lt;&gt;"")),"manuell übersteuert; ","")&amp;IF(AND(BW1046=0,R1046=0),"Gebinde unbekannt / Stellmass fehlt; ","")&amp;IF(AND(BW1046=0,N(V1046)&lt;=0,N(Q1046)&lt;=0),"Menge pro Gebinde fehlt (Ist = 1 Gebinde); ","")&amp;BR1046)</f>
        <v>negativer Bestand (Export -16); </v>
      </c>
      <c r="BK1046" s="48"/>
      <c r="BL1046" s="48"/>
      <c r="BM1046" s="55"/>
      <c r="BN1046" s="50" t="n">
        <v>-16</v>
      </c>
      <c r="BO1046" s="50" t="n">
        <v>124</v>
      </c>
      <c r="BP1046" s="49" t="n">
        <v>-138.96</v>
      </c>
      <c r="BQ1046" s="50" t="n">
        <v>380</v>
      </c>
      <c r="BR1046" s="48"/>
      <c r="BS1046" s="53" t="n">
        <v>0</v>
      </c>
      <c r="BT1046" s="53" t="n">
        <v>1046</v>
      </c>
      <c r="BU1046" s="48" t="str">
        <f aca="false">IF(U1046&lt;&gt;"",UPPER(TRIM(U1046)),IF(BX1046=1,UPPER(VLOOKUP(T1046,Parameter!$I$27:$K$29,2,0)),IF(P1046="","LOSE",P1046)))</f>
        <v>S33</v>
      </c>
      <c r="BV1046" s="50" t="n">
        <f aca="false">IF(BU1046="LOSE",1,IF(N(V1046)&gt;0,V1046,IF(BX1046=1,MAX(1,N(VLOOKUP(T1046,Parameter!$I$27:$K$29,3,0)),H1046,N(N1046)),IF(N(Q1046)&gt;0,Q1046,MAX(1,H1046)))))</f>
        <v>117</v>
      </c>
      <c r="BW1046" s="53" t="n">
        <f aca="false">IF(BU1046="LOSE",1,0)</f>
        <v>0</v>
      </c>
      <c r="BX1046" s="53" t="n">
        <f aca="false">IF(AND(U1046="",OR(P1046="",P1046="LOSE"),T1046&lt;&gt;"",N(S1046)&lt;=0,ISNUMBER(MATCH(T1046,Parameter!$I$27:$I$29,0))),1,0)</f>
        <v>0</v>
      </c>
      <c r="BY1046" s="53" t="n">
        <f aca="false">IF(CL1046&gt;0,INDEX(Parameter!$H$5:$H$7,W1046)/INDEX(Parameter!$E$5:$E$7,W1046),IF(AND(BW1046=0,N(IFERROR(VLOOKUP(BU1046,'Gebinde-Kategorie'!$A$5:$N$45,14,0),0))&gt;0),VLOOKUP(BU1046,'Gebinde-Kategorie'!$A$5:$N$45,14,0)*10+Parameter!$M$23,Parameter!$M$24))</f>
        <v>155</v>
      </c>
      <c r="BZ1046" s="48" t="str">
        <f aca="false">IF(AND(Parameter!$B$19="Ja",E1046&lt;&gt;"",ISNUMBER(MATCH(E1046,Parameter!$I$35:$I$52,0))),VLOOKUP(E1046,Parameter!$I$35:$J$52,2,0),IFERROR(VLOOKUP(D1046,Parameter!$A$35:$C$64,2,0),"Nein"))</f>
        <v>2+3</v>
      </c>
      <c r="CA1046" s="52" t="n">
        <f aca="false">IF(BW1046=0,0,IF(N(S1046)&gt;0,S1046,IFERROR(VLOOKUP(D1046,Parameter!$A$35:$C$64,3,0)+0,0)))</f>
        <v>0</v>
      </c>
      <c r="CB1046" s="48" t="n">
        <f aca="false">IF(AA1046&lt;&gt;"",AA1046,Z1046)</f>
        <v>3</v>
      </c>
      <c r="CC1046" s="48" t="str">
        <f aca="false">IF(OR(CB1046=1,CB1046=2,CB1046=3),IF(Parameter!$E$27="Ja","LIFT",IF(CB1046=1,"L1","L23")),IF(CB1046="Aussen","Aussen","-"))</f>
        <v>LIFT</v>
      </c>
      <c r="CD1046" s="59" t="n">
        <f aca="false">IF(N(AB1046)&gt;0,AB1046,0)</f>
        <v>0</v>
      </c>
      <c r="CE1046" s="53" t="n">
        <f aca="false">IF(ISNUMBER(AE1046),1,0)</f>
        <v>0</v>
      </c>
      <c r="CF1046" s="50" t="n">
        <f aca="false">N(AE1046)</f>
        <v>0</v>
      </c>
      <c r="CG1046" s="50" t="n">
        <f aca="false">N(M1046)+N(N1046)</f>
        <v>105</v>
      </c>
      <c r="CH1046" s="50" t="n">
        <f aca="false">ROUNDUP(H1046/BV1046,0)</f>
        <v>1</v>
      </c>
      <c r="CI1046" s="50" t="n">
        <f aca="false">ROUNDUP(CF1046/BV1046,0)</f>
        <v>0</v>
      </c>
      <c r="CJ1046" s="53" t="n">
        <f aca="false">IF(BW1046=1,0,IFERROR(VLOOKUP(BU1046,'Gebinde-Kategorie'!$A$5:$N$45,5,0)+0,0))</f>
        <v>8</v>
      </c>
      <c r="CK1046" s="53" t="n">
        <f aca="false">IFERROR(IF(OR(CB1046=1,CB1046=2,CB1046=3),N(INDEX(Parameter!$I$5:$I$7,CB1046)),0),0)</f>
        <v>0</v>
      </c>
      <c r="CL1046" s="52" t="n">
        <f aca="false">IF(AND(Parameter!$B$21="Ja",ISNUMBER(W1046),N(X1046)&gt;0),IFERROR(N(INDEX(Parameter!$L$5:$L$7,W1046))*INDEX(Parameter!$E$5:$E$7,W1046)*X1046/SUMIFS($X$7:$X$1843,$W$7:$W$1843,W1046),0),0)</f>
        <v>0</v>
      </c>
    </row>
    <row r="1047" customFormat="false" ht="15" hidden="false" customHeight="false" outlineLevel="0" collapsed="false">
      <c r="A1047" s="48" t="s">
        <v>1924</v>
      </c>
      <c r="B1047" s="48" t="s">
        <v>602</v>
      </c>
      <c r="C1047" s="48" t="s">
        <v>168</v>
      </c>
      <c r="D1047" s="48" t="s">
        <v>188</v>
      </c>
      <c r="E1047" s="48" t="s">
        <v>189</v>
      </c>
      <c r="F1047" s="48" t="s">
        <v>222</v>
      </c>
      <c r="G1047" s="49" t="n">
        <v>17.52</v>
      </c>
      <c r="H1047" s="50" t="n">
        <f aca="false">MAX(0,IF(AND(Parameter!$B$21="Ja",ISNUMBER(Y1047)),Y1047,IF(Parameter!$B$20="Jahresanfang 2025 + Export",BO1047+BN1047,BN1047)))</f>
        <v>72</v>
      </c>
      <c r="I1047" s="50" t="n">
        <f aca="false">H1047*G1047</f>
        <v>1261.44</v>
      </c>
      <c r="J1047" s="50" t="n">
        <f aca="false">BQ1047*Parameter!$B$18</f>
        <v>7</v>
      </c>
      <c r="K1047" s="51" t="n">
        <v>76.5</v>
      </c>
      <c r="L1047" s="52" t="n">
        <v>0.0915032679738562</v>
      </c>
      <c r="M1047" s="50" t="n">
        <v>0</v>
      </c>
      <c r="N1047" s="50" t="n">
        <v>5</v>
      </c>
      <c r="O1047" s="53" t="n">
        <v>14</v>
      </c>
      <c r="P1047" s="48" t="s">
        <v>480</v>
      </c>
      <c r="Q1047" s="50" t="n">
        <v>202</v>
      </c>
      <c r="R1047" s="53" t="n">
        <f aca="false">IF(BW1047=1,0,IFERROR(VLOOKUP(BU1047,'Gebinde-Kategorie'!$A$5:$N$45,13,0)+0,0))</f>
        <v>52</v>
      </c>
      <c r="S1047" s="54"/>
      <c r="T1047" s="55"/>
      <c r="U1047" s="55"/>
      <c r="V1047" s="55"/>
      <c r="W1047" s="48"/>
      <c r="X1047" s="50"/>
      <c r="Y1047" s="50"/>
      <c r="Z1047" s="48" t="n">
        <f aca="false">IF(A1047="","",IF(AND(Parameter!$B$21="Ja",ISNUMBER(W1047)),W1047,IF(BZ1047="2+3",IF(ISNUMBER(SEARCH("grosser Artikel",BR1047)),2,IFERROR(VLOOKUP(BU1047,Parameter!$F$35:$G$64,2,0),2)),IF(OR(BZ1047="Nein",BZ1047=""),"-",BZ1047))))</f>
        <v>3</v>
      </c>
      <c r="AA1047" s="55"/>
      <c r="AB1047" s="56"/>
      <c r="AC1047" s="50" t="n">
        <f aca="false">AT1047</f>
        <v>202</v>
      </c>
      <c r="AD1047" s="50" t="n">
        <f aca="false">MAX(AT1047,H1047)</f>
        <v>202</v>
      </c>
      <c r="AE1047" s="57"/>
      <c r="AF1047" s="50" t="n">
        <f aca="false">IF(LEFT(Cockpit!$C$5,1)="A",H1047,IF(CE1047=1,CF1047,IF(LEFT(Cockpit!$C$5,1)="B",AK1047,MAX(AK1047,H1047))))</f>
        <v>72</v>
      </c>
      <c r="AG1047" s="50" t="n">
        <f aca="false">IF(BW1047=1,0,ROUNDUP(AF1047/BV1047,0))</f>
        <v>1</v>
      </c>
      <c r="AH1047" s="52" t="n">
        <f aca="false">IF(CL1047&gt;0,CL1047*MAX(1,AF1047/X1047),IF(BW1047=1,IF(AF1047&lt;=0,0,CA1047*MAX(1,IF(H1047&gt;0,AF1047/H1047,1))),IF(R1047&gt;0,AG1047/R1047,0))/MAX(0.1,N(Parameter!$M$21)))</f>
        <v>0.0192307692307692</v>
      </c>
      <c r="AI1047" s="50" t="n">
        <f aca="false">AH1047*BY1047</f>
        <v>2.98076923076923</v>
      </c>
      <c r="AJ1047" s="50" t="n">
        <f aca="false">AF1047*G1047</f>
        <v>1261.44</v>
      </c>
      <c r="AK1047" s="50" t="n">
        <f aca="false">ROUNDUP(MAX(J1047/IF(CD1047&gt;0,CD1047,MAX(0.1,N(Cockpit!$C$6))),CG1047)/BV1047,0)*BV1047</f>
        <v>202</v>
      </c>
      <c r="AL1047" s="51" t="n">
        <f aca="false">IF(AI1047&gt;0,J1047/AI1047,-1)</f>
        <v>2.34838709677419</v>
      </c>
      <c r="AM1047" s="51" t="n">
        <f aca="false">IF(AND(OR(CC1047="L1",CC1047="L23",CC1047="LIFT"),AI1047&gt;0),SUMIFS($AI$7:$AI$1843,$CC$7:$CC$1843,CC1047,$AL$7:$AL$1843,"&gt;"&amp;AL1047)+SUMIFS($AI$7:$AI$1843,$CC$7:$CC$1843,CC1047,$AL$7:$AL$1843,AL1047,$BT$7:$BT$1843,"&lt;="&amp;BT1047),"")</f>
        <v>5643.14148351648</v>
      </c>
      <c r="AN1047" s="58" t="n">
        <f aca="false">IF(AM1047="",0,MAX(0,MIN(1,(IF(CC1047="L1",Parameter!$H$5,IF(CC1047="L23",Parameter!$H$6+Parameter!$H$7,Parameter!$H$5+Parameter!$H$6+Parameter!$H$7))-(AM1047-AI1047))/AI1047)))</f>
        <v>1</v>
      </c>
      <c r="AO1047" s="50" t="n">
        <f aca="false">IF(LEFT(Cockpit!$I$5,1)="A",H1047,IF(CE1047=1,CF1047,IF(LEFT(Cockpit!$I$5,1)="B",AT1047,MAX(AT1047,H1047))))</f>
        <v>202</v>
      </c>
      <c r="AP1047" s="50" t="n">
        <f aca="false">IF(BW1047=1,0,ROUNDUP(AO1047/BV1047,0))</f>
        <v>1</v>
      </c>
      <c r="AQ1047" s="52" t="n">
        <f aca="false">IF(CL1047&gt;0,CL1047*MAX(1,AO1047/X1047),IF(BW1047=1,IF(AO1047&lt;=0,0,CA1047*MAX(1,IF(H1047&gt;0,AO1047/H1047,1))),IF(R1047&gt;0,AP1047/R1047,0))/MAX(0.1,N(Parameter!$M$21)))</f>
        <v>0.0192307692307692</v>
      </c>
      <c r="AR1047" s="50" t="n">
        <f aca="false">AQ1047*BY1047</f>
        <v>2.98076923076923</v>
      </c>
      <c r="AS1047" s="50" t="n">
        <f aca="false">AO1047*G1047</f>
        <v>3539.04</v>
      </c>
      <c r="AT1047" s="50" t="n">
        <f aca="false">ROUNDUP(MAX(J1047/IF(CD1047&gt;0,CD1047,MAX(0.1,N(Cockpit!$I$6))),CG1047)/BV1047,0)*BV1047</f>
        <v>202</v>
      </c>
      <c r="AU1047" s="51" t="n">
        <f aca="false">IF(AR1047&gt;0,J1047/AR1047,-1)</f>
        <v>2.34838709677419</v>
      </c>
      <c r="AV1047" s="51" t="n">
        <f aca="false">IF(AND(OR(CC1047="L1",CC1047="L23",CC1047="LIFT"),AR1047&gt;0),SUMIFS($AR$7:$AR$1843,$CC$7:$CC$1843,CC1047,$AU$7:$AU$1843,"&gt;"&amp;AU1047)+SUMIFS($AR$7:$AR$1843,$CC$7:$CC$1843,CC1047,$AU$7:$AU$1843,AU1047,$BT$7:$BT$1843,"&lt;="&amp;BT1047),"")</f>
        <v>6968.41071428572</v>
      </c>
      <c r="AW1047" s="58" t="n">
        <f aca="false">IF(AV1047="",0,MAX(0,MIN(1,(IF(CC1047="L1",Parameter!$H$5,IF(CC1047="L23",Parameter!$H$6+Parameter!$H$7,Parameter!$H$5+Parameter!$H$6+Parameter!$H$7))-(AV1047-AR1047))/AR1047)))</f>
        <v>1</v>
      </c>
      <c r="AX1047" s="50" t="n">
        <f aca="false">IF(LEFT(Cockpit!$O$5,1)="A",H1047,IF(CE1047=1,CF1047,IF(LEFT(Cockpit!$O$5,1)="B",BC1047,MAX(BC1047,H1047))))</f>
        <v>202</v>
      </c>
      <c r="AY1047" s="50" t="n">
        <f aca="false">IF(BW1047=1,0,ROUNDUP(AX1047/BV1047,0))</f>
        <v>1</v>
      </c>
      <c r="AZ1047" s="52" t="n">
        <f aca="false">IF(CL1047&gt;0,CL1047*MAX(1,AX1047/X1047),IF(BW1047=1,IF(AX1047&lt;=0,0,CA1047*MAX(1,IF(H1047&gt;0,AX1047/H1047,1))),IF(R1047&gt;0,AY1047/R1047,0))/MAX(0.1,N(Parameter!$M$21)))</f>
        <v>0.0192307692307692</v>
      </c>
      <c r="BA1047" s="50" t="n">
        <f aca="false">AZ1047*BY1047</f>
        <v>2.98076923076923</v>
      </c>
      <c r="BB1047" s="50" t="n">
        <f aca="false">AX1047*G1047</f>
        <v>3539.04</v>
      </c>
      <c r="BC1047" s="50" t="n">
        <f aca="false">ROUNDUP(MAX(J1047/IF(CD1047&gt;0,CD1047,MAX(0.1,N(Cockpit!$O$6))),CG1047)/BV1047,0)*BV1047</f>
        <v>202</v>
      </c>
      <c r="BD1047" s="51" t="n">
        <f aca="false">IF(BA1047&gt;0,J1047/BA1047,-1)</f>
        <v>2.34838709677419</v>
      </c>
      <c r="BE1047" s="51" t="n">
        <f aca="false">IF(AND(OR(CC1047="L1",CC1047="L23",CC1047="LIFT"),BA1047&gt;0),SUMIFS($BA$7:$BA$1843,$CC$7:$CC$1843,CC1047,$BD$7:$BD$1843,"&gt;"&amp;BD1047)+SUMIFS($BA$7:$BA$1843,$CC$7:$CC$1843,CC1047,$BD$7:$BD$1843,BD1047,$BT$7:$BT$1843,"&lt;="&amp;BT1047),"")</f>
        <v>6736.98443223443</v>
      </c>
      <c r="BF1047" s="58" t="n">
        <f aca="false">IF(BE1047="",0,MAX(0,MIN(1,(IF(CC1047="L1",Parameter!$H$5,IF(CC1047="L23",Parameter!$H$6+Parameter!$H$7,Parameter!$H$5+Parameter!$H$6+Parameter!$H$7))-(BE1047-BA1047))/BA1047)))</f>
        <v>1</v>
      </c>
      <c r="BG1047" s="48" t="str">
        <f aca="false">IF(AI1047&lt;=0,"",IF(CC1047="Aussen","Aussenlager",IF(CC1047="-","Nicht im Lift",IF(AN1047&gt;=1,"Lift",IF(AN1047&lt;=0,"Aussenlager","teilweise")))))</f>
        <v>Lift</v>
      </c>
      <c r="BH1047" s="48" t="str">
        <f aca="false">IF(AR1047&lt;=0,"",IF(CC1047="Aussen","Aussenlager",IF(CC1047="-","Nicht im Lift",IF(AW1047&gt;=1,"Lift",IF(AW1047&lt;=0,"Aussenlager","teilweise")))))</f>
        <v>Lift</v>
      </c>
      <c r="BI1047" s="48" t="str">
        <f aca="false">IF(BA1047&lt;=0,"",IF(CC1047="Aussen","Aussenlager",IF(CC1047="-","Nicht im Lift",IF(BF1047&gt;=1,"Lift",IF(BF1047&lt;=0,"Aussenlager","teilweise")))))</f>
        <v>Lift</v>
      </c>
      <c r="BJ1047" s="48" t="str">
        <f aca="false">IF(A1047="","",IF(BS1047=1,"Neu; ","")&amp;IF(AND(BS1047=0,BN1047&lt;0),"negativer Bestand (Export "&amp;BN1047&amp;"); ","")&amp;IF(J1047&lt;=0,"Kein Verbrauch; ","")&amp;IF(CL1047&gt;0,"Lift "&amp;W1047&amp;" lt. Liftbericht (Fach "&amp;X1047&amp;" Stk); ",IF(BX1047=1,"Gebinde geschätzt ("&amp;T1047&amp;"); ",IF(BW1047=1,"Lose – Tablare geschätzt; ","")))&amp;IF(H1047&gt;AT1047,"Überbestand "&amp;ROUND(H1047-AT1047,0)&amp;" Stk / CHF "&amp;ROUND((H1047-AT1047)*G1047,0)&amp;"; ","")&amp;IF(AND(CE1047=1,CF1047&lt;CG1047),"MAX &lt; MB+LG; ","")&amp;IF(AND(CK1047&gt;0,CJ1047*10&gt;CK1047),"zu hoch für Tablar; ","")&amp;IF(AND(BS1047=0,OR(CE1047=1,AA1047&lt;&gt;"",U1047&lt;&gt;"",V1047&lt;&gt;"",AB1047&lt;&gt;"")),"manuell übersteuert; ","")&amp;IF(AND(BW1047=0,R1047=0),"Gebinde unbekannt / Stellmass fehlt; ","")&amp;IF(AND(BW1047=0,N(V1047)&lt;=0,N(Q1047)&lt;=0),"Menge pro Gebinde fehlt (Ist = 1 Gebinde); ","")&amp;BR1047)</f>
        <v>negativer Bestand (Export -8); Überbestand</v>
      </c>
      <c r="BK1047" s="48"/>
      <c r="BL1047" s="48"/>
      <c r="BM1047" s="55"/>
      <c r="BN1047" s="50" t="n">
        <v>-8</v>
      </c>
      <c r="BO1047" s="50" t="n">
        <v>80</v>
      </c>
      <c r="BP1047" s="49" t="n">
        <v>-140.16</v>
      </c>
      <c r="BQ1047" s="50" t="n">
        <v>7</v>
      </c>
      <c r="BR1047" s="48" t="s">
        <v>396</v>
      </c>
      <c r="BS1047" s="53" t="n">
        <v>0</v>
      </c>
      <c r="BT1047" s="53" t="n">
        <v>1047</v>
      </c>
      <c r="BU1047" s="48" t="str">
        <f aca="false">IF(U1047&lt;&gt;"",UPPER(TRIM(U1047)),IF(BX1047=1,UPPER(VLOOKUP(T1047,Parameter!$I$27:$K$29,2,0)),IF(P1047="","LOSE",P1047)))</f>
        <v>S33</v>
      </c>
      <c r="BV1047" s="50" t="n">
        <f aca="false">IF(BU1047="LOSE",1,IF(N(V1047)&gt;0,V1047,IF(BX1047=1,MAX(1,N(VLOOKUP(T1047,Parameter!$I$27:$K$29,3,0)),H1047,N(N1047)),IF(N(Q1047)&gt;0,Q1047,MAX(1,H1047)))))</f>
        <v>202</v>
      </c>
      <c r="BW1047" s="53" t="n">
        <f aca="false">IF(BU1047="LOSE",1,0)</f>
        <v>0</v>
      </c>
      <c r="BX1047" s="53" t="n">
        <f aca="false">IF(AND(U1047="",OR(P1047="",P1047="LOSE"),T1047&lt;&gt;"",N(S1047)&lt;=0,ISNUMBER(MATCH(T1047,Parameter!$I$27:$I$29,0))),1,0)</f>
        <v>0</v>
      </c>
      <c r="BY1047" s="53" t="n">
        <f aca="false">IF(CL1047&gt;0,INDEX(Parameter!$H$5:$H$7,W1047)/INDEX(Parameter!$E$5:$E$7,W1047),IF(AND(BW1047=0,N(IFERROR(VLOOKUP(BU1047,'Gebinde-Kategorie'!$A$5:$N$45,14,0),0))&gt;0),VLOOKUP(BU1047,'Gebinde-Kategorie'!$A$5:$N$45,14,0)*10+Parameter!$M$23,Parameter!$M$24))</f>
        <v>155</v>
      </c>
      <c r="BZ1047" s="48" t="str">
        <f aca="false">IF(AND(Parameter!$B$19="Ja",E1047&lt;&gt;"",ISNUMBER(MATCH(E1047,Parameter!$I$35:$I$52,0))),VLOOKUP(E1047,Parameter!$I$35:$J$52,2,0),IFERROR(VLOOKUP(D1047,Parameter!$A$35:$C$64,2,0),"Nein"))</f>
        <v>2+3</v>
      </c>
      <c r="CA1047" s="52" t="n">
        <f aca="false">IF(BW1047=0,0,IF(N(S1047)&gt;0,S1047,IFERROR(VLOOKUP(D1047,Parameter!$A$35:$C$64,3,0)+0,0)))</f>
        <v>0</v>
      </c>
      <c r="CB1047" s="48" t="n">
        <f aca="false">IF(AA1047&lt;&gt;"",AA1047,Z1047)</f>
        <v>3</v>
      </c>
      <c r="CC1047" s="48" t="str">
        <f aca="false">IF(OR(CB1047=1,CB1047=2,CB1047=3),IF(Parameter!$E$27="Ja","LIFT",IF(CB1047=1,"L1","L23")),IF(CB1047="Aussen","Aussen","-"))</f>
        <v>LIFT</v>
      </c>
      <c r="CD1047" s="59" t="n">
        <f aca="false">IF(N(AB1047)&gt;0,AB1047,0)</f>
        <v>0</v>
      </c>
      <c r="CE1047" s="53" t="n">
        <f aca="false">IF(ISNUMBER(AE1047),1,0)</f>
        <v>0</v>
      </c>
      <c r="CF1047" s="50" t="n">
        <f aca="false">N(AE1047)</f>
        <v>0</v>
      </c>
      <c r="CG1047" s="50" t="n">
        <f aca="false">N(M1047)+N(N1047)</f>
        <v>5</v>
      </c>
      <c r="CH1047" s="50" t="n">
        <f aca="false">ROUNDUP(H1047/BV1047,0)</f>
        <v>1</v>
      </c>
      <c r="CI1047" s="50" t="n">
        <f aca="false">ROUNDUP(CF1047/BV1047,0)</f>
        <v>0</v>
      </c>
      <c r="CJ1047" s="53" t="n">
        <f aca="false">IF(BW1047=1,0,IFERROR(VLOOKUP(BU1047,'Gebinde-Kategorie'!$A$5:$N$45,5,0)+0,0))</f>
        <v>8</v>
      </c>
      <c r="CK1047" s="53" t="n">
        <f aca="false">IFERROR(IF(OR(CB1047=1,CB1047=2,CB1047=3),N(INDEX(Parameter!$I$5:$I$7,CB1047)),0),0)</f>
        <v>0</v>
      </c>
      <c r="CL1047" s="52" t="n">
        <f aca="false">IF(AND(Parameter!$B$21="Ja",ISNUMBER(W1047),N(X1047)&gt;0),IFERROR(N(INDEX(Parameter!$L$5:$L$7,W1047))*INDEX(Parameter!$E$5:$E$7,W1047)*X1047/SUMIFS($X$7:$X$1843,$W$7:$W$1843,W1047),0),0)</f>
        <v>0</v>
      </c>
    </row>
    <row r="1048" customFormat="false" ht="15" hidden="false" customHeight="false" outlineLevel="0" collapsed="false">
      <c r="A1048" s="48" t="s">
        <v>1925</v>
      </c>
      <c r="B1048" s="48" t="s">
        <v>1590</v>
      </c>
      <c r="C1048" s="48" t="s">
        <v>168</v>
      </c>
      <c r="D1048" s="48" t="s">
        <v>188</v>
      </c>
      <c r="E1048" s="48" t="s">
        <v>189</v>
      </c>
      <c r="F1048" s="48" t="s">
        <v>222</v>
      </c>
      <c r="G1048" s="49" t="n">
        <v>0.83</v>
      </c>
      <c r="H1048" s="50" t="n">
        <f aca="false">MAX(0,IF(AND(Parameter!$B$21="Ja",ISNUMBER(Y1048)),Y1048,IF(Parameter!$B$20="Jahresanfang 2025 + Export",BO1048+BN1048,BN1048)))</f>
        <v>0</v>
      </c>
      <c r="I1048" s="50" t="n">
        <f aca="false">H1048*G1048</f>
        <v>0</v>
      </c>
      <c r="J1048" s="50" t="n">
        <f aca="false">BQ1048*Parameter!$B$18</f>
        <v>0</v>
      </c>
      <c r="K1048" s="51" t="n">
        <v>38.5</v>
      </c>
      <c r="L1048" s="52" t="n">
        <v>0</v>
      </c>
      <c r="M1048" s="50" t="n">
        <v>0</v>
      </c>
      <c r="N1048" s="50" t="n">
        <v>1</v>
      </c>
      <c r="O1048" s="53" t="n">
        <v>21</v>
      </c>
      <c r="P1048" s="48" t="s">
        <v>425</v>
      </c>
      <c r="Q1048" s="50" t="n">
        <v>54</v>
      </c>
      <c r="R1048" s="53" t="n">
        <f aca="false">IF(BW1048=1,0,IFERROR(VLOOKUP(BU1048,'Gebinde-Kategorie'!$A$5:$N$45,13,0)+0,0))</f>
        <v>104</v>
      </c>
      <c r="S1048" s="54"/>
      <c r="T1048" s="55"/>
      <c r="U1048" s="55"/>
      <c r="V1048" s="55"/>
      <c r="W1048" s="48"/>
      <c r="X1048" s="50"/>
      <c r="Y1048" s="50"/>
      <c r="Z1048" s="48" t="n">
        <f aca="false">IF(A1048="","",IF(AND(Parameter!$B$21="Ja",ISNUMBER(W1048)),W1048,IF(BZ1048="2+3",IF(ISNUMBER(SEARCH("grosser Artikel",BR1048)),2,IFERROR(VLOOKUP(BU1048,Parameter!$F$35:$G$64,2,0),2)),IF(OR(BZ1048="Nein",BZ1048=""),"-",BZ1048))))</f>
        <v>3</v>
      </c>
      <c r="AA1048" s="55"/>
      <c r="AB1048" s="56"/>
      <c r="AC1048" s="50" t="n">
        <f aca="false">AT1048</f>
        <v>54</v>
      </c>
      <c r="AD1048" s="50" t="n">
        <f aca="false">MAX(AT1048,H1048)</f>
        <v>54</v>
      </c>
      <c r="AE1048" s="57"/>
      <c r="AF1048" s="50" t="n">
        <f aca="false">IF(LEFT(Cockpit!$C$5,1)="A",H1048,IF(CE1048=1,CF1048,IF(LEFT(Cockpit!$C$5,1)="B",AK1048,MAX(AK1048,H1048))))</f>
        <v>0</v>
      </c>
      <c r="AG1048" s="50" t="n">
        <f aca="false">IF(BW1048=1,0,ROUNDUP(AF1048/BV1048,0))</f>
        <v>0</v>
      </c>
      <c r="AH1048" s="52" t="n">
        <f aca="false">IF(CL1048&gt;0,CL1048*MAX(1,AF1048/X1048),IF(BW1048=1,IF(AF1048&lt;=0,0,CA1048*MAX(1,IF(H1048&gt;0,AF1048/H1048,1))),IF(R1048&gt;0,AG1048/R1048,0))/MAX(0.1,N(Parameter!$M$21)))</f>
        <v>0</v>
      </c>
      <c r="AI1048" s="50" t="n">
        <f aca="false">AH1048*BY1048</f>
        <v>0</v>
      </c>
      <c r="AJ1048" s="50" t="n">
        <f aca="false">AF1048*G1048</f>
        <v>0</v>
      </c>
      <c r="AK1048" s="50" t="n">
        <f aca="false">ROUNDUP(MAX(J1048/IF(CD1048&gt;0,CD1048,MAX(0.1,N(Cockpit!$C$6))),CG1048)/BV1048,0)*BV1048</f>
        <v>54</v>
      </c>
      <c r="AL1048" s="51" t="n">
        <f aca="false">IF(AI1048&gt;0,J1048/AI1048,-1)</f>
        <v>-1</v>
      </c>
      <c r="AM1048" s="51" t="str">
        <f aca="false">IF(AND(OR(CC1048="L1",CC1048="L23",CC1048="LIFT"),AI1048&gt;0),SUMIFS($AI$7:$AI$1843,$CC$7:$CC$1843,CC1048,$AL$7:$AL$1843,"&gt;"&amp;AL1048)+SUMIFS($AI$7:$AI$1843,$CC$7:$CC$1843,CC1048,$AL$7:$AL$1843,AL1048,$BT$7:$BT$1843,"&lt;="&amp;BT1048),"")</f>
        <v/>
      </c>
      <c r="AN1048" s="58" t="n">
        <f aca="false">IF(AM1048="",0,MAX(0,MIN(1,(IF(CC1048="L1",Parameter!$H$5,IF(CC1048="L23",Parameter!$H$6+Parameter!$H$7,Parameter!$H$5+Parameter!$H$6+Parameter!$H$7))-(AM1048-AI1048))/AI1048)))</f>
        <v>0</v>
      </c>
      <c r="AO1048" s="50" t="n">
        <f aca="false">IF(LEFT(Cockpit!$I$5,1)="A",H1048,IF(CE1048=1,CF1048,IF(LEFT(Cockpit!$I$5,1)="B",AT1048,MAX(AT1048,H1048))))</f>
        <v>54</v>
      </c>
      <c r="AP1048" s="50" t="n">
        <f aca="false">IF(BW1048=1,0,ROUNDUP(AO1048/BV1048,0))</f>
        <v>1</v>
      </c>
      <c r="AQ1048" s="52" t="n">
        <f aca="false">IF(CL1048&gt;0,CL1048*MAX(1,AO1048/X1048),IF(BW1048=1,IF(AO1048&lt;=0,0,CA1048*MAX(1,IF(H1048&gt;0,AO1048/H1048,1))),IF(R1048&gt;0,AP1048/R1048,0))/MAX(0.1,N(Parameter!$M$21)))</f>
        <v>0.00961538461538462</v>
      </c>
      <c r="AR1048" s="50" t="n">
        <f aca="false">AQ1048*BY1048</f>
        <v>1.49038461538462</v>
      </c>
      <c r="AS1048" s="50" t="n">
        <f aca="false">AO1048*G1048</f>
        <v>44.82</v>
      </c>
      <c r="AT1048" s="50" t="n">
        <f aca="false">ROUNDUP(MAX(J1048/IF(CD1048&gt;0,CD1048,MAX(0.1,N(Cockpit!$I$6))),CG1048)/BV1048,0)*BV1048</f>
        <v>54</v>
      </c>
      <c r="AU1048" s="51" t="n">
        <f aca="false">IF(AR1048&gt;0,J1048/AR1048,-1)</f>
        <v>0</v>
      </c>
      <c r="AV1048" s="51" t="n">
        <f aca="false">IF(AND(OR(CC1048="L1",CC1048="L23",CC1048="LIFT"),AR1048&gt;0),SUMIFS($AR$7:$AR$1843,$CC$7:$CC$1843,CC1048,$AU$7:$AU$1843,"&gt;"&amp;AU1048)+SUMIFS($AR$7:$AR$1843,$CC$7:$CC$1843,CC1048,$AU$7:$AU$1843,AU1048,$BT$7:$BT$1843,"&lt;="&amp;BT1048),"")</f>
        <v>40737.9125535482</v>
      </c>
      <c r="AW1048" s="58" t="n">
        <f aca="false">IF(AV1048="",0,MAX(0,MIN(1,(IF(CC1048="L1",Parameter!$H$5,IF(CC1048="L23",Parameter!$H$6+Parameter!$H$7,Parameter!$H$5+Parameter!$H$6+Parameter!$H$7))-(AV1048-AR1048))/AR1048)))</f>
        <v>0</v>
      </c>
      <c r="AX1048" s="50" t="n">
        <f aca="false">IF(LEFT(Cockpit!$O$5,1)="A",H1048,IF(CE1048=1,CF1048,IF(LEFT(Cockpit!$O$5,1)="B",BC1048,MAX(BC1048,H1048))))</f>
        <v>54</v>
      </c>
      <c r="AY1048" s="50" t="n">
        <f aca="false">IF(BW1048=1,0,ROUNDUP(AX1048/BV1048,0))</f>
        <v>1</v>
      </c>
      <c r="AZ1048" s="52" t="n">
        <f aca="false">IF(CL1048&gt;0,CL1048*MAX(1,AX1048/X1048),IF(BW1048=1,IF(AX1048&lt;=0,0,CA1048*MAX(1,IF(H1048&gt;0,AX1048/H1048,1))),IF(R1048&gt;0,AY1048/R1048,0))/MAX(0.1,N(Parameter!$M$21)))</f>
        <v>0.00961538461538462</v>
      </c>
      <c r="BA1048" s="50" t="n">
        <f aca="false">AZ1048*BY1048</f>
        <v>1.49038461538462</v>
      </c>
      <c r="BB1048" s="50" t="n">
        <f aca="false">AX1048*G1048</f>
        <v>44.82</v>
      </c>
      <c r="BC1048" s="50" t="n">
        <f aca="false">ROUNDUP(MAX(J1048/IF(CD1048&gt;0,CD1048,MAX(0.1,N(Cockpit!$O$6))),CG1048)/BV1048,0)*BV1048</f>
        <v>54</v>
      </c>
      <c r="BD1048" s="51" t="n">
        <f aca="false">IF(BA1048&gt;0,J1048/BA1048,-1)</f>
        <v>0</v>
      </c>
      <c r="BE1048" s="51" t="n">
        <f aca="false">IF(AND(OR(CC1048="L1",CC1048="L23",CC1048="LIFT"),BA1048&gt;0),SUMIFS($BA$7:$BA$1843,$CC$7:$CC$1843,CC1048,$BD$7:$BD$1843,"&gt;"&amp;BD1048)+SUMIFS($BA$7:$BA$1843,$CC$7:$CC$1843,CC1048,$BD$7:$BD$1843,BD1048,$BT$7:$BT$1843,"&lt;="&amp;BT1048),"")</f>
        <v>37412.924595414</v>
      </c>
      <c r="BF1048" s="58" t="n">
        <f aca="false">IF(BE1048="",0,MAX(0,MIN(1,(IF(CC1048="L1",Parameter!$H$5,IF(CC1048="L23",Parameter!$H$6+Parameter!$H$7,Parameter!$H$5+Parameter!$H$6+Parameter!$H$7))-(BE1048-BA1048))/BA1048)))</f>
        <v>0</v>
      </c>
      <c r="BG1048" s="48" t="str">
        <f aca="false">IF(AI1048&lt;=0,"",IF(CC1048="Aussen","Aussenlager",IF(CC1048="-","Nicht im Lift",IF(AN1048&gt;=1,"Lift",IF(AN1048&lt;=0,"Aussenlager","teilweise")))))</f>
        <v/>
      </c>
      <c r="BH1048" s="48" t="str">
        <f aca="false">IF(AR1048&lt;=0,"",IF(CC1048="Aussen","Aussenlager",IF(CC1048="-","Nicht im Lift",IF(AW1048&gt;=1,"Lift",IF(AW1048&lt;=0,"Aussenlager","teilweise")))))</f>
        <v>Aussenlager</v>
      </c>
      <c r="BI1048" s="48" t="str">
        <f aca="false">IF(BA1048&lt;=0,"",IF(CC1048="Aussen","Aussenlager",IF(CC1048="-","Nicht im Lift",IF(BF1048&gt;=1,"Lift",IF(BF1048&lt;=0,"Aussenlager","teilweise")))))</f>
        <v>Aussenlager</v>
      </c>
      <c r="BJ1048" s="48" t="str">
        <f aca="false">IF(A1048="","",IF(BS1048=1,"Neu; ","")&amp;IF(AND(BS1048=0,BN1048&lt;0),"negativer Bestand (Export "&amp;BN1048&amp;"); ","")&amp;IF(J1048&lt;=0,"Kein Verbrauch; ","")&amp;IF(CL1048&gt;0,"Lift "&amp;W1048&amp;" lt. Liftbericht (Fach "&amp;X1048&amp;" Stk); ",IF(BX1048=1,"Gebinde geschätzt ("&amp;T1048&amp;"); ",IF(BW1048=1,"Lose – Tablare geschätzt; ","")))&amp;IF(H1048&gt;AT1048,"Überbestand "&amp;ROUND(H1048-AT1048,0)&amp;" Stk / CHF "&amp;ROUND((H1048-AT1048)*G1048,0)&amp;"; ","")&amp;IF(AND(CE1048=1,CF1048&lt;CG1048),"MAX &lt; MB+LG; ","")&amp;IF(AND(CK1048&gt;0,CJ1048*10&gt;CK1048),"zu hoch für Tablar; ","")&amp;IF(AND(BS1048=0,OR(CE1048=1,AA1048&lt;&gt;"",U1048&lt;&gt;"",V1048&lt;&gt;"",AB1048&lt;&gt;"")),"manuell übersteuert; ","")&amp;IF(AND(BW1048=0,R1048=0),"Gebinde unbekannt / Stellmass fehlt; ","")&amp;IF(AND(BW1048=0,N(V1048)&lt;=0,N(Q1048)&lt;=0),"Menge pro Gebinde fehlt (Ist = 1 Gebinde); ","")&amp;BR1048)</f>
        <v>negativer Bestand (Export -47); Kein Verbrauch; Überbestand</v>
      </c>
      <c r="BK1048" s="48"/>
      <c r="BL1048" s="48"/>
      <c r="BM1048" s="55"/>
      <c r="BN1048" s="50" t="n">
        <v>-47</v>
      </c>
      <c r="BO1048" s="50" t="n">
        <v>47</v>
      </c>
      <c r="BP1048" s="49" t="n">
        <v>-142.41</v>
      </c>
      <c r="BQ1048" s="50" t="n">
        <v>0</v>
      </c>
      <c r="BR1048" s="48" t="s">
        <v>396</v>
      </c>
      <c r="BS1048" s="53" t="n">
        <v>0</v>
      </c>
      <c r="BT1048" s="53" t="n">
        <v>1048</v>
      </c>
      <c r="BU1048" s="48" t="str">
        <f aca="false">IF(U1048&lt;&gt;"",UPPER(TRIM(U1048)),IF(BX1048=1,UPPER(VLOOKUP(T1048,Parameter!$I$27:$K$29,2,0)),IF(P1048="","LOSE",P1048)))</f>
        <v>S32</v>
      </c>
      <c r="BV1048" s="50" t="n">
        <f aca="false">IF(BU1048="LOSE",1,IF(N(V1048)&gt;0,V1048,IF(BX1048=1,MAX(1,N(VLOOKUP(T1048,Parameter!$I$27:$K$29,3,0)),H1048,N(N1048)),IF(N(Q1048)&gt;0,Q1048,MAX(1,H1048)))))</f>
        <v>54</v>
      </c>
      <c r="BW1048" s="53" t="n">
        <f aca="false">IF(BU1048="LOSE",1,0)</f>
        <v>0</v>
      </c>
      <c r="BX1048" s="53" t="n">
        <f aca="false">IF(AND(U1048="",OR(P1048="",P1048="LOSE"),T1048&lt;&gt;"",N(S1048)&lt;=0,ISNUMBER(MATCH(T1048,Parameter!$I$27:$I$29,0))),1,0)</f>
        <v>0</v>
      </c>
      <c r="BY1048" s="53" t="n">
        <f aca="false">IF(CL1048&gt;0,INDEX(Parameter!$H$5:$H$7,W1048)/INDEX(Parameter!$E$5:$E$7,W1048),IF(AND(BW1048=0,N(IFERROR(VLOOKUP(BU1048,'Gebinde-Kategorie'!$A$5:$N$45,14,0),0))&gt;0),VLOOKUP(BU1048,'Gebinde-Kategorie'!$A$5:$N$45,14,0)*10+Parameter!$M$23,Parameter!$M$24))</f>
        <v>155</v>
      </c>
      <c r="BZ1048" s="48" t="str">
        <f aca="false">IF(AND(Parameter!$B$19="Ja",E1048&lt;&gt;"",ISNUMBER(MATCH(E1048,Parameter!$I$35:$I$52,0))),VLOOKUP(E1048,Parameter!$I$35:$J$52,2,0),IFERROR(VLOOKUP(D1048,Parameter!$A$35:$C$64,2,0),"Nein"))</f>
        <v>2+3</v>
      </c>
      <c r="CA1048" s="52" t="n">
        <f aca="false">IF(BW1048=0,0,IF(N(S1048)&gt;0,S1048,IFERROR(VLOOKUP(D1048,Parameter!$A$35:$C$64,3,0)+0,0)))</f>
        <v>0</v>
      </c>
      <c r="CB1048" s="48" t="n">
        <f aca="false">IF(AA1048&lt;&gt;"",AA1048,Z1048)</f>
        <v>3</v>
      </c>
      <c r="CC1048" s="48" t="str">
        <f aca="false">IF(OR(CB1048=1,CB1048=2,CB1048=3),IF(Parameter!$E$27="Ja","LIFT",IF(CB1048=1,"L1","L23")),IF(CB1048="Aussen","Aussen","-"))</f>
        <v>LIFT</v>
      </c>
      <c r="CD1048" s="59" t="n">
        <f aca="false">IF(N(AB1048)&gt;0,AB1048,0)</f>
        <v>0</v>
      </c>
      <c r="CE1048" s="53" t="n">
        <f aca="false">IF(ISNUMBER(AE1048),1,0)</f>
        <v>0</v>
      </c>
      <c r="CF1048" s="50" t="n">
        <f aca="false">N(AE1048)</f>
        <v>0</v>
      </c>
      <c r="CG1048" s="50" t="n">
        <f aca="false">N(M1048)+N(N1048)</f>
        <v>1</v>
      </c>
      <c r="CH1048" s="50" t="n">
        <f aca="false">ROUNDUP(H1048/BV1048,0)</f>
        <v>0</v>
      </c>
      <c r="CI1048" s="50" t="n">
        <f aca="false">ROUNDUP(CF1048/BV1048,0)</f>
        <v>0</v>
      </c>
      <c r="CJ1048" s="53" t="n">
        <f aca="false">IF(BW1048=1,0,IFERROR(VLOOKUP(BU1048,'Gebinde-Kategorie'!$A$5:$N$45,5,0)+0,0))</f>
        <v>8</v>
      </c>
      <c r="CK1048" s="53" t="n">
        <f aca="false">IFERROR(IF(OR(CB1048=1,CB1048=2,CB1048=3),N(INDEX(Parameter!$I$5:$I$7,CB1048)),0),0)</f>
        <v>0</v>
      </c>
      <c r="CL1048" s="52" t="n">
        <f aca="false">IF(AND(Parameter!$B$21="Ja",ISNUMBER(W1048),N(X1048)&gt;0),IFERROR(N(INDEX(Parameter!$L$5:$L$7,W1048))*INDEX(Parameter!$E$5:$E$7,W1048)*X1048/SUMIFS($X$7:$X$1843,$W$7:$W$1843,W1048),0),0)</f>
        <v>0</v>
      </c>
    </row>
    <row r="1049" customFormat="false" ht="15" hidden="false" customHeight="false" outlineLevel="0" collapsed="false">
      <c r="A1049" s="48" t="s">
        <v>1926</v>
      </c>
      <c r="B1049" s="48" t="s">
        <v>1807</v>
      </c>
      <c r="C1049" s="48" t="s">
        <v>168</v>
      </c>
      <c r="D1049" s="48" t="s">
        <v>188</v>
      </c>
      <c r="E1049" s="48" t="s">
        <v>189</v>
      </c>
      <c r="F1049" s="48" t="s">
        <v>222</v>
      </c>
      <c r="G1049" s="49" t="n">
        <v>59.9</v>
      </c>
      <c r="H1049" s="50" t="n">
        <f aca="false">MAX(0,IF(AND(Parameter!$B$21="Ja",ISNUMBER(Y1049)),Y1049,IF(Parameter!$B$20="Jahresanfang 2025 + Export",BO1049+BN1049,BN1049)))</f>
        <v>15</v>
      </c>
      <c r="I1049" s="50" t="n">
        <f aca="false">H1049*G1049</f>
        <v>898.5</v>
      </c>
      <c r="J1049" s="50" t="n">
        <f aca="false">BQ1049*Parameter!$B$18</f>
        <v>33</v>
      </c>
      <c r="K1049" s="51" t="n">
        <v>21</v>
      </c>
      <c r="L1049" s="52" t="n">
        <v>1.57142857142857</v>
      </c>
      <c r="M1049" s="50" t="n">
        <v>3</v>
      </c>
      <c r="N1049" s="50" t="n">
        <v>35</v>
      </c>
      <c r="O1049" s="53" t="n">
        <v>35</v>
      </c>
      <c r="P1049" s="48" t="s">
        <v>297</v>
      </c>
      <c r="Q1049" s="50" t="n">
        <v>95</v>
      </c>
      <c r="R1049" s="53" t="n">
        <f aca="false">IF(BW1049=1,0,IFERROR(VLOOKUP(BU1049,'Gebinde-Kategorie'!$A$5:$N$45,13,0)+0,0))</f>
        <v>12</v>
      </c>
      <c r="S1049" s="54"/>
      <c r="T1049" s="55"/>
      <c r="U1049" s="55"/>
      <c r="V1049" s="55"/>
      <c r="W1049" s="48"/>
      <c r="X1049" s="50"/>
      <c r="Y1049" s="50"/>
      <c r="Z1049" s="48" t="n">
        <f aca="false">IF(A1049="","",IF(AND(Parameter!$B$21="Ja",ISNUMBER(W1049)),W1049,IF(BZ1049="2+3",IF(ISNUMBER(SEARCH("grosser Artikel",BR1049)),2,IFERROR(VLOOKUP(BU1049,Parameter!$F$35:$G$64,2,0),2)),IF(OR(BZ1049="Nein",BZ1049=""),"-",BZ1049))))</f>
        <v>2</v>
      </c>
      <c r="AA1049" s="55"/>
      <c r="AB1049" s="56"/>
      <c r="AC1049" s="50" t="n">
        <f aca="false">AT1049</f>
        <v>95</v>
      </c>
      <c r="AD1049" s="50" t="n">
        <f aca="false">MAX(AT1049,H1049)</f>
        <v>95</v>
      </c>
      <c r="AE1049" s="57"/>
      <c r="AF1049" s="50" t="n">
        <f aca="false">IF(LEFT(Cockpit!$C$5,1)="A",H1049,IF(CE1049=1,CF1049,IF(LEFT(Cockpit!$C$5,1)="B",AK1049,MAX(AK1049,H1049))))</f>
        <v>15</v>
      </c>
      <c r="AG1049" s="50" t="n">
        <f aca="false">IF(BW1049=1,0,ROUNDUP(AF1049/BV1049,0))</f>
        <v>1</v>
      </c>
      <c r="AH1049" s="52" t="n">
        <f aca="false">IF(CL1049&gt;0,CL1049*MAX(1,AF1049/X1049),IF(BW1049=1,IF(AF1049&lt;=0,0,CA1049*MAX(1,IF(H1049&gt;0,AF1049/H1049,1))),IF(R1049&gt;0,AG1049/R1049,0))/MAX(0.1,N(Parameter!$M$21)))</f>
        <v>0.0833333333333333</v>
      </c>
      <c r="AI1049" s="50" t="n">
        <f aca="false">AH1049*BY1049</f>
        <v>20.4166666666667</v>
      </c>
      <c r="AJ1049" s="50" t="n">
        <f aca="false">AF1049*G1049</f>
        <v>898.5</v>
      </c>
      <c r="AK1049" s="50" t="n">
        <f aca="false">ROUNDUP(MAX(J1049/IF(CD1049&gt;0,CD1049,MAX(0.1,N(Cockpit!$C$6))),CG1049)/BV1049,0)*BV1049</f>
        <v>95</v>
      </c>
      <c r="AL1049" s="51" t="n">
        <f aca="false">IF(AI1049&gt;0,J1049/AI1049,-1)</f>
        <v>1.61632653061225</v>
      </c>
      <c r="AM1049" s="51" t="n">
        <f aca="false">IF(AND(OR(CC1049="L1",CC1049="L23",CC1049="LIFT"),AI1049&gt;0),SUMIFS($AI$7:$AI$1843,$CC$7:$CC$1843,CC1049,$AL$7:$AL$1843,"&gt;"&amp;AL1049)+SUMIFS($AI$7:$AI$1843,$CC$7:$CC$1843,CC1049,$AL$7:$AL$1843,AL1049,$BT$7:$BT$1843,"&lt;="&amp;BT1049),"")</f>
        <v>6161.2760989011</v>
      </c>
      <c r="AN1049" s="58" t="n">
        <f aca="false">IF(AM1049="",0,MAX(0,MIN(1,(IF(CC1049="L1",Parameter!$H$5,IF(CC1049="L23",Parameter!$H$6+Parameter!$H$7,Parameter!$H$5+Parameter!$H$6+Parameter!$H$7))-(AM1049-AI1049))/AI1049)))</f>
        <v>1</v>
      </c>
      <c r="AO1049" s="50" t="n">
        <f aca="false">IF(LEFT(Cockpit!$I$5,1)="A",H1049,IF(CE1049=1,CF1049,IF(LEFT(Cockpit!$I$5,1)="B",AT1049,MAX(AT1049,H1049))))</f>
        <v>95</v>
      </c>
      <c r="AP1049" s="50" t="n">
        <f aca="false">IF(BW1049=1,0,ROUNDUP(AO1049/BV1049,0))</f>
        <v>1</v>
      </c>
      <c r="AQ1049" s="52" t="n">
        <f aca="false">IF(CL1049&gt;0,CL1049*MAX(1,AO1049/X1049),IF(BW1049=1,IF(AO1049&lt;=0,0,CA1049*MAX(1,IF(H1049&gt;0,AO1049/H1049,1))),IF(R1049&gt;0,AP1049/R1049,0))/MAX(0.1,N(Parameter!$M$21)))</f>
        <v>0.0833333333333333</v>
      </c>
      <c r="AR1049" s="50" t="n">
        <f aca="false">AQ1049*BY1049</f>
        <v>20.4166666666667</v>
      </c>
      <c r="AS1049" s="50" t="n">
        <f aca="false">AO1049*G1049</f>
        <v>5690.5</v>
      </c>
      <c r="AT1049" s="50" t="n">
        <f aca="false">ROUNDUP(MAX(J1049/IF(CD1049&gt;0,CD1049,MAX(0.1,N(Cockpit!$I$6))),CG1049)/BV1049,0)*BV1049</f>
        <v>95</v>
      </c>
      <c r="AU1049" s="51" t="n">
        <f aca="false">IF(AR1049&gt;0,J1049/AR1049,-1)</f>
        <v>1.61632653061225</v>
      </c>
      <c r="AV1049" s="51" t="n">
        <f aca="false">IF(AND(OR(CC1049="L1",CC1049="L23",CC1049="LIFT"),AR1049&gt;0),SUMIFS($AR$7:$AR$1843,$CC$7:$CC$1843,CC1049,$AU$7:$AU$1843,"&gt;"&amp;AU1049)+SUMIFS($AR$7:$AR$1843,$CC$7:$CC$1843,CC1049,$AU$7:$AU$1843,AU1049,$BT$7:$BT$1843,"&lt;="&amp;BT1049),"")</f>
        <v>8323.20604395604</v>
      </c>
      <c r="AW1049" s="58" t="n">
        <f aca="false">IF(AV1049="",0,MAX(0,MIN(1,(IF(CC1049="L1",Parameter!$H$5,IF(CC1049="L23",Parameter!$H$6+Parameter!$H$7,Parameter!$H$5+Parameter!$H$6+Parameter!$H$7))-(AV1049-AR1049))/AR1049)))</f>
        <v>1</v>
      </c>
      <c r="AX1049" s="50" t="n">
        <f aca="false">IF(LEFT(Cockpit!$O$5,1)="A",H1049,IF(CE1049=1,CF1049,IF(LEFT(Cockpit!$O$5,1)="B",BC1049,MAX(BC1049,H1049))))</f>
        <v>95</v>
      </c>
      <c r="AY1049" s="50" t="n">
        <f aca="false">IF(BW1049=1,0,ROUNDUP(AX1049/BV1049,0))</f>
        <v>1</v>
      </c>
      <c r="AZ1049" s="52" t="n">
        <f aca="false">IF(CL1049&gt;0,CL1049*MAX(1,AX1049/X1049),IF(BW1049=1,IF(AX1049&lt;=0,0,CA1049*MAX(1,IF(H1049&gt;0,AX1049/H1049,1))),IF(R1049&gt;0,AY1049/R1049,0))/MAX(0.1,N(Parameter!$M$21)))</f>
        <v>0.0833333333333333</v>
      </c>
      <c r="BA1049" s="50" t="n">
        <f aca="false">AZ1049*BY1049</f>
        <v>20.4166666666667</v>
      </c>
      <c r="BB1049" s="50" t="n">
        <f aca="false">AX1049*G1049</f>
        <v>5690.5</v>
      </c>
      <c r="BC1049" s="50" t="n">
        <f aca="false">ROUNDUP(MAX(J1049/IF(CD1049&gt;0,CD1049,MAX(0.1,N(Cockpit!$O$6))),CG1049)/BV1049,0)*BV1049</f>
        <v>95</v>
      </c>
      <c r="BD1049" s="51" t="n">
        <f aca="false">IF(BA1049&gt;0,J1049/BA1049,-1)</f>
        <v>1.61632653061225</v>
      </c>
      <c r="BE1049" s="51" t="n">
        <f aca="false">IF(AND(OR(CC1049="L1",CC1049="L23",CC1049="LIFT"),BA1049&gt;0),SUMIFS($BA$7:$BA$1843,$CC$7:$CC$1843,CC1049,$BD$7:$BD$1843,"&gt;"&amp;BD1049)+SUMIFS($BA$7:$BA$1843,$CC$7:$CC$1843,CC1049,$BD$7:$BD$1843,BD1049,$BT$7:$BT$1843,"&lt;="&amp;BT1049),"")</f>
        <v>8237.6130952381</v>
      </c>
      <c r="BF1049" s="58" t="n">
        <f aca="false">IF(BE1049="",0,MAX(0,MIN(1,(IF(CC1049="L1",Parameter!$H$5,IF(CC1049="L23",Parameter!$H$6+Parameter!$H$7,Parameter!$H$5+Parameter!$H$6+Parameter!$H$7))-(BE1049-BA1049))/BA1049)))</f>
        <v>1</v>
      </c>
      <c r="BG1049" s="48" t="str">
        <f aca="false">IF(AI1049&lt;=0,"",IF(CC1049="Aussen","Aussenlager",IF(CC1049="-","Nicht im Lift",IF(AN1049&gt;=1,"Lift",IF(AN1049&lt;=0,"Aussenlager","teilweise")))))</f>
        <v>Lift</v>
      </c>
      <c r="BH1049" s="48" t="str">
        <f aca="false">IF(AR1049&lt;=0,"",IF(CC1049="Aussen","Aussenlager",IF(CC1049="-","Nicht im Lift",IF(AW1049&gt;=1,"Lift",IF(AW1049&lt;=0,"Aussenlager","teilweise")))))</f>
        <v>Lift</v>
      </c>
      <c r="BI1049" s="48" t="str">
        <f aca="false">IF(BA1049&lt;=0,"",IF(CC1049="Aussen","Aussenlager",IF(CC1049="-","Nicht im Lift",IF(BF1049&gt;=1,"Lift",IF(BF1049&lt;=0,"Aussenlager","teilweise")))))</f>
        <v>Lift</v>
      </c>
      <c r="BJ1049" s="48" t="str">
        <f aca="false">IF(A1049="","",IF(BS1049=1,"Neu; ","")&amp;IF(AND(BS1049=0,BN1049&lt;0),"negativer Bestand (Export "&amp;BN1049&amp;"); ","")&amp;IF(J1049&lt;=0,"Kein Verbrauch; ","")&amp;IF(CL1049&gt;0,"Lift "&amp;W1049&amp;" lt. Liftbericht (Fach "&amp;X1049&amp;" Stk); ",IF(BX1049=1,"Gebinde geschätzt ("&amp;T1049&amp;"); ",IF(BW1049=1,"Lose – Tablare geschätzt; ","")))&amp;IF(H1049&gt;AT1049,"Überbestand "&amp;ROUND(H1049-AT1049,0)&amp;" Stk / CHF "&amp;ROUND((H1049-AT1049)*G1049,0)&amp;"; ","")&amp;IF(AND(CE1049=1,CF1049&lt;CG1049),"MAX &lt; MB+LG; ","")&amp;IF(AND(CK1049&gt;0,CJ1049*10&gt;CK1049),"zu hoch für Tablar; ","")&amp;IF(AND(BS1049=0,OR(CE1049=1,AA1049&lt;&gt;"",U1049&lt;&gt;"",V1049&lt;&gt;"",AB1049&lt;&gt;"")),"manuell übersteuert; ","")&amp;IF(AND(BW1049=0,R1049=0),"Gebinde unbekannt / Stellmass fehlt; ","")&amp;IF(AND(BW1049=0,N(V1049)&lt;=0,N(Q1049)&lt;=0),"Menge pro Gebinde fehlt (Ist = 1 Gebinde); ","")&amp;BR1049)</f>
        <v>negativer Bestand (Export -3); </v>
      </c>
      <c r="BK1049" s="48"/>
      <c r="BL1049" s="48"/>
      <c r="BM1049" s="55"/>
      <c r="BN1049" s="50" t="n">
        <v>-3</v>
      </c>
      <c r="BO1049" s="50" t="n">
        <v>18</v>
      </c>
      <c r="BP1049" s="49" t="n">
        <v>-142.44</v>
      </c>
      <c r="BQ1049" s="50" t="n">
        <v>33</v>
      </c>
      <c r="BR1049" s="48"/>
      <c r="BS1049" s="53" t="n">
        <v>0</v>
      </c>
      <c r="BT1049" s="53" t="n">
        <v>1049</v>
      </c>
      <c r="BU1049" s="48" t="str">
        <f aca="false">IF(U1049&lt;&gt;"",UPPER(TRIM(U1049)),IF(BX1049=1,UPPER(VLOOKUP(T1049,Parameter!$I$27:$K$29,2,0)),IF(P1049="","LOSE",P1049)))</f>
        <v>S62</v>
      </c>
      <c r="BV1049" s="50" t="n">
        <f aca="false">IF(BU1049="LOSE",1,IF(N(V1049)&gt;0,V1049,IF(BX1049=1,MAX(1,N(VLOOKUP(T1049,Parameter!$I$27:$K$29,3,0)),H1049,N(N1049)),IF(N(Q1049)&gt;0,Q1049,MAX(1,H1049)))))</f>
        <v>95</v>
      </c>
      <c r="BW1049" s="53" t="n">
        <f aca="false">IF(BU1049="LOSE",1,0)</f>
        <v>0</v>
      </c>
      <c r="BX1049" s="53" t="n">
        <f aca="false">IF(AND(U1049="",OR(P1049="",P1049="LOSE"),T1049&lt;&gt;"",N(S1049)&lt;=0,ISNUMBER(MATCH(T1049,Parameter!$I$27:$I$29,0))),1,0)</f>
        <v>0</v>
      </c>
      <c r="BY1049" s="53" t="n">
        <f aca="false">IF(CL1049&gt;0,INDEX(Parameter!$H$5:$H$7,W1049)/INDEX(Parameter!$E$5:$E$7,W1049),IF(AND(BW1049=0,N(IFERROR(VLOOKUP(BU1049,'Gebinde-Kategorie'!$A$5:$N$45,14,0),0))&gt;0),VLOOKUP(BU1049,'Gebinde-Kategorie'!$A$5:$N$45,14,0)*10+Parameter!$M$23,Parameter!$M$24))</f>
        <v>245</v>
      </c>
      <c r="BZ1049" s="48" t="str">
        <f aca="false">IF(AND(Parameter!$B$19="Ja",E1049&lt;&gt;"",ISNUMBER(MATCH(E1049,Parameter!$I$35:$I$52,0))),VLOOKUP(E1049,Parameter!$I$35:$J$52,2,0),IFERROR(VLOOKUP(D1049,Parameter!$A$35:$C$64,2,0),"Nein"))</f>
        <v>2+3</v>
      </c>
      <c r="CA1049" s="52" t="n">
        <f aca="false">IF(BW1049=0,0,IF(N(S1049)&gt;0,S1049,IFERROR(VLOOKUP(D1049,Parameter!$A$35:$C$64,3,0)+0,0)))</f>
        <v>0</v>
      </c>
      <c r="CB1049" s="48" t="n">
        <f aca="false">IF(AA1049&lt;&gt;"",AA1049,Z1049)</f>
        <v>2</v>
      </c>
      <c r="CC1049" s="48" t="str">
        <f aca="false">IF(OR(CB1049=1,CB1049=2,CB1049=3),IF(Parameter!$E$27="Ja","LIFT",IF(CB1049=1,"L1","L23")),IF(CB1049="Aussen","Aussen","-"))</f>
        <v>LIFT</v>
      </c>
      <c r="CD1049" s="59" t="n">
        <f aca="false">IF(N(AB1049)&gt;0,AB1049,0)</f>
        <v>0</v>
      </c>
      <c r="CE1049" s="53" t="n">
        <f aca="false">IF(ISNUMBER(AE1049),1,0)</f>
        <v>0</v>
      </c>
      <c r="CF1049" s="50" t="n">
        <f aca="false">N(AE1049)</f>
        <v>0</v>
      </c>
      <c r="CG1049" s="50" t="n">
        <f aca="false">N(M1049)+N(N1049)</f>
        <v>38</v>
      </c>
      <c r="CH1049" s="50" t="n">
        <f aca="false">ROUNDUP(H1049/BV1049,0)</f>
        <v>1</v>
      </c>
      <c r="CI1049" s="50" t="n">
        <f aca="false">ROUNDUP(CF1049/BV1049,0)</f>
        <v>0</v>
      </c>
      <c r="CJ1049" s="53" t="n">
        <f aca="false">IF(BW1049=1,0,IFERROR(VLOOKUP(BU1049,'Gebinde-Kategorie'!$A$5:$N$45,5,0)+0,0))</f>
        <v>21</v>
      </c>
      <c r="CK1049" s="53" t="n">
        <f aca="false">IFERROR(IF(OR(CB1049=1,CB1049=2,CB1049=3),N(INDEX(Parameter!$I$5:$I$7,CB1049)),0),0)</f>
        <v>0</v>
      </c>
      <c r="CL1049" s="52" t="n">
        <f aca="false">IF(AND(Parameter!$B$21="Ja",ISNUMBER(W1049),N(X1049)&gt;0),IFERROR(N(INDEX(Parameter!$L$5:$L$7,W1049))*INDEX(Parameter!$E$5:$E$7,W1049)*X1049/SUMIFS($X$7:$X$1843,$W$7:$W$1843,W1049),0),0)</f>
        <v>0</v>
      </c>
    </row>
    <row r="1050" customFormat="false" ht="15" hidden="false" customHeight="false" outlineLevel="0" collapsed="false">
      <c r="A1050" s="48" t="s">
        <v>1927</v>
      </c>
      <c r="B1050" s="48" t="s">
        <v>371</v>
      </c>
      <c r="C1050" s="48" t="s">
        <v>460</v>
      </c>
      <c r="D1050" s="48" t="s">
        <v>188</v>
      </c>
      <c r="E1050" s="48"/>
      <c r="F1050" s="48" t="s">
        <v>222</v>
      </c>
      <c r="G1050" s="49" t="n">
        <v>14.31</v>
      </c>
      <c r="H1050" s="50" t="n">
        <f aca="false">MAX(0,IF(AND(Parameter!$B$21="Ja",ISNUMBER(Y1050)),Y1050,IF(Parameter!$B$20="Jahresanfang 2025 + Export",BO1050+BN1050,BN1050)))</f>
        <v>0</v>
      </c>
      <c r="I1050" s="50" t="n">
        <f aca="false">H1050*G1050</f>
        <v>0</v>
      </c>
      <c r="J1050" s="50" t="n">
        <f aca="false">BQ1050*Parameter!$B$18</f>
        <v>10</v>
      </c>
      <c r="K1050" s="51" t="n">
        <v>5</v>
      </c>
      <c r="L1050" s="52" t="n">
        <v>2</v>
      </c>
      <c r="M1050" s="50" t="n">
        <v>0</v>
      </c>
      <c r="N1050" s="50" t="n">
        <v>10</v>
      </c>
      <c r="O1050" s="53" t="n">
        <v>28</v>
      </c>
      <c r="P1050" s="48" t="s">
        <v>172</v>
      </c>
      <c r="Q1050" s="50"/>
      <c r="R1050" s="53" t="n">
        <f aca="false">IF(BW1050=1,0,IFERROR(VLOOKUP(BU1050,'Gebinde-Kategorie'!$A$5:$N$45,13,0)+0,0))</f>
        <v>4</v>
      </c>
      <c r="S1050" s="54"/>
      <c r="T1050" s="55" t="s">
        <v>193</v>
      </c>
      <c r="U1050" s="55"/>
      <c r="V1050" s="55"/>
      <c r="W1050" s="48"/>
      <c r="X1050" s="50"/>
      <c r="Y1050" s="50"/>
      <c r="Z1050" s="48" t="n">
        <f aca="false">IF(A1050="","",IF(AND(Parameter!$B$21="Ja",ISNUMBER(W1050)),W1050,IF(BZ1050="2+3",IF(ISNUMBER(SEARCH("grosser Artikel",BR1050)),2,IFERROR(VLOOKUP(BU1050,Parameter!$F$35:$G$64,2,0),2)),IF(OR(BZ1050="Nein",BZ1050=""),"-",BZ1050))))</f>
        <v>2</v>
      </c>
      <c r="AA1050" s="55"/>
      <c r="AB1050" s="56"/>
      <c r="AC1050" s="50" t="n">
        <f aca="false">AT1050</f>
        <v>10</v>
      </c>
      <c r="AD1050" s="50" t="n">
        <f aca="false">MAX(AT1050,H1050)</f>
        <v>10</v>
      </c>
      <c r="AE1050" s="57"/>
      <c r="AF1050" s="50" t="n">
        <f aca="false">IF(LEFT(Cockpit!$C$5,1)="A",H1050,IF(CE1050=1,CF1050,IF(LEFT(Cockpit!$C$5,1)="B",AK1050,MAX(AK1050,H1050))))</f>
        <v>0</v>
      </c>
      <c r="AG1050" s="50" t="n">
        <f aca="false">IF(BW1050=1,0,ROUNDUP(AF1050/BV1050,0))</f>
        <v>0</v>
      </c>
      <c r="AH1050" s="52" t="n">
        <f aca="false">IF(CL1050&gt;0,CL1050*MAX(1,AF1050/X1050),IF(BW1050=1,IF(AF1050&lt;=0,0,CA1050*MAX(1,IF(H1050&gt;0,AF1050/H1050,1))),IF(R1050&gt;0,AG1050/R1050,0))/MAX(0.1,N(Parameter!$M$21)))</f>
        <v>0</v>
      </c>
      <c r="AI1050" s="50" t="n">
        <f aca="false">AH1050*BY1050</f>
        <v>0</v>
      </c>
      <c r="AJ1050" s="50" t="n">
        <f aca="false">AF1050*G1050</f>
        <v>0</v>
      </c>
      <c r="AK1050" s="50" t="n">
        <f aca="false">ROUNDUP(MAX(J1050/IF(CD1050&gt;0,CD1050,MAX(0.1,N(Cockpit!$C$6))),CG1050)/BV1050,0)*BV1050</f>
        <v>10</v>
      </c>
      <c r="AL1050" s="51" t="n">
        <f aca="false">IF(AI1050&gt;0,J1050/AI1050,-1)</f>
        <v>-1</v>
      </c>
      <c r="AM1050" s="51" t="str">
        <f aca="false">IF(AND(OR(CC1050="L1",CC1050="L23",CC1050="LIFT"),AI1050&gt;0),SUMIFS($AI$7:$AI$1843,$CC$7:$CC$1843,CC1050,$AL$7:$AL$1843,"&gt;"&amp;AL1050)+SUMIFS($AI$7:$AI$1843,$CC$7:$CC$1843,CC1050,$AL$7:$AL$1843,AL1050,$BT$7:$BT$1843,"&lt;="&amp;BT1050),"")</f>
        <v/>
      </c>
      <c r="AN1050" s="58" t="n">
        <f aca="false">IF(AM1050="",0,MAX(0,MIN(1,(IF(CC1050="L1",Parameter!$H$5,IF(CC1050="L23",Parameter!$H$6+Parameter!$H$7,Parameter!$H$5+Parameter!$H$6+Parameter!$H$7))-(AM1050-AI1050))/AI1050)))</f>
        <v>0</v>
      </c>
      <c r="AO1050" s="50" t="n">
        <f aca="false">IF(LEFT(Cockpit!$I$5,1)="A",H1050,IF(CE1050=1,CF1050,IF(LEFT(Cockpit!$I$5,1)="B",AT1050,MAX(AT1050,H1050))))</f>
        <v>10</v>
      </c>
      <c r="AP1050" s="50" t="n">
        <f aca="false">IF(BW1050=1,0,ROUNDUP(AO1050/BV1050,0))</f>
        <v>1</v>
      </c>
      <c r="AQ1050" s="52" t="n">
        <f aca="false">IF(CL1050&gt;0,CL1050*MAX(1,AO1050/X1050),IF(BW1050=1,IF(AO1050&lt;=0,0,CA1050*MAX(1,IF(H1050&gt;0,AO1050/H1050,1))),IF(R1050&gt;0,AP1050/R1050,0))/MAX(0.1,N(Parameter!$M$21)))</f>
        <v>0.25</v>
      </c>
      <c r="AR1050" s="50" t="n">
        <f aca="false">AQ1050*BY1050</f>
        <v>58.75</v>
      </c>
      <c r="AS1050" s="50" t="n">
        <f aca="false">AO1050*G1050</f>
        <v>143.1</v>
      </c>
      <c r="AT1050" s="50" t="n">
        <f aca="false">ROUNDUP(MAX(J1050/IF(CD1050&gt;0,CD1050,MAX(0.1,N(Cockpit!$I$6))),CG1050)/BV1050,0)*BV1050</f>
        <v>10</v>
      </c>
      <c r="AU1050" s="51" t="n">
        <f aca="false">IF(AR1050&gt;0,J1050/AR1050,-1)</f>
        <v>0.170212765957447</v>
      </c>
      <c r="AV1050" s="51" t="n">
        <f aca="false">IF(AND(OR(CC1050="L1",CC1050="L23",CC1050="LIFT"),AR1050&gt;0),SUMIFS($AR$7:$AR$1843,$CC$7:$CC$1843,CC1050,$AU$7:$AU$1843,"&gt;"&amp;AU1050)+SUMIFS($AR$7:$AR$1843,$CC$7:$CC$1843,CC1050,$AU$7:$AU$1843,AU1050,$BT$7:$BT$1843,"&lt;="&amp;BT1050),"")</f>
        <v>19248.8850732601</v>
      </c>
      <c r="AW1050" s="58" t="n">
        <f aca="false">IF(AV1050="",0,MAX(0,MIN(1,(IF(CC1050="L1",Parameter!$H$5,IF(CC1050="L23",Parameter!$H$6+Parameter!$H$7,Parameter!$H$5+Parameter!$H$6+Parameter!$H$7))-(AV1050-AR1050))/AR1050)))</f>
        <v>1</v>
      </c>
      <c r="AX1050" s="50" t="n">
        <f aca="false">IF(LEFT(Cockpit!$O$5,1)="A",H1050,IF(CE1050=1,CF1050,IF(LEFT(Cockpit!$O$5,1)="B",BC1050,MAX(BC1050,H1050))))</f>
        <v>10</v>
      </c>
      <c r="AY1050" s="50" t="n">
        <f aca="false">IF(BW1050=1,0,ROUNDUP(AX1050/BV1050,0))</f>
        <v>1</v>
      </c>
      <c r="AZ1050" s="52" t="n">
        <f aca="false">IF(CL1050&gt;0,CL1050*MAX(1,AX1050/X1050),IF(BW1050=1,IF(AX1050&lt;=0,0,CA1050*MAX(1,IF(H1050&gt;0,AX1050/H1050,1))),IF(R1050&gt;0,AY1050/R1050,0))/MAX(0.1,N(Parameter!$M$21)))</f>
        <v>0.25</v>
      </c>
      <c r="BA1050" s="50" t="n">
        <f aca="false">AZ1050*BY1050</f>
        <v>58.75</v>
      </c>
      <c r="BB1050" s="50" t="n">
        <f aca="false">AX1050*G1050</f>
        <v>143.1</v>
      </c>
      <c r="BC1050" s="50" t="n">
        <f aca="false">ROUNDUP(MAX(J1050/IF(CD1050&gt;0,CD1050,MAX(0.1,N(Cockpit!$O$6))),CG1050)/BV1050,0)*BV1050</f>
        <v>10</v>
      </c>
      <c r="BD1050" s="51" t="n">
        <f aca="false">IF(BA1050&gt;0,J1050/BA1050,-1)</f>
        <v>0.170212765957447</v>
      </c>
      <c r="BE1050" s="51" t="n">
        <f aca="false">IF(AND(OR(CC1050="L1",CC1050="L23",CC1050="LIFT"),BA1050&gt;0),SUMIFS($BA$7:$BA$1843,$CC$7:$CC$1843,CC1050,$BD$7:$BD$1843,"&gt;"&amp;BD1050)+SUMIFS($BA$7:$BA$1843,$CC$7:$CC$1843,CC1050,$BD$7:$BD$1843,BD1050,$BT$7:$BT$1843,"&lt;="&amp;BT1050),"")</f>
        <v>17274.9587912088</v>
      </c>
      <c r="BF1050" s="58" t="n">
        <f aca="false">IF(BE1050="",0,MAX(0,MIN(1,(IF(CC1050="L1",Parameter!$H$5,IF(CC1050="L23",Parameter!$H$6+Parameter!$H$7,Parameter!$H$5+Parameter!$H$6+Parameter!$H$7))-(BE1050-BA1050))/BA1050)))</f>
        <v>1</v>
      </c>
      <c r="BG1050" s="48" t="str">
        <f aca="false">IF(AI1050&lt;=0,"",IF(CC1050="Aussen","Aussenlager",IF(CC1050="-","Nicht im Lift",IF(AN1050&gt;=1,"Lift",IF(AN1050&lt;=0,"Aussenlager","teilweise")))))</f>
        <v/>
      </c>
      <c r="BH1050" s="48" t="str">
        <f aca="false">IF(AR1050&lt;=0,"",IF(CC1050="Aussen","Aussenlager",IF(CC1050="-","Nicht im Lift",IF(AW1050&gt;=1,"Lift",IF(AW1050&lt;=0,"Aussenlager","teilweise")))))</f>
        <v>Lift</v>
      </c>
      <c r="BI1050" s="48" t="str">
        <f aca="false">IF(BA1050&lt;=0,"",IF(CC1050="Aussen","Aussenlager",IF(CC1050="-","Nicht im Lift",IF(BF1050&gt;=1,"Lift",IF(BF1050&lt;=0,"Aussenlager","teilweise")))))</f>
        <v>Lift</v>
      </c>
      <c r="BJ1050" s="48" t="str">
        <f aca="false">IF(A1050="","",IF(BS1050=1,"Neu; ","")&amp;IF(AND(BS1050=0,BN1050&lt;0),"negativer Bestand (Export "&amp;BN1050&amp;"); ","")&amp;IF(J1050&lt;=0,"Kein Verbrauch; ","")&amp;IF(CL1050&gt;0,"Lift "&amp;W1050&amp;" lt. Liftbericht (Fach "&amp;X1050&amp;" Stk); ",IF(BX1050=1,"Gebinde geschätzt ("&amp;T1050&amp;"); ",IF(BW1050=1,"Lose – Tablare geschätzt; ","")))&amp;IF(H1050&gt;AT1050,"Überbestand "&amp;ROUND(H1050-AT1050,0)&amp;" Stk / CHF "&amp;ROUND((H1050-AT1050)*G1050,0)&amp;"; ","")&amp;IF(AND(CE1050=1,CF1050&lt;CG1050),"MAX &lt; MB+LG; ","")&amp;IF(AND(CK1050&gt;0,CJ1050*10&gt;CK1050),"zu hoch für Tablar; ","")&amp;IF(AND(BS1050=0,OR(CE1050=1,AA1050&lt;&gt;"",U1050&lt;&gt;"",V1050&lt;&gt;"",AB1050&lt;&gt;"")),"manuell übersteuert; ","")&amp;IF(AND(BW1050=0,R1050=0),"Gebinde unbekannt / Stellmass fehlt; ","")&amp;IF(AND(BW1050=0,N(V1050)&lt;=0,N(Q1050)&lt;=0),"Menge pro Gebinde fehlt (Ist = 1 Gebinde); ","")&amp;BR1050)</f>
        <v>negativer Bestand (Export -10); Gebinde geschätzt (Gross); Menge pro Gebinde fehlt (Ist = 1 Gebinde); </v>
      </c>
      <c r="BK1050" s="48"/>
      <c r="BL1050" s="48"/>
      <c r="BM1050" s="55"/>
      <c r="BN1050" s="50" t="n">
        <v>-10</v>
      </c>
      <c r="BO1050" s="50" t="n">
        <v>10</v>
      </c>
      <c r="BP1050" s="49" t="n">
        <v>-143.1</v>
      </c>
      <c r="BQ1050" s="50" t="n">
        <v>10</v>
      </c>
      <c r="BR1050" s="48"/>
      <c r="BS1050" s="53" t="n">
        <v>0</v>
      </c>
      <c r="BT1050" s="53" t="n">
        <v>1050</v>
      </c>
      <c r="BU1050" s="48" t="str">
        <f aca="false">IF(U1050&lt;&gt;"",UPPER(TRIM(U1050)),IF(BX1050=1,UPPER(VLOOKUP(T1050,Parameter!$I$27:$K$29,2,0)),IF(P1050="","LOSE",P1050)))</f>
        <v>S81</v>
      </c>
      <c r="BV1050" s="50" t="n">
        <f aca="false">IF(BU1050="LOSE",1,IF(N(V1050)&gt;0,V1050,IF(BX1050=1,MAX(1,N(VLOOKUP(T1050,Parameter!$I$27:$K$29,3,0)),H1050,N(N1050)),IF(N(Q1050)&gt;0,Q1050,MAX(1,H1050)))))</f>
        <v>10</v>
      </c>
      <c r="BW1050" s="53" t="n">
        <f aca="false">IF(BU1050="LOSE",1,0)</f>
        <v>0</v>
      </c>
      <c r="BX1050" s="53" t="n">
        <f aca="false">IF(AND(U1050="",OR(P1050="",P1050="LOSE"),T1050&lt;&gt;"",N(S1050)&lt;=0,ISNUMBER(MATCH(T1050,Parameter!$I$27:$I$29,0))),1,0)</f>
        <v>1</v>
      </c>
      <c r="BY1050" s="53" t="n">
        <f aca="false">IF(CL1050&gt;0,INDEX(Parameter!$H$5:$H$7,W1050)/INDEX(Parameter!$E$5:$E$7,W1050),IF(AND(BW1050=0,N(IFERROR(VLOOKUP(BU1050,'Gebinde-Kategorie'!$A$5:$N$45,14,0),0))&gt;0),VLOOKUP(BU1050,'Gebinde-Kategorie'!$A$5:$N$45,14,0)*10+Parameter!$M$23,Parameter!$M$24))</f>
        <v>235</v>
      </c>
      <c r="BZ1050" s="48" t="str">
        <f aca="false">IF(AND(Parameter!$B$19="Ja",E1050&lt;&gt;"",ISNUMBER(MATCH(E1050,Parameter!$I$35:$I$52,0))),VLOOKUP(E1050,Parameter!$I$35:$J$52,2,0),IFERROR(VLOOKUP(D1050,Parameter!$A$35:$C$64,2,0),"Nein"))</f>
        <v>2+3</v>
      </c>
      <c r="CA1050" s="52" t="n">
        <f aca="false">IF(BW1050=0,0,IF(N(S1050)&gt;0,S1050,IFERROR(VLOOKUP(D1050,Parameter!$A$35:$C$64,3,0)+0,0)))</f>
        <v>0</v>
      </c>
      <c r="CB1050" s="48" t="n">
        <f aca="false">IF(AA1050&lt;&gt;"",AA1050,Z1050)</f>
        <v>2</v>
      </c>
      <c r="CC1050" s="48" t="str">
        <f aca="false">IF(OR(CB1050=1,CB1050=2,CB1050=3),IF(Parameter!$E$27="Ja","LIFT",IF(CB1050=1,"L1","L23")),IF(CB1050="Aussen","Aussen","-"))</f>
        <v>LIFT</v>
      </c>
      <c r="CD1050" s="59" t="n">
        <f aca="false">IF(N(AB1050)&gt;0,AB1050,0)</f>
        <v>0</v>
      </c>
      <c r="CE1050" s="53" t="n">
        <f aca="false">IF(ISNUMBER(AE1050),1,0)</f>
        <v>0</v>
      </c>
      <c r="CF1050" s="50" t="n">
        <f aca="false">N(AE1050)</f>
        <v>0</v>
      </c>
      <c r="CG1050" s="50" t="n">
        <f aca="false">N(M1050)+N(N1050)</f>
        <v>10</v>
      </c>
      <c r="CH1050" s="50" t="n">
        <f aca="false">ROUNDUP(H1050/BV1050,0)</f>
        <v>0</v>
      </c>
      <c r="CI1050" s="50" t="n">
        <f aca="false">ROUNDUP(CF1050/BV1050,0)</f>
        <v>0</v>
      </c>
      <c r="CJ1050" s="53" t="n">
        <f aca="false">IF(BW1050=1,0,IFERROR(VLOOKUP(BU1050,'Gebinde-Kategorie'!$A$5:$N$45,5,0)+0,0))</f>
        <v>20</v>
      </c>
      <c r="CK1050" s="53" t="n">
        <f aca="false">IFERROR(IF(OR(CB1050=1,CB1050=2,CB1050=3),N(INDEX(Parameter!$I$5:$I$7,CB1050)),0),0)</f>
        <v>0</v>
      </c>
      <c r="CL1050" s="52" t="n">
        <f aca="false">IF(AND(Parameter!$B$21="Ja",ISNUMBER(W1050),N(X1050)&gt;0),IFERROR(N(INDEX(Parameter!$L$5:$L$7,W1050))*INDEX(Parameter!$E$5:$E$7,W1050)*X1050/SUMIFS($X$7:$X$1843,$W$7:$W$1843,W1050),0),0)</f>
        <v>0</v>
      </c>
    </row>
    <row r="1051" customFormat="false" ht="15" hidden="false" customHeight="false" outlineLevel="0" collapsed="false">
      <c r="A1051" s="48" t="s">
        <v>1928</v>
      </c>
      <c r="B1051" s="48" t="s">
        <v>759</v>
      </c>
      <c r="C1051" s="48" t="s">
        <v>168</v>
      </c>
      <c r="D1051" s="48" t="s">
        <v>188</v>
      </c>
      <c r="E1051" s="48"/>
      <c r="F1051" s="48" t="s">
        <v>222</v>
      </c>
      <c r="G1051" s="49" t="n">
        <v>144.89</v>
      </c>
      <c r="H1051" s="50" t="n">
        <f aca="false">MAX(0,IF(AND(Parameter!$B$21="Ja",ISNUMBER(Y1051)),Y1051,IF(Parameter!$B$20="Jahresanfang 2025 + Export",BO1051+BN1051,BN1051)))</f>
        <v>8</v>
      </c>
      <c r="I1051" s="50" t="n">
        <f aca="false">H1051*G1051</f>
        <v>1159.12</v>
      </c>
      <c r="J1051" s="50" t="n">
        <f aca="false">BQ1051*Parameter!$B$18</f>
        <v>0</v>
      </c>
      <c r="K1051" s="51" t="n">
        <v>9</v>
      </c>
      <c r="L1051" s="52" t="n">
        <v>0</v>
      </c>
      <c r="M1051" s="50" t="n">
        <v>0</v>
      </c>
      <c r="N1051" s="50" t="n">
        <v>1</v>
      </c>
      <c r="O1051" s="53" t="n">
        <v>35</v>
      </c>
      <c r="P1051" s="48" t="s">
        <v>430</v>
      </c>
      <c r="Q1051" s="50" t="n">
        <v>9</v>
      </c>
      <c r="R1051" s="53" t="n">
        <f aca="false">IF(BW1051=1,0,IFERROR(VLOOKUP(BU1051,'Gebinde-Kategorie'!$A$5:$N$45,13,0)+0,0))</f>
        <v>140</v>
      </c>
      <c r="S1051" s="54"/>
      <c r="T1051" s="55"/>
      <c r="U1051" s="55"/>
      <c r="V1051" s="55"/>
      <c r="W1051" s="48"/>
      <c r="X1051" s="50"/>
      <c r="Y1051" s="50"/>
      <c r="Z1051" s="48" t="n">
        <f aca="false">IF(A1051="","",IF(AND(Parameter!$B$21="Ja",ISNUMBER(W1051)),W1051,IF(BZ1051="2+3",IF(ISNUMBER(SEARCH("grosser Artikel",BR1051)),2,IFERROR(VLOOKUP(BU1051,Parameter!$F$35:$G$64,2,0),2)),IF(OR(BZ1051="Nein",BZ1051=""),"-",BZ1051))))</f>
        <v>3</v>
      </c>
      <c r="AA1051" s="55"/>
      <c r="AB1051" s="56"/>
      <c r="AC1051" s="50" t="n">
        <f aca="false">AT1051</f>
        <v>9</v>
      </c>
      <c r="AD1051" s="50" t="n">
        <f aca="false">MAX(AT1051,H1051)</f>
        <v>9</v>
      </c>
      <c r="AE1051" s="57"/>
      <c r="AF1051" s="50" t="n">
        <f aca="false">IF(LEFT(Cockpit!$C$5,1)="A",H1051,IF(CE1051=1,CF1051,IF(LEFT(Cockpit!$C$5,1)="B",AK1051,MAX(AK1051,H1051))))</f>
        <v>8</v>
      </c>
      <c r="AG1051" s="50" t="n">
        <f aca="false">IF(BW1051=1,0,ROUNDUP(AF1051/BV1051,0))</f>
        <v>1</v>
      </c>
      <c r="AH1051" s="52" t="n">
        <f aca="false">IF(CL1051&gt;0,CL1051*MAX(1,AF1051/X1051),IF(BW1051=1,IF(AF1051&lt;=0,0,CA1051*MAX(1,IF(H1051&gt;0,AF1051/H1051,1))),IF(R1051&gt;0,AG1051/R1051,0))/MAX(0.1,N(Parameter!$M$21)))</f>
        <v>0.00714285714285714</v>
      </c>
      <c r="AI1051" s="50" t="n">
        <f aca="false">AH1051*BY1051</f>
        <v>1.10714285714286</v>
      </c>
      <c r="AJ1051" s="50" t="n">
        <f aca="false">AF1051*G1051</f>
        <v>1159.12</v>
      </c>
      <c r="AK1051" s="50" t="n">
        <f aca="false">ROUNDUP(MAX(J1051/IF(CD1051&gt;0,CD1051,MAX(0.1,N(Cockpit!$C$6))),CG1051)/BV1051,0)*BV1051</f>
        <v>9</v>
      </c>
      <c r="AL1051" s="51" t="n">
        <f aca="false">IF(AI1051&gt;0,J1051/AI1051,-1)</f>
        <v>0</v>
      </c>
      <c r="AM1051" s="51" t="n">
        <f aca="false">IF(AND(OR(CC1051="L1",CC1051="L23",CC1051="LIFT"),AI1051&gt;0),SUMIFS($AI$7:$AI$1843,$CC$7:$CC$1843,CC1051,$AL$7:$AL$1843,"&gt;"&amp;AL1051)+SUMIFS($AI$7:$AI$1843,$CC$7:$CC$1843,CC1051,$AL$7:$AL$1843,AL1051,$BT$7:$BT$1843,"&lt;="&amp;BT1051),"")</f>
        <v>29070.3756260218</v>
      </c>
      <c r="AN1051" s="58" t="n">
        <f aca="false">IF(AM1051="",0,MAX(0,MIN(1,(IF(CC1051="L1",Parameter!$H$5,IF(CC1051="L23",Parameter!$H$6+Parameter!$H$7,Parameter!$H$5+Parameter!$H$6+Parameter!$H$7))-(AM1051-AI1051))/AI1051)))</f>
        <v>1</v>
      </c>
      <c r="AO1051" s="50" t="n">
        <f aca="false">IF(LEFT(Cockpit!$I$5,1)="A",H1051,IF(CE1051=1,CF1051,IF(LEFT(Cockpit!$I$5,1)="B",AT1051,MAX(AT1051,H1051))))</f>
        <v>9</v>
      </c>
      <c r="AP1051" s="50" t="n">
        <f aca="false">IF(BW1051=1,0,ROUNDUP(AO1051/BV1051,0))</f>
        <v>1</v>
      </c>
      <c r="AQ1051" s="52" t="n">
        <f aca="false">IF(CL1051&gt;0,CL1051*MAX(1,AO1051/X1051),IF(BW1051=1,IF(AO1051&lt;=0,0,CA1051*MAX(1,IF(H1051&gt;0,AO1051/H1051,1))),IF(R1051&gt;0,AP1051/R1051,0))/MAX(0.1,N(Parameter!$M$21)))</f>
        <v>0.00714285714285714</v>
      </c>
      <c r="AR1051" s="50" t="n">
        <f aca="false">AQ1051*BY1051</f>
        <v>1.10714285714286</v>
      </c>
      <c r="AS1051" s="50" t="n">
        <f aca="false">AO1051*G1051</f>
        <v>1304.01</v>
      </c>
      <c r="AT1051" s="50" t="n">
        <f aca="false">ROUNDUP(MAX(J1051/IF(CD1051&gt;0,CD1051,MAX(0.1,N(Cockpit!$I$6))),CG1051)/BV1051,0)*BV1051</f>
        <v>9</v>
      </c>
      <c r="AU1051" s="51" t="n">
        <f aca="false">IF(AR1051&gt;0,J1051/AR1051,-1)</f>
        <v>0</v>
      </c>
      <c r="AV1051" s="51" t="n">
        <f aca="false">IF(AND(OR(CC1051="L1",CC1051="L23",CC1051="LIFT"),AR1051&gt;0),SUMIFS($AR$7:$AR$1843,$CC$7:$CC$1843,CC1051,$AU$7:$AU$1843,"&gt;"&amp;AU1051)+SUMIFS($AR$7:$AR$1843,$CC$7:$CC$1843,CC1051,$AU$7:$AU$1843,AU1051,$BT$7:$BT$1843,"&lt;="&amp;BT1051),"")</f>
        <v>40739.0196964053</v>
      </c>
      <c r="AW1051" s="58" t="n">
        <f aca="false">IF(AV1051="",0,MAX(0,MIN(1,(IF(CC1051="L1",Parameter!$H$5,IF(CC1051="L23",Parameter!$H$6+Parameter!$H$7,Parameter!$H$5+Parameter!$H$6+Parameter!$H$7))-(AV1051-AR1051))/AR1051)))</f>
        <v>0</v>
      </c>
      <c r="AX1051" s="50" t="n">
        <f aca="false">IF(LEFT(Cockpit!$O$5,1)="A",H1051,IF(CE1051=1,CF1051,IF(LEFT(Cockpit!$O$5,1)="B",BC1051,MAX(BC1051,H1051))))</f>
        <v>9</v>
      </c>
      <c r="AY1051" s="50" t="n">
        <f aca="false">IF(BW1051=1,0,ROUNDUP(AX1051/BV1051,0))</f>
        <v>1</v>
      </c>
      <c r="AZ1051" s="52" t="n">
        <f aca="false">IF(CL1051&gt;0,CL1051*MAX(1,AX1051/X1051),IF(BW1051=1,IF(AX1051&lt;=0,0,CA1051*MAX(1,IF(H1051&gt;0,AX1051/H1051,1))),IF(R1051&gt;0,AY1051/R1051,0))/MAX(0.1,N(Parameter!$M$21)))</f>
        <v>0.00714285714285714</v>
      </c>
      <c r="BA1051" s="50" t="n">
        <f aca="false">AZ1051*BY1051</f>
        <v>1.10714285714286</v>
      </c>
      <c r="BB1051" s="50" t="n">
        <f aca="false">AX1051*G1051</f>
        <v>1304.01</v>
      </c>
      <c r="BC1051" s="50" t="n">
        <f aca="false">ROUNDUP(MAX(J1051/IF(CD1051&gt;0,CD1051,MAX(0.1,N(Cockpit!$O$6))),CG1051)/BV1051,0)*BV1051</f>
        <v>9</v>
      </c>
      <c r="BD1051" s="51" t="n">
        <f aca="false">IF(BA1051&gt;0,J1051/BA1051,-1)</f>
        <v>0</v>
      </c>
      <c r="BE1051" s="51" t="n">
        <f aca="false">IF(AND(OR(CC1051="L1",CC1051="L23",CC1051="LIFT"),BA1051&gt;0),SUMIFS($BA$7:$BA$1843,$CC$7:$CC$1843,CC1051,$BD$7:$BD$1843,"&gt;"&amp;BD1051)+SUMIFS($BA$7:$BA$1843,$CC$7:$CC$1843,CC1051,$BD$7:$BD$1843,BD1051,$BT$7:$BT$1843,"&lt;="&amp;BT1051),"")</f>
        <v>37414.0317382712</v>
      </c>
      <c r="BF1051" s="58" t="n">
        <f aca="false">IF(BE1051="",0,MAX(0,MIN(1,(IF(CC1051="L1",Parameter!$H$5,IF(CC1051="L23",Parameter!$H$6+Parameter!$H$7,Parameter!$H$5+Parameter!$H$6+Parameter!$H$7))-(BE1051-BA1051))/BA1051)))</f>
        <v>0</v>
      </c>
      <c r="BG1051" s="48" t="str">
        <f aca="false">IF(AI1051&lt;=0,"",IF(CC1051="Aussen","Aussenlager",IF(CC1051="-","Nicht im Lift",IF(AN1051&gt;=1,"Lift",IF(AN1051&lt;=0,"Aussenlager","teilweise")))))</f>
        <v>Lift</v>
      </c>
      <c r="BH1051" s="48" t="str">
        <f aca="false">IF(AR1051&lt;=0,"",IF(CC1051="Aussen","Aussenlager",IF(CC1051="-","Nicht im Lift",IF(AW1051&gt;=1,"Lift",IF(AW1051&lt;=0,"Aussenlager","teilweise")))))</f>
        <v>Aussenlager</v>
      </c>
      <c r="BI1051" s="48" t="str">
        <f aca="false">IF(BA1051&lt;=0,"",IF(CC1051="Aussen","Aussenlager",IF(CC1051="-","Nicht im Lift",IF(BF1051&gt;=1,"Lift",IF(BF1051&lt;=0,"Aussenlager","teilweise")))))</f>
        <v>Aussenlager</v>
      </c>
      <c r="BJ1051" s="48" t="str">
        <f aca="false">IF(A1051="","",IF(BS1051=1,"Neu; ","")&amp;IF(AND(BS1051=0,BN1051&lt;0),"negativer Bestand (Export "&amp;BN1051&amp;"); ","")&amp;IF(J1051&lt;=0,"Kein Verbrauch; ","")&amp;IF(CL1051&gt;0,"Lift "&amp;W1051&amp;" lt. Liftbericht (Fach "&amp;X1051&amp;" Stk); ",IF(BX1051=1,"Gebinde geschätzt ("&amp;T1051&amp;"); ",IF(BW1051=1,"Lose – Tablare geschätzt; ","")))&amp;IF(H1051&gt;AT1051,"Überbestand "&amp;ROUND(H1051-AT1051,0)&amp;" Stk / CHF "&amp;ROUND((H1051-AT1051)*G1051,0)&amp;"; ","")&amp;IF(AND(CE1051=1,CF1051&lt;CG1051),"MAX &lt; MB+LG; ","")&amp;IF(AND(CK1051&gt;0,CJ1051*10&gt;CK1051),"zu hoch für Tablar; ","")&amp;IF(AND(BS1051=0,OR(CE1051=1,AA1051&lt;&gt;"",U1051&lt;&gt;"",V1051&lt;&gt;"",AB1051&lt;&gt;"")),"manuell übersteuert; ","")&amp;IF(AND(BW1051=0,R1051=0),"Gebinde unbekannt / Stellmass fehlt; ","")&amp;IF(AND(BW1051=0,N(V1051)&lt;=0,N(Q1051)&lt;=0),"Menge pro Gebinde fehlt (Ist = 1 Gebinde); ","")&amp;BR1051)</f>
        <v>negativer Bestand (Export -1); Kein Verbrauch; </v>
      </c>
      <c r="BK1051" s="48"/>
      <c r="BL1051" s="48"/>
      <c r="BM1051" s="55"/>
      <c r="BN1051" s="50" t="n">
        <v>-1</v>
      </c>
      <c r="BO1051" s="50" t="n">
        <v>9</v>
      </c>
      <c r="BP1051" s="49" t="n">
        <v>-144.89</v>
      </c>
      <c r="BQ1051" s="50" t="n">
        <v>0</v>
      </c>
      <c r="BR1051" s="48"/>
      <c r="BS1051" s="53" t="n">
        <v>0</v>
      </c>
      <c r="BT1051" s="53" t="n">
        <v>1051</v>
      </c>
      <c r="BU1051" s="48" t="str">
        <f aca="false">IF(U1051&lt;&gt;"",UPPER(TRIM(U1051)),IF(BX1051=1,UPPER(VLOOKUP(T1051,Parameter!$I$27:$K$29,2,0)),IF(P1051="","LOSE",P1051)))</f>
        <v>S22</v>
      </c>
      <c r="BV1051" s="50" t="n">
        <f aca="false">IF(BU1051="LOSE",1,IF(N(V1051)&gt;0,V1051,IF(BX1051=1,MAX(1,N(VLOOKUP(T1051,Parameter!$I$27:$K$29,3,0)),H1051,N(N1051)),IF(N(Q1051)&gt;0,Q1051,MAX(1,H1051)))))</f>
        <v>9</v>
      </c>
      <c r="BW1051" s="53" t="n">
        <f aca="false">IF(BU1051="LOSE",1,0)</f>
        <v>0</v>
      </c>
      <c r="BX1051" s="53" t="n">
        <f aca="false">IF(AND(U1051="",OR(P1051="",P1051="LOSE"),T1051&lt;&gt;"",N(S1051)&lt;=0,ISNUMBER(MATCH(T1051,Parameter!$I$27:$I$29,0))),1,0)</f>
        <v>0</v>
      </c>
      <c r="BY1051" s="53" t="n">
        <f aca="false">IF(CL1051&gt;0,INDEX(Parameter!$H$5:$H$7,W1051)/INDEX(Parameter!$E$5:$E$7,W1051),IF(AND(BW1051=0,N(IFERROR(VLOOKUP(BU1051,'Gebinde-Kategorie'!$A$5:$N$45,14,0),0))&gt;0),VLOOKUP(BU1051,'Gebinde-Kategorie'!$A$5:$N$45,14,0)*10+Parameter!$M$23,Parameter!$M$24))</f>
        <v>155</v>
      </c>
      <c r="BZ1051" s="48" t="str">
        <f aca="false">IF(AND(Parameter!$B$19="Ja",E1051&lt;&gt;"",ISNUMBER(MATCH(E1051,Parameter!$I$35:$I$52,0))),VLOOKUP(E1051,Parameter!$I$35:$J$52,2,0),IFERROR(VLOOKUP(D1051,Parameter!$A$35:$C$64,2,0),"Nein"))</f>
        <v>2+3</v>
      </c>
      <c r="CA1051" s="52" t="n">
        <f aca="false">IF(BW1051=0,0,IF(N(S1051)&gt;0,S1051,IFERROR(VLOOKUP(D1051,Parameter!$A$35:$C$64,3,0)+0,0)))</f>
        <v>0</v>
      </c>
      <c r="CB1051" s="48" t="n">
        <f aca="false">IF(AA1051&lt;&gt;"",AA1051,Z1051)</f>
        <v>3</v>
      </c>
      <c r="CC1051" s="48" t="str">
        <f aca="false">IF(OR(CB1051=1,CB1051=2,CB1051=3),IF(Parameter!$E$27="Ja","LIFT",IF(CB1051=1,"L1","L23")),IF(CB1051="Aussen","Aussen","-"))</f>
        <v>LIFT</v>
      </c>
      <c r="CD1051" s="59" t="n">
        <f aca="false">IF(N(AB1051)&gt;0,AB1051,0)</f>
        <v>0</v>
      </c>
      <c r="CE1051" s="53" t="n">
        <f aca="false">IF(ISNUMBER(AE1051),1,0)</f>
        <v>0</v>
      </c>
      <c r="CF1051" s="50" t="n">
        <f aca="false">N(AE1051)</f>
        <v>0</v>
      </c>
      <c r="CG1051" s="50" t="n">
        <f aca="false">N(M1051)+N(N1051)</f>
        <v>1</v>
      </c>
      <c r="CH1051" s="50" t="n">
        <f aca="false">ROUNDUP(H1051/BV1051,0)</f>
        <v>1</v>
      </c>
      <c r="CI1051" s="50" t="n">
        <f aca="false">ROUNDUP(CF1051/BV1051,0)</f>
        <v>0</v>
      </c>
      <c r="CJ1051" s="53" t="n">
        <f aca="false">IF(BW1051=1,0,IFERROR(VLOOKUP(BU1051,'Gebinde-Kategorie'!$A$5:$N$45,5,0)+0,0))</f>
        <v>8</v>
      </c>
      <c r="CK1051" s="53" t="n">
        <f aca="false">IFERROR(IF(OR(CB1051=1,CB1051=2,CB1051=3),N(INDEX(Parameter!$I$5:$I$7,CB1051)),0),0)</f>
        <v>0</v>
      </c>
      <c r="CL1051" s="52" t="n">
        <f aca="false">IF(AND(Parameter!$B$21="Ja",ISNUMBER(W1051),N(X1051)&gt;0),IFERROR(N(INDEX(Parameter!$L$5:$L$7,W1051))*INDEX(Parameter!$E$5:$E$7,W1051)*X1051/SUMIFS($X$7:$X$1843,$W$7:$W$1843,W1051),0),0)</f>
        <v>0</v>
      </c>
    </row>
    <row r="1052" customFormat="false" ht="15" hidden="false" customHeight="false" outlineLevel="0" collapsed="false">
      <c r="A1052" s="48" t="s">
        <v>1929</v>
      </c>
      <c r="B1052" s="48" t="s">
        <v>1872</v>
      </c>
      <c r="C1052" s="48" t="s">
        <v>168</v>
      </c>
      <c r="D1052" s="48" t="s">
        <v>188</v>
      </c>
      <c r="E1052" s="48" t="s">
        <v>189</v>
      </c>
      <c r="F1052" s="48" t="s">
        <v>222</v>
      </c>
      <c r="G1052" s="49" t="n">
        <v>145.85</v>
      </c>
      <c r="H1052" s="50" t="n">
        <f aca="false">MAX(0,IF(AND(Parameter!$B$21="Ja",ISNUMBER(Y1052)),Y1052,IF(Parameter!$B$20="Jahresanfang 2025 + Export",BO1052+BN1052,BN1052)))</f>
        <v>8</v>
      </c>
      <c r="I1052" s="50" t="n">
        <f aca="false">H1052*G1052</f>
        <v>1166.8</v>
      </c>
      <c r="J1052" s="50" t="n">
        <f aca="false">BQ1052*Parameter!$B$18</f>
        <v>0</v>
      </c>
      <c r="K1052" s="51" t="n">
        <v>9</v>
      </c>
      <c r="L1052" s="52" t="n">
        <v>0</v>
      </c>
      <c r="M1052" s="50" t="n">
        <v>0</v>
      </c>
      <c r="N1052" s="50" t="n">
        <v>1</v>
      </c>
      <c r="O1052" s="53" t="n">
        <v>42</v>
      </c>
      <c r="P1052" s="48" t="s">
        <v>306</v>
      </c>
      <c r="Q1052" s="50" t="n">
        <v>3</v>
      </c>
      <c r="R1052" s="53" t="n">
        <f aca="false">IF(BW1052=1,0,IFERROR(VLOOKUP(BU1052,'Gebinde-Kategorie'!$A$5:$N$45,13,0)+0,0))</f>
        <v>26</v>
      </c>
      <c r="S1052" s="54"/>
      <c r="T1052" s="55"/>
      <c r="U1052" s="55"/>
      <c r="V1052" s="55"/>
      <c r="W1052" s="48"/>
      <c r="X1052" s="50"/>
      <c r="Y1052" s="50"/>
      <c r="Z1052" s="48" t="n">
        <f aca="false">IF(A1052="","",IF(AND(Parameter!$B$21="Ja",ISNUMBER(W1052)),W1052,IF(BZ1052="2+3",IF(ISNUMBER(SEARCH("grosser Artikel",BR1052)),2,IFERROR(VLOOKUP(BU1052,Parameter!$F$35:$G$64,2,0),2)),IF(OR(BZ1052="Nein",BZ1052=""),"-",BZ1052))))</f>
        <v>3</v>
      </c>
      <c r="AA1052" s="55"/>
      <c r="AB1052" s="56"/>
      <c r="AC1052" s="50" t="n">
        <f aca="false">AT1052</f>
        <v>3</v>
      </c>
      <c r="AD1052" s="50" t="n">
        <f aca="false">MAX(AT1052,H1052)</f>
        <v>8</v>
      </c>
      <c r="AE1052" s="57"/>
      <c r="AF1052" s="50" t="n">
        <f aca="false">IF(LEFT(Cockpit!$C$5,1)="A",H1052,IF(CE1052=1,CF1052,IF(LEFT(Cockpit!$C$5,1)="B",AK1052,MAX(AK1052,H1052))))</f>
        <v>8</v>
      </c>
      <c r="AG1052" s="50" t="n">
        <f aca="false">IF(BW1052=1,0,ROUNDUP(AF1052/BV1052,0))</f>
        <v>3</v>
      </c>
      <c r="AH1052" s="52" t="n">
        <f aca="false">IF(CL1052&gt;0,CL1052*MAX(1,AF1052/X1052),IF(BW1052=1,IF(AF1052&lt;=0,0,CA1052*MAX(1,IF(H1052&gt;0,AF1052/H1052,1))),IF(R1052&gt;0,AG1052/R1052,0))/MAX(0.1,N(Parameter!$M$21)))</f>
        <v>0.115384615384615</v>
      </c>
      <c r="AI1052" s="50" t="n">
        <f aca="false">AH1052*BY1052</f>
        <v>17.8846153846154</v>
      </c>
      <c r="AJ1052" s="50" t="n">
        <f aca="false">AF1052*G1052</f>
        <v>1166.8</v>
      </c>
      <c r="AK1052" s="50" t="n">
        <f aca="false">ROUNDUP(MAX(J1052/IF(CD1052&gt;0,CD1052,MAX(0.1,N(Cockpit!$C$6))),CG1052)/BV1052,0)*BV1052</f>
        <v>3</v>
      </c>
      <c r="AL1052" s="51" t="n">
        <f aca="false">IF(AI1052&gt;0,J1052/AI1052,-1)</f>
        <v>0</v>
      </c>
      <c r="AM1052" s="51" t="n">
        <f aca="false">IF(AND(OR(CC1052="L1",CC1052="L23",CC1052="LIFT"),AI1052&gt;0),SUMIFS($AI$7:$AI$1843,$CC$7:$CC$1843,CC1052,$AL$7:$AL$1843,"&gt;"&amp;AL1052)+SUMIFS($AI$7:$AI$1843,$CC$7:$CC$1843,CC1052,$AL$7:$AL$1843,AL1052,$BT$7:$BT$1843,"&lt;="&amp;BT1052),"")</f>
        <v>29088.2602414064</v>
      </c>
      <c r="AN1052" s="58" t="n">
        <f aca="false">IF(AM1052="",0,MAX(0,MIN(1,(IF(CC1052="L1",Parameter!$H$5,IF(CC1052="L23",Parameter!$H$6+Parameter!$H$7,Parameter!$H$5+Parameter!$H$6+Parameter!$H$7))-(AM1052-AI1052))/AI1052)))</f>
        <v>1</v>
      </c>
      <c r="AO1052" s="50" t="n">
        <f aca="false">IF(LEFT(Cockpit!$I$5,1)="A",H1052,IF(CE1052=1,CF1052,IF(LEFT(Cockpit!$I$5,1)="B",AT1052,MAX(AT1052,H1052))))</f>
        <v>8</v>
      </c>
      <c r="AP1052" s="50" t="n">
        <f aca="false">IF(BW1052=1,0,ROUNDUP(AO1052/BV1052,0))</f>
        <v>3</v>
      </c>
      <c r="AQ1052" s="52" t="n">
        <f aca="false">IF(CL1052&gt;0,CL1052*MAX(1,AO1052/X1052),IF(BW1052=1,IF(AO1052&lt;=0,0,CA1052*MAX(1,IF(H1052&gt;0,AO1052/H1052,1))),IF(R1052&gt;0,AP1052/R1052,0))/MAX(0.1,N(Parameter!$M$21)))</f>
        <v>0.115384615384615</v>
      </c>
      <c r="AR1052" s="50" t="n">
        <f aca="false">AQ1052*BY1052</f>
        <v>17.8846153846154</v>
      </c>
      <c r="AS1052" s="50" t="n">
        <f aca="false">AO1052*G1052</f>
        <v>1166.8</v>
      </c>
      <c r="AT1052" s="50" t="n">
        <f aca="false">ROUNDUP(MAX(J1052/IF(CD1052&gt;0,CD1052,MAX(0.1,N(Cockpit!$I$6))),CG1052)/BV1052,0)*BV1052</f>
        <v>3</v>
      </c>
      <c r="AU1052" s="51" t="n">
        <f aca="false">IF(AR1052&gt;0,J1052/AR1052,-1)</f>
        <v>0</v>
      </c>
      <c r="AV1052" s="51" t="n">
        <f aca="false">IF(AND(OR(CC1052="L1",CC1052="L23",CC1052="LIFT"),AR1052&gt;0),SUMIFS($AR$7:$AR$1843,$CC$7:$CC$1843,CC1052,$AU$7:$AU$1843,"&gt;"&amp;AU1052)+SUMIFS($AR$7:$AR$1843,$CC$7:$CC$1843,CC1052,$AU$7:$AU$1843,AU1052,$BT$7:$BT$1843,"&lt;="&amp;BT1052),"")</f>
        <v>40756.9043117899</v>
      </c>
      <c r="AW1052" s="58" t="n">
        <f aca="false">IF(AV1052="",0,MAX(0,MIN(1,(IF(CC1052="L1",Parameter!$H$5,IF(CC1052="L23",Parameter!$H$6+Parameter!$H$7,Parameter!$H$5+Parameter!$H$6+Parameter!$H$7))-(AV1052-AR1052))/AR1052)))</f>
        <v>0</v>
      </c>
      <c r="AX1052" s="50" t="n">
        <f aca="false">IF(LEFT(Cockpit!$O$5,1)="A",H1052,IF(CE1052=1,CF1052,IF(LEFT(Cockpit!$O$5,1)="B",BC1052,MAX(BC1052,H1052))))</f>
        <v>8</v>
      </c>
      <c r="AY1052" s="50" t="n">
        <f aca="false">IF(BW1052=1,0,ROUNDUP(AX1052/BV1052,0))</f>
        <v>3</v>
      </c>
      <c r="AZ1052" s="52" t="n">
        <f aca="false">IF(CL1052&gt;0,CL1052*MAX(1,AX1052/X1052),IF(BW1052=1,IF(AX1052&lt;=0,0,CA1052*MAX(1,IF(H1052&gt;0,AX1052/H1052,1))),IF(R1052&gt;0,AY1052/R1052,0))/MAX(0.1,N(Parameter!$M$21)))</f>
        <v>0.115384615384615</v>
      </c>
      <c r="BA1052" s="50" t="n">
        <f aca="false">AZ1052*BY1052</f>
        <v>17.8846153846154</v>
      </c>
      <c r="BB1052" s="50" t="n">
        <f aca="false">AX1052*G1052</f>
        <v>1166.8</v>
      </c>
      <c r="BC1052" s="50" t="n">
        <f aca="false">ROUNDUP(MAX(J1052/IF(CD1052&gt;0,CD1052,MAX(0.1,N(Cockpit!$O$6))),CG1052)/BV1052,0)*BV1052</f>
        <v>3</v>
      </c>
      <c r="BD1052" s="51" t="n">
        <f aca="false">IF(BA1052&gt;0,J1052/BA1052,-1)</f>
        <v>0</v>
      </c>
      <c r="BE1052" s="51" t="n">
        <f aca="false">IF(AND(OR(CC1052="L1",CC1052="L23",CC1052="LIFT"),BA1052&gt;0),SUMIFS($BA$7:$BA$1843,$CC$7:$CC$1843,CC1052,$BD$7:$BD$1843,"&gt;"&amp;BD1052)+SUMIFS($BA$7:$BA$1843,$CC$7:$CC$1843,CC1052,$BD$7:$BD$1843,BD1052,$BT$7:$BT$1843,"&lt;="&amp;BT1052),"")</f>
        <v>37431.9163536558</v>
      </c>
      <c r="BF1052" s="58" t="n">
        <f aca="false">IF(BE1052="",0,MAX(0,MIN(1,(IF(CC1052="L1",Parameter!$H$5,IF(CC1052="L23",Parameter!$H$6+Parameter!$H$7,Parameter!$H$5+Parameter!$H$6+Parameter!$H$7))-(BE1052-BA1052))/BA1052)))</f>
        <v>0</v>
      </c>
      <c r="BG1052" s="48" t="str">
        <f aca="false">IF(AI1052&lt;=0,"",IF(CC1052="Aussen","Aussenlager",IF(CC1052="-","Nicht im Lift",IF(AN1052&gt;=1,"Lift",IF(AN1052&lt;=0,"Aussenlager","teilweise")))))</f>
        <v>Lift</v>
      </c>
      <c r="BH1052" s="48" t="str">
        <f aca="false">IF(AR1052&lt;=0,"",IF(CC1052="Aussen","Aussenlager",IF(CC1052="-","Nicht im Lift",IF(AW1052&gt;=1,"Lift",IF(AW1052&lt;=0,"Aussenlager","teilweise")))))</f>
        <v>Aussenlager</v>
      </c>
      <c r="BI1052" s="48" t="str">
        <f aca="false">IF(BA1052&lt;=0,"",IF(CC1052="Aussen","Aussenlager",IF(CC1052="-","Nicht im Lift",IF(BF1052&gt;=1,"Lift",IF(BF1052&lt;=0,"Aussenlager","teilweise")))))</f>
        <v>Aussenlager</v>
      </c>
      <c r="BJ1052" s="48" t="str">
        <f aca="false">IF(A1052="","",IF(BS1052=1,"Neu; ","")&amp;IF(AND(BS1052=0,BN1052&lt;0),"negativer Bestand (Export "&amp;BN1052&amp;"); ","")&amp;IF(J1052&lt;=0,"Kein Verbrauch; ","")&amp;IF(CL1052&gt;0,"Lift "&amp;W1052&amp;" lt. Liftbericht (Fach "&amp;X1052&amp;" Stk); ",IF(BX1052=1,"Gebinde geschätzt ("&amp;T1052&amp;"); ",IF(BW1052=1,"Lose – Tablare geschätzt; ","")))&amp;IF(H1052&gt;AT1052,"Überbestand "&amp;ROUND(H1052-AT1052,0)&amp;" Stk / CHF "&amp;ROUND((H1052-AT1052)*G1052,0)&amp;"; ","")&amp;IF(AND(CE1052=1,CF1052&lt;CG1052),"MAX &lt; MB+LG; ","")&amp;IF(AND(CK1052&gt;0,CJ1052*10&gt;CK1052),"zu hoch für Tablar; ","")&amp;IF(AND(BS1052=0,OR(CE1052=1,AA1052&lt;&gt;"",U1052&lt;&gt;"",V1052&lt;&gt;"",AB1052&lt;&gt;"")),"manuell übersteuert; ","")&amp;IF(AND(BW1052=0,R1052=0),"Gebinde unbekannt / Stellmass fehlt; ","")&amp;IF(AND(BW1052=0,N(V1052)&lt;=0,N(Q1052)&lt;=0),"Menge pro Gebinde fehlt (Ist = 1 Gebinde); ","")&amp;BR1052)</f>
        <v>negativer Bestand (Export -1); Kein Verbrauch; Überbestand 5 Stk / CHF 729; </v>
      </c>
      <c r="BK1052" s="48"/>
      <c r="BL1052" s="48"/>
      <c r="BM1052" s="55"/>
      <c r="BN1052" s="50" t="n">
        <v>-1</v>
      </c>
      <c r="BO1052" s="50" t="n">
        <v>9</v>
      </c>
      <c r="BP1052" s="49" t="n">
        <v>-145.85</v>
      </c>
      <c r="BQ1052" s="50" t="n">
        <v>0</v>
      </c>
      <c r="BR1052" s="48"/>
      <c r="BS1052" s="53" t="n">
        <v>0</v>
      </c>
      <c r="BT1052" s="53" t="n">
        <v>1052</v>
      </c>
      <c r="BU1052" s="48" t="str">
        <f aca="false">IF(U1052&lt;&gt;"",UPPER(TRIM(U1052)),IF(BX1052=1,UPPER(VLOOKUP(T1052,Parameter!$I$27:$K$29,2,0)),IF(P1052="","LOSE",P1052)))</f>
        <v>S51</v>
      </c>
      <c r="BV1052" s="50" t="n">
        <f aca="false">IF(BU1052="LOSE",1,IF(N(V1052)&gt;0,V1052,IF(BX1052=1,MAX(1,N(VLOOKUP(T1052,Parameter!$I$27:$K$29,3,0)),H1052,N(N1052)),IF(N(Q1052)&gt;0,Q1052,MAX(1,H1052)))))</f>
        <v>3</v>
      </c>
      <c r="BW1052" s="53" t="n">
        <f aca="false">IF(BU1052="LOSE",1,0)</f>
        <v>0</v>
      </c>
      <c r="BX1052" s="53" t="n">
        <f aca="false">IF(AND(U1052="",OR(P1052="",P1052="LOSE"),T1052&lt;&gt;"",N(S1052)&lt;=0,ISNUMBER(MATCH(T1052,Parameter!$I$27:$I$29,0))),1,0)</f>
        <v>0</v>
      </c>
      <c r="BY1052" s="53" t="n">
        <f aca="false">IF(CL1052&gt;0,INDEX(Parameter!$H$5:$H$7,W1052)/INDEX(Parameter!$E$5:$E$7,W1052),IF(AND(BW1052=0,N(IFERROR(VLOOKUP(BU1052,'Gebinde-Kategorie'!$A$5:$N$45,14,0),0))&gt;0),VLOOKUP(BU1052,'Gebinde-Kategorie'!$A$5:$N$45,14,0)*10+Parameter!$M$23,Parameter!$M$24))</f>
        <v>155</v>
      </c>
      <c r="BZ1052" s="48" t="str">
        <f aca="false">IF(AND(Parameter!$B$19="Ja",E1052&lt;&gt;"",ISNUMBER(MATCH(E1052,Parameter!$I$35:$I$52,0))),VLOOKUP(E1052,Parameter!$I$35:$J$52,2,0),IFERROR(VLOOKUP(D1052,Parameter!$A$35:$C$64,2,0),"Nein"))</f>
        <v>2+3</v>
      </c>
      <c r="CA1052" s="52" t="n">
        <f aca="false">IF(BW1052=0,0,IF(N(S1052)&gt;0,S1052,IFERROR(VLOOKUP(D1052,Parameter!$A$35:$C$64,3,0)+0,0)))</f>
        <v>0</v>
      </c>
      <c r="CB1052" s="48" t="n">
        <f aca="false">IF(AA1052&lt;&gt;"",AA1052,Z1052)</f>
        <v>3</v>
      </c>
      <c r="CC1052" s="48" t="str">
        <f aca="false">IF(OR(CB1052=1,CB1052=2,CB1052=3),IF(Parameter!$E$27="Ja","LIFT",IF(CB1052=1,"L1","L23")),IF(CB1052="Aussen","Aussen","-"))</f>
        <v>LIFT</v>
      </c>
      <c r="CD1052" s="59" t="n">
        <f aca="false">IF(N(AB1052)&gt;0,AB1052,0)</f>
        <v>0</v>
      </c>
      <c r="CE1052" s="53" t="n">
        <f aca="false">IF(ISNUMBER(AE1052),1,0)</f>
        <v>0</v>
      </c>
      <c r="CF1052" s="50" t="n">
        <f aca="false">N(AE1052)</f>
        <v>0</v>
      </c>
      <c r="CG1052" s="50" t="n">
        <f aca="false">N(M1052)+N(N1052)</f>
        <v>1</v>
      </c>
      <c r="CH1052" s="50" t="n">
        <f aca="false">ROUNDUP(H1052/BV1052,0)</f>
        <v>3</v>
      </c>
      <c r="CI1052" s="50" t="n">
        <f aca="false">ROUNDUP(CF1052/BV1052,0)</f>
        <v>0</v>
      </c>
      <c r="CJ1052" s="53" t="n">
        <f aca="false">IF(BW1052=1,0,IFERROR(VLOOKUP(BU1052,'Gebinde-Kategorie'!$A$5:$N$45,5,0)+0,0))</f>
        <v>11</v>
      </c>
      <c r="CK1052" s="53" t="n">
        <f aca="false">IFERROR(IF(OR(CB1052=1,CB1052=2,CB1052=3),N(INDEX(Parameter!$I$5:$I$7,CB1052)),0),0)</f>
        <v>0</v>
      </c>
      <c r="CL1052" s="52" t="n">
        <f aca="false">IF(AND(Parameter!$B$21="Ja",ISNUMBER(W1052),N(X1052)&gt;0),IFERROR(N(INDEX(Parameter!$L$5:$L$7,W1052))*INDEX(Parameter!$E$5:$E$7,W1052)*X1052/SUMIFS($X$7:$X$1843,$W$7:$W$1843,W1052),0),0)</f>
        <v>0</v>
      </c>
    </row>
    <row r="1053" customFormat="false" ht="15" hidden="false" customHeight="false" outlineLevel="0" collapsed="false">
      <c r="A1053" s="48" t="s">
        <v>1930</v>
      </c>
      <c r="B1053" s="48" t="s">
        <v>1558</v>
      </c>
      <c r="C1053" s="48" t="s">
        <v>168</v>
      </c>
      <c r="D1053" s="48" t="s">
        <v>177</v>
      </c>
      <c r="E1053" s="48" t="s">
        <v>469</v>
      </c>
      <c r="F1053" s="48" t="s">
        <v>222</v>
      </c>
      <c r="G1053" s="49" t="n">
        <v>4.63</v>
      </c>
      <c r="H1053" s="50" t="n">
        <f aca="false">MAX(0,IF(AND(Parameter!$B$21="Ja",ISNUMBER(Y1053)),Y1053,IF(Parameter!$B$20="Jahresanfang 2025 + Export",BO1053+BN1053,BN1053)))</f>
        <v>118</v>
      </c>
      <c r="I1053" s="50" t="n">
        <f aca="false">H1053*G1053</f>
        <v>546.34</v>
      </c>
      <c r="J1053" s="50" t="n">
        <f aca="false">BQ1053*Parameter!$B$18</f>
        <v>131</v>
      </c>
      <c r="K1053" s="51" t="n">
        <v>155</v>
      </c>
      <c r="L1053" s="52" t="n">
        <v>0.845161290322581</v>
      </c>
      <c r="M1053" s="50" t="n">
        <v>7</v>
      </c>
      <c r="N1053" s="50" t="n">
        <v>135</v>
      </c>
      <c r="O1053" s="53" t="n">
        <v>21</v>
      </c>
      <c r="P1053" s="48" t="s">
        <v>172</v>
      </c>
      <c r="Q1053" s="50"/>
      <c r="R1053" s="53" t="n">
        <f aca="false">IF(BW1053=1,0,IFERROR(VLOOKUP(BU1053,'Gebinde-Kategorie'!$A$5:$N$45,13,0)+0,0))</f>
        <v>4</v>
      </c>
      <c r="S1053" s="54"/>
      <c r="T1053" s="55" t="s">
        <v>193</v>
      </c>
      <c r="U1053" s="55"/>
      <c r="V1053" s="55"/>
      <c r="W1053" s="48"/>
      <c r="X1053" s="50"/>
      <c r="Y1053" s="50"/>
      <c r="Z1053" s="48" t="str">
        <f aca="false">IF(A1053="","",IF(AND(Parameter!$B$21="Ja",ISNUMBER(W1053)),W1053,IF(BZ1053="2+3",IF(ISNUMBER(SEARCH("grosser Artikel",BR1053)),2,IFERROR(VLOOKUP(BU1053,Parameter!$F$35:$G$64,2,0),2)),IF(OR(BZ1053="Nein",BZ1053=""),"-",BZ1053))))</f>
        <v>-</v>
      </c>
      <c r="AA1053" s="55"/>
      <c r="AB1053" s="56"/>
      <c r="AC1053" s="50" t="n">
        <f aca="false">AT1053</f>
        <v>270</v>
      </c>
      <c r="AD1053" s="50" t="n">
        <f aca="false">MAX(AT1053,H1053)</f>
        <v>270</v>
      </c>
      <c r="AE1053" s="57"/>
      <c r="AF1053" s="50" t="n">
        <f aca="false">IF(LEFT(Cockpit!$C$5,1)="A",H1053,IF(CE1053=1,CF1053,IF(LEFT(Cockpit!$C$5,1)="B",AK1053,MAX(AK1053,H1053))))</f>
        <v>118</v>
      </c>
      <c r="AG1053" s="50" t="n">
        <f aca="false">IF(BW1053=1,0,ROUNDUP(AF1053/BV1053,0))</f>
        <v>1</v>
      </c>
      <c r="AH1053" s="52" t="n">
        <f aca="false">IF(CL1053&gt;0,CL1053*MAX(1,AF1053/X1053),IF(BW1053=1,IF(AF1053&lt;=0,0,CA1053*MAX(1,IF(H1053&gt;0,AF1053/H1053,1))),IF(R1053&gt;0,AG1053/R1053,0))/MAX(0.1,N(Parameter!$M$21)))</f>
        <v>0.25</v>
      </c>
      <c r="AI1053" s="50" t="n">
        <f aca="false">AH1053*BY1053</f>
        <v>58.75</v>
      </c>
      <c r="AJ1053" s="50" t="n">
        <f aca="false">AF1053*G1053</f>
        <v>546.34</v>
      </c>
      <c r="AK1053" s="50" t="n">
        <f aca="false">ROUNDUP(MAX(J1053/IF(CD1053&gt;0,CD1053,MAX(0.1,N(Cockpit!$C$6))),CG1053)/BV1053,0)*BV1053</f>
        <v>270</v>
      </c>
      <c r="AL1053" s="51" t="n">
        <f aca="false">IF(AI1053&gt;0,J1053/AI1053,-1)</f>
        <v>2.22978723404255</v>
      </c>
      <c r="AM1053" s="51" t="str">
        <f aca="false">IF(AND(OR(CC1053="L1",CC1053="L23",CC1053="LIFT"),AI1053&gt;0),SUMIFS($AI$7:$AI$1843,$CC$7:$CC$1843,CC1053,$AL$7:$AL$1843,"&gt;"&amp;AL1053)+SUMIFS($AI$7:$AI$1843,$CC$7:$CC$1843,CC1053,$AL$7:$AL$1843,AL1053,$BT$7:$BT$1843,"&lt;="&amp;BT1053),"")</f>
        <v/>
      </c>
      <c r="AN1053" s="58" t="n">
        <f aca="false">IF(AM1053="",0,MAX(0,MIN(1,(IF(CC1053="L1",Parameter!$H$5,IF(CC1053="L23",Parameter!$H$6+Parameter!$H$7,Parameter!$H$5+Parameter!$H$6+Parameter!$H$7))-(AM1053-AI1053))/AI1053)))</f>
        <v>0</v>
      </c>
      <c r="AO1053" s="50" t="n">
        <f aca="false">IF(LEFT(Cockpit!$I$5,1)="A",H1053,IF(CE1053=1,CF1053,IF(LEFT(Cockpit!$I$5,1)="B",AT1053,MAX(AT1053,H1053))))</f>
        <v>270</v>
      </c>
      <c r="AP1053" s="50" t="n">
        <f aca="false">IF(BW1053=1,0,ROUNDUP(AO1053/BV1053,0))</f>
        <v>2</v>
      </c>
      <c r="AQ1053" s="52" t="n">
        <f aca="false">IF(CL1053&gt;0,CL1053*MAX(1,AO1053/X1053),IF(BW1053=1,IF(AO1053&lt;=0,0,CA1053*MAX(1,IF(H1053&gt;0,AO1053/H1053,1))),IF(R1053&gt;0,AP1053/R1053,0))/MAX(0.1,N(Parameter!$M$21)))</f>
        <v>0.5</v>
      </c>
      <c r="AR1053" s="50" t="n">
        <f aca="false">AQ1053*BY1053</f>
        <v>117.5</v>
      </c>
      <c r="AS1053" s="50" t="n">
        <f aca="false">AO1053*G1053</f>
        <v>1250.1</v>
      </c>
      <c r="AT1053" s="50" t="n">
        <f aca="false">ROUNDUP(MAX(J1053/IF(CD1053&gt;0,CD1053,MAX(0.1,N(Cockpit!$I$6))),CG1053)/BV1053,0)*BV1053</f>
        <v>270</v>
      </c>
      <c r="AU1053" s="51" t="n">
        <f aca="false">IF(AR1053&gt;0,J1053/AR1053,-1)</f>
        <v>1.11489361702128</v>
      </c>
      <c r="AV1053" s="51" t="str">
        <f aca="false">IF(AND(OR(CC1053="L1",CC1053="L23",CC1053="LIFT"),AR1053&gt;0),SUMIFS($AR$7:$AR$1843,$CC$7:$CC$1843,CC1053,$AU$7:$AU$1843,"&gt;"&amp;AU1053)+SUMIFS($AR$7:$AR$1843,$CC$7:$CC$1843,CC1053,$AU$7:$AU$1843,AU1053,$BT$7:$BT$1843,"&lt;="&amp;BT1053),"")</f>
        <v/>
      </c>
      <c r="AW1053" s="58" t="n">
        <f aca="false">IF(AV1053="",0,MAX(0,MIN(1,(IF(CC1053="L1",Parameter!$H$5,IF(CC1053="L23",Parameter!$H$6+Parameter!$H$7,Parameter!$H$5+Parameter!$H$6+Parameter!$H$7))-(AV1053-AR1053))/AR1053)))</f>
        <v>0</v>
      </c>
      <c r="AX1053" s="50" t="n">
        <f aca="false">IF(LEFT(Cockpit!$O$5,1)="A",H1053,IF(CE1053=1,CF1053,IF(LEFT(Cockpit!$O$5,1)="B",BC1053,MAX(BC1053,H1053))))</f>
        <v>270</v>
      </c>
      <c r="AY1053" s="50" t="n">
        <f aca="false">IF(BW1053=1,0,ROUNDUP(AX1053/BV1053,0))</f>
        <v>2</v>
      </c>
      <c r="AZ1053" s="52" t="n">
        <f aca="false">IF(CL1053&gt;0,CL1053*MAX(1,AX1053/X1053),IF(BW1053=1,IF(AX1053&lt;=0,0,CA1053*MAX(1,IF(H1053&gt;0,AX1053/H1053,1))),IF(R1053&gt;0,AY1053/R1053,0))/MAX(0.1,N(Parameter!$M$21)))</f>
        <v>0.5</v>
      </c>
      <c r="BA1053" s="50" t="n">
        <f aca="false">AZ1053*BY1053</f>
        <v>117.5</v>
      </c>
      <c r="BB1053" s="50" t="n">
        <f aca="false">AX1053*G1053</f>
        <v>1250.1</v>
      </c>
      <c r="BC1053" s="50" t="n">
        <f aca="false">ROUNDUP(MAX(J1053/IF(CD1053&gt;0,CD1053,MAX(0.1,N(Cockpit!$O$6))),CG1053)/BV1053,0)*BV1053</f>
        <v>270</v>
      </c>
      <c r="BD1053" s="51" t="n">
        <f aca="false">IF(BA1053&gt;0,J1053/BA1053,-1)</f>
        <v>1.11489361702128</v>
      </c>
      <c r="BE1053" s="51" t="str">
        <f aca="false">IF(AND(OR(CC1053="L1",CC1053="L23",CC1053="LIFT"),BA1053&gt;0),SUMIFS($BA$7:$BA$1843,$CC$7:$CC$1843,CC1053,$BD$7:$BD$1843,"&gt;"&amp;BD1053)+SUMIFS($BA$7:$BA$1843,$CC$7:$CC$1843,CC1053,$BD$7:$BD$1843,BD1053,$BT$7:$BT$1843,"&lt;="&amp;BT1053),"")</f>
        <v/>
      </c>
      <c r="BF1053" s="58" t="n">
        <f aca="false">IF(BE1053="",0,MAX(0,MIN(1,(IF(CC1053="L1",Parameter!$H$5,IF(CC1053="L23",Parameter!$H$6+Parameter!$H$7,Parameter!$H$5+Parameter!$H$6+Parameter!$H$7))-(BE1053-BA1053))/BA1053)))</f>
        <v>0</v>
      </c>
      <c r="BG1053" s="48" t="str">
        <f aca="false">IF(AI1053&lt;=0,"",IF(CC1053="Aussen","Aussenlager",IF(CC1053="-","Nicht im Lift",IF(AN1053&gt;=1,"Lift",IF(AN1053&lt;=0,"Aussenlager","teilweise")))))</f>
        <v>Nicht im Lift</v>
      </c>
      <c r="BH1053" s="48" t="str">
        <f aca="false">IF(AR1053&lt;=0,"",IF(CC1053="Aussen","Aussenlager",IF(CC1053="-","Nicht im Lift",IF(AW1053&gt;=1,"Lift",IF(AW1053&lt;=0,"Aussenlager","teilweise")))))</f>
        <v>Nicht im Lift</v>
      </c>
      <c r="BI1053" s="48" t="str">
        <f aca="false">IF(BA1053&lt;=0,"",IF(CC1053="Aussen","Aussenlager",IF(CC1053="-","Nicht im Lift",IF(BF1053&gt;=1,"Lift",IF(BF1053&lt;=0,"Aussenlager","teilweise")))))</f>
        <v>Nicht im Lift</v>
      </c>
      <c r="BJ1053" s="48" t="str">
        <f aca="false">IF(A1053="","",IF(BS1053=1,"Neu; ","")&amp;IF(AND(BS1053=0,BN1053&lt;0),"negativer Bestand (Export "&amp;BN1053&amp;"); ","")&amp;IF(J1053&lt;=0,"Kein Verbrauch; ","")&amp;IF(CL1053&gt;0,"Lift "&amp;W1053&amp;" lt. Liftbericht (Fach "&amp;X1053&amp;" Stk); ",IF(BX1053=1,"Gebinde geschätzt ("&amp;T1053&amp;"); ",IF(BW1053=1,"Lose – Tablare geschätzt; ","")))&amp;IF(H1053&gt;AT1053,"Überbestand "&amp;ROUND(H1053-AT1053,0)&amp;" Stk / CHF "&amp;ROUND((H1053-AT1053)*G1053,0)&amp;"; ","")&amp;IF(AND(CE1053=1,CF1053&lt;CG1053),"MAX &lt; MB+LG; ","")&amp;IF(AND(CK1053&gt;0,CJ1053*10&gt;CK1053),"zu hoch für Tablar; ","")&amp;IF(AND(BS1053=0,OR(CE1053=1,AA1053&lt;&gt;"",U1053&lt;&gt;"",V1053&lt;&gt;"",AB1053&lt;&gt;"")),"manuell übersteuert; ","")&amp;IF(AND(BW1053=0,R1053=0),"Gebinde unbekannt / Stellmass fehlt; ","")&amp;IF(AND(BW1053=0,N(V1053)&lt;=0,N(Q1053)&lt;=0),"Menge pro Gebinde fehlt (Ist = 1 Gebinde); ","")&amp;BR1053)</f>
        <v>negativer Bestand (Export -35); Gebinde geschätzt (Gross); Menge pro Gebinde fehlt (Ist = 1 Gebinde); </v>
      </c>
      <c r="BK1053" s="48"/>
      <c r="BL1053" s="48"/>
      <c r="BM1053" s="55"/>
      <c r="BN1053" s="50" t="n">
        <v>-35</v>
      </c>
      <c r="BO1053" s="50" t="n">
        <v>153</v>
      </c>
      <c r="BP1053" s="49" t="n">
        <v>-146.750000000001</v>
      </c>
      <c r="BQ1053" s="50" t="n">
        <v>131</v>
      </c>
      <c r="BR1053" s="48"/>
      <c r="BS1053" s="53" t="n">
        <v>0</v>
      </c>
      <c r="BT1053" s="53" t="n">
        <v>1053</v>
      </c>
      <c r="BU1053" s="48" t="str">
        <f aca="false">IF(U1053&lt;&gt;"",UPPER(TRIM(U1053)),IF(BX1053=1,UPPER(VLOOKUP(T1053,Parameter!$I$27:$K$29,2,0)),IF(P1053="","LOSE",P1053)))</f>
        <v>S81</v>
      </c>
      <c r="BV1053" s="50" t="n">
        <f aca="false">IF(BU1053="LOSE",1,IF(N(V1053)&gt;0,V1053,IF(BX1053=1,MAX(1,N(VLOOKUP(T1053,Parameter!$I$27:$K$29,3,0)),H1053,N(N1053)),IF(N(Q1053)&gt;0,Q1053,MAX(1,H1053)))))</f>
        <v>135</v>
      </c>
      <c r="BW1053" s="53" t="n">
        <f aca="false">IF(BU1053="LOSE",1,0)</f>
        <v>0</v>
      </c>
      <c r="BX1053" s="53" t="n">
        <f aca="false">IF(AND(U1053="",OR(P1053="",P1053="LOSE"),T1053&lt;&gt;"",N(S1053)&lt;=0,ISNUMBER(MATCH(T1053,Parameter!$I$27:$I$29,0))),1,0)</f>
        <v>1</v>
      </c>
      <c r="BY1053" s="53" t="n">
        <f aca="false">IF(CL1053&gt;0,INDEX(Parameter!$H$5:$H$7,W1053)/INDEX(Parameter!$E$5:$E$7,W1053),IF(AND(BW1053=0,N(IFERROR(VLOOKUP(BU1053,'Gebinde-Kategorie'!$A$5:$N$45,14,0),0))&gt;0),VLOOKUP(BU1053,'Gebinde-Kategorie'!$A$5:$N$45,14,0)*10+Parameter!$M$23,Parameter!$M$24))</f>
        <v>235</v>
      </c>
      <c r="BZ1053" s="48" t="str">
        <f aca="false">IF(AND(Parameter!$B$19="Ja",E1053&lt;&gt;"",ISNUMBER(MATCH(E1053,Parameter!$I$35:$I$52,0))),VLOOKUP(E1053,Parameter!$I$35:$J$52,2,0),IFERROR(VLOOKUP(D1053,Parameter!$A$35:$C$64,2,0),"Nein"))</f>
        <v>Nein</v>
      </c>
      <c r="CA1053" s="52" t="n">
        <f aca="false">IF(BW1053=0,0,IF(N(S1053)&gt;0,S1053,IFERROR(VLOOKUP(D1053,Parameter!$A$35:$C$64,3,0)+0,0)))</f>
        <v>0</v>
      </c>
      <c r="CB1053" s="48" t="str">
        <f aca="false">IF(AA1053&lt;&gt;"",AA1053,Z1053)</f>
        <v>-</v>
      </c>
      <c r="CC1053" s="48" t="str">
        <f aca="false">IF(OR(CB1053=1,CB1053=2,CB1053=3),IF(Parameter!$E$27="Ja","LIFT",IF(CB1053=1,"L1","L23")),IF(CB1053="Aussen","Aussen","-"))</f>
        <v>-</v>
      </c>
      <c r="CD1053" s="59" t="n">
        <f aca="false">IF(N(AB1053)&gt;0,AB1053,0)</f>
        <v>0</v>
      </c>
      <c r="CE1053" s="53" t="n">
        <f aca="false">IF(ISNUMBER(AE1053),1,0)</f>
        <v>0</v>
      </c>
      <c r="CF1053" s="50" t="n">
        <f aca="false">N(AE1053)</f>
        <v>0</v>
      </c>
      <c r="CG1053" s="50" t="n">
        <f aca="false">N(M1053)+N(N1053)</f>
        <v>142</v>
      </c>
      <c r="CH1053" s="50" t="n">
        <f aca="false">ROUNDUP(H1053/BV1053,0)</f>
        <v>1</v>
      </c>
      <c r="CI1053" s="50" t="n">
        <f aca="false">ROUNDUP(CF1053/BV1053,0)</f>
        <v>0</v>
      </c>
      <c r="CJ1053" s="53" t="n">
        <f aca="false">IF(BW1053=1,0,IFERROR(VLOOKUP(BU1053,'Gebinde-Kategorie'!$A$5:$N$45,5,0)+0,0))</f>
        <v>20</v>
      </c>
      <c r="CK1053" s="53" t="n">
        <f aca="false">IFERROR(IF(OR(CB1053=1,CB1053=2,CB1053=3),N(INDEX(Parameter!$I$5:$I$7,CB1053)),0),0)</f>
        <v>0</v>
      </c>
      <c r="CL1053" s="52" t="n">
        <f aca="false">IF(AND(Parameter!$B$21="Ja",ISNUMBER(W1053),N(X1053)&gt;0),IFERROR(N(INDEX(Parameter!$L$5:$L$7,W1053))*INDEX(Parameter!$E$5:$E$7,W1053)*X1053/SUMIFS($X$7:$X$1843,$W$7:$W$1843,W1053),0),0)</f>
        <v>0</v>
      </c>
    </row>
    <row r="1054" customFormat="false" ht="15" hidden="false" customHeight="false" outlineLevel="0" collapsed="false">
      <c r="A1054" s="48" t="s">
        <v>1931</v>
      </c>
      <c r="B1054" s="48" t="s">
        <v>1932</v>
      </c>
      <c r="C1054" s="48" t="s">
        <v>168</v>
      </c>
      <c r="D1054" s="48" t="s">
        <v>188</v>
      </c>
      <c r="E1054" s="48" t="s">
        <v>189</v>
      </c>
      <c r="F1054" s="48" t="s">
        <v>222</v>
      </c>
      <c r="G1054" s="49" t="n">
        <v>23.75</v>
      </c>
      <c r="H1054" s="50" t="n">
        <f aca="false">MAX(0,IF(AND(Parameter!$B$21="Ja",ISNUMBER(Y1054)),Y1054,IF(Parameter!$B$20="Jahresanfang 2025 + Export",BO1054+BN1054,BN1054)))</f>
        <v>2</v>
      </c>
      <c r="I1054" s="50" t="n">
        <f aca="false">H1054*G1054</f>
        <v>47.5</v>
      </c>
      <c r="J1054" s="50" t="n">
        <f aca="false">BQ1054*Parameter!$B$18</f>
        <v>19</v>
      </c>
      <c r="K1054" s="51" t="n">
        <v>7</v>
      </c>
      <c r="L1054" s="52" t="n">
        <v>2.71428571428571</v>
      </c>
      <c r="M1054" s="50" t="n">
        <v>1</v>
      </c>
      <c r="N1054" s="50" t="n">
        <v>20</v>
      </c>
      <c r="O1054" s="53" t="n">
        <v>28</v>
      </c>
      <c r="P1054" s="48" t="s">
        <v>332</v>
      </c>
      <c r="Q1054" s="50" t="n">
        <v>9</v>
      </c>
      <c r="R1054" s="53" t="n">
        <f aca="false">IF(BW1054=1,0,IFERROR(VLOOKUP(BU1054,'Gebinde-Kategorie'!$A$5:$N$45,13,0)+0,0))</f>
        <v>52</v>
      </c>
      <c r="S1054" s="54"/>
      <c r="T1054" s="55"/>
      <c r="U1054" s="55"/>
      <c r="V1054" s="55"/>
      <c r="W1054" s="48"/>
      <c r="X1054" s="50"/>
      <c r="Y1054" s="50"/>
      <c r="Z1054" s="48" t="n">
        <f aca="false">IF(A1054="","",IF(AND(Parameter!$B$21="Ja",ISNUMBER(W1054)),W1054,IF(BZ1054="2+3",IF(ISNUMBER(SEARCH("grosser Artikel",BR1054)),2,IFERROR(VLOOKUP(BU1054,Parameter!$F$35:$G$64,2,0),2)),IF(OR(BZ1054="Nein",BZ1054=""),"-",BZ1054))))</f>
        <v>3</v>
      </c>
      <c r="AA1054" s="55"/>
      <c r="AB1054" s="56"/>
      <c r="AC1054" s="50" t="n">
        <f aca="false">AT1054</f>
        <v>27</v>
      </c>
      <c r="AD1054" s="50" t="n">
        <f aca="false">MAX(AT1054,H1054)</f>
        <v>27</v>
      </c>
      <c r="AE1054" s="57"/>
      <c r="AF1054" s="50" t="n">
        <f aca="false">IF(LEFT(Cockpit!$C$5,1)="A",H1054,IF(CE1054=1,CF1054,IF(LEFT(Cockpit!$C$5,1)="B",AK1054,MAX(AK1054,H1054))))</f>
        <v>2</v>
      </c>
      <c r="AG1054" s="50" t="n">
        <f aca="false">IF(BW1054=1,0,ROUNDUP(AF1054/BV1054,0))</f>
        <v>1</v>
      </c>
      <c r="AH1054" s="52" t="n">
        <f aca="false">IF(CL1054&gt;0,CL1054*MAX(1,AF1054/X1054),IF(BW1054=1,IF(AF1054&lt;=0,0,CA1054*MAX(1,IF(H1054&gt;0,AF1054/H1054,1))),IF(R1054&gt;0,AG1054/R1054,0))/MAX(0.1,N(Parameter!$M$21)))</f>
        <v>0.0192307692307692</v>
      </c>
      <c r="AI1054" s="50" t="n">
        <f aca="false">AH1054*BY1054</f>
        <v>2.98076923076923</v>
      </c>
      <c r="AJ1054" s="50" t="n">
        <f aca="false">AF1054*G1054</f>
        <v>47.5</v>
      </c>
      <c r="AK1054" s="50" t="n">
        <f aca="false">ROUNDUP(MAX(J1054/IF(CD1054&gt;0,CD1054,MAX(0.1,N(Cockpit!$C$6))),CG1054)/BV1054,0)*BV1054</f>
        <v>27</v>
      </c>
      <c r="AL1054" s="51" t="n">
        <f aca="false">IF(AI1054&gt;0,J1054/AI1054,-1)</f>
        <v>6.3741935483871</v>
      </c>
      <c r="AM1054" s="51" t="n">
        <f aca="false">IF(AND(OR(CC1054="L1",CC1054="L23",CC1054="LIFT"),AI1054&gt;0),SUMIFS($AI$7:$AI$1843,$CC$7:$CC$1843,CC1054,$AL$7:$AL$1843,"&gt;"&amp;AL1054)+SUMIFS($AI$7:$AI$1843,$CC$7:$CC$1843,CC1054,$AL$7:$AL$1843,AL1054,$BT$7:$BT$1843,"&lt;="&amp;BT1054),"")</f>
        <v>3431.83562271062</v>
      </c>
      <c r="AN1054" s="58" t="n">
        <f aca="false">IF(AM1054="",0,MAX(0,MIN(1,(IF(CC1054="L1",Parameter!$H$5,IF(CC1054="L23",Parameter!$H$6+Parameter!$H$7,Parameter!$H$5+Parameter!$H$6+Parameter!$H$7))-(AM1054-AI1054))/AI1054)))</f>
        <v>1</v>
      </c>
      <c r="AO1054" s="50" t="n">
        <f aca="false">IF(LEFT(Cockpit!$I$5,1)="A",H1054,IF(CE1054=1,CF1054,IF(LEFT(Cockpit!$I$5,1)="B",AT1054,MAX(AT1054,H1054))))</f>
        <v>27</v>
      </c>
      <c r="AP1054" s="50" t="n">
        <f aca="false">IF(BW1054=1,0,ROUNDUP(AO1054/BV1054,0))</f>
        <v>3</v>
      </c>
      <c r="AQ1054" s="52" t="n">
        <f aca="false">IF(CL1054&gt;0,CL1054*MAX(1,AO1054/X1054),IF(BW1054=1,IF(AO1054&lt;=0,0,CA1054*MAX(1,IF(H1054&gt;0,AO1054/H1054,1))),IF(R1054&gt;0,AP1054/R1054,0))/MAX(0.1,N(Parameter!$M$21)))</f>
        <v>0.0576923076923077</v>
      </c>
      <c r="AR1054" s="50" t="n">
        <f aca="false">AQ1054*BY1054</f>
        <v>8.94230769230769</v>
      </c>
      <c r="AS1054" s="50" t="n">
        <f aca="false">AO1054*G1054</f>
        <v>641.25</v>
      </c>
      <c r="AT1054" s="50" t="n">
        <f aca="false">ROUNDUP(MAX(J1054/IF(CD1054&gt;0,CD1054,MAX(0.1,N(Cockpit!$I$6))),CG1054)/BV1054,0)*BV1054</f>
        <v>27</v>
      </c>
      <c r="AU1054" s="51" t="n">
        <f aca="false">IF(AR1054&gt;0,J1054/AR1054,-1)</f>
        <v>2.1247311827957</v>
      </c>
      <c r="AV1054" s="51" t="n">
        <f aca="false">IF(AND(OR(CC1054="L1",CC1054="L23",CC1054="LIFT"),AR1054&gt;0),SUMIFS($AR$7:$AR$1843,$CC$7:$CC$1843,CC1054,$AU$7:$AU$1843,"&gt;"&amp;AU1054)+SUMIFS($AR$7:$AR$1843,$CC$7:$CC$1843,CC1054,$AU$7:$AU$1843,AU1054,$BT$7:$BT$1843,"&lt;="&amp;BT1054),"")</f>
        <v>7439.78891941392</v>
      </c>
      <c r="AW1054" s="58" t="n">
        <f aca="false">IF(AV1054="",0,MAX(0,MIN(1,(IF(CC1054="L1",Parameter!$H$5,IF(CC1054="L23",Parameter!$H$6+Parameter!$H$7,Parameter!$H$5+Parameter!$H$6+Parameter!$H$7))-(AV1054-AR1054))/AR1054)))</f>
        <v>1</v>
      </c>
      <c r="AX1054" s="50" t="n">
        <f aca="false">IF(LEFT(Cockpit!$O$5,1)="A",H1054,IF(CE1054=1,CF1054,IF(LEFT(Cockpit!$O$5,1)="B",BC1054,MAX(BC1054,H1054))))</f>
        <v>27</v>
      </c>
      <c r="AY1054" s="50" t="n">
        <f aca="false">IF(BW1054=1,0,ROUNDUP(AX1054/BV1054,0))</f>
        <v>3</v>
      </c>
      <c r="AZ1054" s="52" t="n">
        <f aca="false">IF(CL1054&gt;0,CL1054*MAX(1,AX1054/X1054),IF(BW1054=1,IF(AX1054&lt;=0,0,CA1054*MAX(1,IF(H1054&gt;0,AX1054/H1054,1))),IF(R1054&gt;0,AY1054/R1054,0))/MAX(0.1,N(Parameter!$M$21)))</f>
        <v>0.0576923076923077</v>
      </c>
      <c r="BA1054" s="50" t="n">
        <f aca="false">AZ1054*BY1054</f>
        <v>8.94230769230769</v>
      </c>
      <c r="BB1054" s="50" t="n">
        <f aca="false">AX1054*G1054</f>
        <v>641.25</v>
      </c>
      <c r="BC1054" s="50" t="n">
        <f aca="false">ROUNDUP(MAX(J1054/IF(CD1054&gt;0,CD1054,MAX(0.1,N(Cockpit!$O$6))),CG1054)/BV1054,0)*BV1054</f>
        <v>27</v>
      </c>
      <c r="BD1054" s="51" t="n">
        <f aca="false">IF(BA1054&gt;0,J1054/BA1054,-1)</f>
        <v>2.1247311827957</v>
      </c>
      <c r="BE1054" s="51" t="n">
        <f aca="false">IF(AND(OR(CC1054="L1",CC1054="L23",CC1054="LIFT"),BA1054&gt;0),SUMIFS($BA$7:$BA$1843,$CC$7:$CC$1843,CC1054,$BD$7:$BD$1843,"&gt;"&amp;BD1054)+SUMIFS($BA$7:$BA$1843,$CC$7:$CC$1843,CC1054,$BD$7:$BD$1843,BD1054,$BT$7:$BT$1843,"&lt;="&amp;BT1054),"")</f>
        <v>7404.19597069597</v>
      </c>
      <c r="BF1054" s="58" t="n">
        <f aca="false">IF(BE1054="",0,MAX(0,MIN(1,(IF(CC1054="L1",Parameter!$H$5,IF(CC1054="L23",Parameter!$H$6+Parameter!$H$7,Parameter!$H$5+Parameter!$H$6+Parameter!$H$7))-(BE1054-BA1054))/BA1054)))</f>
        <v>1</v>
      </c>
      <c r="BG1054" s="48" t="str">
        <f aca="false">IF(AI1054&lt;=0,"",IF(CC1054="Aussen","Aussenlager",IF(CC1054="-","Nicht im Lift",IF(AN1054&gt;=1,"Lift",IF(AN1054&lt;=0,"Aussenlager","teilweise")))))</f>
        <v>Lift</v>
      </c>
      <c r="BH1054" s="48" t="str">
        <f aca="false">IF(AR1054&lt;=0,"",IF(CC1054="Aussen","Aussenlager",IF(CC1054="-","Nicht im Lift",IF(AW1054&gt;=1,"Lift",IF(AW1054&lt;=0,"Aussenlager","teilweise")))))</f>
        <v>Lift</v>
      </c>
      <c r="BI1054" s="48" t="str">
        <f aca="false">IF(BA1054&lt;=0,"",IF(CC1054="Aussen","Aussenlager",IF(CC1054="-","Nicht im Lift",IF(BF1054&gt;=1,"Lift",IF(BF1054&lt;=0,"Aussenlager","teilweise")))))</f>
        <v>Lift</v>
      </c>
      <c r="BJ1054" s="48" t="str">
        <f aca="false">IF(A1054="","",IF(BS1054=1,"Neu; ","")&amp;IF(AND(BS1054=0,BN1054&lt;0),"negativer Bestand (Export "&amp;BN1054&amp;"); ","")&amp;IF(J1054&lt;=0,"Kein Verbrauch; ","")&amp;IF(CL1054&gt;0,"Lift "&amp;W1054&amp;" lt. Liftbericht (Fach "&amp;X1054&amp;" Stk); ",IF(BX1054=1,"Gebinde geschätzt ("&amp;T1054&amp;"); ",IF(BW1054=1,"Lose – Tablare geschätzt; ","")))&amp;IF(H1054&gt;AT1054,"Überbestand "&amp;ROUND(H1054-AT1054,0)&amp;" Stk / CHF "&amp;ROUND((H1054-AT1054)*G1054,0)&amp;"; ","")&amp;IF(AND(CE1054=1,CF1054&lt;CG1054),"MAX &lt; MB+LG; ","")&amp;IF(AND(CK1054&gt;0,CJ1054*10&gt;CK1054),"zu hoch für Tablar; ","")&amp;IF(AND(BS1054=0,OR(CE1054=1,AA1054&lt;&gt;"",U1054&lt;&gt;"",V1054&lt;&gt;"",AB1054&lt;&gt;"")),"manuell übersteuert; ","")&amp;IF(AND(BW1054=0,R1054=0),"Gebinde unbekannt / Stellmass fehlt; ","")&amp;IF(AND(BW1054=0,N(V1054)&lt;=0,N(Q1054)&lt;=0),"Menge pro Gebinde fehlt (Ist = 1 Gebinde); ","")&amp;BR1054)</f>
        <v>negativer Bestand (Export -7); Neu</v>
      </c>
      <c r="BK1054" s="48"/>
      <c r="BL1054" s="48"/>
      <c r="BM1054" s="55"/>
      <c r="BN1054" s="50" t="n">
        <v>-7</v>
      </c>
      <c r="BO1054" s="50" t="n">
        <v>9</v>
      </c>
      <c r="BP1054" s="49" t="n">
        <v>-146.81</v>
      </c>
      <c r="BQ1054" s="50" t="n">
        <v>19</v>
      </c>
      <c r="BR1054" s="48" t="s">
        <v>630</v>
      </c>
      <c r="BS1054" s="53" t="n">
        <v>0</v>
      </c>
      <c r="BT1054" s="53" t="n">
        <v>1054</v>
      </c>
      <c r="BU1054" s="48" t="str">
        <f aca="false">IF(U1054&lt;&gt;"",UPPER(TRIM(U1054)),IF(BX1054=1,UPPER(VLOOKUP(T1054,Parameter!$I$27:$K$29,2,0)),IF(P1054="","LOSE",P1054)))</f>
        <v>S41</v>
      </c>
      <c r="BV1054" s="50" t="n">
        <f aca="false">IF(BU1054="LOSE",1,IF(N(V1054)&gt;0,V1054,IF(BX1054=1,MAX(1,N(VLOOKUP(T1054,Parameter!$I$27:$K$29,3,0)),H1054,N(N1054)),IF(N(Q1054)&gt;0,Q1054,MAX(1,H1054)))))</f>
        <v>9</v>
      </c>
      <c r="BW1054" s="53" t="n">
        <f aca="false">IF(BU1054="LOSE",1,0)</f>
        <v>0</v>
      </c>
      <c r="BX1054" s="53" t="n">
        <f aca="false">IF(AND(U1054="",OR(P1054="",P1054="LOSE"),T1054&lt;&gt;"",N(S1054)&lt;=0,ISNUMBER(MATCH(T1054,Parameter!$I$27:$I$29,0))),1,0)</f>
        <v>0</v>
      </c>
      <c r="BY1054" s="53" t="n">
        <f aca="false">IF(CL1054&gt;0,INDEX(Parameter!$H$5:$H$7,W1054)/INDEX(Parameter!$E$5:$E$7,W1054),IF(AND(BW1054=0,N(IFERROR(VLOOKUP(BU1054,'Gebinde-Kategorie'!$A$5:$N$45,14,0),0))&gt;0),VLOOKUP(BU1054,'Gebinde-Kategorie'!$A$5:$N$45,14,0)*10+Parameter!$M$23,Parameter!$M$24))</f>
        <v>155</v>
      </c>
      <c r="BZ1054" s="48" t="str">
        <f aca="false">IF(AND(Parameter!$B$19="Ja",E1054&lt;&gt;"",ISNUMBER(MATCH(E1054,Parameter!$I$35:$I$52,0))),VLOOKUP(E1054,Parameter!$I$35:$J$52,2,0),IFERROR(VLOOKUP(D1054,Parameter!$A$35:$C$64,2,0),"Nein"))</f>
        <v>2+3</v>
      </c>
      <c r="CA1054" s="52" t="n">
        <f aca="false">IF(BW1054=0,0,IF(N(S1054)&gt;0,S1054,IFERROR(VLOOKUP(D1054,Parameter!$A$35:$C$64,3,0)+0,0)))</f>
        <v>0</v>
      </c>
      <c r="CB1054" s="48" t="n">
        <f aca="false">IF(AA1054&lt;&gt;"",AA1054,Z1054)</f>
        <v>3</v>
      </c>
      <c r="CC1054" s="48" t="str">
        <f aca="false">IF(OR(CB1054=1,CB1054=2,CB1054=3),IF(Parameter!$E$27="Ja","LIFT",IF(CB1054=1,"L1","L23")),IF(CB1054="Aussen","Aussen","-"))</f>
        <v>LIFT</v>
      </c>
      <c r="CD1054" s="59" t="n">
        <f aca="false">IF(N(AB1054)&gt;0,AB1054,0)</f>
        <v>0</v>
      </c>
      <c r="CE1054" s="53" t="n">
        <f aca="false">IF(ISNUMBER(AE1054),1,0)</f>
        <v>0</v>
      </c>
      <c r="CF1054" s="50" t="n">
        <f aca="false">N(AE1054)</f>
        <v>0</v>
      </c>
      <c r="CG1054" s="50" t="n">
        <f aca="false">N(M1054)+N(N1054)</f>
        <v>21</v>
      </c>
      <c r="CH1054" s="50" t="n">
        <f aca="false">ROUNDUP(H1054/BV1054,0)</f>
        <v>1</v>
      </c>
      <c r="CI1054" s="50" t="n">
        <f aca="false">ROUNDUP(CF1054/BV1054,0)</f>
        <v>0</v>
      </c>
      <c r="CJ1054" s="53" t="n">
        <f aca="false">IF(BW1054=1,0,IFERROR(VLOOKUP(BU1054,'Gebinde-Kategorie'!$A$5:$N$45,5,0)+0,0))</f>
        <v>11</v>
      </c>
      <c r="CK1054" s="53" t="n">
        <f aca="false">IFERROR(IF(OR(CB1054=1,CB1054=2,CB1054=3),N(INDEX(Parameter!$I$5:$I$7,CB1054)),0),0)</f>
        <v>0</v>
      </c>
      <c r="CL1054" s="52" t="n">
        <f aca="false">IF(AND(Parameter!$B$21="Ja",ISNUMBER(W1054),N(X1054)&gt;0),IFERROR(N(INDEX(Parameter!$L$5:$L$7,W1054))*INDEX(Parameter!$E$5:$E$7,W1054)*X1054/SUMIFS($X$7:$X$1843,$W$7:$W$1843,W1054),0),0)</f>
        <v>0</v>
      </c>
    </row>
    <row r="1055" customFormat="false" ht="15" hidden="false" customHeight="false" outlineLevel="0" collapsed="false">
      <c r="A1055" s="48" t="s">
        <v>1933</v>
      </c>
      <c r="B1055" s="48" t="s">
        <v>1934</v>
      </c>
      <c r="C1055" s="48" t="s">
        <v>460</v>
      </c>
      <c r="D1055" s="48" t="s">
        <v>177</v>
      </c>
      <c r="E1055" s="48" t="s">
        <v>1483</v>
      </c>
      <c r="F1055" s="48" t="s">
        <v>222</v>
      </c>
      <c r="G1055" s="49" t="n">
        <v>147.86</v>
      </c>
      <c r="H1055" s="50" t="n">
        <f aca="false">MAX(0,IF(AND(Parameter!$B$21="Ja",ISNUMBER(Y1055)),Y1055,IF(Parameter!$B$20="Jahresanfang 2025 + Export",BO1055+BN1055,BN1055)))</f>
        <v>0</v>
      </c>
      <c r="I1055" s="50" t="n">
        <f aca="false">H1055*G1055</f>
        <v>0</v>
      </c>
      <c r="J1055" s="50" t="n">
        <f aca="false">BQ1055*Parameter!$B$18</f>
        <v>0</v>
      </c>
      <c r="K1055" s="51" t="n">
        <v>0.5</v>
      </c>
      <c r="L1055" s="52" t="n">
        <v>0</v>
      </c>
      <c r="M1055" s="50" t="n">
        <v>0</v>
      </c>
      <c r="N1055" s="50" t="n">
        <v>1</v>
      </c>
      <c r="O1055" s="53" t="n">
        <v>56</v>
      </c>
      <c r="P1055" s="48" t="s">
        <v>172</v>
      </c>
      <c r="Q1055" s="50"/>
      <c r="R1055" s="53" t="n">
        <f aca="false">IF(BW1055=1,0,IFERROR(VLOOKUP(BU1055,'Gebinde-Kategorie'!$A$5:$N$45,13,0)+0,0))</f>
        <v>4</v>
      </c>
      <c r="S1055" s="54"/>
      <c r="T1055" s="55" t="s">
        <v>193</v>
      </c>
      <c r="U1055" s="55"/>
      <c r="V1055" s="55"/>
      <c r="W1055" s="48"/>
      <c r="X1055" s="50"/>
      <c r="Y1055" s="50"/>
      <c r="Z1055" s="48" t="str">
        <f aca="false">IF(A1055="","",IF(AND(Parameter!$B$21="Ja",ISNUMBER(W1055)),W1055,IF(BZ1055="2+3",IF(ISNUMBER(SEARCH("grosser Artikel",BR1055)),2,IFERROR(VLOOKUP(BU1055,Parameter!$F$35:$G$64,2,0),2)),IF(OR(BZ1055="Nein",BZ1055=""),"-",BZ1055))))</f>
        <v>-</v>
      </c>
      <c r="AA1055" s="55"/>
      <c r="AB1055" s="56"/>
      <c r="AC1055" s="50" t="n">
        <f aca="false">AT1055</f>
        <v>2</v>
      </c>
      <c r="AD1055" s="50" t="n">
        <f aca="false">MAX(AT1055,H1055)</f>
        <v>2</v>
      </c>
      <c r="AE1055" s="57"/>
      <c r="AF1055" s="50" t="n">
        <f aca="false">IF(LEFT(Cockpit!$C$5,1)="A",H1055,IF(CE1055=1,CF1055,IF(LEFT(Cockpit!$C$5,1)="B",AK1055,MAX(AK1055,H1055))))</f>
        <v>0</v>
      </c>
      <c r="AG1055" s="50" t="n">
        <f aca="false">IF(BW1055=1,0,ROUNDUP(AF1055/BV1055,0))</f>
        <v>0</v>
      </c>
      <c r="AH1055" s="52" t="n">
        <f aca="false">IF(CL1055&gt;0,CL1055*MAX(1,AF1055/X1055),IF(BW1055=1,IF(AF1055&lt;=0,0,CA1055*MAX(1,IF(H1055&gt;0,AF1055/H1055,1))),IF(R1055&gt;0,AG1055/R1055,0))/MAX(0.1,N(Parameter!$M$21)))</f>
        <v>0</v>
      </c>
      <c r="AI1055" s="50" t="n">
        <f aca="false">AH1055*BY1055</f>
        <v>0</v>
      </c>
      <c r="AJ1055" s="50" t="n">
        <f aca="false">AF1055*G1055</f>
        <v>0</v>
      </c>
      <c r="AK1055" s="50" t="n">
        <f aca="false">ROUNDUP(MAX(J1055/IF(CD1055&gt;0,CD1055,MAX(0.1,N(Cockpit!$C$6))),CG1055)/BV1055,0)*BV1055</f>
        <v>2</v>
      </c>
      <c r="AL1055" s="51" t="n">
        <f aca="false">IF(AI1055&gt;0,J1055/AI1055,-1)</f>
        <v>-1</v>
      </c>
      <c r="AM1055" s="51" t="str">
        <f aca="false">IF(AND(OR(CC1055="L1",CC1055="L23",CC1055="LIFT"),AI1055&gt;0),SUMIFS($AI$7:$AI$1843,$CC$7:$CC$1843,CC1055,$AL$7:$AL$1843,"&gt;"&amp;AL1055)+SUMIFS($AI$7:$AI$1843,$CC$7:$CC$1843,CC1055,$AL$7:$AL$1843,AL1055,$BT$7:$BT$1843,"&lt;="&amp;BT1055),"")</f>
        <v/>
      </c>
      <c r="AN1055" s="58" t="n">
        <f aca="false">IF(AM1055="",0,MAX(0,MIN(1,(IF(CC1055="L1",Parameter!$H$5,IF(CC1055="L23",Parameter!$H$6+Parameter!$H$7,Parameter!$H$5+Parameter!$H$6+Parameter!$H$7))-(AM1055-AI1055))/AI1055)))</f>
        <v>0</v>
      </c>
      <c r="AO1055" s="50" t="n">
        <f aca="false">IF(LEFT(Cockpit!$I$5,1)="A",H1055,IF(CE1055=1,CF1055,IF(LEFT(Cockpit!$I$5,1)="B",AT1055,MAX(AT1055,H1055))))</f>
        <v>2</v>
      </c>
      <c r="AP1055" s="50" t="n">
        <f aca="false">IF(BW1055=1,0,ROUNDUP(AO1055/BV1055,0))</f>
        <v>1</v>
      </c>
      <c r="AQ1055" s="52" t="n">
        <f aca="false">IF(CL1055&gt;0,CL1055*MAX(1,AO1055/X1055),IF(BW1055=1,IF(AO1055&lt;=0,0,CA1055*MAX(1,IF(H1055&gt;0,AO1055/H1055,1))),IF(R1055&gt;0,AP1055/R1055,0))/MAX(0.1,N(Parameter!$M$21)))</f>
        <v>0.25</v>
      </c>
      <c r="AR1055" s="50" t="n">
        <f aca="false">AQ1055*BY1055</f>
        <v>58.75</v>
      </c>
      <c r="AS1055" s="50" t="n">
        <f aca="false">AO1055*G1055</f>
        <v>295.72</v>
      </c>
      <c r="AT1055" s="50" t="n">
        <f aca="false">ROUNDUP(MAX(J1055/IF(CD1055&gt;0,CD1055,MAX(0.1,N(Cockpit!$I$6))),CG1055)/BV1055,0)*BV1055</f>
        <v>2</v>
      </c>
      <c r="AU1055" s="51" t="n">
        <f aca="false">IF(AR1055&gt;0,J1055/AR1055,-1)</f>
        <v>0</v>
      </c>
      <c r="AV1055" s="51" t="str">
        <f aca="false">IF(AND(OR(CC1055="L1",CC1055="L23",CC1055="LIFT"),AR1055&gt;0),SUMIFS($AR$7:$AR$1843,$CC$7:$CC$1843,CC1055,$AU$7:$AU$1843,"&gt;"&amp;AU1055)+SUMIFS($AR$7:$AR$1843,$CC$7:$CC$1843,CC1055,$AU$7:$AU$1843,AU1055,$BT$7:$BT$1843,"&lt;="&amp;BT1055),"")</f>
        <v/>
      </c>
      <c r="AW1055" s="58" t="n">
        <f aca="false">IF(AV1055="",0,MAX(0,MIN(1,(IF(CC1055="L1",Parameter!$H$5,IF(CC1055="L23",Parameter!$H$6+Parameter!$H$7,Parameter!$H$5+Parameter!$H$6+Parameter!$H$7))-(AV1055-AR1055))/AR1055)))</f>
        <v>0</v>
      </c>
      <c r="AX1055" s="50" t="n">
        <f aca="false">IF(LEFT(Cockpit!$O$5,1)="A",H1055,IF(CE1055=1,CF1055,IF(LEFT(Cockpit!$O$5,1)="B",BC1055,MAX(BC1055,H1055))))</f>
        <v>2</v>
      </c>
      <c r="AY1055" s="50" t="n">
        <f aca="false">IF(BW1055=1,0,ROUNDUP(AX1055/BV1055,0))</f>
        <v>1</v>
      </c>
      <c r="AZ1055" s="52" t="n">
        <f aca="false">IF(CL1055&gt;0,CL1055*MAX(1,AX1055/X1055),IF(BW1055=1,IF(AX1055&lt;=0,0,CA1055*MAX(1,IF(H1055&gt;0,AX1055/H1055,1))),IF(R1055&gt;0,AY1055/R1055,0))/MAX(0.1,N(Parameter!$M$21)))</f>
        <v>0.25</v>
      </c>
      <c r="BA1055" s="50" t="n">
        <f aca="false">AZ1055*BY1055</f>
        <v>58.75</v>
      </c>
      <c r="BB1055" s="50" t="n">
        <f aca="false">AX1055*G1055</f>
        <v>295.72</v>
      </c>
      <c r="BC1055" s="50" t="n">
        <f aca="false">ROUNDUP(MAX(J1055/IF(CD1055&gt;0,CD1055,MAX(0.1,N(Cockpit!$O$6))),CG1055)/BV1055,0)*BV1055</f>
        <v>2</v>
      </c>
      <c r="BD1055" s="51" t="n">
        <f aca="false">IF(BA1055&gt;0,J1055/BA1055,-1)</f>
        <v>0</v>
      </c>
      <c r="BE1055" s="51" t="str">
        <f aca="false">IF(AND(OR(CC1055="L1",CC1055="L23",CC1055="LIFT"),BA1055&gt;0),SUMIFS($BA$7:$BA$1843,$CC$7:$CC$1843,CC1055,$BD$7:$BD$1843,"&gt;"&amp;BD1055)+SUMIFS($BA$7:$BA$1843,$CC$7:$CC$1843,CC1055,$BD$7:$BD$1843,BD1055,$BT$7:$BT$1843,"&lt;="&amp;BT1055),"")</f>
        <v/>
      </c>
      <c r="BF1055" s="58" t="n">
        <f aca="false">IF(BE1055="",0,MAX(0,MIN(1,(IF(CC1055="L1",Parameter!$H$5,IF(CC1055="L23",Parameter!$H$6+Parameter!$H$7,Parameter!$H$5+Parameter!$H$6+Parameter!$H$7))-(BE1055-BA1055))/BA1055)))</f>
        <v>0</v>
      </c>
      <c r="BG1055" s="48" t="str">
        <f aca="false">IF(AI1055&lt;=0,"",IF(CC1055="Aussen","Aussenlager",IF(CC1055="-","Nicht im Lift",IF(AN1055&gt;=1,"Lift",IF(AN1055&lt;=0,"Aussenlager","teilweise")))))</f>
        <v/>
      </c>
      <c r="BH1055" s="48" t="str">
        <f aca="false">IF(AR1055&lt;=0,"",IF(CC1055="Aussen","Aussenlager",IF(CC1055="-","Nicht im Lift",IF(AW1055&gt;=1,"Lift",IF(AW1055&lt;=0,"Aussenlager","teilweise")))))</f>
        <v>Nicht im Lift</v>
      </c>
      <c r="BI1055" s="48" t="str">
        <f aca="false">IF(BA1055&lt;=0,"",IF(CC1055="Aussen","Aussenlager",IF(CC1055="-","Nicht im Lift",IF(BF1055&gt;=1,"Lift",IF(BF1055&lt;=0,"Aussenlager","teilweise")))))</f>
        <v>Nicht im Lift</v>
      </c>
      <c r="BJ1055" s="48" t="str">
        <f aca="false">IF(A1055="","",IF(BS1055=1,"Neu; ","")&amp;IF(AND(BS1055=0,BN1055&lt;0),"negativer Bestand (Export "&amp;BN1055&amp;"); ","")&amp;IF(J1055&lt;=0,"Kein Verbrauch; ","")&amp;IF(CL1055&gt;0,"Lift "&amp;W1055&amp;" lt. Liftbericht (Fach "&amp;X1055&amp;" Stk); ",IF(BX1055=1,"Gebinde geschätzt ("&amp;T1055&amp;"); ",IF(BW1055=1,"Lose – Tablare geschätzt; ","")))&amp;IF(H1055&gt;AT1055,"Überbestand "&amp;ROUND(H1055-AT1055,0)&amp;" Stk / CHF "&amp;ROUND((H1055-AT1055)*G1055,0)&amp;"; ","")&amp;IF(AND(CE1055=1,CF1055&lt;CG1055),"MAX &lt; MB+LG; ","")&amp;IF(AND(CK1055&gt;0,CJ1055*10&gt;CK1055),"zu hoch für Tablar; ","")&amp;IF(AND(BS1055=0,OR(CE1055=1,AA1055&lt;&gt;"",U1055&lt;&gt;"",V1055&lt;&gt;"",AB1055&lt;&gt;"")),"manuell übersteuert; ","")&amp;IF(AND(BW1055=0,R1055=0),"Gebinde unbekannt / Stellmass fehlt; ","")&amp;IF(AND(BW1055=0,N(V1055)&lt;=0,N(Q1055)&lt;=0),"Menge pro Gebinde fehlt (Ist = 1 Gebinde); ","")&amp;BR1055)</f>
        <v>negativer Bestand (Export -1); Kein Verbrauch; Gebinde geschätzt (Gross); Menge pro Gebinde fehlt (Ist = 1 Gebinde); Neu</v>
      </c>
      <c r="BK1055" s="48"/>
      <c r="BL1055" s="48"/>
      <c r="BM1055" s="55"/>
      <c r="BN1055" s="50" t="n">
        <v>-1</v>
      </c>
      <c r="BO1055" s="50" t="n">
        <v>1</v>
      </c>
      <c r="BP1055" s="49" t="n">
        <v>-147.86</v>
      </c>
      <c r="BQ1055" s="50" t="n">
        <v>0</v>
      </c>
      <c r="BR1055" s="48" t="s">
        <v>630</v>
      </c>
      <c r="BS1055" s="53" t="n">
        <v>0</v>
      </c>
      <c r="BT1055" s="53" t="n">
        <v>1055</v>
      </c>
      <c r="BU1055" s="48" t="str">
        <f aca="false">IF(U1055&lt;&gt;"",UPPER(TRIM(U1055)),IF(BX1055=1,UPPER(VLOOKUP(T1055,Parameter!$I$27:$K$29,2,0)),IF(P1055="","LOSE",P1055)))</f>
        <v>S81</v>
      </c>
      <c r="BV1055" s="50" t="n">
        <f aca="false">IF(BU1055="LOSE",1,IF(N(V1055)&gt;0,V1055,IF(BX1055=1,MAX(1,N(VLOOKUP(T1055,Parameter!$I$27:$K$29,3,0)),H1055,N(N1055)),IF(N(Q1055)&gt;0,Q1055,MAX(1,H1055)))))</f>
        <v>2</v>
      </c>
      <c r="BW1055" s="53" t="n">
        <f aca="false">IF(BU1055="LOSE",1,0)</f>
        <v>0</v>
      </c>
      <c r="BX1055" s="53" t="n">
        <f aca="false">IF(AND(U1055="",OR(P1055="",P1055="LOSE"),T1055&lt;&gt;"",N(S1055)&lt;=0,ISNUMBER(MATCH(T1055,Parameter!$I$27:$I$29,0))),1,0)</f>
        <v>1</v>
      </c>
      <c r="BY1055" s="53" t="n">
        <f aca="false">IF(CL1055&gt;0,INDEX(Parameter!$H$5:$H$7,W1055)/INDEX(Parameter!$E$5:$E$7,W1055),IF(AND(BW1055=0,N(IFERROR(VLOOKUP(BU1055,'Gebinde-Kategorie'!$A$5:$N$45,14,0),0))&gt;0),VLOOKUP(BU1055,'Gebinde-Kategorie'!$A$5:$N$45,14,0)*10+Parameter!$M$23,Parameter!$M$24))</f>
        <v>235</v>
      </c>
      <c r="BZ1055" s="48" t="str">
        <f aca="false">IF(AND(Parameter!$B$19="Ja",E1055&lt;&gt;"",ISNUMBER(MATCH(E1055,Parameter!$I$35:$I$52,0))),VLOOKUP(E1055,Parameter!$I$35:$J$52,2,0),IFERROR(VLOOKUP(D1055,Parameter!$A$35:$C$64,2,0),"Nein"))</f>
        <v>Nein</v>
      </c>
      <c r="CA1055" s="52" t="n">
        <f aca="false">IF(BW1055=0,0,IF(N(S1055)&gt;0,S1055,IFERROR(VLOOKUP(D1055,Parameter!$A$35:$C$64,3,0)+0,0)))</f>
        <v>0</v>
      </c>
      <c r="CB1055" s="48" t="str">
        <f aca="false">IF(AA1055&lt;&gt;"",AA1055,Z1055)</f>
        <v>-</v>
      </c>
      <c r="CC1055" s="48" t="str">
        <f aca="false">IF(OR(CB1055=1,CB1055=2,CB1055=3),IF(Parameter!$E$27="Ja","LIFT",IF(CB1055=1,"L1","L23")),IF(CB1055="Aussen","Aussen","-"))</f>
        <v>-</v>
      </c>
      <c r="CD1055" s="59" t="n">
        <f aca="false">IF(N(AB1055)&gt;0,AB1055,0)</f>
        <v>0</v>
      </c>
      <c r="CE1055" s="53" t="n">
        <f aca="false">IF(ISNUMBER(AE1055),1,0)</f>
        <v>0</v>
      </c>
      <c r="CF1055" s="50" t="n">
        <f aca="false">N(AE1055)</f>
        <v>0</v>
      </c>
      <c r="CG1055" s="50" t="n">
        <f aca="false">N(M1055)+N(N1055)</f>
        <v>1</v>
      </c>
      <c r="CH1055" s="50" t="n">
        <f aca="false">ROUNDUP(H1055/BV1055,0)</f>
        <v>0</v>
      </c>
      <c r="CI1055" s="50" t="n">
        <f aca="false">ROUNDUP(CF1055/BV1055,0)</f>
        <v>0</v>
      </c>
      <c r="CJ1055" s="53" t="n">
        <f aca="false">IF(BW1055=1,0,IFERROR(VLOOKUP(BU1055,'Gebinde-Kategorie'!$A$5:$N$45,5,0)+0,0))</f>
        <v>20</v>
      </c>
      <c r="CK1055" s="53" t="n">
        <f aca="false">IFERROR(IF(OR(CB1055=1,CB1055=2,CB1055=3),N(INDEX(Parameter!$I$5:$I$7,CB1055)),0),0)</f>
        <v>0</v>
      </c>
      <c r="CL1055" s="52" t="n">
        <f aca="false">IF(AND(Parameter!$B$21="Ja",ISNUMBER(W1055),N(X1055)&gt;0),IFERROR(N(INDEX(Parameter!$L$5:$L$7,W1055))*INDEX(Parameter!$E$5:$E$7,W1055)*X1055/SUMIFS($X$7:$X$1843,$W$7:$W$1843,W1055),0),0)</f>
        <v>0</v>
      </c>
    </row>
    <row r="1056" customFormat="false" ht="15" hidden="false" customHeight="false" outlineLevel="0" collapsed="false">
      <c r="A1056" s="48" t="s">
        <v>1935</v>
      </c>
      <c r="B1056" s="48" t="s">
        <v>1936</v>
      </c>
      <c r="C1056" s="48" t="s">
        <v>168</v>
      </c>
      <c r="D1056" s="48" t="s">
        <v>188</v>
      </c>
      <c r="E1056" s="48"/>
      <c r="F1056" s="48" t="s">
        <v>222</v>
      </c>
      <c r="G1056" s="49" t="n">
        <v>147.96</v>
      </c>
      <c r="H1056" s="50" t="n">
        <f aca="false">MAX(0,IF(AND(Parameter!$B$21="Ja",ISNUMBER(Y1056)),Y1056,IF(Parameter!$B$20="Jahresanfang 2025 + Export",BO1056+BN1056,BN1056)))</f>
        <v>4</v>
      </c>
      <c r="I1056" s="50" t="n">
        <f aca="false">H1056*G1056</f>
        <v>591.84</v>
      </c>
      <c r="J1056" s="50" t="n">
        <f aca="false">BQ1056*Parameter!$B$18</f>
        <v>0</v>
      </c>
      <c r="K1056" s="51" t="n">
        <v>4.5</v>
      </c>
      <c r="L1056" s="52" t="n">
        <v>0</v>
      </c>
      <c r="M1056" s="50" t="n">
        <v>0</v>
      </c>
      <c r="N1056" s="50" t="n">
        <v>1</v>
      </c>
      <c r="O1056" s="53" t="n">
        <v>56</v>
      </c>
      <c r="P1056" s="48" t="s">
        <v>306</v>
      </c>
      <c r="Q1056" s="50" t="n">
        <v>5</v>
      </c>
      <c r="R1056" s="53" t="n">
        <f aca="false">IF(BW1056=1,0,IFERROR(VLOOKUP(BU1056,'Gebinde-Kategorie'!$A$5:$N$45,13,0)+0,0))</f>
        <v>26</v>
      </c>
      <c r="S1056" s="54"/>
      <c r="T1056" s="55"/>
      <c r="U1056" s="55"/>
      <c r="V1056" s="55"/>
      <c r="W1056" s="48"/>
      <c r="X1056" s="50"/>
      <c r="Y1056" s="50"/>
      <c r="Z1056" s="48" t="n">
        <f aca="false">IF(A1056="","",IF(AND(Parameter!$B$21="Ja",ISNUMBER(W1056)),W1056,IF(BZ1056="2+3",IF(ISNUMBER(SEARCH("grosser Artikel",BR1056)),2,IFERROR(VLOOKUP(BU1056,Parameter!$F$35:$G$64,2,0),2)),IF(OR(BZ1056="Nein",BZ1056=""),"-",BZ1056))))</f>
        <v>3</v>
      </c>
      <c r="AA1056" s="55"/>
      <c r="AB1056" s="56"/>
      <c r="AC1056" s="50" t="n">
        <f aca="false">AT1056</f>
        <v>5</v>
      </c>
      <c r="AD1056" s="50" t="n">
        <f aca="false">MAX(AT1056,H1056)</f>
        <v>5</v>
      </c>
      <c r="AE1056" s="57"/>
      <c r="AF1056" s="50" t="n">
        <f aca="false">IF(LEFT(Cockpit!$C$5,1)="A",H1056,IF(CE1056=1,CF1056,IF(LEFT(Cockpit!$C$5,1)="B",AK1056,MAX(AK1056,H1056))))</f>
        <v>4</v>
      </c>
      <c r="AG1056" s="50" t="n">
        <f aca="false">IF(BW1056=1,0,ROUNDUP(AF1056/BV1056,0))</f>
        <v>1</v>
      </c>
      <c r="AH1056" s="52" t="n">
        <f aca="false">IF(CL1056&gt;0,CL1056*MAX(1,AF1056/X1056),IF(BW1056=1,IF(AF1056&lt;=0,0,CA1056*MAX(1,IF(H1056&gt;0,AF1056/H1056,1))),IF(R1056&gt;0,AG1056/R1056,0))/MAX(0.1,N(Parameter!$M$21)))</f>
        <v>0.0384615384615385</v>
      </c>
      <c r="AI1056" s="50" t="n">
        <f aca="false">AH1056*BY1056</f>
        <v>5.96153846153846</v>
      </c>
      <c r="AJ1056" s="50" t="n">
        <f aca="false">AF1056*G1056</f>
        <v>591.84</v>
      </c>
      <c r="AK1056" s="50" t="n">
        <f aca="false">ROUNDUP(MAX(J1056/IF(CD1056&gt;0,CD1056,MAX(0.1,N(Cockpit!$C$6))),CG1056)/BV1056,0)*BV1056</f>
        <v>5</v>
      </c>
      <c r="AL1056" s="51" t="n">
        <f aca="false">IF(AI1056&gt;0,J1056/AI1056,-1)</f>
        <v>0</v>
      </c>
      <c r="AM1056" s="51" t="n">
        <f aca="false">IF(AND(OR(CC1056="L1",CC1056="L23",CC1056="LIFT"),AI1056&gt;0),SUMIFS($AI$7:$AI$1843,$CC$7:$CC$1843,CC1056,$AL$7:$AL$1843,"&gt;"&amp;AL1056)+SUMIFS($AI$7:$AI$1843,$CC$7:$CC$1843,CC1056,$AL$7:$AL$1843,AL1056,$BT$7:$BT$1843,"&lt;="&amp;BT1056),"")</f>
        <v>29094.221779868</v>
      </c>
      <c r="AN1056" s="58" t="n">
        <f aca="false">IF(AM1056="",0,MAX(0,MIN(1,(IF(CC1056="L1",Parameter!$H$5,IF(CC1056="L23",Parameter!$H$6+Parameter!$H$7,Parameter!$H$5+Parameter!$H$6+Parameter!$H$7))-(AM1056-AI1056))/AI1056)))</f>
        <v>1</v>
      </c>
      <c r="AO1056" s="50" t="n">
        <f aca="false">IF(LEFT(Cockpit!$I$5,1)="A",H1056,IF(CE1056=1,CF1056,IF(LEFT(Cockpit!$I$5,1)="B",AT1056,MAX(AT1056,H1056))))</f>
        <v>5</v>
      </c>
      <c r="AP1056" s="50" t="n">
        <f aca="false">IF(BW1056=1,0,ROUNDUP(AO1056/BV1056,0))</f>
        <v>1</v>
      </c>
      <c r="AQ1056" s="52" t="n">
        <f aca="false">IF(CL1056&gt;0,CL1056*MAX(1,AO1056/X1056),IF(BW1056=1,IF(AO1056&lt;=0,0,CA1056*MAX(1,IF(H1056&gt;0,AO1056/H1056,1))),IF(R1056&gt;0,AP1056/R1056,0))/MAX(0.1,N(Parameter!$M$21)))</f>
        <v>0.0384615384615385</v>
      </c>
      <c r="AR1056" s="50" t="n">
        <f aca="false">AQ1056*BY1056</f>
        <v>5.96153846153846</v>
      </c>
      <c r="AS1056" s="50" t="n">
        <f aca="false">AO1056*G1056</f>
        <v>739.8</v>
      </c>
      <c r="AT1056" s="50" t="n">
        <f aca="false">ROUNDUP(MAX(J1056/IF(CD1056&gt;0,CD1056,MAX(0.1,N(Cockpit!$I$6))),CG1056)/BV1056,0)*BV1056</f>
        <v>5</v>
      </c>
      <c r="AU1056" s="51" t="n">
        <f aca="false">IF(AR1056&gt;0,J1056/AR1056,-1)</f>
        <v>0</v>
      </c>
      <c r="AV1056" s="51" t="n">
        <f aca="false">IF(AND(OR(CC1056="L1",CC1056="L23",CC1056="LIFT"),AR1056&gt;0),SUMIFS($AR$7:$AR$1843,$CC$7:$CC$1843,CC1056,$AU$7:$AU$1843,"&gt;"&amp;AU1056)+SUMIFS($AR$7:$AR$1843,$CC$7:$CC$1843,CC1056,$AU$7:$AU$1843,AU1056,$BT$7:$BT$1843,"&lt;="&amp;BT1056),"")</f>
        <v>40762.8658502514</v>
      </c>
      <c r="AW1056" s="58" t="n">
        <f aca="false">IF(AV1056="",0,MAX(0,MIN(1,(IF(CC1056="L1",Parameter!$H$5,IF(CC1056="L23",Parameter!$H$6+Parameter!$H$7,Parameter!$H$5+Parameter!$H$6+Parameter!$H$7))-(AV1056-AR1056))/AR1056)))</f>
        <v>0</v>
      </c>
      <c r="AX1056" s="50" t="n">
        <f aca="false">IF(LEFT(Cockpit!$O$5,1)="A",H1056,IF(CE1056=1,CF1056,IF(LEFT(Cockpit!$O$5,1)="B",BC1056,MAX(BC1056,H1056))))</f>
        <v>5</v>
      </c>
      <c r="AY1056" s="50" t="n">
        <f aca="false">IF(BW1056=1,0,ROUNDUP(AX1056/BV1056,0))</f>
        <v>1</v>
      </c>
      <c r="AZ1056" s="52" t="n">
        <f aca="false">IF(CL1056&gt;0,CL1056*MAX(1,AX1056/X1056),IF(BW1056=1,IF(AX1056&lt;=0,0,CA1056*MAX(1,IF(H1056&gt;0,AX1056/H1056,1))),IF(R1056&gt;0,AY1056/R1056,0))/MAX(0.1,N(Parameter!$M$21)))</f>
        <v>0.0384615384615385</v>
      </c>
      <c r="BA1056" s="50" t="n">
        <f aca="false">AZ1056*BY1056</f>
        <v>5.96153846153846</v>
      </c>
      <c r="BB1056" s="50" t="n">
        <f aca="false">AX1056*G1056</f>
        <v>739.8</v>
      </c>
      <c r="BC1056" s="50" t="n">
        <f aca="false">ROUNDUP(MAX(J1056/IF(CD1056&gt;0,CD1056,MAX(0.1,N(Cockpit!$O$6))),CG1056)/BV1056,0)*BV1056</f>
        <v>5</v>
      </c>
      <c r="BD1056" s="51" t="n">
        <f aca="false">IF(BA1056&gt;0,J1056/BA1056,-1)</f>
        <v>0</v>
      </c>
      <c r="BE1056" s="51" t="n">
        <f aca="false">IF(AND(OR(CC1056="L1",CC1056="L23",CC1056="LIFT"),BA1056&gt;0),SUMIFS($BA$7:$BA$1843,$CC$7:$CC$1843,CC1056,$BD$7:$BD$1843,"&gt;"&amp;BD1056)+SUMIFS($BA$7:$BA$1843,$CC$7:$CC$1843,CC1056,$BD$7:$BD$1843,BD1056,$BT$7:$BT$1843,"&lt;="&amp;BT1056),"")</f>
        <v>37437.8778921173</v>
      </c>
      <c r="BF1056" s="58" t="n">
        <f aca="false">IF(BE1056="",0,MAX(0,MIN(1,(IF(CC1056="L1",Parameter!$H$5,IF(CC1056="L23",Parameter!$H$6+Parameter!$H$7,Parameter!$H$5+Parameter!$H$6+Parameter!$H$7))-(BE1056-BA1056))/BA1056)))</f>
        <v>0</v>
      </c>
      <c r="BG1056" s="48" t="str">
        <f aca="false">IF(AI1056&lt;=0,"",IF(CC1056="Aussen","Aussenlager",IF(CC1056="-","Nicht im Lift",IF(AN1056&gt;=1,"Lift",IF(AN1056&lt;=0,"Aussenlager","teilweise")))))</f>
        <v>Lift</v>
      </c>
      <c r="BH1056" s="48" t="str">
        <f aca="false">IF(AR1056&lt;=0,"",IF(CC1056="Aussen","Aussenlager",IF(CC1056="-","Nicht im Lift",IF(AW1056&gt;=1,"Lift",IF(AW1056&lt;=0,"Aussenlager","teilweise")))))</f>
        <v>Aussenlager</v>
      </c>
      <c r="BI1056" s="48" t="str">
        <f aca="false">IF(BA1056&lt;=0,"",IF(CC1056="Aussen","Aussenlager",IF(CC1056="-","Nicht im Lift",IF(BF1056&gt;=1,"Lift",IF(BF1056&lt;=0,"Aussenlager","teilweise")))))</f>
        <v>Aussenlager</v>
      </c>
      <c r="BJ1056" s="48" t="str">
        <f aca="false">IF(A1056="","",IF(BS1056=1,"Neu; ","")&amp;IF(AND(BS1056=0,BN1056&lt;0),"negativer Bestand (Export "&amp;BN1056&amp;"); ","")&amp;IF(J1056&lt;=0,"Kein Verbrauch; ","")&amp;IF(CL1056&gt;0,"Lift "&amp;W1056&amp;" lt. Liftbericht (Fach "&amp;X1056&amp;" Stk); ",IF(BX1056=1,"Gebinde geschätzt ("&amp;T1056&amp;"); ",IF(BW1056=1,"Lose – Tablare geschätzt; ","")))&amp;IF(H1056&gt;AT1056,"Überbestand "&amp;ROUND(H1056-AT1056,0)&amp;" Stk / CHF "&amp;ROUND((H1056-AT1056)*G1056,0)&amp;"; ","")&amp;IF(AND(CE1056=1,CF1056&lt;CG1056),"MAX &lt; MB+LG; ","")&amp;IF(AND(CK1056&gt;0,CJ1056*10&gt;CK1056),"zu hoch für Tablar; ","")&amp;IF(AND(BS1056=0,OR(CE1056=1,AA1056&lt;&gt;"",U1056&lt;&gt;"",V1056&lt;&gt;"",AB1056&lt;&gt;"")),"manuell übersteuert; ","")&amp;IF(AND(BW1056=0,R1056=0),"Gebinde unbekannt / Stellmass fehlt; ","")&amp;IF(AND(BW1056=0,N(V1056)&lt;=0,N(Q1056)&lt;=0),"Menge pro Gebinde fehlt (Ist = 1 Gebinde); ","")&amp;BR1056)</f>
        <v>negativer Bestand (Export -1); Kein Verbrauch; </v>
      </c>
      <c r="BK1056" s="48"/>
      <c r="BL1056" s="48"/>
      <c r="BM1056" s="55"/>
      <c r="BN1056" s="50" t="n">
        <v>-1</v>
      </c>
      <c r="BO1056" s="50" t="n">
        <v>5</v>
      </c>
      <c r="BP1056" s="49" t="n">
        <v>-147.96</v>
      </c>
      <c r="BQ1056" s="50" t="n">
        <v>0</v>
      </c>
      <c r="BR1056" s="48"/>
      <c r="BS1056" s="53" t="n">
        <v>0</v>
      </c>
      <c r="BT1056" s="53" t="n">
        <v>1056</v>
      </c>
      <c r="BU1056" s="48" t="str">
        <f aca="false">IF(U1056&lt;&gt;"",UPPER(TRIM(U1056)),IF(BX1056=1,UPPER(VLOOKUP(T1056,Parameter!$I$27:$K$29,2,0)),IF(P1056="","LOSE",P1056)))</f>
        <v>S51</v>
      </c>
      <c r="BV1056" s="50" t="n">
        <f aca="false">IF(BU1056="LOSE",1,IF(N(V1056)&gt;0,V1056,IF(BX1056=1,MAX(1,N(VLOOKUP(T1056,Parameter!$I$27:$K$29,3,0)),H1056,N(N1056)),IF(N(Q1056)&gt;0,Q1056,MAX(1,H1056)))))</f>
        <v>5</v>
      </c>
      <c r="BW1056" s="53" t="n">
        <f aca="false">IF(BU1056="LOSE",1,0)</f>
        <v>0</v>
      </c>
      <c r="BX1056" s="53" t="n">
        <f aca="false">IF(AND(U1056="",OR(P1056="",P1056="LOSE"),T1056&lt;&gt;"",N(S1056)&lt;=0,ISNUMBER(MATCH(T1056,Parameter!$I$27:$I$29,0))),1,0)</f>
        <v>0</v>
      </c>
      <c r="BY1056" s="53" t="n">
        <f aca="false">IF(CL1056&gt;0,INDEX(Parameter!$H$5:$H$7,W1056)/INDEX(Parameter!$E$5:$E$7,W1056),IF(AND(BW1056=0,N(IFERROR(VLOOKUP(BU1056,'Gebinde-Kategorie'!$A$5:$N$45,14,0),0))&gt;0),VLOOKUP(BU1056,'Gebinde-Kategorie'!$A$5:$N$45,14,0)*10+Parameter!$M$23,Parameter!$M$24))</f>
        <v>155</v>
      </c>
      <c r="BZ1056" s="48" t="str">
        <f aca="false">IF(AND(Parameter!$B$19="Ja",E1056&lt;&gt;"",ISNUMBER(MATCH(E1056,Parameter!$I$35:$I$52,0))),VLOOKUP(E1056,Parameter!$I$35:$J$52,2,0),IFERROR(VLOOKUP(D1056,Parameter!$A$35:$C$64,2,0),"Nein"))</f>
        <v>2+3</v>
      </c>
      <c r="CA1056" s="52" t="n">
        <f aca="false">IF(BW1056=0,0,IF(N(S1056)&gt;0,S1056,IFERROR(VLOOKUP(D1056,Parameter!$A$35:$C$64,3,0)+0,0)))</f>
        <v>0</v>
      </c>
      <c r="CB1056" s="48" t="n">
        <f aca="false">IF(AA1056&lt;&gt;"",AA1056,Z1056)</f>
        <v>3</v>
      </c>
      <c r="CC1056" s="48" t="str">
        <f aca="false">IF(OR(CB1056=1,CB1056=2,CB1056=3),IF(Parameter!$E$27="Ja","LIFT",IF(CB1056=1,"L1","L23")),IF(CB1056="Aussen","Aussen","-"))</f>
        <v>LIFT</v>
      </c>
      <c r="CD1056" s="59" t="n">
        <f aca="false">IF(N(AB1056)&gt;0,AB1056,0)</f>
        <v>0</v>
      </c>
      <c r="CE1056" s="53" t="n">
        <f aca="false">IF(ISNUMBER(AE1056),1,0)</f>
        <v>0</v>
      </c>
      <c r="CF1056" s="50" t="n">
        <f aca="false">N(AE1056)</f>
        <v>0</v>
      </c>
      <c r="CG1056" s="50" t="n">
        <f aca="false">N(M1056)+N(N1056)</f>
        <v>1</v>
      </c>
      <c r="CH1056" s="50" t="n">
        <f aca="false">ROUNDUP(H1056/BV1056,0)</f>
        <v>1</v>
      </c>
      <c r="CI1056" s="50" t="n">
        <f aca="false">ROUNDUP(CF1056/BV1056,0)</f>
        <v>0</v>
      </c>
      <c r="CJ1056" s="53" t="n">
        <f aca="false">IF(BW1056=1,0,IFERROR(VLOOKUP(BU1056,'Gebinde-Kategorie'!$A$5:$N$45,5,0)+0,0))</f>
        <v>11</v>
      </c>
      <c r="CK1056" s="53" t="n">
        <f aca="false">IFERROR(IF(OR(CB1056=1,CB1056=2,CB1056=3),N(INDEX(Parameter!$I$5:$I$7,CB1056)),0),0)</f>
        <v>0</v>
      </c>
      <c r="CL1056" s="52" t="n">
        <f aca="false">IF(AND(Parameter!$B$21="Ja",ISNUMBER(W1056),N(X1056)&gt;0),IFERROR(N(INDEX(Parameter!$L$5:$L$7,W1056))*INDEX(Parameter!$E$5:$E$7,W1056)*X1056/SUMIFS($X$7:$X$1843,$W$7:$W$1843,W1056),0),0)</f>
        <v>0</v>
      </c>
    </row>
    <row r="1057" customFormat="false" ht="15" hidden="false" customHeight="false" outlineLevel="0" collapsed="false">
      <c r="A1057" s="48" t="s">
        <v>1937</v>
      </c>
      <c r="B1057" s="48" t="s">
        <v>721</v>
      </c>
      <c r="C1057" s="48" t="s">
        <v>168</v>
      </c>
      <c r="D1057" s="48" t="s">
        <v>177</v>
      </c>
      <c r="E1057" s="48" t="s">
        <v>170</v>
      </c>
      <c r="F1057" s="48" t="s">
        <v>222</v>
      </c>
      <c r="G1057" s="49" t="n">
        <v>75</v>
      </c>
      <c r="H1057" s="50" t="n">
        <f aca="false">MAX(0,IF(AND(Parameter!$B$21="Ja",ISNUMBER(Y1057)),Y1057,IF(Parameter!$B$20="Jahresanfang 2025 + Export",BO1057+BN1057,BN1057)))</f>
        <v>4</v>
      </c>
      <c r="I1057" s="50" t="n">
        <f aca="false">H1057*G1057</f>
        <v>300</v>
      </c>
      <c r="J1057" s="50" t="n">
        <f aca="false">BQ1057*Parameter!$B$18</f>
        <v>27</v>
      </c>
      <c r="K1057" s="51" t="n">
        <v>12.5</v>
      </c>
      <c r="L1057" s="52" t="n">
        <v>2.16</v>
      </c>
      <c r="M1057" s="50" t="n">
        <v>1</v>
      </c>
      <c r="N1057" s="50" t="n">
        <v>25</v>
      </c>
      <c r="O1057" s="53" t="n">
        <v>21</v>
      </c>
      <c r="P1057" s="48" t="s">
        <v>190</v>
      </c>
      <c r="Q1057" s="50" t="n">
        <v>25</v>
      </c>
      <c r="R1057" s="53" t="n">
        <f aca="false">IF(BW1057=1,0,IFERROR(VLOOKUP(BU1057,'Gebinde-Kategorie'!$A$5:$N$45,13,0)+0,0))</f>
        <v>12</v>
      </c>
      <c r="S1057" s="54"/>
      <c r="T1057" s="55"/>
      <c r="U1057" s="55"/>
      <c r="V1057" s="55"/>
      <c r="W1057" s="48"/>
      <c r="X1057" s="50"/>
      <c r="Y1057" s="50"/>
      <c r="Z1057" s="48" t="n">
        <f aca="false">IF(A1057="","",IF(AND(Parameter!$B$21="Ja",ISNUMBER(W1057)),W1057,IF(BZ1057="2+3",IF(ISNUMBER(SEARCH("grosser Artikel",BR1057)),2,IFERROR(VLOOKUP(BU1057,Parameter!$F$35:$G$64,2,0),2)),IF(OR(BZ1057="Nein",BZ1057=""),"-",BZ1057))))</f>
        <v>1</v>
      </c>
      <c r="AA1057" s="55"/>
      <c r="AB1057" s="56"/>
      <c r="AC1057" s="50" t="n">
        <f aca="false">AT1057</f>
        <v>50</v>
      </c>
      <c r="AD1057" s="50" t="n">
        <f aca="false">MAX(AT1057,H1057)</f>
        <v>50</v>
      </c>
      <c r="AE1057" s="57"/>
      <c r="AF1057" s="50" t="n">
        <f aca="false">IF(LEFT(Cockpit!$C$5,1)="A",H1057,IF(CE1057=1,CF1057,IF(LEFT(Cockpit!$C$5,1)="B",AK1057,MAX(AK1057,H1057))))</f>
        <v>4</v>
      </c>
      <c r="AG1057" s="50" t="n">
        <f aca="false">IF(BW1057=1,0,ROUNDUP(AF1057/BV1057,0))</f>
        <v>1</v>
      </c>
      <c r="AH1057" s="52" t="n">
        <f aca="false">IF(CL1057&gt;0,CL1057*MAX(1,AF1057/X1057),IF(BW1057=1,IF(AF1057&lt;=0,0,CA1057*MAX(1,IF(H1057&gt;0,AF1057/H1057,1))),IF(R1057&gt;0,AG1057/R1057,0))/MAX(0.1,N(Parameter!$M$21)))</f>
        <v>0.0833333333333333</v>
      </c>
      <c r="AI1057" s="50" t="n">
        <f aca="false">AH1057*BY1057</f>
        <v>12.0833333333333</v>
      </c>
      <c r="AJ1057" s="50" t="n">
        <f aca="false">AF1057*G1057</f>
        <v>300</v>
      </c>
      <c r="AK1057" s="50" t="n">
        <f aca="false">ROUNDUP(MAX(J1057/IF(CD1057&gt;0,CD1057,MAX(0.1,N(Cockpit!$C$6))),CG1057)/BV1057,0)*BV1057</f>
        <v>50</v>
      </c>
      <c r="AL1057" s="51" t="n">
        <f aca="false">IF(AI1057&gt;0,J1057/AI1057,-1)</f>
        <v>2.23448275862069</v>
      </c>
      <c r="AM1057" s="51" t="n">
        <f aca="false">IF(AND(OR(CC1057="L1",CC1057="L23",CC1057="LIFT"),AI1057&gt;0),SUMIFS($AI$7:$AI$1843,$CC$7:$CC$1843,CC1057,$AL$7:$AL$1843,"&gt;"&amp;AL1057)+SUMIFS($AI$7:$AI$1843,$CC$7:$CC$1843,CC1057,$AL$7:$AL$1843,AL1057,$BT$7:$BT$1843,"&lt;="&amp;BT1057),"")</f>
        <v>5694.39148351648</v>
      </c>
      <c r="AN1057" s="58" t="n">
        <f aca="false">IF(AM1057="",0,MAX(0,MIN(1,(IF(CC1057="L1",Parameter!$H$5,IF(CC1057="L23",Parameter!$H$6+Parameter!$H$7,Parameter!$H$5+Parameter!$H$6+Parameter!$H$7))-(AM1057-AI1057))/AI1057)))</f>
        <v>1</v>
      </c>
      <c r="AO1057" s="50" t="n">
        <f aca="false">IF(LEFT(Cockpit!$I$5,1)="A",H1057,IF(CE1057=1,CF1057,IF(LEFT(Cockpit!$I$5,1)="B",AT1057,MAX(AT1057,H1057))))</f>
        <v>50</v>
      </c>
      <c r="AP1057" s="50" t="n">
        <f aca="false">IF(BW1057=1,0,ROUNDUP(AO1057/BV1057,0))</f>
        <v>2</v>
      </c>
      <c r="AQ1057" s="52" t="n">
        <f aca="false">IF(CL1057&gt;0,CL1057*MAX(1,AO1057/X1057),IF(BW1057=1,IF(AO1057&lt;=0,0,CA1057*MAX(1,IF(H1057&gt;0,AO1057/H1057,1))),IF(R1057&gt;0,AP1057/R1057,0))/MAX(0.1,N(Parameter!$M$21)))</f>
        <v>0.166666666666667</v>
      </c>
      <c r="AR1057" s="50" t="n">
        <f aca="false">AQ1057*BY1057</f>
        <v>24.1666666666667</v>
      </c>
      <c r="AS1057" s="50" t="n">
        <f aca="false">AO1057*G1057</f>
        <v>3750</v>
      </c>
      <c r="AT1057" s="50" t="n">
        <f aca="false">ROUNDUP(MAX(J1057/IF(CD1057&gt;0,CD1057,MAX(0.1,N(Cockpit!$I$6))),CG1057)/BV1057,0)*BV1057</f>
        <v>50</v>
      </c>
      <c r="AU1057" s="51" t="n">
        <f aca="false">IF(AR1057&gt;0,J1057/AR1057,-1)</f>
        <v>1.11724137931034</v>
      </c>
      <c r="AV1057" s="51" t="n">
        <f aca="false">IF(AND(OR(CC1057="L1",CC1057="L23",CC1057="LIFT"),AR1057&gt;0),SUMIFS($AR$7:$AR$1843,$CC$7:$CC$1843,CC1057,$AU$7:$AU$1843,"&gt;"&amp;AU1057)+SUMIFS($AR$7:$AR$1843,$CC$7:$CC$1843,CC1057,$AU$7:$AU$1843,AU1057,$BT$7:$BT$1843,"&lt;="&amp;BT1057),"")</f>
        <v>9954.96886446886</v>
      </c>
      <c r="AW1057" s="58" t="n">
        <f aca="false">IF(AV1057="",0,MAX(0,MIN(1,(IF(CC1057="L1",Parameter!$H$5,IF(CC1057="L23",Parameter!$H$6+Parameter!$H$7,Parameter!$H$5+Parameter!$H$6+Parameter!$H$7))-(AV1057-AR1057))/AR1057)))</f>
        <v>1</v>
      </c>
      <c r="AX1057" s="50" t="n">
        <f aca="false">IF(LEFT(Cockpit!$O$5,1)="A",H1057,IF(CE1057=1,CF1057,IF(LEFT(Cockpit!$O$5,1)="B",BC1057,MAX(BC1057,H1057))))</f>
        <v>50</v>
      </c>
      <c r="AY1057" s="50" t="n">
        <f aca="false">IF(BW1057=1,0,ROUNDUP(AX1057/BV1057,0))</f>
        <v>2</v>
      </c>
      <c r="AZ1057" s="52" t="n">
        <f aca="false">IF(CL1057&gt;0,CL1057*MAX(1,AX1057/X1057),IF(BW1057=1,IF(AX1057&lt;=0,0,CA1057*MAX(1,IF(H1057&gt;0,AX1057/H1057,1))),IF(R1057&gt;0,AY1057/R1057,0))/MAX(0.1,N(Parameter!$M$21)))</f>
        <v>0.166666666666667</v>
      </c>
      <c r="BA1057" s="50" t="n">
        <f aca="false">AZ1057*BY1057</f>
        <v>24.1666666666667</v>
      </c>
      <c r="BB1057" s="50" t="n">
        <f aca="false">AX1057*G1057</f>
        <v>3750</v>
      </c>
      <c r="BC1057" s="50" t="n">
        <f aca="false">ROUNDUP(MAX(J1057/IF(CD1057&gt;0,CD1057,MAX(0.1,N(Cockpit!$O$6))),CG1057)/BV1057,0)*BV1057</f>
        <v>50</v>
      </c>
      <c r="BD1057" s="51" t="n">
        <f aca="false">IF(BA1057&gt;0,J1057/BA1057,-1)</f>
        <v>1.11724137931034</v>
      </c>
      <c r="BE1057" s="51" t="n">
        <f aca="false">IF(AND(OR(CC1057="L1",CC1057="L23",CC1057="LIFT"),BA1057&gt;0),SUMIFS($BA$7:$BA$1843,$CC$7:$CC$1843,CC1057,$BD$7:$BD$1843,"&gt;"&amp;BD1057)+SUMIFS($BA$7:$BA$1843,$CC$7:$CC$1843,CC1057,$BD$7:$BD$1843,BD1057,$BT$7:$BT$1843,"&lt;="&amp;BT1057),"")</f>
        <v>8965.62591575092</v>
      </c>
      <c r="BF1057" s="58" t="n">
        <f aca="false">IF(BE1057="",0,MAX(0,MIN(1,(IF(CC1057="L1",Parameter!$H$5,IF(CC1057="L23",Parameter!$H$6+Parameter!$H$7,Parameter!$H$5+Parameter!$H$6+Parameter!$H$7))-(BE1057-BA1057))/BA1057)))</f>
        <v>1</v>
      </c>
      <c r="BG1057" s="48" t="str">
        <f aca="false">IF(AI1057&lt;=0,"",IF(CC1057="Aussen","Aussenlager",IF(CC1057="-","Nicht im Lift",IF(AN1057&gt;=1,"Lift",IF(AN1057&lt;=0,"Aussenlager","teilweise")))))</f>
        <v>Lift</v>
      </c>
      <c r="BH1057" s="48" t="str">
        <f aca="false">IF(AR1057&lt;=0,"",IF(CC1057="Aussen","Aussenlager",IF(CC1057="-","Nicht im Lift",IF(AW1057&gt;=1,"Lift",IF(AW1057&lt;=0,"Aussenlager","teilweise")))))</f>
        <v>Lift</v>
      </c>
      <c r="BI1057" s="48" t="str">
        <f aca="false">IF(BA1057&lt;=0,"",IF(CC1057="Aussen","Aussenlager",IF(CC1057="-","Nicht im Lift",IF(BF1057&gt;=1,"Lift",IF(BF1057&lt;=0,"Aussenlager","teilweise")))))</f>
        <v>Lift</v>
      </c>
      <c r="BJ1057" s="48" t="str">
        <f aca="false">IF(A1057="","",IF(BS1057=1,"Neu; ","")&amp;IF(AND(BS1057=0,BN1057&lt;0),"negativer Bestand (Export "&amp;BN1057&amp;"); ","")&amp;IF(J1057&lt;=0,"Kein Verbrauch; ","")&amp;IF(CL1057&gt;0,"Lift "&amp;W1057&amp;" lt. Liftbericht (Fach "&amp;X1057&amp;" Stk); ",IF(BX1057=1,"Gebinde geschätzt ("&amp;T1057&amp;"); ",IF(BW1057=1,"Lose – Tablare geschätzt; ","")))&amp;IF(H1057&gt;AT1057,"Überbestand "&amp;ROUND(H1057-AT1057,0)&amp;" Stk / CHF "&amp;ROUND((H1057-AT1057)*G1057,0)&amp;"; ","")&amp;IF(AND(CE1057=1,CF1057&lt;CG1057),"MAX &lt; MB+LG; ","")&amp;IF(AND(CK1057&gt;0,CJ1057*10&gt;CK1057),"zu hoch für Tablar; ","")&amp;IF(AND(BS1057=0,OR(CE1057=1,AA1057&lt;&gt;"",U1057&lt;&gt;"",V1057&lt;&gt;"",AB1057&lt;&gt;"")),"manuell übersteuert; ","")&amp;IF(AND(BW1057=0,R1057=0),"Gebinde unbekannt / Stellmass fehlt; ","")&amp;IF(AND(BW1057=0,N(V1057)&lt;=0,N(Q1057)&lt;=0),"Menge pro Gebinde fehlt (Ist = 1 Gebinde); ","")&amp;BR1057)</f>
        <v>negativer Bestand (Export -2); </v>
      </c>
      <c r="BK1057" s="48"/>
      <c r="BL1057" s="48"/>
      <c r="BM1057" s="55"/>
      <c r="BN1057" s="50" t="n">
        <v>-2</v>
      </c>
      <c r="BO1057" s="50" t="n">
        <v>6</v>
      </c>
      <c r="BP1057" s="49" t="n">
        <v>-148.26</v>
      </c>
      <c r="BQ1057" s="50" t="n">
        <v>27</v>
      </c>
      <c r="BR1057" s="48"/>
      <c r="BS1057" s="53" t="n">
        <v>0</v>
      </c>
      <c r="BT1057" s="53" t="n">
        <v>1057</v>
      </c>
      <c r="BU1057" s="48" t="str">
        <f aca="false">IF(U1057&lt;&gt;"",UPPER(TRIM(U1057)),IF(BX1057=1,UPPER(VLOOKUP(T1057,Parameter!$I$27:$K$29,2,0)),IF(P1057="","LOSE",P1057)))</f>
        <v>S61</v>
      </c>
      <c r="BV1057" s="50" t="n">
        <f aca="false">IF(BU1057="LOSE",1,IF(N(V1057)&gt;0,V1057,IF(BX1057=1,MAX(1,N(VLOOKUP(T1057,Parameter!$I$27:$K$29,3,0)),H1057,N(N1057)),IF(N(Q1057)&gt;0,Q1057,MAX(1,H1057)))))</f>
        <v>25</v>
      </c>
      <c r="BW1057" s="53" t="n">
        <f aca="false">IF(BU1057="LOSE",1,0)</f>
        <v>0</v>
      </c>
      <c r="BX1057" s="53" t="n">
        <f aca="false">IF(AND(U1057="",OR(P1057="",P1057="LOSE"),T1057&lt;&gt;"",N(S1057)&lt;=0,ISNUMBER(MATCH(T1057,Parameter!$I$27:$I$29,0))),1,0)</f>
        <v>0</v>
      </c>
      <c r="BY1057" s="53" t="n">
        <f aca="false">IF(CL1057&gt;0,INDEX(Parameter!$H$5:$H$7,W1057)/INDEX(Parameter!$E$5:$E$7,W1057),IF(AND(BW1057=0,N(IFERROR(VLOOKUP(BU1057,'Gebinde-Kategorie'!$A$5:$N$45,14,0),0))&gt;0),VLOOKUP(BU1057,'Gebinde-Kategorie'!$A$5:$N$45,14,0)*10+Parameter!$M$23,Parameter!$M$24))</f>
        <v>145</v>
      </c>
      <c r="BZ1057" s="48" t="n">
        <f aca="false">IF(AND(Parameter!$B$19="Ja",E1057&lt;&gt;"",ISNUMBER(MATCH(E1057,Parameter!$I$35:$I$52,0))),VLOOKUP(E1057,Parameter!$I$35:$J$52,2,0),IFERROR(VLOOKUP(D1057,Parameter!$A$35:$C$64,2,0),"Nein"))</f>
        <v>1</v>
      </c>
      <c r="CA1057" s="52" t="n">
        <f aca="false">IF(BW1057=0,0,IF(N(S1057)&gt;0,S1057,IFERROR(VLOOKUP(D1057,Parameter!$A$35:$C$64,3,0)+0,0)))</f>
        <v>0</v>
      </c>
      <c r="CB1057" s="48" t="n">
        <f aca="false">IF(AA1057&lt;&gt;"",AA1057,Z1057)</f>
        <v>1</v>
      </c>
      <c r="CC1057" s="48" t="str">
        <f aca="false">IF(OR(CB1057=1,CB1057=2,CB1057=3),IF(Parameter!$E$27="Ja","LIFT",IF(CB1057=1,"L1","L23")),IF(CB1057="Aussen","Aussen","-"))</f>
        <v>LIFT</v>
      </c>
      <c r="CD1057" s="59" t="n">
        <f aca="false">IF(N(AB1057)&gt;0,AB1057,0)</f>
        <v>0</v>
      </c>
      <c r="CE1057" s="53" t="n">
        <f aca="false">IF(ISNUMBER(AE1057),1,0)</f>
        <v>0</v>
      </c>
      <c r="CF1057" s="50" t="n">
        <f aca="false">N(AE1057)</f>
        <v>0</v>
      </c>
      <c r="CG1057" s="50" t="n">
        <f aca="false">N(M1057)+N(N1057)</f>
        <v>26</v>
      </c>
      <c r="CH1057" s="50" t="n">
        <f aca="false">ROUNDUP(H1057/BV1057,0)</f>
        <v>1</v>
      </c>
      <c r="CI1057" s="50" t="n">
        <f aca="false">ROUNDUP(CF1057/BV1057,0)</f>
        <v>0</v>
      </c>
      <c r="CJ1057" s="53" t="n">
        <f aca="false">IF(BW1057=1,0,IFERROR(VLOOKUP(BU1057,'Gebinde-Kategorie'!$A$5:$N$45,5,0)+0,0))</f>
        <v>11</v>
      </c>
      <c r="CK1057" s="53" t="n">
        <f aca="false">IFERROR(IF(OR(CB1057=1,CB1057=2,CB1057=3),N(INDEX(Parameter!$I$5:$I$7,CB1057)),0),0)</f>
        <v>0</v>
      </c>
      <c r="CL1057" s="52" t="n">
        <f aca="false">IF(AND(Parameter!$B$21="Ja",ISNUMBER(W1057),N(X1057)&gt;0),IFERROR(N(INDEX(Parameter!$L$5:$L$7,W1057))*INDEX(Parameter!$E$5:$E$7,W1057)*X1057/SUMIFS($X$7:$X$1843,$W$7:$W$1843,W1057),0),0)</f>
        <v>0</v>
      </c>
    </row>
    <row r="1058" customFormat="false" ht="15" hidden="false" customHeight="false" outlineLevel="0" collapsed="false">
      <c r="A1058" s="48" t="s">
        <v>1938</v>
      </c>
      <c r="B1058" s="48" t="s">
        <v>1939</v>
      </c>
      <c r="C1058" s="48" t="s">
        <v>168</v>
      </c>
      <c r="D1058" s="48" t="s">
        <v>188</v>
      </c>
      <c r="E1058" s="48" t="s">
        <v>189</v>
      </c>
      <c r="F1058" s="48" t="s">
        <v>222</v>
      </c>
      <c r="G1058" s="49" t="n">
        <v>4.52</v>
      </c>
      <c r="H1058" s="50" t="n">
        <f aca="false">MAX(0,IF(AND(Parameter!$B$21="Ja",ISNUMBER(Y1058)),Y1058,IF(Parameter!$B$20="Jahresanfang 2025 + Export",BO1058+BN1058,BN1058)))</f>
        <v>42</v>
      </c>
      <c r="I1058" s="50" t="n">
        <f aca="false">H1058*G1058</f>
        <v>189.84</v>
      </c>
      <c r="J1058" s="50" t="n">
        <f aca="false">BQ1058*Parameter!$B$18</f>
        <v>93</v>
      </c>
      <c r="K1058" s="51" t="n">
        <v>82.5</v>
      </c>
      <c r="L1058" s="52" t="n">
        <v>1.12727272727273</v>
      </c>
      <c r="M1058" s="50" t="n">
        <v>7</v>
      </c>
      <c r="N1058" s="50" t="n">
        <v>95</v>
      </c>
      <c r="O1058" s="53" t="n">
        <v>28</v>
      </c>
      <c r="P1058" s="48" t="s">
        <v>405</v>
      </c>
      <c r="Q1058" s="50" t="n">
        <v>55</v>
      </c>
      <c r="R1058" s="53" t="n">
        <f aca="false">IF(BW1058=1,0,IFERROR(VLOOKUP(BU1058,'Gebinde-Kategorie'!$A$5:$N$45,13,0)+0,0))</f>
        <v>280</v>
      </c>
      <c r="S1058" s="54"/>
      <c r="T1058" s="55"/>
      <c r="U1058" s="55"/>
      <c r="V1058" s="55"/>
      <c r="W1058" s="48"/>
      <c r="X1058" s="50"/>
      <c r="Y1058" s="50"/>
      <c r="Z1058" s="48" t="n">
        <f aca="false">IF(A1058="","",IF(AND(Parameter!$B$21="Ja",ISNUMBER(W1058)),W1058,IF(BZ1058="2+3",IF(ISNUMBER(SEARCH("grosser Artikel",BR1058)),2,IFERROR(VLOOKUP(BU1058,Parameter!$F$35:$G$64,2,0),2)),IF(OR(BZ1058="Nein",BZ1058=""),"-",BZ1058))))</f>
        <v>3</v>
      </c>
      <c r="AA1058" s="55"/>
      <c r="AB1058" s="56"/>
      <c r="AC1058" s="50" t="n">
        <f aca="false">AT1058</f>
        <v>110</v>
      </c>
      <c r="AD1058" s="50" t="n">
        <f aca="false">MAX(AT1058,H1058)</f>
        <v>110</v>
      </c>
      <c r="AE1058" s="57"/>
      <c r="AF1058" s="50" t="n">
        <f aca="false">IF(LEFT(Cockpit!$C$5,1)="A",H1058,IF(CE1058=1,CF1058,IF(LEFT(Cockpit!$C$5,1)="B",AK1058,MAX(AK1058,H1058))))</f>
        <v>42</v>
      </c>
      <c r="AG1058" s="50" t="n">
        <f aca="false">IF(BW1058=1,0,ROUNDUP(AF1058/BV1058,0))</f>
        <v>1</v>
      </c>
      <c r="AH1058" s="52" t="n">
        <f aca="false">IF(CL1058&gt;0,CL1058*MAX(1,AF1058/X1058),IF(BW1058=1,IF(AF1058&lt;=0,0,CA1058*MAX(1,IF(H1058&gt;0,AF1058/H1058,1))),IF(R1058&gt;0,AG1058/R1058,0))/MAX(0.1,N(Parameter!$M$21)))</f>
        <v>0.00357142857142857</v>
      </c>
      <c r="AI1058" s="50" t="n">
        <f aca="false">AH1058*BY1058</f>
        <v>0.553571428571429</v>
      </c>
      <c r="AJ1058" s="50" t="n">
        <f aca="false">AF1058*G1058</f>
        <v>189.84</v>
      </c>
      <c r="AK1058" s="50" t="n">
        <f aca="false">ROUNDUP(MAX(J1058/IF(CD1058&gt;0,CD1058,MAX(0.1,N(Cockpit!$C$6))),CG1058)/BV1058,0)*BV1058</f>
        <v>110</v>
      </c>
      <c r="AL1058" s="51" t="n">
        <f aca="false">IF(AI1058&gt;0,J1058/AI1058,-1)</f>
        <v>168</v>
      </c>
      <c r="AM1058" s="51" t="n">
        <f aca="false">IF(AND(OR(CC1058="L1",CC1058="L23",CC1058="LIFT"),AI1058&gt;0),SUMIFS($AI$7:$AI$1843,$CC$7:$CC$1843,CC1058,$AL$7:$AL$1843,"&gt;"&amp;AL1058)+SUMIFS($AI$7:$AI$1843,$CC$7:$CC$1843,CC1058,$AL$7:$AL$1843,AL1058,$BT$7:$BT$1843,"&lt;="&amp;BT1058),"")</f>
        <v>408.385073260073</v>
      </c>
      <c r="AN1058" s="58" t="n">
        <f aca="false">IF(AM1058="",0,MAX(0,MIN(1,(IF(CC1058="L1",Parameter!$H$5,IF(CC1058="L23",Parameter!$H$6+Parameter!$H$7,Parameter!$H$5+Parameter!$H$6+Parameter!$H$7))-(AM1058-AI1058))/AI1058)))</f>
        <v>1</v>
      </c>
      <c r="AO1058" s="50" t="n">
        <f aca="false">IF(LEFT(Cockpit!$I$5,1)="A",H1058,IF(CE1058=1,CF1058,IF(LEFT(Cockpit!$I$5,1)="B",AT1058,MAX(AT1058,H1058))))</f>
        <v>110</v>
      </c>
      <c r="AP1058" s="50" t="n">
        <f aca="false">IF(BW1058=1,0,ROUNDUP(AO1058/BV1058,0))</f>
        <v>2</v>
      </c>
      <c r="AQ1058" s="52" t="n">
        <f aca="false">IF(CL1058&gt;0,CL1058*MAX(1,AO1058/X1058),IF(BW1058=1,IF(AO1058&lt;=0,0,CA1058*MAX(1,IF(H1058&gt;0,AO1058/H1058,1))),IF(R1058&gt;0,AP1058/R1058,0))/MAX(0.1,N(Parameter!$M$21)))</f>
        <v>0.00714285714285714</v>
      </c>
      <c r="AR1058" s="50" t="n">
        <f aca="false">AQ1058*BY1058</f>
        <v>1.10714285714286</v>
      </c>
      <c r="AS1058" s="50" t="n">
        <f aca="false">AO1058*G1058</f>
        <v>497.2</v>
      </c>
      <c r="AT1058" s="50" t="n">
        <f aca="false">ROUNDUP(MAX(J1058/IF(CD1058&gt;0,CD1058,MAX(0.1,N(Cockpit!$I$6))),CG1058)/BV1058,0)*BV1058</f>
        <v>110</v>
      </c>
      <c r="AU1058" s="51" t="n">
        <f aca="false">IF(AR1058&gt;0,J1058/AR1058,-1)</f>
        <v>84</v>
      </c>
      <c r="AV1058" s="51" t="n">
        <f aca="false">IF(AND(OR(CC1058="L1",CC1058="L23",CC1058="LIFT"),AR1058&gt;0),SUMIFS($AR$7:$AR$1843,$CC$7:$CC$1843,CC1058,$AU$7:$AU$1843,"&gt;"&amp;AU1058)+SUMIFS($AR$7:$AR$1843,$CC$7:$CC$1843,CC1058,$AU$7:$AU$1843,AU1058,$BT$7:$BT$1843,"&lt;="&amp;BT1058),"")</f>
        <v>949.972985347985</v>
      </c>
      <c r="AW1058" s="58" t="n">
        <f aca="false">IF(AV1058="",0,MAX(0,MIN(1,(IF(CC1058="L1",Parameter!$H$5,IF(CC1058="L23",Parameter!$H$6+Parameter!$H$7,Parameter!$H$5+Parameter!$H$6+Parameter!$H$7))-(AV1058-AR1058))/AR1058)))</f>
        <v>1</v>
      </c>
      <c r="AX1058" s="50" t="n">
        <f aca="false">IF(LEFT(Cockpit!$O$5,1)="A",H1058,IF(CE1058=1,CF1058,IF(LEFT(Cockpit!$O$5,1)="B",BC1058,MAX(BC1058,H1058))))</f>
        <v>110</v>
      </c>
      <c r="AY1058" s="50" t="n">
        <f aca="false">IF(BW1058=1,0,ROUNDUP(AX1058/BV1058,0))</f>
        <v>2</v>
      </c>
      <c r="AZ1058" s="52" t="n">
        <f aca="false">IF(CL1058&gt;0,CL1058*MAX(1,AX1058/X1058),IF(BW1058=1,IF(AX1058&lt;=0,0,CA1058*MAX(1,IF(H1058&gt;0,AX1058/H1058,1))),IF(R1058&gt;0,AY1058/R1058,0))/MAX(0.1,N(Parameter!$M$21)))</f>
        <v>0.00714285714285714</v>
      </c>
      <c r="BA1058" s="50" t="n">
        <f aca="false">AZ1058*BY1058</f>
        <v>1.10714285714286</v>
      </c>
      <c r="BB1058" s="50" t="n">
        <f aca="false">AX1058*G1058</f>
        <v>497.2</v>
      </c>
      <c r="BC1058" s="50" t="n">
        <f aca="false">ROUNDUP(MAX(J1058/IF(CD1058&gt;0,CD1058,MAX(0.1,N(Cockpit!$O$6))),CG1058)/BV1058,0)*BV1058</f>
        <v>110</v>
      </c>
      <c r="BD1058" s="51" t="n">
        <f aca="false">IF(BA1058&gt;0,J1058/BA1058,-1)</f>
        <v>84</v>
      </c>
      <c r="BE1058" s="51" t="n">
        <f aca="false">IF(AND(OR(CC1058="L1",CC1058="L23",CC1058="LIFT"),BA1058&gt;0),SUMIFS($BA$7:$BA$1843,$CC$7:$CC$1843,CC1058,$BD$7:$BD$1843,"&gt;"&amp;BD1058)+SUMIFS($BA$7:$BA$1843,$CC$7:$CC$1843,CC1058,$BD$7:$BD$1843,BD1058,$BT$7:$BT$1843,"&lt;="&amp;BT1058),"")</f>
        <v>1057.39285714286</v>
      </c>
      <c r="BF1058" s="58" t="n">
        <f aca="false">IF(BE1058="",0,MAX(0,MIN(1,(IF(CC1058="L1",Parameter!$H$5,IF(CC1058="L23",Parameter!$H$6+Parameter!$H$7,Parameter!$H$5+Parameter!$H$6+Parameter!$H$7))-(BE1058-BA1058))/BA1058)))</f>
        <v>1</v>
      </c>
      <c r="BG1058" s="48" t="str">
        <f aca="false">IF(AI1058&lt;=0,"",IF(CC1058="Aussen","Aussenlager",IF(CC1058="-","Nicht im Lift",IF(AN1058&gt;=1,"Lift",IF(AN1058&lt;=0,"Aussenlager","teilweise")))))</f>
        <v>Lift</v>
      </c>
      <c r="BH1058" s="48" t="str">
        <f aca="false">IF(AR1058&lt;=0,"",IF(CC1058="Aussen","Aussenlager",IF(CC1058="-","Nicht im Lift",IF(AW1058&gt;=1,"Lift",IF(AW1058&lt;=0,"Aussenlager","teilweise")))))</f>
        <v>Lift</v>
      </c>
      <c r="BI1058" s="48" t="str">
        <f aca="false">IF(BA1058&lt;=0,"",IF(CC1058="Aussen","Aussenlager",IF(CC1058="-","Nicht im Lift",IF(BF1058&gt;=1,"Lift",IF(BF1058&lt;=0,"Aussenlager","teilweise")))))</f>
        <v>Lift</v>
      </c>
      <c r="BJ1058" s="48" t="str">
        <f aca="false">IF(A1058="","",IF(BS1058=1,"Neu; ","")&amp;IF(AND(BS1058=0,BN1058&lt;0),"negativer Bestand (Export "&amp;BN1058&amp;"); ","")&amp;IF(J1058&lt;=0,"Kein Verbrauch; ","")&amp;IF(CL1058&gt;0,"Lift "&amp;W1058&amp;" lt. Liftbericht (Fach "&amp;X1058&amp;" Stk); ",IF(BX1058=1,"Gebinde geschätzt ("&amp;T1058&amp;"); ",IF(BW1058=1,"Lose – Tablare geschätzt; ","")))&amp;IF(H1058&gt;AT1058,"Überbestand "&amp;ROUND(H1058-AT1058,0)&amp;" Stk / CHF "&amp;ROUND((H1058-AT1058)*G1058,0)&amp;"; ","")&amp;IF(AND(CE1058=1,CF1058&lt;CG1058),"MAX &lt; MB+LG; ","")&amp;IF(AND(CK1058&gt;0,CJ1058*10&gt;CK1058),"zu hoch für Tablar; ","")&amp;IF(AND(BS1058=0,OR(CE1058=1,AA1058&lt;&gt;"",U1058&lt;&gt;"",V1058&lt;&gt;"",AB1058&lt;&gt;"")),"manuell übersteuert; ","")&amp;IF(AND(BW1058=0,R1058=0),"Gebinde unbekannt / Stellmass fehlt; ","")&amp;IF(AND(BW1058=0,N(V1058)&lt;=0,N(Q1058)&lt;=0),"Menge pro Gebinde fehlt (Ist = 1 Gebinde); ","")&amp;BR1058)</f>
        <v>negativer Bestand (Export -39); </v>
      </c>
      <c r="BK1058" s="48"/>
      <c r="BL1058" s="48"/>
      <c r="BM1058" s="55"/>
      <c r="BN1058" s="50" t="n">
        <v>-39</v>
      </c>
      <c r="BO1058" s="50" t="n">
        <v>81</v>
      </c>
      <c r="BP1058" s="49" t="n">
        <v>-152.79</v>
      </c>
      <c r="BQ1058" s="50" t="n">
        <v>93</v>
      </c>
      <c r="BR1058" s="48"/>
      <c r="BS1058" s="53" t="n">
        <v>0</v>
      </c>
      <c r="BT1058" s="53" t="n">
        <v>1058</v>
      </c>
      <c r="BU1058" s="48" t="str">
        <f aca="false">IF(U1058&lt;&gt;"",UPPER(TRIM(U1058)),IF(BX1058=1,UPPER(VLOOKUP(T1058,Parameter!$I$27:$K$29,2,0)),IF(P1058="","LOSE",P1058)))</f>
        <v>S21</v>
      </c>
      <c r="BV1058" s="50" t="n">
        <f aca="false">IF(BU1058="LOSE",1,IF(N(V1058)&gt;0,V1058,IF(BX1058=1,MAX(1,N(VLOOKUP(T1058,Parameter!$I$27:$K$29,3,0)),H1058,N(N1058)),IF(N(Q1058)&gt;0,Q1058,MAX(1,H1058)))))</f>
        <v>55</v>
      </c>
      <c r="BW1058" s="53" t="n">
        <f aca="false">IF(BU1058="LOSE",1,0)</f>
        <v>0</v>
      </c>
      <c r="BX1058" s="53" t="n">
        <f aca="false">IF(AND(U1058="",OR(P1058="",P1058="LOSE"),T1058&lt;&gt;"",N(S1058)&lt;=0,ISNUMBER(MATCH(T1058,Parameter!$I$27:$I$29,0))),1,0)</f>
        <v>0</v>
      </c>
      <c r="BY1058" s="53" t="n">
        <f aca="false">IF(CL1058&gt;0,INDEX(Parameter!$H$5:$H$7,W1058)/INDEX(Parameter!$E$5:$E$7,W1058),IF(AND(BW1058=0,N(IFERROR(VLOOKUP(BU1058,'Gebinde-Kategorie'!$A$5:$N$45,14,0),0))&gt;0),VLOOKUP(BU1058,'Gebinde-Kategorie'!$A$5:$N$45,14,0)*10+Parameter!$M$23,Parameter!$M$24))</f>
        <v>155</v>
      </c>
      <c r="BZ1058" s="48" t="str">
        <f aca="false">IF(AND(Parameter!$B$19="Ja",E1058&lt;&gt;"",ISNUMBER(MATCH(E1058,Parameter!$I$35:$I$52,0))),VLOOKUP(E1058,Parameter!$I$35:$J$52,2,0),IFERROR(VLOOKUP(D1058,Parameter!$A$35:$C$64,2,0),"Nein"))</f>
        <v>2+3</v>
      </c>
      <c r="CA1058" s="52" t="n">
        <f aca="false">IF(BW1058=0,0,IF(N(S1058)&gt;0,S1058,IFERROR(VLOOKUP(D1058,Parameter!$A$35:$C$64,3,0)+0,0)))</f>
        <v>0</v>
      </c>
      <c r="CB1058" s="48" t="n">
        <f aca="false">IF(AA1058&lt;&gt;"",AA1058,Z1058)</f>
        <v>3</v>
      </c>
      <c r="CC1058" s="48" t="str">
        <f aca="false">IF(OR(CB1058=1,CB1058=2,CB1058=3),IF(Parameter!$E$27="Ja","LIFT",IF(CB1058=1,"L1","L23")),IF(CB1058="Aussen","Aussen","-"))</f>
        <v>LIFT</v>
      </c>
      <c r="CD1058" s="59" t="n">
        <f aca="false">IF(N(AB1058)&gt;0,AB1058,0)</f>
        <v>0</v>
      </c>
      <c r="CE1058" s="53" t="n">
        <f aca="false">IF(ISNUMBER(AE1058),1,0)</f>
        <v>0</v>
      </c>
      <c r="CF1058" s="50" t="n">
        <f aca="false">N(AE1058)</f>
        <v>0</v>
      </c>
      <c r="CG1058" s="50" t="n">
        <f aca="false">N(M1058)+N(N1058)</f>
        <v>102</v>
      </c>
      <c r="CH1058" s="50" t="n">
        <f aca="false">ROUNDUP(H1058/BV1058,0)</f>
        <v>1</v>
      </c>
      <c r="CI1058" s="50" t="n">
        <f aca="false">ROUNDUP(CF1058/BV1058,0)</f>
        <v>0</v>
      </c>
      <c r="CJ1058" s="53" t="n">
        <f aca="false">IF(BW1058=1,0,IFERROR(VLOOKUP(BU1058,'Gebinde-Kategorie'!$A$5:$N$45,5,0)+0,0))</f>
        <v>8</v>
      </c>
      <c r="CK1058" s="53" t="n">
        <f aca="false">IFERROR(IF(OR(CB1058=1,CB1058=2,CB1058=3),N(INDEX(Parameter!$I$5:$I$7,CB1058)),0),0)</f>
        <v>0</v>
      </c>
      <c r="CL1058" s="52" t="n">
        <f aca="false">IF(AND(Parameter!$B$21="Ja",ISNUMBER(W1058),N(X1058)&gt;0),IFERROR(N(INDEX(Parameter!$L$5:$L$7,W1058))*INDEX(Parameter!$E$5:$E$7,W1058)*X1058/SUMIFS($X$7:$X$1843,$W$7:$W$1843,W1058),0),0)</f>
        <v>0</v>
      </c>
    </row>
    <row r="1059" customFormat="false" ht="15" hidden="false" customHeight="false" outlineLevel="0" collapsed="false">
      <c r="A1059" s="48" t="s">
        <v>1940</v>
      </c>
      <c r="B1059" s="48" t="s">
        <v>1127</v>
      </c>
      <c r="C1059" s="48" t="s">
        <v>168</v>
      </c>
      <c r="D1059" s="48" t="s">
        <v>188</v>
      </c>
      <c r="E1059" s="48" t="s">
        <v>189</v>
      </c>
      <c r="F1059" s="48" t="s">
        <v>222</v>
      </c>
      <c r="G1059" s="49" t="n">
        <v>4.18</v>
      </c>
      <c r="H1059" s="50" t="n">
        <f aca="false">MAX(0,IF(AND(Parameter!$B$21="Ja",ISNUMBER(Y1059)),Y1059,IF(Parameter!$B$20="Jahresanfang 2025 + Export",BO1059+BN1059,BN1059)))</f>
        <v>5</v>
      </c>
      <c r="I1059" s="50" t="n">
        <f aca="false">H1059*G1059</f>
        <v>20.9</v>
      </c>
      <c r="J1059" s="50" t="n">
        <f aca="false">BQ1059*Parameter!$B$18</f>
        <v>17</v>
      </c>
      <c r="K1059" s="51" t="n">
        <v>31</v>
      </c>
      <c r="L1059" s="52" t="n">
        <v>0.548387096774194</v>
      </c>
      <c r="M1059" s="50" t="n">
        <v>1</v>
      </c>
      <c r="N1059" s="50" t="n">
        <v>15</v>
      </c>
      <c r="O1059" s="53" t="n">
        <v>28</v>
      </c>
      <c r="P1059" s="48" t="s">
        <v>230</v>
      </c>
      <c r="Q1059" s="50" t="n">
        <v>105</v>
      </c>
      <c r="R1059" s="53" t="n">
        <f aca="false">IF(BW1059=1,0,IFERROR(VLOOKUP(BU1059,'Gebinde-Kategorie'!$A$5:$N$45,13,0)+0,0))</f>
        <v>12</v>
      </c>
      <c r="S1059" s="54"/>
      <c r="T1059" s="55"/>
      <c r="U1059" s="55"/>
      <c r="V1059" s="55"/>
      <c r="W1059" s="48"/>
      <c r="X1059" s="50"/>
      <c r="Y1059" s="50"/>
      <c r="Z1059" s="48" t="n">
        <f aca="false">IF(A1059="","",IF(AND(Parameter!$B$21="Ja",ISNUMBER(W1059)),W1059,IF(BZ1059="2+3",IF(ISNUMBER(SEARCH("grosser Artikel",BR1059)),2,IFERROR(VLOOKUP(BU1059,Parameter!$F$35:$G$64,2,0),2)),IF(OR(BZ1059="Nein",BZ1059=""),"-",BZ1059))))</f>
        <v>2</v>
      </c>
      <c r="AA1059" s="55"/>
      <c r="AB1059" s="56"/>
      <c r="AC1059" s="50" t="n">
        <f aca="false">AT1059</f>
        <v>105</v>
      </c>
      <c r="AD1059" s="50" t="n">
        <f aca="false">MAX(AT1059,H1059)</f>
        <v>105</v>
      </c>
      <c r="AE1059" s="57"/>
      <c r="AF1059" s="50" t="n">
        <f aca="false">IF(LEFT(Cockpit!$C$5,1)="A",H1059,IF(CE1059=1,CF1059,IF(LEFT(Cockpit!$C$5,1)="B",AK1059,MAX(AK1059,H1059))))</f>
        <v>5</v>
      </c>
      <c r="AG1059" s="50" t="n">
        <f aca="false">IF(BW1059=1,0,ROUNDUP(AF1059/BV1059,0))</f>
        <v>1</v>
      </c>
      <c r="AH1059" s="52" t="n">
        <f aca="false">IF(CL1059&gt;0,CL1059*MAX(1,AF1059/X1059),IF(BW1059=1,IF(AF1059&lt;=0,0,CA1059*MAX(1,IF(H1059&gt;0,AF1059/H1059,1))),IF(R1059&gt;0,AG1059/R1059,0))/MAX(0.1,N(Parameter!$M$21)))</f>
        <v>0.0833333333333333</v>
      </c>
      <c r="AI1059" s="50" t="n">
        <f aca="false">AH1059*BY1059</f>
        <v>28.75</v>
      </c>
      <c r="AJ1059" s="50" t="n">
        <f aca="false">AF1059*G1059</f>
        <v>20.9</v>
      </c>
      <c r="AK1059" s="50" t="n">
        <f aca="false">ROUNDUP(MAX(J1059/IF(CD1059&gt;0,CD1059,MAX(0.1,N(Cockpit!$C$6))),CG1059)/BV1059,0)*BV1059</f>
        <v>105</v>
      </c>
      <c r="AL1059" s="51" t="n">
        <f aca="false">IF(AI1059&gt;0,J1059/AI1059,-1)</f>
        <v>0.591304347826087</v>
      </c>
      <c r="AM1059" s="51" t="n">
        <f aca="false">IF(AND(OR(CC1059="L1",CC1059="L23",CC1059="LIFT"),AI1059&gt;0),SUMIFS($AI$7:$AI$1843,$CC$7:$CC$1843,CC1059,$AL$7:$AL$1843,"&gt;"&amp;AL1059)+SUMIFS($AI$7:$AI$1843,$CC$7:$CC$1843,CC1059,$AL$7:$AL$1843,AL1059,$BT$7:$BT$1843,"&lt;="&amp;BT1059),"")</f>
        <v>9259.11947703897</v>
      </c>
      <c r="AN1059" s="58" t="n">
        <f aca="false">IF(AM1059="",0,MAX(0,MIN(1,(IF(CC1059="L1",Parameter!$H$5,IF(CC1059="L23",Parameter!$H$6+Parameter!$H$7,Parameter!$H$5+Parameter!$H$6+Parameter!$H$7))-(AM1059-AI1059))/AI1059)))</f>
        <v>1</v>
      </c>
      <c r="AO1059" s="50" t="n">
        <f aca="false">IF(LEFT(Cockpit!$I$5,1)="A",H1059,IF(CE1059=1,CF1059,IF(LEFT(Cockpit!$I$5,1)="B",AT1059,MAX(AT1059,H1059))))</f>
        <v>105</v>
      </c>
      <c r="AP1059" s="50" t="n">
        <f aca="false">IF(BW1059=1,0,ROUNDUP(AO1059/BV1059,0))</f>
        <v>1</v>
      </c>
      <c r="AQ1059" s="52" t="n">
        <f aca="false">IF(CL1059&gt;0,CL1059*MAX(1,AO1059/X1059),IF(BW1059=1,IF(AO1059&lt;=0,0,CA1059*MAX(1,IF(H1059&gt;0,AO1059/H1059,1))),IF(R1059&gt;0,AP1059/R1059,0))/MAX(0.1,N(Parameter!$M$21)))</f>
        <v>0.0833333333333333</v>
      </c>
      <c r="AR1059" s="50" t="n">
        <f aca="false">AQ1059*BY1059</f>
        <v>28.75</v>
      </c>
      <c r="AS1059" s="50" t="n">
        <f aca="false">AO1059*G1059</f>
        <v>438.9</v>
      </c>
      <c r="AT1059" s="50" t="n">
        <f aca="false">ROUNDUP(MAX(J1059/IF(CD1059&gt;0,CD1059,MAX(0.1,N(Cockpit!$I$6))),CG1059)/BV1059,0)*BV1059</f>
        <v>105</v>
      </c>
      <c r="AU1059" s="51" t="n">
        <f aca="false">IF(AR1059&gt;0,J1059/AR1059,-1)</f>
        <v>0.591304347826087</v>
      </c>
      <c r="AV1059" s="51" t="n">
        <f aca="false">IF(AND(OR(CC1059="L1",CC1059="L23",CC1059="LIFT"),AR1059&gt;0),SUMIFS($AR$7:$AR$1843,$CC$7:$CC$1843,CC1059,$AU$7:$AU$1843,"&gt;"&amp;AU1059)+SUMIFS($AR$7:$AR$1843,$CC$7:$CC$1843,CC1059,$AU$7:$AU$1843,AU1059,$BT$7:$BT$1843,"&lt;="&amp;BT1059),"")</f>
        <v>12766.070970696</v>
      </c>
      <c r="AW1059" s="58" t="n">
        <f aca="false">IF(AV1059="",0,MAX(0,MIN(1,(IF(CC1059="L1",Parameter!$H$5,IF(CC1059="L23",Parameter!$H$6+Parameter!$H$7,Parameter!$H$5+Parameter!$H$6+Parameter!$H$7))-(AV1059-AR1059))/AR1059)))</f>
        <v>1</v>
      </c>
      <c r="AX1059" s="50" t="n">
        <f aca="false">IF(LEFT(Cockpit!$O$5,1)="A",H1059,IF(CE1059=1,CF1059,IF(LEFT(Cockpit!$O$5,1)="B",BC1059,MAX(BC1059,H1059))))</f>
        <v>105</v>
      </c>
      <c r="AY1059" s="50" t="n">
        <f aca="false">IF(BW1059=1,0,ROUNDUP(AX1059/BV1059,0))</f>
        <v>1</v>
      </c>
      <c r="AZ1059" s="52" t="n">
        <f aca="false">IF(CL1059&gt;0,CL1059*MAX(1,AX1059/X1059),IF(BW1059=1,IF(AX1059&lt;=0,0,CA1059*MAX(1,IF(H1059&gt;0,AX1059/H1059,1))),IF(R1059&gt;0,AY1059/R1059,0))/MAX(0.1,N(Parameter!$M$21)))</f>
        <v>0.0833333333333333</v>
      </c>
      <c r="BA1059" s="50" t="n">
        <f aca="false">AZ1059*BY1059</f>
        <v>28.75</v>
      </c>
      <c r="BB1059" s="50" t="n">
        <f aca="false">AX1059*G1059</f>
        <v>438.9</v>
      </c>
      <c r="BC1059" s="50" t="n">
        <f aca="false">ROUNDUP(MAX(J1059/IF(CD1059&gt;0,CD1059,MAX(0.1,N(Cockpit!$O$6))),CG1059)/BV1059,0)*BV1059</f>
        <v>105</v>
      </c>
      <c r="BD1059" s="51" t="n">
        <f aca="false">IF(BA1059&gt;0,J1059/BA1059,-1)</f>
        <v>0.591304347826087</v>
      </c>
      <c r="BE1059" s="51" t="n">
        <f aca="false">IF(AND(OR(CC1059="L1",CC1059="L23",CC1059="LIFT"),BA1059&gt;0),SUMIFS($BA$7:$BA$1843,$CC$7:$CC$1843,CC1059,$BD$7:$BD$1843,"&gt;"&amp;BD1059)+SUMIFS($BA$7:$BA$1843,$CC$7:$CC$1843,CC1059,$BD$7:$BD$1843,BD1059,$BT$7:$BT$1843,"&lt;="&amp;BT1059),"")</f>
        <v>11774.228021978</v>
      </c>
      <c r="BF1059" s="58" t="n">
        <f aca="false">IF(BE1059="",0,MAX(0,MIN(1,(IF(CC1059="L1",Parameter!$H$5,IF(CC1059="L23",Parameter!$H$6+Parameter!$H$7,Parameter!$H$5+Parameter!$H$6+Parameter!$H$7))-(BE1059-BA1059))/BA1059)))</f>
        <v>1</v>
      </c>
      <c r="BG1059" s="48" t="str">
        <f aca="false">IF(AI1059&lt;=0,"",IF(CC1059="Aussen","Aussenlager",IF(CC1059="-","Nicht im Lift",IF(AN1059&gt;=1,"Lift",IF(AN1059&lt;=0,"Aussenlager","teilweise")))))</f>
        <v>Lift</v>
      </c>
      <c r="BH1059" s="48" t="str">
        <f aca="false">IF(AR1059&lt;=0,"",IF(CC1059="Aussen","Aussenlager",IF(CC1059="-","Nicht im Lift",IF(AW1059&gt;=1,"Lift",IF(AW1059&lt;=0,"Aussenlager","teilweise")))))</f>
        <v>Lift</v>
      </c>
      <c r="BI1059" s="48" t="str">
        <f aca="false">IF(BA1059&lt;=0,"",IF(CC1059="Aussen","Aussenlager",IF(CC1059="-","Nicht im Lift",IF(BF1059&gt;=1,"Lift",IF(BF1059&lt;=0,"Aussenlager","teilweise")))))</f>
        <v>Lift</v>
      </c>
      <c r="BJ1059" s="48" t="str">
        <f aca="false">IF(A1059="","",IF(BS1059=1,"Neu; ","")&amp;IF(AND(BS1059=0,BN1059&lt;0),"negativer Bestand (Export "&amp;BN1059&amp;"); ","")&amp;IF(J1059&lt;=0,"Kein Verbrauch; ","")&amp;IF(CL1059&gt;0,"Lift "&amp;W1059&amp;" lt. Liftbericht (Fach "&amp;X1059&amp;" Stk); ",IF(BX1059=1,"Gebinde geschätzt ("&amp;T1059&amp;"); ",IF(BW1059=1,"Lose – Tablare geschätzt; ","")))&amp;IF(H1059&gt;AT1059,"Überbestand "&amp;ROUND(H1059-AT1059,0)&amp;" Stk / CHF "&amp;ROUND((H1059-AT1059)*G1059,0)&amp;"; ","")&amp;IF(AND(CE1059=1,CF1059&lt;CG1059),"MAX &lt; MB+LG; ","")&amp;IF(AND(CK1059&gt;0,CJ1059*10&gt;CK1059),"zu hoch für Tablar; ","")&amp;IF(AND(BS1059=0,OR(CE1059=1,AA1059&lt;&gt;"",U1059&lt;&gt;"",V1059&lt;&gt;"",AB1059&lt;&gt;"")),"manuell übersteuert; ","")&amp;IF(AND(BW1059=0,R1059=0),"Gebinde unbekannt / Stellmass fehlt; ","")&amp;IF(AND(BW1059=0,N(V1059)&lt;=0,N(Q1059)&lt;=0),"Menge pro Gebinde fehlt (Ist = 1 Gebinde); ","")&amp;BR1059)</f>
        <v>negativer Bestand (Export -37); Handlager</v>
      </c>
      <c r="BK1059" s="48"/>
      <c r="BL1059" s="48"/>
      <c r="BM1059" s="55"/>
      <c r="BN1059" s="50" t="n">
        <v>-37</v>
      </c>
      <c r="BO1059" s="50" t="n">
        <v>42</v>
      </c>
      <c r="BP1059" s="49" t="n">
        <v>-154.66</v>
      </c>
      <c r="BQ1059" s="50" t="n">
        <v>17</v>
      </c>
      <c r="BR1059" s="48" t="s">
        <v>899</v>
      </c>
      <c r="BS1059" s="53" t="n">
        <v>0</v>
      </c>
      <c r="BT1059" s="53" t="n">
        <v>1059</v>
      </c>
      <c r="BU1059" s="48" t="str">
        <f aca="false">IF(U1059&lt;&gt;"",UPPER(TRIM(U1059)),IF(BX1059=1,UPPER(VLOOKUP(T1059,Parameter!$I$27:$K$29,2,0)),IF(P1059="","LOSE",P1059)))</f>
        <v>S63</v>
      </c>
      <c r="BV1059" s="50" t="n">
        <f aca="false">IF(BU1059="LOSE",1,IF(N(V1059)&gt;0,V1059,IF(BX1059=1,MAX(1,N(VLOOKUP(T1059,Parameter!$I$27:$K$29,3,0)),H1059,N(N1059)),IF(N(Q1059)&gt;0,Q1059,MAX(1,H1059)))))</f>
        <v>105</v>
      </c>
      <c r="BW1059" s="53" t="n">
        <f aca="false">IF(BU1059="LOSE",1,0)</f>
        <v>0</v>
      </c>
      <c r="BX1059" s="53" t="n">
        <f aca="false">IF(AND(U1059="",OR(P1059="",P1059="LOSE"),T1059&lt;&gt;"",N(S1059)&lt;=0,ISNUMBER(MATCH(T1059,Parameter!$I$27:$I$29,0))),1,0)</f>
        <v>0</v>
      </c>
      <c r="BY1059" s="53" t="n">
        <f aca="false">IF(CL1059&gt;0,INDEX(Parameter!$H$5:$H$7,W1059)/INDEX(Parameter!$E$5:$E$7,W1059),IF(AND(BW1059=0,N(IFERROR(VLOOKUP(BU1059,'Gebinde-Kategorie'!$A$5:$N$45,14,0),0))&gt;0),VLOOKUP(BU1059,'Gebinde-Kategorie'!$A$5:$N$45,14,0)*10+Parameter!$M$23,Parameter!$M$24))</f>
        <v>345</v>
      </c>
      <c r="BZ1059" s="48" t="str">
        <f aca="false">IF(AND(Parameter!$B$19="Ja",E1059&lt;&gt;"",ISNUMBER(MATCH(E1059,Parameter!$I$35:$I$52,0))),VLOOKUP(E1059,Parameter!$I$35:$J$52,2,0),IFERROR(VLOOKUP(D1059,Parameter!$A$35:$C$64,2,0),"Nein"))</f>
        <v>2+3</v>
      </c>
      <c r="CA1059" s="52" t="n">
        <f aca="false">IF(BW1059=0,0,IF(N(S1059)&gt;0,S1059,IFERROR(VLOOKUP(D1059,Parameter!$A$35:$C$64,3,0)+0,0)))</f>
        <v>0</v>
      </c>
      <c r="CB1059" s="48" t="n">
        <f aca="false">IF(AA1059&lt;&gt;"",AA1059,Z1059)</f>
        <v>2</v>
      </c>
      <c r="CC1059" s="48" t="str">
        <f aca="false">IF(OR(CB1059=1,CB1059=2,CB1059=3),IF(Parameter!$E$27="Ja","LIFT",IF(CB1059=1,"L1","L23")),IF(CB1059="Aussen","Aussen","-"))</f>
        <v>LIFT</v>
      </c>
      <c r="CD1059" s="59" t="n">
        <f aca="false">IF(N(AB1059)&gt;0,AB1059,0)</f>
        <v>0</v>
      </c>
      <c r="CE1059" s="53" t="n">
        <f aca="false">IF(ISNUMBER(AE1059),1,0)</f>
        <v>0</v>
      </c>
      <c r="CF1059" s="50" t="n">
        <f aca="false">N(AE1059)</f>
        <v>0</v>
      </c>
      <c r="CG1059" s="50" t="n">
        <f aca="false">N(M1059)+N(N1059)</f>
        <v>16</v>
      </c>
      <c r="CH1059" s="50" t="n">
        <f aca="false">ROUNDUP(H1059/BV1059,0)</f>
        <v>1</v>
      </c>
      <c r="CI1059" s="50" t="n">
        <f aca="false">ROUNDUP(CF1059/BV1059,0)</f>
        <v>0</v>
      </c>
      <c r="CJ1059" s="53" t="n">
        <f aca="false">IF(BW1059=1,0,IFERROR(VLOOKUP(BU1059,'Gebinde-Kategorie'!$A$5:$N$45,5,0)+0,0))</f>
        <v>31</v>
      </c>
      <c r="CK1059" s="53" t="n">
        <f aca="false">IFERROR(IF(OR(CB1059=1,CB1059=2,CB1059=3),N(INDEX(Parameter!$I$5:$I$7,CB1059)),0),0)</f>
        <v>0</v>
      </c>
      <c r="CL1059" s="52" t="n">
        <f aca="false">IF(AND(Parameter!$B$21="Ja",ISNUMBER(W1059),N(X1059)&gt;0),IFERROR(N(INDEX(Parameter!$L$5:$L$7,W1059))*INDEX(Parameter!$E$5:$E$7,W1059)*X1059/SUMIFS($X$7:$X$1843,$W$7:$W$1843,W1059),0),0)</f>
        <v>0</v>
      </c>
    </row>
    <row r="1060" customFormat="false" ht="15" hidden="false" customHeight="false" outlineLevel="0" collapsed="false">
      <c r="A1060" s="48" t="s">
        <v>1941</v>
      </c>
      <c r="B1060" s="48" t="s">
        <v>1169</v>
      </c>
      <c r="C1060" s="48" t="s">
        <v>168</v>
      </c>
      <c r="D1060" s="48" t="s">
        <v>188</v>
      </c>
      <c r="E1060" s="48" t="s">
        <v>189</v>
      </c>
      <c r="F1060" s="48" t="s">
        <v>222</v>
      </c>
      <c r="G1060" s="49" t="n">
        <v>30.05</v>
      </c>
      <c r="H1060" s="50" t="n">
        <f aca="false">MAX(0,IF(AND(Parameter!$B$21="Ja",ISNUMBER(Y1060)),Y1060,IF(Parameter!$B$20="Jahresanfang 2025 + Export",BO1060+BN1060,BN1060)))</f>
        <v>5</v>
      </c>
      <c r="I1060" s="50" t="n">
        <f aca="false">H1060*G1060</f>
        <v>150.25</v>
      </c>
      <c r="J1060" s="50" t="n">
        <f aca="false">BQ1060*Parameter!$B$18</f>
        <v>20</v>
      </c>
      <c r="K1060" s="51" t="n">
        <v>14.5</v>
      </c>
      <c r="L1060" s="52" t="n">
        <v>1.37931034482759</v>
      </c>
      <c r="M1060" s="50" t="n">
        <v>0</v>
      </c>
      <c r="N1060" s="50" t="n">
        <v>20</v>
      </c>
      <c r="O1060" s="53" t="n">
        <v>14</v>
      </c>
      <c r="P1060" s="48" t="s">
        <v>190</v>
      </c>
      <c r="Q1060" s="50" t="n">
        <v>24</v>
      </c>
      <c r="R1060" s="53" t="n">
        <f aca="false">IF(BW1060=1,0,IFERROR(VLOOKUP(BU1060,'Gebinde-Kategorie'!$A$5:$N$45,13,0)+0,0))</f>
        <v>12</v>
      </c>
      <c r="S1060" s="54"/>
      <c r="T1060" s="55"/>
      <c r="U1060" s="55"/>
      <c r="V1060" s="55"/>
      <c r="W1060" s="48"/>
      <c r="X1060" s="50"/>
      <c r="Y1060" s="50"/>
      <c r="Z1060" s="48" t="n">
        <f aca="false">IF(A1060="","",IF(AND(Parameter!$B$21="Ja",ISNUMBER(W1060)),W1060,IF(BZ1060="2+3",IF(ISNUMBER(SEARCH("grosser Artikel",BR1060)),2,IFERROR(VLOOKUP(BU1060,Parameter!$F$35:$G$64,2,0),2)),IF(OR(BZ1060="Nein",BZ1060=""),"-",BZ1060))))</f>
        <v>2</v>
      </c>
      <c r="AA1060" s="55"/>
      <c r="AB1060" s="56"/>
      <c r="AC1060" s="50" t="n">
        <f aca="false">AT1060</f>
        <v>24</v>
      </c>
      <c r="AD1060" s="50" t="n">
        <f aca="false">MAX(AT1060,H1060)</f>
        <v>24</v>
      </c>
      <c r="AE1060" s="57"/>
      <c r="AF1060" s="50" t="n">
        <f aca="false">IF(LEFT(Cockpit!$C$5,1)="A",H1060,IF(CE1060=1,CF1060,IF(LEFT(Cockpit!$C$5,1)="B",AK1060,MAX(AK1060,H1060))))</f>
        <v>5</v>
      </c>
      <c r="AG1060" s="50" t="n">
        <f aca="false">IF(BW1060=1,0,ROUNDUP(AF1060/BV1060,0))</f>
        <v>1</v>
      </c>
      <c r="AH1060" s="52" t="n">
        <f aca="false">IF(CL1060&gt;0,CL1060*MAX(1,AF1060/X1060),IF(BW1060=1,IF(AF1060&lt;=0,0,CA1060*MAX(1,IF(H1060&gt;0,AF1060/H1060,1))),IF(R1060&gt;0,AG1060/R1060,0))/MAX(0.1,N(Parameter!$M$21)))</f>
        <v>0.0833333333333333</v>
      </c>
      <c r="AI1060" s="50" t="n">
        <f aca="false">AH1060*BY1060</f>
        <v>12.0833333333333</v>
      </c>
      <c r="AJ1060" s="50" t="n">
        <f aca="false">AF1060*G1060</f>
        <v>150.25</v>
      </c>
      <c r="AK1060" s="50" t="n">
        <f aca="false">ROUNDUP(MAX(J1060/IF(CD1060&gt;0,CD1060,MAX(0.1,N(Cockpit!$C$6))),CG1060)/BV1060,0)*BV1060</f>
        <v>24</v>
      </c>
      <c r="AL1060" s="51" t="n">
        <f aca="false">IF(AI1060&gt;0,J1060/AI1060,-1)</f>
        <v>1.6551724137931</v>
      </c>
      <c r="AM1060" s="51" t="n">
        <f aca="false">IF(AND(OR(CC1060="L1",CC1060="L23",CC1060="LIFT"),AI1060&gt;0),SUMIFS($AI$7:$AI$1843,$CC$7:$CC$1843,CC1060,$AL$7:$AL$1843,"&gt;"&amp;AL1060)+SUMIFS($AI$7:$AI$1843,$CC$7:$CC$1843,CC1060,$AL$7:$AL$1843,AL1060,$BT$7:$BT$1843,"&lt;="&amp;BT1060),"")</f>
        <v>6140.85943223443</v>
      </c>
      <c r="AN1060" s="58" t="n">
        <f aca="false">IF(AM1060="",0,MAX(0,MIN(1,(IF(CC1060="L1",Parameter!$H$5,IF(CC1060="L23",Parameter!$H$6+Parameter!$H$7,Parameter!$H$5+Parameter!$H$6+Parameter!$H$7))-(AM1060-AI1060))/AI1060)))</f>
        <v>1</v>
      </c>
      <c r="AO1060" s="50" t="n">
        <f aca="false">IF(LEFT(Cockpit!$I$5,1)="A",H1060,IF(CE1060=1,CF1060,IF(LEFT(Cockpit!$I$5,1)="B",AT1060,MAX(AT1060,H1060))))</f>
        <v>24</v>
      </c>
      <c r="AP1060" s="50" t="n">
        <f aca="false">IF(BW1060=1,0,ROUNDUP(AO1060/BV1060,0))</f>
        <v>1</v>
      </c>
      <c r="AQ1060" s="52" t="n">
        <f aca="false">IF(CL1060&gt;0,CL1060*MAX(1,AO1060/X1060),IF(BW1060=1,IF(AO1060&lt;=0,0,CA1060*MAX(1,IF(H1060&gt;0,AO1060/H1060,1))),IF(R1060&gt;0,AP1060/R1060,0))/MAX(0.1,N(Parameter!$M$21)))</f>
        <v>0.0833333333333333</v>
      </c>
      <c r="AR1060" s="50" t="n">
        <f aca="false">AQ1060*BY1060</f>
        <v>12.0833333333333</v>
      </c>
      <c r="AS1060" s="50" t="n">
        <f aca="false">AO1060*G1060</f>
        <v>721.2</v>
      </c>
      <c r="AT1060" s="50" t="n">
        <f aca="false">ROUNDUP(MAX(J1060/IF(CD1060&gt;0,CD1060,MAX(0.1,N(Cockpit!$I$6))),CG1060)/BV1060,0)*BV1060</f>
        <v>24</v>
      </c>
      <c r="AU1060" s="51" t="n">
        <f aca="false">IF(AR1060&gt;0,J1060/AR1060,-1)</f>
        <v>1.6551724137931</v>
      </c>
      <c r="AV1060" s="51" t="n">
        <f aca="false">IF(AND(OR(CC1060="L1",CC1060="L23",CC1060="LIFT"),AR1060&gt;0),SUMIFS($AR$7:$AR$1843,$CC$7:$CC$1843,CC1060,$AU$7:$AU$1843,"&gt;"&amp;AU1060)+SUMIFS($AR$7:$AR$1843,$CC$7:$CC$1843,CC1060,$AU$7:$AU$1843,AU1060,$BT$7:$BT$1843,"&lt;="&amp;BT1060),"")</f>
        <v>8302.78937728938</v>
      </c>
      <c r="AW1060" s="58" t="n">
        <f aca="false">IF(AV1060="",0,MAX(0,MIN(1,(IF(CC1060="L1",Parameter!$H$5,IF(CC1060="L23",Parameter!$H$6+Parameter!$H$7,Parameter!$H$5+Parameter!$H$6+Parameter!$H$7))-(AV1060-AR1060))/AR1060)))</f>
        <v>1</v>
      </c>
      <c r="AX1060" s="50" t="n">
        <f aca="false">IF(LEFT(Cockpit!$O$5,1)="A",H1060,IF(CE1060=1,CF1060,IF(LEFT(Cockpit!$O$5,1)="B",BC1060,MAX(BC1060,H1060))))</f>
        <v>24</v>
      </c>
      <c r="AY1060" s="50" t="n">
        <f aca="false">IF(BW1060=1,0,ROUNDUP(AX1060/BV1060,0))</f>
        <v>1</v>
      </c>
      <c r="AZ1060" s="52" t="n">
        <f aca="false">IF(CL1060&gt;0,CL1060*MAX(1,AX1060/X1060),IF(BW1060=1,IF(AX1060&lt;=0,0,CA1060*MAX(1,IF(H1060&gt;0,AX1060/H1060,1))),IF(R1060&gt;0,AY1060/R1060,0))/MAX(0.1,N(Parameter!$M$21)))</f>
        <v>0.0833333333333333</v>
      </c>
      <c r="BA1060" s="50" t="n">
        <f aca="false">AZ1060*BY1060</f>
        <v>12.0833333333333</v>
      </c>
      <c r="BB1060" s="50" t="n">
        <f aca="false">AX1060*G1060</f>
        <v>721.2</v>
      </c>
      <c r="BC1060" s="50" t="n">
        <f aca="false">ROUNDUP(MAX(J1060/IF(CD1060&gt;0,CD1060,MAX(0.1,N(Cockpit!$O$6))),CG1060)/BV1060,0)*BV1060</f>
        <v>24</v>
      </c>
      <c r="BD1060" s="51" t="n">
        <f aca="false">IF(BA1060&gt;0,J1060/BA1060,-1)</f>
        <v>1.6551724137931</v>
      </c>
      <c r="BE1060" s="51" t="n">
        <f aca="false">IF(AND(OR(CC1060="L1",CC1060="L23",CC1060="LIFT"),BA1060&gt;0),SUMIFS($BA$7:$BA$1843,$CC$7:$CC$1843,CC1060,$BD$7:$BD$1843,"&gt;"&amp;BD1060)+SUMIFS($BA$7:$BA$1843,$CC$7:$CC$1843,CC1060,$BD$7:$BD$1843,BD1060,$BT$7:$BT$1843,"&lt;="&amp;BT1060),"")</f>
        <v>8217.19642857143</v>
      </c>
      <c r="BF1060" s="58" t="n">
        <f aca="false">IF(BE1060="",0,MAX(0,MIN(1,(IF(CC1060="L1",Parameter!$H$5,IF(CC1060="L23",Parameter!$H$6+Parameter!$H$7,Parameter!$H$5+Parameter!$H$6+Parameter!$H$7))-(BE1060-BA1060))/BA1060)))</f>
        <v>1</v>
      </c>
      <c r="BG1060" s="48" t="str">
        <f aca="false">IF(AI1060&lt;=0,"",IF(CC1060="Aussen","Aussenlager",IF(CC1060="-","Nicht im Lift",IF(AN1060&gt;=1,"Lift",IF(AN1060&lt;=0,"Aussenlager","teilweise")))))</f>
        <v>Lift</v>
      </c>
      <c r="BH1060" s="48" t="str">
        <f aca="false">IF(AR1060&lt;=0,"",IF(CC1060="Aussen","Aussenlager",IF(CC1060="-","Nicht im Lift",IF(AW1060&gt;=1,"Lift",IF(AW1060&lt;=0,"Aussenlager","teilweise")))))</f>
        <v>Lift</v>
      </c>
      <c r="BI1060" s="48" t="str">
        <f aca="false">IF(BA1060&lt;=0,"",IF(CC1060="Aussen","Aussenlager",IF(CC1060="-","Nicht im Lift",IF(BF1060&gt;=1,"Lift",IF(BF1060&lt;=0,"Aussenlager","teilweise")))))</f>
        <v>Lift</v>
      </c>
      <c r="BJ1060" s="48" t="str">
        <f aca="false">IF(A1060="","",IF(BS1060=1,"Neu; ","")&amp;IF(AND(BS1060=0,BN1060&lt;0),"negativer Bestand (Export "&amp;BN1060&amp;"); ","")&amp;IF(J1060&lt;=0,"Kein Verbrauch; ","")&amp;IF(CL1060&gt;0,"Lift "&amp;W1060&amp;" lt. Liftbericht (Fach "&amp;X1060&amp;" Stk); ",IF(BX1060=1,"Gebinde geschätzt ("&amp;T1060&amp;"); ",IF(BW1060=1,"Lose – Tablare geschätzt; ","")))&amp;IF(H1060&gt;AT1060,"Überbestand "&amp;ROUND(H1060-AT1060,0)&amp;" Stk / CHF "&amp;ROUND((H1060-AT1060)*G1060,0)&amp;"; ","")&amp;IF(AND(CE1060=1,CF1060&lt;CG1060),"MAX &lt; MB+LG; ","")&amp;IF(AND(CK1060&gt;0,CJ1060*10&gt;CK1060),"zu hoch für Tablar; ","")&amp;IF(AND(BS1060=0,OR(CE1060=1,AA1060&lt;&gt;"",U1060&lt;&gt;"",V1060&lt;&gt;"",AB1060&lt;&gt;"")),"manuell übersteuert; ","")&amp;IF(AND(BW1060=0,R1060=0),"Gebinde unbekannt / Stellmass fehlt; ","")&amp;IF(AND(BW1060=0,N(V1060)&lt;=0,N(Q1060)&lt;=0),"Menge pro Gebinde fehlt (Ist = 1 Gebinde); ","")&amp;BR1060)</f>
        <v>negativer Bestand (Export -5); </v>
      </c>
      <c r="BK1060" s="48"/>
      <c r="BL1060" s="48"/>
      <c r="BM1060" s="55"/>
      <c r="BN1060" s="50" t="n">
        <v>-5</v>
      </c>
      <c r="BO1060" s="50" t="n">
        <v>10</v>
      </c>
      <c r="BP1060" s="49" t="n">
        <v>-155.05</v>
      </c>
      <c r="BQ1060" s="50" t="n">
        <v>20</v>
      </c>
      <c r="BR1060" s="48"/>
      <c r="BS1060" s="53" t="n">
        <v>0</v>
      </c>
      <c r="BT1060" s="53" t="n">
        <v>1060</v>
      </c>
      <c r="BU1060" s="48" t="str">
        <f aca="false">IF(U1060&lt;&gt;"",UPPER(TRIM(U1060)),IF(BX1060=1,UPPER(VLOOKUP(T1060,Parameter!$I$27:$K$29,2,0)),IF(P1060="","LOSE",P1060)))</f>
        <v>S61</v>
      </c>
      <c r="BV1060" s="50" t="n">
        <f aca="false">IF(BU1060="LOSE",1,IF(N(V1060)&gt;0,V1060,IF(BX1060=1,MAX(1,N(VLOOKUP(T1060,Parameter!$I$27:$K$29,3,0)),H1060,N(N1060)),IF(N(Q1060)&gt;0,Q1060,MAX(1,H1060)))))</f>
        <v>24</v>
      </c>
      <c r="BW1060" s="53" t="n">
        <f aca="false">IF(BU1060="LOSE",1,0)</f>
        <v>0</v>
      </c>
      <c r="BX1060" s="53" t="n">
        <f aca="false">IF(AND(U1060="",OR(P1060="",P1060="LOSE"),T1060&lt;&gt;"",N(S1060)&lt;=0,ISNUMBER(MATCH(T1060,Parameter!$I$27:$I$29,0))),1,0)</f>
        <v>0</v>
      </c>
      <c r="BY1060" s="53" t="n">
        <f aca="false">IF(CL1060&gt;0,INDEX(Parameter!$H$5:$H$7,W1060)/INDEX(Parameter!$E$5:$E$7,W1060),IF(AND(BW1060=0,N(IFERROR(VLOOKUP(BU1060,'Gebinde-Kategorie'!$A$5:$N$45,14,0),0))&gt;0),VLOOKUP(BU1060,'Gebinde-Kategorie'!$A$5:$N$45,14,0)*10+Parameter!$M$23,Parameter!$M$24))</f>
        <v>145</v>
      </c>
      <c r="BZ1060" s="48" t="str">
        <f aca="false">IF(AND(Parameter!$B$19="Ja",E1060&lt;&gt;"",ISNUMBER(MATCH(E1060,Parameter!$I$35:$I$52,0))),VLOOKUP(E1060,Parameter!$I$35:$J$52,2,0),IFERROR(VLOOKUP(D1060,Parameter!$A$35:$C$64,2,0),"Nein"))</f>
        <v>2+3</v>
      </c>
      <c r="CA1060" s="52" t="n">
        <f aca="false">IF(BW1060=0,0,IF(N(S1060)&gt;0,S1060,IFERROR(VLOOKUP(D1060,Parameter!$A$35:$C$64,3,0)+0,0)))</f>
        <v>0</v>
      </c>
      <c r="CB1060" s="48" t="n">
        <f aca="false">IF(AA1060&lt;&gt;"",AA1060,Z1060)</f>
        <v>2</v>
      </c>
      <c r="CC1060" s="48" t="str">
        <f aca="false">IF(OR(CB1060=1,CB1060=2,CB1060=3),IF(Parameter!$E$27="Ja","LIFT",IF(CB1060=1,"L1","L23")),IF(CB1060="Aussen","Aussen","-"))</f>
        <v>LIFT</v>
      </c>
      <c r="CD1060" s="59" t="n">
        <f aca="false">IF(N(AB1060)&gt;0,AB1060,0)</f>
        <v>0</v>
      </c>
      <c r="CE1060" s="53" t="n">
        <f aca="false">IF(ISNUMBER(AE1060),1,0)</f>
        <v>0</v>
      </c>
      <c r="CF1060" s="50" t="n">
        <f aca="false">N(AE1060)</f>
        <v>0</v>
      </c>
      <c r="CG1060" s="50" t="n">
        <f aca="false">N(M1060)+N(N1060)</f>
        <v>20</v>
      </c>
      <c r="CH1060" s="50" t="n">
        <f aca="false">ROUNDUP(H1060/BV1060,0)</f>
        <v>1</v>
      </c>
      <c r="CI1060" s="50" t="n">
        <f aca="false">ROUNDUP(CF1060/BV1060,0)</f>
        <v>0</v>
      </c>
      <c r="CJ1060" s="53" t="n">
        <f aca="false">IF(BW1060=1,0,IFERROR(VLOOKUP(BU1060,'Gebinde-Kategorie'!$A$5:$N$45,5,0)+0,0))</f>
        <v>11</v>
      </c>
      <c r="CK1060" s="53" t="n">
        <f aca="false">IFERROR(IF(OR(CB1060=1,CB1060=2,CB1060=3),N(INDEX(Parameter!$I$5:$I$7,CB1060)),0),0)</f>
        <v>0</v>
      </c>
      <c r="CL1060" s="52" t="n">
        <f aca="false">IF(AND(Parameter!$B$21="Ja",ISNUMBER(W1060),N(X1060)&gt;0),IFERROR(N(INDEX(Parameter!$L$5:$L$7,W1060))*INDEX(Parameter!$E$5:$E$7,W1060)*X1060/SUMIFS($X$7:$X$1843,$W$7:$W$1843,W1060),0),0)</f>
        <v>0</v>
      </c>
    </row>
    <row r="1061" customFormat="false" ht="15" hidden="false" customHeight="false" outlineLevel="0" collapsed="false">
      <c r="A1061" s="48" t="s">
        <v>1942</v>
      </c>
      <c r="B1061" s="48" t="s">
        <v>1943</v>
      </c>
      <c r="C1061" s="48" t="s">
        <v>168</v>
      </c>
      <c r="D1061" s="48" t="s">
        <v>188</v>
      </c>
      <c r="E1061" s="48"/>
      <c r="F1061" s="48" t="s">
        <v>222</v>
      </c>
      <c r="G1061" s="49" t="n">
        <v>156.88</v>
      </c>
      <c r="H1061" s="50" t="n">
        <f aca="false">MAX(0,IF(AND(Parameter!$B$21="Ja",ISNUMBER(Y1061)),Y1061,IF(Parameter!$B$20="Jahresanfang 2025 + Export",BO1061+BN1061,BN1061)))</f>
        <v>6</v>
      </c>
      <c r="I1061" s="50" t="n">
        <f aca="false">H1061*G1061</f>
        <v>941.28</v>
      </c>
      <c r="J1061" s="50" t="n">
        <f aca="false">BQ1061*Parameter!$B$18</f>
        <v>1</v>
      </c>
      <c r="K1061" s="51" t="n">
        <v>6.5</v>
      </c>
      <c r="L1061" s="52" t="n">
        <v>0.153846153846154</v>
      </c>
      <c r="M1061" s="50" t="n">
        <v>0</v>
      </c>
      <c r="N1061" s="50" t="n">
        <v>1</v>
      </c>
      <c r="O1061" s="53" t="n">
        <v>21</v>
      </c>
      <c r="P1061" s="48" t="s">
        <v>332</v>
      </c>
      <c r="Q1061" s="50" t="n">
        <v>6</v>
      </c>
      <c r="R1061" s="53" t="n">
        <f aca="false">IF(BW1061=1,0,IFERROR(VLOOKUP(BU1061,'Gebinde-Kategorie'!$A$5:$N$45,13,0)+0,0))</f>
        <v>52</v>
      </c>
      <c r="S1061" s="54"/>
      <c r="T1061" s="55"/>
      <c r="U1061" s="55"/>
      <c r="V1061" s="55"/>
      <c r="W1061" s="48"/>
      <c r="X1061" s="50"/>
      <c r="Y1061" s="50"/>
      <c r="Z1061" s="48" t="n">
        <f aca="false">IF(A1061="","",IF(AND(Parameter!$B$21="Ja",ISNUMBER(W1061)),W1061,IF(BZ1061="2+3",IF(ISNUMBER(SEARCH("grosser Artikel",BR1061)),2,IFERROR(VLOOKUP(BU1061,Parameter!$F$35:$G$64,2,0),2)),IF(OR(BZ1061="Nein",BZ1061=""),"-",BZ1061))))</f>
        <v>3</v>
      </c>
      <c r="AA1061" s="55"/>
      <c r="AB1061" s="56"/>
      <c r="AC1061" s="50" t="n">
        <f aca="false">AT1061</f>
        <v>6</v>
      </c>
      <c r="AD1061" s="50" t="n">
        <f aca="false">MAX(AT1061,H1061)</f>
        <v>6</v>
      </c>
      <c r="AE1061" s="57"/>
      <c r="AF1061" s="50" t="n">
        <f aca="false">IF(LEFT(Cockpit!$C$5,1)="A",H1061,IF(CE1061=1,CF1061,IF(LEFT(Cockpit!$C$5,1)="B",AK1061,MAX(AK1061,H1061))))</f>
        <v>6</v>
      </c>
      <c r="AG1061" s="50" t="n">
        <f aca="false">IF(BW1061=1,0,ROUNDUP(AF1061/BV1061,0))</f>
        <v>1</v>
      </c>
      <c r="AH1061" s="52" t="n">
        <f aca="false">IF(CL1061&gt;0,CL1061*MAX(1,AF1061/X1061),IF(BW1061=1,IF(AF1061&lt;=0,0,CA1061*MAX(1,IF(H1061&gt;0,AF1061/H1061,1))),IF(R1061&gt;0,AG1061/R1061,0))/MAX(0.1,N(Parameter!$M$21)))</f>
        <v>0.0192307692307692</v>
      </c>
      <c r="AI1061" s="50" t="n">
        <f aca="false">AH1061*BY1061</f>
        <v>2.98076923076923</v>
      </c>
      <c r="AJ1061" s="50" t="n">
        <f aca="false">AF1061*G1061</f>
        <v>941.28</v>
      </c>
      <c r="AK1061" s="50" t="n">
        <f aca="false">ROUNDUP(MAX(J1061/IF(CD1061&gt;0,CD1061,MAX(0.1,N(Cockpit!$C$6))),CG1061)/BV1061,0)*BV1061</f>
        <v>6</v>
      </c>
      <c r="AL1061" s="51" t="n">
        <f aca="false">IF(AI1061&gt;0,J1061/AI1061,-1)</f>
        <v>0.335483870967742</v>
      </c>
      <c r="AM1061" s="51" t="n">
        <f aca="false">IF(AND(OR(CC1061="L1",CC1061="L23",CC1061="LIFT"),AI1061&gt;0),SUMIFS($AI$7:$AI$1843,$CC$7:$CC$1843,CC1061,$AL$7:$AL$1843,"&gt;"&amp;AL1061)+SUMIFS($AI$7:$AI$1843,$CC$7:$CC$1843,CC1061,$AL$7:$AL$1843,AL1061,$BT$7:$BT$1843,"&lt;="&amp;BT1061),"")</f>
        <v>11221.7885779475</v>
      </c>
      <c r="AN1061" s="58" t="n">
        <f aca="false">IF(AM1061="",0,MAX(0,MIN(1,(IF(CC1061="L1",Parameter!$H$5,IF(CC1061="L23",Parameter!$H$6+Parameter!$H$7,Parameter!$H$5+Parameter!$H$6+Parameter!$H$7))-(AM1061-AI1061))/AI1061)))</f>
        <v>1</v>
      </c>
      <c r="AO1061" s="50" t="n">
        <f aca="false">IF(LEFT(Cockpit!$I$5,1)="A",H1061,IF(CE1061=1,CF1061,IF(LEFT(Cockpit!$I$5,1)="B",AT1061,MAX(AT1061,H1061))))</f>
        <v>6</v>
      </c>
      <c r="AP1061" s="50" t="n">
        <f aca="false">IF(BW1061=1,0,ROUNDUP(AO1061/BV1061,0))</f>
        <v>1</v>
      </c>
      <c r="AQ1061" s="52" t="n">
        <f aca="false">IF(CL1061&gt;0,CL1061*MAX(1,AO1061/X1061),IF(BW1061=1,IF(AO1061&lt;=0,0,CA1061*MAX(1,IF(H1061&gt;0,AO1061/H1061,1))),IF(R1061&gt;0,AP1061/R1061,0))/MAX(0.1,N(Parameter!$M$21)))</f>
        <v>0.0192307692307692</v>
      </c>
      <c r="AR1061" s="50" t="n">
        <f aca="false">AQ1061*BY1061</f>
        <v>2.98076923076923</v>
      </c>
      <c r="AS1061" s="50" t="n">
        <f aca="false">AO1061*G1061</f>
        <v>941.28</v>
      </c>
      <c r="AT1061" s="50" t="n">
        <f aca="false">ROUNDUP(MAX(J1061/IF(CD1061&gt;0,CD1061,MAX(0.1,N(Cockpit!$I$6))),CG1061)/BV1061,0)*BV1061</f>
        <v>6</v>
      </c>
      <c r="AU1061" s="51" t="n">
        <f aca="false">IF(AR1061&gt;0,J1061/AR1061,-1)</f>
        <v>0.335483870967742</v>
      </c>
      <c r="AV1061" s="51" t="n">
        <f aca="false">IF(AND(OR(CC1061="L1",CC1061="L23",CC1061="LIFT"),AR1061&gt;0),SUMIFS($AR$7:$AR$1843,$CC$7:$CC$1843,CC1061,$AU$7:$AU$1843,"&gt;"&amp;AU1061)+SUMIFS($AR$7:$AR$1843,$CC$7:$CC$1843,CC1061,$AU$7:$AU$1843,AU1061,$BT$7:$BT$1843,"&lt;="&amp;BT1061),"")</f>
        <v>16347.4867216117</v>
      </c>
      <c r="AW1061" s="58" t="n">
        <f aca="false">IF(AV1061="",0,MAX(0,MIN(1,(IF(CC1061="L1",Parameter!$H$5,IF(CC1061="L23",Parameter!$H$6+Parameter!$H$7,Parameter!$H$5+Parameter!$H$6+Parameter!$H$7))-(AV1061-AR1061))/AR1061)))</f>
        <v>1</v>
      </c>
      <c r="AX1061" s="50" t="n">
        <f aca="false">IF(LEFT(Cockpit!$O$5,1)="A",H1061,IF(CE1061=1,CF1061,IF(LEFT(Cockpit!$O$5,1)="B",BC1061,MAX(BC1061,H1061))))</f>
        <v>6</v>
      </c>
      <c r="AY1061" s="50" t="n">
        <f aca="false">IF(BW1061=1,0,ROUNDUP(AX1061/BV1061,0))</f>
        <v>1</v>
      </c>
      <c r="AZ1061" s="52" t="n">
        <f aca="false">IF(CL1061&gt;0,CL1061*MAX(1,AX1061/X1061),IF(BW1061=1,IF(AX1061&lt;=0,0,CA1061*MAX(1,IF(H1061&gt;0,AX1061/H1061,1))),IF(R1061&gt;0,AY1061/R1061,0))/MAX(0.1,N(Parameter!$M$21)))</f>
        <v>0.0192307692307692</v>
      </c>
      <c r="BA1061" s="50" t="n">
        <f aca="false">AZ1061*BY1061</f>
        <v>2.98076923076923</v>
      </c>
      <c r="BB1061" s="50" t="n">
        <f aca="false">AX1061*G1061</f>
        <v>941.28</v>
      </c>
      <c r="BC1061" s="50" t="n">
        <f aca="false">ROUNDUP(MAX(J1061/IF(CD1061&gt;0,CD1061,MAX(0.1,N(Cockpit!$O$6))),CG1061)/BV1061,0)*BV1061</f>
        <v>6</v>
      </c>
      <c r="BD1061" s="51" t="n">
        <f aca="false">IF(BA1061&gt;0,J1061/BA1061,-1)</f>
        <v>0.335483870967742</v>
      </c>
      <c r="BE1061" s="51" t="n">
        <f aca="false">IF(AND(OR(CC1061="L1",CC1061="L23",CC1061="LIFT"),BA1061&gt;0),SUMIFS($BA$7:$BA$1843,$CC$7:$CC$1843,CC1061,$BD$7:$BD$1843,"&gt;"&amp;BD1061)+SUMIFS($BA$7:$BA$1843,$CC$7:$CC$1843,CC1061,$BD$7:$BD$1843,BD1061,$BT$7:$BT$1843,"&lt;="&amp;BT1061),"")</f>
        <v>15098.1437728938</v>
      </c>
      <c r="BF1061" s="58" t="n">
        <f aca="false">IF(BE1061="",0,MAX(0,MIN(1,(IF(CC1061="L1",Parameter!$H$5,IF(CC1061="L23",Parameter!$H$6+Parameter!$H$7,Parameter!$H$5+Parameter!$H$6+Parameter!$H$7))-(BE1061-BA1061))/BA1061)))</f>
        <v>1</v>
      </c>
      <c r="BG1061" s="48" t="str">
        <f aca="false">IF(AI1061&lt;=0,"",IF(CC1061="Aussen","Aussenlager",IF(CC1061="-","Nicht im Lift",IF(AN1061&gt;=1,"Lift",IF(AN1061&lt;=0,"Aussenlager","teilweise")))))</f>
        <v>Lift</v>
      </c>
      <c r="BH1061" s="48" t="str">
        <f aca="false">IF(AR1061&lt;=0,"",IF(CC1061="Aussen","Aussenlager",IF(CC1061="-","Nicht im Lift",IF(AW1061&gt;=1,"Lift",IF(AW1061&lt;=0,"Aussenlager","teilweise")))))</f>
        <v>Lift</v>
      </c>
      <c r="BI1061" s="48" t="str">
        <f aca="false">IF(BA1061&lt;=0,"",IF(CC1061="Aussen","Aussenlager",IF(CC1061="-","Nicht im Lift",IF(BF1061&gt;=1,"Lift",IF(BF1061&lt;=0,"Aussenlager","teilweise")))))</f>
        <v>Lift</v>
      </c>
      <c r="BJ1061" s="48" t="str">
        <f aca="false">IF(A1061="","",IF(BS1061=1,"Neu; ","")&amp;IF(AND(BS1061=0,BN1061&lt;0),"negativer Bestand (Export "&amp;BN1061&amp;"); ","")&amp;IF(J1061&lt;=0,"Kein Verbrauch; ","")&amp;IF(CL1061&gt;0,"Lift "&amp;W1061&amp;" lt. Liftbericht (Fach "&amp;X1061&amp;" Stk); ",IF(BX1061=1,"Gebinde geschätzt ("&amp;T1061&amp;"); ",IF(BW1061=1,"Lose – Tablare geschätzt; ","")))&amp;IF(H1061&gt;AT1061,"Überbestand "&amp;ROUND(H1061-AT1061,0)&amp;" Stk / CHF "&amp;ROUND((H1061-AT1061)*G1061,0)&amp;"; ","")&amp;IF(AND(CE1061=1,CF1061&lt;CG1061),"MAX &lt; MB+LG; ","")&amp;IF(AND(CK1061&gt;0,CJ1061*10&gt;CK1061),"zu hoch für Tablar; ","")&amp;IF(AND(BS1061=0,OR(CE1061=1,AA1061&lt;&gt;"",U1061&lt;&gt;"",V1061&lt;&gt;"",AB1061&lt;&gt;"")),"manuell übersteuert; ","")&amp;IF(AND(BW1061=0,R1061=0),"Gebinde unbekannt / Stellmass fehlt; ","")&amp;IF(AND(BW1061=0,N(V1061)&lt;=0,N(Q1061)&lt;=0),"Menge pro Gebinde fehlt (Ist = 1 Gebinde); ","")&amp;BR1061)</f>
        <v>negativer Bestand (Export -1); </v>
      </c>
      <c r="BK1061" s="48"/>
      <c r="BL1061" s="48"/>
      <c r="BM1061" s="55"/>
      <c r="BN1061" s="50" t="n">
        <v>-1</v>
      </c>
      <c r="BO1061" s="50" t="n">
        <v>7</v>
      </c>
      <c r="BP1061" s="49" t="n">
        <v>-156.88</v>
      </c>
      <c r="BQ1061" s="50" t="n">
        <v>1</v>
      </c>
      <c r="BR1061" s="48"/>
      <c r="BS1061" s="53" t="n">
        <v>0</v>
      </c>
      <c r="BT1061" s="53" t="n">
        <v>1061</v>
      </c>
      <c r="BU1061" s="48" t="str">
        <f aca="false">IF(U1061&lt;&gt;"",UPPER(TRIM(U1061)),IF(BX1061=1,UPPER(VLOOKUP(T1061,Parameter!$I$27:$K$29,2,0)),IF(P1061="","LOSE",P1061)))</f>
        <v>S41</v>
      </c>
      <c r="BV1061" s="50" t="n">
        <f aca="false">IF(BU1061="LOSE",1,IF(N(V1061)&gt;0,V1061,IF(BX1061=1,MAX(1,N(VLOOKUP(T1061,Parameter!$I$27:$K$29,3,0)),H1061,N(N1061)),IF(N(Q1061)&gt;0,Q1061,MAX(1,H1061)))))</f>
        <v>6</v>
      </c>
      <c r="BW1061" s="53" t="n">
        <f aca="false">IF(BU1061="LOSE",1,0)</f>
        <v>0</v>
      </c>
      <c r="BX1061" s="53" t="n">
        <f aca="false">IF(AND(U1061="",OR(P1061="",P1061="LOSE"),T1061&lt;&gt;"",N(S1061)&lt;=0,ISNUMBER(MATCH(T1061,Parameter!$I$27:$I$29,0))),1,0)</f>
        <v>0</v>
      </c>
      <c r="BY1061" s="53" t="n">
        <f aca="false">IF(CL1061&gt;0,INDEX(Parameter!$H$5:$H$7,W1061)/INDEX(Parameter!$E$5:$E$7,W1061),IF(AND(BW1061=0,N(IFERROR(VLOOKUP(BU1061,'Gebinde-Kategorie'!$A$5:$N$45,14,0),0))&gt;0),VLOOKUP(BU1061,'Gebinde-Kategorie'!$A$5:$N$45,14,0)*10+Parameter!$M$23,Parameter!$M$24))</f>
        <v>155</v>
      </c>
      <c r="BZ1061" s="48" t="str">
        <f aca="false">IF(AND(Parameter!$B$19="Ja",E1061&lt;&gt;"",ISNUMBER(MATCH(E1061,Parameter!$I$35:$I$52,0))),VLOOKUP(E1061,Parameter!$I$35:$J$52,2,0),IFERROR(VLOOKUP(D1061,Parameter!$A$35:$C$64,2,0),"Nein"))</f>
        <v>2+3</v>
      </c>
      <c r="CA1061" s="52" t="n">
        <f aca="false">IF(BW1061=0,0,IF(N(S1061)&gt;0,S1061,IFERROR(VLOOKUP(D1061,Parameter!$A$35:$C$64,3,0)+0,0)))</f>
        <v>0</v>
      </c>
      <c r="CB1061" s="48" t="n">
        <f aca="false">IF(AA1061&lt;&gt;"",AA1061,Z1061)</f>
        <v>3</v>
      </c>
      <c r="CC1061" s="48" t="str">
        <f aca="false">IF(OR(CB1061=1,CB1061=2,CB1061=3),IF(Parameter!$E$27="Ja","LIFT",IF(CB1061=1,"L1","L23")),IF(CB1061="Aussen","Aussen","-"))</f>
        <v>LIFT</v>
      </c>
      <c r="CD1061" s="59" t="n">
        <f aca="false">IF(N(AB1061)&gt;0,AB1061,0)</f>
        <v>0</v>
      </c>
      <c r="CE1061" s="53" t="n">
        <f aca="false">IF(ISNUMBER(AE1061),1,0)</f>
        <v>0</v>
      </c>
      <c r="CF1061" s="50" t="n">
        <f aca="false">N(AE1061)</f>
        <v>0</v>
      </c>
      <c r="CG1061" s="50" t="n">
        <f aca="false">N(M1061)+N(N1061)</f>
        <v>1</v>
      </c>
      <c r="CH1061" s="50" t="n">
        <f aca="false">ROUNDUP(H1061/BV1061,0)</f>
        <v>1</v>
      </c>
      <c r="CI1061" s="50" t="n">
        <f aca="false">ROUNDUP(CF1061/BV1061,0)</f>
        <v>0</v>
      </c>
      <c r="CJ1061" s="53" t="n">
        <f aca="false">IF(BW1061=1,0,IFERROR(VLOOKUP(BU1061,'Gebinde-Kategorie'!$A$5:$N$45,5,0)+0,0))</f>
        <v>11</v>
      </c>
      <c r="CK1061" s="53" t="n">
        <f aca="false">IFERROR(IF(OR(CB1061=1,CB1061=2,CB1061=3),N(INDEX(Parameter!$I$5:$I$7,CB1061)),0),0)</f>
        <v>0</v>
      </c>
      <c r="CL1061" s="52" t="n">
        <f aca="false">IF(AND(Parameter!$B$21="Ja",ISNUMBER(W1061),N(X1061)&gt;0),IFERROR(N(INDEX(Parameter!$L$5:$L$7,W1061))*INDEX(Parameter!$E$5:$E$7,W1061)*X1061/SUMIFS($X$7:$X$1843,$W$7:$W$1843,W1061),0),0)</f>
        <v>0</v>
      </c>
    </row>
    <row r="1062" customFormat="false" ht="15" hidden="false" customHeight="false" outlineLevel="0" collapsed="false">
      <c r="A1062" s="48" t="s">
        <v>1944</v>
      </c>
      <c r="B1062" s="48" t="s">
        <v>753</v>
      </c>
      <c r="C1062" s="48" t="s">
        <v>168</v>
      </c>
      <c r="D1062" s="48" t="s">
        <v>188</v>
      </c>
      <c r="E1062" s="48"/>
      <c r="F1062" s="48" t="s">
        <v>222</v>
      </c>
      <c r="G1062" s="49" t="n">
        <v>157.08</v>
      </c>
      <c r="H1062" s="50" t="n">
        <f aca="false">MAX(0,IF(AND(Parameter!$B$21="Ja",ISNUMBER(Y1062)),Y1062,IF(Parameter!$B$20="Jahresanfang 2025 + Export",BO1062+BN1062,BN1062)))</f>
        <v>4</v>
      </c>
      <c r="I1062" s="50" t="n">
        <f aca="false">H1062*G1062</f>
        <v>628.32</v>
      </c>
      <c r="J1062" s="50" t="n">
        <f aca="false">BQ1062*Parameter!$B$18</f>
        <v>1</v>
      </c>
      <c r="K1062" s="51" t="n">
        <v>4.5</v>
      </c>
      <c r="L1062" s="52" t="n">
        <v>0.222222222222222</v>
      </c>
      <c r="M1062" s="50" t="n">
        <v>0</v>
      </c>
      <c r="N1062" s="50" t="n">
        <v>1</v>
      </c>
      <c r="O1062" s="53" t="n">
        <v>28</v>
      </c>
      <c r="P1062" s="48" t="s">
        <v>425</v>
      </c>
      <c r="Q1062" s="50" t="n">
        <v>5</v>
      </c>
      <c r="R1062" s="53" t="n">
        <f aca="false">IF(BW1062=1,0,IFERROR(VLOOKUP(BU1062,'Gebinde-Kategorie'!$A$5:$N$45,13,0)+0,0))</f>
        <v>104</v>
      </c>
      <c r="S1062" s="54"/>
      <c r="T1062" s="55"/>
      <c r="U1062" s="55"/>
      <c r="V1062" s="55"/>
      <c r="W1062" s="48"/>
      <c r="X1062" s="50"/>
      <c r="Y1062" s="50"/>
      <c r="Z1062" s="48" t="n">
        <f aca="false">IF(A1062="","",IF(AND(Parameter!$B$21="Ja",ISNUMBER(W1062)),W1062,IF(BZ1062="2+3",IF(ISNUMBER(SEARCH("grosser Artikel",BR1062)),2,IFERROR(VLOOKUP(BU1062,Parameter!$F$35:$G$64,2,0),2)),IF(OR(BZ1062="Nein",BZ1062=""),"-",BZ1062))))</f>
        <v>3</v>
      </c>
      <c r="AA1062" s="55"/>
      <c r="AB1062" s="56"/>
      <c r="AC1062" s="50" t="n">
        <f aca="false">AT1062</f>
        <v>5</v>
      </c>
      <c r="AD1062" s="50" t="n">
        <f aca="false">MAX(AT1062,H1062)</f>
        <v>5</v>
      </c>
      <c r="AE1062" s="57"/>
      <c r="AF1062" s="50" t="n">
        <f aca="false">IF(LEFT(Cockpit!$C$5,1)="A",H1062,IF(CE1062=1,CF1062,IF(LEFT(Cockpit!$C$5,1)="B",AK1062,MAX(AK1062,H1062))))</f>
        <v>4</v>
      </c>
      <c r="AG1062" s="50" t="n">
        <f aca="false">IF(BW1062=1,0,ROUNDUP(AF1062/BV1062,0))</f>
        <v>1</v>
      </c>
      <c r="AH1062" s="52" t="n">
        <f aca="false">IF(CL1062&gt;0,CL1062*MAX(1,AF1062/X1062),IF(BW1062=1,IF(AF1062&lt;=0,0,CA1062*MAX(1,IF(H1062&gt;0,AF1062/H1062,1))),IF(R1062&gt;0,AG1062/R1062,0))/MAX(0.1,N(Parameter!$M$21)))</f>
        <v>0.00961538461538462</v>
      </c>
      <c r="AI1062" s="50" t="n">
        <f aca="false">AH1062*BY1062</f>
        <v>1.49038461538462</v>
      </c>
      <c r="AJ1062" s="50" t="n">
        <f aca="false">AF1062*G1062</f>
        <v>628.32</v>
      </c>
      <c r="AK1062" s="50" t="n">
        <f aca="false">ROUNDUP(MAX(J1062/IF(CD1062&gt;0,CD1062,MAX(0.1,N(Cockpit!$C$6))),CG1062)/BV1062,0)*BV1062</f>
        <v>5</v>
      </c>
      <c r="AL1062" s="51" t="n">
        <f aca="false">IF(AI1062&gt;0,J1062/AI1062,-1)</f>
        <v>0.670967741935484</v>
      </c>
      <c r="AM1062" s="51" t="n">
        <f aca="false">IF(AND(OR(CC1062="L1",CC1062="L23",CC1062="LIFT"),AI1062&gt;0),SUMIFS($AI$7:$AI$1843,$CC$7:$CC$1843,CC1062,$AL$7:$AL$1843,"&gt;"&amp;AL1062)+SUMIFS($AI$7:$AI$1843,$CC$7:$CC$1843,CC1062,$AL$7:$AL$1843,AL1062,$BT$7:$BT$1843,"&lt;="&amp;BT1062),"")</f>
        <v>8629.52564102564</v>
      </c>
      <c r="AN1062" s="58" t="n">
        <f aca="false">IF(AM1062="",0,MAX(0,MIN(1,(IF(CC1062="L1",Parameter!$H$5,IF(CC1062="L23",Parameter!$H$6+Parameter!$H$7,Parameter!$H$5+Parameter!$H$6+Parameter!$H$7))-(AM1062-AI1062))/AI1062)))</f>
        <v>1</v>
      </c>
      <c r="AO1062" s="50" t="n">
        <f aca="false">IF(LEFT(Cockpit!$I$5,1)="A",H1062,IF(CE1062=1,CF1062,IF(LEFT(Cockpit!$I$5,1)="B",AT1062,MAX(AT1062,H1062))))</f>
        <v>5</v>
      </c>
      <c r="AP1062" s="50" t="n">
        <f aca="false">IF(BW1062=1,0,ROUNDUP(AO1062/BV1062,0))</f>
        <v>1</v>
      </c>
      <c r="AQ1062" s="52" t="n">
        <f aca="false">IF(CL1062&gt;0,CL1062*MAX(1,AO1062/X1062),IF(BW1062=1,IF(AO1062&lt;=0,0,CA1062*MAX(1,IF(H1062&gt;0,AO1062/H1062,1))),IF(R1062&gt;0,AP1062/R1062,0))/MAX(0.1,N(Parameter!$M$21)))</f>
        <v>0.00961538461538462</v>
      </c>
      <c r="AR1062" s="50" t="n">
        <f aca="false">AQ1062*BY1062</f>
        <v>1.49038461538462</v>
      </c>
      <c r="AS1062" s="50" t="n">
        <f aca="false">AO1062*G1062</f>
        <v>785.4</v>
      </c>
      <c r="AT1062" s="50" t="n">
        <f aca="false">ROUNDUP(MAX(J1062/IF(CD1062&gt;0,CD1062,MAX(0.1,N(Cockpit!$I$6))),CG1062)/BV1062,0)*BV1062</f>
        <v>5</v>
      </c>
      <c r="AU1062" s="51" t="n">
        <f aca="false">IF(AR1062&gt;0,J1062/AR1062,-1)</f>
        <v>0.670967741935484</v>
      </c>
      <c r="AV1062" s="51" t="n">
        <f aca="false">IF(AND(OR(CC1062="L1",CC1062="L23",CC1062="LIFT"),AR1062&gt;0),SUMIFS($AR$7:$AR$1843,$CC$7:$CC$1843,CC1062,$AU$7:$AU$1843,"&gt;"&amp;AU1062)+SUMIFS($AR$7:$AR$1843,$CC$7:$CC$1843,CC1062,$AU$7:$AU$1843,AU1062,$BT$7:$BT$1843,"&lt;="&amp;BT1062),"")</f>
        <v>11771.6478937729</v>
      </c>
      <c r="AW1062" s="58" t="n">
        <f aca="false">IF(AV1062="",0,MAX(0,MIN(1,(IF(CC1062="L1",Parameter!$H$5,IF(CC1062="L23",Parameter!$H$6+Parameter!$H$7,Parameter!$H$5+Parameter!$H$6+Parameter!$H$7))-(AV1062-AR1062))/AR1062)))</f>
        <v>1</v>
      </c>
      <c r="AX1062" s="50" t="n">
        <f aca="false">IF(LEFT(Cockpit!$O$5,1)="A",H1062,IF(CE1062=1,CF1062,IF(LEFT(Cockpit!$O$5,1)="B",BC1062,MAX(BC1062,H1062))))</f>
        <v>5</v>
      </c>
      <c r="AY1062" s="50" t="n">
        <f aca="false">IF(BW1062=1,0,ROUNDUP(AX1062/BV1062,0))</f>
        <v>1</v>
      </c>
      <c r="AZ1062" s="52" t="n">
        <f aca="false">IF(CL1062&gt;0,CL1062*MAX(1,AX1062/X1062),IF(BW1062=1,IF(AX1062&lt;=0,0,CA1062*MAX(1,IF(H1062&gt;0,AX1062/H1062,1))),IF(R1062&gt;0,AY1062/R1062,0))/MAX(0.1,N(Parameter!$M$21)))</f>
        <v>0.00961538461538462</v>
      </c>
      <c r="BA1062" s="50" t="n">
        <f aca="false">AZ1062*BY1062</f>
        <v>1.49038461538462</v>
      </c>
      <c r="BB1062" s="50" t="n">
        <f aca="false">AX1062*G1062</f>
        <v>785.4</v>
      </c>
      <c r="BC1062" s="50" t="n">
        <f aca="false">ROUNDUP(MAX(J1062/IF(CD1062&gt;0,CD1062,MAX(0.1,N(Cockpit!$O$6))),CG1062)/BV1062,0)*BV1062</f>
        <v>5</v>
      </c>
      <c r="BD1062" s="51" t="n">
        <f aca="false">IF(BA1062&gt;0,J1062/BA1062,-1)</f>
        <v>0.670967741935484</v>
      </c>
      <c r="BE1062" s="51" t="n">
        <f aca="false">IF(AND(OR(CC1062="L1",CC1062="L23",CC1062="LIFT"),BA1062&gt;0),SUMIFS($BA$7:$BA$1843,$CC$7:$CC$1843,CC1062,$BD$7:$BD$1843,"&gt;"&amp;BD1062)+SUMIFS($BA$7:$BA$1843,$CC$7:$CC$1843,CC1062,$BD$7:$BD$1843,BD1062,$BT$7:$BT$1843,"&lt;="&amp;BT1062),"")</f>
        <v>11371.4716117216</v>
      </c>
      <c r="BF1062" s="58" t="n">
        <f aca="false">IF(BE1062="",0,MAX(0,MIN(1,(IF(CC1062="L1",Parameter!$H$5,IF(CC1062="L23",Parameter!$H$6+Parameter!$H$7,Parameter!$H$5+Parameter!$H$6+Parameter!$H$7))-(BE1062-BA1062))/BA1062)))</f>
        <v>1</v>
      </c>
      <c r="BG1062" s="48" t="str">
        <f aca="false">IF(AI1062&lt;=0,"",IF(CC1062="Aussen","Aussenlager",IF(CC1062="-","Nicht im Lift",IF(AN1062&gt;=1,"Lift",IF(AN1062&lt;=0,"Aussenlager","teilweise")))))</f>
        <v>Lift</v>
      </c>
      <c r="BH1062" s="48" t="str">
        <f aca="false">IF(AR1062&lt;=0,"",IF(CC1062="Aussen","Aussenlager",IF(CC1062="-","Nicht im Lift",IF(AW1062&gt;=1,"Lift",IF(AW1062&lt;=0,"Aussenlager","teilweise")))))</f>
        <v>Lift</v>
      </c>
      <c r="BI1062" s="48" t="str">
        <f aca="false">IF(BA1062&lt;=0,"",IF(CC1062="Aussen","Aussenlager",IF(CC1062="-","Nicht im Lift",IF(BF1062&gt;=1,"Lift",IF(BF1062&lt;=0,"Aussenlager","teilweise")))))</f>
        <v>Lift</v>
      </c>
      <c r="BJ1062" s="48" t="str">
        <f aca="false">IF(A1062="","",IF(BS1062=1,"Neu; ","")&amp;IF(AND(BS1062=0,BN1062&lt;0),"negativer Bestand (Export "&amp;BN1062&amp;"); ","")&amp;IF(J1062&lt;=0,"Kein Verbrauch; ","")&amp;IF(CL1062&gt;0,"Lift "&amp;W1062&amp;" lt. Liftbericht (Fach "&amp;X1062&amp;" Stk); ",IF(BX1062=1,"Gebinde geschätzt ("&amp;T1062&amp;"); ",IF(BW1062=1,"Lose – Tablare geschätzt; ","")))&amp;IF(H1062&gt;AT1062,"Überbestand "&amp;ROUND(H1062-AT1062,0)&amp;" Stk / CHF "&amp;ROUND((H1062-AT1062)*G1062,0)&amp;"; ","")&amp;IF(AND(CE1062=1,CF1062&lt;CG1062),"MAX &lt; MB+LG; ","")&amp;IF(AND(CK1062&gt;0,CJ1062*10&gt;CK1062),"zu hoch für Tablar; ","")&amp;IF(AND(BS1062=0,OR(CE1062=1,AA1062&lt;&gt;"",U1062&lt;&gt;"",V1062&lt;&gt;"",AB1062&lt;&gt;"")),"manuell übersteuert; ","")&amp;IF(AND(BW1062=0,R1062=0),"Gebinde unbekannt / Stellmass fehlt; ","")&amp;IF(AND(BW1062=0,N(V1062)&lt;=0,N(Q1062)&lt;=0),"Menge pro Gebinde fehlt (Ist = 1 Gebinde); ","")&amp;BR1062)</f>
        <v>negativer Bestand (Export -1); </v>
      </c>
      <c r="BK1062" s="48"/>
      <c r="BL1062" s="48"/>
      <c r="BM1062" s="55"/>
      <c r="BN1062" s="50" t="n">
        <v>-1</v>
      </c>
      <c r="BO1062" s="50" t="n">
        <v>5</v>
      </c>
      <c r="BP1062" s="49" t="n">
        <v>-157.08</v>
      </c>
      <c r="BQ1062" s="50" t="n">
        <v>1</v>
      </c>
      <c r="BR1062" s="48"/>
      <c r="BS1062" s="53" t="n">
        <v>0</v>
      </c>
      <c r="BT1062" s="53" t="n">
        <v>1062</v>
      </c>
      <c r="BU1062" s="48" t="str">
        <f aca="false">IF(U1062&lt;&gt;"",UPPER(TRIM(U1062)),IF(BX1062=1,UPPER(VLOOKUP(T1062,Parameter!$I$27:$K$29,2,0)),IF(P1062="","LOSE",P1062)))</f>
        <v>S32</v>
      </c>
      <c r="BV1062" s="50" t="n">
        <f aca="false">IF(BU1062="LOSE",1,IF(N(V1062)&gt;0,V1062,IF(BX1062=1,MAX(1,N(VLOOKUP(T1062,Parameter!$I$27:$K$29,3,0)),H1062,N(N1062)),IF(N(Q1062)&gt;0,Q1062,MAX(1,H1062)))))</f>
        <v>5</v>
      </c>
      <c r="BW1062" s="53" t="n">
        <f aca="false">IF(BU1062="LOSE",1,0)</f>
        <v>0</v>
      </c>
      <c r="BX1062" s="53" t="n">
        <f aca="false">IF(AND(U1062="",OR(P1062="",P1062="LOSE"),T1062&lt;&gt;"",N(S1062)&lt;=0,ISNUMBER(MATCH(T1062,Parameter!$I$27:$I$29,0))),1,0)</f>
        <v>0</v>
      </c>
      <c r="BY1062" s="53" t="n">
        <f aca="false">IF(CL1062&gt;0,INDEX(Parameter!$H$5:$H$7,W1062)/INDEX(Parameter!$E$5:$E$7,W1062),IF(AND(BW1062=0,N(IFERROR(VLOOKUP(BU1062,'Gebinde-Kategorie'!$A$5:$N$45,14,0),0))&gt;0),VLOOKUP(BU1062,'Gebinde-Kategorie'!$A$5:$N$45,14,0)*10+Parameter!$M$23,Parameter!$M$24))</f>
        <v>155</v>
      </c>
      <c r="BZ1062" s="48" t="str">
        <f aca="false">IF(AND(Parameter!$B$19="Ja",E1062&lt;&gt;"",ISNUMBER(MATCH(E1062,Parameter!$I$35:$I$52,0))),VLOOKUP(E1062,Parameter!$I$35:$J$52,2,0),IFERROR(VLOOKUP(D1062,Parameter!$A$35:$C$64,2,0),"Nein"))</f>
        <v>2+3</v>
      </c>
      <c r="CA1062" s="52" t="n">
        <f aca="false">IF(BW1062=0,0,IF(N(S1062)&gt;0,S1062,IFERROR(VLOOKUP(D1062,Parameter!$A$35:$C$64,3,0)+0,0)))</f>
        <v>0</v>
      </c>
      <c r="CB1062" s="48" t="n">
        <f aca="false">IF(AA1062&lt;&gt;"",AA1062,Z1062)</f>
        <v>3</v>
      </c>
      <c r="CC1062" s="48" t="str">
        <f aca="false">IF(OR(CB1062=1,CB1062=2,CB1062=3),IF(Parameter!$E$27="Ja","LIFT",IF(CB1062=1,"L1","L23")),IF(CB1062="Aussen","Aussen","-"))</f>
        <v>LIFT</v>
      </c>
      <c r="CD1062" s="59" t="n">
        <f aca="false">IF(N(AB1062)&gt;0,AB1062,0)</f>
        <v>0</v>
      </c>
      <c r="CE1062" s="53" t="n">
        <f aca="false">IF(ISNUMBER(AE1062),1,0)</f>
        <v>0</v>
      </c>
      <c r="CF1062" s="50" t="n">
        <f aca="false">N(AE1062)</f>
        <v>0</v>
      </c>
      <c r="CG1062" s="50" t="n">
        <f aca="false">N(M1062)+N(N1062)</f>
        <v>1</v>
      </c>
      <c r="CH1062" s="50" t="n">
        <f aca="false">ROUNDUP(H1062/BV1062,0)</f>
        <v>1</v>
      </c>
      <c r="CI1062" s="50" t="n">
        <f aca="false">ROUNDUP(CF1062/BV1062,0)</f>
        <v>0</v>
      </c>
      <c r="CJ1062" s="53" t="n">
        <f aca="false">IF(BW1062=1,0,IFERROR(VLOOKUP(BU1062,'Gebinde-Kategorie'!$A$5:$N$45,5,0)+0,0))</f>
        <v>8</v>
      </c>
      <c r="CK1062" s="53" t="n">
        <f aca="false">IFERROR(IF(OR(CB1062=1,CB1062=2,CB1062=3),N(INDEX(Parameter!$I$5:$I$7,CB1062)),0),0)</f>
        <v>0</v>
      </c>
      <c r="CL1062" s="52" t="n">
        <f aca="false">IF(AND(Parameter!$B$21="Ja",ISNUMBER(W1062),N(X1062)&gt;0),IFERROR(N(INDEX(Parameter!$L$5:$L$7,W1062))*INDEX(Parameter!$E$5:$E$7,W1062)*X1062/SUMIFS($X$7:$X$1843,$W$7:$W$1843,W1062),0),0)</f>
        <v>0</v>
      </c>
    </row>
    <row r="1063" customFormat="false" ht="15" hidden="false" customHeight="false" outlineLevel="0" collapsed="false">
      <c r="A1063" s="48" t="s">
        <v>1945</v>
      </c>
      <c r="B1063" s="48" t="s">
        <v>1946</v>
      </c>
      <c r="C1063" s="48" t="s">
        <v>168</v>
      </c>
      <c r="D1063" s="48" t="s">
        <v>188</v>
      </c>
      <c r="E1063" s="48" t="s">
        <v>189</v>
      </c>
      <c r="F1063" s="48" t="s">
        <v>222</v>
      </c>
      <c r="G1063" s="49" t="n">
        <v>22.7</v>
      </c>
      <c r="H1063" s="50" t="n">
        <f aca="false">MAX(0,IF(AND(Parameter!$B$21="Ja",ISNUMBER(Y1063)),Y1063,IF(Parameter!$B$20="Jahresanfang 2025 + Export",BO1063+BN1063,BN1063)))</f>
        <v>4</v>
      </c>
      <c r="I1063" s="50" t="n">
        <f aca="false">H1063*G1063</f>
        <v>90.8</v>
      </c>
      <c r="J1063" s="50" t="n">
        <f aca="false">BQ1063*Parameter!$B$18</f>
        <v>4</v>
      </c>
      <c r="K1063" s="51" t="n">
        <v>13</v>
      </c>
      <c r="L1063" s="52" t="n">
        <v>0.307692307692308</v>
      </c>
      <c r="M1063" s="50" t="n">
        <v>0</v>
      </c>
      <c r="N1063" s="50" t="n">
        <v>5</v>
      </c>
      <c r="O1063" s="53" t="n">
        <v>35</v>
      </c>
      <c r="P1063" s="48" t="s">
        <v>425</v>
      </c>
      <c r="Q1063" s="50" t="n">
        <v>9</v>
      </c>
      <c r="R1063" s="53" t="n">
        <f aca="false">IF(BW1063=1,0,IFERROR(VLOOKUP(BU1063,'Gebinde-Kategorie'!$A$5:$N$45,13,0)+0,0))</f>
        <v>104</v>
      </c>
      <c r="S1063" s="54"/>
      <c r="T1063" s="55"/>
      <c r="U1063" s="55"/>
      <c r="V1063" s="55"/>
      <c r="W1063" s="48"/>
      <c r="X1063" s="50"/>
      <c r="Y1063" s="50"/>
      <c r="Z1063" s="48" t="n">
        <f aca="false">IF(A1063="","",IF(AND(Parameter!$B$21="Ja",ISNUMBER(W1063)),W1063,IF(BZ1063="2+3",IF(ISNUMBER(SEARCH("grosser Artikel",BR1063)),2,IFERROR(VLOOKUP(BU1063,Parameter!$F$35:$G$64,2,0),2)),IF(OR(BZ1063="Nein",BZ1063=""),"-",BZ1063))))</f>
        <v>3</v>
      </c>
      <c r="AA1063" s="55"/>
      <c r="AB1063" s="56"/>
      <c r="AC1063" s="50" t="n">
        <f aca="false">AT1063</f>
        <v>9</v>
      </c>
      <c r="AD1063" s="50" t="n">
        <f aca="false">MAX(AT1063,H1063)</f>
        <v>9</v>
      </c>
      <c r="AE1063" s="57"/>
      <c r="AF1063" s="50" t="n">
        <f aca="false">IF(LEFT(Cockpit!$C$5,1)="A",H1063,IF(CE1063=1,CF1063,IF(LEFT(Cockpit!$C$5,1)="B",AK1063,MAX(AK1063,H1063))))</f>
        <v>4</v>
      </c>
      <c r="AG1063" s="50" t="n">
        <f aca="false">IF(BW1063=1,0,ROUNDUP(AF1063/BV1063,0))</f>
        <v>1</v>
      </c>
      <c r="AH1063" s="52" t="n">
        <f aca="false">IF(CL1063&gt;0,CL1063*MAX(1,AF1063/X1063),IF(BW1063=1,IF(AF1063&lt;=0,0,CA1063*MAX(1,IF(H1063&gt;0,AF1063/H1063,1))),IF(R1063&gt;0,AG1063/R1063,0))/MAX(0.1,N(Parameter!$M$21)))</f>
        <v>0.00961538461538462</v>
      </c>
      <c r="AI1063" s="50" t="n">
        <f aca="false">AH1063*BY1063</f>
        <v>1.49038461538462</v>
      </c>
      <c r="AJ1063" s="50" t="n">
        <f aca="false">AF1063*G1063</f>
        <v>90.8</v>
      </c>
      <c r="AK1063" s="50" t="n">
        <f aca="false">ROUNDUP(MAX(J1063/IF(CD1063&gt;0,CD1063,MAX(0.1,N(Cockpit!$C$6))),CG1063)/BV1063,0)*BV1063</f>
        <v>9</v>
      </c>
      <c r="AL1063" s="51" t="n">
        <f aca="false">IF(AI1063&gt;0,J1063/AI1063,-1)</f>
        <v>2.68387096774194</v>
      </c>
      <c r="AM1063" s="51" t="n">
        <f aca="false">IF(AND(OR(CC1063="L1",CC1063="L23",CC1063="LIFT"),AI1063&gt;0),SUMIFS($AI$7:$AI$1843,$CC$7:$CC$1843,CC1063,$AL$7:$AL$1843,"&gt;"&amp;AL1063)+SUMIFS($AI$7:$AI$1843,$CC$7:$CC$1843,CC1063,$AL$7:$AL$1843,AL1063,$BT$7:$BT$1843,"&lt;="&amp;BT1063),"")</f>
        <v>5341.34249084249</v>
      </c>
      <c r="AN1063" s="58" t="n">
        <f aca="false">IF(AM1063="",0,MAX(0,MIN(1,(IF(CC1063="L1",Parameter!$H$5,IF(CC1063="L23",Parameter!$H$6+Parameter!$H$7,Parameter!$H$5+Parameter!$H$6+Parameter!$H$7))-(AM1063-AI1063))/AI1063)))</f>
        <v>1</v>
      </c>
      <c r="AO1063" s="50" t="n">
        <f aca="false">IF(LEFT(Cockpit!$I$5,1)="A",H1063,IF(CE1063=1,CF1063,IF(LEFT(Cockpit!$I$5,1)="B",AT1063,MAX(AT1063,H1063))))</f>
        <v>9</v>
      </c>
      <c r="AP1063" s="50" t="n">
        <f aca="false">IF(BW1063=1,0,ROUNDUP(AO1063/BV1063,0))</f>
        <v>1</v>
      </c>
      <c r="AQ1063" s="52" t="n">
        <f aca="false">IF(CL1063&gt;0,CL1063*MAX(1,AO1063/X1063),IF(BW1063=1,IF(AO1063&lt;=0,0,CA1063*MAX(1,IF(H1063&gt;0,AO1063/H1063,1))),IF(R1063&gt;0,AP1063/R1063,0))/MAX(0.1,N(Parameter!$M$21)))</f>
        <v>0.00961538461538462</v>
      </c>
      <c r="AR1063" s="50" t="n">
        <f aca="false">AQ1063*BY1063</f>
        <v>1.49038461538462</v>
      </c>
      <c r="AS1063" s="50" t="n">
        <f aca="false">AO1063*G1063</f>
        <v>204.3</v>
      </c>
      <c r="AT1063" s="50" t="n">
        <f aca="false">ROUNDUP(MAX(J1063/IF(CD1063&gt;0,CD1063,MAX(0.1,N(Cockpit!$I$6))),CG1063)/BV1063,0)*BV1063</f>
        <v>9</v>
      </c>
      <c r="AU1063" s="51" t="n">
        <f aca="false">IF(AR1063&gt;0,J1063/AR1063,-1)</f>
        <v>2.68387096774194</v>
      </c>
      <c r="AV1063" s="51" t="n">
        <f aca="false">IF(AND(OR(CC1063="L1",CC1063="L23",CC1063="LIFT"),AR1063&gt;0),SUMIFS($AR$7:$AR$1843,$CC$7:$CC$1843,CC1063,$AU$7:$AU$1843,"&gt;"&amp;AU1063)+SUMIFS($AR$7:$AR$1843,$CC$7:$CC$1843,CC1063,$AU$7:$AU$1843,AU1063,$BT$7:$BT$1843,"&lt;="&amp;BT1063),"")</f>
        <v>6721.05082417582</v>
      </c>
      <c r="AW1063" s="58" t="n">
        <f aca="false">IF(AV1063="",0,MAX(0,MIN(1,(IF(CC1063="L1",Parameter!$H$5,IF(CC1063="L23",Parameter!$H$6+Parameter!$H$7,Parameter!$H$5+Parameter!$H$6+Parameter!$H$7))-(AV1063-AR1063))/AR1063)))</f>
        <v>1</v>
      </c>
      <c r="AX1063" s="50" t="n">
        <f aca="false">IF(LEFT(Cockpit!$O$5,1)="A",H1063,IF(CE1063=1,CF1063,IF(LEFT(Cockpit!$O$5,1)="B",BC1063,MAX(BC1063,H1063))))</f>
        <v>9</v>
      </c>
      <c r="AY1063" s="50" t="n">
        <f aca="false">IF(BW1063=1,0,ROUNDUP(AX1063/BV1063,0))</f>
        <v>1</v>
      </c>
      <c r="AZ1063" s="52" t="n">
        <f aca="false">IF(CL1063&gt;0,CL1063*MAX(1,AX1063/X1063),IF(BW1063=1,IF(AX1063&lt;=0,0,CA1063*MAX(1,IF(H1063&gt;0,AX1063/H1063,1))),IF(R1063&gt;0,AY1063/R1063,0))/MAX(0.1,N(Parameter!$M$21)))</f>
        <v>0.00961538461538462</v>
      </c>
      <c r="BA1063" s="50" t="n">
        <f aca="false">AZ1063*BY1063</f>
        <v>1.49038461538462</v>
      </c>
      <c r="BB1063" s="50" t="n">
        <f aca="false">AX1063*G1063</f>
        <v>204.3</v>
      </c>
      <c r="BC1063" s="50" t="n">
        <f aca="false">ROUNDUP(MAX(J1063/IF(CD1063&gt;0,CD1063,MAX(0.1,N(Cockpit!$O$6))),CG1063)/BV1063,0)*BV1063</f>
        <v>9</v>
      </c>
      <c r="BD1063" s="51" t="n">
        <f aca="false">IF(BA1063&gt;0,J1063/BA1063,-1)</f>
        <v>2.68387096774194</v>
      </c>
      <c r="BE1063" s="51" t="n">
        <f aca="false">IF(AND(OR(CC1063="L1",CC1063="L23",CC1063="LIFT"),BA1063&gt;0),SUMIFS($BA$7:$BA$1843,$CC$7:$CC$1843,CC1063,$BD$7:$BD$1843,"&gt;"&amp;BD1063)+SUMIFS($BA$7:$BA$1843,$CC$7:$CC$1843,CC1063,$BD$7:$BD$1843,BD1063,$BT$7:$BT$1843,"&lt;="&amp;BT1063),"")</f>
        <v>6504.20787545788</v>
      </c>
      <c r="BF1063" s="58" t="n">
        <f aca="false">IF(BE1063="",0,MAX(0,MIN(1,(IF(CC1063="L1",Parameter!$H$5,IF(CC1063="L23",Parameter!$H$6+Parameter!$H$7,Parameter!$H$5+Parameter!$H$6+Parameter!$H$7))-(BE1063-BA1063))/BA1063)))</f>
        <v>1</v>
      </c>
      <c r="BG1063" s="48" t="str">
        <f aca="false">IF(AI1063&lt;=0,"",IF(CC1063="Aussen","Aussenlager",IF(CC1063="-","Nicht im Lift",IF(AN1063&gt;=1,"Lift",IF(AN1063&lt;=0,"Aussenlager","teilweise")))))</f>
        <v>Lift</v>
      </c>
      <c r="BH1063" s="48" t="str">
        <f aca="false">IF(AR1063&lt;=0,"",IF(CC1063="Aussen","Aussenlager",IF(CC1063="-","Nicht im Lift",IF(AW1063&gt;=1,"Lift",IF(AW1063&lt;=0,"Aussenlager","teilweise")))))</f>
        <v>Lift</v>
      </c>
      <c r="BI1063" s="48" t="str">
        <f aca="false">IF(BA1063&lt;=0,"",IF(CC1063="Aussen","Aussenlager",IF(CC1063="-","Nicht im Lift",IF(BF1063&gt;=1,"Lift",IF(BF1063&lt;=0,"Aussenlager","teilweise")))))</f>
        <v>Lift</v>
      </c>
      <c r="BJ1063" s="48" t="str">
        <f aca="false">IF(A1063="","",IF(BS1063=1,"Neu; ","")&amp;IF(AND(BS1063=0,BN1063&lt;0),"negativer Bestand (Export "&amp;BN1063&amp;"); ","")&amp;IF(J1063&lt;=0,"Kein Verbrauch; ","")&amp;IF(CL1063&gt;0,"Lift "&amp;W1063&amp;" lt. Liftbericht (Fach "&amp;X1063&amp;" Stk); ",IF(BX1063=1,"Gebinde geschätzt ("&amp;T1063&amp;"); ",IF(BW1063=1,"Lose – Tablare geschätzt; ","")))&amp;IF(H1063&gt;AT1063,"Überbestand "&amp;ROUND(H1063-AT1063,0)&amp;" Stk / CHF "&amp;ROUND((H1063-AT1063)*G1063,0)&amp;"; ","")&amp;IF(AND(CE1063=1,CF1063&lt;CG1063),"MAX &lt; MB+LG; ","")&amp;IF(AND(CK1063&gt;0,CJ1063*10&gt;CK1063),"zu hoch für Tablar; ","")&amp;IF(AND(BS1063=0,OR(CE1063=1,AA1063&lt;&gt;"",U1063&lt;&gt;"",V1063&lt;&gt;"",AB1063&lt;&gt;"")),"manuell übersteuert; ","")&amp;IF(AND(BW1063=0,R1063=0),"Gebinde unbekannt / Stellmass fehlt; ","")&amp;IF(AND(BW1063=0,N(V1063)&lt;=0,N(Q1063)&lt;=0),"Menge pro Gebinde fehlt (Ist = 1 Gebinde); ","")&amp;BR1063)</f>
        <v>negativer Bestand (Export -7); </v>
      </c>
      <c r="BK1063" s="48"/>
      <c r="BL1063" s="48"/>
      <c r="BM1063" s="55"/>
      <c r="BN1063" s="50" t="n">
        <v>-7</v>
      </c>
      <c r="BO1063" s="50" t="n">
        <v>11</v>
      </c>
      <c r="BP1063" s="49" t="n">
        <v>-158.9</v>
      </c>
      <c r="BQ1063" s="50" t="n">
        <v>4</v>
      </c>
      <c r="BR1063" s="48"/>
      <c r="BS1063" s="53" t="n">
        <v>0</v>
      </c>
      <c r="BT1063" s="53" t="n">
        <v>1063</v>
      </c>
      <c r="BU1063" s="48" t="str">
        <f aca="false">IF(U1063&lt;&gt;"",UPPER(TRIM(U1063)),IF(BX1063=1,UPPER(VLOOKUP(T1063,Parameter!$I$27:$K$29,2,0)),IF(P1063="","LOSE",P1063)))</f>
        <v>S32</v>
      </c>
      <c r="BV1063" s="50" t="n">
        <f aca="false">IF(BU1063="LOSE",1,IF(N(V1063)&gt;0,V1063,IF(BX1063=1,MAX(1,N(VLOOKUP(T1063,Parameter!$I$27:$K$29,3,0)),H1063,N(N1063)),IF(N(Q1063)&gt;0,Q1063,MAX(1,H1063)))))</f>
        <v>9</v>
      </c>
      <c r="BW1063" s="53" t="n">
        <f aca="false">IF(BU1063="LOSE",1,0)</f>
        <v>0</v>
      </c>
      <c r="BX1063" s="53" t="n">
        <f aca="false">IF(AND(U1063="",OR(P1063="",P1063="LOSE"),T1063&lt;&gt;"",N(S1063)&lt;=0,ISNUMBER(MATCH(T1063,Parameter!$I$27:$I$29,0))),1,0)</f>
        <v>0</v>
      </c>
      <c r="BY1063" s="53" t="n">
        <f aca="false">IF(CL1063&gt;0,INDEX(Parameter!$H$5:$H$7,W1063)/INDEX(Parameter!$E$5:$E$7,W1063),IF(AND(BW1063=0,N(IFERROR(VLOOKUP(BU1063,'Gebinde-Kategorie'!$A$5:$N$45,14,0),0))&gt;0),VLOOKUP(BU1063,'Gebinde-Kategorie'!$A$5:$N$45,14,0)*10+Parameter!$M$23,Parameter!$M$24))</f>
        <v>155</v>
      </c>
      <c r="BZ1063" s="48" t="str">
        <f aca="false">IF(AND(Parameter!$B$19="Ja",E1063&lt;&gt;"",ISNUMBER(MATCH(E1063,Parameter!$I$35:$I$52,0))),VLOOKUP(E1063,Parameter!$I$35:$J$52,2,0),IFERROR(VLOOKUP(D1063,Parameter!$A$35:$C$64,2,0),"Nein"))</f>
        <v>2+3</v>
      </c>
      <c r="CA1063" s="52" t="n">
        <f aca="false">IF(BW1063=0,0,IF(N(S1063)&gt;0,S1063,IFERROR(VLOOKUP(D1063,Parameter!$A$35:$C$64,3,0)+0,0)))</f>
        <v>0</v>
      </c>
      <c r="CB1063" s="48" t="n">
        <f aca="false">IF(AA1063&lt;&gt;"",AA1063,Z1063)</f>
        <v>3</v>
      </c>
      <c r="CC1063" s="48" t="str">
        <f aca="false">IF(OR(CB1063=1,CB1063=2,CB1063=3),IF(Parameter!$E$27="Ja","LIFT",IF(CB1063=1,"L1","L23")),IF(CB1063="Aussen","Aussen","-"))</f>
        <v>LIFT</v>
      </c>
      <c r="CD1063" s="59" t="n">
        <f aca="false">IF(N(AB1063)&gt;0,AB1063,0)</f>
        <v>0</v>
      </c>
      <c r="CE1063" s="53" t="n">
        <f aca="false">IF(ISNUMBER(AE1063),1,0)</f>
        <v>0</v>
      </c>
      <c r="CF1063" s="50" t="n">
        <f aca="false">N(AE1063)</f>
        <v>0</v>
      </c>
      <c r="CG1063" s="50" t="n">
        <f aca="false">N(M1063)+N(N1063)</f>
        <v>5</v>
      </c>
      <c r="CH1063" s="50" t="n">
        <f aca="false">ROUNDUP(H1063/BV1063,0)</f>
        <v>1</v>
      </c>
      <c r="CI1063" s="50" t="n">
        <f aca="false">ROUNDUP(CF1063/BV1063,0)</f>
        <v>0</v>
      </c>
      <c r="CJ1063" s="53" t="n">
        <f aca="false">IF(BW1063=1,0,IFERROR(VLOOKUP(BU1063,'Gebinde-Kategorie'!$A$5:$N$45,5,0)+0,0))</f>
        <v>8</v>
      </c>
      <c r="CK1063" s="53" t="n">
        <f aca="false">IFERROR(IF(OR(CB1063=1,CB1063=2,CB1063=3),N(INDEX(Parameter!$I$5:$I$7,CB1063)),0),0)</f>
        <v>0</v>
      </c>
      <c r="CL1063" s="52" t="n">
        <f aca="false">IF(AND(Parameter!$B$21="Ja",ISNUMBER(W1063),N(X1063)&gt;0),IFERROR(N(INDEX(Parameter!$L$5:$L$7,W1063))*INDEX(Parameter!$E$5:$E$7,W1063)*X1063/SUMIFS($X$7:$X$1843,$W$7:$W$1843,W1063),0),0)</f>
        <v>0</v>
      </c>
    </row>
    <row r="1064" customFormat="false" ht="15" hidden="false" customHeight="false" outlineLevel="0" collapsed="false">
      <c r="A1064" s="48" t="s">
        <v>1947</v>
      </c>
      <c r="B1064" s="48" t="s">
        <v>1948</v>
      </c>
      <c r="C1064" s="48" t="s">
        <v>168</v>
      </c>
      <c r="D1064" s="48" t="s">
        <v>188</v>
      </c>
      <c r="E1064" s="48"/>
      <c r="F1064" s="48" t="s">
        <v>222</v>
      </c>
      <c r="G1064" s="49" t="n">
        <v>80.5</v>
      </c>
      <c r="H1064" s="50" t="n">
        <f aca="false">MAX(0,IF(AND(Parameter!$B$21="Ja",ISNUMBER(Y1064)),Y1064,IF(Parameter!$B$20="Jahresanfang 2025 + Export",BO1064+BN1064,BN1064)))</f>
        <v>7</v>
      </c>
      <c r="I1064" s="50" t="n">
        <f aca="false">H1064*G1064</f>
        <v>563.5</v>
      </c>
      <c r="J1064" s="50" t="n">
        <f aca="false">BQ1064*Parameter!$B$18</f>
        <v>2</v>
      </c>
      <c r="K1064" s="51" t="n">
        <v>8</v>
      </c>
      <c r="L1064" s="52" t="n">
        <v>0.25</v>
      </c>
      <c r="M1064" s="50" t="n">
        <v>0</v>
      </c>
      <c r="N1064" s="50" t="n">
        <v>1</v>
      </c>
      <c r="O1064" s="53" t="n">
        <v>35</v>
      </c>
      <c r="P1064" s="48" t="s">
        <v>405</v>
      </c>
      <c r="Q1064" s="50" t="n">
        <v>7</v>
      </c>
      <c r="R1064" s="53" t="n">
        <f aca="false">IF(BW1064=1,0,IFERROR(VLOOKUP(BU1064,'Gebinde-Kategorie'!$A$5:$N$45,13,0)+0,0))</f>
        <v>280</v>
      </c>
      <c r="S1064" s="54"/>
      <c r="T1064" s="55"/>
      <c r="U1064" s="55"/>
      <c r="V1064" s="55"/>
      <c r="W1064" s="48"/>
      <c r="X1064" s="50"/>
      <c r="Y1064" s="50"/>
      <c r="Z1064" s="48" t="n">
        <f aca="false">IF(A1064="","",IF(AND(Parameter!$B$21="Ja",ISNUMBER(W1064)),W1064,IF(BZ1064="2+3",IF(ISNUMBER(SEARCH("grosser Artikel",BR1064)),2,IFERROR(VLOOKUP(BU1064,Parameter!$F$35:$G$64,2,0),2)),IF(OR(BZ1064="Nein",BZ1064=""),"-",BZ1064))))</f>
        <v>3</v>
      </c>
      <c r="AA1064" s="55"/>
      <c r="AB1064" s="56"/>
      <c r="AC1064" s="50" t="n">
        <f aca="false">AT1064</f>
        <v>7</v>
      </c>
      <c r="AD1064" s="50" t="n">
        <f aca="false">MAX(AT1064,H1064)</f>
        <v>7</v>
      </c>
      <c r="AE1064" s="57"/>
      <c r="AF1064" s="50" t="n">
        <f aca="false">IF(LEFT(Cockpit!$C$5,1)="A",H1064,IF(CE1064=1,CF1064,IF(LEFT(Cockpit!$C$5,1)="B",AK1064,MAX(AK1064,H1064))))</f>
        <v>7</v>
      </c>
      <c r="AG1064" s="50" t="n">
        <f aca="false">IF(BW1064=1,0,ROUNDUP(AF1064/BV1064,0))</f>
        <v>1</v>
      </c>
      <c r="AH1064" s="52" t="n">
        <f aca="false">IF(CL1064&gt;0,CL1064*MAX(1,AF1064/X1064),IF(BW1064=1,IF(AF1064&lt;=0,0,CA1064*MAX(1,IF(H1064&gt;0,AF1064/H1064,1))),IF(R1064&gt;0,AG1064/R1064,0))/MAX(0.1,N(Parameter!$M$21)))</f>
        <v>0.00357142857142857</v>
      </c>
      <c r="AI1064" s="50" t="n">
        <f aca="false">AH1064*BY1064</f>
        <v>0.553571428571429</v>
      </c>
      <c r="AJ1064" s="50" t="n">
        <f aca="false">AF1064*G1064</f>
        <v>563.5</v>
      </c>
      <c r="AK1064" s="50" t="n">
        <f aca="false">ROUNDUP(MAX(J1064/IF(CD1064&gt;0,CD1064,MAX(0.1,N(Cockpit!$C$6))),CG1064)/BV1064,0)*BV1064</f>
        <v>7</v>
      </c>
      <c r="AL1064" s="51" t="n">
        <f aca="false">IF(AI1064&gt;0,J1064/AI1064,-1)</f>
        <v>3.61290322580645</v>
      </c>
      <c r="AM1064" s="51" t="n">
        <f aca="false">IF(AND(OR(CC1064="L1",CC1064="L23",CC1064="LIFT"),AI1064&gt;0),SUMIFS($AI$7:$AI$1843,$CC$7:$CC$1843,CC1064,$AL$7:$AL$1843,"&gt;"&amp;AL1064)+SUMIFS($AI$7:$AI$1843,$CC$7:$CC$1843,CC1064,$AL$7:$AL$1843,AL1064,$BT$7:$BT$1843,"&lt;="&amp;BT1064),"")</f>
        <v>4832.30265567766</v>
      </c>
      <c r="AN1064" s="58" t="n">
        <f aca="false">IF(AM1064="",0,MAX(0,MIN(1,(IF(CC1064="L1",Parameter!$H$5,IF(CC1064="L23",Parameter!$H$6+Parameter!$H$7,Parameter!$H$5+Parameter!$H$6+Parameter!$H$7))-(AM1064-AI1064))/AI1064)))</f>
        <v>1</v>
      </c>
      <c r="AO1064" s="50" t="n">
        <f aca="false">IF(LEFT(Cockpit!$I$5,1)="A",H1064,IF(CE1064=1,CF1064,IF(LEFT(Cockpit!$I$5,1)="B",AT1064,MAX(AT1064,H1064))))</f>
        <v>7</v>
      </c>
      <c r="AP1064" s="50" t="n">
        <f aca="false">IF(BW1064=1,0,ROUNDUP(AO1064/BV1064,0))</f>
        <v>1</v>
      </c>
      <c r="AQ1064" s="52" t="n">
        <f aca="false">IF(CL1064&gt;0,CL1064*MAX(1,AO1064/X1064),IF(BW1064=1,IF(AO1064&lt;=0,0,CA1064*MAX(1,IF(H1064&gt;0,AO1064/H1064,1))),IF(R1064&gt;0,AP1064/R1064,0))/MAX(0.1,N(Parameter!$M$21)))</f>
        <v>0.00357142857142857</v>
      </c>
      <c r="AR1064" s="50" t="n">
        <f aca="false">AQ1064*BY1064</f>
        <v>0.553571428571429</v>
      </c>
      <c r="AS1064" s="50" t="n">
        <f aca="false">AO1064*G1064</f>
        <v>563.5</v>
      </c>
      <c r="AT1064" s="50" t="n">
        <f aca="false">ROUNDUP(MAX(J1064/IF(CD1064&gt;0,CD1064,MAX(0.1,N(Cockpit!$I$6))),CG1064)/BV1064,0)*BV1064</f>
        <v>7</v>
      </c>
      <c r="AU1064" s="51" t="n">
        <f aca="false">IF(AR1064&gt;0,J1064/AR1064,-1)</f>
        <v>3.61290322580645</v>
      </c>
      <c r="AV1064" s="51" t="n">
        <f aca="false">IF(AND(OR(CC1064="L1",CC1064="L23",CC1064="LIFT"),AR1064&gt;0),SUMIFS($AR$7:$AR$1843,$CC$7:$CC$1843,CC1064,$AU$7:$AU$1843,"&gt;"&amp;AU1064)+SUMIFS($AR$7:$AR$1843,$CC$7:$CC$1843,CC1064,$AU$7:$AU$1843,AU1064,$BT$7:$BT$1843,"&lt;="&amp;BT1064),"")</f>
        <v>5960.92124542125</v>
      </c>
      <c r="AW1064" s="58" t="n">
        <f aca="false">IF(AV1064="",0,MAX(0,MIN(1,(IF(CC1064="L1",Parameter!$H$5,IF(CC1064="L23",Parameter!$H$6+Parameter!$H$7,Parameter!$H$5+Parameter!$H$6+Parameter!$H$7))-(AV1064-AR1064))/AR1064)))</f>
        <v>1</v>
      </c>
      <c r="AX1064" s="50" t="n">
        <f aca="false">IF(LEFT(Cockpit!$O$5,1)="A",H1064,IF(CE1064=1,CF1064,IF(LEFT(Cockpit!$O$5,1)="B",BC1064,MAX(BC1064,H1064))))</f>
        <v>7</v>
      </c>
      <c r="AY1064" s="50" t="n">
        <f aca="false">IF(BW1064=1,0,ROUNDUP(AX1064/BV1064,0))</f>
        <v>1</v>
      </c>
      <c r="AZ1064" s="52" t="n">
        <f aca="false">IF(CL1064&gt;0,CL1064*MAX(1,AX1064/X1064),IF(BW1064=1,IF(AX1064&lt;=0,0,CA1064*MAX(1,IF(H1064&gt;0,AX1064/H1064,1))),IF(R1064&gt;0,AY1064/R1064,0))/MAX(0.1,N(Parameter!$M$21)))</f>
        <v>0.00357142857142857</v>
      </c>
      <c r="BA1064" s="50" t="n">
        <f aca="false">AZ1064*BY1064</f>
        <v>0.553571428571429</v>
      </c>
      <c r="BB1064" s="50" t="n">
        <f aca="false">AX1064*G1064</f>
        <v>563.5</v>
      </c>
      <c r="BC1064" s="50" t="n">
        <f aca="false">ROUNDUP(MAX(J1064/IF(CD1064&gt;0,CD1064,MAX(0.1,N(Cockpit!$O$6))),CG1064)/BV1064,0)*BV1064</f>
        <v>7</v>
      </c>
      <c r="BD1064" s="51" t="n">
        <f aca="false">IF(BA1064&gt;0,J1064/BA1064,-1)</f>
        <v>3.61290322580645</v>
      </c>
      <c r="BE1064" s="51" t="n">
        <f aca="false">IF(AND(OR(CC1064="L1",CC1064="L23",CC1064="LIFT"),BA1064&gt;0),SUMIFS($BA$7:$BA$1843,$CC$7:$CC$1843,CC1064,$BD$7:$BD$1843,"&gt;"&amp;BD1064)+SUMIFS($BA$7:$BA$1843,$CC$7:$CC$1843,CC1064,$BD$7:$BD$1843,BD1064,$BT$7:$BT$1843,"&lt;="&amp;BT1064),"")</f>
        <v>5862.50778388278</v>
      </c>
      <c r="BF1064" s="58" t="n">
        <f aca="false">IF(BE1064="",0,MAX(0,MIN(1,(IF(CC1064="L1",Parameter!$H$5,IF(CC1064="L23",Parameter!$H$6+Parameter!$H$7,Parameter!$H$5+Parameter!$H$6+Parameter!$H$7))-(BE1064-BA1064))/BA1064)))</f>
        <v>1</v>
      </c>
      <c r="BG1064" s="48" t="str">
        <f aca="false">IF(AI1064&lt;=0,"",IF(CC1064="Aussen","Aussenlager",IF(CC1064="-","Nicht im Lift",IF(AN1064&gt;=1,"Lift",IF(AN1064&lt;=0,"Aussenlager","teilweise")))))</f>
        <v>Lift</v>
      </c>
      <c r="BH1064" s="48" t="str">
        <f aca="false">IF(AR1064&lt;=0,"",IF(CC1064="Aussen","Aussenlager",IF(CC1064="-","Nicht im Lift",IF(AW1064&gt;=1,"Lift",IF(AW1064&lt;=0,"Aussenlager","teilweise")))))</f>
        <v>Lift</v>
      </c>
      <c r="BI1064" s="48" t="str">
        <f aca="false">IF(BA1064&lt;=0,"",IF(CC1064="Aussen","Aussenlager",IF(CC1064="-","Nicht im Lift",IF(BF1064&gt;=1,"Lift",IF(BF1064&lt;=0,"Aussenlager","teilweise")))))</f>
        <v>Lift</v>
      </c>
      <c r="BJ1064" s="48" t="str">
        <f aca="false">IF(A1064="","",IF(BS1064=1,"Neu; ","")&amp;IF(AND(BS1064=0,BN1064&lt;0),"negativer Bestand (Export "&amp;BN1064&amp;"); ","")&amp;IF(J1064&lt;=0,"Kein Verbrauch; ","")&amp;IF(CL1064&gt;0,"Lift "&amp;W1064&amp;" lt. Liftbericht (Fach "&amp;X1064&amp;" Stk); ",IF(BX1064=1,"Gebinde geschätzt ("&amp;T1064&amp;"); ",IF(BW1064=1,"Lose – Tablare geschätzt; ","")))&amp;IF(H1064&gt;AT1064,"Überbestand "&amp;ROUND(H1064-AT1064,0)&amp;" Stk / CHF "&amp;ROUND((H1064-AT1064)*G1064,0)&amp;"; ","")&amp;IF(AND(CE1064=1,CF1064&lt;CG1064),"MAX &lt; MB+LG; ","")&amp;IF(AND(CK1064&gt;0,CJ1064*10&gt;CK1064),"zu hoch für Tablar; ","")&amp;IF(AND(BS1064=0,OR(CE1064=1,AA1064&lt;&gt;"",U1064&lt;&gt;"",V1064&lt;&gt;"",AB1064&lt;&gt;"")),"manuell übersteuert; ","")&amp;IF(AND(BW1064=0,R1064=0),"Gebinde unbekannt / Stellmass fehlt; ","")&amp;IF(AND(BW1064=0,N(V1064)&lt;=0,N(Q1064)&lt;=0),"Menge pro Gebinde fehlt (Ist = 1 Gebinde); ","")&amp;BR1064)</f>
        <v>negativer Bestand (Export -2); </v>
      </c>
      <c r="BK1064" s="48"/>
      <c r="BL1064" s="48"/>
      <c r="BM1064" s="55"/>
      <c r="BN1064" s="50" t="n">
        <v>-2</v>
      </c>
      <c r="BO1064" s="50" t="n">
        <v>9</v>
      </c>
      <c r="BP1064" s="49" t="n">
        <v>-161</v>
      </c>
      <c r="BQ1064" s="50" t="n">
        <v>2</v>
      </c>
      <c r="BR1064" s="48"/>
      <c r="BS1064" s="53" t="n">
        <v>0</v>
      </c>
      <c r="BT1064" s="53" t="n">
        <v>1064</v>
      </c>
      <c r="BU1064" s="48" t="str">
        <f aca="false">IF(U1064&lt;&gt;"",UPPER(TRIM(U1064)),IF(BX1064=1,UPPER(VLOOKUP(T1064,Parameter!$I$27:$K$29,2,0)),IF(P1064="","LOSE",P1064)))</f>
        <v>S21</v>
      </c>
      <c r="BV1064" s="50" t="n">
        <f aca="false">IF(BU1064="LOSE",1,IF(N(V1064)&gt;0,V1064,IF(BX1064=1,MAX(1,N(VLOOKUP(T1064,Parameter!$I$27:$K$29,3,0)),H1064,N(N1064)),IF(N(Q1064)&gt;0,Q1064,MAX(1,H1064)))))</f>
        <v>7</v>
      </c>
      <c r="BW1064" s="53" t="n">
        <f aca="false">IF(BU1064="LOSE",1,0)</f>
        <v>0</v>
      </c>
      <c r="BX1064" s="53" t="n">
        <f aca="false">IF(AND(U1064="",OR(P1064="",P1064="LOSE"),T1064&lt;&gt;"",N(S1064)&lt;=0,ISNUMBER(MATCH(T1064,Parameter!$I$27:$I$29,0))),1,0)</f>
        <v>0</v>
      </c>
      <c r="BY1064" s="53" t="n">
        <f aca="false">IF(CL1064&gt;0,INDEX(Parameter!$H$5:$H$7,W1064)/INDEX(Parameter!$E$5:$E$7,W1064),IF(AND(BW1064=0,N(IFERROR(VLOOKUP(BU1064,'Gebinde-Kategorie'!$A$5:$N$45,14,0),0))&gt;0),VLOOKUP(BU1064,'Gebinde-Kategorie'!$A$5:$N$45,14,0)*10+Parameter!$M$23,Parameter!$M$24))</f>
        <v>155</v>
      </c>
      <c r="BZ1064" s="48" t="str">
        <f aca="false">IF(AND(Parameter!$B$19="Ja",E1064&lt;&gt;"",ISNUMBER(MATCH(E1064,Parameter!$I$35:$I$52,0))),VLOOKUP(E1064,Parameter!$I$35:$J$52,2,0),IFERROR(VLOOKUP(D1064,Parameter!$A$35:$C$64,2,0),"Nein"))</f>
        <v>2+3</v>
      </c>
      <c r="CA1064" s="52" t="n">
        <f aca="false">IF(BW1064=0,0,IF(N(S1064)&gt;0,S1064,IFERROR(VLOOKUP(D1064,Parameter!$A$35:$C$64,3,0)+0,0)))</f>
        <v>0</v>
      </c>
      <c r="CB1064" s="48" t="n">
        <f aca="false">IF(AA1064&lt;&gt;"",AA1064,Z1064)</f>
        <v>3</v>
      </c>
      <c r="CC1064" s="48" t="str">
        <f aca="false">IF(OR(CB1064=1,CB1064=2,CB1064=3),IF(Parameter!$E$27="Ja","LIFT",IF(CB1064=1,"L1","L23")),IF(CB1064="Aussen","Aussen","-"))</f>
        <v>LIFT</v>
      </c>
      <c r="CD1064" s="59" t="n">
        <f aca="false">IF(N(AB1064)&gt;0,AB1064,0)</f>
        <v>0</v>
      </c>
      <c r="CE1064" s="53" t="n">
        <f aca="false">IF(ISNUMBER(AE1064),1,0)</f>
        <v>0</v>
      </c>
      <c r="CF1064" s="50" t="n">
        <f aca="false">N(AE1064)</f>
        <v>0</v>
      </c>
      <c r="CG1064" s="50" t="n">
        <f aca="false">N(M1064)+N(N1064)</f>
        <v>1</v>
      </c>
      <c r="CH1064" s="50" t="n">
        <f aca="false">ROUNDUP(H1064/BV1064,0)</f>
        <v>1</v>
      </c>
      <c r="CI1064" s="50" t="n">
        <f aca="false">ROUNDUP(CF1064/BV1064,0)</f>
        <v>0</v>
      </c>
      <c r="CJ1064" s="53" t="n">
        <f aca="false">IF(BW1064=1,0,IFERROR(VLOOKUP(BU1064,'Gebinde-Kategorie'!$A$5:$N$45,5,0)+0,0))</f>
        <v>8</v>
      </c>
      <c r="CK1064" s="53" t="n">
        <f aca="false">IFERROR(IF(OR(CB1064=1,CB1064=2,CB1064=3),N(INDEX(Parameter!$I$5:$I$7,CB1064)),0),0)</f>
        <v>0</v>
      </c>
      <c r="CL1064" s="52" t="n">
        <f aca="false">IF(AND(Parameter!$B$21="Ja",ISNUMBER(W1064),N(X1064)&gt;0),IFERROR(N(INDEX(Parameter!$L$5:$L$7,W1064))*INDEX(Parameter!$E$5:$E$7,W1064)*X1064/SUMIFS($X$7:$X$1843,$W$7:$W$1843,W1064),0),0)</f>
        <v>0</v>
      </c>
    </row>
    <row r="1065" customFormat="false" ht="15" hidden="false" customHeight="false" outlineLevel="0" collapsed="false">
      <c r="A1065" s="48" t="s">
        <v>1949</v>
      </c>
      <c r="B1065" s="48" t="s">
        <v>1950</v>
      </c>
      <c r="C1065" s="48" t="s">
        <v>168</v>
      </c>
      <c r="D1065" s="48" t="s">
        <v>188</v>
      </c>
      <c r="E1065" s="48" t="s">
        <v>189</v>
      </c>
      <c r="F1065" s="48" t="s">
        <v>222</v>
      </c>
      <c r="G1065" s="49" t="n">
        <v>3.69</v>
      </c>
      <c r="H1065" s="50" t="n">
        <f aca="false">MAX(0,IF(AND(Parameter!$B$21="Ja",ISNUMBER(Y1065)),Y1065,IF(Parameter!$B$20="Jahresanfang 2025 + Export",BO1065+BN1065,BN1065)))</f>
        <v>6</v>
      </c>
      <c r="I1065" s="50" t="n">
        <f aca="false">H1065*G1065</f>
        <v>22.14</v>
      </c>
      <c r="J1065" s="50" t="n">
        <f aca="false">BQ1065*Parameter!$B$18</f>
        <v>25</v>
      </c>
      <c r="K1065" s="51" t="n">
        <v>37</v>
      </c>
      <c r="L1065" s="52" t="n">
        <v>0.675675675675676</v>
      </c>
      <c r="M1065" s="50" t="n">
        <v>1</v>
      </c>
      <c r="N1065" s="50" t="n">
        <v>50</v>
      </c>
      <c r="O1065" s="53" t="n">
        <v>28</v>
      </c>
      <c r="P1065" s="48" t="s">
        <v>332</v>
      </c>
      <c r="Q1065" s="50" t="n">
        <v>88</v>
      </c>
      <c r="R1065" s="53" t="n">
        <f aca="false">IF(BW1065=1,0,IFERROR(VLOOKUP(BU1065,'Gebinde-Kategorie'!$A$5:$N$45,13,0)+0,0))</f>
        <v>52</v>
      </c>
      <c r="S1065" s="54"/>
      <c r="T1065" s="55"/>
      <c r="U1065" s="55"/>
      <c r="V1065" s="55"/>
      <c r="W1065" s="48"/>
      <c r="X1065" s="50"/>
      <c r="Y1065" s="50"/>
      <c r="Z1065" s="48" t="n">
        <f aca="false">IF(A1065="","",IF(AND(Parameter!$B$21="Ja",ISNUMBER(W1065)),W1065,IF(BZ1065="2+3",IF(ISNUMBER(SEARCH("grosser Artikel",BR1065)),2,IFERROR(VLOOKUP(BU1065,Parameter!$F$35:$G$64,2,0),2)),IF(OR(BZ1065="Nein",BZ1065=""),"-",BZ1065))))</f>
        <v>3</v>
      </c>
      <c r="AA1065" s="55"/>
      <c r="AB1065" s="56"/>
      <c r="AC1065" s="50" t="n">
        <f aca="false">AT1065</f>
        <v>88</v>
      </c>
      <c r="AD1065" s="50" t="n">
        <f aca="false">MAX(AT1065,H1065)</f>
        <v>88</v>
      </c>
      <c r="AE1065" s="57"/>
      <c r="AF1065" s="50" t="n">
        <f aca="false">IF(LEFT(Cockpit!$C$5,1)="A",H1065,IF(CE1065=1,CF1065,IF(LEFT(Cockpit!$C$5,1)="B",AK1065,MAX(AK1065,H1065))))</f>
        <v>6</v>
      </c>
      <c r="AG1065" s="50" t="n">
        <f aca="false">IF(BW1065=1,0,ROUNDUP(AF1065/BV1065,0))</f>
        <v>1</v>
      </c>
      <c r="AH1065" s="52" t="n">
        <f aca="false">IF(CL1065&gt;0,CL1065*MAX(1,AF1065/X1065),IF(BW1065=1,IF(AF1065&lt;=0,0,CA1065*MAX(1,IF(H1065&gt;0,AF1065/H1065,1))),IF(R1065&gt;0,AG1065/R1065,0))/MAX(0.1,N(Parameter!$M$21)))</f>
        <v>0.0192307692307692</v>
      </c>
      <c r="AI1065" s="50" t="n">
        <f aca="false">AH1065*BY1065</f>
        <v>2.98076923076923</v>
      </c>
      <c r="AJ1065" s="50" t="n">
        <f aca="false">AF1065*G1065</f>
        <v>22.14</v>
      </c>
      <c r="AK1065" s="50" t="n">
        <f aca="false">ROUNDUP(MAX(J1065/IF(CD1065&gt;0,CD1065,MAX(0.1,N(Cockpit!$C$6))),CG1065)/BV1065,0)*BV1065</f>
        <v>88</v>
      </c>
      <c r="AL1065" s="51" t="n">
        <f aca="false">IF(AI1065&gt;0,J1065/AI1065,-1)</f>
        <v>8.38709677419355</v>
      </c>
      <c r="AM1065" s="51" t="n">
        <f aca="false">IF(AND(OR(CC1065="L1",CC1065="L23",CC1065="LIFT"),AI1065&gt;0),SUMIFS($AI$7:$AI$1843,$CC$7:$CC$1843,CC1065,$AL$7:$AL$1843,"&gt;"&amp;AL1065)+SUMIFS($AI$7:$AI$1843,$CC$7:$CC$1843,CC1065,$AL$7:$AL$1843,AL1065,$BT$7:$BT$1843,"&lt;="&amp;BT1065),"")</f>
        <v>2993.81730769231</v>
      </c>
      <c r="AN1065" s="58" t="n">
        <f aca="false">IF(AM1065="",0,MAX(0,MIN(1,(IF(CC1065="L1",Parameter!$H$5,IF(CC1065="L23",Parameter!$H$6+Parameter!$H$7,Parameter!$H$5+Parameter!$H$6+Parameter!$H$7))-(AM1065-AI1065))/AI1065)))</f>
        <v>1</v>
      </c>
      <c r="AO1065" s="50" t="n">
        <f aca="false">IF(LEFT(Cockpit!$I$5,1)="A",H1065,IF(CE1065=1,CF1065,IF(LEFT(Cockpit!$I$5,1)="B",AT1065,MAX(AT1065,H1065))))</f>
        <v>88</v>
      </c>
      <c r="AP1065" s="50" t="n">
        <f aca="false">IF(BW1065=1,0,ROUNDUP(AO1065/BV1065,0))</f>
        <v>1</v>
      </c>
      <c r="AQ1065" s="52" t="n">
        <f aca="false">IF(CL1065&gt;0,CL1065*MAX(1,AO1065/X1065),IF(BW1065=1,IF(AO1065&lt;=0,0,CA1065*MAX(1,IF(H1065&gt;0,AO1065/H1065,1))),IF(R1065&gt;0,AP1065/R1065,0))/MAX(0.1,N(Parameter!$M$21)))</f>
        <v>0.0192307692307692</v>
      </c>
      <c r="AR1065" s="50" t="n">
        <f aca="false">AQ1065*BY1065</f>
        <v>2.98076923076923</v>
      </c>
      <c r="AS1065" s="50" t="n">
        <f aca="false">AO1065*G1065</f>
        <v>324.72</v>
      </c>
      <c r="AT1065" s="50" t="n">
        <f aca="false">ROUNDUP(MAX(J1065/IF(CD1065&gt;0,CD1065,MAX(0.1,N(Cockpit!$I$6))),CG1065)/BV1065,0)*BV1065</f>
        <v>88</v>
      </c>
      <c r="AU1065" s="51" t="n">
        <f aca="false">IF(AR1065&gt;0,J1065/AR1065,-1)</f>
        <v>8.38709677419355</v>
      </c>
      <c r="AV1065" s="51" t="n">
        <f aca="false">IF(AND(OR(CC1065="L1",CC1065="L23",CC1065="LIFT"),AR1065&gt;0),SUMIFS($AR$7:$AR$1843,$CC$7:$CC$1843,CC1065,$AU$7:$AU$1843,"&gt;"&amp;AU1065)+SUMIFS($AR$7:$AR$1843,$CC$7:$CC$1843,CC1065,$AU$7:$AU$1843,AU1065,$BT$7:$BT$1843,"&lt;="&amp;BT1065),"")</f>
        <v>4230.04304029304</v>
      </c>
      <c r="AW1065" s="58" t="n">
        <f aca="false">IF(AV1065="",0,MAX(0,MIN(1,(IF(CC1065="L1",Parameter!$H$5,IF(CC1065="L23",Parameter!$H$6+Parameter!$H$7,Parameter!$H$5+Parameter!$H$6+Parameter!$H$7))-(AV1065-AR1065))/AR1065)))</f>
        <v>1</v>
      </c>
      <c r="AX1065" s="50" t="n">
        <f aca="false">IF(LEFT(Cockpit!$O$5,1)="A",H1065,IF(CE1065=1,CF1065,IF(LEFT(Cockpit!$O$5,1)="B",BC1065,MAX(BC1065,H1065))))</f>
        <v>88</v>
      </c>
      <c r="AY1065" s="50" t="n">
        <f aca="false">IF(BW1065=1,0,ROUNDUP(AX1065/BV1065,0))</f>
        <v>1</v>
      </c>
      <c r="AZ1065" s="52" t="n">
        <f aca="false">IF(CL1065&gt;0,CL1065*MAX(1,AX1065/X1065),IF(BW1065=1,IF(AX1065&lt;=0,0,CA1065*MAX(1,IF(H1065&gt;0,AX1065/H1065,1))),IF(R1065&gt;0,AY1065/R1065,0))/MAX(0.1,N(Parameter!$M$21)))</f>
        <v>0.0192307692307692</v>
      </c>
      <c r="BA1065" s="50" t="n">
        <f aca="false">AZ1065*BY1065</f>
        <v>2.98076923076923</v>
      </c>
      <c r="BB1065" s="50" t="n">
        <f aca="false">AX1065*G1065</f>
        <v>324.72</v>
      </c>
      <c r="BC1065" s="50" t="n">
        <f aca="false">ROUNDUP(MAX(J1065/IF(CD1065&gt;0,CD1065,MAX(0.1,N(Cockpit!$O$6))),CG1065)/BV1065,0)*BV1065</f>
        <v>88</v>
      </c>
      <c r="BD1065" s="51" t="n">
        <f aca="false">IF(BA1065&gt;0,J1065/BA1065,-1)</f>
        <v>8.38709677419355</v>
      </c>
      <c r="BE1065" s="51" t="n">
        <f aca="false">IF(AND(OR(CC1065="L1",CC1065="L23",CC1065="LIFT"),BA1065&gt;0),SUMIFS($BA$7:$BA$1843,$CC$7:$CC$1843,CC1065,$BD$7:$BD$1843,"&gt;"&amp;BD1065)+SUMIFS($BA$7:$BA$1843,$CC$7:$CC$1843,CC1065,$BD$7:$BD$1843,BD1065,$BT$7:$BT$1843,"&lt;="&amp;BT1065),"")</f>
        <v>3888.16804029304</v>
      </c>
      <c r="BF1065" s="58" t="n">
        <f aca="false">IF(BE1065="",0,MAX(0,MIN(1,(IF(CC1065="L1",Parameter!$H$5,IF(CC1065="L23",Parameter!$H$6+Parameter!$H$7,Parameter!$H$5+Parameter!$H$6+Parameter!$H$7))-(BE1065-BA1065))/BA1065)))</f>
        <v>1</v>
      </c>
      <c r="BG1065" s="48" t="str">
        <f aca="false">IF(AI1065&lt;=0,"",IF(CC1065="Aussen","Aussenlager",IF(CC1065="-","Nicht im Lift",IF(AN1065&gt;=1,"Lift",IF(AN1065&lt;=0,"Aussenlager","teilweise")))))</f>
        <v>Lift</v>
      </c>
      <c r="BH1065" s="48" t="str">
        <f aca="false">IF(AR1065&lt;=0,"",IF(CC1065="Aussen","Aussenlager",IF(CC1065="-","Nicht im Lift",IF(AW1065&gt;=1,"Lift",IF(AW1065&lt;=0,"Aussenlager","teilweise")))))</f>
        <v>Lift</v>
      </c>
      <c r="BI1065" s="48" t="str">
        <f aca="false">IF(BA1065&lt;=0,"",IF(CC1065="Aussen","Aussenlager",IF(CC1065="-","Nicht im Lift",IF(BF1065&gt;=1,"Lift",IF(BF1065&lt;=0,"Aussenlager","teilweise")))))</f>
        <v>Lift</v>
      </c>
      <c r="BJ1065" s="48" t="str">
        <f aca="false">IF(A1065="","",IF(BS1065=1,"Neu; ","")&amp;IF(AND(BS1065=0,BN1065&lt;0),"negativer Bestand (Export "&amp;BN1065&amp;"); ","")&amp;IF(J1065&lt;=0,"Kein Verbrauch; ","")&amp;IF(CL1065&gt;0,"Lift "&amp;W1065&amp;" lt. Liftbericht (Fach "&amp;X1065&amp;" Stk); ",IF(BX1065=1,"Gebinde geschätzt ("&amp;T1065&amp;"); ",IF(BW1065=1,"Lose – Tablare geschätzt; ","")))&amp;IF(H1065&gt;AT1065,"Überbestand "&amp;ROUND(H1065-AT1065,0)&amp;" Stk / CHF "&amp;ROUND((H1065-AT1065)*G1065,0)&amp;"; ","")&amp;IF(AND(CE1065=1,CF1065&lt;CG1065),"MAX &lt; MB+LG; ","")&amp;IF(AND(CK1065&gt;0,CJ1065*10&gt;CK1065),"zu hoch für Tablar; ","")&amp;IF(AND(BS1065=0,OR(CE1065=1,AA1065&lt;&gt;"",U1065&lt;&gt;"",V1065&lt;&gt;"",AB1065&lt;&gt;"")),"manuell übersteuert; ","")&amp;IF(AND(BW1065=0,R1065=0),"Gebinde unbekannt / Stellmass fehlt; ","")&amp;IF(AND(BW1065=0,N(V1065)&lt;=0,N(Q1065)&lt;=0),"Menge pro Gebinde fehlt (Ist = 1 Gebinde); ","")&amp;BR1065)</f>
        <v>negativer Bestand (Export -44); Neu</v>
      </c>
      <c r="BK1065" s="48"/>
      <c r="BL1065" s="48"/>
      <c r="BM1065" s="55"/>
      <c r="BN1065" s="50" t="n">
        <v>-44</v>
      </c>
      <c r="BO1065" s="50" t="n">
        <v>50</v>
      </c>
      <c r="BP1065" s="49" t="n">
        <v>-162.36</v>
      </c>
      <c r="BQ1065" s="50" t="n">
        <v>25</v>
      </c>
      <c r="BR1065" s="48" t="s">
        <v>630</v>
      </c>
      <c r="BS1065" s="53" t="n">
        <v>0</v>
      </c>
      <c r="BT1065" s="53" t="n">
        <v>1065</v>
      </c>
      <c r="BU1065" s="48" t="str">
        <f aca="false">IF(U1065&lt;&gt;"",UPPER(TRIM(U1065)),IF(BX1065=1,UPPER(VLOOKUP(T1065,Parameter!$I$27:$K$29,2,0)),IF(P1065="","LOSE",P1065)))</f>
        <v>S41</v>
      </c>
      <c r="BV1065" s="50" t="n">
        <f aca="false">IF(BU1065="LOSE",1,IF(N(V1065)&gt;0,V1065,IF(BX1065=1,MAX(1,N(VLOOKUP(T1065,Parameter!$I$27:$K$29,3,0)),H1065,N(N1065)),IF(N(Q1065)&gt;0,Q1065,MAX(1,H1065)))))</f>
        <v>88</v>
      </c>
      <c r="BW1065" s="53" t="n">
        <f aca="false">IF(BU1065="LOSE",1,0)</f>
        <v>0</v>
      </c>
      <c r="BX1065" s="53" t="n">
        <f aca="false">IF(AND(U1065="",OR(P1065="",P1065="LOSE"),T1065&lt;&gt;"",N(S1065)&lt;=0,ISNUMBER(MATCH(T1065,Parameter!$I$27:$I$29,0))),1,0)</f>
        <v>0</v>
      </c>
      <c r="BY1065" s="53" t="n">
        <f aca="false">IF(CL1065&gt;0,INDEX(Parameter!$H$5:$H$7,W1065)/INDEX(Parameter!$E$5:$E$7,W1065),IF(AND(BW1065=0,N(IFERROR(VLOOKUP(BU1065,'Gebinde-Kategorie'!$A$5:$N$45,14,0),0))&gt;0),VLOOKUP(BU1065,'Gebinde-Kategorie'!$A$5:$N$45,14,0)*10+Parameter!$M$23,Parameter!$M$24))</f>
        <v>155</v>
      </c>
      <c r="BZ1065" s="48" t="str">
        <f aca="false">IF(AND(Parameter!$B$19="Ja",E1065&lt;&gt;"",ISNUMBER(MATCH(E1065,Parameter!$I$35:$I$52,0))),VLOOKUP(E1065,Parameter!$I$35:$J$52,2,0),IFERROR(VLOOKUP(D1065,Parameter!$A$35:$C$64,2,0),"Nein"))</f>
        <v>2+3</v>
      </c>
      <c r="CA1065" s="52" t="n">
        <f aca="false">IF(BW1065=0,0,IF(N(S1065)&gt;0,S1065,IFERROR(VLOOKUP(D1065,Parameter!$A$35:$C$64,3,0)+0,0)))</f>
        <v>0</v>
      </c>
      <c r="CB1065" s="48" t="n">
        <f aca="false">IF(AA1065&lt;&gt;"",AA1065,Z1065)</f>
        <v>3</v>
      </c>
      <c r="CC1065" s="48" t="str">
        <f aca="false">IF(OR(CB1065=1,CB1065=2,CB1065=3),IF(Parameter!$E$27="Ja","LIFT",IF(CB1065=1,"L1","L23")),IF(CB1065="Aussen","Aussen","-"))</f>
        <v>LIFT</v>
      </c>
      <c r="CD1065" s="59" t="n">
        <f aca="false">IF(N(AB1065)&gt;0,AB1065,0)</f>
        <v>0</v>
      </c>
      <c r="CE1065" s="53" t="n">
        <f aca="false">IF(ISNUMBER(AE1065),1,0)</f>
        <v>0</v>
      </c>
      <c r="CF1065" s="50" t="n">
        <f aca="false">N(AE1065)</f>
        <v>0</v>
      </c>
      <c r="CG1065" s="50" t="n">
        <f aca="false">N(M1065)+N(N1065)</f>
        <v>51</v>
      </c>
      <c r="CH1065" s="50" t="n">
        <f aca="false">ROUNDUP(H1065/BV1065,0)</f>
        <v>1</v>
      </c>
      <c r="CI1065" s="50" t="n">
        <f aca="false">ROUNDUP(CF1065/BV1065,0)</f>
        <v>0</v>
      </c>
      <c r="CJ1065" s="53" t="n">
        <f aca="false">IF(BW1065=1,0,IFERROR(VLOOKUP(BU1065,'Gebinde-Kategorie'!$A$5:$N$45,5,0)+0,0))</f>
        <v>11</v>
      </c>
      <c r="CK1065" s="53" t="n">
        <f aca="false">IFERROR(IF(OR(CB1065=1,CB1065=2,CB1065=3),N(INDEX(Parameter!$I$5:$I$7,CB1065)),0),0)</f>
        <v>0</v>
      </c>
      <c r="CL1065" s="52" t="n">
        <f aca="false">IF(AND(Parameter!$B$21="Ja",ISNUMBER(W1065),N(X1065)&gt;0),IFERROR(N(INDEX(Parameter!$L$5:$L$7,W1065))*INDEX(Parameter!$E$5:$E$7,W1065)*X1065/SUMIFS($X$7:$X$1843,$W$7:$W$1843,W1065),0),0)</f>
        <v>0</v>
      </c>
    </row>
    <row r="1066" customFormat="false" ht="15" hidden="false" customHeight="false" outlineLevel="0" collapsed="false">
      <c r="A1066" s="48" t="s">
        <v>1951</v>
      </c>
      <c r="B1066" s="48" t="s">
        <v>1952</v>
      </c>
      <c r="C1066" s="48" t="s">
        <v>460</v>
      </c>
      <c r="D1066" s="48" t="s">
        <v>188</v>
      </c>
      <c r="E1066" s="48"/>
      <c r="F1066" s="48" t="s">
        <v>222</v>
      </c>
      <c r="G1066" s="49" t="n">
        <v>20.45</v>
      </c>
      <c r="H1066" s="50" t="n">
        <f aca="false">MAX(0,IF(AND(Parameter!$B$21="Ja",ISNUMBER(Y1066)),Y1066,IF(Parameter!$B$20="Jahresanfang 2025 + Export",BO1066+BN1066,BN1066)))</f>
        <v>8</v>
      </c>
      <c r="I1066" s="50" t="n">
        <f aca="false">H1066*G1066</f>
        <v>163.6</v>
      </c>
      <c r="J1066" s="50" t="n">
        <f aca="false">BQ1066*Parameter!$B$18</f>
        <v>8</v>
      </c>
      <c r="K1066" s="51" t="n">
        <v>8</v>
      </c>
      <c r="L1066" s="52" t="n">
        <v>1</v>
      </c>
      <c r="M1066" s="50" t="n">
        <v>0</v>
      </c>
      <c r="N1066" s="50" t="n">
        <v>10</v>
      </c>
      <c r="O1066" s="53" t="n">
        <v>21</v>
      </c>
      <c r="P1066" s="48" t="s">
        <v>172</v>
      </c>
      <c r="Q1066" s="50"/>
      <c r="R1066" s="53" t="n">
        <f aca="false">IF(BW1066=1,0,IFERROR(VLOOKUP(BU1066,'Gebinde-Kategorie'!$A$5:$N$45,13,0)+0,0))</f>
        <v>4</v>
      </c>
      <c r="S1066" s="54"/>
      <c r="T1066" s="55" t="s">
        <v>193</v>
      </c>
      <c r="U1066" s="55"/>
      <c r="V1066" s="55"/>
      <c r="W1066" s="48"/>
      <c r="X1066" s="50"/>
      <c r="Y1066" s="50"/>
      <c r="Z1066" s="48" t="n">
        <f aca="false">IF(A1066="","",IF(AND(Parameter!$B$21="Ja",ISNUMBER(W1066)),W1066,IF(BZ1066="2+3",IF(ISNUMBER(SEARCH("grosser Artikel",BR1066)),2,IFERROR(VLOOKUP(BU1066,Parameter!$F$35:$G$64,2,0),2)),IF(OR(BZ1066="Nein",BZ1066=""),"-",BZ1066))))</f>
        <v>2</v>
      </c>
      <c r="AA1066" s="55"/>
      <c r="AB1066" s="56"/>
      <c r="AC1066" s="50" t="n">
        <f aca="false">AT1066</f>
        <v>10</v>
      </c>
      <c r="AD1066" s="50" t="n">
        <f aca="false">MAX(AT1066,H1066)</f>
        <v>10</v>
      </c>
      <c r="AE1066" s="57"/>
      <c r="AF1066" s="50" t="n">
        <f aca="false">IF(LEFT(Cockpit!$C$5,1)="A",H1066,IF(CE1066=1,CF1066,IF(LEFT(Cockpit!$C$5,1)="B",AK1066,MAX(AK1066,H1066))))</f>
        <v>8</v>
      </c>
      <c r="AG1066" s="50" t="n">
        <f aca="false">IF(BW1066=1,0,ROUNDUP(AF1066/BV1066,0))</f>
        <v>1</v>
      </c>
      <c r="AH1066" s="52" t="n">
        <f aca="false">IF(CL1066&gt;0,CL1066*MAX(1,AF1066/X1066),IF(BW1066=1,IF(AF1066&lt;=0,0,CA1066*MAX(1,IF(H1066&gt;0,AF1066/H1066,1))),IF(R1066&gt;0,AG1066/R1066,0))/MAX(0.1,N(Parameter!$M$21)))</f>
        <v>0.25</v>
      </c>
      <c r="AI1066" s="50" t="n">
        <f aca="false">AH1066*BY1066</f>
        <v>58.75</v>
      </c>
      <c r="AJ1066" s="50" t="n">
        <f aca="false">AF1066*G1066</f>
        <v>163.6</v>
      </c>
      <c r="AK1066" s="50" t="n">
        <f aca="false">ROUNDUP(MAX(J1066/IF(CD1066&gt;0,CD1066,MAX(0.1,N(Cockpit!$C$6))),CG1066)/BV1066,0)*BV1066</f>
        <v>10</v>
      </c>
      <c r="AL1066" s="51" t="n">
        <f aca="false">IF(AI1066&gt;0,J1066/AI1066,-1)</f>
        <v>0.136170212765957</v>
      </c>
      <c r="AM1066" s="51" t="n">
        <f aca="false">IF(AND(OR(CC1066="L1",CC1066="L23",CC1066="LIFT"),AI1066&gt;0),SUMIFS($AI$7:$AI$1843,$CC$7:$CC$1843,CC1066,$AL$7:$AL$1843,"&gt;"&amp;AL1066)+SUMIFS($AI$7:$AI$1843,$CC$7:$CC$1843,CC1066,$AL$7:$AL$1843,AL1066,$BT$7:$BT$1843,"&lt;="&amp;BT1066),"")</f>
        <v>13270.342695205</v>
      </c>
      <c r="AN1066" s="58" t="n">
        <f aca="false">IF(AM1066="",0,MAX(0,MIN(1,(IF(CC1066="L1",Parameter!$H$5,IF(CC1066="L23",Parameter!$H$6+Parameter!$H$7,Parameter!$H$5+Parameter!$H$6+Parameter!$H$7))-(AM1066-AI1066))/AI1066)))</f>
        <v>1</v>
      </c>
      <c r="AO1066" s="50" t="n">
        <f aca="false">IF(LEFT(Cockpit!$I$5,1)="A",H1066,IF(CE1066=1,CF1066,IF(LEFT(Cockpit!$I$5,1)="B",AT1066,MAX(AT1066,H1066))))</f>
        <v>10</v>
      </c>
      <c r="AP1066" s="50" t="n">
        <f aca="false">IF(BW1066=1,0,ROUNDUP(AO1066/BV1066,0))</f>
        <v>1</v>
      </c>
      <c r="AQ1066" s="52" t="n">
        <f aca="false">IF(CL1066&gt;0,CL1066*MAX(1,AO1066/X1066),IF(BW1066=1,IF(AO1066&lt;=0,0,CA1066*MAX(1,IF(H1066&gt;0,AO1066/H1066,1))),IF(R1066&gt;0,AP1066/R1066,0))/MAX(0.1,N(Parameter!$M$21)))</f>
        <v>0.25</v>
      </c>
      <c r="AR1066" s="50" t="n">
        <f aca="false">AQ1066*BY1066</f>
        <v>58.75</v>
      </c>
      <c r="AS1066" s="50" t="n">
        <f aca="false">AO1066*G1066</f>
        <v>204.5</v>
      </c>
      <c r="AT1066" s="50" t="n">
        <f aca="false">ROUNDUP(MAX(J1066/IF(CD1066&gt;0,CD1066,MAX(0.1,N(Cockpit!$I$6))),CG1066)/BV1066,0)*BV1066</f>
        <v>10</v>
      </c>
      <c r="AU1066" s="51" t="n">
        <f aca="false">IF(AR1066&gt;0,J1066/AR1066,-1)</f>
        <v>0.136170212765957</v>
      </c>
      <c r="AV1066" s="51" t="n">
        <f aca="false">IF(AND(OR(CC1066="L1",CC1066="L23",CC1066="LIFT"),AR1066&gt;0),SUMIFS($AR$7:$AR$1843,$CC$7:$CC$1843,CC1066,$AU$7:$AU$1843,"&gt;"&amp;AU1066)+SUMIFS($AR$7:$AR$1843,$CC$7:$CC$1843,CC1066,$AU$7:$AU$1843,AU1066,$BT$7:$BT$1843,"&lt;="&amp;BT1066),"")</f>
        <v>20090.2632783883</v>
      </c>
      <c r="AW1066" s="58" t="n">
        <f aca="false">IF(AV1066="",0,MAX(0,MIN(1,(IF(CC1066="L1",Parameter!$H$5,IF(CC1066="L23",Parameter!$H$6+Parameter!$H$7,Parameter!$H$5+Parameter!$H$6+Parameter!$H$7))-(AV1066-AR1066))/AR1066)))</f>
        <v>1</v>
      </c>
      <c r="AX1066" s="50" t="n">
        <f aca="false">IF(LEFT(Cockpit!$O$5,1)="A",H1066,IF(CE1066=1,CF1066,IF(LEFT(Cockpit!$O$5,1)="B",BC1066,MAX(BC1066,H1066))))</f>
        <v>10</v>
      </c>
      <c r="AY1066" s="50" t="n">
        <f aca="false">IF(BW1066=1,0,ROUNDUP(AX1066/BV1066,0))</f>
        <v>1</v>
      </c>
      <c r="AZ1066" s="52" t="n">
        <f aca="false">IF(CL1066&gt;0,CL1066*MAX(1,AX1066/X1066),IF(BW1066=1,IF(AX1066&lt;=0,0,CA1066*MAX(1,IF(H1066&gt;0,AX1066/H1066,1))),IF(R1066&gt;0,AY1066/R1066,0))/MAX(0.1,N(Parameter!$M$21)))</f>
        <v>0.25</v>
      </c>
      <c r="BA1066" s="50" t="n">
        <f aca="false">AZ1066*BY1066</f>
        <v>58.75</v>
      </c>
      <c r="BB1066" s="50" t="n">
        <f aca="false">AX1066*G1066</f>
        <v>204.5</v>
      </c>
      <c r="BC1066" s="50" t="n">
        <f aca="false">ROUNDUP(MAX(J1066/IF(CD1066&gt;0,CD1066,MAX(0.1,N(Cockpit!$O$6))),CG1066)/BV1066,0)*BV1066</f>
        <v>10</v>
      </c>
      <c r="BD1066" s="51" t="n">
        <f aca="false">IF(BA1066&gt;0,J1066/BA1066,-1)</f>
        <v>0.136170212765957</v>
      </c>
      <c r="BE1066" s="51" t="n">
        <f aca="false">IF(AND(OR(CC1066="L1",CC1066="L23",CC1066="LIFT"),BA1066&gt;0),SUMIFS($BA$7:$BA$1843,$CC$7:$CC$1843,CC1066,$BD$7:$BD$1843,"&gt;"&amp;BD1066)+SUMIFS($BA$7:$BA$1843,$CC$7:$CC$1843,CC1066,$BD$7:$BD$1843,BD1066,$BT$7:$BT$1843,"&lt;="&amp;BT1066),"")</f>
        <v>19111.6924577306</v>
      </c>
      <c r="BF1066" s="58" t="n">
        <f aca="false">IF(BE1066="",0,MAX(0,MIN(1,(IF(CC1066="L1",Parameter!$H$5,IF(CC1066="L23",Parameter!$H$6+Parameter!$H$7,Parameter!$H$5+Parameter!$H$6+Parameter!$H$7))-(BE1066-BA1066))/BA1066)))</f>
        <v>1</v>
      </c>
      <c r="BG1066" s="48" t="str">
        <f aca="false">IF(AI1066&lt;=0,"",IF(CC1066="Aussen","Aussenlager",IF(CC1066="-","Nicht im Lift",IF(AN1066&gt;=1,"Lift",IF(AN1066&lt;=0,"Aussenlager","teilweise")))))</f>
        <v>Lift</v>
      </c>
      <c r="BH1066" s="48" t="str">
        <f aca="false">IF(AR1066&lt;=0,"",IF(CC1066="Aussen","Aussenlager",IF(CC1066="-","Nicht im Lift",IF(AW1066&gt;=1,"Lift",IF(AW1066&lt;=0,"Aussenlager","teilweise")))))</f>
        <v>Lift</v>
      </c>
      <c r="BI1066" s="48" t="str">
        <f aca="false">IF(BA1066&lt;=0,"",IF(CC1066="Aussen","Aussenlager",IF(CC1066="-","Nicht im Lift",IF(BF1066&gt;=1,"Lift",IF(BF1066&lt;=0,"Aussenlager","teilweise")))))</f>
        <v>Lift</v>
      </c>
      <c r="BJ1066" s="48" t="str">
        <f aca="false">IF(A1066="","",IF(BS1066=1,"Neu; ","")&amp;IF(AND(BS1066=0,BN1066&lt;0),"negativer Bestand (Export "&amp;BN1066&amp;"); ","")&amp;IF(J1066&lt;=0,"Kein Verbrauch; ","")&amp;IF(CL1066&gt;0,"Lift "&amp;W1066&amp;" lt. Liftbericht (Fach "&amp;X1066&amp;" Stk); ",IF(BX1066=1,"Gebinde geschätzt ("&amp;T1066&amp;"); ",IF(BW1066=1,"Lose – Tablare geschätzt; ","")))&amp;IF(H1066&gt;AT1066,"Überbestand "&amp;ROUND(H1066-AT1066,0)&amp;" Stk / CHF "&amp;ROUND((H1066-AT1066)*G1066,0)&amp;"; ","")&amp;IF(AND(CE1066=1,CF1066&lt;CG1066),"MAX &lt; MB+LG; ","")&amp;IF(AND(CK1066&gt;0,CJ1066*10&gt;CK1066),"zu hoch für Tablar; ","")&amp;IF(AND(BS1066=0,OR(CE1066=1,AA1066&lt;&gt;"",U1066&lt;&gt;"",V1066&lt;&gt;"",AB1066&lt;&gt;"")),"manuell übersteuert; ","")&amp;IF(AND(BW1066=0,R1066=0),"Gebinde unbekannt / Stellmass fehlt; ","")&amp;IF(AND(BW1066=0,N(V1066)&lt;=0,N(Q1066)&lt;=0),"Menge pro Gebinde fehlt (Ist = 1 Gebinde); ","")&amp;BR1066)</f>
        <v>negativer Bestand (Export -8); Gebinde geschätzt (Gross); Menge pro Gebinde fehlt (Ist = 1 Gebinde); </v>
      </c>
      <c r="BK1066" s="48"/>
      <c r="BL1066" s="48"/>
      <c r="BM1066" s="55"/>
      <c r="BN1066" s="50" t="n">
        <v>-8</v>
      </c>
      <c r="BO1066" s="50" t="n">
        <v>16</v>
      </c>
      <c r="BP1066" s="49" t="n">
        <v>-163.6</v>
      </c>
      <c r="BQ1066" s="50" t="n">
        <v>8</v>
      </c>
      <c r="BR1066" s="48"/>
      <c r="BS1066" s="53" t="n">
        <v>0</v>
      </c>
      <c r="BT1066" s="53" t="n">
        <v>1066</v>
      </c>
      <c r="BU1066" s="48" t="str">
        <f aca="false">IF(U1066&lt;&gt;"",UPPER(TRIM(U1066)),IF(BX1066=1,UPPER(VLOOKUP(T1066,Parameter!$I$27:$K$29,2,0)),IF(P1066="","LOSE",P1066)))</f>
        <v>S81</v>
      </c>
      <c r="BV1066" s="50" t="n">
        <f aca="false">IF(BU1066="LOSE",1,IF(N(V1066)&gt;0,V1066,IF(BX1066=1,MAX(1,N(VLOOKUP(T1066,Parameter!$I$27:$K$29,3,0)),H1066,N(N1066)),IF(N(Q1066)&gt;0,Q1066,MAX(1,H1066)))))</f>
        <v>10</v>
      </c>
      <c r="BW1066" s="53" t="n">
        <f aca="false">IF(BU1066="LOSE",1,0)</f>
        <v>0</v>
      </c>
      <c r="BX1066" s="53" t="n">
        <f aca="false">IF(AND(U1066="",OR(P1066="",P1066="LOSE"),T1066&lt;&gt;"",N(S1066)&lt;=0,ISNUMBER(MATCH(T1066,Parameter!$I$27:$I$29,0))),1,0)</f>
        <v>1</v>
      </c>
      <c r="BY1066" s="53" t="n">
        <f aca="false">IF(CL1066&gt;0,INDEX(Parameter!$H$5:$H$7,W1066)/INDEX(Parameter!$E$5:$E$7,W1066),IF(AND(BW1066=0,N(IFERROR(VLOOKUP(BU1066,'Gebinde-Kategorie'!$A$5:$N$45,14,0),0))&gt;0),VLOOKUP(BU1066,'Gebinde-Kategorie'!$A$5:$N$45,14,0)*10+Parameter!$M$23,Parameter!$M$24))</f>
        <v>235</v>
      </c>
      <c r="BZ1066" s="48" t="str">
        <f aca="false">IF(AND(Parameter!$B$19="Ja",E1066&lt;&gt;"",ISNUMBER(MATCH(E1066,Parameter!$I$35:$I$52,0))),VLOOKUP(E1066,Parameter!$I$35:$J$52,2,0),IFERROR(VLOOKUP(D1066,Parameter!$A$35:$C$64,2,0),"Nein"))</f>
        <v>2+3</v>
      </c>
      <c r="CA1066" s="52" t="n">
        <f aca="false">IF(BW1066=0,0,IF(N(S1066)&gt;0,S1066,IFERROR(VLOOKUP(D1066,Parameter!$A$35:$C$64,3,0)+0,0)))</f>
        <v>0</v>
      </c>
      <c r="CB1066" s="48" t="n">
        <f aca="false">IF(AA1066&lt;&gt;"",AA1066,Z1066)</f>
        <v>2</v>
      </c>
      <c r="CC1066" s="48" t="str">
        <f aca="false">IF(OR(CB1066=1,CB1066=2,CB1066=3),IF(Parameter!$E$27="Ja","LIFT",IF(CB1066=1,"L1","L23")),IF(CB1066="Aussen","Aussen","-"))</f>
        <v>LIFT</v>
      </c>
      <c r="CD1066" s="59" t="n">
        <f aca="false">IF(N(AB1066)&gt;0,AB1066,0)</f>
        <v>0</v>
      </c>
      <c r="CE1066" s="53" t="n">
        <f aca="false">IF(ISNUMBER(AE1066),1,0)</f>
        <v>0</v>
      </c>
      <c r="CF1066" s="50" t="n">
        <f aca="false">N(AE1066)</f>
        <v>0</v>
      </c>
      <c r="CG1066" s="50" t="n">
        <f aca="false">N(M1066)+N(N1066)</f>
        <v>10</v>
      </c>
      <c r="CH1066" s="50" t="n">
        <f aca="false">ROUNDUP(H1066/BV1066,0)</f>
        <v>1</v>
      </c>
      <c r="CI1066" s="50" t="n">
        <f aca="false">ROUNDUP(CF1066/BV1066,0)</f>
        <v>0</v>
      </c>
      <c r="CJ1066" s="53" t="n">
        <f aca="false">IF(BW1066=1,0,IFERROR(VLOOKUP(BU1066,'Gebinde-Kategorie'!$A$5:$N$45,5,0)+0,0))</f>
        <v>20</v>
      </c>
      <c r="CK1066" s="53" t="n">
        <f aca="false">IFERROR(IF(OR(CB1066=1,CB1066=2,CB1066=3),N(INDEX(Parameter!$I$5:$I$7,CB1066)),0),0)</f>
        <v>0</v>
      </c>
      <c r="CL1066" s="52" t="n">
        <f aca="false">IF(AND(Parameter!$B$21="Ja",ISNUMBER(W1066),N(X1066)&gt;0),IFERROR(N(INDEX(Parameter!$L$5:$L$7,W1066))*INDEX(Parameter!$E$5:$E$7,W1066)*X1066/SUMIFS($X$7:$X$1843,$W$7:$W$1843,W1066),0),0)</f>
        <v>0</v>
      </c>
    </row>
    <row r="1067" customFormat="false" ht="15" hidden="false" customHeight="false" outlineLevel="0" collapsed="false">
      <c r="A1067" s="48" t="s">
        <v>1953</v>
      </c>
      <c r="B1067" s="48" t="s">
        <v>1954</v>
      </c>
      <c r="C1067" s="48" t="s">
        <v>460</v>
      </c>
      <c r="D1067" s="48" t="s">
        <v>188</v>
      </c>
      <c r="E1067" s="48"/>
      <c r="F1067" s="48" t="s">
        <v>222</v>
      </c>
      <c r="G1067" s="49" t="n">
        <v>4.12</v>
      </c>
      <c r="H1067" s="50" t="n">
        <f aca="false">MAX(0,IF(AND(Parameter!$B$21="Ja",ISNUMBER(Y1067)),Y1067,IF(Parameter!$B$20="Jahresanfang 2025 + Export",BO1067+BN1067,BN1067)))</f>
        <v>0</v>
      </c>
      <c r="I1067" s="50" t="n">
        <f aca="false">H1067*G1067</f>
        <v>0</v>
      </c>
      <c r="J1067" s="50" t="n">
        <f aca="false">BQ1067*Parameter!$B$18</f>
        <v>0</v>
      </c>
      <c r="K1067" s="51" t="n">
        <v>40</v>
      </c>
      <c r="L1067" s="52" t="n">
        <v>0</v>
      </c>
      <c r="M1067" s="50" t="n">
        <v>0</v>
      </c>
      <c r="N1067" s="50" t="n">
        <v>1</v>
      </c>
      <c r="O1067" s="53" t="n">
        <v>42</v>
      </c>
      <c r="P1067" s="48" t="s">
        <v>172</v>
      </c>
      <c r="Q1067" s="50"/>
      <c r="R1067" s="53" t="n">
        <f aca="false">IF(BW1067=1,0,IFERROR(VLOOKUP(BU1067,'Gebinde-Kategorie'!$A$5:$N$45,13,0)+0,0))</f>
        <v>26</v>
      </c>
      <c r="S1067" s="54"/>
      <c r="T1067" s="55" t="s">
        <v>279</v>
      </c>
      <c r="U1067" s="55"/>
      <c r="V1067" s="55"/>
      <c r="W1067" s="48"/>
      <c r="X1067" s="50"/>
      <c r="Y1067" s="50"/>
      <c r="Z1067" s="48" t="n">
        <f aca="false">IF(A1067="","",IF(AND(Parameter!$B$21="Ja",ISNUMBER(W1067)),W1067,IF(BZ1067="2+3",IF(ISNUMBER(SEARCH("grosser Artikel",BR1067)),2,IFERROR(VLOOKUP(BU1067,Parameter!$F$35:$G$64,2,0),2)),IF(OR(BZ1067="Nein",BZ1067=""),"-",BZ1067))))</f>
        <v>3</v>
      </c>
      <c r="AA1067" s="55"/>
      <c r="AB1067" s="56"/>
      <c r="AC1067" s="50" t="n">
        <f aca="false">AT1067</f>
        <v>20</v>
      </c>
      <c r="AD1067" s="50" t="n">
        <f aca="false">MAX(AT1067,H1067)</f>
        <v>20</v>
      </c>
      <c r="AE1067" s="57"/>
      <c r="AF1067" s="50" t="n">
        <f aca="false">IF(LEFT(Cockpit!$C$5,1)="A",H1067,IF(CE1067=1,CF1067,IF(LEFT(Cockpit!$C$5,1)="B",AK1067,MAX(AK1067,H1067))))</f>
        <v>0</v>
      </c>
      <c r="AG1067" s="50" t="n">
        <f aca="false">IF(BW1067=1,0,ROUNDUP(AF1067/BV1067,0))</f>
        <v>0</v>
      </c>
      <c r="AH1067" s="52" t="n">
        <f aca="false">IF(CL1067&gt;0,CL1067*MAX(1,AF1067/X1067),IF(BW1067=1,IF(AF1067&lt;=0,0,CA1067*MAX(1,IF(H1067&gt;0,AF1067/H1067,1))),IF(R1067&gt;0,AG1067/R1067,0))/MAX(0.1,N(Parameter!$M$21)))</f>
        <v>0</v>
      </c>
      <c r="AI1067" s="50" t="n">
        <f aca="false">AH1067*BY1067</f>
        <v>0</v>
      </c>
      <c r="AJ1067" s="50" t="n">
        <f aca="false">AF1067*G1067</f>
        <v>0</v>
      </c>
      <c r="AK1067" s="50" t="n">
        <f aca="false">ROUNDUP(MAX(J1067/IF(CD1067&gt;0,CD1067,MAX(0.1,N(Cockpit!$C$6))),CG1067)/BV1067,0)*BV1067</f>
        <v>20</v>
      </c>
      <c r="AL1067" s="51" t="n">
        <f aca="false">IF(AI1067&gt;0,J1067/AI1067,-1)</f>
        <v>-1</v>
      </c>
      <c r="AM1067" s="51" t="str">
        <f aca="false">IF(AND(OR(CC1067="L1",CC1067="L23",CC1067="LIFT"),AI1067&gt;0),SUMIFS($AI$7:$AI$1843,$CC$7:$CC$1843,CC1067,$AL$7:$AL$1843,"&gt;"&amp;AL1067)+SUMIFS($AI$7:$AI$1843,$CC$7:$CC$1843,CC1067,$AL$7:$AL$1843,AL1067,$BT$7:$BT$1843,"&lt;="&amp;BT1067),"")</f>
        <v/>
      </c>
      <c r="AN1067" s="58" t="n">
        <f aca="false">IF(AM1067="",0,MAX(0,MIN(1,(IF(CC1067="L1",Parameter!$H$5,IF(CC1067="L23",Parameter!$H$6+Parameter!$H$7,Parameter!$H$5+Parameter!$H$6+Parameter!$H$7))-(AM1067-AI1067))/AI1067)))</f>
        <v>0</v>
      </c>
      <c r="AO1067" s="50" t="n">
        <f aca="false">IF(LEFT(Cockpit!$I$5,1)="A",H1067,IF(CE1067=1,CF1067,IF(LEFT(Cockpit!$I$5,1)="B",AT1067,MAX(AT1067,H1067))))</f>
        <v>20</v>
      </c>
      <c r="AP1067" s="50" t="n">
        <f aca="false">IF(BW1067=1,0,ROUNDUP(AO1067/BV1067,0))</f>
        <v>1</v>
      </c>
      <c r="AQ1067" s="52" t="n">
        <f aca="false">IF(CL1067&gt;0,CL1067*MAX(1,AO1067/X1067),IF(BW1067=1,IF(AO1067&lt;=0,0,CA1067*MAX(1,IF(H1067&gt;0,AO1067/H1067,1))),IF(R1067&gt;0,AP1067/R1067,0))/MAX(0.1,N(Parameter!$M$21)))</f>
        <v>0.0384615384615385</v>
      </c>
      <c r="AR1067" s="50" t="n">
        <f aca="false">AQ1067*BY1067</f>
        <v>5.96153846153846</v>
      </c>
      <c r="AS1067" s="50" t="n">
        <f aca="false">AO1067*G1067</f>
        <v>82.4</v>
      </c>
      <c r="AT1067" s="50" t="n">
        <f aca="false">ROUNDUP(MAX(J1067/IF(CD1067&gt;0,CD1067,MAX(0.1,N(Cockpit!$I$6))),CG1067)/BV1067,0)*BV1067</f>
        <v>20</v>
      </c>
      <c r="AU1067" s="51" t="n">
        <f aca="false">IF(AR1067&gt;0,J1067/AR1067,-1)</f>
        <v>0</v>
      </c>
      <c r="AV1067" s="51" t="n">
        <f aca="false">IF(AND(OR(CC1067="L1",CC1067="L23",CC1067="LIFT"),AR1067&gt;0),SUMIFS($AR$7:$AR$1843,$CC$7:$CC$1843,CC1067,$AU$7:$AU$1843,"&gt;"&amp;AU1067)+SUMIFS($AR$7:$AR$1843,$CC$7:$CC$1843,CC1067,$AU$7:$AU$1843,AU1067,$BT$7:$BT$1843,"&lt;="&amp;BT1067),"")</f>
        <v>40768.827388713</v>
      </c>
      <c r="AW1067" s="58" t="n">
        <f aca="false">IF(AV1067="",0,MAX(0,MIN(1,(IF(CC1067="L1",Parameter!$H$5,IF(CC1067="L23",Parameter!$H$6+Parameter!$H$7,Parameter!$H$5+Parameter!$H$6+Parameter!$H$7))-(AV1067-AR1067))/AR1067)))</f>
        <v>0</v>
      </c>
      <c r="AX1067" s="50" t="n">
        <f aca="false">IF(LEFT(Cockpit!$O$5,1)="A",H1067,IF(CE1067=1,CF1067,IF(LEFT(Cockpit!$O$5,1)="B",BC1067,MAX(BC1067,H1067))))</f>
        <v>20</v>
      </c>
      <c r="AY1067" s="50" t="n">
        <f aca="false">IF(BW1067=1,0,ROUNDUP(AX1067/BV1067,0))</f>
        <v>1</v>
      </c>
      <c r="AZ1067" s="52" t="n">
        <f aca="false">IF(CL1067&gt;0,CL1067*MAX(1,AX1067/X1067),IF(BW1067=1,IF(AX1067&lt;=0,0,CA1067*MAX(1,IF(H1067&gt;0,AX1067/H1067,1))),IF(R1067&gt;0,AY1067/R1067,0))/MAX(0.1,N(Parameter!$M$21)))</f>
        <v>0.0384615384615385</v>
      </c>
      <c r="BA1067" s="50" t="n">
        <f aca="false">AZ1067*BY1067</f>
        <v>5.96153846153846</v>
      </c>
      <c r="BB1067" s="50" t="n">
        <f aca="false">AX1067*G1067</f>
        <v>82.4</v>
      </c>
      <c r="BC1067" s="50" t="n">
        <f aca="false">ROUNDUP(MAX(J1067/IF(CD1067&gt;0,CD1067,MAX(0.1,N(Cockpit!$O$6))),CG1067)/BV1067,0)*BV1067</f>
        <v>20</v>
      </c>
      <c r="BD1067" s="51" t="n">
        <f aca="false">IF(BA1067&gt;0,J1067/BA1067,-1)</f>
        <v>0</v>
      </c>
      <c r="BE1067" s="51" t="n">
        <f aca="false">IF(AND(OR(CC1067="L1",CC1067="L23",CC1067="LIFT"),BA1067&gt;0),SUMIFS($BA$7:$BA$1843,$CC$7:$CC$1843,CC1067,$BD$7:$BD$1843,"&gt;"&amp;BD1067)+SUMIFS($BA$7:$BA$1843,$CC$7:$CC$1843,CC1067,$BD$7:$BD$1843,BD1067,$BT$7:$BT$1843,"&lt;="&amp;BT1067),"")</f>
        <v>37443.8394305788</v>
      </c>
      <c r="BF1067" s="58" t="n">
        <f aca="false">IF(BE1067="",0,MAX(0,MIN(1,(IF(CC1067="L1",Parameter!$H$5,IF(CC1067="L23",Parameter!$H$6+Parameter!$H$7,Parameter!$H$5+Parameter!$H$6+Parameter!$H$7))-(BE1067-BA1067))/BA1067)))</f>
        <v>0</v>
      </c>
      <c r="BG1067" s="48" t="str">
        <f aca="false">IF(AI1067&lt;=0,"",IF(CC1067="Aussen","Aussenlager",IF(CC1067="-","Nicht im Lift",IF(AN1067&gt;=1,"Lift",IF(AN1067&lt;=0,"Aussenlager","teilweise")))))</f>
        <v/>
      </c>
      <c r="BH1067" s="48" t="str">
        <f aca="false">IF(AR1067&lt;=0,"",IF(CC1067="Aussen","Aussenlager",IF(CC1067="-","Nicht im Lift",IF(AW1067&gt;=1,"Lift",IF(AW1067&lt;=0,"Aussenlager","teilweise")))))</f>
        <v>Aussenlager</v>
      </c>
      <c r="BI1067" s="48" t="str">
        <f aca="false">IF(BA1067&lt;=0,"",IF(CC1067="Aussen","Aussenlager",IF(CC1067="-","Nicht im Lift",IF(BF1067&gt;=1,"Lift",IF(BF1067&lt;=0,"Aussenlager","teilweise")))))</f>
        <v>Aussenlager</v>
      </c>
      <c r="BJ1067" s="48" t="str">
        <f aca="false">IF(A1067="","",IF(BS1067=1,"Neu; ","")&amp;IF(AND(BS1067=0,BN1067&lt;0),"negativer Bestand (Export "&amp;BN1067&amp;"); ","")&amp;IF(J1067&lt;=0,"Kein Verbrauch; ","")&amp;IF(CL1067&gt;0,"Lift "&amp;W1067&amp;" lt. Liftbericht (Fach "&amp;X1067&amp;" Stk); ",IF(BX1067=1,"Gebinde geschätzt ("&amp;T1067&amp;"); ",IF(BW1067=1,"Lose – Tablare geschätzt; ","")))&amp;IF(H1067&gt;AT1067,"Überbestand "&amp;ROUND(H1067-AT1067,0)&amp;" Stk / CHF "&amp;ROUND((H1067-AT1067)*G1067,0)&amp;"; ","")&amp;IF(AND(CE1067=1,CF1067&lt;CG1067),"MAX &lt; MB+LG; ","")&amp;IF(AND(CK1067&gt;0,CJ1067*10&gt;CK1067),"zu hoch für Tablar; ","")&amp;IF(AND(BS1067=0,OR(CE1067=1,AA1067&lt;&gt;"",U1067&lt;&gt;"",V1067&lt;&gt;"",AB1067&lt;&gt;"")),"manuell übersteuert; ","")&amp;IF(AND(BW1067=0,R1067=0),"Gebinde unbekannt / Stellmass fehlt; ","")&amp;IF(AND(BW1067=0,N(V1067)&lt;=0,N(Q1067)&lt;=0),"Menge pro Gebinde fehlt (Ist = 1 Gebinde); ","")&amp;BR1067)</f>
        <v>negativer Bestand (Export -40); Kein Verbrauch; Gebinde geschätzt (Klein); Menge pro Gebinde fehlt (Ist = 1 Gebinde); </v>
      </c>
      <c r="BK1067" s="48"/>
      <c r="BL1067" s="48"/>
      <c r="BM1067" s="55"/>
      <c r="BN1067" s="50" t="n">
        <v>-40</v>
      </c>
      <c r="BO1067" s="50" t="n">
        <v>40</v>
      </c>
      <c r="BP1067" s="49" t="n">
        <v>-164.8</v>
      </c>
      <c r="BQ1067" s="50" t="n">
        <v>0</v>
      </c>
      <c r="BR1067" s="48"/>
      <c r="BS1067" s="53" t="n">
        <v>0</v>
      </c>
      <c r="BT1067" s="53" t="n">
        <v>1067</v>
      </c>
      <c r="BU1067" s="48" t="str">
        <f aca="false">IF(U1067&lt;&gt;"",UPPER(TRIM(U1067)),IF(BX1067=1,UPPER(VLOOKUP(T1067,Parameter!$I$27:$K$29,2,0)),IF(P1067="","LOSE",P1067)))</f>
        <v>S51</v>
      </c>
      <c r="BV1067" s="50" t="n">
        <f aca="false">IF(BU1067="LOSE",1,IF(N(V1067)&gt;0,V1067,IF(BX1067=1,MAX(1,N(VLOOKUP(T1067,Parameter!$I$27:$K$29,3,0)),H1067,N(N1067)),IF(N(Q1067)&gt;0,Q1067,MAX(1,H1067)))))</f>
        <v>20</v>
      </c>
      <c r="BW1067" s="53" t="n">
        <f aca="false">IF(BU1067="LOSE",1,0)</f>
        <v>0</v>
      </c>
      <c r="BX1067" s="53" t="n">
        <f aca="false">IF(AND(U1067="",OR(P1067="",P1067="LOSE"),T1067&lt;&gt;"",N(S1067)&lt;=0,ISNUMBER(MATCH(T1067,Parameter!$I$27:$I$29,0))),1,0)</f>
        <v>1</v>
      </c>
      <c r="BY1067" s="53" t="n">
        <f aca="false">IF(CL1067&gt;0,INDEX(Parameter!$H$5:$H$7,W1067)/INDEX(Parameter!$E$5:$E$7,W1067),IF(AND(BW1067=0,N(IFERROR(VLOOKUP(BU1067,'Gebinde-Kategorie'!$A$5:$N$45,14,0),0))&gt;0),VLOOKUP(BU1067,'Gebinde-Kategorie'!$A$5:$N$45,14,0)*10+Parameter!$M$23,Parameter!$M$24))</f>
        <v>155</v>
      </c>
      <c r="BZ1067" s="48" t="str">
        <f aca="false">IF(AND(Parameter!$B$19="Ja",E1067&lt;&gt;"",ISNUMBER(MATCH(E1067,Parameter!$I$35:$I$52,0))),VLOOKUP(E1067,Parameter!$I$35:$J$52,2,0),IFERROR(VLOOKUP(D1067,Parameter!$A$35:$C$64,2,0),"Nein"))</f>
        <v>2+3</v>
      </c>
      <c r="CA1067" s="52" t="n">
        <f aca="false">IF(BW1067=0,0,IF(N(S1067)&gt;0,S1067,IFERROR(VLOOKUP(D1067,Parameter!$A$35:$C$64,3,0)+0,0)))</f>
        <v>0</v>
      </c>
      <c r="CB1067" s="48" t="n">
        <f aca="false">IF(AA1067&lt;&gt;"",AA1067,Z1067)</f>
        <v>3</v>
      </c>
      <c r="CC1067" s="48" t="str">
        <f aca="false">IF(OR(CB1067=1,CB1067=2,CB1067=3),IF(Parameter!$E$27="Ja","LIFT",IF(CB1067=1,"L1","L23")),IF(CB1067="Aussen","Aussen","-"))</f>
        <v>LIFT</v>
      </c>
      <c r="CD1067" s="59" t="n">
        <f aca="false">IF(N(AB1067)&gt;0,AB1067,0)</f>
        <v>0</v>
      </c>
      <c r="CE1067" s="53" t="n">
        <f aca="false">IF(ISNUMBER(AE1067),1,0)</f>
        <v>0</v>
      </c>
      <c r="CF1067" s="50" t="n">
        <f aca="false">N(AE1067)</f>
        <v>0</v>
      </c>
      <c r="CG1067" s="50" t="n">
        <f aca="false">N(M1067)+N(N1067)</f>
        <v>1</v>
      </c>
      <c r="CH1067" s="50" t="n">
        <f aca="false">ROUNDUP(H1067/BV1067,0)</f>
        <v>0</v>
      </c>
      <c r="CI1067" s="50" t="n">
        <f aca="false">ROUNDUP(CF1067/BV1067,0)</f>
        <v>0</v>
      </c>
      <c r="CJ1067" s="53" t="n">
        <f aca="false">IF(BW1067=1,0,IFERROR(VLOOKUP(BU1067,'Gebinde-Kategorie'!$A$5:$N$45,5,0)+0,0))</f>
        <v>11</v>
      </c>
      <c r="CK1067" s="53" t="n">
        <f aca="false">IFERROR(IF(OR(CB1067=1,CB1067=2,CB1067=3),N(INDEX(Parameter!$I$5:$I$7,CB1067)),0),0)</f>
        <v>0</v>
      </c>
      <c r="CL1067" s="52" t="n">
        <f aca="false">IF(AND(Parameter!$B$21="Ja",ISNUMBER(W1067),N(X1067)&gt;0),IFERROR(N(INDEX(Parameter!$L$5:$L$7,W1067))*INDEX(Parameter!$E$5:$E$7,W1067)*X1067/SUMIFS($X$7:$X$1843,$W$7:$W$1843,W1067),0),0)</f>
        <v>0</v>
      </c>
    </row>
    <row r="1068" customFormat="false" ht="15" hidden="false" customHeight="false" outlineLevel="0" collapsed="false">
      <c r="A1068" s="48" t="s">
        <v>1955</v>
      </c>
      <c r="B1068" s="48" t="s">
        <v>548</v>
      </c>
      <c r="C1068" s="48" t="s">
        <v>168</v>
      </c>
      <c r="D1068" s="48" t="s">
        <v>188</v>
      </c>
      <c r="E1068" s="48" t="s">
        <v>189</v>
      </c>
      <c r="F1068" s="48" t="s">
        <v>222</v>
      </c>
      <c r="G1068" s="49" t="n">
        <v>21.16</v>
      </c>
      <c r="H1068" s="50" t="n">
        <f aca="false">MAX(0,IF(AND(Parameter!$B$21="Ja",ISNUMBER(Y1068)),Y1068,IF(Parameter!$B$20="Jahresanfang 2025 + Export",BO1068+BN1068,BN1068)))</f>
        <v>3</v>
      </c>
      <c r="I1068" s="50" t="n">
        <f aca="false">H1068*G1068</f>
        <v>63.48</v>
      </c>
      <c r="J1068" s="50" t="n">
        <f aca="false">BQ1068*Parameter!$B$18</f>
        <v>14</v>
      </c>
      <c r="K1068" s="51" t="n">
        <v>9</v>
      </c>
      <c r="L1068" s="52" t="n">
        <v>1.55555555555556</v>
      </c>
      <c r="M1068" s="50" t="n">
        <v>0</v>
      </c>
      <c r="N1068" s="50" t="n">
        <v>15</v>
      </c>
      <c r="O1068" s="53" t="n">
        <v>21</v>
      </c>
      <c r="P1068" s="48" t="s">
        <v>425</v>
      </c>
      <c r="Q1068" s="50" t="n">
        <v>24</v>
      </c>
      <c r="R1068" s="53" t="n">
        <f aca="false">IF(BW1068=1,0,IFERROR(VLOOKUP(BU1068,'Gebinde-Kategorie'!$A$5:$N$45,13,0)+0,0))</f>
        <v>104</v>
      </c>
      <c r="S1068" s="54"/>
      <c r="T1068" s="55"/>
      <c r="U1068" s="55"/>
      <c r="V1068" s="55"/>
      <c r="W1068" s="48"/>
      <c r="X1068" s="50"/>
      <c r="Y1068" s="50"/>
      <c r="Z1068" s="48" t="n">
        <f aca="false">IF(A1068="","",IF(AND(Parameter!$B$21="Ja",ISNUMBER(W1068)),W1068,IF(BZ1068="2+3",IF(ISNUMBER(SEARCH("grosser Artikel",BR1068)),2,IFERROR(VLOOKUP(BU1068,Parameter!$F$35:$G$64,2,0),2)),IF(OR(BZ1068="Nein",BZ1068=""),"-",BZ1068))))</f>
        <v>3</v>
      </c>
      <c r="AA1068" s="55"/>
      <c r="AB1068" s="56"/>
      <c r="AC1068" s="50" t="n">
        <f aca="false">AT1068</f>
        <v>24</v>
      </c>
      <c r="AD1068" s="50" t="n">
        <f aca="false">MAX(AT1068,H1068)</f>
        <v>24</v>
      </c>
      <c r="AE1068" s="57"/>
      <c r="AF1068" s="50" t="n">
        <f aca="false">IF(LEFT(Cockpit!$C$5,1)="A",H1068,IF(CE1068=1,CF1068,IF(LEFT(Cockpit!$C$5,1)="B",AK1068,MAX(AK1068,H1068))))</f>
        <v>3</v>
      </c>
      <c r="AG1068" s="50" t="n">
        <f aca="false">IF(BW1068=1,0,ROUNDUP(AF1068/BV1068,0))</f>
        <v>1</v>
      </c>
      <c r="AH1068" s="52" t="n">
        <f aca="false">IF(CL1068&gt;0,CL1068*MAX(1,AF1068/X1068),IF(BW1068=1,IF(AF1068&lt;=0,0,CA1068*MAX(1,IF(H1068&gt;0,AF1068/H1068,1))),IF(R1068&gt;0,AG1068/R1068,0))/MAX(0.1,N(Parameter!$M$21)))</f>
        <v>0.00961538461538462</v>
      </c>
      <c r="AI1068" s="50" t="n">
        <f aca="false">AH1068*BY1068</f>
        <v>1.49038461538462</v>
      </c>
      <c r="AJ1068" s="50" t="n">
        <f aca="false">AF1068*G1068</f>
        <v>63.48</v>
      </c>
      <c r="AK1068" s="50" t="n">
        <f aca="false">ROUNDUP(MAX(J1068/IF(CD1068&gt;0,CD1068,MAX(0.1,N(Cockpit!$C$6))),CG1068)/BV1068,0)*BV1068</f>
        <v>24</v>
      </c>
      <c r="AL1068" s="51" t="n">
        <f aca="false">IF(AI1068&gt;0,J1068/AI1068,-1)</f>
        <v>9.39354838709677</v>
      </c>
      <c r="AM1068" s="51" t="n">
        <f aca="false">IF(AND(OR(CC1068="L1",CC1068="L23",CC1068="LIFT"),AI1068&gt;0),SUMIFS($AI$7:$AI$1843,$CC$7:$CC$1843,CC1068,$AL$7:$AL$1843,"&gt;"&amp;AL1068)+SUMIFS($AI$7:$AI$1843,$CC$7:$CC$1843,CC1068,$AL$7:$AL$1843,AL1068,$BT$7:$BT$1843,"&lt;="&amp;BT1068),"")</f>
        <v>2919.12087912088</v>
      </c>
      <c r="AN1068" s="58" t="n">
        <f aca="false">IF(AM1068="",0,MAX(0,MIN(1,(IF(CC1068="L1",Parameter!$H$5,IF(CC1068="L23",Parameter!$H$6+Parameter!$H$7,Parameter!$H$5+Parameter!$H$6+Parameter!$H$7))-(AM1068-AI1068))/AI1068)))</f>
        <v>1</v>
      </c>
      <c r="AO1068" s="50" t="n">
        <f aca="false">IF(LEFT(Cockpit!$I$5,1)="A",H1068,IF(CE1068=1,CF1068,IF(LEFT(Cockpit!$I$5,1)="B",AT1068,MAX(AT1068,H1068))))</f>
        <v>24</v>
      </c>
      <c r="AP1068" s="50" t="n">
        <f aca="false">IF(BW1068=1,0,ROUNDUP(AO1068/BV1068,0))</f>
        <v>1</v>
      </c>
      <c r="AQ1068" s="52" t="n">
        <f aca="false">IF(CL1068&gt;0,CL1068*MAX(1,AO1068/X1068),IF(BW1068=1,IF(AO1068&lt;=0,0,CA1068*MAX(1,IF(H1068&gt;0,AO1068/H1068,1))),IF(R1068&gt;0,AP1068/R1068,0))/MAX(0.1,N(Parameter!$M$21)))</f>
        <v>0.00961538461538462</v>
      </c>
      <c r="AR1068" s="50" t="n">
        <f aca="false">AQ1068*BY1068</f>
        <v>1.49038461538462</v>
      </c>
      <c r="AS1068" s="50" t="n">
        <f aca="false">AO1068*G1068</f>
        <v>507.84</v>
      </c>
      <c r="AT1068" s="50" t="n">
        <f aca="false">ROUNDUP(MAX(J1068/IF(CD1068&gt;0,CD1068,MAX(0.1,N(Cockpit!$I$6))),CG1068)/BV1068,0)*BV1068</f>
        <v>24</v>
      </c>
      <c r="AU1068" s="51" t="n">
        <f aca="false">IF(AR1068&gt;0,J1068/AR1068,-1)</f>
        <v>9.39354838709677</v>
      </c>
      <c r="AV1068" s="51" t="n">
        <f aca="false">IF(AND(OR(CC1068="L1",CC1068="L23",CC1068="LIFT"),AR1068&gt;0),SUMIFS($AR$7:$AR$1843,$CC$7:$CC$1843,CC1068,$AU$7:$AU$1843,"&gt;"&amp;AU1068)+SUMIFS($AR$7:$AR$1843,$CC$7:$CC$1843,CC1068,$AU$7:$AU$1843,AU1068,$BT$7:$BT$1843,"&lt;="&amp;BT1068),"")</f>
        <v>4139.36034798535</v>
      </c>
      <c r="AW1068" s="58" t="n">
        <f aca="false">IF(AV1068="",0,MAX(0,MIN(1,(IF(CC1068="L1",Parameter!$H$5,IF(CC1068="L23",Parameter!$H$6+Parameter!$H$7,Parameter!$H$5+Parameter!$H$6+Parameter!$H$7))-(AV1068-AR1068))/AR1068)))</f>
        <v>1</v>
      </c>
      <c r="AX1068" s="50" t="n">
        <f aca="false">IF(LEFT(Cockpit!$O$5,1)="A",H1068,IF(CE1068=1,CF1068,IF(LEFT(Cockpit!$O$5,1)="B",BC1068,MAX(BC1068,H1068))))</f>
        <v>24</v>
      </c>
      <c r="AY1068" s="50" t="n">
        <f aca="false">IF(BW1068=1,0,ROUNDUP(AX1068/BV1068,0))</f>
        <v>1</v>
      </c>
      <c r="AZ1068" s="52" t="n">
        <f aca="false">IF(CL1068&gt;0,CL1068*MAX(1,AX1068/X1068),IF(BW1068=1,IF(AX1068&lt;=0,0,CA1068*MAX(1,IF(H1068&gt;0,AX1068/H1068,1))),IF(R1068&gt;0,AY1068/R1068,0))/MAX(0.1,N(Parameter!$M$21)))</f>
        <v>0.00961538461538462</v>
      </c>
      <c r="BA1068" s="50" t="n">
        <f aca="false">AZ1068*BY1068</f>
        <v>1.49038461538462</v>
      </c>
      <c r="BB1068" s="50" t="n">
        <f aca="false">AX1068*G1068</f>
        <v>507.84</v>
      </c>
      <c r="BC1068" s="50" t="n">
        <f aca="false">ROUNDUP(MAX(J1068/IF(CD1068&gt;0,CD1068,MAX(0.1,N(Cockpit!$O$6))),CG1068)/BV1068,0)*BV1068</f>
        <v>24</v>
      </c>
      <c r="BD1068" s="51" t="n">
        <f aca="false">IF(BA1068&gt;0,J1068/BA1068,-1)</f>
        <v>9.39354838709677</v>
      </c>
      <c r="BE1068" s="51" t="n">
        <f aca="false">IF(AND(OR(CC1068="L1",CC1068="L23",CC1068="LIFT"),BA1068&gt;0),SUMIFS($BA$7:$BA$1843,$CC$7:$CC$1843,CC1068,$BD$7:$BD$1843,"&gt;"&amp;BD1068)+SUMIFS($BA$7:$BA$1843,$CC$7:$CC$1843,CC1068,$BD$7:$BD$1843,BD1068,$BT$7:$BT$1843,"&lt;="&amp;BT1068),"")</f>
        <v>3797.48534798535</v>
      </c>
      <c r="BF1068" s="58" t="n">
        <f aca="false">IF(BE1068="",0,MAX(0,MIN(1,(IF(CC1068="L1",Parameter!$H$5,IF(CC1068="L23",Parameter!$H$6+Parameter!$H$7,Parameter!$H$5+Parameter!$H$6+Parameter!$H$7))-(BE1068-BA1068))/BA1068)))</f>
        <v>1</v>
      </c>
      <c r="BG1068" s="48" t="str">
        <f aca="false">IF(AI1068&lt;=0,"",IF(CC1068="Aussen","Aussenlager",IF(CC1068="-","Nicht im Lift",IF(AN1068&gt;=1,"Lift",IF(AN1068&lt;=0,"Aussenlager","teilweise")))))</f>
        <v>Lift</v>
      </c>
      <c r="BH1068" s="48" t="str">
        <f aca="false">IF(AR1068&lt;=0,"",IF(CC1068="Aussen","Aussenlager",IF(CC1068="-","Nicht im Lift",IF(AW1068&gt;=1,"Lift",IF(AW1068&lt;=0,"Aussenlager","teilweise")))))</f>
        <v>Lift</v>
      </c>
      <c r="BI1068" s="48" t="str">
        <f aca="false">IF(BA1068&lt;=0,"",IF(CC1068="Aussen","Aussenlager",IF(CC1068="-","Nicht im Lift",IF(BF1068&gt;=1,"Lift",IF(BF1068&lt;=0,"Aussenlager","teilweise")))))</f>
        <v>Lift</v>
      </c>
      <c r="BJ1068" s="48" t="str">
        <f aca="false">IF(A1068="","",IF(BS1068=1,"Neu; ","")&amp;IF(AND(BS1068=0,BN1068&lt;0),"negativer Bestand (Export "&amp;BN1068&amp;"); ","")&amp;IF(J1068&lt;=0,"Kein Verbrauch; ","")&amp;IF(CL1068&gt;0,"Lift "&amp;W1068&amp;" lt. Liftbericht (Fach "&amp;X1068&amp;" Stk); ",IF(BX1068=1,"Gebinde geschätzt ("&amp;T1068&amp;"); ",IF(BW1068=1,"Lose – Tablare geschätzt; ","")))&amp;IF(H1068&gt;AT1068,"Überbestand "&amp;ROUND(H1068-AT1068,0)&amp;" Stk / CHF "&amp;ROUND((H1068-AT1068)*G1068,0)&amp;"; ","")&amp;IF(AND(CE1068=1,CF1068&lt;CG1068),"MAX &lt; MB+LG; ","")&amp;IF(AND(CK1068&gt;0,CJ1068*10&gt;CK1068),"zu hoch für Tablar; ","")&amp;IF(AND(BS1068=0,OR(CE1068=1,AA1068&lt;&gt;"",U1068&lt;&gt;"",V1068&lt;&gt;"",AB1068&lt;&gt;"")),"manuell übersteuert; ","")&amp;IF(AND(BW1068=0,R1068=0),"Gebinde unbekannt / Stellmass fehlt; ","")&amp;IF(AND(BW1068=0,N(V1068)&lt;=0,N(Q1068)&lt;=0),"Menge pro Gebinde fehlt (Ist = 1 Gebinde); ","")&amp;BR1068)</f>
        <v>negativer Bestand (Export -8); </v>
      </c>
      <c r="BK1068" s="48"/>
      <c r="BL1068" s="48"/>
      <c r="BM1068" s="55"/>
      <c r="BN1068" s="50" t="n">
        <v>-8</v>
      </c>
      <c r="BO1068" s="50" t="n">
        <v>11</v>
      </c>
      <c r="BP1068" s="49" t="n">
        <v>-166.2</v>
      </c>
      <c r="BQ1068" s="50" t="n">
        <v>14</v>
      </c>
      <c r="BR1068" s="48"/>
      <c r="BS1068" s="53" t="n">
        <v>0</v>
      </c>
      <c r="BT1068" s="53" t="n">
        <v>1068</v>
      </c>
      <c r="BU1068" s="48" t="str">
        <f aca="false">IF(U1068&lt;&gt;"",UPPER(TRIM(U1068)),IF(BX1068=1,UPPER(VLOOKUP(T1068,Parameter!$I$27:$K$29,2,0)),IF(P1068="","LOSE",P1068)))</f>
        <v>S32</v>
      </c>
      <c r="BV1068" s="50" t="n">
        <f aca="false">IF(BU1068="LOSE",1,IF(N(V1068)&gt;0,V1068,IF(BX1068=1,MAX(1,N(VLOOKUP(T1068,Parameter!$I$27:$K$29,3,0)),H1068,N(N1068)),IF(N(Q1068)&gt;0,Q1068,MAX(1,H1068)))))</f>
        <v>24</v>
      </c>
      <c r="BW1068" s="53" t="n">
        <f aca="false">IF(BU1068="LOSE",1,0)</f>
        <v>0</v>
      </c>
      <c r="BX1068" s="53" t="n">
        <f aca="false">IF(AND(U1068="",OR(P1068="",P1068="LOSE"),T1068&lt;&gt;"",N(S1068)&lt;=0,ISNUMBER(MATCH(T1068,Parameter!$I$27:$I$29,0))),1,0)</f>
        <v>0</v>
      </c>
      <c r="BY1068" s="53" t="n">
        <f aca="false">IF(CL1068&gt;0,INDEX(Parameter!$H$5:$H$7,W1068)/INDEX(Parameter!$E$5:$E$7,W1068),IF(AND(BW1068=0,N(IFERROR(VLOOKUP(BU1068,'Gebinde-Kategorie'!$A$5:$N$45,14,0),0))&gt;0),VLOOKUP(BU1068,'Gebinde-Kategorie'!$A$5:$N$45,14,0)*10+Parameter!$M$23,Parameter!$M$24))</f>
        <v>155</v>
      </c>
      <c r="BZ1068" s="48" t="str">
        <f aca="false">IF(AND(Parameter!$B$19="Ja",E1068&lt;&gt;"",ISNUMBER(MATCH(E1068,Parameter!$I$35:$I$52,0))),VLOOKUP(E1068,Parameter!$I$35:$J$52,2,0),IFERROR(VLOOKUP(D1068,Parameter!$A$35:$C$64,2,0),"Nein"))</f>
        <v>2+3</v>
      </c>
      <c r="CA1068" s="52" t="n">
        <f aca="false">IF(BW1068=0,0,IF(N(S1068)&gt;0,S1068,IFERROR(VLOOKUP(D1068,Parameter!$A$35:$C$64,3,0)+0,0)))</f>
        <v>0</v>
      </c>
      <c r="CB1068" s="48" t="n">
        <f aca="false">IF(AA1068&lt;&gt;"",AA1068,Z1068)</f>
        <v>3</v>
      </c>
      <c r="CC1068" s="48" t="str">
        <f aca="false">IF(OR(CB1068=1,CB1068=2,CB1068=3),IF(Parameter!$E$27="Ja","LIFT",IF(CB1068=1,"L1","L23")),IF(CB1068="Aussen","Aussen","-"))</f>
        <v>LIFT</v>
      </c>
      <c r="CD1068" s="59" t="n">
        <f aca="false">IF(N(AB1068)&gt;0,AB1068,0)</f>
        <v>0</v>
      </c>
      <c r="CE1068" s="53" t="n">
        <f aca="false">IF(ISNUMBER(AE1068),1,0)</f>
        <v>0</v>
      </c>
      <c r="CF1068" s="50" t="n">
        <f aca="false">N(AE1068)</f>
        <v>0</v>
      </c>
      <c r="CG1068" s="50" t="n">
        <f aca="false">N(M1068)+N(N1068)</f>
        <v>15</v>
      </c>
      <c r="CH1068" s="50" t="n">
        <f aca="false">ROUNDUP(H1068/BV1068,0)</f>
        <v>1</v>
      </c>
      <c r="CI1068" s="50" t="n">
        <f aca="false">ROUNDUP(CF1068/BV1068,0)</f>
        <v>0</v>
      </c>
      <c r="CJ1068" s="53" t="n">
        <f aca="false">IF(BW1068=1,0,IFERROR(VLOOKUP(BU1068,'Gebinde-Kategorie'!$A$5:$N$45,5,0)+0,0))</f>
        <v>8</v>
      </c>
      <c r="CK1068" s="53" t="n">
        <f aca="false">IFERROR(IF(OR(CB1068=1,CB1068=2,CB1068=3),N(INDEX(Parameter!$I$5:$I$7,CB1068)),0),0)</f>
        <v>0</v>
      </c>
      <c r="CL1068" s="52" t="n">
        <f aca="false">IF(AND(Parameter!$B$21="Ja",ISNUMBER(W1068),N(X1068)&gt;0),IFERROR(N(INDEX(Parameter!$L$5:$L$7,W1068))*INDEX(Parameter!$E$5:$E$7,W1068)*X1068/SUMIFS($X$7:$X$1843,$W$7:$W$1843,W1068),0),0)</f>
        <v>0</v>
      </c>
    </row>
    <row r="1069" customFormat="false" ht="15" hidden="false" customHeight="false" outlineLevel="0" collapsed="false">
      <c r="A1069" s="48" t="s">
        <v>1956</v>
      </c>
      <c r="B1069" s="48" t="s">
        <v>1957</v>
      </c>
      <c r="C1069" s="48" t="s">
        <v>168</v>
      </c>
      <c r="D1069" s="48" t="s">
        <v>188</v>
      </c>
      <c r="E1069" s="48"/>
      <c r="F1069" s="48" t="s">
        <v>222</v>
      </c>
      <c r="G1069" s="49" t="n">
        <v>11.9</v>
      </c>
      <c r="H1069" s="50" t="n">
        <f aca="false">MAX(0,IF(AND(Parameter!$B$21="Ja",ISNUMBER(Y1069)),Y1069,IF(Parameter!$B$20="Jahresanfang 2025 + Export",BO1069+BN1069,BN1069)))</f>
        <v>161</v>
      </c>
      <c r="I1069" s="50" t="n">
        <f aca="false">H1069*G1069</f>
        <v>1915.9</v>
      </c>
      <c r="J1069" s="50" t="n">
        <f aca="false">BQ1069*Parameter!$B$18</f>
        <v>3</v>
      </c>
      <c r="K1069" s="51" t="n">
        <v>169.5</v>
      </c>
      <c r="L1069" s="52" t="n">
        <v>0.0176991150442478</v>
      </c>
      <c r="M1069" s="50" t="n">
        <v>0</v>
      </c>
      <c r="N1069" s="50" t="n">
        <v>5</v>
      </c>
      <c r="O1069" s="53" t="n">
        <v>42</v>
      </c>
      <c r="P1069" s="48" t="s">
        <v>190</v>
      </c>
      <c r="Q1069" s="50" t="n">
        <v>160</v>
      </c>
      <c r="R1069" s="53" t="n">
        <f aca="false">IF(BW1069=1,0,IFERROR(VLOOKUP(BU1069,'Gebinde-Kategorie'!$A$5:$N$45,13,0)+0,0))</f>
        <v>12</v>
      </c>
      <c r="S1069" s="54"/>
      <c r="T1069" s="55"/>
      <c r="U1069" s="55"/>
      <c r="V1069" s="55"/>
      <c r="W1069" s="48"/>
      <c r="X1069" s="50"/>
      <c r="Y1069" s="50"/>
      <c r="Z1069" s="48" t="n">
        <f aca="false">IF(A1069="","",IF(AND(Parameter!$B$21="Ja",ISNUMBER(W1069)),W1069,IF(BZ1069="2+3",IF(ISNUMBER(SEARCH("grosser Artikel",BR1069)),2,IFERROR(VLOOKUP(BU1069,Parameter!$F$35:$G$64,2,0),2)),IF(OR(BZ1069="Nein",BZ1069=""),"-",BZ1069))))</f>
        <v>2</v>
      </c>
      <c r="AA1069" s="55"/>
      <c r="AB1069" s="56"/>
      <c r="AC1069" s="50" t="n">
        <f aca="false">AT1069</f>
        <v>160</v>
      </c>
      <c r="AD1069" s="50" t="n">
        <f aca="false">MAX(AT1069,H1069)</f>
        <v>161</v>
      </c>
      <c r="AE1069" s="57"/>
      <c r="AF1069" s="50" t="n">
        <f aca="false">IF(LEFT(Cockpit!$C$5,1)="A",H1069,IF(CE1069=1,CF1069,IF(LEFT(Cockpit!$C$5,1)="B",AK1069,MAX(AK1069,H1069))))</f>
        <v>161</v>
      </c>
      <c r="AG1069" s="50" t="n">
        <f aca="false">IF(BW1069=1,0,ROUNDUP(AF1069/BV1069,0))</f>
        <v>2</v>
      </c>
      <c r="AH1069" s="52" t="n">
        <f aca="false">IF(CL1069&gt;0,CL1069*MAX(1,AF1069/X1069),IF(BW1069=1,IF(AF1069&lt;=0,0,CA1069*MAX(1,IF(H1069&gt;0,AF1069/H1069,1))),IF(R1069&gt;0,AG1069/R1069,0))/MAX(0.1,N(Parameter!$M$21)))</f>
        <v>0.166666666666667</v>
      </c>
      <c r="AI1069" s="50" t="n">
        <f aca="false">AH1069*BY1069</f>
        <v>24.1666666666667</v>
      </c>
      <c r="AJ1069" s="50" t="n">
        <f aca="false">AF1069*G1069</f>
        <v>1915.9</v>
      </c>
      <c r="AK1069" s="50" t="n">
        <f aca="false">ROUNDUP(MAX(J1069/IF(CD1069&gt;0,CD1069,MAX(0.1,N(Cockpit!$C$6))),CG1069)/BV1069,0)*BV1069</f>
        <v>160</v>
      </c>
      <c r="AL1069" s="51" t="n">
        <f aca="false">IF(AI1069&gt;0,J1069/AI1069,-1)</f>
        <v>0.124137931034483</v>
      </c>
      <c r="AM1069" s="51" t="n">
        <f aca="false">IF(AND(OR(CC1069="L1",CC1069="L23",CC1069="LIFT"),AI1069&gt;0),SUMIFS($AI$7:$AI$1843,$CC$7:$CC$1843,CC1069,$AL$7:$AL$1843,"&gt;"&amp;AL1069)+SUMIFS($AI$7:$AI$1843,$CC$7:$CC$1843,CC1069,$AL$7:$AL$1843,AL1069,$BT$7:$BT$1843,"&lt;="&amp;BT1069),"")</f>
        <v>14116.2866688396</v>
      </c>
      <c r="AN1069" s="58" t="n">
        <f aca="false">IF(AM1069="",0,MAX(0,MIN(1,(IF(CC1069="L1",Parameter!$H$5,IF(CC1069="L23",Parameter!$H$6+Parameter!$H$7,Parameter!$H$5+Parameter!$H$6+Parameter!$H$7))-(AM1069-AI1069))/AI1069)))</f>
        <v>1</v>
      </c>
      <c r="AO1069" s="50" t="n">
        <f aca="false">IF(LEFT(Cockpit!$I$5,1)="A",H1069,IF(CE1069=1,CF1069,IF(LEFT(Cockpit!$I$5,1)="B",AT1069,MAX(AT1069,H1069))))</f>
        <v>161</v>
      </c>
      <c r="AP1069" s="50" t="n">
        <f aca="false">IF(BW1069=1,0,ROUNDUP(AO1069/BV1069,0))</f>
        <v>2</v>
      </c>
      <c r="AQ1069" s="52" t="n">
        <f aca="false">IF(CL1069&gt;0,CL1069*MAX(1,AO1069/X1069),IF(BW1069=1,IF(AO1069&lt;=0,0,CA1069*MAX(1,IF(H1069&gt;0,AO1069/H1069,1))),IF(R1069&gt;0,AP1069/R1069,0))/MAX(0.1,N(Parameter!$M$21)))</f>
        <v>0.166666666666667</v>
      </c>
      <c r="AR1069" s="50" t="n">
        <f aca="false">AQ1069*BY1069</f>
        <v>24.1666666666667</v>
      </c>
      <c r="AS1069" s="50" t="n">
        <f aca="false">AO1069*G1069</f>
        <v>1915.9</v>
      </c>
      <c r="AT1069" s="50" t="n">
        <f aca="false">ROUNDUP(MAX(J1069/IF(CD1069&gt;0,CD1069,MAX(0.1,N(Cockpit!$I$6))),CG1069)/BV1069,0)*BV1069</f>
        <v>160</v>
      </c>
      <c r="AU1069" s="51" t="n">
        <f aca="false">IF(AR1069&gt;0,J1069/AR1069,-1)</f>
        <v>0.124137931034483</v>
      </c>
      <c r="AV1069" s="51" t="n">
        <f aca="false">IF(AND(OR(CC1069="L1",CC1069="L23",CC1069="LIFT"),AR1069&gt;0),SUMIFS($AR$7:$AR$1843,$CC$7:$CC$1843,CC1069,$AU$7:$AU$1843,"&gt;"&amp;AU1069)+SUMIFS($AR$7:$AR$1843,$CC$7:$CC$1843,CC1069,$AU$7:$AU$1843,AU1069,$BT$7:$BT$1843,"&lt;="&amp;BT1069),"")</f>
        <v>20212.3466117216</v>
      </c>
      <c r="AW1069" s="58" t="n">
        <f aca="false">IF(AV1069="",0,MAX(0,MIN(1,(IF(CC1069="L1",Parameter!$H$5,IF(CC1069="L23",Parameter!$H$6+Parameter!$H$7,Parameter!$H$5+Parameter!$H$6+Parameter!$H$7))-(AV1069-AR1069))/AR1069)))</f>
        <v>1</v>
      </c>
      <c r="AX1069" s="50" t="n">
        <f aca="false">IF(LEFT(Cockpit!$O$5,1)="A",H1069,IF(CE1069=1,CF1069,IF(LEFT(Cockpit!$O$5,1)="B",BC1069,MAX(BC1069,H1069))))</f>
        <v>161</v>
      </c>
      <c r="AY1069" s="50" t="n">
        <f aca="false">IF(BW1069=1,0,ROUNDUP(AX1069/BV1069,0))</f>
        <v>2</v>
      </c>
      <c r="AZ1069" s="52" t="n">
        <f aca="false">IF(CL1069&gt;0,CL1069*MAX(1,AX1069/X1069),IF(BW1069=1,IF(AX1069&lt;=0,0,CA1069*MAX(1,IF(H1069&gt;0,AX1069/H1069,1))),IF(R1069&gt;0,AY1069/R1069,0))/MAX(0.1,N(Parameter!$M$21)))</f>
        <v>0.166666666666667</v>
      </c>
      <c r="BA1069" s="50" t="n">
        <f aca="false">AZ1069*BY1069</f>
        <v>24.1666666666667</v>
      </c>
      <c r="BB1069" s="50" t="n">
        <f aca="false">AX1069*G1069</f>
        <v>1915.9</v>
      </c>
      <c r="BC1069" s="50" t="n">
        <f aca="false">ROUNDUP(MAX(J1069/IF(CD1069&gt;0,CD1069,MAX(0.1,N(Cockpit!$O$6))),CG1069)/BV1069,0)*BV1069</f>
        <v>160</v>
      </c>
      <c r="BD1069" s="51" t="n">
        <f aca="false">IF(BA1069&gt;0,J1069/BA1069,-1)</f>
        <v>0.124137931034483</v>
      </c>
      <c r="BE1069" s="51" t="n">
        <f aca="false">IF(AND(OR(CC1069="L1",CC1069="L23",CC1069="LIFT"),BA1069&gt;0),SUMIFS($BA$7:$BA$1843,$CC$7:$CC$1843,CC1069,$BD$7:$BD$1843,"&gt;"&amp;BD1069)+SUMIFS($BA$7:$BA$1843,$CC$7:$CC$1843,CC1069,$BD$7:$BD$1843,BD1069,$BT$7:$BT$1843,"&lt;="&amp;BT1069),"")</f>
        <v>20052.8812524575</v>
      </c>
      <c r="BF1069" s="58" t="n">
        <f aca="false">IF(BE1069="",0,MAX(0,MIN(1,(IF(CC1069="L1",Parameter!$H$5,IF(CC1069="L23",Parameter!$H$6+Parameter!$H$7,Parameter!$H$5+Parameter!$H$6+Parameter!$H$7))-(BE1069-BA1069))/BA1069)))</f>
        <v>1</v>
      </c>
      <c r="BG1069" s="48" t="str">
        <f aca="false">IF(AI1069&lt;=0,"",IF(CC1069="Aussen","Aussenlager",IF(CC1069="-","Nicht im Lift",IF(AN1069&gt;=1,"Lift",IF(AN1069&lt;=0,"Aussenlager","teilweise")))))</f>
        <v>Lift</v>
      </c>
      <c r="BH1069" s="48" t="str">
        <f aca="false">IF(AR1069&lt;=0,"",IF(CC1069="Aussen","Aussenlager",IF(CC1069="-","Nicht im Lift",IF(AW1069&gt;=1,"Lift",IF(AW1069&lt;=0,"Aussenlager","teilweise")))))</f>
        <v>Lift</v>
      </c>
      <c r="BI1069" s="48" t="str">
        <f aca="false">IF(BA1069&lt;=0,"",IF(CC1069="Aussen","Aussenlager",IF(CC1069="-","Nicht im Lift",IF(BF1069&gt;=1,"Lift",IF(BF1069&lt;=0,"Aussenlager","teilweise")))))</f>
        <v>Lift</v>
      </c>
      <c r="BJ1069" s="48" t="str">
        <f aca="false">IF(A1069="","",IF(BS1069=1,"Neu; ","")&amp;IF(AND(BS1069=0,BN1069&lt;0),"negativer Bestand (Export "&amp;BN1069&amp;"); ","")&amp;IF(J1069&lt;=0,"Kein Verbrauch; ","")&amp;IF(CL1069&gt;0,"Lift "&amp;W1069&amp;" lt. Liftbericht (Fach "&amp;X1069&amp;" Stk); ",IF(BX1069=1,"Gebinde geschätzt ("&amp;T1069&amp;"); ",IF(BW1069=1,"Lose – Tablare geschätzt; ","")))&amp;IF(H1069&gt;AT1069,"Überbestand "&amp;ROUND(H1069-AT1069,0)&amp;" Stk / CHF "&amp;ROUND((H1069-AT1069)*G1069,0)&amp;"; ","")&amp;IF(AND(CE1069=1,CF1069&lt;CG1069),"MAX &lt; MB+LG; ","")&amp;IF(AND(CK1069&gt;0,CJ1069*10&gt;CK1069),"zu hoch für Tablar; ","")&amp;IF(AND(BS1069=0,OR(CE1069=1,AA1069&lt;&gt;"",U1069&lt;&gt;"",V1069&lt;&gt;"",AB1069&lt;&gt;"")),"manuell übersteuert; ","")&amp;IF(AND(BW1069=0,R1069=0),"Gebinde unbekannt / Stellmass fehlt; ","")&amp;IF(AND(BW1069=0,N(V1069)&lt;=0,N(Q1069)&lt;=0),"Menge pro Gebinde fehlt (Ist = 1 Gebinde); ","")&amp;BR1069)</f>
        <v>negativer Bestand (Export -14); Überbestand 1 Stk / CHF 12; überbestand</v>
      </c>
      <c r="BK1069" s="48"/>
      <c r="BL1069" s="48"/>
      <c r="BM1069" s="55"/>
      <c r="BN1069" s="50" t="n">
        <v>-14</v>
      </c>
      <c r="BO1069" s="50" t="n">
        <v>175</v>
      </c>
      <c r="BP1069" s="49" t="n">
        <v>-166.6</v>
      </c>
      <c r="BQ1069" s="50" t="n">
        <v>3</v>
      </c>
      <c r="BR1069" s="48" t="s">
        <v>1254</v>
      </c>
      <c r="BS1069" s="53" t="n">
        <v>0</v>
      </c>
      <c r="BT1069" s="53" t="n">
        <v>1069</v>
      </c>
      <c r="BU1069" s="48" t="str">
        <f aca="false">IF(U1069&lt;&gt;"",UPPER(TRIM(U1069)),IF(BX1069=1,UPPER(VLOOKUP(T1069,Parameter!$I$27:$K$29,2,0)),IF(P1069="","LOSE",P1069)))</f>
        <v>S61</v>
      </c>
      <c r="BV1069" s="50" t="n">
        <f aca="false">IF(BU1069="LOSE",1,IF(N(V1069)&gt;0,V1069,IF(BX1069=1,MAX(1,N(VLOOKUP(T1069,Parameter!$I$27:$K$29,3,0)),H1069,N(N1069)),IF(N(Q1069)&gt;0,Q1069,MAX(1,H1069)))))</f>
        <v>160</v>
      </c>
      <c r="BW1069" s="53" t="n">
        <f aca="false">IF(BU1069="LOSE",1,0)</f>
        <v>0</v>
      </c>
      <c r="BX1069" s="53" t="n">
        <f aca="false">IF(AND(U1069="",OR(P1069="",P1069="LOSE"),T1069&lt;&gt;"",N(S1069)&lt;=0,ISNUMBER(MATCH(T1069,Parameter!$I$27:$I$29,0))),1,0)</f>
        <v>0</v>
      </c>
      <c r="BY1069" s="53" t="n">
        <f aca="false">IF(CL1069&gt;0,INDEX(Parameter!$H$5:$H$7,W1069)/INDEX(Parameter!$E$5:$E$7,W1069),IF(AND(BW1069=0,N(IFERROR(VLOOKUP(BU1069,'Gebinde-Kategorie'!$A$5:$N$45,14,0),0))&gt;0),VLOOKUP(BU1069,'Gebinde-Kategorie'!$A$5:$N$45,14,0)*10+Parameter!$M$23,Parameter!$M$24))</f>
        <v>145</v>
      </c>
      <c r="BZ1069" s="48" t="str">
        <f aca="false">IF(AND(Parameter!$B$19="Ja",E1069&lt;&gt;"",ISNUMBER(MATCH(E1069,Parameter!$I$35:$I$52,0))),VLOOKUP(E1069,Parameter!$I$35:$J$52,2,0),IFERROR(VLOOKUP(D1069,Parameter!$A$35:$C$64,2,0),"Nein"))</f>
        <v>2+3</v>
      </c>
      <c r="CA1069" s="52" t="n">
        <f aca="false">IF(BW1069=0,0,IF(N(S1069)&gt;0,S1069,IFERROR(VLOOKUP(D1069,Parameter!$A$35:$C$64,3,0)+0,0)))</f>
        <v>0</v>
      </c>
      <c r="CB1069" s="48" t="n">
        <f aca="false">IF(AA1069&lt;&gt;"",AA1069,Z1069)</f>
        <v>2</v>
      </c>
      <c r="CC1069" s="48" t="str">
        <f aca="false">IF(OR(CB1069=1,CB1069=2,CB1069=3),IF(Parameter!$E$27="Ja","LIFT",IF(CB1069=1,"L1","L23")),IF(CB1069="Aussen","Aussen","-"))</f>
        <v>LIFT</v>
      </c>
      <c r="CD1069" s="59" t="n">
        <f aca="false">IF(N(AB1069)&gt;0,AB1069,0)</f>
        <v>0</v>
      </c>
      <c r="CE1069" s="53" t="n">
        <f aca="false">IF(ISNUMBER(AE1069),1,0)</f>
        <v>0</v>
      </c>
      <c r="CF1069" s="50" t="n">
        <f aca="false">N(AE1069)</f>
        <v>0</v>
      </c>
      <c r="CG1069" s="50" t="n">
        <f aca="false">N(M1069)+N(N1069)</f>
        <v>5</v>
      </c>
      <c r="CH1069" s="50" t="n">
        <f aca="false">ROUNDUP(H1069/BV1069,0)</f>
        <v>2</v>
      </c>
      <c r="CI1069" s="50" t="n">
        <f aca="false">ROUNDUP(CF1069/BV1069,0)</f>
        <v>0</v>
      </c>
      <c r="CJ1069" s="53" t="n">
        <f aca="false">IF(BW1069=1,0,IFERROR(VLOOKUP(BU1069,'Gebinde-Kategorie'!$A$5:$N$45,5,0)+0,0))</f>
        <v>11</v>
      </c>
      <c r="CK1069" s="53" t="n">
        <f aca="false">IFERROR(IF(OR(CB1069=1,CB1069=2,CB1069=3),N(INDEX(Parameter!$I$5:$I$7,CB1069)),0),0)</f>
        <v>0</v>
      </c>
      <c r="CL1069" s="52" t="n">
        <f aca="false">IF(AND(Parameter!$B$21="Ja",ISNUMBER(W1069),N(X1069)&gt;0),IFERROR(N(INDEX(Parameter!$L$5:$L$7,W1069))*INDEX(Parameter!$E$5:$E$7,W1069)*X1069/SUMIFS($X$7:$X$1843,$W$7:$W$1843,W1069),0),0)</f>
        <v>0</v>
      </c>
    </row>
    <row r="1070" customFormat="false" ht="15" hidden="false" customHeight="false" outlineLevel="0" collapsed="false">
      <c r="A1070" s="48" t="s">
        <v>1958</v>
      </c>
      <c r="B1070" s="48" t="s">
        <v>1959</v>
      </c>
      <c r="C1070" s="48" t="s">
        <v>168</v>
      </c>
      <c r="D1070" s="48" t="s">
        <v>188</v>
      </c>
      <c r="E1070" s="48" t="s">
        <v>189</v>
      </c>
      <c r="F1070" s="48" t="s">
        <v>222</v>
      </c>
      <c r="G1070" s="49" t="n">
        <v>33.39</v>
      </c>
      <c r="H1070" s="50" t="n">
        <f aca="false">MAX(0,IF(AND(Parameter!$B$21="Ja",ISNUMBER(Y1070)),Y1070,IF(Parameter!$B$20="Jahresanfang 2025 + Export",BO1070+BN1070,BN1070)))</f>
        <v>33</v>
      </c>
      <c r="I1070" s="50" t="n">
        <f aca="false">H1070*G1070</f>
        <v>1101.87</v>
      </c>
      <c r="J1070" s="50" t="n">
        <f aca="false">BQ1070*Parameter!$B$18</f>
        <v>0.25</v>
      </c>
      <c r="K1070" s="51" t="n">
        <v>37.875</v>
      </c>
      <c r="L1070" s="52" t="n">
        <v>0.0066006600660066</v>
      </c>
      <c r="M1070" s="50" t="n">
        <v>0</v>
      </c>
      <c r="N1070" s="50" t="n">
        <v>1</v>
      </c>
      <c r="O1070" s="53" t="n">
        <v>14</v>
      </c>
      <c r="P1070" s="48" t="s">
        <v>332</v>
      </c>
      <c r="Q1070" s="50" t="n">
        <v>40</v>
      </c>
      <c r="R1070" s="53" t="n">
        <f aca="false">IF(BW1070=1,0,IFERROR(VLOOKUP(BU1070,'Gebinde-Kategorie'!$A$5:$N$45,13,0)+0,0))</f>
        <v>52</v>
      </c>
      <c r="S1070" s="54"/>
      <c r="T1070" s="55"/>
      <c r="U1070" s="55"/>
      <c r="V1070" s="55"/>
      <c r="W1070" s="48"/>
      <c r="X1070" s="50"/>
      <c r="Y1070" s="50"/>
      <c r="Z1070" s="48" t="n">
        <f aca="false">IF(A1070="","",IF(AND(Parameter!$B$21="Ja",ISNUMBER(W1070)),W1070,IF(BZ1070="2+3",IF(ISNUMBER(SEARCH("grosser Artikel",BR1070)),2,IFERROR(VLOOKUP(BU1070,Parameter!$F$35:$G$64,2,0),2)),IF(OR(BZ1070="Nein",BZ1070=""),"-",BZ1070))))</f>
        <v>3</v>
      </c>
      <c r="AA1070" s="55"/>
      <c r="AB1070" s="56"/>
      <c r="AC1070" s="50" t="n">
        <f aca="false">AT1070</f>
        <v>40</v>
      </c>
      <c r="AD1070" s="50" t="n">
        <f aca="false">MAX(AT1070,H1070)</f>
        <v>40</v>
      </c>
      <c r="AE1070" s="57"/>
      <c r="AF1070" s="50" t="n">
        <f aca="false">IF(LEFT(Cockpit!$C$5,1)="A",H1070,IF(CE1070=1,CF1070,IF(LEFT(Cockpit!$C$5,1)="B",AK1070,MAX(AK1070,H1070))))</f>
        <v>33</v>
      </c>
      <c r="AG1070" s="50" t="n">
        <f aca="false">IF(BW1070=1,0,ROUNDUP(AF1070/BV1070,0))</f>
        <v>1</v>
      </c>
      <c r="AH1070" s="52" t="n">
        <f aca="false">IF(CL1070&gt;0,CL1070*MAX(1,AF1070/X1070),IF(BW1070=1,IF(AF1070&lt;=0,0,CA1070*MAX(1,IF(H1070&gt;0,AF1070/H1070,1))),IF(R1070&gt;0,AG1070/R1070,0))/MAX(0.1,N(Parameter!$M$21)))</f>
        <v>0.0192307692307692</v>
      </c>
      <c r="AI1070" s="50" t="n">
        <f aca="false">AH1070*BY1070</f>
        <v>2.98076923076923</v>
      </c>
      <c r="AJ1070" s="50" t="n">
        <f aca="false">AF1070*G1070</f>
        <v>1101.87</v>
      </c>
      <c r="AK1070" s="50" t="n">
        <f aca="false">ROUNDUP(MAX(J1070/IF(CD1070&gt;0,CD1070,MAX(0.1,N(Cockpit!$C$6))),CG1070)/BV1070,0)*BV1070</f>
        <v>40</v>
      </c>
      <c r="AL1070" s="51" t="n">
        <f aca="false">IF(AI1070&gt;0,J1070/AI1070,-1)</f>
        <v>0.0838709677419355</v>
      </c>
      <c r="AM1070" s="51" t="n">
        <f aca="false">IF(AND(OR(CC1070="L1",CC1070="L23",CC1070="LIFT"),AI1070&gt;0),SUMIFS($AI$7:$AI$1843,$CC$7:$CC$1843,CC1070,$AL$7:$AL$1843,"&gt;"&amp;AL1070)+SUMIFS($AI$7:$AI$1843,$CC$7:$CC$1843,CC1070,$AL$7:$AL$1843,AL1070,$BT$7:$BT$1843,"&lt;="&amp;BT1070),"")</f>
        <v>16665.2740656236</v>
      </c>
      <c r="AN1070" s="58" t="n">
        <f aca="false">IF(AM1070="",0,MAX(0,MIN(1,(IF(CC1070="L1",Parameter!$H$5,IF(CC1070="L23",Parameter!$H$6+Parameter!$H$7,Parameter!$H$5+Parameter!$H$6+Parameter!$H$7))-(AM1070-AI1070))/AI1070)))</f>
        <v>1</v>
      </c>
      <c r="AO1070" s="50" t="n">
        <f aca="false">IF(LEFT(Cockpit!$I$5,1)="A",H1070,IF(CE1070=1,CF1070,IF(LEFT(Cockpit!$I$5,1)="B",AT1070,MAX(AT1070,H1070))))</f>
        <v>40</v>
      </c>
      <c r="AP1070" s="50" t="n">
        <f aca="false">IF(BW1070=1,0,ROUNDUP(AO1070/BV1070,0))</f>
        <v>1</v>
      </c>
      <c r="AQ1070" s="52" t="n">
        <f aca="false">IF(CL1070&gt;0,CL1070*MAX(1,AO1070/X1070),IF(BW1070=1,IF(AO1070&lt;=0,0,CA1070*MAX(1,IF(H1070&gt;0,AO1070/H1070,1))),IF(R1070&gt;0,AP1070/R1070,0))/MAX(0.1,N(Parameter!$M$21)))</f>
        <v>0.0192307692307692</v>
      </c>
      <c r="AR1070" s="50" t="n">
        <f aca="false">AQ1070*BY1070</f>
        <v>2.98076923076923</v>
      </c>
      <c r="AS1070" s="50" t="n">
        <f aca="false">AO1070*G1070</f>
        <v>1335.6</v>
      </c>
      <c r="AT1070" s="50" t="n">
        <f aca="false">ROUNDUP(MAX(J1070/IF(CD1070&gt;0,CD1070,MAX(0.1,N(Cockpit!$I$6))),CG1070)/BV1070,0)*BV1070</f>
        <v>40</v>
      </c>
      <c r="AU1070" s="51" t="n">
        <f aca="false">IF(AR1070&gt;0,J1070/AR1070,-1)</f>
        <v>0.0838709677419355</v>
      </c>
      <c r="AV1070" s="51" t="n">
        <f aca="false">IF(AND(OR(CC1070="L1",CC1070="L23",CC1070="LIFT"),AR1070&gt;0),SUMIFS($AR$7:$AR$1843,$CC$7:$CC$1843,CC1070,$AU$7:$AU$1843,"&gt;"&amp;AU1070)+SUMIFS($AR$7:$AR$1843,$CC$7:$CC$1843,CC1070,$AU$7:$AU$1843,AU1070,$BT$7:$BT$1843,"&lt;="&amp;BT1070),"")</f>
        <v>25137.2544416506</v>
      </c>
      <c r="AW1070" s="58" t="n">
        <f aca="false">IF(AV1070="",0,MAX(0,MIN(1,(IF(CC1070="L1",Parameter!$H$5,IF(CC1070="L23",Parameter!$H$6+Parameter!$H$7,Parameter!$H$5+Parameter!$H$6+Parameter!$H$7))-(AV1070-AR1070))/AR1070)))</f>
        <v>1</v>
      </c>
      <c r="AX1070" s="50" t="n">
        <f aca="false">IF(LEFT(Cockpit!$O$5,1)="A",H1070,IF(CE1070=1,CF1070,IF(LEFT(Cockpit!$O$5,1)="B",BC1070,MAX(BC1070,H1070))))</f>
        <v>40</v>
      </c>
      <c r="AY1070" s="50" t="n">
        <f aca="false">IF(BW1070=1,0,ROUNDUP(AX1070/BV1070,0))</f>
        <v>1</v>
      </c>
      <c r="AZ1070" s="52" t="n">
        <f aca="false">IF(CL1070&gt;0,CL1070*MAX(1,AX1070/X1070),IF(BW1070=1,IF(AX1070&lt;=0,0,CA1070*MAX(1,IF(H1070&gt;0,AX1070/H1070,1))),IF(R1070&gt;0,AY1070/R1070,0))/MAX(0.1,N(Parameter!$M$21)))</f>
        <v>0.0192307692307692</v>
      </c>
      <c r="BA1070" s="50" t="n">
        <f aca="false">AZ1070*BY1070</f>
        <v>2.98076923076923</v>
      </c>
      <c r="BB1070" s="50" t="n">
        <f aca="false">AX1070*G1070</f>
        <v>1335.6</v>
      </c>
      <c r="BC1070" s="50" t="n">
        <f aca="false">ROUNDUP(MAX(J1070/IF(CD1070&gt;0,CD1070,MAX(0.1,N(Cockpit!$O$6))),CG1070)/BV1070,0)*BV1070</f>
        <v>40</v>
      </c>
      <c r="BD1070" s="51" t="n">
        <f aca="false">IF(BA1070&gt;0,J1070/BA1070,-1)</f>
        <v>0.0838709677419355</v>
      </c>
      <c r="BE1070" s="51" t="n">
        <f aca="false">IF(AND(OR(CC1070="L1",CC1070="L23",CC1070="LIFT"),BA1070&gt;0),SUMIFS($BA$7:$BA$1843,$CC$7:$CC$1843,CC1070,$BD$7:$BD$1843,"&gt;"&amp;BD1070)+SUMIFS($BA$7:$BA$1843,$CC$7:$CC$1843,CC1070,$BD$7:$BD$1843,BD1070,$BT$7:$BT$1843,"&lt;="&amp;BT1070),"")</f>
        <v>23339.7664835165</v>
      </c>
      <c r="BF1070" s="58" t="n">
        <f aca="false">IF(BE1070="",0,MAX(0,MIN(1,(IF(CC1070="L1",Parameter!$H$5,IF(CC1070="L23",Parameter!$H$6+Parameter!$H$7,Parameter!$H$5+Parameter!$H$6+Parameter!$H$7))-(BE1070-BA1070))/BA1070)))</f>
        <v>1</v>
      </c>
      <c r="BG1070" s="48" t="str">
        <f aca="false">IF(AI1070&lt;=0,"",IF(CC1070="Aussen","Aussenlager",IF(CC1070="-","Nicht im Lift",IF(AN1070&gt;=1,"Lift",IF(AN1070&lt;=0,"Aussenlager","teilweise")))))</f>
        <v>Lift</v>
      </c>
      <c r="BH1070" s="48" t="str">
        <f aca="false">IF(AR1070&lt;=0,"",IF(CC1070="Aussen","Aussenlager",IF(CC1070="-","Nicht im Lift",IF(AW1070&gt;=1,"Lift",IF(AW1070&lt;=0,"Aussenlager","teilweise")))))</f>
        <v>Lift</v>
      </c>
      <c r="BI1070" s="48" t="str">
        <f aca="false">IF(BA1070&lt;=0,"",IF(CC1070="Aussen","Aussenlager",IF(CC1070="-","Nicht im Lift",IF(BF1070&gt;=1,"Lift",IF(BF1070&lt;=0,"Aussenlager","teilweise")))))</f>
        <v>Lift</v>
      </c>
      <c r="BJ1070" s="48" t="str">
        <f aca="false">IF(A1070="","",IF(BS1070=1,"Neu; ","")&amp;IF(AND(BS1070=0,BN1070&lt;0),"negativer Bestand (Export "&amp;BN1070&amp;"); ","")&amp;IF(J1070&lt;=0,"Kein Verbrauch; ","")&amp;IF(CL1070&gt;0,"Lift "&amp;W1070&amp;" lt. Liftbericht (Fach "&amp;X1070&amp;" Stk); ",IF(BX1070=1,"Gebinde geschätzt ("&amp;T1070&amp;"); ",IF(BW1070=1,"Lose – Tablare geschätzt; ","")))&amp;IF(H1070&gt;AT1070,"Überbestand "&amp;ROUND(H1070-AT1070,0)&amp;" Stk / CHF "&amp;ROUND((H1070-AT1070)*G1070,0)&amp;"; ","")&amp;IF(AND(CE1070=1,CF1070&lt;CG1070),"MAX &lt; MB+LG; ","")&amp;IF(AND(CK1070&gt;0,CJ1070*10&gt;CK1070),"zu hoch für Tablar; ","")&amp;IF(AND(BS1070=0,OR(CE1070=1,AA1070&lt;&gt;"",U1070&lt;&gt;"",V1070&lt;&gt;"",AB1070&lt;&gt;"")),"manuell übersteuert; ","")&amp;IF(AND(BW1070=0,R1070=0),"Gebinde unbekannt / Stellmass fehlt; ","")&amp;IF(AND(BW1070=0,N(V1070)&lt;=0,N(Q1070)&lt;=0),"Menge pro Gebinde fehlt (Ist = 1 Gebinde); ","")&amp;BR1070)</f>
        <v>negativer Bestand (Export -5); Verb.Lager</v>
      </c>
      <c r="BK1070" s="48"/>
      <c r="BL1070" s="48"/>
      <c r="BM1070" s="55"/>
      <c r="BN1070" s="50" t="n">
        <v>-5</v>
      </c>
      <c r="BO1070" s="50" t="n">
        <v>38</v>
      </c>
      <c r="BP1070" s="49" t="n">
        <v>-166.95</v>
      </c>
      <c r="BQ1070" s="50" t="n">
        <v>0.25</v>
      </c>
      <c r="BR1070" s="48" t="s">
        <v>1034</v>
      </c>
      <c r="BS1070" s="53" t="n">
        <v>0</v>
      </c>
      <c r="BT1070" s="53" t="n">
        <v>1070</v>
      </c>
      <c r="BU1070" s="48" t="str">
        <f aca="false">IF(U1070&lt;&gt;"",UPPER(TRIM(U1070)),IF(BX1070=1,UPPER(VLOOKUP(T1070,Parameter!$I$27:$K$29,2,0)),IF(P1070="","LOSE",P1070)))</f>
        <v>S41</v>
      </c>
      <c r="BV1070" s="50" t="n">
        <f aca="false">IF(BU1070="LOSE",1,IF(N(V1070)&gt;0,V1070,IF(BX1070=1,MAX(1,N(VLOOKUP(T1070,Parameter!$I$27:$K$29,3,0)),H1070,N(N1070)),IF(N(Q1070)&gt;0,Q1070,MAX(1,H1070)))))</f>
        <v>40</v>
      </c>
      <c r="BW1070" s="53" t="n">
        <f aca="false">IF(BU1070="LOSE",1,0)</f>
        <v>0</v>
      </c>
      <c r="BX1070" s="53" t="n">
        <f aca="false">IF(AND(U1070="",OR(P1070="",P1070="LOSE"),T1070&lt;&gt;"",N(S1070)&lt;=0,ISNUMBER(MATCH(T1070,Parameter!$I$27:$I$29,0))),1,0)</f>
        <v>0</v>
      </c>
      <c r="BY1070" s="53" t="n">
        <f aca="false">IF(CL1070&gt;0,INDEX(Parameter!$H$5:$H$7,W1070)/INDEX(Parameter!$E$5:$E$7,W1070),IF(AND(BW1070=0,N(IFERROR(VLOOKUP(BU1070,'Gebinde-Kategorie'!$A$5:$N$45,14,0),0))&gt;0),VLOOKUP(BU1070,'Gebinde-Kategorie'!$A$5:$N$45,14,0)*10+Parameter!$M$23,Parameter!$M$24))</f>
        <v>155</v>
      </c>
      <c r="BZ1070" s="48" t="str">
        <f aca="false">IF(AND(Parameter!$B$19="Ja",E1070&lt;&gt;"",ISNUMBER(MATCH(E1070,Parameter!$I$35:$I$52,0))),VLOOKUP(E1070,Parameter!$I$35:$J$52,2,0),IFERROR(VLOOKUP(D1070,Parameter!$A$35:$C$64,2,0),"Nein"))</f>
        <v>2+3</v>
      </c>
      <c r="CA1070" s="52" t="n">
        <f aca="false">IF(BW1070=0,0,IF(N(S1070)&gt;0,S1070,IFERROR(VLOOKUP(D1070,Parameter!$A$35:$C$64,3,0)+0,0)))</f>
        <v>0</v>
      </c>
      <c r="CB1070" s="48" t="n">
        <f aca="false">IF(AA1070&lt;&gt;"",AA1070,Z1070)</f>
        <v>3</v>
      </c>
      <c r="CC1070" s="48" t="str">
        <f aca="false">IF(OR(CB1070=1,CB1070=2,CB1070=3),IF(Parameter!$E$27="Ja","LIFT",IF(CB1070=1,"L1","L23")),IF(CB1070="Aussen","Aussen","-"))</f>
        <v>LIFT</v>
      </c>
      <c r="CD1070" s="59" t="n">
        <f aca="false">IF(N(AB1070)&gt;0,AB1070,0)</f>
        <v>0</v>
      </c>
      <c r="CE1070" s="53" t="n">
        <f aca="false">IF(ISNUMBER(AE1070),1,0)</f>
        <v>0</v>
      </c>
      <c r="CF1070" s="50" t="n">
        <f aca="false">N(AE1070)</f>
        <v>0</v>
      </c>
      <c r="CG1070" s="50" t="n">
        <f aca="false">N(M1070)+N(N1070)</f>
        <v>1</v>
      </c>
      <c r="CH1070" s="50" t="n">
        <f aca="false">ROUNDUP(H1070/BV1070,0)</f>
        <v>1</v>
      </c>
      <c r="CI1070" s="50" t="n">
        <f aca="false">ROUNDUP(CF1070/BV1070,0)</f>
        <v>0</v>
      </c>
      <c r="CJ1070" s="53" t="n">
        <f aca="false">IF(BW1070=1,0,IFERROR(VLOOKUP(BU1070,'Gebinde-Kategorie'!$A$5:$N$45,5,0)+0,0))</f>
        <v>11</v>
      </c>
      <c r="CK1070" s="53" t="n">
        <f aca="false">IFERROR(IF(OR(CB1070=1,CB1070=2,CB1070=3),N(INDEX(Parameter!$I$5:$I$7,CB1070)),0),0)</f>
        <v>0</v>
      </c>
      <c r="CL1070" s="52" t="n">
        <f aca="false">IF(AND(Parameter!$B$21="Ja",ISNUMBER(W1070),N(X1070)&gt;0),IFERROR(N(INDEX(Parameter!$L$5:$L$7,W1070))*INDEX(Parameter!$E$5:$E$7,W1070)*X1070/SUMIFS($X$7:$X$1843,$W$7:$W$1843,W1070),0),0)</f>
        <v>0</v>
      </c>
    </row>
    <row r="1071" customFormat="false" ht="15" hidden="false" customHeight="false" outlineLevel="0" collapsed="false">
      <c r="A1071" s="48" t="s">
        <v>1960</v>
      </c>
      <c r="B1071" s="48" t="s">
        <v>1961</v>
      </c>
      <c r="C1071" s="48" t="s">
        <v>168</v>
      </c>
      <c r="D1071" s="48" t="s">
        <v>177</v>
      </c>
      <c r="E1071" s="48" t="s">
        <v>189</v>
      </c>
      <c r="F1071" s="48" t="s">
        <v>222</v>
      </c>
      <c r="G1071" s="49" t="n">
        <v>14.64</v>
      </c>
      <c r="H1071" s="50" t="n">
        <f aca="false">MAX(0,IF(AND(Parameter!$B$21="Ja",ISNUMBER(Y1071)),Y1071,IF(Parameter!$B$20="Jahresanfang 2025 + Export",BO1071+BN1071,BN1071)))</f>
        <v>18</v>
      </c>
      <c r="I1071" s="50" t="n">
        <f aca="false">H1071*G1071</f>
        <v>263.52</v>
      </c>
      <c r="J1071" s="50" t="n">
        <f aca="false">BQ1071*Parameter!$B$18</f>
        <v>98</v>
      </c>
      <c r="K1071" s="51" t="n">
        <v>28.5</v>
      </c>
      <c r="L1071" s="52" t="n">
        <v>3.43859649122807</v>
      </c>
      <c r="M1071" s="50" t="n">
        <v>5</v>
      </c>
      <c r="N1071" s="50" t="n">
        <v>25</v>
      </c>
      <c r="O1071" s="53" t="n">
        <v>21</v>
      </c>
      <c r="P1071" s="48" t="s">
        <v>172</v>
      </c>
      <c r="Q1071" s="50"/>
      <c r="R1071" s="53" t="n">
        <f aca="false">IF(BW1071=1,0,IFERROR(VLOOKUP(BU1071,'Gebinde-Kategorie'!$A$5:$N$45,13,0)+0,0))</f>
        <v>12</v>
      </c>
      <c r="S1071" s="54"/>
      <c r="T1071" s="55" t="s">
        <v>183</v>
      </c>
      <c r="U1071" s="55"/>
      <c r="V1071" s="55"/>
      <c r="W1071" s="48"/>
      <c r="X1071" s="50"/>
      <c r="Y1071" s="50"/>
      <c r="Z1071" s="48" t="n">
        <f aca="false">IF(A1071="","",IF(AND(Parameter!$B$21="Ja",ISNUMBER(W1071)),W1071,IF(BZ1071="2+3",IF(ISNUMBER(SEARCH("grosser Artikel",BR1071)),2,IFERROR(VLOOKUP(BU1071,Parameter!$F$35:$G$64,2,0),2)),IF(OR(BZ1071="Nein",BZ1071=""),"-",BZ1071))))</f>
        <v>2</v>
      </c>
      <c r="AA1071" s="55"/>
      <c r="AB1071" s="56"/>
      <c r="AC1071" s="50" t="n">
        <f aca="false">AT1071</f>
        <v>50</v>
      </c>
      <c r="AD1071" s="50" t="n">
        <f aca="false">MAX(AT1071,H1071)</f>
        <v>50</v>
      </c>
      <c r="AE1071" s="57"/>
      <c r="AF1071" s="50" t="n">
        <f aca="false">IF(LEFT(Cockpit!$C$5,1)="A",H1071,IF(CE1071=1,CF1071,IF(LEFT(Cockpit!$C$5,1)="B",AK1071,MAX(AK1071,H1071))))</f>
        <v>18</v>
      </c>
      <c r="AG1071" s="50" t="n">
        <f aca="false">IF(BW1071=1,0,ROUNDUP(AF1071/BV1071,0))</f>
        <v>1</v>
      </c>
      <c r="AH1071" s="52" t="n">
        <f aca="false">IF(CL1071&gt;0,CL1071*MAX(1,AF1071/X1071),IF(BW1071=1,IF(AF1071&lt;=0,0,CA1071*MAX(1,IF(H1071&gt;0,AF1071/H1071,1))),IF(R1071&gt;0,AG1071/R1071,0))/MAX(0.1,N(Parameter!$M$21)))</f>
        <v>0.0833333333333333</v>
      </c>
      <c r="AI1071" s="50" t="n">
        <f aca="false">AH1071*BY1071</f>
        <v>12.0833333333333</v>
      </c>
      <c r="AJ1071" s="50" t="n">
        <f aca="false">AF1071*G1071</f>
        <v>263.52</v>
      </c>
      <c r="AK1071" s="50" t="n">
        <f aca="false">ROUNDUP(MAX(J1071/IF(CD1071&gt;0,CD1071,MAX(0.1,N(Cockpit!$C$6))),CG1071)/BV1071,0)*BV1071</f>
        <v>50</v>
      </c>
      <c r="AL1071" s="51" t="n">
        <f aca="false">IF(AI1071&gt;0,J1071/AI1071,-1)</f>
        <v>8.11034482758621</v>
      </c>
      <c r="AM1071" s="51" t="n">
        <f aca="false">IF(AND(OR(CC1071="L1",CC1071="L23",CC1071="LIFT"),AI1071&gt;0),SUMIFS($AI$7:$AI$1843,$CC$7:$CC$1843,CC1071,$AL$7:$AL$1843,"&gt;"&amp;AL1071)+SUMIFS($AI$7:$AI$1843,$CC$7:$CC$1843,CC1071,$AL$7:$AL$1843,AL1071,$BT$7:$BT$1843,"&lt;="&amp;BT1071),"")</f>
        <v>3031.71794871795</v>
      </c>
      <c r="AN1071" s="58" t="n">
        <f aca="false">IF(AM1071="",0,MAX(0,MIN(1,(IF(CC1071="L1",Parameter!$H$5,IF(CC1071="L23",Parameter!$H$6+Parameter!$H$7,Parameter!$H$5+Parameter!$H$6+Parameter!$H$7))-(AM1071-AI1071))/AI1071)))</f>
        <v>1</v>
      </c>
      <c r="AO1071" s="50" t="n">
        <f aca="false">IF(LEFT(Cockpit!$I$5,1)="A",H1071,IF(CE1071=1,CF1071,IF(LEFT(Cockpit!$I$5,1)="B",AT1071,MAX(AT1071,H1071))))</f>
        <v>50</v>
      </c>
      <c r="AP1071" s="50" t="n">
        <f aca="false">IF(BW1071=1,0,ROUNDUP(AO1071/BV1071,0))</f>
        <v>2</v>
      </c>
      <c r="AQ1071" s="52" t="n">
        <f aca="false">IF(CL1071&gt;0,CL1071*MAX(1,AO1071/X1071),IF(BW1071=1,IF(AO1071&lt;=0,0,CA1071*MAX(1,IF(H1071&gt;0,AO1071/H1071,1))),IF(R1071&gt;0,AP1071/R1071,0))/MAX(0.1,N(Parameter!$M$21)))</f>
        <v>0.166666666666667</v>
      </c>
      <c r="AR1071" s="50" t="n">
        <f aca="false">AQ1071*BY1071</f>
        <v>24.1666666666667</v>
      </c>
      <c r="AS1071" s="50" t="n">
        <f aca="false">AO1071*G1071</f>
        <v>732</v>
      </c>
      <c r="AT1071" s="50" t="n">
        <f aca="false">ROUNDUP(MAX(J1071/IF(CD1071&gt;0,CD1071,MAX(0.1,N(Cockpit!$I$6))),CG1071)/BV1071,0)*BV1071</f>
        <v>50</v>
      </c>
      <c r="AU1071" s="51" t="n">
        <f aca="false">IF(AR1071&gt;0,J1071/AR1071,-1)</f>
        <v>4.0551724137931</v>
      </c>
      <c r="AV1071" s="51" t="n">
        <f aca="false">IF(AND(OR(CC1071="L1",CC1071="L23",CC1071="LIFT"),AR1071&gt;0),SUMIFS($AR$7:$AR$1843,$CC$7:$CC$1843,CC1071,$AU$7:$AU$1843,"&gt;"&amp;AU1071)+SUMIFS($AR$7:$AR$1843,$CC$7:$CC$1843,CC1071,$AU$7:$AU$1843,AU1071,$BT$7:$BT$1843,"&lt;="&amp;BT1071),"")</f>
        <v>5549.06639194139</v>
      </c>
      <c r="AW1071" s="58" t="n">
        <f aca="false">IF(AV1071="",0,MAX(0,MIN(1,(IF(CC1071="L1",Parameter!$H$5,IF(CC1071="L23",Parameter!$H$6+Parameter!$H$7,Parameter!$H$5+Parameter!$H$6+Parameter!$H$7))-(AV1071-AR1071))/AR1071)))</f>
        <v>1</v>
      </c>
      <c r="AX1071" s="50" t="n">
        <f aca="false">IF(LEFT(Cockpit!$O$5,1)="A",H1071,IF(CE1071=1,CF1071,IF(LEFT(Cockpit!$O$5,1)="B",BC1071,MAX(BC1071,H1071))))</f>
        <v>50</v>
      </c>
      <c r="AY1071" s="50" t="n">
        <f aca="false">IF(BW1071=1,0,ROUNDUP(AX1071/BV1071,0))</f>
        <v>2</v>
      </c>
      <c r="AZ1071" s="52" t="n">
        <f aca="false">IF(CL1071&gt;0,CL1071*MAX(1,AX1071/X1071),IF(BW1071=1,IF(AX1071&lt;=0,0,CA1071*MAX(1,IF(H1071&gt;0,AX1071/H1071,1))),IF(R1071&gt;0,AY1071/R1071,0))/MAX(0.1,N(Parameter!$M$21)))</f>
        <v>0.166666666666667</v>
      </c>
      <c r="BA1071" s="50" t="n">
        <f aca="false">AZ1071*BY1071</f>
        <v>24.1666666666667</v>
      </c>
      <c r="BB1071" s="50" t="n">
        <f aca="false">AX1071*G1071</f>
        <v>732</v>
      </c>
      <c r="BC1071" s="50" t="n">
        <f aca="false">ROUNDUP(MAX(J1071/IF(CD1071&gt;0,CD1071,MAX(0.1,N(Cockpit!$O$6))),CG1071)/BV1071,0)*BV1071</f>
        <v>50</v>
      </c>
      <c r="BD1071" s="51" t="n">
        <f aca="false">IF(BA1071&gt;0,J1071/BA1071,-1)</f>
        <v>4.0551724137931</v>
      </c>
      <c r="BE1071" s="51" t="n">
        <f aca="false">IF(AND(OR(CC1071="L1",CC1071="L23",CC1071="LIFT"),BA1071&gt;0),SUMIFS($BA$7:$BA$1843,$CC$7:$CC$1843,CC1071,$BD$7:$BD$1843,"&gt;"&amp;BD1071)+SUMIFS($BA$7:$BA$1843,$CC$7:$CC$1843,CC1071,$BD$7:$BD$1843,BD1071,$BT$7:$BT$1843,"&lt;="&amp;BT1071),"")</f>
        <v>5236.93498168498</v>
      </c>
      <c r="BF1071" s="58" t="n">
        <f aca="false">IF(BE1071="",0,MAX(0,MIN(1,(IF(CC1071="L1",Parameter!$H$5,IF(CC1071="L23",Parameter!$H$6+Parameter!$H$7,Parameter!$H$5+Parameter!$H$6+Parameter!$H$7))-(BE1071-BA1071))/BA1071)))</f>
        <v>1</v>
      </c>
      <c r="BG1071" s="48" t="str">
        <f aca="false">IF(AI1071&lt;=0,"",IF(CC1071="Aussen","Aussenlager",IF(CC1071="-","Nicht im Lift",IF(AN1071&gt;=1,"Lift",IF(AN1071&lt;=0,"Aussenlager","teilweise")))))</f>
        <v>Lift</v>
      </c>
      <c r="BH1071" s="48" t="str">
        <f aca="false">IF(AR1071&lt;=0,"",IF(CC1071="Aussen","Aussenlager",IF(CC1071="-","Nicht im Lift",IF(AW1071&gt;=1,"Lift",IF(AW1071&lt;=0,"Aussenlager","teilweise")))))</f>
        <v>Lift</v>
      </c>
      <c r="BI1071" s="48" t="str">
        <f aca="false">IF(BA1071&lt;=0,"",IF(CC1071="Aussen","Aussenlager",IF(CC1071="-","Nicht im Lift",IF(BF1071&gt;=1,"Lift",IF(BF1071&lt;=0,"Aussenlager","teilweise")))))</f>
        <v>Lift</v>
      </c>
      <c r="BJ1071" s="48" t="str">
        <f aca="false">IF(A1071="","",IF(BS1071=1,"Neu; ","")&amp;IF(AND(BS1071=0,BN1071&lt;0),"negativer Bestand (Export "&amp;BN1071&amp;"); ","")&amp;IF(J1071&lt;=0,"Kein Verbrauch; ","")&amp;IF(CL1071&gt;0,"Lift "&amp;W1071&amp;" lt. Liftbericht (Fach "&amp;X1071&amp;" Stk); ",IF(BX1071=1,"Gebinde geschätzt ("&amp;T1071&amp;"); ",IF(BW1071=1,"Lose – Tablare geschätzt; ","")))&amp;IF(H1071&gt;AT1071,"Überbestand "&amp;ROUND(H1071-AT1071,0)&amp;" Stk / CHF "&amp;ROUND((H1071-AT1071)*G1071,0)&amp;"; ","")&amp;IF(AND(CE1071=1,CF1071&lt;CG1071),"MAX &lt; MB+LG; ","")&amp;IF(AND(CK1071&gt;0,CJ1071*10&gt;CK1071),"zu hoch für Tablar; ","")&amp;IF(AND(BS1071=0,OR(CE1071=1,AA1071&lt;&gt;"",U1071&lt;&gt;"",V1071&lt;&gt;"",AB1071&lt;&gt;"")),"manuell übersteuert; ","")&amp;IF(AND(BW1071=0,R1071=0),"Gebinde unbekannt / Stellmass fehlt; ","")&amp;IF(AND(BW1071=0,N(V1071)&lt;=0,N(Q1071)&lt;=0),"Menge pro Gebinde fehlt (Ist = 1 Gebinde); ","")&amp;BR1071)</f>
        <v>negativer Bestand (Export -11); Gebinde geschätzt (Mittel); Menge pro Gebinde fehlt (Ist = 1 Gebinde); grosser Artikel &amp; nicht im KTL</v>
      </c>
      <c r="BK1071" s="48"/>
      <c r="BL1071" s="48"/>
      <c r="BM1071" s="55"/>
      <c r="BN1071" s="50" t="n">
        <v>-11</v>
      </c>
      <c r="BO1071" s="50" t="n">
        <v>29</v>
      </c>
      <c r="BP1071" s="49" t="n">
        <v>-167.13</v>
      </c>
      <c r="BQ1071" s="50" t="n">
        <v>98</v>
      </c>
      <c r="BR1071" s="48" t="s">
        <v>265</v>
      </c>
      <c r="BS1071" s="53" t="n">
        <v>0</v>
      </c>
      <c r="BT1071" s="53" t="n">
        <v>1071</v>
      </c>
      <c r="BU1071" s="48" t="str">
        <f aca="false">IF(U1071&lt;&gt;"",UPPER(TRIM(U1071)),IF(BX1071=1,UPPER(VLOOKUP(T1071,Parameter!$I$27:$K$29,2,0)),IF(P1071="","LOSE",P1071)))</f>
        <v>S61</v>
      </c>
      <c r="BV1071" s="50" t="n">
        <f aca="false">IF(BU1071="LOSE",1,IF(N(V1071)&gt;0,V1071,IF(BX1071=1,MAX(1,N(VLOOKUP(T1071,Parameter!$I$27:$K$29,3,0)),H1071,N(N1071)),IF(N(Q1071)&gt;0,Q1071,MAX(1,H1071)))))</f>
        <v>25</v>
      </c>
      <c r="BW1071" s="53" t="n">
        <f aca="false">IF(BU1071="LOSE",1,0)</f>
        <v>0</v>
      </c>
      <c r="BX1071" s="53" t="n">
        <f aca="false">IF(AND(U1071="",OR(P1071="",P1071="LOSE"),T1071&lt;&gt;"",N(S1071)&lt;=0,ISNUMBER(MATCH(T1071,Parameter!$I$27:$I$29,0))),1,0)</f>
        <v>1</v>
      </c>
      <c r="BY1071" s="53" t="n">
        <f aca="false">IF(CL1071&gt;0,INDEX(Parameter!$H$5:$H$7,W1071)/INDEX(Parameter!$E$5:$E$7,W1071),IF(AND(BW1071=0,N(IFERROR(VLOOKUP(BU1071,'Gebinde-Kategorie'!$A$5:$N$45,14,0),0))&gt;0),VLOOKUP(BU1071,'Gebinde-Kategorie'!$A$5:$N$45,14,0)*10+Parameter!$M$23,Parameter!$M$24))</f>
        <v>145</v>
      </c>
      <c r="BZ1071" s="48" t="str">
        <f aca="false">IF(AND(Parameter!$B$19="Ja",E1071&lt;&gt;"",ISNUMBER(MATCH(E1071,Parameter!$I$35:$I$52,0))),VLOOKUP(E1071,Parameter!$I$35:$J$52,2,0),IFERROR(VLOOKUP(D1071,Parameter!$A$35:$C$64,2,0),"Nein"))</f>
        <v>2+3</v>
      </c>
      <c r="CA1071" s="52" t="n">
        <f aca="false">IF(BW1071=0,0,IF(N(S1071)&gt;0,S1071,IFERROR(VLOOKUP(D1071,Parameter!$A$35:$C$64,3,0)+0,0)))</f>
        <v>0</v>
      </c>
      <c r="CB1071" s="48" t="n">
        <f aca="false">IF(AA1071&lt;&gt;"",AA1071,Z1071)</f>
        <v>2</v>
      </c>
      <c r="CC1071" s="48" t="str">
        <f aca="false">IF(OR(CB1071=1,CB1071=2,CB1071=3),IF(Parameter!$E$27="Ja","LIFT",IF(CB1071=1,"L1","L23")),IF(CB1071="Aussen","Aussen","-"))</f>
        <v>LIFT</v>
      </c>
      <c r="CD1071" s="59" t="n">
        <f aca="false">IF(N(AB1071)&gt;0,AB1071,0)</f>
        <v>0</v>
      </c>
      <c r="CE1071" s="53" t="n">
        <f aca="false">IF(ISNUMBER(AE1071),1,0)</f>
        <v>0</v>
      </c>
      <c r="CF1071" s="50" t="n">
        <f aca="false">N(AE1071)</f>
        <v>0</v>
      </c>
      <c r="CG1071" s="50" t="n">
        <f aca="false">N(M1071)+N(N1071)</f>
        <v>30</v>
      </c>
      <c r="CH1071" s="50" t="n">
        <f aca="false">ROUNDUP(H1071/BV1071,0)</f>
        <v>1</v>
      </c>
      <c r="CI1071" s="50" t="n">
        <f aca="false">ROUNDUP(CF1071/BV1071,0)</f>
        <v>0</v>
      </c>
      <c r="CJ1071" s="53" t="n">
        <f aca="false">IF(BW1071=1,0,IFERROR(VLOOKUP(BU1071,'Gebinde-Kategorie'!$A$5:$N$45,5,0)+0,0))</f>
        <v>11</v>
      </c>
      <c r="CK1071" s="53" t="n">
        <f aca="false">IFERROR(IF(OR(CB1071=1,CB1071=2,CB1071=3),N(INDEX(Parameter!$I$5:$I$7,CB1071)),0),0)</f>
        <v>0</v>
      </c>
      <c r="CL1071" s="52" t="n">
        <f aca="false">IF(AND(Parameter!$B$21="Ja",ISNUMBER(W1071),N(X1071)&gt;0),IFERROR(N(INDEX(Parameter!$L$5:$L$7,W1071))*INDEX(Parameter!$E$5:$E$7,W1071)*X1071/SUMIFS($X$7:$X$1843,$W$7:$W$1843,W1071),0),0)</f>
        <v>0</v>
      </c>
    </row>
    <row r="1072" customFormat="false" ht="15" hidden="false" customHeight="false" outlineLevel="0" collapsed="false">
      <c r="A1072" s="48" t="s">
        <v>1962</v>
      </c>
      <c r="B1072" s="48" t="s">
        <v>1963</v>
      </c>
      <c r="C1072" s="48" t="s">
        <v>168</v>
      </c>
      <c r="D1072" s="48" t="s">
        <v>177</v>
      </c>
      <c r="E1072" s="48" t="s">
        <v>189</v>
      </c>
      <c r="F1072" s="48" t="s">
        <v>222</v>
      </c>
      <c r="G1072" s="49" t="n">
        <v>168</v>
      </c>
      <c r="H1072" s="50" t="n">
        <f aca="false">MAX(0,IF(AND(Parameter!$B$21="Ja",ISNUMBER(Y1072)),Y1072,IF(Parameter!$B$20="Jahresanfang 2025 + Export",BO1072+BN1072,BN1072)))</f>
        <v>23</v>
      </c>
      <c r="I1072" s="50" t="n">
        <f aca="false">H1072*G1072</f>
        <v>3864</v>
      </c>
      <c r="J1072" s="50" t="n">
        <f aca="false">BQ1072*Parameter!$B$18</f>
        <v>1</v>
      </c>
      <c r="K1072" s="51" t="n">
        <v>23.5</v>
      </c>
      <c r="L1072" s="52" t="n">
        <v>0.0425531914893617</v>
      </c>
      <c r="M1072" s="50" t="n">
        <v>0</v>
      </c>
      <c r="N1072" s="50" t="n">
        <v>1</v>
      </c>
      <c r="O1072" s="53" t="n">
        <v>14</v>
      </c>
      <c r="P1072" s="48" t="s">
        <v>172</v>
      </c>
      <c r="Q1072" s="50"/>
      <c r="R1072" s="53" t="n">
        <f aca="false">IF(BW1072=1,0,IFERROR(VLOOKUP(BU1072,'Gebinde-Kategorie'!$A$5:$N$45,13,0)+0,0))</f>
        <v>12</v>
      </c>
      <c r="S1072" s="54"/>
      <c r="T1072" s="55" t="s">
        <v>183</v>
      </c>
      <c r="U1072" s="55"/>
      <c r="V1072" s="55"/>
      <c r="W1072" s="48"/>
      <c r="X1072" s="50"/>
      <c r="Y1072" s="50"/>
      <c r="Z1072" s="48" t="n">
        <f aca="false">IF(A1072="","",IF(AND(Parameter!$B$21="Ja",ISNUMBER(W1072)),W1072,IF(BZ1072="2+3",IF(ISNUMBER(SEARCH("grosser Artikel",BR1072)),2,IFERROR(VLOOKUP(BU1072,Parameter!$F$35:$G$64,2,0),2)),IF(OR(BZ1072="Nein",BZ1072=""),"-",BZ1072))))</f>
        <v>2</v>
      </c>
      <c r="AA1072" s="55"/>
      <c r="AB1072" s="56"/>
      <c r="AC1072" s="50" t="n">
        <f aca="false">AT1072</f>
        <v>23</v>
      </c>
      <c r="AD1072" s="50" t="n">
        <f aca="false">MAX(AT1072,H1072)</f>
        <v>23</v>
      </c>
      <c r="AE1072" s="57"/>
      <c r="AF1072" s="50" t="n">
        <f aca="false">IF(LEFT(Cockpit!$C$5,1)="A",H1072,IF(CE1072=1,CF1072,IF(LEFT(Cockpit!$C$5,1)="B",AK1072,MAX(AK1072,H1072))))</f>
        <v>23</v>
      </c>
      <c r="AG1072" s="50" t="n">
        <f aca="false">IF(BW1072=1,0,ROUNDUP(AF1072/BV1072,0))</f>
        <v>1</v>
      </c>
      <c r="AH1072" s="52" t="n">
        <f aca="false">IF(CL1072&gt;0,CL1072*MAX(1,AF1072/X1072),IF(BW1072=1,IF(AF1072&lt;=0,0,CA1072*MAX(1,IF(H1072&gt;0,AF1072/H1072,1))),IF(R1072&gt;0,AG1072/R1072,0))/MAX(0.1,N(Parameter!$M$21)))</f>
        <v>0.0833333333333333</v>
      </c>
      <c r="AI1072" s="50" t="n">
        <f aca="false">AH1072*BY1072</f>
        <v>12.0833333333333</v>
      </c>
      <c r="AJ1072" s="50" t="n">
        <f aca="false">AF1072*G1072</f>
        <v>3864</v>
      </c>
      <c r="AK1072" s="50" t="n">
        <f aca="false">ROUNDUP(MAX(J1072/IF(CD1072&gt;0,CD1072,MAX(0.1,N(Cockpit!$C$6))),CG1072)/BV1072,0)*BV1072</f>
        <v>23</v>
      </c>
      <c r="AL1072" s="51" t="n">
        <f aca="false">IF(AI1072&gt;0,J1072/AI1072,-1)</f>
        <v>0.0827586206896552</v>
      </c>
      <c r="AM1072" s="51" t="n">
        <f aca="false">IF(AND(OR(CC1072="L1",CC1072="L23",CC1072="LIFT"),AI1072&gt;0),SUMIFS($AI$7:$AI$1843,$CC$7:$CC$1843,CC1072,$AL$7:$AL$1843,"&gt;"&amp;AL1072)+SUMIFS($AI$7:$AI$1843,$CC$7:$CC$1843,CC1072,$AL$7:$AL$1843,AL1072,$BT$7:$BT$1843,"&lt;="&amp;BT1072),"")</f>
        <v>16737.7740656236</v>
      </c>
      <c r="AN1072" s="58" t="n">
        <f aca="false">IF(AM1072="",0,MAX(0,MIN(1,(IF(CC1072="L1",Parameter!$H$5,IF(CC1072="L23",Parameter!$H$6+Parameter!$H$7,Parameter!$H$5+Parameter!$H$6+Parameter!$H$7))-(AM1072-AI1072))/AI1072)))</f>
        <v>1</v>
      </c>
      <c r="AO1072" s="50" t="n">
        <f aca="false">IF(LEFT(Cockpit!$I$5,1)="A",H1072,IF(CE1072=1,CF1072,IF(LEFT(Cockpit!$I$5,1)="B",AT1072,MAX(AT1072,H1072))))</f>
        <v>23</v>
      </c>
      <c r="AP1072" s="50" t="n">
        <f aca="false">IF(BW1072=1,0,ROUNDUP(AO1072/BV1072,0))</f>
        <v>1</v>
      </c>
      <c r="AQ1072" s="52" t="n">
        <f aca="false">IF(CL1072&gt;0,CL1072*MAX(1,AO1072/X1072),IF(BW1072=1,IF(AO1072&lt;=0,0,CA1072*MAX(1,IF(H1072&gt;0,AO1072/H1072,1))),IF(R1072&gt;0,AP1072/R1072,0))/MAX(0.1,N(Parameter!$M$21)))</f>
        <v>0.0833333333333333</v>
      </c>
      <c r="AR1072" s="50" t="n">
        <f aca="false">AQ1072*BY1072</f>
        <v>12.0833333333333</v>
      </c>
      <c r="AS1072" s="50" t="n">
        <f aca="false">AO1072*G1072</f>
        <v>3864</v>
      </c>
      <c r="AT1072" s="50" t="n">
        <f aca="false">ROUNDUP(MAX(J1072/IF(CD1072&gt;0,CD1072,MAX(0.1,N(Cockpit!$I$6))),CG1072)/BV1072,0)*BV1072</f>
        <v>23</v>
      </c>
      <c r="AU1072" s="51" t="n">
        <f aca="false">IF(AR1072&gt;0,J1072/AR1072,-1)</f>
        <v>0.0827586206896552</v>
      </c>
      <c r="AV1072" s="51" t="n">
        <f aca="false">IF(AND(OR(CC1072="L1",CC1072="L23",CC1072="LIFT"),AR1072&gt;0),SUMIFS($AR$7:$AR$1843,$CC$7:$CC$1843,CC1072,$AU$7:$AU$1843,"&gt;"&amp;AU1072)+SUMIFS($AR$7:$AR$1843,$CC$7:$CC$1843,CC1072,$AU$7:$AU$1843,AU1072,$BT$7:$BT$1843,"&lt;="&amp;BT1072),"")</f>
        <v>25246.0044416506</v>
      </c>
      <c r="AW1072" s="58" t="n">
        <f aca="false">IF(AV1072="",0,MAX(0,MIN(1,(IF(CC1072="L1",Parameter!$H$5,IF(CC1072="L23",Parameter!$H$6+Parameter!$H$7,Parameter!$H$5+Parameter!$H$6+Parameter!$H$7))-(AV1072-AR1072))/AR1072)))</f>
        <v>1</v>
      </c>
      <c r="AX1072" s="50" t="n">
        <f aca="false">IF(LEFT(Cockpit!$O$5,1)="A",H1072,IF(CE1072=1,CF1072,IF(LEFT(Cockpit!$O$5,1)="B",BC1072,MAX(BC1072,H1072))))</f>
        <v>23</v>
      </c>
      <c r="AY1072" s="50" t="n">
        <f aca="false">IF(BW1072=1,0,ROUNDUP(AX1072/BV1072,0))</f>
        <v>1</v>
      </c>
      <c r="AZ1072" s="52" t="n">
        <f aca="false">IF(CL1072&gt;0,CL1072*MAX(1,AX1072/X1072),IF(BW1072=1,IF(AX1072&lt;=0,0,CA1072*MAX(1,IF(H1072&gt;0,AX1072/H1072,1))),IF(R1072&gt;0,AY1072/R1072,0))/MAX(0.1,N(Parameter!$M$21)))</f>
        <v>0.0833333333333333</v>
      </c>
      <c r="BA1072" s="50" t="n">
        <f aca="false">AZ1072*BY1072</f>
        <v>12.0833333333333</v>
      </c>
      <c r="BB1072" s="50" t="n">
        <f aca="false">AX1072*G1072</f>
        <v>3864</v>
      </c>
      <c r="BC1072" s="50" t="n">
        <f aca="false">ROUNDUP(MAX(J1072/IF(CD1072&gt;0,CD1072,MAX(0.1,N(Cockpit!$O$6))),CG1072)/BV1072,0)*BV1072</f>
        <v>23</v>
      </c>
      <c r="BD1072" s="51" t="n">
        <f aca="false">IF(BA1072&gt;0,J1072/BA1072,-1)</f>
        <v>0.0827586206896552</v>
      </c>
      <c r="BE1072" s="51" t="n">
        <f aca="false">IF(AND(OR(CC1072="L1",CC1072="L23",CC1072="LIFT"),BA1072&gt;0),SUMIFS($BA$7:$BA$1843,$CC$7:$CC$1843,CC1072,$BD$7:$BD$1843,"&gt;"&amp;BD1072)+SUMIFS($BA$7:$BA$1843,$CC$7:$CC$1843,CC1072,$BD$7:$BD$1843,BD1072,$BT$7:$BT$1843,"&lt;="&amp;BT1072),"")</f>
        <v>23448.5164835165</v>
      </c>
      <c r="BF1072" s="58" t="n">
        <f aca="false">IF(BE1072="",0,MAX(0,MIN(1,(IF(CC1072="L1",Parameter!$H$5,IF(CC1072="L23",Parameter!$H$6+Parameter!$H$7,Parameter!$H$5+Parameter!$H$6+Parameter!$H$7))-(BE1072-BA1072))/BA1072)))</f>
        <v>1</v>
      </c>
      <c r="BG1072" s="48" t="str">
        <f aca="false">IF(AI1072&lt;=0,"",IF(CC1072="Aussen","Aussenlager",IF(CC1072="-","Nicht im Lift",IF(AN1072&gt;=1,"Lift",IF(AN1072&lt;=0,"Aussenlager","teilweise")))))</f>
        <v>Lift</v>
      </c>
      <c r="BH1072" s="48" t="str">
        <f aca="false">IF(AR1072&lt;=0,"",IF(CC1072="Aussen","Aussenlager",IF(CC1072="-","Nicht im Lift",IF(AW1072&gt;=1,"Lift",IF(AW1072&lt;=0,"Aussenlager","teilweise")))))</f>
        <v>Lift</v>
      </c>
      <c r="BI1072" s="48" t="str">
        <f aca="false">IF(BA1072&lt;=0,"",IF(CC1072="Aussen","Aussenlager",IF(CC1072="-","Nicht im Lift",IF(BF1072&gt;=1,"Lift",IF(BF1072&lt;=0,"Aussenlager","teilweise")))))</f>
        <v>Lift</v>
      </c>
      <c r="BJ1072" s="48" t="str">
        <f aca="false">IF(A1072="","",IF(BS1072=1,"Neu; ","")&amp;IF(AND(BS1072=0,BN1072&lt;0),"negativer Bestand (Export "&amp;BN1072&amp;"); ","")&amp;IF(J1072&lt;=0,"Kein Verbrauch; ","")&amp;IF(CL1072&gt;0,"Lift "&amp;W1072&amp;" lt. Liftbericht (Fach "&amp;X1072&amp;" Stk); ",IF(BX1072=1,"Gebinde geschätzt ("&amp;T1072&amp;"); ",IF(BW1072=1,"Lose – Tablare geschätzt; ","")))&amp;IF(H1072&gt;AT1072,"Überbestand "&amp;ROUND(H1072-AT1072,0)&amp;" Stk / CHF "&amp;ROUND((H1072-AT1072)*G1072,0)&amp;"; ","")&amp;IF(AND(CE1072=1,CF1072&lt;CG1072),"MAX &lt; MB+LG; ","")&amp;IF(AND(CK1072&gt;0,CJ1072*10&gt;CK1072),"zu hoch für Tablar; ","")&amp;IF(AND(BS1072=0,OR(CE1072=1,AA1072&lt;&gt;"",U1072&lt;&gt;"",V1072&lt;&gt;"",AB1072&lt;&gt;"")),"manuell übersteuert; ","")&amp;IF(AND(BW1072=0,R1072=0),"Gebinde unbekannt / Stellmass fehlt; ","")&amp;IF(AND(BW1072=0,N(V1072)&lt;=0,N(Q1072)&lt;=0),"Menge pro Gebinde fehlt (Ist = 1 Gebinde); ","")&amp;BR1072)</f>
        <v>negativer Bestand (Export -1); Gebinde geschätzt (Mittel); Menge pro Gebinde fehlt (Ist = 1 Gebinde); Überbestand; grosser Artikel &amp; nicht im KTL</v>
      </c>
      <c r="BK1072" s="48"/>
      <c r="BL1072" s="48"/>
      <c r="BM1072" s="55"/>
      <c r="BN1072" s="50" t="n">
        <v>-1</v>
      </c>
      <c r="BO1072" s="50" t="n">
        <v>24</v>
      </c>
      <c r="BP1072" s="49" t="n">
        <v>-168</v>
      </c>
      <c r="BQ1072" s="50" t="n">
        <v>1</v>
      </c>
      <c r="BR1072" s="48" t="s">
        <v>363</v>
      </c>
      <c r="BS1072" s="53" t="n">
        <v>0</v>
      </c>
      <c r="BT1072" s="53" t="n">
        <v>1072</v>
      </c>
      <c r="BU1072" s="48" t="str">
        <f aca="false">IF(U1072&lt;&gt;"",UPPER(TRIM(U1072)),IF(BX1072=1,UPPER(VLOOKUP(T1072,Parameter!$I$27:$K$29,2,0)),IF(P1072="","LOSE",P1072)))</f>
        <v>S61</v>
      </c>
      <c r="BV1072" s="50" t="n">
        <f aca="false">IF(BU1072="LOSE",1,IF(N(V1072)&gt;0,V1072,IF(BX1072=1,MAX(1,N(VLOOKUP(T1072,Parameter!$I$27:$K$29,3,0)),H1072,N(N1072)),IF(N(Q1072)&gt;0,Q1072,MAX(1,H1072)))))</f>
        <v>23</v>
      </c>
      <c r="BW1072" s="53" t="n">
        <f aca="false">IF(BU1072="LOSE",1,0)</f>
        <v>0</v>
      </c>
      <c r="BX1072" s="53" t="n">
        <f aca="false">IF(AND(U1072="",OR(P1072="",P1072="LOSE"),T1072&lt;&gt;"",N(S1072)&lt;=0,ISNUMBER(MATCH(T1072,Parameter!$I$27:$I$29,0))),1,0)</f>
        <v>1</v>
      </c>
      <c r="BY1072" s="53" t="n">
        <f aca="false">IF(CL1072&gt;0,INDEX(Parameter!$H$5:$H$7,W1072)/INDEX(Parameter!$E$5:$E$7,W1072),IF(AND(BW1072=0,N(IFERROR(VLOOKUP(BU1072,'Gebinde-Kategorie'!$A$5:$N$45,14,0),0))&gt;0),VLOOKUP(BU1072,'Gebinde-Kategorie'!$A$5:$N$45,14,0)*10+Parameter!$M$23,Parameter!$M$24))</f>
        <v>145</v>
      </c>
      <c r="BZ1072" s="48" t="str">
        <f aca="false">IF(AND(Parameter!$B$19="Ja",E1072&lt;&gt;"",ISNUMBER(MATCH(E1072,Parameter!$I$35:$I$52,0))),VLOOKUP(E1072,Parameter!$I$35:$J$52,2,0),IFERROR(VLOOKUP(D1072,Parameter!$A$35:$C$64,2,0),"Nein"))</f>
        <v>2+3</v>
      </c>
      <c r="CA1072" s="52" t="n">
        <f aca="false">IF(BW1072=0,0,IF(N(S1072)&gt;0,S1072,IFERROR(VLOOKUP(D1072,Parameter!$A$35:$C$64,3,0)+0,0)))</f>
        <v>0</v>
      </c>
      <c r="CB1072" s="48" t="n">
        <f aca="false">IF(AA1072&lt;&gt;"",AA1072,Z1072)</f>
        <v>2</v>
      </c>
      <c r="CC1072" s="48" t="str">
        <f aca="false">IF(OR(CB1072=1,CB1072=2,CB1072=3),IF(Parameter!$E$27="Ja","LIFT",IF(CB1072=1,"L1","L23")),IF(CB1072="Aussen","Aussen","-"))</f>
        <v>LIFT</v>
      </c>
      <c r="CD1072" s="59" t="n">
        <f aca="false">IF(N(AB1072)&gt;0,AB1072,0)</f>
        <v>0</v>
      </c>
      <c r="CE1072" s="53" t="n">
        <f aca="false">IF(ISNUMBER(AE1072),1,0)</f>
        <v>0</v>
      </c>
      <c r="CF1072" s="50" t="n">
        <f aca="false">N(AE1072)</f>
        <v>0</v>
      </c>
      <c r="CG1072" s="50" t="n">
        <f aca="false">N(M1072)+N(N1072)</f>
        <v>1</v>
      </c>
      <c r="CH1072" s="50" t="n">
        <f aca="false">ROUNDUP(H1072/BV1072,0)</f>
        <v>1</v>
      </c>
      <c r="CI1072" s="50" t="n">
        <f aca="false">ROUNDUP(CF1072/BV1072,0)</f>
        <v>0</v>
      </c>
      <c r="CJ1072" s="53" t="n">
        <f aca="false">IF(BW1072=1,0,IFERROR(VLOOKUP(BU1072,'Gebinde-Kategorie'!$A$5:$N$45,5,0)+0,0))</f>
        <v>11</v>
      </c>
      <c r="CK1072" s="53" t="n">
        <f aca="false">IFERROR(IF(OR(CB1072=1,CB1072=2,CB1072=3),N(INDEX(Parameter!$I$5:$I$7,CB1072)),0),0)</f>
        <v>0</v>
      </c>
      <c r="CL1072" s="52" t="n">
        <f aca="false">IF(AND(Parameter!$B$21="Ja",ISNUMBER(W1072),N(X1072)&gt;0),IFERROR(N(INDEX(Parameter!$L$5:$L$7,W1072))*INDEX(Parameter!$E$5:$E$7,W1072)*X1072/SUMIFS($X$7:$X$1843,$W$7:$W$1843,W1072),0),0)</f>
        <v>0</v>
      </c>
    </row>
    <row r="1073" customFormat="false" ht="15" hidden="false" customHeight="false" outlineLevel="0" collapsed="false">
      <c r="A1073" s="48" t="s">
        <v>1964</v>
      </c>
      <c r="B1073" s="48" t="s">
        <v>376</v>
      </c>
      <c r="C1073" s="48" t="s">
        <v>168</v>
      </c>
      <c r="D1073" s="48" t="s">
        <v>177</v>
      </c>
      <c r="E1073" s="48" t="s">
        <v>189</v>
      </c>
      <c r="F1073" s="48" t="s">
        <v>222</v>
      </c>
      <c r="G1073" s="49" t="n">
        <v>168</v>
      </c>
      <c r="H1073" s="50" t="n">
        <f aca="false">MAX(0,IF(AND(Parameter!$B$21="Ja",ISNUMBER(Y1073)),Y1073,IF(Parameter!$B$20="Jahresanfang 2025 + Export",BO1073+BN1073,BN1073)))</f>
        <v>11</v>
      </c>
      <c r="I1073" s="50" t="n">
        <f aca="false">H1073*G1073</f>
        <v>1848</v>
      </c>
      <c r="J1073" s="50" t="n">
        <f aca="false">BQ1073*Parameter!$B$18</f>
        <v>1</v>
      </c>
      <c r="K1073" s="51" t="n">
        <v>11.5</v>
      </c>
      <c r="L1073" s="52" t="n">
        <v>0.0869565217391304</v>
      </c>
      <c r="M1073" s="50" t="n">
        <v>0</v>
      </c>
      <c r="N1073" s="50" t="n">
        <v>1</v>
      </c>
      <c r="O1073" s="53" t="n">
        <v>84</v>
      </c>
      <c r="P1073" s="48" t="s">
        <v>178</v>
      </c>
      <c r="Q1073" s="50" t="n">
        <v>15</v>
      </c>
      <c r="R1073" s="53" t="n">
        <f aca="false">IF(BW1073=1,0,IFERROR(VLOOKUP(BU1073,'Gebinde-Kategorie'!$A$5:$N$45,13,0)+0,0))</f>
        <v>6</v>
      </c>
      <c r="S1073" s="54"/>
      <c r="T1073" s="55"/>
      <c r="U1073" s="55"/>
      <c r="V1073" s="55"/>
      <c r="W1073" s="48"/>
      <c r="X1073" s="50"/>
      <c r="Y1073" s="50"/>
      <c r="Z1073" s="48" t="n">
        <f aca="false">IF(A1073="","",IF(AND(Parameter!$B$21="Ja",ISNUMBER(W1073)),W1073,IF(BZ1073="2+3",IF(ISNUMBER(SEARCH("grosser Artikel",BR1073)),2,IFERROR(VLOOKUP(BU1073,Parameter!$F$35:$G$64,2,0),2)),IF(OR(BZ1073="Nein",BZ1073=""),"-",BZ1073))))</f>
        <v>2</v>
      </c>
      <c r="AA1073" s="55"/>
      <c r="AB1073" s="56"/>
      <c r="AC1073" s="50" t="n">
        <f aca="false">AT1073</f>
        <v>15</v>
      </c>
      <c r="AD1073" s="50" t="n">
        <f aca="false">MAX(AT1073,H1073)</f>
        <v>15</v>
      </c>
      <c r="AE1073" s="57"/>
      <c r="AF1073" s="50" t="n">
        <f aca="false">IF(LEFT(Cockpit!$C$5,1)="A",H1073,IF(CE1073=1,CF1073,IF(LEFT(Cockpit!$C$5,1)="B",AK1073,MAX(AK1073,H1073))))</f>
        <v>11</v>
      </c>
      <c r="AG1073" s="50" t="n">
        <f aca="false">IF(BW1073=1,0,ROUNDUP(AF1073/BV1073,0))</f>
        <v>1</v>
      </c>
      <c r="AH1073" s="52" t="n">
        <f aca="false">IF(CL1073&gt;0,CL1073*MAX(1,AF1073/X1073),IF(BW1073=1,IF(AF1073&lt;=0,0,CA1073*MAX(1,IF(H1073&gt;0,AF1073/H1073,1))),IF(R1073&gt;0,AG1073/R1073,0))/MAX(0.1,N(Parameter!$M$21)))</f>
        <v>0.166666666666667</v>
      </c>
      <c r="AI1073" s="50" t="n">
        <f aca="false">AH1073*BY1073</f>
        <v>39.1666666666667</v>
      </c>
      <c r="AJ1073" s="50" t="n">
        <f aca="false">AF1073*G1073</f>
        <v>1848</v>
      </c>
      <c r="AK1073" s="50" t="n">
        <f aca="false">ROUNDUP(MAX(J1073/IF(CD1073&gt;0,CD1073,MAX(0.1,N(Cockpit!$C$6))),CG1073)/BV1073,0)*BV1073</f>
        <v>15</v>
      </c>
      <c r="AL1073" s="51" t="n">
        <f aca="false">IF(AI1073&gt;0,J1073/AI1073,-1)</f>
        <v>0.025531914893617</v>
      </c>
      <c r="AM1073" s="51" t="n">
        <f aca="false">IF(AND(OR(CC1073="L1",CC1073="L23",CC1073="LIFT"),AI1073&gt;0),SUMIFS($AI$7:$AI$1843,$CC$7:$CC$1843,CC1073,$AL$7:$AL$1843,"&gt;"&amp;AL1073)+SUMIFS($AI$7:$AI$1843,$CC$7:$CC$1843,CC1073,$AL$7:$AL$1843,AL1073,$BT$7:$BT$1843,"&lt;="&amp;BT1073),"")</f>
        <v>21768.7770715631</v>
      </c>
      <c r="AN1073" s="58" t="n">
        <f aca="false">IF(AM1073="",0,MAX(0,MIN(1,(IF(CC1073="L1",Parameter!$H$5,IF(CC1073="L23",Parameter!$H$6+Parameter!$H$7,Parameter!$H$5+Parameter!$H$6+Parameter!$H$7))-(AM1073-AI1073))/AI1073)))</f>
        <v>1</v>
      </c>
      <c r="AO1073" s="50" t="n">
        <f aca="false">IF(LEFT(Cockpit!$I$5,1)="A",H1073,IF(CE1073=1,CF1073,IF(LEFT(Cockpit!$I$5,1)="B",AT1073,MAX(AT1073,H1073))))</f>
        <v>15</v>
      </c>
      <c r="AP1073" s="50" t="n">
        <f aca="false">IF(BW1073=1,0,ROUNDUP(AO1073/BV1073,0))</f>
        <v>1</v>
      </c>
      <c r="AQ1073" s="52" t="n">
        <f aca="false">IF(CL1073&gt;0,CL1073*MAX(1,AO1073/X1073),IF(BW1073=1,IF(AO1073&lt;=0,0,CA1073*MAX(1,IF(H1073&gt;0,AO1073/H1073,1))),IF(R1073&gt;0,AP1073/R1073,0))/MAX(0.1,N(Parameter!$M$21)))</f>
        <v>0.166666666666667</v>
      </c>
      <c r="AR1073" s="50" t="n">
        <f aca="false">AQ1073*BY1073</f>
        <v>39.1666666666667</v>
      </c>
      <c r="AS1073" s="50" t="n">
        <f aca="false">AO1073*G1073</f>
        <v>2520</v>
      </c>
      <c r="AT1073" s="50" t="n">
        <f aca="false">ROUNDUP(MAX(J1073/IF(CD1073&gt;0,CD1073,MAX(0.1,N(Cockpit!$I$6))),CG1073)/BV1073,0)*BV1073</f>
        <v>15</v>
      </c>
      <c r="AU1073" s="51" t="n">
        <f aca="false">IF(AR1073&gt;0,J1073/AR1073,-1)</f>
        <v>0.025531914893617</v>
      </c>
      <c r="AV1073" s="51" t="n">
        <f aca="false">IF(AND(OR(CC1073="L1",CC1073="L23",CC1073="LIFT"),AR1073&gt;0),SUMIFS($AR$7:$AR$1843,$CC$7:$CC$1843,CC1073,$AU$7:$AU$1843,"&gt;"&amp;AU1073)+SUMIFS($AR$7:$AR$1843,$CC$7:$CC$1843,CC1073,$AU$7:$AU$1843,AU1073,$BT$7:$BT$1843,"&lt;="&amp;BT1073),"")</f>
        <v>32701.5013270628</v>
      </c>
      <c r="AW1073" s="58" t="n">
        <f aca="false">IF(AV1073="",0,MAX(0,MIN(1,(IF(CC1073="L1",Parameter!$H$5,IF(CC1073="L23",Parameter!$H$6+Parameter!$H$7,Parameter!$H$5+Parameter!$H$6+Parameter!$H$7))-(AV1073-AR1073))/AR1073)))</f>
        <v>1</v>
      </c>
      <c r="AX1073" s="50" t="n">
        <f aca="false">IF(LEFT(Cockpit!$O$5,1)="A",H1073,IF(CE1073=1,CF1073,IF(LEFT(Cockpit!$O$5,1)="B",BC1073,MAX(BC1073,H1073))))</f>
        <v>15</v>
      </c>
      <c r="AY1073" s="50" t="n">
        <f aca="false">IF(BW1073=1,0,ROUNDUP(AX1073/BV1073,0))</f>
        <v>1</v>
      </c>
      <c r="AZ1073" s="52" t="n">
        <f aca="false">IF(CL1073&gt;0,CL1073*MAX(1,AX1073/X1073),IF(BW1073=1,IF(AX1073&lt;=0,0,CA1073*MAX(1,IF(H1073&gt;0,AX1073/H1073,1))),IF(R1073&gt;0,AY1073/R1073,0))/MAX(0.1,N(Parameter!$M$21)))</f>
        <v>0.166666666666667</v>
      </c>
      <c r="BA1073" s="50" t="n">
        <f aca="false">AZ1073*BY1073</f>
        <v>39.1666666666667</v>
      </c>
      <c r="BB1073" s="50" t="n">
        <f aca="false">AX1073*G1073</f>
        <v>2520</v>
      </c>
      <c r="BC1073" s="50" t="n">
        <f aca="false">ROUNDUP(MAX(J1073/IF(CD1073&gt;0,CD1073,MAX(0.1,N(Cockpit!$O$6))),CG1073)/BV1073,0)*BV1073</f>
        <v>15</v>
      </c>
      <c r="BD1073" s="51" t="n">
        <f aca="false">IF(BA1073&gt;0,J1073/BA1073,-1)</f>
        <v>0.025531914893617</v>
      </c>
      <c r="BE1073" s="51" t="n">
        <f aca="false">IF(AND(OR(CC1073="L1",CC1073="L23",CC1073="LIFT"),BA1073&gt;0),SUMIFS($BA$7:$BA$1843,$CC$7:$CC$1843,CC1073,$BD$7:$BD$1843,"&gt;"&amp;BD1073)+SUMIFS($BA$7:$BA$1843,$CC$7:$CC$1843,CC1073,$BD$7:$BD$1843,BD1073,$BT$7:$BT$1843,"&lt;="&amp;BT1073),"")</f>
        <v>29376.5133689286</v>
      </c>
      <c r="BF1073" s="58" t="n">
        <f aca="false">IF(BE1073="",0,MAX(0,MIN(1,(IF(CC1073="L1",Parameter!$H$5,IF(CC1073="L23",Parameter!$H$6+Parameter!$H$7,Parameter!$H$5+Parameter!$H$6+Parameter!$H$7))-(BE1073-BA1073))/BA1073)))</f>
        <v>1</v>
      </c>
      <c r="BG1073" s="48" t="str">
        <f aca="false">IF(AI1073&lt;=0,"",IF(CC1073="Aussen","Aussenlager",IF(CC1073="-","Nicht im Lift",IF(AN1073&gt;=1,"Lift",IF(AN1073&lt;=0,"Aussenlager","teilweise")))))</f>
        <v>Lift</v>
      </c>
      <c r="BH1073" s="48" t="str">
        <f aca="false">IF(AR1073&lt;=0,"",IF(CC1073="Aussen","Aussenlager",IF(CC1073="-","Nicht im Lift",IF(AW1073&gt;=1,"Lift",IF(AW1073&lt;=0,"Aussenlager","teilweise")))))</f>
        <v>Lift</v>
      </c>
      <c r="BI1073" s="48" t="str">
        <f aca="false">IF(BA1073&lt;=0,"",IF(CC1073="Aussen","Aussenlager",IF(CC1073="-","Nicht im Lift",IF(BF1073&gt;=1,"Lift",IF(BF1073&lt;=0,"Aussenlager","teilweise")))))</f>
        <v>Lift</v>
      </c>
      <c r="BJ1073" s="48" t="str">
        <f aca="false">IF(A1073="","",IF(BS1073=1,"Neu; ","")&amp;IF(AND(BS1073=0,BN1073&lt;0),"negativer Bestand (Export "&amp;BN1073&amp;"); ","")&amp;IF(J1073&lt;=0,"Kein Verbrauch; ","")&amp;IF(CL1073&gt;0,"Lift "&amp;W1073&amp;" lt. Liftbericht (Fach "&amp;X1073&amp;" Stk); ",IF(BX1073=1,"Gebinde geschätzt ("&amp;T1073&amp;"); ",IF(BW1073=1,"Lose – Tablare geschätzt; ","")))&amp;IF(H1073&gt;AT1073,"Überbestand "&amp;ROUND(H1073-AT1073,0)&amp;" Stk / CHF "&amp;ROUND((H1073-AT1073)*G1073,0)&amp;"; ","")&amp;IF(AND(CE1073=1,CF1073&lt;CG1073),"MAX &lt; MB+LG; ","")&amp;IF(AND(CK1073&gt;0,CJ1073*10&gt;CK1073),"zu hoch für Tablar; ","")&amp;IF(AND(BS1073=0,OR(CE1073=1,AA1073&lt;&gt;"",U1073&lt;&gt;"",V1073&lt;&gt;"",AB1073&lt;&gt;"")),"manuell übersteuert; ","")&amp;IF(AND(BW1073=0,R1073=0),"Gebinde unbekannt / Stellmass fehlt; ","")&amp;IF(AND(BW1073=0,N(V1073)&lt;=0,N(Q1073)&lt;=0),"Menge pro Gebinde fehlt (Ist = 1 Gebinde); ","")&amp;BR1073)</f>
        <v>negativer Bestand (Export -1); grosser Artikel &amp; nicht im KTL</v>
      </c>
      <c r="BK1073" s="48"/>
      <c r="BL1073" s="48"/>
      <c r="BM1073" s="55"/>
      <c r="BN1073" s="50" t="n">
        <v>-1</v>
      </c>
      <c r="BO1073" s="50" t="n">
        <v>12</v>
      </c>
      <c r="BP1073" s="49" t="n">
        <v>-168</v>
      </c>
      <c r="BQ1073" s="50" t="n">
        <v>1</v>
      </c>
      <c r="BR1073" s="48" t="s">
        <v>265</v>
      </c>
      <c r="BS1073" s="53" t="n">
        <v>0</v>
      </c>
      <c r="BT1073" s="53" t="n">
        <v>1073</v>
      </c>
      <c r="BU1073" s="48" t="str">
        <f aca="false">IF(U1073&lt;&gt;"",UPPER(TRIM(U1073)),IF(BX1073=1,UPPER(VLOOKUP(T1073,Parameter!$I$27:$K$29,2,0)),IF(P1073="","LOSE",P1073)))</f>
        <v>S71</v>
      </c>
      <c r="BV1073" s="50" t="n">
        <f aca="false">IF(BU1073="LOSE",1,IF(N(V1073)&gt;0,V1073,IF(BX1073=1,MAX(1,N(VLOOKUP(T1073,Parameter!$I$27:$K$29,3,0)),H1073,N(N1073)),IF(N(Q1073)&gt;0,Q1073,MAX(1,H1073)))))</f>
        <v>15</v>
      </c>
      <c r="BW1073" s="53" t="n">
        <f aca="false">IF(BU1073="LOSE",1,0)</f>
        <v>0</v>
      </c>
      <c r="BX1073" s="53" t="n">
        <f aca="false">IF(AND(U1073="",OR(P1073="",P1073="LOSE"),T1073&lt;&gt;"",N(S1073)&lt;=0,ISNUMBER(MATCH(T1073,Parameter!$I$27:$I$29,0))),1,0)</f>
        <v>0</v>
      </c>
      <c r="BY1073" s="53" t="n">
        <f aca="false">IF(CL1073&gt;0,INDEX(Parameter!$H$5:$H$7,W1073)/INDEX(Parameter!$E$5:$E$7,W1073),IF(AND(BW1073=0,N(IFERROR(VLOOKUP(BU1073,'Gebinde-Kategorie'!$A$5:$N$45,14,0),0))&gt;0),VLOOKUP(BU1073,'Gebinde-Kategorie'!$A$5:$N$45,14,0)*10+Parameter!$M$23,Parameter!$M$24))</f>
        <v>235</v>
      </c>
      <c r="BZ1073" s="48" t="str">
        <f aca="false">IF(AND(Parameter!$B$19="Ja",E1073&lt;&gt;"",ISNUMBER(MATCH(E1073,Parameter!$I$35:$I$52,0))),VLOOKUP(E1073,Parameter!$I$35:$J$52,2,0),IFERROR(VLOOKUP(D1073,Parameter!$A$35:$C$64,2,0),"Nein"))</f>
        <v>2+3</v>
      </c>
      <c r="CA1073" s="52" t="n">
        <f aca="false">IF(BW1073=0,0,IF(N(S1073)&gt;0,S1073,IFERROR(VLOOKUP(D1073,Parameter!$A$35:$C$64,3,0)+0,0)))</f>
        <v>0</v>
      </c>
      <c r="CB1073" s="48" t="n">
        <f aca="false">IF(AA1073&lt;&gt;"",AA1073,Z1073)</f>
        <v>2</v>
      </c>
      <c r="CC1073" s="48" t="str">
        <f aca="false">IF(OR(CB1073=1,CB1073=2,CB1073=3),IF(Parameter!$E$27="Ja","LIFT",IF(CB1073=1,"L1","L23")),IF(CB1073="Aussen","Aussen","-"))</f>
        <v>LIFT</v>
      </c>
      <c r="CD1073" s="59" t="n">
        <f aca="false">IF(N(AB1073)&gt;0,AB1073,0)</f>
        <v>0</v>
      </c>
      <c r="CE1073" s="53" t="n">
        <f aca="false">IF(ISNUMBER(AE1073),1,0)</f>
        <v>0</v>
      </c>
      <c r="CF1073" s="50" t="n">
        <f aca="false">N(AE1073)</f>
        <v>0</v>
      </c>
      <c r="CG1073" s="50" t="n">
        <f aca="false">N(M1073)+N(N1073)</f>
        <v>1</v>
      </c>
      <c r="CH1073" s="50" t="n">
        <f aca="false">ROUNDUP(H1073/BV1073,0)</f>
        <v>1</v>
      </c>
      <c r="CI1073" s="50" t="n">
        <f aca="false">ROUNDUP(CF1073/BV1073,0)</f>
        <v>0</v>
      </c>
      <c r="CJ1073" s="53" t="n">
        <f aca="false">IF(BW1073=1,0,IFERROR(VLOOKUP(BU1073,'Gebinde-Kategorie'!$A$5:$N$45,5,0)+0,0))</f>
        <v>20</v>
      </c>
      <c r="CK1073" s="53" t="n">
        <f aca="false">IFERROR(IF(OR(CB1073=1,CB1073=2,CB1073=3),N(INDEX(Parameter!$I$5:$I$7,CB1073)),0),0)</f>
        <v>0</v>
      </c>
      <c r="CL1073" s="52" t="n">
        <f aca="false">IF(AND(Parameter!$B$21="Ja",ISNUMBER(W1073),N(X1073)&gt;0),IFERROR(N(INDEX(Parameter!$L$5:$L$7,W1073))*INDEX(Parameter!$E$5:$E$7,W1073)*X1073/SUMIFS($X$7:$X$1843,$W$7:$W$1843,W1073),0),0)</f>
        <v>0</v>
      </c>
    </row>
    <row r="1074" customFormat="false" ht="15" hidden="false" customHeight="false" outlineLevel="0" collapsed="false">
      <c r="A1074" s="48" t="s">
        <v>1965</v>
      </c>
      <c r="B1074" s="48" t="s">
        <v>351</v>
      </c>
      <c r="C1074" s="48" t="s">
        <v>168</v>
      </c>
      <c r="D1074" s="48" t="s">
        <v>177</v>
      </c>
      <c r="E1074" s="48" t="s">
        <v>177</v>
      </c>
      <c r="F1074" s="48" t="s">
        <v>222</v>
      </c>
      <c r="G1074" s="49" t="n">
        <v>43.8</v>
      </c>
      <c r="H1074" s="50" t="n">
        <f aca="false">MAX(0,IF(AND(Parameter!$B$21="Ja",ISNUMBER(Y1074)),Y1074,IF(Parameter!$B$20="Jahresanfang 2025 + Export",BO1074+BN1074,BN1074)))</f>
        <v>28</v>
      </c>
      <c r="I1074" s="50" t="n">
        <f aca="false">H1074*G1074</f>
        <v>1226.4</v>
      </c>
      <c r="J1074" s="50" t="n">
        <f aca="false">BQ1074*Parameter!$B$18</f>
        <v>4</v>
      </c>
      <c r="K1074" s="51" t="n">
        <v>30</v>
      </c>
      <c r="L1074" s="52" t="n">
        <v>0.133333333333333</v>
      </c>
      <c r="M1074" s="50" t="n">
        <v>0</v>
      </c>
      <c r="N1074" s="50" t="n">
        <v>5</v>
      </c>
      <c r="O1074" s="53" t="n">
        <v>70</v>
      </c>
      <c r="P1074" s="48" t="s">
        <v>230</v>
      </c>
      <c r="Q1074" s="50" t="n">
        <v>30</v>
      </c>
      <c r="R1074" s="53" t="n">
        <f aca="false">IF(BW1074=1,0,IFERROR(VLOOKUP(BU1074,'Gebinde-Kategorie'!$A$5:$N$45,13,0)+0,0))</f>
        <v>12</v>
      </c>
      <c r="S1074" s="54"/>
      <c r="T1074" s="55"/>
      <c r="U1074" s="55"/>
      <c r="V1074" s="55"/>
      <c r="W1074" s="48"/>
      <c r="X1074" s="50"/>
      <c r="Y1074" s="50"/>
      <c r="Z1074" s="48" t="str">
        <f aca="false">IF(A1074="","",IF(AND(Parameter!$B$21="Ja",ISNUMBER(W1074)),W1074,IF(BZ1074="2+3",IF(ISNUMBER(SEARCH("grosser Artikel",BR1074)),2,IFERROR(VLOOKUP(BU1074,Parameter!$F$35:$G$64,2,0),2)),IF(OR(BZ1074="Nein",BZ1074=""),"-",BZ1074))))</f>
        <v>-</v>
      </c>
      <c r="AA1074" s="55"/>
      <c r="AB1074" s="56"/>
      <c r="AC1074" s="50" t="n">
        <f aca="false">AT1074</f>
        <v>30</v>
      </c>
      <c r="AD1074" s="50" t="n">
        <f aca="false">MAX(AT1074,H1074)</f>
        <v>30</v>
      </c>
      <c r="AE1074" s="57"/>
      <c r="AF1074" s="50" t="n">
        <f aca="false">IF(LEFT(Cockpit!$C$5,1)="A",H1074,IF(CE1074=1,CF1074,IF(LEFT(Cockpit!$C$5,1)="B",AK1074,MAX(AK1074,H1074))))</f>
        <v>28</v>
      </c>
      <c r="AG1074" s="50" t="n">
        <f aca="false">IF(BW1074=1,0,ROUNDUP(AF1074/BV1074,0))</f>
        <v>1</v>
      </c>
      <c r="AH1074" s="52" t="n">
        <f aca="false">IF(CL1074&gt;0,CL1074*MAX(1,AF1074/X1074),IF(BW1074=1,IF(AF1074&lt;=0,0,CA1074*MAX(1,IF(H1074&gt;0,AF1074/H1074,1))),IF(R1074&gt;0,AG1074/R1074,0))/MAX(0.1,N(Parameter!$M$21)))</f>
        <v>0.0833333333333333</v>
      </c>
      <c r="AI1074" s="50" t="n">
        <f aca="false">AH1074*BY1074</f>
        <v>28.75</v>
      </c>
      <c r="AJ1074" s="50" t="n">
        <f aca="false">AF1074*G1074</f>
        <v>1226.4</v>
      </c>
      <c r="AK1074" s="50" t="n">
        <f aca="false">ROUNDUP(MAX(J1074/IF(CD1074&gt;0,CD1074,MAX(0.1,N(Cockpit!$C$6))),CG1074)/BV1074,0)*BV1074</f>
        <v>30</v>
      </c>
      <c r="AL1074" s="51" t="n">
        <f aca="false">IF(AI1074&gt;0,J1074/AI1074,-1)</f>
        <v>0.139130434782609</v>
      </c>
      <c r="AM1074" s="51" t="str">
        <f aca="false">IF(AND(OR(CC1074="L1",CC1074="L23",CC1074="LIFT"),AI1074&gt;0),SUMIFS($AI$7:$AI$1843,$CC$7:$CC$1843,CC1074,$AL$7:$AL$1843,"&gt;"&amp;AL1074)+SUMIFS($AI$7:$AI$1843,$CC$7:$CC$1843,CC1074,$AL$7:$AL$1843,AL1074,$BT$7:$BT$1843,"&lt;="&amp;BT1074),"")</f>
        <v/>
      </c>
      <c r="AN1074" s="58" t="n">
        <f aca="false">IF(AM1074="",0,MAX(0,MIN(1,(IF(CC1074="L1",Parameter!$H$5,IF(CC1074="L23",Parameter!$H$6+Parameter!$H$7,Parameter!$H$5+Parameter!$H$6+Parameter!$H$7))-(AM1074-AI1074))/AI1074)))</f>
        <v>0</v>
      </c>
      <c r="AO1074" s="50" t="n">
        <f aca="false">IF(LEFT(Cockpit!$I$5,1)="A",H1074,IF(CE1074=1,CF1074,IF(LEFT(Cockpit!$I$5,1)="B",AT1074,MAX(AT1074,H1074))))</f>
        <v>30</v>
      </c>
      <c r="AP1074" s="50" t="n">
        <f aca="false">IF(BW1074=1,0,ROUNDUP(AO1074/BV1074,0))</f>
        <v>1</v>
      </c>
      <c r="AQ1074" s="52" t="n">
        <f aca="false">IF(CL1074&gt;0,CL1074*MAX(1,AO1074/X1074),IF(BW1074=1,IF(AO1074&lt;=0,0,CA1074*MAX(1,IF(H1074&gt;0,AO1074/H1074,1))),IF(R1074&gt;0,AP1074/R1074,0))/MAX(0.1,N(Parameter!$M$21)))</f>
        <v>0.0833333333333333</v>
      </c>
      <c r="AR1074" s="50" t="n">
        <f aca="false">AQ1074*BY1074</f>
        <v>28.75</v>
      </c>
      <c r="AS1074" s="50" t="n">
        <f aca="false">AO1074*G1074</f>
        <v>1314</v>
      </c>
      <c r="AT1074" s="50" t="n">
        <f aca="false">ROUNDUP(MAX(J1074/IF(CD1074&gt;0,CD1074,MAX(0.1,N(Cockpit!$I$6))),CG1074)/BV1074,0)*BV1074</f>
        <v>30</v>
      </c>
      <c r="AU1074" s="51" t="n">
        <f aca="false">IF(AR1074&gt;0,J1074/AR1074,-1)</f>
        <v>0.139130434782609</v>
      </c>
      <c r="AV1074" s="51" t="str">
        <f aca="false">IF(AND(OR(CC1074="L1",CC1074="L23",CC1074="LIFT"),AR1074&gt;0),SUMIFS($AR$7:$AR$1843,$CC$7:$CC$1843,CC1074,$AU$7:$AU$1843,"&gt;"&amp;AU1074)+SUMIFS($AR$7:$AR$1843,$CC$7:$CC$1843,CC1074,$AU$7:$AU$1843,AU1074,$BT$7:$BT$1843,"&lt;="&amp;BT1074),"")</f>
        <v/>
      </c>
      <c r="AW1074" s="58" t="n">
        <f aca="false">IF(AV1074="",0,MAX(0,MIN(1,(IF(CC1074="L1",Parameter!$H$5,IF(CC1074="L23",Parameter!$H$6+Parameter!$H$7,Parameter!$H$5+Parameter!$H$6+Parameter!$H$7))-(AV1074-AR1074))/AR1074)))</f>
        <v>0</v>
      </c>
      <c r="AX1074" s="50" t="n">
        <f aca="false">IF(LEFT(Cockpit!$O$5,1)="A",H1074,IF(CE1074=1,CF1074,IF(LEFT(Cockpit!$O$5,1)="B",BC1074,MAX(BC1074,H1074))))</f>
        <v>30</v>
      </c>
      <c r="AY1074" s="50" t="n">
        <f aca="false">IF(BW1074=1,0,ROUNDUP(AX1074/BV1074,0))</f>
        <v>1</v>
      </c>
      <c r="AZ1074" s="52" t="n">
        <f aca="false">IF(CL1074&gt;0,CL1074*MAX(1,AX1074/X1074),IF(BW1074=1,IF(AX1074&lt;=0,0,CA1074*MAX(1,IF(H1074&gt;0,AX1074/H1074,1))),IF(R1074&gt;0,AY1074/R1074,0))/MAX(0.1,N(Parameter!$M$21)))</f>
        <v>0.0833333333333333</v>
      </c>
      <c r="BA1074" s="50" t="n">
        <f aca="false">AZ1074*BY1074</f>
        <v>28.75</v>
      </c>
      <c r="BB1074" s="50" t="n">
        <f aca="false">AX1074*G1074</f>
        <v>1314</v>
      </c>
      <c r="BC1074" s="50" t="n">
        <f aca="false">ROUNDUP(MAX(J1074/IF(CD1074&gt;0,CD1074,MAX(0.1,N(Cockpit!$O$6))),CG1074)/BV1074,0)*BV1074</f>
        <v>30</v>
      </c>
      <c r="BD1074" s="51" t="n">
        <f aca="false">IF(BA1074&gt;0,J1074/BA1074,-1)</f>
        <v>0.139130434782609</v>
      </c>
      <c r="BE1074" s="51" t="str">
        <f aca="false">IF(AND(OR(CC1074="L1",CC1074="L23",CC1074="LIFT"),BA1074&gt;0),SUMIFS($BA$7:$BA$1843,$CC$7:$CC$1843,CC1074,$BD$7:$BD$1843,"&gt;"&amp;BD1074)+SUMIFS($BA$7:$BA$1843,$CC$7:$CC$1843,CC1074,$BD$7:$BD$1843,BD1074,$BT$7:$BT$1843,"&lt;="&amp;BT1074),"")</f>
        <v/>
      </c>
      <c r="BF1074" s="58" t="n">
        <f aca="false">IF(BE1074="",0,MAX(0,MIN(1,(IF(CC1074="L1",Parameter!$H$5,IF(CC1074="L23",Parameter!$H$6+Parameter!$H$7,Parameter!$H$5+Parameter!$H$6+Parameter!$H$7))-(BE1074-BA1074))/BA1074)))</f>
        <v>0</v>
      </c>
      <c r="BG1074" s="48" t="str">
        <f aca="false">IF(AI1074&lt;=0,"",IF(CC1074="Aussen","Aussenlager",IF(CC1074="-","Nicht im Lift",IF(AN1074&gt;=1,"Lift",IF(AN1074&lt;=0,"Aussenlager","teilweise")))))</f>
        <v>Nicht im Lift</v>
      </c>
      <c r="BH1074" s="48" t="str">
        <f aca="false">IF(AR1074&lt;=0,"",IF(CC1074="Aussen","Aussenlager",IF(CC1074="-","Nicht im Lift",IF(AW1074&gt;=1,"Lift",IF(AW1074&lt;=0,"Aussenlager","teilweise")))))</f>
        <v>Nicht im Lift</v>
      </c>
      <c r="BI1074" s="48" t="str">
        <f aca="false">IF(BA1074&lt;=0,"",IF(CC1074="Aussen","Aussenlager",IF(CC1074="-","Nicht im Lift",IF(BF1074&gt;=1,"Lift",IF(BF1074&lt;=0,"Aussenlager","teilweise")))))</f>
        <v>Nicht im Lift</v>
      </c>
      <c r="BJ1074" s="48" t="str">
        <f aca="false">IF(A1074="","",IF(BS1074=1,"Neu; ","")&amp;IF(AND(BS1074=0,BN1074&lt;0),"negativer Bestand (Export "&amp;BN1074&amp;"); ","")&amp;IF(J1074&lt;=0,"Kein Verbrauch; ","")&amp;IF(CL1074&gt;0,"Lift "&amp;W1074&amp;" lt. Liftbericht (Fach "&amp;X1074&amp;" Stk); ",IF(BX1074=1,"Gebinde geschätzt ("&amp;T1074&amp;"); ",IF(BW1074=1,"Lose – Tablare geschätzt; ","")))&amp;IF(H1074&gt;AT1074,"Überbestand "&amp;ROUND(H1074-AT1074,0)&amp;" Stk / CHF "&amp;ROUND((H1074-AT1074)*G1074,0)&amp;"; ","")&amp;IF(AND(CE1074=1,CF1074&lt;CG1074),"MAX &lt; MB+LG; ","")&amp;IF(AND(CK1074&gt;0,CJ1074*10&gt;CK1074),"zu hoch für Tablar; ","")&amp;IF(AND(BS1074=0,OR(CE1074=1,AA1074&lt;&gt;"",U1074&lt;&gt;"",V1074&lt;&gt;"",AB1074&lt;&gt;"")),"manuell übersteuert; ","")&amp;IF(AND(BW1074=0,R1074=0),"Gebinde unbekannt / Stellmass fehlt; ","")&amp;IF(AND(BW1074=0,N(V1074)&lt;=0,N(Q1074)&lt;=0),"Menge pro Gebinde fehlt (Ist = 1 Gebinde); ","")&amp;BR1074)</f>
        <v>negativer Bestand (Export -4); Überbestand</v>
      </c>
      <c r="BK1074" s="48"/>
      <c r="BL1074" s="48"/>
      <c r="BM1074" s="55"/>
      <c r="BN1074" s="50" t="n">
        <v>-4</v>
      </c>
      <c r="BO1074" s="50" t="n">
        <v>32</v>
      </c>
      <c r="BP1074" s="49" t="n">
        <v>-175.2</v>
      </c>
      <c r="BQ1074" s="50" t="n">
        <v>4</v>
      </c>
      <c r="BR1074" s="48" t="s">
        <v>396</v>
      </c>
      <c r="BS1074" s="53" t="n">
        <v>0</v>
      </c>
      <c r="BT1074" s="53" t="n">
        <v>1074</v>
      </c>
      <c r="BU1074" s="48" t="str">
        <f aca="false">IF(U1074&lt;&gt;"",UPPER(TRIM(U1074)),IF(BX1074=1,UPPER(VLOOKUP(T1074,Parameter!$I$27:$K$29,2,0)),IF(P1074="","LOSE",P1074)))</f>
        <v>S63</v>
      </c>
      <c r="BV1074" s="50" t="n">
        <f aca="false">IF(BU1074="LOSE",1,IF(N(V1074)&gt;0,V1074,IF(BX1074=1,MAX(1,N(VLOOKUP(T1074,Parameter!$I$27:$K$29,3,0)),H1074,N(N1074)),IF(N(Q1074)&gt;0,Q1074,MAX(1,H1074)))))</f>
        <v>30</v>
      </c>
      <c r="BW1074" s="53" t="n">
        <f aca="false">IF(BU1074="LOSE",1,0)</f>
        <v>0</v>
      </c>
      <c r="BX1074" s="53" t="n">
        <f aca="false">IF(AND(U1074="",OR(P1074="",P1074="LOSE"),T1074&lt;&gt;"",N(S1074)&lt;=0,ISNUMBER(MATCH(T1074,Parameter!$I$27:$I$29,0))),1,0)</f>
        <v>0</v>
      </c>
      <c r="BY1074" s="53" t="n">
        <f aca="false">IF(CL1074&gt;0,INDEX(Parameter!$H$5:$H$7,W1074)/INDEX(Parameter!$E$5:$E$7,W1074),IF(AND(BW1074=0,N(IFERROR(VLOOKUP(BU1074,'Gebinde-Kategorie'!$A$5:$N$45,14,0),0))&gt;0),VLOOKUP(BU1074,'Gebinde-Kategorie'!$A$5:$N$45,14,0)*10+Parameter!$M$23,Parameter!$M$24))</f>
        <v>345</v>
      </c>
      <c r="BZ1074" s="48" t="str">
        <f aca="false">IF(AND(Parameter!$B$19="Ja",E1074&lt;&gt;"",ISNUMBER(MATCH(E1074,Parameter!$I$35:$I$52,0))),VLOOKUP(E1074,Parameter!$I$35:$J$52,2,0),IFERROR(VLOOKUP(D1074,Parameter!$A$35:$C$64,2,0),"Nein"))</f>
        <v>Nein</v>
      </c>
      <c r="CA1074" s="52" t="n">
        <f aca="false">IF(BW1074=0,0,IF(N(S1074)&gt;0,S1074,IFERROR(VLOOKUP(D1074,Parameter!$A$35:$C$64,3,0)+0,0)))</f>
        <v>0</v>
      </c>
      <c r="CB1074" s="48" t="str">
        <f aca="false">IF(AA1074&lt;&gt;"",AA1074,Z1074)</f>
        <v>-</v>
      </c>
      <c r="CC1074" s="48" t="str">
        <f aca="false">IF(OR(CB1074=1,CB1074=2,CB1074=3),IF(Parameter!$E$27="Ja","LIFT",IF(CB1074=1,"L1","L23")),IF(CB1074="Aussen","Aussen","-"))</f>
        <v>-</v>
      </c>
      <c r="CD1074" s="59" t="n">
        <f aca="false">IF(N(AB1074)&gt;0,AB1074,0)</f>
        <v>0</v>
      </c>
      <c r="CE1074" s="53" t="n">
        <f aca="false">IF(ISNUMBER(AE1074),1,0)</f>
        <v>0</v>
      </c>
      <c r="CF1074" s="50" t="n">
        <f aca="false">N(AE1074)</f>
        <v>0</v>
      </c>
      <c r="CG1074" s="50" t="n">
        <f aca="false">N(M1074)+N(N1074)</f>
        <v>5</v>
      </c>
      <c r="CH1074" s="50" t="n">
        <f aca="false">ROUNDUP(H1074/BV1074,0)</f>
        <v>1</v>
      </c>
      <c r="CI1074" s="50" t="n">
        <f aca="false">ROUNDUP(CF1074/BV1074,0)</f>
        <v>0</v>
      </c>
      <c r="CJ1074" s="53" t="n">
        <f aca="false">IF(BW1074=1,0,IFERROR(VLOOKUP(BU1074,'Gebinde-Kategorie'!$A$5:$N$45,5,0)+0,0))</f>
        <v>31</v>
      </c>
      <c r="CK1074" s="53" t="n">
        <f aca="false">IFERROR(IF(OR(CB1074=1,CB1074=2,CB1074=3),N(INDEX(Parameter!$I$5:$I$7,CB1074)),0),0)</f>
        <v>0</v>
      </c>
      <c r="CL1074" s="52" t="n">
        <f aca="false">IF(AND(Parameter!$B$21="Ja",ISNUMBER(W1074),N(X1074)&gt;0),IFERROR(N(INDEX(Parameter!$L$5:$L$7,W1074))*INDEX(Parameter!$E$5:$E$7,W1074)*X1074/SUMIFS($X$7:$X$1843,$W$7:$W$1843,W1074),0),0)</f>
        <v>0</v>
      </c>
    </row>
    <row r="1075" customFormat="false" ht="15" hidden="false" customHeight="false" outlineLevel="0" collapsed="false">
      <c r="A1075" s="48" t="s">
        <v>1966</v>
      </c>
      <c r="B1075" s="48" t="s">
        <v>1967</v>
      </c>
      <c r="C1075" s="48" t="s">
        <v>168</v>
      </c>
      <c r="D1075" s="48" t="s">
        <v>188</v>
      </c>
      <c r="E1075" s="48" t="s">
        <v>177</v>
      </c>
      <c r="F1075" s="48" t="s">
        <v>222</v>
      </c>
      <c r="G1075" s="49" t="n">
        <v>111.1</v>
      </c>
      <c r="H1075" s="50" t="n">
        <f aca="false">MAX(0,IF(AND(Parameter!$B$21="Ja",ISNUMBER(Y1075)),Y1075,IF(Parameter!$B$20="Jahresanfang 2025 + Export",BO1075+BN1075,BN1075)))</f>
        <v>2</v>
      </c>
      <c r="I1075" s="50" t="n">
        <f aca="false">H1075*G1075</f>
        <v>222.2</v>
      </c>
      <c r="J1075" s="50" t="n">
        <f aca="false">BQ1075*Parameter!$B$18</f>
        <v>2</v>
      </c>
      <c r="K1075" s="51" t="n">
        <v>3</v>
      </c>
      <c r="L1075" s="52" t="n">
        <v>0.666666666666667</v>
      </c>
      <c r="M1075" s="50" t="n">
        <v>0</v>
      </c>
      <c r="N1075" s="50" t="n">
        <v>1</v>
      </c>
      <c r="O1075" s="53" t="n">
        <v>28</v>
      </c>
      <c r="P1075" s="48" t="s">
        <v>425</v>
      </c>
      <c r="Q1075" s="50" t="n">
        <v>3</v>
      </c>
      <c r="R1075" s="53" t="n">
        <f aca="false">IF(BW1075=1,0,IFERROR(VLOOKUP(BU1075,'Gebinde-Kategorie'!$A$5:$N$45,13,0)+0,0))</f>
        <v>104</v>
      </c>
      <c r="S1075" s="54"/>
      <c r="T1075" s="55"/>
      <c r="U1075" s="55"/>
      <c r="V1075" s="55"/>
      <c r="W1075" s="48"/>
      <c r="X1075" s="50"/>
      <c r="Y1075" s="50"/>
      <c r="Z1075" s="48" t="str">
        <f aca="false">IF(A1075="","",IF(AND(Parameter!$B$21="Ja",ISNUMBER(W1075)),W1075,IF(BZ1075="2+3",IF(ISNUMBER(SEARCH("grosser Artikel",BR1075)),2,IFERROR(VLOOKUP(BU1075,Parameter!$F$35:$G$64,2,0),2)),IF(OR(BZ1075="Nein",BZ1075=""),"-",BZ1075))))</f>
        <v>-</v>
      </c>
      <c r="AA1075" s="55"/>
      <c r="AB1075" s="56"/>
      <c r="AC1075" s="50" t="n">
        <f aca="false">AT1075</f>
        <v>3</v>
      </c>
      <c r="AD1075" s="50" t="n">
        <f aca="false">MAX(AT1075,H1075)</f>
        <v>3</v>
      </c>
      <c r="AE1075" s="57"/>
      <c r="AF1075" s="50" t="n">
        <f aca="false">IF(LEFT(Cockpit!$C$5,1)="A",H1075,IF(CE1075=1,CF1075,IF(LEFT(Cockpit!$C$5,1)="B",AK1075,MAX(AK1075,H1075))))</f>
        <v>2</v>
      </c>
      <c r="AG1075" s="50" t="n">
        <f aca="false">IF(BW1075=1,0,ROUNDUP(AF1075/BV1075,0))</f>
        <v>1</v>
      </c>
      <c r="AH1075" s="52" t="n">
        <f aca="false">IF(CL1075&gt;0,CL1075*MAX(1,AF1075/X1075),IF(BW1075=1,IF(AF1075&lt;=0,0,CA1075*MAX(1,IF(H1075&gt;0,AF1075/H1075,1))),IF(R1075&gt;0,AG1075/R1075,0))/MAX(0.1,N(Parameter!$M$21)))</f>
        <v>0.00961538461538462</v>
      </c>
      <c r="AI1075" s="50" t="n">
        <f aca="false">AH1075*BY1075</f>
        <v>1.49038461538462</v>
      </c>
      <c r="AJ1075" s="50" t="n">
        <f aca="false">AF1075*G1075</f>
        <v>222.2</v>
      </c>
      <c r="AK1075" s="50" t="n">
        <f aca="false">ROUNDUP(MAX(J1075/IF(CD1075&gt;0,CD1075,MAX(0.1,N(Cockpit!$C$6))),CG1075)/BV1075,0)*BV1075</f>
        <v>3</v>
      </c>
      <c r="AL1075" s="51" t="n">
        <f aca="false">IF(AI1075&gt;0,J1075/AI1075,-1)</f>
        <v>1.34193548387097</v>
      </c>
      <c r="AM1075" s="51" t="str">
        <f aca="false">IF(AND(OR(CC1075="L1",CC1075="L23",CC1075="LIFT"),AI1075&gt;0),SUMIFS($AI$7:$AI$1843,$CC$7:$CC$1843,CC1075,$AL$7:$AL$1843,"&gt;"&amp;AL1075)+SUMIFS($AI$7:$AI$1843,$CC$7:$CC$1843,CC1075,$AL$7:$AL$1843,AL1075,$BT$7:$BT$1843,"&lt;="&amp;BT1075),"")</f>
        <v/>
      </c>
      <c r="AN1075" s="58" t="n">
        <f aca="false">IF(AM1075="",0,MAX(0,MIN(1,(IF(CC1075="L1",Parameter!$H$5,IF(CC1075="L23",Parameter!$H$6+Parameter!$H$7,Parameter!$H$5+Parameter!$H$6+Parameter!$H$7))-(AM1075-AI1075))/AI1075)))</f>
        <v>0</v>
      </c>
      <c r="AO1075" s="50" t="n">
        <f aca="false">IF(LEFT(Cockpit!$I$5,1)="A",H1075,IF(CE1075=1,CF1075,IF(LEFT(Cockpit!$I$5,1)="B",AT1075,MAX(AT1075,H1075))))</f>
        <v>3</v>
      </c>
      <c r="AP1075" s="50" t="n">
        <f aca="false">IF(BW1075=1,0,ROUNDUP(AO1075/BV1075,0))</f>
        <v>1</v>
      </c>
      <c r="AQ1075" s="52" t="n">
        <f aca="false">IF(CL1075&gt;0,CL1075*MAX(1,AO1075/X1075),IF(BW1075=1,IF(AO1075&lt;=0,0,CA1075*MAX(1,IF(H1075&gt;0,AO1075/H1075,1))),IF(R1075&gt;0,AP1075/R1075,0))/MAX(0.1,N(Parameter!$M$21)))</f>
        <v>0.00961538461538462</v>
      </c>
      <c r="AR1075" s="50" t="n">
        <f aca="false">AQ1075*BY1075</f>
        <v>1.49038461538462</v>
      </c>
      <c r="AS1075" s="50" t="n">
        <f aca="false">AO1075*G1075</f>
        <v>333.3</v>
      </c>
      <c r="AT1075" s="50" t="n">
        <f aca="false">ROUNDUP(MAX(J1075/IF(CD1075&gt;0,CD1075,MAX(0.1,N(Cockpit!$I$6))),CG1075)/BV1075,0)*BV1075</f>
        <v>3</v>
      </c>
      <c r="AU1075" s="51" t="n">
        <f aca="false">IF(AR1075&gt;0,J1075/AR1075,-1)</f>
        <v>1.34193548387097</v>
      </c>
      <c r="AV1075" s="51" t="str">
        <f aca="false">IF(AND(OR(CC1075="L1",CC1075="L23",CC1075="LIFT"),AR1075&gt;0),SUMIFS($AR$7:$AR$1843,$CC$7:$CC$1843,CC1075,$AU$7:$AU$1843,"&gt;"&amp;AU1075)+SUMIFS($AR$7:$AR$1843,$CC$7:$CC$1843,CC1075,$AU$7:$AU$1843,AU1075,$BT$7:$BT$1843,"&lt;="&amp;BT1075),"")</f>
        <v/>
      </c>
      <c r="AW1075" s="58" t="n">
        <f aca="false">IF(AV1075="",0,MAX(0,MIN(1,(IF(CC1075="L1",Parameter!$H$5,IF(CC1075="L23",Parameter!$H$6+Parameter!$H$7,Parameter!$H$5+Parameter!$H$6+Parameter!$H$7))-(AV1075-AR1075))/AR1075)))</f>
        <v>0</v>
      </c>
      <c r="AX1075" s="50" t="n">
        <f aca="false">IF(LEFT(Cockpit!$O$5,1)="A",H1075,IF(CE1075=1,CF1075,IF(LEFT(Cockpit!$O$5,1)="B",BC1075,MAX(BC1075,H1075))))</f>
        <v>3</v>
      </c>
      <c r="AY1075" s="50" t="n">
        <f aca="false">IF(BW1075=1,0,ROUNDUP(AX1075/BV1075,0))</f>
        <v>1</v>
      </c>
      <c r="AZ1075" s="52" t="n">
        <f aca="false">IF(CL1075&gt;0,CL1075*MAX(1,AX1075/X1075),IF(BW1075=1,IF(AX1075&lt;=0,0,CA1075*MAX(1,IF(H1075&gt;0,AX1075/H1075,1))),IF(R1075&gt;0,AY1075/R1075,0))/MAX(0.1,N(Parameter!$M$21)))</f>
        <v>0.00961538461538462</v>
      </c>
      <c r="BA1075" s="50" t="n">
        <f aca="false">AZ1075*BY1075</f>
        <v>1.49038461538462</v>
      </c>
      <c r="BB1075" s="50" t="n">
        <f aca="false">AX1075*G1075</f>
        <v>333.3</v>
      </c>
      <c r="BC1075" s="50" t="n">
        <f aca="false">ROUNDUP(MAX(J1075/IF(CD1075&gt;0,CD1075,MAX(0.1,N(Cockpit!$O$6))),CG1075)/BV1075,0)*BV1075</f>
        <v>3</v>
      </c>
      <c r="BD1075" s="51" t="n">
        <f aca="false">IF(BA1075&gt;0,J1075/BA1075,-1)</f>
        <v>1.34193548387097</v>
      </c>
      <c r="BE1075" s="51" t="str">
        <f aca="false">IF(AND(OR(CC1075="L1",CC1075="L23",CC1075="LIFT"),BA1075&gt;0),SUMIFS($BA$7:$BA$1843,$CC$7:$CC$1843,CC1075,$BD$7:$BD$1843,"&gt;"&amp;BD1075)+SUMIFS($BA$7:$BA$1843,$CC$7:$CC$1843,CC1075,$BD$7:$BD$1843,BD1075,$BT$7:$BT$1843,"&lt;="&amp;BT1075),"")</f>
        <v/>
      </c>
      <c r="BF1075" s="58" t="n">
        <f aca="false">IF(BE1075="",0,MAX(0,MIN(1,(IF(CC1075="L1",Parameter!$H$5,IF(CC1075="L23",Parameter!$H$6+Parameter!$H$7,Parameter!$H$5+Parameter!$H$6+Parameter!$H$7))-(BE1075-BA1075))/BA1075)))</f>
        <v>0</v>
      </c>
      <c r="BG1075" s="48" t="str">
        <f aca="false">IF(AI1075&lt;=0,"",IF(CC1075="Aussen","Aussenlager",IF(CC1075="-","Nicht im Lift",IF(AN1075&gt;=1,"Lift",IF(AN1075&lt;=0,"Aussenlager","teilweise")))))</f>
        <v>Nicht im Lift</v>
      </c>
      <c r="BH1075" s="48" t="str">
        <f aca="false">IF(AR1075&lt;=0,"",IF(CC1075="Aussen","Aussenlager",IF(CC1075="-","Nicht im Lift",IF(AW1075&gt;=1,"Lift",IF(AW1075&lt;=0,"Aussenlager","teilweise")))))</f>
        <v>Nicht im Lift</v>
      </c>
      <c r="BI1075" s="48" t="str">
        <f aca="false">IF(BA1075&lt;=0,"",IF(CC1075="Aussen","Aussenlager",IF(CC1075="-","Nicht im Lift",IF(BF1075&gt;=1,"Lift",IF(BF1075&lt;=0,"Aussenlager","teilweise")))))</f>
        <v>Nicht im Lift</v>
      </c>
      <c r="BJ1075" s="48" t="str">
        <f aca="false">IF(A1075="","",IF(BS1075=1,"Neu; ","")&amp;IF(AND(BS1075=0,BN1075&lt;0),"negativer Bestand (Export "&amp;BN1075&amp;"); ","")&amp;IF(J1075&lt;=0,"Kein Verbrauch; ","")&amp;IF(CL1075&gt;0,"Lift "&amp;W1075&amp;" lt. Liftbericht (Fach "&amp;X1075&amp;" Stk); ",IF(BX1075=1,"Gebinde geschätzt ("&amp;T1075&amp;"); ",IF(BW1075=1,"Lose – Tablare geschätzt; ","")))&amp;IF(H1075&gt;AT1075,"Überbestand "&amp;ROUND(H1075-AT1075,0)&amp;" Stk / CHF "&amp;ROUND((H1075-AT1075)*G1075,0)&amp;"; ","")&amp;IF(AND(CE1075=1,CF1075&lt;CG1075),"MAX &lt; MB+LG; ","")&amp;IF(AND(CK1075&gt;0,CJ1075*10&gt;CK1075),"zu hoch für Tablar; ","")&amp;IF(AND(BS1075=0,OR(CE1075=1,AA1075&lt;&gt;"",U1075&lt;&gt;"",V1075&lt;&gt;"",AB1075&lt;&gt;"")),"manuell übersteuert; ","")&amp;IF(AND(BW1075=0,R1075=0),"Gebinde unbekannt / Stellmass fehlt; ","")&amp;IF(AND(BW1075=0,N(V1075)&lt;=0,N(Q1075)&lt;=0),"Menge pro Gebinde fehlt (Ist = 1 Gebinde); ","")&amp;BR1075)</f>
        <v>negativer Bestand (Export -2); Neu</v>
      </c>
      <c r="BK1075" s="48"/>
      <c r="BL1075" s="48"/>
      <c r="BM1075" s="55"/>
      <c r="BN1075" s="50" t="n">
        <v>-2</v>
      </c>
      <c r="BO1075" s="50" t="n">
        <v>4</v>
      </c>
      <c r="BP1075" s="49" t="n">
        <v>-175.52</v>
      </c>
      <c r="BQ1075" s="50" t="n">
        <v>2</v>
      </c>
      <c r="BR1075" s="48" t="s">
        <v>630</v>
      </c>
      <c r="BS1075" s="53" t="n">
        <v>0</v>
      </c>
      <c r="BT1075" s="53" t="n">
        <v>1075</v>
      </c>
      <c r="BU1075" s="48" t="str">
        <f aca="false">IF(U1075&lt;&gt;"",UPPER(TRIM(U1075)),IF(BX1075=1,UPPER(VLOOKUP(T1075,Parameter!$I$27:$K$29,2,0)),IF(P1075="","LOSE",P1075)))</f>
        <v>S32</v>
      </c>
      <c r="BV1075" s="50" t="n">
        <f aca="false">IF(BU1075="LOSE",1,IF(N(V1075)&gt;0,V1075,IF(BX1075=1,MAX(1,N(VLOOKUP(T1075,Parameter!$I$27:$K$29,3,0)),H1075,N(N1075)),IF(N(Q1075)&gt;0,Q1075,MAX(1,H1075)))))</f>
        <v>3</v>
      </c>
      <c r="BW1075" s="53" t="n">
        <f aca="false">IF(BU1075="LOSE",1,0)</f>
        <v>0</v>
      </c>
      <c r="BX1075" s="53" t="n">
        <f aca="false">IF(AND(U1075="",OR(P1075="",P1075="LOSE"),T1075&lt;&gt;"",N(S1075)&lt;=0,ISNUMBER(MATCH(T1075,Parameter!$I$27:$I$29,0))),1,0)</f>
        <v>0</v>
      </c>
      <c r="BY1075" s="53" t="n">
        <f aca="false">IF(CL1075&gt;0,INDEX(Parameter!$H$5:$H$7,W1075)/INDEX(Parameter!$E$5:$E$7,W1075),IF(AND(BW1075=0,N(IFERROR(VLOOKUP(BU1075,'Gebinde-Kategorie'!$A$5:$N$45,14,0),0))&gt;0),VLOOKUP(BU1075,'Gebinde-Kategorie'!$A$5:$N$45,14,0)*10+Parameter!$M$23,Parameter!$M$24))</f>
        <v>155</v>
      </c>
      <c r="BZ1075" s="48" t="str">
        <f aca="false">IF(AND(Parameter!$B$19="Ja",E1075&lt;&gt;"",ISNUMBER(MATCH(E1075,Parameter!$I$35:$I$52,0))),VLOOKUP(E1075,Parameter!$I$35:$J$52,2,0),IFERROR(VLOOKUP(D1075,Parameter!$A$35:$C$64,2,0),"Nein"))</f>
        <v>Nein</v>
      </c>
      <c r="CA1075" s="52" t="n">
        <f aca="false">IF(BW1075=0,0,IF(N(S1075)&gt;0,S1075,IFERROR(VLOOKUP(D1075,Parameter!$A$35:$C$64,3,0)+0,0)))</f>
        <v>0</v>
      </c>
      <c r="CB1075" s="48" t="str">
        <f aca="false">IF(AA1075&lt;&gt;"",AA1075,Z1075)</f>
        <v>-</v>
      </c>
      <c r="CC1075" s="48" t="str">
        <f aca="false">IF(OR(CB1075=1,CB1075=2,CB1075=3),IF(Parameter!$E$27="Ja","LIFT",IF(CB1075=1,"L1","L23")),IF(CB1075="Aussen","Aussen","-"))</f>
        <v>-</v>
      </c>
      <c r="CD1075" s="59" t="n">
        <f aca="false">IF(N(AB1075)&gt;0,AB1075,0)</f>
        <v>0</v>
      </c>
      <c r="CE1075" s="53" t="n">
        <f aca="false">IF(ISNUMBER(AE1075),1,0)</f>
        <v>0</v>
      </c>
      <c r="CF1075" s="50" t="n">
        <f aca="false">N(AE1075)</f>
        <v>0</v>
      </c>
      <c r="CG1075" s="50" t="n">
        <f aca="false">N(M1075)+N(N1075)</f>
        <v>1</v>
      </c>
      <c r="CH1075" s="50" t="n">
        <f aca="false">ROUNDUP(H1075/BV1075,0)</f>
        <v>1</v>
      </c>
      <c r="CI1075" s="50" t="n">
        <f aca="false">ROUNDUP(CF1075/BV1075,0)</f>
        <v>0</v>
      </c>
      <c r="CJ1075" s="53" t="n">
        <f aca="false">IF(BW1075=1,0,IFERROR(VLOOKUP(BU1075,'Gebinde-Kategorie'!$A$5:$N$45,5,0)+0,0))</f>
        <v>8</v>
      </c>
      <c r="CK1075" s="53" t="n">
        <f aca="false">IFERROR(IF(OR(CB1075=1,CB1075=2,CB1075=3),N(INDEX(Parameter!$I$5:$I$7,CB1075)),0),0)</f>
        <v>0</v>
      </c>
      <c r="CL1075" s="52" t="n">
        <f aca="false">IF(AND(Parameter!$B$21="Ja",ISNUMBER(W1075),N(X1075)&gt;0),IFERROR(N(INDEX(Parameter!$L$5:$L$7,W1075))*INDEX(Parameter!$E$5:$E$7,W1075)*X1075/SUMIFS($X$7:$X$1843,$W$7:$W$1843,W1075),0),0)</f>
        <v>0</v>
      </c>
    </row>
    <row r="1076" customFormat="false" ht="15" hidden="false" customHeight="false" outlineLevel="0" collapsed="false">
      <c r="A1076" s="48" t="s">
        <v>1968</v>
      </c>
      <c r="B1076" s="48" t="s">
        <v>1916</v>
      </c>
      <c r="C1076" s="48" t="s">
        <v>460</v>
      </c>
      <c r="D1076" s="48" t="s">
        <v>188</v>
      </c>
      <c r="E1076" s="48" t="s">
        <v>189</v>
      </c>
      <c r="F1076" s="48" t="s">
        <v>222</v>
      </c>
      <c r="G1076" s="49" t="n">
        <v>6.84</v>
      </c>
      <c r="H1076" s="50" t="n">
        <f aca="false">MAX(0,IF(AND(Parameter!$B$21="Ja",ISNUMBER(Y1076)),Y1076,IF(Parameter!$B$20="Jahresanfang 2025 + Export",BO1076+BN1076,BN1076)))</f>
        <v>26</v>
      </c>
      <c r="I1076" s="50" t="n">
        <f aca="false">H1076*G1076</f>
        <v>177.84</v>
      </c>
      <c r="J1076" s="50" t="n">
        <f aca="false">BQ1076*Parameter!$B$18</f>
        <v>26</v>
      </c>
      <c r="K1076" s="51" t="n">
        <v>26</v>
      </c>
      <c r="L1076" s="52" t="n">
        <v>1</v>
      </c>
      <c r="M1076" s="50" t="n">
        <v>1</v>
      </c>
      <c r="N1076" s="50" t="n">
        <v>25</v>
      </c>
      <c r="O1076" s="53" t="n">
        <v>21</v>
      </c>
      <c r="P1076" s="48" t="s">
        <v>425</v>
      </c>
      <c r="Q1076" s="50" t="n">
        <v>13</v>
      </c>
      <c r="R1076" s="53" t="n">
        <f aca="false">IF(BW1076=1,0,IFERROR(VLOOKUP(BU1076,'Gebinde-Kategorie'!$A$5:$N$45,13,0)+0,0))</f>
        <v>104</v>
      </c>
      <c r="S1076" s="54"/>
      <c r="T1076" s="55"/>
      <c r="U1076" s="55"/>
      <c r="V1076" s="55"/>
      <c r="W1076" s="48"/>
      <c r="X1076" s="50"/>
      <c r="Y1076" s="50"/>
      <c r="Z1076" s="48" t="n">
        <f aca="false">IF(A1076="","",IF(AND(Parameter!$B$21="Ja",ISNUMBER(W1076)),W1076,IF(BZ1076="2+3",IF(ISNUMBER(SEARCH("grosser Artikel",BR1076)),2,IFERROR(VLOOKUP(BU1076,Parameter!$F$35:$G$64,2,0),2)),IF(OR(BZ1076="Nein",BZ1076=""),"-",BZ1076))))</f>
        <v>3</v>
      </c>
      <c r="AA1076" s="55"/>
      <c r="AB1076" s="56"/>
      <c r="AC1076" s="50" t="n">
        <f aca="false">AT1076</f>
        <v>26</v>
      </c>
      <c r="AD1076" s="50" t="n">
        <f aca="false">MAX(AT1076,H1076)</f>
        <v>26</v>
      </c>
      <c r="AE1076" s="57"/>
      <c r="AF1076" s="50" t="n">
        <f aca="false">IF(LEFT(Cockpit!$C$5,1)="A",H1076,IF(CE1076=1,CF1076,IF(LEFT(Cockpit!$C$5,1)="B",AK1076,MAX(AK1076,H1076))))</f>
        <v>26</v>
      </c>
      <c r="AG1076" s="50" t="n">
        <f aca="false">IF(BW1076=1,0,ROUNDUP(AF1076/BV1076,0))</f>
        <v>2</v>
      </c>
      <c r="AH1076" s="52" t="n">
        <f aca="false">IF(CL1076&gt;0,CL1076*MAX(1,AF1076/X1076),IF(BW1076=1,IF(AF1076&lt;=0,0,CA1076*MAX(1,IF(H1076&gt;0,AF1076/H1076,1))),IF(R1076&gt;0,AG1076/R1076,0))/MAX(0.1,N(Parameter!$M$21)))</f>
        <v>0.0192307692307692</v>
      </c>
      <c r="AI1076" s="50" t="n">
        <f aca="false">AH1076*BY1076</f>
        <v>2.98076923076923</v>
      </c>
      <c r="AJ1076" s="50" t="n">
        <f aca="false">AF1076*G1076</f>
        <v>177.84</v>
      </c>
      <c r="AK1076" s="50" t="n">
        <f aca="false">ROUNDUP(MAX(J1076/IF(CD1076&gt;0,CD1076,MAX(0.1,N(Cockpit!$C$6))),CG1076)/BV1076,0)*BV1076</f>
        <v>26</v>
      </c>
      <c r="AL1076" s="51" t="n">
        <f aca="false">IF(AI1076&gt;0,J1076/AI1076,-1)</f>
        <v>8.72258064516129</v>
      </c>
      <c r="AM1076" s="51" t="n">
        <f aca="false">IF(AND(OR(CC1076="L1",CC1076="L23",CC1076="LIFT"),AI1076&gt;0),SUMIFS($AI$7:$AI$1843,$CC$7:$CC$1843,CC1076,$AL$7:$AL$1843,"&gt;"&amp;AL1076)+SUMIFS($AI$7:$AI$1843,$CC$7:$CC$1843,CC1076,$AL$7:$AL$1843,AL1076,$BT$7:$BT$1843,"&lt;="&amp;BT1076),"")</f>
        <v>2953.91071428571</v>
      </c>
      <c r="AN1076" s="58" t="n">
        <f aca="false">IF(AM1076="",0,MAX(0,MIN(1,(IF(CC1076="L1",Parameter!$H$5,IF(CC1076="L23",Parameter!$H$6+Parameter!$H$7,Parameter!$H$5+Parameter!$H$6+Parameter!$H$7))-(AM1076-AI1076))/AI1076)))</f>
        <v>1</v>
      </c>
      <c r="AO1076" s="50" t="n">
        <f aca="false">IF(LEFT(Cockpit!$I$5,1)="A",H1076,IF(CE1076=1,CF1076,IF(LEFT(Cockpit!$I$5,1)="B",AT1076,MAX(AT1076,H1076))))</f>
        <v>26</v>
      </c>
      <c r="AP1076" s="50" t="n">
        <f aca="false">IF(BW1076=1,0,ROUNDUP(AO1076/BV1076,0))</f>
        <v>2</v>
      </c>
      <c r="AQ1076" s="52" t="n">
        <f aca="false">IF(CL1076&gt;0,CL1076*MAX(1,AO1076/X1076),IF(BW1076=1,IF(AO1076&lt;=0,0,CA1076*MAX(1,IF(H1076&gt;0,AO1076/H1076,1))),IF(R1076&gt;0,AP1076/R1076,0))/MAX(0.1,N(Parameter!$M$21)))</f>
        <v>0.0192307692307692</v>
      </c>
      <c r="AR1076" s="50" t="n">
        <f aca="false">AQ1076*BY1076</f>
        <v>2.98076923076923</v>
      </c>
      <c r="AS1076" s="50" t="n">
        <f aca="false">AO1076*G1076</f>
        <v>177.84</v>
      </c>
      <c r="AT1076" s="50" t="n">
        <f aca="false">ROUNDUP(MAX(J1076/IF(CD1076&gt;0,CD1076,MAX(0.1,N(Cockpit!$I$6))),CG1076)/BV1076,0)*BV1076</f>
        <v>26</v>
      </c>
      <c r="AU1076" s="51" t="n">
        <f aca="false">IF(AR1076&gt;0,J1076/AR1076,-1)</f>
        <v>8.72258064516129</v>
      </c>
      <c r="AV1076" s="51" t="n">
        <f aca="false">IF(AND(OR(CC1076="L1",CC1076="L23",CC1076="LIFT"),AR1076&gt;0),SUMIFS($AR$7:$AR$1843,$CC$7:$CC$1843,CC1076,$AU$7:$AU$1843,"&gt;"&amp;AU1076)+SUMIFS($AR$7:$AR$1843,$CC$7:$CC$1843,CC1076,$AU$7:$AU$1843,AU1076,$BT$7:$BT$1843,"&lt;="&amp;BT1076),"")</f>
        <v>4198.02106227106</v>
      </c>
      <c r="AW1076" s="58" t="n">
        <f aca="false">IF(AV1076="",0,MAX(0,MIN(1,(IF(CC1076="L1",Parameter!$H$5,IF(CC1076="L23",Parameter!$H$6+Parameter!$H$7,Parameter!$H$5+Parameter!$H$6+Parameter!$H$7))-(AV1076-AR1076))/AR1076)))</f>
        <v>1</v>
      </c>
      <c r="AX1076" s="50" t="n">
        <f aca="false">IF(LEFT(Cockpit!$O$5,1)="A",H1076,IF(CE1076=1,CF1076,IF(LEFT(Cockpit!$O$5,1)="B",BC1076,MAX(BC1076,H1076))))</f>
        <v>26</v>
      </c>
      <c r="AY1076" s="50" t="n">
        <f aca="false">IF(BW1076=1,0,ROUNDUP(AX1076/BV1076,0))</f>
        <v>2</v>
      </c>
      <c r="AZ1076" s="52" t="n">
        <f aca="false">IF(CL1076&gt;0,CL1076*MAX(1,AX1076/X1076),IF(BW1076=1,IF(AX1076&lt;=0,0,CA1076*MAX(1,IF(H1076&gt;0,AX1076/H1076,1))),IF(R1076&gt;0,AY1076/R1076,0))/MAX(0.1,N(Parameter!$M$21)))</f>
        <v>0.0192307692307692</v>
      </c>
      <c r="BA1076" s="50" t="n">
        <f aca="false">AZ1076*BY1076</f>
        <v>2.98076923076923</v>
      </c>
      <c r="BB1076" s="50" t="n">
        <f aca="false">AX1076*G1076</f>
        <v>177.84</v>
      </c>
      <c r="BC1076" s="50" t="n">
        <f aca="false">ROUNDUP(MAX(J1076/IF(CD1076&gt;0,CD1076,MAX(0.1,N(Cockpit!$O$6))),CG1076)/BV1076,0)*BV1076</f>
        <v>26</v>
      </c>
      <c r="BD1076" s="51" t="n">
        <f aca="false">IF(BA1076&gt;0,J1076/BA1076,-1)</f>
        <v>8.72258064516129</v>
      </c>
      <c r="BE1076" s="51" t="n">
        <f aca="false">IF(AND(OR(CC1076="L1",CC1076="L23",CC1076="LIFT"),BA1076&gt;0),SUMIFS($BA$7:$BA$1843,$CC$7:$CC$1843,CC1076,$BD$7:$BD$1843,"&gt;"&amp;BD1076)+SUMIFS($BA$7:$BA$1843,$CC$7:$CC$1843,CC1076,$BD$7:$BD$1843,BD1076,$BT$7:$BT$1843,"&lt;="&amp;BT1076),"")</f>
        <v>3856.14606227106</v>
      </c>
      <c r="BF1076" s="58" t="n">
        <f aca="false">IF(BE1076="",0,MAX(0,MIN(1,(IF(CC1076="L1",Parameter!$H$5,IF(CC1076="L23",Parameter!$H$6+Parameter!$H$7,Parameter!$H$5+Parameter!$H$6+Parameter!$H$7))-(BE1076-BA1076))/BA1076)))</f>
        <v>1</v>
      </c>
      <c r="BG1076" s="48" t="str">
        <f aca="false">IF(AI1076&lt;=0,"",IF(CC1076="Aussen","Aussenlager",IF(CC1076="-","Nicht im Lift",IF(AN1076&gt;=1,"Lift",IF(AN1076&lt;=0,"Aussenlager","teilweise")))))</f>
        <v>Lift</v>
      </c>
      <c r="BH1076" s="48" t="str">
        <f aca="false">IF(AR1076&lt;=0,"",IF(CC1076="Aussen","Aussenlager",IF(CC1076="-","Nicht im Lift",IF(AW1076&gt;=1,"Lift",IF(AW1076&lt;=0,"Aussenlager","teilweise")))))</f>
        <v>Lift</v>
      </c>
      <c r="BI1076" s="48" t="str">
        <f aca="false">IF(BA1076&lt;=0,"",IF(CC1076="Aussen","Aussenlager",IF(CC1076="-","Nicht im Lift",IF(BF1076&gt;=1,"Lift",IF(BF1076&lt;=0,"Aussenlager","teilweise")))))</f>
        <v>Lift</v>
      </c>
      <c r="BJ1076" s="48" t="str">
        <f aca="false">IF(A1076="","",IF(BS1076=1,"Neu; ","")&amp;IF(AND(BS1076=0,BN1076&lt;0),"negativer Bestand (Export "&amp;BN1076&amp;"); ","")&amp;IF(J1076&lt;=0,"Kein Verbrauch; ","")&amp;IF(CL1076&gt;0,"Lift "&amp;W1076&amp;" lt. Liftbericht (Fach "&amp;X1076&amp;" Stk); ",IF(BX1076=1,"Gebinde geschätzt ("&amp;T1076&amp;"); ",IF(BW1076=1,"Lose – Tablare geschätzt; ","")))&amp;IF(H1076&gt;AT1076,"Überbestand "&amp;ROUND(H1076-AT1076,0)&amp;" Stk / CHF "&amp;ROUND((H1076-AT1076)*G1076,0)&amp;"; ","")&amp;IF(AND(CE1076=1,CF1076&lt;CG1076),"MAX &lt; MB+LG; ","")&amp;IF(AND(CK1076&gt;0,CJ1076*10&gt;CK1076),"zu hoch für Tablar; ","")&amp;IF(AND(BS1076=0,OR(CE1076=1,AA1076&lt;&gt;"",U1076&lt;&gt;"",V1076&lt;&gt;"",AB1076&lt;&gt;"")),"manuell übersteuert; ","")&amp;IF(AND(BW1076=0,R1076=0),"Gebinde unbekannt / Stellmass fehlt; ","")&amp;IF(AND(BW1076=0,N(V1076)&lt;=0,N(Q1076)&lt;=0),"Menge pro Gebinde fehlt (Ist = 1 Gebinde); ","")&amp;BR1076)</f>
        <v>negativer Bestand (Export -26); </v>
      </c>
      <c r="BK1076" s="48"/>
      <c r="BL1076" s="48"/>
      <c r="BM1076" s="55"/>
      <c r="BN1076" s="50" t="n">
        <v>-26</v>
      </c>
      <c r="BO1076" s="50" t="n">
        <v>52</v>
      </c>
      <c r="BP1076" s="49" t="n">
        <v>-177.84</v>
      </c>
      <c r="BQ1076" s="50" t="n">
        <v>26</v>
      </c>
      <c r="BR1076" s="48"/>
      <c r="BS1076" s="53" t="n">
        <v>0</v>
      </c>
      <c r="BT1076" s="53" t="n">
        <v>1076</v>
      </c>
      <c r="BU1076" s="48" t="str">
        <f aca="false">IF(U1076&lt;&gt;"",UPPER(TRIM(U1076)),IF(BX1076=1,UPPER(VLOOKUP(T1076,Parameter!$I$27:$K$29,2,0)),IF(P1076="","LOSE",P1076)))</f>
        <v>S32</v>
      </c>
      <c r="BV1076" s="50" t="n">
        <f aca="false">IF(BU1076="LOSE",1,IF(N(V1076)&gt;0,V1076,IF(BX1076=1,MAX(1,N(VLOOKUP(T1076,Parameter!$I$27:$K$29,3,0)),H1076,N(N1076)),IF(N(Q1076)&gt;0,Q1076,MAX(1,H1076)))))</f>
        <v>13</v>
      </c>
      <c r="BW1076" s="53" t="n">
        <f aca="false">IF(BU1076="LOSE",1,0)</f>
        <v>0</v>
      </c>
      <c r="BX1076" s="53" t="n">
        <f aca="false">IF(AND(U1076="",OR(P1076="",P1076="LOSE"),T1076&lt;&gt;"",N(S1076)&lt;=0,ISNUMBER(MATCH(T1076,Parameter!$I$27:$I$29,0))),1,0)</f>
        <v>0</v>
      </c>
      <c r="BY1076" s="53" t="n">
        <f aca="false">IF(CL1076&gt;0,INDEX(Parameter!$H$5:$H$7,W1076)/INDEX(Parameter!$E$5:$E$7,W1076),IF(AND(BW1076=0,N(IFERROR(VLOOKUP(BU1076,'Gebinde-Kategorie'!$A$5:$N$45,14,0),0))&gt;0),VLOOKUP(BU1076,'Gebinde-Kategorie'!$A$5:$N$45,14,0)*10+Parameter!$M$23,Parameter!$M$24))</f>
        <v>155</v>
      </c>
      <c r="BZ1076" s="48" t="str">
        <f aca="false">IF(AND(Parameter!$B$19="Ja",E1076&lt;&gt;"",ISNUMBER(MATCH(E1076,Parameter!$I$35:$I$52,0))),VLOOKUP(E1076,Parameter!$I$35:$J$52,2,0),IFERROR(VLOOKUP(D1076,Parameter!$A$35:$C$64,2,0),"Nein"))</f>
        <v>2+3</v>
      </c>
      <c r="CA1076" s="52" t="n">
        <f aca="false">IF(BW1076=0,0,IF(N(S1076)&gt;0,S1076,IFERROR(VLOOKUP(D1076,Parameter!$A$35:$C$64,3,0)+0,0)))</f>
        <v>0</v>
      </c>
      <c r="CB1076" s="48" t="n">
        <f aca="false">IF(AA1076&lt;&gt;"",AA1076,Z1076)</f>
        <v>3</v>
      </c>
      <c r="CC1076" s="48" t="str">
        <f aca="false">IF(OR(CB1076=1,CB1076=2,CB1076=3),IF(Parameter!$E$27="Ja","LIFT",IF(CB1076=1,"L1","L23")),IF(CB1076="Aussen","Aussen","-"))</f>
        <v>LIFT</v>
      </c>
      <c r="CD1076" s="59" t="n">
        <f aca="false">IF(N(AB1076)&gt;0,AB1076,0)</f>
        <v>0</v>
      </c>
      <c r="CE1076" s="53" t="n">
        <f aca="false">IF(ISNUMBER(AE1076),1,0)</f>
        <v>0</v>
      </c>
      <c r="CF1076" s="50" t="n">
        <f aca="false">N(AE1076)</f>
        <v>0</v>
      </c>
      <c r="CG1076" s="50" t="n">
        <f aca="false">N(M1076)+N(N1076)</f>
        <v>26</v>
      </c>
      <c r="CH1076" s="50" t="n">
        <f aca="false">ROUNDUP(H1076/BV1076,0)</f>
        <v>2</v>
      </c>
      <c r="CI1076" s="50" t="n">
        <f aca="false">ROUNDUP(CF1076/BV1076,0)</f>
        <v>0</v>
      </c>
      <c r="CJ1076" s="53" t="n">
        <f aca="false">IF(BW1076=1,0,IFERROR(VLOOKUP(BU1076,'Gebinde-Kategorie'!$A$5:$N$45,5,0)+0,0))</f>
        <v>8</v>
      </c>
      <c r="CK1076" s="53" t="n">
        <f aca="false">IFERROR(IF(OR(CB1076=1,CB1076=2,CB1076=3),N(INDEX(Parameter!$I$5:$I$7,CB1076)),0),0)</f>
        <v>0</v>
      </c>
      <c r="CL1076" s="52" t="n">
        <f aca="false">IF(AND(Parameter!$B$21="Ja",ISNUMBER(W1076),N(X1076)&gt;0),IFERROR(N(INDEX(Parameter!$L$5:$L$7,W1076))*INDEX(Parameter!$E$5:$E$7,W1076)*X1076/SUMIFS($X$7:$X$1843,$W$7:$W$1843,W1076),0),0)</f>
        <v>0</v>
      </c>
    </row>
    <row r="1077" customFormat="false" ht="15" hidden="false" customHeight="false" outlineLevel="0" collapsed="false">
      <c r="A1077" s="48" t="s">
        <v>1969</v>
      </c>
      <c r="B1077" s="48" t="s">
        <v>1970</v>
      </c>
      <c r="C1077" s="48" t="s">
        <v>168</v>
      </c>
      <c r="D1077" s="48" t="s">
        <v>188</v>
      </c>
      <c r="E1077" s="48" t="s">
        <v>189</v>
      </c>
      <c r="F1077" s="48" t="s">
        <v>222</v>
      </c>
      <c r="G1077" s="49" t="n">
        <v>12.9</v>
      </c>
      <c r="H1077" s="50" t="n">
        <f aca="false">MAX(0,IF(AND(Parameter!$B$21="Ja",ISNUMBER(Y1077)),Y1077,IF(Parameter!$B$20="Jahresanfang 2025 + Export",BO1077+BN1077,BN1077)))</f>
        <v>13</v>
      </c>
      <c r="I1077" s="50" t="n">
        <f aca="false">H1077*G1077</f>
        <v>167.7</v>
      </c>
      <c r="J1077" s="50" t="n">
        <f aca="false">BQ1077*Parameter!$B$18</f>
        <v>8</v>
      </c>
      <c r="K1077" s="51" t="n">
        <v>23</v>
      </c>
      <c r="L1077" s="52" t="n">
        <v>0.347826086956522</v>
      </c>
      <c r="M1077" s="50" t="n">
        <v>0</v>
      </c>
      <c r="N1077" s="50" t="n">
        <v>10</v>
      </c>
      <c r="O1077" s="53" t="n">
        <v>28</v>
      </c>
      <c r="P1077" s="48" t="s">
        <v>405</v>
      </c>
      <c r="Q1077" s="50" t="n">
        <v>29</v>
      </c>
      <c r="R1077" s="53" t="n">
        <f aca="false">IF(BW1077=1,0,IFERROR(VLOOKUP(BU1077,'Gebinde-Kategorie'!$A$5:$N$45,13,0)+0,0))</f>
        <v>280</v>
      </c>
      <c r="S1077" s="54"/>
      <c r="T1077" s="55"/>
      <c r="U1077" s="55"/>
      <c r="V1077" s="55"/>
      <c r="W1077" s="48"/>
      <c r="X1077" s="50"/>
      <c r="Y1077" s="50"/>
      <c r="Z1077" s="48" t="n">
        <f aca="false">IF(A1077="","",IF(AND(Parameter!$B$21="Ja",ISNUMBER(W1077)),W1077,IF(BZ1077="2+3",IF(ISNUMBER(SEARCH("grosser Artikel",BR1077)),2,IFERROR(VLOOKUP(BU1077,Parameter!$F$35:$G$64,2,0),2)),IF(OR(BZ1077="Nein",BZ1077=""),"-",BZ1077))))</f>
        <v>3</v>
      </c>
      <c r="AA1077" s="55"/>
      <c r="AB1077" s="56"/>
      <c r="AC1077" s="50" t="n">
        <f aca="false">AT1077</f>
        <v>29</v>
      </c>
      <c r="AD1077" s="50" t="n">
        <f aca="false">MAX(AT1077,H1077)</f>
        <v>29</v>
      </c>
      <c r="AE1077" s="57"/>
      <c r="AF1077" s="50" t="n">
        <f aca="false">IF(LEFT(Cockpit!$C$5,1)="A",H1077,IF(CE1077=1,CF1077,IF(LEFT(Cockpit!$C$5,1)="B",AK1077,MAX(AK1077,H1077))))</f>
        <v>13</v>
      </c>
      <c r="AG1077" s="50" t="n">
        <f aca="false">IF(BW1077=1,0,ROUNDUP(AF1077/BV1077,0))</f>
        <v>1</v>
      </c>
      <c r="AH1077" s="52" t="n">
        <f aca="false">IF(CL1077&gt;0,CL1077*MAX(1,AF1077/X1077),IF(BW1077=1,IF(AF1077&lt;=0,0,CA1077*MAX(1,IF(H1077&gt;0,AF1077/H1077,1))),IF(R1077&gt;0,AG1077/R1077,0))/MAX(0.1,N(Parameter!$M$21)))</f>
        <v>0.00357142857142857</v>
      </c>
      <c r="AI1077" s="50" t="n">
        <f aca="false">AH1077*BY1077</f>
        <v>0.553571428571429</v>
      </c>
      <c r="AJ1077" s="50" t="n">
        <f aca="false">AF1077*G1077</f>
        <v>167.7</v>
      </c>
      <c r="AK1077" s="50" t="n">
        <f aca="false">ROUNDUP(MAX(J1077/IF(CD1077&gt;0,CD1077,MAX(0.1,N(Cockpit!$C$6))),CG1077)/BV1077,0)*BV1077</f>
        <v>29</v>
      </c>
      <c r="AL1077" s="51" t="n">
        <f aca="false">IF(AI1077&gt;0,J1077/AI1077,-1)</f>
        <v>14.4516129032258</v>
      </c>
      <c r="AM1077" s="51" t="n">
        <f aca="false">IF(AND(OR(CC1077="L1",CC1077="L23",CC1077="LIFT"),AI1077&gt;0),SUMIFS($AI$7:$AI$1843,$CC$7:$CC$1843,CC1077,$AL$7:$AL$1843,"&gt;"&amp;AL1077)+SUMIFS($AI$7:$AI$1843,$CC$7:$CC$1843,CC1077,$AL$7:$AL$1843,AL1077,$BT$7:$BT$1843,"&lt;="&amp;BT1077),"")</f>
        <v>2099.68956043956</v>
      </c>
      <c r="AN1077" s="58" t="n">
        <f aca="false">IF(AM1077="",0,MAX(0,MIN(1,(IF(CC1077="L1",Parameter!$H$5,IF(CC1077="L23",Parameter!$H$6+Parameter!$H$7,Parameter!$H$5+Parameter!$H$6+Parameter!$H$7))-(AM1077-AI1077))/AI1077)))</f>
        <v>1</v>
      </c>
      <c r="AO1077" s="50" t="n">
        <f aca="false">IF(LEFT(Cockpit!$I$5,1)="A",H1077,IF(CE1077=1,CF1077,IF(LEFT(Cockpit!$I$5,1)="B",AT1077,MAX(AT1077,H1077))))</f>
        <v>29</v>
      </c>
      <c r="AP1077" s="50" t="n">
        <f aca="false">IF(BW1077=1,0,ROUNDUP(AO1077/BV1077,0))</f>
        <v>1</v>
      </c>
      <c r="AQ1077" s="52" t="n">
        <f aca="false">IF(CL1077&gt;0,CL1077*MAX(1,AO1077/X1077),IF(BW1077=1,IF(AO1077&lt;=0,0,CA1077*MAX(1,IF(H1077&gt;0,AO1077/H1077,1))),IF(R1077&gt;0,AP1077/R1077,0))/MAX(0.1,N(Parameter!$M$21)))</f>
        <v>0.00357142857142857</v>
      </c>
      <c r="AR1077" s="50" t="n">
        <f aca="false">AQ1077*BY1077</f>
        <v>0.553571428571429</v>
      </c>
      <c r="AS1077" s="50" t="n">
        <f aca="false">AO1077*G1077</f>
        <v>374.1</v>
      </c>
      <c r="AT1077" s="50" t="n">
        <f aca="false">ROUNDUP(MAX(J1077/IF(CD1077&gt;0,CD1077,MAX(0.1,N(Cockpit!$I$6))),CG1077)/BV1077,0)*BV1077</f>
        <v>29</v>
      </c>
      <c r="AU1077" s="51" t="n">
        <f aca="false">IF(AR1077&gt;0,J1077/AR1077,-1)</f>
        <v>14.4516129032258</v>
      </c>
      <c r="AV1077" s="51" t="n">
        <f aca="false">IF(AND(OR(CC1077="L1",CC1077="L23",CC1077="LIFT"),AR1077&gt;0),SUMIFS($AR$7:$AR$1843,$CC$7:$CC$1843,CC1077,$AU$7:$AU$1843,"&gt;"&amp;AU1077)+SUMIFS($AR$7:$AR$1843,$CC$7:$CC$1843,CC1077,$AU$7:$AU$1843,AU1077,$BT$7:$BT$1843,"&lt;="&amp;BT1077),"")</f>
        <v>3292.09386446886</v>
      </c>
      <c r="AW1077" s="58" t="n">
        <f aca="false">IF(AV1077="",0,MAX(0,MIN(1,(IF(CC1077="L1",Parameter!$H$5,IF(CC1077="L23",Parameter!$H$6+Parameter!$H$7,Parameter!$H$5+Parameter!$H$6+Parameter!$H$7))-(AV1077-AR1077))/AR1077)))</f>
        <v>1</v>
      </c>
      <c r="AX1077" s="50" t="n">
        <f aca="false">IF(LEFT(Cockpit!$O$5,1)="A",H1077,IF(CE1077=1,CF1077,IF(LEFT(Cockpit!$O$5,1)="B",BC1077,MAX(BC1077,H1077))))</f>
        <v>29</v>
      </c>
      <c r="AY1077" s="50" t="n">
        <f aca="false">IF(BW1077=1,0,ROUNDUP(AX1077/BV1077,0))</f>
        <v>1</v>
      </c>
      <c r="AZ1077" s="52" t="n">
        <f aca="false">IF(CL1077&gt;0,CL1077*MAX(1,AX1077/X1077),IF(BW1077=1,IF(AX1077&lt;=0,0,CA1077*MAX(1,IF(H1077&gt;0,AX1077/H1077,1))),IF(R1077&gt;0,AY1077/R1077,0))/MAX(0.1,N(Parameter!$M$21)))</f>
        <v>0.00357142857142857</v>
      </c>
      <c r="BA1077" s="50" t="n">
        <f aca="false">AZ1077*BY1077</f>
        <v>0.553571428571429</v>
      </c>
      <c r="BB1077" s="50" t="n">
        <f aca="false">AX1077*G1077</f>
        <v>374.1</v>
      </c>
      <c r="BC1077" s="50" t="n">
        <f aca="false">ROUNDUP(MAX(J1077/IF(CD1077&gt;0,CD1077,MAX(0.1,N(Cockpit!$O$6))),CG1077)/BV1077,0)*BV1077</f>
        <v>29</v>
      </c>
      <c r="BD1077" s="51" t="n">
        <f aca="false">IF(BA1077&gt;0,J1077/BA1077,-1)</f>
        <v>14.4516129032258</v>
      </c>
      <c r="BE1077" s="51" t="n">
        <f aca="false">IF(AND(OR(CC1077="L1",CC1077="L23",CC1077="LIFT"),BA1077&gt;0),SUMIFS($BA$7:$BA$1843,$CC$7:$CC$1843,CC1077,$BD$7:$BD$1843,"&gt;"&amp;BD1077)+SUMIFS($BA$7:$BA$1843,$CC$7:$CC$1843,CC1077,$BD$7:$BD$1843,BD1077,$BT$7:$BT$1843,"&lt;="&amp;BT1077),"")</f>
        <v>2966.53296703297</v>
      </c>
      <c r="BF1077" s="58" t="n">
        <f aca="false">IF(BE1077="",0,MAX(0,MIN(1,(IF(CC1077="L1",Parameter!$H$5,IF(CC1077="L23",Parameter!$H$6+Parameter!$H$7,Parameter!$H$5+Parameter!$H$6+Parameter!$H$7))-(BE1077-BA1077))/BA1077)))</f>
        <v>1</v>
      </c>
      <c r="BG1077" s="48" t="str">
        <f aca="false">IF(AI1077&lt;=0,"",IF(CC1077="Aussen","Aussenlager",IF(CC1077="-","Nicht im Lift",IF(AN1077&gt;=1,"Lift",IF(AN1077&lt;=0,"Aussenlager","teilweise")))))</f>
        <v>Lift</v>
      </c>
      <c r="BH1077" s="48" t="str">
        <f aca="false">IF(AR1077&lt;=0,"",IF(CC1077="Aussen","Aussenlager",IF(CC1077="-","Nicht im Lift",IF(AW1077&gt;=1,"Lift",IF(AW1077&lt;=0,"Aussenlager","teilweise")))))</f>
        <v>Lift</v>
      </c>
      <c r="BI1077" s="48" t="str">
        <f aca="false">IF(BA1077&lt;=0,"",IF(CC1077="Aussen","Aussenlager",IF(CC1077="-","Nicht im Lift",IF(BF1077&gt;=1,"Lift",IF(BF1077&lt;=0,"Aussenlager","teilweise")))))</f>
        <v>Lift</v>
      </c>
      <c r="BJ1077" s="48" t="str">
        <f aca="false">IF(A1077="","",IF(BS1077=1,"Neu; ","")&amp;IF(AND(BS1077=0,BN1077&lt;0),"negativer Bestand (Export "&amp;BN1077&amp;"); ","")&amp;IF(J1077&lt;=0,"Kein Verbrauch; ","")&amp;IF(CL1077&gt;0,"Lift "&amp;W1077&amp;" lt. Liftbericht (Fach "&amp;X1077&amp;" Stk); ",IF(BX1077=1,"Gebinde geschätzt ("&amp;T1077&amp;"); ",IF(BW1077=1,"Lose – Tablare geschätzt; ","")))&amp;IF(H1077&gt;AT1077,"Überbestand "&amp;ROUND(H1077-AT1077,0)&amp;" Stk / CHF "&amp;ROUND((H1077-AT1077)*G1077,0)&amp;"; ","")&amp;IF(AND(CE1077=1,CF1077&lt;CG1077),"MAX &lt; MB+LG; ","")&amp;IF(AND(CK1077&gt;0,CJ1077*10&gt;CK1077),"zu hoch für Tablar; ","")&amp;IF(AND(BS1077=0,OR(CE1077=1,AA1077&lt;&gt;"",U1077&lt;&gt;"",V1077&lt;&gt;"",AB1077&lt;&gt;"")),"manuell übersteuert; ","")&amp;IF(AND(BW1077=0,R1077=0),"Gebinde unbekannt / Stellmass fehlt; ","")&amp;IF(AND(BW1077=0,N(V1077)&lt;=0,N(Q1077)&lt;=0),"Menge pro Gebinde fehlt (Ist = 1 Gebinde); ","")&amp;BR1077)</f>
        <v>negativer Bestand (Export -14); </v>
      </c>
      <c r="BK1077" s="48"/>
      <c r="BL1077" s="48"/>
      <c r="BM1077" s="55"/>
      <c r="BN1077" s="50" t="n">
        <v>-14</v>
      </c>
      <c r="BO1077" s="50" t="n">
        <v>27</v>
      </c>
      <c r="BP1077" s="49" t="n">
        <v>-180.6</v>
      </c>
      <c r="BQ1077" s="50" t="n">
        <v>8</v>
      </c>
      <c r="BR1077" s="48"/>
      <c r="BS1077" s="53" t="n">
        <v>0</v>
      </c>
      <c r="BT1077" s="53" t="n">
        <v>1077</v>
      </c>
      <c r="BU1077" s="48" t="str">
        <f aca="false">IF(U1077&lt;&gt;"",UPPER(TRIM(U1077)),IF(BX1077=1,UPPER(VLOOKUP(T1077,Parameter!$I$27:$K$29,2,0)),IF(P1077="","LOSE",P1077)))</f>
        <v>S21</v>
      </c>
      <c r="BV1077" s="50" t="n">
        <f aca="false">IF(BU1077="LOSE",1,IF(N(V1077)&gt;0,V1077,IF(BX1077=1,MAX(1,N(VLOOKUP(T1077,Parameter!$I$27:$K$29,3,0)),H1077,N(N1077)),IF(N(Q1077)&gt;0,Q1077,MAX(1,H1077)))))</f>
        <v>29</v>
      </c>
      <c r="BW1077" s="53" t="n">
        <f aca="false">IF(BU1077="LOSE",1,0)</f>
        <v>0</v>
      </c>
      <c r="BX1077" s="53" t="n">
        <f aca="false">IF(AND(U1077="",OR(P1077="",P1077="LOSE"),T1077&lt;&gt;"",N(S1077)&lt;=0,ISNUMBER(MATCH(T1077,Parameter!$I$27:$I$29,0))),1,0)</f>
        <v>0</v>
      </c>
      <c r="BY1077" s="53" t="n">
        <f aca="false">IF(CL1077&gt;0,INDEX(Parameter!$H$5:$H$7,W1077)/INDEX(Parameter!$E$5:$E$7,W1077),IF(AND(BW1077=0,N(IFERROR(VLOOKUP(BU1077,'Gebinde-Kategorie'!$A$5:$N$45,14,0),0))&gt;0),VLOOKUP(BU1077,'Gebinde-Kategorie'!$A$5:$N$45,14,0)*10+Parameter!$M$23,Parameter!$M$24))</f>
        <v>155</v>
      </c>
      <c r="BZ1077" s="48" t="str">
        <f aca="false">IF(AND(Parameter!$B$19="Ja",E1077&lt;&gt;"",ISNUMBER(MATCH(E1077,Parameter!$I$35:$I$52,0))),VLOOKUP(E1077,Parameter!$I$35:$J$52,2,0),IFERROR(VLOOKUP(D1077,Parameter!$A$35:$C$64,2,0),"Nein"))</f>
        <v>2+3</v>
      </c>
      <c r="CA1077" s="52" t="n">
        <f aca="false">IF(BW1077=0,0,IF(N(S1077)&gt;0,S1077,IFERROR(VLOOKUP(D1077,Parameter!$A$35:$C$64,3,0)+0,0)))</f>
        <v>0</v>
      </c>
      <c r="CB1077" s="48" t="n">
        <f aca="false">IF(AA1077&lt;&gt;"",AA1077,Z1077)</f>
        <v>3</v>
      </c>
      <c r="CC1077" s="48" t="str">
        <f aca="false">IF(OR(CB1077=1,CB1077=2,CB1077=3),IF(Parameter!$E$27="Ja","LIFT",IF(CB1077=1,"L1","L23")),IF(CB1077="Aussen","Aussen","-"))</f>
        <v>LIFT</v>
      </c>
      <c r="CD1077" s="59" t="n">
        <f aca="false">IF(N(AB1077)&gt;0,AB1077,0)</f>
        <v>0</v>
      </c>
      <c r="CE1077" s="53" t="n">
        <f aca="false">IF(ISNUMBER(AE1077),1,0)</f>
        <v>0</v>
      </c>
      <c r="CF1077" s="50" t="n">
        <f aca="false">N(AE1077)</f>
        <v>0</v>
      </c>
      <c r="CG1077" s="50" t="n">
        <f aca="false">N(M1077)+N(N1077)</f>
        <v>10</v>
      </c>
      <c r="CH1077" s="50" t="n">
        <f aca="false">ROUNDUP(H1077/BV1077,0)</f>
        <v>1</v>
      </c>
      <c r="CI1077" s="50" t="n">
        <f aca="false">ROUNDUP(CF1077/BV1077,0)</f>
        <v>0</v>
      </c>
      <c r="CJ1077" s="53" t="n">
        <f aca="false">IF(BW1077=1,0,IFERROR(VLOOKUP(BU1077,'Gebinde-Kategorie'!$A$5:$N$45,5,0)+0,0))</f>
        <v>8</v>
      </c>
      <c r="CK1077" s="53" t="n">
        <f aca="false">IFERROR(IF(OR(CB1077=1,CB1077=2,CB1077=3),N(INDEX(Parameter!$I$5:$I$7,CB1077)),0),0)</f>
        <v>0</v>
      </c>
      <c r="CL1077" s="52" t="n">
        <f aca="false">IF(AND(Parameter!$B$21="Ja",ISNUMBER(W1077),N(X1077)&gt;0),IFERROR(N(INDEX(Parameter!$L$5:$L$7,W1077))*INDEX(Parameter!$E$5:$E$7,W1077)*X1077/SUMIFS($X$7:$X$1843,$W$7:$W$1843,W1077),0),0)</f>
        <v>0</v>
      </c>
    </row>
    <row r="1078" customFormat="false" ht="15" hidden="false" customHeight="false" outlineLevel="0" collapsed="false">
      <c r="A1078" s="48" t="s">
        <v>1971</v>
      </c>
      <c r="B1078" s="48" t="s">
        <v>1972</v>
      </c>
      <c r="C1078" s="48" t="s">
        <v>168</v>
      </c>
      <c r="D1078" s="48" t="s">
        <v>188</v>
      </c>
      <c r="E1078" s="48" t="s">
        <v>189</v>
      </c>
      <c r="F1078" s="48" t="s">
        <v>222</v>
      </c>
      <c r="G1078" s="49" t="n">
        <v>8.9</v>
      </c>
      <c r="H1078" s="50" t="n">
        <f aca="false">MAX(0,IF(AND(Parameter!$B$21="Ja",ISNUMBER(Y1078)),Y1078,IF(Parameter!$B$20="Jahresanfang 2025 + Export",BO1078+BN1078,BN1078)))</f>
        <v>13</v>
      </c>
      <c r="I1078" s="50" t="n">
        <f aca="false">H1078*G1078</f>
        <v>115.7</v>
      </c>
      <c r="J1078" s="50" t="n">
        <f aca="false">BQ1078*Parameter!$B$18</f>
        <v>23</v>
      </c>
      <c r="K1078" s="51" t="n">
        <v>34</v>
      </c>
      <c r="L1078" s="52" t="n">
        <v>0.676470588235294</v>
      </c>
      <c r="M1078" s="50" t="n">
        <v>1</v>
      </c>
      <c r="N1078" s="50" t="n">
        <v>25</v>
      </c>
      <c r="O1078" s="53" t="n">
        <v>28</v>
      </c>
      <c r="P1078" s="48" t="s">
        <v>480</v>
      </c>
      <c r="Q1078" s="50" t="n">
        <v>27</v>
      </c>
      <c r="R1078" s="53" t="n">
        <f aca="false">IF(BW1078=1,0,IFERROR(VLOOKUP(BU1078,'Gebinde-Kategorie'!$A$5:$N$45,13,0)+0,0))</f>
        <v>52</v>
      </c>
      <c r="S1078" s="54"/>
      <c r="T1078" s="55"/>
      <c r="U1078" s="55"/>
      <c r="V1078" s="55"/>
      <c r="W1078" s="48"/>
      <c r="X1078" s="50"/>
      <c r="Y1078" s="50"/>
      <c r="Z1078" s="48" t="n">
        <f aca="false">IF(A1078="","",IF(AND(Parameter!$B$21="Ja",ISNUMBER(W1078)),W1078,IF(BZ1078="2+3",IF(ISNUMBER(SEARCH("grosser Artikel",BR1078)),2,IFERROR(VLOOKUP(BU1078,Parameter!$F$35:$G$64,2,0),2)),IF(OR(BZ1078="Nein",BZ1078=""),"-",BZ1078))))</f>
        <v>3</v>
      </c>
      <c r="AA1078" s="55"/>
      <c r="AB1078" s="56"/>
      <c r="AC1078" s="50" t="n">
        <f aca="false">AT1078</f>
        <v>27</v>
      </c>
      <c r="AD1078" s="50" t="n">
        <f aca="false">MAX(AT1078,H1078)</f>
        <v>27</v>
      </c>
      <c r="AE1078" s="57"/>
      <c r="AF1078" s="50" t="n">
        <f aca="false">IF(LEFT(Cockpit!$C$5,1)="A",H1078,IF(CE1078=1,CF1078,IF(LEFT(Cockpit!$C$5,1)="B",AK1078,MAX(AK1078,H1078))))</f>
        <v>13</v>
      </c>
      <c r="AG1078" s="50" t="n">
        <f aca="false">IF(BW1078=1,0,ROUNDUP(AF1078/BV1078,0))</f>
        <v>1</v>
      </c>
      <c r="AH1078" s="52" t="n">
        <f aca="false">IF(CL1078&gt;0,CL1078*MAX(1,AF1078/X1078),IF(BW1078=1,IF(AF1078&lt;=0,0,CA1078*MAX(1,IF(H1078&gt;0,AF1078/H1078,1))),IF(R1078&gt;0,AG1078/R1078,0))/MAX(0.1,N(Parameter!$M$21)))</f>
        <v>0.0192307692307692</v>
      </c>
      <c r="AI1078" s="50" t="n">
        <f aca="false">AH1078*BY1078</f>
        <v>2.98076923076923</v>
      </c>
      <c r="AJ1078" s="50" t="n">
        <f aca="false">AF1078*G1078</f>
        <v>115.7</v>
      </c>
      <c r="AK1078" s="50" t="n">
        <f aca="false">ROUNDUP(MAX(J1078/IF(CD1078&gt;0,CD1078,MAX(0.1,N(Cockpit!$C$6))),CG1078)/BV1078,0)*BV1078</f>
        <v>27</v>
      </c>
      <c r="AL1078" s="51" t="n">
        <f aca="false">IF(AI1078&gt;0,J1078/AI1078,-1)</f>
        <v>7.71612903225806</v>
      </c>
      <c r="AM1078" s="51" t="n">
        <f aca="false">IF(AND(OR(CC1078="L1",CC1078="L23",CC1078="LIFT"),AI1078&gt;0),SUMIFS($AI$7:$AI$1843,$CC$7:$CC$1843,CC1078,$AL$7:$AL$1843,"&gt;"&amp;AL1078)+SUMIFS($AI$7:$AI$1843,$CC$7:$CC$1843,CC1078,$AL$7:$AL$1843,AL1078,$BT$7:$BT$1843,"&lt;="&amp;BT1078),"")</f>
        <v>3119.05769230769</v>
      </c>
      <c r="AN1078" s="58" t="n">
        <f aca="false">IF(AM1078="",0,MAX(0,MIN(1,(IF(CC1078="L1",Parameter!$H$5,IF(CC1078="L23",Parameter!$H$6+Parameter!$H$7,Parameter!$H$5+Parameter!$H$6+Parameter!$H$7))-(AM1078-AI1078))/AI1078)))</f>
        <v>1</v>
      </c>
      <c r="AO1078" s="50" t="n">
        <f aca="false">IF(LEFT(Cockpit!$I$5,1)="A",H1078,IF(CE1078=1,CF1078,IF(LEFT(Cockpit!$I$5,1)="B",AT1078,MAX(AT1078,H1078))))</f>
        <v>27</v>
      </c>
      <c r="AP1078" s="50" t="n">
        <f aca="false">IF(BW1078=1,0,ROUNDUP(AO1078/BV1078,0))</f>
        <v>1</v>
      </c>
      <c r="AQ1078" s="52" t="n">
        <f aca="false">IF(CL1078&gt;0,CL1078*MAX(1,AO1078/X1078),IF(BW1078=1,IF(AO1078&lt;=0,0,CA1078*MAX(1,IF(H1078&gt;0,AO1078/H1078,1))),IF(R1078&gt;0,AP1078/R1078,0))/MAX(0.1,N(Parameter!$M$21)))</f>
        <v>0.0192307692307692</v>
      </c>
      <c r="AR1078" s="50" t="n">
        <f aca="false">AQ1078*BY1078</f>
        <v>2.98076923076923</v>
      </c>
      <c r="AS1078" s="50" t="n">
        <f aca="false">AO1078*G1078</f>
        <v>240.3</v>
      </c>
      <c r="AT1078" s="50" t="n">
        <f aca="false">ROUNDUP(MAX(J1078/IF(CD1078&gt;0,CD1078,MAX(0.1,N(Cockpit!$I$6))),CG1078)/BV1078,0)*BV1078</f>
        <v>27</v>
      </c>
      <c r="AU1078" s="51" t="n">
        <f aca="false">IF(AR1078&gt;0,J1078/AR1078,-1)</f>
        <v>7.71612903225806</v>
      </c>
      <c r="AV1078" s="51" t="n">
        <f aca="false">IF(AND(OR(CC1078="L1",CC1078="L23",CC1078="LIFT"),AR1078&gt;0),SUMIFS($AR$7:$AR$1843,$CC$7:$CC$1843,CC1078,$AU$7:$AU$1843,"&gt;"&amp;AU1078)+SUMIFS($AR$7:$AR$1843,$CC$7:$CC$1843,CC1078,$AU$7:$AU$1843,AU1078,$BT$7:$BT$1843,"&lt;="&amp;BT1078),"")</f>
        <v>4285.18727106227</v>
      </c>
      <c r="AW1078" s="58" t="n">
        <f aca="false">IF(AV1078="",0,MAX(0,MIN(1,(IF(CC1078="L1",Parameter!$H$5,IF(CC1078="L23",Parameter!$H$6+Parameter!$H$7,Parameter!$H$5+Parameter!$H$6+Parameter!$H$7))-(AV1078-AR1078))/AR1078)))</f>
        <v>1</v>
      </c>
      <c r="AX1078" s="50" t="n">
        <f aca="false">IF(LEFT(Cockpit!$O$5,1)="A",H1078,IF(CE1078=1,CF1078,IF(LEFT(Cockpit!$O$5,1)="B",BC1078,MAX(BC1078,H1078))))</f>
        <v>27</v>
      </c>
      <c r="AY1078" s="50" t="n">
        <f aca="false">IF(BW1078=1,0,ROUNDUP(AX1078/BV1078,0))</f>
        <v>1</v>
      </c>
      <c r="AZ1078" s="52" t="n">
        <f aca="false">IF(CL1078&gt;0,CL1078*MAX(1,AX1078/X1078),IF(BW1078=1,IF(AX1078&lt;=0,0,CA1078*MAX(1,IF(H1078&gt;0,AX1078/H1078,1))),IF(R1078&gt;0,AY1078/R1078,0))/MAX(0.1,N(Parameter!$M$21)))</f>
        <v>0.0192307692307692</v>
      </c>
      <c r="BA1078" s="50" t="n">
        <f aca="false">AZ1078*BY1078</f>
        <v>2.98076923076923</v>
      </c>
      <c r="BB1078" s="50" t="n">
        <f aca="false">AX1078*G1078</f>
        <v>240.3</v>
      </c>
      <c r="BC1078" s="50" t="n">
        <f aca="false">ROUNDUP(MAX(J1078/IF(CD1078&gt;0,CD1078,MAX(0.1,N(Cockpit!$O$6))),CG1078)/BV1078,0)*BV1078</f>
        <v>27</v>
      </c>
      <c r="BD1078" s="51" t="n">
        <f aca="false">IF(BA1078&gt;0,J1078/BA1078,-1)</f>
        <v>7.71612903225806</v>
      </c>
      <c r="BE1078" s="51" t="n">
        <f aca="false">IF(AND(OR(CC1078="L1",CC1078="L23",CC1078="LIFT"),BA1078&gt;0),SUMIFS($BA$7:$BA$1843,$CC$7:$CC$1843,CC1078,$BD$7:$BD$1843,"&gt;"&amp;BD1078)+SUMIFS($BA$7:$BA$1843,$CC$7:$CC$1843,CC1078,$BD$7:$BD$1843,BD1078,$BT$7:$BT$1843,"&lt;="&amp;BT1078),"")</f>
        <v>3991.90201465201</v>
      </c>
      <c r="BF1078" s="58" t="n">
        <f aca="false">IF(BE1078="",0,MAX(0,MIN(1,(IF(CC1078="L1",Parameter!$H$5,IF(CC1078="L23",Parameter!$H$6+Parameter!$H$7,Parameter!$H$5+Parameter!$H$6+Parameter!$H$7))-(BE1078-BA1078))/BA1078)))</f>
        <v>1</v>
      </c>
      <c r="BG1078" s="48" t="str">
        <f aca="false">IF(AI1078&lt;=0,"",IF(CC1078="Aussen","Aussenlager",IF(CC1078="-","Nicht im Lift",IF(AN1078&gt;=1,"Lift",IF(AN1078&lt;=0,"Aussenlager","teilweise")))))</f>
        <v>Lift</v>
      </c>
      <c r="BH1078" s="48" t="str">
        <f aca="false">IF(AR1078&lt;=0,"",IF(CC1078="Aussen","Aussenlager",IF(CC1078="-","Nicht im Lift",IF(AW1078&gt;=1,"Lift",IF(AW1078&lt;=0,"Aussenlager","teilweise")))))</f>
        <v>Lift</v>
      </c>
      <c r="BI1078" s="48" t="str">
        <f aca="false">IF(BA1078&lt;=0,"",IF(CC1078="Aussen","Aussenlager",IF(CC1078="-","Nicht im Lift",IF(BF1078&gt;=1,"Lift",IF(BF1078&lt;=0,"Aussenlager","teilweise")))))</f>
        <v>Lift</v>
      </c>
      <c r="BJ1078" s="48" t="str">
        <f aca="false">IF(A1078="","",IF(BS1078=1,"Neu; ","")&amp;IF(AND(BS1078=0,BN1078&lt;0),"negativer Bestand (Export "&amp;BN1078&amp;"); ","")&amp;IF(J1078&lt;=0,"Kein Verbrauch; ","")&amp;IF(CL1078&gt;0,"Lift "&amp;W1078&amp;" lt. Liftbericht (Fach "&amp;X1078&amp;" Stk); ",IF(BX1078=1,"Gebinde geschätzt ("&amp;T1078&amp;"); ",IF(BW1078=1,"Lose – Tablare geschätzt; ","")))&amp;IF(H1078&gt;AT1078,"Überbestand "&amp;ROUND(H1078-AT1078,0)&amp;" Stk / CHF "&amp;ROUND((H1078-AT1078)*G1078,0)&amp;"; ","")&amp;IF(AND(CE1078=1,CF1078&lt;CG1078),"MAX &lt; MB+LG; ","")&amp;IF(AND(CK1078&gt;0,CJ1078*10&gt;CK1078),"zu hoch für Tablar; ","")&amp;IF(AND(BS1078=0,OR(CE1078=1,AA1078&lt;&gt;"",U1078&lt;&gt;"",V1078&lt;&gt;"",AB1078&lt;&gt;"")),"manuell übersteuert; ","")&amp;IF(AND(BW1078=0,R1078=0),"Gebinde unbekannt / Stellmass fehlt; ","")&amp;IF(AND(BW1078=0,N(V1078)&lt;=0,N(Q1078)&lt;=0),"Menge pro Gebinde fehlt (Ist = 1 Gebinde); ","")&amp;BR1078)</f>
        <v>negativer Bestand (Export -17); </v>
      </c>
      <c r="BK1078" s="48"/>
      <c r="BL1078" s="48"/>
      <c r="BM1078" s="55"/>
      <c r="BN1078" s="50" t="n">
        <v>-17</v>
      </c>
      <c r="BO1078" s="50" t="n">
        <v>30</v>
      </c>
      <c r="BP1078" s="49" t="n">
        <v>-182.2</v>
      </c>
      <c r="BQ1078" s="50" t="n">
        <v>23</v>
      </c>
      <c r="BR1078" s="48"/>
      <c r="BS1078" s="53" t="n">
        <v>0</v>
      </c>
      <c r="BT1078" s="53" t="n">
        <v>1078</v>
      </c>
      <c r="BU1078" s="48" t="str">
        <f aca="false">IF(U1078&lt;&gt;"",UPPER(TRIM(U1078)),IF(BX1078=1,UPPER(VLOOKUP(T1078,Parameter!$I$27:$K$29,2,0)),IF(P1078="","LOSE",P1078)))</f>
        <v>S33</v>
      </c>
      <c r="BV1078" s="50" t="n">
        <f aca="false">IF(BU1078="LOSE",1,IF(N(V1078)&gt;0,V1078,IF(BX1078=1,MAX(1,N(VLOOKUP(T1078,Parameter!$I$27:$K$29,3,0)),H1078,N(N1078)),IF(N(Q1078)&gt;0,Q1078,MAX(1,H1078)))))</f>
        <v>27</v>
      </c>
      <c r="BW1078" s="53" t="n">
        <f aca="false">IF(BU1078="LOSE",1,0)</f>
        <v>0</v>
      </c>
      <c r="BX1078" s="53" t="n">
        <f aca="false">IF(AND(U1078="",OR(P1078="",P1078="LOSE"),T1078&lt;&gt;"",N(S1078)&lt;=0,ISNUMBER(MATCH(T1078,Parameter!$I$27:$I$29,0))),1,0)</f>
        <v>0</v>
      </c>
      <c r="BY1078" s="53" t="n">
        <f aca="false">IF(CL1078&gt;0,INDEX(Parameter!$H$5:$H$7,W1078)/INDEX(Parameter!$E$5:$E$7,W1078),IF(AND(BW1078=0,N(IFERROR(VLOOKUP(BU1078,'Gebinde-Kategorie'!$A$5:$N$45,14,0),0))&gt;0),VLOOKUP(BU1078,'Gebinde-Kategorie'!$A$5:$N$45,14,0)*10+Parameter!$M$23,Parameter!$M$24))</f>
        <v>155</v>
      </c>
      <c r="BZ1078" s="48" t="str">
        <f aca="false">IF(AND(Parameter!$B$19="Ja",E1078&lt;&gt;"",ISNUMBER(MATCH(E1078,Parameter!$I$35:$I$52,0))),VLOOKUP(E1078,Parameter!$I$35:$J$52,2,0),IFERROR(VLOOKUP(D1078,Parameter!$A$35:$C$64,2,0),"Nein"))</f>
        <v>2+3</v>
      </c>
      <c r="CA1078" s="52" t="n">
        <f aca="false">IF(BW1078=0,0,IF(N(S1078)&gt;0,S1078,IFERROR(VLOOKUP(D1078,Parameter!$A$35:$C$64,3,0)+0,0)))</f>
        <v>0</v>
      </c>
      <c r="CB1078" s="48" t="n">
        <f aca="false">IF(AA1078&lt;&gt;"",AA1078,Z1078)</f>
        <v>3</v>
      </c>
      <c r="CC1078" s="48" t="str">
        <f aca="false">IF(OR(CB1078=1,CB1078=2,CB1078=3),IF(Parameter!$E$27="Ja","LIFT",IF(CB1078=1,"L1","L23")),IF(CB1078="Aussen","Aussen","-"))</f>
        <v>LIFT</v>
      </c>
      <c r="CD1078" s="59" t="n">
        <f aca="false">IF(N(AB1078)&gt;0,AB1078,0)</f>
        <v>0</v>
      </c>
      <c r="CE1078" s="53" t="n">
        <f aca="false">IF(ISNUMBER(AE1078),1,0)</f>
        <v>0</v>
      </c>
      <c r="CF1078" s="50" t="n">
        <f aca="false">N(AE1078)</f>
        <v>0</v>
      </c>
      <c r="CG1078" s="50" t="n">
        <f aca="false">N(M1078)+N(N1078)</f>
        <v>26</v>
      </c>
      <c r="CH1078" s="50" t="n">
        <f aca="false">ROUNDUP(H1078/BV1078,0)</f>
        <v>1</v>
      </c>
      <c r="CI1078" s="50" t="n">
        <f aca="false">ROUNDUP(CF1078/BV1078,0)</f>
        <v>0</v>
      </c>
      <c r="CJ1078" s="53" t="n">
        <f aca="false">IF(BW1078=1,0,IFERROR(VLOOKUP(BU1078,'Gebinde-Kategorie'!$A$5:$N$45,5,0)+0,0))</f>
        <v>8</v>
      </c>
      <c r="CK1078" s="53" t="n">
        <f aca="false">IFERROR(IF(OR(CB1078=1,CB1078=2,CB1078=3),N(INDEX(Parameter!$I$5:$I$7,CB1078)),0),0)</f>
        <v>0</v>
      </c>
      <c r="CL1078" s="52" t="n">
        <f aca="false">IF(AND(Parameter!$B$21="Ja",ISNUMBER(W1078),N(X1078)&gt;0),IFERROR(N(INDEX(Parameter!$L$5:$L$7,W1078))*INDEX(Parameter!$E$5:$E$7,W1078)*X1078/SUMIFS($X$7:$X$1843,$W$7:$W$1843,W1078),0),0)</f>
        <v>0</v>
      </c>
    </row>
    <row r="1079" customFormat="false" ht="15" hidden="false" customHeight="false" outlineLevel="0" collapsed="false">
      <c r="A1079" s="48" t="s">
        <v>1973</v>
      </c>
      <c r="B1079" s="48" t="s">
        <v>411</v>
      </c>
      <c r="C1079" s="48" t="s">
        <v>168</v>
      </c>
      <c r="D1079" s="48" t="s">
        <v>188</v>
      </c>
      <c r="E1079" s="48" t="s">
        <v>189</v>
      </c>
      <c r="F1079" s="48" t="s">
        <v>222</v>
      </c>
      <c r="G1079" s="49" t="n">
        <v>0.03</v>
      </c>
      <c r="H1079" s="50" t="n">
        <f aca="false">MAX(0,IF(AND(Parameter!$B$21="Ja",ISNUMBER(Y1079)),Y1079,IF(Parameter!$B$20="Jahresanfang 2025 + Export",BO1079+BN1079,BN1079)))</f>
        <v>1561</v>
      </c>
      <c r="I1079" s="50" t="n">
        <f aca="false">H1079*G1079</f>
        <v>46.83</v>
      </c>
      <c r="J1079" s="50" t="n">
        <f aca="false">BQ1079*Parameter!$B$18</f>
        <v>6186</v>
      </c>
      <c r="K1079" s="51" t="n">
        <v>5410.5</v>
      </c>
      <c r="L1079" s="52" t="n">
        <v>1.14333240920433</v>
      </c>
      <c r="M1079" s="50" t="n">
        <v>360</v>
      </c>
      <c r="N1079" s="50" t="n">
        <v>2000</v>
      </c>
      <c r="O1079" s="53" t="n">
        <v>21</v>
      </c>
      <c r="P1079" s="48" t="s">
        <v>480</v>
      </c>
      <c r="Q1079" s="50" t="n">
        <v>5992</v>
      </c>
      <c r="R1079" s="53" t="n">
        <f aca="false">IF(BW1079=1,0,IFERROR(VLOOKUP(BU1079,'Gebinde-Kategorie'!$A$5:$N$45,13,0)+0,0))</f>
        <v>52</v>
      </c>
      <c r="S1079" s="54"/>
      <c r="T1079" s="55"/>
      <c r="U1079" s="55"/>
      <c r="V1079" s="55"/>
      <c r="W1079" s="48"/>
      <c r="X1079" s="50"/>
      <c r="Y1079" s="50"/>
      <c r="Z1079" s="48" t="n">
        <f aca="false">IF(A1079="","",IF(AND(Parameter!$B$21="Ja",ISNUMBER(W1079)),W1079,IF(BZ1079="2+3",IF(ISNUMBER(SEARCH("grosser Artikel",BR1079)),2,IFERROR(VLOOKUP(BU1079,Parameter!$F$35:$G$64,2,0),2)),IF(OR(BZ1079="Nein",BZ1079=""),"-",BZ1079))))</f>
        <v>3</v>
      </c>
      <c r="AA1079" s="55"/>
      <c r="AB1079" s="56"/>
      <c r="AC1079" s="50" t="n">
        <f aca="false">AT1079</f>
        <v>5992</v>
      </c>
      <c r="AD1079" s="50" t="n">
        <f aca="false">MAX(AT1079,H1079)</f>
        <v>5992</v>
      </c>
      <c r="AE1079" s="57"/>
      <c r="AF1079" s="50" t="n">
        <f aca="false">IF(LEFT(Cockpit!$C$5,1)="A",H1079,IF(CE1079=1,CF1079,IF(LEFT(Cockpit!$C$5,1)="B",AK1079,MAX(AK1079,H1079))))</f>
        <v>1561</v>
      </c>
      <c r="AG1079" s="50" t="n">
        <f aca="false">IF(BW1079=1,0,ROUNDUP(AF1079/BV1079,0))</f>
        <v>1</v>
      </c>
      <c r="AH1079" s="52" t="n">
        <f aca="false">IF(CL1079&gt;0,CL1079*MAX(1,AF1079/X1079),IF(BW1079=1,IF(AF1079&lt;=0,0,CA1079*MAX(1,IF(H1079&gt;0,AF1079/H1079,1))),IF(R1079&gt;0,AG1079/R1079,0))/MAX(0.1,N(Parameter!$M$21)))</f>
        <v>0.0192307692307692</v>
      </c>
      <c r="AI1079" s="50" t="n">
        <f aca="false">AH1079*BY1079</f>
        <v>2.98076923076923</v>
      </c>
      <c r="AJ1079" s="50" t="n">
        <f aca="false">AF1079*G1079</f>
        <v>46.83</v>
      </c>
      <c r="AK1079" s="50" t="n">
        <f aca="false">ROUNDUP(MAX(J1079/IF(CD1079&gt;0,CD1079,MAX(0.1,N(Cockpit!$C$6))),CG1079)/BV1079,0)*BV1079</f>
        <v>5992</v>
      </c>
      <c r="AL1079" s="51" t="n">
        <f aca="false">IF(AI1079&gt;0,J1079/AI1079,-1)</f>
        <v>2075.30322580645</v>
      </c>
      <c r="AM1079" s="51" t="n">
        <f aca="false">IF(AND(OR(CC1079="L1",CC1079="L23",CC1079="LIFT"),AI1079&gt;0),SUMIFS($AI$7:$AI$1843,$CC$7:$CC$1843,CC1079,$AL$7:$AL$1843,"&gt;"&amp;AL1079)+SUMIFS($AI$7:$AI$1843,$CC$7:$CC$1843,CC1079,$AL$7:$AL$1843,AL1079,$BT$7:$BT$1843,"&lt;="&amp;BT1079),"")</f>
        <v>5.96153846153846</v>
      </c>
      <c r="AN1079" s="58" t="n">
        <f aca="false">IF(AM1079="",0,MAX(0,MIN(1,(IF(CC1079="L1",Parameter!$H$5,IF(CC1079="L23",Parameter!$H$6+Parameter!$H$7,Parameter!$H$5+Parameter!$H$6+Parameter!$H$7))-(AM1079-AI1079))/AI1079)))</f>
        <v>1</v>
      </c>
      <c r="AO1079" s="50" t="n">
        <f aca="false">IF(LEFT(Cockpit!$I$5,1)="A",H1079,IF(CE1079=1,CF1079,IF(LEFT(Cockpit!$I$5,1)="B",AT1079,MAX(AT1079,H1079))))</f>
        <v>5992</v>
      </c>
      <c r="AP1079" s="50" t="n">
        <f aca="false">IF(BW1079=1,0,ROUNDUP(AO1079/BV1079,0))</f>
        <v>1</v>
      </c>
      <c r="AQ1079" s="52" t="n">
        <f aca="false">IF(CL1079&gt;0,CL1079*MAX(1,AO1079/X1079),IF(BW1079=1,IF(AO1079&lt;=0,0,CA1079*MAX(1,IF(H1079&gt;0,AO1079/H1079,1))),IF(R1079&gt;0,AP1079/R1079,0))/MAX(0.1,N(Parameter!$M$21)))</f>
        <v>0.0192307692307692</v>
      </c>
      <c r="AR1079" s="50" t="n">
        <f aca="false">AQ1079*BY1079</f>
        <v>2.98076923076923</v>
      </c>
      <c r="AS1079" s="50" t="n">
        <f aca="false">AO1079*G1079</f>
        <v>179.76</v>
      </c>
      <c r="AT1079" s="50" t="n">
        <f aca="false">ROUNDUP(MAX(J1079/IF(CD1079&gt;0,CD1079,MAX(0.1,N(Cockpit!$I$6))),CG1079)/BV1079,0)*BV1079</f>
        <v>5992</v>
      </c>
      <c r="AU1079" s="51" t="n">
        <f aca="false">IF(AR1079&gt;0,J1079/AR1079,-1)</f>
        <v>2075.30322580645</v>
      </c>
      <c r="AV1079" s="51" t="n">
        <f aca="false">IF(AND(OR(CC1079="L1",CC1079="L23",CC1079="LIFT"),AR1079&gt;0),SUMIFS($AR$7:$AR$1843,$CC$7:$CC$1843,CC1079,$AU$7:$AU$1843,"&gt;"&amp;AU1079)+SUMIFS($AR$7:$AR$1843,$CC$7:$CC$1843,CC1079,$AU$7:$AU$1843,AU1079,$BT$7:$BT$1843,"&lt;="&amp;BT1079),"")</f>
        <v>5.96153846153846</v>
      </c>
      <c r="AW1079" s="58" t="n">
        <f aca="false">IF(AV1079="",0,MAX(0,MIN(1,(IF(CC1079="L1",Parameter!$H$5,IF(CC1079="L23",Parameter!$H$6+Parameter!$H$7,Parameter!$H$5+Parameter!$H$6+Parameter!$H$7))-(AV1079-AR1079))/AR1079)))</f>
        <v>1</v>
      </c>
      <c r="AX1079" s="50" t="n">
        <f aca="false">IF(LEFT(Cockpit!$O$5,1)="A",H1079,IF(CE1079=1,CF1079,IF(LEFT(Cockpit!$O$5,1)="B",BC1079,MAX(BC1079,H1079))))</f>
        <v>5992</v>
      </c>
      <c r="AY1079" s="50" t="n">
        <f aca="false">IF(BW1079=1,0,ROUNDUP(AX1079/BV1079,0))</f>
        <v>1</v>
      </c>
      <c r="AZ1079" s="52" t="n">
        <f aca="false">IF(CL1079&gt;0,CL1079*MAX(1,AX1079/X1079),IF(BW1079=1,IF(AX1079&lt;=0,0,CA1079*MAX(1,IF(H1079&gt;0,AX1079/H1079,1))),IF(R1079&gt;0,AY1079/R1079,0))/MAX(0.1,N(Parameter!$M$21)))</f>
        <v>0.0192307692307692</v>
      </c>
      <c r="BA1079" s="50" t="n">
        <f aca="false">AZ1079*BY1079</f>
        <v>2.98076923076923</v>
      </c>
      <c r="BB1079" s="50" t="n">
        <f aca="false">AX1079*G1079</f>
        <v>179.76</v>
      </c>
      <c r="BC1079" s="50" t="n">
        <f aca="false">ROUNDUP(MAX(J1079/IF(CD1079&gt;0,CD1079,MAX(0.1,N(Cockpit!$O$6))),CG1079)/BV1079,0)*BV1079</f>
        <v>5992</v>
      </c>
      <c r="BD1079" s="51" t="n">
        <f aca="false">IF(BA1079&gt;0,J1079/BA1079,-1)</f>
        <v>2075.30322580645</v>
      </c>
      <c r="BE1079" s="51" t="n">
        <f aca="false">IF(AND(OR(CC1079="L1",CC1079="L23",CC1079="LIFT"),BA1079&gt;0),SUMIFS($BA$7:$BA$1843,$CC$7:$CC$1843,CC1079,$BD$7:$BD$1843,"&gt;"&amp;BD1079)+SUMIFS($BA$7:$BA$1843,$CC$7:$CC$1843,CC1079,$BD$7:$BD$1843,BD1079,$BT$7:$BT$1843,"&lt;="&amp;BT1079),"")</f>
        <v>5.96153846153846</v>
      </c>
      <c r="BF1079" s="58" t="n">
        <f aca="false">IF(BE1079="",0,MAX(0,MIN(1,(IF(CC1079="L1",Parameter!$H$5,IF(CC1079="L23",Parameter!$H$6+Parameter!$H$7,Parameter!$H$5+Parameter!$H$6+Parameter!$H$7))-(BE1079-BA1079))/BA1079)))</f>
        <v>1</v>
      </c>
      <c r="BG1079" s="48" t="str">
        <f aca="false">IF(AI1079&lt;=0,"",IF(CC1079="Aussen","Aussenlager",IF(CC1079="-","Nicht im Lift",IF(AN1079&gt;=1,"Lift",IF(AN1079&lt;=0,"Aussenlager","teilweise")))))</f>
        <v>Lift</v>
      </c>
      <c r="BH1079" s="48" t="str">
        <f aca="false">IF(AR1079&lt;=0,"",IF(CC1079="Aussen","Aussenlager",IF(CC1079="-","Nicht im Lift",IF(AW1079&gt;=1,"Lift",IF(AW1079&lt;=0,"Aussenlager","teilweise")))))</f>
        <v>Lift</v>
      </c>
      <c r="BI1079" s="48" t="str">
        <f aca="false">IF(BA1079&lt;=0,"",IF(CC1079="Aussen","Aussenlager",IF(CC1079="-","Nicht im Lift",IF(BF1079&gt;=1,"Lift",IF(BF1079&lt;=0,"Aussenlager","teilweise")))))</f>
        <v>Lift</v>
      </c>
      <c r="BJ1079" s="48" t="str">
        <f aca="false">IF(A1079="","",IF(BS1079=1,"Neu; ","")&amp;IF(AND(BS1079=0,BN1079&lt;0),"negativer Bestand (Export "&amp;BN1079&amp;"); ","")&amp;IF(J1079&lt;=0,"Kein Verbrauch; ","")&amp;IF(CL1079&gt;0,"Lift "&amp;W1079&amp;" lt. Liftbericht (Fach "&amp;X1079&amp;" Stk); ",IF(BX1079=1,"Gebinde geschätzt ("&amp;T1079&amp;"); ",IF(BW1079=1,"Lose – Tablare geschätzt; ","")))&amp;IF(H1079&gt;AT1079,"Überbestand "&amp;ROUND(H1079-AT1079,0)&amp;" Stk / CHF "&amp;ROUND((H1079-AT1079)*G1079,0)&amp;"; ","")&amp;IF(AND(CE1079=1,CF1079&lt;CG1079),"MAX &lt; MB+LG; ","")&amp;IF(AND(CK1079&gt;0,CJ1079*10&gt;CK1079),"zu hoch für Tablar; ","")&amp;IF(AND(BS1079=0,OR(CE1079=1,AA1079&lt;&gt;"",U1079&lt;&gt;"",V1079&lt;&gt;"",AB1079&lt;&gt;"")),"manuell übersteuert; ","")&amp;IF(AND(BW1079=0,R1079=0),"Gebinde unbekannt / Stellmass fehlt; ","")&amp;IF(AND(BW1079=0,N(V1079)&lt;=0,N(Q1079)&lt;=0),"Menge pro Gebinde fehlt (Ist = 1 Gebinde); ","")&amp;BR1079)</f>
        <v>negativer Bestand (Export -6097); </v>
      </c>
      <c r="BK1079" s="48"/>
      <c r="BL1079" s="48"/>
      <c r="BM1079" s="55"/>
      <c r="BN1079" s="50" t="n">
        <v>-6097</v>
      </c>
      <c r="BO1079" s="50" t="n">
        <v>7658</v>
      </c>
      <c r="BP1079" s="49" t="n">
        <v>-182.91</v>
      </c>
      <c r="BQ1079" s="50" t="n">
        <v>6186</v>
      </c>
      <c r="BR1079" s="48"/>
      <c r="BS1079" s="53" t="n">
        <v>0</v>
      </c>
      <c r="BT1079" s="53" t="n">
        <v>1079</v>
      </c>
      <c r="BU1079" s="48" t="str">
        <f aca="false">IF(U1079&lt;&gt;"",UPPER(TRIM(U1079)),IF(BX1079=1,UPPER(VLOOKUP(T1079,Parameter!$I$27:$K$29,2,0)),IF(P1079="","LOSE",P1079)))</f>
        <v>S33</v>
      </c>
      <c r="BV1079" s="50" t="n">
        <f aca="false">IF(BU1079="LOSE",1,IF(N(V1079)&gt;0,V1079,IF(BX1079=1,MAX(1,N(VLOOKUP(T1079,Parameter!$I$27:$K$29,3,0)),H1079,N(N1079)),IF(N(Q1079)&gt;0,Q1079,MAX(1,H1079)))))</f>
        <v>5992</v>
      </c>
      <c r="BW1079" s="53" t="n">
        <f aca="false">IF(BU1079="LOSE",1,0)</f>
        <v>0</v>
      </c>
      <c r="BX1079" s="53" t="n">
        <f aca="false">IF(AND(U1079="",OR(P1079="",P1079="LOSE"),T1079&lt;&gt;"",N(S1079)&lt;=0,ISNUMBER(MATCH(T1079,Parameter!$I$27:$I$29,0))),1,0)</f>
        <v>0</v>
      </c>
      <c r="BY1079" s="53" t="n">
        <f aca="false">IF(CL1079&gt;0,INDEX(Parameter!$H$5:$H$7,W1079)/INDEX(Parameter!$E$5:$E$7,W1079),IF(AND(BW1079=0,N(IFERROR(VLOOKUP(BU1079,'Gebinde-Kategorie'!$A$5:$N$45,14,0),0))&gt;0),VLOOKUP(BU1079,'Gebinde-Kategorie'!$A$5:$N$45,14,0)*10+Parameter!$M$23,Parameter!$M$24))</f>
        <v>155</v>
      </c>
      <c r="BZ1079" s="48" t="str">
        <f aca="false">IF(AND(Parameter!$B$19="Ja",E1079&lt;&gt;"",ISNUMBER(MATCH(E1079,Parameter!$I$35:$I$52,0))),VLOOKUP(E1079,Parameter!$I$35:$J$52,2,0),IFERROR(VLOOKUP(D1079,Parameter!$A$35:$C$64,2,0),"Nein"))</f>
        <v>2+3</v>
      </c>
      <c r="CA1079" s="52" t="n">
        <f aca="false">IF(BW1079=0,0,IF(N(S1079)&gt;0,S1079,IFERROR(VLOOKUP(D1079,Parameter!$A$35:$C$64,3,0)+0,0)))</f>
        <v>0</v>
      </c>
      <c r="CB1079" s="48" t="n">
        <f aca="false">IF(AA1079&lt;&gt;"",AA1079,Z1079)</f>
        <v>3</v>
      </c>
      <c r="CC1079" s="48" t="str">
        <f aca="false">IF(OR(CB1079=1,CB1079=2,CB1079=3),IF(Parameter!$E$27="Ja","LIFT",IF(CB1079=1,"L1","L23")),IF(CB1079="Aussen","Aussen","-"))</f>
        <v>LIFT</v>
      </c>
      <c r="CD1079" s="59" t="n">
        <f aca="false">IF(N(AB1079)&gt;0,AB1079,0)</f>
        <v>0</v>
      </c>
      <c r="CE1079" s="53" t="n">
        <f aca="false">IF(ISNUMBER(AE1079),1,0)</f>
        <v>0</v>
      </c>
      <c r="CF1079" s="50" t="n">
        <f aca="false">N(AE1079)</f>
        <v>0</v>
      </c>
      <c r="CG1079" s="50" t="n">
        <f aca="false">N(M1079)+N(N1079)</f>
        <v>2360</v>
      </c>
      <c r="CH1079" s="50" t="n">
        <f aca="false">ROUNDUP(H1079/BV1079,0)</f>
        <v>1</v>
      </c>
      <c r="CI1079" s="50" t="n">
        <f aca="false">ROUNDUP(CF1079/BV1079,0)</f>
        <v>0</v>
      </c>
      <c r="CJ1079" s="53" t="n">
        <f aca="false">IF(BW1079=1,0,IFERROR(VLOOKUP(BU1079,'Gebinde-Kategorie'!$A$5:$N$45,5,0)+0,0))</f>
        <v>8</v>
      </c>
      <c r="CK1079" s="53" t="n">
        <f aca="false">IFERROR(IF(OR(CB1079=1,CB1079=2,CB1079=3),N(INDEX(Parameter!$I$5:$I$7,CB1079)),0),0)</f>
        <v>0</v>
      </c>
      <c r="CL1079" s="52" t="n">
        <f aca="false">IF(AND(Parameter!$B$21="Ja",ISNUMBER(W1079),N(X1079)&gt;0),IFERROR(N(INDEX(Parameter!$L$5:$L$7,W1079))*INDEX(Parameter!$E$5:$E$7,W1079)*X1079/SUMIFS($X$7:$X$1843,$W$7:$W$1843,W1079),0),0)</f>
        <v>0</v>
      </c>
    </row>
    <row r="1080" customFormat="false" ht="15" hidden="false" customHeight="false" outlineLevel="0" collapsed="false">
      <c r="A1080" s="48" t="s">
        <v>1974</v>
      </c>
      <c r="B1080" s="48" t="s">
        <v>1920</v>
      </c>
      <c r="C1080" s="48" t="s">
        <v>168</v>
      </c>
      <c r="D1080" s="48" t="s">
        <v>188</v>
      </c>
      <c r="E1080" s="48" t="s">
        <v>189</v>
      </c>
      <c r="F1080" s="48" t="s">
        <v>222</v>
      </c>
      <c r="G1080" s="49" t="n">
        <v>45.83</v>
      </c>
      <c r="H1080" s="50" t="n">
        <f aca="false">MAX(0,IF(AND(Parameter!$B$21="Ja",ISNUMBER(Y1080)),Y1080,IF(Parameter!$B$20="Jahresanfang 2025 + Export",BO1080+BN1080,BN1080)))</f>
        <v>3</v>
      </c>
      <c r="I1080" s="50" t="n">
        <f aca="false">H1080*G1080</f>
        <v>137.49</v>
      </c>
      <c r="J1080" s="50" t="n">
        <f aca="false">BQ1080*Parameter!$B$18</f>
        <v>1</v>
      </c>
      <c r="K1080" s="51" t="n">
        <v>6.5</v>
      </c>
      <c r="L1080" s="52" t="n">
        <v>0.153846153846154</v>
      </c>
      <c r="M1080" s="50" t="n">
        <v>0</v>
      </c>
      <c r="N1080" s="50" t="n">
        <v>1</v>
      </c>
      <c r="O1080" s="53" t="n">
        <v>28</v>
      </c>
      <c r="P1080" s="48" t="s">
        <v>425</v>
      </c>
      <c r="Q1080" s="50" t="n">
        <v>7</v>
      </c>
      <c r="R1080" s="53" t="n">
        <f aca="false">IF(BW1080=1,0,IFERROR(VLOOKUP(BU1080,'Gebinde-Kategorie'!$A$5:$N$45,13,0)+0,0))</f>
        <v>104</v>
      </c>
      <c r="S1080" s="54"/>
      <c r="T1080" s="55"/>
      <c r="U1080" s="55"/>
      <c r="V1080" s="55"/>
      <c r="W1080" s="48"/>
      <c r="X1080" s="50"/>
      <c r="Y1080" s="50"/>
      <c r="Z1080" s="48" t="n">
        <f aca="false">IF(A1080="","",IF(AND(Parameter!$B$21="Ja",ISNUMBER(W1080)),W1080,IF(BZ1080="2+3",IF(ISNUMBER(SEARCH("grosser Artikel",BR1080)),2,IFERROR(VLOOKUP(BU1080,Parameter!$F$35:$G$64,2,0),2)),IF(OR(BZ1080="Nein",BZ1080=""),"-",BZ1080))))</f>
        <v>3</v>
      </c>
      <c r="AA1080" s="55"/>
      <c r="AB1080" s="56"/>
      <c r="AC1080" s="50" t="n">
        <f aca="false">AT1080</f>
        <v>7</v>
      </c>
      <c r="AD1080" s="50" t="n">
        <f aca="false">MAX(AT1080,H1080)</f>
        <v>7</v>
      </c>
      <c r="AE1080" s="57"/>
      <c r="AF1080" s="50" t="n">
        <f aca="false">IF(LEFT(Cockpit!$C$5,1)="A",H1080,IF(CE1080=1,CF1080,IF(LEFT(Cockpit!$C$5,1)="B",AK1080,MAX(AK1080,H1080))))</f>
        <v>3</v>
      </c>
      <c r="AG1080" s="50" t="n">
        <f aca="false">IF(BW1080=1,0,ROUNDUP(AF1080/BV1080,0))</f>
        <v>1</v>
      </c>
      <c r="AH1080" s="52" t="n">
        <f aca="false">IF(CL1080&gt;0,CL1080*MAX(1,AF1080/X1080),IF(BW1080=1,IF(AF1080&lt;=0,0,CA1080*MAX(1,IF(H1080&gt;0,AF1080/H1080,1))),IF(R1080&gt;0,AG1080/R1080,0))/MAX(0.1,N(Parameter!$M$21)))</f>
        <v>0.00961538461538462</v>
      </c>
      <c r="AI1080" s="50" t="n">
        <f aca="false">AH1080*BY1080</f>
        <v>1.49038461538462</v>
      </c>
      <c r="AJ1080" s="50" t="n">
        <f aca="false">AF1080*G1080</f>
        <v>137.49</v>
      </c>
      <c r="AK1080" s="50" t="n">
        <f aca="false">ROUNDUP(MAX(J1080/IF(CD1080&gt;0,CD1080,MAX(0.1,N(Cockpit!$C$6))),CG1080)/BV1080,0)*BV1080</f>
        <v>7</v>
      </c>
      <c r="AL1080" s="51" t="n">
        <f aca="false">IF(AI1080&gt;0,J1080/AI1080,-1)</f>
        <v>0.670967741935484</v>
      </c>
      <c r="AM1080" s="51" t="n">
        <f aca="false">IF(AND(OR(CC1080="L1",CC1080="L23",CC1080="LIFT"),AI1080&gt;0),SUMIFS($AI$7:$AI$1843,$CC$7:$CC$1843,CC1080,$AL$7:$AL$1843,"&gt;"&amp;AL1080)+SUMIFS($AI$7:$AI$1843,$CC$7:$CC$1843,CC1080,$AL$7:$AL$1843,AL1080,$BT$7:$BT$1843,"&lt;="&amp;BT1080),"")</f>
        <v>8631.01602564103</v>
      </c>
      <c r="AN1080" s="58" t="n">
        <f aca="false">IF(AM1080="",0,MAX(0,MIN(1,(IF(CC1080="L1",Parameter!$H$5,IF(CC1080="L23",Parameter!$H$6+Parameter!$H$7,Parameter!$H$5+Parameter!$H$6+Parameter!$H$7))-(AM1080-AI1080))/AI1080)))</f>
        <v>1</v>
      </c>
      <c r="AO1080" s="50" t="n">
        <f aca="false">IF(LEFT(Cockpit!$I$5,1)="A",H1080,IF(CE1080=1,CF1080,IF(LEFT(Cockpit!$I$5,1)="B",AT1080,MAX(AT1080,H1080))))</f>
        <v>7</v>
      </c>
      <c r="AP1080" s="50" t="n">
        <f aca="false">IF(BW1080=1,0,ROUNDUP(AO1080/BV1080,0))</f>
        <v>1</v>
      </c>
      <c r="AQ1080" s="52" t="n">
        <f aca="false">IF(CL1080&gt;0,CL1080*MAX(1,AO1080/X1080),IF(BW1080=1,IF(AO1080&lt;=0,0,CA1080*MAX(1,IF(H1080&gt;0,AO1080/H1080,1))),IF(R1080&gt;0,AP1080/R1080,0))/MAX(0.1,N(Parameter!$M$21)))</f>
        <v>0.00961538461538462</v>
      </c>
      <c r="AR1080" s="50" t="n">
        <f aca="false">AQ1080*BY1080</f>
        <v>1.49038461538462</v>
      </c>
      <c r="AS1080" s="50" t="n">
        <f aca="false">AO1080*G1080</f>
        <v>320.81</v>
      </c>
      <c r="AT1080" s="50" t="n">
        <f aca="false">ROUNDUP(MAX(J1080/IF(CD1080&gt;0,CD1080,MAX(0.1,N(Cockpit!$I$6))),CG1080)/BV1080,0)*BV1080</f>
        <v>7</v>
      </c>
      <c r="AU1080" s="51" t="n">
        <f aca="false">IF(AR1080&gt;0,J1080/AR1080,-1)</f>
        <v>0.670967741935484</v>
      </c>
      <c r="AV1080" s="51" t="n">
        <f aca="false">IF(AND(OR(CC1080="L1",CC1080="L23",CC1080="LIFT"),AR1080&gt;0),SUMIFS($AR$7:$AR$1843,$CC$7:$CC$1843,CC1080,$AU$7:$AU$1843,"&gt;"&amp;AU1080)+SUMIFS($AR$7:$AR$1843,$CC$7:$CC$1843,CC1080,$AU$7:$AU$1843,AU1080,$BT$7:$BT$1843,"&lt;="&amp;BT1080),"")</f>
        <v>11773.1382783883</v>
      </c>
      <c r="AW1080" s="58" t="n">
        <f aca="false">IF(AV1080="",0,MAX(0,MIN(1,(IF(CC1080="L1",Parameter!$H$5,IF(CC1080="L23",Parameter!$H$6+Parameter!$H$7,Parameter!$H$5+Parameter!$H$6+Parameter!$H$7))-(AV1080-AR1080))/AR1080)))</f>
        <v>1</v>
      </c>
      <c r="AX1080" s="50" t="n">
        <f aca="false">IF(LEFT(Cockpit!$O$5,1)="A",H1080,IF(CE1080=1,CF1080,IF(LEFT(Cockpit!$O$5,1)="B",BC1080,MAX(BC1080,H1080))))</f>
        <v>7</v>
      </c>
      <c r="AY1080" s="50" t="n">
        <f aca="false">IF(BW1080=1,0,ROUNDUP(AX1080/BV1080,0))</f>
        <v>1</v>
      </c>
      <c r="AZ1080" s="52" t="n">
        <f aca="false">IF(CL1080&gt;0,CL1080*MAX(1,AX1080/X1080),IF(BW1080=1,IF(AX1080&lt;=0,0,CA1080*MAX(1,IF(H1080&gt;0,AX1080/H1080,1))),IF(R1080&gt;0,AY1080/R1080,0))/MAX(0.1,N(Parameter!$M$21)))</f>
        <v>0.00961538461538462</v>
      </c>
      <c r="BA1080" s="50" t="n">
        <f aca="false">AZ1080*BY1080</f>
        <v>1.49038461538462</v>
      </c>
      <c r="BB1080" s="50" t="n">
        <f aca="false">AX1080*G1080</f>
        <v>320.81</v>
      </c>
      <c r="BC1080" s="50" t="n">
        <f aca="false">ROUNDUP(MAX(J1080/IF(CD1080&gt;0,CD1080,MAX(0.1,N(Cockpit!$O$6))),CG1080)/BV1080,0)*BV1080</f>
        <v>7</v>
      </c>
      <c r="BD1080" s="51" t="n">
        <f aca="false">IF(BA1080&gt;0,J1080/BA1080,-1)</f>
        <v>0.670967741935484</v>
      </c>
      <c r="BE1080" s="51" t="n">
        <f aca="false">IF(AND(OR(CC1080="L1",CC1080="L23",CC1080="LIFT"),BA1080&gt;0),SUMIFS($BA$7:$BA$1843,$CC$7:$CC$1843,CC1080,$BD$7:$BD$1843,"&gt;"&amp;BD1080)+SUMIFS($BA$7:$BA$1843,$CC$7:$CC$1843,CC1080,$BD$7:$BD$1843,BD1080,$BT$7:$BT$1843,"&lt;="&amp;BT1080),"")</f>
        <v>11372.961996337</v>
      </c>
      <c r="BF1080" s="58" t="n">
        <f aca="false">IF(BE1080="",0,MAX(0,MIN(1,(IF(CC1080="L1",Parameter!$H$5,IF(CC1080="L23",Parameter!$H$6+Parameter!$H$7,Parameter!$H$5+Parameter!$H$6+Parameter!$H$7))-(BE1080-BA1080))/BA1080)))</f>
        <v>1</v>
      </c>
      <c r="BG1080" s="48" t="str">
        <f aca="false">IF(AI1080&lt;=0,"",IF(CC1080="Aussen","Aussenlager",IF(CC1080="-","Nicht im Lift",IF(AN1080&gt;=1,"Lift",IF(AN1080&lt;=0,"Aussenlager","teilweise")))))</f>
        <v>Lift</v>
      </c>
      <c r="BH1080" s="48" t="str">
        <f aca="false">IF(AR1080&lt;=0,"",IF(CC1080="Aussen","Aussenlager",IF(CC1080="-","Nicht im Lift",IF(AW1080&gt;=1,"Lift",IF(AW1080&lt;=0,"Aussenlager","teilweise")))))</f>
        <v>Lift</v>
      </c>
      <c r="BI1080" s="48" t="str">
        <f aca="false">IF(BA1080&lt;=0,"",IF(CC1080="Aussen","Aussenlager",IF(CC1080="-","Nicht im Lift",IF(BF1080&gt;=1,"Lift",IF(BF1080&lt;=0,"Aussenlager","teilweise")))))</f>
        <v>Lift</v>
      </c>
      <c r="BJ1080" s="48" t="str">
        <f aca="false">IF(A1080="","",IF(BS1080=1,"Neu; ","")&amp;IF(AND(BS1080=0,BN1080&lt;0),"negativer Bestand (Export "&amp;BN1080&amp;"); ","")&amp;IF(J1080&lt;=0,"Kein Verbrauch; ","")&amp;IF(CL1080&gt;0,"Lift "&amp;W1080&amp;" lt. Liftbericht (Fach "&amp;X1080&amp;" Stk); ",IF(BX1080=1,"Gebinde geschätzt ("&amp;T1080&amp;"); ",IF(BW1080=1,"Lose – Tablare geschätzt; ","")))&amp;IF(H1080&gt;AT1080,"Überbestand "&amp;ROUND(H1080-AT1080,0)&amp;" Stk / CHF "&amp;ROUND((H1080-AT1080)*G1080,0)&amp;"; ","")&amp;IF(AND(CE1080=1,CF1080&lt;CG1080),"MAX &lt; MB+LG; ","")&amp;IF(AND(CK1080&gt;0,CJ1080*10&gt;CK1080),"zu hoch für Tablar; ","")&amp;IF(AND(BS1080=0,OR(CE1080=1,AA1080&lt;&gt;"",U1080&lt;&gt;"",V1080&lt;&gt;"",AB1080&lt;&gt;"")),"manuell übersteuert; ","")&amp;IF(AND(BW1080=0,R1080=0),"Gebinde unbekannt / Stellmass fehlt; ","")&amp;IF(AND(BW1080=0,N(V1080)&lt;=0,N(Q1080)&lt;=0),"Menge pro Gebinde fehlt (Ist = 1 Gebinde); ","")&amp;BR1080)</f>
        <v>negativer Bestand (Export -4); </v>
      </c>
      <c r="BK1080" s="48"/>
      <c r="BL1080" s="48"/>
      <c r="BM1080" s="55"/>
      <c r="BN1080" s="50" t="n">
        <v>-4</v>
      </c>
      <c r="BO1080" s="50" t="n">
        <v>7</v>
      </c>
      <c r="BP1080" s="49" t="n">
        <v>-183.32</v>
      </c>
      <c r="BQ1080" s="50" t="n">
        <v>1</v>
      </c>
      <c r="BR1080" s="48"/>
      <c r="BS1080" s="53" t="n">
        <v>0</v>
      </c>
      <c r="BT1080" s="53" t="n">
        <v>1080</v>
      </c>
      <c r="BU1080" s="48" t="str">
        <f aca="false">IF(U1080&lt;&gt;"",UPPER(TRIM(U1080)),IF(BX1080=1,UPPER(VLOOKUP(T1080,Parameter!$I$27:$K$29,2,0)),IF(P1080="","LOSE",P1080)))</f>
        <v>S32</v>
      </c>
      <c r="BV1080" s="50" t="n">
        <f aca="false">IF(BU1080="LOSE",1,IF(N(V1080)&gt;0,V1080,IF(BX1080=1,MAX(1,N(VLOOKUP(T1080,Parameter!$I$27:$K$29,3,0)),H1080,N(N1080)),IF(N(Q1080)&gt;0,Q1080,MAX(1,H1080)))))</f>
        <v>7</v>
      </c>
      <c r="BW1080" s="53" t="n">
        <f aca="false">IF(BU1080="LOSE",1,0)</f>
        <v>0</v>
      </c>
      <c r="BX1080" s="53" t="n">
        <f aca="false">IF(AND(U1080="",OR(P1080="",P1080="LOSE"),T1080&lt;&gt;"",N(S1080)&lt;=0,ISNUMBER(MATCH(T1080,Parameter!$I$27:$I$29,0))),1,0)</f>
        <v>0</v>
      </c>
      <c r="BY1080" s="53" t="n">
        <f aca="false">IF(CL1080&gt;0,INDEX(Parameter!$H$5:$H$7,W1080)/INDEX(Parameter!$E$5:$E$7,W1080),IF(AND(BW1080=0,N(IFERROR(VLOOKUP(BU1080,'Gebinde-Kategorie'!$A$5:$N$45,14,0),0))&gt;0),VLOOKUP(BU1080,'Gebinde-Kategorie'!$A$5:$N$45,14,0)*10+Parameter!$M$23,Parameter!$M$24))</f>
        <v>155</v>
      </c>
      <c r="BZ1080" s="48" t="str">
        <f aca="false">IF(AND(Parameter!$B$19="Ja",E1080&lt;&gt;"",ISNUMBER(MATCH(E1080,Parameter!$I$35:$I$52,0))),VLOOKUP(E1080,Parameter!$I$35:$J$52,2,0),IFERROR(VLOOKUP(D1080,Parameter!$A$35:$C$64,2,0),"Nein"))</f>
        <v>2+3</v>
      </c>
      <c r="CA1080" s="52" t="n">
        <f aca="false">IF(BW1080=0,0,IF(N(S1080)&gt;0,S1080,IFERROR(VLOOKUP(D1080,Parameter!$A$35:$C$64,3,0)+0,0)))</f>
        <v>0</v>
      </c>
      <c r="CB1080" s="48" t="n">
        <f aca="false">IF(AA1080&lt;&gt;"",AA1080,Z1080)</f>
        <v>3</v>
      </c>
      <c r="CC1080" s="48" t="str">
        <f aca="false">IF(OR(CB1080=1,CB1080=2,CB1080=3),IF(Parameter!$E$27="Ja","LIFT",IF(CB1080=1,"L1","L23")),IF(CB1080="Aussen","Aussen","-"))</f>
        <v>LIFT</v>
      </c>
      <c r="CD1080" s="59" t="n">
        <f aca="false">IF(N(AB1080)&gt;0,AB1080,0)</f>
        <v>0</v>
      </c>
      <c r="CE1080" s="53" t="n">
        <f aca="false">IF(ISNUMBER(AE1080),1,0)</f>
        <v>0</v>
      </c>
      <c r="CF1080" s="50" t="n">
        <f aca="false">N(AE1080)</f>
        <v>0</v>
      </c>
      <c r="CG1080" s="50" t="n">
        <f aca="false">N(M1080)+N(N1080)</f>
        <v>1</v>
      </c>
      <c r="CH1080" s="50" t="n">
        <f aca="false">ROUNDUP(H1080/BV1080,0)</f>
        <v>1</v>
      </c>
      <c r="CI1080" s="50" t="n">
        <f aca="false">ROUNDUP(CF1080/BV1080,0)</f>
        <v>0</v>
      </c>
      <c r="CJ1080" s="53" t="n">
        <f aca="false">IF(BW1080=1,0,IFERROR(VLOOKUP(BU1080,'Gebinde-Kategorie'!$A$5:$N$45,5,0)+0,0))</f>
        <v>8</v>
      </c>
      <c r="CK1080" s="53" t="n">
        <f aca="false">IFERROR(IF(OR(CB1080=1,CB1080=2,CB1080=3),N(INDEX(Parameter!$I$5:$I$7,CB1080)),0),0)</f>
        <v>0</v>
      </c>
      <c r="CL1080" s="52" t="n">
        <f aca="false">IF(AND(Parameter!$B$21="Ja",ISNUMBER(W1080),N(X1080)&gt;0),IFERROR(N(INDEX(Parameter!$L$5:$L$7,W1080))*INDEX(Parameter!$E$5:$E$7,W1080)*X1080/SUMIFS($X$7:$X$1843,$W$7:$W$1843,W1080),0),0)</f>
        <v>0</v>
      </c>
    </row>
    <row r="1081" customFormat="false" ht="15" hidden="false" customHeight="false" outlineLevel="0" collapsed="false">
      <c r="A1081" s="48" t="s">
        <v>1975</v>
      </c>
      <c r="B1081" s="48" t="s">
        <v>499</v>
      </c>
      <c r="C1081" s="48" t="s">
        <v>168</v>
      </c>
      <c r="D1081" s="48" t="s">
        <v>188</v>
      </c>
      <c r="E1081" s="48" t="s">
        <v>189</v>
      </c>
      <c r="F1081" s="48" t="s">
        <v>222</v>
      </c>
      <c r="G1081" s="49" t="n">
        <v>3.55</v>
      </c>
      <c r="H1081" s="50" t="n">
        <f aca="false">MAX(0,IF(AND(Parameter!$B$21="Ja",ISNUMBER(Y1081)),Y1081,IF(Parameter!$B$20="Jahresanfang 2025 + Export",BO1081+BN1081,BN1081)))</f>
        <v>162</v>
      </c>
      <c r="I1081" s="50" t="n">
        <f aca="false">H1081*G1081</f>
        <v>575.1</v>
      </c>
      <c r="J1081" s="50" t="n">
        <f aca="false">BQ1081*Parameter!$B$18</f>
        <v>549</v>
      </c>
      <c r="K1081" s="51" t="n">
        <v>249.5</v>
      </c>
      <c r="L1081" s="52" t="n">
        <v>2.20040080160321</v>
      </c>
      <c r="M1081" s="50" t="n">
        <v>21</v>
      </c>
      <c r="N1081" s="50" t="n">
        <v>100</v>
      </c>
      <c r="O1081" s="53" t="n">
        <v>14</v>
      </c>
      <c r="P1081" s="48" t="s">
        <v>480</v>
      </c>
      <c r="Q1081" s="50" t="n">
        <v>716</v>
      </c>
      <c r="R1081" s="53" t="n">
        <f aca="false">IF(BW1081=1,0,IFERROR(VLOOKUP(BU1081,'Gebinde-Kategorie'!$A$5:$N$45,13,0)+0,0))</f>
        <v>52</v>
      </c>
      <c r="S1081" s="54"/>
      <c r="T1081" s="55"/>
      <c r="U1081" s="55"/>
      <c r="V1081" s="55"/>
      <c r="W1081" s="48"/>
      <c r="X1081" s="50"/>
      <c r="Y1081" s="50"/>
      <c r="Z1081" s="48" t="n">
        <f aca="false">IF(A1081="","",IF(AND(Parameter!$B$21="Ja",ISNUMBER(W1081)),W1081,IF(BZ1081="2+3",IF(ISNUMBER(SEARCH("grosser Artikel",BR1081)),2,IFERROR(VLOOKUP(BU1081,Parameter!$F$35:$G$64,2,0),2)),IF(OR(BZ1081="Nein",BZ1081=""),"-",BZ1081))))</f>
        <v>3</v>
      </c>
      <c r="AA1081" s="55"/>
      <c r="AB1081" s="56"/>
      <c r="AC1081" s="50" t="n">
        <f aca="false">AT1081</f>
        <v>716</v>
      </c>
      <c r="AD1081" s="50" t="n">
        <f aca="false">MAX(AT1081,H1081)</f>
        <v>716</v>
      </c>
      <c r="AE1081" s="57"/>
      <c r="AF1081" s="50" t="n">
        <f aca="false">IF(LEFT(Cockpit!$C$5,1)="A",H1081,IF(CE1081=1,CF1081,IF(LEFT(Cockpit!$C$5,1)="B",AK1081,MAX(AK1081,H1081))))</f>
        <v>162</v>
      </c>
      <c r="AG1081" s="50" t="n">
        <f aca="false">IF(BW1081=1,0,ROUNDUP(AF1081/BV1081,0))</f>
        <v>1</v>
      </c>
      <c r="AH1081" s="52" t="n">
        <f aca="false">IF(CL1081&gt;0,CL1081*MAX(1,AF1081/X1081),IF(BW1081=1,IF(AF1081&lt;=0,0,CA1081*MAX(1,IF(H1081&gt;0,AF1081/H1081,1))),IF(R1081&gt;0,AG1081/R1081,0))/MAX(0.1,N(Parameter!$M$21)))</f>
        <v>0.0192307692307692</v>
      </c>
      <c r="AI1081" s="50" t="n">
        <f aca="false">AH1081*BY1081</f>
        <v>2.98076923076923</v>
      </c>
      <c r="AJ1081" s="50" t="n">
        <f aca="false">AF1081*G1081</f>
        <v>575.1</v>
      </c>
      <c r="AK1081" s="50" t="n">
        <f aca="false">ROUNDUP(MAX(J1081/IF(CD1081&gt;0,CD1081,MAX(0.1,N(Cockpit!$C$6))),CG1081)/BV1081,0)*BV1081</f>
        <v>716</v>
      </c>
      <c r="AL1081" s="51" t="n">
        <f aca="false">IF(AI1081&gt;0,J1081/AI1081,-1)</f>
        <v>184.18064516129</v>
      </c>
      <c r="AM1081" s="51" t="n">
        <f aca="false">IF(AND(OR(CC1081="L1",CC1081="L23",CC1081="LIFT"),AI1081&gt;0),SUMIFS($AI$7:$AI$1843,$CC$7:$CC$1843,CC1081,$AL$7:$AL$1843,"&gt;"&amp;AL1081)+SUMIFS($AI$7:$AI$1843,$CC$7:$CC$1843,CC1081,$AL$7:$AL$1843,AL1081,$BT$7:$BT$1843,"&lt;="&amp;BT1081),"")</f>
        <v>385.858974358974</v>
      </c>
      <c r="AN1081" s="58" t="n">
        <f aca="false">IF(AM1081="",0,MAX(0,MIN(1,(IF(CC1081="L1",Parameter!$H$5,IF(CC1081="L23",Parameter!$H$6+Parameter!$H$7,Parameter!$H$5+Parameter!$H$6+Parameter!$H$7))-(AM1081-AI1081))/AI1081)))</f>
        <v>1</v>
      </c>
      <c r="AO1081" s="50" t="n">
        <f aca="false">IF(LEFT(Cockpit!$I$5,1)="A",H1081,IF(CE1081=1,CF1081,IF(LEFT(Cockpit!$I$5,1)="B",AT1081,MAX(AT1081,H1081))))</f>
        <v>716</v>
      </c>
      <c r="AP1081" s="50" t="n">
        <f aca="false">IF(BW1081=1,0,ROUNDUP(AO1081/BV1081,0))</f>
        <v>1</v>
      </c>
      <c r="AQ1081" s="52" t="n">
        <f aca="false">IF(CL1081&gt;0,CL1081*MAX(1,AO1081/X1081),IF(BW1081=1,IF(AO1081&lt;=0,0,CA1081*MAX(1,IF(H1081&gt;0,AO1081/H1081,1))),IF(R1081&gt;0,AP1081/R1081,0))/MAX(0.1,N(Parameter!$M$21)))</f>
        <v>0.0192307692307692</v>
      </c>
      <c r="AR1081" s="50" t="n">
        <f aca="false">AQ1081*BY1081</f>
        <v>2.98076923076923</v>
      </c>
      <c r="AS1081" s="50" t="n">
        <f aca="false">AO1081*G1081</f>
        <v>2541.8</v>
      </c>
      <c r="AT1081" s="50" t="n">
        <f aca="false">ROUNDUP(MAX(J1081/IF(CD1081&gt;0,CD1081,MAX(0.1,N(Cockpit!$I$6))),CG1081)/BV1081,0)*BV1081</f>
        <v>716</v>
      </c>
      <c r="AU1081" s="51" t="n">
        <f aca="false">IF(AR1081&gt;0,J1081/AR1081,-1)</f>
        <v>184.18064516129</v>
      </c>
      <c r="AV1081" s="51" t="n">
        <f aca="false">IF(AND(OR(CC1081="L1",CC1081="L23",CC1081="LIFT"),AR1081&gt;0),SUMIFS($AR$7:$AR$1843,$CC$7:$CC$1843,CC1081,$AU$7:$AU$1843,"&gt;"&amp;AU1081)+SUMIFS($AR$7:$AR$1843,$CC$7:$CC$1843,CC1081,$AU$7:$AU$1843,AU1081,$BT$7:$BT$1843,"&lt;="&amp;BT1081),"")</f>
        <v>437.341117216117</v>
      </c>
      <c r="AW1081" s="58" t="n">
        <f aca="false">IF(AV1081="",0,MAX(0,MIN(1,(IF(CC1081="L1",Parameter!$H$5,IF(CC1081="L23",Parameter!$H$6+Parameter!$H$7,Parameter!$H$5+Parameter!$H$6+Parameter!$H$7))-(AV1081-AR1081))/AR1081)))</f>
        <v>1</v>
      </c>
      <c r="AX1081" s="50" t="n">
        <f aca="false">IF(LEFT(Cockpit!$O$5,1)="A",H1081,IF(CE1081=1,CF1081,IF(LEFT(Cockpit!$O$5,1)="B",BC1081,MAX(BC1081,H1081))))</f>
        <v>716</v>
      </c>
      <c r="AY1081" s="50" t="n">
        <f aca="false">IF(BW1081=1,0,ROUNDUP(AX1081/BV1081,0))</f>
        <v>1</v>
      </c>
      <c r="AZ1081" s="52" t="n">
        <f aca="false">IF(CL1081&gt;0,CL1081*MAX(1,AX1081/X1081),IF(BW1081=1,IF(AX1081&lt;=0,0,CA1081*MAX(1,IF(H1081&gt;0,AX1081/H1081,1))),IF(R1081&gt;0,AY1081/R1081,0))/MAX(0.1,N(Parameter!$M$21)))</f>
        <v>0.0192307692307692</v>
      </c>
      <c r="BA1081" s="50" t="n">
        <f aca="false">AZ1081*BY1081</f>
        <v>2.98076923076923</v>
      </c>
      <c r="BB1081" s="50" t="n">
        <f aca="false">AX1081*G1081</f>
        <v>2541.8</v>
      </c>
      <c r="BC1081" s="50" t="n">
        <f aca="false">ROUNDUP(MAX(J1081/IF(CD1081&gt;0,CD1081,MAX(0.1,N(Cockpit!$O$6))),CG1081)/BV1081,0)*BV1081</f>
        <v>716</v>
      </c>
      <c r="BD1081" s="51" t="n">
        <f aca="false">IF(BA1081&gt;0,J1081/BA1081,-1)</f>
        <v>184.18064516129</v>
      </c>
      <c r="BE1081" s="51" t="n">
        <f aca="false">IF(AND(OR(CC1081="L1",CC1081="L23",CC1081="LIFT"),BA1081&gt;0),SUMIFS($BA$7:$BA$1843,$CC$7:$CC$1843,CC1081,$BD$7:$BD$1843,"&gt;"&amp;BD1081)+SUMIFS($BA$7:$BA$1843,$CC$7:$CC$1843,CC1081,$BD$7:$BD$1843,BD1081,$BT$7:$BT$1843,"&lt;="&amp;BT1081),"")</f>
        <v>499.28021978022</v>
      </c>
      <c r="BF1081" s="58" t="n">
        <f aca="false">IF(BE1081="",0,MAX(0,MIN(1,(IF(CC1081="L1",Parameter!$H$5,IF(CC1081="L23",Parameter!$H$6+Parameter!$H$7,Parameter!$H$5+Parameter!$H$6+Parameter!$H$7))-(BE1081-BA1081))/BA1081)))</f>
        <v>1</v>
      </c>
      <c r="BG1081" s="48" t="str">
        <f aca="false">IF(AI1081&lt;=0,"",IF(CC1081="Aussen","Aussenlager",IF(CC1081="-","Nicht im Lift",IF(AN1081&gt;=1,"Lift",IF(AN1081&lt;=0,"Aussenlager","teilweise")))))</f>
        <v>Lift</v>
      </c>
      <c r="BH1081" s="48" t="str">
        <f aca="false">IF(AR1081&lt;=0,"",IF(CC1081="Aussen","Aussenlager",IF(CC1081="-","Nicht im Lift",IF(AW1081&gt;=1,"Lift",IF(AW1081&lt;=0,"Aussenlager","teilweise")))))</f>
        <v>Lift</v>
      </c>
      <c r="BI1081" s="48" t="str">
        <f aca="false">IF(BA1081&lt;=0,"",IF(CC1081="Aussen","Aussenlager",IF(CC1081="-","Nicht im Lift",IF(BF1081&gt;=1,"Lift",IF(BF1081&lt;=0,"Aussenlager","teilweise")))))</f>
        <v>Lift</v>
      </c>
      <c r="BJ1081" s="48" t="str">
        <f aca="false">IF(A1081="","",IF(BS1081=1,"Neu; ","")&amp;IF(AND(BS1081=0,BN1081&lt;0),"negativer Bestand (Export "&amp;BN1081&amp;"); ","")&amp;IF(J1081&lt;=0,"Kein Verbrauch; ","")&amp;IF(CL1081&gt;0,"Lift "&amp;W1081&amp;" lt. Liftbericht (Fach "&amp;X1081&amp;" Stk); ",IF(BX1081=1,"Gebinde geschätzt ("&amp;T1081&amp;"); ",IF(BW1081=1,"Lose – Tablare geschätzt; ","")))&amp;IF(H1081&gt;AT1081,"Überbestand "&amp;ROUND(H1081-AT1081,0)&amp;" Stk / CHF "&amp;ROUND((H1081-AT1081)*G1081,0)&amp;"; ","")&amp;IF(AND(CE1081=1,CF1081&lt;CG1081),"MAX &lt; MB+LG; ","")&amp;IF(AND(CK1081&gt;0,CJ1081*10&gt;CK1081),"zu hoch für Tablar; ","")&amp;IF(AND(BS1081=0,OR(CE1081=1,AA1081&lt;&gt;"",U1081&lt;&gt;"",V1081&lt;&gt;"",AB1081&lt;&gt;"")),"manuell übersteuert; ","")&amp;IF(AND(BW1081=0,R1081=0),"Gebinde unbekannt / Stellmass fehlt; ","")&amp;IF(AND(BW1081=0,N(V1081)&lt;=0,N(Q1081)&lt;=0),"Menge pro Gebinde fehlt (Ist = 1 Gebinde); ","")&amp;BR1081)</f>
        <v>negativer Bestand (Export -66); </v>
      </c>
      <c r="BK1081" s="48"/>
      <c r="BL1081" s="48"/>
      <c r="BM1081" s="55"/>
      <c r="BN1081" s="50" t="n">
        <v>-66</v>
      </c>
      <c r="BO1081" s="50" t="n">
        <v>228</v>
      </c>
      <c r="BP1081" s="49" t="n">
        <v>-186.46</v>
      </c>
      <c r="BQ1081" s="50" t="n">
        <v>549</v>
      </c>
      <c r="BR1081" s="48"/>
      <c r="BS1081" s="53" t="n">
        <v>0</v>
      </c>
      <c r="BT1081" s="53" t="n">
        <v>1081</v>
      </c>
      <c r="BU1081" s="48" t="str">
        <f aca="false">IF(U1081&lt;&gt;"",UPPER(TRIM(U1081)),IF(BX1081=1,UPPER(VLOOKUP(T1081,Parameter!$I$27:$K$29,2,0)),IF(P1081="","LOSE",P1081)))</f>
        <v>S33</v>
      </c>
      <c r="BV1081" s="50" t="n">
        <f aca="false">IF(BU1081="LOSE",1,IF(N(V1081)&gt;0,V1081,IF(BX1081=1,MAX(1,N(VLOOKUP(T1081,Parameter!$I$27:$K$29,3,0)),H1081,N(N1081)),IF(N(Q1081)&gt;0,Q1081,MAX(1,H1081)))))</f>
        <v>716</v>
      </c>
      <c r="BW1081" s="53" t="n">
        <f aca="false">IF(BU1081="LOSE",1,0)</f>
        <v>0</v>
      </c>
      <c r="BX1081" s="53" t="n">
        <f aca="false">IF(AND(U1081="",OR(P1081="",P1081="LOSE"),T1081&lt;&gt;"",N(S1081)&lt;=0,ISNUMBER(MATCH(T1081,Parameter!$I$27:$I$29,0))),1,0)</f>
        <v>0</v>
      </c>
      <c r="BY1081" s="53" t="n">
        <f aca="false">IF(CL1081&gt;0,INDEX(Parameter!$H$5:$H$7,W1081)/INDEX(Parameter!$E$5:$E$7,W1081),IF(AND(BW1081=0,N(IFERROR(VLOOKUP(BU1081,'Gebinde-Kategorie'!$A$5:$N$45,14,0),0))&gt;0),VLOOKUP(BU1081,'Gebinde-Kategorie'!$A$5:$N$45,14,0)*10+Parameter!$M$23,Parameter!$M$24))</f>
        <v>155</v>
      </c>
      <c r="BZ1081" s="48" t="str">
        <f aca="false">IF(AND(Parameter!$B$19="Ja",E1081&lt;&gt;"",ISNUMBER(MATCH(E1081,Parameter!$I$35:$I$52,0))),VLOOKUP(E1081,Parameter!$I$35:$J$52,2,0),IFERROR(VLOOKUP(D1081,Parameter!$A$35:$C$64,2,0),"Nein"))</f>
        <v>2+3</v>
      </c>
      <c r="CA1081" s="52" t="n">
        <f aca="false">IF(BW1081=0,0,IF(N(S1081)&gt;0,S1081,IFERROR(VLOOKUP(D1081,Parameter!$A$35:$C$64,3,0)+0,0)))</f>
        <v>0</v>
      </c>
      <c r="CB1081" s="48" t="n">
        <f aca="false">IF(AA1081&lt;&gt;"",AA1081,Z1081)</f>
        <v>3</v>
      </c>
      <c r="CC1081" s="48" t="str">
        <f aca="false">IF(OR(CB1081=1,CB1081=2,CB1081=3),IF(Parameter!$E$27="Ja","LIFT",IF(CB1081=1,"L1","L23")),IF(CB1081="Aussen","Aussen","-"))</f>
        <v>LIFT</v>
      </c>
      <c r="CD1081" s="59" t="n">
        <f aca="false">IF(N(AB1081)&gt;0,AB1081,0)</f>
        <v>0</v>
      </c>
      <c r="CE1081" s="53" t="n">
        <f aca="false">IF(ISNUMBER(AE1081),1,0)</f>
        <v>0</v>
      </c>
      <c r="CF1081" s="50" t="n">
        <f aca="false">N(AE1081)</f>
        <v>0</v>
      </c>
      <c r="CG1081" s="50" t="n">
        <f aca="false">N(M1081)+N(N1081)</f>
        <v>121</v>
      </c>
      <c r="CH1081" s="50" t="n">
        <f aca="false">ROUNDUP(H1081/BV1081,0)</f>
        <v>1</v>
      </c>
      <c r="CI1081" s="50" t="n">
        <f aca="false">ROUNDUP(CF1081/BV1081,0)</f>
        <v>0</v>
      </c>
      <c r="CJ1081" s="53" t="n">
        <f aca="false">IF(BW1081=1,0,IFERROR(VLOOKUP(BU1081,'Gebinde-Kategorie'!$A$5:$N$45,5,0)+0,0))</f>
        <v>8</v>
      </c>
      <c r="CK1081" s="53" t="n">
        <f aca="false">IFERROR(IF(OR(CB1081=1,CB1081=2,CB1081=3),N(INDEX(Parameter!$I$5:$I$7,CB1081)),0),0)</f>
        <v>0</v>
      </c>
      <c r="CL1081" s="52" t="n">
        <f aca="false">IF(AND(Parameter!$B$21="Ja",ISNUMBER(W1081),N(X1081)&gt;0),IFERROR(N(INDEX(Parameter!$L$5:$L$7,W1081))*INDEX(Parameter!$E$5:$E$7,W1081)*X1081/SUMIFS($X$7:$X$1843,$W$7:$W$1843,W1081),0),0)</f>
        <v>0</v>
      </c>
    </row>
    <row r="1082" customFormat="false" ht="15" hidden="false" customHeight="false" outlineLevel="0" collapsed="false">
      <c r="A1082" s="48" t="s">
        <v>1976</v>
      </c>
      <c r="B1082" s="48" t="s">
        <v>411</v>
      </c>
      <c r="C1082" s="48" t="s">
        <v>168</v>
      </c>
      <c r="D1082" s="48" t="s">
        <v>188</v>
      </c>
      <c r="E1082" s="48" t="s">
        <v>189</v>
      </c>
      <c r="F1082" s="48" t="s">
        <v>222</v>
      </c>
      <c r="G1082" s="49" t="n">
        <v>0.55</v>
      </c>
      <c r="H1082" s="50" t="n">
        <f aca="false">MAX(0,IF(AND(Parameter!$B$21="Ja",ISNUMBER(Y1082)),Y1082,IF(Parameter!$B$20="Jahresanfang 2025 + Export",BO1082+BN1082,BN1082)))</f>
        <v>1493</v>
      </c>
      <c r="I1082" s="50" t="n">
        <f aca="false">H1082*G1082</f>
        <v>821.15</v>
      </c>
      <c r="J1082" s="50" t="n">
        <f aca="false">BQ1082*Parameter!$B$18</f>
        <v>1860</v>
      </c>
      <c r="K1082" s="51" t="n">
        <v>1638.5</v>
      </c>
      <c r="L1082" s="52" t="n">
        <v>1.13518462007934</v>
      </c>
      <c r="M1082" s="50" t="n">
        <v>109</v>
      </c>
      <c r="N1082" s="50" t="n">
        <v>1900</v>
      </c>
      <c r="O1082" s="53" t="n">
        <v>21</v>
      </c>
      <c r="P1082" s="48" t="s">
        <v>306</v>
      </c>
      <c r="Q1082" s="50" t="n">
        <v>989</v>
      </c>
      <c r="R1082" s="53" t="n">
        <f aca="false">IF(BW1082=1,0,IFERROR(VLOOKUP(BU1082,'Gebinde-Kategorie'!$A$5:$N$45,13,0)+0,0))</f>
        <v>26</v>
      </c>
      <c r="S1082" s="54"/>
      <c r="T1082" s="55"/>
      <c r="U1082" s="55"/>
      <c r="V1082" s="55"/>
      <c r="W1082" s="48"/>
      <c r="X1082" s="50"/>
      <c r="Y1082" s="50"/>
      <c r="Z1082" s="48" t="n">
        <f aca="false">IF(A1082="","",IF(AND(Parameter!$B$21="Ja",ISNUMBER(W1082)),W1082,IF(BZ1082="2+3",IF(ISNUMBER(SEARCH("grosser Artikel",BR1082)),2,IFERROR(VLOOKUP(BU1082,Parameter!$F$35:$G$64,2,0),2)),IF(OR(BZ1082="Nein",BZ1082=""),"-",BZ1082))))</f>
        <v>3</v>
      </c>
      <c r="AA1082" s="55"/>
      <c r="AB1082" s="56"/>
      <c r="AC1082" s="50" t="n">
        <f aca="false">AT1082</f>
        <v>2967</v>
      </c>
      <c r="AD1082" s="50" t="n">
        <f aca="false">MAX(AT1082,H1082)</f>
        <v>2967</v>
      </c>
      <c r="AE1082" s="57"/>
      <c r="AF1082" s="50" t="n">
        <f aca="false">IF(LEFT(Cockpit!$C$5,1)="A",H1082,IF(CE1082=1,CF1082,IF(LEFT(Cockpit!$C$5,1)="B",AK1082,MAX(AK1082,H1082))))</f>
        <v>1493</v>
      </c>
      <c r="AG1082" s="50" t="n">
        <f aca="false">IF(BW1082=1,0,ROUNDUP(AF1082/BV1082,0))</f>
        <v>2</v>
      </c>
      <c r="AH1082" s="52" t="n">
        <f aca="false">IF(CL1082&gt;0,CL1082*MAX(1,AF1082/X1082),IF(BW1082=1,IF(AF1082&lt;=0,0,CA1082*MAX(1,IF(H1082&gt;0,AF1082/H1082,1))),IF(R1082&gt;0,AG1082/R1082,0))/MAX(0.1,N(Parameter!$M$21)))</f>
        <v>0.0769230769230769</v>
      </c>
      <c r="AI1082" s="50" t="n">
        <f aca="false">AH1082*BY1082</f>
        <v>11.9230769230769</v>
      </c>
      <c r="AJ1082" s="50" t="n">
        <f aca="false">AF1082*G1082</f>
        <v>821.15</v>
      </c>
      <c r="AK1082" s="50" t="n">
        <f aca="false">ROUNDUP(MAX(J1082/IF(CD1082&gt;0,CD1082,MAX(0.1,N(Cockpit!$C$6))),CG1082)/BV1082,0)*BV1082</f>
        <v>2967</v>
      </c>
      <c r="AL1082" s="51" t="n">
        <f aca="false">IF(AI1082&gt;0,J1082/AI1082,-1)</f>
        <v>156</v>
      </c>
      <c r="AM1082" s="51" t="n">
        <f aca="false">IF(AND(OR(CC1082="L1",CC1082="L23",CC1082="LIFT"),AI1082&gt;0),SUMIFS($AI$7:$AI$1843,$CC$7:$CC$1843,CC1082,$AL$7:$AL$1843,"&gt;"&amp;AL1082)+SUMIFS($AI$7:$AI$1843,$CC$7:$CC$1843,CC1082,$AL$7:$AL$1843,AL1082,$BT$7:$BT$1843,"&lt;="&amp;BT1082),"")</f>
        <v>433.33836996337</v>
      </c>
      <c r="AN1082" s="58" t="n">
        <f aca="false">IF(AM1082="",0,MAX(0,MIN(1,(IF(CC1082="L1",Parameter!$H$5,IF(CC1082="L23",Parameter!$H$6+Parameter!$H$7,Parameter!$H$5+Parameter!$H$6+Parameter!$H$7))-(AM1082-AI1082))/AI1082)))</f>
        <v>1</v>
      </c>
      <c r="AO1082" s="50" t="n">
        <f aca="false">IF(LEFT(Cockpit!$I$5,1)="A",H1082,IF(CE1082=1,CF1082,IF(LEFT(Cockpit!$I$5,1)="B",AT1082,MAX(AT1082,H1082))))</f>
        <v>2967</v>
      </c>
      <c r="AP1082" s="50" t="n">
        <f aca="false">IF(BW1082=1,0,ROUNDUP(AO1082/BV1082,0))</f>
        <v>3</v>
      </c>
      <c r="AQ1082" s="52" t="n">
        <f aca="false">IF(CL1082&gt;0,CL1082*MAX(1,AO1082/X1082),IF(BW1082=1,IF(AO1082&lt;=0,0,CA1082*MAX(1,IF(H1082&gt;0,AO1082/H1082,1))),IF(R1082&gt;0,AP1082/R1082,0))/MAX(0.1,N(Parameter!$M$21)))</f>
        <v>0.115384615384615</v>
      </c>
      <c r="AR1082" s="50" t="n">
        <f aca="false">AQ1082*BY1082</f>
        <v>17.8846153846154</v>
      </c>
      <c r="AS1082" s="50" t="n">
        <f aca="false">AO1082*G1082</f>
        <v>1631.85</v>
      </c>
      <c r="AT1082" s="50" t="n">
        <f aca="false">ROUNDUP(MAX(J1082/IF(CD1082&gt;0,CD1082,MAX(0.1,N(Cockpit!$I$6))),CG1082)/BV1082,0)*BV1082</f>
        <v>2967</v>
      </c>
      <c r="AU1082" s="51" t="n">
        <f aca="false">IF(AR1082&gt;0,J1082/AR1082,-1)</f>
        <v>104</v>
      </c>
      <c r="AV1082" s="51" t="n">
        <f aca="false">IF(AND(OR(CC1082="L1",CC1082="L23",CC1082="LIFT"),AR1082&gt;0),SUMIFS($AR$7:$AR$1843,$CC$7:$CC$1843,CC1082,$AU$7:$AU$1843,"&gt;"&amp;AU1082)+SUMIFS($AR$7:$AR$1843,$CC$7:$CC$1843,CC1082,$AU$7:$AU$1843,AU1082,$BT$7:$BT$1843,"&lt;="&amp;BT1082),"")</f>
        <v>909.051282051282</v>
      </c>
      <c r="AW1082" s="58" t="n">
        <f aca="false">IF(AV1082="",0,MAX(0,MIN(1,(IF(CC1082="L1",Parameter!$H$5,IF(CC1082="L23",Parameter!$H$6+Parameter!$H$7,Parameter!$H$5+Parameter!$H$6+Parameter!$H$7))-(AV1082-AR1082))/AR1082)))</f>
        <v>1</v>
      </c>
      <c r="AX1082" s="50" t="n">
        <f aca="false">IF(LEFT(Cockpit!$O$5,1)="A",H1082,IF(CE1082=1,CF1082,IF(LEFT(Cockpit!$O$5,1)="B",BC1082,MAX(BC1082,H1082))))</f>
        <v>2967</v>
      </c>
      <c r="AY1082" s="50" t="n">
        <f aca="false">IF(BW1082=1,0,ROUNDUP(AX1082/BV1082,0))</f>
        <v>3</v>
      </c>
      <c r="AZ1082" s="52" t="n">
        <f aca="false">IF(CL1082&gt;0,CL1082*MAX(1,AX1082/X1082),IF(BW1082=1,IF(AX1082&lt;=0,0,CA1082*MAX(1,IF(H1082&gt;0,AX1082/H1082,1))),IF(R1082&gt;0,AY1082/R1082,0))/MAX(0.1,N(Parameter!$M$21)))</f>
        <v>0.115384615384615</v>
      </c>
      <c r="BA1082" s="50" t="n">
        <f aca="false">AZ1082*BY1082</f>
        <v>17.8846153846154</v>
      </c>
      <c r="BB1082" s="50" t="n">
        <f aca="false">AX1082*G1082</f>
        <v>1631.85</v>
      </c>
      <c r="BC1082" s="50" t="n">
        <f aca="false">ROUNDUP(MAX(J1082/IF(CD1082&gt;0,CD1082,MAX(0.1,N(Cockpit!$O$6))),CG1082)/BV1082,0)*BV1082</f>
        <v>2967</v>
      </c>
      <c r="BD1082" s="51" t="n">
        <f aca="false">IF(BA1082&gt;0,J1082/BA1082,-1)</f>
        <v>104</v>
      </c>
      <c r="BE1082" s="51" t="n">
        <f aca="false">IF(AND(OR(CC1082="L1",CC1082="L23",CC1082="LIFT"),BA1082&gt;0),SUMIFS($BA$7:$BA$1843,$CC$7:$CC$1843,CC1082,$BD$7:$BD$1843,"&gt;"&amp;BD1082)+SUMIFS($BA$7:$BA$1843,$CC$7:$CC$1843,CC1082,$BD$7:$BD$1843,BD1082,$BT$7:$BT$1843,"&lt;="&amp;BT1082),"")</f>
        <v>837.625</v>
      </c>
      <c r="BF1082" s="58" t="n">
        <f aca="false">IF(BE1082="",0,MAX(0,MIN(1,(IF(CC1082="L1",Parameter!$H$5,IF(CC1082="L23",Parameter!$H$6+Parameter!$H$7,Parameter!$H$5+Parameter!$H$6+Parameter!$H$7))-(BE1082-BA1082))/BA1082)))</f>
        <v>1</v>
      </c>
      <c r="BG1082" s="48" t="str">
        <f aca="false">IF(AI1082&lt;=0,"",IF(CC1082="Aussen","Aussenlager",IF(CC1082="-","Nicht im Lift",IF(AN1082&gt;=1,"Lift",IF(AN1082&lt;=0,"Aussenlager","teilweise")))))</f>
        <v>Lift</v>
      </c>
      <c r="BH1082" s="48" t="str">
        <f aca="false">IF(AR1082&lt;=0,"",IF(CC1082="Aussen","Aussenlager",IF(CC1082="-","Nicht im Lift",IF(AW1082&gt;=1,"Lift",IF(AW1082&lt;=0,"Aussenlager","teilweise")))))</f>
        <v>Lift</v>
      </c>
      <c r="BI1082" s="48" t="str">
        <f aca="false">IF(BA1082&lt;=0,"",IF(CC1082="Aussen","Aussenlager",IF(CC1082="-","Nicht im Lift",IF(BF1082&gt;=1,"Lift",IF(BF1082&lt;=0,"Aussenlager","teilweise")))))</f>
        <v>Lift</v>
      </c>
      <c r="BJ1082" s="48" t="str">
        <f aca="false">IF(A1082="","",IF(BS1082=1,"Neu; ","")&amp;IF(AND(BS1082=0,BN1082&lt;0),"negativer Bestand (Export "&amp;BN1082&amp;"); ","")&amp;IF(J1082&lt;=0,"Kein Verbrauch; ","")&amp;IF(CL1082&gt;0,"Lift "&amp;W1082&amp;" lt. Liftbericht (Fach "&amp;X1082&amp;" Stk); ",IF(BX1082=1,"Gebinde geschätzt ("&amp;T1082&amp;"); ",IF(BW1082=1,"Lose – Tablare geschätzt; ","")))&amp;IF(H1082&gt;AT1082,"Überbestand "&amp;ROUND(H1082-AT1082,0)&amp;" Stk / CHF "&amp;ROUND((H1082-AT1082)*G1082,0)&amp;"; ","")&amp;IF(AND(CE1082=1,CF1082&lt;CG1082),"MAX &lt; MB+LG; ","")&amp;IF(AND(CK1082&gt;0,CJ1082*10&gt;CK1082),"zu hoch für Tablar; ","")&amp;IF(AND(BS1082=0,OR(CE1082=1,AA1082&lt;&gt;"",U1082&lt;&gt;"",V1082&lt;&gt;"",AB1082&lt;&gt;"")),"manuell übersteuert; ","")&amp;IF(AND(BW1082=0,R1082=0),"Gebinde unbekannt / Stellmass fehlt; ","")&amp;IF(AND(BW1082=0,N(V1082)&lt;=0,N(Q1082)&lt;=0),"Menge pro Gebinde fehlt (Ist = 1 Gebinde); ","")&amp;BR1082)</f>
        <v>negativer Bestand (Export -375); </v>
      </c>
      <c r="BK1082" s="48"/>
      <c r="BL1082" s="48"/>
      <c r="BM1082" s="55"/>
      <c r="BN1082" s="50" t="n">
        <v>-375</v>
      </c>
      <c r="BO1082" s="50" t="n">
        <v>1868</v>
      </c>
      <c r="BP1082" s="49" t="n">
        <v>-187.569999999999</v>
      </c>
      <c r="BQ1082" s="50" t="n">
        <v>1860</v>
      </c>
      <c r="BR1082" s="48"/>
      <c r="BS1082" s="53" t="n">
        <v>0</v>
      </c>
      <c r="BT1082" s="53" t="n">
        <v>1082</v>
      </c>
      <c r="BU1082" s="48" t="str">
        <f aca="false">IF(U1082&lt;&gt;"",UPPER(TRIM(U1082)),IF(BX1082=1,UPPER(VLOOKUP(T1082,Parameter!$I$27:$K$29,2,0)),IF(P1082="","LOSE",P1082)))</f>
        <v>S51</v>
      </c>
      <c r="BV1082" s="50" t="n">
        <f aca="false">IF(BU1082="LOSE",1,IF(N(V1082)&gt;0,V1082,IF(BX1082=1,MAX(1,N(VLOOKUP(T1082,Parameter!$I$27:$K$29,3,0)),H1082,N(N1082)),IF(N(Q1082)&gt;0,Q1082,MAX(1,H1082)))))</f>
        <v>989</v>
      </c>
      <c r="BW1082" s="53" t="n">
        <f aca="false">IF(BU1082="LOSE",1,0)</f>
        <v>0</v>
      </c>
      <c r="BX1082" s="53" t="n">
        <f aca="false">IF(AND(U1082="",OR(P1082="",P1082="LOSE"),T1082&lt;&gt;"",N(S1082)&lt;=0,ISNUMBER(MATCH(T1082,Parameter!$I$27:$I$29,0))),1,0)</f>
        <v>0</v>
      </c>
      <c r="BY1082" s="53" t="n">
        <f aca="false">IF(CL1082&gt;0,INDEX(Parameter!$H$5:$H$7,W1082)/INDEX(Parameter!$E$5:$E$7,W1082),IF(AND(BW1082=0,N(IFERROR(VLOOKUP(BU1082,'Gebinde-Kategorie'!$A$5:$N$45,14,0),0))&gt;0),VLOOKUP(BU1082,'Gebinde-Kategorie'!$A$5:$N$45,14,0)*10+Parameter!$M$23,Parameter!$M$24))</f>
        <v>155</v>
      </c>
      <c r="BZ1082" s="48" t="str">
        <f aca="false">IF(AND(Parameter!$B$19="Ja",E1082&lt;&gt;"",ISNUMBER(MATCH(E1082,Parameter!$I$35:$I$52,0))),VLOOKUP(E1082,Parameter!$I$35:$J$52,2,0),IFERROR(VLOOKUP(D1082,Parameter!$A$35:$C$64,2,0),"Nein"))</f>
        <v>2+3</v>
      </c>
      <c r="CA1082" s="52" t="n">
        <f aca="false">IF(BW1082=0,0,IF(N(S1082)&gt;0,S1082,IFERROR(VLOOKUP(D1082,Parameter!$A$35:$C$64,3,0)+0,0)))</f>
        <v>0</v>
      </c>
      <c r="CB1082" s="48" t="n">
        <f aca="false">IF(AA1082&lt;&gt;"",AA1082,Z1082)</f>
        <v>3</v>
      </c>
      <c r="CC1082" s="48" t="str">
        <f aca="false">IF(OR(CB1082=1,CB1082=2,CB1082=3),IF(Parameter!$E$27="Ja","LIFT",IF(CB1082=1,"L1","L23")),IF(CB1082="Aussen","Aussen","-"))</f>
        <v>LIFT</v>
      </c>
      <c r="CD1082" s="59" t="n">
        <f aca="false">IF(N(AB1082)&gt;0,AB1082,0)</f>
        <v>0</v>
      </c>
      <c r="CE1082" s="53" t="n">
        <f aca="false">IF(ISNUMBER(AE1082),1,0)</f>
        <v>0</v>
      </c>
      <c r="CF1082" s="50" t="n">
        <f aca="false">N(AE1082)</f>
        <v>0</v>
      </c>
      <c r="CG1082" s="50" t="n">
        <f aca="false">N(M1082)+N(N1082)</f>
        <v>2009</v>
      </c>
      <c r="CH1082" s="50" t="n">
        <f aca="false">ROUNDUP(H1082/BV1082,0)</f>
        <v>2</v>
      </c>
      <c r="CI1082" s="50" t="n">
        <f aca="false">ROUNDUP(CF1082/BV1082,0)</f>
        <v>0</v>
      </c>
      <c r="CJ1082" s="53" t="n">
        <f aca="false">IF(BW1082=1,0,IFERROR(VLOOKUP(BU1082,'Gebinde-Kategorie'!$A$5:$N$45,5,0)+0,0))</f>
        <v>11</v>
      </c>
      <c r="CK1082" s="53" t="n">
        <f aca="false">IFERROR(IF(OR(CB1082=1,CB1082=2,CB1082=3),N(INDEX(Parameter!$I$5:$I$7,CB1082)),0),0)</f>
        <v>0</v>
      </c>
      <c r="CL1082" s="52" t="n">
        <f aca="false">IF(AND(Parameter!$B$21="Ja",ISNUMBER(W1082),N(X1082)&gt;0),IFERROR(N(INDEX(Parameter!$L$5:$L$7,W1082))*INDEX(Parameter!$E$5:$E$7,W1082)*X1082/SUMIFS($X$7:$X$1843,$W$7:$W$1843,W1082),0),0)</f>
        <v>0</v>
      </c>
    </row>
    <row r="1083" customFormat="false" ht="15" hidden="false" customHeight="false" outlineLevel="0" collapsed="false">
      <c r="A1083" s="48" t="s">
        <v>1977</v>
      </c>
      <c r="B1083" s="48" t="s">
        <v>493</v>
      </c>
      <c r="C1083" s="48" t="s">
        <v>168</v>
      </c>
      <c r="D1083" s="48" t="s">
        <v>188</v>
      </c>
      <c r="E1083" s="48" t="s">
        <v>189</v>
      </c>
      <c r="F1083" s="48" t="s">
        <v>222</v>
      </c>
      <c r="G1083" s="49" t="n">
        <v>8.23</v>
      </c>
      <c r="H1083" s="50" t="n">
        <f aca="false">MAX(0,IF(AND(Parameter!$B$21="Ja",ISNUMBER(Y1083)),Y1083,IF(Parameter!$B$20="Jahresanfang 2025 + Export",BO1083+BN1083,BN1083)))</f>
        <v>139</v>
      </c>
      <c r="I1083" s="50" t="n">
        <f aca="false">H1083*G1083</f>
        <v>1143.97</v>
      </c>
      <c r="J1083" s="50" t="n">
        <f aca="false">BQ1083*Parameter!$B$18</f>
        <v>507</v>
      </c>
      <c r="K1083" s="51" t="n">
        <v>213</v>
      </c>
      <c r="L1083" s="52" t="n">
        <v>2.38028169014085</v>
      </c>
      <c r="M1083" s="50" t="n">
        <v>10</v>
      </c>
      <c r="N1083" s="50" t="n">
        <v>360</v>
      </c>
      <c r="O1083" s="53" t="n">
        <v>7</v>
      </c>
      <c r="P1083" s="48" t="s">
        <v>332</v>
      </c>
      <c r="Q1083" s="50" t="n">
        <v>309</v>
      </c>
      <c r="R1083" s="53" t="n">
        <f aca="false">IF(BW1083=1,0,IFERROR(VLOOKUP(BU1083,'Gebinde-Kategorie'!$A$5:$N$45,13,0)+0,0))</f>
        <v>52</v>
      </c>
      <c r="S1083" s="54"/>
      <c r="T1083" s="55"/>
      <c r="U1083" s="55"/>
      <c r="V1083" s="55"/>
      <c r="W1083" s="48"/>
      <c r="X1083" s="50"/>
      <c r="Y1083" s="50"/>
      <c r="Z1083" s="48" t="n">
        <f aca="false">IF(A1083="","",IF(AND(Parameter!$B$21="Ja",ISNUMBER(W1083)),W1083,IF(BZ1083="2+3",IF(ISNUMBER(SEARCH("grosser Artikel",BR1083)),2,IFERROR(VLOOKUP(BU1083,Parameter!$F$35:$G$64,2,0),2)),IF(OR(BZ1083="Nein",BZ1083=""),"-",BZ1083))))</f>
        <v>3</v>
      </c>
      <c r="AA1083" s="55"/>
      <c r="AB1083" s="56"/>
      <c r="AC1083" s="50" t="n">
        <f aca="false">AT1083</f>
        <v>618</v>
      </c>
      <c r="AD1083" s="50" t="n">
        <f aca="false">MAX(AT1083,H1083)</f>
        <v>618</v>
      </c>
      <c r="AE1083" s="57"/>
      <c r="AF1083" s="50" t="n">
        <f aca="false">IF(LEFT(Cockpit!$C$5,1)="A",H1083,IF(CE1083=1,CF1083,IF(LEFT(Cockpit!$C$5,1)="B",AK1083,MAX(AK1083,H1083))))</f>
        <v>139</v>
      </c>
      <c r="AG1083" s="50" t="n">
        <f aca="false">IF(BW1083=1,0,ROUNDUP(AF1083/BV1083,0))</f>
        <v>1</v>
      </c>
      <c r="AH1083" s="52" t="n">
        <f aca="false">IF(CL1083&gt;0,CL1083*MAX(1,AF1083/X1083),IF(BW1083=1,IF(AF1083&lt;=0,0,CA1083*MAX(1,IF(H1083&gt;0,AF1083/H1083,1))),IF(R1083&gt;0,AG1083/R1083,0))/MAX(0.1,N(Parameter!$M$21)))</f>
        <v>0.0192307692307692</v>
      </c>
      <c r="AI1083" s="50" t="n">
        <f aca="false">AH1083*BY1083</f>
        <v>2.98076923076923</v>
      </c>
      <c r="AJ1083" s="50" t="n">
        <f aca="false">AF1083*G1083</f>
        <v>1143.97</v>
      </c>
      <c r="AK1083" s="50" t="n">
        <f aca="false">ROUNDUP(MAX(J1083/IF(CD1083&gt;0,CD1083,MAX(0.1,N(Cockpit!$C$6))),CG1083)/BV1083,0)*BV1083</f>
        <v>618</v>
      </c>
      <c r="AL1083" s="51" t="n">
        <f aca="false">IF(AI1083&gt;0,J1083/AI1083,-1)</f>
        <v>170.090322580645</v>
      </c>
      <c r="AM1083" s="51" t="n">
        <f aca="false">IF(AND(OR(CC1083="L1",CC1083="L23",CC1083="LIFT"),AI1083&gt;0),SUMIFS($AI$7:$AI$1843,$CC$7:$CC$1843,CC1083,$AL$7:$AL$1843,"&gt;"&amp;AL1083)+SUMIFS($AI$7:$AI$1843,$CC$7:$CC$1843,CC1083,$AL$7:$AL$1843,AL1083,$BT$7:$BT$1843,"&lt;="&amp;BT1083),"")</f>
        <v>406.724358974359</v>
      </c>
      <c r="AN1083" s="58" t="n">
        <f aca="false">IF(AM1083="",0,MAX(0,MIN(1,(IF(CC1083="L1",Parameter!$H$5,IF(CC1083="L23",Parameter!$H$6+Parameter!$H$7,Parameter!$H$5+Parameter!$H$6+Parameter!$H$7))-(AM1083-AI1083))/AI1083)))</f>
        <v>1</v>
      </c>
      <c r="AO1083" s="50" t="n">
        <f aca="false">IF(LEFT(Cockpit!$I$5,1)="A",H1083,IF(CE1083=1,CF1083,IF(LEFT(Cockpit!$I$5,1)="B",AT1083,MAX(AT1083,H1083))))</f>
        <v>618</v>
      </c>
      <c r="AP1083" s="50" t="n">
        <f aca="false">IF(BW1083=1,0,ROUNDUP(AO1083/BV1083,0))</f>
        <v>2</v>
      </c>
      <c r="AQ1083" s="52" t="n">
        <f aca="false">IF(CL1083&gt;0,CL1083*MAX(1,AO1083/X1083),IF(BW1083=1,IF(AO1083&lt;=0,0,CA1083*MAX(1,IF(H1083&gt;0,AO1083/H1083,1))),IF(R1083&gt;0,AP1083/R1083,0))/MAX(0.1,N(Parameter!$M$21)))</f>
        <v>0.0384615384615385</v>
      </c>
      <c r="AR1083" s="50" t="n">
        <f aca="false">AQ1083*BY1083</f>
        <v>5.96153846153846</v>
      </c>
      <c r="AS1083" s="50" t="n">
        <f aca="false">AO1083*G1083</f>
        <v>5086.14</v>
      </c>
      <c r="AT1083" s="50" t="n">
        <f aca="false">ROUNDUP(MAX(J1083/IF(CD1083&gt;0,CD1083,MAX(0.1,N(Cockpit!$I$6))),CG1083)/BV1083,0)*BV1083</f>
        <v>618</v>
      </c>
      <c r="AU1083" s="51" t="n">
        <f aca="false">IF(AR1083&gt;0,J1083/AR1083,-1)</f>
        <v>85.0451612903226</v>
      </c>
      <c r="AV1083" s="51" t="n">
        <f aca="false">IF(AND(OR(CC1083="L1",CC1083="L23",CC1083="LIFT"),AR1083&gt;0),SUMIFS($AR$7:$AR$1843,$CC$7:$CC$1843,CC1083,$AU$7:$AU$1843,"&gt;"&amp;AU1083)+SUMIFS($AR$7:$AR$1843,$CC$7:$CC$1843,CC1083,$AU$7:$AU$1843,AU1083,$BT$7:$BT$1843,"&lt;="&amp;BT1083),"")</f>
        <v>947.7586996337</v>
      </c>
      <c r="AW1083" s="58" t="n">
        <f aca="false">IF(AV1083="",0,MAX(0,MIN(1,(IF(CC1083="L1",Parameter!$H$5,IF(CC1083="L23",Parameter!$H$6+Parameter!$H$7,Parameter!$H$5+Parameter!$H$6+Parameter!$H$7))-(AV1083-AR1083))/AR1083)))</f>
        <v>1</v>
      </c>
      <c r="AX1083" s="50" t="n">
        <f aca="false">IF(LEFT(Cockpit!$O$5,1)="A",H1083,IF(CE1083=1,CF1083,IF(LEFT(Cockpit!$O$5,1)="B",BC1083,MAX(BC1083,H1083))))</f>
        <v>618</v>
      </c>
      <c r="AY1083" s="50" t="n">
        <f aca="false">IF(BW1083=1,0,ROUNDUP(AX1083/BV1083,0))</f>
        <v>2</v>
      </c>
      <c r="AZ1083" s="52" t="n">
        <f aca="false">IF(CL1083&gt;0,CL1083*MAX(1,AX1083/X1083),IF(BW1083=1,IF(AX1083&lt;=0,0,CA1083*MAX(1,IF(H1083&gt;0,AX1083/H1083,1))),IF(R1083&gt;0,AY1083/R1083,0))/MAX(0.1,N(Parameter!$M$21)))</f>
        <v>0.0384615384615385</v>
      </c>
      <c r="BA1083" s="50" t="n">
        <f aca="false">AZ1083*BY1083</f>
        <v>5.96153846153846</v>
      </c>
      <c r="BB1083" s="50" t="n">
        <f aca="false">AX1083*G1083</f>
        <v>5086.14</v>
      </c>
      <c r="BC1083" s="50" t="n">
        <f aca="false">ROUNDUP(MAX(J1083/IF(CD1083&gt;0,CD1083,MAX(0.1,N(Cockpit!$O$6))),CG1083)/BV1083,0)*BV1083</f>
        <v>618</v>
      </c>
      <c r="BD1083" s="51" t="n">
        <f aca="false">IF(BA1083&gt;0,J1083/BA1083,-1)</f>
        <v>85.0451612903226</v>
      </c>
      <c r="BE1083" s="51" t="n">
        <f aca="false">IF(AND(OR(CC1083="L1",CC1083="L23",CC1083="LIFT"),BA1083&gt;0),SUMIFS($BA$7:$BA$1843,$CC$7:$CC$1843,CC1083,$BD$7:$BD$1843,"&gt;"&amp;BD1083)+SUMIFS($BA$7:$BA$1843,$CC$7:$CC$1843,CC1083,$BD$7:$BD$1843,BD1083,$BT$7:$BT$1843,"&lt;="&amp;BT1083),"")</f>
        <v>1055.17857142857</v>
      </c>
      <c r="BF1083" s="58" t="n">
        <f aca="false">IF(BE1083="",0,MAX(0,MIN(1,(IF(CC1083="L1",Parameter!$H$5,IF(CC1083="L23",Parameter!$H$6+Parameter!$H$7,Parameter!$H$5+Parameter!$H$6+Parameter!$H$7))-(BE1083-BA1083))/BA1083)))</f>
        <v>1</v>
      </c>
      <c r="BG1083" s="48" t="str">
        <f aca="false">IF(AI1083&lt;=0,"",IF(CC1083="Aussen","Aussenlager",IF(CC1083="-","Nicht im Lift",IF(AN1083&gt;=1,"Lift",IF(AN1083&lt;=0,"Aussenlager","teilweise")))))</f>
        <v>Lift</v>
      </c>
      <c r="BH1083" s="48" t="str">
        <f aca="false">IF(AR1083&lt;=0,"",IF(CC1083="Aussen","Aussenlager",IF(CC1083="-","Nicht im Lift",IF(AW1083&gt;=1,"Lift",IF(AW1083&lt;=0,"Aussenlager","teilweise")))))</f>
        <v>Lift</v>
      </c>
      <c r="BI1083" s="48" t="str">
        <f aca="false">IF(BA1083&lt;=0,"",IF(CC1083="Aussen","Aussenlager",IF(CC1083="-","Nicht im Lift",IF(BF1083&gt;=1,"Lift",IF(BF1083&lt;=0,"Aussenlager","teilweise")))))</f>
        <v>Lift</v>
      </c>
      <c r="BJ1083" s="48" t="str">
        <f aca="false">IF(A1083="","",IF(BS1083=1,"Neu; ","")&amp;IF(AND(BS1083=0,BN1083&lt;0),"negativer Bestand (Export "&amp;BN1083&amp;"); ","")&amp;IF(J1083&lt;=0,"Kein Verbrauch; ","")&amp;IF(CL1083&gt;0,"Lift "&amp;W1083&amp;" lt. Liftbericht (Fach "&amp;X1083&amp;" Stk); ",IF(BX1083=1,"Gebinde geschätzt ("&amp;T1083&amp;"); ",IF(BW1083=1,"Lose – Tablare geschätzt; ","")))&amp;IF(H1083&gt;AT1083,"Überbestand "&amp;ROUND(H1083-AT1083,0)&amp;" Stk / CHF "&amp;ROUND((H1083-AT1083)*G1083,0)&amp;"; ","")&amp;IF(AND(CE1083=1,CF1083&lt;CG1083),"MAX &lt; MB+LG; ","")&amp;IF(AND(CK1083&gt;0,CJ1083*10&gt;CK1083),"zu hoch für Tablar; ","")&amp;IF(AND(BS1083=0,OR(CE1083=1,AA1083&lt;&gt;"",U1083&lt;&gt;"",V1083&lt;&gt;"",AB1083&lt;&gt;"")),"manuell übersteuert; ","")&amp;IF(AND(BW1083=0,R1083=0),"Gebinde unbekannt / Stellmass fehlt; ","")&amp;IF(AND(BW1083=0,N(V1083)&lt;=0,N(Q1083)&lt;=0),"Menge pro Gebinde fehlt (Ist = 1 Gebinde); ","")&amp;BR1083)</f>
        <v>negativer Bestand (Export -23); </v>
      </c>
      <c r="BK1083" s="48"/>
      <c r="BL1083" s="48"/>
      <c r="BM1083" s="55"/>
      <c r="BN1083" s="50" t="n">
        <v>-23</v>
      </c>
      <c r="BO1083" s="50" t="n">
        <v>162</v>
      </c>
      <c r="BP1083" s="49" t="n">
        <v>-187.750000000003</v>
      </c>
      <c r="BQ1083" s="50" t="n">
        <v>507</v>
      </c>
      <c r="BR1083" s="48"/>
      <c r="BS1083" s="53" t="n">
        <v>0</v>
      </c>
      <c r="BT1083" s="53" t="n">
        <v>1083</v>
      </c>
      <c r="BU1083" s="48" t="str">
        <f aca="false">IF(U1083&lt;&gt;"",UPPER(TRIM(U1083)),IF(BX1083=1,UPPER(VLOOKUP(T1083,Parameter!$I$27:$K$29,2,0)),IF(P1083="","LOSE",P1083)))</f>
        <v>S41</v>
      </c>
      <c r="BV1083" s="50" t="n">
        <f aca="false">IF(BU1083="LOSE",1,IF(N(V1083)&gt;0,V1083,IF(BX1083=1,MAX(1,N(VLOOKUP(T1083,Parameter!$I$27:$K$29,3,0)),H1083,N(N1083)),IF(N(Q1083)&gt;0,Q1083,MAX(1,H1083)))))</f>
        <v>309</v>
      </c>
      <c r="BW1083" s="53" t="n">
        <f aca="false">IF(BU1083="LOSE",1,0)</f>
        <v>0</v>
      </c>
      <c r="BX1083" s="53" t="n">
        <f aca="false">IF(AND(U1083="",OR(P1083="",P1083="LOSE"),T1083&lt;&gt;"",N(S1083)&lt;=0,ISNUMBER(MATCH(T1083,Parameter!$I$27:$I$29,0))),1,0)</f>
        <v>0</v>
      </c>
      <c r="BY1083" s="53" t="n">
        <f aca="false">IF(CL1083&gt;0,INDEX(Parameter!$H$5:$H$7,W1083)/INDEX(Parameter!$E$5:$E$7,W1083),IF(AND(BW1083=0,N(IFERROR(VLOOKUP(BU1083,'Gebinde-Kategorie'!$A$5:$N$45,14,0),0))&gt;0),VLOOKUP(BU1083,'Gebinde-Kategorie'!$A$5:$N$45,14,0)*10+Parameter!$M$23,Parameter!$M$24))</f>
        <v>155</v>
      </c>
      <c r="BZ1083" s="48" t="str">
        <f aca="false">IF(AND(Parameter!$B$19="Ja",E1083&lt;&gt;"",ISNUMBER(MATCH(E1083,Parameter!$I$35:$I$52,0))),VLOOKUP(E1083,Parameter!$I$35:$J$52,2,0),IFERROR(VLOOKUP(D1083,Parameter!$A$35:$C$64,2,0),"Nein"))</f>
        <v>2+3</v>
      </c>
      <c r="CA1083" s="52" t="n">
        <f aca="false">IF(BW1083=0,0,IF(N(S1083)&gt;0,S1083,IFERROR(VLOOKUP(D1083,Parameter!$A$35:$C$64,3,0)+0,0)))</f>
        <v>0</v>
      </c>
      <c r="CB1083" s="48" t="n">
        <f aca="false">IF(AA1083&lt;&gt;"",AA1083,Z1083)</f>
        <v>3</v>
      </c>
      <c r="CC1083" s="48" t="str">
        <f aca="false">IF(OR(CB1083=1,CB1083=2,CB1083=3),IF(Parameter!$E$27="Ja","LIFT",IF(CB1083=1,"L1","L23")),IF(CB1083="Aussen","Aussen","-"))</f>
        <v>LIFT</v>
      </c>
      <c r="CD1083" s="59" t="n">
        <f aca="false">IF(N(AB1083)&gt;0,AB1083,0)</f>
        <v>0</v>
      </c>
      <c r="CE1083" s="53" t="n">
        <f aca="false">IF(ISNUMBER(AE1083),1,0)</f>
        <v>0</v>
      </c>
      <c r="CF1083" s="50" t="n">
        <f aca="false">N(AE1083)</f>
        <v>0</v>
      </c>
      <c r="CG1083" s="50" t="n">
        <f aca="false">N(M1083)+N(N1083)</f>
        <v>370</v>
      </c>
      <c r="CH1083" s="50" t="n">
        <f aca="false">ROUNDUP(H1083/BV1083,0)</f>
        <v>1</v>
      </c>
      <c r="CI1083" s="50" t="n">
        <f aca="false">ROUNDUP(CF1083/BV1083,0)</f>
        <v>0</v>
      </c>
      <c r="CJ1083" s="53" t="n">
        <f aca="false">IF(BW1083=1,0,IFERROR(VLOOKUP(BU1083,'Gebinde-Kategorie'!$A$5:$N$45,5,0)+0,0))</f>
        <v>11</v>
      </c>
      <c r="CK1083" s="53" t="n">
        <f aca="false">IFERROR(IF(OR(CB1083=1,CB1083=2,CB1083=3),N(INDEX(Parameter!$I$5:$I$7,CB1083)),0),0)</f>
        <v>0</v>
      </c>
      <c r="CL1083" s="52" t="n">
        <f aca="false">IF(AND(Parameter!$B$21="Ja",ISNUMBER(W1083),N(X1083)&gt;0),IFERROR(N(INDEX(Parameter!$L$5:$L$7,W1083))*INDEX(Parameter!$E$5:$E$7,W1083)*X1083/SUMIFS($X$7:$X$1843,$W$7:$W$1843,W1083),0),0)</f>
        <v>0</v>
      </c>
    </row>
    <row r="1084" customFormat="false" ht="15" hidden="false" customHeight="false" outlineLevel="0" collapsed="false">
      <c r="A1084" s="48" t="s">
        <v>1978</v>
      </c>
      <c r="B1084" s="48" t="s">
        <v>505</v>
      </c>
      <c r="C1084" s="48" t="s">
        <v>168</v>
      </c>
      <c r="D1084" s="48" t="s">
        <v>188</v>
      </c>
      <c r="E1084" s="48"/>
      <c r="F1084" s="48" t="s">
        <v>222</v>
      </c>
      <c r="G1084" s="49" t="n">
        <v>13.2</v>
      </c>
      <c r="H1084" s="50" t="n">
        <f aca="false">MAX(0,IF(AND(Parameter!$B$21="Ja",ISNUMBER(Y1084)),Y1084,IF(Parameter!$B$20="Jahresanfang 2025 + Export",BO1084+BN1084,BN1084)))</f>
        <v>8</v>
      </c>
      <c r="I1084" s="50" t="n">
        <f aca="false">H1084*G1084</f>
        <v>105.6</v>
      </c>
      <c r="J1084" s="50" t="n">
        <f aca="false">BQ1084*Parameter!$B$18</f>
        <v>10</v>
      </c>
      <c r="K1084" s="51" t="n">
        <v>8.5</v>
      </c>
      <c r="L1084" s="52" t="n">
        <v>1.17647058823529</v>
      </c>
      <c r="M1084" s="50" t="n">
        <v>0</v>
      </c>
      <c r="N1084" s="50" t="n">
        <v>10</v>
      </c>
      <c r="O1084" s="53" t="n">
        <v>28</v>
      </c>
      <c r="P1084" s="48" t="s">
        <v>430</v>
      </c>
      <c r="Q1084" s="50" t="n">
        <v>8</v>
      </c>
      <c r="R1084" s="53" t="n">
        <f aca="false">IF(BW1084=1,0,IFERROR(VLOOKUP(BU1084,'Gebinde-Kategorie'!$A$5:$N$45,13,0)+0,0))</f>
        <v>140</v>
      </c>
      <c r="S1084" s="54"/>
      <c r="T1084" s="55"/>
      <c r="U1084" s="55"/>
      <c r="V1084" s="55"/>
      <c r="W1084" s="48"/>
      <c r="X1084" s="50"/>
      <c r="Y1084" s="50"/>
      <c r="Z1084" s="48" t="n">
        <f aca="false">IF(A1084="","",IF(AND(Parameter!$B$21="Ja",ISNUMBER(W1084)),W1084,IF(BZ1084="2+3",IF(ISNUMBER(SEARCH("grosser Artikel",BR1084)),2,IFERROR(VLOOKUP(BU1084,Parameter!$F$35:$G$64,2,0),2)),IF(OR(BZ1084="Nein",BZ1084=""),"-",BZ1084))))</f>
        <v>3</v>
      </c>
      <c r="AA1084" s="55"/>
      <c r="AB1084" s="56"/>
      <c r="AC1084" s="50" t="n">
        <f aca="false">AT1084</f>
        <v>16</v>
      </c>
      <c r="AD1084" s="50" t="n">
        <f aca="false">MAX(AT1084,H1084)</f>
        <v>16</v>
      </c>
      <c r="AE1084" s="57"/>
      <c r="AF1084" s="50" t="n">
        <f aca="false">IF(LEFT(Cockpit!$C$5,1)="A",H1084,IF(CE1084=1,CF1084,IF(LEFT(Cockpit!$C$5,1)="B",AK1084,MAX(AK1084,H1084))))</f>
        <v>8</v>
      </c>
      <c r="AG1084" s="50" t="n">
        <f aca="false">IF(BW1084=1,0,ROUNDUP(AF1084/BV1084,0))</f>
        <v>1</v>
      </c>
      <c r="AH1084" s="52" t="n">
        <f aca="false">IF(CL1084&gt;0,CL1084*MAX(1,AF1084/X1084),IF(BW1084=1,IF(AF1084&lt;=0,0,CA1084*MAX(1,IF(H1084&gt;0,AF1084/H1084,1))),IF(R1084&gt;0,AG1084/R1084,0))/MAX(0.1,N(Parameter!$M$21)))</f>
        <v>0.00714285714285714</v>
      </c>
      <c r="AI1084" s="50" t="n">
        <f aca="false">AH1084*BY1084</f>
        <v>1.10714285714286</v>
      </c>
      <c r="AJ1084" s="50" t="n">
        <f aca="false">AF1084*G1084</f>
        <v>105.6</v>
      </c>
      <c r="AK1084" s="50" t="n">
        <f aca="false">ROUNDUP(MAX(J1084/IF(CD1084&gt;0,CD1084,MAX(0.1,N(Cockpit!$C$6))),CG1084)/BV1084,0)*BV1084</f>
        <v>16</v>
      </c>
      <c r="AL1084" s="51" t="n">
        <f aca="false">IF(AI1084&gt;0,J1084/AI1084,-1)</f>
        <v>9.03225806451613</v>
      </c>
      <c r="AM1084" s="51" t="n">
        <f aca="false">IF(AND(OR(CC1084="L1",CC1084="L23",CC1084="LIFT"),AI1084&gt;0),SUMIFS($AI$7:$AI$1843,$CC$7:$CC$1843,CC1084,$AL$7:$AL$1843,"&gt;"&amp;AL1084)+SUMIFS($AI$7:$AI$1843,$CC$7:$CC$1843,CC1084,$AL$7:$AL$1843,AL1084,$BT$7:$BT$1843,"&lt;="&amp;BT1084),"")</f>
        <v>2924.10302197802</v>
      </c>
      <c r="AN1084" s="58" t="n">
        <f aca="false">IF(AM1084="",0,MAX(0,MIN(1,(IF(CC1084="L1",Parameter!$H$5,IF(CC1084="L23",Parameter!$H$6+Parameter!$H$7,Parameter!$H$5+Parameter!$H$6+Parameter!$H$7))-(AM1084-AI1084))/AI1084)))</f>
        <v>1</v>
      </c>
      <c r="AO1084" s="50" t="n">
        <f aca="false">IF(LEFT(Cockpit!$I$5,1)="A",H1084,IF(CE1084=1,CF1084,IF(LEFT(Cockpit!$I$5,1)="B",AT1084,MAX(AT1084,H1084))))</f>
        <v>16</v>
      </c>
      <c r="AP1084" s="50" t="n">
        <f aca="false">IF(BW1084=1,0,ROUNDUP(AO1084/BV1084,0))</f>
        <v>2</v>
      </c>
      <c r="AQ1084" s="52" t="n">
        <f aca="false">IF(CL1084&gt;0,CL1084*MAX(1,AO1084/X1084),IF(BW1084=1,IF(AO1084&lt;=0,0,CA1084*MAX(1,IF(H1084&gt;0,AO1084/H1084,1))),IF(R1084&gt;0,AP1084/R1084,0))/MAX(0.1,N(Parameter!$M$21)))</f>
        <v>0.0142857142857143</v>
      </c>
      <c r="AR1084" s="50" t="n">
        <f aca="false">AQ1084*BY1084</f>
        <v>2.21428571428571</v>
      </c>
      <c r="AS1084" s="50" t="n">
        <f aca="false">AO1084*G1084</f>
        <v>211.2</v>
      </c>
      <c r="AT1084" s="50" t="n">
        <f aca="false">ROUNDUP(MAX(J1084/IF(CD1084&gt;0,CD1084,MAX(0.1,N(Cockpit!$I$6))),CG1084)/BV1084,0)*BV1084</f>
        <v>16</v>
      </c>
      <c r="AU1084" s="51" t="n">
        <f aca="false">IF(AR1084&gt;0,J1084/AR1084,-1)</f>
        <v>4.51612903225806</v>
      </c>
      <c r="AV1084" s="51" t="n">
        <f aca="false">IF(AND(OR(CC1084="L1",CC1084="L23",CC1084="LIFT"),AR1084&gt;0),SUMIFS($AR$7:$AR$1843,$CC$7:$CC$1843,CC1084,$AU$7:$AU$1843,"&gt;"&amp;AU1084)+SUMIFS($AR$7:$AR$1843,$CC$7:$CC$1843,CC1084,$AU$7:$AU$1843,AU1084,$BT$7:$BT$1843,"&lt;="&amp;BT1084),"")</f>
        <v>5323.20100732601</v>
      </c>
      <c r="AW1084" s="58" t="n">
        <f aca="false">IF(AV1084="",0,MAX(0,MIN(1,(IF(CC1084="L1",Parameter!$H$5,IF(CC1084="L23",Parameter!$H$6+Parameter!$H$7,Parameter!$H$5+Parameter!$H$6+Parameter!$H$7))-(AV1084-AR1084))/AR1084)))</f>
        <v>1</v>
      </c>
      <c r="AX1084" s="50" t="n">
        <f aca="false">IF(LEFT(Cockpit!$O$5,1)="A",H1084,IF(CE1084=1,CF1084,IF(LEFT(Cockpit!$O$5,1)="B",BC1084,MAX(BC1084,H1084))))</f>
        <v>16</v>
      </c>
      <c r="AY1084" s="50" t="n">
        <f aca="false">IF(BW1084=1,0,ROUNDUP(AX1084/BV1084,0))</f>
        <v>2</v>
      </c>
      <c r="AZ1084" s="52" t="n">
        <f aca="false">IF(CL1084&gt;0,CL1084*MAX(1,AX1084/X1084),IF(BW1084=1,IF(AX1084&lt;=0,0,CA1084*MAX(1,IF(H1084&gt;0,AX1084/H1084,1))),IF(R1084&gt;0,AY1084/R1084,0))/MAX(0.1,N(Parameter!$M$21)))</f>
        <v>0.0142857142857143</v>
      </c>
      <c r="BA1084" s="50" t="n">
        <f aca="false">AZ1084*BY1084</f>
        <v>2.21428571428571</v>
      </c>
      <c r="BB1084" s="50" t="n">
        <f aca="false">AX1084*G1084</f>
        <v>211.2</v>
      </c>
      <c r="BC1084" s="50" t="n">
        <f aca="false">ROUNDUP(MAX(J1084/IF(CD1084&gt;0,CD1084,MAX(0.1,N(Cockpit!$O$6))),CG1084)/BV1084,0)*BV1084</f>
        <v>16</v>
      </c>
      <c r="BD1084" s="51" t="n">
        <f aca="false">IF(BA1084&gt;0,J1084/BA1084,-1)</f>
        <v>4.51612903225806</v>
      </c>
      <c r="BE1084" s="51" t="n">
        <f aca="false">IF(AND(OR(CC1084="L1",CC1084="L23",CC1084="LIFT"),BA1084&gt;0),SUMIFS($BA$7:$BA$1843,$CC$7:$CC$1843,CC1084,$BD$7:$BD$1843,"&gt;"&amp;BD1084)+SUMIFS($BA$7:$BA$1843,$CC$7:$CC$1843,CC1084,$BD$7:$BD$1843,BD1084,$BT$7:$BT$1843,"&lt;="&amp;BT1084),"")</f>
        <v>4993.66575091575</v>
      </c>
      <c r="BF1084" s="58" t="n">
        <f aca="false">IF(BE1084="",0,MAX(0,MIN(1,(IF(CC1084="L1",Parameter!$H$5,IF(CC1084="L23",Parameter!$H$6+Parameter!$H$7,Parameter!$H$5+Parameter!$H$6+Parameter!$H$7))-(BE1084-BA1084))/BA1084)))</f>
        <v>1</v>
      </c>
      <c r="BG1084" s="48" t="str">
        <f aca="false">IF(AI1084&lt;=0,"",IF(CC1084="Aussen","Aussenlager",IF(CC1084="-","Nicht im Lift",IF(AN1084&gt;=1,"Lift",IF(AN1084&lt;=0,"Aussenlager","teilweise")))))</f>
        <v>Lift</v>
      </c>
      <c r="BH1084" s="48" t="str">
        <f aca="false">IF(AR1084&lt;=0,"",IF(CC1084="Aussen","Aussenlager",IF(CC1084="-","Nicht im Lift",IF(AW1084&gt;=1,"Lift",IF(AW1084&lt;=0,"Aussenlager","teilweise")))))</f>
        <v>Lift</v>
      </c>
      <c r="BI1084" s="48" t="str">
        <f aca="false">IF(BA1084&lt;=0,"",IF(CC1084="Aussen","Aussenlager",IF(CC1084="-","Nicht im Lift",IF(BF1084&gt;=1,"Lift",IF(BF1084&lt;=0,"Aussenlager","teilweise")))))</f>
        <v>Lift</v>
      </c>
      <c r="BJ1084" s="48" t="str">
        <f aca="false">IF(A1084="","",IF(BS1084=1,"Neu; ","")&amp;IF(AND(BS1084=0,BN1084&lt;0),"negativer Bestand (Export "&amp;BN1084&amp;"); ","")&amp;IF(J1084&lt;=0,"Kein Verbrauch; ","")&amp;IF(CL1084&gt;0,"Lift "&amp;W1084&amp;" lt. Liftbericht (Fach "&amp;X1084&amp;" Stk); ",IF(BX1084=1,"Gebinde geschätzt ("&amp;T1084&amp;"); ",IF(BW1084=1,"Lose – Tablare geschätzt; ","")))&amp;IF(H1084&gt;AT1084,"Überbestand "&amp;ROUND(H1084-AT1084,0)&amp;" Stk / CHF "&amp;ROUND((H1084-AT1084)*G1084,0)&amp;"; ","")&amp;IF(AND(CE1084=1,CF1084&lt;CG1084),"MAX &lt; MB+LG; ","")&amp;IF(AND(CK1084&gt;0,CJ1084*10&gt;CK1084),"zu hoch für Tablar; ","")&amp;IF(AND(BS1084=0,OR(CE1084=1,AA1084&lt;&gt;"",U1084&lt;&gt;"",V1084&lt;&gt;"",AB1084&lt;&gt;"")),"manuell übersteuert; ","")&amp;IF(AND(BW1084=0,R1084=0),"Gebinde unbekannt / Stellmass fehlt; ","")&amp;IF(AND(BW1084=0,N(V1084)&lt;=0,N(Q1084)&lt;=0),"Menge pro Gebinde fehlt (Ist = 1 Gebinde); ","")&amp;BR1084)</f>
        <v/>
      </c>
      <c r="BK1084" s="48"/>
      <c r="BL1084" s="48"/>
      <c r="BM1084" s="55"/>
      <c r="BN1084" s="50" t="n">
        <v>2</v>
      </c>
      <c r="BO1084" s="50" t="n">
        <v>6</v>
      </c>
      <c r="BP1084" s="49" t="n">
        <v>-188.4</v>
      </c>
      <c r="BQ1084" s="50" t="n">
        <v>10</v>
      </c>
      <c r="BR1084" s="48"/>
      <c r="BS1084" s="53" t="n">
        <v>0</v>
      </c>
      <c r="BT1084" s="53" t="n">
        <v>1084</v>
      </c>
      <c r="BU1084" s="48" t="str">
        <f aca="false">IF(U1084&lt;&gt;"",UPPER(TRIM(U1084)),IF(BX1084=1,UPPER(VLOOKUP(T1084,Parameter!$I$27:$K$29,2,0)),IF(P1084="","LOSE",P1084)))</f>
        <v>S22</v>
      </c>
      <c r="BV1084" s="50" t="n">
        <f aca="false">IF(BU1084="LOSE",1,IF(N(V1084)&gt;0,V1084,IF(BX1084=1,MAX(1,N(VLOOKUP(T1084,Parameter!$I$27:$K$29,3,0)),H1084,N(N1084)),IF(N(Q1084)&gt;0,Q1084,MAX(1,H1084)))))</f>
        <v>8</v>
      </c>
      <c r="BW1084" s="53" t="n">
        <f aca="false">IF(BU1084="LOSE",1,0)</f>
        <v>0</v>
      </c>
      <c r="BX1084" s="53" t="n">
        <f aca="false">IF(AND(U1084="",OR(P1084="",P1084="LOSE"),T1084&lt;&gt;"",N(S1084)&lt;=0,ISNUMBER(MATCH(T1084,Parameter!$I$27:$I$29,0))),1,0)</f>
        <v>0</v>
      </c>
      <c r="BY1084" s="53" t="n">
        <f aca="false">IF(CL1084&gt;0,INDEX(Parameter!$H$5:$H$7,W1084)/INDEX(Parameter!$E$5:$E$7,W1084),IF(AND(BW1084=0,N(IFERROR(VLOOKUP(BU1084,'Gebinde-Kategorie'!$A$5:$N$45,14,0),0))&gt;0),VLOOKUP(BU1084,'Gebinde-Kategorie'!$A$5:$N$45,14,0)*10+Parameter!$M$23,Parameter!$M$24))</f>
        <v>155</v>
      </c>
      <c r="BZ1084" s="48" t="str">
        <f aca="false">IF(AND(Parameter!$B$19="Ja",E1084&lt;&gt;"",ISNUMBER(MATCH(E1084,Parameter!$I$35:$I$52,0))),VLOOKUP(E1084,Parameter!$I$35:$J$52,2,0),IFERROR(VLOOKUP(D1084,Parameter!$A$35:$C$64,2,0),"Nein"))</f>
        <v>2+3</v>
      </c>
      <c r="CA1084" s="52" t="n">
        <f aca="false">IF(BW1084=0,0,IF(N(S1084)&gt;0,S1084,IFERROR(VLOOKUP(D1084,Parameter!$A$35:$C$64,3,0)+0,0)))</f>
        <v>0</v>
      </c>
      <c r="CB1084" s="48" t="n">
        <f aca="false">IF(AA1084&lt;&gt;"",AA1084,Z1084)</f>
        <v>3</v>
      </c>
      <c r="CC1084" s="48" t="str">
        <f aca="false">IF(OR(CB1084=1,CB1084=2,CB1084=3),IF(Parameter!$E$27="Ja","LIFT",IF(CB1084=1,"L1","L23")),IF(CB1084="Aussen","Aussen","-"))</f>
        <v>LIFT</v>
      </c>
      <c r="CD1084" s="59" t="n">
        <f aca="false">IF(N(AB1084)&gt;0,AB1084,0)</f>
        <v>0</v>
      </c>
      <c r="CE1084" s="53" t="n">
        <f aca="false">IF(ISNUMBER(AE1084),1,0)</f>
        <v>0</v>
      </c>
      <c r="CF1084" s="50" t="n">
        <f aca="false">N(AE1084)</f>
        <v>0</v>
      </c>
      <c r="CG1084" s="50" t="n">
        <f aca="false">N(M1084)+N(N1084)</f>
        <v>10</v>
      </c>
      <c r="CH1084" s="50" t="n">
        <f aca="false">ROUNDUP(H1084/BV1084,0)</f>
        <v>1</v>
      </c>
      <c r="CI1084" s="50" t="n">
        <f aca="false">ROUNDUP(CF1084/BV1084,0)</f>
        <v>0</v>
      </c>
      <c r="CJ1084" s="53" t="n">
        <f aca="false">IF(BW1084=1,0,IFERROR(VLOOKUP(BU1084,'Gebinde-Kategorie'!$A$5:$N$45,5,0)+0,0))</f>
        <v>8</v>
      </c>
      <c r="CK1084" s="53" t="n">
        <f aca="false">IFERROR(IF(OR(CB1084=1,CB1084=2,CB1084=3),N(INDEX(Parameter!$I$5:$I$7,CB1084)),0),0)</f>
        <v>0</v>
      </c>
      <c r="CL1084" s="52" t="n">
        <f aca="false">IF(AND(Parameter!$B$21="Ja",ISNUMBER(W1084),N(X1084)&gt;0),IFERROR(N(INDEX(Parameter!$L$5:$L$7,W1084))*INDEX(Parameter!$E$5:$E$7,W1084)*X1084/SUMIFS($X$7:$X$1843,$W$7:$W$1843,W1084),0),0)</f>
        <v>0</v>
      </c>
    </row>
    <row r="1085" customFormat="false" ht="15" hidden="false" customHeight="false" outlineLevel="0" collapsed="false">
      <c r="A1085" s="48" t="s">
        <v>1979</v>
      </c>
      <c r="B1085" s="48" t="s">
        <v>1980</v>
      </c>
      <c r="C1085" s="48" t="s">
        <v>168</v>
      </c>
      <c r="D1085" s="48" t="s">
        <v>188</v>
      </c>
      <c r="E1085" s="48" t="s">
        <v>189</v>
      </c>
      <c r="F1085" s="48" t="s">
        <v>222</v>
      </c>
      <c r="G1085" s="49" t="n">
        <v>7.08</v>
      </c>
      <c r="H1085" s="50" t="n">
        <f aca="false">MAX(0,IF(AND(Parameter!$B$21="Ja",ISNUMBER(Y1085)),Y1085,IF(Parameter!$B$20="Jahresanfang 2025 + Export",BO1085+BN1085,BN1085)))</f>
        <v>81</v>
      </c>
      <c r="I1085" s="50" t="n">
        <f aca="false">H1085*G1085</f>
        <v>573.48</v>
      </c>
      <c r="J1085" s="50" t="n">
        <f aca="false">BQ1085*Parameter!$B$18</f>
        <v>129</v>
      </c>
      <c r="K1085" s="51" t="n">
        <v>91</v>
      </c>
      <c r="L1085" s="52" t="n">
        <v>1.41758241758242</v>
      </c>
      <c r="M1085" s="50" t="n">
        <v>7</v>
      </c>
      <c r="N1085" s="50" t="n">
        <v>130</v>
      </c>
      <c r="O1085" s="53" t="n">
        <v>21</v>
      </c>
      <c r="P1085" s="48" t="s">
        <v>425</v>
      </c>
      <c r="Q1085" s="50" t="n">
        <v>113</v>
      </c>
      <c r="R1085" s="53" t="n">
        <f aca="false">IF(BW1085=1,0,IFERROR(VLOOKUP(BU1085,'Gebinde-Kategorie'!$A$5:$N$45,13,0)+0,0))</f>
        <v>104</v>
      </c>
      <c r="S1085" s="54"/>
      <c r="T1085" s="55"/>
      <c r="U1085" s="55"/>
      <c r="V1085" s="55"/>
      <c r="W1085" s="48"/>
      <c r="X1085" s="50"/>
      <c r="Y1085" s="50"/>
      <c r="Z1085" s="48" t="n">
        <f aca="false">IF(A1085="","",IF(AND(Parameter!$B$21="Ja",ISNUMBER(W1085)),W1085,IF(BZ1085="2+3",IF(ISNUMBER(SEARCH("grosser Artikel",BR1085)),2,IFERROR(VLOOKUP(BU1085,Parameter!$F$35:$G$64,2,0),2)),IF(OR(BZ1085="Nein",BZ1085=""),"-",BZ1085))))</f>
        <v>3</v>
      </c>
      <c r="AA1085" s="55"/>
      <c r="AB1085" s="56"/>
      <c r="AC1085" s="50" t="n">
        <f aca="false">AT1085</f>
        <v>226</v>
      </c>
      <c r="AD1085" s="50" t="n">
        <f aca="false">MAX(AT1085,H1085)</f>
        <v>226</v>
      </c>
      <c r="AE1085" s="57"/>
      <c r="AF1085" s="50" t="n">
        <f aca="false">IF(LEFT(Cockpit!$C$5,1)="A",H1085,IF(CE1085=1,CF1085,IF(LEFT(Cockpit!$C$5,1)="B",AK1085,MAX(AK1085,H1085))))</f>
        <v>81</v>
      </c>
      <c r="AG1085" s="50" t="n">
        <f aca="false">IF(BW1085=1,0,ROUNDUP(AF1085/BV1085,0))</f>
        <v>1</v>
      </c>
      <c r="AH1085" s="52" t="n">
        <f aca="false">IF(CL1085&gt;0,CL1085*MAX(1,AF1085/X1085),IF(BW1085=1,IF(AF1085&lt;=0,0,CA1085*MAX(1,IF(H1085&gt;0,AF1085/H1085,1))),IF(R1085&gt;0,AG1085/R1085,0))/MAX(0.1,N(Parameter!$M$21)))</f>
        <v>0.00961538461538462</v>
      </c>
      <c r="AI1085" s="50" t="n">
        <f aca="false">AH1085*BY1085</f>
        <v>1.49038461538462</v>
      </c>
      <c r="AJ1085" s="50" t="n">
        <f aca="false">AF1085*G1085</f>
        <v>573.48</v>
      </c>
      <c r="AK1085" s="50" t="n">
        <f aca="false">ROUNDUP(MAX(J1085/IF(CD1085&gt;0,CD1085,MAX(0.1,N(Cockpit!$C$6))),CG1085)/BV1085,0)*BV1085</f>
        <v>226</v>
      </c>
      <c r="AL1085" s="51" t="n">
        <f aca="false">IF(AI1085&gt;0,J1085/AI1085,-1)</f>
        <v>86.5548387096774</v>
      </c>
      <c r="AM1085" s="51" t="n">
        <f aca="false">IF(AND(OR(CC1085="L1",CC1085="L23",CC1085="LIFT"),AI1085&gt;0),SUMIFS($AI$7:$AI$1843,$CC$7:$CC$1843,CC1085,$AL$7:$AL$1843,"&gt;"&amp;AL1085)+SUMIFS($AI$7:$AI$1843,$CC$7:$CC$1843,CC1085,$AL$7:$AL$1843,AL1085,$BT$7:$BT$1843,"&lt;="&amp;BT1085),"")</f>
        <v>839.858516483517</v>
      </c>
      <c r="AN1085" s="58" t="n">
        <f aca="false">IF(AM1085="",0,MAX(0,MIN(1,(IF(CC1085="L1",Parameter!$H$5,IF(CC1085="L23",Parameter!$H$6+Parameter!$H$7,Parameter!$H$5+Parameter!$H$6+Parameter!$H$7))-(AM1085-AI1085))/AI1085)))</f>
        <v>1</v>
      </c>
      <c r="AO1085" s="50" t="n">
        <f aca="false">IF(LEFT(Cockpit!$I$5,1)="A",H1085,IF(CE1085=1,CF1085,IF(LEFT(Cockpit!$I$5,1)="B",AT1085,MAX(AT1085,H1085))))</f>
        <v>226</v>
      </c>
      <c r="AP1085" s="50" t="n">
        <f aca="false">IF(BW1085=1,0,ROUNDUP(AO1085/BV1085,0))</f>
        <v>2</v>
      </c>
      <c r="AQ1085" s="52" t="n">
        <f aca="false">IF(CL1085&gt;0,CL1085*MAX(1,AO1085/X1085),IF(BW1085=1,IF(AO1085&lt;=0,0,CA1085*MAX(1,IF(H1085&gt;0,AO1085/H1085,1))),IF(R1085&gt;0,AP1085/R1085,0))/MAX(0.1,N(Parameter!$M$21)))</f>
        <v>0.0192307692307692</v>
      </c>
      <c r="AR1085" s="50" t="n">
        <f aca="false">AQ1085*BY1085</f>
        <v>2.98076923076923</v>
      </c>
      <c r="AS1085" s="50" t="n">
        <f aca="false">AO1085*G1085</f>
        <v>1600.08</v>
      </c>
      <c r="AT1085" s="50" t="n">
        <f aca="false">ROUNDUP(MAX(J1085/IF(CD1085&gt;0,CD1085,MAX(0.1,N(Cockpit!$I$6))),CG1085)/BV1085,0)*BV1085</f>
        <v>226</v>
      </c>
      <c r="AU1085" s="51" t="n">
        <f aca="false">IF(AR1085&gt;0,J1085/AR1085,-1)</f>
        <v>43.2774193548387</v>
      </c>
      <c r="AV1085" s="51" t="n">
        <f aca="false">IF(AND(OR(CC1085="L1",CC1085="L23",CC1085="LIFT"),AR1085&gt;0),SUMIFS($AR$7:$AR$1843,$CC$7:$CC$1843,CC1085,$AU$7:$AU$1843,"&gt;"&amp;AU1085)+SUMIFS($AR$7:$AR$1843,$CC$7:$CC$1843,CC1085,$AU$7:$AU$1843,AU1085,$BT$7:$BT$1843,"&lt;="&amp;BT1085),"")</f>
        <v>1658.68635531136</v>
      </c>
      <c r="AW1085" s="58" t="n">
        <f aca="false">IF(AV1085="",0,MAX(0,MIN(1,(IF(CC1085="L1",Parameter!$H$5,IF(CC1085="L23",Parameter!$H$6+Parameter!$H$7,Parameter!$H$5+Parameter!$H$6+Parameter!$H$7))-(AV1085-AR1085))/AR1085)))</f>
        <v>1</v>
      </c>
      <c r="AX1085" s="50" t="n">
        <f aca="false">IF(LEFT(Cockpit!$O$5,1)="A",H1085,IF(CE1085=1,CF1085,IF(LEFT(Cockpit!$O$5,1)="B",BC1085,MAX(BC1085,H1085))))</f>
        <v>226</v>
      </c>
      <c r="AY1085" s="50" t="n">
        <f aca="false">IF(BW1085=1,0,ROUNDUP(AX1085/BV1085,0))</f>
        <v>2</v>
      </c>
      <c r="AZ1085" s="52" t="n">
        <f aca="false">IF(CL1085&gt;0,CL1085*MAX(1,AX1085/X1085),IF(BW1085=1,IF(AX1085&lt;=0,0,CA1085*MAX(1,IF(H1085&gt;0,AX1085/H1085,1))),IF(R1085&gt;0,AY1085/R1085,0))/MAX(0.1,N(Parameter!$M$21)))</f>
        <v>0.0192307692307692</v>
      </c>
      <c r="BA1085" s="50" t="n">
        <f aca="false">AZ1085*BY1085</f>
        <v>2.98076923076923</v>
      </c>
      <c r="BB1085" s="50" t="n">
        <f aca="false">AX1085*G1085</f>
        <v>1600.08</v>
      </c>
      <c r="BC1085" s="50" t="n">
        <f aca="false">ROUNDUP(MAX(J1085/IF(CD1085&gt;0,CD1085,MAX(0.1,N(Cockpit!$O$6))),CG1085)/BV1085,0)*BV1085</f>
        <v>226</v>
      </c>
      <c r="BD1085" s="51" t="n">
        <f aca="false">IF(BA1085&gt;0,J1085/BA1085,-1)</f>
        <v>43.2774193548387</v>
      </c>
      <c r="BE1085" s="51" t="n">
        <f aca="false">IF(AND(OR(CC1085="L1",CC1085="L23",CC1085="LIFT"),BA1085&gt;0),SUMIFS($BA$7:$BA$1843,$CC$7:$CC$1843,CC1085,$BD$7:$BD$1843,"&gt;"&amp;BD1085)+SUMIFS($BA$7:$BA$1843,$CC$7:$CC$1843,CC1085,$BD$7:$BD$1843,BD1085,$BT$7:$BT$1843,"&lt;="&amp;BT1085),"")</f>
        <v>1523.60622710623</v>
      </c>
      <c r="BF1085" s="58" t="n">
        <f aca="false">IF(BE1085="",0,MAX(0,MIN(1,(IF(CC1085="L1",Parameter!$H$5,IF(CC1085="L23",Parameter!$H$6+Parameter!$H$7,Parameter!$H$5+Parameter!$H$6+Parameter!$H$7))-(BE1085-BA1085))/BA1085)))</f>
        <v>1</v>
      </c>
      <c r="BG1085" s="48" t="str">
        <f aca="false">IF(AI1085&lt;=0,"",IF(CC1085="Aussen","Aussenlager",IF(CC1085="-","Nicht im Lift",IF(AN1085&gt;=1,"Lift",IF(AN1085&lt;=0,"Aussenlager","teilweise")))))</f>
        <v>Lift</v>
      </c>
      <c r="BH1085" s="48" t="str">
        <f aca="false">IF(AR1085&lt;=0,"",IF(CC1085="Aussen","Aussenlager",IF(CC1085="-","Nicht im Lift",IF(AW1085&gt;=1,"Lift",IF(AW1085&lt;=0,"Aussenlager","teilweise")))))</f>
        <v>Lift</v>
      </c>
      <c r="BI1085" s="48" t="str">
        <f aca="false">IF(BA1085&lt;=0,"",IF(CC1085="Aussen","Aussenlager",IF(CC1085="-","Nicht im Lift",IF(BF1085&gt;=1,"Lift",IF(BF1085&lt;=0,"Aussenlager","teilweise")))))</f>
        <v>Lift</v>
      </c>
      <c r="BJ1085" s="48" t="str">
        <f aca="false">IF(A1085="","",IF(BS1085=1,"Neu; ","")&amp;IF(AND(BS1085=0,BN1085&lt;0),"negativer Bestand (Export "&amp;BN1085&amp;"); ","")&amp;IF(J1085&lt;=0,"Kein Verbrauch; ","")&amp;IF(CL1085&gt;0,"Lift "&amp;W1085&amp;" lt. Liftbericht (Fach "&amp;X1085&amp;" Stk); ",IF(BX1085=1,"Gebinde geschätzt ("&amp;T1085&amp;"); ",IF(BW1085=1,"Lose – Tablare geschätzt; ","")))&amp;IF(H1085&gt;AT1085,"Überbestand "&amp;ROUND(H1085-AT1085,0)&amp;" Stk / CHF "&amp;ROUND((H1085-AT1085)*G1085,0)&amp;"; ","")&amp;IF(AND(CE1085=1,CF1085&lt;CG1085),"MAX &lt; MB+LG; ","")&amp;IF(AND(CK1085&gt;0,CJ1085*10&gt;CK1085),"zu hoch für Tablar; ","")&amp;IF(AND(BS1085=0,OR(CE1085=1,AA1085&lt;&gt;"",U1085&lt;&gt;"",V1085&lt;&gt;"",AB1085&lt;&gt;"")),"manuell übersteuert; ","")&amp;IF(AND(BW1085=0,R1085=0),"Gebinde unbekannt / Stellmass fehlt; ","")&amp;IF(AND(BW1085=0,N(V1085)&lt;=0,N(Q1085)&lt;=0),"Menge pro Gebinde fehlt (Ist = 1 Gebinde); ","")&amp;BR1085)</f>
        <v>negativer Bestand (Export -22); </v>
      </c>
      <c r="BK1085" s="48"/>
      <c r="BL1085" s="48"/>
      <c r="BM1085" s="55"/>
      <c r="BN1085" s="50" t="n">
        <v>-22</v>
      </c>
      <c r="BO1085" s="50" t="n">
        <v>103</v>
      </c>
      <c r="BP1085" s="49" t="n">
        <v>-188.719999999999</v>
      </c>
      <c r="BQ1085" s="50" t="n">
        <v>129</v>
      </c>
      <c r="BR1085" s="48"/>
      <c r="BS1085" s="53" t="n">
        <v>0</v>
      </c>
      <c r="BT1085" s="53" t="n">
        <v>1085</v>
      </c>
      <c r="BU1085" s="48" t="str">
        <f aca="false">IF(U1085&lt;&gt;"",UPPER(TRIM(U1085)),IF(BX1085=1,UPPER(VLOOKUP(T1085,Parameter!$I$27:$K$29,2,0)),IF(P1085="","LOSE",P1085)))</f>
        <v>S32</v>
      </c>
      <c r="BV1085" s="50" t="n">
        <f aca="false">IF(BU1085="LOSE",1,IF(N(V1085)&gt;0,V1085,IF(BX1085=1,MAX(1,N(VLOOKUP(T1085,Parameter!$I$27:$K$29,3,0)),H1085,N(N1085)),IF(N(Q1085)&gt;0,Q1085,MAX(1,H1085)))))</f>
        <v>113</v>
      </c>
      <c r="BW1085" s="53" t="n">
        <f aca="false">IF(BU1085="LOSE",1,0)</f>
        <v>0</v>
      </c>
      <c r="BX1085" s="53" t="n">
        <f aca="false">IF(AND(U1085="",OR(P1085="",P1085="LOSE"),T1085&lt;&gt;"",N(S1085)&lt;=0,ISNUMBER(MATCH(T1085,Parameter!$I$27:$I$29,0))),1,0)</f>
        <v>0</v>
      </c>
      <c r="BY1085" s="53" t="n">
        <f aca="false">IF(CL1085&gt;0,INDEX(Parameter!$H$5:$H$7,W1085)/INDEX(Parameter!$E$5:$E$7,W1085),IF(AND(BW1085=0,N(IFERROR(VLOOKUP(BU1085,'Gebinde-Kategorie'!$A$5:$N$45,14,0),0))&gt;0),VLOOKUP(BU1085,'Gebinde-Kategorie'!$A$5:$N$45,14,0)*10+Parameter!$M$23,Parameter!$M$24))</f>
        <v>155</v>
      </c>
      <c r="BZ1085" s="48" t="str">
        <f aca="false">IF(AND(Parameter!$B$19="Ja",E1085&lt;&gt;"",ISNUMBER(MATCH(E1085,Parameter!$I$35:$I$52,0))),VLOOKUP(E1085,Parameter!$I$35:$J$52,2,0),IFERROR(VLOOKUP(D1085,Parameter!$A$35:$C$64,2,0),"Nein"))</f>
        <v>2+3</v>
      </c>
      <c r="CA1085" s="52" t="n">
        <f aca="false">IF(BW1085=0,0,IF(N(S1085)&gt;0,S1085,IFERROR(VLOOKUP(D1085,Parameter!$A$35:$C$64,3,0)+0,0)))</f>
        <v>0</v>
      </c>
      <c r="CB1085" s="48" t="n">
        <f aca="false">IF(AA1085&lt;&gt;"",AA1085,Z1085)</f>
        <v>3</v>
      </c>
      <c r="CC1085" s="48" t="str">
        <f aca="false">IF(OR(CB1085=1,CB1085=2,CB1085=3),IF(Parameter!$E$27="Ja","LIFT",IF(CB1085=1,"L1","L23")),IF(CB1085="Aussen","Aussen","-"))</f>
        <v>LIFT</v>
      </c>
      <c r="CD1085" s="59" t="n">
        <f aca="false">IF(N(AB1085)&gt;0,AB1085,0)</f>
        <v>0</v>
      </c>
      <c r="CE1085" s="53" t="n">
        <f aca="false">IF(ISNUMBER(AE1085),1,0)</f>
        <v>0</v>
      </c>
      <c r="CF1085" s="50" t="n">
        <f aca="false">N(AE1085)</f>
        <v>0</v>
      </c>
      <c r="CG1085" s="50" t="n">
        <f aca="false">N(M1085)+N(N1085)</f>
        <v>137</v>
      </c>
      <c r="CH1085" s="50" t="n">
        <f aca="false">ROUNDUP(H1085/BV1085,0)</f>
        <v>1</v>
      </c>
      <c r="CI1085" s="50" t="n">
        <f aca="false">ROUNDUP(CF1085/BV1085,0)</f>
        <v>0</v>
      </c>
      <c r="CJ1085" s="53" t="n">
        <f aca="false">IF(BW1085=1,0,IFERROR(VLOOKUP(BU1085,'Gebinde-Kategorie'!$A$5:$N$45,5,0)+0,0))</f>
        <v>8</v>
      </c>
      <c r="CK1085" s="53" t="n">
        <f aca="false">IFERROR(IF(OR(CB1085=1,CB1085=2,CB1085=3),N(INDEX(Parameter!$I$5:$I$7,CB1085)),0),0)</f>
        <v>0</v>
      </c>
      <c r="CL1085" s="52" t="n">
        <f aca="false">IF(AND(Parameter!$B$21="Ja",ISNUMBER(W1085),N(X1085)&gt;0),IFERROR(N(INDEX(Parameter!$L$5:$L$7,W1085))*INDEX(Parameter!$E$5:$E$7,W1085)*X1085/SUMIFS($X$7:$X$1843,$W$7:$W$1843,W1085),0),0)</f>
        <v>0</v>
      </c>
    </row>
    <row r="1086" customFormat="false" ht="15" hidden="false" customHeight="false" outlineLevel="0" collapsed="false">
      <c r="A1086" s="48" t="s">
        <v>1981</v>
      </c>
      <c r="B1086" s="48" t="s">
        <v>1982</v>
      </c>
      <c r="C1086" s="48" t="s">
        <v>460</v>
      </c>
      <c r="D1086" s="48" t="s">
        <v>188</v>
      </c>
      <c r="E1086" s="48"/>
      <c r="F1086" s="48" t="s">
        <v>222</v>
      </c>
      <c r="G1086" s="49" t="n">
        <v>190.8</v>
      </c>
      <c r="H1086" s="50" t="n">
        <f aca="false">MAX(0,IF(AND(Parameter!$B$21="Ja",ISNUMBER(Y1086)),Y1086,IF(Parameter!$B$20="Jahresanfang 2025 + Export",BO1086+BN1086,BN1086)))</f>
        <v>0</v>
      </c>
      <c r="I1086" s="50" t="n">
        <f aca="false">H1086*G1086</f>
        <v>0</v>
      </c>
      <c r="J1086" s="50" t="n">
        <f aca="false">BQ1086*Parameter!$B$18</f>
        <v>0</v>
      </c>
      <c r="K1086" s="51" t="n">
        <v>1</v>
      </c>
      <c r="L1086" s="52" t="n">
        <v>0</v>
      </c>
      <c r="M1086" s="50" t="n">
        <v>0</v>
      </c>
      <c r="N1086" s="50" t="n">
        <v>1</v>
      </c>
      <c r="O1086" s="53" t="n">
        <v>42</v>
      </c>
      <c r="P1086" s="48" t="s">
        <v>172</v>
      </c>
      <c r="Q1086" s="50"/>
      <c r="R1086" s="53" t="n">
        <f aca="false">IF(BW1086=1,0,IFERROR(VLOOKUP(BU1086,'Gebinde-Kategorie'!$A$5:$N$45,13,0)+0,0))</f>
        <v>26</v>
      </c>
      <c r="S1086" s="54"/>
      <c r="T1086" s="55" t="s">
        <v>279</v>
      </c>
      <c r="U1086" s="55"/>
      <c r="V1086" s="55"/>
      <c r="W1086" s="48"/>
      <c r="X1086" s="50"/>
      <c r="Y1086" s="50"/>
      <c r="Z1086" s="48" t="n">
        <f aca="false">IF(A1086="","",IF(AND(Parameter!$B$21="Ja",ISNUMBER(W1086)),W1086,IF(BZ1086="2+3",IF(ISNUMBER(SEARCH("grosser Artikel",BR1086)),2,IFERROR(VLOOKUP(BU1086,Parameter!$F$35:$G$64,2,0),2)),IF(OR(BZ1086="Nein",BZ1086=""),"-",BZ1086))))</f>
        <v>3</v>
      </c>
      <c r="AA1086" s="55"/>
      <c r="AB1086" s="56"/>
      <c r="AC1086" s="50" t="n">
        <f aca="false">AT1086</f>
        <v>20</v>
      </c>
      <c r="AD1086" s="50" t="n">
        <f aca="false">MAX(AT1086,H1086)</f>
        <v>20</v>
      </c>
      <c r="AE1086" s="57"/>
      <c r="AF1086" s="50" t="n">
        <f aca="false">IF(LEFT(Cockpit!$C$5,1)="A",H1086,IF(CE1086=1,CF1086,IF(LEFT(Cockpit!$C$5,1)="B",AK1086,MAX(AK1086,H1086))))</f>
        <v>0</v>
      </c>
      <c r="AG1086" s="50" t="n">
        <f aca="false">IF(BW1086=1,0,ROUNDUP(AF1086/BV1086,0))</f>
        <v>0</v>
      </c>
      <c r="AH1086" s="52" t="n">
        <f aca="false">IF(CL1086&gt;0,CL1086*MAX(1,AF1086/X1086),IF(BW1086=1,IF(AF1086&lt;=0,0,CA1086*MAX(1,IF(H1086&gt;0,AF1086/H1086,1))),IF(R1086&gt;0,AG1086/R1086,0))/MAX(0.1,N(Parameter!$M$21)))</f>
        <v>0</v>
      </c>
      <c r="AI1086" s="50" t="n">
        <f aca="false">AH1086*BY1086</f>
        <v>0</v>
      </c>
      <c r="AJ1086" s="50" t="n">
        <f aca="false">AF1086*G1086</f>
        <v>0</v>
      </c>
      <c r="AK1086" s="50" t="n">
        <f aca="false">ROUNDUP(MAX(J1086/IF(CD1086&gt;0,CD1086,MAX(0.1,N(Cockpit!$C$6))),CG1086)/BV1086,0)*BV1086</f>
        <v>20</v>
      </c>
      <c r="AL1086" s="51" t="n">
        <f aca="false">IF(AI1086&gt;0,J1086/AI1086,-1)</f>
        <v>-1</v>
      </c>
      <c r="AM1086" s="51" t="str">
        <f aca="false">IF(AND(OR(CC1086="L1",CC1086="L23",CC1086="LIFT"),AI1086&gt;0),SUMIFS($AI$7:$AI$1843,$CC$7:$CC$1843,CC1086,$AL$7:$AL$1843,"&gt;"&amp;AL1086)+SUMIFS($AI$7:$AI$1843,$CC$7:$CC$1843,CC1086,$AL$7:$AL$1843,AL1086,$BT$7:$BT$1843,"&lt;="&amp;BT1086),"")</f>
        <v/>
      </c>
      <c r="AN1086" s="58" t="n">
        <f aca="false">IF(AM1086="",0,MAX(0,MIN(1,(IF(CC1086="L1",Parameter!$H$5,IF(CC1086="L23",Parameter!$H$6+Parameter!$H$7,Parameter!$H$5+Parameter!$H$6+Parameter!$H$7))-(AM1086-AI1086))/AI1086)))</f>
        <v>0</v>
      </c>
      <c r="AO1086" s="50" t="n">
        <f aca="false">IF(LEFT(Cockpit!$I$5,1)="A",H1086,IF(CE1086=1,CF1086,IF(LEFT(Cockpit!$I$5,1)="B",AT1086,MAX(AT1086,H1086))))</f>
        <v>20</v>
      </c>
      <c r="AP1086" s="50" t="n">
        <f aca="false">IF(BW1086=1,0,ROUNDUP(AO1086/BV1086,0))</f>
        <v>1</v>
      </c>
      <c r="AQ1086" s="52" t="n">
        <f aca="false">IF(CL1086&gt;0,CL1086*MAX(1,AO1086/X1086),IF(BW1086=1,IF(AO1086&lt;=0,0,CA1086*MAX(1,IF(H1086&gt;0,AO1086/H1086,1))),IF(R1086&gt;0,AP1086/R1086,0))/MAX(0.1,N(Parameter!$M$21)))</f>
        <v>0.0384615384615385</v>
      </c>
      <c r="AR1086" s="50" t="n">
        <f aca="false">AQ1086*BY1086</f>
        <v>5.96153846153846</v>
      </c>
      <c r="AS1086" s="50" t="n">
        <f aca="false">AO1086*G1086</f>
        <v>3816</v>
      </c>
      <c r="AT1086" s="50" t="n">
        <f aca="false">ROUNDUP(MAX(J1086/IF(CD1086&gt;0,CD1086,MAX(0.1,N(Cockpit!$I$6))),CG1086)/BV1086,0)*BV1086</f>
        <v>20</v>
      </c>
      <c r="AU1086" s="51" t="n">
        <f aca="false">IF(AR1086&gt;0,J1086/AR1086,-1)</f>
        <v>0</v>
      </c>
      <c r="AV1086" s="51" t="n">
        <f aca="false">IF(AND(OR(CC1086="L1",CC1086="L23",CC1086="LIFT"),AR1086&gt;0),SUMIFS($AR$7:$AR$1843,$CC$7:$CC$1843,CC1086,$AU$7:$AU$1843,"&gt;"&amp;AU1086)+SUMIFS($AR$7:$AR$1843,$CC$7:$CC$1843,CC1086,$AU$7:$AU$1843,AU1086,$BT$7:$BT$1843,"&lt;="&amp;BT1086),"")</f>
        <v>40774.7889271745</v>
      </c>
      <c r="AW1086" s="58" t="n">
        <f aca="false">IF(AV1086="",0,MAX(0,MIN(1,(IF(CC1086="L1",Parameter!$H$5,IF(CC1086="L23",Parameter!$H$6+Parameter!$H$7,Parameter!$H$5+Parameter!$H$6+Parameter!$H$7))-(AV1086-AR1086))/AR1086)))</f>
        <v>0</v>
      </c>
      <c r="AX1086" s="50" t="n">
        <f aca="false">IF(LEFT(Cockpit!$O$5,1)="A",H1086,IF(CE1086=1,CF1086,IF(LEFT(Cockpit!$O$5,1)="B",BC1086,MAX(BC1086,H1086))))</f>
        <v>20</v>
      </c>
      <c r="AY1086" s="50" t="n">
        <f aca="false">IF(BW1086=1,0,ROUNDUP(AX1086/BV1086,0))</f>
        <v>1</v>
      </c>
      <c r="AZ1086" s="52" t="n">
        <f aca="false">IF(CL1086&gt;0,CL1086*MAX(1,AX1086/X1086),IF(BW1086=1,IF(AX1086&lt;=0,0,CA1086*MAX(1,IF(H1086&gt;0,AX1086/H1086,1))),IF(R1086&gt;0,AY1086/R1086,0))/MAX(0.1,N(Parameter!$M$21)))</f>
        <v>0.0384615384615385</v>
      </c>
      <c r="BA1086" s="50" t="n">
        <f aca="false">AZ1086*BY1086</f>
        <v>5.96153846153846</v>
      </c>
      <c r="BB1086" s="50" t="n">
        <f aca="false">AX1086*G1086</f>
        <v>3816</v>
      </c>
      <c r="BC1086" s="50" t="n">
        <f aca="false">ROUNDUP(MAX(J1086/IF(CD1086&gt;0,CD1086,MAX(0.1,N(Cockpit!$O$6))),CG1086)/BV1086,0)*BV1086</f>
        <v>20</v>
      </c>
      <c r="BD1086" s="51" t="n">
        <f aca="false">IF(BA1086&gt;0,J1086/BA1086,-1)</f>
        <v>0</v>
      </c>
      <c r="BE1086" s="51" t="n">
        <f aca="false">IF(AND(OR(CC1086="L1",CC1086="L23",CC1086="LIFT"),BA1086&gt;0),SUMIFS($BA$7:$BA$1843,$CC$7:$CC$1843,CC1086,$BD$7:$BD$1843,"&gt;"&amp;BD1086)+SUMIFS($BA$7:$BA$1843,$CC$7:$CC$1843,CC1086,$BD$7:$BD$1843,BD1086,$BT$7:$BT$1843,"&lt;="&amp;BT1086),"")</f>
        <v>37449.8009690404</v>
      </c>
      <c r="BF1086" s="58" t="n">
        <f aca="false">IF(BE1086="",0,MAX(0,MIN(1,(IF(CC1086="L1",Parameter!$H$5,IF(CC1086="L23",Parameter!$H$6+Parameter!$H$7,Parameter!$H$5+Parameter!$H$6+Parameter!$H$7))-(BE1086-BA1086))/BA1086)))</f>
        <v>0</v>
      </c>
      <c r="BG1086" s="48" t="str">
        <f aca="false">IF(AI1086&lt;=0,"",IF(CC1086="Aussen","Aussenlager",IF(CC1086="-","Nicht im Lift",IF(AN1086&gt;=1,"Lift",IF(AN1086&lt;=0,"Aussenlager","teilweise")))))</f>
        <v/>
      </c>
      <c r="BH1086" s="48" t="str">
        <f aca="false">IF(AR1086&lt;=0,"",IF(CC1086="Aussen","Aussenlager",IF(CC1086="-","Nicht im Lift",IF(AW1086&gt;=1,"Lift",IF(AW1086&lt;=0,"Aussenlager","teilweise")))))</f>
        <v>Aussenlager</v>
      </c>
      <c r="BI1086" s="48" t="str">
        <f aca="false">IF(BA1086&lt;=0,"",IF(CC1086="Aussen","Aussenlager",IF(CC1086="-","Nicht im Lift",IF(BF1086&gt;=1,"Lift",IF(BF1086&lt;=0,"Aussenlager","teilweise")))))</f>
        <v>Aussenlager</v>
      </c>
      <c r="BJ1086" s="48" t="str">
        <f aca="false">IF(A1086="","",IF(BS1086=1,"Neu; ","")&amp;IF(AND(BS1086=0,BN1086&lt;0),"negativer Bestand (Export "&amp;BN1086&amp;"); ","")&amp;IF(J1086&lt;=0,"Kein Verbrauch; ","")&amp;IF(CL1086&gt;0,"Lift "&amp;W1086&amp;" lt. Liftbericht (Fach "&amp;X1086&amp;" Stk); ",IF(BX1086=1,"Gebinde geschätzt ("&amp;T1086&amp;"); ",IF(BW1086=1,"Lose – Tablare geschätzt; ","")))&amp;IF(H1086&gt;AT1086,"Überbestand "&amp;ROUND(H1086-AT1086,0)&amp;" Stk / CHF "&amp;ROUND((H1086-AT1086)*G1086,0)&amp;"; ","")&amp;IF(AND(CE1086=1,CF1086&lt;CG1086),"MAX &lt; MB+LG; ","")&amp;IF(AND(CK1086&gt;0,CJ1086*10&gt;CK1086),"zu hoch für Tablar; ","")&amp;IF(AND(BS1086=0,OR(CE1086=1,AA1086&lt;&gt;"",U1086&lt;&gt;"",V1086&lt;&gt;"",AB1086&lt;&gt;"")),"manuell übersteuert; ","")&amp;IF(AND(BW1086=0,R1086=0),"Gebinde unbekannt / Stellmass fehlt; ","")&amp;IF(AND(BW1086=0,N(V1086)&lt;=0,N(Q1086)&lt;=0),"Menge pro Gebinde fehlt (Ist = 1 Gebinde); ","")&amp;BR1086)</f>
        <v>negativer Bestand (Export -1); Kein Verbrauch; Gebinde geschätzt (Klein); Menge pro Gebinde fehlt (Ist = 1 Gebinde); </v>
      </c>
      <c r="BK1086" s="48"/>
      <c r="BL1086" s="48"/>
      <c r="BM1086" s="55"/>
      <c r="BN1086" s="50" t="n">
        <v>-1</v>
      </c>
      <c r="BO1086" s="50" t="n">
        <v>1</v>
      </c>
      <c r="BP1086" s="49" t="n">
        <v>-190.8</v>
      </c>
      <c r="BQ1086" s="50" t="n">
        <v>0</v>
      </c>
      <c r="BR1086" s="48"/>
      <c r="BS1086" s="53" t="n">
        <v>0</v>
      </c>
      <c r="BT1086" s="53" t="n">
        <v>1086</v>
      </c>
      <c r="BU1086" s="48" t="str">
        <f aca="false">IF(U1086&lt;&gt;"",UPPER(TRIM(U1086)),IF(BX1086=1,UPPER(VLOOKUP(T1086,Parameter!$I$27:$K$29,2,0)),IF(P1086="","LOSE",P1086)))</f>
        <v>S51</v>
      </c>
      <c r="BV1086" s="50" t="n">
        <f aca="false">IF(BU1086="LOSE",1,IF(N(V1086)&gt;0,V1086,IF(BX1086=1,MAX(1,N(VLOOKUP(T1086,Parameter!$I$27:$K$29,3,0)),H1086,N(N1086)),IF(N(Q1086)&gt;0,Q1086,MAX(1,H1086)))))</f>
        <v>20</v>
      </c>
      <c r="BW1086" s="53" t="n">
        <f aca="false">IF(BU1086="LOSE",1,0)</f>
        <v>0</v>
      </c>
      <c r="BX1086" s="53" t="n">
        <f aca="false">IF(AND(U1086="",OR(P1086="",P1086="LOSE"),T1086&lt;&gt;"",N(S1086)&lt;=0,ISNUMBER(MATCH(T1086,Parameter!$I$27:$I$29,0))),1,0)</f>
        <v>1</v>
      </c>
      <c r="BY1086" s="53" t="n">
        <f aca="false">IF(CL1086&gt;0,INDEX(Parameter!$H$5:$H$7,W1086)/INDEX(Parameter!$E$5:$E$7,W1086),IF(AND(BW1086=0,N(IFERROR(VLOOKUP(BU1086,'Gebinde-Kategorie'!$A$5:$N$45,14,0),0))&gt;0),VLOOKUP(BU1086,'Gebinde-Kategorie'!$A$5:$N$45,14,0)*10+Parameter!$M$23,Parameter!$M$24))</f>
        <v>155</v>
      </c>
      <c r="BZ1086" s="48" t="str">
        <f aca="false">IF(AND(Parameter!$B$19="Ja",E1086&lt;&gt;"",ISNUMBER(MATCH(E1086,Parameter!$I$35:$I$52,0))),VLOOKUP(E1086,Parameter!$I$35:$J$52,2,0),IFERROR(VLOOKUP(D1086,Parameter!$A$35:$C$64,2,0),"Nein"))</f>
        <v>2+3</v>
      </c>
      <c r="CA1086" s="52" t="n">
        <f aca="false">IF(BW1086=0,0,IF(N(S1086)&gt;0,S1086,IFERROR(VLOOKUP(D1086,Parameter!$A$35:$C$64,3,0)+0,0)))</f>
        <v>0</v>
      </c>
      <c r="CB1086" s="48" t="n">
        <f aca="false">IF(AA1086&lt;&gt;"",AA1086,Z1086)</f>
        <v>3</v>
      </c>
      <c r="CC1086" s="48" t="str">
        <f aca="false">IF(OR(CB1086=1,CB1086=2,CB1086=3),IF(Parameter!$E$27="Ja","LIFT",IF(CB1086=1,"L1","L23")),IF(CB1086="Aussen","Aussen","-"))</f>
        <v>LIFT</v>
      </c>
      <c r="CD1086" s="59" t="n">
        <f aca="false">IF(N(AB1086)&gt;0,AB1086,0)</f>
        <v>0</v>
      </c>
      <c r="CE1086" s="53" t="n">
        <f aca="false">IF(ISNUMBER(AE1086),1,0)</f>
        <v>0</v>
      </c>
      <c r="CF1086" s="50" t="n">
        <f aca="false">N(AE1086)</f>
        <v>0</v>
      </c>
      <c r="CG1086" s="50" t="n">
        <f aca="false">N(M1086)+N(N1086)</f>
        <v>1</v>
      </c>
      <c r="CH1086" s="50" t="n">
        <f aca="false">ROUNDUP(H1086/BV1086,0)</f>
        <v>0</v>
      </c>
      <c r="CI1086" s="50" t="n">
        <f aca="false">ROUNDUP(CF1086/BV1086,0)</f>
        <v>0</v>
      </c>
      <c r="CJ1086" s="53" t="n">
        <f aca="false">IF(BW1086=1,0,IFERROR(VLOOKUP(BU1086,'Gebinde-Kategorie'!$A$5:$N$45,5,0)+0,0))</f>
        <v>11</v>
      </c>
      <c r="CK1086" s="53" t="n">
        <f aca="false">IFERROR(IF(OR(CB1086=1,CB1086=2,CB1086=3),N(INDEX(Parameter!$I$5:$I$7,CB1086)),0),0)</f>
        <v>0</v>
      </c>
      <c r="CL1086" s="52" t="n">
        <f aca="false">IF(AND(Parameter!$B$21="Ja",ISNUMBER(W1086),N(X1086)&gt;0),IFERROR(N(INDEX(Parameter!$L$5:$L$7,W1086))*INDEX(Parameter!$E$5:$E$7,W1086)*X1086/SUMIFS($X$7:$X$1843,$W$7:$W$1843,W1086),0),0)</f>
        <v>0</v>
      </c>
    </row>
    <row r="1087" customFormat="false" ht="15" hidden="false" customHeight="false" outlineLevel="0" collapsed="false">
      <c r="A1087" s="48" t="s">
        <v>1983</v>
      </c>
      <c r="B1087" s="48" t="s">
        <v>728</v>
      </c>
      <c r="C1087" s="48" t="s">
        <v>168</v>
      </c>
      <c r="D1087" s="48" t="s">
        <v>188</v>
      </c>
      <c r="E1087" s="48" t="s">
        <v>189</v>
      </c>
      <c r="F1087" s="48" t="s">
        <v>222</v>
      </c>
      <c r="G1087" s="49" t="n">
        <v>36.34</v>
      </c>
      <c r="H1087" s="50" t="n">
        <f aca="false">MAX(0,IF(AND(Parameter!$B$21="Ja",ISNUMBER(Y1087)),Y1087,IF(Parameter!$B$20="Jahresanfang 2025 + Export",BO1087+BN1087,BN1087)))</f>
        <v>6</v>
      </c>
      <c r="I1087" s="50" t="n">
        <f aca="false">H1087*G1087</f>
        <v>218.04</v>
      </c>
      <c r="J1087" s="50" t="n">
        <f aca="false">BQ1087*Parameter!$B$18</f>
        <v>12</v>
      </c>
      <c r="K1087" s="51" t="n">
        <v>10</v>
      </c>
      <c r="L1087" s="52" t="n">
        <v>1.2</v>
      </c>
      <c r="M1087" s="50" t="n">
        <v>0</v>
      </c>
      <c r="N1087" s="50" t="n">
        <v>10</v>
      </c>
      <c r="O1087" s="53" t="n">
        <v>14</v>
      </c>
      <c r="P1087" s="48" t="s">
        <v>332</v>
      </c>
      <c r="Q1087" s="50" t="n">
        <v>25</v>
      </c>
      <c r="R1087" s="53" t="n">
        <f aca="false">IF(BW1087=1,0,IFERROR(VLOOKUP(BU1087,'Gebinde-Kategorie'!$A$5:$N$45,13,0)+0,0))</f>
        <v>52</v>
      </c>
      <c r="S1087" s="54"/>
      <c r="T1087" s="55"/>
      <c r="U1087" s="55"/>
      <c r="V1087" s="55"/>
      <c r="W1087" s="48"/>
      <c r="X1087" s="50"/>
      <c r="Y1087" s="50"/>
      <c r="Z1087" s="48" t="n">
        <f aca="false">IF(A1087="","",IF(AND(Parameter!$B$21="Ja",ISNUMBER(W1087)),W1087,IF(BZ1087="2+3",IF(ISNUMBER(SEARCH("grosser Artikel",BR1087)),2,IFERROR(VLOOKUP(BU1087,Parameter!$F$35:$G$64,2,0),2)),IF(OR(BZ1087="Nein",BZ1087=""),"-",BZ1087))))</f>
        <v>3</v>
      </c>
      <c r="AA1087" s="55"/>
      <c r="AB1087" s="56"/>
      <c r="AC1087" s="50" t="n">
        <f aca="false">AT1087</f>
        <v>25</v>
      </c>
      <c r="AD1087" s="50" t="n">
        <f aca="false">MAX(AT1087,H1087)</f>
        <v>25</v>
      </c>
      <c r="AE1087" s="57"/>
      <c r="AF1087" s="50" t="n">
        <f aca="false">IF(LEFT(Cockpit!$C$5,1)="A",H1087,IF(CE1087=1,CF1087,IF(LEFT(Cockpit!$C$5,1)="B",AK1087,MAX(AK1087,H1087))))</f>
        <v>6</v>
      </c>
      <c r="AG1087" s="50" t="n">
        <f aca="false">IF(BW1087=1,0,ROUNDUP(AF1087/BV1087,0))</f>
        <v>1</v>
      </c>
      <c r="AH1087" s="52" t="n">
        <f aca="false">IF(CL1087&gt;0,CL1087*MAX(1,AF1087/X1087),IF(BW1087=1,IF(AF1087&lt;=0,0,CA1087*MAX(1,IF(H1087&gt;0,AF1087/H1087,1))),IF(R1087&gt;0,AG1087/R1087,0))/MAX(0.1,N(Parameter!$M$21)))</f>
        <v>0.0192307692307692</v>
      </c>
      <c r="AI1087" s="50" t="n">
        <f aca="false">AH1087*BY1087</f>
        <v>2.98076923076923</v>
      </c>
      <c r="AJ1087" s="50" t="n">
        <f aca="false">AF1087*G1087</f>
        <v>218.04</v>
      </c>
      <c r="AK1087" s="50" t="n">
        <f aca="false">ROUNDUP(MAX(J1087/IF(CD1087&gt;0,CD1087,MAX(0.1,N(Cockpit!$C$6))),CG1087)/BV1087,0)*BV1087</f>
        <v>25</v>
      </c>
      <c r="AL1087" s="51" t="n">
        <f aca="false">IF(AI1087&gt;0,J1087/AI1087,-1)</f>
        <v>4.0258064516129</v>
      </c>
      <c r="AM1087" s="51" t="n">
        <f aca="false">IF(AND(OR(CC1087="L1",CC1087="L23",CC1087="LIFT"),AI1087&gt;0),SUMIFS($AI$7:$AI$1843,$CC$7:$CC$1843,CC1087,$AL$7:$AL$1843,"&gt;"&amp;AL1087)+SUMIFS($AI$7:$AI$1843,$CC$7:$CC$1843,CC1087,$AL$7:$AL$1843,AL1087,$BT$7:$BT$1843,"&lt;="&amp;BT1087),"")</f>
        <v>4360.17948717949</v>
      </c>
      <c r="AN1087" s="58" t="n">
        <f aca="false">IF(AM1087="",0,MAX(0,MIN(1,(IF(CC1087="L1",Parameter!$H$5,IF(CC1087="L23",Parameter!$H$6+Parameter!$H$7,Parameter!$H$5+Parameter!$H$6+Parameter!$H$7))-(AM1087-AI1087))/AI1087)))</f>
        <v>1</v>
      </c>
      <c r="AO1087" s="50" t="n">
        <f aca="false">IF(LEFT(Cockpit!$I$5,1)="A",H1087,IF(CE1087=1,CF1087,IF(LEFT(Cockpit!$I$5,1)="B",AT1087,MAX(AT1087,H1087))))</f>
        <v>25</v>
      </c>
      <c r="AP1087" s="50" t="n">
        <f aca="false">IF(BW1087=1,0,ROUNDUP(AO1087/BV1087,0))</f>
        <v>1</v>
      </c>
      <c r="AQ1087" s="52" t="n">
        <f aca="false">IF(CL1087&gt;0,CL1087*MAX(1,AO1087/X1087),IF(BW1087=1,IF(AO1087&lt;=0,0,CA1087*MAX(1,IF(H1087&gt;0,AO1087/H1087,1))),IF(R1087&gt;0,AP1087/R1087,0))/MAX(0.1,N(Parameter!$M$21)))</f>
        <v>0.0192307692307692</v>
      </c>
      <c r="AR1087" s="50" t="n">
        <f aca="false">AQ1087*BY1087</f>
        <v>2.98076923076923</v>
      </c>
      <c r="AS1087" s="50" t="n">
        <f aca="false">AO1087*G1087</f>
        <v>908.5</v>
      </c>
      <c r="AT1087" s="50" t="n">
        <f aca="false">ROUNDUP(MAX(J1087/IF(CD1087&gt;0,CD1087,MAX(0.1,N(Cockpit!$I$6))),CG1087)/BV1087,0)*BV1087</f>
        <v>25</v>
      </c>
      <c r="AU1087" s="51" t="n">
        <f aca="false">IF(AR1087&gt;0,J1087/AR1087,-1)</f>
        <v>4.0258064516129</v>
      </c>
      <c r="AV1087" s="51" t="n">
        <f aca="false">IF(AND(OR(CC1087="L1",CC1087="L23",CC1087="LIFT"),AR1087&gt;0),SUMIFS($AR$7:$AR$1843,$CC$7:$CC$1843,CC1087,$AU$7:$AU$1843,"&gt;"&amp;AU1087)+SUMIFS($AR$7:$AR$1843,$CC$7:$CC$1843,CC1087,$AU$7:$AU$1843,AU1087,$BT$7:$BT$1843,"&lt;="&amp;BT1087),"")</f>
        <v>5602.72023809524</v>
      </c>
      <c r="AW1087" s="58" t="n">
        <f aca="false">IF(AV1087="",0,MAX(0,MIN(1,(IF(CC1087="L1",Parameter!$H$5,IF(CC1087="L23",Parameter!$H$6+Parameter!$H$7,Parameter!$H$5+Parameter!$H$6+Parameter!$H$7))-(AV1087-AR1087))/AR1087)))</f>
        <v>1</v>
      </c>
      <c r="AX1087" s="50" t="n">
        <f aca="false">IF(LEFT(Cockpit!$O$5,1)="A",H1087,IF(CE1087=1,CF1087,IF(LEFT(Cockpit!$O$5,1)="B",BC1087,MAX(BC1087,H1087))))</f>
        <v>25</v>
      </c>
      <c r="AY1087" s="50" t="n">
        <f aca="false">IF(BW1087=1,0,ROUNDUP(AX1087/BV1087,0))</f>
        <v>1</v>
      </c>
      <c r="AZ1087" s="52" t="n">
        <f aca="false">IF(CL1087&gt;0,CL1087*MAX(1,AX1087/X1087),IF(BW1087=1,IF(AX1087&lt;=0,0,CA1087*MAX(1,IF(H1087&gt;0,AX1087/H1087,1))),IF(R1087&gt;0,AY1087/R1087,0))/MAX(0.1,N(Parameter!$M$21)))</f>
        <v>0.0192307692307692</v>
      </c>
      <c r="BA1087" s="50" t="n">
        <f aca="false">AZ1087*BY1087</f>
        <v>2.98076923076923</v>
      </c>
      <c r="BB1087" s="50" t="n">
        <f aca="false">AX1087*G1087</f>
        <v>908.5</v>
      </c>
      <c r="BC1087" s="50" t="n">
        <f aca="false">ROUNDUP(MAX(J1087/IF(CD1087&gt;0,CD1087,MAX(0.1,N(Cockpit!$O$6))),CG1087)/BV1087,0)*BV1087</f>
        <v>25</v>
      </c>
      <c r="BD1087" s="51" t="n">
        <f aca="false">IF(BA1087&gt;0,J1087/BA1087,-1)</f>
        <v>4.0258064516129</v>
      </c>
      <c r="BE1087" s="51" t="n">
        <f aca="false">IF(AND(OR(CC1087="L1",CC1087="L23",CC1087="LIFT"),BA1087&gt;0),SUMIFS($BA$7:$BA$1843,$CC$7:$CC$1843,CC1087,$BD$7:$BD$1843,"&gt;"&amp;BD1087)+SUMIFS($BA$7:$BA$1843,$CC$7:$CC$1843,CC1087,$BD$7:$BD$1843,BD1087,$BT$7:$BT$1843,"&lt;="&amp;BT1087),"")</f>
        <v>5290.58882783883</v>
      </c>
      <c r="BF1087" s="58" t="n">
        <f aca="false">IF(BE1087="",0,MAX(0,MIN(1,(IF(CC1087="L1",Parameter!$H$5,IF(CC1087="L23",Parameter!$H$6+Parameter!$H$7,Parameter!$H$5+Parameter!$H$6+Parameter!$H$7))-(BE1087-BA1087))/BA1087)))</f>
        <v>1</v>
      </c>
      <c r="BG1087" s="48" t="str">
        <f aca="false">IF(AI1087&lt;=0,"",IF(CC1087="Aussen","Aussenlager",IF(CC1087="-","Nicht im Lift",IF(AN1087&gt;=1,"Lift",IF(AN1087&lt;=0,"Aussenlager","teilweise")))))</f>
        <v>Lift</v>
      </c>
      <c r="BH1087" s="48" t="str">
        <f aca="false">IF(AR1087&lt;=0,"",IF(CC1087="Aussen","Aussenlager",IF(CC1087="-","Nicht im Lift",IF(AW1087&gt;=1,"Lift",IF(AW1087&lt;=0,"Aussenlager","teilweise")))))</f>
        <v>Lift</v>
      </c>
      <c r="BI1087" s="48" t="str">
        <f aca="false">IF(BA1087&lt;=0,"",IF(CC1087="Aussen","Aussenlager",IF(CC1087="-","Nicht im Lift",IF(BF1087&gt;=1,"Lift",IF(BF1087&lt;=0,"Aussenlager","teilweise")))))</f>
        <v>Lift</v>
      </c>
      <c r="BJ1087" s="48" t="str">
        <f aca="false">IF(A1087="","",IF(BS1087=1,"Neu; ","")&amp;IF(AND(BS1087=0,BN1087&lt;0),"negativer Bestand (Export "&amp;BN1087&amp;"); ","")&amp;IF(J1087&lt;=0,"Kein Verbrauch; ","")&amp;IF(CL1087&gt;0,"Lift "&amp;W1087&amp;" lt. Liftbericht (Fach "&amp;X1087&amp;" Stk); ",IF(BX1087=1,"Gebinde geschätzt ("&amp;T1087&amp;"); ",IF(BW1087=1,"Lose – Tablare geschätzt; ","")))&amp;IF(H1087&gt;AT1087,"Überbestand "&amp;ROUND(H1087-AT1087,0)&amp;" Stk / CHF "&amp;ROUND((H1087-AT1087)*G1087,0)&amp;"; ","")&amp;IF(AND(CE1087=1,CF1087&lt;CG1087),"MAX &lt; MB+LG; ","")&amp;IF(AND(CK1087&gt;0,CJ1087*10&gt;CK1087),"zu hoch für Tablar; ","")&amp;IF(AND(BS1087=0,OR(CE1087=1,AA1087&lt;&gt;"",U1087&lt;&gt;"",V1087&lt;&gt;"",AB1087&lt;&gt;"")),"manuell übersteuert; ","")&amp;IF(AND(BW1087=0,R1087=0),"Gebinde unbekannt / Stellmass fehlt; ","")&amp;IF(AND(BW1087=0,N(V1087)&lt;=0,N(Q1087)&lt;=0),"Menge pro Gebinde fehlt (Ist = 1 Gebinde); ","")&amp;BR1087)</f>
        <v>negativer Bestand (Export -5); </v>
      </c>
      <c r="BK1087" s="48"/>
      <c r="BL1087" s="48"/>
      <c r="BM1087" s="55"/>
      <c r="BN1087" s="50" t="n">
        <v>-5</v>
      </c>
      <c r="BO1087" s="50" t="n">
        <v>11</v>
      </c>
      <c r="BP1087" s="49" t="n">
        <v>-191.82</v>
      </c>
      <c r="BQ1087" s="50" t="n">
        <v>12</v>
      </c>
      <c r="BR1087" s="48"/>
      <c r="BS1087" s="53" t="n">
        <v>0</v>
      </c>
      <c r="BT1087" s="53" t="n">
        <v>1087</v>
      </c>
      <c r="BU1087" s="48" t="str">
        <f aca="false">IF(U1087&lt;&gt;"",UPPER(TRIM(U1087)),IF(BX1087=1,UPPER(VLOOKUP(T1087,Parameter!$I$27:$K$29,2,0)),IF(P1087="","LOSE",P1087)))</f>
        <v>S41</v>
      </c>
      <c r="BV1087" s="50" t="n">
        <f aca="false">IF(BU1087="LOSE",1,IF(N(V1087)&gt;0,V1087,IF(BX1087=1,MAX(1,N(VLOOKUP(T1087,Parameter!$I$27:$K$29,3,0)),H1087,N(N1087)),IF(N(Q1087)&gt;0,Q1087,MAX(1,H1087)))))</f>
        <v>25</v>
      </c>
      <c r="BW1087" s="53" t="n">
        <f aca="false">IF(BU1087="LOSE",1,0)</f>
        <v>0</v>
      </c>
      <c r="BX1087" s="53" t="n">
        <f aca="false">IF(AND(U1087="",OR(P1087="",P1087="LOSE"),T1087&lt;&gt;"",N(S1087)&lt;=0,ISNUMBER(MATCH(T1087,Parameter!$I$27:$I$29,0))),1,0)</f>
        <v>0</v>
      </c>
      <c r="BY1087" s="53" t="n">
        <f aca="false">IF(CL1087&gt;0,INDEX(Parameter!$H$5:$H$7,W1087)/INDEX(Parameter!$E$5:$E$7,W1087),IF(AND(BW1087=0,N(IFERROR(VLOOKUP(BU1087,'Gebinde-Kategorie'!$A$5:$N$45,14,0),0))&gt;0),VLOOKUP(BU1087,'Gebinde-Kategorie'!$A$5:$N$45,14,0)*10+Parameter!$M$23,Parameter!$M$24))</f>
        <v>155</v>
      </c>
      <c r="BZ1087" s="48" t="str">
        <f aca="false">IF(AND(Parameter!$B$19="Ja",E1087&lt;&gt;"",ISNUMBER(MATCH(E1087,Parameter!$I$35:$I$52,0))),VLOOKUP(E1087,Parameter!$I$35:$J$52,2,0),IFERROR(VLOOKUP(D1087,Parameter!$A$35:$C$64,2,0),"Nein"))</f>
        <v>2+3</v>
      </c>
      <c r="CA1087" s="52" t="n">
        <f aca="false">IF(BW1087=0,0,IF(N(S1087)&gt;0,S1087,IFERROR(VLOOKUP(D1087,Parameter!$A$35:$C$64,3,0)+0,0)))</f>
        <v>0</v>
      </c>
      <c r="CB1087" s="48" t="n">
        <f aca="false">IF(AA1087&lt;&gt;"",AA1087,Z1087)</f>
        <v>3</v>
      </c>
      <c r="CC1087" s="48" t="str">
        <f aca="false">IF(OR(CB1087=1,CB1087=2,CB1087=3),IF(Parameter!$E$27="Ja","LIFT",IF(CB1087=1,"L1","L23")),IF(CB1087="Aussen","Aussen","-"))</f>
        <v>LIFT</v>
      </c>
      <c r="CD1087" s="59" t="n">
        <f aca="false">IF(N(AB1087)&gt;0,AB1087,0)</f>
        <v>0</v>
      </c>
      <c r="CE1087" s="53" t="n">
        <f aca="false">IF(ISNUMBER(AE1087),1,0)</f>
        <v>0</v>
      </c>
      <c r="CF1087" s="50" t="n">
        <f aca="false">N(AE1087)</f>
        <v>0</v>
      </c>
      <c r="CG1087" s="50" t="n">
        <f aca="false">N(M1087)+N(N1087)</f>
        <v>10</v>
      </c>
      <c r="CH1087" s="50" t="n">
        <f aca="false">ROUNDUP(H1087/BV1087,0)</f>
        <v>1</v>
      </c>
      <c r="CI1087" s="50" t="n">
        <f aca="false">ROUNDUP(CF1087/BV1087,0)</f>
        <v>0</v>
      </c>
      <c r="CJ1087" s="53" t="n">
        <f aca="false">IF(BW1087=1,0,IFERROR(VLOOKUP(BU1087,'Gebinde-Kategorie'!$A$5:$N$45,5,0)+0,0))</f>
        <v>11</v>
      </c>
      <c r="CK1087" s="53" t="n">
        <f aca="false">IFERROR(IF(OR(CB1087=1,CB1087=2,CB1087=3),N(INDEX(Parameter!$I$5:$I$7,CB1087)),0),0)</f>
        <v>0</v>
      </c>
      <c r="CL1087" s="52" t="n">
        <f aca="false">IF(AND(Parameter!$B$21="Ja",ISNUMBER(W1087),N(X1087)&gt;0),IFERROR(N(INDEX(Parameter!$L$5:$L$7,W1087))*INDEX(Parameter!$E$5:$E$7,W1087)*X1087/SUMIFS($X$7:$X$1843,$W$7:$W$1843,W1087),0),0)</f>
        <v>0</v>
      </c>
    </row>
    <row r="1088" customFormat="false" ht="15" hidden="false" customHeight="false" outlineLevel="0" collapsed="false">
      <c r="A1088" s="48" t="s">
        <v>1984</v>
      </c>
      <c r="B1088" s="48" t="s">
        <v>1985</v>
      </c>
      <c r="C1088" s="48" t="s">
        <v>168</v>
      </c>
      <c r="D1088" s="48" t="s">
        <v>177</v>
      </c>
      <c r="E1088" s="48" t="s">
        <v>469</v>
      </c>
      <c r="F1088" s="48" t="s">
        <v>222</v>
      </c>
      <c r="G1088" s="49" t="n">
        <v>16</v>
      </c>
      <c r="H1088" s="50" t="n">
        <f aca="false">MAX(0,IF(AND(Parameter!$B$21="Ja",ISNUMBER(Y1088)),Y1088,IF(Parameter!$B$20="Jahresanfang 2025 + Export",BO1088+BN1088,BN1088)))</f>
        <v>0</v>
      </c>
      <c r="I1088" s="50" t="n">
        <f aca="false">H1088*G1088</f>
        <v>0</v>
      </c>
      <c r="J1088" s="50" t="n">
        <f aca="false">BQ1088*Parameter!$B$18</f>
        <v>130</v>
      </c>
      <c r="K1088" s="51" t="n">
        <v>50.5</v>
      </c>
      <c r="L1088" s="52" t="n">
        <v>2.57425742574257</v>
      </c>
      <c r="M1088" s="50" t="n">
        <v>7</v>
      </c>
      <c r="N1088" s="50" t="n">
        <v>15</v>
      </c>
      <c r="O1088" s="53" t="n">
        <v>21</v>
      </c>
      <c r="P1088" s="48" t="s">
        <v>172</v>
      </c>
      <c r="Q1088" s="50"/>
      <c r="R1088" s="53" t="n">
        <f aca="false">IF(BW1088=1,0,IFERROR(VLOOKUP(BU1088,'Gebinde-Kategorie'!$A$5:$N$45,13,0)+0,0))</f>
        <v>4</v>
      </c>
      <c r="S1088" s="54"/>
      <c r="T1088" s="55" t="s">
        <v>193</v>
      </c>
      <c r="U1088" s="55"/>
      <c r="V1088" s="55"/>
      <c r="W1088" s="48"/>
      <c r="X1088" s="50"/>
      <c r="Y1088" s="50"/>
      <c r="Z1088" s="48" t="str">
        <f aca="false">IF(A1088="","",IF(AND(Parameter!$B$21="Ja",ISNUMBER(W1088)),W1088,IF(BZ1088="2+3",IF(ISNUMBER(SEARCH("grosser Artikel",BR1088)),2,IFERROR(VLOOKUP(BU1088,Parameter!$F$35:$G$64,2,0),2)),IF(OR(BZ1088="Nein",BZ1088=""),"-",BZ1088))))</f>
        <v>-</v>
      </c>
      <c r="AA1088" s="55"/>
      <c r="AB1088" s="56"/>
      <c r="AC1088" s="50" t="n">
        <f aca="false">AT1088</f>
        <v>75</v>
      </c>
      <c r="AD1088" s="50" t="n">
        <f aca="false">MAX(AT1088,H1088)</f>
        <v>75</v>
      </c>
      <c r="AE1088" s="57"/>
      <c r="AF1088" s="50" t="n">
        <f aca="false">IF(LEFT(Cockpit!$C$5,1)="A",H1088,IF(CE1088=1,CF1088,IF(LEFT(Cockpit!$C$5,1)="B",AK1088,MAX(AK1088,H1088))))</f>
        <v>0</v>
      </c>
      <c r="AG1088" s="50" t="n">
        <f aca="false">IF(BW1088=1,0,ROUNDUP(AF1088/BV1088,0))</f>
        <v>0</v>
      </c>
      <c r="AH1088" s="52" t="n">
        <f aca="false">IF(CL1088&gt;0,CL1088*MAX(1,AF1088/X1088),IF(BW1088=1,IF(AF1088&lt;=0,0,CA1088*MAX(1,IF(H1088&gt;0,AF1088/H1088,1))),IF(R1088&gt;0,AG1088/R1088,0))/MAX(0.1,N(Parameter!$M$21)))</f>
        <v>0</v>
      </c>
      <c r="AI1088" s="50" t="n">
        <f aca="false">AH1088*BY1088</f>
        <v>0</v>
      </c>
      <c r="AJ1088" s="50" t="n">
        <f aca="false">AF1088*G1088</f>
        <v>0</v>
      </c>
      <c r="AK1088" s="50" t="n">
        <f aca="false">ROUNDUP(MAX(J1088/IF(CD1088&gt;0,CD1088,MAX(0.1,N(Cockpit!$C$6))),CG1088)/BV1088,0)*BV1088</f>
        <v>75</v>
      </c>
      <c r="AL1088" s="51" t="n">
        <f aca="false">IF(AI1088&gt;0,J1088/AI1088,-1)</f>
        <v>-1</v>
      </c>
      <c r="AM1088" s="51" t="str">
        <f aca="false">IF(AND(OR(CC1088="L1",CC1088="L23",CC1088="LIFT"),AI1088&gt;0),SUMIFS($AI$7:$AI$1843,$CC$7:$CC$1843,CC1088,$AL$7:$AL$1843,"&gt;"&amp;AL1088)+SUMIFS($AI$7:$AI$1843,$CC$7:$CC$1843,CC1088,$AL$7:$AL$1843,AL1088,$BT$7:$BT$1843,"&lt;="&amp;BT1088),"")</f>
        <v/>
      </c>
      <c r="AN1088" s="58" t="n">
        <f aca="false">IF(AM1088="",0,MAX(0,MIN(1,(IF(CC1088="L1",Parameter!$H$5,IF(CC1088="L23",Parameter!$H$6+Parameter!$H$7,Parameter!$H$5+Parameter!$H$6+Parameter!$H$7))-(AM1088-AI1088))/AI1088)))</f>
        <v>0</v>
      </c>
      <c r="AO1088" s="50" t="n">
        <f aca="false">IF(LEFT(Cockpit!$I$5,1)="A",H1088,IF(CE1088=1,CF1088,IF(LEFT(Cockpit!$I$5,1)="B",AT1088,MAX(AT1088,H1088))))</f>
        <v>75</v>
      </c>
      <c r="AP1088" s="50" t="n">
        <f aca="false">IF(BW1088=1,0,ROUNDUP(AO1088/BV1088,0))</f>
        <v>5</v>
      </c>
      <c r="AQ1088" s="52" t="n">
        <f aca="false">IF(CL1088&gt;0,CL1088*MAX(1,AO1088/X1088),IF(BW1088=1,IF(AO1088&lt;=0,0,CA1088*MAX(1,IF(H1088&gt;0,AO1088/H1088,1))),IF(R1088&gt;0,AP1088/R1088,0))/MAX(0.1,N(Parameter!$M$21)))</f>
        <v>1.25</v>
      </c>
      <c r="AR1088" s="50" t="n">
        <f aca="false">AQ1088*BY1088</f>
        <v>293.75</v>
      </c>
      <c r="AS1088" s="50" t="n">
        <f aca="false">AO1088*G1088</f>
        <v>1200</v>
      </c>
      <c r="AT1088" s="50" t="n">
        <f aca="false">ROUNDUP(MAX(J1088/IF(CD1088&gt;0,CD1088,MAX(0.1,N(Cockpit!$I$6))),CG1088)/BV1088,0)*BV1088</f>
        <v>75</v>
      </c>
      <c r="AU1088" s="51" t="n">
        <f aca="false">IF(AR1088&gt;0,J1088/AR1088,-1)</f>
        <v>0.442553191489362</v>
      </c>
      <c r="AV1088" s="51" t="str">
        <f aca="false">IF(AND(OR(CC1088="L1",CC1088="L23",CC1088="LIFT"),AR1088&gt;0),SUMIFS($AR$7:$AR$1843,$CC$7:$CC$1843,CC1088,$AU$7:$AU$1843,"&gt;"&amp;AU1088)+SUMIFS($AR$7:$AR$1843,$CC$7:$CC$1843,CC1088,$AU$7:$AU$1843,AU1088,$BT$7:$BT$1843,"&lt;="&amp;BT1088),"")</f>
        <v/>
      </c>
      <c r="AW1088" s="58" t="n">
        <f aca="false">IF(AV1088="",0,MAX(0,MIN(1,(IF(CC1088="L1",Parameter!$H$5,IF(CC1088="L23",Parameter!$H$6+Parameter!$H$7,Parameter!$H$5+Parameter!$H$6+Parameter!$H$7))-(AV1088-AR1088))/AR1088)))</f>
        <v>0</v>
      </c>
      <c r="AX1088" s="50" t="n">
        <f aca="false">IF(LEFT(Cockpit!$O$5,1)="A",H1088,IF(CE1088=1,CF1088,IF(LEFT(Cockpit!$O$5,1)="B",BC1088,MAX(BC1088,H1088))))</f>
        <v>45</v>
      </c>
      <c r="AY1088" s="50" t="n">
        <f aca="false">IF(BW1088=1,0,ROUNDUP(AX1088/BV1088,0))</f>
        <v>3</v>
      </c>
      <c r="AZ1088" s="52" t="n">
        <f aca="false">IF(CL1088&gt;0,CL1088*MAX(1,AX1088/X1088),IF(BW1088=1,IF(AX1088&lt;=0,0,CA1088*MAX(1,IF(H1088&gt;0,AX1088/H1088,1))),IF(R1088&gt;0,AY1088/R1088,0))/MAX(0.1,N(Parameter!$M$21)))</f>
        <v>0.75</v>
      </c>
      <c r="BA1088" s="50" t="n">
        <f aca="false">AZ1088*BY1088</f>
        <v>176.25</v>
      </c>
      <c r="BB1088" s="50" t="n">
        <f aca="false">AX1088*G1088</f>
        <v>720</v>
      </c>
      <c r="BC1088" s="50" t="n">
        <f aca="false">ROUNDUP(MAX(J1088/IF(CD1088&gt;0,CD1088,MAX(0.1,N(Cockpit!$O$6))),CG1088)/BV1088,0)*BV1088</f>
        <v>45</v>
      </c>
      <c r="BD1088" s="51" t="n">
        <f aca="false">IF(BA1088&gt;0,J1088/BA1088,-1)</f>
        <v>0.73758865248227</v>
      </c>
      <c r="BE1088" s="51" t="str">
        <f aca="false">IF(AND(OR(CC1088="L1",CC1088="L23",CC1088="LIFT"),BA1088&gt;0),SUMIFS($BA$7:$BA$1843,$CC$7:$CC$1843,CC1088,$BD$7:$BD$1843,"&gt;"&amp;BD1088)+SUMIFS($BA$7:$BA$1843,$CC$7:$CC$1843,CC1088,$BD$7:$BD$1843,BD1088,$BT$7:$BT$1843,"&lt;="&amp;BT1088),"")</f>
        <v/>
      </c>
      <c r="BF1088" s="58" t="n">
        <f aca="false">IF(BE1088="",0,MAX(0,MIN(1,(IF(CC1088="L1",Parameter!$H$5,IF(CC1088="L23",Parameter!$H$6+Parameter!$H$7,Parameter!$H$5+Parameter!$H$6+Parameter!$H$7))-(BE1088-BA1088))/BA1088)))</f>
        <v>0</v>
      </c>
      <c r="BG1088" s="48" t="str">
        <f aca="false">IF(AI1088&lt;=0,"",IF(CC1088="Aussen","Aussenlager",IF(CC1088="-","Nicht im Lift",IF(AN1088&gt;=1,"Lift",IF(AN1088&lt;=0,"Aussenlager","teilweise")))))</f>
        <v/>
      </c>
      <c r="BH1088" s="48" t="str">
        <f aca="false">IF(AR1088&lt;=0,"",IF(CC1088="Aussen","Aussenlager",IF(CC1088="-","Nicht im Lift",IF(AW1088&gt;=1,"Lift",IF(AW1088&lt;=0,"Aussenlager","teilweise")))))</f>
        <v>Nicht im Lift</v>
      </c>
      <c r="BI1088" s="48" t="str">
        <f aca="false">IF(BA1088&lt;=0,"",IF(CC1088="Aussen","Aussenlager",IF(CC1088="-","Nicht im Lift",IF(BF1088&gt;=1,"Lift",IF(BF1088&lt;=0,"Aussenlager","teilweise")))))</f>
        <v>Nicht im Lift</v>
      </c>
      <c r="BJ1088" s="48" t="str">
        <f aca="false">IF(A1088="","",IF(BS1088=1,"Neu; ","")&amp;IF(AND(BS1088=0,BN1088&lt;0),"negativer Bestand (Export "&amp;BN1088&amp;"); ","")&amp;IF(J1088&lt;=0,"Kein Verbrauch; ","")&amp;IF(CL1088&gt;0,"Lift "&amp;W1088&amp;" lt. Liftbericht (Fach "&amp;X1088&amp;" Stk); ",IF(BX1088=1,"Gebinde geschätzt ("&amp;T1088&amp;"); ",IF(BW1088=1,"Lose – Tablare geschätzt; ","")))&amp;IF(H1088&gt;AT1088,"Überbestand "&amp;ROUND(H1088-AT1088,0)&amp;" Stk / CHF "&amp;ROUND((H1088-AT1088)*G1088,0)&amp;"; ","")&amp;IF(AND(CE1088=1,CF1088&lt;CG1088),"MAX &lt; MB+LG; ","")&amp;IF(AND(CK1088&gt;0,CJ1088*10&gt;CK1088),"zu hoch für Tablar; ","")&amp;IF(AND(BS1088=0,OR(CE1088=1,AA1088&lt;&gt;"",U1088&lt;&gt;"",V1088&lt;&gt;"",AB1088&lt;&gt;"")),"manuell übersteuert; ","")&amp;IF(AND(BW1088=0,R1088=0),"Gebinde unbekannt / Stellmass fehlt; ","")&amp;IF(AND(BW1088=0,N(V1088)&lt;=0,N(Q1088)&lt;=0),"Menge pro Gebinde fehlt (Ist = 1 Gebinde); ","")&amp;BR1088)</f>
        <v>negativer Bestand (Export -13); Gebinde geschätzt (Gross); Menge pro Gebinde fehlt (Ist = 1 Gebinde); </v>
      </c>
      <c r="BK1088" s="48"/>
      <c r="BL1088" s="48"/>
      <c r="BM1088" s="55"/>
      <c r="BN1088" s="50" t="n">
        <v>-13</v>
      </c>
      <c r="BO1088" s="50" t="n">
        <v>11</v>
      </c>
      <c r="BP1088" s="49" t="n">
        <v>-193.480000000001</v>
      </c>
      <c r="BQ1088" s="50" t="n">
        <v>130</v>
      </c>
      <c r="BR1088" s="48"/>
      <c r="BS1088" s="53" t="n">
        <v>0</v>
      </c>
      <c r="BT1088" s="53" t="n">
        <v>1088</v>
      </c>
      <c r="BU1088" s="48" t="str">
        <f aca="false">IF(U1088&lt;&gt;"",UPPER(TRIM(U1088)),IF(BX1088=1,UPPER(VLOOKUP(T1088,Parameter!$I$27:$K$29,2,0)),IF(P1088="","LOSE",P1088)))</f>
        <v>S81</v>
      </c>
      <c r="BV1088" s="50" t="n">
        <f aca="false">IF(BU1088="LOSE",1,IF(N(V1088)&gt;0,V1088,IF(BX1088=1,MAX(1,N(VLOOKUP(T1088,Parameter!$I$27:$K$29,3,0)),H1088,N(N1088)),IF(N(Q1088)&gt;0,Q1088,MAX(1,H1088)))))</f>
        <v>15</v>
      </c>
      <c r="BW1088" s="53" t="n">
        <f aca="false">IF(BU1088="LOSE",1,0)</f>
        <v>0</v>
      </c>
      <c r="BX1088" s="53" t="n">
        <f aca="false">IF(AND(U1088="",OR(P1088="",P1088="LOSE"),T1088&lt;&gt;"",N(S1088)&lt;=0,ISNUMBER(MATCH(T1088,Parameter!$I$27:$I$29,0))),1,0)</f>
        <v>1</v>
      </c>
      <c r="BY1088" s="53" t="n">
        <f aca="false">IF(CL1088&gt;0,INDEX(Parameter!$H$5:$H$7,W1088)/INDEX(Parameter!$E$5:$E$7,W1088),IF(AND(BW1088=0,N(IFERROR(VLOOKUP(BU1088,'Gebinde-Kategorie'!$A$5:$N$45,14,0),0))&gt;0),VLOOKUP(BU1088,'Gebinde-Kategorie'!$A$5:$N$45,14,0)*10+Parameter!$M$23,Parameter!$M$24))</f>
        <v>235</v>
      </c>
      <c r="BZ1088" s="48" t="str">
        <f aca="false">IF(AND(Parameter!$B$19="Ja",E1088&lt;&gt;"",ISNUMBER(MATCH(E1088,Parameter!$I$35:$I$52,0))),VLOOKUP(E1088,Parameter!$I$35:$J$52,2,0),IFERROR(VLOOKUP(D1088,Parameter!$A$35:$C$64,2,0),"Nein"))</f>
        <v>Nein</v>
      </c>
      <c r="CA1088" s="52" t="n">
        <f aca="false">IF(BW1088=0,0,IF(N(S1088)&gt;0,S1088,IFERROR(VLOOKUP(D1088,Parameter!$A$35:$C$64,3,0)+0,0)))</f>
        <v>0</v>
      </c>
      <c r="CB1088" s="48" t="str">
        <f aca="false">IF(AA1088&lt;&gt;"",AA1088,Z1088)</f>
        <v>-</v>
      </c>
      <c r="CC1088" s="48" t="str">
        <f aca="false">IF(OR(CB1088=1,CB1088=2,CB1088=3),IF(Parameter!$E$27="Ja","LIFT",IF(CB1088=1,"L1","L23")),IF(CB1088="Aussen","Aussen","-"))</f>
        <v>-</v>
      </c>
      <c r="CD1088" s="59" t="n">
        <f aca="false">IF(N(AB1088)&gt;0,AB1088,0)</f>
        <v>0</v>
      </c>
      <c r="CE1088" s="53" t="n">
        <f aca="false">IF(ISNUMBER(AE1088),1,0)</f>
        <v>0</v>
      </c>
      <c r="CF1088" s="50" t="n">
        <f aca="false">N(AE1088)</f>
        <v>0</v>
      </c>
      <c r="CG1088" s="50" t="n">
        <f aca="false">N(M1088)+N(N1088)</f>
        <v>22</v>
      </c>
      <c r="CH1088" s="50" t="n">
        <f aca="false">ROUNDUP(H1088/BV1088,0)</f>
        <v>0</v>
      </c>
      <c r="CI1088" s="50" t="n">
        <f aca="false">ROUNDUP(CF1088/BV1088,0)</f>
        <v>0</v>
      </c>
      <c r="CJ1088" s="53" t="n">
        <f aca="false">IF(BW1088=1,0,IFERROR(VLOOKUP(BU1088,'Gebinde-Kategorie'!$A$5:$N$45,5,0)+0,0))</f>
        <v>20</v>
      </c>
      <c r="CK1088" s="53" t="n">
        <f aca="false">IFERROR(IF(OR(CB1088=1,CB1088=2,CB1088=3),N(INDEX(Parameter!$I$5:$I$7,CB1088)),0),0)</f>
        <v>0</v>
      </c>
      <c r="CL1088" s="52" t="n">
        <f aca="false">IF(AND(Parameter!$B$21="Ja",ISNUMBER(W1088),N(X1088)&gt;0),IFERROR(N(INDEX(Parameter!$L$5:$L$7,W1088))*INDEX(Parameter!$E$5:$E$7,W1088)*X1088/SUMIFS($X$7:$X$1843,$W$7:$W$1843,W1088),0),0)</f>
        <v>0</v>
      </c>
    </row>
    <row r="1089" customFormat="false" ht="15" hidden="false" customHeight="false" outlineLevel="0" collapsed="false">
      <c r="A1089" s="48" t="s">
        <v>1986</v>
      </c>
      <c r="B1089" s="48" t="s">
        <v>444</v>
      </c>
      <c r="C1089" s="48" t="s">
        <v>168</v>
      </c>
      <c r="D1089" s="48" t="s">
        <v>188</v>
      </c>
      <c r="E1089" s="48" t="s">
        <v>189</v>
      </c>
      <c r="F1089" s="48" t="s">
        <v>222</v>
      </c>
      <c r="G1089" s="49" t="n">
        <v>40.16</v>
      </c>
      <c r="H1089" s="50" t="n">
        <f aca="false">MAX(0,IF(AND(Parameter!$B$21="Ja",ISNUMBER(Y1089)),Y1089,IF(Parameter!$B$20="Jahresanfang 2025 + Export",BO1089+BN1089,BN1089)))</f>
        <v>21</v>
      </c>
      <c r="I1089" s="50" t="n">
        <f aca="false">H1089*G1089</f>
        <v>843.36</v>
      </c>
      <c r="J1089" s="50" t="n">
        <f aca="false">BQ1089*Parameter!$B$18</f>
        <v>23</v>
      </c>
      <c r="K1089" s="51" t="n">
        <v>22.5</v>
      </c>
      <c r="L1089" s="52" t="n">
        <v>1.02222222222222</v>
      </c>
      <c r="M1089" s="50" t="n">
        <v>1</v>
      </c>
      <c r="N1089" s="50" t="n">
        <v>25</v>
      </c>
      <c r="O1089" s="53" t="n">
        <v>21</v>
      </c>
      <c r="P1089" s="48" t="s">
        <v>237</v>
      </c>
      <c r="Q1089" s="50" t="n">
        <v>48</v>
      </c>
      <c r="R1089" s="53" t="n">
        <f aca="false">IF(BW1089=1,0,IFERROR(VLOOKUP(BU1089,'Gebinde-Kategorie'!$A$5:$N$45,13,0)+0,0))</f>
        <v>26</v>
      </c>
      <c r="S1089" s="54"/>
      <c r="T1089" s="55"/>
      <c r="U1089" s="55"/>
      <c r="V1089" s="55"/>
      <c r="W1089" s="48"/>
      <c r="X1089" s="50"/>
      <c r="Y1089" s="50"/>
      <c r="Z1089" s="48" t="n">
        <f aca="false">IF(A1089="","",IF(AND(Parameter!$B$21="Ja",ISNUMBER(W1089)),W1089,IF(BZ1089="2+3",IF(ISNUMBER(SEARCH("grosser Artikel",BR1089)),2,IFERROR(VLOOKUP(BU1089,Parameter!$F$35:$G$64,2,0),2)),IF(OR(BZ1089="Nein",BZ1089=""),"-",BZ1089))))</f>
        <v>3</v>
      </c>
      <c r="AA1089" s="55"/>
      <c r="AB1089" s="56"/>
      <c r="AC1089" s="50" t="n">
        <f aca="false">AT1089</f>
        <v>48</v>
      </c>
      <c r="AD1089" s="50" t="n">
        <f aca="false">MAX(AT1089,H1089)</f>
        <v>48</v>
      </c>
      <c r="AE1089" s="57"/>
      <c r="AF1089" s="50" t="n">
        <f aca="false">IF(LEFT(Cockpit!$C$5,1)="A",H1089,IF(CE1089=1,CF1089,IF(LEFT(Cockpit!$C$5,1)="B",AK1089,MAX(AK1089,H1089))))</f>
        <v>21</v>
      </c>
      <c r="AG1089" s="50" t="n">
        <f aca="false">IF(BW1089=1,0,ROUNDUP(AF1089/BV1089,0))</f>
        <v>1</v>
      </c>
      <c r="AH1089" s="52" t="n">
        <f aca="false">IF(CL1089&gt;0,CL1089*MAX(1,AF1089/X1089),IF(BW1089=1,IF(AF1089&lt;=0,0,CA1089*MAX(1,IF(H1089&gt;0,AF1089/H1089,1))),IF(R1089&gt;0,AG1089/R1089,0))/MAX(0.1,N(Parameter!$M$21)))</f>
        <v>0.0384615384615385</v>
      </c>
      <c r="AI1089" s="50" t="n">
        <f aca="false">AH1089*BY1089</f>
        <v>9.42307692307692</v>
      </c>
      <c r="AJ1089" s="50" t="n">
        <f aca="false">AF1089*G1089</f>
        <v>843.36</v>
      </c>
      <c r="AK1089" s="50" t="n">
        <f aca="false">ROUNDUP(MAX(J1089/IF(CD1089&gt;0,CD1089,MAX(0.1,N(Cockpit!$C$6))),CG1089)/BV1089,0)*BV1089</f>
        <v>48</v>
      </c>
      <c r="AL1089" s="51" t="n">
        <f aca="false">IF(AI1089&gt;0,J1089/AI1089,-1)</f>
        <v>2.44081632653061</v>
      </c>
      <c r="AM1089" s="51" t="n">
        <f aca="false">IF(AND(OR(CC1089="L1",CC1089="L23",CC1089="LIFT"),AI1089&gt;0),SUMIFS($AI$7:$AI$1843,$CC$7:$CC$1843,CC1089,$AL$7:$AL$1843,"&gt;"&amp;AL1089)+SUMIFS($AI$7:$AI$1843,$CC$7:$CC$1843,CC1089,$AL$7:$AL$1843,AL1089,$BT$7:$BT$1843,"&lt;="&amp;BT1089),"")</f>
        <v>5471.26236263736</v>
      </c>
      <c r="AN1089" s="58" t="n">
        <f aca="false">IF(AM1089="",0,MAX(0,MIN(1,(IF(CC1089="L1",Parameter!$H$5,IF(CC1089="L23",Parameter!$H$6+Parameter!$H$7,Parameter!$H$5+Parameter!$H$6+Parameter!$H$7))-(AM1089-AI1089))/AI1089)))</f>
        <v>1</v>
      </c>
      <c r="AO1089" s="50" t="n">
        <f aca="false">IF(LEFT(Cockpit!$I$5,1)="A",H1089,IF(CE1089=1,CF1089,IF(LEFT(Cockpit!$I$5,1)="B",AT1089,MAX(AT1089,H1089))))</f>
        <v>48</v>
      </c>
      <c r="AP1089" s="50" t="n">
        <f aca="false">IF(BW1089=1,0,ROUNDUP(AO1089/BV1089,0))</f>
        <v>1</v>
      </c>
      <c r="AQ1089" s="52" t="n">
        <f aca="false">IF(CL1089&gt;0,CL1089*MAX(1,AO1089/X1089),IF(BW1089=1,IF(AO1089&lt;=0,0,CA1089*MAX(1,IF(H1089&gt;0,AO1089/H1089,1))),IF(R1089&gt;0,AP1089/R1089,0))/MAX(0.1,N(Parameter!$M$21)))</f>
        <v>0.0384615384615385</v>
      </c>
      <c r="AR1089" s="50" t="n">
        <f aca="false">AQ1089*BY1089</f>
        <v>9.42307692307692</v>
      </c>
      <c r="AS1089" s="50" t="n">
        <f aca="false">AO1089*G1089</f>
        <v>1927.68</v>
      </c>
      <c r="AT1089" s="50" t="n">
        <f aca="false">ROUNDUP(MAX(J1089/IF(CD1089&gt;0,CD1089,MAX(0.1,N(Cockpit!$I$6))),CG1089)/BV1089,0)*BV1089</f>
        <v>48</v>
      </c>
      <c r="AU1089" s="51" t="n">
        <f aca="false">IF(AR1089&gt;0,J1089/AR1089,-1)</f>
        <v>2.44081632653061</v>
      </c>
      <c r="AV1089" s="51" t="n">
        <f aca="false">IF(AND(OR(CC1089="L1",CC1089="L23",CC1089="LIFT"),AR1089&gt;0),SUMIFS($AR$7:$AR$1843,$CC$7:$CC$1843,CC1089,$AU$7:$AU$1843,"&gt;"&amp;AU1089)+SUMIFS($AR$7:$AR$1843,$CC$7:$CC$1843,CC1089,$AU$7:$AU$1843,AU1089,$BT$7:$BT$1843,"&lt;="&amp;BT1089),"")</f>
        <v>6782.10851648352</v>
      </c>
      <c r="AW1089" s="58" t="n">
        <f aca="false">IF(AV1089="",0,MAX(0,MIN(1,(IF(CC1089="L1",Parameter!$H$5,IF(CC1089="L23",Parameter!$H$6+Parameter!$H$7,Parameter!$H$5+Parameter!$H$6+Parameter!$H$7))-(AV1089-AR1089))/AR1089)))</f>
        <v>1</v>
      </c>
      <c r="AX1089" s="50" t="n">
        <f aca="false">IF(LEFT(Cockpit!$O$5,1)="A",H1089,IF(CE1089=1,CF1089,IF(LEFT(Cockpit!$O$5,1)="B",BC1089,MAX(BC1089,H1089))))</f>
        <v>48</v>
      </c>
      <c r="AY1089" s="50" t="n">
        <f aca="false">IF(BW1089=1,0,ROUNDUP(AX1089/BV1089,0))</f>
        <v>1</v>
      </c>
      <c r="AZ1089" s="52" t="n">
        <f aca="false">IF(CL1089&gt;0,CL1089*MAX(1,AX1089/X1089),IF(BW1089=1,IF(AX1089&lt;=0,0,CA1089*MAX(1,IF(H1089&gt;0,AX1089/H1089,1))),IF(R1089&gt;0,AY1089/R1089,0))/MAX(0.1,N(Parameter!$M$21)))</f>
        <v>0.0384615384615385</v>
      </c>
      <c r="BA1089" s="50" t="n">
        <f aca="false">AZ1089*BY1089</f>
        <v>9.42307692307692</v>
      </c>
      <c r="BB1089" s="50" t="n">
        <f aca="false">AX1089*G1089</f>
        <v>1927.68</v>
      </c>
      <c r="BC1089" s="50" t="n">
        <f aca="false">ROUNDUP(MAX(J1089/IF(CD1089&gt;0,CD1089,MAX(0.1,N(Cockpit!$O$6))),CG1089)/BV1089,0)*BV1089</f>
        <v>48</v>
      </c>
      <c r="BD1089" s="51" t="n">
        <f aca="false">IF(BA1089&gt;0,J1089/BA1089,-1)</f>
        <v>2.44081632653061</v>
      </c>
      <c r="BE1089" s="51" t="n">
        <f aca="false">IF(AND(OR(CC1089="L1",CC1089="L23",CC1089="LIFT"),BA1089&gt;0),SUMIFS($BA$7:$BA$1843,$CC$7:$CC$1843,CC1089,$BD$7:$BD$1843,"&gt;"&amp;BD1089)+SUMIFS($BA$7:$BA$1843,$CC$7:$CC$1843,CC1089,$BD$7:$BD$1843,BD1089,$BT$7:$BT$1843,"&lt;="&amp;BT1089),"")</f>
        <v>6565.26556776557</v>
      </c>
      <c r="BF1089" s="58" t="n">
        <f aca="false">IF(BE1089="",0,MAX(0,MIN(1,(IF(CC1089="L1",Parameter!$H$5,IF(CC1089="L23",Parameter!$H$6+Parameter!$H$7,Parameter!$H$5+Parameter!$H$6+Parameter!$H$7))-(BE1089-BA1089))/BA1089)))</f>
        <v>1</v>
      </c>
      <c r="BG1089" s="48" t="str">
        <f aca="false">IF(AI1089&lt;=0,"",IF(CC1089="Aussen","Aussenlager",IF(CC1089="-","Nicht im Lift",IF(AN1089&gt;=1,"Lift",IF(AN1089&lt;=0,"Aussenlager","teilweise")))))</f>
        <v>Lift</v>
      </c>
      <c r="BH1089" s="48" t="str">
        <f aca="false">IF(AR1089&lt;=0,"",IF(CC1089="Aussen","Aussenlager",IF(CC1089="-","Nicht im Lift",IF(AW1089&gt;=1,"Lift",IF(AW1089&lt;=0,"Aussenlager","teilweise")))))</f>
        <v>Lift</v>
      </c>
      <c r="BI1089" s="48" t="str">
        <f aca="false">IF(BA1089&lt;=0,"",IF(CC1089="Aussen","Aussenlager",IF(CC1089="-","Nicht im Lift",IF(BF1089&gt;=1,"Lift",IF(BF1089&lt;=0,"Aussenlager","teilweise")))))</f>
        <v>Lift</v>
      </c>
      <c r="BJ1089" s="48" t="str">
        <f aca="false">IF(A1089="","",IF(BS1089=1,"Neu; ","")&amp;IF(AND(BS1089=0,BN1089&lt;0),"negativer Bestand (Export "&amp;BN1089&amp;"); ","")&amp;IF(J1089&lt;=0,"Kein Verbrauch; ","")&amp;IF(CL1089&gt;0,"Lift "&amp;W1089&amp;" lt. Liftbericht (Fach "&amp;X1089&amp;" Stk); ",IF(BX1089=1,"Gebinde geschätzt ("&amp;T1089&amp;"); ",IF(BW1089=1,"Lose – Tablare geschätzt; ","")))&amp;IF(H1089&gt;AT1089,"Überbestand "&amp;ROUND(H1089-AT1089,0)&amp;" Stk / CHF "&amp;ROUND((H1089-AT1089)*G1089,0)&amp;"; ","")&amp;IF(AND(CE1089=1,CF1089&lt;CG1089),"MAX &lt; MB+LG; ","")&amp;IF(AND(CK1089&gt;0,CJ1089*10&gt;CK1089),"zu hoch für Tablar; ","")&amp;IF(AND(BS1089=0,OR(CE1089=1,AA1089&lt;&gt;"",U1089&lt;&gt;"",V1089&lt;&gt;"",AB1089&lt;&gt;"")),"manuell übersteuert; ","")&amp;IF(AND(BW1089=0,R1089=0),"Gebinde unbekannt / Stellmass fehlt; ","")&amp;IF(AND(BW1089=0,N(V1089)&lt;=0,N(Q1089)&lt;=0),"Menge pro Gebinde fehlt (Ist = 1 Gebinde); ","")&amp;BR1089)</f>
        <v>negativer Bestand (Export -5); SPGr</v>
      </c>
      <c r="BK1089" s="48"/>
      <c r="BL1089" s="48"/>
      <c r="BM1089" s="55"/>
      <c r="BN1089" s="50" t="n">
        <v>-5</v>
      </c>
      <c r="BO1089" s="50" t="n">
        <v>26</v>
      </c>
      <c r="BP1089" s="49" t="n">
        <v>-193.54</v>
      </c>
      <c r="BQ1089" s="50" t="n">
        <v>23</v>
      </c>
      <c r="BR1089" s="48" t="s">
        <v>1987</v>
      </c>
      <c r="BS1089" s="53" t="n">
        <v>0</v>
      </c>
      <c r="BT1089" s="53" t="n">
        <v>1089</v>
      </c>
      <c r="BU1089" s="48" t="str">
        <f aca="false">IF(U1089&lt;&gt;"",UPPER(TRIM(U1089)),IF(BX1089=1,UPPER(VLOOKUP(T1089,Parameter!$I$27:$K$29,2,0)),IF(P1089="","LOSE",P1089)))</f>
        <v>S52</v>
      </c>
      <c r="BV1089" s="50" t="n">
        <f aca="false">IF(BU1089="LOSE",1,IF(N(V1089)&gt;0,V1089,IF(BX1089=1,MAX(1,N(VLOOKUP(T1089,Parameter!$I$27:$K$29,3,0)),H1089,N(N1089)),IF(N(Q1089)&gt;0,Q1089,MAX(1,H1089)))))</f>
        <v>48</v>
      </c>
      <c r="BW1089" s="53" t="n">
        <f aca="false">IF(BU1089="LOSE",1,0)</f>
        <v>0</v>
      </c>
      <c r="BX1089" s="53" t="n">
        <f aca="false">IF(AND(U1089="",OR(P1089="",P1089="LOSE"),T1089&lt;&gt;"",N(S1089)&lt;=0,ISNUMBER(MATCH(T1089,Parameter!$I$27:$I$29,0))),1,0)</f>
        <v>0</v>
      </c>
      <c r="BY1089" s="53" t="n">
        <f aca="false">IF(CL1089&gt;0,INDEX(Parameter!$H$5:$H$7,W1089)/INDEX(Parameter!$E$5:$E$7,W1089),IF(AND(BW1089=0,N(IFERROR(VLOOKUP(BU1089,'Gebinde-Kategorie'!$A$5:$N$45,14,0),0))&gt;0),VLOOKUP(BU1089,'Gebinde-Kategorie'!$A$5:$N$45,14,0)*10+Parameter!$M$23,Parameter!$M$24))</f>
        <v>245</v>
      </c>
      <c r="BZ1089" s="48" t="str">
        <f aca="false">IF(AND(Parameter!$B$19="Ja",E1089&lt;&gt;"",ISNUMBER(MATCH(E1089,Parameter!$I$35:$I$52,0))),VLOOKUP(E1089,Parameter!$I$35:$J$52,2,0),IFERROR(VLOOKUP(D1089,Parameter!$A$35:$C$64,2,0),"Nein"))</f>
        <v>2+3</v>
      </c>
      <c r="CA1089" s="52" t="n">
        <f aca="false">IF(BW1089=0,0,IF(N(S1089)&gt;0,S1089,IFERROR(VLOOKUP(D1089,Parameter!$A$35:$C$64,3,0)+0,0)))</f>
        <v>0</v>
      </c>
      <c r="CB1089" s="48" t="n">
        <f aca="false">IF(AA1089&lt;&gt;"",AA1089,Z1089)</f>
        <v>3</v>
      </c>
      <c r="CC1089" s="48" t="str">
        <f aca="false">IF(OR(CB1089=1,CB1089=2,CB1089=3),IF(Parameter!$E$27="Ja","LIFT",IF(CB1089=1,"L1","L23")),IF(CB1089="Aussen","Aussen","-"))</f>
        <v>LIFT</v>
      </c>
      <c r="CD1089" s="59" t="n">
        <f aca="false">IF(N(AB1089)&gt;0,AB1089,0)</f>
        <v>0</v>
      </c>
      <c r="CE1089" s="53" t="n">
        <f aca="false">IF(ISNUMBER(AE1089),1,0)</f>
        <v>0</v>
      </c>
      <c r="CF1089" s="50" t="n">
        <f aca="false">N(AE1089)</f>
        <v>0</v>
      </c>
      <c r="CG1089" s="50" t="n">
        <f aca="false">N(M1089)+N(N1089)</f>
        <v>26</v>
      </c>
      <c r="CH1089" s="50" t="n">
        <f aca="false">ROUNDUP(H1089/BV1089,0)</f>
        <v>1</v>
      </c>
      <c r="CI1089" s="50" t="n">
        <f aca="false">ROUNDUP(CF1089/BV1089,0)</f>
        <v>0</v>
      </c>
      <c r="CJ1089" s="53" t="n">
        <f aca="false">IF(BW1089=1,0,IFERROR(VLOOKUP(BU1089,'Gebinde-Kategorie'!$A$5:$N$45,5,0)+0,0))</f>
        <v>21</v>
      </c>
      <c r="CK1089" s="53" t="n">
        <f aca="false">IFERROR(IF(OR(CB1089=1,CB1089=2,CB1089=3),N(INDEX(Parameter!$I$5:$I$7,CB1089)),0),0)</f>
        <v>0</v>
      </c>
      <c r="CL1089" s="52" t="n">
        <f aca="false">IF(AND(Parameter!$B$21="Ja",ISNUMBER(W1089),N(X1089)&gt;0),IFERROR(N(INDEX(Parameter!$L$5:$L$7,W1089))*INDEX(Parameter!$E$5:$E$7,W1089)*X1089/SUMIFS($X$7:$X$1843,$W$7:$W$1843,W1089),0),0)</f>
        <v>0</v>
      </c>
    </row>
    <row r="1090" customFormat="false" ht="15" hidden="false" customHeight="false" outlineLevel="0" collapsed="false">
      <c r="A1090" s="48" t="s">
        <v>1988</v>
      </c>
      <c r="B1090" s="48" t="s">
        <v>1747</v>
      </c>
      <c r="C1090" s="48" t="s">
        <v>168</v>
      </c>
      <c r="D1090" s="48" t="s">
        <v>188</v>
      </c>
      <c r="E1090" s="48"/>
      <c r="F1090" s="48" t="s">
        <v>222</v>
      </c>
      <c r="G1090" s="49" t="n">
        <v>6.33</v>
      </c>
      <c r="H1090" s="50" t="n">
        <f aca="false">MAX(0,IF(AND(Parameter!$B$21="Ja",ISNUMBER(Y1090)),Y1090,IF(Parameter!$B$20="Jahresanfang 2025 + Export",BO1090+BN1090,BN1090)))</f>
        <v>48</v>
      </c>
      <c r="I1090" s="50" t="n">
        <f aca="false">H1090*G1090</f>
        <v>303.84</v>
      </c>
      <c r="J1090" s="50" t="n">
        <f aca="false">BQ1090*Parameter!$B$18</f>
        <v>26</v>
      </c>
      <c r="K1090" s="51" t="n">
        <v>66</v>
      </c>
      <c r="L1090" s="52" t="n">
        <v>0.393939393939394</v>
      </c>
      <c r="M1090" s="50" t="n">
        <v>1</v>
      </c>
      <c r="N1090" s="50" t="n">
        <v>25</v>
      </c>
      <c r="O1090" s="53" t="n">
        <v>14</v>
      </c>
      <c r="P1090" s="48" t="s">
        <v>405</v>
      </c>
      <c r="Q1090" s="50" t="n">
        <v>46</v>
      </c>
      <c r="R1090" s="53" t="n">
        <f aca="false">IF(BW1090=1,0,IFERROR(VLOOKUP(BU1090,'Gebinde-Kategorie'!$A$5:$N$45,13,0)+0,0))</f>
        <v>280</v>
      </c>
      <c r="S1090" s="54"/>
      <c r="T1090" s="55"/>
      <c r="U1090" s="55"/>
      <c r="V1090" s="55"/>
      <c r="W1090" s="48"/>
      <c r="X1090" s="50"/>
      <c r="Y1090" s="50"/>
      <c r="Z1090" s="48" t="n">
        <f aca="false">IF(A1090="","",IF(AND(Parameter!$B$21="Ja",ISNUMBER(W1090)),W1090,IF(BZ1090="2+3",IF(ISNUMBER(SEARCH("grosser Artikel",BR1090)),2,IFERROR(VLOOKUP(BU1090,Parameter!$F$35:$G$64,2,0),2)),IF(OR(BZ1090="Nein",BZ1090=""),"-",BZ1090))))</f>
        <v>3</v>
      </c>
      <c r="AA1090" s="55"/>
      <c r="AB1090" s="56"/>
      <c r="AC1090" s="50" t="n">
        <f aca="false">AT1090</f>
        <v>46</v>
      </c>
      <c r="AD1090" s="50" t="n">
        <f aca="false">MAX(AT1090,H1090)</f>
        <v>48</v>
      </c>
      <c r="AE1090" s="57"/>
      <c r="AF1090" s="50" t="n">
        <f aca="false">IF(LEFT(Cockpit!$C$5,1)="A",H1090,IF(CE1090=1,CF1090,IF(LEFT(Cockpit!$C$5,1)="B",AK1090,MAX(AK1090,H1090))))</f>
        <v>48</v>
      </c>
      <c r="AG1090" s="50" t="n">
        <f aca="false">IF(BW1090=1,0,ROUNDUP(AF1090/BV1090,0))</f>
        <v>2</v>
      </c>
      <c r="AH1090" s="52" t="n">
        <f aca="false">IF(CL1090&gt;0,CL1090*MAX(1,AF1090/X1090),IF(BW1090=1,IF(AF1090&lt;=0,0,CA1090*MAX(1,IF(H1090&gt;0,AF1090/H1090,1))),IF(R1090&gt;0,AG1090/R1090,0))/MAX(0.1,N(Parameter!$M$21)))</f>
        <v>0.00714285714285714</v>
      </c>
      <c r="AI1090" s="50" t="n">
        <f aca="false">AH1090*BY1090</f>
        <v>1.10714285714286</v>
      </c>
      <c r="AJ1090" s="50" t="n">
        <f aca="false">AF1090*G1090</f>
        <v>303.84</v>
      </c>
      <c r="AK1090" s="50" t="n">
        <f aca="false">ROUNDUP(MAX(J1090/IF(CD1090&gt;0,CD1090,MAX(0.1,N(Cockpit!$C$6))),CG1090)/BV1090,0)*BV1090</f>
        <v>46</v>
      </c>
      <c r="AL1090" s="51" t="n">
        <f aca="false">IF(AI1090&gt;0,J1090/AI1090,-1)</f>
        <v>23.4838709677419</v>
      </c>
      <c r="AM1090" s="51" t="n">
        <f aca="false">IF(AND(OR(CC1090="L1",CC1090="L23",CC1090="LIFT"),AI1090&gt;0),SUMIFS($AI$7:$AI$1843,$CC$7:$CC$1843,CC1090,$AL$7:$AL$1843,"&gt;"&amp;AL1090)+SUMIFS($AI$7:$AI$1843,$CC$7:$CC$1843,CC1090,$AL$7:$AL$1843,AL1090,$BT$7:$BT$1843,"&lt;="&amp;BT1090),"")</f>
        <v>1577.00366300366</v>
      </c>
      <c r="AN1090" s="58" t="n">
        <f aca="false">IF(AM1090="",0,MAX(0,MIN(1,(IF(CC1090="L1",Parameter!$H$5,IF(CC1090="L23",Parameter!$H$6+Parameter!$H$7,Parameter!$H$5+Parameter!$H$6+Parameter!$H$7))-(AM1090-AI1090))/AI1090)))</f>
        <v>1</v>
      </c>
      <c r="AO1090" s="50" t="n">
        <f aca="false">IF(LEFT(Cockpit!$I$5,1)="A",H1090,IF(CE1090=1,CF1090,IF(LEFT(Cockpit!$I$5,1)="B",AT1090,MAX(AT1090,H1090))))</f>
        <v>48</v>
      </c>
      <c r="AP1090" s="50" t="n">
        <f aca="false">IF(BW1090=1,0,ROUNDUP(AO1090/BV1090,0))</f>
        <v>2</v>
      </c>
      <c r="AQ1090" s="52" t="n">
        <f aca="false">IF(CL1090&gt;0,CL1090*MAX(1,AO1090/X1090),IF(BW1090=1,IF(AO1090&lt;=0,0,CA1090*MAX(1,IF(H1090&gt;0,AO1090/H1090,1))),IF(R1090&gt;0,AP1090/R1090,0))/MAX(0.1,N(Parameter!$M$21)))</f>
        <v>0.00714285714285714</v>
      </c>
      <c r="AR1090" s="50" t="n">
        <f aca="false">AQ1090*BY1090</f>
        <v>1.10714285714286</v>
      </c>
      <c r="AS1090" s="50" t="n">
        <f aca="false">AO1090*G1090</f>
        <v>303.84</v>
      </c>
      <c r="AT1090" s="50" t="n">
        <f aca="false">ROUNDUP(MAX(J1090/IF(CD1090&gt;0,CD1090,MAX(0.1,N(Cockpit!$I$6))),CG1090)/BV1090,0)*BV1090</f>
        <v>46</v>
      </c>
      <c r="AU1090" s="51" t="n">
        <f aca="false">IF(AR1090&gt;0,J1090/AR1090,-1)</f>
        <v>23.4838709677419</v>
      </c>
      <c r="AV1090" s="51" t="n">
        <f aca="false">IF(AND(OR(CC1090="L1",CC1090="L23",CC1090="LIFT"),AR1090&gt;0),SUMIFS($AR$7:$AR$1843,$CC$7:$CC$1843,CC1090,$AU$7:$AU$1843,"&gt;"&amp;AU1090)+SUMIFS($AR$7:$AR$1843,$CC$7:$CC$1843,CC1090,$AU$7:$AU$1843,AU1090,$BT$7:$BT$1843,"&lt;="&amp;BT1090),"")</f>
        <v>2214.66712454212</v>
      </c>
      <c r="AW1090" s="58" t="n">
        <f aca="false">IF(AV1090="",0,MAX(0,MIN(1,(IF(CC1090="L1",Parameter!$H$5,IF(CC1090="L23",Parameter!$H$6+Parameter!$H$7,Parameter!$H$5+Parameter!$H$6+Parameter!$H$7))-(AV1090-AR1090))/AR1090)))</f>
        <v>1</v>
      </c>
      <c r="AX1090" s="50" t="n">
        <f aca="false">IF(LEFT(Cockpit!$O$5,1)="A",H1090,IF(CE1090=1,CF1090,IF(LEFT(Cockpit!$O$5,1)="B",BC1090,MAX(BC1090,H1090))))</f>
        <v>48</v>
      </c>
      <c r="AY1090" s="50" t="n">
        <f aca="false">IF(BW1090=1,0,ROUNDUP(AX1090/BV1090,0))</f>
        <v>2</v>
      </c>
      <c r="AZ1090" s="52" t="n">
        <f aca="false">IF(CL1090&gt;0,CL1090*MAX(1,AX1090/X1090),IF(BW1090=1,IF(AX1090&lt;=0,0,CA1090*MAX(1,IF(H1090&gt;0,AX1090/H1090,1))),IF(R1090&gt;0,AY1090/R1090,0))/MAX(0.1,N(Parameter!$M$21)))</f>
        <v>0.00714285714285714</v>
      </c>
      <c r="BA1090" s="50" t="n">
        <f aca="false">AZ1090*BY1090</f>
        <v>1.10714285714286</v>
      </c>
      <c r="BB1090" s="50" t="n">
        <f aca="false">AX1090*G1090</f>
        <v>303.84</v>
      </c>
      <c r="BC1090" s="50" t="n">
        <f aca="false">ROUNDUP(MAX(J1090/IF(CD1090&gt;0,CD1090,MAX(0.1,N(Cockpit!$O$6))),CG1090)/BV1090,0)*BV1090</f>
        <v>46</v>
      </c>
      <c r="BD1090" s="51" t="n">
        <f aca="false">IF(BA1090&gt;0,J1090/BA1090,-1)</f>
        <v>23.4838709677419</v>
      </c>
      <c r="BE1090" s="51" t="n">
        <f aca="false">IF(AND(OR(CC1090="L1",CC1090="L23",CC1090="LIFT"),BA1090&gt;0),SUMIFS($BA$7:$BA$1843,$CC$7:$CC$1843,CC1090,$BD$7:$BD$1843,"&gt;"&amp;BD1090)+SUMIFS($BA$7:$BA$1843,$CC$7:$CC$1843,CC1090,$BD$7:$BD$1843,BD1090,$BT$7:$BT$1843,"&lt;="&amp;BT1090),"")</f>
        <v>2309.68315018315</v>
      </c>
      <c r="BF1090" s="58" t="n">
        <f aca="false">IF(BE1090="",0,MAX(0,MIN(1,(IF(CC1090="L1",Parameter!$H$5,IF(CC1090="L23",Parameter!$H$6+Parameter!$H$7,Parameter!$H$5+Parameter!$H$6+Parameter!$H$7))-(BE1090-BA1090))/BA1090)))</f>
        <v>1</v>
      </c>
      <c r="BG1090" s="48" t="str">
        <f aca="false">IF(AI1090&lt;=0,"",IF(CC1090="Aussen","Aussenlager",IF(CC1090="-","Nicht im Lift",IF(AN1090&gt;=1,"Lift",IF(AN1090&lt;=0,"Aussenlager","teilweise")))))</f>
        <v>Lift</v>
      </c>
      <c r="BH1090" s="48" t="str">
        <f aca="false">IF(AR1090&lt;=0,"",IF(CC1090="Aussen","Aussenlager",IF(CC1090="-","Nicht im Lift",IF(AW1090&gt;=1,"Lift",IF(AW1090&lt;=0,"Aussenlager","teilweise")))))</f>
        <v>Lift</v>
      </c>
      <c r="BI1090" s="48" t="str">
        <f aca="false">IF(BA1090&lt;=0,"",IF(CC1090="Aussen","Aussenlager",IF(CC1090="-","Nicht im Lift",IF(BF1090&gt;=1,"Lift",IF(BF1090&lt;=0,"Aussenlager","teilweise")))))</f>
        <v>Lift</v>
      </c>
      <c r="BJ1090" s="48" t="str">
        <f aca="false">IF(A1090="","",IF(BS1090=1,"Neu; ","")&amp;IF(AND(BS1090=0,BN1090&lt;0),"negativer Bestand (Export "&amp;BN1090&amp;"); ","")&amp;IF(J1090&lt;=0,"Kein Verbrauch; ","")&amp;IF(CL1090&gt;0,"Lift "&amp;W1090&amp;" lt. Liftbericht (Fach "&amp;X1090&amp;" Stk); ",IF(BX1090=1,"Gebinde geschätzt ("&amp;T1090&amp;"); ",IF(BW1090=1,"Lose – Tablare geschätzt; ","")))&amp;IF(H1090&gt;AT1090,"Überbestand "&amp;ROUND(H1090-AT1090,0)&amp;" Stk / CHF "&amp;ROUND((H1090-AT1090)*G1090,0)&amp;"; ","")&amp;IF(AND(CE1090=1,CF1090&lt;CG1090),"MAX &lt; MB+LG; ","")&amp;IF(AND(CK1090&gt;0,CJ1090*10&gt;CK1090),"zu hoch für Tablar; ","")&amp;IF(AND(BS1090=0,OR(CE1090=1,AA1090&lt;&gt;"",U1090&lt;&gt;"",V1090&lt;&gt;"",AB1090&lt;&gt;"")),"manuell übersteuert; ","")&amp;IF(AND(BW1090=0,R1090=0),"Gebinde unbekannt / Stellmass fehlt; ","")&amp;IF(AND(BW1090=0,N(V1090)&lt;=0,N(Q1090)&lt;=0),"Menge pro Gebinde fehlt (Ist = 1 Gebinde); ","")&amp;BR1090)</f>
        <v>negativer Bestand (Export -31); Überbestand 2 Stk / CHF 13; </v>
      </c>
      <c r="BK1090" s="48"/>
      <c r="BL1090" s="48"/>
      <c r="BM1090" s="55"/>
      <c r="BN1090" s="50" t="n">
        <v>-31</v>
      </c>
      <c r="BO1090" s="50" t="n">
        <v>79</v>
      </c>
      <c r="BP1090" s="49" t="n">
        <v>-196.23</v>
      </c>
      <c r="BQ1090" s="50" t="n">
        <v>26</v>
      </c>
      <c r="BR1090" s="48"/>
      <c r="BS1090" s="53" t="n">
        <v>0</v>
      </c>
      <c r="BT1090" s="53" t="n">
        <v>1090</v>
      </c>
      <c r="BU1090" s="48" t="str">
        <f aca="false">IF(U1090&lt;&gt;"",UPPER(TRIM(U1090)),IF(BX1090=1,UPPER(VLOOKUP(T1090,Parameter!$I$27:$K$29,2,0)),IF(P1090="","LOSE",P1090)))</f>
        <v>S21</v>
      </c>
      <c r="BV1090" s="50" t="n">
        <f aca="false">IF(BU1090="LOSE",1,IF(N(V1090)&gt;0,V1090,IF(BX1090=1,MAX(1,N(VLOOKUP(T1090,Parameter!$I$27:$K$29,3,0)),H1090,N(N1090)),IF(N(Q1090)&gt;0,Q1090,MAX(1,H1090)))))</f>
        <v>46</v>
      </c>
      <c r="BW1090" s="53" t="n">
        <f aca="false">IF(BU1090="LOSE",1,0)</f>
        <v>0</v>
      </c>
      <c r="BX1090" s="53" t="n">
        <f aca="false">IF(AND(U1090="",OR(P1090="",P1090="LOSE"),T1090&lt;&gt;"",N(S1090)&lt;=0,ISNUMBER(MATCH(T1090,Parameter!$I$27:$I$29,0))),1,0)</f>
        <v>0</v>
      </c>
      <c r="BY1090" s="53" t="n">
        <f aca="false">IF(CL1090&gt;0,INDEX(Parameter!$H$5:$H$7,W1090)/INDEX(Parameter!$E$5:$E$7,W1090),IF(AND(BW1090=0,N(IFERROR(VLOOKUP(BU1090,'Gebinde-Kategorie'!$A$5:$N$45,14,0),0))&gt;0),VLOOKUP(BU1090,'Gebinde-Kategorie'!$A$5:$N$45,14,0)*10+Parameter!$M$23,Parameter!$M$24))</f>
        <v>155</v>
      </c>
      <c r="BZ1090" s="48" t="str">
        <f aca="false">IF(AND(Parameter!$B$19="Ja",E1090&lt;&gt;"",ISNUMBER(MATCH(E1090,Parameter!$I$35:$I$52,0))),VLOOKUP(E1090,Parameter!$I$35:$J$52,2,0),IFERROR(VLOOKUP(D1090,Parameter!$A$35:$C$64,2,0),"Nein"))</f>
        <v>2+3</v>
      </c>
      <c r="CA1090" s="52" t="n">
        <f aca="false">IF(BW1090=0,0,IF(N(S1090)&gt;0,S1090,IFERROR(VLOOKUP(D1090,Parameter!$A$35:$C$64,3,0)+0,0)))</f>
        <v>0</v>
      </c>
      <c r="CB1090" s="48" t="n">
        <f aca="false">IF(AA1090&lt;&gt;"",AA1090,Z1090)</f>
        <v>3</v>
      </c>
      <c r="CC1090" s="48" t="str">
        <f aca="false">IF(OR(CB1090=1,CB1090=2,CB1090=3),IF(Parameter!$E$27="Ja","LIFT",IF(CB1090=1,"L1","L23")),IF(CB1090="Aussen","Aussen","-"))</f>
        <v>LIFT</v>
      </c>
      <c r="CD1090" s="59" t="n">
        <f aca="false">IF(N(AB1090)&gt;0,AB1090,0)</f>
        <v>0</v>
      </c>
      <c r="CE1090" s="53" t="n">
        <f aca="false">IF(ISNUMBER(AE1090),1,0)</f>
        <v>0</v>
      </c>
      <c r="CF1090" s="50" t="n">
        <f aca="false">N(AE1090)</f>
        <v>0</v>
      </c>
      <c r="CG1090" s="50" t="n">
        <f aca="false">N(M1090)+N(N1090)</f>
        <v>26</v>
      </c>
      <c r="CH1090" s="50" t="n">
        <f aca="false">ROUNDUP(H1090/BV1090,0)</f>
        <v>2</v>
      </c>
      <c r="CI1090" s="50" t="n">
        <f aca="false">ROUNDUP(CF1090/BV1090,0)</f>
        <v>0</v>
      </c>
      <c r="CJ1090" s="53" t="n">
        <f aca="false">IF(BW1090=1,0,IFERROR(VLOOKUP(BU1090,'Gebinde-Kategorie'!$A$5:$N$45,5,0)+0,0))</f>
        <v>8</v>
      </c>
      <c r="CK1090" s="53" t="n">
        <f aca="false">IFERROR(IF(OR(CB1090=1,CB1090=2,CB1090=3),N(INDEX(Parameter!$I$5:$I$7,CB1090)),0),0)</f>
        <v>0</v>
      </c>
      <c r="CL1090" s="52" t="n">
        <f aca="false">IF(AND(Parameter!$B$21="Ja",ISNUMBER(W1090),N(X1090)&gt;0),IFERROR(N(INDEX(Parameter!$L$5:$L$7,W1090))*INDEX(Parameter!$E$5:$E$7,W1090)*X1090/SUMIFS($X$7:$X$1843,$W$7:$W$1843,W1090),0),0)</f>
        <v>0</v>
      </c>
    </row>
    <row r="1091" customFormat="false" ht="15" hidden="false" customHeight="false" outlineLevel="0" collapsed="false">
      <c r="A1091" s="48" t="s">
        <v>1989</v>
      </c>
      <c r="B1091" s="48" t="s">
        <v>1990</v>
      </c>
      <c r="C1091" s="48" t="s">
        <v>168</v>
      </c>
      <c r="D1091" s="48" t="s">
        <v>188</v>
      </c>
      <c r="E1091" s="48"/>
      <c r="F1091" s="48" t="s">
        <v>222</v>
      </c>
      <c r="G1091" s="49" t="n">
        <v>6.34</v>
      </c>
      <c r="H1091" s="50" t="n">
        <f aca="false">MAX(0,IF(AND(Parameter!$B$21="Ja",ISNUMBER(Y1091)),Y1091,IF(Parameter!$B$20="Jahresanfang 2025 + Export",BO1091+BN1091,BN1091)))</f>
        <v>86</v>
      </c>
      <c r="I1091" s="50" t="n">
        <f aca="false">H1091*G1091</f>
        <v>545.24</v>
      </c>
      <c r="J1091" s="50" t="n">
        <f aca="false">BQ1091*Parameter!$B$18</f>
        <v>12</v>
      </c>
      <c r="K1091" s="51" t="n">
        <v>108</v>
      </c>
      <c r="L1091" s="52" t="n">
        <v>0.111111111111111</v>
      </c>
      <c r="M1091" s="50" t="n">
        <v>0</v>
      </c>
      <c r="N1091" s="50" t="n">
        <v>10</v>
      </c>
      <c r="O1091" s="53" t="n">
        <v>21</v>
      </c>
      <c r="P1091" s="48" t="s">
        <v>172</v>
      </c>
      <c r="Q1091" s="50"/>
      <c r="R1091" s="53" t="n">
        <f aca="false">IF(BW1091=1,0,IFERROR(VLOOKUP(BU1091,'Gebinde-Kategorie'!$A$5:$N$45,13,0)+0,0))</f>
        <v>26</v>
      </c>
      <c r="S1091" s="54"/>
      <c r="T1091" s="55" t="s">
        <v>279</v>
      </c>
      <c r="U1091" s="55"/>
      <c r="V1091" s="55"/>
      <c r="W1091" s="48"/>
      <c r="X1091" s="50"/>
      <c r="Y1091" s="50"/>
      <c r="Z1091" s="48" t="n">
        <f aca="false">IF(A1091="","",IF(AND(Parameter!$B$21="Ja",ISNUMBER(W1091)),W1091,IF(BZ1091="2+3",IF(ISNUMBER(SEARCH("grosser Artikel",BR1091)),2,IFERROR(VLOOKUP(BU1091,Parameter!$F$35:$G$64,2,0),2)),IF(OR(BZ1091="Nein",BZ1091=""),"-",BZ1091))))</f>
        <v>3</v>
      </c>
      <c r="AA1091" s="55"/>
      <c r="AB1091" s="56"/>
      <c r="AC1091" s="50" t="n">
        <f aca="false">AT1091</f>
        <v>86</v>
      </c>
      <c r="AD1091" s="50" t="n">
        <f aca="false">MAX(AT1091,H1091)</f>
        <v>86</v>
      </c>
      <c r="AE1091" s="57"/>
      <c r="AF1091" s="50" t="n">
        <f aca="false">IF(LEFT(Cockpit!$C$5,1)="A",H1091,IF(CE1091=1,CF1091,IF(LEFT(Cockpit!$C$5,1)="B",AK1091,MAX(AK1091,H1091))))</f>
        <v>86</v>
      </c>
      <c r="AG1091" s="50" t="n">
        <f aca="false">IF(BW1091=1,0,ROUNDUP(AF1091/BV1091,0))</f>
        <v>1</v>
      </c>
      <c r="AH1091" s="52" t="n">
        <f aca="false">IF(CL1091&gt;0,CL1091*MAX(1,AF1091/X1091),IF(BW1091=1,IF(AF1091&lt;=0,0,CA1091*MAX(1,IF(H1091&gt;0,AF1091/H1091,1))),IF(R1091&gt;0,AG1091/R1091,0))/MAX(0.1,N(Parameter!$M$21)))</f>
        <v>0.0384615384615385</v>
      </c>
      <c r="AI1091" s="50" t="n">
        <f aca="false">AH1091*BY1091</f>
        <v>5.96153846153846</v>
      </c>
      <c r="AJ1091" s="50" t="n">
        <f aca="false">AF1091*G1091</f>
        <v>545.24</v>
      </c>
      <c r="AK1091" s="50" t="n">
        <f aca="false">ROUNDUP(MAX(J1091/IF(CD1091&gt;0,CD1091,MAX(0.1,N(Cockpit!$C$6))),CG1091)/BV1091,0)*BV1091</f>
        <v>86</v>
      </c>
      <c r="AL1091" s="51" t="n">
        <f aca="false">IF(AI1091&gt;0,J1091/AI1091,-1)</f>
        <v>2.01290322580645</v>
      </c>
      <c r="AM1091" s="51" t="n">
        <f aca="false">IF(AND(OR(CC1091="L1",CC1091="L23",CC1091="LIFT"),AI1091&gt;0),SUMIFS($AI$7:$AI$1843,$CC$7:$CC$1843,CC1091,$AL$7:$AL$1843,"&gt;"&amp;AL1091)+SUMIFS($AI$7:$AI$1843,$CC$7:$CC$1843,CC1091,$AL$7:$AL$1843,AL1091,$BT$7:$BT$1843,"&lt;="&amp;BT1091),"")</f>
        <v>5822.14789377289</v>
      </c>
      <c r="AN1091" s="58" t="n">
        <f aca="false">IF(AM1091="",0,MAX(0,MIN(1,(IF(CC1091="L1",Parameter!$H$5,IF(CC1091="L23",Parameter!$H$6+Parameter!$H$7,Parameter!$H$5+Parameter!$H$6+Parameter!$H$7))-(AM1091-AI1091))/AI1091)))</f>
        <v>1</v>
      </c>
      <c r="AO1091" s="50" t="n">
        <f aca="false">IF(LEFT(Cockpit!$I$5,1)="A",H1091,IF(CE1091=1,CF1091,IF(LEFT(Cockpit!$I$5,1)="B",AT1091,MAX(AT1091,H1091))))</f>
        <v>86</v>
      </c>
      <c r="AP1091" s="50" t="n">
        <f aca="false">IF(BW1091=1,0,ROUNDUP(AO1091/BV1091,0))</f>
        <v>1</v>
      </c>
      <c r="AQ1091" s="52" t="n">
        <f aca="false">IF(CL1091&gt;0,CL1091*MAX(1,AO1091/X1091),IF(BW1091=1,IF(AO1091&lt;=0,0,CA1091*MAX(1,IF(H1091&gt;0,AO1091/H1091,1))),IF(R1091&gt;0,AP1091/R1091,0))/MAX(0.1,N(Parameter!$M$21)))</f>
        <v>0.0384615384615385</v>
      </c>
      <c r="AR1091" s="50" t="n">
        <f aca="false">AQ1091*BY1091</f>
        <v>5.96153846153846</v>
      </c>
      <c r="AS1091" s="50" t="n">
        <f aca="false">AO1091*G1091</f>
        <v>545.24</v>
      </c>
      <c r="AT1091" s="50" t="n">
        <f aca="false">ROUNDUP(MAX(J1091/IF(CD1091&gt;0,CD1091,MAX(0.1,N(Cockpit!$I$6))),CG1091)/BV1091,0)*BV1091</f>
        <v>86</v>
      </c>
      <c r="AU1091" s="51" t="n">
        <f aca="false">IF(AR1091&gt;0,J1091/AR1091,-1)</f>
        <v>2.01290322580645</v>
      </c>
      <c r="AV1091" s="51" t="n">
        <f aca="false">IF(AND(OR(CC1091="L1",CC1091="L23",CC1091="LIFT"),AR1091&gt;0),SUMIFS($AR$7:$AR$1843,$CC$7:$CC$1843,CC1091,$AU$7:$AU$1843,"&gt;"&amp;AU1091)+SUMIFS($AR$7:$AR$1843,$CC$7:$CC$1843,CC1091,$AU$7:$AU$1843,AU1091,$BT$7:$BT$1843,"&lt;="&amp;BT1091),"")</f>
        <v>7731.8402014652</v>
      </c>
      <c r="AW1091" s="58" t="n">
        <f aca="false">IF(AV1091="",0,MAX(0,MIN(1,(IF(CC1091="L1",Parameter!$H$5,IF(CC1091="L23",Parameter!$H$6+Parameter!$H$7,Parameter!$H$5+Parameter!$H$6+Parameter!$H$7))-(AV1091-AR1091))/AR1091)))</f>
        <v>1</v>
      </c>
      <c r="AX1091" s="50" t="n">
        <f aca="false">IF(LEFT(Cockpit!$O$5,1)="A",H1091,IF(CE1091=1,CF1091,IF(LEFT(Cockpit!$O$5,1)="B",BC1091,MAX(BC1091,H1091))))</f>
        <v>86</v>
      </c>
      <c r="AY1091" s="50" t="n">
        <f aca="false">IF(BW1091=1,0,ROUNDUP(AX1091/BV1091,0))</f>
        <v>1</v>
      </c>
      <c r="AZ1091" s="52" t="n">
        <f aca="false">IF(CL1091&gt;0,CL1091*MAX(1,AX1091/X1091),IF(BW1091=1,IF(AX1091&lt;=0,0,CA1091*MAX(1,IF(H1091&gt;0,AX1091/H1091,1))),IF(R1091&gt;0,AY1091/R1091,0))/MAX(0.1,N(Parameter!$M$21)))</f>
        <v>0.0384615384615385</v>
      </c>
      <c r="BA1091" s="50" t="n">
        <f aca="false">AZ1091*BY1091</f>
        <v>5.96153846153846</v>
      </c>
      <c r="BB1091" s="50" t="n">
        <f aca="false">AX1091*G1091</f>
        <v>545.24</v>
      </c>
      <c r="BC1091" s="50" t="n">
        <f aca="false">ROUNDUP(MAX(J1091/IF(CD1091&gt;0,CD1091,MAX(0.1,N(Cockpit!$O$6))),CG1091)/BV1091,0)*BV1091</f>
        <v>86</v>
      </c>
      <c r="BD1091" s="51" t="n">
        <f aca="false">IF(BA1091&gt;0,J1091/BA1091,-1)</f>
        <v>2.01290322580645</v>
      </c>
      <c r="BE1091" s="51" t="n">
        <f aca="false">IF(AND(OR(CC1091="L1",CC1091="L23",CC1091="LIFT"),BA1091&gt;0),SUMIFS($BA$7:$BA$1843,$CC$7:$CC$1843,CC1091,$BD$7:$BD$1843,"&gt;"&amp;BD1091)+SUMIFS($BA$7:$BA$1843,$CC$7:$CC$1843,CC1091,$BD$7:$BD$1843,BD1091,$BT$7:$BT$1843,"&lt;="&amp;BT1091),"")</f>
        <v>7630.83058608059</v>
      </c>
      <c r="BF1091" s="58" t="n">
        <f aca="false">IF(BE1091="",0,MAX(0,MIN(1,(IF(CC1091="L1",Parameter!$H$5,IF(CC1091="L23",Parameter!$H$6+Parameter!$H$7,Parameter!$H$5+Parameter!$H$6+Parameter!$H$7))-(BE1091-BA1091))/BA1091)))</f>
        <v>1</v>
      </c>
      <c r="BG1091" s="48" t="str">
        <f aca="false">IF(AI1091&lt;=0,"",IF(CC1091="Aussen","Aussenlager",IF(CC1091="-","Nicht im Lift",IF(AN1091&gt;=1,"Lift",IF(AN1091&lt;=0,"Aussenlager","teilweise")))))</f>
        <v>Lift</v>
      </c>
      <c r="BH1091" s="48" t="str">
        <f aca="false">IF(AR1091&lt;=0,"",IF(CC1091="Aussen","Aussenlager",IF(CC1091="-","Nicht im Lift",IF(AW1091&gt;=1,"Lift",IF(AW1091&lt;=0,"Aussenlager","teilweise")))))</f>
        <v>Lift</v>
      </c>
      <c r="BI1091" s="48" t="str">
        <f aca="false">IF(BA1091&lt;=0,"",IF(CC1091="Aussen","Aussenlager",IF(CC1091="-","Nicht im Lift",IF(BF1091&gt;=1,"Lift",IF(BF1091&lt;=0,"Aussenlager","teilweise")))))</f>
        <v>Lift</v>
      </c>
      <c r="BJ1091" s="48" t="str">
        <f aca="false">IF(A1091="","",IF(BS1091=1,"Neu; ","")&amp;IF(AND(BS1091=0,BN1091&lt;0),"negativer Bestand (Export "&amp;BN1091&amp;"); ","")&amp;IF(J1091&lt;=0,"Kein Verbrauch; ","")&amp;IF(CL1091&gt;0,"Lift "&amp;W1091&amp;" lt. Liftbericht (Fach "&amp;X1091&amp;" Stk); ",IF(BX1091=1,"Gebinde geschätzt ("&amp;T1091&amp;"); ",IF(BW1091=1,"Lose – Tablare geschätzt; ","")))&amp;IF(H1091&gt;AT1091,"Überbestand "&amp;ROUND(H1091-AT1091,0)&amp;" Stk / CHF "&amp;ROUND((H1091-AT1091)*G1091,0)&amp;"; ","")&amp;IF(AND(CE1091=1,CF1091&lt;CG1091),"MAX &lt; MB+LG; ","")&amp;IF(AND(CK1091&gt;0,CJ1091*10&gt;CK1091),"zu hoch für Tablar; ","")&amp;IF(AND(BS1091=0,OR(CE1091=1,AA1091&lt;&gt;"",U1091&lt;&gt;"",V1091&lt;&gt;"",AB1091&lt;&gt;"")),"manuell übersteuert; ","")&amp;IF(AND(BW1091=0,R1091=0),"Gebinde unbekannt / Stellmass fehlt; ","")&amp;IF(AND(BW1091=0,N(V1091)&lt;=0,N(Q1091)&lt;=0),"Menge pro Gebinde fehlt (Ist = 1 Gebinde); ","")&amp;BR1091)</f>
        <v>negativer Bestand (Export -31); Gebinde geschätzt (Klein); Menge pro Gebinde fehlt (Ist = 1 Gebinde); </v>
      </c>
      <c r="BK1091" s="48"/>
      <c r="BL1091" s="48"/>
      <c r="BM1091" s="55"/>
      <c r="BN1091" s="50" t="n">
        <v>-31</v>
      </c>
      <c r="BO1091" s="50" t="n">
        <v>117</v>
      </c>
      <c r="BP1091" s="49" t="n">
        <v>-196.54</v>
      </c>
      <c r="BQ1091" s="50" t="n">
        <v>12</v>
      </c>
      <c r="BR1091" s="48"/>
      <c r="BS1091" s="53" t="n">
        <v>0</v>
      </c>
      <c r="BT1091" s="53" t="n">
        <v>1091</v>
      </c>
      <c r="BU1091" s="48" t="str">
        <f aca="false">IF(U1091&lt;&gt;"",UPPER(TRIM(U1091)),IF(BX1091=1,UPPER(VLOOKUP(T1091,Parameter!$I$27:$K$29,2,0)),IF(P1091="","LOSE",P1091)))</f>
        <v>S51</v>
      </c>
      <c r="BV1091" s="50" t="n">
        <f aca="false">IF(BU1091="LOSE",1,IF(N(V1091)&gt;0,V1091,IF(BX1091=1,MAX(1,N(VLOOKUP(T1091,Parameter!$I$27:$K$29,3,0)),H1091,N(N1091)),IF(N(Q1091)&gt;0,Q1091,MAX(1,H1091)))))</f>
        <v>86</v>
      </c>
      <c r="BW1091" s="53" t="n">
        <f aca="false">IF(BU1091="LOSE",1,0)</f>
        <v>0</v>
      </c>
      <c r="BX1091" s="53" t="n">
        <f aca="false">IF(AND(U1091="",OR(P1091="",P1091="LOSE"),T1091&lt;&gt;"",N(S1091)&lt;=0,ISNUMBER(MATCH(T1091,Parameter!$I$27:$I$29,0))),1,0)</f>
        <v>1</v>
      </c>
      <c r="BY1091" s="53" t="n">
        <f aca="false">IF(CL1091&gt;0,INDEX(Parameter!$H$5:$H$7,W1091)/INDEX(Parameter!$E$5:$E$7,W1091),IF(AND(BW1091=0,N(IFERROR(VLOOKUP(BU1091,'Gebinde-Kategorie'!$A$5:$N$45,14,0),0))&gt;0),VLOOKUP(BU1091,'Gebinde-Kategorie'!$A$5:$N$45,14,0)*10+Parameter!$M$23,Parameter!$M$24))</f>
        <v>155</v>
      </c>
      <c r="BZ1091" s="48" t="str">
        <f aca="false">IF(AND(Parameter!$B$19="Ja",E1091&lt;&gt;"",ISNUMBER(MATCH(E1091,Parameter!$I$35:$I$52,0))),VLOOKUP(E1091,Parameter!$I$35:$J$52,2,0),IFERROR(VLOOKUP(D1091,Parameter!$A$35:$C$64,2,0),"Nein"))</f>
        <v>2+3</v>
      </c>
      <c r="CA1091" s="52" t="n">
        <f aca="false">IF(BW1091=0,0,IF(N(S1091)&gt;0,S1091,IFERROR(VLOOKUP(D1091,Parameter!$A$35:$C$64,3,0)+0,0)))</f>
        <v>0</v>
      </c>
      <c r="CB1091" s="48" t="n">
        <f aca="false">IF(AA1091&lt;&gt;"",AA1091,Z1091)</f>
        <v>3</v>
      </c>
      <c r="CC1091" s="48" t="str">
        <f aca="false">IF(OR(CB1091=1,CB1091=2,CB1091=3),IF(Parameter!$E$27="Ja","LIFT",IF(CB1091=1,"L1","L23")),IF(CB1091="Aussen","Aussen","-"))</f>
        <v>LIFT</v>
      </c>
      <c r="CD1091" s="59" t="n">
        <f aca="false">IF(N(AB1091)&gt;0,AB1091,0)</f>
        <v>0</v>
      </c>
      <c r="CE1091" s="53" t="n">
        <f aca="false">IF(ISNUMBER(AE1091),1,0)</f>
        <v>0</v>
      </c>
      <c r="CF1091" s="50" t="n">
        <f aca="false">N(AE1091)</f>
        <v>0</v>
      </c>
      <c r="CG1091" s="50" t="n">
        <f aca="false">N(M1091)+N(N1091)</f>
        <v>10</v>
      </c>
      <c r="CH1091" s="50" t="n">
        <f aca="false">ROUNDUP(H1091/BV1091,0)</f>
        <v>1</v>
      </c>
      <c r="CI1091" s="50" t="n">
        <f aca="false">ROUNDUP(CF1091/BV1091,0)</f>
        <v>0</v>
      </c>
      <c r="CJ1091" s="53" t="n">
        <f aca="false">IF(BW1091=1,0,IFERROR(VLOOKUP(BU1091,'Gebinde-Kategorie'!$A$5:$N$45,5,0)+0,0))</f>
        <v>11</v>
      </c>
      <c r="CK1091" s="53" t="n">
        <f aca="false">IFERROR(IF(OR(CB1091=1,CB1091=2,CB1091=3),N(INDEX(Parameter!$I$5:$I$7,CB1091)),0),0)</f>
        <v>0</v>
      </c>
      <c r="CL1091" s="52" t="n">
        <f aca="false">IF(AND(Parameter!$B$21="Ja",ISNUMBER(W1091),N(X1091)&gt;0),IFERROR(N(INDEX(Parameter!$L$5:$L$7,W1091))*INDEX(Parameter!$E$5:$E$7,W1091)*X1091/SUMIFS($X$7:$X$1843,$W$7:$W$1843,W1091),0),0)</f>
        <v>0</v>
      </c>
    </row>
    <row r="1092" customFormat="false" ht="15" hidden="false" customHeight="false" outlineLevel="0" collapsed="false">
      <c r="A1092" s="48" t="s">
        <v>1991</v>
      </c>
      <c r="B1092" s="48" t="s">
        <v>859</v>
      </c>
      <c r="C1092" s="48" t="s">
        <v>168</v>
      </c>
      <c r="D1092" s="48" t="s">
        <v>188</v>
      </c>
      <c r="E1092" s="48"/>
      <c r="F1092" s="48" t="s">
        <v>222</v>
      </c>
      <c r="G1092" s="49" t="n">
        <v>0.27</v>
      </c>
      <c r="H1092" s="50" t="n">
        <f aca="false">MAX(0,IF(AND(Parameter!$B$21="Ja",ISNUMBER(Y1092)),Y1092,IF(Parameter!$B$20="Jahresanfang 2025 + Export",BO1092+BN1092,BN1092)))</f>
        <v>0</v>
      </c>
      <c r="I1092" s="50" t="n">
        <f aca="false">H1092*G1092</f>
        <v>0</v>
      </c>
      <c r="J1092" s="50" t="n">
        <f aca="false">BQ1092*Parameter!$B$18</f>
        <v>735</v>
      </c>
      <c r="K1092" s="51" t="n">
        <v>367.5</v>
      </c>
      <c r="L1092" s="52" t="n">
        <v>2</v>
      </c>
      <c r="M1092" s="50" t="n">
        <v>0</v>
      </c>
      <c r="N1092" s="50" t="n">
        <v>100</v>
      </c>
      <c r="O1092" s="53" t="n">
        <v>14</v>
      </c>
      <c r="P1092" s="48" t="s">
        <v>172</v>
      </c>
      <c r="Q1092" s="50"/>
      <c r="R1092" s="53" t="n">
        <f aca="false">IF(BW1092=1,0,IFERROR(VLOOKUP(BU1092,'Gebinde-Kategorie'!$A$5:$N$45,13,0)+0,0))</f>
        <v>26</v>
      </c>
      <c r="S1092" s="54"/>
      <c r="T1092" s="55" t="s">
        <v>279</v>
      </c>
      <c r="U1092" s="55"/>
      <c r="V1092" s="55"/>
      <c r="W1092" s="48"/>
      <c r="X1092" s="50"/>
      <c r="Y1092" s="50"/>
      <c r="Z1092" s="48" t="n">
        <f aca="false">IF(A1092="","",IF(AND(Parameter!$B$21="Ja",ISNUMBER(W1092)),W1092,IF(BZ1092="2+3",IF(ISNUMBER(SEARCH("grosser Artikel",BR1092)),2,IFERROR(VLOOKUP(BU1092,Parameter!$F$35:$G$64,2,0),2)),IF(OR(BZ1092="Nein",BZ1092=""),"-",BZ1092))))</f>
        <v>3</v>
      </c>
      <c r="AA1092" s="55"/>
      <c r="AB1092" s="56"/>
      <c r="AC1092" s="50" t="n">
        <f aca="false">AT1092</f>
        <v>400</v>
      </c>
      <c r="AD1092" s="50" t="n">
        <f aca="false">MAX(AT1092,H1092)</f>
        <v>400</v>
      </c>
      <c r="AE1092" s="57"/>
      <c r="AF1092" s="50" t="n">
        <f aca="false">IF(LEFT(Cockpit!$C$5,1)="A",H1092,IF(CE1092=1,CF1092,IF(LEFT(Cockpit!$C$5,1)="B",AK1092,MAX(AK1092,H1092))))</f>
        <v>0</v>
      </c>
      <c r="AG1092" s="50" t="n">
        <f aca="false">IF(BW1092=1,0,ROUNDUP(AF1092/BV1092,0))</f>
        <v>0</v>
      </c>
      <c r="AH1092" s="52" t="n">
        <f aca="false">IF(CL1092&gt;0,CL1092*MAX(1,AF1092/X1092),IF(BW1092=1,IF(AF1092&lt;=0,0,CA1092*MAX(1,IF(H1092&gt;0,AF1092/H1092,1))),IF(R1092&gt;0,AG1092/R1092,0))/MAX(0.1,N(Parameter!$M$21)))</f>
        <v>0</v>
      </c>
      <c r="AI1092" s="50" t="n">
        <f aca="false">AH1092*BY1092</f>
        <v>0</v>
      </c>
      <c r="AJ1092" s="50" t="n">
        <f aca="false">AF1092*G1092</f>
        <v>0</v>
      </c>
      <c r="AK1092" s="50" t="n">
        <f aca="false">ROUNDUP(MAX(J1092/IF(CD1092&gt;0,CD1092,MAX(0.1,N(Cockpit!$C$6))),CG1092)/BV1092,0)*BV1092</f>
        <v>400</v>
      </c>
      <c r="AL1092" s="51" t="n">
        <f aca="false">IF(AI1092&gt;0,J1092/AI1092,-1)</f>
        <v>-1</v>
      </c>
      <c r="AM1092" s="51" t="str">
        <f aca="false">IF(AND(OR(CC1092="L1",CC1092="L23",CC1092="LIFT"),AI1092&gt;0),SUMIFS($AI$7:$AI$1843,$CC$7:$CC$1843,CC1092,$AL$7:$AL$1843,"&gt;"&amp;AL1092)+SUMIFS($AI$7:$AI$1843,$CC$7:$CC$1843,CC1092,$AL$7:$AL$1843,AL1092,$BT$7:$BT$1843,"&lt;="&amp;BT1092),"")</f>
        <v/>
      </c>
      <c r="AN1092" s="58" t="n">
        <f aca="false">IF(AM1092="",0,MAX(0,MIN(1,(IF(CC1092="L1",Parameter!$H$5,IF(CC1092="L23",Parameter!$H$6+Parameter!$H$7,Parameter!$H$5+Parameter!$H$6+Parameter!$H$7))-(AM1092-AI1092))/AI1092)))</f>
        <v>0</v>
      </c>
      <c r="AO1092" s="50" t="n">
        <f aca="false">IF(LEFT(Cockpit!$I$5,1)="A",H1092,IF(CE1092=1,CF1092,IF(LEFT(Cockpit!$I$5,1)="B",AT1092,MAX(AT1092,H1092))))</f>
        <v>400</v>
      </c>
      <c r="AP1092" s="50" t="n">
        <f aca="false">IF(BW1092=1,0,ROUNDUP(AO1092/BV1092,0))</f>
        <v>4</v>
      </c>
      <c r="AQ1092" s="52" t="n">
        <f aca="false">IF(CL1092&gt;0,CL1092*MAX(1,AO1092/X1092),IF(BW1092=1,IF(AO1092&lt;=0,0,CA1092*MAX(1,IF(H1092&gt;0,AO1092/H1092,1))),IF(R1092&gt;0,AP1092/R1092,0))/MAX(0.1,N(Parameter!$M$21)))</f>
        <v>0.153846153846154</v>
      </c>
      <c r="AR1092" s="50" t="n">
        <f aca="false">AQ1092*BY1092</f>
        <v>23.8461538461538</v>
      </c>
      <c r="AS1092" s="50" t="n">
        <f aca="false">AO1092*G1092</f>
        <v>108</v>
      </c>
      <c r="AT1092" s="50" t="n">
        <f aca="false">ROUNDUP(MAX(J1092/IF(CD1092&gt;0,CD1092,MAX(0.1,N(Cockpit!$I$6))),CG1092)/BV1092,0)*BV1092</f>
        <v>400</v>
      </c>
      <c r="AU1092" s="51" t="n">
        <f aca="false">IF(AR1092&gt;0,J1092/AR1092,-1)</f>
        <v>30.8225806451613</v>
      </c>
      <c r="AV1092" s="51" t="n">
        <f aca="false">IF(AND(OR(CC1092="L1",CC1092="L23",CC1092="LIFT"),AR1092&gt;0),SUMIFS($AR$7:$AR$1843,$CC$7:$CC$1843,CC1092,$AU$7:$AU$1843,"&gt;"&amp;AU1092)+SUMIFS($AR$7:$AR$1843,$CC$7:$CC$1843,CC1092,$AU$7:$AU$1843,AU1092,$BT$7:$BT$1843,"&lt;="&amp;BT1092),"")</f>
        <v>1902.04120879121</v>
      </c>
      <c r="AW1092" s="58" t="n">
        <f aca="false">IF(AV1092="",0,MAX(0,MIN(1,(IF(CC1092="L1",Parameter!$H$5,IF(CC1092="L23",Parameter!$H$6+Parameter!$H$7,Parameter!$H$5+Parameter!$H$6+Parameter!$H$7))-(AV1092-AR1092))/AR1092)))</f>
        <v>1</v>
      </c>
      <c r="AX1092" s="50" t="n">
        <f aca="false">IF(LEFT(Cockpit!$O$5,1)="A",H1092,IF(CE1092=1,CF1092,IF(LEFT(Cockpit!$O$5,1)="B",BC1092,MAX(BC1092,H1092))))</f>
        <v>300</v>
      </c>
      <c r="AY1092" s="50" t="n">
        <f aca="false">IF(BW1092=1,0,ROUNDUP(AX1092/BV1092,0))</f>
        <v>3</v>
      </c>
      <c r="AZ1092" s="52" t="n">
        <f aca="false">IF(CL1092&gt;0,CL1092*MAX(1,AX1092/X1092),IF(BW1092=1,IF(AX1092&lt;=0,0,CA1092*MAX(1,IF(H1092&gt;0,AX1092/H1092,1))),IF(R1092&gt;0,AY1092/R1092,0))/MAX(0.1,N(Parameter!$M$21)))</f>
        <v>0.115384615384615</v>
      </c>
      <c r="BA1092" s="50" t="n">
        <f aca="false">AZ1092*BY1092</f>
        <v>17.8846153846154</v>
      </c>
      <c r="BB1092" s="50" t="n">
        <f aca="false">AX1092*G1092</f>
        <v>81</v>
      </c>
      <c r="BC1092" s="50" t="n">
        <f aca="false">ROUNDUP(MAX(J1092/IF(CD1092&gt;0,CD1092,MAX(0.1,N(Cockpit!$O$6))),CG1092)/BV1092,0)*BV1092</f>
        <v>300</v>
      </c>
      <c r="BD1092" s="51" t="n">
        <f aca="false">IF(BA1092&gt;0,J1092/BA1092,-1)</f>
        <v>41.0967741935484</v>
      </c>
      <c r="BE1092" s="51" t="n">
        <f aca="false">IF(AND(OR(CC1092="L1",CC1092="L23",CC1092="LIFT"),BA1092&gt;0),SUMIFS($BA$7:$BA$1843,$CC$7:$CC$1843,CC1092,$BD$7:$BD$1843,"&gt;"&amp;BD1092)+SUMIFS($BA$7:$BA$1843,$CC$7:$CC$1843,CC1092,$BD$7:$BD$1843,BD1092,$BT$7:$BT$1843,"&lt;="&amp;BT1092),"")</f>
        <v>1576.81135531136</v>
      </c>
      <c r="BF1092" s="58" t="n">
        <f aca="false">IF(BE1092="",0,MAX(0,MIN(1,(IF(CC1092="L1",Parameter!$H$5,IF(CC1092="L23",Parameter!$H$6+Parameter!$H$7,Parameter!$H$5+Parameter!$H$6+Parameter!$H$7))-(BE1092-BA1092))/BA1092)))</f>
        <v>1</v>
      </c>
      <c r="BG1092" s="48" t="str">
        <f aca="false">IF(AI1092&lt;=0,"",IF(CC1092="Aussen","Aussenlager",IF(CC1092="-","Nicht im Lift",IF(AN1092&gt;=1,"Lift",IF(AN1092&lt;=0,"Aussenlager","teilweise")))))</f>
        <v/>
      </c>
      <c r="BH1092" s="48" t="str">
        <f aca="false">IF(AR1092&lt;=0,"",IF(CC1092="Aussen","Aussenlager",IF(CC1092="-","Nicht im Lift",IF(AW1092&gt;=1,"Lift",IF(AW1092&lt;=0,"Aussenlager","teilweise")))))</f>
        <v>Lift</v>
      </c>
      <c r="BI1092" s="48" t="str">
        <f aca="false">IF(BA1092&lt;=0,"",IF(CC1092="Aussen","Aussenlager",IF(CC1092="-","Nicht im Lift",IF(BF1092&gt;=1,"Lift",IF(BF1092&lt;=0,"Aussenlager","teilweise")))))</f>
        <v>Lift</v>
      </c>
      <c r="BJ1092" s="48" t="str">
        <f aca="false">IF(A1092="","",IF(BS1092=1,"Neu; ","")&amp;IF(AND(BS1092=0,BN1092&lt;0),"negativer Bestand (Export "&amp;BN1092&amp;"); ","")&amp;IF(J1092&lt;=0,"Kein Verbrauch; ","")&amp;IF(CL1092&gt;0,"Lift "&amp;W1092&amp;" lt. Liftbericht (Fach "&amp;X1092&amp;" Stk); ",IF(BX1092=1,"Gebinde geschätzt ("&amp;T1092&amp;"); ",IF(BW1092=1,"Lose – Tablare geschätzt; ","")))&amp;IF(H1092&gt;AT1092,"Überbestand "&amp;ROUND(H1092-AT1092,0)&amp;" Stk / CHF "&amp;ROUND((H1092-AT1092)*G1092,0)&amp;"; ","")&amp;IF(AND(CE1092=1,CF1092&lt;CG1092),"MAX &lt; MB+LG; ","")&amp;IF(AND(CK1092&gt;0,CJ1092*10&gt;CK1092),"zu hoch für Tablar; ","")&amp;IF(AND(BS1092=0,OR(CE1092=1,AA1092&lt;&gt;"",U1092&lt;&gt;"",V1092&lt;&gt;"",AB1092&lt;&gt;"")),"manuell übersteuert; ","")&amp;IF(AND(BW1092=0,R1092=0),"Gebinde unbekannt / Stellmass fehlt; ","")&amp;IF(AND(BW1092=0,N(V1092)&lt;=0,N(Q1092)&lt;=0),"Menge pro Gebinde fehlt (Ist = 1 Gebinde); ","")&amp;BR1092)</f>
        <v>negativer Bestand (Export -735); Gebinde geschätzt (Klein); Menge pro Gebinde fehlt (Ist = 1 Gebinde); </v>
      </c>
      <c r="BK1092" s="48"/>
      <c r="BL1092" s="48"/>
      <c r="BM1092" s="55"/>
      <c r="BN1092" s="50" t="n">
        <v>-735</v>
      </c>
      <c r="BO1092" s="50" t="n">
        <v>735</v>
      </c>
      <c r="BP1092" s="49" t="n">
        <v>-198.45</v>
      </c>
      <c r="BQ1092" s="50" t="n">
        <v>735</v>
      </c>
      <c r="BR1092" s="48"/>
      <c r="BS1092" s="53" t="n">
        <v>0</v>
      </c>
      <c r="BT1092" s="53" t="n">
        <v>1092</v>
      </c>
      <c r="BU1092" s="48" t="str">
        <f aca="false">IF(U1092&lt;&gt;"",UPPER(TRIM(U1092)),IF(BX1092=1,UPPER(VLOOKUP(T1092,Parameter!$I$27:$K$29,2,0)),IF(P1092="","LOSE",P1092)))</f>
        <v>S51</v>
      </c>
      <c r="BV1092" s="50" t="n">
        <f aca="false">IF(BU1092="LOSE",1,IF(N(V1092)&gt;0,V1092,IF(BX1092=1,MAX(1,N(VLOOKUP(T1092,Parameter!$I$27:$K$29,3,0)),H1092,N(N1092)),IF(N(Q1092)&gt;0,Q1092,MAX(1,H1092)))))</f>
        <v>100</v>
      </c>
      <c r="BW1092" s="53" t="n">
        <f aca="false">IF(BU1092="LOSE",1,0)</f>
        <v>0</v>
      </c>
      <c r="BX1092" s="53" t="n">
        <f aca="false">IF(AND(U1092="",OR(P1092="",P1092="LOSE"),T1092&lt;&gt;"",N(S1092)&lt;=0,ISNUMBER(MATCH(T1092,Parameter!$I$27:$I$29,0))),1,0)</f>
        <v>1</v>
      </c>
      <c r="BY1092" s="53" t="n">
        <f aca="false">IF(CL1092&gt;0,INDEX(Parameter!$H$5:$H$7,W1092)/INDEX(Parameter!$E$5:$E$7,W1092),IF(AND(BW1092=0,N(IFERROR(VLOOKUP(BU1092,'Gebinde-Kategorie'!$A$5:$N$45,14,0),0))&gt;0),VLOOKUP(BU1092,'Gebinde-Kategorie'!$A$5:$N$45,14,0)*10+Parameter!$M$23,Parameter!$M$24))</f>
        <v>155</v>
      </c>
      <c r="BZ1092" s="48" t="str">
        <f aca="false">IF(AND(Parameter!$B$19="Ja",E1092&lt;&gt;"",ISNUMBER(MATCH(E1092,Parameter!$I$35:$I$52,0))),VLOOKUP(E1092,Parameter!$I$35:$J$52,2,0),IFERROR(VLOOKUP(D1092,Parameter!$A$35:$C$64,2,0),"Nein"))</f>
        <v>2+3</v>
      </c>
      <c r="CA1092" s="52" t="n">
        <f aca="false">IF(BW1092=0,0,IF(N(S1092)&gt;0,S1092,IFERROR(VLOOKUP(D1092,Parameter!$A$35:$C$64,3,0)+0,0)))</f>
        <v>0</v>
      </c>
      <c r="CB1092" s="48" t="n">
        <f aca="false">IF(AA1092&lt;&gt;"",AA1092,Z1092)</f>
        <v>3</v>
      </c>
      <c r="CC1092" s="48" t="str">
        <f aca="false">IF(OR(CB1092=1,CB1092=2,CB1092=3),IF(Parameter!$E$27="Ja","LIFT",IF(CB1092=1,"L1","L23")),IF(CB1092="Aussen","Aussen","-"))</f>
        <v>LIFT</v>
      </c>
      <c r="CD1092" s="59" t="n">
        <f aca="false">IF(N(AB1092)&gt;0,AB1092,0)</f>
        <v>0</v>
      </c>
      <c r="CE1092" s="53" t="n">
        <f aca="false">IF(ISNUMBER(AE1092),1,0)</f>
        <v>0</v>
      </c>
      <c r="CF1092" s="50" t="n">
        <f aca="false">N(AE1092)</f>
        <v>0</v>
      </c>
      <c r="CG1092" s="50" t="n">
        <f aca="false">N(M1092)+N(N1092)</f>
        <v>100</v>
      </c>
      <c r="CH1092" s="50" t="n">
        <f aca="false">ROUNDUP(H1092/BV1092,0)</f>
        <v>0</v>
      </c>
      <c r="CI1092" s="50" t="n">
        <f aca="false">ROUNDUP(CF1092/BV1092,0)</f>
        <v>0</v>
      </c>
      <c r="CJ1092" s="53" t="n">
        <f aca="false">IF(BW1092=1,0,IFERROR(VLOOKUP(BU1092,'Gebinde-Kategorie'!$A$5:$N$45,5,0)+0,0))</f>
        <v>11</v>
      </c>
      <c r="CK1092" s="53" t="n">
        <f aca="false">IFERROR(IF(OR(CB1092=1,CB1092=2,CB1092=3),N(INDEX(Parameter!$I$5:$I$7,CB1092)),0),0)</f>
        <v>0</v>
      </c>
      <c r="CL1092" s="52" t="n">
        <f aca="false">IF(AND(Parameter!$B$21="Ja",ISNUMBER(W1092),N(X1092)&gt;0),IFERROR(N(INDEX(Parameter!$L$5:$L$7,W1092))*INDEX(Parameter!$E$5:$E$7,W1092)*X1092/SUMIFS($X$7:$X$1843,$W$7:$W$1843,W1092),0),0)</f>
        <v>0</v>
      </c>
    </row>
    <row r="1093" customFormat="false" ht="15" hidden="false" customHeight="false" outlineLevel="0" collapsed="false">
      <c r="A1093" s="48" t="s">
        <v>1992</v>
      </c>
      <c r="B1093" s="48" t="s">
        <v>1993</v>
      </c>
      <c r="C1093" s="48" t="s">
        <v>168</v>
      </c>
      <c r="D1093" s="48" t="s">
        <v>188</v>
      </c>
      <c r="E1093" s="48" t="s">
        <v>189</v>
      </c>
      <c r="F1093" s="48" t="s">
        <v>222</v>
      </c>
      <c r="G1093" s="49" t="n">
        <v>74.34</v>
      </c>
      <c r="H1093" s="50" t="n">
        <f aca="false">MAX(0,IF(AND(Parameter!$B$21="Ja",ISNUMBER(Y1093)),Y1093,IF(Parameter!$B$20="Jahresanfang 2025 + Export",BO1093+BN1093,BN1093)))</f>
        <v>4</v>
      </c>
      <c r="I1093" s="50" t="n">
        <f aca="false">H1093*G1093</f>
        <v>297.36</v>
      </c>
      <c r="J1093" s="50" t="n">
        <f aca="false">BQ1093*Parameter!$B$18</f>
        <v>4</v>
      </c>
      <c r="K1093" s="51" t="n">
        <v>5</v>
      </c>
      <c r="L1093" s="52" t="n">
        <v>0.8</v>
      </c>
      <c r="M1093" s="50" t="n">
        <v>0</v>
      </c>
      <c r="N1093" s="50" t="n">
        <v>5</v>
      </c>
      <c r="O1093" s="53" t="n">
        <v>21</v>
      </c>
      <c r="P1093" s="48" t="s">
        <v>425</v>
      </c>
      <c r="Q1093" s="50" t="n">
        <v>4</v>
      </c>
      <c r="R1093" s="53" t="n">
        <f aca="false">IF(BW1093=1,0,IFERROR(VLOOKUP(BU1093,'Gebinde-Kategorie'!$A$5:$N$45,13,0)+0,0))</f>
        <v>104</v>
      </c>
      <c r="S1093" s="54"/>
      <c r="T1093" s="55"/>
      <c r="U1093" s="55"/>
      <c r="V1093" s="55"/>
      <c r="W1093" s="48"/>
      <c r="X1093" s="50"/>
      <c r="Y1093" s="50"/>
      <c r="Z1093" s="48" t="n">
        <f aca="false">IF(A1093="","",IF(AND(Parameter!$B$21="Ja",ISNUMBER(W1093)),W1093,IF(BZ1093="2+3",IF(ISNUMBER(SEARCH("grosser Artikel",BR1093)),2,IFERROR(VLOOKUP(BU1093,Parameter!$F$35:$G$64,2,0),2)),IF(OR(BZ1093="Nein",BZ1093=""),"-",BZ1093))))</f>
        <v>3</v>
      </c>
      <c r="AA1093" s="55"/>
      <c r="AB1093" s="56"/>
      <c r="AC1093" s="50" t="n">
        <f aca="false">AT1093</f>
        <v>8</v>
      </c>
      <c r="AD1093" s="50" t="n">
        <f aca="false">MAX(AT1093,H1093)</f>
        <v>8</v>
      </c>
      <c r="AE1093" s="57"/>
      <c r="AF1093" s="50" t="n">
        <f aca="false">IF(LEFT(Cockpit!$C$5,1)="A",H1093,IF(CE1093=1,CF1093,IF(LEFT(Cockpit!$C$5,1)="B",AK1093,MAX(AK1093,H1093))))</f>
        <v>4</v>
      </c>
      <c r="AG1093" s="50" t="n">
        <f aca="false">IF(BW1093=1,0,ROUNDUP(AF1093/BV1093,0))</f>
        <v>1</v>
      </c>
      <c r="AH1093" s="52" t="n">
        <f aca="false">IF(CL1093&gt;0,CL1093*MAX(1,AF1093/X1093),IF(BW1093=1,IF(AF1093&lt;=0,0,CA1093*MAX(1,IF(H1093&gt;0,AF1093/H1093,1))),IF(R1093&gt;0,AG1093/R1093,0))/MAX(0.1,N(Parameter!$M$21)))</f>
        <v>0.00961538461538462</v>
      </c>
      <c r="AI1093" s="50" t="n">
        <f aca="false">AH1093*BY1093</f>
        <v>1.49038461538462</v>
      </c>
      <c r="AJ1093" s="50" t="n">
        <f aca="false">AF1093*G1093</f>
        <v>297.36</v>
      </c>
      <c r="AK1093" s="50" t="n">
        <f aca="false">ROUNDUP(MAX(J1093/IF(CD1093&gt;0,CD1093,MAX(0.1,N(Cockpit!$C$6))),CG1093)/BV1093,0)*BV1093</f>
        <v>8</v>
      </c>
      <c r="AL1093" s="51" t="n">
        <f aca="false">IF(AI1093&gt;0,J1093/AI1093,-1)</f>
        <v>2.68387096774194</v>
      </c>
      <c r="AM1093" s="51" t="n">
        <f aca="false">IF(AND(OR(CC1093="L1",CC1093="L23",CC1093="LIFT"),AI1093&gt;0),SUMIFS($AI$7:$AI$1843,$CC$7:$CC$1843,CC1093,$AL$7:$AL$1843,"&gt;"&amp;AL1093)+SUMIFS($AI$7:$AI$1843,$CC$7:$CC$1843,CC1093,$AL$7:$AL$1843,AL1093,$BT$7:$BT$1843,"&lt;="&amp;BT1093),"")</f>
        <v>5342.83287545788</v>
      </c>
      <c r="AN1093" s="58" t="n">
        <f aca="false">IF(AM1093="",0,MAX(0,MIN(1,(IF(CC1093="L1",Parameter!$H$5,IF(CC1093="L23",Parameter!$H$6+Parameter!$H$7,Parameter!$H$5+Parameter!$H$6+Parameter!$H$7))-(AM1093-AI1093))/AI1093)))</f>
        <v>1</v>
      </c>
      <c r="AO1093" s="50" t="n">
        <f aca="false">IF(LEFT(Cockpit!$I$5,1)="A",H1093,IF(CE1093=1,CF1093,IF(LEFT(Cockpit!$I$5,1)="B",AT1093,MAX(AT1093,H1093))))</f>
        <v>8</v>
      </c>
      <c r="AP1093" s="50" t="n">
        <f aca="false">IF(BW1093=1,0,ROUNDUP(AO1093/BV1093,0))</f>
        <v>2</v>
      </c>
      <c r="AQ1093" s="52" t="n">
        <f aca="false">IF(CL1093&gt;0,CL1093*MAX(1,AO1093/X1093),IF(BW1093=1,IF(AO1093&lt;=0,0,CA1093*MAX(1,IF(H1093&gt;0,AO1093/H1093,1))),IF(R1093&gt;0,AP1093/R1093,0))/MAX(0.1,N(Parameter!$M$21)))</f>
        <v>0.0192307692307692</v>
      </c>
      <c r="AR1093" s="50" t="n">
        <f aca="false">AQ1093*BY1093</f>
        <v>2.98076923076923</v>
      </c>
      <c r="AS1093" s="50" t="n">
        <f aca="false">AO1093*G1093</f>
        <v>594.72</v>
      </c>
      <c r="AT1093" s="50" t="n">
        <f aca="false">ROUNDUP(MAX(J1093/IF(CD1093&gt;0,CD1093,MAX(0.1,N(Cockpit!$I$6))),CG1093)/BV1093,0)*BV1093</f>
        <v>8</v>
      </c>
      <c r="AU1093" s="51" t="n">
        <f aca="false">IF(AR1093&gt;0,J1093/AR1093,-1)</f>
        <v>1.34193548387097</v>
      </c>
      <c r="AV1093" s="51" t="n">
        <f aca="false">IF(AND(OR(CC1093="L1",CC1093="L23",CC1093="LIFT"),AR1093&gt;0),SUMIFS($AR$7:$AR$1843,$CC$7:$CC$1843,CC1093,$AU$7:$AU$1843,"&gt;"&amp;AU1093)+SUMIFS($AR$7:$AR$1843,$CC$7:$CC$1843,CC1093,$AU$7:$AU$1843,AU1093,$BT$7:$BT$1843,"&lt;="&amp;BT1093),"")</f>
        <v>9419.52014652015</v>
      </c>
      <c r="AW1093" s="58" t="n">
        <f aca="false">IF(AV1093="",0,MAX(0,MIN(1,(IF(CC1093="L1",Parameter!$H$5,IF(CC1093="L23",Parameter!$H$6+Parameter!$H$7,Parameter!$H$5+Parameter!$H$6+Parameter!$H$7))-(AV1093-AR1093))/AR1093)))</f>
        <v>1</v>
      </c>
      <c r="AX1093" s="50" t="n">
        <f aca="false">IF(LEFT(Cockpit!$O$5,1)="A",H1093,IF(CE1093=1,CF1093,IF(LEFT(Cockpit!$O$5,1)="B",BC1093,MAX(BC1093,H1093))))</f>
        <v>8</v>
      </c>
      <c r="AY1093" s="50" t="n">
        <f aca="false">IF(BW1093=1,0,ROUNDUP(AX1093/BV1093,0))</f>
        <v>2</v>
      </c>
      <c r="AZ1093" s="52" t="n">
        <f aca="false">IF(CL1093&gt;0,CL1093*MAX(1,AX1093/X1093),IF(BW1093=1,IF(AX1093&lt;=0,0,CA1093*MAX(1,IF(H1093&gt;0,AX1093/H1093,1))),IF(R1093&gt;0,AY1093/R1093,0))/MAX(0.1,N(Parameter!$M$21)))</f>
        <v>0.0192307692307692</v>
      </c>
      <c r="BA1093" s="50" t="n">
        <f aca="false">AZ1093*BY1093</f>
        <v>2.98076923076923</v>
      </c>
      <c r="BB1093" s="50" t="n">
        <f aca="false">AX1093*G1093</f>
        <v>594.72</v>
      </c>
      <c r="BC1093" s="50" t="n">
        <f aca="false">ROUNDUP(MAX(J1093/IF(CD1093&gt;0,CD1093,MAX(0.1,N(Cockpit!$O$6))),CG1093)/BV1093,0)*BV1093</f>
        <v>8</v>
      </c>
      <c r="BD1093" s="51" t="n">
        <f aca="false">IF(BA1093&gt;0,J1093/BA1093,-1)</f>
        <v>1.34193548387097</v>
      </c>
      <c r="BE1093" s="51" t="n">
        <f aca="false">IF(AND(OR(CC1093="L1",CC1093="L23",CC1093="LIFT"),BA1093&gt;0),SUMIFS($BA$7:$BA$1843,$CC$7:$CC$1843,CC1093,$BD$7:$BD$1843,"&gt;"&amp;BD1093)+SUMIFS($BA$7:$BA$1843,$CC$7:$CC$1843,CC1093,$BD$7:$BD$1843,BD1093,$BT$7:$BT$1843,"&lt;="&amp;BT1093),"")</f>
        <v>8605.1771978022</v>
      </c>
      <c r="BF1093" s="58" t="n">
        <f aca="false">IF(BE1093="",0,MAX(0,MIN(1,(IF(CC1093="L1",Parameter!$H$5,IF(CC1093="L23",Parameter!$H$6+Parameter!$H$7,Parameter!$H$5+Parameter!$H$6+Parameter!$H$7))-(BE1093-BA1093))/BA1093)))</f>
        <v>1</v>
      </c>
      <c r="BG1093" s="48" t="str">
        <f aca="false">IF(AI1093&lt;=0,"",IF(CC1093="Aussen","Aussenlager",IF(CC1093="-","Nicht im Lift",IF(AN1093&gt;=1,"Lift",IF(AN1093&lt;=0,"Aussenlager","teilweise")))))</f>
        <v>Lift</v>
      </c>
      <c r="BH1093" s="48" t="str">
        <f aca="false">IF(AR1093&lt;=0,"",IF(CC1093="Aussen","Aussenlager",IF(CC1093="-","Nicht im Lift",IF(AW1093&gt;=1,"Lift",IF(AW1093&lt;=0,"Aussenlager","teilweise")))))</f>
        <v>Lift</v>
      </c>
      <c r="BI1093" s="48" t="str">
        <f aca="false">IF(BA1093&lt;=0,"",IF(CC1093="Aussen","Aussenlager",IF(CC1093="-","Nicht im Lift",IF(BF1093&gt;=1,"Lift",IF(BF1093&lt;=0,"Aussenlager","teilweise")))))</f>
        <v>Lift</v>
      </c>
      <c r="BJ1093" s="48" t="str">
        <f aca="false">IF(A1093="","",IF(BS1093=1,"Neu; ","")&amp;IF(AND(BS1093=0,BN1093&lt;0),"negativer Bestand (Export "&amp;BN1093&amp;"); ","")&amp;IF(J1093&lt;=0,"Kein Verbrauch; ","")&amp;IF(CL1093&gt;0,"Lift "&amp;W1093&amp;" lt. Liftbericht (Fach "&amp;X1093&amp;" Stk); ",IF(BX1093=1,"Gebinde geschätzt ("&amp;T1093&amp;"); ",IF(BW1093=1,"Lose – Tablare geschätzt; ","")))&amp;IF(H1093&gt;AT1093,"Überbestand "&amp;ROUND(H1093-AT1093,0)&amp;" Stk / CHF "&amp;ROUND((H1093-AT1093)*G1093,0)&amp;"; ","")&amp;IF(AND(CE1093=1,CF1093&lt;CG1093),"MAX &lt; MB+LG; ","")&amp;IF(AND(CK1093&gt;0,CJ1093*10&gt;CK1093),"zu hoch für Tablar; ","")&amp;IF(AND(BS1093=0,OR(CE1093=1,AA1093&lt;&gt;"",U1093&lt;&gt;"",V1093&lt;&gt;"",AB1093&lt;&gt;"")),"manuell übersteuert; ","")&amp;IF(AND(BW1093=0,R1093=0),"Gebinde unbekannt / Stellmass fehlt; ","")&amp;IF(AND(BW1093=0,N(V1093)&lt;=0,N(Q1093)&lt;=0),"Menge pro Gebinde fehlt (Ist = 1 Gebinde); ","")&amp;BR1093)</f>
        <v>negativer Bestand (Export -3); Neu</v>
      </c>
      <c r="BK1093" s="48"/>
      <c r="BL1093" s="48"/>
      <c r="BM1093" s="55"/>
      <c r="BN1093" s="50" t="n">
        <v>-3</v>
      </c>
      <c r="BO1093" s="50" t="n">
        <v>7</v>
      </c>
      <c r="BP1093" s="49" t="n">
        <v>-199.43</v>
      </c>
      <c r="BQ1093" s="50" t="n">
        <v>4</v>
      </c>
      <c r="BR1093" s="48" t="s">
        <v>630</v>
      </c>
      <c r="BS1093" s="53" t="n">
        <v>0</v>
      </c>
      <c r="BT1093" s="53" t="n">
        <v>1093</v>
      </c>
      <c r="BU1093" s="48" t="str">
        <f aca="false">IF(U1093&lt;&gt;"",UPPER(TRIM(U1093)),IF(BX1093=1,UPPER(VLOOKUP(T1093,Parameter!$I$27:$K$29,2,0)),IF(P1093="","LOSE",P1093)))</f>
        <v>S32</v>
      </c>
      <c r="BV1093" s="50" t="n">
        <f aca="false">IF(BU1093="LOSE",1,IF(N(V1093)&gt;0,V1093,IF(BX1093=1,MAX(1,N(VLOOKUP(T1093,Parameter!$I$27:$K$29,3,0)),H1093,N(N1093)),IF(N(Q1093)&gt;0,Q1093,MAX(1,H1093)))))</f>
        <v>4</v>
      </c>
      <c r="BW1093" s="53" t="n">
        <f aca="false">IF(BU1093="LOSE",1,0)</f>
        <v>0</v>
      </c>
      <c r="BX1093" s="53" t="n">
        <f aca="false">IF(AND(U1093="",OR(P1093="",P1093="LOSE"),T1093&lt;&gt;"",N(S1093)&lt;=0,ISNUMBER(MATCH(T1093,Parameter!$I$27:$I$29,0))),1,0)</f>
        <v>0</v>
      </c>
      <c r="BY1093" s="53" t="n">
        <f aca="false">IF(CL1093&gt;0,INDEX(Parameter!$H$5:$H$7,W1093)/INDEX(Parameter!$E$5:$E$7,W1093),IF(AND(BW1093=0,N(IFERROR(VLOOKUP(BU1093,'Gebinde-Kategorie'!$A$5:$N$45,14,0),0))&gt;0),VLOOKUP(BU1093,'Gebinde-Kategorie'!$A$5:$N$45,14,0)*10+Parameter!$M$23,Parameter!$M$24))</f>
        <v>155</v>
      </c>
      <c r="BZ1093" s="48" t="str">
        <f aca="false">IF(AND(Parameter!$B$19="Ja",E1093&lt;&gt;"",ISNUMBER(MATCH(E1093,Parameter!$I$35:$I$52,0))),VLOOKUP(E1093,Parameter!$I$35:$J$52,2,0),IFERROR(VLOOKUP(D1093,Parameter!$A$35:$C$64,2,0),"Nein"))</f>
        <v>2+3</v>
      </c>
      <c r="CA1093" s="52" t="n">
        <f aca="false">IF(BW1093=0,0,IF(N(S1093)&gt;0,S1093,IFERROR(VLOOKUP(D1093,Parameter!$A$35:$C$64,3,0)+0,0)))</f>
        <v>0</v>
      </c>
      <c r="CB1093" s="48" t="n">
        <f aca="false">IF(AA1093&lt;&gt;"",AA1093,Z1093)</f>
        <v>3</v>
      </c>
      <c r="CC1093" s="48" t="str">
        <f aca="false">IF(OR(CB1093=1,CB1093=2,CB1093=3),IF(Parameter!$E$27="Ja","LIFT",IF(CB1093=1,"L1","L23")),IF(CB1093="Aussen","Aussen","-"))</f>
        <v>LIFT</v>
      </c>
      <c r="CD1093" s="59" t="n">
        <f aca="false">IF(N(AB1093)&gt;0,AB1093,0)</f>
        <v>0</v>
      </c>
      <c r="CE1093" s="53" t="n">
        <f aca="false">IF(ISNUMBER(AE1093),1,0)</f>
        <v>0</v>
      </c>
      <c r="CF1093" s="50" t="n">
        <f aca="false">N(AE1093)</f>
        <v>0</v>
      </c>
      <c r="CG1093" s="50" t="n">
        <f aca="false">N(M1093)+N(N1093)</f>
        <v>5</v>
      </c>
      <c r="CH1093" s="50" t="n">
        <f aca="false">ROUNDUP(H1093/BV1093,0)</f>
        <v>1</v>
      </c>
      <c r="CI1093" s="50" t="n">
        <f aca="false">ROUNDUP(CF1093/BV1093,0)</f>
        <v>0</v>
      </c>
      <c r="CJ1093" s="53" t="n">
        <f aca="false">IF(BW1093=1,0,IFERROR(VLOOKUP(BU1093,'Gebinde-Kategorie'!$A$5:$N$45,5,0)+0,0))</f>
        <v>8</v>
      </c>
      <c r="CK1093" s="53" t="n">
        <f aca="false">IFERROR(IF(OR(CB1093=1,CB1093=2,CB1093=3),N(INDEX(Parameter!$I$5:$I$7,CB1093)),0),0)</f>
        <v>0</v>
      </c>
      <c r="CL1093" s="52" t="n">
        <f aca="false">IF(AND(Parameter!$B$21="Ja",ISNUMBER(W1093),N(X1093)&gt;0),IFERROR(N(INDEX(Parameter!$L$5:$L$7,W1093))*INDEX(Parameter!$E$5:$E$7,W1093)*X1093/SUMIFS($X$7:$X$1843,$W$7:$W$1843,W1093),0),0)</f>
        <v>0</v>
      </c>
    </row>
    <row r="1094" customFormat="false" ht="15" hidden="false" customHeight="false" outlineLevel="0" collapsed="false">
      <c r="A1094" s="48" t="s">
        <v>1994</v>
      </c>
      <c r="B1094" s="48" t="s">
        <v>1995</v>
      </c>
      <c r="C1094" s="48" t="s">
        <v>168</v>
      </c>
      <c r="D1094" s="48" t="s">
        <v>188</v>
      </c>
      <c r="E1094" s="48" t="s">
        <v>189</v>
      </c>
      <c r="F1094" s="48" t="s">
        <v>222</v>
      </c>
      <c r="G1094" s="49" t="n">
        <v>17.26</v>
      </c>
      <c r="H1094" s="50" t="n">
        <f aca="false">MAX(0,IF(AND(Parameter!$B$21="Ja",ISNUMBER(Y1094)),Y1094,IF(Parameter!$B$20="Jahresanfang 2025 + Export",BO1094+BN1094,BN1094)))</f>
        <v>12</v>
      </c>
      <c r="I1094" s="50" t="n">
        <f aca="false">H1094*G1094</f>
        <v>207.12</v>
      </c>
      <c r="J1094" s="50" t="n">
        <f aca="false">BQ1094*Parameter!$B$18</f>
        <v>33</v>
      </c>
      <c r="K1094" s="51" t="n">
        <v>33</v>
      </c>
      <c r="L1094" s="52" t="n">
        <v>1</v>
      </c>
      <c r="M1094" s="50" t="n">
        <v>2</v>
      </c>
      <c r="N1094" s="50" t="n">
        <v>35</v>
      </c>
      <c r="O1094" s="53" t="n">
        <v>21</v>
      </c>
      <c r="P1094" s="48" t="s">
        <v>306</v>
      </c>
      <c r="Q1094" s="50" t="n">
        <v>48</v>
      </c>
      <c r="R1094" s="53" t="n">
        <f aca="false">IF(BW1094=1,0,IFERROR(VLOOKUP(BU1094,'Gebinde-Kategorie'!$A$5:$N$45,13,0)+0,0))</f>
        <v>26</v>
      </c>
      <c r="S1094" s="54"/>
      <c r="T1094" s="55"/>
      <c r="U1094" s="55"/>
      <c r="V1094" s="55"/>
      <c r="W1094" s="48"/>
      <c r="X1094" s="50"/>
      <c r="Y1094" s="50"/>
      <c r="Z1094" s="48" t="n">
        <f aca="false">IF(A1094="","",IF(AND(Parameter!$B$21="Ja",ISNUMBER(W1094)),W1094,IF(BZ1094="2+3",IF(ISNUMBER(SEARCH("grosser Artikel",BR1094)),2,IFERROR(VLOOKUP(BU1094,Parameter!$F$35:$G$64,2,0),2)),IF(OR(BZ1094="Nein",BZ1094=""),"-",BZ1094))))</f>
        <v>3</v>
      </c>
      <c r="AA1094" s="55"/>
      <c r="AB1094" s="56"/>
      <c r="AC1094" s="50" t="n">
        <f aca="false">AT1094</f>
        <v>48</v>
      </c>
      <c r="AD1094" s="50" t="n">
        <f aca="false">MAX(AT1094,H1094)</f>
        <v>48</v>
      </c>
      <c r="AE1094" s="57"/>
      <c r="AF1094" s="50" t="n">
        <f aca="false">IF(LEFT(Cockpit!$C$5,1)="A",H1094,IF(CE1094=1,CF1094,IF(LEFT(Cockpit!$C$5,1)="B",AK1094,MAX(AK1094,H1094))))</f>
        <v>12</v>
      </c>
      <c r="AG1094" s="50" t="n">
        <f aca="false">IF(BW1094=1,0,ROUNDUP(AF1094/BV1094,0))</f>
        <v>1</v>
      </c>
      <c r="AH1094" s="52" t="n">
        <f aca="false">IF(CL1094&gt;0,CL1094*MAX(1,AF1094/X1094),IF(BW1094=1,IF(AF1094&lt;=0,0,CA1094*MAX(1,IF(H1094&gt;0,AF1094/H1094,1))),IF(R1094&gt;0,AG1094/R1094,0))/MAX(0.1,N(Parameter!$M$21)))</f>
        <v>0.0384615384615385</v>
      </c>
      <c r="AI1094" s="50" t="n">
        <f aca="false">AH1094*BY1094</f>
        <v>5.96153846153846</v>
      </c>
      <c r="AJ1094" s="50" t="n">
        <f aca="false">AF1094*G1094</f>
        <v>207.12</v>
      </c>
      <c r="AK1094" s="50" t="n">
        <f aca="false">ROUNDUP(MAX(J1094/IF(CD1094&gt;0,CD1094,MAX(0.1,N(Cockpit!$C$6))),CG1094)/BV1094,0)*BV1094</f>
        <v>48</v>
      </c>
      <c r="AL1094" s="51" t="n">
        <f aca="false">IF(AI1094&gt;0,J1094/AI1094,-1)</f>
        <v>5.53548387096774</v>
      </c>
      <c r="AM1094" s="51" t="n">
        <f aca="false">IF(AND(OR(CC1094="L1",CC1094="L23",CC1094="LIFT"),AI1094&gt;0),SUMIFS($AI$7:$AI$1843,$CC$7:$CC$1843,CC1094,$AL$7:$AL$1843,"&gt;"&amp;AL1094)+SUMIFS($AI$7:$AI$1843,$CC$7:$CC$1843,CC1094,$AL$7:$AL$1843,AL1094,$BT$7:$BT$1843,"&lt;="&amp;BT1094),"")</f>
        <v>3714.48122710623</v>
      </c>
      <c r="AN1094" s="58" t="n">
        <f aca="false">IF(AM1094="",0,MAX(0,MIN(1,(IF(CC1094="L1",Parameter!$H$5,IF(CC1094="L23",Parameter!$H$6+Parameter!$H$7,Parameter!$H$5+Parameter!$H$6+Parameter!$H$7))-(AM1094-AI1094))/AI1094)))</f>
        <v>1</v>
      </c>
      <c r="AO1094" s="50" t="n">
        <f aca="false">IF(LEFT(Cockpit!$I$5,1)="A",H1094,IF(CE1094=1,CF1094,IF(LEFT(Cockpit!$I$5,1)="B",AT1094,MAX(AT1094,H1094))))</f>
        <v>48</v>
      </c>
      <c r="AP1094" s="50" t="n">
        <f aca="false">IF(BW1094=1,0,ROUNDUP(AO1094/BV1094,0))</f>
        <v>1</v>
      </c>
      <c r="AQ1094" s="52" t="n">
        <f aca="false">IF(CL1094&gt;0,CL1094*MAX(1,AO1094/X1094),IF(BW1094=1,IF(AO1094&lt;=0,0,CA1094*MAX(1,IF(H1094&gt;0,AO1094/H1094,1))),IF(R1094&gt;0,AP1094/R1094,0))/MAX(0.1,N(Parameter!$M$21)))</f>
        <v>0.0384615384615385</v>
      </c>
      <c r="AR1094" s="50" t="n">
        <f aca="false">AQ1094*BY1094</f>
        <v>5.96153846153846</v>
      </c>
      <c r="AS1094" s="50" t="n">
        <f aca="false">AO1094*G1094</f>
        <v>828.48</v>
      </c>
      <c r="AT1094" s="50" t="n">
        <f aca="false">ROUNDUP(MAX(J1094/IF(CD1094&gt;0,CD1094,MAX(0.1,N(Cockpit!$I$6))),CG1094)/BV1094,0)*BV1094</f>
        <v>48</v>
      </c>
      <c r="AU1094" s="51" t="n">
        <f aca="false">IF(AR1094&gt;0,J1094/AR1094,-1)</f>
        <v>5.53548387096774</v>
      </c>
      <c r="AV1094" s="51" t="n">
        <f aca="false">IF(AND(OR(CC1094="L1",CC1094="L23",CC1094="LIFT"),AR1094&gt;0),SUMIFS($AR$7:$AR$1843,$CC$7:$CC$1843,CC1094,$AU$7:$AU$1843,"&gt;"&amp;AU1094)+SUMIFS($AR$7:$AR$1843,$CC$7:$CC$1843,CC1094,$AU$7:$AU$1843,AU1094,$BT$7:$BT$1843,"&lt;="&amp;BT1094),"")</f>
        <v>4895.45924908425</v>
      </c>
      <c r="AW1094" s="58" t="n">
        <f aca="false">IF(AV1094="",0,MAX(0,MIN(1,(IF(CC1094="L1",Parameter!$H$5,IF(CC1094="L23",Parameter!$H$6+Parameter!$H$7,Parameter!$H$5+Parameter!$H$6+Parameter!$H$7))-(AV1094-AR1094))/AR1094)))</f>
        <v>1</v>
      </c>
      <c r="AX1094" s="50" t="n">
        <f aca="false">IF(LEFT(Cockpit!$O$5,1)="A",H1094,IF(CE1094=1,CF1094,IF(LEFT(Cockpit!$O$5,1)="B",BC1094,MAX(BC1094,H1094))))</f>
        <v>48</v>
      </c>
      <c r="AY1094" s="50" t="n">
        <f aca="false">IF(BW1094=1,0,ROUNDUP(AX1094/BV1094,0))</f>
        <v>1</v>
      </c>
      <c r="AZ1094" s="52" t="n">
        <f aca="false">IF(CL1094&gt;0,CL1094*MAX(1,AX1094/X1094),IF(BW1094=1,IF(AX1094&lt;=0,0,CA1094*MAX(1,IF(H1094&gt;0,AX1094/H1094,1))),IF(R1094&gt;0,AY1094/R1094,0))/MAX(0.1,N(Parameter!$M$21)))</f>
        <v>0.0384615384615385</v>
      </c>
      <c r="BA1094" s="50" t="n">
        <f aca="false">AZ1094*BY1094</f>
        <v>5.96153846153846</v>
      </c>
      <c r="BB1094" s="50" t="n">
        <f aca="false">AX1094*G1094</f>
        <v>828.48</v>
      </c>
      <c r="BC1094" s="50" t="n">
        <f aca="false">ROUNDUP(MAX(J1094/IF(CD1094&gt;0,CD1094,MAX(0.1,N(Cockpit!$O$6))),CG1094)/BV1094,0)*BV1094</f>
        <v>48</v>
      </c>
      <c r="BD1094" s="51" t="n">
        <f aca="false">IF(BA1094&gt;0,J1094/BA1094,-1)</f>
        <v>5.53548387096774</v>
      </c>
      <c r="BE1094" s="51" t="n">
        <f aca="false">IF(AND(OR(CC1094="L1",CC1094="L23",CC1094="LIFT"),BA1094&gt;0),SUMIFS($BA$7:$BA$1843,$CC$7:$CC$1843,CC1094,$BD$7:$BD$1843,"&gt;"&amp;BD1094)+SUMIFS($BA$7:$BA$1843,$CC$7:$CC$1843,CC1094,$BD$7:$BD$1843,BD1094,$BT$7:$BT$1843,"&lt;="&amp;BT1094),"")</f>
        <v>4565.92399267399</v>
      </c>
      <c r="BF1094" s="58" t="n">
        <f aca="false">IF(BE1094="",0,MAX(0,MIN(1,(IF(CC1094="L1",Parameter!$H$5,IF(CC1094="L23",Parameter!$H$6+Parameter!$H$7,Parameter!$H$5+Parameter!$H$6+Parameter!$H$7))-(BE1094-BA1094))/BA1094)))</f>
        <v>1</v>
      </c>
      <c r="BG1094" s="48" t="str">
        <f aca="false">IF(AI1094&lt;=0,"",IF(CC1094="Aussen","Aussenlager",IF(CC1094="-","Nicht im Lift",IF(AN1094&gt;=1,"Lift",IF(AN1094&lt;=0,"Aussenlager","teilweise")))))</f>
        <v>Lift</v>
      </c>
      <c r="BH1094" s="48" t="str">
        <f aca="false">IF(AR1094&lt;=0,"",IF(CC1094="Aussen","Aussenlager",IF(CC1094="-","Nicht im Lift",IF(AW1094&gt;=1,"Lift",IF(AW1094&lt;=0,"Aussenlager","teilweise")))))</f>
        <v>Lift</v>
      </c>
      <c r="BI1094" s="48" t="str">
        <f aca="false">IF(BA1094&lt;=0,"",IF(CC1094="Aussen","Aussenlager",IF(CC1094="-","Nicht im Lift",IF(BF1094&gt;=1,"Lift",IF(BF1094&lt;=0,"Aussenlager","teilweise")))))</f>
        <v>Lift</v>
      </c>
      <c r="BJ1094" s="48" t="str">
        <f aca="false">IF(A1094="","",IF(BS1094=1,"Neu; ","")&amp;IF(AND(BS1094=0,BN1094&lt;0),"negativer Bestand (Export "&amp;BN1094&amp;"); ","")&amp;IF(J1094&lt;=0,"Kein Verbrauch; ","")&amp;IF(CL1094&gt;0,"Lift "&amp;W1094&amp;" lt. Liftbericht (Fach "&amp;X1094&amp;" Stk); ",IF(BX1094=1,"Gebinde geschätzt ("&amp;T1094&amp;"); ",IF(BW1094=1,"Lose – Tablare geschätzt; ","")))&amp;IF(H1094&gt;AT1094,"Überbestand "&amp;ROUND(H1094-AT1094,0)&amp;" Stk / CHF "&amp;ROUND((H1094-AT1094)*G1094,0)&amp;"; ","")&amp;IF(AND(CE1094=1,CF1094&lt;CG1094),"MAX &lt; MB+LG; ","")&amp;IF(AND(CK1094&gt;0,CJ1094*10&gt;CK1094),"zu hoch für Tablar; ","")&amp;IF(AND(BS1094=0,OR(CE1094=1,AA1094&lt;&gt;"",U1094&lt;&gt;"",V1094&lt;&gt;"",AB1094&lt;&gt;"")),"manuell übersteuert; ","")&amp;IF(AND(BW1094=0,R1094=0),"Gebinde unbekannt / Stellmass fehlt; ","")&amp;IF(AND(BW1094=0,N(V1094)&lt;=0,N(Q1094)&lt;=0),"Menge pro Gebinde fehlt (Ist = 1 Gebinde); ","")&amp;BR1094)</f>
        <v>negativer Bestand (Export -8); </v>
      </c>
      <c r="BK1094" s="48"/>
      <c r="BL1094" s="48"/>
      <c r="BM1094" s="55"/>
      <c r="BN1094" s="50" t="n">
        <v>-8</v>
      </c>
      <c r="BO1094" s="50" t="n">
        <v>20</v>
      </c>
      <c r="BP1094" s="49" t="n">
        <v>-202.08</v>
      </c>
      <c r="BQ1094" s="50" t="n">
        <v>33</v>
      </c>
      <c r="BR1094" s="48"/>
      <c r="BS1094" s="53" t="n">
        <v>0</v>
      </c>
      <c r="BT1094" s="53" t="n">
        <v>1094</v>
      </c>
      <c r="BU1094" s="48" t="str">
        <f aca="false">IF(U1094&lt;&gt;"",UPPER(TRIM(U1094)),IF(BX1094=1,UPPER(VLOOKUP(T1094,Parameter!$I$27:$K$29,2,0)),IF(P1094="","LOSE",P1094)))</f>
        <v>S51</v>
      </c>
      <c r="BV1094" s="50" t="n">
        <f aca="false">IF(BU1094="LOSE",1,IF(N(V1094)&gt;0,V1094,IF(BX1094=1,MAX(1,N(VLOOKUP(T1094,Parameter!$I$27:$K$29,3,0)),H1094,N(N1094)),IF(N(Q1094)&gt;0,Q1094,MAX(1,H1094)))))</f>
        <v>48</v>
      </c>
      <c r="BW1094" s="53" t="n">
        <f aca="false">IF(BU1094="LOSE",1,0)</f>
        <v>0</v>
      </c>
      <c r="BX1094" s="53" t="n">
        <f aca="false">IF(AND(U1094="",OR(P1094="",P1094="LOSE"),T1094&lt;&gt;"",N(S1094)&lt;=0,ISNUMBER(MATCH(T1094,Parameter!$I$27:$I$29,0))),1,0)</f>
        <v>0</v>
      </c>
      <c r="BY1094" s="53" t="n">
        <f aca="false">IF(CL1094&gt;0,INDEX(Parameter!$H$5:$H$7,W1094)/INDEX(Parameter!$E$5:$E$7,W1094),IF(AND(BW1094=0,N(IFERROR(VLOOKUP(BU1094,'Gebinde-Kategorie'!$A$5:$N$45,14,0),0))&gt;0),VLOOKUP(BU1094,'Gebinde-Kategorie'!$A$5:$N$45,14,0)*10+Parameter!$M$23,Parameter!$M$24))</f>
        <v>155</v>
      </c>
      <c r="BZ1094" s="48" t="str">
        <f aca="false">IF(AND(Parameter!$B$19="Ja",E1094&lt;&gt;"",ISNUMBER(MATCH(E1094,Parameter!$I$35:$I$52,0))),VLOOKUP(E1094,Parameter!$I$35:$J$52,2,0),IFERROR(VLOOKUP(D1094,Parameter!$A$35:$C$64,2,0),"Nein"))</f>
        <v>2+3</v>
      </c>
      <c r="CA1094" s="52" t="n">
        <f aca="false">IF(BW1094=0,0,IF(N(S1094)&gt;0,S1094,IFERROR(VLOOKUP(D1094,Parameter!$A$35:$C$64,3,0)+0,0)))</f>
        <v>0</v>
      </c>
      <c r="CB1094" s="48" t="n">
        <f aca="false">IF(AA1094&lt;&gt;"",AA1094,Z1094)</f>
        <v>3</v>
      </c>
      <c r="CC1094" s="48" t="str">
        <f aca="false">IF(OR(CB1094=1,CB1094=2,CB1094=3),IF(Parameter!$E$27="Ja","LIFT",IF(CB1094=1,"L1","L23")),IF(CB1094="Aussen","Aussen","-"))</f>
        <v>LIFT</v>
      </c>
      <c r="CD1094" s="59" t="n">
        <f aca="false">IF(N(AB1094)&gt;0,AB1094,0)</f>
        <v>0</v>
      </c>
      <c r="CE1094" s="53" t="n">
        <f aca="false">IF(ISNUMBER(AE1094),1,0)</f>
        <v>0</v>
      </c>
      <c r="CF1094" s="50" t="n">
        <f aca="false">N(AE1094)</f>
        <v>0</v>
      </c>
      <c r="CG1094" s="50" t="n">
        <f aca="false">N(M1094)+N(N1094)</f>
        <v>37</v>
      </c>
      <c r="CH1094" s="50" t="n">
        <f aca="false">ROUNDUP(H1094/BV1094,0)</f>
        <v>1</v>
      </c>
      <c r="CI1094" s="50" t="n">
        <f aca="false">ROUNDUP(CF1094/BV1094,0)</f>
        <v>0</v>
      </c>
      <c r="CJ1094" s="53" t="n">
        <f aca="false">IF(BW1094=1,0,IFERROR(VLOOKUP(BU1094,'Gebinde-Kategorie'!$A$5:$N$45,5,0)+0,0))</f>
        <v>11</v>
      </c>
      <c r="CK1094" s="53" t="n">
        <f aca="false">IFERROR(IF(OR(CB1094=1,CB1094=2,CB1094=3),N(INDEX(Parameter!$I$5:$I$7,CB1094)),0),0)</f>
        <v>0</v>
      </c>
      <c r="CL1094" s="52" t="n">
        <f aca="false">IF(AND(Parameter!$B$21="Ja",ISNUMBER(W1094),N(X1094)&gt;0),IFERROR(N(INDEX(Parameter!$L$5:$L$7,W1094))*INDEX(Parameter!$E$5:$E$7,W1094)*X1094/SUMIFS($X$7:$X$1843,$W$7:$W$1843,W1094),0),0)</f>
        <v>0</v>
      </c>
    </row>
    <row r="1095" customFormat="false" ht="15" hidden="false" customHeight="false" outlineLevel="0" collapsed="false">
      <c r="A1095" s="48" t="s">
        <v>1996</v>
      </c>
      <c r="B1095" s="48" t="s">
        <v>1997</v>
      </c>
      <c r="C1095" s="48" t="s">
        <v>168</v>
      </c>
      <c r="D1095" s="48" t="s">
        <v>177</v>
      </c>
      <c r="E1095" s="48" t="s">
        <v>177</v>
      </c>
      <c r="F1095" s="48" t="s">
        <v>222</v>
      </c>
      <c r="G1095" s="49" t="n">
        <v>17.05</v>
      </c>
      <c r="H1095" s="50" t="n">
        <f aca="false">MAX(0,IF(AND(Parameter!$B$21="Ja",ISNUMBER(Y1095)),Y1095,IF(Parameter!$B$20="Jahresanfang 2025 + Export",BO1095+BN1095,BN1095)))</f>
        <v>32.1240000000002</v>
      </c>
      <c r="I1095" s="50" t="n">
        <f aca="false">H1095*G1095</f>
        <v>547.714200000003</v>
      </c>
      <c r="J1095" s="50" t="n">
        <f aca="false">BQ1095*Parameter!$B$18</f>
        <v>139.027</v>
      </c>
      <c r="K1095" s="51" t="n">
        <v>51.8520000000001</v>
      </c>
      <c r="L1095" s="52" t="n">
        <v>2.68122733935045</v>
      </c>
      <c r="M1095" s="50" t="n">
        <v>8</v>
      </c>
      <c r="N1095" s="50" t="n">
        <v>50</v>
      </c>
      <c r="O1095" s="53" t="n">
        <v>21</v>
      </c>
      <c r="P1095" s="48" t="s">
        <v>172</v>
      </c>
      <c r="Q1095" s="50"/>
      <c r="R1095" s="53" t="n">
        <f aca="false">IF(BW1095=1,0,IFERROR(VLOOKUP(BU1095,'Gebinde-Kategorie'!$A$5:$N$45,13,0)+0,0))</f>
        <v>12</v>
      </c>
      <c r="S1095" s="54"/>
      <c r="T1095" s="55" t="s">
        <v>183</v>
      </c>
      <c r="U1095" s="55"/>
      <c r="V1095" s="55"/>
      <c r="W1095" s="48"/>
      <c r="X1095" s="50"/>
      <c r="Y1095" s="50"/>
      <c r="Z1095" s="48" t="str">
        <f aca="false">IF(A1095="","",IF(AND(Parameter!$B$21="Ja",ISNUMBER(W1095)),W1095,IF(BZ1095="2+3",IF(ISNUMBER(SEARCH("grosser Artikel",BR1095)),2,IFERROR(VLOOKUP(BU1095,Parameter!$F$35:$G$64,2,0),2)),IF(OR(BZ1095="Nein",BZ1095=""),"-",BZ1095))))</f>
        <v>-</v>
      </c>
      <c r="AA1095" s="55"/>
      <c r="AB1095" s="56"/>
      <c r="AC1095" s="50" t="n">
        <f aca="false">AT1095</f>
        <v>100</v>
      </c>
      <c r="AD1095" s="50" t="n">
        <f aca="false">MAX(AT1095,H1095)</f>
        <v>100</v>
      </c>
      <c r="AE1095" s="57"/>
      <c r="AF1095" s="50" t="n">
        <f aca="false">IF(LEFT(Cockpit!$C$5,1)="A",H1095,IF(CE1095=1,CF1095,IF(LEFT(Cockpit!$C$5,1)="B",AK1095,MAX(AK1095,H1095))))</f>
        <v>32.1240000000002</v>
      </c>
      <c r="AG1095" s="50" t="n">
        <f aca="false">IF(BW1095=1,0,ROUNDUP(AF1095/BV1095,0))</f>
        <v>1</v>
      </c>
      <c r="AH1095" s="52" t="n">
        <f aca="false">IF(CL1095&gt;0,CL1095*MAX(1,AF1095/X1095),IF(BW1095=1,IF(AF1095&lt;=0,0,CA1095*MAX(1,IF(H1095&gt;0,AF1095/H1095,1))),IF(R1095&gt;0,AG1095/R1095,0))/MAX(0.1,N(Parameter!$M$21)))</f>
        <v>0.0833333333333333</v>
      </c>
      <c r="AI1095" s="50" t="n">
        <f aca="false">AH1095*BY1095</f>
        <v>12.0833333333333</v>
      </c>
      <c r="AJ1095" s="50" t="n">
        <f aca="false">AF1095*G1095</f>
        <v>547.714200000003</v>
      </c>
      <c r="AK1095" s="50" t="n">
        <f aca="false">ROUNDUP(MAX(J1095/IF(CD1095&gt;0,CD1095,MAX(0.1,N(Cockpit!$C$6))),CG1095)/BV1095,0)*BV1095</f>
        <v>100</v>
      </c>
      <c r="AL1095" s="51" t="n">
        <f aca="false">IF(AI1095&gt;0,J1095/AI1095,-1)</f>
        <v>11.5056827586207</v>
      </c>
      <c r="AM1095" s="51" t="str">
        <f aca="false">IF(AND(OR(CC1095="L1",CC1095="L23",CC1095="LIFT"),AI1095&gt;0),SUMIFS($AI$7:$AI$1843,$CC$7:$CC$1843,CC1095,$AL$7:$AL$1843,"&gt;"&amp;AL1095)+SUMIFS($AI$7:$AI$1843,$CC$7:$CC$1843,CC1095,$AL$7:$AL$1843,AL1095,$BT$7:$BT$1843,"&lt;="&amp;BT1095),"")</f>
        <v/>
      </c>
      <c r="AN1095" s="58" t="n">
        <f aca="false">IF(AM1095="",0,MAX(0,MIN(1,(IF(CC1095="L1",Parameter!$H$5,IF(CC1095="L23",Parameter!$H$6+Parameter!$H$7,Parameter!$H$5+Parameter!$H$6+Parameter!$H$7))-(AM1095-AI1095))/AI1095)))</f>
        <v>0</v>
      </c>
      <c r="AO1095" s="50" t="n">
        <f aca="false">IF(LEFT(Cockpit!$I$5,1)="A",H1095,IF(CE1095=1,CF1095,IF(LEFT(Cockpit!$I$5,1)="B",AT1095,MAX(AT1095,H1095))))</f>
        <v>100</v>
      </c>
      <c r="AP1095" s="50" t="n">
        <f aca="false">IF(BW1095=1,0,ROUNDUP(AO1095/BV1095,0))</f>
        <v>2</v>
      </c>
      <c r="AQ1095" s="52" t="n">
        <f aca="false">IF(CL1095&gt;0,CL1095*MAX(1,AO1095/X1095),IF(BW1095=1,IF(AO1095&lt;=0,0,CA1095*MAX(1,IF(H1095&gt;0,AO1095/H1095,1))),IF(R1095&gt;0,AP1095/R1095,0))/MAX(0.1,N(Parameter!$M$21)))</f>
        <v>0.166666666666667</v>
      </c>
      <c r="AR1095" s="50" t="n">
        <f aca="false">AQ1095*BY1095</f>
        <v>24.1666666666667</v>
      </c>
      <c r="AS1095" s="50" t="n">
        <f aca="false">AO1095*G1095</f>
        <v>1705</v>
      </c>
      <c r="AT1095" s="50" t="n">
        <f aca="false">ROUNDUP(MAX(J1095/IF(CD1095&gt;0,CD1095,MAX(0.1,N(Cockpit!$I$6))),CG1095)/BV1095,0)*BV1095</f>
        <v>100</v>
      </c>
      <c r="AU1095" s="51" t="n">
        <f aca="false">IF(AR1095&gt;0,J1095/AR1095,-1)</f>
        <v>5.75284137931035</v>
      </c>
      <c r="AV1095" s="51" t="str">
        <f aca="false">IF(AND(OR(CC1095="L1",CC1095="L23",CC1095="LIFT"),AR1095&gt;0),SUMIFS($AR$7:$AR$1843,$CC$7:$CC$1843,CC1095,$AU$7:$AU$1843,"&gt;"&amp;AU1095)+SUMIFS($AR$7:$AR$1843,$CC$7:$CC$1843,CC1095,$AU$7:$AU$1843,AU1095,$BT$7:$BT$1843,"&lt;="&amp;BT1095),"")</f>
        <v/>
      </c>
      <c r="AW1095" s="58" t="n">
        <f aca="false">IF(AV1095="",0,MAX(0,MIN(1,(IF(CC1095="L1",Parameter!$H$5,IF(CC1095="L23",Parameter!$H$6+Parameter!$H$7,Parameter!$H$5+Parameter!$H$6+Parameter!$H$7))-(AV1095-AR1095))/AR1095)))</f>
        <v>0</v>
      </c>
      <c r="AX1095" s="50" t="n">
        <f aca="false">IF(LEFT(Cockpit!$O$5,1)="A",H1095,IF(CE1095=1,CF1095,IF(LEFT(Cockpit!$O$5,1)="B",BC1095,MAX(BC1095,H1095))))</f>
        <v>100</v>
      </c>
      <c r="AY1095" s="50" t="n">
        <f aca="false">IF(BW1095=1,0,ROUNDUP(AX1095/BV1095,0))</f>
        <v>2</v>
      </c>
      <c r="AZ1095" s="52" t="n">
        <f aca="false">IF(CL1095&gt;0,CL1095*MAX(1,AX1095/X1095),IF(BW1095=1,IF(AX1095&lt;=0,0,CA1095*MAX(1,IF(H1095&gt;0,AX1095/H1095,1))),IF(R1095&gt;0,AY1095/R1095,0))/MAX(0.1,N(Parameter!$M$21)))</f>
        <v>0.166666666666667</v>
      </c>
      <c r="BA1095" s="50" t="n">
        <f aca="false">AZ1095*BY1095</f>
        <v>24.1666666666667</v>
      </c>
      <c r="BB1095" s="50" t="n">
        <f aca="false">AX1095*G1095</f>
        <v>1705</v>
      </c>
      <c r="BC1095" s="50" t="n">
        <f aca="false">ROUNDUP(MAX(J1095/IF(CD1095&gt;0,CD1095,MAX(0.1,N(Cockpit!$O$6))),CG1095)/BV1095,0)*BV1095</f>
        <v>100</v>
      </c>
      <c r="BD1095" s="51" t="n">
        <f aca="false">IF(BA1095&gt;0,J1095/BA1095,-1)</f>
        <v>5.75284137931035</v>
      </c>
      <c r="BE1095" s="51" t="str">
        <f aca="false">IF(AND(OR(CC1095="L1",CC1095="L23",CC1095="LIFT"),BA1095&gt;0),SUMIFS($BA$7:$BA$1843,$CC$7:$CC$1843,CC1095,$BD$7:$BD$1843,"&gt;"&amp;BD1095)+SUMIFS($BA$7:$BA$1843,$CC$7:$CC$1843,CC1095,$BD$7:$BD$1843,BD1095,$BT$7:$BT$1843,"&lt;="&amp;BT1095),"")</f>
        <v/>
      </c>
      <c r="BF1095" s="58" t="n">
        <f aca="false">IF(BE1095="",0,MAX(0,MIN(1,(IF(CC1095="L1",Parameter!$H$5,IF(CC1095="L23",Parameter!$H$6+Parameter!$H$7,Parameter!$H$5+Parameter!$H$6+Parameter!$H$7))-(BE1095-BA1095))/BA1095)))</f>
        <v>0</v>
      </c>
      <c r="BG1095" s="48" t="str">
        <f aca="false">IF(AI1095&lt;=0,"",IF(CC1095="Aussen","Aussenlager",IF(CC1095="-","Nicht im Lift",IF(AN1095&gt;=1,"Lift",IF(AN1095&lt;=0,"Aussenlager","teilweise")))))</f>
        <v>Nicht im Lift</v>
      </c>
      <c r="BH1095" s="48" t="str">
        <f aca="false">IF(AR1095&lt;=0,"",IF(CC1095="Aussen","Aussenlager",IF(CC1095="-","Nicht im Lift",IF(AW1095&gt;=1,"Lift",IF(AW1095&lt;=0,"Aussenlager","teilweise")))))</f>
        <v>Nicht im Lift</v>
      </c>
      <c r="BI1095" s="48" t="str">
        <f aca="false">IF(BA1095&lt;=0,"",IF(CC1095="Aussen","Aussenlager",IF(CC1095="-","Nicht im Lift",IF(BF1095&gt;=1,"Lift",IF(BF1095&lt;=0,"Aussenlager","teilweise")))))</f>
        <v>Nicht im Lift</v>
      </c>
      <c r="BJ1095" s="48" t="str">
        <f aca="false">IF(A1095="","",IF(BS1095=1,"Neu; ","")&amp;IF(AND(BS1095=0,BN1095&lt;0),"negativer Bestand (Export "&amp;BN1095&amp;"); ","")&amp;IF(J1095&lt;=0,"Kein Verbrauch; ","")&amp;IF(CL1095&gt;0,"Lift "&amp;W1095&amp;" lt. Liftbericht (Fach "&amp;X1095&amp;" Stk); ",IF(BX1095=1,"Gebinde geschätzt ("&amp;T1095&amp;"); ",IF(BW1095=1,"Lose – Tablare geschätzt; ","")))&amp;IF(H1095&gt;AT1095,"Überbestand "&amp;ROUND(H1095-AT1095,0)&amp;" Stk / CHF "&amp;ROUND((H1095-AT1095)*G1095,0)&amp;"; ","")&amp;IF(AND(CE1095=1,CF1095&lt;CG1095),"MAX &lt; MB+LG; ","")&amp;IF(AND(CK1095&gt;0,CJ1095*10&gt;CK1095),"zu hoch für Tablar; ","")&amp;IF(AND(BS1095=0,OR(CE1095=1,AA1095&lt;&gt;"",U1095&lt;&gt;"",V1095&lt;&gt;"",AB1095&lt;&gt;"")),"manuell übersteuert; ","")&amp;IF(AND(BW1095=0,R1095=0),"Gebinde unbekannt / Stellmass fehlt; ","")&amp;IF(AND(BW1095=0,N(V1095)&lt;=0,N(Q1095)&lt;=0),"Menge pro Gebinde fehlt (Ist = 1 Gebinde); ","")&amp;BR1095)</f>
        <v>negativer Bestand (Export -9.07999999999997); Gebinde geschätzt (Mittel); Menge pro Gebinde fehlt (Ist = 1 Gebinde); </v>
      </c>
      <c r="BK1095" s="48"/>
      <c r="BL1095" s="48"/>
      <c r="BM1095" s="55"/>
      <c r="BN1095" s="50" t="n">
        <v>-9.07999999999997</v>
      </c>
      <c r="BO1095" s="50" t="n">
        <v>41.2040000000001</v>
      </c>
      <c r="BP1095" s="49" t="n">
        <v>-202.62</v>
      </c>
      <c r="BQ1095" s="50" t="n">
        <v>139.027</v>
      </c>
      <c r="BR1095" s="48"/>
      <c r="BS1095" s="53" t="n">
        <v>0</v>
      </c>
      <c r="BT1095" s="53" t="n">
        <v>1095</v>
      </c>
      <c r="BU1095" s="48" t="str">
        <f aca="false">IF(U1095&lt;&gt;"",UPPER(TRIM(U1095)),IF(BX1095=1,UPPER(VLOOKUP(T1095,Parameter!$I$27:$K$29,2,0)),IF(P1095="","LOSE",P1095)))</f>
        <v>S61</v>
      </c>
      <c r="BV1095" s="50" t="n">
        <f aca="false">IF(BU1095="LOSE",1,IF(N(V1095)&gt;0,V1095,IF(BX1095=1,MAX(1,N(VLOOKUP(T1095,Parameter!$I$27:$K$29,3,0)),H1095,N(N1095)),IF(N(Q1095)&gt;0,Q1095,MAX(1,H1095)))))</f>
        <v>50</v>
      </c>
      <c r="BW1095" s="53" t="n">
        <f aca="false">IF(BU1095="LOSE",1,0)</f>
        <v>0</v>
      </c>
      <c r="BX1095" s="53" t="n">
        <f aca="false">IF(AND(U1095="",OR(P1095="",P1095="LOSE"),T1095&lt;&gt;"",N(S1095)&lt;=0,ISNUMBER(MATCH(T1095,Parameter!$I$27:$I$29,0))),1,0)</f>
        <v>1</v>
      </c>
      <c r="BY1095" s="53" t="n">
        <f aca="false">IF(CL1095&gt;0,INDEX(Parameter!$H$5:$H$7,W1095)/INDEX(Parameter!$E$5:$E$7,W1095),IF(AND(BW1095=0,N(IFERROR(VLOOKUP(BU1095,'Gebinde-Kategorie'!$A$5:$N$45,14,0),0))&gt;0),VLOOKUP(BU1095,'Gebinde-Kategorie'!$A$5:$N$45,14,0)*10+Parameter!$M$23,Parameter!$M$24))</f>
        <v>145</v>
      </c>
      <c r="BZ1095" s="48" t="str">
        <f aca="false">IF(AND(Parameter!$B$19="Ja",E1095&lt;&gt;"",ISNUMBER(MATCH(E1095,Parameter!$I$35:$I$52,0))),VLOOKUP(E1095,Parameter!$I$35:$J$52,2,0),IFERROR(VLOOKUP(D1095,Parameter!$A$35:$C$64,2,0),"Nein"))</f>
        <v>Nein</v>
      </c>
      <c r="CA1095" s="52" t="n">
        <f aca="false">IF(BW1095=0,0,IF(N(S1095)&gt;0,S1095,IFERROR(VLOOKUP(D1095,Parameter!$A$35:$C$64,3,0)+0,0)))</f>
        <v>0</v>
      </c>
      <c r="CB1095" s="48" t="str">
        <f aca="false">IF(AA1095&lt;&gt;"",AA1095,Z1095)</f>
        <v>-</v>
      </c>
      <c r="CC1095" s="48" t="str">
        <f aca="false">IF(OR(CB1095=1,CB1095=2,CB1095=3),IF(Parameter!$E$27="Ja","LIFT",IF(CB1095=1,"L1","L23")),IF(CB1095="Aussen","Aussen","-"))</f>
        <v>-</v>
      </c>
      <c r="CD1095" s="59" t="n">
        <f aca="false">IF(N(AB1095)&gt;0,AB1095,0)</f>
        <v>0</v>
      </c>
      <c r="CE1095" s="53" t="n">
        <f aca="false">IF(ISNUMBER(AE1095),1,0)</f>
        <v>0</v>
      </c>
      <c r="CF1095" s="50" t="n">
        <f aca="false">N(AE1095)</f>
        <v>0</v>
      </c>
      <c r="CG1095" s="50" t="n">
        <f aca="false">N(M1095)+N(N1095)</f>
        <v>58</v>
      </c>
      <c r="CH1095" s="50" t="n">
        <f aca="false">ROUNDUP(H1095/BV1095,0)</f>
        <v>1</v>
      </c>
      <c r="CI1095" s="50" t="n">
        <f aca="false">ROUNDUP(CF1095/BV1095,0)</f>
        <v>0</v>
      </c>
      <c r="CJ1095" s="53" t="n">
        <f aca="false">IF(BW1095=1,0,IFERROR(VLOOKUP(BU1095,'Gebinde-Kategorie'!$A$5:$N$45,5,0)+0,0))</f>
        <v>11</v>
      </c>
      <c r="CK1095" s="53" t="n">
        <f aca="false">IFERROR(IF(OR(CB1095=1,CB1095=2,CB1095=3),N(INDEX(Parameter!$I$5:$I$7,CB1095)),0),0)</f>
        <v>0</v>
      </c>
      <c r="CL1095" s="52" t="n">
        <f aca="false">IF(AND(Parameter!$B$21="Ja",ISNUMBER(W1095),N(X1095)&gt;0),IFERROR(N(INDEX(Parameter!$L$5:$L$7,W1095))*INDEX(Parameter!$E$5:$E$7,W1095)*X1095/SUMIFS($X$7:$X$1843,$W$7:$W$1843,W1095),0),0)</f>
        <v>0</v>
      </c>
    </row>
    <row r="1096" customFormat="false" ht="15" hidden="false" customHeight="false" outlineLevel="0" collapsed="false">
      <c r="A1096" s="48" t="s">
        <v>1998</v>
      </c>
      <c r="B1096" s="48" t="s">
        <v>1999</v>
      </c>
      <c r="C1096" s="48" t="s">
        <v>168</v>
      </c>
      <c r="D1096" s="48" t="s">
        <v>188</v>
      </c>
      <c r="E1096" s="48" t="s">
        <v>189</v>
      </c>
      <c r="F1096" s="48" t="s">
        <v>222</v>
      </c>
      <c r="G1096" s="49" t="n">
        <v>101.62</v>
      </c>
      <c r="H1096" s="50" t="n">
        <f aca="false">MAX(0,IF(AND(Parameter!$B$21="Ja",ISNUMBER(Y1096)),Y1096,IF(Parameter!$B$20="Jahresanfang 2025 + Export",BO1096+BN1096,BN1096)))</f>
        <v>9</v>
      </c>
      <c r="I1096" s="50" t="n">
        <f aca="false">H1096*G1096</f>
        <v>914.58</v>
      </c>
      <c r="J1096" s="50" t="n">
        <f aca="false">BQ1096*Parameter!$B$18</f>
        <v>2</v>
      </c>
      <c r="K1096" s="51" t="n">
        <v>10</v>
      </c>
      <c r="L1096" s="52" t="n">
        <v>0.2</v>
      </c>
      <c r="M1096" s="50" t="n">
        <v>0</v>
      </c>
      <c r="N1096" s="50" t="n">
        <v>1</v>
      </c>
      <c r="O1096" s="53" t="n">
        <v>21</v>
      </c>
      <c r="P1096" s="48" t="s">
        <v>332</v>
      </c>
      <c r="Q1096" s="50" t="n">
        <v>16</v>
      </c>
      <c r="R1096" s="53" t="n">
        <f aca="false">IF(BW1096=1,0,IFERROR(VLOOKUP(BU1096,'Gebinde-Kategorie'!$A$5:$N$45,13,0)+0,0))</f>
        <v>52</v>
      </c>
      <c r="S1096" s="54"/>
      <c r="T1096" s="55"/>
      <c r="U1096" s="55"/>
      <c r="V1096" s="55"/>
      <c r="W1096" s="48"/>
      <c r="X1096" s="50"/>
      <c r="Y1096" s="50"/>
      <c r="Z1096" s="48" t="n">
        <f aca="false">IF(A1096="","",IF(AND(Parameter!$B$21="Ja",ISNUMBER(W1096)),W1096,IF(BZ1096="2+3",IF(ISNUMBER(SEARCH("grosser Artikel",BR1096)),2,IFERROR(VLOOKUP(BU1096,Parameter!$F$35:$G$64,2,0),2)),IF(OR(BZ1096="Nein",BZ1096=""),"-",BZ1096))))</f>
        <v>3</v>
      </c>
      <c r="AA1096" s="55"/>
      <c r="AB1096" s="56"/>
      <c r="AC1096" s="50" t="n">
        <f aca="false">AT1096</f>
        <v>16</v>
      </c>
      <c r="AD1096" s="50" t="n">
        <f aca="false">MAX(AT1096,H1096)</f>
        <v>16</v>
      </c>
      <c r="AE1096" s="57"/>
      <c r="AF1096" s="50" t="n">
        <f aca="false">IF(LEFT(Cockpit!$C$5,1)="A",H1096,IF(CE1096=1,CF1096,IF(LEFT(Cockpit!$C$5,1)="B",AK1096,MAX(AK1096,H1096))))</f>
        <v>9</v>
      </c>
      <c r="AG1096" s="50" t="n">
        <f aca="false">IF(BW1096=1,0,ROUNDUP(AF1096/BV1096,0))</f>
        <v>1</v>
      </c>
      <c r="AH1096" s="52" t="n">
        <f aca="false">IF(CL1096&gt;0,CL1096*MAX(1,AF1096/X1096),IF(BW1096=1,IF(AF1096&lt;=0,0,CA1096*MAX(1,IF(H1096&gt;0,AF1096/H1096,1))),IF(R1096&gt;0,AG1096/R1096,0))/MAX(0.1,N(Parameter!$M$21)))</f>
        <v>0.0192307692307692</v>
      </c>
      <c r="AI1096" s="50" t="n">
        <f aca="false">AH1096*BY1096</f>
        <v>2.98076923076923</v>
      </c>
      <c r="AJ1096" s="50" t="n">
        <f aca="false">AF1096*G1096</f>
        <v>914.58</v>
      </c>
      <c r="AK1096" s="50" t="n">
        <f aca="false">ROUNDUP(MAX(J1096/IF(CD1096&gt;0,CD1096,MAX(0.1,N(Cockpit!$C$6))),CG1096)/BV1096,0)*BV1096</f>
        <v>16</v>
      </c>
      <c r="AL1096" s="51" t="n">
        <f aca="false">IF(AI1096&gt;0,J1096/AI1096,-1)</f>
        <v>0.670967741935484</v>
      </c>
      <c r="AM1096" s="51" t="n">
        <f aca="false">IF(AND(OR(CC1096="L1",CC1096="L23",CC1096="LIFT"),AI1096&gt;0),SUMIFS($AI$7:$AI$1843,$CC$7:$CC$1843,CC1096,$AL$7:$AL$1843,"&gt;"&amp;AL1096)+SUMIFS($AI$7:$AI$1843,$CC$7:$CC$1843,CC1096,$AL$7:$AL$1843,AL1096,$BT$7:$BT$1843,"&lt;="&amp;BT1096),"")</f>
        <v>8633.9967948718</v>
      </c>
      <c r="AN1096" s="58" t="n">
        <f aca="false">IF(AM1096="",0,MAX(0,MIN(1,(IF(CC1096="L1",Parameter!$H$5,IF(CC1096="L23",Parameter!$H$6+Parameter!$H$7,Parameter!$H$5+Parameter!$H$6+Parameter!$H$7))-(AM1096-AI1096))/AI1096)))</f>
        <v>1</v>
      </c>
      <c r="AO1096" s="50" t="n">
        <f aca="false">IF(LEFT(Cockpit!$I$5,1)="A",H1096,IF(CE1096=1,CF1096,IF(LEFT(Cockpit!$I$5,1)="B",AT1096,MAX(AT1096,H1096))))</f>
        <v>16</v>
      </c>
      <c r="AP1096" s="50" t="n">
        <f aca="false">IF(BW1096=1,0,ROUNDUP(AO1096/BV1096,0))</f>
        <v>1</v>
      </c>
      <c r="AQ1096" s="52" t="n">
        <f aca="false">IF(CL1096&gt;0,CL1096*MAX(1,AO1096/X1096),IF(BW1096=1,IF(AO1096&lt;=0,0,CA1096*MAX(1,IF(H1096&gt;0,AO1096/H1096,1))),IF(R1096&gt;0,AP1096/R1096,0))/MAX(0.1,N(Parameter!$M$21)))</f>
        <v>0.0192307692307692</v>
      </c>
      <c r="AR1096" s="50" t="n">
        <f aca="false">AQ1096*BY1096</f>
        <v>2.98076923076923</v>
      </c>
      <c r="AS1096" s="50" t="n">
        <f aca="false">AO1096*G1096</f>
        <v>1625.92</v>
      </c>
      <c r="AT1096" s="50" t="n">
        <f aca="false">ROUNDUP(MAX(J1096/IF(CD1096&gt;0,CD1096,MAX(0.1,N(Cockpit!$I$6))),CG1096)/BV1096,0)*BV1096</f>
        <v>16</v>
      </c>
      <c r="AU1096" s="51" t="n">
        <f aca="false">IF(AR1096&gt;0,J1096/AR1096,-1)</f>
        <v>0.670967741935484</v>
      </c>
      <c r="AV1096" s="51" t="n">
        <f aca="false">IF(AND(OR(CC1096="L1",CC1096="L23",CC1096="LIFT"),AR1096&gt;0),SUMIFS($AR$7:$AR$1843,$CC$7:$CC$1843,CC1096,$AU$7:$AU$1843,"&gt;"&amp;AU1096)+SUMIFS($AR$7:$AR$1843,$CC$7:$CC$1843,CC1096,$AU$7:$AU$1843,AU1096,$BT$7:$BT$1843,"&lt;="&amp;BT1096),"")</f>
        <v>11776.119047619</v>
      </c>
      <c r="AW1096" s="58" t="n">
        <f aca="false">IF(AV1096="",0,MAX(0,MIN(1,(IF(CC1096="L1",Parameter!$H$5,IF(CC1096="L23",Parameter!$H$6+Parameter!$H$7,Parameter!$H$5+Parameter!$H$6+Parameter!$H$7))-(AV1096-AR1096))/AR1096)))</f>
        <v>1</v>
      </c>
      <c r="AX1096" s="50" t="n">
        <f aca="false">IF(LEFT(Cockpit!$O$5,1)="A",H1096,IF(CE1096=1,CF1096,IF(LEFT(Cockpit!$O$5,1)="B",BC1096,MAX(BC1096,H1096))))</f>
        <v>16</v>
      </c>
      <c r="AY1096" s="50" t="n">
        <f aca="false">IF(BW1096=1,0,ROUNDUP(AX1096/BV1096,0))</f>
        <v>1</v>
      </c>
      <c r="AZ1096" s="52" t="n">
        <f aca="false">IF(CL1096&gt;0,CL1096*MAX(1,AX1096/X1096),IF(BW1096=1,IF(AX1096&lt;=0,0,CA1096*MAX(1,IF(H1096&gt;0,AX1096/H1096,1))),IF(R1096&gt;0,AY1096/R1096,0))/MAX(0.1,N(Parameter!$M$21)))</f>
        <v>0.0192307692307692</v>
      </c>
      <c r="BA1096" s="50" t="n">
        <f aca="false">AZ1096*BY1096</f>
        <v>2.98076923076923</v>
      </c>
      <c r="BB1096" s="50" t="n">
        <f aca="false">AX1096*G1096</f>
        <v>1625.92</v>
      </c>
      <c r="BC1096" s="50" t="n">
        <f aca="false">ROUNDUP(MAX(J1096/IF(CD1096&gt;0,CD1096,MAX(0.1,N(Cockpit!$O$6))),CG1096)/BV1096,0)*BV1096</f>
        <v>16</v>
      </c>
      <c r="BD1096" s="51" t="n">
        <f aca="false">IF(BA1096&gt;0,J1096/BA1096,-1)</f>
        <v>0.670967741935484</v>
      </c>
      <c r="BE1096" s="51" t="n">
        <f aca="false">IF(AND(OR(CC1096="L1",CC1096="L23",CC1096="LIFT"),BA1096&gt;0),SUMIFS($BA$7:$BA$1843,$CC$7:$CC$1843,CC1096,$BD$7:$BD$1843,"&gt;"&amp;BD1096)+SUMIFS($BA$7:$BA$1843,$CC$7:$CC$1843,CC1096,$BD$7:$BD$1843,BD1096,$BT$7:$BT$1843,"&lt;="&amp;BT1096),"")</f>
        <v>11375.9427655678</v>
      </c>
      <c r="BF1096" s="58" t="n">
        <f aca="false">IF(BE1096="",0,MAX(0,MIN(1,(IF(CC1096="L1",Parameter!$H$5,IF(CC1096="L23",Parameter!$H$6+Parameter!$H$7,Parameter!$H$5+Parameter!$H$6+Parameter!$H$7))-(BE1096-BA1096))/BA1096)))</f>
        <v>1</v>
      </c>
      <c r="BG1096" s="48" t="str">
        <f aca="false">IF(AI1096&lt;=0,"",IF(CC1096="Aussen","Aussenlager",IF(CC1096="-","Nicht im Lift",IF(AN1096&gt;=1,"Lift",IF(AN1096&lt;=0,"Aussenlager","teilweise")))))</f>
        <v>Lift</v>
      </c>
      <c r="BH1096" s="48" t="str">
        <f aca="false">IF(AR1096&lt;=0,"",IF(CC1096="Aussen","Aussenlager",IF(CC1096="-","Nicht im Lift",IF(AW1096&gt;=1,"Lift",IF(AW1096&lt;=0,"Aussenlager","teilweise")))))</f>
        <v>Lift</v>
      </c>
      <c r="BI1096" s="48" t="str">
        <f aca="false">IF(BA1096&lt;=0,"",IF(CC1096="Aussen","Aussenlager",IF(CC1096="-","Nicht im Lift",IF(BF1096&gt;=1,"Lift",IF(BF1096&lt;=0,"Aussenlager","teilweise")))))</f>
        <v>Lift</v>
      </c>
      <c r="BJ1096" s="48" t="str">
        <f aca="false">IF(A1096="","",IF(BS1096=1,"Neu; ","")&amp;IF(AND(BS1096=0,BN1096&lt;0),"negativer Bestand (Export "&amp;BN1096&amp;"); ","")&amp;IF(J1096&lt;=0,"Kein Verbrauch; ","")&amp;IF(CL1096&gt;0,"Lift "&amp;W1096&amp;" lt. Liftbericht (Fach "&amp;X1096&amp;" Stk); ",IF(BX1096=1,"Gebinde geschätzt ("&amp;T1096&amp;"); ",IF(BW1096=1,"Lose – Tablare geschätzt; ","")))&amp;IF(H1096&gt;AT1096,"Überbestand "&amp;ROUND(H1096-AT1096,0)&amp;" Stk / CHF "&amp;ROUND((H1096-AT1096)*G1096,0)&amp;"; ","")&amp;IF(AND(CE1096=1,CF1096&lt;CG1096),"MAX &lt; MB+LG; ","")&amp;IF(AND(CK1096&gt;0,CJ1096*10&gt;CK1096),"zu hoch für Tablar; ","")&amp;IF(AND(BS1096=0,OR(CE1096=1,AA1096&lt;&gt;"",U1096&lt;&gt;"",V1096&lt;&gt;"",AB1096&lt;&gt;"")),"manuell übersteuert; ","")&amp;IF(AND(BW1096=0,R1096=0),"Gebinde unbekannt / Stellmass fehlt; ","")&amp;IF(AND(BW1096=0,N(V1096)&lt;=0,N(Q1096)&lt;=0),"Menge pro Gebinde fehlt (Ist = 1 Gebinde); ","")&amp;BR1096)</f>
        <v>negativer Bestand (Export -2); </v>
      </c>
      <c r="BK1096" s="48"/>
      <c r="BL1096" s="48"/>
      <c r="BM1096" s="55"/>
      <c r="BN1096" s="50" t="n">
        <v>-2</v>
      </c>
      <c r="BO1096" s="50" t="n">
        <v>11</v>
      </c>
      <c r="BP1096" s="49" t="n">
        <v>-203.24</v>
      </c>
      <c r="BQ1096" s="50" t="n">
        <v>2</v>
      </c>
      <c r="BR1096" s="48"/>
      <c r="BS1096" s="53" t="n">
        <v>0</v>
      </c>
      <c r="BT1096" s="53" t="n">
        <v>1096</v>
      </c>
      <c r="BU1096" s="48" t="str">
        <f aca="false">IF(U1096&lt;&gt;"",UPPER(TRIM(U1096)),IF(BX1096=1,UPPER(VLOOKUP(T1096,Parameter!$I$27:$K$29,2,0)),IF(P1096="","LOSE",P1096)))</f>
        <v>S41</v>
      </c>
      <c r="BV1096" s="50" t="n">
        <f aca="false">IF(BU1096="LOSE",1,IF(N(V1096)&gt;0,V1096,IF(BX1096=1,MAX(1,N(VLOOKUP(T1096,Parameter!$I$27:$K$29,3,0)),H1096,N(N1096)),IF(N(Q1096)&gt;0,Q1096,MAX(1,H1096)))))</f>
        <v>16</v>
      </c>
      <c r="BW1096" s="53" t="n">
        <f aca="false">IF(BU1096="LOSE",1,0)</f>
        <v>0</v>
      </c>
      <c r="BX1096" s="53" t="n">
        <f aca="false">IF(AND(U1096="",OR(P1096="",P1096="LOSE"),T1096&lt;&gt;"",N(S1096)&lt;=0,ISNUMBER(MATCH(T1096,Parameter!$I$27:$I$29,0))),1,0)</f>
        <v>0</v>
      </c>
      <c r="BY1096" s="53" t="n">
        <f aca="false">IF(CL1096&gt;0,INDEX(Parameter!$H$5:$H$7,W1096)/INDEX(Parameter!$E$5:$E$7,W1096),IF(AND(BW1096=0,N(IFERROR(VLOOKUP(BU1096,'Gebinde-Kategorie'!$A$5:$N$45,14,0),0))&gt;0),VLOOKUP(BU1096,'Gebinde-Kategorie'!$A$5:$N$45,14,0)*10+Parameter!$M$23,Parameter!$M$24))</f>
        <v>155</v>
      </c>
      <c r="BZ1096" s="48" t="str">
        <f aca="false">IF(AND(Parameter!$B$19="Ja",E1096&lt;&gt;"",ISNUMBER(MATCH(E1096,Parameter!$I$35:$I$52,0))),VLOOKUP(E1096,Parameter!$I$35:$J$52,2,0),IFERROR(VLOOKUP(D1096,Parameter!$A$35:$C$64,2,0),"Nein"))</f>
        <v>2+3</v>
      </c>
      <c r="CA1096" s="52" t="n">
        <f aca="false">IF(BW1096=0,0,IF(N(S1096)&gt;0,S1096,IFERROR(VLOOKUP(D1096,Parameter!$A$35:$C$64,3,0)+0,0)))</f>
        <v>0</v>
      </c>
      <c r="CB1096" s="48" t="n">
        <f aca="false">IF(AA1096&lt;&gt;"",AA1096,Z1096)</f>
        <v>3</v>
      </c>
      <c r="CC1096" s="48" t="str">
        <f aca="false">IF(OR(CB1096=1,CB1096=2,CB1096=3),IF(Parameter!$E$27="Ja","LIFT",IF(CB1096=1,"L1","L23")),IF(CB1096="Aussen","Aussen","-"))</f>
        <v>LIFT</v>
      </c>
      <c r="CD1096" s="59" t="n">
        <f aca="false">IF(N(AB1096)&gt;0,AB1096,0)</f>
        <v>0</v>
      </c>
      <c r="CE1096" s="53" t="n">
        <f aca="false">IF(ISNUMBER(AE1096),1,0)</f>
        <v>0</v>
      </c>
      <c r="CF1096" s="50" t="n">
        <f aca="false">N(AE1096)</f>
        <v>0</v>
      </c>
      <c r="CG1096" s="50" t="n">
        <f aca="false">N(M1096)+N(N1096)</f>
        <v>1</v>
      </c>
      <c r="CH1096" s="50" t="n">
        <f aca="false">ROUNDUP(H1096/BV1096,0)</f>
        <v>1</v>
      </c>
      <c r="CI1096" s="50" t="n">
        <f aca="false">ROUNDUP(CF1096/BV1096,0)</f>
        <v>0</v>
      </c>
      <c r="CJ1096" s="53" t="n">
        <f aca="false">IF(BW1096=1,0,IFERROR(VLOOKUP(BU1096,'Gebinde-Kategorie'!$A$5:$N$45,5,0)+0,0))</f>
        <v>11</v>
      </c>
      <c r="CK1096" s="53" t="n">
        <f aca="false">IFERROR(IF(OR(CB1096=1,CB1096=2,CB1096=3),N(INDEX(Parameter!$I$5:$I$7,CB1096)),0),0)</f>
        <v>0</v>
      </c>
      <c r="CL1096" s="52" t="n">
        <f aca="false">IF(AND(Parameter!$B$21="Ja",ISNUMBER(W1096),N(X1096)&gt;0),IFERROR(N(INDEX(Parameter!$L$5:$L$7,W1096))*INDEX(Parameter!$E$5:$E$7,W1096)*X1096/SUMIFS($X$7:$X$1843,$W$7:$W$1843,W1096),0),0)</f>
        <v>0</v>
      </c>
    </row>
    <row r="1097" customFormat="false" ht="15" hidden="false" customHeight="false" outlineLevel="0" collapsed="false">
      <c r="A1097" s="48" t="s">
        <v>2000</v>
      </c>
      <c r="B1097" s="48" t="s">
        <v>2001</v>
      </c>
      <c r="C1097" s="48" t="s">
        <v>168</v>
      </c>
      <c r="D1097" s="48" t="s">
        <v>177</v>
      </c>
      <c r="E1097" s="48"/>
      <c r="F1097" s="48" t="s">
        <v>222</v>
      </c>
      <c r="G1097" s="49" t="n">
        <v>205.4</v>
      </c>
      <c r="H1097" s="50" t="n">
        <f aca="false">MAX(0,IF(AND(Parameter!$B$21="Ja",ISNUMBER(Y1097)),Y1097,IF(Parameter!$B$20="Jahresanfang 2025 + Export",BO1097+BN1097,BN1097)))</f>
        <v>22</v>
      </c>
      <c r="I1097" s="50" t="n">
        <f aca="false">H1097*G1097</f>
        <v>4518.8</v>
      </c>
      <c r="J1097" s="50" t="n">
        <f aca="false">BQ1097*Parameter!$B$18</f>
        <v>0</v>
      </c>
      <c r="K1097" s="51" t="n">
        <v>22.5</v>
      </c>
      <c r="L1097" s="52" t="n">
        <v>0</v>
      </c>
      <c r="M1097" s="50" t="n">
        <v>0</v>
      </c>
      <c r="N1097" s="50" t="n">
        <v>1</v>
      </c>
      <c r="O1097" s="53" t="n">
        <v>28</v>
      </c>
      <c r="P1097" s="48" t="s">
        <v>178</v>
      </c>
      <c r="Q1097" s="50" t="n">
        <v>24</v>
      </c>
      <c r="R1097" s="53" t="n">
        <f aca="false">IF(BW1097=1,0,IFERROR(VLOOKUP(BU1097,'Gebinde-Kategorie'!$A$5:$N$45,13,0)+0,0))</f>
        <v>6</v>
      </c>
      <c r="S1097" s="54"/>
      <c r="T1097" s="55"/>
      <c r="U1097" s="55"/>
      <c r="V1097" s="55"/>
      <c r="W1097" s="48"/>
      <c r="X1097" s="50"/>
      <c r="Y1097" s="50"/>
      <c r="Z1097" s="48" t="n">
        <f aca="false">IF(A1097="","",IF(AND(Parameter!$B$21="Ja",ISNUMBER(W1097)),W1097,IF(BZ1097="2+3",IF(ISNUMBER(SEARCH("grosser Artikel",BR1097)),2,IFERROR(VLOOKUP(BU1097,Parameter!$F$35:$G$64,2,0),2)),IF(OR(BZ1097="Nein",BZ1097=""),"-",BZ1097))))</f>
        <v>2</v>
      </c>
      <c r="AA1097" s="55"/>
      <c r="AB1097" s="56"/>
      <c r="AC1097" s="50" t="n">
        <f aca="false">AT1097</f>
        <v>24</v>
      </c>
      <c r="AD1097" s="50" t="n">
        <f aca="false">MAX(AT1097,H1097)</f>
        <v>24</v>
      </c>
      <c r="AE1097" s="57"/>
      <c r="AF1097" s="50" t="n">
        <f aca="false">IF(LEFT(Cockpit!$C$5,1)="A",H1097,IF(CE1097=1,CF1097,IF(LEFT(Cockpit!$C$5,1)="B",AK1097,MAX(AK1097,H1097))))</f>
        <v>22</v>
      </c>
      <c r="AG1097" s="50" t="n">
        <f aca="false">IF(BW1097=1,0,ROUNDUP(AF1097/BV1097,0))</f>
        <v>1</v>
      </c>
      <c r="AH1097" s="52" t="n">
        <f aca="false">IF(CL1097&gt;0,CL1097*MAX(1,AF1097/X1097),IF(BW1097=1,IF(AF1097&lt;=0,0,CA1097*MAX(1,IF(H1097&gt;0,AF1097/H1097,1))),IF(R1097&gt;0,AG1097/R1097,0))/MAX(0.1,N(Parameter!$M$21)))</f>
        <v>0.166666666666667</v>
      </c>
      <c r="AI1097" s="50" t="n">
        <f aca="false">AH1097*BY1097</f>
        <v>39.1666666666667</v>
      </c>
      <c r="AJ1097" s="50" t="n">
        <f aca="false">AF1097*G1097</f>
        <v>4518.8</v>
      </c>
      <c r="AK1097" s="50" t="n">
        <f aca="false">ROUNDUP(MAX(J1097/IF(CD1097&gt;0,CD1097,MAX(0.1,N(Cockpit!$C$6))),CG1097)/BV1097,0)*BV1097</f>
        <v>24</v>
      </c>
      <c r="AL1097" s="51" t="n">
        <f aca="false">IF(AI1097&gt;0,J1097/AI1097,-1)</f>
        <v>0</v>
      </c>
      <c r="AM1097" s="51" t="n">
        <f aca="false">IF(AND(OR(CC1097="L1",CC1097="L23",CC1097="LIFT"),AI1097&gt;0),SUMIFS($AI$7:$AI$1843,$CC$7:$CC$1843,CC1097,$AL$7:$AL$1843,"&gt;"&amp;AL1097)+SUMIFS($AI$7:$AI$1843,$CC$7:$CC$1843,CC1097,$AL$7:$AL$1843,AL1097,$BT$7:$BT$1843,"&lt;="&amp;BT1097),"")</f>
        <v>29133.3884465346</v>
      </c>
      <c r="AN1097" s="58" t="n">
        <f aca="false">IF(AM1097="",0,MAX(0,MIN(1,(IF(CC1097="L1",Parameter!$H$5,IF(CC1097="L23",Parameter!$H$6+Parameter!$H$7,Parameter!$H$5+Parameter!$H$6+Parameter!$H$7))-(AM1097-AI1097))/AI1097)))</f>
        <v>1</v>
      </c>
      <c r="AO1097" s="50" t="n">
        <f aca="false">IF(LEFT(Cockpit!$I$5,1)="A",H1097,IF(CE1097=1,CF1097,IF(LEFT(Cockpit!$I$5,1)="B",AT1097,MAX(AT1097,H1097))))</f>
        <v>24</v>
      </c>
      <c r="AP1097" s="50" t="n">
        <f aca="false">IF(BW1097=1,0,ROUNDUP(AO1097/BV1097,0))</f>
        <v>1</v>
      </c>
      <c r="AQ1097" s="52" t="n">
        <f aca="false">IF(CL1097&gt;0,CL1097*MAX(1,AO1097/X1097),IF(BW1097=1,IF(AO1097&lt;=0,0,CA1097*MAX(1,IF(H1097&gt;0,AO1097/H1097,1))),IF(R1097&gt;0,AP1097/R1097,0))/MAX(0.1,N(Parameter!$M$21)))</f>
        <v>0.166666666666667</v>
      </c>
      <c r="AR1097" s="50" t="n">
        <f aca="false">AQ1097*BY1097</f>
        <v>39.1666666666667</v>
      </c>
      <c r="AS1097" s="50" t="n">
        <f aca="false">AO1097*G1097</f>
        <v>4929.6</v>
      </c>
      <c r="AT1097" s="50" t="n">
        <f aca="false">ROUNDUP(MAX(J1097/IF(CD1097&gt;0,CD1097,MAX(0.1,N(Cockpit!$I$6))),CG1097)/BV1097,0)*BV1097</f>
        <v>24</v>
      </c>
      <c r="AU1097" s="51" t="n">
        <f aca="false">IF(AR1097&gt;0,J1097/AR1097,-1)</f>
        <v>0</v>
      </c>
      <c r="AV1097" s="51" t="n">
        <f aca="false">IF(AND(OR(CC1097="L1",CC1097="L23",CC1097="LIFT"),AR1097&gt;0),SUMIFS($AR$7:$AR$1843,$CC$7:$CC$1843,CC1097,$AU$7:$AU$1843,"&gt;"&amp;AU1097)+SUMIFS($AR$7:$AR$1843,$CC$7:$CC$1843,CC1097,$AU$7:$AU$1843,AU1097,$BT$7:$BT$1843,"&lt;="&amp;BT1097),"")</f>
        <v>40813.9555938412</v>
      </c>
      <c r="AW1097" s="58" t="n">
        <f aca="false">IF(AV1097="",0,MAX(0,MIN(1,(IF(CC1097="L1",Parameter!$H$5,IF(CC1097="L23",Parameter!$H$6+Parameter!$H$7,Parameter!$H$5+Parameter!$H$6+Parameter!$H$7))-(AV1097-AR1097))/AR1097)))</f>
        <v>0</v>
      </c>
      <c r="AX1097" s="50" t="n">
        <f aca="false">IF(LEFT(Cockpit!$O$5,1)="A",H1097,IF(CE1097=1,CF1097,IF(LEFT(Cockpit!$O$5,1)="B",BC1097,MAX(BC1097,H1097))))</f>
        <v>24</v>
      </c>
      <c r="AY1097" s="50" t="n">
        <f aca="false">IF(BW1097=1,0,ROUNDUP(AX1097/BV1097,0))</f>
        <v>1</v>
      </c>
      <c r="AZ1097" s="52" t="n">
        <f aca="false">IF(CL1097&gt;0,CL1097*MAX(1,AX1097/X1097),IF(BW1097=1,IF(AX1097&lt;=0,0,CA1097*MAX(1,IF(H1097&gt;0,AX1097/H1097,1))),IF(R1097&gt;0,AY1097/R1097,0))/MAX(0.1,N(Parameter!$M$21)))</f>
        <v>0.166666666666667</v>
      </c>
      <c r="BA1097" s="50" t="n">
        <f aca="false">AZ1097*BY1097</f>
        <v>39.1666666666667</v>
      </c>
      <c r="BB1097" s="50" t="n">
        <f aca="false">AX1097*G1097</f>
        <v>4929.6</v>
      </c>
      <c r="BC1097" s="50" t="n">
        <f aca="false">ROUNDUP(MAX(J1097/IF(CD1097&gt;0,CD1097,MAX(0.1,N(Cockpit!$O$6))),CG1097)/BV1097,0)*BV1097</f>
        <v>24</v>
      </c>
      <c r="BD1097" s="51" t="n">
        <f aca="false">IF(BA1097&gt;0,J1097/BA1097,-1)</f>
        <v>0</v>
      </c>
      <c r="BE1097" s="51" t="n">
        <f aca="false">IF(AND(OR(CC1097="L1",CC1097="L23",CC1097="LIFT"),BA1097&gt;0),SUMIFS($BA$7:$BA$1843,$CC$7:$CC$1843,CC1097,$BD$7:$BD$1843,"&gt;"&amp;BD1097)+SUMIFS($BA$7:$BA$1843,$CC$7:$CC$1843,CC1097,$BD$7:$BD$1843,BD1097,$BT$7:$BT$1843,"&lt;="&amp;BT1097),"")</f>
        <v>37488.967635707</v>
      </c>
      <c r="BF1097" s="58" t="n">
        <f aca="false">IF(BE1097="",0,MAX(0,MIN(1,(IF(CC1097="L1",Parameter!$H$5,IF(CC1097="L23",Parameter!$H$6+Parameter!$H$7,Parameter!$H$5+Parameter!$H$6+Parameter!$H$7))-(BE1097-BA1097))/BA1097)))</f>
        <v>0</v>
      </c>
      <c r="BG1097" s="48" t="str">
        <f aca="false">IF(AI1097&lt;=0,"",IF(CC1097="Aussen","Aussenlager",IF(CC1097="-","Nicht im Lift",IF(AN1097&gt;=1,"Lift",IF(AN1097&lt;=0,"Aussenlager","teilweise")))))</f>
        <v>Lift</v>
      </c>
      <c r="BH1097" s="48" t="str">
        <f aca="false">IF(AR1097&lt;=0,"",IF(CC1097="Aussen","Aussenlager",IF(CC1097="-","Nicht im Lift",IF(AW1097&gt;=1,"Lift",IF(AW1097&lt;=0,"Aussenlager","teilweise")))))</f>
        <v>Aussenlager</v>
      </c>
      <c r="BI1097" s="48" t="str">
        <f aca="false">IF(BA1097&lt;=0,"",IF(CC1097="Aussen","Aussenlager",IF(CC1097="-","Nicht im Lift",IF(BF1097&gt;=1,"Lift",IF(BF1097&lt;=0,"Aussenlager","teilweise")))))</f>
        <v>Aussenlager</v>
      </c>
      <c r="BJ1097" s="48" t="str">
        <f aca="false">IF(A1097="","",IF(BS1097=1,"Neu; ","")&amp;IF(AND(BS1097=0,BN1097&lt;0),"negativer Bestand (Export "&amp;BN1097&amp;"); ","")&amp;IF(J1097&lt;=0,"Kein Verbrauch; ","")&amp;IF(CL1097&gt;0,"Lift "&amp;W1097&amp;" lt. Liftbericht (Fach "&amp;X1097&amp;" Stk); ",IF(BX1097=1,"Gebinde geschätzt ("&amp;T1097&amp;"); ",IF(BW1097=1,"Lose – Tablare geschätzt; ","")))&amp;IF(H1097&gt;AT1097,"Überbestand "&amp;ROUND(H1097-AT1097,0)&amp;" Stk / CHF "&amp;ROUND((H1097-AT1097)*G1097,0)&amp;"; ","")&amp;IF(AND(CE1097=1,CF1097&lt;CG1097),"MAX &lt; MB+LG; ","")&amp;IF(AND(CK1097&gt;0,CJ1097*10&gt;CK1097),"zu hoch für Tablar; ","")&amp;IF(AND(BS1097=0,OR(CE1097=1,AA1097&lt;&gt;"",U1097&lt;&gt;"",V1097&lt;&gt;"",AB1097&lt;&gt;"")),"manuell übersteuert; ","")&amp;IF(AND(BW1097=0,R1097=0),"Gebinde unbekannt / Stellmass fehlt; ","")&amp;IF(AND(BW1097=0,N(V1097)&lt;=0,N(Q1097)&lt;=0),"Menge pro Gebinde fehlt (Ist = 1 Gebinde); ","")&amp;BR1097)</f>
        <v>negativer Bestand (Export -1); Kein Verbrauch; </v>
      </c>
      <c r="BK1097" s="48"/>
      <c r="BL1097" s="48"/>
      <c r="BM1097" s="55"/>
      <c r="BN1097" s="50" t="n">
        <v>-1</v>
      </c>
      <c r="BO1097" s="50" t="n">
        <v>23</v>
      </c>
      <c r="BP1097" s="49" t="n">
        <v>-205.4</v>
      </c>
      <c r="BQ1097" s="50" t="n">
        <v>0</v>
      </c>
      <c r="BR1097" s="48"/>
      <c r="BS1097" s="53" t="n">
        <v>0</v>
      </c>
      <c r="BT1097" s="53" t="n">
        <v>1097</v>
      </c>
      <c r="BU1097" s="48" t="str">
        <f aca="false">IF(U1097&lt;&gt;"",UPPER(TRIM(U1097)),IF(BX1097=1,UPPER(VLOOKUP(T1097,Parameter!$I$27:$K$29,2,0)),IF(P1097="","LOSE",P1097)))</f>
        <v>S71</v>
      </c>
      <c r="BV1097" s="50" t="n">
        <f aca="false">IF(BU1097="LOSE",1,IF(N(V1097)&gt;0,V1097,IF(BX1097=1,MAX(1,N(VLOOKUP(T1097,Parameter!$I$27:$K$29,3,0)),H1097,N(N1097)),IF(N(Q1097)&gt;0,Q1097,MAX(1,H1097)))))</f>
        <v>24</v>
      </c>
      <c r="BW1097" s="53" t="n">
        <f aca="false">IF(BU1097="LOSE",1,0)</f>
        <v>0</v>
      </c>
      <c r="BX1097" s="53" t="n">
        <f aca="false">IF(AND(U1097="",OR(P1097="",P1097="LOSE"),T1097&lt;&gt;"",N(S1097)&lt;=0,ISNUMBER(MATCH(T1097,Parameter!$I$27:$I$29,0))),1,0)</f>
        <v>0</v>
      </c>
      <c r="BY1097" s="53" t="n">
        <f aca="false">IF(CL1097&gt;0,INDEX(Parameter!$H$5:$H$7,W1097)/INDEX(Parameter!$E$5:$E$7,W1097),IF(AND(BW1097=0,N(IFERROR(VLOOKUP(BU1097,'Gebinde-Kategorie'!$A$5:$N$45,14,0),0))&gt;0),VLOOKUP(BU1097,'Gebinde-Kategorie'!$A$5:$N$45,14,0)*10+Parameter!$M$23,Parameter!$M$24))</f>
        <v>235</v>
      </c>
      <c r="BZ1097" s="48" t="str">
        <f aca="false">IF(AND(Parameter!$B$19="Ja",E1097&lt;&gt;"",ISNUMBER(MATCH(E1097,Parameter!$I$35:$I$52,0))),VLOOKUP(E1097,Parameter!$I$35:$J$52,2,0),IFERROR(VLOOKUP(D1097,Parameter!$A$35:$C$64,2,0),"Nein"))</f>
        <v>2+3</v>
      </c>
      <c r="CA1097" s="52" t="n">
        <f aca="false">IF(BW1097=0,0,IF(N(S1097)&gt;0,S1097,IFERROR(VLOOKUP(D1097,Parameter!$A$35:$C$64,3,0)+0,0)))</f>
        <v>0</v>
      </c>
      <c r="CB1097" s="48" t="n">
        <f aca="false">IF(AA1097&lt;&gt;"",AA1097,Z1097)</f>
        <v>2</v>
      </c>
      <c r="CC1097" s="48" t="str">
        <f aca="false">IF(OR(CB1097=1,CB1097=2,CB1097=3),IF(Parameter!$E$27="Ja","LIFT",IF(CB1097=1,"L1","L23")),IF(CB1097="Aussen","Aussen","-"))</f>
        <v>LIFT</v>
      </c>
      <c r="CD1097" s="59" t="n">
        <f aca="false">IF(N(AB1097)&gt;0,AB1097,0)</f>
        <v>0</v>
      </c>
      <c r="CE1097" s="53" t="n">
        <f aca="false">IF(ISNUMBER(AE1097),1,0)</f>
        <v>0</v>
      </c>
      <c r="CF1097" s="50" t="n">
        <f aca="false">N(AE1097)</f>
        <v>0</v>
      </c>
      <c r="CG1097" s="50" t="n">
        <f aca="false">N(M1097)+N(N1097)</f>
        <v>1</v>
      </c>
      <c r="CH1097" s="50" t="n">
        <f aca="false">ROUNDUP(H1097/BV1097,0)</f>
        <v>1</v>
      </c>
      <c r="CI1097" s="50" t="n">
        <f aca="false">ROUNDUP(CF1097/BV1097,0)</f>
        <v>0</v>
      </c>
      <c r="CJ1097" s="53" t="n">
        <f aca="false">IF(BW1097=1,0,IFERROR(VLOOKUP(BU1097,'Gebinde-Kategorie'!$A$5:$N$45,5,0)+0,0))</f>
        <v>20</v>
      </c>
      <c r="CK1097" s="53" t="n">
        <f aca="false">IFERROR(IF(OR(CB1097=1,CB1097=2,CB1097=3),N(INDEX(Parameter!$I$5:$I$7,CB1097)),0),0)</f>
        <v>0</v>
      </c>
      <c r="CL1097" s="52" t="n">
        <f aca="false">IF(AND(Parameter!$B$21="Ja",ISNUMBER(W1097),N(X1097)&gt;0),IFERROR(N(INDEX(Parameter!$L$5:$L$7,W1097))*INDEX(Parameter!$E$5:$E$7,W1097)*X1097/SUMIFS($X$7:$X$1843,$W$7:$W$1843,W1097),0),0)</f>
        <v>0</v>
      </c>
    </row>
    <row r="1098" customFormat="false" ht="15" hidden="false" customHeight="false" outlineLevel="0" collapsed="false">
      <c r="A1098" s="48" t="s">
        <v>2002</v>
      </c>
      <c r="B1098" s="48" t="s">
        <v>511</v>
      </c>
      <c r="C1098" s="48" t="s">
        <v>168</v>
      </c>
      <c r="D1098" s="48" t="s">
        <v>188</v>
      </c>
      <c r="E1098" s="48" t="s">
        <v>189</v>
      </c>
      <c r="F1098" s="48" t="s">
        <v>222</v>
      </c>
      <c r="G1098" s="49" t="n">
        <v>1.85</v>
      </c>
      <c r="H1098" s="50" t="n">
        <f aca="false">MAX(0,IF(AND(Parameter!$B$21="Ja",ISNUMBER(Y1098)),Y1098,IF(Parameter!$B$20="Jahresanfang 2025 + Export",BO1098+BN1098,BN1098)))</f>
        <v>322</v>
      </c>
      <c r="I1098" s="50" t="n">
        <f aca="false">H1098*G1098</f>
        <v>595.7</v>
      </c>
      <c r="J1098" s="50" t="n">
        <f aca="false">BQ1098*Parameter!$B$18</f>
        <v>260</v>
      </c>
      <c r="K1098" s="51" t="n">
        <v>409.5</v>
      </c>
      <c r="L1098" s="52" t="n">
        <v>0.634920634920635</v>
      </c>
      <c r="M1098" s="50" t="n">
        <v>15</v>
      </c>
      <c r="N1098" s="50" t="n">
        <v>260</v>
      </c>
      <c r="O1098" s="53" t="n">
        <v>21</v>
      </c>
      <c r="P1098" s="48" t="s">
        <v>237</v>
      </c>
      <c r="Q1098" s="50" t="n">
        <v>832</v>
      </c>
      <c r="R1098" s="53" t="n">
        <f aca="false">IF(BW1098=1,0,IFERROR(VLOOKUP(BU1098,'Gebinde-Kategorie'!$A$5:$N$45,13,0)+0,0))</f>
        <v>26</v>
      </c>
      <c r="S1098" s="54"/>
      <c r="T1098" s="55"/>
      <c r="U1098" s="55"/>
      <c r="V1098" s="55"/>
      <c r="W1098" s="48"/>
      <c r="X1098" s="50"/>
      <c r="Y1098" s="50"/>
      <c r="Z1098" s="48" t="n">
        <f aca="false">IF(A1098="","",IF(AND(Parameter!$B$21="Ja",ISNUMBER(W1098)),W1098,IF(BZ1098="2+3",IF(ISNUMBER(SEARCH("grosser Artikel",BR1098)),2,IFERROR(VLOOKUP(BU1098,Parameter!$F$35:$G$64,2,0),2)),IF(OR(BZ1098="Nein",BZ1098=""),"-",BZ1098))))</f>
        <v>3</v>
      </c>
      <c r="AA1098" s="55"/>
      <c r="AB1098" s="56"/>
      <c r="AC1098" s="50" t="n">
        <f aca="false">AT1098</f>
        <v>832</v>
      </c>
      <c r="AD1098" s="50" t="n">
        <f aca="false">MAX(AT1098,H1098)</f>
        <v>832</v>
      </c>
      <c r="AE1098" s="57"/>
      <c r="AF1098" s="50" t="n">
        <f aca="false">IF(LEFT(Cockpit!$C$5,1)="A",H1098,IF(CE1098=1,CF1098,IF(LEFT(Cockpit!$C$5,1)="B",AK1098,MAX(AK1098,H1098))))</f>
        <v>322</v>
      </c>
      <c r="AG1098" s="50" t="n">
        <f aca="false">IF(BW1098=1,0,ROUNDUP(AF1098/BV1098,0))</f>
        <v>1</v>
      </c>
      <c r="AH1098" s="52" t="n">
        <f aca="false">IF(CL1098&gt;0,CL1098*MAX(1,AF1098/X1098),IF(BW1098=1,IF(AF1098&lt;=0,0,CA1098*MAX(1,IF(H1098&gt;0,AF1098/H1098,1))),IF(R1098&gt;0,AG1098/R1098,0))/MAX(0.1,N(Parameter!$M$21)))</f>
        <v>0.0384615384615385</v>
      </c>
      <c r="AI1098" s="50" t="n">
        <f aca="false">AH1098*BY1098</f>
        <v>9.42307692307692</v>
      </c>
      <c r="AJ1098" s="50" t="n">
        <f aca="false">AF1098*G1098</f>
        <v>595.7</v>
      </c>
      <c r="AK1098" s="50" t="n">
        <f aca="false">ROUNDUP(MAX(J1098/IF(CD1098&gt;0,CD1098,MAX(0.1,N(Cockpit!$C$6))),CG1098)/BV1098,0)*BV1098</f>
        <v>832</v>
      </c>
      <c r="AL1098" s="51" t="n">
        <f aca="false">IF(AI1098&gt;0,J1098/AI1098,-1)</f>
        <v>27.5918367346939</v>
      </c>
      <c r="AM1098" s="51" t="n">
        <f aca="false">IF(AND(OR(CC1098="L1",CC1098="L23",CC1098="LIFT"),AI1098&gt;0),SUMIFS($AI$7:$AI$1843,$CC$7:$CC$1843,CC1098,$AL$7:$AL$1843,"&gt;"&amp;AL1098)+SUMIFS($AI$7:$AI$1843,$CC$7:$CC$1843,CC1098,$AL$7:$AL$1843,AL1098,$BT$7:$BT$1843,"&lt;="&amp;BT1098),"")</f>
        <v>1501.54075091575</v>
      </c>
      <c r="AN1098" s="58" t="n">
        <f aca="false">IF(AM1098="",0,MAX(0,MIN(1,(IF(CC1098="L1",Parameter!$H$5,IF(CC1098="L23",Parameter!$H$6+Parameter!$H$7,Parameter!$H$5+Parameter!$H$6+Parameter!$H$7))-(AM1098-AI1098))/AI1098)))</f>
        <v>1</v>
      </c>
      <c r="AO1098" s="50" t="n">
        <f aca="false">IF(LEFT(Cockpit!$I$5,1)="A",H1098,IF(CE1098=1,CF1098,IF(LEFT(Cockpit!$I$5,1)="B",AT1098,MAX(AT1098,H1098))))</f>
        <v>832</v>
      </c>
      <c r="AP1098" s="50" t="n">
        <f aca="false">IF(BW1098=1,0,ROUNDUP(AO1098/BV1098,0))</f>
        <v>1</v>
      </c>
      <c r="AQ1098" s="52" t="n">
        <f aca="false">IF(CL1098&gt;0,CL1098*MAX(1,AO1098/X1098),IF(BW1098=1,IF(AO1098&lt;=0,0,CA1098*MAX(1,IF(H1098&gt;0,AO1098/H1098,1))),IF(R1098&gt;0,AP1098/R1098,0))/MAX(0.1,N(Parameter!$M$21)))</f>
        <v>0.0384615384615385</v>
      </c>
      <c r="AR1098" s="50" t="n">
        <f aca="false">AQ1098*BY1098</f>
        <v>9.42307692307692</v>
      </c>
      <c r="AS1098" s="50" t="n">
        <f aca="false">AO1098*G1098</f>
        <v>1539.2</v>
      </c>
      <c r="AT1098" s="50" t="n">
        <f aca="false">ROUNDUP(MAX(J1098/IF(CD1098&gt;0,CD1098,MAX(0.1,N(Cockpit!$I$6))),CG1098)/BV1098,0)*BV1098</f>
        <v>832</v>
      </c>
      <c r="AU1098" s="51" t="n">
        <f aca="false">IF(AR1098&gt;0,J1098/AR1098,-1)</f>
        <v>27.5918367346939</v>
      </c>
      <c r="AV1098" s="51" t="n">
        <f aca="false">IF(AND(OR(CC1098="L1",CC1098="L23",CC1098="LIFT"),AR1098&gt;0),SUMIFS($AR$7:$AR$1843,$CC$7:$CC$1843,CC1098,$AU$7:$AU$1843,"&gt;"&amp;AU1098)+SUMIFS($AR$7:$AR$1843,$CC$7:$CC$1843,CC1098,$AU$7:$AU$1843,AU1098,$BT$7:$BT$1843,"&lt;="&amp;BT1098),"")</f>
        <v>2013.43086080586</v>
      </c>
      <c r="AW1098" s="58" t="n">
        <f aca="false">IF(AV1098="",0,MAX(0,MIN(1,(IF(CC1098="L1",Parameter!$H$5,IF(CC1098="L23",Parameter!$H$6+Parameter!$H$7,Parameter!$H$5+Parameter!$H$6+Parameter!$H$7))-(AV1098-AR1098))/AR1098)))</f>
        <v>1</v>
      </c>
      <c r="AX1098" s="50" t="n">
        <f aca="false">IF(LEFT(Cockpit!$O$5,1)="A",H1098,IF(CE1098=1,CF1098,IF(LEFT(Cockpit!$O$5,1)="B",BC1098,MAX(BC1098,H1098))))</f>
        <v>832</v>
      </c>
      <c r="AY1098" s="50" t="n">
        <f aca="false">IF(BW1098=1,0,ROUNDUP(AX1098/BV1098,0))</f>
        <v>1</v>
      </c>
      <c r="AZ1098" s="52" t="n">
        <f aca="false">IF(CL1098&gt;0,CL1098*MAX(1,AX1098/X1098),IF(BW1098=1,IF(AX1098&lt;=0,0,CA1098*MAX(1,IF(H1098&gt;0,AX1098/H1098,1))),IF(R1098&gt;0,AY1098/R1098,0))/MAX(0.1,N(Parameter!$M$21)))</f>
        <v>0.0384615384615385</v>
      </c>
      <c r="BA1098" s="50" t="n">
        <f aca="false">AZ1098*BY1098</f>
        <v>9.42307692307692</v>
      </c>
      <c r="BB1098" s="50" t="n">
        <f aca="false">AX1098*G1098</f>
        <v>1539.2</v>
      </c>
      <c r="BC1098" s="50" t="n">
        <f aca="false">ROUNDUP(MAX(J1098/IF(CD1098&gt;0,CD1098,MAX(0.1,N(Cockpit!$O$6))),CG1098)/BV1098,0)*BV1098</f>
        <v>832</v>
      </c>
      <c r="BD1098" s="51" t="n">
        <f aca="false">IF(BA1098&gt;0,J1098/BA1098,-1)</f>
        <v>27.5918367346939</v>
      </c>
      <c r="BE1098" s="51" t="n">
        <f aca="false">IF(AND(OR(CC1098="L1",CC1098="L23",CC1098="LIFT"),BA1098&gt;0),SUMIFS($BA$7:$BA$1843,$CC$7:$CC$1843,CC1098,$BD$7:$BD$1843,"&gt;"&amp;BD1098)+SUMIFS($BA$7:$BA$1843,$CC$7:$CC$1843,CC1098,$BD$7:$BD$1843,BD1098,$BT$7:$BT$1843,"&lt;="&amp;BT1098),"")</f>
        <v>1897.77380952381</v>
      </c>
      <c r="BF1098" s="58" t="n">
        <f aca="false">IF(BE1098="",0,MAX(0,MIN(1,(IF(CC1098="L1",Parameter!$H$5,IF(CC1098="L23",Parameter!$H$6+Parameter!$H$7,Parameter!$H$5+Parameter!$H$6+Parameter!$H$7))-(BE1098-BA1098))/BA1098)))</f>
        <v>1</v>
      </c>
      <c r="BG1098" s="48" t="str">
        <f aca="false">IF(AI1098&lt;=0,"",IF(CC1098="Aussen","Aussenlager",IF(CC1098="-","Nicht im Lift",IF(AN1098&gt;=1,"Lift",IF(AN1098&lt;=0,"Aussenlager","teilweise")))))</f>
        <v>Lift</v>
      </c>
      <c r="BH1098" s="48" t="str">
        <f aca="false">IF(AR1098&lt;=0,"",IF(CC1098="Aussen","Aussenlager",IF(CC1098="-","Nicht im Lift",IF(AW1098&gt;=1,"Lift",IF(AW1098&lt;=0,"Aussenlager","teilweise")))))</f>
        <v>Lift</v>
      </c>
      <c r="BI1098" s="48" t="str">
        <f aca="false">IF(BA1098&lt;=0,"",IF(CC1098="Aussen","Aussenlager",IF(CC1098="-","Nicht im Lift",IF(BF1098&gt;=1,"Lift",IF(BF1098&lt;=0,"Aussenlager","teilweise")))))</f>
        <v>Lift</v>
      </c>
      <c r="BJ1098" s="48" t="str">
        <f aca="false">IF(A1098="","",IF(BS1098=1,"Neu; ","")&amp;IF(AND(BS1098=0,BN1098&lt;0),"negativer Bestand (Export "&amp;BN1098&amp;"); ","")&amp;IF(J1098&lt;=0,"Kein Verbrauch; ","")&amp;IF(CL1098&gt;0,"Lift "&amp;W1098&amp;" lt. Liftbericht (Fach "&amp;X1098&amp;" Stk); ",IF(BX1098=1,"Gebinde geschätzt ("&amp;T1098&amp;"); ",IF(BW1098=1,"Lose – Tablare geschätzt; ","")))&amp;IF(H1098&gt;AT1098,"Überbestand "&amp;ROUND(H1098-AT1098,0)&amp;" Stk / CHF "&amp;ROUND((H1098-AT1098)*G1098,0)&amp;"; ","")&amp;IF(AND(CE1098=1,CF1098&lt;CG1098),"MAX &lt; MB+LG; ","")&amp;IF(AND(CK1098&gt;0,CJ1098*10&gt;CK1098),"zu hoch für Tablar; ","")&amp;IF(AND(BS1098=0,OR(CE1098=1,AA1098&lt;&gt;"",U1098&lt;&gt;"",V1098&lt;&gt;"",AB1098&lt;&gt;"")),"manuell übersteuert; ","")&amp;IF(AND(BW1098=0,R1098=0),"Gebinde unbekannt / Stellmass fehlt; ","")&amp;IF(AND(BW1098=0,N(V1098)&lt;=0,N(Q1098)&lt;=0),"Menge pro Gebinde fehlt (Ist = 1 Gebinde); ","")&amp;BR1098)</f>
        <v>negativer Bestand (Export -30); </v>
      </c>
      <c r="BK1098" s="48"/>
      <c r="BL1098" s="48"/>
      <c r="BM1098" s="55"/>
      <c r="BN1098" s="50" t="n">
        <v>-30</v>
      </c>
      <c r="BO1098" s="50" t="n">
        <v>352</v>
      </c>
      <c r="BP1098" s="49" t="n">
        <v>-207.150000000001</v>
      </c>
      <c r="BQ1098" s="50" t="n">
        <v>260</v>
      </c>
      <c r="BR1098" s="48"/>
      <c r="BS1098" s="53" t="n">
        <v>0</v>
      </c>
      <c r="BT1098" s="53" t="n">
        <v>1098</v>
      </c>
      <c r="BU1098" s="48" t="str">
        <f aca="false">IF(U1098&lt;&gt;"",UPPER(TRIM(U1098)),IF(BX1098=1,UPPER(VLOOKUP(T1098,Parameter!$I$27:$K$29,2,0)),IF(P1098="","LOSE",P1098)))</f>
        <v>S52</v>
      </c>
      <c r="BV1098" s="50" t="n">
        <f aca="false">IF(BU1098="LOSE",1,IF(N(V1098)&gt;0,V1098,IF(BX1098=1,MAX(1,N(VLOOKUP(T1098,Parameter!$I$27:$K$29,3,0)),H1098,N(N1098)),IF(N(Q1098)&gt;0,Q1098,MAX(1,H1098)))))</f>
        <v>832</v>
      </c>
      <c r="BW1098" s="53" t="n">
        <f aca="false">IF(BU1098="LOSE",1,0)</f>
        <v>0</v>
      </c>
      <c r="BX1098" s="53" t="n">
        <f aca="false">IF(AND(U1098="",OR(P1098="",P1098="LOSE"),T1098&lt;&gt;"",N(S1098)&lt;=0,ISNUMBER(MATCH(T1098,Parameter!$I$27:$I$29,0))),1,0)</f>
        <v>0</v>
      </c>
      <c r="BY1098" s="53" t="n">
        <f aca="false">IF(CL1098&gt;0,INDEX(Parameter!$H$5:$H$7,W1098)/INDEX(Parameter!$E$5:$E$7,W1098),IF(AND(BW1098=0,N(IFERROR(VLOOKUP(BU1098,'Gebinde-Kategorie'!$A$5:$N$45,14,0),0))&gt;0),VLOOKUP(BU1098,'Gebinde-Kategorie'!$A$5:$N$45,14,0)*10+Parameter!$M$23,Parameter!$M$24))</f>
        <v>245</v>
      </c>
      <c r="BZ1098" s="48" t="str">
        <f aca="false">IF(AND(Parameter!$B$19="Ja",E1098&lt;&gt;"",ISNUMBER(MATCH(E1098,Parameter!$I$35:$I$52,0))),VLOOKUP(E1098,Parameter!$I$35:$J$52,2,0),IFERROR(VLOOKUP(D1098,Parameter!$A$35:$C$64,2,0),"Nein"))</f>
        <v>2+3</v>
      </c>
      <c r="CA1098" s="52" t="n">
        <f aca="false">IF(BW1098=0,0,IF(N(S1098)&gt;0,S1098,IFERROR(VLOOKUP(D1098,Parameter!$A$35:$C$64,3,0)+0,0)))</f>
        <v>0</v>
      </c>
      <c r="CB1098" s="48" t="n">
        <f aca="false">IF(AA1098&lt;&gt;"",AA1098,Z1098)</f>
        <v>3</v>
      </c>
      <c r="CC1098" s="48" t="str">
        <f aca="false">IF(OR(CB1098=1,CB1098=2,CB1098=3),IF(Parameter!$E$27="Ja","LIFT",IF(CB1098=1,"L1","L23")),IF(CB1098="Aussen","Aussen","-"))</f>
        <v>LIFT</v>
      </c>
      <c r="CD1098" s="59" t="n">
        <f aca="false">IF(N(AB1098)&gt;0,AB1098,0)</f>
        <v>0</v>
      </c>
      <c r="CE1098" s="53" t="n">
        <f aca="false">IF(ISNUMBER(AE1098),1,0)</f>
        <v>0</v>
      </c>
      <c r="CF1098" s="50" t="n">
        <f aca="false">N(AE1098)</f>
        <v>0</v>
      </c>
      <c r="CG1098" s="50" t="n">
        <f aca="false">N(M1098)+N(N1098)</f>
        <v>275</v>
      </c>
      <c r="CH1098" s="50" t="n">
        <f aca="false">ROUNDUP(H1098/BV1098,0)</f>
        <v>1</v>
      </c>
      <c r="CI1098" s="50" t="n">
        <f aca="false">ROUNDUP(CF1098/BV1098,0)</f>
        <v>0</v>
      </c>
      <c r="CJ1098" s="53" t="n">
        <f aca="false">IF(BW1098=1,0,IFERROR(VLOOKUP(BU1098,'Gebinde-Kategorie'!$A$5:$N$45,5,0)+0,0))</f>
        <v>21</v>
      </c>
      <c r="CK1098" s="53" t="n">
        <f aca="false">IFERROR(IF(OR(CB1098=1,CB1098=2,CB1098=3),N(INDEX(Parameter!$I$5:$I$7,CB1098)),0),0)</f>
        <v>0</v>
      </c>
      <c r="CL1098" s="52" t="n">
        <f aca="false">IF(AND(Parameter!$B$21="Ja",ISNUMBER(W1098),N(X1098)&gt;0),IFERROR(N(INDEX(Parameter!$L$5:$L$7,W1098))*INDEX(Parameter!$E$5:$E$7,W1098)*X1098/SUMIFS($X$7:$X$1843,$W$7:$W$1843,W1098),0),0)</f>
        <v>0</v>
      </c>
    </row>
    <row r="1099" customFormat="false" ht="15" hidden="false" customHeight="false" outlineLevel="0" collapsed="false">
      <c r="A1099" s="48" t="s">
        <v>2003</v>
      </c>
      <c r="B1099" s="48" t="s">
        <v>2004</v>
      </c>
      <c r="C1099" s="48" t="s">
        <v>168</v>
      </c>
      <c r="D1099" s="48" t="s">
        <v>177</v>
      </c>
      <c r="E1099" s="48"/>
      <c r="F1099" s="48" t="s">
        <v>222</v>
      </c>
      <c r="G1099" s="49" t="n">
        <v>166.37</v>
      </c>
      <c r="H1099" s="50" t="n">
        <f aca="false">MAX(0,IF(AND(Parameter!$B$21="Ja",ISNUMBER(Y1099)),Y1099,IF(Parameter!$B$20="Jahresanfang 2025 + Export",BO1099+BN1099,BN1099)))</f>
        <v>9</v>
      </c>
      <c r="I1099" s="50" t="n">
        <f aca="false">H1099*G1099</f>
        <v>1497.33</v>
      </c>
      <c r="J1099" s="50" t="n">
        <f aca="false">BQ1099*Parameter!$B$18</f>
        <v>16</v>
      </c>
      <c r="K1099" s="51" t="n">
        <v>10.5</v>
      </c>
      <c r="L1099" s="52" t="n">
        <v>1.52380952380952</v>
      </c>
      <c r="M1099" s="50" t="n">
        <v>1</v>
      </c>
      <c r="N1099" s="50" t="n">
        <v>15</v>
      </c>
      <c r="O1099" s="53" t="n">
        <v>35</v>
      </c>
      <c r="P1099" s="48" t="s">
        <v>178</v>
      </c>
      <c r="Q1099" s="50" t="n">
        <v>20</v>
      </c>
      <c r="R1099" s="53" t="n">
        <f aca="false">IF(BW1099=1,0,IFERROR(VLOOKUP(BU1099,'Gebinde-Kategorie'!$A$5:$N$45,13,0)+0,0))</f>
        <v>6</v>
      </c>
      <c r="S1099" s="54"/>
      <c r="T1099" s="55"/>
      <c r="U1099" s="55"/>
      <c r="V1099" s="55"/>
      <c r="W1099" s="48"/>
      <c r="X1099" s="50"/>
      <c r="Y1099" s="50"/>
      <c r="Z1099" s="48" t="n">
        <f aca="false">IF(A1099="","",IF(AND(Parameter!$B$21="Ja",ISNUMBER(W1099)),W1099,IF(BZ1099="2+3",IF(ISNUMBER(SEARCH("grosser Artikel",BR1099)),2,IFERROR(VLOOKUP(BU1099,Parameter!$F$35:$G$64,2,0),2)),IF(OR(BZ1099="Nein",BZ1099=""),"-",BZ1099))))</f>
        <v>2</v>
      </c>
      <c r="AA1099" s="55"/>
      <c r="AB1099" s="56"/>
      <c r="AC1099" s="50" t="n">
        <f aca="false">AT1099</f>
        <v>20</v>
      </c>
      <c r="AD1099" s="50" t="n">
        <f aca="false">MAX(AT1099,H1099)</f>
        <v>20</v>
      </c>
      <c r="AE1099" s="57"/>
      <c r="AF1099" s="50" t="n">
        <f aca="false">IF(LEFT(Cockpit!$C$5,1)="A",H1099,IF(CE1099=1,CF1099,IF(LEFT(Cockpit!$C$5,1)="B",AK1099,MAX(AK1099,H1099))))</f>
        <v>9</v>
      </c>
      <c r="AG1099" s="50" t="n">
        <f aca="false">IF(BW1099=1,0,ROUNDUP(AF1099/BV1099,0))</f>
        <v>1</v>
      </c>
      <c r="AH1099" s="52" t="n">
        <f aca="false">IF(CL1099&gt;0,CL1099*MAX(1,AF1099/X1099),IF(BW1099=1,IF(AF1099&lt;=0,0,CA1099*MAX(1,IF(H1099&gt;0,AF1099/H1099,1))),IF(R1099&gt;0,AG1099/R1099,0))/MAX(0.1,N(Parameter!$M$21)))</f>
        <v>0.166666666666667</v>
      </c>
      <c r="AI1099" s="50" t="n">
        <f aca="false">AH1099*BY1099</f>
        <v>39.1666666666667</v>
      </c>
      <c r="AJ1099" s="50" t="n">
        <f aca="false">AF1099*G1099</f>
        <v>1497.33</v>
      </c>
      <c r="AK1099" s="50" t="n">
        <f aca="false">ROUNDUP(MAX(J1099/IF(CD1099&gt;0,CD1099,MAX(0.1,N(Cockpit!$C$6))),CG1099)/BV1099,0)*BV1099</f>
        <v>20</v>
      </c>
      <c r="AL1099" s="51" t="n">
        <f aca="false">IF(AI1099&gt;0,J1099/AI1099,-1)</f>
        <v>0.408510638297872</v>
      </c>
      <c r="AM1099" s="51" t="n">
        <f aca="false">IF(AND(OR(CC1099="L1",CC1099="L23",CC1099="LIFT"),AI1099&gt;0),SUMIFS($AI$7:$AI$1843,$CC$7:$CC$1843,CC1099,$AL$7:$AL$1843,"&gt;"&amp;AL1099)+SUMIFS($AI$7:$AI$1843,$CC$7:$CC$1843,CC1099,$AL$7:$AL$1843,AL1099,$BT$7:$BT$1843,"&lt;="&amp;BT1099),"")</f>
        <v>10142.7627920573</v>
      </c>
      <c r="AN1099" s="58" t="n">
        <f aca="false">IF(AM1099="",0,MAX(0,MIN(1,(IF(CC1099="L1",Parameter!$H$5,IF(CC1099="L23",Parameter!$H$6+Parameter!$H$7,Parameter!$H$5+Parameter!$H$6+Parameter!$H$7))-(AM1099-AI1099))/AI1099)))</f>
        <v>1</v>
      </c>
      <c r="AO1099" s="50" t="n">
        <f aca="false">IF(LEFT(Cockpit!$I$5,1)="A",H1099,IF(CE1099=1,CF1099,IF(LEFT(Cockpit!$I$5,1)="B",AT1099,MAX(AT1099,H1099))))</f>
        <v>20</v>
      </c>
      <c r="AP1099" s="50" t="n">
        <f aca="false">IF(BW1099=1,0,ROUNDUP(AO1099/BV1099,0))</f>
        <v>1</v>
      </c>
      <c r="AQ1099" s="52" t="n">
        <f aca="false">IF(CL1099&gt;0,CL1099*MAX(1,AO1099/X1099),IF(BW1099=1,IF(AO1099&lt;=0,0,CA1099*MAX(1,IF(H1099&gt;0,AO1099/H1099,1))),IF(R1099&gt;0,AP1099/R1099,0))/MAX(0.1,N(Parameter!$M$21)))</f>
        <v>0.166666666666667</v>
      </c>
      <c r="AR1099" s="50" t="n">
        <f aca="false">AQ1099*BY1099</f>
        <v>39.1666666666667</v>
      </c>
      <c r="AS1099" s="50" t="n">
        <f aca="false">AO1099*G1099</f>
        <v>3327.4</v>
      </c>
      <c r="AT1099" s="50" t="n">
        <f aca="false">ROUNDUP(MAX(J1099/IF(CD1099&gt;0,CD1099,MAX(0.1,N(Cockpit!$I$6))),CG1099)/BV1099,0)*BV1099</f>
        <v>20</v>
      </c>
      <c r="AU1099" s="51" t="n">
        <f aca="false">IF(AR1099&gt;0,J1099/AR1099,-1)</f>
        <v>0.408510638297872</v>
      </c>
      <c r="AV1099" s="51" t="n">
        <f aca="false">IF(AND(OR(CC1099="L1",CC1099="L23",CC1099="LIFT"),AR1099&gt;0),SUMIFS($AR$7:$AR$1843,$CC$7:$CC$1843,CC1099,$AU$7:$AU$1843,"&gt;"&amp;AU1099)+SUMIFS($AR$7:$AR$1843,$CC$7:$CC$1843,CC1099,$AU$7:$AU$1843,AU1099,$BT$7:$BT$1843,"&lt;="&amp;BT1099),"")</f>
        <v>15065.6758241758</v>
      </c>
      <c r="AW1099" s="58" t="n">
        <f aca="false">IF(AV1099="",0,MAX(0,MIN(1,(IF(CC1099="L1",Parameter!$H$5,IF(CC1099="L23",Parameter!$H$6+Parameter!$H$7,Parameter!$H$5+Parameter!$H$6+Parameter!$H$7))-(AV1099-AR1099))/AR1099)))</f>
        <v>1</v>
      </c>
      <c r="AX1099" s="50" t="n">
        <f aca="false">IF(LEFT(Cockpit!$O$5,1)="A",H1099,IF(CE1099=1,CF1099,IF(LEFT(Cockpit!$O$5,1)="B",BC1099,MAX(BC1099,H1099))))</f>
        <v>20</v>
      </c>
      <c r="AY1099" s="50" t="n">
        <f aca="false">IF(BW1099=1,0,ROUNDUP(AX1099/BV1099,0))</f>
        <v>1</v>
      </c>
      <c r="AZ1099" s="52" t="n">
        <f aca="false">IF(CL1099&gt;0,CL1099*MAX(1,AX1099/X1099),IF(BW1099=1,IF(AX1099&lt;=0,0,CA1099*MAX(1,IF(H1099&gt;0,AX1099/H1099,1))),IF(R1099&gt;0,AY1099/R1099,0))/MAX(0.1,N(Parameter!$M$21)))</f>
        <v>0.166666666666667</v>
      </c>
      <c r="BA1099" s="50" t="n">
        <f aca="false">AZ1099*BY1099</f>
        <v>39.1666666666667</v>
      </c>
      <c r="BB1099" s="50" t="n">
        <f aca="false">AX1099*G1099</f>
        <v>3327.4</v>
      </c>
      <c r="BC1099" s="50" t="n">
        <f aca="false">ROUNDUP(MAX(J1099/IF(CD1099&gt;0,CD1099,MAX(0.1,N(Cockpit!$O$6))),CG1099)/BV1099,0)*BV1099</f>
        <v>20</v>
      </c>
      <c r="BD1099" s="51" t="n">
        <f aca="false">IF(BA1099&gt;0,J1099/BA1099,-1)</f>
        <v>0.408510638297872</v>
      </c>
      <c r="BE1099" s="51" t="n">
        <f aca="false">IF(AND(OR(CC1099="L1",CC1099="L23",CC1099="LIFT"),BA1099&gt;0),SUMIFS($BA$7:$BA$1843,$CC$7:$CC$1843,CC1099,$BD$7:$BD$1843,"&gt;"&amp;BD1099)+SUMIFS($BA$7:$BA$1843,$CC$7:$CC$1843,CC1099,$BD$7:$BD$1843,BD1099,$BT$7:$BT$1843,"&lt;="&amp;BT1099),"")</f>
        <v>14051.3328754579</v>
      </c>
      <c r="BF1099" s="58" t="n">
        <f aca="false">IF(BE1099="",0,MAX(0,MIN(1,(IF(CC1099="L1",Parameter!$H$5,IF(CC1099="L23",Parameter!$H$6+Parameter!$H$7,Parameter!$H$5+Parameter!$H$6+Parameter!$H$7))-(BE1099-BA1099))/BA1099)))</f>
        <v>1</v>
      </c>
      <c r="BG1099" s="48" t="str">
        <f aca="false">IF(AI1099&lt;=0,"",IF(CC1099="Aussen","Aussenlager",IF(CC1099="-","Nicht im Lift",IF(AN1099&gt;=1,"Lift",IF(AN1099&lt;=0,"Aussenlager","teilweise")))))</f>
        <v>Lift</v>
      </c>
      <c r="BH1099" s="48" t="str">
        <f aca="false">IF(AR1099&lt;=0,"",IF(CC1099="Aussen","Aussenlager",IF(CC1099="-","Nicht im Lift",IF(AW1099&gt;=1,"Lift",IF(AW1099&lt;=0,"Aussenlager","teilweise")))))</f>
        <v>Lift</v>
      </c>
      <c r="BI1099" s="48" t="str">
        <f aca="false">IF(BA1099&lt;=0,"",IF(CC1099="Aussen","Aussenlager",IF(CC1099="-","Nicht im Lift",IF(BF1099&gt;=1,"Lift",IF(BF1099&lt;=0,"Aussenlager","teilweise")))))</f>
        <v>Lift</v>
      </c>
      <c r="BJ1099" s="48" t="str">
        <f aca="false">IF(A1099="","",IF(BS1099=1,"Neu; ","")&amp;IF(AND(BS1099=0,BN1099&lt;0),"negativer Bestand (Export "&amp;BN1099&amp;"); ","")&amp;IF(J1099&lt;=0,"Kein Verbrauch; ","")&amp;IF(CL1099&gt;0,"Lift "&amp;W1099&amp;" lt. Liftbericht (Fach "&amp;X1099&amp;" Stk); ",IF(BX1099=1,"Gebinde geschätzt ("&amp;T1099&amp;"); ",IF(BW1099=1,"Lose – Tablare geschätzt; ","")))&amp;IF(H1099&gt;AT1099,"Überbestand "&amp;ROUND(H1099-AT1099,0)&amp;" Stk / CHF "&amp;ROUND((H1099-AT1099)*G1099,0)&amp;"; ","")&amp;IF(AND(CE1099=1,CF1099&lt;CG1099),"MAX &lt; MB+LG; ","")&amp;IF(AND(CK1099&gt;0,CJ1099*10&gt;CK1099),"zu hoch für Tablar; ","")&amp;IF(AND(BS1099=0,OR(CE1099=1,AA1099&lt;&gt;"",U1099&lt;&gt;"",V1099&lt;&gt;"",AB1099&lt;&gt;"")),"manuell übersteuert; ","")&amp;IF(AND(BW1099=0,R1099=0),"Gebinde unbekannt / Stellmass fehlt; ","")&amp;IF(AND(BW1099=0,N(V1099)&lt;=0,N(Q1099)&lt;=0),"Menge pro Gebinde fehlt (Ist = 1 Gebinde); ","")&amp;BR1099)</f>
        <v>negativer Bestand (Export -2); </v>
      </c>
      <c r="BK1099" s="48"/>
      <c r="BL1099" s="48"/>
      <c r="BM1099" s="55"/>
      <c r="BN1099" s="50" t="n">
        <v>-2</v>
      </c>
      <c r="BO1099" s="50" t="n">
        <v>11</v>
      </c>
      <c r="BP1099" s="49" t="n">
        <v>-212.29</v>
      </c>
      <c r="BQ1099" s="50" t="n">
        <v>16</v>
      </c>
      <c r="BR1099" s="48"/>
      <c r="BS1099" s="53" t="n">
        <v>0</v>
      </c>
      <c r="BT1099" s="53" t="n">
        <v>1099</v>
      </c>
      <c r="BU1099" s="48" t="str">
        <f aca="false">IF(U1099&lt;&gt;"",UPPER(TRIM(U1099)),IF(BX1099=1,UPPER(VLOOKUP(T1099,Parameter!$I$27:$K$29,2,0)),IF(P1099="","LOSE",P1099)))</f>
        <v>S71</v>
      </c>
      <c r="BV1099" s="50" t="n">
        <f aca="false">IF(BU1099="LOSE",1,IF(N(V1099)&gt;0,V1099,IF(BX1099=1,MAX(1,N(VLOOKUP(T1099,Parameter!$I$27:$K$29,3,0)),H1099,N(N1099)),IF(N(Q1099)&gt;0,Q1099,MAX(1,H1099)))))</f>
        <v>20</v>
      </c>
      <c r="BW1099" s="53" t="n">
        <f aca="false">IF(BU1099="LOSE",1,0)</f>
        <v>0</v>
      </c>
      <c r="BX1099" s="53" t="n">
        <f aca="false">IF(AND(U1099="",OR(P1099="",P1099="LOSE"),T1099&lt;&gt;"",N(S1099)&lt;=0,ISNUMBER(MATCH(T1099,Parameter!$I$27:$I$29,0))),1,0)</f>
        <v>0</v>
      </c>
      <c r="BY1099" s="53" t="n">
        <f aca="false">IF(CL1099&gt;0,INDEX(Parameter!$H$5:$H$7,W1099)/INDEX(Parameter!$E$5:$E$7,W1099),IF(AND(BW1099=0,N(IFERROR(VLOOKUP(BU1099,'Gebinde-Kategorie'!$A$5:$N$45,14,0),0))&gt;0),VLOOKUP(BU1099,'Gebinde-Kategorie'!$A$5:$N$45,14,0)*10+Parameter!$M$23,Parameter!$M$24))</f>
        <v>235</v>
      </c>
      <c r="BZ1099" s="48" t="str">
        <f aca="false">IF(AND(Parameter!$B$19="Ja",E1099&lt;&gt;"",ISNUMBER(MATCH(E1099,Parameter!$I$35:$I$52,0))),VLOOKUP(E1099,Parameter!$I$35:$J$52,2,0),IFERROR(VLOOKUP(D1099,Parameter!$A$35:$C$64,2,0),"Nein"))</f>
        <v>2+3</v>
      </c>
      <c r="CA1099" s="52" t="n">
        <f aca="false">IF(BW1099=0,0,IF(N(S1099)&gt;0,S1099,IFERROR(VLOOKUP(D1099,Parameter!$A$35:$C$64,3,0)+0,0)))</f>
        <v>0</v>
      </c>
      <c r="CB1099" s="48" t="n">
        <f aca="false">IF(AA1099&lt;&gt;"",AA1099,Z1099)</f>
        <v>2</v>
      </c>
      <c r="CC1099" s="48" t="str">
        <f aca="false">IF(OR(CB1099=1,CB1099=2,CB1099=3),IF(Parameter!$E$27="Ja","LIFT",IF(CB1099=1,"L1","L23")),IF(CB1099="Aussen","Aussen","-"))</f>
        <v>LIFT</v>
      </c>
      <c r="CD1099" s="59" t="n">
        <f aca="false">IF(N(AB1099)&gt;0,AB1099,0)</f>
        <v>0</v>
      </c>
      <c r="CE1099" s="53" t="n">
        <f aca="false">IF(ISNUMBER(AE1099),1,0)</f>
        <v>0</v>
      </c>
      <c r="CF1099" s="50" t="n">
        <f aca="false">N(AE1099)</f>
        <v>0</v>
      </c>
      <c r="CG1099" s="50" t="n">
        <f aca="false">N(M1099)+N(N1099)</f>
        <v>16</v>
      </c>
      <c r="CH1099" s="50" t="n">
        <f aca="false">ROUNDUP(H1099/BV1099,0)</f>
        <v>1</v>
      </c>
      <c r="CI1099" s="50" t="n">
        <f aca="false">ROUNDUP(CF1099/BV1099,0)</f>
        <v>0</v>
      </c>
      <c r="CJ1099" s="53" t="n">
        <f aca="false">IF(BW1099=1,0,IFERROR(VLOOKUP(BU1099,'Gebinde-Kategorie'!$A$5:$N$45,5,0)+0,0))</f>
        <v>20</v>
      </c>
      <c r="CK1099" s="53" t="n">
        <f aca="false">IFERROR(IF(OR(CB1099=1,CB1099=2,CB1099=3),N(INDEX(Parameter!$I$5:$I$7,CB1099)),0),0)</f>
        <v>0</v>
      </c>
      <c r="CL1099" s="52" t="n">
        <f aca="false">IF(AND(Parameter!$B$21="Ja",ISNUMBER(W1099),N(X1099)&gt;0),IFERROR(N(INDEX(Parameter!$L$5:$L$7,W1099))*INDEX(Parameter!$E$5:$E$7,W1099)*X1099/SUMIFS($X$7:$X$1843,$W$7:$W$1843,W1099),0),0)</f>
        <v>0</v>
      </c>
    </row>
    <row r="1100" customFormat="false" ht="15" hidden="false" customHeight="false" outlineLevel="0" collapsed="false">
      <c r="A1100" s="48" t="s">
        <v>2005</v>
      </c>
      <c r="B1100" s="48" t="s">
        <v>2006</v>
      </c>
      <c r="C1100" s="48" t="s">
        <v>168</v>
      </c>
      <c r="D1100" s="48" t="s">
        <v>188</v>
      </c>
      <c r="E1100" s="48" t="s">
        <v>189</v>
      </c>
      <c r="F1100" s="48" t="s">
        <v>222</v>
      </c>
      <c r="G1100" s="49" t="n">
        <v>106.83</v>
      </c>
      <c r="H1100" s="50" t="n">
        <f aca="false">MAX(0,IF(AND(Parameter!$B$21="Ja",ISNUMBER(Y1100)),Y1100,IF(Parameter!$B$20="Jahresanfang 2025 + Export",BO1100+BN1100,BN1100)))</f>
        <v>1</v>
      </c>
      <c r="I1100" s="50" t="n">
        <f aca="false">H1100*G1100</f>
        <v>106.83</v>
      </c>
      <c r="J1100" s="50" t="n">
        <f aca="false">BQ1100*Parameter!$B$18</f>
        <v>0</v>
      </c>
      <c r="K1100" s="51" t="n">
        <v>2</v>
      </c>
      <c r="L1100" s="52" t="n">
        <v>0</v>
      </c>
      <c r="M1100" s="50" t="n">
        <v>0</v>
      </c>
      <c r="N1100" s="50" t="n">
        <v>1</v>
      </c>
      <c r="O1100" s="53" t="n">
        <v>21</v>
      </c>
      <c r="P1100" s="48" t="s">
        <v>430</v>
      </c>
      <c r="Q1100" s="50" t="n">
        <v>5</v>
      </c>
      <c r="R1100" s="53" t="n">
        <f aca="false">IF(BW1100=1,0,IFERROR(VLOOKUP(BU1100,'Gebinde-Kategorie'!$A$5:$N$45,13,0)+0,0))</f>
        <v>140</v>
      </c>
      <c r="S1100" s="54"/>
      <c r="T1100" s="55"/>
      <c r="U1100" s="55"/>
      <c r="V1100" s="55"/>
      <c r="W1100" s="48"/>
      <c r="X1100" s="50"/>
      <c r="Y1100" s="50"/>
      <c r="Z1100" s="48" t="n">
        <f aca="false">IF(A1100="","",IF(AND(Parameter!$B$21="Ja",ISNUMBER(W1100)),W1100,IF(BZ1100="2+3",IF(ISNUMBER(SEARCH("grosser Artikel",BR1100)),2,IFERROR(VLOOKUP(BU1100,Parameter!$F$35:$G$64,2,0),2)),IF(OR(BZ1100="Nein",BZ1100=""),"-",BZ1100))))</f>
        <v>3</v>
      </c>
      <c r="AA1100" s="55"/>
      <c r="AB1100" s="56"/>
      <c r="AC1100" s="50" t="n">
        <f aca="false">AT1100</f>
        <v>5</v>
      </c>
      <c r="AD1100" s="50" t="n">
        <f aca="false">MAX(AT1100,H1100)</f>
        <v>5</v>
      </c>
      <c r="AE1100" s="57"/>
      <c r="AF1100" s="50" t="n">
        <f aca="false">IF(LEFT(Cockpit!$C$5,1)="A",H1100,IF(CE1100=1,CF1100,IF(LEFT(Cockpit!$C$5,1)="B",AK1100,MAX(AK1100,H1100))))</f>
        <v>1</v>
      </c>
      <c r="AG1100" s="50" t="n">
        <f aca="false">IF(BW1100=1,0,ROUNDUP(AF1100/BV1100,0))</f>
        <v>1</v>
      </c>
      <c r="AH1100" s="52" t="n">
        <f aca="false">IF(CL1100&gt;0,CL1100*MAX(1,AF1100/X1100),IF(BW1100=1,IF(AF1100&lt;=0,0,CA1100*MAX(1,IF(H1100&gt;0,AF1100/H1100,1))),IF(R1100&gt;0,AG1100/R1100,0))/MAX(0.1,N(Parameter!$M$21)))</f>
        <v>0.00714285714285714</v>
      </c>
      <c r="AI1100" s="50" t="n">
        <f aca="false">AH1100*BY1100</f>
        <v>1.10714285714286</v>
      </c>
      <c r="AJ1100" s="50" t="n">
        <f aca="false">AF1100*G1100</f>
        <v>106.83</v>
      </c>
      <c r="AK1100" s="50" t="n">
        <f aca="false">ROUNDUP(MAX(J1100/IF(CD1100&gt;0,CD1100,MAX(0.1,N(Cockpit!$C$6))),CG1100)/BV1100,0)*BV1100</f>
        <v>5</v>
      </c>
      <c r="AL1100" s="51" t="n">
        <f aca="false">IF(AI1100&gt;0,J1100/AI1100,-1)</f>
        <v>0</v>
      </c>
      <c r="AM1100" s="51" t="n">
        <f aca="false">IF(AND(OR(CC1100="L1",CC1100="L23",CC1100="LIFT"),AI1100&gt;0),SUMIFS($AI$7:$AI$1843,$CC$7:$CC$1843,CC1100,$AL$7:$AL$1843,"&gt;"&amp;AL1100)+SUMIFS($AI$7:$AI$1843,$CC$7:$CC$1843,CC1100,$AL$7:$AL$1843,AL1100,$BT$7:$BT$1843,"&lt;="&amp;BT1100),"")</f>
        <v>29134.4955893918</v>
      </c>
      <c r="AN1100" s="58" t="n">
        <f aca="false">IF(AM1100="",0,MAX(0,MIN(1,(IF(CC1100="L1",Parameter!$H$5,IF(CC1100="L23",Parameter!$H$6+Parameter!$H$7,Parameter!$H$5+Parameter!$H$6+Parameter!$H$7))-(AM1100-AI1100))/AI1100)))</f>
        <v>1</v>
      </c>
      <c r="AO1100" s="50" t="n">
        <f aca="false">IF(LEFT(Cockpit!$I$5,1)="A",H1100,IF(CE1100=1,CF1100,IF(LEFT(Cockpit!$I$5,1)="B",AT1100,MAX(AT1100,H1100))))</f>
        <v>5</v>
      </c>
      <c r="AP1100" s="50" t="n">
        <f aca="false">IF(BW1100=1,0,ROUNDUP(AO1100/BV1100,0))</f>
        <v>1</v>
      </c>
      <c r="AQ1100" s="52" t="n">
        <f aca="false">IF(CL1100&gt;0,CL1100*MAX(1,AO1100/X1100),IF(BW1100=1,IF(AO1100&lt;=0,0,CA1100*MAX(1,IF(H1100&gt;0,AO1100/H1100,1))),IF(R1100&gt;0,AP1100/R1100,0))/MAX(0.1,N(Parameter!$M$21)))</f>
        <v>0.00714285714285714</v>
      </c>
      <c r="AR1100" s="50" t="n">
        <f aca="false">AQ1100*BY1100</f>
        <v>1.10714285714286</v>
      </c>
      <c r="AS1100" s="50" t="n">
        <f aca="false">AO1100*G1100</f>
        <v>534.15</v>
      </c>
      <c r="AT1100" s="50" t="n">
        <f aca="false">ROUNDUP(MAX(J1100/IF(CD1100&gt;0,CD1100,MAX(0.1,N(Cockpit!$I$6))),CG1100)/BV1100,0)*BV1100</f>
        <v>5</v>
      </c>
      <c r="AU1100" s="51" t="n">
        <f aca="false">IF(AR1100&gt;0,J1100/AR1100,-1)</f>
        <v>0</v>
      </c>
      <c r="AV1100" s="51" t="n">
        <f aca="false">IF(AND(OR(CC1100="L1",CC1100="L23",CC1100="LIFT"),AR1100&gt;0),SUMIFS($AR$7:$AR$1843,$CC$7:$CC$1843,CC1100,$AU$7:$AU$1843,"&gt;"&amp;AU1100)+SUMIFS($AR$7:$AR$1843,$CC$7:$CC$1843,CC1100,$AU$7:$AU$1843,AU1100,$BT$7:$BT$1843,"&lt;="&amp;BT1100),"")</f>
        <v>40815.0627366983</v>
      </c>
      <c r="AW1100" s="58" t="n">
        <f aca="false">IF(AV1100="",0,MAX(0,MIN(1,(IF(CC1100="L1",Parameter!$H$5,IF(CC1100="L23",Parameter!$H$6+Parameter!$H$7,Parameter!$H$5+Parameter!$H$6+Parameter!$H$7))-(AV1100-AR1100))/AR1100)))</f>
        <v>0</v>
      </c>
      <c r="AX1100" s="50" t="n">
        <f aca="false">IF(LEFT(Cockpit!$O$5,1)="A",H1100,IF(CE1100=1,CF1100,IF(LEFT(Cockpit!$O$5,1)="B",BC1100,MAX(BC1100,H1100))))</f>
        <v>5</v>
      </c>
      <c r="AY1100" s="50" t="n">
        <f aca="false">IF(BW1100=1,0,ROUNDUP(AX1100/BV1100,0))</f>
        <v>1</v>
      </c>
      <c r="AZ1100" s="52" t="n">
        <f aca="false">IF(CL1100&gt;0,CL1100*MAX(1,AX1100/X1100),IF(BW1100=1,IF(AX1100&lt;=0,0,CA1100*MAX(1,IF(H1100&gt;0,AX1100/H1100,1))),IF(R1100&gt;0,AY1100/R1100,0))/MAX(0.1,N(Parameter!$M$21)))</f>
        <v>0.00714285714285714</v>
      </c>
      <c r="BA1100" s="50" t="n">
        <f aca="false">AZ1100*BY1100</f>
        <v>1.10714285714286</v>
      </c>
      <c r="BB1100" s="50" t="n">
        <f aca="false">AX1100*G1100</f>
        <v>534.15</v>
      </c>
      <c r="BC1100" s="50" t="n">
        <f aca="false">ROUNDUP(MAX(J1100/IF(CD1100&gt;0,CD1100,MAX(0.1,N(Cockpit!$O$6))),CG1100)/BV1100,0)*BV1100</f>
        <v>5</v>
      </c>
      <c r="BD1100" s="51" t="n">
        <f aca="false">IF(BA1100&gt;0,J1100/BA1100,-1)</f>
        <v>0</v>
      </c>
      <c r="BE1100" s="51" t="n">
        <f aca="false">IF(AND(OR(CC1100="L1",CC1100="L23",CC1100="LIFT"),BA1100&gt;0),SUMIFS($BA$7:$BA$1843,$CC$7:$CC$1843,CC1100,$BD$7:$BD$1843,"&gt;"&amp;BD1100)+SUMIFS($BA$7:$BA$1843,$CC$7:$CC$1843,CC1100,$BD$7:$BD$1843,BD1100,$BT$7:$BT$1843,"&lt;="&amp;BT1100),"")</f>
        <v>37490.0747785642</v>
      </c>
      <c r="BF1100" s="58" t="n">
        <f aca="false">IF(BE1100="",0,MAX(0,MIN(1,(IF(CC1100="L1",Parameter!$H$5,IF(CC1100="L23",Parameter!$H$6+Parameter!$H$7,Parameter!$H$5+Parameter!$H$6+Parameter!$H$7))-(BE1100-BA1100))/BA1100)))</f>
        <v>0</v>
      </c>
      <c r="BG1100" s="48" t="str">
        <f aca="false">IF(AI1100&lt;=0,"",IF(CC1100="Aussen","Aussenlager",IF(CC1100="-","Nicht im Lift",IF(AN1100&gt;=1,"Lift",IF(AN1100&lt;=0,"Aussenlager","teilweise")))))</f>
        <v>Lift</v>
      </c>
      <c r="BH1100" s="48" t="str">
        <f aca="false">IF(AR1100&lt;=0,"",IF(CC1100="Aussen","Aussenlager",IF(CC1100="-","Nicht im Lift",IF(AW1100&gt;=1,"Lift",IF(AW1100&lt;=0,"Aussenlager","teilweise")))))</f>
        <v>Aussenlager</v>
      </c>
      <c r="BI1100" s="48" t="str">
        <f aca="false">IF(BA1100&lt;=0,"",IF(CC1100="Aussen","Aussenlager",IF(CC1100="-","Nicht im Lift",IF(BF1100&gt;=1,"Lift",IF(BF1100&lt;=0,"Aussenlager","teilweise")))))</f>
        <v>Aussenlager</v>
      </c>
      <c r="BJ1100" s="48" t="str">
        <f aca="false">IF(A1100="","",IF(BS1100=1,"Neu; ","")&amp;IF(AND(BS1100=0,BN1100&lt;0),"negativer Bestand (Export "&amp;BN1100&amp;"); ","")&amp;IF(J1100&lt;=0,"Kein Verbrauch; ","")&amp;IF(CL1100&gt;0,"Lift "&amp;W1100&amp;" lt. Liftbericht (Fach "&amp;X1100&amp;" Stk); ",IF(BX1100=1,"Gebinde geschätzt ("&amp;T1100&amp;"); ",IF(BW1100=1,"Lose – Tablare geschätzt; ","")))&amp;IF(H1100&gt;AT1100,"Überbestand "&amp;ROUND(H1100-AT1100,0)&amp;" Stk / CHF "&amp;ROUND((H1100-AT1100)*G1100,0)&amp;"; ","")&amp;IF(AND(CE1100=1,CF1100&lt;CG1100),"MAX &lt; MB+LG; ","")&amp;IF(AND(CK1100&gt;0,CJ1100*10&gt;CK1100),"zu hoch für Tablar; ","")&amp;IF(AND(BS1100=0,OR(CE1100=1,AA1100&lt;&gt;"",U1100&lt;&gt;"",V1100&lt;&gt;"",AB1100&lt;&gt;"")),"manuell übersteuert; ","")&amp;IF(AND(BW1100=0,R1100=0),"Gebinde unbekannt / Stellmass fehlt; ","")&amp;IF(AND(BW1100=0,N(V1100)&lt;=0,N(Q1100)&lt;=0),"Menge pro Gebinde fehlt (Ist = 1 Gebinde); ","")&amp;BR1100)</f>
        <v>negativer Bestand (Export -2); Kein Verbrauch; </v>
      </c>
      <c r="BK1100" s="48"/>
      <c r="BL1100" s="48"/>
      <c r="BM1100" s="55"/>
      <c r="BN1100" s="50" t="n">
        <v>-2</v>
      </c>
      <c r="BO1100" s="50" t="n">
        <v>3</v>
      </c>
      <c r="BP1100" s="49" t="n">
        <v>-213.66</v>
      </c>
      <c r="BQ1100" s="50" t="n">
        <v>0</v>
      </c>
      <c r="BR1100" s="48"/>
      <c r="BS1100" s="53" t="n">
        <v>0</v>
      </c>
      <c r="BT1100" s="53" t="n">
        <v>1100</v>
      </c>
      <c r="BU1100" s="48" t="str">
        <f aca="false">IF(U1100&lt;&gt;"",UPPER(TRIM(U1100)),IF(BX1100=1,UPPER(VLOOKUP(T1100,Parameter!$I$27:$K$29,2,0)),IF(P1100="","LOSE",P1100)))</f>
        <v>S22</v>
      </c>
      <c r="BV1100" s="50" t="n">
        <f aca="false">IF(BU1100="LOSE",1,IF(N(V1100)&gt;0,V1100,IF(BX1100=1,MAX(1,N(VLOOKUP(T1100,Parameter!$I$27:$K$29,3,0)),H1100,N(N1100)),IF(N(Q1100)&gt;0,Q1100,MAX(1,H1100)))))</f>
        <v>5</v>
      </c>
      <c r="BW1100" s="53" t="n">
        <f aca="false">IF(BU1100="LOSE",1,0)</f>
        <v>0</v>
      </c>
      <c r="BX1100" s="53" t="n">
        <f aca="false">IF(AND(U1100="",OR(P1100="",P1100="LOSE"),T1100&lt;&gt;"",N(S1100)&lt;=0,ISNUMBER(MATCH(T1100,Parameter!$I$27:$I$29,0))),1,0)</f>
        <v>0</v>
      </c>
      <c r="BY1100" s="53" t="n">
        <f aca="false">IF(CL1100&gt;0,INDEX(Parameter!$H$5:$H$7,W1100)/INDEX(Parameter!$E$5:$E$7,W1100),IF(AND(BW1100=0,N(IFERROR(VLOOKUP(BU1100,'Gebinde-Kategorie'!$A$5:$N$45,14,0),0))&gt;0),VLOOKUP(BU1100,'Gebinde-Kategorie'!$A$5:$N$45,14,0)*10+Parameter!$M$23,Parameter!$M$24))</f>
        <v>155</v>
      </c>
      <c r="BZ1100" s="48" t="str">
        <f aca="false">IF(AND(Parameter!$B$19="Ja",E1100&lt;&gt;"",ISNUMBER(MATCH(E1100,Parameter!$I$35:$I$52,0))),VLOOKUP(E1100,Parameter!$I$35:$J$52,2,0),IFERROR(VLOOKUP(D1100,Parameter!$A$35:$C$64,2,0),"Nein"))</f>
        <v>2+3</v>
      </c>
      <c r="CA1100" s="52" t="n">
        <f aca="false">IF(BW1100=0,0,IF(N(S1100)&gt;0,S1100,IFERROR(VLOOKUP(D1100,Parameter!$A$35:$C$64,3,0)+0,0)))</f>
        <v>0</v>
      </c>
      <c r="CB1100" s="48" t="n">
        <f aca="false">IF(AA1100&lt;&gt;"",AA1100,Z1100)</f>
        <v>3</v>
      </c>
      <c r="CC1100" s="48" t="str">
        <f aca="false">IF(OR(CB1100=1,CB1100=2,CB1100=3),IF(Parameter!$E$27="Ja","LIFT",IF(CB1100=1,"L1","L23")),IF(CB1100="Aussen","Aussen","-"))</f>
        <v>LIFT</v>
      </c>
      <c r="CD1100" s="59" t="n">
        <f aca="false">IF(N(AB1100)&gt;0,AB1100,0)</f>
        <v>0</v>
      </c>
      <c r="CE1100" s="53" t="n">
        <f aca="false">IF(ISNUMBER(AE1100),1,0)</f>
        <v>0</v>
      </c>
      <c r="CF1100" s="50" t="n">
        <f aca="false">N(AE1100)</f>
        <v>0</v>
      </c>
      <c r="CG1100" s="50" t="n">
        <f aca="false">N(M1100)+N(N1100)</f>
        <v>1</v>
      </c>
      <c r="CH1100" s="50" t="n">
        <f aca="false">ROUNDUP(H1100/BV1100,0)</f>
        <v>1</v>
      </c>
      <c r="CI1100" s="50" t="n">
        <f aca="false">ROUNDUP(CF1100/BV1100,0)</f>
        <v>0</v>
      </c>
      <c r="CJ1100" s="53" t="n">
        <f aca="false">IF(BW1100=1,0,IFERROR(VLOOKUP(BU1100,'Gebinde-Kategorie'!$A$5:$N$45,5,0)+0,0))</f>
        <v>8</v>
      </c>
      <c r="CK1100" s="53" t="n">
        <f aca="false">IFERROR(IF(OR(CB1100=1,CB1100=2,CB1100=3),N(INDEX(Parameter!$I$5:$I$7,CB1100)),0),0)</f>
        <v>0</v>
      </c>
      <c r="CL1100" s="52" t="n">
        <f aca="false">IF(AND(Parameter!$B$21="Ja",ISNUMBER(W1100),N(X1100)&gt;0),IFERROR(N(INDEX(Parameter!$L$5:$L$7,W1100))*INDEX(Parameter!$E$5:$E$7,W1100)*X1100/SUMIFS($X$7:$X$1843,$W$7:$W$1843,W1100),0),0)</f>
        <v>0</v>
      </c>
    </row>
    <row r="1101" customFormat="false" ht="15" hidden="false" customHeight="false" outlineLevel="0" collapsed="false">
      <c r="A1101" s="48" t="s">
        <v>2007</v>
      </c>
      <c r="B1101" s="48" t="s">
        <v>409</v>
      </c>
      <c r="C1101" s="48" t="s">
        <v>168</v>
      </c>
      <c r="D1101" s="48" t="s">
        <v>188</v>
      </c>
      <c r="E1101" s="48" t="s">
        <v>189</v>
      </c>
      <c r="F1101" s="48" t="s">
        <v>222</v>
      </c>
      <c r="G1101" s="49" t="n">
        <v>2.3</v>
      </c>
      <c r="H1101" s="50" t="n">
        <f aca="false">MAX(0,IF(AND(Parameter!$B$21="Ja",ISNUMBER(Y1101)),Y1101,IF(Parameter!$B$20="Jahresanfang 2025 + Export",BO1101+BN1101,BN1101)))</f>
        <v>2307</v>
      </c>
      <c r="I1101" s="50" t="n">
        <f aca="false">H1101*G1101</f>
        <v>5306.1</v>
      </c>
      <c r="J1101" s="50" t="n">
        <f aca="false">BQ1101*Parameter!$B$18</f>
        <v>48</v>
      </c>
      <c r="K1101" s="51" t="n">
        <v>2381.5</v>
      </c>
      <c r="L1101" s="52" t="n">
        <v>0.0201553642662188</v>
      </c>
      <c r="M1101" s="50" t="n">
        <v>2</v>
      </c>
      <c r="N1101" s="50" t="n">
        <v>50</v>
      </c>
      <c r="O1101" s="53" t="n">
        <v>21</v>
      </c>
      <c r="P1101" s="48" t="s">
        <v>230</v>
      </c>
      <c r="Q1101" s="50" t="n">
        <v>400</v>
      </c>
      <c r="R1101" s="53" t="n">
        <f aca="false">IF(BW1101=1,0,IFERROR(VLOOKUP(BU1101,'Gebinde-Kategorie'!$A$5:$N$45,13,0)+0,0))</f>
        <v>12</v>
      </c>
      <c r="S1101" s="54"/>
      <c r="T1101" s="55"/>
      <c r="U1101" s="55"/>
      <c r="V1101" s="55"/>
      <c r="W1101" s="48"/>
      <c r="X1101" s="50"/>
      <c r="Y1101" s="50"/>
      <c r="Z1101" s="48" t="n">
        <f aca="false">IF(A1101="","",IF(AND(Parameter!$B$21="Ja",ISNUMBER(W1101)),W1101,IF(BZ1101="2+3",IF(ISNUMBER(SEARCH("grosser Artikel",BR1101)),2,IFERROR(VLOOKUP(BU1101,Parameter!$F$35:$G$64,2,0),2)),IF(OR(BZ1101="Nein",BZ1101=""),"-",BZ1101))))</f>
        <v>2</v>
      </c>
      <c r="AA1101" s="55"/>
      <c r="AB1101" s="56"/>
      <c r="AC1101" s="50" t="n">
        <f aca="false">AT1101</f>
        <v>400</v>
      </c>
      <c r="AD1101" s="50" t="n">
        <f aca="false">MAX(AT1101,H1101)</f>
        <v>2307</v>
      </c>
      <c r="AE1101" s="57"/>
      <c r="AF1101" s="50" t="n">
        <f aca="false">IF(LEFT(Cockpit!$C$5,1)="A",H1101,IF(CE1101=1,CF1101,IF(LEFT(Cockpit!$C$5,1)="B",AK1101,MAX(AK1101,H1101))))</f>
        <v>2307</v>
      </c>
      <c r="AG1101" s="50" t="n">
        <f aca="false">IF(BW1101=1,0,ROUNDUP(AF1101/BV1101,0))</f>
        <v>6</v>
      </c>
      <c r="AH1101" s="52" t="n">
        <f aca="false">IF(CL1101&gt;0,CL1101*MAX(1,AF1101/X1101),IF(BW1101=1,IF(AF1101&lt;=0,0,CA1101*MAX(1,IF(H1101&gt;0,AF1101/H1101,1))),IF(R1101&gt;0,AG1101/R1101,0))/MAX(0.1,N(Parameter!$M$21)))</f>
        <v>0.5</v>
      </c>
      <c r="AI1101" s="50" t="n">
        <f aca="false">AH1101*BY1101</f>
        <v>172.5</v>
      </c>
      <c r="AJ1101" s="50" t="n">
        <f aca="false">AF1101*G1101</f>
        <v>5306.1</v>
      </c>
      <c r="AK1101" s="50" t="n">
        <f aca="false">ROUNDUP(MAX(J1101/IF(CD1101&gt;0,CD1101,MAX(0.1,N(Cockpit!$C$6))),CG1101)/BV1101,0)*BV1101</f>
        <v>400</v>
      </c>
      <c r="AL1101" s="51" t="n">
        <f aca="false">IF(AI1101&gt;0,J1101/AI1101,-1)</f>
        <v>0.278260869565217</v>
      </c>
      <c r="AM1101" s="51" t="n">
        <f aca="false">IF(AND(OR(CC1101="L1",CC1101="L23",CC1101="LIFT"),AI1101&gt;0),SUMIFS($AI$7:$AI$1843,$CC$7:$CC$1843,CC1101,$AL$7:$AL$1843,"&gt;"&amp;AL1101)+SUMIFS($AI$7:$AI$1843,$CC$7:$CC$1843,CC1101,$AL$7:$AL$1843,AL1101,$BT$7:$BT$1843,"&lt;="&amp;BT1101),"")</f>
        <v>11620.2702629292</v>
      </c>
      <c r="AN1101" s="58" t="n">
        <f aca="false">IF(AM1101="",0,MAX(0,MIN(1,(IF(CC1101="L1",Parameter!$H$5,IF(CC1101="L23",Parameter!$H$6+Parameter!$H$7,Parameter!$H$5+Parameter!$H$6+Parameter!$H$7))-(AM1101-AI1101))/AI1101)))</f>
        <v>1</v>
      </c>
      <c r="AO1101" s="50" t="n">
        <f aca="false">IF(LEFT(Cockpit!$I$5,1)="A",H1101,IF(CE1101=1,CF1101,IF(LEFT(Cockpit!$I$5,1)="B",AT1101,MAX(AT1101,H1101))))</f>
        <v>2307</v>
      </c>
      <c r="AP1101" s="50" t="n">
        <f aca="false">IF(BW1101=1,0,ROUNDUP(AO1101/BV1101,0))</f>
        <v>6</v>
      </c>
      <c r="AQ1101" s="52" t="n">
        <f aca="false">IF(CL1101&gt;0,CL1101*MAX(1,AO1101/X1101),IF(BW1101=1,IF(AO1101&lt;=0,0,CA1101*MAX(1,IF(H1101&gt;0,AO1101/H1101,1))),IF(R1101&gt;0,AP1101/R1101,0))/MAX(0.1,N(Parameter!$M$21)))</f>
        <v>0.5</v>
      </c>
      <c r="AR1101" s="50" t="n">
        <f aca="false">AQ1101*BY1101</f>
        <v>172.5</v>
      </c>
      <c r="AS1101" s="50" t="n">
        <f aca="false">AO1101*G1101</f>
        <v>5306.1</v>
      </c>
      <c r="AT1101" s="50" t="n">
        <f aca="false">ROUNDUP(MAX(J1101/IF(CD1101&gt;0,CD1101,MAX(0.1,N(Cockpit!$I$6))),CG1101)/BV1101,0)*BV1101</f>
        <v>400</v>
      </c>
      <c r="AU1101" s="51" t="n">
        <f aca="false">IF(AR1101&gt;0,J1101/AR1101,-1)</f>
        <v>0.278260869565217</v>
      </c>
      <c r="AV1101" s="51" t="n">
        <f aca="false">IF(AND(OR(CC1101="L1",CC1101="L23",CC1101="LIFT"),AR1101&gt;0),SUMIFS($AR$7:$AR$1843,$CC$7:$CC$1843,CC1101,$AU$7:$AU$1843,"&gt;"&amp;AU1101)+SUMIFS($AR$7:$AR$1843,$CC$7:$CC$1843,CC1101,$AU$7:$AU$1843,AU1101,$BT$7:$BT$1843,"&lt;="&amp;BT1101),"")</f>
        <v>17044.3017399267</v>
      </c>
      <c r="AW1101" s="58" t="n">
        <f aca="false">IF(AV1101="",0,MAX(0,MIN(1,(IF(CC1101="L1",Parameter!$H$5,IF(CC1101="L23",Parameter!$H$6+Parameter!$H$7,Parameter!$H$5+Parameter!$H$6+Parameter!$H$7))-(AV1101-AR1101))/AR1101)))</f>
        <v>1</v>
      </c>
      <c r="AX1101" s="50" t="n">
        <f aca="false">IF(LEFT(Cockpit!$O$5,1)="A",H1101,IF(CE1101=1,CF1101,IF(LEFT(Cockpit!$O$5,1)="B",BC1101,MAX(BC1101,H1101))))</f>
        <v>2307</v>
      </c>
      <c r="AY1101" s="50" t="n">
        <f aca="false">IF(BW1101=1,0,ROUNDUP(AX1101/BV1101,0))</f>
        <v>6</v>
      </c>
      <c r="AZ1101" s="52" t="n">
        <f aca="false">IF(CL1101&gt;0,CL1101*MAX(1,AX1101/X1101),IF(BW1101=1,IF(AX1101&lt;=0,0,CA1101*MAX(1,IF(H1101&gt;0,AX1101/H1101,1))),IF(R1101&gt;0,AY1101/R1101,0))/MAX(0.1,N(Parameter!$M$21)))</f>
        <v>0.5</v>
      </c>
      <c r="BA1101" s="50" t="n">
        <f aca="false">AZ1101*BY1101</f>
        <v>172.5</v>
      </c>
      <c r="BB1101" s="50" t="n">
        <f aca="false">AX1101*G1101</f>
        <v>5306.1</v>
      </c>
      <c r="BC1101" s="50" t="n">
        <f aca="false">ROUNDUP(MAX(J1101/IF(CD1101&gt;0,CD1101,MAX(0.1,N(Cockpit!$O$6))),CG1101)/BV1101,0)*BV1101</f>
        <v>400</v>
      </c>
      <c r="BD1101" s="51" t="n">
        <f aca="false">IF(BA1101&gt;0,J1101/BA1101,-1)</f>
        <v>0.278260869565217</v>
      </c>
      <c r="BE1101" s="51" t="n">
        <f aca="false">IF(AND(OR(CC1101="L1",CC1101="L23",CC1101="LIFT"),BA1101&gt;0),SUMIFS($BA$7:$BA$1843,$CC$7:$CC$1843,CC1101,$BD$7:$BD$1843,"&gt;"&amp;BD1101)+SUMIFS($BA$7:$BA$1843,$CC$7:$CC$1843,CC1101,$BD$7:$BD$1843,BD1101,$BT$7:$BT$1843,"&lt;="&amp;BT1101),"")</f>
        <v>15990.7921245421</v>
      </c>
      <c r="BF1101" s="58" t="n">
        <f aca="false">IF(BE1101="",0,MAX(0,MIN(1,(IF(CC1101="L1",Parameter!$H$5,IF(CC1101="L23",Parameter!$H$6+Parameter!$H$7,Parameter!$H$5+Parameter!$H$6+Parameter!$H$7))-(BE1101-BA1101))/BA1101)))</f>
        <v>1</v>
      </c>
      <c r="BG1101" s="48" t="str">
        <f aca="false">IF(AI1101&lt;=0,"",IF(CC1101="Aussen","Aussenlager",IF(CC1101="-","Nicht im Lift",IF(AN1101&gt;=1,"Lift",IF(AN1101&lt;=0,"Aussenlager","teilweise")))))</f>
        <v>Lift</v>
      </c>
      <c r="BH1101" s="48" t="str">
        <f aca="false">IF(AR1101&lt;=0,"",IF(CC1101="Aussen","Aussenlager",IF(CC1101="-","Nicht im Lift",IF(AW1101&gt;=1,"Lift",IF(AW1101&lt;=0,"Aussenlager","teilweise")))))</f>
        <v>Lift</v>
      </c>
      <c r="BI1101" s="48" t="str">
        <f aca="false">IF(BA1101&lt;=0,"",IF(CC1101="Aussen","Aussenlager",IF(CC1101="-","Nicht im Lift",IF(BF1101&gt;=1,"Lift",IF(BF1101&lt;=0,"Aussenlager","teilweise")))))</f>
        <v>Lift</v>
      </c>
      <c r="BJ1101" s="48" t="str">
        <f aca="false">IF(A1101="","",IF(BS1101=1,"Neu; ","")&amp;IF(AND(BS1101=0,BN1101&lt;0),"negativer Bestand (Export "&amp;BN1101&amp;"); ","")&amp;IF(J1101&lt;=0,"Kein Verbrauch; ","")&amp;IF(CL1101&gt;0,"Lift "&amp;W1101&amp;" lt. Liftbericht (Fach "&amp;X1101&amp;" Stk); ",IF(BX1101=1,"Gebinde geschätzt ("&amp;T1101&amp;"); ",IF(BW1101=1,"Lose – Tablare geschätzt; ","")))&amp;IF(H1101&gt;AT1101,"Überbestand "&amp;ROUND(H1101-AT1101,0)&amp;" Stk / CHF "&amp;ROUND((H1101-AT1101)*G1101,0)&amp;"; ","")&amp;IF(AND(CE1101=1,CF1101&lt;CG1101),"MAX &lt; MB+LG; ","")&amp;IF(AND(CK1101&gt;0,CJ1101*10&gt;CK1101),"zu hoch für Tablar; ","")&amp;IF(AND(BS1101=0,OR(CE1101=1,AA1101&lt;&gt;"",U1101&lt;&gt;"",V1101&lt;&gt;"",AB1101&lt;&gt;"")),"manuell übersteuert; ","")&amp;IF(AND(BW1101=0,R1101=0),"Gebinde unbekannt / Stellmass fehlt; ","")&amp;IF(AND(BW1101=0,N(V1101)&lt;=0,N(Q1101)&lt;=0),"Menge pro Gebinde fehlt (Ist = 1 Gebinde); ","")&amp;BR1101)</f>
        <v>negativer Bestand (Export -93); Überbestand 1907 Stk / CHF 4386; </v>
      </c>
      <c r="BK1101" s="48"/>
      <c r="BL1101" s="48"/>
      <c r="BM1101" s="55"/>
      <c r="BN1101" s="50" t="n">
        <v>-93</v>
      </c>
      <c r="BO1101" s="50" t="n">
        <v>2400</v>
      </c>
      <c r="BP1101" s="49" t="n">
        <v>-213.9</v>
      </c>
      <c r="BQ1101" s="50" t="n">
        <v>48</v>
      </c>
      <c r="BR1101" s="48"/>
      <c r="BS1101" s="53" t="n">
        <v>0</v>
      </c>
      <c r="BT1101" s="53" t="n">
        <v>1101</v>
      </c>
      <c r="BU1101" s="48" t="str">
        <f aca="false">IF(U1101&lt;&gt;"",UPPER(TRIM(U1101)),IF(BX1101=1,UPPER(VLOOKUP(T1101,Parameter!$I$27:$K$29,2,0)),IF(P1101="","LOSE",P1101)))</f>
        <v>S63</v>
      </c>
      <c r="BV1101" s="50" t="n">
        <f aca="false">IF(BU1101="LOSE",1,IF(N(V1101)&gt;0,V1101,IF(BX1101=1,MAX(1,N(VLOOKUP(T1101,Parameter!$I$27:$K$29,3,0)),H1101,N(N1101)),IF(N(Q1101)&gt;0,Q1101,MAX(1,H1101)))))</f>
        <v>400</v>
      </c>
      <c r="BW1101" s="53" t="n">
        <f aca="false">IF(BU1101="LOSE",1,0)</f>
        <v>0</v>
      </c>
      <c r="BX1101" s="53" t="n">
        <f aca="false">IF(AND(U1101="",OR(P1101="",P1101="LOSE"),T1101&lt;&gt;"",N(S1101)&lt;=0,ISNUMBER(MATCH(T1101,Parameter!$I$27:$I$29,0))),1,0)</f>
        <v>0</v>
      </c>
      <c r="BY1101" s="53" t="n">
        <f aca="false">IF(CL1101&gt;0,INDEX(Parameter!$H$5:$H$7,W1101)/INDEX(Parameter!$E$5:$E$7,W1101),IF(AND(BW1101=0,N(IFERROR(VLOOKUP(BU1101,'Gebinde-Kategorie'!$A$5:$N$45,14,0),0))&gt;0),VLOOKUP(BU1101,'Gebinde-Kategorie'!$A$5:$N$45,14,0)*10+Parameter!$M$23,Parameter!$M$24))</f>
        <v>345</v>
      </c>
      <c r="BZ1101" s="48" t="str">
        <f aca="false">IF(AND(Parameter!$B$19="Ja",E1101&lt;&gt;"",ISNUMBER(MATCH(E1101,Parameter!$I$35:$I$52,0))),VLOOKUP(E1101,Parameter!$I$35:$J$52,2,0),IFERROR(VLOOKUP(D1101,Parameter!$A$35:$C$64,2,0),"Nein"))</f>
        <v>2+3</v>
      </c>
      <c r="CA1101" s="52" t="n">
        <f aca="false">IF(BW1101=0,0,IF(N(S1101)&gt;0,S1101,IFERROR(VLOOKUP(D1101,Parameter!$A$35:$C$64,3,0)+0,0)))</f>
        <v>0</v>
      </c>
      <c r="CB1101" s="48" t="n">
        <f aca="false">IF(AA1101&lt;&gt;"",AA1101,Z1101)</f>
        <v>2</v>
      </c>
      <c r="CC1101" s="48" t="str">
        <f aca="false">IF(OR(CB1101=1,CB1101=2,CB1101=3),IF(Parameter!$E$27="Ja","LIFT",IF(CB1101=1,"L1","L23")),IF(CB1101="Aussen","Aussen","-"))</f>
        <v>LIFT</v>
      </c>
      <c r="CD1101" s="59" t="n">
        <f aca="false">IF(N(AB1101)&gt;0,AB1101,0)</f>
        <v>0</v>
      </c>
      <c r="CE1101" s="53" t="n">
        <f aca="false">IF(ISNUMBER(AE1101),1,0)</f>
        <v>0</v>
      </c>
      <c r="CF1101" s="50" t="n">
        <f aca="false">N(AE1101)</f>
        <v>0</v>
      </c>
      <c r="CG1101" s="50" t="n">
        <f aca="false">N(M1101)+N(N1101)</f>
        <v>52</v>
      </c>
      <c r="CH1101" s="50" t="n">
        <f aca="false">ROUNDUP(H1101/BV1101,0)</f>
        <v>6</v>
      </c>
      <c r="CI1101" s="50" t="n">
        <f aca="false">ROUNDUP(CF1101/BV1101,0)</f>
        <v>0</v>
      </c>
      <c r="CJ1101" s="53" t="n">
        <f aca="false">IF(BW1101=1,0,IFERROR(VLOOKUP(BU1101,'Gebinde-Kategorie'!$A$5:$N$45,5,0)+0,0))</f>
        <v>31</v>
      </c>
      <c r="CK1101" s="53" t="n">
        <f aca="false">IFERROR(IF(OR(CB1101=1,CB1101=2,CB1101=3),N(INDEX(Parameter!$I$5:$I$7,CB1101)),0),0)</f>
        <v>0</v>
      </c>
      <c r="CL1101" s="52" t="n">
        <f aca="false">IF(AND(Parameter!$B$21="Ja",ISNUMBER(W1101),N(X1101)&gt;0),IFERROR(N(INDEX(Parameter!$L$5:$L$7,W1101))*INDEX(Parameter!$E$5:$E$7,W1101)*X1101/SUMIFS($X$7:$X$1843,$W$7:$W$1843,W1101),0),0)</f>
        <v>0</v>
      </c>
    </row>
    <row r="1102" customFormat="false" ht="15" hidden="false" customHeight="false" outlineLevel="0" collapsed="false">
      <c r="A1102" s="48" t="s">
        <v>2008</v>
      </c>
      <c r="B1102" s="48" t="s">
        <v>2009</v>
      </c>
      <c r="C1102" s="48" t="s">
        <v>168</v>
      </c>
      <c r="D1102" s="48" t="s">
        <v>188</v>
      </c>
      <c r="E1102" s="48"/>
      <c r="F1102" s="48" t="s">
        <v>222</v>
      </c>
      <c r="G1102" s="49" t="n">
        <v>71.61</v>
      </c>
      <c r="H1102" s="50" t="n">
        <f aca="false">MAX(0,IF(AND(Parameter!$B$21="Ja",ISNUMBER(Y1102)),Y1102,IF(Parameter!$B$20="Jahresanfang 2025 + Export",BO1102+BN1102,BN1102)))</f>
        <v>58</v>
      </c>
      <c r="I1102" s="50" t="n">
        <f aca="false">H1102*G1102</f>
        <v>4153.38</v>
      </c>
      <c r="J1102" s="50" t="n">
        <f aca="false">BQ1102*Parameter!$B$18</f>
        <v>2</v>
      </c>
      <c r="K1102" s="51" t="n">
        <v>60</v>
      </c>
      <c r="L1102" s="52" t="n">
        <v>0.0333333333333333</v>
      </c>
      <c r="M1102" s="50" t="n">
        <v>0</v>
      </c>
      <c r="N1102" s="50" t="n">
        <v>1</v>
      </c>
      <c r="O1102" s="53" t="n">
        <v>63</v>
      </c>
      <c r="P1102" s="48" t="s">
        <v>237</v>
      </c>
      <c r="Q1102" s="50" t="n">
        <v>60</v>
      </c>
      <c r="R1102" s="53" t="n">
        <f aca="false">IF(BW1102=1,0,IFERROR(VLOOKUP(BU1102,'Gebinde-Kategorie'!$A$5:$N$45,13,0)+0,0))</f>
        <v>26</v>
      </c>
      <c r="S1102" s="54"/>
      <c r="T1102" s="55"/>
      <c r="U1102" s="55"/>
      <c r="V1102" s="55"/>
      <c r="W1102" s="48"/>
      <c r="X1102" s="50"/>
      <c r="Y1102" s="50"/>
      <c r="Z1102" s="48" t="n">
        <f aca="false">IF(A1102="","",IF(AND(Parameter!$B$21="Ja",ISNUMBER(W1102)),W1102,IF(BZ1102="2+3",IF(ISNUMBER(SEARCH("grosser Artikel",BR1102)),2,IFERROR(VLOOKUP(BU1102,Parameter!$F$35:$G$64,2,0),2)),IF(OR(BZ1102="Nein",BZ1102=""),"-",BZ1102))))</f>
        <v>3</v>
      </c>
      <c r="AA1102" s="55"/>
      <c r="AB1102" s="56"/>
      <c r="AC1102" s="50" t="n">
        <f aca="false">AT1102</f>
        <v>60</v>
      </c>
      <c r="AD1102" s="50" t="n">
        <f aca="false">MAX(AT1102,H1102)</f>
        <v>60</v>
      </c>
      <c r="AE1102" s="57"/>
      <c r="AF1102" s="50" t="n">
        <f aca="false">IF(LEFT(Cockpit!$C$5,1)="A",H1102,IF(CE1102=1,CF1102,IF(LEFT(Cockpit!$C$5,1)="B",AK1102,MAX(AK1102,H1102))))</f>
        <v>58</v>
      </c>
      <c r="AG1102" s="50" t="n">
        <f aca="false">IF(BW1102=1,0,ROUNDUP(AF1102/BV1102,0))</f>
        <v>1</v>
      </c>
      <c r="AH1102" s="52" t="n">
        <f aca="false">IF(CL1102&gt;0,CL1102*MAX(1,AF1102/X1102),IF(BW1102=1,IF(AF1102&lt;=0,0,CA1102*MAX(1,IF(H1102&gt;0,AF1102/H1102,1))),IF(R1102&gt;0,AG1102/R1102,0))/MAX(0.1,N(Parameter!$M$21)))</f>
        <v>0.0384615384615385</v>
      </c>
      <c r="AI1102" s="50" t="n">
        <f aca="false">AH1102*BY1102</f>
        <v>9.42307692307692</v>
      </c>
      <c r="AJ1102" s="50" t="n">
        <f aca="false">AF1102*G1102</f>
        <v>4153.38</v>
      </c>
      <c r="AK1102" s="50" t="n">
        <f aca="false">ROUNDUP(MAX(J1102/IF(CD1102&gt;0,CD1102,MAX(0.1,N(Cockpit!$C$6))),CG1102)/BV1102,0)*BV1102</f>
        <v>60</v>
      </c>
      <c r="AL1102" s="51" t="n">
        <f aca="false">IF(AI1102&gt;0,J1102/AI1102,-1)</f>
        <v>0.212244897959184</v>
      </c>
      <c r="AM1102" s="51" t="n">
        <f aca="false">IF(AND(OR(CC1102="L1",CC1102="L23",CC1102="LIFT"),AI1102&gt;0),SUMIFS($AI$7:$AI$1843,$CC$7:$CC$1843,CC1102,$AL$7:$AL$1843,"&gt;"&amp;AL1102)+SUMIFS($AI$7:$AI$1843,$CC$7:$CC$1843,CC1102,$AL$7:$AL$1843,AL1102,$BT$7:$BT$1843,"&lt;="&amp;BT1102),"")</f>
        <v>12382.9709003332</v>
      </c>
      <c r="AN1102" s="58" t="n">
        <f aca="false">IF(AM1102="",0,MAX(0,MIN(1,(IF(CC1102="L1",Parameter!$H$5,IF(CC1102="L23",Parameter!$H$6+Parameter!$H$7,Parameter!$H$5+Parameter!$H$6+Parameter!$H$7))-(AM1102-AI1102))/AI1102)))</f>
        <v>1</v>
      </c>
      <c r="AO1102" s="50" t="n">
        <f aca="false">IF(LEFT(Cockpit!$I$5,1)="A",H1102,IF(CE1102=1,CF1102,IF(LEFT(Cockpit!$I$5,1)="B",AT1102,MAX(AT1102,H1102))))</f>
        <v>60</v>
      </c>
      <c r="AP1102" s="50" t="n">
        <f aca="false">IF(BW1102=1,0,ROUNDUP(AO1102/BV1102,0))</f>
        <v>1</v>
      </c>
      <c r="AQ1102" s="52" t="n">
        <f aca="false">IF(CL1102&gt;0,CL1102*MAX(1,AO1102/X1102),IF(BW1102=1,IF(AO1102&lt;=0,0,CA1102*MAX(1,IF(H1102&gt;0,AO1102/H1102,1))),IF(R1102&gt;0,AP1102/R1102,0))/MAX(0.1,N(Parameter!$M$21)))</f>
        <v>0.0384615384615385</v>
      </c>
      <c r="AR1102" s="50" t="n">
        <f aca="false">AQ1102*BY1102</f>
        <v>9.42307692307692</v>
      </c>
      <c r="AS1102" s="50" t="n">
        <f aca="false">AO1102*G1102</f>
        <v>4296.6</v>
      </c>
      <c r="AT1102" s="50" t="n">
        <f aca="false">ROUNDUP(MAX(J1102/IF(CD1102&gt;0,CD1102,MAX(0.1,N(Cockpit!$I$6))),CG1102)/BV1102,0)*BV1102</f>
        <v>60</v>
      </c>
      <c r="AU1102" s="51" t="n">
        <f aca="false">IF(AR1102&gt;0,J1102/AR1102,-1)</f>
        <v>0.212244897959184</v>
      </c>
      <c r="AV1102" s="51" t="n">
        <f aca="false">IF(AND(OR(CC1102="L1",CC1102="L23",CC1102="LIFT"),AR1102&gt;0),SUMIFS($AR$7:$AR$1843,$CC$7:$CC$1843,CC1102,$AU$7:$AU$1843,"&gt;"&amp;AU1102)+SUMIFS($AR$7:$AR$1843,$CC$7:$CC$1843,CC1102,$AU$7:$AU$1843,AU1102,$BT$7:$BT$1843,"&lt;="&amp;BT1102),"")</f>
        <v>18296.7055860806</v>
      </c>
      <c r="AW1102" s="58" t="n">
        <f aca="false">IF(AV1102="",0,MAX(0,MIN(1,(IF(CC1102="L1",Parameter!$H$5,IF(CC1102="L23",Parameter!$H$6+Parameter!$H$7,Parameter!$H$5+Parameter!$H$6+Parameter!$H$7))-(AV1102-AR1102))/AR1102)))</f>
        <v>1</v>
      </c>
      <c r="AX1102" s="50" t="n">
        <f aca="false">IF(LEFT(Cockpit!$O$5,1)="A",H1102,IF(CE1102=1,CF1102,IF(LEFT(Cockpit!$O$5,1)="B",BC1102,MAX(BC1102,H1102))))</f>
        <v>60</v>
      </c>
      <c r="AY1102" s="50" t="n">
        <f aca="false">IF(BW1102=1,0,ROUNDUP(AX1102/BV1102,0))</f>
        <v>1</v>
      </c>
      <c r="AZ1102" s="52" t="n">
        <f aca="false">IF(CL1102&gt;0,CL1102*MAX(1,AX1102/X1102),IF(BW1102=1,IF(AX1102&lt;=0,0,CA1102*MAX(1,IF(H1102&gt;0,AX1102/H1102,1))),IF(R1102&gt;0,AY1102/R1102,0))/MAX(0.1,N(Parameter!$M$21)))</f>
        <v>0.0384615384615385</v>
      </c>
      <c r="BA1102" s="50" t="n">
        <f aca="false">AZ1102*BY1102</f>
        <v>9.42307692307692</v>
      </c>
      <c r="BB1102" s="50" t="n">
        <f aca="false">AX1102*G1102</f>
        <v>4296.6</v>
      </c>
      <c r="BC1102" s="50" t="n">
        <f aca="false">ROUNDUP(MAX(J1102/IF(CD1102&gt;0,CD1102,MAX(0.1,N(Cockpit!$O$6))),CG1102)/BV1102,0)*BV1102</f>
        <v>60</v>
      </c>
      <c r="BD1102" s="51" t="n">
        <f aca="false">IF(BA1102&gt;0,J1102/BA1102,-1)</f>
        <v>0.212244897959184</v>
      </c>
      <c r="BE1102" s="51" t="n">
        <f aca="false">IF(AND(OR(CC1102="L1",CC1102="L23",CC1102="LIFT"),BA1102&gt;0),SUMIFS($BA$7:$BA$1843,$CC$7:$CC$1843,CC1102,$BD$7:$BD$1843,"&gt;"&amp;BD1102)+SUMIFS($BA$7:$BA$1843,$CC$7:$CC$1843,CC1102,$BD$7:$BD$1843,BD1102,$BT$7:$BT$1843,"&lt;="&amp;BT1102),"")</f>
        <v>16949.445970696</v>
      </c>
      <c r="BF1102" s="58" t="n">
        <f aca="false">IF(BE1102="",0,MAX(0,MIN(1,(IF(CC1102="L1",Parameter!$H$5,IF(CC1102="L23",Parameter!$H$6+Parameter!$H$7,Parameter!$H$5+Parameter!$H$6+Parameter!$H$7))-(BE1102-BA1102))/BA1102)))</f>
        <v>1</v>
      </c>
      <c r="BG1102" s="48" t="str">
        <f aca="false">IF(AI1102&lt;=0,"",IF(CC1102="Aussen","Aussenlager",IF(CC1102="-","Nicht im Lift",IF(AN1102&gt;=1,"Lift",IF(AN1102&lt;=0,"Aussenlager","teilweise")))))</f>
        <v>Lift</v>
      </c>
      <c r="BH1102" s="48" t="str">
        <f aca="false">IF(AR1102&lt;=0,"",IF(CC1102="Aussen","Aussenlager",IF(CC1102="-","Nicht im Lift",IF(AW1102&gt;=1,"Lift",IF(AW1102&lt;=0,"Aussenlager","teilweise")))))</f>
        <v>Lift</v>
      </c>
      <c r="BI1102" s="48" t="str">
        <f aca="false">IF(BA1102&lt;=0,"",IF(CC1102="Aussen","Aussenlager",IF(CC1102="-","Nicht im Lift",IF(BF1102&gt;=1,"Lift",IF(BF1102&lt;=0,"Aussenlager","teilweise")))))</f>
        <v>Lift</v>
      </c>
      <c r="BJ1102" s="48" t="str">
        <f aca="false">IF(A1102="","",IF(BS1102=1,"Neu; ","")&amp;IF(AND(BS1102=0,BN1102&lt;0),"negativer Bestand (Export "&amp;BN1102&amp;"); ","")&amp;IF(J1102&lt;=0,"Kein Verbrauch; ","")&amp;IF(CL1102&gt;0,"Lift "&amp;W1102&amp;" lt. Liftbericht (Fach "&amp;X1102&amp;" Stk); ",IF(BX1102=1,"Gebinde geschätzt ("&amp;T1102&amp;"); ",IF(BW1102=1,"Lose – Tablare geschätzt; ","")))&amp;IF(H1102&gt;AT1102,"Überbestand "&amp;ROUND(H1102-AT1102,0)&amp;" Stk / CHF "&amp;ROUND((H1102-AT1102)*G1102,0)&amp;"; ","")&amp;IF(AND(CE1102=1,CF1102&lt;CG1102),"MAX &lt; MB+LG; ","")&amp;IF(AND(CK1102&gt;0,CJ1102*10&gt;CK1102),"zu hoch für Tablar; ","")&amp;IF(AND(BS1102=0,OR(CE1102=1,AA1102&lt;&gt;"",U1102&lt;&gt;"",V1102&lt;&gt;"",AB1102&lt;&gt;"")),"manuell übersteuert; ","")&amp;IF(AND(BW1102=0,R1102=0),"Gebinde unbekannt / Stellmass fehlt; ","")&amp;IF(AND(BW1102=0,N(V1102)&lt;=0,N(Q1102)&lt;=0),"Menge pro Gebinde fehlt (Ist = 1 Gebinde); ","")&amp;BR1102)</f>
        <v>negativer Bestand (Export -3); i.o</v>
      </c>
      <c r="BK1102" s="48"/>
      <c r="BL1102" s="48"/>
      <c r="BM1102" s="55"/>
      <c r="BN1102" s="50" t="n">
        <v>-3</v>
      </c>
      <c r="BO1102" s="50" t="n">
        <v>61</v>
      </c>
      <c r="BP1102" s="49" t="n">
        <v>-214.83</v>
      </c>
      <c r="BQ1102" s="50" t="n">
        <v>2</v>
      </c>
      <c r="BR1102" s="48" t="s">
        <v>540</v>
      </c>
      <c r="BS1102" s="53" t="n">
        <v>0</v>
      </c>
      <c r="BT1102" s="53" t="n">
        <v>1102</v>
      </c>
      <c r="BU1102" s="48" t="str">
        <f aca="false">IF(U1102&lt;&gt;"",UPPER(TRIM(U1102)),IF(BX1102=1,UPPER(VLOOKUP(T1102,Parameter!$I$27:$K$29,2,0)),IF(P1102="","LOSE",P1102)))</f>
        <v>S52</v>
      </c>
      <c r="BV1102" s="50" t="n">
        <f aca="false">IF(BU1102="LOSE",1,IF(N(V1102)&gt;0,V1102,IF(BX1102=1,MAX(1,N(VLOOKUP(T1102,Parameter!$I$27:$K$29,3,0)),H1102,N(N1102)),IF(N(Q1102)&gt;0,Q1102,MAX(1,H1102)))))</f>
        <v>60</v>
      </c>
      <c r="BW1102" s="53" t="n">
        <f aca="false">IF(BU1102="LOSE",1,0)</f>
        <v>0</v>
      </c>
      <c r="BX1102" s="53" t="n">
        <f aca="false">IF(AND(U1102="",OR(P1102="",P1102="LOSE"),T1102&lt;&gt;"",N(S1102)&lt;=0,ISNUMBER(MATCH(T1102,Parameter!$I$27:$I$29,0))),1,0)</f>
        <v>0</v>
      </c>
      <c r="BY1102" s="53" t="n">
        <f aca="false">IF(CL1102&gt;0,INDEX(Parameter!$H$5:$H$7,W1102)/INDEX(Parameter!$E$5:$E$7,W1102),IF(AND(BW1102=0,N(IFERROR(VLOOKUP(BU1102,'Gebinde-Kategorie'!$A$5:$N$45,14,0),0))&gt;0),VLOOKUP(BU1102,'Gebinde-Kategorie'!$A$5:$N$45,14,0)*10+Parameter!$M$23,Parameter!$M$24))</f>
        <v>245</v>
      </c>
      <c r="BZ1102" s="48" t="str">
        <f aca="false">IF(AND(Parameter!$B$19="Ja",E1102&lt;&gt;"",ISNUMBER(MATCH(E1102,Parameter!$I$35:$I$52,0))),VLOOKUP(E1102,Parameter!$I$35:$J$52,2,0),IFERROR(VLOOKUP(D1102,Parameter!$A$35:$C$64,2,0),"Nein"))</f>
        <v>2+3</v>
      </c>
      <c r="CA1102" s="52" t="n">
        <f aca="false">IF(BW1102=0,0,IF(N(S1102)&gt;0,S1102,IFERROR(VLOOKUP(D1102,Parameter!$A$35:$C$64,3,0)+0,0)))</f>
        <v>0</v>
      </c>
      <c r="CB1102" s="48" t="n">
        <f aca="false">IF(AA1102&lt;&gt;"",AA1102,Z1102)</f>
        <v>3</v>
      </c>
      <c r="CC1102" s="48" t="str">
        <f aca="false">IF(OR(CB1102=1,CB1102=2,CB1102=3),IF(Parameter!$E$27="Ja","LIFT",IF(CB1102=1,"L1","L23")),IF(CB1102="Aussen","Aussen","-"))</f>
        <v>LIFT</v>
      </c>
      <c r="CD1102" s="59" t="n">
        <f aca="false">IF(N(AB1102)&gt;0,AB1102,0)</f>
        <v>0</v>
      </c>
      <c r="CE1102" s="53" t="n">
        <f aca="false">IF(ISNUMBER(AE1102),1,0)</f>
        <v>0</v>
      </c>
      <c r="CF1102" s="50" t="n">
        <f aca="false">N(AE1102)</f>
        <v>0</v>
      </c>
      <c r="CG1102" s="50" t="n">
        <f aca="false">N(M1102)+N(N1102)</f>
        <v>1</v>
      </c>
      <c r="CH1102" s="50" t="n">
        <f aca="false">ROUNDUP(H1102/BV1102,0)</f>
        <v>1</v>
      </c>
      <c r="CI1102" s="50" t="n">
        <f aca="false">ROUNDUP(CF1102/BV1102,0)</f>
        <v>0</v>
      </c>
      <c r="CJ1102" s="53" t="n">
        <f aca="false">IF(BW1102=1,0,IFERROR(VLOOKUP(BU1102,'Gebinde-Kategorie'!$A$5:$N$45,5,0)+0,0))</f>
        <v>21</v>
      </c>
      <c r="CK1102" s="53" t="n">
        <f aca="false">IFERROR(IF(OR(CB1102=1,CB1102=2,CB1102=3),N(INDEX(Parameter!$I$5:$I$7,CB1102)),0),0)</f>
        <v>0</v>
      </c>
      <c r="CL1102" s="52" t="n">
        <f aca="false">IF(AND(Parameter!$B$21="Ja",ISNUMBER(W1102),N(X1102)&gt;0),IFERROR(N(INDEX(Parameter!$L$5:$L$7,W1102))*INDEX(Parameter!$E$5:$E$7,W1102)*X1102/SUMIFS($X$7:$X$1843,$W$7:$W$1843,W1102),0),0)</f>
        <v>0</v>
      </c>
    </row>
    <row r="1103" customFormat="false" ht="15" hidden="false" customHeight="false" outlineLevel="0" collapsed="false">
      <c r="A1103" s="48" t="s">
        <v>2010</v>
      </c>
      <c r="B1103" s="48" t="s">
        <v>753</v>
      </c>
      <c r="C1103" s="48" t="s">
        <v>168</v>
      </c>
      <c r="D1103" s="48" t="s">
        <v>188</v>
      </c>
      <c r="E1103" s="48"/>
      <c r="F1103" s="48" t="s">
        <v>222</v>
      </c>
      <c r="G1103" s="49" t="n">
        <v>83.58</v>
      </c>
      <c r="H1103" s="50" t="n">
        <f aca="false">MAX(0,IF(AND(Parameter!$B$21="Ja",ISNUMBER(Y1103)),Y1103,IF(Parameter!$B$20="Jahresanfang 2025 + Export",BO1103+BN1103,BN1103)))</f>
        <v>2</v>
      </c>
      <c r="I1103" s="50" t="n">
        <f aca="false">H1103*G1103</f>
        <v>167.16</v>
      </c>
      <c r="J1103" s="50" t="n">
        <f aca="false">BQ1103*Parameter!$B$18</f>
        <v>1</v>
      </c>
      <c r="K1103" s="51" t="n">
        <v>4.5</v>
      </c>
      <c r="L1103" s="52" t="n">
        <v>0.222222222222222</v>
      </c>
      <c r="M1103" s="50" t="n">
        <v>0</v>
      </c>
      <c r="N1103" s="50" t="n">
        <v>1</v>
      </c>
      <c r="O1103" s="53" t="n">
        <v>35</v>
      </c>
      <c r="P1103" s="48" t="s">
        <v>172</v>
      </c>
      <c r="Q1103" s="50"/>
      <c r="R1103" s="53" t="n">
        <f aca="false">IF(BW1103=1,0,IFERROR(VLOOKUP(BU1103,'Gebinde-Kategorie'!$A$5:$N$45,13,0)+0,0))</f>
        <v>26</v>
      </c>
      <c r="S1103" s="54"/>
      <c r="T1103" s="55" t="s">
        <v>279</v>
      </c>
      <c r="U1103" s="55"/>
      <c r="V1103" s="55"/>
      <c r="W1103" s="48"/>
      <c r="X1103" s="50"/>
      <c r="Y1103" s="50"/>
      <c r="Z1103" s="48" t="n">
        <f aca="false">IF(A1103="","",IF(AND(Parameter!$B$21="Ja",ISNUMBER(W1103)),W1103,IF(BZ1103="2+3",IF(ISNUMBER(SEARCH("grosser Artikel",BR1103)),2,IFERROR(VLOOKUP(BU1103,Parameter!$F$35:$G$64,2,0),2)),IF(OR(BZ1103="Nein",BZ1103=""),"-",BZ1103))))</f>
        <v>3</v>
      </c>
      <c r="AA1103" s="55"/>
      <c r="AB1103" s="56"/>
      <c r="AC1103" s="50" t="n">
        <f aca="false">AT1103</f>
        <v>20</v>
      </c>
      <c r="AD1103" s="50" t="n">
        <f aca="false">MAX(AT1103,H1103)</f>
        <v>20</v>
      </c>
      <c r="AE1103" s="57"/>
      <c r="AF1103" s="50" t="n">
        <f aca="false">IF(LEFT(Cockpit!$C$5,1)="A",H1103,IF(CE1103=1,CF1103,IF(LEFT(Cockpit!$C$5,1)="B",AK1103,MAX(AK1103,H1103))))</f>
        <v>2</v>
      </c>
      <c r="AG1103" s="50" t="n">
        <f aca="false">IF(BW1103=1,0,ROUNDUP(AF1103/BV1103,0))</f>
        <v>1</v>
      </c>
      <c r="AH1103" s="52" t="n">
        <f aca="false">IF(CL1103&gt;0,CL1103*MAX(1,AF1103/X1103),IF(BW1103=1,IF(AF1103&lt;=0,0,CA1103*MAX(1,IF(H1103&gt;0,AF1103/H1103,1))),IF(R1103&gt;0,AG1103/R1103,0))/MAX(0.1,N(Parameter!$M$21)))</f>
        <v>0.0384615384615385</v>
      </c>
      <c r="AI1103" s="50" t="n">
        <f aca="false">AH1103*BY1103</f>
        <v>5.96153846153846</v>
      </c>
      <c r="AJ1103" s="50" t="n">
        <f aca="false">AF1103*G1103</f>
        <v>167.16</v>
      </c>
      <c r="AK1103" s="50" t="n">
        <f aca="false">ROUNDUP(MAX(J1103/IF(CD1103&gt;0,CD1103,MAX(0.1,N(Cockpit!$C$6))),CG1103)/BV1103,0)*BV1103</f>
        <v>20</v>
      </c>
      <c r="AL1103" s="51" t="n">
        <f aca="false">IF(AI1103&gt;0,J1103/AI1103,-1)</f>
        <v>0.167741935483871</v>
      </c>
      <c r="AM1103" s="51" t="n">
        <f aca="false">IF(AND(OR(CC1103="L1",CC1103="L23",CC1103="LIFT"),AI1103&gt;0),SUMIFS($AI$7:$AI$1843,$CC$7:$CC$1843,CC1103,$AL$7:$AL$1843,"&gt;"&amp;AL1103)+SUMIFS($AI$7:$AI$1843,$CC$7:$CC$1843,CC1103,$AL$7:$AL$1843,AL1103,$BT$7:$BT$1843,"&lt;="&amp;BT1103),"")</f>
        <v>12745.3106439229</v>
      </c>
      <c r="AN1103" s="58" t="n">
        <f aca="false">IF(AM1103="",0,MAX(0,MIN(1,(IF(CC1103="L1",Parameter!$H$5,IF(CC1103="L23",Parameter!$H$6+Parameter!$H$7,Parameter!$H$5+Parameter!$H$6+Parameter!$H$7))-(AM1103-AI1103))/AI1103)))</f>
        <v>1</v>
      </c>
      <c r="AO1103" s="50" t="n">
        <f aca="false">IF(LEFT(Cockpit!$I$5,1)="A",H1103,IF(CE1103=1,CF1103,IF(LEFT(Cockpit!$I$5,1)="B",AT1103,MAX(AT1103,H1103))))</f>
        <v>20</v>
      </c>
      <c r="AP1103" s="50" t="n">
        <f aca="false">IF(BW1103=1,0,ROUNDUP(AO1103/BV1103,0))</f>
        <v>1</v>
      </c>
      <c r="AQ1103" s="52" t="n">
        <f aca="false">IF(CL1103&gt;0,CL1103*MAX(1,AO1103/X1103),IF(BW1103=1,IF(AO1103&lt;=0,0,CA1103*MAX(1,IF(H1103&gt;0,AO1103/H1103,1))),IF(R1103&gt;0,AP1103/R1103,0))/MAX(0.1,N(Parameter!$M$21)))</f>
        <v>0.0384615384615385</v>
      </c>
      <c r="AR1103" s="50" t="n">
        <f aca="false">AQ1103*BY1103</f>
        <v>5.96153846153846</v>
      </c>
      <c r="AS1103" s="50" t="n">
        <f aca="false">AO1103*G1103</f>
        <v>1671.6</v>
      </c>
      <c r="AT1103" s="50" t="n">
        <f aca="false">ROUNDUP(MAX(J1103/IF(CD1103&gt;0,CD1103,MAX(0.1,N(Cockpit!$I$6))),CG1103)/BV1103,0)*BV1103</f>
        <v>20</v>
      </c>
      <c r="AU1103" s="51" t="n">
        <f aca="false">IF(AR1103&gt;0,J1103/AR1103,-1)</f>
        <v>0.167741935483871</v>
      </c>
      <c r="AV1103" s="51" t="n">
        <f aca="false">IF(AND(OR(CC1103="L1",CC1103="L23",CC1103="LIFT"),AR1103&gt;0),SUMIFS($AR$7:$AR$1843,$CC$7:$CC$1843,CC1103,$AU$7:$AU$1843,"&gt;"&amp;AU1103)+SUMIFS($AR$7:$AR$1843,$CC$7:$CC$1843,CC1103,$AU$7:$AU$1843,AU1103,$BT$7:$BT$1843,"&lt;="&amp;BT1103),"")</f>
        <v>19326.3850732601</v>
      </c>
      <c r="AW1103" s="58" t="n">
        <f aca="false">IF(AV1103="",0,MAX(0,MIN(1,(IF(CC1103="L1",Parameter!$H$5,IF(CC1103="L23",Parameter!$H$6+Parameter!$H$7,Parameter!$H$5+Parameter!$H$6+Parameter!$H$7))-(AV1103-AR1103))/AR1103)))</f>
        <v>1</v>
      </c>
      <c r="AX1103" s="50" t="n">
        <f aca="false">IF(LEFT(Cockpit!$O$5,1)="A",H1103,IF(CE1103=1,CF1103,IF(LEFT(Cockpit!$O$5,1)="B",BC1103,MAX(BC1103,H1103))))</f>
        <v>20</v>
      </c>
      <c r="AY1103" s="50" t="n">
        <f aca="false">IF(BW1103=1,0,ROUNDUP(AX1103/BV1103,0))</f>
        <v>1</v>
      </c>
      <c r="AZ1103" s="52" t="n">
        <f aca="false">IF(CL1103&gt;0,CL1103*MAX(1,AX1103/X1103),IF(BW1103=1,IF(AX1103&lt;=0,0,CA1103*MAX(1,IF(H1103&gt;0,AX1103/H1103,1))),IF(R1103&gt;0,AY1103/R1103,0))/MAX(0.1,N(Parameter!$M$21)))</f>
        <v>0.0384615384615385</v>
      </c>
      <c r="BA1103" s="50" t="n">
        <f aca="false">AZ1103*BY1103</f>
        <v>5.96153846153846</v>
      </c>
      <c r="BB1103" s="50" t="n">
        <f aca="false">AX1103*G1103</f>
        <v>1671.6</v>
      </c>
      <c r="BC1103" s="50" t="n">
        <f aca="false">ROUNDUP(MAX(J1103/IF(CD1103&gt;0,CD1103,MAX(0.1,N(Cockpit!$O$6))),CG1103)/BV1103,0)*BV1103</f>
        <v>20</v>
      </c>
      <c r="BD1103" s="51" t="n">
        <f aca="false">IF(BA1103&gt;0,J1103/BA1103,-1)</f>
        <v>0.167741935483871</v>
      </c>
      <c r="BE1103" s="51" t="n">
        <f aca="false">IF(AND(OR(CC1103="L1",CC1103="L23",CC1103="LIFT"),BA1103&gt;0),SUMIFS($BA$7:$BA$1843,$CC$7:$CC$1843,CC1103,$BD$7:$BD$1843,"&gt;"&amp;BD1103)+SUMIFS($BA$7:$BA$1843,$CC$7:$CC$1843,CC1103,$BD$7:$BD$1843,BD1103,$BT$7:$BT$1843,"&lt;="&amp;BT1103),"")</f>
        <v>17352.4587912088</v>
      </c>
      <c r="BF1103" s="58" t="n">
        <f aca="false">IF(BE1103="",0,MAX(0,MIN(1,(IF(CC1103="L1",Parameter!$H$5,IF(CC1103="L23",Parameter!$H$6+Parameter!$H$7,Parameter!$H$5+Parameter!$H$6+Parameter!$H$7))-(BE1103-BA1103))/BA1103)))</f>
        <v>1</v>
      </c>
      <c r="BG1103" s="48" t="str">
        <f aca="false">IF(AI1103&lt;=0,"",IF(CC1103="Aussen","Aussenlager",IF(CC1103="-","Nicht im Lift",IF(AN1103&gt;=1,"Lift",IF(AN1103&lt;=0,"Aussenlager","teilweise")))))</f>
        <v>Lift</v>
      </c>
      <c r="BH1103" s="48" t="str">
        <f aca="false">IF(AR1103&lt;=0,"",IF(CC1103="Aussen","Aussenlager",IF(CC1103="-","Nicht im Lift",IF(AW1103&gt;=1,"Lift",IF(AW1103&lt;=0,"Aussenlager","teilweise")))))</f>
        <v>Lift</v>
      </c>
      <c r="BI1103" s="48" t="str">
        <f aca="false">IF(BA1103&lt;=0,"",IF(CC1103="Aussen","Aussenlager",IF(CC1103="-","Nicht im Lift",IF(BF1103&gt;=1,"Lift",IF(BF1103&lt;=0,"Aussenlager","teilweise")))))</f>
        <v>Lift</v>
      </c>
      <c r="BJ1103" s="48" t="str">
        <f aca="false">IF(A1103="","",IF(BS1103=1,"Neu; ","")&amp;IF(AND(BS1103=0,BN1103&lt;0),"negativer Bestand (Export "&amp;BN1103&amp;"); ","")&amp;IF(J1103&lt;=0,"Kein Verbrauch; ","")&amp;IF(CL1103&gt;0,"Lift "&amp;W1103&amp;" lt. Liftbericht (Fach "&amp;X1103&amp;" Stk); ",IF(BX1103=1,"Gebinde geschätzt ("&amp;T1103&amp;"); ",IF(BW1103=1,"Lose – Tablare geschätzt; ","")))&amp;IF(H1103&gt;AT1103,"Überbestand "&amp;ROUND(H1103-AT1103,0)&amp;" Stk / CHF "&amp;ROUND((H1103-AT1103)*G1103,0)&amp;"; ","")&amp;IF(AND(CE1103=1,CF1103&lt;CG1103),"MAX &lt; MB+LG; ","")&amp;IF(AND(CK1103&gt;0,CJ1103*10&gt;CK1103),"zu hoch für Tablar; ","")&amp;IF(AND(BS1103=0,OR(CE1103=1,AA1103&lt;&gt;"",U1103&lt;&gt;"",V1103&lt;&gt;"",AB1103&lt;&gt;"")),"manuell übersteuert; ","")&amp;IF(AND(BW1103=0,R1103=0),"Gebinde unbekannt / Stellmass fehlt; ","")&amp;IF(AND(BW1103=0,N(V1103)&lt;=0,N(Q1103)&lt;=0),"Menge pro Gebinde fehlt (Ist = 1 Gebinde); ","")&amp;BR1103)</f>
        <v>negativer Bestand (Export -3); Gebinde geschätzt (Klein); Menge pro Gebinde fehlt (Ist = 1 Gebinde); </v>
      </c>
      <c r="BK1103" s="48"/>
      <c r="BL1103" s="48"/>
      <c r="BM1103" s="55"/>
      <c r="BN1103" s="50" t="n">
        <v>-3</v>
      </c>
      <c r="BO1103" s="50" t="n">
        <v>5</v>
      </c>
      <c r="BP1103" s="49" t="n">
        <v>-216.39</v>
      </c>
      <c r="BQ1103" s="50" t="n">
        <v>1</v>
      </c>
      <c r="BR1103" s="48"/>
      <c r="BS1103" s="53" t="n">
        <v>0</v>
      </c>
      <c r="BT1103" s="53" t="n">
        <v>1103</v>
      </c>
      <c r="BU1103" s="48" t="str">
        <f aca="false">IF(U1103&lt;&gt;"",UPPER(TRIM(U1103)),IF(BX1103=1,UPPER(VLOOKUP(T1103,Parameter!$I$27:$K$29,2,0)),IF(P1103="","LOSE",P1103)))</f>
        <v>S51</v>
      </c>
      <c r="BV1103" s="50" t="n">
        <f aca="false">IF(BU1103="LOSE",1,IF(N(V1103)&gt;0,V1103,IF(BX1103=1,MAX(1,N(VLOOKUP(T1103,Parameter!$I$27:$K$29,3,0)),H1103,N(N1103)),IF(N(Q1103)&gt;0,Q1103,MAX(1,H1103)))))</f>
        <v>20</v>
      </c>
      <c r="BW1103" s="53" t="n">
        <f aca="false">IF(BU1103="LOSE",1,0)</f>
        <v>0</v>
      </c>
      <c r="BX1103" s="53" t="n">
        <f aca="false">IF(AND(U1103="",OR(P1103="",P1103="LOSE"),T1103&lt;&gt;"",N(S1103)&lt;=0,ISNUMBER(MATCH(T1103,Parameter!$I$27:$I$29,0))),1,0)</f>
        <v>1</v>
      </c>
      <c r="BY1103" s="53" t="n">
        <f aca="false">IF(CL1103&gt;0,INDEX(Parameter!$H$5:$H$7,W1103)/INDEX(Parameter!$E$5:$E$7,W1103),IF(AND(BW1103=0,N(IFERROR(VLOOKUP(BU1103,'Gebinde-Kategorie'!$A$5:$N$45,14,0),0))&gt;0),VLOOKUP(BU1103,'Gebinde-Kategorie'!$A$5:$N$45,14,0)*10+Parameter!$M$23,Parameter!$M$24))</f>
        <v>155</v>
      </c>
      <c r="BZ1103" s="48" t="str">
        <f aca="false">IF(AND(Parameter!$B$19="Ja",E1103&lt;&gt;"",ISNUMBER(MATCH(E1103,Parameter!$I$35:$I$52,0))),VLOOKUP(E1103,Parameter!$I$35:$J$52,2,0),IFERROR(VLOOKUP(D1103,Parameter!$A$35:$C$64,2,0),"Nein"))</f>
        <v>2+3</v>
      </c>
      <c r="CA1103" s="52" t="n">
        <f aca="false">IF(BW1103=0,0,IF(N(S1103)&gt;0,S1103,IFERROR(VLOOKUP(D1103,Parameter!$A$35:$C$64,3,0)+0,0)))</f>
        <v>0</v>
      </c>
      <c r="CB1103" s="48" t="n">
        <f aca="false">IF(AA1103&lt;&gt;"",AA1103,Z1103)</f>
        <v>3</v>
      </c>
      <c r="CC1103" s="48" t="str">
        <f aca="false">IF(OR(CB1103=1,CB1103=2,CB1103=3),IF(Parameter!$E$27="Ja","LIFT",IF(CB1103=1,"L1","L23")),IF(CB1103="Aussen","Aussen","-"))</f>
        <v>LIFT</v>
      </c>
      <c r="CD1103" s="59" t="n">
        <f aca="false">IF(N(AB1103)&gt;0,AB1103,0)</f>
        <v>0</v>
      </c>
      <c r="CE1103" s="53" t="n">
        <f aca="false">IF(ISNUMBER(AE1103),1,0)</f>
        <v>0</v>
      </c>
      <c r="CF1103" s="50" t="n">
        <f aca="false">N(AE1103)</f>
        <v>0</v>
      </c>
      <c r="CG1103" s="50" t="n">
        <f aca="false">N(M1103)+N(N1103)</f>
        <v>1</v>
      </c>
      <c r="CH1103" s="50" t="n">
        <f aca="false">ROUNDUP(H1103/BV1103,0)</f>
        <v>1</v>
      </c>
      <c r="CI1103" s="50" t="n">
        <f aca="false">ROUNDUP(CF1103/BV1103,0)</f>
        <v>0</v>
      </c>
      <c r="CJ1103" s="53" t="n">
        <f aca="false">IF(BW1103=1,0,IFERROR(VLOOKUP(BU1103,'Gebinde-Kategorie'!$A$5:$N$45,5,0)+0,0))</f>
        <v>11</v>
      </c>
      <c r="CK1103" s="53" t="n">
        <f aca="false">IFERROR(IF(OR(CB1103=1,CB1103=2,CB1103=3),N(INDEX(Parameter!$I$5:$I$7,CB1103)),0),0)</f>
        <v>0</v>
      </c>
      <c r="CL1103" s="52" t="n">
        <f aca="false">IF(AND(Parameter!$B$21="Ja",ISNUMBER(W1103),N(X1103)&gt;0),IFERROR(N(INDEX(Parameter!$L$5:$L$7,W1103))*INDEX(Parameter!$E$5:$E$7,W1103)*X1103/SUMIFS($X$7:$X$1843,$W$7:$W$1843,W1103),0),0)</f>
        <v>0</v>
      </c>
    </row>
    <row r="1104" customFormat="false" ht="15" hidden="false" customHeight="false" outlineLevel="0" collapsed="false">
      <c r="A1104" s="48" t="s">
        <v>2011</v>
      </c>
      <c r="B1104" s="48" t="s">
        <v>1750</v>
      </c>
      <c r="C1104" s="48" t="s">
        <v>168</v>
      </c>
      <c r="D1104" s="48" t="s">
        <v>188</v>
      </c>
      <c r="E1104" s="48"/>
      <c r="F1104" s="48" t="s">
        <v>222</v>
      </c>
      <c r="G1104" s="49" t="n">
        <v>18.24</v>
      </c>
      <c r="H1104" s="50" t="n">
        <f aca="false">MAX(0,IF(AND(Parameter!$B$21="Ja",ISNUMBER(Y1104)),Y1104,IF(Parameter!$B$20="Jahresanfang 2025 + Export",BO1104+BN1104,BN1104)))</f>
        <v>22</v>
      </c>
      <c r="I1104" s="50" t="n">
        <f aca="false">H1104*G1104</f>
        <v>401.28</v>
      </c>
      <c r="J1104" s="50" t="n">
        <f aca="false">BQ1104*Parameter!$B$18</f>
        <v>20</v>
      </c>
      <c r="K1104" s="51" t="n">
        <v>25</v>
      </c>
      <c r="L1104" s="52" t="n">
        <v>0.8</v>
      </c>
      <c r="M1104" s="50" t="n">
        <v>2</v>
      </c>
      <c r="N1104" s="50" t="n">
        <v>20</v>
      </c>
      <c r="O1104" s="53" t="n">
        <v>49</v>
      </c>
      <c r="P1104" s="48" t="s">
        <v>425</v>
      </c>
      <c r="Q1104" s="50" t="n">
        <v>30</v>
      </c>
      <c r="R1104" s="53" t="n">
        <f aca="false">IF(BW1104=1,0,IFERROR(VLOOKUP(BU1104,'Gebinde-Kategorie'!$A$5:$N$45,13,0)+0,0))</f>
        <v>104</v>
      </c>
      <c r="S1104" s="54"/>
      <c r="T1104" s="55"/>
      <c r="U1104" s="55"/>
      <c r="V1104" s="55"/>
      <c r="W1104" s="48"/>
      <c r="X1104" s="50"/>
      <c r="Y1104" s="50"/>
      <c r="Z1104" s="48" t="n">
        <f aca="false">IF(A1104="","",IF(AND(Parameter!$B$21="Ja",ISNUMBER(W1104)),W1104,IF(BZ1104="2+3",IF(ISNUMBER(SEARCH("grosser Artikel",BR1104)),2,IFERROR(VLOOKUP(BU1104,Parameter!$F$35:$G$64,2,0),2)),IF(OR(BZ1104="Nein",BZ1104=""),"-",BZ1104))))</f>
        <v>3</v>
      </c>
      <c r="AA1104" s="55"/>
      <c r="AB1104" s="56"/>
      <c r="AC1104" s="50" t="n">
        <f aca="false">AT1104</f>
        <v>30</v>
      </c>
      <c r="AD1104" s="50" t="n">
        <f aca="false">MAX(AT1104,H1104)</f>
        <v>30</v>
      </c>
      <c r="AE1104" s="57"/>
      <c r="AF1104" s="50" t="n">
        <f aca="false">IF(LEFT(Cockpit!$C$5,1)="A",H1104,IF(CE1104=1,CF1104,IF(LEFT(Cockpit!$C$5,1)="B",AK1104,MAX(AK1104,H1104))))</f>
        <v>22</v>
      </c>
      <c r="AG1104" s="50" t="n">
        <f aca="false">IF(BW1104=1,0,ROUNDUP(AF1104/BV1104,0))</f>
        <v>1</v>
      </c>
      <c r="AH1104" s="52" t="n">
        <f aca="false">IF(CL1104&gt;0,CL1104*MAX(1,AF1104/X1104),IF(BW1104=1,IF(AF1104&lt;=0,0,CA1104*MAX(1,IF(H1104&gt;0,AF1104/H1104,1))),IF(R1104&gt;0,AG1104/R1104,0))/MAX(0.1,N(Parameter!$M$21)))</f>
        <v>0.00961538461538462</v>
      </c>
      <c r="AI1104" s="50" t="n">
        <f aca="false">AH1104*BY1104</f>
        <v>1.49038461538462</v>
      </c>
      <c r="AJ1104" s="50" t="n">
        <f aca="false">AF1104*G1104</f>
        <v>401.28</v>
      </c>
      <c r="AK1104" s="50" t="n">
        <f aca="false">ROUNDUP(MAX(J1104/IF(CD1104&gt;0,CD1104,MAX(0.1,N(Cockpit!$C$6))),CG1104)/BV1104,0)*BV1104</f>
        <v>30</v>
      </c>
      <c r="AL1104" s="51" t="n">
        <f aca="false">IF(AI1104&gt;0,J1104/AI1104,-1)</f>
        <v>13.4193548387097</v>
      </c>
      <c r="AM1104" s="51" t="n">
        <f aca="false">IF(AND(OR(CC1104="L1",CC1104="L23",CC1104="LIFT"),AI1104&gt;0),SUMIFS($AI$7:$AI$1843,$CC$7:$CC$1843,CC1104,$AL$7:$AL$1843,"&gt;"&amp;AL1104)+SUMIFS($AI$7:$AI$1843,$CC$7:$CC$1843,CC1104,$AL$7:$AL$1843,AL1104,$BT$7:$BT$1843,"&lt;="&amp;BT1104),"")</f>
        <v>2344.32646520147</v>
      </c>
      <c r="AN1104" s="58" t="n">
        <f aca="false">IF(AM1104="",0,MAX(0,MIN(1,(IF(CC1104="L1",Parameter!$H$5,IF(CC1104="L23",Parameter!$H$6+Parameter!$H$7,Parameter!$H$5+Parameter!$H$6+Parameter!$H$7))-(AM1104-AI1104))/AI1104)))</f>
        <v>1</v>
      </c>
      <c r="AO1104" s="50" t="n">
        <f aca="false">IF(LEFT(Cockpit!$I$5,1)="A",H1104,IF(CE1104=1,CF1104,IF(LEFT(Cockpit!$I$5,1)="B",AT1104,MAX(AT1104,H1104))))</f>
        <v>30</v>
      </c>
      <c r="AP1104" s="50" t="n">
        <f aca="false">IF(BW1104=1,0,ROUNDUP(AO1104/BV1104,0))</f>
        <v>1</v>
      </c>
      <c r="AQ1104" s="52" t="n">
        <f aca="false">IF(CL1104&gt;0,CL1104*MAX(1,AO1104/X1104),IF(BW1104=1,IF(AO1104&lt;=0,0,CA1104*MAX(1,IF(H1104&gt;0,AO1104/H1104,1))),IF(R1104&gt;0,AP1104/R1104,0))/MAX(0.1,N(Parameter!$M$21)))</f>
        <v>0.00961538461538462</v>
      </c>
      <c r="AR1104" s="50" t="n">
        <f aca="false">AQ1104*BY1104</f>
        <v>1.49038461538462</v>
      </c>
      <c r="AS1104" s="50" t="n">
        <f aca="false">AO1104*G1104</f>
        <v>547.2</v>
      </c>
      <c r="AT1104" s="50" t="n">
        <f aca="false">ROUNDUP(MAX(J1104/IF(CD1104&gt;0,CD1104,MAX(0.1,N(Cockpit!$I$6))),CG1104)/BV1104,0)*BV1104</f>
        <v>30</v>
      </c>
      <c r="AU1104" s="51" t="n">
        <f aca="false">IF(AR1104&gt;0,J1104/AR1104,-1)</f>
        <v>13.4193548387097</v>
      </c>
      <c r="AV1104" s="51" t="n">
        <f aca="false">IF(AND(OR(CC1104="L1",CC1104="L23",CC1104="LIFT"),AR1104&gt;0),SUMIFS($AR$7:$AR$1843,$CC$7:$CC$1843,CC1104,$AU$7:$AU$1843,"&gt;"&amp;AU1104)+SUMIFS($AR$7:$AR$1843,$CC$7:$CC$1843,CC1104,$AU$7:$AU$1843,AU1104,$BT$7:$BT$1843,"&lt;="&amp;BT1104),"")</f>
        <v>3530.76785714286</v>
      </c>
      <c r="AW1104" s="58" t="n">
        <f aca="false">IF(AV1104="",0,MAX(0,MIN(1,(IF(CC1104="L1",Parameter!$H$5,IF(CC1104="L23",Parameter!$H$6+Parameter!$H$7,Parameter!$H$5+Parameter!$H$6+Parameter!$H$7))-(AV1104-AR1104))/AR1104)))</f>
        <v>1</v>
      </c>
      <c r="AX1104" s="50" t="n">
        <f aca="false">IF(LEFT(Cockpit!$O$5,1)="A",H1104,IF(CE1104=1,CF1104,IF(LEFT(Cockpit!$O$5,1)="B",BC1104,MAX(BC1104,H1104))))</f>
        <v>30</v>
      </c>
      <c r="AY1104" s="50" t="n">
        <f aca="false">IF(BW1104=1,0,ROUNDUP(AX1104/BV1104,0))</f>
        <v>1</v>
      </c>
      <c r="AZ1104" s="52" t="n">
        <f aca="false">IF(CL1104&gt;0,CL1104*MAX(1,AX1104/X1104),IF(BW1104=1,IF(AX1104&lt;=0,0,CA1104*MAX(1,IF(H1104&gt;0,AX1104/H1104,1))),IF(R1104&gt;0,AY1104/R1104,0))/MAX(0.1,N(Parameter!$M$21)))</f>
        <v>0.00961538461538462</v>
      </c>
      <c r="BA1104" s="50" t="n">
        <f aca="false">AZ1104*BY1104</f>
        <v>1.49038461538462</v>
      </c>
      <c r="BB1104" s="50" t="n">
        <f aca="false">AX1104*G1104</f>
        <v>547.2</v>
      </c>
      <c r="BC1104" s="50" t="n">
        <f aca="false">ROUNDUP(MAX(J1104/IF(CD1104&gt;0,CD1104,MAX(0.1,N(Cockpit!$O$6))),CG1104)/BV1104,0)*BV1104</f>
        <v>30</v>
      </c>
      <c r="BD1104" s="51" t="n">
        <f aca="false">IF(BA1104&gt;0,J1104/BA1104,-1)</f>
        <v>13.4193548387097</v>
      </c>
      <c r="BE1104" s="51" t="n">
        <f aca="false">IF(AND(OR(CC1104="L1",CC1104="L23",CC1104="LIFT"),BA1104&gt;0),SUMIFS($BA$7:$BA$1843,$CC$7:$CC$1843,CC1104,$BD$7:$BD$1843,"&gt;"&amp;BD1104)+SUMIFS($BA$7:$BA$1843,$CC$7:$CC$1843,CC1104,$BD$7:$BD$1843,BD1104,$BT$7:$BT$1843,"&lt;="&amp;BT1104),"")</f>
        <v>3187.32234432234</v>
      </c>
      <c r="BF1104" s="58" t="n">
        <f aca="false">IF(BE1104="",0,MAX(0,MIN(1,(IF(CC1104="L1",Parameter!$H$5,IF(CC1104="L23",Parameter!$H$6+Parameter!$H$7,Parameter!$H$5+Parameter!$H$6+Parameter!$H$7))-(BE1104-BA1104))/BA1104)))</f>
        <v>1</v>
      </c>
      <c r="BG1104" s="48" t="str">
        <f aca="false">IF(AI1104&lt;=0,"",IF(CC1104="Aussen","Aussenlager",IF(CC1104="-","Nicht im Lift",IF(AN1104&gt;=1,"Lift",IF(AN1104&lt;=0,"Aussenlager","teilweise")))))</f>
        <v>Lift</v>
      </c>
      <c r="BH1104" s="48" t="str">
        <f aca="false">IF(AR1104&lt;=0,"",IF(CC1104="Aussen","Aussenlager",IF(CC1104="-","Nicht im Lift",IF(AW1104&gt;=1,"Lift",IF(AW1104&lt;=0,"Aussenlager","teilweise")))))</f>
        <v>Lift</v>
      </c>
      <c r="BI1104" s="48" t="str">
        <f aca="false">IF(BA1104&lt;=0,"",IF(CC1104="Aussen","Aussenlager",IF(CC1104="-","Nicht im Lift",IF(BF1104&gt;=1,"Lift",IF(BF1104&lt;=0,"Aussenlager","teilweise")))))</f>
        <v>Lift</v>
      </c>
      <c r="BJ1104" s="48" t="str">
        <f aca="false">IF(A1104="","",IF(BS1104=1,"Neu; ","")&amp;IF(AND(BS1104=0,BN1104&lt;0),"negativer Bestand (Export "&amp;BN1104&amp;"); ","")&amp;IF(J1104&lt;=0,"Kein Verbrauch; ","")&amp;IF(CL1104&gt;0,"Lift "&amp;W1104&amp;" lt. Liftbericht (Fach "&amp;X1104&amp;" Stk); ",IF(BX1104=1,"Gebinde geschätzt ("&amp;T1104&amp;"); ",IF(BW1104=1,"Lose – Tablare geschätzt; ","")))&amp;IF(H1104&gt;AT1104,"Überbestand "&amp;ROUND(H1104-AT1104,0)&amp;" Stk / CHF "&amp;ROUND((H1104-AT1104)*G1104,0)&amp;"; ","")&amp;IF(AND(CE1104=1,CF1104&lt;CG1104),"MAX &lt; MB+LG; ","")&amp;IF(AND(CK1104&gt;0,CJ1104*10&gt;CK1104),"zu hoch für Tablar; ","")&amp;IF(AND(BS1104=0,OR(CE1104=1,AA1104&lt;&gt;"",U1104&lt;&gt;"",V1104&lt;&gt;"",AB1104&lt;&gt;"")),"manuell übersteuert; ","")&amp;IF(AND(BW1104=0,R1104=0),"Gebinde unbekannt / Stellmass fehlt; ","")&amp;IF(AND(BW1104=0,N(V1104)&lt;=0,N(Q1104)&lt;=0),"Menge pro Gebinde fehlt (Ist = 1 Gebinde); ","")&amp;BR1104)</f>
        <v>negativer Bestand (Export -12); </v>
      </c>
      <c r="BK1104" s="48"/>
      <c r="BL1104" s="48"/>
      <c r="BM1104" s="55"/>
      <c r="BN1104" s="50" t="n">
        <v>-12</v>
      </c>
      <c r="BO1104" s="50" t="n">
        <v>34</v>
      </c>
      <c r="BP1104" s="49" t="n">
        <v>-218.54</v>
      </c>
      <c r="BQ1104" s="50" t="n">
        <v>20</v>
      </c>
      <c r="BR1104" s="48"/>
      <c r="BS1104" s="53" t="n">
        <v>0</v>
      </c>
      <c r="BT1104" s="53" t="n">
        <v>1104</v>
      </c>
      <c r="BU1104" s="48" t="str">
        <f aca="false">IF(U1104&lt;&gt;"",UPPER(TRIM(U1104)),IF(BX1104=1,UPPER(VLOOKUP(T1104,Parameter!$I$27:$K$29,2,0)),IF(P1104="","LOSE",P1104)))</f>
        <v>S32</v>
      </c>
      <c r="BV1104" s="50" t="n">
        <f aca="false">IF(BU1104="LOSE",1,IF(N(V1104)&gt;0,V1104,IF(BX1104=1,MAX(1,N(VLOOKUP(T1104,Parameter!$I$27:$K$29,3,0)),H1104,N(N1104)),IF(N(Q1104)&gt;0,Q1104,MAX(1,H1104)))))</f>
        <v>30</v>
      </c>
      <c r="BW1104" s="53" t="n">
        <f aca="false">IF(BU1104="LOSE",1,0)</f>
        <v>0</v>
      </c>
      <c r="BX1104" s="53" t="n">
        <f aca="false">IF(AND(U1104="",OR(P1104="",P1104="LOSE"),T1104&lt;&gt;"",N(S1104)&lt;=0,ISNUMBER(MATCH(T1104,Parameter!$I$27:$I$29,0))),1,0)</f>
        <v>0</v>
      </c>
      <c r="BY1104" s="53" t="n">
        <f aca="false">IF(CL1104&gt;0,INDEX(Parameter!$H$5:$H$7,W1104)/INDEX(Parameter!$E$5:$E$7,W1104),IF(AND(BW1104=0,N(IFERROR(VLOOKUP(BU1104,'Gebinde-Kategorie'!$A$5:$N$45,14,0),0))&gt;0),VLOOKUP(BU1104,'Gebinde-Kategorie'!$A$5:$N$45,14,0)*10+Parameter!$M$23,Parameter!$M$24))</f>
        <v>155</v>
      </c>
      <c r="BZ1104" s="48" t="str">
        <f aca="false">IF(AND(Parameter!$B$19="Ja",E1104&lt;&gt;"",ISNUMBER(MATCH(E1104,Parameter!$I$35:$I$52,0))),VLOOKUP(E1104,Parameter!$I$35:$J$52,2,0),IFERROR(VLOOKUP(D1104,Parameter!$A$35:$C$64,2,0),"Nein"))</f>
        <v>2+3</v>
      </c>
      <c r="CA1104" s="52" t="n">
        <f aca="false">IF(BW1104=0,0,IF(N(S1104)&gt;0,S1104,IFERROR(VLOOKUP(D1104,Parameter!$A$35:$C$64,3,0)+0,0)))</f>
        <v>0</v>
      </c>
      <c r="CB1104" s="48" t="n">
        <f aca="false">IF(AA1104&lt;&gt;"",AA1104,Z1104)</f>
        <v>3</v>
      </c>
      <c r="CC1104" s="48" t="str">
        <f aca="false">IF(OR(CB1104=1,CB1104=2,CB1104=3),IF(Parameter!$E$27="Ja","LIFT",IF(CB1104=1,"L1","L23")),IF(CB1104="Aussen","Aussen","-"))</f>
        <v>LIFT</v>
      </c>
      <c r="CD1104" s="59" t="n">
        <f aca="false">IF(N(AB1104)&gt;0,AB1104,0)</f>
        <v>0</v>
      </c>
      <c r="CE1104" s="53" t="n">
        <f aca="false">IF(ISNUMBER(AE1104),1,0)</f>
        <v>0</v>
      </c>
      <c r="CF1104" s="50" t="n">
        <f aca="false">N(AE1104)</f>
        <v>0</v>
      </c>
      <c r="CG1104" s="50" t="n">
        <f aca="false">N(M1104)+N(N1104)</f>
        <v>22</v>
      </c>
      <c r="CH1104" s="50" t="n">
        <f aca="false">ROUNDUP(H1104/BV1104,0)</f>
        <v>1</v>
      </c>
      <c r="CI1104" s="50" t="n">
        <f aca="false">ROUNDUP(CF1104/BV1104,0)</f>
        <v>0</v>
      </c>
      <c r="CJ1104" s="53" t="n">
        <f aca="false">IF(BW1104=1,0,IFERROR(VLOOKUP(BU1104,'Gebinde-Kategorie'!$A$5:$N$45,5,0)+0,0))</f>
        <v>8</v>
      </c>
      <c r="CK1104" s="53" t="n">
        <f aca="false">IFERROR(IF(OR(CB1104=1,CB1104=2,CB1104=3),N(INDEX(Parameter!$I$5:$I$7,CB1104)),0),0)</f>
        <v>0</v>
      </c>
      <c r="CL1104" s="52" t="n">
        <f aca="false">IF(AND(Parameter!$B$21="Ja",ISNUMBER(W1104),N(X1104)&gt;0),IFERROR(N(INDEX(Parameter!$L$5:$L$7,W1104))*INDEX(Parameter!$E$5:$E$7,W1104)*X1104/SUMIFS($X$7:$X$1843,$W$7:$W$1843,W1104),0),0)</f>
        <v>0</v>
      </c>
    </row>
    <row r="1105" customFormat="false" ht="15" hidden="false" customHeight="false" outlineLevel="0" collapsed="false">
      <c r="A1105" s="48" t="s">
        <v>2012</v>
      </c>
      <c r="B1105" s="48" t="s">
        <v>501</v>
      </c>
      <c r="C1105" s="48" t="s">
        <v>168</v>
      </c>
      <c r="D1105" s="48" t="s">
        <v>188</v>
      </c>
      <c r="E1105" s="48" t="s">
        <v>189</v>
      </c>
      <c r="F1105" s="48" t="s">
        <v>222</v>
      </c>
      <c r="G1105" s="49" t="n">
        <v>37</v>
      </c>
      <c r="H1105" s="50" t="n">
        <f aca="false">MAX(0,IF(AND(Parameter!$B$21="Ja",ISNUMBER(Y1105)),Y1105,IF(Parameter!$B$20="Jahresanfang 2025 + Export",BO1105+BN1105,BN1105)))</f>
        <v>8</v>
      </c>
      <c r="I1105" s="50" t="n">
        <f aca="false">H1105*G1105</f>
        <v>296</v>
      </c>
      <c r="J1105" s="50" t="n">
        <f aca="false">BQ1105*Parameter!$B$18</f>
        <v>20</v>
      </c>
      <c r="K1105" s="51" t="n">
        <v>14</v>
      </c>
      <c r="L1105" s="52" t="n">
        <v>1.42857142857143</v>
      </c>
      <c r="M1105" s="50" t="n">
        <v>1</v>
      </c>
      <c r="N1105" s="50" t="n">
        <v>20</v>
      </c>
      <c r="O1105" s="53" t="n">
        <v>35</v>
      </c>
      <c r="P1105" s="48" t="s">
        <v>425</v>
      </c>
      <c r="Q1105" s="50" t="n">
        <v>19</v>
      </c>
      <c r="R1105" s="53" t="n">
        <f aca="false">IF(BW1105=1,0,IFERROR(VLOOKUP(BU1105,'Gebinde-Kategorie'!$A$5:$N$45,13,0)+0,0))</f>
        <v>104</v>
      </c>
      <c r="S1105" s="54"/>
      <c r="T1105" s="55"/>
      <c r="U1105" s="55"/>
      <c r="V1105" s="55"/>
      <c r="W1105" s="48"/>
      <c r="X1105" s="50"/>
      <c r="Y1105" s="50"/>
      <c r="Z1105" s="48" t="n">
        <f aca="false">IF(A1105="","",IF(AND(Parameter!$B$21="Ja",ISNUMBER(W1105)),W1105,IF(BZ1105="2+3",IF(ISNUMBER(SEARCH("grosser Artikel",BR1105)),2,IFERROR(VLOOKUP(BU1105,Parameter!$F$35:$G$64,2,0),2)),IF(OR(BZ1105="Nein",BZ1105=""),"-",BZ1105))))</f>
        <v>3</v>
      </c>
      <c r="AA1105" s="55"/>
      <c r="AB1105" s="56"/>
      <c r="AC1105" s="50" t="n">
        <f aca="false">AT1105</f>
        <v>38</v>
      </c>
      <c r="AD1105" s="50" t="n">
        <f aca="false">MAX(AT1105,H1105)</f>
        <v>38</v>
      </c>
      <c r="AE1105" s="57"/>
      <c r="AF1105" s="50" t="n">
        <f aca="false">IF(LEFT(Cockpit!$C$5,1)="A",H1105,IF(CE1105=1,CF1105,IF(LEFT(Cockpit!$C$5,1)="B",AK1105,MAX(AK1105,H1105))))</f>
        <v>8</v>
      </c>
      <c r="AG1105" s="50" t="n">
        <f aca="false">IF(BW1105=1,0,ROUNDUP(AF1105/BV1105,0))</f>
        <v>1</v>
      </c>
      <c r="AH1105" s="52" t="n">
        <f aca="false">IF(CL1105&gt;0,CL1105*MAX(1,AF1105/X1105),IF(BW1105=1,IF(AF1105&lt;=0,0,CA1105*MAX(1,IF(H1105&gt;0,AF1105/H1105,1))),IF(R1105&gt;0,AG1105/R1105,0))/MAX(0.1,N(Parameter!$M$21)))</f>
        <v>0.00961538461538462</v>
      </c>
      <c r="AI1105" s="50" t="n">
        <f aca="false">AH1105*BY1105</f>
        <v>1.49038461538462</v>
      </c>
      <c r="AJ1105" s="50" t="n">
        <f aca="false">AF1105*G1105</f>
        <v>296</v>
      </c>
      <c r="AK1105" s="50" t="n">
        <f aca="false">ROUNDUP(MAX(J1105/IF(CD1105&gt;0,CD1105,MAX(0.1,N(Cockpit!$C$6))),CG1105)/BV1105,0)*BV1105</f>
        <v>38</v>
      </c>
      <c r="AL1105" s="51" t="n">
        <f aca="false">IF(AI1105&gt;0,J1105/AI1105,-1)</f>
        <v>13.4193548387097</v>
      </c>
      <c r="AM1105" s="51" t="n">
        <f aca="false">IF(AND(OR(CC1105="L1",CC1105="L23",CC1105="LIFT"),AI1105&gt;0),SUMIFS($AI$7:$AI$1843,$CC$7:$CC$1843,CC1105,$AL$7:$AL$1843,"&gt;"&amp;AL1105)+SUMIFS($AI$7:$AI$1843,$CC$7:$CC$1843,CC1105,$AL$7:$AL$1843,AL1105,$BT$7:$BT$1843,"&lt;="&amp;BT1105),"")</f>
        <v>2345.81684981685</v>
      </c>
      <c r="AN1105" s="58" t="n">
        <f aca="false">IF(AM1105="",0,MAX(0,MIN(1,(IF(CC1105="L1",Parameter!$H$5,IF(CC1105="L23",Parameter!$H$6+Parameter!$H$7,Parameter!$H$5+Parameter!$H$6+Parameter!$H$7))-(AM1105-AI1105))/AI1105)))</f>
        <v>1</v>
      </c>
      <c r="AO1105" s="50" t="n">
        <f aca="false">IF(LEFT(Cockpit!$I$5,1)="A",H1105,IF(CE1105=1,CF1105,IF(LEFT(Cockpit!$I$5,1)="B",AT1105,MAX(AT1105,H1105))))</f>
        <v>38</v>
      </c>
      <c r="AP1105" s="50" t="n">
        <f aca="false">IF(BW1105=1,0,ROUNDUP(AO1105/BV1105,0))</f>
        <v>2</v>
      </c>
      <c r="AQ1105" s="52" t="n">
        <f aca="false">IF(CL1105&gt;0,CL1105*MAX(1,AO1105/X1105),IF(BW1105=1,IF(AO1105&lt;=0,0,CA1105*MAX(1,IF(H1105&gt;0,AO1105/H1105,1))),IF(R1105&gt;0,AP1105/R1105,0))/MAX(0.1,N(Parameter!$M$21)))</f>
        <v>0.0192307692307692</v>
      </c>
      <c r="AR1105" s="50" t="n">
        <f aca="false">AQ1105*BY1105</f>
        <v>2.98076923076923</v>
      </c>
      <c r="AS1105" s="50" t="n">
        <f aca="false">AO1105*G1105</f>
        <v>1406</v>
      </c>
      <c r="AT1105" s="50" t="n">
        <f aca="false">ROUNDUP(MAX(J1105/IF(CD1105&gt;0,CD1105,MAX(0.1,N(Cockpit!$I$6))),CG1105)/BV1105,0)*BV1105</f>
        <v>38</v>
      </c>
      <c r="AU1105" s="51" t="n">
        <f aca="false">IF(AR1105&gt;0,J1105/AR1105,-1)</f>
        <v>6.70967741935484</v>
      </c>
      <c r="AV1105" s="51" t="n">
        <f aca="false">IF(AND(OR(CC1105="L1",CC1105="L23",CC1105="LIFT"),AR1105&gt;0),SUMIFS($AR$7:$AR$1843,$CC$7:$CC$1843,CC1105,$AU$7:$AU$1843,"&gt;"&amp;AU1105)+SUMIFS($AR$7:$AR$1843,$CC$7:$CC$1843,CC1105,$AU$7:$AU$1843,AU1105,$BT$7:$BT$1843,"&lt;="&amp;BT1105),"")</f>
        <v>4530.37774725275</v>
      </c>
      <c r="AW1105" s="58" t="n">
        <f aca="false">IF(AV1105="",0,MAX(0,MIN(1,(IF(CC1105="L1",Parameter!$H$5,IF(CC1105="L23",Parameter!$H$6+Parameter!$H$7,Parameter!$H$5+Parameter!$H$6+Parameter!$H$7))-(AV1105-AR1105))/AR1105)))</f>
        <v>1</v>
      </c>
      <c r="AX1105" s="50" t="n">
        <f aca="false">IF(LEFT(Cockpit!$O$5,1)="A",H1105,IF(CE1105=1,CF1105,IF(LEFT(Cockpit!$O$5,1)="B",BC1105,MAX(BC1105,H1105))))</f>
        <v>38</v>
      </c>
      <c r="AY1105" s="50" t="n">
        <f aca="false">IF(BW1105=1,0,ROUNDUP(AX1105/BV1105,0))</f>
        <v>2</v>
      </c>
      <c r="AZ1105" s="52" t="n">
        <f aca="false">IF(CL1105&gt;0,CL1105*MAX(1,AX1105/X1105),IF(BW1105=1,IF(AX1105&lt;=0,0,CA1105*MAX(1,IF(H1105&gt;0,AX1105/H1105,1))),IF(R1105&gt;0,AY1105/R1105,0))/MAX(0.1,N(Parameter!$M$21)))</f>
        <v>0.0192307692307692</v>
      </c>
      <c r="BA1105" s="50" t="n">
        <f aca="false">AZ1105*BY1105</f>
        <v>2.98076923076923</v>
      </c>
      <c r="BB1105" s="50" t="n">
        <f aca="false">AX1105*G1105</f>
        <v>1406</v>
      </c>
      <c r="BC1105" s="50" t="n">
        <f aca="false">ROUNDUP(MAX(J1105/IF(CD1105&gt;0,CD1105,MAX(0.1,N(Cockpit!$O$6))),CG1105)/BV1105,0)*BV1105</f>
        <v>38</v>
      </c>
      <c r="BD1105" s="51" t="n">
        <f aca="false">IF(BA1105&gt;0,J1105/BA1105,-1)</f>
        <v>6.70967741935484</v>
      </c>
      <c r="BE1105" s="51" t="n">
        <f aca="false">IF(AND(OR(CC1105="L1",CC1105="L23",CC1105="LIFT"),BA1105&gt;0),SUMIFS($BA$7:$BA$1843,$CC$7:$CC$1843,CC1105,$BD$7:$BD$1843,"&gt;"&amp;BD1105)+SUMIFS($BA$7:$BA$1843,$CC$7:$CC$1843,CC1105,$BD$7:$BD$1843,BD1105,$BT$7:$BT$1843,"&lt;="&amp;BT1105),"")</f>
        <v>4321.67582417582</v>
      </c>
      <c r="BF1105" s="58" t="n">
        <f aca="false">IF(BE1105="",0,MAX(0,MIN(1,(IF(CC1105="L1",Parameter!$H$5,IF(CC1105="L23",Parameter!$H$6+Parameter!$H$7,Parameter!$H$5+Parameter!$H$6+Parameter!$H$7))-(BE1105-BA1105))/BA1105)))</f>
        <v>1</v>
      </c>
      <c r="BG1105" s="48" t="str">
        <f aca="false">IF(AI1105&lt;=0,"",IF(CC1105="Aussen","Aussenlager",IF(CC1105="-","Nicht im Lift",IF(AN1105&gt;=1,"Lift",IF(AN1105&lt;=0,"Aussenlager","teilweise")))))</f>
        <v>Lift</v>
      </c>
      <c r="BH1105" s="48" t="str">
        <f aca="false">IF(AR1105&lt;=0,"",IF(CC1105="Aussen","Aussenlager",IF(CC1105="-","Nicht im Lift",IF(AW1105&gt;=1,"Lift",IF(AW1105&lt;=0,"Aussenlager","teilweise")))))</f>
        <v>Lift</v>
      </c>
      <c r="BI1105" s="48" t="str">
        <f aca="false">IF(BA1105&lt;=0,"",IF(CC1105="Aussen","Aussenlager",IF(CC1105="-","Nicht im Lift",IF(BF1105&gt;=1,"Lift",IF(BF1105&lt;=0,"Aussenlager","teilweise")))))</f>
        <v>Lift</v>
      </c>
      <c r="BJ1105" s="48" t="str">
        <f aca="false">IF(A1105="","",IF(BS1105=1,"Neu; ","")&amp;IF(AND(BS1105=0,BN1105&lt;0),"negativer Bestand (Export "&amp;BN1105&amp;"); ","")&amp;IF(J1105&lt;=0,"Kein Verbrauch; ","")&amp;IF(CL1105&gt;0,"Lift "&amp;W1105&amp;" lt. Liftbericht (Fach "&amp;X1105&amp;" Stk); ",IF(BX1105=1,"Gebinde geschätzt ("&amp;T1105&amp;"); ",IF(BW1105=1,"Lose – Tablare geschätzt; ","")))&amp;IF(H1105&gt;AT1105,"Überbestand "&amp;ROUND(H1105-AT1105,0)&amp;" Stk / CHF "&amp;ROUND((H1105-AT1105)*G1105,0)&amp;"; ","")&amp;IF(AND(CE1105=1,CF1105&lt;CG1105),"MAX &lt; MB+LG; ","")&amp;IF(AND(CK1105&gt;0,CJ1105*10&gt;CK1105),"zu hoch für Tablar; ","")&amp;IF(AND(BS1105=0,OR(CE1105=1,AA1105&lt;&gt;"",U1105&lt;&gt;"",V1105&lt;&gt;"",AB1105&lt;&gt;"")),"manuell übersteuert; ","")&amp;IF(AND(BW1105=0,R1105=0),"Gebinde unbekannt / Stellmass fehlt; ","")&amp;IF(AND(BW1105=0,N(V1105)&lt;=0,N(Q1105)&lt;=0),"Menge pro Gebinde fehlt (Ist = 1 Gebinde); ","")&amp;BR1105)</f>
        <v>negativer Bestand (Export -6); </v>
      </c>
      <c r="BK1105" s="48"/>
      <c r="BL1105" s="48"/>
      <c r="BM1105" s="55"/>
      <c r="BN1105" s="50" t="n">
        <v>-6</v>
      </c>
      <c r="BO1105" s="50" t="n">
        <v>14</v>
      </c>
      <c r="BP1105" s="49" t="n">
        <v>-222</v>
      </c>
      <c r="BQ1105" s="50" t="n">
        <v>20</v>
      </c>
      <c r="BR1105" s="48"/>
      <c r="BS1105" s="53" t="n">
        <v>0</v>
      </c>
      <c r="BT1105" s="53" t="n">
        <v>1105</v>
      </c>
      <c r="BU1105" s="48" t="str">
        <f aca="false">IF(U1105&lt;&gt;"",UPPER(TRIM(U1105)),IF(BX1105=1,UPPER(VLOOKUP(T1105,Parameter!$I$27:$K$29,2,0)),IF(P1105="","LOSE",P1105)))</f>
        <v>S32</v>
      </c>
      <c r="BV1105" s="50" t="n">
        <f aca="false">IF(BU1105="LOSE",1,IF(N(V1105)&gt;0,V1105,IF(BX1105=1,MAX(1,N(VLOOKUP(T1105,Parameter!$I$27:$K$29,3,0)),H1105,N(N1105)),IF(N(Q1105)&gt;0,Q1105,MAX(1,H1105)))))</f>
        <v>19</v>
      </c>
      <c r="BW1105" s="53" t="n">
        <f aca="false">IF(BU1105="LOSE",1,0)</f>
        <v>0</v>
      </c>
      <c r="BX1105" s="53" t="n">
        <f aca="false">IF(AND(U1105="",OR(P1105="",P1105="LOSE"),T1105&lt;&gt;"",N(S1105)&lt;=0,ISNUMBER(MATCH(T1105,Parameter!$I$27:$I$29,0))),1,0)</f>
        <v>0</v>
      </c>
      <c r="BY1105" s="53" t="n">
        <f aca="false">IF(CL1105&gt;0,INDEX(Parameter!$H$5:$H$7,W1105)/INDEX(Parameter!$E$5:$E$7,W1105),IF(AND(BW1105=0,N(IFERROR(VLOOKUP(BU1105,'Gebinde-Kategorie'!$A$5:$N$45,14,0),0))&gt;0),VLOOKUP(BU1105,'Gebinde-Kategorie'!$A$5:$N$45,14,0)*10+Parameter!$M$23,Parameter!$M$24))</f>
        <v>155</v>
      </c>
      <c r="BZ1105" s="48" t="str">
        <f aca="false">IF(AND(Parameter!$B$19="Ja",E1105&lt;&gt;"",ISNUMBER(MATCH(E1105,Parameter!$I$35:$I$52,0))),VLOOKUP(E1105,Parameter!$I$35:$J$52,2,0),IFERROR(VLOOKUP(D1105,Parameter!$A$35:$C$64,2,0),"Nein"))</f>
        <v>2+3</v>
      </c>
      <c r="CA1105" s="52" t="n">
        <f aca="false">IF(BW1105=0,0,IF(N(S1105)&gt;0,S1105,IFERROR(VLOOKUP(D1105,Parameter!$A$35:$C$64,3,0)+0,0)))</f>
        <v>0</v>
      </c>
      <c r="CB1105" s="48" t="n">
        <f aca="false">IF(AA1105&lt;&gt;"",AA1105,Z1105)</f>
        <v>3</v>
      </c>
      <c r="CC1105" s="48" t="str">
        <f aca="false">IF(OR(CB1105=1,CB1105=2,CB1105=3),IF(Parameter!$E$27="Ja","LIFT",IF(CB1105=1,"L1","L23")),IF(CB1105="Aussen","Aussen","-"))</f>
        <v>LIFT</v>
      </c>
      <c r="CD1105" s="59" t="n">
        <f aca="false">IF(N(AB1105)&gt;0,AB1105,0)</f>
        <v>0</v>
      </c>
      <c r="CE1105" s="53" t="n">
        <f aca="false">IF(ISNUMBER(AE1105),1,0)</f>
        <v>0</v>
      </c>
      <c r="CF1105" s="50" t="n">
        <f aca="false">N(AE1105)</f>
        <v>0</v>
      </c>
      <c r="CG1105" s="50" t="n">
        <f aca="false">N(M1105)+N(N1105)</f>
        <v>21</v>
      </c>
      <c r="CH1105" s="50" t="n">
        <f aca="false">ROUNDUP(H1105/BV1105,0)</f>
        <v>1</v>
      </c>
      <c r="CI1105" s="50" t="n">
        <f aca="false">ROUNDUP(CF1105/BV1105,0)</f>
        <v>0</v>
      </c>
      <c r="CJ1105" s="53" t="n">
        <f aca="false">IF(BW1105=1,0,IFERROR(VLOOKUP(BU1105,'Gebinde-Kategorie'!$A$5:$N$45,5,0)+0,0))</f>
        <v>8</v>
      </c>
      <c r="CK1105" s="53" t="n">
        <f aca="false">IFERROR(IF(OR(CB1105=1,CB1105=2,CB1105=3),N(INDEX(Parameter!$I$5:$I$7,CB1105)),0),0)</f>
        <v>0</v>
      </c>
      <c r="CL1105" s="52" t="n">
        <f aca="false">IF(AND(Parameter!$B$21="Ja",ISNUMBER(W1105),N(X1105)&gt;0),IFERROR(N(INDEX(Parameter!$L$5:$L$7,W1105))*INDEX(Parameter!$E$5:$E$7,W1105)*X1105/SUMIFS($X$7:$X$1843,$W$7:$W$1843,W1105),0),0)</f>
        <v>0</v>
      </c>
    </row>
    <row r="1106" customFormat="false" ht="15" hidden="false" customHeight="false" outlineLevel="0" collapsed="false">
      <c r="A1106" s="48" t="s">
        <v>2013</v>
      </c>
      <c r="B1106" s="48" t="s">
        <v>548</v>
      </c>
      <c r="C1106" s="48" t="s">
        <v>168</v>
      </c>
      <c r="D1106" s="48" t="s">
        <v>188</v>
      </c>
      <c r="E1106" s="48" t="s">
        <v>189</v>
      </c>
      <c r="F1106" s="48" t="s">
        <v>222</v>
      </c>
      <c r="G1106" s="49" t="n">
        <v>16.05</v>
      </c>
      <c r="H1106" s="50" t="n">
        <f aca="false">MAX(0,IF(AND(Parameter!$B$21="Ja",ISNUMBER(Y1106)),Y1106,IF(Parameter!$B$20="Jahresanfang 2025 + Export",BO1106+BN1106,BN1106)))</f>
        <v>25</v>
      </c>
      <c r="I1106" s="50" t="n">
        <f aca="false">H1106*G1106</f>
        <v>401.25</v>
      </c>
      <c r="J1106" s="50" t="n">
        <f aca="false">BQ1106*Parameter!$B$18</f>
        <v>0</v>
      </c>
      <c r="K1106" s="51" t="n">
        <v>32</v>
      </c>
      <c r="L1106" s="52" t="n">
        <v>0</v>
      </c>
      <c r="M1106" s="50" t="n">
        <v>2</v>
      </c>
      <c r="N1106" s="50" t="n">
        <v>1</v>
      </c>
      <c r="O1106" s="53" t="n">
        <v>28</v>
      </c>
      <c r="P1106" s="48" t="s">
        <v>425</v>
      </c>
      <c r="Q1106" s="50" t="n">
        <v>39</v>
      </c>
      <c r="R1106" s="53" t="n">
        <f aca="false">IF(BW1106=1,0,IFERROR(VLOOKUP(BU1106,'Gebinde-Kategorie'!$A$5:$N$45,13,0)+0,0))</f>
        <v>104</v>
      </c>
      <c r="S1106" s="54"/>
      <c r="T1106" s="55"/>
      <c r="U1106" s="55"/>
      <c r="V1106" s="55"/>
      <c r="W1106" s="48"/>
      <c r="X1106" s="50"/>
      <c r="Y1106" s="50"/>
      <c r="Z1106" s="48" t="n">
        <f aca="false">IF(A1106="","",IF(AND(Parameter!$B$21="Ja",ISNUMBER(W1106)),W1106,IF(BZ1106="2+3",IF(ISNUMBER(SEARCH("grosser Artikel",BR1106)),2,IFERROR(VLOOKUP(BU1106,Parameter!$F$35:$G$64,2,0),2)),IF(OR(BZ1106="Nein",BZ1106=""),"-",BZ1106))))</f>
        <v>3</v>
      </c>
      <c r="AA1106" s="55"/>
      <c r="AB1106" s="56"/>
      <c r="AC1106" s="50" t="n">
        <f aca="false">AT1106</f>
        <v>39</v>
      </c>
      <c r="AD1106" s="50" t="n">
        <f aca="false">MAX(AT1106,H1106)</f>
        <v>39</v>
      </c>
      <c r="AE1106" s="57"/>
      <c r="AF1106" s="50" t="n">
        <f aca="false">IF(LEFT(Cockpit!$C$5,1)="A",H1106,IF(CE1106=1,CF1106,IF(LEFT(Cockpit!$C$5,1)="B",AK1106,MAX(AK1106,H1106))))</f>
        <v>25</v>
      </c>
      <c r="AG1106" s="50" t="n">
        <f aca="false">IF(BW1106=1,0,ROUNDUP(AF1106/BV1106,0))</f>
        <v>1</v>
      </c>
      <c r="AH1106" s="52" t="n">
        <f aca="false">IF(CL1106&gt;0,CL1106*MAX(1,AF1106/X1106),IF(BW1106=1,IF(AF1106&lt;=0,0,CA1106*MAX(1,IF(H1106&gt;0,AF1106/H1106,1))),IF(R1106&gt;0,AG1106/R1106,0))/MAX(0.1,N(Parameter!$M$21)))</f>
        <v>0.00961538461538462</v>
      </c>
      <c r="AI1106" s="50" t="n">
        <f aca="false">AH1106*BY1106</f>
        <v>1.49038461538462</v>
      </c>
      <c r="AJ1106" s="50" t="n">
        <f aca="false">AF1106*G1106</f>
        <v>401.25</v>
      </c>
      <c r="AK1106" s="50" t="n">
        <f aca="false">ROUNDUP(MAX(J1106/IF(CD1106&gt;0,CD1106,MAX(0.1,N(Cockpit!$C$6))),CG1106)/BV1106,0)*BV1106</f>
        <v>39</v>
      </c>
      <c r="AL1106" s="51" t="n">
        <f aca="false">IF(AI1106&gt;0,J1106/AI1106,-1)</f>
        <v>0</v>
      </c>
      <c r="AM1106" s="51" t="n">
        <f aca="false">IF(AND(OR(CC1106="L1",CC1106="L23",CC1106="LIFT"),AI1106&gt;0),SUMIFS($AI$7:$AI$1843,$CC$7:$CC$1843,CC1106,$AL$7:$AL$1843,"&gt;"&amp;AL1106)+SUMIFS($AI$7:$AI$1843,$CC$7:$CC$1843,CC1106,$AL$7:$AL$1843,AL1106,$BT$7:$BT$1843,"&lt;="&amp;BT1106),"")</f>
        <v>29135.9859740072</v>
      </c>
      <c r="AN1106" s="58" t="n">
        <f aca="false">IF(AM1106="",0,MAX(0,MIN(1,(IF(CC1106="L1",Parameter!$H$5,IF(CC1106="L23",Parameter!$H$6+Parameter!$H$7,Parameter!$H$5+Parameter!$H$6+Parameter!$H$7))-(AM1106-AI1106))/AI1106)))</f>
        <v>1</v>
      </c>
      <c r="AO1106" s="50" t="n">
        <f aca="false">IF(LEFT(Cockpit!$I$5,1)="A",H1106,IF(CE1106=1,CF1106,IF(LEFT(Cockpit!$I$5,1)="B",AT1106,MAX(AT1106,H1106))))</f>
        <v>39</v>
      </c>
      <c r="AP1106" s="50" t="n">
        <f aca="false">IF(BW1106=1,0,ROUNDUP(AO1106/BV1106,0))</f>
        <v>1</v>
      </c>
      <c r="AQ1106" s="52" t="n">
        <f aca="false">IF(CL1106&gt;0,CL1106*MAX(1,AO1106/X1106),IF(BW1106=1,IF(AO1106&lt;=0,0,CA1106*MAX(1,IF(H1106&gt;0,AO1106/H1106,1))),IF(R1106&gt;0,AP1106/R1106,0))/MAX(0.1,N(Parameter!$M$21)))</f>
        <v>0.00961538461538462</v>
      </c>
      <c r="AR1106" s="50" t="n">
        <f aca="false">AQ1106*BY1106</f>
        <v>1.49038461538462</v>
      </c>
      <c r="AS1106" s="50" t="n">
        <f aca="false">AO1106*G1106</f>
        <v>625.95</v>
      </c>
      <c r="AT1106" s="50" t="n">
        <f aca="false">ROUNDUP(MAX(J1106/IF(CD1106&gt;0,CD1106,MAX(0.1,N(Cockpit!$I$6))),CG1106)/BV1106,0)*BV1106</f>
        <v>39</v>
      </c>
      <c r="AU1106" s="51" t="n">
        <f aca="false">IF(AR1106&gt;0,J1106/AR1106,-1)</f>
        <v>0</v>
      </c>
      <c r="AV1106" s="51" t="n">
        <f aca="false">IF(AND(OR(CC1106="L1",CC1106="L23",CC1106="LIFT"),AR1106&gt;0),SUMIFS($AR$7:$AR$1843,$CC$7:$CC$1843,CC1106,$AU$7:$AU$1843,"&gt;"&amp;AU1106)+SUMIFS($AR$7:$AR$1843,$CC$7:$CC$1843,CC1106,$AU$7:$AU$1843,AU1106,$BT$7:$BT$1843,"&lt;="&amp;BT1106),"")</f>
        <v>40816.5531213137</v>
      </c>
      <c r="AW1106" s="58" t="n">
        <f aca="false">IF(AV1106="",0,MAX(0,MIN(1,(IF(CC1106="L1",Parameter!$H$5,IF(CC1106="L23",Parameter!$H$6+Parameter!$H$7,Parameter!$H$5+Parameter!$H$6+Parameter!$H$7))-(AV1106-AR1106))/AR1106)))</f>
        <v>0</v>
      </c>
      <c r="AX1106" s="50" t="n">
        <f aca="false">IF(LEFT(Cockpit!$O$5,1)="A",H1106,IF(CE1106=1,CF1106,IF(LEFT(Cockpit!$O$5,1)="B",BC1106,MAX(BC1106,H1106))))</f>
        <v>39</v>
      </c>
      <c r="AY1106" s="50" t="n">
        <f aca="false">IF(BW1106=1,0,ROUNDUP(AX1106/BV1106,0))</f>
        <v>1</v>
      </c>
      <c r="AZ1106" s="52" t="n">
        <f aca="false">IF(CL1106&gt;0,CL1106*MAX(1,AX1106/X1106),IF(BW1106=1,IF(AX1106&lt;=0,0,CA1106*MAX(1,IF(H1106&gt;0,AX1106/H1106,1))),IF(R1106&gt;0,AY1106/R1106,0))/MAX(0.1,N(Parameter!$M$21)))</f>
        <v>0.00961538461538462</v>
      </c>
      <c r="BA1106" s="50" t="n">
        <f aca="false">AZ1106*BY1106</f>
        <v>1.49038461538462</v>
      </c>
      <c r="BB1106" s="50" t="n">
        <f aca="false">AX1106*G1106</f>
        <v>625.95</v>
      </c>
      <c r="BC1106" s="50" t="n">
        <f aca="false">ROUNDUP(MAX(J1106/IF(CD1106&gt;0,CD1106,MAX(0.1,N(Cockpit!$O$6))),CG1106)/BV1106,0)*BV1106</f>
        <v>39</v>
      </c>
      <c r="BD1106" s="51" t="n">
        <f aca="false">IF(BA1106&gt;0,J1106/BA1106,-1)</f>
        <v>0</v>
      </c>
      <c r="BE1106" s="51" t="n">
        <f aca="false">IF(AND(OR(CC1106="L1",CC1106="L23",CC1106="LIFT"),BA1106&gt;0),SUMIFS($BA$7:$BA$1843,$CC$7:$CC$1843,CC1106,$BD$7:$BD$1843,"&gt;"&amp;BD1106)+SUMIFS($BA$7:$BA$1843,$CC$7:$CC$1843,CC1106,$BD$7:$BD$1843,BD1106,$BT$7:$BT$1843,"&lt;="&amp;BT1106),"")</f>
        <v>37491.5651631796</v>
      </c>
      <c r="BF1106" s="58" t="n">
        <f aca="false">IF(BE1106="",0,MAX(0,MIN(1,(IF(CC1106="L1",Parameter!$H$5,IF(CC1106="L23",Parameter!$H$6+Parameter!$H$7,Parameter!$H$5+Parameter!$H$6+Parameter!$H$7))-(BE1106-BA1106))/BA1106)))</f>
        <v>0</v>
      </c>
      <c r="BG1106" s="48" t="str">
        <f aca="false">IF(AI1106&lt;=0,"",IF(CC1106="Aussen","Aussenlager",IF(CC1106="-","Nicht im Lift",IF(AN1106&gt;=1,"Lift",IF(AN1106&lt;=0,"Aussenlager","teilweise")))))</f>
        <v>Lift</v>
      </c>
      <c r="BH1106" s="48" t="str">
        <f aca="false">IF(AR1106&lt;=0,"",IF(CC1106="Aussen","Aussenlager",IF(CC1106="-","Nicht im Lift",IF(AW1106&gt;=1,"Lift",IF(AW1106&lt;=0,"Aussenlager","teilweise")))))</f>
        <v>Aussenlager</v>
      </c>
      <c r="BI1106" s="48" t="str">
        <f aca="false">IF(BA1106&lt;=0,"",IF(CC1106="Aussen","Aussenlager",IF(CC1106="-","Nicht im Lift",IF(BF1106&gt;=1,"Lift",IF(BF1106&lt;=0,"Aussenlager","teilweise")))))</f>
        <v>Aussenlager</v>
      </c>
      <c r="BJ1106" s="48" t="str">
        <f aca="false">IF(A1106="","",IF(BS1106=1,"Neu; ","")&amp;IF(AND(BS1106=0,BN1106&lt;0),"negativer Bestand (Export "&amp;BN1106&amp;"); ","")&amp;IF(J1106&lt;=0,"Kein Verbrauch; ","")&amp;IF(CL1106&gt;0,"Lift "&amp;W1106&amp;" lt. Liftbericht (Fach "&amp;X1106&amp;" Stk); ",IF(BX1106=1,"Gebinde geschätzt ("&amp;T1106&amp;"); ",IF(BW1106=1,"Lose – Tablare geschätzt; ","")))&amp;IF(H1106&gt;AT1106,"Überbestand "&amp;ROUND(H1106-AT1106,0)&amp;" Stk / CHF "&amp;ROUND((H1106-AT1106)*G1106,0)&amp;"; ","")&amp;IF(AND(CE1106=1,CF1106&lt;CG1106),"MAX &lt; MB+LG; ","")&amp;IF(AND(CK1106&gt;0,CJ1106*10&gt;CK1106),"zu hoch für Tablar; ","")&amp;IF(AND(BS1106=0,OR(CE1106=1,AA1106&lt;&gt;"",U1106&lt;&gt;"",V1106&lt;&gt;"",AB1106&lt;&gt;"")),"manuell übersteuert; ","")&amp;IF(AND(BW1106=0,R1106=0),"Gebinde unbekannt / Stellmass fehlt; ","")&amp;IF(AND(BW1106=0,N(V1106)&lt;=0,N(Q1106)&lt;=0),"Menge pro Gebinde fehlt (Ist = 1 Gebinde); ","")&amp;BR1106)</f>
        <v>negativer Bestand (Export -14); Kein Verbrauch; Neu</v>
      </c>
      <c r="BK1106" s="48"/>
      <c r="BL1106" s="48"/>
      <c r="BM1106" s="55"/>
      <c r="BN1106" s="50" t="n">
        <v>-14</v>
      </c>
      <c r="BO1106" s="50" t="n">
        <v>39</v>
      </c>
      <c r="BP1106" s="49" t="n">
        <v>-224.7</v>
      </c>
      <c r="BQ1106" s="50" t="n">
        <v>0</v>
      </c>
      <c r="BR1106" s="48" t="s">
        <v>630</v>
      </c>
      <c r="BS1106" s="53" t="n">
        <v>0</v>
      </c>
      <c r="BT1106" s="53" t="n">
        <v>1106</v>
      </c>
      <c r="BU1106" s="48" t="str">
        <f aca="false">IF(U1106&lt;&gt;"",UPPER(TRIM(U1106)),IF(BX1106=1,UPPER(VLOOKUP(T1106,Parameter!$I$27:$K$29,2,0)),IF(P1106="","LOSE",P1106)))</f>
        <v>S32</v>
      </c>
      <c r="BV1106" s="50" t="n">
        <f aca="false">IF(BU1106="LOSE",1,IF(N(V1106)&gt;0,V1106,IF(BX1106=1,MAX(1,N(VLOOKUP(T1106,Parameter!$I$27:$K$29,3,0)),H1106,N(N1106)),IF(N(Q1106)&gt;0,Q1106,MAX(1,H1106)))))</f>
        <v>39</v>
      </c>
      <c r="BW1106" s="53" t="n">
        <f aca="false">IF(BU1106="LOSE",1,0)</f>
        <v>0</v>
      </c>
      <c r="BX1106" s="53" t="n">
        <f aca="false">IF(AND(U1106="",OR(P1106="",P1106="LOSE"),T1106&lt;&gt;"",N(S1106)&lt;=0,ISNUMBER(MATCH(T1106,Parameter!$I$27:$I$29,0))),1,0)</f>
        <v>0</v>
      </c>
      <c r="BY1106" s="53" t="n">
        <f aca="false">IF(CL1106&gt;0,INDEX(Parameter!$H$5:$H$7,W1106)/INDEX(Parameter!$E$5:$E$7,W1106),IF(AND(BW1106=0,N(IFERROR(VLOOKUP(BU1106,'Gebinde-Kategorie'!$A$5:$N$45,14,0),0))&gt;0),VLOOKUP(BU1106,'Gebinde-Kategorie'!$A$5:$N$45,14,0)*10+Parameter!$M$23,Parameter!$M$24))</f>
        <v>155</v>
      </c>
      <c r="BZ1106" s="48" t="str">
        <f aca="false">IF(AND(Parameter!$B$19="Ja",E1106&lt;&gt;"",ISNUMBER(MATCH(E1106,Parameter!$I$35:$I$52,0))),VLOOKUP(E1106,Parameter!$I$35:$J$52,2,0),IFERROR(VLOOKUP(D1106,Parameter!$A$35:$C$64,2,0),"Nein"))</f>
        <v>2+3</v>
      </c>
      <c r="CA1106" s="52" t="n">
        <f aca="false">IF(BW1106=0,0,IF(N(S1106)&gt;0,S1106,IFERROR(VLOOKUP(D1106,Parameter!$A$35:$C$64,3,0)+0,0)))</f>
        <v>0</v>
      </c>
      <c r="CB1106" s="48" t="n">
        <f aca="false">IF(AA1106&lt;&gt;"",AA1106,Z1106)</f>
        <v>3</v>
      </c>
      <c r="CC1106" s="48" t="str">
        <f aca="false">IF(OR(CB1106=1,CB1106=2,CB1106=3),IF(Parameter!$E$27="Ja","LIFT",IF(CB1106=1,"L1","L23")),IF(CB1106="Aussen","Aussen","-"))</f>
        <v>LIFT</v>
      </c>
      <c r="CD1106" s="59" t="n">
        <f aca="false">IF(N(AB1106)&gt;0,AB1106,0)</f>
        <v>0</v>
      </c>
      <c r="CE1106" s="53" t="n">
        <f aca="false">IF(ISNUMBER(AE1106),1,0)</f>
        <v>0</v>
      </c>
      <c r="CF1106" s="50" t="n">
        <f aca="false">N(AE1106)</f>
        <v>0</v>
      </c>
      <c r="CG1106" s="50" t="n">
        <f aca="false">N(M1106)+N(N1106)</f>
        <v>3</v>
      </c>
      <c r="CH1106" s="50" t="n">
        <f aca="false">ROUNDUP(H1106/BV1106,0)</f>
        <v>1</v>
      </c>
      <c r="CI1106" s="50" t="n">
        <f aca="false">ROUNDUP(CF1106/BV1106,0)</f>
        <v>0</v>
      </c>
      <c r="CJ1106" s="53" t="n">
        <f aca="false">IF(BW1106=1,0,IFERROR(VLOOKUP(BU1106,'Gebinde-Kategorie'!$A$5:$N$45,5,0)+0,0))</f>
        <v>8</v>
      </c>
      <c r="CK1106" s="53" t="n">
        <f aca="false">IFERROR(IF(OR(CB1106=1,CB1106=2,CB1106=3),N(INDEX(Parameter!$I$5:$I$7,CB1106)),0),0)</f>
        <v>0</v>
      </c>
      <c r="CL1106" s="52" t="n">
        <f aca="false">IF(AND(Parameter!$B$21="Ja",ISNUMBER(W1106),N(X1106)&gt;0),IFERROR(N(INDEX(Parameter!$L$5:$L$7,W1106))*INDEX(Parameter!$E$5:$E$7,W1106)*X1106/SUMIFS($X$7:$X$1843,$W$7:$W$1843,W1106),0),0)</f>
        <v>0</v>
      </c>
    </row>
    <row r="1107" customFormat="false" ht="15" hidden="false" customHeight="false" outlineLevel="0" collapsed="false">
      <c r="A1107" s="48" t="s">
        <v>2014</v>
      </c>
      <c r="B1107" s="48" t="s">
        <v>2015</v>
      </c>
      <c r="C1107" s="48" t="s">
        <v>168</v>
      </c>
      <c r="D1107" s="48" t="s">
        <v>188</v>
      </c>
      <c r="E1107" s="48" t="s">
        <v>189</v>
      </c>
      <c r="F1107" s="48" t="s">
        <v>222</v>
      </c>
      <c r="G1107" s="49" t="n">
        <v>225.71</v>
      </c>
      <c r="H1107" s="50" t="n">
        <f aca="false">MAX(0,IF(AND(Parameter!$B$21="Ja",ISNUMBER(Y1107)),Y1107,IF(Parameter!$B$20="Jahresanfang 2025 + Export",BO1107+BN1107,BN1107)))</f>
        <v>6</v>
      </c>
      <c r="I1107" s="50" t="n">
        <f aca="false">H1107*G1107</f>
        <v>1354.26</v>
      </c>
      <c r="J1107" s="50" t="n">
        <f aca="false">BQ1107*Parameter!$B$18</f>
        <v>1</v>
      </c>
      <c r="K1107" s="51" t="n">
        <v>6.5</v>
      </c>
      <c r="L1107" s="52" t="n">
        <v>0.153846153846154</v>
      </c>
      <c r="M1107" s="50" t="n">
        <v>0</v>
      </c>
      <c r="N1107" s="50" t="n">
        <v>1</v>
      </c>
      <c r="O1107" s="53" t="n">
        <v>28</v>
      </c>
      <c r="P1107" s="48" t="s">
        <v>332</v>
      </c>
      <c r="Q1107" s="50" t="n">
        <v>7</v>
      </c>
      <c r="R1107" s="53" t="n">
        <f aca="false">IF(BW1107=1,0,IFERROR(VLOOKUP(BU1107,'Gebinde-Kategorie'!$A$5:$N$45,13,0)+0,0))</f>
        <v>52</v>
      </c>
      <c r="S1107" s="54"/>
      <c r="T1107" s="55"/>
      <c r="U1107" s="55"/>
      <c r="V1107" s="55"/>
      <c r="W1107" s="48"/>
      <c r="X1107" s="50"/>
      <c r="Y1107" s="50"/>
      <c r="Z1107" s="48" t="n">
        <f aca="false">IF(A1107="","",IF(AND(Parameter!$B$21="Ja",ISNUMBER(W1107)),W1107,IF(BZ1107="2+3",IF(ISNUMBER(SEARCH("grosser Artikel",BR1107)),2,IFERROR(VLOOKUP(BU1107,Parameter!$F$35:$G$64,2,0),2)),IF(OR(BZ1107="Nein",BZ1107=""),"-",BZ1107))))</f>
        <v>3</v>
      </c>
      <c r="AA1107" s="55"/>
      <c r="AB1107" s="56"/>
      <c r="AC1107" s="50" t="n">
        <f aca="false">AT1107</f>
        <v>7</v>
      </c>
      <c r="AD1107" s="50" t="n">
        <f aca="false">MAX(AT1107,H1107)</f>
        <v>7</v>
      </c>
      <c r="AE1107" s="57"/>
      <c r="AF1107" s="50" t="n">
        <f aca="false">IF(LEFT(Cockpit!$C$5,1)="A",H1107,IF(CE1107=1,CF1107,IF(LEFT(Cockpit!$C$5,1)="B",AK1107,MAX(AK1107,H1107))))</f>
        <v>6</v>
      </c>
      <c r="AG1107" s="50" t="n">
        <f aca="false">IF(BW1107=1,0,ROUNDUP(AF1107/BV1107,0))</f>
        <v>1</v>
      </c>
      <c r="AH1107" s="52" t="n">
        <f aca="false">IF(CL1107&gt;0,CL1107*MAX(1,AF1107/X1107),IF(BW1107=1,IF(AF1107&lt;=0,0,CA1107*MAX(1,IF(H1107&gt;0,AF1107/H1107,1))),IF(R1107&gt;0,AG1107/R1107,0))/MAX(0.1,N(Parameter!$M$21)))</f>
        <v>0.0192307692307692</v>
      </c>
      <c r="AI1107" s="50" t="n">
        <f aca="false">AH1107*BY1107</f>
        <v>2.98076923076923</v>
      </c>
      <c r="AJ1107" s="50" t="n">
        <f aca="false">AF1107*G1107</f>
        <v>1354.26</v>
      </c>
      <c r="AK1107" s="50" t="n">
        <f aca="false">ROUNDUP(MAX(J1107/IF(CD1107&gt;0,CD1107,MAX(0.1,N(Cockpit!$C$6))),CG1107)/BV1107,0)*BV1107</f>
        <v>7</v>
      </c>
      <c r="AL1107" s="51" t="n">
        <f aca="false">IF(AI1107&gt;0,J1107/AI1107,-1)</f>
        <v>0.335483870967742</v>
      </c>
      <c r="AM1107" s="51" t="n">
        <f aca="false">IF(AND(OR(CC1107="L1",CC1107="L23",CC1107="LIFT"),AI1107&gt;0),SUMIFS($AI$7:$AI$1843,$CC$7:$CC$1843,CC1107,$AL$7:$AL$1843,"&gt;"&amp;AL1107)+SUMIFS($AI$7:$AI$1843,$CC$7:$CC$1843,CC1107,$AL$7:$AL$1843,AL1107,$BT$7:$BT$1843,"&lt;="&amp;BT1107),"")</f>
        <v>11224.7693471782</v>
      </c>
      <c r="AN1107" s="58" t="n">
        <f aca="false">IF(AM1107="",0,MAX(0,MIN(1,(IF(CC1107="L1",Parameter!$H$5,IF(CC1107="L23",Parameter!$H$6+Parameter!$H$7,Parameter!$H$5+Parameter!$H$6+Parameter!$H$7))-(AM1107-AI1107))/AI1107)))</f>
        <v>1</v>
      </c>
      <c r="AO1107" s="50" t="n">
        <f aca="false">IF(LEFT(Cockpit!$I$5,1)="A",H1107,IF(CE1107=1,CF1107,IF(LEFT(Cockpit!$I$5,1)="B",AT1107,MAX(AT1107,H1107))))</f>
        <v>7</v>
      </c>
      <c r="AP1107" s="50" t="n">
        <f aca="false">IF(BW1107=1,0,ROUNDUP(AO1107/BV1107,0))</f>
        <v>1</v>
      </c>
      <c r="AQ1107" s="52" t="n">
        <f aca="false">IF(CL1107&gt;0,CL1107*MAX(1,AO1107/X1107),IF(BW1107=1,IF(AO1107&lt;=0,0,CA1107*MAX(1,IF(H1107&gt;0,AO1107/H1107,1))),IF(R1107&gt;0,AP1107/R1107,0))/MAX(0.1,N(Parameter!$M$21)))</f>
        <v>0.0192307692307692</v>
      </c>
      <c r="AR1107" s="50" t="n">
        <f aca="false">AQ1107*BY1107</f>
        <v>2.98076923076923</v>
      </c>
      <c r="AS1107" s="50" t="n">
        <f aca="false">AO1107*G1107</f>
        <v>1579.97</v>
      </c>
      <c r="AT1107" s="50" t="n">
        <f aca="false">ROUNDUP(MAX(J1107/IF(CD1107&gt;0,CD1107,MAX(0.1,N(Cockpit!$I$6))),CG1107)/BV1107,0)*BV1107</f>
        <v>7</v>
      </c>
      <c r="AU1107" s="51" t="n">
        <f aca="false">IF(AR1107&gt;0,J1107/AR1107,-1)</f>
        <v>0.335483870967742</v>
      </c>
      <c r="AV1107" s="51" t="n">
        <f aca="false">IF(AND(OR(CC1107="L1",CC1107="L23",CC1107="LIFT"),AR1107&gt;0),SUMIFS($AR$7:$AR$1843,$CC$7:$CC$1843,CC1107,$AU$7:$AU$1843,"&gt;"&amp;AU1107)+SUMIFS($AR$7:$AR$1843,$CC$7:$CC$1843,CC1107,$AU$7:$AU$1843,AU1107,$BT$7:$BT$1843,"&lt;="&amp;BT1107),"")</f>
        <v>16350.4674908425</v>
      </c>
      <c r="AW1107" s="58" t="n">
        <f aca="false">IF(AV1107="",0,MAX(0,MIN(1,(IF(CC1107="L1",Parameter!$H$5,IF(CC1107="L23",Parameter!$H$6+Parameter!$H$7,Parameter!$H$5+Parameter!$H$6+Parameter!$H$7))-(AV1107-AR1107))/AR1107)))</f>
        <v>1</v>
      </c>
      <c r="AX1107" s="50" t="n">
        <f aca="false">IF(LEFT(Cockpit!$O$5,1)="A",H1107,IF(CE1107=1,CF1107,IF(LEFT(Cockpit!$O$5,1)="B",BC1107,MAX(BC1107,H1107))))</f>
        <v>7</v>
      </c>
      <c r="AY1107" s="50" t="n">
        <f aca="false">IF(BW1107=1,0,ROUNDUP(AX1107/BV1107,0))</f>
        <v>1</v>
      </c>
      <c r="AZ1107" s="52" t="n">
        <f aca="false">IF(CL1107&gt;0,CL1107*MAX(1,AX1107/X1107),IF(BW1107=1,IF(AX1107&lt;=0,0,CA1107*MAX(1,IF(H1107&gt;0,AX1107/H1107,1))),IF(R1107&gt;0,AY1107/R1107,0))/MAX(0.1,N(Parameter!$M$21)))</f>
        <v>0.0192307692307692</v>
      </c>
      <c r="BA1107" s="50" t="n">
        <f aca="false">AZ1107*BY1107</f>
        <v>2.98076923076923</v>
      </c>
      <c r="BB1107" s="50" t="n">
        <f aca="false">AX1107*G1107</f>
        <v>1579.97</v>
      </c>
      <c r="BC1107" s="50" t="n">
        <f aca="false">ROUNDUP(MAX(J1107/IF(CD1107&gt;0,CD1107,MAX(0.1,N(Cockpit!$O$6))),CG1107)/BV1107,0)*BV1107</f>
        <v>7</v>
      </c>
      <c r="BD1107" s="51" t="n">
        <f aca="false">IF(BA1107&gt;0,J1107/BA1107,-1)</f>
        <v>0.335483870967742</v>
      </c>
      <c r="BE1107" s="51" t="n">
        <f aca="false">IF(AND(OR(CC1107="L1",CC1107="L23",CC1107="LIFT"),BA1107&gt;0),SUMIFS($BA$7:$BA$1843,$CC$7:$CC$1843,CC1107,$BD$7:$BD$1843,"&gt;"&amp;BD1107)+SUMIFS($BA$7:$BA$1843,$CC$7:$CC$1843,CC1107,$BD$7:$BD$1843,BD1107,$BT$7:$BT$1843,"&lt;="&amp;BT1107),"")</f>
        <v>15101.1245421245</v>
      </c>
      <c r="BF1107" s="58" t="n">
        <f aca="false">IF(BE1107="",0,MAX(0,MIN(1,(IF(CC1107="L1",Parameter!$H$5,IF(CC1107="L23",Parameter!$H$6+Parameter!$H$7,Parameter!$H$5+Parameter!$H$6+Parameter!$H$7))-(BE1107-BA1107))/BA1107)))</f>
        <v>1</v>
      </c>
      <c r="BG1107" s="48" t="str">
        <f aca="false">IF(AI1107&lt;=0,"",IF(CC1107="Aussen","Aussenlager",IF(CC1107="-","Nicht im Lift",IF(AN1107&gt;=1,"Lift",IF(AN1107&lt;=0,"Aussenlager","teilweise")))))</f>
        <v>Lift</v>
      </c>
      <c r="BH1107" s="48" t="str">
        <f aca="false">IF(AR1107&lt;=0,"",IF(CC1107="Aussen","Aussenlager",IF(CC1107="-","Nicht im Lift",IF(AW1107&gt;=1,"Lift",IF(AW1107&lt;=0,"Aussenlager","teilweise")))))</f>
        <v>Lift</v>
      </c>
      <c r="BI1107" s="48" t="str">
        <f aca="false">IF(BA1107&lt;=0,"",IF(CC1107="Aussen","Aussenlager",IF(CC1107="-","Nicht im Lift",IF(BF1107&gt;=1,"Lift",IF(BF1107&lt;=0,"Aussenlager","teilweise")))))</f>
        <v>Lift</v>
      </c>
      <c r="BJ1107" s="48" t="str">
        <f aca="false">IF(A1107="","",IF(BS1107=1,"Neu; ","")&amp;IF(AND(BS1107=0,BN1107&lt;0),"negativer Bestand (Export "&amp;BN1107&amp;"); ","")&amp;IF(J1107&lt;=0,"Kein Verbrauch; ","")&amp;IF(CL1107&gt;0,"Lift "&amp;W1107&amp;" lt. Liftbericht (Fach "&amp;X1107&amp;" Stk); ",IF(BX1107=1,"Gebinde geschätzt ("&amp;T1107&amp;"); ",IF(BW1107=1,"Lose – Tablare geschätzt; ","")))&amp;IF(H1107&gt;AT1107,"Überbestand "&amp;ROUND(H1107-AT1107,0)&amp;" Stk / CHF "&amp;ROUND((H1107-AT1107)*G1107,0)&amp;"; ","")&amp;IF(AND(CE1107=1,CF1107&lt;CG1107),"MAX &lt; MB+LG; ","")&amp;IF(AND(CK1107&gt;0,CJ1107*10&gt;CK1107),"zu hoch für Tablar; ","")&amp;IF(AND(BS1107=0,OR(CE1107=1,AA1107&lt;&gt;"",U1107&lt;&gt;"",V1107&lt;&gt;"",AB1107&lt;&gt;"")),"manuell übersteuert; ","")&amp;IF(AND(BW1107=0,R1107=0),"Gebinde unbekannt / Stellmass fehlt; ","")&amp;IF(AND(BW1107=0,N(V1107)&lt;=0,N(Q1107)&lt;=0),"Menge pro Gebinde fehlt (Ist = 1 Gebinde); ","")&amp;BR1107)</f>
        <v>negativer Bestand (Export -1); Überbestand</v>
      </c>
      <c r="BK1107" s="48"/>
      <c r="BL1107" s="48"/>
      <c r="BM1107" s="55"/>
      <c r="BN1107" s="50" t="n">
        <v>-1</v>
      </c>
      <c r="BO1107" s="50" t="n">
        <v>7</v>
      </c>
      <c r="BP1107" s="49" t="n">
        <v>-225.71</v>
      </c>
      <c r="BQ1107" s="50" t="n">
        <v>1</v>
      </c>
      <c r="BR1107" s="48" t="s">
        <v>396</v>
      </c>
      <c r="BS1107" s="53" t="n">
        <v>0</v>
      </c>
      <c r="BT1107" s="53" t="n">
        <v>1107</v>
      </c>
      <c r="BU1107" s="48" t="str">
        <f aca="false">IF(U1107&lt;&gt;"",UPPER(TRIM(U1107)),IF(BX1107=1,UPPER(VLOOKUP(T1107,Parameter!$I$27:$K$29,2,0)),IF(P1107="","LOSE",P1107)))</f>
        <v>S41</v>
      </c>
      <c r="BV1107" s="50" t="n">
        <f aca="false">IF(BU1107="LOSE",1,IF(N(V1107)&gt;0,V1107,IF(BX1107=1,MAX(1,N(VLOOKUP(T1107,Parameter!$I$27:$K$29,3,0)),H1107,N(N1107)),IF(N(Q1107)&gt;0,Q1107,MAX(1,H1107)))))</f>
        <v>7</v>
      </c>
      <c r="BW1107" s="53" t="n">
        <f aca="false">IF(BU1107="LOSE",1,0)</f>
        <v>0</v>
      </c>
      <c r="BX1107" s="53" t="n">
        <f aca="false">IF(AND(U1107="",OR(P1107="",P1107="LOSE"),T1107&lt;&gt;"",N(S1107)&lt;=0,ISNUMBER(MATCH(T1107,Parameter!$I$27:$I$29,0))),1,0)</f>
        <v>0</v>
      </c>
      <c r="BY1107" s="53" t="n">
        <f aca="false">IF(CL1107&gt;0,INDEX(Parameter!$H$5:$H$7,W1107)/INDEX(Parameter!$E$5:$E$7,W1107),IF(AND(BW1107=0,N(IFERROR(VLOOKUP(BU1107,'Gebinde-Kategorie'!$A$5:$N$45,14,0),0))&gt;0),VLOOKUP(BU1107,'Gebinde-Kategorie'!$A$5:$N$45,14,0)*10+Parameter!$M$23,Parameter!$M$24))</f>
        <v>155</v>
      </c>
      <c r="BZ1107" s="48" t="str">
        <f aca="false">IF(AND(Parameter!$B$19="Ja",E1107&lt;&gt;"",ISNUMBER(MATCH(E1107,Parameter!$I$35:$I$52,0))),VLOOKUP(E1107,Parameter!$I$35:$J$52,2,0),IFERROR(VLOOKUP(D1107,Parameter!$A$35:$C$64,2,0),"Nein"))</f>
        <v>2+3</v>
      </c>
      <c r="CA1107" s="52" t="n">
        <f aca="false">IF(BW1107=0,0,IF(N(S1107)&gt;0,S1107,IFERROR(VLOOKUP(D1107,Parameter!$A$35:$C$64,3,0)+0,0)))</f>
        <v>0</v>
      </c>
      <c r="CB1107" s="48" t="n">
        <f aca="false">IF(AA1107&lt;&gt;"",AA1107,Z1107)</f>
        <v>3</v>
      </c>
      <c r="CC1107" s="48" t="str">
        <f aca="false">IF(OR(CB1107=1,CB1107=2,CB1107=3),IF(Parameter!$E$27="Ja","LIFT",IF(CB1107=1,"L1","L23")),IF(CB1107="Aussen","Aussen","-"))</f>
        <v>LIFT</v>
      </c>
      <c r="CD1107" s="59" t="n">
        <f aca="false">IF(N(AB1107)&gt;0,AB1107,0)</f>
        <v>0</v>
      </c>
      <c r="CE1107" s="53" t="n">
        <f aca="false">IF(ISNUMBER(AE1107),1,0)</f>
        <v>0</v>
      </c>
      <c r="CF1107" s="50" t="n">
        <f aca="false">N(AE1107)</f>
        <v>0</v>
      </c>
      <c r="CG1107" s="50" t="n">
        <f aca="false">N(M1107)+N(N1107)</f>
        <v>1</v>
      </c>
      <c r="CH1107" s="50" t="n">
        <f aca="false">ROUNDUP(H1107/BV1107,0)</f>
        <v>1</v>
      </c>
      <c r="CI1107" s="50" t="n">
        <f aca="false">ROUNDUP(CF1107/BV1107,0)</f>
        <v>0</v>
      </c>
      <c r="CJ1107" s="53" t="n">
        <f aca="false">IF(BW1107=1,0,IFERROR(VLOOKUP(BU1107,'Gebinde-Kategorie'!$A$5:$N$45,5,0)+0,0))</f>
        <v>11</v>
      </c>
      <c r="CK1107" s="53" t="n">
        <f aca="false">IFERROR(IF(OR(CB1107=1,CB1107=2,CB1107=3),N(INDEX(Parameter!$I$5:$I$7,CB1107)),0),0)</f>
        <v>0</v>
      </c>
      <c r="CL1107" s="52" t="n">
        <f aca="false">IF(AND(Parameter!$B$21="Ja",ISNUMBER(W1107),N(X1107)&gt;0),IFERROR(N(INDEX(Parameter!$L$5:$L$7,W1107))*INDEX(Parameter!$E$5:$E$7,W1107)*X1107/SUMIFS($X$7:$X$1843,$W$7:$W$1843,W1107),0),0)</f>
        <v>0</v>
      </c>
    </row>
    <row r="1108" customFormat="false" ht="15" hidden="false" customHeight="false" outlineLevel="0" collapsed="false">
      <c r="A1108" s="48" t="s">
        <v>2016</v>
      </c>
      <c r="B1108" s="48" t="s">
        <v>2017</v>
      </c>
      <c r="C1108" s="48" t="s">
        <v>168</v>
      </c>
      <c r="D1108" s="48" t="s">
        <v>177</v>
      </c>
      <c r="E1108" s="48" t="s">
        <v>189</v>
      </c>
      <c r="F1108" s="48" t="s">
        <v>222</v>
      </c>
      <c r="G1108" s="49" t="n">
        <v>225.73</v>
      </c>
      <c r="H1108" s="50" t="n">
        <f aca="false">MAX(0,IF(AND(Parameter!$B$21="Ja",ISNUMBER(Y1108)),Y1108,IF(Parameter!$B$20="Jahresanfang 2025 + Export",BO1108+BN1108,BN1108)))</f>
        <v>14</v>
      </c>
      <c r="I1108" s="50" t="n">
        <f aca="false">H1108*G1108</f>
        <v>3160.22</v>
      </c>
      <c r="J1108" s="50" t="n">
        <f aca="false">BQ1108*Parameter!$B$18</f>
        <v>1</v>
      </c>
      <c r="K1108" s="51" t="n">
        <v>14.5</v>
      </c>
      <c r="L1108" s="52" t="n">
        <v>0.0689655172413793</v>
      </c>
      <c r="M1108" s="50" t="n">
        <v>0</v>
      </c>
      <c r="N1108" s="50" t="n">
        <v>1</v>
      </c>
      <c r="O1108" s="53" t="n">
        <v>21</v>
      </c>
      <c r="P1108" s="48" t="s">
        <v>178</v>
      </c>
      <c r="Q1108" s="50" t="n">
        <v>24</v>
      </c>
      <c r="R1108" s="53" t="n">
        <f aca="false">IF(BW1108=1,0,IFERROR(VLOOKUP(BU1108,'Gebinde-Kategorie'!$A$5:$N$45,13,0)+0,0))</f>
        <v>6</v>
      </c>
      <c r="S1108" s="54"/>
      <c r="T1108" s="55"/>
      <c r="U1108" s="55"/>
      <c r="V1108" s="55"/>
      <c r="W1108" s="48"/>
      <c r="X1108" s="50"/>
      <c r="Y1108" s="50"/>
      <c r="Z1108" s="48" t="n">
        <f aca="false">IF(A1108="","",IF(AND(Parameter!$B$21="Ja",ISNUMBER(W1108)),W1108,IF(BZ1108="2+3",IF(ISNUMBER(SEARCH("grosser Artikel",BR1108)),2,IFERROR(VLOOKUP(BU1108,Parameter!$F$35:$G$64,2,0),2)),IF(OR(BZ1108="Nein",BZ1108=""),"-",BZ1108))))</f>
        <v>2</v>
      </c>
      <c r="AA1108" s="55"/>
      <c r="AB1108" s="56"/>
      <c r="AC1108" s="50" t="n">
        <f aca="false">AT1108</f>
        <v>24</v>
      </c>
      <c r="AD1108" s="50" t="n">
        <f aca="false">MAX(AT1108,H1108)</f>
        <v>24</v>
      </c>
      <c r="AE1108" s="57"/>
      <c r="AF1108" s="50" t="n">
        <f aca="false">IF(LEFT(Cockpit!$C$5,1)="A",H1108,IF(CE1108=1,CF1108,IF(LEFT(Cockpit!$C$5,1)="B",AK1108,MAX(AK1108,H1108))))</f>
        <v>14</v>
      </c>
      <c r="AG1108" s="50" t="n">
        <f aca="false">IF(BW1108=1,0,ROUNDUP(AF1108/BV1108,0))</f>
        <v>1</v>
      </c>
      <c r="AH1108" s="52" t="n">
        <f aca="false">IF(CL1108&gt;0,CL1108*MAX(1,AF1108/X1108),IF(BW1108=1,IF(AF1108&lt;=0,0,CA1108*MAX(1,IF(H1108&gt;0,AF1108/H1108,1))),IF(R1108&gt;0,AG1108/R1108,0))/MAX(0.1,N(Parameter!$M$21)))</f>
        <v>0.166666666666667</v>
      </c>
      <c r="AI1108" s="50" t="n">
        <f aca="false">AH1108*BY1108</f>
        <v>39.1666666666667</v>
      </c>
      <c r="AJ1108" s="50" t="n">
        <f aca="false">AF1108*G1108</f>
        <v>3160.22</v>
      </c>
      <c r="AK1108" s="50" t="n">
        <f aca="false">ROUNDUP(MAX(J1108/IF(CD1108&gt;0,CD1108,MAX(0.1,N(Cockpit!$C$6))),CG1108)/BV1108,0)*BV1108</f>
        <v>24</v>
      </c>
      <c r="AL1108" s="51" t="n">
        <f aca="false">IF(AI1108&gt;0,J1108/AI1108,-1)</f>
        <v>0.025531914893617</v>
      </c>
      <c r="AM1108" s="51" t="n">
        <f aca="false">IF(AND(OR(CC1108="L1",CC1108="L23",CC1108="LIFT"),AI1108&gt;0),SUMIFS($AI$7:$AI$1843,$CC$7:$CC$1843,CC1108,$AL$7:$AL$1843,"&gt;"&amp;AL1108)+SUMIFS($AI$7:$AI$1843,$CC$7:$CC$1843,CC1108,$AL$7:$AL$1843,AL1108,$BT$7:$BT$1843,"&lt;="&amp;BT1108),"")</f>
        <v>21807.9437382298</v>
      </c>
      <c r="AN1108" s="58" t="n">
        <f aca="false">IF(AM1108="",0,MAX(0,MIN(1,(IF(CC1108="L1",Parameter!$H$5,IF(CC1108="L23",Parameter!$H$6+Parameter!$H$7,Parameter!$H$5+Parameter!$H$6+Parameter!$H$7))-(AM1108-AI1108))/AI1108)))</f>
        <v>1</v>
      </c>
      <c r="AO1108" s="50" t="n">
        <f aca="false">IF(LEFT(Cockpit!$I$5,1)="A",H1108,IF(CE1108=1,CF1108,IF(LEFT(Cockpit!$I$5,1)="B",AT1108,MAX(AT1108,H1108))))</f>
        <v>24</v>
      </c>
      <c r="AP1108" s="50" t="n">
        <f aca="false">IF(BW1108=1,0,ROUNDUP(AO1108/BV1108,0))</f>
        <v>1</v>
      </c>
      <c r="AQ1108" s="52" t="n">
        <f aca="false">IF(CL1108&gt;0,CL1108*MAX(1,AO1108/X1108),IF(BW1108=1,IF(AO1108&lt;=0,0,CA1108*MAX(1,IF(H1108&gt;0,AO1108/H1108,1))),IF(R1108&gt;0,AP1108/R1108,0))/MAX(0.1,N(Parameter!$M$21)))</f>
        <v>0.166666666666667</v>
      </c>
      <c r="AR1108" s="50" t="n">
        <f aca="false">AQ1108*BY1108</f>
        <v>39.1666666666667</v>
      </c>
      <c r="AS1108" s="50" t="n">
        <f aca="false">AO1108*G1108</f>
        <v>5417.52</v>
      </c>
      <c r="AT1108" s="50" t="n">
        <f aca="false">ROUNDUP(MAX(J1108/IF(CD1108&gt;0,CD1108,MAX(0.1,N(Cockpit!$I$6))),CG1108)/BV1108,0)*BV1108</f>
        <v>24</v>
      </c>
      <c r="AU1108" s="51" t="n">
        <f aca="false">IF(AR1108&gt;0,J1108/AR1108,-1)</f>
        <v>0.025531914893617</v>
      </c>
      <c r="AV1108" s="51" t="n">
        <f aca="false">IF(AND(OR(CC1108="L1",CC1108="L23",CC1108="LIFT"),AR1108&gt;0),SUMIFS($AR$7:$AR$1843,$CC$7:$CC$1843,CC1108,$AU$7:$AU$1843,"&gt;"&amp;AU1108)+SUMIFS($AR$7:$AR$1843,$CC$7:$CC$1843,CC1108,$AU$7:$AU$1843,AU1108,$BT$7:$BT$1843,"&lt;="&amp;BT1108),"")</f>
        <v>32740.6679937294</v>
      </c>
      <c r="AW1108" s="58" t="n">
        <f aca="false">IF(AV1108="",0,MAX(0,MIN(1,(IF(CC1108="L1",Parameter!$H$5,IF(CC1108="L23",Parameter!$H$6+Parameter!$H$7,Parameter!$H$5+Parameter!$H$6+Parameter!$H$7))-(AV1108-AR1108))/AR1108)))</f>
        <v>1</v>
      </c>
      <c r="AX1108" s="50" t="n">
        <f aca="false">IF(LEFT(Cockpit!$O$5,1)="A",H1108,IF(CE1108=1,CF1108,IF(LEFT(Cockpit!$O$5,1)="B",BC1108,MAX(BC1108,H1108))))</f>
        <v>24</v>
      </c>
      <c r="AY1108" s="50" t="n">
        <f aca="false">IF(BW1108=1,0,ROUNDUP(AX1108/BV1108,0))</f>
        <v>1</v>
      </c>
      <c r="AZ1108" s="52" t="n">
        <f aca="false">IF(CL1108&gt;0,CL1108*MAX(1,AX1108/X1108),IF(BW1108=1,IF(AX1108&lt;=0,0,CA1108*MAX(1,IF(H1108&gt;0,AX1108/H1108,1))),IF(R1108&gt;0,AY1108/R1108,0))/MAX(0.1,N(Parameter!$M$21)))</f>
        <v>0.166666666666667</v>
      </c>
      <c r="BA1108" s="50" t="n">
        <f aca="false">AZ1108*BY1108</f>
        <v>39.1666666666667</v>
      </c>
      <c r="BB1108" s="50" t="n">
        <f aca="false">AX1108*G1108</f>
        <v>5417.52</v>
      </c>
      <c r="BC1108" s="50" t="n">
        <f aca="false">ROUNDUP(MAX(J1108/IF(CD1108&gt;0,CD1108,MAX(0.1,N(Cockpit!$O$6))),CG1108)/BV1108,0)*BV1108</f>
        <v>24</v>
      </c>
      <c r="BD1108" s="51" t="n">
        <f aca="false">IF(BA1108&gt;0,J1108/BA1108,-1)</f>
        <v>0.025531914893617</v>
      </c>
      <c r="BE1108" s="51" t="n">
        <f aca="false">IF(AND(OR(CC1108="L1",CC1108="L23",CC1108="LIFT"),BA1108&gt;0),SUMIFS($BA$7:$BA$1843,$CC$7:$CC$1843,CC1108,$BD$7:$BD$1843,"&gt;"&amp;BD1108)+SUMIFS($BA$7:$BA$1843,$CC$7:$CC$1843,CC1108,$BD$7:$BD$1843,BD1108,$BT$7:$BT$1843,"&lt;="&amp;BT1108),"")</f>
        <v>29415.6800355953</v>
      </c>
      <c r="BF1108" s="58" t="n">
        <f aca="false">IF(BE1108="",0,MAX(0,MIN(1,(IF(CC1108="L1",Parameter!$H$5,IF(CC1108="L23",Parameter!$H$6+Parameter!$H$7,Parameter!$H$5+Parameter!$H$6+Parameter!$H$7))-(BE1108-BA1108))/BA1108)))</f>
        <v>1</v>
      </c>
      <c r="BG1108" s="48" t="str">
        <f aca="false">IF(AI1108&lt;=0,"",IF(CC1108="Aussen","Aussenlager",IF(CC1108="-","Nicht im Lift",IF(AN1108&gt;=1,"Lift",IF(AN1108&lt;=0,"Aussenlager","teilweise")))))</f>
        <v>Lift</v>
      </c>
      <c r="BH1108" s="48" t="str">
        <f aca="false">IF(AR1108&lt;=0,"",IF(CC1108="Aussen","Aussenlager",IF(CC1108="-","Nicht im Lift",IF(AW1108&gt;=1,"Lift",IF(AW1108&lt;=0,"Aussenlager","teilweise")))))</f>
        <v>Lift</v>
      </c>
      <c r="BI1108" s="48" t="str">
        <f aca="false">IF(BA1108&lt;=0,"",IF(CC1108="Aussen","Aussenlager",IF(CC1108="-","Nicht im Lift",IF(BF1108&gt;=1,"Lift",IF(BF1108&lt;=0,"Aussenlager","teilweise")))))</f>
        <v>Lift</v>
      </c>
      <c r="BJ1108" s="48" t="str">
        <f aca="false">IF(A1108="","",IF(BS1108=1,"Neu; ","")&amp;IF(AND(BS1108=0,BN1108&lt;0),"negativer Bestand (Export "&amp;BN1108&amp;"); ","")&amp;IF(J1108&lt;=0,"Kein Verbrauch; ","")&amp;IF(CL1108&gt;0,"Lift "&amp;W1108&amp;" lt. Liftbericht (Fach "&amp;X1108&amp;" Stk); ",IF(BX1108=1,"Gebinde geschätzt ("&amp;T1108&amp;"); ",IF(BW1108=1,"Lose – Tablare geschätzt; ","")))&amp;IF(H1108&gt;AT1108,"Überbestand "&amp;ROUND(H1108-AT1108,0)&amp;" Stk / CHF "&amp;ROUND((H1108-AT1108)*G1108,0)&amp;"; ","")&amp;IF(AND(CE1108=1,CF1108&lt;CG1108),"MAX &lt; MB+LG; ","")&amp;IF(AND(CK1108&gt;0,CJ1108*10&gt;CK1108),"zu hoch für Tablar; ","")&amp;IF(AND(BS1108=0,OR(CE1108=1,AA1108&lt;&gt;"",U1108&lt;&gt;"",V1108&lt;&gt;"",AB1108&lt;&gt;"")),"manuell übersteuert; ","")&amp;IF(AND(BW1108=0,R1108=0),"Gebinde unbekannt / Stellmass fehlt; ","")&amp;IF(AND(BW1108=0,N(V1108)&lt;=0,N(Q1108)&lt;=0),"Menge pro Gebinde fehlt (Ist = 1 Gebinde); ","")&amp;BR1108)</f>
        <v>negativer Bestand (Export -1); nicht im KTL vorhanden</v>
      </c>
      <c r="BK1108" s="48"/>
      <c r="BL1108" s="48"/>
      <c r="BM1108" s="55"/>
      <c r="BN1108" s="50" t="n">
        <v>-1</v>
      </c>
      <c r="BO1108" s="50" t="n">
        <v>15</v>
      </c>
      <c r="BP1108" s="49" t="n">
        <v>-225.73</v>
      </c>
      <c r="BQ1108" s="50" t="n">
        <v>1</v>
      </c>
      <c r="BR1108" s="48" t="s">
        <v>234</v>
      </c>
      <c r="BS1108" s="53" t="n">
        <v>0</v>
      </c>
      <c r="BT1108" s="53" t="n">
        <v>1108</v>
      </c>
      <c r="BU1108" s="48" t="str">
        <f aca="false">IF(U1108&lt;&gt;"",UPPER(TRIM(U1108)),IF(BX1108=1,UPPER(VLOOKUP(T1108,Parameter!$I$27:$K$29,2,0)),IF(P1108="","LOSE",P1108)))</f>
        <v>S71</v>
      </c>
      <c r="BV1108" s="50" t="n">
        <f aca="false">IF(BU1108="LOSE",1,IF(N(V1108)&gt;0,V1108,IF(BX1108=1,MAX(1,N(VLOOKUP(T1108,Parameter!$I$27:$K$29,3,0)),H1108,N(N1108)),IF(N(Q1108)&gt;0,Q1108,MAX(1,H1108)))))</f>
        <v>24</v>
      </c>
      <c r="BW1108" s="53" t="n">
        <f aca="false">IF(BU1108="LOSE",1,0)</f>
        <v>0</v>
      </c>
      <c r="BX1108" s="53" t="n">
        <f aca="false">IF(AND(U1108="",OR(P1108="",P1108="LOSE"),T1108&lt;&gt;"",N(S1108)&lt;=0,ISNUMBER(MATCH(T1108,Parameter!$I$27:$I$29,0))),1,0)</f>
        <v>0</v>
      </c>
      <c r="BY1108" s="53" t="n">
        <f aca="false">IF(CL1108&gt;0,INDEX(Parameter!$H$5:$H$7,W1108)/INDEX(Parameter!$E$5:$E$7,W1108),IF(AND(BW1108=0,N(IFERROR(VLOOKUP(BU1108,'Gebinde-Kategorie'!$A$5:$N$45,14,0),0))&gt;0),VLOOKUP(BU1108,'Gebinde-Kategorie'!$A$5:$N$45,14,0)*10+Parameter!$M$23,Parameter!$M$24))</f>
        <v>235</v>
      </c>
      <c r="BZ1108" s="48" t="str">
        <f aca="false">IF(AND(Parameter!$B$19="Ja",E1108&lt;&gt;"",ISNUMBER(MATCH(E1108,Parameter!$I$35:$I$52,0))),VLOOKUP(E1108,Parameter!$I$35:$J$52,2,0),IFERROR(VLOOKUP(D1108,Parameter!$A$35:$C$64,2,0),"Nein"))</f>
        <v>2+3</v>
      </c>
      <c r="CA1108" s="52" t="n">
        <f aca="false">IF(BW1108=0,0,IF(N(S1108)&gt;0,S1108,IFERROR(VLOOKUP(D1108,Parameter!$A$35:$C$64,3,0)+0,0)))</f>
        <v>0</v>
      </c>
      <c r="CB1108" s="48" t="n">
        <f aca="false">IF(AA1108&lt;&gt;"",AA1108,Z1108)</f>
        <v>2</v>
      </c>
      <c r="CC1108" s="48" t="str">
        <f aca="false">IF(OR(CB1108=1,CB1108=2,CB1108=3),IF(Parameter!$E$27="Ja","LIFT",IF(CB1108=1,"L1","L23")),IF(CB1108="Aussen","Aussen","-"))</f>
        <v>LIFT</v>
      </c>
      <c r="CD1108" s="59" t="n">
        <f aca="false">IF(N(AB1108)&gt;0,AB1108,0)</f>
        <v>0</v>
      </c>
      <c r="CE1108" s="53" t="n">
        <f aca="false">IF(ISNUMBER(AE1108),1,0)</f>
        <v>0</v>
      </c>
      <c r="CF1108" s="50" t="n">
        <f aca="false">N(AE1108)</f>
        <v>0</v>
      </c>
      <c r="CG1108" s="50" t="n">
        <f aca="false">N(M1108)+N(N1108)</f>
        <v>1</v>
      </c>
      <c r="CH1108" s="50" t="n">
        <f aca="false">ROUNDUP(H1108/BV1108,0)</f>
        <v>1</v>
      </c>
      <c r="CI1108" s="50" t="n">
        <f aca="false">ROUNDUP(CF1108/BV1108,0)</f>
        <v>0</v>
      </c>
      <c r="CJ1108" s="53" t="n">
        <f aca="false">IF(BW1108=1,0,IFERROR(VLOOKUP(BU1108,'Gebinde-Kategorie'!$A$5:$N$45,5,0)+0,0))</f>
        <v>20</v>
      </c>
      <c r="CK1108" s="53" t="n">
        <f aca="false">IFERROR(IF(OR(CB1108=1,CB1108=2,CB1108=3),N(INDEX(Parameter!$I$5:$I$7,CB1108)),0),0)</f>
        <v>0</v>
      </c>
      <c r="CL1108" s="52" t="n">
        <f aca="false">IF(AND(Parameter!$B$21="Ja",ISNUMBER(W1108),N(X1108)&gt;0),IFERROR(N(INDEX(Parameter!$L$5:$L$7,W1108))*INDEX(Parameter!$E$5:$E$7,W1108)*X1108/SUMIFS($X$7:$X$1843,$W$7:$W$1843,W1108),0),0)</f>
        <v>0</v>
      </c>
    </row>
    <row r="1109" customFormat="false" ht="15" hidden="false" customHeight="false" outlineLevel="0" collapsed="false">
      <c r="A1109" s="48" t="s">
        <v>2018</v>
      </c>
      <c r="B1109" s="48" t="s">
        <v>788</v>
      </c>
      <c r="C1109" s="48" t="s">
        <v>168</v>
      </c>
      <c r="D1109" s="48" t="s">
        <v>177</v>
      </c>
      <c r="E1109" s="48"/>
      <c r="F1109" s="48" t="s">
        <v>222</v>
      </c>
      <c r="G1109" s="49" t="n">
        <v>256.99</v>
      </c>
      <c r="H1109" s="50" t="n">
        <f aca="false">MAX(0,IF(AND(Parameter!$B$21="Ja",ISNUMBER(Y1109)),Y1109,IF(Parameter!$B$20="Jahresanfang 2025 + Export",BO1109+BN1109,BN1109)))</f>
        <v>0</v>
      </c>
      <c r="I1109" s="50" t="n">
        <f aca="false">H1109*G1109</f>
        <v>0</v>
      </c>
      <c r="J1109" s="50" t="n">
        <f aca="false">BQ1109*Parameter!$B$18</f>
        <v>3</v>
      </c>
      <c r="K1109" s="51" t="n">
        <v>6</v>
      </c>
      <c r="L1109" s="52" t="n">
        <v>0.5</v>
      </c>
      <c r="M1109" s="50" t="n">
        <v>0</v>
      </c>
      <c r="N1109" s="50" t="n">
        <v>5</v>
      </c>
      <c r="O1109" s="53" t="n">
        <v>103</v>
      </c>
      <c r="P1109" s="48" t="s">
        <v>237</v>
      </c>
      <c r="Q1109" s="50" t="n">
        <v>4</v>
      </c>
      <c r="R1109" s="53" t="n">
        <f aca="false">IF(BW1109=1,0,IFERROR(VLOOKUP(BU1109,'Gebinde-Kategorie'!$A$5:$N$45,13,0)+0,0))</f>
        <v>26</v>
      </c>
      <c r="S1109" s="54"/>
      <c r="T1109" s="55"/>
      <c r="U1109" s="55"/>
      <c r="V1109" s="55"/>
      <c r="W1109" s="48"/>
      <c r="X1109" s="50"/>
      <c r="Y1109" s="50"/>
      <c r="Z1109" s="48" t="n">
        <f aca="false">IF(A1109="","",IF(AND(Parameter!$B$21="Ja",ISNUMBER(W1109)),W1109,IF(BZ1109="2+3",IF(ISNUMBER(SEARCH("grosser Artikel",BR1109)),2,IFERROR(VLOOKUP(BU1109,Parameter!$F$35:$G$64,2,0),2)),IF(OR(BZ1109="Nein",BZ1109=""),"-",BZ1109))))</f>
        <v>3</v>
      </c>
      <c r="AA1109" s="55"/>
      <c r="AB1109" s="56"/>
      <c r="AC1109" s="50" t="n">
        <f aca="false">AT1109</f>
        <v>8</v>
      </c>
      <c r="AD1109" s="50" t="n">
        <f aca="false">MAX(AT1109,H1109)</f>
        <v>8</v>
      </c>
      <c r="AE1109" s="57"/>
      <c r="AF1109" s="50" t="n">
        <f aca="false">IF(LEFT(Cockpit!$C$5,1)="A",H1109,IF(CE1109=1,CF1109,IF(LEFT(Cockpit!$C$5,1)="B",AK1109,MAX(AK1109,H1109))))</f>
        <v>0</v>
      </c>
      <c r="AG1109" s="50" t="n">
        <f aca="false">IF(BW1109=1,0,ROUNDUP(AF1109/BV1109,0))</f>
        <v>0</v>
      </c>
      <c r="AH1109" s="52" t="n">
        <f aca="false">IF(CL1109&gt;0,CL1109*MAX(1,AF1109/X1109),IF(BW1109=1,IF(AF1109&lt;=0,0,CA1109*MAX(1,IF(H1109&gt;0,AF1109/H1109,1))),IF(R1109&gt;0,AG1109/R1109,0))/MAX(0.1,N(Parameter!$M$21)))</f>
        <v>0</v>
      </c>
      <c r="AI1109" s="50" t="n">
        <f aca="false">AH1109*BY1109</f>
        <v>0</v>
      </c>
      <c r="AJ1109" s="50" t="n">
        <f aca="false">AF1109*G1109</f>
        <v>0</v>
      </c>
      <c r="AK1109" s="50" t="n">
        <f aca="false">ROUNDUP(MAX(J1109/IF(CD1109&gt;0,CD1109,MAX(0.1,N(Cockpit!$C$6))),CG1109)/BV1109,0)*BV1109</f>
        <v>8</v>
      </c>
      <c r="AL1109" s="51" t="n">
        <f aca="false">IF(AI1109&gt;0,J1109/AI1109,-1)</f>
        <v>-1</v>
      </c>
      <c r="AM1109" s="51" t="str">
        <f aca="false">IF(AND(OR(CC1109="L1",CC1109="L23",CC1109="LIFT"),AI1109&gt;0),SUMIFS($AI$7:$AI$1843,$CC$7:$CC$1843,CC1109,$AL$7:$AL$1843,"&gt;"&amp;AL1109)+SUMIFS($AI$7:$AI$1843,$CC$7:$CC$1843,CC1109,$AL$7:$AL$1843,AL1109,$BT$7:$BT$1843,"&lt;="&amp;BT1109),"")</f>
        <v/>
      </c>
      <c r="AN1109" s="58" t="n">
        <f aca="false">IF(AM1109="",0,MAX(0,MIN(1,(IF(CC1109="L1",Parameter!$H$5,IF(CC1109="L23",Parameter!$H$6+Parameter!$H$7,Parameter!$H$5+Parameter!$H$6+Parameter!$H$7))-(AM1109-AI1109))/AI1109)))</f>
        <v>0</v>
      </c>
      <c r="AO1109" s="50" t="n">
        <f aca="false">IF(LEFT(Cockpit!$I$5,1)="A",H1109,IF(CE1109=1,CF1109,IF(LEFT(Cockpit!$I$5,1)="B",AT1109,MAX(AT1109,H1109))))</f>
        <v>8</v>
      </c>
      <c r="AP1109" s="50" t="n">
        <f aca="false">IF(BW1109=1,0,ROUNDUP(AO1109/BV1109,0))</f>
        <v>2</v>
      </c>
      <c r="AQ1109" s="52" t="n">
        <f aca="false">IF(CL1109&gt;0,CL1109*MAX(1,AO1109/X1109),IF(BW1109=1,IF(AO1109&lt;=0,0,CA1109*MAX(1,IF(H1109&gt;0,AO1109/H1109,1))),IF(R1109&gt;0,AP1109/R1109,0))/MAX(0.1,N(Parameter!$M$21)))</f>
        <v>0.0769230769230769</v>
      </c>
      <c r="AR1109" s="50" t="n">
        <f aca="false">AQ1109*BY1109</f>
        <v>18.8461538461538</v>
      </c>
      <c r="AS1109" s="50" t="n">
        <f aca="false">AO1109*G1109</f>
        <v>2055.92</v>
      </c>
      <c r="AT1109" s="50" t="n">
        <f aca="false">ROUNDUP(MAX(J1109/IF(CD1109&gt;0,CD1109,MAX(0.1,N(Cockpit!$I$6))),CG1109)/BV1109,0)*BV1109</f>
        <v>8</v>
      </c>
      <c r="AU1109" s="51" t="n">
        <f aca="false">IF(AR1109&gt;0,J1109/AR1109,-1)</f>
        <v>0.159183673469388</v>
      </c>
      <c r="AV1109" s="51" t="n">
        <f aca="false">IF(AND(OR(CC1109="L1",CC1109="L23",CC1109="LIFT"),AR1109&gt;0),SUMIFS($AR$7:$AR$1843,$CC$7:$CC$1843,CC1109,$AU$7:$AU$1843,"&gt;"&amp;AU1109)+SUMIFS($AR$7:$AR$1843,$CC$7:$CC$1843,CC1109,$AU$7:$AU$1843,AU1109,$BT$7:$BT$1843,"&lt;="&amp;BT1109),"")</f>
        <v>19764.0773809524</v>
      </c>
      <c r="AW1109" s="58" t="n">
        <f aca="false">IF(AV1109="",0,MAX(0,MIN(1,(IF(CC1109="L1",Parameter!$H$5,IF(CC1109="L23",Parameter!$H$6+Parameter!$H$7,Parameter!$H$5+Parameter!$H$6+Parameter!$H$7))-(AV1109-AR1109))/AR1109)))</f>
        <v>1</v>
      </c>
      <c r="AX1109" s="50" t="n">
        <f aca="false">IF(LEFT(Cockpit!$O$5,1)="A",H1109,IF(CE1109=1,CF1109,IF(LEFT(Cockpit!$O$5,1)="B",BC1109,MAX(BC1109,H1109))))</f>
        <v>8</v>
      </c>
      <c r="AY1109" s="50" t="n">
        <f aca="false">IF(BW1109=1,0,ROUNDUP(AX1109/BV1109,0))</f>
        <v>2</v>
      </c>
      <c r="AZ1109" s="52" t="n">
        <f aca="false">IF(CL1109&gt;0,CL1109*MAX(1,AX1109/X1109),IF(BW1109=1,IF(AX1109&lt;=0,0,CA1109*MAX(1,IF(H1109&gt;0,AX1109/H1109,1))),IF(R1109&gt;0,AY1109/R1109,0))/MAX(0.1,N(Parameter!$M$21)))</f>
        <v>0.0769230769230769</v>
      </c>
      <c r="BA1109" s="50" t="n">
        <f aca="false">AZ1109*BY1109</f>
        <v>18.8461538461538</v>
      </c>
      <c r="BB1109" s="50" t="n">
        <f aca="false">AX1109*G1109</f>
        <v>2055.92</v>
      </c>
      <c r="BC1109" s="50" t="n">
        <f aca="false">ROUNDUP(MAX(J1109/IF(CD1109&gt;0,CD1109,MAX(0.1,N(Cockpit!$O$6))),CG1109)/BV1109,0)*BV1109</f>
        <v>8</v>
      </c>
      <c r="BD1109" s="51" t="n">
        <f aca="false">IF(BA1109&gt;0,J1109/BA1109,-1)</f>
        <v>0.159183673469388</v>
      </c>
      <c r="BE1109" s="51" t="n">
        <f aca="false">IF(AND(OR(CC1109="L1",CC1109="L23",CC1109="LIFT"),BA1109&gt;0),SUMIFS($BA$7:$BA$1843,$CC$7:$CC$1843,CC1109,$BD$7:$BD$1843,"&gt;"&amp;BD1109)+SUMIFS($BA$7:$BA$1843,$CC$7:$CC$1843,CC1109,$BD$7:$BD$1843,BD1109,$BT$7:$BT$1843,"&lt;="&amp;BT1109),"")</f>
        <v>17790.1510989011</v>
      </c>
      <c r="BF1109" s="58" t="n">
        <f aca="false">IF(BE1109="",0,MAX(0,MIN(1,(IF(CC1109="L1",Parameter!$H$5,IF(CC1109="L23",Parameter!$H$6+Parameter!$H$7,Parameter!$H$5+Parameter!$H$6+Parameter!$H$7))-(BE1109-BA1109))/BA1109)))</f>
        <v>1</v>
      </c>
      <c r="BG1109" s="48" t="str">
        <f aca="false">IF(AI1109&lt;=0,"",IF(CC1109="Aussen","Aussenlager",IF(CC1109="-","Nicht im Lift",IF(AN1109&gt;=1,"Lift",IF(AN1109&lt;=0,"Aussenlager","teilweise")))))</f>
        <v/>
      </c>
      <c r="BH1109" s="48" t="str">
        <f aca="false">IF(AR1109&lt;=0,"",IF(CC1109="Aussen","Aussenlager",IF(CC1109="-","Nicht im Lift",IF(AW1109&gt;=1,"Lift",IF(AW1109&lt;=0,"Aussenlager","teilweise")))))</f>
        <v>Lift</v>
      </c>
      <c r="BI1109" s="48" t="str">
        <f aca="false">IF(BA1109&lt;=0,"",IF(CC1109="Aussen","Aussenlager",IF(CC1109="-","Nicht im Lift",IF(BF1109&gt;=1,"Lift",IF(BF1109&lt;=0,"Aussenlager","teilweise")))))</f>
        <v>Lift</v>
      </c>
      <c r="BJ1109" s="48" t="str">
        <f aca="false">IF(A1109="","",IF(BS1109=1,"Neu; ","")&amp;IF(AND(BS1109=0,BN1109&lt;0),"negativer Bestand (Export "&amp;BN1109&amp;"); ","")&amp;IF(J1109&lt;=0,"Kein Verbrauch; ","")&amp;IF(CL1109&gt;0,"Lift "&amp;W1109&amp;" lt. Liftbericht (Fach "&amp;X1109&amp;" Stk); ",IF(BX1109=1,"Gebinde geschätzt ("&amp;T1109&amp;"); ",IF(BW1109=1,"Lose – Tablare geschätzt; ","")))&amp;IF(H1109&gt;AT1109,"Überbestand "&amp;ROUND(H1109-AT1109,0)&amp;" Stk / CHF "&amp;ROUND((H1109-AT1109)*G1109,0)&amp;"; ","")&amp;IF(AND(CE1109=1,CF1109&lt;CG1109),"MAX &lt; MB+LG; ","")&amp;IF(AND(CK1109&gt;0,CJ1109*10&gt;CK1109),"zu hoch für Tablar; ","")&amp;IF(AND(BS1109=0,OR(CE1109=1,AA1109&lt;&gt;"",U1109&lt;&gt;"",V1109&lt;&gt;"",AB1109&lt;&gt;"")),"manuell übersteuert; ","")&amp;IF(AND(BW1109=0,R1109=0),"Gebinde unbekannt / Stellmass fehlt; ","")&amp;IF(AND(BW1109=0,N(V1109)&lt;=0,N(Q1109)&lt;=0),"Menge pro Gebinde fehlt (Ist = 1 Gebinde); ","")&amp;BR1109)</f>
        <v>negativer Bestand (Export -1); </v>
      </c>
      <c r="BK1109" s="48"/>
      <c r="BL1109" s="48"/>
      <c r="BM1109" s="55"/>
      <c r="BN1109" s="50" t="n">
        <v>-1</v>
      </c>
      <c r="BO1109" s="50" t="n">
        <v>1</v>
      </c>
      <c r="BP1109" s="49" t="n">
        <v>-227.999999999999</v>
      </c>
      <c r="BQ1109" s="50" t="n">
        <v>3</v>
      </c>
      <c r="BR1109" s="48"/>
      <c r="BS1109" s="53" t="n">
        <v>0</v>
      </c>
      <c r="BT1109" s="53" t="n">
        <v>1109</v>
      </c>
      <c r="BU1109" s="48" t="str">
        <f aca="false">IF(U1109&lt;&gt;"",UPPER(TRIM(U1109)),IF(BX1109=1,UPPER(VLOOKUP(T1109,Parameter!$I$27:$K$29,2,0)),IF(P1109="","LOSE",P1109)))</f>
        <v>S52</v>
      </c>
      <c r="BV1109" s="50" t="n">
        <f aca="false">IF(BU1109="LOSE",1,IF(N(V1109)&gt;0,V1109,IF(BX1109=1,MAX(1,N(VLOOKUP(T1109,Parameter!$I$27:$K$29,3,0)),H1109,N(N1109)),IF(N(Q1109)&gt;0,Q1109,MAX(1,H1109)))))</f>
        <v>4</v>
      </c>
      <c r="BW1109" s="53" t="n">
        <f aca="false">IF(BU1109="LOSE",1,0)</f>
        <v>0</v>
      </c>
      <c r="BX1109" s="53" t="n">
        <f aca="false">IF(AND(U1109="",OR(P1109="",P1109="LOSE"),T1109&lt;&gt;"",N(S1109)&lt;=0,ISNUMBER(MATCH(T1109,Parameter!$I$27:$I$29,0))),1,0)</f>
        <v>0</v>
      </c>
      <c r="BY1109" s="53" t="n">
        <f aca="false">IF(CL1109&gt;0,INDEX(Parameter!$H$5:$H$7,W1109)/INDEX(Parameter!$E$5:$E$7,W1109),IF(AND(BW1109=0,N(IFERROR(VLOOKUP(BU1109,'Gebinde-Kategorie'!$A$5:$N$45,14,0),0))&gt;0),VLOOKUP(BU1109,'Gebinde-Kategorie'!$A$5:$N$45,14,0)*10+Parameter!$M$23,Parameter!$M$24))</f>
        <v>245</v>
      </c>
      <c r="BZ1109" s="48" t="str">
        <f aca="false">IF(AND(Parameter!$B$19="Ja",E1109&lt;&gt;"",ISNUMBER(MATCH(E1109,Parameter!$I$35:$I$52,0))),VLOOKUP(E1109,Parameter!$I$35:$J$52,2,0),IFERROR(VLOOKUP(D1109,Parameter!$A$35:$C$64,2,0),"Nein"))</f>
        <v>2+3</v>
      </c>
      <c r="CA1109" s="52" t="n">
        <f aca="false">IF(BW1109=0,0,IF(N(S1109)&gt;0,S1109,IFERROR(VLOOKUP(D1109,Parameter!$A$35:$C$64,3,0)+0,0)))</f>
        <v>0</v>
      </c>
      <c r="CB1109" s="48" t="n">
        <f aca="false">IF(AA1109&lt;&gt;"",AA1109,Z1109)</f>
        <v>3</v>
      </c>
      <c r="CC1109" s="48" t="str">
        <f aca="false">IF(OR(CB1109=1,CB1109=2,CB1109=3),IF(Parameter!$E$27="Ja","LIFT",IF(CB1109=1,"L1","L23")),IF(CB1109="Aussen","Aussen","-"))</f>
        <v>LIFT</v>
      </c>
      <c r="CD1109" s="59" t="n">
        <f aca="false">IF(N(AB1109)&gt;0,AB1109,0)</f>
        <v>0</v>
      </c>
      <c r="CE1109" s="53" t="n">
        <f aca="false">IF(ISNUMBER(AE1109),1,0)</f>
        <v>0</v>
      </c>
      <c r="CF1109" s="50" t="n">
        <f aca="false">N(AE1109)</f>
        <v>0</v>
      </c>
      <c r="CG1109" s="50" t="n">
        <f aca="false">N(M1109)+N(N1109)</f>
        <v>5</v>
      </c>
      <c r="CH1109" s="50" t="n">
        <f aca="false">ROUNDUP(H1109/BV1109,0)</f>
        <v>0</v>
      </c>
      <c r="CI1109" s="50" t="n">
        <f aca="false">ROUNDUP(CF1109/BV1109,0)</f>
        <v>0</v>
      </c>
      <c r="CJ1109" s="53" t="n">
        <f aca="false">IF(BW1109=1,0,IFERROR(VLOOKUP(BU1109,'Gebinde-Kategorie'!$A$5:$N$45,5,0)+0,0))</f>
        <v>21</v>
      </c>
      <c r="CK1109" s="53" t="n">
        <f aca="false">IFERROR(IF(OR(CB1109=1,CB1109=2,CB1109=3),N(INDEX(Parameter!$I$5:$I$7,CB1109)),0),0)</f>
        <v>0</v>
      </c>
      <c r="CL1109" s="52" t="n">
        <f aca="false">IF(AND(Parameter!$B$21="Ja",ISNUMBER(W1109),N(X1109)&gt;0),IFERROR(N(INDEX(Parameter!$L$5:$L$7,W1109))*INDEX(Parameter!$E$5:$E$7,W1109)*X1109/SUMIFS($X$7:$X$1843,$W$7:$W$1843,W1109),0),0)</f>
        <v>0</v>
      </c>
    </row>
    <row r="1110" customFormat="false" ht="15" hidden="false" customHeight="false" outlineLevel="0" collapsed="false">
      <c r="A1110" s="48" t="s">
        <v>2019</v>
      </c>
      <c r="B1110" s="48" t="s">
        <v>2020</v>
      </c>
      <c r="C1110" s="48" t="s">
        <v>168</v>
      </c>
      <c r="D1110" s="48" t="s">
        <v>188</v>
      </c>
      <c r="E1110" s="48"/>
      <c r="F1110" s="48" t="s">
        <v>222</v>
      </c>
      <c r="G1110" s="49" t="n">
        <v>45.6</v>
      </c>
      <c r="H1110" s="50" t="n">
        <f aca="false">MAX(0,IF(AND(Parameter!$B$21="Ja",ISNUMBER(Y1110)),Y1110,IF(Parameter!$B$20="Jahresanfang 2025 + Export",BO1110+BN1110,BN1110)))</f>
        <v>0</v>
      </c>
      <c r="I1110" s="50" t="n">
        <f aca="false">H1110*G1110</f>
        <v>0</v>
      </c>
      <c r="J1110" s="50" t="n">
        <f aca="false">BQ1110*Parameter!$B$18</f>
        <v>0</v>
      </c>
      <c r="K1110" s="51" t="n">
        <v>2.5</v>
      </c>
      <c r="L1110" s="52" t="n">
        <v>0</v>
      </c>
      <c r="M1110" s="50" t="n">
        <v>0</v>
      </c>
      <c r="N1110" s="50" t="n">
        <v>1</v>
      </c>
      <c r="O1110" s="53" t="n">
        <v>21</v>
      </c>
      <c r="P1110" s="48" t="s">
        <v>172</v>
      </c>
      <c r="Q1110" s="50"/>
      <c r="R1110" s="53" t="n">
        <f aca="false">IF(BW1110=1,0,IFERROR(VLOOKUP(BU1110,'Gebinde-Kategorie'!$A$5:$N$45,13,0)+0,0))</f>
        <v>26</v>
      </c>
      <c r="S1110" s="54"/>
      <c r="T1110" s="55" t="s">
        <v>279</v>
      </c>
      <c r="U1110" s="55"/>
      <c r="V1110" s="55"/>
      <c r="W1110" s="48"/>
      <c r="X1110" s="50"/>
      <c r="Y1110" s="50"/>
      <c r="Z1110" s="48" t="n">
        <f aca="false">IF(A1110="","",IF(AND(Parameter!$B$21="Ja",ISNUMBER(W1110)),W1110,IF(BZ1110="2+3",IF(ISNUMBER(SEARCH("grosser Artikel",BR1110)),2,IFERROR(VLOOKUP(BU1110,Parameter!$F$35:$G$64,2,0),2)),IF(OR(BZ1110="Nein",BZ1110=""),"-",BZ1110))))</f>
        <v>3</v>
      </c>
      <c r="AA1110" s="55"/>
      <c r="AB1110" s="56"/>
      <c r="AC1110" s="50" t="n">
        <f aca="false">AT1110</f>
        <v>20</v>
      </c>
      <c r="AD1110" s="50" t="n">
        <f aca="false">MAX(AT1110,H1110)</f>
        <v>20</v>
      </c>
      <c r="AE1110" s="57"/>
      <c r="AF1110" s="50" t="n">
        <f aca="false">IF(LEFT(Cockpit!$C$5,1)="A",H1110,IF(CE1110=1,CF1110,IF(LEFT(Cockpit!$C$5,1)="B",AK1110,MAX(AK1110,H1110))))</f>
        <v>0</v>
      </c>
      <c r="AG1110" s="50" t="n">
        <f aca="false">IF(BW1110=1,0,ROUNDUP(AF1110/BV1110,0))</f>
        <v>0</v>
      </c>
      <c r="AH1110" s="52" t="n">
        <f aca="false">IF(CL1110&gt;0,CL1110*MAX(1,AF1110/X1110),IF(BW1110=1,IF(AF1110&lt;=0,0,CA1110*MAX(1,IF(H1110&gt;0,AF1110/H1110,1))),IF(R1110&gt;0,AG1110/R1110,0))/MAX(0.1,N(Parameter!$M$21)))</f>
        <v>0</v>
      </c>
      <c r="AI1110" s="50" t="n">
        <f aca="false">AH1110*BY1110</f>
        <v>0</v>
      </c>
      <c r="AJ1110" s="50" t="n">
        <f aca="false">AF1110*G1110</f>
        <v>0</v>
      </c>
      <c r="AK1110" s="50" t="n">
        <f aca="false">ROUNDUP(MAX(J1110/IF(CD1110&gt;0,CD1110,MAX(0.1,N(Cockpit!$C$6))),CG1110)/BV1110,0)*BV1110</f>
        <v>20</v>
      </c>
      <c r="AL1110" s="51" t="n">
        <f aca="false">IF(AI1110&gt;0,J1110/AI1110,-1)</f>
        <v>-1</v>
      </c>
      <c r="AM1110" s="51" t="str">
        <f aca="false">IF(AND(OR(CC1110="L1",CC1110="L23",CC1110="LIFT"),AI1110&gt;0),SUMIFS($AI$7:$AI$1843,$CC$7:$CC$1843,CC1110,$AL$7:$AL$1843,"&gt;"&amp;AL1110)+SUMIFS($AI$7:$AI$1843,$CC$7:$CC$1843,CC1110,$AL$7:$AL$1843,AL1110,$BT$7:$BT$1843,"&lt;="&amp;BT1110),"")</f>
        <v/>
      </c>
      <c r="AN1110" s="58" t="n">
        <f aca="false">IF(AM1110="",0,MAX(0,MIN(1,(IF(CC1110="L1",Parameter!$H$5,IF(CC1110="L23",Parameter!$H$6+Parameter!$H$7,Parameter!$H$5+Parameter!$H$6+Parameter!$H$7))-(AM1110-AI1110))/AI1110)))</f>
        <v>0</v>
      </c>
      <c r="AO1110" s="50" t="n">
        <f aca="false">IF(LEFT(Cockpit!$I$5,1)="A",H1110,IF(CE1110=1,CF1110,IF(LEFT(Cockpit!$I$5,1)="B",AT1110,MAX(AT1110,H1110))))</f>
        <v>20</v>
      </c>
      <c r="AP1110" s="50" t="n">
        <f aca="false">IF(BW1110=1,0,ROUNDUP(AO1110/BV1110,0))</f>
        <v>1</v>
      </c>
      <c r="AQ1110" s="52" t="n">
        <f aca="false">IF(CL1110&gt;0,CL1110*MAX(1,AO1110/X1110),IF(BW1110=1,IF(AO1110&lt;=0,0,CA1110*MAX(1,IF(H1110&gt;0,AO1110/H1110,1))),IF(R1110&gt;0,AP1110/R1110,0))/MAX(0.1,N(Parameter!$M$21)))</f>
        <v>0.0384615384615385</v>
      </c>
      <c r="AR1110" s="50" t="n">
        <f aca="false">AQ1110*BY1110</f>
        <v>5.96153846153846</v>
      </c>
      <c r="AS1110" s="50" t="n">
        <f aca="false">AO1110*G1110</f>
        <v>912</v>
      </c>
      <c r="AT1110" s="50" t="n">
        <f aca="false">ROUNDUP(MAX(J1110/IF(CD1110&gt;0,CD1110,MAX(0.1,N(Cockpit!$I$6))),CG1110)/BV1110,0)*BV1110</f>
        <v>20</v>
      </c>
      <c r="AU1110" s="51" t="n">
        <f aca="false">IF(AR1110&gt;0,J1110/AR1110,-1)</f>
        <v>0</v>
      </c>
      <c r="AV1110" s="51" t="n">
        <f aca="false">IF(AND(OR(CC1110="L1",CC1110="L23",CC1110="LIFT"),AR1110&gt;0),SUMIFS($AR$7:$AR$1843,$CC$7:$CC$1843,CC1110,$AU$7:$AU$1843,"&gt;"&amp;AU1110)+SUMIFS($AR$7:$AR$1843,$CC$7:$CC$1843,CC1110,$AU$7:$AU$1843,AU1110,$BT$7:$BT$1843,"&lt;="&amp;BT1110),"")</f>
        <v>40822.5146597753</v>
      </c>
      <c r="AW1110" s="58" t="n">
        <f aca="false">IF(AV1110="",0,MAX(0,MIN(1,(IF(CC1110="L1",Parameter!$H$5,IF(CC1110="L23",Parameter!$H$6+Parameter!$H$7,Parameter!$H$5+Parameter!$H$6+Parameter!$H$7))-(AV1110-AR1110))/AR1110)))</f>
        <v>0</v>
      </c>
      <c r="AX1110" s="50" t="n">
        <f aca="false">IF(LEFT(Cockpit!$O$5,1)="A",H1110,IF(CE1110=1,CF1110,IF(LEFT(Cockpit!$O$5,1)="B",BC1110,MAX(BC1110,H1110))))</f>
        <v>20</v>
      </c>
      <c r="AY1110" s="50" t="n">
        <f aca="false">IF(BW1110=1,0,ROUNDUP(AX1110/BV1110,0))</f>
        <v>1</v>
      </c>
      <c r="AZ1110" s="52" t="n">
        <f aca="false">IF(CL1110&gt;0,CL1110*MAX(1,AX1110/X1110),IF(BW1110=1,IF(AX1110&lt;=0,0,CA1110*MAX(1,IF(H1110&gt;0,AX1110/H1110,1))),IF(R1110&gt;0,AY1110/R1110,0))/MAX(0.1,N(Parameter!$M$21)))</f>
        <v>0.0384615384615385</v>
      </c>
      <c r="BA1110" s="50" t="n">
        <f aca="false">AZ1110*BY1110</f>
        <v>5.96153846153846</v>
      </c>
      <c r="BB1110" s="50" t="n">
        <f aca="false">AX1110*G1110</f>
        <v>912</v>
      </c>
      <c r="BC1110" s="50" t="n">
        <f aca="false">ROUNDUP(MAX(J1110/IF(CD1110&gt;0,CD1110,MAX(0.1,N(Cockpit!$O$6))),CG1110)/BV1110,0)*BV1110</f>
        <v>20</v>
      </c>
      <c r="BD1110" s="51" t="n">
        <f aca="false">IF(BA1110&gt;0,J1110/BA1110,-1)</f>
        <v>0</v>
      </c>
      <c r="BE1110" s="51" t="n">
        <f aca="false">IF(AND(OR(CC1110="L1",CC1110="L23",CC1110="LIFT"),BA1110&gt;0),SUMIFS($BA$7:$BA$1843,$CC$7:$CC$1843,CC1110,$BD$7:$BD$1843,"&gt;"&amp;BD1110)+SUMIFS($BA$7:$BA$1843,$CC$7:$CC$1843,CC1110,$BD$7:$BD$1843,BD1110,$BT$7:$BT$1843,"&lt;="&amp;BT1110),"")</f>
        <v>37497.5267016411</v>
      </c>
      <c r="BF1110" s="58" t="n">
        <f aca="false">IF(BE1110="",0,MAX(0,MIN(1,(IF(CC1110="L1",Parameter!$H$5,IF(CC1110="L23",Parameter!$H$6+Parameter!$H$7,Parameter!$H$5+Parameter!$H$6+Parameter!$H$7))-(BE1110-BA1110))/BA1110)))</f>
        <v>0</v>
      </c>
      <c r="BG1110" s="48" t="str">
        <f aca="false">IF(AI1110&lt;=0,"",IF(CC1110="Aussen","Aussenlager",IF(CC1110="-","Nicht im Lift",IF(AN1110&gt;=1,"Lift",IF(AN1110&lt;=0,"Aussenlager","teilweise")))))</f>
        <v/>
      </c>
      <c r="BH1110" s="48" t="str">
        <f aca="false">IF(AR1110&lt;=0,"",IF(CC1110="Aussen","Aussenlager",IF(CC1110="-","Nicht im Lift",IF(AW1110&gt;=1,"Lift",IF(AW1110&lt;=0,"Aussenlager","teilweise")))))</f>
        <v>Aussenlager</v>
      </c>
      <c r="BI1110" s="48" t="str">
        <f aca="false">IF(BA1110&lt;=0,"",IF(CC1110="Aussen","Aussenlager",IF(CC1110="-","Nicht im Lift",IF(BF1110&gt;=1,"Lift",IF(BF1110&lt;=0,"Aussenlager","teilweise")))))</f>
        <v>Aussenlager</v>
      </c>
      <c r="BJ1110" s="48" t="str">
        <f aca="false">IF(A1110="","",IF(BS1110=1,"Neu; ","")&amp;IF(AND(BS1110=0,BN1110&lt;0),"negativer Bestand (Export "&amp;BN1110&amp;"); ","")&amp;IF(J1110&lt;=0,"Kein Verbrauch; ","")&amp;IF(CL1110&gt;0,"Lift "&amp;W1110&amp;" lt. Liftbericht (Fach "&amp;X1110&amp;" Stk); ",IF(BX1110=1,"Gebinde geschätzt ("&amp;T1110&amp;"); ",IF(BW1110=1,"Lose – Tablare geschätzt; ","")))&amp;IF(H1110&gt;AT1110,"Überbestand "&amp;ROUND(H1110-AT1110,0)&amp;" Stk / CHF "&amp;ROUND((H1110-AT1110)*G1110,0)&amp;"; ","")&amp;IF(AND(CE1110=1,CF1110&lt;CG1110),"MAX &lt; MB+LG; ","")&amp;IF(AND(CK1110&gt;0,CJ1110*10&gt;CK1110),"zu hoch für Tablar; ","")&amp;IF(AND(BS1110=0,OR(CE1110=1,AA1110&lt;&gt;"",U1110&lt;&gt;"",V1110&lt;&gt;"",AB1110&lt;&gt;"")),"manuell übersteuert; ","")&amp;IF(AND(BW1110=0,R1110=0),"Gebinde unbekannt / Stellmass fehlt; ","")&amp;IF(AND(BW1110=0,N(V1110)&lt;=0,N(Q1110)&lt;=0),"Menge pro Gebinde fehlt (Ist = 1 Gebinde); ","")&amp;BR1110)</f>
        <v>negativer Bestand (Export -5); Kein Verbrauch; Gebinde geschätzt (Klein); Menge pro Gebinde fehlt (Ist = 1 Gebinde); </v>
      </c>
      <c r="BK1110" s="48"/>
      <c r="BL1110" s="48"/>
      <c r="BM1110" s="55"/>
      <c r="BN1110" s="50" t="n">
        <v>-5</v>
      </c>
      <c r="BO1110" s="50" t="n">
        <v>5</v>
      </c>
      <c r="BP1110" s="49" t="n">
        <v>-228</v>
      </c>
      <c r="BQ1110" s="50" t="n">
        <v>0</v>
      </c>
      <c r="BR1110" s="48"/>
      <c r="BS1110" s="53" t="n">
        <v>0</v>
      </c>
      <c r="BT1110" s="53" t="n">
        <v>1110</v>
      </c>
      <c r="BU1110" s="48" t="str">
        <f aca="false">IF(U1110&lt;&gt;"",UPPER(TRIM(U1110)),IF(BX1110=1,UPPER(VLOOKUP(T1110,Parameter!$I$27:$K$29,2,0)),IF(P1110="","LOSE",P1110)))</f>
        <v>S51</v>
      </c>
      <c r="BV1110" s="50" t="n">
        <f aca="false">IF(BU1110="LOSE",1,IF(N(V1110)&gt;0,V1110,IF(BX1110=1,MAX(1,N(VLOOKUP(T1110,Parameter!$I$27:$K$29,3,0)),H1110,N(N1110)),IF(N(Q1110)&gt;0,Q1110,MAX(1,H1110)))))</f>
        <v>20</v>
      </c>
      <c r="BW1110" s="53" t="n">
        <f aca="false">IF(BU1110="LOSE",1,0)</f>
        <v>0</v>
      </c>
      <c r="BX1110" s="53" t="n">
        <f aca="false">IF(AND(U1110="",OR(P1110="",P1110="LOSE"),T1110&lt;&gt;"",N(S1110)&lt;=0,ISNUMBER(MATCH(T1110,Parameter!$I$27:$I$29,0))),1,0)</f>
        <v>1</v>
      </c>
      <c r="BY1110" s="53" t="n">
        <f aca="false">IF(CL1110&gt;0,INDEX(Parameter!$H$5:$H$7,W1110)/INDEX(Parameter!$E$5:$E$7,W1110),IF(AND(BW1110=0,N(IFERROR(VLOOKUP(BU1110,'Gebinde-Kategorie'!$A$5:$N$45,14,0),0))&gt;0),VLOOKUP(BU1110,'Gebinde-Kategorie'!$A$5:$N$45,14,0)*10+Parameter!$M$23,Parameter!$M$24))</f>
        <v>155</v>
      </c>
      <c r="BZ1110" s="48" t="str">
        <f aca="false">IF(AND(Parameter!$B$19="Ja",E1110&lt;&gt;"",ISNUMBER(MATCH(E1110,Parameter!$I$35:$I$52,0))),VLOOKUP(E1110,Parameter!$I$35:$J$52,2,0),IFERROR(VLOOKUP(D1110,Parameter!$A$35:$C$64,2,0),"Nein"))</f>
        <v>2+3</v>
      </c>
      <c r="CA1110" s="52" t="n">
        <f aca="false">IF(BW1110=0,0,IF(N(S1110)&gt;0,S1110,IFERROR(VLOOKUP(D1110,Parameter!$A$35:$C$64,3,0)+0,0)))</f>
        <v>0</v>
      </c>
      <c r="CB1110" s="48" t="n">
        <f aca="false">IF(AA1110&lt;&gt;"",AA1110,Z1110)</f>
        <v>3</v>
      </c>
      <c r="CC1110" s="48" t="str">
        <f aca="false">IF(OR(CB1110=1,CB1110=2,CB1110=3),IF(Parameter!$E$27="Ja","LIFT",IF(CB1110=1,"L1","L23")),IF(CB1110="Aussen","Aussen","-"))</f>
        <v>LIFT</v>
      </c>
      <c r="CD1110" s="59" t="n">
        <f aca="false">IF(N(AB1110)&gt;0,AB1110,0)</f>
        <v>0</v>
      </c>
      <c r="CE1110" s="53" t="n">
        <f aca="false">IF(ISNUMBER(AE1110),1,0)</f>
        <v>0</v>
      </c>
      <c r="CF1110" s="50" t="n">
        <f aca="false">N(AE1110)</f>
        <v>0</v>
      </c>
      <c r="CG1110" s="50" t="n">
        <f aca="false">N(M1110)+N(N1110)</f>
        <v>1</v>
      </c>
      <c r="CH1110" s="50" t="n">
        <f aca="false">ROUNDUP(H1110/BV1110,0)</f>
        <v>0</v>
      </c>
      <c r="CI1110" s="50" t="n">
        <f aca="false">ROUNDUP(CF1110/BV1110,0)</f>
        <v>0</v>
      </c>
      <c r="CJ1110" s="53" t="n">
        <f aca="false">IF(BW1110=1,0,IFERROR(VLOOKUP(BU1110,'Gebinde-Kategorie'!$A$5:$N$45,5,0)+0,0))</f>
        <v>11</v>
      </c>
      <c r="CK1110" s="53" t="n">
        <f aca="false">IFERROR(IF(OR(CB1110=1,CB1110=2,CB1110=3),N(INDEX(Parameter!$I$5:$I$7,CB1110)),0),0)</f>
        <v>0</v>
      </c>
      <c r="CL1110" s="52" t="n">
        <f aca="false">IF(AND(Parameter!$B$21="Ja",ISNUMBER(W1110),N(X1110)&gt;0),IFERROR(N(INDEX(Parameter!$L$5:$L$7,W1110))*INDEX(Parameter!$E$5:$E$7,W1110)*X1110/SUMIFS($X$7:$X$1843,$W$7:$W$1843,W1110),0),0)</f>
        <v>0</v>
      </c>
    </row>
    <row r="1111" customFormat="false" ht="15" hidden="false" customHeight="false" outlineLevel="0" collapsed="false">
      <c r="A1111" s="48" t="s">
        <v>2021</v>
      </c>
      <c r="B1111" s="48" t="s">
        <v>759</v>
      </c>
      <c r="C1111" s="48" t="s">
        <v>168</v>
      </c>
      <c r="D1111" s="48" t="s">
        <v>188</v>
      </c>
      <c r="E1111" s="48"/>
      <c r="F1111" s="48" t="s">
        <v>222</v>
      </c>
      <c r="G1111" s="49" t="n">
        <v>114.73</v>
      </c>
      <c r="H1111" s="50" t="n">
        <f aca="false">MAX(0,IF(AND(Parameter!$B$21="Ja",ISNUMBER(Y1111)),Y1111,IF(Parameter!$B$20="Jahresanfang 2025 + Export",BO1111+BN1111,BN1111)))</f>
        <v>4</v>
      </c>
      <c r="I1111" s="50" t="n">
        <f aca="false">H1111*G1111</f>
        <v>458.92</v>
      </c>
      <c r="J1111" s="50" t="n">
        <f aca="false">BQ1111*Parameter!$B$18</f>
        <v>1</v>
      </c>
      <c r="K1111" s="51" t="n">
        <v>5.5</v>
      </c>
      <c r="L1111" s="52" t="n">
        <v>0.181818181818182</v>
      </c>
      <c r="M1111" s="50" t="n">
        <v>0</v>
      </c>
      <c r="N1111" s="50" t="n">
        <v>1</v>
      </c>
      <c r="O1111" s="53" t="n">
        <v>35</v>
      </c>
      <c r="P1111" s="48" t="s">
        <v>430</v>
      </c>
      <c r="Q1111" s="50" t="n">
        <v>5</v>
      </c>
      <c r="R1111" s="53" t="n">
        <f aca="false">IF(BW1111=1,0,IFERROR(VLOOKUP(BU1111,'Gebinde-Kategorie'!$A$5:$N$45,13,0)+0,0))</f>
        <v>140</v>
      </c>
      <c r="S1111" s="54"/>
      <c r="T1111" s="55"/>
      <c r="U1111" s="55"/>
      <c r="V1111" s="55"/>
      <c r="W1111" s="48"/>
      <c r="X1111" s="50"/>
      <c r="Y1111" s="50"/>
      <c r="Z1111" s="48" t="n">
        <f aca="false">IF(A1111="","",IF(AND(Parameter!$B$21="Ja",ISNUMBER(W1111)),W1111,IF(BZ1111="2+3",IF(ISNUMBER(SEARCH("grosser Artikel",BR1111)),2,IFERROR(VLOOKUP(BU1111,Parameter!$F$35:$G$64,2,0),2)),IF(OR(BZ1111="Nein",BZ1111=""),"-",BZ1111))))</f>
        <v>3</v>
      </c>
      <c r="AA1111" s="55"/>
      <c r="AB1111" s="56"/>
      <c r="AC1111" s="50" t="n">
        <f aca="false">AT1111</f>
        <v>5</v>
      </c>
      <c r="AD1111" s="50" t="n">
        <f aca="false">MAX(AT1111,H1111)</f>
        <v>5</v>
      </c>
      <c r="AE1111" s="57"/>
      <c r="AF1111" s="50" t="n">
        <f aca="false">IF(LEFT(Cockpit!$C$5,1)="A",H1111,IF(CE1111=1,CF1111,IF(LEFT(Cockpit!$C$5,1)="B",AK1111,MAX(AK1111,H1111))))</f>
        <v>4</v>
      </c>
      <c r="AG1111" s="50" t="n">
        <f aca="false">IF(BW1111=1,0,ROUNDUP(AF1111/BV1111,0))</f>
        <v>1</v>
      </c>
      <c r="AH1111" s="52" t="n">
        <f aca="false">IF(CL1111&gt;0,CL1111*MAX(1,AF1111/X1111),IF(BW1111=1,IF(AF1111&lt;=0,0,CA1111*MAX(1,IF(H1111&gt;0,AF1111/H1111,1))),IF(R1111&gt;0,AG1111/R1111,0))/MAX(0.1,N(Parameter!$M$21)))</f>
        <v>0.00714285714285714</v>
      </c>
      <c r="AI1111" s="50" t="n">
        <f aca="false">AH1111*BY1111</f>
        <v>1.10714285714286</v>
      </c>
      <c r="AJ1111" s="50" t="n">
        <f aca="false">AF1111*G1111</f>
        <v>458.92</v>
      </c>
      <c r="AK1111" s="50" t="n">
        <f aca="false">ROUNDUP(MAX(J1111/IF(CD1111&gt;0,CD1111,MAX(0.1,N(Cockpit!$C$6))),CG1111)/BV1111,0)*BV1111</f>
        <v>5</v>
      </c>
      <c r="AL1111" s="51" t="n">
        <f aca="false">IF(AI1111&gt;0,J1111/AI1111,-1)</f>
        <v>0.903225806451613</v>
      </c>
      <c r="AM1111" s="51" t="n">
        <f aca="false">IF(AND(OR(CC1111="L1",CC1111="L23",CC1111="LIFT"),AI1111&gt;0),SUMIFS($AI$7:$AI$1843,$CC$7:$CC$1843,CC1111,$AL$7:$AL$1843,"&gt;"&amp;AL1111)+SUMIFS($AI$7:$AI$1843,$CC$7:$CC$1843,CC1111,$AL$7:$AL$1843,AL1111,$BT$7:$BT$1843,"&lt;="&amp;BT1111),"")</f>
        <v>7622.16987179487</v>
      </c>
      <c r="AN1111" s="58" t="n">
        <f aca="false">IF(AM1111="",0,MAX(0,MIN(1,(IF(CC1111="L1",Parameter!$H$5,IF(CC1111="L23",Parameter!$H$6+Parameter!$H$7,Parameter!$H$5+Parameter!$H$6+Parameter!$H$7))-(AM1111-AI1111))/AI1111)))</f>
        <v>1</v>
      </c>
      <c r="AO1111" s="50" t="n">
        <f aca="false">IF(LEFT(Cockpit!$I$5,1)="A",H1111,IF(CE1111=1,CF1111,IF(LEFT(Cockpit!$I$5,1)="B",AT1111,MAX(AT1111,H1111))))</f>
        <v>5</v>
      </c>
      <c r="AP1111" s="50" t="n">
        <f aca="false">IF(BW1111=1,0,ROUNDUP(AO1111/BV1111,0))</f>
        <v>1</v>
      </c>
      <c r="AQ1111" s="52" t="n">
        <f aca="false">IF(CL1111&gt;0,CL1111*MAX(1,AO1111/X1111),IF(BW1111=1,IF(AO1111&lt;=0,0,CA1111*MAX(1,IF(H1111&gt;0,AO1111/H1111,1))),IF(R1111&gt;0,AP1111/R1111,0))/MAX(0.1,N(Parameter!$M$21)))</f>
        <v>0.00714285714285714</v>
      </c>
      <c r="AR1111" s="50" t="n">
        <f aca="false">AQ1111*BY1111</f>
        <v>1.10714285714286</v>
      </c>
      <c r="AS1111" s="50" t="n">
        <f aca="false">AO1111*G1111</f>
        <v>573.65</v>
      </c>
      <c r="AT1111" s="50" t="n">
        <f aca="false">ROUNDUP(MAX(J1111/IF(CD1111&gt;0,CD1111,MAX(0.1,N(Cockpit!$I$6))),CG1111)/BV1111,0)*BV1111</f>
        <v>5</v>
      </c>
      <c r="AU1111" s="51" t="n">
        <f aca="false">IF(AR1111&gt;0,J1111/AR1111,-1)</f>
        <v>0.903225806451613</v>
      </c>
      <c r="AV1111" s="51" t="n">
        <f aca="false">IF(AND(OR(CC1111="L1",CC1111="L23",CC1111="LIFT"),AR1111&gt;0),SUMIFS($AR$7:$AR$1843,$CC$7:$CC$1843,CC1111,$AU$7:$AU$1843,"&gt;"&amp;AU1111)+SUMIFS($AR$7:$AR$1843,$CC$7:$CC$1843,CC1111,$AU$7:$AU$1843,AU1111,$BT$7:$BT$1843,"&lt;="&amp;BT1111),"")</f>
        <v>10733.4267399267</v>
      </c>
      <c r="AW1111" s="58" t="n">
        <f aca="false">IF(AV1111="",0,MAX(0,MIN(1,(IF(CC1111="L1",Parameter!$H$5,IF(CC1111="L23",Parameter!$H$6+Parameter!$H$7,Parameter!$H$5+Parameter!$H$6+Parameter!$H$7))-(AV1111-AR1111))/AR1111)))</f>
        <v>1</v>
      </c>
      <c r="AX1111" s="50" t="n">
        <f aca="false">IF(LEFT(Cockpit!$O$5,1)="A",H1111,IF(CE1111=1,CF1111,IF(LEFT(Cockpit!$O$5,1)="B",BC1111,MAX(BC1111,H1111))))</f>
        <v>5</v>
      </c>
      <c r="AY1111" s="50" t="n">
        <f aca="false">IF(BW1111=1,0,ROUNDUP(AX1111/BV1111,0))</f>
        <v>1</v>
      </c>
      <c r="AZ1111" s="52" t="n">
        <f aca="false">IF(CL1111&gt;0,CL1111*MAX(1,AX1111/X1111),IF(BW1111=1,IF(AX1111&lt;=0,0,CA1111*MAX(1,IF(H1111&gt;0,AX1111/H1111,1))),IF(R1111&gt;0,AY1111/R1111,0))/MAX(0.1,N(Parameter!$M$21)))</f>
        <v>0.00714285714285714</v>
      </c>
      <c r="BA1111" s="50" t="n">
        <f aca="false">AZ1111*BY1111</f>
        <v>1.10714285714286</v>
      </c>
      <c r="BB1111" s="50" t="n">
        <f aca="false">AX1111*G1111</f>
        <v>573.65</v>
      </c>
      <c r="BC1111" s="50" t="n">
        <f aca="false">ROUNDUP(MAX(J1111/IF(CD1111&gt;0,CD1111,MAX(0.1,N(Cockpit!$O$6))),CG1111)/BV1111,0)*BV1111</f>
        <v>5</v>
      </c>
      <c r="BD1111" s="51" t="n">
        <f aca="false">IF(BA1111&gt;0,J1111/BA1111,-1)</f>
        <v>0.903225806451613</v>
      </c>
      <c r="BE1111" s="51" t="n">
        <f aca="false">IF(AND(OR(CC1111="L1",CC1111="L23",CC1111="LIFT"),BA1111&gt;0),SUMIFS($BA$7:$BA$1843,$CC$7:$CC$1843,CC1111,$BD$7:$BD$1843,"&gt;"&amp;BD1111)+SUMIFS($BA$7:$BA$1843,$CC$7:$CC$1843,CC1111,$BD$7:$BD$1843,BD1111,$BT$7:$BT$1843,"&lt;="&amp;BT1111),"")</f>
        <v>9991.58379120879</v>
      </c>
      <c r="BF1111" s="58" t="n">
        <f aca="false">IF(BE1111="",0,MAX(0,MIN(1,(IF(CC1111="L1",Parameter!$H$5,IF(CC1111="L23",Parameter!$H$6+Parameter!$H$7,Parameter!$H$5+Parameter!$H$6+Parameter!$H$7))-(BE1111-BA1111))/BA1111)))</f>
        <v>1</v>
      </c>
      <c r="BG1111" s="48" t="str">
        <f aca="false">IF(AI1111&lt;=0,"",IF(CC1111="Aussen","Aussenlager",IF(CC1111="-","Nicht im Lift",IF(AN1111&gt;=1,"Lift",IF(AN1111&lt;=0,"Aussenlager","teilweise")))))</f>
        <v>Lift</v>
      </c>
      <c r="BH1111" s="48" t="str">
        <f aca="false">IF(AR1111&lt;=0,"",IF(CC1111="Aussen","Aussenlager",IF(CC1111="-","Nicht im Lift",IF(AW1111&gt;=1,"Lift",IF(AW1111&lt;=0,"Aussenlager","teilweise")))))</f>
        <v>Lift</v>
      </c>
      <c r="BI1111" s="48" t="str">
        <f aca="false">IF(BA1111&lt;=0,"",IF(CC1111="Aussen","Aussenlager",IF(CC1111="-","Nicht im Lift",IF(BF1111&gt;=1,"Lift",IF(BF1111&lt;=0,"Aussenlager","teilweise")))))</f>
        <v>Lift</v>
      </c>
      <c r="BJ1111" s="48" t="str">
        <f aca="false">IF(A1111="","",IF(BS1111=1,"Neu; ","")&amp;IF(AND(BS1111=0,BN1111&lt;0),"negativer Bestand (Export "&amp;BN1111&amp;"); ","")&amp;IF(J1111&lt;=0,"Kein Verbrauch; ","")&amp;IF(CL1111&gt;0,"Lift "&amp;W1111&amp;" lt. Liftbericht (Fach "&amp;X1111&amp;" Stk); ",IF(BX1111=1,"Gebinde geschätzt ("&amp;T1111&amp;"); ",IF(BW1111=1,"Lose – Tablare geschätzt; ","")))&amp;IF(H1111&gt;AT1111,"Überbestand "&amp;ROUND(H1111-AT1111,0)&amp;" Stk / CHF "&amp;ROUND((H1111-AT1111)*G1111,0)&amp;"; ","")&amp;IF(AND(CE1111=1,CF1111&lt;CG1111),"MAX &lt; MB+LG; ","")&amp;IF(AND(CK1111&gt;0,CJ1111*10&gt;CK1111),"zu hoch für Tablar; ","")&amp;IF(AND(BS1111=0,OR(CE1111=1,AA1111&lt;&gt;"",U1111&lt;&gt;"",V1111&lt;&gt;"",AB1111&lt;&gt;"")),"manuell übersteuert; ","")&amp;IF(AND(BW1111=0,R1111=0),"Gebinde unbekannt / Stellmass fehlt; ","")&amp;IF(AND(BW1111=0,N(V1111)&lt;=0,N(Q1111)&lt;=0),"Menge pro Gebinde fehlt (Ist = 1 Gebinde); ","")&amp;BR1111)</f>
        <v>negativer Bestand (Export -2); </v>
      </c>
      <c r="BK1111" s="48"/>
      <c r="BL1111" s="48"/>
      <c r="BM1111" s="55"/>
      <c r="BN1111" s="50" t="n">
        <v>-2</v>
      </c>
      <c r="BO1111" s="50" t="n">
        <v>6</v>
      </c>
      <c r="BP1111" s="49" t="n">
        <v>-229.46</v>
      </c>
      <c r="BQ1111" s="50" t="n">
        <v>1</v>
      </c>
      <c r="BR1111" s="48"/>
      <c r="BS1111" s="53" t="n">
        <v>0</v>
      </c>
      <c r="BT1111" s="53" t="n">
        <v>1111</v>
      </c>
      <c r="BU1111" s="48" t="str">
        <f aca="false">IF(U1111&lt;&gt;"",UPPER(TRIM(U1111)),IF(BX1111=1,UPPER(VLOOKUP(T1111,Parameter!$I$27:$K$29,2,0)),IF(P1111="","LOSE",P1111)))</f>
        <v>S22</v>
      </c>
      <c r="BV1111" s="50" t="n">
        <f aca="false">IF(BU1111="LOSE",1,IF(N(V1111)&gt;0,V1111,IF(BX1111=1,MAX(1,N(VLOOKUP(T1111,Parameter!$I$27:$K$29,3,0)),H1111,N(N1111)),IF(N(Q1111)&gt;0,Q1111,MAX(1,H1111)))))</f>
        <v>5</v>
      </c>
      <c r="BW1111" s="53" t="n">
        <f aca="false">IF(BU1111="LOSE",1,0)</f>
        <v>0</v>
      </c>
      <c r="BX1111" s="53" t="n">
        <f aca="false">IF(AND(U1111="",OR(P1111="",P1111="LOSE"),T1111&lt;&gt;"",N(S1111)&lt;=0,ISNUMBER(MATCH(T1111,Parameter!$I$27:$I$29,0))),1,0)</f>
        <v>0</v>
      </c>
      <c r="BY1111" s="53" t="n">
        <f aca="false">IF(CL1111&gt;0,INDEX(Parameter!$H$5:$H$7,W1111)/INDEX(Parameter!$E$5:$E$7,W1111),IF(AND(BW1111=0,N(IFERROR(VLOOKUP(BU1111,'Gebinde-Kategorie'!$A$5:$N$45,14,0),0))&gt;0),VLOOKUP(BU1111,'Gebinde-Kategorie'!$A$5:$N$45,14,0)*10+Parameter!$M$23,Parameter!$M$24))</f>
        <v>155</v>
      </c>
      <c r="BZ1111" s="48" t="str">
        <f aca="false">IF(AND(Parameter!$B$19="Ja",E1111&lt;&gt;"",ISNUMBER(MATCH(E1111,Parameter!$I$35:$I$52,0))),VLOOKUP(E1111,Parameter!$I$35:$J$52,2,0),IFERROR(VLOOKUP(D1111,Parameter!$A$35:$C$64,2,0),"Nein"))</f>
        <v>2+3</v>
      </c>
      <c r="CA1111" s="52" t="n">
        <f aca="false">IF(BW1111=0,0,IF(N(S1111)&gt;0,S1111,IFERROR(VLOOKUP(D1111,Parameter!$A$35:$C$64,3,0)+0,0)))</f>
        <v>0</v>
      </c>
      <c r="CB1111" s="48" t="n">
        <f aca="false">IF(AA1111&lt;&gt;"",AA1111,Z1111)</f>
        <v>3</v>
      </c>
      <c r="CC1111" s="48" t="str">
        <f aca="false">IF(OR(CB1111=1,CB1111=2,CB1111=3),IF(Parameter!$E$27="Ja","LIFT",IF(CB1111=1,"L1","L23")),IF(CB1111="Aussen","Aussen","-"))</f>
        <v>LIFT</v>
      </c>
      <c r="CD1111" s="59" t="n">
        <f aca="false">IF(N(AB1111)&gt;0,AB1111,0)</f>
        <v>0</v>
      </c>
      <c r="CE1111" s="53" t="n">
        <f aca="false">IF(ISNUMBER(AE1111),1,0)</f>
        <v>0</v>
      </c>
      <c r="CF1111" s="50" t="n">
        <f aca="false">N(AE1111)</f>
        <v>0</v>
      </c>
      <c r="CG1111" s="50" t="n">
        <f aca="false">N(M1111)+N(N1111)</f>
        <v>1</v>
      </c>
      <c r="CH1111" s="50" t="n">
        <f aca="false">ROUNDUP(H1111/BV1111,0)</f>
        <v>1</v>
      </c>
      <c r="CI1111" s="50" t="n">
        <f aca="false">ROUNDUP(CF1111/BV1111,0)</f>
        <v>0</v>
      </c>
      <c r="CJ1111" s="53" t="n">
        <f aca="false">IF(BW1111=1,0,IFERROR(VLOOKUP(BU1111,'Gebinde-Kategorie'!$A$5:$N$45,5,0)+0,0))</f>
        <v>8</v>
      </c>
      <c r="CK1111" s="53" t="n">
        <f aca="false">IFERROR(IF(OR(CB1111=1,CB1111=2,CB1111=3),N(INDEX(Parameter!$I$5:$I$7,CB1111)),0),0)</f>
        <v>0</v>
      </c>
      <c r="CL1111" s="52" t="n">
        <f aca="false">IF(AND(Parameter!$B$21="Ja",ISNUMBER(W1111),N(X1111)&gt;0),IFERROR(N(INDEX(Parameter!$L$5:$L$7,W1111))*INDEX(Parameter!$E$5:$E$7,W1111)*X1111/SUMIFS($X$7:$X$1843,$W$7:$W$1843,W1111),0),0)</f>
        <v>0</v>
      </c>
    </row>
    <row r="1112" customFormat="false" ht="15" hidden="false" customHeight="false" outlineLevel="0" collapsed="false">
      <c r="A1112" s="48" t="s">
        <v>2022</v>
      </c>
      <c r="B1112" s="48" t="s">
        <v>2023</v>
      </c>
      <c r="C1112" s="48" t="s">
        <v>168</v>
      </c>
      <c r="D1112" s="48" t="s">
        <v>188</v>
      </c>
      <c r="E1112" s="48"/>
      <c r="F1112" s="48" t="s">
        <v>222</v>
      </c>
      <c r="G1112" s="49" t="n">
        <v>21.01</v>
      </c>
      <c r="H1112" s="50" t="n">
        <f aca="false">MAX(0,IF(AND(Parameter!$B$21="Ja",ISNUMBER(Y1112)),Y1112,IF(Parameter!$B$20="Jahresanfang 2025 + Export",BO1112+BN1112,BN1112)))</f>
        <v>17</v>
      </c>
      <c r="I1112" s="50" t="n">
        <f aca="false">H1112*G1112</f>
        <v>357.17</v>
      </c>
      <c r="J1112" s="50" t="n">
        <f aca="false">BQ1112*Parameter!$B$18</f>
        <v>6</v>
      </c>
      <c r="K1112" s="51" t="n">
        <v>25</v>
      </c>
      <c r="L1112" s="52" t="n">
        <v>0.24</v>
      </c>
      <c r="M1112" s="50" t="n">
        <v>0</v>
      </c>
      <c r="N1112" s="50" t="n">
        <v>5</v>
      </c>
      <c r="O1112" s="53" t="n">
        <v>14</v>
      </c>
      <c r="P1112" s="48" t="s">
        <v>425</v>
      </c>
      <c r="Q1112" s="50" t="n">
        <v>20</v>
      </c>
      <c r="R1112" s="53" t="n">
        <f aca="false">IF(BW1112=1,0,IFERROR(VLOOKUP(BU1112,'Gebinde-Kategorie'!$A$5:$N$45,13,0)+0,0))</f>
        <v>104</v>
      </c>
      <c r="S1112" s="54"/>
      <c r="T1112" s="55"/>
      <c r="U1112" s="55"/>
      <c r="V1112" s="55"/>
      <c r="W1112" s="48"/>
      <c r="X1112" s="50"/>
      <c r="Y1112" s="50"/>
      <c r="Z1112" s="48" t="n">
        <f aca="false">IF(A1112="","",IF(AND(Parameter!$B$21="Ja",ISNUMBER(W1112)),W1112,IF(BZ1112="2+3",IF(ISNUMBER(SEARCH("grosser Artikel",BR1112)),2,IFERROR(VLOOKUP(BU1112,Parameter!$F$35:$G$64,2,0),2)),IF(OR(BZ1112="Nein",BZ1112=""),"-",BZ1112))))</f>
        <v>3</v>
      </c>
      <c r="AA1112" s="55"/>
      <c r="AB1112" s="56"/>
      <c r="AC1112" s="50" t="n">
        <f aca="false">AT1112</f>
        <v>20</v>
      </c>
      <c r="AD1112" s="50" t="n">
        <f aca="false">MAX(AT1112,H1112)</f>
        <v>20</v>
      </c>
      <c r="AE1112" s="57"/>
      <c r="AF1112" s="50" t="n">
        <f aca="false">IF(LEFT(Cockpit!$C$5,1)="A",H1112,IF(CE1112=1,CF1112,IF(LEFT(Cockpit!$C$5,1)="B",AK1112,MAX(AK1112,H1112))))</f>
        <v>17</v>
      </c>
      <c r="AG1112" s="50" t="n">
        <f aca="false">IF(BW1112=1,0,ROUNDUP(AF1112/BV1112,0))</f>
        <v>1</v>
      </c>
      <c r="AH1112" s="52" t="n">
        <f aca="false">IF(CL1112&gt;0,CL1112*MAX(1,AF1112/X1112),IF(BW1112=1,IF(AF1112&lt;=0,0,CA1112*MAX(1,IF(H1112&gt;0,AF1112/H1112,1))),IF(R1112&gt;0,AG1112/R1112,0))/MAX(0.1,N(Parameter!$M$21)))</f>
        <v>0.00961538461538462</v>
      </c>
      <c r="AI1112" s="50" t="n">
        <f aca="false">AH1112*BY1112</f>
        <v>1.49038461538462</v>
      </c>
      <c r="AJ1112" s="50" t="n">
        <f aca="false">AF1112*G1112</f>
        <v>357.17</v>
      </c>
      <c r="AK1112" s="50" t="n">
        <f aca="false">ROUNDUP(MAX(J1112/IF(CD1112&gt;0,CD1112,MAX(0.1,N(Cockpit!$C$6))),CG1112)/BV1112,0)*BV1112</f>
        <v>20</v>
      </c>
      <c r="AL1112" s="51" t="n">
        <f aca="false">IF(AI1112&gt;0,J1112/AI1112,-1)</f>
        <v>4.0258064516129</v>
      </c>
      <c r="AM1112" s="51" t="n">
        <f aca="false">IF(AND(OR(CC1112="L1",CC1112="L23",CC1112="LIFT"),AI1112&gt;0),SUMIFS($AI$7:$AI$1843,$CC$7:$CC$1843,CC1112,$AL$7:$AL$1843,"&gt;"&amp;AL1112)+SUMIFS($AI$7:$AI$1843,$CC$7:$CC$1843,CC1112,$AL$7:$AL$1843,AL1112,$BT$7:$BT$1843,"&lt;="&amp;BT1112),"")</f>
        <v>4361.66987179487</v>
      </c>
      <c r="AN1112" s="58" t="n">
        <f aca="false">IF(AM1112="",0,MAX(0,MIN(1,(IF(CC1112="L1",Parameter!$H$5,IF(CC1112="L23",Parameter!$H$6+Parameter!$H$7,Parameter!$H$5+Parameter!$H$6+Parameter!$H$7))-(AM1112-AI1112))/AI1112)))</f>
        <v>1</v>
      </c>
      <c r="AO1112" s="50" t="n">
        <f aca="false">IF(LEFT(Cockpit!$I$5,1)="A",H1112,IF(CE1112=1,CF1112,IF(LEFT(Cockpit!$I$5,1)="B",AT1112,MAX(AT1112,H1112))))</f>
        <v>20</v>
      </c>
      <c r="AP1112" s="50" t="n">
        <f aca="false">IF(BW1112=1,0,ROUNDUP(AO1112/BV1112,0))</f>
        <v>1</v>
      </c>
      <c r="AQ1112" s="52" t="n">
        <f aca="false">IF(CL1112&gt;0,CL1112*MAX(1,AO1112/X1112),IF(BW1112=1,IF(AO1112&lt;=0,0,CA1112*MAX(1,IF(H1112&gt;0,AO1112/H1112,1))),IF(R1112&gt;0,AP1112/R1112,0))/MAX(0.1,N(Parameter!$M$21)))</f>
        <v>0.00961538461538462</v>
      </c>
      <c r="AR1112" s="50" t="n">
        <f aca="false">AQ1112*BY1112</f>
        <v>1.49038461538462</v>
      </c>
      <c r="AS1112" s="50" t="n">
        <f aca="false">AO1112*G1112</f>
        <v>420.2</v>
      </c>
      <c r="AT1112" s="50" t="n">
        <f aca="false">ROUNDUP(MAX(J1112/IF(CD1112&gt;0,CD1112,MAX(0.1,N(Cockpit!$I$6))),CG1112)/BV1112,0)*BV1112</f>
        <v>20</v>
      </c>
      <c r="AU1112" s="51" t="n">
        <f aca="false">IF(AR1112&gt;0,J1112/AR1112,-1)</f>
        <v>4.0258064516129</v>
      </c>
      <c r="AV1112" s="51" t="n">
        <f aca="false">IF(AND(OR(CC1112="L1",CC1112="L23",CC1112="LIFT"),AR1112&gt;0),SUMIFS($AR$7:$AR$1843,$CC$7:$CC$1843,CC1112,$AU$7:$AU$1843,"&gt;"&amp;AU1112)+SUMIFS($AR$7:$AR$1843,$CC$7:$CC$1843,CC1112,$AU$7:$AU$1843,AU1112,$BT$7:$BT$1843,"&lt;="&amp;BT1112),"")</f>
        <v>5604.21062271062</v>
      </c>
      <c r="AW1112" s="58" t="n">
        <f aca="false">IF(AV1112="",0,MAX(0,MIN(1,(IF(CC1112="L1",Parameter!$H$5,IF(CC1112="L23",Parameter!$H$6+Parameter!$H$7,Parameter!$H$5+Parameter!$H$6+Parameter!$H$7))-(AV1112-AR1112))/AR1112)))</f>
        <v>1</v>
      </c>
      <c r="AX1112" s="50" t="n">
        <f aca="false">IF(LEFT(Cockpit!$O$5,1)="A",H1112,IF(CE1112=1,CF1112,IF(LEFT(Cockpit!$O$5,1)="B",BC1112,MAX(BC1112,H1112))))</f>
        <v>20</v>
      </c>
      <c r="AY1112" s="50" t="n">
        <f aca="false">IF(BW1112=1,0,ROUNDUP(AX1112/BV1112,0))</f>
        <v>1</v>
      </c>
      <c r="AZ1112" s="52" t="n">
        <f aca="false">IF(CL1112&gt;0,CL1112*MAX(1,AX1112/X1112),IF(BW1112=1,IF(AX1112&lt;=0,0,CA1112*MAX(1,IF(H1112&gt;0,AX1112/H1112,1))),IF(R1112&gt;0,AY1112/R1112,0))/MAX(0.1,N(Parameter!$M$21)))</f>
        <v>0.00961538461538462</v>
      </c>
      <c r="BA1112" s="50" t="n">
        <f aca="false">AZ1112*BY1112</f>
        <v>1.49038461538462</v>
      </c>
      <c r="BB1112" s="50" t="n">
        <f aca="false">AX1112*G1112</f>
        <v>420.2</v>
      </c>
      <c r="BC1112" s="50" t="n">
        <f aca="false">ROUNDUP(MAX(J1112/IF(CD1112&gt;0,CD1112,MAX(0.1,N(Cockpit!$O$6))),CG1112)/BV1112,0)*BV1112</f>
        <v>20</v>
      </c>
      <c r="BD1112" s="51" t="n">
        <f aca="false">IF(BA1112&gt;0,J1112/BA1112,-1)</f>
        <v>4.0258064516129</v>
      </c>
      <c r="BE1112" s="51" t="n">
        <f aca="false">IF(AND(OR(CC1112="L1",CC1112="L23",CC1112="LIFT"),BA1112&gt;0),SUMIFS($BA$7:$BA$1843,$CC$7:$CC$1843,CC1112,$BD$7:$BD$1843,"&gt;"&amp;BD1112)+SUMIFS($BA$7:$BA$1843,$CC$7:$CC$1843,CC1112,$BD$7:$BD$1843,BD1112,$BT$7:$BT$1843,"&lt;="&amp;BT1112),"")</f>
        <v>5292.07921245421</v>
      </c>
      <c r="BF1112" s="58" t="n">
        <f aca="false">IF(BE1112="",0,MAX(0,MIN(1,(IF(CC1112="L1",Parameter!$H$5,IF(CC1112="L23",Parameter!$H$6+Parameter!$H$7,Parameter!$H$5+Parameter!$H$6+Parameter!$H$7))-(BE1112-BA1112))/BA1112)))</f>
        <v>1</v>
      </c>
      <c r="BG1112" s="48" t="str">
        <f aca="false">IF(AI1112&lt;=0,"",IF(CC1112="Aussen","Aussenlager",IF(CC1112="-","Nicht im Lift",IF(AN1112&gt;=1,"Lift",IF(AN1112&lt;=0,"Aussenlager","teilweise")))))</f>
        <v>Lift</v>
      </c>
      <c r="BH1112" s="48" t="str">
        <f aca="false">IF(AR1112&lt;=0,"",IF(CC1112="Aussen","Aussenlager",IF(CC1112="-","Nicht im Lift",IF(AW1112&gt;=1,"Lift",IF(AW1112&lt;=0,"Aussenlager","teilweise")))))</f>
        <v>Lift</v>
      </c>
      <c r="BI1112" s="48" t="str">
        <f aca="false">IF(BA1112&lt;=0,"",IF(CC1112="Aussen","Aussenlager",IF(CC1112="-","Nicht im Lift",IF(BF1112&gt;=1,"Lift",IF(BF1112&lt;=0,"Aussenlager","teilweise")))))</f>
        <v>Lift</v>
      </c>
      <c r="BJ1112" s="48" t="str">
        <f aca="false">IF(A1112="","",IF(BS1112=1,"Neu; ","")&amp;IF(AND(BS1112=0,BN1112&lt;0),"negativer Bestand (Export "&amp;BN1112&amp;"); ","")&amp;IF(J1112&lt;=0,"Kein Verbrauch; ","")&amp;IF(CL1112&gt;0,"Lift "&amp;W1112&amp;" lt. Liftbericht (Fach "&amp;X1112&amp;" Stk); ",IF(BX1112=1,"Gebinde geschätzt ("&amp;T1112&amp;"); ",IF(BW1112=1,"Lose – Tablare geschätzt; ","")))&amp;IF(H1112&gt;AT1112,"Überbestand "&amp;ROUND(H1112-AT1112,0)&amp;" Stk / CHF "&amp;ROUND((H1112-AT1112)*G1112,0)&amp;"; ","")&amp;IF(AND(CE1112=1,CF1112&lt;CG1112),"MAX &lt; MB+LG; ","")&amp;IF(AND(CK1112&gt;0,CJ1112*10&gt;CK1112),"zu hoch für Tablar; ","")&amp;IF(AND(BS1112=0,OR(CE1112=1,AA1112&lt;&gt;"",U1112&lt;&gt;"",V1112&lt;&gt;"",AB1112&lt;&gt;"")),"manuell übersteuert; ","")&amp;IF(AND(BW1112=0,R1112=0),"Gebinde unbekannt / Stellmass fehlt; ","")&amp;IF(AND(BW1112=0,N(V1112)&lt;=0,N(Q1112)&lt;=0),"Menge pro Gebinde fehlt (Ist = 1 Gebinde); ","")&amp;BR1112)</f>
        <v>negativer Bestand (Export -11); </v>
      </c>
      <c r="BK1112" s="48"/>
      <c r="BL1112" s="48"/>
      <c r="BM1112" s="55"/>
      <c r="BN1112" s="50" t="n">
        <v>-11</v>
      </c>
      <c r="BO1112" s="50" t="n">
        <v>28</v>
      </c>
      <c r="BP1112" s="49" t="n">
        <v>-231.11</v>
      </c>
      <c r="BQ1112" s="50" t="n">
        <v>6</v>
      </c>
      <c r="BR1112" s="48"/>
      <c r="BS1112" s="53" t="n">
        <v>0</v>
      </c>
      <c r="BT1112" s="53" t="n">
        <v>1112</v>
      </c>
      <c r="BU1112" s="48" t="str">
        <f aca="false">IF(U1112&lt;&gt;"",UPPER(TRIM(U1112)),IF(BX1112=1,UPPER(VLOOKUP(T1112,Parameter!$I$27:$K$29,2,0)),IF(P1112="","LOSE",P1112)))</f>
        <v>S32</v>
      </c>
      <c r="BV1112" s="50" t="n">
        <f aca="false">IF(BU1112="LOSE",1,IF(N(V1112)&gt;0,V1112,IF(BX1112=1,MAX(1,N(VLOOKUP(T1112,Parameter!$I$27:$K$29,3,0)),H1112,N(N1112)),IF(N(Q1112)&gt;0,Q1112,MAX(1,H1112)))))</f>
        <v>20</v>
      </c>
      <c r="BW1112" s="53" t="n">
        <f aca="false">IF(BU1112="LOSE",1,0)</f>
        <v>0</v>
      </c>
      <c r="BX1112" s="53" t="n">
        <f aca="false">IF(AND(U1112="",OR(P1112="",P1112="LOSE"),T1112&lt;&gt;"",N(S1112)&lt;=0,ISNUMBER(MATCH(T1112,Parameter!$I$27:$I$29,0))),1,0)</f>
        <v>0</v>
      </c>
      <c r="BY1112" s="53" t="n">
        <f aca="false">IF(CL1112&gt;0,INDEX(Parameter!$H$5:$H$7,W1112)/INDEX(Parameter!$E$5:$E$7,W1112),IF(AND(BW1112=0,N(IFERROR(VLOOKUP(BU1112,'Gebinde-Kategorie'!$A$5:$N$45,14,0),0))&gt;0),VLOOKUP(BU1112,'Gebinde-Kategorie'!$A$5:$N$45,14,0)*10+Parameter!$M$23,Parameter!$M$24))</f>
        <v>155</v>
      </c>
      <c r="BZ1112" s="48" t="str">
        <f aca="false">IF(AND(Parameter!$B$19="Ja",E1112&lt;&gt;"",ISNUMBER(MATCH(E1112,Parameter!$I$35:$I$52,0))),VLOOKUP(E1112,Parameter!$I$35:$J$52,2,0),IFERROR(VLOOKUP(D1112,Parameter!$A$35:$C$64,2,0),"Nein"))</f>
        <v>2+3</v>
      </c>
      <c r="CA1112" s="52" t="n">
        <f aca="false">IF(BW1112=0,0,IF(N(S1112)&gt;0,S1112,IFERROR(VLOOKUP(D1112,Parameter!$A$35:$C$64,3,0)+0,0)))</f>
        <v>0</v>
      </c>
      <c r="CB1112" s="48" t="n">
        <f aca="false">IF(AA1112&lt;&gt;"",AA1112,Z1112)</f>
        <v>3</v>
      </c>
      <c r="CC1112" s="48" t="str">
        <f aca="false">IF(OR(CB1112=1,CB1112=2,CB1112=3),IF(Parameter!$E$27="Ja","LIFT",IF(CB1112=1,"L1","L23")),IF(CB1112="Aussen","Aussen","-"))</f>
        <v>LIFT</v>
      </c>
      <c r="CD1112" s="59" t="n">
        <f aca="false">IF(N(AB1112)&gt;0,AB1112,0)</f>
        <v>0</v>
      </c>
      <c r="CE1112" s="53" t="n">
        <f aca="false">IF(ISNUMBER(AE1112),1,0)</f>
        <v>0</v>
      </c>
      <c r="CF1112" s="50" t="n">
        <f aca="false">N(AE1112)</f>
        <v>0</v>
      </c>
      <c r="CG1112" s="50" t="n">
        <f aca="false">N(M1112)+N(N1112)</f>
        <v>5</v>
      </c>
      <c r="CH1112" s="50" t="n">
        <f aca="false">ROUNDUP(H1112/BV1112,0)</f>
        <v>1</v>
      </c>
      <c r="CI1112" s="50" t="n">
        <f aca="false">ROUNDUP(CF1112/BV1112,0)</f>
        <v>0</v>
      </c>
      <c r="CJ1112" s="53" t="n">
        <f aca="false">IF(BW1112=1,0,IFERROR(VLOOKUP(BU1112,'Gebinde-Kategorie'!$A$5:$N$45,5,0)+0,0))</f>
        <v>8</v>
      </c>
      <c r="CK1112" s="53" t="n">
        <f aca="false">IFERROR(IF(OR(CB1112=1,CB1112=2,CB1112=3),N(INDEX(Parameter!$I$5:$I$7,CB1112)),0),0)</f>
        <v>0</v>
      </c>
      <c r="CL1112" s="52" t="n">
        <f aca="false">IF(AND(Parameter!$B$21="Ja",ISNUMBER(W1112),N(X1112)&gt;0),IFERROR(N(INDEX(Parameter!$L$5:$L$7,W1112))*INDEX(Parameter!$E$5:$E$7,W1112)*X1112/SUMIFS($X$7:$X$1843,$W$7:$W$1843,W1112),0),0)</f>
        <v>0</v>
      </c>
    </row>
    <row r="1113" customFormat="false" ht="15" hidden="false" customHeight="false" outlineLevel="0" collapsed="false">
      <c r="A1113" s="48" t="s">
        <v>2024</v>
      </c>
      <c r="B1113" s="48" t="s">
        <v>593</v>
      </c>
      <c r="C1113" s="48" t="s">
        <v>168</v>
      </c>
      <c r="D1113" s="48" t="s">
        <v>188</v>
      </c>
      <c r="E1113" s="48"/>
      <c r="F1113" s="48" t="s">
        <v>222</v>
      </c>
      <c r="G1113" s="49" t="n">
        <v>21.05</v>
      </c>
      <c r="H1113" s="50" t="n">
        <f aca="false">MAX(0,IF(AND(Parameter!$B$21="Ja",ISNUMBER(Y1113)),Y1113,IF(Parameter!$B$20="Jahresanfang 2025 + Export",BO1113+BN1113,BN1113)))</f>
        <v>67</v>
      </c>
      <c r="I1113" s="50" t="n">
        <f aca="false">H1113*G1113</f>
        <v>1410.35</v>
      </c>
      <c r="J1113" s="50" t="n">
        <f aca="false">BQ1113*Parameter!$B$18</f>
        <v>3</v>
      </c>
      <c r="K1113" s="51" t="n">
        <v>76</v>
      </c>
      <c r="L1113" s="52" t="n">
        <v>0.0394736842105263</v>
      </c>
      <c r="M1113" s="50" t="n">
        <v>0</v>
      </c>
      <c r="N1113" s="50" t="n">
        <v>5</v>
      </c>
      <c r="O1113" s="53" t="n">
        <v>35</v>
      </c>
      <c r="P1113" s="48" t="s">
        <v>405</v>
      </c>
      <c r="Q1113" s="50" t="n">
        <v>100</v>
      </c>
      <c r="R1113" s="53" t="n">
        <f aca="false">IF(BW1113=1,0,IFERROR(VLOOKUP(BU1113,'Gebinde-Kategorie'!$A$5:$N$45,13,0)+0,0))</f>
        <v>280</v>
      </c>
      <c r="S1113" s="54"/>
      <c r="T1113" s="55"/>
      <c r="U1113" s="55"/>
      <c r="V1113" s="55"/>
      <c r="W1113" s="48"/>
      <c r="X1113" s="50"/>
      <c r="Y1113" s="50"/>
      <c r="Z1113" s="48" t="n">
        <f aca="false">IF(A1113="","",IF(AND(Parameter!$B$21="Ja",ISNUMBER(W1113)),W1113,IF(BZ1113="2+3",IF(ISNUMBER(SEARCH("grosser Artikel",BR1113)),2,IFERROR(VLOOKUP(BU1113,Parameter!$F$35:$G$64,2,0),2)),IF(OR(BZ1113="Nein",BZ1113=""),"-",BZ1113))))</f>
        <v>3</v>
      </c>
      <c r="AA1113" s="55"/>
      <c r="AB1113" s="56"/>
      <c r="AC1113" s="50" t="n">
        <f aca="false">AT1113</f>
        <v>100</v>
      </c>
      <c r="AD1113" s="50" t="n">
        <f aca="false">MAX(AT1113,H1113)</f>
        <v>100</v>
      </c>
      <c r="AE1113" s="57"/>
      <c r="AF1113" s="50" t="n">
        <f aca="false">IF(LEFT(Cockpit!$C$5,1)="A",H1113,IF(CE1113=1,CF1113,IF(LEFT(Cockpit!$C$5,1)="B",AK1113,MAX(AK1113,H1113))))</f>
        <v>67</v>
      </c>
      <c r="AG1113" s="50" t="n">
        <f aca="false">IF(BW1113=1,0,ROUNDUP(AF1113/BV1113,0))</f>
        <v>1</v>
      </c>
      <c r="AH1113" s="52" t="n">
        <f aca="false">IF(CL1113&gt;0,CL1113*MAX(1,AF1113/X1113),IF(BW1113=1,IF(AF1113&lt;=0,0,CA1113*MAX(1,IF(H1113&gt;0,AF1113/H1113,1))),IF(R1113&gt;0,AG1113/R1113,0))/MAX(0.1,N(Parameter!$M$21)))</f>
        <v>0.00357142857142857</v>
      </c>
      <c r="AI1113" s="50" t="n">
        <f aca="false">AH1113*BY1113</f>
        <v>0.553571428571429</v>
      </c>
      <c r="AJ1113" s="50" t="n">
        <f aca="false">AF1113*G1113</f>
        <v>1410.35</v>
      </c>
      <c r="AK1113" s="50" t="n">
        <f aca="false">ROUNDUP(MAX(J1113/IF(CD1113&gt;0,CD1113,MAX(0.1,N(Cockpit!$C$6))),CG1113)/BV1113,0)*BV1113</f>
        <v>100</v>
      </c>
      <c r="AL1113" s="51" t="n">
        <f aca="false">IF(AI1113&gt;0,J1113/AI1113,-1)</f>
        <v>5.41935483870968</v>
      </c>
      <c r="AM1113" s="51" t="n">
        <f aca="false">IF(AND(OR(CC1113="L1",CC1113="L23",CC1113="LIFT"),AI1113&gt;0),SUMIFS($AI$7:$AI$1843,$CC$7:$CC$1843,CC1113,$AL$7:$AL$1843,"&gt;"&amp;AL1113)+SUMIFS($AI$7:$AI$1843,$CC$7:$CC$1843,CC1113,$AL$7:$AL$1843,AL1113,$BT$7:$BT$1843,"&lt;="&amp;BT1113),"")</f>
        <v>3717.24908424908</v>
      </c>
      <c r="AN1113" s="58" t="n">
        <f aca="false">IF(AM1113="",0,MAX(0,MIN(1,(IF(CC1113="L1",Parameter!$H$5,IF(CC1113="L23",Parameter!$H$6+Parameter!$H$7,Parameter!$H$5+Parameter!$H$6+Parameter!$H$7))-(AM1113-AI1113))/AI1113)))</f>
        <v>1</v>
      </c>
      <c r="AO1113" s="50" t="n">
        <f aca="false">IF(LEFT(Cockpit!$I$5,1)="A",H1113,IF(CE1113=1,CF1113,IF(LEFT(Cockpit!$I$5,1)="B",AT1113,MAX(AT1113,H1113))))</f>
        <v>100</v>
      </c>
      <c r="AP1113" s="50" t="n">
        <f aca="false">IF(BW1113=1,0,ROUNDUP(AO1113/BV1113,0))</f>
        <v>1</v>
      </c>
      <c r="AQ1113" s="52" t="n">
        <f aca="false">IF(CL1113&gt;0,CL1113*MAX(1,AO1113/X1113),IF(BW1113=1,IF(AO1113&lt;=0,0,CA1113*MAX(1,IF(H1113&gt;0,AO1113/H1113,1))),IF(R1113&gt;0,AP1113/R1113,0))/MAX(0.1,N(Parameter!$M$21)))</f>
        <v>0.00357142857142857</v>
      </c>
      <c r="AR1113" s="50" t="n">
        <f aca="false">AQ1113*BY1113</f>
        <v>0.553571428571429</v>
      </c>
      <c r="AS1113" s="50" t="n">
        <f aca="false">AO1113*G1113</f>
        <v>2105</v>
      </c>
      <c r="AT1113" s="50" t="n">
        <f aca="false">ROUNDUP(MAX(J1113/IF(CD1113&gt;0,CD1113,MAX(0.1,N(Cockpit!$I$6))),CG1113)/BV1113,0)*BV1113</f>
        <v>100</v>
      </c>
      <c r="AU1113" s="51" t="n">
        <f aca="false">IF(AR1113&gt;0,J1113/AR1113,-1)</f>
        <v>5.41935483870968</v>
      </c>
      <c r="AV1113" s="51" t="n">
        <f aca="false">IF(AND(OR(CC1113="L1",CC1113="L23",CC1113="LIFT"),AR1113&gt;0),SUMIFS($AR$7:$AR$1843,$CC$7:$CC$1843,CC1113,$AU$7:$AU$1843,"&gt;"&amp;AU1113)+SUMIFS($AR$7:$AR$1843,$CC$7:$CC$1843,CC1113,$AU$7:$AU$1843,AU1113,$BT$7:$BT$1843,"&lt;="&amp;BT1113),"")</f>
        <v>4901.54853479853</v>
      </c>
      <c r="AW1113" s="58" t="n">
        <f aca="false">IF(AV1113="",0,MAX(0,MIN(1,(IF(CC1113="L1",Parameter!$H$5,IF(CC1113="L23",Parameter!$H$6+Parameter!$H$7,Parameter!$H$5+Parameter!$H$6+Parameter!$H$7))-(AV1113-AR1113))/AR1113)))</f>
        <v>1</v>
      </c>
      <c r="AX1113" s="50" t="n">
        <f aca="false">IF(LEFT(Cockpit!$O$5,1)="A",H1113,IF(CE1113=1,CF1113,IF(LEFT(Cockpit!$O$5,1)="B",BC1113,MAX(BC1113,H1113))))</f>
        <v>100</v>
      </c>
      <c r="AY1113" s="50" t="n">
        <f aca="false">IF(BW1113=1,0,ROUNDUP(AX1113/BV1113,0))</f>
        <v>1</v>
      </c>
      <c r="AZ1113" s="52" t="n">
        <f aca="false">IF(CL1113&gt;0,CL1113*MAX(1,AX1113/X1113),IF(BW1113=1,IF(AX1113&lt;=0,0,CA1113*MAX(1,IF(H1113&gt;0,AX1113/H1113,1))),IF(R1113&gt;0,AY1113/R1113,0))/MAX(0.1,N(Parameter!$M$21)))</f>
        <v>0.00357142857142857</v>
      </c>
      <c r="BA1113" s="50" t="n">
        <f aca="false">AZ1113*BY1113</f>
        <v>0.553571428571429</v>
      </c>
      <c r="BB1113" s="50" t="n">
        <f aca="false">AX1113*G1113</f>
        <v>2105</v>
      </c>
      <c r="BC1113" s="50" t="n">
        <f aca="false">ROUNDUP(MAX(J1113/IF(CD1113&gt;0,CD1113,MAX(0.1,N(Cockpit!$O$6))),CG1113)/BV1113,0)*BV1113</f>
        <v>100</v>
      </c>
      <c r="BD1113" s="51" t="n">
        <f aca="false">IF(BA1113&gt;0,J1113/BA1113,-1)</f>
        <v>5.41935483870968</v>
      </c>
      <c r="BE1113" s="51" t="n">
        <f aca="false">IF(AND(OR(CC1113="L1",CC1113="L23",CC1113="LIFT"),BA1113&gt;0),SUMIFS($BA$7:$BA$1843,$CC$7:$CC$1843,CC1113,$BD$7:$BD$1843,"&gt;"&amp;BD1113)+SUMIFS($BA$7:$BA$1843,$CC$7:$CC$1843,CC1113,$BD$7:$BD$1843,BD1113,$BT$7:$BT$1843,"&lt;="&amp;BT1113),"")</f>
        <v>4572.01327838828</v>
      </c>
      <c r="BF1113" s="58" t="n">
        <f aca="false">IF(BE1113="",0,MAX(0,MIN(1,(IF(CC1113="L1",Parameter!$H$5,IF(CC1113="L23",Parameter!$H$6+Parameter!$H$7,Parameter!$H$5+Parameter!$H$6+Parameter!$H$7))-(BE1113-BA1113))/BA1113)))</f>
        <v>1</v>
      </c>
      <c r="BG1113" s="48" t="str">
        <f aca="false">IF(AI1113&lt;=0,"",IF(CC1113="Aussen","Aussenlager",IF(CC1113="-","Nicht im Lift",IF(AN1113&gt;=1,"Lift",IF(AN1113&lt;=0,"Aussenlager","teilweise")))))</f>
        <v>Lift</v>
      </c>
      <c r="BH1113" s="48" t="str">
        <f aca="false">IF(AR1113&lt;=0,"",IF(CC1113="Aussen","Aussenlager",IF(CC1113="-","Nicht im Lift",IF(AW1113&gt;=1,"Lift",IF(AW1113&lt;=0,"Aussenlager","teilweise")))))</f>
        <v>Lift</v>
      </c>
      <c r="BI1113" s="48" t="str">
        <f aca="false">IF(BA1113&lt;=0,"",IF(CC1113="Aussen","Aussenlager",IF(CC1113="-","Nicht im Lift",IF(BF1113&gt;=1,"Lift",IF(BF1113&lt;=0,"Aussenlager","teilweise")))))</f>
        <v>Lift</v>
      </c>
      <c r="BJ1113" s="48" t="str">
        <f aca="false">IF(A1113="","",IF(BS1113=1,"Neu; ","")&amp;IF(AND(BS1113=0,BN1113&lt;0),"negativer Bestand (Export "&amp;BN1113&amp;"); ","")&amp;IF(J1113&lt;=0,"Kein Verbrauch; ","")&amp;IF(CL1113&gt;0,"Lift "&amp;W1113&amp;" lt. Liftbericht (Fach "&amp;X1113&amp;" Stk); ",IF(BX1113=1,"Gebinde geschätzt ("&amp;T1113&amp;"); ",IF(BW1113=1,"Lose – Tablare geschätzt; ","")))&amp;IF(H1113&gt;AT1113,"Überbestand "&amp;ROUND(H1113-AT1113,0)&amp;" Stk / CHF "&amp;ROUND((H1113-AT1113)*G1113,0)&amp;"; ","")&amp;IF(AND(CE1113=1,CF1113&lt;CG1113),"MAX &lt; MB+LG; ","")&amp;IF(AND(CK1113&gt;0,CJ1113*10&gt;CK1113),"zu hoch für Tablar; ","")&amp;IF(AND(BS1113=0,OR(CE1113=1,AA1113&lt;&gt;"",U1113&lt;&gt;"",V1113&lt;&gt;"",AB1113&lt;&gt;"")),"manuell übersteuert; ","")&amp;IF(AND(BW1113=0,R1113=0),"Gebinde unbekannt / Stellmass fehlt; ","")&amp;IF(AND(BW1113=0,N(V1113)&lt;=0,N(Q1113)&lt;=0),"Menge pro Gebinde fehlt (Ist = 1 Gebinde); ","")&amp;BR1113)</f>
        <v>negativer Bestand (Export -11); Überbestand</v>
      </c>
      <c r="BK1113" s="48"/>
      <c r="BL1113" s="48"/>
      <c r="BM1113" s="55"/>
      <c r="BN1113" s="50" t="n">
        <v>-11</v>
      </c>
      <c r="BO1113" s="50" t="n">
        <v>78</v>
      </c>
      <c r="BP1113" s="49" t="n">
        <v>-231.55</v>
      </c>
      <c r="BQ1113" s="50" t="n">
        <v>3</v>
      </c>
      <c r="BR1113" s="48" t="s">
        <v>396</v>
      </c>
      <c r="BS1113" s="53" t="n">
        <v>0</v>
      </c>
      <c r="BT1113" s="53" t="n">
        <v>1113</v>
      </c>
      <c r="BU1113" s="48" t="str">
        <f aca="false">IF(U1113&lt;&gt;"",UPPER(TRIM(U1113)),IF(BX1113=1,UPPER(VLOOKUP(T1113,Parameter!$I$27:$K$29,2,0)),IF(P1113="","LOSE",P1113)))</f>
        <v>S21</v>
      </c>
      <c r="BV1113" s="50" t="n">
        <f aca="false">IF(BU1113="LOSE",1,IF(N(V1113)&gt;0,V1113,IF(BX1113=1,MAX(1,N(VLOOKUP(T1113,Parameter!$I$27:$K$29,3,0)),H1113,N(N1113)),IF(N(Q1113)&gt;0,Q1113,MAX(1,H1113)))))</f>
        <v>100</v>
      </c>
      <c r="BW1113" s="53" t="n">
        <f aca="false">IF(BU1113="LOSE",1,0)</f>
        <v>0</v>
      </c>
      <c r="BX1113" s="53" t="n">
        <f aca="false">IF(AND(U1113="",OR(P1113="",P1113="LOSE"),T1113&lt;&gt;"",N(S1113)&lt;=0,ISNUMBER(MATCH(T1113,Parameter!$I$27:$I$29,0))),1,0)</f>
        <v>0</v>
      </c>
      <c r="BY1113" s="53" t="n">
        <f aca="false">IF(CL1113&gt;0,INDEX(Parameter!$H$5:$H$7,W1113)/INDEX(Parameter!$E$5:$E$7,W1113),IF(AND(BW1113=0,N(IFERROR(VLOOKUP(BU1113,'Gebinde-Kategorie'!$A$5:$N$45,14,0),0))&gt;0),VLOOKUP(BU1113,'Gebinde-Kategorie'!$A$5:$N$45,14,0)*10+Parameter!$M$23,Parameter!$M$24))</f>
        <v>155</v>
      </c>
      <c r="BZ1113" s="48" t="str">
        <f aca="false">IF(AND(Parameter!$B$19="Ja",E1113&lt;&gt;"",ISNUMBER(MATCH(E1113,Parameter!$I$35:$I$52,0))),VLOOKUP(E1113,Parameter!$I$35:$J$52,2,0),IFERROR(VLOOKUP(D1113,Parameter!$A$35:$C$64,2,0),"Nein"))</f>
        <v>2+3</v>
      </c>
      <c r="CA1113" s="52" t="n">
        <f aca="false">IF(BW1113=0,0,IF(N(S1113)&gt;0,S1113,IFERROR(VLOOKUP(D1113,Parameter!$A$35:$C$64,3,0)+0,0)))</f>
        <v>0</v>
      </c>
      <c r="CB1113" s="48" t="n">
        <f aca="false">IF(AA1113&lt;&gt;"",AA1113,Z1113)</f>
        <v>3</v>
      </c>
      <c r="CC1113" s="48" t="str">
        <f aca="false">IF(OR(CB1113=1,CB1113=2,CB1113=3),IF(Parameter!$E$27="Ja","LIFT",IF(CB1113=1,"L1","L23")),IF(CB1113="Aussen","Aussen","-"))</f>
        <v>LIFT</v>
      </c>
      <c r="CD1113" s="59" t="n">
        <f aca="false">IF(N(AB1113)&gt;0,AB1113,0)</f>
        <v>0</v>
      </c>
      <c r="CE1113" s="53" t="n">
        <f aca="false">IF(ISNUMBER(AE1113),1,0)</f>
        <v>0</v>
      </c>
      <c r="CF1113" s="50" t="n">
        <f aca="false">N(AE1113)</f>
        <v>0</v>
      </c>
      <c r="CG1113" s="50" t="n">
        <f aca="false">N(M1113)+N(N1113)</f>
        <v>5</v>
      </c>
      <c r="CH1113" s="50" t="n">
        <f aca="false">ROUNDUP(H1113/BV1113,0)</f>
        <v>1</v>
      </c>
      <c r="CI1113" s="50" t="n">
        <f aca="false">ROUNDUP(CF1113/BV1113,0)</f>
        <v>0</v>
      </c>
      <c r="CJ1113" s="53" t="n">
        <f aca="false">IF(BW1113=1,0,IFERROR(VLOOKUP(BU1113,'Gebinde-Kategorie'!$A$5:$N$45,5,0)+0,0))</f>
        <v>8</v>
      </c>
      <c r="CK1113" s="53" t="n">
        <f aca="false">IFERROR(IF(OR(CB1113=1,CB1113=2,CB1113=3),N(INDEX(Parameter!$I$5:$I$7,CB1113)),0),0)</f>
        <v>0</v>
      </c>
      <c r="CL1113" s="52" t="n">
        <f aca="false">IF(AND(Parameter!$B$21="Ja",ISNUMBER(W1113),N(X1113)&gt;0),IFERROR(N(INDEX(Parameter!$L$5:$L$7,W1113))*INDEX(Parameter!$E$5:$E$7,W1113)*X1113/SUMIFS($X$7:$X$1843,$W$7:$W$1843,W1113),0),0)</f>
        <v>0</v>
      </c>
    </row>
    <row r="1114" customFormat="false" ht="15" hidden="false" customHeight="false" outlineLevel="0" collapsed="false">
      <c r="A1114" s="48" t="s">
        <v>2025</v>
      </c>
      <c r="B1114" s="48" t="s">
        <v>2026</v>
      </c>
      <c r="C1114" s="48" t="s">
        <v>168</v>
      </c>
      <c r="D1114" s="48" t="s">
        <v>188</v>
      </c>
      <c r="E1114" s="48"/>
      <c r="F1114" s="48" t="s">
        <v>222</v>
      </c>
      <c r="G1114" s="49" t="n">
        <v>116.54</v>
      </c>
      <c r="H1114" s="50" t="n">
        <f aca="false">MAX(0,IF(AND(Parameter!$B$21="Ja",ISNUMBER(Y1114)),Y1114,IF(Parameter!$B$20="Jahresanfang 2025 + Export",BO1114+BN1114,BN1114)))</f>
        <v>8</v>
      </c>
      <c r="I1114" s="50" t="n">
        <f aca="false">H1114*G1114</f>
        <v>932.32</v>
      </c>
      <c r="J1114" s="50" t="n">
        <f aca="false">BQ1114*Parameter!$B$18</f>
        <v>0</v>
      </c>
      <c r="K1114" s="51" t="n">
        <v>10</v>
      </c>
      <c r="L1114" s="52" t="n">
        <v>0</v>
      </c>
      <c r="M1114" s="50" t="n">
        <v>0</v>
      </c>
      <c r="N1114" s="50" t="n">
        <v>1</v>
      </c>
      <c r="O1114" s="53" t="n">
        <v>28</v>
      </c>
      <c r="P1114" s="48" t="s">
        <v>306</v>
      </c>
      <c r="Q1114" s="50" t="n">
        <v>8</v>
      </c>
      <c r="R1114" s="53" t="n">
        <f aca="false">IF(BW1114=1,0,IFERROR(VLOOKUP(BU1114,'Gebinde-Kategorie'!$A$5:$N$45,13,0)+0,0))</f>
        <v>26</v>
      </c>
      <c r="S1114" s="54"/>
      <c r="T1114" s="55"/>
      <c r="U1114" s="55"/>
      <c r="V1114" s="55"/>
      <c r="W1114" s="48"/>
      <c r="X1114" s="50"/>
      <c r="Y1114" s="50"/>
      <c r="Z1114" s="48" t="n">
        <f aca="false">IF(A1114="","",IF(AND(Parameter!$B$21="Ja",ISNUMBER(W1114)),W1114,IF(BZ1114="2+3",IF(ISNUMBER(SEARCH("grosser Artikel",BR1114)),2,IFERROR(VLOOKUP(BU1114,Parameter!$F$35:$G$64,2,0),2)),IF(OR(BZ1114="Nein",BZ1114=""),"-",BZ1114))))</f>
        <v>3</v>
      </c>
      <c r="AA1114" s="55"/>
      <c r="AB1114" s="56"/>
      <c r="AC1114" s="50" t="n">
        <f aca="false">AT1114</f>
        <v>8</v>
      </c>
      <c r="AD1114" s="50" t="n">
        <f aca="false">MAX(AT1114,H1114)</f>
        <v>8</v>
      </c>
      <c r="AE1114" s="57"/>
      <c r="AF1114" s="50" t="n">
        <f aca="false">IF(LEFT(Cockpit!$C$5,1)="A",H1114,IF(CE1114=1,CF1114,IF(LEFT(Cockpit!$C$5,1)="B",AK1114,MAX(AK1114,H1114))))</f>
        <v>8</v>
      </c>
      <c r="AG1114" s="50" t="n">
        <f aca="false">IF(BW1114=1,0,ROUNDUP(AF1114/BV1114,0))</f>
        <v>1</v>
      </c>
      <c r="AH1114" s="52" t="n">
        <f aca="false">IF(CL1114&gt;0,CL1114*MAX(1,AF1114/X1114),IF(BW1114=1,IF(AF1114&lt;=0,0,CA1114*MAX(1,IF(H1114&gt;0,AF1114/H1114,1))),IF(R1114&gt;0,AG1114/R1114,0))/MAX(0.1,N(Parameter!$M$21)))</f>
        <v>0.0384615384615385</v>
      </c>
      <c r="AI1114" s="50" t="n">
        <f aca="false">AH1114*BY1114</f>
        <v>5.96153846153846</v>
      </c>
      <c r="AJ1114" s="50" t="n">
        <f aca="false">AF1114*G1114</f>
        <v>932.32</v>
      </c>
      <c r="AK1114" s="50" t="n">
        <f aca="false">ROUNDUP(MAX(J1114/IF(CD1114&gt;0,CD1114,MAX(0.1,N(Cockpit!$C$6))),CG1114)/BV1114,0)*BV1114</f>
        <v>8</v>
      </c>
      <c r="AL1114" s="51" t="n">
        <f aca="false">IF(AI1114&gt;0,J1114/AI1114,-1)</f>
        <v>0</v>
      </c>
      <c r="AM1114" s="51" t="n">
        <f aca="false">IF(AND(OR(CC1114="L1",CC1114="L23",CC1114="LIFT"),AI1114&gt;0),SUMIFS($AI$7:$AI$1843,$CC$7:$CC$1843,CC1114,$AL$7:$AL$1843,"&gt;"&amp;AL1114)+SUMIFS($AI$7:$AI$1843,$CC$7:$CC$1843,CC1114,$AL$7:$AL$1843,AL1114,$BT$7:$BT$1843,"&lt;="&amp;BT1114),"")</f>
        <v>29141.9475124687</v>
      </c>
      <c r="AN1114" s="58" t="n">
        <f aca="false">IF(AM1114="",0,MAX(0,MIN(1,(IF(CC1114="L1",Parameter!$H$5,IF(CC1114="L23",Parameter!$H$6+Parameter!$H$7,Parameter!$H$5+Parameter!$H$6+Parameter!$H$7))-(AM1114-AI1114))/AI1114)))</f>
        <v>1</v>
      </c>
      <c r="AO1114" s="50" t="n">
        <f aca="false">IF(LEFT(Cockpit!$I$5,1)="A",H1114,IF(CE1114=1,CF1114,IF(LEFT(Cockpit!$I$5,1)="B",AT1114,MAX(AT1114,H1114))))</f>
        <v>8</v>
      </c>
      <c r="AP1114" s="50" t="n">
        <f aca="false">IF(BW1114=1,0,ROUNDUP(AO1114/BV1114,0))</f>
        <v>1</v>
      </c>
      <c r="AQ1114" s="52" t="n">
        <f aca="false">IF(CL1114&gt;0,CL1114*MAX(1,AO1114/X1114),IF(BW1114=1,IF(AO1114&lt;=0,0,CA1114*MAX(1,IF(H1114&gt;0,AO1114/H1114,1))),IF(R1114&gt;0,AP1114/R1114,0))/MAX(0.1,N(Parameter!$M$21)))</f>
        <v>0.0384615384615385</v>
      </c>
      <c r="AR1114" s="50" t="n">
        <f aca="false">AQ1114*BY1114</f>
        <v>5.96153846153846</v>
      </c>
      <c r="AS1114" s="50" t="n">
        <f aca="false">AO1114*G1114</f>
        <v>932.32</v>
      </c>
      <c r="AT1114" s="50" t="n">
        <f aca="false">ROUNDUP(MAX(J1114/IF(CD1114&gt;0,CD1114,MAX(0.1,N(Cockpit!$I$6))),CG1114)/BV1114,0)*BV1114</f>
        <v>8</v>
      </c>
      <c r="AU1114" s="51" t="n">
        <f aca="false">IF(AR1114&gt;0,J1114/AR1114,-1)</f>
        <v>0</v>
      </c>
      <c r="AV1114" s="51" t="n">
        <f aca="false">IF(AND(OR(CC1114="L1",CC1114="L23",CC1114="LIFT"),AR1114&gt;0),SUMIFS($AR$7:$AR$1843,$CC$7:$CC$1843,CC1114,$AU$7:$AU$1843,"&gt;"&amp;AU1114)+SUMIFS($AR$7:$AR$1843,$CC$7:$CC$1843,CC1114,$AU$7:$AU$1843,AU1114,$BT$7:$BT$1843,"&lt;="&amp;BT1114),"")</f>
        <v>40828.4761982368</v>
      </c>
      <c r="AW1114" s="58" t="n">
        <f aca="false">IF(AV1114="",0,MAX(0,MIN(1,(IF(CC1114="L1",Parameter!$H$5,IF(CC1114="L23",Parameter!$H$6+Parameter!$H$7,Parameter!$H$5+Parameter!$H$6+Parameter!$H$7))-(AV1114-AR1114))/AR1114)))</f>
        <v>0</v>
      </c>
      <c r="AX1114" s="50" t="n">
        <f aca="false">IF(LEFT(Cockpit!$O$5,1)="A",H1114,IF(CE1114=1,CF1114,IF(LEFT(Cockpit!$O$5,1)="B",BC1114,MAX(BC1114,H1114))))</f>
        <v>8</v>
      </c>
      <c r="AY1114" s="50" t="n">
        <f aca="false">IF(BW1114=1,0,ROUNDUP(AX1114/BV1114,0))</f>
        <v>1</v>
      </c>
      <c r="AZ1114" s="52" t="n">
        <f aca="false">IF(CL1114&gt;0,CL1114*MAX(1,AX1114/X1114),IF(BW1114=1,IF(AX1114&lt;=0,0,CA1114*MAX(1,IF(H1114&gt;0,AX1114/H1114,1))),IF(R1114&gt;0,AY1114/R1114,0))/MAX(0.1,N(Parameter!$M$21)))</f>
        <v>0.0384615384615385</v>
      </c>
      <c r="BA1114" s="50" t="n">
        <f aca="false">AZ1114*BY1114</f>
        <v>5.96153846153846</v>
      </c>
      <c r="BB1114" s="50" t="n">
        <f aca="false">AX1114*G1114</f>
        <v>932.32</v>
      </c>
      <c r="BC1114" s="50" t="n">
        <f aca="false">ROUNDUP(MAX(J1114/IF(CD1114&gt;0,CD1114,MAX(0.1,N(Cockpit!$O$6))),CG1114)/BV1114,0)*BV1114</f>
        <v>8</v>
      </c>
      <c r="BD1114" s="51" t="n">
        <f aca="false">IF(BA1114&gt;0,J1114/BA1114,-1)</f>
        <v>0</v>
      </c>
      <c r="BE1114" s="51" t="n">
        <f aca="false">IF(AND(OR(CC1114="L1",CC1114="L23",CC1114="LIFT"),BA1114&gt;0),SUMIFS($BA$7:$BA$1843,$CC$7:$CC$1843,CC1114,$BD$7:$BD$1843,"&gt;"&amp;BD1114)+SUMIFS($BA$7:$BA$1843,$CC$7:$CC$1843,CC1114,$BD$7:$BD$1843,BD1114,$BT$7:$BT$1843,"&lt;="&amp;BT1114),"")</f>
        <v>37503.4882401027</v>
      </c>
      <c r="BF1114" s="58" t="n">
        <f aca="false">IF(BE1114="",0,MAX(0,MIN(1,(IF(CC1114="L1",Parameter!$H$5,IF(CC1114="L23",Parameter!$H$6+Parameter!$H$7,Parameter!$H$5+Parameter!$H$6+Parameter!$H$7))-(BE1114-BA1114))/BA1114)))</f>
        <v>0</v>
      </c>
      <c r="BG1114" s="48" t="str">
        <f aca="false">IF(AI1114&lt;=0,"",IF(CC1114="Aussen","Aussenlager",IF(CC1114="-","Nicht im Lift",IF(AN1114&gt;=1,"Lift",IF(AN1114&lt;=0,"Aussenlager","teilweise")))))</f>
        <v>Lift</v>
      </c>
      <c r="BH1114" s="48" t="str">
        <f aca="false">IF(AR1114&lt;=0,"",IF(CC1114="Aussen","Aussenlager",IF(CC1114="-","Nicht im Lift",IF(AW1114&gt;=1,"Lift",IF(AW1114&lt;=0,"Aussenlager","teilweise")))))</f>
        <v>Aussenlager</v>
      </c>
      <c r="BI1114" s="48" t="str">
        <f aca="false">IF(BA1114&lt;=0,"",IF(CC1114="Aussen","Aussenlager",IF(CC1114="-","Nicht im Lift",IF(BF1114&gt;=1,"Lift",IF(BF1114&lt;=0,"Aussenlager","teilweise")))))</f>
        <v>Aussenlager</v>
      </c>
      <c r="BJ1114" s="48" t="str">
        <f aca="false">IF(A1114="","",IF(BS1114=1,"Neu; ","")&amp;IF(AND(BS1114=0,BN1114&lt;0),"negativer Bestand (Export "&amp;BN1114&amp;"); ","")&amp;IF(J1114&lt;=0,"Kein Verbrauch; ","")&amp;IF(CL1114&gt;0,"Lift "&amp;W1114&amp;" lt. Liftbericht (Fach "&amp;X1114&amp;" Stk); ",IF(BX1114=1,"Gebinde geschätzt ("&amp;T1114&amp;"); ",IF(BW1114=1,"Lose – Tablare geschätzt; ","")))&amp;IF(H1114&gt;AT1114,"Überbestand "&amp;ROUND(H1114-AT1114,0)&amp;" Stk / CHF "&amp;ROUND((H1114-AT1114)*G1114,0)&amp;"; ","")&amp;IF(AND(CE1114=1,CF1114&lt;CG1114),"MAX &lt; MB+LG; ","")&amp;IF(AND(CK1114&gt;0,CJ1114*10&gt;CK1114),"zu hoch für Tablar; ","")&amp;IF(AND(BS1114=0,OR(CE1114=1,AA1114&lt;&gt;"",U1114&lt;&gt;"",V1114&lt;&gt;"",AB1114&lt;&gt;"")),"manuell übersteuert; ","")&amp;IF(AND(BW1114=0,R1114=0),"Gebinde unbekannt / Stellmass fehlt; ","")&amp;IF(AND(BW1114=0,N(V1114)&lt;=0,N(Q1114)&lt;=0),"Menge pro Gebinde fehlt (Ist = 1 Gebinde); ","")&amp;BR1114)</f>
        <v>negativer Bestand (Export -2); Kein Verbrauch; Verb.Lager</v>
      </c>
      <c r="BK1114" s="48"/>
      <c r="BL1114" s="48"/>
      <c r="BM1114" s="55"/>
      <c r="BN1114" s="50" t="n">
        <v>-2</v>
      </c>
      <c r="BO1114" s="50" t="n">
        <v>10</v>
      </c>
      <c r="BP1114" s="49" t="n">
        <v>-233.08</v>
      </c>
      <c r="BQ1114" s="50" t="n">
        <v>0</v>
      </c>
      <c r="BR1114" s="48" t="s">
        <v>1034</v>
      </c>
      <c r="BS1114" s="53" t="n">
        <v>0</v>
      </c>
      <c r="BT1114" s="53" t="n">
        <v>1114</v>
      </c>
      <c r="BU1114" s="48" t="str">
        <f aca="false">IF(U1114&lt;&gt;"",UPPER(TRIM(U1114)),IF(BX1114=1,UPPER(VLOOKUP(T1114,Parameter!$I$27:$K$29,2,0)),IF(P1114="","LOSE",P1114)))</f>
        <v>S51</v>
      </c>
      <c r="BV1114" s="50" t="n">
        <f aca="false">IF(BU1114="LOSE",1,IF(N(V1114)&gt;0,V1114,IF(BX1114=1,MAX(1,N(VLOOKUP(T1114,Parameter!$I$27:$K$29,3,0)),H1114,N(N1114)),IF(N(Q1114)&gt;0,Q1114,MAX(1,H1114)))))</f>
        <v>8</v>
      </c>
      <c r="BW1114" s="53" t="n">
        <f aca="false">IF(BU1114="LOSE",1,0)</f>
        <v>0</v>
      </c>
      <c r="BX1114" s="53" t="n">
        <f aca="false">IF(AND(U1114="",OR(P1114="",P1114="LOSE"),T1114&lt;&gt;"",N(S1114)&lt;=0,ISNUMBER(MATCH(T1114,Parameter!$I$27:$I$29,0))),1,0)</f>
        <v>0</v>
      </c>
      <c r="BY1114" s="53" t="n">
        <f aca="false">IF(CL1114&gt;0,INDEX(Parameter!$H$5:$H$7,W1114)/INDEX(Parameter!$E$5:$E$7,W1114),IF(AND(BW1114=0,N(IFERROR(VLOOKUP(BU1114,'Gebinde-Kategorie'!$A$5:$N$45,14,0),0))&gt;0),VLOOKUP(BU1114,'Gebinde-Kategorie'!$A$5:$N$45,14,0)*10+Parameter!$M$23,Parameter!$M$24))</f>
        <v>155</v>
      </c>
      <c r="BZ1114" s="48" t="str">
        <f aca="false">IF(AND(Parameter!$B$19="Ja",E1114&lt;&gt;"",ISNUMBER(MATCH(E1114,Parameter!$I$35:$I$52,0))),VLOOKUP(E1114,Parameter!$I$35:$J$52,2,0),IFERROR(VLOOKUP(D1114,Parameter!$A$35:$C$64,2,0),"Nein"))</f>
        <v>2+3</v>
      </c>
      <c r="CA1114" s="52" t="n">
        <f aca="false">IF(BW1114=0,0,IF(N(S1114)&gt;0,S1114,IFERROR(VLOOKUP(D1114,Parameter!$A$35:$C$64,3,0)+0,0)))</f>
        <v>0</v>
      </c>
      <c r="CB1114" s="48" t="n">
        <f aca="false">IF(AA1114&lt;&gt;"",AA1114,Z1114)</f>
        <v>3</v>
      </c>
      <c r="CC1114" s="48" t="str">
        <f aca="false">IF(OR(CB1114=1,CB1114=2,CB1114=3),IF(Parameter!$E$27="Ja","LIFT",IF(CB1114=1,"L1","L23")),IF(CB1114="Aussen","Aussen","-"))</f>
        <v>LIFT</v>
      </c>
      <c r="CD1114" s="59" t="n">
        <f aca="false">IF(N(AB1114)&gt;0,AB1114,0)</f>
        <v>0</v>
      </c>
      <c r="CE1114" s="53" t="n">
        <f aca="false">IF(ISNUMBER(AE1114),1,0)</f>
        <v>0</v>
      </c>
      <c r="CF1114" s="50" t="n">
        <f aca="false">N(AE1114)</f>
        <v>0</v>
      </c>
      <c r="CG1114" s="50" t="n">
        <f aca="false">N(M1114)+N(N1114)</f>
        <v>1</v>
      </c>
      <c r="CH1114" s="50" t="n">
        <f aca="false">ROUNDUP(H1114/BV1114,0)</f>
        <v>1</v>
      </c>
      <c r="CI1114" s="50" t="n">
        <f aca="false">ROUNDUP(CF1114/BV1114,0)</f>
        <v>0</v>
      </c>
      <c r="CJ1114" s="53" t="n">
        <f aca="false">IF(BW1114=1,0,IFERROR(VLOOKUP(BU1114,'Gebinde-Kategorie'!$A$5:$N$45,5,0)+0,0))</f>
        <v>11</v>
      </c>
      <c r="CK1114" s="53" t="n">
        <f aca="false">IFERROR(IF(OR(CB1114=1,CB1114=2,CB1114=3),N(INDEX(Parameter!$I$5:$I$7,CB1114)),0),0)</f>
        <v>0</v>
      </c>
      <c r="CL1114" s="52" t="n">
        <f aca="false">IF(AND(Parameter!$B$21="Ja",ISNUMBER(W1114),N(X1114)&gt;0),IFERROR(N(INDEX(Parameter!$L$5:$L$7,W1114))*INDEX(Parameter!$E$5:$E$7,W1114)*X1114/SUMIFS($X$7:$X$1843,$W$7:$W$1843,W1114),0),0)</f>
        <v>0</v>
      </c>
    </row>
    <row r="1115" customFormat="false" ht="15" hidden="false" customHeight="false" outlineLevel="0" collapsed="false">
      <c r="A1115" s="48" t="s">
        <v>2027</v>
      </c>
      <c r="B1115" s="48" t="s">
        <v>2028</v>
      </c>
      <c r="C1115" s="48" t="s">
        <v>168</v>
      </c>
      <c r="D1115" s="48" t="s">
        <v>177</v>
      </c>
      <c r="E1115" s="48"/>
      <c r="F1115" s="48" t="s">
        <v>222</v>
      </c>
      <c r="G1115" s="49" t="n">
        <v>12.3</v>
      </c>
      <c r="H1115" s="50" t="n">
        <f aca="false">MAX(0,IF(AND(Parameter!$B$21="Ja",ISNUMBER(Y1115)),Y1115,IF(Parameter!$B$20="Jahresanfang 2025 + Export",BO1115+BN1115,BN1115)))</f>
        <v>0</v>
      </c>
      <c r="I1115" s="50" t="n">
        <f aca="false">H1115*G1115</f>
        <v>0</v>
      </c>
      <c r="J1115" s="50" t="n">
        <f aca="false">BQ1115*Parameter!$B$18</f>
        <v>0</v>
      </c>
      <c r="K1115" s="51" t="n">
        <v>9.5</v>
      </c>
      <c r="L1115" s="52" t="n">
        <v>0</v>
      </c>
      <c r="M1115" s="50" t="n">
        <v>0</v>
      </c>
      <c r="N1115" s="50" t="n">
        <v>1</v>
      </c>
      <c r="O1115" s="53" t="n">
        <v>42</v>
      </c>
      <c r="P1115" s="48" t="s">
        <v>172</v>
      </c>
      <c r="Q1115" s="50"/>
      <c r="R1115" s="53" t="n">
        <f aca="false">IF(BW1115=1,0,IFERROR(VLOOKUP(BU1115,'Gebinde-Kategorie'!$A$5:$N$45,13,0)+0,0))</f>
        <v>4</v>
      </c>
      <c r="S1115" s="54"/>
      <c r="T1115" s="55" t="s">
        <v>193</v>
      </c>
      <c r="U1115" s="55"/>
      <c r="V1115" s="55"/>
      <c r="W1115" s="48"/>
      <c r="X1115" s="50"/>
      <c r="Y1115" s="50"/>
      <c r="Z1115" s="48" t="n">
        <f aca="false">IF(A1115="","",IF(AND(Parameter!$B$21="Ja",ISNUMBER(W1115)),W1115,IF(BZ1115="2+3",IF(ISNUMBER(SEARCH("grosser Artikel",BR1115)),2,IFERROR(VLOOKUP(BU1115,Parameter!$F$35:$G$64,2,0),2)),IF(OR(BZ1115="Nein",BZ1115=""),"-",BZ1115))))</f>
        <v>2</v>
      </c>
      <c r="AA1115" s="55"/>
      <c r="AB1115" s="56"/>
      <c r="AC1115" s="50" t="n">
        <f aca="false">AT1115</f>
        <v>2</v>
      </c>
      <c r="AD1115" s="50" t="n">
        <f aca="false">MAX(AT1115,H1115)</f>
        <v>2</v>
      </c>
      <c r="AE1115" s="57"/>
      <c r="AF1115" s="50" t="n">
        <f aca="false">IF(LEFT(Cockpit!$C$5,1)="A",H1115,IF(CE1115=1,CF1115,IF(LEFT(Cockpit!$C$5,1)="B",AK1115,MAX(AK1115,H1115))))</f>
        <v>0</v>
      </c>
      <c r="AG1115" s="50" t="n">
        <f aca="false">IF(BW1115=1,0,ROUNDUP(AF1115/BV1115,0))</f>
        <v>0</v>
      </c>
      <c r="AH1115" s="52" t="n">
        <f aca="false">IF(CL1115&gt;0,CL1115*MAX(1,AF1115/X1115),IF(BW1115=1,IF(AF1115&lt;=0,0,CA1115*MAX(1,IF(H1115&gt;0,AF1115/H1115,1))),IF(R1115&gt;0,AG1115/R1115,0))/MAX(0.1,N(Parameter!$M$21)))</f>
        <v>0</v>
      </c>
      <c r="AI1115" s="50" t="n">
        <f aca="false">AH1115*BY1115</f>
        <v>0</v>
      </c>
      <c r="AJ1115" s="50" t="n">
        <f aca="false">AF1115*G1115</f>
        <v>0</v>
      </c>
      <c r="AK1115" s="50" t="n">
        <f aca="false">ROUNDUP(MAX(J1115/IF(CD1115&gt;0,CD1115,MAX(0.1,N(Cockpit!$C$6))),CG1115)/BV1115,0)*BV1115</f>
        <v>2</v>
      </c>
      <c r="AL1115" s="51" t="n">
        <f aca="false">IF(AI1115&gt;0,J1115/AI1115,-1)</f>
        <v>-1</v>
      </c>
      <c r="AM1115" s="51" t="str">
        <f aca="false">IF(AND(OR(CC1115="L1",CC1115="L23",CC1115="LIFT"),AI1115&gt;0),SUMIFS($AI$7:$AI$1843,$CC$7:$CC$1843,CC1115,$AL$7:$AL$1843,"&gt;"&amp;AL1115)+SUMIFS($AI$7:$AI$1843,$CC$7:$CC$1843,CC1115,$AL$7:$AL$1843,AL1115,$BT$7:$BT$1843,"&lt;="&amp;BT1115),"")</f>
        <v/>
      </c>
      <c r="AN1115" s="58" t="n">
        <f aca="false">IF(AM1115="",0,MAX(0,MIN(1,(IF(CC1115="L1",Parameter!$H$5,IF(CC1115="L23",Parameter!$H$6+Parameter!$H$7,Parameter!$H$5+Parameter!$H$6+Parameter!$H$7))-(AM1115-AI1115))/AI1115)))</f>
        <v>0</v>
      </c>
      <c r="AO1115" s="50" t="n">
        <f aca="false">IF(LEFT(Cockpit!$I$5,1)="A",H1115,IF(CE1115=1,CF1115,IF(LEFT(Cockpit!$I$5,1)="B",AT1115,MAX(AT1115,H1115))))</f>
        <v>2</v>
      </c>
      <c r="AP1115" s="50" t="n">
        <f aca="false">IF(BW1115=1,0,ROUNDUP(AO1115/BV1115,0))</f>
        <v>1</v>
      </c>
      <c r="AQ1115" s="52" t="n">
        <f aca="false">IF(CL1115&gt;0,CL1115*MAX(1,AO1115/X1115),IF(BW1115=1,IF(AO1115&lt;=0,0,CA1115*MAX(1,IF(H1115&gt;0,AO1115/H1115,1))),IF(R1115&gt;0,AP1115/R1115,0))/MAX(0.1,N(Parameter!$M$21)))</f>
        <v>0.25</v>
      </c>
      <c r="AR1115" s="50" t="n">
        <f aca="false">AQ1115*BY1115</f>
        <v>58.75</v>
      </c>
      <c r="AS1115" s="50" t="n">
        <f aca="false">AO1115*G1115</f>
        <v>24.6</v>
      </c>
      <c r="AT1115" s="50" t="n">
        <f aca="false">ROUNDUP(MAX(J1115/IF(CD1115&gt;0,CD1115,MAX(0.1,N(Cockpit!$I$6))),CG1115)/BV1115,0)*BV1115</f>
        <v>2</v>
      </c>
      <c r="AU1115" s="51" t="n">
        <f aca="false">IF(AR1115&gt;0,J1115/AR1115,-1)</f>
        <v>0</v>
      </c>
      <c r="AV1115" s="51" t="n">
        <f aca="false">IF(AND(OR(CC1115="L1",CC1115="L23",CC1115="LIFT"),AR1115&gt;0),SUMIFS($AR$7:$AR$1843,$CC$7:$CC$1843,CC1115,$AU$7:$AU$1843,"&gt;"&amp;AU1115)+SUMIFS($AR$7:$AR$1843,$CC$7:$CC$1843,CC1115,$AU$7:$AU$1843,AU1115,$BT$7:$BT$1843,"&lt;="&amp;BT1115),"")</f>
        <v>40887.2261982368</v>
      </c>
      <c r="AW1115" s="58" t="n">
        <f aca="false">IF(AV1115="",0,MAX(0,MIN(1,(IF(CC1115="L1",Parameter!$H$5,IF(CC1115="L23",Parameter!$H$6+Parameter!$H$7,Parameter!$H$5+Parameter!$H$6+Parameter!$H$7))-(AV1115-AR1115))/AR1115)))</f>
        <v>0</v>
      </c>
      <c r="AX1115" s="50" t="n">
        <f aca="false">IF(LEFT(Cockpit!$O$5,1)="A",H1115,IF(CE1115=1,CF1115,IF(LEFT(Cockpit!$O$5,1)="B",BC1115,MAX(BC1115,H1115))))</f>
        <v>2</v>
      </c>
      <c r="AY1115" s="50" t="n">
        <f aca="false">IF(BW1115=1,0,ROUNDUP(AX1115/BV1115,0))</f>
        <v>1</v>
      </c>
      <c r="AZ1115" s="52" t="n">
        <f aca="false">IF(CL1115&gt;0,CL1115*MAX(1,AX1115/X1115),IF(BW1115=1,IF(AX1115&lt;=0,0,CA1115*MAX(1,IF(H1115&gt;0,AX1115/H1115,1))),IF(R1115&gt;0,AY1115/R1115,0))/MAX(0.1,N(Parameter!$M$21)))</f>
        <v>0.25</v>
      </c>
      <c r="BA1115" s="50" t="n">
        <f aca="false">AZ1115*BY1115</f>
        <v>58.75</v>
      </c>
      <c r="BB1115" s="50" t="n">
        <f aca="false">AX1115*G1115</f>
        <v>24.6</v>
      </c>
      <c r="BC1115" s="50" t="n">
        <f aca="false">ROUNDUP(MAX(J1115/IF(CD1115&gt;0,CD1115,MAX(0.1,N(Cockpit!$O$6))),CG1115)/BV1115,0)*BV1115</f>
        <v>2</v>
      </c>
      <c r="BD1115" s="51" t="n">
        <f aca="false">IF(BA1115&gt;0,J1115/BA1115,-1)</f>
        <v>0</v>
      </c>
      <c r="BE1115" s="51" t="n">
        <f aca="false">IF(AND(OR(CC1115="L1",CC1115="L23",CC1115="LIFT"),BA1115&gt;0),SUMIFS($BA$7:$BA$1843,$CC$7:$CC$1843,CC1115,$BD$7:$BD$1843,"&gt;"&amp;BD1115)+SUMIFS($BA$7:$BA$1843,$CC$7:$CC$1843,CC1115,$BD$7:$BD$1843,BD1115,$BT$7:$BT$1843,"&lt;="&amp;BT1115),"")</f>
        <v>37562.2382401027</v>
      </c>
      <c r="BF1115" s="58" t="n">
        <f aca="false">IF(BE1115="",0,MAX(0,MIN(1,(IF(CC1115="L1",Parameter!$H$5,IF(CC1115="L23",Parameter!$H$6+Parameter!$H$7,Parameter!$H$5+Parameter!$H$6+Parameter!$H$7))-(BE1115-BA1115))/BA1115)))</f>
        <v>0</v>
      </c>
      <c r="BG1115" s="48" t="str">
        <f aca="false">IF(AI1115&lt;=0,"",IF(CC1115="Aussen","Aussenlager",IF(CC1115="-","Nicht im Lift",IF(AN1115&gt;=1,"Lift",IF(AN1115&lt;=0,"Aussenlager","teilweise")))))</f>
        <v/>
      </c>
      <c r="BH1115" s="48" t="str">
        <f aca="false">IF(AR1115&lt;=0,"",IF(CC1115="Aussen","Aussenlager",IF(CC1115="-","Nicht im Lift",IF(AW1115&gt;=1,"Lift",IF(AW1115&lt;=0,"Aussenlager","teilweise")))))</f>
        <v>Aussenlager</v>
      </c>
      <c r="BI1115" s="48" t="str">
        <f aca="false">IF(BA1115&lt;=0,"",IF(CC1115="Aussen","Aussenlager",IF(CC1115="-","Nicht im Lift",IF(BF1115&gt;=1,"Lift",IF(BF1115&lt;=0,"Aussenlager","teilweise")))))</f>
        <v>Aussenlager</v>
      </c>
      <c r="BJ1115" s="48" t="str">
        <f aca="false">IF(A1115="","",IF(BS1115=1,"Neu; ","")&amp;IF(AND(BS1115=0,BN1115&lt;0),"negativer Bestand (Export "&amp;BN1115&amp;"); ","")&amp;IF(J1115&lt;=0,"Kein Verbrauch; ","")&amp;IF(CL1115&gt;0,"Lift "&amp;W1115&amp;" lt. Liftbericht (Fach "&amp;X1115&amp;" Stk); ",IF(BX1115=1,"Gebinde geschätzt ("&amp;T1115&amp;"); ",IF(BW1115=1,"Lose – Tablare geschätzt; ","")))&amp;IF(H1115&gt;AT1115,"Überbestand "&amp;ROUND(H1115-AT1115,0)&amp;" Stk / CHF "&amp;ROUND((H1115-AT1115)*G1115,0)&amp;"; ","")&amp;IF(AND(CE1115=1,CF1115&lt;CG1115),"MAX &lt; MB+LG; ","")&amp;IF(AND(CK1115&gt;0,CJ1115*10&gt;CK1115),"zu hoch für Tablar; ","")&amp;IF(AND(BS1115=0,OR(CE1115=1,AA1115&lt;&gt;"",U1115&lt;&gt;"",V1115&lt;&gt;"",AB1115&lt;&gt;"")),"manuell übersteuert; ","")&amp;IF(AND(BW1115=0,R1115=0),"Gebinde unbekannt / Stellmass fehlt; ","")&amp;IF(AND(BW1115=0,N(V1115)&lt;=0,N(Q1115)&lt;=0),"Menge pro Gebinde fehlt (Ist = 1 Gebinde); ","")&amp;BR1115)</f>
        <v>negativer Bestand (Export -19); Kein Verbrauch; Gebinde geschätzt (Gross); Menge pro Gebinde fehlt (Ist = 1 Gebinde); </v>
      </c>
      <c r="BK1115" s="48"/>
      <c r="BL1115" s="48"/>
      <c r="BM1115" s="55"/>
      <c r="BN1115" s="50" t="n">
        <v>-19</v>
      </c>
      <c r="BO1115" s="50" t="n">
        <v>19</v>
      </c>
      <c r="BP1115" s="49" t="n">
        <v>-233.7</v>
      </c>
      <c r="BQ1115" s="50" t="n">
        <v>0</v>
      </c>
      <c r="BR1115" s="48"/>
      <c r="BS1115" s="53" t="n">
        <v>0</v>
      </c>
      <c r="BT1115" s="53" t="n">
        <v>1115</v>
      </c>
      <c r="BU1115" s="48" t="str">
        <f aca="false">IF(U1115&lt;&gt;"",UPPER(TRIM(U1115)),IF(BX1115=1,UPPER(VLOOKUP(T1115,Parameter!$I$27:$K$29,2,0)),IF(P1115="","LOSE",P1115)))</f>
        <v>S81</v>
      </c>
      <c r="BV1115" s="50" t="n">
        <f aca="false">IF(BU1115="LOSE",1,IF(N(V1115)&gt;0,V1115,IF(BX1115=1,MAX(1,N(VLOOKUP(T1115,Parameter!$I$27:$K$29,3,0)),H1115,N(N1115)),IF(N(Q1115)&gt;0,Q1115,MAX(1,H1115)))))</f>
        <v>2</v>
      </c>
      <c r="BW1115" s="53" t="n">
        <f aca="false">IF(BU1115="LOSE",1,0)</f>
        <v>0</v>
      </c>
      <c r="BX1115" s="53" t="n">
        <f aca="false">IF(AND(U1115="",OR(P1115="",P1115="LOSE"),T1115&lt;&gt;"",N(S1115)&lt;=0,ISNUMBER(MATCH(T1115,Parameter!$I$27:$I$29,0))),1,0)</f>
        <v>1</v>
      </c>
      <c r="BY1115" s="53" t="n">
        <f aca="false">IF(CL1115&gt;0,INDEX(Parameter!$H$5:$H$7,W1115)/INDEX(Parameter!$E$5:$E$7,W1115),IF(AND(BW1115=0,N(IFERROR(VLOOKUP(BU1115,'Gebinde-Kategorie'!$A$5:$N$45,14,0),0))&gt;0),VLOOKUP(BU1115,'Gebinde-Kategorie'!$A$5:$N$45,14,0)*10+Parameter!$M$23,Parameter!$M$24))</f>
        <v>235</v>
      </c>
      <c r="BZ1115" s="48" t="str">
        <f aca="false">IF(AND(Parameter!$B$19="Ja",E1115&lt;&gt;"",ISNUMBER(MATCH(E1115,Parameter!$I$35:$I$52,0))),VLOOKUP(E1115,Parameter!$I$35:$J$52,2,0),IFERROR(VLOOKUP(D1115,Parameter!$A$35:$C$64,2,0),"Nein"))</f>
        <v>2+3</v>
      </c>
      <c r="CA1115" s="52" t="n">
        <f aca="false">IF(BW1115=0,0,IF(N(S1115)&gt;0,S1115,IFERROR(VLOOKUP(D1115,Parameter!$A$35:$C$64,3,0)+0,0)))</f>
        <v>0</v>
      </c>
      <c r="CB1115" s="48" t="n">
        <f aca="false">IF(AA1115&lt;&gt;"",AA1115,Z1115)</f>
        <v>2</v>
      </c>
      <c r="CC1115" s="48" t="str">
        <f aca="false">IF(OR(CB1115=1,CB1115=2,CB1115=3),IF(Parameter!$E$27="Ja","LIFT",IF(CB1115=1,"L1","L23")),IF(CB1115="Aussen","Aussen","-"))</f>
        <v>LIFT</v>
      </c>
      <c r="CD1115" s="59" t="n">
        <f aca="false">IF(N(AB1115)&gt;0,AB1115,0)</f>
        <v>0</v>
      </c>
      <c r="CE1115" s="53" t="n">
        <f aca="false">IF(ISNUMBER(AE1115),1,0)</f>
        <v>0</v>
      </c>
      <c r="CF1115" s="50" t="n">
        <f aca="false">N(AE1115)</f>
        <v>0</v>
      </c>
      <c r="CG1115" s="50" t="n">
        <f aca="false">N(M1115)+N(N1115)</f>
        <v>1</v>
      </c>
      <c r="CH1115" s="50" t="n">
        <f aca="false">ROUNDUP(H1115/BV1115,0)</f>
        <v>0</v>
      </c>
      <c r="CI1115" s="50" t="n">
        <f aca="false">ROUNDUP(CF1115/BV1115,0)</f>
        <v>0</v>
      </c>
      <c r="CJ1115" s="53" t="n">
        <f aca="false">IF(BW1115=1,0,IFERROR(VLOOKUP(BU1115,'Gebinde-Kategorie'!$A$5:$N$45,5,0)+0,0))</f>
        <v>20</v>
      </c>
      <c r="CK1115" s="53" t="n">
        <f aca="false">IFERROR(IF(OR(CB1115=1,CB1115=2,CB1115=3),N(INDEX(Parameter!$I$5:$I$7,CB1115)),0),0)</f>
        <v>0</v>
      </c>
      <c r="CL1115" s="52" t="n">
        <f aca="false">IF(AND(Parameter!$B$21="Ja",ISNUMBER(W1115),N(X1115)&gt;0),IFERROR(N(INDEX(Parameter!$L$5:$L$7,W1115))*INDEX(Parameter!$E$5:$E$7,W1115)*X1115/SUMIFS($X$7:$X$1843,$W$7:$W$1843,W1115),0),0)</f>
        <v>0</v>
      </c>
    </row>
    <row r="1116" customFormat="false" ht="15" hidden="false" customHeight="false" outlineLevel="0" collapsed="false">
      <c r="A1116" s="48" t="s">
        <v>2029</v>
      </c>
      <c r="B1116" s="48" t="s">
        <v>2030</v>
      </c>
      <c r="C1116" s="48" t="s">
        <v>168</v>
      </c>
      <c r="D1116" s="48" t="s">
        <v>177</v>
      </c>
      <c r="E1116" s="48" t="s">
        <v>469</v>
      </c>
      <c r="F1116" s="48" t="s">
        <v>222</v>
      </c>
      <c r="G1116" s="49" t="n">
        <v>46.91</v>
      </c>
      <c r="H1116" s="50" t="n">
        <f aca="false">MAX(0,IF(AND(Parameter!$B$21="Ja",ISNUMBER(Y1116)),Y1116,IF(Parameter!$B$20="Jahresanfang 2025 + Export",BO1116+BN1116,BN1116)))</f>
        <v>38</v>
      </c>
      <c r="I1116" s="50" t="n">
        <f aca="false">H1116*G1116</f>
        <v>1782.58</v>
      </c>
      <c r="J1116" s="50" t="n">
        <f aca="false">BQ1116*Parameter!$B$18</f>
        <v>4</v>
      </c>
      <c r="K1116" s="51" t="n">
        <v>40.5</v>
      </c>
      <c r="L1116" s="52" t="n">
        <v>0.0987654320987654</v>
      </c>
      <c r="M1116" s="50" t="n">
        <v>0</v>
      </c>
      <c r="N1116" s="50" t="n">
        <v>5</v>
      </c>
      <c r="O1116" s="53" t="n">
        <v>21</v>
      </c>
      <c r="P1116" s="48" t="s">
        <v>172</v>
      </c>
      <c r="Q1116" s="50"/>
      <c r="R1116" s="53" t="n">
        <f aca="false">IF(BW1116=1,0,IFERROR(VLOOKUP(BU1116,'Gebinde-Kategorie'!$A$5:$N$45,13,0)+0,0))</f>
        <v>12</v>
      </c>
      <c r="S1116" s="54"/>
      <c r="T1116" s="55" t="s">
        <v>183</v>
      </c>
      <c r="U1116" s="55"/>
      <c r="V1116" s="55"/>
      <c r="W1116" s="48"/>
      <c r="X1116" s="50"/>
      <c r="Y1116" s="50"/>
      <c r="Z1116" s="48" t="str">
        <f aca="false">IF(A1116="","",IF(AND(Parameter!$B$21="Ja",ISNUMBER(W1116)),W1116,IF(BZ1116="2+3",IF(ISNUMBER(SEARCH("grosser Artikel",BR1116)),2,IFERROR(VLOOKUP(BU1116,Parameter!$F$35:$G$64,2,0),2)),IF(OR(BZ1116="Nein",BZ1116=""),"-",BZ1116))))</f>
        <v>-</v>
      </c>
      <c r="AA1116" s="55"/>
      <c r="AB1116" s="56"/>
      <c r="AC1116" s="50" t="n">
        <f aca="false">AT1116</f>
        <v>38</v>
      </c>
      <c r="AD1116" s="50" t="n">
        <f aca="false">MAX(AT1116,H1116)</f>
        <v>38</v>
      </c>
      <c r="AE1116" s="57"/>
      <c r="AF1116" s="50" t="n">
        <f aca="false">IF(LEFT(Cockpit!$C$5,1)="A",H1116,IF(CE1116=1,CF1116,IF(LEFT(Cockpit!$C$5,1)="B",AK1116,MAX(AK1116,H1116))))</f>
        <v>38</v>
      </c>
      <c r="AG1116" s="50" t="n">
        <f aca="false">IF(BW1116=1,0,ROUNDUP(AF1116/BV1116,0))</f>
        <v>1</v>
      </c>
      <c r="AH1116" s="52" t="n">
        <f aca="false">IF(CL1116&gt;0,CL1116*MAX(1,AF1116/X1116),IF(BW1116=1,IF(AF1116&lt;=0,0,CA1116*MAX(1,IF(H1116&gt;0,AF1116/H1116,1))),IF(R1116&gt;0,AG1116/R1116,0))/MAX(0.1,N(Parameter!$M$21)))</f>
        <v>0.0833333333333333</v>
      </c>
      <c r="AI1116" s="50" t="n">
        <f aca="false">AH1116*BY1116</f>
        <v>12.0833333333333</v>
      </c>
      <c r="AJ1116" s="50" t="n">
        <f aca="false">AF1116*G1116</f>
        <v>1782.58</v>
      </c>
      <c r="AK1116" s="50" t="n">
        <f aca="false">ROUNDUP(MAX(J1116/IF(CD1116&gt;0,CD1116,MAX(0.1,N(Cockpit!$C$6))),CG1116)/BV1116,0)*BV1116</f>
        <v>38</v>
      </c>
      <c r="AL1116" s="51" t="n">
        <f aca="false">IF(AI1116&gt;0,J1116/AI1116,-1)</f>
        <v>0.331034482758621</v>
      </c>
      <c r="AM1116" s="51" t="str">
        <f aca="false">IF(AND(OR(CC1116="L1",CC1116="L23",CC1116="LIFT"),AI1116&gt;0),SUMIFS($AI$7:$AI$1843,$CC$7:$CC$1843,CC1116,$AL$7:$AL$1843,"&gt;"&amp;AL1116)+SUMIFS($AI$7:$AI$1843,$CC$7:$CC$1843,CC1116,$AL$7:$AL$1843,AL1116,$BT$7:$BT$1843,"&lt;="&amp;BT1116),"")</f>
        <v/>
      </c>
      <c r="AN1116" s="58" t="n">
        <f aca="false">IF(AM1116="",0,MAX(0,MIN(1,(IF(CC1116="L1",Parameter!$H$5,IF(CC1116="L23",Parameter!$H$6+Parameter!$H$7,Parameter!$H$5+Parameter!$H$6+Parameter!$H$7))-(AM1116-AI1116))/AI1116)))</f>
        <v>0</v>
      </c>
      <c r="AO1116" s="50" t="n">
        <f aca="false">IF(LEFT(Cockpit!$I$5,1)="A",H1116,IF(CE1116=1,CF1116,IF(LEFT(Cockpit!$I$5,1)="B",AT1116,MAX(AT1116,H1116))))</f>
        <v>38</v>
      </c>
      <c r="AP1116" s="50" t="n">
        <f aca="false">IF(BW1116=1,0,ROUNDUP(AO1116/BV1116,0))</f>
        <v>1</v>
      </c>
      <c r="AQ1116" s="52" t="n">
        <f aca="false">IF(CL1116&gt;0,CL1116*MAX(1,AO1116/X1116),IF(BW1116=1,IF(AO1116&lt;=0,0,CA1116*MAX(1,IF(H1116&gt;0,AO1116/H1116,1))),IF(R1116&gt;0,AP1116/R1116,0))/MAX(0.1,N(Parameter!$M$21)))</f>
        <v>0.0833333333333333</v>
      </c>
      <c r="AR1116" s="50" t="n">
        <f aca="false">AQ1116*BY1116</f>
        <v>12.0833333333333</v>
      </c>
      <c r="AS1116" s="50" t="n">
        <f aca="false">AO1116*G1116</f>
        <v>1782.58</v>
      </c>
      <c r="AT1116" s="50" t="n">
        <f aca="false">ROUNDUP(MAX(J1116/IF(CD1116&gt;0,CD1116,MAX(0.1,N(Cockpit!$I$6))),CG1116)/BV1116,0)*BV1116</f>
        <v>38</v>
      </c>
      <c r="AU1116" s="51" t="n">
        <f aca="false">IF(AR1116&gt;0,J1116/AR1116,-1)</f>
        <v>0.331034482758621</v>
      </c>
      <c r="AV1116" s="51" t="str">
        <f aca="false">IF(AND(OR(CC1116="L1",CC1116="L23",CC1116="LIFT"),AR1116&gt;0),SUMIFS($AR$7:$AR$1843,$CC$7:$CC$1843,CC1116,$AU$7:$AU$1843,"&gt;"&amp;AU1116)+SUMIFS($AR$7:$AR$1843,$CC$7:$CC$1843,CC1116,$AU$7:$AU$1843,AU1116,$BT$7:$BT$1843,"&lt;="&amp;BT1116),"")</f>
        <v/>
      </c>
      <c r="AW1116" s="58" t="n">
        <f aca="false">IF(AV1116="",0,MAX(0,MIN(1,(IF(CC1116="L1",Parameter!$H$5,IF(CC1116="L23",Parameter!$H$6+Parameter!$H$7,Parameter!$H$5+Parameter!$H$6+Parameter!$H$7))-(AV1116-AR1116))/AR1116)))</f>
        <v>0</v>
      </c>
      <c r="AX1116" s="50" t="n">
        <f aca="false">IF(LEFT(Cockpit!$O$5,1)="A",H1116,IF(CE1116=1,CF1116,IF(LEFT(Cockpit!$O$5,1)="B",BC1116,MAX(BC1116,H1116))))</f>
        <v>38</v>
      </c>
      <c r="AY1116" s="50" t="n">
        <f aca="false">IF(BW1116=1,0,ROUNDUP(AX1116/BV1116,0))</f>
        <v>1</v>
      </c>
      <c r="AZ1116" s="52" t="n">
        <f aca="false">IF(CL1116&gt;0,CL1116*MAX(1,AX1116/X1116),IF(BW1116=1,IF(AX1116&lt;=0,0,CA1116*MAX(1,IF(H1116&gt;0,AX1116/H1116,1))),IF(R1116&gt;0,AY1116/R1116,0))/MAX(0.1,N(Parameter!$M$21)))</f>
        <v>0.0833333333333333</v>
      </c>
      <c r="BA1116" s="50" t="n">
        <f aca="false">AZ1116*BY1116</f>
        <v>12.0833333333333</v>
      </c>
      <c r="BB1116" s="50" t="n">
        <f aca="false">AX1116*G1116</f>
        <v>1782.58</v>
      </c>
      <c r="BC1116" s="50" t="n">
        <f aca="false">ROUNDUP(MAX(J1116/IF(CD1116&gt;0,CD1116,MAX(0.1,N(Cockpit!$O$6))),CG1116)/BV1116,0)*BV1116</f>
        <v>38</v>
      </c>
      <c r="BD1116" s="51" t="n">
        <f aca="false">IF(BA1116&gt;0,J1116/BA1116,-1)</f>
        <v>0.331034482758621</v>
      </c>
      <c r="BE1116" s="51" t="str">
        <f aca="false">IF(AND(OR(CC1116="L1",CC1116="L23",CC1116="LIFT"),BA1116&gt;0),SUMIFS($BA$7:$BA$1843,$CC$7:$CC$1843,CC1116,$BD$7:$BD$1843,"&gt;"&amp;BD1116)+SUMIFS($BA$7:$BA$1843,$CC$7:$CC$1843,CC1116,$BD$7:$BD$1843,BD1116,$BT$7:$BT$1843,"&lt;="&amp;BT1116),"")</f>
        <v/>
      </c>
      <c r="BF1116" s="58" t="n">
        <f aca="false">IF(BE1116="",0,MAX(0,MIN(1,(IF(CC1116="L1",Parameter!$H$5,IF(CC1116="L23",Parameter!$H$6+Parameter!$H$7,Parameter!$H$5+Parameter!$H$6+Parameter!$H$7))-(BE1116-BA1116))/BA1116)))</f>
        <v>0</v>
      </c>
      <c r="BG1116" s="48" t="str">
        <f aca="false">IF(AI1116&lt;=0,"",IF(CC1116="Aussen","Aussenlager",IF(CC1116="-","Nicht im Lift",IF(AN1116&gt;=1,"Lift",IF(AN1116&lt;=0,"Aussenlager","teilweise")))))</f>
        <v>Nicht im Lift</v>
      </c>
      <c r="BH1116" s="48" t="str">
        <f aca="false">IF(AR1116&lt;=0,"",IF(CC1116="Aussen","Aussenlager",IF(CC1116="-","Nicht im Lift",IF(AW1116&gt;=1,"Lift",IF(AW1116&lt;=0,"Aussenlager","teilweise")))))</f>
        <v>Nicht im Lift</v>
      </c>
      <c r="BI1116" s="48" t="str">
        <f aca="false">IF(BA1116&lt;=0,"",IF(CC1116="Aussen","Aussenlager",IF(CC1116="-","Nicht im Lift",IF(BF1116&gt;=1,"Lift",IF(BF1116&lt;=0,"Aussenlager","teilweise")))))</f>
        <v>Nicht im Lift</v>
      </c>
      <c r="BJ1116" s="48" t="str">
        <f aca="false">IF(A1116="","",IF(BS1116=1,"Neu; ","")&amp;IF(AND(BS1116=0,BN1116&lt;0),"negativer Bestand (Export "&amp;BN1116&amp;"); ","")&amp;IF(J1116&lt;=0,"Kein Verbrauch; ","")&amp;IF(CL1116&gt;0,"Lift "&amp;W1116&amp;" lt. Liftbericht (Fach "&amp;X1116&amp;" Stk); ",IF(BX1116=1,"Gebinde geschätzt ("&amp;T1116&amp;"); ",IF(BW1116=1,"Lose – Tablare geschätzt; ","")))&amp;IF(H1116&gt;AT1116,"Überbestand "&amp;ROUND(H1116-AT1116,0)&amp;" Stk / CHF "&amp;ROUND((H1116-AT1116)*G1116,0)&amp;"; ","")&amp;IF(AND(CE1116=1,CF1116&lt;CG1116),"MAX &lt; MB+LG; ","")&amp;IF(AND(CK1116&gt;0,CJ1116*10&gt;CK1116),"zu hoch für Tablar; ","")&amp;IF(AND(BS1116=0,OR(CE1116=1,AA1116&lt;&gt;"",U1116&lt;&gt;"",V1116&lt;&gt;"",AB1116&lt;&gt;"")),"manuell übersteuert; ","")&amp;IF(AND(BW1116=0,R1116=0),"Gebinde unbekannt / Stellmass fehlt; ","")&amp;IF(AND(BW1116=0,N(V1116)&lt;=0,N(Q1116)&lt;=0),"Menge pro Gebinde fehlt (Ist = 1 Gebinde); ","")&amp;BR1116)</f>
        <v>negativer Bestand (Export -5); Gebinde geschätzt (Mittel); Menge pro Gebinde fehlt (Ist = 1 Gebinde); </v>
      </c>
      <c r="BK1116" s="48"/>
      <c r="BL1116" s="48"/>
      <c r="BM1116" s="55"/>
      <c r="BN1116" s="50" t="n">
        <v>-5</v>
      </c>
      <c r="BO1116" s="50" t="n">
        <v>43</v>
      </c>
      <c r="BP1116" s="49" t="n">
        <v>-234.55</v>
      </c>
      <c r="BQ1116" s="50" t="n">
        <v>4</v>
      </c>
      <c r="BR1116" s="48"/>
      <c r="BS1116" s="53" t="n">
        <v>0</v>
      </c>
      <c r="BT1116" s="53" t="n">
        <v>1116</v>
      </c>
      <c r="BU1116" s="48" t="str">
        <f aca="false">IF(U1116&lt;&gt;"",UPPER(TRIM(U1116)),IF(BX1116=1,UPPER(VLOOKUP(T1116,Parameter!$I$27:$K$29,2,0)),IF(P1116="","LOSE",P1116)))</f>
        <v>S61</v>
      </c>
      <c r="BV1116" s="50" t="n">
        <f aca="false">IF(BU1116="LOSE",1,IF(N(V1116)&gt;0,V1116,IF(BX1116=1,MAX(1,N(VLOOKUP(T1116,Parameter!$I$27:$K$29,3,0)),H1116,N(N1116)),IF(N(Q1116)&gt;0,Q1116,MAX(1,H1116)))))</f>
        <v>38</v>
      </c>
      <c r="BW1116" s="53" t="n">
        <f aca="false">IF(BU1116="LOSE",1,0)</f>
        <v>0</v>
      </c>
      <c r="BX1116" s="53" t="n">
        <f aca="false">IF(AND(U1116="",OR(P1116="",P1116="LOSE"),T1116&lt;&gt;"",N(S1116)&lt;=0,ISNUMBER(MATCH(T1116,Parameter!$I$27:$I$29,0))),1,0)</f>
        <v>1</v>
      </c>
      <c r="BY1116" s="53" t="n">
        <f aca="false">IF(CL1116&gt;0,INDEX(Parameter!$H$5:$H$7,W1116)/INDEX(Parameter!$E$5:$E$7,W1116),IF(AND(BW1116=0,N(IFERROR(VLOOKUP(BU1116,'Gebinde-Kategorie'!$A$5:$N$45,14,0),0))&gt;0),VLOOKUP(BU1116,'Gebinde-Kategorie'!$A$5:$N$45,14,0)*10+Parameter!$M$23,Parameter!$M$24))</f>
        <v>145</v>
      </c>
      <c r="BZ1116" s="48" t="str">
        <f aca="false">IF(AND(Parameter!$B$19="Ja",E1116&lt;&gt;"",ISNUMBER(MATCH(E1116,Parameter!$I$35:$I$52,0))),VLOOKUP(E1116,Parameter!$I$35:$J$52,2,0),IFERROR(VLOOKUP(D1116,Parameter!$A$35:$C$64,2,0),"Nein"))</f>
        <v>Nein</v>
      </c>
      <c r="CA1116" s="52" t="n">
        <f aca="false">IF(BW1116=0,0,IF(N(S1116)&gt;0,S1116,IFERROR(VLOOKUP(D1116,Parameter!$A$35:$C$64,3,0)+0,0)))</f>
        <v>0</v>
      </c>
      <c r="CB1116" s="48" t="str">
        <f aca="false">IF(AA1116&lt;&gt;"",AA1116,Z1116)</f>
        <v>-</v>
      </c>
      <c r="CC1116" s="48" t="str">
        <f aca="false">IF(OR(CB1116=1,CB1116=2,CB1116=3),IF(Parameter!$E$27="Ja","LIFT",IF(CB1116=1,"L1","L23")),IF(CB1116="Aussen","Aussen","-"))</f>
        <v>-</v>
      </c>
      <c r="CD1116" s="59" t="n">
        <f aca="false">IF(N(AB1116)&gt;0,AB1116,0)</f>
        <v>0</v>
      </c>
      <c r="CE1116" s="53" t="n">
        <f aca="false">IF(ISNUMBER(AE1116),1,0)</f>
        <v>0</v>
      </c>
      <c r="CF1116" s="50" t="n">
        <f aca="false">N(AE1116)</f>
        <v>0</v>
      </c>
      <c r="CG1116" s="50" t="n">
        <f aca="false">N(M1116)+N(N1116)</f>
        <v>5</v>
      </c>
      <c r="CH1116" s="50" t="n">
        <f aca="false">ROUNDUP(H1116/BV1116,0)</f>
        <v>1</v>
      </c>
      <c r="CI1116" s="50" t="n">
        <f aca="false">ROUNDUP(CF1116/BV1116,0)</f>
        <v>0</v>
      </c>
      <c r="CJ1116" s="53" t="n">
        <f aca="false">IF(BW1116=1,0,IFERROR(VLOOKUP(BU1116,'Gebinde-Kategorie'!$A$5:$N$45,5,0)+0,0))</f>
        <v>11</v>
      </c>
      <c r="CK1116" s="53" t="n">
        <f aca="false">IFERROR(IF(OR(CB1116=1,CB1116=2,CB1116=3),N(INDEX(Parameter!$I$5:$I$7,CB1116)),0),0)</f>
        <v>0</v>
      </c>
      <c r="CL1116" s="52" t="n">
        <f aca="false">IF(AND(Parameter!$B$21="Ja",ISNUMBER(W1116),N(X1116)&gt;0),IFERROR(N(INDEX(Parameter!$L$5:$L$7,W1116))*INDEX(Parameter!$E$5:$E$7,W1116)*X1116/SUMIFS($X$7:$X$1843,$W$7:$W$1843,W1116),0),0)</f>
        <v>0</v>
      </c>
    </row>
    <row r="1117" customFormat="false" ht="15" hidden="false" customHeight="false" outlineLevel="0" collapsed="false">
      <c r="A1117" s="48" t="s">
        <v>2031</v>
      </c>
      <c r="B1117" s="48" t="s">
        <v>1028</v>
      </c>
      <c r="C1117" s="48" t="s">
        <v>168</v>
      </c>
      <c r="D1117" s="48" t="s">
        <v>177</v>
      </c>
      <c r="E1117" s="48" t="s">
        <v>469</v>
      </c>
      <c r="F1117" s="48" t="s">
        <v>222</v>
      </c>
      <c r="G1117" s="49" t="n">
        <v>11.8</v>
      </c>
      <c r="H1117" s="50" t="n">
        <f aca="false">MAX(0,IF(AND(Parameter!$B$21="Ja",ISNUMBER(Y1117)),Y1117,IF(Parameter!$B$20="Jahresanfang 2025 + Export",BO1117+BN1117,BN1117)))</f>
        <v>3</v>
      </c>
      <c r="I1117" s="50" t="n">
        <f aca="false">H1117*G1117</f>
        <v>35.4</v>
      </c>
      <c r="J1117" s="50" t="n">
        <f aca="false">BQ1117*Parameter!$B$18</f>
        <v>141</v>
      </c>
      <c r="K1117" s="51" t="n">
        <v>15.5</v>
      </c>
      <c r="L1117" s="52" t="n">
        <v>9.09677419354839</v>
      </c>
      <c r="M1117" s="50" t="n">
        <v>10</v>
      </c>
      <c r="N1117" s="50" t="n">
        <v>15</v>
      </c>
      <c r="O1117" s="53" t="n">
        <v>21</v>
      </c>
      <c r="P1117" s="48" t="s">
        <v>172</v>
      </c>
      <c r="Q1117" s="50"/>
      <c r="R1117" s="53" t="n">
        <f aca="false">IF(BW1117=1,0,IFERROR(VLOOKUP(BU1117,'Gebinde-Kategorie'!$A$5:$N$45,13,0)+0,0))</f>
        <v>4</v>
      </c>
      <c r="S1117" s="54"/>
      <c r="T1117" s="55" t="s">
        <v>193</v>
      </c>
      <c r="U1117" s="55"/>
      <c r="V1117" s="55"/>
      <c r="W1117" s="48"/>
      <c r="X1117" s="50"/>
      <c r="Y1117" s="50"/>
      <c r="Z1117" s="48" t="str">
        <f aca="false">IF(A1117="","",IF(AND(Parameter!$B$21="Ja",ISNUMBER(W1117)),W1117,IF(BZ1117="2+3",IF(ISNUMBER(SEARCH("grosser Artikel",BR1117)),2,IFERROR(VLOOKUP(BU1117,Parameter!$F$35:$G$64,2,0),2)),IF(OR(BZ1117="Nein",BZ1117=""),"-",BZ1117))))</f>
        <v>-</v>
      </c>
      <c r="AA1117" s="55"/>
      <c r="AB1117" s="56"/>
      <c r="AC1117" s="50" t="n">
        <f aca="false">AT1117</f>
        <v>75</v>
      </c>
      <c r="AD1117" s="50" t="n">
        <f aca="false">MAX(AT1117,H1117)</f>
        <v>75</v>
      </c>
      <c r="AE1117" s="57"/>
      <c r="AF1117" s="50" t="n">
        <f aca="false">IF(LEFT(Cockpit!$C$5,1)="A",H1117,IF(CE1117=1,CF1117,IF(LEFT(Cockpit!$C$5,1)="B",AK1117,MAX(AK1117,H1117))))</f>
        <v>3</v>
      </c>
      <c r="AG1117" s="50" t="n">
        <f aca="false">IF(BW1117=1,0,ROUNDUP(AF1117/BV1117,0))</f>
        <v>1</v>
      </c>
      <c r="AH1117" s="52" t="n">
        <f aca="false">IF(CL1117&gt;0,CL1117*MAX(1,AF1117/X1117),IF(BW1117=1,IF(AF1117&lt;=0,0,CA1117*MAX(1,IF(H1117&gt;0,AF1117/H1117,1))),IF(R1117&gt;0,AG1117/R1117,0))/MAX(0.1,N(Parameter!$M$21)))</f>
        <v>0.25</v>
      </c>
      <c r="AI1117" s="50" t="n">
        <f aca="false">AH1117*BY1117</f>
        <v>58.75</v>
      </c>
      <c r="AJ1117" s="50" t="n">
        <f aca="false">AF1117*G1117</f>
        <v>35.4</v>
      </c>
      <c r="AK1117" s="50" t="n">
        <f aca="false">ROUNDUP(MAX(J1117/IF(CD1117&gt;0,CD1117,MAX(0.1,N(Cockpit!$C$6))),CG1117)/BV1117,0)*BV1117</f>
        <v>75</v>
      </c>
      <c r="AL1117" s="51" t="n">
        <f aca="false">IF(AI1117&gt;0,J1117/AI1117,-1)</f>
        <v>2.4</v>
      </c>
      <c r="AM1117" s="51" t="str">
        <f aca="false">IF(AND(OR(CC1117="L1",CC1117="L23",CC1117="LIFT"),AI1117&gt;0),SUMIFS($AI$7:$AI$1843,$CC$7:$CC$1843,CC1117,$AL$7:$AL$1843,"&gt;"&amp;AL1117)+SUMIFS($AI$7:$AI$1843,$CC$7:$CC$1843,CC1117,$AL$7:$AL$1843,AL1117,$BT$7:$BT$1843,"&lt;="&amp;BT1117),"")</f>
        <v/>
      </c>
      <c r="AN1117" s="58" t="n">
        <f aca="false">IF(AM1117="",0,MAX(0,MIN(1,(IF(CC1117="L1",Parameter!$H$5,IF(CC1117="L23",Parameter!$H$6+Parameter!$H$7,Parameter!$H$5+Parameter!$H$6+Parameter!$H$7))-(AM1117-AI1117))/AI1117)))</f>
        <v>0</v>
      </c>
      <c r="AO1117" s="50" t="n">
        <f aca="false">IF(LEFT(Cockpit!$I$5,1)="A",H1117,IF(CE1117=1,CF1117,IF(LEFT(Cockpit!$I$5,1)="B",AT1117,MAX(AT1117,H1117))))</f>
        <v>75</v>
      </c>
      <c r="AP1117" s="50" t="n">
        <f aca="false">IF(BW1117=1,0,ROUNDUP(AO1117/BV1117,0))</f>
        <v>5</v>
      </c>
      <c r="AQ1117" s="52" t="n">
        <f aca="false">IF(CL1117&gt;0,CL1117*MAX(1,AO1117/X1117),IF(BW1117=1,IF(AO1117&lt;=0,0,CA1117*MAX(1,IF(H1117&gt;0,AO1117/H1117,1))),IF(R1117&gt;0,AP1117/R1117,0))/MAX(0.1,N(Parameter!$M$21)))</f>
        <v>1.25</v>
      </c>
      <c r="AR1117" s="50" t="n">
        <f aca="false">AQ1117*BY1117</f>
        <v>293.75</v>
      </c>
      <c r="AS1117" s="50" t="n">
        <f aca="false">AO1117*G1117</f>
        <v>885</v>
      </c>
      <c r="AT1117" s="50" t="n">
        <f aca="false">ROUNDUP(MAX(J1117/IF(CD1117&gt;0,CD1117,MAX(0.1,N(Cockpit!$I$6))),CG1117)/BV1117,0)*BV1117</f>
        <v>75</v>
      </c>
      <c r="AU1117" s="51" t="n">
        <f aca="false">IF(AR1117&gt;0,J1117/AR1117,-1)</f>
        <v>0.48</v>
      </c>
      <c r="AV1117" s="51" t="str">
        <f aca="false">IF(AND(OR(CC1117="L1",CC1117="L23",CC1117="LIFT"),AR1117&gt;0),SUMIFS($AR$7:$AR$1843,$CC$7:$CC$1843,CC1117,$AU$7:$AU$1843,"&gt;"&amp;AU1117)+SUMIFS($AR$7:$AR$1843,$CC$7:$CC$1843,CC1117,$AU$7:$AU$1843,AU1117,$BT$7:$BT$1843,"&lt;="&amp;BT1117),"")</f>
        <v/>
      </c>
      <c r="AW1117" s="58" t="n">
        <f aca="false">IF(AV1117="",0,MAX(0,MIN(1,(IF(CC1117="L1",Parameter!$H$5,IF(CC1117="L23",Parameter!$H$6+Parameter!$H$7,Parameter!$H$5+Parameter!$H$6+Parameter!$H$7))-(AV1117-AR1117))/AR1117)))</f>
        <v>0</v>
      </c>
      <c r="AX1117" s="50" t="n">
        <f aca="false">IF(LEFT(Cockpit!$O$5,1)="A",H1117,IF(CE1117=1,CF1117,IF(LEFT(Cockpit!$O$5,1)="B",BC1117,MAX(BC1117,H1117))))</f>
        <v>60</v>
      </c>
      <c r="AY1117" s="50" t="n">
        <f aca="false">IF(BW1117=1,0,ROUNDUP(AX1117/BV1117,0))</f>
        <v>4</v>
      </c>
      <c r="AZ1117" s="52" t="n">
        <f aca="false">IF(CL1117&gt;0,CL1117*MAX(1,AX1117/X1117),IF(BW1117=1,IF(AX1117&lt;=0,0,CA1117*MAX(1,IF(H1117&gt;0,AX1117/H1117,1))),IF(R1117&gt;0,AY1117/R1117,0))/MAX(0.1,N(Parameter!$M$21)))</f>
        <v>1</v>
      </c>
      <c r="BA1117" s="50" t="n">
        <f aca="false">AZ1117*BY1117</f>
        <v>235</v>
      </c>
      <c r="BB1117" s="50" t="n">
        <f aca="false">AX1117*G1117</f>
        <v>708</v>
      </c>
      <c r="BC1117" s="50" t="n">
        <f aca="false">ROUNDUP(MAX(J1117/IF(CD1117&gt;0,CD1117,MAX(0.1,N(Cockpit!$O$6))),CG1117)/BV1117,0)*BV1117</f>
        <v>60</v>
      </c>
      <c r="BD1117" s="51" t="n">
        <f aca="false">IF(BA1117&gt;0,J1117/BA1117,-1)</f>
        <v>0.6</v>
      </c>
      <c r="BE1117" s="51" t="str">
        <f aca="false">IF(AND(OR(CC1117="L1",CC1117="L23",CC1117="LIFT"),BA1117&gt;0),SUMIFS($BA$7:$BA$1843,$CC$7:$CC$1843,CC1117,$BD$7:$BD$1843,"&gt;"&amp;BD1117)+SUMIFS($BA$7:$BA$1843,$CC$7:$CC$1843,CC1117,$BD$7:$BD$1843,BD1117,$BT$7:$BT$1843,"&lt;="&amp;BT1117),"")</f>
        <v/>
      </c>
      <c r="BF1117" s="58" t="n">
        <f aca="false">IF(BE1117="",0,MAX(0,MIN(1,(IF(CC1117="L1",Parameter!$H$5,IF(CC1117="L23",Parameter!$H$6+Parameter!$H$7,Parameter!$H$5+Parameter!$H$6+Parameter!$H$7))-(BE1117-BA1117))/BA1117)))</f>
        <v>0</v>
      </c>
      <c r="BG1117" s="48" t="str">
        <f aca="false">IF(AI1117&lt;=0,"",IF(CC1117="Aussen","Aussenlager",IF(CC1117="-","Nicht im Lift",IF(AN1117&gt;=1,"Lift",IF(AN1117&lt;=0,"Aussenlager","teilweise")))))</f>
        <v>Nicht im Lift</v>
      </c>
      <c r="BH1117" s="48" t="str">
        <f aca="false">IF(AR1117&lt;=0,"",IF(CC1117="Aussen","Aussenlager",IF(CC1117="-","Nicht im Lift",IF(AW1117&gt;=1,"Lift",IF(AW1117&lt;=0,"Aussenlager","teilweise")))))</f>
        <v>Nicht im Lift</v>
      </c>
      <c r="BI1117" s="48" t="str">
        <f aca="false">IF(BA1117&lt;=0,"",IF(CC1117="Aussen","Aussenlager",IF(CC1117="-","Nicht im Lift",IF(BF1117&gt;=1,"Lift",IF(BF1117&lt;=0,"Aussenlager","teilweise")))))</f>
        <v>Nicht im Lift</v>
      </c>
      <c r="BJ1117" s="48" t="str">
        <f aca="false">IF(A1117="","",IF(BS1117=1,"Neu; ","")&amp;IF(AND(BS1117=0,BN1117&lt;0),"negativer Bestand (Export "&amp;BN1117&amp;"); ","")&amp;IF(J1117&lt;=0,"Kein Verbrauch; ","")&amp;IF(CL1117&gt;0,"Lift "&amp;W1117&amp;" lt. Liftbericht (Fach "&amp;X1117&amp;" Stk); ",IF(BX1117=1,"Gebinde geschätzt ("&amp;T1117&amp;"); ",IF(BW1117=1,"Lose – Tablare geschätzt; ","")))&amp;IF(H1117&gt;AT1117,"Überbestand "&amp;ROUND(H1117-AT1117,0)&amp;" Stk / CHF "&amp;ROUND((H1117-AT1117)*G1117,0)&amp;"; ","")&amp;IF(AND(CE1117=1,CF1117&lt;CG1117),"MAX &lt; MB+LG; ","")&amp;IF(AND(CK1117&gt;0,CJ1117*10&gt;CK1117),"zu hoch für Tablar; ","")&amp;IF(AND(BS1117=0,OR(CE1117=1,AA1117&lt;&gt;"",U1117&lt;&gt;"",V1117&lt;&gt;"",AB1117&lt;&gt;"")),"manuell übersteuert; ","")&amp;IF(AND(BW1117=0,R1117=0),"Gebinde unbekannt / Stellmass fehlt; ","")&amp;IF(AND(BW1117=0,N(V1117)&lt;=0,N(Q1117)&lt;=0),"Menge pro Gebinde fehlt (Ist = 1 Gebinde); ","")&amp;BR1117)</f>
        <v>negativer Bestand (Export -22); Gebinde geschätzt (Gross); Menge pro Gebinde fehlt (Ist = 1 Gebinde); </v>
      </c>
      <c r="BK1117" s="48"/>
      <c r="BL1117" s="48"/>
      <c r="BM1117" s="55"/>
      <c r="BN1117" s="50" t="n">
        <v>-22</v>
      </c>
      <c r="BO1117" s="50" t="n">
        <v>25</v>
      </c>
      <c r="BP1117" s="49" t="n">
        <v>-235.35</v>
      </c>
      <c r="BQ1117" s="50" t="n">
        <v>141</v>
      </c>
      <c r="BR1117" s="48"/>
      <c r="BS1117" s="53" t="n">
        <v>0</v>
      </c>
      <c r="BT1117" s="53" t="n">
        <v>1117</v>
      </c>
      <c r="BU1117" s="48" t="str">
        <f aca="false">IF(U1117&lt;&gt;"",UPPER(TRIM(U1117)),IF(BX1117=1,UPPER(VLOOKUP(T1117,Parameter!$I$27:$K$29,2,0)),IF(P1117="","LOSE",P1117)))</f>
        <v>S81</v>
      </c>
      <c r="BV1117" s="50" t="n">
        <f aca="false">IF(BU1117="LOSE",1,IF(N(V1117)&gt;0,V1117,IF(BX1117=1,MAX(1,N(VLOOKUP(T1117,Parameter!$I$27:$K$29,3,0)),H1117,N(N1117)),IF(N(Q1117)&gt;0,Q1117,MAX(1,H1117)))))</f>
        <v>15</v>
      </c>
      <c r="BW1117" s="53" t="n">
        <f aca="false">IF(BU1117="LOSE",1,0)</f>
        <v>0</v>
      </c>
      <c r="BX1117" s="53" t="n">
        <f aca="false">IF(AND(U1117="",OR(P1117="",P1117="LOSE"),T1117&lt;&gt;"",N(S1117)&lt;=0,ISNUMBER(MATCH(T1117,Parameter!$I$27:$I$29,0))),1,0)</f>
        <v>1</v>
      </c>
      <c r="BY1117" s="53" t="n">
        <f aca="false">IF(CL1117&gt;0,INDEX(Parameter!$H$5:$H$7,W1117)/INDEX(Parameter!$E$5:$E$7,W1117),IF(AND(BW1117=0,N(IFERROR(VLOOKUP(BU1117,'Gebinde-Kategorie'!$A$5:$N$45,14,0),0))&gt;0),VLOOKUP(BU1117,'Gebinde-Kategorie'!$A$5:$N$45,14,0)*10+Parameter!$M$23,Parameter!$M$24))</f>
        <v>235</v>
      </c>
      <c r="BZ1117" s="48" t="str">
        <f aca="false">IF(AND(Parameter!$B$19="Ja",E1117&lt;&gt;"",ISNUMBER(MATCH(E1117,Parameter!$I$35:$I$52,0))),VLOOKUP(E1117,Parameter!$I$35:$J$52,2,0),IFERROR(VLOOKUP(D1117,Parameter!$A$35:$C$64,2,0),"Nein"))</f>
        <v>Nein</v>
      </c>
      <c r="CA1117" s="52" t="n">
        <f aca="false">IF(BW1117=0,0,IF(N(S1117)&gt;0,S1117,IFERROR(VLOOKUP(D1117,Parameter!$A$35:$C$64,3,0)+0,0)))</f>
        <v>0</v>
      </c>
      <c r="CB1117" s="48" t="str">
        <f aca="false">IF(AA1117&lt;&gt;"",AA1117,Z1117)</f>
        <v>-</v>
      </c>
      <c r="CC1117" s="48" t="str">
        <f aca="false">IF(OR(CB1117=1,CB1117=2,CB1117=3),IF(Parameter!$E$27="Ja","LIFT",IF(CB1117=1,"L1","L23")),IF(CB1117="Aussen","Aussen","-"))</f>
        <v>-</v>
      </c>
      <c r="CD1117" s="59" t="n">
        <f aca="false">IF(N(AB1117)&gt;0,AB1117,0)</f>
        <v>0</v>
      </c>
      <c r="CE1117" s="53" t="n">
        <f aca="false">IF(ISNUMBER(AE1117),1,0)</f>
        <v>0</v>
      </c>
      <c r="CF1117" s="50" t="n">
        <f aca="false">N(AE1117)</f>
        <v>0</v>
      </c>
      <c r="CG1117" s="50" t="n">
        <f aca="false">N(M1117)+N(N1117)</f>
        <v>25</v>
      </c>
      <c r="CH1117" s="50" t="n">
        <f aca="false">ROUNDUP(H1117/BV1117,0)</f>
        <v>1</v>
      </c>
      <c r="CI1117" s="50" t="n">
        <f aca="false">ROUNDUP(CF1117/BV1117,0)</f>
        <v>0</v>
      </c>
      <c r="CJ1117" s="53" t="n">
        <f aca="false">IF(BW1117=1,0,IFERROR(VLOOKUP(BU1117,'Gebinde-Kategorie'!$A$5:$N$45,5,0)+0,0))</f>
        <v>20</v>
      </c>
      <c r="CK1117" s="53" t="n">
        <f aca="false">IFERROR(IF(OR(CB1117=1,CB1117=2,CB1117=3),N(INDEX(Parameter!$I$5:$I$7,CB1117)),0),0)</f>
        <v>0</v>
      </c>
      <c r="CL1117" s="52" t="n">
        <f aca="false">IF(AND(Parameter!$B$21="Ja",ISNUMBER(W1117),N(X1117)&gt;0),IFERROR(N(INDEX(Parameter!$L$5:$L$7,W1117))*INDEX(Parameter!$E$5:$E$7,W1117)*X1117/SUMIFS($X$7:$X$1843,$W$7:$W$1843,W1117),0),0)</f>
        <v>0</v>
      </c>
    </row>
    <row r="1118" customFormat="false" ht="15" hidden="false" customHeight="false" outlineLevel="0" collapsed="false">
      <c r="A1118" s="48" t="s">
        <v>2032</v>
      </c>
      <c r="B1118" s="48" t="s">
        <v>2015</v>
      </c>
      <c r="C1118" s="48" t="s">
        <v>168</v>
      </c>
      <c r="D1118" s="48" t="s">
        <v>188</v>
      </c>
      <c r="E1118" s="48" t="s">
        <v>189</v>
      </c>
      <c r="F1118" s="48" t="s">
        <v>222</v>
      </c>
      <c r="G1118" s="49" t="n">
        <v>237.52</v>
      </c>
      <c r="H1118" s="50" t="n">
        <f aca="false">MAX(0,IF(AND(Parameter!$B$21="Ja",ISNUMBER(Y1118)),Y1118,IF(Parameter!$B$20="Jahresanfang 2025 + Export",BO1118+BN1118,BN1118)))</f>
        <v>6</v>
      </c>
      <c r="I1118" s="50" t="n">
        <f aca="false">H1118*G1118</f>
        <v>1425.12</v>
      </c>
      <c r="J1118" s="50" t="n">
        <f aca="false">BQ1118*Parameter!$B$18</f>
        <v>1</v>
      </c>
      <c r="K1118" s="51" t="n">
        <v>6.5</v>
      </c>
      <c r="L1118" s="52" t="n">
        <v>0.153846153846154</v>
      </c>
      <c r="M1118" s="50" t="n">
        <v>0</v>
      </c>
      <c r="N1118" s="50" t="n">
        <v>1</v>
      </c>
      <c r="O1118" s="53" t="n">
        <v>28</v>
      </c>
      <c r="P1118" s="48" t="s">
        <v>480</v>
      </c>
      <c r="Q1118" s="50" t="n">
        <v>7</v>
      </c>
      <c r="R1118" s="53" t="n">
        <f aca="false">IF(BW1118=1,0,IFERROR(VLOOKUP(BU1118,'Gebinde-Kategorie'!$A$5:$N$45,13,0)+0,0))</f>
        <v>52</v>
      </c>
      <c r="S1118" s="54"/>
      <c r="T1118" s="55"/>
      <c r="U1118" s="55"/>
      <c r="V1118" s="55"/>
      <c r="W1118" s="48"/>
      <c r="X1118" s="50"/>
      <c r="Y1118" s="50"/>
      <c r="Z1118" s="48" t="n">
        <f aca="false">IF(A1118="","",IF(AND(Parameter!$B$21="Ja",ISNUMBER(W1118)),W1118,IF(BZ1118="2+3",IF(ISNUMBER(SEARCH("grosser Artikel",BR1118)),2,IFERROR(VLOOKUP(BU1118,Parameter!$F$35:$G$64,2,0),2)),IF(OR(BZ1118="Nein",BZ1118=""),"-",BZ1118))))</f>
        <v>3</v>
      </c>
      <c r="AA1118" s="55"/>
      <c r="AB1118" s="56"/>
      <c r="AC1118" s="50" t="n">
        <f aca="false">AT1118</f>
        <v>7</v>
      </c>
      <c r="AD1118" s="50" t="n">
        <f aca="false">MAX(AT1118,H1118)</f>
        <v>7</v>
      </c>
      <c r="AE1118" s="57"/>
      <c r="AF1118" s="50" t="n">
        <f aca="false">IF(LEFT(Cockpit!$C$5,1)="A",H1118,IF(CE1118=1,CF1118,IF(LEFT(Cockpit!$C$5,1)="B",AK1118,MAX(AK1118,H1118))))</f>
        <v>6</v>
      </c>
      <c r="AG1118" s="50" t="n">
        <f aca="false">IF(BW1118=1,0,ROUNDUP(AF1118/BV1118,0))</f>
        <v>1</v>
      </c>
      <c r="AH1118" s="52" t="n">
        <f aca="false">IF(CL1118&gt;0,CL1118*MAX(1,AF1118/X1118),IF(BW1118=1,IF(AF1118&lt;=0,0,CA1118*MAX(1,IF(H1118&gt;0,AF1118/H1118,1))),IF(R1118&gt;0,AG1118/R1118,0))/MAX(0.1,N(Parameter!$M$21)))</f>
        <v>0.0192307692307692</v>
      </c>
      <c r="AI1118" s="50" t="n">
        <f aca="false">AH1118*BY1118</f>
        <v>2.98076923076923</v>
      </c>
      <c r="AJ1118" s="50" t="n">
        <f aca="false">AF1118*G1118</f>
        <v>1425.12</v>
      </c>
      <c r="AK1118" s="50" t="n">
        <f aca="false">ROUNDUP(MAX(J1118/IF(CD1118&gt;0,CD1118,MAX(0.1,N(Cockpit!$C$6))),CG1118)/BV1118,0)*BV1118</f>
        <v>7</v>
      </c>
      <c r="AL1118" s="51" t="n">
        <f aca="false">IF(AI1118&gt;0,J1118/AI1118,-1)</f>
        <v>0.335483870967742</v>
      </c>
      <c r="AM1118" s="51" t="n">
        <f aca="false">IF(AND(OR(CC1118="L1",CC1118="L23",CC1118="LIFT"),AI1118&gt;0),SUMIFS($AI$7:$AI$1843,$CC$7:$CC$1843,CC1118,$AL$7:$AL$1843,"&gt;"&amp;AL1118)+SUMIFS($AI$7:$AI$1843,$CC$7:$CC$1843,CC1118,$AL$7:$AL$1843,AL1118,$BT$7:$BT$1843,"&lt;="&amp;BT1118),"")</f>
        <v>11227.750116409</v>
      </c>
      <c r="AN1118" s="58" t="n">
        <f aca="false">IF(AM1118="",0,MAX(0,MIN(1,(IF(CC1118="L1",Parameter!$H$5,IF(CC1118="L23",Parameter!$H$6+Parameter!$H$7,Parameter!$H$5+Parameter!$H$6+Parameter!$H$7))-(AM1118-AI1118))/AI1118)))</f>
        <v>1</v>
      </c>
      <c r="AO1118" s="50" t="n">
        <f aca="false">IF(LEFT(Cockpit!$I$5,1)="A",H1118,IF(CE1118=1,CF1118,IF(LEFT(Cockpit!$I$5,1)="B",AT1118,MAX(AT1118,H1118))))</f>
        <v>7</v>
      </c>
      <c r="AP1118" s="50" t="n">
        <f aca="false">IF(BW1118=1,0,ROUNDUP(AO1118/BV1118,0))</f>
        <v>1</v>
      </c>
      <c r="AQ1118" s="52" t="n">
        <f aca="false">IF(CL1118&gt;0,CL1118*MAX(1,AO1118/X1118),IF(BW1118=1,IF(AO1118&lt;=0,0,CA1118*MAX(1,IF(H1118&gt;0,AO1118/H1118,1))),IF(R1118&gt;0,AP1118/R1118,0))/MAX(0.1,N(Parameter!$M$21)))</f>
        <v>0.0192307692307692</v>
      </c>
      <c r="AR1118" s="50" t="n">
        <f aca="false">AQ1118*BY1118</f>
        <v>2.98076923076923</v>
      </c>
      <c r="AS1118" s="50" t="n">
        <f aca="false">AO1118*G1118</f>
        <v>1662.64</v>
      </c>
      <c r="AT1118" s="50" t="n">
        <f aca="false">ROUNDUP(MAX(J1118/IF(CD1118&gt;0,CD1118,MAX(0.1,N(Cockpit!$I$6))),CG1118)/BV1118,0)*BV1118</f>
        <v>7</v>
      </c>
      <c r="AU1118" s="51" t="n">
        <f aca="false">IF(AR1118&gt;0,J1118/AR1118,-1)</f>
        <v>0.335483870967742</v>
      </c>
      <c r="AV1118" s="51" t="n">
        <f aca="false">IF(AND(OR(CC1118="L1",CC1118="L23",CC1118="LIFT"),AR1118&gt;0),SUMIFS($AR$7:$AR$1843,$CC$7:$CC$1843,CC1118,$AU$7:$AU$1843,"&gt;"&amp;AU1118)+SUMIFS($AR$7:$AR$1843,$CC$7:$CC$1843,CC1118,$AU$7:$AU$1843,AU1118,$BT$7:$BT$1843,"&lt;="&amp;BT1118),"")</f>
        <v>16353.4482600733</v>
      </c>
      <c r="AW1118" s="58" t="n">
        <f aca="false">IF(AV1118="",0,MAX(0,MIN(1,(IF(CC1118="L1",Parameter!$H$5,IF(CC1118="L23",Parameter!$H$6+Parameter!$H$7,Parameter!$H$5+Parameter!$H$6+Parameter!$H$7))-(AV1118-AR1118))/AR1118)))</f>
        <v>1</v>
      </c>
      <c r="AX1118" s="50" t="n">
        <f aca="false">IF(LEFT(Cockpit!$O$5,1)="A",H1118,IF(CE1118=1,CF1118,IF(LEFT(Cockpit!$O$5,1)="B",BC1118,MAX(BC1118,H1118))))</f>
        <v>7</v>
      </c>
      <c r="AY1118" s="50" t="n">
        <f aca="false">IF(BW1118=1,0,ROUNDUP(AX1118/BV1118,0))</f>
        <v>1</v>
      </c>
      <c r="AZ1118" s="52" t="n">
        <f aca="false">IF(CL1118&gt;0,CL1118*MAX(1,AX1118/X1118),IF(BW1118=1,IF(AX1118&lt;=0,0,CA1118*MAX(1,IF(H1118&gt;0,AX1118/H1118,1))),IF(R1118&gt;0,AY1118/R1118,0))/MAX(0.1,N(Parameter!$M$21)))</f>
        <v>0.0192307692307692</v>
      </c>
      <c r="BA1118" s="50" t="n">
        <f aca="false">AZ1118*BY1118</f>
        <v>2.98076923076923</v>
      </c>
      <c r="BB1118" s="50" t="n">
        <f aca="false">AX1118*G1118</f>
        <v>1662.64</v>
      </c>
      <c r="BC1118" s="50" t="n">
        <f aca="false">ROUNDUP(MAX(J1118/IF(CD1118&gt;0,CD1118,MAX(0.1,N(Cockpit!$O$6))),CG1118)/BV1118,0)*BV1118</f>
        <v>7</v>
      </c>
      <c r="BD1118" s="51" t="n">
        <f aca="false">IF(BA1118&gt;0,J1118/BA1118,-1)</f>
        <v>0.335483870967742</v>
      </c>
      <c r="BE1118" s="51" t="n">
        <f aca="false">IF(AND(OR(CC1118="L1",CC1118="L23",CC1118="LIFT"),BA1118&gt;0),SUMIFS($BA$7:$BA$1843,$CC$7:$CC$1843,CC1118,$BD$7:$BD$1843,"&gt;"&amp;BD1118)+SUMIFS($BA$7:$BA$1843,$CC$7:$CC$1843,CC1118,$BD$7:$BD$1843,BD1118,$BT$7:$BT$1843,"&lt;="&amp;BT1118),"")</f>
        <v>15104.1053113553</v>
      </c>
      <c r="BF1118" s="58" t="n">
        <f aca="false">IF(BE1118="",0,MAX(0,MIN(1,(IF(CC1118="L1",Parameter!$H$5,IF(CC1118="L23",Parameter!$H$6+Parameter!$H$7,Parameter!$H$5+Parameter!$H$6+Parameter!$H$7))-(BE1118-BA1118))/BA1118)))</f>
        <v>1</v>
      </c>
      <c r="BG1118" s="48" t="str">
        <f aca="false">IF(AI1118&lt;=0,"",IF(CC1118="Aussen","Aussenlager",IF(CC1118="-","Nicht im Lift",IF(AN1118&gt;=1,"Lift",IF(AN1118&lt;=0,"Aussenlager","teilweise")))))</f>
        <v>Lift</v>
      </c>
      <c r="BH1118" s="48" t="str">
        <f aca="false">IF(AR1118&lt;=0,"",IF(CC1118="Aussen","Aussenlager",IF(CC1118="-","Nicht im Lift",IF(AW1118&gt;=1,"Lift",IF(AW1118&lt;=0,"Aussenlager","teilweise")))))</f>
        <v>Lift</v>
      </c>
      <c r="BI1118" s="48" t="str">
        <f aca="false">IF(BA1118&lt;=0,"",IF(CC1118="Aussen","Aussenlager",IF(CC1118="-","Nicht im Lift",IF(BF1118&gt;=1,"Lift",IF(BF1118&lt;=0,"Aussenlager","teilweise")))))</f>
        <v>Lift</v>
      </c>
      <c r="BJ1118" s="48" t="str">
        <f aca="false">IF(A1118="","",IF(BS1118=1,"Neu; ","")&amp;IF(AND(BS1118=0,BN1118&lt;0),"negativer Bestand (Export "&amp;BN1118&amp;"); ","")&amp;IF(J1118&lt;=0,"Kein Verbrauch; ","")&amp;IF(CL1118&gt;0,"Lift "&amp;W1118&amp;" lt. Liftbericht (Fach "&amp;X1118&amp;" Stk); ",IF(BX1118=1,"Gebinde geschätzt ("&amp;T1118&amp;"); ",IF(BW1118=1,"Lose – Tablare geschätzt; ","")))&amp;IF(H1118&gt;AT1118,"Überbestand "&amp;ROUND(H1118-AT1118,0)&amp;" Stk / CHF "&amp;ROUND((H1118-AT1118)*G1118,0)&amp;"; ","")&amp;IF(AND(CE1118=1,CF1118&lt;CG1118),"MAX &lt; MB+LG; ","")&amp;IF(AND(CK1118&gt;0,CJ1118*10&gt;CK1118),"zu hoch für Tablar; ","")&amp;IF(AND(BS1118=0,OR(CE1118=1,AA1118&lt;&gt;"",U1118&lt;&gt;"",V1118&lt;&gt;"",AB1118&lt;&gt;"")),"manuell übersteuert; ","")&amp;IF(AND(BW1118=0,R1118=0),"Gebinde unbekannt / Stellmass fehlt; ","")&amp;IF(AND(BW1118=0,N(V1118)&lt;=0,N(Q1118)&lt;=0),"Menge pro Gebinde fehlt (Ist = 1 Gebinde); ","")&amp;BR1118)</f>
        <v>negativer Bestand (Export -1); Überbestand</v>
      </c>
      <c r="BK1118" s="48"/>
      <c r="BL1118" s="48"/>
      <c r="BM1118" s="55"/>
      <c r="BN1118" s="50" t="n">
        <v>-1</v>
      </c>
      <c r="BO1118" s="50" t="n">
        <v>7</v>
      </c>
      <c r="BP1118" s="49" t="n">
        <v>-237.52</v>
      </c>
      <c r="BQ1118" s="50" t="n">
        <v>1</v>
      </c>
      <c r="BR1118" s="48" t="s">
        <v>396</v>
      </c>
      <c r="BS1118" s="53" t="n">
        <v>0</v>
      </c>
      <c r="BT1118" s="53" t="n">
        <v>1118</v>
      </c>
      <c r="BU1118" s="48" t="str">
        <f aca="false">IF(U1118&lt;&gt;"",UPPER(TRIM(U1118)),IF(BX1118=1,UPPER(VLOOKUP(T1118,Parameter!$I$27:$K$29,2,0)),IF(P1118="","LOSE",P1118)))</f>
        <v>S33</v>
      </c>
      <c r="BV1118" s="50" t="n">
        <f aca="false">IF(BU1118="LOSE",1,IF(N(V1118)&gt;0,V1118,IF(BX1118=1,MAX(1,N(VLOOKUP(T1118,Parameter!$I$27:$K$29,3,0)),H1118,N(N1118)),IF(N(Q1118)&gt;0,Q1118,MAX(1,H1118)))))</f>
        <v>7</v>
      </c>
      <c r="BW1118" s="53" t="n">
        <f aca="false">IF(BU1118="LOSE",1,0)</f>
        <v>0</v>
      </c>
      <c r="BX1118" s="53" t="n">
        <f aca="false">IF(AND(U1118="",OR(P1118="",P1118="LOSE"),T1118&lt;&gt;"",N(S1118)&lt;=0,ISNUMBER(MATCH(T1118,Parameter!$I$27:$I$29,0))),1,0)</f>
        <v>0</v>
      </c>
      <c r="BY1118" s="53" t="n">
        <f aca="false">IF(CL1118&gt;0,INDEX(Parameter!$H$5:$H$7,W1118)/INDEX(Parameter!$E$5:$E$7,W1118),IF(AND(BW1118=0,N(IFERROR(VLOOKUP(BU1118,'Gebinde-Kategorie'!$A$5:$N$45,14,0),0))&gt;0),VLOOKUP(BU1118,'Gebinde-Kategorie'!$A$5:$N$45,14,0)*10+Parameter!$M$23,Parameter!$M$24))</f>
        <v>155</v>
      </c>
      <c r="BZ1118" s="48" t="str">
        <f aca="false">IF(AND(Parameter!$B$19="Ja",E1118&lt;&gt;"",ISNUMBER(MATCH(E1118,Parameter!$I$35:$I$52,0))),VLOOKUP(E1118,Parameter!$I$35:$J$52,2,0),IFERROR(VLOOKUP(D1118,Parameter!$A$35:$C$64,2,0),"Nein"))</f>
        <v>2+3</v>
      </c>
      <c r="CA1118" s="52" t="n">
        <f aca="false">IF(BW1118=0,0,IF(N(S1118)&gt;0,S1118,IFERROR(VLOOKUP(D1118,Parameter!$A$35:$C$64,3,0)+0,0)))</f>
        <v>0</v>
      </c>
      <c r="CB1118" s="48" t="n">
        <f aca="false">IF(AA1118&lt;&gt;"",AA1118,Z1118)</f>
        <v>3</v>
      </c>
      <c r="CC1118" s="48" t="str">
        <f aca="false">IF(OR(CB1118=1,CB1118=2,CB1118=3),IF(Parameter!$E$27="Ja","LIFT",IF(CB1118=1,"L1","L23")),IF(CB1118="Aussen","Aussen","-"))</f>
        <v>LIFT</v>
      </c>
      <c r="CD1118" s="59" t="n">
        <f aca="false">IF(N(AB1118)&gt;0,AB1118,0)</f>
        <v>0</v>
      </c>
      <c r="CE1118" s="53" t="n">
        <f aca="false">IF(ISNUMBER(AE1118),1,0)</f>
        <v>0</v>
      </c>
      <c r="CF1118" s="50" t="n">
        <f aca="false">N(AE1118)</f>
        <v>0</v>
      </c>
      <c r="CG1118" s="50" t="n">
        <f aca="false">N(M1118)+N(N1118)</f>
        <v>1</v>
      </c>
      <c r="CH1118" s="50" t="n">
        <f aca="false">ROUNDUP(H1118/BV1118,0)</f>
        <v>1</v>
      </c>
      <c r="CI1118" s="50" t="n">
        <f aca="false">ROUNDUP(CF1118/BV1118,0)</f>
        <v>0</v>
      </c>
      <c r="CJ1118" s="53" t="n">
        <f aca="false">IF(BW1118=1,0,IFERROR(VLOOKUP(BU1118,'Gebinde-Kategorie'!$A$5:$N$45,5,0)+0,0))</f>
        <v>8</v>
      </c>
      <c r="CK1118" s="53" t="n">
        <f aca="false">IFERROR(IF(OR(CB1118=1,CB1118=2,CB1118=3),N(INDEX(Parameter!$I$5:$I$7,CB1118)),0),0)</f>
        <v>0</v>
      </c>
      <c r="CL1118" s="52" t="n">
        <f aca="false">IF(AND(Parameter!$B$21="Ja",ISNUMBER(W1118),N(X1118)&gt;0),IFERROR(N(INDEX(Parameter!$L$5:$L$7,W1118))*INDEX(Parameter!$E$5:$E$7,W1118)*X1118/SUMIFS($X$7:$X$1843,$W$7:$W$1843,W1118),0),0)</f>
        <v>0</v>
      </c>
    </row>
    <row r="1119" customFormat="false" ht="15" hidden="false" customHeight="false" outlineLevel="0" collapsed="false">
      <c r="A1119" s="48" t="s">
        <v>2033</v>
      </c>
      <c r="B1119" s="48" t="s">
        <v>487</v>
      </c>
      <c r="C1119" s="48" t="s">
        <v>168</v>
      </c>
      <c r="D1119" s="48" t="s">
        <v>188</v>
      </c>
      <c r="E1119" s="48" t="s">
        <v>189</v>
      </c>
      <c r="F1119" s="48" t="s">
        <v>222</v>
      </c>
      <c r="G1119" s="49" t="n">
        <v>71.63</v>
      </c>
      <c r="H1119" s="50" t="n">
        <f aca="false">MAX(0,IF(AND(Parameter!$B$21="Ja",ISNUMBER(Y1119)),Y1119,IF(Parameter!$B$20="Jahresanfang 2025 + Export",BO1119+BN1119,BN1119)))</f>
        <v>5</v>
      </c>
      <c r="I1119" s="50" t="n">
        <f aca="false">H1119*G1119</f>
        <v>358.15</v>
      </c>
      <c r="J1119" s="50" t="n">
        <f aca="false">BQ1119*Parameter!$B$18</f>
        <v>13</v>
      </c>
      <c r="K1119" s="51" t="n">
        <v>7.5</v>
      </c>
      <c r="L1119" s="52" t="n">
        <v>1.73333333333333</v>
      </c>
      <c r="M1119" s="50" t="n">
        <v>0</v>
      </c>
      <c r="N1119" s="50" t="n">
        <v>15</v>
      </c>
      <c r="O1119" s="53" t="n">
        <v>14</v>
      </c>
      <c r="P1119" s="48" t="s">
        <v>306</v>
      </c>
      <c r="Q1119" s="50" t="n">
        <v>37</v>
      </c>
      <c r="R1119" s="53" t="n">
        <f aca="false">IF(BW1119=1,0,IFERROR(VLOOKUP(BU1119,'Gebinde-Kategorie'!$A$5:$N$45,13,0)+0,0))</f>
        <v>26</v>
      </c>
      <c r="S1119" s="54"/>
      <c r="T1119" s="55"/>
      <c r="U1119" s="55"/>
      <c r="V1119" s="55"/>
      <c r="W1119" s="48"/>
      <c r="X1119" s="50"/>
      <c r="Y1119" s="50"/>
      <c r="Z1119" s="48" t="n">
        <f aca="false">IF(A1119="","",IF(AND(Parameter!$B$21="Ja",ISNUMBER(W1119)),W1119,IF(BZ1119="2+3",IF(ISNUMBER(SEARCH("grosser Artikel",BR1119)),2,IFERROR(VLOOKUP(BU1119,Parameter!$F$35:$G$64,2,0),2)),IF(OR(BZ1119="Nein",BZ1119=""),"-",BZ1119))))</f>
        <v>3</v>
      </c>
      <c r="AA1119" s="55"/>
      <c r="AB1119" s="56"/>
      <c r="AC1119" s="50" t="n">
        <f aca="false">AT1119</f>
        <v>37</v>
      </c>
      <c r="AD1119" s="50" t="n">
        <f aca="false">MAX(AT1119,H1119)</f>
        <v>37</v>
      </c>
      <c r="AE1119" s="57"/>
      <c r="AF1119" s="50" t="n">
        <f aca="false">IF(LEFT(Cockpit!$C$5,1)="A",H1119,IF(CE1119=1,CF1119,IF(LEFT(Cockpit!$C$5,1)="B",AK1119,MAX(AK1119,H1119))))</f>
        <v>5</v>
      </c>
      <c r="AG1119" s="50" t="n">
        <f aca="false">IF(BW1119=1,0,ROUNDUP(AF1119/BV1119,0))</f>
        <v>1</v>
      </c>
      <c r="AH1119" s="52" t="n">
        <f aca="false">IF(CL1119&gt;0,CL1119*MAX(1,AF1119/X1119),IF(BW1119=1,IF(AF1119&lt;=0,0,CA1119*MAX(1,IF(H1119&gt;0,AF1119/H1119,1))),IF(R1119&gt;0,AG1119/R1119,0))/MAX(0.1,N(Parameter!$M$21)))</f>
        <v>0.0384615384615385</v>
      </c>
      <c r="AI1119" s="50" t="n">
        <f aca="false">AH1119*BY1119</f>
        <v>5.96153846153846</v>
      </c>
      <c r="AJ1119" s="50" t="n">
        <f aca="false">AF1119*G1119</f>
        <v>358.15</v>
      </c>
      <c r="AK1119" s="50" t="n">
        <f aca="false">ROUNDUP(MAX(J1119/IF(CD1119&gt;0,CD1119,MAX(0.1,N(Cockpit!$C$6))),CG1119)/BV1119,0)*BV1119</f>
        <v>37</v>
      </c>
      <c r="AL1119" s="51" t="n">
        <f aca="false">IF(AI1119&gt;0,J1119/AI1119,-1)</f>
        <v>2.18064516129032</v>
      </c>
      <c r="AM1119" s="51" t="n">
        <f aca="false">IF(AND(OR(CC1119="L1",CC1119="L23",CC1119="LIFT"),AI1119&gt;0),SUMIFS($AI$7:$AI$1843,$CC$7:$CC$1843,CC1119,$AL$7:$AL$1843,"&gt;"&amp;AL1119)+SUMIFS($AI$7:$AI$1843,$CC$7:$CC$1843,CC1119,$AL$7:$AL$1843,AL1119,$BT$7:$BT$1843,"&lt;="&amp;BT1119),"")</f>
        <v>5729.10302197802</v>
      </c>
      <c r="AN1119" s="58" t="n">
        <f aca="false">IF(AM1119="",0,MAX(0,MIN(1,(IF(CC1119="L1",Parameter!$H$5,IF(CC1119="L23",Parameter!$H$6+Parameter!$H$7,Parameter!$H$5+Parameter!$H$6+Parameter!$H$7))-(AM1119-AI1119))/AI1119)))</f>
        <v>1</v>
      </c>
      <c r="AO1119" s="50" t="n">
        <f aca="false">IF(LEFT(Cockpit!$I$5,1)="A",H1119,IF(CE1119=1,CF1119,IF(LEFT(Cockpit!$I$5,1)="B",AT1119,MAX(AT1119,H1119))))</f>
        <v>37</v>
      </c>
      <c r="AP1119" s="50" t="n">
        <f aca="false">IF(BW1119=1,0,ROUNDUP(AO1119/BV1119,0))</f>
        <v>1</v>
      </c>
      <c r="AQ1119" s="52" t="n">
        <f aca="false">IF(CL1119&gt;0,CL1119*MAX(1,AO1119/X1119),IF(BW1119=1,IF(AO1119&lt;=0,0,CA1119*MAX(1,IF(H1119&gt;0,AO1119/H1119,1))),IF(R1119&gt;0,AP1119/R1119,0))/MAX(0.1,N(Parameter!$M$21)))</f>
        <v>0.0384615384615385</v>
      </c>
      <c r="AR1119" s="50" t="n">
        <f aca="false">AQ1119*BY1119</f>
        <v>5.96153846153846</v>
      </c>
      <c r="AS1119" s="50" t="n">
        <f aca="false">AO1119*G1119</f>
        <v>2650.31</v>
      </c>
      <c r="AT1119" s="50" t="n">
        <f aca="false">ROUNDUP(MAX(J1119/IF(CD1119&gt;0,CD1119,MAX(0.1,N(Cockpit!$I$6))),CG1119)/BV1119,0)*BV1119</f>
        <v>37</v>
      </c>
      <c r="AU1119" s="51" t="n">
        <f aca="false">IF(AR1119&gt;0,J1119/AR1119,-1)</f>
        <v>2.18064516129032</v>
      </c>
      <c r="AV1119" s="51" t="n">
        <f aca="false">IF(AND(OR(CC1119="L1",CC1119="L23",CC1119="LIFT"),AR1119&gt;0),SUMIFS($AR$7:$AR$1843,$CC$7:$CC$1843,CC1119,$AU$7:$AU$1843,"&gt;"&amp;AU1119)+SUMIFS($AR$7:$AR$1843,$CC$7:$CC$1843,CC1119,$AU$7:$AU$1843,AU1119,$BT$7:$BT$1843,"&lt;="&amp;BT1119),"")</f>
        <v>7338.63507326007</v>
      </c>
      <c r="AW1119" s="58" t="n">
        <f aca="false">IF(AV1119="",0,MAX(0,MIN(1,(IF(CC1119="L1",Parameter!$H$5,IF(CC1119="L23",Parameter!$H$6+Parameter!$H$7,Parameter!$H$5+Parameter!$H$6+Parameter!$H$7))-(AV1119-AR1119))/AR1119)))</f>
        <v>1</v>
      </c>
      <c r="AX1119" s="50" t="n">
        <f aca="false">IF(LEFT(Cockpit!$O$5,1)="A",H1119,IF(CE1119=1,CF1119,IF(LEFT(Cockpit!$O$5,1)="B",BC1119,MAX(BC1119,H1119))))</f>
        <v>37</v>
      </c>
      <c r="AY1119" s="50" t="n">
        <f aca="false">IF(BW1119=1,0,ROUNDUP(AX1119/BV1119,0))</f>
        <v>1</v>
      </c>
      <c r="AZ1119" s="52" t="n">
        <f aca="false">IF(CL1119&gt;0,CL1119*MAX(1,AX1119/X1119),IF(BW1119=1,IF(AX1119&lt;=0,0,CA1119*MAX(1,IF(H1119&gt;0,AX1119/H1119,1))),IF(R1119&gt;0,AY1119/R1119,0))/MAX(0.1,N(Parameter!$M$21)))</f>
        <v>0.0384615384615385</v>
      </c>
      <c r="BA1119" s="50" t="n">
        <f aca="false">AZ1119*BY1119</f>
        <v>5.96153846153846</v>
      </c>
      <c r="BB1119" s="50" t="n">
        <f aca="false">AX1119*G1119</f>
        <v>2650.31</v>
      </c>
      <c r="BC1119" s="50" t="n">
        <f aca="false">ROUNDUP(MAX(J1119/IF(CD1119&gt;0,CD1119,MAX(0.1,N(Cockpit!$O$6))),CG1119)/BV1119,0)*BV1119</f>
        <v>37</v>
      </c>
      <c r="BD1119" s="51" t="n">
        <f aca="false">IF(BA1119&gt;0,J1119/BA1119,-1)</f>
        <v>2.18064516129032</v>
      </c>
      <c r="BE1119" s="51" t="n">
        <f aca="false">IF(AND(OR(CC1119="L1",CC1119="L23",CC1119="LIFT"),BA1119&gt;0),SUMIFS($BA$7:$BA$1843,$CC$7:$CC$1843,CC1119,$BD$7:$BD$1843,"&gt;"&amp;BD1119)+SUMIFS($BA$7:$BA$1843,$CC$7:$CC$1843,CC1119,$BD$7:$BD$1843,BD1119,$BT$7:$BT$1843,"&lt;="&amp;BT1119),"")</f>
        <v>6911.37545787546</v>
      </c>
      <c r="BF1119" s="58" t="n">
        <f aca="false">IF(BE1119="",0,MAX(0,MIN(1,(IF(CC1119="L1",Parameter!$H$5,IF(CC1119="L23",Parameter!$H$6+Parameter!$H$7,Parameter!$H$5+Parameter!$H$6+Parameter!$H$7))-(BE1119-BA1119))/BA1119)))</f>
        <v>1</v>
      </c>
      <c r="BG1119" s="48" t="str">
        <f aca="false">IF(AI1119&lt;=0,"",IF(CC1119="Aussen","Aussenlager",IF(CC1119="-","Nicht im Lift",IF(AN1119&gt;=1,"Lift",IF(AN1119&lt;=0,"Aussenlager","teilweise")))))</f>
        <v>Lift</v>
      </c>
      <c r="BH1119" s="48" t="str">
        <f aca="false">IF(AR1119&lt;=0,"",IF(CC1119="Aussen","Aussenlager",IF(CC1119="-","Nicht im Lift",IF(AW1119&gt;=1,"Lift",IF(AW1119&lt;=0,"Aussenlager","teilweise")))))</f>
        <v>Lift</v>
      </c>
      <c r="BI1119" s="48" t="str">
        <f aca="false">IF(BA1119&lt;=0,"",IF(CC1119="Aussen","Aussenlager",IF(CC1119="-","Nicht im Lift",IF(BF1119&gt;=1,"Lift",IF(BF1119&lt;=0,"Aussenlager","teilweise")))))</f>
        <v>Lift</v>
      </c>
      <c r="BJ1119" s="48" t="str">
        <f aca="false">IF(A1119="","",IF(BS1119=1,"Neu; ","")&amp;IF(AND(BS1119=0,BN1119&lt;0),"negativer Bestand (Export "&amp;BN1119&amp;"); ","")&amp;IF(J1119&lt;=0,"Kein Verbrauch; ","")&amp;IF(CL1119&gt;0,"Lift "&amp;W1119&amp;" lt. Liftbericht (Fach "&amp;X1119&amp;" Stk); ",IF(BX1119=1,"Gebinde geschätzt ("&amp;T1119&amp;"); ",IF(BW1119=1,"Lose – Tablare geschätzt; ","")))&amp;IF(H1119&gt;AT1119,"Überbestand "&amp;ROUND(H1119-AT1119,0)&amp;" Stk / CHF "&amp;ROUND((H1119-AT1119)*G1119,0)&amp;"; ","")&amp;IF(AND(CE1119=1,CF1119&lt;CG1119),"MAX &lt; MB+LG; ","")&amp;IF(AND(CK1119&gt;0,CJ1119*10&gt;CK1119),"zu hoch für Tablar; ","")&amp;IF(AND(BS1119=0,OR(CE1119=1,AA1119&lt;&gt;"",U1119&lt;&gt;"",V1119&lt;&gt;"",AB1119&lt;&gt;"")),"manuell übersteuert; ","")&amp;IF(AND(BW1119=0,R1119=0),"Gebinde unbekannt / Stellmass fehlt; ","")&amp;IF(AND(BW1119=0,N(V1119)&lt;=0,N(Q1119)&lt;=0),"Menge pro Gebinde fehlt (Ist = 1 Gebinde); ","")&amp;BR1119)</f>
        <v>negativer Bestand (Export -4); Überbestand</v>
      </c>
      <c r="BK1119" s="48"/>
      <c r="BL1119" s="48"/>
      <c r="BM1119" s="55"/>
      <c r="BN1119" s="50" t="n">
        <v>-4</v>
      </c>
      <c r="BO1119" s="50" t="n">
        <v>9</v>
      </c>
      <c r="BP1119" s="49" t="n">
        <v>-239.45</v>
      </c>
      <c r="BQ1119" s="50" t="n">
        <v>13</v>
      </c>
      <c r="BR1119" s="48" t="s">
        <v>396</v>
      </c>
      <c r="BS1119" s="53" t="n">
        <v>0</v>
      </c>
      <c r="BT1119" s="53" t="n">
        <v>1119</v>
      </c>
      <c r="BU1119" s="48" t="str">
        <f aca="false">IF(U1119&lt;&gt;"",UPPER(TRIM(U1119)),IF(BX1119=1,UPPER(VLOOKUP(T1119,Parameter!$I$27:$K$29,2,0)),IF(P1119="","LOSE",P1119)))</f>
        <v>S51</v>
      </c>
      <c r="BV1119" s="50" t="n">
        <f aca="false">IF(BU1119="LOSE",1,IF(N(V1119)&gt;0,V1119,IF(BX1119=1,MAX(1,N(VLOOKUP(T1119,Parameter!$I$27:$K$29,3,0)),H1119,N(N1119)),IF(N(Q1119)&gt;0,Q1119,MAX(1,H1119)))))</f>
        <v>37</v>
      </c>
      <c r="BW1119" s="53" t="n">
        <f aca="false">IF(BU1119="LOSE",1,0)</f>
        <v>0</v>
      </c>
      <c r="BX1119" s="53" t="n">
        <f aca="false">IF(AND(U1119="",OR(P1119="",P1119="LOSE"),T1119&lt;&gt;"",N(S1119)&lt;=0,ISNUMBER(MATCH(T1119,Parameter!$I$27:$I$29,0))),1,0)</f>
        <v>0</v>
      </c>
      <c r="BY1119" s="53" t="n">
        <f aca="false">IF(CL1119&gt;0,INDEX(Parameter!$H$5:$H$7,W1119)/INDEX(Parameter!$E$5:$E$7,W1119),IF(AND(BW1119=0,N(IFERROR(VLOOKUP(BU1119,'Gebinde-Kategorie'!$A$5:$N$45,14,0),0))&gt;0),VLOOKUP(BU1119,'Gebinde-Kategorie'!$A$5:$N$45,14,0)*10+Parameter!$M$23,Parameter!$M$24))</f>
        <v>155</v>
      </c>
      <c r="BZ1119" s="48" t="str">
        <f aca="false">IF(AND(Parameter!$B$19="Ja",E1119&lt;&gt;"",ISNUMBER(MATCH(E1119,Parameter!$I$35:$I$52,0))),VLOOKUP(E1119,Parameter!$I$35:$J$52,2,0),IFERROR(VLOOKUP(D1119,Parameter!$A$35:$C$64,2,0),"Nein"))</f>
        <v>2+3</v>
      </c>
      <c r="CA1119" s="52" t="n">
        <f aca="false">IF(BW1119=0,0,IF(N(S1119)&gt;0,S1119,IFERROR(VLOOKUP(D1119,Parameter!$A$35:$C$64,3,0)+0,0)))</f>
        <v>0</v>
      </c>
      <c r="CB1119" s="48" t="n">
        <f aca="false">IF(AA1119&lt;&gt;"",AA1119,Z1119)</f>
        <v>3</v>
      </c>
      <c r="CC1119" s="48" t="str">
        <f aca="false">IF(OR(CB1119=1,CB1119=2,CB1119=3),IF(Parameter!$E$27="Ja","LIFT",IF(CB1119=1,"L1","L23")),IF(CB1119="Aussen","Aussen","-"))</f>
        <v>LIFT</v>
      </c>
      <c r="CD1119" s="59" t="n">
        <f aca="false">IF(N(AB1119)&gt;0,AB1119,0)</f>
        <v>0</v>
      </c>
      <c r="CE1119" s="53" t="n">
        <f aca="false">IF(ISNUMBER(AE1119),1,0)</f>
        <v>0</v>
      </c>
      <c r="CF1119" s="50" t="n">
        <f aca="false">N(AE1119)</f>
        <v>0</v>
      </c>
      <c r="CG1119" s="50" t="n">
        <f aca="false">N(M1119)+N(N1119)</f>
        <v>15</v>
      </c>
      <c r="CH1119" s="50" t="n">
        <f aca="false">ROUNDUP(H1119/BV1119,0)</f>
        <v>1</v>
      </c>
      <c r="CI1119" s="50" t="n">
        <f aca="false">ROUNDUP(CF1119/BV1119,0)</f>
        <v>0</v>
      </c>
      <c r="CJ1119" s="53" t="n">
        <f aca="false">IF(BW1119=1,0,IFERROR(VLOOKUP(BU1119,'Gebinde-Kategorie'!$A$5:$N$45,5,0)+0,0))</f>
        <v>11</v>
      </c>
      <c r="CK1119" s="53" t="n">
        <f aca="false">IFERROR(IF(OR(CB1119=1,CB1119=2,CB1119=3),N(INDEX(Parameter!$I$5:$I$7,CB1119)),0),0)</f>
        <v>0</v>
      </c>
      <c r="CL1119" s="52" t="n">
        <f aca="false">IF(AND(Parameter!$B$21="Ja",ISNUMBER(W1119),N(X1119)&gt;0),IFERROR(N(INDEX(Parameter!$L$5:$L$7,W1119))*INDEX(Parameter!$E$5:$E$7,W1119)*X1119/SUMIFS($X$7:$X$1843,$W$7:$W$1843,W1119),0),0)</f>
        <v>0</v>
      </c>
    </row>
    <row r="1120" customFormat="false" ht="15" hidden="false" customHeight="false" outlineLevel="0" collapsed="false">
      <c r="A1120" s="48" t="s">
        <v>2034</v>
      </c>
      <c r="B1120" s="48" t="s">
        <v>2035</v>
      </c>
      <c r="C1120" s="48" t="s">
        <v>168</v>
      </c>
      <c r="D1120" s="48" t="s">
        <v>188</v>
      </c>
      <c r="E1120" s="48" t="s">
        <v>189</v>
      </c>
      <c r="F1120" s="48" t="s">
        <v>222</v>
      </c>
      <c r="G1120" s="49" t="n">
        <v>58.79</v>
      </c>
      <c r="H1120" s="50" t="n">
        <f aca="false">MAX(0,IF(AND(Parameter!$B$21="Ja",ISNUMBER(Y1120)),Y1120,IF(Parameter!$B$20="Jahresanfang 2025 + Export",BO1120+BN1120,BN1120)))</f>
        <v>6</v>
      </c>
      <c r="I1120" s="50" t="n">
        <f aca="false">H1120*G1120</f>
        <v>352.74</v>
      </c>
      <c r="J1120" s="50" t="n">
        <f aca="false">BQ1120*Parameter!$B$18</f>
        <v>7</v>
      </c>
      <c r="K1120" s="51" t="n">
        <v>10.5</v>
      </c>
      <c r="L1120" s="52" t="n">
        <v>0.666666666666667</v>
      </c>
      <c r="M1120" s="50" t="n">
        <v>0</v>
      </c>
      <c r="N1120" s="50" t="n">
        <v>5</v>
      </c>
      <c r="O1120" s="53" t="n">
        <v>28</v>
      </c>
      <c r="P1120" s="48" t="s">
        <v>237</v>
      </c>
      <c r="Q1120" s="50" t="n">
        <v>18</v>
      </c>
      <c r="R1120" s="53" t="n">
        <f aca="false">IF(BW1120=1,0,IFERROR(VLOOKUP(BU1120,'Gebinde-Kategorie'!$A$5:$N$45,13,0)+0,0))</f>
        <v>26</v>
      </c>
      <c r="S1120" s="54"/>
      <c r="T1120" s="55"/>
      <c r="U1120" s="55"/>
      <c r="V1120" s="55"/>
      <c r="W1120" s="48"/>
      <c r="X1120" s="50"/>
      <c r="Y1120" s="50"/>
      <c r="Z1120" s="48" t="n">
        <f aca="false">IF(A1120="","",IF(AND(Parameter!$B$21="Ja",ISNUMBER(W1120)),W1120,IF(BZ1120="2+3",IF(ISNUMBER(SEARCH("grosser Artikel",BR1120)),2,IFERROR(VLOOKUP(BU1120,Parameter!$F$35:$G$64,2,0),2)),IF(OR(BZ1120="Nein",BZ1120=""),"-",BZ1120))))</f>
        <v>3</v>
      </c>
      <c r="AA1120" s="55"/>
      <c r="AB1120" s="56"/>
      <c r="AC1120" s="50" t="n">
        <f aca="false">AT1120</f>
        <v>18</v>
      </c>
      <c r="AD1120" s="50" t="n">
        <f aca="false">MAX(AT1120,H1120)</f>
        <v>18</v>
      </c>
      <c r="AE1120" s="57"/>
      <c r="AF1120" s="50" t="n">
        <f aca="false">IF(LEFT(Cockpit!$C$5,1)="A",H1120,IF(CE1120=1,CF1120,IF(LEFT(Cockpit!$C$5,1)="B",AK1120,MAX(AK1120,H1120))))</f>
        <v>6</v>
      </c>
      <c r="AG1120" s="50" t="n">
        <f aca="false">IF(BW1120=1,0,ROUNDUP(AF1120/BV1120,0))</f>
        <v>1</v>
      </c>
      <c r="AH1120" s="52" t="n">
        <f aca="false">IF(CL1120&gt;0,CL1120*MAX(1,AF1120/X1120),IF(BW1120=1,IF(AF1120&lt;=0,0,CA1120*MAX(1,IF(H1120&gt;0,AF1120/H1120,1))),IF(R1120&gt;0,AG1120/R1120,0))/MAX(0.1,N(Parameter!$M$21)))</f>
        <v>0.0384615384615385</v>
      </c>
      <c r="AI1120" s="50" t="n">
        <f aca="false">AH1120*BY1120</f>
        <v>9.42307692307692</v>
      </c>
      <c r="AJ1120" s="50" t="n">
        <f aca="false">AF1120*G1120</f>
        <v>352.74</v>
      </c>
      <c r="AK1120" s="50" t="n">
        <f aca="false">ROUNDUP(MAX(J1120/IF(CD1120&gt;0,CD1120,MAX(0.1,N(Cockpit!$C$6))),CG1120)/BV1120,0)*BV1120</f>
        <v>18</v>
      </c>
      <c r="AL1120" s="51" t="n">
        <f aca="false">IF(AI1120&gt;0,J1120/AI1120,-1)</f>
        <v>0.742857142857143</v>
      </c>
      <c r="AM1120" s="51" t="n">
        <f aca="false">IF(AND(OR(CC1120="L1",CC1120="L23",CC1120="LIFT"),AI1120&gt;0),SUMIFS($AI$7:$AI$1843,$CC$7:$CC$1843,CC1120,$AL$7:$AL$1843,"&gt;"&amp;AL1120)+SUMIFS($AI$7:$AI$1843,$CC$7:$CC$1843,CC1120,$AL$7:$AL$1843,AL1120,$BT$7:$BT$1843,"&lt;="&amp;BT1120),"")</f>
        <v>8398.41987179487</v>
      </c>
      <c r="AN1120" s="58" t="n">
        <f aca="false">IF(AM1120="",0,MAX(0,MIN(1,(IF(CC1120="L1",Parameter!$H$5,IF(CC1120="L23",Parameter!$H$6+Parameter!$H$7,Parameter!$H$5+Parameter!$H$6+Parameter!$H$7))-(AM1120-AI1120))/AI1120)))</f>
        <v>1</v>
      </c>
      <c r="AO1120" s="50" t="n">
        <f aca="false">IF(LEFT(Cockpit!$I$5,1)="A",H1120,IF(CE1120=1,CF1120,IF(LEFT(Cockpit!$I$5,1)="B",AT1120,MAX(AT1120,H1120))))</f>
        <v>18</v>
      </c>
      <c r="AP1120" s="50" t="n">
        <f aca="false">IF(BW1120=1,0,ROUNDUP(AO1120/BV1120,0))</f>
        <v>1</v>
      </c>
      <c r="AQ1120" s="52" t="n">
        <f aca="false">IF(CL1120&gt;0,CL1120*MAX(1,AO1120/X1120),IF(BW1120=1,IF(AO1120&lt;=0,0,CA1120*MAX(1,IF(H1120&gt;0,AO1120/H1120,1))),IF(R1120&gt;0,AP1120/R1120,0))/MAX(0.1,N(Parameter!$M$21)))</f>
        <v>0.0384615384615385</v>
      </c>
      <c r="AR1120" s="50" t="n">
        <f aca="false">AQ1120*BY1120</f>
        <v>9.42307692307692</v>
      </c>
      <c r="AS1120" s="50" t="n">
        <f aca="false">AO1120*G1120</f>
        <v>1058.22</v>
      </c>
      <c r="AT1120" s="50" t="n">
        <f aca="false">ROUNDUP(MAX(J1120/IF(CD1120&gt;0,CD1120,MAX(0.1,N(Cockpit!$I$6))),CG1120)/BV1120,0)*BV1120</f>
        <v>18</v>
      </c>
      <c r="AU1120" s="51" t="n">
        <f aca="false">IF(AR1120&gt;0,J1120/AR1120,-1)</f>
        <v>0.742857142857143</v>
      </c>
      <c r="AV1120" s="51" t="n">
        <f aca="false">IF(AND(OR(CC1120="L1",CC1120="L23",CC1120="LIFT"),AR1120&gt;0),SUMIFS($AR$7:$AR$1843,$CC$7:$CC$1843,CC1120,$AU$7:$AU$1843,"&gt;"&amp;AU1120)+SUMIFS($AR$7:$AR$1843,$CC$7:$CC$1843,CC1120,$AU$7:$AU$1843,AU1120,$BT$7:$BT$1843,"&lt;="&amp;BT1120),"")</f>
        <v>11498.9716117216</v>
      </c>
      <c r="AW1120" s="58" t="n">
        <f aca="false">IF(AV1120="",0,MAX(0,MIN(1,(IF(CC1120="L1",Parameter!$H$5,IF(CC1120="L23",Parameter!$H$6+Parameter!$H$7,Parameter!$H$5+Parameter!$H$6+Parameter!$H$7))-(AV1120-AR1120))/AR1120)))</f>
        <v>1</v>
      </c>
      <c r="AX1120" s="50" t="n">
        <f aca="false">IF(LEFT(Cockpit!$O$5,1)="A",H1120,IF(CE1120=1,CF1120,IF(LEFT(Cockpit!$O$5,1)="B",BC1120,MAX(BC1120,H1120))))</f>
        <v>18</v>
      </c>
      <c r="AY1120" s="50" t="n">
        <f aca="false">IF(BW1120=1,0,ROUNDUP(AX1120/BV1120,0))</f>
        <v>1</v>
      </c>
      <c r="AZ1120" s="52" t="n">
        <f aca="false">IF(CL1120&gt;0,CL1120*MAX(1,AX1120/X1120),IF(BW1120=1,IF(AX1120&lt;=0,0,CA1120*MAX(1,IF(H1120&gt;0,AX1120/H1120,1))),IF(R1120&gt;0,AY1120/R1120,0))/MAX(0.1,N(Parameter!$M$21)))</f>
        <v>0.0384615384615385</v>
      </c>
      <c r="BA1120" s="50" t="n">
        <f aca="false">AZ1120*BY1120</f>
        <v>9.42307692307692</v>
      </c>
      <c r="BB1120" s="50" t="n">
        <f aca="false">AX1120*G1120</f>
        <v>1058.22</v>
      </c>
      <c r="BC1120" s="50" t="n">
        <f aca="false">ROUNDUP(MAX(J1120/IF(CD1120&gt;0,CD1120,MAX(0.1,N(Cockpit!$O$6))),CG1120)/BV1120,0)*BV1120</f>
        <v>18</v>
      </c>
      <c r="BD1120" s="51" t="n">
        <f aca="false">IF(BA1120&gt;0,J1120/BA1120,-1)</f>
        <v>0.742857142857143</v>
      </c>
      <c r="BE1120" s="51" t="n">
        <f aca="false">IF(AND(OR(CC1120="L1",CC1120="L23",CC1120="LIFT"),BA1120&gt;0),SUMIFS($BA$7:$BA$1843,$CC$7:$CC$1843,CC1120,$BD$7:$BD$1843,"&gt;"&amp;BD1120)+SUMIFS($BA$7:$BA$1843,$CC$7:$CC$1843,CC1120,$BD$7:$BD$1843,BD1120,$BT$7:$BT$1843,"&lt;="&amp;BT1120),"")</f>
        <v>11098.7953296703</v>
      </c>
      <c r="BF1120" s="58" t="n">
        <f aca="false">IF(BE1120="",0,MAX(0,MIN(1,(IF(CC1120="L1",Parameter!$H$5,IF(CC1120="L23",Parameter!$H$6+Parameter!$H$7,Parameter!$H$5+Parameter!$H$6+Parameter!$H$7))-(BE1120-BA1120))/BA1120)))</f>
        <v>1</v>
      </c>
      <c r="BG1120" s="48" t="str">
        <f aca="false">IF(AI1120&lt;=0,"",IF(CC1120="Aussen","Aussenlager",IF(CC1120="-","Nicht im Lift",IF(AN1120&gt;=1,"Lift",IF(AN1120&lt;=0,"Aussenlager","teilweise")))))</f>
        <v>Lift</v>
      </c>
      <c r="BH1120" s="48" t="str">
        <f aca="false">IF(AR1120&lt;=0,"",IF(CC1120="Aussen","Aussenlager",IF(CC1120="-","Nicht im Lift",IF(AW1120&gt;=1,"Lift",IF(AW1120&lt;=0,"Aussenlager","teilweise")))))</f>
        <v>Lift</v>
      </c>
      <c r="BI1120" s="48" t="str">
        <f aca="false">IF(BA1120&lt;=0,"",IF(CC1120="Aussen","Aussenlager",IF(CC1120="-","Nicht im Lift",IF(BF1120&gt;=1,"Lift",IF(BF1120&lt;=0,"Aussenlager","teilweise")))))</f>
        <v>Lift</v>
      </c>
      <c r="BJ1120" s="48" t="str">
        <f aca="false">IF(A1120="","",IF(BS1120=1,"Neu; ","")&amp;IF(AND(BS1120=0,BN1120&lt;0),"negativer Bestand (Export "&amp;BN1120&amp;"); ","")&amp;IF(J1120&lt;=0,"Kein Verbrauch; ","")&amp;IF(CL1120&gt;0,"Lift "&amp;W1120&amp;" lt. Liftbericht (Fach "&amp;X1120&amp;" Stk); ",IF(BX1120=1,"Gebinde geschätzt ("&amp;T1120&amp;"); ",IF(BW1120=1,"Lose – Tablare geschätzt; ","")))&amp;IF(H1120&gt;AT1120,"Überbestand "&amp;ROUND(H1120-AT1120,0)&amp;" Stk / CHF "&amp;ROUND((H1120-AT1120)*G1120,0)&amp;"; ","")&amp;IF(AND(CE1120=1,CF1120&lt;CG1120),"MAX &lt; MB+LG; ","")&amp;IF(AND(CK1120&gt;0,CJ1120*10&gt;CK1120),"zu hoch für Tablar; ","")&amp;IF(AND(BS1120=0,OR(CE1120=1,AA1120&lt;&gt;"",U1120&lt;&gt;"",V1120&lt;&gt;"",AB1120&lt;&gt;"")),"manuell übersteuert; ","")&amp;IF(AND(BW1120=0,R1120=0),"Gebinde unbekannt / Stellmass fehlt; ","")&amp;IF(AND(BW1120=0,N(V1120)&lt;=0,N(Q1120)&lt;=0),"Menge pro Gebinde fehlt (Ist = 1 Gebinde); ","")&amp;BR1120)</f>
        <v>negativer Bestand (Export -4); Neu</v>
      </c>
      <c r="BK1120" s="48"/>
      <c r="BL1120" s="48"/>
      <c r="BM1120" s="55"/>
      <c r="BN1120" s="50" t="n">
        <v>-4</v>
      </c>
      <c r="BO1120" s="50" t="n">
        <v>10</v>
      </c>
      <c r="BP1120" s="49" t="n">
        <v>-241.06</v>
      </c>
      <c r="BQ1120" s="50" t="n">
        <v>7</v>
      </c>
      <c r="BR1120" s="48" t="s">
        <v>630</v>
      </c>
      <c r="BS1120" s="53" t="n">
        <v>0</v>
      </c>
      <c r="BT1120" s="53" t="n">
        <v>1120</v>
      </c>
      <c r="BU1120" s="48" t="str">
        <f aca="false">IF(U1120&lt;&gt;"",UPPER(TRIM(U1120)),IF(BX1120=1,UPPER(VLOOKUP(T1120,Parameter!$I$27:$K$29,2,0)),IF(P1120="","LOSE",P1120)))</f>
        <v>S52</v>
      </c>
      <c r="BV1120" s="50" t="n">
        <f aca="false">IF(BU1120="LOSE",1,IF(N(V1120)&gt;0,V1120,IF(BX1120=1,MAX(1,N(VLOOKUP(T1120,Parameter!$I$27:$K$29,3,0)),H1120,N(N1120)),IF(N(Q1120)&gt;0,Q1120,MAX(1,H1120)))))</f>
        <v>18</v>
      </c>
      <c r="BW1120" s="53" t="n">
        <f aca="false">IF(BU1120="LOSE",1,0)</f>
        <v>0</v>
      </c>
      <c r="BX1120" s="53" t="n">
        <f aca="false">IF(AND(U1120="",OR(P1120="",P1120="LOSE"),T1120&lt;&gt;"",N(S1120)&lt;=0,ISNUMBER(MATCH(T1120,Parameter!$I$27:$I$29,0))),1,0)</f>
        <v>0</v>
      </c>
      <c r="BY1120" s="53" t="n">
        <f aca="false">IF(CL1120&gt;0,INDEX(Parameter!$H$5:$H$7,W1120)/INDEX(Parameter!$E$5:$E$7,W1120),IF(AND(BW1120=0,N(IFERROR(VLOOKUP(BU1120,'Gebinde-Kategorie'!$A$5:$N$45,14,0),0))&gt;0),VLOOKUP(BU1120,'Gebinde-Kategorie'!$A$5:$N$45,14,0)*10+Parameter!$M$23,Parameter!$M$24))</f>
        <v>245</v>
      </c>
      <c r="BZ1120" s="48" t="str">
        <f aca="false">IF(AND(Parameter!$B$19="Ja",E1120&lt;&gt;"",ISNUMBER(MATCH(E1120,Parameter!$I$35:$I$52,0))),VLOOKUP(E1120,Parameter!$I$35:$J$52,2,0),IFERROR(VLOOKUP(D1120,Parameter!$A$35:$C$64,2,0),"Nein"))</f>
        <v>2+3</v>
      </c>
      <c r="CA1120" s="52" t="n">
        <f aca="false">IF(BW1120=0,0,IF(N(S1120)&gt;0,S1120,IFERROR(VLOOKUP(D1120,Parameter!$A$35:$C$64,3,0)+0,0)))</f>
        <v>0</v>
      </c>
      <c r="CB1120" s="48" t="n">
        <f aca="false">IF(AA1120&lt;&gt;"",AA1120,Z1120)</f>
        <v>3</v>
      </c>
      <c r="CC1120" s="48" t="str">
        <f aca="false">IF(OR(CB1120=1,CB1120=2,CB1120=3),IF(Parameter!$E$27="Ja","LIFT",IF(CB1120=1,"L1","L23")),IF(CB1120="Aussen","Aussen","-"))</f>
        <v>LIFT</v>
      </c>
      <c r="CD1120" s="59" t="n">
        <f aca="false">IF(N(AB1120)&gt;0,AB1120,0)</f>
        <v>0</v>
      </c>
      <c r="CE1120" s="53" t="n">
        <f aca="false">IF(ISNUMBER(AE1120),1,0)</f>
        <v>0</v>
      </c>
      <c r="CF1120" s="50" t="n">
        <f aca="false">N(AE1120)</f>
        <v>0</v>
      </c>
      <c r="CG1120" s="50" t="n">
        <f aca="false">N(M1120)+N(N1120)</f>
        <v>5</v>
      </c>
      <c r="CH1120" s="50" t="n">
        <f aca="false">ROUNDUP(H1120/BV1120,0)</f>
        <v>1</v>
      </c>
      <c r="CI1120" s="50" t="n">
        <f aca="false">ROUNDUP(CF1120/BV1120,0)</f>
        <v>0</v>
      </c>
      <c r="CJ1120" s="53" t="n">
        <f aca="false">IF(BW1120=1,0,IFERROR(VLOOKUP(BU1120,'Gebinde-Kategorie'!$A$5:$N$45,5,0)+0,0))</f>
        <v>21</v>
      </c>
      <c r="CK1120" s="53" t="n">
        <f aca="false">IFERROR(IF(OR(CB1120=1,CB1120=2,CB1120=3),N(INDEX(Parameter!$I$5:$I$7,CB1120)),0),0)</f>
        <v>0</v>
      </c>
      <c r="CL1120" s="52" t="n">
        <f aca="false">IF(AND(Parameter!$B$21="Ja",ISNUMBER(W1120),N(X1120)&gt;0),IFERROR(N(INDEX(Parameter!$L$5:$L$7,W1120))*INDEX(Parameter!$E$5:$E$7,W1120)*X1120/SUMIFS($X$7:$X$1843,$W$7:$W$1843,W1120),0),0)</f>
        <v>0</v>
      </c>
    </row>
    <row r="1121" customFormat="false" ht="15" hidden="false" customHeight="false" outlineLevel="0" collapsed="false">
      <c r="A1121" s="48" t="s">
        <v>2036</v>
      </c>
      <c r="B1121" s="48" t="s">
        <v>409</v>
      </c>
      <c r="C1121" s="48" t="s">
        <v>168</v>
      </c>
      <c r="D1121" s="48" t="s">
        <v>177</v>
      </c>
      <c r="E1121" s="48" t="s">
        <v>189</v>
      </c>
      <c r="F1121" s="48" t="s">
        <v>222</v>
      </c>
      <c r="G1121" s="49" t="n">
        <v>0.32</v>
      </c>
      <c r="H1121" s="50" t="n">
        <f aca="false">MAX(0,IF(AND(Parameter!$B$21="Ja",ISNUMBER(Y1121)),Y1121,IF(Parameter!$B$20="Jahresanfang 2025 + Export",BO1121+BN1121,BN1121)))</f>
        <v>984</v>
      </c>
      <c r="I1121" s="50" t="n">
        <f aca="false">H1121*G1121</f>
        <v>314.88</v>
      </c>
      <c r="J1121" s="50" t="n">
        <f aca="false">BQ1121*Parameter!$B$18</f>
        <v>3771</v>
      </c>
      <c r="K1121" s="51" t="n">
        <v>2367</v>
      </c>
      <c r="L1121" s="52" t="n">
        <v>1.59315589353612</v>
      </c>
      <c r="M1121" s="50" t="n">
        <v>219</v>
      </c>
      <c r="N1121" s="50" t="n">
        <v>500</v>
      </c>
      <c r="O1121" s="53" t="n">
        <v>21</v>
      </c>
      <c r="P1121" s="48" t="s">
        <v>178</v>
      </c>
      <c r="Q1121" s="50" t="n">
        <v>1000</v>
      </c>
      <c r="R1121" s="53" t="n">
        <f aca="false">IF(BW1121=1,0,IFERROR(VLOOKUP(BU1121,'Gebinde-Kategorie'!$A$5:$N$45,13,0)+0,0))</f>
        <v>6</v>
      </c>
      <c r="S1121" s="54"/>
      <c r="T1121" s="55"/>
      <c r="U1121" s="55"/>
      <c r="V1121" s="55"/>
      <c r="W1121" s="48"/>
      <c r="X1121" s="50"/>
      <c r="Y1121" s="50"/>
      <c r="Z1121" s="48" t="n">
        <f aca="false">IF(A1121="","",IF(AND(Parameter!$B$21="Ja",ISNUMBER(W1121)),W1121,IF(BZ1121="2+3",IF(ISNUMBER(SEARCH("grosser Artikel",BR1121)),2,IFERROR(VLOOKUP(BU1121,Parameter!$F$35:$G$64,2,0),2)),IF(OR(BZ1121="Nein",BZ1121=""),"-",BZ1121))))</f>
        <v>2</v>
      </c>
      <c r="AA1121" s="55"/>
      <c r="AB1121" s="56"/>
      <c r="AC1121" s="50" t="n">
        <f aca="false">AT1121</f>
        <v>2000</v>
      </c>
      <c r="AD1121" s="50" t="n">
        <f aca="false">MAX(AT1121,H1121)</f>
        <v>2000</v>
      </c>
      <c r="AE1121" s="57"/>
      <c r="AF1121" s="50" t="n">
        <f aca="false">IF(LEFT(Cockpit!$C$5,1)="A",H1121,IF(CE1121=1,CF1121,IF(LEFT(Cockpit!$C$5,1)="B",AK1121,MAX(AK1121,H1121))))</f>
        <v>984</v>
      </c>
      <c r="AG1121" s="50" t="n">
        <f aca="false">IF(BW1121=1,0,ROUNDUP(AF1121/BV1121,0))</f>
        <v>1</v>
      </c>
      <c r="AH1121" s="52" t="n">
        <f aca="false">IF(CL1121&gt;0,CL1121*MAX(1,AF1121/X1121),IF(BW1121=1,IF(AF1121&lt;=0,0,CA1121*MAX(1,IF(H1121&gt;0,AF1121/H1121,1))),IF(R1121&gt;0,AG1121/R1121,0))/MAX(0.1,N(Parameter!$M$21)))</f>
        <v>0.166666666666667</v>
      </c>
      <c r="AI1121" s="50" t="n">
        <f aca="false">AH1121*BY1121</f>
        <v>39.1666666666667</v>
      </c>
      <c r="AJ1121" s="50" t="n">
        <f aca="false">AF1121*G1121</f>
        <v>314.88</v>
      </c>
      <c r="AK1121" s="50" t="n">
        <f aca="false">ROUNDUP(MAX(J1121/IF(CD1121&gt;0,CD1121,MAX(0.1,N(Cockpit!$C$6))),CG1121)/BV1121,0)*BV1121</f>
        <v>2000</v>
      </c>
      <c r="AL1121" s="51" t="n">
        <f aca="false">IF(AI1121&gt;0,J1121/AI1121,-1)</f>
        <v>96.2808510638298</v>
      </c>
      <c r="AM1121" s="51" t="n">
        <f aca="false">IF(AND(OR(CC1121="L1",CC1121="L23",CC1121="LIFT"),AI1121&gt;0),SUMIFS($AI$7:$AI$1843,$CC$7:$CC$1843,CC1121,$AL$7:$AL$1843,"&gt;"&amp;AL1121)+SUMIFS($AI$7:$AI$1843,$CC$7:$CC$1843,CC1121,$AL$7:$AL$1843,AL1121,$BT$7:$BT$1843,"&lt;="&amp;BT1121),"")</f>
        <v>808.07967032967</v>
      </c>
      <c r="AN1121" s="58" t="n">
        <f aca="false">IF(AM1121="",0,MAX(0,MIN(1,(IF(CC1121="L1",Parameter!$H$5,IF(CC1121="L23",Parameter!$H$6+Parameter!$H$7,Parameter!$H$5+Parameter!$H$6+Parameter!$H$7))-(AM1121-AI1121))/AI1121)))</f>
        <v>1</v>
      </c>
      <c r="AO1121" s="50" t="n">
        <f aca="false">IF(LEFT(Cockpit!$I$5,1)="A",H1121,IF(CE1121=1,CF1121,IF(LEFT(Cockpit!$I$5,1)="B",AT1121,MAX(AT1121,H1121))))</f>
        <v>2000</v>
      </c>
      <c r="AP1121" s="50" t="n">
        <f aca="false">IF(BW1121=1,0,ROUNDUP(AO1121/BV1121,0))</f>
        <v>2</v>
      </c>
      <c r="AQ1121" s="52" t="n">
        <f aca="false">IF(CL1121&gt;0,CL1121*MAX(1,AO1121/X1121),IF(BW1121=1,IF(AO1121&lt;=0,0,CA1121*MAX(1,IF(H1121&gt;0,AO1121/H1121,1))),IF(R1121&gt;0,AP1121/R1121,0))/MAX(0.1,N(Parameter!$M$21)))</f>
        <v>0.333333333333333</v>
      </c>
      <c r="AR1121" s="50" t="n">
        <f aca="false">AQ1121*BY1121</f>
        <v>78.3333333333333</v>
      </c>
      <c r="AS1121" s="50" t="n">
        <f aca="false">AO1121*G1121</f>
        <v>640</v>
      </c>
      <c r="AT1121" s="50" t="n">
        <f aca="false">ROUNDUP(MAX(J1121/IF(CD1121&gt;0,CD1121,MAX(0.1,N(Cockpit!$I$6))),CG1121)/BV1121,0)*BV1121</f>
        <v>2000</v>
      </c>
      <c r="AU1121" s="51" t="n">
        <f aca="false">IF(AR1121&gt;0,J1121/AR1121,-1)</f>
        <v>48.1404255319149</v>
      </c>
      <c r="AV1121" s="51" t="n">
        <f aca="false">IF(AND(OR(CC1121="L1",CC1121="L23",CC1121="LIFT"),AR1121&gt;0),SUMIFS($AR$7:$AR$1843,$CC$7:$CC$1843,CC1121,$AU$7:$AU$1843,"&gt;"&amp;AU1121)+SUMIFS($AR$7:$AR$1843,$CC$7:$CC$1843,CC1121,$AU$7:$AU$1843,AU1121,$BT$7:$BT$1843,"&lt;="&amp;BT1121),"")</f>
        <v>1604.28388278388</v>
      </c>
      <c r="AW1121" s="58" t="n">
        <f aca="false">IF(AV1121="",0,MAX(0,MIN(1,(IF(CC1121="L1",Parameter!$H$5,IF(CC1121="L23",Parameter!$H$6+Parameter!$H$7,Parameter!$H$5+Parameter!$H$6+Parameter!$H$7))-(AV1121-AR1121))/AR1121)))</f>
        <v>1</v>
      </c>
      <c r="AX1121" s="50" t="n">
        <f aca="false">IF(LEFT(Cockpit!$O$5,1)="A",H1121,IF(CE1121=1,CF1121,IF(LEFT(Cockpit!$O$5,1)="B",BC1121,MAX(BC1121,H1121))))</f>
        <v>2000</v>
      </c>
      <c r="AY1121" s="50" t="n">
        <f aca="false">IF(BW1121=1,0,ROUNDUP(AX1121/BV1121,0))</f>
        <v>2</v>
      </c>
      <c r="AZ1121" s="52" t="n">
        <f aca="false">IF(CL1121&gt;0,CL1121*MAX(1,AX1121/X1121),IF(BW1121=1,IF(AX1121&lt;=0,0,CA1121*MAX(1,IF(H1121&gt;0,AX1121/H1121,1))),IF(R1121&gt;0,AY1121/R1121,0))/MAX(0.1,N(Parameter!$M$21)))</f>
        <v>0.333333333333333</v>
      </c>
      <c r="BA1121" s="50" t="n">
        <f aca="false">AZ1121*BY1121</f>
        <v>78.3333333333333</v>
      </c>
      <c r="BB1121" s="50" t="n">
        <f aca="false">AX1121*G1121</f>
        <v>640</v>
      </c>
      <c r="BC1121" s="50" t="n">
        <f aca="false">ROUNDUP(MAX(J1121/IF(CD1121&gt;0,CD1121,MAX(0.1,N(Cockpit!$O$6))),CG1121)/BV1121,0)*BV1121</f>
        <v>2000</v>
      </c>
      <c r="BD1121" s="51" t="n">
        <f aca="false">IF(BA1121&gt;0,J1121/BA1121,-1)</f>
        <v>48.1404255319149</v>
      </c>
      <c r="BE1121" s="51" t="n">
        <f aca="false">IF(AND(OR(CC1121="L1",CC1121="L23",CC1121="LIFT"),BA1121&gt;0),SUMIFS($BA$7:$BA$1843,$CC$7:$CC$1843,CC1121,$BD$7:$BD$1843,"&gt;"&amp;BD1121)+SUMIFS($BA$7:$BA$1843,$CC$7:$CC$1843,CC1121,$BD$7:$BD$1843,BD1121,$BT$7:$BT$1843,"&lt;="&amp;BT1121),"")</f>
        <v>1431.51144688645</v>
      </c>
      <c r="BF1121" s="58" t="n">
        <f aca="false">IF(BE1121="",0,MAX(0,MIN(1,(IF(CC1121="L1",Parameter!$H$5,IF(CC1121="L23",Parameter!$H$6+Parameter!$H$7,Parameter!$H$5+Parameter!$H$6+Parameter!$H$7))-(BE1121-BA1121))/BA1121)))</f>
        <v>1</v>
      </c>
      <c r="BG1121" s="48" t="str">
        <f aca="false">IF(AI1121&lt;=0,"",IF(CC1121="Aussen","Aussenlager",IF(CC1121="-","Nicht im Lift",IF(AN1121&gt;=1,"Lift",IF(AN1121&lt;=0,"Aussenlager","teilweise")))))</f>
        <v>Lift</v>
      </c>
      <c r="BH1121" s="48" t="str">
        <f aca="false">IF(AR1121&lt;=0,"",IF(CC1121="Aussen","Aussenlager",IF(CC1121="-","Nicht im Lift",IF(AW1121&gt;=1,"Lift",IF(AW1121&lt;=0,"Aussenlager","teilweise")))))</f>
        <v>Lift</v>
      </c>
      <c r="BI1121" s="48" t="str">
        <f aca="false">IF(BA1121&lt;=0,"",IF(CC1121="Aussen","Aussenlager",IF(CC1121="-","Nicht im Lift",IF(BF1121&gt;=1,"Lift",IF(BF1121&lt;=0,"Aussenlager","teilweise")))))</f>
        <v>Lift</v>
      </c>
      <c r="BJ1121" s="48" t="str">
        <f aca="false">IF(A1121="","",IF(BS1121=1,"Neu; ","")&amp;IF(AND(BS1121=0,BN1121&lt;0),"negativer Bestand (Export "&amp;BN1121&amp;"); ","")&amp;IF(J1121&lt;=0,"Kein Verbrauch; ","")&amp;IF(CL1121&gt;0,"Lift "&amp;W1121&amp;" lt. Liftbericht (Fach "&amp;X1121&amp;" Stk); ",IF(BX1121=1,"Gebinde geschätzt ("&amp;T1121&amp;"); ",IF(BW1121=1,"Lose – Tablare geschätzt; ","")))&amp;IF(H1121&gt;AT1121,"Überbestand "&amp;ROUND(H1121-AT1121,0)&amp;" Stk / CHF "&amp;ROUND((H1121-AT1121)*G1121,0)&amp;"; ","")&amp;IF(AND(CE1121=1,CF1121&lt;CG1121),"MAX &lt; MB+LG; ","")&amp;IF(AND(CK1121&gt;0,CJ1121*10&gt;CK1121),"zu hoch für Tablar; ","")&amp;IF(AND(BS1121=0,OR(CE1121=1,AA1121&lt;&gt;"",U1121&lt;&gt;"",V1121&lt;&gt;"",AB1121&lt;&gt;"")),"manuell übersteuert; ","")&amp;IF(AND(BW1121=0,R1121=0),"Gebinde unbekannt / Stellmass fehlt; ","")&amp;IF(AND(BW1121=0,N(V1121)&lt;=0,N(Q1121)&lt;=0),"Menge pro Gebinde fehlt (Ist = 1 Gebinde); ","")&amp;BR1121)</f>
        <v>negativer Bestand (Export -809); </v>
      </c>
      <c r="BK1121" s="48"/>
      <c r="BL1121" s="48"/>
      <c r="BM1121" s="55"/>
      <c r="BN1121" s="50" t="n">
        <v>-809</v>
      </c>
      <c r="BO1121" s="50" t="n">
        <v>1793</v>
      </c>
      <c r="BP1121" s="49" t="n">
        <v>-241.2</v>
      </c>
      <c r="BQ1121" s="50" t="n">
        <v>3771</v>
      </c>
      <c r="BR1121" s="48"/>
      <c r="BS1121" s="53" t="n">
        <v>0</v>
      </c>
      <c r="BT1121" s="53" t="n">
        <v>1121</v>
      </c>
      <c r="BU1121" s="48" t="str">
        <f aca="false">IF(U1121&lt;&gt;"",UPPER(TRIM(U1121)),IF(BX1121=1,UPPER(VLOOKUP(T1121,Parameter!$I$27:$K$29,2,0)),IF(P1121="","LOSE",P1121)))</f>
        <v>S71</v>
      </c>
      <c r="BV1121" s="50" t="n">
        <f aca="false">IF(BU1121="LOSE",1,IF(N(V1121)&gt;0,V1121,IF(BX1121=1,MAX(1,N(VLOOKUP(T1121,Parameter!$I$27:$K$29,3,0)),H1121,N(N1121)),IF(N(Q1121)&gt;0,Q1121,MAX(1,H1121)))))</f>
        <v>1000</v>
      </c>
      <c r="BW1121" s="53" t="n">
        <f aca="false">IF(BU1121="LOSE",1,0)</f>
        <v>0</v>
      </c>
      <c r="BX1121" s="53" t="n">
        <f aca="false">IF(AND(U1121="",OR(P1121="",P1121="LOSE"),T1121&lt;&gt;"",N(S1121)&lt;=0,ISNUMBER(MATCH(T1121,Parameter!$I$27:$I$29,0))),1,0)</f>
        <v>0</v>
      </c>
      <c r="BY1121" s="53" t="n">
        <f aca="false">IF(CL1121&gt;0,INDEX(Parameter!$H$5:$H$7,W1121)/INDEX(Parameter!$E$5:$E$7,W1121),IF(AND(BW1121=0,N(IFERROR(VLOOKUP(BU1121,'Gebinde-Kategorie'!$A$5:$N$45,14,0),0))&gt;0),VLOOKUP(BU1121,'Gebinde-Kategorie'!$A$5:$N$45,14,0)*10+Parameter!$M$23,Parameter!$M$24))</f>
        <v>235</v>
      </c>
      <c r="BZ1121" s="48" t="str">
        <f aca="false">IF(AND(Parameter!$B$19="Ja",E1121&lt;&gt;"",ISNUMBER(MATCH(E1121,Parameter!$I$35:$I$52,0))),VLOOKUP(E1121,Parameter!$I$35:$J$52,2,0),IFERROR(VLOOKUP(D1121,Parameter!$A$35:$C$64,2,0),"Nein"))</f>
        <v>2+3</v>
      </c>
      <c r="CA1121" s="52" t="n">
        <f aca="false">IF(BW1121=0,0,IF(N(S1121)&gt;0,S1121,IFERROR(VLOOKUP(D1121,Parameter!$A$35:$C$64,3,0)+0,0)))</f>
        <v>0</v>
      </c>
      <c r="CB1121" s="48" t="n">
        <f aca="false">IF(AA1121&lt;&gt;"",AA1121,Z1121)</f>
        <v>2</v>
      </c>
      <c r="CC1121" s="48" t="str">
        <f aca="false">IF(OR(CB1121=1,CB1121=2,CB1121=3),IF(Parameter!$E$27="Ja","LIFT",IF(CB1121=1,"L1","L23")),IF(CB1121="Aussen","Aussen","-"))</f>
        <v>LIFT</v>
      </c>
      <c r="CD1121" s="59" t="n">
        <f aca="false">IF(N(AB1121)&gt;0,AB1121,0)</f>
        <v>0</v>
      </c>
      <c r="CE1121" s="53" t="n">
        <f aca="false">IF(ISNUMBER(AE1121),1,0)</f>
        <v>0</v>
      </c>
      <c r="CF1121" s="50" t="n">
        <f aca="false">N(AE1121)</f>
        <v>0</v>
      </c>
      <c r="CG1121" s="50" t="n">
        <f aca="false">N(M1121)+N(N1121)</f>
        <v>719</v>
      </c>
      <c r="CH1121" s="50" t="n">
        <f aca="false">ROUNDUP(H1121/BV1121,0)</f>
        <v>1</v>
      </c>
      <c r="CI1121" s="50" t="n">
        <f aca="false">ROUNDUP(CF1121/BV1121,0)</f>
        <v>0</v>
      </c>
      <c r="CJ1121" s="53" t="n">
        <f aca="false">IF(BW1121=1,0,IFERROR(VLOOKUP(BU1121,'Gebinde-Kategorie'!$A$5:$N$45,5,0)+0,0))</f>
        <v>20</v>
      </c>
      <c r="CK1121" s="53" t="n">
        <f aca="false">IFERROR(IF(OR(CB1121=1,CB1121=2,CB1121=3),N(INDEX(Parameter!$I$5:$I$7,CB1121)),0),0)</f>
        <v>0</v>
      </c>
      <c r="CL1121" s="52" t="n">
        <f aca="false">IF(AND(Parameter!$B$21="Ja",ISNUMBER(W1121),N(X1121)&gt;0),IFERROR(N(INDEX(Parameter!$L$5:$L$7,W1121))*INDEX(Parameter!$E$5:$E$7,W1121)*X1121/SUMIFS($X$7:$X$1843,$W$7:$W$1843,W1121),0),0)</f>
        <v>0</v>
      </c>
    </row>
    <row r="1122" customFormat="false" ht="15" hidden="false" customHeight="false" outlineLevel="0" collapsed="false">
      <c r="A1122" s="48" t="s">
        <v>2037</v>
      </c>
      <c r="B1122" s="48" t="s">
        <v>2038</v>
      </c>
      <c r="C1122" s="48" t="s">
        <v>168</v>
      </c>
      <c r="D1122" s="48" t="s">
        <v>188</v>
      </c>
      <c r="E1122" s="48" t="s">
        <v>189</v>
      </c>
      <c r="F1122" s="48" t="s">
        <v>222</v>
      </c>
      <c r="G1122" s="49" t="n">
        <v>20.38</v>
      </c>
      <c r="H1122" s="50" t="n">
        <f aca="false">MAX(0,IF(AND(Parameter!$B$21="Ja",ISNUMBER(Y1122)),Y1122,IF(Parameter!$B$20="Jahresanfang 2025 + Export",BO1122+BN1122,BN1122)))</f>
        <v>74</v>
      </c>
      <c r="I1122" s="50" t="n">
        <f aca="false">H1122*G1122</f>
        <v>1508.12</v>
      </c>
      <c r="J1122" s="50" t="n">
        <f aca="false">BQ1122*Parameter!$B$18</f>
        <v>8</v>
      </c>
      <c r="K1122" s="51" t="n">
        <v>82</v>
      </c>
      <c r="L1122" s="52" t="n">
        <v>0.0975609756097561</v>
      </c>
      <c r="M1122" s="50" t="n">
        <v>0</v>
      </c>
      <c r="N1122" s="50" t="n">
        <v>10</v>
      </c>
      <c r="O1122" s="53" t="n">
        <v>28</v>
      </c>
      <c r="P1122" s="48" t="s">
        <v>332</v>
      </c>
      <c r="Q1122" s="50" t="n">
        <v>94</v>
      </c>
      <c r="R1122" s="53" t="n">
        <f aca="false">IF(BW1122=1,0,IFERROR(VLOOKUP(BU1122,'Gebinde-Kategorie'!$A$5:$N$45,13,0)+0,0))</f>
        <v>52</v>
      </c>
      <c r="S1122" s="54"/>
      <c r="T1122" s="55"/>
      <c r="U1122" s="55"/>
      <c r="V1122" s="55"/>
      <c r="W1122" s="48"/>
      <c r="X1122" s="50"/>
      <c r="Y1122" s="50"/>
      <c r="Z1122" s="48" t="n">
        <f aca="false">IF(A1122="","",IF(AND(Parameter!$B$21="Ja",ISNUMBER(W1122)),W1122,IF(BZ1122="2+3",IF(ISNUMBER(SEARCH("grosser Artikel",BR1122)),2,IFERROR(VLOOKUP(BU1122,Parameter!$F$35:$G$64,2,0),2)),IF(OR(BZ1122="Nein",BZ1122=""),"-",BZ1122))))</f>
        <v>3</v>
      </c>
      <c r="AA1122" s="55"/>
      <c r="AB1122" s="56"/>
      <c r="AC1122" s="50" t="n">
        <f aca="false">AT1122</f>
        <v>94</v>
      </c>
      <c r="AD1122" s="50" t="n">
        <f aca="false">MAX(AT1122,H1122)</f>
        <v>94</v>
      </c>
      <c r="AE1122" s="57"/>
      <c r="AF1122" s="50" t="n">
        <f aca="false">IF(LEFT(Cockpit!$C$5,1)="A",H1122,IF(CE1122=1,CF1122,IF(LEFT(Cockpit!$C$5,1)="B",AK1122,MAX(AK1122,H1122))))</f>
        <v>74</v>
      </c>
      <c r="AG1122" s="50" t="n">
        <f aca="false">IF(BW1122=1,0,ROUNDUP(AF1122/BV1122,0))</f>
        <v>1</v>
      </c>
      <c r="AH1122" s="52" t="n">
        <f aca="false">IF(CL1122&gt;0,CL1122*MAX(1,AF1122/X1122),IF(BW1122=1,IF(AF1122&lt;=0,0,CA1122*MAX(1,IF(H1122&gt;0,AF1122/H1122,1))),IF(R1122&gt;0,AG1122/R1122,0))/MAX(0.1,N(Parameter!$M$21)))</f>
        <v>0.0192307692307692</v>
      </c>
      <c r="AI1122" s="50" t="n">
        <f aca="false">AH1122*BY1122</f>
        <v>2.98076923076923</v>
      </c>
      <c r="AJ1122" s="50" t="n">
        <f aca="false">AF1122*G1122</f>
        <v>1508.12</v>
      </c>
      <c r="AK1122" s="50" t="n">
        <f aca="false">ROUNDUP(MAX(J1122/IF(CD1122&gt;0,CD1122,MAX(0.1,N(Cockpit!$C$6))),CG1122)/BV1122,0)*BV1122</f>
        <v>94</v>
      </c>
      <c r="AL1122" s="51" t="n">
        <f aca="false">IF(AI1122&gt;0,J1122/AI1122,-1)</f>
        <v>2.68387096774194</v>
      </c>
      <c r="AM1122" s="51" t="n">
        <f aca="false">IF(AND(OR(CC1122="L1",CC1122="L23",CC1122="LIFT"),AI1122&gt;0),SUMIFS($AI$7:$AI$1843,$CC$7:$CC$1843,CC1122,$AL$7:$AL$1843,"&gt;"&amp;AL1122)+SUMIFS($AI$7:$AI$1843,$CC$7:$CC$1843,CC1122,$AL$7:$AL$1843,AL1122,$BT$7:$BT$1843,"&lt;="&amp;BT1122),"")</f>
        <v>5345.81364468865</v>
      </c>
      <c r="AN1122" s="58" t="n">
        <f aca="false">IF(AM1122="",0,MAX(0,MIN(1,(IF(CC1122="L1",Parameter!$H$5,IF(CC1122="L23",Parameter!$H$6+Parameter!$H$7,Parameter!$H$5+Parameter!$H$6+Parameter!$H$7))-(AM1122-AI1122))/AI1122)))</f>
        <v>1</v>
      </c>
      <c r="AO1122" s="50" t="n">
        <f aca="false">IF(LEFT(Cockpit!$I$5,1)="A",H1122,IF(CE1122=1,CF1122,IF(LEFT(Cockpit!$I$5,1)="B",AT1122,MAX(AT1122,H1122))))</f>
        <v>94</v>
      </c>
      <c r="AP1122" s="50" t="n">
        <f aca="false">IF(BW1122=1,0,ROUNDUP(AO1122/BV1122,0))</f>
        <v>1</v>
      </c>
      <c r="AQ1122" s="52" t="n">
        <f aca="false">IF(CL1122&gt;0,CL1122*MAX(1,AO1122/X1122),IF(BW1122=1,IF(AO1122&lt;=0,0,CA1122*MAX(1,IF(H1122&gt;0,AO1122/H1122,1))),IF(R1122&gt;0,AP1122/R1122,0))/MAX(0.1,N(Parameter!$M$21)))</f>
        <v>0.0192307692307692</v>
      </c>
      <c r="AR1122" s="50" t="n">
        <f aca="false">AQ1122*BY1122</f>
        <v>2.98076923076923</v>
      </c>
      <c r="AS1122" s="50" t="n">
        <f aca="false">AO1122*G1122</f>
        <v>1915.72</v>
      </c>
      <c r="AT1122" s="50" t="n">
        <f aca="false">ROUNDUP(MAX(J1122/IF(CD1122&gt;0,CD1122,MAX(0.1,N(Cockpit!$I$6))),CG1122)/BV1122,0)*BV1122</f>
        <v>94</v>
      </c>
      <c r="AU1122" s="51" t="n">
        <f aca="false">IF(AR1122&gt;0,J1122/AR1122,-1)</f>
        <v>2.68387096774194</v>
      </c>
      <c r="AV1122" s="51" t="n">
        <f aca="false">IF(AND(OR(CC1122="L1",CC1122="L23",CC1122="LIFT"),AR1122&gt;0),SUMIFS($AR$7:$AR$1843,$CC$7:$CC$1843,CC1122,$AU$7:$AU$1843,"&gt;"&amp;AU1122)+SUMIFS($AR$7:$AR$1843,$CC$7:$CC$1843,CC1122,$AU$7:$AU$1843,AU1122,$BT$7:$BT$1843,"&lt;="&amp;BT1122),"")</f>
        <v>6724.03159340659</v>
      </c>
      <c r="AW1122" s="58" t="n">
        <f aca="false">IF(AV1122="",0,MAX(0,MIN(1,(IF(CC1122="L1",Parameter!$H$5,IF(CC1122="L23",Parameter!$H$6+Parameter!$H$7,Parameter!$H$5+Parameter!$H$6+Parameter!$H$7))-(AV1122-AR1122))/AR1122)))</f>
        <v>1</v>
      </c>
      <c r="AX1122" s="50" t="n">
        <f aca="false">IF(LEFT(Cockpit!$O$5,1)="A",H1122,IF(CE1122=1,CF1122,IF(LEFT(Cockpit!$O$5,1)="B",BC1122,MAX(BC1122,H1122))))</f>
        <v>94</v>
      </c>
      <c r="AY1122" s="50" t="n">
        <f aca="false">IF(BW1122=1,0,ROUNDUP(AX1122/BV1122,0))</f>
        <v>1</v>
      </c>
      <c r="AZ1122" s="52" t="n">
        <f aca="false">IF(CL1122&gt;0,CL1122*MAX(1,AX1122/X1122),IF(BW1122=1,IF(AX1122&lt;=0,0,CA1122*MAX(1,IF(H1122&gt;0,AX1122/H1122,1))),IF(R1122&gt;0,AY1122/R1122,0))/MAX(0.1,N(Parameter!$M$21)))</f>
        <v>0.0192307692307692</v>
      </c>
      <c r="BA1122" s="50" t="n">
        <f aca="false">AZ1122*BY1122</f>
        <v>2.98076923076923</v>
      </c>
      <c r="BB1122" s="50" t="n">
        <f aca="false">AX1122*G1122</f>
        <v>1915.72</v>
      </c>
      <c r="BC1122" s="50" t="n">
        <f aca="false">ROUNDUP(MAX(J1122/IF(CD1122&gt;0,CD1122,MAX(0.1,N(Cockpit!$O$6))),CG1122)/BV1122,0)*BV1122</f>
        <v>94</v>
      </c>
      <c r="BD1122" s="51" t="n">
        <f aca="false">IF(BA1122&gt;0,J1122/BA1122,-1)</f>
        <v>2.68387096774194</v>
      </c>
      <c r="BE1122" s="51" t="n">
        <f aca="false">IF(AND(OR(CC1122="L1",CC1122="L23",CC1122="LIFT"),BA1122&gt;0),SUMIFS($BA$7:$BA$1843,$CC$7:$CC$1843,CC1122,$BD$7:$BD$1843,"&gt;"&amp;BD1122)+SUMIFS($BA$7:$BA$1843,$CC$7:$CC$1843,CC1122,$BD$7:$BD$1843,BD1122,$BT$7:$BT$1843,"&lt;="&amp;BT1122),"")</f>
        <v>6507.18864468865</v>
      </c>
      <c r="BF1122" s="58" t="n">
        <f aca="false">IF(BE1122="",0,MAX(0,MIN(1,(IF(CC1122="L1",Parameter!$H$5,IF(CC1122="L23",Parameter!$H$6+Parameter!$H$7,Parameter!$H$5+Parameter!$H$6+Parameter!$H$7))-(BE1122-BA1122))/BA1122)))</f>
        <v>1</v>
      </c>
      <c r="BG1122" s="48" t="str">
        <f aca="false">IF(AI1122&lt;=0,"",IF(CC1122="Aussen","Aussenlager",IF(CC1122="-","Nicht im Lift",IF(AN1122&gt;=1,"Lift",IF(AN1122&lt;=0,"Aussenlager","teilweise")))))</f>
        <v>Lift</v>
      </c>
      <c r="BH1122" s="48" t="str">
        <f aca="false">IF(AR1122&lt;=0,"",IF(CC1122="Aussen","Aussenlager",IF(CC1122="-","Nicht im Lift",IF(AW1122&gt;=1,"Lift",IF(AW1122&lt;=0,"Aussenlager","teilweise")))))</f>
        <v>Lift</v>
      </c>
      <c r="BI1122" s="48" t="str">
        <f aca="false">IF(BA1122&lt;=0,"",IF(CC1122="Aussen","Aussenlager",IF(CC1122="-","Nicht im Lift",IF(BF1122&gt;=1,"Lift",IF(BF1122&lt;=0,"Aussenlager","teilweise")))))</f>
        <v>Lift</v>
      </c>
      <c r="BJ1122" s="48" t="str">
        <f aca="false">IF(A1122="","",IF(BS1122=1,"Neu; ","")&amp;IF(AND(BS1122=0,BN1122&lt;0),"negativer Bestand (Export "&amp;BN1122&amp;"); ","")&amp;IF(J1122&lt;=0,"Kein Verbrauch; ","")&amp;IF(CL1122&gt;0,"Lift "&amp;W1122&amp;" lt. Liftbericht (Fach "&amp;X1122&amp;" Stk); ",IF(BX1122=1,"Gebinde geschätzt ("&amp;T1122&amp;"); ",IF(BW1122=1,"Lose – Tablare geschätzt; ","")))&amp;IF(H1122&gt;AT1122,"Überbestand "&amp;ROUND(H1122-AT1122,0)&amp;" Stk / CHF "&amp;ROUND((H1122-AT1122)*G1122,0)&amp;"; ","")&amp;IF(AND(CE1122=1,CF1122&lt;CG1122),"MAX &lt; MB+LG; ","")&amp;IF(AND(CK1122&gt;0,CJ1122*10&gt;CK1122),"zu hoch für Tablar; ","")&amp;IF(AND(BS1122=0,OR(CE1122=1,AA1122&lt;&gt;"",U1122&lt;&gt;"",V1122&lt;&gt;"",AB1122&lt;&gt;"")),"manuell übersteuert; ","")&amp;IF(AND(BW1122=0,R1122=0),"Gebinde unbekannt / Stellmass fehlt; ","")&amp;IF(AND(BW1122=0,N(V1122)&lt;=0,N(Q1122)&lt;=0),"Menge pro Gebinde fehlt (Ist = 1 Gebinde); ","")&amp;BR1122)</f>
        <v>negativer Bestand (Export -12); </v>
      </c>
      <c r="BK1122" s="48"/>
      <c r="BL1122" s="48"/>
      <c r="BM1122" s="55"/>
      <c r="BN1122" s="50" t="n">
        <v>-12</v>
      </c>
      <c r="BO1122" s="50" t="n">
        <v>86</v>
      </c>
      <c r="BP1122" s="49" t="n">
        <v>-244.56</v>
      </c>
      <c r="BQ1122" s="50" t="n">
        <v>8</v>
      </c>
      <c r="BR1122" s="48"/>
      <c r="BS1122" s="53" t="n">
        <v>0</v>
      </c>
      <c r="BT1122" s="53" t="n">
        <v>1122</v>
      </c>
      <c r="BU1122" s="48" t="str">
        <f aca="false">IF(U1122&lt;&gt;"",UPPER(TRIM(U1122)),IF(BX1122=1,UPPER(VLOOKUP(T1122,Parameter!$I$27:$K$29,2,0)),IF(P1122="","LOSE",P1122)))</f>
        <v>S41</v>
      </c>
      <c r="BV1122" s="50" t="n">
        <f aca="false">IF(BU1122="LOSE",1,IF(N(V1122)&gt;0,V1122,IF(BX1122=1,MAX(1,N(VLOOKUP(T1122,Parameter!$I$27:$K$29,3,0)),H1122,N(N1122)),IF(N(Q1122)&gt;0,Q1122,MAX(1,H1122)))))</f>
        <v>94</v>
      </c>
      <c r="BW1122" s="53" t="n">
        <f aca="false">IF(BU1122="LOSE",1,0)</f>
        <v>0</v>
      </c>
      <c r="BX1122" s="53" t="n">
        <f aca="false">IF(AND(U1122="",OR(P1122="",P1122="LOSE"),T1122&lt;&gt;"",N(S1122)&lt;=0,ISNUMBER(MATCH(T1122,Parameter!$I$27:$I$29,0))),1,0)</f>
        <v>0</v>
      </c>
      <c r="BY1122" s="53" t="n">
        <f aca="false">IF(CL1122&gt;0,INDEX(Parameter!$H$5:$H$7,W1122)/INDEX(Parameter!$E$5:$E$7,W1122),IF(AND(BW1122=0,N(IFERROR(VLOOKUP(BU1122,'Gebinde-Kategorie'!$A$5:$N$45,14,0),0))&gt;0),VLOOKUP(BU1122,'Gebinde-Kategorie'!$A$5:$N$45,14,0)*10+Parameter!$M$23,Parameter!$M$24))</f>
        <v>155</v>
      </c>
      <c r="BZ1122" s="48" t="str">
        <f aca="false">IF(AND(Parameter!$B$19="Ja",E1122&lt;&gt;"",ISNUMBER(MATCH(E1122,Parameter!$I$35:$I$52,0))),VLOOKUP(E1122,Parameter!$I$35:$J$52,2,0),IFERROR(VLOOKUP(D1122,Parameter!$A$35:$C$64,2,0),"Nein"))</f>
        <v>2+3</v>
      </c>
      <c r="CA1122" s="52" t="n">
        <f aca="false">IF(BW1122=0,0,IF(N(S1122)&gt;0,S1122,IFERROR(VLOOKUP(D1122,Parameter!$A$35:$C$64,3,0)+0,0)))</f>
        <v>0</v>
      </c>
      <c r="CB1122" s="48" t="n">
        <f aca="false">IF(AA1122&lt;&gt;"",AA1122,Z1122)</f>
        <v>3</v>
      </c>
      <c r="CC1122" s="48" t="str">
        <f aca="false">IF(OR(CB1122=1,CB1122=2,CB1122=3),IF(Parameter!$E$27="Ja","LIFT",IF(CB1122=1,"L1","L23")),IF(CB1122="Aussen","Aussen","-"))</f>
        <v>LIFT</v>
      </c>
      <c r="CD1122" s="59" t="n">
        <f aca="false">IF(N(AB1122)&gt;0,AB1122,0)</f>
        <v>0</v>
      </c>
      <c r="CE1122" s="53" t="n">
        <f aca="false">IF(ISNUMBER(AE1122),1,0)</f>
        <v>0</v>
      </c>
      <c r="CF1122" s="50" t="n">
        <f aca="false">N(AE1122)</f>
        <v>0</v>
      </c>
      <c r="CG1122" s="50" t="n">
        <f aca="false">N(M1122)+N(N1122)</f>
        <v>10</v>
      </c>
      <c r="CH1122" s="50" t="n">
        <f aca="false">ROUNDUP(H1122/BV1122,0)</f>
        <v>1</v>
      </c>
      <c r="CI1122" s="50" t="n">
        <f aca="false">ROUNDUP(CF1122/BV1122,0)</f>
        <v>0</v>
      </c>
      <c r="CJ1122" s="53" t="n">
        <f aca="false">IF(BW1122=1,0,IFERROR(VLOOKUP(BU1122,'Gebinde-Kategorie'!$A$5:$N$45,5,0)+0,0))</f>
        <v>11</v>
      </c>
      <c r="CK1122" s="53" t="n">
        <f aca="false">IFERROR(IF(OR(CB1122=1,CB1122=2,CB1122=3),N(INDEX(Parameter!$I$5:$I$7,CB1122)),0),0)</f>
        <v>0</v>
      </c>
      <c r="CL1122" s="52" t="n">
        <f aca="false">IF(AND(Parameter!$B$21="Ja",ISNUMBER(W1122),N(X1122)&gt;0),IFERROR(N(INDEX(Parameter!$L$5:$L$7,W1122))*INDEX(Parameter!$E$5:$E$7,W1122)*X1122/SUMIFS($X$7:$X$1843,$W$7:$W$1843,W1122),0),0)</f>
        <v>0</v>
      </c>
    </row>
    <row r="1123" customFormat="false" ht="15" hidden="false" customHeight="false" outlineLevel="0" collapsed="false">
      <c r="A1123" s="48" t="s">
        <v>2039</v>
      </c>
      <c r="B1123" s="48" t="s">
        <v>2040</v>
      </c>
      <c r="C1123" s="48" t="s">
        <v>168</v>
      </c>
      <c r="D1123" s="48" t="s">
        <v>188</v>
      </c>
      <c r="E1123" s="48" t="s">
        <v>189</v>
      </c>
      <c r="F1123" s="48" t="s">
        <v>222</v>
      </c>
      <c r="G1123" s="49" t="n">
        <v>35.15</v>
      </c>
      <c r="H1123" s="50" t="n">
        <f aca="false">MAX(0,IF(AND(Parameter!$B$21="Ja",ISNUMBER(Y1123)),Y1123,IF(Parameter!$B$20="Jahresanfang 2025 + Export",BO1123+BN1123,BN1123)))</f>
        <v>145</v>
      </c>
      <c r="I1123" s="50" t="n">
        <f aca="false">H1123*G1123</f>
        <v>5096.75</v>
      </c>
      <c r="J1123" s="50" t="n">
        <f aca="false">BQ1123*Parameter!$B$18</f>
        <v>3</v>
      </c>
      <c r="K1123" s="51" t="n">
        <v>150</v>
      </c>
      <c r="L1123" s="52" t="n">
        <v>0.02</v>
      </c>
      <c r="M1123" s="50" t="n">
        <v>0</v>
      </c>
      <c r="N1123" s="50" t="n">
        <v>5</v>
      </c>
      <c r="O1123" s="53" t="n">
        <v>28</v>
      </c>
      <c r="P1123" s="48" t="s">
        <v>237</v>
      </c>
      <c r="Q1123" s="50" t="n">
        <v>30</v>
      </c>
      <c r="R1123" s="53" t="n">
        <f aca="false">IF(BW1123=1,0,IFERROR(VLOOKUP(BU1123,'Gebinde-Kategorie'!$A$5:$N$45,13,0)+0,0))</f>
        <v>26</v>
      </c>
      <c r="S1123" s="54"/>
      <c r="T1123" s="55"/>
      <c r="U1123" s="55"/>
      <c r="V1123" s="55"/>
      <c r="W1123" s="48"/>
      <c r="X1123" s="50"/>
      <c r="Y1123" s="50"/>
      <c r="Z1123" s="48" t="n">
        <f aca="false">IF(A1123="","",IF(AND(Parameter!$B$21="Ja",ISNUMBER(W1123)),W1123,IF(BZ1123="2+3",IF(ISNUMBER(SEARCH("grosser Artikel",BR1123)),2,IFERROR(VLOOKUP(BU1123,Parameter!$F$35:$G$64,2,0),2)),IF(OR(BZ1123="Nein",BZ1123=""),"-",BZ1123))))</f>
        <v>3</v>
      </c>
      <c r="AA1123" s="55"/>
      <c r="AB1123" s="56"/>
      <c r="AC1123" s="50" t="n">
        <f aca="false">AT1123</f>
        <v>30</v>
      </c>
      <c r="AD1123" s="50" t="n">
        <f aca="false">MAX(AT1123,H1123)</f>
        <v>145</v>
      </c>
      <c r="AE1123" s="57"/>
      <c r="AF1123" s="50" t="n">
        <f aca="false">IF(LEFT(Cockpit!$C$5,1)="A",H1123,IF(CE1123=1,CF1123,IF(LEFT(Cockpit!$C$5,1)="B",AK1123,MAX(AK1123,H1123))))</f>
        <v>145</v>
      </c>
      <c r="AG1123" s="50" t="n">
        <f aca="false">IF(BW1123=1,0,ROUNDUP(AF1123/BV1123,0))</f>
        <v>5</v>
      </c>
      <c r="AH1123" s="52" t="n">
        <f aca="false">IF(CL1123&gt;0,CL1123*MAX(1,AF1123/X1123),IF(BW1123=1,IF(AF1123&lt;=0,0,CA1123*MAX(1,IF(H1123&gt;0,AF1123/H1123,1))),IF(R1123&gt;0,AG1123/R1123,0))/MAX(0.1,N(Parameter!$M$21)))</f>
        <v>0.192307692307692</v>
      </c>
      <c r="AI1123" s="50" t="n">
        <f aca="false">AH1123*BY1123</f>
        <v>47.1153846153846</v>
      </c>
      <c r="AJ1123" s="50" t="n">
        <f aca="false">AF1123*G1123</f>
        <v>5096.75</v>
      </c>
      <c r="AK1123" s="50" t="n">
        <f aca="false">ROUNDUP(MAX(J1123/IF(CD1123&gt;0,CD1123,MAX(0.1,N(Cockpit!$C$6))),CG1123)/BV1123,0)*BV1123</f>
        <v>30</v>
      </c>
      <c r="AL1123" s="51" t="n">
        <f aca="false">IF(AI1123&gt;0,J1123/AI1123,-1)</f>
        <v>0.0636734693877551</v>
      </c>
      <c r="AM1123" s="51" t="n">
        <f aca="false">IF(AND(OR(CC1123="L1",CC1123="L23",CC1123="LIFT"),AI1123&gt;0),SUMIFS($AI$7:$AI$1843,$CC$7:$CC$1843,CC1123,$AL$7:$AL$1843,"&gt;"&amp;AL1123)+SUMIFS($AI$7:$AI$1843,$CC$7:$CC$1843,CC1123,$AL$7:$AL$1843,AL1123,$BT$7:$BT$1843,"&lt;="&amp;BT1123),"")</f>
        <v>18989.2232543822</v>
      </c>
      <c r="AN1123" s="58" t="n">
        <f aca="false">IF(AM1123="",0,MAX(0,MIN(1,(IF(CC1123="L1",Parameter!$H$5,IF(CC1123="L23",Parameter!$H$6+Parameter!$H$7,Parameter!$H$5+Parameter!$H$6+Parameter!$H$7))-(AM1123-AI1123))/AI1123)))</f>
        <v>1</v>
      </c>
      <c r="AO1123" s="50" t="n">
        <f aca="false">IF(LEFT(Cockpit!$I$5,1)="A",H1123,IF(CE1123=1,CF1123,IF(LEFT(Cockpit!$I$5,1)="B",AT1123,MAX(AT1123,H1123))))</f>
        <v>145</v>
      </c>
      <c r="AP1123" s="50" t="n">
        <f aca="false">IF(BW1123=1,0,ROUNDUP(AO1123/BV1123,0))</f>
        <v>5</v>
      </c>
      <c r="AQ1123" s="52" t="n">
        <f aca="false">IF(CL1123&gt;0,CL1123*MAX(1,AO1123/X1123),IF(BW1123=1,IF(AO1123&lt;=0,0,CA1123*MAX(1,IF(H1123&gt;0,AO1123/H1123,1))),IF(R1123&gt;0,AP1123/R1123,0))/MAX(0.1,N(Parameter!$M$21)))</f>
        <v>0.192307692307692</v>
      </c>
      <c r="AR1123" s="50" t="n">
        <f aca="false">AQ1123*BY1123</f>
        <v>47.1153846153846</v>
      </c>
      <c r="AS1123" s="50" t="n">
        <f aca="false">AO1123*G1123</f>
        <v>5096.75</v>
      </c>
      <c r="AT1123" s="50" t="n">
        <f aca="false">ROUNDUP(MAX(J1123/IF(CD1123&gt;0,CD1123,MAX(0.1,N(Cockpit!$I$6))),CG1123)/BV1123,0)*BV1123</f>
        <v>30</v>
      </c>
      <c r="AU1123" s="51" t="n">
        <f aca="false">IF(AR1123&gt;0,J1123/AR1123,-1)</f>
        <v>0.0636734693877551</v>
      </c>
      <c r="AV1123" s="51" t="n">
        <f aca="false">IF(AND(OR(CC1123="L1",CC1123="L23",CC1123="LIFT"),AR1123&gt;0),SUMIFS($AR$7:$AR$1843,$CC$7:$CC$1843,CC1123,$AU$7:$AU$1843,"&gt;"&amp;AU1123)+SUMIFS($AR$7:$AR$1843,$CC$7:$CC$1843,CC1123,$AU$7:$AU$1843,AU1123,$BT$7:$BT$1843,"&lt;="&amp;BT1123),"")</f>
        <v>29032.7808432152</v>
      </c>
      <c r="AW1123" s="58" t="n">
        <f aca="false">IF(AV1123="",0,MAX(0,MIN(1,(IF(CC1123="L1",Parameter!$H$5,IF(CC1123="L23",Parameter!$H$6+Parameter!$H$7,Parameter!$H$5+Parameter!$H$6+Parameter!$H$7))-(AV1123-AR1123))/AR1123)))</f>
        <v>1</v>
      </c>
      <c r="AX1123" s="50" t="n">
        <f aca="false">IF(LEFT(Cockpit!$O$5,1)="A",H1123,IF(CE1123=1,CF1123,IF(LEFT(Cockpit!$O$5,1)="B",BC1123,MAX(BC1123,H1123))))</f>
        <v>145</v>
      </c>
      <c r="AY1123" s="50" t="n">
        <f aca="false">IF(BW1123=1,0,ROUNDUP(AX1123/BV1123,0))</f>
        <v>5</v>
      </c>
      <c r="AZ1123" s="52" t="n">
        <f aca="false">IF(CL1123&gt;0,CL1123*MAX(1,AX1123/X1123),IF(BW1123=1,IF(AX1123&lt;=0,0,CA1123*MAX(1,IF(H1123&gt;0,AX1123/H1123,1))),IF(R1123&gt;0,AY1123/R1123,0))/MAX(0.1,N(Parameter!$M$21)))</f>
        <v>0.192307692307692</v>
      </c>
      <c r="BA1123" s="50" t="n">
        <f aca="false">AZ1123*BY1123</f>
        <v>47.1153846153846</v>
      </c>
      <c r="BB1123" s="50" t="n">
        <f aca="false">AX1123*G1123</f>
        <v>5096.75</v>
      </c>
      <c r="BC1123" s="50" t="n">
        <f aca="false">ROUNDUP(MAX(J1123/IF(CD1123&gt;0,CD1123,MAX(0.1,N(Cockpit!$O$6))),CG1123)/BV1123,0)*BV1123</f>
        <v>30</v>
      </c>
      <c r="BD1123" s="51" t="n">
        <f aca="false">IF(BA1123&gt;0,J1123/BA1123,-1)</f>
        <v>0.0636734693877551</v>
      </c>
      <c r="BE1123" s="51" t="n">
        <f aca="false">IF(AND(OR(CC1123="L1",CC1123="L23",CC1123="LIFT"),BA1123&gt;0),SUMIFS($BA$7:$BA$1843,$CC$7:$CC$1843,CC1123,$BD$7:$BD$1843,"&gt;"&amp;BD1123)+SUMIFS($BA$7:$BA$1843,$CC$7:$CC$1843,CC1123,$BD$7:$BD$1843,BD1123,$BT$7:$BT$1843,"&lt;="&amp;BT1123),"")</f>
        <v>26177.792885081</v>
      </c>
      <c r="BF1123" s="58" t="n">
        <f aca="false">IF(BE1123="",0,MAX(0,MIN(1,(IF(CC1123="L1",Parameter!$H$5,IF(CC1123="L23",Parameter!$H$6+Parameter!$H$7,Parameter!$H$5+Parameter!$H$6+Parameter!$H$7))-(BE1123-BA1123))/BA1123)))</f>
        <v>1</v>
      </c>
      <c r="BG1123" s="48" t="str">
        <f aca="false">IF(AI1123&lt;=0,"",IF(CC1123="Aussen","Aussenlager",IF(CC1123="-","Nicht im Lift",IF(AN1123&gt;=1,"Lift",IF(AN1123&lt;=0,"Aussenlager","teilweise")))))</f>
        <v>Lift</v>
      </c>
      <c r="BH1123" s="48" t="str">
        <f aca="false">IF(AR1123&lt;=0,"",IF(CC1123="Aussen","Aussenlager",IF(CC1123="-","Nicht im Lift",IF(AW1123&gt;=1,"Lift",IF(AW1123&lt;=0,"Aussenlager","teilweise")))))</f>
        <v>Lift</v>
      </c>
      <c r="BI1123" s="48" t="str">
        <f aca="false">IF(BA1123&lt;=0,"",IF(CC1123="Aussen","Aussenlager",IF(CC1123="-","Nicht im Lift",IF(BF1123&gt;=1,"Lift",IF(BF1123&lt;=0,"Aussenlager","teilweise")))))</f>
        <v>Lift</v>
      </c>
      <c r="BJ1123" s="48" t="str">
        <f aca="false">IF(A1123="","",IF(BS1123=1,"Neu; ","")&amp;IF(AND(BS1123=0,BN1123&lt;0),"negativer Bestand (Export "&amp;BN1123&amp;"); ","")&amp;IF(J1123&lt;=0,"Kein Verbrauch; ","")&amp;IF(CL1123&gt;0,"Lift "&amp;W1123&amp;" lt. Liftbericht (Fach "&amp;X1123&amp;" Stk); ",IF(BX1123=1,"Gebinde geschätzt ("&amp;T1123&amp;"); ",IF(BW1123=1,"Lose – Tablare geschätzt; ","")))&amp;IF(H1123&gt;AT1123,"Überbestand "&amp;ROUND(H1123-AT1123,0)&amp;" Stk / CHF "&amp;ROUND((H1123-AT1123)*G1123,0)&amp;"; ","")&amp;IF(AND(CE1123=1,CF1123&lt;CG1123),"MAX &lt; MB+LG; ","")&amp;IF(AND(CK1123&gt;0,CJ1123*10&gt;CK1123),"zu hoch für Tablar; ","")&amp;IF(AND(BS1123=0,OR(CE1123=1,AA1123&lt;&gt;"",U1123&lt;&gt;"",V1123&lt;&gt;"",AB1123&lt;&gt;"")),"manuell übersteuert; ","")&amp;IF(AND(BW1123=0,R1123=0),"Gebinde unbekannt / Stellmass fehlt; ","")&amp;IF(AND(BW1123=0,N(V1123)&lt;=0,N(Q1123)&lt;=0),"Menge pro Gebinde fehlt (Ist = 1 Gebinde); ","")&amp;BR1123)</f>
        <v>negativer Bestand (Export -7); Überbestand 115 Stk / CHF 4042; Überbestand</v>
      </c>
      <c r="BK1123" s="48"/>
      <c r="BL1123" s="48"/>
      <c r="BM1123" s="55"/>
      <c r="BN1123" s="50" t="n">
        <v>-7</v>
      </c>
      <c r="BO1123" s="50" t="n">
        <v>152</v>
      </c>
      <c r="BP1123" s="49" t="n">
        <v>-246.05</v>
      </c>
      <c r="BQ1123" s="50" t="n">
        <v>3</v>
      </c>
      <c r="BR1123" s="48" t="s">
        <v>396</v>
      </c>
      <c r="BS1123" s="53" t="n">
        <v>0</v>
      </c>
      <c r="BT1123" s="53" t="n">
        <v>1123</v>
      </c>
      <c r="BU1123" s="48" t="str">
        <f aca="false">IF(U1123&lt;&gt;"",UPPER(TRIM(U1123)),IF(BX1123=1,UPPER(VLOOKUP(T1123,Parameter!$I$27:$K$29,2,0)),IF(P1123="","LOSE",P1123)))</f>
        <v>S52</v>
      </c>
      <c r="BV1123" s="50" t="n">
        <f aca="false">IF(BU1123="LOSE",1,IF(N(V1123)&gt;0,V1123,IF(BX1123=1,MAX(1,N(VLOOKUP(T1123,Parameter!$I$27:$K$29,3,0)),H1123,N(N1123)),IF(N(Q1123)&gt;0,Q1123,MAX(1,H1123)))))</f>
        <v>30</v>
      </c>
      <c r="BW1123" s="53" t="n">
        <f aca="false">IF(BU1123="LOSE",1,0)</f>
        <v>0</v>
      </c>
      <c r="BX1123" s="53" t="n">
        <f aca="false">IF(AND(U1123="",OR(P1123="",P1123="LOSE"),T1123&lt;&gt;"",N(S1123)&lt;=0,ISNUMBER(MATCH(T1123,Parameter!$I$27:$I$29,0))),1,0)</f>
        <v>0</v>
      </c>
      <c r="BY1123" s="53" t="n">
        <f aca="false">IF(CL1123&gt;0,INDEX(Parameter!$H$5:$H$7,W1123)/INDEX(Parameter!$E$5:$E$7,W1123),IF(AND(BW1123=0,N(IFERROR(VLOOKUP(BU1123,'Gebinde-Kategorie'!$A$5:$N$45,14,0),0))&gt;0),VLOOKUP(BU1123,'Gebinde-Kategorie'!$A$5:$N$45,14,0)*10+Parameter!$M$23,Parameter!$M$24))</f>
        <v>245</v>
      </c>
      <c r="BZ1123" s="48" t="str">
        <f aca="false">IF(AND(Parameter!$B$19="Ja",E1123&lt;&gt;"",ISNUMBER(MATCH(E1123,Parameter!$I$35:$I$52,0))),VLOOKUP(E1123,Parameter!$I$35:$J$52,2,0),IFERROR(VLOOKUP(D1123,Parameter!$A$35:$C$64,2,0),"Nein"))</f>
        <v>2+3</v>
      </c>
      <c r="CA1123" s="52" t="n">
        <f aca="false">IF(BW1123=0,0,IF(N(S1123)&gt;0,S1123,IFERROR(VLOOKUP(D1123,Parameter!$A$35:$C$64,3,0)+0,0)))</f>
        <v>0</v>
      </c>
      <c r="CB1123" s="48" t="n">
        <f aca="false">IF(AA1123&lt;&gt;"",AA1123,Z1123)</f>
        <v>3</v>
      </c>
      <c r="CC1123" s="48" t="str">
        <f aca="false">IF(OR(CB1123=1,CB1123=2,CB1123=3),IF(Parameter!$E$27="Ja","LIFT",IF(CB1123=1,"L1","L23")),IF(CB1123="Aussen","Aussen","-"))</f>
        <v>LIFT</v>
      </c>
      <c r="CD1123" s="59" t="n">
        <f aca="false">IF(N(AB1123)&gt;0,AB1123,0)</f>
        <v>0</v>
      </c>
      <c r="CE1123" s="53" t="n">
        <f aca="false">IF(ISNUMBER(AE1123),1,0)</f>
        <v>0</v>
      </c>
      <c r="CF1123" s="50" t="n">
        <f aca="false">N(AE1123)</f>
        <v>0</v>
      </c>
      <c r="CG1123" s="50" t="n">
        <f aca="false">N(M1123)+N(N1123)</f>
        <v>5</v>
      </c>
      <c r="CH1123" s="50" t="n">
        <f aca="false">ROUNDUP(H1123/BV1123,0)</f>
        <v>5</v>
      </c>
      <c r="CI1123" s="50" t="n">
        <f aca="false">ROUNDUP(CF1123/BV1123,0)</f>
        <v>0</v>
      </c>
      <c r="CJ1123" s="53" t="n">
        <f aca="false">IF(BW1123=1,0,IFERROR(VLOOKUP(BU1123,'Gebinde-Kategorie'!$A$5:$N$45,5,0)+0,0))</f>
        <v>21</v>
      </c>
      <c r="CK1123" s="53" t="n">
        <f aca="false">IFERROR(IF(OR(CB1123=1,CB1123=2,CB1123=3),N(INDEX(Parameter!$I$5:$I$7,CB1123)),0),0)</f>
        <v>0</v>
      </c>
      <c r="CL1123" s="52" t="n">
        <f aca="false">IF(AND(Parameter!$B$21="Ja",ISNUMBER(W1123),N(X1123)&gt;0),IFERROR(N(INDEX(Parameter!$L$5:$L$7,W1123))*INDEX(Parameter!$E$5:$E$7,W1123)*X1123/SUMIFS($X$7:$X$1843,$W$7:$W$1843,W1123),0),0)</f>
        <v>0</v>
      </c>
    </row>
    <row r="1124" customFormat="false" ht="15" hidden="false" customHeight="false" outlineLevel="0" collapsed="false">
      <c r="A1124" s="48" t="s">
        <v>2041</v>
      </c>
      <c r="B1124" s="48" t="s">
        <v>2042</v>
      </c>
      <c r="C1124" s="48" t="s">
        <v>168</v>
      </c>
      <c r="D1124" s="48" t="s">
        <v>188</v>
      </c>
      <c r="E1124" s="48" t="s">
        <v>189</v>
      </c>
      <c r="F1124" s="48" t="s">
        <v>222</v>
      </c>
      <c r="G1124" s="49" t="n">
        <v>90.32</v>
      </c>
      <c r="H1124" s="50" t="n">
        <f aca="false">MAX(0,IF(AND(Parameter!$B$21="Ja",ISNUMBER(Y1124)),Y1124,IF(Parameter!$B$20="Jahresanfang 2025 + Export",BO1124+BN1124,BN1124)))</f>
        <v>36</v>
      </c>
      <c r="I1124" s="50" t="n">
        <f aca="false">H1124*G1124</f>
        <v>3251.52</v>
      </c>
      <c r="J1124" s="50" t="n">
        <f aca="false">BQ1124*Parameter!$B$18</f>
        <v>58</v>
      </c>
      <c r="K1124" s="51" t="n">
        <v>30.5</v>
      </c>
      <c r="L1124" s="52" t="n">
        <v>1.9016393442623</v>
      </c>
      <c r="M1124" s="50" t="n">
        <v>5</v>
      </c>
      <c r="N1124" s="50" t="n">
        <v>40</v>
      </c>
      <c r="O1124" s="53" t="n">
        <v>28</v>
      </c>
      <c r="P1124" s="48" t="s">
        <v>237</v>
      </c>
      <c r="Q1124" s="50" t="n">
        <v>30</v>
      </c>
      <c r="R1124" s="53" t="n">
        <f aca="false">IF(BW1124=1,0,IFERROR(VLOOKUP(BU1124,'Gebinde-Kategorie'!$A$5:$N$45,13,0)+0,0))</f>
        <v>26</v>
      </c>
      <c r="S1124" s="54"/>
      <c r="T1124" s="55"/>
      <c r="U1124" s="55"/>
      <c r="V1124" s="55"/>
      <c r="W1124" s="48"/>
      <c r="X1124" s="50"/>
      <c r="Y1124" s="50"/>
      <c r="Z1124" s="48" t="n">
        <f aca="false">IF(A1124="","",IF(AND(Parameter!$B$21="Ja",ISNUMBER(W1124)),W1124,IF(BZ1124="2+3",IF(ISNUMBER(SEARCH("grosser Artikel",BR1124)),2,IFERROR(VLOOKUP(BU1124,Parameter!$F$35:$G$64,2,0),2)),IF(OR(BZ1124="Nein",BZ1124=""),"-",BZ1124))))</f>
        <v>3</v>
      </c>
      <c r="AA1124" s="55"/>
      <c r="AB1124" s="56"/>
      <c r="AC1124" s="50" t="n">
        <f aca="false">AT1124</f>
        <v>60</v>
      </c>
      <c r="AD1124" s="50" t="n">
        <f aca="false">MAX(AT1124,H1124)</f>
        <v>60</v>
      </c>
      <c r="AE1124" s="57"/>
      <c r="AF1124" s="50" t="n">
        <f aca="false">IF(LEFT(Cockpit!$C$5,1)="A",H1124,IF(CE1124=1,CF1124,IF(LEFT(Cockpit!$C$5,1)="B",AK1124,MAX(AK1124,H1124))))</f>
        <v>36</v>
      </c>
      <c r="AG1124" s="50" t="n">
        <f aca="false">IF(BW1124=1,0,ROUNDUP(AF1124/BV1124,0))</f>
        <v>2</v>
      </c>
      <c r="AH1124" s="52" t="n">
        <f aca="false">IF(CL1124&gt;0,CL1124*MAX(1,AF1124/X1124),IF(BW1124=1,IF(AF1124&lt;=0,0,CA1124*MAX(1,IF(H1124&gt;0,AF1124/H1124,1))),IF(R1124&gt;0,AG1124/R1124,0))/MAX(0.1,N(Parameter!$M$21)))</f>
        <v>0.0769230769230769</v>
      </c>
      <c r="AI1124" s="50" t="n">
        <f aca="false">AH1124*BY1124</f>
        <v>18.8461538461538</v>
      </c>
      <c r="AJ1124" s="50" t="n">
        <f aca="false">AF1124*G1124</f>
        <v>3251.52</v>
      </c>
      <c r="AK1124" s="50" t="n">
        <f aca="false">ROUNDUP(MAX(J1124/IF(CD1124&gt;0,CD1124,MAX(0.1,N(Cockpit!$C$6))),CG1124)/BV1124,0)*BV1124</f>
        <v>60</v>
      </c>
      <c r="AL1124" s="51" t="n">
        <f aca="false">IF(AI1124&gt;0,J1124/AI1124,-1)</f>
        <v>3.07755102040816</v>
      </c>
      <c r="AM1124" s="51" t="n">
        <f aca="false">IF(AND(OR(CC1124="L1",CC1124="L23",CC1124="LIFT"),AI1124&gt;0),SUMIFS($AI$7:$AI$1843,$CC$7:$CC$1843,CC1124,$AL$7:$AL$1843,"&gt;"&amp;AL1124)+SUMIFS($AI$7:$AI$1843,$CC$7:$CC$1843,CC1124,$AL$7:$AL$1843,AL1124,$BT$7:$BT$1843,"&lt;="&amp;BT1124),"")</f>
        <v>5031.66163003663</v>
      </c>
      <c r="AN1124" s="58" t="n">
        <f aca="false">IF(AM1124="",0,MAX(0,MIN(1,(IF(CC1124="L1",Parameter!$H$5,IF(CC1124="L23",Parameter!$H$6+Parameter!$H$7,Parameter!$H$5+Parameter!$H$6+Parameter!$H$7))-(AM1124-AI1124))/AI1124)))</f>
        <v>1</v>
      </c>
      <c r="AO1124" s="50" t="n">
        <f aca="false">IF(LEFT(Cockpit!$I$5,1)="A",H1124,IF(CE1124=1,CF1124,IF(LEFT(Cockpit!$I$5,1)="B",AT1124,MAX(AT1124,H1124))))</f>
        <v>60</v>
      </c>
      <c r="AP1124" s="50" t="n">
        <f aca="false">IF(BW1124=1,0,ROUNDUP(AO1124/BV1124,0))</f>
        <v>2</v>
      </c>
      <c r="AQ1124" s="52" t="n">
        <f aca="false">IF(CL1124&gt;0,CL1124*MAX(1,AO1124/X1124),IF(BW1124=1,IF(AO1124&lt;=0,0,CA1124*MAX(1,IF(H1124&gt;0,AO1124/H1124,1))),IF(R1124&gt;0,AP1124/R1124,0))/MAX(0.1,N(Parameter!$M$21)))</f>
        <v>0.0769230769230769</v>
      </c>
      <c r="AR1124" s="50" t="n">
        <f aca="false">AQ1124*BY1124</f>
        <v>18.8461538461538</v>
      </c>
      <c r="AS1124" s="50" t="n">
        <f aca="false">AO1124*G1124</f>
        <v>5419.2</v>
      </c>
      <c r="AT1124" s="50" t="n">
        <f aca="false">ROUNDUP(MAX(J1124/IF(CD1124&gt;0,CD1124,MAX(0.1,N(Cockpit!$I$6))),CG1124)/BV1124,0)*BV1124</f>
        <v>60</v>
      </c>
      <c r="AU1124" s="51" t="n">
        <f aca="false">IF(AR1124&gt;0,J1124/AR1124,-1)</f>
        <v>3.07755102040816</v>
      </c>
      <c r="AV1124" s="51" t="n">
        <f aca="false">IF(AND(OR(CC1124="L1",CC1124="L23",CC1124="LIFT"),AR1124&gt;0),SUMIFS($AR$7:$AR$1843,$CC$7:$CC$1843,CC1124,$AU$7:$AU$1843,"&gt;"&amp;AU1124)+SUMIFS($AR$7:$AR$1843,$CC$7:$CC$1843,CC1124,$AU$7:$AU$1843,AU1124,$BT$7:$BT$1843,"&lt;="&amp;BT1124),"")</f>
        <v>6220.15201465201</v>
      </c>
      <c r="AW1124" s="58" t="n">
        <f aca="false">IF(AV1124="",0,MAX(0,MIN(1,(IF(CC1124="L1",Parameter!$H$5,IF(CC1124="L23",Parameter!$H$6+Parameter!$H$7,Parameter!$H$5+Parameter!$H$6+Parameter!$H$7))-(AV1124-AR1124))/AR1124)))</f>
        <v>1</v>
      </c>
      <c r="AX1124" s="50" t="n">
        <f aca="false">IF(LEFT(Cockpit!$O$5,1)="A",H1124,IF(CE1124=1,CF1124,IF(LEFT(Cockpit!$O$5,1)="B",BC1124,MAX(BC1124,H1124))))</f>
        <v>60</v>
      </c>
      <c r="AY1124" s="50" t="n">
        <f aca="false">IF(BW1124=1,0,ROUNDUP(AX1124/BV1124,0))</f>
        <v>2</v>
      </c>
      <c r="AZ1124" s="52" t="n">
        <f aca="false">IF(CL1124&gt;0,CL1124*MAX(1,AX1124/X1124),IF(BW1124=1,IF(AX1124&lt;=0,0,CA1124*MAX(1,IF(H1124&gt;0,AX1124/H1124,1))),IF(R1124&gt;0,AY1124/R1124,0))/MAX(0.1,N(Parameter!$M$21)))</f>
        <v>0.0769230769230769</v>
      </c>
      <c r="BA1124" s="50" t="n">
        <f aca="false">AZ1124*BY1124</f>
        <v>18.8461538461538</v>
      </c>
      <c r="BB1124" s="50" t="n">
        <f aca="false">AX1124*G1124</f>
        <v>5419.2</v>
      </c>
      <c r="BC1124" s="50" t="n">
        <f aca="false">ROUNDUP(MAX(J1124/IF(CD1124&gt;0,CD1124,MAX(0.1,N(Cockpit!$O$6))),CG1124)/BV1124,0)*BV1124</f>
        <v>60</v>
      </c>
      <c r="BD1124" s="51" t="n">
        <f aca="false">IF(BA1124&gt;0,J1124/BA1124,-1)</f>
        <v>3.07755102040816</v>
      </c>
      <c r="BE1124" s="51" t="n">
        <f aca="false">IF(AND(OR(CC1124="L1",CC1124="L23",CC1124="LIFT"),BA1124&gt;0),SUMIFS($BA$7:$BA$1843,$CC$7:$CC$1843,CC1124,$BD$7:$BD$1843,"&gt;"&amp;BD1124)+SUMIFS($BA$7:$BA$1843,$CC$7:$CC$1843,CC1124,$BD$7:$BD$1843,BD1124,$BT$7:$BT$1843,"&lt;="&amp;BT1124),"")</f>
        <v>6207.98855311355</v>
      </c>
      <c r="BF1124" s="58" t="n">
        <f aca="false">IF(BE1124="",0,MAX(0,MIN(1,(IF(CC1124="L1",Parameter!$H$5,IF(CC1124="L23",Parameter!$H$6+Parameter!$H$7,Parameter!$H$5+Parameter!$H$6+Parameter!$H$7))-(BE1124-BA1124))/BA1124)))</f>
        <v>1</v>
      </c>
      <c r="BG1124" s="48" t="str">
        <f aca="false">IF(AI1124&lt;=0,"",IF(CC1124="Aussen","Aussenlager",IF(CC1124="-","Nicht im Lift",IF(AN1124&gt;=1,"Lift",IF(AN1124&lt;=0,"Aussenlager","teilweise")))))</f>
        <v>Lift</v>
      </c>
      <c r="BH1124" s="48" t="str">
        <f aca="false">IF(AR1124&lt;=0,"",IF(CC1124="Aussen","Aussenlager",IF(CC1124="-","Nicht im Lift",IF(AW1124&gt;=1,"Lift",IF(AW1124&lt;=0,"Aussenlager","teilweise")))))</f>
        <v>Lift</v>
      </c>
      <c r="BI1124" s="48" t="str">
        <f aca="false">IF(BA1124&lt;=0,"",IF(CC1124="Aussen","Aussenlager",IF(CC1124="-","Nicht im Lift",IF(BF1124&gt;=1,"Lift",IF(BF1124&lt;=0,"Aussenlager","teilweise")))))</f>
        <v>Lift</v>
      </c>
      <c r="BJ1124" s="48" t="str">
        <f aca="false">IF(A1124="","",IF(BS1124=1,"Neu; ","")&amp;IF(AND(BS1124=0,BN1124&lt;0),"negativer Bestand (Export "&amp;BN1124&amp;"); ","")&amp;IF(J1124&lt;=0,"Kein Verbrauch; ","")&amp;IF(CL1124&gt;0,"Lift "&amp;W1124&amp;" lt. Liftbericht (Fach "&amp;X1124&amp;" Stk); ",IF(BX1124=1,"Gebinde geschätzt ("&amp;T1124&amp;"); ",IF(BW1124=1,"Lose – Tablare geschätzt; ","")))&amp;IF(H1124&gt;AT1124,"Überbestand "&amp;ROUND(H1124-AT1124,0)&amp;" Stk / CHF "&amp;ROUND((H1124-AT1124)*G1124,0)&amp;"; ","")&amp;IF(AND(CE1124=1,CF1124&lt;CG1124),"MAX &lt; MB+LG; ","")&amp;IF(AND(CK1124&gt;0,CJ1124*10&gt;CK1124),"zu hoch für Tablar; ","")&amp;IF(AND(BS1124=0,OR(CE1124=1,AA1124&lt;&gt;"",U1124&lt;&gt;"",V1124&lt;&gt;"",AB1124&lt;&gt;"")),"manuell übersteuert; ","")&amp;IF(AND(BW1124=0,R1124=0),"Gebinde unbekannt / Stellmass fehlt; ","")&amp;IF(AND(BW1124=0,N(V1124)&lt;=0,N(Q1124)&lt;=0),"Menge pro Gebinde fehlt (Ist = 1 Gebinde); ","")&amp;BR1124)</f>
        <v>negativer Bestand (Export -2); </v>
      </c>
      <c r="BK1124" s="48"/>
      <c r="BL1124" s="48"/>
      <c r="BM1124" s="55"/>
      <c r="BN1124" s="50" t="n">
        <v>-2</v>
      </c>
      <c r="BO1124" s="50" t="n">
        <v>38</v>
      </c>
      <c r="BP1124" s="49" t="n">
        <v>-246.380000000003</v>
      </c>
      <c r="BQ1124" s="50" t="n">
        <v>58</v>
      </c>
      <c r="BR1124" s="48"/>
      <c r="BS1124" s="53" t="n">
        <v>0</v>
      </c>
      <c r="BT1124" s="53" t="n">
        <v>1124</v>
      </c>
      <c r="BU1124" s="48" t="str">
        <f aca="false">IF(U1124&lt;&gt;"",UPPER(TRIM(U1124)),IF(BX1124=1,UPPER(VLOOKUP(T1124,Parameter!$I$27:$K$29,2,0)),IF(P1124="","LOSE",P1124)))</f>
        <v>S52</v>
      </c>
      <c r="BV1124" s="50" t="n">
        <f aca="false">IF(BU1124="LOSE",1,IF(N(V1124)&gt;0,V1124,IF(BX1124=1,MAX(1,N(VLOOKUP(T1124,Parameter!$I$27:$K$29,3,0)),H1124,N(N1124)),IF(N(Q1124)&gt;0,Q1124,MAX(1,H1124)))))</f>
        <v>30</v>
      </c>
      <c r="BW1124" s="53" t="n">
        <f aca="false">IF(BU1124="LOSE",1,0)</f>
        <v>0</v>
      </c>
      <c r="BX1124" s="53" t="n">
        <f aca="false">IF(AND(U1124="",OR(P1124="",P1124="LOSE"),T1124&lt;&gt;"",N(S1124)&lt;=0,ISNUMBER(MATCH(T1124,Parameter!$I$27:$I$29,0))),1,0)</f>
        <v>0</v>
      </c>
      <c r="BY1124" s="53" t="n">
        <f aca="false">IF(CL1124&gt;0,INDEX(Parameter!$H$5:$H$7,W1124)/INDEX(Parameter!$E$5:$E$7,W1124),IF(AND(BW1124=0,N(IFERROR(VLOOKUP(BU1124,'Gebinde-Kategorie'!$A$5:$N$45,14,0),0))&gt;0),VLOOKUP(BU1124,'Gebinde-Kategorie'!$A$5:$N$45,14,0)*10+Parameter!$M$23,Parameter!$M$24))</f>
        <v>245</v>
      </c>
      <c r="BZ1124" s="48" t="str">
        <f aca="false">IF(AND(Parameter!$B$19="Ja",E1124&lt;&gt;"",ISNUMBER(MATCH(E1124,Parameter!$I$35:$I$52,0))),VLOOKUP(E1124,Parameter!$I$35:$J$52,2,0),IFERROR(VLOOKUP(D1124,Parameter!$A$35:$C$64,2,0),"Nein"))</f>
        <v>2+3</v>
      </c>
      <c r="CA1124" s="52" t="n">
        <f aca="false">IF(BW1124=0,0,IF(N(S1124)&gt;0,S1124,IFERROR(VLOOKUP(D1124,Parameter!$A$35:$C$64,3,0)+0,0)))</f>
        <v>0</v>
      </c>
      <c r="CB1124" s="48" t="n">
        <f aca="false">IF(AA1124&lt;&gt;"",AA1124,Z1124)</f>
        <v>3</v>
      </c>
      <c r="CC1124" s="48" t="str">
        <f aca="false">IF(OR(CB1124=1,CB1124=2,CB1124=3),IF(Parameter!$E$27="Ja","LIFT",IF(CB1124=1,"L1","L23")),IF(CB1124="Aussen","Aussen","-"))</f>
        <v>LIFT</v>
      </c>
      <c r="CD1124" s="59" t="n">
        <f aca="false">IF(N(AB1124)&gt;0,AB1124,0)</f>
        <v>0</v>
      </c>
      <c r="CE1124" s="53" t="n">
        <f aca="false">IF(ISNUMBER(AE1124),1,0)</f>
        <v>0</v>
      </c>
      <c r="CF1124" s="50" t="n">
        <f aca="false">N(AE1124)</f>
        <v>0</v>
      </c>
      <c r="CG1124" s="50" t="n">
        <f aca="false">N(M1124)+N(N1124)</f>
        <v>45</v>
      </c>
      <c r="CH1124" s="50" t="n">
        <f aca="false">ROUNDUP(H1124/BV1124,0)</f>
        <v>2</v>
      </c>
      <c r="CI1124" s="50" t="n">
        <f aca="false">ROUNDUP(CF1124/BV1124,0)</f>
        <v>0</v>
      </c>
      <c r="CJ1124" s="53" t="n">
        <f aca="false">IF(BW1124=1,0,IFERROR(VLOOKUP(BU1124,'Gebinde-Kategorie'!$A$5:$N$45,5,0)+0,0))</f>
        <v>21</v>
      </c>
      <c r="CK1124" s="53" t="n">
        <f aca="false">IFERROR(IF(OR(CB1124=1,CB1124=2,CB1124=3),N(INDEX(Parameter!$I$5:$I$7,CB1124)),0),0)</f>
        <v>0</v>
      </c>
      <c r="CL1124" s="52" t="n">
        <f aca="false">IF(AND(Parameter!$B$21="Ja",ISNUMBER(W1124),N(X1124)&gt;0),IFERROR(N(INDEX(Parameter!$L$5:$L$7,W1124))*INDEX(Parameter!$E$5:$E$7,W1124)*X1124/SUMIFS($X$7:$X$1843,$W$7:$W$1843,W1124),0),0)</f>
        <v>0</v>
      </c>
    </row>
    <row r="1125" customFormat="false" ht="15" hidden="false" customHeight="false" outlineLevel="0" collapsed="false">
      <c r="A1125" s="48" t="s">
        <v>2043</v>
      </c>
      <c r="B1125" s="48" t="s">
        <v>753</v>
      </c>
      <c r="C1125" s="48" t="s">
        <v>168</v>
      </c>
      <c r="D1125" s="48" t="s">
        <v>188</v>
      </c>
      <c r="E1125" s="48"/>
      <c r="F1125" s="48" t="s">
        <v>222</v>
      </c>
      <c r="G1125" s="49" t="n">
        <v>123.42</v>
      </c>
      <c r="H1125" s="50" t="n">
        <f aca="false">MAX(0,IF(AND(Parameter!$B$21="Ja",ISNUMBER(Y1125)),Y1125,IF(Parameter!$B$20="Jahresanfang 2025 + Export",BO1125+BN1125,BN1125)))</f>
        <v>2</v>
      </c>
      <c r="I1125" s="50" t="n">
        <f aca="false">H1125*G1125</f>
        <v>246.84</v>
      </c>
      <c r="J1125" s="50" t="n">
        <f aca="false">BQ1125*Parameter!$B$18</f>
        <v>2</v>
      </c>
      <c r="K1125" s="51" t="n">
        <v>3</v>
      </c>
      <c r="L1125" s="52" t="n">
        <v>0.666666666666667</v>
      </c>
      <c r="M1125" s="50" t="n">
        <v>0</v>
      </c>
      <c r="N1125" s="50" t="n">
        <v>1</v>
      </c>
      <c r="O1125" s="53" t="n">
        <v>28</v>
      </c>
      <c r="P1125" s="48" t="s">
        <v>425</v>
      </c>
      <c r="Q1125" s="50" t="n">
        <v>5</v>
      </c>
      <c r="R1125" s="53" t="n">
        <f aca="false">IF(BW1125=1,0,IFERROR(VLOOKUP(BU1125,'Gebinde-Kategorie'!$A$5:$N$45,13,0)+0,0))</f>
        <v>104</v>
      </c>
      <c r="S1125" s="54"/>
      <c r="T1125" s="55"/>
      <c r="U1125" s="55"/>
      <c r="V1125" s="55"/>
      <c r="W1125" s="48"/>
      <c r="X1125" s="50"/>
      <c r="Y1125" s="50"/>
      <c r="Z1125" s="48" t="n">
        <f aca="false">IF(A1125="","",IF(AND(Parameter!$B$21="Ja",ISNUMBER(W1125)),W1125,IF(BZ1125="2+3",IF(ISNUMBER(SEARCH("grosser Artikel",BR1125)),2,IFERROR(VLOOKUP(BU1125,Parameter!$F$35:$G$64,2,0),2)),IF(OR(BZ1125="Nein",BZ1125=""),"-",BZ1125))))</f>
        <v>3</v>
      </c>
      <c r="AA1125" s="55"/>
      <c r="AB1125" s="56"/>
      <c r="AC1125" s="50" t="n">
        <f aca="false">AT1125</f>
        <v>5</v>
      </c>
      <c r="AD1125" s="50" t="n">
        <f aca="false">MAX(AT1125,H1125)</f>
        <v>5</v>
      </c>
      <c r="AE1125" s="57"/>
      <c r="AF1125" s="50" t="n">
        <f aca="false">IF(LEFT(Cockpit!$C$5,1)="A",H1125,IF(CE1125=1,CF1125,IF(LEFT(Cockpit!$C$5,1)="B",AK1125,MAX(AK1125,H1125))))</f>
        <v>2</v>
      </c>
      <c r="AG1125" s="50" t="n">
        <f aca="false">IF(BW1125=1,0,ROUNDUP(AF1125/BV1125,0))</f>
        <v>1</v>
      </c>
      <c r="AH1125" s="52" t="n">
        <f aca="false">IF(CL1125&gt;0,CL1125*MAX(1,AF1125/X1125),IF(BW1125=1,IF(AF1125&lt;=0,0,CA1125*MAX(1,IF(H1125&gt;0,AF1125/H1125,1))),IF(R1125&gt;0,AG1125/R1125,0))/MAX(0.1,N(Parameter!$M$21)))</f>
        <v>0.00961538461538462</v>
      </c>
      <c r="AI1125" s="50" t="n">
        <f aca="false">AH1125*BY1125</f>
        <v>1.49038461538462</v>
      </c>
      <c r="AJ1125" s="50" t="n">
        <f aca="false">AF1125*G1125</f>
        <v>246.84</v>
      </c>
      <c r="AK1125" s="50" t="n">
        <f aca="false">ROUNDUP(MAX(J1125/IF(CD1125&gt;0,CD1125,MAX(0.1,N(Cockpit!$C$6))),CG1125)/BV1125,0)*BV1125</f>
        <v>5</v>
      </c>
      <c r="AL1125" s="51" t="n">
        <f aca="false">IF(AI1125&gt;0,J1125/AI1125,-1)</f>
        <v>1.34193548387097</v>
      </c>
      <c r="AM1125" s="51" t="n">
        <f aca="false">IF(AND(OR(CC1125="L1",CC1125="L23",CC1125="LIFT"),AI1125&gt;0),SUMIFS($AI$7:$AI$1843,$CC$7:$CC$1843,CC1125,$AL$7:$AL$1843,"&gt;"&amp;AL1125)+SUMIFS($AI$7:$AI$1843,$CC$7:$CC$1843,CC1125,$AL$7:$AL$1843,AL1125,$BT$7:$BT$1843,"&lt;="&amp;BT1125),"")</f>
        <v>6350.52289377289</v>
      </c>
      <c r="AN1125" s="58" t="n">
        <f aca="false">IF(AM1125="",0,MAX(0,MIN(1,(IF(CC1125="L1",Parameter!$H$5,IF(CC1125="L23",Parameter!$H$6+Parameter!$H$7,Parameter!$H$5+Parameter!$H$6+Parameter!$H$7))-(AM1125-AI1125))/AI1125)))</f>
        <v>1</v>
      </c>
      <c r="AO1125" s="50" t="n">
        <f aca="false">IF(LEFT(Cockpit!$I$5,1)="A",H1125,IF(CE1125=1,CF1125,IF(LEFT(Cockpit!$I$5,1)="B",AT1125,MAX(AT1125,H1125))))</f>
        <v>5</v>
      </c>
      <c r="AP1125" s="50" t="n">
        <f aca="false">IF(BW1125=1,0,ROUNDUP(AO1125/BV1125,0))</f>
        <v>1</v>
      </c>
      <c r="AQ1125" s="52" t="n">
        <f aca="false">IF(CL1125&gt;0,CL1125*MAX(1,AO1125/X1125),IF(BW1125=1,IF(AO1125&lt;=0,0,CA1125*MAX(1,IF(H1125&gt;0,AO1125/H1125,1))),IF(R1125&gt;0,AP1125/R1125,0))/MAX(0.1,N(Parameter!$M$21)))</f>
        <v>0.00961538461538462</v>
      </c>
      <c r="AR1125" s="50" t="n">
        <f aca="false">AQ1125*BY1125</f>
        <v>1.49038461538462</v>
      </c>
      <c r="AS1125" s="50" t="n">
        <f aca="false">AO1125*G1125</f>
        <v>617.1</v>
      </c>
      <c r="AT1125" s="50" t="n">
        <f aca="false">ROUNDUP(MAX(J1125/IF(CD1125&gt;0,CD1125,MAX(0.1,N(Cockpit!$I$6))),CG1125)/BV1125,0)*BV1125</f>
        <v>5</v>
      </c>
      <c r="AU1125" s="51" t="n">
        <f aca="false">IF(AR1125&gt;0,J1125/AR1125,-1)</f>
        <v>1.34193548387097</v>
      </c>
      <c r="AV1125" s="51" t="n">
        <f aca="false">IF(AND(OR(CC1125="L1",CC1125="L23",CC1125="LIFT"),AR1125&gt;0),SUMIFS($AR$7:$AR$1843,$CC$7:$CC$1843,CC1125,$AU$7:$AU$1843,"&gt;"&amp;AU1125)+SUMIFS($AR$7:$AR$1843,$CC$7:$CC$1843,CC1125,$AU$7:$AU$1843,AU1125,$BT$7:$BT$1843,"&lt;="&amp;BT1125),"")</f>
        <v>9421.01053113553</v>
      </c>
      <c r="AW1125" s="58" t="n">
        <f aca="false">IF(AV1125="",0,MAX(0,MIN(1,(IF(CC1125="L1",Parameter!$H$5,IF(CC1125="L23",Parameter!$H$6+Parameter!$H$7,Parameter!$H$5+Parameter!$H$6+Parameter!$H$7))-(AV1125-AR1125))/AR1125)))</f>
        <v>1</v>
      </c>
      <c r="AX1125" s="50" t="n">
        <f aca="false">IF(LEFT(Cockpit!$O$5,1)="A",H1125,IF(CE1125=1,CF1125,IF(LEFT(Cockpit!$O$5,1)="B",BC1125,MAX(BC1125,H1125))))</f>
        <v>5</v>
      </c>
      <c r="AY1125" s="50" t="n">
        <f aca="false">IF(BW1125=1,0,ROUNDUP(AX1125/BV1125,0))</f>
        <v>1</v>
      </c>
      <c r="AZ1125" s="52" t="n">
        <f aca="false">IF(CL1125&gt;0,CL1125*MAX(1,AX1125/X1125),IF(BW1125=1,IF(AX1125&lt;=0,0,CA1125*MAX(1,IF(H1125&gt;0,AX1125/H1125,1))),IF(R1125&gt;0,AY1125/R1125,0))/MAX(0.1,N(Parameter!$M$21)))</f>
        <v>0.00961538461538462</v>
      </c>
      <c r="BA1125" s="50" t="n">
        <f aca="false">AZ1125*BY1125</f>
        <v>1.49038461538462</v>
      </c>
      <c r="BB1125" s="50" t="n">
        <f aca="false">AX1125*G1125</f>
        <v>617.1</v>
      </c>
      <c r="BC1125" s="50" t="n">
        <f aca="false">ROUNDUP(MAX(J1125/IF(CD1125&gt;0,CD1125,MAX(0.1,N(Cockpit!$O$6))),CG1125)/BV1125,0)*BV1125</f>
        <v>5</v>
      </c>
      <c r="BD1125" s="51" t="n">
        <f aca="false">IF(BA1125&gt;0,J1125/BA1125,-1)</f>
        <v>1.34193548387097</v>
      </c>
      <c r="BE1125" s="51" t="n">
        <f aca="false">IF(AND(OR(CC1125="L1",CC1125="L23",CC1125="LIFT"),BA1125&gt;0),SUMIFS($BA$7:$BA$1843,$CC$7:$CC$1843,CC1125,$BD$7:$BD$1843,"&gt;"&amp;BD1125)+SUMIFS($BA$7:$BA$1843,$CC$7:$CC$1843,CC1125,$BD$7:$BD$1843,BD1125,$BT$7:$BT$1843,"&lt;="&amp;BT1125),"")</f>
        <v>8606.66758241758</v>
      </c>
      <c r="BF1125" s="58" t="n">
        <f aca="false">IF(BE1125="",0,MAX(0,MIN(1,(IF(CC1125="L1",Parameter!$H$5,IF(CC1125="L23",Parameter!$H$6+Parameter!$H$7,Parameter!$H$5+Parameter!$H$6+Parameter!$H$7))-(BE1125-BA1125))/BA1125)))</f>
        <v>1</v>
      </c>
      <c r="BG1125" s="48" t="str">
        <f aca="false">IF(AI1125&lt;=0,"",IF(CC1125="Aussen","Aussenlager",IF(CC1125="-","Nicht im Lift",IF(AN1125&gt;=1,"Lift",IF(AN1125&lt;=0,"Aussenlager","teilweise")))))</f>
        <v>Lift</v>
      </c>
      <c r="BH1125" s="48" t="str">
        <f aca="false">IF(AR1125&lt;=0,"",IF(CC1125="Aussen","Aussenlager",IF(CC1125="-","Nicht im Lift",IF(AW1125&gt;=1,"Lift",IF(AW1125&lt;=0,"Aussenlager","teilweise")))))</f>
        <v>Lift</v>
      </c>
      <c r="BI1125" s="48" t="str">
        <f aca="false">IF(BA1125&lt;=0,"",IF(CC1125="Aussen","Aussenlager",IF(CC1125="-","Nicht im Lift",IF(BF1125&gt;=1,"Lift",IF(BF1125&lt;=0,"Aussenlager","teilweise")))))</f>
        <v>Lift</v>
      </c>
      <c r="BJ1125" s="48" t="str">
        <f aca="false">IF(A1125="","",IF(BS1125=1,"Neu; ","")&amp;IF(AND(BS1125=0,BN1125&lt;0),"negativer Bestand (Export "&amp;BN1125&amp;"); ","")&amp;IF(J1125&lt;=0,"Kein Verbrauch; ","")&amp;IF(CL1125&gt;0,"Lift "&amp;W1125&amp;" lt. Liftbericht (Fach "&amp;X1125&amp;" Stk); ",IF(BX1125=1,"Gebinde geschätzt ("&amp;T1125&amp;"); ",IF(BW1125=1,"Lose – Tablare geschätzt; ","")))&amp;IF(H1125&gt;AT1125,"Überbestand "&amp;ROUND(H1125-AT1125,0)&amp;" Stk / CHF "&amp;ROUND((H1125-AT1125)*G1125,0)&amp;"; ","")&amp;IF(AND(CE1125=1,CF1125&lt;CG1125),"MAX &lt; MB+LG; ","")&amp;IF(AND(CK1125&gt;0,CJ1125*10&gt;CK1125),"zu hoch für Tablar; ","")&amp;IF(AND(BS1125=0,OR(CE1125=1,AA1125&lt;&gt;"",U1125&lt;&gt;"",V1125&lt;&gt;"",AB1125&lt;&gt;"")),"manuell übersteuert; ","")&amp;IF(AND(BW1125=0,R1125=0),"Gebinde unbekannt / Stellmass fehlt; ","")&amp;IF(AND(BW1125=0,N(V1125)&lt;=0,N(Q1125)&lt;=0),"Menge pro Gebinde fehlt (Ist = 1 Gebinde); ","")&amp;BR1125)</f>
        <v>negativer Bestand (Export -2); </v>
      </c>
      <c r="BK1125" s="48"/>
      <c r="BL1125" s="48"/>
      <c r="BM1125" s="55"/>
      <c r="BN1125" s="50" t="n">
        <v>-2</v>
      </c>
      <c r="BO1125" s="50" t="n">
        <v>4</v>
      </c>
      <c r="BP1125" s="49" t="n">
        <v>-246.84</v>
      </c>
      <c r="BQ1125" s="50" t="n">
        <v>2</v>
      </c>
      <c r="BR1125" s="48"/>
      <c r="BS1125" s="53" t="n">
        <v>0</v>
      </c>
      <c r="BT1125" s="53" t="n">
        <v>1125</v>
      </c>
      <c r="BU1125" s="48" t="str">
        <f aca="false">IF(U1125&lt;&gt;"",UPPER(TRIM(U1125)),IF(BX1125=1,UPPER(VLOOKUP(T1125,Parameter!$I$27:$K$29,2,0)),IF(P1125="","LOSE",P1125)))</f>
        <v>S32</v>
      </c>
      <c r="BV1125" s="50" t="n">
        <f aca="false">IF(BU1125="LOSE",1,IF(N(V1125)&gt;0,V1125,IF(BX1125=1,MAX(1,N(VLOOKUP(T1125,Parameter!$I$27:$K$29,3,0)),H1125,N(N1125)),IF(N(Q1125)&gt;0,Q1125,MAX(1,H1125)))))</f>
        <v>5</v>
      </c>
      <c r="BW1125" s="53" t="n">
        <f aca="false">IF(BU1125="LOSE",1,0)</f>
        <v>0</v>
      </c>
      <c r="BX1125" s="53" t="n">
        <f aca="false">IF(AND(U1125="",OR(P1125="",P1125="LOSE"),T1125&lt;&gt;"",N(S1125)&lt;=0,ISNUMBER(MATCH(T1125,Parameter!$I$27:$I$29,0))),1,0)</f>
        <v>0</v>
      </c>
      <c r="BY1125" s="53" t="n">
        <f aca="false">IF(CL1125&gt;0,INDEX(Parameter!$H$5:$H$7,W1125)/INDEX(Parameter!$E$5:$E$7,W1125),IF(AND(BW1125=0,N(IFERROR(VLOOKUP(BU1125,'Gebinde-Kategorie'!$A$5:$N$45,14,0),0))&gt;0),VLOOKUP(BU1125,'Gebinde-Kategorie'!$A$5:$N$45,14,0)*10+Parameter!$M$23,Parameter!$M$24))</f>
        <v>155</v>
      </c>
      <c r="BZ1125" s="48" t="str">
        <f aca="false">IF(AND(Parameter!$B$19="Ja",E1125&lt;&gt;"",ISNUMBER(MATCH(E1125,Parameter!$I$35:$I$52,0))),VLOOKUP(E1125,Parameter!$I$35:$J$52,2,0),IFERROR(VLOOKUP(D1125,Parameter!$A$35:$C$64,2,0),"Nein"))</f>
        <v>2+3</v>
      </c>
      <c r="CA1125" s="52" t="n">
        <f aca="false">IF(BW1125=0,0,IF(N(S1125)&gt;0,S1125,IFERROR(VLOOKUP(D1125,Parameter!$A$35:$C$64,3,0)+0,0)))</f>
        <v>0</v>
      </c>
      <c r="CB1125" s="48" t="n">
        <f aca="false">IF(AA1125&lt;&gt;"",AA1125,Z1125)</f>
        <v>3</v>
      </c>
      <c r="CC1125" s="48" t="str">
        <f aca="false">IF(OR(CB1125=1,CB1125=2,CB1125=3),IF(Parameter!$E$27="Ja","LIFT",IF(CB1125=1,"L1","L23")),IF(CB1125="Aussen","Aussen","-"))</f>
        <v>LIFT</v>
      </c>
      <c r="CD1125" s="59" t="n">
        <f aca="false">IF(N(AB1125)&gt;0,AB1125,0)</f>
        <v>0</v>
      </c>
      <c r="CE1125" s="53" t="n">
        <f aca="false">IF(ISNUMBER(AE1125),1,0)</f>
        <v>0</v>
      </c>
      <c r="CF1125" s="50" t="n">
        <f aca="false">N(AE1125)</f>
        <v>0</v>
      </c>
      <c r="CG1125" s="50" t="n">
        <f aca="false">N(M1125)+N(N1125)</f>
        <v>1</v>
      </c>
      <c r="CH1125" s="50" t="n">
        <f aca="false">ROUNDUP(H1125/BV1125,0)</f>
        <v>1</v>
      </c>
      <c r="CI1125" s="50" t="n">
        <f aca="false">ROUNDUP(CF1125/BV1125,0)</f>
        <v>0</v>
      </c>
      <c r="CJ1125" s="53" t="n">
        <f aca="false">IF(BW1125=1,0,IFERROR(VLOOKUP(BU1125,'Gebinde-Kategorie'!$A$5:$N$45,5,0)+0,0))</f>
        <v>8</v>
      </c>
      <c r="CK1125" s="53" t="n">
        <f aca="false">IFERROR(IF(OR(CB1125=1,CB1125=2,CB1125=3),N(INDEX(Parameter!$I$5:$I$7,CB1125)),0),0)</f>
        <v>0</v>
      </c>
      <c r="CL1125" s="52" t="n">
        <f aca="false">IF(AND(Parameter!$B$21="Ja",ISNUMBER(W1125),N(X1125)&gt;0),IFERROR(N(INDEX(Parameter!$L$5:$L$7,W1125))*INDEX(Parameter!$E$5:$E$7,W1125)*X1125/SUMIFS($X$7:$X$1843,$W$7:$W$1843,W1125),0),0)</f>
        <v>0</v>
      </c>
    </row>
    <row r="1126" customFormat="false" ht="15" hidden="false" customHeight="false" outlineLevel="0" collapsed="false">
      <c r="A1126" s="48" t="s">
        <v>2044</v>
      </c>
      <c r="B1126" s="48" t="s">
        <v>2045</v>
      </c>
      <c r="C1126" s="48" t="s">
        <v>168</v>
      </c>
      <c r="D1126" s="48" t="s">
        <v>188</v>
      </c>
      <c r="E1126" s="48" t="s">
        <v>189</v>
      </c>
      <c r="F1126" s="48" t="s">
        <v>222</v>
      </c>
      <c r="G1126" s="49" t="n">
        <v>82.88</v>
      </c>
      <c r="H1126" s="50" t="n">
        <f aca="false">MAX(0,IF(AND(Parameter!$B$21="Ja",ISNUMBER(Y1126)),Y1126,IF(Parameter!$B$20="Jahresanfang 2025 + Export",BO1126+BN1126,BN1126)))</f>
        <v>14</v>
      </c>
      <c r="I1126" s="50" t="n">
        <f aca="false">H1126*G1126</f>
        <v>1160.32</v>
      </c>
      <c r="J1126" s="50" t="n">
        <f aca="false">BQ1126*Parameter!$B$18</f>
        <v>0</v>
      </c>
      <c r="K1126" s="51" t="n">
        <v>17</v>
      </c>
      <c r="L1126" s="52" t="n">
        <v>0</v>
      </c>
      <c r="M1126" s="50" t="n">
        <v>0</v>
      </c>
      <c r="N1126" s="50" t="n">
        <v>1</v>
      </c>
      <c r="O1126" s="53" t="n">
        <v>28</v>
      </c>
      <c r="P1126" s="48" t="s">
        <v>425</v>
      </c>
      <c r="Q1126" s="50" t="n">
        <v>18</v>
      </c>
      <c r="R1126" s="53" t="n">
        <f aca="false">IF(BW1126=1,0,IFERROR(VLOOKUP(BU1126,'Gebinde-Kategorie'!$A$5:$N$45,13,0)+0,0))</f>
        <v>104</v>
      </c>
      <c r="S1126" s="54"/>
      <c r="T1126" s="55"/>
      <c r="U1126" s="55"/>
      <c r="V1126" s="55"/>
      <c r="W1126" s="48"/>
      <c r="X1126" s="50"/>
      <c r="Y1126" s="50"/>
      <c r="Z1126" s="48" t="n">
        <f aca="false">IF(A1126="","",IF(AND(Parameter!$B$21="Ja",ISNUMBER(W1126)),W1126,IF(BZ1126="2+3",IF(ISNUMBER(SEARCH("grosser Artikel",BR1126)),2,IFERROR(VLOOKUP(BU1126,Parameter!$F$35:$G$64,2,0),2)),IF(OR(BZ1126="Nein",BZ1126=""),"-",BZ1126))))</f>
        <v>3</v>
      </c>
      <c r="AA1126" s="55"/>
      <c r="AB1126" s="56"/>
      <c r="AC1126" s="50" t="n">
        <f aca="false">AT1126</f>
        <v>18</v>
      </c>
      <c r="AD1126" s="50" t="n">
        <f aca="false">MAX(AT1126,H1126)</f>
        <v>18</v>
      </c>
      <c r="AE1126" s="57"/>
      <c r="AF1126" s="50" t="n">
        <f aca="false">IF(LEFT(Cockpit!$C$5,1)="A",H1126,IF(CE1126=1,CF1126,IF(LEFT(Cockpit!$C$5,1)="B",AK1126,MAX(AK1126,H1126))))</f>
        <v>14</v>
      </c>
      <c r="AG1126" s="50" t="n">
        <f aca="false">IF(BW1126=1,0,ROUNDUP(AF1126/BV1126,0))</f>
        <v>1</v>
      </c>
      <c r="AH1126" s="52" t="n">
        <f aca="false">IF(CL1126&gt;0,CL1126*MAX(1,AF1126/X1126),IF(BW1126=1,IF(AF1126&lt;=0,0,CA1126*MAX(1,IF(H1126&gt;0,AF1126/H1126,1))),IF(R1126&gt;0,AG1126/R1126,0))/MAX(0.1,N(Parameter!$M$21)))</f>
        <v>0.00961538461538462</v>
      </c>
      <c r="AI1126" s="50" t="n">
        <f aca="false">AH1126*BY1126</f>
        <v>1.49038461538462</v>
      </c>
      <c r="AJ1126" s="50" t="n">
        <f aca="false">AF1126*G1126</f>
        <v>1160.32</v>
      </c>
      <c r="AK1126" s="50" t="n">
        <f aca="false">ROUNDUP(MAX(J1126/IF(CD1126&gt;0,CD1126,MAX(0.1,N(Cockpit!$C$6))),CG1126)/BV1126,0)*BV1126</f>
        <v>18</v>
      </c>
      <c r="AL1126" s="51" t="n">
        <f aca="false">IF(AI1126&gt;0,J1126/AI1126,-1)</f>
        <v>0</v>
      </c>
      <c r="AM1126" s="51" t="n">
        <f aca="false">IF(AND(OR(CC1126="L1",CC1126="L23",CC1126="LIFT"),AI1126&gt;0),SUMIFS($AI$7:$AI$1843,$CC$7:$CC$1843,CC1126,$AL$7:$AL$1843,"&gt;"&amp;AL1126)+SUMIFS($AI$7:$AI$1843,$CC$7:$CC$1843,CC1126,$AL$7:$AL$1843,AL1126,$BT$7:$BT$1843,"&lt;="&amp;BT1126),"")</f>
        <v>29143.4378970841</v>
      </c>
      <c r="AN1126" s="58" t="n">
        <f aca="false">IF(AM1126="",0,MAX(0,MIN(1,(IF(CC1126="L1",Parameter!$H$5,IF(CC1126="L23",Parameter!$H$6+Parameter!$H$7,Parameter!$H$5+Parameter!$H$6+Parameter!$H$7))-(AM1126-AI1126))/AI1126)))</f>
        <v>1</v>
      </c>
      <c r="AO1126" s="50" t="n">
        <f aca="false">IF(LEFT(Cockpit!$I$5,1)="A",H1126,IF(CE1126=1,CF1126,IF(LEFT(Cockpit!$I$5,1)="B",AT1126,MAX(AT1126,H1126))))</f>
        <v>18</v>
      </c>
      <c r="AP1126" s="50" t="n">
        <f aca="false">IF(BW1126=1,0,ROUNDUP(AO1126/BV1126,0))</f>
        <v>1</v>
      </c>
      <c r="AQ1126" s="52" t="n">
        <f aca="false">IF(CL1126&gt;0,CL1126*MAX(1,AO1126/X1126),IF(BW1126=1,IF(AO1126&lt;=0,0,CA1126*MAX(1,IF(H1126&gt;0,AO1126/H1126,1))),IF(R1126&gt;0,AP1126/R1126,0))/MAX(0.1,N(Parameter!$M$21)))</f>
        <v>0.00961538461538462</v>
      </c>
      <c r="AR1126" s="50" t="n">
        <f aca="false">AQ1126*BY1126</f>
        <v>1.49038461538462</v>
      </c>
      <c r="AS1126" s="50" t="n">
        <f aca="false">AO1126*G1126</f>
        <v>1491.84</v>
      </c>
      <c r="AT1126" s="50" t="n">
        <f aca="false">ROUNDUP(MAX(J1126/IF(CD1126&gt;0,CD1126,MAX(0.1,N(Cockpit!$I$6))),CG1126)/BV1126,0)*BV1126</f>
        <v>18</v>
      </c>
      <c r="AU1126" s="51" t="n">
        <f aca="false">IF(AR1126&gt;0,J1126/AR1126,-1)</f>
        <v>0</v>
      </c>
      <c r="AV1126" s="51" t="n">
        <f aca="false">IF(AND(OR(CC1126="L1",CC1126="L23",CC1126="LIFT"),AR1126&gt;0),SUMIFS($AR$7:$AR$1843,$CC$7:$CC$1843,CC1126,$AU$7:$AU$1843,"&gt;"&amp;AU1126)+SUMIFS($AR$7:$AR$1843,$CC$7:$CC$1843,CC1126,$AU$7:$AU$1843,AU1126,$BT$7:$BT$1843,"&lt;="&amp;BT1126),"")</f>
        <v>40888.7165828522</v>
      </c>
      <c r="AW1126" s="58" t="n">
        <f aca="false">IF(AV1126="",0,MAX(0,MIN(1,(IF(CC1126="L1",Parameter!$H$5,IF(CC1126="L23",Parameter!$H$6+Parameter!$H$7,Parameter!$H$5+Parameter!$H$6+Parameter!$H$7))-(AV1126-AR1126))/AR1126)))</f>
        <v>0</v>
      </c>
      <c r="AX1126" s="50" t="n">
        <f aca="false">IF(LEFT(Cockpit!$O$5,1)="A",H1126,IF(CE1126=1,CF1126,IF(LEFT(Cockpit!$O$5,1)="B",BC1126,MAX(BC1126,H1126))))</f>
        <v>18</v>
      </c>
      <c r="AY1126" s="50" t="n">
        <f aca="false">IF(BW1126=1,0,ROUNDUP(AX1126/BV1126,0))</f>
        <v>1</v>
      </c>
      <c r="AZ1126" s="52" t="n">
        <f aca="false">IF(CL1126&gt;0,CL1126*MAX(1,AX1126/X1126),IF(BW1126=1,IF(AX1126&lt;=0,0,CA1126*MAX(1,IF(H1126&gt;0,AX1126/H1126,1))),IF(R1126&gt;0,AY1126/R1126,0))/MAX(0.1,N(Parameter!$M$21)))</f>
        <v>0.00961538461538462</v>
      </c>
      <c r="BA1126" s="50" t="n">
        <f aca="false">AZ1126*BY1126</f>
        <v>1.49038461538462</v>
      </c>
      <c r="BB1126" s="50" t="n">
        <f aca="false">AX1126*G1126</f>
        <v>1491.84</v>
      </c>
      <c r="BC1126" s="50" t="n">
        <f aca="false">ROUNDUP(MAX(J1126/IF(CD1126&gt;0,CD1126,MAX(0.1,N(Cockpit!$O$6))),CG1126)/BV1126,0)*BV1126</f>
        <v>18</v>
      </c>
      <c r="BD1126" s="51" t="n">
        <f aca="false">IF(BA1126&gt;0,J1126/BA1126,-1)</f>
        <v>0</v>
      </c>
      <c r="BE1126" s="51" t="n">
        <f aca="false">IF(AND(OR(CC1126="L1",CC1126="L23",CC1126="LIFT"),BA1126&gt;0),SUMIFS($BA$7:$BA$1843,$CC$7:$CC$1843,CC1126,$BD$7:$BD$1843,"&gt;"&amp;BD1126)+SUMIFS($BA$7:$BA$1843,$CC$7:$CC$1843,CC1126,$BD$7:$BD$1843,BD1126,$BT$7:$BT$1843,"&lt;="&amp;BT1126),"")</f>
        <v>37563.728624718</v>
      </c>
      <c r="BF1126" s="58" t="n">
        <f aca="false">IF(BE1126="",0,MAX(0,MIN(1,(IF(CC1126="L1",Parameter!$H$5,IF(CC1126="L23",Parameter!$H$6+Parameter!$H$7,Parameter!$H$5+Parameter!$H$6+Parameter!$H$7))-(BE1126-BA1126))/BA1126)))</f>
        <v>0</v>
      </c>
      <c r="BG1126" s="48" t="str">
        <f aca="false">IF(AI1126&lt;=0,"",IF(CC1126="Aussen","Aussenlager",IF(CC1126="-","Nicht im Lift",IF(AN1126&gt;=1,"Lift",IF(AN1126&lt;=0,"Aussenlager","teilweise")))))</f>
        <v>Lift</v>
      </c>
      <c r="BH1126" s="48" t="str">
        <f aca="false">IF(AR1126&lt;=0,"",IF(CC1126="Aussen","Aussenlager",IF(CC1126="-","Nicht im Lift",IF(AW1126&gt;=1,"Lift",IF(AW1126&lt;=0,"Aussenlager","teilweise")))))</f>
        <v>Aussenlager</v>
      </c>
      <c r="BI1126" s="48" t="str">
        <f aca="false">IF(BA1126&lt;=0,"",IF(CC1126="Aussen","Aussenlager",IF(CC1126="-","Nicht im Lift",IF(BF1126&gt;=1,"Lift",IF(BF1126&lt;=0,"Aussenlager","teilweise")))))</f>
        <v>Aussenlager</v>
      </c>
      <c r="BJ1126" s="48" t="str">
        <f aca="false">IF(A1126="","",IF(BS1126=1,"Neu; ","")&amp;IF(AND(BS1126=0,BN1126&lt;0),"negativer Bestand (Export "&amp;BN1126&amp;"); ","")&amp;IF(J1126&lt;=0,"Kein Verbrauch; ","")&amp;IF(CL1126&gt;0,"Lift "&amp;W1126&amp;" lt. Liftbericht (Fach "&amp;X1126&amp;" Stk); ",IF(BX1126=1,"Gebinde geschätzt ("&amp;T1126&amp;"); ",IF(BW1126=1,"Lose – Tablare geschätzt; ","")))&amp;IF(H1126&gt;AT1126,"Überbestand "&amp;ROUND(H1126-AT1126,0)&amp;" Stk / CHF "&amp;ROUND((H1126-AT1126)*G1126,0)&amp;"; ","")&amp;IF(AND(CE1126=1,CF1126&lt;CG1126),"MAX &lt; MB+LG; ","")&amp;IF(AND(CK1126&gt;0,CJ1126*10&gt;CK1126),"zu hoch für Tablar; ","")&amp;IF(AND(BS1126=0,OR(CE1126=1,AA1126&lt;&gt;"",U1126&lt;&gt;"",V1126&lt;&gt;"",AB1126&lt;&gt;"")),"manuell übersteuert; ","")&amp;IF(AND(BW1126=0,R1126=0),"Gebinde unbekannt / Stellmass fehlt; ","")&amp;IF(AND(BW1126=0,N(V1126)&lt;=0,N(Q1126)&lt;=0),"Menge pro Gebinde fehlt (Ist = 1 Gebinde); ","")&amp;BR1126)</f>
        <v>negativer Bestand (Export -3); Kein Verbrauch; </v>
      </c>
      <c r="BK1126" s="48"/>
      <c r="BL1126" s="48"/>
      <c r="BM1126" s="55"/>
      <c r="BN1126" s="50" t="n">
        <v>-3</v>
      </c>
      <c r="BO1126" s="50" t="n">
        <v>17</v>
      </c>
      <c r="BP1126" s="49" t="n">
        <v>-248.64</v>
      </c>
      <c r="BQ1126" s="50" t="n">
        <v>0</v>
      </c>
      <c r="BR1126" s="48"/>
      <c r="BS1126" s="53" t="n">
        <v>0</v>
      </c>
      <c r="BT1126" s="53" t="n">
        <v>1126</v>
      </c>
      <c r="BU1126" s="48" t="str">
        <f aca="false">IF(U1126&lt;&gt;"",UPPER(TRIM(U1126)),IF(BX1126=1,UPPER(VLOOKUP(T1126,Parameter!$I$27:$K$29,2,0)),IF(P1126="","LOSE",P1126)))</f>
        <v>S32</v>
      </c>
      <c r="BV1126" s="50" t="n">
        <f aca="false">IF(BU1126="LOSE",1,IF(N(V1126)&gt;0,V1126,IF(BX1126=1,MAX(1,N(VLOOKUP(T1126,Parameter!$I$27:$K$29,3,0)),H1126,N(N1126)),IF(N(Q1126)&gt;0,Q1126,MAX(1,H1126)))))</f>
        <v>18</v>
      </c>
      <c r="BW1126" s="53" t="n">
        <f aca="false">IF(BU1126="LOSE",1,0)</f>
        <v>0</v>
      </c>
      <c r="BX1126" s="53" t="n">
        <f aca="false">IF(AND(U1126="",OR(P1126="",P1126="LOSE"),T1126&lt;&gt;"",N(S1126)&lt;=0,ISNUMBER(MATCH(T1126,Parameter!$I$27:$I$29,0))),1,0)</f>
        <v>0</v>
      </c>
      <c r="BY1126" s="53" t="n">
        <f aca="false">IF(CL1126&gt;0,INDEX(Parameter!$H$5:$H$7,W1126)/INDEX(Parameter!$E$5:$E$7,W1126),IF(AND(BW1126=0,N(IFERROR(VLOOKUP(BU1126,'Gebinde-Kategorie'!$A$5:$N$45,14,0),0))&gt;0),VLOOKUP(BU1126,'Gebinde-Kategorie'!$A$5:$N$45,14,0)*10+Parameter!$M$23,Parameter!$M$24))</f>
        <v>155</v>
      </c>
      <c r="BZ1126" s="48" t="str">
        <f aca="false">IF(AND(Parameter!$B$19="Ja",E1126&lt;&gt;"",ISNUMBER(MATCH(E1126,Parameter!$I$35:$I$52,0))),VLOOKUP(E1126,Parameter!$I$35:$J$52,2,0),IFERROR(VLOOKUP(D1126,Parameter!$A$35:$C$64,2,0),"Nein"))</f>
        <v>2+3</v>
      </c>
      <c r="CA1126" s="52" t="n">
        <f aca="false">IF(BW1126=0,0,IF(N(S1126)&gt;0,S1126,IFERROR(VLOOKUP(D1126,Parameter!$A$35:$C$64,3,0)+0,0)))</f>
        <v>0</v>
      </c>
      <c r="CB1126" s="48" t="n">
        <f aca="false">IF(AA1126&lt;&gt;"",AA1126,Z1126)</f>
        <v>3</v>
      </c>
      <c r="CC1126" s="48" t="str">
        <f aca="false">IF(OR(CB1126=1,CB1126=2,CB1126=3),IF(Parameter!$E$27="Ja","LIFT",IF(CB1126=1,"L1","L23")),IF(CB1126="Aussen","Aussen","-"))</f>
        <v>LIFT</v>
      </c>
      <c r="CD1126" s="59" t="n">
        <f aca="false">IF(N(AB1126)&gt;0,AB1126,0)</f>
        <v>0</v>
      </c>
      <c r="CE1126" s="53" t="n">
        <f aca="false">IF(ISNUMBER(AE1126),1,0)</f>
        <v>0</v>
      </c>
      <c r="CF1126" s="50" t="n">
        <f aca="false">N(AE1126)</f>
        <v>0</v>
      </c>
      <c r="CG1126" s="50" t="n">
        <f aca="false">N(M1126)+N(N1126)</f>
        <v>1</v>
      </c>
      <c r="CH1126" s="50" t="n">
        <f aca="false">ROUNDUP(H1126/BV1126,0)</f>
        <v>1</v>
      </c>
      <c r="CI1126" s="50" t="n">
        <f aca="false">ROUNDUP(CF1126/BV1126,0)</f>
        <v>0</v>
      </c>
      <c r="CJ1126" s="53" t="n">
        <f aca="false">IF(BW1126=1,0,IFERROR(VLOOKUP(BU1126,'Gebinde-Kategorie'!$A$5:$N$45,5,0)+0,0))</f>
        <v>8</v>
      </c>
      <c r="CK1126" s="53" t="n">
        <f aca="false">IFERROR(IF(OR(CB1126=1,CB1126=2,CB1126=3),N(INDEX(Parameter!$I$5:$I$7,CB1126)),0),0)</f>
        <v>0</v>
      </c>
      <c r="CL1126" s="52" t="n">
        <f aca="false">IF(AND(Parameter!$B$21="Ja",ISNUMBER(W1126),N(X1126)&gt;0),IFERROR(N(INDEX(Parameter!$L$5:$L$7,W1126))*INDEX(Parameter!$E$5:$E$7,W1126)*X1126/SUMIFS($X$7:$X$1843,$W$7:$W$1843,W1126),0),0)</f>
        <v>0</v>
      </c>
    </row>
    <row r="1127" customFormat="false" ht="15" hidden="false" customHeight="false" outlineLevel="0" collapsed="false">
      <c r="A1127" s="48" t="s">
        <v>2046</v>
      </c>
      <c r="B1127" s="48" t="s">
        <v>753</v>
      </c>
      <c r="C1127" s="48" t="s">
        <v>168</v>
      </c>
      <c r="D1127" s="48" t="s">
        <v>188</v>
      </c>
      <c r="E1127" s="48"/>
      <c r="F1127" s="48" t="s">
        <v>222</v>
      </c>
      <c r="G1127" s="49" t="n">
        <v>64.13</v>
      </c>
      <c r="H1127" s="50" t="n">
        <f aca="false">MAX(0,IF(AND(Parameter!$B$21="Ja",ISNUMBER(Y1127)),Y1127,IF(Parameter!$B$20="Jahresanfang 2025 + Export",BO1127+BN1127,BN1127)))</f>
        <v>6</v>
      </c>
      <c r="I1127" s="50" t="n">
        <f aca="false">H1127*G1127</f>
        <v>384.78</v>
      </c>
      <c r="J1127" s="50" t="n">
        <f aca="false">BQ1127*Parameter!$B$18</f>
        <v>7</v>
      </c>
      <c r="K1127" s="51" t="n">
        <v>11.5</v>
      </c>
      <c r="L1127" s="52" t="n">
        <v>0.608695652173913</v>
      </c>
      <c r="M1127" s="50" t="n">
        <v>0</v>
      </c>
      <c r="N1127" s="50" t="n">
        <v>5</v>
      </c>
      <c r="O1127" s="53" t="n">
        <v>35</v>
      </c>
      <c r="P1127" s="48" t="s">
        <v>425</v>
      </c>
      <c r="Q1127" s="50" t="n">
        <v>12</v>
      </c>
      <c r="R1127" s="53" t="n">
        <f aca="false">IF(BW1127=1,0,IFERROR(VLOOKUP(BU1127,'Gebinde-Kategorie'!$A$5:$N$45,13,0)+0,0))</f>
        <v>104</v>
      </c>
      <c r="S1127" s="54"/>
      <c r="T1127" s="55"/>
      <c r="U1127" s="55"/>
      <c r="V1127" s="55"/>
      <c r="W1127" s="48"/>
      <c r="X1127" s="50"/>
      <c r="Y1127" s="50"/>
      <c r="Z1127" s="48" t="n">
        <f aca="false">IF(A1127="","",IF(AND(Parameter!$B$21="Ja",ISNUMBER(W1127)),W1127,IF(BZ1127="2+3",IF(ISNUMBER(SEARCH("grosser Artikel",BR1127)),2,IFERROR(VLOOKUP(BU1127,Parameter!$F$35:$G$64,2,0),2)),IF(OR(BZ1127="Nein",BZ1127=""),"-",BZ1127))))</f>
        <v>3</v>
      </c>
      <c r="AA1127" s="55"/>
      <c r="AB1127" s="56"/>
      <c r="AC1127" s="50" t="n">
        <f aca="false">AT1127</f>
        <v>12</v>
      </c>
      <c r="AD1127" s="50" t="n">
        <f aca="false">MAX(AT1127,H1127)</f>
        <v>12</v>
      </c>
      <c r="AE1127" s="57"/>
      <c r="AF1127" s="50" t="n">
        <f aca="false">IF(LEFT(Cockpit!$C$5,1)="A",H1127,IF(CE1127=1,CF1127,IF(LEFT(Cockpit!$C$5,1)="B",AK1127,MAX(AK1127,H1127))))</f>
        <v>6</v>
      </c>
      <c r="AG1127" s="50" t="n">
        <f aca="false">IF(BW1127=1,0,ROUNDUP(AF1127/BV1127,0))</f>
        <v>1</v>
      </c>
      <c r="AH1127" s="52" t="n">
        <f aca="false">IF(CL1127&gt;0,CL1127*MAX(1,AF1127/X1127),IF(BW1127=1,IF(AF1127&lt;=0,0,CA1127*MAX(1,IF(H1127&gt;0,AF1127/H1127,1))),IF(R1127&gt;0,AG1127/R1127,0))/MAX(0.1,N(Parameter!$M$21)))</f>
        <v>0.00961538461538462</v>
      </c>
      <c r="AI1127" s="50" t="n">
        <f aca="false">AH1127*BY1127</f>
        <v>1.49038461538462</v>
      </c>
      <c r="AJ1127" s="50" t="n">
        <f aca="false">AF1127*G1127</f>
        <v>384.78</v>
      </c>
      <c r="AK1127" s="50" t="n">
        <f aca="false">ROUNDUP(MAX(J1127/IF(CD1127&gt;0,CD1127,MAX(0.1,N(Cockpit!$C$6))),CG1127)/BV1127,0)*BV1127</f>
        <v>12</v>
      </c>
      <c r="AL1127" s="51" t="n">
        <f aca="false">IF(AI1127&gt;0,J1127/AI1127,-1)</f>
        <v>4.69677419354839</v>
      </c>
      <c r="AM1127" s="51" t="n">
        <f aca="false">IF(AND(OR(CC1127="L1",CC1127="L23",CC1127="LIFT"),AI1127&gt;0),SUMIFS($AI$7:$AI$1843,$CC$7:$CC$1843,CC1127,$AL$7:$AL$1843,"&gt;"&amp;AL1127)+SUMIFS($AI$7:$AI$1843,$CC$7:$CC$1843,CC1127,$AL$7:$AL$1843,AL1127,$BT$7:$BT$1843,"&lt;="&amp;BT1127),"")</f>
        <v>4120.46657509158</v>
      </c>
      <c r="AN1127" s="58" t="n">
        <f aca="false">IF(AM1127="",0,MAX(0,MIN(1,(IF(CC1127="L1",Parameter!$H$5,IF(CC1127="L23",Parameter!$H$6+Parameter!$H$7,Parameter!$H$5+Parameter!$H$6+Parameter!$H$7))-(AM1127-AI1127))/AI1127)))</f>
        <v>1</v>
      </c>
      <c r="AO1127" s="50" t="n">
        <f aca="false">IF(LEFT(Cockpit!$I$5,1)="A",H1127,IF(CE1127=1,CF1127,IF(LEFT(Cockpit!$I$5,1)="B",AT1127,MAX(AT1127,H1127))))</f>
        <v>12</v>
      </c>
      <c r="AP1127" s="50" t="n">
        <f aca="false">IF(BW1127=1,0,ROUNDUP(AO1127/BV1127,0))</f>
        <v>1</v>
      </c>
      <c r="AQ1127" s="52" t="n">
        <f aca="false">IF(CL1127&gt;0,CL1127*MAX(1,AO1127/X1127),IF(BW1127=1,IF(AO1127&lt;=0,0,CA1127*MAX(1,IF(H1127&gt;0,AO1127/H1127,1))),IF(R1127&gt;0,AP1127/R1127,0))/MAX(0.1,N(Parameter!$M$21)))</f>
        <v>0.00961538461538462</v>
      </c>
      <c r="AR1127" s="50" t="n">
        <f aca="false">AQ1127*BY1127</f>
        <v>1.49038461538462</v>
      </c>
      <c r="AS1127" s="50" t="n">
        <f aca="false">AO1127*G1127</f>
        <v>769.56</v>
      </c>
      <c r="AT1127" s="50" t="n">
        <f aca="false">ROUNDUP(MAX(J1127/IF(CD1127&gt;0,CD1127,MAX(0.1,N(Cockpit!$I$6))),CG1127)/BV1127,0)*BV1127</f>
        <v>12</v>
      </c>
      <c r="AU1127" s="51" t="n">
        <f aca="false">IF(AR1127&gt;0,J1127/AR1127,-1)</f>
        <v>4.69677419354839</v>
      </c>
      <c r="AV1127" s="51" t="n">
        <f aca="false">IF(AND(OR(CC1127="L1",CC1127="L23",CC1127="LIFT"),AR1127&gt;0),SUMIFS($AR$7:$AR$1843,$CC$7:$CC$1843,CC1127,$AU$7:$AU$1843,"&gt;"&amp;AU1127)+SUMIFS($AR$7:$AR$1843,$CC$7:$CC$1843,CC1127,$AU$7:$AU$1843,AU1127,$BT$7:$BT$1843,"&lt;="&amp;BT1127),"")</f>
        <v>5214.63782051282</v>
      </c>
      <c r="AW1127" s="58" t="n">
        <f aca="false">IF(AV1127="",0,MAX(0,MIN(1,(IF(CC1127="L1",Parameter!$H$5,IF(CC1127="L23",Parameter!$H$6+Parameter!$H$7,Parameter!$H$5+Parameter!$H$6+Parameter!$H$7))-(AV1127-AR1127))/AR1127)))</f>
        <v>1</v>
      </c>
      <c r="AX1127" s="50" t="n">
        <f aca="false">IF(LEFT(Cockpit!$O$5,1)="A",H1127,IF(CE1127=1,CF1127,IF(LEFT(Cockpit!$O$5,1)="B",BC1127,MAX(BC1127,H1127))))</f>
        <v>12</v>
      </c>
      <c r="AY1127" s="50" t="n">
        <f aca="false">IF(BW1127=1,0,ROUNDUP(AX1127/BV1127,0))</f>
        <v>1</v>
      </c>
      <c r="AZ1127" s="52" t="n">
        <f aca="false">IF(CL1127&gt;0,CL1127*MAX(1,AX1127/X1127),IF(BW1127=1,IF(AX1127&lt;=0,0,CA1127*MAX(1,IF(H1127&gt;0,AX1127/H1127,1))),IF(R1127&gt;0,AY1127/R1127,0))/MAX(0.1,N(Parameter!$M$21)))</f>
        <v>0.00961538461538462</v>
      </c>
      <c r="BA1127" s="50" t="n">
        <f aca="false">AZ1127*BY1127</f>
        <v>1.49038461538462</v>
      </c>
      <c r="BB1127" s="50" t="n">
        <f aca="false">AX1127*G1127</f>
        <v>769.56</v>
      </c>
      <c r="BC1127" s="50" t="n">
        <f aca="false">ROUNDUP(MAX(J1127/IF(CD1127&gt;0,CD1127,MAX(0.1,N(Cockpit!$O$6))),CG1127)/BV1127,0)*BV1127</f>
        <v>12</v>
      </c>
      <c r="BD1127" s="51" t="n">
        <f aca="false">IF(BA1127&gt;0,J1127/BA1127,-1)</f>
        <v>4.69677419354839</v>
      </c>
      <c r="BE1127" s="51" t="n">
        <f aca="false">IF(AND(OR(CC1127="L1",CC1127="L23",CC1127="LIFT"),BA1127&gt;0),SUMIFS($BA$7:$BA$1843,$CC$7:$CC$1843,CC1127,$BD$7:$BD$1843,"&gt;"&amp;BD1127)+SUMIFS($BA$7:$BA$1843,$CC$7:$CC$1843,CC1127,$BD$7:$BD$1843,BD1127,$BT$7:$BT$1843,"&lt;="&amp;BT1127),"")</f>
        <v>4885.10256410256</v>
      </c>
      <c r="BF1127" s="58" t="n">
        <f aca="false">IF(BE1127="",0,MAX(0,MIN(1,(IF(CC1127="L1",Parameter!$H$5,IF(CC1127="L23",Parameter!$H$6+Parameter!$H$7,Parameter!$H$5+Parameter!$H$6+Parameter!$H$7))-(BE1127-BA1127))/BA1127)))</f>
        <v>1</v>
      </c>
      <c r="BG1127" s="48" t="str">
        <f aca="false">IF(AI1127&lt;=0,"",IF(CC1127="Aussen","Aussenlager",IF(CC1127="-","Nicht im Lift",IF(AN1127&gt;=1,"Lift",IF(AN1127&lt;=0,"Aussenlager","teilweise")))))</f>
        <v>Lift</v>
      </c>
      <c r="BH1127" s="48" t="str">
        <f aca="false">IF(AR1127&lt;=0,"",IF(CC1127="Aussen","Aussenlager",IF(CC1127="-","Nicht im Lift",IF(AW1127&gt;=1,"Lift",IF(AW1127&lt;=0,"Aussenlager","teilweise")))))</f>
        <v>Lift</v>
      </c>
      <c r="BI1127" s="48" t="str">
        <f aca="false">IF(BA1127&lt;=0,"",IF(CC1127="Aussen","Aussenlager",IF(CC1127="-","Nicht im Lift",IF(BF1127&gt;=1,"Lift",IF(BF1127&lt;=0,"Aussenlager","teilweise")))))</f>
        <v>Lift</v>
      </c>
      <c r="BJ1127" s="48" t="str">
        <f aca="false">IF(A1127="","",IF(BS1127=1,"Neu; ","")&amp;IF(AND(BS1127=0,BN1127&lt;0),"negativer Bestand (Export "&amp;BN1127&amp;"); ","")&amp;IF(J1127&lt;=0,"Kein Verbrauch; ","")&amp;IF(CL1127&gt;0,"Lift "&amp;W1127&amp;" lt. Liftbericht (Fach "&amp;X1127&amp;" Stk); ",IF(BX1127=1,"Gebinde geschätzt ("&amp;T1127&amp;"); ",IF(BW1127=1,"Lose – Tablare geschätzt; ","")))&amp;IF(H1127&gt;AT1127,"Überbestand "&amp;ROUND(H1127-AT1127,0)&amp;" Stk / CHF "&amp;ROUND((H1127-AT1127)*G1127,0)&amp;"; ","")&amp;IF(AND(CE1127=1,CF1127&lt;CG1127),"MAX &lt; MB+LG; ","")&amp;IF(AND(CK1127&gt;0,CJ1127*10&gt;CK1127),"zu hoch für Tablar; ","")&amp;IF(AND(BS1127=0,OR(CE1127=1,AA1127&lt;&gt;"",U1127&lt;&gt;"",V1127&lt;&gt;"",AB1127&lt;&gt;"")),"manuell übersteuert; ","")&amp;IF(AND(BW1127=0,R1127=0),"Gebinde unbekannt / Stellmass fehlt; ","")&amp;IF(AND(BW1127=0,N(V1127)&lt;=0,N(Q1127)&lt;=0),"Menge pro Gebinde fehlt (Ist = 1 Gebinde); ","")&amp;BR1127)</f>
        <v>negativer Bestand (Export -4); </v>
      </c>
      <c r="BK1127" s="48"/>
      <c r="BL1127" s="48"/>
      <c r="BM1127" s="55"/>
      <c r="BN1127" s="50" t="n">
        <v>-4</v>
      </c>
      <c r="BO1127" s="50" t="n">
        <v>10</v>
      </c>
      <c r="BP1127" s="49" t="n">
        <v>-249.82</v>
      </c>
      <c r="BQ1127" s="50" t="n">
        <v>7</v>
      </c>
      <c r="BR1127" s="48"/>
      <c r="BS1127" s="53" t="n">
        <v>0</v>
      </c>
      <c r="BT1127" s="53" t="n">
        <v>1127</v>
      </c>
      <c r="BU1127" s="48" t="str">
        <f aca="false">IF(U1127&lt;&gt;"",UPPER(TRIM(U1127)),IF(BX1127=1,UPPER(VLOOKUP(T1127,Parameter!$I$27:$K$29,2,0)),IF(P1127="","LOSE",P1127)))</f>
        <v>S32</v>
      </c>
      <c r="BV1127" s="50" t="n">
        <f aca="false">IF(BU1127="LOSE",1,IF(N(V1127)&gt;0,V1127,IF(BX1127=1,MAX(1,N(VLOOKUP(T1127,Parameter!$I$27:$K$29,3,0)),H1127,N(N1127)),IF(N(Q1127)&gt;0,Q1127,MAX(1,H1127)))))</f>
        <v>12</v>
      </c>
      <c r="BW1127" s="53" t="n">
        <f aca="false">IF(BU1127="LOSE",1,0)</f>
        <v>0</v>
      </c>
      <c r="BX1127" s="53" t="n">
        <f aca="false">IF(AND(U1127="",OR(P1127="",P1127="LOSE"),T1127&lt;&gt;"",N(S1127)&lt;=0,ISNUMBER(MATCH(T1127,Parameter!$I$27:$I$29,0))),1,0)</f>
        <v>0</v>
      </c>
      <c r="BY1127" s="53" t="n">
        <f aca="false">IF(CL1127&gt;0,INDEX(Parameter!$H$5:$H$7,W1127)/INDEX(Parameter!$E$5:$E$7,W1127),IF(AND(BW1127=0,N(IFERROR(VLOOKUP(BU1127,'Gebinde-Kategorie'!$A$5:$N$45,14,0),0))&gt;0),VLOOKUP(BU1127,'Gebinde-Kategorie'!$A$5:$N$45,14,0)*10+Parameter!$M$23,Parameter!$M$24))</f>
        <v>155</v>
      </c>
      <c r="BZ1127" s="48" t="str">
        <f aca="false">IF(AND(Parameter!$B$19="Ja",E1127&lt;&gt;"",ISNUMBER(MATCH(E1127,Parameter!$I$35:$I$52,0))),VLOOKUP(E1127,Parameter!$I$35:$J$52,2,0),IFERROR(VLOOKUP(D1127,Parameter!$A$35:$C$64,2,0),"Nein"))</f>
        <v>2+3</v>
      </c>
      <c r="CA1127" s="52" t="n">
        <f aca="false">IF(BW1127=0,0,IF(N(S1127)&gt;0,S1127,IFERROR(VLOOKUP(D1127,Parameter!$A$35:$C$64,3,0)+0,0)))</f>
        <v>0</v>
      </c>
      <c r="CB1127" s="48" t="n">
        <f aca="false">IF(AA1127&lt;&gt;"",AA1127,Z1127)</f>
        <v>3</v>
      </c>
      <c r="CC1127" s="48" t="str">
        <f aca="false">IF(OR(CB1127=1,CB1127=2,CB1127=3),IF(Parameter!$E$27="Ja","LIFT",IF(CB1127=1,"L1","L23")),IF(CB1127="Aussen","Aussen","-"))</f>
        <v>LIFT</v>
      </c>
      <c r="CD1127" s="59" t="n">
        <f aca="false">IF(N(AB1127)&gt;0,AB1127,0)</f>
        <v>0</v>
      </c>
      <c r="CE1127" s="53" t="n">
        <f aca="false">IF(ISNUMBER(AE1127),1,0)</f>
        <v>0</v>
      </c>
      <c r="CF1127" s="50" t="n">
        <f aca="false">N(AE1127)</f>
        <v>0</v>
      </c>
      <c r="CG1127" s="50" t="n">
        <f aca="false">N(M1127)+N(N1127)</f>
        <v>5</v>
      </c>
      <c r="CH1127" s="50" t="n">
        <f aca="false">ROUNDUP(H1127/BV1127,0)</f>
        <v>1</v>
      </c>
      <c r="CI1127" s="50" t="n">
        <f aca="false">ROUNDUP(CF1127/BV1127,0)</f>
        <v>0</v>
      </c>
      <c r="CJ1127" s="53" t="n">
        <f aca="false">IF(BW1127=1,0,IFERROR(VLOOKUP(BU1127,'Gebinde-Kategorie'!$A$5:$N$45,5,0)+0,0))</f>
        <v>8</v>
      </c>
      <c r="CK1127" s="53" t="n">
        <f aca="false">IFERROR(IF(OR(CB1127=1,CB1127=2,CB1127=3),N(INDEX(Parameter!$I$5:$I$7,CB1127)),0),0)</f>
        <v>0</v>
      </c>
      <c r="CL1127" s="52" t="n">
        <f aca="false">IF(AND(Parameter!$B$21="Ja",ISNUMBER(W1127),N(X1127)&gt;0),IFERROR(N(INDEX(Parameter!$L$5:$L$7,W1127))*INDEX(Parameter!$E$5:$E$7,W1127)*X1127/SUMIFS($X$7:$X$1843,$W$7:$W$1843,W1127),0),0)</f>
        <v>0</v>
      </c>
    </row>
    <row r="1128" customFormat="false" ht="15" hidden="false" customHeight="false" outlineLevel="0" collapsed="false">
      <c r="A1128" s="48" t="s">
        <v>2047</v>
      </c>
      <c r="B1128" s="48" t="s">
        <v>435</v>
      </c>
      <c r="C1128" s="48" t="s">
        <v>168</v>
      </c>
      <c r="D1128" s="48" t="s">
        <v>188</v>
      </c>
      <c r="E1128" s="48" t="s">
        <v>189</v>
      </c>
      <c r="F1128" s="48" t="s">
        <v>222</v>
      </c>
      <c r="G1128" s="49" t="n">
        <v>63.5</v>
      </c>
      <c r="H1128" s="50" t="n">
        <f aca="false">MAX(0,IF(AND(Parameter!$B$21="Ja",ISNUMBER(Y1128)),Y1128,IF(Parameter!$B$20="Jahresanfang 2025 + Export",BO1128+BN1128,BN1128)))</f>
        <v>42</v>
      </c>
      <c r="I1128" s="50" t="n">
        <f aca="false">H1128*G1128</f>
        <v>2667</v>
      </c>
      <c r="J1128" s="50" t="n">
        <f aca="false">BQ1128*Parameter!$B$18</f>
        <v>0</v>
      </c>
      <c r="K1128" s="51" t="n">
        <v>46</v>
      </c>
      <c r="L1128" s="52" t="n">
        <v>0</v>
      </c>
      <c r="M1128" s="50" t="n">
        <v>0</v>
      </c>
      <c r="N1128" s="50" t="n">
        <v>1</v>
      </c>
      <c r="O1128" s="53" t="n">
        <v>70</v>
      </c>
      <c r="P1128" s="48" t="s">
        <v>237</v>
      </c>
      <c r="Q1128" s="50" t="n">
        <v>45</v>
      </c>
      <c r="R1128" s="53" t="n">
        <f aca="false">IF(BW1128=1,0,IFERROR(VLOOKUP(BU1128,'Gebinde-Kategorie'!$A$5:$N$45,13,0)+0,0))</f>
        <v>26</v>
      </c>
      <c r="S1128" s="54"/>
      <c r="T1128" s="55"/>
      <c r="U1128" s="55"/>
      <c r="V1128" s="55"/>
      <c r="W1128" s="48"/>
      <c r="X1128" s="50"/>
      <c r="Y1128" s="50"/>
      <c r="Z1128" s="48" t="n">
        <f aca="false">IF(A1128="","",IF(AND(Parameter!$B$21="Ja",ISNUMBER(W1128)),W1128,IF(BZ1128="2+3",IF(ISNUMBER(SEARCH("grosser Artikel",BR1128)),2,IFERROR(VLOOKUP(BU1128,Parameter!$F$35:$G$64,2,0),2)),IF(OR(BZ1128="Nein",BZ1128=""),"-",BZ1128))))</f>
        <v>3</v>
      </c>
      <c r="AA1128" s="55"/>
      <c r="AB1128" s="56"/>
      <c r="AC1128" s="50" t="n">
        <f aca="false">AT1128</f>
        <v>45</v>
      </c>
      <c r="AD1128" s="50" t="n">
        <f aca="false">MAX(AT1128,H1128)</f>
        <v>45</v>
      </c>
      <c r="AE1128" s="57"/>
      <c r="AF1128" s="50" t="n">
        <f aca="false">IF(LEFT(Cockpit!$C$5,1)="A",H1128,IF(CE1128=1,CF1128,IF(LEFT(Cockpit!$C$5,1)="B",AK1128,MAX(AK1128,H1128))))</f>
        <v>42</v>
      </c>
      <c r="AG1128" s="50" t="n">
        <f aca="false">IF(BW1128=1,0,ROUNDUP(AF1128/BV1128,0))</f>
        <v>1</v>
      </c>
      <c r="AH1128" s="52" t="n">
        <f aca="false">IF(CL1128&gt;0,CL1128*MAX(1,AF1128/X1128),IF(BW1128=1,IF(AF1128&lt;=0,0,CA1128*MAX(1,IF(H1128&gt;0,AF1128/H1128,1))),IF(R1128&gt;0,AG1128/R1128,0))/MAX(0.1,N(Parameter!$M$21)))</f>
        <v>0.0384615384615385</v>
      </c>
      <c r="AI1128" s="50" t="n">
        <f aca="false">AH1128*BY1128</f>
        <v>9.42307692307692</v>
      </c>
      <c r="AJ1128" s="50" t="n">
        <f aca="false">AF1128*G1128</f>
        <v>2667</v>
      </c>
      <c r="AK1128" s="50" t="n">
        <f aca="false">ROUNDUP(MAX(J1128/IF(CD1128&gt;0,CD1128,MAX(0.1,N(Cockpit!$C$6))),CG1128)/BV1128,0)*BV1128</f>
        <v>45</v>
      </c>
      <c r="AL1128" s="51" t="n">
        <f aca="false">IF(AI1128&gt;0,J1128/AI1128,-1)</f>
        <v>0</v>
      </c>
      <c r="AM1128" s="51" t="n">
        <f aca="false">IF(AND(OR(CC1128="L1",CC1128="L23",CC1128="LIFT"),AI1128&gt;0),SUMIFS($AI$7:$AI$1843,$CC$7:$CC$1843,CC1128,$AL$7:$AL$1843,"&gt;"&amp;AL1128)+SUMIFS($AI$7:$AI$1843,$CC$7:$CC$1843,CC1128,$AL$7:$AL$1843,AL1128,$BT$7:$BT$1843,"&lt;="&amp;BT1128),"")</f>
        <v>29152.8609740072</v>
      </c>
      <c r="AN1128" s="58" t="n">
        <f aca="false">IF(AM1128="",0,MAX(0,MIN(1,(IF(CC1128="L1",Parameter!$H$5,IF(CC1128="L23",Parameter!$H$6+Parameter!$H$7,Parameter!$H$5+Parameter!$H$6+Parameter!$H$7))-(AM1128-AI1128))/AI1128)))</f>
        <v>1</v>
      </c>
      <c r="AO1128" s="50" t="n">
        <f aca="false">IF(LEFT(Cockpit!$I$5,1)="A",H1128,IF(CE1128=1,CF1128,IF(LEFT(Cockpit!$I$5,1)="B",AT1128,MAX(AT1128,H1128))))</f>
        <v>45</v>
      </c>
      <c r="AP1128" s="50" t="n">
        <f aca="false">IF(BW1128=1,0,ROUNDUP(AO1128/BV1128,0))</f>
        <v>1</v>
      </c>
      <c r="AQ1128" s="52" t="n">
        <f aca="false">IF(CL1128&gt;0,CL1128*MAX(1,AO1128/X1128),IF(BW1128=1,IF(AO1128&lt;=0,0,CA1128*MAX(1,IF(H1128&gt;0,AO1128/H1128,1))),IF(R1128&gt;0,AP1128/R1128,0))/MAX(0.1,N(Parameter!$M$21)))</f>
        <v>0.0384615384615385</v>
      </c>
      <c r="AR1128" s="50" t="n">
        <f aca="false">AQ1128*BY1128</f>
        <v>9.42307692307692</v>
      </c>
      <c r="AS1128" s="50" t="n">
        <f aca="false">AO1128*G1128</f>
        <v>2857.5</v>
      </c>
      <c r="AT1128" s="50" t="n">
        <f aca="false">ROUNDUP(MAX(J1128/IF(CD1128&gt;0,CD1128,MAX(0.1,N(Cockpit!$I$6))),CG1128)/BV1128,0)*BV1128</f>
        <v>45</v>
      </c>
      <c r="AU1128" s="51" t="n">
        <f aca="false">IF(AR1128&gt;0,J1128/AR1128,-1)</f>
        <v>0</v>
      </c>
      <c r="AV1128" s="51" t="n">
        <f aca="false">IF(AND(OR(CC1128="L1",CC1128="L23",CC1128="LIFT"),AR1128&gt;0),SUMIFS($AR$7:$AR$1843,$CC$7:$CC$1843,CC1128,$AU$7:$AU$1843,"&gt;"&amp;AU1128)+SUMIFS($AR$7:$AR$1843,$CC$7:$CC$1843,CC1128,$AU$7:$AU$1843,AU1128,$BT$7:$BT$1843,"&lt;="&amp;BT1128),"")</f>
        <v>40898.1396597753</v>
      </c>
      <c r="AW1128" s="58" t="n">
        <f aca="false">IF(AV1128="",0,MAX(0,MIN(1,(IF(CC1128="L1",Parameter!$H$5,IF(CC1128="L23",Parameter!$H$6+Parameter!$H$7,Parameter!$H$5+Parameter!$H$6+Parameter!$H$7))-(AV1128-AR1128))/AR1128)))</f>
        <v>0</v>
      </c>
      <c r="AX1128" s="50" t="n">
        <f aca="false">IF(LEFT(Cockpit!$O$5,1)="A",H1128,IF(CE1128=1,CF1128,IF(LEFT(Cockpit!$O$5,1)="B",BC1128,MAX(BC1128,H1128))))</f>
        <v>45</v>
      </c>
      <c r="AY1128" s="50" t="n">
        <f aca="false">IF(BW1128=1,0,ROUNDUP(AX1128/BV1128,0))</f>
        <v>1</v>
      </c>
      <c r="AZ1128" s="52" t="n">
        <f aca="false">IF(CL1128&gt;0,CL1128*MAX(1,AX1128/X1128),IF(BW1128=1,IF(AX1128&lt;=0,0,CA1128*MAX(1,IF(H1128&gt;0,AX1128/H1128,1))),IF(R1128&gt;0,AY1128/R1128,0))/MAX(0.1,N(Parameter!$M$21)))</f>
        <v>0.0384615384615385</v>
      </c>
      <c r="BA1128" s="50" t="n">
        <f aca="false">AZ1128*BY1128</f>
        <v>9.42307692307692</v>
      </c>
      <c r="BB1128" s="50" t="n">
        <f aca="false">AX1128*G1128</f>
        <v>2857.5</v>
      </c>
      <c r="BC1128" s="50" t="n">
        <f aca="false">ROUNDUP(MAX(J1128/IF(CD1128&gt;0,CD1128,MAX(0.1,N(Cockpit!$O$6))),CG1128)/BV1128,0)*BV1128</f>
        <v>45</v>
      </c>
      <c r="BD1128" s="51" t="n">
        <f aca="false">IF(BA1128&gt;0,J1128/BA1128,-1)</f>
        <v>0</v>
      </c>
      <c r="BE1128" s="51" t="n">
        <f aca="false">IF(AND(OR(CC1128="L1",CC1128="L23",CC1128="LIFT"),BA1128&gt;0),SUMIFS($BA$7:$BA$1843,$CC$7:$CC$1843,CC1128,$BD$7:$BD$1843,"&gt;"&amp;BD1128)+SUMIFS($BA$7:$BA$1843,$CC$7:$CC$1843,CC1128,$BD$7:$BD$1843,BD1128,$BT$7:$BT$1843,"&lt;="&amp;BT1128),"")</f>
        <v>37573.1517016411</v>
      </c>
      <c r="BF1128" s="58" t="n">
        <f aca="false">IF(BE1128="",0,MAX(0,MIN(1,(IF(CC1128="L1",Parameter!$H$5,IF(CC1128="L23",Parameter!$H$6+Parameter!$H$7,Parameter!$H$5+Parameter!$H$6+Parameter!$H$7))-(BE1128-BA1128))/BA1128)))</f>
        <v>0</v>
      </c>
      <c r="BG1128" s="48" t="str">
        <f aca="false">IF(AI1128&lt;=0,"",IF(CC1128="Aussen","Aussenlager",IF(CC1128="-","Nicht im Lift",IF(AN1128&gt;=1,"Lift",IF(AN1128&lt;=0,"Aussenlager","teilweise")))))</f>
        <v>Lift</v>
      </c>
      <c r="BH1128" s="48" t="str">
        <f aca="false">IF(AR1128&lt;=0,"",IF(CC1128="Aussen","Aussenlager",IF(CC1128="-","Nicht im Lift",IF(AW1128&gt;=1,"Lift",IF(AW1128&lt;=0,"Aussenlager","teilweise")))))</f>
        <v>Aussenlager</v>
      </c>
      <c r="BI1128" s="48" t="str">
        <f aca="false">IF(BA1128&lt;=0,"",IF(CC1128="Aussen","Aussenlager",IF(CC1128="-","Nicht im Lift",IF(BF1128&gt;=1,"Lift",IF(BF1128&lt;=0,"Aussenlager","teilweise")))))</f>
        <v>Aussenlager</v>
      </c>
      <c r="BJ1128" s="48" t="str">
        <f aca="false">IF(A1128="","",IF(BS1128=1,"Neu; ","")&amp;IF(AND(BS1128=0,BN1128&lt;0),"negativer Bestand (Export "&amp;BN1128&amp;"); ","")&amp;IF(J1128&lt;=0,"Kein Verbrauch; ","")&amp;IF(CL1128&gt;0,"Lift "&amp;W1128&amp;" lt. Liftbericht (Fach "&amp;X1128&amp;" Stk); ",IF(BX1128=1,"Gebinde geschätzt ("&amp;T1128&amp;"); ",IF(BW1128=1,"Lose – Tablare geschätzt; ","")))&amp;IF(H1128&gt;AT1128,"Überbestand "&amp;ROUND(H1128-AT1128,0)&amp;" Stk / CHF "&amp;ROUND((H1128-AT1128)*G1128,0)&amp;"; ","")&amp;IF(AND(CE1128=1,CF1128&lt;CG1128),"MAX &lt; MB+LG; ","")&amp;IF(AND(CK1128&gt;0,CJ1128*10&gt;CK1128),"zu hoch für Tablar; ","")&amp;IF(AND(BS1128=0,OR(CE1128=1,AA1128&lt;&gt;"",U1128&lt;&gt;"",V1128&lt;&gt;"",AB1128&lt;&gt;"")),"manuell übersteuert; ","")&amp;IF(AND(BW1128=0,R1128=0),"Gebinde unbekannt / Stellmass fehlt; ","")&amp;IF(AND(BW1128=0,N(V1128)&lt;=0,N(Q1128)&lt;=0),"Menge pro Gebinde fehlt (Ist = 1 Gebinde); ","")&amp;BR1128)</f>
        <v>negativer Bestand (Export -4); Kein Verbrauch; </v>
      </c>
      <c r="BK1128" s="48"/>
      <c r="BL1128" s="48"/>
      <c r="BM1128" s="55"/>
      <c r="BN1128" s="50" t="n">
        <v>-4</v>
      </c>
      <c r="BO1128" s="50" t="n">
        <v>46</v>
      </c>
      <c r="BP1128" s="49" t="n">
        <v>-254</v>
      </c>
      <c r="BQ1128" s="50" t="n">
        <v>0</v>
      </c>
      <c r="BR1128" s="48"/>
      <c r="BS1128" s="53" t="n">
        <v>0</v>
      </c>
      <c r="BT1128" s="53" t="n">
        <v>1128</v>
      </c>
      <c r="BU1128" s="48" t="str">
        <f aca="false">IF(U1128&lt;&gt;"",UPPER(TRIM(U1128)),IF(BX1128=1,UPPER(VLOOKUP(T1128,Parameter!$I$27:$K$29,2,0)),IF(P1128="","LOSE",P1128)))</f>
        <v>S52</v>
      </c>
      <c r="BV1128" s="50" t="n">
        <f aca="false">IF(BU1128="LOSE",1,IF(N(V1128)&gt;0,V1128,IF(BX1128=1,MAX(1,N(VLOOKUP(T1128,Parameter!$I$27:$K$29,3,0)),H1128,N(N1128)),IF(N(Q1128)&gt;0,Q1128,MAX(1,H1128)))))</f>
        <v>45</v>
      </c>
      <c r="BW1128" s="53" t="n">
        <f aca="false">IF(BU1128="LOSE",1,0)</f>
        <v>0</v>
      </c>
      <c r="BX1128" s="53" t="n">
        <f aca="false">IF(AND(U1128="",OR(P1128="",P1128="LOSE"),T1128&lt;&gt;"",N(S1128)&lt;=0,ISNUMBER(MATCH(T1128,Parameter!$I$27:$I$29,0))),1,0)</f>
        <v>0</v>
      </c>
      <c r="BY1128" s="53" t="n">
        <f aca="false">IF(CL1128&gt;0,INDEX(Parameter!$H$5:$H$7,W1128)/INDEX(Parameter!$E$5:$E$7,W1128),IF(AND(BW1128=0,N(IFERROR(VLOOKUP(BU1128,'Gebinde-Kategorie'!$A$5:$N$45,14,0),0))&gt;0),VLOOKUP(BU1128,'Gebinde-Kategorie'!$A$5:$N$45,14,0)*10+Parameter!$M$23,Parameter!$M$24))</f>
        <v>245</v>
      </c>
      <c r="BZ1128" s="48" t="str">
        <f aca="false">IF(AND(Parameter!$B$19="Ja",E1128&lt;&gt;"",ISNUMBER(MATCH(E1128,Parameter!$I$35:$I$52,0))),VLOOKUP(E1128,Parameter!$I$35:$J$52,2,0),IFERROR(VLOOKUP(D1128,Parameter!$A$35:$C$64,2,0),"Nein"))</f>
        <v>2+3</v>
      </c>
      <c r="CA1128" s="52" t="n">
        <f aca="false">IF(BW1128=0,0,IF(N(S1128)&gt;0,S1128,IFERROR(VLOOKUP(D1128,Parameter!$A$35:$C$64,3,0)+0,0)))</f>
        <v>0</v>
      </c>
      <c r="CB1128" s="48" t="n">
        <f aca="false">IF(AA1128&lt;&gt;"",AA1128,Z1128)</f>
        <v>3</v>
      </c>
      <c r="CC1128" s="48" t="str">
        <f aca="false">IF(OR(CB1128=1,CB1128=2,CB1128=3),IF(Parameter!$E$27="Ja","LIFT",IF(CB1128=1,"L1","L23")),IF(CB1128="Aussen","Aussen","-"))</f>
        <v>LIFT</v>
      </c>
      <c r="CD1128" s="59" t="n">
        <f aca="false">IF(N(AB1128)&gt;0,AB1128,0)</f>
        <v>0</v>
      </c>
      <c r="CE1128" s="53" t="n">
        <f aca="false">IF(ISNUMBER(AE1128),1,0)</f>
        <v>0</v>
      </c>
      <c r="CF1128" s="50" t="n">
        <f aca="false">N(AE1128)</f>
        <v>0</v>
      </c>
      <c r="CG1128" s="50" t="n">
        <f aca="false">N(M1128)+N(N1128)</f>
        <v>1</v>
      </c>
      <c r="CH1128" s="50" t="n">
        <f aca="false">ROUNDUP(H1128/BV1128,0)</f>
        <v>1</v>
      </c>
      <c r="CI1128" s="50" t="n">
        <f aca="false">ROUNDUP(CF1128/BV1128,0)</f>
        <v>0</v>
      </c>
      <c r="CJ1128" s="53" t="n">
        <f aca="false">IF(BW1128=1,0,IFERROR(VLOOKUP(BU1128,'Gebinde-Kategorie'!$A$5:$N$45,5,0)+0,0))</f>
        <v>21</v>
      </c>
      <c r="CK1128" s="53" t="n">
        <f aca="false">IFERROR(IF(OR(CB1128=1,CB1128=2,CB1128=3),N(INDEX(Parameter!$I$5:$I$7,CB1128)),0),0)</f>
        <v>0</v>
      </c>
      <c r="CL1128" s="52" t="n">
        <f aca="false">IF(AND(Parameter!$B$21="Ja",ISNUMBER(W1128),N(X1128)&gt;0),IFERROR(N(INDEX(Parameter!$L$5:$L$7,W1128))*INDEX(Parameter!$E$5:$E$7,W1128)*X1128/SUMIFS($X$7:$X$1843,$W$7:$W$1843,W1128),0),0)</f>
        <v>0</v>
      </c>
    </row>
    <row r="1129" customFormat="false" ht="15" hidden="false" customHeight="false" outlineLevel="0" collapsed="false">
      <c r="A1129" s="48" t="s">
        <v>2048</v>
      </c>
      <c r="B1129" s="48" t="s">
        <v>2049</v>
      </c>
      <c r="C1129" s="48" t="s">
        <v>460</v>
      </c>
      <c r="D1129" s="48" t="s">
        <v>188</v>
      </c>
      <c r="E1129" s="48"/>
      <c r="F1129" s="48" t="s">
        <v>222</v>
      </c>
      <c r="G1129" s="49" t="n">
        <v>14.14</v>
      </c>
      <c r="H1129" s="50" t="n">
        <f aca="false">MAX(0,IF(AND(Parameter!$B$21="Ja",ISNUMBER(Y1129)),Y1129,IF(Parameter!$B$20="Jahresanfang 2025 + Export",BO1129+BN1129,BN1129)))</f>
        <v>18</v>
      </c>
      <c r="I1129" s="50" t="n">
        <f aca="false">H1129*G1129</f>
        <v>254.52</v>
      </c>
      <c r="J1129" s="50" t="n">
        <f aca="false">BQ1129*Parameter!$B$18</f>
        <v>18</v>
      </c>
      <c r="K1129" s="51" t="n">
        <v>18</v>
      </c>
      <c r="L1129" s="52" t="n">
        <v>1</v>
      </c>
      <c r="M1129" s="50" t="n">
        <v>2</v>
      </c>
      <c r="N1129" s="50" t="n">
        <v>20</v>
      </c>
      <c r="O1129" s="53" t="n">
        <v>56</v>
      </c>
      <c r="P1129" s="48" t="s">
        <v>172</v>
      </c>
      <c r="Q1129" s="50"/>
      <c r="R1129" s="53" t="n">
        <f aca="false">IF(BW1129=1,0,IFERROR(VLOOKUP(BU1129,'Gebinde-Kategorie'!$A$5:$N$45,13,0)+0,0))</f>
        <v>26</v>
      </c>
      <c r="S1129" s="54"/>
      <c r="T1129" s="55" t="s">
        <v>279</v>
      </c>
      <c r="U1129" s="55"/>
      <c r="V1129" s="55"/>
      <c r="W1129" s="48"/>
      <c r="X1129" s="50"/>
      <c r="Y1129" s="50"/>
      <c r="Z1129" s="48" t="n">
        <f aca="false">IF(A1129="","",IF(AND(Parameter!$B$21="Ja",ISNUMBER(W1129)),W1129,IF(BZ1129="2+3",IF(ISNUMBER(SEARCH("grosser Artikel",BR1129)),2,IFERROR(VLOOKUP(BU1129,Parameter!$F$35:$G$64,2,0),2)),IF(OR(BZ1129="Nein",BZ1129=""),"-",BZ1129))))</f>
        <v>3</v>
      </c>
      <c r="AA1129" s="55"/>
      <c r="AB1129" s="56"/>
      <c r="AC1129" s="50" t="n">
        <f aca="false">AT1129</f>
        <v>40</v>
      </c>
      <c r="AD1129" s="50" t="n">
        <f aca="false">MAX(AT1129,H1129)</f>
        <v>40</v>
      </c>
      <c r="AE1129" s="57"/>
      <c r="AF1129" s="50" t="n">
        <f aca="false">IF(LEFT(Cockpit!$C$5,1)="A",H1129,IF(CE1129=1,CF1129,IF(LEFT(Cockpit!$C$5,1)="B",AK1129,MAX(AK1129,H1129))))</f>
        <v>18</v>
      </c>
      <c r="AG1129" s="50" t="n">
        <f aca="false">IF(BW1129=1,0,ROUNDUP(AF1129/BV1129,0))</f>
        <v>1</v>
      </c>
      <c r="AH1129" s="52" t="n">
        <f aca="false">IF(CL1129&gt;0,CL1129*MAX(1,AF1129/X1129),IF(BW1129=1,IF(AF1129&lt;=0,0,CA1129*MAX(1,IF(H1129&gt;0,AF1129/H1129,1))),IF(R1129&gt;0,AG1129/R1129,0))/MAX(0.1,N(Parameter!$M$21)))</f>
        <v>0.0384615384615385</v>
      </c>
      <c r="AI1129" s="50" t="n">
        <f aca="false">AH1129*BY1129</f>
        <v>5.96153846153846</v>
      </c>
      <c r="AJ1129" s="50" t="n">
        <f aca="false">AF1129*G1129</f>
        <v>254.52</v>
      </c>
      <c r="AK1129" s="50" t="n">
        <f aca="false">ROUNDUP(MAX(J1129/IF(CD1129&gt;0,CD1129,MAX(0.1,N(Cockpit!$C$6))),CG1129)/BV1129,0)*BV1129</f>
        <v>40</v>
      </c>
      <c r="AL1129" s="51" t="n">
        <f aca="false">IF(AI1129&gt;0,J1129/AI1129,-1)</f>
        <v>3.01935483870968</v>
      </c>
      <c r="AM1129" s="51" t="n">
        <f aca="false">IF(AND(OR(CC1129="L1",CC1129="L23",CC1129="LIFT"),AI1129&gt;0),SUMIFS($AI$7:$AI$1843,$CC$7:$CC$1843,CC1129,$AL$7:$AL$1843,"&gt;"&amp;AL1129)+SUMIFS($AI$7:$AI$1843,$CC$7:$CC$1843,CC1129,$AL$7:$AL$1843,AL1129,$BT$7:$BT$1843,"&lt;="&amp;BT1129),"")</f>
        <v>5081.75778388278</v>
      </c>
      <c r="AN1129" s="58" t="n">
        <f aca="false">IF(AM1129="",0,MAX(0,MIN(1,(IF(CC1129="L1",Parameter!$H$5,IF(CC1129="L23",Parameter!$H$6+Parameter!$H$7,Parameter!$H$5+Parameter!$H$6+Parameter!$H$7))-(AM1129-AI1129))/AI1129)))</f>
        <v>1</v>
      </c>
      <c r="AO1129" s="50" t="n">
        <f aca="false">IF(LEFT(Cockpit!$I$5,1)="A",H1129,IF(CE1129=1,CF1129,IF(LEFT(Cockpit!$I$5,1)="B",AT1129,MAX(AT1129,H1129))))</f>
        <v>40</v>
      </c>
      <c r="AP1129" s="50" t="n">
        <f aca="false">IF(BW1129=1,0,ROUNDUP(AO1129/BV1129,0))</f>
        <v>2</v>
      </c>
      <c r="AQ1129" s="52" t="n">
        <f aca="false">IF(CL1129&gt;0,CL1129*MAX(1,AO1129/X1129),IF(BW1129=1,IF(AO1129&lt;=0,0,CA1129*MAX(1,IF(H1129&gt;0,AO1129/H1129,1))),IF(R1129&gt;0,AP1129/R1129,0))/MAX(0.1,N(Parameter!$M$21)))</f>
        <v>0.0769230769230769</v>
      </c>
      <c r="AR1129" s="50" t="n">
        <f aca="false">AQ1129*BY1129</f>
        <v>11.9230769230769</v>
      </c>
      <c r="AS1129" s="50" t="n">
        <f aca="false">AO1129*G1129</f>
        <v>565.6</v>
      </c>
      <c r="AT1129" s="50" t="n">
        <f aca="false">ROUNDUP(MAX(J1129/IF(CD1129&gt;0,CD1129,MAX(0.1,N(Cockpit!$I$6))),CG1129)/BV1129,0)*BV1129</f>
        <v>40</v>
      </c>
      <c r="AU1129" s="51" t="n">
        <f aca="false">IF(AR1129&gt;0,J1129/AR1129,-1)</f>
        <v>1.50967741935484</v>
      </c>
      <c r="AV1129" s="51" t="n">
        <f aca="false">IF(AND(OR(CC1129="L1",CC1129="L23",CC1129="LIFT"),AR1129&gt;0),SUMIFS($AR$7:$AR$1843,$CC$7:$CC$1843,CC1129,$AU$7:$AU$1843,"&gt;"&amp;AU1129)+SUMIFS($AR$7:$AR$1843,$CC$7:$CC$1843,CC1129,$AU$7:$AU$1843,AU1129,$BT$7:$BT$1843,"&lt;="&amp;BT1129),"")</f>
        <v>8396.66758241758</v>
      </c>
      <c r="AW1129" s="58" t="n">
        <f aca="false">IF(AV1129="",0,MAX(0,MIN(1,(IF(CC1129="L1",Parameter!$H$5,IF(CC1129="L23",Parameter!$H$6+Parameter!$H$7,Parameter!$H$5+Parameter!$H$6+Parameter!$H$7))-(AV1129-AR1129))/AR1129)))</f>
        <v>1</v>
      </c>
      <c r="AX1129" s="50" t="n">
        <f aca="false">IF(LEFT(Cockpit!$O$5,1)="A",H1129,IF(CE1129=1,CF1129,IF(LEFT(Cockpit!$O$5,1)="B",BC1129,MAX(BC1129,H1129))))</f>
        <v>40</v>
      </c>
      <c r="AY1129" s="50" t="n">
        <f aca="false">IF(BW1129=1,0,ROUNDUP(AX1129/BV1129,0))</f>
        <v>2</v>
      </c>
      <c r="AZ1129" s="52" t="n">
        <f aca="false">IF(CL1129&gt;0,CL1129*MAX(1,AX1129/X1129),IF(BW1129=1,IF(AX1129&lt;=0,0,CA1129*MAX(1,IF(H1129&gt;0,AX1129/H1129,1))),IF(R1129&gt;0,AY1129/R1129,0))/MAX(0.1,N(Parameter!$M$21)))</f>
        <v>0.0769230769230769</v>
      </c>
      <c r="BA1129" s="50" t="n">
        <f aca="false">AZ1129*BY1129</f>
        <v>11.9230769230769</v>
      </c>
      <c r="BB1129" s="50" t="n">
        <f aca="false">AX1129*G1129</f>
        <v>565.6</v>
      </c>
      <c r="BC1129" s="50" t="n">
        <f aca="false">ROUNDUP(MAX(J1129/IF(CD1129&gt;0,CD1129,MAX(0.1,N(Cockpit!$O$6))),CG1129)/BV1129,0)*BV1129</f>
        <v>40</v>
      </c>
      <c r="BD1129" s="51" t="n">
        <f aca="false">IF(BA1129&gt;0,J1129/BA1129,-1)</f>
        <v>1.50967741935484</v>
      </c>
      <c r="BE1129" s="51" t="n">
        <f aca="false">IF(AND(OR(CC1129="L1",CC1129="L23",CC1129="LIFT"),BA1129&gt;0),SUMIFS($BA$7:$BA$1843,$CC$7:$CC$1843,CC1129,$BD$7:$BD$1843,"&gt;"&amp;BD1129)+SUMIFS($BA$7:$BA$1843,$CC$7:$CC$1843,CC1129,$BD$7:$BD$1843,BD1129,$BT$7:$BT$1843,"&lt;="&amp;BT1129),"")</f>
        <v>8311.07463369963</v>
      </c>
      <c r="BF1129" s="58" t="n">
        <f aca="false">IF(BE1129="",0,MAX(0,MIN(1,(IF(CC1129="L1",Parameter!$H$5,IF(CC1129="L23",Parameter!$H$6+Parameter!$H$7,Parameter!$H$5+Parameter!$H$6+Parameter!$H$7))-(BE1129-BA1129))/BA1129)))</f>
        <v>1</v>
      </c>
      <c r="BG1129" s="48" t="str">
        <f aca="false">IF(AI1129&lt;=0,"",IF(CC1129="Aussen","Aussenlager",IF(CC1129="-","Nicht im Lift",IF(AN1129&gt;=1,"Lift",IF(AN1129&lt;=0,"Aussenlager","teilweise")))))</f>
        <v>Lift</v>
      </c>
      <c r="BH1129" s="48" t="str">
        <f aca="false">IF(AR1129&lt;=0,"",IF(CC1129="Aussen","Aussenlager",IF(CC1129="-","Nicht im Lift",IF(AW1129&gt;=1,"Lift",IF(AW1129&lt;=0,"Aussenlager","teilweise")))))</f>
        <v>Lift</v>
      </c>
      <c r="BI1129" s="48" t="str">
        <f aca="false">IF(BA1129&lt;=0,"",IF(CC1129="Aussen","Aussenlager",IF(CC1129="-","Nicht im Lift",IF(BF1129&gt;=1,"Lift",IF(BF1129&lt;=0,"Aussenlager","teilweise")))))</f>
        <v>Lift</v>
      </c>
      <c r="BJ1129" s="48" t="str">
        <f aca="false">IF(A1129="","",IF(BS1129=1,"Neu; ","")&amp;IF(AND(BS1129=0,BN1129&lt;0),"negativer Bestand (Export "&amp;BN1129&amp;"); ","")&amp;IF(J1129&lt;=0,"Kein Verbrauch; ","")&amp;IF(CL1129&gt;0,"Lift "&amp;W1129&amp;" lt. Liftbericht (Fach "&amp;X1129&amp;" Stk); ",IF(BX1129=1,"Gebinde geschätzt ("&amp;T1129&amp;"); ",IF(BW1129=1,"Lose – Tablare geschätzt; ","")))&amp;IF(H1129&gt;AT1129,"Überbestand "&amp;ROUND(H1129-AT1129,0)&amp;" Stk / CHF "&amp;ROUND((H1129-AT1129)*G1129,0)&amp;"; ","")&amp;IF(AND(CE1129=1,CF1129&lt;CG1129),"MAX &lt; MB+LG; ","")&amp;IF(AND(CK1129&gt;0,CJ1129*10&gt;CK1129),"zu hoch für Tablar; ","")&amp;IF(AND(BS1129=0,OR(CE1129=1,AA1129&lt;&gt;"",U1129&lt;&gt;"",V1129&lt;&gt;"",AB1129&lt;&gt;"")),"manuell übersteuert; ","")&amp;IF(AND(BW1129=0,R1129=0),"Gebinde unbekannt / Stellmass fehlt; ","")&amp;IF(AND(BW1129=0,N(V1129)&lt;=0,N(Q1129)&lt;=0),"Menge pro Gebinde fehlt (Ist = 1 Gebinde); ","")&amp;BR1129)</f>
        <v>negativer Bestand (Export -18); Gebinde geschätzt (Klein); Menge pro Gebinde fehlt (Ist = 1 Gebinde); </v>
      </c>
      <c r="BK1129" s="48"/>
      <c r="BL1129" s="48"/>
      <c r="BM1129" s="55"/>
      <c r="BN1129" s="50" t="n">
        <v>-18</v>
      </c>
      <c r="BO1129" s="50" t="n">
        <v>36</v>
      </c>
      <c r="BP1129" s="49" t="n">
        <v>-254.52</v>
      </c>
      <c r="BQ1129" s="50" t="n">
        <v>18</v>
      </c>
      <c r="BR1129" s="48"/>
      <c r="BS1129" s="53" t="n">
        <v>0</v>
      </c>
      <c r="BT1129" s="53" t="n">
        <v>1129</v>
      </c>
      <c r="BU1129" s="48" t="str">
        <f aca="false">IF(U1129&lt;&gt;"",UPPER(TRIM(U1129)),IF(BX1129=1,UPPER(VLOOKUP(T1129,Parameter!$I$27:$K$29,2,0)),IF(P1129="","LOSE",P1129)))</f>
        <v>S51</v>
      </c>
      <c r="BV1129" s="50" t="n">
        <f aca="false">IF(BU1129="LOSE",1,IF(N(V1129)&gt;0,V1129,IF(BX1129=1,MAX(1,N(VLOOKUP(T1129,Parameter!$I$27:$K$29,3,0)),H1129,N(N1129)),IF(N(Q1129)&gt;0,Q1129,MAX(1,H1129)))))</f>
        <v>20</v>
      </c>
      <c r="BW1129" s="53" t="n">
        <f aca="false">IF(BU1129="LOSE",1,0)</f>
        <v>0</v>
      </c>
      <c r="BX1129" s="53" t="n">
        <f aca="false">IF(AND(U1129="",OR(P1129="",P1129="LOSE"),T1129&lt;&gt;"",N(S1129)&lt;=0,ISNUMBER(MATCH(T1129,Parameter!$I$27:$I$29,0))),1,0)</f>
        <v>1</v>
      </c>
      <c r="BY1129" s="53" t="n">
        <f aca="false">IF(CL1129&gt;0,INDEX(Parameter!$H$5:$H$7,W1129)/INDEX(Parameter!$E$5:$E$7,W1129),IF(AND(BW1129=0,N(IFERROR(VLOOKUP(BU1129,'Gebinde-Kategorie'!$A$5:$N$45,14,0),0))&gt;0),VLOOKUP(BU1129,'Gebinde-Kategorie'!$A$5:$N$45,14,0)*10+Parameter!$M$23,Parameter!$M$24))</f>
        <v>155</v>
      </c>
      <c r="BZ1129" s="48" t="str">
        <f aca="false">IF(AND(Parameter!$B$19="Ja",E1129&lt;&gt;"",ISNUMBER(MATCH(E1129,Parameter!$I$35:$I$52,0))),VLOOKUP(E1129,Parameter!$I$35:$J$52,2,0),IFERROR(VLOOKUP(D1129,Parameter!$A$35:$C$64,2,0),"Nein"))</f>
        <v>2+3</v>
      </c>
      <c r="CA1129" s="52" t="n">
        <f aca="false">IF(BW1129=0,0,IF(N(S1129)&gt;0,S1129,IFERROR(VLOOKUP(D1129,Parameter!$A$35:$C$64,3,0)+0,0)))</f>
        <v>0</v>
      </c>
      <c r="CB1129" s="48" t="n">
        <f aca="false">IF(AA1129&lt;&gt;"",AA1129,Z1129)</f>
        <v>3</v>
      </c>
      <c r="CC1129" s="48" t="str">
        <f aca="false">IF(OR(CB1129=1,CB1129=2,CB1129=3),IF(Parameter!$E$27="Ja","LIFT",IF(CB1129=1,"L1","L23")),IF(CB1129="Aussen","Aussen","-"))</f>
        <v>LIFT</v>
      </c>
      <c r="CD1129" s="59" t="n">
        <f aca="false">IF(N(AB1129)&gt;0,AB1129,0)</f>
        <v>0</v>
      </c>
      <c r="CE1129" s="53" t="n">
        <f aca="false">IF(ISNUMBER(AE1129),1,0)</f>
        <v>0</v>
      </c>
      <c r="CF1129" s="50" t="n">
        <f aca="false">N(AE1129)</f>
        <v>0</v>
      </c>
      <c r="CG1129" s="50" t="n">
        <f aca="false">N(M1129)+N(N1129)</f>
        <v>22</v>
      </c>
      <c r="CH1129" s="50" t="n">
        <f aca="false">ROUNDUP(H1129/BV1129,0)</f>
        <v>1</v>
      </c>
      <c r="CI1129" s="50" t="n">
        <f aca="false">ROUNDUP(CF1129/BV1129,0)</f>
        <v>0</v>
      </c>
      <c r="CJ1129" s="53" t="n">
        <f aca="false">IF(BW1129=1,0,IFERROR(VLOOKUP(BU1129,'Gebinde-Kategorie'!$A$5:$N$45,5,0)+0,0))</f>
        <v>11</v>
      </c>
      <c r="CK1129" s="53" t="n">
        <f aca="false">IFERROR(IF(OR(CB1129=1,CB1129=2,CB1129=3),N(INDEX(Parameter!$I$5:$I$7,CB1129)),0),0)</f>
        <v>0</v>
      </c>
      <c r="CL1129" s="52" t="n">
        <f aca="false">IF(AND(Parameter!$B$21="Ja",ISNUMBER(W1129),N(X1129)&gt;0),IFERROR(N(INDEX(Parameter!$L$5:$L$7,W1129))*INDEX(Parameter!$E$5:$E$7,W1129)*X1129/SUMIFS($X$7:$X$1843,$W$7:$W$1843,W1129),0),0)</f>
        <v>0</v>
      </c>
    </row>
    <row r="1130" customFormat="false" ht="15" hidden="false" customHeight="false" outlineLevel="0" collapsed="false">
      <c r="A1130" s="48" t="s">
        <v>2050</v>
      </c>
      <c r="B1130" s="48" t="s">
        <v>2051</v>
      </c>
      <c r="C1130" s="48" t="s">
        <v>460</v>
      </c>
      <c r="D1130" s="48" t="s">
        <v>188</v>
      </c>
      <c r="E1130" s="48"/>
      <c r="F1130" s="48" t="s">
        <v>222</v>
      </c>
      <c r="G1130" s="49" t="n">
        <v>31.9</v>
      </c>
      <c r="H1130" s="50" t="n">
        <f aca="false">MAX(0,IF(AND(Parameter!$B$21="Ja",ISNUMBER(Y1130)),Y1130,IF(Parameter!$B$20="Jahresanfang 2025 + Export",BO1130+BN1130,BN1130)))</f>
        <v>8</v>
      </c>
      <c r="I1130" s="50" t="n">
        <f aca="false">H1130*G1130</f>
        <v>255.2</v>
      </c>
      <c r="J1130" s="50" t="n">
        <f aca="false">BQ1130*Parameter!$B$18</f>
        <v>8</v>
      </c>
      <c r="K1130" s="51" t="n">
        <v>8</v>
      </c>
      <c r="L1130" s="52" t="n">
        <v>1</v>
      </c>
      <c r="M1130" s="50" t="n">
        <v>0</v>
      </c>
      <c r="N1130" s="50" t="n">
        <v>10</v>
      </c>
      <c r="O1130" s="53" t="n">
        <v>21</v>
      </c>
      <c r="P1130" s="48" t="s">
        <v>172</v>
      </c>
      <c r="Q1130" s="50"/>
      <c r="R1130" s="53" t="n">
        <f aca="false">IF(BW1130=1,0,IFERROR(VLOOKUP(BU1130,'Gebinde-Kategorie'!$A$5:$N$45,13,0)+0,0))</f>
        <v>26</v>
      </c>
      <c r="S1130" s="54"/>
      <c r="T1130" s="55" t="s">
        <v>279</v>
      </c>
      <c r="U1130" s="55"/>
      <c r="V1130" s="55"/>
      <c r="W1130" s="48"/>
      <c r="X1130" s="50"/>
      <c r="Y1130" s="50"/>
      <c r="Z1130" s="48" t="n">
        <f aca="false">IF(A1130="","",IF(AND(Parameter!$B$21="Ja",ISNUMBER(W1130)),W1130,IF(BZ1130="2+3",IF(ISNUMBER(SEARCH("grosser Artikel",BR1130)),2,IFERROR(VLOOKUP(BU1130,Parameter!$F$35:$G$64,2,0),2)),IF(OR(BZ1130="Nein",BZ1130=""),"-",BZ1130))))</f>
        <v>3</v>
      </c>
      <c r="AA1130" s="55"/>
      <c r="AB1130" s="56"/>
      <c r="AC1130" s="50" t="n">
        <f aca="false">AT1130</f>
        <v>20</v>
      </c>
      <c r="AD1130" s="50" t="n">
        <f aca="false">MAX(AT1130,H1130)</f>
        <v>20</v>
      </c>
      <c r="AE1130" s="57"/>
      <c r="AF1130" s="50" t="n">
        <f aca="false">IF(LEFT(Cockpit!$C$5,1)="A",H1130,IF(CE1130=1,CF1130,IF(LEFT(Cockpit!$C$5,1)="B",AK1130,MAX(AK1130,H1130))))</f>
        <v>8</v>
      </c>
      <c r="AG1130" s="50" t="n">
        <f aca="false">IF(BW1130=1,0,ROUNDUP(AF1130/BV1130,0))</f>
        <v>1</v>
      </c>
      <c r="AH1130" s="52" t="n">
        <f aca="false">IF(CL1130&gt;0,CL1130*MAX(1,AF1130/X1130),IF(BW1130=1,IF(AF1130&lt;=0,0,CA1130*MAX(1,IF(H1130&gt;0,AF1130/H1130,1))),IF(R1130&gt;0,AG1130/R1130,0))/MAX(0.1,N(Parameter!$M$21)))</f>
        <v>0.0384615384615385</v>
      </c>
      <c r="AI1130" s="50" t="n">
        <f aca="false">AH1130*BY1130</f>
        <v>5.96153846153846</v>
      </c>
      <c r="AJ1130" s="50" t="n">
        <f aca="false">AF1130*G1130</f>
        <v>255.2</v>
      </c>
      <c r="AK1130" s="50" t="n">
        <f aca="false">ROUNDUP(MAX(J1130/IF(CD1130&gt;0,CD1130,MAX(0.1,N(Cockpit!$C$6))),CG1130)/BV1130,0)*BV1130</f>
        <v>20</v>
      </c>
      <c r="AL1130" s="51" t="n">
        <f aca="false">IF(AI1130&gt;0,J1130/AI1130,-1)</f>
        <v>1.34193548387097</v>
      </c>
      <c r="AM1130" s="51" t="n">
        <f aca="false">IF(AND(OR(CC1130="L1",CC1130="L23",CC1130="LIFT"),AI1130&gt;0),SUMIFS($AI$7:$AI$1843,$CC$7:$CC$1843,CC1130,$AL$7:$AL$1843,"&gt;"&amp;AL1130)+SUMIFS($AI$7:$AI$1843,$CC$7:$CC$1843,CC1130,$AL$7:$AL$1843,AL1130,$BT$7:$BT$1843,"&lt;="&amp;BT1130),"")</f>
        <v>6356.48443223443</v>
      </c>
      <c r="AN1130" s="58" t="n">
        <f aca="false">IF(AM1130="",0,MAX(0,MIN(1,(IF(CC1130="L1",Parameter!$H$5,IF(CC1130="L23",Parameter!$H$6+Parameter!$H$7,Parameter!$H$5+Parameter!$H$6+Parameter!$H$7))-(AM1130-AI1130))/AI1130)))</f>
        <v>1</v>
      </c>
      <c r="AO1130" s="50" t="n">
        <f aca="false">IF(LEFT(Cockpit!$I$5,1)="A",H1130,IF(CE1130=1,CF1130,IF(LEFT(Cockpit!$I$5,1)="B",AT1130,MAX(AT1130,H1130))))</f>
        <v>20</v>
      </c>
      <c r="AP1130" s="50" t="n">
        <f aca="false">IF(BW1130=1,0,ROUNDUP(AO1130/BV1130,0))</f>
        <v>1</v>
      </c>
      <c r="AQ1130" s="52" t="n">
        <f aca="false">IF(CL1130&gt;0,CL1130*MAX(1,AO1130/X1130),IF(BW1130=1,IF(AO1130&lt;=0,0,CA1130*MAX(1,IF(H1130&gt;0,AO1130/H1130,1))),IF(R1130&gt;0,AP1130/R1130,0))/MAX(0.1,N(Parameter!$M$21)))</f>
        <v>0.0384615384615385</v>
      </c>
      <c r="AR1130" s="50" t="n">
        <f aca="false">AQ1130*BY1130</f>
        <v>5.96153846153846</v>
      </c>
      <c r="AS1130" s="50" t="n">
        <f aca="false">AO1130*G1130</f>
        <v>638</v>
      </c>
      <c r="AT1130" s="50" t="n">
        <f aca="false">ROUNDUP(MAX(J1130/IF(CD1130&gt;0,CD1130,MAX(0.1,N(Cockpit!$I$6))),CG1130)/BV1130,0)*BV1130</f>
        <v>20</v>
      </c>
      <c r="AU1130" s="51" t="n">
        <f aca="false">IF(AR1130&gt;0,J1130/AR1130,-1)</f>
        <v>1.34193548387097</v>
      </c>
      <c r="AV1130" s="51" t="n">
        <f aca="false">IF(AND(OR(CC1130="L1",CC1130="L23",CC1130="LIFT"),AR1130&gt;0),SUMIFS($AR$7:$AR$1843,$CC$7:$CC$1843,CC1130,$AU$7:$AU$1843,"&gt;"&amp;AU1130)+SUMIFS($AR$7:$AR$1843,$CC$7:$CC$1843,CC1130,$AU$7:$AU$1843,AU1130,$BT$7:$BT$1843,"&lt;="&amp;BT1130),"")</f>
        <v>9426.97206959707</v>
      </c>
      <c r="AW1130" s="58" t="n">
        <f aca="false">IF(AV1130="",0,MAX(0,MIN(1,(IF(CC1130="L1",Parameter!$H$5,IF(CC1130="L23",Parameter!$H$6+Parameter!$H$7,Parameter!$H$5+Parameter!$H$6+Parameter!$H$7))-(AV1130-AR1130))/AR1130)))</f>
        <v>1</v>
      </c>
      <c r="AX1130" s="50" t="n">
        <f aca="false">IF(LEFT(Cockpit!$O$5,1)="A",H1130,IF(CE1130=1,CF1130,IF(LEFT(Cockpit!$O$5,1)="B",BC1130,MAX(BC1130,H1130))))</f>
        <v>20</v>
      </c>
      <c r="AY1130" s="50" t="n">
        <f aca="false">IF(BW1130=1,0,ROUNDUP(AX1130/BV1130,0))</f>
        <v>1</v>
      </c>
      <c r="AZ1130" s="52" t="n">
        <f aca="false">IF(CL1130&gt;0,CL1130*MAX(1,AX1130/X1130),IF(BW1130=1,IF(AX1130&lt;=0,0,CA1130*MAX(1,IF(H1130&gt;0,AX1130/H1130,1))),IF(R1130&gt;0,AY1130/R1130,0))/MAX(0.1,N(Parameter!$M$21)))</f>
        <v>0.0384615384615385</v>
      </c>
      <c r="BA1130" s="50" t="n">
        <f aca="false">AZ1130*BY1130</f>
        <v>5.96153846153846</v>
      </c>
      <c r="BB1130" s="50" t="n">
        <f aca="false">AX1130*G1130</f>
        <v>638</v>
      </c>
      <c r="BC1130" s="50" t="n">
        <f aca="false">ROUNDUP(MAX(J1130/IF(CD1130&gt;0,CD1130,MAX(0.1,N(Cockpit!$O$6))),CG1130)/BV1130,0)*BV1130</f>
        <v>20</v>
      </c>
      <c r="BD1130" s="51" t="n">
        <f aca="false">IF(BA1130&gt;0,J1130/BA1130,-1)</f>
        <v>1.34193548387097</v>
      </c>
      <c r="BE1130" s="51" t="n">
        <f aca="false">IF(AND(OR(CC1130="L1",CC1130="L23",CC1130="LIFT"),BA1130&gt;0),SUMIFS($BA$7:$BA$1843,$CC$7:$CC$1843,CC1130,$BD$7:$BD$1843,"&gt;"&amp;BD1130)+SUMIFS($BA$7:$BA$1843,$CC$7:$CC$1843,CC1130,$BD$7:$BD$1843,BD1130,$BT$7:$BT$1843,"&lt;="&amp;BT1130),"")</f>
        <v>8612.62912087912</v>
      </c>
      <c r="BF1130" s="58" t="n">
        <f aca="false">IF(BE1130="",0,MAX(0,MIN(1,(IF(CC1130="L1",Parameter!$H$5,IF(CC1130="L23",Parameter!$H$6+Parameter!$H$7,Parameter!$H$5+Parameter!$H$6+Parameter!$H$7))-(BE1130-BA1130))/BA1130)))</f>
        <v>1</v>
      </c>
      <c r="BG1130" s="48" t="str">
        <f aca="false">IF(AI1130&lt;=0,"",IF(CC1130="Aussen","Aussenlager",IF(CC1130="-","Nicht im Lift",IF(AN1130&gt;=1,"Lift",IF(AN1130&lt;=0,"Aussenlager","teilweise")))))</f>
        <v>Lift</v>
      </c>
      <c r="BH1130" s="48" t="str">
        <f aca="false">IF(AR1130&lt;=0,"",IF(CC1130="Aussen","Aussenlager",IF(CC1130="-","Nicht im Lift",IF(AW1130&gt;=1,"Lift",IF(AW1130&lt;=0,"Aussenlager","teilweise")))))</f>
        <v>Lift</v>
      </c>
      <c r="BI1130" s="48" t="str">
        <f aca="false">IF(BA1130&lt;=0,"",IF(CC1130="Aussen","Aussenlager",IF(CC1130="-","Nicht im Lift",IF(BF1130&gt;=1,"Lift",IF(BF1130&lt;=0,"Aussenlager","teilweise")))))</f>
        <v>Lift</v>
      </c>
      <c r="BJ1130" s="48" t="str">
        <f aca="false">IF(A1130="","",IF(BS1130=1,"Neu; ","")&amp;IF(AND(BS1130=0,BN1130&lt;0),"negativer Bestand (Export "&amp;BN1130&amp;"); ","")&amp;IF(J1130&lt;=0,"Kein Verbrauch; ","")&amp;IF(CL1130&gt;0,"Lift "&amp;W1130&amp;" lt. Liftbericht (Fach "&amp;X1130&amp;" Stk); ",IF(BX1130=1,"Gebinde geschätzt ("&amp;T1130&amp;"); ",IF(BW1130=1,"Lose – Tablare geschätzt; ","")))&amp;IF(H1130&gt;AT1130,"Überbestand "&amp;ROUND(H1130-AT1130,0)&amp;" Stk / CHF "&amp;ROUND((H1130-AT1130)*G1130,0)&amp;"; ","")&amp;IF(AND(CE1130=1,CF1130&lt;CG1130),"MAX &lt; MB+LG; ","")&amp;IF(AND(CK1130&gt;0,CJ1130*10&gt;CK1130),"zu hoch für Tablar; ","")&amp;IF(AND(BS1130=0,OR(CE1130=1,AA1130&lt;&gt;"",U1130&lt;&gt;"",V1130&lt;&gt;"",AB1130&lt;&gt;"")),"manuell übersteuert; ","")&amp;IF(AND(BW1130=0,R1130=0),"Gebinde unbekannt / Stellmass fehlt; ","")&amp;IF(AND(BW1130=0,N(V1130)&lt;=0,N(Q1130)&lt;=0),"Menge pro Gebinde fehlt (Ist = 1 Gebinde); ","")&amp;BR1130)</f>
        <v>negativer Bestand (Export -8); Gebinde geschätzt (Klein); Menge pro Gebinde fehlt (Ist = 1 Gebinde); </v>
      </c>
      <c r="BK1130" s="48"/>
      <c r="BL1130" s="48"/>
      <c r="BM1130" s="55"/>
      <c r="BN1130" s="50" t="n">
        <v>-8</v>
      </c>
      <c r="BO1130" s="50" t="n">
        <v>16</v>
      </c>
      <c r="BP1130" s="49" t="n">
        <v>-255.2</v>
      </c>
      <c r="BQ1130" s="50" t="n">
        <v>8</v>
      </c>
      <c r="BR1130" s="48"/>
      <c r="BS1130" s="53" t="n">
        <v>0</v>
      </c>
      <c r="BT1130" s="53" t="n">
        <v>1130</v>
      </c>
      <c r="BU1130" s="48" t="str">
        <f aca="false">IF(U1130&lt;&gt;"",UPPER(TRIM(U1130)),IF(BX1130=1,UPPER(VLOOKUP(T1130,Parameter!$I$27:$K$29,2,0)),IF(P1130="","LOSE",P1130)))</f>
        <v>S51</v>
      </c>
      <c r="BV1130" s="50" t="n">
        <f aca="false">IF(BU1130="LOSE",1,IF(N(V1130)&gt;0,V1130,IF(BX1130=1,MAX(1,N(VLOOKUP(T1130,Parameter!$I$27:$K$29,3,0)),H1130,N(N1130)),IF(N(Q1130)&gt;0,Q1130,MAX(1,H1130)))))</f>
        <v>20</v>
      </c>
      <c r="BW1130" s="53" t="n">
        <f aca="false">IF(BU1130="LOSE",1,0)</f>
        <v>0</v>
      </c>
      <c r="BX1130" s="53" t="n">
        <f aca="false">IF(AND(U1130="",OR(P1130="",P1130="LOSE"),T1130&lt;&gt;"",N(S1130)&lt;=0,ISNUMBER(MATCH(T1130,Parameter!$I$27:$I$29,0))),1,0)</f>
        <v>1</v>
      </c>
      <c r="BY1130" s="53" t="n">
        <f aca="false">IF(CL1130&gt;0,INDEX(Parameter!$H$5:$H$7,W1130)/INDEX(Parameter!$E$5:$E$7,W1130),IF(AND(BW1130=0,N(IFERROR(VLOOKUP(BU1130,'Gebinde-Kategorie'!$A$5:$N$45,14,0),0))&gt;0),VLOOKUP(BU1130,'Gebinde-Kategorie'!$A$5:$N$45,14,0)*10+Parameter!$M$23,Parameter!$M$24))</f>
        <v>155</v>
      </c>
      <c r="BZ1130" s="48" t="str">
        <f aca="false">IF(AND(Parameter!$B$19="Ja",E1130&lt;&gt;"",ISNUMBER(MATCH(E1130,Parameter!$I$35:$I$52,0))),VLOOKUP(E1130,Parameter!$I$35:$J$52,2,0),IFERROR(VLOOKUP(D1130,Parameter!$A$35:$C$64,2,0),"Nein"))</f>
        <v>2+3</v>
      </c>
      <c r="CA1130" s="52" t="n">
        <f aca="false">IF(BW1130=0,0,IF(N(S1130)&gt;0,S1130,IFERROR(VLOOKUP(D1130,Parameter!$A$35:$C$64,3,0)+0,0)))</f>
        <v>0</v>
      </c>
      <c r="CB1130" s="48" t="n">
        <f aca="false">IF(AA1130&lt;&gt;"",AA1130,Z1130)</f>
        <v>3</v>
      </c>
      <c r="CC1130" s="48" t="str">
        <f aca="false">IF(OR(CB1130=1,CB1130=2,CB1130=3),IF(Parameter!$E$27="Ja","LIFT",IF(CB1130=1,"L1","L23")),IF(CB1130="Aussen","Aussen","-"))</f>
        <v>LIFT</v>
      </c>
      <c r="CD1130" s="59" t="n">
        <f aca="false">IF(N(AB1130)&gt;0,AB1130,0)</f>
        <v>0</v>
      </c>
      <c r="CE1130" s="53" t="n">
        <f aca="false">IF(ISNUMBER(AE1130),1,0)</f>
        <v>0</v>
      </c>
      <c r="CF1130" s="50" t="n">
        <f aca="false">N(AE1130)</f>
        <v>0</v>
      </c>
      <c r="CG1130" s="50" t="n">
        <f aca="false">N(M1130)+N(N1130)</f>
        <v>10</v>
      </c>
      <c r="CH1130" s="50" t="n">
        <f aca="false">ROUNDUP(H1130/BV1130,0)</f>
        <v>1</v>
      </c>
      <c r="CI1130" s="50" t="n">
        <f aca="false">ROUNDUP(CF1130/BV1130,0)</f>
        <v>0</v>
      </c>
      <c r="CJ1130" s="53" t="n">
        <f aca="false">IF(BW1130=1,0,IFERROR(VLOOKUP(BU1130,'Gebinde-Kategorie'!$A$5:$N$45,5,0)+0,0))</f>
        <v>11</v>
      </c>
      <c r="CK1130" s="53" t="n">
        <f aca="false">IFERROR(IF(OR(CB1130=1,CB1130=2,CB1130=3),N(INDEX(Parameter!$I$5:$I$7,CB1130)),0),0)</f>
        <v>0</v>
      </c>
      <c r="CL1130" s="52" t="n">
        <f aca="false">IF(AND(Parameter!$B$21="Ja",ISNUMBER(W1130),N(X1130)&gt;0),IFERROR(N(INDEX(Parameter!$L$5:$L$7,W1130))*INDEX(Parameter!$E$5:$E$7,W1130)*X1130/SUMIFS($X$7:$X$1843,$W$7:$W$1843,W1130),0),0)</f>
        <v>0</v>
      </c>
    </row>
    <row r="1131" customFormat="false" ht="15" hidden="false" customHeight="false" outlineLevel="0" collapsed="false">
      <c r="A1131" s="48" t="s">
        <v>2052</v>
      </c>
      <c r="B1131" s="48" t="s">
        <v>301</v>
      </c>
      <c r="C1131" s="48" t="s">
        <v>168</v>
      </c>
      <c r="D1131" s="48" t="s">
        <v>177</v>
      </c>
      <c r="E1131" s="48"/>
      <c r="F1131" s="48" t="s">
        <v>222</v>
      </c>
      <c r="G1131" s="49" t="n">
        <v>257.72</v>
      </c>
      <c r="H1131" s="50" t="n">
        <f aca="false">MAX(0,IF(AND(Parameter!$B$21="Ja",ISNUMBER(Y1131)),Y1131,IF(Parameter!$B$20="Jahresanfang 2025 + Export",BO1131+BN1131,BN1131)))</f>
        <v>0</v>
      </c>
      <c r="I1131" s="50" t="n">
        <f aca="false">H1131*G1131</f>
        <v>0</v>
      </c>
      <c r="J1131" s="50" t="n">
        <f aca="false">BQ1131*Parameter!$B$18</f>
        <v>0</v>
      </c>
      <c r="K1131" s="51" t="n">
        <v>0.5</v>
      </c>
      <c r="L1131" s="52" t="n">
        <v>0</v>
      </c>
      <c r="M1131" s="50" t="n">
        <v>0</v>
      </c>
      <c r="N1131" s="50" t="n">
        <v>1</v>
      </c>
      <c r="O1131" s="53" t="n">
        <v>70</v>
      </c>
      <c r="P1131" s="48" t="s">
        <v>172</v>
      </c>
      <c r="Q1131" s="50"/>
      <c r="R1131" s="53" t="n">
        <f aca="false">IF(BW1131=1,0,IFERROR(VLOOKUP(BU1131,'Gebinde-Kategorie'!$A$5:$N$45,13,0)+0,0))</f>
        <v>26</v>
      </c>
      <c r="S1131" s="54"/>
      <c r="T1131" s="55" t="s">
        <v>279</v>
      </c>
      <c r="U1131" s="55"/>
      <c r="V1131" s="55"/>
      <c r="W1131" s="48"/>
      <c r="X1131" s="50"/>
      <c r="Y1131" s="50"/>
      <c r="Z1131" s="48" t="n">
        <f aca="false">IF(A1131="","",IF(AND(Parameter!$B$21="Ja",ISNUMBER(W1131)),W1131,IF(BZ1131="2+3",IF(ISNUMBER(SEARCH("grosser Artikel",BR1131)),2,IFERROR(VLOOKUP(BU1131,Parameter!$F$35:$G$64,2,0),2)),IF(OR(BZ1131="Nein",BZ1131=""),"-",BZ1131))))</f>
        <v>3</v>
      </c>
      <c r="AA1131" s="55"/>
      <c r="AB1131" s="56"/>
      <c r="AC1131" s="50" t="n">
        <f aca="false">AT1131</f>
        <v>20</v>
      </c>
      <c r="AD1131" s="50" t="n">
        <f aca="false">MAX(AT1131,H1131)</f>
        <v>20</v>
      </c>
      <c r="AE1131" s="57"/>
      <c r="AF1131" s="50" t="n">
        <f aca="false">IF(LEFT(Cockpit!$C$5,1)="A",H1131,IF(CE1131=1,CF1131,IF(LEFT(Cockpit!$C$5,1)="B",AK1131,MAX(AK1131,H1131))))</f>
        <v>0</v>
      </c>
      <c r="AG1131" s="50" t="n">
        <f aca="false">IF(BW1131=1,0,ROUNDUP(AF1131/BV1131,0))</f>
        <v>0</v>
      </c>
      <c r="AH1131" s="52" t="n">
        <f aca="false">IF(CL1131&gt;0,CL1131*MAX(1,AF1131/X1131),IF(BW1131=1,IF(AF1131&lt;=0,0,CA1131*MAX(1,IF(H1131&gt;0,AF1131/H1131,1))),IF(R1131&gt;0,AG1131/R1131,0))/MAX(0.1,N(Parameter!$M$21)))</f>
        <v>0</v>
      </c>
      <c r="AI1131" s="50" t="n">
        <f aca="false">AH1131*BY1131</f>
        <v>0</v>
      </c>
      <c r="AJ1131" s="50" t="n">
        <f aca="false">AF1131*G1131</f>
        <v>0</v>
      </c>
      <c r="AK1131" s="50" t="n">
        <f aca="false">ROUNDUP(MAX(J1131/IF(CD1131&gt;0,CD1131,MAX(0.1,N(Cockpit!$C$6))),CG1131)/BV1131,0)*BV1131</f>
        <v>20</v>
      </c>
      <c r="AL1131" s="51" t="n">
        <f aca="false">IF(AI1131&gt;0,J1131/AI1131,-1)</f>
        <v>-1</v>
      </c>
      <c r="AM1131" s="51" t="str">
        <f aca="false">IF(AND(OR(CC1131="L1",CC1131="L23",CC1131="LIFT"),AI1131&gt;0),SUMIFS($AI$7:$AI$1843,$CC$7:$CC$1843,CC1131,$AL$7:$AL$1843,"&gt;"&amp;AL1131)+SUMIFS($AI$7:$AI$1843,$CC$7:$CC$1843,CC1131,$AL$7:$AL$1843,AL1131,$BT$7:$BT$1843,"&lt;="&amp;BT1131),"")</f>
        <v/>
      </c>
      <c r="AN1131" s="58" t="n">
        <f aca="false">IF(AM1131="",0,MAX(0,MIN(1,(IF(CC1131="L1",Parameter!$H$5,IF(CC1131="L23",Parameter!$H$6+Parameter!$H$7,Parameter!$H$5+Parameter!$H$6+Parameter!$H$7))-(AM1131-AI1131))/AI1131)))</f>
        <v>0</v>
      </c>
      <c r="AO1131" s="50" t="n">
        <f aca="false">IF(LEFT(Cockpit!$I$5,1)="A",H1131,IF(CE1131=1,CF1131,IF(LEFT(Cockpit!$I$5,1)="B",AT1131,MAX(AT1131,H1131))))</f>
        <v>20</v>
      </c>
      <c r="AP1131" s="50" t="n">
        <f aca="false">IF(BW1131=1,0,ROUNDUP(AO1131/BV1131,0))</f>
        <v>1</v>
      </c>
      <c r="AQ1131" s="52" t="n">
        <f aca="false">IF(CL1131&gt;0,CL1131*MAX(1,AO1131/X1131),IF(BW1131=1,IF(AO1131&lt;=0,0,CA1131*MAX(1,IF(H1131&gt;0,AO1131/H1131,1))),IF(R1131&gt;0,AP1131/R1131,0))/MAX(0.1,N(Parameter!$M$21)))</f>
        <v>0.0384615384615385</v>
      </c>
      <c r="AR1131" s="50" t="n">
        <f aca="false">AQ1131*BY1131</f>
        <v>5.96153846153846</v>
      </c>
      <c r="AS1131" s="50" t="n">
        <f aca="false">AO1131*G1131</f>
        <v>5154.4</v>
      </c>
      <c r="AT1131" s="50" t="n">
        <f aca="false">ROUNDUP(MAX(J1131/IF(CD1131&gt;0,CD1131,MAX(0.1,N(Cockpit!$I$6))),CG1131)/BV1131,0)*BV1131</f>
        <v>20</v>
      </c>
      <c r="AU1131" s="51" t="n">
        <f aca="false">IF(AR1131&gt;0,J1131/AR1131,-1)</f>
        <v>0</v>
      </c>
      <c r="AV1131" s="51" t="n">
        <f aca="false">IF(AND(OR(CC1131="L1",CC1131="L23",CC1131="LIFT"),AR1131&gt;0),SUMIFS($AR$7:$AR$1843,$CC$7:$CC$1843,CC1131,$AU$7:$AU$1843,"&gt;"&amp;AU1131)+SUMIFS($AR$7:$AR$1843,$CC$7:$CC$1843,CC1131,$AU$7:$AU$1843,AU1131,$BT$7:$BT$1843,"&lt;="&amp;BT1131),"")</f>
        <v>40904.1011982368</v>
      </c>
      <c r="AW1131" s="58" t="n">
        <f aca="false">IF(AV1131="",0,MAX(0,MIN(1,(IF(CC1131="L1",Parameter!$H$5,IF(CC1131="L23",Parameter!$H$6+Parameter!$H$7,Parameter!$H$5+Parameter!$H$6+Parameter!$H$7))-(AV1131-AR1131))/AR1131)))</f>
        <v>0</v>
      </c>
      <c r="AX1131" s="50" t="n">
        <f aca="false">IF(LEFT(Cockpit!$O$5,1)="A",H1131,IF(CE1131=1,CF1131,IF(LEFT(Cockpit!$O$5,1)="B",BC1131,MAX(BC1131,H1131))))</f>
        <v>20</v>
      </c>
      <c r="AY1131" s="50" t="n">
        <f aca="false">IF(BW1131=1,0,ROUNDUP(AX1131/BV1131,0))</f>
        <v>1</v>
      </c>
      <c r="AZ1131" s="52" t="n">
        <f aca="false">IF(CL1131&gt;0,CL1131*MAX(1,AX1131/X1131),IF(BW1131=1,IF(AX1131&lt;=0,0,CA1131*MAX(1,IF(H1131&gt;0,AX1131/H1131,1))),IF(R1131&gt;0,AY1131/R1131,0))/MAX(0.1,N(Parameter!$M$21)))</f>
        <v>0.0384615384615385</v>
      </c>
      <c r="BA1131" s="50" t="n">
        <f aca="false">AZ1131*BY1131</f>
        <v>5.96153846153846</v>
      </c>
      <c r="BB1131" s="50" t="n">
        <f aca="false">AX1131*G1131</f>
        <v>5154.4</v>
      </c>
      <c r="BC1131" s="50" t="n">
        <f aca="false">ROUNDUP(MAX(J1131/IF(CD1131&gt;0,CD1131,MAX(0.1,N(Cockpit!$O$6))),CG1131)/BV1131,0)*BV1131</f>
        <v>20</v>
      </c>
      <c r="BD1131" s="51" t="n">
        <f aca="false">IF(BA1131&gt;0,J1131/BA1131,-1)</f>
        <v>0</v>
      </c>
      <c r="BE1131" s="51" t="n">
        <f aca="false">IF(AND(OR(CC1131="L1",CC1131="L23",CC1131="LIFT"),BA1131&gt;0),SUMIFS($BA$7:$BA$1843,$CC$7:$CC$1843,CC1131,$BD$7:$BD$1843,"&gt;"&amp;BD1131)+SUMIFS($BA$7:$BA$1843,$CC$7:$CC$1843,CC1131,$BD$7:$BD$1843,BD1131,$BT$7:$BT$1843,"&lt;="&amp;BT1131),"")</f>
        <v>37579.1132401027</v>
      </c>
      <c r="BF1131" s="58" t="n">
        <f aca="false">IF(BE1131="",0,MAX(0,MIN(1,(IF(CC1131="L1",Parameter!$H$5,IF(CC1131="L23",Parameter!$H$6+Parameter!$H$7,Parameter!$H$5+Parameter!$H$6+Parameter!$H$7))-(BE1131-BA1131))/BA1131)))</f>
        <v>0</v>
      </c>
      <c r="BG1131" s="48" t="str">
        <f aca="false">IF(AI1131&lt;=0,"",IF(CC1131="Aussen","Aussenlager",IF(CC1131="-","Nicht im Lift",IF(AN1131&gt;=1,"Lift",IF(AN1131&lt;=0,"Aussenlager","teilweise")))))</f>
        <v/>
      </c>
      <c r="BH1131" s="48" t="str">
        <f aca="false">IF(AR1131&lt;=0,"",IF(CC1131="Aussen","Aussenlager",IF(CC1131="-","Nicht im Lift",IF(AW1131&gt;=1,"Lift",IF(AW1131&lt;=0,"Aussenlager","teilweise")))))</f>
        <v>Aussenlager</v>
      </c>
      <c r="BI1131" s="48" t="str">
        <f aca="false">IF(BA1131&lt;=0,"",IF(CC1131="Aussen","Aussenlager",IF(CC1131="-","Nicht im Lift",IF(BF1131&gt;=1,"Lift",IF(BF1131&lt;=0,"Aussenlager","teilweise")))))</f>
        <v>Aussenlager</v>
      </c>
      <c r="BJ1131" s="48" t="str">
        <f aca="false">IF(A1131="","",IF(BS1131=1,"Neu; ","")&amp;IF(AND(BS1131=0,BN1131&lt;0),"negativer Bestand (Export "&amp;BN1131&amp;"); ","")&amp;IF(J1131&lt;=0,"Kein Verbrauch; ","")&amp;IF(CL1131&gt;0,"Lift "&amp;W1131&amp;" lt. Liftbericht (Fach "&amp;X1131&amp;" Stk); ",IF(BX1131=1,"Gebinde geschätzt ("&amp;T1131&amp;"); ",IF(BW1131=1,"Lose – Tablare geschätzt; ","")))&amp;IF(H1131&gt;AT1131,"Überbestand "&amp;ROUND(H1131-AT1131,0)&amp;" Stk / CHF "&amp;ROUND((H1131-AT1131)*G1131,0)&amp;"; ","")&amp;IF(AND(CE1131=1,CF1131&lt;CG1131),"MAX &lt; MB+LG; ","")&amp;IF(AND(CK1131&gt;0,CJ1131*10&gt;CK1131),"zu hoch für Tablar; ","")&amp;IF(AND(BS1131=0,OR(CE1131=1,AA1131&lt;&gt;"",U1131&lt;&gt;"",V1131&lt;&gt;"",AB1131&lt;&gt;"")),"manuell übersteuert; ","")&amp;IF(AND(BW1131=0,R1131=0),"Gebinde unbekannt / Stellmass fehlt; ","")&amp;IF(AND(BW1131=0,N(V1131)&lt;=0,N(Q1131)&lt;=0),"Menge pro Gebinde fehlt (Ist = 1 Gebinde); ","")&amp;BR1131)</f>
        <v>negativer Bestand (Export -1); Kein Verbrauch; Gebinde geschätzt (Klein); Menge pro Gebinde fehlt (Ist = 1 Gebinde); </v>
      </c>
      <c r="BK1131" s="48"/>
      <c r="BL1131" s="48"/>
      <c r="BM1131" s="55"/>
      <c r="BN1131" s="50" t="n">
        <v>-1</v>
      </c>
      <c r="BO1131" s="50" t="n">
        <v>1</v>
      </c>
      <c r="BP1131" s="49" t="n">
        <v>-257.72</v>
      </c>
      <c r="BQ1131" s="50" t="n">
        <v>0</v>
      </c>
      <c r="BR1131" s="48"/>
      <c r="BS1131" s="53" t="n">
        <v>0</v>
      </c>
      <c r="BT1131" s="53" t="n">
        <v>1131</v>
      </c>
      <c r="BU1131" s="48" t="str">
        <f aca="false">IF(U1131&lt;&gt;"",UPPER(TRIM(U1131)),IF(BX1131=1,UPPER(VLOOKUP(T1131,Parameter!$I$27:$K$29,2,0)),IF(P1131="","LOSE",P1131)))</f>
        <v>S51</v>
      </c>
      <c r="BV1131" s="50" t="n">
        <f aca="false">IF(BU1131="LOSE",1,IF(N(V1131)&gt;0,V1131,IF(BX1131=1,MAX(1,N(VLOOKUP(T1131,Parameter!$I$27:$K$29,3,0)),H1131,N(N1131)),IF(N(Q1131)&gt;0,Q1131,MAX(1,H1131)))))</f>
        <v>20</v>
      </c>
      <c r="BW1131" s="53" t="n">
        <f aca="false">IF(BU1131="LOSE",1,0)</f>
        <v>0</v>
      </c>
      <c r="BX1131" s="53" t="n">
        <f aca="false">IF(AND(U1131="",OR(P1131="",P1131="LOSE"),T1131&lt;&gt;"",N(S1131)&lt;=0,ISNUMBER(MATCH(T1131,Parameter!$I$27:$I$29,0))),1,0)</f>
        <v>1</v>
      </c>
      <c r="BY1131" s="53" t="n">
        <f aca="false">IF(CL1131&gt;0,INDEX(Parameter!$H$5:$H$7,W1131)/INDEX(Parameter!$E$5:$E$7,W1131),IF(AND(BW1131=0,N(IFERROR(VLOOKUP(BU1131,'Gebinde-Kategorie'!$A$5:$N$45,14,0),0))&gt;0),VLOOKUP(BU1131,'Gebinde-Kategorie'!$A$5:$N$45,14,0)*10+Parameter!$M$23,Parameter!$M$24))</f>
        <v>155</v>
      </c>
      <c r="BZ1131" s="48" t="str">
        <f aca="false">IF(AND(Parameter!$B$19="Ja",E1131&lt;&gt;"",ISNUMBER(MATCH(E1131,Parameter!$I$35:$I$52,0))),VLOOKUP(E1131,Parameter!$I$35:$J$52,2,0),IFERROR(VLOOKUP(D1131,Parameter!$A$35:$C$64,2,0),"Nein"))</f>
        <v>2+3</v>
      </c>
      <c r="CA1131" s="52" t="n">
        <f aca="false">IF(BW1131=0,0,IF(N(S1131)&gt;0,S1131,IFERROR(VLOOKUP(D1131,Parameter!$A$35:$C$64,3,0)+0,0)))</f>
        <v>0</v>
      </c>
      <c r="CB1131" s="48" t="n">
        <f aca="false">IF(AA1131&lt;&gt;"",AA1131,Z1131)</f>
        <v>3</v>
      </c>
      <c r="CC1131" s="48" t="str">
        <f aca="false">IF(OR(CB1131=1,CB1131=2,CB1131=3),IF(Parameter!$E$27="Ja","LIFT",IF(CB1131=1,"L1","L23")),IF(CB1131="Aussen","Aussen","-"))</f>
        <v>LIFT</v>
      </c>
      <c r="CD1131" s="59" t="n">
        <f aca="false">IF(N(AB1131)&gt;0,AB1131,0)</f>
        <v>0</v>
      </c>
      <c r="CE1131" s="53" t="n">
        <f aca="false">IF(ISNUMBER(AE1131),1,0)</f>
        <v>0</v>
      </c>
      <c r="CF1131" s="50" t="n">
        <f aca="false">N(AE1131)</f>
        <v>0</v>
      </c>
      <c r="CG1131" s="50" t="n">
        <f aca="false">N(M1131)+N(N1131)</f>
        <v>1</v>
      </c>
      <c r="CH1131" s="50" t="n">
        <f aca="false">ROUNDUP(H1131/BV1131,0)</f>
        <v>0</v>
      </c>
      <c r="CI1131" s="50" t="n">
        <f aca="false">ROUNDUP(CF1131/BV1131,0)</f>
        <v>0</v>
      </c>
      <c r="CJ1131" s="53" t="n">
        <f aca="false">IF(BW1131=1,0,IFERROR(VLOOKUP(BU1131,'Gebinde-Kategorie'!$A$5:$N$45,5,0)+0,0))</f>
        <v>11</v>
      </c>
      <c r="CK1131" s="53" t="n">
        <f aca="false">IFERROR(IF(OR(CB1131=1,CB1131=2,CB1131=3),N(INDEX(Parameter!$I$5:$I$7,CB1131)),0),0)</f>
        <v>0</v>
      </c>
      <c r="CL1131" s="52" t="n">
        <f aca="false">IF(AND(Parameter!$B$21="Ja",ISNUMBER(W1131),N(X1131)&gt;0),IFERROR(N(INDEX(Parameter!$L$5:$L$7,W1131))*INDEX(Parameter!$E$5:$E$7,W1131)*X1131/SUMIFS($X$7:$X$1843,$W$7:$W$1843,W1131),0),0)</f>
        <v>0</v>
      </c>
    </row>
    <row r="1132" customFormat="false" ht="15" hidden="false" customHeight="false" outlineLevel="0" collapsed="false">
      <c r="A1132" s="48" t="s">
        <v>2053</v>
      </c>
      <c r="B1132" s="48" t="s">
        <v>2054</v>
      </c>
      <c r="C1132" s="48" t="s">
        <v>168</v>
      </c>
      <c r="D1132" s="48" t="s">
        <v>188</v>
      </c>
      <c r="E1132" s="48" t="s">
        <v>189</v>
      </c>
      <c r="F1132" s="48" t="s">
        <v>222</v>
      </c>
      <c r="G1132" s="49" t="n">
        <v>259.12</v>
      </c>
      <c r="H1132" s="50" t="n">
        <f aca="false">MAX(0,IF(AND(Parameter!$B$21="Ja",ISNUMBER(Y1132)),Y1132,IF(Parameter!$B$20="Jahresanfang 2025 + Export",BO1132+BN1132,BN1132)))</f>
        <v>6</v>
      </c>
      <c r="I1132" s="50" t="n">
        <f aca="false">H1132*G1132</f>
        <v>1554.72</v>
      </c>
      <c r="J1132" s="50" t="n">
        <f aca="false">BQ1132*Parameter!$B$18</f>
        <v>1</v>
      </c>
      <c r="K1132" s="51" t="n">
        <v>6.5</v>
      </c>
      <c r="L1132" s="52" t="n">
        <v>0.153846153846154</v>
      </c>
      <c r="M1132" s="50" t="n">
        <v>0</v>
      </c>
      <c r="N1132" s="50" t="n">
        <v>1</v>
      </c>
      <c r="O1132" s="53" t="n">
        <v>28</v>
      </c>
      <c r="P1132" s="48" t="s">
        <v>306</v>
      </c>
      <c r="Q1132" s="50" t="n">
        <v>7</v>
      </c>
      <c r="R1132" s="53" t="n">
        <f aca="false">IF(BW1132=1,0,IFERROR(VLOOKUP(BU1132,'Gebinde-Kategorie'!$A$5:$N$45,13,0)+0,0))</f>
        <v>26</v>
      </c>
      <c r="S1132" s="54"/>
      <c r="T1132" s="55"/>
      <c r="U1132" s="55"/>
      <c r="V1132" s="55"/>
      <c r="W1132" s="48"/>
      <c r="X1132" s="50"/>
      <c r="Y1132" s="50"/>
      <c r="Z1132" s="48" t="n">
        <f aca="false">IF(A1132="","",IF(AND(Parameter!$B$21="Ja",ISNUMBER(W1132)),W1132,IF(BZ1132="2+3",IF(ISNUMBER(SEARCH("grosser Artikel",BR1132)),2,IFERROR(VLOOKUP(BU1132,Parameter!$F$35:$G$64,2,0),2)),IF(OR(BZ1132="Nein",BZ1132=""),"-",BZ1132))))</f>
        <v>3</v>
      </c>
      <c r="AA1132" s="55"/>
      <c r="AB1132" s="56"/>
      <c r="AC1132" s="50" t="n">
        <f aca="false">AT1132</f>
        <v>7</v>
      </c>
      <c r="AD1132" s="50" t="n">
        <f aca="false">MAX(AT1132,H1132)</f>
        <v>7</v>
      </c>
      <c r="AE1132" s="57"/>
      <c r="AF1132" s="50" t="n">
        <f aca="false">IF(LEFT(Cockpit!$C$5,1)="A",H1132,IF(CE1132=1,CF1132,IF(LEFT(Cockpit!$C$5,1)="B",AK1132,MAX(AK1132,H1132))))</f>
        <v>6</v>
      </c>
      <c r="AG1132" s="50" t="n">
        <f aca="false">IF(BW1132=1,0,ROUNDUP(AF1132/BV1132,0))</f>
        <v>1</v>
      </c>
      <c r="AH1132" s="52" t="n">
        <f aca="false">IF(CL1132&gt;0,CL1132*MAX(1,AF1132/X1132),IF(BW1132=1,IF(AF1132&lt;=0,0,CA1132*MAX(1,IF(H1132&gt;0,AF1132/H1132,1))),IF(R1132&gt;0,AG1132/R1132,0))/MAX(0.1,N(Parameter!$M$21)))</f>
        <v>0.0384615384615385</v>
      </c>
      <c r="AI1132" s="50" t="n">
        <f aca="false">AH1132*BY1132</f>
        <v>5.96153846153846</v>
      </c>
      <c r="AJ1132" s="50" t="n">
        <f aca="false">AF1132*G1132</f>
        <v>1554.72</v>
      </c>
      <c r="AK1132" s="50" t="n">
        <f aca="false">ROUNDUP(MAX(J1132/IF(CD1132&gt;0,CD1132,MAX(0.1,N(Cockpit!$C$6))),CG1132)/BV1132,0)*BV1132</f>
        <v>7</v>
      </c>
      <c r="AL1132" s="51" t="n">
        <f aca="false">IF(AI1132&gt;0,J1132/AI1132,-1)</f>
        <v>0.167741935483871</v>
      </c>
      <c r="AM1132" s="51" t="n">
        <f aca="false">IF(AND(OR(CC1132="L1",CC1132="L23",CC1132="LIFT"),AI1132&gt;0),SUMIFS($AI$7:$AI$1843,$CC$7:$CC$1843,CC1132,$AL$7:$AL$1843,"&gt;"&amp;AL1132)+SUMIFS($AI$7:$AI$1843,$CC$7:$CC$1843,CC1132,$AL$7:$AL$1843,AL1132,$BT$7:$BT$1843,"&lt;="&amp;BT1132),"")</f>
        <v>12751.2721823845</v>
      </c>
      <c r="AN1132" s="58" t="n">
        <f aca="false">IF(AM1132="",0,MAX(0,MIN(1,(IF(CC1132="L1",Parameter!$H$5,IF(CC1132="L23",Parameter!$H$6+Parameter!$H$7,Parameter!$H$5+Parameter!$H$6+Parameter!$H$7))-(AM1132-AI1132))/AI1132)))</f>
        <v>1</v>
      </c>
      <c r="AO1132" s="50" t="n">
        <f aca="false">IF(LEFT(Cockpit!$I$5,1)="A",H1132,IF(CE1132=1,CF1132,IF(LEFT(Cockpit!$I$5,1)="B",AT1132,MAX(AT1132,H1132))))</f>
        <v>7</v>
      </c>
      <c r="AP1132" s="50" t="n">
        <f aca="false">IF(BW1132=1,0,ROUNDUP(AO1132/BV1132,0))</f>
        <v>1</v>
      </c>
      <c r="AQ1132" s="52" t="n">
        <f aca="false">IF(CL1132&gt;0,CL1132*MAX(1,AO1132/X1132),IF(BW1132=1,IF(AO1132&lt;=0,0,CA1132*MAX(1,IF(H1132&gt;0,AO1132/H1132,1))),IF(R1132&gt;0,AP1132/R1132,0))/MAX(0.1,N(Parameter!$M$21)))</f>
        <v>0.0384615384615385</v>
      </c>
      <c r="AR1132" s="50" t="n">
        <f aca="false">AQ1132*BY1132</f>
        <v>5.96153846153846</v>
      </c>
      <c r="AS1132" s="50" t="n">
        <f aca="false">AO1132*G1132</f>
        <v>1813.84</v>
      </c>
      <c r="AT1132" s="50" t="n">
        <f aca="false">ROUNDUP(MAX(J1132/IF(CD1132&gt;0,CD1132,MAX(0.1,N(Cockpit!$I$6))),CG1132)/BV1132,0)*BV1132</f>
        <v>7</v>
      </c>
      <c r="AU1132" s="51" t="n">
        <f aca="false">IF(AR1132&gt;0,J1132/AR1132,-1)</f>
        <v>0.167741935483871</v>
      </c>
      <c r="AV1132" s="51" t="n">
        <f aca="false">IF(AND(OR(CC1132="L1",CC1132="L23",CC1132="LIFT"),AR1132&gt;0),SUMIFS($AR$7:$AR$1843,$CC$7:$CC$1843,CC1132,$AU$7:$AU$1843,"&gt;"&amp;AU1132)+SUMIFS($AR$7:$AR$1843,$CC$7:$CC$1843,CC1132,$AU$7:$AU$1843,AU1132,$BT$7:$BT$1843,"&lt;="&amp;BT1132),"")</f>
        <v>19332.3466117216</v>
      </c>
      <c r="AW1132" s="58" t="n">
        <f aca="false">IF(AV1132="",0,MAX(0,MIN(1,(IF(CC1132="L1",Parameter!$H$5,IF(CC1132="L23",Parameter!$H$6+Parameter!$H$7,Parameter!$H$5+Parameter!$H$6+Parameter!$H$7))-(AV1132-AR1132))/AR1132)))</f>
        <v>1</v>
      </c>
      <c r="AX1132" s="50" t="n">
        <f aca="false">IF(LEFT(Cockpit!$O$5,1)="A",H1132,IF(CE1132=1,CF1132,IF(LEFT(Cockpit!$O$5,1)="B",BC1132,MAX(BC1132,H1132))))</f>
        <v>7</v>
      </c>
      <c r="AY1132" s="50" t="n">
        <f aca="false">IF(BW1132=1,0,ROUNDUP(AX1132/BV1132,0))</f>
        <v>1</v>
      </c>
      <c r="AZ1132" s="52" t="n">
        <f aca="false">IF(CL1132&gt;0,CL1132*MAX(1,AX1132/X1132),IF(BW1132=1,IF(AX1132&lt;=0,0,CA1132*MAX(1,IF(H1132&gt;0,AX1132/H1132,1))),IF(R1132&gt;0,AY1132/R1132,0))/MAX(0.1,N(Parameter!$M$21)))</f>
        <v>0.0384615384615385</v>
      </c>
      <c r="BA1132" s="50" t="n">
        <f aca="false">AZ1132*BY1132</f>
        <v>5.96153846153846</v>
      </c>
      <c r="BB1132" s="50" t="n">
        <f aca="false">AX1132*G1132</f>
        <v>1813.84</v>
      </c>
      <c r="BC1132" s="50" t="n">
        <f aca="false">ROUNDUP(MAX(J1132/IF(CD1132&gt;0,CD1132,MAX(0.1,N(Cockpit!$O$6))),CG1132)/BV1132,0)*BV1132</f>
        <v>7</v>
      </c>
      <c r="BD1132" s="51" t="n">
        <f aca="false">IF(BA1132&gt;0,J1132/BA1132,-1)</f>
        <v>0.167741935483871</v>
      </c>
      <c r="BE1132" s="51" t="n">
        <f aca="false">IF(AND(OR(CC1132="L1",CC1132="L23",CC1132="LIFT"),BA1132&gt;0),SUMIFS($BA$7:$BA$1843,$CC$7:$CC$1843,CC1132,$BD$7:$BD$1843,"&gt;"&amp;BD1132)+SUMIFS($BA$7:$BA$1843,$CC$7:$CC$1843,CC1132,$BD$7:$BD$1843,BD1132,$BT$7:$BT$1843,"&lt;="&amp;BT1132),"")</f>
        <v>17358.4203296703</v>
      </c>
      <c r="BF1132" s="58" t="n">
        <f aca="false">IF(BE1132="",0,MAX(0,MIN(1,(IF(CC1132="L1",Parameter!$H$5,IF(CC1132="L23",Parameter!$H$6+Parameter!$H$7,Parameter!$H$5+Parameter!$H$6+Parameter!$H$7))-(BE1132-BA1132))/BA1132)))</f>
        <v>1</v>
      </c>
      <c r="BG1132" s="48" t="str">
        <f aca="false">IF(AI1132&lt;=0,"",IF(CC1132="Aussen","Aussenlager",IF(CC1132="-","Nicht im Lift",IF(AN1132&gt;=1,"Lift",IF(AN1132&lt;=0,"Aussenlager","teilweise")))))</f>
        <v>Lift</v>
      </c>
      <c r="BH1132" s="48" t="str">
        <f aca="false">IF(AR1132&lt;=0,"",IF(CC1132="Aussen","Aussenlager",IF(CC1132="-","Nicht im Lift",IF(AW1132&gt;=1,"Lift",IF(AW1132&lt;=0,"Aussenlager","teilweise")))))</f>
        <v>Lift</v>
      </c>
      <c r="BI1132" s="48" t="str">
        <f aca="false">IF(BA1132&lt;=0,"",IF(CC1132="Aussen","Aussenlager",IF(CC1132="-","Nicht im Lift",IF(BF1132&gt;=1,"Lift",IF(BF1132&lt;=0,"Aussenlager","teilweise")))))</f>
        <v>Lift</v>
      </c>
      <c r="BJ1132" s="48" t="str">
        <f aca="false">IF(A1132="","",IF(BS1132=1,"Neu; ","")&amp;IF(AND(BS1132=0,BN1132&lt;0),"negativer Bestand (Export "&amp;BN1132&amp;"); ","")&amp;IF(J1132&lt;=0,"Kein Verbrauch; ","")&amp;IF(CL1132&gt;0,"Lift "&amp;W1132&amp;" lt. Liftbericht (Fach "&amp;X1132&amp;" Stk); ",IF(BX1132=1,"Gebinde geschätzt ("&amp;T1132&amp;"); ",IF(BW1132=1,"Lose – Tablare geschätzt; ","")))&amp;IF(H1132&gt;AT1132,"Überbestand "&amp;ROUND(H1132-AT1132,0)&amp;" Stk / CHF "&amp;ROUND((H1132-AT1132)*G1132,0)&amp;"; ","")&amp;IF(AND(CE1132=1,CF1132&lt;CG1132),"MAX &lt; MB+LG; ","")&amp;IF(AND(CK1132&gt;0,CJ1132*10&gt;CK1132),"zu hoch für Tablar; ","")&amp;IF(AND(BS1132=0,OR(CE1132=1,AA1132&lt;&gt;"",U1132&lt;&gt;"",V1132&lt;&gt;"",AB1132&lt;&gt;"")),"manuell übersteuert; ","")&amp;IF(AND(BW1132=0,R1132=0),"Gebinde unbekannt / Stellmass fehlt; ","")&amp;IF(AND(BW1132=0,N(V1132)&lt;=0,N(Q1132)&lt;=0),"Menge pro Gebinde fehlt (Ist = 1 Gebinde); ","")&amp;BR1132)</f>
        <v>negativer Bestand (Export -1); Überbestand</v>
      </c>
      <c r="BK1132" s="48"/>
      <c r="BL1132" s="48"/>
      <c r="BM1132" s="55"/>
      <c r="BN1132" s="50" t="n">
        <v>-1</v>
      </c>
      <c r="BO1132" s="50" t="n">
        <v>7</v>
      </c>
      <c r="BP1132" s="49" t="n">
        <v>-259.12</v>
      </c>
      <c r="BQ1132" s="50" t="n">
        <v>1</v>
      </c>
      <c r="BR1132" s="48" t="s">
        <v>396</v>
      </c>
      <c r="BS1132" s="53" t="n">
        <v>0</v>
      </c>
      <c r="BT1132" s="53" t="n">
        <v>1132</v>
      </c>
      <c r="BU1132" s="48" t="str">
        <f aca="false">IF(U1132&lt;&gt;"",UPPER(TRIM(U1132)),IF(BX1132=1,UPPER(VLOOKUP(T1132,Parameter!$I$27:$K$29,2,0)),IF(P1132="","LOSE",P1132)))</f>
        <v>S51</v>
      </c>
      <c r="BV1132" s="50" t="n">
        <f aca="false">IF(BU1132="LOSE",1,IF(N(V1132)&gt;0,V1132,IF(BX1132=1,MAX(1,N(VLOOKUP(T1132,Parameter!$I$27:$K$29,3,0)),H1132,N(N1132)),IF(N(Q1132)&gt;0,Q1132,MAX(1,H1132)))))</f>
        <v>7</v>
      </c>
      <c r="BW1132" s="53" t="n">
        <f aca="false">IF(BU1132="LOSE",1,0)</f>
        <v>0</v>
      </c>
      <c r="BX1132" s="53" t="n">
        <f aca="false">IF(AND(U1132="",OR(P1132="",P1132="LOSE"),T1132&lt;&gt;"",N(S1132)&lt;=0,ISNUMBER(MATCH(T1132,Parameter!$I$27:$I$29,0))),1,0)</f>
        <v>0</v>
      </c>
      <c r="BY1132" s="53" t="n">
        <f aca="false">IF(CL1132&gt;0,INDEX(Parameter!$H$5:$H$7,W1132)/INDEX(Parameter!$E$5:$E$7,W1132),IF(AND(BW1132=0,N(IFERROR(VLOOKUP(BU1132,'Gebinde-Kategorie'!$A$5:$N$45,14,0),0))&gt;0),VLOOKUP(BU1132,'Gebinde-Kategorie'!$A$5:$N$45,14,0)*10+Parameter!$M$23,Parameter!$M$24))</f>
        <v>155</v>
      </c>
      <c r="BZ1132" s="48" t="str">
        <f aca="false">IF(AND(Parameter!$B$19="Ja",E1132&lt;&gt;"",ISNUMBER(MATCH(E1132,Parameter!$I$35:$I$52,0))),VLOOKUP(E1132,Parameter!$I$35:$J$52,2,0),IFERROR(VLOOKUP(D1132,Parameter!$A$35:$C$64,2,0),"Nein"))</f>
        <v>2+3</v>
      </c>
      <c r="CA1132" s="52" t="n">
        <f aca="false">IF(BW1132=0,0,IF(N(S1132)&gt;0,S1132,IFERROR(VLOOKUP(D1132,Parameter!$A$35:$C$64,3,0)+0,0)))</f>
        <v>0</v>
      </c>
      <c r="CB1132" s="48" t="n">
        <f aca="false">IF(AA1132&lt;&gt;"",AA1132,Z1132)</f>
        <v>3</v>
      </c>
      <c r="CC1132" s="48" t="str">
        <f aca="false">IF(OR(CB1132=1,CB1132=2,CB1132=3),IF(Parameter!$E$27="Ja","LIFT",IF(CB1132=1,"L1","L23")),IF(CB1132="Aussen","Aussen","-"))</f>
        <v>LIFT</v>
      </c>
      <c r="CD1132" s="59" t="n">
        <f aca="false">IF(N(AB1132)&gt;0,AB1132,0)</f>
        <v>0</v>
      </c>
      <c r="CE1132" s="53" t="n">
        <f aca="false">IF(ISNUMBER(AE1132),1,0)</f>
        <v>0</v>
      </c>
      <c r="CF1132" s="50" t="n">
        <f aca="false">N(AE1132)</f>
        <v>0</v>
      </c>
      <c r="CG1132" s="50" t="n">
        <f aca="false">N(M1132)+N(N1132)</f>
        <v>1</v>
      </c>
      <c r="CH1132" s="50" t="n">
        <f aca="false">ROUNDUP(H1132/BV1132,0)</f>
        <v>1</v>
      </c>
      <c r="CI1132" s="50" t="n">
        <f aca="false">ROUNDUP(CF1132/BV1132,0)</f>
        <v>0</v>
      </c>
      <c r="CJ1132" s="53" t="n">
        <f aca="false">IF(BW1132=1,0,IFERROR(VLOOKUP(BU1132,'Gebinde-Kategorie'!$A$5:$N$45,5,0)+0,0))</f>
        <v>11</v>
      </c>
      <c r="CK1132" s="53" t="n">
        <f aca="false">IFERROR(IF(OR(CB1132=1,CB1132=2,CB1132=3),N(INDEX(Parameter!$I$5:$I$7,CB1132)),0),0)</f>
        <v>0</v>
      </c>
      <c r="CL1132" s="52" t="n">
        <f aca="false">IF(AND(Parameter!$B$21="Ja",ISNUMBER(W1132),N(X1132)&gt;0),IFERROR(N(INDEX(Parameter!$L$5:$L$7,W1132))*INDEX(Parameter!$E$5:$E$7,W1132)*X1132/SUMIFS($X$7:$X$1843,$W$7:$W$1843,W1132),0),0)</f>
        <v>0</v>
      </c>
    </row>
    <row r="1133" customFormat="false" ht="15" hidden="false" customHeight="false" outlineLevel="0" collapsed="false">
      <c r="A1133" s="48" t="s">
        <v>2055</v>
      </c>
      <c r="B1133" s="48" t="s">
        <v>2056</v>
      </c>
      <c r="C1133" s="48" t="s">
        <v>460</v>
      </c>
      <c r="D1133" s="48" t="s">
        <v>177</v>
      </c>
      <c r="E1133" s="48" t="s">
        <v>1483</v>
      </c>
      <c r="F1133" s="48" t="s">
        <v>222</v>
      </c>
      <c r="G1133" s="49" t="n">
        <v>65.07</v>
      </c>
      <c r="H1133" s="50" t="n">
        <f aca="false">MAX(0,IF(AND(Parameter!$B$21="Ja",ISNUMBER(Y1133)),Y1133,IF(Parameter!$B$20="Jahresanfang 2025 + Export",BO1133+BN1133,BN1133)))</f>
        <v>0</v>
      </c>
      <c r="I1133" s="50" t="n">
        <f aca="false">H1133*G1133</f>
        <v>0</v>
      </c>
      <c r="J1133" s="50" t="n">
        <f aca="false">BQ1133*Parameter!$B$18</f>
        <v>0</v>
      </c>
      <c r="K1133" s="51" t="n">
        <v>2</v>
      </c>
      <c r="L1133" s="52" t="n">
        <v>0</v>
      </c>
      <c r="M1133" s="50" t="n">
        <v>0</v>
      </c>
      <c r="N1133" s="50" t="n">
        <v>1</v>
      </c>
      <c r="O1133" s="53" t="n">
        <v>56</v>
      </c>
      <c r="P1133" s="48" t="s">
        <v>172</v>
      </c>
      <c r="Q1133" s="50"/>
      <c r="R1133" s="53" t="n">
        <f aca="false">IF(BW1133=1,0,IFERROR(VLOOKUP(BU1133,'Gebinde-Kategorie'!$A$5:$N$45,13,0)+0,0))</f>
        <v>4</v>
      </c>
      <c r="S1133" s="54"/>
      <c r="T1133" s="55" t="s">
        <v>193</v>
      </c>
      <c r="U1133" s="55"/>
      <c r="V1133" s="55"/>
      <c r="W1133" s="48"/>
      <c r="X1133" s="50"/>
      <c r="Y1133" s="50"/>
      <c r="Z1133" s="48" t="str">
        <f aca="false">IF(A1133="","",IF(AND(Parameter!$B$21="Ja",ISNUMBER(W1133)),W1133,IF(BZ1133="2+3",IF(ISNUMBER(SEARCH("grosser Artikel",BR1133)),2,IFERROR(VLOOKUP(BU1133,Parameter!$F$35:$G$64,2,0),2)),IF(OR(BZ1133="Nein",BZ1133=""),"-",BZ1133))))</f>
        <v>-</v>
      </c>
      <c r="AA1133" s="55"/>
      <c r="AB1133" s="56"/>
      <c r="AC1133" s="50" t="n">
        <f aca="false">AT1133</f>
        <v>2</v>
      </c>
      <c r="AD1133" s="50" t="n">
        <f aca="false">MAX(AT1133,H1133)</f>
        <v>2</v>
      </c>
      <c r="AE1133" s="57"/>
      <c r="AF1133" s="50" t="n">
        <f aca="false">IF(LEFT(Cockpit!$C$5,1)="A",H1133,IF(CE1133=1,CF1133,IF(LEFT(Cockpit!$C$5,1)="B",AK1133,MAX(AK1133,H1133))))</f>
        <v>0</v>
      </c>
      <c r="AG1133" s="50" t="n">
        <f aca="false">IF(BW1133=1,0,ROUNDUP(AF1133/BV1133,0))</f>
        <v>0</v>
      </c>
      <c r="AH1133" s="52" t="n">
        <f aca="false">IF(CL1133&gt;0,CL1133*MAX(1,AF1133/X1133),IF(BW1133=1,IF(AF1133&lt;=0,0,CA1133*MAX(1,IF(H1133&gt;0,AF1133/H1133,1))),IF(R1133&gt;0,AG1133/R1133,0))/MAX(0.1,N(Parameter!$M$21)))</f>
        <v>0</v>
      </c>
      <c r="AI1133" s="50" t="n">
        <f aca="false">AH1133*BY1133</f>
        <v>0</v>
      </c>
      <c r="AJ1133" s="50" t="n">
        <f aca="false">AF1133*G1133</f>
        <v>0</v>
      </c>
      <c r="AK1133" s="50" t="n">
        <f aca="false">ROUNDUP(MAX(J1133/IF(CD1133&gt;0,CD1133,MAX(0.1,N(Cockpit!$C$6))),CG1133)/BV1133,0)*BV1133</f>
        <v>2</v>
      </c>
      <c r="AL1133" s="51" t="n">
        <f aca="false">IF(AI1133&gt;0,J1133/AI1133,-1)</f>
        <v>-1</v>
      </c>
      <c r="AM1133" s="51" t="str">
        <f aca="false">IF(AND(OR(CC1133="L1",CC1133="L23",CC1133="LIFT"),AI1133&gt;0),SUMIFS($AI$7:$AI$1843,$CC$7:$CC$1843,CC1133,$AL$7:$AL$1843,"&gt;"&amp;AL1133)+SUMIFS($AI$7:$AI$1843,$CC$7:$CC$1843,CC1133,$AL$7:$AL$1843,AL1133,$BT$7:$BT$1843,"&lt;="&amp;BT1133),"")</f>
        <v/>
      </c>
      <c r="AN1133" s="58" t="n">
        <f aca="false">IF(AM1133="",0,MAX(0,MIN(1,(IF(CC1133="L1",Parameter!$H$5,IF(CC1133="L23",Parameter!$H$6+Parameter!$H$7,Parameter!$H$5+Parameter!$H$6+Parameter!$H$7))-(AM1133-AI1133))/AI1133)))</f>
        <v>0</v>
      </c>
      <c r="AO1133" s="50" t="n">
        <f aca="false">IF(LEFT(Cockpit!$I$5,1)="A",H1133,IF(CE1133=1,CF1133,IF(LEFT(Cockpit!$I$5,1)="B",AT1133,MAX(AT1133,H1133))))</f>
        <v>2</v>
      </c>
      <c r="AP1133" s="50" t="n">
        <f aca="false">IF(BW1133=1,0,ROUNDUP(AO1133/BV1133,0))</f>
        <v>1</v>
      </c>
      <c r="AQ1133" s="52" t="n">
        <f aca="false">IF(CL1133&gt;0,CL1133*MAX(1,AO1133/X1133),IF(BW1133=1,IF(AO1133&lt;=0,0,CA1133*MAX(1,IF(H1133&gt;0,AO1133/H1133,1))),IF(R1133&gt;0,AP1133/R1133,0))/MAX(0.1,N(Parameter!$M$21)))</f>
        <v>0.25</v>
      </c>
      <c r="AR1133" s="50" t="n">
        <f aca="false">AQ1133*BY1133</f>
        <v>58.75</v>
      </c>
      <c r="AS1133" s="50" t="n">
        <f aca="false">AO1133*G1133</f>
        <v>130.14</v>
      </c>
      <c r="AT1133" s="50" t="n">
        <f aca="false">ROUNDUP(MAX(J1133/IF(CD1133&gt;0,CD1133,MAX(0.1,N(Cockpit!$I$6))),CG1133)/BV1133,0)*BV1133</f>
        <v>2</v>
      </c>
      <c r="AU1133" s="51" t="n">
        <f aca="false">IF(AR1133&gt;0,J1133/AR1133,-1)</f>
        <v>0</v>
      </c>
      <c r="AV1133" s="51" t="str">
        <f aca="false">IF(AND(OR(CC1133="L1",CC1133="L23",CC1133="LIFT"),AR1133&gt;0),SUMIFS($AR$7:$AR$1843,$CC$7:$CC$1843,CC1133,$AU$7:$AU$1843,"&gt;"&amp;AU1133)+SUMIFS($AR$7:$AR$1843,$CC$7:$CC$1843,CC1133,$AU$7:$AU$1843,AU1133,$BT$7:$BT$1843,"&lt;="&amp;BT1133),"")</f>
        <v/>
      </c>
      <c r="AW1133" s="58" t="n">
        <f aca="false">IF(AV1133="",0,MAX(0,MIN(1,(IF(CC1133="L1",Parameter!$H$5,IF(CC1133="L23",Parameter!$H$6+Parameter!$H$7,Parameter!$H$5+Parameter!$H$6+Parameter!$H$7))-(AV1133-AR1133))/AR1133)))</f>
        <v>0</v>
      </c>
      <c r="AX1133" s="50" t="n">
        <f aca="false">IF(LEFT(Cockpit!$O$5,1)="A",H1133,IF(CE1133=1,CF1133,IF(LEFT(Cockpit!$O$5,1)="B",BC1133,MAX(BC1133,H1133))))</f>
        <v>2</v>
      </c>
      <c r="AY1133" s="50" t="n">
        <f aca="false">IF(BW1133=1,0,ROUNDUP(AX1133/BV1133,0))</f>
        <v>1</v>
      </c>
      <c r="AZ1133" s="52" t="n">
        <f aca="false">IF(CL1133&gt;0,CL1133*MAX(1,AX1133/X1133),IF(BW1133=1,IF(AX1133&lt;=0,0,CA1133*MAX(1,IF(H1133&gt;0,AX1133/H1133,1))),IF(R1133&gt;0,AY1133/R1133,0))/MAX(0.1,N(Parameter!$M$21)))</f>
        <v>0.25</v>
      </c>
      <c r="BA1133" s="50" t="n">
        <f aca="false">AZ1133*BY1133</f>
        <v>58.75</v>
      </c>
      <c r="BB1133" s="50" t="n">
        <f aca="false">AX1133*G1133</f>
        <v>130.14</v>
      </c>
      <c r="BC1133" s="50" t="n">
        <f aca="false">ROUNDUP(MAX(J1133/IF(CD1133&gt;0,CD1133,MAX(0.1,N(Cockpit!$O$6))),CG1133)/BV1133,0)*BV1133</f>
        <v>2</v>
      </c>
      <c r="BD1133" s="51" t="n">
        <f aca="false">IF(BA1133&gt;0,J1133/BA1133,-1)</f>
        <v>0</v>
      </c>
      <c r="BE1133" s="51" t="str">
        <f aca="false">IF(AND(OR(CC1133="L1",CC1133="L23",CC1133="LIFT"),BA1133&gt;0),SUMIFS($BA$7:$BA$1843,$CC$7:$CC$1843,CC1133,$BD$7:$BD$1843,"&gt;"&amp;BD1133)+SUMIFS($BA$7:$BA$1843,$CC$7:$CC$1843,CC1133,$BD$7:$BD$1843,BD1133,$BT$7:$BT$1843,"&lt;="&amp;BT1133),"")</f>
        <v/>
      </c>
      <c r="BF1133" s="58" t="n">
        <f aca="false">IF(BE1133="",0,MAX(0,MIN(1,(IF(CC1133="L1",Parameter!$H$5,IF(CC1133="L23",Parameter!$H$6+Parameter!$H$7,Parameter!$H$5+Parameter!$H$6+Parameter!$H$7))-(BE1133-BA1133))/BA1133)))</f>
        <v>0</v>
      </c>
      <c r="BG1133" s="48" t="str">
        <f aca="false">IF(AI1133&lt;=0,"",IF(CC1133="Aussen","Aussenlager",IF(CC1133="-","Nicht im Lift",IF(AN1133&gt;=1,"Lift",IF(AN1133&lt;=0,"Aussenlager","teilweise")))))</f>
        <v/>
      </c>
      <c r="BH1133" s="48" t="str">
        <f aca="false">IF(AR1133&lt;=0,"",IF(CC1133="Aussen","Aussenlager",IF(CC1133="-","Nicht im Lift",IF(AW1133&gt;=1,"Lift",IF(AW1133&lt;=0,"Aussenlager","teilweise")))))</f>
        <v>Nicht im Lift</v>
      </c>
      <c r="BI1133" s="48" t="str">
        <f aca="false">IF(BA1133&lt;=0,"",IF(CC1133="Aussen","Aussenlager",IF(CC1133="-","Nicht im Lift",IF(BF1133&gt;=1,"Lift",IF(BF1133&lt;=0,"Aussenlager","teilweise")))))</f>
        <v>Nicht im Lift</v>
      </c>
      <c r="BJ1133" s="48" t="str">
        <f aca="false">IF(A1133="","",IF(BS1133=1,"Neu; ","")&amp;IF(AND(BS1133=0,BN1133&lt;0),"negativer Bestand (Export "&amp;BN1133&amp;"); ","")&amp;IF(J1133&lt;=0,"Kein Verbrauch; ","")&amp;IF(CL1133&gt;0,"Lift "&amp;W1133&amp;" lt. Liftbericht (Fach "&amp;X1133&amp;" Stk); ",IF(BX1133=1,"Gebinde geschätzt ("&amp;T1133&amp;"); ",IF(BW1133=1,"Lose – Tablare geschätzt; ","")))&amp;IF(H1133&gt;AT1133,"Überbestand "&amp;ROUND(H1133-AT1133,0)&amp;" Stk / CHF "&amp;ROUND((H1133-AT1133)*G1133,0)&amp;"; ","")&amp;IF(AND(CE1133=1,CF1133&lt;CG1133),"MAX &lt; MB+LG; ","")&amp;IF(AND(CK1133&gt;0,CJ1133*10&gt;CK1133),"zu hoch für Tablar; ","")&amp;IF(AND(BS1133=0,OR(CE1133=1,AA1133&lt;&gt;"",U1133&lt;&gt;"",V1133&lt;&gt;"",AB1133&lt;&gt;"")),"manuell übersteuert; ","")&amp;IF(AND(BW1133=0,R1133=0),"Gebinde unbekannt / Stellmass fehlt; ","")&amp;IF(AND(BW1133=0,N(V1133)&lt;=0,N(Q1133)&lt;=0),"Menge pro Gebinde fehlt (Ist = 1 Gebinde); ","")&amp;BR1133)</f>
        <v>negativer Bestand (Export -4); Kein Verbrauch; Gebinde geschätzt (Gross); Menge pro Gebinde fehlt (Ist = 1 Gebinde); </v>
      </c>
      <c r="BK1133" s="48"/>
      <c r="BL1133" s="48"/>
      <c r="BM1133" s="55"/>
      <c r="BN1133" s="50" t="n">
        <v>-4</v>
      </c>
      <c r="BO1133" s="50" t="n">
        <v>4</v>
      </c>
      <c r="BP1133" s="49" t="n">
        <v>-260.28</v>
      </c>
      <c r="BQ1133" s="50" t="n">
        <v>0</v>
      </c>
      <c r="BR1133" s="48"/>
      <c r="BS1133" s="53" t="n">
        <v>0</v>
      </c>
      <c r="BT1133" s="53" t="n">
        <v>1133</v>
      </c>
      <c r="BU1133" s="48" t="str">
        <f aca="false">IF(U1133&lt;&gt;"",UPPER(TRIM(U1133)),IF(BX1133=1,UPPER(VLOOKUP(T1133,Parameter!$I$27:$K$29,2,0)),IF(P1133="","LOSE",P1133)))</f>
        <v>S81</v>
      </c>
      <c r="BV1133" s="50" t="n">
        <f aca="false">IF(BU1133="LOSE",1,IF(N(V1133)&gt;0,V1133,IF(BX1133=1,MAX(1,N(VLOOKUP(T1133,Parameter!$I$27:$K$29,3,0)),H1133,N(N1133)),IF(N(Q1133)&gt;0,Q1133,MAX(1,H1133)))))</f>
        <v>2</v>
      </c>
      <c r="BW1133" s="53" t="n">
        <f aca="false">IF(BU1133="LOSE",1,0)</f>
        <v>0</v>
      </c>
      <c r="BX1133" s="53" t="n">
        <f aca="false">IF(AND(U1133="",OR(P1133="",P1133="LOSE"),T1133&lt;&gt;"",N(S1133)&lt;=0,ISNUMBER(MATCH(T1133,Parameter!$I$27:$I$29,0))),1,0)</f>
        <v>1</v>
      </c>
      <c r="BY1133" s="53" t="n">
        <f aca="false">IF(CL1133&gt;0,INDEX(Parameter!$H$5:$H$7,W1133)/INDEX(Parameter!$E$5:$E$7,W1133),IF(AND(BW1133=0,N(IFERROR(VLOOKUP(BU1133,'Gebinde-Kategorie'!$A$5:$N$45,14,0),0))&gt;0),VLOOKUP(BU1133,'Gebinde-Kategorie'!$A$5:$N$45,14,0)*10+Parameter!$M$23,Parameter!$M$24))</f>
        <v>235</v>
      </c>
      <c r="BZ1133" s="48" t="str">
        <f aca="false">IF(AND(Parameter!$B$19="Ja",E1133&lt;&gt;"",ISNUMBER(MATCH(E1133,Parameter!$I$35:$I$52,0))),VLOOKUP(E1133,Parameter!$I$35:$J$52,2,0),IFERROR(VLOOKUP(D1133,Parameter!$A$35:$C$64,2,0),"Nein"))</f>
        <v>Nein</v>
      </c>
      <c r="CA1133" s="52" t="n">
        <f aca="false">IF(BW1133=0,0,IF(N(S1133)&gt;0,S1133,IFERROR(VLOOKUP(D1133,Parameter!$A$35:$C$64,3,0)+0,0)))</f>
        <v>0</v>
      </c>
      <c r="CB1133" s="48" t="str">
        <f aca="false">IF(AA1133&lt;&gt;"",AA1133,Z1133)</f>
        <v>-</v>
      </c>
      <c r="CC1133" s="48" t="str">
        <f aca="false">IF(OR(CB1133=1,CB1133=2,CB1133=3),IF(Parameter!$E$27="Ja","LIFT",IF(CB1133=1,"L1","L23")),IF(CB1133="Aussen","Aussen","-"))</f>
        <v>-</v>
      </c>
      <c r="CD1133" s="59" t="n">
        <f aca="false">IF(N(AB1133)&gt;0,AB1133,0)</f>
        <v>0</v>
      </c>
      <c r="CE1133" s="53" t="n">
        <f aca="false">IF(ISNUMBER(AE1133),1,0)</f>
        <v>0</v>
      </c>
      <c r="CF1133" s="50" t="n">
        <f aca="false">N(AE1133)</f>
        <v>0</v>
      </c>
      <c r="CG1133" s="50" t="n">
        <f aca="false">N(M1133)+N(N1133)</f>
        <v>1</v>
      </c>
      <c r="CH1133" s="50" t="n">
        <f aca="false">ROUNDUP(H1133/BV1133,0)</f>
        <v>0</v>
      </c>
      <c r="CI1133" s="50" t="n">
        <f aca="false">ROUNDUP(CF1133/BV1133,0)</f>
        <v>0</v>
      </c>
      <c r="CJ1133" s="53" t="n">
        <f aca="false">IF(BW1133=1,0,IFERROR(VLOOKUP(BU1133,'Gebinde-Kategorie'!$A$5:$N$45,5,0)+0,0))</f>
        <v>20</v>
      </c>
      <c r="CK1133" s="53" t="n">
        <f aca="false">IFERROR(IF(OR(CB1133=1,CB1133=2,CB1133=3),N(INDEX(Parameter!$I$5:$I$7,CB1133)),0),0)</f>
        <v>0</v>
      </c>
      <c r="CL1133" s="52" t="n">
        <f aca="false">IF(AND(Parameter!$B$21="Ja",ISNUMBER(W1133),N(X1133)&gt;0),IFERROR(N(INDEX(Parameter!$L$5:$L$7,W1133))*INDEX(Parameter!$E$5:$E$7,W1133)*X1133/SUMIFS($X$7:$X$1843,$W$7:$W$1843,W1133),0),0)</f>
        <v>0</v>
      </c>
    </row>
    <row r="1134" customFormat="false" ht="15" hidden="false" customHeight="false" outlineLevel="0" collapsed="false">
      <c r="A1134" s="48" t="s">
        <v>2057</v>
      </c>
      <c r="B1134" s="48" t="s">
        <v>1138</v>
      </c>
      <c r="C1134" s="48" t="s">
        <v>168</v>
      </c>
      <c r="D1134" s="48" t="s">
        <v>188</v>
      </c>
      <c r="E1134" s="48" t="s">
        <v>189</v>
      </c>
      <c r="F1134" s="48" t="s">
        <v>222</v>
      </c>
      <c r="G1134" s="49" t="n">
        <v>87.23</v>
      </c>
      <c r="H1134" s="50" t="n">
        <f aca="false">MAX(0,IF(AND(Parameter!$B$21="Ja",ISNUMBER(Y1134)),Y1134,IF(Parameter!$B$20="Jahresanfang 2025 + Export",BO1134+BN1134,BN1134)))</f>
        <v>30</v>
      </c>
      <c r="I1134" s="50" t="n">
        <f aca="false">H1134*G1134</f>
        <v>2616.9</v>
      </c>
      <c r="J1134" s="50" t="n">
        <f aca="false">BQ1134*Parameter!$B$18</f>
        <v>2</v>
      </c>
      <c r="K1134" s="51" t="n">
        <v>31.5</v>
      </c>
      <c r="L1134" s="52" t="n">
        <v>0.0634920634920635</v>
      </c>
      <c r="M1134" s="50" t="n">
        <v>0</v>
      </c>
      <c r="N1134" s="50" t="n">
        <v>1</v>
      </c>
      <c r="O1134" s="53" t="n">
        <v>42</v>
      </c>
      <c r="P1134" s="48" t="s">
        <v>190</v>
      </c>
      <c r="Q1134" s="50" t="n">
        <v>8</v>
      </c>
      <c r="R1134" s="53" t="n">
        <f aca="false">IF(BW1134=1,0,IFERROR(VLOOKUP(BU1134,'Gebinde-Kategorie'!$A$5:$N$45,13,0)+0,0))</f>
        <v>12</v>
      </c>
      <c r="S1134" s="54"/>
      <c r="T1134" s="55"/>
      <c r="U1134" s="55"/>
      <c r="V1134" s="55"/>
      <c r="W1134" s="48"/>
      <c r="X1134" s="50"/>
      <c r="Y1134" s="50"/>
      <c r="Z1134" s="48" t="n">
        <f aca="false">IF(A1134="","",IF(AND(Parameter!$B$21="Ja",ISNUMBER(W1134)),W1134,IF(BZ1134="2+3",IF(ISNUMBER(SEARCH("grosser Artikel",BR1134)),2,IFERROR(VLOOKUP(BU1134,Parameter!$F$35:$G$64,2,0),2)),IF(OR(BZ1134="Nein",BZ1134=""),"-",BZ1134))))</f>
        <v>2</v>
      </c>
      <c r="AA1134" s="55"/>
      <c r="AB1134" s="56"/>
      <c r="AC1134" s="50" t="n">
        <f aca="false">AT1134</f>
        <v>8</v>
      </c>
      <c r="AD1134" s="50" t="n">
        <f aca="false">MAX(AT1134,H1134)</f>
        <v>30</v>
      </c>
      <c r="AE1134" s="57"/>
      <c r="AF1134" s="50" t="n">
        <f aca="false">IF(LEFT(Cockpit!$C$5,1)="A",H1134,IF(CE1134=1,CF1134,IF(LEFT(Cockpit!$C$5,1)="B",AK1134,MAX(AK1134,H1134))))</f>
        <v>30</v>
      </c>
      <c r="AG1134" s="50" t="n">
        <f aca="false">IF(BW1134=1,0,ROUNDUP(AF1134/BV1134,0))</f>
        <v>4</v>
      </c>
      <c r="AH1134" s="52" t="n">
        <f aca="false">IF(CL1134&gt;0,CL1134*MAX(1,AF1134/X1134),IF(BW1134=1,IF(AF1134&lt;=0,0,CA1134*MAX(1,IF(H1134&gt;0,AF1134/H1134,1))),IF(R1134&gt;0,AG1134/R1134,0))/MAX(0.1,N(Parameter!$M$21)))</f>
        <v>0.333333333333333</v>
      </c>
      <c r="AI1134" s="50" t="n">
        <f aca="false">AH1134*BY1134</f>
        <v>48.3333333333333</v>
      </c>
      <c r="AJ1134" s="50" t="n">
        <f aca="false">AF1134*G1134</f>
        <v>2616.9</v>
      </c>
      <c r="AK1134" s="50" t="n">
        <f aca="false">ROUNDUP(MAX(J1134/IF(CD1134&gt;0,CD1134,MAX(0.1,N(Cockpit!$C$6))),CG1134)/BV1134,0)*BV1134</f>
        <v>8</v>
      </c>
      <c r="AL1134" s="51" t="n">
        <f aca="false">IF(AI1134&gt;0,J1134/AI1134,-1)</f>
        <v>0.0413793103448276</v>
      </c>
      <c r="AM1134" s="51" t="n">
        <f aca="false">IF(AND(OR(CC1134="L1",CC1134="L23",CC1134="LIFT"),AI1134&gt;0),SUMIFS($AI$7:$AI$1843,$CC$7:$CC$1843,CC1134,$AL$7:$AL$1843,"&gt;"&amp;AL1134)+SUMIFS($AI$7:$AI$1843,$CC$7:$CC$1843,CC1134,$AL$7:$AL$1843,AL1134,$BT$7:$BT$1843,"&lt;="&amp;BT1134),"")</f>
        <v>19721.4740873533</v>
      </c>
      <c r="AN1134" s="58" t="n">
        <f aca="false">IF(AM1134="",0,MAX(0,MIN(1,(IF(CC1134="L1",Parameter!$H$5,IF(CC1134="L23",Parameter!$H$6+Parameter!$H$7,Parameter!$H$5+Parameter!$H$6+Parameter!$H$7))-(AM1134-AI1134))/AI1134)))</f>
        <v>1</v>
      </c>
      <c r="AO1134" s="50" t="n">
        <f aca="false">IF(LEFT(Cockpit!$I$5,1)="A",H1134,IF(CE1134=1,CF1134,IF(LEFT(Cockpit!$I$5,1)="B",AT1134,MAX(AT1134,H1134))))</f>
        <v>30</v>
      </c>
      <c r="AP1134" s="50" t="n">
        <f aca="false">IF(BW1134=1,0,ROUNDUP(AO1134/BV1134,0))</f>
        <v>4</v>
      </c>
      <c r="AQ1134" s="52" t="n">
        <f aca="false">IF(CL1134&gt;0,CL1134*MAX(1,AO1134/X1134),IF(BW1134=1,IF(AO1134&lt;=0,0,CA1134*MAX(1,IF(H1134&gt;0,AO1134/H1134,1))),IF(R1134&gt;0,AP1134/R1134,0))/MAX(0.1,N(Parameter!$M$21)))</f>
        <v>0.333333333333333</v>
      </c>
      <c r="AR1134" s="50" t="n">
        <f aca="false">AQ1134*BY1134</f>
        <v>48.3333333333333</v>
      </c>
      <c r="AS1134" s="50" t="n">
        <f aca="false">AO1134*G1134</f>
        <v>2616.9</v>
      </c>
      <c r="AT1134" s="50" t="n">
        <f aca="false">ROUNDUP(MAX(J1134/IF(CD1134&gt;0,CD1134,MAX(0.1,N(Cockpit!$I$6))),CG1134)/BV1134,0)*BV1134</f>
        <v>8</v>
      </c>
      <c r="AU1134" s="51" t="n">
        <f aca="false">IF(AR1134&gt;0,J1134/AR1134,-1)</f>
        <v>0.0413793103448276</v>
      </c>
      <c r="AV1134" s="51" t="n">
        <f aca="false">IF(AND(OR(CC1134="L1",CC1134="L23",CC1134="LIFT"),AR1134&gt;0),SUMIFS($AR$7:$AR$1843,$CC$7:$CC$1843,CC1134,$AU$7:$AU$1843,"&gt;"&amp;AU1134)+SUMIFS($AR$7:$AR$1843,$CC$7:$CC$1843,CC1134,$AU$7:$AU$1843,AU1134,$BT$7:$BT$1843,"&lt;="&amp;BT1134),"")</f>
        <v>30556.2816761863</v>
      </c>
      <c r="AW1134" s="58" t="n">
        <f aca="false">IF(AV1134="",0,MAX(0,MIN(1,(IF(CC1134="L1",Parameter!$H$5,IF(CC1134="L23",Parameter!$H$6+Parameter!$H$7,Parameter!$H$5+Parameter!$H$6+Parameter!$H$7))-(AV1134-AR1134))/AR1134)))</f>
        <v>1</v>
      </c>
      <c r="AX1134" s="50" t="n">
        <f aca="false">IF(LEFT(Cockpit!$O$5,1)="A",H1134,IF(CE1134=1,CF1134,IF(LEFT(Cockpit!$O$5,1)="B",BC1134,MAX(BC1134,H1134))))</f>
        <v>30</v>
      </c>
      <c r="AY1134" s="50" t="n">
        <f aca="false">IF(BW1134=1,0,ROUNDUP(AX1134/BV1134,0))</f>
        <v>4</v>
      </c>
      <c r="AZ1134" s="52" t="n">
        <f aca="false">IF(CL1134&gt;0,CL1134*MAX(1,AX1134/X1134),IF(BW1134=1,IF(AX1134&lt;=0,0,CA1134*MAX(1,IF(H1134&gt;0,AX1134/H1134,1))),IF(R1134&gt;0,AY1134/R1134,0))/MAX(0.1,N(Parameter!$M$21)))</f>
        <v>0.333333333333333</v>
      </c>
      <c r="BA1134" s="50" t="n">
        <f aca="false">AZ1134*BY1134</f>
        <v>48.3333333333333</v>
      </c>
      <c r="BB1134" s="50" t="n">
        <f aca="false">AX1134*G1134</f>
        <v>2616.9</v>
      </c>
      <c r="BC1134" s="50" t="n">
        <f aca="false">ROUNDUP(MAX(J1134/IF(CD1134&gt;0,CD1134,MAX(0.1,N(Cockpit!$O$6))),CG1134)/BV1134,0)*BV1134</f>
        <v>8</v>
      </c>
      <c r="BD1134" s="51" t="n">
        <f aca="false">IF(BA1134&gt;0,J1134/BA1134,-1)</f>
        <v>0.0413793103448276</v>
      </c>
      <c r="BE1134" s="51" t="n">
        <f aca="false">IF(AND(OR(CC1134="L1",CC1134="L23",CC1134="LIFT"),BA1134&gt;0),SUMIFS($BA$7:$BA$1843,$CC$7:$CC$1843,CC1134,$BD$7:$BD$1843,"&gt;"&amp;BD1134)+SUMIFS($BA$7:$BA$1843,$CC$7:$CC$1843,CC1134,$BD$7:$BD$1843,BD1134,$BT$7:$BT$1843,"&lt;="&amp;BT1134),"")</f>
        <v>27231.2937180522</v>
      </c>
      <c r="BF1134" s="58" t="n">
        <f aca="false">IF(BE1134="",0,MAX(0,MIN(1,(IF(CC1134="L1",Parameter!$H$5,IF(CC1134="L23",Parameter!$H$6+Parameter!$H$7,Parameter!$H$5+Parameter!$H$6+Parameter!$H$7))-(BE1134-BA1134))/BA1134)))</f>
        <v>1</v>
      </c>
      <c r="BG1134" s="48" t="str">
        <f aca="false">IF(AI1134&lt;=0,"",IF(CC1134="Aussen","Aussenlager",IF(CC1134="-","Nicht im Lift",IF(AN1134&gt;=1,"Lift",IF(AN1134&lt;=0,"Aussenlager","teilweise")))))</f>
        <v>Lift</v>
      </c>
      <c r="BH1134" s="48" t="str">
        <f aca="false">IF(AR1134&lt;=0,"",IF(CC1134="Aussen","Aussenlager",IF(CC1134="-","Nicht im Lift",IF(AW1134&gt;=1,"Lift",IF(AW1134&lt;=0,"Aussenlager","teilweise")))))</f>
        <v>Lift</v>
      </c>
      <c r="BI1134" s="48" t="str">
        <f aca="false">IF(BA1134&lt;=0,"",IF(CC1134="Aussen","Aussenlager",IF(CC1134="-","Nicht im Lift",IF(BF1134&gt;=1,"Lift",IF(BF1134&lt;=0,"Aussenlager","teilweise")))))</f>
        <v>Lift</v>
      </c>
      <c r="BJ1134" s="48" t="str">
        <f aca="false">IF(A1134="","",IF(BS1134=1,"Neu; ","")&amp;IF(AND(BS1134=0,BN1134&lt;0),"negativer Bestand (Export "&amp;BN1134&amp;"); ","")&amp;IF(J1134&lt;=0,"Kein Verbrauch; ","")&amp;IF(CL1134&gt;0,"Lift "&amp;W1134&amp;" lt. Liftbericht (Fach "&amp;X1134&amp;" Stk); ",IF(BX1134=1,"Gebinde geschätzt ("&amp;T1134&amp;"); ",IF(BW1134=1,"Lose – Tablare geschätzt; ","")))&amp;IF(H1134&gt;AT1134,"Überbestand "&amp;ROUND(H1134-AT1134,0)&amp;" Stk / CHF "&amp;ROUND((H1134-AT1134)*G1134,0)&amp;"; ","")&amp;IF(AND(CE1134=1,CF1134&lt;CG1134),"MAX &lt; MB+LG; ","")&amp;IF(AND(CK1134&gt;0,CJ1134*10&gt;CK1134),"zu hoch für Tablar; ","")&amp;IF(AND(BS1134=0,OR(CE1134=1,AA1134&lt;&gt;"",U1134&lt;&gt;"",V1134&lt;&gt;"",AB1134&lt;&gt;"")),"manuell übersteuert; ","")&amp;IF(AND(BW1134=0,R1134=0),"Gebinde unbekannt / Stellmass fehlt; ","")&amp;IF(AND(BW1134=0,N(V1134)&lt;=0,N(Q1134)&lt;=0),"Menge pro Gebinde fehlt (Ist = 1 Gebinde); ","")&amp;BR1134)</f>
        <v>negativer Bestand (Export -3); Überbestand 22 Stk / CHF 1919; Neu</v>
      </c>
      <c r="BK1134" s="48"/>
      <c r="BL1134" s="48"/>
      <c r="BM1134" s="55"/>
      <c r="BN1134" s="50" t="n">
        <v>-3</v>
      </c>
      <c r="BO1134" s="50" t="n">
        <v>33</v>
      </c>
      <c r="BP1134" s="49" t="n">
        <v>-261.69</v>
      </c>
      <c r="BQ1134" s="50" t="n">
        <v>2</v>
      </c>
      <c r="BR1134" s="48" t="s">
        <v>630</v>
      </c>
      <c r="BS1134" s="53" t="n">
        <v>0</v>
      </c>
      <c r="BT1134" s="53" t="n">
        <v>1134</v>
      </c>
      <c r="BU1134" s="48" t="str">
        <f aca="false">IF(U1134&lt;&gt;"",UPPER(TRIM(U1134)),IF(BX1134=1,UPPER(VLOOKUP(T1134,Parameter!$I$27:$K$29,2,0)),IF(P1134="","LOSE",P1134)))</f>
        <v>S61</v>
      </c>
      <c r="BV1134" s="50" t="n">
        <f aca="false">IF(BU1134="LOSE",1,IF(N(V1134)&gt;0,V1134,IF(BX1134=1,MAX(1,N(VLOOKUP(T1134,Parameter!$I$27:$K$29,3,0)),H1134,N(N1134)),IF(N(Q1134)&gt;0,Q1134,MAX(1,H1134)))))</f>
        <v>8</v>
      </c>
      <c r="BW1134" s="53" t="n">
        <f aca="false">IF(BU1134="LOSE",1,0)</f>
        <v>0</v>
      </c>
      <c r="BX1134" s="53" t="n">
        <f aca="false">IF(AND(U1134="",OR(P1134="",P1134="LOSE"),T1134&lt;&gt;"",N(S1134)&lt;=0,ISNUMBER(MATCH(T1134,Parameter!$I$27:$I$29,0))),1,0)</f>
        <v>0</v>
      </c>
      <c r="BY1134" s="53" t="n">
        <f aca="false">IF(CL1134&gt;0,INDEX(Parameter!$H$5:$H$7,W1134)/INDEX(Parameter!$E$5:$E$7,W1134),IF(AND(BW1134=0,N(IFERROR(VLOOKUP(BU1134,'Gebinde-Kategorie'!$A$5:$N$45,14,0),0))&gt;0),VLOOKUP(BU1134,'Gebinde-Kategorie'!$A$5:$N$45,14,0)*10+Parameter!$M$23,Parameter!$M$24))</f>
        <v>145</v>
      </c>
      <c r="BZ1134" s="48" t="str">
        <f aca="false">IF(AND(Parameter!$B$19="Ja",E1134&lt;&gt;"",ISNUMBER(MATCH(E1134,Parameter!$I$35:$I$52,0))),VLOOKUP(E1134,Parameter!$I$35:$J$52,2,0),IFERROR(VLOOKUP(D1134,Parameter!$A$35:$C$64,2,0),"Nein"))</f>
        <v>2+3</v>
      </c>
      <c r="CA1134" s="52" t="n">
        <f aca="false">IF(BW1134=0,0,IF(N(S1134)&gt;0,S1134,IFERROR(VLOOKUP(D1134,Parameter!$A$35:$C$64,3,0)+0,0)))</f>
        <v>0</v>
      </c>
      <c r="CB1134" s="48" t="n">
        <f aca="false">IF(AA1134&lt;&gt;"",AA1134,Z1134)</f>
        <v>2</v>
      </c>
      <c r="CC1134" s="48" t="str">
        <f aca="false">IF(OR(CB1134=1,CB1134=2,CB1134=3),IF(Parameter!$E$27="Ja","LIFT",IF(CB1134=1,"L1","L23")),IF(CB1134="Aussen","Aussen","-"))</f>
        <v>LIFT</v>
      </c>
      <c r="CD1134" s="59" t="n">
        <f aca="false">IF(N(AB1134)&gt;0,AB1134,0)</f>
        <v>0</v>
      </c>
      <c r="CE1134" s="53" t="n">
        <f aca="false">IF(ISNUMBER(AE1134),1,0)</f>
        <v>0</v>
      </c>
      <c r="CF1134" s="50" t="n">
        <f aca="false">N(AE1134)</f>
        <v>0</v>
      </c>
      <c r="CG1134" s="50" t="n">
        <f aca="false">N(M1134)+N(N1134)</f>
        <v>1</v>
      </c>
      <c r="CH1134" s="50" t="n">
        <f aca="false">ROUNDUP(H1134/BV1134,0)</f>
        <v>4</v>
      </c>
      <c r="CI1134" s="50" t="n">
        <f aca="false">ROUNDUP(CF1134/BV1134,0)</f>
        <v>0</v>
      </c>
      <c r="CJ1134" s="53" t="n">
        <f aca="false">IF(BW1134=1,0,IFERROR(VLOOKUP(BU1134,'Gebinde-Kategorie'!$A$5:$N$45,5,0)+0,0))</f>
        <v>11</v>
      </c>
      <c r="CK1134" s="53" t="n">
        <f aca="false">IFERROR(IF(OR(CB1134=1,CB1134=2,CB1134=3),N(INDEX(Parameter!$I$5:$I$7,CB1134)),0),0)</f>
        <v>0</v>
      </c>
      <c r="CL1134" s="52" t="n">
        <f aca="false">IF(AND(Parameter!$B$21="Ja",ISNUMBER(W1134),N(X1134)&gt;0),IFERROR(N(INDEX(Parameter!$L$5:$L$7,W1134))*INDEX(Parameter!$E$5:$E$7,W1134)*X1134/SUMIFS($X$7:$X$1843,$W$7:$W$1843,W1134),0),0)</f>
        <v>0</v>
      </c>
    </row>
    <row r="1135" customFormat="false" ht="15" hidden="false" customHeight="false" outlineLevel="0" collapsed="false">
      <c r="A1135" s="48" t="s">
        <v>2058</v>
      </c>
      <c r="B1135" s="48" t="s">
        <v>568</v>
      </c>
      <c r="C1135" s="48" t="s">
        <v>168</v>
      </c>
      <c r="D1135" s="48" t="s">
        <v>188</v>
      </c>
      <c r="E1135" s="48" t="s">
        <v>189</v>
      </c>
      <c r="F1135" s="48" t="s">
        <v>222</v>
      </c>
      <c r="G1135" s="49" t="n">
        <v>20.24</v>
      </c>
      <c r="H1135" s="50" t="n">
        <f aca="false">MAX(0,IF(AND(Parameter!$B$21="Ja",ISNUMBER(Y1135)),Y1135,IF(Parameter!$B$20="Jahresanfang 2025 + Export",BO1135+BN1135,BN1135)))</f>
        <v>6</v>
      </c>
      <c r="I1135" s="50" t="n">
        <f aca="false">H1135*G1135</f>
        <v>121.44</v>
      </c>
      <c r="J1135" s="50" t="n">
        <f aca="false">BQ1135*Parameter!$B$18</f>
        <v>10</v>
      </c>
      <c r="K1135" s="51" t="n">
        <v>14</v>
      </c>
      <c r="L1135" s="52" t="n">
        <v>0.714285714285714</v>
      </c>
      <c r="M1135" s="50" t="n">
        <v>0</v>
      </c>
      <c r="N1135" s="50" t="n">
        <v>10</v>
      </c>
      <c r="O1135" s="53" t="n">
        <v>28</v>
      </c>
      <c r="P1135" s="48" t="s">
        <v>480</v>
      </c>
      <c r="Q1135" s="50" t="n">
        <v>7</v>
      </c>
      <c r="R1135" s="53" t="n">
        <f aca="false">IF(BW1135=1,0,IFERROR(VLOOKUP(BU1135,'Gebinde-Kategorie'!$A$5:$N$45,13,0)+0,0))</f>
        <v>52</v>
      </c>
      <c r="S1135" s="54"/>
      <c r="T1135" s="55"/>
      <c r="U1135" s="55"/>
      <c r="V1135" s="55"/>
      <c r="W1135" s="48"/>
      <c r="X1135" s="50"/>
      <c r="Y1135" s="50"/>
      <c r="Z1135" s="48" t="n">
        <f aca="false">IF(A1135="","",IF(AND(Parameter!$B$21="Ja",ISNUMBER(W1135)),W1135,IF(BZ1135="2+3",IF(ISNUMBER(SEARCH("grosser Artikel",BR1135)),2,IFERROR(VLOOKUP(BU1135,Parameter!$F$35:$G$64,2,0),2)),IF(OR(BZ1135="Nein",BZ1135=""),"-",BZ1135))))</f>
        <v>3</v>
      </c>
      <c r="AA1135" s="55"/>
      <c r="AB1135" s="56"/>
      <c r="AC1135" s="50" t="n">
        <f aca="false">AT1135</f>
        <v>14</v>
      </c>
      <c r="AD1135" s="50" t="n">
        <f aca="false">MAX(AT1135,H1135)</f>
        <v>14</v>
      </c>
      <c r="AE1135" s="57"/>
      <c r="AF1135" s="50" t="n">
        <f aca="false">IF(LEFT(Cockpit!$C$5,1)="A",H1135,IF(CE1135=1,CF1135,IF(LEFT(Cockpit!$C$5,1)="B",AK1135,MAX(AK1135,H1135))))</f>
        <v>6</v>
      </c>
      <c r="AG1135" s="50" t="n">
        <f aca="false">IF(BW1135=1,0,ROUNDUP(AF1135/BV1135,0))</f>
        <v>1</v>
      </c>
      <c r="AH1135" s="52" t="n">
        <f aca="false">IF(CL1135&gt;0,CL1135*MAX(1,AF1135/X1135),IF(BW1135=1,IF(AF1135&lt;=0,0,CA1135*MAX(1,IF(H1135&gt;0,AF1135/H1135,1))),IF(R1135&gt;0,AG1135/R1135,0))/MAX(0.1,N(Parameter!$M$21)))</f>
        <v>0.0192307692307692</v>
      </c>
      <c r="AI1135" s="50" t="n">
        <f aca="false">AH1135*BY1135</f>
        <v>2.98076923076923</v>
      </c>
      <c r="AJ1135" s="50" t="n">
        <f aca="false">AF1135*G1135</f>
        <v>121.44</v>
      </c>
      <c r="AK1135" s="50" t="n">
        <f aca="false">ROUNDUP(MAX(J1135/IF(CD1135&gt;0,CD1135,MAX(0.1,N(Cockpit!$C$6))),CG1135)/BV1135,0)*BV1135</f>
        <v>14</v>
      </c>
      <c r="AL1135" s="51" t="n">
        <f aca="false">IF(AI1135&gt;0,J1135/AI1135,-1)</f>
        <v>3.35483870967742</v>
      </c>
      <c r="AM1135" s="51" t="n">
        <f aca="false">IF(AND(OR(CC1135="L1",CC1135="L23",CC1135="LIFT"),AI1135&gt;0),SUMIFS($AI$7:$AI$1843,$CC$7:$CC$1843,CC1135,$AL$7:$AL$1843,"&gt;"&amp;AL1135)+SUMIFS($AI$7:$AI$1843,$CC$7:$CC$1843,CC1135,$AL$7:$AL$1843,AL1135,$BT$7:$BT$1843,"&lt;="&amp;BT1135),"")</f>
        <v>4955.58791208791</v>
      </c>
      <c r="AN1135" s="58" t="n">
        <f aca="false">IF(AM1135="",0,MAX(0,MIN(1,(IF(CC1135="L1",Parameter!$H$5,IF(CC1135="L23",Parameter!$H$6+Parameter!$H$7,Parameter!$H$5+Parameter!$H$6+Parameter!$H$7))-(AM1135-AI1135))/AI1135)))</f>
        <v>1</v>
      </c>
      <c r="AO1135" s="50" t="n">
        <f aca="false">IF(LEFT(Cockpit!$I$5,1)="A",H1135,IF(CE1135=1,CF1135,IF(LEFT(Cockpit!$I$5,1)="B",AT1135,MAX(AT1135,H1135))))</f>
        <v>14</v>
      </c>
      <c r="AP1135" s="50" t="n">
        <f aca="false">IF(BW1135=1,0,ROUNDUP(AO1135/BV1135,0))</f>
        <v>2</v>
      </c>
      <c r="AQ1135" s="52" t="n">
        <f aca="false">IF(CL1135&gt;0,CL1135*MAX(1,AO1135/X1135),IF(BW1135=1,IF(AO1135&lt;=0,0,CA1135*MAX(1,IF(H1135&gt;0,AO1135/H1135,1))),IF(R1135&gt;0,AP1135/R1135,0))/MAX(0.1,N(Parameter!$M$21)))</f>
        <v>0.0384615384615385</v>
      </c>
      <c r="AR1135" s="50" t="n">
        <f aca="false">AQ1135*BY1135</f>
        <v>5.96153846153846</v>
      </c>
      <c r="AS1135" s="50" t="n">
        <f aca="false">AO1135*G1135</f>
        <v>283.36</v>
      </c>
      <c r="AT1135" s="50" t="n">
        <f aca="false">ROUNDUP(MAX(J1135/IF(CD1135&gt;0,CD1135,MAX(0.1,N(Cockpit!$I$6))),CG1135)/BV1135,0)*BV1135</f>
        <v>14</v>
      </c>
      <c r="AU1135" s="51" t="n">
        <f aca="false">IF(AR1135&gt;0,J1135/AR1135,-1)</f>
        <v>1.67741935483871</v>
      </c>
      <c r="AV1135" s="51" t="n">
        <f aca="false">IF(AND(OR(CC1135="L1",CC1135="L23",CC1135="LIFT"),AR1135&gt;0),SUMIFS($AR$7:$AR$1843,$CC$7:$CC$1843,CC1135,$AU$7:$AU$1843,"&gt;"&amp;AU1135)+SUMIFS($AR$7:$AR$1843,$CC$7:$CC$1843,CC1135,$AU$7:$AU$1843,AU1135,$BT$7:$BT$1843,"&lt;="&amp;BT1135),"")</f>
        <v>8213.78296703297</v>
      </c>
      <c r="AW1135" s="58" t="n">
        <f aca="false">IF(AV1135="",0,MAX(0,MIN(1,(IF(CC1135="L1",Parameter!$H$5,IF(CC1135="L23",Parameter!$H$6+Parameter!$H$7,Parameter!$H$5+Parameter!$H$6+Parameter!$H$7))-(AV1135-AR1135))/AR1135)))</f>
        <v>1</v>
      </c>
      <c r="AX1135" s="50" t="n">
        <f aca="false">IF(LEFT(Cockpit!$O$5,1)="A",H1135,IF(CE1135=1,CF1135,IF(LEFT(Cockpit!$O$5,1)="B",BC1135,MAX(BC1135,H1135))))</f>
        <v>14</v>
      </c>
      <c r="AY1135" s="50" t="n">
        <f aca="false">IF(BW1135=1,0,ROUNDUP(AX1135/BV1135,0))</f>
        <v>2</v>
      </c>
      <c r="AZ1135" s="52" t="n">
        <f aca="false">IF(CL1135&gt;0,CL1135*MAX(1,AX1135/X1135),IF(BW1135=1,IF(AX1135&lt;=0,0,CA1135*MAX(1,IF(H1135&gt;0,AX1135/H1135,1))),IF(R1135&gt;0,AY1135/R1135,0))/MAX(0.1,N(Parameter!$M$21)))</f>
        <v>0.0384615384615385</v>
      </c>
      <c r="BA1135" s="50" t="n">
        <f aca="false">AZ1135*BY1135</f>
        <v>5.96153846153846</v>
      </c>
      <c r="BB1135" s="50" t="n">
        <f aca="false">AX1135*G1135</f>
        <v>283.36</v>
      </c>
      <c r="BC1135" s="50" t="n">
        <f aca="false">ROUNDUP(MAX(J1135/IF(CD1135&gt;0,CD1135,MAX(0.1,N(Cockpit!$O$6))),CG1135)/BV1135,0)*BV1135</f>
        <v>14</v>
      </c>
      <c r="BD1135" s="51" t="n">
        <f aca="false">IF(BA1135&gt;0,J1135/BA1135,-1)</f>
        <v>1.67741935483871</v>
      </c>
      <c r="BE1135" s="51" t="n">
        <f aca="false">IF(AND(OR(CC1135="L1",CC1135="L23",CC1135="LIFT"),BA1135&gt;0),SUMIFS($BA$7:$BA$1843,$CC$7:$CC$1843,CC1135,$BD$7:$BD$1843,"&gt;"&amp;BD1135)+SUMIFS($BA$7:$BA$1843,$CC$7:$CC$1843,CC1135,$BD$7:$BD$1843,BD1135,$BT$7:$BT$1843,"&lt;="&amp;BT1135),"")</f>
        <v>8128.19001831502</v>
      </c>
      <c r="BF1135" s="58" t="n">
        <f aca="false">IF(BE1135="",0,MAX(0,MIN(1,(IF(CC1135="L1",Parameter!$H$5,IF(CC1135="L23",Parameter!$H$6+Parameter!$H$7,Parameter!$H$5+Parameter!$H$6+Parameter!$H$7))-(BE1135-BA1135))/BA1135)))</f>
        <v>1</v>
      </c>
      <c r="BG1135" s="48" t="str">
        <f aca="false">IF(AI1135&lt;=0,"",IF(CC1135="Aussen","Aussenlager",IF(CC1135="-","Nicht im Lift",IF(AN1135&gt;=1,"Lift",IF(AN1135&lt;=0,"Aussenlager","teilweise")))))</f>
        <v>Lift</v>
      </c>
      <c r="BH1135" s="48" t="str">
        <f aca="false">IF(AR1135&lt;=0,"",IF(CC1135="Aussen","Aussenlager",IF(CC1135="-","Nicht im Lift",IF(AW1135&gt;=1,"Lift",IF(AW1135&lt;=0,"Aussenlager","teilweise")))))</f>
        <v>Lift</v>
      </c>
      <c r="BI1135" s="48" t="str">
        <f aca="false">IF(BA1135&lt;=0,"",IF(CC1135="Aussen","Aussenlager",IF(CC1135="-","Nicht im Lift",IF(BF1135&gt;=1,"Lift",IF(BF1135&lt;=0,"Aussenlager","teilweise")))))</f>
        <v>Lift</v>
      </c>
      <c r="BJ1135" s="48" t="str">
        <f aca="false">IF(A1135="","",IF(BS1135=1,"Neu; ","")&amp;IF(AND(BS1135=0,BN1135&lt;0),"negativer Bestand (Export "&amp;BN1135&amp;"); ","")&amp;IF(J1135&lt;=0,"Kein Verbrauch; ","")&amp;IF(CL1135&gt;0,"Lift "&amp;W1135&amp;" lt. Liftbericht (Fach "&amp;X1135&amp;" Stk); ",IF(BX1135=1,"Gebinde geschätzt ("&amp;T1135&amp;"); ",IF(BW1135=1,"Lose – Tablare geschätzt; ","")))&amp;IF(H1135&gt;AT1135,"Überbestand "&amp;ROUND(H1135-AT1135,0)&amp;" Stk / CHF "&amp;ROUND((H1135-AT1135)*G1135,0)&amp;"; ","")&amp;IF(AND(CE1135=1,CF1135&lt;CG1135),"MAX &lt; MB+LG; ","")&amp;IF(AND(CK1135&gt;0,CJ1135*10&gt;CK1135),"zu hoch für Tablar; ","")&amp;IF(AND(BS1135=0,OR(CE1135=1,AA1135&lt;&gt;"",U1135&lt;&gt;"",V1135&lt;&gt;"",AB1135&lt;&gt;"")),"manuell übersteuert; ","")&amp;IF(AND(BW1135=0,R1135=0),"Gebinde unbekannt / Stellmass fehlt; ","")&amp;IF(AND(BW1135=0,N(V1135)&lt;=0,N(Q1135)&lt;=0),"Menge pro Gebinde fehlt (Ist = 1 Gebinde); ","")&amp;BR1135)</f>
        <v>negativer Bestand (Export -13); </v>
      </c>
      <c r="BK1135" s="48"/>
      <c r="BL1135" s="48"/>
      <c r="BM1135" s="55"/>
      <c r="BN1135" s="50" t="n">
        <v>-13</v>
      </c>
      <c r="BO1135" s="50" t="n">
        <v>19</v>
      </c>
      <c r="BP1135" s="49" t="n">
        <v>-263.12</v>
      </c>
      <c r="BQ1135" s="50" t="n">
        <v>10</v>
      </c>
      <c r="BR1135" s="48"/>
      <c r="BS1135" s="53" t="n">
        <v>0</v>
      </c>
      <c r="BT1135" s="53" t="n">
        <v>1135</v>
      </c>
      <c r="BU1135" s="48" t="str">
        <f aca="false">IF(U1135&lt;&gt;"",UPPER(TRIM(U1135)),IF(BX1135=1,UPPER(VLOOKUP(T1135,Parameter!$I$27:$K$29,2,0)),IF(P1135="","LOSE",P1135)))</f>
        <v>S33</v>
      </c>
      <c r="BV1135" s="50" t="n">
        <f aca="false">IF(BU1135="LOSE",1,IF(N(V1135)&gt;0,V1135,IF(BX1135=1,MAX(1,N(VLOOKUP(T1135,Parameter!$I$27:$K$29,3,0)),H1135,N(N1135)),IF(N(Q1135)&gt;0,Q1135,MAX(1,H1135)))))</f>
        <v>7</v>
      </c>
      <c r="BW1135" s="53" t="n">
        <f aca="false">IF(BU1135="LOSE",1,0)</f>
        <v>0</v>
      </c>
      <c r="BX1135" s="53" t="n">
        <f aca="false">IF(AND(U1135="",OR(P1135="",P1135="LOSE"),T1135&lt;&gt;"",N(S1135)&lt;=0,ISNUMBER(MATCH(T1135,Parameter!$I$27:$I$29,0))),1,0)</f>
        <v>0</v>
      </c>
      <c r="BY1135" s="53" t="n">
        <f aca="false">IF(CL1135&gt;0,INDEX(Parameter!$H$5:$H$7,W1135)/INDEX(Parameter!$E$5:$E$7,W1135),IF(AND(BW1135=0,N(IFERROR(VLOOKUP(BU1135,'Gebinde-Kategorie'!$A$5:$N$45,14,0),0))&gt;0),VLOOKUP(BU1135,'Gebinde-Kategorie'!$A$5:$N$45,14,0)*10+Parameter!$M$23,Parameter!$M$24))</f>
        <v>155</v>
      </c>
      <c r="BZ1135" s="48" t="str">
        <f aca="false">IF(AND(Parameter!$B$19="Ja",E1135&lt;&gt;"",ISNUMBER(MATCH(E1135,Parameter!$I$35:$I$52,0))),VLOOKUP(E1135,Parameter!$I$35:$J$52,2,0),IFERROR(VLOOKUP(D1135,Parameter!$A$35:$C$64,2,0),"Nein"))</f>
        <v>2+3</v>
      </c>
      <c r="CA1135" s="52" t="n">
        <f aca="false">IF(BW1135=0,0,IF(N(S1135)&gt;0,S1135,IFERROR(VLOOKUP(D1135,Parameter!$A$35:$C$64,3,0)+0,0)))</f>
        <v>0</v>
      </c>
      <c r="CB1135" s="48" t="n">
        <f aca="false">IF(AA1135&lt;&gt;"",AA1135,Z1135)</f>
        <v>3</v>
      </c>
      <c r="CC1135" s="48" t="str">
        <f aca="false">IF(OR(CB1135=1,CB1135=2,CB1135=3),IF(Parameter!$E$27="Ja","LIFT",IF(CB1135=1,"L1","L23")),IF(CB1135="Aussen","Aussen","-"))</f>
        <v>LIFT</v>
      </c>
      <c r="CD1135" s="59" t="n">
        <f aca="false">IF(N(AB1135)&gt;0,AB1135,0)</f>
        <v>0</v>
      </c>
      <c r="CE1135" s="53" t="n">
        <f aca="false">IF(ISNUMBER(AE1135),1,0)</f>
        <v>0</v>
      </c>
      <c r="CF1135" s="50" t="n">
        <f aca="false">N(AE1135)</f>
        <v>0</v>
      </c>
      <c r="CG1135" s="50" t="n">
        <f aca="false">N(M1135)+N(N1135)</f>
        <v>10</v>
      </c>
      <c r="CH1135" s="50" t="n">
        <f aca="false">ROUNDUP(H1135/BV1135,0)</f>
        <v>1</v>
      </c>
      <c r="CI1135" s="50" t="n">
        <f aca="false">ROUNDUP(CF1135/BV1135,0)</f>
        <v>0</v>
      </c>
      <c r="CJ1135" s="53" t="n">
        <f aca="false">IF(BW1135=1,0,IFERROR(VLOOKUP(BU1135,'Gebinde-Kategorie'!$A$5:$N$45,5,0)+0,0))</f>
        <v>8</v>
      </c>
      <c r="CK1135" s="53" t="n">
        <f aca="false">IFERROR(IF(OR(CB1135=1,CB1135=2,CB1135=3),N(INDEX(Parameter!$I$5:$I$7,CB1135)),0),0)</f>
        <v>0</v>
      </c>
      <c r="CL1135" s="52" t="n">
        <f aca="false">IF(AND(Parameter!$B$21="Ja",ISNUMBER(W1135),N(X1135)&gt;0),IFERROR(N(INDEX(Parameter!$L$5:$L$7,W1135))*INDEX(Parameter!$E$5:$E$7,W1135)*X1135/SUMIFS($X$7:$X$1843,$W$7:$W$1843,W1135),0),0)</f>
        <v>0</v>
      </c>
    </row>
    <row r="1136" customFormat="false" ht="15" hidden="false" customHeight="false" outlineLevel="0" collapsed="false">
      <c r="A1136" s="48" t="s">
        <v>2059</v>
      </c>
      <c r="B1136" s="48" t="s">
        <v>2040</v>
      </c>
      <c r="C1136" s="48" t="s">
        <v>168</v>
      </c>
      <c r="D1136" s="48" t="s">
        <v>188</v>
      </c>
      <c r="E1136" s="48"/>
      <c r="F1136" s="48" t="s">
        <v>222</v>
      </c>
      <c r="G1136" s="49" t="n">
        <v>66.83</v>
      </c>
      <c r="H1136" s="50" t="n">
        <f aca="false">MAX(0,IF(AND(Parameter!$B$21="Ja",ISNUMBER(Y1136)),Y1136,IF(Parameter!$B$20="Jahresanfang 2025 + Export",BO1136+BN1136,BN1136)))</f>
        <v>4</v>
      </c>
      <c r="I1136" s="50" t="n">
        <f aca="false">H1136*G1136</f>
        <v>267.32</v>
      </c>
      <c r="J1136" s="50" t="n">
        <f aca="false">BQ1136*Parameter!$B$18</f>
        <v>0</v>
      </c>
      <c r="K1136" s="51" t="n">
        <v>8.5</v>
      </c>
      <c r="L1136" s="52" t="n">
        <v>0</v>
      </c>
      <c r="M1136" s="50" t="n">
        <v>0</v>
      </c>
      <c r="N1136" s="50" t="n">
        <v>1</v>
      </c>
      <c r="O1136" s="53" t="n">
        <v>28</v>
      </c>
      <c r="P1136" s="48" t="s">
        <v>306</v>
      </c>
      <c r="Q1136" s="50" t="n">
        <v>6</v>
      </c>
      <c r="R1136" s="53" t="n">
        <f aca="false">IF(BW1136=1,0,IFERROR(VLOOKUP(BU1136,'Gebinde-Kategorie'!$A$5:$N$45,13,0)+0,0))</f>
        <v>26</v>
      </c>
      <c r="S1136" s="54"/>
      <c r="T1136" s="55"/>
      <c r="U1136" s="55"/>
      <c r="V1136" s="55"/>
      <c r="W1136" s="48"/>
      <c r="X1136" s="50"/>
      <c r="Y1136" s="50"/>
      <c r="Z1136" s="48" t="n">
        <f aca="false">IF(A1136="","",IF(AND(Parameter!$B$21="Ja",ISNUMBER(W1136)),W1136,IF(BZ1136="2+3",IF(ISNUMBER(SEARCH("grosser Artikel",BR1136)),2,IFERROR(VLOOKUP(BU1136,Parameter!$F$35:$G$64,2,0),2)),IF(OR(BZ1136="Nein",BZ1136=""),"-",BZ1136))))</f>
        <v>3</v>
      </c>
      <c r="AA1136" s="55"/>
      <c r="AB1136" s="56"/>
      <c r="AC1136" s="50" t="n">
        <f aca="false">AT1136</f>
        <v>6</v>
      </c>
      <c r="AD1136" s="50" t="n">
        <f aca="false">MAX(AT1136,H1136)</f>
        <v>6</v>
      </c>
      <c r="AE1136" s="57"/>
      <c r="AF1136" s="50" t="n">
        <f aca="false">IF(LEFT(Cockpit!$C$5,1)="A",H1136,IF(CE1136=1,CF1136,IF(LEFT(Cockpit!$C$5,1)="B",AK1136,MAX(AK1136,H1136))))</f>
        <v>4</v>
      </c>
      <c r="AG1136" s="50" t="n">
        <f aca="false">IF(BW1136=1,0,ROUNDUP(AF1136/BV1136,0))</f>
        <v>1</v>
      </c>
      <c r="AH1136" s="52" t="n">
        <f aca="false">IF(CL1136&gt;0,CL1136*MAX(1,AF1136/X1136),IF(BW1136=1,IF(AF1136&lt;=0,0,CA1136*MAX(1,IF(H1136&gt;0,AF1136/H1136,1))),IF(R1136&gt;0,AG1136/R1136,0))/MAX(0.1,N(Parameter!$M$21)))</f>
        <v>0.0384615384615385</v>
      </c>
      <c r="AI1136" s="50" t="n">
        <f aca="false">AH1136*BY1136</f>
        <v>5.96153846153846</v>
      </c>
      <c r="AJ1136" s="50" t="n">
        <f aca="false">AF1136*G1136</f>
        <v>267.32</v>
      </c>
      <c r="AK1136" s="50" t="n">
        <f aca="false">ROUNDUP(MAX(J1136/IF(CD1136&gt;0,CD1136,MAX(0.1,N(Cockpit!$C$6))),CG1136)/BV1136,0)*BV1136</f>
        <v>6</v>
      </c>
      <c r="AL1136" s="51" t="n">
        <f aca="false">IF(AI1136&gt;0,J1136/AI1136,-1)</f>
        <v>0</v>
      </c>
      <c r="AM1136" s="51" t="n">
        <f aca="false">IF(AND(OR(CC1136="L1",CC1136="L23",CC1136="LIFT"),AI1136&gt;0),SUMIFS($AI$7:$AI$1843,$CC$7:$CC$1843,CC1136,$AL$7:$AL$1843,"&gt;"&amp;AL1136)+SUMIFS($AI$7:$AI$1843,$CC$7:$CC$1843,CC1136,$AL$7:$AL$1843,AL1136,$BT$7:$BT$1843,"&lt;="&amp;BT1136),"")</f>
        <v>29158.8225124687</v>
      </c>
      <c r="AN1136" s="58" t="n">
        <f aca="false">IF(AM1136="",0,MAX(0,MIN(1,(IF(CC1136="L1",Parameter!$H$5,IF(CC1136="L23",Parameter!$H$6+Parameter!$H$7,Parameter!$H$5+Parameter!$H$6+Parameter!$H$7))-(AM1136-AI1136))/AI1136)))</f>
        <v>1</v>
      </c>
      <c r="AO1136" s="50" t="n">
        <f aca="false">IF(LEFT(Cockpit!$I$5,1)="A",H1136,IF(CE1136=1,CF1136,IF(LEFT(Cockpit!$I$5,1)="B",AT1136,MAX(AT1136,H1136))))</f>
        <v>6</v>
      </c>
      <c r="AP1136" s="50" t="n">
        <f aca="false">IF(BW1136=1,0,ROUNDUP(AO1136/BV1136,0))</f>
        <v>1</v>
      </c>
      <c r="AQ1136" s="52" t="n">
        <f aca="false">IF(CL1136&gt;0,CL1136*MAX(1,AO1136/X1136),IF(BW1136=1,IF(AO1136&lt;=0,0,CA1136*MAX(1,IF(H1136&gt;0,AO1136/H1136,1))),IF(R1136&gt;0,AP1136/R1136,0))/MAX(0.1,N(Parameter!$M$21)))</f>
        <v>0.0384615384615385</v>
      </c>
      <c r="AR1136" s="50" t="n">
        <f aca="false">AQ1136*BY1136</f>
        <v>5.96153846153846</v>
      </c>
      <c r="AS1136" s="50" t="n">
        <f aca="false">AO1136*G1136</f>
        <v>400.98</v>
      </c>
      <c r="AT1136" s="50" t="n">
        <f aca="false">ROUNDUP(MAX(J1136/IF(CD1136&gt;0,CD1136,MAX(0.1,N(Cockpit!$I$6))),CG1136)/BV1136,0)*BV1136</f>
        <v>6</v>
      </c>
      <c r="AU1136" s="51" t="n">
        <f aca="false">IF(AR1136&gt;0,J1136/AR1136,-1)</f>
        <v>0</v>
      </c>
      <c r="AV1136" s="51" t="n">
        <f aca="false">IF(AND(OR(CC1136="L1",CC1136="L23",CC1136="LIFT"),AR1136&gt;0),SUMIFS($AR$7:$AR$1843,$CC$7:$CC$1843,CC1136,$AU$7:$AU$1843,"&gt;"&amp;AU1136)+SUMIFS($AR$7:$AR$1843,$CC$7:$CC$1843,CC1136,$AU$7:$AU$1843,AU1136,$BT$7:$BT$1843,"&lt;="&amp;BT1136),"")</f>
        <v>40910.0627366983</v>
      </c>
      <c r="AW1136" s="58" t="n">
        <f aca="false">IF(AV1136="",0,MAX(0,MIN(1,(IF(CC1136="L1",Parameter!$H$5,IF(CC1136="L23",Parameter!$H$6+Parameter!$H$7,Parameter!$H$5+Parameter!$H$6+Parameter!$H$7))-(AV1136-AR1136))/AR1136)))</f>
        <v>0</v>
      </c>
      <c r="AX1136" s="50" t="n">
        <f aca="false">IF(LEFT(Cockpit!$O$5,1)="A",H1136,IF(CE1136=1,CF1136,IF(LEFT(Cockpit!$O$5,1)="B",BC1136,MAX(BC1136,H1136))))</f>
        <v>6</v>
      </c>
      <c r="AY1136" s="50" t="n">
        <f aca="false">IF(BW1136=1,0,ROUNDUP(AX1136/BV1136,0))</f>
        <v>1</v>
      </c>
      <c r="AZ1136" s="52" t="n">
        <f aca="false">IF(CL1136&gt;0,CL1136*MAX(1,AX1136/X1136),IF(BW1136=1,IF(AX1136&lt;=0,0,CA1136*MAX(1,IF(H1136&gt;0,AX1136/H1136,1))),IF(R1136&gt;0,AY1136/R1136,0))/MAX(0.1,N(Parameter!$M$21)))</f>
        <v>0.0384615384615385</v>
      </c>
      <c r="BA1136" s="50" t="n">
        <f aca="false">AZ1136*BY1136</f>
        <v>5.96153846153846</v>
      </c>
      <c r="BB1136" s="50" t="n">
        <f aca="false">AX1136*G1136</f>
        <v>400.98</v>
      </c>
      <c r="BC1136" s="50" t="n">
        <f aca="false">ROUNDUP(MAX(J1136/IF(CD1136&gt;0,CD1136,MAX(0.1,N(Cockpit!$O$6))),CG1136)/BV1136,0)*BV1136</f>
        <v>6</v>
      </c>
      <c r="BD1136" s="51" t="n">
        <f aca="false">IF(BA1136&gt;0,J1136/BA1136,-1)</f>
        <v>0</v>
      </c>
      <c r="BE1136" s="51" t="n">
        <f aca="false">IF(AND(OR(CC1136="L1",CC1136="L23",CC1136="LIFT"),BA1136&gt;0),SUMIFS($BA$7:$BA$1843,$CC$7:$CC$1843,CC1136,$BD$7:$BD$1843,"&gt;"&amp;BD1136)+SUMIFS($BA$7:$BA$1843,$CC$7:$CC$1843,CC1136,$BD$7:$BD$1843,BD1136,$BT$7:$BT$1843,"&lt;="&amp;BT1136),"")</f>
        <v>37585.0747785642</v>
      </c>
      <c r="BF1136" s="58" t="n">
        <f aca="false">IF(BE1136="",0,MAX(0,MIN(1,(IF(CC1136="L1",Parameter!$H$5,IF(CC1136="L23",Parameter!$H$6+Parameter!$H$7,Parameter!$H$5+Parameter!$H$6+Parameter!$H$7))-(BE1136-BA1136))/BA1136)))</f>
        <v>0</v>
      </c>
      <c r="BG1136" s="48" t="str">
        <f aca="false">IF(AI1136&lt;=0,"",IF(CC1136="Aussen","Aussenlager",IF(CC1136="-","Nicht im Lift",IF(AN1136&gt;=1,"Lift",IF(AN1136&lt;=0,"Aussenlager","teilweise")))))</f>
        <v>Lift</v>
      </c>
      <c r="BH1136" s="48" t="str">
        <f aca="false">IF(AR1136&lt;=0,"",IF(CC1136="Aussen","Aussenlager",IF(CC1136="-","Nicht im Lift",IF(AW1136&gt;=1,"Lift",IF(AW1136&lt;=0,"Aussenlager","teilweise")))))</f>
        <v>Aussenlager</v>
      </c>
      <c r="BI1136" s="48" t="str">
        <f aca="false">IF(BA1136&lt;=0,"",IF(CC1136="Aussen","Aussenlager",IF(CC1136="-","Nicht im Lift",IF(BF1136&gt;=1,"Lift",IF(BF1136&lt;=0,"Aussenlager","teilweise")))))</f>
        <v>Aussenlager</v>
      </c>
      <c r="BJ1136" s="48" t="str">
        <f aca="false">IF(A1136="","",IF(BS1136=1,"Neu; ","")&amp;IF(AND(BS1136=0,BN1136&lt;0),"negativer Bestand (Export "&amp;BN1136&amp;"); ","")&amp;IF(J1136&lt;=0,"Kein Verbrauch; ","")&amp;IF(CL1136&gt;0,"Lift "&amp;W1136&amp;" lt. Liftbericht (Fach "&amp;X1136&amp;" Stk); ",IF(BX1136=1,"Gebinde geschätzt ("&amp;T1136&amp;"); ",IF(BW1136=1,"Lose – Tablare geschätzt; ","")))&amp;IF(H1136&gt;AT1136,"Überbestand "&amp;ROUND(H1136-AT1136,0)&amp;" Stk / CHF "&amp;ROUND((H1136-AT1136)*G1136,0)&amp;"; ","")&amp;IF(AND(CE1136=1,CF1136&lt;CG1136),"MAX &lt; MB+LG; ","")&amp;IF(AND(CK1136&gt;0,CJ1136*10&gt;CK1136),"zu hoch für Tablar; ","")&amp;IF(AND(BS1136=0,OR(CE1136=1,AA1136&lt;&gt;"",U1136&lt;&gt;"",V1136&lt;&gt;"",AB1136&lt;&gt;"")),"manuell übersteuert; ","")&amp;IF(AND(BW1136=0,R1136=0),"Gebinde unbekannt / Stellmass fehlt; ","")&amp;IF(AND(BW1136=0,N(V1136)&lt;=0,N(Q1136)&lt;=0),"Menge pro Gebinde fehlt (Ist = 1 Gebinde); ","")&amp;BR1136)</f>
        <v>negativer Bestand (Export -4); Kein Verbrauch; </v>
      </c>
      <c r="BK1136" s="48"/>
      <c r="BL1136" s="48"/>
      <c r="BM1136" s="55"/>
      <c r="BN1136" s="50" t="n">
        <v>-4</v>
      </c>
      <c r="BO1136" s="50" t="n">
        <v>8</v>
      </c>
      <c r="BP1136" s="49" t="n">
        <v>-267.32</v>
      </c>
      <c r="BQ1136" s="50" t="n">
        <v>0</v>
      </c>
      <c r="BR1136" s="48"/>
      <c r="BS1136" s="53" t="n">
        <v>0</v>
      </c>
      <c r="BT1136" s="53" t="n">
        <v>1136</v>
      </c>
      <c r="BU1136" s="48" t="str">
        <f aca="false">IF(U1136&lt;&gt;"",UPPER(TRIM(U1136)),IF(BX1136=1,UPPER(VLOOKUP(T1136,Parameter!$I$27:$K$29,2,0)),IF(P1136="","LOSE",P1136)))</f>
        <v>S51</v>
      </c>
      <c r="BV1136" s="50" t="n">
        <f aca="false">IF(BU1136="LOSE",1,IF(N(V1136)&gt;0,V1136,IF(BX1136=1,MAX(1,N(VLOOKUP(T1136,Parameter!$I$27:$K$29,3,0)),H1136,N(N1136)),IF(N(Q1136)&gt;0,Q1136,MAX(1,H1136)))))</f>
        <v>6</v>
      </c>
      <c r="BW1136" s="53" t="n">
        <f aca="false">IF(BU1136="LOSE",1,0)</f>
        <v>0</v>
      </c>
      <c r="BX1136" s="53" t="n">
        <f aca="false">IF(AND(U1136="",OR(P1136="",P1136="LOSE"),T1136&lt;&gt;"",N(S1136)&lt;=0,ISNUMBER(MATCH(T1136,Parameter!$I$27:$I$29,0))),1,0)</f>
        <v>0</v>
      </c>
      <c r="BY1136" s="53" t="n">
        <f aca="false">IF(CL1136&gt;0,INDEX(Parameter!$H$5:$H$7,W1136)/INDEX(Parameter!$E$5:$E$7,W1136),IF(AND(BW1136=0,N(IFERROR(VLOOKUP(BU1136,'Gebinde-Kategorie'!$A$5:$N$45,14,0),0))&gt;0),VLOOKUP(BU1136,'Gebinde-Kategorie'!$A$5:$N$45,14,0)*10+Parameter!$M$23,Parameter!$M$24))</f>
        <v>155</v>
      </c>
      <c r="BZ1136" s="48" t="str">
        <f aca="false">IF(AND(Parameter!$B$19="Ja",E1136&lt;&gt;"",ISNUMBER(MATCH(E1136,Parameter!$I$35:$I$52,0))),VLOOKUP(E1136,Parameter!$I$35:$J$52,2,0),IFERROR(VLOOKUP(D1136,Parameter!$A$35:$C$64,2,0),"Nein"))</f>
        <v>2+3</v>
      </c>
      <c r="CA1136" s="52" t="n">
        <f aca="false">IF(BW1136=0,0,IF(N(S1136)&gt;0,S1136,IFERROR(VLOOKUP(D1136,Parameter!$A$35:$C$64,3,0)+0,0)))</f>
        <v>0</v>
      </c>
      <c r="CB1136" s="48" t="n">
        <f aca="false">IF(AA1136&lt;&gt;"",AA1136,Z1136)</f>
        <v>3</v>
      </c>
      <c r="CC1136" s="48" t="str">
        <f aca="false">IF(OR(CB1136=1,CB1136=2,CB1136=3),IF(Parameter!$E$27="Ja","LIFT",IF(CB1136=1,"L1","L23")),IF(CB1136="Aussen","Aussen","-"))</f>
        <v>LIFT</v>
      </c>
      <c r="CD1136" s="59" t="n">
        <f aca="false">IF(N(AB1136)&gt;0,AB1136,0)</f>
        <v>0</v>
      </c>
      <c r="CE1136" s="53" t="n">
        <f aca="false">IF(ISNUMBER(AE1136),1,0)</f>
        <v>0</v>
      </c>
      <c r="CF1136" s="50" t="n">
        <f aca="false">N(AE1136)</f>
        <v>0</v>
      </c>
      <c r="CG1136" s="50" t="n">
        <f aca="false">N(M1136)+N(N1136)</f>
        <v>1</v>
      </c>
      <c r="CH1136" s="50" t="n">
        <f aca="false">ROUNDUP(H1136/BV1136,0)</f>
        <v>1</v>
      </c>
      <c r="CI1136" s="50" t="n">
        <f aca="false">ROUNDUP(CF1136/BV1136,0)</f>
        <v>0</v>
      </c>
      <c r="CJ1136" s="53" t="n">
        <f aca="false">IF(BW1136=1,0,IFERROR(VLOOKUP(BU1136,'Gebinde-Kategorie'!$A$5:$N$45,5,0)+0,0))</f>
        <v>11</v>
      </c>
      <c r="CK1136" s="53" t="n">
        <f aca="false">IFERROR(IF(OR(CB1136=1,CB1136=2,CB1136=3),N(INDEX(Parameter!$I$5:$I$7,CB1136)),0),0)</f>
        <v>0</v>
      </c>
      <c r="CL1136" s="52" t="n">
        <f aca="false">IF(AND(Parameter!$B$21="Ja",ISNUMBER(W1136),N(X1136)&gt;0),IFERROR(N(INDEX(Parameter!$L$5:$L$7,W1136))*INDEX(Parameter!$E$5:$E$7,W1136)*X1136/SUMIFS($X$7:$X$1843,$W$7:$W$1843,W1136),0),0)</f>
        <v>0</v>
      </c>
    </row>
    <row r="1137" customFormat="false" ht="15" hidden="false" customHeight="false" outlineLevel="0" collapsed="false">
      <c r="A1137" s="48" t="s">
        <v>2060</v>
      </c>
      <c r="B1137" s="48" t="s">
        <v>2061</v>
      </c>
      <c r="C1137" s="48" t="s">
        <v>168</v>
      </c>
      <c r="D1137" s="48" t="s">
        <v>188</v>
      </c>
      <c r="E1137" s="48"/>
      <c r="F1137" s="48" t="s">
        <v>222</v>
      </c>
      <c r="G1137" s="49" t="n">
        <v>275.65</v>
      </c>
      <c r="H1137" s="50" t="n">
        <f aca="false">MAX(0,IF(AND(Parameter!$B$21="Ja",ISNUMBER(Y1137)),Y1137,IF(Parameter!$B$20="Jahresanfang 2025 + Export",BO1137+BN1137,BN1137)))</f>
        <v>1</v>
      </c>
      <c r="I1137" s="50" t="n">
        <f aca="false">H1137*G1137</f>
        <v>275.65</v>
      </c>
      <c r="J1137" s="50" t="n">
        <f aca="false">BQ1137*Parameter!$B$18</f>
        <v>0</v>
      </c>
      <c r="K1137" s="51" t="n">
        <v>2</v>
      </c>
      <c r="L1137" s="52" t="n">
        <v>0</v>
      </c>
      <c r="M1137" s="50" t="n">
        <v>0</v>
      </c>
      <c r="N1137" s="50" t="n">
        <v>2</v>
      </c>
      <c r="O1137" s="53" t="n">
        <v>70</v>
      </c>
      <c r="P1137" s="48" t="s">
        <v>230</v>
      </c>
      <c r="Q1137" s="50" t="n">
        <v>2</v>
      </c>
      <c r="R1137" s="53" t="n">
        <f aca="false">IF(BW1137=1,0,IFERROR(VLOOKUP(BU1137,'Gebinde-Kategorie'!$A$5:$N$45,13,0)+0,0))</f>
        <v>12</v>
      </c>
      <c r="S1137" s="54"/>
      <c r="T1137" s="55"/>
      <c r="U1137" s="55"/>
      <c r="V1137" s="55"/>
      <c r="W1137" s="48"/>
      <c r="X1137" s="50"/>
      <c r="Y1137" s="50"/>
      <c r="Z1137" s="48" t="n">
        <f aca="false">IF(A1137="","",IF(AND(Parameter!$B$21="Ja",ISNUMBER(W1137)),W1137,IF(BZ1137="2+3",IF(ISNUMBER(SEARCH("grosser Artikel",BR1137)),2,IFERROR(VLOOKUP(BU1137,Parameter!$F$35:$G$64,2,0),2)),IF(OR(BZ1137="Nein",BZ1137=""),"-",BZ1137))))</f>
        <v>2</v>
      </c>
      <c r="AA1137" s="55"/>
      <c r="AB1137" s="56"/>
      <c r="AC1137" s="50" t="n">
        <f aca="false">AT1137</f>
        <v>2</v>
      </c>
      <c r="AD1137" s="50" t="n">
        <f aca="false">MAX(AT1137,H1137)</f>
        <v>2</v>
      </c>
      <c r="AE1137" s="57"/>
      <c r="AF1137" s="50" t="n">
        <f aca="false">IF(LEFT(Cockpit!$C$5,1)="A",H1137,IF(CE1137=1,CF1137,IF(LEFT(Cockpit!$C$5,1)="B",AK1137,MAX(AK1137,H1137))))</f>
        <v>1</v>
      </c>
      <c r="AG1137" s="50" t="n">
        <f aca="false">IF(BW1137=1,0,ROUNDUP(AF1137/BV1137,0))</f>
        <v>1</v>
      </c>
      <c r="AH1137" s="52" t="n">
        <f aca="false">IF(CL1137&gt;0,CL1137*MAX(1,AF1137/X1137),IF(BW1137=1,IF(AF1137&lt;=0,0,CA1137*MAX(1,IF(H1137&gt;0,AF1137/H1137,1))),IF(R1137&gt;0,AG1137/R1137,0))/MAX(0.1,N(Parameter!$M$21)))</f>
        <v>0.0833333333333333</v>
      </c>
      <c r="AI1137" s="50" t="n">
        <f aca="false">AH1137*BY1137</f>
        <v>28.75</v>
      </c>
      <c r="AJ1137" s="50" t="n">
        <f aca="false">AF1137*G1137</f>
        <v>275.65</v>
      </c>
      <c r="AK1137" s="50" t="n">
        <f aca="false">ROUNDUP(MAX(J1137/IF(CD1137&gt;0,CD1137,MAX(0.1,N(Cockpit!$C$6))),CG1137)/BV1137,0)*BV1137</f>
        <v>2</v>
      </c>
      <c r="AL1137" s="51" t="n">
        <f aca="false">IF(AI1137&gt;0,J1137/AI1137,-1)</f>
        <v>0</v>
      </c>
      <c r="AM1137" s="51" t="n">
        <f aca="false">IF(AND(OR(CC1137="L1",CC1137="L23",CC1137="LIFT"),AI1137&gt;0),SUMIFS($AI$7:$AI$1843,$CC$7:$CC$1843,CC1137,$AL$7:$AL$1843,"&gt;"&amp;AL1137)+SUMIFS($AI$7:$AI$1843,$CC$7:$CC$1843,CC1137,$AL$7:$AL$1843,AL1137,$BT$7:$BT$1843,"&lt;="&amp;BT1137),"")</f>
        <v>29187.5725124687</v>
      </c>
      <c r="AN1137" s="58" t="n">
        <f aca="false">IF(AM1137="",0,MAX(0,MIN(1,(IF(CC1137="L1",Parameter!$H$5,IF(CC1137="L23",Parameter!$H$6+Parameter!$H$7,Parameter!$H$5+Parameter!$H$6+Parameter!$H$7))-(AM1137-AI1137))/AI1137)))</f>
        <v>1</v>
      </c>
      <c r="AO1137" s="50" t="n">
        <f aca="false">IF(LEFT(Cockpit!$I$5,1)="A",H1137,IF(CE1137=1,CF1137,IF(LEFT(Cockpit!$I$5,1)="B",AT1137,MAX(AT1137,H1137))))</f>
        <v>2</v>
      </c>
      <c r="AP1137" s="50" t="n">
        <f aca="false">IF(BW1137=1,0,ROUNDUP(AO1137/BV1137,0))</f>
        <v>1</v>
      </c>
      <c r="AQ1137" s="52" t="n">
        <f aca="false">IF(CL1137&gt;0,CL1137*MAX(1,AO1137/X1137),IF(BW1137=1,IF(AO1137&lt;=0,0,CA1137*MAX(1,IF(H1137&gt;0,AO1137/H1137,1))),IF(R1137&gt;0,AP1137/R1137,0))/MAX(0.1,N(Parameter!$M$21)))</f>
        <v>0.0833333333333333</v>
      </c>
      <c r="AR1137" s="50" t="n">
        <f aca="false">AQ1137*BY1137</f>
        <v>28.75</v>
      </c>
      <c r="AS1137" s="50" t="n">
        <f aca="false">AO1137*G1137</f>
        <v>551.3</v>
      </c>
      <c r="AT1137" s="50" t="n">
        <f aca="false">ROUNDUP(MAX(J1137/IF(CD1137&gt;0,CD1137,MAX(0.1,N(Cockpit!$I$6))),CG1137)/BV1137,0)*BV1137</f>
        <v>2</v>
      </c>
      <c r="AU1137" s="51" t="n">
        <f aca="false">IF(AR1137&gt;0,J1137/AR1137,-1)</f>
        <v>0</v>
      </c>
      <c r="AV1137" s="51" t="n">
        <f aca="false">IF(AND(OR(CC1137="L1",CC1137="L23",CC1137="LIFT"),AR1137&gt;0),SUMIFS($AR$7:$AR$1843,$CC$7:$CC$1843,CC1137,$AU$7:$AU$1843,"&gt;"&amp;AU1137)+SUMIFS($AR$7:$AR$1843,$CC$7:$CC$1843,CC1137,$AU$7:$AU$1843,AU1137,$BT$7:$BT$1843,"&lt;="&amp;BT1137),"")</f>
        <v>40938.8127366983</v>
      </c>
      <c r="AW1137" s="58" t="n">
        <f aca="false">IF(AV1137="",0,MAX(0,MIN(1,(IF(CC1137="L1",Parameter!$H$5,IF(CC1137="L23",Parameter!$H$6+Parameter!$H$7,Parameter!$H$5+Parameter!$H$6+Parameter!$H$7))-(AV1137-AR1137))/AR1137)))</f>
        <v>0</v>
      </c>
      <c r="AX1137" s="50" t="n">
        <f aca="false">IF(LEFT(Cockpit!$O$5,1)="A",H1137,IF(CE1137=1,CF1137,IF(LEFT(Cockpit!$O$5,1)="B",BC1137,MAX(BC1137,H1137))))</f>
        <v>2</v>
      </c>
      <c r="AY1137" s="50" t="n">
        <f aca="false">IF(BW1137=1,0,ROUNDUP(AX1137/BV1137,0))</f>
        <v>1</v>
      </c>
      <c r="AZ1137" s="52" t="n">
        <f aca="false">IF(CL1137&gt;0,CL1137*MAX(1,AX1137/X1137),IF(BW1137=1,IF(AX1137&lt;=0,0,CA1137*MAX(1,IF(H1137&gt;0,AX1137/H1137,1))),IF(R1137&gt;0,AY1137/R1137,0))/MAX(0.1,N(Parameter!$M$21)))</f>
        <v>0.0833333333333333</v>
      </c>
      <c r="BA1137" s="50" t="n">
        <f aca="false">AZ1137*BY1137</f>
        <v>28.75</v>
      </c>
      <c r="BB1137" s="50" t="n">
        <f aca="false">AX1137*G1137</f>
        <v>551.3</v>
      </c>
      <c r="BC1137" s="50" t="n">
        <f aca="false">ROUNDUP(MAX(J1137/IF(CD1137&gt;0,CD1137,MAX(0.1,N(Cockpit!$O$6))),CG1137)/BV1137,0)*BV1137</f>
        <v>2</v>
      </c>
      <c r="BD1137" s="51" t="n">
        <f aca="false">IF(BA1137&gt;0,J1137/BA1137,-1)</f>
        <v>0</v>
      </c>
      <c r="BE1137" s="51" t="n">
        <f aca="false">IF(AND(OR(CC1137="L1",CC1137="L23",CC1137="LIFT"),BA1137&gt;0),SUMIFS($BA$7:$BA$1843,$CC$7:$CC$1843,CC1137,$BD$7:$BD$1843,"&gt;"&amp;BD1137)+SUMIFS($BA$7:$BA$1843,$CC$7:$CC$1843,CC1137,$BD$7:$BD$1843,BD1137,$BT$7:$BT$1843,"&lt;="&amp;BT1137),"")</f>
        <v>37613.8247785642</v>
      </c>
      <c r="BF1137" s="58" t="n">
        <f aca="false">IF(BE1137="",0,MAX(0,MIN(1,(IF(CC1137="L1",Parameter!$H$5,IF(CC1137="L23",Parameter!$H$6+Parameter!$H$7,Parameter!$H$5+Parameter!$H$6+Parameter!$H$7))-(BE1137-BA1137))/BA1137)))</f>
        <v>0</v>
      </c>
      <c r="BG1137" s="48" t="str">
        <f aca="false">IF(AI1137&lt;=0,"",IF(CC1137="Aussen","Aussenlager",IF(CC1137="-","Nicht im Lift",IF(AN1137&gt;=1,"Lift",IF(AN1137&lt;=0,"Aussenlager","teilweise")))))</f>
        <v>Lift</v>
      </c>
      <c r="BH1137" s="48" t="str">
        <f aca="false">IF(AR1137&lt;=0,"",IF(CC1137="Aussen","Aussenlager",IF(CC1137="-","Nicht im Lift",IF(AW1137&gt;=1,"Lift",IF(AW1137&lt;=0,"Aussenlager","teilweise")))))</f>
        <v>Aussenlager</v>
      </c>
      <c r="BI1137" s="48" t="str">
        <f aca="false">IF(BA1137&lt;=0,"",IF(CC1137="Aussen","Aussenlager",IF(CC1137="-","Nicht im Lift",IF(BF1137&gt;=1,"Lift",IF(BF1137&lt;=0,"Aussenlager","teilweise")))))</f>
        <v>Aussenlager</v>
      </c>
      <c r="BJ1137" s="48" t="str">
        <f aca="false">IF(A1137="","",IF(BS1137=1,"Neu; ","")&amp;IF(AND(BS1137=0,BN1137&lt;0),"negativer Bestand (Export "&amp;BN1137&amp;"); ","")&amp;IF(J1137&lt;=0,"Kein Verbrauch; ","")&amp;IF(CL1137&gt;0,"Lift "&amp;W1137&amp;" lt. Liftbericht (Fach "&amp;X1137&amp;" Stk); ",IF(BX1137=1,"Gebinde geschätzt ("&amp;T1137&amp;"); ",IF(BW1137=1,"Lose – Tablare geschätzt; ","")))&amp;IF(H1137&gt;AT1137,"Überbestand "&amp;ROUND(H1137-AT1137,0)&amp;" Stk / CHF "&amp;ROUND((H1137-AT1137)*G1137,0)&amp;"; ","")&amp;IF(AND(CE1137=1,CF1137&lt;CG1137),"MAX &lt; MB+LG; ","")&amp;IF(AND(CK1137&gt;0,CJ1137*10&gt;CK1137),"zu hoch für Tablar; ","")&amp;IF(AND(BS1137=0,OR(CE1137=1,AA1137&lt;&gt;"",U1137&lt;&gt;"",V1137&lt;&gt;"",AB1137&lt;&gt;"")),"manuell übersteuert; ","")&amp;IF(AND(BW1137=0,R1137=0),"Gebinde unbekannt / Stellmass fehlt; ","")&amp;IF(AND(BW1137=0,N(V1137)&lt;=0,N(Q1137)&lt;=0),"Menge pro Gebinde fehlt (Ist = 1 Gebinde); ","")&amp;BR1137)</f>
        <v>negativer Bestand (Export -1); Kein Verbrauch; </v>
      </c>
      <c r="BK1137" s="48"/>
      <c r="BL1137" s="48"/>
      <c r="BM1137" s="55"/>
      <c r="BN1137" s="50" t="n">
        <v>-1</v>
      </c>
      <c r="BO1137" s="50" t="n">
        <v>2</v>
      </c>
      <c r="BP1137" s="49" t="n">
        <v>-275.65</v>
      </c>
      <c r="BQ1137" s="50" t="n">
        <v>0</v>
      </c>
      <c r="BR1137" s="48"/>
      <c r="BS1137" s="53" t="n">
        <v>0</v>
      </c>
      <c r="BT1137" s="53" t="n">
        <v>1137</v>
      </c>
      <c r="BU1137" s="48" t="str">
        <f aca="false">IF(U1137&lt;&gt;"",UPPER(TRIM(U1137)),IF(BX1137=1,UPPER(VLOOKUP(T1137,Parameter!$I$27:$K$29,2,0)),IF(P1137="","LOSE",P1137)))</f>
        <v>S63</v>
      </c>
      <c r="BV1137" s="50" t="n">
        <f aca="false">IF(BU1137="LOSE",1,IF(N(V1137)&gt;0,V1137,IF(BX1137=1,MAX(1,N(VLOOKUP(T1137,Parameter!$I$27:$K$29,3,0)),H1137,N(N1137)),IF(N(Q1137)&gt;0,Q1137,MAX(1,H1137)))))</f>
        <v>2</v>
      </c>
      <c r="BW1137" s="53" t="n">
        <f aca="false">IF(BU1137="LOSE",1,0)</f>
        <v>0</v>
      </c>
      <c r="BX1137" s="53" t="n">
        <f aca="false">IF(AND(U1137="",OR(P1137="",P1137="LOSE"),T1137&lt;&gt;"",N(S1137)&lt;=0,ISNUMBER(MATCH(T1137,Parameter!$I$27:$I$29,0))),1,0)</f>
        <v>0</v>
      </c>
      <c r="BY1137" s="53" t="n">
        <f aca="false">IF(CL1137&gt;0,INDEX(Parameter!$H$5:$H$7,W1137)/INDEX(Parameter!$E$5:$E$7,W1137),IF(AND(BW1137=0,N(IFERROR(VLOOKUP(BU1137,'Gebinde-Kategorie'!$A$5:$N$45,14,0),0))&gt;0),VLOOKUP(BU1137,'Gebinde-Kategorie'!$A$5:$N$45,14,0)*10+Parameter!$M$23,Parameter!$M$24))</f>
        <v>345</v>
      </c>
      <c r="BZ1137" s="48" t="str">
        <f aca="false">IF(AND(Parameter!$B$19="Ja",E1137&lt;&gt;"",ISNUMBER(MATCH(E1137,Parameter!$I$35:$I$52,0))),VLOOKUP(E1137,Parameter!$I$35:$J$52,2,0),IFERROR(VLOOKUP(D1137,Parameter!$A$35:$C$64,2,0),"Nein"))</f>
        <v>2+3</v>
      </c>
      <c r="CA1137" s="52" t="n">
        <f aca="false">IF(BW1137=0,0,IF(N(S1137)&gt;0,S1137,IFERROR(VLOOKUP(D1137,Parameter!$A$35:$C$64,3,0)+0,0)))</f>
        <v>0</v>
      </c>
      <c r="CB1137" s="48" t="n">
        <f aca="false">IF(AA1137&lt;&gt;"",AA1137,Z1137)</f>
        <v>2</v>
      </c>
      <c r="CC1137" s="48" t="str">
        <f aca="false">IF(OR(CB1137=1,CB1137=2,CB1137=3),IF(Parameter!$E$27="Ja","LIFT",IF(CB1137=1,"L1","L23")),IF(CB1137="Aussen","Aussen","-"))</f>
        <v>LIFT</v>
      </c>
      <c r="CD1137" s="59" t="n">
        <f aca="false">IF(N(AB1137)&gt;0,AB1137,0)</f>
        <v>0</v>
      </c>
      <c r="CE1137" s="53" t="n">
        <f aca="false">IF(ISNUMBER(AE1137),1,0)</f>
        <v>0</v>
      </c>
      <c r="CF1137" s="50" t="n">
        <f aca="false">N(AE1137)</f>
        <v>0</v>
      </c>
      <c r="CG1137" s="50" t="n">
        <f aca="false">N(M1137)+N(N1137)</f>
        <v>2</v>
      </c>
      <c r="CH1137" s="50" t="n">
        <f aca="false">ROUNDUP(H1137/BV1137,0)</f>
        <v>1</v>
      </c>
      <c r="CI1137" s="50" t="n">
        <f aca="false">ROUNDUP(CF1137/BV1137,0)</f>
        <v>0</v>
      </c>
      <c r="CJ1137" s="53" t="n">
        <f aca="false">IF(BW1137=1,0,IFERROR(VLOOKUP(BU1137,'Gebinde-Kategorie'!$A$5:$N$45,5,0)+0,0))</f>
        <v>31</v>
      </c>
      <c r="CK1137" s="53" t="n">
        <f aca="false">IFERROR(IF(OR(CB1137=1,CB1137=2,CB1137=3),N(INDEX(Parameter!$I$5:$I$7,CB1137)),0),0)</f>
        <v>0</v>
      </c>
      <c r="CL1137" s="52" t="n">
        <f aca="false">IF(AND(Parameter!$B$21="Ja",ISNUMBER(W1137),N(X1137)&gt;0),IFERROR(N(INDEX(Parameter!$L$5:$L$7,W1137))*INDEX(Parameter!$E$5:$E$7,W1137)*X1137/SUMIFS($X$7:$X$1843,$W$7:$W$1843,W1137),0),0)</f>
        <v>0</v>
      </c>
    </row>
    <row r="1138" customFormat="false" ht="15" hidden="false" customHeight="false" outlineLevel="0" collapsed="false">
      <c r="A1138" s="48" t="s">
        <v>2062</v>
      </c>
      <c r="B1138" s="48" t="s">
        <v>1952</v>
      </c>
      <c r="C1138" s="48" t="s">
        <v>460</v>
      </c>
      <c r="D1138" s="48" t="s">
        <v>188</v>
      </c>
      <c r="E1138" s="48"/>
      <c r="F1138" s="48" t="s">
        <v>222</v>
      </c>
      <c r="G1138" s="49" t="n">
        <v>34.5</v>
      </c>
      <c r="H1138" s="50" t="n">
        <f aca="false">MAX(0,IF(AND(Parameter!$B$21="Ja",ISNUMBER(Y1138)),Y1138,IF(Parameter!$B$20="Jahresanfang 2025 + Export",BO1138+BN1138,BN1138)))</f>
        <v>8</v>
      </c>
      <c r="I1138" s="50" t="n">
        <f aca="false">H1138*G1138</f>
        <v>276</v>
      </c>
      <c r="J1138" s="50" t="n">
        <f aca="false">BQ1138*Parameter!$B$18</f>
        <v>0</v>
      </c>
      <c r="K1138" s="51" t="n">
        <v>8</v>
      </c>
      <c r="L1138" s="52" t="n">
        <v>0</v>
      </c>
      <c r="M1138" s="50" t="n">
        <v>0</v>
      </c>
      <c r="N1138" s="50" t="n">
        <v>1</v>
      </c>
      <c r="O1138" s="53" t="n">
        <v>21</v>
      </c>
      <c r="P1138" s="48" t="s">
        <v>172</v>
      </c>
      <c r="Q1138" s="50"/>
      <c r="R1138" s="53" t="n">
        <f aca="false">IF(BW1138=1,0,IFERROR(VLOOKUP(BU1138,'Gebinde-Kategorie'!$A$5:$N$45,13,0)+0,0))</f>
        <v>4</v>
      </c>
      <c r="S1138" s="54"/>
      <c r="T1138" s="55" t="s">
        <v>193</v>
      </c>
      <c r="U1138" s="55"/>
      <c r="V1138" s="55"/>
      <c r="W1138" s="48"/>
      <c r="X1138" s="50"/>
      <c r="Y1138" s="50"/>
      <c r="Z1138" s="48" t="n">
        <f aca="false">IF(A1138="","",IF(AND(Parameter!$B$21="Ja",ISNUMBER(W1138)),W1138,IF(BZ1138="2+3",IF(ISNUMBER(SEARCH("grosser Artikel",BR1138)),2,IFERROR(VLOOKUP(BU1138,Parameter!$F$35:$G$64,2,0),2)),IF(OR(BZ1138="Nein",BZ1138=""),"-",BZ1138))))</f>
        <v>2</v>
      </c>
      <c r="AA1138" s="55"/>
      <c r="AB1138" s="56"/>
      <c r="AC1138" s="50" t="n">
        <f aca="false">AT1138</f>
        <v>8</v>
      </c>
      <c r="AD1138" s="50" t="n">
        <f aca="false">MAX(AT1138,H1138)</f>
        <v>8</v>
      </c>
      <c r="AE1138" s="57"/>
      <c r="AF1138" s="50" t="n">
        <f aca="false">IF(LEFT(Cockpit!$C$5,1)="A",H1138,IF(CE1138=1,CF1138,IF(LEFT(Cockpit!$C$5,1)="B",AK1138,MAX(AK1138,H1138))))</f>
        <v>8</v>
      </c>
      <c r="AG1138" s="50" t="n">
        <f aca="false">IF(BW1138=1,0,ROUNDUP(AF1138/BV1138,0))</f>
        <v>1</v>
      </c>
      <c r="AH1138" s="52" t="n">
        <f aca="false">IF(CL1138&gt;0,CL1138*MAX(1,AF1138/X1138),IF(BW1138=1,IF(AF1138&lt;=0,0,CA1138*MAX(1,IF(H1138&gt;0,AF1138/H1138,1))),IF(R1138&gt;0,AG1138/R1138,0))/MAX(0.1,N(Parameter!$M$21)))</f>
        <v>0.25</v>
      </c>
      <c r="AI1138" s="50" t="n">
        <f aca="false">AH1138*BY1138</f>
        <v>58.75</v>
      </c>
      <c r="AJ1138" s="50" t="n">
        <f aca="false">AF1138*G1138</f>
        <v>276</v>
      </c>
      <c r="AK1138" s="50" t="n">
        <f aca="false">ROUNDUP(MAX(J1138/IF(CD1138&gt;0,CD1138,MAX(0.1,N(Cockpit!$C$6))),CG1138)/BV1138,0)*BV1138</f>
        <v>8</v>
      </c>
      <c r="AL1138" s="51" t="n">
        <f aca="false">IF(AI1138&gt;0,J1138/AI1138,-1)</f>
        <v>0</v>
      </c>
      <c r="AM1138" s="51" t="n">
        <f aca="false">IF(AND(OR(CC1138="L1",CC1138="L23",CC1138="LIFT"),AI1138&gt;0),SUMIFS($AI$7:$AI$1843,$CC$7:$CC$1843,CC1138,$AL$7:$AL$1843,"&gt;"&amp;AL1138)+SUMIFS($AI$7:$AI$1843,$CC$7:$CC$1843,CC1138,$AL$7:$AL$1843,AL1138,$BT$7:$BT$1843,"&lt;="&amp;BT1138),"")</f>
        <v>29246.3225124687</v>
      </c>
      <c r="AN1138" s="58" t="n">
        <f aca="false">IF(AM1138="",0,MAX(0,MIN(1,(IF(CC1138="L1",Parameter!$H$5,IF(CC1138="L23",Parameter!$H$6+Parameter!$H$7,Parameter!$H$5+Parameter!$H$6+Parameter!$H$7))-(AM1138-AI1138))/AI1138)))</f>
        <v>1</v>
      </c>
      <c r="AO1138" s="50" t="n">
        <f aca="false">IF(LEFT(Cockpit!$I$5,1)="A",H1138,IF(CE1138=1,CF1138,IF(LEFT(Cockpit!$I$5,1)="B",AT1138,MAX(AT1138,H1138))))</f>
        <v>8</v>
      </c>
      <c r="AP1138" s="50" t="n">
        <f aca="false">IF(BW1138=1,0,ROUNDUP(AO1138/BV1138,0))</f>
        <v>1</v>
      </c>
      <c r="AQ1138" s="52" t="n">
        <f aca="false">IF(CL1138&gt;0,CL1138*MAX(1,AO1138/X1138),IF(BW1138=1,IF(AO1138&lt;=0,0,CA1138*MAX(1,IF(H1138&gt;0,AO1138/H1138,1))),IF(R1138&gt;0,AP1138/R1138,0))/MAX(0.1,N(Parameter!$M$21)))</f>
        <v>0.25</v>
      </c>
      <c r="AR1138" s="50" t="n">
        <f aca="false">AQ1138*BY1138</f>
        <v>58.75</v>
      </c>
      <c r="AS1138" s="50" t="n">
        <f aca="false">AO1138*G1138</f>
        <v>276</v>
      </c>
      <c r="AT1138" s="50" t="n">
        <f aca="false">ROUNDUP(MAX(J1138/IF(CD1138&gt;0,CD1138,MAX(0.1,N(Cockpit!$I$6))),CG1138)/BV1138,0)*BV1138</f>
        <v>8</v>
      </c>
      <c r="AU1138" s="51" t="n">
        <f aca="false">IF(AR1138&gt;0,J1138/AR1138,-1)</f>
        <v>0</v>
      </c>
      <c r="AV1138" s="51" t="n">
        <f aca="false">IF(AND(OR(CC1138="L1",CC1138="L23",CC1138="LIFT"),AR1138&gt;0),SUMIFS($AR$7:$AR$1843,$CC$7:$CC$1843,CC1138,$AU$7:$AU$1843,"&gt;"&amp;AU1138)+SUMIFS($AR$7:$AR$1843,$CC$7:$CC$1843,CC1138,$AU$7:$AU$1843,AU1138,$BT$7:$BT$1843,"&lt;="&amp;BT1138),"")</f>
        <v>40997.5627366983</v>
      </c>
      <c r="AW1138" s="58" t="n">
        <f aca="false">IF(AV1138="",0,MAX(0,MIN(1,(IF(CC1138="L1",Parameter!$H$5,IF(CC1138="L23",Parameter!$H$6+Parameter!$H$7,Parameter!$H$5+Parameter!$H$6+Parameter!$H$7))-(AV1138-AR1138))/AR1138)))</f>
        <v>0</v>
      </c>
      <c r="AX1138" s="50" t="n">
        <f aca="false">IF(LEFT(Cockpit!$O$5,1)="A",H1138,IF(CE1138=1,CF1138,IF(LEFT(Cockpit!$O$5,1)="B",BC1138,MAX(BC1138,H1138))))</f>
        <v>8</v>
      </c>
      <c r="AY1138" s="50" t="n">
        <f aca="false">IF(BW1138=1,0,ROUNDUP(AX1138/BV1138,0))</f>
        <v>1</v>
      </c>
      <c r="AZ1138" s="52" t="n">
        <f aca="false">IF(CL1138&gt;0,CL1138*MAX(1,AX1138/X1138),IF(BW1138=1,IF(AX1138&lt;=0,0,CA1138*MAX(1,IF(H1138&gt;0,AX1138/H1138,1))),IF(R1138&gt;0,AY1138/R1138,0))/MAX(0.1,N(Parameter!$M$21)))</f>
        <v>0.25</v>
      </c>
      <c r="BA1138" s="50" t="n">
        <f aca="false">AZ1138*BY1138</f>
        <v>58.75</v>
      </c>
      <c r="BB1138" s="50" t="n">
        <f aca="false">AX1138*G1138</f>
        <v>276</v>
      </c>
      <c r="BC1138" s="50" t="n">
        <f aca="false">ROUNDUP(MAX(J1138/IF(CD1138&gt;0,CD1138,MAX(0.1,N(Cockpit!$O$6))),CG1138)/BV1138,0)*BV1138</f>
        <v>8</v>
      </c>
      <c r="BD1138" s="51" t="n">
        <f aca="false">IF(BA1138&gt;0,J1138/BA1138,-1)</f>
        <v>0</v>
      </c>
      <c r="BE1138" s="51" t="n">
        <f aca="false">IF(AND(OR(CC1138="L1",CC1138="L23",CC1138="LIFT"),BA1138&gt;0),SUMIFS($BA$7:$BA$1843,$CC$7:$CC$1843,CC1138,$BD$7:$BD$1843,"&gt;"&amp;BD1138)+SUMIFS($BA$7:$BA$1843,$CC$7:$CC$1843,CC1138,$BD$7:$BD$1843,BD1138,$BT$7:$BT$1843,"&lt;="&amp;BT1138),"")</f>
        <v>37672.5747785642</v>
      </c>
      <c r="BF1138" s="58" t="n">
        <f aca="false">IF(BE1138="",0,MAX(0,MIN(1,(IF(CC1138="L1",Parameter!$H$5,IF(CC1138="L23",Parameter!$H$6+Parameter!$H$7,Parameter!$H$5+Parameter!$H$6+Parameter!$H$7))-(BE1138-BA1138))/BA1138)))</f>
        <v>0</v>
      </c>
      <c r="BG1138" s="48" t="str">
        <f aca="false">IF(AI1138&lt;=0,"",IF(CC1138="Aussen","Aussenlager",IF(CC1138="-","Nicht im Lift",IF(AN1138&gt;=1,"Lift",IF(AN1138&lt;=0,"Aussenlager","teilweise")))))</f>
        <v>Lift</v>
      </c>
      <c r="BH1138" s="48" t="str">
        <f aca="false">IF(AR1138&lt;=0,"",IF(CC1138="Aussen","Aussenlager",IF(CC1138="-","Nicht im Lift",IF(AW1138&gt;=1,"Lift",IF(AW1138&lt;=0,"Aussenlager","teilweise")))))</f>
        <v>Aussenlager</v>
      </c>
      <c r="BI1138" s="48" t="str">
        <f aca="false">IF(BA1138&lt;=0,"",IF(CC1138="Aussen","Aussenlager",IF(CC1138="-","Nicht im Lift",IF(BF1138&gt;=1,"Lift",IF(BF1138&lt;=0,"Aussenlager","teilweise")))))</f>
        <v>Aussenlager</v>
      </c>
      <c r="BJ1138" s="48" t="str">
        <f aca="false">IF(A1138="","",IF(BS1138=1,"Neu; ","")&amp;IF(AND(BS1138=0,BN1138&lt;0),"negativer Bestand (Export "&amp;BN1138&amp;"); ","")&amp;IF(J1138&lt;=0,"Kein Verbrauch; ","")&amp;IF(CL1138&gt;0,"Lift "&amp;W1138&amp;" lt. Liftbericht (Fach "&amp;X1138&amp;" Stk); ",IF(BX1138=1,"Gebinde geschätzt ("&amp;T1138&amp;"); ",IF(BW1138=1,"Lose – Tablare geschätzt; ","")))&amp;IF(H1138&gt;AT1138,"Überbestand "&amp;ROUND(H1138-AT1138,0)&amp;" Stk / CHF "&amp;ROUND((H1138-AT1138)*G1138,0)&amp;"; ","")&amp;IF(AND(CE1138=1,CF1138&lt;CG1138),"MAX &lt; MB+LG; ","")&amp;IF(AND(CK1138&gt;0,CJ1138*10&gt;CK1138),"zu hoch für Tablar; ","")&amp;IF(AND(BS1138=0,OR(CE1138=1,AA1138&lt;&gt;"",U1138&lt;&gt;"",V1138&lt;&gt;"",AB1138&lt;&gt;"")),"manuell übersteuert; ","")&amp;IF(AND(BW1138=0,R1138=0),"Gebinde unbekannt / Stellmass fehlt; ","")&amp;IF(AND(BW1138=0,N(V1138)&lt;=0,N(Q1138)&lt;=0),"Menge pro Gebinde fehlt (Ist = 1 Gebinde); ","")&amp;BR1138)</f>
        <v>negativer Bestand (Export -8); Kein Verbrauch; Gebinde geschätzt (Gross); Menge pro Gebinde fehlt (Ist = 1 Gebinde); </v>
      </c>
      <c r="BK1138" s="48"/>
      <c r="BL1138" s="48"/>
      <c r="BM1138" s="55"/>
      <c r="BN1138" s="50" t="n">
        <v>-8</v>
      </c>
      <c r="BO1138" s="50" t="n">
        <v>16</v>
      </c>
      <c r="BP1138" s="49" t="n">
        <v>-276</v>
      </c>
      <c r="BQ1138" s="50" t="n">
        <v>0</v>
      </c>
      <c r="BR1138" s="48"/>
      <c r="BS1138" s="53" t="n">
        <v>0</v>
      </c>
      <c r="BT1138" s="53" t="n">
        <v>1138</v>
      </c>
      <c r="BU1138" s="48" t="str">
        <f aca="false">IF(U1138&lt;&gt;"",UPPER(TRIM(U1138)),IF(BX1138=1,UPPER(VLOOKUP(T1138,Parameter!$I$27:$K$29,2,0)),IF(P1138="","LOSE",P1138)))</f>
        <v>S81</v>
      </c>
      <c r="BV1138" s="50" t="n">
        <f aca="false">IF(BU1138="LOSE",1,IF(N(V1138)&gt;0,V1138,IF(BX1138=1,MAX(1,N(VLOOKUP(T1138,Parameter!$I$27:$K$29,3,0)),H1138,N(N1138)),IF(N(Q1138)&gt;0,Q1138,MAX(1,H1138)))))</f>
        <v>8</v>
      </c>
      <c r="BW1138" s="53" t="n">
        <f aca="false">IF(BU1138="LOSE",1,0)</f>
        <v>0</v>
      </c>
      <c r="BX1138" s="53" t="n">
        <f aca="false">IF(AND(U1138="",OR(P1138="",P1138="LOSE"),T1138&lt;&gt;"",N(S1138)&lt;=0,ISNUMBER(MATCH(T1138,Parameter!$I$27:$I$29,0))),1,0)</f>
        <v>1</v>
      </c>
      <c r="BY1138" s="53" t="n">
        <f aca="false">IF(CL1138&gt;0,INDEX(Parameter!$H$5:$H$7,W1138)/INDEX(Parameter!$E$5:$E$7,W1138),IF(AND(BW1138=0,N(IFERROR(VLOOKUP(BU1138,'Gebinde-Kategorie'!$A$5:$N$45,14,0),0))&gt;0),VLOOKUP(BU1138,'Gebinde-Kategorie'!$A$5:$N$45,14,0)*10+Parameter!$M$23,Parameter!$M$24))</f>
        <v>235</v>
      </c>
      <c r="BZ1138" s="48" t="str">
        <f aca="false">IF(AND(Parameter!$B$19="Ja",E1138&lt;&gt;"",ISNUMBER(MATCH(E1138,Parameter!$I$35:$I$52,0))),VLOOKUP(E1138,Parameter!$I$35:$J$52,2,0),IFERROR(VLOOKUP(D1138,Parameter!$A$35:$C$64,2,0),"Nein"))</f>
        <v>2+3</v>
      </c>
      <c r="CA1138" s="52" t="n">
        <f aca="false">IF(BW1138=0,0,IF(N(S1138)&gt;0,S1138,IFERROR(VLOOKUP(D1138,Parameter!$A$35:$C$64,3,0)+0,0)))</f>
        <v>0</v>
      </c>
      <c r="CB1138" s="48" t="n">
        <f aca="false">IF(AA1138&lt;&gt;"",AA1138,Z1138)</f>
        <v>2</v>
      </c>
      <c r="CC1138" s="48" t="str">
        <f aca="false">IF(OR(CB1138=1,CB1138=2,CB1138=3),IF(Parameter!$E$27="Ja","LIFT",IF(CB1138=1,"L1","L23")),IF(CB1138="Aussen","Aussen","-"))</f>
        <v>LIFT</v>
      </c>
      <c r="CD1138" s="59" t="n">
        <f aca="false">IF(N(AB1138)&gt;0,AB1138,0)</f>
        <v>0</v>
      </c>
      <c r="CE1138" s="53" t="n">
        <f aca="false">IF(ISNUMBER(AE1138),1,0)</f>
        <v>0</v>
      </c>
      <c r="CF1138" s="50" t="n">
        <f aca="false">N(AE1138)</f>
        <v>0</v>
      </c>
      <c r="CG1138" s="50" t="n">
        <f aca="false">N(M1138)+N(N1138)</f>
        <v>1</v>
      </c>
      <c r="CH1138" s="50" t="n">
        <f aca="false">ROUNDUP(H1138/BV1138,0)</f>
        <v>1</v>
      </c>
      <c r="CI1138" s="50" t="n">
        <f aca="false">ROUNDUP(CF1138/BV1138,0)</f>
        <v>0</v>
      </c>
      <c r="CJ1138" s="53" t="n">
        <f aca="false">IF(BW1138=1,0,IFERROR(VLOOKUP(BU1138,'Gebinde-Kategorie'!$A$5:$N$45,5,0)+0,0))</f>
        <v>20</v>
      </c>
      <c r="CK1138" s="53" t="n">
        <f aca="false">IFERROR(IF(OR(CB1138=1,CB1138=2,CB1138=3),N(INDEX(Parameter!$I$5:$I$7,CB1138)),0),0)</f>
        <v>0</v>
      </c>
      <c r="CL1138" s="52" t="n">
        <f aca="false">IF(AND(Parameter!$B$21="Ja",ISNUMBER(W1138),N(X1138)&gt;0),IFERROR(N(INDEX(Parameter!$L$5:$L$7,W1138))*INDEX(Parameter!$E$5:$E$7,W1138)*X1138/SUMIFS($X$7:$X$1843,$W$7:$W$1843,W1138),0),0)</f>
        <v>0</v>
      </c>
    </row>
    <row r="1139" customFormat="false" ht="15" hidden="false" customHeight="false" outlineLevel="0" collapsed="false">
      <c r="A1139" s="48" t="s">
        <v>2063</v>
      </c>
      <c r="B1139" s="48" t="s">
        <v>2064</v>
      </c>
      <c r="C1139" s="48" t="s">
        <v>168</v>
      </c>
      <c r="D1139" s="48" t="s">
        <v>188</v>
      </c>
      <c r="E1139" s="48" t="s">
        <v>189</v>
      </c>
      <c r="F1139" s="48" t="s">
        <v>222</v>
      </c>
      <c r="G1139" s="49" t="n">
        <v>279.01</v>
      </c>
      <c r="H1139" s="50" t="n">
        <f aca="false">MAX(0,IF(AND(Parameter!$B$21="Ja",ISNUMBER(Y1139)),Y1139,IF(Parameter!$B$20="Jahresanfang 2025 + Export",BO1139+BN1139,BN1139)))</f>
        <v>3</v>
      </c>
      <c r="I1139" s="50" t="n">
        <f aca="false">H1139*G1139</f>
        <v>837.03</v>
      </c>
      <c r="J1139" s="50" t="n">
        <f aca="false">BQ1139*Parameter!$B$18</f>
        <v>1</v>
      </c>
      <c r="K1139" s="51" t="n">
        <v>3.5</v>
      </c>
      <c r="L1139" s="52" t="n">
        <v>0.285714285714286</v>
      </c>
      <c r="M1139" s="50" t="n">
        <v>0</v>
      </c>
      <c r="N1139" s="50" t="n">
        <v>1</v>
      </c>
      <c r="O1139" s="53" t="n">
        <v>14</v>
      </c>
      <c r="P1139" s="48" t="s">
        <v>332</v>
      </c>
      <c r="Q1139" s="50" t="n">
        <v>6</v>
      </c>
      <c r="R1139" s="53" t="n">
        <f aca="false">IF(BW1139=1,0,IFERROR(VLOOKUP(BU1139,'Gebinde-Kategorie'!$A$5:$N$45,13,0)+0,0))</f>
        <v>52</v>
      </c>
      <c r="S1139" s="54"/>
      <c r="T1139" s="55"/>
      <c r="U1139" s="55"/>
      <c r="V1139" s="55"/>
      <c r="W1139" s="48"/>
      <c r="X1139" s="50"/>
      <c r="Y1139" s="50"/>
      <c r="Z1139" s="48" t="n">
        <f aca="false">IF(A1139="","",IF(AND(Parameter!$B$21="Ja",ISNUMBER(W1139)),W1139,IF(BZ1139="2+3",IF(ISNUMBER(SEARCH("grosser Artikel",BR1139)),2,IFERROR(VLOOKUP(BU1139,Parameter!$F$35:$G$64,2,0),2)),IF(OR(BZ1139="Nein",BZ1139=""),"-",BZ1139))))</f>
        <v>3</v>
      </c>
      <c r="AA1139" s="55"/>
      <c r="AB1139" s="56"/>
      <c r="AC1139" s="50" t="n">
        <f aca="false">AT1139</f>
        <v>6</v>
      </c>
      <c r="AD1139" s="50" t="n">
        <f aca="false">MAX(AT1139,H1139)</f>
        <v>6</v>
      </c>
      <c r="AE1139" s="57"/>
      <c r="AF1139" s="50" t="n">
        <f aca="false">IF(LEFT(Cockpit!$C$5,1)="A",H1139,IF(CE1139=1,CF1139,IF(LEFT(Cockpit!$C$5,1)="B",AK1139,MAX(AK1139,H1139))))</f>
        <v>3</v>
      </c>
      <c r="AG1139" s="50" t="n">
        <f aca="false">IF(BW1139=1,0,ROUNDUP(AF1139/BV1139,0))</f>
        <v>1</v>
      </c>
      <c r="AH1139" s="52" t="n">
        <f aca="false">IF(CL1139&gt;0,CL1139*MAX(1,AF1139/X1139),IF(BW1139=1,IF(AF1139&lt;=0,0,CA1139*MAX(1,IF(H1139&gt;0,AF1139/H1139,1))),IF(R1139&gt;0,AG1139/R1139,0))/MAX(0.1,N(Parameter!$M$21)))</f>
        <v>0.0192307692307692</v>
      </c>
      <c r="AI1139" s="50" t="n">
        <f aca="false">AH1139*BY1139</f>
        <v>2.98076923076923</v>
      </c>
      <c r="AJ1139" s="50" t="n">
        <f aca="false">AF1139*G1139</f>
        <v>837.03</v>
      </c>
      <c r="AK1139" s="50" t="n">
        <f aca="false">ROUNDUP(MAX(J1139/IF(CD1139&gt;0,CD1139,MAX(0.1,N(Cockpit!$C$6))),CG1139)/BV1139,0)*BV1139</f>
        <v>6</v>
      </c>
      <c r="AL1139" s="51" t="n">
        <f aca="false">IF(AI1139&gt;0,J1139/AI1139,-1)</f>
        <v>0.335483870967742</v>
      </c>
      <c r="AM1139" s="51" t="n">
        <f aca="false">IF(AND(OR(CC1139="L1",CC1139="L23",CC1139="LIFT"),AI1139&gt;0),SUMIFS($AI$7:$AI$1843,$CC$7:$CC$1843,CC1139,$AL$7:$AL$1843,"&gt;"&amp;AL1139)+SUMIFS($AI$7:$AI$1843,$CC$7:$CC$1843,CC1139,$AL$7:$AL$1843,AL1139,$BT$7:$BT$1843,"&lt;="&amp;BT1139),"")</f>
        <v>11230.7308856398</v>
      </c>
      <c r="AN1139" s="58" t="n">
        <f aca="false">IF(AM1139="",0,MAX(0,MIN(1,(IF(CC1139="L1",Parameter!$H$5,IF(CC1139="L23",Parameter!$H$6+Parameter!$H$7,Parameter!$H$5+Parameter!$H$6+Parameter!$H$7))-(AM1139-AI1139))/AI1139)))</f>
        <v>1</v>
      </c>
      <c r="AO1139" s="50" t="n">
        <f aca="false">IF(LEFT(Cockpit!$I$5,1)="A",H1139,IF(CE1139=1,CF1139,IF(LEFT(Cockpit!$I$5,1)="B",AT1139,MAX(AT1139,H1139))))</f>
        <v>6</v>
      </c>
      <c r="AP1139" s="50" t="n">
        <f aca="false">IF(BW1139=1,0,ROUNDUP(AO1139/BV1139,0))</f>
        <v>1</v>
      </c>
      <c r="AQ1139" s="52" t="n">
        <f aca="false">IF(CL1139&gt;0,CL1139*MAX(1,AO1139/X1139),IF(BW1139=1,IF(AO1139&lt;=0,0,CA1139*MAX(1,IF(H1139&gt;0,AO1139/H1139,1))),IF(R1139&gt;0,AP1139/R1139,0))/MAX(0.1,N(Parameter!$M$21)))</f>
        <v>0.0192307692307692</v>
      </c>
      <c r="AR1139" s="50" t="n">
        <f aca="false">AQ1139*BY1139</f>
        <v>2.98076923076923</v>
      </c>
      <c r="AS1139" s="50" t="n">
        <f aca="false">AO1139*G1139</f>
        <v>1674.06</v>
      </c>
      <c r="AT1139" s="50" t="n">
        <f aca="false">ROUNDUP(MAX(J1139/IF(CD1139&gt;0,CD1139,MAX(0.1,N(Cockpit!$I$6))),CG1139)/BV1139,0)*BV1139</f>
        <v>6</v>
      </c>
      <c r="AU1139" s="51" t="n">
        <f aca="false">IF(AR1139&gt;0,J1139/AR1139,-1)</f>
        <v>0.335483870967742</v>
      </c>
      <c r="AV1139" s="51" t="n">
        <f aca="false">IF(AND(OR(CC1139="L1",CC1139="L23",CC1139="LIFT"),AR1139&gt;0),SUMIFS($AR$7:$AR$1843,$CC$7:$CC$1843,CC1139,$AU$7:$AU$1843,"&gt;"&amp;AU1139)+SUMIFS($AR$7:$AR$1843,$CC$7:$CC$1843,CC1139,$AU$7:$AU$1843,AU1139,$BT$7:$BT$1843,"&lt;="&amp;BT1139),"")</f>
        <v>16356.429029304</v>
      </c>
      <c r="AW1139" s="58" t="n">
        <f aca="false">IF(AV1139="",0,MAX(0,MIN(1,(IF(CC1139="L1",Parameter!$H$5,IF(CC1139="L23",Parameter!$H$6+Parameter!$H$7,Parameter!$H$5+Parameter!$H$6+Parameter!$H$7))-(AV1139-AR1139))/AR1139)))</f>
        <v>1</v>
      </c>
      <c r="AX1139" s="50" t="n">
        <f aca="false">IF(LEFT(Cockpit!$O$5,1)="A",H1139,IF(CE1139=1,CF1139,IF(LEFT(Cockpit!$O$5,1)="B",BC1139,MAX(BC1139,H1139))))</f>
        <v>6</v>
      </c>
      <c r="AY1139" s="50" t="n">
        <f aca="false">IF(BW1139=1,0,ROUNDUP(AX1139/BV1139,0))</f>
        <v>1</v>
      </c>
      <c r="AZ1139" s="52" t="n">
        <f aca="false">IF(CL1139&gt;0,CL1139*MAX(1,AX1139/X1139),IF(BW1139=1,IF(AX1139&lt;=0,0,CA1139*MAX(1,IF(H1139&gt;0,AX1139/H1139,1))),IF(R1139&gt;0,AY1139/R1139,0))/MAX(0.1,N(Parameter!$M$21)))</f>
        <v>0.0192307692307692</v>
      </c>
      <c r="BA1139" s="50" t="n">
        <f aca="false">AZ1139*BY1139</f>
        <v>2.98076923076923</v>
      </c>
      <c r="BB1139" s="50" t="n">
        <f aca="false">AX1139*G1139</f>
        <v>1674.06</v>
      </c>
      <c r="BC1139" s="50" t="n">
        <f aca="false">ROUNDUP(MAX(J1139/IF(CD1139&gt;0,CD1139,MAX(0.1,N(Cockpit!$O$6))),CG1139)/BV1139,0)*BV1139</f>
        <v>6</v>
      </c>
      <c r="BD1139" s="51" t="n">
        <f aca="false">IF(BA1139&gt;0,J1139/BA1139,-1)</f>
        <v>0.335483870967742</v>
      </c>
      <c r="BE1139" s="51" t="n">
        <f aca="false">IF(AND(OR(CC1139="L1",CC1139="L23",CC1139="LIFT"),BA1139&gt;0),SUMIFS($BA$7:$BA$1843,$CC$7:$CC$1843,CC1139,$BD$7:$BD$1843,"&gt;"&amp;BD1139)+SUMIFS($BA$7:$BA$1843,$CC$7:$CC$1843,CC1139,$BD$7:$BD$1843,BD1139,$BT$7:$BT$1843,"&lt;="&amp;BT1139),"")</f>
        <v>15107.0860805861</v>
      </c>
      <c r="BF1139" s="58" t="n">
        <f aca="false">IF(BE1139="",0,MAX(0,MIN(1,(IF(CC1139="L1",Parameter!$H$5,IF(CC1139="L23",Parameter!$H$6+Parameter!$H$7,Parameter!$H$5+Parameter!$H$6+Parameter!$H$7))-(BE1139-BA1139))/BA1139)))</f>
        <v>1</v>
      </c>
      <c r="BG1139" s="48" t="str">
        <f aca="false">IF(AI1139&lt;=0,"",IF(CC1139="Aussen","Aussenlager",IF(CC1139="-","Nicht im Lift",IF(AN1139&gt;=1,"Lift",IF(AN1139&lt;=0,"Aussenlager","teilweise")))))</f>
        <v>Lift</v>
      </c>
      <c r="BH1139" s="48" t="str">
        <f aca="false">IF(AR1139&lt;=0,"",IF(CC1139="Aussen","Aussenlager",IF(CC1139="-","Nicht im Lift",IF(AW1139&gt;=1,"Lift",IF(AW1139&lt;=0,"Aussenlager","teilweise")))))</f>
        <v>Lift</v>
      </c>
      <c r="BI1139" s="48" t="str">
        <f aca="false">IF(BA1139&lt;=0,"",IF(CC1139="Aussen","Aussenlager",IF(CC1139="-","Nicht im Lift",IF(BF1139&gt;=1,"Lift",IF(BF1139&lt;=0,"Aussenlager","teilweise")))))</f>
        <v>Lift</v>
      </c>
      <c r="BJ1139" s="48" t="str">
        <f aca="false">IF(A1139="","",IF(BS1139=1,"Neu; ","")&amp;IF(AND(BS1139=0,BN1139&lt;0),"negativer Bestand (Export "&amp;BN1139&amp;"); ","")&amp;IF(J1139&lt;=0,"Kein Verbrauch; ","")&amp;IF(CL1139&gt;0,"Lift "&amp;W1139&amp;" lt. Liftbericht (Fach "&amp;X1139&amp;" Stk); ",IF(BX1139=1,"Gebinde geschätzt ("&amp;T1139&amp;"); ",IF(BW1139=1,"Lose – Tablare geschätzt; ","")))&amp;IF(H1139&gt;AT1139,"Überbestand "&amp;ROUND(H1139-AT1139,0)&amp;" Stk / CHF "&amp;ROUND((H1139-AT1139)*G1139,0)&amp;"; ","")&amp;IF(AND(CE1139=1,CF1139&lt;CG1139),"MAX &lt; MB+LG; ","")&amp;IF(AND(CK1139&gt;0,CJ1139*10&gt;CK1139),"zu hoch für Tablar; ","")&amp;IF(AND(BS1139=0,OR(CE1139=1,AA1139&lt;&gt;"",U1139&lt;&gt;"",V1139&lt;&gt;"",AB1139&lt;&gt;"")),"manuell übersteuert; ","")&amp;IF(AND(BW1139=0,R1139=0),"Gebinde unbekannt / Stellmass fehlt; ","")&amp;IF(AND(BW1139=0,N(V1139)&lt;=0,N(Q1139)&lt;=0),"Menge pro Gebinde fehlt (Ist = 1 Gebinde); ","")&amp;BR1139)</f>
        <v>negativer Bestand (Export -1); </v>
      </c>
      <c r="BK1139" s="48"/>
      <c r="BL1139" s="48"/>
      <c r="BM1139" s="55"/>
      <c r="BN1139" s="50" t="n">
        <v>-1</v>
      </c>
      <c r="BO1139" s="50" t="n">
        <v>4</v>
      </c>
      <c r="BP1139" s="49" t="n">
        <v>-279.01</v>
      </c>
      <c r="BQ1139" s="50" t="n">
        <v>1</v>
      </c>
      <c r="BR1139" s="48"/>
      <c r="BS1139" s="53" t="n">
        <v>0</v>
      </c>
      <c r="BT1139" s="53" t="n">
        <v>1139</v>
      </c>
      <c r="BU1139" s="48" t="str">
        <f aca="false">IF(U1139&lt;&gt;"",UPPER(TRIM(U1139)),IF(BX1139=1,UPPER(VLOOKUP(T1139,Parameter!$I$27:$K$29,2,0)),IF(P1139="","LOSE",P1139)))</f>
        <v>S41</v>
      </c>
      <c r="BV1139" s="50" t="n">
        <f aca="false">IF(BU1139="LOSE",1,IF(N(V1139)&gt;0,V1139,IF(BX1139=1,MAX(1,N(VLOOKUP(T1139,Parameter!$I$27:$K$29,3,0)),H1139,N(N1139)),IF(N(Q1139)&gt;0,Q1139,MAX(1,H1139)))))</f>
        <v>6</v>
      </c>
      <c r="BW1139" s="53" t="n">
        <f aca="false">IF(BU1139="LOSE",1,0)</f>
        <v>0</v>
      </c>
      <c r="BX1139" s="53" t="n">
        <f aca="false">IF(AND(U1139="",OR(P1139="",P1139="LOSE"),T1139&lt;&gt;"",N(S1139)&lt;=0,ISNUMBER(MATCH(T1139,Parameter!$I$27:$I$29,0))),1,0)</f>
        <v>0</v>
      </c>
      <c r="BY1139" s="53" t="n">
        <f aca="false">IF(CL1139&gt;0,INDEX(Parameter!$H$5:$H$7,W1139)/INDEX(Parameter!$E$5:$E$7,W1139),IF(AND(BW1139=0,N(IFERROR(VLOOKUP(BU1139,'Gebinde-Kategorie'!$A$5:$N$45,14,0),0))&gt;0),VLOOKUP(BU1139,'Gebinde-Kategorie'!$A$5:$N$45,14,0)*10+Parameter!$M$23,Parameter!$M$24))</f>
        <v>155</v>
      </c>
      <c r="BZ1139" s="48" t="str">
        <f aca="false">IF(AND(Parameter!$B$19="Ja",E1139&lt;&gt;"",ISNUMBER(MATCH(E1139,Parameter!$I$35:$I$52,0))),VLOOKUP(E1139,Parameter!$I$35:$J$52,2,0),IFERROR(VLOOKUP(D1139,Parameter!$A$35:$C$64,2,0),"Nein"))</f>
        <v>2+3</v>
      </c>
      <c r="CA1139" s="52" t="n">
        <f aca="false">IF(BW1139=0,0,IF(N(S1139)&gt;0,S1139,IFERROR(VLOOKUP(D1139,Parameter!$A$35:$C$64,3,0)+0,0)))</f>
        <v>0</v>
      </c>
      <c r="CB1139" s="48" t="n">
        <f aca="false">IF(AA1139&lt;&gt;"",AA1139,Z1139)</f>
        <v>3</v>
      </c>
      <c r="CC1139" s="48" t="str">
        <f aca="false">IF(OR(CB1139=1,CB1139=2,CB1139=3),IF(Parameter!$E$27="Ja","LIFT",IF(CB1139=1,"L1","L23")),IF(CB1139="Aussen","Aussen","-"))</f>
        <v>LIFT</v>
      </c>
      <c r="CD1139" s="59" t="n">
        <f aca="false">IF(N(AB1139)&gt;0,AB1139,0)</f>
        <v>0</v>
      </c>
      <c r="CE1139" s="53" t="n">
        <f aca="false">IF(ISNUMBER(AE1139),1,0)</f>
        <v>0</v>
      </c>
      <c r="CF1139" s="50" t="n">
        <f aca="false">N(AE1139)</f>
        <v>0</v>
      </c>
      <c r="CG1139" s="50" t="n">
        <f aca="false">N(M1139)+N(N1139)</f>
        <v>1</v>
      </c>
      <c r="CH1139" s="50" t="n">
        <f aca="false">ROUNDUP(H1139/BV1139,0)</f>
        <v>1</v>
      </c>
      <c r="CI1139" s="50" t="n">
        <f aca="false">ROUNDUP(CF1139/BV1139,0)</f>
        <v>0</v>
      </c>
      <c r="CJ1139" s="53" t="n">
        <f aca="false">IF(BW1139=1,0,IFERROR(VLOOKUP(BU1139,'Gebinde-Kategorie'!$A$5:$N$45,5,0)+0,0))</f>
        <v>11</v>
      </c>
      <c r="CK1139" s="53" t="n">
        <f aca="false">IFERROR(IF(OR(CB1139=1,CB1139=2,CB1139=3),N(INDEX(Parameter!$I$5:$I$7,CB1139)),0),0)</f>
        <v>0</v>
      </c>
      <c r="CL1139" s="52" t="n">
        <f aca="false">IF(AND(Parameter!$B$21="Ja",ISNUMBER(W1139),N(X1139)&gt;0),IFERROR(N(INDEX(Parameter!$L$5:$L$7,W1139))*INDEX(Parameter!$E$5:$E$7,W1139)*X1139/SUMIFS($X$7:$X$1843,$W$7:$W$1843,W1139),0),0)</f>
        <v>0</v>
      </c>
    </row>
    <row r="1140" customFormat="false" ht="15" hidden="false" customHeight="false" outlineLevel="0" collapsed="false">
      <c r="A1140" s="48" t="s">
        <v>2065</v>
      </c>
      <c r="B1140" s="48" t="s">
        <v>2066</v>
      </c>
      <c r="C1140" s="48" t="s">
        <v>168</v>
      </c>
      <c r="D1140" s="48" t="s">
        <v>188</v>
      </c>
      <c r="E1140" s="48" t="s">
        <v>177</v>
      </c>
      <c r="F1140" s="48" t="s">
        <v>222</v>
      </c>
      <c r="G1140" s="49" t="n">
        <v>111.1</v>
      </c>
      <c r="H1140" s="50" t="n">
        <f aca="false">MAX(0,IF(AND(Parameter!$B$21="Ja",ISNUMBER(Y1140)),Y1140,IF(Parameter!$B$20="Jahresanfang 2025 + Export",BO1140+BN1140,BN1140)))</f>
        <v>1</v>
      </c>
      <c r="I1140" s="50" t="n">
        <f aca="false">H1140*G1140</f>
        <v>111.1</v>
      </c>
      <c r="J1140" s="50" t="n">
        <f aca="false">BQ1140*Parameter!$B$18</f>
        <v>2</v>
      </c>
      <c r="K1140" s="51" t="n">
        <v>3</v>
      </c>
      <c r="L1140" s="52" t="n">
        <v>0.666666666666667</v>
      </c>
      <c r="M1140" s="50" t="n">
        <v>0</v>
      </c>
      <c r="N1140" s="50" t="n">
        <v>1</v>
      </c>
      <c r="O1140" s="53" t="n">
        <v>28</v>
      </c>
      <c r="P1140" s="48" t="s">
        <v>425</v>
      </c>
      <c r="Q1140" s="50" t="n">
        <v>3</v>
      </c>
      <c r="R1140" s="53" t="n">
        <f aca="false">IF(BW1140=1,0,IFERROR(VLOOKUP(BU1140,'Gebinde-Kategorie'!$A$5:$N$45,13,0)+0,0))</f>
        <v>104</v>
      </c>
      <c r="S1140" s="54"/>
      <c r="T1140" s="55"/>
      <c r="U1140" s="55"/>
      <c r="V1140" s="55"/>
      <c r="W1140" s="48"/>
      <c r="X1140" s="50"/>
      <c r="Y1140" s="50"/>
      <c r="Z1140" s="48" t="str">
        <f aca="false">IF(A1140="","",IF(AND(Parameter!$B$21="Ja",ISNUMBER(W1140)),W1140,IF(BZ1140="2+3",IF(ISNUMBER(SEARCH("grosser Artikel",BR1140)),2,IFERROR(VLOOKUP(BU1140,Parameter!$F$35:$G$64,2,0),2)),IF(OR(BZ1140="Nein",BZ1140=""),"-",BZ1140))))</f>
        <v>-</v>
      </c>
      <c r="AA1140" s="55"/>
      <c r="AB1140" s="56"/>
      <c r="AC1140" s="50" t="n">
        <f aca="false">AT1140</f>
        <v>3</v>
      </c>
      <c r="AD1140" s="50" t="n">
        <f aca="false">MAX(AT1140,H1140)</f>
        <v>3</v>
      </c>
      <c r="AE1140" s="57"/>
      <c r="AF1140" s="50" t="n">
        <f aca="false">IF(LEFT(Cockpit!$C$5,1)="A",H1140,IF(CE1140=1,CF1140,IF(LEFT(Cockpit!$C$5,1)="B",AK1140,MAX(AK1140,H1140))))</f>
        <v>1</v>
      </c>
      <c r="AG1140" s="50" t="n">
        <f aca="false">IF(BW1140=1,0,ROUNDUP(AF1140/BV1140,0))</f>
        <v>1</v>
      </c>
      <c r="AH1140" s="52" t="n">
        <f aca="false">IF(CL1140&gt;0,CL1140*MAX(1,AF1140/X1140),IF(BW1140=1,IF(AF1140&lt;=0,0,CA1140*MAX(1,IF(H1140&gt;0,AF1140/H1140,1))),IF(R1140&gt;0,AG1140/R1140,0))/MAX(0.1,N(Parameter!$M$21)))</f>
        <v>0.00961538461538462</v>
      </c>
      <c r="AI1140" s="50" t="n">
        <f aca="false">AH1140*BY1140</f>
        <v>1.49038461538462</v>
      </c>
      <c r="AJ1140" s="50" t="n">
        <f aca="false">AF1140*G1140</f>
        <v>111.1</v>
      </c>
      <c r="AK1140" s="50" t="n">
        <f aca="false">ROUNDUP(MAX(J1140/IF(CD1140&gt;0,CD1140,MAX(0.1,N(Cockpit!$C$6))),CG1140)/BV1140,0)*BV1140</f>
        <v>3</v>
      </c>
      <c r="AL1140" s="51" t="n">
        <f aca="false">IF(AI1140&gt;0,J1140/AI1140,-1)</f>
        <v>1.34193548387097</v>
      </c>
      <c r="AM1140" s="51" t="str">
        <f aca="false">IF(AND(OR(CC1140="L1",CC1140="L23",CC1140="LIFT"),AI1140&gt;0),SUMIFS($AI$7:$AI$1843,$CC$7:$CC$1843,CC1140,$AL$7:$AL$1843,"&gt;"&amp;AL1140)+SUMIFS($AI$7:$AI$1843,$CC$7:$CC$1843,CC1140,$AL$7:$AL$1843,AL1140,$BT$7:$BT$1843,"&lt;="&amp;BT1140),"")</f>
        <v/>
      </c>
      <c r="AN1140" s="58" t="n">
        <f aca="false">IF(AM1140="",0,MAX(0,MIN(1,(IF(CC1140="L1",Parameter!$H$5,IF(CC1140="L23",Parameter!$H$6+Parameter!$H$7,Parameter!$H$5+Parameter!$H$6+Parameter!$H$7))-(AM1140-AI1140))/AI1140)))</f>
        <v>0</v>
      </c>
      <c r="AO1140" s="50" t="n">
        <f aca="false">IF(LEFT(Cockpit!$I$5,1)="A",H1140,IF(CE1140=1,CF1140,IF(LEFT(Cockpit!$I$5,1)="B",AT1140,MAX(AT1140,H1140))))</f>
        <v>3</v>
      </c>
      <c r="AP1140" s="50" t="n">
        <f aca="false">IF(BW1140=1,0,ROUNDUP(AO1140/BV1140,0))</f>
        <v>1</v>
      </c>
      <c r="AQ1140" s="52" t="n">
        <f aca="false">IF(CL1140&gt;0,CL1140*MAX(1,AO1140/X1140),IF(BW1140=1,IF(AO1140&lt;=0,0,CA1140*MAX(1,IF(H1140&gt;0,AO1140/H1140,1))),IF(R1140&gt;0,AP1140/R1140,0))/MAX(0.1,N(Parameter!$M$21)))</f>
        <v>0.00961538461538462</v>
      </c>
      <c r="AR1140" s="50" t="n">
        <f aca="false">AQ1140*BY1140</f>
        <v>1.49038461538462</v>
      </c>
      <c r="AS1140" s="50" t="n">
        <f aca="false">AO1140*G1140</f>
        <v>333.3</v>
      </c>
      <c r="AT1140" s="50" t="n">
        <f aca="false">ROUNDUP(MAX(J1140/IF(CD1140&gt;0,CD1140,MAX(0.1,N(Cockpit!$I$6))),CG1140)/BV1140,0)*BV1140</f>
        <v>3</v>
      </c>
      <c r="AU1140" s="51" t="n">
        <f aca="false">IF(AR1140&gt;0,J1140/AR1140,-1)</f>
        <v>1.34193548387097</v>
      </c>
      <c r="AV1140" s="51" t="str">
        <f aca="false">IF(AND(OR(CC1140="L1",CC1140="L23",CC1140="LIFT"),AR1140&gt;0),SUMIFS($AR$7:$AR$1843,$CC$7:$CC$1843,CC1140,$AU$7:$AU$1843,"&gt;"&amp;AU1140)+SUMIFS($AR$7:$AR$1843,$CC$7:$CC$1843,CC1140,$AU$7:$AU$1843,AU1140,$BT$7:$BT$1843,"&lt;="&amp;BT1140),"")</f>
        <v/>
      </c>
      <c r="AW1140" s="58" t="n">
        <f aca="false">IF(AV1140="",0,MAX(0,MIN(1,(IF(CC1140="L1",Parameter!$H$5,IF(CC1140="L23",Parameter!$H$6+Parameter!$H$7,Parameter!$H$5+Parameter!$H$6+Parameter!$H$7))-(AV1140-AR1140))/AR1140)))</f>
        <v>0</v>
      </c>
      <c r="AX1140" s="50" t="n">
        <f aca="false">IF(LEFT(Cockpit!$O$5,1)="A",H1140,IF(CE1140=1,CF1140,IF(LEFT(Cockpit!$O$5,1)="B",BC1140,MAX(BC1140,H1140))))</f>
        <v>3</v>
      </c>
      <c r="AY1140" s="50" t="n">
        <f aca="false">IF(BW1140=1,0,ROUNDUP(AX1140/BV1140,0))</f>
        <v>1</v>
      </c>
      <c r="AZ1140" s="52" t="n">
        <f aca="false">IF(CL1140&gt;0,CL1140*MAX(1,AX1140/X1140),IF(BW1140=1,IF(AX1140&lt;=0,0,CA1140*MAX(1,IF(H1140&gt;0,AX1140/H1140,1))),IF(R1140&gt;0,AY1140/R1140,0))/MAX(0.1,N(Parameter!$M$21)))</f>
        <v>0.00961538461538462</v>
      </c>
      <c r="BA1140" s="50" t="n">
        <f aca="false">AZ1140*BY1140</f>
        <v>1.49038461538462</v>
      </c>
      <c r="BB1140" s="50" t="n">
        <f aca="false">AX1140*G1140</f>
        <v>333.3</v>
      </c>
      <c r="BC1140" s="50" t="n">
        <f aca="false">ROUNDUP(MAX(J1140/IF(CD1140&gt;0,CD1140,MAX(0.1,N(Cockpit!$O$6))),CG1140)/BV1140,0)*BV1140</f>
        <v>3</v>
      </c>
      <c r="BD1140" s="51" t="n">
        <f aca="false">IF(BA1140&gt;0,J1140/BA1140,-1)</f>
        <v>1.34193548387097</v>
      </c>
      <c r="BE1140" s="51" t="str">
        <f aca="false">IF(AND(OR(CC1140="L1",CC1140="L23",CC1140="LIFT"),BA1140&gt;0),SUMIFS($BA$7:$BA$1843,$CC$7:$CC$1843,CC1140,$BD$7:$BD$1843,"&gt;"&amp;BD1140)+SUMIFS($BA$7:$BA$1843,$CC$7:$CC$1843,CC1140,$BD$7:$BD$1843,BD1140,$BT$7:$BT$1843,"&lt;="&amp;BT1140),"")</f>
        <v/>
      </c>
      <c r="BF1140" s="58" t="n">
        <f aca="false">IF(BE1140="",0,MAX(0,MIN(1,(IF(CC1140="L1",Parameter!$H$5,IF(CC1140="L23",Parameter!$H$6+Parameter!$H$7,Parameter!$H$5+Parameter!$H$6+Parameter!$H$7))-(BE1140-BA1140))/BA1140)))</f>
        <v>0</v>
      </c>
      <c r="BG1140" s="48" t="str">
        <f aca="false">IF(AI1140&lt;=0,"",IF(CC1140="Aussen","Aussenlager",IF(CC1140="-","Nicht im Lift",IF(AN1140&gt;=1,"Lift",IF(AN1140&lt;=0,"Aussenlager","teilweise")))))</f>
        <v>Nicht im Lift</v>
      </c>
      <c r="BH1140" s="48" t="str">
        <f aca="false">IF(AR1140&lt;=0,"",IF(CC1140="Aussen","Aussenlager",IF(CC1140="-","Nicht im Lift",IF(AW1140&gt;=1,"Lift",IF(AW1140&lt;=0,"Aussenlager","teilweise")))))</f>
        <v>Nicht im Lift</v>
      </c>
      <c r="BI1140" s="48" t="str">
        <f aca="false">IF(BA1140&lt;=0,"",IF(CC1140="Aussen","Aussenlager",IF(CC1140="-","Nicht im Lift",IF(BF1140&gt;=1,"Lift",IF(BF1140&lt;=0,"Aussenlager","teilweise")))))</f>
        <v>Nicht im Lift</v>
      </c>
      <c r="BJ1140" s="48" t="str">
        <f aca="false">IF(A1140="","",IF(BS1140=1,"Neu; ","")&amp;IF(AND(BS1140=0,BN1140&lt;0),"negativer Bestand (Export "&amp;BN1140&amp;"); ","")&amp;IF(J1140&lt;=0,"Kein Verbrauch; ","")&amp;IF(CL1140&gt;0,"Lift "&amp;W1140&amp;" lt. Liftbericht (Fach "&amp;X1140&amp;" Stk); ",IF(BX1140=1,"Gebinde geschätzt ("&amp;T1140&amp;"); ",IF(BW1140=1,"Lose – Tablare geschätzt; ","")))&amp;IF(H1140&gt;AT1140,"Überbestand "&amp;ROUND(H1140-AT1140,0)&amp;" Stk / CHF "&amp;ROUND((H1140-AT1140)*G1140,0)&amp;"; ","")&amp;IF(AND(CE1140=1,CF1140&lt;CG1140),"MAX &lt; MB+LG; ","")&amp;IF(AND(CK1140&gt;0,CJ1140*10&gt;CK1140),"zu hoch für Tablar; ","")&amp;IF(AND(BS1140=0,OR(CE1140=1,AA1140&lt;&gt;"",U1140&lt;&gt;"",V1140&lt;&gt;"",AB1140&lt;&gt;"")),"manuell übersteuert; ","")&amp;IF(AND(BW1140=0,R1140=0),"Gebinde unbekannt / Stellmass fehlt; ","")&amp;IF(AND(BW1140=0,N(V1140)&lt;=0,N(Q1140)&lt;=0),"Menge pro Gebinde fehlt (Ist = 1 Gebinde); ","")&amp;BR1140)</f>
        <v>negativer Bestand (Export -3); Neu</v>
      </c>
      <c r="BK1140" s="48"/>
      <c r="BL1140" s="48"/>
      <c r="BM1140" s="55"/>
      <c r="BN1140" s="50" t="n">
        <v>-3</v>
      </c>
      <c r="BO1140" s="50" t="n">
        <v>4</v>
      </c>
      <c r="BP1140" s="49" t="n">
        <v>-286.62</v>
      </c>
      <c r="BQ1140" s="50" t="n">
        <v>2</v>
      </c>
      <c r="BR1140" s="48" t="s">
        <v>630</v>
      </c>
      <c r="BS1140" s="53" t="n">
        <v>0</v>
      </c>
      <c r="BT1140" s="53" t="n">
        <v>1140</v>
      </c>
      <c r="BU1140" s="48" t="str">
        <f aca="false">IF(U1140&lt;&gt;"",UPPER(TRIM(U1140)),IF(BX1140=1,UPPER(VLOOKUP(T1140,Parameter!$I$27:$K$29,2,0)),IF(P1140="","LOSE",P1140)))</f>
        <v>S32</v>
      </c>
      <c r="BV1140" s="50" t="n">
        <f aca="false">IF(BU1140="LOSE",1,IF(N(V1140)&gt;0,V1140,IF(BX1140=1,MAX(1,N(VLOOKUP(T1140,Parameter!$I$27:$K$29,3,0)),H1140,N(N1140)),IF(N(Q1140)&gt;0,Q1140,MAX(1,H1140)))))</f>
        <v>3</v>
      </c>
      <c r="BW1140" s="53" t="n">
        <f aca="false">IF(BU1140="LOSE",1,0)</f>
        <v>0</v>
      </c>
      <c r="BX1140" s="53" t="n">
        <f aca="false">IF(AND(U1140="",OR(P1140="",P1140="LOSE"),T1140&lt;&gt;"",N(S1140)&lt;=0,ISNUMBER(MATCH(T1140,Parameter!$I$27:$I$29,0))),1,0)</f>
        <v>0</v>
      </c>
      <c r="BY1140" s="53" t="n">
        <f aca="false">IF(CL1140&gt;0,INDEX(Parameter!$H$5:$H$7,W1140)/INDEX(Parameter!$E$5:$E$7,W1140),IF(AND(BW1140=0,N(IFERROR(VLOOKUP(BU1140,'Gebinde-Kategorie'!$A$5:$N$45,14,0),0))&gt;0),VLOOKUP(BU1140,'Gebinde-Kategorie'!$A$5:$N$45,14,0)*10+Parameter!$M$23,Parameter!$M$24))</f>
        <v>155</v>
      </c>
      <c r="BZ1140" s="48" t="str">
        <f aca="false">IF(AND(Parameter!$B$19="Ja",E1140&lt;&gt;"",ISNUMBER(MATCH(E1140,Parameter!$I$35:$I$52,0))),VLOOKUP(E1140,Parameter!$I$35:$J$52,2,0),IFERROR(VLOOKUP(D1140,Parameter!$A$35:$C$64,2,0),"Nein"))</f>
        <v>Nein</v>
      </c>
      <c r="CA1140" s="52" t="n">
        <f aca="false">IF(BW1140=0,0,IF(N(S1140)&gt;0,S1140,IFERROR(VLOOKUP(D1140,Parameter!$A$35:$C$64,3,0)+0,0)))</f>
        <v>0</v>
      </c>
      <c r="CB1140" s="48" t="str">
        <f aca="false">IF(AA1140&lt;&gt;"",AA1140,Z1140)</f>
        <v>-</v>
      </c>
      <c r="CC1140" s="48" t="str">
        <f aca="false">IF(OR(CB1140=1,CB1140=2,CB1140=3),IF(Parameter!$E$27="Ja","LIFT",IF(CB1140=1,"L1","L23")),IF(CB1140="Aussen","Aussen","-"))</f>
        <v>-</v>
      </c>
      <c r="CD1140" s="59" t="n">
        <f aca="false">IF(N(AB1140)&gt;0,AB1140,0)</f>
        <v>0</v>
      </c>
      <c r="CE1140" s="53" t="n">
        <f aca="false">IF(ISNUMBER(AE1140),1,0)</f>
        <v>0</v>
      </c>
      <c r="CF1140" s="50" t="n">
        <f aca="false">N(AE1140)</f>
        <v>0</v>
      </c>
      <c r="CG1140" s="50" t="n">
        <f aca="false">N(M1140)+N(N1140)</f>
        <v>1</v>
      </c>
      <c r="CH1140" s="50" t="n">
        <f aca="false">ROUNDUP(H1140/BV1140,0)</f>
        <v>1</v>
      </c>
      <c r="CI1140" s="50" t="n">
        <f aca="false">ROUNDUP(CF1140/BV1140,0)</f>
        <v>0</v>
      </c>
      <c r="CJ1140" s="53" t="n">
        <f aca="false">IF(BW1140=1,0,IFERROR(VLOOKUP(BU1140,'Gebinde-Kategorie'!$A$5:$N$45,5,0)+0,0))</f>
        <v>8</v>
      </c>
      <c r="CK1140" s="53" t="n">
        <f aca="false">IFERROR(IF(OR(CB1140=1,CB1140=2,CB1140=3),N(INDEX(Parameter!$I$5:$I$7,CB1140)),0),0)</f>
        <v>0</v>
      </c>
      <c r="CL1140" s="52" t="n">
        <f aca="false">IF(AND(Parameter!$B$21="Ja",ISNUMBER(W1140),N(X1140)&gt;0),IFERROR(N(INDEX(Parameter!$L$5:$L$7,W1140))*INDEX(Parameter!$E$5:$E$7,W1140)*X1140/SUMIFS($X$7:$X$1843,$W$7:$W$1843,W1140),0),0)</f>
        <v>0</v>
      </c>
    </row>
    <row r="1141" customFormat="false" ht="15" hidden="false" customHeight="false" outlineLevel="0" collapsed="false">
      <c r="A1141" s="48" t="s">
        <v>2067</v>
      </c>
      <c r="B1141" s="48" t="s">
        <v>2068</v>
      </c>
      <c r="C1141" s="48" t="s">
        <v>168</v>
      </c>
      <c r="D1141" s="48" t="s">
        <v>188</v>
      </c>
      <c r="E1141" s="48"/>
      <c r="F1141" s="48" t="s">
        <v>222</v>
      </c>
      <c r="G1141" s="49" t="n">
        <v>101.35</v>
      </c>
      <c r="H1141" s="50" t="n">
        <f aca="false">MAX(0,IF(AND(Parameter!$B$21="Ja",ISNUMBER(Y1141)),Y1141,IF(Parameter!$B$20="Jahresanfang 2025 + Export",BO1141+BN1141,BN1141)))</f>
        <v>1</v>
      </c>
      <c r="I1141" s="50" t="n">
        <f aca="false">H1141*G1141</f>
        <v>101.35</v>
      </c>
      <c r="J1141" s="50" t="n">
        <f aca="false">BQ1141*Parameter!$B$18</f>
        <v>6</v>
      </c>
      <c r="K1141" s="51" t="n">
        <v>3.5</v>
      </c>
      <c r="L1141" s="52" t="n">
        <v>1.71428571428571</v>
      </c>
      <c r="M1141" s="50" t="n">
        <v>0</v>
      </c>
      <c r="N1141" s="50" t="n">
        <v>5</v>
      </c>
      <c r="O1141" s="53" t="n">
        <v>35</v>
      </c>
      <c r="P1141" s="48" t="s">
        <v>172</v>
      </c>
      <c r="Q1141" s="50"/>
      <c r="R1141" s="53" t="n">
        <f aca="false">IF(BW1141=1,0,IFERROR(VLOOKUP(BU1141,'Gebinde-Kategorie'!$A$5:$N$45,13,0)+0,0))</f>
        <v>26</v>
      </c>
      <c r="S1141" s="54"/>
      <c r="T1141" s="55" t="s">
        <v>279</v>
      </c>
      <c r="U1141" s="55"/>
      <c r="V1141" s="55"/>
      <c r="W1141" s="48"/>
      <c r="X1141" s="50"/>
      <c r="Y1141" s="50"/>
      <c r="Z1141" s="48" t="n">
        <f aca="false">IF(A1141="","",IF(AND(Parameter!$B$21="Ja",ISNUMBER(W1141)),W1141,IF(BZ1141="2+3",IF(ISNUMBER(SEARCH("grosser Artikel",BR1141)),2,IFERROR(VLOOKUP(BU1141,Parameter!$F$35:$G$64,2,0),2)),IF(OR(BZ1141="Nein",BZ1141=""),"-",BZ1141))))</f>
        <v>3</v>
      </c>
      <c r="AA1141" s="55"/>
      <c r="AB1141" s="56"/>
      <c r="AC1141" s="50" t="n">
        <f aca="false">AT1141</f>
        <v>20</v>
      </c>
      <c r="AD1141" s="50" t="n">
        <f aca="false">MAX(AT1141,H1141)</f>
        <v>20</v>
      </c>
      <c r="AE1141" s="57"/>
      <c r="AF1141" s="50" t="n">
        <f aca="false">IF(LEFT(Cockpit!$C$5,1)="A",H1141,IF(CE1141=1,CF1141,IF(LEFT(Cockpit!$C$5,1)="B",AK1141,MAX(AK1141,H1141))))</f>
        <v>1</v>
      </c>
      <c r="AG1141" s="50" t="n">
        <f aca="false">IF(BW1141=1,0,ROUNDUP(AF1141/BV1141,0))</f>
        <v>1</v>
      </c>
      <c r="AH1141" s="52" t="n">
        <f aca="false">IF(CL1141&gt;0,CL1141*MAX(1,AF1141/X1141),IF(BW1141=1,IF(AF1141&lt;=0,0,CA1141*MAX(1,IF(H1141&gt;0,AF1141/H1141,1))),IF(R1141&gt;0,AG1141/R1141,0))/MAX(0.1,N(Parameter!$M$21)))</f>
        <v>0.0384615384615385</v>
      </c>
      <c r="AI1141" s="50" t="n">
        <f aca="false">AH1141*BY1141</f>
        <v>5.96153846153846</v>
      </c>
      <c r="AJ1141" s="50" t="n">
        <f aca="false">AF1141*G1141</f>
        <v>101.35</v>
      </c>
      <c r="AK1141" s="50" t="n">
        <f aca="false">ROUNDUP(MAX(J1141/IF(CD1141&gt;0,CD1141,MAX(0.1,N(Cockpit!$C$6))),CG1141)/BV1141,0)*BV1141</f>
        <v>20</v>
      </c>
      <c r="AL1141" s="51" t="n">
        <f aca="false">IF(AI1141&gt;0,J1141/AI1141,-1)</f>
        <v>1.00645161290323</v>
      </c>
      <c r="AM1141" s="51" t="n">
        <f aca="false">IF(AND(OR(CC1141="L1",CC1141="L23",CC1141="LIFT"),AI1141&gt;0),SUMIFS($AI$7:$AI$1843,$CC$7:$CC$1843,CC1141,$AL$7:$AL$1843,"&gt;"&amp;AL1141)+SUMIFS($AI$7:$AI$1843,$CC$7:$CC$1843,CC1141,$AL$7:$AL$1843,AL1141,$BT$7:$BT$1843,"&lt;="&amp;BT1141),"")</f>
        <v>7047.461996337</v>
      </c>
      <c r="AN1141" s="58" t="n">
        <f aca="false">IF(AM1141="",0,MAX(0,MIN(1,(IF(CC1141="L1",Parameter!$H$5,IF(CC1141="L23",Parameter!$H$6+Parameter!$H$7,Parameter!$H$5+Parameter!$H$6+Parameter!$H$7))-(AM1141-AI1141))/AI1141)))</f>
        <v>1</v>
      </c>
      <c r="AO1141" s="50" t="n">
        <f aca="false">IF(LEFT(Cockpit!$I$5,1)="A",H1141,IF(CE1141=1,CF1141,IF(LEFT(Cockpit!$I$5,1)="B",AT1141,MAX(AT1141,H1141))))</f>
        <v>20</v>
      </c>
      <c r="AP1141" s="50" t="n">
        <f aca="false">IF(BW1141=1,0,ROUNDUP(AO1141/BV1141,0))</f>
        <v>1</v>
      </c>
      <c r="AQ1141" s="52" t="n">
        <f aca="false">IF(CL1141&gt;0,CL1141*MAX(1,AO1141/X1141),IF(BW1141=1,IF(AO1141&lt;=0,0,CA1141*MAX(1,IF(H1141&gt;0,AO1141/H1141,1))),IF(R1141&gt;0,AP1141/R1141,0))/MAX(0.1,N(Parameter!$M$21)))</f>
        <v>0.0384615384615385</v>
      </c>
      <c r="AR1141" s="50" t="n">
        <f aca="false">AQ1141*BY1141</f>
        <v>5.96153846153846</v>
      </c>
      <c r="AS1141" s="50" t="n">
        <f aca="false">AO1141*G1141</f>
        <v>2027</v>
      </c>
      <c r="AT1141" s="50" t="n">
        <f aca="false">ROUNDUP(MAX(J1141/IF(CD1141&gt;0,CD1141,MAX(0.1,N(Cockpit!$I$6))),CG1141)/BV1141,0)*BV1141</f>
        <v>20</v>
      </c>
      <c r="AU1141" s="51" t="n">
        <f aca="false">IF(AR1141&gt;0,J1141/AR1141,-1)</f>
        <v>1.00645161290323</v>
      </c>
      <c r="AV1141" s="51" t="n">
        <f aca="false">IF(AND(OR(CC1141="L1",CC1141="L23",CC1141="LIFT"),AR1141&gt;0),SUMIFS($AR$7:$AR$1843,$CC$7:$CC$1843,CC1141,$AU$7:$AU$1843,"&gt;"&amp;AU1141)+SUMIFS($AR$7:$AR$1843,$CC$7:$CC$1843,CC1141,$AU$7:$AU$1843,AU1141,$BT$7:$BT$1843,"&lt;="&amp;BT1141),"")</f>
        <v>10104.4880952381</v>
      </c>
      <c r="AW1141" s="58" t="n">
        <f aca="false">IF(AV1141="",0,MAX(0,MIN(1,(IF(CC1141="L1",Parameter!$H$5,IF(CC1141="L23",Parameter!$H$6+Parameter!$H$7,Parameter!$H$5+Parameter!$H$6+Parameter!$H$7))-(AV1141-AR1141))/AR1141)))</f>
        <v>1</v>
      </c>
      <c r="AX1141" s="50" t="n">
        <f aca="false">IF(LEFT(Cockpit!$O$5,1)="A",H1141,IF(CE1141=1,CF1141,IF(LEFT(Cockpit!$O$5,1)="B",BC1141,MAX(BC1141,H1141))))</f>
        <v>20</v>
      </c>
      <c r="AY1141" s="50" t="n">
        <f aca="false">IF(BW1141=1,0,ROUNDUP(AX1141/BV1141,0))</f>
        <v>1</v>
      </c>
      <c r="AZ1141" s="52" t="n">
        <f aca="false">IF(CL1141&gt;0,CL1141*MAX(1,AX1141/X1141),IF(BW1141=1,IF(AX1141&lt;=0,0,CA1141*MAX(1,IF(H1141&gt;0,AX1141/H1141,1))),IF(R1141&gt;0,AY1141/R1141,0))/MAX(0.1,N(Parameter!$M$21)))</f>
        <v>0.0384615384615385</v>
      </c>
      <c r="BA1141" s="50" t="n">
        <f aca="false">AZ1141*BY1141</f>
        <v>5.96153846153846</v>
      </c>
      <c r="BB1141" s="50" t="n">
        <f aca="false">AX1141*G1141</f>
        <v>2027</v>
      </c>
      <c r="BC1141" s="50" t="n">
        <f aca="false">ROUNDUP(MAX(J1141/IF(CD1141&gt;0,CD1141,MAX(0.1,N(Cockpit!$O$6))),CG1141)/BV1141,0)*BV1141</f>
        <v>20</v>
      </c>
      <c r="BD1141" s="51" t="n">
        <f aca="false">IF(BA1141&gt;0,J1141/BA1141,-1)</f>
        <v>1.00645161290323</v>
      </c>
      <c r="BE1141" s="51" t="n">
        <f aca="false">IF(AND(OR(CC1141="L1",CC1141="L23",CC1141="LIFT"),BA1141&gt;0),SUMIFS($BA$7:$BA$1843,$CC$7:$CC$1843,CC1141,$BD$7:$BD$1843,"&gt;"&amp;BD1141)+SUMIFS($BA$7:$BA$1843,$CC$7:$CC$1843,CC1141,$BD$7:$BD$1843,BD1141,$BT$7:$BT$1843,"&lt;="&amp;BT1141),"")</f>
        <v>9310.97847985348</v>
      </c>
      <c r="BF1141" s="58" t="n">
        <f aca="false">IF(BE1141="",0,MAX(0,MIN(1,(IF(CC1141="L1",Parameter!$H$5,IF(CC1141="L23",Parameter!$H$6+Parameter!$H$7,Parameter!$H$5+Parameter!$H$6+Parameter!$H$7))-(BE1141-BA1141))/BA1141)))</f>
        <v>1</v>
      </c>
      <c r="BG1141" s="48" t="str">
        <f aca="false">IF(AI1141&lt;=0,"",IF(CC1141="Aussen","Aussenlager",IF(CC1141="-","Nicht im Lift",IF(AN1141&gt;=1,"Lift",IF(AN1141&lt;=0,"Aussenlager","teilweise")))))</f>
        <v>Lift</v>
      </c>
      <c r="BH1141" s="48" t="str">
        <f aca="false">IF(AR1141&lt;=0,"",IF(CC1141="Aussen","Aussenlager",IF(CC1141="-","Nicht im Lift",IF(AW1141&gt;=1,"Lift",IF(AW1141&lt;=0,"Aussenlager","teilweise")))))</f>
        <v>Lift</v>
      </c>
      <c r="BI1141" s="48" t="str">
        <f aca="false">IF(BA1141&lt;=0,"",IF(CC1141="Aussen","Aussenlager",IF(CC1141="-","Nicht im Lift",IF(BF1141&gt;=1,"Lift",IF(BF1141&lt;=0,"Aussenlager","teilweise")))))</f>
        <v>Lift</v>
      </c>
      <c r="BJ1141" s="48" t="str">
        <f aca="false">IF(A1141="","",IF(BS1141=1,"Neu; ","")&amp;IF(AND(BS1141=0,BN1141&lt;0),"negativer Bestand (Export "&amp;BN1141&amp;"); ","")&amp;IF(J1141&lt;=0,"Kein Verbrauch; ","")&amp;IF(CL1141&gt;0,"Lift "&amp;W1141&amp;" lt. Liftbericht (Fach "&amp;X1141&amp;" Stk); ",IF(BX1141=1,"Gebinde geschätzt ("&amp;T1141&amp;"); ",IF(BW1141=1,"Lose – Tablare geschätzt; ","")))&amp;IF(H1141&gt;AT1141,"Überbestand "&amp;ROUND(H1141-AT1141,0)&amp;" Stk / CHF "&amp;ROUND((H1141-AT1141)*G1141,0)&amp;"; ","")&amp;IF(AND(CE1141=1,CF1141&lt;CG1141),"MAX &lt; MB+LG; ","")&amp;IF(AND(CK1141&gt;0,CJ1141*10&gt;CK1141),"zu hoch für Tablar; ","")&amp;IF(AND(BS1141=0,OR(CE1141=1,AA1141&lt;&gt;"",U1141&lt;&gt;"",V1141&lt;&gt;"",AB1141&lt;&gt;"")),"manuell übersteuert; ","")&amp;IF(AND(BW1141=0,R1141=0),"Gebinde unbekannt / Stellmass fehlt; ","")&amp;IF(AND(BW1141=0,N(V1141)&lt;=0,N(Q1141)&lt;=0),"Menge pro Gebinde fehlt (Ist = 1 Gebinde); ","")&amp;BR1141)</f>
        <v>negativer Bestand (Export -3); Gebinde geschätzt (Klein); Menge pro Gebinde fehlt (Ist = 1 Gebinde); </v>
      </c>
      <c r="BK1141" s="48"/>
      <c r="BL1141" s="48"/>
      <c r="BM1141" s="55"/>
      <c r="BN1141" s="50" t="n">
        <v>-3</v>
      </c>
      <c r="BO1141" s="50" t="n">
        <v>4</v>
      </c>
      <c r="BP1141" s="49" t="n">
        <v>-287.21</v>
      </c>
      <c r="BQ1141" s="50" t="n">
        <v>6</v>
      </c>
      <c r="BR1141" s="48"/>
      <c r="BS1141" s="53" t="n">
        <v>0</v>
      </c>
      <c r="BT1141" s="53" t="n">
        <v>1141</v>
      </c>
      <c r="BU1141" s="48" t="str">
        <f aca="false">IF(U1141&lt;&gt;"",UPPER(TRIM(U1141)),IF(BX1141=1,UPPER(VLOOKUP(T1141,Parameter!$I$27:$K$29,2,0)),IF(P1141="","LOSE",P1141)))</f>
        <v>S51</v>
      </c>
      <c r="BV1141" s="50" t="n">
        <f aca="false">IF(BU1141="LOSE",1,IF(N(V1141)&gt;0,V1141,IF(BX1141=1,MAX(1,N(VLOOKUP(T1141,Parameter!$I$27:$K$29,3,0)),H1141,N(N1141)),IF(N(Q1141)&gt;0,Q1141,MAX(1,H1141)))))</f>
        <v>20</v>
      </c>
      <c r="BW1141" s="53" t="n">
        <f aca="false">IF(BU1141="LOSE",1,0)</f>
        <v>0</v>
      </c>
      <c r="BX1141" s="53" t="n">
        <f aca="false">IF(AND(U1141="",OR(P1141="",P1141="LOSE"),T1141&lt;&gt;"",N(S1141)&lt;=0,ISNUMBER(MATCH(T1141,Parameter!$I$27:$I$29,0))),1,0)</f>
        <v>1</v>
      </c>
      <c r="BY1141" s="53" t="n">
        <f aca="false">IF(CL1141&gt;0,INDEX(Parameter!$H$5:$H$7,W1141)/INDEX(Parameter!$E$5:$E$7,W1141),IF(AND(BW1141=0,N(IFERROR(VLOOKUP(BU1141,'Gebinde-Kategorie'!$A$5:$N$45,14,0),0))&gt;0),VLOOKUP(BU1141,'Gebinde-Kategorie'!$A$5:$N$45,14,0)*10+Parameter!$M$23,Parameter!$M$24))</f>
        <v>155</v>
      </c>
      <c r="BZ1141" s="48" t="str">
        <f aca="false">IF(AND(Parameter!$B$19="Ja",E1141&lt;&gt;"",ISNUMBER(MATCH(E1141,Parameter!$I$35:$I$52,0))),VLOOKUP(E1141,Parameter!$I$35:$J$52,2,0),IFERROR(VLOOKUP(D1141,Parameter!$A$35:$C$64,2,0),"Nein"))</f>
        <v>2+3</v>
      </c>
      <c r="CA1141" s="52" t="n">
        <f aca="false">IF(BW1141=0,0,IF(N(S1141)&gt;0,S1141,IFERROR(VLOOKUP(D1141,Parameter!$A$35:$C$64,3,0)+0,0)))</f>
        <v>0</v>
      </c>
      <c r="CB1141" s="48" t="n">
        <f aca="false">IF(AA1141&lt;&gt;"",AA1141,Z1141)</f>
        <v>3</v>
      </c>
      <c r="CC1141" s="48" t="str">
        <f aca="false">IF(OR(CB1141=1,CB1141=2,CB1141=3),IF(Parameter!$E$27="Ja","LIFT",IF(CB1141=1,"L1","L23")),IF(CB1141="Aussen","Aussen","-"))</f>
        <v>LIFT</v>
      </c>
      <c r="CD1141" s="59" t="n">
        <f aca="false">IF(N(AB1141)&gt;0,AB1141,0)</f>
        <v>0</v>
      </c>
      <c r="CE1141" s="53" t="n">
        <f aca="false">IF(ISNUMBER(AE1141),1,0)</f>
        <v>0</v>
      </c>
      <c r="CF1141" s="50" t="n">
        <f aca="false">N(AE1141)</f>
        <v>0</v>
      </c>
      <c r="CG1141" s="50" t="n">
        <f aca="false">N(M1141)+N(N1141)</f>
        <v>5</v>
      </c>
      <c r="CH1141" s="50" t="n">
        <f aca="false">ROUNDUP(H1141/BV1141,0)</f>
        <v>1</v>
      </c>
      <c r="CI1141" s="50" t="n">
        <f aca="false">ROUNDUP(CF1141/BV1141,0)</f>
        <v>0</v>
      </c>
      <c r="CJ1141" s="53" t="n">
        <f aca="false">IF(BW1141=1,0,IFERROR(VLOOKUP(BU1141,'Gebinde-Kategorie'!$A$5:$N$45,5,0)+0,0))</f>
        <v>11</v>
      </c>
      <c r="CK1141" s="53" t="n">
        <f aca="false">IFERROR(IF(OR(CB1141=1,CB1141=2,CB1141=3),N(INDEX(Parameter!$I$5:$I$7,CB1141)),0),0)</f>
        <v>0</v>
      </c>
      <c r="CL1141" s="52" t="n">
        <f aca="false">IF(AND(Parameter!$B$21="Ja",ISNUMBER(W1141),N(X1141)&gt;0),IFERROR(N(INDEX(Parameter!$L$5:$L$7,W1141))*INDEX(Parameter!$E$5:$E$7,W1141)*X1141/SUMIFS($X$7:$X$1843,$W$7:$W$1843,W1141),0),0)</f>
        <v>0</v>
      </c>
    </row>
    <row r="1142" customFormat="false" ht="15" hidden="false" customHeight="false" outlineLevel="0" collapsed="false">
      <c r="A1142" s="48" t="s">
        <v>2069</v>
      </c>
      <c r="B1142" s="48" t="s">
        <v>2070</v>
      </c>
      <c r="C1142" s="48" t="s">
        <v>168</v>
      </c>
      <c r="D1142" s="48" t="s">
        <v>188</v>
      </c>
      <c r="E1142" s="48" t="s">
        <v>189</v>
      </c>
      <c r="F1142" s="48" t="s">
        <v>222</v>
      </c>
      <c r="G1142" s="49" t="n">
        <v>0.65</v>
      </c>
      <c r="H1142" s="50" t="n">
        <f aca="false">MAX(0,IF(AND(Parameter!$B$21="Ja",ISNUMBER(Y1142)),Y1142,IF(Parameter!$B$20="Jahresanfang 2025 + Export",BO1142+BN1142,BN1142)))</f>
        <v>118</v>
      </c>
      <c r="I1142" s="50" t="n">
        <f aca="false">H1142*G1142</f>
        <v>76.7</v>
      </c>
      <c r="J1142" s="50" t="n">
        <f aca="false">BQ1142*Parameter!$B$18</f>
        <v>595</v>
      </c>
      <c r="K1142" s="51" t="n">
        <v>564</v>
      </c>
      <c r="L1142" s="52" t="n">
        <v>1.05496453900709</v>
      </c>
      <c r="M1142" s="50" t="n">
        <v>34</v>
      </c>
      <c r="N1142" s="50" t="n">
        <v>600</v>
      </c>
      <c r="O1142" s="53" t="n">
        <v>21</v>
      </c>
      <c r="P1142" s="48" t="s">
        <v>237</v>
      </c>
      <c r="Q1142" s="50" t="n">
        <v>197</v>
      </c>
      <c r="R1142" s="53" t="n">
        <f aca="false">IF(BW1142=1,0,IFERROR(VLOOKUP(BU1142,'Gebinde-Kategorie'!$A$5:$N$45,13,0)+0,0))</f>
        <v>26</v>
      </c>
      <c r="S1142" s="54"/>
      <c r="T1142" s="55"/>
      <c r="U1142" s="55"/>
      <c r="V1142" s="55"/>
      <c r="W1142" s="48"/>
      <c r="X1142" s="50"/>
      <c r="Y1142" s="50"/>
      <c r="Z1142" s="48" t="n">
        <f aca="false">IF(A1142="","",IF(AND(Parameter!$B$21="Ja",ISNUMBER(W1142)),W1142,IF(BZ1142="2+3",IF(ISNUMBER(SEARCH("grosser Artikel",BR1142)),2,IFERROR(VLOOKUP(BU1142,Parameter!$F$35:$G$64,2,0),2)),IF(OR(BZ1142="Nein",BZ1142=""),"-",BZ1142))))</f>
        <v>3</v>
      </c>
      <c r="AA1142" s="55"/>
      <c r="AB1142" s="56"/>
      <c r="AC1142" s="50" t="n">
        <f aca="false">AT1142</f>
        <v>788</v>
      </c>
      <c r="AD1142" s="50" t="n">
        <f aca="false">MAX(AT1142,H1142)</f>
        <v>788</v>
      </c>
      <c r="AE1142" s="57"/>
      <c r="AF1142" s="50" t="n">
        <f aca="false">IF(LEFT(Cockpit!$C$5,1)="A",H1142,IF(CE1142=1,CF1142,IF(LEFT(Cockpit!$C$5,1)="B",AK1142,MAX(AK1142,H1142))))</f>
        <v>118</v>
      </c>
      <c r="AG1142" s="50" t="n">
        <f aca="false">IF(BW1142=1,0,ROUNDUP(AF1142/BV1142,0))</f>
        <v>1</v>
      </c>
      <c r="AH1142" s="52" t="n">
        <f aca="false">IF(CL1142&gt;0,CL1142*MAX(1,AF1142/X1142),IF(BW1142=1,IF(AF1142&lt;=0,0,CA1142*MAX(1,IF(H1142&gt;0,AF1142/H1142,1))),IF(R1142&gt;0,AG1142/R1142,0))/MAX(0.1,N(Parameter!$M$21)))</f>
        <v>0.0384615384615385</v>
      </c>
      <c r="AI1142" s="50" t="n">
        <f aca="false">AH1142*BY1142</f>
        <v>9.42307692307692</v>
      </c>
      <c r="AJ1142" s="50" t="n">
        <f aca="false">AF1142*G1142</f>
        <v>76.7</v>
      </c>
      <c r="AK1142" s="50" t="n">
        <f aca="false">ROUNDUP(MAX(J1142/IF(CD1142&gt;0,CD1142,MAX(0.1,N(Cockpit!$C$6))),CG1142)/BV1142,0)*BV1142</f>
        <v>788</v>
      </c>
      <c r="AL1142" s="51" t="n">
        <f aca="false">IF(AI1142&gt;0,J1142/AI1142,-1)</f>
        <v>63.1428571428571</v>
      </c>
      <c r="AM1142" s="51" t="n">
        <f aca="false">IF(AND(OR(CC1142="L1",CC1142="L23",CC1142="LIFT"),AI1142&gt;0),SUMIFS($AI$7:$AI$1843,$CC$7:$CC$1843,CC1142,$AL$7:$AL$1843,"&gt;"&amp;AL1142)+SUMIFS($AI$7:$AI$1843,$CC$7:$CC$1843,CC1142,$AL$7:$AL$1843,AL1142,$BT$7:$BT$1843,"&lt;="&amp;BT1142),"")</f>
        <v>961.583791208791</v>
      </c>
      <c r="AN1142" s="58" t="n">
        <f aca="false">IF(AM1142="",0,MAX(0,MIN(1,(IF(CC1142="L1",Parameter!$H$5,IF(CC1142="L23",Parameter!$H$6+Parameter!$H$7,Parameter!$H$5+Parameter!$H$6+Parameter!$H$7))-(AM1142-AI1142))/AI1142)))</f>
        <v>1</v>
      </c>
      <c r="AO1142" s="50" t="n">
        <f aca="false">IF(LEFT(Cockpit!$I$5,1)="A",H1142,IF(CE1142=1,CF1142,IF(LEFT(Cockpit!$I$5,1)="B",AT1142,MAX(AT1142,H1142))))</f>
        <v>788</v>
      </c>
      <c r="AP1142" s="50" t="n">
        <f aca="false">IF(BW1142=1,0,ROUNDUP(AO1142/BV1142,0))</f>
        <v>4</v>
      </c>
      <c r="AQ1142" s="52" t="n">
        <f aca="false">IF(CL1142&gt;0,CL1142*MAX(1,AO1142/X1142),IF(BW1142=1,IF(AO1142&lt;=0,0,CA1142*MAX(1,IF(H1142&gt;0,AO1142/H1142,1))),IF(R1142&gt;0,AP1142/R1142,0))/MAX(0.1,N(Parameter!$M$21)))</f>
        <v>0.153846153846154</v>
      </c>
      <c r="AR1142" s="50" t="n">
        <f aca="false">AQ1142*BY1142</f>
        <v>37.6923076923077</v>
      </c>
      <c r="AS1142" s="50" t="n">
        <f aca="false">AO1142*G1142</f>
        <v>512.2</v>
      </c>
      <c r="AT1142" s="50" t="n">
        <f aca="false">ROUNDUP(MAX(J1142/IF(CD1142&gt;0,CD1142,MAX(0.1,N(Cockpit!$I$6))),CG1142)/BV1142,0)*BV1142</f>
        <v>788</v>
      </c>
      <c r="AU1142" s="51" t="n">
        <f aca="false">IF(AR1142&gt;0,J1142/AR1142,-1)</f>
        <v>15.7857142857143</v>
      </c>
      <c r="AV1142" s="51" t="n">
        <f aca="false">IF(AND(OR(CC1142="L1",CC1142="L23",CC1142="LIFT"),AR1142&gt;0),SUMIFS($AR$7:$AR$1843,$CC$7:$CC$1843,CC1142,$AU$7:$AU$1843,"&gt;"&amp;AU1142)+SUMIFS($AR$7:$AR$1843,$CC$7:$CC$1843,CC1142,$AU$7:$AU$1843,AU1142,$BT$7:$BT$1843,"&lt;="&amp;BT1142),"")</f>
        <v>3216.89148351648</v>
      </c>
      <c r="AW1142" s="58" t="n">
        <f aca="false">IF(AV1142="",0,MAX(0,MIN(1,(IF(CC1142="L1",Parameter!$H$5,IF(CC1142="L23",Parameter!$H$6+Parameter!$H$7,Parameter!$H$5+Parameter!$H$6+Parameter!$H$7))-(AV1142-AR1142))/AR1142)))</f>
        <v>1</v>
      </c>
      <c r="AX1142" s="50" t="n">
        <f aca="false">IF(LEFT(Cockpit!$O$5,1)="A",H1142,IF(CE1142=1,CF1142,IF(LEFT(Cockpit!$O$5,1)="B",BC1142,MAX(BC1142,H1142))))</f>
        <v>788</v>
      </c>
      <c r="AY1142" s="50" t="n">
        <f aca="false">IF(BW1142=1,0,ROUNDUP(AX1142/BV1142,0))</f>
        <v>4</v>
      </c>
      <c r="AZ1142" s="52" t="n">
        <f aca="false">IF(CL1142&gt;0,CL1142*MAX(1,AX1142/X1142),IF(BW1142=1,IF(AX1142&lt;=0,0,CA1142*MAX(1,IF(H1142&gt;0,AX1142/H1142,1))),IF(R1142&gt;0,AY1142/R1142,0))/MAX(0.1,N(Parameter!$M$21)))</f>
        <v>0.153846153846154</v>
      </c>
      <c r="BA1142" s="50" t="n">
        <f aca="false">AZ1142*BY1142</f>
        <v>37.6923076923077</v>
      </c>
      <c r="BB1142" s="50" t="n">
        <f aca="false">AX1142*G1142</f>
        <v>512.2</v>
      </c>
      <c r="BC1142" s="50" t="n">
        <f aca="false">ROUNDUP(MAX(J1142/IF(CD1142&gt;0,CD1142,MAX(0.1,N(Cockpit!$O$6))),CG1142)/BV1142,0)*BV1142</f>
        <v>788</v>
      </c>
      <c r="BD1142" s="51" t="n">
        <f aca="false">IF(BA1142&gt;0,J1142/BA1142,-1)</f>
        <v>15.7857142857143</v>
      </c>
      <c r="BE1142" s="51" t="n">
        <f aca="false">IF(AND(OR(CC1142="L1",CC1142="L23",CC1142="LIFT"),BA1142&gt;0),SUMIFS($BA$7:$BA$1843,$CC$7:$CC$1843,CC1142,$BD$7:$BD$1843,"&gt;"&amp;BD1142)+SUMIFS($BA$7:$BA$1843,$CC$7:$CC$1843,CC1142,$BD$7:$BD$1843,BD1142,$BT$7:$BT$1843,"&lt;="&amp;BT1142),"")</f>
        <v>2891.33058608059</v>
      </c>
      <c r="BF1142" s="58" t="n">
        <f aca="false">IF(BE1142="",0,MAX(0,MIN(1,(IF(CC1142="L1",Parameter!$H$5,IF(CC1142="L23",Parameter!$H$6+Parameter!$H$7,Parameter!$H$5+Parameter!$H$6+Parameter!$H$7))-(BE1142-BA1142))/BA1142)))</f>
        <v>1</v>
      </c>
      <c r="BG1142" s="48" t="str">
        <f aca="false">IF(AI1142&lt;=0,"",IF(CC1142="Aussen","Aussenlager",IF(CC1142="-","Nicht im Lift",IF(AN1142&gt;=1,"Lift",IF(AN1142&lt;=0,"Aussenlager","teilweise")))))</f>
        <v>Lift</v>
      </c>
      <c r="BH1142" s="48" t="str">
        <f aca="false">IF(AR1142&lt;=0,"",IF(CC1142="Aussen","Aussenlager",IF(CC1142="-","Nicht im Lift",IF(AW1142&gt;=1,"Lift",IF(AW1142&lt;=0,"Aussenlager","teilweise")))))</f>
        <v>Lift</v>
      </c>
      <c r="BI1142" s="48" t="str">
        <f aca="false">IF(BA1142&lt;=0,"",IF(CC1142="Aussen","Aussenlager",IF(CC1142="-","Nicht im Lift",IF(BF1142&gt;=1,"Lift",IF(BF1142&lt;=0,"Aussenlager","teilweise")))))</f>
        <v>Lift</v>
      </c>
      <c r="BJ1142" s="48" t="str">
        <f aca="false">IF(A1142="","",IF(BS1142=1,"Neu; ","")&amp;IF(AND(BS1142=0,BN1142&lt;0),"negativer Bestand (Export "&amp;BN1142&amp;"); ","")&amp;IF(J1142&lt;=0,"Kein Verbrauch; ","")&amp;IF(CL1142&gt;0,"Lift "&amp;W1142&amp;" lt. Liftbericht (Fach "&amp;X1142&amp;" Stk); ",IF(BX1142=1,"Gebinde geschätzt ("&amp;T1142&amp;"); ",IF(BW1142=1,"Lose – Tablare geschätzt; ","")))&amp;IF(H1142&gt;AT1142,"Überbestand "&amp;ROUND(H1142-AT1142,0)&amp;" Stk / CHF "&amp;ROUND((H1142-AT1142)*G1142,0)&amp;"; ","")&amp;IF(AND(CE1142=1,CF1142&lt;CG1142),"MAX &lt; MB+LG; ","")&amp;IF(AND(CK1142&gt;0,CJ1142*10&gt;CK1142),"zu hoch für Tablar; ","")&amp;IF(AND(BS1142=0,OR(CE1142=1,AA1142&lt;&gt;"",U1142&lt;&gt;"",V1142&lt;&gt;"",AB1142&lt;&gt;"")),"manuell übersteuert; ","")&amp;IF(AND(BW1142=0,R1142=0),"Gebinde unbekannt / Stellmass fehlt; ","")&amp;IF(AND(BW1142=0,N(V1142)&lt;=0,N(Q1142)&lt;=0),"Menge pro Gebinde fehlt (Ist = 1 Gebinde); ","")&amp;BR1142)</f>
        <v>negativer Bestand (Export -453); </v>
      </c>
      <c r="BK1142" s="48"/>
      <c r="BL1142" s="48"/>
      <c r="BM1142" s="55"/>
      <c r="BN1142" s="50" t="n">
        <v>-453</v>
      </c>
      <c r="BO1142" s="50" t="n">
        <v>571</v>
      </c>
      <c r="BP1142" s="49" t="n">
        <v>-288.819999999999</v>
      </c>
      <c r="BQ1142" s="50" t="n">
        <v>595</v>
      </c>
      <c r="BR1142" s="48"/>
      <c r="BS1142" s="53" t="n">
        <v>0</v>
      </c>
      <c r="BT1142" s="53" t="n">
        <v>1142</v>
      </c>
      <c r="BU1142" s="48" t="str">
        <f aca="false">IF(U1142&lt;&gt;"",UPPER(TRIM(U1142)),IF(BX1142=1,UPPER(VLOOKUP(T1142,Parameter!$I$27:$K$29,2,0)),IF(P1142="","LOSE",P1142)))</f>
        <v>S52</v>
      </c>
      <c r="BV1142" s="50" t="n">
        <f aca="false">IF(BU1142="LOSE",1,IF(N(V1142)&gt;0,V1142,IF(BX1142=1,MAX(1,N(VLOOKUP(T1142,Parameter!$I$27:$K$29,3,0)),H1142,N(N1142)),IF(N(Q1142)&gt;0,Q1142,MAX(1,H1142)))))</f>
        <v>197</v>
      </c>
      <c r="BW1142" s="53" t="n">
        <f aca="false">IF(BU1142="LOSE",1,0)</f>
        <v>0</v>
      </c>
      <c r="BX1142" s="53" t="n">
        <f aca="false">IF(AND(U1142="",OR(P1142="",P1142="LOSE"),T1142&lt;&gt;"",N(S1142)&lt;=0,ISNUMBER(MATCH(T1142,Parameter!$I$27:$I$29,0))),1,0)</f>
        <v>0</v>
      </c>
      <c r="BY1142" s="53" t="n">
        <f aca="false">IF(CL1142&gt;0,INDEX(Parameter!$H$5:$H$7,W1142)/INDEX(Parameter!$E$5:$E$7,W1142),IF(AND(BW1142=0,N(IFERROR(VLOOKUP(BU1142,'Gebinde-Kategorie'!$A$5:$N$45,14,0),0))&gt;0),VLOOKUP(BU1142,'Gebinde-Kategorie'!$A$5:$N$45,14,0)*10+Parameter!$M$23,Parameter!$M$24))</f>
        <v>245</v>
      </c>
      <c r="BZ1142" s="48" t="str">
        <f aca="false">IF(AND(Parameter!$B$19="Ja",E1142&lt;&gt;"",ISNUMBER(MATCH(E1142,Parameter!$I$35:$I$52,0))),VLOOKUP(E1142,Parameter!$I$35:$J$52,2,0),IFERROR(VLOOKUP(D1142,Parameter!$A$35:$C$64,2,0),"Nein"))</f>
        <v>2+3</v>
      </c>
      <c r="CA1142" s="52" t="n">
        <f aca="false">IF(BW1142=0,0,IF(N(S1142)&gt;0,S1142,IFERROR(VLOOKUP(D1142,Parameter!$A$35:$C$64,3,0)+0,0)))</f>
        <v>0</v>
      </c>
      <c r="CB1142" s="48" t="n">
        <f aca="false">IF(AA1142&lt;&gt;"",AA1142,Z1142)</f>
        <v>3</v>
      </c>
      <c r="CC1142" s="48" t="str">
        <f aca="false">IF(OR(CB1142=1,CB1142=2,CB1142=3),IF(Parameter!$E$27="Ja","LIFT",IF(CB1142=1,"L1","L23")),IF(CB1142="Aussen","Aussen","-"))</f>
        <v>LIFT</v>
      </c>
      <c r="CD1142" s="59" t="n">
        <f aca="false">IF(N(AB1142)&gt;0,AB1142,0)</f>
        <v>0</v>
      </c>
      <c r="CE1142" s="53" t="n">
        <f aca="false">IF(ISNUMBER(AE1142),1,0)</f>
        <v>0</v>
      </c>
      <c r="CF1142" s="50" t="n">
        <f aca="false">N(AE1142)</f>
        <v>0</v>
      </c>
      <c r="CG1142" s="50" t="n">
        <f aca="false">N(M1142)+N(N1142)</f>
        <v>634</v>
      </c>
      <c r="CH1142" s="50" t="n">
        <f aca="false">ROUNDUP(H1142/BV1142,0)</f>
        <v>1</v>
      </c>
      <c r="CI1142" s="50" t="n">
        <f aca="false">ROUNDUP(CF1142/BV1142,0)</f>
        <v>0</v>
      </c>
      <c r="CJ1142" s="53" t="n">
        <f aca="false">IF(BW1142=1,0,IFERROR(VLOOKUP(BU1142,'Gebinde-Kategorie'!$A$5:$N$45,5,0)+0,0))</f>
        <v>21</v>
      </c>
      <c r="CK1142" s="53" t="n">
        <f aca="false">IFERROR(IF(OR(CB1142=1,CB1142=2,CB1142=3),N(INDEX(Parameter!$I$5:$I$7,CB1142)),0),0)</f>
        <v>0</v>
      </c>
      <c r="CL1142" s="52" t="n">
        <f aca="false">IF(AND(Parameter!$B$21="Ja",ISNUMBER(W1142),N(X1142)&gt;0),IFERROR(N(INDEX(Parameter!$L$5:$L$7,W1142))*INDEX(Parameter!$E$5:$E$7,W1142)*X1142/SUMIFS($X$7:$X$1843,$W$7:$W$1843,W1142),0),0)</f>
        <v>0</v>
      </c>
    </row>
    <row r="1143" customFormat="false" ht="15" hidden="false" customHeight="false" outlineLevel="0" collapsed="false">
      <c r="A1143" s="48" t="s">
        <v>2071</v>
      </c>
      <c r="B1143" s="48" t="s">
        <v>1963</v>
      </c>
      <c r="C1143" s="48" t="s">
        <v>168</v>
      </c>
      <c r="D1143" s="48" t="s">
        <v>177</v>
      </c>
      <c r="E1143" s="48"/>
      <c r="F1143" s="48" t="s">
        <v>222</v>
      </c>
      <c r="G1143" s="49" t="n">
        <v>288.93</v>
      </c>
      <c r="H1143" s="50" t="n">
        <f aca="false">MAX(0,IF(AND(Parameter!$B$21="Ja",ISNUMBER(Y1143)),Y1143,IF(Parameter!$B$20="Jahresanfang 2025 + Export",BO1143+BN1143,BN1143)))</f>
        <v>13</v>
      </c>
      <c r="I1143" s="50" t="n">
        <f aca="false">H1143*G1143</f>
        <v>3756.09</v>
      </c>
      <c r="J1143" s="50" t="n">
        <f aca="false">BQ1143*Parameter!$B$18</f>
        <v>0</v>
      </c>
      <c r="K1143" s="51" t="n">
        <v>13.5</v>
      </c>
      <c r="L1143" s="52" t="n">
        <v>0</v>
      </c>
      <c r="M1143" s="50" t="n">
        <v>0</v>
      </c>
      <c r="N1143" s="50" t="n">
        <v>1</v>
      </c>
      <c r="O1143" s="53" t="n">
        <v>84</v>
      </c>
      <c r="P1143" s="48" t="s">
        <v>178</v>
      </c>
      <c r="Q1143" s="50" t="n">
        <v>15</v>
      </c>
      <c r="R1143" s="53" t="n">
        <f aca="false">IF(BW1143=1,0,IFERROR(VLOOKUP(BU1143,'Gebinde-Kategorie'!$A$5:$N$45,13,0)+0,0))</f>
        <v>6</v>
      </c>
      <c r="S1143" s="54"/>
      <c r="T1143" s="55"/>
      <c r="U1143" s="55"/>
      <c r="V1143" s="55"/>
      <c r="W1143" s="48"/>
      <c r="X1143" s="50"/>
      <c r="Y1143" s="50"/>
      <c r="Z1143" s="48" t="n">
        <f aca="false">IF(A1143="","",IF(AND(Parameter!$B$21="Ja",ISNUMBER(W1143)),W1143,IF(BZ1143="2+3",IF(ISNUMBER(SEARCH("grosser Artikel",BR1143)),2,IFERROR(VLOOKUP(BU1143,Parameter!$F$35:$G$64,2,0),2)),IF(OR(BZ1143="Nein",BZ1143=""),"-",BZ1143))))</f>
        <v>2</v>
      </c>
      <c r="AA1143" s="55"/>
      <c r="AB1143" s="56"/>
      <c r="AC1143" s="50" t="n">
        <f aca="false">AT1143</f>
        <v>15</v>
      </c>
      <c r="AD1143" s="50" t="n">
        <f aca="false">MAX(AT1143,H1143)</f>
        <v>15</v>
      </c>
      <c r="AE1143" s="57"/>
      <c r="AF1143" s="50" t="n">
        <f aca="false">IF(LEFT(Cockpit!$C$5,1)="A",H1143,IF(CE1143=1,CF1143,IF(LEFT(Cockpit!$C$5,1)="B",AK1143,MAX(AK1143,H1143))))</f>
        <v>13</v>
      </c>
      <c r="AG1143" s="50" t="n">
        <f aca="false">IF(BW1143=1,0,ROUNDUP(AF1143/BV1143,0))</f>
        <v>1</v>
      </c>
      <c r="AH1143" s="52" t="n">
        <f aca="false">IF(CL1143&gt;0,CL1143*MAX(1,AF1143/X1143),IF(BW1143=1,IF(AF1143&lt;=0,0,CA1143*MAX(1,IF(H1143&gt;0,AF1143/H1143,1))),IF(R1143&gt;0,AG1143/R1143,0))/MAX(0.1,N(Parameter!$M$21)))</f>
        <v>0.166666666666667</v>
      </c>
      <c r="AI1143" s="50" t="n">
        <f aca="false">AH1143*BY1143</f>
        <v>39.1666666666667</v>
      </c>
      <c r="AJ1143" s="50" t="n">
        <f aca="false">AF1143*G1143</f>
        <v>3756.09</v>
      </c>
      <c r="AK1143" s="50" t="n">
        <f aca="false">ROUNDUP(MAX(J1143/IF(CD1143&gt;0,CD1143,MAX(0.1,N(Cockpit!$C$6))),CG1143)/BV1143,0)*BV1143</f>
        <v>15</v>
      </c>
      <c r="AL1143" s="51" t="n">
        <f aca="false">IF(AI1143&gt;0,J1143/AI1143,-1)</f>
        <v>0</v>
      </c>
      <c r="AM1143" s="51" t="n">
        <f aca="false">IF(AND(OR(CC1143="L1",CC1143="L23",CC1143="LIFT"),AI1143&gt;0),SUMIFS($AI$7:$AI$1843,$CC$7:$CC$1843,CC1143,$AL$7:$AL$1843,"&gt;"&amp;AL1143)+SUMIFS($AI$7:$AI$1843,$CC$7:$CC$1843,CC1143,$AL$7:$AL$1843,AL1143,$BT$7:$BT$1843,"&lt;="&amp;BT1143),"")</f>
        <v>29285.4891791354</v>
      </c>
      <c r="AN1143" s="58" t="n">
        <f aca="false">IF(AM1143="",0,MAX(0,MIN(1,(IF(CC1143="L1",Parameter!$H$5,IF(CC1143="L23",Parameter!$H$6+Parameter!$H$7,Parameter!$H$5+Parameter!$H$6+Parameter!$H$7))-(AM1143-AI1143))/AI1143)))</f>
        <v>1</v>
      </c>
      <c r="AO1143" s="50" t="n">
        <f aca="false">IF(LEFT(Cockpit!$I$5,1)="A",H1143,IF(CE1143=1,CF1143,IF(LEFT(Cockpit!$I$5,1)="B",AT1143,MAX(AT1143,H1143))))</f>
        <v>15</v>
      </c>
      <c r="AP1143" s="50" t="n">
        <f aca="false">IF(BW1143=1,0,ROUNDUP(AO1143/BV1143,0))</f>
        <v>1</v>
      </c>
      <c r="AQ1143" s="52" t="n">
        <f aca="false">IF(CL1143&gt;0,CL1143*MAX(1,AO1143/X1143),IF(BW1143=1,IF(AO1143&lt;=0,0,CA1143*MAX(1,IF(H1143&gt;0,AO1143/H1143,1))),IF(R1143&gt;0,AP1143/R1143,0))/MAX(0.1,N(Parameter!$M$21)))</f>
        <v>0.166666666666667</v>
      </c>
      <c r="AR1143" s="50" t="n">
        <f aca="false">AQ1143*BY1143</f>
        <v>39.1666666666667</v>
      </c>
      <c r="AS1143" s="50" t="n">
        <f aca="false">AO1143*G1143</f>
        <v>4333.95</v>
      </c>
      <c r="AT1143" s="50" t="n">
        <f aca="false">ROUNDUP(MAX(J1143/IF(CD1143&gt;0,CD1143,MAX(0.1,N(Cockpit!$I$6))),CG1143)/BV1143,0)*BV1143</f>
        <v>15</v>
      </c>
      <c r="AU1143" s="51" t="n">
        <f aca="false">IF(AR1143&gt;0,J1143/AR1143,-1)</f>
        <v>0</v>
      </c>
      <c r="AV1143" s="51" t="n">
        <f aca="false">IF(AND(OR(CC1143="L1",CC1143="L23",CC1143="LIFT"),AR1143&gt;0),SUMIFS($AR$7:$AR$1843,$CC$7:$CC$1843,CC1143,$AU$7:$AU$1843,"&gt;"&amp;AU1143)+SUMIFS($AR$7:$AR$1843,$CC$7:$CC$1843,CC1143,$AU$7:$AU$1843,AU1143,$BT$7:$BT$1843,"&lt;="&amp;BT1143),"")</f>
        <v>41036.729403365</v>
      </c>
      <c r="AW1143" s="58" t="n">
        <f aca="false">IF(AV1143="",0,MAX(0,MIN(1,(IF(CC1143="L1",Parameter!$H$5,IF(CC1143="L23",Parameter!$H$6+Parameter!$H$7,Parameter!$H$5+Parameter!$H$6+Parameter!$H$7))-(AV1143-AR1143))/AR1143)))</f>
        <v>0</v>
      </c>
      <c r="AX1143" s="50" t="n">
        <f aca="false">IF(LEFT(Cockpit!$O$5,1)="A",H1143,IF(CE1143=1,CF1143,IF(LEFT(Cockpit!$O$5,1)="B",BC1143,MAX(BC1143,H1143))))</f>
        <v>15</v>
      </c>
      <c r="AY1143" s="50" t="n">
        <f aca="false">IF(BW1143=1,0,ROUNDUP(AX1143/BV1143,0))</f>
        <v>1</v>
      </c>
      <c r="AZ1143" s="52" t="n">
        <f aca="false">IF(CL1143&gt;0,CL1143*MAX(1,AX1143/X1143),IF(BW1143=1,IF(AX1143&lt;=0,0,CA1143*MAX(1,IF(H1143&gt;0,AX1143/H1143,1))),IF(R1143&gt;0,AY1143/R1143,0))/MAX(0.1,N(Parameter!$M$21)))</f>
        <v>0.166666666666667</v>
      </c>
      <c r="BA1143" s="50" t="n">
        <f aca="false">AZ1143*BY1143</f>
        <v>39.1666666666667</v>
      </c>
      <c r="BB1143" s="50" t="n">
        <f aca="false">AX1143*G1143</f>
        <v>4333.95</v>
      </c>
      <c r="BC1143" s="50" t="n">
        <f aca="false">ROUNDUP(MAX(J1143/IF(CD1143&gt;0,CD1143,MAX(0.1,N(Cockpit!$O$6))),CG1143)/BV1143,0)*BV1143</f>
        <v>15</v>
      </c>
      <c r="BD1143" s="51" t="n">
        <f aca="false">IF(BA1143&gt;0,J1143/BA1143,-1)</f>
        <v>0</v>
      </c>
      <c r="BE1143" s="51" t="n">
        <f aca="false">IF(AND(OR(CC1143="L1",CC1143="L23",CC1143="LIFT"),BA1143&gt;0),SUMIFS($BA$7:$BA$1843,$CC$7:$CC$1843,CC1143,$BD$7:$BD$1843,"&gt;"&amp;BD1143)+SUMIFS($BA$7:$BA$1843,$CC$7:$CC$1843,CC1143,$BD$7:$BD$1843,BD1143,$BT$7:$BT$1843,"&lt;="&amp;BT1143),"")</f>
        <v>37711.7414452309</v>
      </c>
      <c r="BF1143" s="58" t="n">
        <f aca="false">IF(BE1143="",0,MAX(0,MIN(1,(IF(CC1143="L1",Parameter!$H$5,IF(CC1143="L23",Parameter!$H$6+Parameter!$H$7,Parameter!$H$5+Parameter!$H$6+Parameter!$H$7))-(BE1143-BA1143))/BA1143)))</f>
        <v>0</v>
      </c>
      <c r="BG1143" s="48" t="str">
        <f aca="false">IF(AI1143&lt;=0,"",IF(CC1143="Aussen","Aussenlager",IF(CC1143="-","Nicht im Lift",IF(AN1143&gt;=1,"Lift",IF(AN1143&lt;=0,"Aussenlager","teilweise")))))</f>
        <v>Lift</v>
      </c>
      <c r="BH1143" s="48" t="str">
        <f aca="false">IF(AR1143&lt;=0,"",IF(CC1143="Aussen","Aussenlager",IF(CC1143="-","Nicht im Lift",IF(AW1143&gt;=1,"Lift",IF(AW1143&lt;=0,"Aussenlager","teilweise")))))</f>
        <v>Aussenlager</v>
      </c>
      <c r="BI1143" s="48" t="str">
        <f aca="false">IF(BA1143&lt;=0,"",IF(CC1143="Aussen","Aussenlager",IF(CC1143="-","Nicht im Lift",IF(BF1143&gt;=1,"Lift",IF(BF1143&lt;=0,"Aussenlager","teilweise")))))</f>
        <v>Aussenlager</v>
      </c>
      <c r="BJ1143" s="48" t="str">
        <f aca="false">IF(A1143="","",IF(BS1143=1,"Neu; ","")&amp;IF(AND(BS1143=0,BN1143&lt;0),"negativer Bestand (Export "&amp;BN1143&amp;"); ","")&amp;IF(J1143&lt;=0,"Kein Verbrauch; ","")&amp;IF(CL1143&gt;0,"Lift "&amp;W1143&amp;" lt. Liftbericht (Fach "&amp;X1143&amp;" Stk); ",IF(BX1143=1,"Gebinde geschätzt ("&amp;T1143&amp;"); ",IF(BW1143=1,"Lose – Tablare geschätzt; ","")))&amp;IF(H1143&gt;AT1143,"Überbestand "&amp;ROUND(H1143-AT1143,0)&amp;" Stk / CHF "&amp;ROUND((H1143-AT1143)*G1143,0)&amp;"; ","")&amp;IF(AND(CE1143=1,CF1143&lt;CG1143),"MAX &lt; MB+LG; ","")&amp;IF(AND(CK1143&gt;0,CJ1143*10&gt;CK1143),"zu hoch für Tablar; ","")&amp;IF(AND(BS1143=0,OR(CE1143=1,AA1143&lt;&gt;"",U1143&lt;&gt;"",V1143&lt;&gt;"",AB1143&lt;&gt;"")),"manuell übersteuert; ","")&amp;IF(AND(BW1143=0,R1143=0),"Gebinde unbekannt / Stellmass fehlt; ","")&amp;IF(AND(BW1143=0,N(V1143)&lt;=0,N(Q1143)&lt;=0),"Menge pro Gebinde fehlt (Ist = 1 Gebinde); ","")&amp;BR1143)</f>
        <v>negativer Bestand (Export -1); Kein Verbrauch; Überbestand</v>
      </c>
      <c r="BK1143" s="48"/>
      <c r="BL1143" s="48"/>
      <c r="BM1143" s="55"/>
      <c r="BN1143" s="50" t="n">
        <v>-1</v>
      </c>
      <c r="BO1143" s="50" t="n">
        <v>14</v>
      </c>
      <c r="BP1143" s="49" t="n">
        <v>-288.93</v>
      </c>
      <c r="BQ1143" s="50" t="n">
        <v>0</v>
      </c>
      <c r="BR1143" s="48" t="s">
        <v>396</v>
      </c>
      <c r="BS1143" s="53" t="n">
        <v>0</v>
      </c>
      <c r="BT1143" s="53" t="n">
        <v>1143</v>
      </c>
      <c r="BU1143" s="48" t="str">
        <f aca="false">IF(U1143&lt;&gt;"",UPPER(TRIM(U1143)),IF(BX1143=1,UPPER(VLOOKUP(T1143,Parameter!$I$27:$K$29,2,0)),IF(P1143="","LOSE",P1143)))</f>
        <v>S71</v>
      </c>
      <c r="BV1143" s="50" t="n">
        <f aca="false">IF(BU1143="LOSE",1,IF(N(V1143)&gt;0,V1143,IF(BX1143=1,MAX(1,N(VLOOKUP(T1143,Parameter!$I$27:$K$29,3,0)),H1143,N(N1143)),IF(N(Q1143)&gt;0,Q1143,MAX(1,H1143)))))</f>
        <v>15</v>
      </c>
      <c r="BW1143" s="53" t="n">
        <f aca="false">IF(BU1143="LOSE",1,0)</f>
        <v>0</v>
      </c>
      <c r="BX1143" s="53" t="n">
        <f aca="false">IF(AND(U1143="",OR(P1143="",P1143="LOSE"),T1143&lt;&gt;"",N(S1143)&lt;=0,ISNUMBER(MATCH(T1143,Parameter!$I$27:$I$29,0))),1,0)</f>
        <v>0</v>
      </c>
      <c r="BY1143" s="53" t="n">
        <f aca="false">IF(CL1143&gt;0,INDEX(Parameter!$H$5:$H$7,W1143)/INDEX(Parameter!$E$5:$E$7,W1143),IF(AND(BW1143=0,N(IFERROR(VLOOKUP(BU1143,'Gebinde-Kategorie'!$A$5:$N$45,14,0),0))&gt;0),VLOOKUP(BU1143,'Gebinde-Kategorie'!$A$5:$N$45,14,0)*10+Parameter!$M$23,Parameter!$M$24))</f>
        <v>235</v>
      </c>
      <c r="BZ1143" s="48" t="str">
        <f aca="false">IF(AND(Parameter!$B$19="Ja",E1143&lt;&gt;"",ISNUMBER(MATCH(E1143,Parameter!$I$35:$I$52,0))),VLOOKUP(E1143,Parameter!$I$35:$J$52,2,0),IFERROR(VLOOKUP(D1143,Parameter!$A$35:$C$64,2,0),"Nein"))</f>
        <v>2+3</v>
      </c>
      <c r="CA1143" s="52" t="n">
        <f aca="false">IF(BW1143=0,0,IF(N(S1143)&gt;0,S1143,IFERROR(VLOOKUP(D1143,Parameter!$A$35:$C$64,3,0)+0,0)))</f>
        <v>0</v>
      </c>
      <c r="CB1143" s="48" t="n">
        <f aca="false">IF(AA1143&lt;&gt;"",AA1143,Z1143)</f>
        <v>2</v>
      </c>
      <c r="CC1143" s="48" t="str">
        <f aca="false">IF(OR(CB1143=1,CB1143=2,CB1143=3),IF(Parameter!$E$27="Ja","LIFT",IF(CB1143=1,"L1","L23")),IF(CB1143="Aussen","Aussen","-"))</f>
        <v>LIFT</v>
      </c>
      <c r="CD1143" s="59" t="n">
        <f aca="false">IF(N(AB1143)&gt;0,AB1143,0)</f>
        <v>0</v>
      </c>
      <c r="CE1143" s="53" t="n">
        <f aca="false">IF(ISNUMBER(AE1143),1,0)</f>
        <v>0</v>
      </c>
      <c r="CF1143" s="50" t="n">
        <f aca="false">N(AE1143)</f>
        <v>0</v>
      </c>
      <c r="CG1143" s="50" t="n">
        <f aca="false">N(M1143)+N(N1143)</f>
        <v>1</v>
      </c>
      <c r="CH1143" s="50" t="n">
        <f aca="false">ROUNDUP(H1143/BV1143,0)</f>
        <v>1</v>
      </c>
      <c r="CI1143" s="50" t="n">
        <f aca="false">ROUNDUP(CF1143/BV1143,0)</f>
        <v>0</v>
      </c>
      <c r="CJ1143" s="53" t="n">
        <f aca="false">IF(BW1143=1,0,IFERROR(VLOOKUP(BU1143,'Gebinde-Kategorie'!$A$5:$N$45,5,0)+0,0))</f>
        <v>20</v>
      </c>
      <c r="CK1143" s="53" t="n">
        <f aca="false">IFERROR(IF(OR(CB1143=1,CB1143=2,CB1143=3),N(INDEX(Parameter!$I$5:$I$7,CB1143)),0),0)</f>
        <v>0</v>
      </c>
      <c r="CL1143" s="52" t="n">
        <f aca="false">IF(AND(Parameter!$B$21="Ja",ISNUMBER(W1143),N(X1143)&gt;0),IFERROR(N(INDEX(Parameter!$L$5:$L$7,W1143))*INDEX(Parameter!$E$5:$E$7,W1143)*X1143/SUMIFS($X$7:$X$1843,$W$7:$W$1843,W1143),0),0)</f>
        <v>0</v>
      </c>
    </row>
    <row r="1144" customFormat="false" ht="15" hidden="false" customHeight="false" outlineLevel="0" collapsed="false">
      <c r="A1144" s="48" t="s">
        <v>2072</v>
      </c>
      <c r="B1144" s="48" t="s">
        <v>563</v>
      </c>
      <c r="C1144" s="48" t="s">
        <v>168</v>
      </c>
      <c r="D1144" s="48" t="s">
        <v>188</v>
      </c>
      <c r="E1144" s="48" t="s">
        <v>189</v>
      </c>
      <c r="F1144" s="48" t="s">
        <v>222</v>
      </c>
      <c r="G1144" s="49" t="n">
        <v>11.3</v>
      </c>
      <c r="H1144" s="50" t="n">
        <f aca="false">MAX(0,IF(AND(Parameter!$B$21="Ja",ISNUMBER(Y1144)),Y1144,IF(Parameter!$B$20="Jahresanfang 2025 + Export",BO1144+BN1144,BN1144)))</f>
        <v>119</v>
      </c>
      <c r="I1144" s="50" t="n">
        <f aca="false">H1144*G1144</f>
        <v>1344.7</v>
      </c>
      <c r="J1144" s="50" t="n">
        <f aca="false">BQ1144*Parameter!$B$18</f>
        <v>12</v>
      </c>
      <c r="K1144" s="51" t="n">
        <v>136.5</v>
      </c>
      <c r="L1144" s="52" t="n">
        <v>0.0879120879120879</v>
      </c>
      <c r="M1144" s="50" t="n">
        <v>1</v>
      </c>
      <c r="N1144" s="50" t="n">
        <v>20</v>
      </c>
      <c r="O1144" s="53" t="n">
        <v>28</v>
      </c>
      <c r="P1144" s="48" t="s">
        <v>237</v>
      </c>
      <c r="Q1144" s="50" t="n">
        <v>41</v>
      </c>
      <c r="R1144" s="53" t="n">
        <f aca="false">IF(BW1144=1,0,IFERROR(VLOOKUP(BU1144,'Gebinde-Kategorie'!$A$5:$N$45,13,0)+0,0))</f>
        <v>26</v>
      </c>
      <c r="S1144" s="54"/>
      <c r="T1144" s="55"/>
      <c r="U1144" s="55"/>
      <c r="V1144" s="55"/>
      <c r="W1144" s="48"/>
      <c r="X1144" s="50"/>
      <c r="Y1144" s="50"/>
      <c r="Z1144" s="48" t="n">
        <f aca="false">IF(A1144="","",IF(AND(Parameter!$B$21="Ja",ISNUMBER(W1144)),W1144,IF(BZ1144="2+3",IF(ISNUMBER(SEARCH("grosser Artikel",BR1144)),2,IFERROR(VLOOKUP(BU1144,Parameter!$F$35:$G$64,2,0),2)),IF(OR(BZ1144="Nein",BZ1144=""),"-",BZ1144))))</f>
        <v>3</v>
      </c>
      <c r="AA1144" s="55"/>
      <c r="AB1144" s="56"/>
      <c r="AC1144" s="50" t="n">
        <f aca="false">AT1144</f>
        <v>41</v>
      </c>
      <c r="AD1144" s="50" t="n">
        <f aca="false">MAX(AT1144,H1144)</f>
        <v>119</v>
      </c>
      <c r="AE1144" s="57"/>
      <c r="AF1144" s="50" t="n">
        <f aca="false">IF(LEFT(Cockpit!$C$5,1)="A",H1144,IF(CE1144=1,CF1144,IF(LEFT(Cockpit!$C$5,1)="B",AK1144,MAX(AK1144,H1144))))</f>
        <v>119</v>
      </c>
      <c r="AG1144" s="50" t="n">
        <f aca="false">IF(BW1144=1,0,ROUNDUP(AF1144/BV1144,0))</f>
        <v>3</v>
      </c>
      <c r="AH1144" s="52" t="n">
        <f aca="false">IF(CL1144&gt;0,CL1144*MAX(1,AF1144/X1144),IF(BW1144=1,IF(AF1144&lt;=0,0,CA1144*MAX(1,IF(H1144&gt;0,AF1144/H1144,1))),IF(R1144&gt;0,AG1144/R1144,0))/MAX(0.1,N(Parameter!$M$21)))</f>
        <v>0.115384615384615</v>
      </c>
      <c r="AI1144" s="50" t="n">
        <f aca="false">AH1144*BY1144</f>
        <v>28.2692307692308</v>
      </c>
      <c r="AJ1144" s="50" t="n">
        <f aca="false">AF1144*G1144</f>
        <v>1344.7</v>
      </c>
      <c r="AK1144" s="50" t="n">
        <f aca="false">ROUNDUP(MAX(J1144/IF(CD1144&gt;0,CD1144,MAX(0.1,N(Cockpit!$C$6))),CG1144)/BV1144,0)*BV1144</f>
        <v>41</v>
      </c>
      <c r="AL1144" s="51" t="n">
        <f aca="false">IF(AI1144&gt;0,J1144/AI1144,-1)</f>
        <v>0.424489795918367</v>
      </c>
      <c r="AM1144" s="51" t="n">
        <f aca="false">IF(AND(OR(CC1144="L1",CC1144="L23",CC1144="LIFT"),AI1144&gt;0),SUMIFS($AI$7:$AI$1843,$CC$7:$CC$1843,CC1144,$AL$7:$AL$1843,"&gt;"&amp;AL1144)+SUMIFS($AI$7:$AI$1843,$CC$7:$CC$1843,CC1144,$AL$7:$AL$1843,AL1144,$BT$7:$BT$1843,"&lt;="&amp;BT1144),"")</f>
        <v>10031.0961253906</v>
      </c>
      <c r="AN1144" s="58" t="n">
        <f aca="false">IF(AM1144="",0,MAX(0,MIN(1,(IF(CC1144="L1",Parameter!$H$5,IF(CC1144="L23",Parameter!$H$6+Parameter!$H$7,Parameter!$H$5+Parameter!$H$6+Parameter!$H$7))-(AM1144-AI1144))/AI1144)))</f>
        <v>1</v>
      </c>
      <c r="AO1144" s="50" t="n">
        <f aca="false">IF(LEFT(Cockpit!$I$5,1)="A",H1144,IF(CE1144=1,CF1144,IF(LEFT(Cockpit!$I$5,1)="B",AT1144,MAX(AT1144,H1144))))</f>
        <v>119</v>
      </c>
      <c r="AP1144" s="50" t="n">
        <f aca="false">IF(BW1144=1,0,ROUNDUP(AO1144/BV1144,0))</f>
        <v>3</v>
      </c>
      <c r="AQ1144" s="52" t="n">
        <f aca="false">IF(CL1144&gt;0,CL1144*MAX(1,AO1144/X1144),IF(BW1144=1,IF(AO1144&lt;=0,0,CA1144*MAX(1,IF(H1144&gt;0,AO1144/H1144,1))),IF(R1144&gt;0,AP1144/R1144,0))/MAX(0.1,N(Parameter!$M$21)))</f>
        <v>0.115384615384615</v>
      </c>
      <c r="AR1144" s="50" t="n">
        <f aca="false">AQ1144*BY1144</f>
        <v>28.2692307692308</v>
      </c>
      <c r="AS1144" s="50" t="n">
        <f aca="false">AO1144*G1144</f>
        <v>1344.7</v>
      </c>
      <c r="AT1144" s="50" t="n">
        <f aca="false">ROUNDUP(MAX(J1144/IF(CD1144&gt;0,CD1144,MAX(0.1,N(Cockpit!$I$6))),CG1144)/BV1144,0)*BV1144</f>
        <v>41</v>
      </c>
      <c r="AU1144" s="51" t="n">
        <f aca="false">IF(AR1144&gt;0,J1144/AR1144,-1)</f>
        <v>0.424489795918367</v>
      </c>
      <c r="AV1144" s="51" t="n">
        <f aca="false">IF(AND(OR(CC1144="L1",CC1144="L23",CC1144="LIFT"),AR1144&gt;0),SUMIFS($AR$7:$AR$1843,$CC$7:$CC$1843,CC1144,$AU$7:$AU$1843,"&gt;"&amp;AU1144)+SUMIFS($AR$7:$AR$1843,$CC$7:$CC$1843,CC1144,$AU$7:$AU$1843,AU1144,$BT$7:$BT$1843,"&lt;="&amp;BT1144),"")</f>
        <v>14905.6758241758</v>
      </c>
      <c r="AW1144" s="58" t="n">
        <f aca="false">IF(AV1144="",0,MAX(0,MIN(1,(IF(CC1144="L1",Parameter!$H$5,IF(CC1144="L23",Parameter!$H$6+Parameter!$H$7,Parameter!$H$5+Parameter!$H$6+Parameter!$H$7))-(AV1144-AR1144))/AR1144)))</f>
        <v>1</v>
      </c>
      <c r="AX1144" s="50" t="n">
        <f aca="false">IF(LEFT(Cockpit!$O$5,1)="A",H1144,IF(CE1144=1,CF1144,IF(LEFT(Cockpit!$O$5,1)="B",BC1144,MAX(BC1144,H1144))))</f>
        <v>119</v>
      </c>
      <c r="AY1144" s="50" t="n">
        <f aca="false">IF(BW1144=1,0,ROUNDUP(AX1144/BV1144,0))</f>
        <v>3</v>
      </c>
      <c r="AZ1144" s="52" t="n">
        <f aca="false">IF(CL1144&gt;0,CL1144*MAX(1,AX1144/X1144),IF(BW1144=1,IF(AX1144&lt;=0,0,CA1144*MAX(1,IF(H1144&gt;0,AX1144/H1144,1))),IF(R1144&gt;0,AY1144/R1144,0))/MAX(0.1,N(Parameter!$M$21)))</f>
        <v>0.115384615384615</v>
      </c>
      <c r="BA1144" s="50" t="n">
        <f aca="false">AZ1144*BY1144</f>
        <v>28.2692307692308</v>
      </c>
      <c r="BB1144" s="50" t="n">
        <f aca="false">AX1144*G1144</f>
        <v>1344.7</v>
      </c>
      <c r="BC1144" s="50" t="n">
        <f aca="false">ROUNDUP(MAX(J1144/IF(CD1144&gt;0,CD1144,MAX(0.1,N(Cockpit!$O$6))),CG1144)/BV1144,0)*BV1144</f>
        <v>41</v>
      </c>
      <c r="BD1144" s="51" t="n">
        <f aca="false">IF(BA1144&gt;0,J1144/BA1144,-1)</f>
        <v>0.424489795918367</v>
      </c>
      <c r="BE1144" s="51" t="n">
        <f aca="false">IF(AND(OR(CC1144="L1",CC1144="L23",CC1144="LIFT"),BA1144&gt;0),SUMIFS($BA$7:$BA$1843,$CC$7:$CC$1843,CC1144,$BD$7:$BD$1843,"&gt;"&amp;BD1144)+SUMIFS($BA$7:$BA$1843,$CC$7:$CC$1843,CC1144,$BD$7:$BD$1843,BD1144,$BT$7:$BT$1843,"&lt;="&amp;BT1144),"")</f>
        <v>13538.8328754579</v>
      </c>
      <c r="BF1144" s="58" t="n">
        <f aca="false">IF(BE1144="",0,MAX(0,MIN(1,(IF(CC1144="L1",Parameter!$H$5,IF(CC1144="L23",Parameter!$H$6+Parameter!$H$7,Parameter!$H$5+Parameter!$H$6+Parameter!$H$7))-(BE1144-BA1144))/BA1144)))</f>
        <v>1</v>
      </c>
      <c r="BG1144" s="48" t="str">
        <f aca="false">IF(AI1144&lt;=0,"",IF(CC1144="Aussen","Aussenlager",IF(CC1144="-","Nicht im Lift",IF(AN1144&gt;=1,"Lift",IF(AN1144&lt;=0,"Aussenlager","teilweise")))))</f>
        <v>Lift</v>
      </c>
      <c r="BH1144" s="48" t="str">
        <f aca="false">IF(AR1144&lt;=0,"",IF(CC1144="Aussen","Aussenlager",IF(CC1144="-","Nicht im Lift",IF(AW1144&gt;=1,"Lift",IF(AW1144&lt;=0,"Aussenlager","teilweise")))))</f>
        <v>Lift</v>
      </c>
      <c r="BI1144" s="48" t="str">
        <f aca="false">IF(BA1144&lt;=0,"",IF(CC1144="Aussen","Aussenlager",IF(CC1144="-","Nicht im Lift",IF(BF1144&gt;=1,"Lift",IF(BF1144&lt;=0,"Aussenlager","teilweise")))))</f>
        <v>Lift</v>
      </c>
      <c r="BJ1144" s="48" t="str">
        <f aca="false">IF(A1144="","",IF(BS1144=1,"Neu; ","")&amp;IF(AND(BS1144=0,BN1144&lt;0),"negativer Bestand (Export "&amp;BN1144&amp;"); ","")&amp;IF(J1144&lt;=0,"Kein Verbrauch; ","")&amp;IF(CL1144&gt;0,"Lift "&amp;W1144&amp;" lt. Liftbericht (Fach "&amp;X1144&amp;" Stk); ",IF(BX1144=1,"Gebinde geschätzt ("&amp;T1144&amp;"); ",IF(BW1144=1,"Lose – Tablare geschätzt; ","")))&amp;IF(H1144&gt;AT1144,"Überbestand "&amp;ROUND(H1144-AT1144,0)&amp;" Stk / CHF "&amp;ROUND((H1144-AT1144)*G1144,0)&amp;"; ","")&amp;IF(AND(CE1144=1,CF1144&lt;CG1144),"MAX &lt; MB+LG; ","")&amp;IF(AND(CK1144&gt;0,CJ1144*10&gt;CK1144),"zu hoch für Tablar; ","")&amp;IF(AND(BS1144=0,OR(CE1144=1,AA1144&lt;&gt;"",U1144&lt;&gt;"",V1144&lt;&gt;"",AB1144&lt;&gt;"")),"manuell übersteuert; ","")&amp;IF(AND(BW1144=0,R1144=0),"Gebinde unbekannt / Stellmass fehlt; ","")&amp;IF(AND(BW1144=0,N(V1144)&lt;=0,N(Q1144)&lt;=0),"Menge pro Gebinde fehlt (Ist = 1 Gebinde); ","")&amp;BR1144)</f>
        <v>negativer Bestand (Export -26); Überbestand 78 Stk / CHF 881; </v>
      </c>
      <c r="BK1144" s="48"/>
      <c r="BL1144" s="48"/>
      <c r="BM1144" s="55"/>
      <c r="BN1144" s="50" t="n">
        <v>-26</v>
      </c>
      <c r="BO1144" s="50" t="n">
        <v>145</v>
      </c>
      <c r="BP1144" s="49" t="n">
        <v>-293.8</v>
      </c>
      <c r="BQ1144" s="50" t="n">
        <v>12</v>
      </c>
      <c r="BR1144" s="48"/>
      <c r="BS1144" s="53" t="n">
        <v>0</v>
      </c>
      <c r="BT1144" s="53" t="n">
        <v>1144</v>
      </c>
      <c r="BU1144" s="48" t="str">
        <f aca="false">IF(U1144&lt;&gt;"",UPPER(TRIM(U1144)),IF(BX1144=1,UPPER(VLOOKUP(T1144,Parameter!$I$27:$K$29,2,0)),IF(P1144="","LOSE",P1144)))</f>
        <v>S52</v>
      </c>
      <c r="BV1144" s="50" t="n">
        <f aca="false">IF(BU1144="LOSE",1,IF(N(V1144)&gt;0,V1144,IF(BX1144=1,MAX(1,N(VLOOKUP(T1144,Parameter!$I$27:$K$29,3,0)),H1144,N(N1144)),IF(N(Q1144)&gt;0,Q1144,MAX(1,H1144)))))</f>
        <v>41</v>
      </c>
      <c r="BW1144" s="53" t="n">
        <f aca="false">IF(BU1144="LOSE",1,0)</f>
        <v>0</v>
      </c>
      <c r="BX1144" s="53" t="n">
        <f aca="false">IF(AND(U1144="",OR(P1144="",P1144="LOSE"),T1144&lt;&gt;"",N(S1144)&lt;=0,ISNUMBER(MATCH(T1144,Parameter!$I$27:$I$29,0))),1,0)</f>
        <v>0</v>
      </c>
      <c r="BY1144" s="53" t="n">
        <f aca="false">IF(CL1144&gt;0,INDEX(Parameter!$H$5:$H$7,W1144)/INDEX(Parameter!$E$5:$E$7,W1144),IF(AND(BW1144=0,N(IFERROR(VLOOKUP(BU1144,'Gebinde-Kategorie'!$A$5:$N$45,14,0),0))&gt;0),VLOOKUP(BU1144,'Gebinde-Kategorie'!$A$5:$N$45,14,0)*10+Parameter!$M$23,Parameter!$M$24))</f>
        <v>245</v>
      </c>
      <c r="BZ1144" s="48" t="str">
        <f aca="false">IF(AND(Parameter!$B$19="Ja",E1144&lt;&gt;"",ISNUMBER(MATCH(E1144,Parameter!$I$35:$I$52,0))),VLOOKUP(E1144,Parameter!$I$35:$J$52,2,0),IFERROR(VLOOKUP(D1144,Parameter!$A$35:$C$64,2,0),"Nein"))</f>
        <v>2+3</v>
      </c>
      <c r="CA1144" s="52" t="n">
        <f aca="false">IF(BW1144=0,0,IF(N(S1144)&gt;0,S1144,IFERROR(VLOOKUP(D1144,Parameter!$A$35:$C$64,3,0)+0,0)))</f>
        <v>0</v>
      </c>
      <c r="CB1144" s="48" t="n">
        <f aca="false">IF(AA1144&lt;&gt;"",AA1144,Z1144)</f>
        <v>3</v>
      </c>
      <c r="CC1144" s="48" t="str">
        <f aca="false">IF(OR(CB1144=1,CB1144=2,CB1144=3),IF(Parameter!$E$27="Ja","LIFT",IF(CB1144=1,"L1","L23")),IF(CB1144="Aussen","Aussen","-"))</f>
        <v>LIFT</v>
      </c>
      <c r="CD1144" s="59" t="n">
        <f aca="false">IF(N(AB1144)&gt;0,AB1144,0)</f>
        <v>0</v>
      </c>
      <c r="CE1144" s="53" t="n">
        <f aca="false">IF(ISNUMBER(AE1144),1,0)</f>
        <v>0</v>
      </c>
      <c r="CF1144" s="50" t="n">
        <f aca="false">N(AE1144)</f>
        <v>0</v>
      </c>
      <c r="CG1144" s="50" t="n">
        <f aca="false">N(M1144)+N(N1144)</f>
        <v>21</v>
      </c>
      <c r="CH1144" s="50" t="n">
        <f aca="false">ROUNDUP(H1144/BV1144,0)</f>
        <v>3</v>
      </c>
      <c r="CI1144" s="50" t="n">
        <f aca="false">ROUNDUP(CF1144/BV1144,0)</f>
        <v>0</v>
      </c>
      <c r="CJ1144" s="53" t="n">
        <f aca="false">IF(BW1144=1,0,IFERROR(VLOOKUP(BU1144,'Gebinde-Kategorie'!$A$5:$N$45,5,0)+0,0))</f>
        <v>21</v>
      </c>
      <c r="CK1144" s="53" t="n">
        <f aca="false">IFERROR(IF(OR(CB1144=1,CB1144=2,CB1144=3),N(INDEX(Parameter!$I$5:$I$7,CB1144)),0),0)</f>
        <v>0</v>
      </c>
      <c r="CL1144" s="52" t="n">
        <f aca="false">IF(AND(Parameter!$B$21="Ja",ISNUMBER(W1144),N(X1144)&gt;0),IFERROR(N(INDEX(Parameter!$L$5:$L$7,W1144))*INDEX(Parameter!$E$5:$E$7,W1144)*X1144/SUMIFS($X$7:$X$1843,$W$7:$W$1843,W1144),0),0)</f>
        <v>0</v>
      </c>
    </row>
    <row r="1145" customFormat="false" ht="15" hidden="false" customHeight="false" outlineLevel="0" collapsed="false">
      <c r="A1145" s="48" t="s">
        <v>2073</v>
      </c>
      <c r="B1145" s="48" t="s">
        <v>1963</v>
      </c>
      <c r="C1145" s="48" t="s">
        <v>168</v>
      </c>
      <c r="D1145" s="48" t="s">
        <v>177</v>
      </c>
      <c r="E1145" s="48" t="s">
        <v>189</v>
      </c>
      <c r="F1145" s="48" t="s">
        <v>222</v>
      </c>
      <c r="G1145" s="49" t="n">
        <v>296</v>
      </c>
      <c r="H1145" s="50" t="n">
        <f aca="false">MAX(0,IF(AND(Parameter!$B$21="Ja",ISNUMBER(Y1145)),Y1145,IF(Parameter!$B$20="Jahresanfang 2025 + Export",BO1145+BN1145,BN1145)))</f>
        <v>5</v>
      </c>
      <c r="I1145" s="50" t="n">
        <f aca="false">H1145*G1145</f>
        <v>1480</v>
      </c>
      <c r="J1145" s="50" t="n">
        <f aca="false">BQ1145*Parameter!$B$18</f>
        <v>0</v>
      </c>
      <c r="K1145" s="51" t="n">
        <v>6</v>
      </c>
      <c r="L1145" s="52" t="n">
        <v>0</v>
      </c>
      <c r="M1145" s="50" t="n">
        <v>0</v>
      </c>
      <c r="N1145" s="50" t="n">
        <v>1</v>
      </c>
      <c r="O1145" s="53" t="n">
        <v>44</v>
      </c>
      <c r="P1145" s="48" t="s">
        <v>178</v>
      </c>
      <c r="Q1145" s="50" t="n">
        <v>15</v>
      </c>
      <c r="R1145" s="53" t="n">
        <f aca="false">IF(BW1145=1,0,IFERROR(VLOOKUP(BU1145,'Gebinde-Kategorie'!$A$5:$N$45,13,0)+0,0))</f>
        <v>6</v>
      </c>
      <c r="S1145" s="54"/>
      <c r="T1145" s="55"/>
      <c r="U1145" s="55"/>
      <c r="V1145" s="55"/>
      <c r="W1145" s="48"/>
      <c r="X1145" s="50"/>
      <c r="Y1145" s="50"/>
      <c r="Z1145" s="48" t="n">
        <f aca="false">IF(A1145="","",IF(AND(Parameter!$B$21="Ja",ISNUMBER(W1145)),W1145,IF(BZ1145="2+3",IF(ISNUMBER(SEARCH("grosser Artikel",BR1145)),2,IFERROR(VLOOKUP(BU1145,Parameter!$F$35:$G$64,2,0),2)),IF(OR(BZ1145="Nein",BZ1145=""),"-",BZ1145))))</f>
        <v>2</v>
      </c>
      <c r="AA1145" s="55"/>
      <c r="AB1145" s="56"/>
      <c r="AC1145" s="50" t="n">
        <f aca="false">AT1145</f>
        <v>15</v>
      </c>
      <c r="AD1145" s="50" t="n">
        <f aca="false">MAX(AT1145,H1145)</f>
        <v>15</v>
      </c>
      <c r="AE1145" s="57"/>
      <c r="AF1145" s="50" t="n">
        <f aca="false">IF(LEFT(Cockpit!$C$5,1)="A",H1145,IF(CE1145=1,CF1145,IF(LEFT(Cockpit!$C$5,1)="B",AK1145,MAX(AK1145,H1145))))</f>
        <v>5</v>
      </c>
      <c r="AG1145" s="50" t="n">
        <f aca="false">IF(BW1145=1,0,ROUNDUP(AF1145/BV1145,0))</f>
        <v>1</v>
      </c>
      <c r="AH1145" s="52" t="n">
        <f aca="false">IF(CL1145&gt;0,CL1145*MAX(1,AF1145/X1145),IF(BW1145=1,IF(AF1145&lt;=0,0,CA1145*MAX(1,IF(H1145&gt;0,AF1145/H1145,1))),IF(R1145&gt;0,AG1145/R1145,0))/MAX(0.1,N(Parameter!$M$21)))</f>
        <v>0.166666666666667</v>
      </c>
      <c r="AI1145" s="50" t="n">
        <f aca="false">AH1145*BY1145</f>
        <v>39.1666666666667</v>
      </c>
      <c r="AJ1145" s="50" t="n">
        <f aca="false">AF1145*G1145</f>
        <v>1480</v>
      </c>
      <c r="AK1145" s="50" t="n">
        <f aca="false">ROUNDUP(MAX(J1145/IF(CD1145&gt;0,CD1145,MAX(0.1,N(Cockpit!$C$6))),CG1145)/BV1145,0)*BV1145</f>
        <v>15</v>
      </c>
      <c r="AL1145" s="51" t="n">
        <f aca="false">IF(AI1145&gt;0,J1145/AI1145,-1)</f>
        <v>0</v>
      </c>
      <c r="AM1145" s="51" t="n">
        <f aca="false">IF(AND(OR(CC1145="L1",CC1145="L23",CC1145="LIFT"),AI1145&gt;0),SUMIFS($AI$7:$AI$1843,$CC$7:$CC$1843,CC1145,$AL$7:$AL$1843,"&gt;"&amp;AL1145)+SUMIFS($AI$7:$AI$1843,$CC$7:$CC$1843,CC1145,$AL$7:$AL$1843,AL1145,$BT$7:$BT$1843,"&lt;="&amp;BT1145),"")</f>
        <v>29324.655845802</v>
      </c>
      <c r="AN1145" s="58" t="n">
        <f aca="false">IF(AM1145="",0,MAX(0,MIN(1,(IF(CC1145="L1",Parameter!$H$5,IF(CC1145="L23",Parameter!$H$6+Parameter!$H$7,Parameter!$H$5+Parameter!$H$6+Parameter!$H$7))-(AM1145-AI1145))/AI1145)))</f>
        <v>1</v>
      </c>
      <c r="AO1145" s="50" t="n">
        <f aca="false">IF(LEFT(Cockpit!$I$5,1)="A",H1145,IF(CE1145=1,CF1145,IF(LEFT(Cockpit!$I$5,1)="B",AT1145,MAX(AT1145,H1145))))</f>
        <v>15</v>
      </c>
      <c r="AP1145" s="50" t="n">
        <f aca="false">IF(BW1145=1,0,ROUNDUP(AO1145/BV1145,0))</f>
        <v>1</v>
      </c>
      <c r="AQ1145" s="52" t="n">
        <f aca="false">IF(CL1145&gt;0,CL1145*MAX(1,AO1145/X1145),IF(BW1145=1,IF(AO1145&lt;=0,0,CA1145*MAX(1,IF(H1145&gt;0,AO1145/H1145,1))),IF(R1145&gt;0,AP1145/R1145,0))/MAX(0.1,N(Parameter!$M$21)))</f>
        <v>0.166666666666667</v>
      </c>
      <c r="AR1145" s="50" t="n">
        <f aca="false">AQ1145*BY1145</f>
        <v>39.1666666666667</v>
      </c>
      <c r="AS1145" s="50" t="n">
        <f aca="false">AO1145*G1145</f>
        <v>4440</v>
      </c>
      <c r="AT1145" s="50" t="n">
        <f aca="false">ROUNDUP(MAX(J1145/IF(CD1145&gt;0,CD1145,MAX(0.1,N(Cockpit!$I$6))),CG1145)/BV1145,0)*BV1145</f>
        <v>15</v>
      </c>
      <c r="AU1145" s="51" t="n">
        <f aca="false">IF(AR1145&gt;0,J1145/AR1145,-1)</f>
        <v>0</v>
      </c>
      <c r="AV1145" s="51" t="n">
        <f aca="false">IF(AND(OR(CC1145="L1",CC1145="L23",CC1145="LIFT"),AR1145&gt;0),SUMIFS($AR$7:$AR$1843,$CC$7:$CC$1843,CC1145,$AU$7:$AU$1843,"&gt;"&amp;AU1145)+SUMIFS($AR$7:$AR$1843,$CC$7:$CC$1843,CC1145,$AU$7:$AU$1843,AU1145,$BT$7:$BT$1843,"&lt;="&amp;BT1145),"")</f>
        <v>41075.8960700317</v>
      </c>
      <c r="AW1145" s="58" t="n">
        <f aca="false">IF(AV1145="",0,MAX(0,MIN(1,(IF(CC1145="L1",Parameter!$H$5,IF(CC1145="L23",Parameter!$H$6+Parameter!$H$7,Parameter!$H$5+Parameter!$H$6+Parameter!$H$7))-(AV1145-AR1145))/AR1145)))</f>
        <v>0</v>
      </c>
      <c r="AX1145" s="50" t="n">
        <f aca="false">IF(LEFT(Cockpit!$O$5,1)="A",H1145,IF(CE1145=1,CF1145,IF(LEFT(Cockpit!$O$5,1)="B",BC1145,MAX(BC1145,H1145))))</f>
        <v>15</v>
      </c>
      <c r="AY1145" s="50" t="n">
        <f aca="false">IF(BW1145=1,0,ROUNDUP(AX1145/BV1145,0))</f>
        <v>1</v>
      </c>
      <c r="AZ1145" s="52" t="n">
        <f aca="false">IF(CL1145&gt;0,CL1145*MAX(1,AX1145/X1145),IF(BW1145=1,IF(AX1145&lt;=0,0,CA1145*MAX(1,IF(H1145&gt;0,AX1145/H1145,1))),IF(R1145&gt;0,AY1145/R1145,0))/MAX(0.1,N(Parameter!$M$21)))</f>
        <v>0.166666666666667</v>
      </c>
      <c r="BA1145" s="50" t="n">
        <f aca="false">AZ1145*BY1145</f>
        <v>39.1666666666667</v>
      </c>
      <c r="BB1145" s="50" t="n">
        <f aca="false">AX1145*G1145</f>
        <v>4440</v>
      </c>
      <c r="BC1145" s="50" t="n">
        <f aca="false">ROUNDUP(MAX(J1145/IF(CD1145&gt;0,CD1145,MAX(0.1,N(Cockpit!$O$6))),CG1145)/BV1145,0)*BV1145</f>
        <v>15</v>
      </c>
      <c r="BD1145" s="51" t="n">
        <f aca="false">IF(BA1145&gt;0,J1145/BA1145,-1)</f>
        <v>0</v>
      </c>
      <c r="BE1145" s="51" t="n">
        <f aca="false">IF(AND(OR(CC1145="L1",CC1145="L23",CC1145="LIFT"),BA1145&gt;0),SUMIFS($BA$7:$BA$1843,$CC$7:$CC$1843,CC1145,$BD$7:$BD$1843,"&gt;"&amp;BD1145)+SUMIFS($BA$7:$BA$1843,$CC$7:$CC$1843,CC1145,$BD$7:$BD$1843,BD1145,$BT$7:$BT$1843,"&lt;="&amp;BT1145),"")</f>
        <v>37750.9081118975</v>
      </c>
      <c r="BF1145" s="58" t="n">
        <f aca="false">IF(BE1145="",0,MAX(0,MIN(1,(IF(CC1145="L1",Parameter!$H$5,IF(CC1145="L23",Parameter!$H$6+Parameter!$H$7,Parameter!$H$5+Parameter!$H$6+Parameter!$H$7))-(BE1145-BA1145))/BA1145)))</f>
        <v>0</v>
      </c>
      <c r="BG1145" s="48" t="str">
        <f aca="false">IF(AI1145&lt;=0,"",IF(CC1145="Aussen","Aussenlager",IF(CC1145="-","Nicht im Lift",IF(AN1145&gt;=1,"Lift",IF(AN1145&lt;=0,"Aussenlager","teilweise")))))</f>
        <v>Lift</v>
      </c>
      <c r="BH1145" s="48" t="str">
        <f aca="false">IF(AR1145&lt;=0,"",IF(CC1145="Aussen","Aussenlager",IF(CC1145="-","Nicht im Lift",IF(AW1145&gt;=1,"Lift",IF(AW1145&lt;=0,"Aussenlager","teilweise")))))</f>
        <v>Aussenlager</v>
      </c>
      <c r="BI1145" s="48" t="str">
        <f aca="false">IF(BA1145&lt;=0,"",IF(CC1145="Aussen","Aussenlager",IF(CC1145="-","Nicht im Lift",IF(BF1145&gt;=1,"Lift",IF(BF1145&lt;=0,"Aussenlager","teilweise")))))</f>
        <v>Aussenlager</v>
      </c>
      <c r="BJ1145" s="48" t="str">
        <f aca="false">IF(A1145="","",IF(BS1145=1,"Neu; ","")&amp;IF(AND(BS1145=0,BN1145&lt;0),"negativer Bestand (Export "&amp;BN1145&amp;"); ","")&amp;IF(J1145&lt;=0,"Kein Verbrauch; ","")&amp;IF(CL1145&gt;0,"Lift "&amp;W1145&amp;" lt. Liftbericht (Fach "&amp;X1145&amp;" Stk); ",IF(BX1145=1,"Gebinde geschätzt ("&amp;T1145&amp;"); ",IF(BW1145=1,"Lose – Tablare geschätzt; ","")))&amp;IF(H1145&gt;AT1145,"Überbestand "&amp;ROUND(H1145-AT1145,0)&amp;" Stk / CHF "&amp;ROUND((H1145-AT1145)*G1145,0)&amp;"; ","")&amp;IF(AND(CE1145=1,CF1145&lt;CG1145),"MAX &lt; MB+LG; ","")&amp;IF(AND(CK1145&gt;0,CJ1145*10&gt;CK1145),"zu hoch für Tablar; ","")&amp;IF(AND(BS1145=0,OR(CE1145=1,AA1145&lt;&gt;"",U1145&lt;&gt;"",V1145&lt;&gt;"",AB1145&lt;&gt;"")),"manuell übersteuert; ","")&amp;IF(AND(BW1145=0,R1145=0),"Gebinde unbekannt / Stellmass fehlt; ","")&amp;IF(AND(BW1145=0,N(V1145)&lt;=0,N(Q1145)&lt;=0),"Menge pro Gebinde fehlt (Ist = 1 Gebinde); ","")&amp;BR1145)</f>
        <v>negativer Bestand (Export -1); Kein Verbrauch; Neu; grosser Artikel &amp; nicht im KTL</v>
      </c>
      <c r="BK1145" s="48"/>
      <c r="BL1145" s="48"/>
      <c r="BM1145" s="55"/>
      <c r="BN1145" s="50" t="n">
        <v>-1</v>
      </c>
      <c r="BO1145" s="50" t="n">
        <v>6</v>
      </c>
      <c r="BP1145" s="49" t="n">
        <v>-296</v>
      </c>
      <c r="BQ1145" s="50" t="n">
        <v>0</v>
      </c>
      <c r="BR1145" s="48" t="s">
        <v>2074</v>
      </c>
      <c r="BS1145" s="53" t="n">
        <v>0</v>
      </c>
      <c r="BT1145" s="53" t="n">
        <v>1145</v>
      </c>
      <c r="BU1145" s="48" t="str">
        <f aca="false">IF(U1145&lt;&gt;"",UPPER(TRIM(U1145)),IF(BX1145=1,UPPER(VLOOKUP(T1145,Parameter!$I$27:$K$29,2,0)),IF(P1145="","LOSE",P1145)))</f>
        <v>S71</v>
      </c>
      <c r="BV1145" s="50" t="n">
        <f aca="false">IF(BU1145="LOSE",1,IF(N(V1145)&gt;0,V1145,IF(BX1145=1,MAX(1,N(VLOOKUP(T1145,Parameter!$I$27:$K$29,3,0)),H1145,N(N1145)),IF(N(Q1145)&gt;0,Q1145,MAX(1,H1145)))))</f>
        <v>15</v>
      </c>
      <c r="BW1145" s="53" t="n">
        <f aca="false">IF(BU1145="LOSE",1,0)</f>
        <v>0</v>
      </c>
      <c r="BX1145" s="53" t="n">
        <f aca="false">IF(AND(U1145="",OR(P1145="",P1145="LOSE"),T1145&lt;&gt;"",N(S1145)&lt;=0,ISNUMBER(MATCH(T1145,Parameter!$I$27:$I$29,0))),1,0)</f>
        <v>0</v>
      </c>
      <c r="BY1145" s="53" t="n">
        <f aca="false">IF(CL1145&gt;0,INDEX(Parameter!$H$5:$H$7,W1145)/INDEX(Parameter!$E$5:$E$7,W1145),IF(AND(BW1145=0,N(IFERROR(VLOOKUP(BU1145,'Gebinde-Kategorie'!$A$5:$N$45,14,0),0))&gt;0),VLOOKUP(BU1145,'Gebinde-Kategorie'!$A$5:$N$45,14,0)*10+Parameter!$M$23,Parameter!$M$24))</f>
        <v>235</v>
      </c>
      <c r="BZ1145" s="48" t="str">
        <f aca="false">IF(AND(Parameter!$B$19="Ja",E1145&lt;&gt;"",ISNUMBER(MATCH(E1145,Parameter!$I$35:$I$52,0))),VLOOKUP(E1145,Parameter!$I$35:$J$52,2,0),IFERROR(VLOOKUP(D1145,Parameter!$A$35:$C$64,2,0),"Nein"))</f>
        <v>2+3</v>
      </c>
      <c r="CA1145" s="52" t="n">
        <f aca="false">IF(BW1145=0,0,IF(N(S1145)&gt;0,S1145,IFERROR(VLOOKUP(D1145,Parameter!$A$35:$C$64,3,0)+0,0)))</f>
        <v>0</v>
      </c>
      <c r="CB1145" s="48" t="n">
        <f aca="false">IF(AA1145&lt;&gt;"",AA1145,Z1145)</f>
        <v>2</v>
      </c>
      <c r="CC1145" s="48" t="str">
        <f aca="false">IF(OR(CB1145=1,CB1145=2,CB1145=3),IF(Parameter!$E$27="Ja","LIFT",IF(CB1145=1,"L1","L23")),IF(CB1145="Aussen","Aussen","-"))</f>
        <v>LIFT</v>
      </c>
      <c r="CD1145" s="59" t="n">
        <f aca="false">IF(N(AB1145)&gt;0,AB1145,0)</f>
        <v>0</v>
      </c>
      <c r="CE1145" s="53" t="n">
        <f aca="false">IF(ISNUMBER(AE1145),1,0)</f>
        <v>0</v>
      </c>
      <c r="CF1145" s="50" t="n">
        <f aca="false">N(AE1145)</f>
        <v>0</v>
      </c>
      <c r="CG1145" s="50" t="n">
        <f aca="false">N(M1145)+N(N1145)</f>
        <v>1</v>
      </c>
      <c r="CH1145" s="50" t="n">
        <f aca="false">ROUNDUP(H1145/BV1145,0)</f>
        <v>1</v>
      </c>
      <c r="CI1145" s="50" t="n">
        <f aca="false">ROUNDUP(CF1145/BV1145,0)</f>
        <v>0</v>
      </c>
      <c r="CJ1145" s="53" t="n">
        <f aca="false">IF(BW1145=1,0,IFERROR(VLOOKUP(BU1145,'Gebinde-Kategorie'!$A$5:$N$45,5,0)+0,0))</f>
        <v>20</v>
      </c>
      <c r="CK1145" s="53" t="n">
        <f aca="false">IFERROR(IF(OR(CB1145=1,CB1145=2,CB1145=3),N(INDEX(Parameter!$I$5:$I$7,CB1145)),0),0)</f>
        <v>0</v>
      </c>
      <c r="CL1145" s="52" t="n">
        <f aca="false">IF(AND(Parameter!$B$21="Ja",ISNUMBER(W1145),N(X1145)&gt;0),IFERROR(N(INDEX(Parameter!$L$5:$L$7,W1145))*INDEX(Parameter!$E$5:$E$7,W1145)*X1145/SUMIFS($X$7:$X$1843,$W$7:$W$1843,W1145),0),0)</f>
        <v>0</v>
      </c>
    </row>
    <row r="1146" customFormat="false" ht="15" hidden="false" customHeight="false" outlineLevel="0" collapsed="false">
      <c r="A1146" s="48" t="s">
        <v>2075</v>
      </c>
      <c r="B1146" s="48" t="s">
        <v>376</v>
      </c>
      <c r="C1146" s="48" t="s">
        <v>168</v>
      </c>
      <c r="D1146" s="48" t="s">
        <v>177</v>
      </c>
      <c r="E1146" s="48" t="s">
        <v>189</v>
      </c>
      <c r="F1146" s="48" t="s">
        <v>222</v>
      </c>
      <c r="G1146" s="49" t="n">
        <v>296</v>
      </c>
      <c r="H1146" s="50" t="n">
        <f aca="false">MAX(0,IF(AND(Parameter!$B$21="Ja",ISNUMBER(Y1146)),Y1146,IF(Parameter!$B$20="Jahresanfang 2025 + Export",BO1146+BN1146,BN1146)))</f>
        <v>5</v>
      </c>
      <c r="I1146" s="50" t="n">
        <f aca="false">H1146*G1146</f>
        <v>1480</v>
      </c>
      <c r="J1146" s="50" t="n">
        <f aca="false">BQ1146*Parameter!$B$18</f>
        <v>0</v>
      </c>
      <c r="K1146" s="51" t="n">
        <v>6</v>
      </c>
      <c r="L1146" s="52" t="n">
        <v>0</v>
      </c>
      <c r="M1146" s="50" t="n">
        <v>0</v>
      </c>
      <c r="N1146" s="50" t="n">
        <v>1</v>
      </c>
      <c r="O1146" s="53" t="n">
        <v>44</v>
      </c>
      <c r="P1146" s="48" t="s">
        <v>178</v>
      </c>
      <c r="Q1146" s="50" t="n">
        <v>15</v>
      </c>
      <c r="R1146" s="53" t="n">
        <f aca="false">IF(BW1146=1,0,IFERROR(VLOOKUP(BU1146,'Gebinde-Kategorie'!$A$5:$N$45,13,0)+0,0))</f>
        <v>6</v>
      </c>
      <c r="S1146" s="54"/>
      <c r="T1146" s="55"/>
      <c r="U1146" s="55"/>
      <c r="V1146" s="55"/>
      <c r="W1146" s="48"/>
      <c r="X1146" s="50"/>
      <c r="Y1146" s="50"/>
      <c r="Z1146" s="48" t="n">
        <f aca="false">IF(A1146="","",IF(AND(Parameter!$B$21="Ja",ISNUMBER(W1146)),W1146,IF(BZ1146="2+3",IF(ISNUMBER(SEARCH("grosser Artikel",BR1146)),2,IFERROR(VLOOKUP(BU1146,Parameter!$F$35:$G$64,2,0),2)),IF(OR(BZ1146="Nein",BZ1146=""),"-",BZ1146))))</f>
        <v>2</v>
      </c>
      <c r="AA1146" s="55"/>
      <c r="AB1146" s="56"/>
      <c r="AC1146" s="50" t="n">
        <f aca="false">AT1146</f>
        <v>15</v>
      </c>
      <c r="AD1146" s="50" t="n">
        <f aca="false">MAX(AT1146,H1146)</f>
        <v>15</v>
      </c>
      <c r="AE1146" s="57"/>
      <c r="AF1146" s="50" t="n">
        <f aca="false">IF(LEFT(Cockpit!$C$5,1)="A",H1146,IF(CE1146=1,CF1146,IF(LEFT(Cockpit!$C$5,1)="B",AK1146,MAX(AK1146,H1146))))</f>
        <v>5</v>
      </c>
      <c r="AG1146" s="50" t="n">
        <f aca="false">IF(BW1146=1,0,ROUNDUP(AF1146/BV1146,0))</f>
        <v>1</v>
      </c>
      <c r="AH1146" s="52" t="n">
        <f aca="false">IF(CL1146&gt;0,CL1146*MAX(1,AF1146/X1146),IF(BW1146=1,IF(AF1146&lt;=0,0,CA1146*MAX(1,IF(H1146&gt;0,AF1146/H1146,1))),IF(R1146&gt;0,AG1146/R1146,0))/MAX(0.1,N(Parameter!$M$21)))</f>
        <v>0.166666666666667</v>
      </c>
      <c r="AI1146" s="50" t="n">
        <f aca="false">AH1146*BY1146</f>
        <v>39.1666666666667</v>
      </c>
      <c r="AJ1146" s="50" t="n">
        <f aca="false">AF1146*G1146</f>
        <v>1480</v>
      </c>
      <c r="AK1146" s="50" t="n">
        <f aca="false">ROUNDUP(MAX(J1146/IF(CD1146&gt;0,CD1146,MAX(0.1,N(Cockpit!$C$6))),CG1146)/BV1146,0)*BV1146</f>
        <v>15</v>
      </c>
      <c r="AL1146" s="51" t="n">
        <f aca="false">IF(AI1146&gt;0,J1146/AI1146,-1)</f>
        <v>0</v>
      </c>
      <c r="AM1146" s="51" t="n">
        <f aca="false">IF(AND(OR(CC1146="L1",CC1146="L23",CC1146="LIFT"),AI1146&gt;0),SUMIFS($AI$7:$AI$1843,$CC$7:$CC$1843,CC1146,$AL$7:$AL$1843,"&gt;"&amp;AL1146)+SUMIFS($AI$7:$AI$1843,$CC$7:$CC$1843,CC1146,$AL$7:$AL$1843,AL1146,$BT$7:$BT$1843,"&lt;="&amp;BT1146),"")</f>
        <v>29363.8225124687</v>
      </c>
      <c r="AN1146" s="58" t="n">
        <f aca="false">IF(AM1146="",0,MAX(0,MIN(1,(IF(CC1146="L1",Parameter!$H$5,IF(CC1146="L23",Parameter!$H$6+Parameter!$H$7,Parameter!$H$5+Parameter!$H$6+Parameter!$H$7))-(AM1146-AI1146))/AI1146)))</f>
        <v>1</v>
      </c>
      <c r="AO1146" s="50" t="n">
        <f aca="false">IF(LEFT(Cockpit!$I$5,1)="A",H1146,IF(CE1146=1,CF1146,IF(LEFT(Cockpit!$I$5,1)="B",AT1146,MAX(AT1146,H1146))))</f>
        <v>15</v>
      </c>
      <c r="AP1146" s="50" t="n">
        <f aca="false">IF(BW1146=1,0,ROUNDUP(AO1146/BV1146,0))</f>
        <v>1</v>
      </c>
      <c r="AQ1146" s="52" t="n">
        <f aca="false">IF(CL1146&gt;0,CL1146*MAX(1,AO1146/X1146),IF(BW1146=1,IF(AO1146&lt;=0,0,CA1146*MAX(1,IF(H1146&gt;0,AO1146/H1146,1))),IF(R1146&gt;0,AP1146/R1146,0))/MAX(0.1,N(Parameter!$M$21)))</f>
        <v>0.166666666666667</v>
      </c>
      <c r="AR1146" s="50" t="n">
        <f aca="false">AQ1146*BY1146</f>
        <v>39.1666666666667</v>
      </c>
      <c r="AS1146" s="50" t="n">
        <f aca="false">AO1146*G1146</f>
        <v>4440</v>
      </c>
      <c r="AT1146" s="50" t="n">
        <f aca="false">ROUNDUP(MAX(J1146/IF(CD1146&gt;0,CD1146,MAX(0.1,N(Cockpit!$I$6))),CG1146)/BV1146,0)*BV1146</f>
        <v>15</v>
      </c>
      <c r="AU1146" s="51" t="n">
        <f aca="false">IF(AR1146&gt;0,J1146/AR1146,-1)</f>
        <v>0</v>
      </c>
      <c r="AV1146" s="51" t="n">
        <f aca="false">IF(AND(OR(CC1146="L1",CC1146="L23",CC1146="LIFT"),AR1146&gt;0),SUMIFS($AR$7:$AR$1843,$CC$7:$CC$1843,CC1146,$AU$7:$AU$1843,"&gt;"&amp;AU1146)+SUMIFS($AR$7:$AR$1843,$CC$7:$CC$1843,CC1146,$AU$7:$AU$1843,AU1146,$BT$7:$BT$1843,"&lt;="&amp;BT1146),"")</f>
        <v>41115.0627366983</v>
      </c>
      <c r="AW1146" s="58" t="n">
        <f aca="false">IF(AV1146="",0,MAX(0,MIN(1,(IF(CC1146="L1",Parameter!$H$5,IF(CC1146="L23",Parameter!$H$6+Parameter!$H$7,Parameter!$H$5+Parameter!$H$6+Parameter!$H$7))-(AV1146-AR1146))/AR1146)))</f>
        <v>0</v>
      </c>
      <c r="AX1146" s="50" t="n">
        <f aca="false">IF(LEFT(Cockpit!$O$5,1)="A",H1146,IF(CE1146=1,CF1146,IF(LEFT(Cockpit!$O$5,1)="B",BC1146,MAX(BC1146,H1146))))</f>
        <v>15</v>
      </c>
      <c r="AY1146" s="50" t="n">
        <f aca="false">IF(BW1146=1,0,ROUNDUP(AX1146/BV1146,0))</f>
        <v>1</v>
      </c>
      <c r="AZ1146" s="52" t="n">
        <f aca="false">IF(CL1146&gt;0,CL1146*MAX(1,AX1146/X1146),IF(BW1146=1,IF(AX1146&lt;=0,0,CA1146*MAX(1,IF(H1146&gt;0,AX1146/H1146,1))),IF(R1146&gt;0,AY1146/R1146,0))/MAX(0.1,N(Parameter!$M$21)))</f>
        <v>0.166666666666667</v>
      </c>
      <c r="BA1146" s="50" t="n">
        <f aca="false">AZ1146*BY1146</f>
        <v>39.1666666666667</v>
      </c>
      <c r="BB1146" s="50" t="n">
        <f aca="false">AX1146*G1146</f>
        <v>4440</v>
      </c>
      <c r="BC1146" s="50" t="n">
        <f aca="false">ROUNDUP(MAX(J1146/IF(CD1146&gt;0,CD1146,MAX(0.1,N(Cockpit!$O$6))),CG1146)/BV1146,0)*BV1146</f>
        <v>15</v>
      </c>
      <c r="BD1146" s="51" t="n">
        <f aca="false">IF(BA1146&gt;0,J1146/BA1146,-1)</f>
        <v>0</v>
      </c>
      <c r="BE1146" s="51" t="n">
        <f aca="false">IF(AND(OR(CC1146="L1",CC1146="L23",CC1146="LIFT"),BA1146&gt;0),SUMIFS($BA$7:$BA$1843,$CC$7:$CC$1843,CC1146,$BD$7:$BD$1843,"&gt;"&amp;BD1146)+SUMIFS($BA$7:$BA$1843,$CC$7:$CC$1843,CC1146,$BD$7:$BD$1843,BD1146,$BT$7:$BT$1843,"&lt;="&amp;BT1146),"")</f>
        <v>37790.0747785642</v>
      </c>
      <c r="BF1146" s="58" t="n">
        <f aca="false">IF(BE1146="",0,MAX(0,MIN(1,(IF(CC1146="L1",Parameter!$H$5,IF(CC1146="L23",Parameter!$H$6+Parameter!$H$7,Parameter!$H$5+Parameter!$H$6+Parameter!$H$7))-(BE1146-BA1146))/BA1146)))</f>
        <v>0</v>
      </c>
      <c r="BG1146" s="48" t="str">
        <f aca="false">IF(AI1146&lt;=0,"",IF(CC1146="Aussen","Aussenlager",IF(CC1146="-","Nicht im Lift",IF(AN1146&gt;=1,"Lift",IF(AN1146&lt;=0,"Aussenlager","teilweise")))))</f>
        <v>Lift</v>
      </c>
      <c r="BH1146" s="48" t="str">
        <f aca="false">IF(AR1146&lt;=0,"",IF(CC1146="Aussen","Aussenlager",IF(CC1146="-","Nicht im Lift",IF(AW1146&gt;=1,"Lift",IF(AW1146&lt;=0,"Aussenlager","teilweise")))))</f>
        <v>Aussenlager</v>
      </c>
      <c r="BI1146" s="48" t="str">
        <f aca="false">IF(BA1146&lt;=0,"",IF(CC1146="Aussen","Aussenlager",IF(CC1146="-","Nicht im Lift",IF(BF1146&gt;=1,"Lift",IF(BF1146&lt;=0,"Aussenlager","teilweise")))))</f>
        <v>Aussenlager</v>
      </c>
      <c r="BJ1146" s="48" t="str">
        <f aca="false">IF(A1146="","",IF(BS1146=1,"Neu; ","")&amp;IF(AND(BS1146=0,BN1146&lt;0),"negativer Bestand (Export "&amp;BN1146&amp;"); ","")&amp;IF(J1146&lt;=0,"Kein Verbrauch; ","")&amp;IF(CL1146&gt;0,"Lift "&amp;W1146&amp;" lt. Liftbericht (Fach "&amp;X1146&amp;" Stk); ",IF(BX1146=1,"Gebinde geschätzt ("&amp;T1146&amp;"); ",IF(BW1146=1,"Lose – Tablare geschätzt; ","")))&amp;IF(H1146&gt;AT1146,"Überbestand "&amp;ROUND(H1146-AT1146,0)&amp;" Stk / CHF "&amp;ROUND((H1146-AT1146)*G1146,0)&amp;"; ","")&amp;IF(AND(CE1146=1,CF1146&lt;CG1146),"MAX &lt; MB+LG; ","")&amp;IF(AND(CK1146&gt;0,CJ1146*10&gt;CK1146),"zu hoch für Tablar; ","")&amp;IF(AND(BS1146=0,OR(CE1146=1,AA1146&lt;&gt;"",U1146&lt;&gt;"",V1146&lt;&gt;"",AB1146&lt;&gt;"")),"manuell übersteuert; ","")&amp;IF(AND(BW1146=0,R1146=0),"Gebinde unbekannt / Stellmass fehlt; ","")&amp;IF(AND(BW1146=0,N(V1146)&lt;=0,N(Q1146)&lt;=0),"Menge pro Gebinde fehlt (Ist = 1 Gebinde); ","")&amp;BR1146)</f>
        <v>negativer Bestand (Export -1); Kein Verbrauch; Neu; grosser Artikel &amp; nicht im KTL</v>
      </c>
      <c r="BK1146" s="48"/>
      <c r="BL1146" s="48"/>
      <c r="BM1146" s="55"/>
      <c r="BN1146" s="50" t="n">
        <v>-1</v>
      </c>
      <c r="BO1146" s="50" t="n">
        <v>6</v>
      </c>
      <c r="BP1146" s="49" t="n">
        <v>-296</v>
      </c>
      <c r="BQ1146" s="50" t="n">
        <v>0</v>
      </c>
      <c r="BR1146" s="48" t="s">
        <v>2074</v>
      </c>
      <c r="BS1146" s="53" t="n">
        <v>0</v>
      </c>
      <c r="BT1146" s="53" t="n">
        <v>1146</v>
      </c>
      <c r="BU1146" s="48" t="str">
        <f aca="false">IF(U1146&lt;&gt;"",UPPER(TRIM(U1146)),IF(BX1146=1,UPPER(VLOOKUP(T1146,Parameter!$I$27:$K$29,2,0)),IF(P1146="","LOSE",P1146)))</f>
        <v>S71</v>
      </c>
      <c r="BV1146" s="50" t="n">
        <f aca="false">IF(BU1146="LOSE",1,IF(N(V1146)&gt;0,V1146,IF(BX1146=1,MAX(1,N(VLOOKUP(T1146,Parameter!$I$27:$K$29,3,0)),H1146,N(N1146)),IF(N(Q1146)&gt;0,Q1146,MAX(1,H1146)))))</f>
        <v>15</v>
      </c>
      <c r="BW1146" s="53" t="n">
        <f aca="false">IF(BU1146="LOSE",1,0)</f>
        <v>0</v>
      </c>
      <c r="BX1146" s="53" t="n">
        <f aca="false">IF(AND(U1146="",OR(P1146="",P1146="LOSE"),T1146&lt;&gt;"",N(S1146)&lt;=0,ISNUMBER(MATCH(T1146,Parameter!$I$27:$I$29,0))),1,0)</f>
        <v>0</v>
      </c>
      <c r="BY1146" s="53" t="n">
        <f aca="false">IF(CL1146&gt;0,INDEX(Parameter!$H$5:$H$7,W1146)/INDEX(Parameter!$E$5:$E$7,W1146),IF(AND(BW1146=0,N(IFERROR(VLOOKUP(BU1146,'Gebinde-Kategorie'!$A$5:$N$45,14,0),0))&gt;0),VLOOKUP(BU1146,'Gebinde-Kategorie'!$A$5:$N$45,14,0)*10+Parameter!$M$23,Parameter!$M$24))</f>
        <v>235</v>
      </c>
      <c r="BZ1146" s="48" t="str">
        <f aca="false">IF(AND(Parameter!$B$19="Ja",E1146&lt;&gt;"",ISNUMBER(MATCH(E1146,Parameter!$I$35:$I$52,0))),VLOOKUP(E1146,Parameter!$I$35:$J$52,2,0),IFERROR(VLOOKUP(D1146,Parameter!$A$35:$C$64,2,0),"Nein"))</f>
        <v>2+3</v>
      </c>
      <c r="CA1146" s="52" t="n">
        <f aca="false">IF(BW1146=0,0,IF(N(S1146)&gt;0,S1146,IFERROR(VLOOKUP(D1146,Parameter!$A$35:$C$64,3,0)+0,0)))</f>
        <v>0</v>
      </c>
      <c r="CB1146" s="48" t="n">
        <f aca="false">IF(AA1146&lt;&gt;"",AA1146,Z1146)</f>
        <v>2</v>
      </c>
      <c r="CC1146" s="48" t="str">
        <f aca="false">IF(OR(CB1146=1,CB1146=2,CB1146=3),IF(Parameter!$E$27="Ja","LIFT",IF(CB1146=1,"L1","L23")),IF(CB1146="Aussen","Aussen","-"))</f>
        <v>LIFT</v>
      </c>
      <c r="CD1146" s="59" t="n">
        <f aca="false">IF(N(AB1146)&gt;0,AB1146,0)</f>
        <v>0</v>
      </c>
      <c r="CE1146" s="53" t="n">
        <f aca="false">IF(ISNUMBER(AE1146),1,0)</f>
        <v>0</v>
      </c>
      <c r="CF1146" s="50" t="n">
        <f aca="false">N(AE1146)</f>
        <v>0</v>
      </c>
      <c r="CG1146" s="50" t="n">
        <f aca="false">N(M1146)+N(N1146)</f>
        <v>1</v>
      </c>
      <c r="CH1146" s="50" t="n">
        <f aca="false">ROUNDUP(H1146/BV1146,0)</f>
        <v>1</v>
      </c>
      <c r="CI1146" s="50" t="n">
        <f aca="false">ROUNDUP(CF1146/BV1146,0)</f>
        <v>0</v>
      </c>
      <c r="CJ1146" s="53" t="n">
        <f aca="false">IF(BW1146=1,0,IFERROR(VLOOKUP(BU1146,'Gebinde-Kategorie'!$A$5:$N$45,5,0)+0,0))</f>
        <v>20</v>
      </c>
      <c r="CK1146" s="53" t="n">
        <f aca="false">IFERROR(IF(OR(CB1146=1,CB1146=2,CB1146=3),N(INDEX(Parameter!$I$5:$I$7,CB1146)),0),0)</f>
        <v>0</v>
      </c>
      <c r="CL1146" s="52" t="n">
        <f aca="false">IF(AND(Parameter!$B$21="Ja",ISNUMBER(W1146),N(X1146)&gt;0),IFERROR(N(INDEX(Parameter!$L$5:$L$7,W1146))*INDEX(Parameter!$E$5:$E$7,W1146)*X1146/SUMIFS($X$7:$X$1843,$W$7:$W$1843,W1146),0),0)</f>
        <v>0</v>
      </c>
    </row>
    <row r="1147" customFormat="false" ht="15" hidden="false" customHeight="false" outlineLevel="0" collapsed="false">
      <c r="A1147" s="48" t="s">
        <v>2076</v>
      </c>
      <c r="B1147" s="48" t="s">
        <v>217</v>
      </c>
      <c r="C1147" s="48" t="s">
        <v>168</v>
      </c>
      <c r="D1147" s="48" t="s">
        <v>177</v>
      </c>
      <c r="E1147" s="48"/>
      <c r="F1147" s="48" t="s">
        <v>222</v>
      </c>
      <c r="G1147" s="49" t="n">
        <v>66.38</v>
      </c>
      <c r="H1147" s="50" t="n">
        <f aca="false">MAX(0,IF(AND(Parameter!$B$21="Ja",ISNUMBER(Y1147)),Y1147,IF(Parameter!$B$20="Jahresanfang 2025 + Export",BO1147+BN1147,BN1147)))</f>
        <v>9</v>
      </c>
      <c r="I1147" s="50" t="n">
        <f aca="false">H1147*G1147</f>
        <v>597.42</v>
      </c>
      <c r="J1147" s="50" t="n">
        <f aca="false">BQ1147*Parameter!$B$18</f>
        <v>29</v>
      </c>
      <c r="K1147" s="51" t="n">
        <v>6</v>
      </c>
      <c r="L1147" s="52" t="n">
        <v>4.83333333333333</v>
      </c>
      <c r="M1147" s="50" t="n">
        <v>7</v>
      </c>
      <c r="N1147" s="50" t="n">
        <v>30</v>
      </c>
      <c r="O1147" s="53" t="n">
        <v>90</v>
      </c>
      <c r="P1147" s="48" t="s">
        <v>190</v>
      </c>
      <c r="Q1147" s="50" t="n">
        <v>20</v>
      </c>
      <c r="R1147" s="53" t="n">
        <f aca="false">IF(BW1147=1,0,IFERROR(VLOOKUP(BU1147,'Gebinde-Kategorie'!$A$5:$N$45,13,0)+0,0))</f>
        <v>12</v>
      </c>
      <c r="S1147" s="54"/>
      <c r="T1147" s="55"/>
      <c r="U1147" s="55"/>
      <c r="V1147" s="55"/>
      <c r="W1147" s="48"/>
      <c r="X1147" s="50"/>
      <c r="Y1147" s="50"/>
      <c r="Z1147" s="48" t="n">
        <f aca="false">IF(A1147="","",IF(AND(Parameter!$B$21="Ja",ISNUMBER(W1147)),W1147,IF(BZ1147="2+3",IF(ISNUMBER(SEARCH("grosser Artikel",BR1147)),2,IFERROR(VLOOKUP(BU1147,Parameter!$F$35:$G$64,2,0),2)),IF(OR(BZ1147="Nein",BZ1147=""),"-",BZ1147))))</f>
        <v>2</v>
      </c>
      <c r="AA1147" s="55"/>
      <c r="AB1147" s="56"/>
      <c r="AC1147" s="50" t="n">
        <f aca="false">AT1147</f>
        <v>40</v>
      </c>
      <c r="AD1147" s="50" t="n">
        <f aca="false">MAX(AT1147,H1147)</f>
        <v>40</v>
      </c>
      <c r="AE1147" s="57"/>
      <c r="AF1147" s="50" t="n">
        <f aca="false">IF(LEFT(Cockpit!$C$5,1)="A",H1147,IF(CE1147=1,CF1147,IF(LEFT(Cockpit!$C$5,1)="B",AK1147,MAX(AK1147,H1147))))</f>
        <v>9</v>
      </c>
      <c r="AG1147" s="50" t="n">
        <f aca="false">IF(BW1147=1,0,ROUNDUP(AF1147/BV1147,0))</f>
        <v>1</v>
      </c>
      <c r="AH1147" s="52" t="n">
        <f aca="false">IF(CL1147&gt;0,CL1147*MAX(1,AF1147/X1147),IF(BW1147=1,IF(AF1147&lt;=0,0,CA1147*MAX(1,IF(H1147&gt;0,AF1147/H1147,1))),IF(R1147&gt;0,AG1147/R1147,0))/MAX(0.1,N(Parameter!$M$21)))</f>
        <v>0.0833333333333333</v>
      </c>
      <c r="AI1147" s="50" t="n">
        <f aca="false">AH1147*BY1147</f>
        <v>12.0833333333333</v>
      </c>
      <c r="AJ1147" s="50" t="n">
        <f aca="false">AF1147*G1147</f>
        <v>597.42</v>
      </c>
      <c r="AK1147" s="50" t="n">
        <f aca="false">ROUNDUP(MAX(J1147/IF(CD1147&gt;0,CD1147,MAX(0.1,N(Cockpit!$C$6))),CG1147)/BV1147,0)*BV1147</f>
        <v>40</v>
      </c>
      <c r="AL1147" s="51" t="n">
        <f aca="false">IF(AI1147&gt;0,J1147/AI1147,-1)</f>
        <v>2.4</v>
      </c>
      <c r="AM1147" s="51" t="n">
        <f aca="false">IF(AND(OR(CC1147="L1",CC1147="L23",CC1147="LIFT"),AI1147&gt;0),SUMIFS($AI$7:$AI$1843,$CC$7:$CC$1843,CC1147,$AL$7:$AL$1843,"&gt;"&amp;AL1147)+SUMIFS($AI$7:$AI$1843,$CC$7:$CC$1843,CC1147,$AL$7:$AL$1843,AL1147,$BT$7:$BT$1843,"&lt;="&amp;BT1147),"")</f>
        <v>5613.33379120879</v>
      </c>
      <c r="AN1147" s="58" t="n">
        <f aca="false">IF(AM1147="",0,MAX(0,MIN(1,(IF(CC1147="L1",Parameter!$H$5,IF(CC1147="L23",Parameter!$H$6+Parameter!$H$7,Parameter!$H$5+Parameter!$H$6+Parameter!$H$7))-(AM1147-AI1147))/AI1147)))</f>
        <v>1</v>
      </c>
      <c r="AO1147" s="50" t="n">
        <f aca="false">IF(LEFT(Cockpit!$I$5,1)="A",H1147,IF(CE1147=1,CF1147,IF(LEFT(Cockpit!$I$5,1)="B",AT1147,MAX(AT1147,H1147))))</f>
        <v>40</v>
      </c>
      <c r="AP1147" s="50" t="n">
        <f aca="false">IF(BW1147=1,0,ROUNDUP(AO1147/BV1147,0))</f>
        <v>2</v>
      </c>
      <c r="AQ1147" s="52" t="n">
        <f aca="false">IF(CL1147&gt;0,CL1147*MAX(1,AO1147/X1147),IF(BW1147=1,IF(AO1147&lt;=0,0,CA1147*MAX(1,IF(H1147&gt;0,AO1147/H1147,1))),IF(R1147&gt;0,AP1147/R1147,0))/MAX(0.1,N(Parameter!$M$21)))</f>
        <v>0.166666666666667</v>
      </c>
      <c r="AR1147" s="50" t="n">
        <f aca="false">AQ1147*BY1147</f>
        <v>24.1666666666667</v>
      </c>
      <c r="AS1147" s="50" t="n">
        <f aca="false">AO1147*G1147</f>
        <v>2655.2</v>
      </c>
      <c r="AT1147" s="50" t="n">
        <f aca="false">ROUNDUP(MAX(J1147/IF(CD1147&gt;0,CD1147,MAX(0.1,N(Cockpit!$I$6))),CG1147)/BV1147,0)*BV1147</f>
        <v>40</v>
      </c>
      <c r="AU1147" s="51" t="n">
        <f aca="false">IF(AR1147&gt;0,J1147/AR1147,-1)</f>
        <v>1.2</v>
      </c>
      <c r="AV1147" s="51" t="n">
        <f aca="false">IF(AND(OR(CC1147="L1",CC1147="L23",CC1147="LIFT"),AR1147&gt;0),SUMIFS($AR$7:$AR$1843,$CC$7:$CC$1843,CC1147,$AU$7:$AU$1843,"&gt;"&amp;AU1147)+SUMIFS($AR$7:$AR$1843,$CC$7:$CC$1843,CC1147,$AU$7:$AU$1843,AU1147,$BT$7:$BT$1843,"&lt;="&amp;BT1147),"")</f>
        <v>9827.37271062271</v>
      </c>
      <c r="AW1147" s="58" t="n">
        <f aca="false">IF(AV1147="",0,MAX(0,MIN(1,(IF(CC1147="L1",Parameter!$H$5,IF(CC1147="L23",Parameter!$H$6+Parameter!$H$7,Parameter!$H$5+Parameter!$H$6+Parameter!$H$7))-(AV1147-AR1147))/AR1147)))</f>
        <v>1</v>
      </c>
      <c r="AX1147" s="50" t="n">
        <f aca="false">IF(LEFT(Cockpit!$O$5,1)="A",H1147,IF(CE1147=1,CF1147,IF(LEFT(Cockpit!$O$5,1)="B",BC1147,MAX(BC1147,H1147))))</f>
        <v>40</v>
      </c>
      <c r="AY1147" s="50" t="n">
        <f aca="false">IF(BW1147=1,0,ROUNDUP(AX1147/BV1147,0))</f>
        <v>2</v>
      </c>
      <c r="AZ1147" s="52" t="n">
        <f aca="false">IF(CL1147&gt;0,CL1147*MAX(1,AX1147/X1147),IF(BW1147=1,IF(AX1147&lt;=0,0,CA1147*MAX(1,IF(H1147&gt;0,AX1147/H1147,1))),IF(R1147&gt;0,AY1147/R1147,0))/MAX(0.1,N(Parameter!$M$21)))</f>
        <v>0.166666666666667</v>
      </c>
      <c r="BA1147" s="50" t="n">
        <f aca="false">AZ1147*BY1147</f>
        <v>24.1666666666667</v>
      </c>
      <c r="BB1147" s="50" t="n">
        <f aca="false">AX1147*G1147</f>
        <v>2655.2</v>
      </c>
      <c r="BC1147" s="50" t="n">
        <f aca="false">ROUNDUP(MAX(J1147/IF(CD1147&gt;0,CD1147,MAX(0.1,N(Cockpit!$O$6))),CG1147)/BV1147,0)*BV1147</f>
        <v>40</v>
      </c>
      <c r="BD1147" s="51" t="n">
        <f aca="false">IF(BA1147&gt;0,J1147/BA1147,-1)</f>
        <v>1.2</v>
      </c>
      <c r="BE1147" s="51" t="n">
        <f aca="false">IF(AND(OR(CC1147="L1",CC1147="L23",CC1147="LIFT"),BA1147&gt;0),SUMIFS($BA$7:$BA$1843,$CC$7:$CC$1843,CC1147,$BD$7:$BD$1843,"&gt;"&amp;BD1147)+SUMIFS($BA$7:$BA$1843,$CC$7:$CC$1843,CC1147,$BD$7:$BD$1843,BD1147,$BT$7:$BT$1843,"&lt;="&amp;BT1147),"")</f>
        <v>8838.02976190476</v>
      </c>
      <c r="BF1147" s="58" t="n">
        <f aca="false">IF(BE1147="",0,MAX(0,MIN(1,(IF(CC1147="L1",Parameter!$H$5,IF(CC1147="L23",Parameter!$H$6+Parameter!$H$7,Parameter!$H$5+Parameter!$H$6+Parameter!$H$7))-(BE1147-BA1147))/BA1147)))</f>
        <v>1</v>
      </c>
      <c r="BG1147" s="48" t="str">
        <f aca="false">IF(AI1147&lt;=0,"",IF(CC1147="Aussen","Aussenlager",IF(CC1147="-","Nicht im Lift",IF(AN1147&gt;=1,"Lift",IF(AN1147&lt;=0,"Aussenlager","teilweise")))))</f>
        <v>Lift</v>
      </c>
      <c r="BH1147" s="48" t="str">
        <f aca="false">IF(AR1147&lt;=0,"",IF(CC1147="Aussen","Aussenlager",IF(CC1147="-","Nicht im Lift",IF(AW1147&gt;=1,"Lift",IF(AW1147&lt;=0,"Aussenlager","teilweise")))))</f>
        <v>Lift</v>
      </c>
      <c r="BI1147" s="48" t="str">
        <f aca="false">IF(BA1147&lt;=0,"",IF(CC1147="Aussen","Aussenlager",IF(CC1147="-","Nicht im Lift",IF(BF1147&gt;=1,"Lift",IF(BF1147&lt;=0,"Aussenlager","teilweise")))))</f>
        <v>Lift</v>
      </c>
      <c r="BJ1147" s="48" t="str">
        <f aca="false">IF(A1147="","",IF(BS1147=1,"Neu; ","")&amp;IF(AND(BS1147=0,BN1147&lt;0),"negativer Bestand (Export "&amp;BN1147&amp;"); ","")&amp;IF(J1147&lt;=0,"Kein Verbrauch; ","")&amp;IF(CL1147&gt;0,"Lift "&amp;W1147&amp;" lt. Liftbericht (Fach "&amp;X1147&amp;" Stk); ",IF(BX1147=1,"Gebinde geschätzt ("&amp;T1147&amp;"); ",IF(BW1147=1,"Lose – Tablare geschätzt; ","")))&amp;IF(H1147&gt;AT1147,"Überbestand "&amp;ROUND(H1147-AT1147,0)&amp;" Stk / CHF "&amp;ROUND((H1147-AT1147)*G1147,0)&amp;"; ","")&amp;IF(AND(CE1147=1,CF1147&lt;CG1147),"MAX &lt; MB+LG; ","")&amp;IF(AND(CK1147&gt;0,CJ1147*10&gt;CK1147),"zu hoch für Tablar; ","")&amp;IF(AND(BS1147=0,OR(CE1147=1,AA1147&lt;&gt;"",U1147&lt;&gt;"",V1147&lt;&gt;"",AB1147&lt;&gt;"")),"manuell übersteuert; ","")&amp;IF(AND(BW1147=0,R1147=0),"Gebinde unbekannt / Stellmass fehlt; ","")&amp;IF(AND(BW1147=0,N(V1147)&lt;=0,N(Q1147)&lt;=0),"Menge pro Gebinde fehlt (Ist = 1 Gebinde); ","")&amp;BR1147)</f>
        <v>negativer Bestand (Export -1); </v>
      </c>
      <c r="BK1147" s="48"/>
      <c r="BL1147" s="48"/>
      <c r="BM1147" s="55"/>
      <c r="BN1147" s="50" t="n">
        <v>-1</v>
      </c>
      <c r="BO1147" s="50" t="n">
        <v>10</v>
      </c>
      <c r="BP1147" s="49" t="n">
        <v>-299.28</v>
      </c>
      <c r="BQ1147" s="50" t="n">
        <v>29</v>
      </c>
      <c r="BR1147" s="48"/>
      <c r="BS1147" s="53" t="n">
        <v>0</v>
      </c>
      <c r="BT1147" s="53" t="n">
        <v>1147</v>
      </c>
      <c r="BU1147" s="48" t="str">
        <f aca="false">IF(U1147&lt;&gt;"",UPPER(TRIM(U1147)),IF(BX1147=1,UPPER(VLOOKUP(T1147,Parameter!$I$27:$K$29,2,0)),IF(P1147="","LOSE",P1147)))</f>
        <v>S61</v>
      </c>
      <c r="BV1147" s="50" t="n">
        <f aca="false">IF(BU1147="LOSE",1,IF(N(V1147)&gt;0,V1147,IF(BX1147=1,MAX(1,N(VLOOKUP(T1147,Parameter!$I$27:$K$29,3,0)),H1147,N(N1147)),IF(N(Q1147)&gt;0,Q1147,MAX(1,H1147)))))</f>
        <v>20</v>
      </c>
      <c r="BW1147" s="53" t="n">
        <f aca="false">IF(BU1147="LOSE",1,0)</f>
        <v>0</v>
      </c>
      <c r="BX1147" s="53" t="n">
        <f aca="false">IF(AND(U1147="",OR(P1147="",P1147="LOSE"),T1147&lt;&gt;"",N(S1147)&lt;=0,ISNUMBER(MATCH(T1147,Parameter!$I$27:$I$29,0))),1,0)</f>
        <v>0</v>
      </c>
      <c r="BY1147" s="53" t="n">
        <f aca="false">IF(CL1147&gt;0,INDEX(Parameter!$H$5:$H$7,W1147)/INDEX(Parameter!$E$5:$E$7,W1147),IF(AND(BW1147=0,N(IFERROR(VLOOKUP(BU1147,'Gebinde-Kategorie'!$A$5:$N$45,14,0),0))&gt;0),VLOOKUP(BU1147,'Gebinde-Kategorie'!$A$5:$N$45,14,0)*10+Parameter!$M$23,Parameter!$M$24))</f>
        <v>145</v>
      </c>
      <c r="BZ1147" s="48" t="str">
        <f aca="false">IF(AND(Parameter!$B$19="Ja",E1147&lt;&gt;"",ISNUMBER(MATCH(E1147,Parameter!$I$35:$I$52,0))),VLOOKUP(E1147,Parameter!$I$35:$J$52,2,0),IFERROR(VLOOKUP(D1147,Parameter!$A$35:$C$64,2,0),"Nein"))</f>
        <v>2+3</v>
      </c>
      <c r="CA1147" s="52" t="n">
        <f aca="false">IF(BW1147=0,0,IF(N(S1147)&gt;0,S1147,IFERROR(VLOOKUP(D1147,Parameter!$A$35:$C$64,3,0)+0,0)))</f>
        <v>0</v>
      </c>
      <c r="CB1147" s="48" t="n">
        <f aca="false">IF(AA1147&lt;&gt;"",AA1147,Z1147)</f>
        <v>2</v>
      </c>
      <c r="CC1147" s="48" t="str">
        <f aca="false">IF(OR(CB1147=1,CB1147=2,CB1147=3),IF(Parameter!$E$27="Ja","LIFT",IF(CB1147=1,"L1","L23")),IF(CB1147="Aussen","Aussen","-"))</f>
        <v>LIFT</v>
      </c>
      <c r="CD1147" s="59" t="n">
        <f aca="false">IF(N(AB1147)&gt;0,AB1147,0)</f>
        <v>0</v>
      </c>
      <c r="CE1147" s="53" t="n">
        <f aca="false">IF(ISNUMBER(AE1147),1,0)</f>
        <v>0</v>
      </c>
      <c r="CF1147" s="50" t="n">
        <f aca="false">N(AE1147)</f>
        <v>0</v>
      </c>
      <c r="CG1147" s="50" t="n">
        <f aca="false">N(M1147)+N(N1147)</f>
        <v>37</v>
      </c>
      <c r="CH1147" s="50" t="n">
        <f aca="false">ROUNDUP(H1147/BV1147,0)</f>
        <v>1</v>
      </c>
      <c r="CI1147" s="50" t="n">
        <f aca="false">ROUNDUP(CF1147/BV1147,0)</f>
        <v>0</v>
      </c>
      <c r="CJ1147" s="53" t="n">
        <f aca="false">IF(BW1147=1,0,IFERROR(VLOOKUP(BU1147,'Gebinde-Kategorie'!$A$5:$N$45,5,0)+0,0))</f>
        <v>11</v>
      </c>
      <c r="CK1147" s="53" t="n">
        <f aca="false">IFERROR(IF(OR(CB1147=1,CB1147=2,CB1147=3),N(INDEX(Parameter!$I$5:$I$7,CB1147)),0),0)</f>
        <v>0</v>
      </c>
      <c r="CL1147" s="52" t="n">
        <f aca="false">IF(AND(Parameter!$B$21="Ja",ISNUMBER(W1147),N(X1147)&gt;0),IFERROR(N(INDEX(Parameter!$L$5:$L$7,W1147))*INDEX(Parameter!$E$5:$E$7,W1147)*X1147/SUMIFS($X$7:$X$1843,$W$7:$W$1843,W1147),0),0)</f>
        <v>0</v>
      </c>
    </row>
    <row r="1148" customFormat="false" ht="15" hidden="false" customHeight="false" outlineLevel="0" collapsed="false">
      <c r="A1148" s="48" t="s">
        <v>2077</v>
      </c>
      <c r="B1148" s="48" t="s">
        <v>2078</v>
      </c>
      <c r="C1148" s="48" t="s">
        <v>168</v>
      </c>
      <c r="D1148" s="48" t="s">
        <v>188</v>
      </c>
      <c r="E1148" s="48"/>
      <c r="F1148" s="48" t="s">
        <v>222</v>
      </c>
      <c r="G1148" s="49" t="n">
        <v>151.25</v>
      </c>
      <c r="H1148" s="50" t="n">
        <f aca="false">MAX(0,IF(AND(Parameter!$B$21="Ja",ISNUMBER(Y1148)),Y1148,IF(Parameter!$B$20="Jahresanfang 2025 + Export",BO1148+BN1148,BN1148)))</f>
        <v>0</v>
      </c>
      <c r="I1148" s="50" t="n">
        <f aca="false">H1148*G1148</f>
        <v>0</v>
      </c>
      <c r="J1148" s="50" t="n">
        <f aca="false">BQ1148*Parameter!$B$18</f>
        <v>0</v>
      </c>
      <c r="K1148" s="51" t="n">
        <v>1</v>
      </c>
      <c r="L1148" s="52" t="n">
        <v>0</v>
      </c>
      <c r="M1148" s="50" t="n">
        <v>0</v>
      </c>
      <c r="N1148" s="50" t="n">
        <v>1</v>
      </c>
      <c r="O1148" s="53" t="n">
        <v>42</v>
      </c>
      <c r="P1148" s="48" t="s">
        <v>172</v>
      </c>
      <c r="Q1148" s="50"/>
      <c r="R1148" s="53" t="n">
        <f aca="false">IF(BW1148=1,0,IFERROR(VLOOKUP(BU1148,'Gebinde-Kategorie'!$A$5:$N$45,13,0)+0,0))</f>
        <v>26</v>
      </c>
      <c r="S1148" s="54"/>
      <c r="T1148" s="55" t="s">
        <v>279</v>
      </c>
      <c r="U1148" s="55"/>
      <c r="V1148" s="55"/>
      <c r="W1148" s="48"/>
      <c r="X1148" s="50"/>
      <c r="Y1148" s="50"/>
      <c r="Z1148" s="48" t="n">
        <f aca="false">IF(A1148="","",IF(AND(Parameter!$B$21="Ja",ISNUMBER(W1148)),W1148,IF(BZ1148="2+3",IF(ISNUMBER(SEARCH("grosser Artikel",BR1148)),2,IFERROR(VLOOKUP(BU1148,Parameter!$F$35:$G$64,2,0),2)),IF(OR(BZ1148="Nein",BZ1148=""),"-",BZ1148))))</f>
        <v>3</v>
      </c>
      <c r="AA1148" s="55"/>
      <c r="AB1148" s="56"/>
      <c r="AC1148" s="50" t="n">
        <f aca="false">AT1148</f>
        <v>20</v>
      </c>
      <c r="AD1148" s="50" t="n">
        <f aca="false">MAX(AT1148,H1148)</f>
        <v>20</v>
      </c>
      <c r="AE1148" s="57"/>
      <c r="AF1148" s="50" t="n">
        <f aca="false">IF(LEFT(Cockpit!$C$5,1)="A",H1148,IF(CE1148=1,CF1148,IF(LEFT(Cockpit!$C$5,1)="B",AK1148,MAX(AK1148,H1148))))</f>
        <v>0</v>
      </c>
      <c r="AG1148" s="50" t="n">
        <f aca="false">IF(BW1148=1,0,ROUNDUP(AF1148/BV1148,0))</f>
        <v>0</v>
      </c>
      <c r="AH1148" s="52" t="n">
        <f aca="false">IF(CL1148&gt;0,CL1148*MAX(1,AF1148/X1148),IF(BW1148=1,IF(AF1148&lt;=0,0,CA1148*MAX(1,IF(H1148&gt;0,AF1148/H1148,1))),IF(R1148&gt;0,AG1148/R1148,0))/MAX(0.1,N(Parameter!$M$21)))</f>
        <v>0</v>
      </c>
      <c r="AI1148" s="50" t="n">
        <f aca="false">AH1148*BY1148</f>
        <v>0</v>
      </c>
      <c r="AJ1148" s="50" t="n">
        <f aca="false">AF1148*G1148</f>
        <v>0</v>
      </c>
      <c r="AK1148" s="50" t="n">
        <f aca="false">ROUNDUP(MAX(J1148/IF(CD1148&gt;0,CD1148,MAX(0.1,N(Cockpit!$C$6))),CG1148)/BV1148,0)*BV1148</f>
        <v>20</v>
      </c>
      <c r="AL1148" s="51" t="n">
        <f aca="false">IF(AI1148&gt;0,J1148/AI1148,-1)</f>
        <v>-1</v>
      </c>
      <c r="AM1148" s="51" t="str">
        <f aca="false">IF(AND(OR(CC1148="L1",CC1148="L23",CC1148="LIFT"),AI1148&gt;0),SUMIFS($AI$7:$AI$1843,$CC$7:$CC$1843,CC1148,$AL$7:$AL$1843,"&gt;"&amp;AL1148)+SUMIFS($AI$7:$AI$1843,$CC$7:$CC$1843,CC1148,$AL$7:$AL$1843,AL1148,$BT$7:$BT$1843,"&lt;="&amp;BT1148),"")</f>
        <v/>
      </c>
      <c r="AN1148" s="58" t="n">
        <f aca="false">IF(AM1148="",0,MAX(0,MIN(1,(IF(CC1148="L1",Parameter!$H$5,IF(CC1148="L23",Parameter!$H$6+Parameter!$H$7,Parameter!$H$5+Parameter!$H$6+Parameter!$H$7))-(AM1148-AI1148))/AI1148)))</f>
        <v>0</v>
      </c>
      <c r="AO1148" s="50" t="n">
        <f aca="false">IF(LEFT(Cockpit!$I$5,1)="A",H1148,IF(CE1148=1,CF1148,IF(LEFT(Cockpit!$I$5,1)="B",AT1148,MAX(AT1148,H1148))))</f>
        <v>20</v>
      </c>
      <c r="AP1148" s="50" t="n">
        <f aca="false">IF(BW1148=1,0,ROUNDUP(AO1148/BV1148,0))</f>
        <v>1</v>
      </c>
      <c r="AQ1148" s="52" t="n">
        <f aca="false">IF(CL1148&gt;0,CL1148*MAX(1,AO1148/X1148),IF(BW1148=1,IF(AO1148&lt;=0,0,CA1148*MAX(1,IF(H1148&gt;0,AO1148/H1148,1))),IF(R1148&gt;0,AP1148/R1148,0))/MAX(0.1,N(Parameter!$M$21)))</f>
        <v>0.0384615384615385</v>
      </c>
      <c r="AR1148" s="50" t="n">
        <f aca="false">AQ1148*BY1148</f>
        <v>5.96153846153846</v>
      </c>
      <c r="AS1148" s="50" t="n">
        <f aca="false">AO1148*G1148</f>
        <v>3025</v>
      </c>
      <c r="AT1148" s="50" t="n">
        <f aca="false">ROUNDUP(MAX(J1148/IF(CD1148&gt;0,CD1148,MAX(0.1,N(Cockpit!$I$6))),CG1148)/BV1148,0)*BV1148</f>
        <v>20</v>
      </c>
      <c r="AU1148" s="51" t="n">
        <f aca="false">IF(AR1148&gt;0,J1148/AR1148,-1)</f>
        <v>0</v>
      </c>
      <c r="AV1148" s="51" t="n">
        <f aca="false">IF(AND(OR(CC1148="L1",CC1148="L23",CC1148="LIFT"),AR1148&gt;0),SUMIFS($AR$7:$AR$1843,$CC$7:$CC$1843,CC1148,$AU$7:$AU$1843,"&gt;"&amp;AU1148)+SUMIFS($AR$7:$AR$1843,$CC$7:$CC$1843,CC1148,$AU$7:$AU$1843,AU1148,$BT$7:$BT$1843,"&lt;="&amp;BT1148),"")</f>
        <v>41121.0242751599</v>
      </c>
      <c r="AW1148" s="58" t="n">
        <f aca="false">IF(AV1148="",0,MAX(0,MIN(1,(IF(CC1148="L1",Parameter!$H$5,IF(CC1148="L23",Parameter!$H$6+Parameter!$H$7,Parameter!$H$5+Parameter!$H$6+Parameter!$H$7))-(AV1148-AR1148))/AR1148)))</f>
        <v>0</v>
      </c>
      <c r="AX1148" s="50" t="n">
        <f aca="false">IF(LEFT(Cockpit!$O$5,1)="A",H1148,IF(CE1148=1,CF1148,IF(LEFT(Cockpit!$O$5,1)="B",BC1148,MAX(BC1148,H1148))))</f>
        <v>20</v>
      </c>
      <c r="AY1148" s="50" t="n">
        <f aca="false">IF(BW1148=1,0,ROUNDUP(AX1148/BV1148,0))</f>
        <v>1</v>
      </c>
      <c r="AZ1148" s="52" t="n">
        <f aca="false">IF(CL1148&gt;0,CL1148*MAX(1,AX1148/X1148),IF(BW1148=1,IF(AX1148&lt;=0,0,CA1148*MAX(1,IF(H1148&gt;0,AX1148/H1148,1))),IF(R1148&gt;0,AY1148/R1148,0))/MAX(0.1,N(Parameter!$M$21)))</f>
        <v>0.0384615384615385</v>
      </c>
      <c r="BA1148" s="50" t="n">
        <f aca="false">AZ1148*BY1148</f>
        <v>5.96153846153846</v>
      </c>
      <c r="BB1148" s="50" t="n">
        <f aca="false">AX1148*G1148</f>
        <v>3025</v>
      </c>
      <c r="BC1148" s="50" t="n">
        <f aca="false">ROUNDUP(MAX(J1148/IF(CD1148&gt;0,CD1148,MAX(0.1,N(Cockpit!$O$6))),CG1148)/BV1148,0)*BV1148</f>
        <v>20</v>
      </c>
      <c r="BD1148" s="51" t="n">
        <f aca="false">IF(BA1148&gt;0,J1148/BA1148,-1)</f>
        <v>0</v>
      </c>
      <c r="BE1148" s="51" t="n">
        <f aca="false">IF(AND(OR(CC1148="L1",CC1148="L23",CC1148="LIFT"),BA1148&gt;0),SUMIFS($BA$7:$BA$1843,$CC$7:$CC$1843,CC1148,$BD$7:$BD$1843,"&gt;"&amp;BD1148)+SUMIFS($BA$7:$BA$1843,$CC$7:$CC$1843,CC1148,$BD$7:$BD$1843,BD1148,$BT$7:$BT$1843,"&lt;="&amp;BT1148),"")</f>
        <v>37796.0363170257</v>
      </c>
      <c r="BF1148" s="58" t="n">
        <f aca="false">IF(BE1148="",0,MAX(0,MIN(1,(IF(CC1148="L1",Parameter!$H$5,IF(CC1148="L23",Parameter!$H$6+Parameter!$H$7,Parameter!$H$5+Parameter!$H$6+Parameter!$H$7))-(BE1148-BA1148))/BA1148)))</f>
        <v>0</v>
      </c>
      <c r="BG1148" s="48" t="str">
        <f aca="false">IF(AI1148&lt;=0,"",IF(CC1148="Aussen","Aussenlager",IF(CC1148="-","Nicht im Lift",IF(AN1148&gt;=1,"Lift",IF(AN1148&lt;=0,"Aussenlager","teilweise")))))</f>
        <v/>
      </c>
      <c r="BH1148" s="48" t="str">
        <f aca="false">IF(AR1148&lt;=0,"",IF(CC1148="Aussen","Aussenlager",IF(CC1148="-","Nicht im Lift",IF(AW1148&gt;=1,"Lift",IF(AW1148&lt;=0,"Aussenlager","teilweise")))))</f>
        <v>Aussenlager</v>
      </c>
      <c r="BI1148" s="48" t="str">
        <f aca="false">IF(BA1148&lt;=0,"",IF(CC1148="Aussen","Aussenlager",IF(CC1148="-","Nicht im Lift",IF(BF1148&gt;=1,"Lift",IF(BF1148&lt;=0,"Aussenlager","teilweise")))))</f>
        <v>Aussenlager</v>
      </c>
      <c r="BJ1148" s="48" t="str">
        <f aca="false">IF(A1148="","",IF(BS1148=1,"Neu; ","")&amp;IF(AND(BS1148=0,BN1148&lt;0),"negativer Bestand (Export "&amp;BN1148&amp;"); ","")&amp;IF(J1148&lt;=0,"Kein Verbrauch; ","")&amp;IF(CL1148&gt;0,"Lift "&amp;W1148&amp;" lt. Liftbericht (Fach "&amp;X1148&amp;" Stk); ",IF(BX1148=1,"Gebinde geschätzt ("&amp;T1148&amp;"); ",IF(BW1148=1,"Lose – Tablare geschätzt; ","")))&amp;IF(H1148&gt;AT1148,"Überbestand "&amp;ROUND(H1148-AT1148,0)&amp;" Stk / CHF "&amp;ROUND((H1148-AT1148)*G1148,0)&amp;"; ","")&amp;IF(AND(CE1148=1,CF1148&lt;CG1148),"MAX &lt; MB+LG; ","")&amp;IF(AND(CK1148&gt;0,CJ1148*10&gt;CK1148),"zu hoch für Tablar; ","")&amp;IF(AND(BS1148=0,OR(CE1148=1,AA1148&lt;&gt;"",U1148&lt;&gt;"",V1148&lt;&gt;"",AB1148&lt;&gt;"")),"manuell übersteuert; ","")&amp;IF(AND(BW1148=0,R1148=0),"Gebinde unbekannt / Stellmass fehlt; ","")&amp;IF(AND(BW1148=0,N(V1148)&lt;=0,N(Q1148)&lt;=0),"Menge pro Gebinde fehlt (Ist = 1 Gebinde); ","")&amp;BR1148)</f>
        <v>negativer Bestand (Export -2); Kein Verbrauch; Gebinde geschätzt (Klein); Menge pro Gebinde fehlt (Ist = 1 Gebinde); </v>
      </c>
      <c r="BK1148" s="48"/>
      <c r="BL1148" s="48"/>
      <c r="BM1148" s="55"/>
      <c r="BN1148" s="50" t="n">
        <v>-2</v>
      </c>
      <c r="BO1148" s="50" t="n">
        <v>2</v>
      </c>
      <c r="BP1148" s="49" t="n">
        <v>-302.5</v>
      </c>
      <c r="BQ1148" s="50" t="n">
        <v>0</v>
      </c>
      <c r="BR1148" s="48"/>
      <c r="BS1148" s="53" t="n">
        <v>0</v>
      </c>
      <c r="BT1148" s="53" t="n">
        <v>1148</v>
      </c>
      <c r="BU1148" s="48" t="str">
        <f aca="false">IF(U1148&lt;&gt;"",UPPER(TRIM(U1148)),IF(BX1148=1,UPPER(VLOOKUP(T1148,Parameter!$I$27:$K$29,2,0)),IF(P1148="","LOSE",P1148)))</f>
        <v>S51</v>
      </c>
      <c r="BV1148" s="50" t="n">
        <f aca="false">IF(BU1148="LOSE",1,IF(N(V1148)&gt;0,V1148,IF(BX1148=1,MAX(1,N(VLOOKUP(T1148,Parameter!$I$27:$K$29,3,0)),H1148,N(N1148)),IF(N(Q1148)&gt;0,Q1148,MAX(1,H1148)))))</f>
        <v>20</v>
      </c>
      <c r="BW1148" s="53" t="n">
        <f aca="false">IF(BU1148="LOSE",1,0)</f>
        <v>0</v>
      </c>
      <c r="BX1148" s="53" t="n">
        <f aca="false">IF(AND(U1148="",OR(P1148="",P1148="LOSE"),T1148&lt;&gt;"",N(S1148)&lt;=0,ISNUMBER(MATCH(T1148,Parameter!$I$27:$I$29,0))),1,0)</f>
        <v>1</v>
      </c>
      <c r="BY1148" s="53" t="n">
        <f aca="false">IF(CL1148&gt;0,INDEX(Parameter!$H$5:$H$7,W1148)/INDEX(Parameter!$E$5:$E$7,W1148),IF(AND(BW1148=0,N(IFERROR(VLOOKUP(BU1148,'Gebinde-Kategorie'!$A$5:$N$45,14,0),0))&gt;0),VLOOKUP(BU1148,'Gebinde-Kategorie'!$A$5:$N$45,14,0)*10+Parameter!$M$23,Parameter!$M$24))</f>
        <v>155</v>
      </c>
      <c r="BZ1148" s="48" t="str">
        <f aca="false">IF(AND(Parameter!$B$19="Ja",E1148&lt;&gt;"",ISNUMBER(MATCH(E1148,Parameter!$I$35:$I$52,0))),VLOOKUP(E1148,Parameter!$I$35:$J$52,2,0),IFERROR(VLOOKUP(D1148,Parameter!$A$35:$C$64,2,0),"Nein"))</f>
        <v>2+3</v>
      </c>
      <c r="CA1148" s="52" t="n">
        <f aca="false">IF(BW1148=0,0,IF(N(S1148)&gt;0,S1148,IFERROR(VLOOKUP(D1148,Parameter!$A$35:$C$64,3,0)+0,0)))</f>
        <v>0</v>
      </c>
      <c r="CB1148" s="48" t="n">
        <f aca="false">IF(AA1148&lt;&gt;"",AA1148,Z1148)</f>
        <v>3</v>
      </c>
      <c r="CC1148" s="48" t="str">
        <f aca="false">IF(OR(CB1148=1,CB1148=2,CB1148=3),IF(Parameter!$E$27="Ja","LIFT",IF(CB1148=1,"L1","L23")),IF(CB1148="Aussen","Aussen","-"))</f>
        <v>LIFT</v>
      </c>
      <c r="CD1148" s="59" t="n">
        <f aca="false">IF(N(AB1148)&gt;0,AB1148,0)</f>
        <v>0</v>
      </c>
      <c r="CE1148" s="53" t="n">
        <f aca="false">IF(ISNUMBER(AE1148),1,0)</f>
        <v>0</v>
      </c>
      <c r="CF1148" s="50" t="n">
        <f aca="false">N(AE1148)</f>
        <v>0</v>
      </c>
      <c r="CG1148" s="50" t="n">
        <f aca="false">N(M1148)+N(N1148)</f>
        <v>1</v>
      </c>
      <c r="CH1148" s="50" t="n">
        <f aca="false">ROUNDUP(H1148/BV1148,0)</f>
        <v>0</v>
      </c>
      <c r="CI1148" s="50" t="n">
        <f aca="false">ROUNDUP(CF1148/BV1148,0)</f>
        <v>0</v>
      </c>
      <c r="CJ1148" s="53" t="n">
        <f aca="false">IF(BW1148=1,0,IFERROR(VLOOKUP(BU1148,'Gebinde-Kategorie'!$A$5:$N$45,5,0)+0,0))</f>
        <v>11</v>
      </c>
      <c r="CK1148" s="53" t="n">
        <f aca="false">IFERROR(IF(OR(CB1148=1,CB1148=2,CB1148=3),N(INDEX(Parameter!$I$5:$I$7,CB1148)),0),0)</f>
        <v>0</v>
      </c>
      <c r="CL1148" s="52" t="n">
        <f aca="false">IF(AND(Parameter!$B$21="Ja",ISNUMBER(W1148),N(X1148)&gt;0),IFERROR(N(INDEX(Parameter!$L$5:$L$7,W1148))*INDEX(Parameter!$E$5:$E$7,W1148)*X1148/SUMIFS($X$7:$X$1843,$W$7:$W$1843,W1148),0),0)</f>
        <v>0</v>
      </c>
    </row>
    <row r="1149" customFormat="false" ht="15" hidden="false" customHeight="false" outlineLevel="0" collapsed="false">
      <c r="A1149" s="48" t="s">
        <v>2079</v>
      </c>
      <c r="B1149" s="48" t="s">
        <v>2080</v>
      </c>
      <c r="C1149" s="48" t="s">
        <v>168</v>
      </c>
      <c r="D1149" s="48" t="s">
        <v>188</v>
      </c>
      <c r="E1149" s="48"/>
      <c r="F1149" s="48" t="s">
        <v>222</v>
      </c>
      <c r="G1149" s="49" t="n">
        <v>151.82</v>
      </c>
      <c r="H1149" s="50" t="n">
        <f aca="false">MAX(0,IF(AND(Parameter!$B$21="Ja",ISNUMBER(Y1149)),Y1149,IF(Parameter!$B$20="Jahresanfang 2025 + Export",BO1149+BN1149,BN1149)))</f>
        <v>2</v>
      </c>
      <c r="I1149" s="50" t="n">
        <f aca="false">H1149*G1149</f>
        <v>303.64</v>
      </c>
      <c r="J1149" s="50" t="n">
        <f aca="false">BQ1149*Parameter!$B$18</f>
        <v>2</v>
      </c>
      <c r="K1149" s="51" t="n">
        <v>3</v>
      </c>
      <c r="L1149" s="52" t="n">
        <v>0.666666666666667</v>
      </c>
      <c r="M1149" s="50" t="n">
        <v>0</v>
      </c>
      <c r="N1149" s="50" t="n">
        <v>1</v>
      </c>
      <c r="O1149" s="53" t="n">
        <v>35</v>
      </c>
      <c r="P1149" s="48" t="s">
        <v>172</v>
      </c>
      <c r="Q1149" s="50"/>
      <c r="R1149" s="53" t="n">
        <f aca="false">IF(BW1149=1,0,IFERROR(VLOOKUP(BU1149,'Gebinde-Kategorie'!$A$5:$N$45,13,0)+0,0))</f>
        <v>26</v>
      </c>
      <c r="S1149" s="54"/>
      <c r="T1149" s="55" t="s">
        <v>279</v>
      </c>
      <c r="U1149" s="55"/>
      <c r="V1149" s="55"/>
      <c r="W1149" s="48"/>
      <c r="X1149" s="50"/>
      <c r="Y1149" s="50"/>
      <c r="Z1149" s="48" t="n">
        <f aca="false">IF(A1149="","",IF(AND(Parameter!$B$21="Ja",ISNUMBER(W1149)),W1149,IF(BZ1149="2+3",IF(ISNUMBER(SEARCH("grosser Artikel",BR1149)),2,IFERROR(VLOOKUP(BU1149,Parameter!$F$35:$G$64,2,0),2)),IF(OR(BZ1149="Nein",BZ1149=""),"-",BZ1149))))</f>
        <v>3</v>
      </c>
      <c r="AA1149" s="55"/>
      <c r="AB1149" s="56"/>
      <c r="AC1149" s="50" t="n">
        <f aca="false">AT1149</f>
        <v>20</v>
      </c>
      <c r="AD1149" s="50" t="n">
        <f aca="false">MAX(AT1149,H1149)</f>
        <v>20</v>
      </c>
      <c r="AE1149" s="57"/>
      <c r="AF1149" s="50" t="n">
        <f aca="false">IF(LEFT(Cockpit!$C$5,1)="A",H1149,IF(CE1149=1,CF1149,IF(LEFT(Cockpit!$C$5,1)="B",AK1149,MAX(AK1149,H1149))))</f>
        <v>2</v>
      </c>
      <c r="AG1149" s="50" t="n">
        <f aca="false">IF(BW1149=1,0,ROUNDUP(AF1149/BV1149,0))</f>
        <v>1</v>
      </c>
      <c r="AH1149" s="52" t="n">
        <f aca="false">IF(CL1149&gt;0,CL1149*MAX(1,AF1149/X1149),IF(BW1149=1,IF(AF1149&lt;=0,0,CA1149*MAX(1,IF(H1149&gt;0,AF1149/H1149,1))),IF(R1149&gt;0,AG1149/R1149,0))/MAX(0.1,N(Parameter!$M$21)))</f>
        <v>0.0384615384615385</v>
      </c>
      <c r="AI1149" s="50" t="n">
        <f aca="false">AH1149*BY1149</f>
        <v>5.96153846153846</v>
      </c>
      <c r="AJ1149" s="50" t="n">
        <f aca="false">AF1149*G1149</f>
        <v>303.64</v>
      </c>
      <c r="AK1149" s="50" t="n">
        <f aca="false">ROUNDUP(MAX(J1149/IF(CD1149&gt;0,CD1149,MAX(0.1,N(Cockpit!$C$6))),CG1149)/BV1149,0)*BV1149</f>
        <v>20</v>
      </c>
      <c r="AL1149" s="51" t="n">
        <f aca="false">IF(AI1149&gt;0,J1149/AI1149,-1)</f>
        <v>0.335483870967742</v>
      </c>
      <c r="AM1149" s="51" t="n">
        <f aca="false">IF(AND(OR(CC1149="L1",CC1149="L23",CC1149="LIFT"),AI1149&gt;0),SUMIFS($AI$7:$AI$1843,$CC$7:$CC$1843,CC1149,$AL$7:$AL$1843,"&gt;"&amp;AL1149)+SUMIFS($AI$7:$AI$1843,$CC$7:$CC$1843,CC1149,$AL$7:$AL$1843,AL1149,$BT$7:$BT$1843,"&lt;="&amp;BT1149),"")</f>
        <v>11236.6924241013</v>
      </c>
      <c r="AN1149" s="58" t="n">
        <f aca="false">IF(AM1149="",0,MAX(0,MIN(1,(IF(CC1149="L1",Parameter!$H$5,IF(CC1149="L23",Parameter!$H$6+Parameter!$H$7,Parameter!$H$5+Parameter!$H$6+Parameter!$H$7))-(AM1149-AI1149))/AI1149)))</f>
        <v>1</v>
      </c>
      <c r="AO1149" s="50" t="n">
        <f aca="false">IF(LEFT(Cockpit!$I$5,1)="A",H1149,IF(CE1149=1,CF1149,IF(LEFT(Cockpit!$I$5,1)="B",AT1149,MAX(AT1149,H1149))))</f>
        <v>20</v>
      </c>
      <c r="AP1149" s="50" t="n">
        <f aca="false">IF(BW1149=1,0,ROUNDUP(AO1149/BV1149,0))</f>
        <v>1</v>
      </c>
      <c r="AQ1149" s="52" t="n">
        <f aca="false">IF(CL1149&gt;0,CL1149*MAX(1,AO1149/X1149),IF(BW1149=1,IF(AO1149&lt;=0,0,CA1149*MAX(1,IF(H1149&gt;0,AO1149/H1149,1))),IF(R1149&gt;0,AP1149/R1149,0))/MAX(0.1,N(Parameter!$M$21)))</f>
        <v>0.0384615384615385</v>
      </c>
      <c r="AR1149" s="50" t="n">
        <f aca="false">AQ1149*BY1149</f>
        <v>5.96153846153846</v>
      </c>
      <c r="AS1149" s="50" t="n">
        <f aca="false">AO1149*G1149</f>
        <v>3036.4</v>
      </c>
      <c r="AT1149" s="50" t="n">
        <f aca="false">ROUNDUP(MAX(J1149/IF(CD1149&gt;0,CD1149,MAX(0.1,N(Cockpit!$I$6))),CG1149)/BV1149,0)*BV1149</f>
        <v>20</v>
      </c>
      <c r="AU1149" s="51" t="n">
        <f aca="false">IF(AR1149&gt;0,J1149/AR1149,-1)</f>
        <v>0.335483870967742</v>
      </c>
      <c r="AV1149" s="51" t="n">
        <f aca="false">IF(AND(OR(CC1149="L1",CC1149="L23",CC1149="LIFT"),AR1149&gt;0),SUMIFS($AR$7:$AR$1843,$CC$7:$CC$1843,CC1149,$AU$7:$AU$1843,"&gt;"&amp;AU1149)+SUMIFS($AR$7:$AR$1843,$CC$7:$CC$1843,CC1149,$AU$7:$AU$1843,AU1149,$BT$7:$BT$1843,"&lt;="&amp;BT1149),"")</f>
        <v>16362.3905677656</v>
      </c>
      <c r="AW1149" s="58" t="n">
        <f aca="false">IF(AV1149="",0,MAX(0,MIN(1,(IF(CC1149="L1",Parameter!$H$5,IF(CC1149="L23",Parameter!$H$6+Parameter!$H$7,Parameter!$H$5+Parameter!$H$6+Parameter!$H$7))-(AV1149-AR1149))/AR1149)))</f>
        <v>1</v>
      </c>
      <c r="AX1149" s="50" t="n">
        <f aca="false">IF(LEFT(Cockpit!$O$5,1)="A",H1149,IF(CE1149=1,CF1149,IF(LEFT(Cockpit!$O$5,1)="B",BC1149,MAX(BC1149,H1149))))</f>
        <v>20</v>
      </c>
      <c r="AY1149" s="50" t="n">
        <f aca="false">IF(BW1149=1,0,ROUNDUP(AX1149/BV1149,0))</f>
        <v>1</v>
      </c>
      <c r="AZ1149" s="52" t="n">
        <f aca="false">IF(CL1149&gt;0,CL1149*MAX(1,AX1149/X1149),IF(BW1149=1,IF(AX1149&lt;=0,0,CA1149*MAX(1,IF(H1149&gt;0,AX1149/H1149,1))),IF(R1149&gt;0,AY1149/R1149,0))/MAX(0.1,N(Parameter!$M$21)))</f>
        <v>0.0384615384615385</v>
      </c>
      <c r="BA1149" s="50" t="n">
        <f aca="false">AZ1149*BY1149</f>
        <v>5.96153846153846</v>
      </c>
      <c r="BB1149" s="50" t="n">
        <f aca="false">AX1149*G1149</f>
        <v>3036.4</v>
      </c>
      <c r="BC1149" s="50" t="n">
        <f aca="false">ROUNDUP(MAX(J1149/IF(CD1149&gt;0,CD1149,MAX(0.1,N(Cockpit!$O$6))),CG1149)/BV1149,0)*BV1149</f>
        <v>20</v>
      </c>
      <c r="BD1149" s="51" t="n">
        <f aca="false">IF(BA1149&gt;0,J1149/BA1149,-1)</f>
        <v>0.335483870967742</v>
      </c>
      <c r="BE1149" s="51" t="n">
        <f aca="false">IF(AND(OR(CC1149="L1",CC1149="L23",CC1149="LIFT"),BA1149&gt;0),SUMIFS($BA$7:$BA$1843,$CC$7:$CC$1843,CC1149,$BD$7:$BD$1843,"&gt;"&amp;BD1149)+SUMIFS($BA$7:$BA$1843,$CC$7:$CC$1843,CC1149,$BD$7:$BD$1843,BD1149,$BT$7:$BT$1843,"&lt;="&amp;BT1149),"")</f>
        <v>15113.0476190476</v>
      </c>
      <c r="BF1149" s="58" t="n">
        <f aca="false">IF(BE1149="",0,MAX(0,MIN(1,(IF(CC1149="L1",Parameter!$H$5,IF(CC1149="L23",Parameter!$H$6+Parameter!$H$7,Parameter!$H$5+Parameter!$H$6+Parameter!$H$7))-(BE1149-BA1149))/BA1149)))</f>
        <v>1</v>
      </c>
      <c r="BG1149" s="48" t="str">
        <f aca="false">IF(AI1149&lt;=0,"",IF(CC1149="Aussen","Aussenlager",IF(CC1149="-","Nicht im Lift",IF(AN1149&gt;=1,"Lift",IF(AN1149&lt;=0,"Aussenlager","teilweise")))))</f>
        <v>Lift</v>
      </c>
      <c r="BH1149" s="48" t="str">
        <f aca="false">IF(AR1149&lt;=0,"",IF(CC1149="Aussen","Aussenlager",IF(CC1149="-","Nicht im Lift",IF(AW1149&gt;=1,"Lift",IF(AW1149&lt;=0,"Aussenlager","teilweise")))))</f>
        <v>Lift</v>
      </c>
      <c r="BI1149" s="48" t="str">
        <f aca="false">IF(BA1149&lt;=0,"",IF(CC1149="Aussen","Aussenlager",IF(CC1149="-","Nicht im Lift",IF(BF1149&gt;=1,"Lift",IF(BF1149&lt;=0,"Aussenlager","teilweise")))))</f>
        <v>Lift</v>
      </c>
      <c r="BJ1149" s="48" t="str">
        <f aca="false">IF(A1149="","",IF(BS1149=1,"Neu; ","")&amp;IF(AND(BS1149=0,BN1149&lt;0),"negativer Bestand (Export "&amp;BN1149&amp;"); ","")&amp;IF(J1149&lt;=0,"Kein Verbrauch; ","")&amp;IF(CL1149&gt;0,"Lift "&amp;W1149&amp;" lt. Liftbericht (Fach "&amp;X1149&amp;" Stk); ",IF(BX1149=1,"Gebinde geschätzt ("&amp;T1149&amp;"); ",IF(BW1149=1,"Lose – Tablare geschätzt; ","")))&amp;IF(H1149&gt;AT1149,"Überbestand "&amp;ROUND(H1149-AT1149,0)&amp;" Stk / CHF "&amp;ROUND((H1149-AT1149)*G1149,0)&amp;"; ","")&amp;IF(AND(CE1149=1,CF1149&lt;CG1149),"MAX &lt; MB+LG; ","")&amp;IF(AND(CK1149&gt;0,CJ1149*10&gt;CK1149),"zu hoch für Tablar; ","")&amp;IF(AND(BS1149=0,OR(CE1149=1,AA1149&lt;&gt;"",U1149&lt;&gt;"",V1149&lt;&gt;"",AB1149&lt;&gt;"")),"manuell übersteuert; ","")&amp;IF(AND(BW1149=0,R1149=0),"Gebinde unbekannt / Stellmass fehlt; ","")&amp;IF(AND(BW1149=0,N(V1149)&lt;=0,N(Q1149)&lt;=0),"Menge pro Gebinde fehlt (Ist = 1 Gebinde); ","")&amp;BR1149)</f>
        <v>negativer Bestand (Export -2); Gebinde geschätzt (Klein); Menge pro Gebinde fehlt (Ist = 1 Gebinde); </v>
      </c>
      <c r="BK1149" s="48"/>
      <c r="BL1149" s="48"/>
      <c r="BM1149" s="55"/>
      <c r="BN1149" s="50" t="n">
        <v>-2</v>
      </c>
      <c r="BO1149" s="50" t="n">
        <v>4</v>
      </c>
      <c r="BP1149" s="49" t="n">
        <v>-303.64</v>
      </c>
      <c r="BQ1149" s="50" t="n">
        <v>2</v>
      </c>
      <c r="BR1149" s="48"/>
      <c r="BS1149" s="53" t="n">
        <v>0</v>
      </c>
      <c r="BT1149" s="53" t="n">
        <v>1149</v>
      </c>
      <c r="BU1149" s="48" t="str">
        <f aca="false">IF(U1149&lt;&gt;"",UPPER(TRIM(U1149)),IF(BX1149=1,UPPER(VLOOKUP(T1149,Parameter!$I$27:$K$29,2,0)),IF(P1149="","LOSE",P1149)))</f>
        <v>S51</v>
      </c>
      <c r="BV1149" s="50" t="n">
        <f aca="false">IF(BU1149="LOSE",1,IF(N(V1149)&gt;0,V1149,IF(BX1149=1,MAX(1,N(VLOOKUP(T1149,Parameter!$I$27:$K$29,3,0)),H1149,N(N1149)),IF(N(Q1149)&gt;0,Q1149,MAX(1,H1149)))))</f>
        <v>20</v>
      </c>
      <c r="BW1149" s="53" t="n">
        <f aca="false">IF(BU1149="LOSE",1,0)</f>
        <v>0</v>
      </c>
      <c r="BX1149" s="53" t="n">
        <f aca="false">IF(AND(U1149="",OR(P1149="",P1149="LOSE"),T1149&lt;&gt;"",N(S1149)&lt;=0,ISNUMBER(MATCH(T1149,Parameter!$I$27:$I$29,0))),1,0)</f>
        <v>1</v>
      </c>
      <c r="BY1149" s="53" t="n">
        <f aca="false">IF(CL1149&gt;0,INDEX(Parameter!$H$5:$H$7,W1149)/INDEX(Parameter!$E$5:$E$7,W1149),IF(AND(BW1149=0,N(IFERROR(VLOOKUP(BU1149,'Gebinde-Kategorie'!$A$5:$N$45,14,0),0))&gt;0),VLOOKUP(BU1149,'Gebinde-Kategorie'!$A$5:$N$45,14,0)*10+Parameter!$M$23,Parameter!$M$24))</f>
        <v>155</v>
      </c>
      <c r="BZ1149" s="48" t="str">
        <f aca="false">IF(AND(Parameter!$B$19="Ja",E1149&lt;&gt;"",ISNUMBER(MATCH(E1149,Parameter!$I$35:$I$52,0))),VLOOKUP(E1149,Parameter!$I$35:$J$52,2,0),IFERROR(VLOOKUP(D1149,Parameter!$A$35:$C$64,2,0),"Nein"))</f>
        <v>2+3</v>
      </c>
      <c r="CA1149" s="52" t="n">
        <f aca="false">IF(BW1149=0,0,IF(N(S1149)&gt;0,S1149,IFERROR(VLOOKUP(D1149,Parameter!$A$35:$C$64,3,0)+0,0)))</f>
        <v>0</v>
      </c>
      <c r="CB1149" s="48" t="n">
        <f aca="false">IF(AA1149&lt;&gt;"",AA1149,Z1149)</f>
        <v>3</v>
      </c>
      <c r="CC1149" s="48" t="str">
        <f aca="false">IF(OR(CB1149=1,CB1149=2,CB1149=3),IF(Parameter!$E$27="Ja","LIFT",IF(CB1149=1,"L1","L23")),IF(CB1149="Aussen","Aussen","-"))</f>
        <v>LIFT</v>
      </c>
      <c r="CD1149" s="59" t="n">
        <f aca="false">IF(N(AB1149)&gt;0,AB1149,0)</f>
        <v>0</v>
      </c>
      <c r="CE1149" s="53" t="n">
        <f aca="false">IF(ISNUMBER(AE1149),1,0)</f>
        <v>0</v>
      </c>
      <c r="CF1149" s="50" t="n">
        <f aca="false">N(AE1149)</f>
        <v>0</v>
      </c>
      <c r="CG1149" s="50" t="n">
        <f aca="false">N(M1149)+N(N1149)</f>
        <v>1</v>
      </c>
      <c r="CH1149" s="50" t="n">
        <f aca="false">ROUNDUP(H1149/BV1149,0)</f>
        <v>1</v>
      </c>
      <c r="CI1149" s="50" t="n">
        <f aca="false">ROUNDUP(CF1149/BV1149,0)</f>
        <v>0</v>
      </c>
      <c r="CJ1149" s="53" t="n">
        <f aca="false">IF(BW1149=1,0,IFERROR(VLOOKUP(BU1149,'Gebinde-Kategorie'!$A$5:$N$45,5,0)+0,0))</f>
        <v>11</v>
      </c>
      <c r="CK1149" s="53" t="n">
        <f aca="false">IFERROR(IF(OR(CB1149=1,CB1149=2,CB1149=3),N(INDEX(Parameter!$I$5:$I$7,CB1149)),0),0)</f>
        <v>0</v>
      </c>
      <c r="CL1149" s="52" t="n">
        <f aca="false">IF(AND(Parameter!$B$21="Ja",ISNUMBER(W1149),N(X1149)&gt;0),IFERROR(N(INDEX(Parameter!$L$5:$L$7,W1149))*INDEX(Parameter!$E$5:$E$7,W1149)*X1149/SUMIFS($X$7:$X$1843,$W$7:$W$1843,W1149),0),0)</f>
        <v>0</v>
      </c>
    </row>
    <row r="1150" customFormat="false" ht="15" hidden="false" customHeight="false" outlineLevel="0" collapsed="false">
      <c r="A1150" s="48" t="s">
        <v>2081</v>
      </c>
      <c r="B1150" s="48" t="s">
        <v>2038</v>
      </c>
      <c r="C1150" s="48" t="s">
        <v>168</v>
      </c>
      <c r="D1150" s="48" t="s">
        <v>188</v>
      </c>
      <c r="E1150" s="48" t="s">
        <v>189</v>
      </c>
      <c r="F1150" s="48" t="s">
        <v>222</v>
      </c>
      <c r="G1150" s="49" t="n">
        <v>29.34</v>
      </c>
      <c r="H1150" s="50" t="n">
        <f aca="false">MAX(0,IF(AND(Parameter!$B$21="Ja",ISNUMBER(Y1150)),Y1150,IF(Parameter!$B$20="Jahresanfang 2025 + Export",BO1150+BN1150,BN1150)))</f>
        <v>9</v>
      </c>
      <c r="I1150" s="50" t="n">
        <f aca="false">H1150*G1150</f>
        <v>264.06</v>
      </c>
      <c r="J1150" s="50" t="n">
        <f aca="false">BQ1150*Parameter!$B$18</f>
        <v>20</v>
      </c>
      <c r="K1150" s="51" t="n">
        <v>15</v>
      </c>
      <c r="L1150" s="52" t="n">
        <v>1.33333333333333</v>
      </c>
      <c r="M1150" s="50" t="n">
        <v>2</v>
      </c>
      <c r="N1150" s="50" t="n">
        <v>20</v>
      </c>
      <c r="O1150" s="53" t="n">
        <v>42</v>
      </c>
      <c r="P1150" s="48" t="s">
        <v>480</v>
      </c>
      <c r="Q1150" s="50" t="n">
        <v>26</v>
      </c>
      <c r="R1150" s="53" t="n">
        <f aca="false">IF(BW1150=1,0,IFERROR(VLOOKUP(BU1150,'Gebinde-Kategorie'!$A$5:$N$45,13,0)+0,0))</f>
        <v>52</v>
      </c>
      <c r="S1150" s="54"/>
      <c r="T1150" s="55"/>
      <c r="U1150" s="55"/>
      <c r="V1150" s="55"/>
      <c r="W1150" s="48"/>
      <c r="X1150" s="50"/>
      <c r="Y1150" s="50"/>
      <c r="Z1150" s="48" t="n">
        <f aca="false">IF(A1150="","",IF(AND(Parameter!$B$21="Ja",ISNUMBER(W1150)),W1150,IF(BZ1150="2+3",IF(ISNUMBER(SEARCH("grosser Artikel",BR1150)),2,IFERROR(VLOOKUP(BU1150,Parameter!$F$35:$G$64,2,0),2)),IF(OR(BZ1150="Nein",BZ1150=""),"-",BZ1150))))</f>
        <v>3</v>
      </c>
      <c r="AA1150" s="55"/>
      <c r="AB1150" s="56"/>
      <c r="AC1150" s="50" t="n">
        <f aca="false">AT1150</f>
        <v>26</v>
      </c>
      <c r="AD1150" s="50" t="n">
        <f aca="false">MAX(AT1150,H1150)</f>
        <v>26</v>
      </c>
      <c r="AE1150" s="57"/>
      <c r="AF1150" s="50" t="n">
        <f aca="false">IF(LEFT(Cockpit!$C$5,1)="A",H1150,IF(CE1150=1,CF1150,IF(LEFT(Cockpit!$C$5,1)="B",AK1150,MAX(AK1150,H1150))))</f>
        <v>9</v>
      </c>
      <c r="AG1150" s="50" t="n">
        <f aca="false">IF(BW1150=1,0,ROUNDUP(AF1150/BV1150,0))</f>
        <v>1</v>
      </c>
      <c r="AH1150" s="52" t="n">
        <f aca="false">IF(CL1150&gt;0,CL1150*MAX(1,AF1150/X1150),IF(BW1150=1,IF(AF1150&lt;=0,0,CA1150*MAX(1,IF(H1150&gt;0,AF1150/H1150,1))),IF(R1150&gt;0,AG1150/R1150,0))/MAX(0.1,N(Parameter!$M$21)))</f>
        <v>0.0192307692307692</v>
      </c>
      <c r="AI1150" s="50" t="n">
        <f aca="false">AH1150*BY1150</f>
        <v>2.98076923076923</v>
      </c>
      <c r="AJ1150" s="50" t="n">
        <f aca="false">AF1150*G1150</f>
        <v>264.06</v>
      </c>
      <c r="AK1150" s="50" t="n">
        <f aca="false">ROUNDUP(MAX(J1150/IF(CD1150&gt;0,CD1150,MAX(0.1,N(Cockpit!$C$6))),CG1150)/BV1150,0)*BV1150</f>
        <v>26</v>
      </c>
      <c r="AL1150" s="51" t="n">
        <f aca="false">IF(AI1150&gt;0,J1150/AI1150,-1)</f>
        <v>6.70967741935484</v>
      </c>
      <c r="AM1150" s="51" t="n">
        <f aca="false">IF(AND(OR(CC1150="L1",CC1150="L23",CC1150="LIFT"),AI1150&gt;0),SUMIFS($AI$7:$AI$1843,$CC$7:$CC$1843,CC1150,$AL$7:$AL$1843,"&gt;"&amp;AL1150)+SUMIFS($AI$7:$AI$1843,$CC$7:$CC$1843,CC1150,$AL$7:$AL$1843,AL1150,$BT$7:$BT$1843,"&lt;="&amp;BT1150),"")</f>
        <v>3397.12408424908</v>
      </c>
      <c r="AN1150" s="58" t="n">
        <f aca="false">IF(AM1150="",0,MAX(0,MIN(1,(IF(CC1150="L1",Parameter!$H$5,IF(CC1150="L23",Parameter!$H$6+Parameter!$H$7,Parameter!$H$5+Parameter!$H$6+Parameter!$H$7))-(AM1150-AI1150))/AI1150)))</f>
        <v>1</v>
      </c>
      <c r="AO1150" s="50" t="n">
        <f aca="false">IF(LEFT(Cockpit!$I$5,1)="A",H1150,IF(CE1150=1,CF1150,IF(LEFT(Cockpit!$I$5,1)="B",AT1150,MAX(AT1150,H1150))))</f>
        <v>26</v>
      </c>
      <c r="AP1150" s="50" t="n">
        <f aca="false">IF(BW1150=1,0,ROUNDUP(AO1150/BV1150,0))</f>
        <v>1</v>
      </c>
      <c r="AQ1150" s="52" t="n">
        <f aca="false">IF(CL1150&gt;0,CL1150*MAX(1,AO1150/X1150),IF(BW1150=1,IF(AO1150&lt;=0,0,CA1150*MAX(1,IF(H1150&gt;0,AO1150/H1150,1))),IF(R1150&gt;0,AP1150/R1150,0))/MAX(0.1,N(Parameter!$M$21)))</f>
        <v>0.0192307692307692</v>
      </c>
      <c r="AR1150" s="50" t="n">
        <f aca="false">AQ1150*BY1150</f>
        <v>2.98076923076923</v>
      </c>
      <c r="AS1150" s="50" t="n">
        <f aca="false">AO1150*G1150</f>
        <v>762.84</v>
      </c>
      <c r="AT1150" s="50" t="n">
        <f aca="false">ROUNDUP(MAX(J1150/IF(CD1150&gt;0,CD1150,MAX(0.1,N(Cockpit!$I$6))),CG1150)/BV1150,0)*BV1150</f>
        <v>26</v>
      </c>
      <c r="AU1150" s="51" t="n">
        <f aca="false">IF(AR1150&gt;0,J1150/AR1150,-1)</f>
        <v>6.70967741935484</v>
      </c>
      <c r="AV1150" s="51" t="n">
        <f aca="false">IF(AND(OR(CC1150="L1",CC1150="L23",CC1150="LIFT"),AR1150&gt;0),SUMIFS($AR$7:$AR$1843,$CC$7:$CC$1843,CC1150,$AU$7:$AU$1843,"&gt;"&amp;AU1150)+SUMIFS($AR$7:$AR$1843,$CC$7:$CC$1843,CC1150,$AU$7:$AU$1843,AU1150,$BT$7:$BT$1843,"&lt;="&amp;BT1150),"")</f>
        <v>4533.35851648352</v>
      </c>
      <c r="AW1150" s="58" t="n">
        <f aca="false">IF(AV1150="",0,MAX(0,MIN(1,(IF(CC1150="L1",Parameter!$H$5,IF(CC1150="L23",Parameter!$H$6+Parameter!$H$7,Parameter!$H$5+Parameter!$H$6+Parameter!$H$7))-(AV1150-AR1150))/AR1150)))</f>
        <v>1</v>
      </c>
      <c r="AX1150" s="50" t="n">
        <f aca="false">IF(LEFT(Cockpit!$O$5,1)="A",H1150,IF(CE1150=1,CF1150,IF(LEFT(Cockpit!$O$5,1)="B",BC1150,MAX(BC1150,H1150))))</f>
        <v>26</v>
      </c>
      <c r="AY1150" s="50" t="n">
        <f aca="false">IF(BW1150=1,0,ROUNDUP(AX1150/BV1150,0))</f>
        <v>1</v>
      </c>
      <c r="AZ1150" s="52" t="n">
        <f aca="false">IF(CL1150&gt;0,CL1150*MAX(1,AX1150/X1150),IF(BW1150=1,IF(AX1150&lt;=0,0,CA1150*MAX(1,IF(H1150&gt;0,AX1150/H1150,1))),IF(R1150&gt;0,AY1150/R1150,0))/MAX(0.1,N(Parameter!$M$21)))</f>
        <v>0.0192307692307692</v>
      </c>
      <c r="BA1150" s="50" t="n">
        <f aca="false">AZ1150*BY1150</f>
        <v>2.98076923076923</v>
      </c>
      <c r="BB1150" s="50" t="n">
        <f aca="false">AX1150*G1150</f>
        <v>762.84</v>
      </c>
      <c r="BC1150" s="50" t="n">
        <f aca="false">ROUNDUP(MAX(J1150/IF(CD1150&gt;0,CD1150,MAX(0.1,N(Cockpit!$O$6))),CG1150)/BV1150,0)*BV1150</f>
        <v>26</v>
      </c>
      <c r="BD1150" s="51" t="n">
        <f aca="false">IF(BA1150&gt;0,J1150/BA1150,-1)</f>
        <v>6.70967741935484</v>
      </c>
      <c r="BE1150" s="51" t="n">
        <f aca="false">IF(AND(OR(CC1150="L1",CC1150="L23",CC1150="LIFT"),BA1150&gt;0),SUMIFS($BA$7:$BA$1843,$CC$7:$CC$1843,CC1150,$BD$7:$BD$1843,"&gt;"&amp;BD1150)+SUMIFS($BA$7:$BA$1843,$CC$7:$CC$1843,CC1150,$BD$7:$BD$1843,BD1150,$BT$7:$BT$1843,"&lt;="&amp;BT1150),"")</f>
        <v>4324.65659340659</v>
      </c>
      <c r="BF1150" s="58" t="n">
        <f aca="false">IF(BE1150="",0,MAX(0,MIN(1,(IF(CC1150="L1",Parameter!$H$5,IF(CC1150="L23",Parameter!$H$6+Parameter!$H$7,Parameter!$H$5+Parameter!$H$6+Parameter!$H$7))-(BE1150-BA1150))/BA1150)))</f>
        <v>1</v>
      </c>
      <c r="BG1150" s="48" t="str">
        <f aca="false">IF(AI1150&lt;=0,"",IF(CC1150="Aussen","Aussenlager",IF(CC1150="-","Nicht im Lift",IF(AN1150&gt;=1,"Lift",IF(AN1150&lt;=0,"Aussenlager","teilweise")))))</f>
        <v>Lift</v>
      </c>
      <c r="BH1150" s="48" t="str">
        <f aca="false">IF(AR1150&lt;=0,"",IF(CC1150="Aussen","Aussenlager",IF(CC1150="-","Nicht im Lift",IF(AW1150&gt;=1,"Lift",IF(AW1150&lt;=0,"Aussenlager","teilweise")))))</f>
        <v>Lift</v>
      </c>
      <c r="BI1150" s="48" t="str">
        <f aca="false">IF(BA1150&lt;=0,"",IF(CC1150="Aussen","Aussenlager",IF(CC1150="-","Nicht im Lift",IF(BF1150&gt;=1,"Lift",IF(BF1150&lt;=0,"Aussenlager","teilweise")))))</f>
        <v>Lift</v>
      </c>
      <c r="BJ1150" s="48" t="str">
        <f aca="false">IF(A1150="","",IF(BS1150=1,"Neu; ","")&amp;IF(AND(BS1150=0,BN1150&lt;0),"negativer Bestand (Export "&amp;BN1150&amp;"); ","")&amp;IF(J1150&lt;=0,"Kein Verbrauch; ","")&amp;IF(CL1150&gt;0,"Lift "&amp;W1150&amp;" lt. Liftbericht (Fach "&amp;X1150&amp;" Stk); ",IF(BX1150=1,"Gebinde geschätzt ("&amp;T1150&amp;"); ",IF(BW1150=1,"Lose – Tablare geschätzt; ","")))&amp;IF(H1150&gt;AT1150,"Überbestand "&amp;ROUND(H1150-AT1150,0)&amp;" Stk / CHF "&amp;ROUND((H1150-AT1150)*G1150,0)&amp;"; ","")&amp;IF(AND(CE1150=1,CF1150&lt;CG1150),"MAX &lt; MB+LG; ","")&amp;IF(AND(CK1150&gt;0,CJ1150*10&gt;CK1150),"zu hoch für Tablar; ","")&amp;IF(AND(BS1150=0,OR(CE1150=1,AA1150&lt;&gt;"",U1150&lt;&gt;"",V1150&lt;&gt;"",AB1150&lt;&gt;"")),"manuell übersteuert; ","")&amp;IF(AND(BW1150=0,R1150=0),"Gebinde unbekannt / Stellmass fehlt; ","")&amp;IF(AND(BW1150=0,N(V1150)&lt;=0,N(Q1150)&lt;=0),"Menge pro Gebinde fehlt (Ist = 1 Gebinde); ","")&amp;BR1150)</f>
        <v>negativer Bestand (Export -6); </v>
      </c>
      <c r="BK1150" s="48"/>
      <c r="BL1150" s="48"/>
      <c r="BM1150" s="55"/>
      <c r="BN1150" s="50" t="n">
        <v>-6</v>
      </c>
      <c r="BO1150" s="50" t="n">
        <v>15</v>
      </c>
      <c r="BP1150" s="49" t="n">
        <v>-309.54</v>
      </c>
      <c r="BQ1150" s="50" t="n">
        <v>20</v>
      </c>
      <c r="BR1150" s="48"/>
      <c r="BS1150" s="53" t="n">
        <v>0</v>
      </c>
      <c r="BT1150" s="53" t="n">
        <v>1150</v>
      </c>
      <c r="BU1150" s="48" t="str">
        <f aca="false">IF(U1150&lt;&gt;"",UPPER(TRIM(U1150)),IF(BX1150=1,UPPER(VLOOKUP(T1150,Parameter!$I$27:$K$29,2,0)),IF(P1150="","LOSE",P1150)))</f>
        <v>S33</v>
      </c>
      <c r="BV1150" s="50" t="n">
        <f aca="false">IF(BU1150="LOSE",1,IF(N(V1150)&gt;0,V1150,IF(BX1150=1,MAX(1,N(VLOOKUP(T1150,Parameter!$I$27:$K$29,3,0)),H1150,N(N1150)),IF(N(Q1150)&gt;0,Q1150,MAX(1,H1150)))))</f>
        <v>26</v>
      </c>
      <c r="BW1150" s="53" t="n">
        <f aca="false">IF(BU1150="LOSE",1,0)</f>
        <v>0</v>
      </c>
      <c r="BX1150" s="53" t="n">
        <f aca="false">IF(AND(U1150="",OR(P1150="",P1150="LOSE"),T1150&lt;&gt;"",N(S1150)&lt;=0,ISNUMBER(MATCH(T1150,Parameter!$I$27:$I$29,0))),1,0)</f>
        <v>0</v>
      </c>
      <c r="BY1150" s="53" t="n">
        <f aca="false">IF(CL1150&gt;0,INDEX(Parameter!$H$5:$H$7,W1150)/INDEX(Parameter!$E$5:$E$7,W1150),IF(AND(BW1150=0,N(IFERROR(VLOOKUP(BU1150,'Gebinde-Kategorie'!$A$5:$N$45,14,0),0))&gt;0),VLOOKUP(BU1150,'Gebinde-Kategorie'!$A$5:$N$45,14,0)*10+Parameter!$M$23,Parameter!$M$24))</f>
        <v>155</v>
      </c>
      <c r="BZ1150" s="48" t="str">
        <f aca="false">IF(AND(Parameter!$B$19="Ja",E1150&lt;&gt;"",ISNUMBER(MATCH(E1150,Parameter!$I$35:$I$52,0))),VLOOKUP(E1150,Parameter!$I$35:$J$52,2,0),IFERROR(VLOOKUP(D1150,Parameter!$A$35:$C$64,2,0),"Nein"))</f>
        <v>2+3</v>
      </c>
      <c r="CA1150" s="52" t="n">
        <f aca="false">IF(BW1150=0,0,IF(N(S1150)&gt;0,S1150,IFERROR(VLOOKUP(D1150,Parameter!$A$35:$C$64,3,0)+0,0)))</f>
        <v>0</v>
      </c>
      <c r="CB1150" s="48" t="n">
        <f aca="false">IF(AA1150&lt;&gt;"",AA1150,Z1150)</f>
        <v>3</v>
      </c>
      <c r="CC1150" s="48" t="str">
        <f aca="false">IF(OR(CB1150=1,CB1150=2,CB1150=3),IF(Parameter!$E$27="Ja","LIFT",IF(CB1150=1,"L1","L23")),IF(CB1150="Aussen","Aussen","-"))</f>
        <v>LIFT</v>
      </c>
      <c r="CD1150" s="59" t="n">
        <f aca="false">IF(N(AB1150)&gt;0,AB1150,0)</f>
        <v>0</v>
      </c>
      <c r="CE1150" s="53" t="n">
        <f aca="false">IF(ISNUMBER(AE1150),1,0)</f>
        <v>0</v>
      </c>
      <c r="CF1150" s="50" t="n">
        <f aca="false">N(AE1150)</f>
        <v>0</v>
      </c>
      <c r="CG1150" s="50" t="n">
        <f aca="false">N(M1150)+N(N1150)</f>
        <v>22</v>
      </c>
      <c r="CH1150" s="50" t="n">
        <f aca="false">ROUNDUP(H1150/BV1150,0)</f>
        <v>1</v>
      </c>
      <c r="CI1150" s="50" t="n">
        <f aca="false">ROUNDUP(CF1150/BV1150,0)</f>
        <v>0</v>
      </c>
      <c r="CJ1150" s="53" t="n">
        <f aca="false">IF(BW1150=1,0,IFERROR(VLOOKUP(BU1150,'Gebinde-Kategorie'!$A$5:$N$45,5,0)+0,0))</f>
        <v>8</v>
      </c>
      <c r="CK1150" s="53" t="n">
        <f aca="false">IFERROR(IF(OR(CB1150=1,CB1150=2,CB1150=3),N(INDEX(Parameter!$I$5:$I$7,CB1150)),0),0)</f>
        <v>0</v>
      </c>
      <c r="CL1150" s="52" t="n">
        <f aca="false">IF(AND(Parameter!$B$21="Ja",ISNUMBER(W1150),N(X1150)&gt;0),IFERROR(N(INDEX(Parameter!$L$5:$L$7,W1150))*INDEX(Parameter!$E$5:$E$7,W1150)*X1150/SUMIFS($X$7:$X$1843,$W$7:$W$1843,W1150),0),0)</f>
        <v>0</v>
      </c>
    </row>
    <row r="1151" customFormat="false" ht="15" hidden="false" customHeight="false" outlineLevel="0" collapsed="false">
      <c r="A1151" s="48" t="s">
        <v>2082</v>
      </c>
      <c r="B1151" s="48" t="s">
        <v>2083</v>
      </c>
      <c r="C1151" s="48" t="s">
        <v>168</v>
      </c>
      <c r="D1151" s="48" t="s">
        <v>188</v>
      </c>
      <c r="E1151" s="48" t="s">
        <v>189</v>
      </c>
      <c r="F1151" s="48" t="s">
        <v>222</v>
      </c>
      <c r="G1151" s="49" t="n">
        <v>130.65</v>
      </c>
      <c r="H1151" s="50" t="n">
        <f aca="false">MAX(0,IF(AND(Parameter!$B$21="Ja",ISNUMBER(Y1151)),Y1151,IF(Parameter!$B$20="Jahresanfang 2025 + Export",BO1151+BN1151,BN1151)))</f>
        <v>1</v>
      </c>
      <c r="I1151" s="50" t="n">
        <f aca="false">H1151*G1151</f>
        <v>130.65</v>
      </c>
      <c r="J1151" s="50" t="n">
        <f aca="false">BQ1151*Parameter!$B$18</f>
        <v>2</v>
      </c>
      <c r="K1151" s="51" t="n">
        <v>3</v>
      </c>
      <c r="L1151" s="52" t="n">
        <v>0.666666666666667</v>
      </c>
      <c r="M1151" s="50" t="n">
        <v>0</v>
      </c>
      <c r="N1151" s="50" t="n">
        <v>1</v>
      </c>
      <c r="O1151" s="53" t="n">
        <v>28</v>
      </c>
      <c r="P1151" s="48" t="s">
        <v>425</v>
      </c>
      <c r="Q1151" s="50" t="n">
        <v>3</v>
      </c>
      <c r="R1151" s="53" t="n">
        <f aca="false">IF(BW1151=1,0,IFERROR(VLOOKUP(BU1151,'Gebinde-Kategorie'!$A$5:$N$45,13,0)+0,0))</f>
        <v>104</v>
      </c>
      <c r="S1151" s="54"/>
      <c r="T1151" s="55"/>
      <c r="U1151" s="55"/>
      <c r="V1151" s="55"/>
      <c r="W1151" s="48"/>
      <c r="X1151" s="50"/>
      <c r="Y1151" s="50"/>
      <c r="Z1151" s="48" t="n">
        <f aca="false">IF(A1151="","",IF(AND(Parameter!$B$21="Ja",ISNUMBER(W1151)),W1151,IF(BZ1151="2+3",IF(ISNUMBER(SEARCH("grosser Artikel",BR1151)),2,IFERROR(VLOOKUP(BU1151,Parameter!$F$35:$G$64,2,0),2)),IF(OR(BZ1151="Nein",BZ1151=""),"-",BZ1151))))</f>
        <v>2</v>
      </c>
      <c r="AA1151" s="55"/>
      <c r="AB1151" s="56"/>
      <c r="AC1151" s="50" t="n">
        <f aca="false">AT1151</f>
        <v>3</v>
      </c>
      <c r="AD1151" s="50" t="n">
        <f aca="false">MAX(AT1151,H1151)</f>
        <v>3</v>
      </c>
      <c r="AE1151" s="57"/>
      <c r="AF1151" s="50" t="n">
        <f aca="false">IF(LEFT(Cockpit!$C$5,1)="A",H1151,IF(CE1151=1,CF1151,IF(LEFT(Cockpit!$C$5,1)="B",AK1151,MAX(AK1151,H1151))))</f>
        <v>1</v>
      </c>
      <c r="AG1151" s="50" t="n">
        <f aca="false">IF(BW1151=1,0,ROUNDUP(AF1151/BV1151,0))</f>
        <v>1</v>
      </c>
      <c r="AH1151" s="52" t="n">
        <f aca="false">IF(CL1151&gt;0,CL1151*MAX(1,AF1151/X1151),IF(BW1151=1,IF(AF1151&lt;=0,0,CA1151*MAX(1,IF(H1151&gt;0,AF1151/H1151,1))),IF(R1151&gt;0,AG1151/R1151,0))/MAX(0.1,N(Parameter!$M$21)))</f>
        <v>0.00961538461538462</v>
      </c>
      <c r="AI1151" s="50" t="n">
        <f aca="false">AH1151*BY1151</f>
        <v>1.49038461538462</v>
      </c>
      <c r="AJ1151" s="50" t="n">
        <f aca="false">AF1151*G1151</f>
        <v>130.65</v>
      </c>
      <c r="AK1151" s="50" t="n">
        <f aca="false">ROUNDUP(MAX(J1151/IF(CD1151&gt;0,CD1151,MAX(0.1,N(Cockpit!$C$6))),CG1151)/BV1151,0)*BV1151</f>
        <v>3</v>
      </c>
      <c r="AL1151" s="51" t="n">
        <f aca="false">IF(AI1151&gt;0,J1151/AI1151,-1)</f>
        <v>1.34193548387097</v>
      </c>
      <c r="AM1151" s="51" t="n">
        <f aca="false">IF(AND(OR(CC1151="L1",CC1151="L23",CC1151="LIFT"),AI1151&gt;0),SUMIFS($AI$7:$AI$1843,$CC$7:$CC$1843,CC1151,$AL$7:$AL$1843,"&gt;"&amp;AL1151)+SUMIFS($AI$7:$AI$1843,$CC$7:$CC$1843,CC1151,$AL$7:$AL$1843,AL1151,$BT$7:$BT$1843,"&lt;="&amp;BT1151),"")</f>
        <v>6357.97481684982</v>
      </c>
      <c r="AN1151" s="58" t="n">
        <f aca="false">IF(AM1151="",0,MAX(0,MIN(1,(IF(CC1151="L1",Parameter!$H$5,IF(CC1151="L23",Parameter!$H$6+Parameter!$H$7,Parameter!$H$5+Parameter!$H$6+Parameter!$H$7))-(AM1151-AI1151))/AI1151)))</f>
        <v>1</v>
      </c>
      <c r="AO1151" s="50" t="n">
        <f aca="false">IF(LEFT(Cockpit!$I$5,1)="A",H1151,IF(CE1151=1,CF1151,IF(LEFT(Cockpit!$I$5,1)="B",AT1151,MAX(AT1151,H1151))))</f>
        <v>3</v>
      </c>
      <c r="AP1151" s="50" t="n">
        <f aca="false">IF(BW1151=1,0,ROUNDUP(AO1151/BV1151,0))</f>
        <v>1</v>
      </c>
      <c r="AQ1151" s="52" t="n">
        <f aca="false">IF(CL1151&gt;0,CL1151*MAX(1,AO1151/X1151),IF(BW1151=1,IF(AO1151&lt;=0,0,CA1151*MAX(1,IF(H1151&gt;0,AO1151/H1151,1))),IF(R1151&gt;0,AP1151/R1151,0))/MAX(0.1,N(Parameter!$M$21)))</f>
        <v>0.00961538461538462</v>
      </c>
      <c r="AR1151" s="50" t="n">
        <f aca="false">AQ1151*BY1151</f>
        <v>1.49038461538462</v>
      </c>
      <c r="AS1151" s="50" t="n">
        <f aca="false">AO1151*G1151</f>
        <v>391.95</v>
      </c>
      <c r="AT1151" s="50" t="n">
        <f aca="false">ROUNDUP(MAX(J1151/IF(CD1151&gt;0,CD1151,MAX(0.1,N(Cockpit!$I$6))),CG1151)/BV1151,0)*BV1151</f>
        <v>3</v>
      </c>
      <c r="AU1151" s="51" t="n">
        <f aca="false">IF(AR1151&gt;0,J1151/AR1151,-1)</f>
        <v>1.34193548387097</v>
      </c>
      <c r="AV1151" s="51" t="n">
        <f aca="false">IF(AND(OR(CC1151="L1",CC1151="L23",CC1151="LIFT"),AR1151&gt;0),SUMIFS($AR$7:$AR$1843,$CC$7:$CC$1843,CC1151,$AU$7:$AU$1843,"&gt;"&amp;AU1151)+SUMIFS($AR$7:$AR$1843,$CC$7:$CC$1843,CC1151,$AU$7:$AU$1843,AU1151,$BT$7:$BT$1843,"&lt;="&amp;BT1151),"")</f>
        <v>9428.46245421245</v>
      </c>
      <c r="AW1151" s="58" t="n">
        <f aca="false">IF(AV1151="",0,MAX(0,MIN(1,(IF(CC1151="L1",Parameter!$H$5,IF(CC1151="L23",Parameter!$H$6+Parameter!$H$7,Parameter!$H$5+Parameter!$H$6+Parameter!$H$7))-(AV1151-AR1151))/AR1151)))</f>
        <v>1</v>
      </c>
      <c r="AX1151" s="50" t="n">
        <f aca="false">IF(LEFT(Cockpit!$O$5,1)="A",H1151,IF(CE1151=1,CF1151,IF(LEFT(Cockpit!$O$5,1)="B",BC1151,MAX(BC1151,H1151))))</f>
        <v>3</v>
      </c>
      <c r="AY1151" s="50" t="n">
        <f aca="false">IF(BW1151=1,0,ROUNDUP(AX1151/BV1151,0))</f>
        <v>1</v>
      </c>
      <c r="AZ1151" s="52" t="n">
        <f aca="false">IF(CL1151&gt;0,CL1151*MAX(1,AX1151/X1151),IF(BW1151=1,IF(AX1151&lt;=0,0,CA1151*MAX(1,IF(H1151&gt;0,AX1151/H1151,1))),IF(R1151&gt;0,AY1151/R1151,0))/MAX(0.1,N(Parameter!$M$21)))</f>
        <v>0.00961538461538462</v>
      </c>
      <c r="BA1151" s="50" t="n">
        <f aca="false">AZ1151*BY1151</f>
        <v>1.49038461538462</v>
      </c>
      <c r="BB1151" s="50" t="n">
        <f aca="false">AX1151*G1151</f>
        <v>391.95</v>
      </c>
      <c r="BC1151" s="50" t="n">
        <f aca="false">ROUNDUP(MAX(J1151/IF(CD1151&gt;0,CD1151,MAX(0.1,N(Cockpit!$O$6))),CG1151)/BV1151,0)*BV1151</f>
        <v>3</v>
      </c>
      <c r="BD1151" s="51" t="n">
        <f aca="false">IF(BA1151&gt;0,J1151/BA1151,-1)</f>
        <v>1.34193548387097</v>
      </c>
      <c r="BE1151" s="51" t="n">
        <f aca="false">IF(AND(OR(CC1151="L1",CC1151="L23",CC1151="LIFT"),BA1151&gt;0),SUMIFS($BA$7:$BA$1843,$CC$7:$CC$1843,CC1151,$BD$7:$BD$1843,"&gt;"&amp;BD1151)+SUMIFS($BA$7:$BA$1843,$CC$7:$CC$1843,CC1151,$BD$7:$BD$1843,BD1151,$BT$7:$BT$1843,"&lt;="&amp;BT1151),"")</f>
        <v>8614.11950549451</v>
      </c>
      <c r="BF1151" s="58" t="n">
        <f aca="false">IF(BE1151="",0,MAX(0,MIN(1,(IF(CC1151="L1",Parameter!$H$5,IF(CC1151="L23",Parameter!$H$6+Parameter!$H$7,Parameter!$H$5+Parameter!$H$6+Parameter!$H$7))-(BE1151-BA1151))/BA1151)))</f>
        <v>1</v>
      </c>
      <c r="BG1151" s="48" t="str">
        <f aca="false">IF(AI1151&lt;=0,"",IF(CC1151="Aussen","Aussenlager",IF(CC1151="-","Nicht im Lift",IF(AN1151&gt;=1,"Lift",IF(AN1151&lt;=0,"Aussenlager","teilweise")))))</f>
        <v>Lift</v>
      </c>
      <c r="BH1151" s="48" t="str">
        <f aca="false">IF(AR1151&lt;=0,"",IF(CC1151="Aussen","Aussenlager",IF(CC1151="-","Nicht im Lift",IF(AW1151&gt;=1,"Lift",IF(AW1151&lt;=0,"Aussenlager","teilweise")))))</f>
        <v>Lift</v>
      </c>
      <c r="BI1151" s="48" t="str">
        <f aca="false">IF(BA1151&lt;=0,"",IF(CC1151="Aussen","Aussenlager",IF(CC1151="-","Nicht im Lift",IF(BF1151&gt;=1,"Lift",IF(BF1151&lt;=0,"Aussenlager","teilweise")))))</f>
        <v>Lift</v>
      </c>
      <c r="BJ1151" s="48" t="str">
        <f aca="false">IF(A1151="","",IF(BS1151=1,"Neu; ","")&amp;IF(AND(BS1151=0,BN1151&lt;0),"negativer Bestand (Export "&amp;BN1151&amp;"); ","")&amp;IF(J1151&lt;=0,"Kein Verbrauch; ","")&amp;IF(CL1151&gt;0,"Lift "&amp;W1151&amp;" lt. Liftbericht (Fach "&amp;X1151&amp;" Stk); ",IF(BX1151=1,"Gebinde geschätzt ("&amp;T1151&amp;"); ",IF(BW1151=1,"Lose – Tablare geschätzt; ","")))&amp;IF(H1151&gt;AT1151,"Überbestand "&amp;ROUND(H1151-AT1151,0)&amp;" Stk / CHF "&amp;ROUND((H1151-AT1151)*G1151,0)&amp;"; ","")&amp;IF(AND(CE1151=1,CF1151&lt;CG1151),"MAX &lt; MB+LG; ","")&amp;IF(AND(CK1151&gt;0,CJ1151*10&gt;CK1151),"zu hoch für Tablar; ","")&amp;IF(AND(BS1151=0,OR(CE1151=1,AA1151&lt;&gt;"",U1151&lt;&gt;"",V1151&lt;&gt;"",AB1151&lt;&gt;"")),"manuell übersteuert; ","")&amp;IF(AND(BW1151=0,R1151=0),"Gebinde unbekannt / Stellmass fehlt; ","")&amp;IF(AND(BW1151=0,N(V1151)&lt;=0,N(Q1151)&lt;=0),"Menge pro Gebinde fehlt (Ist = 1 Gebinde); ","")&amp;BR1151)</f>
        <v>negativer Bestand (Export -3); Neu; grosser Artikel &amp; nicht im KTL</v>
      </c>
      <c r="BK1151" s="48"/>
      <c r="BL1151" s="48"/>
      <c r="BM1151" s="55"/>
      <c r="BN1151" s="50" t="n">
        <v>-3</v>
      </c>
      <c r="BO1151" s="50" t="n">
        <v>4</v>
      </c>
      <c r="BP1151" s="49" t="n">
        <v>-310.03</v>
      </c>
      <c r="BQ1151" s="50" t="n">
        <v>2</v>
      </c>
      <c r="BR1151" s="48" t="s">
        <v>2074</v>
      </c>
      <c r="BS1151" s="53" t="n">
        <v>0</v>
      </c>
      <c r="BT1151" s="53" t="n">
        <v>1151</v>
      </c>
      <c r="BU1151" s="48" t="str">
        <f aca="false">IF(U1151&lt;&gt;"",UPPER(TRIM(U1151)),IF(BX1151=1,UPPER(VLOOKUP(T1151,Parameter!$I$27:$K$29,2,0)),IF(P1151="","LOSE",P1151)))</f>
        <v>S32</v>
      </c>
      <c r="BV1151" s="50" t="n">
        <f aca="false">IF(BU1151="LOSE",1,IF(N(V1151)&gt;0,V1151,IF(BX1151=1,MAX(1,N(VLOOKUP(T1151,Parameter!$I$27:$K$29,3,0)),H1151,N(N1151)),IF(N(Q1151)&gt;0,Q1151,MAX(1,H1151)))))</f>
        <v>3</v>
      </c>
      <c r="BW1151" s="53" t="n">
        <f aca="false">IF(BU1151="LOSE",1,0)</f>
        <v>0</v>
      </c>
      <c r="BX1151" s="53" t="n">
        <f aca="false">IF(AND(U1151="",OR(P1151="",P1151="LOSE"),T1151&lt;&gt;"",N(S1151)&lt;=0,ISNUMBER(MATCH(T1151,Parameter!$I$27:$I$29,0))),1,0)</f>
        <v>0</v>
      </c>
      <c r="BY1151" s="53" t="n">
        <f aca="false">IF(CL1151&gt;0,INDEX(Parameter!$H$5:$H$7,W1151)/INDEX(Parameter!$E$5:$E$7,W1151),IF(AND(BW1151=0,N(IFERROR(VLOOKUP(BU1151,'Gebinde-Kategorie'!$A$5:$N$45,14,0),0))&gt;0),VLOOKUP(BU1151,'Gebinde-Kategorie'!$A$5:$N$45,14,0)*10+Parameter!$M$23,Parameter!$M$24))</f>
        <v>155</v>
      </c>
      <c r="BZ1151" s="48" t="str">
        <f aca="false">IF(AND(Parameter!$B$19="Ja",E1151&lt;&gt;"",ISNUMBER(MATCH(E1151,Parameter!$I$35:$I$52,0))),VLOOKUP(E1151,Parameter!$I$35:$J$52,2,0),IFERROR(VLOOKUP(D1151,Parameter!$A$35:$C$64,2,0),"Nein"))</f>
        <v>2+3</v>
      </c>
      <c r="CA1151" s="52" t="n">
        <f aca="false">IF(BW1151=0,0,IF(N(S1151)&gt;0,S1151,IFERROR(VLOOKUP(D1151,Parameter!$A$35:$C$64,3,0)+0,0)))</f>
        <v>0</v>
      </c>
      <c r="CB1151" s="48" t="n">
        <f aca="false">IF(AA1151&lt;&gt;"",AA1151,Z1151)</f>
        <v>2</v>
      </c>
      <c r="CC1151" s="48" t="str">
        <f aca="false">IF(OR(CB1151=1,CB1151=2,CB1151=3),IF(Parameter!$E$27="Ja","LIFT",IF(CB1151=1,"L1","L23")),IF(CB1151="Aussen","Aussen","-"))</f>
        <v>LIFT</v>
      </c>
      <c r="CD1151" s="59" t="n">
        <f aca="false">IF(N(AB1151)&gt;0,AB1151,0)</f>
        <v>0</v>
      </c>
      <c r="CE1151" s="53" t="n">
        <f aca="false">IF(ISNUMBER(AE1151),1,0)</f>
        <v>0</v>
      </c>
      <c r="CF1151" s="50" t="n">
        <f aca="false">N(AE1151)</f>
        <v>0</v>
      </c>
      <c r="CG1151" s="50" t="n">
        <f aca="false">N(M1151)+N(N1151)</f>
        <v>1</v>
      </c>
      <c r="CH1151" s="50" t="n">
        <f aca="false">ROUNDUP(H1151/BV1151,0)</f>
        <v>1</v>
      </c>
      <c r="CI1151" s="50" t="n">
        <f aca="false">ROUNDUP(CF1151/BV1151,0)</f>
        <v>0</v>
      </c>
      <c r="CJ1151" s="53" t="n">
        <f aca="false">IF(BW1151=1,0,IFERROR(VLOOKUP(BU1151,'Gebinde-Kategorie'!$A$5:$N$45,5,0)+0,0))</f>
        <v>8</v>
      </c>
      <c r="CK1151" s="53" t="n">
        <f aca="false">IFERROR(IF(OR(CB1151=1,CB1151=2,CB1151=3),N(INDEX(Parameter!$I$5:$I$7,CB1151)),0),0)</f>
        <v>0</v>
      </c>
      <c r="CL1151" s="52" t="n">
        <f aca="false">IF(AND(Parameter!$B$21="Ja",ISNUMBER(W1151),N(X1151)&gt;0),IFERROR(N(INDEX(Parameter!$L$5:$L$7,W1151))*INDEX(Parameter!$E$5:$E$7,W1151)*X1151/SUMIFS($X$7:$X$1843,$W$7:$W$1843,W1151),0),0)</f>
        <v>0</v>
      </c>
    </row>
    <row r="1152" customFormat="false" ht="15" hidden="false" customHeight="false" outlineLevel="0" collapsed="false">
      <c r="A1152" s="48" t="s">
        <v>2084</v>
      </c>
      <c r="B1152" s="48" t="s">
        <v>1091</v>
      </c>
      <c r="C1152" s="48" t="s">
        <v>168</v>
      </c>
      <c r="D1152" s="48" t="s">
        <v>188</v>
      </c>
      <c r="E1152" s="48" t="s">
        <v>189</v>
      </c>
      <c r="F1152" s="48" t="s">
        <v>222</v>
      </c>
      <c r="G1152" s="49" t="n">
        <v>25.19</v>
      </c>
      <c r="H1152" s="50" t="n">
        <f aca="false">MAX(0,IF(AND(Parameter!$B$21="Ja",ISNUMBER(Y1152)),Y1152,IF(Parameter!$B$20="Jahresanfang 2025 + Export",BO1152+BN1152,BN1152)))</f>
        <v>6</v>
      </c>
      <c r="I1152" s="50" t="n">
        <f aca="false">H1152*G1152</f>
        <v>151.14</v>
      </c>
      <c r="J1152" s="50" t="n">
        <f aca="false">BQ1152*Parameter!$B$18</f>
        <v>10</v>
      </c>
      <c r="K1152" s="51" t="n">
        <v>12</v>
      </c>
      <c r="L1152" s="52" t="n">
        <v>0.833333333333333</v>
      </c>
      <c r="M1152" s="50" t="n">
        <v>0</v>
      </c>
      <c r="N1152" s="50" t="n">
        <v>10</v>
      </c>
      <c r="O1152" s="53" t="n">
        <v>28</v>
      </c>
      <c r="P1152" s="48" t="s">
        <v>237</v>
      </c>
      <c r="Q1152" s="50" t="n">
        <v>34</v>
      </c>
      <c r="R1152" s="53" t="n">
        <f aca="false">IF(BW1152=1,0,IFERROR(VLOOKUP(BU1152,'Gebinde-Kategorie'!$A$5:$N$45,13,0)+0,0))</f>
        <v>26</v>
      </c>
      <c r="S1152" s="54"/>
      <c r="T1152" s="55"/>
      <c r="U1152" s="55"/>
      <c r="V1152" s="55"/>
      <c r="W1152" s="48"/>
      <c r="X1152" s="50"/>
      <c r="Y1152" s="50"/>
      <c r="Z1152" s="48" t="n">
        <f aca="false">IF(A1152="","",IF(AND(Parameter!$B$21="Ja",ISNUMBER(W1152)),W1152,IF(BZ1152="2+3",IF(ISNUMBER(SEARCH("grosser Artikel",BR1152)),2,IFERROR(VLOOKUP(BU1152,Parameter!$F$35:$G$64,2,0),2)),IF(OR(BZ1152="Nein",BZ1152=""),"-",BZ1152))))</f>
        <v>3</v>
      </c>
      <c r="AA1152" s="55"/>
      <c r="AB1152" s="56"/>
      <c r="AC1152" s="50" t="n">
        <f aca="false">AT1152</f>
        <v>34</v>
      </c>
      <c r="AD1152" s="50" t="n">
        <f aca="false">MAX(AT1152,H1152)</f>
        <v>34</v>
      </c>
      <c r="AE1152" s="57"/>
      <c r="AF1152" s="50" t="n">
        <f aca="false">IF(LEFT(Cockpit!$C$5,1)="A",H1152,IF(CE1152=1,CF1152,IF(LEFT(Cockpit!$C$5,1)="B",AK1152,MAX(AK1152,H1152))))</f>
        <v>6</v>
      </c>
      <c r="AG1152" s="50" t="n">
        <f aca="false">IF(BW1152=1,0,ROUNDUP(AF1152/BV1152,0))</f>
        <v>1</v>
      </c>
      <c r="AH1152" s="52" t="n">
        <f aca="false">IF(CL1152&gt;0,CL1152*MAX(1,AF1152/X1152),IF(BW1152=1,IF(AF1152&lt;=0,0,CA1152*MAX(1,IF(H1152&gt;0,AF1152/H1152,1))),IF(R1152&gt;0,AG1152/R1152,0))/MAX(0.1,N(Parameter!$M$21)))</f>
        <v>0.0384615384615385</v>
      </c>
      <c r="AI1152" s="50" t="n">
        <f aca="false">AH1152*BY1152</f>
        <v>9.42307692307692</v>
      </c>
      <c r="AJ1152" s="50" t="n">
        <f aca="false">AF1152*G1152</f>
        <v>151.14</v>
      </c>
      <c r="AK1152" s="50" t="n">
        <f aca="false">ROUNDUP(MAX(J1152/IF(CD1152&gt;0,CD1152,MAX(0.1,N(Cockpit!$C$6))),CG1152)/BV1152,0)*BV1152</f>
        <v>34</v>
      </c>
      <c r="AL1152" s="51" t="n">
        <f aca="false">IF(AI1152&gt;0,J1152/AI1152,-1)</f>
        <v>1.06122448979592</v>
      </c>
      <c r="AM1152" s="51" t="n">
        <f aca="false">IF(AND(OR(CC1152="L1",CC1152="L23",CC1152="LIFT"),AI1152&gt;0),SUMIFS($AI$7:$AI$1843,$CC$7:$CC$1843,CC1152,$AL$7:$AL$1843,"&gt;"&amp;AL1152)+SUMIFS($AI$7:$AI$1843,$CC$7:$CC$1843,CC1152,$AL$7:$AL$1843,AL1152,$BT$7:$BT$1843,"&lt;="&amp;BT1152),"")</f>
        <v>6912.55815018315</v>
      </c>
      <c r="AN1152" s="58" t="n">
        <f aca="false">IF(AM1152="",0,MAX(0,MIN(1,(IF(CC1152="L1",Parameter!$H$5,IF(CC1152="L23",Parameter!$H$6+Parameter!$H$7,Parameter!$H$5+Parameter!$H$6+Parameter!$H$7))-(AM1152-AI1152))/AI1152)))</f>
        <v>1</v>
      </c>
      <c r="AO1152" s="50" t="n">
        <f aca="false">IF(LEFT(Cockpit!$I$5,1)="A",H1152,IF(CE1152=1,CF1152,IF(LEFT(Cockpit!$I$5,1)="B",AT1152,MAX(AT1152,H1152))))</f>
        <v>34</v>
      </c>
      <c r="AP1152" s="50" t="n">
        <f aca="false">IF(BW1152=1,0,ROUNDUP(AO1152/BV1152,0))</f>
        <v>1</v>
      </c>
      <c r="AQ1152" s="52" t="n">
        <f aca="false">IF(CL1152&gt;0,CL1152*MAX(1,AO1152/X1152),IF(BW1152=1,IF(AO1152&lt;=0,0,CA1152*MAX(1,IF(H1152&gt;0,AO1152/H1152,1))),IF(R1152&gt;0,AP1152/R1152,0))/MAX(0.1,N(Parameter!$M$21)))</f>
        <v>0.0384615384615385</v>
      </c>
      <c r="AR1152" s="50" t="n">
        <f aca="false">AQ1152*BY1152</f>
        <v>9.42307692307692</v>
      </c>
      <c r="AS1152" s="50" t="n">
        <f aca="false">AO1152*G1152</f>
        <v>856.46</v>
      </c>
      <c r="AT1152" s="50" t="n">
        <f aca="false">ROUNDUP(MAX(J1152/IF(CD1152&gt;0,CD1152,MAX(0.1,N(Cockpit!$I$6))),CG1152)/BV1152,0)*BV1152</f>
        <v>34</v>
      </c>
      <c r="AU1152" s="51" t="n">
        <f aca="false">IF(AR1152&gt;0,J1152/AR1152,-1)</f>
        <v>1.06122448979592</v>
      </c>
      <c r="AV1152" s="51" t="n">
        <f aca="false">IF(AND(OR(CC1152="L1",CC1152="L23",CC1152="LIFT"),AR1152&gt;0),SUMIFS($AR$7:$AR$1843,$CC$7:$CC$1843,CC1152,$AU$7:$AU$1843,"&gt;"&amp;AU1152)+SUMIFS($AR$7:$AR$1843,$CC$7:$CC$1843,CC1152,$AU$7:$AU$1843,AU1152,$BT$7:$BT$1843,"&lt;="&amp;BT1152),"")</f>
        <v>9972.56501831502</v>
      </c>
      <c r="AW1152" s="58" t="n">
        <f aca="false">IF(AV1152="",0,MAX(0,MIN(1,(IF(CC1152="L1",Parameter!$H$5,IF(CC1152="L23",Parameter!$H$6+Parameter!$H$7,Parameter!$H$5+Parameter!$H$6+Parameter!$H$7))-(AV1152-AR1152))/AR1152)))</f>
        <v>1</v>
      </c>
      <c r="AX1152" s="50" t="n">
        <f aca="false">IF(LEFT(Cockpit!$O$5,1)="A",H1152,IF(CE1152=1,CF1152,IF(LEFT(Cockpit!$O$5,1)="B",BC1152,MAX(BC1152,H1152))))</f>
        <v>34</v>
      </c>
      <c r="AY1152" s="50" t="n">
        <f aca="false">IF(BW1152=1,0,ROUNDUP(AX1152/BV1152,0))</f>
        <v>1</v>
      </c>
      <c r="AZ1152" s="52" t="n">
        <f aca="false">IF(CL1152&gt;0,CL1152*MAX(1,AX1152/X1152),IF(BW1152=1,IF(AX1152&lt;=0,0,CA1152*MAX(1,IF(H1152&gt;0,AX1152/H1152,1))),IF(R1152&gt;0,AY1152/R1152,0))/MAX(0.1,N(Parameter!$M$21)))</f>
        <v>0.0384615384615385</v>
      </c>
      <c r="BA1152" s="50" t="n">
        <f aca="false">AZ1152*BY1152</f>
        <v>9.42307692307692</v>
      </c>
      <c r="BB1152" s="50" t="n">
        <f aca="false">AX1152*G1152</f>
        <v>856.46</v>
      </c>
      <c r="BC1152" s="50" t="n">
        <f aca="false">ROUNDUP(MAX(J1152/IF(CD1152&gt;0,CD1152,MAX(0.1,N(Cockpit!$O$6))),CG1152)/BV1152,0)*BV1152</f>
        <v>34</v>
      </c>
      <c r="BD1152" s="51" t="n">
        <f aca="false">IF(BA1152&gt;0,J1152/BA1152,-1)</f>
        <v>1.06122448979592</v>
      </c>
      <c r="BE1152" s="51" t="n">
        <f aca="false">IF(AND(OR(CC1152="L1",CC1152="L23",CC1152="LIFT"),BA1152&gt;0),SUMIFS($BA$7:$BA$1843,$CC$7:$CC$1843,CC1152,$BD$7:$BD$1843,"&gt;"&amp;BD1152)+SUMIFS($BA$7:$BA$1843,$CC$7:$CC$1843,CC1152,$BD$7:$BD$1843,BD1152,$BT$7:$BT$1843,"&lt;="&amp;BT1152),"")</f>
        <v>8983.22206959707</v>
      </c>
      <c r="BF1152" s="58" t="n">
        <f aca="false">IF(BE1152="",0,MAX(0,MIN(1,(IF(CC1152="L1",Parameter!$H$5,IF(CC1152="L23",Parameter!$H$6+Parameter!$H$7,Parameter!$H$5+Parameter!$H$6+Parameter!$H$7))-(BE1152-BA1152))/BA1152)))</f>
        <v>1</v>
      </c>
      <c r="BG1152" s="48" t="str">
        <f aca="false">IF(AI1152&lt;=0,"",IF(CC1152="Aussen","Aussenlager",IF(CC1152="-","Nicht im Lift",IF(AN1152&gt;=1,"Lift",IF(AN1152&lt;=0,"Aussenlager","teilweise")))))</f>
        <v>Lift</v>
      </c>
      <c r="BH1152" s="48" t="str">
        <f aca="false">IF(AR1152&lt;=0,"",IF(CC1152="Aussen","Aussenlager",IF(CC1152="-","Nicht im Lift",IF(AW1152&gt;=1,"Lift",IF(AW1152&lt;=0,"Aussenlager","teilweise")))))</f>
        <v>Lift</v>
      </c>
      <c r="BI1152" s="48" t="str">
        <f aca="false">IF(BA1152&lt;=0,"",IF(CC1152="Aussen","Aussenlager",IF(CC1152="-","Nicht im Lift",IF(BF1152&gt;=1,"Lift",IF(BF1152&lt;=0,"Aussenlager","teilweise")))))</f>
        <v>Lift</v>
      </c>
      <c r="BJ1152" s="48" t="str">
        <f aca="false">IF(A1152="","",IF(BS1152=1,"Neu; ","")&amp;IF(AND(BS1152=0,BN1152&lt;0),"negativer Bestand (Export "&amp;BN1152&amp;"); ","")&amp;IF(J1152&lt;=0,"Kein Verbrauch; ","")&amp;IF(CL1152&gt;0,"Lift "&amp;W1152&amp;" lt. Liftbericht (Fach "&amp;X1152&amp;" Stk); ",IF(BX1152=1,"Gebinde geschätzt ("&amp;T1152&amp;"); ",IF(BW1152=1,"Lose – Tablare geschätzt; ","")))&amp;IF(H1152&gt;AT1152,"Überbestand "&amp;ROUND(H1152-AT1152,0)&amp;" Stk / CHF "&amp;ROUND((H1152-AT1152)*G1152,0)&amp;"; ","")&amp;IF(AND(CE1152=1,CF1152&lt;CG1152),"MAX &lt; MB+LG; ","")&amp;IF(AND(CK1152&gt;0,CJ1152*10&gt;CK1152),"zu hoch für Tablar; ","")&amp;IF(AND(BS1152=0,OR(CE1152=1,AA1152&lt;&gt;"",U1152&lt;&gt;"",V1152&lt;&gt;"",AB1152&lt;&gt;"")),"manuell übersteuert; ","")&amp;IF(AND(BW1152=0,R1152=0),"Gebinde unbekannt / Stellmass fehlt; ","")&amp;IF(AND(BW1152=0,N(V1152)&lt;=0,N(Q1152)&lt;=0),"Menge pro Gebinde fehlt (Ist = 1 Gebinde); ","")&amp;BR1152)</f>
        <v>negativer Bestand (Export -10); Neu</v>
      </c>
      <c r="BK1152" s="48"/>
      <c r="BL1152" s="48"/>
      <c r="BM1152" s="55"/>
      <c r="BN1152" s="50" t="n">
        <v>-10</v>
      </c>
      <c r="BO1152" s="50" t="n">
        <v>16</v>
      </c>
      <c r="BP1152" s="49" t="n">
        <v>-310.46</v>
      </c>
      <c r="BQ1152" s="50" t="n">
        <v>10</v>
      </c>
      <c r="BR1152" s="48" t="s">
        <v>630</v>
      </c>
      <c r="BS1152" s="53" t="n">
        <v>0</v>
      </c>
      <c r="BT1152" s="53" t="n">
        <v>1152</v>
      </c>
      <c r="BU1152" s="48" t="str">
        <f aca="false">IF(U1152&lt;&gt;"",UPPER(TRIM(U1152)),IF(BX1152=1,UPPER(VLOOKUP(T1152,Parameter!$I$27:$K$29,2,0)),IF(P1152="","LOSE",P1152)))</f>
        <v>S52</v>
      </c>
      <c r="BV1152" s="50" t="n">
        <f aca="false">IF(BU1152="LOSE",1,IF(N(V1152)&gt;0,V1152,IF(BX1152=1,MAX(1,N(VLOOKUP(T1152,Parameter!$I$27:$K$29,3,0)),H1152,N(N1152)),IF(N(Q1152)&gt;0,Q1152,MAX(1,H1152)))))</f>
        <v>34</v>
      </c>
      <c r="BW1152" s="53" t="n">
        <f aca="false">IF(BU1152="LOSE",1,0)</f>
        <v>0</v>
      </c>
      <c r="BX1152" s="53" t="n">
        <f aca="false">IF(AND(U1152="",OR(P1152="",P1152="LOSE"),T1152&lt;&gt;"",N(S1152)&lt;=0,ISNUMBER(MATCH(T1152,Parameter!$I$27:$I$29,0))),1,0)</f>
        <v>0</v>
      </c>
      <c r="BY1152" s="53" t="n">
        <f aca="false">IF(CL1152&gt;0,INDEX(Parameter!$H$5:$H$7,W1152)/INDEX(Parameter!$E$5:$E$7,W1152),IF(AND(BW1152=0,N(IFERROR(VLOOKUP(BU1152,'Gebinde-Kategorie'!$A$5:$N$45,14,0),0))&gt;0),VLOOKUP(BU1152,'Gebinde-Kategorie'!$A$5:$N$45,14,0)*10+Parameter!$M$23,Parameter!$M$24))</f>
        <v>245</v>
      </c>
      <c r="BZ1152" s="48" t="str">
        <f aca="false">IF(AND(Parameter!$B$19="Ja",E1152&lt;&gt;"",ISNUMBER(MATCH(E1152,Parameter!$I$35:$I$52,0))),VLOOKUP(E1152,Parameter!$I$35:$J$52,2,0),IFERROR(VLOOKUP(D1152,Parameter!$A$35:$C$64,2,0),"Nein"))</f>
        <v>2+3</v>
      </c>
      <c r="CA1152" s="52" t="n">
        <f aca="false">IF(BW1152=0,0,IF(N(S1152)&gt;0,S1152,IFERROR(VLOOKUP(D1152,Parameter!$A$35:$C$64,3,0)+0,0)))</f>
        <v>0</v>
      </c>
      <c r="CB1152" s="48" t="n">
        <f aca="false">IF(AA1152&lt;&gt;"",AA1152,Z1152)</f>
        <v>3</v>
      </c>
      <c r="CC1152" s="48" t="str">
        <f aca="false">IF(OR(CB1152=1,CB1152=2,CB1152=3),IF(Parameter!$E$27="Ja","LIFT",IF(CB1152=1,"L1","L23")),IF(CB1152="Aussen","Aussen","-"))</f>
        <v>LIFT</v>
      </c>
      <c r="CD1152" s="59" t="n">
        <f aca="false">IF(N(AB1152)&gt;0,AB1152,0)</f>
        <v>0</v>
      </c>
      <c r="CE1152" s="53" t="n">
        <f aca="false">IF(ISNUMBER(AE1152),1,0)</f>
        <v>0</v>
      </c>
      <c r="CF1152" s="50" t="n">
        <f aca="false">N(AE1152)</f>
        <v>0</v>
      </c>
      <c r="CG1152" s="50" t="n">
        <f aca="false">N(M1152)+N(N1152)</f>
        <v>10</v>
      </c>
      <c r="CH1152" s="50" t="n">
        <f aca="false">ROUNDUP(H1152/BV1152,0)</f>
        <v>1</v>
      </c>
      <c r="CI1152" s="50" t="n">
        <f aca="false">ROUNDUP(CF1152/BV1152,0)</f>
        <v>0</v>
      </c>
      <c r="CJ1152" s="53" t="n">
        <f aca="false">IF(BW1152=1,0,IFERROR(VLOOKUP(BU1152,'Gebinde-Kategorie'!$A$5:$N$45,5,0)+0,0))</f>
        <v>21</v>
      </c>
      <c r="CK1152" s="53" t="n">
        <f aca="false">IFERROR(IF(OR(CB1152=1,CB1152=2,CB1152=3),N(INDEX(Parameter!$I$5:$I$7,CB1152)),0),0)</f>
        <v>0</v>
      </c>
      <c r="CL1152" s="52" t="n">
        <f aca="false">IF(AND(Parameter!$B$21="Ja",ISNUMBER(W1152),N(X1152)&gt;0),IFERROR(N(INDEX(Parameter!$L$5:$L$7,W1152))*INDEX(Parameter!$E$5:$E$7,W1152)*X1152/SUMIFS($X$7:$X$1843,$W$7:$W$1843,W1152),0),0)</f>
        <v>0</v>
      </c>
    </row>
    <row r="1153" customFormat="false" ht="15" hidden="false" customHeight="false" outlineLevel="0" collapsed="false">
      <c r="A1153" s="48" t="s">
        <v>2085</v>
      </c>
      <c r="B1153" s="48" t="s">
        <v>2086</v>
      </c>
      <c r="C1153" s="48" t="s">
        <v>168</v>
      </c>
      <c r="D1153" s="48" t="s">
        <v>188</v>
      </c>
      <c r="E1153" s="48" t="s">
        <v>189</v>
      </c>
      <c r="F1153" s="48" t="s">
        <v>222</v>
      </c>
      <c r="G1153" s="49" t="n">
        <v>62.19</v>
      </c>
      <c r="H1153" s="50" t="n">
        <f aca="false">MAX(0,IF(AND(Parameter!$B$21="Ja",ISNUMBER(Y1153)),Y1153,IF(Parameter!$B$20="Jahresanfang 2025 + Export",BO1153+BN1153,BN1153)))</f>
        <v>5</v>
      </c>
      <c r="I1153" s="50" t="n">
        <f aca="false">H1153*G1153</f>
        <v>310.95</v>
      </c>
      <c r="J1153" s="50" t="n">
        <f aca="false">BQ1153*Parameter!$B$18</f>
        <v>2</v>
      </c>
      <c r="K1153" s="51" t="n">
        <v>9</v>
      </c>
      <c r="L1153" s="52" t="n">
        <v>0.222222222222222</v>
      </c>
      <c r="M1153" s="50" t="n">
        <v>0</v>
      </c>
      <c r="N1153" s="50" t="n">
        <v>1</v>
      </c>
      <c r="O1153" s="53" t="n">
        <v>21</v>
      </c>
      <c r="P1153" s="48" t="s">
        <v>480</v>
      </c>
      <c r="Q1153" s="50" t="n">
        <v>8</v>
      </c>
      <c r="R1153" s="53" t="n">
        <f aca="false">IF(BW1153=1,0,IFERROR(VLOOKUP(BU1153,'Gebinde-Kategorie'!$A$5:$N$45,13,0)+0,0))</f>
        <v>52</v>
      </c>
      <c r="S1153" s="54"/>
      <c r="T1153" s="55"/>
      <c r="U1153" s="55"/>
      <c r="V1153" s="55"/>
      <c r="W1153" s="48"/>
      <c r="X1153" s="50"/>
      <c r="Y1153" s="50"/>
      <c r="Z1153" s="48" t="n">
        <f aca="false">IF(A1153="","",IF(AND(Parameter!$B$21="Ja",ISNUMBER(W1153)),W1153,IF(BZ1153="2+3",IF(ISNUMBER(SEARCH("grosser Artikel",BR1153)),2,IFERROR(VLOOKUP(BU1153,Parameter!$F$35:$G$64,2,0),2)),IF(OR(BZ1153="Nein",BZ1153=""),"-",BZ1153))))</f>
        <v>3</v>
      </c>
      <c r="AA1153" s="55"/>
      <c r="AB1153" s="56"/>
      <c r="AC1153" s="50" t="n">
        <f aca="false">AT1153</f>
        <v>8</v>
      </c>
      <c r="AD1153" s="50" t="n">
        <f aca="false">MAX(AT1153,H1153)</f>
        <v>8</v>
      </c>
      <c r="AE1153" s="57"/>
      <c r="AF1153" s="50" t="n">
        <f aca="false">IF(LEFT(Cockpit!$C$5,1)="A",H1153,IF(CE1153=1,CF1153,IF(LEFT(Cockpit!$C$5,1)="B",AK1153,MAX(AK1153,H1153))))</f>
        <v>5</v>
      </c>
      <c r="AG1153" s="50" t="n">
        <f aca="false">IF(BW1153=1,0,ROUNDUP(AF1153/BV1153,0))</f>
        <v>1</v>
      </c>
      <c r="AH1153" s="52" t="n">
        <f aca="false">IF(CL1153&gt;0,CL1153*MAX(1,AF1153/X1153),IF(BW1153=1,IF(AF1153&lt;=0,0,CA1153*MAX(1,IF(H1153&gt;0,AF1153/H1153,1))),IF(R1153&gt;0,AG1153/R1153,0))/MAX(0.1,N(Parameter!$M$21)))</f>
        <v>0.0192307692307692</v>
      </c>
      <c r="AI1153" s="50" t="n">
        <f aca="false">AH1153*BY1153</f>
        <v>2.98076923076923</v>
      </c>
      <c r="AJ1153" s="50" t="n">
        <f aca="false">AF1153*G1153</f>
        <v>310.95</v>
      </c>
      <c r="AK1153" s="50" t="n">
        <f aca="false">ROUNDUP(MAX(J1153/IF(CD1153&gt;0,CD1153,MAX(0.1,N(Cockpit!$C$6))),CG1153)/BV1153,0)*BV1153</f>
        <v>8</v>
      </c>
      <c r="AL1153" s="51" t="n">
        <f aca="false">IF(AI1153&gt;0,J1153/AI1153,-1)</f>
        <v>0.670967741935484</v>
      </c>
      <c r="AM1153" s="51" t="n">
        <f aca="false">IF(AND(OR(CC1153="L1",CC1153="L23",CC1153="LIFT"),AI1153&gt;0),SUMIFS($AI$7:$AI$1843,$CC$7:$CC$1843,CC1153,$AL$7:$AL$1843,"&gt;"&amp;AL1153)+SUMIFS($AI$7:$AI$1843,$CC$7:$CC$1843,CC1153,$AL$7:$AL$1843,AL1153,$BT$7:$BT$1843,"&lt;="&amp;BT1153),"")</f>
        <v>8636.97756410256</v>
      </c>
      <c r="AN1153" s="58" t="n">
        <f aca="false">IF(AM1153="",0,MAX(0,MIN(1,(IF(CC1153="L1",Parameter!$H$5,IF(CC1153="L23",Parameter!$H$6+Parameter!$H$7,Parameter!$H$5+Parameter!$H$6+Parameter!$H$7))-(AM1153-AI1153))/AI1153)))</f>
        <v>1</v>
      </c>
      <c r="AO1153" s="50" t="n">
        <f aca="false">IF(LEFT(Cockpit!$I$5,1)="A",H1153,IF(CE1153=1,CF1153,IF(LEFT(Cockpit!$I$5,1)="B",AT1153,MAX(AT1153,H1153))))</f>
        <v>8</v>
      </c>
      <c r="AP1153" s="50" t="n">
        <f aca="false">IF(BW1153=1,0,ROUNDUP(AO1153/BV1153,0))</f>
        <v>1</v>
      </c>
      <c r="AQ1153" s="52" t="n">
        <f aca="false">IF(CL1153&gt;0,CL1153*MAX(1,AO1153/X1153),IF(BW1153=1,IF(AO1153&lt;=0,0,CA1153*MAX(1,IF(H1153&gt;0,AO1153/H1153,1))),IF(R1153&gt;0,AP1153/R1153,0))/MAX(0.1,N(Parameter!$M$21)))</f>
        <v>0.0192307692307692</v>
      </c>
      <c r="AR1153" s="50" t="n">
        <f aca="false">AQ1153*BY1153</f>
        <v>2.98076923076923</v>
      </c>
      <c r="AS1153" s="50" t="n">
        <f aca="false">AO1153*G1153</f>
        <v>497.52</v>
      </c>
      <c r="AT1153" s="50" t="n">
        <f aca="false">ROUNDUP(MAX(J1153/IF(CD1153&gt;0,CD1153,MAX(0.1,N(Cockpit!$I$6))),CG1153)/BV1153,0)*BV1153</f>
        <v>8</v>
      </c>
      <c r="AU1153" s="51" t="n">
        <f aca="false">IF(AR1153&gt;0,J1153/AR1153,-1)</f>
        <v>0.670967741935484</v>
      </c>
      <c r="AV1153" s="51" t="n">
        <f aca="false">IF(AND(OR(CC1153="L1",CC1153="L23",CC1153="LIFT"),AR1153&gt;0),SUMIFS($AR$7:$AR$1843,$CC$7:$CC$1843,CC1153,$AU$7:$AU$1843,"&gt;"&amp;AU1153)+SUMIFS($AR$7:$AR$1843,$CC$7:$CC$1843,CC1153,$AU$7:$AU$1843,AU1153,$BT$7:$BT$1843,"&lt;="&amp;BT1153),"")</f>
        <v>11779.0998168498</v>
      </c>
      <c r="AW1153" s="58" t="n">
        <f aca="false">IF(AV1153="",0,MAX(0,MIN(1,(IF(CC1153="L1",Parameter!$H$5,IF(CC1153="L23",Parameter!$H$6+Parameter!$H$7,Parameter!$H$5+Parameter!$H$6+Parameter!$H$7))-(AV1153-AR1153))/AR1153)))</f>
        <v>1</v>
      </c>
      <c r="AX1153" s="50" t="n">
        <f aca="false">IF(LEFT(Cockpit!$O$5,1)="A",H1153,IF(CE1153=1,CF1153,IF(LEFT(Cockpit!$O$5,1)="B",BC1153,MAX(BC1153,H1153))))</f>
        <v>8</v>
      </c>
      <c r="AY1153" s="50" t="n">
        <f aca="false">IF(BW1153=1,0,ROUNDUP(AX1153/BV1153,0))</f>
        <v>1</v>
      </c>
      <c r="AZ1153" s="52" t="n">
        <f aca="false">IF(CL1153&gt;0,CL1153*MAX(1,AX1153/X1153),IF(BW1153=1,IF(AX1153&lt;=0,0,CA1153*MAX(1,IF(H1153&gt;0,AX1153/H1153,1))),IF(R1153&gt;0,AY1153/R1153,0))/MAX(0.1,N(Parameter!$M$21)))</f>
        <v>0.0192307692307692</v>
      </c>
      <c r="BA1153" s="50" t="n">
        <f aca="false">AZ1153*BY1153</f>
        <v>2.98076923076923</v>
      </c>
      <c r="BB1153" s="50" t="n">
        <f aca="false">AX1153*G1153</f>
        <v>497.52</v>
      </c>
      <c r="BC1153" s="50" t="n">
        <f aca="false">ROUNDUP(MAX(J1153/IF(CD1153&gt;0,CD1153,MAX(0.1,N(Cockpit!$O$6))),CG1153)/BV1153,0)*BV1153</f>
        <v>8</v>
      </c>
      <c r="BD1153" s="51" t="n">
        <f aca="false">IF(BA1153&gt;0,J1153/BA1153,-1)</f>
        <v>0.670967741935484</v>
      </c>
      <c r="BE1153" s="51" t="n">
        <f aca="false">IF(AND(OR(CC1153="L1",CC1153="L23",CC1153="LIFT"),BA1153&gt;0),SUMIFS($BA$7:$BA$1843,$CC$7:$CC$1843,CC1153,$BD$7:$BD$1843,"&gt;"&amp;BD1153)+SUMIFS($BA$7:$BA$1843,$CC$7:$CC$1843,CC1153,$BD$7:$BD$1843,BD1153,$BT$7:$BT$1843,"&lt;="&amp;BT1153),"")</f>
        <v>11378.9235347985</v>
      </c>
      <c r="BF1153" s="58" t="n">
        <f aca="false">IF(BE1153="",0,MAX(0,MIN(1,(IF(CC1153="L1",Parameter!$H$5,IF(CC1153="L23",Parameter!$H$6+Parameter!$H$7,Parameter!$H$5+Parameter!$H$6+Parameter!$H$7))-(BE1153-BA1153))/BA1153)))</f>
        <v>1</v>
      </c>
      <c r="BG1153" s="48" t="str">
        <f aca="false">IF(AI1153&lt;=0,"",IF(CC1153="Aussen","Aussenlager",IF(CC1153="-","Nicht im Lift",IF(AN1153&gt;=1,"Lift",IF(AN1153&lt;=0,"Aussenlager","teilweise")))))</f>
        <v>Lift</v>
      </c>
      <c r="BH1153" s="48" t="str">
        <f aca="false">IF(AR1153&lt;=0,"",IF(CC1153="Aussen","Aussenlager",IF(CC1153="-","Nicht im Lift",IF(AW1153&gt;=1,"Lift",IF(AW1153&lt;=0,"Aussenlager","teilweise")))))</f>
        <v>Lift</v>
      </c>
      <c r="BI1153" s="48" t="str">
        <f aca="false">IF(BA1153&lt;=0,"",IF(CC1153="Aussen","Aussenlager",IF(CC1153="-","Nicht im Lift",IF(BF1153&gt;=1,"Lift",IF(BF1153&lt;=0,"Aussenlager","teilweise")))))</f>
        <v>Lift</v>
      </c>
      <c r="BJ1153" s="48" t="str">
        <f aca="false">IF(A1153="","",IF(BS1153=1,"Neu; ","")&amp;IF(AND(BS1153=0,BN1153&lt;0),"negativer Bestand (Export "&amp;BN1153&amp;"); ","")&amp;IF(J1153&lt;=0,"Kein Verbrauch; ","")&amp;IF(CL1153&gt;0,"Lift "&amp;W1153&amp;" lt. Liftbericht (Fach "&amp;X1153&amp;" Stk); ",IF(BX1153=1,"Gebinde geschätzt ("&amp;T1153&amp;"); ",IF(BW1153=1,"Lose – Tablare geschätzt; ","")))&amp;IF(H1153&gt;AT1153,"Überbestand "&amp;ROUND(H1153-AT1153,0)&amp;" Stk / CHF "&amp;ROUND((H1153-AT1153)*G1153,0)&amp;"; ","")&amp;IF(AND(CE1153=1,CF1153&lt;CG1153),"MAX &lt; MB+LG; ","")&amp;IF(AND(CK1153&gt;0,CJ1153*10&gt;CK1153),"zu hoch für Tablar; ","")&amp;IF(AND(BS1153=0,OR(CE1153=1,AA1153&lt;&gt;"",U1153&lt;&gt;"",V1153&lt;&gt;"",AB1153&lt;&gt;"")),"manuell übersteuert; ","")&amp;IF(AND(BW1153=0,R1153=0),"Gebinde unbekannt / Stellmass fehlt; ","")&amp;IF(AND(BW1153=0,N(V1153)&lt;=0,N(Q1153)&lt;=0),"Menge pro Gebinde fehlt (Ist = 1 Gebinde); ","")&amp;BR1153)</f>
        <v>negativer Bestand (Export -5); Neu</v>
      </c>
      <c r="BK1153" s="48"/>
      <c r="BL1153" s="48"/>
      <c r="BM1153" s="55"/>
      <c r="BN1153" s="50" t="n">
        <v>-5</v>
      </c>
      <c r="BO1153" s="50" t="n">
        <v>10</v>
      </c>
      <c r="BP1153" s="49" t="n">
        <v>-310.95</v>
      </c>
      <c r="BQ1153" s="50" t="n">
        <v>2</v>
      </c>
      <c r="BR1153" s="48" t="s">
        <v>630</v>
      </c>
      <c r="BS1153" s="53" t="n">
        <v>0</v>
      </c>
      <c r="BT1153" s="53" t="n">
        <v>1153</v>
      </c>
      <c r="BU1153" s="48" t="str">
        <f aca="false">IF(U1153&lt;&gt;"",UPPER(TRIM(U1153)),IF(BX1153=1,UPPER(VLOOKUP(T1153,Parameter!$I$27:$K$29,2,0)),IF(P1153="","LOSE",P1153)))</f>
        <v>S33</v>
      </c>
      <c r="BV1153" s="50" t="n">
        <f aca="false">IF(BU1153="LOSE",1,IF(N(V1153)&gt;0,V1153,IF(BX1153=1,MAX(1,N(VLOOKUP(T1153,Parameter!$I$27:$K$29,3,0)),H1153,N(N1153)),IF(N(Q1153)&gt;0,Q1153,MAX(1,H1153)))))</f>
        <v>8</v>
      </c>
      <c r="BW1153" s="53" t="n">
        <f aca="false">IF(BU1153="LOSE",1,0)</f>
        <v>0</v>
      </c>
      <c r="BX1153" s="53" t="n">
        <f aca="false">IF(AND(U1153="",OR(P1153="",P1153="LOSE"),T1153&lt;&gt;"",N(S1153)&lt;=0,ISNUMBER(MATCH(T1153,Parameter!$I$27:$I$29,0))),1,0)</f>
        <v>0</v>
      </c>
      <c r="BY1153" s="53" t="n">
        <f aca="false">IF(CL1153&gt;0,INDEX(Parameter!$H$5:$H$7,W1153)/INDEX(Parameter!$E$5:$E$7,W1153),IF(AND(BW1153=0,N(IFERROR(VLOOKUP(BU1153,'Gebinde-Kategorie'!$A$5:$N$45,14,0),0))&gt;0),VLOOKUP(BU1153,'Gebinde-Kategorie'!$A$5:$N$45,14,0)*10+Parameter!$M$23,Parameter!$M$24))</f>
        <v>155</v>
      </c>
      <c r="BZ1153" s="48" t="str">
        <f aca="false">IF(AND(Parameter!$B$19="Ja",E1153&lt;&gt;"",ISNUMBER(MATCH(E1153,Parameter!$I$35:$I$52,0))),VLOOKUP(E1153,Parameter!$I$35:$J$52,2,0),IFERROR(VLOOKUP(D1153,Parameter!$A$35:$C$64,2,0),"Nein"))</f>
        <v>2+3</v>
      </c>
      <c r="CA1153" s="52" t="n">
        <f aca="false">IF(BW1153=0,0,IF(N(S1153)&gt;0,S1153,IFERROR(VLOOKUP(D1153,Parameter!$A$35:$C$64,3,0)+0,0)))</f>
        <v>0</v>
      </c>
      <c r="CB1153" s="48" t="n">
        <f aca="false">IF(AA1153&lt;&gt;"",AA1153,Z1153)</f>
        <v>3</v>
      </c>
      <c r="CC1153" s="48" t="str">
        <f aca="false">IF(OR(CB1153=1,CB1153=2,CB1153=3),IF(Parameter!$E$27="Ja","LIFT",IF(CB1153=1,"L1","L23")),IF(CB1153="Aussen","Aussen","-"))</f>
        <v>LIFT</v>
      </c>
      <c r="CD1153" s="59" t="n">
        <f aca="false">IF(N(AB1153)&gt;0,AB1153,0)</f>
        <v>0</v>
      </c>
      <c r="CE1153" s="53" t="n">
        <f aca="false">IF(ISNUMBER(AE1153),1,0)</f>
        <v>0</v>
      </c>
      <c r="CF1153" s="50" t="n">
        <f aca="false">N(AE1153)</f>
        <v>0</v>
      </c>
      <c r="CG1153" s="50" t="n">
        <f aca="false">N(M1153)+N(N1153)</f>
        <v>1</v>
      </c>
      <c r="CH1153" s="50" t="n">
        <f aca="false">ROUNDUP(H1153/BV1153,0)</f>
        <v>1</v>
      </c>
      <c r="CI1153" s="50" t="n">
        <f aca="false">ROUNDUP(CF1153/BV1153,0)</f>
        <v>0</v>
      </c>
      <c r="CJ1153" s="53" t="n">
        <f aca="false">IF(BW1153=1,0,IFERROR(VLOOKUP(BU1153,'Gebinde-Kategorie'!$A$5:$N$45,5,0)+0,0))</f>
        <v>8</v>
      </c>
      <c r="CK1153" s="53" t="n">
        <f aca="false">IFERROR(IF(OR(CB1153=1,CB1153=2,CB1153=3),N(INDEX(Parameter!$I$5:$I$7,CB1153)),0),0)</f>
        <v>0</v>
      </c>
      <c r="CL1153" s="52" t="n">
        <f aca="false">IF(AND(Parameter!$B$21="Ja",ISNUMBER(W1153),N(X1153)&gt;0),IFERROR(N(INDEX(Parameter!$L$5:$L$7,W1153))*INDEX(Parameter!$E$5:$E$7,W1153)*X1153/SUMIFS($X$7:$X$1843,$W$7:$W$1843,W1153),0),0)</f>
        <v>0</v>
      </c>
    </row>
    <row r="1154" customFormat="false" ht="15" hidden="false" customHeight="false" outlineLevel="0" collapsed="false">
      <c r="A1154" s="48" t="s">
        <v>2087</v>
      </c>
      <c r="B1154" s="48" t="s">
        <v>2088</v>
      </c>
      <c r="C1154" s="48" t="s">
        <v>168</v>
      </c>
      <c r="D1154" s="48" t="s">
        <v>188</v>
      </c>
      <c r="E1154" s="48" t="s">
        <v>189</v>
      </c>
      <c r="F1154" s="48" t="s">
        <v>222</v>
      </c>
      <c r="G1154" s="49" t="n">
        <v>166.8</v>
      </c>
      <c r="H1154" s="50" t="n">
        <f aca="false">MAX(0,IF(AND(Parameter!$B$21="Ja",ISNUMBER(Y1154)),Y1154,IF(Parameter!$B$20="Jahresanfang 2025 + Export",BO1154+BN1154,BN1154)))</f>
        <v>2</v>
      </c>
      <c r="I1154" s="50" t="n">
        <f aca="false">H1154*G1154</f>
        <v>333.6</v>
      </c>
      <c r="J1154" s="50" t="n">
        <f aca="false">BQ1154*Parameter!$B$18</f>
        <v>3</v>
      </c>
      <c r="K1154" s="51" t="n">
        <v>3</v>
      </c>
      <c r="L1154" s="52" t="n">
        <v>1</v>
      </c>
      <c r="M1154" s="50" t="n">
        <v>0</v>
      </c>
      <c r="N1154" s="50" t="n">
        <v>5</v>
      </c>
      <c r="O1154" s="53" t="n">
        <v>28</v>
      </c>
      <c r="P1154" s="48" t="s">
        <v>425</v>
      </c>
      <c r="Q1154" s="50" t="n">
        <v>5</v>
      </c>
      <c r="R1154" s="53" t="n">
        <f aca="false">IF(BW1154=1,0,IFERROR(VLOOKUP(BU1154,'Gebinde-Kategorie'!$A$5:$N$45,13,0)+0,0))</f>
        <v>104</v>
      </c>
      <c r="S1154" s="54"/>
      <c r="T1154" s="55"/>
      <c r="U1154" s="55"/>
      <c r="V1154" s="55"/>
      <c r="W1154" s="48"/>
      <c r="X1154" s="50"/>
      <c r="Y1154" s="50"/>
      <c r="Z1154" s="48" t="n">
        <f aca="false">IF(A1154="","",IF(AND(Parameter!$B$21="Ja",ISNUMBER(W1154)),W1154,IF(BZ1154="2+3",IF(ISNUMBER(SEARCH("grosser Artikel",BR1154)),2,IFERROR(VLOOKUP(BU1154,Parameter!$F$35:$G$64,2,0),2)),IF(OR(BZ1154="Nein",BZ1154=""),"-",BZ1154))))</f>
        <v>3</v>
      </c>
      <c r="AA1154" s="55"/>
      <c r="AB1154" s="56"/>
      <c r="AC1154" s="50" t="n">
        <f aca="false">AT1154</f>
        <v>5</v>
      </c>
      <c r="AD1154" s="50" t="n">
        <f aca="false">MAX(AT1154,H1154)</f>
        <v>5</v>
      </c>
      <c r="AE1154" s="57"/>
      <c r="AF1154" s="50" t="n">
        <f aca="false">IF(LEFT(Cockpit!$C$5,1)="A",H1154,IF(CE1154=1,CF1154,IF(LEFT(Cockpit!$C$5,1)="B",AK1154,MAX(AK1154,H1154))))</f>
        <v>2</v>
      </c>
      <c r="AG1154" s="50" t="n">
        <f aca="false">IF(BW1154=1,0,ROUNDUP(AF1154/BV1154,0))</f>
        <v>1</v>
      </c>
      <c r="AH1154" s="52" t="n">
        <f aca="false">IF(CL1154&gt;0,CL1154*MAX(1,AF1154/X1154),IF(BW1154=1,IF(AF1154&lt;=0,0,CA1154*MAX(1,IF(H1154&gt;0,AF1154/H1154,1))),IF(R1154&gt;0,AG1154/R1154,0))/MAX(0.1,N(Parameter!$M$21)))</f>
        <v>0.00961538461538462</v>
      </c>
      <c r="AI1154" s="50" t="n">
        <f aca="false">AH1154*BY1154</f>
        <v>1.49038461538462</v>
      </c>
      <c r="AJ1154" s="50" t="n">
        <f aca="false">AF1154*G1154</f>
        <v>333.6</v>
      </c>
      <c r="AK1154" s="50" t="n">
        <f aca="false">ROUNDUP(MAX(J1154/IF(CD1154&gt;0,CD1154,MAX(0.1,N(Cockpit!$C$6))),CG1154)/BV1154,0)*BV1154</f>
        <v>5</v>
      </c>
      <c r="AL1154" s="51" t="n">
        <f aca="false">IF(AI1154&gt;0,J1154/AI1154,-1)</f>
        <v>2.01290322580645</v>
      </c>
      <c r="AM1154" s="51" t="n">
        <f aca="false">IF(AND(OR(CC1154="L1",CC1154="L23",CC1154="LIFT"),AI1154&gt;0),SUMIFS($AI$7:$AI$1843,$CC$7:$CC$1843,CC1154,$AL$7:$AL$1843,"&gt;"&amp;AL1154)+SUMIFS($AI$7:$AI$1843,$CC$7:$CC$1843,CC1154,$AL$7:$AL$1843,AL1154,$BT$7:$BT$1843,"&lt;="&amp;BT1154),"")</f>
        <v>5823.63827838828</v>
      </c>
      <c r="AN1154" s="58" t="n">
        <f aca="false">IF(AM1154="",0,MAX(0,MIN(1,(IF(CC1154="L1",Parameter!$H$5,IF(CC1154="L23",Parameter!$H$6+Parameter!$H$7,Parameter!$H$5+Parameter!$H$6+Parameter!$H$7))-(AM1154-AI1154))/AI1154)))</f>
        <v>1</v>
      </c>
      <c r="AO1154" s="50" t="n">
        <f aca="false">IF(LEFT(Cockpit!$I$5,1)="A",H1154,IF(CE1154=1,CF1154,IF(LEFT(Cockpit!$I$5,1)="B",AT1154,MAX(AT1154,H1154))))</f>
        <v>5</v>
      </c>
      <c r="AP1154" s="50" t="n">
        <f aca="false">IF(BW1154=1,0,ROUNDUP(AO1154/BV1154,0))</f>
        <v>1</v>
      </c>
      <c r="AQ1154" s="52" t="n">
        <f aca="false">IF(CL1154&gt;0,CL1154*MAX(1,AO1154/X1154),IF(BW1154=1,IF(AO1154&lt;=0,0,CA1154*MAX(1,IF(H1154&gt;0,AO1154/H1154,1))),IF(R1154&gt;0,AP1154/R1154,0))/MAX(0.1,N(Parameter!$M$21)))</f>
        <v>0.00961538461538462</v>
      </c>
      <c r="AR1154" s="50" t="n">
        <f aca="false">AQ1154*BY1154</f>
        <v>1.49038461538462</v>
      </c>
      <c r="AS1154" s="50" t="n">
        <f aca="false">AO1154*G1154</f>
        <v>834</v>
      </c>
      <c r="AT1154" s="50" t="n">
        <f aca="false">ROUNDUP(MAX(J1154/IF(CD1154&gt;0,CD1154,MAX(0.1,N(Cockpit!$I$6))),CG1154)/BV1154,0)*BV1154</f>
        <v>5</v>
      </c>
      <c r="AU1154" s="51" t="n">
        <f aca="false">IF(AR1154&gt;0,J1154/AR1154,-1)</f>
        <v>2.01290322580645</v>
      </c>
      <c r="AV1154" s="51" t="n">
        <f aca="false">IF(AND(OR(CC1154="L1",CC1154="L23",CC1154="LIFT"),AR1154&gt;0),SUMIFS($AR$7:$AR$1843,$CC$7:$CC$1843,CC1154,$AU$7:$AU$1843,"&gt;"&amp;AU1154)+SUMIFS($AR$7:$AR$1843,$CC$7:$CC$1843,CC1154,$AU$7:$AU$1843,AU1154,$BT$7:$BT$1843,"&lt;="&amp;BT1154),"")</f>
        <v>7733.33058608059</v>
      </c>
      <c r="AW1154" s="58" t="n">
        <f aca="false">IF(AV1154="",0,MAX(0,MIN(1,(IF(CC1154="L1",Parameter!$H$5,IF(CC1154="L23",Parameter!$H$6+Parameter!$H$7,Parameter!$H$5+Parameter!$H$6+Parameter!$H$7))-(AV1154-AR1154))/AR1154)))</f>
        <v>1</v>
      </c>
      <c r="AX1154" s="50" t="n">
        <f aca="false">IF(LEFT(Cockpit!$O$5,1)="A",H1154,IF(CE1154=1,CF1154,IF(LEFT(Cockpit!$O$5,1)="B",BC1154,MAX(BC1154,H1154))))</f>
        <v>5</v>
      </c>
      <c r="AY1154" s="50" t="n">
        <f aca="false">IF(BW1154=1,0,ROUNDUP(AX1154/BV1154,0))</f>
        <v>1</v>
      </c>
      <c r="AZ1154" s="52" t="n">
        <f aca="false">IF(CL1154&gt;0,CL1154*MAX(1,AX1154/X1154),IF(BW1154=1,IF(AX1154&lt;=0,0,CA1154*MAX(1,IF(H1154&gt;0,AX1154/H1154,1))),IF(R1154&gt;0,AY1154/R1154,0))/MAX(0.1,N(Parameter!$M$21)))</f>
        <v>0.00961538461538462</v>
      </c>
      <c r="BA1154" s="50" t="n">
        <f aca="false">AZ1154*BY1154</f>
        <v>1.49038461538462</v>
      </c>
      <c r="BB1154" s="50" t="n">
        <f aca="false">AX1154*G1154</f>
        <v>834</v>
      </c>
      <c r="BC1154" s="50" t="n">
        <f aca="false">ROUNDUP(MAX(J1154/IF(CD1154&gt;0,CD1154,MAX(0.1,N(Cockpit!$O$6))),CG1154)/BV1154,0)*BV1154</f>
        <v>5</v>
      </c>
      <c r="BD1154" s="51" t="n">
        <f aca="false">IF(BA1154&gt;0,J1154/BA1154,-1)</f>
        <v>2.01290322580645</v>
      </c>
      <c r="BE1154" s="51" t="n">
        <f aca="false">IF(AND(OR(CC1154="L1",CC1154="L23",CC1154="LIFT"),BA1154&gt;0),SUMIFS($BA$7:$BA$1843,$CC$7:$CC$1843,CC1154,$BD$7:$BD$1843,"&gt;"&amp;BD1154)+SUMIFS($BA$7:$BA$1843,$CC$7:$CC$1843,CC1154,$BD$7:$BD$1843,BD1154,$BT$7:$BT$1843,"&lt;="&amp;BT1154),"")</f>
        <v>7632.32097069597</v>
      </c>
      <c r="BF1154" s="58" t="n">
        <f aca="false">IF(BE1154="",0,MAX(0,MIN(1,(IF(CC1154="L1",Parameter!$H$5,IF(CC1154="L23",Parameter!$H$6+Parameter!$H$7,Parameter!$H$5+Parameter!$H$6+Parameter!$H$7))-(BE1154-BA1154))/BA1154)))</f>
        <v>1</v>
      </c>
      <c r="BG1154" s="48" t="str">
        <f aca="false">IF(AI1154&lt;=0,"",IF(CC1154="Aussen","Aussenlager",IF(CC1154="-","Nicht im Lift",IF(AN1154&gt;=1,"Lift",IF(AN1154&lt;=0,"Aussenlager","teilweise")))))</f>
        <v>Lift</v>
      </c>
      <c r="BH1154" s="48" t="str">
        <f aca="false">IF(AR1154&lt;=0,"",IF(CC1154="Aussen","Aussenlager",IF(CC1154="-","Nicht im Lift",IF(AW1154&gt;=1,"Lift",IF(AW1154&lt;=0,"Aussenlager","teilweise")))))</f>
        <v>Lift</v>
      </c>
      <c r="BI1154" s="48" t="str">
        <f aca="false">IF(BA1154&lt;=0,"",IF(CC1154="Aussen","Aussenlager",IF(CC1154="-","Nicht im Lift",IF(BF1154&gt;=1,"Lift",IF(BF1154&lt;=0,"Aussenlager","teilweise")))))</f>
        <v>Lift</v>
      </c>
      <c r="BJ1154" s="48" t="str">
        <f aca="false">IF(A1154="","",IF(BS1154=1,"Neu; ","")&amp;IF(AND(BS1154=0,BN1154&lt;0),"negativer Bestand (Export "&amp;BN1154&amp;"); ","")&amp;IF(J1154&lt;=0,"Kein Verbrauch; ","")&amp;IF(CL1154&gt;0,"Lift "&amp;W1154&amp;" lt. Liftbericht (Fach "&amp;X1154&amp;" Stk); ",IF(BX1154=1,"Gebinde geschätzt ("&amp;T1154&amp;"); ",IF(BW1154=1,"Lose – Tablare geschätzt; ","")))&amp;IF(H1154&gt;AT1154,"Überbestand "&amp;ROUND(H1154-AT1154,0)&amp;" Stk / CHF "&amp;ROUND((H1154-AT1154)*G1154,0)&amp;"; ","")&amp;IF(AND(CE1154=1,CF1154&lt;CG1154),"MAX &lt; MB+LG; ","")&amp;IF(AND(CK1154&gt;0,CJ1154*10&gt;CK1154),"zu hoch für Tablar; ","")&amp;IF(AND(BS1154=0,OR(CE1154=1,AA1154&lt;&gt;"",U1154&lt;&gt;"",V1154&lt;&gt;"",AB1154&lt;&gt;"")),"manuell übersteuert; ","")&amp;IF(AND(BW1154=0,R1154=0),"Gebinde unbekannt / Stellmass fehlt; ","")&amp;IF(AND(BW1154=0,N(V1154)&lt;=0,N(Q1154)&lt;=0),"Menge pro Gebinde fehlt (Ist = 1 Gebinde); ","")&amp;BR1154)</f>
        <v>negativer Bestand (Export -2); Überbestand</v>
      </c>
      <c r="BK1154" s="48"/>
      <c r="BL1154" s="48"/>
      <c r="BM1154" s="55"/>
      <c r="BN1154" s="50" t="n">
        <v>-2</v>
      </c>
      <c r="BO1154" s="50" t="n">
        <v>4</v>
      </c>
      <c r="BP1154" s="49" t="n">
        <v>-314.4</v>
      </c>
      <c r="BQ1154" s="50" t="n">
        <v>3</v>
      </c>
      <c r="BR1154" s="48" t="s">
        <v>396</v>
      </c>
      <c r="BS1154" s="53" t="n">
        <v>0</v>
      </c>
      <c r="BT1154" s="53" t="n">
        <v>1154</v>
      </c>
      <c r="BU1154" s="48" t="str">
        <f aca="false">IF(U1154&lt;&gt;"",UPPER(TRIM(U1154)),IF(BX1154=1,UPPER(VLOOKUP(T1154,Parameter!$I$27:$K$29,2,0)),IF(P1154="","LOSE",P1154)))</f>
        <v>S32</v>
      </c>
      <c r="BV1154" s="50" t="n">
        <f aca="false">IF(BU1154="LOSE",1,IF(N(V1154)&gt;0,V1154,IF(BX1154=1,MAX(1,N(VLOOKUP(T1154,Parameter!$I$27:$K$29,3,0)),H1154,N(N1154)),IF(N(Q1154)&gt;0,Q1154,MAX(1,H1154)))))</f>
        <v>5</v>
      </c>
      <c r="BW1154" s="53" t="n">
        <f aca="false">IF(BU1154="LOSE",1,0)</f>
        <v>0</v>
      </c>
      <c r="BX1154" s="53" t="n">
        <f aca="false">IF(AND(U1154="",OR(P1154="",P1154="LOSE"),T1154&lt;&gt;"",N(S1154)&lt;=0,ISNUMBER(MATCH(T1154,Parameter!$I$27:$I$29,0))),1,0)</f>
        <v>0</v>
      </c>
      <c r="BY1154" s="53" t="n">
        <f aca="false">IF(CL1154&gt;0,INDEX(Parameter!$H$5:$H$7,W1154)/INDEX(Parameter!$E$5:$E$7,W1154),IF(AND(BW1154=0,N(IFERROR(VLOOKUP(BU1154,'Gebinde-Kategorie'!$A$5:$N$45,14,0),0))&gt;0),VLOOKUP(BU1154,'Gebinde-Kategorie'!$A$5:$N$45,14,0)*10+Parameter!$M$23,Parameter!$M$24))</f>
        <v>155</v>
      </c>
      <c r="BZ1154" s="48" t="str">
        <f aca="false">IF(AND(Parameter!$B$19="Ja",E1154&lt;&gt;"",ISNUMBER(MATCH(E1154,Parameter!$I$35:$I$52,0))),VLOOKUP(E1154,Parameter!$I$35:$J$52,2,0),IFERROR(VLOOKUP(D1154,Parameter!$A$35:$C$64,2,0),"Nein"))</f>
        <v>2+3</v>
      </c>
      <c r="CA1154" s="52" t="n">
        <f aca="false">IF(BW1154=0,0,IF(N(S1154)&gt;0,S1154,IFERROR(VLOOKUP(D1154,Parameter!$A$35:$C$64,3,0)+0,0)))</f>
        <v>0</v>
      </c>
      <c r="CB1154" s="48" t="n">
        <f aca="false">IF(AA1154&lt;&gt;"",AA1154,Z1154)</f>
        <v>3</v>
      </c>
      <c r="CC1154" s="48" t="str">
        <f aca="false">IF(OR(CB1154=1,CB1154=2,CB1154=3),IF(Parameter!$E$27="Ja","LIFT",IF(CB1154=1,"L1","L23")),IF(CB1154="Aussen","Aussen","-"))</f>
        <v>LIFT</v>
      </c>
      <c r="CD1154" s="59" t="n">
        <f aca="false">IF(N(AB1154)&gt;0,AB1154,0)</f>
        <v>0</v>
      </c>
      <c r="CE1154" s="53" t="n">
        <f aca="false">IF(ISNUMBER(AE1154),1,0)</f>
        <v>0</v>
      </c>
      <c r="CF1154" s="50" t="n">
        <f aca="false">N(AE1154)</f>
        <v>0</v>
      </c>
      <c r="CG1154" s="50" t="n">
        <f aca="false">N(M1154)+N(N1154)</f>
        <v>5</v>
      </c>
      <c r="CH1154" s="50" t="n">
        <f aca="false">ROUNDUP(H1154/BV1154,0)</f>
        <v>1</v>
      </c>
      <c r="CI1154" s="50" t="n">
        <f aca="false">ROUNDUP(CF1154/BV1154,0)</f>
        <v>0</v>
      </c>
      <c r="CJ1154" s="53" t="n">
        <f aca="false">IF(BW1154=1,0,IFERROR(VLOOKUP(BU1154,'Gebinde-Kategorie'!$A$5:$N$45,5,0)+0,0))</f>
        <v>8</v>
      </c>
      <c r="CK1154" s="53" t="n">
        <f aca="false">IFERROR(IF(OR(CB1154=1,CB1154=2,CB1154=3),N(INDEX(Parameter!$I$5:$I$7,CB1154)),0),0)</f>
        <v>0</v>
      </c>
      <c r="CL1154" s="52" t="n">
        <f aca="false">IF(AND(Parameter!$B$21="Ja",ISNUMBER(W1154),N(X1154)&gt;0),IFERROR(N(INDEX(Parameter!$L$5:$L$7,W1154))*INDEX(Parameter!$E$5:$E$7,W1154)*X1154/SUMIFS($X$7:$X$1843,$W$7:$W$1843,W1154),0),0)</f>
        <v>0</v>
      </c>
    </row>
    <row r="1155" customFormat="false" ht="15" hidden="false" customHeight="false" outlineLevel="0" collapsed="false">
      <c r="A1155" s="48" t="s">
        <v>2089</v>
      </c>
      <c r="B1155" s="48" t="s">
        <v>2090</v>
      </c>
      <c r="C1155" s="48" t="s">
        <v>168</v>
      </c>
      <c r="D1155" s="48" t="s">
        <v>188</v>
      </c>
      <c r="E1155" s="48" t="s">
        <v>189</v>
      </c>
      <c r="F1155" s="48" t="s">
        <v>222</v>
      </c>
      <c r="G1155" s="49" t="n">
        <v>28.61</v>
      </c>
      <c r="H1155" s="50" t="n">
        <f aca="false">MAX(0,IF(AND(Parameter!$B$21="Ja",ISNUMBER(Y1155)),Y1155,IF(Parameter!$B$20="Jahresanfang 2025 + Export",BO1155+BN1155,BN1155)))</f>
        <v>31</v>
      </c>
      <c r="I1155" s="50" t="n">
        <f aca="false">H1155*G1155</f>
        <v>886.91</v>
      </c>
      <c r="J1155" s="50" t="n">
        <f aca="false">BQ1155*Parameter!$B$18</f>
        <v>0</v>
      </c>
      <c r="K1155" s="51" t="n">
        <v>36.5</v>
      </c>
      <c r="L1155" s="52" t="n">
        <v>0</v>
      </c>
      <c r="M1155" s="50" t="n">
        <v>0</v>
      </c>
      <c r="N1155" s="50" t="n">
        <v>1</v>
      </c>
      <c r="O1155" s="53" t="n">
        <v>42</v>
      </c>
      <c r="P1155" s="48" t="s">
        <v>332</v>
      </c>
      <c r="Q1155" s="50" t="n">
        <v>52</v>
      </c>
      <c r="R1155" s="53" t="n">
        <f aca="false">IF(BW1155=1,0,IFERROR(VLOOKUP(BU1155,'Gebinde-Kategorie'!$A$5:$N$45,13,0)+0,0))</f>
        <v>52</v>
      </c>
      <c r="S1155" s="54"/>
      <c r="T1155" s="55"/>
      <c r="U1155" s="55"/>
      <c r="V1155" s="55"/>
      <c r="W1155" s="48"/>
      <c r="X1155" s="50"/>
      <c r="Y1155" s="50"/>
      <c r="Z1155" s="48" t="n">
        <f aca="false">IF(A1155="","",IF(AND(Parameter!$B$21="Ja",ISNUMBER(W1155)),W1155,IF(BZ1155="2+3",IF(ISNUMBER(SEARCH("grosser Artikel",BR1155)),2,IFERROR(VLOOKUP(BU1155,Parameter!$F$35:$G$64,2,0),2)),IF(OR(BZ1155="Nein",BZ1155=""),"-",BZ1155))))</f>
        <v>3</v>
      </c>
      <c r="AA1155" s="55"/>
      <c r="AB1155" s="56"/>
      <c r="AC1155" s="50" t="n">
        <f aca="false">AT1155</f>
        <v>52</v>
      </c>
      <c r="AD1155" s="50" t="n">
        <f aca="false">MAX(AT1155,H1155)</f>
        <v>52</v>
      </c>
      <c r="AE1155" s="57"/>
      <c r="AF1155" s="50" t="n">
        <f aca="false">IF(LEFT(Cockpit!$C$5,1)="A",H1155,IF(CE1155=1,CF1155,IF(LEFT(Cockpit!$C$5,1)="B",AK1155,MAX(AK1155,H1155))))</f>
        <v>31</v>
      </c>
      <c r="AG1155" s="50" t="n">
        <f aca="false">IF(BW1155=1,0,ROUNDUP(AF1155/BV1155,0))</f>
        <v>1</v>
      </c>
      <c r="AH1155" s="52" t="n">
        <f aca="false">IF(CL1155&gt;0,CL1155*MAX(1,AF1155/X1155),IF(BW1155=1,IF(AF1155&lt;=0,0,CA1155*MAX(1,IF(H1155&gt;0,AF1155/H1155,1))),IF(R1155&gt;0,AG1155/R1155,0))/MAX(0.1,N(Parameter!$M$21)))</f>
        <v>0.0192307692307692</v>
      </c>
      <c r="AI1155" s="50" t="n">
        <f aca="false">AH1155*BY1155</f>
        <v>2.98076923076923</v>
      </c>
      <c r="AJ1155" s="50" t="n">
        <f aca="false">AF1155*G1155</f>
        <v>886.91</v>
      </c>
      <c r="AK1155" s="50" t="n">
        <f aca="false">ROUNDUP(MAX(J1155/IF(CD1155&gt;0,CD1155,MAX(0.1,N(Cockpit!$C$6))),CG1155)/BV1155,0)*BV1155</f>
        <v>52</v>
      </c>
      <c r="AL1155" s="51" t="n">
        <f aca="false">IF(AI1155&gt;0,J1155/AI1155,-1)</f>
        <v>0</v>
      </c>
      <c r="AM1155" s="51" t="n">
        <f aca="false">IF(AND(OR(CC1155="L1",CC1155="L23",CC1155="LIFT"),AI1155&gt;0),SUMIFS($AI$7:$AI$1843,$CC$7:$CC$1843,CC1155,$AL$7:$AL$1843,"&gt;"&amp;AL1155)+SUMIFS($AI$7:$AI$1843,$CC$7:$CC$1843,CC1155,$AL$7:$AL$1843,AL1155,$BT$7:$BT$1843,"&lt;="&amp;BT1155),"")</f>
        <v>29366.8032816995</v>
      </c>
      <c r="AN1155" s="58" t="n">
        <f aca="false">IF(AM1155="",0,MAX(0,MIN(1,(IF(CC1155="L1",Parameter!$H$5,IF(CC1155="L23",Parameter!$H$6+Parameter!$H$7,Parameter!$H$5+Parameter!$H$6+Parameter!$H$7))-(AM1155-AI1155))/AI1155)))</f>
        <v>1</v>
      </c>
      <c r="AO1155" s="50" t="n">
        <f aca="false">IF(LEFT(Cockpit!$I$5,1)="A",H1155,IF(CE1155=1,CF1155,IF(LEFT(Cockpit!$I$5,1)="B",AT1155,MAX(AT1155,H1155))))</f>
        <v>52</v>
      </c>
      <c r="AP1155" s="50" t="n">
        <f aca="false">IF(BW1155=1,0,ROUNDUP(AO1155/BV1155,0))</f>
        <v>1</v>
      </c>
      <c r="AQ1155" s="52" t="n">
        <f aca="false">IF(CL1155&gt;0,CL1155*MAX(1,AO1155/X1155),IF(BW1155=1,IF(AO1155&lt;=0,0,CA1155*MAX(1,IF(H1155&gt;0,AO1155/H1155,1))),IF(R1155&gt;0,AP1155/R1155,0))/MAX(0.1,N(Parameter!$M$21)))</f>
        <v>0.0192307692307692</v>
      </c>
      <c r="AR1155" s="50" t="n">
        <f aca="false">AQ1155*BY1155</f>
        <v>2.98076923076923</v>
      </c>
      <c r="AS1155" s="50" t="n">
        <f aca="false">AO1155*G1155</f>
        <v>1487.72</v>
      </c>
      <c r="AT1155" s="50" t="n">
        <f aca="false">ROUNDUP(MAX(J1155/IF(CD1155&gt;0,CD1155,MAX(0.1,N(Cockpit!$I$6))),CG1155)/BV1155,0)*BV1155</f>
        <v>52</v>
      </c>
      <c r="AU1155" s="51" t="n">
        <f aca="false">IF(AR1155&gt;0,J1155/AR1155,-1)</f>
        <v>0</v>
      </c>
      <c r="AV1155" s="51" t="n">
        <f aca="false">IF(AND(OR(CC1155="L1",CC1155="L23",CC1155="LIFT"),AR1155&gt;0),SUMIFS($AR$7:$AR$1843,$CC$7:$CC$1843,CC1155,$AU$7:$AU$1843,"&gt;"&amp;AU1155)+SUMIFS($AR$7:$AR$1843,$CC$7:$CC$1843,CC1155,$AU$7:$AU$1843,AU1155,$BT$7:$BT$1843,"&lt;="&amp;BT1155),"")</f>
        <v>41124.0050443906</v>
      </c>
      <c r="AW1155" s="58" t="n">
        <f aca="false">IF(AV1155="",0,MAX(0,MIN(1,(IF(CC1155="L1",Parameter!$H$5,IF(CC1155="L23",Parameter!$H$6+Parameter!$H$7,Parameter!$H$5+Parameter!$H$6+Parameter!$H$7))-(AV1155-AR1155))/AR1155)))</f>
        <v>0</v>
      </c>
      <c r="AX1155" s="50" t="n">
        <f aca="false">IF(LEFT(Cockpit!$O$5,1)="A",H1155,IF(CE1155=1,CF1155,IF(LEFT(Cockpit!$O$5,1)="B",BC1155,MAX(BC1155,H1155))))</f>
        <v>52</v>
      </c>
      <c r="AY1155" s="50" t="n">
        <f aca="false">IF(BW1155=1,0,ROUNDUP(AX1155/BV1155,0))</f>
        <v>1</v>
      </c>
      <c r="AZ1155" s="52" t="n">
        <f aca="false">IF(CL1155&gt;0,CL1155*MAX(1,AX1155/X1155),IF(BW1155=1,IF(AX1155&lt;=0,0,CA1155*MAX(1,IF(H1155&gt;0,AX1155/H1155,1))),IF(R1155&gt;0,AY1155/R1155,0))/MAX(0.1,N(Parameter!$M$21)))</f>
        <v>0.0192307692307692</v>
      </c>
      <c r="BA1155" s="50" t="n">
        <f aca="false">AZ1155*BY1155</f>
        <v>2.98076923076923</v>
      </c>
      <c r="BB1155" s="50" t="n">
        <f aca="false">AX1155*G1155</f>
        <v>1487.72</v>
      </c>
      <c r="BC1155" s="50" t="n">
        <f aca="false">ROUNDUP(MAX(J1155/IF(CD1155&gt;0,CD1155,MAX(0.1,N(Cockpit!$O$6))),CG1155)/BV1155,0)*BV1155</f>
        <v>52</v>
      </c>
      <c r="BD1155" s="51" t="n">
        <f aca="false">IF(BA1155&gt;0,J1155/BA1155,-1)</f>
        <v>0</v>
      </c>
      <c r="BE1155" s="51" t="n">
        <f aca="false">IF(AND(OR(CC1155="L1",CC1155="L23",CC1155="LIFT"),BA1155&gt;0),SUMIFS($BA$7:$BA$1843,$CC$7:$CC$1843,CC1155,$BD$7:$BD$1843,"&gt;"&amp;BD1155)+SUMIFS($BA$7:$BA$1843,$CC$7:$CC$1843,CC1155,$BD$7:$BD$1843,BD1155,$BT$7:$BT$1843,"&lt;="&amp;BT1155),"")</f>
        <v>37799.0170862565</v>
      </c>
      <c r="BF1155" s="58" t="n">
        <f aca="false">IF(BE1155="",0,MAX(0,MIN(1,(IF(CC1155="L1",Parameter!$H$5,IF(CC1155="L23",Parameter!$H$6+Parameter!$H$7,Parameter!$H$5+Parameter!$H$6+Parameter!$H$7))-(BE1155-BA1155))/BA1155)))</f>
        <v>0</v>
      </c>
      <c r="BG1155" s="48" t="str">
        <f aca="false">IF(AI1155&lt;=0,"",IF(CC1155="Aussen","Aussenlager",IF(CC1155="-","Nicht im Lift",IF(AN1155&gt;=1,"Lift",IF(AN1155&lt;=0,"Aussenlager","teilweise")))))</f>
        <v>Lift</v>
      </c>
      <c r="BH1155" s="48" t="str">
        <f aca="false">IF(AR1155&lt;=0,"",IF(CC1155="Aussen","Aussenlager",IF(CC1155="-","Nicht im Lift",IF(AW1155&gt;=1,"Lift",IF(AW1155&lt;=0,"Aussenlager","teilweise")))))</f>
        <v>Aussenlager</v>
      </c>
      <c r="BI1155" s="48" t="str">
        <f aca="false">IF(BA1155&lt;=0,"",IF(CC1155="Aussen","Aussenlager",IF(CC1155="-","Nicht im Lift",IF(BF1155&gt;=1,"Lift",IF(BF1155&lt;=0,"Aussenlager","teilweise")))))</f>
        <v>Aussenlager</v>
      </c>
      <c r="BJ1155" s="48" t="str">
        <f aca="false">IF(A1155="","",IF(BS1155=1,"Neu; ","")&amp;IF(AND(BS1155=0,BN1155&lt;0),"negativer Bestand (Export "&amp;BN1155&amp;"); ","")&amp;IF(J1155&lt;=0,"Kein Verbrauch; ","")&amp;IF(CL1155&gt;0,"Lift "&amp;W1155&amp;" lt. Liftbericht (Fach "&amp;X1155&amp;" Stk); ",IF(BX1155=1,"Gebinde geschätzt ("&amp;T1155&amp;"); ",IF(BW1155=1,"Lose – Tablare geschätzt; ","")))&amp;IF(H1155&gt;AT1155,"Überbestand "&amp;ROUND(H1155-AT1155,0)&amp;" Stk / CHF "&amp;ROUND((H1155-AT1155)*G1155,0)&amp;"; ","")&amp;IF(AND(CE1155=1,CF1155&lt;CG1155),"MAX &lt; MB+LG; ","")&amp;IF(AND(CK1155&gt;0,CJ1155*10&gt;CK1155),"zu hoch für Tablar; ","")&amp;IF(AND(BS1155=0,OR(CE1155=1,AA1155&lt;&gt;"",U1155&lt;&gt;"",V1155&lt;&gt;"",AB1155&lt;&gt;"")),"manuell übersteuert; ","")&amp;IF(AND(BW1155=0,R1155=0),"Gebinde unbekannt / Stellmass fehlt; ","")&amp;IF(AND(BW1155=0,N(V1155)&lt;=0,N(Q1155)&lt;=0),"Menge pro Gebinde fehlt (Ist = 1 Gebinde); ","")&amp;BR1155)</f>
        <v>negativer Bestand (Export -11); Kein Verbrauch; Überbestand</v>
      </c>
      <c r="BK1155" s="48"/>
      <c r="BL1155" s="48"/>
      <c r="BM1155" s="55"/>
      <c r="BN1155" s="50" t="n">
        <v>-11</v>
      </c>
      <c r="BO1155" s="50" t="n">
        <v>42</v>
      </c>
      <c r="BP1155" s="49" t="n">
        <v>-314.71</v>
      </c>
      <c r="BQ1155" s="50" t="n">
        <v>0</v>
      </c>
      <c r="BR1155" s="48" t="s">
        <v>396</v>
      </c>
      <c r="BS1155" s="53" t="n">
        <v>0</v>
      </c>
      <c r="BT1155" s="53" t="n">
        <v>1155</v>
      </c>
      <c r="BU1155" s="48" t="str">
        <f aca="false">IF(U1155&lt;&gt;"",UPPER(TRIM(U1155)),IF(BX1155=1,UPPER(VLOOKUP(T1155,Parameter!$I$27:$K$29,2,0)),IF(P1155="","LOSE",P1155)))</f>
        <v>S41</v>
      </c>
      <c r="BV1155" s="50" t="n">
        <f aca="false">IF(BU1155="LOSE",1,IF(N(V1155)&gt;0,V1155,IF(BX1155=1,MAX(1,N(VLOOKUP(T1155,Parameter!$I$27:$K$29,3,0)),H1155,N(N1155)),IF(N(Q1155)&gt;0,Q1155,MAX(1,H1155)))))</f>
        <v>52</v>
      </c>
      <c r="BW1155" s="53" t="n">
        <f aca="false">IF(BU1155="LOSE",1,0)</f>
        <v>0</v>
      </c>
      <c r="BX1155" s="53" t="n">
        <f aca="false">IF(AND(U1155="",OR(P1155="",P1155="LOSE"),T1155&lt;&gt;"",N(S1155)&lt;=0,ISNUMBER(MATCH(T1155,Parameter!$I$27:$I$29,0))),1,0)</f>
        <v>0</v>
      </c>
      <c r="BY1155" s="53" t="n">
        <f aca="false">IF(CL1155&gt;0,INDEX(Parameter!$H$5:$H$7,W1155)/INDEX(Parameter!$E$5:$E$7,W1155),IF(AND(BW1155=0,N(IFERROR(VLOOKUP(BU1155,'Gebinde-Kategorie'!$A$5:$N$45,14,0),0))&gt;0),VLOOKUP(BU1155,'Gebinde-Kategorie'!$A$5:$N$45,14,0)*10+Parameter!$M$23,Parameter!$M$24))</f>
        <v>155</v>
      </c>
      <c r="BZ1155" s="48" t="str">
        <f aca="false">IF(AND(Parameter!$B$19="Ja",E1155&lt;&gt;"",ISNUMBER(MATCH(E1155,Parameter!$I$35:$I$52,0))),VLOOKUP(E1155,Parameter!$I$35:$J$52,2,0),IFERROR(VLOOKUP(D1155,Parameter!$A$35:$C$64,2,0),"Nein"))</f>
        <v>2+3</v>
      </c>
      <c r="CA1155" s="52" t="n">
        <f aca="false">IF(BW1155=0,0,IF(N(S1155)&gt;0,S1155,IFERROR(VLOOKUP(D1155,Parameter!$A$35:$C$64,3,0)+0,0)))</f>
        <v>0</v>
      </c>
      <c r="CB1155" s="48" t="n">
        <f aca="false">IF(AA1155&lt;&gt;"",AA1155,Z1155)</f>
        <v>3</v>
      </c>
      <c r="CC1155" s="48" t="str">
        <f aca="false">IF(OR(CB1155=1,CB1155=2,CB1155=3),IF(Parameter!$E$27="Ja","LIFT",IF(CB1155=1,"L1","L23")),IF(CB1155="Aussen","Aussen","-"))</f>
        <v>LIFT</v>
      </c>
      <c r="CD1155" s="59" t="n">
        <f aca="false">IF(N(AB1155)&gt;0,AB1155,0)</f>
        <v>0</v>
      </c>
      <c r="CE1155" s="53" t="n">
        <f aca="false">IF(ISNUMBER(AE1155),1,0)</f>
        <v>0</v>
      </c>
      <c r="CF1155" s="50" t="n">
        <f aca="false">N(AE1155)</f>
        <v>0</v>
      </c>
      <c r="CG1155" s="50" t="n">
        <f aca="false">N(M1155)+N(N1155)</f>
        <v>1</v>
      </c>
      <c r="CH1155" s="50" t="n">
        <f aca="false">ROUNDUP(H1155/BV1155,0)</f>
        <v>1</v>
      </c>
      <c r="CI1155" s="50" t="n">
        <f aca="false">ROUNDUP(CF1155/BV1155,0)</f>
        <v>0</v>
      </c>
      <c r="CJ1155" s="53" t="n">
        <f aca="false">IF(BW1155=1,0,IFERROR(VLOOKUP(BU1155,'Gebinde-Kategorie'!$A$5:$N$45,5,0)+0,0))</f>
        <v>11</v>
      </c>
      <c r="CK1155" s="53" t="n">
        <f aca="false">IFERROR(IF(OR(CB1155=1,CB1155=2,CB1155=3),N(INDEX(Parameter!$I$5:$I$7,CB1155)),0),0)</f>
        <v>0</v>
      </c>
      <c r="CL1155" s="52" t="n">
        <f aca="false">IF(AND(Parameter!$B$21="Ja",ISNUMBER(W1155),N(X1155)&gt;0),IFERROR(N(INDEX(Parameter!$L$5:$L$7,W1155))*INDEX(Parameter!$E$5:$E$7,W1155)*X1155/SUMIFS($X$7:$X$1843,$W$7:$W$1843,W1155),0),0)</f>
        <v>0</v>
      </c>
    </row>
    <row r="1156" customFormat="false" ht="15" hidden="false" customHeight="false" outlineLevel="0" collapsed="false">
      <c r="A1156" s="48" t="s">
        <v>2091</v>
      </c>
      <c r="B1156" s="48" t="s">
        <v>1952</v>
      </c>
      <c r="C1156" s="48" t="s">
        <v>460</v>
      </c>
      <c r="D1156" s="48" t="s">
        <v>188</v>
      </c>
      <c r="E1156" s="48"/>
      <c r="F1156" s="48" t="s">
        <v>222</v>
      </c>
      <c r="G1156" s="49" t="n">
        <v>45.5</v>
      </c>
      <c r="H1156" s="50" t="n">
        <f aca="false">MAX(0,IF(AND(Parameter!$B$21="Ja",ISNUMBER(Y1156)),Y1156,IF(Parameter!$B$20="Jahresanfang 2025 + Export",BO1156+BN1156,BN1156)))</f>
        <v>7</v>
      </c>
      <c r="I1156" s="50" t="n">
        <f aca="false">H1156*G1156</f>
        <v>318.5</v>
      </c>
      <c r="J1156" s="50" t="n">
        <f aca="false">BQ1156*Parameter!$B$18</f>
        <v>7</v>
      </c>
      <c r="K1156" s="51" t="n">
        <v>7</v>
      </c>
      <c r="L1156" s="52" t="n">
        <v>1</v>
      </c>
      <c r="M1156" s="50" t="n">
        <v>0</v>
      </c>
      <c r="N1156" s="50" t="n">
        <v>5</v>
      </c>
      <c r="O1156" s="53" t="n">
        <v>21</v>
      </c>
      <c r="P1156" s="48" t="s">
        <v>172</v>
      </c>
      <c r="Q1156" s="50"/>
      <c r="R1156" s="53" t="n">
        <f aca="false">IF(BW1156=1,0,IFERROR(VLOOKUP(BU1156,'Gebinde-Kategorie'!$A$5:$N$45,13,0)+0,0))</f>
        <v>4</v>
      </c>
      <c r="S1156" s="54"/>
      <c r="T1156" s="55" t="s">
        <v>193</v>
      </c>
      <c r="U1156" s="55"/>
      <c r="V1156" s="55"/>
      <c r="W1156" s="48"/>
      <c r="X1156" s="50"/>
      <c r="Y1156" s="50"/>
      <c r="Z1156" s="48" t="n">
        <f aca="false">IF(A1156="","",IF(AND(Parameter!$B$21="Ja",ISNUMBER(W1156)),W1156,IF(BZ1156="2+3",IF(ISNUMBER(SEARCH("grosser Artikel",BR1156)),2,IFERROR(VLOOKUP(BU1156,Parameter!$F$35:$G$64,2,0),2)),IF(OR(BZ1156="Nein",BZ1156=""),"-",BZ1156))))</f>
        <v>2</v>
      </c>
      <c r="AA1156" s="55"/>
      <c r="AB1156" s="56"/>
      <c r="AC1156" s="50" t="n">
        <f aca="false">AT1156</f>
        <v>7</v>
      </c>
      <c r="AD1156" s="50" t="n">
        <f aca="false">MAX(AT1156,H1156)</f>
        <v>7</v>
      </c>
      <c r="AE1156" s="57"/>
      <c r="AF1156" s="50" t="n">
        <f aca="false">IF(LEFT(Cockpit!$C$5,1)="A",H1156,IF(CE1156=1,CF1156,IF(LEFT(Cockpit!$C$5,1)="B",AK1156,MAX(AK1156,H1156))))</f>
        <v>7</v>
      </c>
      <c r="AG1156" s="50" t="n">
        <f aca="false">IF(BW1156=1,0,ROUNDUP(AF1156/BV1156,0))</f>
        <v>1</v>
      </c>
      <c r="AH1156" s="52" t="n">
        <f aca="false">IF(CL1156&gt;0,CL1156*MAX(1,AF1156/X1156),IF(BW1156=1,IF(AF1156&lt;=0,0,CA1156*MAX(1,IF(H1156&gt;0,AF1156/H1156,1))),IF(R1156&gt;0,AG1156/R1156,0))/MAX(0.1,N(Parameter!$M$21)))</f>
        <v>0.25</v>
      </c>
      <c r="AI1156" s="50" t="n">
        <f aca="false">AH1156*BY1156</f>
        <v>58.75</v>
      </c>
      <c r="AJ1156" s="50" t="n">
        <f aca="false">AF1156*G1156</f>
        <v>318.5</v>
      </c>
      <c r="AK1156" s="50" t="n">
        <f aca="false">ROUNDUP(MAX(J1156/IF(CD1156&gt;0,CD1156,MAX(0.1,N(Cockpit!$C$6))),CG1156)/BV1156,0)*BV1156</f>
        <v>7</v>
      </c>
      <c r="AL1156" s="51" t="n">
        <f aca="false">IF(AI1156&gt;0,J1156/AI1156,-1)</f>
        <v>0.119148936170213</v>
      </c>
      <c r="AM1156" s="51" t="n">
        <f aca="false">IF(AND(OR(CC1156="L1",CC1156="L23",CC1156="LIFT"),AI1156&gt;0),SUMIFS($AI$7:$AI$1843,$CC$7:$CC$1843,CC1156,$AL$7:$AL$1843,"&gt;"&amp;AL1156)+SUMIFS($AI$7:$AI$1843,$CC$7:$CC$1843,CC1156,$AL$7:$AL$1843,AL1156,$BT$7:$BT$1843,"&lt;="&amp;BT1156),"")</f>
        <v>14422.6732036796</v>
      </c>
      <c r="AN1156" s="58" t="n">
        <f aca="false">IF(AM1156="",0,MAX(0,MIN(1,(IF(CC1156="L1",Parameter!$H$5,IF(CC1156="L23",Parameter!$H$6+Parameter!$H$7,Parameter!$H$5+Parameter!$H$6+Parameter!$H$7))-(AM1156-AI1156))/AI1156)))</f>
        <v>1</v>
      </c>
      <c r="AO1156" s="50" t="n">
        <f aca="false">IF(LEFT(Cockpit!$I$5,1)="A",H1156,IF(CE1156=1,CF1156,IF(LEFT(Cockpit!$I$5,1)="B",AT1156,MAX(AT1156,H1156))))</f>
        <v>7</v>
      </c>
      <c r="AP1156" s="50" t="n">
        <f aca="false">IF(BW1156=1,0,ROUNDUP(AO1156/BV1156,0))</f>
        <v>1</v>
      </c>
      <c r="AQ1156" s="52" t="n">
        <f aca="false">IF(CL1156&gt;0,CL1156*MAX(1,AO1156/X1156),IF(BW1156=1,IF(AO1156&lt;=0,0,CA1156*MAX(1,IF(H1156&gt;0,AO1156/H1156,1))),IF(R1156&gt;0,AP1156/R1156,0))/MAX(0.1,N(Parameter!$M$21)))</f>
        <v>0.25</v>
      </c>
      <c r="AR1156" s="50" t="n">
        <f aca="false">AQ1156*BY1156</f>
        <v>58.75</v>
      </c>
      <c r="AS1156" s="50" t="n">
        <f aca="false">AO1156*G1156</f>
        <v>318.5</v>
      </c>
      <c r="AT1156" s="50" t="n">
        <f aca="false">ROUNDUP(MAX(J1156/IF(CD1156&gt;0,CD1156,MAX(0.1,N(Cockpit!$I$6))),CG1156)/BV1156,0)*BV1156</f>
        <v>7</v>
      </c>
      <c r="AU1156" s="51" t="n">
        <f aca="false">IF(AR1156&gt;0,J1156/AR1156,-1)</f>
        <v>0.119148936170213</v>
      </c>
      <c r="AV1156" s="51" t="n">
        <f aca="false">IF(AND(OR(CC1156="L1",CC1156="L23",CC1156="LIFT"),AR1156&gt;0),SUMIFS($AR$7:$AR$1843,$CC$7:$CC$1843,CC1156,$AU$7:$AU$1843,"&gt;"&amp;AU1156)+SUMIFS($AR$7:$AR$1843,$CC$7:$CC$1843,CC1156,$AU$7:$AU$1843,AU1156,$BT$7:$BT$1843,"&lt;="&amp;BT1156),"")</f>
        <v>20271.0966117216</v>
      </c>
      <c r="AW1156" s="58" t="n">
        <f aca="false">IF(AV1156="",0,MAX(0,MIN(1,(IF(CC1156="L1",Parameter!$H$5,IF(CC1156="L23",Parameter!$H$6+Parameter!$H$7,Parameter!$H$5+Parameter!$H$6+Parameter!$H$7))-(AV1156-AR1156))/AR1156)))</f>
        <v>1</v>
      </c>
      <c r="AX1156" s="50" t="n">
        <f aca="false">IF(LEFT(Cockpit!$O$5,1)="A",H1156,IF(CE1156=1,CF1156,IF(LEFT(Cockpit!$O$5,1)="B",BC1156,MAX(BC1156,H1156))))</f>
        <v>7</v>
      </c>
      <c r="AY1156" s="50" t="n">
        <f aca="false">IF(BW1156=1,0,ROUNDUP(AX1156/BV1156,0))</f>
        <v>1</v>
      </c>
      <c r="AZ1156" s="52" t="n">
        <f aca="false">IF(CL1156&gt;0,CL1156*MAX(1,AX1156/X1156),IF(BW1156=1,IF(AX1156&lt;=0,0,CA1156*MAX(1,IF(H1156&gt;0,AX1156/H1156,1))),IF(R1156&gt;0,AY1156/R1156,0))/MAX(0.1,N(Parameter!$M$21)))</f>
        <v>0.25</v>
      </c>
      <c r="BA1156" s="50" t="n">
        <f aca="false">AZ1156*BY1156</f>
        <v>58.75</v>
      </c>
      <c r="BB1156" s="50" t="n">
        <f aca="false">AX1156*G1156</f>
        <v>318.5</v>
      </c>
      <c r="BC1156" s="50" t="n">
        <f aca="false">ROUNDUP(MAX(J1156/IF(CD1156&gt;0,CD1156,MAX(0.1,N(Cockpit!$O$6))),CG1156)/BV1156,0)*BV1156</f>
        <v>7</v>
      </c>
      <c r="BD1156" s="51" t="n">
        <f aca="false">IF(BA1156&gt;0,J1156/BA1156,-1)</f>
        <v>0.119148936170213</v>
      </c>
      <c r="BE1156" s="51" t="n">
        <f aca="false">IF(AND(OR(CC1156="L1",CC1156="L23",CC1156="LIFT"),BA1156&gt;0),SUMIFS($BA$7:$BA$1843,$CC$7:$CC$1843,CC1156,$BD$7:$BD$1843,"&gt;"&amp;BD1156)+SUMIFS($BA$7:$BA$1843,$CC$7:$CC$1843,CC1156,$BD$7:$BD$1843,BD1156,$BT$7:$BT$1843,"&lt;="&amp;BT1156),"")</f>
        <v>20359.2677872975</v>
      </c>
      <c r="BF1156" s="58" t="n">
        <f aca="false">IF(BE1156="",0,MAX(0,MIN(1,(IF(CC1156="L1",Parameter!$H$5,IF(CC1156="L23",Parameter!$H$6+Parameter!$H$7,Parameter!$H$5+Parameter!$H$6+Parameter!$H$7))-(BE1156-BA1156))/BA1156)))</f>
        <v>1</v>
      </c>
      <c r="BG1156" s="48" t="str">
        <f aca="false">IF(AI1156&lt;=0,"",IF(CC1156="Aussen","Aussenlager",IF(CC1156="-","Nicht im Lift",IF(AN1156&gt;=1,"Lift",IF(AN1156&lt;=0,"Aussenlager","teilweise")))))</f>
        <v>Lift</v>
      </c>
      <c r="BH1156" s="48" t="str">
        <f aca="false">IF(AR1156&lt;=0,"",IF(CC1156="Aussen","Aussenlager",IF(CC1156="-","Nicht im Lift",IF(AW1156&gt;=1,"Lift",IF(AW1156&lt;=0,"Aussenlager","teilweise")))))</f>
        <v>Lift</v>
      </c>
      <c r="BI1156" s="48" t="str">
        <f aca="false">IF(BA1156&lt;=0,"",IF(CC1156="Aussen","Aussenlager",IF(CC1156="-","Nicht im Lift",IF(BF1156&gt;=1,"Lift",IF(BF1156&lt;=0,"Aussenlager","teilweise")))))</f>
        <v>Lift</v>
      </c>
      <c r="BJ1156" s="48" t="str">
        <f aca="false">IF(A1156="","",IF(BS1156=1,"Neu; ","")&amp;IF(AND(BS1156=0,BN1156&lt;0),"negativer Bestand (Export "&amp;BN1156&amp;"); ","")&amp;IF(J1156&lt;=0,"Kein Verbrauch; ","")&amp;IF(CL1156&gt;0,"Lift "&amp;W1156&amp;" lt. Liftbericht (Fach "&amp;X1156&amp;" Stk); ",IF(BX1156=1,"Gebinde geschätzt ("&amp;T1156&amp;"); ",IF(BW1156=1,"Lose – Tablare geschätzt; ","")))&amp;IF(H1156&gt;AT1156,"Überbestand "&amp;ROUND(H1156-AT1156,0)&amp;" Stk / CHF "&amp;ROUND((H1156-AT1156)*G1156,0)&amp;"; ","")&amp;IF(AND(CE1156=1,CF1156&lt;CG1156),"MAX &lt; MB+LG; ","")&amp;IF(AND(CK1156&gt;0,CJ1156*10&gt;CK1156),"zu hoch für Tablar; ","")&amp;IF(AND(BS1156=0,OR(CE1156=1,AA1156&lt;&gt;"",U1156&lt;&gt;"",V1156&lt;&gt;"",AB1156&lt;&gt;"")),"manuell übersteuert; ","")&amp;IF(AND(BW1156=0,R1156=0),"Gebinde unbekannt / Stellmass fehlt; ","")&amp;IF(AND(BW1156=0,N(V1156)&lt;=0,N(Q1156)&lt;=0),"Menge pro Gebinde fehlt (Ist = 1 Gebinde); ","")&amp;BR1156)</f>
        <v>negativer Bestand (Export -7); Gebinde geschätzt (Gross); Menge pro Gebinde fehlt (Ist = 1 Gebinde); </v>
      </c>
      <c r="BK1156" s="48"/>
      <c r="BL1156" s="48"/>
      <c r="BM1156" s="55"/>
      <c r="BN1156" s="50" t="n">
        <v>-7</v>
      </c>
      <c r="BO1156" s="50" t="n">
        <v>14</v>
      </c>
      <c r="BP1156" s="49" t="n">
        <v>-318.5</v>
      </c>
      <c r="BQ1156" s="50" t="n">
        <v>7</v>
      </c>
      <c r="BR1156" s="48"/>
      <c r="BS1156" s="53" t="n">
        <v>0</v>
      </c>
      <c r="BT1156" s="53" t="n">
        <v>1156</v>
      </c>
      <c r="BU1156" s="48" t="str">
        <f aca="false">IF(U1156&lt;&gt;"",UPPER(TRIM(U1156)),IF(BX1156=1,UPPER(VLOOKUP(T1156,Parameter!$I$27:$K$29,2,0)),IF(P1156="","LOSE",P1156)))</f>
        <v>S81</v>
      </c>
      <c r="BV1156" s="50" t="n">
        <f aca="false">IF(BU1156="LOSE",1,IF(N(V1156)&gt;0,V1156,IF(BX1156=1,MAX(1,N(VLOOKUP(T1156,Parameter!$I$27:$K$29,3,0)),H1156,N(N1156)),IF(N(Q1156)&gt;0,Q1156,MAX(1,H1156)))))</f>
        <v>7</v>
      </c>
      <c r="BW1156" s="53" t="n">
        <f aca="false">IF(BU1156="LOSE",1,0)</f>
        <v>0</v>
      </c>
      <c r="BX1156" s="53" t="n">
        <f aca="false">IF(AND(U1156="",OR(P1156="",P1156="LOSE"),T1156&lt;&gt;"",N(S1156)&lt;=0,ISNUMBER(MATCH(T1156,Parameter!$I$27:$I$29,0))),1,0)</f>
        <v>1</v>
      </c>
      <c r="BY1156" s="53" t="n">
        <f aca="false">IF(CL1156&gt;0,INDEX(Parameter!$H$5:$H$7,W1156)/INDEX(Parameter!$E$5:$E$7,W1156),IF(AND(BW1156=0,N(IFERROR(VLOOKUP(BU1156,'Gebinde-Kategorie'!$A$5:$N$45,14,0),0))&gt;0),VLOOKUP(BU1156,'Gebinde-Kategorie'!$A$5:$N$45,14,0)*10+Parameter!$M$23,Parameter!$M$24))</f>
        <v>235</v>
      </c>
      <c r="BZ1156" s="48" t="str">
        <f aca="false">IF(AND(Parameter!$B$19="Ja",E1156&lt;&gt;"",ISNUMBER(MATCH(E1156,Parameter!$I$35:$I$52,0))),VLOOKUP(E1156,Parameter!$I$35:$J$52,2,0),IFERROR(VLOOKUP(D1156,Parameter!$A$35:$C$64,2,0),"Nein"))</f>
        <v>2+3</v>
      </c>
      <c r="CA1156" s="52" t="n">
        <f aca="false">IF(BW1156=0,0,IF(N(S1156)&gt;0,S1156,IFERROR(VLOOKUP(D1156,Parameter!$A$35:$C$64,3,0)+0,0)))</f>
        <v>0</v>
      </c>
      <c r="CB1156" s="48" t="n">
        <f aca="false">IF(AA1156&lt;&gt;"",AA1156,Z1156)</f>
        <v>2</v>
      </c>
      <c r="CC1156" s="48" t="str">
        <f aca="false">IF(OR(CB1156=1,CB1156=2,CB1156=3),IF(Parameter!$E$27="Ja","LIFT",IF(CB1156=1,"L1","L23")),IF(CB1156="Aussen","Aussen","-"))</f>
        <v>LIFT</v>
      </c>
      <c r="CD1156" s="59" t="n">
        <f aca="false">IF(N(AB1156)&gt;0,AB1156,0)</f>
        <v>0</v>
      </c>
      <c r="CE1156" s="53" t="n">
        <f aca="false">IF(ISNUMBER(AE1156),1,0)</f>
        <v>0</v>
      </c>
      <c r="CF1156" s="50" t="n">
        <f aca="false">N(AE1156)</f>
        <v>0</v>
      </c>
      <c r="CG1156" s="50" t="n">
        <f aca="false">N(M1156)+N(N1156)</f>
        <v>5</v>
      </c>
      <c r="CH1156" s="50" t="n">
        <f aca="false">ROUNDUP(H1156/BV1156,0)</f>
        <v>1</v>
      </c>
      <c r="CI1156" s="50" t="n">
        <f aca="false">ROUNDUP(CF1156/BV1156,0)</f>
        <v>0</v>
      </c>
      <c r="CJ1156" s="53" t="n">
        <f aca="false">IF(BW1156=1,0,IFERROR(VLOOKUP(BU1156,'Gebinde-Kategorie'!$A$5:$N$45,5,0)+0,0))</f>
        <v>20</v>
      </c>
      <c r="CK1156" s="53" t="n">
        <f aca="false">IFERROR(IF(OR(CB1156=1,CB1156=2,CB1156=3),N(INDEX(Parameter!$I$5:$I$7,CB1156)),0),0)</f>
        <v>0</v>
      </c>
      <c r="CL1156" s="52" t="n">
        <f aca="false">IF(AND(Parameter!$B$21="Ja",ISNUMBER(W1156),N(X1156)&gt;0),IFERROR(N(INDEX(Parameter!$L$5:$L$7,W1156))*INDEX(Parameter!$E$5:$E$7,W1156)*X1156/SUMIFS($X$7:$X$1843,$W$7:$W$1843,W1156),0),0)</f>
        <v>0</v>
      </c>
    </row>
    <row r="1157" customFormat="false" ht="15" hidden="false" customHeight="false" outlineLevel="0" collapsed="false">
      <c r="A1157" s="48" t="s">
        <v>2092</v>
      </c>
      <c r="B1157" s="48" t="s">
        <v>2093</v>
      </c>
      <c r="C1157" s="48" t="s">
        <v>168</v>
      </c>
      <c r="D1157" s="48" t="s">
        <v>188</v>
      </c>
      <c r="E1157" s="48" t="s">
        <v>189</v>
      </c>
      <c r="F1157" s="48" t="s">
        <v>222</v>
      </c>
      <c r="G1157" s="49" t="n">
        <v>113.77</v>
      </c>
      <c r="H1157" s="50" t="n">
        <f aca="false">MAX(0,IF(AND(Parameter!$B$21="Ja",ISNUMBER(Y1157)),Y1157,IF(Parameter!$B$20="Jahresanfang 2025 + Export",BO1157+BN1157,BN1157)))</f>
        <v>11</v>
      </c>
      <c r="I1157" s="50" t="n">
        <f aca="false">H1157*G1157</f>
        <v>1251.47</v>
      </c>
      <c r="J1157" s="50" t="n">
        <f aca="false">BQ1157*Parameter!$B$18</f>
        <v>4</v>
      </c>
      <c r="K1157" s="51" t="n">
        <v>15</v>
      </c>
      <c r="L1157" s="52" t="n">
        <v>0.266666666666667</v>
      </c>
      <c r="M1157" s="50" t="n">
        <v>0</v>
      </c>
      <c r="N1157" s="50" t="n">
        <v>5</v>
      </c>
      <c r="O1157" s="53" t="n">
        <v>56</v>
      </c>
      <c r="P1157" s="48" t="s">
        <v>332</v>
      </c>
      <c r="Q1157" s="50" t="n">
        <v>16</v>
      </c>
      <c r="R1157" s="53" t="n">
        <f aca="false">IF(BW1157=1,0,IFERROR(VLOOKUP(BU1157,'Gebinde-Kategorie'!$A$5:$N$45,13,0)+0,0))</f>
        <v>52</v>
      </c>
      <c r="S1157" s="54"/>
      <c r="T1157" s="55"/>
      <c r="U1157" s="55"/>
      <c r="V1157" s="55"/>
      <c r="W1157" s="48"/>
      <c r="X1157" s="50"/>
      <c r="Y1157" s="50"/>
      <c r="Z1157" s="48" t="n">
        <f aca="false">IF(A1157="","",IF(AND(Parameter!$B$21="Ja",ISNUMBER(W1157)),W1157,IF(BZ1157="2+3",IF(ISNUMBER(SEARCH("grosser Artikel",BR1157)),2,IFERROR(VLOOKUP(BU1157,Parameter!$F$35:$G$64,2,0),2)),IF(OR(BZ1157="Nein",BZ1157=""),"-",BZ1157))))</f>
        <v>3</v>
      </c>
      <c r="AA1157" s="55"/>
      <c r="AB1157" s="56"/>
      <c r="AC1157" s="50" t="n">
        <f aca="false">AT1157</f>
        <v>16</v>
      </c>
      <c r="AD1157" s="50" t="n">
        <f aca="false">MAX(AT1157,H1157)</f>
        <v>16</v>
      </c>
      <c r="AE1157" s="57"/>
      <c r="AF1157" s="50" t="n">
        <f aca="false">IF(LEFT(Cockpit!$C$5,1)="A",H1157,IF(CE1157=1,CF1157,IF(LEFT(Cockpit!$C$5,1)="B",AK1157,MAX(AK1157,H1157))))</f>
        <v>11</v>
      </c>
      <c r="AG1157" s="50" t="n">
        <f aca="false">IF(BW1157=1,0,ROUNDUP(AF1157/BV1157,0))</f>
        <v>1</v>
      </c>
      <c r="AH1157" s="52" t="n">
        <f aca="false">IF(CL1157&gt;0,CL1157*MAX(1,AF1157/X1157),IF(BW1157=1,IF(AF1157&lt;=0,0,CA1157*MAX(1,IF(H1157&gt;0,AF1157/H1157,1))),IF(R1157&gt;0,AG1157/R1157,0))/MAX(0.1,N(Parameter!$M$21)))</f>
        <v>0.0192307692307692</v>
      </c>
      <c r="AI1157" s="50" t="n">
        <f aca="false">AH1157*BY1157</f>
        <v>2.98076923076923</v>
      </c>
      <c r="AJ1157" s="50" t="n">
        <f aca="false">AF1157*G1157</f>
        <v>1251.47</v>
      </c>
      <c r="AK1157" s="50" t="n">
        <f aca="false">ROUNDUP(MAX(J1157/IF(CD1157&gt;0,CD1157,MAX(0.1,N(Cockpit!$C$6))),CG1157)/BV1157,0)*BV1157</f>
        <v>16</v>
      </c>
      <c r="AL1157" s="51" t="n">
        <f aca="false">IF(AI1157&gt;0,J1157/AI1157,-1)</f>
        <v>1.34193548387097</v>
      </c>
      <c r="AM1157" s="51" t="n">
        <f aca="false">IF(AND(OR(CC1157="L1",CC1157="L23",CC1157="LIFT"),AI1157&gt;0),SUMIFS($AI$7:$AI$1843,$CC$7:$CC$1843,CC1157,$AL$7:$AL$1843,"&gt;"&amp;AL1157)+SUMIFS($AI$7:$AI$1843,$CC$7:$CC$1843,CC1157,$AL$7:$AL$1843,AL1157,$BT$7:$BT$1843,"&lt;="&amp;BT1157),"")</f>
        <v>6360.95558608059</v>
      </c>
      <c r="AN1157" s="58" t="n">
        <f aca="false">IF(AM1157="",0,MAX(0,MIN(1,(IF(CC1157="L1",Parameter!$H$5,IF(CC1157="L23",Parameter!$H$6+Parameter!$H$7,Parameter!$H$5+Parameter!$H$6+Parameter!$H$7))-(AM1157-AI1157))/AI1157)))</f>
        <v>1</v>
      </c>
      <c r="AO1157" s="50" t="n">
        <f aca="false">IF(LEFT(Cockpit!$I$5,1)="A",H1157,IF(CE1157=1,CF1157,IF(LEFT(Cockpit!$I$5,1)="B",AT1157,MAX(AT1157,H1157))))</f>
        <v>16</v>
      </c>
      <c r="AP1157" s="50" t="n">
        <f aca="false">IF(BW1157=1,0,ROUNDUP(AO1157/BV1157,0))</f>
        <v>1</v>
      </c>
      <c r="AQ1157" s="52" t="n">
        <f aca="false">IF(CL1157&gt;0,CL1157*MAX(1,AO1157/X1157),IF(BW1157=1,IF(AO1157&lt;=0,0,CA1157*MAX(1,IF(H1157&gt;0,AO1157/H1157,1))),IF(R1157&gt;0,AP1157/R1157,0))/MAX(0.1,N(Parameter!$M$21)))</f>
        <v>0.0192307692307692</v>
      </c>
      <c r="AR1157" s="50" t="n">
        <f aca="false">AQ1157*BY1157</f>
        <v>2.98076923076923</v>
      </c>
      <c r="AS1157" s="50" t="n">
        <f aca="false">AO1157*G1157</f>
        <v>1820.32</v>
      </c>
      <c r="AT1157" s="50" t="n">
        <f aca="false">ROUNDUP(MAX(J1157/IF(CD1157&gt;0,CD1157,MAX(0.1,N(Cockpit!$I$6))),CG1157)/BV1157,0)*BV1157</f>
        <v>16</v>
      </c>
      <c r="AU1157" s="51" t="n">
        <f aca="false">IF(AR1157&gt;0,J1157/AR1157,-1)</f>
        <v>1.34193548387097</v>
      </c>
      <c r="AV1157" s="51" t="n">
        <f aca="false">IF(AND(OR(CC1157="L1",CC1157="L23",CC1157="LIFT"),AR1157&gt;0),SUMIFS($AR$7:$AR$1843,$CC$7:$CC$1843,CC1157,$AU$7:$AU$1843,"&gt;"&amp;AU1157)+SUMIFS($AR$7:$AR$1843,$CC$7:$CC$1843,CC1157,$AU$7:$AU$1843,AU1157,$BT$7:$BT$1843,"&lt;="&amp;BT1157),"")</f>
        <v>9431.44322344322</v>
      </c>
      <c r="AW1157" s="58" t="n">
        <f aca="false">IF(AV1157="",0,MAX(0,MIN(1,(IF(CC1157="L1",Parameter!$H$5,IF(CC1157="L23",Parameter!$H$6+Parameter!$H$7,Parameter!$H$5+Parameter!$H$6+Parameter!$H$7))-(AV1157-AR1157))/AR1157)))</f>
        <v>1</v>
      </c>
      <c r="AX1157" s="50" t="n">
        <f aca="false">IF(LEFT(Cockpit!$O$5,1)="A",H1157,IF(CE1157=1,CF1157,IF(LEFT(Cockpit!$O$5,1)="B",BC1157,MAX(BC1157,H1157))))</f>
        <v>16</v>
      </c>
      <c r="AY1157" s="50" t="n">
        <f aca="false">IF(BW1157=1,0,ROUNDUP(AX1157/BV1157,0))</f>
        <v>1</v>
      </c>
      <c r="AZ1157" s="52" t="n">
        <f aca="false">IF(CL1157&gt;0,CL1157*MAX(1,AX1157/X1157),IF(BW1157=1,IF(AX1157&lt;=0,0,CA1157*MAX(1,IF(H1157&gt;0,AX1157/H1157,1))),IF(R1157&gt;0,AY1157/R1157,0))/MAX(0.1,N(Parameter!$M$21)))</f>
        <v>0.0192307692307692</v>
      </c>
      <c r="BA1157" s="50" t="n">
        <f aca="false">AZ1157*BY1157</f>
        <v>2.98076923076923</v>
      </c>
      <c r="BB1157" s="50" t="n">
        <f aca="false">AX1157*G1157</f>
        <v>1820.32</v>
      </c>
      <c r="BC1157" s="50" t="n">
        <f aca="false">ROUNDUP(MAX(J1157/IF(CD1157&gt;0,CD1157,MAX(0.1,N(Cockpit!$O$6))),CG1157)/BV1157,0)*BV1157</f>
        <v>16</v>
      </c>
      <c r="BD1157" s="51" t="n">
        <f aca="false">IF(BA1157&gt;0,J1157/BA1157,-1)</f>
        <v>1.34193548387097</v>
      </c>
      <c r="BE1157" s="51" t="n">
        <f aca="false">IF(AND(OR(CC1157="L1",CC1157="L23",CC1157="LIFT"),BA1157&gt;0),SUMIFS($BA$7:$BA$1843,$CC$7:$CC$1843,CC1157,$BD$7:$BD$1843,"&gt;"&amp;BD1157)+SUMIFS($BA$7:$BA$1843,$CC$7:$CC$1843,CC1157,$BD$7:$BD$1843,BD1157,$BT$7:$BT$1843,"&lt;="&amp;BT1157),"")</f>
        <v>8617.10027472528</v>
      </c>
      <c r="BF1157" s="58" t="n">
        <f aca="false">IF(BE1157="",0,MAX(0,MIN(1,(IF(CC1157="L1",Parameter!$H$5,IF(CC1157="L23",Parameter!$H$6+Parameter!$H$7,Parameter!$H$5+Parameter!$H$6+Parameter!$H$7))-(BE1157-BA1157))/BA1157)))</f>
        <v>1</v>
      </c>
      <c r="BG1157" s="48" t="str">
        <f aca="false">IF(AI1157&lt;=0,"",IF(CC1157="Aussen","Aussenlager",IF(CC1157="-","Nicht im Lift",IF(AN1157&gt;=1,"Lift",IF(AN1157&lt;=0,"Aussenlager","teilweise")))))</f>
        <v>Lift</v>
      </c>
      <c r="BH1157" s="48" t="str">
        <f aca="false">IF(AR1157&lt;=0,"",IF(CC1157="Aussen","Aussenlager",IF(CC1157="-","Nicht im Lift",IF(AW1157&gt;=1,"Lift",IF(AW1157&lt;=0,"Aussenlager","teilweise")))))</f>
        <v>Lift</v>
      </c>
      <c r="BI1157" s="48" t="str">
        <f aca="false">IF(BA1157&lt;=0,"",IF(CC1157="Aussen","Aussenlager",IF(CC1157="-","Nicht im Lift",IF(BF1157&gt;=1,"Lift",IF(BF1157&lt;=0,"Aussenlager","teilweise")))))</f>
        <v>Lift</v>
      </c>
      <c r="BJ1157" s="48" t="str">
        <f aca="false">IF(A1157="","",IF(BS1157=1,"Neu; ","")&amp;IF(AND(BS1157=0,BN1157&lt;0),"negativer Bestand (Export "&amp;BN1157&amp;"); ","")&amp;IF(J1157&lt;=0,"Kein Verbrauch; ","")&amp;IF(CL1157&gt;0,"Lift "&amp;W1157&amp;" lt. Liftbericht (Fach "&amp;X1157&amp;" Stk); ",IF(BX1157=1,"Gebinde geschätzt ("&amp;T1157&amp;"); ",IF(BW1157=1,"Lose – Tablare geschätzt; ","")))&amp;IF(H1157&gt;AT1157,"Überbestand "&amp;ROUND(H1157-AT1157,0)&amp;" Stk / CHF "&amp;ROUND((H1157-AT1157)*G1157,0)&amp;"; ","")&amp;IF(AND(CE1157=1,CF1157&lt;CG1157),"MAX &lt; MB+LG; ","")&amp;IF(AND(CK1157&gt;0,CJ1157*10&gt;CK1157),"zu hoch für Tablar; ","")&amp;IF(AND(BS1157=0,OR(CE1157=1,AA1157&lt;&gt;"",U1157&lt;&gt;"",V1157&lt;&gt;"",AB1157&lt;&gt;"")),"manuell übersteuert; ","")&amp;IF(AND(BW1157=0,R1157=0),"Gebinde unbekannt / Stellmass fehlt; ","")&amp;IF(AND(BW1157=0,N(V1157)&lt;=0,N(Q1157)&lt;=0),"Menge pro Gebinde fehlt (Ist = 1 Gebinde); ","")&amp;BR1157)</f>
        <v>negativer Bestand (Export -3); </v>
      </c>
      <c r="BK1157" s="48"/>
      <c r="BL1157" s="48"/>
      <c r="BM1157" s="55"/>
      <c r="BN1157" s="50" t="n">
        <v>-3</v>
      </c>
      <c r="BO1157" s="50" t="n">
        <v>14</v>
      </c>
      <c r="BP1157" s="49" t="n">
        <v>-319.95</v>
      </c>
      <c r="BQ1157" s="50" t="n">
        <v>4</v>
      </c>
      <c r="BR1157" s="48"/>
      <c r="BS1157" s="53" t="n">
        <v>0</v>
      </c>
      <c r="BT1157" s="53" t="n">
        <v>1157</v>
      </c>
      <c r="BU1157" s="48" t="str">
        <f aca="false">IF(U1157&lt;&gt;"",UPPER(TRIM(U1157)),IF(BX1157=1,UPPER(VLOOKUP(T1157,Parameter!$I$27:$K$29,2,0)),IF(P1157="","LOSE",P1157)))</f>
        <v>S41</v>
      </c>
      <c r="BV1157" s="50" t="n">
        <f aca="false">IF(BU1157="LOSE",1,IF(N(V1157)&gt;0,V1157,IF(BX1157=1,MAX(1,N(VLOOKUP(T1157,Parameter!$I$27:$K$29,3,0)),H1157,N(N1157)),IF(N(Q1157)&gt;0,Q1157,MAX(1,H1157)))))</f>
        <v>16</v>
      </c>
      <c r="BW1157" s="53" t="n">
        <f aca="false">IF(BU1157="LOSE",1,0)</f>
        <v>0</v>
      </c>
      <c r="BX1157" s="53" t="n">
        <f aca="false">IF(AND(U1157="",OR(P1157="",P1157="LOSE"),T1157&lt;&gt;"",N(S1157)&lt;=0,ISNUMBER(MATCH(T1157,Parameter!$I$27:$I$29,0))),1,0)</f>
        <v>0</v>
      </c>
      <c r="BY1157" s="53" t="n">
        <f aca="false">IF(CL1157&gt;0,INDEX(Parameter!$H$5:$H$7,W1157)/INDEX(Parameter!$E$5:$E$7,W1157),IF(AND(BW1157=0,N(IFERROR(VLOOKUP(BU1157,'Gebinde-Kategorie'!$A$5:$N$45,14,0),0))&gt;0),VLOOKUP(BU1157,'Gebinde-Kategorie'!$A$5:$N$45,14,0)*10+Parameter!$M$23,Parameter!$M$24))</f>
        <v>155</v>
      </c>
      <c r="BZ1157" s="48" t="str">
        <f aca="false">IF(AND(Parameter!$B$19="Ja",E1157&lt;&gt;"",ISNUMBER(MATCH(E1157,Parameter!$I$35:$I$52,0))),VLOOKUP(E1157,Parameter!$I$35:$J$52,2,0),IFERROR(VLOOKUP(D1157,Parameter!$A$35:$C$64,2,0),"Nein"))</f>
        <v>2+3</v>
      </c>
      <c r="CA1157" s="52" t="n">
        <f aca="false">IF(BW1157=0,0,IF(N(S1157)&gt;0,S1157,IFERROR(VLOOKUP(D1157,Parameter!$A$35:$C$64,3,0)+0,0)))</f>
        <v>0</v>
      </c>
      <c r="CB1157" s="48" t="n">
        <f aca="false">IF(AA1157&lt;&gt;"",AA1157,Z1157)</f>
        <v>3</v>
      </c>
      <c r="CC1157" s="48" t="str">
        <f aca="false">IF(OR(CB1157=1,CB1157=2,CB1157=3),IF(Parameter!$E$27="Ja","LIFT",IF(CB1157=1,"L1","L23")),IF(CB1157="Aussen","Aussen","-"))</f>
        <v>LIFT</v>
      </c>
      <c r="CD1157" s="59" t="n">
        <f aca="false">IF(N(AB1157)&gt;0,AB1157,0)</f>
        <v>0</v>
      </c>
      <c r="CE1157" s="53" t="n">
        <f aca="false">IF(ISNUMBER(AE1157),1,0)</f>
        <v>0</v>
      </c>
      <c r="CF1157" s="50" t="n">
        <f aca="false">N(AE1157)</f>
        <v>0</v>
      </c>
      <c r="CG1157" s="50" t="n">
        <f aca="false">N(M1157)+N(N1157)</f>
        <v>5</v>
      </c>
      <c r="CH1157" s="50" t="n">
        <f aca="false">ROUNDUP(H1157/BV1157,0)</f>
        <v>1</v>
      </c>
      <c r="CI1157" s="50" t="n">
        <f aca="false">ROUNDUP(CF1157/BV1157,0)</f>
        <v>0</v>
      </c>
      <c r="CJ1157" s="53" t="n">
        <f aca="false">IF(BW1157=1,0,IFERROR(VLOOKUP(BU1157,'Gebinde-Kategorie'!$A$5:$N$45,5,0)+0,0))</f>
        <v>11</v>
      </c>
      <c r="CK1157" s="53" t="n">
        <f aca="false">IFERROR(IF(OR(CB1157=1,CB1157=2,CB1157=3),N(INDEX(Parameter!$I$5:$I$7,CB1157)),0),0)</f>
        <v>0</v>
      </c>
      <c r="CL1157" s="52" t="n">
        <f aca="false">IF(AND(Parameter!$B$21="Ja",ISNUMBER(W1157),N(X1157)&gt;0),IFERROR(N(INDEX(Parameter!$L$5:$L$7,W1157))*INDEX(Parameter!$E$5:$E$7,W1157)*X1157/SUMIFS($X$7:$X$1843,$W$7:$W$1843,W1157),0),0)</f>
        <v>0</v>
      </c>
    </row>
    <row r="1158" customFormat="false" ht="15" hidden="false" customHeight="false" outlineLevel="0" collapsed="false">
      <c r="A1158" s="48" t="s">
        <v>2094</v>
      </c>
      <c r="B1158" s="48" t="s">
        <v>1647</v>
      </c>
      <c r="C1158" s="48" t="s">
        <v>168</v>
      </c>
      <c r="D1158" s="48" t="s">
        <v>188</v>
      </c>
      <c r="E1158" s="48"/>
      <c r="F1158" s="48" t="s">
        <v>222</v>
      </c>
      <c r="G1158" s="49" t="n">
        <v>20</v>
      </c>
      <c r="H1158" s="50" t="n">
        <f aca="false">MAX(0,IF(AND(Parameter!$B$21="Ja",ISNUMBER(Y1158)),Y1158,IF(Parameter!$B$20="Jahresanfang 2025 + Export",BO1158+BN1158,BN1158)))</f>
        <v>0</v>
      </c>
      <c r="I1158" s="50" t="n">
        <f aca="false">H1158*G1158</f>
        <v>0</v>
      </c>
      <c r="J1158" s="50" t="n">
        <f aca="false">BQ1158*Parameter!$B$18</f>
        <v>0</v>
      </c>
      <c r="K1158" s="51" t="n">
        <v>16</v>
      </c>
      <c r="L1158" s="52" t="n">
        <v>0</v>
      </c>
      <c r="M1158" s="50" t="n">
        <v>0</v>
      </c>
      <c r="N1158" s="50" t="n">
        <v>1</v>
      </c>
      <c r="O1158" s="53" t="n">
        <v>35</v>
      </c>
      <c r="P1158" s="48" t="s">
        <v>172</v>
      </c>
      <c r="Q1158" s="50"/>
      <c r="R1158" s="53" t="n">
        <f aca="false">IF(BW1158=1,0,IFERROR(VLOOKUP(BU1158,'Gebinde-Kategorie'!$A$5:$N$45,13,0)+0,0))</f>
        <v>26</v>
      </c>
      <c r="S1158" s="54"/>
      <c r="T1158" s="55" t="s">
        <v>279</v>
      </c>
      <c r="U1158" s="55"/>
      <c r="V1158" s="55"/>
      <c r="W1158" s="48"/>
      <c r="X1158" s="50"/>
      <c r="Y1158" s="50"/>
      <c r="Z1158" s="48" t="n">
        <f aca="false">IF(A1158="","",IF(AND(Parameter!$B$21="Ja",ISNUMBER(W1158)),W1158,IF(BZ1158="2+3",IF(ISNUMBER(SEARCH("grosser Artikel",BR1158)),2,IFERROR(VLOOKUP(BU1158,Parameter!$F$35:$G$64,2,0),2)),IF(OR(BZ1158="Nein",BZ1158=""),"-",BZ1158))))</f>
        <v>3</v>
      </c>
      <c r="AA1158" s="55"/>
      <c r="AB1158" s="56"/>
      <c r="AC1158" s="50" t="n">
        <f aca="false">AT1158</f>
        <v>20</v>
      </c>
      <c r="AD1158" s="50" t="n">
        <f aca="false">MAX(AT1158,H1158)</f>
        <v>20</v>
      </c>
      <c r="AE1158" s="57"/>
      <c r="AF1158" s="50" t="n">
        <f aca="false">IF(LEFT(Cockpit!$C$5,1)="A",H1158,IF(CE1158=1,CF1158,IF(LEFT(Cockpit!$C$5,1)="B",AK1158,MAX(AK1158,H1158))))</f>
        <v>0</v>
      </c>
      <c r="AG1158" s="50" t="n">
        <f aca="false">IF(BW1158=1,0,ROUNDUP(AF1158/BV1158,0))</f>
        <v>0</v>
      </c>
      <c r="AH1158" s="52" t="n">
        <f aca="false">IF(CL1158&gt;0,CL1158*MAX(1,AF1158/X1158),IF(BW1158=1,IF(AF1158&lt;=0,0,CA1158*MAX(1,IF(H1158&gt;0,AF1158/H1158,1))),IF(R1158&gt;0,AG1158/R1158,0))/MAX(0.1,N(Parameter!$M$21)))</f>
        <v>0</v>
      </c>
      <c r="AI1158" s="50" t="n">
        <f aca="false">AH1158*BY1158</f>
        <v>0</v>
      </c>
      <c r="AJ1158" s="50" t="n">
        <f aca="false">AF1158*G1158</f>
        <v>0</v>
      </c>
      <c r="AK1158" s="50" t="n">
        <f aca="false">ROUNDUP(MAX(J1158/IF(CD1158&gt;0,CD1158,MAX(0.1,N(Cockpit!$C$6))),CG1158)/BV1158,0)*BV1158</f>
        <v>20</v>
      </c>
      <c r="AL1158" s="51" t="n">
        <f aca="false">IF(AI1158&gt;0,J1158/AI1158,-1)</f>
        <v>-1</v>
      </c>
      <c r="AM1158" s="51" t="str">
        <f aca="false">IF(AND(OR(CC1158="L1",CC1158="L23",CC1158="LIFT"),AI1158&gt;0),SUMIFS($AI$7:$AI$1843,$CC$7:$CC$1843,CC1158,$AL$7:$AL$1843,"&gt;"&amp;AL1158)+SUMIFS($AI$7:$AI$1843,$CC$7:$CC$1843,CC1158,$AL$7:$AL$1843,AL1158,$BT$7:$BT$1843,"&lt;="&amp;BT1158),"")</f>
        <v/>
      </c>
      <c r="AN1158" s="58" t="n">
        <f aca="false">IF(AM1158="",0,MAX(0,MIN(1,(IF(CC1158="L1",Parameter!$H$5,IF(CC1158="L23",Parameter!$H$6+Parameter!$H$7,Parameter!$H$5+Parameter!$H$6+Parameter!$H$7))-(AM1158-AI1158))/AI1158)))</f>
        <v>0</v>
      </c>
      <c r="AO1158" s="50" t="n">
        <f aca="false">IF(LEFT(Cockpit!$I$5,1)="A",H1158,IF(CE1158=1,CF1158,IF(LEFT(Cockpit!$I$5,1)="B",AT1158,MAX(AT1158,H1158))))</f>
        <v>20</v>
      </c>
      <c r="AP1158" s="50" t="n">
        <f aca="false">IF(BW1158=1,0,ROUNDUP(AO1158/BV1158,0))</f>
        <v>1</v>
      </c>
      <c r="AQ1158" s="52" t="n">
        <f aca="false">IF(CL1158&gt;0,CL1158*MAX(1,AO1158/X1158),IF(BW1158=1,IF(AO1158&lt;=0,0,CA1158*MAX(1,IF(H1158&gt;0,AO1158/H1158,1))),IF(R1158&gt;0,AP1158/R1158,0))/MAX(0.1,N(Parameter!$M$21)))</f>
        <v>0.0384615384615385</v>
      </c>
      <c r="AR1158" s="50" t="n">
        <f aca="false">AQ1158*BY1158</f>
        <v>5.96153846153846</v>
      </c>
      <c r="AS1158" s="50" t="n">
        <f aca="false">AO1158*G1158</f>
        <v>400</v>
      </c>
      <c r="AT1158" s="50" t="n">
        <f aca="false">ROUNDUP(MAX(J1158/IF(CD1158&gt;0,CD1158,MAX(0.1,N(Cockpit!$I$6))),CG1158)/BV1158,0)*BV1158</f>
        <v>20</v>
      </c>
      <c r="AU1158" s="51" t="n">
        <f aca="false">IF(AR1158&gt;0,J1158/AR1158,-1)</f>
        <v>0</v>
      </c>
      <c r="AV1158" s="51" t="n">
        <f aca="false">IF(AND(OR(CC1158="L1",CC1158="L23",CC1158="LIFT"),AR1158&gt;0),SUMIFS($AR$7:$AR$1843,$CC$7:$CC$1843,CC1158,$AU$7:$AU$1843,"&gt;"&amp;AU1158)+SUMIFS($AR$7:$AR$1843,$CC$7:$CC$1843,CC1158,$AU$7:$AU$1843,AU1158,$BT$7:$BT$1843,"&lt;="&amp;BT1158),"")</f>
        <v>41129.9665828522</v>
      </c>
      <c r="AW1158" s="58" t="n">
        <f aca="false">IF(AV1158="",0,MAX(0,MIN(1,(IF(CC1158="L1",Parameter!$H$5,IF(CC1158="L23",Parameter!$H$6+Parameter!$H$7,Parameter!$H$5+Parameter!$H$6+Parameter!$H$7))-(AV1158-AR1158))/AR1158)))</f>
        <v>0</v>
      </c>
      <c r="AX1158" s="50" t="n">
        <f aca="false">IF(LEFT(Cockpit!$O$5,1)="A",H1158,IF(CE1158=1,CF1158,IF(LEFT(Cockpit!$O$5,1)="B",BC1158,MAX(BC1158,H1158))))</f>
        <v>20</v>
      </c>
      <c r="AY1158" s="50" t="n">
        <f aca="false">IF(BW1158=1,0,ROUNDUP(AX1158/BV1158,0))</f>
        <v>1</v>
      </c>
      <c r="AZ1158" s="52" t="n">
        <f aca="false">IF(CL1158&gt;0,CL1158*MAX(1,AX1158/X1158),IF(BW1158=1,IF(AX1158&lt;=0,0,CA1158*MAX(1,IF(H1158&gt;0,AX1158/H1158,1))),IF(R1158&gt;0,AY1158/R1158,0))/MAX(0.1,N(Parameter!$M$21)))</f>
        <v>0.0384615384615385</v>
      </c>
      <c r="BA1158" s="50" t="n">
        <f aca="false">AZ1158*BY1158</f>
        <v>5.96153846153846</v>
      </c>
      <c r="BB1158" s="50" t="n">
        <f aca="false">AX1158*G1158</f>
        <v>400</v>
      </c>
      <c r="BC1158" s="50" t="n">
        <f aca="false">ROUNDUP(MAX(J1158/IF(CD1158&gt;0,CD1158,MAX(0.1,N(Cockpit!$O$6))),CG1158)/BV1158,0)*BV1158</f>
        <v>20</v>
      </c>
      <c r="BD1158" s="51" t="n">
        <f aca="false">IF(BA1158&gt;0,J1158/BA1158,-1)</f>
        <v>0</v>
      </c>
      <c r="BE1158" s="51" t="n">
        <f aca="false">IF(AND(OR(CC1158="L1",CC1158="L23",CC1158="LIFT"),BA1158&gt;0),SUMIFS($BA$7:$BA$1843,$CC$7:$CC$1843,CC1158,$BD$7:$BD$1843,"&gt;"&amp;BD1158)+SUMIFS($BA$7:$BA$1843,$CC$7:$CC$1843,CC1158,$BD$7:$BD$1843,BD1158,$BT$7:$BT$1843,"&lt;="&amp;BT1158),"")</f>
        <v>37804.978624718</v>
      </c>
      <c r="BF1158" s="58" t="n">
        <f aca="false">IF(BE1158="",0,MAX(0,MIN(1,(IF(CC1158="L1",Parameter!$H$5,IF(CC1158="L23",Parameter!$H$6+Parameter!$H$7,Parameter!$H$5+Parameter!$H$6+Parameter!$H$7))-(BE1158-BA1158))/BA1158)))</f>
        <v>0</v>
      </c>
      <c r="BG1158" s="48" t="str">
        <f aca="false">IF(AI1158&lt;=0,"",IF(CC1158="Aussen","Aussenlager",IF(CC1158="-","Nicht im Lift",IF(AN1158&gt;=1,"Lift",IF(AN1158&lt;=0,"Aussenlager","teilweise")))))</f>
        <v/>
      </c>
      <c r="BH1158" s="48" t="str">
        <f aca="false">IF(AR1158&lt;=0,"",IF(CC1158="Aussen","Aussenlager",IF(CC1158="-","Nicht im Lift",IF(AW1158&gt;=1,"Lift",IF(AW1158&lt;=0,"Aussenlager","teilweise")))))</f>
        <v>Aussenlager</v>
      </c>
      <c r="BI1158" s="48" t="str">
        <f aca="false">IF(BA1158&lt;=0,"",IF(CC1158="Aussen","Aussenlager",IF(CC1158="-","Nicht im Lift",IF(BF1158&gt;=1,"Lift",IF(BF1158&lt;=0,"Aussenlager","teilweise")))))</f>
        <v>Aussenlager</v>
      </c>
      <c r="BJ1158" s="48" t="str">
        <f aca="false">IF(A1158="","",IF(BS1158=1,"Neu; ","")&amp;IF(AND(BS1158=0,BN1158&lt;0),"negativer Bestand (Export "&amp;BN1158&amp;"); ","")&amp;IF(J1158&lt;=0,"Kein Verbrauch; ","")&amp;IF(CL1158&gt;0,"Lift "&amp;W1158&amp;" lt. Liftbericht (Fach "&amp;X1158&amp;" Stk); ",IF(BX1158=1,"Gebinde geschätzt ("&amp;T1158&amp;"); ",IF(BW1158=1,"Lose – Tablare geschätzt; ","")))&amp;IF(H1158&gt;AT1158,"Überbestand "&amp;ROUND(H1158-AT1158,0)&amp;" Stk / CHF "&amp;ROUND((H1158-AT1158)*G1158,0)&amp;"; ","")&amp;IF(AND(CE1158=1,CF1158&lt;CG1158),"MAX &lt; MB+LG; ","")&amp;IF(AND(CK1158&gt;0,CJ1158*10&gt;CK1158),"zu hoch für Tablar; ","")&amp;IF(AND(BS1158=0,OR(CE1158=1,AA1158&lt;&gt;"",U1158&lt;&gt;"",V1158&lt;&gt;"",AB1158&lt;&gt;"")),"manuell übersteuert; ","")&amp;IF(AND(BW1158=0,R1158=0),"Gebinde unbekannt / Stellmass fehlt; ","")&amp;IF(AND(BW1158=0,N(V1158)&lt;=0,N(Q1158)&lt;=0),"Menge pro Gebinde fehlt (Ist = 1 Gebinde); ","")&amp;BR1158)</f>
        <v>negativer Bestand (Export -16); Kein Verbrauch; Gebinde geschätzt (Klein); Menge pro Gebinde fehlt (Ist = 1 Gebinde); </v>
      </c>
      <c r="BK1158" s="48"/>
      <c r="BL1158" s="48"/>
      <c r="BM1158" s="55"/>
      <c r="BN1158" s="50" t="n">
        <v>-16</v>
      </c>
      <c r="BO1158" s="50" t="n">
        <v>16</v>
      </c>
      <c r="BP1158" s="49" t="n">
        <v>-320</v>
      </c>
      <c r="BQ1158" s="50" t="n">
        <v>0</v>
      </c>
      <c r="BR1158" s="48"/>
      <c r="BS1158" s="53" t="n">
        <v>0</v>
      </c>
      <c r="BT1158" s="53" t="n">
        <v>1158</v>
      </c>
      <c r="BU1158" s="48" t="str">
        <f aca="false">IF(U1158&lt;&gt;"",UPPER(TRIM(U1158)),IF(BX1158=1,UPPER(VLOOKUP(T1158,Parameter!$I$27:$K$29,2,0)),IF(P1158="","LOSE",P1158)))</f>
        <v>S51</v>
      </c>
      <c r="BV1158" s="50" t="n">
        <f aca="false">IF(BU1158="LOSE",1,IF(N(V1158)&gt;0,V1158,IF(BX1158=1,MAX(1,N(VLOOKUP(T1158,Parameter!$I$27:$K$29,3,0)),H1158,N(N1158)),IF(N(Q1158)&gt;0,Q1158,MAX(1,H1158)))))</f>
        <v>20</v>
      </c>
      <c r="BW1158" s="53" t="n">
        <f aca="false">IF(BU1158="LOSE",1,0)</f>
        <v>0</v>
      </c>
      <c r="BX1158" s="53" t="n">
        <f aca="false">IF(AND(U1158="",OR(P1158="",P1158="LOSE"),T1158&lt;&gt;"",N(S1158)&lt;=0,ISNUMBER(MATCH(T1158,Parameter!$I$27:$I$29,0))),1,0)</f>
        <v>1</v>
      </c>
      <c r="BY1158" s="53" t="n">
        <f aca="false">IF(CL1158&gt;0,INDEX(Parameter!$H$5:$H$7,W1158)/INDEX(Parameter!$E$5:$E$7,W1158),IF(AND(BW1158=0,N(IFERROR(VLOOKUP(BU1158,'Gebinde-Kategorie'!$A$5:$N$45,14,0),0))&gt;0),VLOOKUP(BU1158,'Gebinde-Kategorie'!$A$5:$N$45,14,0)*10+Parameter!$M$23,Parameter!$M$24))</f>
        <v>155</v>
      </c>
      <c r="BZ1158" s="48" t="str">
        <f aca="false">IF(AND(Parameter!$B$19="Ja",E1158&lt;&gt;"",ISNUMBER(MATCH(E1158,Parameter!$I$35:$I$52,0))),VLOOKUP(E1158,Parameter!$I$35:$J$52,2,0),IFERROR(VLOOKUP(D1158,Parameter!$A$35:$C$64,2,0),"Nein"))</f>
        <v>2+3</v>
      </c>
      <c r="CA1158" s="52" t="n">
        <f aca="false">IF(BW1158=0,0,IF(N(S1158)&gt;0,S1158,IFERROR(VLOOKUP(D1158,Parameter!$A$35:$C$64,3,0)+0,0)))</f>
        <v>0</v>
      </c>
      <c r="CB1158" s="48" t="n">
        <f aca="false">IF(AA1158&lt;&gt;"",AA1158,Z1158)</f>
        <v>3</v>
      </c>
      <c r="CC1158" s="48" t="str">
        <f aca="false">IF(OR(CB1158=1,CB1158=2,CB1158=3),IF(Parameter!$E$27="Ja","LIFT",IF(CB1158=1,"L1","L23")),IF(CB1158="Aussen","Aussen","-"))</f>
        <v>LIFT</v>
      </c>
      <c r="CD1158" s="59" t="n">
        <f aca="false">IF(N(AB1158)&gt;0,AB1158,0)</f>
        <v>0</v>
      </c>
      <c r="CE1158" s="53" t="n">
        <f aca="false">IF(ISNUMBER(AE1158),1,0)</f>
        <v>0</v>
      </c>
      <c r="CF1158" s="50" t="n">
        <f aca="false">N(AE1158)</f>
        <v>0</v>
      </c>
      <c r="CG1158" s="50" t="n">
        <f aca="false">N(M1158)+N(N1158)</f>
        <v>1</v>
      </c>
      <c r="CH1158" s="50" t="n">
        <f aca="false">ROUNDUP(H1158/BV1158,0)</f>
        <v>0</v>
      </c>
      <c r="CI1158" s="50" t="n">
        <f aca="false">ROUNDUP(CF1158/BV1158,0)</f>
        <v>0</v>
      </c>
      <c r="CJ1158" s="53" t="n">
        <f aca="false">IF(BW1158=1,0,IFERROR(VLOOKUP(BU1158,'Gebinde-Kategorie'!$A$5:$N$45,5,0)+0,0))</f>
        <v>11</v>
      </c>
      <c r="CK1158" s="53" t="n">
        <f aca="false">IFERROR(IF(OR(CB1158=1,CB1158=2,CB1158=3),N(INDEX(Parameter!$I$5:$I$7,CB1158)),0),0)</f>
        <v>0</v>
      </c>
      <c r="CL1158" s="52" t="n">
        <f aca="false">IF(AND(Parameter!$B$21="Ja",ISNUMBER(W1158),N(X1158)&gt;0),IFERROR(N(INDEX(Parameter!$L$5:$L$7,W1158))*INDEX(Parameter!$E$5:$E$7,W1158)*X1158/SUMIFS($X$7:$X$1843,$W$7:$W$1843,W1158),0),0)</f>
        <v>0</v>
      </c>
    </row>
    <row r="1159" customFormat="false" ht="15" hidden="false" customHeight="false" outlineLevel="0" collapsed="false">
      <c r="A1159" s="48" t="s">
        <v>2095</v>
      </c>
      <c r="B1159" s="48" t="s">
        <v>444</v>
      </c>
      <c r="C1159" s="48" t="s">
        <v>168</v>
      </c>
      <c r="D1159" s="48" t="s">
        <v>188</v>
      </c>
      <c r="E1159" s="48" t="s">
        <v>189</v>
      </c>
      <c r="F1159" s="48" t="s">
        <v>222</v>
      </c>
      <c r="G1159" s="49" t="n">
        <v>107</v>
      </c>
      <c r="H1159" s="50" t="n">
        <f aca="false">MAX(0,IF(AND(Parameter!$B$21="Ja",ISNUMBER(Y1159)),Y1159,IF(Parameter!$B$20="Jahresanfang 2025 + Export",BO1159+BN1159,BN1159)))</f>
        <v>16</v>
      </c>
      <c r="I1159" s="50" t="n">
        <f aca="false">H1159*G1159</f>
        <v>1712</v>
      </c>
      <c r="J1159" s="50" t="n">
        <f aca="false">BQ1159*Parameter!$B$18</f>
        <v>8</v>
      </c>
      <c r="K1159" s="51" t="n">
        <v>17</v>
      </c>
      <c r="L1159" s="52" t="n">
        <v>0.470588235294118</v>
      </c>
      <c r="M1159" s="50" t="n">
        <v>1</v>
      </c>
      <c r="N1159" s="50" t="n">
        <v>10</v>
      </c>
      <c r="O1159" s="53" t="n">
        <v>84</v>
      </c>
      <c r="P1159" s="48" t="s">
        <v>237</v>
      </c>
      <c r="Q1159" s="50" t="n">
        <v>50</v>
      </c>
      <c r="R1159" s="53" t="n">
        <f aca="false">IF(BW1159=1,0,IFERROR(VLOOKUP(BU1159,'Gebinde-Kategorie'!$A$5:$N$45,13,0)+0,0))</f>
        <v>26</v>
      </c>
      <c r="S1159" s="54"/>
      <c r="T1159" s="55"/>
      <c r="U1159" s="55"/>
      <c r="V1159" s="55"/>
      <c r="W1159" s="48"/>
      <c r="X1159" s="50"/>
      <c r="Y1159" s="50"/>
      <c r="Z1159" s="48" t="n">
        <f aca="false">IF(A1159="","",IF(AND(Parameter!$B$21="Ja",ISNUMBER(W1159)),W1159,IF(BZ1159="2+3",IF(ISNUMBER(SEARCH("grosser Artikel",BR1159)),2,IFERROR(VLOOKUP(BU1159,Parameter!$F$35:$G$64,2,0),2)),IF(OR(BZ1159="Nein",BZ1159=""),"-",BZ1159))))</f>
        <v>3</v>
      </c>
      <c r="AA1159" s="55"/>
      <c r="AB1159" s="56"/>
      <c r="AC1159" s="50" t="n">
        <f aca="false">AT1159</f>
        <v>50</v>
      </c>
      <c r="AD1159" s="50" t="n">
        <f aca="false">MAX(AT1159,H1159)</f>
        <v>50</v>
      </c>
      <c r="AE1159" s="57"/>
      <c r="AF1159" s="50" t="n">
        <f aca="false">IF(LEFT(Cockpit!$C$5,1)="A",H1159,IF(CE1159=1,CF1159,IF(LEFT(Cockpit!$C$5,1)="B",AK1159,MAX(AK1159,H1159))))</f>
        <v>16</v>
      </c>
      <c r="AG1159" s="50" t="n">
        <f aca="false">IF(BW1159=1,0,ROUNDUP(AF1159/BV1159,0))</f>
        <v>1</v>
      </c>
      <c r="AH1159" s="52" t="n">
        <f aca="false">IF(CL1159&gt;0,CL1159*MAX(1,AF1159/X1159),IF(BW1159=1,IF(AF1159&lt;=0,0,CA1159*MAX(1,IF(H1159&gt;0,AF1159/H1159,1))),IF(R1159&gt;0,AG1159/R1159,0))/MAX(0.1,N(Parameter!$M$21)))</f>
        <v>0.0384615384615385</v>
      </c>
      <c r="AI1159" s="50" t="n">
        <f aca="false">AH1159*BY1159</f>
        <v>9.42307692307692</v>
      </c>
      <c r="AJ1159" s="50" t="n">
        <f aca="false">AF1159*G1159</f>
        <v>1712</v>
      </c>
      <c r="AK1159" s="50" t="n">
        <f aca="false">ROUNDUP(MAX(J1159/IF(CD1159&gt;0,CD1159,MAX(0.1,N(Cockpit!$C$6))),CG1159)/BV1159,0)*BV1159</f>
        <v>50</v>
      </c>
      <c r="AL1159" s="51" t="n">
        <f aca="false">IF(AI1159&gt;0,J1159/AI1159,-1)</f>
        <v>0.848979591836735</v>
      </c>
      <c r="AM1159" s="51" t="n">
        <f aca="false">IF(AND(OR(CC1159="L1",CC1159="L23",CC1159="LIFT"),AI1159&gt;0),SUMIFS($AI$7:$AI$1843,$CC$7:$CC$1843,CC1159,$AL$7:$AL$1843,"&gt;"&amp;AL1159)+SUMIFS($AI$7:$AI$1843,$CC$7:$CC$1843,CC1159,$AL$7:$AL$1843,AL1159,$BT$7:$BT$1843,"&lt;="&amp;BT1159),"")</f>
        <v>7833.61217948718</v>
      </c>
      <c r="AN1159" s="58" t="n">
        <f aca="false">IF(AM1159="",0,MAX(0,MIN(1,(IF(CC1159="L1",Parameter!$H$5,IF(CC1159="L23",Parameter!$H$6+Parameter!$H$7,Parameter!$H$5+Parameter!$H$6+Parameter!$H$7))-(AM1159-AI1159))/AI1159)))</f>
        <v>1</v>
      </c>
      <c r="AO1159" s="50" t="n">
        <f aca="false">IF(LEFT(Cockpit!$I$5,1)="A",H1159,IF(CE1159=1,CF1159,IF(LEFT(Cockpit!$I$5,1)="B",AT1159,MAX(AT1159,H1159))))</f>
        <v>50</v>
      </c>
      <c r="AP1159" s="50" t="n">
        <f aca="false">IF(BW1159=1,0,ROUNDUP(AO1159/BV1159,0))</f>
        <v>1</v>
      </c>
      <c r="AQ1159" s="52" t="n">
        <f aca="false">IF(CL1159&gt;0,CL1159*MAX(1,AO1159/X1159),IF(BW1159=1,IF(AO1159&lt;=0,0,CA1159*MAX(1,IF(H1159&gt;0,AO1159/H1159,1))),IF(R1159&gt;0,AP1159/R1159,0))/MAX(0.1,N(Parameter!$M$21)))</f>
        <v>0.0384615384615385</v>
      </c>
      <c r="AR1159" s="50" t="n">
        <f aca="false">AQ1159*BY1159</f>
        <v>9.42307692307692</v>
      </c>
      <c r="AS1159" s="50" t="n">
        <f aca="false">AO1159*G1159</f>
        <v>5350</v>
      </c>
      <c r="AT1159" s="50" t="n">
        <f aca="false">ROUNDUP(MAX(J1159/IF(CD1159&gt;0,CD1159,MAX(0.1,N(Cockpit!$I$6))),CG1159)/BV1159,0)*BV1159</f>
        <v>50</v>
      </c>
      <c r="AU1159" s="51" t="n">
        <f aca="false">IF(AR1159&gt;0,J1159/AR1159,-1)</f>
        <v>0.848979591836735</v>
      </c>
      <c r="AV1159" s="51" t="n">
        <f aca="false">IF(AND(OR(CC1159="L1",CC1159="L23",CC1159="LIFT"),AR1159&gt;0),SUMIFS($AR$7:$AR$1843,$CC$7:$CC$1843,CC1159,$AU$7:$AU$1843,"&gt;"&amp;AU1159)+SUMIFS($AR$7:$AR$1843,$CC$7:$CC$1843,CC1159,$AU$7:$AU$1843,AU1159,$BT$7:$BT$1843,"&lt;="&amp;BT1159),"")</f>
        <v>11204.0357142857</v>
      </c>
      <c r="AW1159" s="58" t="n">
        <f aca="false">IF(AV1159="",0,MAX(0,MIN(1,(IF(CC1159="L1",Parameter!$H$5,IF(CC1159="L23",Parameter!$H$6+Parameter!$H$7,Parameter!$H$5+Parameter!$H$6+Parameter!$H$7))-(AV1159-AR1159))/AR1159)))</f>
        <v>1</v>
      </c>
      <c r="AX1159" s="50" t="n">
        <f aca="false">IF(LEFT(Cockpit!$O$5,1)="A",H1159,IF(CE1159=1,CF1159,IF(LEFT(Cockpit!$O$5,1)="B",BC1159,MAX(BC1159,H1159))))</f>
        <v>50</v>
      </c>
      <c r="AY1159" s="50" t="n">
        <f aca="false">IF(BW1159=1,0,ROUNDUP(AX1159/BV1159,0))</f>
        <v>1</v>
      </c>
      <c r="AZ1159" s="52" t="n">
        <f aca="false">IF(CL1159&gt;0,CL1159*MAX(1,AX1159/X1159),IF(BW1159=1,IF(AX1159&lt;=0,0,CA1159*MAX(1,IF(H1159&gt;0,AX1159/H1159,1))),IF(R1159&gt;0,AY1159/R1159,0))/MAX(0.1,N(Parameter!$M$21)))</f>
        <v>0.0384615384615385</v>
      </c>
      <c r="BA1159" s="50" t="n">
        <f aca="false">AZ1159*BY1159</f>
        <v>9.42307692307692</v>
      </c>
      <c r="BB1159" s="50" t="n">
        <f aca="false">AX1159*G1159</f>
        <v>5350</v>
      </c>
      <c r="BC1159" s="50" t="n">
        <f aca="false">ROUNDUP(MAX(J1159/IF(CD1159&gt;0,CD1159,MAX(0.1,N(Cockpit!$O$6))),CG1159)/BV1159,0)*BV1159</f>
        <v>50</v>
      </c>
      <c r="BD1159" s="51" t="n">
        <f aca="false">IF(BA1159&gt;0,J1159/BA1159,-1)</f>
        <v>0.848979591836735</v>
      </c>
      <c r="BE1159" s="51" t="n">
        <f aca="false">IF(AND(OR(CC1159="L1",CC1159="L23",CC1159="LIFT"),BA1159&gt;0),SUMIFS($BA$7:$BA$1843,$CC$7:$CC$1843,CC1159,$BD$7:$BD$1843,"&gt;"&amp;BD1159)+SUMIFS($BA$7:$BA$1843,$CC$7:$CC$1843,CC1159,$BD$7:$BD$1843,BD1159,$BT$7:$BT$1843,"&lt;="&amp;BT1159),"")</f>
        <v>10299.6927655678</v>
      </c>
      <c r="BF1159" s="58" t="n">
        <f aca="false">IF(BE1159="",0,MAX(0,MIN(1,(IF(CC1159="L1",Parameter!$H$5,IF(CC1159="L23",Parameter!$H$6+Parameter!$H$7,Parameter!$H$5+Parameter!$H$6+Parameter!$H$7))-(BE1159-BA1159))/BA1159)))</f>
        <v>1</v>
      </c>
      <c r="BG1159" s="48" t="str">
        <f aca="false">IF(AI1159&lt;=0,"",IF(CC1159="Aussen","Aussenlager",IF(CC1159="-","Nicht im Lift",IF(AN1159&gt;=1,"Lift",IF(AN1159&lt;=0,"Aussenlager","teilweise")))))</f>
        <v>Lift</v>
      </c>
      <c r="BH1159" s="48" t="str">
        <f aca="false">IF(AR1159&lt;=0,"",IF(CC1159="Aussen","Aussenlager",IF(CC1159="-","Nicht im Lift",IF(AW1159&gt;=1,"Lift",IF(AW1159&lt;=0,"Aussenlager","teilweise")))))</f>
        <v>Lift</v>
      </c>
      <c r="BI1159" s="48" t="str">
        <f aca="false">IF(BA1159&lt;=0,"",IF(CC1159="Aussen","Aussenlager",IF(CC1159="-","Nicht im Lift",IF(BF1159&gt;=1,"Lift",IF(BF1159&lt;=0,"Aussenlager","teilweise")))))</f>
        <v>Lift</v>
      </c>
      <c r="BJ1159" s="48" t="str">
        <f aca="false">IF(A1159="","",IF(BS1159=1,"Neu; ","")&amp;IF(AND(BS1159=0,BN1159&lt;0),"negativer Bestand (Export "&amp;BN1159&amp;"); ","")&amp;IF(J1159&lt;=0,"Kein Verbrauch; ","")&amp;IF(CL1159&gt;0,"Lift "&amp;W1159&amp;" lt. Liftbericht (Fach "&amp;X1159&amp;" Stk); ",IF(BX1159=1,"Gebinde geschätzt ("&amp;T1159&amp;"); ",IF(BW1159=1,"Lose – Tablare geschätzt; ","")))&amp;IF(H1159&gt;AT1159,"Überbestand "&amp;ROUND(H1159-AT1159,0)&amp;" Stk / CHF "&amp;ROUND((H1159-AT1159)*G1159,0)&amp;"; ","")&amp;IF(AND(CE1159=1,CF1159&lt;CG1159),"MAX &lt; MB+LG; ","")&amp;IF(AND(CK1159&gt;0,CJ1159*10&gt;CK1159),"zu hoch für Tablar; ","")&amp;IF(AND(BS1159=0,OR(CE1159=1,AA1159&lt;&gt;"",U1159&lt;&gt;"",V1159&lt;&gt;"",AB1159&lt;&gt;"")),"manuell übersteuert; ","")&amp;IF(AND(BW1159=0,R1159=0),"Gebinde unbekannt / Stellmass fehlt; ","")&amp;IF(AND(BW1159=0,N(V1159)&lt;=0,N(Q1159)&lt;=0),"Menge pro Gebinde fehlt (Ist = 1 Gebinde); ","")&amp;BR1159)</f>
        <v>negativer Bestand (Export -3); </v>
      </c>
      <c r="BK1159" s="48"/>
      <c r="BL1159" s="48"/>
      <c r="BM1159" s="55"/>
      <c r="BN1159" s="50" t="n">
        <v>-3</v>
      </c>
      <c r="BO1159" s="50" t="n">
        <v>19</v>
      </c>
      <c r="BP1159" s="49" t="n">
        <v>-321</v>
      </c>
      <c r="BQ1159" s="50" t="n">
        <v>8</v>
      </c>
      <c r="BR1159" s="48"/>
      <c r="BS1159" s="53" t="n">
        <v>0</v>
      </c>
      <c r="BT1159" s="53" t="n">
        <v>1159</v>
      </c>
      <c r="BU1159" s="48" t="str">
        <f aca="false">IF(U1159&lt;&gt;"",UPPER(TRIM(U1159)),IF(BX1159=1,UPPER(VLOOKUP(T1159,Parameter!$I$27:$K$29,2,0)),IF(P1159="","LOSE",P1159)))</f>
        <v>S52</v>
      </c>
      <c r="BV1159" s="50" t="n">
        <f aca="false">IF(BU1159="LOSE",1,IF(N(V1159)&gt;0,V1159,IF(BX1159=1,MAX(1,N(VLOOKUP(T1159,Parameter!$I$27:$K$29,3,0)),H1159,N(N1159)),IF(N(Q1159)&gt;0,Q1159,MAX(1,H1159)))))</f>
        <v>50</v>
      </c>
      <c r="BW1159" s="53" t="n">
        <f aca="false">IF(BU1159="LOSE",1,0)</f>
        <v>0</v>
      </c>
      <c r="BX1159" s="53" t="n">
        <f aca="false">IF(AND(U1159="",OR(P1159="",P1159="LOSE"),T1159&lt;&gt;"",N(S1159)&lt;=0,ISNUMBER(MATCH(T1159,Parameter!$I$27:$I$29,0))),1,0)</f>
        <v>0</v>
      </c>
      <c r="BY1159" s="53" t="n">
        <f aca="false">IF(CL1159&gt;0,INDEX(Parameter!$H$5:$H$7,W1159)/INDEX(Parameter!$E$5:$E$7,W1159),IF(AND(BW1159=0,N(IFERROR(VLOOKUP(BU1159,'Gebinde-Kategorie'!$A$5:$N$45,14,0),0))&gt;0),VLOOKUP(BU1159,'Gebinde-Kategorie'!$A$5:$N$45,14,0)*10+Parameter!$M$23,Parameter!$M$24))</f>
        <v>245</v>
      </c>
      <c r="BZ1159" s="48" t="str">
        <f aca="false">IF(AND(Parameter!$B$19="Ja",E1159&lt;&gt;"",ISNUMBER(MATCH(E1159,Parameter!$I$35:$I$52,0))),VLOOKUP(E1159,Parameter!$I$35:$J$52,2,0),IFERROR(VLOOKUP(D1159,Parameter!$A$35:$C$64,2,0),"Nein"))</f>
        <v>2+3</v>
      </c>
      <c r="CA1159" s="52" t="n">
        <f aca="false">IF(BW1159=0,0,IF(N(S1159)&gt;0,S1159,IFERROR(VLOOKUP(D1159,Parameter!$A$35:$C$64,3,0)+0,0)))</f>
        <v>0</v>
      </c>
      <c r="CB1159" s="48" t="n">
        <f aca="false">IF(AA1159&lt;&gt;"",AA1159,Z1159)</f>
        <v>3</v>
      </c>
      <c r="CC1159" s="48" t="str">
        <f aca="false">IF(OR(CB1159=1,CB1159=2,CB1159=3),IF(Parameter!$E$27="Ja","LIFT",IF(CB1159=1,"L1","L23")),IF(CB1159="Aussen","Aussen","-"))</f>
        <v>LIFT</v>
      </c>
      <c r="CD1159" s="59" t="n">
        <f aca="false">IF(N(AB1159)&gt;0,AB1159,0)</f>
        <v>0</v>
      </c>
      <c r="CE1159" s="53" t="n">
        <f aca="false">IF(ISNUMBER(AE1159),1,0)</f>
        <v>0</v>
      </c>
      <c r="CF1159" s="50" t="n">
        <f aca="false">N(AE1159)</f>
        <v>0</v>
      </c>
      <c r="CG1159" s="50" t="n">
        <f aca="false">N(M1159)+N(N1159)</f>
        <v>11</v>
      </c>
      <c r="CH1159" s="50" t="n">
        <f aca="false">ROUNDUP(H1159/BV1159,0)</f>
        <v>1</v>
      </c>
      <c r="CI1159" s="50" t="n">
        <f aca="false">ROUNDUP(CF1159/BV1159,0)</f>
        <v>0</v>
      </c>
      <c r="CJ1159" s="53" t="n">
        <f aca="false">IF(BW1159=1,0,IFERROR(VLOOKUP(BU1159,'Gebinde-Kategorie'!$A$5:$N$45,5,0)+0,0))</f>
        <v>21</v>
      </c>
      <c r="CK1159" s="53" t="n">
        <f aca="false">IFERROR(IF(OR(CB1159=1,CB1159=2,CB1159=3),N(INDEX(Parameter!$I$5:$I$7,CB1159)),0),0)</f>
        <v>0</v>
      </c>
      <c r="CL1159" s="52" t="n">
        <f aca="false">IF(AND(Parameter!$B$21="Ja",ISNUMBER(W1159),N(X1159)&gt;0),IFERROR(N(INDEX(Parameter!$L$5:$L$7,W1159))*INDEX(Parameter!$E$5:$E$7,W1159)*X1159/SUMIFS($X$7:$X$1843,$W$7:$W$1843,W1159),0),0)</f>
        <v>0</v>
      </c>
    </row>
    <row r="1160" customFormat="false" ht="15" hidden="false" customHeight="false" outlineLevel="0" collapsed="false">
      <c r="A1160" s="48" t="s">
        <v>2096</v>
      </c>
      <c r="B1160" s="48" t="s">
        <v>2097</v>
      </c>
      <c r="C1160" s="48" t="s">
        <v>168</v>
      </c>
      <c r="D1160" s="48" t="s">
        <v>177</v>
      </c>
      <c r="E1160" s="48"/>
      <c r="F1160" s="48" t="s">
        <v>222</v>
      </c>
      <c r="G1160" s="49" t="n">
        <v>4.95</v>
      </c>
      <c r="H1160" s="50" t="n">
        <f aca="false">MAX(0,IF(AND(Parameter!$B$21="Ja",ISNUMBER(Y1160)),Y1160,IF(Parameter!$B$20="Jahresanfang 2025 + Export",BO1160+BN1160,BN1160)))</f>
        <v>50</v>
      </c>
      <c r="I1160" s="50" t="n">
        <f aca="false">H1160*G1160</f>
        <v>247.5</v>
      </c>
      <c r="J1160" s="50" t="n">
        <f aca="false">BQ1160*Parameter!$B$18</f>
        <v>143</v>
      </c>
      <c r="K1160" s="51" t="n">
        <v>100</v>
      </c>
      <c r="L1160" s="52" t="n">
        <v>1.43</v>
      </c>
      <c r="M1160" s="50" t="n">
        <v>25</v>
      </c>
      <c r="N1160" s="50" t="n">
        <v>10</v>
      </c>
      <c r="O1160" s="53" t="n">
        <v>28</v>
      </c>
      <c r="P1160" s="48" t="s">
        <v>172</v>
      </c>
      <c r="Q1160" s="50"/>
      <c r="R1160" s="53" t="n">
        <f aca="false">IF(BW1160=1,0,IFERROR(VLOOKUP(BU1160,'Gebinde-Kategorie'!$A$5:$N$45,13,0)+0,0))</f>
        <v>4</v>
      </c>
      <c r="S1160" s="54"/>
      <c r="T1160" s="55" t="s">
        <v>193</v>
      </c>
      <c r="U1160" s="55"/>
      <c r="V1160" s="55"/>
      <c r="W1160" s="48"/>
      <c r="X1160" s="50"/>
      <c r="Y1160" s="50"/>
      <c r="Z1160" s="48" t="n">
        <f aca="false">IF(A1160="","",IF(AND(Parameter!$B$21="Ja",ISNUMBER(W1160)),W1160,IF(BZ1160="2+3",IF(ISNUMBER(SEARCH("grosser Artikel",BR1160)),2,IFERROR(VLOOKUP(BU1160,Parameter!$F$35:$G$64,2,0),2)),IF(OR(BZ1160="Nein",BZ1160=""),"-",BZ1160))))</f>
        <v>2</v>
      </c>
      <c r="AA1160" s="55"/>
      <c r="AB1160" s="56"/>
      <c r="AC1160" s="50" t="n">
        <f aca="false">AT1160</f>
        <v>100</v>
      </c>
      <c r="AD1160" s="50" t="n">
        <f aca="false">MAX(AT1160,H1160)</f>
        <v>100</v>
      </c>
      <c r="AE1160" s="57"/>
      <c r="AF1160" s="50" t="n">
        <f aca="false">IF(LEFT(Cockpit!$C$5,1)="A",H1160,IF(CE1160=1,CF1160,IF(LEFT(Cockpit!$C$5,1)="B",AK1160,MAX(AK1160,H1160))))</f>
        <v>50</v>
      </c>
      <c r="AG1160" s="50" t="n">
        <f aca="false">IF(BW1160=1,0,ROUNDUP(AF1160/BV1160,0))</f>
        <v>1</v>
      </c>
      <c r="AH1160" s="52" t="n">
        <f aca="false">IF(CL1160&gt;0,CL1160*MAX(1,AF1160/X1160),IF(BW1160=1,IF(AF1160&lt;=0,0,CA1160*MAX(1,IF(H1160&gt;0,AF1160/H1160,1))),IF(R1160&gt;0,AG1160/R1160,0))/MAX(0.1,N(Parameter!$M$21)))</f>
        <v>0.25</v>
      </c>
      <c r="AI1160" s="50" t="n">
        <f aca="false">AH1160*BY1160</f>
        <v>58.75</v>
      </c>
      <c r="AJ1160" s="50" t="n">
        <f aca="false">AF1160*G1160</f>
        <v>247.5</v>
      </c>
      <c r="AK1160" s="50" t="n">
        <f aca="false">ROUNDUP(MAX(J1160/IF(CD1160&gt;0,CD1160,MAX(0.1,N(Cockpit!$C$6))),CG1160)/BV1160,0)*BV1160</f>
        <v>100</v>
      </c>
      <c r="AL1160" s="51" t="n">
        <f aca="false">IF(AI1160&gt;0,J1160/AI1160,-1)</f>
        <v>2.43404255319149</v>
      </c>
      <c r="AM1160" s="51" t="n">
        <f aca="false">IF(AND(OR(CC1160="L1",CC1160="L23",CC1160="LIFT"),AI1160&gt;0),SUMIFS($AI$7:$AI$1843,$CC$7:$CC$1843,CC1160,$AL$7:$AL$1843,"&gt;"&amp;AL1160)+SUMIFS($AI$7:$AI$1843,$CC$7:$CC$1843,CC1160,$AL$7:$AL$1843,AL1160,$BT$7:$BT$1843,"&lt;="&amp;BT1160),"")</f>
        <v>5530.01236263736</v>
      </c>
      <c r="AN1160" s="58" t="n">
        <f aca="false">IF(AM1160="",0,MAX(0,MIN(1,(IF(CC1160="L1",Parameter!$H$5,IF(CC1160="L23",Parameter!$H$6+Parameter!$H$7,Parameter!$H$5+Parameter!$H$6+Parameter!$H$7))-(AM1160-AI1160))/AI1160)))</f>
        <v>1</v>
      </c>
      <c r="AO1160" s="50" t="n">
        <f aca="false">IF(LEFT(Cockpit!$I$5,1)="A",H1160,IF(CE1160=1,CF1160,IF(LEFT(Cockpit!$I$5,1)="B",AT1160,MAX(AT1160,H1160))))</f>
        <v>100</v>
      </c>
      <c r="AP1160" s="50" t="n">
        <f aca="false">IF(BW1160=1,0,ROUNDUP(AO1160/BV1160,0))</f>
        <v>2</v>
      </c>
      <c r="AQ1160" s="52" t="n">
        <f aca="false">IF(CL1160&gt;0,CL1160*MAX(1,AO1160/X1160),IF(BW1160=1,IF(AO1160&lt;=0,0,CA1160*MAX(1,IF(H1160&gt;0,AO1160/H1160,1))),IF(R1160&gt;0,AP1160/R1160,0))/MAX(0.1,N(Parameter!$M$21)))</f>
        <v>0.5</v>
      </c>
      <c r="AR1160" s="50" t="n">
        <f aca="false">AQ1160*BY1160</f>
        <v>117.5</v>
      </c>
      <c r="AS1160" s="50" t="n">
        <f aca="false">AO1160*G1160</f>
        <v>495</v>
      </c>
      <c r="AT1160" s="50" t="n">
        <f aca="false">ROUNDUP(MAX(J1160/IF(CD1160&gt;0,CD1160,MAX(0.1,N(Cockpit!$I$6))),CG1160)/BV1160,0)*BV1160</f>
        <v>100</v>
      </c>
      <c r="AU1160" s="51" t="n">
        <f aca="false">IF(AR1160&gt;0,J1160/AR1160,-1)</f>
        <v>1.21702127659574</v>
      </c>
      <c r="AV1160" s="51" t="n">
        <f aca="false">IF(AND(OR(CC1160="L1",CC1160="L23",CC1160="LIFT"),AR1160&gt;0),SUMIFS($AR$7:$AR$1843,$CC$7:$CC$1843,CC1160,$AU$7:$AU$1843,"&gt;"&amp;AU1160)+SUMIFS($AR$7:$AR$1843,$CC$7:$CC$1843,CC1160,$AU$7:$AU$1843,AU1160,$BT$7:$BT$1843,"&lt;="&amp;BT1160),"")</f>
        <v>9863.20604395605</v>
      </c>
      <c r="AW1160" s="58" t="n">
        <f aca="false">IF(AV1160="",0,MAX(0,MIN(1,(IF(CC1160="L1",Parameter!$H$5,IF(CC1160="L23",Parameter!$H$6+Parameter!$H$7,Parameter!$H$5+Parameter!$H$6+Parameter!$H$7))-(AV1160-AR1160))/AR1160)))</f>
        <v>1</v>
      </c>
      <c r="AX1160" s="50" t="n">
        <f aca="false">IF(LEFT(Cockpit!$O$5,1)="A",H1160,IF(CE1160=1,CF1160,IF(LEFT(Cockpit!$O$5,1)="B",BC1160,MAX(BC1160,H1160))))</f>
        <v>50</v>
      </c>
      <c r="AY1160" s="50" t="n">
        <f aca="false">IF(BW1160=1,0,ROUNDUP(AX1160/BV1160,0))</f>
        <v>1</v>
      </c>
      <c r="AZ1160" s="52" t="n">
        <f aca="false">IF(CL1160&gt;0,CL1160*MAX(1,AX1160/X1160),IF(BW1160=1,IF(AX1160&lt;=0,0,CA1160*MAX(1,IF(H1160&gt;0,AX1160/H1160,1))),IF(R1160&gt;0,AY1160/R1160,0))/MAX(0.1,N(Parameter!$M$21)))</f>
        <v>0.25</v>
      </c>
      <c r="BA1160" s="50" t="n">
        <f aca="false">AZ1160*BY1160</f>
        <v>58.75</v>
      </c>
      <c r="BB1160" s="50" t="n">
        <f aca="false">AX1160*G1160</f>
        <v>247.5</v>
      </c>
      <c r="BC1160" s="50" t="n">
        <f aca="false">ROUNDUP(MAX(J1160/IF(CD1160&gt;0,CD1160,MAX(0.1,N(Cockpit!$O$6))),CG1160)/BV1160,0)*BV1160</f>
        <v>50</v>
      </c>
      <c r="BD1160" s="51" t="n">
        <f aca="false">IF(BA1160&gt;0,J1160/BA1160,-1)</f>
        <v>2.43404255319149</v>
      </c>
      <c r="BE1160" s="51" t="n">
        <f aca="false">IF(AND(OR(CC1160="L1",CC1160="L23",CC1160="LIFT"),BA1160&gt;0),SUMIFS($BA$7:$BA$1843,$CC$7:$CC$1843,CC1160,$BD$7:$BD$1843,"&gt;"&amp;BD1160)+SUMIFS($BA$7:$BA$1843,$CC$7:$CC$1843,CC1160,$BD$7:$BD$1843,BD1160,$BT$7:$BT$1843,"&lt;="&amp;BT1160),"")</f>
        <v>6624.01556776557</v>
      </c>
      <c r="BF1160" s="58" t="n">
        <f aca="false">IF(BE1160="",0,MAX(0,MIN(1,(IF(CC1160="L1",Parameter!$H$5,IF(CC1160="L23",Parameter!$H$6+Parameter!$H$7,Parameter!$H$5+Parameter!$H$6+Parameter!$H$7))-(BE1160-BA1160))/BA1160)))</f>
        <v>1</v>
      </c>
      <c r="BG1160" s="48" t="str">
        <f aca="false">IF(AI1160&lt;=0,"",IF(CC1160="Aussen","Aussenlager",IF(CC1160="-","Nicht im Lift",IF(AN1160&gt;=1,"Lift",IF(AN1160&lt;=0,"Aussenlager","teilweise")))))</f>
        <v>Lift</v>
      </c>
      <c r="BH1160" s="48" t="str">
        <f aca="false">IF(AR1160&lt;=0,"",IF(CC1160="Aussen","Aussenlager",IF(CC1160="-","Nicht im Lift",IF(AW1160&gt;=1,"Lift",IF(AW1160&lt;=0,"Aussenlager","teilweise")))))</f>
        <v>Lift</v>
      </c>
      <c r="BI1160" s="48" t="str">
        <f aca="false">IF(BA1160&lt;=0,"",IF(CC1160="Aussen","Aussenlager",IF(CC1160="-","Nicht im Lift",IF(BF1160&gt;=1,"Lift",IF(BF1160&lt;=0,"Aussenlager","teilweise")))))</f>
        <v>Lift</v>
      </c>
      <c r="BJ1160" s="48" t="str">
        <f aca="false">IF(A1160="","",IF(BS1160=1,"Neu; ","")&amp;IF(AND(BS1160=0,BN1160&lt;0),"negativer Bestand (Export "&amp;BN1160&amp;"); ","")&amp;IF(J1160&lt;=0,"Kein Verbrauch; ","")&amp;IF(CL1160&gt;0,"Lift "&amp;W1160&amp;" lt. Liftbericht (Fach "&amp;X1160&amp;" Stk); ",IF(BX1160=1,"Gebinde geschätzt ("&amp;T1160&amp;"); ",IF(BW1160=1,"Lose – Tablare geschätzt; ","")))&amp;IF(H1160&gt;AT1160,"Überbestand "&amp;ROUND(H1160-AT1160,0)&amp;" Stk / CHF "&amp;ROUND((H1160-AT1160)*G1160,0)&amp;"; ","")&amp;IF(AND(CE1160=1,CF1160&lt;CG1160),"MAX &lt; MB+LG; ","")&amp;IF(AND(CK1160&gt;0,CJ1160*10&gt;CK1160),"zu hoch für Tablar; ","")&amp;IF(AND(BS1160=0,OR(CE1160=1,AA1160&lt;&gt;"",U1160&lt;&gt;"",V1160&lt;&gt;"",AB1160&lt;&gt;"")),"manuell übersteuert; ","")&amp;IF(AND(BW1160=0,R1160=0),"Gebinde unbekannt / Stellmass fehlt; ","")&amp;IF(AND(BW1160=0,N(V1160)&lt;=0,N(Q1160)&lt;=0),"Menge pro Gebinde fehlt (Ist = 1 Gebinde); ","")&amp;BR1160)</f>
        <v>negativer Bestand (Export -50); Gebinde geschätzt (Gross); Menge pro Gebinde fehlt (Ist = 1 Gebinde); </v>
      </c>
      <c r="BK1160" s="48"/>
      <c r="BL1160" s="48"/>
      <c r="BM1160" s="55"/>
      <c r="BN1160" s="50" t="n">
        <v>-50</v>
      </c>
      <c r="BO1160" s="50" t="n">
        <v>100</v>
      </c>
      <c r="BP1160" s="49" t="n">
        <v>-322.5</v>
      </c>
      <c r="BQ1160" s="50" t="n">
        <v>143</v>
      </c>
      <c r="BR1160" s="48"/>
      <c r="BS1160" s="53" t="n">
        <v>0</v>
      </c>
      <c r="BT1160" s="53" t="n">
        <v>1160</v>
      </c>
      <c r="BU1160" s="48" t="str">
        <f aca="false">IF(U1160&lt;&gt;"",UPPER(TRIM(U1160)),IF(BX1160=1,UPPER(VLOOKUP(T1160,Parameter!$I$27:$K$29,2,0)),IF(P1160="","LOSE",P1160)))</f>
        <v>S81</v>
      </c>
      <c r="BV1160" s="50" t="n">
        <f aca="false">IF(BU1160="LOSE",1,IF(N(V1160)&gt;0,V1160,IF(BX1160=1,MAX(1,N(VLOOKUP(T1160,Parameter!$I$27:$K$29,3,0)),H1160,N(N1160)),IF(N(Q1160)&gt;0,Q1160,MAX(1,H1160)))))</f>
        <v>50</v>
      </c>
      <c r="BW1160" s="53" t="n">
        <f aca="false">IF(BU1160="LOSE",1,0)</f>
        <v>0</v>
      </c>
      <c r="BX1160" s="53" t="n">
        <f aca="false">IF(AND(U1160="",OR(P1160="",P1160="LOSE"),T1160&lt;&gt;"",N(S1160)&lt;=0,ISNUMBER(MATCH(T1160,Parameter!$I$27:$I$29,0))),1,0)</f>
        <v>1</v>
      </c>
      <c r="BY1160" s="53" t="n">
        <f aca="false">IF(CL1160&gt;0,INDEX(Parameter!$H$5:$H$7,W1160)/INDEX(Parameter!$E$5:$E$7,W1160),IF(AND(BW1160=0,N(IFERROR(VLOOKUP(BU1160,'Gebinde-Kategorie'!$A$5:$N$45,14,0),0))&gt;0),VLOOKUP(BU1160,'Gebinde-Kategorie'!$A$5:$N$45,14,0)*10+Parameter!$M$23,Parameter!$M$24))</f>
        <v>235</v>
      </c>
      <c r="BZ1160" s="48" t="str">
        <f aca="false">IF(AND(Parameter!$B$19="Ja",E1160&lt;&gt;"",ISNUMBER(MATCH(E1160,Parameter!$I$35:$I$52,0))),VLOOKUP(E1160,Parameter!$I$35:$J$52,2,0),IFERROR(VLOOKUP(D1160,Parameter!$A$35:$C$64,2,0),"Nein"))</f>
        <v>2+3</v>
      </c>
      <c r="CA1160" s="52" t="n">
        <f aca="false">IF(BW1160=0,0,IF(N(S1160)&gt;0,S1160,IFERROR(VLOOKUP(D1160,Parameter!$A$35:$C$64,3,0)+0,0)))</f>
        <v>0</v>
      </c>
      <c r="CB1160" s="48" t="n">
        <f aca="false">IF(AA1160&lt;&gt;"",AA1160,Z1160)</f>
        <v>2</v>
      </c>
      <c r="CC1160" s="48" t="str">
        <f aca="false">IF(OR(CB1160=1,CB1160=2,CB1160=3),IF(Parameter!$E$27="Ja","LIFT",IF(CB1160=1,"L1","L23")),IF(CB1160="Aussen","Aussen","-"))</f>
        <v>LIFT</v>
      </c>
      <c r="CD1160" s="59" t="n">
        <f aca="false">IF(N(AB1160)&gt;0,AB1160,0)</f>
        <v>0</v>
      </c>
      <c r="CE1160" s="53" t="n">
        <f aca="false">IF(ISNUMBER(AE1160),1,0)</f>
        <v>0</v>
      </c>
      <c r="CF1160" s="50" t="n">
        <f aca="false">N(AE1160)</f>
        <v>0</v>
      </c>
      <c r="CG1160" s="50" t="n">
        <f aca="false">N(M1160)+N(N1160)</f>
        <v>35</v>
      </c>
      <c r="CH1160" s="50" t="n">
        <f aca="false">ROUNDUP(H1160/BV1160,0)</f>
        <v>1</v>
      </c>
      <c r="CI1160" s="50" t="n">
        <f aca="false">ROUNDUP(CF1160/BV1160,0)</f>
        <v>0</v>
      </c>
      <c r="CJ1160" s="53" t="n">
        <f aca="false">IF(BW1160=1,0,IFERROR(VLOOKUP(BU1160,'Gebinde-Kategorie'!$A$5:$N$45,5,0)+0,0))</f>
        <v>20</v>
      </c>
      <c r="CK1160" s="53" t="n">
        <f aca="false">IFERROR(IF(OR(CB1160=1,CB1160=2,CB1160=3),N(INDEX(Parameter!$I$5:$I$7,CB1160)),0),0)</f>
        <v>0</v>
      </c>
      <c r="CL1160" s="52" t="n">
        <f aca="false">IF(AND(Parameter!$B$21="Ja",ISNUMBER(W1160),N(X1160)&gt;0),IFERROR(N(INDEX(Parameter!$L$5:$L$7,W1160))*INDEX(Parameter!$E$5:$E$7,W1160)*X1160/SUMIFS($X$7:$X$1843,$W$7:$W$1843,W1160),0),0)</f>
        <v>0</v>
      </c>
    </row>
    <row r="1161" customFormat="false" ht="15" hidden="false" customHeight="false" outlineLevel="0" collapsed="false">
      <c r="A1161" s="48" t="s">
        <v>2098</v>
      </c>
      <c r="B1161" s="48" t="s">
        <v>409</v>
      </c>
      <c r="C1161" s="48" t="s">
        <v>460</v>
      </c>
      <c r="D1161" s="48" t="s">
        <v>188</v>
      </c>
      <c r="E1161" s="48" t="s">
        <v>189</v>
      </c>
      <c r="F1161" s="48" t="s">
        <v>222</v>
      </c>
      <c r="G1161" s="49" t="n">
        <v>7.18</v>
      </c>
      <c r="H1161" s="50" t="n">
        <f aca="false">MAX(0,IF(AND(Parameter!$B$21="Ja",ISNUMBER(Y1161)),Y1161,IF(Parameter!$B$20="Jahresanfang 2025 + Export",BO1161+BN1161,BN1161)))</f>
        <v>375</v>
      </c>
      <c r="I1161" s="50" t="n">
        <f aca="false">H1161*G1161</f>
        <v>2692.5</v>
      </c>
      <c r="J1161" s="50" t="n">
        <f aca="false">BQ1161*Parameter!$B$18</f>
        <v>42</v>
      </c>
      <c r="K1161" s="51" t="n">
        <v>393.5</v>
      </c>
      <c r="L1161" s="52" t="n">
        <v>0.106734434561626</v>
      </c>
      <c r="M1161" s="50" t="n">
        <v>1</v>
      </c>
      <c r="N1161" s="50" t="n">
        <v>40</v>
      </c>
      <c r="O1161" s="53" t="n">
        <v>14</v>
      </c>
      <c r="P1161" s="48" t="s">
        <v>230</v>
      </c>
      <c r="Q1161" s="50" t="n">
        <v>320</v>
      </c>
      <c r="R1161" s="53" t="n">
        <f aca="false">IF(BW1161=1,0,IFERROR(VLOOKUP(BU1161,'Gebinde-Kategorie'!$A$5:$N$45,13,0)+0,0))</f>
        <v>12</v>
      </c>
      <c r="S1161" s="54"/>
      <c r="T1161" s="55"/>
      <c r="U1161" s="55"/>
      <c r="V1161" s="55"/>
      <c r="W1161" s="48"/>
      <c r="X1161" s="50"/>
      <c r="Y1161" s="50"/>
      <c r="Z1161" s="48" t="n">
        <f aca="false">IF(A1161="","",IF(AND(Parameter!$B$21="Ja",ISNUMBER(W1161)),W1161,IF(BZ1161="2+3",IF(ISNUMBER(SEARCH("grosser Artikel",BR1161)),2,IFERROR(VLOOKUP(BU1161,Parameter!$F$35:$G$64,2,0),2)),IF(OR(BZ1161="Nein",BZ1161=""),"-",BZ1161))))</f>
        <v>2</v>
      </c>
      <c r="AA1161" s="55"/>
      <c r="AB1161" s="56"/>
      <c r="AC1161" s="50" t="n">
        <f aca="false">AT1161</f>
        <v>320</v>
      </c>
      <c r="AD1161" s="50" t="n">
        <f aca="false">MAX(AT1161,H1161)</f>
        <v>375</v>
      </c>
      <c r="AE1161" s="57"/>
      <c r="AF1161" s="50" t="n">
        <f aca="false">IF(LEFT(Cockpit!$C$5,1)="A",H1161,IF(CE1161=1,CF1161,IF(LEFT(Cockpit!$C$5,1)="B",AK1161,MAX(AK1161,H1161))))</f>
        <v>375</v>
      </c>
      <c r="AG1161" s="50" t="n">
        <f aca="false">IF(BW1161=1,0,ROUNDUP(AF1161/BV1161,0))</f>
        <v>2</v>
      </c>
      <c r="AH1161" s="52" t="n">
        <f aca="false">IF(CL1161&gt;0,CL1161*MAX(1,AF1161/X1161),IF(BW1161=1,IF(AF1161&lt;=0,0,CA1161*MAX(1,IF(H1161&gt;0,AF1161/H1161,1))),IF(R1161&gt;0,AG1161/R1161,0))/MAX(0.1,N(Parameter!$M$21)))</f>
        <v>0.166666666666667</v>
      </c>
      <c r="AI1161" s="50" t="n">
        <f aca="false">AH1161*BY1161</f>
        <v>57.5</v>
      </c>
      <c r="AJ1161" s="50" t="n">
        <f aca="false">AF1161*G1161</f>
        <v>2692.5</v>
      </c>
      <c r="AK1161" s="50" t="n">
        <f aca="false">ROUNDUP(MAX(J1161/IF(CD1161&gt;0,CD1161,MAX(0.1,N(Cockpit!$C$6))),CG1161)/BV1161,0)*BV1161</f>
        <v>320</v>
      </c>
      <c r="AL1161" s="51" t="n">
        <f aca="false">IF(AI1161&gt;0,J1161/AI1161,-1)</f>
        <v>0.730434782608696</v>
      </c>
      <c r="AM1161" s="51" t="n">
        <f aca="false">IF(AND(OR(CC1161="L1",CC1161="L23",CC1161="LIFT"),AI1161&gt;0),SUMIFS($AI$7:$AI$1843,$CC$7:$CC$1843,CC1161,$AL$7:$AL$1843,"&gt;"&amp;AL1161)+SUMIFS($AI$7:$AI$1843,$CC$7:$CC$1843,CC1161,$AL$7:$AL$1843,AL1161,$BT$7:$BT$1843,"&lt;="&amp;BT1161),"")</f>
        <v>8455.91987179487</v>
      </c>
      <c r="AN1161" s="58" t="n">
        <f aca="false">IF(AM1161="",0,MAX(0,MIN(1,(IF(CC1161="L1",Parameter!$H$5,IF(CC1161="L23",Parameter!$H$6+Parameter!$H$7,Parameter!$H$5+Parameter!$H$6+Parameter!$H$7))-(AM1161-AI1161))/AI1161)))</f>
        <v>1</v>
      </c>
      <c r="AO1161" s="50" t="n">
        <f aca="false">IF(LEFT(Cockpit!$I$5,1)="A",H1161,IF(CE1161=1,CF1161,IF(LEFT(Cockpit!$I$5,1)="B",AT1161,MAX(AT1161,H1161))))</f>
        <v>375</v>
      </c>
      <c r="AP1161" s="50" t="n">
        <f aca="false">IF(BW1161=1,0,ROUNDUP(AO1161/BV1161,0))</f>
        <v>2</v>
      </c>
      <c r="AQ1161" s="52" t="n">
        <f aca="false">IF(CL1161&gt;0,CL1161*MAX(1,AO1161/X1161),IF(BW1161=1,IF(AO1161&lt;=0,0,CA1161*MAX(1,IF(H1161&gt;0,AO1161/H1161,1))),IF(R1161&gt;0,AP1161/R1161,0))/MAX(0.1,N(Parameter!$M$21)))</f>
        <v>0.166666666666667</v>
      </c>
      <c r="AR1161" s="50" t="n">
        <f aca="false">AQ1161*BY1161</f>
        <v>57.5</v>
      </c>
      <c r="AS1161" s="50" t="n">
        <f aca="false">AO1161*G1161</f>
        <v>2692.5</v>
      </c>
      <c r="AT1161" s="50" t="n">
        <f aca="false">ROUNDUP(MAX(J1161/IF(CD1161&gt;0,CD1161,MAX(0.1,N(Cockpit!$I$6))),CG1161)/BV1161,0)*BV1161</f>
        <v>320</v>
      </c>
      <c r="AU1161" s="51" t="n">
        <f aca="false">IF(AR1161&gt;0,J1161/AR1161,-1)</f>
        <v>0.730434782608696</v>
      </c>
      <c r="AV1161" s="51" t="n">
        <f aca="false">IF(AND(OR(CC1161="L1",CC1161="L23",CC1161="LIFT"),AR1161&gt;0),SUMIFS($AR$7:$AR$1843,$CC$7:$CC$1843,CC1161,$AU$7:$AU$1843,"&gt;"&amp;AU1161)+SUMIFS($AR$7:$AR$1843,$CC$7:$CC$1843,CC1161,$AU$7:$AU$1843,AU1161,$BT$7:$BT$1843,"&lt;="&amp;BT1161),"")</f>
        <v>11556.4716117216</v>
      </c>
      <c r="AW1161" s="58" t="n">
        <f aca="false">IF(AV1161="",0,MAX(0,MIN(1,(IF(CC1161="L1",Parameter!$H$5,IF(CC1161="L23",Parameter!$H$6+Parameter!$H$7,Parameter!$H$5+Parameter!$H$6+Parameter!$H$7))-(AV1161-AR1161))/AR1161)))</f>
        <v>1</v>
      </c>
      <c r="AX1161" s="50" t="n">
        <f aca="false">IF(LEFT(Cockpit!$O$5,1)="A",H1161,IF(CE1161=1,CF1161,IF(LEFT(Cockpit!$O$5,1)="B",BC1161,MAX(BC1161,H1161))))</f>
        <v>375</v>
      </c>
      <c r="AY1161" s="50" t="n">
        <f aca="false">IF(BW1161=1,0,ROUNDUP(AX1161/BV1161,0))</f>
        <v>2</v>
      </c>
      <c r="AZ1161" s="52" t="n">
        <f aca="false">IF(CL1161&gt;0,CL1161*MAX(1,AX1161/X1161),IF(BW1161=1,IF(AX1161&lt;=0,0,CA1161*MAX(1,IF(H1161&gt;0,AX1161/H1161,1))),IF(R1161&gt;0,AY1161/R1161,0))/MAX(0.1,N(Parameter!$M$21)))</f>
        <v>0.166666666666667</v>
      </c>
      <c r="BA1161" s="50" t="n">
        <f aca="false">AZ1161*BY1161</f>
        <v>57.5</v>
      </c>
      <c r="BB1161" s="50" t="n">
        <f aca="false">AX1161*G1161</f>
        <v>2692.5</v>
      </c>
      <c r="BC1161" s="50" t="n">
        <f aca="false">ROUNDUP(MAX(J1161/IF(CD1161&gt;0,CD1161,MAX(0.1,N(Cockpit!$O$6))),CG1161)/BV1161,0)*BV1161</f>
        <v>320</v>
      </c>
      <c r="BD1161" s="51" t="n">
        <f aca="false">IF(BA1161&gt;0,J1161/BA1161,-1)</f>
        <v>0.730434782608696</v>
      </c>
      <c r="BE1161" s="51" t="n">
        <f aca="false">IF(AND(OR(CC1161="L1",CC1161="L23",CC1161="LIFT"),BA1161&gt;0),SUMIFS($BA$7:$BA$1843,$CC$7:$CC$1843,CC1161,$BD$7:$BD$1843,"&gt;"&amp;BD1161)+SUMIFS($BA$7:$BA$1843,$CC$7:$CC$1843,CC1161,$BD$7:$BD$1843,BD1161,$BT$7:$BT$1843,"&lt;="&amp;BT1161),"")</f>
        <v>11156.2953296703</v>
      </c>
      <c r="BF1161" s="58" t="n">
        <f aca="false">IF(BE1161="",0,MAX(0,MIN(1,(IF(CC1161="L1",Parameter!$H$5,IF(CC1161="L23",Parameter!$H$6+Parameter!$H$7,Parameter!$H$5+Parameter!$H$6+Parameter!$H$7))-(BE1161-BA1161))/BA1161)))</f>
        <v>1</v>
      </c>
      <c r="BG1161" s="48" t="str">
        <f aca="false">IF(AI1161&lt;=0,"",IF(CC1161="Aussen","Aussenlager",IF(CC1161="-","Nicht im Lift",IF(AN1161&gt;=1,"Lift",IF(AN1161&lt;=0,"Aussenlager","teilweise")))))</f>
        <v>Lift</v>
      </c>
      <c r="BH1161" s="48" t="str">
        <f aca="false">IF(AR1161&lt;=0,"",IF(CC1161="Aussen","Aussenlager",IF(CC1161="-","Nicht im Lift",IF(AW1161&gt;=1,"Lift",IF(AW1161&lt;=0,"Aussenlager","teilweise")))))</f>
        <v>Lift</v>
      </c>
      <c r="BI1161" s="48" t="str">
        <f aca="false">IF(BA1161&lt;=0,"",IF(CC1161="Aussen","Aussenlager",IF(CC1161="-","Nicht im Lift",IF(BF1161&gt;=1,"Lift",IF(BF1161&lt;=0,"Aussenlager","teilweise")))))</f>
        <v>Lift</v>
      </c>
      <c r="BJ1161" s="48" t="str">
        <f aca="false">IF(A1161="","",IF(BS1161=1,"Neu; ","")&amp;IF(AND(BS1161=0,BN1161&lt;0),"negativer Bestand (Export "&amp;BN1161&amp;"); ","")&amp;IF(J1161&lt;=0,"Kein Verbrauch; ","")&amp;IF(CL1161&gt;0,"Lift "&amp;W1161&amp;" lt. Liftbericht (Fach "&amp;X1161&amp;" Stk); ",IF(BX1161=1,"Gebinde geschätzt ("&amp;T1161&amp;"); ",IF(BW1161=1,"Lose – Tablare geschätzt; ","")))&amp;IF(H1161&gt;AT1161,"Überbestand "&amp;ROUND(H1161-AT1161,0)&amp;" Stk / CHF "&amp;ROUND((H1161-AT1161)*G1161,0)&amp;"; ","")&amp;IF(AND(CE1161=1,CF1161&lt;CG1161),"MAX &lt; MB+LG; ","")&amp;IF(AND(CK1161&gt;0,CJ1161*10&gt;CK1161),"zu hoch für Tablar; ","")&amp;IF(AND(BS1161=0,OR(CE1161=1,AA1161&lt;&gt;"",U1161&lt;&gt;"",V1161&lt;&gt;"",AB1161&lt;&gt;"")),"manuell übersteuert; ","")&amp;IF(AND(BW1161=0,R1161=0),"Gebinde unbekannt / Stellmass fehlt; ","")&amp;IF(AND(BW1161=0,N(V1161)&lt;=0,N(Q1161)&lt;=0),"Menge pro Gebinde fehlt (Ist = 1 Gebinde); ","")&amp;BR1161)</f>
        <v>negativer Bestand (Export -45); Überbestand 55 Stk / CHF 395; </v>
      </c>
      <c r="BK1161" s="48"/>
      <c r="BL1161" s="48"/>
      <c r="BM1161" s="55"/>
      <c r="BN1161" s="50" t="n">
        <v>-45</v>
      </c>
      <c r="BO1161" s="50" t="n">
        <v>420</v>
      </c>
      <c r="BP1161" s="49" t="n">
        <v>-323.1</v>
      </c>
      <c r="BQ1161" s="50" t="n">
        <v>42</v>
      </c>
      <c r="BR1161" s="48"/>
      <c r="BS1161" s="53" t="n">
        <v>0</v>
      </c>
      <c r="BT1161" s="53" t="n">
        <v>1161</v>
      </c>
      <c r="BU1161" s="48" t="str">
        <f aca="false">IF(U1161&lt;&gt;"",UPPER(TRIM(U1161)),IF(BX1161=1,UPPER(VLOOKUP(T1161,Parameter!$I$27:$K$29,2,0)),IF(P1161="","LOSE",P1161)))</f>
        <v>S63</v>
      </c>
      <c r="BV1161" s="50" t="n">
        <f aca="false">IF(BU1161="LOSE",1,IF(N(V1161)&gt;0,V1161,IF(BX1161=1,MAX(1,N(VLOOKUP(T1161,Parameter!$I$27:$K$29,3,0)),H1161,N(N1161)),IF(N(Q1161)&gt;0,Q1161,MAX(1,H1161)))))</f>
        <v>320</v>
      </c>
      <c r="BW1161" s="53" t="n">
        <f aca="false">IF(BU1161="LOSE",1,0)</f>
        <v>0</v>
      </c>
      <c r="BX1161" s="53" t="n">
        <f aca="false">IF(AND(U1161="",OR(P1161="",P1161="LOSE"),T1161&lt;&gt;"",N(S1161)&lt;=0,ISNUMBER(MATCH(T1161,Parameter!$I$27:$I$29,0))),1,0)</f>
        <v>0</v>
      </c>
      <c r="BY1161" s="53" t="n">
        <f aca="false">IF(CL1161&gt;0,INDEX(Parameter!$H$5:$H$7,W1161)/INDEX(Parameter!$E$5:$E$7,W1161),IF(AND(BW1161=0,N(IFERROR(VLOOKUP(BU1161,'Gebinde-Kategorie'!$A$5:$N$45,14,0),0))&gt;0),VLOOKUP(BU1161,'Gebinde-Kategorie'!$A$5:$N$45,14,0)*10+Parameter!$M$23,Parameter!$M$24))</f>
        <v>345</v>
      </c>
      <c r="BZ1161" s="48" t="str">
        <f aca="false">IF(AND(Parameter!$B$19="Ja",E1161&lt;&gt;"",ISNUMBER(MATCH(E1161,Parameter!$I$35:$I$52,0))),VLOOKUP(E1161,Parameter!$I$35:$J$52,2,0),IFERROR(VLOOKUP(D1161,Parameter!$A$35:$C$64,2,0),"Nein"))</f>
        <v>2+3</v>
      </c>
      <c r="CA1161" s="52" t="n">
        <f aca="false">IF(BW1161=0,0,IF(N(S1161)&gt;0,S1161,IFERROR(VLOOKUP(D1161,Parameter!$A$35:$C$64,3,0)+0,0)))</f>
        <v>0</v>
      </c>
      <c r="CB1161" s="48" t="n">
        <f aca="false">IF(AA1161&lt;&gt;"",AA1161,Z1161)</f>
        <v>2</v>
      </c>
      <c r="CC1161" s="48" t="str">
        <f aca="false">IF(OR(CB1161=1,CB1161=2,CB1161=3),IF(Parameter!$E$27="Ja","LIFT",IF(CB1161=1,"L1","L23")),IF(CB1161="Aussen","Aussen","-"))</f>
        <v>LIFT</v>
      </c>
      <c r="CD1161" s="59" t="n">
        <f aca="false">IF(N(AB1161)&gt;0,AB1161,0)</f>
        <v>0</v>
      </c>
      <c r="CE1161" s="53" t="n">
        <f aca="false">IF(ISNUMBER(AE1161),1,0)</f>
        <v>0</v>
      </c>
      <c r="CF1161" s="50" t="n">
        <f aca="false">N(AE1161)</f>
        <v>0</v>
      </c>
      <c r="CG1161" s="50" t="n">
        <f aca="false">N(M1161)+N(N1161)</f>
        <v>41</v>
      </c>
      <c r="CH1161" s="50" t="n">
        <f aca="false">ROUNDUP(H1161/BV1161,0)</f>
        <v>2</v>
      </c>
      <c r="CI1161" s="50" t="n">
        <f aca="false">ROUNDUP(CF1161/BV1161,0)</f>
        <v>0</v>
      </c>
      <c r="CJ1161" s="53" t="n">
        <f aca="false">IF(BW1161=1,0,IFERROR(VLOOKUP(BU1161,'Gebinde-Kategorie'!$A$5:$N$45,5,0)+0,0))</f>
        <v>31</v>
      </c>
      <c r="CK1161" s="53" t="n">
        <f aca="false">IFERROR(IF(OR(CB1161=1,CB1161=2,CB1161=3),N(INDEX(Parameter!$I$5:$I$7,CB1161)),0),0)</f>
        <v>0</v>
      </c>
      <c r="CL1161" s="52" t="n">
        <f aca="false">IF(AND(Parameter!$B$21="Ja",ISNUMBER(W1161),N(X1161)&gt;0),IFERROR(N(INDEX(Parameter!$L$5:$L$7,W1161))*INDEX(Parameter!$E$5:$E$7,W1161)*X1161/SUMIFS($X$7:$X$1843,$W$7:$W$1843,W1161),0),0)</f>
        <v>0</v>
      </c>
    </row>
    <row r="1162" customFormat="false" ht="15" hidden="false" customHeight="false" outlineLevel="0" collapsed="false">
      <c r="A1162" s="48" t="s">
        <v>2099</v>
      </c>
      <c r="B1162" s="48" t="s">
        <v>2100</v>
      </c>
      <c r="C1162" s="48" t="s">
        <v>460</v>
      </c>
      <c r="D1162" s="48" t="s">
        <v>177</v>
      </c>
      <c r="E1162" s="48" t="s">
        <v>1483</v>
      </c>
      <c r="F1162" s="48" t="s">
        <v>222</v>
      </c>
      <c r="G1162" s="49" t="n">
        <v>82.58</v>
      </c>
      <c r="H1162" s="50" t="n">
        <f aca="false">MAX(0,IF(AND(Parameter!$B$21="Ja",ISNUMBER(Y1162)),Y1162,IF(Parameter!$B$20="Jahresanfang 2025 + Export",BO1162+BN1162,BN1162)))</f>
        <v>0</v>
      </c>
      <c r="I1162" s="50" t="n">
        <f aca="false">H1162*G1162</f>
        <v>0</v>
      </c>
      <c r="J1162" s="50" t="n">
        <f aca="false">BQ1162*Parameter!$B$18</f>
        <v>0</v>
      </c>
      <c r="K1162" s="51" t="n">
        <v>2</v>
      </c>
      <c r="L1162" s="52" t="n">
        <v>0</v>
      </c>
      <c r="M1162" s="50" t="n">
        <v>0</v>
      </c>
      <c r="N1162" s="50" t="n">
        <v>1</v>
      </c>
      <c r="O1162" s="53" t="n">
        <v>56</v>
      </c>
      <c r="P1162" s="48" t="s">
        <v>172</v>
      </c>
      <c r="Q1162" s="50"/>
      <c r="R1162" s="53" t="n">
        <f aca="false">IF(BW1162=1,0,IFERROR(VLOOKUP(BU1162,'Gebinde-Kategorie'!$A$5:$N$45,13,0)+0,0))</f>
        <v>4</v>
      </c>
      <c r="S1162" s="54"/>
      <c r="T1162" s="55" t="s">
        <v>193</v>
      </c>
      <c r="U1162" s="55"/>
      <c r="V1162" s="55"/>
      <c r="W1162" s="48"/>
      <c r="X1162" s="50"/>
      <c r="Y1162" s="50"/>
      <c r="Z1162" s="48" t="str">
        <f aca="false">IF(A1162="","",IF(AND(Parameter!$B$21="Ja",ISNUMBER(W1162)),W1162,IF(BZ1162="2+3",IF(ISNUMBER(SEARCH("grosser Artikel",BR1162)),2,IFERROR(VLOOKUP(BU1162,Parameter!$F$35:$G$64,2,0),2)),IF(OR(BZ1162="Nein",BZ1162=""),"-",BZ1162))))</f>
        <v>-</v>
      </c>
      <c r="AA1162" s="55"/>
      <c r="AB1162" s="56"/>
      <c r="AC1162" s="50" t="n">
        <f aca="false">AT1162</f>
        <v>2</v>
      </c>
      <c r="AD1162" s="50" t="n">
        <f aca="false">MAX(AT1162,H1162)</f>
        <v>2</v>
      </c>
      <c r="AE1162" s="57"/>
      <c r="AF1162" s="50" t="n">
        <f aca="false">IF(LEFT(Cockpit!$C$5,1)="A",H1162,IF(CE1162=1,CF1162,IF(LEFT(Cockpit!$C$5,1)="B",AK1162,MAX(AK1162,H1162))))</f>
        <v>0</v>
      </c>
      <c r="AG1162" s="50" t="n">
        <f aca="false">IF(BW1162=1,0,ROUNDUP(AF1162/BV1162,0))</f>
        <v>0</v>
      </c>
      <c r="AH1162" s="52" t="n">
        <f aca="false">IF(CL1162&gt;0,CL1162*MAX(1,AF1162/X1162),IF(BW1162=1,IF(AF1162&lt;=0,0,CA1162*MAX(1,IF(H1162&gt;0,AF1162/H1162,1))),IF(R1162&gt;0,AG1162/R1162,0))/MAX(0.1,N(Parameter!$M$21)))</f>
        <v>0</v>
      </c>
      <c r="AI1162" s="50" t="n">
        <f aca="false">AH1162*BY1162</f>
        <v>0</v>
      </c>
      <c r="AJ1162" s="50" t="n">
        <f aca="false">AF1162*G1162</f>
        <v>0</v>
      </c>
      <c r="AK1162" s="50" t="n">
        <f aca="false">ROUNDUP(MAX(J1162/IF(CD1162&gt;0,CD1162,MAX(0.1,N(Cockpit!$C$6))),CG1162)/BV1162,0)*BV1162</f>
        <v>2</v>
      </c>
      <c r="AL1162" s="51" t="n">
        <f aca="false">IF(AI1162&gt;0,J1162/AI1162,-1)</f>
        <v>-1</v>
      </c>
      <c r="AM1162" s="51" t="str">
        <f aca="false">IF(AND(OR(CC1162="L1",CC1162="L23",CC1162="LIFT"),AI1162&gt;0),SUMIFS($AI$7:$AI$1843,$CC$7:$CC$1843,CC1162,$AL$7:$AL$1843,"&gt;"&amp;AL1162)+SUMIFS($AI$7:$AI$1843,$CC$7:$CC$1843,CC1162,$AL$7:$AL$1843,AL1162,$BT$7:$BT$1843,"&lt;="&amp;BT1162),"")</f>
        <v/>
      </c>
      <c r="AN1162" s="58" t="n">
        <f aca="false">IF(AM1162="",0,MAX(0,MIN(1,(IF(CC1162="L1",Parameter!$H$5,IF(CC1162="L23",Parameter!$H$6+Parameter!$H$7,Parameter!$H$5+Parameter!$H$6+Parameter!$H$7))-(AM1162-AI1162))/AI1162)))</f>
        <v>0</v>
      </c>
      <c r="AO1162" s="50" t="n">
        <f aca="false">IF(LEFT(Cockpit!$I$5,1)="A",H1162,IF(CE1162=1,CF1162,IF(LEFT(Cockpit!$I$5,1)="B",AT1162,MAX(AT1162,H1162))))</f>
        <v>2</v>
      </c>
      <c r="AP1162" s="50" t="n">
        <f aca="false">IF(BW1162=1,0,ROUNDUP(AO1162/BV1162,0))</f>
        <v>1</v>
      </c>
      <c r="AQ1162" s="52" t="n">
        <f aca="false">IF(CL1162&gt;0,CL1162*MAX(1,AO1162/X1162),IF(BW1162=1,IF(AO1162&lt;=0,0,CA1162*MAX(1,IF(H1162&gt;0,AO1162/H1162,1))),IF(R1162&gt;0,AP1162/R1162,0))/MAX(0.1,N(Parameter!$M$21)))</f>
        <v>0.25</v>
      </c>
      <c r="AR1162" s="50" t="n">
        <f aca="false">AQ1162*BY1162</f>
        <v>58.75</v>
      </c>
      <c r="AS1162" s="50" t="n">
        <f aca="false">AO1162*G1162</f>
        <v>165.16</v>
      </c>
      <c r="AT1162" s="50" t="n">
        <f aca="false">ROUNDUP(MAX(J1162/IF(CD1162&gt;0,CD1162,MAX(0.1,N(Cockpit!$I$6))),CG1162)/BV1162,0)*BV1162</f>
        <v>2</v>
      </c>
      <c r="AU1162" s="51" t="n">
        <f aca="false">IF(AR1162&gt;0,J1162/AR1162,-1)</f>
        <v>0</v>
      </c>
      <c r="AV1162" s="51" t="str">
        <f aca="false">IF(AND(OR(CC1162="L1",CC1162="L23",CC1162="LIFT"),AR1162&gt;0),SUMIFS($AR$7:$AR$1843,$CC$7:$CC$1843,CC1162,$AU$7:$AU$1843,"&gt;"&amp;AU1162)+SUMIFS($AR$7:$AR$1843,$CC$7:$CC$1843,CC1162,$AU$7:$AU$1843,AU1162,$BT$7:$BT$1843,"&lt;="&amp;BT1162),"")</f>
        <v/>
      </c>
      <c r="AW1162" s="58" t="n">
        <f aca="false">IF(AV1162="",0,MAX(0,MIN(1,(IF(CC1162="L1",Parameter!$H$5,IF(CC1162="L23",Parameter!$H$6+Parameter!$H$7,Parameter!$H$5+Parameter!$H$6+Parameter!$H$7))-(AV1162-AR1162))/AR1162)))</f>
        <v>0</v>
      </c>
      <c r="AX1162" s="50" t="n">
        <f aca="false">IF(LEFT(Cockpit!$O$5,1)="A",H1162,IF(CE1162=1,CF1162,IF(LEFT(Cockpit!$O$5,1)="B",BC1162,MAX(BC1162,H1162))))</f>
        <v>2</v>
      </c>
      <c r="AY1162" s="50" t="n">
        <f aca="false">IF(BW1162=1,0,ROUNDUP(AX1162/BV1162,0))</f>
        <v>1</v>
      </c>
      <c r="AZ1162" s="52" t="n">
        <f aca="false">IF(CL1162&gt;0,CL1162*MAX(1,AX1162/X1162),IF(BW1162=1,IF(AX1162&lt;=0,0,CA1162*MAX(1,IF(H1162&gt;0,AX1162/H1162,1))),IF(R1162&gt;0,AY1162/R1162,0))/MAX(0.1,N(Parameter!$M$21)))</f>
        <v>0.25</v>
      </c>
      <c r="BA1162" s="50" t="n">
        <f aca="false">AZ1162*BY1162</f>
        <v>58.75</v>
      </c>
      <c r="BB1162" s="50" t="n">
        <f aca="false">AX1162*G1162</f>
        <v>165.16</v>
      </c>
      <c r="BC1162" s="50" t="n">
        <f aca="false">ROUNDUP(MAX(J1162/IF(CD1162&gt;0,CD1162,MAX(0.1,N(Cockpit!$O$6))),CG1162)/BV1162,0)*BV1162</f>
        <v>2</v>
      </c>
      <c r="BD1162" s="51" t="n">
        <f aca="false">IF(BA1162&gt;0,J1162/BA1162,-1)</f>
        <v>0</v>
      </c>
      <c r="BE1162" s="51" t="str">
        <f aca="false">IF(AND(OR(CC1162="L1",CC1162="L23",CC1162="LIFT"),BA1162&gt;0),SUMIFS($BA$7:$BA$1843,$CC$7:$CC$1843,CC1162,$BD$7:$BD$1843,"&gt;"&amp;BD1162)+SUMIFS($BA$7:$BA$1843,$CC$7:$CC$1843,CC1162,$BD$7:$BD$1843,BD1162,$BT$7:$BT$1843,"&lt;="&amp;BT1162),"")</f>
        <v/>
      </c>
      <c r="BF1162" s="58" t="n">
        <f aca="false">IF(BE1162="",0,MAX(0,MIN(1,(IF(CC1162="L1",Parameter!$H$5,IF(CC1162="L23",Parameter!$H$6+Parameter!$H$7,Parameter!$H$5+Parameter!$H$6+Parameter!$H$7))-(BE1162-BA1162))/BA1162)))</f>
        <v>0</v>
      </c>
      <c r="BG1162" s="48" t="str">
        <f aca="false">IF(AI1162&lt;=0,"",IF(CC1162="Aussen","Aussenlager",IF(CC1162="-","Nicht im Lift",IF(AN1162&gt;=1,"Lift",IF(AN1162&lt;=0,"Aussenlager","teilweise")))))</f>
        <v/>
      </c>
      <c r="BH1162" s="48" t="str">
        <f aca="false">IF(AR1162&lt;=0,"",IF(CC1162="Aussen","Aussenlager",IF(CC1162="-","Nicht im Lift",IF(AW1162&gt;=1,"Lift",IF(AW1162&lt;=0,"Aussenlager","teilweise")))))</f>
        <v>Nicht im Lift</v>
      </c>
      <c r="BI1162" s="48" t="str">
        <f aca="false">IF(BA1162&lt;=0,"",IF(CC1162="Aussen","Aussenlager",IF(CC1162="-","Nicht im Lift",IF(BF1162&gt;=1,"Lift",IF(BF1162&lt;=0,"Aussenlager","teilweise")))))</f>
        <v>Nicht im Lift</v>
      </c>
      <c r="BJ1162" s="48" t="str">
        <f aca="false">IF(A1162="","",IF(BS1162=1,"Neu; ","")&amp;IF(AND(BS1162=0,BN1162&lt;0),"negativer Bestand (Export "&amp;BN1162&amp;"); ","")&amp;IF(J1162&lt;=0,"Kein Verbrauch; ","")&amp;IF(CL1162&gt;0,"Lift "&amp;W1162&amp;" lt. Liftbericht (Fach "&amp;X1162&amp;" Stk); ",IF(BX1162=1,"Gebinde geschätzt ("&amp;T1162&amp;"); ",IF(BW1162=1,"Lose – Tablare geschätzt; ","")))&amp;IF(H1162&gt;AT1162,"Überbestand "&amp;ROUND(H1162-AT1162,0)&amp;" Stk / CHF "&amp;ROUND((H1162-AT1162)*G1162,0)&amp;"; ","")&amp;IF(AND(CE1162=1,CF1162&lt;CG1162),"MAX &lt; MB+LG; ","")&amp;IF(AND(CK1162&gt;0,CJ1162*10&gt;CK1162),"zu hoch für Tablar; ","")&amp;IF(AND(BS1162=0,OR(CE1162=1,AA1162&lt;&gt;"",U1162&lt;&gt;"",V1162&lt;&gt;"",AB1162&lt;&gt;"")),"manuell übersteuert; ","")&amp;IF(AND(BW1162=0,R1162=0),"Gebinde unbekannt / Stellmass fehlt; ","")&amp;IF(AND(BW1162=0,N(V1162)&lt;=0,N(Q1162)&lt;=0),"Menge pro Gebinde fehlt (Ist = 1 Gebinde); ","")&amp;BR1162)</f>
        <v>negativer Bestand (Export -4); Kein Verbrauch; Gebinde geschätzt (Gross); Menge pro Gebinde fehlt (Ist = 1 Gebinde); </v>
      </c>
      <c r="BK1162" s="48"/>
      <c r="BL1162" s="48"/>
      <c r="BM1162" s="55"/>
      <c r="BN1162" s="50" t="n">
        <v>-4</v>
      </c>
      <c r="BO1162" s="50" t="n">
        <v>4</v>
      </c>
      <c r="BP1162" s="49" t="n">
        <v>-330.32</v>
      </c>
      <c r="BQ1162" s="50" t="n">
        <v>0</v>
      </c>
      <c r="BR1162" s="48"/>
      <c r="BS1162" s="53" t="n">
        <v>0</v>
      </c>
      <c r="BT1162" s="53" t="n">
        <v>1162</v>
      </c>
      <c r="BU1162" s="48" t="str">
        <f aca="false">IF(U1162&lt;&gt;"",UPPER(TRIM(U1162)),IF(BX1162=1,UPPER(VLOOKUP(T1162,Parameter!$I$27:$K$29,2,0)),IF(P1162="","LOSE",P1162)))</f>
        <v>S81</v>
      </c>
      <c r="BV1162" s="50" t="n">
        <f aca="false">IF(BU1162="LOSE",1,IF(N(V1162)&gt;0,V1162,IF(BX1162=1,MAX(1,N(VLOOKUP(T1162,Parameter!$I$27:$K$29,3,0)),H1162,N(N1162)),IF(N(Q1162)&gt;0,Q1162,MAX(1,H1162)))))</f>
        <v>2</v>
      </c>
      <c r="BW1162" s="53" t="n">
        <f aca="false">IF(BU1162="LOSE",1,0)</f>
        <v>0</v>
      </c>
      <c r="BX1162" s="53" t="n">
        <f aca="false">IF(AND(U1162="",OR(P1162="",P1162="LOSE"),T1162&lt;&gt;"",N(S1162)&lt;=0,ISNUMBER(MATCH(T1162,Parameter!$I$27:$I$29,0))),1,0)</f>
        <v>1</v>
      </c>
      <c r="BY1162" s="53" t="n">
        <f aca="false">IF(CL1162&gt;0,INDEX(Parameter!$H$5:$H$7,W1162)/INDEX(Parameter!$E$5:$E$7,W1162),IF(AND(BW1162=0,N(IFERROR(VLOOKUP(BU1162,'Gebinde-Kategorie'!$A$5:$N$45,14,0),0))&gt;0),VLOOKUP(BU1162,'Gebinde-Kategorie'!$A$5:$N$45,14,0)*10+Parameter!$M$23,Parameter!$M$24))</f>
        <v>235</v>
      </c>
      <c r="BZ1162" s="48" t="str">
        <f aca="false">IF(AND(Parameter!$B$19="Ja",E1162&lt;&gt;"",ISNUMBER(MATCH(E1162,Parameter!$I$35:$I$52,0))),VLOOKUP(E1162,Parameter!$I$35:$J$52,2,0),IFERROR(VLOOKUP(D1162,Parameter!$A$35:$C$64,2,0),"Nein"))</f>
        <v>Nein</v>
      </c>
      <c r="CA1162" s="52" t="n">
        <f aca="false">IF(BW1162=0,0,IF(N(S1162)&gt;0,S1162,IFERROR(VLOOKUP(D1162,Parameter!$A$35:$C$64,3,0)+0,0)))</f>
        <v>0</v>
      </c>
      <c r="CB1162" s="48" t="str">
        <f aca="false">IF(AA1162&lt;&gt;"",AA1162,Z1162)</f>
        <v>-</v>
      </c>
      <c r="CC1162" s="48" t="str">
        <f aca="false">IF(OR(CB1162=1,CB1162=2,CB1162=3),IF(Parameter!$E$27="Ja","LIFT",IF(CB1162=1,"L1","L23")),IF(CB1162="Aussen","Aussen","-"))</f>
        <v>-</v>
      </c>
      <c r="CD1162" s="59" t="n">
        <f aca="false">IF(N(AB1162)&gt;0,AB1162,0)</f>
        <v>0</v>
      </c>
      <c r="CE1162" s="53" t="n">
        <f aca="false">IF(ISNUMBER(AE1162),1,0)</f>
        <v>0</v>
      </c>
      <c r="CF1162" s="50" t="n">
        <f aca="false">N(AE1162)</f>
        <v>0</v>
      </c>
      <c r="CG1162" s="50" t="n">
        <f aca="false">N(M1162)+N(N1162)</f>
        <v>1</v>
      </c>
      <c r="CH1162" s="50" t="n">
        <f aca="false">ROUNDUP(H1162/BV1162,0)</f>
        <v>0</v>
      </c>
      <c r="CI1162" s="50" t="n">
        <f aca="false">ROUNDUP(CF1162/BV1162,0)</f>
        <v>0</v>
      </c>
      <c r="CJ1162" s="53" t="n">
        <f aca="false">IF(BW1162=1,0,IFERROR(VLOOKUP(BU1162,'Gebinde-Kategorie'!$A$5:$N$45,5,0)+0,0))</f>
        <v>20</v>
      </c>
      <c r="CK1162" s="53" t="n">
        <f aca="false">IFERROR(IF(OR(CB1162=1,CB1162=2,CB1162=3),N(INDEX(Parameter!$I$5:$I$7,CB1162)),0),0)</f>
        <v>0</v>
      </c>
      <c r="CL1162" s="52" t="n">
        <f aca="false">IF(AND(Parameter!$B$21="Ja",ISNUMBER(W1162),N(X1162)&gt;0),IFERROR(N(INDEX(Parameter!$L$5:$L$7,W1162))*INDEX(Parameter!$E$5:$E$7,W1162)*X1162/SUMIFS($X$7:$X$1843,$W$7:$W$1843,W1162),0),0)</f>
        <v>0</v>
      </c>
    </row>
    <row r="1163" customFormat="false" ht="15" hidden="false" customHeight="false" outlineLevel="0" collapsed="false">
      <c r="A1163" s="48" t="s">
        <v>2101</v>
      </c>
      <c r="B1163" s="48" t="s">
        <v>2102</v>
      </c>
      <c r="C1163" s="48" t="s">
        <v>168</v>
      </c>
      <c r="D1163" s="48" t="s">
        <v>188</v>
      </c>
      <c r="E1163" s="48" t="s">
        <v>189</v>
      </c>
      <c r="F1163" s="48" t="s">
        <v>222</v>
      </c>
      <c r="G1163" s="49" t="n">
        <v>28.48</v>
      </c>
      <c r="H1163" s="50" t="n">
        <f aca="false">MAX(0,IF(AND(Parameter!$B$21="Ja",ISNUMBER(Y1163)),Y1163,IF(Parameter!$B$20="Jahresanfang 2025 + Export",BO1163+BN1163,BN1163)))</f>
        <v>53</v>
      </c>
      <c r="I1163" s="50" t="n">
        <f aca="false">H1163*G1163</f>
        <v>1509.44</v>
      </c>
      <c r="J1163" s="50" t="n">
        <f aca="false">BQ1163*Parameter!$B$18</f>
        <v>292</v>
      </c>
      <c r="K1163" s="51" t="n">
        <v>108.5</v>
      </c>
      <c r="L1163" s="52" t="n">
        <v>2.69124423963134</v>
      </c>
      <c r="M1163" s="50" t="n">
        <v>17</v>
      </c>
      <c r="N1163" s="50" t="n">
        <v>100</v>
      </c>
      <c r="O1163" s="53" t="n">
        <v>21</v>
      </c>
      <c r="P1163" s="48" t="s">
        <v>332</v>
      </c>
      <c r="Q1163" s="50" t="n">
        <v>249</v>
      </c>
      <c r="R1163" s="53" t="n">
        <f aca="false">IF(BW1163=1,0,IFERROR(VLOOKUP(BU1163,'Gebinde-Kategorie'!$A$5:$N$45,13,0)+0,0))</f>
        <v>52</v>
      </c>
      <c r="S1163" s="54"/>
      <c r="T1163" s="55"/>
      <c r="U1163" s="55"/>
      <c r="V1163" s="55"/>
      <c r="W1163" s="48"/>
      <c r="X1163" s="50"/>
      <c r="Y1163" s="50"/>
      <c r="Z1163" s="48" t="n">
        <f aca="false">IF(A1163="","",IF(AND(Parameter!$B$21="Ja",ISNUMBER(W1163)),W1163,IF(BZ1163="2+3",IF(ISNUMBER(SEARCH("grosser Artikel",BR1163)),2,IFERROR(VLOOKUP(BU1163,Parameter!$F$35:$G$64,2,0),2)),IF(OR(BZ1163="Nein",BZ1163=""),"-",BZ1163))))</f>
        <v>3</v>
      </c>
      <c r="AA1163" s="55"/>
      <c r="AB1163" s="56"/>
      <c r="AC1163" s="50" t="n">
        <f aca="false">AT1163</f>
        <v>249</v>
      </c>
      <c r="AD1163" s="50" t="n">
        <f aca="false">MAX(AT1163,H1163)</f>
        <v>249</v>
      </c>
      <c r="AE1163" s="57"/>
      <c r="AF1163" s="50" t="n">
        <f aca="false">IF(LEFT(Cockpit!$C$5,1)="A",H1163,IF(CE1163=1,CF1163,IF(LEFT(Cockpit!$C$5,1)="B",AK1163,MAX(AK1163,H1163))))</f>
        <v>53</v>
      </c>
      <c r="AG1163" s="50" t="n">
        <f aca="false">IF(BW1163=1,0,ROUNDUP(AF1163/BV1163,0))</f>
        <v>1</v>
      </c>
      <c r="AH1163" s="52" t="n">
        <f aca="false">IF(CL1163&gt;0,CL1163*MAX(1,AF1163/X1163),IF(BW1163=1,IF(AF1163&lt;=0,0,CA1163*MAX(1,IF(H1163&gt;0,AF1163/H1163,1))),IF(R1163&gt;0,AG1163/R1163,0))/MAX(0.1,N(Parameter!$M$21)))</f>
        <v>0.0192307692307692</v>
      </c>
      <c r="AI1163" s="50" t="n">
        <f aca="false">AH1163*BY1163</f>
        <v>2.98076923076923</v>
      </c>
      <c r="AJ1163" s="50" t="n">
        <f aca="false">AF1163*G1163</f>
        <v>1509.44</v>
      </c>
      <c r="AK1163" s="50" t="n">
        <f aca="false">ROUNDUP(MAX(J1163/IF(CD1163&gt;0,CD1163,MAX(0.1,N(Cockpit!$C$6))),CG1163)/BV1163,0)*BV1163</f>
        <v>249</v>
      </c>
      <c r="AL1163" s="51" t="n">
        <f aca="false">IF(AI1163&gt;0,J1163/AI1163,-1)</f>
        <v>97.9612903225806</v>
      </c>
      <c r="AM1163" s="51" t="n">
        <f aca="false">IF(AND(OR(CC1163="L1",CC1163="L23",CC1163="LIFT"),AI1163&gt;0),SUMIFS($AI$7:$AI$1843,$CC$7:$CC$1843,CC1163,$AL$7:$AL$1843,"&gt;"&amp;AL1163)+SUMIFS($AI$7:$AI$1843,$CC$7:$CC$1843,CC1163,$AL$7:$AL$1843,AL1163,$BT$7:$BT$1843,"&lt;="&amp;BT1163),"")</f>
        <v>767.422619047619</v>
      </c>
      <c r="AN1163" s="58" t="n">
        <f aca="false">IF(AM1163="",0,MAX(0,MIN(1,(IF(CC1163="L1",Parameter!$H$5,IF(CC1163="L23",Parameter!$H$6+Parameter!$H$7,Parameter!$H$5+Parameter!$H$6+Parameter!$H$7))-(AM1163-AI1163))/AI1163)))</f>
        <v>1</v>
      </c>
      <c r="AO1163" s="50" t="n">
        <f aca="false">IF(LEFT(Cockpit!$I$5,1)="A",H1163,IF(CE1163=1,CF1163,IF(LEFT(Cockpit!$I$5,1)="B",AT1163,MAX(AT1163,H1163))))</f>
        <v>249</v>
      </c>
      <c r="AP1163" s="50" t="n">
        <f aca="false">IF(BW1163=1,0,ROUNDUP(AO1163/BV1163,0))</f>
        <v>1</v>
      </c>
      <c r="AQ1163" s="52" t="n">
        <f aca="false">IF(CL1163&gt;0,CL1163*MAX(1,AO1163/X1163),IF(BW1163=1,IF(AO1163&lt;=0,0,CA1163*MAX(1,IF(H1163&gt;0,AO1163/H1163,1))),IF(R1163&gt;0,AP1163/R1163,0))/MAX(0.1,N(Parameter!$M$21)))</f>
        <v>0.0192307692307692</v>
      </c>
      <c r="AR1163" s="50" t="n">
        <f aca="false">AQ1163*BY1163</f>
        <v>2.98076923076923</v>
      </c>
      <c r="AS1163" s="50" t="n">
        <f aca="false">AO1163*G1163</f>
        <v>7091.52</v>
      </c>
      <c r="AT1163" s="50" t="n">
        <f aca="false">ROUNDUP(MAX(J1163/IF(CD1163&gt;0,CD1163,MAX(0.1,N(Cockpit!$I$6))),CG1163)/BV1163,0)*BV1163</f>
        <v>249</v>
      </c>
      <c r="AU1163" s="51" t="n">
        <f aca="false">IF(AR1163&gt;0,J1163/AR1163,-1)</f>
        <v>97.9612903225806</v>
      </c>
      <c r="AV1163" s="51" t="n">
        <f aca="false">IF(AND(OR(CC1163="L1",CC1163="L23",CC1163="LIFT"),AR1163&gt;0),SUMIFS($AR$7:$AR$1843,$CC$7:$CC$1843,CC1163,$AU$7:$AU$1843,"&gt;"&amp;AU1163)+SUMIFS($AR$7:$AR$1843,$CC$7:$CC$1843,CC1163,$AU$7:$AU$1843,AU1163,$BT$7:$BT$1843,"&lt;="&amp;BT1163),"")</f>
        <v>919.100732600733</v>
      </c>
      <c r="AW1163" s="58" t="n">
        <f aca="false">IF(AV1163="",0,MAX(0,MIN(1,(IF(CC1163="L1",Parameter!$H$5,IF(CC1163="L23",Parameter!$H$6+Parameter!$H$7,Parameter!$H$5+Parameter!$H$6+Parameter!$H$7))-(AV1163-AR1163))/AR1163)))</f>
        <v>1</v>
      </c>
      <c r="AX1163" s="50" t="n">
        <f aca="false">IF(LEFT(Cockpit!$O$5,1)="A",H1163,IF(CE1163=1,CF1163,IF(LEFT(Cockpit!$O$5,1)="B",BC1163,MAX(BC1163,H1163))))</f>
        <v>249</v>
      </c>
      <c r="AY1163" s="50" t="n">
        <f aca="false">IF(BW1163=1,0,ROUNDUP(AX1163/BV1163,0))</f>
        <v>1</v>
      </c>
      <c r="AZ1163" s="52" t="n">
        <f aca="false">IF(CL1163&gt;0,CL1163*MAX(1,AX1163/X1163),IF(BW1163=1,IF(AX1163&lt;=0,0,CA1163*MAX(1,IF(H1163&gt;0,AX1163/H1163,1))),IF(R1163&gt;0,AY1163/R1163,0))/MAX(0.1,N(Parameter!$M$21)))</f>
        <v>0.0192307692307692</v>
      </c>
      <c r="BA1163" s="50" t="n">
        <f aca="false">AZ1163*BY1163</f>
        <v>2.98076923076923</v>
      </c>
      <c r="BB1163" s="50" t="n">
        <f aca="false">AX1163*G1163</f>
        <v>7091.52</v>
      </c>
      <c r="BC1163" s="50" t="n">
        <f aca="false">ROUNDUP(MAX(J1163/IF(CD1163&gt;0,CD1163,MAX(0.1,N(Cockpit!$O$6))),CG1163)/BV1163,0)*BV1163</f>
        <v>249</v>
      </c>
      <c r="BD1163" s="51" t="n">
        <f aca="false">IF(BA1163&gt;0,J1163/BA1163,-1)</f>
        <v>97.9612903225806</v>
      </c>
      <c r="BE1163" s="51" t="n">
        <f aca="false">IF(AND(OR(CC1163="L1",CC1163="L23",CC1163="LIFT"),BA1163&gt;0),SUMIFS($BA$7:$BA$1843,$CC$7:$CC$1843,CC1163,$BD$7:$BD$1843,"&gt;"&amp;BD1163)+SUMIFS($BA$7:$BA$1843,$CC$7:$CC$1843,CC1163,$BD$7:$BD$1843,BD1163,$BT$7:$BT$1843,"&lt;="&amp;BT1163),"")</f>
        <v>1026.5206043956</v>
      </c>
      <c r="BF1163" s="58" t="n">
        <f aca="false">IF(BE1163="",0,MAX(0,MIN(1,(IF(CC1163="L1",Parameter!$H$5,IF(CC1163="L23",Parameter!$H$6+Parameter!$H$7,Parameter!$H$5+Parameter!$H$6+Parameter!$H$7))-(BE1163-BA1163))/BA1163)))</f>
        <v>1</v>
      </c>
      <c r="BG1163" s="48" t="str">
        <f aca="false">IF(AI1163&lt;=0,"",IF(CC1163="Aussen","Aussenlager",IF(CC1163="-","Nicht im Lift",IF(AN1163&gt;=1,"Lift",IF(AN1163&lt;=0,"Aussenlager","teilweise")))))</f>
        <v>Lift</v>
      </c>
      <c r="BH1163" s="48" t="str">
        <f aca="false">IF(AR1163&lt;=0,"",IF(CC1163="Aussen","Aussenlager",IF(CC1163="-","Nicht im Lift",IF(AW1163&gt;=1,"Lift",IF(AW1163&lt;=0,"Aussenlager","teilweise")))))</f>
        <v>Lift</v>
      </c>
      <c r="BI1163" s="48" t="str">
        <f aca="false">IF(BA1163&lt;=0,"",IF(CC1163="Aussen","Aussenlager",IF(CC1163="-","Nicht im Lift",IF(BF1163&gt;=1,"Lift",IF(BF1163&lt;=0,"Aussenlager","teilweise")))))</f>
        <v>Lift</v>
      </c>
      <c r="BJ1163" s="48" t="str">
        <f aca="false">IF(A1163="","",IF(BS1163=1,"Neu; ","")&amp;IF(AND(BS1163=0,BN1163&lt;0),"negativer Bestand (Export "&amp;BN1163&amp;"); ","")&amp;IF(J1163&lt;=0,"Kein Verbrauch; ","")&amp;IF(CL1163&gt;0,"Lift "&amp;W1163&amp;" lt. Liftbericht (Fach "&amp;X1163&amp;" Stk); ",IF(BX1163=1,"Gebinde geschätzt ("&amp;T1163&amp;"); ",IF(BW1163=1,"Lose – Tablare geschätzt; ","")))&amp;IF(H1163&gt;AT1163,"Überbestand "&amp;ROUND(H1163-AT1163,0)&amp;" Stk / CHF "&amp;ROUND((H1163-AT1163)*G1163,0)&amp;"; ","")&amp;IF(AND(CE1163=1,CF1163&lt;CG1163),"MAX &lt; MB+LG; ","")&amp;IF(AND(CK1163&gt;0,CJ1163*10&gt;CK1163),"zu hoch für Tablar; ","")&amp;IF(AND(BS1163=0,OR(CE1163=1,AA1163&lt;&gt;"",U1163&lt;&gt;"",V1163&lt;&gt;"",AB1163&lt;&gt;"")),"manuell übersteuert; ","")&amp;IF(AND(BW1163=0,R1163=0),"Gebinde unbekannt / Stellmass fehlt; ","")&amp;IF(AND(BW1163=0,N(V1163)&lt;=0,N(Q1163)&lt;=0),"Menge pro Gebinde fehlt (Ist = 1 Gebinde); ","")&amp;BR1163)</f>
        <v>negativer Bestand (Export -12); </v>
      </c>
      <c r="BK1163" s="48"/>
      <c r="BL1163" s="48"/>
      <c r="BM1163" s="55"/>
      <c r="BN1163" s="50" t="n">
        <v>-12</v>
      </c>
      <c r="BO1163" s="50" t="n">
        <v>65</v>
      </c>
      <c r="BP1163" s="49" t="n">
        <v>-337.52</v>
      </c>
      <c r="BQ1163" s="50" t="n">
        <v>292</v>
      </c>
      <c r="BR1163" s="48"/>
      <c r="BS1163" s="53" t="n">
        <v>0</v>
      </c>
      <c r="BT1163" s="53" t="n">
        <v>1163</v>
      </c>
      <c r="BU1163" s="48" t="str">
        <f aca="false">IF(U1163&lt;&gt;"",UPPER(TRIM(U1163)),IF(BX1163=1,UPPER(VLOOKUP(T1163,Parameter!$I$27:$K$29,2,0)),IF(P1163="","LOSE",P1163)))</f>
        <v>S41</v>
      </c>
      <c r="BV1163" s="50" t="n">
        <f aca="false">IF(BU1163="LOSE",1,IF(N(V1163)&gt;0,V1163,IF(BX1163=1,MAX(1,N(VLOOKUP(T1163,Parameter!$I$27:$K$29,3,0)),H1163,N(N1163)),IF(N(Q1163)&gt;0,Q1163,MAX(1,H1163)))))</f>
        <v>249</v>
      </c>
      <c r="BW1163" s="53" t="n">
        <f aca="false">IF(BU1163="LOSE",1,0)</f>
        <v>0</v>
      </c>
      <c r="BX1163" s="53" t="n">
        <f aca="false">IF(AND(U1163="",OR(P1163="",P1163="LOSE"),T1163&lt;&gt;"",N(S1163)&lt;=0,ISNUMBER(MATCH(T1163,Parameter!$I$27:$I$29,0))),1,0)</f>
        <v>0</v>
      </c>
      <c r="BY1163" s="53" t="n">
        <f aca="false">IF(CL1163&gt;0,INDEX(Parameter!$H$5:$H$7,W1163)/INDEX(Parameter!$E$5:$E$7,W1163),IF(AND(BW1163=0,N(IFERROR(VLOOKUP(BU1163,'Gebinde-Kategorie'!$A$5:$N$45,14,0),0))&gt;0),VLOOKUP(BU1163,'Gebinde-Kategorie'!$A$5:$N$45,14,0)*10+Parameter!$M$23,Parameter!$M$24))</f>
        <v>155</v>
      </c>
      <c r="BZ1163" s="48" t="str">
        <f aca="false">IF(AND(Parameter!$B$19="Ja",E1163&lt;&gt;"",ISNUMBER(MATCH(E1163,Parameter!$I$35:$I$52,0))),VLOOKUP(E1163,Parameter!$I$35:$J$52,2,0),IFERROR(VLOOKUP(D1163,Parameter!$A$35:$C$64,2,0),"Nein"))</f>
        <v>2+3</v>
      </c>
      <c r="CA1163" s="52" t="n">
        <f aca="false">IF(BW1163=0,0,IF(N(S1163)&gt;0,S1163,IFERROR(VLOOKUP(D1163,Parameter!$A$35:$C$64,3,0)+0,0)))</f>
        <v>0</v>
      </c>
      <c r="CB1163" s="48" t="n">
        <f aca="false">IF(AA1163&lt;&gt;"",AA1163,Z1163)</f>
        <v>3</v>
      </c>
      <c r="CC1163" s="48" t="str">
        <f aca="false">IF(OR(CB1163=1,CB1163=2,CB1163=3),IF(Parameter!$E$27="Ja","LIFT",IF(CB1163=1,"L1","L23")),IF(CB1163="Aussen","Aussen","-"))</f>
        <v>LIFT</v>
      </c>
      <c r="CD1163" s="59" t="n">
        <f aca="false">IF(N(AB1163)&gt;0,AB1163,0)</f>
        <v>0</v>
      </c>
      <c r="CE1163" s="53" t="n">
        <f aca="false">IF(ISNUMBER(AE1163),1,0)</f>
        <v>0</v>
      </c>
      <c r="CF1163" s="50" t="n">
        <f aca="false">N(AE1163)</f>
        <v>0</v>
      </c>
      <c r="CG1163" s="50" t="n">
        <f aca="false">N(M1163)+N(N1163)</f>
        <v>117</v>
      </c>
      <c r="CH1163" s="50" t="n">
        <f aca="false">ROUNDUP(H1163/BV1163,0)</f>
        <v>1</v>
      </c>
      <c r="CI1163" s="50" t="n">
        <f aca="false">ROUNDUP(CF1163/BV1163,0)</f>
        <v>0</v>
      </c>
      <c r="CJ1163" s="53" t="n">
        <f aca="false">IF(BW1163=1,0,IFERROR(VLOOKUP(BU1163,'Gebinde-Kategorie'!$A$5:$N$45,5,0)+0,0))</f>
        <v>11</v>
      </c>
      <c r="CK1163" s="53" t="n">
        <f aca="false">IFERROR(IF(OR(CB1163=1,CB1163=2,CB1163=3),N(INDEX(Parameter!$I$5:$I$7,CB1163)),0),0)</f>
        <v>0</v>
      </c>
      <c r="CL1163" s="52" t="n">
        <f aca="false">IF(AND(Parameter!$B$21="Ja",ISNUMBER(W1163),N(X1163)&gt;0),IFERROR(N(INDEX(Parameter!$L$5:$L$7,W1163))*INDEX(Parameter!$E$5:$E$7,W1163)*X1163/SUMIFS($X$7:$X$1843,$W$7:$W$1843,W1163),0),0)</f>
        <v>0</v>
      </c>
    </row>
    <row r="1164" customFormat="false" ht="15" hidden="false" customHeight="false" outlineLevel="0" collapsed="false">
      <c r="A1164" s="48" t="s">
        <v>2103</v>
      </c>
      <c r="B1164" s="48" t="s">
        <v>1896</v>
      </c>
      <c r="C1164" s="48" t="s">
        <v>168</v>
      </c>
      <c r="D1164" s="48" t="s">
        <v>188</v>
      </c>
      <c r="E1164" s="48" t="s">
        <v>189</v>
      </c>
      <c r="F1164" s="48" t="s">
        <v>222</v>
      </c>
      <c r="G1164" s="49" t="n">
        <v>26.09</v>
      </c>
      <c r="H1164" s="50" t="n">
        <f aca="false">MAX(0,IF(AND(Parameter!$B$21="Ja",ISNUMBER(Y1164)),Y1164,IF(Parameter!$B$20="Jahresanfang 2025 + Export",BO1164+BN1164,BN1164)))</f>
        <v>77</v>
      </c>
      <c r="I1164" s="50" t="n">
        <f aca="false">H1164*G1164</f>
        <v>2008.93</v>
      </c>
      <c r="J1164" s="50" t="n">
        <f aca="false">BQ1164*Parameter!$B$18</f>
        <v>12</v>
      </c>
      <c r="K1164" s="51" t="n">
        <v>84</v>
      </c>
      <c r="L1164" s="52" t="n">
        <v>0.142857142857143</v>
      </c>
      <c r="M1164" s="50" t="n">
        <v>1</v>
      </c>
      <c r="N1164" s="50" t="n">
        <v>10</v>
      </c>
      <c r="O1164" s="53" t="n">
        <v>35</v>
      </c>
      <c r="P1164" s="48" t="s">
        <v>332</v>
      </c>
      <c r="Q1164" s="50" t="n">
        <v>113</v>
      </c>
      <c r="R1164" s="53" t="n">
        <f aca="false">IF(BW1164=1,0,IFERROR(VLOOKUP(BU1164,'Gebinde-Kategorie'!$A$5:$N$45,13,0)+0,0))</f>
        <v>52</v>
      </c>
      <c r="S1164" s="54"/>
      <c r="T1164" s="55"/>
      <c r="U1164" s="55"/>
      <c r="V1164" s="55"/>
      <c r="W1164" s="48"/>
      <c r="X1164" s="50"/>
      <c r="Y1164" s="50"/>
      <c r="Z1164" s="48" t="n">
        <f aca="false">IF(A1164="","",IF(AND(Parameter!$B$21="Ja",ISNUMBER(W1164)),W1164,IF(BZ1164="2+3",IF(ISNUMBER(SEARCH("grosser Artikel",BR1164)),2,IFERROR(VLOOKUP(BU1164,Parameter!$F$35:$G$64,2,0),2)),IF(OR(BZ1164="Nein",BZ1164=""),"-",BZ1164))))</f>
        <v>3</v>
      </c>
      <c r="AA1164" s="55"/>
      <c r="AB1164" s="56"/>
      <c r="AC1164" s="50" t="n">
        <f aca="false">AT1164</f>
        <v>113</v>
      </c>
      <c r="AD1164" s="50" t="n">
        <f aca="false">MAX(AT1164,H1164)</f>
        <v>113</v>
      </c>
      <c r="AE1164" s="57"/>
      <c r="AF1164" s="50" t="n">
        <f aca="false">IF(LEFT(Cockpit!$C$5,1)="A",H1164,IF(CE1164=1,CF1164,IF(LEFT(Cockpit!$C$5,1)="B",AK1164,MAX(AK1164,H1164))))</f>
        <v>77</v>
      </c>
      <c r="AG1164" s="50" t="n">
        <f aca="false">IF(BW1164=1,0,ROUNDUP(AF1164/BV1164,0))</f>
        <v>1</v>
      </c>
      <c r="AH1164" s="52" t="n">
        <f aca="false">IF(CL1164&gt;0,CL1164*MAX(1,AF1164/X1164),IF(BW1164=1,IF(AF1164&lt;=0,0,CA1164*MAX(1,IF(H1164&gt;0,AF1164/H1164,1))),IF(R1164&gt;0,AG1164/R1164,0))/MAX(0.1,N(Parameter!$M$21)))</f>
        <v>0.0192307692307692</v>
      </c>
      <c r="AI1164" s="50" t="n">
        <f aca="false">AH1164*BY1164</f>
        <v>2.98076923076923</v>
      </c>
      <c r="AJ1164" s="50" t="n">
        <f aca="false">AF1164*G1164</f>
        <v>2008.93</v>
      </c>
      <c r="AK1164" s="50" t="n">
        <f aca="false">ROUNDUP(MAX(J1164/IF(CD1164&gt;0,CD1164,MAX(0.1,N(Cockpit!$C$6))),CG1164)/BV1164,0)*BV1164</f>
        <v>113</v>
      </c>
      <c r="AL1164" s="51" t="n">
        <f aca="false">IF(AI1164&gt;0,J1164/AI1164,-1)</f>
        <v>4.0258064516129</v>
      </c>
      <c r="AM1164" s="51" t="n">
        <f aca="false">IF(AND(OR(CC1164="L1",CC1164="L23",CC1164="LIFT"),AI1164&gt;0),SUMIFS($AI$7:$AI$1843,$CC$7:$CC$1843,CC1164,$AL$7:$AL$1843,"&gt;"&amp;AL1164)+SUMIFS($AI$7:$AI$1843,$CC$7:$CC$1843,CC1164,$AL$7:$AL$1843,AL1164,$BT$7:$BT$1843,"&lt;="&amp;BT1164),"")</f>
        <v>4364.65064102564</v>
      </c>
      <c r="AN1164" s="58" t="n">
        <f aca="false">IF(AM1164="",0,MAX(0,MIN(1,(IF(CC1164="L1",Parameter!$H$5,IF(CC1164="L23",Parameter!$H$6+Parameter!$H$7,Parameter!$H$5+Parameter!$H$6+Parameter!$H$7))-(AM1164-AI1164))/AI1164)))</f>
        <v>1</v>
      </c>
      <c r="AO1164" s="50" t="n">
        <f aca="false">IF(LEFT(Cockpit!$I$5,1)="A",H1164,IF(CE1164=1,CF1164,IF(LEFT(Cockpit!$I$5,1)="B",AT1164,MAX(AT1164,H1164))))</f>
        <v>113</v>
      </c>
      <c r="AP1164" s="50" t="n">
        <f aca="false">IF(BW1164=1,0,ROUNDUP(AO1164/BV1164,0))</f>
        <v>1</v>
      </c>
      <c r="AQ1164" s="52" t="n">
        <f aca="false">IF(CL1164&gt;0,CL1164*MAX(1,AO1164/X1164),IF(BW1164=1,IF(AO1164&lt;=0,0,CA1164*MAX(1,IF(H1164&gt;0,AO1164/H1164,1))),IF(R1164&gt;0,AP1164/R1164,0))/MAX(0.1,N(Parameter!$M$21)))</f>
        <v>0.0192307692307692</v>
      </c>
      <c r="AR1164" s="50" t="n">
        <f aca="false">AQ1164*BY1164</f>
        <v>2.98076923076923</v>
      </c>
      <c r="AS1164" s="50" t="n">
        <f aca="false">AO1164*G1164</f>
        <v>2948.17</v>
      </c>
      <c r="AT1164" s="50" t="n">
        <f aca="false">ROUNDUP(MAX(J1164/IF(CD1164&gt;0,CD1164,MAX(0.1,N(Cockpit!$I$6))),CG1164)/BV1164,0)*BV1164</f>
        <v>113</v>
      </c>
      <c r="AU1164" s="51" t="n">
        <f aca="false">IF(AR1164&gt;0,J1164/AR1164,-1)</f>
        <v>4.0258064516129</v>
      </c>
      <c r="AV1164" s="51" t="n">
        <f aca="false">IF(AND(OR(CC1164="L1",CC1164="L23",CC1164="LIFT"),AR1164&gt;0),SUMIFS($AR$7:$AR$1843,$CC$7:$CC$1843,CC1164,$AU$7:$AU$1843,"&gt;"&amp;AU1164)+SUMIFS($AR$7:$AR$1843,$CC$7:$CC$1843,CC1164,$AU$7:$AU$1843,AU1164,$BT$7:$BT$1843,"&lt;="&amp;BT1164),"")</f>
        <v>5607.19139194139</v>
      </c>
      <c r="AW1164" s="58" t="n">
        <f aca="false">IF(AV1164="",0,MAX(0,MIN(1,(IF(CC1164="L1",Parameter!$H$5,IF(CC1164="L23",Parameter!$H$6+Parameter!$H$7,Parameter!$H$5+Parameter!$H$6+Parameter!$H$7))-(AV1164-AR1164))/AR1164)))</f>
        <v>1</v>
      </c>
      <c r="AX1164" s="50" t="n">
        <f aca="false">IF(LEFT(Cockpit!$O$5,1)="A",H1164,IF(CE1164=1,CF1164,IF(LEFT(Cockpit!$O$5,1)="B",BC1164,MAX(BC1164,H1164))))</f>
        <v>113</v>
      </c>
      <c r="AY1164" s="50" t="n">
        <f aca="false">IF(BW1164=1,0,ROUNDUP(AX1164/BV1164,0))</f>
        <v>1</v>
      </c>
      <c r="AZ1164" s="52" t="n">
        <f aca="false">IF(CL1164&gt;0,CL1164*MAX(1,AX1164/X1164),IF(BW1164=1,IF(AX1164&lt;=0,0,CA1164*MAX(1,IF(H1164&gt;0,AX1164/H1164,1))),IF(R1164&gt;0,AY1164/R1164,0))/MAX(0.1,N(Parameter!$M$21)))</f>
        <v>0.0192307692307692</v>
      </c>
      <c r="BA1164" s="50" t="n">
        <f aca="false">AZ1164*BY1164</f>
        <v>2.98076923076923</v>
      </c>
      <c r="BB1164" s="50" t="n">
        <f aca="false">AX1164*G1164</f>
        <v>2948.17</v>
      </c>
      <c r="BC1164" s="50" t="n">
        <f aca="false">ROUNDUP(MAX(J1164/IF(CD1164&gt;0,CD1164,MAX(0.1,N(Cockpit!$O$6))),CG1164)/BV1164,0)*BV1164</f>
        <v>113</v>
      </c>
      <c r="BD1164" s="51" t="n">
        <f aca="false">IF(BA1164&gt;0,J1164/BA1164,-1)</f>
        <v>4.0258064516129</v>
      </c>
      <c r="BE1164" s="51" t="n">
        <f aca="false">IF(AND(OR(CC1164="L1",CC1164="L23",CC1164="LIFT"),BA1164&gt;0),SUMIFS($BA$7:$BA$1843,$CC$7:$CC$1843,CC1164,$BD$7:$BD$1843,"&gt;"&amp;BD1164)+SUMIFS($BA$7:$BA$1843,$CC$7:$CC$1843,CC1164,$BD$7:$BD$1843,BD1164,$BT$7:$BT$1843,"&lt;="&amp;BT1164),"")</f>
        <v>5295.05998168498</v>
      </c>
      <c r="BF1164" s="58" t="n">
        <f aca="false">IF(BE1164="",0,MAX(0,MIN(1,(IF(CC1164="L1",Parameter!$H$5,IF(CC1164="L23",Parameter!$H$6+Parameter!$H$7,Parameter!$H$5+Parameter!$H$6+Parameter!$H$7))-(BE1164-BA1164))/BA1164)))</f>
        <v>1</v>
      </c>
      <c r="BG1164" s="48" t="str">
        <f aca="false">IF(AI1164&lt;=0,"",IF(CC1164="Aussen","Aussenlager",IF(CC1164="-","Nicht im Lift",IF(AN1164&gt;=1,"Lift",IF(AN1164&lt;=0,"Aussenlager","teilweise")))))</f>
        <v>Lift</v>
      </c>
      <c r="BH1164" s="48" t="str">
        <f aca="false">IF(AR1164&lt;=0,"",IF(CC1164="Aussen","Aussenlager",IF(CC1164="-","Nicht im Lift",IF(AW1164&gt;=1,"Lift",IF(AW1164&lt;=0,"Aussenlager","teilweise")))))</f>
        <v>Lift</v>
      </c>
      <c r="BI1164" s="48" t="str">
        <f aca="false">IF(BA1164&lt;=0,"",IF(CC1164="Aussen","Aussenlager",IF(CC1164="-","Nicht im Lift",IF(BF1164&gt;=1,"Lift",IF(BF1164&lt;=0,"Aussenlager","teilweise")))))</f>
        <v>Lift</v>
      </c>
      <c r="BJ1164" s="48" t="str">
        <f aca="false">IF(A1164="","",IF(BS1164=1,"Neu; ","")&amp;IF(AND(BS1164=0,BN1164&lt;0),"negativer Bestand (Export "&amp;BN1164&amp;"); ","")&amp;IF(J1164&lt;=0,"Kein Verbrauch; ","")&amp;IF(CL1164&gt;0,"Lift "&amp;W1164&amp;" lt. Liftbericht (Fach "&amp;X1164&amp;" Stk); ",IF(BX1164=1,"Gebinde geschätzt ("&amp;T1164&amp;"); ",IF(BW1164=1,"Lose – Tablare geschätzt; ","")))&amp;IF(H1164&gt;AT1164,"Überbestand "&amp;ROUND(H1164-AT1164,0)&amp;" Stk / CHF "&amp;ROUND((H1164-AT1164)*G1164,0)&amp;"; ","")&amp;IF(AND(CE1164=1,CF1164&lt;CG1164),"MAX &lt; MB+LG; ","")&amp;IF(AND(CK1164&gt;0,CJ1164*10&gt;CK1164),"zu hoch für Tablar; ","")&amp;IF(AND(BS1164=0,OR(CE1164=1,AA1164&lt;&gt;"",U1164&lt;&gt;"",V1164&lt;&gt;"",AB1164&lt;&gt;"")),"manuell übersteuert; ","")&amp;IF(AND(BW1164=0,R1164=0),"Gebinde unbekannt / Stellmass fehlt; ","")&amp;IF(AND(BW1164=0,N(V1164)&lt;=0,N(Q1164)&lt;=0),"Menge pro Gebinde fehlt (Ist = 1 Gebinde); ","")&amp;BR1164)</f>
        <v>negativer Bestand (Export -13); Twin</v>
      </c>
      <c r="BK1164" s="48"/>
      <c r="BL1164" s="48"/>
      <c r="BM1164" s="55"/>
      <c r="BN1164" s="50" t="n">
        <v>-13</v>
      </c>
      <c r="BO1164" s="50" t="n">
        <v>90</v>
      </c>
      <c r="BP1164" s="49" t="n">
        <v>-339.17</v>
      </c>
      <c r="BQ1164" s="50" t="n">
        <v>12</v>
      </c>
      <c r="BR1164" s="48" t="s">
        <v>218</v>
      </c>
      <c r="BS1164" s="53" t="n">
        <v>0</v>
      </c>
      <c r="BT1164" s="53" t="n">
        <v>1164</v>
      </c>
      <c r="BU1164" s="48" t="str">
        <f aca="false">IF(U1164&lt;&gt;"",UPPER(TRIM(U1164)),IF(BX1164=1,UPPER(VLOOKUP(T1164,Parameter!$I$27:$K$29,2,0)),IF(P1164="","LOSE",P1164)))</f>
        <v>S41</v>
      </c>
      <c r="BV1164" s="50" t="n">
        <f aca="false">IF(BU1164="LOSE",1,IF(N(V1164)&gt;0,V1164,IF(BX1164=1,MAX(1,N(VLOOKUP(T1164,Parameter!$I$27:$K$29,3,0)),H1164,N(N1164)),IF(N(Q1164)&gt;0,Q1164,MAX(1,H1164)))))</f>
        <v>113</v>
      </c>
      <c r="BW1164" s="53" t="n">
        <f aca="false">IF(BU1164="LOSE",1,0)</f>
        <v>0</v>
      </c>
      <c r="BX1164" s="53" t="n">
        <f aca="false">IF(AND(U1164="",OR(P1164="",P1164="LOSE"),T1164&lt;&gt;"",N(S1164)&lt;=0,ISNUMBER(MATCH(T1164,Parameter!$I$27:$I$29,0))),1,0)</f>
        <v>0</v>
      </c>
      <c r="BY1164" s="53" t="n">
        <f aca="false">IF(CL1164&gt;0,INDEX(Parameter!$H$5:$H$7,W1164)/INDEX(Parameter!$E$5:$E$7,W1164),IF(AND(BW1164=0,N(IFERROR(VLOOKUP(BU1164,'Gebinde-Kategorie'!$A$5:$N$45,14,0),0))&gt;0),VLOOKUP(BU1164,'Gebinde-Kategorie'!$A$5:$N$45,14,0)*10+Parameter!$M$23,Parameter!$M$24))</f>
        <v>155</v>
      </c>
      <c r="BZ1164" s="48" t="str">
        <f aca="false">IF(AND(Parameter!$B$19="Ja",E1164&lt;&gt;"",ISNUMBER(MATCH(E1164,Parameter!$I$35:$I$52,0))),VLOOKUP(E1164,Parameter!$I$35:$J$52,2,0),IFERROR(VLOOKUP(D1164,Parameter!$A$35:$C$64,2,0),"Nein"))</f>
        <v>2+3</v>
      </c>
      <c r="CA1164" s="52" t="n">
        <f aca="false">IF(BW1164=0,0,IF(N(S1164)&gt;0,S1164,IFERROR(VLOOKUP(D1164,Parameter!$A$35:$C$64,3,0)+0,0)))</f>
        <v>0</v>
      </c>
      <c r="CB1164" s="48" t="n">
        <f aca="false">IF(AA1164&lt;&gt;"",AA1164,Z1164)</f>
        <v>3</v>
      </c>
      <c r="CC1164" s="48" t="str">
        <f aca="false">IF(OR(CB1164=1,CB1164=2,CB1164=3),IF(Parameter!$E$27="Ja","LIFT",IF(CB1164=1,"L1","L23")),IF(CB1164="Aussen","Aussen","-"))</f>
        <v>LIFT</v>
      </c>
      <c r="CD1164" s="59" t="n">
        <f aca="false">IF(N(AB1164)&gt;0,AB1164,0)</f>
        <v>0</v>
      </c>
      <c r="CE1164" s="53" t="n">
        <f aca="false">IF(ISNUMBER(AE1164),1,0)</f>
        <v>0</v>
      </c>
      <c r="CF1164" s="50" t="n">
        <f aca="false">N(AE1164)</f>
        <v>0</v>
      </c>
      <c r="CG1164" s="50" t="n">
        <f aca="false">N(M1164)+N(N1164)</f>
        <v>11</v>
      </c>
      <c r="CH1164" s="50" t="n">
        <f aca="false">ROUNDUP(H1164/BV1164,0)</f>
        <v>1</v>
      </c>
      <c r="CI1164" s="50" t="n">
        <f aca="false">ROUNDUP(CF1164/BV1164,0)</f>
        <v>0</v>
      </c>
      <c r="CJ1164" s="53" t="n">
        <f aca="false">IF(BW1164=1,0,IFERROR(VLOOKUP(BU1164,'Gebinde-Kategorie'!$A$5:$N$45,5,0)+0,0))</f>
        <v>11</v>
      </c>
      <c r="CK1164" s="53" t="n">
        <f aca="false">IFERROR(IF(OR(CB1164=1,CB1164=2,CB1164=3),N(INDEX(Parameter!$I$5:$I$7,CB1164)),0),0)</f>
        <v>0</v>
      </c>
      <c r="CL1164" s="52" t="n">
        <f aca="false">IF(AND(Parameter!$B$21="Ja",ISNUMBER(W1164),N(X1164)&gt;0),IFERROR(N(INDEX(Parameter!$L$5:$L$7,W1164))*INDEX(Parameter!$E$5:$E$7,W1164)*X1164/SUMIFS($X$7:$X$1843,$W$7:$W$1843,W1164),0),0)</f>
        <v>0</v>
      </c>
    </row>
    <row r="1165" customFormat="false" ht="15" hidden="false" customHeight="false" outlineLevel="0" collapsed="false">
      <c r="A1165" s="48" t="s">
        <v>2104</v>
      </c>
      <c r="B1165" s="48" t="s">
        <v>1952</v>
      </c>
      <c r="C1165" s="48" t="s">
        <v>460</v>
      </c>
      <c r="D1165" s="48" t="s">
        <v>188</v>
      </c>
      <c r="E1165" s="48"/>
      <c r="F1165" s="48" t="s">
        <v>222</v>
      </c>
      <c r="G1165" s="49" t="n">
        <v>42.75</v>
      </c>
      <c r="H1165" s="50" t="n">
        <f aca="false">MAX(0,IF(AND(Parameter!$B$21="Ja",ISNUMBER(Y1165)),Y1165,IF(Parameter!$B$20="Jahresanfang 2025 + Export",BO1165+BN1165,BN1165)))</f>
        <v>8</v>
      </c>
      <c r="I1165" s="50" t="n">
        <f aca="false">H1165*G1165</f>
        <v>342</v>
      </c>
      <c r="J1165" s="50" t="n">
        <f aca="false">BQ1165*Parameter!$B$18</f>
        <v>8</v>
      </c>
      <c r="K1165" s="51" t="n">
        <v>8</v>
      </c>
      <c r="L1165" s="52" t="n">
        <v>1</v>
      </c>
      <c r="M1165" s="50" t="n">
        <v>0</v>
      </c>
      <c r="N1165" s="50" t="n">
        <v>10</v>
      </c>
      <c r="O1165" s="53" t="n">
        <v>21</v>
      </c>
      <c r="P1165" s="48" t="s">
        <v>172</v>
      </c>
      <c r="Q1165" s="50"/>
      <c r="R1165" s="53" t="n">
        <f aca="false">IF(BW1165=1,0,IFERROR(VLOOKUP(BU1165,'Gebinde-Kategorie'!$A$5:$N$45,13,0)+0,0))</f>
        <v>4</v>
      </c>
      <c r="S1165" s="54"/>
      <c r="T1165" s="55" t="s">
        <v>193</v>
      </c>
      <c r="U1165" s="55"/>
      <c r="V1165" s="55"/>
      <c r="W1165" s="48"/>
      <c r="X1165" s="50"/>
      <c r="Y1165" s="50"/>
      <c r="Z1165" s="48" t="n">
        <f aca="false">IF(A1165="","",IF(AND(Parameter!$B$21="Ja",ISNUMBER(W1165)),W1165,IF(BZ1165="2+3",IF(ISNUMBER(SEARCH("grosser Artikel",BR1165)),2,IFERROR(VLOOKUP(BU1165,Parameter!$F$35:$G$64,2,0),2)),IF(OR(BZ1165="Nein",BZ1165=""),"-",BZ1165))))</f>
        <v>2</v>
      </c>
      <c r="AA1165" s="55"/>
      <c r="AB1165" s="56"/>
      <c r="AC1165" s="50" t="n">
        <f aca="false">AT1165</f>
        <v>10</v>
      </c>
      <c r="AD1165" s="50" t="n">
        <f aca="false">MAX(AT1165,H1165)</f>
        <v>10</v>
      </c>
      <c r="AE1165" s="57"/>
      <c r="AF1165" s="50" t="n">
        <f aca="false">IF(LEFT(Cockpit!$C$5,1)="A",H1165,IF(CE1165=1,CF1165,IF(LEFT(Cockpit!$C$5,1)="B",AK1165,MAX(AK1165,H1165))))</f>
        <v>8</v>
      </c>
      <c r="AG1165" s="50" t="n">
        <f aca="false">IF(BW1165=1,0,ROUNDUP(AF1165/BV1165,0))</f>
        <v>1</v>
      </c>
      <c r="AH1165" s="52" t="n">
        <f aca="false">IF(CL1165&gt;0,CL1165*MAX(1,AF1165/X1165),IF(BW1165=1,IF(AF1165&lt;=0,0,CA1165*MAX(1,IF(H1165&gt;0,AF1165/H1165,1))),IF(R1165&gt;0,AG1165/R1165,0))/MAX(0.1,N(Parameter!$M$21)))</f>
        <v>0.25</v>
      </c>
      <c r="AI1165" s="50" t="n">
        <f aca="false">AH1165*BY1165</f>
        <v>58.75</v>
      </c>
      <c r="AJ1165" s="50" t="n">
        <f aca="false">AF1165*G1165</f>
        <v>342</v>
      </c>
      <c r="AK1165" s="50" t="n">
        <f aca="false">ROUNDUP(MAX(J1165/IF(CD1165&gt;0,CD1165,MAX(0.1,N(Cockpit!$C$6))),CG1165)/BV1165,0)*BV1165</f>
        <v>10</v>
      </c>
      <c r="AL1165" s="51" t="n">
        <f aca="false">IF(AI1165&gt;0,J1165/AI1165,-1)</f>
        <v>0.136170212765957</v>
      </c>
      <c r="AM1165" s="51" t="n">
        <f aca="false">IF(AND(OR(CC1165="L1",CC1165="L23",CC1165="LIFT"),AI1165&gt;0),SUMIFS($AI$7:$AI$1843,$CC$7:$CC$1843,CC1165,$AL$7:$AL$1843,"&gt;"&amp;AL1165)+SUMIFS($AI$7:$AI$1843,$CC$7:$CC$1843,CC1165,$AL$7:$AL$1843,AL1165,$BT$7:$BT$1843,"&lt;="&amp;BT1165),"")</f>
        <v>13329.092695205</v>
      </c>
      <c r="AN1165" s="58" t="n">
        <f aca="false">IF(AM1165="",0,MAX(0,MIN(1,(IF(CC1165="L1",Parameter!$H$5,IF(CC1165="L23",Parameter!$H$6+Parameter!$H$7,Parameter!$H$5+Parameter!$H$6+Parameter!$H$7))-(AM1165-AI1165))/AI1165)))</f>
        <v>1</v>
      </c>
      <c r="AO1165" s="50" t="n">
        <f aca="false">IF(LEFT(Cockpit!$I$5,1)="A",H1165,IF(CE1165=1,CF1165,IF(LEFT(Cockpit!$I$5,1)="B",AT1165,MAX(AT1165,H1165))))</f>
        <v>10</v>
      </c>
      <c r="AP1165" s="50" t="n">
        <f aca="false">IF(BW1165=1,0,ROUNDUP(AO1165/BV1165,0))</f>
        <v>1</v>
      </c>
      <c r="AQ1165" s="52" t="n">
        <f aca="false">IF(CL1165&gt;0,CL1165*MAX(1,AO1165/X1165),IF(BW1165=1,IF(AO1165&lt;=0,0,CA1165*MAX(1,IF(H1165&gt;0,AO1165/H1165,1))),IF(R1165&gt;0,AP1165/R1165,0))/MAX(0.1,N(Parameter!$M$21)))</f>
        <v>0.25</v>
      </c>
      <c r="AR1165" s="50" t="n">
        <f aca="false">AQ1165*BY1165</f>
        <v>58.75</v>
      </c>
      <c r="AS1165" s="50" t="n">
        <f aca="false">AO1165*G1165</f>
        <v>427.5</v>
      </c>
      <c r="AT1165" s="50" t="n">
        <f aca="false">ROUNDUP(MAX(J1165/IF(CD1165&gt;0,CD1165,MAX(0.1,N(Cockpit!$I$6))),CG1165)/BV1165,0)*BV1165</f>
        <v>10</v>
      </c>
      <c r="AU1165" s="51" t="n">
        <f aca="false">IF(AR1165&gt;0,J1165/AR1165,-1)</f>
        <v>0.136170212765957</v>
      </c>
      <c r="AV1165" s="51" t="n">
        <f aca="false">IF(AND(OR(CC1165="L1",CC1165="L23",CC1165="LIFT"),AR1165&gt;0),SUMIFS($AR$7:$AR$1843,$CC$7:$CC$1843,CC1165,$AU$7:$AU$1843,"&gt;"&amp;AU1165)+SUMIFS($AR$7:$AR$1843,$CC$7:$CC$1843,CC1165,$AU$7:$AU$1843,AU1165,$BT$7:$BT$1843,"&lt;="&amp;BT1165),"")</f>
        <v>20149.0132783883</v>
      </c>
      <c r="AW1165" s="58" t="n">
        <f aca="false">IF(AV1165="",0,MAX(0,MIN(1,(IF(CC1165="L1",Parameter!$H$5,IF(CC1165="L23",Parameter!$H$6+Parameter!$H$7,Parameter!$H$5+Parameter!$H$6+Parameter!$H$7))-(AV1165-AR1165))/AR1165)))</f>
        <v>1</v>
      </c>
      <c r="AX1165" s="50" t="n">
        <f aca="false">IF(LEFT(Cockpit!$O$5,1)="A",H1165,IF(CE1165=1,CF1165,IF(LEFT(Cockpit!$O$5,1)="B",BC1165,MAX(BC1165,H1165))))</f>
        <v>10</v>
      </c>
      <c r="AY1165" s="50" t="n">
        <f aca="false">IF(BW1165=1,0,ROUNDUP(AX1165/BV1165,0))</f>
        <v>1</v>
      </c>
      <c r="AZ1165" s="52" t="n">
        <f aca="false">IF(CL1165&gt;0,CL1165*MAX(1,AX1165/X1165),IF(BW1165=1,IF(AX1165&lt;=0,0,CA1165*MAX(1,IF(H1165&gt;0,AX1165/H1165,1))),IF(R1165&gt;0,AY1165/R1165,0))/MAX(0.1,N(Parameter!$M$21)))</f>
        <v>0.25</v>
      </c>
      <c r="BA1165" s="50" t="n">
        <f aca="false">AZ1165*BY1165</f>
        <v>58.75</v>
      </c>
      <c r="BB1165" s="50" t="n">
        <f aca="false">AX1165*G1165</f>
        <v>427.5</v>
      </c>
      <c r="BC1165" s="50" t="n">
        <f aca="false">ROUNDUP(MAX(J1165/IF(CD1165&gt;0,CD1165,MAX(0.1,N(Cockpit!$O$6))),CG1165)/BV1165,0)*BV1165</f>
        <v>10</v>
      </c>
      <c r="BD1165" s="51" t="n">
        <f aca="false">IF(BA1165&gt;0,J1165/BA1165,-1)</f>
        <v>0.136170212765957</v>
      </c>
      <c r="BE1165" s="51" t="n">
        <f aca="false">IF(AND(OR(CC1165="L1",CC1165="L23",CC1165="LIFT"),BA1165&gt;0),SUMIFS($BA$7:$BA$1843,$CC$7:$CC$1843,CC1165,$BD$7:$BD$1843,"&gt;"&amp;BD1165)+SUMIFS($BA$7:$BA$1843,$CC$7:$CC$1843,CC1165,$BD$7:$BD$1843,BD1165,$BT$7:$BT$1843,"&lt;="&amp;BT1165),"")</f>
        <v>19170.4424577306</v>
      </c>
      <c r="BF1165" s="58" t="n">
        <f aca="false">IF(BE1165="",0,MAX(0,MIN(1,(IF(CC1165="L1",Parameter!$H$5,IF(CC1165="L23",Parameter!$H$6+Parameter!$H$7,Parameter!$H$5+Parameter!$H$6+Parameter!$H$7))-(BE1165-BA1165))/BA1165)))</f>
        <v>1</v>
      </c>
      <c r="BG1165" s="48" t="str">
        <f aca="false">IF(AI1165&lt;=0,"",IF(CC1165="Aussen","Aussenlager",IF(CC1165="-","Nicht im Lift",IF(AN1165&gt;=1,"Lift",IF(AN1165&lt;=0,"Aussenlager","teilweise")))))</f>
        <v>Lift</v>
      </c>
      <c r="BH1165" s="48" t="str">
        <f aca="false">IF(AR1165&lt;=0,"",IF(CC1165="Aussen","Aussenlager",IF(CC1165="-","Nicht im Lift",IF(AW1165&gt;=1,"Lift",IF(AW1165&lt;=0,"Aussenlager","teilweise")))))</f>
        <v>Lift</v>
      </c>
      <c r="BI1165" s="48" t="str">
        <f aca="false">IF(BA1165&lt;=0,"",IF(CC1165="Aussen","Aussenlager",IF(CC1165="-","Nicht im Lift",IF(BF1165&gt;=1,"Lift",IF(BF1165&lt;=0,"Aussenlager","teilweise")))))</f>
        <v>Lift</v>
      </c>
      <c r="BJ1165" s="48" t="str">
        <f aca="false">IF(A1165="","",IF(BS1165=1,"Neu; ","")&amp;IF(AND(BS1165=0,BN1165&lt;0),"negativer Bestand (Export "&amp;BN1165&amp;"); ","")&amp;IF(J1165&lt;=0,"Kein Verbrauch; ","")&amp;IF(CL1165&gt;0,"Lift "&amp;W1165&amp;" lt. Liftbericht (Fach "&amp;X1165&amp;" Stk); ",IF(BX1165=1,"Gebinde geschätzt ("&amp;T1165&amp;"); ",IF(BW1165=1,"Lose – Tablare geschätzt; ","")))&amp;IF(H1165&gt;AT1165,"Überbestand "&amp;ROUND(H1165-AT1165,0)&amp;" Stk / CHF "&amp;ROUND((H1165-AT1165)*G1165,0)&amp;"; ","")&amp;IF(AND(CE1165=1,CF1165&lt;CG1165),"MAX &lt; MB+LG; ","")&amp;IF(AND(CK1165&gt;0,CJ1165*10&gt;CK1165),"zu hoch für Tablar; ","")&amp;IF(AND(BS1165=0,OR(CE1165=1,AA1165&lt;&gt;"",U1165&lt;&gt;"",V1165&lt;&gt;"",AB1165&lt;&gt;"")),"manuell übersteuert; ","")&amp;IF(AND(BW1165=0,R1165=0),"Gebinde unbekannt / Stellmass fehlt; ","")&amp;IF(AND(BW1165=0,N(V1165)&lt;=0,N(Q1165)&lt;=0),"Menge pro Gebinde fehlt (Ist = 1 Gebinde); ","")&amp;BR1165)</f>
        <v>negativer Bestand (Export -8); Gebinde geschätzt (Gross); Menge pro Gebinde fehlt (Ist = 1 Gebinde); </v>
      </c>
      <c r="BK1165" s="48"/>
      <c r="BL1165" s="48"/>
      <c r="BM1165" s="55"/>
      <c r="BN1165" s="50" t="n">
        <v>-8</v>
      </c>
      <c r="BO1165" s="50" t="n">
        <v>16</v>
      </c>
      <c r="BP1165" s="49" t="n">
        <v>-342</v>
      </c>
      <c r="BQ1165" s="50" t="n">
        <v>8</v>
      </c>
      <c r="BR1165" s="48"/>
      <c r="BS1165" s="53" t="n">
        <v>0</v>
      </c>
      <c r="BT1165" s="53" t="n">
        <v>1165</v>
      </c>
      <c r="BU1165" s="48" t="str">
        <f aca="false">IF(U1165&lt;&gt;"",UPPER(TRIM(U1165)),IF(BX1165=1,UPPER(VLOOKUP(T1165,Parameter!$I$27:$K$29,2,0)),IF(P1165="","LOSE",P1165)))</f>
        <v>S81</v>
      </c>
      <c r="BV1165" s="50" t="n">
        <f aca="false">IF(BU1165="LOSE",1,IF(N(V1165)&gt;0,V1165,IF(BX1165=1,MAX(1,N(VLOOKUP(T1165,Parameter!$I$27:$K$29,3,0)),H1165,N(N1165)),IF(N(Q1165)&gt;0,Q1165,MAX(1,H1165)))))</f>
        <v>10</v>
      </c>
      <c r="BW1165" s="53" t="n">
        <f aca="false">IF(BU1165="LOSE",1,0)</f>
        <v>0</v>
      </c>
      <c r="BX1165" s="53" t="n">
        <f aca="false">IF(AND(U1165="",OR(P1165="",P1165="LOSE"),T1165&lt;&gt;"",N(S1165)&lt;=0,ISNUMBER(MATCH(T1165,Parameter!$I$27:$I$29,0))),1,0)</f>
        <v>1</v>
      </c>
      <c r="BY1165" s="53" t="n">
        <f aca="false">IF(CL1165&gt;0,INDEX(Parameter!$H$5:$H$7,W1165)/INDEX(Parameter!$E$5:$E$7,W1165),IF(AND(BW1165=0,N(IFERROR(VLOOKUP(BU1165,'Gebinde-Kategorie'!$A$5:$N$45,14,0),0))&gt;0),VLOOKUP(BU1165,'Gebinde-Kategorie'!$A$5:$N$45,14,0)*10+Parameter!$M$23,Parameter!$M$24))</f>
        <v>235</v>
      </c>
      <c r="BZ1165" s="48" t="str">
        <f aca="false">IF(AND(Parameter!$B$19="Ja",E1165&lt;&gt;"",ISNUMBER(MATCH(E1165,Parameter!$I$35:$I$52,0))),VLOOKUP(E1165,Parameter!$I$35:$J$52,2,0),IFERROR(VLOOKUP(D1165,Parameter!$A$35:$C$64,2,0),"Nein"))</f>
        <v>2+3</v>
      </c>
      <c r="CA1165" s="52" t="n">
        <f aca="false">IF(BW1165=0,0,IF(N(S1165)&gt;0,S1165,IFERROR(VLOOKUP(D1165,Parameter!$A$35:$C$64,3,0)+0,0)))</f>
        <v>0</v>
      </c>
      <c r="CB1165" s="48" t="n">
        <f aca="false">IF(AA1165&lt;&gt;"",AA1165,Z1165)</f>
        <v>2</v>
      </c>
      <c r="CC1165" s="48" t="str">
        <f aca="false">IF(OR(CB1165=1,CB1165=2,CB1165=3),IF(Parameter!$E$27="Ja","LIFT",IF(CB1165=1,"L1","L23")),IF(CB1165="Aussen","Aussen","-"))</f>
        <v>LIFT</v>
      </c>
      <c r="CD1165" s="59" t="n">
        <f aca="false">IF(N(AB1165)&gt;0,AB1165,0)</f>
        <v>0</v>
      </c>
      <c r="CE1165" s="53" t="n">
        <f aca="false">IF(ISNUMBER(AE1165),1,0)</f>
        <v>0</v>
      </c>
      <c r="CF1165" s="50" t="n">
        <f aca="false">N(AE1165)</f>
        <v>0</v>
      </c>
      <c r="CG1165" s="50" t="n">
        <f aca="false">N(M1165)+N(N1165)</f>
        <v>10</v>
      </c>
      <c r="CH1165" s="50" t="n">
        <f aca="false">ROUNDUP(H1165/BV1165,0)</f>
        <v>1</v>
      </c>
      <c r="CI1165" s="50" t="n">
        <f aca="false">ROUNDUP(CF1165/BV1165,0)</f>
        <v>0</v>
      </c>
      <c r="CJ1165" s="53" t="n">
        <f aca="false">IF(BW1165=1,0,IFERROR(VLOOKUP(BU1165,'Gebinde-Kategorie'!$A$5:$N$45,5,0)+0,0))</f>
        <v>20</v>
      </c>
      <c r="CK1165" s="53" t="n">
        <f aca="false">IFERROR(IF(OR(CB1165=1,CB1165=2,CB1165=3),N(INDEX(Parameter!$I$5:$I$7,CB1165)),0),0)</f>
        <v>0</v>
      </c>
      <c r="CL1165" s="52" t="n">
        <f aca="false">IF(AND(Parameter!$B$21="Ja",ISNUMBER(W1165),N(X1165)&gt;0),IFERROR(N(INDEX(Parameter!$L$5:$L$7,W1165))*INDEX(Parameter!$E$5:$E$7,W1165)*X1165/SUMIFS($X$7:$X$1843,$W$7:$W$1843,W1165),0),0)</f>
        <v>0</v>
      </c>
    </row>
    <row r="1166" customFormat="false" ht="15" hidden="false" customHeight="false" outlineLevel="0" collapsed="false">
      <c r="A1166" s="48" t="s">
        <v>2105</v>
      </c>
      <c r="B1166" s="48" t="s">
        <v>466</v>
      </c>
      <c r="C1166" s="48" t="s">
        <v>168</v>
      </c>
      <c r="D1166" s="48" t="s">
        <v>177</v>
      </c>
      <c r="E1166" s="48" t="s">
        <v>170</v>
      </c>
      <c r="F1166" s="48" t="s">
        <v>222</v>
      </c>
      <c r="G1166" s="49" t="n">
        <v>148.21</v>
      </c>
      <c r="H1166" s="50" t="n">
        <f aca="false">MAX(0,IF(AND(Parameter!$B$21="Ja",ISNUMBER(Y1166)),Y1166,IF(Parameter!$B$20="Jahresanfang 2025 + Export",BO1166+BN1166,BN1166)))</f>
        <v>5</v>
      </c>
      <c r="I1166" s="50" t="n">
        <f aca="false">H1166*G1166</f>
        <v>741.05</v>
      </c>
      <c r="J1166" s="50" t="n">
        <f aca="false">BQ1166*Parameter!$B$18</f>
        <v>29</v>
      </c>
      <c r="K1166" s="51" t="n">
        <v>14.5</v>
      </c>
      <c r="L1166" s="52" t="n">
        <v>2</v>
      </c>
      <c r="M1166" s="50" t="n">
        <v>2</v>
      </c>
      <c r="N1166" s="50" t="n">
        <v>20</v>
      </c>
      <c r="O1166" s="53" t="n">
        <v>28</v>
      </c>
      <c r="P1166" s="48" t="s">
        <v>172</v>
      </c>
      <c r="Q1166" s="50"/>
      <c r="R1166" s="53" t="n">
        <f aca="false">IF(BW1166=1,0,IFERROR(VLOOKUP(BU1166,'Gebinde-Kategorie'!$A$5:$N$45,13,0)+0,0))</f>
        <v>0</v>
      </c>
      <c r="S1166" s="54"/>
      <c r="T1166" s="55"/>
      <c r="U1166" s="55"/>
      <c r="V1166" s="55"/>
      <c r="W1166" s="48" t="n">
        <v>1</v>
      </c>
      <c r="X1166" s="50" t="n">
        <v>14</v>
      </c>
      <c r="Y1166" s="50" t="n">
        <v>5</v>
      </c>
      <c r="Z1166" s="48" t="n">
        <f aca="false">IF(A1166="","",IF(AND(Parameter!$B$21="Ja",ISNUMBER(W1166)),W1166,IF(BZ1166="2+3",IF(ISNUMBER(SEARCH("grosser Artikel",BR1166)),2,IFERROR(VLOOKUP(BU1166,Parameter!$F$35:$G$64,2,0),2)),IF(OR(BZ1166="Nein",BZ1166=""),"-",BZ1166))))</f>
        <v>1</v>
      </c>
      <c r="AA1166" s="55"/>
      <c r="AB1166" s="56"/>
      <c r="AC1166" s="50" t="n">
        <f aca="false">AT1166</f>
        <v>22</v>
      </c>
      <c r="AD1166" s="50" t="n">
        <f aca="false">MAX(AT1166,H1166)</f>
        <v>22</v>
      </c>
      <c r="AE1166" s="57"/>
      <c r="AF1166" s="50" t="n">
        <f aca="false">IF(LEFT(Cockpit!$C$5,1)="A",H1166,IF(CE1166=1,CF1166,IF(LEFT(Cockpit!$C$5,1)="B",AK1166,MAX(AK1166,H1166))))</f>
        <v>5</v>
      </c>
      <c r="AG1166" s="50" t="n">
        <f aca="false">IF(BW1166=1,0,ROUNDUP(AF1166/BV1166,0))</f>
        <v>0</v>
      </c>
      <c r="AH1166" s="52" t="n">
        <f aca="false">IF(CL1166&gt;0,CL1166*MAX(1,AF1166/X1166),IF(BW1166=1,IF(AF1166&lt;=0,0,CA1166*MAX(1,IF(H1166&gt;0,AF1166/H1166,1))),IF(R1166&gt;0,AG1166/R1166,0))/MAX(0.1,N(Parameter!$M$21)))</f>
        <v>1.12052730696798</v>
      </c>
      <c r="AI1166" s="50" t="n">
        <f aca="false">AH1166*BY1166</f>
        <v>266.68549905838</v>
      </c>
      <c r="AJ1166" s="50" t="n">
        <f aca="false">AF1166*G1166</f>
        <v>741.05</v>
      </c>
      <c r="AK1166" s="50" t="n">
        <f aca="false">ROUNDUP(MAX(J1166/IF(CD1166&gt;0,CD1166,MAX(0.1,N(Cockpit!$C$6))),CG1166)/BV1166,0)*BV1166</f>
        <v>22</v>
      </c>
      <c r="AL1166" s="51" t="n">
        <f aca="false">IF(AI1166&gt;0,J1166/AI1166,-1)</f>
        <v>0.108742320457595</v>
      </c>
      <c r="AM1166" s="51" t="n">
        <f aca="false">IF(AND(OR(CC1166="L1",CC1166="L23",CC1166="LIFT"),AI1166&gt;0),SUMIFS($AI$7:$AI$1843,$CC$7:$CC$1843,CC1166,$AL$7:$AL$1843,"&gt;"&amp;AL1166)+SUMIFS($AI$7:$AI$1843,$CC$7:$CC$1843,CC1166,$AL$7:$AL$1843,AL1166,$BT$7:$BT$1843,"&lt;="&amp;BT1166),"")</f>
        <v>15295.2297008547</v>
      </c>
      <c r="AN1166" s="58" t="n">
        <f aca="false">IF(AM1166="",0,MAX(0,MIN(1,(IF(CC1166="L1",Parameter!$H$5,IF(CC1166="L23",Parameter!$H$6+Parameter!$H$7,Parameter!$H$5+Parameter!$H$6+Parameter!$H$7))-(AM1166-AI1166))/AI1166)))</f>
        <v>1</v>
      </c>
      <c r="AO1166" s="50" t="n">
        <f aca="false">IF(LEFT(Cockpit!$I$5,1)="A",H1166,IF(CE1166=1,CF1166,IF(LEFT(Cockpit!$I$5,1)="B",AT1166,MAX(AT1166,H1166))))</f>
        <v>22</v>
      </c>
      <c r="AP1166" s="50" t="n">
        <f aca="false">IF(BW1166=1,0,ROUNDUP(AO1166/BV1166,0))</f>
        <v>0</v>
      </c>
      <c r="AQ1166" s="52" t="n">
        <f aca="false">IF(CL1166&gt;0,CL1166*MAX(1,AO1166/X1166),IF(BW1166=1,IF(AO1166&lt;=0,0,CA1166*MAX(1,IF(H1166&gt;0,AO1166/H1166,1))),IF(R1166&gt;0,AP1166/R1166,0))/MAX(0.1,N(Parameter!$M$21)))</f>
        <v>1.7608286252354</v>
      </c>
      <c r="AR1166" s="50" t="n">
        <f aca="false">AQ1166*BY1166</f>
        <v>419.077212806026</v>
      </c>
      <c r="AS1166" s="50" t="n">
        <f aca="false">AO1166*G1166</f>
        <v>3260.62</v>
      </c>
      <c r="AT1166" s="50" t="n">
        <f aca="false">ROUNDUP(MAX(J1166/IF(CD1166&gt;0,CD1166,MAX(0.1,N(Cockpit!$I$6))),CG1166)/BV1166,0)*BV1166</f>
        <v>22</v>
      </c>
      <c r="AU1166" s="51" t="n">
        <f aca="false">IF(AR1166&gt;0,J1166/AR1166,-1)</f>
        <v>0.0691996584730149</v>
      </c>
      <c r="AV1166" s="51" t="n">
        <f aca="false">IF(AND(OR(CC1166="L1",CC1166="L23",CC1166="LIFT"),AR1166&gt;0),SUMIFS($AR$7:$AR$1843,$CC$7:$CC$1843,CC1166,$AU$7:$AU$1843,"&gt;"&amp;AU1166)+SUMIFS($AR$7:$AR$1843,$CC$7:$CC$1843,CC1166,$AU$7:$AU$1843,AU1166,$BT$7:$BT$1843,"&lt;="&amp;BT1166),"")</f>
        <v>27506.9154585998</v>
      </c>
      <c r="AW1166" s="58" t="n">
        <f aca="false">IF(AV1166="",0,MAX(0,MIN(1,(IF(CC1166="L1",Parameter!$H$5,IF(CC1166="L23",Parameter!$H$6+Parameter!$H$7,Parameter!$H$5+Parameter!$H$6+Parameter!$H$7))-(AV1166-AR1166))/AR1166)))</f>
        <v>1</v>
      </c>
      <c r="AX1166" s="50" t="n">
        <f aca="false">IF(LEFT(Cockpit!$O$5,1)="A",H1166,IF(CE1166=1,CF1166,IF(LEFT(Cockpit!$O$5,1)="B",BC1166,MAX(BC1166,H1166))))</f>
        <v>22</v>
      </c>
      <c r="AY1166" s="50" t="n">
        <f aca="false">IF(BW1166=1,0,ROUNDUP(AX1166/BV1166,0))</f>
        <v>0</v>
      </c>
      <c r="AZ1166" s="52" t="n">
        <f aca="false">IF(CL1166&gt;0,CL1166*MAX(1,AX1166/X1166),IF(BW1166=1,IF(AX1166&lt;=0,0,CA1166*MAX(1,IF(H1166&gt;0,AX1166/H1166,1))),IF(R1166&gt;0,AY1166/R1166,0))/MAX(0.1,N(Parameter!$M$21)))</f>
        <v>1.7608286252354</v>
      </c>
      <c r="BA1166" s="50" t="n">
        <f aca="false">AZ1166*BY1166</f>
        <v>419.077212806026</v>
      </c>
      <c r="BB1166" s="50" t="n">
        <f aca="false">AX1166*G1166</f>
        <v>3260.62</v>
      </c>
      <c r="BC1166" s="50" t="n">
        <f aca="false">ROUNDUP(MAX(J1166/IF(CD1166&gt;0,CD1166,MAX(0.1,N(Cockpit!$O$6))),CG1166)/BV1166,0)*BV1166</f>
        <v>22</v>
      </c>
      <c r="BD1166" s="51" t="n">
        <f aca="false">IF(BA1166&gt;0,J1166/BA1166,-1)</f>
        <v>0.0691996584730149</v>
      </c>
      <c r="BE1166" s="51" t="n">
        <f aca="false">IF(AND(OR(CC1166="L1",CC1166="L23",CC1166="LIFT"),BA1166&gt;0),SUMIFS($BA$7:$BA$1843,$CC$7:$CC$1843,CC1166,$BD$7:$BD$1843,"&gt;"&amp;BD1166)+SUMIFS($BA$7:$BA$1843,$CC$7:$CC$1843,CC1166,$BD$7:$BD$1843,BD1166,$BT$7:$BT$1843,"&lt;="&amp;BT1166),"")</f>
        <v>25709.4275004656</v>
      </c>
      <c r="BF1166" s="58" t="n">
        <f aca="false">IF(BE1166="",0,MAX(0,MIN(1,(IF(CC1166="L1",Parameter!$H$5,IF(CC1166="L23",Parameter!$H$6+Parameter!$H$7,Parameter!$H$5+Parameter!$H$6+Parameter!$H$7))-(BE1166-BA1166))/BA1166)))</f>
        <v>1</v>
      </c>
      <c r="BG1166" s="48" t="str">
        <f aca="false">IF(AI1166&lt;=0,"",IF(CC1166="Aussen","Aussenlager",IF(CC1166="-","Nicht im Lift",IF(AN1166&gt;=1,"Lift",IF(AN1166&lt;=0,"Aussenlager","teilweise")))))</f>
        <v>Lift</v>
      </c>
      <c r="BH1166" s="48" t="str">
        <f aca="false">IF(AR1166&lt;=0,"",IF(CC1166="Aussen","Aussenlager",IF(CC1166="-","Nicht im Lift",IF(AW1166&gt;=1,"Lift",IF(AW1166&lt;=0,"Aussenlager","teilweise")))))</f>
        <v>Lift</v>
      </c>
      <c r="BI1166" s="48" t="str">
        <f aca="false">IF(BA1166&lt;=0,"",IF(CC1166="Aussen","Aussenlager",IF(CC1166="-","Nicht im Lift",IF(BF1166&gt;=1,"Lift",IF(BF1166&lt;=0,"Aussenlager","teilweise")))))</f>
        <v>Lift</v>
      </c>
      <c r="BJ1166" s="48" t="str">
        <f aca="false">IF(A1166="","",IF(BS1166=1,"Neu; ","")&amp;IF(AND(BS1166=0,BN1166&lt;0),"negativer Bestand (Export "&amp;BN1166&amp;"); ","")&amp;IF(J1166&lt;=0,"Kein Verbrauch; ","")&amp;IF(CL1166&gt;0,"Lift "&amp;W1166&amp;" lt. Liftbericht (Fach "&amp;X1166&amp;" Stk); ",IF(BX1166=1,"Gebinde geschätzt ("&amp;T1166&amp;"); ",IF(BW1166=1,"Lose – Tablare geschätzt; ","")))&amp;IF(H1166&gt;AT1166,"Überbestand "&amp;ROUND(H1166-AT1166,0)&amp;" Stk / CHF "&amp;ROUND((H1166-AT1166)*G1166,0)&amp;"; ","")&amp;IF(AND(CE1166=1,CF1166&lt;CG1166),"MAX &lt; MB+LG; ","")&amp;IF(AND(CK1166&gt;0,CJ1166*10&gt;CK1166),"zu hoch für Tablar; ","")&amp;IF(AND(BS1166=0,OR(CE1166=1,AA1166&lt;&gt;"",U1166&lt;&gt;"",V1166&lt;&gt;"",AB1166&lt;&gt;"")),"manuell übersteuert; ","")&amp;IF(AND(BW1166=0,R1166=0),"Gebinde unbekannt / Stellmass fehlt; ","")&amp;IF(AND(BW1166=0,N(V1166)&lt;=0,N(Q1166)&lt;=0),"Menge pro Gebinde fehlt (Ist = 1 Gebinde); ","")&amp;BR1166)</f>
        <v>negativer Bestand (Export -2); Lift 1 lt. Liftbericht (Fach 14 Stk); </v>
      </c>
      <c r="BK1166" s="48"/>
      <c r="BL1166" s="48"/>
      <c r="BM1166" s="55"/>
      <c r="BN1166" s="50" t="n">
        <v>-2</v>
      </c>
      <c r="BO1166" s="50" t="n">
        <v>9</v>
      </c>
      <c r="BP1166" s="49" t="n">
        <v>-343.76</v>
      </c>
      <c r="BQ1166" s="50" t="n">
        <v>29</v>
      </c>
      <c r="BR1166" s="48"/>
      <c r="BS1166" s="53" t="n">
        <v>0</v>
      </c>
      <c r="BT1166" s="53" t="n">
        <v>1166</v>
      </c>
      <c r="BU1166" s="48" t="str">
        <f aca="false">IF(U1166&lt;&gt;"",UPPER(TRIM(U1166)),IF(BX1166=1,UPPER(VLOOKUP(T1166,Parameter!$I$27:$K$29,2,0)),IF(P1166="","LOSE",P1166)))</f>
        <v>LOSE</v>
      </c>
      <c r="BV1166" s="50" t="n">
        <f aca="false">IF(BU1166="LOSE",1,IF(N(V1166)&gt;0,V1166,IF(BX1166=1,MAX(1,N(VLOOKUP(T1166,Parameter!$I$27:$K$29,3,0)),H1166,N(N1166)),IF(N(Q1166)&gt;0,Q1166,MAX(1,H1166)))))</f>
        <v>1</v>
      </c>
      <c r="BW1166" s="53" t="n">
        <f aca="false">IF(BU1166="LOSE",1,0)</f>
        <v>1</v>
      </c>
      <c r="BX1166" s="53" t="n">
        <f aca="false">IF(AND(U1166="",OR(P1166="",P1166="LOSE"),T1166&lt;&gt;"",N(S1166)&lt;=0,ISNUMBER(MATCH(T1166,Parameter!$I$27:$I$29,0))),1,0)</f>
        <v>0</v>
      </c>
      <c r="BY1166" s="53" t="n">
        <f aca="false">IF(CL1166&gt;0,INDEX(Parameter!$H$5:$H$7,W1166)/INDEX(Parameter!$E$5:$E$7,W1166),IF(AND(BW1166=0,N(IFERROR(VLOOKUP(BU1166,'Gebinde-Kategorie'!$A$5:$N$45,14,0),0))&gt;0),VLOOKUP(BU1166,'Gebinde-Kategorie'!$A$5:$N$45,14,0)*10+Parameter!$M$23,Parameter!$M$24))</f>
        <v>238</v>
      </c>
      <c r="BZ1166" s="48" t="n">
        <f aca="false">IF(AND(Parameter!$B$19="Ja",E1166&lt;&gt;"",ISNUMBER(MATCH(E1166,Parameter!$I$35:$I$52,0))),VLOOKUP(E1166,Parameter!$I$35:$J$52,2,0),IFERROR(VLOOKUP(D1166,Parameter!$A$35:$C$64,2,0),"Nein"))</f>
        <v>1</v>
      </c>
      <c r="CA1166" s="52" t="n">
        <f aca="false">IF(BW1166=0,0,IF(N(S1166)&gt;0,S1166,IFERROR(VLOOKUP(D1166,Parameter!$A$35:$C$64,3,0)+0,0)))</f>
        <v>0.15</v>
      </c>
      <c r="CB1166" s="48" t="n">
        <f aca="false">IF(AA1166&lt;&gt;"",AA1166,Z1166)</f>
        <v>1</v>
      </c>
      <c r="CC1166" s="48" t="str">
        <f aca="false">IF(OR(CB1166=1,CB1166=2,CB1166=3),IF(Parameter!$E$27="Ja","LIFT",IF(CB1166=1,"L1","L23")),IF(CB1166="Aussen","Aussen","-"))</f>
        <v>LIFT</v>
      </c>
      <c r="CD1166" s="59" t="n">
        <f aca="false">IF(N(AB1166)&gt;0,AB1166,0)</f>
        <v>0</v>
      </c>
      <c r="CE1166" s="53" t="n">
        <f aca="false">IF(ISNUMBER(AE1166),1,0)</f>
        <v>0</v>
      </c>
      <c r="CF1166" s="50" t="n">
        <f aca="false">N(AE1166)</f>
        <v>0</v>
      </c>
      <c r="CG1166" s="50" t="n">
        <f aca="false">N(M1166)+N(N1166)</f>
        <v>22</v>
      </c>
      <c r="CH1166" s="50" t="n">
        <f aca="false">ROUNDUP(H1166/BV1166,0)</f>
        <v>5</v>
      </c>
      <c r="CI1166" s="50" t="n">
        <f aca="false">ROUNDUP(CF1166/BV1166,0)</f>
        <v>0</v>
      </c>
      <c r="CJ1166" s="53" t="n">
        <f aca="false">IF(BW1166=1,0,IFERROR(VLOOKUP(BU1166,'Gebinde-Kategorie'!$A$5:$N$45,5,0)+0,0))</f>
        <v>0</v>
      </c>
      <c r="CK1166" s="53" t="n">
        <f aca="false">IFERROR(IF(OR(CB1166=1,CB1166=2,CB1166=3),N(INDEX(Parameter!$I$5:$I$7,CB1166)),0),0)</f>
        <v>0</v>
      </c>
      <c r="CL1166" s="52" t="n">
        <f aca="false">IF(AND(Parameter!$B$21="Ja",ISNUMBER(W1166),N(X1166)&gt;0),IFERROR(N(INDEX(Parameter!$L$5:$L$7,W1166))*INDEX(Parameter!$E$5:$E$7,W1166)*X1166/SUMIFS($X$7:$X$1843,$W$7:$W$1843,W1166),0),0)</f>
        <v>1.12052730696798</v>
      </c>
    </row>
    <row r="1167" customFormat="false" ht="15" hidden="false" customHeight="false" outlineLevel="0" collapsed="false">
      <c r="A1167" s="48" t="s">
        <v>2106</v>
      </c>
      <c r="B1167" s="48" t="s">
        <v>439</v>
      </c>
      <c r="C1167" s="48" t="s">
        <v>168</v>
      </c>
      <c r="D1167" s="48" t="s">
        <v>188</v>
      </c>
      <c r="E1167" s="48" t="s">
        <v>189</v>
      </c>
      <c r="F1167" s="48" t="s">
        <v>222</v>
      </c>
      <c r="G1167" s="49" t="n">
        <v>43.31</v>
      </c>
      <c r="H1167" s="50" t="n">
        <f aca="false">MAX(0,IF(AND(Parameter!$B$21="Ja",ISNUMBER(Y1167)),Y1167,IF(Parameter!$B$20="Jahresanfang 2025 + Export",BO1167+BN1167,BN1167)))</f>
        <v>23</v>
      </c>
      <c r="I1167" s="50" t="n">
        <f aca="false">H1167*G1167</f>
        <v>996.13</v>
      </c>
      <c r="J1167" s="50" t="n">
        <f aca="false">BQ1167*Parameter!$B$18</f>
        <v>8</v>
      </c>
      <c r="K1167" s="51" t="n">
        <v>27</v>
      </c>
      <c r="L1167" s="52" t="n">
        <v>0.296296296296296</v>
      </c>
      <c r="M1167" s="50" t="n">
        <v>0</v>
      </c>
      <c r="N1167" s="50" t="n">
        <v>10</v>
      </c>
      <c r="O1167" s="53" t="n">
        <v>14</v>
      </c>
      <c r="P1167" s="48" t="s">
        <v>332</v>
      </c>
      <c r="Q1167" s="50" t="n">
        <v>25</v>
      </c>
      <c r="R1167" s="53" t="n">
        <f aca="false">IF(BW1167=1,0,IFERROR(VLOOKUP(BU1167,'Gebinde-Kategorie'!$A$5:$N$45,13,0)+0,0))</f>
        <v>52</v>
      </c>
      <c r="S1167" s="54"/>
      <c r="T1167" s="55"/>
      <c r="U1167" s="55"/>
      <c r="V1167" s="55"/>
      <c r="W1167" s="48"/>
      <c r="X1167" s="50"/>
      <c r="Y1167" s="50"/>
      <c r="Z1167" s="48" t="n">
        <f aca="false">IF(A1167="","",IF(AND(Parameter!$B$21="Ja",ISNUMBER(W1167)),W1167,IF(BZ1167="2+3",IF(ISNUMBER(SEARCH("grosser Artikel",BR1167)),2,IFERROR(VLOOKUP(BU1167,Parameter!$F$35:$G$64,2,0),2)),IF(OR(BZ1167="Nein",BZ1167=""),"-",BZ1167))))</f>
        <v>3</v>
      </c>
      <c r="AA1167" s="55"/>
      <c r="AB1167" s="56"/>
      <c r="AC1167" s="50" t="n">
        <f aca="false">AT1167</f>
        <v>25</v>
      </c>
      <c r="AD1167" s="50" t="n">
        <f aca="false">MAX(AT1167,H1167)</f>
        <v>25</v>
      </c>
      <c r="AE1167" s="57"/>
      <c r="AF1167" s="50" t="n">
        <f aca="false">IF(LEFT(Cockpit!$C$5,1)="A",H1167,IF(CE1167=1,CF1167,IF(LEFT(Cockpit!$C$5,1)="B",AK1167,MAX(AK1167,H1167))))</f>
        <v>23</v>
      </c>
      <c r="AG1167" s="50" t="n">
        <f aca="false">IF(BW1167=1,0,ROUNDUP(AF1167/BV1167,0))</f>
        <v>1</v>
      </c>
      <c r="AH1167" s="52" t="n">
        <f aca="false">IF(CL1167&gt;0,CL1167*MAX(1,AF1167/X1167),IF(BW1167=1,IF(AF1167&lt;=0,0,CA1167*MAX(1,IF(H1167&gt;0,AF1167/H1167,1))),IF(R1167&gt;0,AG1167/R1167,0))/MAX(0.1,N(Parameter!$M$21)))</f>
        <v>0.0192307692307692</v>
      </c>
      <c r="AI1167" s="50" t="n">
        <f aca="false">AH1167*BY1167</f>
        <v>2.98076923076923</v>
      </c>
      <c r="AJ1167" s="50" t="n">
        <f aca="false">AF1167*G1167</f>
        <v>996.13</v>
      </c>
      <c r="AK1167" s="50" t="n">
        <f aca="false">ROUNDUP(MAX(J1167/IF(CD1167&gt;0,CD1167,MAX(0.1,N(Cockpit!$C$6))),CG1167)/BV1167,0)*BV1167</f>
        <v>25</v>
      </c>
      <c r="AL1167" s="51" t="n">
        <f aca="false">IF(AI1167&gt;0,J1167/AI1167,-1)</f>
        <v>2.68387096774194</v>
      </c>
      <c r="AM1167" s="51" t="n">
        <f aca="false">IF(AND(OR(CC1167="L1",CC1167="L23",CC1167="LIFT"),AI1167&gt;0),SUMIFS($AI$7:$AI$1843,$CC$7:$CC$1843,CC1167,$AL$7:$AL$1843,"&gt;"&amp;AL1167)+SUMIFS($AI$7:$AI$1843,$CC$7:$CC$1843,CC1167,$AL$7:$AL$1843,AL1167,$BT$7:$BT$1843,"&lt;="&amp;BT1167),"")</f>
        <v>5348.79441391941</v>
      </c>
      <c r="AN1167" s="58" t="n">
        <f aca="false">IF(AM1167="",0,MAX(0,MIN(1,(IF(CC1167="L1",Parameter!$H$5,IF(CC1167="L23",Parameter!$H$6+Parameter!$H$7,Parameter!$H$5+Parameter!$H$6+Parameter!$H$7))-(AM1167-AI1167))/AI1167)))</f>
        <v>1</v>
      </c>
      <c r="AO1167" s="50" t="n">
        <f aca="false">IF(LEFT(Cockpit!$I$5,1)="A",H1167,IF(CE1167=1,CF1167,IF(LEFT(Cockpit!$I$5,1)="B",AT1167,MAX(AT1167,H1167))))</f>
        <v>25</v>
      </c>
      <c r="AP1167" s="50" t="n">
        <f aca="false">IF(BW1167=1,0,ROUNDUP(AO1167/BV1167,0))</f>
        <v>1</v>
      </c>
      <c r="AQ1167" s="52" t="n">
        <f aca="false">IF(CL1167&gt;0,CL1167*MAX(1,AO1167/X1167),IF(BW1167=1,IF(AO1167&lt;=0,0,CA1167*MAX(1,IF(H1167&gt;0,AO1167/H1167,1))),IF(R1167&gt;0,AP1167/R1167,0))/MAX(0.1,N(Parameter!$M$21)))</f>
        <v>0.0192307692307692</v>
      </c>
      <c r="AR1167" s="50" t="n">
        <f aca="false">AQ1167*BY1167</f>
        <v>2.98076923076923</v>
      </c>
      <c r="AS1167" s="50" t="n">
        <f aca="false">AO1167*G1167</f>
        <v>1082.75</v>
      </c>
      <c r="AT1167" s="50" t="n">
        <f aca="false">ROUNDUP(MAX(J1167/IF(CD1167&gt;0,CD1167,MAX(0.1,N(Cockpit!$I$6))),CG1167)/BV1167,0)*BV1167</f>
        <v>25</v>
      </c>
      <c r="AU1167" s="51" t="n">
        <f aca="false">IF(AR1167&gt;0,J1167/AR1167,-1)</f>
        <v>2.68387096774194</v>
      </c>
      <c r="AV1167" s="51" t="n">
        <f aca="false">IF(AND(OR(CC1167="L1",CC1167="L23",CC1167="LIFT"),AR1167&gt;0),SUMIFS($AR$7:$AR$1843,$CC$7:$CC$1843,CC1167,$AU$7:$AU$1843,"&gt;"&amp;AU1167)+SUMIFS($AR$7:$AR$1843,$CC$7:$CC$1843,CC1167,$AU$7:$AU$1843,AU1167,$BT$7:$BT$1843,"&lt;="&amp;BT1167),"")</f>
        <v>6727.01236263736</v>
      </c>
      <c r="AW1167" s="58" t="n">
        <f aca="false">IF(AV1167="",0,MAX(0,MIN(1,(IF(CC1167="L1",Parameter!$H$5,IF(CC1167="L23",Parameter!$H$6+Parameter!$H$7,Parameter!$H$5+Parameter!$H$6+Parameter!$H$7))-(AV1167-AR1167))/AR1167)))</f>
        <v>1</v>
      </c>
      <c r="AX1167" s="50" t="n">
        <f aca="false">IF(LEFT(Cockpit!$O$5,1)="A",H1167,IF(CE1167=1,CF1167,IF(LEFT(Cockpit!$O$5,1)="B",BC1167,MAX(BC1167,H1167))))</f>
        <v>25</v>
      </c>
      <c r="AY1167" s="50" t="n">
        <f aca="false">IF(BW1167=1,0,ROUNDUP(AX1167/BV1167,0))</f>
        <v>1</v>
      </c>
      <c r="AZ1167" s="52" t="n">
        <f aca="false">IF(CL1167&gt;0,CL1167*MAX(1,AX1167/X1167),IF(BW1167=1,IF(AX1167&lt;=0,0,CA1167*MAX(1,IF(H1167&gt;0,AX1167/H1167,1))),IF(R1167&gt;0,AY1167/R1167,0))/MAX(0.1,N(Parameter!$M$21)))</f>
        <v>0.0192307692307692</v>
      </c>
      <c r="BA1167" s="50" t="n">
        <f aca="false">AZ1167*BY1167</f>
        <v>2.98076923076923</v>
      </c>
      <c r="BB1167" s="50" t="n">
        <f aca="false">AX1167*G1167</f>
        <v>1082.75</v>
      </c>
      <c r="BC1167" s="50" t="n">
        <f aca="false">ROUNDUP(MAX(J1167/IF(CD1167&gt;0,CD1167,MAX(0.1,N(Cockpit!$O$6))),CG1167)/BV1167,0)*BV1167</f>
        <v>25</v>
      </c>
      <c r="BD1167" s="51" t="n">
        <f aca="false">IF(BA1167&gt;0,J1167/BA1167,-1)</f>
        <v>2.68387096774194</v>
      </c>
      <c r="BE1167" s="51" t="n">
        <f aca="false">IF(AND(OR(CC1167="L1",CC1167="L23",CC1167="LIFT"),BA1167&gt;0),SUMIFS($BA$7:$BA$1843,$CC$7:$CC$1843,CC1167,$BD$7:$BD$1843,"&gt;"&amp;BD1167)+SUMIFS($BA$7:$BA$1843,$CC$7:$CC$1843,CC1167,$BD$7:$BD$1843,BD1167,$BT$7:$BT$1843,"&lt;="&amp;BT1167),"")</f>
        <v>6510.16941391941</v>
      </c>
      <c r="BF1167" s="58" t="n">
        <f aca="false">IF(BE1167="",0,MAX(0,MIN(1,(IF(CC1167="L1",Parameter!$H$5,IF(CC1167="L23",Parameter!$H$6+Parameter!$H$7,Parameter!$H$5+Parameter!$H$6+Parameter!$H$7))-(BE1167-BA1167))/BA1167)))</f>
        <v>1</v>
      </c>
      <c r="BG1167" s="48" t="str">
        <f aca="false">IF(AI1167&lt;=0,"",IF(CC1167="Aussen","Aussenlager",IF(CC1167="-","Nicht im Lift",IF(AN1167&gt;=1,"Lift",IF(AN1167&lt;=0,"Aussenlager","teilweise")))))</f>
        <v>Lift</v>
      </c>
      <c r="BH1167" s="48" t="str">
        <f aca="false">IF(AR1167&lt;=0,"",IF(CC1167="Aussen","Aussenlager",IF(CC1167="-","Nicht im Lift",IF(AW1167&gt;=1,"Lift",IF(AW1167&lt;=0,"Aussenlager","teilweise")))))</f>
        <v>Lift</v>
      </c>
      <c r="BI1167" s="48" t="str">
        <f aca="false">IF(BA1167&lt;=0,"",IF(CC1167="Aussen","Aussenlager",IF(CC1167="-","Nicht im Lift",IF(BF1167&gt;=1,"Lift",IF(BF1167&lt;=0,"Aussenlager","teilweise")))))</f>
        <v>Lift</v>
      </c>
      <c r="BJ1167" s="48" t="str">
        <f aca="false">IF(A1167="","",IF(BS1167=1,"Neu; ","")&amp;IF(AND(BS1167=0,BN1167&lt;0),"negativer Bestand (Export "&amp;BN1167&amp;"); ","")&amp;IF(J1167&lt;=0,"Kein Verbrauch; ","")&amp;IF(CL1167&gt;0,"Lift "&amp;W1167&amp;" lt. Liftbericht (Fach "&amp;X1167&amp;" Stk); ",IF(BX1167=1,"Gebinde geschätzt ("&amp;T1167&amp;"); ",IF(BW1167=1,"Lose – Tablare geschätzt; ","")))&amp;IF(H1167&gt;AT1167,"Überbestand "&amp;ROUND(H1167-AT1167,0)&amp;" Stk / CHF "&amp;ROUND((H1167-AT1167)*G1167,0)&amp;"; ","")&amp;IF(AND(CE1167=1,CF1167&lt;CG1167),"MAX &lt; MB+LG; ","")&amp;IF(AND(CK1167&gt;0,CJ1167*10&gt;CK1167),"zu hoch für Tablar; ","")&amp;IF(AND(BS1167=0,OR(CE1167=1,AA1167&lt;&gt;"",U1167&lt;&gt;"",V1167&lt;&gt;"",AB1167&lt;&gt;"")),"manuell übersteuert; ","")&amp;IF(AND(BW1167=0,R1167=0),"Gebinde unbekannt / Stellmass fehlt; ","")&amp;IF(AND(BW1167=0,N(V1167)&lt;=0,N(Q1167)&lt;=0),"Menge pro Gebinde fehlt (Ist = 1 Gebinde); ","")&amp;BR1167)</f>
        <v>negativer Bestand (Export -8); </v>
      </c>
      <c r="BK1167" s="48"/>
      <c r="BL1167" s="48"/>
      <c r="BM1167" s="55"/>
      <c r="BN1167" s="50" t="n">
        <v>-8</v>
      </c>
      <c r="BO1167" s="50" t="n">
        <v>31</v>
      </c>
      <c r="BP1167" s="49" t="n">
        <v>-346.48</v>
      </c>
      <c r="BQ1167" s="50" t="n">
        <v>8</v>
      </c>
      <c r="BR1167" s="48"/>
      <c r="BS1167" s="53" t="n">
        <v>0</v>
      </c>
      <c r="BT1167" s="53" t="n">
        <v>1167</v>
      </c>
      <c r="BU1167" s="48" t="str">
        <f aca="false">IF(U1167&lt;&gt;"",UPPER(TRIM(U1167)),IF(BX1167=1,UPPER(VLOOKUP(T1167,Parameter!$I$27:$K$29,2,0)),IF(P1167="","LOSE",P1167)))</f>
        <v>S41</v>
      </c>
      <c r="BV1167" s="50" t="n">
        <f aca="false">IF(BU1167="LOSE",1,IF(N(V1167)&gt;0,V1167,IF(BX1167=1,MAX(1,N(VLOOKUP(T1167,Parameter!$I$27:$K$29,3,0)),H1167,N(N1167)),IF(N(Q1167)&gt;0,Q1167,MAX(1,H1167)))))</f>
        <v>25</v>
      </c>
      <c r="BW1167" s="53" t="n">
        <f aca="false">IF(BU1167="LOSE",1,0)</f>
        <v>0</v>
      </c>
      <c r="BX1167" s="53" t="n">
        <f aca="false">IF(AND(U1167="",OR(P1167="",P1167="LOSE"),T1167&lt;&gt;"",N(S1167)&lt;=0,ISNUMBER(MATCH(T1167,Parameter!$I$27:$I$29,0))),1,0)</f>
        <v>0</v>
      </c>
      <c r="BY1167" s="53" t="n">
        <f aca="false">IF(CL1167&gt;0,INDEX(Parameter!$H$5:$H$7,W1167)/INDEX(Parameter!$E$5:$E$7,W1167),IF(AND(BW1167=0,N(IFERROR(VLOOKUP(BU1167,'Gebinde-Kategorie'!$A$5:$N$45,14,0),0))&gt;0),VLOOKUP(BU1167,'Gebinde-Kategorie'!$A$5:$N$45,14,0)*10+Parameter!$M$23,Parameter!$M$24))</f>
        <v>155</v>
      </c>
      <c r="BZ1167" s="48" t="str">
        <f aca="false">IF(AND(Parameter!$B$19="Ja",E1167&lt;&gt;"",ISNUMBER(MATCH(E1167,Parameter!$I$35:$I$52,0))),VLOOKUP(E1167,Parameter!$I$35:$J$52,2,0),IFERROR(VLOOKUP(D1167,Parameter!$A$35:$C$64,2,0),"Nein"))</f>
        <v>2+3</v>
      </c>
      <c r="CA1167" s="52" t="n">
        <f aca="false">IF(BW1167=0,0,IF(N(S1167)&gt;0,S1167,IFERROR(VLOOKUP(D1167,Parameter!$A$35:$C$64,3,0)+0,0)))</f>
        <v>0</v>
      </c>
      <c r="CB1167" s="48" t="n">
        <f aca="false">IF(AA1167&lt;&gt;"",AA1167,Z1167)</f>
        <v>3</v>
      </c>
      <c r="CC1167" s="48" t="str">
        <f aca="false">IF(OR(CB1167=1,CB1167=2,CB1167=3),IF(Parameter!$E$27="Ja","LIFT",IF(CB1167=1,"L1","L23")),IF(CB1167="Aussen","Aussen","-"))</f>
        <v>LIFT</v>
      </c>
      <c r="CD1167" s="59" t="n">
        <f aca="false">IF(N(AB1167)&gt;0,AB1167,0)</f>
        <v>0</v>
      </c>
      <c r="CE1167" s="53" t="n">
        <f aca="false">IF(ISNUMBER(AE1167),1,0)</f>
        <v>0</v>
      </c>
      <c r="CF1167" s="50" t="n">
        <f aca="false">N(AE1167)</f>
        <v>0</v>
      </c>
      <c r="CG1167" s="50" t="n">
        <f aca="false">N(M1167)+N(N1167)</f>
        <v>10</v>
      </c>
      <c r="CH1167" s="50" t="n">
        <f aca="false">ROUNDUP(H1167/BV1167,0)</f>
        <v>1</v>
      </c>
      <c r="CI1167" s="50" t="n">
        <f aca="false">ROUNDUP(CF1167/BV1167,0)</f>
        <v>0</v>
      </c>
      <c r="CJ1167" s="53" t="n">
        <f aca="false">IF(BW1167=1,0,IFERROR(VLOOKUP(BU1167,'Gebinde-Kategorie'!$A$5:$N$45,5,0)+0,0))</f>
        <v>11</v>
      </c>
      <c r="CK1167" s="53" t="n">
        <f aca="false">IFERROR(IF(OR(CB1167=1,CB1167=2,CB1167=3),N(INDEX(Parameter!$I$5:$I$7,CB1167)),0),0)</f>
        <v>0</v>
      </c>
      <c r="CL1167" s="52" t="n">
        <f aca="false">IF(AND(Parameter!$B$21="Ja",ISNUMBER(W1167),N(X1167)&gt;0),IFERROR(N(INDEX(Parameter!$L$5:$L$7,W1167))*INDEX(Parameter!$E$5:$E$7,W1167)*X1167/SUMIFS($X$7:$X$1843,$W$7:$W$1843,W1167),0),0)</f>
        <v>0</v>
      </c>
    </row>
    <row r="1168" customFormat="false" ht="15" hidden="false" customHeight="false" outlineLevel="0" collapsed="false">
      <c r="A1168" s="48" t="s">
        <v>2107</v>
      </c>
      <c r="B1168" s="48" t="s">
        <v>2108</v>
      </c>
      <c r="C1168" s="48" t="s">
        <v>168</v>
      </c>
      <c r="D1168" s="48" t="s">
        <v>188</v>
      </c>
      <c r="E1168" s="48" t="s">
        <v>189</v>
      </c>
      <c r="F1168" s="48" t="s">
        <v>222</v>
      </c>
      <c r="G1168" s="49" t="n">
        <v>116.46</v>
      </c>
      <c r="H1168" s="50" t="n">
        <f aca="false">MAX(0,IF(AND(Parameter!$B$21="Ja",ISNUMBER(Y1168)),Y1168,IF(Parameter!$B$20="Jahresanfang 2025 + Export",BO1168+BN1168,BN1168)))</f>
        <v>46</v>
      </c>
      <c r="I1168" s="50" t="n">
        <f aca="false">H1168*G1168</f>
        <v>5357.16</v>
      </c>
      <c r="J1168" s="50" t="n">
        <f aca="false">BQ1168*Parameter!$B$18</f>
        <v>3</v>
      </c>
      <c r="K1168" s="51" t="n">
        <v>48.5</v>
      </c>
      <c r="L1168" s="52" t="n">
        <v>0.0618556701030928</v>
      </c>
      <c r="M1168" s="50" t="n">
        <v>0</v>
      </c>
      <c r="N1168" s="50" t="n">
        <v>5</v>
      </c>
      <c r="O1168" s="53" t="n">
        <v>28</v>
      </c>
      <c r="P1168" s="48" t="s">
        <v>230</v>
      </c>
      <c r="Q1168" s="50" t="n">
        <v>50</v>
      </c>
      <c r="R1168" s="53" t="n">
        <f aca="false">IF(BW1168=1,0,IFERROR(VLOOKUP(BU1168,'Gebinde-Kategorie'!$A$5:$N$45,13,0)+0,0))</f>
        <v>12</v>
      </c>
      <c r="S1168" s="54"/>
      <c r="T1168" s="55"/>
      <c r="U1168" s="55"/>
      <c r="V1168" s="55"/>
      <c r="W1168" s="48"/>
      <c r="X1168" s="50"/>
      <c r="Y1168" s="50"/>
      <c r="Z1168" s="48" t="n">
        <f aca="false">IF(A1168="","",IF(AND(Parameter!$B$21="Ja",ISNUMBER(W1168)),W1168,IF(BZ1168="2+3",IF(ISNUMBER(SEARCH("grosser Artikel",BR1168)),2,IFERROR(VLOOKUP(BU1168,Parameter!$F$35:$G$64,2,0),2)),IF(OR(BZ1168="Nein",BZ1168=""),"-",BZ1168))))</f>
        <v>2</v>
      </c>
      <c r="AA1168" s="55"/>
      <c r="AB1168" s="56"/>
      <c r="AC1168" s="50" t="n">
        <f aca="false">AT1168</f>
        <v>50</v>
      </c>
      <c r="AD1168" s="50" t="n">
        <f aca="false">MAX(AT1168,H1168)</f>
        <v>50</v>
      </c>
      <c r="AE1168" s="57"/>
      <c r="AF1168" s="50" t="n">
        <f aca="false">IF(LEFT(Cockpit!$C$5,1)="A",H1168,IF(CE1168=1,CF1168,IF(LEFT(Cockpit!$C$5,1)="B",AK1168,MAX(AK1168,H1168))))</f>
        <v>46</v>
      </c>
      <c r="AG1168" s="50" t="n">
        <f aca="false">IF(BW1168=1,0,ROUNDUP(AF1168/BV1168,0))</f>
        <v>1</v>
      </c>
      <c r="AH1168" s="52" t="n">
        <f aca="false">IF(CL1168&gt;0,CL1168*MAX(1,AF1168/X1168),IF(BW1168=1,IF(AF1168&lt;=0,0,CA1168*MAX(1,IF(H1168&gt;0,AF1168/H1168,1))),IF(R1168&gt;0,AG1168/R1168,0))/MAX(0.1,N(Parameter!$M$21)))</f>
        <v>0.0833333333333333</v>
      </c>
      <c r="AI1168" s="50" t="n">
        <f aca="false">AH1168*BY1168</f>
        <v>28.75</v>
      </c>
      <c r="AJ1168" s="50" t="n">
        <f aca="false">AF1168*G1168</f>
        <v>5357.16</v>
      </c>
      <c r="AK1168" s="50" t="n">
        <f aca="false">ROUNDUP(MAX(J1168/IF(CD1168&gt;0,CD1168,MAX(0.1,N(Cockpit!$C$6))),CG1168)/BV1168,0)*BV1168</f>
        <v>50</v>
      </c>
      <c r="AL1168" s="51" t="n">
        <f aca="false">IF(AI1168&gt;0,J1168/AI1168,-1)</f>
        <v>0.104347826086957</v>
      </c>
      <c r="AM1168" s="51" t="n">
        <f aca="false">IF(AND(OR(CC1168="L1",CC1168="L23",CC1168="LIFT"),AI1168&gt;0),SUMIFS($AI$7:$AI$1843,$CC$7:$CC$1843,CC1168,$AL$7:$AL$1843,"&gt;"&amp;AL1168)+SUMIFS($AI$7:$AI$1843,$CC$7:$CC$1843,CC1168,$AL$7:$AL$1843,AL1168,$BT$7:$BT$1843,"&lt;="&amp;BT1168),"")</f>
        <v>15618.9344306823</v>
      </c>
      <c r="AN1168" s="58" t="n">
        <f aca="false">IF(AM1168="",0,MAX(0,MIN(1,(IF(CC1168="L1",Parameter!$H$5,IF(CC1168="L23",Parameter!$H$6+Parameter!$H$7,Parameter!$H$5+Parameter!$H$6+Parameter!$H$7))-(AM1168-AI1168))/AI1168)))</f>
        <v>1</v>
      </c>
      <c r="AO1168" s="50" t="n">
        <f aca="false">IF(LEFT(Cockpit!$I$5,1)="A",H1168,IF(CE1168=1,CF1168,IF(LEFT(Cockpit!$I$5,1)="B",AT1168,MAX(AT1168,H1168))))</f>
        <v>50</v>
      </c>
      <c r="AP1168" s="50" t="n">
        <f aca="false">IF(BW1168=1,0,ROUNDUP(AO1168/BV1168,0))</f>
        <v>1</v>
      </c>
      <c r="AQ1168" s="52" t="n">
        <f aca="false">IF(CL1168&gt;0,CL1168*MAX(1,AO1168/X1168),IF(BW1168=1,IF(AO1168&lt;=0,0,CA1168*MAX(1,IF(H1168&gt;0,AO1168/H1168,1))),IF(R1168&gt;0,AP1168/R1168,0))/MAX(0.1,N(Parameter!$M$21)))</f>
        <v>0.0833333333333333</v>
      </c>
      <c r="AR1168" s="50" t="n">
        <f aca="false">AQ1168*BY1168</f>
        <v>28.75</v>
      </c>
      <c r="AS1168" s="50" t="n">
        <f aca="false">AO1168*G1168</f>
        <v>5823</v>
      </c>
      <c r="AT1168" s="50" t="n">
        <f aca="false">ROUNDUP(MAX(J1168/IF(CD1168&gt;0,CD1168,MAX(0.1,N(Cockpit!$I$6))),CG1168)/BV1168,0)*BV1168</f>
        <v>50</v>
      </c>
      <c r="AU1168" s="51" t="n">
        <f aca="false">IF(AR1168&gt;0,J1168/AR1168,-1)</f>
        <v>0.104347826086957</v>
      </c>
      <c r="AV1168" s="51" t="n">
        <f aca="false">IF(AND(OR(CC1168="L1",CC1168="L23",CC1168="LIFT"),AR1168&gt;0),SUMIFS($AR$7:$AR$1843,$CC$7:$CC$1843,CC1168,$AU$7:$AU$1843,"&gt;"&amp;AU1168)+SUMIFS($AR$7:$AR$1843,$CC$7:$CC$1843,CC1168,$AU$7:$AU$1843,AU1168,$BT$7:$BT$1843,"&lt;="&amp;BT1168),"")</f>
        <v>21301.7504940916</v>
      </c>
      <c r="AW1168" s="58" t="n">
        <f aca="false">IF(AV1168="",0,MAX(0,MIN(1,(IF(CC1168="L1",Parameter!$H$5,IF(CC1168="L23",Parameter!$H$6+Parameter!$H$7,Parameter!$H$5+Parameter!$H$6+Parameter!$H$7))-(AV1168-AR1168))/AR1168)))</f>
        <v>1</v>
      </c>
      <c r="AX1168" s="50" t="n">
        <f aca="false">IF(LEFT(Cockpit!$O$5,1)="A",H1168,IF(CE1168=1,CF1168,IF(LEFT(Cockpit!$O$5,1)="B",BC1168,MAX(BC1168,H1168))))</f>
        <v>50</v>
      </c>
      <c r="AY1168" s="50" t="n">
        <f aca="false">IF(BW1168=1,0,ROUNDUP(AX1168/BV1168,0))</f>
        <v>1</v>
      </c>
      <c r="AZ1168" s="52" t="n">
        <f aca="false">IF(CL1168&gt;0,CL1168*MAX(1,AX1168/X1168),IF(BW1168=1,IF(AX1168&lt;=0,0,CA1168*MAX(1,IF(H1168&gt;0,AX1168/H1168,1))),IF(R1168&gt;0,AY1168/R1168,0))/MAX(0.1,N(Parameter!$M$21)))</f>
        <v>0.0833333333333333</v>
      </c>
      <c r="BA1168" s="50" t="n">
        <f aca="false">AZ1168*BY1168</f>
        <v>28.75</v>
      </c>
      <c r="BB1168" s="50" t="n">
        <f aca="false">AX1168*G1168</f>
        <v>5823</v>
      </c>
      <c r="BC1168" s="50" t="n">
        <f aca="false">ROUNDUP(MAX(J1168/IF(CD1168&gt;0,CD1168,MAX(0.1,N(Cockpit!$O$6))),CG1168)/BV1168,0)*BV1168</f>
        <v>50</v>
      </c>
      <c r="BD1168" s="51" t="n">
        <f aca="false">IF(BA1168&gt;0,J1168/BA1168,-1)</f>
        <v>0.104347826086957</v>
      </c>
      <c r="BE1168" s="51" t="n">
        <f aca="false">IF(AND(OR(CC1168="L1",CC1168="L23",CC1168="LIFT"),BA1168&gt;0),SUMIFS($BA$7:$BA$1843,$CC$7:$CC$1843,CC1168,$BD$7:$BD$1843,"&gt;"&amp;BD1168)+SUMIFS($BA$7:$BA$1843,$CC$7:$CC$1843,CC1168,$BD$7:$BD$1843,BD1168,$BT$7:$BT$1843,"&lt;="&amp;BT1168),"")</f>
        <v>21294.6768485752</v>
      </c>
      <c r="BF1168" s="58" t="n">
        <f aca="false">IF(BE1168="",0,MAX(0,MIN(1,(IF(CC1168="L1",Parameter!$H$5,IF(CC1168="L23",Parameter!$H$6+Parameter!$H$7,Parameter!$H$5+Parameter!$H$6+Parameter!$H$7))-(BE1168-BA1168))/BA1168)))</f>
        <v>1</v>
      </c>
      <c r="BG1168" s="48" t="str">
        <f aca="false">IF(AI1168&lt;=0,"",IF(CC1168="Aussen","Aussenlager",IF(CC1168="-","Nicht im Lift",IF(AN1168&gt;=1,"Lift",IF(AN1168&lt;=0,"Aussenlager","teilweise")))))</f>
        <v>Lift</v>
      </c>
      <c r="BH1168" s="48" t="str">
        <f aca="false">IF(AR1168&lt;=0,"",IF(CC1168="Aussen","Aussenlager",IF(CC1168="-","Nicht im Lift",IF(AW1168&gt;=1,"Lift",IF(AW1168&lt;=0,"Aussenlager","teilweise")))))</f>
        <v>Lift</v>
      </c>
      <c r="BI1168" s="48" t="str">
        <f aca="false">IF(BA1168&lt;=0,"",IF(CC1168="Aussen","Aussenlager",IF(CC1168="-","Nicht im Lift",IF(BF1168&gt;=1,"Lift",IF(BF1168&lt;=0,"Aussenlager","teilweise")))))</f>
        <v>Lift</v>
      </c>
      <c r="BJ1168" s="48" t="str">
        <f aca="false">IF(A1168="","",IF(BS1168=1,"Neu; ","")&amp;IF(AND(BS1168=0,BN1168&lt;0),"negativer Bestand (Export "&amp;BN1168&amp;"); ","")&amp;IF(J1168&lt;=0,"Kein Verbrauch; ","")&amp;IF(CL1168&gt;0,"Lift "&amp;W1168&amp;" lt. Liftbericht (Fach "&amp;X1168&amp;" Stk); ",IF(BX1168=1,"Gebinde geschätzt ("&amp;T1168&amp;"); ",IF(BW1168=1,"Lose – Tablare geschätzt; ","")))&amp;IF(H1168&gt;AT1168,"Überbestand "&amp;ROUND(H1168-AT1168,0)&amp;" Stk / CHF "&amp;ROUND((H1168-AT1168)*G1168,0)&amp;"; ","")&amp;IF(AND(CE1168=1,CF1168&lt;CG1168),"MAX &lt; MB+LG; ","")&amp;IF(AND(CK1168&gt;0,CJ1168*10&gt;CK1168),"zu hoch für Tablar; ","")&amp;IF(AND(BS1168=0,OR(CE1168=1,AA1168&lt;&gt;"",U1168&lt;&gt;"",V1168&lt;&gt;"",AB1168&lt;&gt;"")),"manuell übersteuert; ","")&amp;IF(AND(BW1168=0,R1168=0),"Gebinde unbekannt / Stellmass fehlt; ","")&amp;IF(AND(BW1168=0,N(V1168)&lt;=0,N(Q1168)&lt;=0),"Menge pro Gebinde fehlt (Ist = 1 Gebinde); ","")&amp;BR1168)</f>
        <v>negativer Bestand (Export -3); </v>
      </c>
      <c r="BK1168" s="48"/>
      <c r="BL1168" s="48"/>
      <c r="BM1168" s="55"/>
      <c r="BN1168" s="50" t="n">
        <v>-3</v>
      </c>
      <c r="BO1168" s="50" t="n">
        <v>49</v>
      </c>
      <c r="BP1168" s="49" t="n">
        <v>-349.38</v>
      </c>
      <c r="BQ1168" s="50" t="n">
        <v>3</v>
      </c>
      <c r="BR1168" s="48"/>
      <c r="BS1168" s="53" t="n">
        <v>0</v>
      </c>
      <c r="BT1168" s="53" t="n">
        <v>1168</v>
      </c>
      <c r="BU1168" s="48" t="str">
        <f aca="false">IF(U1168&lt;&gt;"",UPPER(TRIM(U1168)),IF(BX1168=1,UPPER(VLOOKUP(T1168,Parameter!$I$27:$K$29,2,0)),IF(P1168="","LOSE",P1168)))</f>
        <v>S63</v>
      </c>
      <c r="BV1168" s="50" t="n">
        <f aca="false">IF(BU1168="LOSE",1,IF(N(V1168)&gt;0,V1168,IF(BX1168=1,MAX(1,N(VLOOKUP(T1168,Parameter!$I$27:$K$29,3,0)),H1168,N(N1168)),IF(N(Q1168)&gt;0,Q1168,MAX(1,H1168)))))</f>
        <v>50</v>
      </c>
      <c r="BW1168" s="53" t="n">
        <f aca="false">IF(BU1168="LOSE",1,0)</f>
        <v>0</v>
      </c>
      <c r="BX1168" s="53" t="n">
        <f aca="false">IF(AND(U1168="",OR(P1168="",P1168="LOSE"),T1168&lt;&gt;"",N(S1168)&lt;=0,ISNUMBER(MATCH(T1168,Parameter!$I$27:$I$29,0))),1,0)</f>
        <v>0</v>
      </c>
      <c r="BY1168" s="53" t="n">
        <f aca="false">IF(CL1168&gt;0,INDEX(Parameter!$H$5:$H$7,W1168)/INDEX(Parameter!$E$5:$E$7,W1168),IF(AND(BW1168=0,N(IFERROR(VLOOKUP(BU1168,'Gebinde-Kategorie'!$A$5:$N$45,14,0),0))&gt;0),VLOOKUP(BU1168,'Gebinde-Kategorie'!$A$5:$N$45,14,0)*10+Parameter!$M$23,Parameter!$M$24))</f>
        <v>345</v>
      </c>
      <c r="BZ1168" s="48" t="str">
        <f aca="false">IF(AND(Parameter!$B$19="Ja",E1168&lt;&gt;"",ISNUMBER(MATCH(E1168,Parameter!$I$35:$I$52,0))),VLOOKUP(E1168,Parameter!$I$35:$J$52,2,0),IFERROR(VLOOKUP(D1168,Parameter!$A$35:$C$64,2,0),"Nein"))</f>
        <v>2+3</v>
      </c>
      <c r="CA1168" s="52" t="n">
        <f aca="false">IF(BW1168=0,0,IF(N(S1168)&gt;0,S1168,IFERROR(VLOOKUP(D1168,Parameter!$A$35:$C$64,3,0)+0,0)))</f>
        <v>0</v>
      </c>
      <c r="CB1168" s="48" t="n">
        <f aca="false">IF(AA1168&lt;&gt;"",AA1168,Z1168)</f>
        <v>2</v>
      </c>
      <c r="CC1168" s="48" t="str">
        <f aca="false">IF(OR(CB1168=1,CB1168=2,CB1168=3),IF(Parameter!$E$27="Ja","LIFT",IF(CB1168=1,"L1","L23")),IF(CB1168="Aussen","Aussen","-"))</f>
        <v>LIFT</v>
      </c>
      <c r="CD1168" s="59" t="n">
        <f aca="false">IF(N(AB1168)&gt;0,AB1168,0)</f>
        <v>0</v>
      </c>
      <c r="CE1168" s="53" t="n">
        <f aca="false">IF(ISNUMBER(AE1168),1,0)</f>
        <v>0</v>
      </c>
      <c r="CF1168" s="50" t="n">
        <f aca="false">N(AE1168)</f>
        <v>0</v>
      </c>
      <c r="CG1168" s="50" t="n">
        <f aca="false">N(M1168)+N(N1168)</f>
        <v>5</v>
      </c>
      <c r="CH1168" s="50" t="n">
        <f aca="false">ROUNDUP(H1168/BV1168,0)</f>
        <v>1</v>
      </c>
      <c r="CI1168" s="50" t="n">
        <f aca="false">ROUNDUP(CF1168/BV1168,0)</f>
        <v>0</v>
      </c>
      <c r="CJ1168" s="53" t="n">
        <f aca="false">IF(BW1168=1,0,IFERROR(VLOOKUP(BU1168,'Gebinde-Kategorie'!$A$5:$N$45,5,0)+0,0))</f>
        <v>31</v>
      </c>
      <c r="CK1168" s="53" t="n">
        <f aca="false">IFERROR(IF(OR(CB1168=1,CB1168=2,CB1168=3),N(INDEX(Parameter!$I$5:$I$7,CB1168)),0),0)</f>
        <v>0</v>
      </c>
      <c r="CL1168" s="52" t="n">
        <f aca="false">IF(AND(Parameter!$B$21="Ja",ISNUMBER(W1168),N(X1168)&gt;0),IFERROR(N(INDEX(Parameter!$L$5:$L$7,W1168))*INDEX(Parameter!$E$5:$E$7,W1168)*X1168/SUMIFS($X$7:$X$1843,$W$7:$W$1843,W1168),0),0)</f>
        <v>0</v>
      </c>
    </row>
    <row r="1169" customFormat="false" ht="15" hidden="false" customHeight="false" outlineLevel="0" collapsed="false">
      <c r="A1169" s="48" t="s">
        <v>2109</v>
      </c>
      <c r="B1169" s="48" t="s">
        <v>1008</v>
      </c>
      <c r="C1169" s="48" t="s">
        <v>168</v>
      </c>
      <c r="D1169" s="48" t="s">
        <v>188</v>
      </c>
      <c r="E1169" s="48"/>
      <c r="F1169" s="48" t="s">
        <v>222</v>
      </c>
      <c r="G1169" s="49" t="n">
        <v>58.46</v>
      </c>
      <c r="H1169" s="50" t="n">
        <f aca="false">MAX(0,IF(AND(Parameter!$B$21="Ja",ISNUMBER(Y1169)),Y1169,IF(Parameter!$B$20="Jahresanfang 2025 + Export",BO1169+BN1169,BN1169)))</f>
        <v>57</v>
      </c>
      <c r="I1169" s="50" t="n">
        <f aca="false">H1169*G1169</f>
        <v>3332.22</v>
      </c>
      <c r="J1169" s="50" t="n">
        <f aca="false">BQ1169*Parameter!$B$18</f>
        <v>5</v>
      </c>
      <c r="K1169" s="51" t="n">
        <v>60</v>
      </c>
      <c r="L1169" s="52" t="n">
        <v>0.0833333333333333</v>
      </c>
      <c r="M1169" s="50" t="n">
        <v>0</v>
      </c>
      <c r="N1169" s="50" t="n">
        <v>5</v>
      </c>
      <c r="O1169" s="53" t="n">
        <v>28</v>
      </c>
      <c r="P1169" s="48" t="s">
        <v>306</v>
      </c>
      <c r="Q1169" s="50" t="n">
        <v>60</v>
      </c>
      <c r="R1169" s="53" t="n">
        <f aca="false">IF(BW1169=1,0,IFERROR(VLOOKUP(BU1169,'Gebinde-Kategorie'!$A$5:$N$45,13,0)+0,0))</f>
        <v>26</v>
      </c>
      <c r="S1169" s="54"/>
      <c r="T1169" s="55"/>
      <c r="U1169" s="55"/>
      <c r="V1169" s="55"/>
      <c r="W1169" s="48"/>
      <c r="X1169" s="50"/>
      <c r="Y1169" s="50"/>
      <c r="Z1169" s="48" t="n">
        <f aca="false">IF(A1169="","",IF(AND(Parameter!$B$21="Ja",ISNUMBER(W1169)),W1169,IF(BZ1169="2+3",IF(ISNUMBER(SEARCH("grosser Artikel",BR1169)),2,IFERROR(VLOOKUP(BU1169,Parameter!$F$35:$G$64,2,0),2)),IF(OR(BZ1169="Nein",BZ1169=""),"-",BZ1169))))</f>
        <v>3</v>
      </c>
      <c r="AA1169" s="55"/>
      <c r="AB1169" s="56"/>
      <c r="AC1169" s="50" t="n">
        <f aca="false">AT1169</f>
        <v>60</v>
      </c>
      <c r="AD1169" s="50" t="n">
        <f aca="false">MAX(AT1169,H1169)</f>
        <v>60</v>
      </c>
      <c r="AE1169" s="57"/>
      <c r="AF1169" s="50" t="n">
        <f aca="false">IF(LEFT(Cockpit!$C$5,1)="A",H1169,IF(CE1169=1,CF1169,IF(LEFT(Cockpit!$C$5,1)="B",AK1169,MAX(AK1169,H1169))))</f>
        <v>57</v>
      </c>
      <c r="AG1169" s="50" t="n">
        <f aca="false">IF(BW1169=1,0,ROUNDUP(AF1169/BV1169,0))</f>
        <v>1</v>
      </c>
      <c r="AH1169" s="52" t="n">
        <f aca="false">IF(CL1169&gt;0,CL1169*MAX(1,AF1169/X1169),IF(BW1169=1,IF(AF1169&lt;=0,0,CA1169*MAX(1,IF(H1169&gt;0,AF1169/H1169,1))),IF(R1169&gt;0,AG1169/R1169,0))/MAX(0.1,N(Parameter!$M$21)))</f>
        <v>0.0384615384615385</v>
      </c>
      <c r="AI1169" s="50" t="n">
        <f aca="false">AH1169*BY1169</f>
        <v>5.96153846153846</v>
      </c>
      <c r="AJ1169" s="50" t="n">
        <f aca="false">AF1169*G1169</f>
        <v>3332.22</v>
      </c>
      <c r="AK1169" s="50" t="n">
        <f aca="false">ROUNDUP(MAX(J1169/IF(CD1169&gt;0,CD1169,MAX(0.1,N(Cockpit!$C$6))),CG1169)/BV1169,0)*BV1169</f>
        <v>60</v>
      </c>
      <c r="AL1169" s="51" t="n">
        <f aca="false">IF(AI1169&gt;0,J1169/AI1169,-1)</f>
        <v>0.838709677419355</v>
      </c>
      <c r="AM1169" s="51" t="n">
        <f aca="false">IF(AND(OR(CC1169="L1",CC1169="L23",CC1169="LIFT"),AI1169&gt;0),SUMIFS($AI$7:$AI$1843,$CC$7:$CC$1843,CC1169,$AL$7:$AL$1843,"&gt;"&amp;AL1169)+SUMIFS($AI$7:$AI$1843,$CC$7:$CC$1843,CC1169,$AL$7:$AL$1843,AL1169,$BT$7:$BT$1843,"&lt;="&amp;BT1169),"")</f>
        <v>7896.625</v>
      </c>
      <c r="AN1169" s="58" t="n">
        <f aca="false">IF(AM1169="",0,MAX(0,MIN(1,(IF(CC1169="L1",Parameter!$H$5,IF(CC1169="L23",Parameter!$H$6+Parameter!$H$7,Parameter!$H$5+Parameter!$H$6+Parameter!$H$7))-(AM1169-AI1169))/AI1169)))</f>
        <v>1</v>
      </c>
      <c r="AO1169" s="50" t="n">
        <f aca="false">IF(LEFT(Cockpit!$I$5,1)="A",H1169,IF(CE1169=1,CF1169,IF(LEFT(Cockpit!$I$5,1)="B",AT1169,MAX(AT1169,H1169))))</f>
        <v>60</v>
      </c>
      <c r="AP1169" s="50" t="n">
        <f aca="false">IF(BW1169=1,0,ROUNDUP(AO1169/BV1169,0))</f>
        <v>1</v>
      </c>
      <c r="AQ1169" s="52" t="n">
        <f aca="false">IF(CL1169&gt;0,CL1169*MAX(1,AO1169/X1169),IF(BW1169=1,IF(AO1169&lt;=0,0,CA1169*MAX(1,IF(H1169&gt;0,AO1169/H1169,1))),IF(R1169&gt;0,AP1169/R1169,0))/MAX(0.1,N(Parameter!$M$21)))</f>
        <v>0.0384615384615385</v>
      </c>
      <c r="AR1169" s="50" t="n">
        <f aca="false">AQ1169*BY1169</f>
        <v>5.96153846153846</v>
      </c>
      <c r="AS1169" s="50" t="n">
        <f aca="false">AO1169*G1169</f>
        <v>3507.6</v>
      </c>
      <c r="AT1169" s="50" t="n">
        <f aca="false">ROUNDUP(MAX(J1169/IF(CD1169&gt;0,CD1169,MAX(0.1,N(Cockpit!$I$6))),CG1169)/BV1169,0)*BV1169</f>
        <v>60</v>
      </c>
      <c r="AU1169" s="51" t="n">
        <f aca="false">IF(AR1169&gt;0,J1169/AR1169,-1)</f>
        <v>0.838709677419355</v>
      </c>
      <c r="AV1169" s="51" t="n">
        <f aca="false">IF(AND(OR(CC1169="L1",CC1169="L23",CC1169="LIFT"),AR1169&gt;0),SUMIFS($AR$7:$AR$1843,$CC$7:$CC$1843,CC1169,$AU$7:$AU$1843,"&gt;"&amp;AU1169)+SUMIFS($AR$7:$AR$1843,$CC$7:$CC$1843,CC1169,$AU$7:$AU$1843,AU1169,$BT$7:$BT$1843,"&lt;="&amp;BT1169),"")</f>
        <v>11273.0100732601</v>
      </c>
      <c r="AW1169" s="58" t="n">
        <f aca="false">IF(AV1169="",0,MAX(0,MIN(1,(IF(CC1169="L1",Parameter!$H$5,IF(CC1169="L23",Parameter!$H$6+Parameter!$H$7,Parameter!$H$5+Parameter!$H$6+Parameter!$H$7))-(AV1169-AR1169))/AR1169)))</f>
        <v>1</v>
      </c>
      <c r="AX1169" s="50" t="n">
        <f aca="false">IF(LEFT(Cockpit!$O$5,1)="A",H1169,IF(CE1169=1,CF1169,IF(LEFT(Cockpit!$O$5,1)="B",BC1169,MAX(BC1169,H1169))))</f>
        <v>60</v>
      </c>
      <c r="AY1169" s="50" t="n">
        <f aca="false">IF(BW1169=1,0,ROUNDUP(AX1169/BV1169,0))</f>
        <v>1</v>
      </c>
      <c r="AZ1169" s="52" t="n">
        <f aca="false">IF(CL1169&gt;0,CL1169*MAX(1,AX1169/X1169),IF(BW1169=1,IF(AX1169&lt;=0,0,CA1169*MAX(1,IF(H1169&gt;0,AX1169/H1169,1))),IF(R1169&gt;0,AY1169/R1169,0))/MAX(0.1,N(Parameter!$M$21)))</f>
        <v>0.0384615384615385</v>
      </c>
      <c r="BA1169" s="50" t="n">
        <f aca="false">AZ1169*BY1169</f>
        <v>5.96153846153846</v>
      </c>
      <c r="BB1169" s="50" t="n">
        <f aca="false">AX1169*G1169</f>
        <v>3507.6</v>
      </c>
      <c r="BC1169" s="50" t="n">
        <f aca="false">ROUNDUP(MAX(J1169/IF(CD1169&gt;0,CD1169,MAX(0.1,N(Cockpit!$O$6))),CG1169)/BV1169,0)*BV1169</f>
        <v>60</v>
      </c>
      <c r="BD1169" s="51" t="n">
        <f aca="false">IF(BA1169&gt;0,J1169/BA1169,-1)</f>
        <v>0.838709677419355</v>
      </c>
      <c r="BE1169" s="51" t="n">
        <f aca="false">IF(AND(OR(CC1169="L1",CC1169="L23",CC1169="LIFT"),BA1169&gt;0),SUMIFS($BA$7:$BA$1843,$CC$7:$CC$1843,CC1169,$BD$7:$BD$1843,"&gt;"&amp;BD1169)+SUMIFS($BA$7:$BA$1843,$CC$7:$CC$1843,CC1169,$BD$7:$BD$1843,BD1169,$BT$7:$BT$1843,"&lt;="&amp;BT1169),"")</f>
        <v>10368.6671245421</v>
      </c>
      <c r="BF1169" s="58" t="n">
        <f aca="false">IF(BE1169="",0,MAX(0,MIN(1,(IF(CC1169="L1",Parameter!$H$5,IF(CC1169="L23",Parameter!$H$6+Parameter!$H$7,Parameter!$H$5+Parameter!$H$6+Parameter!$H$7))-(BE1169-BA1169))/BA1169)))</f>
        <v>1</v>
      </c>
      <c r="BG1169" s="48" t="str">
        <f aca="false">IF(AI1169&lt;=0,"",IF(CC1169="Aussen","Aussenlager",IF(CC1169="-","Nicht im Lift",IF(AN1169&gt;=1,"Lift",IF(AN1169&lt;=0,"Aussenlager","teilweise")))))</f>
        <v>Lift</v>
      </c>
      <c r="BH1169" s="48" t="str">
        <f aca="false">IF(AR1169&lt;=0,"",IF(CC1169="Aussen","Aussenlager",IF(CC1169="-","Nicht im Lift",IF(AW1169&gt;=1,"Lift",IF(AW1169&lt;=0,"Aussenlager","teilweise")))))</f>
        <v>Lift</v>
      </c>
      <c r="BI1169" s="48" t="str">
        <f aca="false">IF(BA1169&lt;=0,"",IF(CC1169="Aussen","Aussenlager",IF(CC1169="-","Nicht im Lift",IF(BF1169&gt;=1,"Lift",IF(BF1169&lt;=0,"Aussenlager","teilweise")))))</f>
        <v>Lift</v>
      </c>
      <c r="BJ1169" s="48" t="str">
        <f aca="false">IF(A1169="","",IF(BS1169=1,"Neu; ","")&amp;IF(AND(BS1169=0,BN1169&lt;0),"negativer Bestand (Export "&amp;BN1169&amp;"); ","")&amp;IF(J1169&lt;=0,"Kein Verbrauch; ","")&amp;IF(CL1169&gt;0,"Lift "&amp;W1169&amp;" lt. Liftbericht (Fach "&amp;X1169&amp;" Stk); ",IF(BX1169=1,"Gebinde geschätzt ("&amp;T1169&amp;"); ",IF(BW1169=1,"Lose – Tablare geschätzt; ","")))&amp;IF(H1169&gt;AT1169,"Überbestand "&amp;ROUND(H1169-AT1169,0)&amp;" Stk / CHF "&amp;ROUND((H1169-AT1169)*G1169,0)&amp;"; ","")&amp;IF(AND(CE1169=1,CF1169&lt;CG1169),"MAX &lt; MB+LG; ","")&amp;IF(AND(CK1169&gt;0,CJ1169*10&gt;CK1169),"zu hoch für Tablar; ","")&amp;IF(AND(BS1169=0,OR(CE1169=1,AA1169&lt;&gt;"",U1169&lt;&gt;"",V1169&lt;&gt;"",AB1169&lt;&gt;"")),"manuell übersteuert; ","")&amp;IF(AND(BW1169=0,R1169=0),"Gebinde unbekannt / Stellmass fehlt; ","")&amp;IF(AND(BW1169=0,N(V1169)&lt;=0,N(Q1169)&lt;=0),"Menge pro Gebinde fehlt (Ist = 1 Gebinde); ","")&amp;BR1169)</f>
        <v>negativer Bestand (Export -6); </v>
      </c>
      <c r="BK1169" s="48"/>
      <c r="BL1169" s="48"/>
      <c r="BM1169" s="55"/>
      <c r="BN1169" s="50" t="n">
        <v>-6</v>
      </c>
      <c r="BO1169" s="50" t="n">
        <v>63</v>
      </c>
      <c r="BP1169" s="49" t="n">
        <v>-350.76</v>
      </c>
      <c r="BQ1169" s="50" t="n">
        <v>5</v>
      </c>
      <c r="BR1169" s="48"/>
      <c r="BS1169" s="53" t="n">
        <v>0</v>
      </c>
      <c r="BT1169" s="53" t="n">
        <v>1169</v>
      </c>
      <c r="BU1169" s="48" t="str">
        <f aca="false">IF(U1169&lt;&gt;"",UPPER(TRIM(U1169)),IF(BX1169=1,UPPER(VLOOKUP(T1169,Parameter!$I$27:$K$29,2,0)),IF(P1169="","LOSE",P1169)))</f>
        <v>S51</v>
      </c>
      <c r="BV1169" s="50" t="n">
        <f aca="false">IF(BU1169="LOSE",1,IF(N(V1169)&gt;0,V1169,IF(BX1169=1,MAX(1,N(VLOOKUP(T1169,Parameter!$I$27:$K$29,3,0)),H1169,N(N1169)),IF(N(Q1169)&gt;0,Q1169,MAX(1,H1169)))))</f>
        <v>60</v>
      </c>
      <c r="BW1169" s="53" t="n">
        <f aca="false">IF(BU1169="LOSE",1,0)</f>
        <v>0</v>
      </c>
      <c r="BX1169" s="53" t="n">
        <f aca="false">IF(AND(U1169="",OR(P1169="",P1169="LOSE"),T1169&lt;&gt;"",N(S1169)&lt;=0,ISNUMBER(MATCH(T1169,Parameter!$I$27:$I$29,0))),1,0)</f>
        <v>0</v>
      </c>
      <c r="BY1169" s="53" t="n">
        <f aca="false">IF(CL1169&gt;0,INDEX(Parameter!$H$5:$H$7,W1169)/INDEX(Parameter!$E$5:$E$7,W1169),IF(AND(BW1169=0,N(IFERROR(VLOOKUP(BU1169,'Gebinde-Kategorie'!$A$5:$N$45,14,0),0))&gt;0),VLOOKUP(BU1169,'Gebinde-Kategorie'!$A$5:$N$45,14,0)*10+Parameter!$M$23,Parameter!$M$24))</f>
        <v>155</v>
      </c>
      <c r="BZ1169" s="48" t="str">
        <f aca="false">IF(AND(Parameter!$B$19="Ja",E1169&lt;&gt;"",ISNUMBER(MATCH(E1169,Parameter!$I$35:$I$52,0))),VLOOKUP(E1169,Parameter!$I$35:$J$52,2,0),IFERROR(VLOOKUP(D1169,Parameter!$A$35:$C$64,2,0),"Nein"))</f>
        <v>2+3</v>
      </c>
      <c r="CA1169" s="52" t="n">
        <f aca="false">IF(BW1169=0,0,IF(N(S1169)&gt;0,S1169,IFERROR(VLOOKUP(D1169,Parameter!$A$35:$C$64,3,0)+0,0)))</f>
        <v>0</v>
      </c>
      <c r="CB1169" s="48" t="n">
        <f aca="false">IF(AA1169&lt;&gt;"",AA1169,Z1169)</f>
        <v>3</v>
      </c>
      <c r="CC1169" s="48" t="str">
        <f aca="false">IF(OR(CB1169=1,CB1169=2,CB1169=3),IF(Parameter!$E$27="Ja","LIFT",IF(CB1169=1,"L1","L23")),IF(CB1169="Aussen","Aussen","-"))</f>
        <v>LIFT</v>
      </c>
      <c r="CD1169" s="59" t="n">
        <f aca="false">IF(N(AB1169)&gt;0,AB1169,0)</f>
        <v>0</v>
      </c>
      <c r="CE1169" s="53" t="n">
        <f aca="false">IF(ISNUMBER(AE1169),1,0)</f>
        <v>0</v>
      </c>
      <c r="CF1169" s="50" t="n">
        <f aca="false">N(AE1169)</f>
        <v>0</v>
      </c>
      <c r="CG1169" s="50" t="n">
        <f aca="false">N(M1169)+N(N1169)</f>
        <v>5</v>
      </c>
      <c r="CH1169" s="50" t="n">
        <f aca="false">ROUNDUP(H1169/BV1169,0)</f>
        <v>1</v>
      </c>
      <c r="CI1169" s="50" t="n">
        <f aca="false">ROUNDUP(CF1169/BV1169,0)</f>
        <v>0</v>
      </c>
      <c r="CJ1169" s="53" t="n">
        <f aca="false">IF(BW1169=1,0,IFERROR(VLOOKUP(BU1169,'Gebinde-Kategorie'!$A$5:$N$45,5,0)+0,0))</f>
        <v>11</v>
      </c>
      <c r="CK1169" s="53" t="n">
        <f aca="false">IFERROR(IF(OR(CB1169=1,CB1169=2,CB1169=3),N(INDEX(Parameter!$I$5:$I$7,CB1169)),0),0)</f>
        <v>0</v>
      </c>
      <c r="CL1169" s="52" t="n">
        <f aca="false">IF(AND(Parameter!$B$21="Ja",ISNUMBER(W1169),N(X1169)&gt;0),IFERROR(N(INDEX(Parameter!$L$5:$L$7,W1169))*INDEX(Parameter!$E$5:$E$7,W1169)*X1169/SUMIFS($X$7:$X$1843,$W$7:$W$1843,W1169),0),0)</f>
        <v>0</v>
      </c>
    </row>
    <row r="1170" customFormat="false" ht="15" hidden="false" customHeight="false" outlineLevel="0" collapsed="false">
      <c r="A1170" s="48" t="s">
        <v>2110</v>
      </c>
      <c r="B1170" s="48" t="s">
        <v>2111</v>
      </c>
      <c r="C1170" s="48" t="s">
        <v>168</v>
      </c>
      <c r="D1170" s="48" t="s">
        <v>188</v>
      </c>
      <c r="E1170" s="48" t="s">
        <v>189</v>
      </c>
      <c r="F1170" s="48" t="s">
        <v>222</v>
      </c>
      <c r="G1170" s="49" t="n">
        <v>8.97</v>
      </c>
      <c r="H1170" s="50" t="n">
        <f aca="false">MAX(0,IF(AND(Parameter!$B$21="Ja",ISNUMBER(Y1170)),Y1170,IF(Parameter!$B$20="Jahresanfang 2025 + Export",BO1170+BN1170,BN1170)))</f>
        <v>12</v>
      </c>
      <c r="I1170" s="50" t="n">
        <f aca="false">H1170*G1170</f>
        <v>107.64</v>
      </c>
      <c r="J1170" s="50" t="n">
        <f aca="false">BQ1170*Parameter!$B$18</f>
        <v>80</v>
      </c>
      <c r="K1170" s="51" t="n">
        <v>55</v>
      </c>
      <c r="L1170" s="52" t="n">
        <v>1.45454545454546</v>
      </c>
      <c r="M1170" s="50" t="n">
        <v>6</v>
      </c>
      <c r="N1170" s="50" t="n">
        <v>80</v>
      </c>
      <c r="O1170" s="53" t="n">
        <v>28</v>
      </c>
      <c r="P1170" s="48" t="s">
        <v>430</v>
      </c>
      <c r="Q1170" s="50" t="n">
        <v>38</v>
      </c>
      <c r="R1170" s="53" t="n">
        <f aca="false">IF(BW1170=1,0,IFERROR(VLOOKUP(BU1170,'Gebinde-Kategorie'!$A$5:$N$45,13,0)+0,0))</f>
        <v>140</v>
      </c>
      <c r="S1170" s="54"/>
      <c r="T1170" s="55"/>
      <c r="U1170" s="55"/>
      <c r="V1170" s="55"/>
      <c r="W1170" s="48"/>
      <c r="X1170" s="50"/>
      <c r="Y1170" s="50"/>
      <c r="Z1170" s="48" t="n">
        <f aca="false">IF(A1170="","",IF(AND(Parameter!$B$21="Ja",ISNUMBER(W1170)),W1170,IF(BZ1170="2+3",IF(ISNUMBER(SEARCH("grosser Artikel",BR1170)),2,IFERROR(VLOOKUP(BU1170,Parameter!$F$35:$G$64,2,0),2)),IF(OR(BZ1170="Nein",BZ1170=""),"-",BZ1170))))</f>
        <v>3</v>
      </c>
      <c r="AA1170" s="55"/>
      <c r="AB1170" s="56"/>
      <c r="AC1170" s="50" t="n">
        <f aca="false">AT1170</f>
        <v>114</v>
      </c>
      <c r="AD1170" s="50" t="n">
        <f aca="false">MAX(AT1170,H1170)</f>
        <v>114</v>
      </c>
      <c r="AE1170" s="57"/>
      <c r="AF1170" s="50" t="n">
        <f aca="false">IF(LEFT(Cockpit!$C$5,1)="A",H1170,IF(CE1170=1,CF1170,IF(LEFT(Cockpit!$C$5,1)="B",AK1170,MAX(AK1170,H1170))))</f>
        <v>12</v>
      </c>
      <c r="AG1170" s="50" t="n">
        <f aca="false">IF(BW1170=1,0,ROUNDUP(AF1170/BV1170,0))</f>
        <v>1</v>
      </c>
      <c r="AH1170" s="52" t="n">
        <f aca="false">IF(CL1170&gt;0,CL1170*MAX(1,AF1170/X1170),IF(BW1170=1,IF(AF1170&lt;=0,0,CA1170*MAX(1,IF(H1170&gt;0,AF1170/H1170,1))),IF(R1170&gt;0,AG1170/R1170,0))/MAX(0.1,N(Parameter!$M$21)))</f>
        <v>0.00714285714285714</v>
      </c>
      <c r="AI1170" s="50" t="n">
        <f aca="false">AH1170*BY1170</f>
        <v>1.10714285714286</v>
      </c>
      <c r="AJ1170" s="50" t="n">
        <f aca="false">AF1170*G1170</f>
        <v>107.64</v>
      </c>
      <c r="AK1170" s="50" t="n">
        <f aca="false">ROUNDUP(MAX(J1170/IF(CD1170&gt;0,CD1170,MAX(0.1,N(Cockpit!$C$6))),CG1170)/BV1170,0)*BV1170</f>
        <v>114</v>
      </c>
      <c r="AL1170" s="51" t="n">
        <f aca="false">IF(AI1170&gt;0,J1170/AI1170,-1)</f>
        <v>72.258064516129</v>
      </c>
      <c r="AM1170" s="51" t="n">
        <f aca="false">IF(AND(OR(CC1170="L1",CC1170="L23",CC1170="LIFT"),AI1170&gt;0),SUMIFS($AI$7:$AI$1843,$CC$7:$CC$1843,CC1170,$AL$7:$AL$1843,"&gt;"&amp;AL1170)+SUMIFS($AI$7:$AI$1843,$CC$7:$CC$1843,CC1170,$AL$7:$AL$1843,AL1170,$BT$7:$BT$1843,"&lt;="&amp;BT1170),"")</f>
        <v>880.537087912088</v>
      </c>
      <c r="AN1170" s="58" t="n">
        <f aca="false">IF(AM1170="",0,MAX(0,MIN(1,(IF(CC1170="L1",Parameter!$H$5,IF(CC1170="L23",Parameter!$H$6+Parameter!$H$7,Parameter!$H$5+Parameter!$H$6+Parameter!$H$7))-(AM1170-AI1170))/AI1170)))</f>
        <v>1</v>
      </c>
      <c r="AO1170" s="50" t="n">
        <f aca="false">IF(LEFT(Cockpit!$I$5,1)="A",H1170,IF(CE1170=1,CF1170,IF(LEFT(Cockpit!$I$5,1)="B",AT1170,MAX(AT1170,H1170))))</f>
        <v>114</v>
      </c>
      <c r="AP1170" s="50" t="n">
        <f aca="false">IF(BW1170=1,0,ROUNDUP(AO1170/BV1170,0))</f>
        <v>3</v>
      </c>
      <c r="AQ1170" s="52" t="n">
        <f aca="false">IF(CL1170&gt;0,CL1170*MAX(1,AO1170/X1170),IF(BW1170=1,IF(AO1170&lt;=0,0,CA1170*MAX(1,IF(H1170&gt;0,AO1170/H1170,1))),IF(R1170&gt;0,AP1170/R1170,0))/MAX(0.1,N(Parameter!$M$21)))</f>
        <v>0.0214285714285714</v>
      </c>
      <c r="AR1170" s="50" t="n">
        <f aca="false">AQ1170*BY1170</f>
        <v>3.32142857142857</v>
      </c>
      <c r="AS1170" s="50" t="n">
        <f aca="false">AO1170*G1170</f>
        <v>1022.58</v>
      </c>
      <c r="AT1170" s="50" t="n">
        <f aca="false">ROUNDUP(MAX(J1170/IF(CD1170&gt;0,CD1170,MAX(0.1,N(Cockpit!$I$6))),CG1170)/BV1170,0)*BV1170</f>
        <v>114</v>
      </c>
      <c r="AU1170" s="51" t="n">
        <f aca="false">IF(AR1170&gt;0,J1170/AR1170,-1)</f>
        <v>24.0860215053763</v>
      </c>
      <c r="AV1170" s="51" t="n">
        <f aca="false">IF(AND(OR(CC1170="L1",CC1170="L23",CC1170="LIFT"),AR1170&gt;0),SUMIFS($AR$7:$AR$1843,$CC$7:$CC$1843,CC1170,$AU$7:$AU$1843,"&gt;"&amp;AU1170)+SUMIFS($AR$7:$AR$1843,$CC$7:$CC$1843,CC1170,$AU$7:$AU$1843,AU1170,$BT$7:$BT$1843,"&lt;="&amp;BT1170),"")</f>
        <v>2197.16575091575</v>
      </c>
      <c r="AW1170" s="58" t="n">
        <f aca="false">IF(AV1170="",0,MAX(0,MIN(1,(IF(CC1170="L1",Parameter!$H$5,IF(CC1170="L23",Parameter!$H$6+Parameter!$H$7,Parameter!$H$5+Parameter!$H$6+Parameter!$H$7))-(AV1170-AR1170))/AR1170)))</f>
        <v>1</v>
      </c>
      <c r="AX1170" s="50" t="n">
        <f aca="false">IF(LEFT(Cockpit!$O$5,1)="A",H1170,IF(CE1170=1,CF1170,IF(LEFT(Cockpit!$O$5,1)="B",BC1170,MAX(BC1170,H1170))))</f>
        <v>114</v>
      </c>
      <c r="AY1170" s="50" t="n">
        <f aca="false">IF(BW1170=1,0,ROUNDUP(AX1170/BV1170,0))</f>
        <v>3</v>
      </c>
      <c r="AZ1170" s="52" t="n">
        <f aca="false">IF(CL1170&gt;0,CL1170*MAX(1,AX1170/X1170),IF(BW1170=1,IF(AX1170&lt;=0,0,CA1170*MAX(1,IF(H1170&gt;0,AX1170/H1170,1))),IF(R1170&gt;0,AY1170/R1170,0))/MAX(0.1,N(Parameter!$M$21)))</f>
        <v>0.0214285714285714</v>
      </c>
      <c r="BA1170" s="50" t="n">
        <f aca="false">AZ1170*BY1170</f>
        <v>3.32142857142857</v>
      </c>
      <c r="BB1170" s="50" t="n">
        <f aca="false">AX1170*G1170</f>
        <v>1022.58</v>
      </c>
      <c r="BC1170" s="50" t="n">
        <f aca="false">ROUNDUP(MAX(J1170/IF(CD1170&gt;0,CD1170,MAX(0.1,N(Cockpit!$O$6))),CG1170)/BV1170,0)*BV1170</f>
        <v>114</v>
      </c>
      <c r="BD1170" s="51" t="n">
        <f aca="false">IF(BA1170&gt;0,J1170/BA1170,-1)</f>
        <v>24.0860215053763</v>
      </c>
      <c r="BE1170" s="51" t="n">
        <f aca="false">IF(AND(OR(CC1170="L1",CC1170="L23",CC1170="LIFT"),BA1170&gt;0),SUMIFS($BA$7:$BA$1843,$CC$7:$CC$1843,CC1170,$BD$7:$BD$1843,"&gt;"&amp;BD1170)+SUMIFS($BA$7:$BA$1843,$CC$7:$CC$1843,CC1170,$BD$7:$BD$1843,BD1170,$BT$7:$BT$1843,"&lt;="&amp;BT1170),"")</f>
        <v>2282.7586996337</v>
      </c>
      <c r="BF1170" s="58" t="n">
        <f aca="false">IF(BE1170="",0,MAX(0,MIN(1,(IF(CC1170="L1",Parameter!$H$5,IF(CC1170="L23",Parameter!$H$6+Parameter!$H$7,Parameter!$H$5+Parameter!$H$6+Parameter!$H$7))-(BE1170-BA1170))/BA1170)))</f>
        <v>1</v>
      </c>
      <c r="BG1170" s="48" t="str">
        <f aca="false">IF(AI1170&lt;=0,"",IF(CC1170="Aussen","Aussenlager",IF(CC1170="-","Nicht im Lift",IF(AN1170&gt;=1,"Lift",IF(AN1170&lt;=0,"Aussenlager","teilweise")))))</f>
        <v>Lift</v>
      </c>
      <c r="BH1170" s="48" t="str">
        <f aca="false">IF(AR1170&lt;=0,"",IF(CC1170="Aussen","Aussenlager",IF(CC1170="-","Nicht im Lift",IF(AW1170&gt;=1,"Lift",IF(AW1170&lt;=0,"Aussenlager","teilweise")))))</f>
        <v>Lift</v>
      </c>
      <c r="BI1170" s="48" t="str">
        <f aca="false">IF(BA1170&lt;=0,"",IF(CC1170="Aussen","Aussenlager",IF(CC1170="-","Nicht im Lift",IF(BF1170&gt;=1,"Lift",IF(BF1170&lt;=0,"Aussenlager","teilweise")))))</f>
        <v>Lift</v>
      </c>
      <c r="BJ1170" s="48" t="str">
        <f aca="false">IF(A1170="","",IF(BS1170=1,"Neu; ","")&amp;IF(AND(BS1170=0,BN1170&lt;0),"negativer Bestand (Export "&amp;BN1170&amp;"); ","")&amp;IF(J1170&lt;=0,"Kein Verbrauch; ","")&amp;IF(CL1170&gt;0,"Lift "&amp;W1170&amp;" lt. Liftbericht (Fach "&amp;X1170&amp;" Stk); ",IF(BX1170=1,"Gebinde geschätzt ("&amp;T1170&amp;"); ",IF(BW1170=1,"Lose – Tablare geschätzt; ","")))&amp;IF(H1170&gt;AT1170,"Überbestand "&amp;ROUND(H1170-AT1170,0)&amp;" Stk / CHF "&amp;ROUND((H1170-AT1170)*G1170,0)&amp;"; ","")&amp;IF(AND(CE1170=1,CF1170&lt;CG1170),"MAX &lt; MB+LG; ","")&amp;IF(AND(CK1170&gt;0,CJ1170*10&gt;CK1170),"zu hoch für Tablar; ","")&amp;IF(AND(BS1170=0,OR(CE1170=1,AA1170&lt;&gt;"",U1170&lt;&gt;"",V1170&lt;&gt;"",AB1170&lt;&gt;"")),"manuell übersteuert; ","")&amp;IF(AND(BW1170=0,R1170=0),"Gebinde unbekannt / Stellmass fehlt; ","")&amp;IF(AND(BW1170=0,N(V1170)&lt;=0,N(Q1170)&lt;=0),"Menge pro Gebinde fehlt (Ist = 1 Gebinde); ","")&amp;BR1170)</f>
        <v>negativer Bestand (Export -48); Überbestand</v>
      </c>
      <c r="BK1170" s="48"/>
      <c r="BL1170" s="48"/>
      <c r="BM1170" s="55"/>
      <c r="BN1170" s="50" t="n">
        <v>-48</v>
      </c>
      <c r="BO1170" s="50" t="n">
        <v>60</v>
      </c>
      <c r="BP1170" s="49" t="n">
        <v>-353.16</v>
      </c>
      <c r="BQ1170" s="50" t="n">
        <v>80</v>
      </c>
      <c r="BR1170" s="48" t="s">
        <v>396</v>
      </c>
      <c r="BS1170" s="53" t="n">
        <v>0</v>
      </c>
      <c r="BT1170" s="53" t="n">
        <v>1170</v>
      </c>
      <c r="BU1170" s="48" t="str">
        <f aca="false">IF(U1170&lt;&gt;"",UPPER(TRIM(U1170)),IF(BX1170=1,UPPER(VLOOKUP(T1170,Parameter!$I$27:$K$29,2,0)),IF(P1170="","LOSE",P1170)))</f>
        <v>S22</v>
      </c>
      <c r="BV1170" s="50" t="n">
        <f aca="false">IF(BU1170="LOSE",1,IF(N(V1170)&gt;0,V1170,IF(BX1170=1,MAX(1,N(VLOOKUP(T1170,Parameter!$I$27:$K$29,3,0)),H1170,N(N1170)),IF(N(Q1170)&gt;0,Q1170,MAX(1,H1170)))))</f>
        <v>38</v>
      </c>
      <c r="BW1170" s="53" t="n">
        <f aca="false">IF(BU1170="LOSE",1,0)</f>
        <v>0</v>
      </c>
      <c r="BX1170" s="53" t="n">
        <f aca="false">IF(AND(U1170="",OR(P1170="",P1170="LOSE"),T1170&lt;&gt;"",N(S1170)&lt;=0,ISNUMBER(MATCH(T1170,Parameter!$I$27:$I$29,0))),1,0)</f>
        <v>0</v>
      </c>
      <c r="BY1170" s="53" t="n">
        <f aca="false">IF(CL1170&gt;0,INDEX(Parameter!$H$5:$H$7,W1170)/INDEX(Parameter!$E$5:$E$7,W1170),IF(AND(BW1170=0,N(IFERROR(VLOOKUP(BU1170,'Gebinde-Kategorie'!$A$5:$N$45,14,0),0))&gt;0),VLOOKUP(BU1170,'Gebinde-Kategorie'!$A$5:$N$45,14,0)*10+Parameter!$M$23,Parameter!$M$24))</f>
        <v>155</v>
      </c>
      <c r="BZ1170" s="48" t="str">
        <f aca="false">IF(AND(Parameter!$B$19="Ja",E1170&lt;&gt;"",ISNUMBER(MATCH(E1170,Parameter!$I$35:$I$52,0))),VLOOKUP(E1170,Parameter!$I$35:$J$52,2,0),IFERROR(VLOOKUP(D1170,Parameter!$A$35:$C$64,2,0),"Nein"))</f>
        <v>2+3</v>
      </c>
      <c r="CA1170" s="52" t="n">
        <f aca="false">IF(BW1170=0,0,IF(N(S1170)&gt;0,S1170,IFERROR(VLOOKUP(D1170,Parameter!$A$35:$C$64,3,0)+0,0)))</f>
        <v>0</v>
      </c>
      <c r="CB1170" s="48" t="n">
        <f aca="false">IF(AA1170&lt;&gt;"",AA1170,Z1170)</f>
        <v>3</v>
      </c>
      <c r="CC1170" s="48" t="str">
        <f aca="false">IF(OR(CB1170=1,CB1170=2,CB1170=3),IF(Parameter!$E$27="Ja","LIFT",IF(CB1170=1,"L1","L23")),IF(CB1170="Aussen","Aussen","-"))</f>
        <v>LIFT</v>
      </c>
      <c r="CD1170" s="59" t="n">
        <f aca="false">IF(N(AB1170)&gt;0,AB1170,0)</f>
        <v>0</v>
      </c>
      <c r="CE1170" s="53" t="n">
        <f aca="false">IF(ISNUMBER(AE1170),1,0)</f>
        <v>0</v>
      </c>
      <c r="CF1170" s="50" t="n">
        <f aca="false">N(AE1170)</f>
        <v>0</v>
      </c>
      <c r="CG1170" s="50" t="n">
        <f aca="false">N(M1170)+N(N1170)</f>
        <v>86</v>
      </c>
      <c r="CH1170" s="50" t="n">
        <f aca="false">ROUNDUP(H1170/BV1170,0)</f>
        <v>1</v>
      </c>
      <c r="CI1170" s="50" t="n">
        <f aca="false">ROUNDUP(CF1170/BV1170,0)</f>
        <v>0</v>
      </c>
      <c r="CJ1170" s="53" t="n">
        <f aca="false">IF(BW1170=1,0,IFERROR(VLOOKUP(BU1170,'Gebinde-Kategorie'!$A$5:$N$45,5,0)+0,0))</f>
        <v>8</v>
      </c>
      <c r="CK1170" s="53" t="n">
        <f aca="false">IFERROR(IF(OR(CB1170=1,CB1170=2,CB1170=3),N(INDEX(Parameter!$I$5:$I$7,CB1170)),0),0)</f>
        <v>0</v>
      </c>
      <c r="CL1170" s="52" t="n">
        <f aca="false">IF(AND(Parameter!$B$21="Ja",ISNUMBER(W1170),N(X1170)&gt;0),IFERROR(N(INDEX(Parameter!$L$5:$L$7,W1170))*INDEX(Parameter!$E$5:$E$7,W1170)*X1170/SUMIFS($X$7:$X$1843,$W$7:$W$1843,W1170),0),0)</f>
        <v>0</v>
      </c>
    </row>
    <row r="1171" customFormat="false" ht="15" hidden="false" customHeight="false" outlineLevel="0" collapsed="false">
      <c r="A1171" s="48" t="s">
        <v>2112</v>
      </c>
      <c r="B1171" s="48" t="s">
        <v>2113</v>
      </c>
      <c r="C1171" s="48" t="s">
        <v>168</v>
      </c>
      <c r="D1171" s="48" t="s">
        <v>188</v>
      </c>
      <c r="E1171" s="48" t="s">
        <v>189</v>
      </c>
      <c r="F1171" s="48" t="s">
        <v>222</v>
      </c>
      <c r="G1171" s="49" t="n">
        <v>248.96</v>
      </c>
      <c r="H1171" s="50" t="n">
        <f aca="false">MAX(0,IF(AND(Parameter!$B$21="Ja",ISNUMBER(Y1171)),Y1171,IF(Parameter!$B$20="Jahresanfang 2025 + Export",BO1171+BN1171,BN1171)))</f>
        <v>24</v>
      </c>
      <c r="I1171" s="50" t="n">
        <f aca="false">H1171*G1171</f>
        <v>5975.04</v>
      </c>
      <c r="J1171" s="50" t="n">
        <f aca="false">BQ1171*Parameter!$B$18</f>
        <v>216</v>
      </c>
      <c r="K1171" s="51" t="n">
        <v>20</v>
      </c>
      <c r="L1171" s="52" t="n">
        <v>10.8</v>
      </c>
      <c r="M1171" s="50" t="n">
        <v>12</v>
      </c>
      <c r="N1171" s="50" t="n">
        <v>25</v>
      </c>
      <c r="O1171" s="53" t="n">
        <v>21</v>
      </c>
      <c r="P1171" s="48" t="s">
        <v>237</v>
      </c>
      <c r="Q1171" s="50" t="n">
        <v>70</v>
      </c>
      <c r="R1171" s="53" t="n">
        <f aca="false">IF(BW1171=1,0,IFERROR(VLOOKUP(BU1171,'Gebinde-Kategorie'!$A$5:$N$45,13,0)+0,0))</f>
        <v>26</v>
      </c>
      <c r="S1171" s="54"/>
      <c r="T1171" s="55"/>
      <c r="U1171" s="55"/>
      <c r="V1171" s="55"/>
      <c r="W1171" s="48"/>
      <c r="X1171" s="50"/>
      <c r="Y1171" s="50"/>
      <c r="Z1171" s="48" t="n">
        <f aca="false">IF(A1171="","",IF(AND(Parameter!$B$21="Ja",ISNUMBER(W1171)),W1171,IF(BZ1171="2+3",IF(ISNUMBER(SEARCH("grosser Artikel",BR1171)),2,IFERROR(VLOOKUP(BU1171,Parameter!$F$35:$G$64,2,0),2)),IF(OR(BZ1171="Nein",BZ1171=""),"-",BZ1171))))</f>
        <v>3</v>
      </c>
      <c r="AA1171" s="55"/>
      <c r="AB1171" s="56"/>
      <c r="AC1171" s="50" t="n">
        <f aca="false">AT1171</f>
        <v>140</v>
      </c>
      <c r="AD1171" s="50" t="n">
        <f aca="false">MAX(AT1171,H1171)</f>
        <v>140</v>
      </c>
      <c r="AE1171" s="57"/>
      <c r="AF1171" s="50" t="n">
        <f aca="false">IF(LEFT(Cockpit!$C$5,1)="A",H1171,IF(CE1171=1,CF1171,IF(LEFT(Cockpit!$C$5,1)="B",AK1171,MAX(AK1171,H1171))))</f>
        <v>24</v>
      </c>
      <c r="AG1171" s="50" t="n">
        <f aca="false">IF(BW1171=1,0,ROUNDUP(AF1171/BV1171,0))</f>
        <v>1</v>
      </c>
      <c r="AH1171" s="52" t="n">
        <f aca="false">IF(CL1171&gt;0,CL1171*MAX(1,AF1171/X1171),IF(BW1171=1,IF(AF1171&lt;=0,0,CA1171*MAX(1,IF(H1171&gt;0,AF1171/H1171,1))),IF(R1171&gt;0,AG1171/R1171,0))/MAX(0.1,N(Parameter!$M$21)))</f>
        <v>0.0384615384615385</v>
      </c>
      <c r="AI1171" s="50" t="n">
        <f aca="false">AH1171*BY1171</f>
        <v>9.42307692307692</v>
      </c>
      <c r="AJ1171" s="50" t="n">
        <f aca="false">AF1171*G1171</f>
        <v>5975.04</v>
      </c>
      <c r="AK1171" s="50" t="n">
        <f aca="false">ROUNDUP(MAX(J1171/IF(CD1171&gt;0,CD1171,MAX(0.1,N(Cockpit!$C$6))),CG1171)/BV1171,0)*BV1171</f>
        <v>140</v>
      </c>
      <c r="AL1171" s="51" t="n">
        <f aca="false">IF(AI1171&gt;0,J1171/AI1171,-1)</f>
        <v>22.9224489795918</v>
      </c>
      <c r="AM1171" s="51" t="n">
        <f aca="false">IF(AND(OR(CC1171="L1",CC1171="L23",CC1171="LIFT"),AI1171&gt;0),SUMIFS($AI$7:$AI$1843,$CC$7:$CC$1843,CC1171,$AL$7:$AL$1843,"&gt;"&amp;AL1171)+SUMIFS($AI$7:$AI$1843,$CC$7:$CC$1843,CC1171,$AL$7:$AL$1843,AL1171,$BT$7:$BT$1843,"&lt;="&amp;BT1171),"")</f>
        <v>1589.40750915751</v>
      </c>
      <c r="AN1171" s="58" t="n">
        <f aca="false">IF(AM1171="",0,MAX(0,MIN(1,(IF(CC1171="L1",Parameter!$H$5,IF(CC1171="L23",Parameter!$H$6+Parameter!$H$7,Parameter!$H$5+Parameter!$H$6+Parameter!$H$7))-(AM1171-AI1171))/AI1171)))</f>
        <v>1</v>
      </c>
      <c r="AO1171" s="50" t="n">
        <f aca="false">IF(LEFT(Cockpit!$I$5,1)="A",H1171,IF(CE1171=1,CF1171,IF(LEFT(Cockpit!$I$5,1)="B",AT1171,MAX(AT1171,H1171))))</f>
        <v>140</v>
      </c>
      <c r="AP1171" s="50" t="n">
        <f aca="false">IF(BW1171=1,0,ROUNDUP(AO1171/BV1171,0))</f>
        <v>2</v>
      </c>
      <c r="AQ1171" s="52" t="n">
        <f aca="false">IF(CL1171&gt;0,CL1171*MAX(1,AO1171/X1171),IF(BW1171=1,IF(AO1171&lt;=0,0,CA1171*MAX(1,IF(H1171&gt;0,AO1171/H1171,1))),IF(R1171&gt;0,AP1171/R1171,0))/MAX(0.1,N(Parameter!$M$21)))</f>
        <v>0.0769230769230769</v>
      </c>
      <c r="AR1171" s="50" t="n">
        <f aca="false">AQ1171*BY1171</f>
        <v>18.8461538461538</v>
      </c>
      <c r="AS1171" s="50" t="n">
        <f aca="false">AO1171*G1171</f>
        <v>34854.4</v>
      </c>
      <c r="AT1171" s="50" t="n">
        <f aca="false">ROUNDUP(MAX(J1171/IF(CD1171&gt;0,CD1171,MAX(0.1,N(Cockpit!$I$6))),CG1171)/BV1171,0)*BV1171</f>
        <v>140</v>
      </c>
      <c r="AU1171" s="51" t="n">
        <f aca="false">IF(AR1171&gt;0,J1171/AR1171,-1)</f>
        <v>11.4612244897959</v>
      </c>
      <c r="AV1171" s="51" t="n">
        <f aca="false">IF(AND(OR(CC1171="L1",CC1171="L23",CC1171="LIFT"),AR1171&gt;0),SUMIFS($AR$7:$AR$1843,$CC$7:$CC$1843,CC1171,$AU$7:$AU$1843,"&gt;"&amp;AU1171)+SUMIFS($AR$7:$AR$1843,$CC$7:$CC$1843,CC1171,$AU$7:$AU$1843,AU1171,$BT$7:$BT$1843,"&lt;="&amp;BT1171),"")</f>
        <v>3716.10576923077</v>
      </c>
      <c r="AW1171" s="58" t="n">
        <f aca="false">IF(AV1171="",0,MAX(0,MIN(1,(IF(CC1171="L1",Parameter!$H$5,IF(CC1171="L23",Parameter!$H$6+Parameter!$H$7,Parameter!$H$5+Parameter!$H$6+Parameter!$H$7))-(AV1171-AR1171))/AR1171)))</f>
        <v>1</v>
      </c>
      <c r="AX1171" s="50" t="n">
        <f aca="false">IF(LEFT(Cockpit!$O$5,1)="A",H1171,IF(CE1171=1,CF1171,IF(LEFT(Cockpit!$O$5,1)="B",BC1171,MAX(BC1171,H1171))))</f>
        <v>140</v>
      </c>
      <c r="AY1171" s="50" t="n">
        <f aca="false">IF(BW1171=1,0,ROUNDUP(AX1171/BV1171,0))</f>
        <v>2</v>
      </c>
      <c r="AZ1171" s="52" t="n">
        <f aca="false">IF(CL1171&gt;0,CL1171*MAX(1,AX1171/X1171),IF(BW1171=1,IF(AX1171&lt;=0,0,CA1171*MAX(1,IF(H1171&gt;0,AX1171/H1171,1))),IF(R1171&gt;0,AY1171/R1171,0))/MAX(0.1,N(Parameter!$M$21)))</f>
        <v>0.0769230769230769</v>
      </c>
      <c r="BA1171" s="50" t="n">
        <f aca="false">AZ1171*BY1171</f>
        <v>18.8461538461538</v>
      </c>
      <c r="BB1171" s="50" t="n">
        <f aca="false">AX1171*G1171</f>
        <v>34854.4</v>
      </c>
      <c r="BC1171" s="50" t="n">
        <f aca="false">ROUNDUP(MAX(J1171/IF(CD1171&gt;0,CD1171,MAX(0.1,N(Cockpit!$O$6))),CG1171)/BV1171,0)*BV1171</f>
        <v>140</v>
      </c>
      <c r="BD1171" s="51" t="n">
        <f aca="false">IF(BA1171&gt;0,J1171/BA1171,-1)</f>
        <v>11.4612244897959</v>
      </c>
      <c r="BE1171" s="51" t="n">
        <f aca="false">IF(AND(OR(CC1171="L1",CC1171="L23",CC1171="LIFT"),BA1171&gt;0),SUMIFS($BA$7:$BA$1843,$CC$7:$CC$1843,CC1171,$BD$7:$BD$1843,"&gt;"&amp;BD1171)+SUMIFS($BA$7:$BA$1843,$CC$7:$CC$1843,CC1171,$BD$7:$BD$1843,BD1171,$BT$7:$BT$1843,"&lt;="&amp;BT1171),"")</f>
        <v>3353.8141025641</v>
      </c>
      <c r="BF1171" s="58" t="n">
        <f aca="false">IF(BE1171="",0,MAX(0,MIN(1,(IF(CC1171="L1",Parameter!$H$5,IF(CC1171="L23",Parameter!$H$6+Parameter!$H$7,Parameter!$H$5+Parameter!$H$6+Parameter!$H$7))-(BE1171-BA1171))/BA1171)))</f>
        <v>1</v>
      </c>
      <c r="BG1171" s="48" t="str">
        <f aca="false">IF(AI1171&lt;=0,"",IF(CC1171="Aussen","Aussenlager",IF(CC1171="-","Nicht im Lift",IF(AN1171&gt;=1,"Lift",IF(AN1171&lt;=0,"Aussenlager","teilweise")))))</f>
        <v>Lift</v>
      </c>
      <c r="BH1171" s="48" t="str">
        <f aca="false">IF(AR1171&lt;=0,"",IF(CC1171="Aussen","Aussenlager",IF(CC1171="-","Nicht im Lift",IF(AW1171&gt;=1,"Lift",IF(AW1171&lt;=0,"Aussenlager","teilweise")))))</f>
        <v>Lift</v>
      </c>
      <c r="BI1171" s="48" t="str">
        <f aca="false">IF(BA1171&lt;=0,"",IF(CC1171="Aussen","Aussenlager",IF(CC1171="-","Nicht im Lift",IF(BF1171&gt;=1,"Lift",IF(BF1171&lt;=0,"Aussenlager","teilweise")))))</f>
        <v>Lift</v>
      </c>
      <c r="BJ1171" s="48" t="str">
        <f aca="false">IF(A1171="","",IF(BS1171=1,"Neu; ","")&amp;IF(AND(BS1171=0,BN1171&lt;0),"negativer Bestand (Export "&amp;BN1171&amp;"); ","")&amp;IF(J1171&lt;=0,"Kein Verbrauch; ","")&amp;IF(CL1171&gt;0,"Lift "&amp;W1171&amp;" lt. Liftbericht (Fach "&amp;X1171&amp;" Stk); ",IF(BX1171=1,"Gebinde geschätzt ("&amp;T1171&amp;"); ",IF(BW1171=1,"Lose – Tablare geschätzt; ","")))&amp;IF(H1171&gt;AT1171,"Überbestand "&amp;ROUND(H1171-AT1171,0)&amp;" Stk / CHF "&amp;ROUND((H1171-AT1171)*G1171,0)&amp;"; ","")&amp;IF(AND(CE1171=1,CF1171&lt;CG1171),"MAX &lt; MB+LG; ","")&amp;IF(AND(CK1171&gt;0,CJ1171*10&gt;CK1171),"zu hoch für Tablar; ","")&amp;IF(AND(BS1171=0,OR(CE1171=1,AA1171&lt;&gt;"",U1171&lt;&gt;"",V1171&lt;&gt;"",AB1171&lt;&gt;"")),"manuell übersteuert; ","")&amp;IF(AND(BW1171=0,R1171=0),"Gebinde unbekannt / Stellmass fehlt; ","")&amp;IF(AND(BW1171=0,N(V1171)&lt;=0,N(Q1171)&lt;=0),"Menge pro Gebinde fehlt (Ist = 1 Gebinde); ","")&amp;BR1171)</f>
        <v>negativer Bestand (Export -3); </v>
      </c>
      <c r="BK1171" s="48"/>
      <c r="BL1171" s="48"/>
      <c r="BM1171" s="55"/>
      <c r="BN1171" s="50" t="n">
        <v>-3</v>
      </c>
      <c r="BO1171" s="50" t="n">
        <v>27</v>
      </c>
      <c r="BP1171" s="49" t="n">
        <v>-357.91999999998</v>
      </c>
      <c r="BQ1171" s="50" t="n">
        <v>216</v>
      </c>
      <c r="BR1171" s="48"/>
      <c r="BS1171" s="53" t="n">
        <v>0</v>
      </c>
      <c r="BT1171" s="53" t="n">
        <v>1171</v>
      </c>
      <c r="BU1171" s="48" t="str">
        <f aca="false">IF(U1171&lt;&gt;"",UPPER(TRIM(U1171)),IF(BX1171=1,UPPER(VLOOKUP(T1171,Parameter!$I$27:$K$29,2,0)),IF(P1171="","LOSE",P1171)))</f>
        <v>S52</v>
      </c>
      <c r="BV1171" s="50" t="n">
        <f aca="false">IF(BU1171="LOSE",1,IF(N(V1171)&gt;0,V1171,IF(BX1171=1,MAX(1,N(VLOOKUP(T1171,Parameter!$I$27:$K$29,3,0)),H1171,N(N1171)),IF(N(Q1171)&gt;0,Q1171,MAX(1,H1171)))))</f>
        <v>70</v>
      </c>
      <c r="BW1171" s="53" t="n">
        <f aca="false">IF(BU1171="LOSE",1,0)</f>
        <v>0</v>
      </c>
      <c r="BX1171" s="53" t="n">
        <f aca="false">IF(AND(U1171="",OR(P1171="",P1171="LOSE"),T1171&lt;&gt;"",N(S1171)&lt;=0,ISNUMBER(MATCH(T1171,Parameter!$I$27:$I$29,0))),1,0)</f>
        <v>0</v>
      </c>
      <c r="BY1171" s="53" t="n">
        <f aca="false">IF(CL1171&gt;0,INDEX(Parameter!$H$5:$H$7,W1171)/INDEX(Parameter!$E$5:$E$7,W1171),IF(AND(BW1171=0,N(IFERROR(VLOOKUP(BU1171,'Gebinde-Kategorie'!$A$5:$N$45,14,0),0))&gt;0),VLOOKUP(BU1171,'Gebinde-Kategorie'!$A$5:$N$45,14,0)*10+Parameter!$M$23,Parameter!$M$24))</f>
        <v>245</v>
      </c>
      <c r="BZ1171" s="48" t="str">
        <f aca="false">IF(AND(Parameter!$B$19="Ja",E1171&lt;&gt;"",ISNUMBER(MATCH(E1171,Parameter!$I$35:$I$52,0))),VLOOKUP(E1171,Parameter!$I$35:$J$52,2,0),IFERROR(VLOOKUP(D1171,Parameter!$A$35:$C$64,2,0),"Nein"))</f>
        <v>2+3</v>
      </c>
      <c r="CA1171" s="52" t="n">
        <f aca="false">IF(BW1171=0,0,IF(N(S1171)&gt;0,S1171,IFERROR(VLOOKUP(D1171,Parameter!$A$35:$C$64,3,0)+0,0)))</f>
        <v>0</v>
      </c>
      <c r="CB1171" s="48" t="n">
        <f aca="false">IF(AA1171&lt;&gt;"",AA1171,Z1171)</f>
        <v>3</v>
      </c>
      <c r="CC1171" s="48" t="str">
        <f aca="false">IF(OR(CB1171=1,CB1171=2,CB1171=3),IF(Parameter!$E$27="Ja","LIFT",IF(CB1171=1,"L1","L23")),IF(CB1171="Aussen","Aussen","-"))</f>
        <v>LIFT</v>
      </c>
      <c r="CD1171" s="59" t="n">
        <f aca="false">IF(N(AB1171)&gt;0,AB1171,0)</f>
        <v>0</v>
      </c>
      <c r="CE1171" s="53" t="n">
        <f aca="false">IF(ISNUMBER(AE1171),1,0)</f>
        <v>0</v>
      </c>
      <c r="CF1171" s="50" t="n">
        <f aca="false">N(AE1171)</f>
        <v>0</v>
      </c>
      <c r="CG1171" s="50" t="n">
        <f aca="false">N(M1171)+N(N1171)</f>
        <v>37</v>
      </c>
      <c r="CH1171" s="50" t="n">
        <f aca="false">ROUNDUP(H1171/BV1171,0)</f>
        <v>1</v>
      </c>
      <c r="CI1171" s="50" t="n">
        <f aca="false">ROUNDUP(CF1171/BV1171,0)</f>
        <v>0</v>
      </c>
      <c r="CJ1171" s="53" t="n">
        <f aca="false">IF(BW1171=1,0,IFERROR(VLOOKUP(BU1171,'Gebinde-Kategorie'!$A$5:$N$45,5,0)+0,0))</f>
        <v>21</v>
      </c>
      <c r="CK1171" s="53" t="n">
        <f aca="false">IFERROR(IF(OR(CB1171=1,CB1171=2,CB1171=3),N(INDEX(Parameter!$I$5:$I$7,CB1171)),0),0)</f>
        <v>0</v>
      </c>
      <c r="CL1171" s="52" t="n">
        <f aca="false">IF(AND(Parameter!$B$21="Ja",ISNUMBER(W1171),N(X1171)&gt;0),IFERROR(N(INDEX(Parameter!$L$5:$L$7,W1171))*INDEX(Parameter!$E$5:$E$7,W1171)*X1171/SUMIFS($X$7:$X$1843,$W$7:$W$1843,W1171),0),0)</f>
        <v>0</v>
      </c>
    </row>
    <row r="1172" customFormat="false" ht="15" hidden="false" customHeight="false" outlineLevel="0" collapsed="false">
      <c r="A1172" s="48" t="s">
        <v>2114</v>
      </c>
      <c r="B1172" s="48" t="s">
        <v>2115</v>
      </c>
      <c r="C1172" s="48" t="s">
        <v>168</v>
      </c>
      <c r="D1172" s="48" t="s">
        <v>177</v>
      </c>
      <c r="E1172" s="48" t="s">
        <v>170</v>
      </c>
      <c r="F1172" s="48" t="s">
        <v>222</v>
      </c>
      <c r="G1172" s="49" t="n">
        <v>360</v>
      </c>
      <c r="H1172" s="50" t="n">
        <f aca="false">MAX(0,IF(AND(Parameter!$B$21="Ja",ISNUMBER(Y1172)),Y1172,IF(Parameter!$B$20="Jahresanfang 2025 + Export",BO1172+BN1172,BN1172)))</f>
        <v>13</v>
      </c>
      <c r="I1172" s="50" t="n">
        <f aca="false">H1172*G1172</f>
        <v>4680</v>
      </c>
      <c r="J1172" s="50" t="n">
        <f aca="false">BQ1172*Parameter!$B$18</f>
        <v>0</v>
      </c>
      <c r="K1172" s="51" t="n">
        <v>14</v>
      </c>
      <c r="L1172" s="52" t="n">
        <v>0</v>
      </c>
      <c r="M1172" s="50" t="n">
        <v>0</v>
      </c>
      <c r="N1172" s="50" t="n">
        <v>1</v>
      </c>
      <c r="O1172" s="53" t="n">
        <v>28</v>
      </c>
      <c r="P1172" s="48" t="s">
        <v>230</v>
      </c>
      <c r="Q1172" s="50" t="n">
        <v>15</v>
      </c>
      <c r="R1172" s="53" t="n">
        <f aca="false">IF(BW1172=1,0,IFERROR(VLOOKUP(BU1172,'Gebinde-Kategorie'!$A$5:$N$45,13,0)+0,0))</f>
        <v>12</v>
      </c>
      <c r="S1172" s="54"/>
      <c r="T1172" s="55"/>
      <c r="U1172" s="55"/>
      <c r="V1172" s="55"/>
      <c r="W1172" s="48"/>
      <c r="X1172" s="50"/>
      <c r="Y1172" s="50"/>
      <c r="Z1172" s="48" t="n">
        <f aca="false">IF(A1172="","",IF(AND(Parameter!$B$21="Ja",ISNUMBER(W1172)),W1172,IF(BZ1172="2+3",IF(ISNUMBER(SEARCH("grosser Artikel",BR1172)),2,IFERROR(VLOOKUP(BU1172,Parameter!$F$35:$G$64,2,0),2)),IF(OR(BZ1172="Nein",BZ1172=""),"-",BZ1172))))</f>
        <v>1</v>
      </c>
      <c r="AA1172" s="55"/>
      <c r="AB1172" s="56"/>
      <c r="AC1172" s="50" t="n">
        <f aca="false">AT1172</f>
        <v>15</v>
      </c>
      <c r="AD1172" s="50" t="n">
        <f aca="false">MAX(AT1172,H1172)</f>
        <v>15</v>
      </c>
      <c r="AE1172" s="57"/>
      <c r="AF1172" s="50" t="n">
        <f aca="false">IF(LEFT(Cockpit!$C$5,1)="A",H1172,IF(CE1172=1,CF1172,IF(LEFT(Cockpit!$C$5,1)="B",AK1172,MAX(AK1172,H1172))))</f>
        <v>13</v>
      </c>
      <c r="AG1172" s="50" t="n">
        <f aca="false">IF(BW1172=1,0,ROUNDUP(AF1172/BV1172,0))</f>
        <v>1</v>
      </c>
      <c r="AH1172" s="52" t="n">
        <f aca="false">IF(CL1172&gt;0,CL1172*MAX(1,AF1172/X1172),IF(BW1172=1,IF(AF1172&lt;=0,0,CA1172*MAX(1,IF(H1172&gt;0,AF1172/H1172,1))),IF(R1172&gt;0,AG1172/R1172,0))/MAX(0.1,N(Parameter!$M$21)))</f>
        <v>0.0833333333333333</v>
      </c>
      <c r="AI1172" s="50" t="n">
        <f aca="false">AH1172*BY1172</f>
        <v>28.75</v>
      </c>
      <c r="AJ1172" s="50" t="n">
        <f aca="false">AF1172*G1172</f>
        <v>4680</v>
      </c>
      <c r="AK1172" s="50" t="n">
        <f aca="false">ROUNDUP(MAX(J1172/IF(CD1172&gt;0,CD1172,MAX(0.1,N(Cockpit!$C$6))),CG1172)/BV1172,0)*BV1172</f>
        <v>15</v>
      </c>
      <c r="AL1172" s="51" t="n">
        <f aca="false">IF(AI1172&gt;0,J1172/AI1172,-1)</f>
        <v>0</v>
      </c>
      <c r="AM1172" s="51" t="n">
        <f aca="false">IF(AND(OR(CC1172="L1",CC1172="L23",CC1172="LIFT"),AI1172&gt;0),SUMIFS($AI$7:$AI$1843,$CC$7:$CC$1843,CC1172,$AL$7:$AL$1843,"&gt;"&amp;AL1172)+SUMIFS($AI$7:$AI$1843,$CC$7:$CC$1843,CC1172,$AL$7:$AL$1843,AL1172,$BT$7:$BT$1843,"&lt;="&amp;BT1172),"")</f>
        <v>29395.5532816995</v>
      </c>
      <c r="AN1172" s="58" t="n">
        <f aca="false">IF(AM1172="",0,MAX(0,MIN(1,(IF(CC1172="L1",Parameter!$H$5,IF(CC1172="L23",Parameter!$H$6+Parameter!$H$7,Parameter!$H$5+Parameter!$H$6+Parameter!$H$7))-(AM1172-AI1172))/AI1172)))</f>
        <v>1</v>
      </c>
      <c r="AO1172" s="50" t="n">
        <f aca="false">IF(LEFT(Cockpit!$I$5,1)="A",H1172,IF(CE1172=1,CF1172,IF(LEFT(Cockpit!$I$5,1)="B",AT1172,MAX(AT1172,H1172))))</f>
        <v>15</v>
      </c>
      <c r="AP1172" s="50" t="n">
        <f aca="false">IF(BW1172=1,0,ROUNDUP(AO1172/BV1172,0))</f>
        <v>1</v>
      </c>
      <c r="AQ1172" s="52" t="n">
        <f aca="false">IF(CL1172&gt;0,CL1172*MAX(1,AO1172/X1172),IF(BW1172=1,IF(AO1172&lt;=0,0,CA1172*MAX(1,IF(H1172&gt;0,AO1172/H1172,1))),IF(R1172&gt;0,AP1172/R1172,0))/MAX(0.1,N(Parameter!$M$21)))</f>
        <v>0.0833333333333333</v>
      </c>
      <c r="AR1172" s="50" t="n">
        <f aca="false">AQ1172*BY1172</f>
        <v>28.75</v>
      </c>
      <c r="AS1172" s="50" t="n">
        <f aca="false">AO1172*G1172</f>
        <v>5400</v>
      </c>
      <c r="AT1172" s="50" t="n">
        <f aca="false">ROUNDUP(MAX(J1172/IF(CD1172&gt;0,CD1172,MAX(0.1,N(Cockpit!$I$6))),CG1172)/BV1172,0)*BV1172</f>
        <v>15</v>
      </c>
      <c r="AU1172" s="51" t="n">
        <f aca="false">IF(AR1172&gt;0,J1172/AR1172,-1)</f>
        <v>0</v>
      </c>
      <c r="AV1172" s="51" t="n">
        <f aca="false">IF(AND(OR(CC1172="L1",CC1172="L23",CC1172="LIFT"),AR1172&gt;0),SUMIFS($AR$7:$AR$1843,$CC$7:$CC$1843,CC1172,$AU$7:$AU$1843,"&gt;"&amp;AU1172)+SUMIFS($AR$7:$AR$1843,$CC$7:$CC$1843,CC1172,$AU$7:$AU$1843,AU1172,$BT$7:$BT$1843,"&lt;="&amp;BT1172),"")</f>
        <v>41158.7165828522</v>
      </c>
      <c r="AW1172" s="58" t="n">
        <f aca="false">IF(AV1172="",0,MAX(0,MIN(1,(IF(CC1172="L1",Parameter!$H$5,IF(CC1172="L23",Parameter!$H$6+Parameter!$H$7,Parameter!$H$5+Parameter!$H$6+Parameter!$H$7))-(AV1172-AR1172))/AR1172)))</f>
        <v>0</v>
      </c>
      <c r="AX1172" s="50" t="n">
        <f aca="false">IF(LEFT(Cockpit!$O$5,1)="A",H1172,IF(CE1172=1,CF1172,IF(LEFT(Cockpit!$O$5,1)="B",BC1172,MAX(BC1172,H1172))))</f>
        <v>15</v>
      </c>
      <c r="AY1172" s="50" t="n">
        <f aca="false">IF(BW1172=1,0,ROUNDUP(AX1172/BV1172,0))</f>
        <v>1</v>
      </c>
      <c r="AZ1172" s="52" t="n">
        <f aca="false">IF(CL1172&gt;0,CL1172*MAX(1,AX1172/X1172),IF(BW1172=1,IF(AX1172&lt;=0,0,CA1172*MAX(1,IF(H1172&gt;0,AX1172/H1172,1))),IF(R1172&gt;0,AY1172/R1172,0))/MAX(0.1,N(Parameter!$M$21)))</f>
        <v>0.0833333333333333</v>
      </c>
      <c r="BA1172" s="50" t="n">
        <f aca="false">AZ1172*BY1172</f>
        <v>28.75</v>
      </c>
      <c r="BB1172" s="50" t="n">
        <f aca="false">AX1172*G1172</f>
        <v>5400</v>
      </c>
      <c r="BC1172" s="50" t="n">
        <f aca="false">ROUNDUP(MAX(J1172/IF(CD1172&gt;0,CD1172,MAX(0.1,N(Cockpit!$O$6))),CG1172)/BV1172,0)*BV1172</f>
        <v>15</v>
      </c>
      <c r="BD1172" s="51" t="n">
        <f aca="false">IF(BA1172&gt;0,J1172/BA1172,-1)</f>
        <v>0</v>
      </c>
      <c r="BE1172" s="51" t="n">
        <f aca="false">IF(AND(OR(CC1172="L1",CC1172="L23",CC1172="LIFT"),BA1172&gt;0),SUMIFS($BA$7:$BA$1843,$CC$7:$CC$1843,CC1172,$BD$7:$BD$1843,"&gt;"&amp;BD1172)+SUMIFS($BA$7:$BA$1843,$CC$7:$CC$1843,CC1172,$BD$7:$BD$1843,BD1172,$BT$7:$BT$1843,"&lt;="&amp;BT1172),"")</f>
        <v>37833.728624718</v>
      </c>
      <c r="BF1172" s="58" t="n">
        <f aca="false">IF(BE1172="",0,MAX(0,MIN(1,(IF(CC1172="L1",Parameter!$H$5,IF(CC1172="L23",Parameter!$H$6+Parameter!$H$7,Parameter!$H$5+Parameter!$H$6+Parameter!$H$7))-(BE1172-BA1172))/BA1172)))</f>
        <v>0</v>
      </c>
      <c r="BG1172" s="48" t="str">
        <f aca="false">IF(AI1172&lt;=0,"",IF(CC1172="Aussen","Aussenlager",IF(CC1172="-","Nicht im Lift",IF(AN1172&gt;=1,"Lift",IF(AN1172&lt;=0,"Aussenlager","teilweise")))))</f>
        <v>Lift</v>
      </c>
      <c r="BH1172" s="48" t="str">
        <f aca="false">IF(AR1172&lt;=0,"",IF(CC1172="Aussen","Aussenlager",IF(CC1172="-","Nicht im Lift",IF(AW1172&gt;=1,"Lift",IF(AW1172&lt;=0,"Aussenlager","teilweise")))))</f>
        <v>Aussenlager</v>
      </c>
      <c r="BI1172" s="48" t="str">
        <f aca="false">IF(BA1172&lt;=0,"",IF(CC1172="Aussen","Aussenlager",IF(CC1172="-","Nicht im Lift",IF(BF1172&gt;=1,"Lift",IF(BF1172&lt;=0,"Aussenlager","teilweise")))))</f>
        <v>Aussenlager</v>
      </c>
      <c r="BJ1172" s="48" t="str">
        <f aca="false">IF(A1172="","",IF(BS1172=1,"Neu; ","")&amp;IF(AND(BS1172=0,BN1172&lt;0),"negativer Bestand (Export "&amp;BN1172&amp;"); ","")&amp;IF(J1172&lt;=0,"Kein Verbrauch; ","")&amp;IF(CL1172&gt;0,"Lift "&amp;W1172&amp;" lt. Liftbericht (Fach "&amp;X1172&amp;" Stk); ",IF(BX1172=1,"Gebinde geschätzt ("&amp;T1172&amp;"); ",IF(BW1172=1,"Lose – Tablare geschätzt; ","")))&amp;IF(H1172&gt;AT1172,"Überbestand "&amp;ROUND(H1172-AT1172,0)&amp;" Stk / CHF "&amp;ROUND((H1172-AT1172)*G1172,0)&amp;"; ","")&amp;IF(AND(CE1172=1,CF1172&lt;CG1172),"MAX &lt; MB+LG; ","")&amp;IF(AND(CK1172&gt;0,CJ1172*10&gt;CK1172),"zu hoch für Tablar; ","")&amp;IF(AND(BS1172=0,OR(CE1172=1,AA1172&lt;&gt;"",U1172&lt;&gt;"",V1172&lt;&gt;"",AB1172&lt;&gt;"")),"manuell übersteuert; ","")&amp;IF(AND(BW1172=0,R1172=0),"Gebinde unbekannt / Stellmass fehlt; ","")&amp;IF(AND(BW1172=0,N(V1172)&lt;=0,N(Q1172)&lt;=0),"Menge pro Gebinde fehlt (Ist = 1 Gebinde); ","")&amp;BR1172)</f>
        <v>negativer Bestand (Export -1); Kein Verbrauch; </v>
      </c>
      <c r="BK1172" s="48"/>
      <c r="BL1172" s="48"/>
      <c r="BM1172" s="55"/>
      <c r="BN1172" s="50" t="n">
        <v>-1</v>
      </c>
      <c r="BO1172" s="50" t="n">
        <v>14</v>
      </c>
      <c r="BP1172" s="49" t="n">
        <v>-360</v>
      </c>
      <c r="BQ1172" s="50" t="n">
        <v>0</v>
      </c>
      <c r="BR1172" s="48"/>
      <c r="BS1172" s="53" t="n">
        <v>0</v>
      </c>
      <c r="BT1172" s="53" t="n">
        <v>1172</v>
      </c>
      <c r="BU1172" s="48" t="str">
        <f aca="false">IF(U1172&lt;&gt;"",UPPER(TRIM(U1172)),IF(BX1172=1,UPPER(VLOOKUP(T1172,Parameter!$I$27:$K$29,2,0)),IF(P1172="","LOSE",P1172)))</f>
        <v>S63</v>
      </c>
      <c r="BV1172" s="50" t="n">
        <f aca="false">IF(BU1172="LOSE",1,IF(N(V1172)&gt;0,V1172,IF(BX1172=1,MAX(1,N(VLOOKUP(T1172,Parameter!$I$27:$K$29,3,0)),H1172,N(N1172)),IF(N(Q1172)&gt;0,Q1172,MAX(1,H1172)))))</f>
        <v>15</v>
      </c>
      <c r="BW1172" s="53" t="n">
        <f aca="false">IF(BU1172="LOSE",1,0)</f>
        <v>0</v>
      </c>
      <c r="BX1172" s="53" t="n">
        <f aca="false">IF(AND(U1172="",OR(P1172="",P1172="LOSE"),T1172&lt;&gt;"",N(S1172)&lt;=0,ISNUMBER(MATCH(T1172,Parameter!$I$27:$I$29,0))),1,0)</f>
        <v>0</v>
      </c>
      <c r="BY1172" s="53" t="n">
        <f aca="false">IF(CL1172&gt;0,INDEX(Parameter!$H$5:$H$7,W1172)/INDEX(Parameter!$E$5:$E$7,W1172),IF(AND(BW1172=0,N(IFERROR(VLOOKUP(BU1172,'Gebinde-Kategorie'!$A$5:$N$45,14,0),0))&gt;0),VLOOKUP(BU1172,'Gebinde-Kategorie'!$A$5:$N$45,14,0)*10+Parameter!$M$23,Parameter!$M$24))</f>
        <v>345</v>
      </c>
      <c r="BZ1172" s="48" t="n">
        <f aca="false">IF(AND(Parameter!$B$19="Ja",E1172&lt;&gt;"",ISNUMBER(MATCH(E1172,Parameter!$I$35:$I$52,0))),VLOOKUP(E1172,Parameter!$I$35:$J$52,2,0),IFERROR(VLOOKUP(D1172,Parameter!$A$35:$C$64,2,0),"Nein"))</f>
        <v>1</v>
      </c>
      <c r="CA1172" s="52" t="n">
        <f aca="false">IF(BW1172=0,0,IF(N(S1172)&gt;0,S1172,IFERROR(VLOOKUP(D1172,Parameter!$A$35:$C$64,3,0)+0,0)))</f>
        <v>0</v>
      </c>
      <c r="CB1172" s="48" t="n">
        <f aca="false">IF(AA1172&lt;&gt;"",AA1172,Z1172)</f>
        <v>1</v>
      </c>
      <c r="CC1172" s="48" t="str">
        <f aca="false">IF(OR(CB1172=1,CB1172=2,CB1172=3),IF(Parameter!$E$27="Ja","LIFT",IF(CB1172=1,"L1","L23")),IF(CB1172="Aussen","Aussen","-"))</f>
        <v>LIFT</v>
      </c>
      <c r="CD1172" s="59" t="n">
        <f aca="false">IF(N(AB1172)&gt;0,AB1172,0)</f>
        <v>0</v>
      </c>
      <c r="CE1172" s="53" t="n">
        <f aca="false">IF(ISNUMBER(AE1172),1,0)</f>
        <v>0</v>
      </c>
      <c r="CF1172" s="50" t="n">
        <f aca="false">N(AE1172)</f>
        <v>0</v>
      </c>
      <c r="CG1172" s="50" t="n">
        <f aca="false">N(M1172)+N(N1172)</f>
        <v>1</v>
      </c>
      <c r="CH1172" s="50" t="n">
        <f aca="false">ROUNDUP(H1172/BV1172,0)</f>
        <v>1</v>
      </c>
      <c r="CI1172" s="50" t="n">
        <f aca="false">ROUNDUP(CF1172/BV1172,0)</f>
        <v>0</v>
      </c>
      <c r="CJ1172" s="53" t="n">
        <f aca="false">IF(BW1172=1,0,IFERROR(VLOOKUP(BU1172,'Gebinde-Kategorie'!$A$5:$N$45,5,0)+0,0))</f>
        <v>31</v>
      </c>
      <c r="CK1172" s="53" t="n">
        <f aca="false">IFERROR(IF(OR(CB1172=1,CB1172=2,CB1172=3),N(INDEX(Parameter!$I$5:$I$7,CB1172)),0),0)</f>
        <v>0</v>
      </c>
      <c r="CL1172" s="52" t="n">
        <f aca="false">IF(AND(Parameter!$B$21="Ja",ISNUMBER(W1172),N(X1172)&gt;0),IFERROR(N(INDEX(Parameter!$L$5:$L$7,W1172))*INDEX(Parameter!$E$5:$E$7,W1172)*X1172/SUMIFS($X$7:$X$1843,$W$7:$W$1843,W1172),0),0)</f>
        <v>0</v>
      </c>
    </row>
    <row r="1173" customFormat="false" ht="15" hidden="false" customHeight="false" outlineLevel="0" collapsed="false">
      <c r="A1173" s="48" t="s">
        <v>2116</v>
      </c>
      <c r="B1173" s="48" t="s">
        <v>843</v>
      </c>
      <c r="C1173" s="48" t="s">
        <v>460</v>
      </c>
      <c r="D1173" s="48" t="s">
        <v>188</v>
      </c>
      <c r="E1173" s="48" t="s">
        <v>189</v>
      </c>
      <c r="F1173" s="48" t="s">
        <v>222</v>
      </c>
      <c r="G1173" s="49" t="n">
        <v>32.8</v>
      </c>
      <c r="H1173" s="50" t="n">
        <f aca="false">MAX(0,IF(AND(Parameter!$B$21="Ja",ISNUMBER(Y1173)),Y1173,IF(Parameter!$B$20="Jahresanfang 2025 + Export",BO1173+BN1173,BN1173)))</f>
        <v>0</v>
      </c>
      <c r="I1173" s="50" t="n">
        <f aca="false">H1173*G1173</f>
        <v>0</v>
      </c>
      <c r="J1173" s="50" t="n">
        <f aca="false">BQ1173*Parameter!$B$18</f>
        <v>0</v>
      </c>
      <c r="K1173" s="51" t="n">
        <v>9.5</v>
      </c>
      <c r="L1173" s="52" t="n">
        <v>0</v>
      </c>
      <c r="M1173" s="50" t="n">
        <v>0</v>
      </c>
      <c r="N1173" s="50" t="n">
        <v>1</v>
      </c>
      <c r="O1173" s="53" t="n">
        <v>28</v>
      </c>
      <c r="P1173" s="48" t="s">
        <v>306</v>
      </c>
      <c r="Q1173" s="50" t="n">
        <v>11</v>
      </c>
      <c r="R1173" s="53" t="n">
        <f aca="false">IF(BW1173=1,0,IFERROR(VLOOKUP(BU1173,'Gebinde-Kategorie'!$A$5:$N$45,13,0)+0,0))</f>
        <v>26</v>
      </c>
      <c r="S1173" s="54"/>
      <c r="T1173" s="55"/>
      <c r="U1173" s="55"/>
      <c r="V1173" s="55"/>
      <c r="W1173" s="48"/>
      <c r="X1173" s="50"/>
      <c r="Y1173" s="50"/>
      <c r="Z1173" s="48" t="n">
        <f aca="false">IF(A1173="","",IF(AND(Parameter!$B$21="Ja",ISNUMBER(W1173)),W1173,IF(BZ1173="2+3",IF(ISNUMBER(SEARCH("grosser Artikel",BR1173)),2,IFERROR(VLOOKUP(BU1173,Parameter!$F$35:$G$64,2,0),2)),IF(OR(BZ1173="Nein",BZ1173=""),"-",BZ1173))))</f>
        <v>3</v>
      </c>
      <c r="AA1173" s="55"/>
      <c r="AB1173" s="56"/>
      <c r="AC1173" s="50" t="n">
        <f aca="false">AT1173</f>
        <v>11</v>
      </c>
      <c r="AD1173" s="50" t="n">
        <f aca="false">MAX(AT1173,H1173)</f>
        <v>11</v>
      </c>
      <c r="AE1173" s="57"/>
      <c r="AF1173" s="50" t="n">
        <f aca="false">IF(LEFT(Cockpit!$C$5,1)="A",H1173,IF(CE1173=1,CF1173,IF(LEFT(Cockpit!$C$5,1)="B",AK1173,MAX(AK1173,H1173))))</f>
        <v>0</v>
      </c>
      <c r="AG1173" s="50" t="n">
        <f aca="false">IF(BW1173=1,0,ROUNDUP(AF1173/BV1173,0))</f>
        <v>0</v>
      </c>
      <c r="AH1173" s="52" t="n">
        <f aca="false">IF(CL1173&gt;0,CL1173*MAX(1,AF1173/X1173),IF(BW1173=1,IF(AF1173&lt;=0,0,CA1173*MAX(1,IF(H1173&gt;0,AF1173/H1173,1))),IF(R1173&gt;0,AG1173/R1173,0))/MAX(0.1,N(Parameter!$M$21)))</f>
        <v>0</v>
      </c>
      <c r="AI1173" s="50" t="n">
        <f aca="false">AH1173*BY1173</f>
        <v>0</v>
      </c>
      <c r="AJ1173" s="50" t="n">
        <f aca="false">AF1173*G1173</f>
        <v>0</v>
      </c>
      <c r="AK1173" s="50" t="n">
        <f aca="false">ROUNDUP(MAX(J1173/IF(CD1173&gt;0,CD1173,MAX(0.1,N(Cockpit!$C$6))),CG1173)/BV1173,0)*BV1173</f>
        <v>11</v>
      </c>
      <c r="AL1173" s="51" t="n">
        <f aca="false">IF(AI1173&gt;0,J1173/AI1173,-1)</f>
        <v>-1</v>
      </c>
      <c r="AM1173" s="51" t="str">
        <f aca="false">IF(AND(OR(CC1173="L1",CC1173="L23",CC1173="LIFT"),AI1173&gt;0),SUMIFS($AI$7:$AI$1843,$CC$7:$CC$1843,CC1173,$AL$7:$AL$1843,"&gt;"&amp;AL1173)+SUMIFS($AI$7:$AI$1843,$CC$7:$CC$1843,CC1173,$AL$7:$AL$1843,AL1173,$BT$7:$BT$1843,"&lt;="&amp;BT1173),"")</f>
        <v/>
      </c>
      <c r="AN1173" s="58" t="n">
        <f aca="false">IF(AM1173="",0,MAX(0,MIN(1,(IF(CC1173="L1",Parameter!$H$5,IF(CC1173="L23",Parameter!$H$6+Parameter!$H$7,Parameter!$H$5+Parameter!$H$6+Parameter!$H$7))-(AM1173-AI1173))/AI1173)))</f>
        <v>0</v>
      </c>
      <c r="AO1173" s="50" t="n">
        <f aca="false">IF(LEFT(Cockpit!$I$5,1)="A",H1173,IF(CE1173=1,CF1173,IF(LEFT(Cockpit!$I$5,1)="B",AT1173,MAX(AT1173,H1173))))</f>
        <v>11</v>
      </c>
      <c r="AP1173" s="50" t="n">
        <f aca="false">IF(BW1173=1,0,ROUNDUP(AO1173/BV1173,0))</f>
        <v>1</v>
      </c>
      <c r="AQ1173" s="52" t="n">
        <f aca="false">IF(CL1173&gt;0,CL1173*MAX(1,AO1173/X1173),IF(BW1173=1,IF(AO1173&lt;=0,0,CA1173*MAX(1,IF(H1173&gt;0,AO1173/H1173,1))),IF(R1173&gt;0,AP1173/R1173,0))/MAX(0.1,N(Parameter!$M$21)))</f>
        <v>0.0384615384615385</v>
      </c>
      <c r="AR1173" s="50" t="n">
        <f aca="false">AQ1173*BY1173</f>
        <v>5.96153846153846</v>
      </c>
      <c r="AS1173" s="50" t="n">
        <f aca="false">AO1173*G1173</f>
        <v>360.8</v>
      </c>
      <c r="AT1173" s="50" t="n">
        <f aca="false">ROUNDUP(MAX(J1173/IF(CD1173&gt;0,CD1173,MAX(0.1,N(Cockpit!$I$6))),CG1173)/BV1173,0)*BV1173</f>
        <v>11</v>
      </c>
      <c r="AU1173" s="51" t="n">
        <f aca="false">IF(AR1173&gt;0,J1173/AR1173,-1)</f>
        <v>0</v>
      </c>
      <c r="AV1173" s="51" t="n">
        <f aca="false">IF(AND(OR(CC1173="L1",CC1173="L23",CC1173="LIFT"),AR1173&gt;0),SUMIFS($AR$7:$AR$1843,$CC$7:$CC$1843,CC1173,$AU$7:$AU$1843,"&gt;"&amp;AU1173)+SUMIFS($AR$7:$AR$1843,$CC$7:$CC$1843,CC1173,$AU$7:$AU$1843,AU1173,$BT$7:$BT$1843,"&lt;="&amp;BT1173),"")</f>
        <v>41164.6781213137</v>
      </c>
      <c r="AW1173" s="58" t="n">
        <f aca="false">IF(AV1173="",0,MAX(0,MIN(1,(IF(CC1173="L1",Parameter!$H$5,IF(CC1173="L23",Parameter!$H$6+Parameter!$H$7,Parameter!$H$5+Parameter!$H$6+Parameter!$H$7))-(AV1173-AR1173))/AR1173)))</f>
        <v>0</v>
      </c>
      <c r="AX1173" s="50" t="n">
        <f aca="false">IF(LEFT(Cockpit!$O$5,1)="A",H1173,IF(CE1173=1,CF1173,IF(LEFT(Cockpit!$O$5,1)="B",BC1173,MAX(BC1173,H1173))))</f>
        <v>11</v>
      </c>
      <c r="AY1173" s="50" t="n">
        <f aca="false">IF(BW1173=1,0,ROUNDUP(AX1173/BV1173,0))</f>
        <v>1</v>
      </c>
      <c r="AZ1173" s="52" t="n">
        <f aca="false">IF(CL1173&gt;0,CL1173*MAX(1,AX1173/X1173),IF(BW1173=1,IF(AX1173&lt;=0,0,CA1173*MAX(1,IF(H1173&gt;0,AX1173/H1173,1))),IF(R1173&gt;0,AY1173/R1173,0))/MAX(0.1,N(Parameter!$M$21)))</f>
        <v>0.0384615384615385</v>
      </c>
      <c r="BA1173" s="50" t="n">
        <f aca="false">AZ1173*BY1173</f>
        <v>5.96153846153846</v>
      </c>
      <c r="BB1173" s="50" t="n">
        <f aca="false">AX1173*G1173</f>
        <v>360.8</v>
      </c>
      <c r="BC1173" s="50" t="n">
        <f aca="false">ROUNDUP(MAX(J1173/IF(CD1173&gt;0,CD1173,MAX(0.1,N(Cockpit!$O$6))),CG1173)/BV1173,0)*BV1173</f>
        <v>11</v>
      </c>
      <c r="BD1173" s="51" t="n">
        <f aca="false">IF(BA1173&gt;0,J1173/BA1173,-1)</f>
        <v>0</v>
      </c>
      <c r="BE1173" s="51" t="n">
        <f aca="false">IF(AND(OR(CC1173="L1",CC1173="L23",CC1173="LIFT"),BA1173&gt;0),SUMIFS($BA$7:$BA$1843,$CC$7:$CC$1843,CC1173,$BD$7:$BD$1843,"&gt;"&amp;BD1173)+SUMIFS($BA$7:$BA$1843,$CC$7:$CC$1843,CC1173,$BD$7:$BD$1843,BD1173,$BT$7:$BT$1843,"&lt;="&amp;BT1173),"")</f>
        <v>37839.6901631796</v>
      </c>
      <c r="BF1173" s="58" t="n">
        <f aca="false">IF(BE1173="",0,MAX(0,MIN(1,(IF(CC1173="L1",Parameter!$H$5,IF(CC1173="L23",Parameter!$H$6+Parameter!$H$7,Parameter!$H$5+Parameter!$H$6+Parameter!$H$7))-(BE1173-BA1173))/BA1173)))</f>
        <v>0</v>
      </c>
      <c r="BG1173" s="48" t="str">
        <f aca="false">IF(AI1173&lt;=0,"",IF(CC1173="Aussen","Aussenlager",IF(CC1173="-","Nicht im Lift",IF(AN1173&gt;=1,"Lift",IF(AN1173&lt;=0,"Aussenlager","teilweise")))))</f>
        <v/>
      </c>
      <c r="BH1173" s="48" t="str">
        <f aca="false">IF(AR1173&lt;=0,"",IF(CC1173="Aussen","Aussenlager",IF(CC1173="-","Nicht im Lift",IF(AW1173&gt;=1,"Lift",IF(AW1173&lt;=0,"Aussenlager","teilweise")))))</f>
        <v>Aussenlager</v>
      </c>
      <c r="BI1173" s="48" t="str">
        <f aca="false">IF(BA1173&lt;=0,"",IF(CC1173="Aussen","Aussenlager",IF(CC1173="-","Nicht im Lift",IF(BF1173&gt;=1,"Lift",IF(BF1173&lt;=0,"Aussenlager","teilweise")))))</f>
        <v>Aussenlager</v>
      </c>
      <c r="BJ1173" s="48" t="str">
        <f aca="false">IF(A1173="","",IF(BS1173=1,"Neu; ","")&amp;IF(AND(BS1173=0,BN1173&lt;0),"negativer Bestand (Export "&amp;BN1173&amp;"); ","")&amp;IF(J1173&lt;=0,"Kein Verbrauch; ","")&amp;IF(CL1173&gt;0,"Lift "&amp;W1173&amp;" lt. Liftbericht (Fach "&amp;X1173&amp;" Stk); ",IF(BX1173=1,"Gebinde geschätzt ("&amp;T1173&amp;"); ",IF(BW1173=1,"Lose – Tablare geschätzt; ","")))&amp;IF(H1173&gt;AT1173,"Überbestand "&amp;ROUND(H1173-AT1173,0)&amp;" Stk / CHF "&amp;ROUND((H1173-AT1173)*G1173,0)&amp;"; ","")&amp;IF(AND(CE1173=1,CF1173&lt;CG1173),"MAX &lt; MB+LG; ","")&amp;IF(AND(CK1173&gt;0,CJ1173*10&gt;CK1173),"zu hoch für Tablar; ","")&amp;IF(AND(BS1173=0,OR(CE1173=1,AA1173&lt;&gt;"",U1173&lt;&gt;"",V1173&lt;&gt;"",AB1173&lt;&gt;"")),"manuell übersteuert; ","")&amp;IF(AND(BW1173=0,R1173=0),"Gebinde unbekannt / Stellmass fehlt; ","")&amp;IF(AND(BW1173=0,N(V1173)&lt;=0,N(Q1173)&lt;=0),"Menge pro Gebinde fehlt (Ist = 1 Gebinde); ","")&amp;BR1173)</f>
        <v>negativer Bestand (Export -11); Kein Verbrauch; </v>
      </c>
      <c r="BK1173" s="48"/>
      <c r="BL1173" s="48"/>
      <c r="BM1173" s="55"/>
      <c r="BN1173" s="50" t="n">
        <v>-11</v>
      </c>
      <c r="BO1173" s="50" t="n">
        <v>11</v>
      </c>
      <c r="BP1173" s="49" t="n">
        <v>-360.8</v>
      </c>
      <c r="BQ1173" s="50" t="n">
        <v>0</v>
      </c>
      <c r="BR1173" s="48"/>
      <c r="BS1173" s="53" t="n">
        <v>0</v>
      </c>
      <c r="BT1173" s="53" t="n">
        <v>1173</v>
      </c>
      <c r="BU1173" s="48" t="str">
        <f aca="false">IF(U1173&lt;&gt;"",UPPER(TRIM(U1173)),IF(BX1173=1,UPPER(VLOOKUP(T1173,Parameter!$I$27:$K$29,2,0)),IF(P1173="","LOSE",P1173)))</f>
        <v>S51</v>
      </c>
      <c r="BV1173" s="50" t="n">
        <f aca="false">IF(BU1173="LOSE",1,IF(N(V1173)&gt;0,V1173,IF(BX1173=1,MAX(1,N(VLOOKUP(T1173,Parameter!$I$27:$K$29,3,0)),H1173,N(N1173)),IF(N(Q1173)&gt;0,Q1173,MAX(1,H1173)))))</f>
        <v>11</v>
      </c>
      <c r="BW1173" s="53" t="n">
        <f aca="false">IF(BU1173="LOSE",1,0)</f>
        <v>0</v>
      </c>
      <c r="BX1173" s="53" t="n">
        <f aca="false">IF(AND(U1173="",OR(P1173="",P1173="LOSE"),T1173&lt;&gt;"",N(S1173)&lt;=0,ISNUMBER(MATCH(T1173,Parameter!$I$27:$I$29,0))),1,0)</f>
        <v>0</v>
      </c>
      <c r="BY1173" s="53" t="n">
        <f aca="false">IF(CL1173&gt;0,INDEX(Parameter!$H$5:$H$7,W1173)/INDEX(Parameter!$E$5:$E$7,W1173),IF(AND(BW1173=0,N(IFERROR(VLOOKUP(BU1173,'Gebinde-Kategorie'!$A$5:$N$45,14,0),0))&gt;0),VLOOKUP(BU1173,'Gebinde-Kategorie'!$A$5:$N$45,14,0)*10+Parameter!$M$23,Parameter!$M$24))</f>
        <v>155</v>
      </c>
      <c r="BZ1173" s="48" t="str">
        <f aca="false">IF(AND(Parameter!$B$19="Ja",E1173&lt;&gt;"",ISNUMBER(MATCH(E1173,Parameter!$I$35:$I$52,0))),VLOOKUP(E1173,Parameter!$I$35:$J$52,2,0),IFERROR(VLOOKUP(D1173,Parameter!$A$35:$C$64,2,0),"Nein"))</f>
        <v>2+3</v>
      </c>
      <c r="CA1173" s="52" t="n">
        <f aca="false">IF(BW1173=0,0,IF(N(S1173)&gt;0,S1173,IFERROR(VLOOKUP(D1173,Parameter!$A$35:$C$64,3,0)+0,0)))</f>
        <v>0</v>
      </c>
      <c r="CB1173" s="48" t="n">
        <f aca="false">IF(AA1173&lt;&gt;"",AA1173,Z1173)</f>
        <v>3</v>
      </c>
      <c r="CC1173" s="48" t="str">
        <f aca="false">IF(OR(CB1173=1,CB1173=2,CB1173=3),IF(Parameter!$E$27="Ja","LIFT",IF(CB1173=1,"L1","L23")),IF(CB1173="Aussen","Aussen","-"))</f>
        <v>LIFT</v>
      </c>
      <c r="CD1173" s="59" t="n">
        <f aca="false">IF(N(AB1173)&gt;0,AB1173,0)</f>
        <v>0</v>
      </c>
      <c r="CE1173" s="53" t="n">
        <f aca="false">IF(ISNUMBER(AE1173),1,0)</f>
        <v>0</v>
      </c>
      <c r="CF1173" s="50" t="n">
        <f aca="false">N(AE1173)</f>
        <v>0</v>
      </c>
      <c r="CG1173" s="50" t="n">
        <f aca="false">N(M1173)+N(N1173)</f>
        <v>1</v>
      </c>
      <c r="CH1173" s="50" t="n">
        <f aca="false">ROUNDUP(H1173/BV1173,0)</f>
        <v>0</v>
      </c>
      <c r="CI1173" s="50" t="n">
        <f aca="false">ROUNDUP(CF1173/BV1173,0)</f>
        <v>0</v>
      </c>
      <c r="CJ1173" s="53" t="n">
        <f aca="false">IF(BW1173=1,0,IFERROR(VLOOKUP(BU1173,'Gebinde-Kategorie'!$A$5:$N$45,5,0)+0,0))</f>
        <v>11</v>
      </c>
      <c r="CK1173" s="53" t="n">
        <f aca="false">IFERROR(IF(OR(CB1173=1,CB1173=2,CB1173=3),N(INDEX(Parameter!$I$5:$I$7,CB1173)),0),0)</f>
        <v>0</v>
      </c>
      <c r="CL1173" s="52" t="n">
        <f aca="false">IF(AND(Parameter!$B$21="Ja",ISNUMBER(W1173),N(X1173)&gt;0),IFERROR(N(INDEX(Parameter!$L$5:$L$7,W1173))*INDEX(Parameter!$E$5:$E$7,W1173)*X1173/SUMIFS($X$7:$X$1843,$W$7:$W$1843,W1173),0),0)</f>
        <v>0</v>
      </c>
    </row>
    <row r="1174" customFormat="false" ht="15" hidden="false" customHeight="false" outlineLevel="0" collapsed="false">
      <c r="A1174" s="48" t="s">
        <v>2117</v>
      </c>
      <c r="B1174" s="48" t="s">
        <v>2118</v>
      </c>
      <c r="C1174" s="48" t="s">
        <v>168</v>
      </c>
      <c r="D1174" s="48" t="s">
        <v>188</v>
      </c>
      <c r="E1174" s="48" t="s">
        <v>189</v>
      </c>
      <c r="F1174" s="48" t="s">
        <v>222</v>
      </c>
      <c r="G1174" s="49" t="n">
        <v>369.23</v>
      </c>
      <c r="H1174" s="50" t="n">
        <f aca="false">MAX(0,IF(AND(Parameter!$B$21="Ja",ISNUMBER(Y1174)),Y1174,IF(Parameter!$B$20="Jahresanfang 2025 + Export",BO1174+BN1174,BN1174)))</f>
        <v>5</v>
      </c>
      <c r="I1174" s="50" t="n">
        <f aca="false">H1174*G1174</f>
        <v>1846.15</v>
      </c>
      <c r="J1174" s="50" t="n">
        <f aca="false">BQ1174*Parameter!$B$18</f>
        <v>3</v>
      </c>
      <c r="K1174" s="51" t="n">
        <v>6.5</v>
      </c>
      <c r="L1174" s="52" t="n">
        <v>0.461538461538462</v>
      </c>
      <c r="M1174" s="50" t="n">
        <v>0</v>
      </c>
      <c r="N1174" s="50" t="n">
        <v>5</v>
      </c>
      <c r="O1174" s="53" t="n">
        <v>28</v>
      </c>
      <c r="P1174" s="48" t="s">
        <v>230</v>
      </c>
      <c r="Q1174" s="50" t="n">
        <v>4</v>
      </c>
      <c r="R1174" s="53" t="n">
        <f aca="false">IF(BW1174=1,0,IFERROR(VLOOKUP(BU1174,'Gebinde-Kategorie'!$A$5:$N$45,13,0)+0,0))</f>
        <v>12</v>
      </c>
      <c r="S1174" s="54"/>
      <c r="T1174" s="55"/>
      <c r="U1174" s="55"/>
      <c r="V1174" s="55"/>
      <c r="W1174" s="48"/>
      <c r="X1174" s="50"/>
      <c r="Y1174" s="50"/>
      <c r="Z1174" s="48" t="n">
        <f aca="false">IF(A1174="","",IF(AND(Parameter!$B$21="Ja",ISNUMBER(W1174)),W1174,IF(BZ1174="2+3",IF(ISNUMBER(SEARCH("grosser Artikel",BR1174)),2,IFERROR(VLOOKUP(BU1174,Parameter!$F$35:$G$64,2,0),2)),IF(OR(BZ1174="Nein",BZ1174=""),"-",BZ1174))))</f>
        <v>2</v>
      </c>
      <c r="AA1174" s="55"/>
      <c r="AB1174" s="56"/>
      <c r="AC1174" s="50" t="n">
        <f aca="false">AT1174</f>
        <v>8</v>
      </c>
      <c r="AD1174" s="50" t="n">
        <f aca="false">MAX(AT1174,H1174)</f>
        <v>8</v>
      </c>
      <c r="AE1174" s="57"/>
      <c r="AF1174" s="50" t="n">
        <f aca="false">IF(LEFT(Cockpit!$C$5,1)="A",H1174,IF(CE1174=1,CF1174,IF(LEFT(Cockpit!$C$5,1)="B",AK1174,MAX(AK1174,H1174))))</f>
        <v>5</v>
      </c>
      <c r="AG1174" s="50" t="n">
        <f aca="false">IF(BW1174=1,0,ROUNDUP(AF1174/BV1174,0))</f>
        <v>2</v>
      </c>
      <c r="AH1174" s="52" t="n">
        <f aca="false">IF(CL1174&gt;0,CL1174*MAX(1,AF1174/X1174),IF(BW1174=1,IF(AF1174&lt;=0,0,CA1174*MAX(1,IF(H1174&gt;0,AF1174/H1174,1))),IF(R1174&gt;0,AG1174/R1174,0))/MAX(0.1,N(Parameter!$M$21)))</f>
        <v>0.166666666666667</v>
      </c>
      <c r="AI1174" s="50" t="n">
        <f aca="false">AH1174*BY1174</f>
        <v>57.5</v>
      </c>
      <c r="AJ1174" s="50" t="n">
        <f aca="false">AF1174*G1174</f>
        <v>1846.15</v>
      </c>
      <c r="AK1174" s="50" t="n">
        <f aca="false">ROUNDUP(MAX(J1174/IF(CD1174&gt;0,CD1174,MAX(0.1,N(Cockpit!$C$6))),CG1174)/BV1174,0)*BV1174</f>
        <v>8</v>
      </c>
      <c r="AL1174" s="51" t="n">
        <f aca="false">IF(AI1174&gt;0,J1174/AI1174,-1)</f>
        <v>0.0521739130434783</v>
      </c>
      <c r="AM1174" s="51" t="n">
        <f aca="false">IF(AND(OR(CC1174="L1",CC1174="L23",CC1174="LIFT"),AI1174&gt;0),SUMIFS($AI$7:$AI$1843,$CC$7:$CC$1843,CC1174,$AL$7:$AL$1843,"&gt;"&amp;AL1174)+SUMIFS($AI$7:$AI$1843,$CC$7:$CC$1843,CC1174,$AL$7:$AL$1843,AL1174,$BT$7:$BT$1843,"&lt;="&amp;BT1174),"")</f>
        <v>19141.5624547298</v>
      </c>
      <c r="AN1174" s="58" t="n">
        <f aca="false">IF(AM1174="",0,MAX(0,MIN(1,(IF(CC1174="L1",Parameter!$H$5,IF(CC1174="L23",Parameter!$H$6+Parameter!$H$7,Parameter!$H$5+Parameter!$H$6+Parameter!$H$7))-(AM1174-AI1174))/AI1174)))</f>
        <v>1</v>
      </c>
      <c r="AO1174" s="50" t="n">
        <f aca="false">IF(LEFT(Cockpit!$I$5,1)="A",H1174,IF(CE1174=1,CF1174,IF(LEFT(Cockpit!$I$5,1)="B",AT1174,MAX(AT1174,H1174))))</f>
        <v>8</v>
      </c>
      <c r="AP1174" s="50" t="n">
        <f aca="false">IF(BW1174=1,0,ROUNDUP(AO1174/BV1174,0))</f>
        <v>2</v>
      </c>
      <c r="AQ1174" s="52" t="n">
        <f aca="false">IF(CL1174&gt;0,CL1174*MAX(1,AO1174/X1174),IF(BW1174=1,IF(AO1174&lt;=0,0,CA1174*MAX(1,IF(H1174&gt;0,AO1174/H1174,1))),IF(R1174&gt;0,AP1174/R1174,0))/MAX(0.1,N(Parameter!$M$21)))</f>
        <v>0.166666666666667</v>
      </c>
      <c r="AR1174" s="50" t="n">
        <f aca="false">AQ1174*BY1174</f>
        <v>57.5</v>
      </c>
      <c r="AS1174" s="50" t="n">
        <f aca="false">AO1174*G1174</f>
        <v>2953.84</v>
      </c>
      <c r="AT1174" s="50" t="n">
        <f aca="false">ROUNDUP(MAX(J1174/IF(CD1174&gt;0,CD1174,MAX(0.1,N(Cockpit!$I$6))),CG1174)/BV1174,0)*BV1174</f>
        <v>8</v>
      </c>
      <c r="AU1174" s="51" t="n">
        <f aca="false">IF(AR1174&gt;0,J1174/AR1174,-1)</f>
        <v>0.0521739130434783</v>
      </c>
      <c r="AV1174" s="51" t="n">
        <f aca="false">IF(AND(OR(CC1174="L1",CC1174="L23",CC1174="LIFT"),AR1174&gt;0),SUMIFS($AR$7:$AR$1843,$CC$7:$CC$1843,CC1174,$AU$7:$AU$1843,"&gt;"&amp;AU1174)+SUMIFS($AR$7:$AR$1843,$CC$7:$CC$1843,CC1174,$AU$7:$AU$1843,AU1174,$BT$7:$BT$1843,"&lt;="&amp;BT1174),"")</f>
        <v>29800.1200435628</v>
      </c>
      <c r="AW1174" s="58" t="n">
        <f aca="false">IF(AV1174="",0,MAX(0,MIN(1,(IF(CC1174="L1",Parameter!$H$5,IF(CC1174="L23",Parameter!$H$6+Parameter!$H$7,Parameter!$H$5+Parameter!$H$6+Parameter!$H$7))-(AV1174-AR1174))/AR1174)))</f>
        <v>1</v>
      </c>
      <c r="AX1174" s="50" t="n">
        <f aca="false">IF(LEFT(Cockpit!$O$5,1)="A",H1174,IF(CE1174=1,CF1174,IF(LEFT(Cockpit!$O$5,1)="B",BC1174,MAX(BC1174,H1174))))</f>
        <v>8</v>
      </c>
      <c r="AY1174" s="50" t="n">
        <f aca="false">IF(BW1174=1,0,ROUNDUP(AX1174/BV1174,0))</f>
        <v>2</v>
      </c>
      <c r="AZ1174" s="52" t="n">
        <f aca="false">IF(CL1174&gt;0,CL1174*MAX(1,AX1174/X1174),IF(BW1174=1,IF(AX1174&lt;=0,0,CA1174*MAX(1,IF(H1174&gt;0,AX1174/H1174,1))),IF(R1174&gt;0,AY1174/R1174,0))/MAX(0.1,N(Parameter!$M$21)))</f>
        <v>0.166666666666667</v>
      </c>
      <c r="BA1174" s="50" t="n">
        <f aca="false">AZ1174*BY1174</f>
        <v>57.5</v>
      </c>
      <c r="BB1174" s="50" t="n">
        <f aca="false">AX1174*G1174</f>
        <v>2953.84</v>
      </c>
      <c r="BC1174" s="50" t="n">
        <f aca="false">ROUNDUP(MAX(J1174/IF(CD1174&gt;0,CD1174,MAX(0.1,N(Cockpit!$O$6))),CG1174)/BV1174,0)*BV1174</f>
        <v>8</v>
      </c>
      <c r="BD1174" s="51" t="n">
        <f aca="false">IF(BA1174&gt;0,J1174/BA1174,-1)</f>
        <v>0.0521739130434783</v>
      </c>
      <c r="BE1174" s="51" t="n">
        <f aca="false">IF(AND(OR(CC1174="L1",CC1174="L23",CC1174="LIFT"),BA1174&gt;0),SUMIFS($BA$7:$BA$1843,$CC$7:$CC$1843,CC1174,$BD$7:$BD$1843,"&gt;"&amp;BD1174)+SUMIFS($BA$7:$BA$1843,$CC$7:$CC$1843,CC1174,$BD$7:$BD$1843,BD1174,$BT$7:$BT$1843,"&lt;="&amp;BT1174),"")</f>
        <v>26475.1320854287</v>
      </c>
      <c r="BF1174" s="58" t="n">
        <f aca="false">IF(BE1174="",0,MAX(0,MIN(1,(IF(CC1174="L1",Parameter!$H$5,IF(CC1174="L23",Parameter!$H$6+Parameter!$H$7,Parameter!$H$5+Parameter!$H$6+Parameter!$H$7))-(BE1174-BA1174))/BA1174)))</f>
        <v>1</v>
      </c>
      <c r="BG1174" s="48" t="str">
        <f aca="false">IF(AI1174&lt;=0,"",IF(CC1174="Aussen","Aussenlager",IF(CC1174="-","Nicht im Lift",IF(AN1174&gt;=1,"Lift",IF(AN1174&lt;=0,"Aussenlager","teilweise")))))</f>
        <v>Lift</v>
      </c>
      <c r="BH1174" s="48" t="str">
        <f aca="false">IF(AR1174&lt;=0,"",IF(CC1174="Aussen","Aussenlager",IF(CC1174="-","Nicht im Lift",IF(AW1174&gt;=1,"Lift",IF(AW1174&lt;=0,"Aussenlager","teilweise")))))</f>
        <v>Lift</v>
      </c>
      <c r="BI1174" s="48" t="str">
        <f aca="false">IF(BA1174&lt;=0,"",IF(CC1174="Aussen","Aussenlager",IF(CC1174="-","Nicht im Lift",IF(BF1174&gt;=1,"Lift",IF(BF1174&lt;=0,"Aussenlager","teilweise")))))</f>
        <v>Lift</v>
      </c>
      <c r="BJ1174" s="48" t="str">
        <f aca="false">IF(A1174="","",IF(BS1174=1,"Neu; ","")&amp;IF(AND(BS1174=0,BN1174&lt;0),"negativer Bestand (Export "&amp;BN1174&amp;"); ","")&amp;IF(J1174&lt;=0,"Kein Verbrauch; ","")&amp;IF(CL1174&gt;0,"Lift "&amp;W1174&amp;" lt. Liftbericht (Fach "&amp;X1174&amp;" Stk); ",IF(BX1174=1,"Gebinde geschätzt ("&amp;T1174&amp;"); ",IF(BW1174=1,"Lose – Tablare geschätzt; ","")))&amp;IF(H1174&gt;AT1174,"Überbestand "&amp;ROUND(H1174-AT1174,0)&amp;" Stk / CHF "&amp;ROUND((H1174-AT1174)*G1174,0)&amp;"; ","")&amp;IF(AND(CE1174=1,CF1174&lt;CG1174),"MAX &lt; MB+LG; ","")&amp;IF(AND(CK1174&gt;0,CJ1174*10&gt;CK1174),"zu hoch für Tablar; ","")&amp;IF(AND(BS1174=0,OR(CE1174=1,AA1174&lt;&gt;"",U1174&lt;&gt;"",V1174&lt;&gt;"",AB1174&lt;&gt;"")),"manuell übersteuert; ","")&amp;IF(AND(BW1174=0,R1174=0),"Gebinde unbekannt / Stellmass fehlt; ","")&amp;IF(AND(BW1174=0,N(V1174)&lt;=0,N(Q1174)&lt;=0),"Menge pro Gebinde fehlt (Ist = 1 Gebinde); ","")&amp;BR1174)</f>
        <v>negativer Bestand (Export -1); nicht im KTL vorhanden</v>
      </c>
      <c r="BK1174" s="48"/>
      <c r="BL1174" s="48"/>
      <c r="BM1174" s="55"/>
      <c r="BN1174" s="50" t="n">
        <v>-1</v>
      </c>
      <c r="BO1174" s="50" t="n">
        <v>6</v>
      </c>
      <c r="BP1174" s="49" t="n">
        <v>-363.89</v>
      </c>
      <c r="BQ1174" s="50" t="n">
        <v>3</v>
      </c>
      <c r="BR1174" s="48" t="s">
        <v>234</v>
      </c>
      <c r="BS1174" s="53" t="n">
        <v>0</v>
      </c>
      <c r="BT1174" s="53" t="n">
        <v>1174</v>
      </c>
      <c r="BU1174" s="48" t="str">
        <f aca="false">IF(U1174&lt;&gt;"",UPPER(TRIM(U1174)),IF(BX1174=1,UPPER(VLOOKUP(T1174,Parameter!$I$27:$K$29,2,0)),IF(P1174="","LOSE",P1174)))</f>
        <v>S63</v>
      </c>
      <c r="BV1174" s="50" t="n">
        <f aca="false">IF(BU1174="LOSE",1,IF(N(V1174)&gt;0,V1174,IF(BX1174=1,MAX(1,N(VLOOKUP(T1174,Parameter!$I$27:$K$29,3,0)),H1174,N(N1174)),IF(N(Q1174)&gt;0,Q1174,MAX(1,H1174)))))</f>
        <v>4</v>
      </c>
      <c r="BW1174" s="53" t="n">
        <f aca="false">IF(BU1174="LOSE",1,0)</f>
        <v>0</v>
      </c>
      <c r="BX1174" s="53" t="n">
        <f aca="false">IF(AND(U1174="",OR(P1174="",P1174="LOSE"),T1174&lt;&gt;"",N(S1174)&lt;=0,ISNUMBER(MATCH(T1174,Parameter!$I$27:$I$29,0))),1,0)</f>
        <v>0</v>
      </c>
      <c r="BY1174" s="53" t="n">
        <f aca="false">IF(CL1174&gt;0,INDEX(Parameter!$H$5:$H$7,W1174)/INDEX(Parameter!$E$5:$E$7,W1174),IF(AND(BW1174=0,N(IFERROR(VLOOKUP(BU1174,'Gebinde-Kategorie'!$A$5:$N$45,14,0),0))&gt;0),VLOOKUP(BU1174,'Gebinde-Kategorie'!$A$5:$N$45,14,0)*10+Parameter!$M$23,Parameter!$M$24))</f>
        <v>345</v>
      </c>
      <c r="BZ1174" s="48" t="str">
        <f aca="false">IF(AND(Parameter!$B$19="Ja",E1174&lt;&gt;"",ISNUMBER(MATCH(E1174,Parameter!$I$35:$I$52,0))),VLOOKUP(E1174,Parameter!$I$35:$J$52,2,0),IFERROR(VLOOKUP(D1174,Parameter!$A$35:$C$64,2,0),"Nein"))</f>
        <v>2+3</v>
      </c>
      <c r="CA1174" s="52" t="n">
        <f aca="false">IF(BW1174=0,0,IF(N(S1174)&gt;0,S1174,IFERROR(VLOOKUP(D1174,Parameter!$A$35:$C$64,3,0)+0,0)))</f>
        <v>0</v>
      </c>
      <c r="CB1174" s="48" t="n">
        <f aca="false">IF(AA1174&lt;&gt;"",AA1174,Z1174)</f>
        <v>2</v>
      </c>
      <c r="CC1174" s="48" t="str">
        <f aca="false">IF(OR(CB1174=1,CB1174=2,CB1174=3),IF(Parameter!$E$27="Ja","LIFT",IF(CB1174=1,"L1","L23")),IF(CB1174="Aussen","Aussen","-"))</f>
        <v>LIFT</v>
      </c>
      <c r="CD1174" s="59" t="n">
        <f aca="false">IF(N(AB1174)&gt;0,AB1174,0)</f>
        <v>0</v>
      </c>
      <c r="CE1174" s="53" t="n">
        <f aca="false">IF(ISNUMBER(AE1174),1,0)</f>
        <v>0</v>
      </c>
      <c r="CF1174" s="50" t="n">
        <f aca="false">N(AE1174)</f>
        <v>0</v>
      </c>
      <c r="CG1174" s="50" t="n">
        <f aca="false">N(M1174)+N(N1174)</f>
        <v>5</v>
      </c>
      <c r="CH1174" s="50" t="n">
        <f aca="false">ROUNDUP(H1174/BV1174,0)</f>
        <v>2</v>
      </c>
      <c r="CI1174" s="50" t="n">
        <f aca="false">ROUNDUP(CF1174/BV1174,0)</f>
        <v>0</v>
      </c>
      <c r="CJ1174" s="53" t="n">
        <f aca="false">IF(BW1174=1,0,IFERROR(VLOOKUP(BU1174,'Gebinde-Kategorie'!$A$5:$N$45,5,0)+0,0))</f>
        <v>31</v>
      </c>
      <c r="CK1174" s="53" t="n">
        <f aca="false">IFERROR(IF(OR(CB1174=1,CB1174=2,CB1174=3),N(INDEX(Parameter!$I$5:$I$7,CB1174)),0),0)</f>
        <v>0</v>
      </c>
      <c r="CL1174" s="52" t="n">
        <f aca="false">IF(AND(Parameter!$B$21="Ja",ISNUMBER(W1174),N(X1174)&gt;0),IFERROR(N(INDEX(Parameter!$L$5:$L$7,W1174))*INDEX(Parameter!$E$5:$E$7,W1174)*X1174/SUMIFS($X$7:$X$1843,$W$7:$W$1843,W1174),0),0)</f>
        <v>0</v>
      </c>
    </row>
    <row r="1175" customFormat="false" ht="15" hidden="false" customHeight="false" outlineLevel="0" collapsed="false">
      <c r="A1175" s="48" t="s">
        <v>2119</v>
      </c>
      <c r="B1175" s="48" t="s">
        <v>2120</v>
      </c>
      <c r="C1175" s="48" t="s">
        <v>168</v>
      </c>
      <c r="D1175" s="48" t="s">
        <v>188</v>
      </c>
      <c r="E1175" s="48"/>
      <c r="F1175" s="48" t="s">
        <v>222</v>
      </c>
      <c r="G1175" s="49" t="n">
        <v>31.84</v>
      </c>
      <c r="H1175" s="50" t="n">
        <f aca="false">MAX(0,IF(AND(Parameter!$B$21="Ja",ISNUMBER(Y1175)),Y1175,IF(Parameter!$B$20="Jahresanfang 2025 + Export",BO1175+BN1175,BN1175)))</f>
        <v>0</v>
      </c>
      <c r="I1175" s="50" t="n">
        <f aca="false">H1175*G1175</f>
        <v>0</v>
      </c>
      <c r="J1175" s="50" t="n">
        <f aca="false">BQ1175*Parameter!$B$18</f>
        <v>10</v>
      </c>
      <c r="K1175" s="51" t="n">
        <v>6</v>
      </c>
      <c r="L1175" s="52" t="n">
        <v>1.66666666666667</v>
      </c>
      <c r="M1175" s="50" t="n">
        <v>0</v>
      </c>
      <c r="N1175" s="50" t="n">
        <v>10</v>
      </c>
      <c r="O1175" s="53" t="n">
        <v>14</v>
      </c>
      <c r="P1175" s="48" t="s">
        <v>172</v>
      </c>
      <c r="Q1175" s="50"/>
      <c r="R1175" s="53" t="n">
        <f aca="false">IF(BW1175=1,0,IFERROR(VLOOKUP(BU1175,'Gebinde-Kategorie'!$A$5:$N$45,13,0)+0,0))</f>
        <v>26</v>
      </c>
      <c r="S1175" s="54"/>
      <c r="T1175" s="55" t="s">
        <v>279</v>
      </c>
      <c r="U1175" s="55"/>
      <c r="V1175" s="55"/>
      <c r="W1175" s="48"/>
      <c r="X1175" s="50"/>
      <c r="Y1175" s="50"/>
      <c r="Z1175" s="48" t="n">
        <f aca="false">IF(A1175="","",IF(AND(Parameter!$B$21="Ja",ISNUMBER(W1175)),W1175,IF(BZ1175="2+3",IF(ISNUMBER(SEARCH("grosser Artikel",BR1175)),2,IFERROR(VLOOKUP(BU1175,Parameter!$F$35:$G$64,2,0),2)),IF(OR(BZ1175="Nein",BZ1175=""),"-",BZ1175))))</f>
        <v>3</v>
      </c>
      <c r="AA1175" s="55"/>
      <c r="AB1175" s="56"/>
      <c r="AC1175" s="50" t="n">
        <f aca="false">AT1175</f>
        <v>20</v>
      </c>
      <c r="AD1175" s="50" t="n">
        <f aca="false">MAX(AT1175,H1175)</f>
        <v>20</v>
      </c>
      <c r="AE1175" s="57"/>
      <c r="AF1175" s="50" t="n">
        <f aca="false">IF(LEFT(Cockpit!$C$5,1)="A",H1175,IF(CE1175=1,CF1175,IF(LEFT(Cockpit!$C$5,1)="B",AK1175,MAX(AK1175,H1175))))</f>
        <v>0</v>
      </c>
      <c r="AG1175" s="50" t="n">
        <f aca="false">IF(BW1175=1,0,ROUNDUP(AF1175/BV1175,0))</f>
        <v>0</v>
      </c>
      <c r="AH1175" s="52" t="n">
        <f aca="false">IF(CL1175&gt;0,CL1175*MAX(1,AF1175/X1175),IF(BW1175=1,IF(AF1175&lt;=0,0,CA1175*MAX(1,IF(H1175&gt;0,AF1175/H1175,1))),IF(R1175&gt;0,AG1175/R1175,0))/MAX(0.1,N(Parameter!$M$21)))</f>
        <v>0</v>
      </c>
      <c r="AI1175" s="50" t="n">
        <f aca="false">AH1175*BY1175</f>
        <v>0</v>
      </c>
      <c r="AJ1175" s="50" t="n">
        <f aca="false">AF1175*G1175</f>
        <v>0</v>
      </c>
      <c r="AK1175" s="50" t="n">
        <f aca="false">ROUNDUP(MAX(J1175/IF(CD1175&gt;0,CD1175,MAX(0.1,N(Cockpit!$C$6))),CG1175)/BV1175,0)*BV1175</f>
        <v>20</v>
      </c>
      <c r="AL1175" s="51" t="n">
        <f aca="false">IF(AI1175&gt;0,J1175/AI1175,-1)</f>
        <v>-1</v>
      </c>
      <c r="AM1175" s="51" t="str">
        <f aca="false">IF(AND(OR(CC1175="L1",CC1175="L23",CC1175="LIFT"),AI1175&gt;0),SUMIFS($AI$7:$AI$1843,$CC$7:$CC$1843,CC1175,$AL$7:$AL$1843,"&gt;"&amp;AL1175)+SUMIFS($AI$7:$AI$1843,$CC$7:$CC$1843,CC1175,$AL$7:$AL$1843,AL1175,$BT$7:$BT$1843,"&lt;="&amp;BT1175),"")</f>
        <v/>
      </c>
      <c r="AN1175" s="58" t="n">
        <f aca="false">IF(AM1175="",0,MAX(0,MIN(1,(IF(CC1175="L1",Parameter!$H$5,IF(CC1175="L23",Parameter!$H$6+Parameter!$H$7,Parameter!$H$5+Parameter!$H$6+Parameter!$H$7))-(AM1175-AI1175))/AI1175)))</f>
        <v>0</v>
      </c>
      <c r="AO1175" s="50" t="n">
        <f aca="false">IF(LEFT(Cockpit!$I$5,1)="A",H1175,IF(CE1175=1,CF1175,IF(LEFT(Cockpit!$I$5,1)="B",AT1175,MAX(AT1175,H1175))))</f>
        <v>20</v>
      </c>
      <c r="AP1175" s="50" t="n">
        <f aca="false">IF(BW1175=1,0,ROUNDUP(AO1175/BV1175,0))</f>
        <v>1</v>
      </c>
      <c r="AQ1175" s="52" t="n">
        <f aca="false">IF(CL1175&gt;0,CL1175*MAX(1,AO1175/X1175),IF(BW1175=1,IF(AO1175&lt;=0,0,CA1175*MAX(1,IF(H1175&gt;0,AO1175/H1175,1))),IF(R1175&gt;0,AP1175/R1175,0))/MAX(0.1,N(Parameter!$M$21)))</f>
        <v>0.0384615384615385</v>
      </c>
      <c r="AR1175" s="50" t="n">
        <f aca="false">AQ1175*BY1175</f>
        <v>5.96153846153846</v>
      </c>
      <c r="AS1175" s="50" t="n">
        <f aca="false">AO1175*G1175</f>
        <v>636.8</v>
      </c>
      <c r="AT1175" s="50" t="n">
        <f aca="false">ROUNDUP(MAX(J1175/IF(CD1175&gt;0,CD1175,MAX(0.1,N(Cockpit!$I$6))),CG1175)/BV1175,0)*BV1175</f>
        <v>20</v>
      </c>
      <c r="AU1175" s="51" t="n">
        <f aca="false">IF(AR1175&gt;0,J1175/AR1175,-1)</f>
        <v>1.67741935483871</v>
      </c>
      <c r="AV1175" s="51" t="n">
        <f aca="false">IF(AND(OR(CC1175="L1",CC1175="L23",CC1175="LIFT"),AR1175&gt;0),SUMIFS($AR$7:$AR$1843,$CC$7:$CC$1843,CC1175,$AU$7:$AU$1843,"&gt;"&amp;AU1175)+SUMIFS($AR$7:$AR$1843,$CC$7:$CC$1843,CC1175,$AU$7:$AU$1843,AU1175,$BT$7:$BT$1843,"&lt;="&amp;BT1175),"")</f>
        <v>8219.74450549451</v>
      </c>
      <c r="AW1175" s="58" t="n">
        <f aca="false">IF(AV1175="",0,MAX(0,MIN(1,(IF(CC1175="L1",Parameter!$H$5,IF(CC1175="L23",Parameter!$H$6+Parameter!$H$7,Parameter!$H$5+Parameter!$H$6+Parameter!$H$7))-(AV1175-AR1175))/AR1175)))</f>
        <v>1</v>
      </c>
      <c r="AX1175" s="50" t="n">
        <f aca="false">IF(LEFT(Cockpit!$O$5,1)="A",H1175,IF(CE1175=1,CF1175,IF(LEFT(Cockpit!$O$5,1)="B",BC1175,MAX(BC1175,H1175))))</f>
        <v>20</v>
      </c>
      <c r="AY1175" s="50" t="n">
        <f aca="false">IF(BW1175=1,0,ROUNDUP(AX1175/BV1175,0))</f>
        <v>1</v>
      </c>
      <c r="AZ1175" s="52" t="n">
        <f aca="false">IF(CL1175&gt;0,CL1175*MAX(1,AX1175/X1175),IF(BW1175=1,IF(AX1175&lt;=0,0,CA1175*MAX(1,IF(H1175&gt;0,AX1175/H1175,1))),IF(R1175&gt;0,AY1175/R1175,0))/MAX(0.1,N(Parameter!$M$21)))</f>
        <v>0.0384615384615385</v>
      </c>
      <c r="BA1175" s="50" t="n">
        <f aca="false">AZ1175*BY1175</f>
        <v>5.96153846153846</v>
      </c>
      <c r="BB1175" s="50" t="n">
        <f aca="false">AX1175*G1175</f>
        <v>636.8</v>
      </c>
      <c r="BC1175" s="50" t="n">
        <f aca="false">ROUNDUP(MAX(J1175/IF(CD1175&gt;0,CD1175,MAX(0.1,N(Cockpit!$O$6))),CG1175)/BV1175,0)*BV1175</f>
        <v>20</v>
      </c>
      <c r="BD1175" s="51" t="n">
        <f aca="false">IF(BA1175&gt;0,J1175/BA1175,-1)</f>
        <v>1.67741935483871</v>
      </c>
      <c r="BE1175" s="51" t="n">
        <f aca="false">IF(AND(OR(CC1175="L1",CC1175="L23",CC1175="LIFT"),BA1175&gt;0),SUMIFS($BA$7:$BA$1843,$CC$7:$CC$1843,CC1175,$BD$7:$BD$1843,"&gt;"&amp;BD1175)+SUMIFS($BA$7:$BA$1843,$CC$7:$CC$1843,CC1175,$BD$7:$BD$1843,BD1175,$BT$7:$BT$1843,"&lt;="&amp;BT1175),"")</f>
        <v>8134.15155677656</v>
      </c>
      <c r="BF1175" s="58" t="n">
        <f aca="false">IF(BE1175="",0,MAX(0,MIN(1,(IF(CC1175="L1",Parameter!$H$5,IF(CC1175="L23",Parameter!$H$6+Parameter!$H$7,Parameter!$H$5+Parameter!$H$6+Parameter!$H$7))-(BE1175-BA1175))/BA1175)))</f>
        <v>1</v>
      </c>
      <c r="BG1175" s="48" t="str">
        <f aca="false">IF(AI1175&lt;=0,"",IF(CC1175="Aussen","Aussenlager",IF(CC1175="-","Nicht im Lift",IF(AN1175&gt;=1,"Lift",IF(AN1175&lt;=0,"Aussenlager","teilweise")))))</f>
        <v/>
      </c>
      <c r="BH1175" s="48" t="str">
        <f aca="false">IF(AR1175&lt;=0,"",IF(CC1175="Aussen","Aussenlager",IF(CC1175="-","Nicht im Lift",IF(AW1175&gt;=1,"Lift",IF(AW1175&lt;=0,"Aussenlager","teilweise")))))</f>
        <v>Lift</v>
      </c>
      <c r="BI1175" s="48" t="str">
        <f aca="false">IF(BA1175&lt;=0,"",IF(CC1175="Aussen","Aussenlager",IF(CC1175="-","Nicht im Lift",IF(BF1175&gt;=1,"Lift",IF(BF1175&lt;=0,"Aussenlager","teilweise")))))</f>
        <v>Lift</v>
      </c>
      <c r="BJ1175" s="48" t="str">
        <f aca="false">IF(A1175="","",IF(BS1175=1,"Neu; ","")&amp;IF(AND(BS1175=0,BN1175&lt;0),"negativer Bestand (Export "&amp;BN1175&amp;"); ","")&amp;IF(J1175&lt;=0,"Kein Verbrauch; ","")&amp;IF(CL1175&gt;0,"Lift "&amp;W1175&amp;" lt. Liftbericht (Fach "&amp;X1175&amp;" Stk); ",IF(BX1175=1,"Gebinde geschätzt ("&amp;T1175&amp;"); ",IF(BW1175=1,"Lose – Tablare geschätzt; ","")))&amp;IF(H1175&gt;AT1175,"Überbestand "&amp;ROUND(H1175-AT1175,0)&amp;" Stk / CHF "&amp;ROUND((H1175-AT1175)*G1175,0)&amp;"; ","")&amp;IF(AND(CE1175=1,CF1175&lt;CG1175),"MAX &lt; MB+LG; ","")&amp;IF(AND(CK1175&gt;0,CJ1175*10&gt;CK1175),"zu hoch für Tablar; ","")&amp;IF(AND(BS1175=0,OR(CE1175=1,AA1175&lt;&gt;"",U1175&lt;&gt;"",V1175&lt;&gt;"",AB1175&lt;&gt;"")),"manuell übersteuert; ","")&amp;IF(AND(BW1175=0,R1175=0),"Gebinde unbekannt / Stellmass fehlt; ","")&amp;IF(AND(BW1175=0,N(V1175)&lt;=0,N(Q1175)&lt;=0),"Menge pro Gebinde fehlt (Ist = 1 Gebinde); ","")&amp;BR1175)</f>
        <v>negativer Bestand (Export -8); Gebinde geschätzt (Klein); Menge pro Gebinde fehlt (Ist = 1 Gebinde); </v>
      </c>
      <c r="BK1175" s="48"/>
      <c r="BL1175" s="48"/>
      <c r="BM1175" s="55"/>
      <c r="BN1175" s="50" t="n">
        <v>-8</v>
      </c>
      <c r="BO1175" s="50" t="n">
        <v>8</v>
      </c>
      <c r="BP1175" s="49" t="n">
        <v>-369.36</v>
      </c>
      <c r="BQ1175" s="50" t="n">
        <v>10</v>
      </c>
      <c r="BR1175" s="48"/>
      <c r="BS1175" s="53" t="n">
        <v>0</v>
      </c>
      <c r="BT1175" s="53" t="n">
        <v>1175</v>
      </c>
      <c r="BU1175" s="48" t="str">
        <f aca="false">IF(U1175&lt;&gt;"",UPPER(TRIM(U1175)),IF(BX1175=1,UPPER(VLOOKUP(T1175,Parameter!$I$27:$K$29,2,0)),IF(P1175="","LOSE",P1175)))</f>
        <v>S51</v>
      </c>
      <c r="BV1175" s="50" t="n">
        <f aca="false">IF(BU1175="LOSE",1,IF(N(V1175)&gt;0,V1175,IF(BX1175=1,MAX(1,N(VLOOKUP(T1175,Parameter!$I$27:$K$29,3,0)),H1175,N(N1175)),IF(N(Q1175)&gt;0,Q1175,MAX(1,H1175)))))</f>
        <v>20</v>
      </c>
      <c r="BW1175" s="53" t="n">
        <f aca="false">IF(BU1175="LOSE",1,0)</f>
        <v>0</v>
      </c>
      <c r="BX1175" s="53" t="n">
        <f aca="false">IF(AND(U1175="",OR(P1175="",P1175="LOSE"),T1175&lt;&gt;"",N(S1175)&lt;=0,ISNUMBER(MATCH(T1175,Parameter!$I$27:$I$29,0))),1,0)</f>
        <v>1</v>
      </c>
      <c r="BY1175" s="53" t="n">
        <f aca="false">IF(CL1175&gt;0,INDEX(Parameter!$H$5:$H$7,W1175)/INDEX(Parameter!$E$5:$E$7,W1175),IF(AND(BW1175=0,N(IFERROR(VLOOKUP(BU1175,'Gebinde-Kategorie'!$A$5:$N$45,14,0),0))&gt;0),VLOOKUP(BU1175,'Gebinde-Kategorie'!$A$5:$N$45,14,0)*10+Parameter!$M$23,Parameter!$M$24))</f>
        <v>155</v>
      </c>
      <c r="BZ1175" s="48" t="str">
        <f aca="false">IF(AND(Parameter!$B$19="Ja",E1175&lt;&gt;"",ISNUMBER(MATCH(E1175,Parameter!$I$35:$I$52,0))),VLOOKUP(E1175,Parameter!$I$35:$J$52,2,0),IFERROR(VLOOKUP(D1175,Parameter!$A$35:$C$64,2,0),"Nein"))</f>
        <v>2+3</v>
      </c>
      <c r="CA1175" s="52" t="n">
        <f aca="false">IF(BW1175=0,0,IF(N(S1175)&gt;0,S1175,IFERROR(VLOOKUP(D1175,Parameter!$A$35:$C$64,3,0)+0,0)))</f>
        <v>0</v>
      </c>
      <c r="CB1175" s="48" t="n">
        <f aca="false">IF(AA1175&lt;&gt;"",AA1175,Z1175)</f>
        <v>3</v>
      </c>
      <c r="CC1175" s="48" t="str">
        <f aca="false">IF(OR(CB1175=1,CB1175=2,CB1175=3),IF(Parameter!$E$27="Ja","LIFT",IF(CB1175=1,"L1","L23")),IF(CB1175="Aussen","Aussen","-"))</f>
        <v>LIFT</v>
      </c>
      <c r="CD1175" s="59" t="n">
        <f aca="false">IF(N(AB1175)&gt;0,AB1175,0)</f>
        <v>0</v>
      </c>
      <c r="CE1175" s="53" t="n">
        <f aca="false">IF(ISNUMBER(AE1175),1,0)</f>
        <v>0</v>
      </c>
      <c r="CF1175" s="50" t="n">
        <f aca="false">N(AE1175)</f>
        <v>0</v>
      </c>
      <c r="CG1175" s="50" t="n">
        <f aca="false">N(M1175)+N(N1175)</f>
        <v>10</v>
      </c>
      <c r="CH1175" s="50" t="n">
        <f aca="false">ROUNDUP(H1175/BV1175,0)</f>
        <v>0</v>
      </c>
      <c r="CI1175" s="50" t="n">
        <f aca="false">ROUNDUP(CF1175/BV1175,0)</f>
        <v>0</v>
      </c>
      <c r="CJ1175" s="53" t="n">
        <f aca="false">IF(BW1175=1,0,IFERROR(VLOOKUP(BU1175,'Gebinde-Kategorie'!$A$5:$N$45,5,0)+0,0))</f>
        <v>11</v>
      </c>
      <c r="CK1175" s="53" t="n">
        <f aca="false">IFERROR(IF(OR(CB1175=1,CB1175=2,CB1175=3),N(INDEX(Parameter!$I$5:$I$7,CB1175)),0),0)</f>
        <v>0</v>
      </c>
      <c r="CL1175" s="52" t="n">
        <f aca="false">IF(AND(Parameter!$B$21="Ja",ISNUMBER(W1175),N(X1175)&gt;0),IFERROR(N(INDEX(Parameter!$L$5:$L$7,W1175))*INDEX(Parameter!$E$5:$E$7,W1175)*X1175/SUMIFS($X$7:$X$1843,$W$7:$W$1843,W1175),0),0)</f>
        <v>0</v>
      </c>
    </row>
    <row r="1176" customFormat="false" ht="15" hidden="false" customHeight="false" outlineLevel="0" collapsed="false">
      <c r="A1176" s="48" t="s">
        <v>2121</v>
      </c>
      <c r="B1176" s="48" t="s">
        <v>2122</v>
      </c>
      <c r="C1176" s="48" t="s">
        <v>460</v>
      </c>
      <c r="D1176" s="48" t="s">
        <v>188</v>
      </c>
      <c r="E1176" s="48"/>
      <c r="F1176" s="48" t="s">
        <v>222</v>
      </c>
      <c r="G1176" s="49" t="n">
        <v>41.2</v>
      </c>
      <c r="H1176" s="50" t="n">
        <f aca="false">MAX(0,IF(AND(Parameter!$B$21="Ja",ISNUMBER(Y1176)),Y1176,IF(Parameter!$B$20="Jahresanfang 2025 + Export",BO1176+BN1176,BN1176)))</f>
        <v>9</v>
      </c>
      <c r="I1176" s="50" t="n">
        <f aca="false">H1176*G1176</f>
        <v>370.8</v>
      </c>
      <c r="J1176" s="50" t="n">
        <f aca="false">BQ1176*Parameter!$B$18</f>
        <v>9</v>
      </c>
      <c r="K1176" s="51" t="n">
        <v>9</v>
      </c>
      <c r="L1176" s="52" t="n">
        <v>1</v>
      </c>
      <c r="M1176" s="50" t="n">
        <v>0</v>
      </c>
      <c r="N1176" s="50" t="n">
        <v>10</v>
      </c>
      <c r="O1176" s="53" t="n">
        <v>21</v>
      </c>
      <c r="P1176" s="48" t="s">
        <v>172</v>
      </c>
      <c r="Q1176" s="50"/>
      <c r="R1176" s="53" t="n">
        <f aca="false">IF(BW1176=1,0,IFERROR(VLOOKUP(BU1176,'Gebinde-Kategorie'!$A$5:$N$45,13,0)+0,0))</f>
        <v>12</v>
      </c>
      <c r="S1176" s="54"/>
      <c r="T1176" s="55" t="s">
        <v>183</v>
      </c>
      <c r="U1176" s="55"/>
      <c r="V1176" s="55"/>
      <c r="W1176" s="48"/>
      <c r="X1176" s="50"/>
      <c r="Y1176" s="50"/>
      <c r="Z1176" s="48" t="n">
        <f aca="false">IF(A1176="","",IF(AND(Parameter!$B$21="Ja",ISNUMBER(W1176)),W1176,IF(BZ1176="2+3",IF(ISNUMBER(SEARCH("grosser Artikel",BR1176)),2,IFERROR(VLOOKUP(BU1176,Parameter!$F$35:$G$64,2,0),2)),IF(OR(BZ1176="Nein",BZ1176=""),"-",BZ1176))))</f>
        <v>2</v>
      </c>
      <c r="AA1176" s="55"/>
      <c r="AB1176" s="56"/>
      <c r="AC1176" s="50" t="n">
        <f aca="false">AT1176</f>
        <v>10</v>
      </c>
      <c r="AD1176" s="50" t="n">
        <f aca="false">MAX(AT1176,H1176)</f>
        <v>10</v>
      </c>
      <c r="AE1176" s="57"/>
      <c r="AF1176" s="50" t="n">
        <f aca="false">IF(LEFT(Cockpit!$C$5,1)="A",H1176,IF(CE1176=1,CF1176,IF(LEFT(Cockpit!$C$5,1)="B",AK1176,MAX(AK1176,H1176))))</f>
        <v>9</v>
      </c>
      <c r="AG1176" s="50" t="n">
        <f aca="false">IF(BW1176=1,0,ROUNDUP(AF1176/BV1176,0))</f>
        <v>1</v>
      </c>
      <c r="AH1176" s="52" t="n">
        <f aca="false">IF(CL1176&gt;0,CL1176*MAX(1,AF1176/X1176),IF(BW1176=1,IF(AF1176&lt;=0,0,CA1176*MAX(1,IF(H1176&gt;0,AF1176/H1176,1))),IF(R1176&gt;0,AG1176/R1176,0))/MAX(0.1,N(Parameter!$M$21)))</f>
        <v>0.0833333333333333</v>
      </c>
      <c r="AI1176" s="50" t="n">
        <f aca="false">AH1176*BY1176</f>
        <v>12.0833333333333</v>
      </c>
      <c r="AJ1176" s="50" t="n">
        <f aca="false">AF1176*G1176</f>
        <v>370.8</v>
      </c>
      <c r="AK1176" s="50" t="n">
        <f aca="false">ROUNDUP(MAX(J1176/IF(CD1176&gt;0,CD1176,MAX(0.1,N(Cockpit!$C$6))),CG1176)/BV1176,0)*BV1176</f>
        <v>10</v>
      </c>
      <c r="AL1176" s="51" t="n">
        <f aca="false">IF(AI1176&gt;0,J1176/AI1176,-1)</f>
        <v>0.744827586206897</v>
      </c>
      <c r="AM1176" s="51" t="n">
        <f aca="false">IF(AND(OR(CC1176="L1",CC1176="L23",CC1176="LIFT"),AI1176&gt;0),SUMIFS($AI$7:$AI$1843,$CC$7:$CC$1843,CC1176,$AL$7:$AL$1843,"&gt;"&amp;AL1176)+SUMIFS($AI$7:$AI$1843,$CC$7:$CC$1843,CC1176,$AL$7:$AL$1843,AL1176,$BT$7:$BT$1843,"&lt;="&amp;BT1176),"")</f>
        <v>8370.15064102564</v>
      </c>
      <c r="AN1176" s="58" t="n">
        <f aca="false">IF(AM1176="",0,MAX(0,MIN(1,(IF(CC1176="L1",Parameter!$H$5,IF(CC1176="L23",Parameter!$H$6+Parameter!$H$7,Parameter!$H$5+Parameter!$H$6+Parameter!$H$7))-(AM1176-AI1176))/AI1176)))</f>
        <v>1</v>
      </c>
      <c r="AO1176" s="50" t="n">
        <f aca="false">IF(LEFT(Cockpit!$I$5,1)="A",H1176,IF(CE1176=1,CF1176,IF(LEFT(Cockpit!$I$5,1)="B",AT1176,MAX(AT1176,H1176))))</f>
        <v>10</v>
      </c>
      <c r="AP1176" s="50" t="n">
        <f aca="false">IF(BW1176=1,0,ROUNDUP(AO1176/BV1176,0))</f>
        <v>1</v>
      </c>
      <c r="AQ1176" s="52" t="n">
        <f aca="false">IF(CL1176&gt;0,CL1176*MAX(1,AO1176/X1176),IF(BW1176=1,IF(AO1176&lt;=0,0,CA1176*MAX(1,IF(H1176&gt;0,AO1176/H1176,1))),IF(R1176&gt;0,AP1176/R1176,0))/MAX(0.1,N(Parameter!$M$21)))</f>
        <v>0.0833333333333333</v>
      </c>
      <c r="AR1176" s="50" t="n">
        <f aca="false">AQ1176*BY1176</f>
        <v>12.0833333333333</v>
      </c>
      <c r="AS1176" s="50" t="n">
        <f aca="false">AO1176*G1176</f>
        <v>412</v>
      </c>
      <c r="AT1176" s="50" t="n">
        <f aca="false">ROUNDUP(MAX(J1176/IF(CD1176&gt;0,CD1176,MAX(0.1,N(Cockpit!$I$6))),CG1176)/BV1176,0)*BV1176</f>
        <v>10</v>
      </c>
      <c r="AU1176" s="51" t="n">
        <f aca="false">IF(AR1176&gt;0,J1176/AR1176,-1)</f>
        <v>0.744827586206897</v>
      </c>
      <c r="AV1176" s="51" t="n">
        <f aca="false">IF(AND(OR(CC1176="L1",CC1176="L23",CC1176="LIFT"),AR1176&gt;0),SUMIFS($AR$7:$AR$1843,$CC$7:$CC$1843,CC1176,$AU$7:$AU$1843,"&gt;"&amp;AU1176)+SUMIFS($AR$7:$AR$1843,$CC$7:$CC$1843,CC1176,$AU$7:$AU$1843,AU1176,$BT$7:$BT$1843,"&lt;="&amp;BT1176),"")</f>
        <v>11470.7023809524</v>
      </c>
      <c r="AW1176" s="58" t="n">
        <f aca="false">IF(AV1176="",0,MAX(0,MIN(1,(IF(CC1176="L1",Parameter!$H$5,IF(CC1176="L23",Parameter!$H$6+Parameter!$H$7,Parameter!$H$5+Parameter!$H$6+Parameter!$H$7))-(AV1176-AR1176))/AR1176)))</f>
        <v>1</v>
      </c>
      <c r="AX1176" s="50" t="n">
        <f aca="false">IF(LEFT(Cockpit!$O$5,1)="A",H1176,IF(CE1176=1,CF1176,IF(LEFT(Cockpit!$O$5,1)="B",BC1176,MAX(BC1176,H1176))))</f>
        <v>10</v>
      </c>
      <c r="AY1176" s="50" t="n">
        <f aca="false">IF(BW1176=1,0,ROUNDUP(AX1176/BV1176,0))</f>
        <v>1</v>
      </c>
      <c r="AZ1176" s="52" t="n">
        <f aca="false">IF(CL1176&gt;0,CL1176*MAX(1,AX1176/X1176),IF(BW1176=1,IF(AX1176&lt;=0,0,CA1176*MAX(1,IF(H1176&gt;0,AX1176/H1176,1))),IF(R1176&gt;0,AY1176/R1176,0))/MAX(0.1,N(Parameter!$M$21)))</f>
        <v>0.0833333333333333</v>
      </c>
      <c r="BA1176" s="50" t="n">
        <f aca="false">AZ1176*BY1176</f>
        <v>12.0833333333333</v>
      </c>
      <c r="BB1176" s="50" t="n">
        <f aca="false">AX1176*G1176</f>
        <v>412</v>
      </c>
      <c r="BC1176" s="50" t="n">
        <f aca="false">ROUNDUP(MAX(J1176/IF(CD1176&gt;0,CD1176,MAX(0.1,N(Cockpit!$O$6))),CG1176)/BV1176,0)*BV1176</f>
        <v>10</v>
      </c>
      <c r="BD1176" s="51" t="n">
        <f aca="false">IF(BA1176&gt;0,J1176/BA1176,-1)</f>
        <v>0.744827586206897</v>
      </c>
      <c r="BE1176" s="51" t="n">
        <f aca="false">IF(AND(OR(CC1176="L1",CC1176="L23",CC1176="LIFT"),BA1176&gt;0),SUMIFS($BA$7:$BA$1843,$CC$7:$CC$1843,CC1176,$BD$7:$BD$1843,"&gt;"&amp;BD1176)+SUMIFS($BA$7:$BA$1843,$CC$7:$CC$1843,CC1176,$BD$7:$BD$1843,BD1176,$BT$7:$BT$1843,"&lt;="&amp;BT1176),"")</f>
        <v>11070.5260989011</v>
      </c>
      <c r="BF1176" s="58" t="n">
        <f aca="false">IF(BE1176="",0,MAX(0,MIN(1,(IF(CC1176="L1",Parameter!$H$5,IF(CC1176="L23",Parameter!$H$6+Parameter!$H$7,Parameter!$H$5+Parameter!$H$6+Parameter!$H$7))-(BE1176-BA1176))/BA1176)))</f>
        <v>1</v>
      </c>
      <c r="BG1176" s="48" t="str">
        <f aca="false">IF(AI1176&lt;=0,"",IF(CC1176="Aussen","Aussenlager",IF(CC1176="-","Nicht im Lift",IF(AN1176&gt;=1,"Lift",IF(AN1176&lt;=0,"Aussenlager","teilweise")))))</f>
        <v>Lift</v>
      </c>
      <c r="BH1176" s="48" t="str">
        <f aca="false">IF(AR1176&lt;=0,"",IF(CC1176="Aussen","Aussenlager",IF(CC1176="-","Nicht im Lift",IF(AW1176&gt;=1,"Lift",IF(AW1176&lt;=0,"Aussenlager","teilweise")))))</f>
        <v>Lift</v>
      </c>
      <c r="BI1176" s="48" t="str">
        <f aca="false">IF(BA1176&lt;=0,"",IF(CC1176="Aussen","Aussenlager",IF(CC1176="-","Nicht im Lift",IF(BF1176&gt;=1,"Lift",IF(BF1176&lt;=0,"Aussenlager","teilweise")))))</f>
        <v>Lift</v>
      </c>
      <c r="BJ1176" s="48" t="str">
        <f aca="false">IF(A1176="","",IF(BS1176=1,"Neu; ","")&amp;IF(AND(BS1176=0,BN1176&lt;0),"negativer Bestand (Export "&amp;BN1176&amp;"); ","")&amp;IF(J1176&lt;=0,"Kein Verbrauch; ","")&amp;IF(CL1176&gt;0,"Lift "&amp;W1176&amp;" lt. Liftbericht (Fach "&amp;X1176&amp;" Stk); ",IF(BX1176=1,"Gebinde geschätzt ("&amp;T1176&amp;"); ",IF(BW1176=1,"Lose – Tablare geschätzt; ","")))&amp;IF(H1176&gt;AT1176,"Überbestand "&amp;ROUND(H1176-AT1176,0)&amp;" Stk / CHF "&amp;ROUND((H1176-AT1176)*G1176,0)&amp;"; ","")&amp;IF(AND(CE1176=1,CF1176&lt;CG1176),"MAX &lt; MB+LG; ","")&amp;IF(AND(CK1176&gt;0,CJ1176*10&gt;CK1176),"zu hoch für Tablar; ","")&amp;IF(AND(BS1176=0,OR(CE1176=1,AA1176&lt;&gt;"",U1176&lt;&gt;"",V1176&lt;&gt;"",AB1176&lt;&gt;"")),"manuell übersteuert; ","")&amp;IF(AND(BW1176=0,R1176=0),"Gebinde unbekannt / Stellmass fehlt; ","")&amp;IF(AND(BW1176=0,N(V1176)&lt;=0,N(Q1176)&lt;=0),"Menge pro Gebinde fehlt (Ist = 1 Gebinde); ","")&amp;BR1176)</f>
        <v>negativer Bestand (Export -9); Gebinde geschätzt (Mittel); Menge pro Gebinde fehlt (Ist = 1 Gebinde); </v>
      </c>
      <c r="BK1176" s="48"/>
      <c r="BL1176" s="48"/>
      <c r="BM1176" s="55"/>
      <c r="BN1176" s="50" t="n">
        <v>-9</v>
      </c>
      <c r="BO1176" s="50" t="n">
        <v>18</v>
      </c>
      <c r="BP1176" s="49" t="n">
        <v>-370.8</v>
      </c>
      <c r="BQ1176" s="50" t="n">
        <v>9</v>
      </c>
      <c r="BR1176" s="48"/>
      <c r="BS1176" s="53" t="n">
        <v>0</v>
      </c>
      <c r="BT1176" s="53" t="n">
        <v>1176</v>
      </c>
      <c r="BU1176" s="48" t="str">
        <f aca="false">IF(U1176&lt;&gt;"",UPPER(TRIM(U1176)),IF(BX1176=1,UPPER(VLOOKUP(T1176,Parameter!$I$27:$K$29,2,0)),IF(P1176="","LOSE",P1176)))</f>
        <v>S61</v>
      </c>
      <c r="BV1176" s="50" t="n">
        <f aca="false">IF(BU1176="LOSE",1,IF(N(V1176)&gt;0,V1176,IF(BX1176=1,MAX(1,N(VLOOKUP(T1176,Parameter!$I$27:$K$29,3,0)),H1176,N(N1176)),IF(N(Q1176)&gt;0,Q1176,MAX(1,H1176)))))</f>
        <v>10</v>
      </c>
      <c r="BW1176" s="53" t="n">
        <f aca="false">IF(BU1176="LOSE",1,0)</f>
        <v>0</v>
      </c>
      <c r="BX1176" s="53" t="n">
        <f aca="false">IF(AND(U1176="",OR(P1176="",P1176="LOSE"),T1176&lt;&gt;"",N(S1176)&lt;=0,ISNUMBER(MATCH(T1176,Parameter!$I$27:$I$29,0))),1,0)</f>
        <v>1</v>
      </c>
      <c r="BY1176" s="53" t="n">
        <f aca="false">IF(CL1176&gt;0,INDEX(Parameter!$H$5:$H$7,W1176)/INDEX(Parameter!$E$5:$E$7,W1176),IF(AND(BW1176=0,N(IFERROR(VLOOKUP(BU1176,'Gebinde-Kategorie'!$A$5:$N$45,14,0),0))&gt;0),VLOOKUP(BU1176,'Gebinde-Kategorie'!$A$5:$N$45,14,0)*10+Parameter!$M$23,Parameter!$M$24))</f>
        <v>145</v>
      </c>
      <c r="BZ1176" s="48" t="str">
        <f aca="false">IF(AND(Parameter!$B$19="Ja",E1176&lt;&gt;"",ISNUMBER(MATCH(E1176,Parameter!$I$35:$I$52,0))),VLOOKUP(E1176,Parameter!$I$35:$J$52,2,0),IFERROR(VLOOKUP(D1176,Parameter!$A$35:$C$64,2,0),"Nein"))</f>
        <v>2+3</v>
      </c>
      <c r="CA1176" s="52" t="n">
        <f aca="false">IF(BW1176=0,0,IF(N(S1176)&gt;0,S1176,IFERROR(VLOOKUP(D1176,Parameter!$A$35:$C$64,3,0)+0,0)))</f>
        <v>0</v>
      </c>
      <c r="CB1176" s="48" t="n">
        <f aca="false">IF(AA1176&lt;&gt;"",AA1176,Z1176)</f>
        <v>2</v>
      </c>
      <c r="CC1176" s="48" t="str">
        <f aca="false">IF(OR(CB1176=1,CB1176=2,CB1176=3),IF(Parameter!$E$27="Ja","LIFT",IF(CB1176=1,"L1","L23")),IF(CB1176="Aussen","Aussen","-"))</f>
        <v>LIFT</v>
      </c>
      <c r="CD1176" s="59" t="n">
        <f aca="false">IF(N(AB1176)&gt;0,AB1176,0)</f>
        <v>0</v>
      </c>
      <c r="CE1176" s="53" t="n">
        <f aca="false">IF(ISNUMBER(AE1176),1,0)</f>
        <v>0</v>
      </c>
      <c r="CF1176" s="50" t="n">
        <f aca="false">N(AE1176)</f>
        <v>0</v>
      </c>
      <c r="CG1176" s="50" t="n">
        <f aca="false">N(M1176)+N(N1176)</f>
        <v>10</v>
      </c>
      <c r="CH1176" s="50" t="n">
        <f aca="false">ROUNDUP(H1176/BV1176,0)</f>
        <v>1</v>
      </c>
      <c r="CI1176" s="50" t="n">
        <f aca="false">ROUNDUP(CF1176/BV1176,0)</f>
        <v>0</v>
      </c>
      <c r="CJ1176" s="53" t="n">
        <f aca="false">IF(BW1176=1,0,IFERROR(VLOOKUP(BU1176,'Gebinde-Kategorie'!$A$5:$N$45,5,0)+0,0))</f>
        <v>11</v>
      </c>
      <c r="CK1176" s="53" t="n">
        <f aca="false">IFERROR(IF(OR(CB1176=1,CB1176=2,CB1176=3),N(INDEX(Parameter!$I$5:$I$7,CB1176)),0),0)</f>
        <v>0</v>
      </c>
      <c r="CL1176" s="52" t="n">
        <f aca="false">IF(AND(Parameter!$B$21="Ja",ISNUMBER(W1176),N(X1176)&gt;0),IFERROR(N(INDEX(Parameter!$L$5:$L$7,W1176))*INDEX(Parameter!$E$5:$E$7,W1176)*X1176/SUMIFS($X$7:$X$1843,$W$7:$W$1843,W1176),0),0)</f>
        <v>0</v>
      </c>
    </row>
    <row r="1177" customFormat="false" ht="15" hidden="false" customHeight="false" outlineLevel="0" collapsed="false">
      <c r="A1177" s="48" t="s">
        <v>2123</v>
      </c>
      <c r="B1177" s="48" t="s">
        <v>2124</v>
      </c>
      <c r="C1177" s="48" t="s">
        <v>168</v>
      </c>
      <c r="D1177" s="48" t="s">
        <v>188</v>
      </c>
      <c r="E1177" s="48" t="s">
        <v>189</v>
      </c>
      <c r="F1177" s="48" t="s">
        <v>222</v>
      </c>
      <c r="G1177" s="49" t="n">
        <v>6.09</v>
      </c>
      <c r="H1177" s="50" t="n">
        <f aca="false">MAX(0,IF(AND(Parameter!$B$21="Ja",ISNUMBER(Y1177)),Y1177,IF(Parameter!$B$20="Jahresanfang 2025 + Export",BO1177+BN1177,BN1177)))</f>
        <v>106</v>
      </c>
      <c r="I1177" s="50" t="n">
        <f aca="false">H1177*G1177</f>
        <v>645.54</v>
      </c>
      <c r="J1177" s="50" t="n">
        <f aca="false">BQ1177*Parameter!$B$18</f>
        <v>16</v>
      </c>
      <c r="K1177" s="51" t="n">
        <v>163</v>
      </c>
      <c r="L1177" s="52" t="n">
        <v>0.098159509202454</v>
      </c>
      <c r="M1177" s="50" t="n">
        <v>1</v>
      </c>
      <c r="N1177" s="50" t="n">
        <v>15</v>
      </c>
      <c r="O1177" s="53" t="n">
        <v>28</v>
      </c>
      <c r="P1177" s="48" t="s">
        <v>425</v>
      </c>
      <c r="Q1177" s="50" t="n">
        <v>104</v>
      </c>
      <c r="R1177" s="53" t="n">
        <f aca="false">IF(BW1177=1,0,IFERROR(VLOOKUP(BU1177,'Gebinde-Kategorie'!$A$5:$N$45,13,0)+0,0))</f>
        <v>104</v>
      </c>
      <c r="S1177" s="54"/>
      <c r="T1177" s="55"/>
      <c r="U1177" s="55"/>
      <c r="V1177" s="55"/>
      <c r="W1177" s="48"/>
      <c r="X1177" s="50"/>
      <c r="Y1177" s="50"/>
      <c r="Z1177" s="48" t="n">
        <f aca="false">IF(A1177="","",IF(AND(Parameter!$B$21="Ja",ISNUMBER(W1177)),W1177,IF(BZ1177="2+3",IF(ISNUMBER(SEARCH("grosser Artikel",BR1177)),2,IFERROR(VLOOKUP(BU1177,Parameter!$F$35:$G$64,2,0),2)),IF(OR(BZ1177="Nein",BZ1177=""),"-",BZ1177))))</f>
        <v>3</v>
      </c>
      <c r="AA1177" s="55"/>
      <c r="AB1177" s="56"/>
      <c r="AC1177" s="50" t="n">
        <f aca="false">AT1177</f>
        <v>104</v>
      </c>
      <c r="AD1177" s="50" t="n">
        <f aca="false">MAX(AT1177,H1177)</f>
        <v>106</v>
      </c>
      <c r="AE1177" s="57"/>
      <c r="AF1177" s="50" t="n">
        <f aca="false">IF(LEFT(Cockpit!$C$5,1)="A",H1177,IF(CE1177=1,CF1177,IF(LEFT(Cockpit!$C$5,1)="B",AK1177,MAX(AK1177,H1177))))</f>
        <v>106</v>
      </c>
      <c r="AG1177" s="50" t="n">
        <f aca="false">IF(BW1177=1,0,ROUNDUP(AF1177/BV1177,0))</f>
        <v>2</v>
      </c>
      <c r="AH1177" s="52" t="n">
        <f aca="false">IF(CL1177&gt;0,CL1177*MAX(1,AF1177/X1177),IF(BW1177=1,IF(AF1177&lt;=0,0,CA1177*MAX(1,IF(H1177&gt;0,AF1177/H1177,1))),IF(R1177&gt;0,AG1177/R1177,0))/MAX(0.1,N(Parameter!$M$21)))</f>
        <v>0.0192307692307692</v>
      </c>
      <c r="AI1177" s="50" t="n">
        <f aca="false">AH1177*BY1177</f>
        <v>2.98076923076923</v>
      </c>
      <c r="AJ1177" s="50" t="n">
        <f aca="false">AF1177*G1177</f>
        <v>645.54</v>
      </c>
      <c r="AK1177" s="50" t="n">
        <f aca="false">ROUNDUP(MAX(J1177/IF(CD1177&gt;0,CD1177,MAX(0.1,N(Cockpit!$C$6))),CG1177)/BV1177,0)*BV1177</f>
        <v>104</v>
      </c>
      <c r="AL1177" s="51" t="n">
        <f aca="false">IF(AI1177&gt;0,J1177/AI1177,-1)</f>
        <v>5.36774193548387</v>
      </c>
      <c r="AM1177" s="51" t="n">
        <f aca="false">IF(AND(OR(CC1177="L1",CC1177="L23",CC1177="LIFT"),AI1177&gt;0),SUMIFS($AI$7:$AI$1843,$CC$7:$CC$1843,CC1177,$AL$7:$AL$1843,"&gt;"&amp;AL1177)+SUMIFS($AI$7:$AI$1843,$CC$7:$CC$1843,CC1177,$AL$7:$AL$1843,AL1177,$BT$7:$BT$1843,"&lt;="&amp;BT1177),"")</f>
        <v>3733.64331501832</v>
      </c>
      <c r="AN1177" s="58" t="n">
        <f aca="false">IF(AM1177="",0,MAX(0,MIN(1,(IF(CC1177="L1",Parameter!$H$5,IF(CC1177="L23",Parameter!$H$6+Parameter!$H$7,Parameter!$H$5+Parameter!$H$6+Parameter!$H$7))-(AM1177-AI1177))/AI1177)))</f>
        <v>1</v>
      </c>
      <c r="AO1177" s="50" t="n">
        <f aca="false">IF(LEFT(Cockpit!$I$5,1)="A",H1177,IF(CE1177=1,CF1177,IF(LEFT(Cockpit!$I$5,1)="B",AT1177,MAX(AT1177,H1177))))</f>
        <v>106</v>
      </c>
      <c r="AP1177" s="50" t="n">
        <f aca="false">IF(BW1177=1,0,ROUNDUP(AO1177/BV1177,0))</f>
        <v>2</v>
      </c>
      <c r="AQ1177" s="52" t="n">
        <f aca="false">IF(CL1177&gt;0,CL1177*MAX(1,AO1177/X1177),IF(BW1177=1,IF(AO1177&lt;=0,0,CA1177*MAX(1,IF(H1177&gt;0,AO1177/H1177,1))),IF(R1177&gt;0,AP1177/R1177,0))/MAX(0.1,N(Parameter!$M$21)))</f>
        <v>0.0192307692307692</v>
      </c>
      <c r="AR1177" s="50" t="n">
        <f aca="false">AQ1177*BY1177</f>
        <v>2.98076923076923</v>
      </c>
      <c r="AS1177" s="50" t="n">
        <f aca="false">AO1177*G1177</f>
        <v>645.54</v>
      </c>
      <c r="AT1177" s="50" t="n">
        <f aca="false">ROUNDUP(MAX(J1177/IF(CD1177&gt;0,CD1177,MAX(0.1,N(Cockpit!$I$6))),CG1177)/BV1177,0)*BV1177</f>
        <v>104</v>
      </c>
      <c r="AU1177" s="51" t="n">
        <f aca="false">IF(AR1177&gt;0,J1177/AR1177,-1)</f>
        <v>5.36774193548387</v>
      </c>
      <c r="AV1177" s="51" t="n">
        <f aca="false">IF(AND(OR(CC1177="L1",CC1177="L23",CC1177="LIFT"),AR1177&gt;0),SUMIFS($AR$7:$AR$1843,$CC$7:$CC$1843,CC1177,$AU$7:$AU$1843,"&gt;"&amp;AU1177)+SUMIFS($AR$7:$AR$1843,$CC$7:$CC$1843,CC1177,$AU$7:$AU$1843,AU1177,$BT$7:$BT$1843,"&lt;="&amp;BT1177),"")</f>
        <v>4917.94276556777</v>
      </c>
      <c r="AW1177" s="58" t="n">
        <f aca="false">IF(AV1177="",0,MAX(0,MIN(1,(IF(CC1177="L1",Parameter!$H$5,IF(CC1177="L23",Parameter!$H$6+Parameter!$H$7,Parameter!$H$5+Parameter!$H$6+Parameter!$H$7))-(AV1177-AR1177))/AR1177)))</f>
        <v>1</v>
      </c>
      <c r="AX1177" s="50" t="n">
        <f aca="false">IF(LEFT(Cockpit!$O$5,1)="A",H1177,IF(CE1177=1,CF1177,IF(LEFT(Cockpit!$O$5,1)="B",BC1177,MAX(BC1177,H1177))))</f>
        <v>106</v>
      </c>
      <c r="AY1177" s="50" t="n">
        <f aca="false">IF(BW1177=1,0,ROUNDUP(AX1177/BV1177,0))</f>
        <v>2</v>
      </c>
      <c r="AZ1177" s="52" t="n">
        <f aca="false">IF(CL1177&gt;0,CL1177*MAX(1,AX1177/X1177),IF(BW1177=1,IF(AX1177&lt;=0,0,CA1177*MAX(1,IF(H1177&gt;0,AX1177/H1177,1))),IF(R1177&gt;0,AY1177/R1177,0))/MAX(0.1,N(Parameter!$M$21)))</f>
        <v>0.0192307692307692</v>
      </c>
      <c r="BA1177" s="50" t="n">
        <f aca="false">AZ1177*BY1177</f>
        <v>2.98076923076923</v>
      </c>
      <c r="BB1177" s="50" t="n">
        <f aca="false">AX1177*G1177</f>
        <v>645.54</v>
      </c>
      <c r="BC1177" s="50" t="n">
        <f aca="false">ROUNDUP(MAX(J1177/IF(CD1177&gt;0,CD1177,MAX(0.1,N(Cockpit!$O$6))),CG1177)/BV1177,0)*BV1177</f>
        <v>104</v>
      </c>
      <c r="BD1177" s="51" t="n">
        <f aca="false">IF(BA1177&gt;0,J1177/BA1177,-1)</f>
        <v>5.36774193548387</v>
      </c>
      <c r="BE1177" s="51" t="n">
        <f aca="false">IF(AND(OR(CC1177="L1",CC1177="L23",CC1177="LIFT"),BA1177&gt;0),SUMIFS($BA$7:$BA$1843,$CC$7:$CC$1843,CC1177,$BD$7:$BD$1843,"&gt;"&amp;BD1177)+SUMIFS($BA$7:$BA$1843,$CC$7:$CC$1843,CC1177,$BD$7:$BD$1843,BD1177,$BT$7:$BT$1843,"&lt;="&amp;BT1177),"")</f>
        <v>4588.40750915751</v>
      </c>
      <c r="BF1177" s="58" t="n">
        <f aca="false">IF(BE1177="",0,MAX(0,MIN(1,(IF(CC1177="L1",Parameter!$H$5,IF(CC1177="L23",Parameter!$H$6+Parameter!$H$7,Parameter!$H$5+Parameter!$H$6+Parameter!$H$7))-(BE1177-BA1177))/BA1177)))</f>
        <v>1</v>
      </c>
      <c r="BG1177" s="48" t="str">
        <f aca="false">IF(AI1177&lt;=0,"",IF(CC1177="Aussen","Aussenlager",IF(CC1177="-","Nicht im Lift",IF(AN1177&gt;=1,"Lift",IF(AN1177&lt;=0,"Aussenlager","teilweise")))))</f>
        <v>Lift</v>
      </c>
      <c r="BH1177" s="48" t="str">
        <f aca="false">IF(AR1177&lt;=0,"",IF(CC1177="Aussen","Aussenlager",IF(CC1177="-","Nicht im Lift",IF(AW1177&gt;=1,"Lift",IF(AW1177&lt;=0,"Aussenlager","teilweise")))))</f>
        <v>Lift</v>
      </c>
      <c r="BI1177" s="48" t="str">
        <f aca="false">IF(BA1177&lt;=0,"",IF(CC1177="Aussen","Aussenlager",IF(CC1177="-","Nicht im Lift",IF(BF1177&gt;=1,"Lift",IF(BF1177&lt;=0,"Aussenlager","teilweise")))))</f>
        <v>Lift</v>
      </c>
      <c r="BJ1177" s="48" t="str">
        <f aca="false">IF(A1177="","",IF(BS1177=1,"Neu; ","")&amp;IF(AND(BS1177=0,BN1177&lt;0),"negativer Bestand (Export "&amp;BN1177&amp;"); ","")&amp;IF(J1177&lt;=0,"Kein Verbrauch; ","")&amp;IF(CL1177&gt;0,"Lift "&amp;W1177&amp;" lt. Liftbericht (Fach "&amp;X1177&amp;" Stk); ",IF(BX1177=1,"Gebinde geschätzt ("&amp;T1177&amp;"); ",IF(BW1177=1,"Lose – Tablare geschätzt; ","")))&amp;IF(H1177&gt;AT1177,"Überbestand "&amp;ROUND(H1177-AT1177,0)&amp;" Stk / CHF "&amp;ROUND((H1177-AT1177)*G1177,0)&amp;"; ","")&amp;IF(AND(CE1177=1,CF1177&lt;CG1177),"MAX &lt; MB+LG; ","")&amp;IF(AND(CK1177&gt;0,CJ1177*10&gt;CK1177),"zu hoch für Tablar; ","")&amp;IF(AND(BS1177=0,OR(CE1177=1,AA1177&lt;&gt;"",U1177&lt;&gt;"",V1177&lt;&gt;"",AB1177&lt;&gt;"")),"manuell übersteuert; ","")&amp;IF(AND(BW1177=0,R1177=0),"Gebinde unbekannt / Stellmass fehlt; ","")&amp;IF(AND(BW1177=0,N(V1177)&lt;=0,N(Q1177)&lt;=0),"Menge pro Gebinde fehlt (Ist = 1 Gebinde); ","")&amp;BR1177)</f>
        <v>negativer Bestand (Export -61); Überbestand 2 Stk / CHF 12; </v>
      </c>
      <c r="BK1177" s="48"/>
      <c r="BL1177" s="48"/>
      <c r="BM1177" s="55"/>
      <c r="BN1177" s="50" t="n">
        <v>-61</v>
      </c>
      <c r="BO1177" s="50" t="n">
        <v>167</v>
      </c>
      <c r="BP1177" s="49" t="n">
        <v>-371.49</v>
      </c>
      <c r="BQ1177" s="50" t="n">
        <v>16</v>
      </c>
      <c r="BR1177" s="48"/>
      <c r="BS1177" s="53" t="n">
        <v>0</v>
      </c>
      <c r="BT1177" s="53" t="n">
        <v>1177</v>
      </c>
      <c r="BU1177" s="48" t="str">
        <f aca="false">IF(U1177&lt;&gt;"",UPPER(TRIM(U1177)),IF(BX1177=1,UPPER(VLOOKUP(T1177,Parameter!$I$27:$K$29,2,0)),IF(P1177="","LOSE",P1177)))</f>
        <v>S32</v>
      </c>
      <c r="BV1177" s="50" t="n">
        <f aca="false">IF(BU1177="LOSE",1,IF(N(V1177)&gt;0,V1177,IF(BX1177=1,MAX(1,N(VLOOKUP(T1177,Parameter!$I$27:$K$29,3,0)),H1177,N(N1177)),IF(N(Q1177)&gt;0,Q1177,MAX(1,H1177)))))</f>
        <v>104</v>
      </c>
      <c r="BW1177" s="53" t="n">
        <f aca="false">IF(BU1177="LOSE",1,0)</f>
        <v>0</v>
      </c>
      <c r="BX1177" s="53" t="n">
        <f aca="false">IF(AND(U1177="",OR(P1177="",P1177="LOSE"),T1177&lt;&gt;"",N(S1177)&lt;=0,ISNUMBER(MATCH(T1177,Parameter!$I$27:$I$29,0))),1,0)</f>
        <v>0</v>
      </c>
      <c r="BY1177" s="53" t="n">
        <f aca="false">IF(CL1177&gt;0,INDEX(Parameter!$H$5:$H$7,W1177)/INDEX(Parameter!$E$5:$E$7,W1177),IF(AND(BW1177=0,N(IFERROR(VLOOKUP(BU1177,'Gebinde-Kategorie'!$A$5:$N$45,14,0),0))&gt;0),VLOOKUP(BU1177,'Gebinde-Kategorie'!$A$5:$N$45,14,0)*10+Parameter!$M$23,Parameter!$M$24))</f>
        <v>155</v>
      </c>
      <c r="BZ1177" s="48" t="str">
        <f aca="false">IF(AND(Parameter!$B$19="Ja",E1177&lt;&gt;"",ISNUMBER(MATCH(E1177,Parameter!$I$35:$I$52,0))),VLOOKUP(E1177,Parameter!$I$35:$J$52,2,0),IFERROR(VLOOKUP(D1177,Parameter!$A$35:$C$64,2,0),"Nein"))</f>
        <v>2+3</v>
      </c>
      <c r="CA1177" s="52" t="n">
        <f aca="false">IF(BW1177=0,0,IF(N(S1177)&gt;0,S1177,IFERROR(VLOOKUP(D1177,Parameter!$A$35:$C$64,3,0)+0,0)))</f>
        <v>0</v>
      </c>
      <c r="CB1177" s="48" t="n">
        <f aca="false">IF(AA1177&lt;&gt;"",AA1177,Z1177)</f>
        <v>3</v>
      </c>
      <c r="CC1177" s="48" t="str">
        <f aca="false">IF(OR(CB1177=1,CB1177=2,CB1177=3),IF(Parameter!$E$27="Ja","LIFT",IF(CB1177=1,"L1","L23")),IF(CB1177="Aussen","Aussen","-"))</f>
        <v>LIFT</v>
      </c>
      <c r="CD1177" s="59" t="n">
        <f aca="false">IF(N(AB1177)&gt;0,AB1177,0)</f>
        <v>0</v>
      </c>
      <c r="CE1177" s="53" t="n">
        <f aca="false">IF(ISNUMBER(AE1177),1,0)</f>
        <v>0</v>
      </c>
      <c r="CF1177" s="50" t="n">
        <f aca="false">N(AE1177)</f>
        <v>0</v>
      </c>
      <c r="CG1177" s="50" t="n">
        <f aca="false">N(M1177)+N(N1177)</f>
        <v>16</v>
      </c>
      <c r="CH1177" s="50" t="n">
        <f aca="false">ROUNDUP(H1177/BV1177,0)</f>
        <v>2</v>
      </c>
      <c r="CI1177" s="50" t="n">
        <f aca="false">ROUNDUP(CF1177/BV1177,0)</f>
        <v>0</v>
      </c>
      <c r="CJ1177" s="53" t="n">
        <f aca="false">IF(BW1177=1,0,IFERROR(VLOOKUP(BU1177,'Gebinde-Kategorie'!$A$5:$N$45,5,0)+0,0))</f>
        <v>8</v>
      </c>
      <c r="CK1177" s="53" t="n">
        <f aca="false">IFERROR(IF(OR(CB1177=1,CB1177=2,CB1177=3),N(INDEX(Parameter!$I$5:$I$7,CB1177)),0),0)</f>
        <v>0</v>
      </c>
      <c r="CL1177" s="52" t="n">
        <f aca="false">IF(AND(Parameter!$B$21="Ja",ISNUMBER(W1177),N(X1177)&gt;0),IFERROR(N(INDEX(Parameter!$L$5:$L$7,W1177))*INDEX(Parameter!$E$5:$E$7,W1177)*X1177/SUMIFS($X$7:$X$1843,$W$7:$W$1843,W1177),0),0)</f>
        <v>0</v>
      </c>
    </row>
    <row r="1178" customFormat="false" ht="15" hidden="false" customHeight="false" outlineLevel="0" collapsed="false">
      <c r="A1178" s="48" t="s">
        <v>2125</v>
      </c>
      <c r="B1178" s="48" t="s">
        <v>2126</v>
      </c>
      <c r="C1178" s="48" t="s">
        <v>168</v>
      </c>
      <c r="D1178" s="48" t="s">
        <v>188</v>
      </c>
      <c r="E1178" s="48"/>
      <c r="F1178" s="48" t="s">
        <v>222</v>
      </c>
      <c r="G1178" s="49" t="n">
        <v>371.82</v>
      </c>
      <c r="H1178" s="50" t="n">
        <f aca="false">MAX(0,IF(AND(Parameter!$B$21="Ja",ISNUMBER(Y1178)),Y1178,IF(Parameter!$B$20="Jahresanfang 2025 + Export",BO1178+BN1178,BN1178)))</f>
        <v>1</v>
      </c>
      <c r="I1178" s="50" t="n">
        <f aca="false">H1178*G1178</f>
        <v>371.82</v>
      </c>
      <c r="J1178" s="50" t="n">
        <f aca="false">BQ1178*Parameter!$B$18</f>
        <v>1</v>
      </c>
      <c r="K1178" s="51" t="n">
        <v>1.5</v>
      </c>
      <c r="L1178" s="52" t="n">
        <v>0.666666666666667</v>
      </c>
      <c r="M1178" s="50" t="n">
        <v>0</v>
      </c>
      <c r="N1178" s="50" t="n">
        <v>1</v>
      </c>
      <c r="O1178" s="53" t="n">
        <v>21</v>
      </c>
      <c r="P1178" s="48" t="s">
        <v>425</v>
      </c>
      <c r="Q1178" s="50" t="n">
        <v>1</v>
      </c>
      <c r="R1178" s="53" t="n">
        <f aca="false">IF(BW1178=1,0,IFERROR(VLOOKUP(BU1178,'Gebinde-Kategorie'!$A$5:$N$45,13,0)+0,0))</f>
        <v>104</v>
      </c>
      <c r="S1178" s="54"/>
      <c r="T1178" s="55"/>
      <c r="U1178" s="55"/>
      <c r="V1178" s="55"/>
      <c r="W1178" s="48"/>
      <c r="X1178" s="50"/>
      <c r="Y1178" s="50"/>
      <c r="Z1178" s="48" t="n">
        <f aca="false">IF(A1178="","",IF(AND(Parameter!$B$21="Ja",ISNUMBER(W1178)),W1178,IF(BZ1178="2+3",IF(ISNUMBER(SEARCH("grosser Artikel",BR1178)),2,IFERROR(VLOOKUP(BU1178,Parameter!$F$35:$G$64,2,0),2)),IF(OR(BZ1178="Nein",BZ1178=""),"-",BZ1178))))</f>
        <v>3</v>
      </c>
      <c r="AA1178" s="55"/>
      <c r="AB1178" s="56"/>
      <c r="AC1178" s="50" t="n">
        <f aca="false">AT1178</f>
        <v>1</v>
      </c>
      <c r="AD1178" s="50" t="n">
        <f aca="false">MAX(AT1178,H1178)</f>
        <v>1</v>
      </c>
      <c r="AE1178" s="57"/>
      <c r="AF1178" s="50" t="n">
        <f aca="false">IF(LEFT(Cockpit!$C$5,1)="A",H1178,IF(CE1178=1,CF1178,IF(LEFT(Cockpit!$C$5,1)="B",AK1178,MAX(AK1178,H1178))))</f>
        <v>1</v>
      </c>
      <c r="AG1178" s="50" t="n">
        <f aca="false">IF(BW1178=1,0,ROUNDUP(AF1178/BV1178,0))</f>
        <v>1</v>
      </c>
      <c r="AH1178" s="52" t="n">
        <f aca="false">IF(CL1178&gt;0,CL1178*MAX(1,AF1178/X1178),IF(BW1178=1,IF(AF1178&lt;=0,0,CA1178*MAX(1,IF(H1178&gt;0,AF1178/H1178,1))),IF(R1178&gt;0,AG1178/R1178,0))/MAX(0.1,N(Parameter!$M$21)))</f>
        <v>0.00961538461538462</v>
      </c>
      <c r="AI1178" s="50" t="n">
        <f aca="false">AH1178*BY1178</f>
        <v>1.49038461538462</v>
      </c>
      <c r="AJ1178" s="50" t="n">
        <f aca="false">AF1178*G1178</f>
        <v>371.82</v>
      </c>
      <c r="AK1178" s="50" t="n">
        <f aca="false">ROUNDUP(MAX(J1178/IF(CD1178&gt;0,CD1178,MAX(0.1,N(Cockpit!$C$6))),CG1178)/BV1178,0)*BV1178</f>
        <v>1</v>
      </c>
      <c r="AL1178" s="51" t="n">
        <f aca="false">IF(AI1178&gt;0,J1178/AI1178,-1)</f>
        <v>0.670967741935484</v>
      </c>
      <c r="AM1178" s="51" t="n">
        <f aca="false">IF(AND(OR(CC1178="L1",CC1178="L23",CC1178="LIFT"),AI1178&gt;0),SUMIFS($AI$7:$AI$1843,$CC$7:$CC$1843,CC1178,$AL$7:$AL$1843,"&gt;"&amp;AL1178)+SUMIFS($AI$7:$AI$1843,$CC$7:$CC$1843,CC1178,$AL$7:$AL$1843,AL1178,$BT$7:$BT$1843,"&lt;="&amp;BT1178),"")</f>
        <v>8638.46794871795</v>
      </c>
      <c r="AN1178" s="58" t="n">
        <f aca="false">IF(AM1178="",0,MAX(0,MIN(1,(IF(CC1178="L1",Parameter!$H$5,IF(CC1178="L23",Parameter!$H$6+Parameter!$H$7,Parameter!$H$5+Parameter!$H$6+Parameter!$H$7))-(AM1178-AI1178))/AI1178)))</f>
        <v>1</v>
      </c>
      <c r="AO1178" s="50" t="n">
        <f aca="false">IF(LEFT(Cockpit!$I$5,1)="A",H1178,IF(CE1178=1,CF1178,IF(LEFT(Cockpit!$I$5,1)="B",AT1178,MAX(AT1178,H1178))))</f>
        <v>1</v>
      </c>
      <c r="AP1178" s="50" t="n">
        <f aca="false">IF(BW1178=1,0,ROUNDUP(AO1178/BV1178,0))</f>
        <v>1</v>
      </c>
      <c r="AQ1178" s="52" t="n">
        <f aca="false">IF(CL1178&gt;0,CL1178*MAX(1,AO1178/X1178),IF(BW1178=1,IF(AO1178&lt;=0,0,CA1178*MAX(1,IF(H1178&gt;0,AO1178/H1178,1))),IF(R1178&gt;0,AP1178/R1178,0))/MAX(0.1,N(Parameter!$M$21)))</f>
        <v>0.00961538461538462</v>
      </c>
      <c r="AR1178" s="50" t="n">
        <f aca="false">AQ1178*BY1178</f>
        <v>1.49038461538462</v>
      </c>
      <c r="AS1178" s="50" t="n">
        <f aca="false">AO1178*G1178</f>
        <v>371.82</v>
      </c>
      <c r="AT1178" s="50" t="n">
        <f aca="false">ROUNDUP(MAX(J1178/IF(CD1178&gt;0,CD1178,MAX(0.1,N(Cockpit!$I$6))),CG1178)/BV1178,0)*BV1178</f>
        <v>1</v>
      </c>
      <c r="AU1178" s="51" t="n">
        <f aca="false">IF(AR1178&gt;0,J1178/AR1178,-1)</f>
        <v>0.670967741935484</v>
      </c>
      <c r="AV1178" s="51" t="n">
        <f aca="false">IF(AND(OR(CC1178="L1",CC1178="L23",CC1178="LIFT"),AR1178&gt;0),SUMIFS($AR$7:$AR$1843,$CC$7:$CC$1843,CC1178,$AU$7:$AU$1843,"&gt;"&amp;AU1178)+SUMIFS($AR$7:$AR$1843,$CC$7:$CC$1843,CC1178,$AU$7:$AU$1843,AU1178,$BT$7:$BT$1843,"&lt;="&amp;BT1178),"")</f>
        <v>11780.5902014652</v>
      </c>
      <c r="AW1178" s="58" t="n">
        <f aca="false">IF(AV1178="",0,MAX(0,MIN(1,(IF(CC1178="L1",Parameter!$H$5,IF(CC1178="L23",Parameter!$H$6+Parameter!$H$7,Parameter!$H$5+Parameter!$H$6+Parameter!$H$7))-(AV1178-AR1178))/AR1178)))</f>
        <v>1</v>
      </c>
      <c r="AX1178" s="50" t="n">
        <f aca="false">IF(LEFT(Cockpit!$O$5,1)="A",H1178,IF(CE1178=1,CF1178,IF(LEFT(Cockpit!$O$5,1)="B",BC1178,MAX(BC1178,H1178))))</f>
        <v>1</v>
      </c>
      <c r="AY1178" s="50" t="n">
        <f aca="false">IF(BW1178=1,0,ROUNDUP(AX1178/BV1178,0))</f>
        <v>1</v>
      </c>
      <c r="AZ1178" s="52" t="n">
        <f aca="false">IF(CL1178&gt;0,CL1178*MAX(1,AX1178/X1178),IF(BW1178=1,IF(AX1178&lt;=0,0,CA1178*MAX(1,IF(H1178&gt;0,AX1178/H1178,1))),IF(R1178&gt;0,AY1178/R1178,0))/MAX(0.1,N(Parameter!$M$21)))</f>
        <v>0.00961538461538462</v>
      </c>
      <c r="BA1178" s="50" t="n">
        <f aca="false">AZ1178*BY1178</f>
        <v>1.49038461538462</v>
      </c>
      <c r="BB1178" s="50" t="n">
        <f aca="false">AX1178*G1178</f>
        <v>371.82</v>
      </c>
      <c r="BC1178" s="50" t="n">
        <f aca="false">ROUNDUP(MAX(J1178/IF(CD1178&gt;0,CD1178,MAX(0.1,N(Cockpit!$O$6))),CG1178)/BV1178,0)*BV1178</f>
        <v>1</v>
      </c>
      <c r="BD1178" s="51" t="n">
        <f aca="false">IF(BA1178&gt;0,J1178/BA1178,-1)</f>
        <v>0.670967741935484</v>
      </c>
      <c r="BE1178" s="51" t="n">
        <f aca="false">IF(AND(OR(CC1178="L1",CC1178="L23",CC1178="LIFT"),BA1178&gt;0),SUMIFS($BA$7:$BA$1843,$CC$7:$CC$1843,CC1178,$BD$7:$BD$1843,"&gt;"&amp;BD1178)+SUMIFS($BA$7:$BA$1843,$CC$7:$CC$1843,CC1178,$BD$7:$BD$1843,BD1178,$BT$7:$BT$1843,"&lt;="&amp;BT1178),"")</f>
        <v>11380.4139194139</v>
      </c>
      <c r="BF1178" s="58" t="n">
        <f aca="false">IF(BE1178="",0,MAX(0,MIN(1,(IF(CC1178="L1",Parameter!$H$5,IF(CC1178="L23",Parameter!$H$6+Parameter!$H$7,Parameter!$H$5+Parameter!$H$6+Parameter!$H$7))-(BE1178-BA1178))/BA1178)))</f>
        <v>1</v>
      </c>
      <c r="BG1178" s="48" t="str">
        <f aca="false">IF(AI1178&lt;=0,"",IF(CC1178="Aussen","Aussenlager",IF(CC1178="-","Nicht im Lift",IF(AN1178&gt;=1,"Lift",IF(AN1178&lt;=0,"Aussenlager","teilweise")))))</f>
        <v>Lift</v>
      </c>
      <c r="BH1178" s="48" t="str">
        <f aca="false">IF(AR1178&lt;=0,"",IF(CC1178="Aussen","Aussenlager",IF(CC1178="-","Nicht im Lift",IF(AW1178&gt;=1,"Lift",IF(AW1178&lt;=0,"Aussenlager","teilweise")))))</f>
        <v>Lift</v>
      </c>
      <c r="BI1178" s="48" t="str">
        <f aca="false">IF(BA1178&lt;=0,"",IF(CC1178="Aussen","Aussenlager",IF(CC1178="-","Nicht im Lift",IF(BF1178&gt;=1,"Lift",IF(BF1178&lt;=0,"Aussenlager","teilweise")))))</f>
        <v>Lift</v>
      </c>
      <c r="BJ1178" s="48" t="str">
        <f aca="false">IF(A1178="","",IF(BS1178=1,"Neu; ","")&amp;IF(AND(BS1178=0,BN1178&lt;0),"negativer Bestand (Export "&amp;BN1178&amp;"); ","")&amp;IF(J1178&lt;=0,"Kein Verbrauch; ","")&amp;IF(CL1178&gt;0,"Lift "&amp;W1178&amp;" lt. Liftbericht (Fach "&amp;X1178&amp;" Stk); ",IF(BX1178=1,"Gebinde geschätzt ("&amp;T1178&amp;"); ",IF(BW1178=1,"Lose – Tablare geschätzt; ","")))&amp;IF(H1178&gt;AT1178,"Überbestand "&amp;ROUND(H1178-AT1178,0)&amp;" Stk / CHF "&amp;ROUND((H1178-AT1178)*G1178,0)&amp;"; ","")&amp;IF(AND(CE1178=1,CF1178&lt;CG1178),"MAX &lt; MB+LG; ","")&amp;IF(AND(CK1178&gt;0,CJ1178*10&gt;CK1178),"zu hoch für Tablar; ","")&amp;IF(AND(BS1178=0,OR(CE1178=1,AA1178&lt;&gt;"",U1178&lt;&gt;"",V1178&lt;&gt;"",AB1178&lt;&gt;"")),"manuell übersteuert; ","")&amp;IF(AND(BW1178=0,R1178=0),"Gebinde unbekannt / Stellmass fehlt; ","")&amp;IF(AND(BW1178=0,N(V1178)&lt;=0,N(Q1178)&lt;=0),"Menge pro Gebinde fehlt (Ist = 1 Gebinde); ","")&amp;BR1178)</f>
        <v>negativer Bestand (Export -1); </v>
      </c>
      <c r="BK1178" s="48"/>
      <c r="BL1178" s="48"/>
      <c r="BM1178" s="55"/>
      <c r="BN1178" s="50" t="n">
        <v>-1</v>
      </c>
      <c r="BO1178" s="50" t="n">
        <v>2</v>
      </c>
      <c r="BP1178" s="49" t="n">
        <v>-371.82</v>
      </c>
      <c r="BQ1178" s="50" t="n">
        <v>1</v>
      </c>
      <c r="BR1178" s="48"/>
      <c r="BS1178" s="53" t="n">
        <v>0</v>
      </c>
      <c r="BT1178" s="53" t="n">
        <v>1178</v>
      </c>
      <c r="BU1178" s="48" t="str">
        <f aca="false">IF(U1178&lt;&gt;"",UPPER(TRIM(U1178)),IF(BX1178=1,UPPER(VLOOKUP(T1178,Parameter!$I$27:$K$29,2,0)),IF(P1178="","LOSE",P1178)))</f>
        <v>S32</v>
      </c>
      <c r="BV1178" s="50" t="n">
        <f aca="false">IF(BU1178="LOSE",1,IF(N(V1178)&gt;0,V1178,IF(BX1178=1,MAX(1,N(VLOOKUP(T1178,Parameter!$I$27:$K$29,3,0)),H1178,N(N1178)),IF(N(Q1178)&gt;0,Q1178,MAX(1,H1178)))))</f>
        <v>1</v>
      </c>
      <c r="BW1178" s="53" t="n">
        <f aca="false">IF(BU1178="LOSE",1,0)</f>
        <v>0</v>
      </c>
      <c r="BX1178" s="53" t="n">
        <f aca="false">IF(AND(U1178="",OR(P1178="",P1178="LOSE"),T1178&lt;&gt;"",N(S1178)&lt;=0,ISNUMBER(MATCH(T1178,Parameter!$I$27:$I$29,0))),1,0)</f>
        <v>0</v>
      </c>
      <c r="BY1178" s="53" t="n">
        <f aca="false">IF(CL1178&gt;0,INDEX(Parameter!$H$5:$H$7,W1178)/INDEX(Parameter!$E$5:$E$7,W1178),IF(AND(BW1178=0,N(IFERROR(VLOOKUP(BU1178,'Gebinde-Kategorie'!$A$5:$N$45,14,0),0))&gt;0),VLOOKUP(BU1178,'Gebinde-Kategorie'!$A$5:$N$45,14,0)*10+Parameter!$M$23,Parameter!$M$24))</f>
        <v>155</v>
      </c>
      <c r="BZ1178" s="48" t="str">
        <f aca="false">IF(AND(Parameter!$B$19="Ja",E1178&lt;&gt;"",ISNUMBER(MATCH(E1178,Parameter!$I$35:$I$52,0))),VLOOKUP(E1178,Parameter!$I$35:$J$52,2,0),IFERROR(VLOOKUP(D1178,Parameter!$A$35:$C$64,2,0),"Nein"))</f>
        <v>2+3</v>
      </c>
      <c r="CA1178" s="52" t="n">
        <f aca="false">IF(BW1178=0,0,IF(N(S1178)&gt;0,S1178,IFERROR(VLOOKUP(D1178,Parameter!$A$35:$C$64,3,0)+0,0)))</f>
        <v>0</v>
      </c>
      <c r="CB1178" s="48" t="n">
        <f aca="false">IF(AA1178&lt;&gt;"",AA1178,Z1178)</f>
        <v>3</v>
      </c>
      <c r="CC1178" s="48" t="str">
        <f aca="false">IF(OR(CB1178=1,CB1178=2,CB1178=3),IF(Parameter!$E$27="Ja","LIFT",IF(CB1178=1,"L1","L23")),IF(CB1178="Aussen","Aussen","-"))</f>
        <v>LIFT</v>
      </c>
      <c r="CD1178" s="59" t="n">
        <f aca="false">IF(N(AB1178)&gt;0,AB1178,0)</f>
        <v>0</v>
      </c>
      <c r="CE1178" s="53" t="n">
        <f aca="false">IF(ISNUMBER(AE1178),1,0)</f>
        <v>0</v>
      </c>
      <c r="CF1178" s="50" t="n">
        <f aca="false">N(AE1178)</f>
        <v>0</v>
      </c>
      <c r="CG1178" s="50" t="n">
        <f aca="false">N(M1178)+N(N1178)</f>
        <v>1</v>
      </c>
      <c r="CH1178" s="50" t="n">
        <f aca="false">ROUNDUP(H1178/BV1178,0)</f>
        <v>1</v>
      </c>
      <c r="CI1178" s="50" t="n">
        <f aca="false">ROUNDUP(CF1178/BV1178,0)</f>
        <v>0</v>
      </c>
      <c r="CJ1178" s="53" t="n">
        <f aca="false">IF(BW1178=1,0,IFERROR(VLOOKUP(BU1178,'Gebinde-Kategorie'!$A$5:$N$45,5,0)+0,0))</f>
        <v>8</v>
      </c>
      <c r="CK1178" s="53" t="n">
        <f aca="false">IFERROR(IF(OR(CB1178=1,CB1178=2,CB1178=3),N(INDEX(Parameter!$I$5:$I$7,CB1178)),0),0)</f>
        <v>0</v>
      </c>
      <c r="CL1178" s="52" t="n">
        <f aca="false">IF(AND(Parameter!$B$21="Ja",ISNUMBER(W1178),N(X1178)&gt;0),IFERROR(N(INDEX(Parameter!$L$5:$L$7,W1178))*INDEX(Parameter!$E$5:$E$7,W1178)*X1178/SUMIFS($X$7:$X$1843,$W$7:$W$1843,W1178),0),0)</f>
        <v>0</v>
      </c>
    </row>
    <row r="1179" customFormat="false" ht="15" hidden="false" customHeight="false" outlineLevel="0" collapsed="false">
      <c r="A1179" s="48" t="s">
        <v>2127</v>
      </c>
      <c r="B1179" s="48" t="s">
        <v>411</v>
      </c>
      <c r="C1179" s="48" t="s">
        <v>168</v>
      </c>
      <c r="D1179" s="48" t="s">
        <v>188</v>
      </c>
      <c r="E1179" s="48" t="s">
        <v>189</v>
      </c>
      <c r="F1179" s="48" t="s">
        <v>222</v>
      </c>
      <c r="G1179" s="49" t="n">
        <v>0.59</v>
      </c>
      <c r="H1179" s="50" t="n">
        <f aca="false">MAX(0,IF(AND(Parameter!$B$21="Ja",ISNUMBER(Y1179)),Y1179,IF(Parameter!$B$20="Jahresanfang 2025 + Export",BO1179+BN1179,BN1179)))</f>
        <v>2306</v>
      </c>
      <c r="I1179" s="50" t="n">
        <f aca="false">H1179*G1179</f>
        <v>1360.54</v>
      </c>
      <c r="J1179" s="50" t="n">
        <f aca="false">BQ1179*Parameter!$B$18</f>
        <v>15676</v>
      </c>
      <c r="K1179" s="51" t="n">
        <v>3733.5</v>
      </c>
      <c r="L1179" s="52" t="n">
        <v>4.19874112762823</v>
      </c>
      <c r="M1179" s="50" t="n">
        <v>914</v>
      </c>
      <c r="N1179" s="50" t="n">
        <v>1000</v>
      </c>
      <c r="O1179" s="53" t="n">
        <v>21</v>
      </c>
      <c r="P1179" s="48" t="s">
        <v>230</v>
      </c>
      <c r="Q1179" s="50" t="n">
        <v>20503</v>
      </c>
      <c r="R1179" s="53" t="n">
        <f aca="false">IF(BW1179=1,0,IFERROR(VLOOKUP(BU1179,'Gebinde-Kategorie'!$A$5:$N$45,13,0)+0,0))</f>
        <v>12</v>
      </c>
      <c r="S1179" s="54"/>
      <c r="T1179" s="55"/>
      <c r="U1179" s="55"/>
      <c r="V1179" s="55"/>
      <c r="W1179" s="48"/>
      <c r="X1179" s="50"/>
      <c r="Y1179" s="50"/>
      <c r="Z1179" s="48" t="n">
        <f aca="false">IF(A1179="","",IF(AND(Parameter!$B$21="Ja",ISNUMBER(W1179)),W1179,IF(BZ1179="2+3",IF(ISNUMBER(SEARCH("grosser Artikel",BR1179)),2,IFERROR(VLOOKUP(BU1179,Parameter!$F$35:$G$64,2,0),2)),IF(OR(BZ1179="Nein",BZ1179=""),"-",BZ1179))))</f>
        <v>2</v>
      </c>
      <c r="AA1179" s="55"/>
      <c r="AB1179" s="56"/>
      <c r="AC1179" s="50" t="n">
        <f aca="false">AT1179</f>
        <v>20503</v>
      </c>
      <c r="AD1179" s="50" t="n">
        <f aca="false">MAX(AT1179,H1179)</f>
        <v>20503</v>
      </c>
      <c r="AE1179" s="57"/>
      <c r="AF1179" s="50" t="n">
        <f aca="false">IF(LEFT(Cockpit!$C$5,1)="A",H1179,IF(CE1179=1,CF1179,IF(LEFT(Cockpit!$C$5,1)="B",AK1179,MAX(AK1179,H1179))))</f>
        <v>2306</v>
      </c>
      <c r="AG1179" s="50" t="n">
        <f aca="false">IF(BW1179=1,0,ROUNDUP(AF1179/BV1179,0))</f>
        <v>1</v>
      </c>
      <c r="AH1179" s="52" t="n">
        <f aca="false">IF(CL1179&gt;0,CL1179*MAX(1,AF1179/X1179),IF(BW1179=1,IF(AF1179&lt;=0,0,CA1179*MAX(1,IF(H1179&gt;0,AF1179/H1179,1))),IF(R1179&gt;0,AG1179/R1179,0))/MAX(0.1,N(Parameter!$M$21)))</f>
        <v>0.0833333333333333</v>
      </c>
      <c r="AI1179" s="50" t="n">
        <f aca="false">AH1179*BY1179</f>
        <v>28.75</v>
      </c>
      <c r="AJ1179" s="50" t="n">
        <f aca="false">AF1179*G1179</f>
        <v>1360.54</v>
      </c>
      <c r="AK1179" s="50" t="n">
        <f aca="false">ROUNDUP(MAX(J1179/IF(CD1179&gt;0,CD1179,MAX(0.1,N(Cockpit!$C$6))),CG1179)/BV1179,0)*BV1179</f>
        <v>20503</v>
      </c>
      <c r="AL1179" s="51" t="n">
        <f aca="false">IF(AI1179&gt;0,J1179/AI1179,-1)</f>
        <v>545.252173913044</v>
      </c>
      <c r="AM1179" s="51" t="n">
        <f aca="false">IF(AND(OR(CC1179="L1",CC1179="L23",CC1179="LIFT"),AI1179&gt;0),SUMIFS($AI$7:$AI$1843,$CC$7:$CC$1843,CC1179,$AL$7:$AL$1843,"&gt;"&amp;AL1179)+SUMIFS($AI$7:$AI$1843,$CC$7:$CC$1843,CC1179,$AL$7:$AL$1843,AL1179,$BT$7:$BT$1843,"&lt;="&amp;BT1179),"")</f>
        <v>80.9684065934066</v>
      </c>
      <c r="AN1179" s="58" t="n">
        <f aca="false">IF(AM1179="",0,MAX(0,MIN(1,(IF(CC1179="L1",Parameter!$H$5,IF(CC1179="L23",Parameter!$H$6+Parameter!$H$7,Parameter!$H$5+Parameter!$H$6+Parameter!$H$7))-(AM1179-AI1179))/AI1179)))</f>
        <v>1</v>
      </c>
      <c r="AO1179" s="50" t="n">
        <f aca="false">IF(LEFT(Cockpit!$I$5,1)="A",H1179,IF(CE1179=1,CF1179,IF(LEFT(Cockpit!$I$5,1)="B",AT1179,MAX(AT1179,H1179))))</f>
        <v>20503</v>
      </c>
      <c r="AP1179" s="50" t="n">
        <f aca="false">IF(BW1179=1,0,ROUNDUP(AO1179/BV1179,0))</f>
        <v>1</v>
      </c>
      <c r="AQ1179" s="52" t="n">
        <f aca="false">IF(CL1179&gt;0,CL1179*MAX(1,AO1179/X1179),IF(BW1179=1,IF(AO1179&lt;=0,0,CA1179*MAX(1,IF(H1179&gt;0,AO1179/H1179,1))),IF(R1179&gt;0,AP1179/R1179,0))/MAX(0.1,N(Parameter!$M$21)))</f>
        <v>0.0833333333333333</v>
      </c>
      <c r="AR1179" s="50" t="n">
        <f aca="false">AQ1179*BY1179</f>
        <v>28.75</v>
      </c>
      <c r="AS1179" s="50" t="n">
        <f aca="false">AO1179*G1179</f>
        <v>12096.77</v>
      </c>
      <c r="AT1179" s="50" t="n">
        <f aca="false">ROUNDUP(MAX(J1179/IF(CD1179&gt;0,CD1179,MAX(0.1,N(Cockpit!$I$6))),CG1179)/BV1179,0)*BV1179</f>
        <v>20503</v>
      </c>
      <c r="AU1179" s="51" t="n">
        <f aca="false">IF(AR1179&gt;0,J1179/AR1179,-1)</f>
        <v>545.252173913044</v>
      </c>
      <c r="AV1179" s="51" t="n">
        <f aca="false">IF(AND(OR(CC1179="L1",CC1179="L23",CC1179="LIFT"),AR1179&gt;0),SUMIFS($AR$7:$AR$1843,$CC$7:$CC$1843,CC1179,$AU$7:$AU$1843,"&gt;"&amp;AU1179)+SUMIFS($AR$7:$AR$1843,$CC$7:$CC$1843,CC1179,$AU$7:$AU$1843,AU1179,$BT$7:$BT$1843,"&lt;="&amp;BT1179),"")</f>
        <v>67.4574175824176</v>
      </c>
      <c r="AW1179" s="58" t="n">
        <f aca="false">IF(AV1179="",0,MAX(0,MIN(1,(IF(CC1179="L1",Parameter!$H$5,IF(CC1179="L23",Parameter!$H$6+Parameter!$H$7,Parameter!$H$5+Parameter!$H$6+Parameter!$H$7))-(AV1179-AR1179))/AR1179)))</f>
        <v>1</v>
      </c>
      <c r="AX1179" s="50" t="n">
        <f aca="false">IF(LEFT(Cockpit!$O$5,1)="A",H1179,IF(CE1179=1,CF1179,IF(LEFT(Cockpit!$O$5,1)="B",BC1179,MAX(BC1179,H1179))))</f>
        <v>20503</v>
      </c>
      <c r="AY1179" s="50" t="n">
        <f aca="false">IF(BW1179=1,0,ROUNDUP(AX1179/BV1179,0))</f>
        <v>1</v>
      </c>
      <c r="AZ1179" s="52" t="n">
        <f aca="false">IF(CL1179&gt;0,CL1179*MAX(1,AX1179/X1179),IF(BW1179=1,IF(AX1179&lt;=0,0,CA1179*MAX(1,IF(H1179&gt;0,AX1179/H1179,1))),IF(R1179&gt;0,AY1179/R1179,0))/MAX(0.1,N(Parameter!$M$21)))</f>
        <v>0.0833333333333333</v>
      </c>
      <c r="BA1179" s="50" t="n">
        <f aca="false">AZ1179*BY1179</f>
        <v>28.75</v>
      </c>
      <c r="BB1179" s="50" t="n">
        <f aca="false">AX1179*G1179</f>
        <v>12096.77</v>
      </c>
      <c r="BC1179" s="50" t="n">
        <f aca="false">ROUNDUP(MAX(J1179/IF(CD1179&gt;0,CD1179,MAX(0.1,N(Cockpit!$O$6))),CG1179)/BV1179,0)*BV1179</f>
        <v>20503</v>
      </c>
      <c r="BD1179" s="51" t="n">
        <f aca="false">IF(BA1179&gt;0,J1179/BA1179,-1)</f>
        <v>545.252173913044</v>
      </c>
      <c r="BE1179" s="51" t="n">
        <f aca="false">IF(AND(OR(CC1179="L1",CC1179="L23",CC1179="LIFT"),BA1179&gt;0),SUMIFS($BA$7:$BA$1843,$CC$7:$CC$1843,CC1179,$BD$7:$BD$1843,"&gt;"&amp;BD1179)+SUMIFS($BA$7:$BA$1843,$CC$7:$CC$1843,CC1179,$BD$7:$BD$1843,BD1179,$BT$7:$BT$1843,"&lt;="&amp;BT1179),"")</f>
        <v>79.3804945054945</v>
      </c>
      <c r="BF1179" s="58" t="n">
        <f aca="false">IF(BE1179="",0,MAX(0,MIN(1,(IF(CC1179="L1",Parameter!$H$5,IF(CC1179="L23",Parameter!$H$6+Parameter!$H$7,Parameter!$H$5+Parameter!$H$6+Parameter!$H$7))-(BE1179-BA1179))/BA1179)))</f>
        <v>1</v>
      </c>
      <c r="BG1179" s="48" t="str">
        <f aca="false">IF(AI1179&lt;=0,"",IF(CC1179="Aussen","Aussenlager",IF(CC1179="-","Nicht im Lift",IF(AN1179&gt;=1,"Lift",IF(AN1179&lt;=0,"Aussenlager","teilweise")))))</f>
        <v>Lift</v>
      </c>
      <c r="BH1179" s="48" t="str">
        <f aca="false">IF(AR1179&lt;=0,"",IF(CC1179="Aussen","Aussenlager",IF(CC1179="-","Nicht im Lift",IF(AW1179&gt;=1,"Lift",IF(AW1179&lt;=0,"Aussenlager","teilweise")))))</f>
        <v>Lift</v>
      </c>
      <c r="BI1179" s="48" t="str">
        <f aca="false">IF(BA1179&lt;=0,"",IF(CC1179="Aussen","Aussenlager",IF(CC1179="-","Nicht im Lift",IF(BF1179&gt;=1,"Lift",IF(BF1179&lt;=0,"Aussenlager","teilweise")))))</f>
        <v>Lift</v>
      </c>
      <c r="BJ1179" s="48" t="str">
        <f aca="false">IF(A1179="","",IF(BS1179=1,"Neu; ","")&amp;IF(AND(BS1179=0,BN1179&lt;0),"negativer Bestand (Export "&amp;BN1179&amp;"); ","")&amp;IF(J1179&lt;=0,"Kein Verbrauch; ","")&amp;IF(CL1179&gt;0,"Lift "&amp;W1179&amp;" lt. Liftbericht (Fach "&amp;X1179&amp;" Stk); ",IF(BX1179=1,"Gebinde geschätzt ("&amp;T1179&amp;"); ",IF(BW1179=1,"Lose – Tablare geschätzt; ","")))&amp;IF(H1179&gt;AT1179,"Überbestand "&amp;ROUND(H1179-AT1179,0)&amp;" Stk / CHF "&amp;ROUND((H1179-AT1179)*G1179,0)&amp;"; ","")&amp;IF(AND(CE1179=1,CF1179&lt;CG1179),"MAX &lt; MB+LG; ","")&amp;IF(AND(CK1179&gt;0,CJ1179*10&gt;CK1179),"zu hoch für Tablar; ","")&amp;IF(AND(BS1179=0,OR(CE1179=1,AA1179&lt;&gt;"",U1179&lt;&gt;"",V1179&lt;&gt;"",AB1179&lt;&gt;"")),"manuell übersteuert; ","")&amp;IF(AND(BW1179=0,R1179=0),"Gebinde unbekannt / Stellmass fehlt; ","")&amp;IF(AND(BW1179=0,N(V1179)&lt;=0,N(Q1179)&lt;=0),"Menge pro Gebinde fehlt (Ist = 1 Gebinde); ","")&amp;BR1179)</f>
        <v>negativer Bestand (Export -1436); </v>
      </c>
      <c r="BK1179" s="48"/>
      <c r="BL1179" s="48"/>
      <c r="BM1179" s="55"/>
      <c r="BN1179" s="50" t="n">
        <v>-1436</v>
      </c>
      <c r="BO1179" s="50" t="n">
        <v>3742</v>
      </c>
      <c r="BP1179" s="49" t="n">
        <v>-371.960000000004</v>
      </c>
      <c r="BQ1179" s="50" t="n">
        <v>15676</v>
      </c>
      <c r="BR1179" s="48"/>
      <c r="BS1179" s="53" t="n">
        <v>0</v>
      </c>
      <c r="BT1179" s="53" t="n">
        <v>1179</v>
      </c>
      <c r="BU1179" s="48" t="str">
        <f aca="false">IF(U1179&lt;&gt;"",UPPER(TRIM(U1179)),IF(BX1179=1,UPPER(VLOOKUP(T1179,Parameter!$I$27:$K$29,2,0)),IF(P1179="","LOSE",P1179)))</f>
        <v>S63</v>
      </c>
      <c r="BV1179" s="50" t="n">
        <f aca="false">IF(BU1179="LOSE",1,IF(N(V1179)&gt;0,V1179,IF(BX1179=1,MAX(1,N(VLOOKUP(T1179,Parameter!$I$27:$K$29,3,0)),H1179,N(N1179)),IF(N(Q1179)&gt;0,Q1179,MAX(1,H1179)))))</f>
        <v>20503</v>
      </c>
      <c r="BW1179" s="53" t="n">
        <f aca="false">IF(BU1179="LOSE",1,0)</f>
        <v>0</v>
      </c>
      <c r="BX1179" s="53" t="n">
        <f aca="false">IF(AND(U1179="",OR(P1179="",P1179="LOSE"),T1179&lt;&gt;"",N(S1179)&lt;=0,ISNUMBER(MATCH(T1179,Parameter!$I$27:$I$29,0))),1,0)</f>
        <v>0</v>
      </c>
      <c r="BY1179" s="53" t="n">
        <f aca="false">IF(CL1179&gt;0,INDEX(Parameter!$H$5:$H$7,W1179)/INDEX(Parameter!$E$5:$E$7,W1179),IF(AND(BW1179=0,N(IFERROR(VLOOKUP(BU1179,'Gebinde-Kategorie'!$A$5:$N$45,14,0),0))&gt;0),VLOOKUP(BU1179,'Gebinde-Kategorie'!$A$5:$N$45,14,0)*10+Parameter!$M$23,Parameter!$M$24))</f>
        <v>345</v>
      </c>
      <c r="BZ1179" s="48" t="str">
        <f aca="false">IF(AND(Parameter!$B$19="Ja",E1179&lt;&gt;"",ISNUMBER(MATCH(E1179,Parameter!$I$35:$I$52,0))),VLOOKUP(E1179,Parameter!$I$35:$J$52,2,0),IFERROR(VLOOKUP(D1179,Parameter!$A$35:$C$64,2,0),"Nein"))</f>
        <v>2+3</v>
      </c>
      <c r="CA1179" s="52" t="n">
        <f aca="false">IF(BW1179=0,0,IF(N(S1179)&gt;0,S1179,IFERROR(VLOOKUP(D1179,Parameter!$A$35:$C$64,3,0)+0,0)))</f>
        <v>0</v>
      </c>
      <c r="CB1179" s="48" t="n">
        <f aca="false">IF(AA1179&lt;&gt;"",AA1179,Z1179)</f>
        <v>2</v>
      </c>
      <c r="CC1179" s="48" t="str">
        <f aca="false">IF(OR(CB1179=1,CB1179=2,CB1179=3),IF(Parameter!$E$27="Ja","LIFT",IF(CB1179=1,"L1","L23")),IF(CB1179="Aussen","Aussen","-"))</f>
        <v>LIFT</v>
      </c>
      <c r="CD1179" s="59" t="n">
        <f aca="false">IF(N(AB1179)&gt;0,AB1179,0)</f>
        <v>0</v>
      </c>
      <c r="CE1179" s="53" t="n">
        <f aca="false">IF(ISNUMBER(AE1179),1,0)</f>
        <v>0</v>
      </c>
      <c r="CF1179" s="50" t="n">
        <f aca="false">N(AE1179)</f>
        <v>0</v>
      </c>
      <c r="CG1179" s="50" t="n">
        <f aca="false">N(M1179)+N(N1179)</f>
        <v>1914</v>
      </c>
      <c r="CH1179" s="50" t="n">
        <f aca="false">ROUNDUP(H1179/BV1179,0)</f>
        <v>1</v>
      </c>
      <c r="CI1179" s="50" t="n">
        <f aca="false">ROUNDUP(CF1179/BV1179,0)</f>
        <v>0</v>
      </c>
      <c r="CJ1179" s="53" t="n">
        <f aca="false">IF(BW1179=1,0,IFERROR(VLOOKUP(BU1179,'Gebinde-Kategorie'!$A$5:$N$45,5,0)+0,0))</f>
        <v>31</v>
      </c>
      <c r="CK1179" s="53" t="n">
        <f aca="false">IFERROR(IF(OR(CB1179=1,CB1179=2,CB1179=3),N(INDEX(Parameter!$I$5:$I$7,CB1179)),0),0)</f>
        <v>0</v>
      </c>
      <c r="CL1179" s="52" t="n">
        <f aca="false">IF(AND(Parameter!$B$21="Ja",ISNUMBER(W1179),N(X1179)&gt;0),IFERROR(N(INDEX(Parameter!$L$5:$L$7,W1179))*INDEX(Parameter!$E$5:$E$7,W1179)*X1179/SUMIFS($X$7:$X$1843,$W$7:$W$1843,W1179),0),0)</f>
        <v>0</v>
      </c>
    </row>
    <row r="1180" customFormat="false" ht="15" hidden="false" customHeight="false" outlineLevel="0" collapsed="false">
      <c r="A1180" s="48" t="s">
        <v>2128</v>
      </c>
      <c r="B1180" s="48" t="s">
        <v>1138</v>
      </c>
      <c r="C1180" s="48" t="s">
        <v>168</v>
      </c>
      <c r="D1180" s="48" t="s">
        <v>188</v>
      </c>
      <c r="E1180" s="48" t="s">
        <v>189</v>
      </c>
      <c r="F1180" s="48" t="s">
        <v>222</v>
      </c>
      <c r="G1180" s="49" t="n">
        <v>93.6</v>
      </c>
      <c r="H1180" s="50" t="n">
        <f aca="false">MAX(0,IF(AND(Parameter!$B$21="Ja",ISNUMBER(Y1180)),Y1180,IF(Parameter!$B$20="Jahresanfang 2025 + Export",BO1180+BN1180,BN1180)))</f>
        <v>3</v>
      </c>
      <c r="I1180" s="50" t="n">
        <f aca="false">H1180*G1180</f>
        <v>280.8</v>
      </c>
      <c r="J1180" s="50" t="n">
        <f aca="false">BQ1180*Parameter!$B$18</f>
        <v>0</v>
      </c>
      <c r="K1180" s="51" t="n">
        <v>5</v>
      </c>
      <c r="L1180" s="52" t="n">
        <v>0</v>
      </c>
      <c r="M1180" s="50" t="n">
        <v>0</v>
      </c>
      <c r="N1180" s="50" t="n">
        <v>1</v>
      </c>
      <c r="O1180" s="53" t="n">
        <v>56</v>
      </c>
      <c r="P1180" s="48" t="s">
        <v>306</v>
      </c>
      <c r="Q1180" s="50" t="n">
        <v>3</v>
      </c>
      <c r="R1180" s="53" t="n">
        <f aca="false">IF(BW1180=1,0,IFERROR(VLOOKUP(BU1180,'Gebinde-Kategorie'!$A$5:$N$45,13,0)+0,0))</f>
        <v>26</v>
      </c>
      <c r="S1180" s="54"/>
      <c r="T1180" s="55"/>
      <c r="U1180" s="55"/>
      <c r="V1180" s="55"/>
      <c r="W1180" s="48"/>
      <c r="X1180" s="50"/>
      <c r="Y1180" s="50"/>
      <c r="Z1180" s="48" t="n">
        <f aca="false">IF(A1180="","",IF(AND(Parameter!$B$21="Ja",ISNUMBER(W1180)),W1180,IF(BZ1180="2+3",IF(ISNUMBER(SEARCH("grosser Artikel",BR1180)),2,IFERROR(VLOOKUP(BU1180,Parameter!$F$35:$G$64,2,0),2)),IF(OR(BZ1180="Nein",BZ1180=""),"-",BZ1180))))</f>
        <v>3</v>
      </c>
      <c r="AA1180" s="55"/>
      <c r="AB1180" s="56"/>
      <c r="AC1180" s="50" t="n">
        <f aca="false">AT1180</f>
        <v>3</v>
      </c>
      <c r="AD1180" s="50" t="n">
        <f aca="false">MAX(AT1180,H1180)</f>
        <v>3</v>
      </c>
      <c r="AE1180" s="57"/>
      <c r="AF1180" s="50" t="n">
        <f aca="false">IF(LEFT(Cockpit!$C$5,1)="A",H1180,IF(CE1180=1,CF1180,IF(LEFT(Cockpit!$C$5,1)="B",AK1180,MAX(AK1180,H1180))))</f>
        <v>3</v>
      </c>
      <c r="AG1180" s="50" t="n">
        <f aca="false">IF(BW1180=1,0,ROUNDUP(AF1180/BV1180,0))</f>
        <v>1</v>
      </c>
      <c r="AH1180" s="52" t="n">
        <f aca="false">IF(CL1180&gt;0,CL1180*MAX(1,AF1180/X1180),IF(BW1180=1,IF(AF1180&lt;=0,0,CA1180*MAX(1,IF(H1180&gt;0,AF1180/H1180,1))),IF(R1180&gt;0,AG1180/R1180,0))/MAX(0.1,N(Parameter!$M$21)))</f>
        <v>0.0384615384615385</v>
      </c>
      <c r="AI1180" s="50" t="n">
        <f aca="false">AH1180*BY1180</f>
        <v>5.96153846153846</v>
      </c>
      <c r="AJ1180" s="50" t="n">
        <f aca="false">AF1180*G1180</f>
        <v>280.8</v>
      </c>
      <c r="AK1180" s="50" t="n">
        <f aca="false">ROUNDUP(MAX(J1180/IF(CD1180&gt;0,CD1180,MAX(0.1,N(Cockpit!$C$6))),CG1180)/BV1180,0)*BV1180</f>
        <v>3</v>
      </c>
      <c r="AL1180" s="51" t="n">
        <f aca="false">IF(AI1180&gt;0,J1180/AI1180,-1)</f>
        <v>0</v>
      </c>
      <c r="AM1180" s="51" t="n">
        <f aca="false">IF(AND(OR(CC1180="L1",CC1180="L23",CC1180="LIFT"),AI1180&gt;0),SUMIFS($AI$7:$AI$1843,$CC$7:$CC$1843,CC1180,$AL$7:$AL$1843,"&gt;"&amp;AL1180)+SUMIFS($AI$7:$AI$1843,$CC$7:$CC$1843,CC1180,$AL$7:$AL$1843,AL1180,$BT$7:$BT$1843,"&lt;="&amp;BT1180),"")</f>
        <v>29401.514820161</v>
      </c>
      <c r="AN1180" s="58" t="n">
        <f aca="false">IF(AM1180="",0,MAX(0,MIN(1,(IF(CC1180="L1",Parameter!$H$5,IF(CC1180="L23",Parameter!$H$6+Parameter!$H$7,Parameter!$H$5+Parameter!$H$6+Parameter!$H$7))-(AM1180-AI1180))/AI1180)))</f>
        <v>1</v>
      </c>
      <c r="AO1180" s="50" t="n">
        <f aca="false">IF(LEFT(Cockpit!$I$5,1)="A",H1180,IF(CE1180=1,CF1180,IF(LEFT(Cockpit!$I$5,1)="B",AT1180,MAX(AT1180,H1180))))</f>
        <v>3</v>
      </c>
      <c r="AP1180" s="50" t="n">
        <f aca="false">IF(BW1180=1,0,ROUNDUP(AO1180/BV1180,0))</f>
        <v>1</v>
      </c>
      <c r="AQ1180" s="52" t="n">
        <f aca="false">IF(CL1180&gt;0,CL1180*MAX(1,AO1180/X1180),IF(BW1180=1,IF(AO1180&lt;=0,0,CA1180*MAX(1,IF(H1180&gt;0,AO1180/H1180,1))),IF(R1180&gt;0,AP1180/R1180,0))/MAX(0.1,N(Parameter!$M$21)))</f>
        <v>0.0384615384615385</v>
      </c>
      <c r="AR1180" s="50" t="n">
        <f aca="false">AQ1180*BY1180</f>
        <v>5.96153846153846</v>
      </c>
      <c r="AS1180" s="50" t="n">
        <f aca="false">AO1180*G1180</f>
        <v>280.8</v>
      </c>
      <c r="AT1180" s="50" t="n">
        <f aca="false">ROUNDUP(MAX(J1180/IF(CD1180&gt;0,CD1180,MAX(0.1,N(Cockpit!$I$6))),CG1180)/BV1180,0)*BV1180</f>
        <v>3</v>
      </c>
      <c r="AU1180" s="51" t="n">
        <f aca="false">IF(AR1180&gt;0,J1180/AR1180,-1)</f>
        <v>0</v>
      </c>
      <c r="AV1180" s="51" t="n">
        <f aca="false">IF(AND(OR(CC1180="L1",CC1180="L23",CC1180="LIFT"),AR1180&gt;0),SUMIFS($AR$7:$AR$1843,$CC$7:$CC$1843,CC1180,$AU$7:$AU$1843,"&gt;"&amp;AU1180)+SUMIFS($AR$7:$AR$1843,$CC$7:$CC$1843,CC1180,$AU$7:$AU$1843,AU1180,$BT$7:$BT$1843,"&lt;="&amp;BT1180),"")</f>
        <v>41170.6396597753</v>
      </c>
      <c r="AW1180" s="58" t="n">
        <f aca="false">IF(AV1180="",0,MAX(0,MIN(1,(IF(CC1180="L1",Parameter!$H$5,IF(CC1180="L23",Parameter!$H$6+Parameter!$H$7,Parameter!$H$5+Parameter!$H$6+Parameter!$H$7))-(AV1180-AR1180))/AR1180)))</f>
        <v>0</v>
      </c>
      <c r="AX1180" s="50" t="n">
        <f aca="false">IF(LEFT(Cockpit!$O$5,1)="A",H1180,IF(CE1180=1,CF1180,IF(LEFT(Cockpit!$O$5,1)="B",BC1180,MAX(BC1180,H1180))))</f>
        <v>3</v>
      </c>
      <c r="AY1180" s="50" t="n">
        <f aca="false">IF(BW1180=1,0,ROUNDUP(AX1180/BV1180,0))</f>
        <v>1</v>
      </c>
      <c r="AZ1180" s="52" t="n">
        <f aca="false">IF(CL1180&gt;0,CL1180*MAX(1,AX1180/X1180),IF(BW1180=1,IF(AX1180&lt;=0,0,CA1180*MAX(1,IF(H1180&gt;0,AX1180/H1180,1))),IF(R1180&gt;0,AY1180/R1180,0))/MAX(0.1,N(Parameter!$M$21)))</f>
        <v>0.0384615384615385</v>
      </c>
      <c r="BA1180" s="50" t="n">
        <f aca="false">AZ1180*BY1180</f>
        <v>5.96153846153846</v>
      </c>
      <c r="BB1180" s="50" t="n">
        <f aca="false">AX1180*G1180</f>
        <v>280.8</v>
      </c>
      <c r="BC1180" s="50" t="n">
        <f aca="false">ROUNDUP(MAX(J1180/IF(CD1180&gt;0,CD1180,MAX(0.1,N(Cockpit!$O$6))),CG1180)/BV1180,0)*BV1180</f>
        <v>3</v>
      </c>
      <c r="BD1180" s="51" t="n">
        <f aca="false">IF(BA1180&gt;0,J1180/BA1180,-1)</f>
        <v>0</v>
      </c>
      <c r="BE1180" s="51" t="n">
        <f aca="false">IF(AND(OR(CC1180="L1",CC1180="L23",CC1180="LIFT"),BA1180&gt;0),SUMIFS($BA$7:$BA$1843,$CC$7:$CC$1843,CC1180,$BD$7:$BD$1843,"&gt;"&amp;BD1180)+SUMIFS($BA$7:$BA$1843,$CC$7:$CC$1843,CC1180,$BD$7:$BD$1843,BD1180,$BT$7:$BT$1843,"&lt;="&amp;BT1180),"")</f>
        <v>37845.6517016411</v>
      </c>
      <c r="BF1180" s="58" t="n">
        <f aca="false">IF(BE1180="",0,MAX(0,MIN(1,(IF(CC1180="L1",Parameter!$H$5,IF(CC1180="L23",Parameter!$H$6+Parameter!$H$7,Parameter!$H$5+Parameter!$H$6+Parameter!$H$7))-(BE1180-BA1180))/BA1180)))</f>
        <v>0</v>
      </c>
      <c r="BG1180" s="48" t="str">
        <f aca="false">IF(AI1180&lt;=0,"",IF(CC1180="Aussen","Aussenlager",IF(CC1180="-","Nicht im Lift",IF(AN1180&gt;=1,"Lift",IF(AN1180&lt;=0,"Aussenlager","teilweise")))))</f>
        <v>Lift</v>
      </c>
      <c r="BH1180" s="48" t="str">
        <f aca="false">IF(AR1180&lt;=0,"",IF(CC1180="Aussen","Aussenlager",IF(CC1180="-","Nicht im Lift",IF(AW1180&gt;=1,"Lift",IF(AW1180&lt;=0,"Aussenlager","teilweise")))))</f>
        <v>Aussenlager</v>
      </c>
      <c r="BI1180" s="48" t="str">
        <f aca="false">IF(BA1180&lt;=0,"",IF(CC1180="Aussen","Aussenlager",IF(CC1180="-","Nicht im Lift",IF(BF1180&gt;=1,"Lift",IF(BF1180&lt;=0,"Aussenlager","teilweise")))))</f>
        <v>Aussenlager</v>
      </c>
      <c r="BJ1180" s="48" t="str">
        <f aca="false">IF(A1180="","",IF(BS1180=1,"Neu; ","")&amp;IF(AND(BS1180=0,BN1180&lt;0),"negativer Bestand (Export "&amp;BN1180&amp;"); ","")&amp;IF(J1180&lt;=0,"Kein Verbrauch; ","")&amp;IF(CL1180&gt;0,"Lift "&amp;W1180&amp;" lt. Liftbericht (Fach "&amp;X1180&amp;" Stk); ",IF(BX1180=1,"Gebinde geschätzt ("&amp;T1180&amp;"); ",IF(BW1180=1,"Lose – Tablare geschätzt; ","")))&amp;IF(H1180&gt;AT1180,"Überbestand "&amp;ROUND(H1180-AT1180,0)&amp;" Stk / CHF "&amp;ROUND((H1180-AT1180)*G1180,0)&amp;"; ","")&amp;IF(AND(CE1180=1,CF1180&lt;CG1180),"MAX &lt; MB+LG; ","")&amp;IF(AND(CK1180&gt;0,CJ1180*10&gt;CK1180),"zu hoch für Tablar; ","")&amp;IF(AND(BS1180=0,OR(CE1180=1,AA1180&lt;&gt;"",U1180&lt;&gt;"",V1180&lt;&gt;"",AB1180&lt;&gt;"")),"manuell übersteuert; ","")&amp;IF(AND(BW1180=0,R1180=0),"Gebinde unbekannt / Stellmass fehlt; ","")&amp;IF(AND(BW1180=0,N(V1180)&lt;=0,N(Q1180)&lt;=0),"Menge pro Gebinde fehlt (Ist = 1 Gebinde); ","")&amp;BR1180)</f>
        <v>negativer Bestand (Export -4); Kein Verbrauch; </v>
      </c>
      <c r="BK1180" s="48"/>
      <c r="BL1180" s="48"/>
      <c r="BM1180" s="55"/>
      <c r="BN1180" s="50" t="n">
        <v>-4</v>
      </c>
      <c r="BO1180" s="50" t="n">
        <v>7</v>
      </c>
      <c r="BP1180" s="49" t="n">
        <v>-374.4</v>
      </c>
      <c r="BQ1180" s="50" t="n">
        <v>0</v>
      </c>
      <c r="BR1180" s="48"/>
      <c r="BS1180" s="53" t="n">
        <v>0</v>
      </c>
      <c r="BT1180" s="53" t="n">
        <v>1180</v>
      </c>
      <c r="BU1180" s="48" t="str">
        <f aca="false">IF(U1180&lt;&gt;"",UPPER(TRIM(U1180)),IF(BX1180=1,UPPER(VLOOKUP(T1180,Parameter!$I$27:$K$29,2,0)),IF(P1180="","LOSE",P1180)))</f>
        <v>S51</v>
      </c>
      <c r="BV1180" s="50" t="n">
        <f aca="false">IF(BU1180="LOSE",1,IF(N(V1180)&gt;0,V1180,IF(BX1180=1,MAX(1,N(VLOOKUP(T1180,Parameter!$I$27:$K$29,3,0)),H1180,N(N1180)),IF(N(Q1180)&gt;0,Q1180,MAX(1,H1180)))))</f>
        <v>3</v>
      </c>
      <c r="BW1180" s="53" t="n">
        <f aca="false">IF(BU1180="LOSE",1,0)</f>
        <v>0</v>
      </c>
      <c r="BX1180" s="53" t="n">
        <f aca="false">IF(AND(U1180="",OR(P1180="",P1180="LOSE"),T1180&lt;&gt;"",N(S1180)&lt;=0,ISNUMBER(MATCH(T1180,Parameter!$I$27:$I$29,0))),1,0)</f>
        <v>0</v>
      </c>
      <c r="BY1180" s="53" t="n">
        <f aca="false">IF(CL1180&gt;0,INDEX(Parameter!$H$5:$H$7,W1180)/INDEX(Parameter!$E$5:$E$7,W1180),IF(AND(BW1180=0,N(IFERROR(VLOOKUP(BU1180,'Gebinde-Kategorie'!$A$5:$N$45,14,0),0))&gt;0),VLOOKUP(BU1180,'Gebinde-Kategorie'!$A$5:$N$45,14,0)*10+Parameter!$M$23,Parameter!$M$24))</f>
        <v>155</v>
      </c>
      <c r="BZ1180" s="48" t="str">
        <f aca="false">IF(AND(Parameter!$B$19="Ja",E1180&lt;&gt;"",ISNUMBER(MATCH(E1180,Parameter!$I$35:$I$52,0))),VLOOKUP(E1180,Parameter!$I$35:$J$52,2,0),IFERROR(VLOOKUP(D1180,Parameter!$A$35:$C$64,2,0),"Nein"))</f>
        <v>2+3</v>
      </c>
      <c r="CA1180" s="52" t="n">
        <f aca="false">IF(BW1180=0,0,IF(N(S1180)&gt;0,S1180,IFERROR(VLOOKUP(D1180,Parameter!$A$35:$C$64,3,0)+0,0)))</f>
        <v>0</v>
      </c>
      <c r="CB1180" s="48" t="n">
        <f aca="false">IF(AA1180&lt;&gt;"",AA1180,Z1180)</f>
        <v>3</v>
      </c>
      <c r="CC1180" s="48" t="str">
        <f aca="false">IF(OR(CB1180=1,CB1180=2,CB1180=3),IF(Parameter!$E$27="Ja","LIFT",IF(CB1180=1,"L1","L23")),IF(CB1180="Aussen","Aussen","-"))</f>
        <v>LIFT</v>
      </c>
      <c r="CD1180" s="59" t="n">
        <f aca="false">IF(N(AB1180)&gt;0,AB1180,0)</f>
        <v>0</v>
      </c>
      <c r="CE1180" s="53" t="n">
        <f aca="false">IF(ISNUMBER(AE1180),1,0)</f>
        <v>0</v>
      </c>
      <c r="CF1180" s="50" t="n">
        <f aca="false">N(AE1180)</f>
        <v>0</v>
      </c>
      <c r="CG1180" s="50" t="n">
        <f aca="false">N(M1180)+N(N1180)</f>
        <v>1</v>
      </c>
      <c r="CH1180" s="50" t="n">
        <f aca="false">ROUNDUP(H1180/BV1180,0)</f>
        <v>1</v>
      </c>
      <c r="CI1180" s="50" t="n">
        <f aca="false">ROUNDUP(CF1180/BV1180,0)</f>
        <v>0</v>
      </c>
      <c r="CJ1180" s="53" t="n">
        <f aca="false">IF(BW1180=1,0,IFERROR(VLOOKUP(BU1180,'Gebinde-Kategorie'!$A$5:$N$45,5,0)+0,0))</f>
        <v>11</v>
      </c>
      <c r="CK1180" s="53" t="n">
        <f aca="false">IFERROR(IF(OR(CB1180=1,CB1180=2,CB1180=3),N(INDEX(Parameter!$I$5:$I$7,CB1180)),0),0)</f>
        <v>0</v>
      </c>
      <c r="CL1180" s="52" t="n">
        <f aca="false">IF(AND(Parameter!$B$21="Ja",ISNUMBER(W1180),N(X1180)&gt;0),IFERROR(N(INDEX(Parameter!$L$5:$L$7,W1180))*INDEX(Parameter!$E$5:$E$7,W1180)*X1180/SUMIFS($X$7:$X$1843,$W$7:$W$1843,W1180),0),0)</f>
        <v>0</v>
      </c>
    </row>
    <row r="1181" customFormat="false" ht="15" hidden="false" customHeight="false" outlineLevel="0" collapsed="false">
      <c r="A1181" s="48" t="s">
        <v>2129</v>
      </c>
      <c r="B1181" s="48" t="s">
        <v>472</v>
      </c>
      <c r="C1181" s="48" t="s">
        <v>168</v>
      </c>
      <c r="D1181" s="48" t="s">
        <v>188</v>
      </c>
      <c r="E1181" s="48" t="s">
        <v>189</v>
      </c>
      <c r="F1181" s="48" t="s">
        <v>222</v>
      </c>
      <c r="G1181" s="49" t="n">
        <v>7.34</v>
      </c>
      <c r="H1181" s="50" t="n">
        <f aca="false">MAX(0,IF(AND(Parameter!$B$21="Ja",ISNUMBER(Y1181)),Y1181,IF(Parameter!$B$20="Jahresanfang 2025 + Export",BO1181+BN1181,BN1181)))</f>
        <v>23</v>
      </c>
      <c r="I1181" s="50" t="n">
        <f aca="false">H1181*G1181</f>
        <v>168.82</v>
      </c>
      <c r="J1181" s="50" t="n">
        <f aca="false">BQ1181*Parameter!$B$18</f>
        <v>24</v>
      </c>
      <c r="K1181" s="51" t="n">
        <v>57.5</v>
      </c>
      <c r="L1181" s="52" t="n">
        <v>0.417391304347826</v>
      </c>
      <c r="M1181" s="50" t="n">
        <v>0</v>
      </c>
      <c r="N1181" s="50" t="n">
        <v>25</v>
      </c>
      <c r="O1181" s="53" t="n">
        <v>14</v>
      </c>
      <c r="P1181" s="48" t="s">
        <v>306</v>
      </c>
      <c r="Q1181" s="50" t="n">
        <v>35</v>
      </c>
      <c r="R1181" s="53" t="n">
        <f aca="false">IF(BW1181=1,0,IFERROR(VLOOKUP(BU1181,'Gebinde-Kategorie'!$A$5:$N$45,13,0)+0,0))</f>
        <v>26</v>
      </c>
      <c r="S1181" s="54"/>
      <c r="T1181" s="55"/>
      <c r="U1181" s="55"/>
      <c r="V1181" s="55"/>
      <c r="W1181" s="48"/>
      <c r="X1181" s="50"/>
      <c r="Y1181" s="50"/>
      <c r="Z1181" s="48" t="n">
        <f aca="false">IF(A1181="","",IF(AND(Parameter!$B$21="Ja",ISNUMBER(W1181)),W1181,IF(BZ1181="2+3",IF(ISNUMBER(SEARCH("grosser Artikel",BR1181)),2,IFERROR(VLOOKUP(BU1181,Parameter!$F$35:$G$64,2,0),2)),IF(OR(BZ1181="Nein",BZ1181=""),"-",BZ1181))))</f>
        <v>3</v>
      </c>
      <c r="AA1181" s="55"/>
      <c r="AB1181" s="56"/>
      <c r="AC1181" s="50" t="n">
        <f aca="false">AT1181</f>
        <v>35</v>
      </c>
      <c r="AD1181" s="50" t="n">
        <f aca="false">MAX(AT1181,H1181)</f>
        <v>35</v>
      </c>
      <c r="AE1181" s="57"/>
      <c r="AF1181" s="50" t="n">
        <f aca="false">IF(LEFT(Cockpit!$C$5,1)="A",H1181,IF(CE1181=1,CF1181,IF(LEFT(Cockpit!$C$5,1)="B",AK1181,MAX(AK1181,H1181))))</f>
        <v>23</v>
      </c>
      <c r="AG1181" s="50" t="n">
        <f aca="false">IF(BW1181=1,0,ROUNDUP(AF1181/BV1181,0))</f>
        <v>1</v>
      </c>
      <c r="AH1181" s="52" t="n">
        <f aca="false">IF(CL1181&gt;0,CL1181*MAX(1,AF1181/X1181),IF(BW1181=1,IF(AF1181&lt;=0,0,CA1181*MAX(1,IF(H1181&gt;0,AF1181/H1181,1))),IF(R1181&gt;0,AG1181/R1181,0))/MAX(0.1,N(Parameter!$M$21)))</f>
        <v>0.0384615384615385</v>
      </c>
      <c r="AI1181" s="50" t="n">
        <f aca="false">AH1181*BY1181</f>
        <v>5.96153846153846</v>
      </c>
      <c r="AJ1181" s="50" t="n">
        <f aca="false">AF1181*G1181</f>
        <v>168.82</v>
      </c>
      <c r="AK1181" s="50" t="n">
        <f aca="false">ROUNDUP(MAX(J1181/IF(CD1181&gt;0,CD1181,MAX(0.1,N(Cockpit!$C$6))),CG1181)/BV1181,0)*BV1181</f>
        <v>35</v>
      </c>
      <c r="AL1181" s="51" t="n">
        <f aca="false">IF(AI1181&gt;0,J1181/AI1181,-1)</f>
        <v>4.0258064516129</v>
      </c>
      <c r="AM1181" s="51" t="n">
        <f aca="false">IF(AND(OR(CC1181="L1",CC1181="L23",CC1181="LIFT"),AI1181&gt;0),SUMIFS($AI$7:$AI$1843,$CC$7:$CC$1843,CC1181,$AL$7:$AL$1843,"&gt;"&amp;AL1181)+SUMIFS($AI$7:$AI$1843,$CC$7:$CC$1843,CC1181,$AL$7:$AL$1843,AL1181,$BT$7:$BT$1843,"&lt;="&amp;BT1181),"")</f>
        <v>4370.61217948718</v>
      </c>
      <c r="AN1181" s="58" t="n">
        <f aca="false">IF(AM1181="",0,MAX(0,MIN(1,(IF(CC1181="L1",Parameter!$H$5,IF(CC1181="L23",Parameter!$H$6+Parameter!$H$7,Parameter!$H$5+Parameter!$H$6+Parameter!$H$7))-(AM1181-AI1181))/AI1181)))</f>
        <v>1</v>
      </c>
      <c r="AO1181" s="50" t="n">
        <f aca="false">IF(LEFT(Cockpit!$I$5,1)="A",H1181,IF(CE1181=1,CF1181,IF(LEFT(Cockpit!$I$5,1)="B",AT1181,MAX(AT1181,H1181))))</f>
        <v>35</v>
      </c>
      <c r="AP1181" s="50" t="n">
        <f aca="false">IF(BW1181=1,0,ROUNDUP(AO1181/BV1181,0))</f>
        <v>1</v>
      </c>
      <c r="AQ1181" s="52" t="n">
        <f aca="false">IF(CL1181&gt;0,CL1181*MAX(1,AO1181/X1181),IF(BW1181=1,IF(AO1181&lt;=0,0,CA1181*MAX(1,IF(H1181&gt;0,AO1181/H1181,1))),IF(R1181&gt;0,AP1181/R1181,0))/MAX(0.1,N(Parameter!$M$21)))</f>
        <v>0.0384615384615385</v>
      </c>
      <c r="AR1181" s="50" t="n">
        <f aca="false">AQ1181*BY1181</f>
        <v>5.96153846153846</v>
      </c>
      <c r="AS1181" s="50" t="n">
        <f aca="false">AO1181*G1181</f>
        <v>256.9</v>
      </c>
      <c r="AT1181" s="50" t="n">
        <f aca="false">ROUNDUP(MAX(J1181/IF(CD1181&gt;0,CD1181,MAX(0.1,N(Cockpit!$I$6))),CG1181)/BV1181,0)*BV1181</f>
        <v>35</v>
      </c>
      <c r="AU1181" s="51" t="n">
        <f aca="false">IF(AR1181&gt;0,J1181/AR1181,-1)</f>
        <v>4.0258064516129</v>
      </c>
      <c r="AV1181" s="51" t="n">
        <f aca="false">IF(AND(OR(CC1181="L1",CC1181="L23",CC1181="LIFT"),AR1181&gt;0),SUMIFS($AR$7:$AR$1843,$CC$7:$CC$1843,CC1181,$AU$7:$AU$1843,"&gt;"&amp;AU1181)+SUMIFS($AR$7:$AR$1843,$CC$7:$CC$1843,CC1181,$AU$7:$AU$1843,AU1181,$BT$7:$BT$1843,"&lt;="&amp;BT1181),"")</f>
        <v>5613.15293040293</v>
      </c>
      <c r="AW1181" s="58" t="n">
        <f aca="false">IF(AV1181="",0,MAX(0,MIN(1,(IF(CC1181="L1",Parameter!$H$5,IF(CC1181="L23",Parameter!$H$6+Parameter!$H$7,Parameter!$H$5+Parameter!$H$6+Parameter!$H$7))-(AV1181-AR1181))/AR1181)))</f>
        <v>1</v>
      </c>
      <c r="AX1181" s="50" t="n">
        <f aca="false">IF(LEFT(Cockpit!$O$5,1)="A",H1181,IF(CE1181=1,CF1181,IF(LEFT(Cockpit!$O$5,1)="B",BC1181,MAX(BC1181,H1181))))</f>
        <v>35</v>
      </c>
      <c r="AY1181" s="50" t="n">
        <f aca="false">IF(BW1181=1,0,ROUNDUP(AX1181/BV1181,0))</f>
        <v>1</v>
      </c>
      <c r="AZ1181" s="52" t="n">
        <f aca="false">IF(CL1181&gt;0,CL1181*MAX(1,AX1181/X1181),IF(BW1181=1,IF(AX1181&lt;=0,0,CA1181*MAX(1,IF(H1181&gt;0,AX1181/H1181,1))),IF(R1181&gt;0,AY1181/R1181,0))/MAX(0.1,N(Parameter!$M$21)))</f>
        <v>0.0384615384615385</v>
      </c>
      <c r="BA1181" s="50" t="n">
        <f aca="false">AZ1181*BY1181</f>
        <v>5.96153846153846</v>
      </c>
      <c r="BB1181" s="50" t="n">
        <f aca="false">AX1181*G1181</f>
        <v>256.9</v>
      </c>
      <c r="BC1181" s="50" t="n">
        <f aca="false">ROUNDUP(MAX(J1181/IF(CD1181&gt;0,CD1181,MAX(0.1,N(Cockpit!$O$6))),CG1181)/BV1181,0)*BV1181</f>
        <v>35</v>
      </c>
      <c r="BD1181" s="51" t="n">
        <f aca="false">IF(BA1181&gt;0,J1181/BA1181,-1)</f>
        <v>4.0258064516129</v>
      </c>
      <c r="BE1181" s="51" t="n">
        <f aca="false">IF(AND(OR(CC1181="L1",CC1181="L23",CC1181="LIFT"),BA1181&gt;0),SUMIFS($BA$7:$BA$1843,$CC$7:$CC$1843,CC1181,$BD$7:$BD$1843,"&gt;"&amp;BD1181)+SUMIFS($BA$7:$BA$1843,$CC$7:$CC$1843,CC1181,$BD$7:$BD$1843,BD1181,$BT$7:$BT$1843,"&lt;="&amp;BT1181),"")</f>
        <v>5301.02152014652</v>
      </c>
      <c r="BF1181" s="58" t="n">
        <f aca="false">IF(BE1181="",0,MAX(0,MIN(1,(IF(CC1181="L1",Parameter!$H$5,IF(CC1181="L23",Parameter!$H$6+Parameter!$H$7,Parameter!$H$5+Parameter!$H$6+Parameter!$H$7))-(BE1181-BA1181))/BA1181)))</f>
        <v>1</v>
      </c>
      <c r="BG1181" s="48" t="str">
        <f aca="false">IF(AI1181&lt;=0,"",IF(CC1181="Aussen","Aussenlager",IF(CC1181="-","Nicht im Lift",IF(AN1181&gt;=1,"Lift",IF(AN1181&lt;=0,"Aussenlager","teilweise")))))</f>
        <v>Lift</v>
      </c>
      <c r="BH1181" s="48" t="str">
        <f aca="false">IF(AR1181&lt;=0,"",IF(CC1181="Aussen","Aussenlager",IF(CC1181="-","Nicht im Lift",IF(AW1181&gt;=1,"Lift",IF(AW1181&lt;=0,"Aussenlager","teilweise")))))</f>
        <v>Lift</v>
      </c>
      <c r="BI1181" s="48" t="str">
        <f aca="false">IF(BA1181&lt;=0,"",IF(CC1181="Aussen","Aussenlager",IF(CC1181="-","Nicht im Lift",IF(BF1181&gt;=1,"Lift",IF(BF1181&lt;=0,"Aussenlager","teilweise")))))</f>
        <v>Lift</v>
      </c>
      <c r="BJ1181" s="48" t="str">
        <f aca="false">IF(A1181="","",IF(BS1181=1,"Neu; ","")&amp;IF(AND(BS1181=0,BN1181&lt;0),"negativer Bestand (Export "&amp;BN1181&amp;"); ","")&amp;IF(J1181&lt;=0,"Kein Verbrauch; ","")&amp;IF(CL1181&gt;0,"Lift "&amp;W1181&amp;" lt. Liftbericht (Fach "&amp;X1181&amp;" Stk); ",IF(BX1181=1,"Gebinde geschätzt ("&amp;T1181&amp;"); ",IF(BW1181=1,"Lose – Tablare geschätzt; ","")))&amp;IF(H1181&gt;AT1181,"Überbestand "&amp;ROUND(H1181-AT1181,0)&amp;" Stk / CHF "&amp;ROUND((H1181-AT1181)*G1181,0)&amp;"; ","")&amp;IF(AND(CE1181=1,CF1181&lt;CG1181),"MAX &lt; MB+LG; ","")&amp;IF(AND(CK1181&gt;0,CJ1181*10&gt;CK1181),"zu hoch für Tablar; ","")&amp;IF(AND(BS1181=0,OR(CE1181=1,AA1181&lt;&gt;"",U1181&lt;&gt;"",V1181&lt;&gt;"",AB1181&lt;&gt;"")),"manuell übersteuert; ","")&amp;IF(AND(BW1181=0,R1181=0),"Gebinde unbekannt / Stellmass fehlt; ","")&amp;IF(AND(BW1181=0,N(V1181)&lt;=0,N(Q1181)&lt;=0),"Menge pro Gebinde fehlt (Ist = 1 Gebinde); ","")&amp;BR1181)</f>
        <v>negativer Bestand (Export -52); </v>
      </c>
      <c r="BK1181" s="48"/>
      <c r="BL1181" s="48"/>
      <c r="BM1181" s="55"/>
      <c r="BN1181" s="50" t="n">
        <v>-52</v>
      </c>
      <c r="BO1181" s="50" t="n">
        <v>75</v>
      </c>
      <c r="BP1181" s="49" t="n">
        <v>-381.68</v>
      </c>
      <c r="BQ1181" s="50" t="n">
        <v>24</v>
      </c>
      <c r="BR1181" s="48"/>
      <c r="BS1181" s="53" t="n">
        <v>0</v>
      </c>
      <c r="BT1181" s="53" t="n">
        <v>1181</v>
      </c>
      <c r="BU1181" s="48" t="str">
        <f aca="false">IF(U1181&lt;&gt;"",UPPER(TRIM(U1181)),IF(BX1181=1,UPPER(VLOOKUP(T1181,Parameter!$I$27:$K$29,2,0)),IF(P1181="","LOSE",P1181)))</f>
        <v>S51</v>
      </c>
      <c r="BV1181" s="50" t="n">
        <f aca="false">IF(BU1181="LOSE",1,IF(N(V1181)&gt;0,V1181,IF(BX1181=1,MAX(1,N(VLOOKUP(T1181,Parameter!$I$27:$K$29,3,0)),H1181,N(N1181)),IF(N(Q1181)&gt;0,Q1181,MAX(1,H1181)))))</f>
        <v>35</v>
      </c>
      <c r="BW1181" s="53" t="n">
        <f aca="false">IF(BU1181="LOSE",1,0)</f>
        <v>0</v>
      </c>
      <c r="BX1181" s="53" t="n">
        <f aca="false">IF(AND(U1181="",OR(P1181="",P1181="LOSE"),T1181&lt;&gt;"",N(S1181)&lt;=0,ISNUMBER(MATCH(T1181,Parameter!$I$27:$I$29,0))),1,0)</f>
        <v>0</v>
      </c>
      <c r="BY1181" s="53" t="n">
        <f aca="false">IF(CL1181&gt;0,INDEX(Parameter!$H$5:$H$7,W1181)/INDEX(Parameter!$E$5:$E$7,W1181),IF(AND(BW1181=0,N(IFERROR(VLOOKUP(BU1181,'Gebinde-Kategorie'!$A$5:$N$45,14,0),0))&gt;0),VLOOKUP(BU1181,'Gebinde-Kategorie'!$A$5:$N$45,14,0)*10+Parameter!$M$23,Parameter!$M$24))</f>
        <v>155</v>
      </c>
      <c r="BZ1181" s="48" t="str">
        <f aca="false">IF(AND(Parameter!$B$19="Ja",E1181&lt;&gt;"",ISNUMBER(MATCH(E1181,Parameter!$I$35:$I$52,0))),VLOOKUP(E1181,Parameter!$I$35:$J$52,2,0),IFERROR(VLOOKUP(D1181,Parameter!$A$35:$C$64,2,0),"Nein"))</f>
        <v>2+3</v>
      </c>
      <c r="CA1181" s="52" t="n">
        <f aca="false">IF(BW1181=0,0,IF(N(S1181)&gt;0,S1181,IFERROR(VLOOKUP(D1181,Parameter!$A$35:$C$64,3,0)+0,0)))</f>
        <v>0</v>
      </c>
      <c r="CB1181" s="48" t="n">
        <f aca="false">IF(AA1181&lt;&gt;"",AA1181,Z1181)</f>
        <v>3</v>
      </c>
      <c r="CC1181" s="48" t="str">
        <f aca="false">IF(OR(CB1181=1,CB1181=2,CB1181=3),IF(Parameter!$E$27="Ja","LIFT",IF(CB1181=1,"L1","L23")),IF(CB1181="Aussen","Aussen","-"))</f>
        <v>LIFT</v>
      </c>
      <c r="CD1181" s="59" t="n">
        <f aca="false">IF(N(AB1181)&gt;0,AB1181,0)</f>
        <v>0</v>
      </c>
      <c r="CE1181" s="53" t="n">
        <f aca="false">IF(ISNUMBER(AE1181),1,0)</f>
        <v>0</v>
      </c>
      <c r="CF1181" s="50" t="n">
        <f aca="false">N(AE1181)</f>
        <v>0</v>
      </c>
      <c r="CG1181" s="50" t="n">
        <f aca="false">N(M1181)+N(N1181)</f>
        <v>25</v>
      </c>
      <c r="CH1181" s="50" t="n">
        <f aca="false">ROUNDUP(H1181/BV1181,0)</f>
        <v>1</v>
      </c>
      <c r="CI1181" s="50" t="n">
        <f aca="false">ROUNDUP(CF1181/BV1181,0)</f>
        <v>0</v>
      </c>
      <c r="CJ1181" s="53" t="n">
        <f aca="false">IF(BW1181=1,0,IFERROR(VLOOKUP(BU1181,'Gebinde-Kategorie'!$A$5:$N$45,5,0)+0,0))</f>
        <v>11</v>
      </c>
      <c r="CK1181" s="53" t="n">
        <f aca="false">IFERROR(IF(OR(CB1181=1,CB1181=2,CB1181=3),N(INDEX(Parameter!$I$5:$I$7,CB1181)),0),0)</f>
        <v>0</v>
      </c>
      <c r="CL1181" s="52" t="n">
        <f aca="false">IF(AND(Parameter!$B$21="Ja",ISNUMBER(W1181),N(X1181)&gt;0),IFERROR(N(INDEX(Parameter!$L$5:$L$7,W1181))*INDEX(Parameter!$E$5:$E$7,W1181)*X1181/SUMIFS($X$7:$X$1843,$W$7:$W$1843,W1181),0),0)</f>
        <v>0</v>
      </c>
    </row>
    <row r="1182" customFormat="false" ht="15" hidden="false" customHeight="false" outlineLevel="0" collapsed="false">
      <c r="A1182" s="48" t="s">
        <v>2130</v>
      </c>
      <c r="B1182" s="48" t="s">
        <v>2131</v>
      </c>
      <c r="C1182" s="48" t="s">
        <v>168</v>
      </c>
      <c r="D1182" s="48" t="s">
        <v>188</v>
      </c>
      <c r="E1182" s="48" t="s">
        <v>189</v>
      </c>
      <c r="F1182" s="48" t="s">
        <v>222</v>
      </c>
      <c r="G1182" s="49" t="n">
        <v>63.61</v>
      </c>
      <c r="H1182" s="50" t="n">
        <f aca="false">MAX(0,IF(AND(Parameter!$B$21="Ja",ISNUMBER(Y1182)),Y1182,IF(Parameter!$B$20="Jahresanfang 2025 + Export",BO1182+BN1182,BN1182)))</f>
        <v>66</v>
      </c>
      <c r="I1182" s="50" t="n">
        <f aca="false">H1182*G1182</f>
        <v>4198.26</v>
      </c>
      <c r="J1182" s="50" t="n">
        <f aca="false">BQ1182*Parameter!$B$18</f>
        <v>248</v>
      </c>
      <c r="K1182" s="51" t="n">
        <v>78</v>
      </c>
      <c r="L1182" s="52" t="n">
        <v>3.17948717948718</v>
      </c>
      <c r="M1182" s="50" t="n">
        <v>14</v>
      </c>
      <c r="N1182" s="50" t="n">
        <v>30</v>
      </c>
      <c r="O1182" s="53" t="n">
        <v>21</v>
      </c>
      <c r="P1182" s="48" t="s">
        <v>297</v>
      </c>
      <c r="Q1182" s="50" t="n">
        <v>27</v>
      </c>
      <c r="R1182" s="53" t="n">
        <f aca="false">IF(BW1182=1,0,IFERROR(VLOOKUP(BU1182,'Gebinde-Kategorie'!$A$5:$N$45,13,0)+0,0))</f>
        <v>12</v>
      </c>
      <c r="S1182" s="54"/>
      <c r="T1182" s="55"/>
      <c r="U1182" s="55"/>
      <c r="V1182" s="55"/>
      <c r="W1182" s="48"/>
      <c r="X1182" s="50"/>
      <c r="Y1182" s="50"/>
      <c r="Z1182" s="48" t="n">
        <f aca="false">IF(A1182="","",IF(AND(Parameter!$B$21="Ja",ISNUMBER(W1182)),W1182,IF(BZ1182="2+3",IF(ISNUMBER(SEARCH("grosser Artikel",BR1182)),2,IFERROR(VLOOKUP(BU1182,Parameter!$F$35:$G$64,2,0),2)),IF(OR(BZ1182="Nein",BZ1182=""),"-",BZ1182))))</f>
        <v>2</v>
      </c>
      <c r="AA1182" s="55"/>
      <c r="AB1182" s="56"/>
      <c r="AC1182" s="50" t="n">
        <f aca="false">AT1182</f>
        <v>135</v>
      </c>
      <c r="AD1182" s="50" t="n">
        <f aca="false">MAX(AT1182,H1182)</f>
        <v>135</v>
      </c>
      <c r="AE1182" s="57"/>
      <c r="AF1182" s="50" t="n">
        <f aca="false">IF(LEFT(Cockpit!$C$5,1)="A",H1182,IF(CE1182=1,CF1182,IF(LEFT(Cockpit!$C$5,1)="B",AK1182,MAX(AK1182,H1182))))</f>
        <v>66</v>
      </c>
      <c r="AG1182" s="50" t="n">
        <f aca="false">IF(BW1182=1,0,ROUNDUP(AF1182/BV1182,0))</f>
        <v>3</v>
      </c>
      <c r="AH1182" s="52" t="n">
        <f aca="false">IF(CL1182&gt;0,CL1182*MAX(1,AF1182/X1182),IF(BW1182=1,IF(AF1182&lt;=0,0,CA1182*MAX(1,IF(H1182&gt;0,AF1182/H1182,1))),IF(R1182&gt;0,AG1182/R1182,0))/MAX(0.1,N(Parameter!$M$21)))</f>
        <v>0.25</v>
      </c>
      <c r="AI1182" s="50" t="n">
        <f aca="false">AH1182*BY1182</f>
        <v>61.25</v>
      </c>
      <c r="AJ1182" s="50" t="n">
        <f aca="false">AF1182*G1182</f>
        <v>4198.26</v>
      </c>
      <c r="AK1182" s="50" t="n">
        <f aca="false">ROUNDUP(MAX(J1182/IF(CD1182&gt;0,CD1182,MAX(0.1,N(Cockpit!$C$6))),CG1182)/BV1182,0)*BV1182</f>
        <v>135</v>
      </c>
      <c r="AL1182" s="51" t="n">
        <f aca="false">IF(AI1182&gt;0,J1182/AI1182,-1)</f>
        <v>4.04897959183673</v>
      </c>
      <c r="AM1182" s="51" t="n">
        <f aca="false">IF(AND(OR(CC1182="L1",CC1182="L23",CC1182="LIFT"),AI1182&gt;0),SUMIFS($AI$7:$AI$1843,$CC$7:$CC$1843,CC1182,$AL$7:$AL$1843,"&gt;"&amp;AL1182)+SUMIFS($AI$7:$AI$1843,$CC$7:$CC$1843,CC1182,$AL$7:$AL$1843,AL1182,$BT$7:$BT$1843,"&lt;="&amp;BT1182),"")</f>
        <v>4310.9967948718</v>
      </c>
      <c r="AN1182" s="58" t="n">
        <f aca="false">IF(AM1182="",0,MAX(0,MIN(1,(IF(CC1182="L1",Parameter!$H$5,IF(CC1182="L23",Parameter!$H$6+Parameter!$H$7,Parameter!$H$5+Parameter!$H$6+Parameter!$H$7))-(AM1182-AI1182))/AI1182)))</f>
        <v>1</v>
      </c>
      <c r="AO1182" s="50" t="n">
        <f aca="false">IF(LEFT(Cockpit!$I$5,1)="A",H1182,IF(CE1182=1,CF1182,IF(LEFT(Cockpit!$I$5,1)="B",AT1182,MAX(AT1182,H1182))))</f>
        <v>135</v>
      </c>
      <c r="AP1182" s="50" t="n">
        <f aca="false">IF(BW1182=1,0,ROUNDUP(AO1182/BV1182,0))</f>
        <v>5</v>
      </c>
      <c r="AQ1182" s="52" t="n">
        <f aca="false">IF(CL1182&gt;0,CL1182*MAX(1,AO1182/X1182),IF(BW1182=1,IF(AO1182&lt;=0,0,CA1182*MAX(1,IF(H1182&gt;0,AO1182/H1182,1))),IF(R1182&gt;0,AP1182/R1182,0))/MAX(0.1,N(Parameter!$M$21)))</f>
        <v>0.416666666666667</v>
      </c>
      <c r="AR1182" s="50" t="n">
        <f aca="false">AQ1182*BY1182</f>
        <v>102.083333333333</v>
      </c>
      <c r="AS1182" s="50" t="n">
        <f aca="false">AO1182*G1182</f>
        <v>8587.35</v>
      </c>
      <c r="AT1182" s="50" t="n">
        <f aca="false">ROUNDUP(MAX(J1182/IF(CD1182&gt;0,CD1182,MAX(0.1,N(Cockpit!$I$6))),CG1182)/BV1182,0)*BV1182</f>
        <v>135</v>
      </c>
      <c r="AU1182" s="51" t="n">
        <f aca="false">IF(AR1182&gt;0,J1182/AR1182,-1)</f>
        <v>2.42938775510204</v>
      </c>
      <c r="AV1182" s="51" t="n">
        <f aca="false">IF(AND(OR(CC1182="L1",CC1182="L23",CC1182="LIFT"),AR1182&gt;0),SUMIFS($AR$7:$AR$1843,$CC$7:$CC$1843,CC1182,$AU$7:$AU$1843,"&gt;"&amp;AU1182)+SUMIFS($AR$7:$AR$1843,$CC$7:$CC$1843,CC1182,$AU$7:$AU$1843,AU1182,$BT$7:$BT$1843,"&lt;="&amp;BT1182),"")</f>
        <v>6896.11492673993</v>
      </c>
      <c r="AW1182" s="58" t="n">
        <f aca="false">IF(AV1182="",0,MAX(0,MIN(1,(IF(CC1182="L1",Parameter!$H$5,IF(CC1182="L23",Parameter!$H$6+Parameter!$H$7,Parameter!$H$5+Parameter!$H$6+Parameter!$H$7))-(AV1182-AR1182))/AR1182)))</f>
        <v>1</v>
      </c>
      <c r="AX1182" s="50" t="n">
        <f aca="false">IF(LEFT(Cockpit!$O$5,1)="A",H1182,IF(CE1182=1,CF1182,IF(LEFT(Cockpit!$O$5,1)="B",BC1182,MAX(BC1182,H1182))))</f>
        <v>108</v>
      </c>
      <c r="AY1182" s="50" t="n">
        <f aca="false">IF(BW1182=1,0,ROUNDUP(AX1182/BV1182,0))</f>
        <v>4</v>
      </c>
      <c r="AZ1182" s="52" t="n">
        <f aca="false">IF(CL1182&gt;0,CL1182*MAX(1,AX1182/X1182),IF(BW1182=1,IF(AX1182&lt;=0,0,CA1182*MAX(1,IF(H1182&gt;0,AX1182/H1182,1))),IF(R1182&gt;0,AY1182/R1182,0))/MAX(0.1,N(Parameter!$M$21)))</f>
        <v>0.333333333333333</v>
      </c>
      <c r="BA1182" s="50" t="n">
        <f aca="false">AZ1182*BY1182</f>
        <v>81.6666666666667</v>
      </c>
      <c r="BB1182" s="50" t="n">
        <f aca="false">AX1182*G1182</f>
        <v>6869.88</v>
      </c>
      <c r="BC1182" s="50" t="n">
        <f aca="false">ROUNDUP(MAX(J1182/IF(CD1182&gt;0,CD1182,MAX(0.1,N(Cockpit!$O$6))),CG1182)/BV1182,0)*BV1182</f>
        <v>108</v>
      </c>
      <c r="BD1182" s="51" t="n">
        <f aca="false">IF(BA1182&gt;0,J1182/BA1182,-1)</f>
        <v>3.03673469387755</v>
      </c>
      <c r="BE1182" s="51" t="n">
        <f aca="false">IF(AND(OR(CC1182="L1",CC1182="L23",CC1182="LIFT"),BA1182&gt;0),SUMIFS($BA$7:$BA$1843,$CC$7:$CC$1843,CC1182,$BD$7:$BD$1843,"&gt;"&amp;BD1182)+SUMIFS($BA$7:$BA$1843,$CC$7:$CC$1843,CC1182,$BD$7:$BD$1843,BD1182,$BT$7:$BT$1843,"&lt;="&amp;BT1182),"")</f>
        <v>6327.8282967033</v>
      </c>
      <c r="BF1182" s="58" t="n">
        <f aca="false">IF(BE1182="",0,MAX(0,MIN(1,(IF(CC1182="L1",Parameter!$H$5,IF(CC1182="L23",Parameter!$H$6+Parameter!$H$7,Parameter!$H$5+Parameter!$H$6+Parameter!$H$7))-(BE1182-BA1182))/BA1182)))</f>
        <v>1</v>
      </c>
      <c r="BG1182" s="48" t="str">
        <f aca="false">IF(AI1182&lt;=0,"",IF(CC1182="Aussen","Aussenlager",IF(CC1182="-","Nicht im Lift",IF(AN1182&gt;=1,"Lift",IF(AN1182&lt;=0,"Aussenlager","teilweise")))))</f>
        <v>Lift</v>
      </c>
      <c r="BH1182" s="48" t="str">
        <f aca="false">IF(AR1182&lt;=0,"",IF(CC1182="Aussen","Aussenlager",IF(CC1182="-","Nicht im Lift",IF(AW1182&gt;=1,"Lift",IF(AW1182&lt;=0,"Aussenlager","teilweise")))))</f>
        <v>Lift</v>
      </c>
      <c r="BI1182" s="48" t="str">
        <f aca="false">IF(BA1182&lt;=0,"",IF(CC1182="Aussen","Aussenlager",IF(CC1182="-","Nicht im Lift",IF(BF1182&gt;=1,"Lift",IF(BF1182&lt;=0,"Aussenlager","teilweise")))))</f>
        <v>Lift</v>
      </c>
      <c r="BJ1182" s="48" t="str">
        <f aca="false">IF(A1182="","",IF(BS1182=1,"Neu; ","")&amp;IF(AND(BS1182=0,BN1182&lt;0),"negativer Bestand (Export "&amp;BN1182&amp;"); ","")&amp;IF(J1182&lt;=0,"Kein Verbrauch; ","")&amp;IF(CL1182&gt;0,"Lift "&amp;W1182&amp;" lt. Liftbericht (Fach "&amp;X1182&amp;" Stk); ",IF(BX1182=1,"Gebinde geschätzt ("&amp;T1182&amp;"); ",IF(BW1182=1,"Lose – Tablare geschätzt; ","")))&amp;IF(H1182&gt;AT1182,"Überbestand "&amp;ROUND(H1182-AT1182,0)&amp;" Stk / CHF "&amp;ROUND((H1182-AT1182)*G1182,0)&amp;"; ","")&amp;IF(AND(CE1182=1,CF1182&lt;CG1182),"MAX &lt; MB+LG; ","")&amp;IF(AND(CK1182&gt;0,CJ1182*10&gt;CK1182),"zu hoch für Tablar; ","")&amp;IF(AND(BS1182=0,OR(CE1182=1,AA1182&lt;&gt;"",U1182&lt;&gt;"",V1182&lt;&gt;"",AB1182&lt;&gt;"")),"manuell übersteuert; ","")&amp;IF(AND(BW1182=0,R1182=0),"Gebinde unbekannt / Stellmass fehlt; ","")&amp;IF(AND(BW1182=0,N(V1182)&lt;=0,N(Q1182)&lt;=0),"Menge pro Gebinde fehlt (Ist = 1 Gebinde); ","")&amp;BR1182)</f>
        <v/>
      </c>
      <c r="BK1182" s="48"/>
      <c r="BL1182" s="48"/>
      <c r="BM1182" s="55"/>
      <c r="BN1182" s="50" t="n">
        <v>15</v>
      </c>
      <c r="BO1182" s="50" t="n">
        <v>51</v>
      </c>
      <c r="BP1182" s="49" t="n">
        <v>-384.089999999989</v>
      </c>
      <c r="BQ1182" s="50" t="n">
        <v>248</v>
      </c>
      <c r="BR1182" s="48"/>
      <c r="BS1182" s="53" t="n">
        <v>0</v>
      </c>
      <c r="BT1182" s="53" t="n">
        <v>1182</v>
      </c>
      <c r="BU1182" s="48" t="str">
        <f aca="false">IF(U1182&lt;&gt;"",UPPER(TRIM(U1182)),IF(BX1182=1,UPPER(VLOOKUP(T1182,Parameter!$I$27:$K$29,2,0)),IF(P1182="","LOSE",P1182)))</f>
        <v>S62</v>
      </c>
      <c r="BV1182" s="50" t="n">
        <f aca="false">IF(BU1182="LOSE",1,IF(N(V1182)&gt;0,V1182,IF(BX1182=1,MAX(1,N(VLOOKUP(T1182,Parameter!$I$27:$K$29,3,0)),H1182,N(N1182)),IF(N(Q1182)&gt;0,Q1182,MAX(1,H1182)))))</f>
        <v>27</v>
      </c>
      <c r="BW1182" s="53" t="n">
        <f aca="false">IF(BU1182="LOSE",1,0)</f>
        <v>0</v>
      </c>
      <c r="BX1182" s="53" t="n">
        <f aca="false">IF(AND(U1182="",OR(P1182="",P1182="LOSE"),T1182&lt;&gt;"",N(S1182)&lt;=0,ISNUMBER(MATCH(T1182,Parameter!$I$27:$I$29,0))),1,0)</f>
        <v>0</v>
      </c>
      <c r="BY1182" s="53" t="n">
        <f aca="false">IF(CL1182&gt;0,INDEX(Parameter!$H$5:$H$7,W1182)/INDEX(Parameter!$E$5:$E$7,W1182),IF(AND(BW1182=0,N(IFERROR(VLOOKUP(BU1182,'Gebinde-Kategorie'!$A$5:$N$45,14,0),0))&gt;0),VLOOKUP(BU1182,'Gebinde-Kategorie'!$A$5:$N$45,14,0)*10+Parameter!$M$23,Parameter!$M$24))</f>
        <v>245</v>
      </c>
      <c r="BZ1182" s="48" t="str">
        <f aca="false">IF(AND(Parameter!$B$19="Ja",E1182&lt;&gt;"",ISNUMBER(MATCH(E1182,Parameter!$I$35:$I$52,0))),VLOOKUP(E1182,Parameter!$I$35:$J$52,2,0),IFERROR(VLOOKUP(D1182,Parameter!$A$35:$C$64,2,0),"Nein"))</f>
        <v>2+3</v>
      </c>
      <c r="CA1182" s="52" t="n">
        <f aca="false">IF(BW1182=0,0,IF(N(S1182)&gt;0,S1182,IFERROR(VLOOKUP(D1182,Parameter!$A$35:$C$64,3,0)+0,0)))</f>
        <v>0</v>
      </c>
      <c r="CB1182" s="48" t="n">
        <f aca="false">IF(AA1182&lt;&gt;"",AA1182,Z1182)</f>
        <v>2</v>
      </c>
      <c r="CC1182" s="48" t="str">
        <f aca="false">IF(OR(CB1182=1,CB1182=2,CB1182=3),IF(Parameter!$E$27="Ja","LIFT",IF(CB1182=1,"L1","L23")),IF(CB1182="Aussen","Aussen","-"))</f>
        <v>LIFT</v>
      </c>
      <c r="CD1182" s="59" t="n">
        <f aca="false">IF(N(AB1182)&gt;0,AB1182,0)</f>
        <v>0</v>
      </c>
      <c r="CE1182" s="53" t="n">
        <f aca="false">IF(ISNUMBER(AE1182),1,0)</f>
        <v>0</v>
      </c>
      <c r="CF1182" s="50" t="n">
        <f aca="false">N(AE1182)</f>
        <v>0</v>
      </c>
      <c r="CG1182" s="50" t="n">
        <f aca="false">N(M1182)+N(N1182)</f>
        <v>44</v>
      </c>
      <c r="CH1182" s="50" t="n">
        <f aca="false">ROUNDUP(H1182/BV1182,0)</f>
        <v>3</v>
      </c>
      <c r="CI1182" s="50" t="n">
        <f aca="false">ROUNDUP(CF1182/BV1182,0)</f>
        <v>0</v>
      </c>
      <c r="CJ1182" s="53" t="n">
        <f aca="false">IF(BW1182=1,0,IFERROR(VLOOKUP(BU1182,'Gebinde-Kategorie'!$A$5:$N$45,5,0)+0,0))</f>
        <v>21</v>
      </c>
      <c r="CK1182" s="53" t="n">
        <f aca="false">IFERROR(IF(OR(CB1182=1,CB1182=2,CB1182=3),N(INDEX(Parameter!$I$5:$I$7,CB1182)),0),0)</f>
        <v>0</v>
      </c>
      <c r="CL1182" s="52" t="n">
        <f aca="false">IF(AND(Parameter!$B$21="Ja",ISNUMBER(W1182),N(X1182)&gt;0),IFERROR(N(INDEX(Parameter!$L$5:$L$7,W1182))*INDEX(Parameter!$E$5:$E$7,W1182)*X1182/SUMIFS($X$7:$X$1843,$W$7:$W$1843,W1182),0),0)</f>
        <v>0</v>
      </c>
    </row>
    <row r="1183" customFormat="false" ht="15" hidden="false" customHeight="false" outlineLevel="0" collapsed="false">
      <c r="A1183" s="48" t="s">
        <v>2132</v>
      </c>
      <c r="B1183" s="48" t="s">
        <v>2133</v>
      </c>
      <c r="C1183" s="48" t="s">
        <v>168</v>
      </c>
      <c r="D1183" s="48" t="s">
        <v>188</v>
      </c>
      <c r="E1183" s="48" t="s">
        <v>189</v>
      </c>
      <c r="F1183" s="48" t="s">
        <v>222</v>
      </c>
      <c r="G1183" s="49" t="n">
        <v>181.86</v>
      </c>
      <c r="H1183" s="50" t="n">
        <f aca="false">MAX(0,IF(AND(Parameter!$B$21="Ja",ISNUMBER(Y1183)),Y1183,IF(Parameter!$B$20="Jahresanfang 2025 + Export",BO1183+BN1183,BN1183)))</f>
        <v>8</v>
      </c>
      <c r="I1183" s="50" t="n">
        <f aca="false">H1183*G1183</f>
        <v>1454.88</v>
      </c>
      <c r="J1183" s="50" t="n">
        <f aca="false">BQ1183*Parameter!$B$18</f>
        <v>20</v>
      </c>
      <c r="K1183" s="51" t="n">
        <v>8.5</v>
      </c>
      <c r="L1183" s="52" t="n">
        <v>2.35294117647059</v>
      </c>
      <c r="M1183" s="50" t="n">
        <v>1</v>
      </c>
      <c r="N1183" s="50" t="n">
        <v>15</v>
      </c>
      <c r="O1183" s="53" t="n">
        <v>28</v>
      </c>
      <c r="P1183" s="48" t="s">
        <v>237</v>
      </c>
      <c r="Q1183" s="50" t="n">
        <v>30</v>
      </c>
      <c r="R1183" s="53" t="n">
        <f aca="false">IF(BW1183=1,0,IFERROR(VLOOKUP(BU1183,'Gebinde-Kategorie'!$A$5:$N$45,13,0)+0,0))</f>
        <v>26</v>
      </c>
      <c r="S1183" s="54"/>
      <c r="T1183" s="55"/>
      <c r="U1183" s="55"/>
      <c r="V1183" s="55"/>
      <c r="W1183" s="48"/>
      <c r="X1183" s="50"/>
      <c r="Y1183" s="50"/>
      <c r="Z1183" s="48" t="n">
        <f aca="false">IF(A1183="","",IF(AND(Parameter!$B$21="Ja",ISNUMBER(W1183)),W1183,IF(BZ1183="2+3",IF(ISNUMBER(SEARCH("grosser Artikel",BR1183)),2,IFERROR(VLOOKUP(BU1183,Parameter!$F$35:$G$64,2,0),2)),IF(OR(BZ1183="Nein",BZ1183=""),"-",BZ1183))))</f>
        <v>3</v>
      </c>
      <c r="AA1183" s="55"/>
      <c r="AB1183" s="56"/>
      <c r="AC1183" s="50" t="n">
        <f aca="false">AT1183</f>
        <v>30</v>
      </c>
      <c r="AD1183" s="50" t="n">
        <f aca="false">MAX(AT1183,H1183)</f>
        <v>30</v>
      </c>
      <c r="AE1183" s="57"/>
      <c r="AF1183" s="50" t="n">
        <f aca="false">IF(LEFT(Cockpit!$C$5,1)="A",H1183,IF(CE1183=1,CF1183,IF(LEFT(Cockpit!$C$5,1)="B",AK1183,MAX(AK1183,H1183))))</f>
        <v>8</v>
      </c>
      <c r="AG1183" s="50" t="n">
        <f aca="false">IF(BW1183=1,0,ROUNDUP(AF1183/BV1183,0))</f>
        <v>1</v>
      </c>
      <c r="AH1183" s="52" t="n">
        <f aca="false">IF(CL1183&gt;0,CL1183*MAX(1,AF1183/X1183),IF(BW1183=1,IF(AF1183&lt;=0,0,CA1183*MAX(1,IF(H1183&gt;0,AF1183/H1183,1))),IF(R1183&gt;0,AG1183/R1183,0))/MAX(0.1,N(Parameter!$M$21)))</f>
        <v>0.0384615384615385</v>
      </c>
      <c r="AI1183" s="50" t="n">
        <f aca="false">AH1183*BY1183</f>
        <v>9.42307692307692</v>
      </c>
      <c r="AJ1183" s="50" t="n">
        <f aca="false">AF1183*G1183</f>
        <v>1454.88</v>
      </c>
      <c r="AK1183" s="50" t="n">
        <f aca="false">ROUNDUP(MAX(J1183/IF(CD1183&gt;0,CD1183,MAX(0.1,N(Cockpit!$C$6))),CG1183)/BV1183,0)*BV1183</f>
        <v>30</v>
      </c>
      <c r="AL1183" s="51" t="n">
        <f aca="false">IF(AI1183&gt;0,J1183/AI1183,-1)</f>
        <v>2.12244897959184</v>
      </c>
      <c r="AM1183" s="51" t="n">
        <f aca="false">IF(AND(OR(CC1183="L1",CC1183="L23",CC1183="LIFT"),AI1183&gt;0),SUMIFS($AI$7:$AI$1843,$CC$7:$CC$1843,CC1183,$AL$7:$AL$1843,"&gt;"&amp;AL1183)+SUMIFS($AI$7:$AI$1843,$CC$7:$CC$1843,CC1183,$AL$7:$AL$1843,AL1183,$BT$7:$BT$1843,"&lt;="&amp;BT1183),"")</f>
        <v>5738.5260989011</v>
      </c>
      <c r="AN1183" s="58" t="n">
        <f aca="false">IF(AM1183="",0,MAX(0,MIN(1,(IF(CC1183="L1",Parameter!$H$5,IF(CC1183="L23",Parameter!$H$6+Parameter!$H$7,Parameter!$H$5+Parameter!$H$6+Parameter!$H$7))-(AM1183-AI1183))/AI1183)))</f>
        <v>1</v>
      </c>
      <c r="AO1183" s="50" t="n">
        <f aca="false">IF(LEFT(Cockpit!$I$5,1)="A",H1183,IF(CE1183=1,CF1183,IF(LEFT(Cockpit!$I$5,1)="B",AT1183,MAX(AT1183,H1183))))</f>
        <v>30</v>
      </c>
      <c r="AP1183" s="50" t="n">
        <f aca="false">IF(BW1183=1,0,ROUNDUP(AO1183/BV1183,0))</f>
        <v>1</v>
      </c>
      <c r="AQ1183" s="52" t="n">
        <f aca="false">IF(CL1183&gt;0,CL1183*MAX(1,AO1183/X1183),IF(BW1183=1,IF(AO1183&lt;=0,0,CA1183*MAX(1,IF(H1183&gt;0,AO1183/H1183,1))),IF(R1183&gt;0,AP1183/R1183,0))/MAX(0.1,N(Parameter!$M$21)))</f>
        <v>0.0384615384615385</v>
      </c>
      <c r="AR1183" s="50" t="n">
        <f aca="false">AQ1183*BY1183</f>
        <v>9.42307692307692</v>
      </c>
      <c r="AS1183" s="50" t="n">
        <f aca="false">AO1183*G1183</f>
        <v>5455.8</v>
      </c>
      <c r="AT1183" s="50" t="n">
        <f aca="false">ROUNDUP(MAX(J1183/IF(CD1183&gt;0,CD1183,MAX(0.1,N(Cockpit!$I$6))),CG1183)/BV1183,0)*BV1183</f>
        <v>30</v>
      </c>
      <c r="AU1183" s="51" t="n">
        <f aca="false">IF(AR1183&gt;0,J1183/AR1183,-1)</f>
        <v>2.12244897959184</v>
      </c>
      <c r="AV1183" s="51" t="n">
        <f aca="false">IF(AND(OR(CC1183="L1",CC1183="L23",CC1183="LIFT"),AR1183&gt;0),SUMIFS($AR$7:$AR$1843,$CC$7:$CC$1843,CC1183,$AU$7:$AU$1843,"&gt;"&amp;AU1183)+SUMIFS($AR$7:$AR$1843,$CC$7:$CC$1843,CC1183,$AU$7:$AU$1843,AU1183,$BT$7:$BT$1843,"&lt;="&amp;BT1183),"")</f>
        <v>7449.211996337</v>
      </c>
      <c r="AW1183" s="58" t="n">
        <f aca="false">IF(AV1183="",0,MAX(0,MIN(1,(IF(CC1183="L1",Parameter!$H$5,IF(CC1183="L23",Parameter!$H$6+Parameter!$H$7,Parameter!$H$5+Parameter!$H$6+Parameter!$H$7))-(AV1183-AR1183))/AR1183)))</f>
        <v>1</v>
      </c>
      <c r="AX1183" s="50" t="n">
        <f aca="false">IF(LEFT(Cockpit!$O$5,1)="A",H1183,IF(CE1183=1,CF1183,IF(LEFT(Cockpit!$O$5,1)="B",BC1183,MAX(BC1183,H1183))))</f>
        <v>30</v>
      </c>
      <c r="AY1183" s="50" t="n">
        <f aca="false">IF(BW1183=1,0,ROUNDUP(AX1183/BV1183,0))</f>
        <v>1</v>
      </c>
      <c r="AZ1183" s="52" t="n">
        <f aca="false">IF(CL1183&gt;0,CL1183*MAX(1,AX1183/X1183),IF(BW1183=1,IF(AX1183&lt;=0,0,CA1183*MAX(1,IF(H1183&gt;0,AX1183/H1183,1))),IF(R1183&gt;0,AY1183/R1183,0))/MAX(0.1,N(Parameter!$M$21)))</f>
        <v>0.0384615384615385</v>
      </c>
      <c r="BA1183" s="50" t="n">
        <f aca="false">AZ1183*BY1183</f>
        <v>9.42307692307692</v>
      </c>
      <c r="BB1183" s="50" t="n">
        <f aca="false">AX1183*G1183</f>
        <v>5455.8</v>
      </c>
      <c r="BC1183" s="50" t="n">
        <f aca="false">ROUNDUP(MAX(J1183/IF(CD1183&gt;0,CD1183,MAX(0.1,N(Cockpit!$O$6))),CG1183)/BV1183,0)*BV1183</f>
        <v>30</v>
      </c>
      <c r="BD1183" s="51" t="n">
        <f aca="false">IF(BA1183&gt;0,J1183/BA1183,-1)</f>
        <v>2.12244897959184</v>
      </c>
      <c r="BE1183" s="51" t="n">
        <f aca="false">IF(AND(OR(CC1183="L1",CC1183="L23",CC1183="LIFT"),BA1183&gt;0),SUMIFS($BA$7:$BA$1843,$CC$7:$CC$1843,CC1183,$BD$7:$BD$1843,"&gt;"&amp;BD1183)+SUMIFS($BA$7:$BA$1843,$CC$7:$CC$1843,CC1183,$BD$7:$BD$1843,BD1183,$BT$7:$BT$1843,"&lt;="&amp;BT1183),"")</f>
        <v>7413.61904761905</v>
      </c>
      <c r="BF1183" s="58" t="n">
        <f aca="false">IF(BE1183="",0,MAX(0,MIN(1,(IF(CC1183="L1",Parameter!$H$5,IF(CC1183="L23",Parameter!$H$6+Parameter!$H$7,Parameter!$H$5+Parameter!$H$6+Parameter!$H$7))-(BE1183-BA1183))/BA1183)))</f>
        <v>1</v>
      </c>
      <c r="BG1183" s="48" t="str">
        <f aca="false">IF(AI1183&lt;=0,"",IF(CC1183="Aussen","Aussenlager",IF(CC1183="-","Nicht im Lift",IF(AN1183&gt;=1,"Lift",IF(AN1183&lt;=0,"Aussenlager","teilweise")))))</f>
        <v>Lift</v>
      </c>
      <c r="BH1183" s="48" t="str">
        <f aca="false">IF(AR1183&lt;=0,"",IF(CC1183="Aussen","Aussenlager",IF(CC1183="-","Nicht im Lift",IF(AW1183&gt;=1,"Lift",IF(AW1183&lt;=0,"Aussenlager","teilweise")))))</f>
        <v>Lift</v>
      </c>
      <c r="BI1183" s="48" t="str">
        <f aca="false">IF(BA1183&lt;=0,"",IF(CC1183="Aussen","Aussenlager",IF(CC1183="-","Nicht im Lift",IF(BF1183&gt;=1,"Lift",IF(BF1183&lt;=0,"Aussenlager","teilweise")))))</f>
        <v>Lift</v>
      </c>
      <c r="BJ1183" s="48" t="str">
        <f aca="false">IF(A1183="","",IF(BS1183=1,"Neu; ","")&amp;IF(AND(BS1183=0,BN1183&lt;0),"negativer Bestand (Export "&amp;BN1183&amp;"); ","")&amp;IF(J1183&lt;=0,"Kein Verbrauch; ","")&amp;IF(CL1183&gt;0,"Lift "&amp;W1183&amp;" lt. Liftbericht (Fach "&amp;X1183&amp;" Stk); ",IF(BX1183=1,"Gebinde geschätzt ("&amp;T1183&amp;"); ",IF(BW1183=1,"Lose – Tablare geschätzt; ","")))&amp;IF(H1183&gt;AT1183,"Überbestand "&amp;ROUND(H1183-AT1183,0)&amp;" Stk / CHF "&amp;ROUND((H1183-AT1183)*G1183,0)&amp;"; ","")&amp;IF(AND(CE1183=1,CF1183&lt;CG1183),"MAX &lt; MB+LG; ","")&amp;IF(AND(CK1183&gt;0,CJ1183*10&gt;CK1183),"zu hoch für Tablar; ","")&amp;IF(AND(BS1183=0,OR(CE1183=1,AA1183&lt;&gt;"",U1183&lt;&gt;"",V1183&lt;&gt;"",AB1183&lt;&gt;"")),"manuell übersteuert; ","")&amp;IF(AND(BW1183=0,R1183=0),"Gebinde unbekannt / Stellmass fehlt; ","")&amp;IF(AND(BW1183=0,N(V1183)&lt;=0,N(Q1183)&lt;=0),"Menge pro Gebinde fehlt (Ist = 1 Gebinde); ","")&amp;BR1183)</f>
        <v>negativer Bestand (Export -2); </v>
      </c>
      <c r="BK1183" s="48"/>
      <c r="BL1183" s="48"/>
      <c r="BM1183" s="55"/>
      <c r="BN1183" s="50" t="n">
        <v>-2</v>
      </c>
      <c r="BO1183" s="50" t="n">
        <v>10</v>
      </c>
      <c r="BP1183" s="49" t="n">
        <v>-385.72</v>
      </c>
      <c r="BQ1183" s="50" t="n">
        <v>20</v>
      </c>
      <c r="BR1183" s="48"/>
      <c r="BS1183" s="53" t="n">
        <v>0</v>
      </c>
      <c r="BT1183" s="53" t="n">
        <v>1183</v>
      </c>
      <c r="BU1183" s="48" t="str">
        <f aca="false">IF(U1183&lt;&gt;"",UPPER(TRIM(U1183)),IF(BX1183=1,UPPER(VLOOKUP(T1183,Parameter!$I$27:$K$29,2,0)),IF(P1183="","LOSE",P1183)))</f>
        <v>S52</v>
      </c>
      <c r="BV1183" s="50" t="n">
        <f aca="false">IF(BU1183="LOSE",1,IF(N(V1183)&gt;0,V1183,IF(BX1183=1,MAX(1,N(VLOOKUP(T1183,Parameter!$I$27:$K$29,3,0)),H1183,N(N1183)),IF(N(Q1183)&gt;0,Q1183,MAX(1,H1183)))))</f>
        <v>30</v>
      </c>
      <c r="BW1183" s="53" t="n">
        <f aca="false">IF(BU1183="LOSE",1,0)</f>
        <v>0</v>
      </c>
      <c r="BX1183" s="53" t="n">
        <f aca="false">IF(AND(U1183="",OR(P1183="",P1183="LOSE"),T1183&lt;&gt;"",N(S1183)&lt;=0,ISNUMBER(MATCH(T1183,Parameter!$I$27:$I$29,0))),1,0)</f>
        <v>0</v>
      </c>
      <c r="BY1183" s="53" t="n">
        <f aca="false">IF(CL1183&gt;0,INDEX(Parameter!$H$5:$H$7,W1183)/INDEX(Parameter!$E$5:$E$7,W1183),IF(AND(BW1183=0,N(IFERROR(VLOOKUP(BU1183,'Gebinde-Kategorie'!$A$5:$N$45,14,0),0))&gt;0),VLOOKUP(BU1183,'Gebinde-Kategorie'!$A$5:$N$45,14,0)*10+Parameter!$M$23,Parameter!$M$24))</f>
        <v>245</v>
      </c>
      <c r="BZ1183" s="48" t="str">
        <f aca="false">IF(AND(Parameter!$B$19="Ja",E1183&lt;&gt;"",ISNUMBER(MATCH(E1183,Parameter!$I$35:$I$52,0))),VLOOKUP(E1183,Parameter!$I$35:$J$52,2,0),IFERROR(VLOOKUP(D1183,Parameter!$A$35:$C$64,2,0),"Nein"))</f>
        <v>2+3</v>
      </c>
      <c r="CA1183" s="52" t="n">
        <f aca="false">IF(BW1183=0,0,IF(N(S1183)&gt;0,S1183,IFERROR(VLOOKUP(D1183,Parameter!$A$35:$C$64,3,0)+0,0)))</f>
        <v>0</v>
      </c>
      <c r="CB1183" s="48" t="n">
        <f aca="false">IF(AA1183&lt;&gt;"",AA1183,Z1183)</f>
        <v>3</v>
      </c>
      <c r="CC1183" s="48" t="str">
        <f aca="false">IF(OR(CB1183=1,CB1183=2,CB1183=3),IF(Parameter!$E$27="Ja","LIFT",IF(CB1183=1,"L1","L23")),IF(CB1183="Aussen","Aussen","-"))</f>
        <v>LIFT</v>
      </c>
      <c r="CD1183" s="59" t="n">
        <f aca="false">IF(N(AB1183)&gt;0,AB1183,0)</f>
        <v>0</v>
      </c>
      <c r="CE1183" s="53" t="n">
        <f aca="false">IF(ISNUMBER(AE1183),1,0)</f>
        <v>0</v>
      </c>
      <c r="CF1183" s="50" t="n">
        <f aca="false">N(AE1183)</f>
        <v>0</v>
      </c>
      <c r="CG1183" s="50" t="n">
        <f aca="false">N(M1183)+N(N1183)</f>
        <v>16</v>
      </c>
      <c r="CH1183" s="50" t="n">
        <f aca="false">ROUNDUP(H1183/BV1183,0)</f>
        <v>1</v>
      </c>
      <c r="CI1183" s="50" t="n">
        <f aca="false">ROUNDUP(CF1183/BV1183,0)</f>
        <v>0</v>
      </c>
      <c r="CJ1183" s="53" t="n">
        <f aca="false">IF(BW1183=1,0,IFERROR(VLOOKUP(BU1183,'Gebinde-Kategorie'!$A$5:$N$45,5,0)+0,0))</f>
        <v>21</v>
      </c>
      <c r="CK1183" s="53" t="n">
        <f aca="false">IFERROR(IF(OR(CB1183=1,CB1183=2,CB1183=3),N(INDEX(Parameter!$I$5:$I$7,CB1183)),0),0)</f>
        <v>0</v>
      </c>
      <c r="CL1183" s="52" t="n">
        <f aca="false">IF(AND(Parameter!$B$21="Ja",ISNUMBER(W1183),N(X1183)&gt;0),IFERROR(N(INDEX(Parameter!$L$5:$L$7,W1183))*INDEX(Parameter!$E$5:$E$7,W1183)*X1183/SUMIFS($X$7:$X$1843,$W$7:$W$1843,W1183),0),0)</f>
        <v>0</v>
      </c>
    </row>
    <row r="1184" customFormat="false" ht="15" hidden="false" customHeight="false" outlineLevel="0" collapsed="false">
      <c r="A1184" s="48" t="s">
        <v>2134</v>
      </c>
      <c r="B1184" s="48" t="s">
        <v>2135</v>
      </c>
      <c r="C1184" s="48" t="s">
        <v>460</v>
      </c>
      <c r="D1184" s="48" t="s">
        <v>188</v>
      </c>
      <c r="E1184" s="48"/>
      <c r="F1184" s="48" t="s">
        <v>222</v>
      </c>
      <c r="G1184" s="49" t="n">
        <v>38.88</v>
      </c>
      <c r="H1184" s="50" t="n">
        <f aca="false">MAX(0,IF(AND(Parameter!$B$21="Ja",ISNUMBER(Y1184)),Y1184,IF(Parameter!$B$20="Jahresanfang 2025 + Export",BO1184+BN1184,BN1184)))</f>
        <v>0</v>
      </c>
      <c r="I1184" s="50" t="n">
        <f aca="false">H1184*G1184</f>
        <v>0</v>
      </c>
      <c r="J1184" s="50" t="n">
        <f aca="false">BQ1184*Parameter!$B$18</f>
        <v>10</v>
      </c>
      <c r="K1184" s="51" t="n">
        <v>5</v>
      </c>
      <c r="L1184" s="52" t="n">
        <v>2</v>
      </c>
      <c r="M1184" s="50" t="n">
        <v>0</v>
      </c>
      <c r="N1184" s="50" t="n">
        <v>10</v>
      </c>
      <c r="O1184" s="53" t="n">
        <v>14</v>
      </c>
      <c r="P1184" s="48" t="s">
        <v>172</v>
      </c>
      <c r="Q1184" s="50"/>
      <c r="R1184" s="53" t="n">
        <f aca="false">IF(BW1184=1,0,IFERROR(VLOOKUP(BU1184,'Gebinde-Kategorie'!$A$5:$N$45,13,0)+0,0))</f>
        <v>26</v>
      </c>
      <c r="S1184" s="54"/>
      <c r="T1184" s="55" t="s">
        <v>279</v>
      </c>
      <c r="U1184" s="55"/>
      <c r="V1184" s="55"/>
      <c r="W1184" s="48"/>
      <c r="X1184" s="50"/>
      <c r="Y1184" s="50"/>
      <c r="Z1184" s="48" t="n">
        <f aca="false">IF(A1184="","",IF(AND(Parameter!$B$21="Ja",ISNUMBER(W1184)),W1184,IF(BZ1184="2+3",IF(ISNUMBER(SEARCH("grosser Artikel",BR1184)),2,IFERROR(VLOOKUP(BU1184,Parameter!$F$35:$G$64,2,0),2)),IF(OR(BZ1184="Nein",BZ1184=""),"-",BZ1184))))</f>
        <v>3</v>
      </c>
      <c r="AA1184" s="55"/>
      <c r="AB1184" s="56"/>
      <c r="AC1184" s="50" t="n">
        <f aca="false">AT1184</f>
        <v>20</v>
      </c>
      <c r="AD1184" s="50" t="n">
        <f aca="false">MAX(AT1184,H1184)</f>
        <v>20</v>
      </c>
      <c r="AE1184" s="57"/>
      <c r="AF1184" s="50" t="n">
        <f aca="false">IF(LEFT(Cockpit!$C$5,1)="A",H1184,IF(CE1184=1,CF1184,IF(LEFT(Cockpit!$C$5,1)="B",AK1184,MAX(AK1184,H1184))))</f>
        <v>0</v>
      </c>
      <c r="AG1184" s="50" t="n">
        <f aca="false">IF(BW1184=1,0,ROUNDUP(AF1184/BV1184,0))</f>
        <v>0</v>
      </c>
      <c r="AH1184" s="52" t="n">
        <f aca="false">IF(CL1184&gt;0,CL1184*MAX(1,AF1184/X1184),IF(BW1184=1,IF(AF1184&lt;=0,0,CA1184*MAX(1,IF(H1184&gt;0,AF1184/H1184,1))),IF(R1184&gt;0,AG1184/R1184,0))/MAX(0.1,N(Parameter!$M$21)))</f>
        <v>0</v>
      </c>
      <c r="AI1184" s="50" t="n">
        <f aca="false">AH1184*BY1184</f>
        <v>0</v>
      </c>
      <c r="AJ1184" s="50" t="n">
        <f aca="false">AF1184*G1184</f>
        <v>0</v>
      </c>
      <c r="AK1184" s="50" t="n">
        <f aca="false">ROUNDUP(MAX(J1184/IF(CD1184&gt;0,CD1184,MAX(0.1,N(Cockpit!$C$6))),CG1184)/BV1184,0)*BV1184</f>
        <v>20</v>
      </c>
      <c r="AL1184" s="51" t="n">
        <f aca="false">IF(AI1184&gt;0,J1184/AI1184,-1)</f>
        <v>-1</v>
      </c>
      <c r="AM1184" s="51" t="str">
        <f aca="false">IF(AND(OR(CC1184="L1",CC1184="L23",CC1184="LIFT"),AI1184&gt;0),SUMIFS($AI$7:$AI$1843,$CC$7:$CC$1843,CC1184,$AL$7:$AL$1843,"&gt;"&amp;AL1184)+SUMIFS($AI$7:$AI$1843,$CC$7:$CC$1843,CC1184,$AL$7:$AL$1843,AL1184,$BT$7:$BT$1843,"&lt;="&amp;BT1184),"")</f>
        <v/>
      </c>
      <c r="AN1184" s="58" t="n">
        <f aca="false">IF(AM1184="",0,MAX(0,MIN(1,(IF(CC1184="L1",Parameter!$H$5,IF(CC1184="L23",Parameter!$H$6+Parameter!$H$7,Parameter!$H$5+Parameter!$H$6+Parameter!$H$7))-(AM1184-AI1184))/AI1184)))</f>
        <v>0</v>
      </c>
      <c r="AO1184" s="50" t="n">
        <f aca="false">IF(LEFT(Cockpit!$I$5,1)="A",H1184,IF(CE1184=1,CF1184,IF(LEFT(Cockpit!$I$5,1)="B",AT1184,MAX(AT1184,H1184))))</f>
        <v>20</v>
      </c>
      <c r="AP1184" s="50" t="n">
        <f aca="false">IF(BW1184=1,0,ROUNDUP(AO1184/BV1184,0))</f>
        <v>1</v>
      </c>
      <c r="AQ1184" s="52" t="n">
        <f aca="false">IF(CL1184&gt;0,CL1184*MAX(1,AO1184/X1184),IF(BW1184=1,IF(AO1184&lt;=0,0,CA1184*MAX(1,IF(H1184&gt;0,AO1184/H1184,1))),IF(R1184&gt;0,AP1184/R1184,0))/MAX(0.1,N(Parameter!$M$21)))</f>
        <v>0.0384615384615385</v>
      </c>
      <c r="AR1184" s="50" t="n">
        <f aca="false">AQ1184*BY1184</f>
        <v>5.96153846153846</v>
      </c>
      <c r="AS1184" s="50" t="n">
        <f aca="false">AO1184*G1184</f>
        <v>777.6</v>
      </c>
      <c r="AT1184" s="50" t="n">
        <f aca="false">ROUNDUP(MAX(J1184/IF(CD1184&gt;0,CD1184,MAX(0.1,N(Cockpit!$I$6))),CG1184)/BV1184,0)*BV1184</f>
        <v>20</v>
      </c>
      <c r="AU1184" s="51" t="n">
        <f aca="false">IF(AR1184&gt;0,J1184/AR1184,-1)</f>
        <v>1.67741935483871</v>
      </c>
      <c r="AV1184" s="51" t="n">
        <f aca="false">IF(AND(OR(CC1184="L1",CC1184="L23",CC1184="LIFT"),AR1184&gt;0),SUMIFS($AR$7:$AR$1843,$CC$7:$CC$1843,CC1184,$AU$7:$AU$1843,"&gt;"&amp;AU1184)+SUMIFS($AR$7:$AR$1843,$CC$7:$CC$1843,CC1184,$AU$7:$AU$1843,AU1184,$BT$7:$BT$1843,"&lt;="&amp;BT1184),"")</f>
        <v>8225.70604395605</v>
      </c>
      <c r="AW1184" s="58" t="n">
        <f aca="false">IF(AV1184="",0,MAX(0,MIN(1,(IF(CC1184="L1",Parameter!$H$5,IF(CC1184="L23",Parameter!$H$6+Parameter!$H$7,Parameter!$H$5+Parameter!$H$6+Parameter!$H$7))-(AV1184-AR1184))/AR1184)))</f>
        <v>1</v>
      </c>
      <c r="AX1184" s="50" t="n">
        <f aca="false">IF(LEFT(Cockpit!$O$5,1)="A",H1184,IF(CE1184=1,CF1184,IF(LEFT(Cockpit!$O$5,1)="B",BC1184,MAX(BC1184,H1184))))</f>
        <v>20</v>
      </c>
      <c r="AY1184" s="50" t="n">
        <f aca="false">IF(BW1184=1,0,ROUNDUP(AX1184/BV1184,0))</f>
        <v>1</v>
      </c>
      <c r="AZ1184" s="52" t="n">
        <f aca="false">IF(CL1184&gt;0,CL1184*MAX(1,AX1184/X1184),IF(BW1184=1,IF(AX1184&lt;=0,0,CA1184*MAX(1,IF(H1184&gt;0,AX1184/H1184,1))),IF(R1184&gt;0,AY1184/R1184,0))/MAX(0.1,N(Parameter!$M$21)))</f>
        <v>0.0384615384615385</v>
      </c>
      <c r="BA1184" s="50" t="n">
        <f aca="false">AZ1184*BY1184</f>
        <v>5.96153846153846</v>
      </c>
      <c r="BB1184" s="50" t="n">
        <f aca="false">AX1184*G1184</f>
        <v>777.6</v>
      </c>
      <c r="BC1184" s="50" t="n">
        <f aca="false">ROUNDUP(MAX(J1184/IF(CD1184&gt;0,CD1184,MAX(0.1,N(Cockpit!$O$6))),CG1184)/BV1184,0)*BV1184</f>
        <v>20</v>
      </c>
      <c r="BD1184" s="51" t="n">
        <f aca="false">IF(BA1184&gt;0,J1184/BA1184,-1)</f>
        <v>1.67741935483871</v>
      </c>
      <c r="BE1184" s="51" t="n">
        <f aca="false">IF(AND(OR(CC1184="L1",CC1184="L23",CC1184="LIFT"),BA1184&gt;0),SUMIFS($BA$7:$BA$1843,$CC$7:$CC$1843,CC1184,$BD$7:$BD$1843,"&gt;"&amp;BD1184)+SUMIFS($BA$7:$BA$1843,$CC$7:$CC$1843,CC1184,$BD$7:$BD$1843,BD1184,$BT$7:$BT$1843,"&lt;="&amp;BT1184),"")</f>
        <v>8140.11309523809</v>
      </c>
      <c r="BF1184" s="58" t="n">
        <f aca="false">IF(BE1184="",0,MAX(0,MIN(1,(IF(CC1184="L1",Parameter!$H$5,IF(CC1184="L23",Parameter!$H$6+Parameter!$H$7,Parameter!$H$5+Parameter!$H$6+Parameter!$H$7))-(BE1184-BA1184))/BA1184)))</f>
        <v>1</v>
      </c>
      <c r="BG1184" s="48" t="str">
        <f aca="false">IF(AI1184&lt;=0,"",IF(CC1184="Aussen","Aussenlager",IF(CC1184="-","Nicht im Lift",IF(AN1184&gt;=1,"Lift",IF(AN1184&lt;=0,"Aussenlager","teilweise")))))</f>
        <v/>
      </c>
      <c r="BH1184" s="48" t="str">
        <f aca="false">IF(AR1184&lt;=0,"",IF(CC1184="Aussen","Aussenlager",IF(CC1184="-","Nicht im Lift",IF(AW1184&gt;=1,"Lift",IF(AW1184&lt;=0,"Aussenlager","teilweise")))))</f>
        <v>Lift</v>
      </c>
      <c r="BI1184" s="48" t="str">
        <f aca="false">IF(BA1184&lt;=0,"",IF(CC1184="Aussen","Aussenlager",IF(CC1184="-","Nicht im Lift",IF(BF1184&gt;=1,"Lift",IF(BF1184&lt;=0,"Aussenlager","teilweise")))))</f>
        <v>Lift</v>
      </c>
      <c r="BJ1184" s="48" t="str">
        <f aca="false">IF(A1184="","",IF(BS1184=1,"Neu; ","")&amp;IF(AND(BS1184=0,BN1184&lt;0),"negativer Bestand (Export "&amp;BN1184&amp;"); ","")&amp;IF(J1184&lt;=0,"Kein Verbrauch; ","")&amp;IF(CL1184&gt;0,"Lift "&amp;W1184&amp;" lt. Liftbericht (Fach "&amp;X1184&amp;" Stk); ",IF(BX1184=1,"Gebinde geschätzt ("&amp;T1184&amp;"); ",IF(BW1184=1,"Lose – Tablare geschätzt; ","")))&amp;IF(H1184&gt;AT1184,"Überbestand "&amp;ROUND(H1184-AT1184,0)&amp;" Stk / CHF "&amp;ROUND((H1184-AT1184)*G1184,0)&amp;"; ","")&amp;IF(AND(CE1184=1,CF1184&lt;CG1184),"MAX &lt; MB+LG; ","")&amp;IF(AND(CK1184&gt;0,CJ1184*10&gt;CK1184),"zu hoch für Tablar; ","")&amp;IF(AND(BS1184=0,OR(CE1184=1,AA1184&lt;&gt;"",U1184&lt;&gt;"",V1184&lt;&gt;"",AB1184&lt;&gt;"")),"manuell übersteuert; ","")&amp;IF(AND(BW1184=0,R1184=0),"Gebinde unbekannt / Stellmass fehlt; ","")&amp;IF(AND(BW1184=0,N(V1184)&lt;=0,N(Q1184)&lt;=0),"Menge pro Gebinde fehlt (Ist = 1 Gebinde); ","")&amp;BR1184)</f>
        <v>negativer Bestand (Export -10); Gebinde geschätzt (Klein); Menge pro Gebinde fehlt (Ist = 1 Gebinde); </v>
      </c>
      <c r="BK1184" s="48"/>
      <c r="BL1184" s="48"/>
      <c r="BM1184" s="55"/>
      <c r="BN1184" s="50" t="n">
        <v>-10</v>
      </c>
      <c r="BO1184" s="50" t="n">
        <v>10</v>
      </c>
      <c r="BP1184" s="49" t="n">
        <v>-388.8</v>
      </c>
      <c r="BQ1184" s="50" t="n">
        <v>10</v>
      </c>
      <c r="BR1184" s="48"/>
      <c r="BS1184" s="53" t="n">
        <v>0</v>
      </c>
      <c r="BT1184" s="53" t="n">
        <v>1184</v>
      </c>
      <c r="BU1184" s="48" t="str">
        <f aca="false">IF(U1184&lt;&gt;"",UPPER(TRIM(U1184)),IF(BX1184=1,UPPER(VLOOKUP(T1184,Parameter!$I$27:$K$29,2,0)),IF(P1184="","LOSE",P1184)))</f>
        <v>S51</v>
      </c>
      <c r="BV1184" s="50" t="n">
        <f aca="false">IF(BU1184="LOSE",1,IF(N(V1184)&gt;0,V1184,IF(BX1184=1,MAX(1,N(VLOOKUP(T1184,Parameter!$I$27:$K$29,3,0)),H1184,N(N1184)),IF(N(Q1184)&gt;0,Q1184,MAX(1,H1184)))))</f>
        <v>20</v>
      </c>
      <c r="BW1184" s="53" t="n">
        <f aca="false">IF(BU1184="LOSE",1,0)</f>
        <v>0</v>
      </c>
      <c r="BX1184" s="53" t="n">
        <f aca="false">IF(AND(U1184="",OR(P1184="",P1184="LOSE"),T1184&lt;&gt;"",N(S1184)&lt;=0,ISNUMBER(MATCH(T1184,Parameter!$I$27:$I$29,0))),1,0)</f>
        <v>1</v>
      </c>
      <c r="BY1184" s="53" t="n">
        <f aca="false">IF(CL1184&gt;0,INDEX(Parameter!$H$5:$H$7,W1184)/INDEX(Parameter!$E$5:$E$7,W1184),IF(AND(BW1184=0,N(IFERROR(VLOOKUP(BU1184,'Gebinde-Kategorie'!$A$5:$N$45,14,0),0))&gt;0),VLOOKUP(BU1184,'Gebinde-Kategorie'!$A$5:$N$45,14,0)*10+Parameter!$M$23,Parameter!$M$24))</f>
        <v>155</v>
      </c>
      <c r="BZ1184" s="48" t="str">
        <f aca="false">IF(AND(Parameter!$B$19="Ja",E1184&lt;&gt;"",ISNUMBER(MATCH(E1184,Parameter!$I$35:$I$52,0))),VLOOKUP(E1184,Parameter!$I$35:$J$52,2,0),IFERROR(VLOOKUP(D1184,Parameter!$A$35:$C$64,2,0),"Nein"))</f>
        <v>2+3</v>
      </c>
      <c r="CA1184" s="52" t="n">
        <f aca="false">IF(BW1184=0,0,IF(N(S1184)&gt;0,S1184,IFERROR(VLOOKUP(D1184,Parameter!$A$35:$C$64,3,0)+0,0)))</f>
        <v>0</v>
      </c>
      <c r="CB1184" s="48" t="n">
        <f aca="false">IF(AA1184&lt;&gt;"",AA1184,Z1184)</f>
        <v>3</v>
      </c>
      <c r="CC1184" s="48" t="str">
        <f aca="false">IF(OR(CB1184=1,CB1184=2,CB1184=3),IF(Parameter!$E$27="Ja","LIFT",IF(CB1184=1,"L1","L23")),IF(CB1184="Aussen","Aussen","-"))</f>
        <v>LIFT</v>
      </c>
      <c r="CD1184" s="59" t="n">
        <f aca="false">IF(N(AB1184)&gt;0,AB1184,0)</f>
        <v>0</v>
      </c>
      <c r="CE1184" s="53" t="n">
        <f aca="false">IF(ISNUMBER(AE1184),1,0)</f>
        <v>0</v>
      </c>
      <c r="CF1184" s="50" t="n">
        <f aca="false">N(AE1184)</f>
        <v>0</v>
      </c>
      <c r="CG1184" s="50" t="n">
        <f aca="false">N(M1184)+N(N1184)</f>
        <v>10</v>
      </c>
      <c r="CH1184" s="50" t="n">
        <f aca="false">ROUNDUP(H1184/BV1184,0)</f>
        <v>0</v>
      </c>
      <c r="CI1184" s="50" t="n">
        <f aca="false">ROUNDUP(CF1184/BV1184,0)</f>
        <v>0</v>
      </c>
      <c r="CJ1184" s="53" t="n">
        <f aca="false">IF(BW1184=1,0,IFERROR(VLOOKUP(BU1184,'Gebinde-Kategorie'!$A$5:$N$45,5,0)+0,0))</f>
        <v>11</v>
      </c>
      <c r="CK1184" s="53" t="n">
        <f aca="false">IFERROR(IF(OR(CB1184=1,CB1184=2,CB1184=3),N(INDEX(Parameter!$I$5:$I$7,CB1184)),0),0)</f>
        <v>0</v>
      </c>
      <c r="CL1184" s="52" t="n">
        <f aca="false">IF(AND(Parameter!$B$21="Ja",ISNUMBER(W1184),N(X1184)&gt;0),IFERROR(N(INDEX(Parameter!$L$5:$L$7,W1184))*INDEX(Parameter!$E$5:$E$7,W1184)*X1184/SUMIFS($X$7:$X$1843,$W$7:$W$1843,W1184),0),0)</f>
        <v>0</v>
      </c>
    </row>
    <row r="1185" customFormat="false" ht="15" hidden="false" customHeight="false" outlineLevel="0" collapsed="false">
      <c r="A1185" s="48" t="s">
        <v>2136</v>
      </c>
      <c r="B1185" s="48" t="s">
        <v>2137</v>
      </c>
      <c r="C1185" s="48" t="s">
        <v>168</v>
      </c>
      <c r="D1185" s="48" t="s">
        <v>177</v>
      </c>
      <c r="E1185" s="48"/>
      <c r="F1185" s="48" t="s">
        <v>222</v>
      </c>
      <c r="G1185" s="49" t="n">
        <v>393.01</v>
      </c>
      <c r="H1185" s="50" t="n">
        <f aca="false">MAX(0,IF(AND(Parameter!$B$21="Ja",ISNUMBER(Y1185)),Y1185,IF(Parameter!$B$20="Jahresanfang 2025 + Export",BO1185+BN1185,BN1185)))</f>
        <v>8</v>
      </c>
      <c r="I1185" s="50" t="n">
        <f aca="false">H1185*G1185</f>
        <v>3144.08</v>
      </c>
      <c r="J1185" s="50" t="n">
        <f aca="false">BQ1185*Parameter!$B$18</f>
        <v>1</v>
      </c>
      <c r="K1185" s="51" t="n">
        <v>8.5</v>
      </c>
      <c r="L1185" s="52" t="n">
        <v>0.117647058823529</v>
      </c>
      <c r="M1185" s="50" t="n">
        <v>0</v>
      </c>
      <c r="N1185" s="50" t="n">
        <v>1</v>
      </c>
      <c r="O1185" s="53" t="n">
        <v>35</v>
      </c>
      <c r="P1185" s="48" t="s">
        <v>178</v>
      </c>
      <c r="Q1185" s="50" t="n">
        <v>10</v>
      </c>
      <c r="R1185" s="53" t="n">
        <f aca="false">IF(BW1185=1,0,IFERROR(VLOOKUP(BU1185,'Gebinde-Kategorie'!$A$5:$N$45,13,0)+0,0))</f>
        <v>6</v>
      </c>
      <c r="S1185" s="54"/>
      <c r="T1185" s="55"/>
      <c r="U1185" s="55"/>
      <c r="V1185" s="55"/>
      <c r="W1185" s="48"/>
      <c r="X1185" s="50"/>
      <c r="Y1185" s="50"/>
      <c r="Z1185" s="48" t="n">
        <f aca="false">IF(A1185="","",IF(AND(Parameter!$B$21="Ja",ISNUMBER(W1185)),W1185,IF(BZ1185="2+3",IF(ISNUMBER(SEARCH("grosser Artikel",BR1185)),2,IFERROR(VLOOKUP(BU1185,Parameter!$F$35:$G$64,2,0),2)),IF(OR(BZ1185="Nein",BZ1185=""),"-",BZ1185))))</f>
        <v>2</v>
      </c>
      <c r="AA1185" s="55"/>
      <c r="AB1185" s="56"/>
      <c r="AC1185" s="50" t="n">
        <f aca="false">AT1185</f>
        <v>10</v>
      </c>
      <c r="AD1185" s="50" t="n">
        <f aca="false">MAX(AT1185,H1185)</f>
        <v>10</v>
      </c>
      <c r="AE1185" s="57"/>
      <c r="AF1185" s="50" t="n">
        <f aca="false">IF(LEFT(Cockpit!$C$5,1)="A",H1185,IF(CE1185=1,CF1185,IF(LEFT(Cockpit!$C$5,1)="B",AK1185,MAX(AK1185,H1185))))</f>
        <v>8</v>
      </c>
      <c r="AG1185" s="50" t="n">
        <f aca="false">IF(BW1185=1,0,ROUNDUP(AF1185/BV1185,0))</f>
        <v>1</v>
      </c>
      <c r="AH1185" s="52" t="n">
        <f aca="false">IF(CL1185&gt;0,CL1185*MAX(1,AF1185/X1185),IF(BW1185=1,IF(AF1185&lt;=0,0,CA1185*MAX(1,IF(H1185&gt;0,AF1185/H1185,1))),IF(R1185&gt;0,AG1185/R1185,0))/MAX(0.1,N(Parameter!$M$21)))</f>
        <v>0.166666666666667</v>
      </c>
      <c r="AI1185" s="50" t="n">
        <f aca="false">AH1185*BY1185</f>
        <v>39.1666666666667</v>
      </c>
      <c r="AJ1185" s="50" t="n">
        <f aca="false">AF1185*G1185</f>
        <v>3144.08</v>
      </c>
      <c r="AK1185" s="50" t="n">
        <f aca="false">ROUNDUP(MAX(J1185/IF(CD1185&gt;0,CD1185,MAX(0.1,N(Cockpit!$C$6))),CG1185)/BV1185,0)*BV1185</f>
        <v>10</v>
      </c>
      <c r="AL1185" s="51" t="n">
        <f aca="false">IF(AI1185&gt;0,J1185/AI1185,-1)</f>
        <v>0.025531914893617</v>
      </c>
      <c r="AM1185" s="51" t="n">
        <f aca="false">IF(AND(OR(CC1185="L1",CC1185="L23",CC1185="LIFT"),AI1185&gt;0),SUMIFS($AI$7:$AI$1843,$CC$7:$CC$1843,CC1185,$AL$7:$AL$1843,"&gt;"&amp;AL1185)+SUMIFS($AI$7:$AI$1843,$CC$7:$CC$1843,CC1185,$AL$7:$AL$1843,AL1185,$BT$7:$BT$1843,"&lt;="&amp;BT1185),"")</f>
        <v>21847.1104048964</v>
      </c>
      <c r="AN1185" s="58" t="n">
        <f aca="false">IF(AM1185="",0,MAX(0,MIN(1,(IF(CC1185="L1",Parameter!$H$5,IF(CC1185="L23",Parameter!$H$6+Parameter!$H$7,Parameter!$H$5+Parameter!$H$6+Parameter!$H$7))-(AM1185-AI1185))/AI1185)))</f>
        <v>1</v>
      </c>
      <c r="AO1185" s="50" t="n">
        <f aca="false">IF(LEFT(Cockpit!$I$5,1)="A",H1185,IF(CE1185=1,CF1185,IF(LEFT(Cockpit!$I$5,1)="B",AT1185,MAX(AT1185,H1185))))</f>
        <v>10</v>
      </c>
      <c r="AP1185" s="50" t="n">
        <f aca="false">IF(BW1185=1,0,ROUNDUP(AO1185/BV1185,0))</f>
        <v>1</v>
      </c>
      <c r="AQ1185" s="52" t="n">
        <f aca="false">IF(CL1185&gt;0,CL1185*MAX(1,AO1185/X1185),IF(BW1185=1,IF(AO1185&lt;=0,0,CA1185*MAX(1,IF(H1185&gt;0,AO1185/H1185,1))),IF(R1185&gt;0,AP1185/R1185,0))/MAX(0.1,N(Parameter!$M$21)))</f>
        <v>0.166666666666667</v>
      </c>
      <c r="AR1185" s="50" t="n">
        <f aca="false">AQ1185*BY1185</f>
        <v>39.1666666666667</v>
      </c>
      <c r="AS1185" s="50" t="n">
        <f aca="false">AO1185*G1185</f>
        <v>3930.1</v>
      </c>
      <c r="AT1185" s="50" t="n">
        <f aca="false">ROUNDUP(MAX(J1185/IF(CD1185&gt;0,CD1185,MAX(0.1,N(Cockpit!$I$6))),CG1185)/BV1185,0)*BV1185</f>
        <v>10</v>
      </c>
      <c r="AU1185" s="51" t="n">
        <f aca="false">IF(AR1185&gt;0,J1185/AR1185,-1)</f>
        <v>0.025531914893617</v>
      </c>
      <c r="AV1185" s="51" t="n">
        <f aca="false">IF(AND(OR(CC1185="L1",CC1185="L23",CC1185="LIFT"),AR1185&gt;0),SUMIFS($AR$7:$AR$1843,$CC$7:$CC$1843,CC1185,$AU$7:$AU$1843,"&gt;"&amp;AU1185)+SUMIFS($AR$7:$AR$1843,$CC$7:$CC$1843,CC1185,$AU$7:$AU$1843,AU1185,$BT$7:$BT$1843,"&lt;="&amp;BT1185),"")</f>
        <v>32779.8346603961</v>
      </c>
      <c r="AW1185" s="58" t="n">
        <f aca="false">IF(AV1185="",0,MAX(0,MIN(1,(IF(CC1185="L1",Parameter!$H$5,IF(CC1185="L23",Parameter!$H$6+Parameter!$H$7,Parameter!$H$5+Parameter!$H$6+Parameter!$H$7))-(AV1185-AR1185))/AR1185)))</f>
        <v>1</v>
      </c>
      <c r="AX1185" s="50" t="n">
        <f aca="false">IF(LEFT(Cockpit!$O$5,1)="A",H1185,IF(CE1185=1,CF1185,IF(LEFT(Cockpit!$O$5,1)="B",BC1185,MAX(BC1185,H1185))))</f>
        <v>10</v>
      </c>
      <c r="AY1185" s="50" t="n">
        <f aca="false">IF(BW1185=1,0,ROUNDUP(AX1185/BV1185,0))</f>
        <v>1</v>
      </c>
      <c r="AZ1185" s="52" t="n">
        <f aca="false">IF(CL1185&gt;0,CL1185*MAX(1,AX1185/X1185),IF(BW1185=1,IF(AX1185&lt;=0,0,CA1185*MAX(1,IF(H1185&gt;0,AX1185/H1185,1))),IF(R1185&gt;0,AY1185/R1185,0))/MAX(0.1,N(Parameter!$M$21)))</f>
        <v>0.166666666666667</v>
      </c>
      <c r="BA1185" s="50" t="n">
        <f aca="false">AZ1185*BY1185</f>
        <v>39.1666666666667</v>
      </c>
      <c r="BB1185" s="50" t="n">
        <f aca="false">AX1185*G1185</f>
        <v>3930.1</v>
      </c>
      <c r="BC1185" s="50" t="n">
        <f aca="false">ROUNDUP(MAX(J1185/IF(CD1185&gt;0,CD1185,MAX(0.1,N(Cockpit!$O$6))),CG1185)/BV1185,0)*BV1185</f>
        <v>10</v>
      </c>
      <c r="BD1185" s="51" t="n">
        <f aca="false">IF(BA1185&gt;0,J1185/BA1185,-1)</f>
        <v>0.025531914893617</v>
      </c>
      <c r="BE1185" s="51" t="n">
        <f aca="false">IF(AND(OR(CC1185="L1",CC1185="L23",CC1185="LIFT"),BA1185&gt;0),SUMIFS($BA$7:$BA$1843,$CC$7:$CC$1843,CC1185,$BD$7:$BD$1843,"&gt;"&amp;BD1185)+SUMIFS($BA$7:$BA$1843,$CC$7:$CC$1843,CC1185,$BD$7:$BD$1843,BD1185,$BT$7:$BT$1843,"&lt;="&amp;BT1185),"")</f>
        <v>29454.846702262</v>
      </c>
      <c r="BF1185" s="58" t="n">
        <f aca="false">IF(BE1185="",0,MAX(0,MIN(1,(IF(CC1185="L1",Parameter!$H$5,IF(CC1185="L23",Parameter!$H$6+Parameter!$H$7,Parameter!$H$5+Parameter!$H$6+Parameter!$H$7))-(BE1185-BA1185))/BA1185)))</f>
        <v>1</v>
      </c>
      <c r="BG1185" s="48" t="str">
        <f aca="false">IF(AI1185&lt;=0,"",IF(CC1185="Aussen","Aussenlager",IF(CC1185="-","Nicht im Lift",IF(AN1185&gt;=1,"Lift",IF(AN1185&lt;=0,"Aussenlager","teilweise")))))</f>
        <v>Lift</v>
      </c>
      <c r="BH1185" s="48" t="str">
        <f aca="false">IF(AR1185&lt;=0,"",IF(CC1185="Aussen","Aussenlager",IF(CC1185="-","Nicht im Lift",IF(AW1185&gt;=1,"Lift",IF(AW1185&lt;=0,"Aussenlager","teilweise")))))</f>
        <v>Lift</v>
      </c>
      <c r="BI1185" s="48" t="str">
        <f aca="false">IF(BA1185&lt;=0,"",IF(CC1185="Aussen","Aussenlager",IF(CC1185="-","Nicht im Lift",IF(BF1185&gt;=1,"Lift",IF(BF1185&lt;=0,"Aussenlager","teilweise")))))</f>
        <v>Lift</v>
      </c>
      <c r="BJ1185" s="48" t="str">
        <f aca="false">IF(A1185="","",IF(BS1185=1,"Neu; ","")&amp;IF(AND(BS1185=0,BN1185&lt;0),"negativer Bestand (Export "&amp;BN1185&amp;"); ","")&amp;IF(J1185&lt;=0,"Kein Verbrauch; ","")&amp;IF(CL1185&gt;0,"Lift "&amp;W1185&amp;" lt. Liftbericht (Fach "&amp;X1185&amp;" Stk); ",IF(BX1185=1,"Gebinde geschätzt ("&amp;T1185&amp;"); ",IF(BW1185=1,"Lose – Tablare geschätzt; ","")))&amp;IF(H1185&gt;AT1185,"Überbestand "&amp;ROUND(H1185-AT1185,0)&amp;" Stk / CHF "&amp;ROUND((H1185-AT1185)*G1185,0)&amp;"; ","")&amp;IF(AND(CE1185=1,CF1185&lt;CG1185),"MAX &lt; MB+LG; ","")&amp;IF(AND(CK1185&gt;0,CJ1185*10&gt;CK1185),"zu hoch für Tablar; ","")&amp;IF(AND(BS1185=0,OR(CE1185=1,AA1185&lt;&gt;"",U1185&lt;&gt;"",V1185&lt;&gt;"",AB1185&lt;&gt;"")),"manuell übersteuert; ","")&amp;IF(AND(BW1185=0,R1185=0),"Gebinde unbekannt / Stellmass fehlt; ","")&amp;IF(AND(BW1185=0,N(V1185)&lt;=0,N(Q1185)&lt;=0),"Menge pro Gebinde fehlt (Ist = 1 Gebinde); ","")&amp;BR1185)</f>
        <v>negativer Bestand (Export -1); </v>
      </c>
      <c r="BK1185" s="48"/>
      <c r="BL1185" s="48"/>
      <c r="BM1185" s="55"/>
      <c r="BN1185" s="50" t="n">
        <v>-1</v>
      </c>
      <c r="BO1185" s="50" t="n">
        <v>9</v>
      </c>
      <c r="BP1185" s="49" t="n">
        <v>-393.01</v>
      </c>
      <c r="BQ1185" s="50" t="n">
        <v>1</v>
      </c>
      <c r="BR1185" s="48"/>
      <c r="BS1185" s="53" t="n">
        <v>0</v>
      </c>
      <c r="BT1185" s="53" t="n">
        <v>1185</v>
      </c>
      <c r="BU1185" s="48" t="str">
        <f aca="false">IF(U1185&lt;&gt;"",UPPER(TRIM(U1185)),IF(BX1185=1,UPPER(VLOOKUP(T1185,Parameter!$I$27:$K$29,2,0)),IF(P1185="","LOSE",P1185)))</f>
        <v>S71</v>
      </c>
      <c r="BV1185" s="50" t="n">
        <f aca="false">IF(BU1185="LOSE",1,IF(N(V1185)&gt;0,V1185,IF(BX1185=1,MAX(1,N(VLOOKUP(T1185,Parameter!$I$27:$K$29,3,0)),H1185,N(N1185)),IF(N(Q1185)&gt;0,Q1185,MAX(1,H1185)))))</f>
        <v>10</v>
      </c>
      <c r="BW1185" s="53" t="n">
        <f aca="false">IF(BU1185="LOSE",1,0)</f>
        <v>0</v>
      </c>
      <c r="BX1185" s="53" t="n">
        <f aca="false">IF(AND(U1185="",OR(P1185="",P1185="LOSE"),T1185&lt;&gt;"",N(S1185)&lt;=0,ISNUMBER(MATCH(T1185,Parameter!$I$27:$I$29,0))),1,0)</f>
        <v>0</v>
      </c>
      <c r="BY1185" s="53" t="n">
        <f aca="false">IF(CL1185&gt;0,INDEX(Parameter!$H$5:$H$7,W1185)/INDEX(Parameter!$E$5:$E$7,W1185),IF(AND(BW1185=0,N(IFERROR(VLOOKUP(BU1185,'Gebinde-Kategorie'!$A$5:$N$45,14,0),0))&gt;0),VLOOKUP(BU1185,'Gebinde-Kategorie'!$A$5:$N$45,14,0)*10+Parameter!$M$23,Parameter!$M$24))</f>
        <v>235</v>
      </c>
      <c r="BZ1185" s="48" t="str">
        <f aca="false">IF(AND(Parameter!$B$19="Ja",E1185&lt;&gt;"",ISNUMBER(MATCH(E1185,Parameter!$I$35:$I$52,0))),VLOOKUP(E1185,Parameter!$I$35:$J$52,2,0),IFERROR(VLOOKUP(D1185,Parameter!$A$35:$C$64,2,0),"Nein"))</f>
        <v>2+3</v>
      </c>
      <c r="CA1185" s="52" t="n">
        <f aca="false">IF(BW1185=0,0,IF(N(S1185)&gt;0,S1185,IFERROR(VLOOKUP(D1185,Parameter!$A$35:$C$64,3,0)+0,0)))</f>
        <v>0</v>
      </c>
      <c r="CB1185" s="48" t="n">
        <f aca="false">IF(AA1185&lt;&gt;"",AA1185,Z1185)</f>
        <v>2</v>
      </c>
      <c r="CC1185" s="48" t="str">
        <f aca="false">IF(OR(CB1185=1,CB1185=2,CB1185=3),IF(Parameter!$E$27="Ja","LIFT",IF(CB1185=1,"L1","L23")),IF(CB1185="Aussen","Aussen","-"))</f>
        <v>LIFT</v>
      </c>
      <c r="CD1185" s="59" t="n">
        <f aca="false">IF(N(AB1185)&gt;0,AB1185,0)</f>
        <v>0</v>
      </c>
      <c r="CE1185" s="53" t="n">
        <f aca="false">IF(ISNUMBER(AE1185),1,0)</f>
        <v>0</v>
      </c>
      <c r="CF1185" s="50" t="n">
        <f aca="false">N(AE1185)</f>
        <v>0</v>
      </c>
      <c r="CG1185" s="50" t="n">
        <f aca="false">N(M1185)+N(N1185)</f>
        <v>1</v>
      </c>
      <c r="CH1185" s="50" t="n">
        <f aca="false">ROUNDUP(H1185/BV1185,0)</f>
        <v>1</v>
      </c>
      <c r="CI1185" s="50" t="n">
        <f aca="false">ROUNDUP(CF1185/BV1185,0)</f>
        <v>0</v>
      </c>
      <c r="CJ1185" s="53" t="n">
        <f aca="false">IF(BW1185=1,0,IFERROR(VLOOKUP(BU1185,'Gebinde-Kategorie'!$A$5:$N$45,5,0)+0,0))</f>
        <v>20</v>
      </c>
      <c r="CK1185" s="53" t="n">
        <f aca="false">IFERROR(IF(OR(CB1185=1,CB1185=2,CB1185=3),N(INDEX(Parameter!$I$5:$I$7,CB1185)),0),0)</f>
        <v>0</v>
      </c>
      <c r="CL1185" s="52" t="n">
        <f aca="false">IF(AND(Parameter!$B$21="Ja",ISNUMBER(W1185),N(X1185)&gt;0),IFERROR(N(INDEX(Parameter!$L$5:$L$7,W1185))*INDEX(Parameter!$E$5:$E$7,W1185)*X1185/SUMIFS($X$7:$X$1843,$W$7:$W$1843,W1185),0),0)</f>
        <v>0</v>
      </c>
    </row>
    <row r="1186" customFormat="false" ht="15" hidden="false" customHeight="false" outlineLevel="0" collapsed="false">
      <c r="A1186" s="48" t="s">
        <v>2138</v>
      </c>
      <c r="B1186" s="48" t="s">
        <v>2139</v>
      </c>
      <c r="C1186" s="48" t="s">
        <v>168</v>
      </c>
      <c r="D1186" s="48" t="s">
        <v>177</v>
      </c>
      <c r="E1186" s="48"/>
      <c r="F1186" s="48" t="s">
        <v>222</v>
      </c>
      <c r="G1186" s="49" t="n">
        <v>393.01</v>
      </c>
      <c r="H1186" s="50" t="n">
        <f aca="false">MAX(0,IF(AND(Parameter!$B$21="Ja",ISNUMBER(Y1186)),Y1186,IF(Parameter!$B$20="Jahresanfang 2025 + Export",BO1186+BN1186,BN1186)))</f>
        <v>8</v>
      </c>
      <c r="I1186" s="50" t="n">
        <f aca="false">H1186*G1186</f>
        <v>3144.08</v>
      </c>
      <c r="J1186" s="50" t="n">
        <f aca="false">BQ1186*Parameter!$B$18</f>
        <v>1</v>
      </c>
      <c r="K1186" s="51" t="n">
        <v>8.5</v>
      </c>
      <c r="L1186" s="52" t="n">
        <v>0.117647058823529</v>
      </c>
      <c r="M1186" s="50" t="n">
        <v>0</v>
      </c>
      <c r="N1186" s="50" t="n">
        <v>1</v>
      </c>
      <c r="O1186" s="53" t="n">
        <v>35</v>
      </c>
      <c r="P1186" s="48" t="s">
        <v>172</v>
      </c>
      <c r="Q1186" s="50"/>
      <c r="R1186" s="53" t="n">
        <f aca="false">IF(BW1186=1,0,IFERROR(VLOOKUP(BU1186,'Gebinde-Kategorie'!$A$5:$N$45,13,0)+0,0))</f>
        <v>12</v>
      </c>
      <c r="S1186" s="54"/>
      <c r="T1186" s="55" t="s">
        <v>183</v>
      </c>
      <c r="U1186" s="55"/>
      <c r="V1186" s="55"/>
      <c r="W1186" s="48"/>
      <c r="X1186" s="50"/>
      <c r="Y1186" s="50"/>
      <c r="Z1186" s="48" t="n">
        <f aca="false">IF(A1186="","",IF(AND(Parameter!$B$21="Ja",ISNUMBER(W1186)),W1186,IF(BZ1186="2+3",IF(ISNUMBER(SEARCH("grosser Artikel",BR1186)),2,IFERROR(VLOOKUP(BU1186,Parameter!$F$35:$G$64,2,0),2)),IF(OR(BZ1186="Nein",BZ1186=""),"-",BZ1186))))</f>
        <v>2</v>
      </c>
      <c r="AA1186" s="55"/>
      <c r="AB1186" s="56"/>
      <c r="AC1186" s="50" t="n">
        <f aca="false">AT1186</f>
        <v>8</v>
      </c>
      <c r="AD1186" s="50" t="n">
        <f aca="false">MAX(AT1186,H1186)</f>
        <v>8</v>
      </c>
      <c r="AE1186" s="57"/>
      <c r="AF1186" s="50" t="n">
        <f aca="false">IF(LEFT(Cockpit!$C$5,1)="A",H1186,IF(CE1186=1,CF1186,IF(LEFT(Cockpit!$C$5,1)="B",AK1186,MAX(AK1186,H1186))))</f>
        <v>8</v>
      </c>
      <c r="AG1186" s="50" t="n">
        <f aca="false">IF(BW1186=1,0,ROUNDUP(AF1186/BV1186,0))</f>
        <v>1</v>
      </c>
      <c r="AH1186" s="52" t="n">
        <f aca="false">IF(CL1186&gt;0,CL1186*MAX(1,AF1186/X1186),IF(BW1186=1,IF(AF1186&lt;=0,0,CA1186*MAX(1,IF(H1186&gt;0,AF1186/H1186,1))),IF(R1186&gt;0,AG1186/R1186,0))/MAX(0.1,N(Parameter!$M$21)))</f>
        <v>0.0833333333333333</v>
      </c>
      <c r="AI1186" s="50" t="n">
        <f aca="false">AH1186*BY1186</f>
        <v>12.0833333333333</v>
      </c>
      <c r="AJ1186" s="50" t="n">
        <f aca="false">AF1186*G1186</f>
        <v>3144.08</v>
      </c>
      <c r="AK1186" s="50" t="n">
        <f aca="false">ROUNDUP(MAX(J1186/IF(CD1186&gt;0,CD1186,MAX(0.1,N(Cockpit!$C$6))),CG1186)/BV1186,0)*BV1186</f>
        <v>8</v>
      </c>
      <c r="AL1186" s="51" t="n">
        <f aca="false">IF(AI1186&gt;0,J1186/AI1186,-1)</f>
        <v>0.0827586206896552</v>
      </c>
      <c r="AM1186" s="51" t="n">
        <f aca="false">IF(AND(OR(CC1186="L1",CC1186="L23",CC1186="LIFT"),AI1186&gt;0),SUMIFS($AI$7:$AI$1843,$CC$7:$CC$1843,CC1186,$AL$7:$AL$1843,"&gt;"&amp;AL1186)+SUMIFS($AI$7:$AI$1843,$CC$7:$CC$1843,CC1186,$AL$7:$AL$1843,AL1186,$BT$7:$BT$1843,"&lt;="&amp;BT1186),"")</f>
        <v>16749.857398957</v>
      </c>
      <c r="AN1186" s="58" t="n">
        <f aca="false">IF(AM1186="",0,MAX(0,MIN(1,(IF(CC1186="L1",Parameter!$H$5,IF(CC1186="L23",Parameter!$H$6+Parameter!$H$7,Parameter!$H$5+Parameter!$H$6+Parameter!$H$7))-(AM1186-AI1186))/AI1186)))</f>
        <v>1</v>
      </c>
      <c r="AO1186" s="50" t="n">
        <f aca="false">IF(LEFT(Cockpit!$I$5,1)="A",H1186,IF(CE1186=1,CF1186,IF(LEFT(Cockpit!$I$5,1)="B",AT1186,MAX(AT1186,H1186))))</f>
        <v>8</v>
      </c>
      <c r="AP1186" s="50" t="n">
        <f aca="false">IF(BW1186=1,0,ROUNDUP(AO1186/BV1186,0))</f>
        <v>1</v>
      </c>
      <c r="AQ1186" s="52" t="n">
        <f aca="false">IF(CL1186&gt;0,CL1186*MAX(1,AO1186/X1186),IF(BW1186=1,IF(AO1186&lt;=0,0,CA1186*MAX(1,IF(H1186&gt;0,AO1186/H1186,1))),IF(R1186&gt;0,AP1186/R1186,0))/MAX(0.1,N(Parameter!$M$21)))</f>
        <v>0.0833333333333333</v>
      </c>
      <c r="AR1186" s="50" t="n">
        <f aca="false">AQ1186*BY1186</f>
        <v>12.0833333333333</v>
      </c>
      <c r="AS1186" s="50" t="n">
        <f aca="false">AO1186*G1186</f>
        <v>3144.08</v>
      </c>
      <c r="AT1186" s="50" t="n">
        <f aca="false">ROUNDUP(MAX(J1186/IF(CD1186&gt;0,CD1186,MAX(0.1,N(Cockpit!$I$6))),CG1186)/BV1186,0)*BV1186</f>
        <v>8</v>
      </c>
      <c r="AU1186" s="51" t="n">
        <f aca="false">IF(AR1186&gt;0,J1186/AR1186,-1)</f>
        <v>0.0827586206896552</v>
      </c>
      <c r="AV1186" s="51" t="n">
        <f aca="false">IF(AND(OR(CC1186="L1",CC1186="L23",CC1186="LIFT"),AR1186&gt;0),SUMIFS($AR$7:$AR$1843,$CC$7:$CC$1843,CC1186,$AU$7:$AU$1843,"&gt;"&amp;AU1186)+SUMIFS($AR$7:$AR$1843,$CC$7:$CC$1843,CC1186,$AU$7:$AU$1843,AU1186,$BT$7:$BT$1843,"&lt;="&amp;BT1186),"")</f>
        <v>25258.087774984</v>
      </c>
      <c r="AW1186" s="58" t="n">
        <f aca="false">IF(AV1186="",0,MAX(0,MIN(1,(IF(CC1186="L1",Parameter!$H$5,IF(CC1186="L23",Parameter!$H$6+Parameter!$H$7,Parameter!$H$5+Parameter!$H$6+Parameter!$H$7))-(AV1186-AR1186))/AR1186)))</f>
        <v>1</v>
      </c>
      <c r="AX1186" s="50" t="n">
        <f aca="false">IF(LEFT(Cockpit!$O$5,1)="A",H1186,IF(CE1186=1,CF1186,IF(LEFT(Cockpit!$O$5,1)="B",BC1186,MAX(BC1186,H1186))))</f>
        <v>8</v>
      </c>
      <c r="AY1186" s="50" t="n">
        <f aca="false">IF(BW1186=1,0,ROUNDUP(AX1186/BV1186,0))</f>
        <v>1</v>
      </c>
      <c r="AZ1186" s="52" t="n">
        <f aca="false">IF(CL1186&gt;0,CL1186*MAX(1,AX1186/X1186),IF(BW1186=1,IF(AX1186&lt;=0,0,CA1186*MAX(1,IF(H1186&gt;0,AX1186/H1186,1))),IF(R1186&gt;0,AY1186/R1186,0))/MAX(0.1,N(Parameter!$M$21)))</f>
        <v>0.0833333333333333</v>
      </c>
      <c r="BA1186" s="50" t="n">
        <f aca="false">AZ1186*BY1186</f>
        <v>12.0833333333333</v>
      </c>
      <c r="BB1186" s="50" t="n">
        <f aca="false">AX1186*G1186</f>
        <v>3144.08</v>
      </c>
      <c r="BC1186" s="50" t="n">
        <f aca="false">ROUNDUP(MAX(J1186/IF(CD1186&gt;0,CD1186,MAX(0.1,N(Cockpit!$O$6))),CG1186)/BV1186,0)*BV1186</f>
        <v>8</v>
      </c>
      <c r="BD1186" s="51" t="n">
        <f aca="false">IF(BA1186&gt;0,J1186/BA1186,-1)</f>
        <v>0.0827586206896552</v>
      </c>
      <c r="BE1186" s="51" t="n">
        <f aca="false">IF(AND(OR(CC1186="L1",CC1186="L23",CC1186="LIFT"),BA1186&gt;0),SUMIFS($BA$7:$BA$1843,$CC$7:$CC$1843,CC1186,$BD$7:$BD$1843,"&gt;"&amp;BD1186)+SUMIFS($BA$7:$BA$1843,$CC$7:$CC$1843,CC1186,$BD$7:$BD$1843,BD1186,$BT$7:$BT$1843,"&lt;="&amp;BT1186),"")</f>
        <v>23460.5998168498</v>
      </c>
      <c r="BF1186" s="58" t="n">
        <f aca="false">IF(BE1186="",0,MAX(0,MIN(1,(IF(CC1186="L1",Parameter!$H$5,IF(CC1186="L23",Parameter!$H$6+Parameter!$H$7,Parameter!$H$5+Parameter!$H$6+Parameter!$H$7))-(BE1186-BA1186))/BA1186)))</f>
        <v>1</v>
      </c>
      <c r="BG1186" s="48" t="str">
        <f aca="false">IF(AI1186&lt;=0,"",IF(CC1186="Aussen","Aussenlager",IF(CC1186="-","Nicht im Lift",IF(AN1186&gt;=1,"Lift",IF(AN1186&lt;=0,"Aussenlager","teilweise")))))</f>
        <v>Lift</v>
      </c>
      <c r="BH1186" s="48" t="str">
        <f aca="false">IF(AR1186&lt;=0,"",IF(CC1186="Aussen","Aussenlager",IF(CC1186="-","Nicht im Lift",IF(AW1186&gt;=1,"Lift",IF(AW1186&lt;=0,"Aussenlager","teilweise")))))</f>
        <v>Lift</v>
      </c>
      <c r="BI1186" s="48" t="str">
        <f aca="false">IF(BA1186&lt;=0,"",IF(CC1186="Aussen","Aussenlager",IF(CC1186="-","Nicht im Lift",IF(BF1186&gt;=1,"Lift",IF(BF1186&lt;=0,"Aussenlager","teilweise")))))</f>
        <v>Lift</v>
      </c>
      <c r="BJ1186" s="48" t="str">
        <f aca="false">IF(A1186="","",IF(BS1186=1,"Neu; ","")&amp;IF(AND(BS1186=0,BN1186&lt;0),"negativer Bestand (Export "&amp;BN1186&amp;"); ","")&amp;IF(J1186&lt;=0,"Kein Verbrauch; ","")&amp;IF(CL1186&gt;0,"Lift "&amp;W1186&amp;" lt. Liftbericht (Fach "&amp;X1186&amp;" Stk); ",IF(BX1186=1,"Gebinde geschätzt ("&amp;T1186&amp;"); ",IF(BW1186=1,"Lose – Tablare geschätzt; ","")))&amp;IF(H1186&gt;AT1186,"Überbestand "&amp;ROUND(H1186-AT1186,0)&amp;" Stk / CHF "&amp;ROUND((H1186-AT1186)*G1186,0)&amp;"; ","")&amp;IF(AND(CE1186=1,CF1186&lt;CG1186),"MAX &lt; MB+LG; ","")&amp;IF(AND(CK1186&gt;0,CJ1186*10&gt;CK1186),"zu hoch für Tablar; ","")&amp;IF(AND(BS1186=0,OR(CE1186=1,AA1186&lt;&gt;"",U1186&lt;&gt;"",V1186&lt;&gt;"",AB1186&lt;&gt;"")),"manuell übersteuert; ","")&amp;IF(AND(BW1186=0,R1186=0),"Gebinde unbekannt / Stellmass fehlt; ","")&amp;IF(AND(BW1186=0,N(V1186)&lt;=0,N(Q1186)&lt;=0),"Menge pro Gebinde fehlt (Ist = 1 Gebinde); ","")&amp;BR1186)</f>
        <v>negativer Bestand (Export -1); Gebinde geschätzt (Mittel); Menge pro Gebinde fehlt (Ist = 1 Gebinde); </v>
      </c>
      <c r="BK1186" s="48"/>
      <c r="BL1186" s="48"/>
      <c r="BM1186" s="55"/>
      <c r="BN1186" s="50" t="n">
        <v>-1</v>
      </c>
      <c r="BO1186" s="50" t="n">
        <v>9</v>
      </c>
      <c r="BP1186" s="49" t="n">
        <v>-393.01</v>
      </c>
      <c r="BQ1186" s="50" t="n">
        <v>1</v>
      </c>
      <c r="BR1186" s="48"/>
      <c r="BS1186" s="53" t="n">
        <v>0</v>
      </c>
      <c r="BT1186" s="53" t="n">
        <v>1186</v>
      </c>
      <c r="BU1186" s="48" t="str">
        <f aca="false">IF(U1186&lt;&gt;"",UPPER(TRIM(U1186)),IF(BX1186=1,UPPER(VLOOKUP(T1186,Parameter!$I$27:$K$29,2,0)),IF(P1186="","LOSE",P1186)))</f>
        <v>S61</v>
      </c>
      <c r="BV1186" s="50" t="n">
        <f aca="false">IF(BU1186="LOSE",1,IF(N(V1186)&gt;0,V1186,IF(BX1186=1,MAX(1,N(VLOOKUP(T1186,Parameter!$I$27:$K$29,3,0)),H1186,N(N1186)),IF(N(Q1186)&gt;0,Q1186,MAX(1,H1186)))))</f>
        <v>8</v>
      </c>
      <c r="BW1186" s="53" t="n">
        <f aca="false">IF(BU1186="LOSE",1,0)</f>
        <v>0</v>
      </c>
      <c r="BX1186" s="53" t="n">
        <f aca="false">IF(AND(U1186="",OR(P1186="",P1186="LOSE"),T1186&lt;&gt;"",N(S1186)&lt;=0,ISNUMBER(MATCH(T1186,Parameter!$I$27:$I$29,0))),1,0)</f>
        <v>1</v>
      </c>
      <c r="BY1186" s="53" t="n">
        <f aca="false">IF(CL1186&gt;0,INDEX(Parameter!$H$5:$H$7,W1186)/INDEX(Parameter!$E$5:$E$7,W1186),IF(AND(BW1186=0,N(IFERROR(VLOOKUP(BU1186,'Gebinde-Kategorie'!$A$5:$N$45,14,0),0))&gt;0),VLOOKUP(BU1186,'Gebinde-Kategorie'!$A$5:$N$45,14,0)*10+Parameter!$M$23,Parameter!$M$24))</f>
        <v>145</v>
      </c>
      <c r="BZ1186" s="48" t="str">
        <f aca="false">IF(AND(Parameter!$B$19="Ja",E1186&lt;&gt;"",ISNUMBER(MATCH(E1186,Parameter!$I$35:$I$52,0))),VLOOKUP(E1186,Parameter!$I$35:$J$52,2,0),IFERROR(VLOOKUP(D1186,Parameter!$A$35:$C$64,2,0),"Nein"))</f>
        <v>2+3</v>
      </c>
      <c r="CA1186" s="52" t="n">
        <f aca="false">IF(BW1186=0,0,IF(N(S1186)&gt;0,S1186,IFERROR(VLOOKUP(D1186,Parameter!$A$35:$C$64,3,0)+0,0)))</f>
        <v>0</v>
      </c>
      <c r="CB1186" s="48" t="n">
        <f aca="false">IF(AA1186&lt;&gt;"",AA1186,Z1186)</f>
        <v>2</v>
      </c>
      <c r="CC1186" s="48" t="str">
        <f aca="false">IF(OR(CB1186=1,CB1186=2,CB1186=3),IF(Parameter!$E$27="Ja","LIFT",IF(CB1186=1,"L1","L23")),IF(CB1186="Aussen","Aussen","-"))</f>
        <v>LIFT</v>
      </c>
      <c r="CD1186" s="59" t="n">
        <f aca="false">IF(N(AB1186)&gt;0,AB1186,0)</f>
        <v>0</v>
      </c>
      <c r="CE1186" s="53" t="n">
        <f aca="false">IF(ISNUMBER(AE1186),1,0)</f>
        <v>0</v>
      </c>
      <c r="CF1186" s="50" t="n">
        <f aca="false">N(AE1186)</f>
        <v>0</v>
      </c>
      <c r="CG1186" s="50" t="n">
        <f aca="false">N(M1186)+N(N1186)</f>
        <v>1</v>
      </c>
      <c r="CH1186" s="50" t="n">
        <f aca="false">ROUNDUP(H1186/BV1186,0)</f>
        <v>1</v>
      </c>
      <c r="CI1186" s="50" t="n">
        <f aca="false">ROUNDUP(CF1186/BV1186,0)</f>
        <v>0</v>
      </c>
      <c r="CJ1186" s="53" t="n">
        <f aca="false">IF(BW1186=1,0,IFERROR(VLOOKUP(BU1186,'Gebinde-Kategorie'!$A$5:$N$45,5,0)+0,0))</f>
        <v>11</v>
      </c>
      <c r="CK1186" s="53" t="n">
        <f aca="false">IFERROR(IF(OR(CB1186=1,CB1186=2,CB1186=3),N(INDEX(Parameter!$I$5:$I$7,CB1186)),0),0)</f>
        <v>0</v>
      </c>
      <c r="CL1186" s="52" t="n">
        <f aca="false">IF(AND(Parameter!$B$21="Ja",ISNUMBER(W1186),N(X1186)&gt;0),IFERROR(N(INDEX(Parameter!$L$5:$L$7,W1186))*INDEX(Parameter!$E$5:$E$7,W1186)*X1186/SUMIFS($X$7:$X$1843,$W$7:$W$1843,W1186),0),0)</f>
        <v>0</v>
      </c>
    </row>
    <row r="1187" customFormat="false" ht="15" hidden="false" customHeight="false" outlineLevel="0" collapsed="false">
      <c r="A1187" s="48" t="s">
        <v>2140</v>
      </c>
      <c r="B1187" s="48" t="s">
        <v>2141</v>
      </c>
      <c r="C1187" s="48" t="s">
        <v>168</v>
      </c>
      <c r="D1187" s="48" t="s">
        <v>177</v>
      </c>
      <c r="E1187" s="48"/>
      <c r="F1187" s="48" t="s">
        <v>222</v>
      </c>
      <c r="G1187" s="49" t="n">
        <v>46.89</v>
      </c>
      <c r="H1187" s="50" t="n">
        <f aca="false">MAX(0,IF(AND(Parameter!$B$21="Ja",ISNUMBER(Y1187)),Y1187,IF(Parameter!$B$20="Jahresanfang 2025 + Export",BO1187+BN1187,BN1187)))</f>
        <v>7</v>
      </c>
      <c r="I1187" s="50" t="n">
        <f aca="false">H1187*G1187</f>
        <v>328.23</v>
      </c>
      <c r="J1187" s="50" t="n">
        <f aca="false">BQ1187*Parameter!$B$18</f>
        <v>12</v>
      </c>
      <c r="K1187" s="51" t="n">
        <v>11.5</v>
      </c>
      <c r="L1187" s="52" t="n">
        <v>1.04347826086957</v>
      </c>
      <c r="M1187" s="50" t="n">
        <v>1</v>
      </c>
      <c r="N1187" s="50" t="n">
        <v>10</v>
      </c>
      <c r="O1187" s="53" t="n">
        <v>42</v>
      </c>
      <c r="P1187" s="48" t="s">
        <v>172</v>
      </c>
      <c r="Q1187" s="50"/>
      <c r="R1187" s="53" t="n">
        <f aca="false">IF(BW1187=1,0,IFERROR(VLOOKUP(BU1187,'Gebinde-Kategorie'!$A$5:$N$45,13,0)+0,0))</f>
        <v>12</v>
      </c>
      <c r="S1187" s="54"/>
      <c r="T1187" s="55" t="s">
        <v>183</v>
      </c>
      <c r="U1187" s="55"/>
      <c r="V1187" s="55"/>
      <c r="W1187" s="48"/>
      <c r="X1187" s="50"/>
      <c r="Y1187" s="50"/>
      <c r="Z1187" s="48" t="n">
        <f aca="false">IF(A1187="","",IF(AND(Parameter!$B$21="Ja",ISNUMBER(W1187)),W1187,IF(BZ1187="2+3",IF(ISNUMBER(SEARCH("grosser Artikel",BR1187)),2,IFERROR(VLOOKUP(BU1187,Parameter!$F$35:$G$64,2,0),2)),IF(OR(BZ1187="Nein",BZ1187=""),"-",BZ1187))))</f>
        <v>2</v>
      </c>
      <c r="AA1187" s="55"/>
      <c r="AB1187" s="56"/>
      <c r="AC1187" s="50" t="n">
        <f aca="false">AT1187</f>
        <v>20</v>
      </c>
      <c r="AD1187" s="50" t="n">
        <f aca="false">MAX(AT1187,H1187)</f>
        <v>20</v>
      </c>
      <c r="AE1187" s="57"/>
      <c r="AF1187" s="50" t="n">
        <f aca="false">IF(LEFT(Cockpit!$C$5,1)="A",H1187,IF(CE1187=1,CF1187,IF(LEFT(Cockpit!$C$5,1)="B",AK1187,MAX(AK1187,H1187))))</f>
        <v>7</v>
      </c>
      <c r="AG1187" s="50" t="n">
        <f aca="false">IF(BW1187=1,0,ROUNDUP(AF1187/BV1187,0))</f>
        <v>1</v>
      </c>
      <c r="AH1187" s="52" t="n">
        <f aca="false">IF(CL1187&gt;0,CL1187*MAX(1,AF1187/X1187),IF(BW1187=1,IF(AF1187&lt;=0,0,CA1187*MAX(1,IF(H1187&gt;0,AF1187/H1187,1))),IF(R1187&gt;0,AG1187/R1187,0))/MAX(0.1,N(Parameter!$M$21)))</f>
        <v>0.0833333333333333</v>
      </c>
      <c r="AI1187" s="50" t="n">
        <f aca="false">AH1187*BY1187</f>
        <v>12.0833333333333</v>
      </c>
      <c r="AJ1187" s="50" t="n">
        <f aca="false">AF1187*G1187</f>
        <v>328.23</v>
      </c>
      <c r="AK1187" s="50" t="n">
        <f aca="false">ROUNDUP(MAX(J1187/IF(CD1187&gt;0,CD1187,MAX(0.1,N(Cockpit!$C$6))),CG1187)/BV1187,0)*BV1187</f>
        <v>20</v>
      </c>
      <c r="AL1187" s="51" t="n">
        <f aca="false">IF(AI1187&gt;0,J1187/AI1187,-1)</f>
        <v>0.993103448275862</v>
      </c>
      <c r="AM1187" s="51" t="n">
        <f aca="false">IF(AND(OR(CC1187="L1",CC1187="L23",CC1187="LIFT"),AI1187&gt;0),SUMIFS($AI$7:$AI$1843,$CC$7:$CC$1843,CC1187,$AL$7:$AL$1843,"&gt;"&amp;AL1187)+SUMIFS($AI$7:$AI$1843,$CC$7:$CC$1843,CC1187,$AL$7:$AL$1843,AL1187,$BT$7:$BT$1843,"&lt;="&amp;BT1187),"")</f>
        <v>7074.60943223443</v>
      </c>
      <c r="AN1187" s="58" t="n">
        <f aca="false">IF(AM1187="",0,MAX(0,MIN(1,(IF(CC1187="L1",Parameter!$H$5,IF(CC1187="L23",Parameter!$H$6+Parameter!$H$7,Parameter!$H$5+Parameter!$H$6+Parameter!$H$7))-(AM1187-AI1187))/AI1187)))</f>
        <v>1</v>
      </c>
      <c r="AO1187" s="50" t="n">
        <f aca="false">IF(LEFT(Cockpit!$I$5,1)="A",H1187,IF(CE1187=1,CF1187,IF(LEFT(Cockpit!$I$5,1)="B",AT1187,MAX(AT1187,H1187))))</f>
        <v>20</v>
      </c>
      <c r="AP1187" s="50" t="n">
        <f aca="false">IF(BW1187=1,0,ROUNDUP(AO1187/BV1187,0))</f>
        <v>2</v>
      </c>
      <c r="AQ1187" s="52" t="n">
        <f aca="false">IF(CL1187&gt;0,CL1187*MAX(1,AO1187/X1187),IF(BW1187=1,IF(AO1187&lt;=0,0,CA1187*MAX(1,IF(H1187&gt;0,AO1187/H1187,1))),IF(R1187&gt;0,AP1187/R1187,0))/MAX(0.1,N(Parameter!$M$21)))</f>
        <v>0.166666666666667</v>
      </c>
      <c r="AR1187" s="50" t="n">
        <f aca="false">AQ1187*BY1187</f>
        <v>24.1666666666667</v>
      </c>
      <c r="AS1187" s="50" t="n">
        <f aca="false">AO1187*G1187</f>
        <v>937.8</v>
      </c>
      <c r="AT1187" s="50" t="n">
        <f aca="false">ROUNDUP(MAX(J1187/IF(CD1187&gt;0,CD1187,MAX(0.1,N(Cockpit!$I$6))),CG1187)/BV1187,0)*BV1187</f>
        <v>20</v>
      </c>
      <c r="AU1187" s="51" t="n">
        <f aca="false">IF(AR1187&gt;0,J1187/AR1187,-1)</f>
        <v>0.496551724137931</v>
      </c>
      <c r="AV1187" s="51" t="n">
        <f aca="false">IF(AND(OR(CC1187="L1",CC1187="L23",CC1187="LIFT"),AR1187&gt;0),SUMIFS($AR$7:$AR$1843,$CC$7:$CC$1843,CC1187,$AU$7:$AU$1843,"&gt;"&amp;AU1187)+SUMIFS($AR$7:$AR$1843,$CC$7:$CC$1843,CC1187,$AU$7:$AU$1843,AU1187,$BT$7:$BT$1843,"&lt;="&amp;BT1187),"")</f>
        <v>14102.6735347985</v>
      </c>
      <c r="AW1187" s="58" t="n">
        <f aca="false">IF(AV1187="",0,MAX(0,MIN(1,(IF(CC1187="L1",Parameter!$H$5,IF(CC1187="L23",Parameter!$H$6+Parameter!$H$7,Parameter!$H$5+Parameter!$H$6+Parameter!$H$7))-(AV1187-AR1187))/AR1187)))</f>
        <v>1</v>
      </c>
      <c r="AX1187" s="50" t="n">
        <f aca="false">IF(LEFT(Cockpit!$O$5,1)="A",H1187,IF(CE1187=1,CF1187,IF(LEFT(Cockpit!$O$5,1)="B",BC1187,MAX(BC1187,H1187))))</f>
        <v>20</v>
      </c>
      <c r="AY1187" s="50" t="n">
        <f aca="false">IF(BW1187=1,0,ROUNDUP(AX1187/BV1187,0))</f>
        <v>2</v>
      </c>
      <c r="AZ1187" s="52" t="n">
        <f aca="false">IF(CL1187&gt;0,CL1187*MAX(1,AX1187/X1187),IF(BW1187=1,IF(AX1187&lt;=0,0,CA1187*MAX(1,IF(H1187&gt;0,AX1187/H1187,1))),IF(R1187&gt;0,AY1187/R1187,0))/MAX(0.1,N(Parameter!$M$21)))</f>
        <v>0.166666666666667</v>
      </c>
      <c r="BA1187" s="50" t="n">
        <f aca="false">AZ1187*BY1187</f>
        <v>24.1666666666667</v>
      </c>
      <c r="BB1187" s="50" t="n">
        <f aca="false">AX1187*G1187</f>
        <v>937.8</v>
      </c>
      <c r="BC1187" s="50" t="n">
        <f aca="false">ROUNDUP(MAX(J1187/IF(CD1187&gt;0,CD1187,MAX(0.1,N(Cockpit!$O$6))),CG1187)/BV1187,0)*BV1187</f>
        <v>20</v>
      </c>
      <c r="BD1187" s="51" t="n">
        <f aca="false">IF(BA1187&gt;0,J1187/BA1187,-1)</f>
        <v>0.496551724137931</v>
      </c>
      <c r="BE1187" s="51" t="n">
        <f aca="false">IF(AND(OR(CC1187="L1",CC1187="L23",CC1187="LIFT"),BA1187&gt;0),SUMIFS($BA$7:$BA$1843,$CC$7:$CC$1843,CC1187,$BD$7:$BD$1843,"&gt;"&amp;BD1187)+SUMIFS($BA$7:$BA$1843,$CC$7:$CC$1843,CC1187,$BD$7:$BD$1843,BD1187,$BT$7:$BT$1843,"&lt;="&amp;BT1187),"")</f>
        <v>13098.3305860806</v>
      </c>
      <c r="BF1187" s="58" t="n">
        <f aca="false">IF(BE1187="",0,MAX(0,MIN(1,(IF(CC1187="L1",Parameter!$H$5,IF(CC1187="L23",Parameter!$H$6+Parameter!$H$7,Parameter!$H$5+Parameter!$H$6+Parameter!$H$7))-(BE1187-BA1187))/BA1187)))</f>
        <v>1</v>
      </c>
      <c r="BG1187" s="48" t="str">
        <f aca="false">IF(AI1187&lt;=0,"",IF(CC1187="Aussen","Aussenlager",IF(CC1187="-","Nicht im Lift",IF(AN1187&gt;=1,"Lift",IF(AN1187&lt;=0,"Aussenlager","teilweise")))))</f>
        <v>Lift</v>
      </c>
      <c r="BH1187" s="48" t="str">
        <f aca="false">IF(AR1187&lt;=0,"",IF(CC1187="Aussen","Aussenlager",IF(CC1187="-","Nicht im Lift",IF(AW1187&gt;=1,"Lift",IF(AW1187&lt;=0,"Aussenlager","teilweise")))))</f>
        <v>Lift</v>
      </c>
      <c r="BI1187" s="48" t="str">
        <f aca="false">IF(BA1187&lt;=0,"",IF(CC1187="Aussen","Aussenlager",IF(CC1187="-","Nicht im Lift",IF(BF1187&gt;=1,"Lift",IF(BF1187&lt;=0,"Aussenlager","teilweise")))))</f>
        <v>Lift</v>
      </c>
      <c r="BJ1187" s="48" t="str">
        <f aca="false">IF(A1187="","",IF(BS1187=1,"Neu; ","")&amp;IF(AND(BS1187=0,BN1187&lt;0),"negativer Bestand (Export "&amp;BN1187&amp;"); ","")&amp;IF(J1187&lt;=0,"Kein Verbrauch; ","")&amp;IF(CL1187&gt;0,"Lift "&amp;W1187&amp;" lt. Liftbericht (Fach "&amp;X1187&amp;" Stk); ",IF(BX1187=1,"Gebinde geschätzt ("&amp;T1187&amp;"); ",IF(BW1187=1,"Lose – Tablare geschätzt; ","")))&amp;IF(H1187&gt;AT1187,"Überbestand "&amp;ROUND(H1187-AT1187,0)&amp;" Stk / CHF "&amp;ROUND((H1187-AT1187)*G1187,0)&amp;"; ","")&amp;IF(AND(CE1187=1,CF1187&lt;CG1187),"MAX &lt; MB+LG; ","")&amp;IF(AND(CK1187&gt;0,CJ1187*10&gt;CK1187),"zu hoch für Tablar; ","")&amp;IF(AND(BS1187=0,OR(CE1187=1,AA1187&lt;&gt;"",U1187&lt;&gt;"",V1187&lt;&gt;"",AB1187&lt;&gt;"")),"manuell übersteuert; ","")&amp;IF(AND(BW1187=0,R1187=0),"Gebinde unbekannt / Stellmass fehlt; ","")&amp;IF(AND(BW1187=0,N(V1187)&lt;=0,N(Q1187)&lt;=0),"Menge pro Gebinde fehlt (Ist = 1 Gebinde); ","")&amp;BR1187)</f>
        <v>negativer Bestand (Export -7); Gebinde geschätzt (Mittel); Menge pro Gebinde fehlt (Ist = 1 Gebinde); </v>
      </c>
      <c r="BK1187" s="48"/>
      <c r="BL1187" s="48"/>
      <c r="BM1187" s="55"/>
      <c r="BN1187" s="50" t="n">
        <v>-7</v>
      </c>
      <c r="BO1187" s="50" t="n">
        <v>14</v>
      </c>
      <c r="BP1187" s="49" t="n">
        <v>-410.27</v>
      </c>
      <c r="BQ1187" s="50" t="n">
        <v>12</v>
      </c>
      <c r="BR1187" s="48"/>
      <c r="BS1187" s="53" t="n">
        <v>0</v>
      </c>
      <c r="BT1187" s="53" t="n">
        <v>1187</v>
      </c>
      <c r="BU1187" s="48" t="str">
        <f aca="false">IF(U1187&lt;&gt;"",UPPER(TRIM(U1187)),IF(BX1187=1,UPPER(VLOOKUP(T1187,Parameter!$I$27:$K$29,2,0)),IF(P1187="","LOSE",P1187)))</f>
        <v>S61</v>
      </c>
      <c r="BV1187" s="50" t="n">
        <f aca="false">IF(BU1187="LOSE",1,IF(N(V1187)&gt;0,V1187,IF(BX1187=1,MAX(1,N(VLOOKUP(T1187,Parameter!$I$27:$K$29,3,0)),H1187,N(N1187)),IF(N(Q1187)&gt;0,Q1187,MAX(1,H1187)))))</f>
        <v>10</v>
      </c>
      <c r="BW1187" s="53" t="n">
        <f aca="false">IF(BU1187="LOSE",1,0)</f>
        <v>0</v>
      </c>
      <c r="BX1187" s="53" t="n">
        <f aca="false">IF(AND(U1187="",OR(P1187="",P1187="LOSE"),T1187&lt;&gt;"",N(S1187)&lt;=0,ISNUMBER(MATCH(T1187,Parameter!$I$27:$I$29,0))),1,0)</f>
        <v>1</v>
      </c>
      <c r="BY1187" s="53" t="n">
        <f aca="false">IF(CL1187&gt;0,INDEX(Parameter!$H$5:$H$7,W1187)/INDEX(Parameter!$E$5:$E$7,W1187),IF(AND(BW1187=0,N(IFERROR(VLOOKUP(BU1187,'Gebinde-Kategorie'!$A$5:$N$45,14,0),0))&gt;0),VLOOKUP(BU1187,'Gebinde-Kategorie'!$A$5:$N$45,14,0)*10+Parameter!$M$23,Parameter!$M$24))</f>
        <v>145</v>
      </c>
      <c r="BZ1187" s="48" t="str">
        <f aca="false">IF(AND(Parameter!$B$19="Ja",E1187&lt;&gt;"",ISNUMBER(MATCH(E1187,Parameter!$I$35:$I$52,0))),VLOOKUP(E1187,Parameter!$I$35:$J$52,2,0),IFERROR(VLOOKUP(D1187,Parameter!$A$35:$C$64,2,0),"Nein"))</f>
        <v>2+3</v>
      </c>
      <c r="CA1187" s="52" t="n">
        <f aca="false">IF(BW1187=0,0,IF(N(S1187)&gt;0,S1187,IFERROR(VLOOKUP(D1187,Parameter!$A$35:$C$64,3,0)+0,0)))</f>
        <v>0</v>
      </c>
      <c r="CB1187" s="48" t="n">
        <f aca="false">IF(AA1187&lt;&gt;"",AA1187,Z1187)</f>
        <v>2</v>
      </c>
      <c r="CC1187" s="48" t="str">
        <f aca="false">IF(OR(CB1187=1,CB1187=2,CB1187=3),IF(Parameter!$E$27="Ja","LIFT",IF(CB1187=1,"L1","L23")),IF(CB1187="Aussen","Aussen","-"))</f>
        <v>LIFT</v>
      </c>
      <c r="CD1187" s="59" t="n">
        <f aca="false">IF(N(AB1187)&gt;0,AB1187,0)</f>
        <v>0</v>
      </c>
      <c r="CE1187" s="53" t="n">
        <f aca="false">IF(ISNUMBER(AE1187),1,0)</f>
        <v>0</v>
      </c>
      <c r="CF1187" s="50" t="n">
        <f aca="false">N(AE1187)</f>
        <v>0</v>
      </c>
      <c r="CG1187" s="50" t="n">
        <f aca="false">N(M1187)+N(N1187)</f>
        <v>11</v>
      </c>
      <c r="CH1187" s="50" t="n">
        <f aca="false">ROUNDUP(H1187/BV1187,0)</f>
        <v>1</v>
      </c>
      <c r="CI1187" s="50" t="n">
        <f aca="false">ROUNDUP(CF1187/BV1187,0)</f>
        <v>0</v>
      </c>
      <c r="CJ1187" s="53" t="n">
        <f aca="false">IF(BW1187=1,0,IFERROR(VLOOKUP(BU1187,'Gebinde-Kategorie'!$A$5:$N$45,5,0)+0,0))</f>
        <v>11</v>
      </c>
      <c r="CK1187" s="53" t="n">
        <f aca="false">IFERROR(IF(OR(CB1187=1,CB1187=2,CB1187=3),N(INDEX(Parameter!$I$5:$I$7,CB1187)),0),0)</f>
        <v>0</v>
      </c>
      <c r="CL1187" s="52" t="n">
        <f aca="false">IF(AND(Parameter!$B$21="Ja",ISNUMBER(W1187),N(X1187)&gt;0),IFERROR(N(INDEX(Parameter!$L$5:$L$7,W1187))*INDEX(Parameter!$E$5:$E$7,W1187)*X1187/SUMIFS($X$7:$X$1843,$W$7:$W$1843,W1187),0),0)</f>
        <v>0</v>
      </c>
    </row>
    <row r="1188" customFormat="false" ht="15" hidden="false" customHeight="false" outlineLevel="0" collapsed="false">
      <c r="A1188" s="48" t="s">
        <v>2142</v>
      </c>
      <c r="B1188" s="48" t="s">
        <v>2143</v>
      </c>
      <c r="C1188" s="48" t="s">
        <v>168</v>
      </c>
      <c r="D1188" s="48" t="s">
        <v>177</v>
      </c>
      <c r="E1188" s="48" t="s">
        <v>469</v>
      </c>
      <c r="F1188" s="48" t="s">
        <v>222</v>
      </c>
      <c r="G1188" s="49" t="n">
        <v>457</v>
      </c>
      <c r="H1188" s="50" t="n">
        <f aca="false">MAX(0,IF(AND(Parameter!$B$21="Ja",ISNUMBER(Y1188)),Y1188,IF(Parameter!$B$20="Jahresanfang 2025 + Export",BO1188+BN1188,BN1188)))</f>
        <v>1</v>
      </c>
      <c r="I1188" s="50" t="n">
        <f aca="false">H1188*G1188</f>
        <v>457</v>
      </c>
      <c r="J1188" s="50" t="n">
        <f aca="false">BQ1188*Parameter!$B$18</f>
        <v>3</v>
      </c>
      <c r="K1188" s="51" t="n">
        <v>1.5</v>
      </c>
      <c r="L1188" s="52" t="n">
        <v>2</v>
      </c>
      <c r="M1188" s="50" t="n">
        <v>0</v>
      </c>
      <c r="N1188" s="50" t="n">
        <v>5</v>
      </c>
      <c r="O1188" s="53" t="n">
        <v>21</v>
      </c>
      <c r="P1188" s="48" t="s">
        <v>172</v>
      </c>
      <c r="Q1188" s="50"/>
      <c r="R1188" s="53" t="n">
        <f aca="false">IF(BW1188=1,0,IFERROR(VLOOKUP(BU1188,'Gebinde-Kategorie'!$A$5:$N$45,13,0)+0,0))</f>
        <v>12</v>
      </c>
      <c r="S1188" s="54"/>
      <c r="T1188" s="55" t="s">
        <v>183</v>
      </c>
      <c r="U1188" s="55"/>
      <c r="V1188" s="55"/>
      <c r="W1188" s="48"/>
      <c r="X1188" s="50"/>
      <c r="Y1188" s="50"/>
      <c r="Z1188" s="48" t="str">
        <f aca="false">IF(A1188="","",IF(AND(Parameter!$B$21="Ja",ISNUMBER(W1188)),W1188,IF(BZ1188="2+3",IF(ISNUMBER(SEARCH("grosser Artikel",BR1188)),2,IFERROR(VLOOKUP(BU1188,Parameter!$F$35:$G$64,2,0),2)),IF(OR(BZ1188="Nein",BZ1188=""),"-",BZ1188))))</f>
        <v>-</v>
      </c>
      <c r="AA1188" s="55"/>
      <c r="AB1188" s="56"/>
      <c r="AC1188" s="50" t="n">
        <f aca="false">AT1188</f>
        <v>5</v>
      </c>
      <c r="AD1188" s="50" t="n">
        <f aca="false">MAX(AT1188,H1188)</f>
        <v>5</v>
      </c>
      <c r="AE1188" s="57"/>
      <c r="AF1188" s="50" t="n">
        <f aca="false">IF(LEFT(Cockpit!$C$5,1)="A",H1188,IF(CE1188=1,CF1188,IF(LEFT(Cockpit!$C$5,1)="B",AK1188,MAX(AK1188,H1188))))</f>
        <v>1</v>
      </c>
      <c r="AG1188" s="50" t="n">
        <f aca="false">IF(BW1188=1,0,ROUNDUP(AF1188/BV1188,0))</f>
        <v>1</v>
      </c>
      <c r="AH1188" s="52" t="n">
        <f aca="false">IF(CL1188&gt;0,CL1188*MAX(1,AF1188/X1188),IF(BW1188=1,IF(AF1188&lt;=0,0,CA1188*MAX(1,IF(H1188&gt;0,AF1188/H1188,1))),IF(R1188&gt;0,AG1188/R1188,0))/MAX(0.1,N(Parameter!$M$21)))</f>
        <v>0.0833333333333333</v>
      </c>
      <c r="AI1188" s="50" t="n">
        <f aca="false">AH1188*BY1188</f>
        <v>12.0833333333333</v>
      </c>
      <c r="AJ1188" s="50" t="n">
        <f aca="false">AF1188*G1188</f>
        <v>457</v>
      </c>
      <c r="AK1188" s="50" t="n">
        <f aca="false">ROUNDUP(MAX(J1188/IF(CD1188&gt;0,CD1188,MAX(0.1,N(Cockpit!$C$6))),CG1188)/BV1188,0)*BV1188</f>
        <v>5</v>
      </c>
      <c r="AL1188" s="51" t="n">
        <f aca="false">IF(AI1188&gt;0,J1188/AI1188,-1)</f>
        <v>0.248275862068966</v>
      </c>
      <c r="AM1188" s="51" t="str">
        <f aca="false">IF(AND(OR(CC1188="L1",CC1188="L23",CC1188="LIFT"),AI1188&gt;0),SUMIFS($AI$7:$AI$1843,$CC$7:$CC$1843,CC1188,$AL$7:$AL$1843,"&gt;"&amp;AL1188)+SUMIFS($AI$7:$AI$1843,$CC$7:$CC$1843,CC1188,$AL$7:$AL$1843,AL1188,$BT$7:$BT$1843,"&lt;="&amp;BT1188),"")</f>
        <v/>
      </c>
      <c r="AN1188" s="58" t="n">
        <f aca="false">IF(AM1188="",0,MAX(0,MIN(1,(IF(CC1188="L1",Parameter!$H$5,IF(CC1188="L23",Parameter!$H$6+Parameter!$H$7,Parameter!$H$5+Parameter!$H$6+Parameter!$H$7))-(AM1188-AI1188))/AI1188)))</f>
        <v>0</v>
      </c>
      <c r="AO1188" s="50" t="n">
        <f aca="false">IF(LEFT(Cockpit!$I$5,1)="A",H1188,IF(CE1188=1,CF1188,IF(LEFT(Cockpit!$I$5,1)="B",AT1188,MAX(AT1188,H1188))))</f>
        <v>5</v>
      </c>
      <c r="AP1188" s="50" t="n">
        <f aca="false">IF(BW1188=1,0,ROUNDUP(AO1188/BV1188,0))</f>
        <v>1</v>
      </c>
      <c r="AQ1188" s="52" t="n">
        <f aca="false">IF(CL1188&gt;0,CL1188*MAX(1,AO1188/X1188),IF(BW1188=1,IF(AO1188&lt;=0,0,CA1188*MAX(1,IF(H1188&gt;0,AO1188/H1188,1))),IF(R1188&gt;0,AP1188/R1188,0))/MAX(0.1,N(Parameter!$M$21)))</f>
        <v>0.0833333333333333</v>
      </c>
      <c r="AR1188" s="50" t="n">
        <f aca="false">AQ1188*BY1188</f>
        <v>12.0833333333333</v>
      </c>
      <c r="AS1188" s="50" t="n">
        <f aca="false">AO1188*G1188</f>
        <v>2285</v>
      </c>
      <c r="AT1188" s="50" t="n">
        <f aca="false">ROUNDUP(MAX(J1188/IF(CD1188&gt;0,CD1188,MAX(0.1,N(Cockpit!$I$6))),CG1188)/BV1188,0)*BV1188</f>
        <v>5</v>
      </c>
      <c r="AU1188" s="51" t="n">
        <f aca="false">IF(AR1188&gt;0,J1188/AR1188,-1)</f>
        <v>0.248275862068966</v>
      </c>
      <c r="AV1188" s="51" t="str">
        <f aca="false">IF(AND(OR(CC1188="L1",CC1188="L23",CC1188="LIFT"),AR1188&gt;0),SUMIFS($AR$7:$AR$1843,$CC$7:$CC$1843,CC1188,$AU$7:$AU$1843,"&gt;"&amp;AU1188)+SUMIFS($AR$7:$AR$1843,$CC$7:$CC$1843,CC1188,$AU$7:$AU$1843,AU1188,$BT$7:$BT$1843,"&lt;="&amp;BT1188),"")</f>
        <v/>
      </c>
      <c r="AW1188" s="58" t="n">
        <f aca="false">IF(AV1188="",0,MAX(0,MIN(1,(IF(CC1188="L1",Parameter!$H$5,IF(CC1188="L23",Parameter!$H$6+Parameter!$H$7,Parameter!$H$5+Parameter!$H$6+Parameter!$H$7))-(AV1188-AR1188))/AR1188)))</f>
        <v>0</v>
      </c>
      <c r="AX1188" s="50" t="n">
        <f aca="false">IF(LEFT(Cockpit!$O$5,1)="A",H1188,IF(CE1188=1,CF1188,IF(LEFT(Cockpit!$O$5,1)="B",BC1188,MAX(BC1188,H1188))))</f>
        <v>5</v>
      </c>
      <c r="AY1188" s="50" t="n">
        <f aca="false">IF(BW1188=1,0,ROUNDUP(AX1188/BV1188,0))</f>
        <v>1</v>
      </c>
      <c r="AZ1188" s="52" t="n">
        <f aca="false">IF(CL1188&gt;0,CL1188*MAX(1,AX1188/X1188),IF(BW1188=1,IF(AX1188&lt;=0,0,CA1188*MAX(1,IF(H1188&gt;0,AX1188/H1188,1))),IF(R1188&gt;0,AY1188/R1188,0))/MAX(0.1,N(Parameter!$M$21)))</f>
        <v>0.0833333333333333</v>
      </c>
      <c r="BA1188" s="50" t="n">
        <f aca="false">AZ1188*BY1188</f>
        <v>12.0833333333333</v>
      </c>
      <c r="BB1188" s="50" t="n">
        <f aca="false">AX1188*G1188</f>
        <v>2285</v>
      </c>
      <c r="BC1188" s="50" t="n">
        <f aca="false">ROUNDUP(MAX(J1188/IF(CD1188&gt;0,CD1188,MAX(0.1,N(Cockpit!$O$6))),CG1188)/BV1188,0)*BV1188</f>
        <v>5</v>
      </c>
      <c r="BD1188" s="51" t="n">
        <f aca="false">IF(BA1188&gt;0,J1188/BA1188,-1)</f>
        <v>0.248275862068966</v>
      </c>
      <c r="BE1188" s="51" t="str">
        <f aca="false">IF(AND(OR(CC1188="L1",CC1188="L23",CC1188="LIFT"),BA1188&gt;0),SUMIFS($BA$7:$BA$1843,$CC$7:$CC$1843,CC1188,$BD$7:$BD$1843,"&gt;"&amp;BD1188)+SUMIFS($BA$7:$BA$1843,$CC$7:$CC$1843,CC1188,$BD$7:$BD$1843,BD1188,$BT$7:$BT$1843,"&lt;="&amp;BT1188),"")</f>
        <v/>
      </c>
      <c r="BF1188" s="58" t="n">
        <f aca="false">IF(BE1188="",0,MAX(0,MIN(1,(IF(CC1188="L1",Parameter!$H$5,IF(CC1188="L23",Parameter!$H$6+Parameter!$H$7,Parameter!$H$5+Parameter!$H$6+Parameter!$H$7))-(BE1188-BA1188))/BA1188)))</f>
        <v>0</v>
      </c>
      <c r="BG1188" s="48" t="str">
        <f aca="false">IF(AI1188&lt;=0,"",IF(CC1188="Aussen","Aussenlager",IF(CC1188="-","Nicht im Lift",IF(AN1188&gt;=1,"Lift",IF(AN1188&lt;=0,"Aussenlager","teilweise")))))</f>
        <v>Nicht im Lift</v>
      </c>
      <c r="BH1188" s="48" t="str">
        <f aca="false">IF(AR1188&lt;=0,"",IF(CC1188="Aussen","Aussenlager",IF(CC1188="-","Nicht im Lift",IF(AW1188&gt;=1,"Lift",IF(AW1188&lt;=0,"Aussenlager","teilweise")))))</f>
        <v>Nicht im Lift</v>
      </c>
      <c r="BI1188" s="48" t="str">
        <f aca="false">IF(BA1188&lt;=0,"",IF(CC1188="Aussen","Aussenlager",IF(CC1188="-","Nicht im Lift",IF(BF1188&gt;=1,"Lift",IF(BF1188&lt;=0,"Aussenlager","teilweise")))))</f>
        <v>Nicht im Lift</v>
      </c>
      <c r="BJ1188" s="48" t="str">
        <f aca="false">IF(A1188="","",IF(BS1188=1,"Neu; ","")&amp;IF(AND(BS1188=0,BN1188&lt;0),"negativer Bestand (Export "&amp;BN1188&amp;"); ","")&amp;IF(J1188&lt;=0,"Kein Verbrauch; ","")&amp;IF(CL1188&gt;0,"Lift "&amp;W1188&amp;" lt. Liftbericht (Fach "&amp;X1188&amp;" Stk); ",IF(BX1188=1,"Gebinde geschätzt ("&amp;T1188&amp;"); ",IF(BW1188=1,"Lose – Tablare geschätzt; ","")))&amp;IF(H1188&gt;AT1188,"Überbestand "&amp;ROUND(H1188-AT1188,0)&amp;" Stk / CHF "&amp;ROUND((H1188-AT1188)*G1188,0)&amp;"; ","")&amp;IF(AND(CE1188=1,CF1188&lt;CG1188),"MAX &lt; MB+LG; ","")&amp;IF(AND(CK1188&gt;0,CJ1188*10&gt;CK1188),"zu hoch für Tablar; ","")&amp;IF(AND(BS1188=0,OR(CE1188=1,AA1188&lt;&gt;"",U1188&lt;&gt;"",V1188&lt;&gt;"",AB1188&lt;&gt;"")),"manuell übersteuert; ","")&amp;IF(AND(BW1188=0,R1188=0),"Gebinde unbekannt / Stellmass fehlt; ","")&amp;IF(AND(BW1188=0,N(V1188)&lt;=0,N(Q1188)&lt;=0),"Menge pro Gebinde fehlt (Ist = 1 Gebinde); ","")&amp;BR1188)</f>
        <v>negativer Bestand (Export -1); Gebinde geschätzt (Mittel); Menge pro Gebinde fehlt (Ist = 1 Gebinde); </v>
      </c>
      <c r="BK1188" s="48"/>
      <c r="BL1188" s="48"/>
      <c r="BM1188" s="55"/>
      <c r="BN1188" s="50" t="n">
        <v>-1</v>
      </c>
      <c r="BO1188" s="50" t="n">
        <v>2</v>
      </c>
      <c r="BP1188" s="49" t="n">
        <v>-412.34</v>
      </c>
      <c r="BQ1188" s="50" t="n">
        <v>3</v>
      </c>
      <c r="BR1188" s="48"/>
      <c r="BS1188" s="53" t="n">
        <v>0</v>
      </c>
      <c r="BT1188" s="53" t="n">
        <v>1188</v>
      </c>
      <c r="BU1188" s="48" t="str">
        <f aca="false">IF(U1188&lt;&gt;"",UPPER(TRIM(U1188)),IF(BX1188=1,UPPER(VLOOKUP(T1188,Parameter!$I$27:$K$29,2,0)),IF(P1188="","LOSE",P1188)))</f>
        <v>S61</v>
      </c>
      <c r="BV1188" s="50" t="n">
        <f aca="false">IF(BU1188="LOSE",1,IF(N(V1188)&gt;0,V1188,IF(BX1188=1,MAX(1,N(VLOOKUP(T1188,Parameter!$I$27:$K$29,3,0)),H1188,N(N1188)),IF(N(Q1188)&gt;0,Q1188,MAX(1,H1188)))))</f>
        <v>5</v>
      </c>
      <c r="BW1188" s="53" t="n">
        <f aca="false">IF(BU1188="LOSE",1,0)</f>
        <v>0</v>
      </c>
      <c r="BX1188" s="53" t="n">
        <f aca="false">IF(AND(U1188="",OR(P1188="",P1188="LOSE"),T1188&lt;&gt;"",N(S1188)&lt;=0,ISNUMBER(MATCH(T1188,Parameter!$I$27:$I$29,0))),1,0)</f>
        <v>1</v>
      </c>
      <c r="BY1188" s="53" t="n">
        <f aca="false">IF(CL1188&gt;0,INDEX(Parameter!$H$5:$H$7,W1188)/INDEX(Parameter!$E$5:$E$7,W1188),IF(AND(BW1188=0,N(IFERROR(VLOOKUP(BU1188,'Gebinde-Kategorie'!$A$5:$N$45,14,0),0))&gt;0),VLOOKUP(BU1188,'Gebinde-Kategorie'!$A$5:$N$45,14,0)*10+Parameter!$M$23,Parameter!$M$24))</f>
        <v>145</v>
      </c>
      <c r="BZ1188" s="48" t="str">
        <f aca="false">IF(AND(Parameter!$B$19="Ja",E1188&lt;&gt;"",ISNUMBER(MATCH(E1188,Parameter!$I$35:$I$52,0))),VLOOKUP(E1188,Parameter!$I$35:$J$52,2,0),IFERROR(VLOOKUP(D1188,Parameter!$A$35:$C$64,2,0),"Nein"))</f>
        <v>Nein</v>
      </c>
      <c r="CA1188" s="52" t="n">
        <f aca="false">IF(BW1188=0,0,IF(N(S1188)&gt;0,S1188,IFERROR(VLOOKUP(D1188,Parameter!$A$35:$C$64,3,0)+0,0)))</f>
        <v>0</v>
      </c>
      <c r="CB1188" s="48" t="str">
        <f aca="false">IF(AA1188&lt;&gt;"",AA1188,Z1188)</f>
        <v>-</v>
      </c>
      <c r="CC1188" s="48" t="str">
        <f aca="false">IF(OR(CB1188=1,CB1188=2,CB1188=3),IF(Parameter!$E$27="Ja","LIFT",IF(CB1188=1,"L1","L23")),IF(CB1188="Aussen","Aussen","-"))</f>
        <v>-</v>
      </c>
      <c r="CD1188" s="59" t="n">
        <f aca="false">IF(N(AB1188)&gt;0,AB1188,0)</f>
        <v>0</v>
      </c>
      <c r="CE1188" s="53" t="n">
        <f aca="false">IF(ISNUMBER(AE1188),1,0)</f>
        <v>0</v>
      </c>
      <c r="CF1188" s="50" t="n">
        <f aca="false">N(AE1188)</f>
        <v>0</v>
      </c>
      <c r="CG1188" s="50" t="n">
        <f aca="false">N(M1188)+N(N1188)</f>
        <v>5</v>
      </c>
      <c r="CH1188" s="50" t="n">
        <f aca="false">ROUNDUP(H1188/BV1188,0)</f>
        <v>1</v>
      </c>
      <c r="CI1188" s="50" t="n">
        <f aca="false">ROUNDUP(CF1188/BV1188,0)</f>
        <v>0</v>
      </c>
      <c r="CJ1188" s="53" t="n">
        <f aca="false">IF(BW1188=1,0,IFERROR(VLOOKUP(BU1188,'Gebinde-Kategorie'!$A$5:$N$45,5,0)+0,0))</f>
        <v>11</v>
      </c>
      <c r="CK1188" s="53" t="n">
        <f aca="false">IFERROR(IF(OR(CB1188=1,CB1188=2,CB1188=3),N(INDEX(Parameter!$I$5:$I$7,CB1188)),0),0)</f>
        <v>0</v>
      </c>
      <c r="CL1188" s="52" t="n">
        <f aca="false">IF(AND(Parameter!$B$21="Ja",ISNUMBER(W1188),N(X1188)&gt;0),IFERROR(N(INDEX(Parameter!$L$5:$L$7,W1188))*INDEX(Parameter!$E$5:$E$7,W1188)*X1188/SUMIFS($X$7:$X$1843,$W$7:$W$1843,W1188),0),0)</f>
        <v>0</v>
      </c>
    </row>
    <row r="1189" customFormat="false" ht="15" hidden="false" customHeight="false" outlineLevel="0" collapsed="false">
      <c r="A1189" s="48" t="s">
        <v>2144</v>
      </c>
      <c r="B1189" s="48" t="s">
        <v>1499</v>
      </c>
      <c r="C1189" s="48" t="s">
        <v>168</v>
      </c>
      <c r="D1189" s="48" t="s">
        <v>188</v>
      </c>
      <c r="E1189" s="48"/>
      <c r="F1189" s="48" t="s">
        <v>222</v>
      </c>
      <c r="G1189" s="49" t="n">
        <v>2.2</v>
      </c>
      <c r="H1189" s="50" t="n">
        <f aca="false">MAX(0,IF(AND(Parameter!$B$21="Ja",ISNUMBER(Y1189)),Y1189,IF(Parameter!$B$20="Jahresanfang 2025 + Export",BO1189+BN1189,BN1189)))</f>
        <v>792</v>
      </c>
      <c r="I1189" s="50" t="n">
        <f aca="false">H1189*G1189</f>
        <v>1742.4</v>
      </c>
      <c r="J1189" s="50" t="n">
        <f aca="false">BQ1189*Parameter!$B$18</f>
        <v>118</v>
      </c>
      <c r="K1189" s="51" t="n">
        <v>936</v>
      </c>
      <c r="L1189" s="52" t="n">
        <v>0.126068376068376</v>
      </c>
      <c r="M1189" s="50" t="n">
        <v>6</v>
      </c>
      <c r="N1189" s="50" t="n">
        <v>120</v>
      </c>
      <c r="O1189" s="53" t="n">
        <v>21</v>
      </c>
      <c r="P1189" s="48" t="s">
        <v>405</v>
      </c>
      <c r="Q1189" s="50" t="n">
        <v>800</v>
      </c>
      <c r="R1189" s="53" t="n">
        <f aca="false">IF(BW1189=1,0,IFERROR(VLOOKUP(BU1189,'Gebinde-Kategorie'!$A$5:$N$45,13,0)+0,0))</f>
        <v>280</v>
      </c>
      <c r="S1189" s="54"/>
      <c r="T1189" s="55"/>
      <c r="U1189" s="55"/>
      <c r="V1189" s="55"/>
      <c r="W1189" s="48"/>
      <c r="X1189" s="50"/>
      <c r="Y1189" s="50"/>
      <c r="Z1189" s="48" t="n">
        <f aca="false">IF(A1189="","",IF(AND(Parameter!$B$21="Ja",ISNUMBER(W1189)),W1189,IF(BZ1189="2+3",IF(ISNUMBER(SEARCH("grosser Artikel",BR1189)),2,IFERROR(VLOOKUP(BU1189,Parameter!$F$35:$G$64,2,0),2)),IF(OR(BZ1189="Nein",BZ1189=""),"-",BZ1189))))</f>
        <v>3</v>
      </c>
      <c r="AA1189" s="55"/>
      <c r="AB1189" s="56"/>
      <c r="AC1189" s="50" t="n">
        <f aca="false">AT1189</f>
        <v>800</v>
      </c>
      <c r="AD1189" s="50" t="n">
        <f aca="false">MAX(AT1189,H1189)</f>
        <v>800</v>
      </c>
      <c r="AE1189" s="57"/>
      <c r="AF1189" s="50" t="n">
        <f aca="false">IF(LEFT(Cockpit!$C$5,1)="A",H1189,IF(CE1189=1,CF1189,IF(LEFT(Cockpit!$C$5,1)="B",AK1189,MAX(AK1189,H1189))))</f>
        <v>792</v>
      </c>
      <c r="AG1189" s="50" t="n">
        <f aca="false">IF(BW1189=1,0,ROUNDUP(AF1189/BV1189,0))</f>
        <v>1</v>
      </c>
      <c r="AH1189" s="52" t="n">
        <f aca="false">IF(CL1189&gt;0,CL1189*MAX(1,AF1189/X1189),IF(BW1189=1,IF(AF1189&lt;=0,0,CA1189*MAX(1,IF(H1189&gt;0,AF1189/H1189,1))),IF(R1189&gt;0,AG1189/R1189,0))/MAX(0.1,N(Parameter!$M$21)))</f>
        <v>0.00357142857142857</v>
      </c>
      <c r="AI1189" s="50" t="n">
        <f aca="false">AH1189*BY1189</f>
        <v>0.553571428571429</v>
      </c>
      <c r="AJ1189" s="50" t="n">
        <f aca="false">AF1189*G1189</f>
        <v>1742.4</v>
      </c>
      <c r="AK1189" s="50" t="n">
        <f aca="false">ROUNDUP(MAX(J1189/IF(CD1189&gt;0,CD1189,MAX(0.1,N(Cockpit!$C$6))),CG1189)/BV1189,0)*BV1189</f>
        <v>800</v>
      </c>
      <c r="AL1189" s="51" t="n">
        <f aca="false">IF(AI1189&gt;0,J1189/AI1189,-1)</f>
        <v>213.161290322581</v>
      </c>
      <c r="AM1189" s="51" t="n">
        <f aca="false">IF(AND(OR(CC1189="L1",CC1189="L23",CC1189="LIFT"),AI1189&gt;0),SUMIFS($AI$7:$AI$1843,$CC$7:$CC$1843,CC1189,$AL$7:$AL$1843,"&gt;"&amp;AL1189)+SUMIFS($AI$7:$AI$1843,$CC$7:$CC$1843,CC1189,$AL$7:$AL$1843,AL1189,$BT$7:$BT$1843,"&lt;="&amp;BT1189),"")</f>
        <v>323.012820512821</v>
      </c>
      <c r="AN1189" s="58" t="n">
        <f aca="false">IF(AM1189="",0,MAX(0,MIN(1,(IF(CC1189="L1",Parameter!$H$5,IF(CC1189="L23",Parameter!$H$6+Parameter!$H$7,Parameter!$H$5+Parameter!$H$6+Parameter!$H$7))-(AM1189-AI1189))/AI1189)))</f>
        <v>1</v>
      </c>
      <c r="AO1189" s="50" t="n">
        <f aca="false">IF(LEFT(Cockpit!$I$5,1)="A",H1189,IF(CE1189=1,CF1189,IF(LEFT(Cockpit!$I$5,1)="B",AT1189,MAX(AT1189,H1189))))</f>
        <v>800</v>
      </c>
      <c r="AP1189" s="50" t="n">
        <f aca="false">IF(BW1189=1,0,ROUNDUP(AO1189/BV1189,0))</f>
        <v>1</v>
      </c>
      <c r="AQ1189" s="52" t="n">
        <f aca="false">IF(CL1189&gt;0,CL1189*MAX(1,AO1189/X1189),IF(BW1189=1,IF(AO1189&lt;=0,0,CA1189*MAX(1,IF(H1189&gt;0,AO1189/H1189,1))),IF(R1189&gt;0,AP1189/R1189,0))/MAX(0.1,N(Parameter!$M$21)))</f>
        <v>0.00357142857142857</v>
      </c>
      <c r="AR1189" s="50" t="n">
        <f aca="false">AQ1189*BY1189</f>
        <v>0.553571428571429</v>
      </c>
      <c r="AS1189" s="50" t="n">
        <f aca="false">AO1189*G1189</f>
        <v>1760</v>
      </c>
      <c r="AT1189" s="50" t="n">
        <f aca="false">ROUNDUP(MAX(J1189/IF(CD1189&gt;0,CD1189,MAX(0.1,N(Cockpit!$I$6))),CG1189)/BV1189,0)*BV1189</f>
        <v>800</v>
      </c>
      <c r="AU1189" s="51" t="n">
        <f aca="false">IF(AR1189&gt;0,J1189/AR1189,-1)</f>
        <v>213.161290322581</v>
      </c>
      <c r="AV1189" s="51" t="n">
        <f aca="false">IF(AND(OR(CC1189="L1",CC1189="L23",CC1189="LIFT"),AR1189&gt;0),SUMIFS($AR$7:$AR$1843,$CC$7:$CC$1843,CC1189,$AU$7:$AU$1843,"&gt;"&amp;AU1189)+SUMIFS($AR$7:$AR$1843,$CC$7:$CC$1843,CC1189,$AU$7:$AU$1843,AU1189,$BT$7:$BT$1843,"&lt;="&amp;BT1189),"")</f>
        <v>350.630952380952</v>
      </c>
      <c r="AW1189" s="58" t="n">
        <f aca="false">IF(AV1189="",0,MAX(0,MIN(1,(IF(CC1189="L1",Parameter!$H$5,IF(CC1189="L23",Parameter!$H$6+Parameter!$H$7,Parameter!$H$5+Parameter!$H$6+Parameter!$H$7))-(AV1189-AR1189))/AR1189)))</f>
        <v>1</v>
      </c>
      <c r="AX1189" s="50" t="n">
        <f aca="false">IF(LEFT(Cockpit!$O$5,1)="A",H1189,IF(CE1189=1,CF1189,IF(LEFT(Cockpit!$O$5,1)="B",BC1189,MAX(BC1189,H1189))))</f>
        <v>800</v>
      </c>
      <c r="AY1189" s="50" t="n">
        <f aca="false">IF(BW1189=1,0,ROUNDUP(AX1189/BV1189,0))</f>
        <v>1</v>
      </c>
      <c r="AZ1189" s="52" t="n">
        <f aca="false">IF(CL1189&gt;0,CL1189*MAX(1,AX1189/X1189),IF(BW1189=1,IF(AX1189&lt;=0,0,CA1189*MAX(1,IF(H1189&gt;0,AX1189/H1189,1))),IF(R1189&gt;0,AY1189/R1189,0))/MAX(0.1,N(Parameter!$M$21)))</f>
        <v>0.00357142857142857</v>
      </c>
      <c r="BA1189" s="50" t="n">
        <f aca="false">AZ1189*BY1189</f>
        <v>0.553571428571429</v>
      </c>
      <c r="BB1189" s="50" t="n">
        <f aca="false">AX1189*G1189</f>
        <v>1760</v>
      </c>
      <c r="BC1189" s="50" t="n">
        <f aca="false">ROUNDUP(MAX(J1189/IF(CD1189&gt;0,CD1189,MAX(0.1,N(Cockpit!$O$6))),CG1189)/BV1189,0)*BV1189</f>
        <v>800</v>
      </c>
      <c r="BD1189" s="51" t="n">
        <f aca="false">IF(BA1189&gt;0,J1189/BA1189,-1)</f>
        <v>213.161290322581</v>
      </c>
      <c r="BE1189" s="51" t="n">
        <f aca="false">IF(AND(OR(CC1189="L1",CC1189="L23",CC1189="LIFT"),BA1189&gt;0),SUMIFS($BA$7:$BA$1843,$CC$7:$CC$1843,CC1189,$BD$7:$BD$1843,"&gt;"&amp;BD1189)+SUMIFS($BA$7:$BA$1843,$CC$7:$CC$1843,CC1189,$BD$7:$BD$1843,BD1189,$BT$7:$BT$1843,"&lt;="&amp;BT1189),"")</f>
        <v>415.070054945055</v>
      </c>
      <c r="BF1189" s="58" t="n">
        <f aca="false">IF(BE1189="",0,MAX(0,MIN(1,(IF(CC1189="L1",Parameter!$H$5,IF(CC1189="L23",Parameter!$H$6+Parameter!$H$7,Parameter!$H$5+Parameter!$H$6+Parameter!$H$7))-(BE1189-BA1189))/BA1189)))</f>
        <v>1</v>
      </c>
      <c r="BG1189" s="48" t="str">
        <f aca="false">IF(AI1189&lt;=0,"",IF(CC1189="Aussen","Aussenlager",IF(CC1189="-","Nicht im Lift",IF(AN1189&gt;=1,"Lift",IF(AN1189&lt;=0,"Aussenlager","teilweise")))))</f>
        <v>Lift</v>
      </c>
      <c r="BH1189" s="48" t="str">
        <f aca="false">IF(AR1189&lt;=0,"",IF(CC1189="Aussen","Aussenlager",IF(CC1189="-","Nicht im Lift",IF(AW1189&gt;=1,"Lift",IF(AW1189&lt;=0,"Aussenlager","teilweise")))))</f>
        <v>Lift</v>
      </c>
      <c r="BI1189" s="48" t="str">
        <f aca="false">IF(BA1189&lt;=0,"",IF(CC1189="Aussen","Aussenlager",IF(CC1189="-","Nicht im Lift",IF(BF1189&gt;=1,"Lift",IF(BF1189&lt;=0,"Aussenlager","teilweise")))))</f>
        <v>Lift</v>
      </c>
      <c r="BJ1189" s="48" t="str">
        <f aca="false">IF(A1189="","",IF(BS1189=1,"Neu; ","")&amp;IF(AND(BS1189=0,BN1189&lt;0),"negativer Bestand (Export "&amp;BN1189&amp;"); ","")&amp;IF(J1189&lt;=0,"Kein Verbrauch; ","")&amp;IF(CL1189&gt;0,"Lift "&amp;W1189&amp;" lt. Liftbericht (Fach "&amp;X1189&amp;" Stk); ",IF(BX1189=1,"Gebinde geschätzt ("&amp;T1189&amp;"); ",IF(BW1189=1,"Lose – Tablare geschätzt; ","")))&amp;IF(H1189&gt;AT1189,"Überbestand "&amp;ROUND(H1189-AT1189,0)&amp;" Stk / CHF "&amp;ROUND((H1189-AT1189)*G1189,0)&amp;"; ","")&amp;IF(AND(CE1189=1,CF1189&lt;CG1189),"MAX &lt; MB+LG; ","")&amp;IF(AND(CK1189&gt;0,CJ1189*10&gt;CK1189),"zu hoch für Tablar; ","")&amp;IF(AND(BS1189=0,OR(CE1189=1,AA1189&lt;&gt;"",U1189&lt;&gt;"",V1189&lt;&gt;"",AB1189&lt;&gt;"")),"manuell übersteuert; ","")&amp;IF(AND(BW1189=0,R1189=0),"Gebinde unbekannt / Stellmass fehlt; ","")&amp;IF(AND(BW1189=0,N(V1189)&lt;=0,N(Q1189)&lt;=0),"Menge pro Gebinde fehlt (Ist = 1 Gebinde); ","")&amp;BR1189)</f>
        <v>negativer Bestand (Export -188); </v>
      </c>
      <c r="BK1189" s="48"/>
      <c r="BL1189" s="48"/>
      <c r="BM1189" s="55"/>
      <c r="BN1189" s="50" t="n">
        <v>-188</v>
      </c>
      <c r="BO1189" s="50" t="n">
        <v>980</v>
      </c>
      <c r="BP1189" s="49" t="n">
        <v>-413.6</v>
      </c>
      <c r="BQ1189" s="50" t="n">
        <v>118</v>
      </c>
      <c r="BR1189" s="48"/>
      <c r="BS1189" s="53" t="n">
        <v>0</v>
      </c>
      <c r="BT1189" s="53" t="n">
        <v>1189</v>
      </c>
      <c r="BU1189" s="48" t="str">
        <f aca="false">IF(U1189&lt;&gt;"",UPPER(TRIM(U1189)),IF(BX1189=1,UPPER(VLOOKUP(T1189,Parameter!$I$27:$K$29,2,0)),IF(P1189="","LOSE",P1189)))</f>
        <v>S21</v>
      </c>
      <c r="BV1189" s="50" t="n">
        <f aca="false">IF(BU1189="LOSE",1,IF(N(V1189)&gt;0,V1189,IF(BX1189=1,MAX(1,N(VLOOKUP(T1189,Parameter!$I$27:$K$29,3,0)),H1189,N(N1189)),IF(N(Q1189)&gt;0,Q1189,MAX(1,H1189)))))</f>
        <v>800</v>
      </c>
      <c r="BW1189" s="53" t="n">
        <f aca="false">IF(BU1189="LOSE",1,0)</f>
        <v>0</v>
      </c>
      <c r="BX1189" s="53" t="n">
        <f aca="false">IF(AND(U1189="",OR(P1189="",P1189="LOSE"),T1189&lt;&gt;"",N(S1189)&lt;=0,ISNUMBER(MATCH(T1189,Parameter!$I$27:$I$29,0))),1,0)</f>
        <v>0</v>
      </c>
      <c r="BY1189" s="53" t="n">
        <f aca="false">IF(CL1189&gt;0,INDEX(Parameter!$H$5:$H$7,W1189)/INDEX(Parameter!$E$5:$E$7,W1189),IF(AND(BW1189=0,N(IFERROR(VLOOKUP(BU1189,'Gebinde-Kategorie'!$A$5:$N$45,14,0),0))&gt;0),VLOOKUP(BU1189,'Gebinde-Kategorie'!$A$5:$N$45,14,0)*10+Parameter!$M$23,Parameter!$M$24))</f>
        <v>155</v>
      </c>
      <c r="BZ1189" s="48" t="str">
        <f aca="false">IF(AND(Parameter!$B$19="Ja",E1189&lt;&gt;"",ISNUMBER(MATCH(E1189,Parameter!$I$35:$I$52,0))),VLOOKUP(E1189,Parameter!$I$35:$J$52,2,0),IFERROR(VLOOKUP(D1189,Parameter!$A$35:$C$64,2,0),"Nein"))</f>
        <v>2+3</v>
      </c>
      <c r="CA1189" s="52" t="n">
        <f aca="false">IF(BW1189=0,0,IF(N(S1189)&gt;0,S1189,IFERROR(VLOOKUP(D1189,Parameter!$A$35:$C$64,3,0)+0,0)))</f>
        <v>0</v>
      </c>
      <c r="CB1189" s="48" t="n">
        <f aca="false">IF(AA1189&lt;&gt;"",AA1189,Z1189)</f>
        <v>3</v>
      </c>
      <c r="CC1189" s="48" t="str">
        <f aca="false">IF(OR(CB1189=1,CB1189=2,CB1189=3),IF(Parameter!$E$27="Ja","LIFT",IF(CB1189=1,"L1","L23")),IF(CB1189="Aussen","Aussen","-"))</f>
        <v>LIFT</v>
      </c>
      <c r="CD1189" s="59" t="n">
        <f aca="false">IF(N(AB1189)&gt;0,AB1189,0)</f>
        <v>0</v>
      </c>
      <c r="CE1189" s="53" t="n">
        <f aca="false">IF(ISNUMBER(AE1189),1,0)</f>
        <v>0</v>
      </c>
      <c r="CF1189" s="50" t="n">
        <f aca="false">N(AE1189)</f>
        <v>0</v>
      </c>
      <c r="CG1189" s="50" t="n">
        <f aca="false">N(M1189)+N(N1189)</f>
        <v>126</v>
      </c>
      <c r="CH1189" s="50" t="n">
        <f aca="false">ROUNDUP(H1189/BV1189,0)</f>
        <v>1</v>
      </c>
      <c r="CI1189" s="50" t="n">
        <f aca="false">ROUNDUP(CF1189/BV1189,0)</f>
        <v>0</v>
      </c>
      <c r="CJ1189" s="53" t="n">
        <f aca="false">IF(BW1189=1,0,IFERROR(VLOOKUP(BU1189,'Gebinde-Kategorie'!$A$5:$N$45,5,0)+0,0))</f>
        <v>8</v>
      </c>
      <c r="CK1189" s="53" t="n">
        <f aca="false">IFERROR(IF(OR(CB1189=1,CB1189=2,CB1189=3),N(INDEX(Parameter!$I$5:$I$7,CB1189)),0),0)</f>
        <v>0</v>
      </c>
      <c r="CL1189" s="52" t="n">
        <f aca="false">IF(AND(Parameter!$B$21="Ja",ISNUMBER(W1189),N(X1189)&gt;0),IFERROR(N(INDEX(Parameter!$L$5:$L$7,W1189))*INDEX(Parameter!$E$5:$E$7,W1189)*X1189/SUMIFS($X$7:$X$1843,$W$7:$W$1843,W1189),0),0)</f>
        <v>0</v>
      </c>
    </row>
    <row r="1190" customFormat="false" ht="15" hidden="false" customHeight="false" outlineLevel="0" collapsed="false">
      <c r="A1190" s="48" t="s">
        <v>2145</v>
      </c>
      <c r="B1190" s="48" t="s">
        <v>2146</v>
      </c>
      <c r="C1190" s="48" t="s">
        <v>168</v>
      </c>
      <c r="D1190" s="48" t="s">
        <v>188</v>
      </c>
      <c r="E1190" s="48"/>
      <c r="F1190" s="48" t="s">
        <v>222</v>
      </c>
      <c r="G1190" s="49" t="n">
        <v>14.3</v>
      </c>
      <c r="H1190" s="50" t="n">
        <f aca="false">MAX(0,IF(AND(Parameter!$B$21="Ja",ISNUMBER(Y1190)),Y1190,IF(Parameter!$B$20="Jahresanfang 2025 + Export",BO1190+BN1190,BN1190)))</f>
        <v>0</v>
      </c>
      <c r="I1190" s="50" t="n">
        <f aca="false">H1190*G1190</f>
        <v>0</v>
      </c>
      <c r="J1190" s="50" t="n">
        <f aca="false">BQ1190*Parameter!$B$18</f>
        <v>29</v>
      </c>
      <c r="K1190" s="51" t="n">
        <v>14.5</v>
      </c>
      <c r="L1190" s="52" t="n">
        <v>2</v>
      </c>
      <c r="M1190" s="50" t="n">
        <v>0</v>
      </c>
      <c r="N1190" s="50" t="n">
        <v>1</v>
      </c>
      <c r="O1190" s="53" t="n">
        <v>21</v>
      </c>
      <c r="P1190" s="48" t="s">
        <v>172</v>
      </c>
      <c r="Q1190" s="50"/>
      <c r="R1190" s="53" t="n">
        <f aca="false">IF(BW1190=1,0,IFERROR(VLOOKUP(BU1190,'Gebinde-Kategorie'!$A$5:$N$45,13,0)+0,0))</f>
        <v>4</v>
      </c>
      <c r="S1190" s="54"/>
      <c r="T1190" s="55" t="s">
        <v>193</v>
      </c>
      <c r="U1190" s="55"/>
      <c r="V1190" s="55"/>
      <c r="W1190" s="48"/>
      <c r="X1190" s="50"/>
      <c r="Y1190" s="50"/>
      <c r="Z1190" s="48" t="n">
        <f aca="false">IF(A1190="","",IF(AND(Parameter!$B$21="Ja",ISNUMBER(W1190)),W1190,IF(BZ1190="2+3",IF(ISNUMBER(SEARCH("grosser Artikel",BR1190)),2,IFERROR(VLOOKUP(BU1190,Parameter!$F$35:$G$64,2,0),2)),IF(OR(BZ1190="Nein",BZ1190=""),"-",BZ1190))))</f>
        <v>2</v>
      </c>
      <c r="AA1190" s="55"/>
      <c r="AB1190" s="56"/>
      <c r="AC1190" s="50" t="n">
        <f aca="false">AT1190</f>
        <v>16</v>
      </c>
      <c r="AD1190" s="50" t="n">
        <f aca="false">MAX(AT1190,H1190)</f>
        <v>16</v>
      </c>
      <c r="AE1190" s="57"/>
      <c r="AF1190" s="50" t="n">
        <f aca="false">IF(LEFT(Cockpit!$C$5,1)="A",H1190,IF(CE1190=1,CF1190,IF(LEFT(Cockpit!$C$5,1)="B",AK1190,MAX(AK1190,H1190))))</f>
        <v>0</v>
      </c>
      <c r="AG1190" s="50" t="n">
        <f aca="false">IF(BW1190=1,0,ROUNDUP(AF1190/BV1190,0))</f>
        <v>0</v>
      </c>
      <c r="AH1190" s="52" t="n">
        <f aca="false">IF(CL1190&gt;0,CL1190*MAX(1,AF1190/X1190),IF(BW1190=1,IF(AF1190&lt;=0,0,CA1190*MAX(1,IF(H1190&gt;0,AF1190/H1190,1))),IF(R1190&gt;0,AG1190/R1190,0))/MAX(0.1,N(Parameter!$M$21)))</f>
        <v>0</v>
      </c>
      <c r="AI1190" s="50" t="n">
        <f aca="false">AH1190*BY1190</f>
        <v>0</v>
      </c>
      <c r="AJ1190" s="50" t="n">
        <f aca="false">AF1190*G1190</f>
        <v>0</v>
      </c>
      <c r="AK1190" s="50" t="n">
        <f aca="false">ROUNDUP(MAX(J1190/IF(CD1190&gt;0,CD1190,MAX(0.1,N(Cockpit!$C$6))),CG1190)/BV1190,0)*BV1190</f>
        <v>16</v>
      </c>
      <c r="AL1190" s="51" t="n">
        <f aca="false">IF(AI1190&gt;0,J1190/AI1190,-1)</f>
        <v>-1</v>
      </c>
      <c r="AM1190" s="51" t="str">
        <f aca="false">IF(AND(OR(CC1190="L1",CC1190="L23",CC1190="LIFT"),AI1190&gt;0),SUMIFS($AI$7:$AI$1843,$CC$7:$CC$1843,CC1190,$AL$7:$AL$1843,"&gt;"&amp;AL1190)+SUMIFS($AI$7:$AI$1843,$CC$7:$CC$1843,CC1190,$AL$7:$AL$1843,AL1190,$BT$7:$BT$1843,"&lt;="&amp;BT1190),"")</f>
        <v/>
      </c>
      <c r="AN1190" s="58" t="n">
        <f aca="false">IF(AM1190="",0,MAX(0,MIN(1,(IF(CC1190="L1",Parameter!$H$5,IF(CC1190="L23",Parameter!$H$6+Parameter!$H$7,Parameter!$H$5+Parameter!$H$6+Parameter!$H$7))-(AM1190-AI1190))/AI1190)))</f>
        <v>0</v>
      </c>
      <c r="AO1190" s="50" t="n">
        <f aca="false">IF(LEFT(Cockpit!$I$5,1)="A",H1190,IF(CE1190=1,CF1190,IF(LEFT(Cockpit!$I$5,1)="B",AT1190,MAX(AT1190,H1190))))</f>
        <v>16</v>
      </c>
      <c r="AP1190" s="50" t="n">
        <f aca="false">IF(BW1190=1,0,ROUNDUP(AO1190/BV1190,0))</f>
        <v>8</v>
      </c>
      <c r="AQ1190" s="52" t="n">
        <f aca="false">IF(CL1190&gt;0,CL1190*MAX(1,AO1190/X1190),IF(BW1190=1,IF(AO1190&lt;=0,0,CA1190*MAX(1,IF(H1190&gt;0,AO1190/H1190,1))),IF(R1190&gt;0,AP1190/R1190,0))/MAX(0.1,N(Parameter!$M$21)))</f>
        <v>2</v>
      </c>
      <c r="AR1190" s="50" t="n">
        <f aca="false">AQ1190*BY1190</f>
        <v>470</v>
      </c>
      <c r="AS1190" s="50" t="n">
        <f aca="false">AO1190*G1190</f>
        <v>228.8</v>
      </c>
      <c r="AT1190" s="50" t="n">
        <f aca="false">ROUNDUP(MAX(J1190/IF(CD1190&gt;0,CD1190,MAX(0.1,N(Cockpit!$I$6))),CG1190)/BV1190,0)*BV1190</f>
        <v>16</v>
      </c>
      <c r="AU1190" s="51" t="n">
        <f aca="false">IF(AR1190&gt;0,J1190/AR1190,-1)</f>
        <v>0.0617021276595745</v>
      </c>
      <c r="AV1190" s="51" t="n">
        <f aca="false">IF(AND(OR(CC1190="L1",CC1190="L23",CC1190="LIFT"),AR1190&gt;0),SUMIFS($AR$7:$AR$1843,$CC$7:$CC$1843,CC1190,$AU$7:$AU$1843,"&gt;"&amp;AU1190)+SUMIFS($AR$7:$AR$1843,$CC$7:$CC$1843,CC1190,$AU$7:$AU$1843,AU1190,$BT$7:$BT$1843,"&lt;="&amp;BT1190),"")</f>
        <v>29502.7808432152</v>
      </c>
      <c r="AW1190" s="58" t="n">
        <f aca="false">IF(AV1190="",0,MAX(0,MIN(1,(IF(CC1190="L1",Parameter!$H$5,IF(CC1190="L23",Parameter!$H$6+Parameter!$H$7,Parameter!$H$5+Parameter!$H$6+Parameter!$H$7))-(AV1190-AR1190))/AR1190)))</f>
        <v>1</v>
      </c>
      <c r="AX1190" s="50" t="n">
        <f aca="false">IF(LEFT(Cockpit!$O$5,1)="A",H1190,IF(CE1190=1,CF1190,IF(LEFT(Cockpit!$O$5,1)="B",BC1190,MAX(BC1190,H1190))))</f>
        <v>10</v>
      </c>
      <c r="AY1190" s="50" t="n">
        <f aca="false">IF(BW1190=1,0,ROUNDUP(AX1190/BV1190,0))</f>
        <v>5</v>
      </c>
      <c r="AZ1190" s="52" t="n">
        <f aca="false">IF(CL1190&gt;0,CL1190*MAX(1,AX1190/X1190),IF(BW1190=1,IF(AX1190&lt;=0,0,CA1190*MAX(1,IF(H1190&gt;0,AX1190/H1190,1))),IF(R1190&gt;0,AY1190/R1190,0))/MAX(0.1,N(Parameter!$M$21)))</f>
        <v>1.25</v>
      </c>
      <c r="BA1190" s="50" t="n">
        <f aca="false">AZ1190*BY1190</f>
        <v>293.75</v>
      </c>
      <c r="BB1190" s="50" t="n">
        <f aca="false">AX1190*G1190</f>
        <v>143</v>
      </c>
      <c r="BC1190" s="50" t="n">
        <f aca="false">ROUNDUP(MAX(J1190/IF(CD1190&gt;0,CD1190,MAX(0.1,N(Cockpit!$O$6))),CG1190)/BV1190,0)*BV1190</f>
        <v>10</v>
      </c>
      <c r="BD1190" s="51" t="n">
        <f aca="false">IF(BA1190&gt;0,J1190/BA1190,-1)</f>
        <v>0.0987234042553192</v>
      </c>
      <c r="BE1190" s="51" t="n">
        <f aca="false">IF(AND(OR(CC1190="L1",CC1190="L23",CC1190="LIFT"),BA1190&gt;0),SUMIFS($BA$7:$BA$1843,$CC$7:$CC$1843,CC1190,$BD$7:$BD$1843,"&gt;"&amp;BD1190)+SUMIFS($BA$7:$BA$1843,$CC$7:$CC$1843,CC1190,$BD$7:$BD$1843,BD1190,$BT$7:$BT$1843,"&lt;="&amp;BT1190),"")</f>
        <v>22833.7446451853</v>
      </c>
      <c r="BF1190" s="58" t="n">
        <f aca="false">IF(BE1190="",0,MAX(0,MIN(1,(IF(CC1190="L1",Parameter!$H$5,IF(CC1190="L23",Parameter!$H$6+Parameter!$H$7,Parameter!$H$5+Parameter!$H$6+Parameter!$H$7))-(BE1190-BA1190))/BA1190)))</f>
        <v>1</v>
      </c>
      <c r="BG1190" s="48" t="str">
        <f aca="false">IF(AI1190&lt;=0,"",IF(CC1190="Aussen","Aussenlager",IF(CC1190="-","Nicht im Lift",IF(AN1190&gt;=1,"Lift",IF(AN1190&lt;=0,"Aussenlager","teilweise")))))</f>
        <v/>
      </c>
      <c r="BH1190" s="48" t="str">
        <f aca="false">IF(AR1190&lt;=0,"",IF(CC1190="Aussen","Aussenlager",IF(CC1190="-","Nicht im Lift",IF(AW1190&gt;=1,"Lift",IF(AW1190&lt;=0,"Aussenlager","teilweise")))))</f>
        <v>Lift</v>
      </c>
      <c r="BI1190" s="48" t="str">
        <f aca="false">IF(BA1190&lt;=0,"",IF(CC1190="Aussen","Aussenlager",IF(CC1190="-","Nicht im Lift",IF(BF1190&gt;=1,"Lift",IF(BF1190&lt;=0,"Aussenlager","teilweise")))))</f>
        <v>Lift</v>
      </c>
      <c r="BJ1190" s="48" t="str">
        <f aca="false">IF(A1190="","",IF(BS1190=1,"Neu; ","")&amp;IF(AND(BS1190=0,BN1190&lt;0),"negativer Bestand (Export "&amp;BN1190&amp;"); ","")&amp;IF(J1190&lt;=0,"Kein Verbrauch; ","")&amp;IF(CL1190&gt;0,"Lift "&amp;W1190&amp;" lt. Liftbericht (Fach "&amp;X1190&amp;" Stk); ",IF(BX1190=1,"Gebinde geschätzt ("&amp;T1190&amp;"); ",IF(BW1190=1,"Lose – Tablare geschätzt; ","")))&amp;IF(H1190&gt;AT1190,"Überbestand "&amp;ROUND(H1190-AT1190,0)&amp;" Stk / CHF "&amp;ROUND((H1190-AT1190)*G1190,0)&amp;"; ","")&amp;IF(AND(CE1190=1,CF1190&lt;CG1190),"MAX &lt; MB+LG; ","")&amp;IF(AND(CK1190&gt;0,CJ1190*10&gt;CK1190),"zu hoch für Tablar; ","")&amp;IF(AND(BS1190=0,OR(CE1190=1,AA1190&lt;&gt;"",U1190&lt;&gt;"",V1190&lt;&gt;"",AB1190&lt;&gt;"")),"manuell übersteuert; ","")&amp;IF(AND(BW1190=0,R1190=0),"Gebinde unbekannt / Stellmass fehlt; ","")&amp;IF(AND(BW1190=0,N(V1190)&lt;=0,N(Q1190)&lt;=0),"Menge pro Gebinde fehlt (Ist = 1 Gebinde); ","")&amp;BR1190)</f>
        <v>negativer Bestand (Export -29); Gebinde geschätzt (Gross); Menge pro Gebinde fehlt (Ist = 1 Gebinde); </v>
      </c>
      <c r="BK1190" s="48"/>
      <c r="BL1190" s="48"/>
      <c r="BM1190" s="55"/>
      <c r="BN1190" s="50" t="n">
        <v>-29</v>
      </c>
      <c r="BO1190" s="50" t="n">
        <v>29</v>
      </c>
      <c r="BP1190" s="49" t="n">
        <v>-414.7</v>
      </c>
      <c r="BQ1190" s="50" t="n">
        <v>29</v>
      </c>
      <c r="BR1190" s="48"/>
      <c r="BS1190" s="53" t="n">
        <v>0</v>
      </c>
      <c r="BT1190" s="53" t="n">
        <v>1190</v>
      </c>
      <c r="BU1190" s="48" t="str">
        <f aca="false">IF(U1190&lt;&gt;"",UPPER(TRIM(U1190)),IF(BX1190=1,UPPER(VLOOKUP(T1190,Parameter!$I$27:$K$29,2,0)),IF(P1190="","LOSE",P1190)))</f>
        <v>S81</v>
      </c>
      <c r="BV1190" s="50" t="n">
        <f aca="false">IF(BU1190="LOSE",1,IF(N(V1190)&gt;0,V1190,IF(BX1190=1,MAX(1,N(VLOOKUP(T1190,Parameter!$I$27:$K$29,3,0)),H1190,N(N1190)),IF(N(Q1190)&gt;0,Q1190,MAX(1,H1190)))))</f>
        <v>2</v>
      </c>
      <c r="BW1190" s="53" t="n">
        <f aca="false">IF(BU1190="LOSE",1,0)</f>
        <v>0</v>
      </c>
      <c r="BX1190" s="53" t="n">
        <f aca="false">IF(AND(U1190="",OR(P1190="",P1190="LOSE"),T1190&lt;&gt;"",N(S1190)&lt;=0,ISNUMBER(MATCH(T1190,Parameter!$I$27:$I$29,0))),1,0)</f>
        <v>1</v>
      </c>
      <c r="BY1190" s="53" t="n">
        <f aca="false">IF(CL1190&gt;0,INDEX(Parameter!$H$5:$H$7,W1190)/INDEX(Parameter!$E$5:$E$7,W1190),IF(AND(BW1190=0,N(IFERROR(VLOOKUP(BU1190,'Gebinde-Kategorie'!$A$5:$N$45,14,0),0))&gt;0),VLOOKUP(BU1190,'Gebinde-Kategorie'!$A$5:$N$45,14,0)*10+Parameter!$M$23,Parameter!$M$24))</f>
        <v>235</v>
      </c>
      <c r="BZ1190" s="48" t="str">
        <f aca="false">IF(AND(Parameter!$B$19="Ja",E1190&lt;&gt;"",ISNUMBER(MATCH(E1190,Parameter!$I$35:$I$52,0))),VLOOKUP(E1190,Parameter!$I$35:$J$52,2,0),IFERROR(VLOOKUP(D1190,Parameter!$A$35:$C$64,2,0),"Nein"))</f>
        <v>2+3</v>
      </c>
      <c r="CA1190" s="52" t="n">
        <f aca="false">IF(BW1190=0,0,IF(N(S1190)&gt;0,S1190,IFERROR(VLOOKUP(D1190,Parameter!$A$35:$C$64,3,0)+0,0)))</f>
        <v>0</v>
      </c>
      <c r="CB1190" s="48" t="n">
        <f aca="false">IF(AA1190&lt;&gt;"",AA1190,Z1190)</f>
        <v>2</v>
      </c>
      <c r="CC1190" s="48" t="str">
        <f aca="false">IF(OR(CB1190=1,CB1190=2,CB1190=3),IF(Parameter!$E$27="Ja","LIFT",IF(CB1190=1,"L1","L23")),IF(CB1190="Aussen","Aussen","-"))</f>
        <v>LIFT</v>
      </c>
      <c r="CD1190" s="59" t="n">
        <f aca="false">IF(N(AB1190)&gt;0,AB1190,0)</f>
        <v>0</v>
      </c>
      <c r="CE1190" s="53" t="n">
        <f aca="false">IF(ISNUMBER(AE1190),1,0)</f>
        <v>0</v>
      </c>
      <c r="CF1190" s="50" t="n">
        <f aca="false">N(AE1190)</f>
        <v>0</v>
      </c>
      <c r="CG1190" s="50" t="n">
        <f aca="false">N(M1190)+N(N1190)</f>
        <v>1</v>
      </c>
      <c r="CH1190" s="50" t="n">
        <f aca="false">ROUNDUP(H1190/BV1190,0)</f>
        <v>0</v>
      </c>
      <c r="CI1190" s="50" t="n">
        <f aca="false">ROUNDUP(CF1190/BV1190,0)</f>
        <v>0</v>
      </c>
      <c r="CJ1190" s="53" t="n">
        <f aca="false">IF(BW1190=1,0,IFERROR(VLOOKUP(BU1190,'Gebinde-Kategorie'!$A$5:$N$45,5,0)+0,0))</f>
        <v>20</v>
      </c>
      <c r="CK1190" s="53" t="n">
        <f aca="false">IFERROR(IF(OR(CB1190=1,CB1190=2,CB1190=3),N(INDEX(Parameter!$I$5:$I$7,CB1190)),0),0)</f>
        <v>0</v>
      </c>
      <c r="CL1190" s="52" t="n">
        <f aca="false">IF(AND(Parameter!$B$21="Ja",ISNUMBER(W1190),N(X1190)&gt;0),IFERROR(N(INDEX(Parameter!$L$5:$L$7,W1190))*INDEX(Parameter!$E$5:$E$7,W1190)*X1190/SUMIFS($X$7:$X$1843,$W$7:$W$1843,W1190),0),0)</f>
        <v>0</v>
      </c>
    </row>
    <row r="1191" customFormat="false" ht="15" hidden="false" customHeight="false" outlineLevel="0" collapsed="false">
      <c r="A1191" s="48" t="s">
        <v>2147</v>
      </c>
      <c r="B1191" s="48" t="s">
        <v>2148</v>
      </c>
      <c r="C1191" s="48" t="s">
        <v>168</v>
      </c>
      <c r="D1191" s="48" t="s">
        <v>188</v>
      </c>
      <c r="E1191" s="48"/>
      <c r="F1191" s="48" t="s">
        <v>222</v>
      </c>
      <c r="G1191" s="49" t="n">
        <v>142.18</v>
      </c>
      <c r="H1191" s="50" t="n">
        <f aca="false">MAX(0,IF(AND(Parameter!$B$21="Ja",ISNUMBER(Y1191)),Y1191,IF(Parameter!$B$20="Jahresanfang 2025 + Export",BO1191+BN1191,BN1191)))</f>
        <v>31</v>
      </c>
      <c r="I1191" s="50" t="n">
        <f aca="false">H1191*G1191</f>
        <v>4407.58</v>
      </c>
      <c r="J1191" s="50" t="n">
        <f aca="false">BQ1191*Parameter!$B$18</f>
        <v>0</v>
      </c>
      <c r="K1191" s="51" t="n">
        <v>33.5</v>
      </c>
      <c r="L1191" s="52" t="n">
        <v>0</v>
      </c>
      <c r="M1191" s="50" t="n">
        <v>0</v>
      </c>
      <c r="N1191" s="50" t="n">
        <v>1</v>
      </c>
      <c r="O1191" s="53" t="n">
        <v>28</v>
      </c>
      <c r="P1191" s="48" t="s">
        <v>306</v>
      </c>
      <c r="Q1191" s="50" t="n">
        <v>35</v>
      </c>
      <c r="R1191" s="53" t="n">
        <f aca="false">IF(BW1191=1,0,IFERROR(VLOOKUP(BU1191,'Gebinde-Kategorie'!$A$5:$N$45,13,0)+0,0))</f>
        <v>26</v>
      </c>
      <c r="S1191" s="54"/>
      <c r="T1191" s="55"/>
      <c r="U1191" s="55"/>
      <c r="V1191" s="55"/>
      <c r="W1191" s="48"/>
      <c r="X1191" s="50"/>
      <c r="Y1191" s="50"/>
      <c r="Z1191" s="48" t="n">
        <f aca="false">IF(A1191="","",IF(AND(Parameter!$B$21="Ja",ISNUMBER(W1191)),W1191,IF(BZ1191="2+3",IF(ISNUMBER(SEARCH("grosser Artikel",BR1191)),2,IFERROR(VLOOKUP(BU1191,Parameter!$F$35:$G$64,2,0),2)),IF(OR(BZ1191="Nein",BZ1191=""),"-",BZ1191))))</f>
        <v>3</v>
      </c>
      <c r="AA1191" s="55"/>
      <c r="AB1191" s="56"/>
      <c r="AC1191" s="50" t="n">
        <f aca="false">AT1191</f>
        <v>35</v>
      </c>
      <c r="AD1191" s="50" t="n">
        <f aca="false">MAX(AT1191,H1191)</f>
        <v>35</v>
      </c>
      <c r="AE1191" s="57"/>
      <c r="AF1191" s="50" t="n">
        <f aca="false">IF(LEFT(Cockpit!$C$5,1)="A",H1191,IF(CE1191=1,CF1191,IF(LEFT(Cockpit!$C$5,1)="B",AK1191,MAX(AK1191,H1191))))</f>
        <v>31</v>
      </c>
      <c r="AG1191" s="50" t="n">
        <f aca="false">IF(BW1191=1,0,ROUNDUP(AF1191/BV1191,0))</f>
        <v>1</v>
      </c>
      <c r="AH1191" s="52" t="n">
        <f aca="false">IF(CL1191&gt;0,CL1191*MAX(1,AF1191/X1191),IF(BW1191=1,IF(AF1191&lt;=0,0,CA1191*MAX(1,IF(H1191&gt;0,AF1191/H1191,1))),IF(R1191&gt;0,AG1191/R1191,0))/MAX(0.1,N(Parameter!$M$21)))</f>
        <v>0.0384615384615385</v>
      </c>
      <c r="AI1191" s="50" t="n">
        <f aca="false">AH1191*BY1191</f>
        <v>5.96153846153846</v>
      </c>
      <c r="AJ1191" s="50" t="n">
        <f aca="false">AF1191*G1191</f>
        <v>4407.58</v>
      </c>
      <c r="AK1191" s="50" t="n">
        <f aca="false">ROUNDUP(MAX(J1191/IF(CD1191&gt;0,CD1191,MAX(0.1,N(Cockpit!$C$6))),CG1191)/BV1191,0)*BV1191</f>
        <v>35</v>
      </c>
      <c r="AL1191" s="51" t="n">
        <f aca="false">IF(AI1191&gt;0,J1191/AI1191,-1)</f>
        <v>0</v>
      </c>
      <c r="AM1191" s="51" t="n">
        <f aca="false">IF(AND(OR(CC1191="L1",CC1191="L23",CC1191="LIFT"),AI1191&gt;0),SUMIFS($AI$7:$AI$1843,$CC$7:$CC$1843,CC1191,$AL$7:$AL$1843,"&gt;"&amp;AL1191)+SUMIFS($AI$7:$AI$1843,$CC$7:$CC$1843,CC1191,$AL$7:$AL$1843,AL1191,$BT$7:$BT$1843,"&lt;="&amp;BT1191),"")</f>
        <v>29407.4763586225</v>
      </c>
      <c r="AN1191" s="58" t="n">
        <f aca="false">IF(AM1191="",0,MAX(0,MIN(1,(IF(CC1191="L1",Parameter!$H$5,IF(CC1191="L23",Parameter!$H$6+Parameter!$H$7,Parameter!$H$5+Parameter!$H$6+Parameter!$H$7))-(AM1191-AI1191))/AI1191)))</f>
        <v>1</v>
      </c>
      <c r="AO1191" s="50" t="n">
        <f aca="false">IF(LEFT(Cockpit!$I$5,1)="A",H1191,IF(CE1191=1,CF1191,IF(LEFT(Cockpit!$I$5,1)="B",AT1191,MAX(AT1191,H1191))))</f>
        <v>35</v>
      </c>
      <c r="AP1191" s="50" t="n">
        <f aca="false">IF(BW1191=1,0,ROUNDUP(AO1191/BV1191,0))</f>
        <v>1</v>
      </c>
      <c r="AQ1191" s="52" t="n">
        <f aca="false">IF(CL1191&gt;0,CL1191*MAX(1,AO1191/X1191),IF(BW1191=1,IF(AO1191&lt;=0,0,CA1191*MAX(1,IF(H1191&gt;0,AO1191/H1191,1))),IF(R1191&gt;0,AP1191/R1191,0))/MAX(0.1,N(Parameter!$M$21)))</f>
        <v>0.0384615384615385</v>
      </c>
      <c r="AR1191" s="50" t="n">
        <f aca="false">AQ1191*BY1191</f>
        <v>5.96153846153846</v>
      </c>
      <c r="AS1191" s="50" t="n">
        <f aca="false">AO1191*G1191</f>
        <v>4976.3</v>
      </c>
      <c r="AT1191" s="50" t="n">
        <f aca="false">ROUNDUP(MAX(J1191/IF(CD1191&gt;0,CD1191,MAX(0.1,N(Cockpit!$I$6))),CG1191)/BV1191,0)*BV1191</f>
        <v>35</v>
      </c>
      <c r="AU1191" s="51" t="n">
        <f aca="false">IF(AR1191&gt;0,J1191/AR1191,-1)</f>
        <v>0</v>
      </c>
      <c r="AV1191" s="51" t="n">
        <f aca="false">IF(AND(OR(CC1191="L1",CC1191="L23",CC1191="LIFT"),AR1191&gt;0),SUMIFS($AR$7:$AR$1843,$CC$7:$CC$1843,CC1191,$AU$7:$AU$1843,"&gt;"&amp;AU1191)+SUMIFS($AR$7:$AR$1843,$CC$7:$CC$1843,CC1191,$AU$7:$AU$1843,AU1191,$BT$7:$BT$1843,"&lt;="&amp;BT1191),"")</f>
        <v>41176.6011982368</v>
      </c>
      <c r="AW1191" s="58" t="n">
        <f aca="false">IF(AV1191="",0,MAX(0,MIN(1,(IF(CC1191="L1",Parameter!$H$5,IF(CC1191="L23",Parameter!$H$6+Parameter!$H$7,Parameter!$H$5+Parameter!$H$6+Parameter!$H$7))-(AV1191-AR1191))/AR1191)))</f>
        <v>0</v>
      </c>
      <c r="AX1191" s="50" t="n">
        <f aca="false">IF(LEFT(Cockpit!$O$5,1)="A",H1191,IF(CE1191=1,CF1191,IF(LEFT(Cockpit!$O$5,1)="B",BC1191,MAX(BC1191,H1191))))</f>
        <v>35</v>
      </c>
      <c r="AY1191" s="50" t="n">
        <f aca="false">IF(BW1191=1,0,ROUNDUP(AX1191/BV1191,0))</f>
        <v>1</v>
      </c>
      <c r="AZ1191" s="52" t="n">
        <f aca="false">IF(CL1191&gt;0,CL1191*MAX(1,AX1191/X1191),IF(BW1191=1,IF(AX1191&lt;=0,0,CA1191*MAX(1,IF(H1191&gt;0,AX1191/H1191,1))),IF(R1191&gt;0,AY1191/R1191,0))/MAX(0.1,N(Parameter!$M$21)))</f>
        <v>0.0384615384615385</v>
      </c>
      <c r="BA1191" s="50" t="n">
        <f aca="false">AZ1191*BY1191</f>
        <v>5.96153846153846</v>
      </c>
      <c r="BB1191" s="50" t="n">
        <f aca="false">AX1191*G1191</f>
        <v>4976.3</v>
      </c>
      <c r="BC1191" s="50" t="n">
        <f aca="false">ROUNDUP(MAX(J1191/IF(CD1191&gt;0,CD1191,MAX(0.1,N(Cockpit!$O$6))),CG1191)/BV1191,0)*BV1191</f>
        <v>35</v>
      </c>
      <c r="BD1191" s="51" t="n">
        <f aca="false">IF(BA1191&gt;0,J1191/BA1191,-1)</f>
        <v>0</v>
      </c>
      <c r="BE1191" s="51" t="n">
        <f aca="false">IF(AND(OR(CC1191="L1",CC1191="L23",CC1191="LIFT"),BA1191&gt;0),SUMIFS($BA$7:$BA$1843,$CC$7:$CC$1843,CC1191,$BD$7:$BD$1843,"&gt;"&amp;BD1191)+SUMIFS($BA$7:$BA$1843,$CC$7:$CC$1843,CC1191,$BD$7:$BD$1843,BD1191,$BT$7:$BT$1843,"&lt;="&amp;BT1191),"")</f>
        <v>37851.6132401027</v>
      </c>
      <c r="BF1191" s="58" t="n">
        <f aca="false">IF(BE1191="",0,MAX(0,MIN(1,(IF(CC1191="L1",Parameter!$H$5,IF(CC1191="L23",Parameter!$H$6+Parameter!$H$7,Parameter!$H$5+Parameter!$H$6+Parameter!$H$7))-(BE1191-BA1191))/BA1191)))</f>
        <v>0</v>
      </c>
      <c r="BG1191" s="48" t="str">
        <f aca="false">IF(AI1191&lt;=0,"",IF(CC1191="Aussen","Aussenlager",IF(CC1191="-","Nicht im Lift",IF(AN1191&gt;=1,"Lift",IF(AN1191&lt;=0,"Aussenlager","teilweise")))))</f>
        <v>Lift</v>
      </c>
      <c r="BH1191" s="48" t="str">
        <f aca="false">IF(AR1191&lt;=0,"",IF(CC1191="Aussen","Aussenlager",IF(CC1191="-","Nicht im Lift",IF(AW1191&gt;=1,"Lift",IF(AW1191&lt;=0,"Aussenlager","teilweise")))))</f>
        <v>Aussenlager</v>
      </c>
      <c r="BI1191" s="48" t="str">
        <f aca="false">IF(BA1191&lt;=0,"",IF(CC1191="Aussen","Aussenlager",IF(CC1191="-","Nicht im Lift",IF(BF1191&gt;=1,"Lift",IF(BF1191&lt;=0,"Aussenlager","teilweise")))))</f>
        <v>Aussenlager</v>
      </c>
      <c r="BJ1191" s="48" t="str">
        <f aca="false">IF(A1191="","",IF(BS1191=1,"Neu; ","")&amp;IF(AND(BS1191=0,BN1191&lt;0),"negativer Bestand (Export "&amp;BN1191&amp;"); ","")&amp;IF(J1191&lt;=0,"Kein Verbrauch; ","")&amp;IF(CL1191&gt;0,"Lift "&amp;W1191&amp;" lt. Liftbericht (Fach "&amp;X1191&amp;" Stk); ",IF(BX1191=1,"Gebinde geschätzt ("&amp;T1191&amp;"); ",IF(BW1191=1,"Lose – Tablare geschätzt; ","")))&amp;IF(H1191&gt;AT1191,"Überbestand "&amp;ROUND(H1191-AT1191,0)&amp;" Stk / CHF "&amp;ROUND((H1191-AT1191)*G1191,0)&amp;"; ","")&amp;IF(AND(CE1191=1,CF1191&lt;CG1191),"MAX &lt; MB+LG; ","")&amp;IF(AND(CK1191&gt;0,CJ1191*10&gt;CK1191),"zu hoch für Tablar; ","")&amp;IF(AND(BS1191=0,OR(CE1191=1,AA1191&lt;&gt;"",U1191&lt;&gt;"",V1191&lt;&gt;"",AB1191&lt;&gt;"")),"manuell übersteuert; ","")&amp;IF(AND(BW1191=0,R1191=0),"Gebinde unbekannt / Stellmass fehlt; ","")&amp;IF(AND(BW1191=0,N(V1191)&lt;=0,N(Q1191)&lt;=0),"Menge pro Gebinde fehlt (Ist = 1 Gebinde); ","")&amp;BR1191)</f>
        <v>negativer Bestand (Export -3); Kein Verbrauch; </v>
      </c>
      <c r="BK1191" s="48"/>
      <c r="BL1191" s="48"/>
      <c r="BM1191" s="55"/>
      <c r="BN1191" s="50" t="n">
        <v>-3</v>
      </c>
      <c r="BO1191" s="50" t="n">
        <v>34</v>
      </c>
      <c r="BP1191" s="49" t="n">
        <v>-426.54</v>
      </c>
      <c r="BQ1191" s="50" t="n">
        <v>0</v>
      </c>
      <c r="BR1191" s="48"/>
      <c r="BS1191" s="53" t="n">
        <v>0</v>
      </c>
      <c r="BT1191" s="53" t="n">
        <v>1191</v>
      </c>
      <c r="BU1191" s="48" t="str">
        <f aca="false">IF(U1191&lt;&gt;"",UPPER(TRIM(U1191)),IF(BX1191=1,UPPER(VLOOKUP(T1191,Parameter!$I$27:$K$29,2,0)),IF(P1191="","LOSE",P1191)))</f>
        <v>S51</v>
      </c>
      <c r="BV1191" s="50" t="n">
        <f aca="false">IF(BU1191="LOSE",1,IF(N(V1191)&gt;0,V1191,IF(BX1191=1,MAX(1,N(VLOOKUP(T1191,Parameter!$I$27:$K$29,3,0)),H1191,N(N1191)),IF(N(Q1191)&gt;0,Q1191,MAX(1,H1191)))))</f>
        <v>35</v>
      </c>
      <c r="BW1191" s="53" t="n">
        <f aca="false">IF(BU1191="LOSE",1,0)</f>
        <v>0</v>
      </c>
      <c r="BX1191" s="53" t="n">
        <f aca="false">IF(AND(U1191="",OR(P1191="",P1191="LOSE"),T1191&lt;&gt;"",N(S1191)&lt;=0,ISNUMBER(MATCH(T1191,Parameter!$I$27:$I$29,0))),1,0)</f>
        <v>0</v>
      </c>
      <c r="BY1191" s="53" t="n">
        <f aca="false">IF(CL1191&gt;0,INDEX(Parameter!$H$5:$H$7,W1191)/INDEX(Parameter!$E$5:$E$7,W1191),IF(AND(BW1191=0,N(IFERROR(VLOOKUP(BU1191,'Gebinde-Kategorie'!$A$5:$N$45,14,0),0))&gt;0),VLOOKUP(BU1191,'Gebinde-Kategorie'!$A$5:$N$45,14,0)*10+Parameter!$M$23,Parameter!$M$24))</f>
        <v>155</v>
      </c>
      <c r="BZ1191" s="48" t="str">
        <f aca="false">IF(AND(Parameter!$B$19="Ja",E1191&lt;&gt;"",ISNUMBER(MATCH(E1191,Parameter!$I$35:$I$52,0))),VLOOKUP(E1191,Parameter!$I$35:$J$52,2,0),IFERROR(VLOOKUP(D1191,Parameter!$A$35:$C$64,2,0),"Nein"))</f>
        <v>2+3</v>
      </c>
      <c r="CA1191" s="52" t="n">
        <f aca="false">IF(BW1191=0,0,IF(N(S1191)&gt;0,S1191,IFERROR(VLOOKUP(D1191,Parameter!$A$35:$C$64,3,0)+0,0)))</f>
        <v>0</v>
      </c>
      <c r="CB1191" s="48" t="n">
        <f aca="false">IF(AA1191&lt;&gt;"",AA1191,Z1191)</f>
        <v>3</v>
      </c>
      <c r="CC1191" s="48" t="str">
        <f aca="false">IF(OR(CB1191=1,CB1191=2,CB1191=3),IF(Parameter!$E$27="Ja","LIFT",IF(CB1191=1,"L1","L23")),IF(CB1191="Aussen","Aussen","-"))</f>
        <v>LIFT</v>
      </c>
      <c r="CD1191" s="59" t="n">
        <f aca="false">IF(N(AB1191)&gt;0,AB1191,0)</f>
        <v>0</v>
      </c>
      <c r="CE1191" s="53" t="n">
        <f aca="false">IF(ISNUMBER(AE1191),1,0)</f>
        <v>0</v>
      </c>
      <c r="CF1191" s="50" t="n">
        <f aca="false">N(AE1191)</f>
        <v>0</v>
      </c>
      <c r="CG1191" s="50" t="n">
        <f aca="false">N(M1191)+N(N1191)</f>
        <v>1</v>
      </c>
      <c r="CH1191" s="50" t="n">
        <f aca="false">ROUNDUP(H1191/BV1191,0)</f>
        <v>1</v>
      </c>
      <c r="CI1191" s="50" t="n">
        <f aca="false">ROUNDUP(CF1191/BV1191,0)</f>
        <v>0</v>
      </c>
      <c r="CJ1191" s="53" t="n">
        <f aca="false">IF(BW1191=1,0,IFERROR(VLOOKUP(BU1191,'Gebinde-Kategorie'!$A$5:$N$45,5,0)+0,0))</f>
        <v>11</v>
      </c>
      <c r="CK1191" s="53" t="n">
        <f aca="false">IFERROR(IF(OR(CB1191=1,CB1191=2,CB1191=3),N(INDEX(Parameter!$I$5:$I$7,CB1191)),0),0)</f>
        <v>0</v>
      </c>
      <c r="CL1191" s="52" t="n">
        <f aca="false">IF(AND(Parameter!$B$21="Ja",ISNUMBER(W1191),N(X1191)&gt;0),IFERROR(N(INDEX(Parameter!$L$5:$L$7,W1191))*INDEX(Parameter!$E$5:$E$7,W1191)*X1191/SUMIFS($X$7:$X$1843,$W$7:$W$1843,W1191),0),0)</f>
        <v>0</v>
      </c>
    </row>
    <row r="1192" customFormat="false" ht="15" hidden="false" customHeight="false" outlineLevel="0" collapsed="false">
      <c r="A1192" s="48" t="s">
        <v>2149</v>
      </c>
      <c r="B1192" s="48" t="s">
        <v>444</v>
      </c>
      <c r="C1192" s="48" t="s">
        <v>168</v>
      </c>
      <c r="D1192" s="48" t="s">
        <v>188</v>
      </c>
      <c r="E1192" s="48" t="s">
        <v>189</v>
      </c>
      <c r="F1192" s="48" t="s">
        <v>222</v>
      </c>
      <c r="G1192" s="49" t="n">
        <v>107</v>
      </c>
      <c r="H1192" s="50" t="n">
        <f aca="false">MAX(0,IF(AND(Parameter!$B$21="Ja",ISNUMBER(Y1192)),Y1192,IF(Parameter!$B$20="Jahresanfang 2025 + Export",BO1192+BN1192,BN1192)))</f>
        <v>13</v>
      </c>
      <c r="I1192" s="50" t="n">
        <f aca="false">H1192*G1192</f>
        <v>1391</v>
      </c>
      <c r="J1192" s="50" t="n">
        <f aca="false">BQ1192*Parameter!$B$18</f>
        <v>4</v>
      </c>
      <c r="K1192" s="51" t="n">
        <v>17</v>
      </c>
      <c r="L1192" s="52" t="n">
        <v>0.235294117647059</v>
      </c>
      <c r="M1192" s="50" t="n">
        <v>0</v>
      </c>
      <c r="N1192" s="50" t="n">
        <v>5</v>
      </c>
      <c r="O1192" s="53" t="n">
        <v>84</v>
      </c>
      <c r="P1192" s="48" t="s">
        <v>297</v>
      </c>
      <c r="Q1192" s="50" t="n">
        <v>32</v>
      </c>
      <c r="R1192" s="53" t="n">
        <f aca="false">IF(BW1192=1,0,IFERROR(VLOOKUP(BU1192,'Gebinde-Kategorie'!$A$5:$N$45,13,0)+0,0))</f>
        <v>12</v>
      </c>
      <c r="S1192" s="54"/>
      <c r="T1192" s="55"/>
      <c r="U1192" s="55"/>
      <c r="V1192" s="55"/>
      <c r="W1192" s="48"/>
      <c r="X1192" s="50"/>
      <c r="Y1192" s="50"/>
      <c r="Z1192" s="48" t="n">
        <f aca="false">IF(A1192="","",IF(AND(Parameter!$B$21="Ja",ISNUMBER(W1192)),W1192,IF(BZ1192="2+3",IF(ISNUMBER(SEARCH("grosser Artikel",BR1192)),2,IFERROR(VLOOKUP(BU1192,Parameter!$F$35:$G$64,2,0),2)),IF(OR(BZ1192="Nein",BZ1192=""),"-",BZ1192))))</f>
        <v>2</v>
      </c>
      <c r="AA1192" s="55"/>
      <c r="AB1192" s="56"/>
      <c r="AC1192" s="50" t="n">
        <f aca="false">AT1192</f>
        <v>32</v>
      </c>
      <c r="AD1192" s="50" t="n">
        <f aca="false">MAX(AT1192,H1192)</f>
        <v>32</v>
      </c>
      <c r="AE1192" s="57"/>
      <c r="AF1192" s="50" t="n">
        <f aca="false">IF(LEFT(Cockpit!$C$5,1)="A",H1192,IF(CE1192=1,CF1192,IF(LEFT(Cockpit!$C$5,1)="B",AK1192,MAX(AK1192,H1192))))</f>
        <v>13</v>
      </c>
      <c r="AG1192" s="50" t="n">
        <f aca="false">IF(BW1192=1,0,ROUNDUP(AF1192/BV1192,0))</f>
        <v>1</v>
      </c>
      <c r="AH1192" s="52" t="n">
        <f aca="false">IF(CL1192&gt;0,CL1192*MAX(1,AF1192/X1192),IF(BW1192=1,IF(AF1192&lt;=0,0,CA1192*MAX(1,IF(H1192&gt;0,AF1192/H1192,1))),IF(R1192&gt;0,AG1192/R1192,0))/MAX(0.1,N(Parameter!$M$21)))</f>
        <v>0.0833333333333333</v>
      </c>
      <c r="AI1192" s="50" t="n">
        <f aca="false">AH1192*BY1192</f>
        <v>20.4166666666667</v>
      </c>
      <c r="AJ1192" s="50" t="n">
        <f aca="false">AF1192*G1192</f>
        <v>1391</v>
      </c>
      <c r="AK1192" s="50" t="n">
        <f aca="false">ROUNDUP(MAX(J1192/IF(CD1192&gt;0,CD1192,MAX(0.1,N(Cockpit!$C$6))),CG1192)/BV1192,0)*BV1192</f>
        <v>32</v>
      </c>
      <c r="AL1192" s="51" t="n">
        <f aca="false">IF(AI1192&gt;0,J1192/AI1192,-1)</f>
        <v>0.195918367346939</v>
      </c>
      <c r="AM1192" s="51" t="n">
        <f aca="false">IF(AND(OR(CC1192="L1",CC1192="L23",CC1192="LIFT"),AI1192&gt;0),SUMIFS($AI$7:$AI$1843,$CC$7:$CC$1843,CC1192,$AL$7:$AL$1843,"&gt;"&amp;AL1192)+SUMIFS($AI$7:$AI$1843,$CC$7:$CC$1843,CC1192,$AL$7:$AL$1843,AL1192,$BT$7:$BT$1843,"&lt;="&amp;BT1192),"")</f>
        <v>12581.4003875127</v>
      </c>
      <c r="AN1192" s="58" t="n">
        <f aca="false">IF(AM1192="",0,MAX(0,MIN(1,(IF(CC1192="L1",Parameter!$H$5,IF(CC1192="L23",Parameter!$H$6+Parameter!$H$7,Parameter!$H$5+Parameter!$H$6+Parameter!$H$7))-(AM1192-AI1192))/AI1192)))</f>
        <v>1</v>
      </c>
      <c r="AO1192" s="50" t="n">
        <f aca="false">IF(LEFT(Cockpit!$I$5,1)="A",H1192,IF(CE1192=1,CF1192,IF(LEFT(Cockpit!$I$5,1)="B",AT1192,MAX(AT1192,H1192))))</f>
        <v>32</v>
      </c>
      <c r="AP1192" s="50" t="n">
        <f aca="false">IF(BW1192=1,0,ROUNDUP(AO1192/BV1192,0))</f>
        <v>1</v>
      </c>
      <c r="AQ1192" s="52" t="n">
        <f aca="false">IF(CL1192&gt;0,CL1192*MAX(1,AO1192/X1192),IF(BW1192=1,IF(AO1192&lt;=0,0,CA1192*MAX(1,IF(H1192&gt;0,AO1192/H1192,1))),IF(R1192&gt;0,AP1192/R1192,0))/MAX(0.1,N(Parameter!$M$21)))</f>
        <v>0.0833333333333333</v>
      </c>
      <c r="AR1192" s="50" t="n">
        <f aca="false">AQ1192*BY1192</f>
        <v>20.4166666666667</v>
      </c>
      <c r="AS1192" s="50" t="n">
        <f aca="false">AO1192*G1192</f>
        <v>3424</v>
      </c>
      <c r="AT1192" s="50" t="n">
        <f aca="false">ROUNDUP(MAX(J1192/IF(CD1192&gt;0,CD1192,MAX(0.1,N(Cockpit!$I$6))),CG1192)/BV1192,0)*BV1192</f>
        <v>32</v>
      </c>
      <c r="AU1192" s="51" t="n">
        <f aca="false">IF(AR1192&gt;0,J1192/AR1192,-1)</f>
        <v>0.195918367346939</v>
      </c>
      <c r="AV1192" s="51" t="n">
        <f aca="false">IF(AND(OR(CC1192="L1",CC1192="L23",CC1192="LIFT"),AR1192&gt;0),SUMIFS($AR$7:$AR$1843,$CC$7:$CC$1843,CC1192,$AU$7:$AU$1843,"&gt;"&amp;AU1192)+SUMIFS($AR$7:$AR$1843,$CC$7:$CC$1843,CC1192,$AU$7:$AU$1843,AU1192,$BT$7:$BT$1843,"&lt;="&amp;BT1192),"")</f>
        <v>19063.0517399267</v>
      </c>
      <c r="AW1192" s="58" t="n">
        <f aca="false">IF(AV1192="",0,MAX(0,MIN(1,(IF(CC1192="L1",Parameter!$H$5,IF(CC1192="L23",Parameter!$H$6+Parameter!$H$7,Parameter!$H$5+Parameter!$H$6+Parameter!$H$7))-(AV1192-AR1192))/AR1192)))</f>
        <v>1</v>
      </c>
      <c r="AX1192" s="50" t="n">
        <f aca="false">IF(LEFT(Cockpit!$O$5,1)="A",H1192,IF(CE1192=1,CF1192,IF(LEFT(Cockpit!$O$5,1)="B",BC1192,MAX(BC1192,H1192))))</f>
        <v>32</v>
      </c>
      <c r="AY1192" s="50" t="n">
        <f aca="false">IF(BW1192=1,0,ROUNDUP(AX1192/BV1192,0))</f>
        <v>1</v>
      </c>
      <c r="AZ1192" s="52" t="n">
        <f aca="false">IF(CL1192&gt;0,CL1192*MAX(1,AX1192/X1192),IF(BW1192=1,IF(AX1192&lt;=0,0,CA1192*MAX(1,IF(H1192&gt;0,AX1192/H1192,1))),IF(R1192&gt;0,AY1192/R1192,0))/MAX(0.1,N(Parameter!$M$21)))</f>
        <v>0.0833333333333333</v>
      </c>
      <c r="BA1192" s="50" t="n">
        <f aca="false">AZ1192*BY1192</f>
        <v>20.4166666666667</v>
      </c>
      <c r="BB1192" s="50" t="n">
        <f aca="false">AX1192*G1192</f>
        <v>3424</v>
      </c>
      <c r="BC1192" s="50" t="n">
        <f aca="false">ROUNDUP(MAX(J1192/IF(CD1192&gt;0,CD1192,MAX(0.1,N(Cockpit!$O$6))),CG1192)/BV1192,0)*BV1192</f>
        <v>32</v>
      </c>
      <c r="BD1192" s="51" t="n">
        <f aca="false">IF(BA1192&gt;0,J1192/BA1192,-1)</f>
        <v>0.195918367346939</v>
      </c>
      <c r="BE1192" s="51" t="n">
        <f aca="false">IF(AND(OR(CC1192="L1",CC1192="L23",CC1192="LIFT"),BA1192&gt;0),SUMIFS($BA$7:$BA$1843,$CC$7:$CC$1843,CC1192,$BD$7:$BD$1843,"&gt;"&amp;BD1192)+SUMIFS($BA$7:$BA$1843,$CC$7:$CC$1843,CC1192,$BD$7:$BD$1843,BD1192,$BT$7:$BT$1843,"&lt;="&amp;BT1192),"")</f>
        <v>17089.1254578755</v>
      </c>
      <c r="BF1192" s="58" t="n">
        <f aca="false">IF(BE1192="",0,MAX(0,MIN(1,(IF(CC1192="L1",Parameter!$H$5,IF(CC1192="L23",Parameter!$H$6+Parameter!$H$7,Parameter!$H$5+Parameter!$H$6+Parameter!$H$7))-(BE1192-BA1192))/BA1192)))</f>
        <v>1</v>
      </c>
      <c r="BG1192" s="48" t="str">
        <f aca="false">IF(AI1192&lt;=0,"",IF(CC1192="Aussen","Aussenlager",IF(CC1192="-","Nicht im Lift",IF(AN1192&gt;=1,"Lift",IF(AN1192&lt;=0,"Aussenlager","teilweise")))))</f>
        <v>Lift</v>
      </c>
      <c r="BH1192" s="48" t="str">
        <f aca="false">IF(AR1192&lt;=0,"",IF(CC1192="Aussen","Aussenlager",IF(CC1192="-","Nicht im Lift",IF(AW1192&gt;=1,"Lift",IF(AW1192&lt;=0,"Aussenlager","teilweise")))))</f>
        <v>Lift</v>
      </c>
      <c r="BI1192" s="48" t="str">
        <f aca="false">IF(BA1192&lt;=0,"",IF(CC1192="Aussen","Aussenlager",IF(CC1192="-","Nicht im Lift",IF(BF1192&gt;=1,"Lift",IF(BF1192&lt;=0,"Aussenlager","teilweise")))))</f>
        <v>Lift</v>
      </c>
      <c r="BJ1192" s="48" t="str">
        <f aca="false">IF(A1192="","",IF(BS1192=1,"Neu; ","")&amp;IF(AND(BS1192=0,BN1192&lt;0),"negativer Bestand (Export "&amp;BN1192&amp;"); ","")&amp;IF(J1192&lt;=0,"Kein Verbrauch; ","")&amp;IF(CL1192&gt;0,"Lift "&amp;W1192&amp;" lt. Liftbericht (Fach "&amp;X1192&amp;" Stk); ",IF(BX1192=1,"Gebinde geschätzt ("&amp;T1192&amp;"); ",IF(BW1192=1,"Lose – Tablare geschätzt; ","")))&amp;IF(H1192&gt;AT1192,"Überbestand "&amp;ROUND(H1192-AT1192,0)&amp;" Stk / CHF "&amp;ROUND((H1192-AT1192)*G1192,0)&amp;"; ","")&amp;IF(AND(CE1192=1,CF1192&lt;CG1192),"MAX &lt; MB+LG; ","")&amp;IF(AND(CK1192&gt;0,CJ1192*10&gt;CK1192),"zu hoch für Tablar; ","")&amp;IF(AND(BS1192=0,OR(CE1192=1,AA1192&lt;&gt;"",U1192&lt;&gt;"",V1192&lt;&gt;"",AB1192&lt;&gt;"")),"manuell übersteuert; ","")&amp;IF(AND(BW1192=0,R1192=0),"Gebinde unbekannt / Stellmass fehlt; ","")&amp;IF(AND(BW1192=0,N(V1192)&lt;=0,N(Q1192)&lt;=0),"Menge pro Gebinde fehlt (Ist = 1 Gebinde); ","")&amp;BR1192)</f>
        <v>negativer Bestand (Export -4); Überbestand</v>
      </c>
      <c r="BK1192" s="48"/>
      <c r="BL1192" s="48"/>
      <c r="BM1192" s="55"/>
      <c r="BN1192" s="50" t="n">
        <v>-4</v>
      </c>
      <c r="BO1192" s="50" t="n">
        <v>17</v>
      </c>
      <c r="BP1192" s="49" t="n">
        <v>-428</v>
      </c>
      <c r="BQ1192" s="50" t="n">
        <v>4</v>
      </c>
      <c r="BR1192" s="48" t="s">
        <v>396</v>
      </c>
      <c r="BS1192" s="53" t="n">
        <v>0</v>
      </c>
      <c r="BT1192" s="53" t="n">
        <v>1192</v>
      </c>
      <c r="BU1192" s="48" t="str">
        <f aca="false">IF(U1192&lt;&gt;"",UPPER(TRIM(U1192)),IF(BX1192=1,UPPER(VLOOKUP(T1192,Parameter!$I$27:$K$29,2,0)),IF(P1192="","LOSE",P1192)))</f>
        <v>S62</v>
      </c>
      <c r="BV1192" s="50" t="n">
        <f aca="false">IF(BU1192="LOSE",1,IF(N(V1192)&gt;0,V1192,IF(BX1192=1,MAX(1,N(VLOOKUP(T1192,Parameter!$I$27:$K$29,3,0)),H1192,N(N1192)),IF(N(Q1192)&gt;0,Q1192,MAX(1,H1192)))))</f>
        <v>32</v>
      </c>
      <c r="BW1192" s="53" t="n">
        <f aca="false">IF(BU1192="LOSE",1,0)</f>
        <v>0</v>
      </c>
      <c r="BX1192" s="53" t="n">
        <f aca="false">IF(AND(U1192="",OR(P1192="",P1192="LOSE"),T1192&lt;&gt;"",N(S1192)&lt;=0,ISNUMBER(MATCH(T1192,Parameter!$I$27:$I$29,0))),1,0)</f>
        <v>0</v>
      </c>
      <c r="BY1192" s="53" t="n">
        <f aca="false">IF(CL1192&gt;0,INDEX(Parameter!$H$5:$H$7,W1192)/INDEX(Parameter!$E$5:$E$7,W1192),IF(AND(BW1192=0,N(IFERROR(VLOOKUP(BU1192,'Gebinde-Kategorie'!$A$5:$N$45,14,0),0))&gt;0),VLOOKUP(BU1192,'Gebinde-Kategorie'!$A$5:$N$45,14,0)*10+Parameter!$M$23,Parameter!$M$24))</f>
        <v>245</v>
      </c>
      <c r="BZ1192" s="48" t="str">
        <f aca="false">IF(AND(Parameter!$B$19="Ja",E1192&lt;&gt;"",ISNUMBER(MATCH(E1192,Parameter!$I$35:$I$52,0))),VLOOKUP(E1192,Parameter!$I$35:$J$52,2,0),IFERROR(VLOOKUP(D1192,Parameter!$A$35:$C$64,2,0),"Nein"))</f>
        <v>2+3</v>
      </c>
      <c r="CA1192" s="52" t="n">
        <f aca="false">IF(BW1192=0,0,IF(N(S1192)&gt;0,S1192,IFERROR(VLOOKUP(D1192,Parameter!$A$35:$C$64,3,0)+0,0)))</f>
        <v>0</v>
      </c>
      <c r="CB1192" s="48" t="n">
        <f aca="false">IF(AA1192&lt;&gt;"",AA1192,Z1192)</f>
        <v>2</v>
      </c>
      <c r="CC1192" s="48" t="str">
        <f aca="false">IF(OR(CB1192=1,CB1192=2,CB1192=3),IF(Parameter!$E$27="Ja","LIFT",IF(CB1192=1,"L1","L23")),IF(CB1192="Aussen","Aussen","-"))</f>
        <v>LIFT</v>
      </c>
      <c r="CD1192" s="59" t="n">
        <f aca="false">IF(N(AB1192)&gt;0,AB1192,0)</f>
        <v>0</v>
      </c>
      <c r="CE1192" s="53" t="n">
        <f aca="false">IF(ISNUMBER(AE1192),1,0)</f>
        <v>0</v>
      </c>
      <c r="CF1192" s="50" t="n">
        <f aca="false">N(AE1192)</f>
        <v>0</v>
      </c>
      <c r="CG1192" s="50" t="n">
        <f aca="false">N(M1192)+N(N1192)</f>
        <v>5</v>
      </c>
      <c r="CH1192" s="50" t="n">
        <f aca="false">ROUNDUP(H1192/BV1192,0)</f>
        <v>1</v>
      </c>
      <c r="CI1192" s="50" t="n">
        <f aca="false">ROUNDUP(CF1192/BV1192,0)</f>
        <v>0</v>
      </c>
      <c r="CJ1192" s="53" t="n">
        <f aca="false">IF(BW1192=1,0,IFERROR(VLOOKUP(BU1192,'Gebinde-Kategorie'!$A$5:$N$45,5,0)+0,0))</f>
        <v>21</v>
      </c>
      <c r="CK1192" s="53" t="n">
        <f aca="false">IFERROR(IF(OR(CB1192=1,CB1192=2,CB1192=3),N(INDEX(Parameter!$I$5:$I$7,CB1192)),0),0)</f>
        <v>0</v>
      </c>
      <c r="CL1192" s="52" t="n">
        <f aca="false">IF(AND(Parameter!$B$21="Ja",ISNUMBER(W1192),N(X1192)&gt;0),IFERROR(N(INDEX(Parameter!$L$5:$L$7,W1192))*INDEX(Parameter!$E$5:$E$7,W1192)*X1192/SUMIFS($X$7:$X$1843,$W$7:$W$1843,W1192),0),0)</f>
        <v>0</v>
      </c>
    </row>
    <row r="1193" customFormat="false" ht="15" hidden="false" customHeight="false" outlineLevel="0" collapsed="false">
      <c r="A1193" s="48" t="s">
        <v>2150</v>
      </c>
      <c r="B1193" s="48" t="s">
        <v>2151</v>
      </c>
      <c r="C1193" s="48" t="s">
        <v>168</v>
      </c>
      <c r="D1193" s="48" t="s">
        <v>188</v>
      </c>
      <c r="E1193" s="48" t="s">
        <v>189</v>
      </c>
      <c r="F1193" s="48" t="s">
        <v>222</v>
      </c>
      <c r="G1193" s="49" t="n">
        <v>79.87</v>
      </c>
      <c r="H1193" s="50" t="n">
        <f aca="false">MAX(0,IF(AND(Parameter!$B$21="Ja",ISNUMBER(Y1193)),Y1193,IF(Parameter!$B$20="Jahresanfang 2025 + Export",BO1193+BN1193,BN1193)))</f>
        <v>6</v>
      </c>
      <c r="I1193" s="50" t="n">
        <f aca="false">H1193*G1193</f>
        <v>479.22</v>
      </c>
      <c r="J1193" s="50" t="n">
        <f aca="false">BQ1193*Parameter!$B$18</f>
        <v>13</v>
      </c>
      <c r="K1193" s="51" t="n">
        <v>10</v>
      </c>
      <c r="L1193" s="52" t="n">
        <v>1.3</v>
      </c>
      <c r="M1193" s="50" t="n">
        <v>0</v>
      </c>
      <c r="N1193" s="50" t="n">
        <v>15</v>
      </c>
      <c r="O1193" s="53" t="n">
        <v>21</v>
      </c>
      <c r="P1193" s="48" t="s">
        <v>237</v>
      </c>
      <c r="Q1193" s="50" t="n">
        <v>4</v>
      </c>
      <c r="R1193" s="53" t="n">
        <f aca="false">IF(BW1193=1,0,IFERROR(VLOOKUP(BU1193,'Gebinde-Kategorie'!$A$5:$N$45,13,0)+0,0))</f>
        <v>26</v>
      </c>
      <c r="S1193" s="54"/>
      <c r="T1193" s="55"/>
      <c r="U1193" s="55"/>
      <c r="V1193" s="55"/>
      <c r="W1193" s="48"/>
      <c r="X1193" s="50"/>
      <c r="Y1193" s="50"/>
      <c r="Z1193" s="48" t="n">
        <f aca="false">IF(A1193="","",IF(AND(Parameter!$B$21="Ja",ISNUMBER(W1193)),W1193,IF(BZ1193="2+3",IF(ISNUMBER(SEARCH("grosser Artikel",BR1193)),2,IFERROR(VLOOKUP(BU1193,Parameter!$F$35:$G$64,2,0),2)),IF(OR(BZ1193="Nein",BZ1193=""),"-",BZ1193))))</f>
        <v>3</v>
      </c>
      <c r="AA1193" s="55"/>
      <c r="AB1193" s="56"/>
      <c r="AC1193" s="50" t="n">
        <f aca="false">AT1193</f>
        <v>16</v>
      </c>
      <c r="AD1193" s="50" t="n">
        <f aca="false">MAX(AT1193,H1193)</f>
        <v>16</v>
      </c>
      <c r="AE1193" s="57"/>
      <c r="AF1193" s="50" t="n">
        <f aca="false">IF(LEFT(Cockpit!$C$5,1)="A",H1193,IF(CE1193=1,CF1193,IF(LEFT(Cockpit!$C$5,1)="B",AK1193,MAX(AK1193,H1193))))</f>
        <v>6</v>
      </c>
      <c r="AG1193" s="50" t="n">
        <f aca="false">IF(BW1193=1,0,ROUNDUP(AF1193/BV1193,0))</f>
        <v>2</v>
      </c>
      <c r="AH1193" s="52" t="n">
        <f aca="false">IF(CL1193&gt;0,CL1193*MAX(1,AF1193/X1193),IF(BW1193=1,IF(AF1193&lt;=0,0,CA1193*MAX(1,IF(H1193&gt;0,AF1193/H1193,1))),IF(R1193&gt;0,AG1193/R1193,0))/MAX(0.1,N(Parameter!$M$21)))</f>
        <v>0.0769230769230769</v>
      </c>
      <c r="AI1193" s="50" t="n">
        <f aca="false">AH1193*BY1193</f>
        <v>18.8461538461538</v>
      </c>
      <c r="AJ1193" s="50" t="n">
        <f aca="false">AF1193*G1193</f>
        <v>479.22</v>
      </c>
      <c r="AK1193" s="50" t="n">
        <f aca="false">ROUNDUP(MAX(J1193/IF(CD1193&gt;0,CD1193,MAX(0.1,N(Cockpit!$C$6))),CG1193)/BV1193,0)*BV1193</f>
        <v>16</v>
      </c>
      <c r="AL1193" s="51" t="n">
        <f aca="false">IF(AI1193&gt;0,J1193/AI1193,-1)</f>
        <v>0.689795918367347</v>
      </c>
      <c r="AM1193" s="51" t="n">
        <f aca="false">IF(AND(OR(CC1193="L1",CC1193="L23",CC1193="LIFT"),AI1193&gt;0),SUMIFS($AI$7:$AI$1843,$CC$7:$CC$1843,CC1193,$AL$7:$AL$1843,"&gt;"&amp;AL1193)+SUMIFS($AI$7:$AI$1843,$CC$7:$CC$1843,CC1193,$AL$7:$AL$1843,AL1193,$BT$7:$BT$1843,"&lt;="&amp;BT1193),"")</f>
        <v>8474.76602564103</v>
      </c>
      <c r="AN1193" s="58" t="n">
        <f aca="false">IF(AM1193="",0,MAX(0,MIN(1,(IF(CC1193="L1",Parameter!$H$5,IF(CC1193="L23",Parameter!$H$6+Parameter!$H$7,Parameter!$H$5+Parameter!$H$6+Parameter!$H$7))-(AM1193-AI1193))/AI1193)))</f>
        <v>1</v>
      </c>
      <c r="AO1193" s="50" t="n">
        <f aca="false">IF(LEFT(Cockpit!$I$5,1)="A",H1193,IF(CE1193=1,CF1193,IF(LEFT(Cockpit!$I$5,1)="B",AT1193,MAX(AT1193,H1193))))</f>
        <v>16</v>
      </c>
      <c r="AP1193" s="50" t="n">
        <f aca="false">IF(BW1193=1,0,ROUNDUP(AO1193/BV1193,0))</f>
        <v>4</v>
      </c>
      <c r="AQ1193" s="52" t="n">
        <f aca="false">IF(CL1193&gt;0,CL1193*MAX(1,AO1193/X1193),IF(BW1193=1,IF(AO1193&lt;=0,0,CA1193*MAX(1,IF(H1193&gt;0,AO1193/H1193,1))),IF(R1193&gt;0,AP1193/R1193,0))/MAX(0.1,N(Parameter!$M$21)))</f>
        <v>0.153846153846154</v>
      </c>
      <c r="AR1193" s="50" t="n">
        <f aca="false">AQ1193*BY1193</f>
        <v>37.6923076923077</v>
      </c>
      <c r="AS1193" s="50" t="n">
        <f aca="false">AO1193*G1193</f>
        <v>1277.92</v>
      </c>
      <c r="AT1193" s="50" t="n">
        <f aca="false">ROUNDUP(MAX(J1193/IF(CD1193&gt;0,CD1193,MAX(0.1,N(Cockpit!$I$6))),CG1193)/BV1193,0)*BV1193</f>
        <v>16</v>
      </c>
      <c r="AU1193" s="51" t="n">
        <f aca="false">IF(AR1193&gt;0,J1193/AR1193,-1)</f>
        <v>0.344897959183673</v>
      </c>
      <c r="AV1193" s="51" t="n">
        <f aca="false">IF(AND(OR(CC1193="L1",CC1193="L23",CC1193="LIFT"),AR1193&gt;0),SUMIFS($AR$7:$AR$1843,$CC$7:$CC$1843,CC1193,$AU$7:$AU$1843,"&gt;"&amp;AU1193)+SUMIFS($AR$7:$AR$1843,$CC$7:$CC$1843,CC1193,$AU$7:$AU$1843,AU1193,$BT$7:$BT$1843,"&lt;="&amp;BT1193),"")</f>
        <v>16028.6405677656</v>
      </c>
      <c r="AW1193" s="58" t="n">
        <f aca="false">IF(AV1193="",0,MAX(0,MIN(1,(IF(CC1193="L1",Parameter!$H$5,IF(CC1193="L23",Parameter!$H$6+Parameter!$H$7,Parameter!$H$5+Parameter!$H$6+Parameter!$H$7))-(AV1193-AR1193))/AR1193)))</f>
        <v>1</v>
      </c>
      <c r="AX1193" s="50" t="n">
        <f aca="false">IF(LEFT(Cockpit!$O$5,1)="A",H1193,IF(CE1193=1,CF1193,IF(LEFT(Cockpit!$O$5,1)="B",BC1193,MAX(BC1193,H1193))))</f>
        <v>16</v>
      </c>
      <c r="AY1193" s="50" t="n">
        <f aca="false">IF(BW1193=1,0,ROUNDUP(AX1193/BV1193,0))</f>
        <v>4</v>
      </c>
      <c r="AZ1193" s="52" t="n">
        <f aca="false">IF(CL1193&gt;0,CL1193*MAX(1,AX1193/X1193),IF(BW1193=1,IF(AX1193&lt;=0,0,CA1193*MAX(1,IF(H1193&gt;0,AX1193/H1193,1))),IF(R1193&gt;0,AY1193/R1193,0))/MAX(0.1,N(Parameter!$M$21)))</f>
        <v>0.153846153846154</v>
      </c>
      <c r="BA1193" s="50" t="n">
        <f aca="false">AZ1193*BY1193</f>
        <v>37.6923076923077</v>
      </c>
      <c r="BB1193" s="50" t="n">
        <f aca="false">AX1193*G1193</f>
        <v>1277.92</v>
      </c>
      <c r="BC1193" s="50" t="n">
        <f aca="false">ROUNDUP(MAX(J1193/IF(CD1193&gt;0,CD1193,MAX(0.1,N(Cockpit!$O$6))),CG1193)/BV1193,0)*BV1193</f>
        <v>16</v>
      </c>
      <c r="BD1193" s="51" t="n">
        <f aca="false">IF(BA1193&gt;0,J1193/BA1193,-1)</f>
        <v>0.344897959183673</v>
      </c>
      <c r="BE1193" s="51" t="n">
        <f aca="false">IF(AND(OR(CC1193="L1",CC1193="L23",CC1193="LIFT"),BA1193&gt;0),SUMIFS($BA$7:$BA$1843,$CC$7:$CC$1843,CC1193,$BD$7:$BD$1843,"&gt;"&amp;BD1193)+SUMIFS($BA$7:$BA$1843,$CC$7:$CC$1843,CC1193,$BD$7:$BD$1843,BD1193,$BT$7:$BT$1843,"&lt;="&amp;BT1193),"")</f>
        <v>14779.2976190476</v>
      </c>
      <c r="BF1193" s="58" t="n">
        <f aca="false">IF(BE1193="",0,MAX(0,MIN(1,(IF(CC1193="L1",Parameter!$H$5,IF(CC1193="L23",Parameter!$H$6+Parameter!$H$7,Parameter!$H$5+Parameter!$H$6+Parameter!$H$7))-(BE1193-BA1193))/BA1193)))</f>
        <v>1</v>
      </c>
      <c r="BG1193" s="48" t="str">
        <f aca="false">IF(AI1193&lt;=0,"",IF(CC1193="Aussen","Aussenlager",IF(CC1193="-","Nicht im Lift",IF(AN1193&gt;=1,"Lift",IF(AN1193&lt;=0,"Aussenlager","teilweise")))))</f>
        <v>Lift</v>
      </c>
      <c r="BH1193" s="48" t="str">
        <f aca="false">IF(AR1193&lt;=0,"",IF(CC1193="Aussen","Aussenlager",IF(CC1193="-","Nicht im Lift",IF(AW1193&gt;=1,"Lift",IF(AW1193&lt;=0,"Aussenlager","teilweise")))))</f>
        <v>Lift</v>
      </c>
      <c r="BI1193" s="48" t="str">
        <f aca="false">IF(BA1193&lt;=0,"",IF(CC1193="Aussen","Aussenlager",IF(CC1193="-","Nicht im Lift",IF(BF1193&gt;=1,"Lift",IF(BF1193&lt;=0,"Aussenlager","teilweise")))))</f>
        <v>Lift</v>
      </c>
      <c r="BJ1193" s="48" t="str">
        <f aca="false">IF(A1193="","",IF(BS1193=1,"Neu; ","")&amp;IF(AND(BS1193=0,BN1193&lt;0),"negativer Bestand (Export "&amp;BN1193&amp;"); ","")&amp;IF(J1193&lt;=0,"Kein Verbrauch; ","")&amp;IF(CL1193&gt;0,"Lift "&amp;W1193&amp;" lt. Liftbericht (Fach "&amp;X1193&amp;" Stk); ",IF(BX1193=1,"Gebinde geschätzt ("&amp;T1193&amp;"); ",IF(BW1193=1,"Lose – Tablare geschätzt; ","")))&amp;IF(H1193&gt;AT1193,"Überbestand "&amp;ROUND(H1193-AT1193,0)&amp;" Stk / CHF "&amp;ROUND((H1193-AT1193)*G1193,0)&amp;"; ","")&amp;IF(AND(CE1193=1,CF1193&lt;CG1193),"MAX &lt; MB+LG; ","")&amp;IF(AND(CK1193&gt;0,CJ1193*10&gt;CK1193),"zu hoch für Tablar; ","")&amp;IF(AND(BS1193=0,OR(CE1193=1,AA1193&lt;&gt;"",U1193&lt;&gt;"",V1193&lt;&gt;"",AB1193&lt;&gt;"")),"manuell übersteuert; ","")&amp;IF(AND(BW1193=0,R1193=0),"Gebinde unbekannt / Stellmass fehlt; ","")&amp;IF(AND(BW1193=0,N(V1193)&lt;=0,N(Q1193)&lt;=0),"Menge pro Gebinde fehlt (Ist = 1 Gebinde); ","")&amp;BR1193)</f>
        <v>negativer Bestand (Export -6); </v>
      </c>
      <c r="BK1193" s="48"/>
      <c r="BL1193" s="48"/>
      <c r="BM1193" s="55"/>
      <c r="BN1193" s="50" t="n">
        <v>-6</v>
      </c>
      <c r="BO1193" s="50" t="n">
        <v>12</v>
      </c>
      <c r="BP1193" s="49" t="n">
        <v>-435.78</v>
      </c>
      <c r="BQ1193" s="50" t="n">
        <v>13</v>
      </c>
      <c r="BR1193" s="48"/>
      <c r="BS1193" s="53" t="n">
        <v>0</v>
      </c>
      <c r="BT1193" s="53" t="n">
        <v>1193</v>
      </c>
      <c r="BU1193" s="48" t="str">
        <f aca="false">IF(U1193&lt;&gt;"",UPPER(TRIM(U1193)),IF(BX1193=1,UPPER(VLOOKUP(T1193,Parameter!$I$27:$K$29,2,0)),IF(P1193="","LOSE",P1193)))</f>
        <v>S52</v>
      </c>
      <c r="BV1193" s="50" t="n">
        <f aca="false">IF(BU1193="LOSE",1,IF(N(V1193)&gt;0,V1193,IF(BX1193=1,MAX(1,N(VLOOKUP(T1193,Parameter!$I$27:$K$29,3,0)),H1193,N(N1193)),IF(N(Q1193)&gt;0,Q1193,MAX(1,H1193)))))</f>
        <v>4</v>
      </c>
      <c r="BW1193" s="53" t="n">
        <f aca="false">IF(BU1193="LOSE",1,0)</f>
        <v>0</v>
      </c>
      <c r="BX1193" s="53" t="n">
        <f aca="false">IF(AND(U1193="",OR(P1193="",P1193="LOSE"),T1193&lt;&gt;"",N(S1193)&lt;=0,ISNUMBER(MATCH(T1193,Parameter!$I$27:$I$29,0))),1,0)</f>
        <v>0</v>
      </c>
      <c r="BY1193" s="53" t="n">
        <f aca="false">IF(CL1193&gt;0,INDEX(Parameter!$H$5:$H$7,W1193)/INDEX(Parameter!$E$5:$E$7,W1193),IF(AND(BW1193=0,N(IFERROR(VLOOKUP(BU1193,'Gebinde-Kategorie'!$A$5:$N$45,14,0),0))&gt;0),VLOOKUP(BU1193,'Gebinde-Kategorie'!$A$5:$N$45,14,0)*10+Parameter!$M$23,Parameter!$M$24))</f>
        <v>245</v>
      </c>
      <c r="BZ1193" s="48" t="str">
        <f aca="false">IF(AND(Parameter!$B$19="Ja",E1193&lt;&gt;"",ISNUMBER(MATCH(E1193,Parameter!$I$35:$I$52,0))),VLOOKUP(E1193,Parameter!$I$35:$J$52,2,0),IFERROR(VLOOKUP(D1193,Parameter!$A$35:$C$64,2,0),"Nein"))</f>
        <v>2+3</v>
      </c>
      <c r="CA1193" s="52" t="n">
        <f aca="false">IF(BW1193=0,0,IF(N(S1193)&gt;0,S1193,IFERROR(VLOOKUP(D1193,Parameter!$A$35:$C$64,3,0)+0,0)))</f>
        <v>0</v>
      </c>
      <c r="CB1193" s="48" t="n">
        <f aca="false">IF(AA1193&lt;&gt;"",AA1193,Z1193)</f>
        <v>3</v>
      </c>
      <c r="CC1193" s="48" t="str">
        <f aca="false">IF(OR(CB1193=1,CB1193=2,CB1193=3),IF(Parameter!$E$27="Ja","LIFT",IF(CB1193=1,"L1","L23")),IF(CB1193="Aussen","Aussen","-"))</f>
        <v>LIFT</v>
      </c>
      <c r="CD1193" s="59" t="n">
        <f aca="false">IF(N(AB1193)&gt;0,AB1193,0)</f>
        <v>0</v>
      </c>
      <c r="CE1193" s="53" t="n">
        <f aca="false">IF(ISNUMBER(AE1193),1,0)</f>
        <v>0</v>
      </c>
      <c r="CF1193" s="50" t="n">
        <f aca="false">N(AE1193)</f>
        <v>0</v>
      </c>
      <c r="CG1193" s="50" t="n">
        <f aca="false">N(M1193)+N(N1193)</f>
        <v>15</v>
      </c>
      <c r="CH1193" s="50" t="n">
        <f aca="false">ROUNDUP(H1193/BV1193,0)</f>
        <v>2</v>
      </c>
      <c r="CI1193" s="50" t="n">
        <f aca="false">ROUNDUP(CF1193/BV1193,0)</f>
        <v>0</v>
      </c>
      <c r="CJ1193" s="53" t="n">
        <f aca="false">IF(BW1193=1,0,IFERROR(VLOOKUP(BU1193,'Gebinde-Kategorie'!$A$5:$N$45,5,0)+0,0))</f>
        <v>21</v>
      </c>
      <c r="CK1193" s="53" t="n">
        <f aca="false">IFERROR(IF(OR(CB1193=1,CB1193=2,CB1193=3),N(INDEX(Parameter!$I$5:$I$7,CB1193)),0),0)</f>
        <v>0</v>
      </c>
      <c r="CL1193" s="52" t="n">
        <f aca="false">IF(AND(Parameter!$B$21="Ja",ISNUMBER(W1193),N(X1193)&gt;0),IFERROR(N(INDEX(Parameter!$L$5:$L$7,W1193))*INDEX(Parameter!$E$5:$E$7,W1193)*X1193/SUMIFS($X$7:$X$1843,$W$7:$W$1843,W1193),0),0)</f>
        <v>0</v>
      </c>
    </row>
    <row r="1194" customFormat="false" ht="15" hidden="false" customHeight="false" outlineLevel="0" collapsed="false">
      <c r="A1194" s="48" t="s">
        <v>2152</v>
      </c>
      <c r="B1194" s="48" t="s">
        <v>1946</v>
      </c>
      <c r="C1194" s="48" t="s">
        <v>168</v>
      </c>
      <c r="D1194" s="48" t="s">
        <v>188</v>
      </c>
      <c r="E1194" s="48"/>
      <c r="F1194" s="48" t="s">
        <v>222</v>
      </c>
      <c r="G1194" s="49" t="n">
        <v>40.33</v>
      </c>
      <c r="H1194" s="50" t="n">
        <f aca="false">MAX(0,IF(AND(Parameter!$B$21="Ja",ISNUMBER(Y1194)),Y1194,IF(Parameter!$B$20="Jahresanfang 2025 + Export",BO1194+BN1194,BN1194)))</f>
        <v>18</v>
      </c>
      <c r="I1194" s="50" t="n">
        <f aca="false">H1194*G1194</f>
        <v>725.94</v>
      </c>
      <c r="J1194" s="50" t="n">
        <f aca="false">BQ1194*Parameter!$B$18</f>
        <v>0</v>
      </c>
      <c r="K1194" s="51" t="n">
        <v>23.5</v>
      </c>
      <c r="L1194" s="52" t="n">
        <v>0</v>
      </c>
      <c r="M1194" s="50" t="n">
        <v>0</v>
      </c>
      <c r="N1194" s="50" t="n">
        <v>1</v>
      </c>
      <c r="O1194" s="53" t="n">
        <v>14</v>
      </c>
      <c r="P1194" s="48" t="s">
        <v>430</v>
      </c>
      <c r="Q1194" s="50" t="n">
        <v>20</v>
      </c>
      <c r="R1194" s="53" t="n">
        <f aca="false">IF(BW1194=1,0,IFERROR(VLOOKUP(BU1194,'Gebinde-Kategorie'!$A$5:$N$45,13,0)+0,0))</f>
        <v>140</v>
      </c>
      <c r="S1194" s="54"/>
      <c r="T1194" s="55"/>
      <c r="U1194" s="55"/>
      <c r="V1194" s="55"/>
      <c r="W1194" s="48"/>
      <c r="X1194" s="50"/>
      <c r="Y1194" s="50"/>
      <c r="Z1194" s="48" t="n">
        <f aca="false">IF(A1194="","",IF(AND(Parameter!$B$21="Ja",ISNUMBER(W1194)),W1194,IF(BZ1194="2+3",IF(ISNUMBER(SEARCH("grosser Artikel",BR1194)),2,IFERROR(VLOOKUP(BU1194,Parameter!$F$35:$G$64,2,0),2)),IF(OR(BZ1194="Nein",BZ1194=""),"-",BZ1194))))</f>
        <v>3</v>
      </c>
      <c r="AA1194" s="55"/>
      <c r="AB1194" s="56"/>
      <c r="AC1194" s="50" t="n">
        <f aca="false">AT1194</f>
        <v>20</v>
      </c>
      <c r="AD1194" s="50" t="n">
        <f aca="false">MAX(AT1194,H1194)</f>
        <v>20</v>
      </c>
      <c r="AE1194" s="57"/>
      <c r="AF1194" s="50" t="n">
        <f aca="false">IF(LEFT(Cockpit!$C$5,1)="A",H1194,IF(CE1194=1,CF1194,IF(LEFT(Cockpit!$C$5,1)="B",AK1194,MAX(AK1194,H1194))))</f>
        <v>18</v>
      </c>
      <c r="AG1194" s="50" t="n">
        <f aca="false">IF(BW1194=1,0,ROUNDUP(AF1194/BV1194,0))</f>
        <v>1</v>
      </c>
      <c r="AH1194" s="52" t="n">
        <f aca="false">IF(CL1194&gt;0,CL1194*MAX(1,AF1194/X1194),IF(BW1194=1,IF(AF1194&lt;=0,0,CA1194*MAX(1,IF(H1194&gt;0,AF1194/H1194,1))),IF(R1194&gt;0,AG1194/R1194,0))/MAX(0.1,N(Parameter!$M$21)))</f>
        <v>0.00714285714285714</v>
      </c>
      <c r="AI1194" s="50" t="n">
        <f aca="false">AH1194*BY1194</f>
        <v>1.10714285714286</v>
      </c>
      <c r="AJ1194" s="50" t="n">
        <f aca="false">AF1194*G1194</f>
        <v>725.94</v>
      </c>
      <c r="AK1194" s="50" t="n">
        <f aca="false">ROUNDUP(MAX(J1194/IF(CD1194&gt;0,CD1194,MAX(0.1,N(Cockpit!$C$6))),CG1194)/BV1194,0)*BV1194</f>
        <v>20</v>
      </c>
      <c r="AL1194" s="51" t="n">
        <f aca="false">IF(AI1194&gt;0,J1194/AI1194,-1)</f>
        <v>0</v>
      </c>
      <c r="AM1194" s="51" t="n">
        <f aca="false">IF(AND(OR(CC1194="L1",CC1194="L23",CC1194="LIFT"),AI1194&gt;0),SUMIFS($AI$7:$AI$1843,$CC$7:$CC$1843,CC1194,$AL$7:$AL$1843,"&gt;"&amp;AL1194)+SUMIFS($AI$7:$AI$1843,$CC$7:$CC$1843,CC1194,$AL$7:$AL$1843,AL1194,$BT$7:$BT$1843,"&lt;="&amp;BT1194),"")</f>
        <v>29408.5835014797</v>
      </c>
      <c r="AN1194" s="58" t="n">
        <f aca="false">IF(AM1194="",0,MAX(0,MIN(1,(IF(CC1194="L1",Parameter!$H$5,IF(CC1194="L23",Parameter!$H$6+Parameter!$H$7,Parameter!$H$5+Parameter!$H$6+Parameter!$H$7))-(AM1194-AI1194))/AI1194)))</f>
        <v>1</v>
      </c>
      <c r="AO1194" s="50" t="n">
        <f aca="false">IF(LEFT(Cockpit!$I$5,1)="A",H1194,IF(CE1194=1,CF1194,IF(LEFT(Cockpit!$I$5,1)="B",AT1194,MAX(AT1194,H1194))))</f>
        <v>20</v>
      </c>
      <c r="AP1194" s="50" t="n">
        <f aca="false">IF(BW1194=1,0,ROUNDUP(AO1194/BV1194,0))</f>
        <v>1</v>
      </c>
      <c r="AQ1194" s="52" t="n">
        <f aca="false">IF(CL1194&gt;0,CL1194*MAX(1,AO1194/X1194),IF(BW1194=1,IF(AO1194&lt;=0,0,CA1194*MAX(1,IF(H1194&gt;0,AO1194/H1194,1))),IF(R1194&gt;0,AP1194/R1194,0))/MAX(0.1,N(Parameter!$M$21)))</f>
        <v>0.00714285714285714</v>
      </c>
      <c r="AR1194" s="50" t="n">
        <f aca="false">AQ1194*BY1194</f>
        <v>1.10714285714286</v>
      </c>
      <c r="AS1194" s="50" t="n">
        <f aca="false">AO1194*G1194</f>
        <v>806.6</v>
      </c>
      <c r="AT1194" s="50" t="n">
        <f aca="false">ROUNDUP(MAX(J1194/IF(CD1194&gt;0,CD1194,MAX(0.1,N(Cockpit!$I$6))),CG1194)/BV1194,0)*BV1194</f>
        <v>20</v>
      </c>
      <c r="AU1194" s="51" t="n">
        <f aca="false">IF(AR1194&gt;0,J1194/AR1194,-1)</f>
        <v>0</v>
      </c>
      <c r="AV1194" s="51" t="n">
        <f aca="false">IF(AND(OR(CC1194="L1",CC1194="L23",CC1194="LIFT"),AR1194&gt;0),SUMIFS($AR$7:$AR$1843,$CC$7:$CC$1843,CC1194,$AU$7:$AU$1843,"&gt;"&amp;AU1194)+SUMIFS($AR$7:$AR$1843,$CC$7:$CC$1843,CC1194,$AU$7:$AU$1843,AU1194,$BT$7:$BT$1843,"&lt;="&amp;BT1194),"")</f>
        <v>41177.7083410939</v>
      </c>
      <c r="AW1194" s="58" t="n">
        <f aca="false">IF(AV1194="",0,MAX(0,MIN(1,(IF(CC1194="L1",Parameter!$H$5,IF(CC1194="L23",Parameter!$H$6+Parameter!$H$7,Parameter!$H$5+Parameter!$H$6+Parameter!$H$7))-(AV1194-AR1194))/AR1194)))</f>
        <v>0</v>
      </c>
      <c r="AX1194" s="50" t="n">
        <f aca="false">IF(LEFT(Cockpit!$O$5,1)="A",H1194,IF(CE1194=1,CF1194,IF(LEFT(Cockpit!$O$5,1)="B",BC1194,MAX(BC1194,H1194))))</f>
        <v>20</v>
      </c>
      <c r="AY1194" s="50" t="n">
        <f aca="false">IF(BW1194=1,0,ROUNDUP(AX1194/BV1194,0))</f>
        <v>1</v>
      </c>
      <c r="AZ1194" s="52" t="n">
        <f aca="false">IF(CL1194&gt;0,CL1194*MAX(1,AX1194/X1194),IF(BW1194=1,IF(AX1194&lt;=0,0,CA1194*MAX(1,IF(H1194&gt;0,AX1194/H1194,1))),IF(R1194&gt;0,AY1194/R1194,0))/MAX(0.1,N(Parameter!$M$21)))</f>
        <v>0.00714285714285714</v>
      </c>
      <c r="BA1194" s="50" t="n">
        <f aca="false">AZ1194*BY1194</f>
        <v>1.10714285714286</v>
      </c>
      <c r="BB1194" s="50" t="n">
        <f aca="false">AX1194*G1194</f>
        <v>806.6</v>
      </c>
      <c r="BC1194" s="50" t="n">
        <f aca="false">ROUNDUP(MAX(J1194/IF(CD1194&gt;0,CD1194,MAX(0.1,N(Cockpit!$O$6))),CG1194)/BV1194,0)*BV1194</f>
        <v>20</v>
      </c>
      <c r="BD1194" s="51" t="n">
        <f aca="false">IF(BA1194&gt;0,J1194/BA1194,-1)</f>
        <v>0</v>
      </c>
      <c r="BE1194" s="51" t="n">
        <f aca="false">IF(AND(OR(CC1194="L1",CC1194="L23",CC1194="LIFT"),BA1194&gt;0),SUMIFS($BA$7:$BA$1843,$CC$7:$CC$1843,CC1194,$BD$7:$BD$1843,"&gt;"&amp;BD1194)+SUMIFS($BA$7:$BA$1843,$CC$7:$CC$1843,CC1194,$BD$7:$BD$1843,BD1194,$BT$7:$BT$1843,"&lt;="&amp;BT1194),"")</f>
        <v>37852.7203829598</v>
      </c>
      <c r="BF1194" s="58" t="n">
        <f aca="false">IF(BE1194="",0,MAX(0,MIN(1,(IF(CC1194="L1",Parameter!$H$5,IF(CC1194="L23",Parameter!$H$6+Parameter!$H$7,Parameter!$H$5+Parameter!$H$6+Parameter!$H$7))-(BE1194-BA1194))/BA1194)))</f>
        <v>0</v>
      </c>
      <c r="BG1194" s="48" t="str">
        <f aca="false">IF(AI1194&lt;=0,"",IF(CC1194="Aussen","Aussenlager",IF(CC1194="-","Nicht im Lift",IF(AN1194&gt;=1,"Lift",IF(AN1194&lt;=0,"Aussenlager","teilweise")))))</f>
        <v>Lift</v>
      </c>
      <c r="BH1194" s="48" t="str">
        <f aca="false">IF(AR1194&lt;=0,"",IF(CC1194="Aussen","Aussenlager",IF(CC1194="-","Nicht im Lift",IF(AW1194&gt;=1,"Lift",IF(AW1194&lt;=0,"Aussenlager","teilweise")))))</f>
        <v>Aussenlager</v>
      </c>
      <c r="BI1194" s="48" t="str">
        <f aca="false">IF(BA1194&lt;=0,"",IF(CC1194="Aussen","Aussenlager",IF(CC1194="-","Nicht im Lift",IF(BF1194&gt;=1,"Lift",IF(BF1194&lt;=0,"Aussenlager","teilweise")))))</f>
        <v>Aussenlager</v>
      </c>
      <c r="BJ1194" s="48" t="str">
        <f aca="false">IF(A1194="","",IF(BS1194=1,"Neu; ","")&amp;IF(AND(BS1194=0,BN1194&lt;0),"negativer Bestand (Export "&amp;BN1194&amp;"); ","")&amp;IF(J1194&lt;=0,"Kein Verbrauch; ","")&amp;IF(CL1194&gt;0,"Lift "&amp;W1194&amp;" lt. Liftbericht (Fach "&amp;X1194&amp;" Stk); ",IF(BX1194=1,"Gebinde geschätzt ("&amp;T1194&amp;"); ",IF(BW1194=1,"Lose – Tablare geschätzt; ","")))&amp;IF(H1194&gt;AT1194,"Überbestand "&amp;ROUND(H1194-AT1194,0)&amp;" Stk / CHF "&amp;ROUND((H1194-AT1194)*G1194,0)&amp;"; ","")&amp;IF(AND(CE1194=1,CF1194&lt;CG1194),"MAX &lt; MB+LG; ","")&amp;IF(AND(CK1194&gt;0,CJ1194*10&gt;CK1194),"zu hoch für Tablar; ","")&amp;IF(AND(BS1194=0,OR(CE1194=1,AA1194&lt;&gt;"",U1194&lt;&gt;"",V1194&lt;&gt;"",AB1194&lt;&gt;"")),"manuell übersteuert; ","")&amp;IF(AND(BW1194=0,R1194=0),"Gebinde unbekannt / Stellmass fehlt; ","")&amp;IF(AND(BW1194=0,N(V1194)&lt;=0,N(Q1194)&lt;=0),"Menge pro Gebinde fehlt (Ist = 1 Gebinde); ","")&amp;BR1194)</f>
        <v>negativer Bestand (Export -11); Kein Verbrauch; Verb.Lager</v>
      </c>
      <c r="BK1194" s="48"/>
      <c r="BL1194" s="48"/>
      <c r="BM1194" s="55"/>
      <c r="BN1194" s="50" t="n">
        <v>-11</v>
      </c>
      <c r="BO1194" s="50" t="n">
        <v>29</v>
      </c>
      <c r="BP1194" s="49" t="n">
        <v>-443.63</v>
      </c>
      <c r="BQ1194" s="50" t="n">
        <v>0</v>
      </c>
      <c r="BR1194" s="48" t="s">
        <v>1034</v>
      </c>
      <c r="BS1194" s="53" t="n">
        <v>0</v>
      </c>
      <c r="BT1194" s="53" t="n">
        <v>1194</v>
      </c>
      <c r="BU1194" s="48" t="str">
        <f aca="false">IF(U1194&lt;&gt;"",UPPER(TRIM(U1194)),IF(BX1194=1,UPPER(VLOOKUP(T1194,Parameter!$I$27:$K$29,2,0)),IF(P1194="","LOSE",P1194)))</f>
        <v>S22</v>
      </c>
      <c r="BV1194" s="50" t="n">
        <f aca="false">IF(BU1194="LOSE",1,IF(N(V1194)&gt;0,V1194,IF(BX1194=1,MAX(1,N(VLOOKUP(T1194,Parameter!$I$27:$K$29,3,0)),H1194,N(N1194)),IF(N(Q1194)&gt;0,Q1194,MAX(1,H1194)))))</f>
        <v>20</v>
      </c>
      <c r="BW1194" s="53" t="n">
        <f aca="false">IF(BU1194="LOSE",1,0)</f>
        <v>0</v>
      </c>
      <c r="BX1194" s="53" t="n">
        <f aca="false">IF(AND(U1194="",OR(P1194="",P1194="LOSE"),T1194&lt;&gt;"",N(S1194)&lt;=0,ISNUMBER(MATCH(T1194,Parameter!$I$27:$I$29,0))),1,0)</f>
        <v>0</v>
      </c>
      <c r="BY1194" s="53" t="n">
        <f aca="false">IF(CL1194&gt;0,INDEX(Parameter!$H$5:$H$7,W1194)/INDEX(Parameter!$E$5:$E$7,W1194),IF(AND(BW1194=0,N(IFERROR(VLOOKUP(BU1194,'Gebinde-Kategorie'!$A$5:$N$45,14,0),0))&gt;0),VLOOKUP(BU1194,'Gebinde-Kategorie'!$A$5:$N$45,14,0)*10+Parameter!$M$23,Parameter!$M$24))</f>
        <v>155</v>
      </c>
      <c r="BZ1194" s="48" t="str">
        <f aca="false">IF(AND(Parameter!$B$19="Ja",E1194&lt;&gt;"",ISNUMBER(MATCH(E1194,Parameter!$I$35:$I$52,0))),VLOOKUP(E1194,Parameter!$I$35:$J$52,2,0),IFERROR(VLOOKUP(D1194,Parameter!$A$35:$C$64,2,0),"Nein"))</f>
        <v>2+3</v>
      </c>
      <c r="CA1194" s="52" t="n">
        <f aca="false">IF(BW1194=0,0,IF(N(S1194)&gt;0,S1194,IFERROR(VLOOKUP(D1194,Parameter!$A$35:$C$64,3,0)+0,0)))</f>
        <v>0</v>
      </c>
      <c r="CB1194" s="48" t="n">
        <f aca="false">IF(AA1194&lt;&gt;"",AA1194,Z1194)</f>
        <v>3</v>
      </c>
      <c r="CC1194" s="48" t="str">
        <f aca="false">IF(OR(CB1194=1,CB1194=2,CB1194=3),IF(Parameter!$E$27="Ja","LIFT",IF(CB1194=1,"L1","L23")),IF(CB1194="Aussen","Aussen","-"))</f>
        <v>LIFT</v>
      </c>
      <c r="CD1194" s="59" t="n">
        <f aca="false">IF(N(AB1194)&gt;0,AB1194,0)</f>
        <v>0</v>
      </c>
      <c r="CE1194" s="53" t="n">
        <f aca="false">IF(ISNUMBER(AE1194),1,0)</f>
        <v>0</v>
      </c>
      <c r="CF1194" s="50" t="n">
        <f aca="false">N(AE1194)</f>
        <v>0</v>
      </c>
      <c r="CG1194" s="50" t="n">
        <f aca="false">N(M1194)+N(N1194)</f>
        <v>1</v>
      </c>
      <c r="CH1194" s="50" t="n">
        <f aca="false">ROUNDUP(H1194/BV1194,0)</f>
        <v>1</v>
      </c>
      <c r="CI1194" s="50" t="n">
        <f aca="false">ROUNDUP(CF1194/BV1194,0)</f>
        <v>0</v>
      </c>
      <c r="CJ1194" s="53" t="n">
        <f aca="false">IF(BW1194=1,0,IFERROR(VLOOKUP(BU1194,'Gebinde-Kategorie'!$A$5:$N$45,5,0)+0,0))</f>
        <v>8</v>
      </c>
      <c r="CK1194" s="53" t="n">
        <f aca="false">IFERROR(IF(OR(CB1194=1,CB1194=2,CB1194=3),N(INDEX(Parameter!$I$5:$I$7,CB1194)),0),0)</f>
        <v>0</v>
      </c>
      <c r="CL1194" s="52" t="n">
        <f aca="false">IF(AND(Parameter!$B$21="Ja",ISNUMBER(W1194),N(X1194)&gt;0),IFERROR(N(INDEX(Parameter!$L$5:$L$7,W1194))*INDEX(Parameter!$E$5:$E$7,W1194)*X1194/SUMIFS($X$7:$X$1843,$W$7:$W$1843,W1194),0),0)</f>
        <v>0</v>
      </c>
    </row>
    <row r="1195" customFormat="false" ht="15" hidden="false" customHeight="false" outlineLevel="0" collapsed="false">
      <c r="A1195" s="48" t="s">
        <v>2153</v>
      </c>
      <c r="B1195" s="48" t="s">
        <v>2154</v>
      </c>
      <c r="C1195" s="48" t="s">
        <v>171</v>
      </c>
      <c r="D1195" s="48" t="s">
        <v>177</v>
      </c>
      <c r="E1195" s="48" t="s">
        <v>189</v>
      </c>
      <c r="F1195" s="48" t="s">
        <v>222</v>
      </c>
      <c r="G1195" s="49" t="n">
        <v>225.57</v>
      </c>
      <c r="H1195" s="50" t="n">
        <f aca="false">MAX(0,IF(AND(Parameter!$B$21="Ja",ISNUMBER(Y1195)),Y1195,IF(Parameter!$B$20="Jahresanfang 2025 + Export",BO1195+BN1195,BN1195)))</f>
        <v>13</v>
      </c>
      <c r="I1195" s="50" t="n">
        <f aca="false">H1195*G1195</f>
        <v>2932.41</v>
      </c>
      <c r="J1195" s="50" t="n">
        <f aca="false">BQ1195*Parameter!$B$18</f>
        <v>2</v>
      </c>
      <c r="K1195" s="51" t="n">
        <v>14</v>
      </c>
      <c r="L1195" s="52" t="n">
        <v>0.142857142857143</v>
      </c>
      <c r="M1195" s="50" t="n">
        <v>0</v>
      </c>
      <c r="N1195" s="50" t="n">
        <v>1</v>
      </c>
      <c r="O1195" s="53" t="n">
        <v>77</v>
      </c>
      <c r="P1195" s="48" t="s">
        <v>297</v>
      </c>
      <c r="Q1195" s="50" t="n">
        <v>13</v>
      </c>
      <c r="R1195" s="53" t="n">
        <f aca="false">IF(BW1195=1,0,IFERROR(VLOOKUP(BU1195,'Gebinde-Kategorie'!$A$5:$N$45,13,0)+0,0))</f>
        <v>12</v>
      </c>
      <c r="S1195" s="54"/>
      <c r="T1195" s="55"/>
      <c r="U1195" s="55"/>
      <c r="V1195" s="55"/>
      <c r="W1195" s="48"/>
      <c r="X1195" s="50"/>
      <c r="Y1195" s="50"/>
      <c r="Z1195" s="48" t="n">
        <f aca="false">IF(A1195="","",IF(AND(Parameter!$B$21="Ja",ISNUMBER(W1195)),W1195,IF(BZ1195="2+3",IF(ISNUMBER(SEARCH("grosser Artikel",BR1195)),2,IFERROR(VLOOKUP(BU1195,Parameter!$F$35:$G$64,2,0),2)),IF(OR(BZ1195="Nein",BZ1195=""),"-",BZ1195))))</f>
        <v>2</v>
      </c>
      <c r="AA1195" s="55"/>
      <c r="AB1195" s="56"/>
      <c r="AC1195" s="50" t="n">
        <f aca="false">AT1195</f>
        <v>13</v>
      </c>
      <c r="AD1195" s="50" t="n">
        <f aca="false">MAX(AT1195,H1195)</f>
        <v>13</v>
      </c>
      <c r="AE1195" s="57"/>
      <c r="AF1195" s="50" t="n">
        <f aca="false">IF(LEFT(Cockpit!$C$5,1)="A",H1195,IF(CE1195=1,CF1195,IF(LEFT(Cockpit!$C$5,1)="B",AK1195,MAX(AK1195,H1195))))</f>
        <v>13</v>
      </c>
      <c r="AG1195" s="50" t="n">
        <f aca="false">IF(BW1195=1,0,ROUNDUP(AF1195/BV1195,0))</f>
        <v>1</v>
      </c>
      <c r="AH1195" s="52" t="n">
        <f aca="false">IF(CL1195&gt;0,CL1195*MAX(1,AF1195/X1195),IF(BW1195=1,IF(AF1195&lt;=0,0,CA1195*MAX(1,IF(H1195&gt;0,AF1195/H1195,1))),IF(R1195&gt;0,AG1195/R1195,0))/MAX(0.1,N(Parameter!$M$21)))</f>
        <v>0.0833333333333333</v>
      </c>
      <c r="AI1195" s="50" t="n">
        <f aca="false">AH1195*BY1195</f>
        <v>20.4166666666667</v>
      </c>
      <c r="AJ1195" s="50" t="n">
        <f aca="false">AF1195*G1195</f>
        <v>2932.41</v>
      </c>
      <c r="AK1195" s="50" t="n">
        <f aca="false">ROUNDUP(MAX(J1195/IF(CD1195&gt;0,CD1195,MAX(0.1,N(Cockpit!$C$6))),CG1195)/BV1195,0)*BV1195</f>
        <v>13</v>
      </c>
      <c r="AL1195" s="51" t="n">
        <f aca="false">IF(AI1195&gt;0,J1195/AI1195,-1)</f>
        <v>0.0979591836734694</v>
      </c>
      <c r="AM1195" s="51" t="n">
        <f aca="false">IF(AND(OR(CC1195="L1",CC1195="L23",CC1195="LIFT"),AI1195&gt;0),SUMIFS($AI$7:$AI$1843,$CC$7:$CC$1843,CC1195,$AL$7:$AL$1843,"&gt;"&amp;AL1195)+SUMIFS($AI$7:$AI$1843,$CC$7:$CC$1843,CC1195,$AL$7:$AL$1843,AL1195,$BT$7:$BT$1843,"&lt;="&amp;BT1195),"")</f>
        <v>16179.6688939591</v>
      </c>
      <c r="AN1195" s="58" t="n">
        <f aca="false">IF(AM1195="",0,MAX(0,MIN(1,(IF(CC1195="L1",Parameter!$H$5,IF(CC1195="L23",Parameter!$H$6+Parameter!$H$7,Parameter!$H$5+Parameter!$H$6+Parameter!$H$7))-(AM1195-AI1195))/AI1195)))</f>
        <v>1</v>
      </c>
      <c r="AO1195" s="50" t="n">
        <f aca="false">IF(LEFT(Cockpit!$I$5,1)="A",H1195,IF(CE1195=1,CF1195,IF(LEFT(Cockpit!$I$5,1)="B",AT1195,MAX(AT1195,H1195))))</f>
        <v>13</v>
      </c>
      <c r="AP1195" s="50" t="n">
        <f aca="false">IF(BW1195=1,0,ROUNDUP(AO1195/BV1195,0))</f>
        <v>1</v>
      </c>
      <c r="AQ1195" s="52" t="n">
        <f aca="false">IF(CL1195&gt;0,CL1195*MAX(1,AO1195/X1195),IF(BW1195=1,IF(AO1195&lt;=0,0,CA1195*MAX(1,IF(H1195&gt;0,AO1195/H1195,1))),IF(R1195&gt;0,AP1195/R1195,0))/MAX(0.1,N(Parameter!$M$21)))</f>
        <v>0.0833333333333333</v>
      </c>
      <c r="AR1195" s="50" t="n">
        <f aca="false">AQ1195*BY1195</f>
        <v>20.4166666666667</v>
      </c>
      <c r="AS1195" s="50" t="n">
        <f aca="false">AO1195*G1195</f>
        <v>2932.41</v>
      </c>
      <c r="AT1195" s="50" t="n">
        <f aca="false">ROUNDUP(MAX(J1195/IF(CD1195&gt;0,CD1195,MAX(0.1,N(Cockpit!$I$6))),CG1195)/BV1195,0)*BV1195</f>
        <v>13</v>
      </c>
      <c r="AU1195" s="51" t="n">
        <f aca="false">IF(AR1195&gt;0,J1195/AR1195,-1)</f>
        <v>0.0979591836734694</v>
      </c>
      <c r="AV1195" s="51" t="n">
        <f aca="false">IF(AND(OR(CC1195="L1",CC1195="L23",CC1195="LIFT"),AR1195&gt;0),SUMIFS($AR$7:$AR$1843,$CC$7:$CC$1843,CC1195,$AU$7:$AU$1843,"&gt;"&amp;AU1195)+SUMIFS($AR$7:$AR$1843,$CC$7:$CC$1843,CC1195,$AU$7:$AU$1843,AU1195,$BT$7:$BT$1843,"&lt;="&amp;BT1195),"")</f>
        <v>24357.8992699861</v>
      </c>
      <c r="AW1195" s="58" t="n">
        <f aca="false">IF(AV1195="",0,MAX(0,MIN(1,(IF(CC1195="L1",Parameter!$H$5,IF(CC1195="L23",Parameter!$H$6+Parameter!$H$7,Parameter!$H$5+Parameter!$H$6+Parameter!$H$7))-(AV1195-AR1195))/AR1195)))</f>
        <v>1</v>
      </c>
      <c r="AX1195" s="50" t="n">
        <f aca="false">IF(LEFT(Cockpit!$O$5,1)="A",H1195,IF(CE1195=1,CF1195,IF(LEFT(Cockpit!$O$5,1)="B",BC1195,MAX(BC1195,H1195))))</f>
        <v>13</v>
      </c>
      <c r="AY1195" s="50" t="n">
        <f aca="false">IF(BW1195=1,0,ROUNDUP(AX1195/BV1195,0))</f>
        <v>1</v>
      </c>
      <c r="AZ1195" s="52" t="n">
        <f aca="false">IF(CL1195&gt;0,CL1195*MAX(1,AX1195/X1195),IF(BW1195=1,IF(AX1195&lt;=0,0,CA1195*MAX(1,IF(H1195&gt;0,AX1195/H1195,1))),IF(R1195&gt;0,AY1195/R1195,0))/MAX(0.1,N(Parameter!$M$21)))</f>
        <v>0.0833333333333333</v>
      </c>
      <c r="BA1195" s="50" t="n">
        <f aca="false">AZ1195*BY1195</f>
        <v>20.4166666666667</v>
      </c>
      <c r="BB1195" s="50" t="n">
        <f aca="false">AX1195*G1195</f>
        <v>2932.41</v>
      </c>
      <c r="BC1195" s="50" t="n">
        <f aca="false">ROUNDUP(MAX(J1195/IF(CD1195&gt;0,CD1195,MAX(0.1,N(Cockpit!$O$6))),CG1195)/BV1195,0)*BV1195</f>
        <v>13</v>
      </c>
      <c r="BD1195" s="51" t="n">
        <f aca="false">IF(BA1195&gt;0,J1195/BA1195,-1)</f>
        <v>0.0979591836734694</v>
      </c>
      <c r="BE1195" s="51" t="n">
        <f aca="false">IF(AND(OR(CC1195="L1",CC1195="L23",CC1195="LIFT"),BA1195&gt;0),SUMIFS($BA$7:$BA$1843,$CC$7:$CC$1843,CC1195,$BD$7:$BD$1843,"&gt;"&amp;BD1195)+SUMIFS($BA$7:$BA$1843,$CC$7:$CC$1843,CC1195,$BD$7:$BD$1843,BD1195,$BT$7:$BT$1843,"&lt;="&amp;BT1195),"")</f>
        <v>22854.161311852</v>
      </c>
      <c r="BF1195" s="58" t="n">
        <f aca="false">IF(BE1195="",0,MAX(0,MIN(1,(IF(CC1195="L1",Parameter!$H$5,IF(CC1195="L23",Parameter!$H$6+Parameter!$H$7,Parameter!$H$5+Parameter!$H$6+Parameter!$H$7))-(BE1195-BA1195))/BA1195)))</f>
        <v>1</v>
      </c>
      <c r="BG1195" s="48" t="str">
        <f aca="false">IF(AI1195&lt;=0,"",IF(CC1195="Aussen","Aussenlager",IF(CC1195="-","Nicht im Lift",IF(AN1195&gt;=1,"Lift",IF(AN1195&lt;=0,"Aussenlager","teilweise")))))</f>
        <v>Lift</v>
      </c>
      <c r="BH1195" s="48" t="str">
        <f aca="false">IF(AR1195&lt;=0,"",IF(CC1195="Aussen","Aussenlager",IF(CC1195="-","Nicht im Lift",IF(AW1195&gt;=1,"Lift",IF(AW1195&lt;=0,"Aussenlager","teilweise")))))</f>
        <v>Lift</v>
      </c>
      <c r="BI1195" s="48" t="str">
        <f aca="false">IF(BA1195&lt;=0,"",IF(CC1195="Aussen","Aussenlager",IF(CC1195="-","Nicht im Lift",IF(BF1195&gt;=1,"Lift",IF(BF1195&lt;=0,"Aussenlager","teilweise")))))</f>
        <v>Lift</v>
      </c>
      <c r="BJ1195" s="48" t="str">
        <f aca="false">IF(A1195="","",IF(BS1195=1,"Neu; ","")&amp;IF(AND(BS1195=0,BN1195&lt;0),"negativer Bestand (Export "&amp;BN1195&amp;"); ","")&amp;IF(J1195&lt;=0,"Kein Verbrauch; ","")&amp;IF(CL1195&gt;0,"Lift "&amp;W1195&amp;" lt. Liftbericht (Fach "&amp;X1195&amp;" Stk); ",IF(BX1195=1,"Gebinde geschätzt ("&amp;T1195&amp;"); ",IF(BW1195=1,"Lose – Tablare geschätzt; ","")))&amp;IF(H1195&gt;AT1195,"Überbestand "&amp;ROUND(H1195-AT1195,0)&amp;" Stk / CHF "&amp;ROUND((H1195-AT1195)*G1195,0)&amp;"; ","")&amp;IF(AND(CE1195=1,CF1195&lt;CG1195),"MAX &lt; MB+LG; ","")&amp;IF(AND(CK1195&gt;0,CJ1195*10&gt;CK1195),"zu hoch für Tablar; ","")&amp;IF(AND(BS1195=0,OR(CE1195=1,AA1195&lt;&gt;"",U1195&lt;&gt;"",V1195&lt;&gt;"",AB1195&lt;&gt;"")),"manuell übersteuert; ","")&amp;IF(AND(BW1195=0,R1195=0),"Gebinde unbekannt / Stellmass fehlt; ","")&amp;IF(AND(BW1195=0,N(V1195)&lt;=0,N(Q1195)&lt;=0),"Menge pro Gebinde fehlt (Ist = 1 Gebinde); ","")&amp;BR1195)</f>
        <v>negativer Bestand (Export -2); grosser Artikel &amp; nicht im KTL</v>
      </c>
      <c r="BK1195" s="48"/>
      <c r="BL1195" s="48"/>
      <c r="BM1195" s="55"/>
      <c r="BN1195" s="50" t="n">
        <v>-2</v>
      </c>
      <c r="BO1195" s="50" t="n">
        <v>15</v>
      </c>
      <c r="BP1195" s="49" t="n">
        <v>-451.14</v>
      </c>
      <c r="BQ1195" s="50" t="n">
        <v>2</v>
      </c>
      <c r="BR1195" s="48" t="s">
        <v>265</v>
      </c>
      <c r="BS1195" s="53" t="n">
        <v>0</v>
      </c>
      <c r="BT1195" s="53" t="n">
        <v>1195</v>
      </c>
      <c r="BU1195" s="48" t="str">
        <f aca="false">IF(U1195&lt;&gt;"",UPPER(TRIM(U1195)),IF(BX1195=1,UPPER(VLOOKUP(T1195,Parameter!$I$27:$K$29,2,0)),IF(P1195="","LOSE",P1195)))</f>
        <v>S62</v>
      </c>
      <c r="BV1195" s="50" t="n">
        <f aca="false">IF(BU1195="LOSE",1,IF(N(V1195)&gt;0,V1195,IF(BX1195=1,MAX(1,N(VLOOKUP(T1195,Parameter!$I$27:$K$29,3,0)),H1195,N(N1195)),IF(N(Q1195)&gt;0,Q1195,MAX(1,H1195)))))</f>
        <v>13</v>
      </c>
      <c r="BW1195" s="53" t="n">
        <f aca="false">IF(BU1195="LOSE",1,0)</f>
        <v>0</v>
      </c>
      <c r="BX1195" s="53" t="n">
        <f aca="false">IF(AND(U1195="",OR(P1195="",P1195="LOSE"),T1195&lt;&gt;"",N(S1195)&lt;=0,ISNUMBER(MATCH(T1195,Parameter!$I$27:$I$29,0))),1,0)</f>
        <v>0</v>
      </c>
      <c r="BY1195" s="53" t="n">
        <f aca="false">IF(CL1195&gt;0,INDEX(Parameter!$H$5:$H$7,W1195)/INDEX(Parameter!$E$5:$E$7,W1195),IF(AND(BW1195=0,N(IFERROR(VLOOKUP(BU1195,'Gebinde-Kategorie'!$A$5:$N$45,14,0),0))&gt;0),VLOOKUP(BU1195,'Gebinde-Kategorie'!$A$5:$N$45,14,0)*10+Parameter!$M$23,Parameter!$M$24))</f>
        <v>245</v>
      </c>
      <c r="BZ1195" s="48" t="str">
        <f aca="false">IF(AND(Parameter!$B$19="Ja",E1195&lt;&gt;"",ISNUMBER(MATCH(E1195,Parameter!$I$35:$I$52,0))),VLOOKUP(E1195,Parameter!$I$35:$J$52,2,0),IFERROR(VLOOKUP(D1195,Parameter!$A$35:$C$64,2,0),"Nein"))</f>
        <v>2+3</v>
      </c>
      <c r="CA1195" s="52" t="n">
        <f aca="false">IF(BW1195=0,0,IF(N(S1195)&gt;0,S1195,IFERROR(VLOOKUP(D1195,Parameter!$A$35:$C$64,3,0)+0,0)))</f>
        <v>0</v>
      </c>
      <c r="CB1195" s="48" t="n">
        <f aca="false">IF(AA1195&lt;&gt;"",AA1195,Z1195)</f>
        <v>2</v>
      </c>
      <c r="CC1195" s="48" t="str">
        <f aca="false">IF(OR(CB1195=1,CB1195=2,CB1195=3),IF(Parameter!$E$27="Ja","LIFT",IF(CB1195=1,"L1","L23")),IF(CB1195="Aussen","Aussen","-"))</f>
        <v>LIFT</v>
      </c>
      <c r="CD1195" s="59" t="n">
        <f aca="false">IF(N(AB1195)&gt;0,AB1195,0)</f>
        <v>0</v>
      </c>
      <c r="CE1195" s="53" t="n">
        <f aca="false">IF(ISNUMBER(AE1195),1,0)</f>
        <v>0</v>
      </c>
      <c r="CF1195" s="50" t="n">
        <f aca="false">N(AE1195)</f>
        <v>0</v>
      </c>
      <c r="CG1195" s="50" t="n">
        <f aca="false">N(M1195)+N(N1195)</f>
        <v>1</v>
      </c>
      <c r="CH1195" s="50" t="n">
        <f aca="false">ROUNDUP(H1195/BV1195,0)</f>
        <v>1</v>
      </c>
      <c r="CI1195" s="50" t="n">
        <f aca="false">ROUNDUP(CF1195/BV1195,0)</f>
        <v>0</v>
      </c>
      <c r="CJ1195" s="53" t="n">
        <f aca="false">IF(BW1195=1,0,IFERROR(VLOOKUP(BU1195,'Gebinde-Kategorie'!$A$5:$N$45,5,0)+0,0))</f>
        <v>21</v>
      </c>
      <c r="CK1195" s="53" t="n">
        <f aca="false">IFERROR(IF(OR(CB1195=1,CB1195=2,CB1195=3),N(INDEX(Parameter!$I$5:$I$7,CB1195)),0),0)</f>
        <v>0</v>
      </c>
      <c r="CL1195" s="52" t="n">
        <f aca="false">IF(AND(Parameter!$B$21="Ja",ISNUMBER(W1195),N(X1195)&gt;0),IFERROR(N(INDEX(Parameter!$L$5:$L$7,W1195))*INDEX(Parameter!$E$5:$E$7,W1195)*X1195/SUMIFS($X$7:$X$1843,$W$7:$W$1843,W1195),0),0)</f>
        <v>0</v>
      </c>
    </row>
    <row r="1196" customFormat="false" ht="15" hidden="false" customHeight="false" outlineLevel="0" collapsed="false">
      <c r="A1196" s="48" t="s">
        <v>2155</v>
      </c>
      <c r="B1196" s="48" t="s">
        <v>2156</v>
      </c>
      <c r="C1196" s="48" t="s">
        <v>168</v>
      </c>
      <c r="D1196" s="48" t="s">
        <v>177</v>
      </c>
      <c r="E1196" s="48"/>
      <c r="F1196" s="48" t="s">
        <v>222</v>
      </c>
      <c r="G1196" s="49" t="n">
        <v>226</v>
      </c>
      <c r="H1196" s="50" t="n">
        <f aca="false">MAX(0,IF(AND(Parameter!$B$21="Ja",ISNUMBER(Y1196)),Y1196,IF(Parameter!$B$20="Jahresanfang 2025 + Export",BO1196+BN1196,BN1196)))</f>
        <v>0</v>
      </c>
      <c r="I1196" s="50" t="n">
        <f aca="false">H1196*G1196</f>
        <v>0</v>
      </c>
      <c r="J1196" s="50" t="n">
        <f aca="false">BQ1196*Parameter!$B$18</f>
        <v>2</v>
      </c>
      <c r="K1196" s="51" t="n">
        <v>1</v>
      </c>
      <c r="L1196" s="52" t="n">
        <v>2</v>
      </c>
      <c r="M1196" s="50" t="n">
        <v>0</v>
      </c>
      <c r="N1196" s="50" t="n">
        <v>1</v>
      </c>
      <c r="O1196" s="53" t="n">
        <v>42</v>
      </c>
      <c r="P1196" s="48" t="s">
        <v>172</v>
      </c>
      <c r="Q1196" s="50"/>
      <c r="R1196" s="53" t="n">
        <f aca="false">IF(BW1196=1,0,IFERROR(VLOOKUP(BU1196,'Gebinde-Kategorie'!$A$5:$N$45,13,0)+0,0))</f>
        <v>12</v>
      </c>
      <c r="S1196" s="54"/>
      <c r="T1196" s="55" t="s">
        <v>183</v>
      </c>
      <c r="U1196" s="55"/>
      <c r="V1196" s="55"/>
      <c r="W1196" s="48"/>
      <c r="X1196" s="50"/>
      <c r="Y1196" s="50"/>
      <c r="Z1196" s="48" t="n">
        <f aca="false">IF(A1196="","",IF(AND(Parameter!$B$21="Ja",ISNUMBER(W1196)),W1196,IF(BZ1196="2+3",IF(ISNUMBER(SEARCH("grosser Artikel",BR1196)),2,IFERROR(VLOOKUP(BU1196,Parameter!$F$35:$G$64,2,0),2)),IF(OR(BZ1196="Nein",BZ1196=""),"-",BZ1196))))</f>
        <v>2</v>
      </c>
      <c r="AA1196" s="55"/>
      <c r="AB1196" s="56"/>
      <c r="AC1196" s="50" t="n">
        <f aca="false">AT1196</f>
        <v>4</v>
      </c>
      <c r="AD1196" s="50" t="n">
        <f aca="false">MAX(AT1196,H1196)</f>
        <v>4</v>
      </c>
      <c r="AE1196" s="57"/>
      <c r="AF1196" s="50" t="n">
        <f aca="false">IF(LEFT(Cockpit!$C$5,1)="A",H1196,IF(CE1196=1,CF1196,IF(LEFT(Cockpit!$C$5,1)="B",AK1196,MAX(AK1196,H1196))))</f>
        <v>0</v>
      </c>
      <c r="AG1196" s="50" t="n">
        <f aca="false">IF(BW1196=1,0,ROUNDUP(AF1196/BV1196,0))</f>
        <v>0</v>
      </c>
      <c r="AH1196" s="52" t="n">
        <f aca="false">IF(CL1196&gt;0,CL1196*MAX(1,AF1196/X1196),IF(BW1196=1,IF(AF1196&lt;=0,0,CA1196*MAX(1,IF(H1196&gt;0,AF1196/H1196,1))),IF(R1196&gt;0,AG1196/R1196,0))/MAX(0.1,N(Parameter!$M$21)))</f>
        <v>0</v>
      </c>
      <c r="AI1196" s="50" t="n">
        <f aca="false">AH1196*BY1196</f>
        <v>0</v>
      </c>
      <c r="AJ1196" s="50" t="n">
        <f aca="false">AF1196*G1196</f>
        <v>0</v>
      </c>
      <c r="AK1196" s="50" t="n">
        <f aca="false">ROUNDUP(MAX(J1196/IF(CD1196&gt;0,CD1196,MAX(0.1,N(Cockpit!$C$6))),CG1196)/BV1196,0)*BV1196</f>
        <v>4</v>
      </c>
      <c r="AL1196" s="51" t="n">
        <f aca="false">IF(AI1196&gt;0,J1196/AI1196,-1)</f>
        <v>-1</v>
      </c>
      <c r="AM1196" s="51" t="str">
        <f aca="false">IF(AND(OR(CC1196="L1",CC1196="L23",CC1196="LIFT"),AI1196&gt;0),SUMIFS($AI$7:$AI$1843,$CC$7:$CC$1843,CC1196,$AL$7:$AL$1843,"&gt;"&amp;AL1196)+SUMIFS($AI$7:$AI$1843,$CC$7:$CC$1843,CC1196,$AL$7:$AL$1843,AL1196,$BT$7:$BT$1843,"&lt;="&amp;BT1196),"")</f>
        <v/>
      </c>
      <c r="AN1196" s="58" t="n">
        <f aca="false">IF(AM1196="",0,MAX(0,MIN(1,(IF(CC1196="L1",Parameter!$H$5,IF(CC1196="L23",Parameter!$H$6+Parameter!$H$7,Parameter!$H$5+Parameter!$H$6+Parameter!$H$7))-(AM1196-AI1196))/AI1196)))</f>
        <v>0</v>
      </c>
      <c r="AO1196" s="50" t="n">
        <f aca="false">IF(LEFT(Cockpit!$I$5,1)="A",H1196,IF(CE1196=1,CF1196,IF(LEFT(Cockpit!$I$5,1)="B",AT1196,MAX(AT1196,H1196))))</f>
        <v>4</v>
      </c>
      <c r="AP1196" s="50" t="n">
        <f aca="false">IF(BW1196=1,0,ROUNDUP(AO1196/BV1196,0))</f>
        <v>1</v>
      </c>
      <c r="AQ1196" s="52" t="n">
        <f aca="false">IF(CL1196&gt;0,CL1196*MAX(1,AO1196/X1196),IF(BW1196=1,IF(AO1196&lt;=0,0,CA1196*MAX(1,IF(H1196&gt;0,AO1196/H1196,1))),IF(R1196&gt;0,AP1196/R1196,0))/MAX(0.1,N(Parameter!$M$21)))</f>
        <v>0.0833333333333333</v>
      </c>
      <c r="AR1196" s="50" t="n">
        <f aca="false">AQ1196*BY1196</f>
        <v>12.0833333333333</v>
      </c>
      <c r="AS1196" s="50" t="n">
        <f aca="false">AO1196*G1196</f>
        <v>904</v>
      </c>
      <c r="AT1196" s="50" t="n">
        <f aca="false">ROUNDUP(MAX(J1196/IF(CD1196&gt;0,CD1196,MAX(0.1,N(Cockpit!$I$6))),CG1196)/BV1196,0)*BV1196</f>
        <v>4</v>
      </c>
      <c r="AU1196" s="51" t="n">
        <f aca="false">IF(AR1196&gt;0,J1196/AR1196,-1)</f>
        <v>0.16551724137931</v>
      </c>
      <c r="AV1196" s="51" t="n">
        <f aca="false">IF(AND(OR(CC1196="L1",CC1196="L23",CC1196="LIFT"),AR1196&gt;0),SUMIFS($AR$7:$AR$1843,$CC$7:$CC$1843,CC1196,$AU$7:$AU$1843,"&gt;"&amp;AU1196)+SUMIFS($AR$7:$AR$1843,$CC$7:$CC$1843,CC1196,$AU$7:$AU$1843,AU1196,$BT$7:$BT$1843,"&lt;="&amp;BT1196),"")</f>
        <v>19422.7312271062</v>
      </c>
      <c r="AW1196" s="58" t="n">
        <f aca="false">IF(AV1196="",0,MAX(0,MIN(1,(IF(CC1196="L1",Parameter!$H$5,IF(CC1196="L23",Parameter!$H$6+Parameter!$H$7,Parameter!$H$5+Parameter!$H$6+Parameter!$H$7))-(AV1196-AR1196))/AR1196)))</f>
        <v>1</v>
      </c>
      <c r="AX1196" s="50" t="n">
        <f aca="false">IF(LEFT(Cockpit!$O$5,1)="A",H1196,IF(CE1196=1,CF1196,IF(LEFT(Cockpit!$O$5,1)="B",BC1196,MAX(BC1196,H1196))))</f>
        <v>4</v>
      </c>
      <c r="AY1196" s="50" t="n">
        <f aca="false">IF(BW1196=1,0,ROUNDUP(AX1196/BV1196,0))</f>
        <v>1</v>
      </c>
      <c r="AZ1196" s="52" t="n">
        <f aca="false">IF(CL1196&gt;0,CL1196*MAX(1,AX1196/X1196),IF(BW1196=1,IF(AX1196&lt;=0,0,CA1196*MAX(1,IF(H1196&gt;0,AX1196/H1196,1))),IF(R1196&gt;0,AY1196/R1196,0))/MAX(0.1,N(Parameter!$M$21)))</f>
        <v>0.0833333333333333</v>
      </c>
      <c r="BA1196" s="50" t="n">
        <f aca="false">AZ1196*BY1196</f>
        <v>12.0833333333333</v>
      </c>
      <c r="BB1196" s="50" t="n">
        <f aca="false">AX1196*G1196</f>
        <v>904</v>
      </c>
      <c r="BC1196" s="50" t="n">
        <f aca="false">ROUNDUP(MAX(J1196/IF(CD1196&gt;0,CD1196,MAX(0.1,N(Cockpit!$O$6))),CG1196)/BV1196,0)*BV1196</f>
        <v>4</v>
      </c>
      <c r="BD1196" s="51" t="n">
        <f aca="false">IF(BA1196&gt;0,J1196/BA1196,-1)</f>
        <v>0.16551724137931</v>
      </c>
      <c r="BE1196" s="51" t="n">
        <f aca="false">IF(AND(OR(CC1196="L1",CC1196="L23",CC1196="LIFT"),BA1196&gt;0),SUMIFS($BA$7:$BA$1843,$CC$7:$CC$1843,CC1196,$BD$7:$BD$1843,"&gt;"&amp;BD1196)+SUMIFS($BA$7:$BA$1843,$CC$7:$CC$1843,CC1196,$BD$7:$BD$1843,BD1196,$BT$7:$BT$1843,"&lt;="&amp;BT1196),"")</f>
        <v>17448.8049450549</v>
      </c>
      <c r="BF1196" s="58" t="n">
        <f aca="false">IF(BE1196="",0,MAX(0,MIN(1,(IF(CC1196="L1",Parameter!$H$5,IF(CC1196="L23",Parameter!$H$6+Parameter!$H$7,Parameter!$H$5+Parameter!$H$6+Parameter!$H$7))-(BE1196-BA1196))/BA1196)))</f>
        <v>1</v>
      </c>
      <c r="BG1196" s="48" t="str">
        <f aca="false">IF(AI1196&lt;=0,"",IF(CC1196="Aussen","Aussenlager",IF(CC1196="-","Nicht im Lift",IF(AN1196&gt;=1,"Lift",IF(AN1196&lt;=0,"Aussenlager","teilweise")))))</f>
        <v/>
      </c>
      <c r="BH1196" s="48" t="str">
        <f aca="false">IF(AR1196&lt;=0,"",IF(CC1196="Aussen","Aussenlager",IF(CC1196="-","Nicht im Lift",IF(AW1196&gt;=1,"Lift",IF(AW1196&lt;=0,"Aussenlager","teilweise")))))</f>
        <v>Lift</v>
      </c>
      <c r="BI1196" s="48" t="str">
        <f aca="false">IF(BA1196&lt;=0,"",IF(CC1196="Aussen","Aussenlager",IF(CC1196="-","Nicht im Lift",IF(BF1196&gt;=1,"Lift",IF(BF1196&lt;=0,"Aussenlager","teilweise")))))</f>
        <v>Lift</v>
      </c>
      <c r="BJ1196" s="48" t="str">
        <f aca="false">IF(A1196="","",IF(BS1196=1,"Neu; ","")&amp;IF(AND(BS1196=0,BN1196&lt;0),"negativer Bestand (Export "&amp;BN1196&amp;"); ","")&amp;IF(J1196&lt;=0,"Kein Verbrauch; ","")&amp;IF(CL1196&gt;0,"Lift "&amp;W1196&amp;" lt. Liftbericht (Fach "&amp;X1196&amp;" Stk); ",IF(BX1196=1,"Gebinde geschätzt ("&amp;T1196&amp;"); ",IF(BW1196=1,"Lose – Tablare geschätzt; ","")))&amp;IF(H1196&gt;AT1196,"Überbestand "&amp;ROUND(H1196-AT1196,0)&amp;" Stk / CHF "&amp;ROUND((H1196-AT1196)*G1196,0)&amp;"; ","")&amp;IF(AND(CE1196=1,CF1196&lt;CG1196),"MAX &lt; MB+LG; ","")&amp;IF(AND(CK1196&gt;0,CJ1196*10&gt;CK1196),"zu hoch für Tablar; ","")&amp;IF(AND(BS1196=0,OR(CE1196=1,AA1196&lt;&gt;"",U1196&lt;&gt;"",V1196&lt;&gt;"",AB1196&lt;&gt;"")),"manuell übersteuert; ","")&amp;IF(AND(BW1196=0,R1196=0),"Gebinde unbekannt / Stellmass fehlt; ","")&amp;IF(AND(BW1196=0,N(V1196)&lt;=0,N(Q1196)&lt;=0),"Menge pro Gebinde fehlt (Ist = 1 Gebinde); ","")&amp;BR1196)</f>
        <v>negativer Bestand (Export -2); Gebinde geschätzt (Mittel); Menge pro Gebinde fehlt (Ist = 1 Gebinde); </v>
      </c>
      <c r="BK1196" s="48"/>
      <c r="BL1196" s="48"/>
      <c r="BM1196" s="55"/>
      <c r="BN1196" s="50" t="n">
        <v>-2</v>
      </c>
      <c r="BO1196" s="50" t="n">
        <v>2</v>
      </c>
      <c r="BP1196" s="49" t="n">
        <v>-452</v>
      </c>
      <c r="BQ1196" s="50" t="n">
        <v>2</v>
      </c>
      <c r="BR1196" s="48"/>
      <c r="BS1196" s="53" t="n">
        <v>0</v>
      </c>
      <c r="BT1196" s="53" t="n">
        <v>1196</v>
      </c>
      <c r="BU1196" s="48" t="str">
        <f aca="false">IF(U1196&lt;&gt;"",UPPER(TRIM(U1196)),IF(BX1196=1,UPPER(VLOOKUP(T1196,Parameter!$I$27:$K$29,2,0)),IF(P1196="","LOSE",P1196)))</f>
        <v>S61</v>
      </c>
      <c r="BV1196" s="50" t="n">
        <f aca="false">IF(BU1196="LOSE",1,IF(N(V1196)&gt;0,V1196,IF(BX1196=1,MAX(1,N(VLOOKUP(T1196,Parameter!$I$27:$K$29,3,0)),H1196,N(N1196)),IF(N(Q1196)&gt;0,Q1196,MAX(1,H1196)))))</f>
        <v>4</v>
      </c>
      <c r="BW1196" s="53" t="n">
        <f aca="false">IF(BU1196="LOSE",1,0)</f>
        <v>0</v>
      </c>
      <c r="BX1196" s="53" t="n">
        <f aca="false">IF(AND(U1196="",OR(P1196="",P1196="LOSE"),T1196&lt;&gt;"",N(S1196)&lt;=0,ISNUMBER(MATCH(T1196,Parameter!$I$27:$I$29,0))),1,0)</f>
        <v>1</v>
      </c>
      <c r="BY1196" s="53" t="n">
        <f aca="false">IF(CL1196&gt;0,INDEX(Parameter!$H$5:$H$7,W1196)/INDEX(Parameter!$E$5:$E$7,W1196),IF(AND(BW1196=0,N(IFERROR(VLOOKUP(BU1196,'Gebinde-Kategorie'!$A$5:$N$45,14,0),0))&gt;0),VLOOKUP(BU1196,'Gebinde-Kategorie'!$A$5:$N$45,14,0)*10+Parameter!$M$23,Parameter!$M$24))</f>
        <v>145</v>
      </c>
      <c r="BZ1196" s="48" t="str">
        <f aca="false">IF(AND(Parameter!$B$19="Ja",E1196&lt;&gt;"",ISNUMBER(MATCH(E1196,Parameter!$I$35:$I$52,0))),VLOOKUP(E1196,Parameter!$I$35:$J$52,2,0),IFERROR(VLOOKUP(D1196,Parameter!$A$35:$C$64,2,0),"Nein"))</f>
        <v>2+3</v>
      </c>
      <c r="CA1196" s="52" t="n">
        <f aca="false">IF(BW1196=0,0,IF(N(S1196)&gt;0,S1196,IFERROR(VLOOKUP(D1196,Parameter!$A$35:$C$64,3,0)+0,0)))</f>
        <v>0</v>
      </c>
      <c r="CB1196" s="48" t="n">
        <f aca="false">IF(AA1196&lt;&gt;"",AA1196,Z1196)</f>
        <v>2</v>
      </c>
      <c r="CC1196" s="48" t="str">
        <f aca="false">IF(OR(CB1196=1,CB1196=2,CB1196=3),IF(Parameter!$E$27="Ja","LIFT",IF(CB1196=1,"L1","L23")),IF(CB1196="Aussen","Aussen","-"))</f>
        <v>LIFT</v>
      </c>
      <c r="CD1196" s="59" t="n">
        <f aca="false">IF(N(AB1196)&gt;0,AB1196,0)</f>
        <v>0</v>
      </c>
      <c r="CE1196" s="53" t="n">
        <f aca="false">IF(ISNUMBER(AE1196),1,0)</f>
        <v>0</v>
      </c>
      <c r="CF1196" s="50" t="n">
        <f aca="false">N(AE1196)</f>
        <v>0</v>
      </c>
      <c r="CG1196" s="50" t="n">
        <f aca="false">N(M1196)+N(N1196)</f>
        <v>1</v>
      </c>
      <c r="CH1196" s="50" t="n">
        <f aca="false">ROUNDUP(H1196/BV1196,0)</f>
        <v>0</v>
      </c>
      <c r="CI1196" s="50" t="n">
        <f aca="false">ROUNDUP(CF1196/BV1196,0)</f>
        <v>0</v>
      </c>
      <c r="CJ1196" s="53" t="n">
        <f aca="false">IF(BW1196=1,0,IFERROR(VLOOKUP(BU1196,'Gebinde-Kategorie'!$A$5:$N$45,5,0)+0,0))</f>
        <v>11</v>
      </c>
      <c r="CK1196" s="53" t="n">
        <f aca="false">IFERROR(IF(OR(CB1196=1,CB1196=2,CB1196=3),N(INDEX(Parameter!$I$5:$I$7,CB1196)),0),0)</f>
        <v>0</v>
      </c>
      <c r="CL1196" s="52" t="n">
        <f aca="false">IF(AND(Parameter!$B$21="Ja",ISNUMBER(W1196),N(X1196)&gt;0),IFERROR(N(INDEX(Parameter!$L$5:$L$7,W1196))*INDEX(Parameter!$E$5:$E$7,W1196)*X1196/SUMIFS($X$7:$X$1843,$W$7:$W$1843,W1196),0),0)</f>
        <v>0</v>
      </c>
    </row>
    <row r="1197" customFormat="false" ht="15" hidden="false" customHeight="false" outlineLevel="0" collapsed="false">
      <c r="A1197" s="48" t="s">
        <v>2157</v>
      </c>
      <c r="B1197" s="48" t="s">
        <v>1558</v>
      </c>
      <c r="C1197" s="48" t="s">
        <v>168</v>
      </c>
      <c r="D1197" s="48" t="s">
        <v>177</v>
      </c>
      <c r="E1197" s="48" t="s">
        <v>469</v>
      </c>
      <c r="F1197" s="48" t="s">
        <v>222</v>
      </c>
      <c r="G1197" s="49" t="n">
        <v>1.64</v>
      </c>
      <c r="H1197" s="50" t="n">
        <f aca="false">MAX(0,IF(AND(Parameter!$B$21="Ja",ISNUMBER(Y1197)),Y1197,IF(Parameter!$B$20="Jahresanfang 2025 + Export",BO1197+BN1197,BN1197)))</f>
        <v>43</v>
      </c>
      <c r="I1197" s="50" t="n">
        <f aca="false">H1197*G1197</f>
        <v>70.52</v>
      </c>
      <c r="J1197" s="50" t="n">
        <f aca="false">BQ1197*Parameter!$B$18</f>
        <v>188</v>
      </c>
      <c r="K1197" s="51" t="n">
        <v>317</v>
      </c>
      <c r="L1197" s="52" t="n">
        <v>0.593059936908517</v>
      </c>
      <c r="M1197" s="50" t="n">
        <v>10</v>
      </c>
      <c r="N1197" s="50" t="n">
        <v>190</v>
      </c>
      <c r="O1197" s="53" t="n">
        <v>21</v>
      </c>
      <c r="P1197" s="48" t="s">
        <v>172</v>
      </c>
      <c r="Q1197" s="50"/>
      <c r="R1197" s="53" t="n">
        <f aca="false">IF(BW1197=1,0,IFERROR(VLOOKUP(BU1197,'Gebinde-Kategorie'!$A$5:$N$45,13,0)+0,0))</f>
        <v>4</v>
      </c>
      <c r="S1197" s="54"/>
      <c r="T1197" s="55" t="s">
        <v>193</v>
      </c>
      <c r="U1197" s="55"/>
      <c r="V1197" s="55"/>
      <c r="W1197" s="48"/>
      <c r="X1197" s="50"/>
      <c r="Y1197" s="50"/>
      <c r="Z1197" s="48" t="str">
        <f aca="false">IF(A1197="","",IF(AND(Parameter!$B$21="Ja",ISNUMBER(W1197)),W1197,IF(BZ1197="2+3",IF(ISNUMBER(SEARCH("grosser Artikel",BR1197)),2,IFERROR(VLOOKUP(BU1197,Parameter!$F$35:$G$64,2,0),2)),IF(OR(BZ1197="Nein",BZ1197=""),"-",BZ1197))))</f>
        <v>-</v>
      </c>
      <c r="AA1197" s="55"/>
      <c r="AB1197" s="56"/>
      <c r="AC1197" s="50" t="n">
        <f aca="false">AT1197</f>
        <v>380</v>
      </c>
      <c r="AD1197" s="50" t="n">
        <f aca="false">MAX(AT1197,H1197)</f>
        <v>380</v>
      </c>
      <c r="AE1197" s="57"/>
      <c r="AF1197" s="50" t="n">
        <f aca="false">IF(LEFT(Cockpit!$C$5,1)="A",H1197,IF(CE1197=1,CF1197,IF(LEFT(Cockpit!$C$5,1)="B",AK1197,MAX(AK1197,H1197))))</f>
        <v>43</v>
      </c>
      <c r="AG1197" s="50" t="n">
        <f aca="false">IF(BW1197=1,0,ROUNDUP(AF1197/BV1197,0))</f>
        <v>1</v>
      </c>
      <c r="AH1197" s="52" t="n">
        <f aca="false">IF(CL1197&gt;0,CL1197*MAX(1,AF1197/X1197),IF(BW1197=1,IF(AF1197&lt;=0,0,CA1197*MAX(1,IF(H1197&gt;0,AF1197/H1197,1))),IF(R1197&gt;0,AG1197/R1197,0))/MAX(0.1,N(Parameter!$M$21)))</f>
        <v>0.25</v>
      </c>
      <c r="AI1197" s="50" t="n">
        <f aca="false">AH1197*BY1197</f>
        <v>58.75</v>
      </c>
      <c r="AJ1197" s="50" t="n">
        <f aca="false">AF1197*G1197</f>
        <v>70.52</v>
      </c>
      <c r="AK1197" s="50" t="n">
        <f aca="false">ROUNDUP(MAX(J1197/IF(CD1197&gt;0,CD1197,MAX(0.1,N(Cockpit!$C$6))),CG1197)/BV1197,0)*BV1197</f>
        <v>380</v>
      </c>
      <c r="AL1197" s="51" t="n">
        <f aca="false">IF(AI1197&gt;0,J1197/AI1197,-1)</f>
        <v>3.2</v>
      </c>
      <c r="AM1197" s="51" t="str">
        <f aca="false">IF(AND(OR(CC1197="L1",CC1197="L23",CC1197="LIFT"),AI1197&gt;0),SUMIFS($AI$7:$AI$1843,$CC$7:$CC$1843,CC1197,$AL$7:$AL$1843,"&gt;"&amp;AL1197)+SUMIFS($AI$7:$AI$1843,$CC$7:$CC$1843,CC1197,$AL$7:$AL$1843,AL1197,$BT$7:$BT$1843,"&lt;="&amp;BT1197),"")</f>
        <v/>
      </c>
      <c r="AN1197" s="58" t="n">
        <f aca="false">IF(AM1197="",0,MAX(0,MIN(1,(IF(CC1197="L1",Parameter!$H$5,IF(CC1197="L23",Parameter!$H$6+Parameter!$H$7,Parameter!$H$5+Parameter!$H$6+Parameter!$H$7))-(AM1197-AI1197))/AI1197)))</f>
        <v>0</v>
      </c>
      <c r="AO1197" s="50" t="n">
        <f aca="false">IF(LEFT(Cockpit!$I$5,1)="A",H1197,IF(CE1197=1,CF1197,IF(LEFT(Cockpit!$I$5,1)="B",AT1197,MAX(AT1197,H1197))))</f>
        <v>380</v>
      </c>
      <c r="AP1197" s="50" t="n">
        <f aca="false">IF(BW1197=1,0,ROUNDUP(AO1197/BV1197,0))</f>
        <v>2</v>
      </c>
      <c r="AQ1197" s="52" t="n">
        <f aca="false">IF(CL1197&gt;0,CL1197*MAX(1,AO1197/X1197),IF(BW1197=1,IF(AO1197&lt;=0,0,CA1197*MAX(1,IF(H1197&gt;0,AO1197/H1197,1))),IF(R1197&gt;0,AP1197/R1197,0))/MAX(0.1,N(Parameter!$M$21)))</f>
        <v>0.5</v>
      </c>
      <c r="AR1197" s="50" t="n">
        <f aca="false">AQ1197*BY1197</f>
        <v>117.5</v>
      </c>
      <c r="AS1197" s="50" t="n">
        <f aca="false">AO1197*G1197</f>
        <v>623.2</v>
      </c>
      <c r="AT1197" s="50" t="n">
        <f aca="false">ROUNDUP(MAX(J1197/IF(CD1197&gt;0,CD1197,MAX(0.1,N(Cockpit!$I$6))),CG1197)/BV1197,0)*BV1197</f>
        <v>380</v>
      </c>
      <c r="AU1197" s="51" t="n">
        <f aca="false">IF(AR1197&gt;0,J1197/AR1197,-1)</f>
        <v>1.6</v>
      </c>
      <c r="AV1197" s="51" t="str">
        <f aca="false">IF(AND(OR(CC1197="L1",CC1197="L23",CC1197="LIFT"),AR1197&gt;0),SUMIFS($AR$7:$AR$1843,$CC$7:$CC$1843,CC1197,$AU$7:$AU$1843,"&gt;"&amp;AU1197)+SUMIFS($AR$7:$AR$1843,$CC$7:$CC$1843,CC1197,$AU$7:$AU$1843,AU1197,$BT$7:$BT$1843,"&lt;="&amp;BT1197),"")</f>
        <v/>
      </c>
      <c r="AW1197" s="58" t="n">
        <f aca="false">IF(AV1197="",0,MAX(0,MIN(1,(IF(CC1197="L1",Parameter!$H$5,IF(CC1197="L23",Parameter!$H$6+Parameter!$H$7,Parameter!$H$5+Parameter!$H$6+Parameter!$H$7))-(AV1197-AR1197))/AR1197)))</f>
        <v>0</v>
      </c>
      <c r="AX1197" s="50" t="n">
        <f aca="false">IF(LEFT(Cockpit!$O$5,1)="A",H1197,IF(CE1197=1,CF1197,IF(LEFT(Cockpit!$O$5,1)="B",BC1197,MAX(BC1197,H1197))))</f>
        <v>380</v>
      </c>
      <c r="AY1197" s="50" t="n">
        <f aca="false">IF(BW1197=1,0,ROUNDUP(AX1197/BV1197,0))</f>
        <v>2</v>
      </c>
      <c r="AZ1197" s="52" t="n">
        <f aca="false">IF(CL1197&gt;0,CL1197*MAX(1,AX1197/X1197),IF(BW1197=1,IF(AX1197&lt;=0,0,CA1197*MAX(1,IF(H1197&gt;0,AX1197/H1197,1))),IF(R1197&gt;0,AY1197/R1197,0))/MAX(0.1,N(Parameter!$M$21)))</f>
        <v>0.5</v>
      </c>
      <c r="BA1197" s="50" t="n">
        <f aca="false">AZ1197*BY1197</f>
        <v>117.5</v>
      </c>
      <c r="BB1197" s="50" t="n">
        <f aca="false">AX1197*G1197</f>
        <v>623.2</v>
      </c>
      <c r="BC1197" s="50" t="n">
        <f aca="false">ROUNDUP(MAX(J1197/IF(CD1197&gt;0,CD1197,MAX(0.1,N(Cockpit!$O$6))),CG1197)/BV1197,0)*BV1197</f>
        <v>380</v>
      </c>
      <c r="BD1197" s="51" t="n">
        <f aca="false">IF(BA1197&gt;0,J1197/BA1197,-1)</f>
        <v>1.6</v>
      </c>
      <c r="BE1197" s="51" t="str">
        <f aca="false">IF(AND(OR(CC1197="L1",CC1197="L23",CC1197="LIFT"),BA1197&gt;0),SUMIFS($BA$7:$BA$1843,$CC$7:$CC$1843,CC1197,$BD$7:$BD$1843,"&gt;"&amp;BD1197)+SUMIFS($BA$7:$BA$1843,$CC$7:$CC$1843,CC1197,$BD$7:$BD$1843,BD1197,$BT$7:$BT$1843,"&lt;="&amp;BT1197),"")</f>
        <v/>
      </c>
      <c r="BF1197" s="58" t="n">
        <f aca="false">IF(BE1197="",0,MAX(0,MIN(1,(IF(CC1197="L1",Parameter!$H$5,IF(CC1197="L23",Parameter!$H$6+Parameter!$H$7,Parameter!$H$5+Parameter!$H$6+Parameter!$H$7))-(BE1197-BA1197))/BA1197)))</f>
        <v>0</v>
      </c>
      <c r="BG1197" s="48" t="str">
        <f aca="false">IF(AI1197&lt;=0,"",IF(CC1197="Aussen","Aussenlager",IF(CC1197="-","Nicht im Lift",IF(AN1197&gt;=1,"Lift",IF(AN1197&lt;=0,"Aussenlager","teilweise")))))</f>
        <v>Nicht im Lift</v>
      </c>
      <c r="BH1197" s="48" t="str">
        <f aca="false">IF(AR1197&lt;=0,"",IF(CC1197="Aussen","Aussenlager",IF(CC1197="-","Nicht im Lift",IF(AW1197&gt;=1,"Lift",IF(AW1197&lt;=0,"Aussenlager","teilweise")))))</f>
        <v>Nicht im Lift</v>
      </c>
      <c r="BI1197" s="48" t="str">
        <f aca="false">IF(BA1197&lt;=0,"",IF(CC1197="Aussen","Aussenlager",IF(CC1197="-","Nicht im Lift",IF(BF1197&gt;=1,"Lift",IF(BF1197&lt;=0,"Aussenlager","teilweise")))))</f>
        <v>Nicht im Lift</v>
      </c>
      <c r="BJ1197" s="48" t="str">
        <f aca="false">IF(A1197="","",IF(BS1197=1,"Neu; ","")&amp;IF(AND(BS1197=0,BN1197&lt;0),"negativer Bestand (Export "&amp;BN1197&amp;"); ","")&amp;IF(J1197&lt;=0,"Kein Verbrauch; ","")&amp;IF(CL1197&gt;0,"Lift "&amp;W1197&amp;" lt. Liftbericht (Fach "&amp;X1197&amp;" Stk); ",IF(BX1197=1,"Gebinde geschätzt ("&amp;T1197&amp;"); ",IF(BW1197=1,"Lose – Tablare geschätzt; ","")))&amp;IF(H1197&gt;AT1197,"Überbestand "&amp;ROUND(H1197-AT1197,0)&amp;" Stk / CHF "&amp;ROUND((H1197-AT1197)*G1197,0)&amp;"; ","")&amp;IF(AND(CE1197=1,CF1197&lt;CG1197),"MAX &lt; MB+LG; ","")&amp;IF(AND(CK1197&gt;0,CJ1197*10&gt;CK1197),"zu hoch für Tablar; ","")&amp;IF(AND(BS1197=0,OR(CE1197=1,AA1197&lt;&gt;"",U1197&lt;&gt;"",V1197&lt;&gt;"",AB1197&lt;&gt;"")),"manuell übersteuert; ","")&amp;IF(AND(BW1197=0,R1197=0),"Gebinde unbekannt / Stellmass fehlt; ","")&amp;IF(AND(BW1197=0,N(V1197)&lt;=0,N(Q1197)&lt;=0),"Menge pro Gebinde fehlt (Ist = 1 Gebinde); ","")&amp;BR1197)</f>
        <v>negativer Bestand (Export -318); Gebinde geschätzt (Gross); Menge pro Gebinde fehlt (Ist = 1 Gebinde); </v>
      </c>
      <c r="BK1197" s="48"/>
      <c r="BL1197" s="48"/>
      <c r="BM1197" s="55"/>
      <c r="BN1197" s="50" t="n">
        <v>-318</v>
      </c>
      <c r="BO1197" s="50" t="n">
        <v>361</v>
      </c>
      <c r="BP1197" s="49" t="n">
        <v>-467.37</v>
      </c>
      <c r="BQ1197" s="50" t="n">
        <v>188</v>
      </c>
      <c r="BR1197" s="48"/>
      <c r="BS1197" s="53" t="n">
        <v>0</v>
      </c>
      <c r="BT1197" s="53" t="n">
        <v>1197</v>
      </c>
      <c r="BU1197" s="48" t="str">
        <f aca="false">IF(U1197&lt;&gt;"",UPPER(TRIM(U1197)),IF(BX1197=1,UPPER(VLOOKUP(T1197,Parameter!$I$27:$K$29,2,0)),IF(P1197="","LOSE",P1197)))</f>
        <v>S81</v>
      </c>
      <c r="BV1197" s="50" t="n">
        <f aca="false">IF(BU1197="LOSE",1,IF(N(V1197)&gt;0,V1197,IF(BX1197=1,MAX(1,N(VLOOKUP(T1197,Parameter!$I$27:$K$29,3,0)),H1197,N(N1197)),IF(N(Q1197)&gt;0,Q1197,MAX(1,H1197)))))</f>
        <v>190</v>
      </c>
      <c r="BW1197" s="53" t="n">
        <f aca="false">IF(BU1197="LOSE",1,0)</f>
        <v>0</v>
      </c>
      <c r="BX1197" s="53" t="n">
        <f aca="false">IF(AND(U1197="",OR(P1197="",P1197="LOSE"),T1197&lt;&gt;"",N(S1197)&lt;=0,ISNUMBER(MATCH(T1197,Parameter!$I$27:$I$29,0))),1,0)</f>
        <v>1</v>
      </c>
      <c r="BY1197" s="53" t="n">
        <f aca="false">IF(CL1197&gt;0,INDEX(Parameter!$H$5:$H$7,W1197)/INDEX(Parameter!$E$5:$E$7,W1197),IF(AND(BW1197=0,N(IFERROR(VLOOKUP(BU1197,'Gebinde-Kategorie'!$A$5:$N$45,14,0),0))&gt;0),VLOOKUP(BU1197,'Gebinde-Kategorie'!$A$5:$N$45,14,0)*10+Parameter!$M$23,Parameter!$M$24))</f>
        <v>235</v>
      </c>
      <c r="BZ1197" s="48" t="str">
        <f aca="false">IF(AND(Parameter!$B$19="Ja",E1197&lt;&gt;"",ISNUMBER(MATCH(E1197,Parameter!$I$35:$I$52,0))),VLOOKUP(E1197,Parameter!$I$35:$J$52,2,0),IFERROR(VLOOKUP(D1197,Parameter!$A$35:$C$64,2,0),"Nein"))</f>
        <v>Nein</v>
      </c>
      <c r="CA1197" s="52" t="n">
        <f aca="false">IF(BW1197=0,0,IF(N(S1197)&gt;0,S1197,IFERROR(VLOOKUP(D1197,Parameter!$A$35:$C$64,3,0)+0,0)))</f>
        <v>0</v>
      </c>
      <c r="CB1197" s="48" t="str">
        <f aca="false">IF(AA1197&lt;&gt;"",AA1197,Z1197)</f>
        <v>-</v>
      </c>
      <c r="CC1197" s="48" t="str">
        <f aca="false">IF(OR(CB1197=1,CB1197=2,CB1197=3),IF(Parameter!$E$27="Ja","LIFT",IF(CB1197=1,"L1","L23")),IF(CB1197="Aussen","Aussen","-"))</f>
        <v>-</v>
      </c>
      <c r="CD1197" s="59" t="n">
        <f aca="false">IF(N(AB1197)&gt;0,AB1197,0)</f>
        <v>0</v>
      </c>
      <c r="CE1197" s="53" t="n">
        <f aca="false">IF(ISNUMBER(AE1197),1,0)</f>
        <v>0</v>
      </c>
      <c r="CF1197" s="50" t="n">
        <f aca="false">N(AE1197)</f>
        <v>0</v>
      </c>
      <c r="CG1197" s="50" t="n">
        <f aca="false">N(M1197)+N(N1197)</f>
        <v>200</v>
      </c>
      <c r="CH1197" s="50" t="n">
        <f aca="false">ROUNDUP(H1197/BV1197,0)</f>
        <v>1</v>
      </c>
      <c r="CI1197" s="50" t="n">
        <f aca="false">ROUNDUP(CF1197/BV1197,0)</f>
        <v>0</v>
      </c>
      <c r="CJ1197" s="53" t="n">
        <f aca="false">IF(BW1197=1,0,IFERROR(VLOOKUP(BU1197,'Gebinde-Kategorie'!$A$5:$N$45,5,0)+0,0))</f>
        <v>20</v>
      </c>
      <c r="CK1197" s="53" t="n">
        <f aca="false">IFERROR(IF(OR(CB1197=1,CB1197=2,CB1197=3),N(INDEX(Parameter!$I$5:$I$7,CB1197)),0),0)</f>
        <v>0</v>
      </c>
      <c r="CL1197" s="52" t="n">
        <f aca="false">IF(AND(Parameter!$B$21="Ja",ISNUMBER(W1197),N(X1197)&gt;0),IFERROR(N(INDEX(Parameter!$L$5:$L$7,W1197))*INDEX(Parameter!$E$5:$E$7,W1197)*X1197/SUMIFS($X$7:$X$1843,$W$7:$W$1843,W1197),0),0)</f>
        <v>0</v>
      </c>
    </row>
    <row r="1198" customFormat="false" ht="15" hidden="false" customHeight="false" outlineLevel="0" collapsed="false">
      <c r="A1198" s="48" t="s">
        <v>2158</v>
      </c>
      <c r="B1198" s="48" t="s">
        <v>2159</v>
      </c>
      <c r="C1198" s="48" t="s">
        <v>460</v>
      </c>
      <c r="D1198" s="48" t="s">
        <v>177</v>
      </c>
      <c r="E1198" s="48" t="s">
        <v>1483</v>
      </c>
      <c r="F1198" s="48" t="s">
        <v>222</v>
      </c>
      <c r="G1198" s="49" t="n">
        <v>120.58</v>
      </c>
      <c r="H1198" s="50" t="n">
        <f aca="false">MAX(0,IF(AND(Parameter!$B$21="Ja",ISNUMBER(Y1198)),Y1198,IF(Parameter!$B$20="Jahresanfang 2025 + Export",BO1198+BN1198,BN1198)))</f>
        <v>0</v>
      </c>
      <c r="I1198" s="50" t="n">
        <f aca="false">H1198*G1198</f>
        <v>0</v>
      </c>
      <c r="J1198" s="50" t="n">
        <f aca="false">BQ1198*Parameter!$B$18</f>
        <v>0</v>
      </c>
      <c r="K1198" s="51" t="n">
        <v>2</v>
      </c>
      <c r="L1198" s="52" t="n">
        <v>0</v>
      </c>
      <c r="M1198" s="50" t="n">
        <v>0</v>
      </c>
      <c r="N1198" s="50" t="n">
        <v>1</v>
      </c>
      <c r="O1198" s="53" t="n">
        <v>56</v>
      </c>
      <c r="P1198" s="48" t="s">
        <v>172</v>
      </c>
      <c r="Q1198" s="50"/>
      <c r="R1198" s="53" t="n">
        <f aca="false">IF(BW1198=1,0,IFERROR(VLOOKUP(BU1198,'Gebinde-Kategorie'!$A$5:$N$45,13,0)+0,0))</f>
        <v>4</v>
      </c>
      <c r="S1198" s="54"/>
      <c r="T1198" s="55" t="s">
        <v>193</v>
      </c>
      <c r="U1198" s="55"/>
      <c r="V1198" s="55"/>
      <c r="W1198" s="48"/>
      <c r="X1198" s="50"/>
      <c r="Y1198" s="50"/>
      <c r="Z1198" s="48" t="str">
        <f aca="false">IF(A1198="","",IF(AND(Parameter!$B$21="Ja",ISNUMBER(W1198)),W1198,IF(BZ1198="2+3",IF(ISNUMBER(SEARCH("grosser Artikel",BR1198)),2,IFERROR(VLOOKUP(BU1198,Parameter!$F$35:$G$64,2,0),2)),IF(OR(BZ1198="Nein",BZ1198=""),"-",BZ1198))))</f>
        <v>-</v>
      </c>
      <c r="AA1198" s="55"/>
      <c r="AB1198" s="56"/>
      <c r="AC1198" s="50" t="n">
        <f aca="false">AT1198</f>
        <v>2</v>
      </c>
      <c r="AD1198" s="50" t="n">
        <f aca="false">MAX(AT1198,H1198)</f>
        <v>2</v>
      </c>
      <c r="AE1198" s="57"/>
      <c r="AF1198" s="50" t="n">
        <f aca="false">IF(LEFT(Cockpit!$C$5,1)="A",H1198,IF(CE1198=1,CF1198,IF(LEFT(Cockpit!$C$5,1)="B",AK1198,MAX(AK1198,H1198))))</f>
        <v>0</v>
      </c>
      <c r="AG1198" s="50" t="n">
        <f aca="false">IF(BW1198=1,0,ROUNDUP(AF1198/BV1198,0))</f>
        <v>0</v>
      </c>
      <c r="AH1198" s="52" t="n">
        <f aca="false">IF(CL1198&gt;0,CL1198*MAX(1,AF1198/X1198),IF(BW1198=1,IF(AF1198&lt;=0,0,CA1198*MAX(1,IF(H1198&gt;0,AF1198/H1198,1))),IF(R1198&gt;0,AG1198/R1198,0))/MAX(0.1,N(Parameter!$M$21)))</f>
        <v>0</v>
      </c>
      <c r="AI1198" s="50" t="n">
        <f aca="false">AH1198*BY1198</f>
        <v>0</v>
      </c>
      <c r="AJ1198" s="50" t="n">
        <f aca="false">AF1198*G1198</f>
        <v>0</v>
      </c>
      <c r="AK1198" s="50" t="n">
        <f aca="false">ROUNDUP(MAX(J1198/IF(CD1198&gt;0,CD1198,MAX(0.1,N(Cockpit!$C$6))),CG1198)/BV1198,0)*BV1198</f>
        <v>2</v>
      </c>
      <c r="AL1198" s="51" t="n">
        <f aca="false">IF(AI1198&gt;0,J1198/AI1198,-1)</f>
        <v>-1</v>
      </c>
      <c r="AM1198" s="51" t="str">
        <f aca="false">IF(AND(OR(CC1198="L1",CC1198="L23",CC1198="LIFT"),AI1198&gt;0),SUMIFS($AI$7:$AI$1843,$CC$7:$CC$1843,CC1198,$AL$7:$AL$1843,"&gt;"&amp;AL1198)+SUMIFS($AI$7:$AI$1843,$CC$7:$CC$1843,CC1198,$AL$7:$AL$1843,AL1198,$BT$7:$BT$1843,"&lt;="&amp;BT1198),"")</f>
        <v/>
      </c>
      <c r="AN1198" s="58" t="n">
        <f aca="false">IF(AM1198="",0,MAX(0,MIN(1,(IF(CC1198="L1",Parameter!$H$5,IF(CC1198="L23",Parameter!$H$6+Parameter!$H$7,Parameter!$H$5+Parameter!$H$6+Parameter!$H$7))-(AM1198-AI1198))/AI1198)))</f>
        <v>0</v>
      </c>
      <c r="AO1198" s="50" t="n">
        <f aca="false">IF(LEFT(Cockpit!$I$5,1)="A",H1198,IF(CE1198=1,CF1198,IF(LEFT(Cockpit!$I$5,1)="B",AT1198,MAX(AT1198,H1198))))</f>
        <v>2</v>
      </c>
      <c r="AP1198" s="50" t="n">
        <f aca="false">IF(BW1198=1,0,ROUNDUP(AO1198/BV1198,0))</f>
        <v>1</v>
      </c>
      <c r="AQ1198" s="52" t="n">
        <f aca="false">IF(CL1198&gt;0,CL1198*MAX(1,AO1198/X1198),IF(BW1198=1,IF(AO1198&lt;=0,0,CA1198*MAX(1,IF(H1198&gt;0,AO1198/H1198,1))),IF(R1198&gt;0,AP1198/R1198,0))/MAX(0.1,N(Parameter!$M$21)))</f>
        <v>0.25</v>
      </c>
      <c r="AR1198" s="50" t="n">
        <f aca="false">AQ1198*BY1198</f>
        <v>58.75</v>
      </c>
      <c r="AS1198" s="50" t="n">
        <f aca="false">AO1198*G1198</f>
        <v>241.16</v>
      </c>
      <c r="AT1198" s="50" t="n">
        <f aca="false">ROUNDUP(MAX(J1198/IF(CD1198&gt;0,CD1198,MAX(0.1,N(Cockpit!$I$6))),CG1198)/BV1198,0)*BV1198</f>
        <v>2</v>
      </c>
      <c r="AU1198" s="51" t="n">
        <f aca="false">IF(AR1198&gt;0,J1198/AR1198,-1)</f>
        <v>0</v>
      </c>
      <c r="AV1198" s="51" t="str">
        <f aca="false">IF(AND(OR(CC1198="L1",CC1198="L23",CC1198="LIFT"),AR1198&gt;0),SUMIFS($AR$7:$AR$1843,$CC$7:$CC$1843,CC1198,$AU$7:$AU$1843,"&gt;"&amp;AU1198)+SUMIFS($AR$7:$AR$1843,$CC$7:$CC$1843,CC1198,$AU$7:$AU$1843,AU1198,$BT$7:$BT$1843,"&lt;="&amp;BT1198),"")</f>
        <v/>
      </c>
      <c r="AW1198" s="58" t="n">
        <f aca="false">IF(AV1198="",0,MAX(0,MIN(1,(IF(CC1198="L1",Parameter!$H$5,IF(CC1198="L23",Parameter!$H$6+Parameter!$H$7,Parameter!$H$5+Parameter!$H$6+Parameter!$H$7))-(AV1198-AR1198))/AR1198)))</f>
        <v>0</v>
      </c>
      <c r="AX1198" s="50" t="n">
        <f aca="false">IF(LEFT(Cockpit!$O$5,1)="A",H1198,IF(CE1198=1,CF1198,IF(LEFT(Cockpit!$O$5,1)="B",BC1198,MAX(BC1198,H1198))))</f>
        <v>2</v>
      </c>
      <c r="AY1198" s="50" t="n">
        <f aca="false">IF(BW1198=1,0,ROUNDUP(AX1198/BV1198,0))</f>
        <v>1</v>
      </c>
      <c r="AZ1198" s="52" t="n">
        <f aca="false">IF(CL1198&gt;0,CL1198*MAX(1,AX1198/X1198),IF(BW1198=1,IF(AX1198&lt;=0,0,CA1198*MAX(1,IF(H1198&gt;0,AX1198/H1198,1))),IF(R1198&gt;0,AY1198/R1198,0))/MAX(0.1,N(Parameter!$M$21)))</f>
        <v>0.25</v>
      </c>
      <c r="BA1198" s="50" t="n">
        <f aca="false">AZ1198*BY1198</f>
        <v>58.75</v>
      </c>
      <c r="BB1198" s="50" t="n">
        <f aca="false">AX1198*G1198</f>
        <v>241.16</v>
      </c>
      <c r="BC1198" s="50" t="n">
        <f aca="false">ROUNDUP(MAX(J1198/IF(CD1198&gt;0,CD1198,MAX(0.1,N(Cockpit!$O$6))),CG1198)/BV1198,0)*BV1198</f>
        <v>2</v>
      </c>
      <c r="BD1198" s="51" t="n">
        <f aca="false">IF(BA1198&gt;0,J1198/BA1198,-1)</f>
        <v>0</v>
      </c>
      <c r="BE1198" s="51" t="str">
        <f aca="false">IF(AND(OR(CC1198="L1",CC1198="L23",CC1198="LIFT"),BA1198&gt;0),SUMIFS($BA$7:$BA$1843,$CC$7:$CC$1843,CC1198,$BD$7:$BD$1843,"&gt;"&amp;BD1198)+SUMIFS($BA$7:$BA$1843,$CC$7:$CC$1843,CC1198,$BD$7:$BD$1843,BD1198,$BT$7:$BT$1843,"&lt;="&amp;BT1198),"")</f>
        <v/>
      </c>
      <c r="BF1198" s="58" t="n">
        <f aca="false">IF(BE1198="",0,MAX(0,MIN(1,(IF(CC1198="L1",Parameter!$H$5,IF(CC1198="L23",Parameter!$H$6+Parameter!$H$7,Parameter!$H$5+Parameter!$H$6+Parameter!$H$7))-(BE1198-BA1198))/BA1198)))</f>
        <v>0</v>
      </c>
      <c r="BG1198" s="48" t="str">
        <f aca="false">IF(AI1198&lt;=0,"",IF(CC1198="Aussen","Aussenlager",IF(CC1198="-","Nicht im Lift",IF(AN1198&gt;=1,"Lift",IF(AN1198&lt;=0,"Aussenlager","teilweise")))))</f>
        <v/>
      </c>
      <c r="BH1198" s="48" t="str">
        <f aca="false">IF(AR1198&lt;=0,"",IF(CC1198="Aussen","Aussenlager",IF(CC1198="-","Nicht im Lift",IF(AW1198&gt;=1,"Lift",IF(AW1198&lt;=0,"Aussenlager","teilweise")))))</f>
        <v>Nicht im Lift</v>
      </c>
      <c r="BI1198" s="48" t="str">
        <f aca="false">IF(BA1198&lt;=0,"",IF(CC1198="Aussen","Aussenlager",IF(CC1198="-","Nicht im Lift",IF(BF1198&gt;=1,"Lift",IF(BF1198&lt;=0,"Aussenlager","teilweise")))))</f>
        <v>Nicht im Lift</v>
      </c>
      <c r="BJ1198" s="48" t="str">
        <f aca="false">IF(A1198="","",IF(BS1198=1,"Neu; ","")&amp;IF(AND(BS1198=0,BN1198&lt;0),"negativer Bestand (Export "&amp;BN1198&amp;"); ","")&amp;IF(J1198&lt;=0,"Kein Verbrauch; ","")&amp;IF(CL1198&gt;0,"Lift "&amp;W1198&amp;" lt. Liftbericht (Fach "&amp;X1198&amp;" Stk); ",IF(BX1198=1,"Gebinde geschätzt ("&amp;T1198&amp;"); ",IF(BW1198=1,"Lose – Tablare geschätzt; ","")))&amp;IF(H1198&gt;AT1198,"Überbestand "&amp;ROUND(H1198-AT1198,0)&amp;" Stk / CHF "&amp;ROUND((H1198-AT1198)*G1198,0)&amp;"; ","")&amp;IF(AND(CE1198=1,CF1198&lt;CG1198),"MAX &lt; MB+LG; ","")&amp;IF(AND(CK1198&gt;0,CJ1198*10&gt;CK1198),"zu hoch für Tablar; ","")&amp;IF(AND(BS1198=0,OR(CE1198=1,AA1198&lt;&gt;"",U1198&lt;&gt;"",V1198&lt;&gt;"",AB1198&lt;&gt;"")),"manuell übersteuert; ","")&amp;IF(AND(BW1198=0,R1198=0),"Gebinde unbekannt / Stellmass fehlt; ","")&amp;IF(AND(BW1198=0,N(V1198)&lt;=0,N(Q1198)&lt;=0),"Menge pro Gebinde fehlt (Ist = 1 Gebinde); ","")&amp;BR1198)</f>
        <v>negativer Bestand (Export -4); Kein Verbrauch; Gebinde geschätzt (Gross); Menge pro Gebinde fehlt (Ist = 1 Gebinde); </v>
      </c>
      <c r="BK1198" s="48"/>
      <c r="BL1198" s="48"/>
      <c r="BM1198" s="55"/>
      <c r="BN1198" s="50" t="n">
        <v>-4</v>
      </c>
      <c r="BO1198" s="50" t="n">
        <v>4</v>
      </c>
      <c r="BP1198" s="49" t="n">
        <v>-482.32</v>
      </c>
      <c r="BQ1198" s="50" t="n">
        <v>0</v>
      </c>
      <c r="BR1198" s="48"/>
      <c r="BS1198" s="53" t="n">
        <v>0</v>
      </c>
      <c r="BT1198" s="53" t="n">
        <v>1198</v>
      </c>
      <c r="BU1198" s="48" t="str">
        <f aca="false">IF(U1198&lt;&gt;"",UPPER(TRIM(U1198)),IF(BX1198=1,UPPER(VLOOKUP(T1198,Parameter!$I$27:$K$29,2,0)),IF(P1198="","LOSE",P1198)))</f>
        <v>S81</v>
      </c>
      <c r="BV1198" s="50" t="n">
        <f aca="false">IF(BU1198="LOSE",1,IF(N(V1198)&gt;0,V1198,IF(BX1198=1,MAX(1,N(VLOOKUP(T1198,Parameter!$I$27:$K$29,3,0)),H1198,N(N1198)),IF(N(Q1198)&gt;0,Q1198,MAX(1,H1198)))))</f>
        <v>2</v>
      </c>
      <c r="BW1198" s="53" t="n">
        <f aca="false">IF(BU1198="LOSE",1,0)</f>
        <v>0</v>
      </c>
      <c r="BX1198" s="53" t="n">
        <f aca="false">IF(AND(U1198="",OR(P1198="",P1198="LOSE"),T1198&lt;&gt;"",N(S1198)&lt;=0,ISNUMBER(MATCH(T1198,Parameter!$I$27:$I$29,0))),1,0)</f>
        <v>1</v>
      </c>
      <c r="BY1198" s="53" t="n">
        <f aca="false">IF(CL1198&gt;0,INDEX(Parameter!$H$5:$H$7,W1198)/INDEX(Parameter!$E$5:$E$7,W1198),IF(AND(BW1198=0,N(IFERROR(VLOOKUP(BU1198,'Gebinde-Kategorie'!$A$5:$N$45,14,0),0))&gt;0),VLOOKUP(BU1198,'Gebinde-Kategorie'!$A$5:$N$45,14,0)*10+Parameter!$M$23,Parameter!$M$24))</f>
        <v>235</v>
      </c>
      <c r="BZ1198" s="48" t="str">
        <f aca="false">IF(AND(Parameter!$B$19="Ja",E1198&lt;&gt;"",ISNUMBER(MATCH(E1198,Parameter!$I$35:$I$52,0))),VLOOKUP(E1198,Parameter!$I$35:$J$52,2,0),IFERROR(VLOOKUP(D1198,Parameter!$A$35:$C$64,2,0),"Nein"))</f>
        <v>Nein</v>
      </c>
      <c r="CA1198" s="52" t="n">
        <f aca="false">IF(BW1198=0,0,IF(N(S1198)&gt;0,S1198,IFERROR(VLOOKUP(D1198,Parameter!$A$35:$C$64,3,0)+0,0)))</f>
        <v>0</v>
      </c>
      <c r="CB1198" s="48" t="str">
        <f aca="false">IF(AA1198&lt;&gt;"",AA1198,Z1198)</f>
        <v>-</v>
      </c>
      <c r="CC1198" s="48" t="str">
        <f aca="false">IF(OR(CB1198=1,CB1198=2,CB1198=3),IF(Parameter!$E$27="Ja","LIFT",IF(CB1198=1,"L1","L23")),IF(CB1198="Aussen","Aussen","-"))</f>
        <v>-</v>
      </c>
      <c r="CD1198" s="59" t="n">
        <f aca="false">IF(N(AB1198)&gt;0,AB1198,0)</f>
        <v>0</v>
      </c>
      <c r="CE1198" s="53" t="n">
        <f aca="false">IF(ISNUMBER(AE1198),1,0)</f>
        <v>0</v>
      </c>
      <c r="CF1198" s="50" t="n">
        <f aca="false">N(AE1198)</f>
        <v>0</v>
      </c>
      <c r="CG1198" s="50" t="n">
        <f aca="false">N(M1198)+N(N1198)</f>
        <v>1</v>
      </c>
      <c r="CH1198" s="50" t="n">
        <f aca="false">ROUNDUP(H1198/BV1198,0)</f>
        <v>0</v>
      </c>
      <c r="CI1198" s="50" t="n">
        <f aca="false">ROUNDUP(CF1198/BV1198,0)</f>
        <v>0</v>
      </c>
      <c r="CJ1198" s="53" t="n">
        <f aca="false">IF(BW1198=1,0,IFERROR(VLOOKUP(BU1198,'Gebinde-Kategorie'!$A$5:$N$45,5,0)+0,0))</f>
        <v>20</v>
      </c>
      <c r="CK1198" s="53" t="n">
        <f aca="false">IFERROR(IF(OR(CB1198=1,CB1198=2,CB1198=3),N(INDEX(Parameter!$I$5:$I$7,CB1198)),0),0)</f>
        <v>0</v>
      </c>
      <c r="CL1198" s="52" t="n">
        <f aca="false">IF(AND(Parameter!$B$21="Ja",ISNUMBER(W1198),N(X1198)&gt;0),IFERROR(N(INDEX(Parameter!$L$5:$L$7,W1198))*INDEX(Parameter!$E$5:$E$7,W1198)*X1198/SUMIFS($X$7:$X$1843,$W$7:$W$1843,W1198),0),0)</f>
        <v>0</v>
      </c>
    </row>
    <row r="1199" customFormat="false" ht="15" hidden="false" customHeight="false" outlineLevel="0" collapsed="false">
      <c r="A1199" s="48" t="s">
        <v>2160</v>
      </c>
      <c r="B1199" s="48" t="s">
        <v>511</v>
      </c>
      <c r="C1199" s="48" t="s">
        <v>168</v>
      </c>
      <c r="D1199" s="48" t="s">
        <v>188</v>
      </c>
      <c r="E1199" s="48" t="s">
        <v>189</v>
      </c>
      <c r="F1199" s="48" t="s">
        <v>222</v>
      </c>
      <c r="G1199" s="49" t="n">
        <v>2.22</v>
      </c>
      <c r="H1199" s="50" t="n">
        <f aca="false">MAX(0,IF(AND(Parameter!$B$21="Ja",ISNUMBER(Y1199)),Y1199,IF(Parameter!$B$20="Jahresanfang 2025 + Export",BO1199+BN1199,BN1199)))</f>
        <v>102</v>
      </c>
      <c r="I1199" s="50" t="n">
        <f aca="false">H1199*G1199</f>
        <v>226.44</v>
      </c>
      <c r="J1199" s="50" t="n">
        <f aca="false">BQ1199*Parameter!$B$18</f>
        <v>361</v>
      </c>
      <c r="K1199" s="51" t="n">
        <v>284.5</v>
      </c>
      <c r="L1199" s="52" t="n">
        <v>1.2688927943761</v>
      </c>
      <c r="M1199" s="50" t="n">
        <v>21</v>
      </c>
      <c r="N1199" s="50" t="n">
        <v>360</v>
      </c>
      <c r="O1199" s="53" t="n">
        <v>21</v>
      </c>
      <c r="P1199" s="48" t="s">
        <v>306</v>
      </c>
      <c r="Q1199" s="50" t="n">
        <v>215</v>
      </c>
      <c r="R1199" s="53" t="n">
        <f aca="false">IF(BW1199=1,0,IFERROR(VLOOKUP(BU1199,'Gebinde-Kategorie'!$A$5:$N$45,13,0)+0,0))</f>
        <v>26</v>
      </c>
      <c r="S1199" s="54"/>
      <c r="T1199" s="55"/>
      <c r="U1199" s="55"/>
      <c r="V1199" s="55"/>
      <c r="W1199" s="48"/>
      <c r="X1199" s="50"/>
      <c r="Y1199" s="50"/>
      <c r="Z1199" s="48" t="n">
        <f aca="false">IF(A1199="","",IF(AND(Parameter!$B$21="Ja",ISNUMBER(W1199)),W1199,IF(BZ1199="2+3",IF(ISNUMBER(SEARCH("grosser Artikel",BR1199)),2,IFERROR(VLOOKUP(BU1199,Parameter!$F$35:$G$64,2,0),2)),IF(OR(BZ1199="Nein",BZ1199=""),"-",BZ1199))))</f>
        <v>3</v>
      </c>
      <c r="AA1199" s="55"/>
      <c r="AB1199" s="56"/>
      <c r="AC1199" s="50" t="n">
        <f aca="false">AT1199</f>
        <v>430</v>
      </c>
      <c r="AD1199" s="50" t="n">
        <f aca="false">MAX(AT1199,H1199)</f>
        <v>430</v>
      </c>
      <c r="AE1199" s="57"/>
      <c r="AF1199" s="50" t="n">
        <f aca="false">IF(LEFT(Cockpit!$C$5,1)="A",H1199,IF(CE1199=1,CF1199,IF(LEFT(Cockpit!$C$5,1)="B",AK1199,MAX(AK1199,H1199))))</f>
        <v>102</v>
      </c>
      <c r="AG1199" s="50" t="n">
        <f aca="false">IF(BW1199=1,0,ROUNDUP(AF1199/BV1199,0))</f>
        <v>1</v>
      </c>
      <c r="AH1199" s="52" t="n">
        <f aca="false">IF(CL1199&gt;0,CL1199*MAX(1,AF1199/X1199),IF(BW1199=1,IF(AF1199&lt;=0,0,CA1199*MAX(1,IF(H1199&gt;0,AF1199/H1199,1))),IF(R1199&gt;0,AG1199/R1199,0))/MAX(0.1,N(Parameter!$M$21)))</f>
        <v>0.0384615384615385</v>
      </c>
      <c r="AI1199" s="50" t="n">
        <f aca="false">AH1199*BY1199</f>
        <v>5.96153846153846</v>
      </c>
      <c r="AJ1199" s="50" t="n">
        <f aca="false">AF1199*G1199</f>
        <v>226.44</v>
      </c>
      <c r="AK1199" s="50" t="n">
        <f aca="false">ROUNDUP(MAX(J1199/IF(CD1199&gt;0,CD1199,MAX(0.1,N(Cockpit!$C$6))),CG1199)/BV1199,0)*BV1199</f>
        <v>430</v>
      </c>
      <c r="AL1199" s="51" t="n">
        <f aca="false">IF(AI1199&gt;0,J1199/AI1199,-1)</f>
        <v>60.5548387096774</v>
      </c>
      <c r="AM1199" s="51" t="n">
        <f aca="false">IF(AND(OR(CC1199="L1",CC1199="L23",CC1199="LIFT"),AI1199&gt;0),SUMIFS($AI$7:$AI$1843,$CC$7:$CC$1843,CC1199,$AL$7:$AL$1843,"&gt;"&amp;AL1199)+SUMIFS($AI$7:$AI$1843,$CC$7:$CC$1843,CC1199,$AL$7:$AL$1843,AL1199,$BT$7:$BT$1843,"&lt;="&amp;BT1199),"")</f>
        <v>985.429945054945</v>
      </c>
      <c r="AN1199" s="58" t="n">
        <f aca="false">IF(AM1199="",0,MAX(0,MIN(1,(IF(CC1199="L1",Parameter!$H$5,IF(CC1199="L23",Parameter!$H$6+Parameter!$H$7,Parameter!$H$5+Parameter!$H$6+Parameter!$H$7))-(AM1199-AI1199))/AI1199)))</f>
        <v>1</v>
      </c>
      <c r="AO1199" s="50" t="n">
        <f aca="false">IF(LEFT(Cockpit!$I$5,1)="A",H1199,IF(CE1199=1,CF1199,IF(LEFT(Cockpit!$I$5,1)="B",AT1199,MAX(AT1199,H1199))))</f>
        <v>430</v>
      </c>
      <c r="AP1199" s="50" t="n">
        <f aca="false">IF(BW1199=1,0,ROUNDUP(AO1199/BV1199,0))</f>
        <v>2</v>
      </c>
      <c r="AQ1199" s="52" t="n">
        <f aca="false">IF(CL1199&gt;0,CL1199*MAX(1,AO1199/X1199),IF(BW1199=1,IF(AO1199&lt;=0,0,CA1199*MAX(1,IF(H1199&gt;0,AO1199/H1199,1))),IF(R1199&gt;0,AP1199/R1199,0))/MAX(0.1,N(Parameter!$M$21)))</f>
        <v>0.0769230769230769</v>
      </c>
      <c r="AR1199" s="50" t="n">
        <f aca="false">AQ1199*BY1199</f>
        <v>11.9230769230769</v>
      </c>
      <c r="AS1199" s="50" t="n">
        <f aca="false">AO1199*G1199</f>
        <v>954.6</v>
      </c>
      <c r="AT1199" s="50" t="n">
        <f aca="false">ROUNDUP(MAX(J1199/IF(CD1199&gt;0,CD1199,MAX(0.1,N(Cockpit!$I$6))),CG1199)/BV1199,0)*BV1199</f>
        <v>430</v>
      </c>
      <c r="AU1199" s="51" t="n">
        <f aca="false">IF(AR1199&gt;0,J1199/AR1199,-1)</f>
        <v>30.2774193548387</v>
      </c>
      <c r="AV1199" s="51" t="n">
        <f aca="false">IF(AND(OR(CC1199="L1",CC1199="L23",CC1199="LIFT"),AR1199&gt;0),SUMIFS($AR$7:$AR$1843,$CC$7:$CC$1843,CC1199,$AU$7:$AU$1843,"&gt;"&amp;AU1199)+SUMIFS($AR$7:$AR$1843,$CC$7:$CC$1843,CC1199,$AU$7:$AU$1843,AU1199,$BT$7:$BT$1843,"&lt;="&amp;BT1199),"")</f>
        <v>1997.32234432234</v>
      </c>
      <c r="AW1199" s="58" t="n">
        <f aca="false">IF(AV1199="",0,MAX(0,MIN(1,(IF(CC1199="L1",Parameter!$H$5,IF(CC1199="L23",Parameter!$H$6+Parameter!$H$7,Parameter!$H$5+Parameter!$H$6+Parameter!$H$7))-(AV1199-AR1199))/AR1199)))</f>
        <v>1</v>
      </c>
      <c r="AX1199" s="50" t="n">
        <f aca="false">IF(LEFT(Cockpit!$O$5,1)="A",H1199,IF(CE1199=1,CF1199,IF(LEFT(Cockpit!$O$5,1)="B",BC1199,MAX(BC1199,H1199))))</f>
        <v>430</v>
      </c>
      <c r="AY1199" s="50" t="n">
        <f aca="false">IF(BW1199=1,0,ROUNDUP(AX1199/BV1199,0))</f>
        <v>2</v>
      </c>
      <c r="AZ1199" s="52" t="n">
        <f aca="false">IF(CL1199&gt;0,CL1199*MAX(1,AX1199/X1199),IF(BW1199=1,IF(AX1199&lt;=0,0,CA1199*MAX(1,IF(H1199&gt;0,AX1199/H1199,1))),IF(R1199&gt;0,AY1199/R1199,0))/MAX(0.1,N(Parameter!$M$21)))</f>
        <v>0.0769230769230769</v>
      </c>
      <c r="BA1199" s="50" t="n">
        <f aca="false">AZ1199*BY1199</f>
        <v>11.9230769230769</v>
      </c>
      <c r="BB1199" s="50" t="n">
        <f aca="false">AX1199*G1199</f>
        <v>954.6</v>
      </c>
      <c r="BC1199" s="50" t="n">
        <f aca="false">ROUNDUP(MAX(J1199/IF(CD1199&gt;0,CD1199,MAX(0.1,N(Cockpit!$O$6))),CG1199)/BV1199,0)*BV1199</f>
        <v>430</v>
      </c>
      <c r="BD1199" s="51" t="n">
        <f aca="false">IF(BA1199&gt;0,J1199/BA1199,-1)</f>
        <v>30.2774193548387</v>
      </c>
      <c r="BE1199" s="51" t="n">
        <f aca="false">IF(AND(OR(CC1199="L1",CC1199="L23",CC1199="LIFT"),BA1199&gt;0),SUMIFS($BA$7:$BA$1843,$CC$7:$CC$1843,CC1199,$BD$7:$BD$1843,"&gt;"&amp;BD1199)+SUMIFS($BA$7:$BA$1843,$CC$7:$CC$1843,CC1199,$BD$7:$BD$1843,BD1199,$BT$7:$BT$1843,"&lt;="&amp;BT1199),"")</f>
        <v>1881.66529304029</v>
      </c>
      <c r="BF1199" s="58" t="n">
        <f aca="false">IF(BE1199="",0,MAX(0,MIN(1,(IF(CC1199="L1",Parameter!$H$5,IF(CC1199="L23",Parameter!$H$6+Parameter!$H$7,Parameter!$H$5+Parameter!$H$6+Parameter!$H$7))-(BE1199-BA1199))/BA1199)))</f>
        <v>1</v>
      </c>
      <c r="BG1199" s="48" t="str">
        <f aca="false">IF(AI1199&lt;=0,"",IF(CC1199="Aussen","Aussenlager",IF(CC1199="-","Nicht im Lift",IF(AN1199&gt;=1,"Lift",IF(AN1199&lt;=0,"Aussenlager","teilweise")))))</f>
        <v>Lift</v>
      </c>
      <c r="BH1199" s="48" t="str">
        <f aca="false">IF(AR1199&lt;=0,"",IF(CC1199="Aussen","Aussenlager",IF(CC1199="-","Nicht im Lift",IF(AW1199&gt;=1,"Lift",IF(AW1199&lt;=0,"Aussenlager","teilweise")))))</f>
        <v>Lift</v>
      </c>
      <c r="BI1199" s="48" t="str">
        <f aca="false">IF(BA1199&lt;=0,"",IF(CC1199="Aussen","Aussenlager",IF(CC1199="-","Nicht im Lift",IF(BF1199&gt;=1,"Lift",IF(BF1199&lt;=0,"Aussenlager","teilweise")))))</f>
        <v>Lift</v>
      </c>
      <c r="BJ1199" s="48" t="str">
        <f aca="false">IF(A1199="","",IF(BS1199=1,"Neu; ","")&amp;IF(AND(BS1199=0,BN1199&lt;0),"negativer Bestand (Export "&amp;BN1199&amp;"); ","")&amp;IF(J1199&lt;=0,"Kein Verbrauch; ","")&amp;IF(CL1199&gt;0,"Lift "&amp;W1199&amp;" lt. Liftbericht (Fach "&amp;X1199&amp;" Stk); ",IF(BX1199=1,"Gebinde geschätzt ("&amp;T1199&amp;"); ",IF(BW1199=1,"Lose – Tablare geschätzt; ","")))&amp;IF(H1199&gt;AT1199,"Überbestand "&amp;ROUND(H1199-AT1199,0)&amp;" Stk / CHF "&amp;ROUND((H1199-AT1199)*G1199,0)&amp;"; ","")&amp;IF(AND(CE1199=1,CF1199&lt;CG1199),"MAX &lt; MB+LG; ","")&amp;IF(AND(CK1199&gt;0,CJ1199*10&gt;CK1199),"zu hoch für Tablar; ","")&amp;IF(AND(BS1199=0,OR(CE1199=1,AA1199&lt;&gt;"",U1199&lt;&gt;"",V1199&lt;&gt;"",AB1199&lt;&gt;"")),"manuell übersteuert; ","")&amp;IF(AND(BW1199=0,R1199=0),"Gebinde unbekannt / Stellmass fehlt; ","")&amp;IF(AND(BW1199=0,N(V1199)&lt;=0,N(Q1199)&lt;=0),"Menge pro Gebinde fehlt (Ist = 1 Gebinde); ","")&amp;BR1199)</f>
        <v>negativer Bestand (Export -209); </v>
      </c>
      <c r="BK1199" s="48"/>
      <c r="BL1199" s="48"/>
      <c r="BM1199" s="55"/>
      <c r="BN1199" s="50" t="n">
        <v>-209</v>
      </c>
      <c r="BO1199" s="50" t="n">
        <v>311</v>
      </c>
      <c r="BP1199" s="49" t="n">
        <v>-485.539999999999</v>
      </c>
      <c r="BQ1199" s="50" t="n">
        <v>361</v>
      </c>
      <c r="BR1199" s="48"/>
      <c r="BS1199" s="53" t="n">
        <v>0</v>
      </c>
      <c r="BT1199" s="53" t="n">
        <v>1199</v>
      </c>
      <c r="BU1199" s="48" t="str">
        <f aca="false">IF(U1199&lt;&gt;"",UPPER(TRIM(U1199)),IF(BX1199=1,UPPER(VLOOKUP(T1199,Parameter!$I$27:$K$29,2,0)),IF(P1199="","LOSE",P1199)))</f>
        <v>S51</v>
      </c>
      <c r="BV1199" s="50" t="n">
        <f aca="false">IF(BU1199="LOSE",1,IF(N(V1199)&gt;0,V1199,IF(BX1199=1,MAX(1,N(VLOOKUP(T1199,Parameter!$I$27:$K$29,3,0)),H1199,N(N1199)),IF(N(Q1199)&gt;0,Q1199,MAX(1,H1199)))))</f>
        <v>215</v>
      </c>
      <c r="BW1199" s="53" t="n">
        <f aca="false">IF(BU1199="LOSE",1,0)</f>
        <v>0</v>
      </c>
      <c r="BX1199" s="53" t="n">
        <f aca="false">IF(AND(U1199="",OR(P1199="",P1199="LOSE"),T1199&lt;&gt;"",N(S1199)&lt;=0,ISNUMBER(MATCH(T1199,Parameter!$I$27:$I$29,0))),1,0)</f>
        <v>0</v>
      </c>
      <c r="BY1199" s="53" t="n">
        <f aca="false">IF(CL1199&gt;0,INDEX(Parameter!$H$5:$H$7,W1199)/INDEX(Parameter!$E$5:$E$7,W1199),IF(AND(BW1199=0,N(IFERROR(VLOOKUP(BU1199,'Gebinde-Kategorie'!$A$5:$N$45,14,0),0))&gt;0),VLOOKUP(BU1199,'Gebinde-Kategorie'!$A$5:$N$45,14,0)*10+Parameter!$M$23,Parameter!$M$24))</f>
        <v>155</v>
      </c>
      <c r="BZ1199" s="48" t="str">
        <f aca="false">IF(AND(Parameter!$B$19="Ja",E1199&lt;&gt;"",ISNUMBER(MATCH(E1199,Parameter!$I$35:$I$52,0))),VLOOKUP(E1199,Parameter!$I$35:$J$52,2,0),IFERROR(VLOOKUP(D1199,Parameter!$A$35:$C$64,2,0),"Nein"))</f>
        <v>2+3</v>
      </c>
      <c r="CA1199" s="52" t="n">
        <f aca="false">IF(BW1199=0,0,IF(N(S1199)&gt;0,S1199,IFERROR(VLOOKUP(D1199,Parameter!$A$35:$C$64,3,0)+0,0)))</f>
        <v>0</v>
      </c>
      <c r="CB1199" s="48" t="n">
        <f aca="false">IF(AA1199&lt;&gt;"",AA1199,Z1199)</f>
        <v>3</v>
      </c>
      <c r="CC1199" s="48" t="str">
        <f aca="false">IF(OR(CB1199=1,CB1199=2,CB1199=3),IF(Parameter!$E$27="Ja","LIFT",IF(CB1199=1,"L1","L23")),IF(CB1199="Aussen","Aussen","-"))</f>
        <v>LIFT</v>
      </c>
      <c r="CD1199" s="59" t="n">
        <f aca="false">IF(N(AB1199)&gt;0,AB1199,0)</f>
        <v>0</v>
      </c>
      <c r="CE1199" s="53" t="n">
        <f aca="false">IF(ISNUMBER(AE1199),1,0)</f>
        <v>0</v>
      </c>
      <c r="CF1199" s="50" t="n">
        <f aca="false">N(AE1199)</f>
        <v>0</v>
      </c>
      <c r="CG1199" s="50" t="n">
        <f aca="false">N(M1199)+N(N1199)</f>
        <v>381</v>
      </c>
      <c r="CH1199" s="50" t="n">
        <f aca="false">ROUNDUP(H1199/BV1199,0)</f>
        <v>1</v>
      </c>
      <c r="CI1199" s="50" t="n">
        <f aca="false">ROUNDUP(CF1199/BV1199,0)</f>
        <v>0</v>
      </c>
      <c r="CJ1199" s="53" t="n">
        <f aca="false">IF(BW1199=1,0,IFERROR(VLOOKUP(BU1199,'Gebinde-Kategorie'!$A$5:$N$45,5,0)+0,0))</f>
        <v>11</v>
      </c>
      <c r="CK1199" s="53" t="n">
        <f aca="false">IFERROR(IF(OR(CB1199=1,CB1199=2,CB1199=3),N(INDEX(Parameter!$I$5:$I$7,CB1199)),0),0)</f>
        <v>0</v>
      </c>
      <c r="CL1199" s="52" t="n">
        <f aca="false">IF(AND(Parameter!$B$21="Ja",ISNUMBER(W1199),N(X1199)&gt;0),IFERROR(N(INDEX(Parameter!$L$5:$L$7,W1199))*INDEX(Parameter!$E$5:$E$7,W1199)*X1199/SUMIFS($X$7:$X$1843,$W$7:$W$1843,W1199),0),0)</f>
        <v>0</v>
      </c>
    </row>
    <row r="1200" customFormat="false" ht="15" hidden="false" customHeight="false" outlineLevel="0" collapsed="false">
      <c r="A1200" s="48" t="s">
        <v>2161</v>
      </c>
      <c r="B1200" s="48" t="s">
        <v>378</v>
      </c>
      <c r="C1200" s="48" t="s">
        <v>168</v>
      </c>
      <c r="D1200" s="48" t="s">
        <v>188</v>
      </c>
      <c r="E1200" s="48" t="s">
        <v>189</v>
      </c>
      <c r="F1200" s="48" t="s">
        <v>222</v>
      </c>
      <c r="G1200" s="49" t="n">
        <v>15.83</v>
      </c>
      <c r="H1200" s="50" t="n">
        <f aca="false">MAX(0,IF(AND(Parameter!$B$21="Ja",ISNUMBER(Y1200)),Y1200,IF(Parameter!$B$20="Jahresanfang 2025 + Export",BO1200+BN1200,BN1200)))</f>
        <v>22</v>
      </c>
      <c r="I1200" s="50" t="n">
        <f aca="false">H1200*G1200</f>
        <v>348.26</v>
      </c>
      <c r="J1200" s="50" t="n">
        <f aca="false">BQ1200*Parameter!$B$18</f>
        <v>69</v>
      </c>
      <c r="K1200" s="51" t="n">
        <v>45</v>
      </c>
      <c r="L1200" s="52" t="n">
        <v>1.53333333333333</v>
      </c>
      <c r="M1200" s="50" t="n">
        <v>2</v>
      </c>
      <c r="N1200" s="50" t="n">
        <v>70</v>
      </c>
      <c r="O1200" s="53" t="n">
        <v>14</v>
      </c>
      <c r="P1200" s="48" t="s">
        <v>425</v>
      </c>
      <c r="Q1200" s="50" t="n">
        <v>30</v>
      </c>
      <c r="R1200" s="53" t="n">
        <f aca="false">IF(BW1200=1,0,IFERROR(VLOOKUP(BU1200,'Gebinde-Kategorie'!$A$5:$N$45,13,0)+0,0))</f>
        <v>104</v>
      </c>
      <c r="S1200" s="54"/>
      <c r="T1200" s="55"/>
      <c r="U1200" s="55"/>
      <c r="V1200" s="55"/>
      <c r="W1200" s="48"/>
      <c r="X1200" s="50"/>
      <c r="Y1200" s="50"/>
      <c r="Z1200" s="48" t="n">
        <f aca="false">IF(A1200="","",IF(AND(Parameter!$B$21="Ja",ISNUMBER(W1200)),W1200,IF(BZ1200="2+3",IF(ISNUMBER(SEARCH("grosser Artikel",BR1200)),2,IFERROR(VLOOKUP(BU1200,Parameter!$F$35:$G$64,2,0),2)),IF(OR(BZ1200="Nein",BZ1200=""),"-",BZ1200))))</f>
        <v>3</v>
      </c>
      <c r="AA1200" s="55"/>
      <c r="AB1200" s="56"/>
      <c r="AC1200" s="50" t="n">
        <f aca="false">AT1200</f>
        <v>90</v>
      </c>
      <c r="AD1200" s="50" t="n">
        <f aca="false">MAX(AT1200,H1200)</f>
        <v>90</v>
      </c>
      <c r="AE1200" s="57"/>
      <c r="AF1200" s="50" t="n">
        <f aca="false">IF(LEFT(Cockpit!$C$5,1)="A",H1200,IF(CE1200=1,CF1200,IF(LEFT(Cockpit!$C$5,1)="B",AK1200,MAX(AK1200,H1200))))</f>
        <v>22</v>
      </c>
      <c r="AG1200" s="50" t="n">
        <f aca="false">IF(BW1200=1,0,ROUNDUP(AF1200/BV1200,0))</f>
        <v>1</v>
      </c>
      <c r="AH1200" s="52" t="n">
        <f aca="false">IF(CL1200&gt;0,CL1200*MAX(1,AF1200/X1200),IF(BW1200=1,IF(AF1200&lt;=0,0,CA1200*MAX(1,IF(H1200&gt;0,AF1200/H1200,1))),IF(R1200&gt;0,AG1200/R1200,0))/MAX(0.1,N(Parameter!$M$21)))</f>
        <v>0.00961538461538462</v>
      </c>
      <c r="AI1200" s="50" t="n">
        <f aca="false">AH1200*BY1200</f>
        <v>1.49038461538462</v>
      </c>
      <c r="AJ1200" s="50" t="n">
        <f aca="false">AF1200*G1200</f>
        <v>348.26</v>
      </c>
      <c r="AK1200" s="50" t="n">
        <f aca="false">ROUNDUP(MAX(J1200/IF(CD1200&gt;0,CD1200,MAX(0.1,N(Cockpit!$C$6))),CG1200)/BV1200,0)*BV1200</f>
        <v>90</v>
      </c>
      <c r="AL1200" s="51" t="n">
        <f aca="false">IF(AI1200&gt;0,J1200/AI1200,-1)</f>
        <v>46.2967741935484</v>
      </c>
      <c r="AM1200" s="51" t="n">
        <f aca="false">IF(AND(OR(CC1200="L1",CC1200="L23",CC1200="LIFT"),AI1200&gt;0),SUMIFS($AI$7:$AI$1843,$CC$7:$CC$1843,CC1200,$AL$7:$AL$1843,"&gt;"&amp;AL1200)+SUMIFS($AI$7:$AI$1843,$CC$7:$CC$1843,CC1200,$AL$7:$AL$1843,AL1200,$BT$7:$BT$1843,"&lt;="&amp;BT1200),"")</f>
        <v>1160.86675824176</v>
      </c>
      <c r="AN1200" s="58" t="n">
        <f aca="false">IF(AM1200="",0,MAX(0,MIN(1,(IF(CC1200="L1",Parameter!$H$5,IF(CC1200="L23",Parameter!$H$6+Parameter!$H$7,Parameter!$H$5+Parameter!$H$6+Parameter!$H$7))-(AM1200-AI1200))/AI1200)))</f>
        <v>1</v>
      </c>
      <c r="AO1200" s="50" t="n">
        <f aca="false">IF(LEFT(Cockpit!$I$5,1)="A",H1200,IF(CE1200=1,CF1200,IF(LEFT(Cockpit!$I$5,1)="B",AT1200,MAX(AT1200,H1200))))</f>
        <v>90</v>
      </c>
      <c r="AP1200" s="50" t="n">
        <f aca="false">IF(BW1200=1,0,ROUNDUP(AO1200/BV1200,0))</f>
        <v>3</v>
      </c>
      <c r="AQ1200" s="52" t="n">
        <f aca="false">IF(CL1200&gt;0,CL1200*MAX(1,AO1200/X1200),IF(BW1200=1,IF(AO1200&lt;=0,0,CA1200*MAX(1,IF(H1200&gt;0,AO1200/H1200,1))),IF(R1200&gt;0,AP1200/R1200,0))/MAX(0.1,N(Parameter!$M$21)))</f>
        <v>0.0288461538461538</v>
      </c>
      <c r="AR1200" s="50" t="n">
        <f aca="false">AQ1200*BY1200</f>
        <v>4.47115384615385</v>
      </c>
      <c r="AS1200" s="50" t="n">
        <f aca="false">AO1200*G1200</f>
        <v>1424.7</v>
      </c>
      <c r="AT1200" s="50" t="n">
        <f aca="false">ROUNDUP(MAX(J1200/IF(CD1200&gt;0,CD1200,MAX(0.1,N(Cockpit!$I$6))),CG1200)/BV1200,0)*BV1200</f>
        <v>90</v>
      </c>
      <c r="AU1200" s="51" t="n">
        <f aca="false">IF(AR1200&gt;0,J1200/AR1200,-1)</f>
        <v>15.4322580645161</v>
      </c>
      <c r="AV1200" s="51" t="n">
        <f aca="false">IF(AND(OR(CC1200="L1",CC1200="L23",CC1200="LIFT"),AR1200&gt;0),SUMIFS($AR$7:$AR$1843,$CC$7:$CC$1843,CC1200,$AU$7:$AU$1843,"&gt;"&amp;AU1200)+SUMIFS($AR$7:$AR$1843,$CC$7:$CC$1843,CC1200,$AU$7:$AU$1843,AU1200,$BT$7:$BT$1843,"&lt;="&amp;BT1200),"")</f>
        <v>3249.67994505495</v>
      </c>
      <c r="AW1200" s="58" t="n">
        <f aca="false">IF(AV1200="",0,MAX(0,MIN(1,(IF(CC1200="L1",Parameter!$H$5,IF(CC1200="L23",Parameter!$H$6+Parameter!$H$7,Parameter!$H$5+Parameter!$H$6+Parameter!$H$7))-(AV1200-AR1200))/AR1200)))</f>
        <v>1</v>
      </c>
      <c r="AX1200" s="50" t="n">
        <f aca="false">IF(LEFT(Cockpit!$O$5,1)="A",H1200,IF(CE1200=1,CF1200,IF(LEFT(Cockpit!$O$5,1)="B",BC1200,MAX(BC1200,H1200))))</f>
        <v>90</v>
      </c>
      <c r="AY1200" s="50" t="n">
        <f aca="false">IF(BW1200=1,0,ROUNDUP(AX1200/BV1200,0))</f>
        <v>3</v>
      </c>
      <c r="AZ1200" s="52" t="n">
        <f aca="false">IF(CL1200&gt;0,CL1200*MAX(1,AX1200/X1200),IF(BW1200=1,IF(AX1200&lt;=0,0,CA1200*MAX(1,IF(H1200&gt;0,AX1200/H1200,1))),IF(R1200&gt;0,AY1200/R1200,0))/MAX(0.1,N(Parameter!$M$21)))</f>
        <v>0.0288461538461538</v>
      </c>
      <c r="BA1200" s="50" t="n">
        <f aca="false">AZ1200*BY1200</f>
        <v>4.47115384615385</v>
      </c>
      <c r="BB1200" s="50" t="n">
        <f aca="false">AX1200*G1200</f>
        <v>1424.7</v>
      </c>
      <c r="BC1200" s="50" t="n">
        <f aca="false">ROUNDUP(MAX(J1200/IF(CD1200&gt;0,CD1200,MAX(0.1,N(Cockpit!$O$6))),CG1200)/BV1200,0)*BV1200</f>
        <v>90</v>
      </c>
      <c r="BD1200" s="51" t="n">
        <f aca="false">IF(BA1200&gt;0,J1200/BA1200,-1)</f>
        <v>15.4322580645161</v>
      </c>
      <c r="BE1200" s="51" t="n">
        <f aca="false">IF(AND(OR(CC1200="L1",CC1200="L23",CC1200="LIFT"),BA1200&gt;0),SUMIFS($BA$7:$BA$1843,$CC$7:$CC$1843,CC1200,$BD$7:$BD$1843,"&gt;"&amp;BD1200)+SUMIFS($BA$7:$BA$1843,$CC$7:$CC$1843,CC1200,$BD$7:$BD$1843,BD1200,$BT$7:$BT$1843,"&lt;="&amp;BT1200),"")</f>
        <v>2924.11904761905</v>
      </c>
      <c r="BF1200" s="58" t="n">
        <f aca="false">IF(BE1200="",0,MAX(0,MIN(1,(IF(CC1200="L1",Parameter!$H$5,IF(CC1200="L23",Parameter!$H$6+Parameter!$H$7,Parameter!$H$5+Parameter!$H$6+Parameter!$H$7))-(BE1200-BA1200))/BA1200)))</f>
        <v>1</v>
      </c>
      <c r="BG1200" s="48" t="str">
        <f aca="false">IF(AI1200&lt;=0,"",IF(CC1200="Aussen","Aussenlager",IF(CC1200="-","Nicht im Lift",IF(AN1200&gt;=1,"Lift",IF(AN1200&lt;=0,"Aussenlager","teilweise")))))</f>
        <v>Lift</v>
      </c>
      <c r="BH1200" s="48" t="str">
        <f aca="false">IF(AR1200&lt;=0,"",IF(CC1200="Aussen","Aussenlager",IF(CC1200="-","Nicht im Lift",IF(AW1200&gt;=1,"Lift",IF(AW1200&lt;=0,"Aussenlager","teilweise")))))</f>
        <v>Lift</v>
      </c>
      <c r="BI1200" s="48" t="str">
        <f aca="false">IF(BA1200&lt;=0,"",IF(CC1200="Aussen","Aussenlager",IF(CC1200="-","Nicht im Lift",IF(BF1200&gt;=1,"Lift",IF(BF1200&lt;=0,"Aussenlager","teilweise")))))</f>
        <v>Lift</v>
      </c>
      <c r="BJ1200" s="48" t="str">
        <f aca="false">IF(A1200="","",IF(BS1200=1,"Neu; ","")&amp;IF(AND(BS1200=0,BN1200&lt;0),"negativer Bestand (Export "&amp;BN1200&amp;"); ","")&amp;IF(J1200&lt;=0,"Kein Verbrauch; ","")&amp;IF(CL1200&gt;0,"Lift "&amp;W1200&amp;" lt. Liftbericht (Fach "&amp;X1200&amp;" Stk); ",IF(BX1200=1,"Gebinde geschätzt ("&amp;T1200&amp;"); ",IF(BW1200=1,"Lose – Tablare geschätzt; ","")))&amp;IF(H1200&gt;AT1200,"Überbestand "&amp;ROUND(H1200-AT1200,0)&amp;" Stk / CHF "&amp;ROUND((H1200-AT1200)*G1200,0)&amp;"; ","")&amp;IF(AND(CE1200=1,CF1200&lt;CG1200),"MAX &lt; MB+LG; ","")&amp;IF(AND(CK1200&gt;0,CJ1200*10&gt;CK1200),"zu hoch für Tablar; ","")&amp;IF(AND(BS1200=0,OR(CE1200=1,AA1200&lt;&gt;"",U1200&lt;&gt;"",V1200&lt;&gt;"",AB1200&lt;&gt;"")),"manuell übersteuert; ","")&amp;IF(AND(BW1200=0,R1200=0),"Gebinde unbekannt / Stellmass fehlt; ","")&amp;IF(AND(BW1200=0,N(V1200)&lt;=0,N(Q1200)&lt;=0),"Menge pro Gebinde fehlt (Ist = 1 Gebinde); ","")&amp;BR1200)</f>
        <v>negativer Bestand (Export -29); </v>
      </c>
      <c r="BK1200" s="48"/>
      <c r="BL1200" s="48"/>
      <c r="BM1200" s="55"/>
      <c r="BN1200" s="50" t="n">
        <v>-29</v>
      </c>
      <c r="BO1200" s="50" t="n">
        <v>51</v>
      </c>
      <c r="BP1200" s="49" t="n">
        <v>-487.74</v>
      </c>
      <c r="BQ1200" s="50" t="n">
        <v>69</v>
      </c>
      <c r="BR1200" s="48"/>
      <c r="BS1200" s="53" t="n">
        <v>0</v>
      </c>
      <c r="BT1200" s="53" t="n">
        <v>1200</v>
      </c>
      <c r="BU1200" s="48" t="str">
        <f aca="false">IF(U1200&lt;&gt;"",UPPER(TRIM(U1200)),IF(BX1200=1,UPPER(VLOOKUP(T1200,Parameter!$I$27:$K$29,2,0)),IF(P1200="","LOSE",P1200)))</f>
        <v>S32</v>
      </c>
      <c r="BV1200" s="50" t="n">
        <f aca="false">IF(BU1200="LOSE",1,IF(N(V1200)&gt;0,V1200,IF(BX1200=1,MAX(1,N(VLOOKUP(T1200,Parameter!$I$27:$K$29,3,0)),H1200,N(N1200)),IF(N(Q1200)&gt;0,Q1200,MAX(1,H1200)))))</f>
        <v>30</v>
      </c>
      <c r="BW1200" s="53" t="n">
        <f aca="false">IF(BU1200="LOSE",1,0)</f>
        <v>0</v>
      </c>
      <c r="BX1200" s="53" t="n">
        <f aca="false">IF(AND(U1200="",OR(P1200="",P1200="LOSE"),T1200&lt;&gt;"",N(S1200)&lt;=0,ISNUMBER(MATCH(T1200,Parameter!$I$27:$I$29,0))),1,0)</f>
        <v>0</v>
      </c>
      <c r="BY1200" s="53" t="n">
        <f aca="false">IF(CL1200&gt;0,INDEX(Parameter!$H$5:$H$7,W1200)/INDEX(Parameter!$E$5:$E$7,W1200),IF(AND(BW1200=0,N(IFERROR(VLOOKUP(BU1200,'Gebinde-Kategorie'!$A$5:$N$45,14,0),0))&gt;0),VLOOKUP(BU1200,'Gebinde-Kategorie'!$A$5:$N$45,14,0)*10+Parameter!$M$23,Parameter!$M$24))</f>
        <v>155</v>
      </c>
      <c r="BZ1200" s="48" t="str">
        <f aca="false">IF(AND(Parameter!$B$19="Ja",E1200&lt;&gt;"",ISNUMBER(MATCH(E1200,Parameter!$I$35:$I$52,0))),VLOOKUP(E1200,Parameter!$I$35:$J$52,2,0),IFERROR(VLOOKUP(D1200,Parameter!$A$35:$C$64,2,0),"Nein"))</f>
        <v>2+3</v>
      </c>
      <c r="CA1200" s="52" t="n">
        <f aca="false">IF(BW1200=0,0,IF(N(S1200)&gt;0,S1200,IFERROR(VLOOKUP(D1200,Parameter!$A$35:$C$64,3,0)+0,0)))</f>
        <v>0</v>
      </c>
      <c r="CB1200" s="48" t="n">
        <f aca="false">IF(AA1200&lt;&gt;"",AA1200,Z1200)</f>
        <v>3</v>
      </c>
      <c r="CC1200" s="48" t="str">
        <f aca="false">IF(OR(CB1200=1,CB1200=2,CB1200=3),IF(Parameter!$E$27="Ja","LIFT",IF(CB1200=1,"L1","L23")),IF(CB1200="Aussen","Aussen","-"))</f>
        <v>LIFT</v>
      </c>
      <c r="CD1200" s="59" t="n">
        <f aca="false">IF(N(AB1200)&gt;0,AB1200,0)</f>
        <v>0</v>
      </c>
      <c r="CE1200" s="53" t="n">
        <f aca="false">IF(ISNUMBER(AE1200),1,0)</f>
        <v>0</v>
      </c>
      <c r="CF1200" s="50" t="n">
        <f aca="false">N(AE1200)</f>
        <v>0</v>
      </c>
      <c r="CG1200" s="50" t="n">
        <f aca="false">N(M1200)+N(N1200)</f>
        <v>72</v>
      </c>
      <c r="CH1200" s="50" t="n">
        <f aca="false">ROUNDUP(H1200/BV1200,0)</f>
        <v>1</v>
      </c>
      <c r="CI1200" s="50" t="n">
        <f aca="false">ROUNDUP(CF1200/BV1200,0)</f>
        <v>0</v>
      </c>
      <c r="CJ1200" s="53" t="n">
        <f aca="false">IF(BW1200=1,0,IFERROR(VLOOKUP(BU1200,'Gebinde-Kategorie'!$A$5:$N$45,5,0)+0,0))</f>
        <v>8</v>
      </c>
      <c r="CK1200" s="53" t="n">
        <f aca="false">IFERROR(IF(OR(CB1200=1,CB1200=2,CB1200=3),N(INDEX(Parameter!$I$5:$I$7,CB1200)),0),0)</f>
        <v>0</v>
      </c>
      <c r="CL1200" s="52" t="n">
        <f aca="false">IF(AND(Parameter!$B$21="Ja",ISNUMBER(W1200),N(X1200)&gt;0),IFERROR(N(INDEX(Parameter!$L$5:$L$7,W1200))*INDEX(Parameter!$E$5:$E$7,W1200)*X1200/SUMIFS($X$7:$X$1843,$W$7:$W$1843,W1200),0),0)</f>
        <v>0</v>
      </c>
    </row>
    <row r="1201" customFormat="false" ht="15" hidden="false" customHeight="false" outlineLevel="0" collapsed="false">
      <c r="A1201" s="48" t="s">
        <v>2162</v>
      </c>
      <c r="B1201" s="48" t="s">
        <v>2163</v>
      </c>
      <c r="C1201" s="48" t="s">
        <v>168</v>
      </c>
      <c r="D1201" s="48" t="s">
        <v>177</v>
      </c>
      <c r="E1201" s="48" t="s">
        <v>177</v>
      </c>
      <c r="F1201" s="48" t="s">
        <v>222</v>
      </c>
      <c r="G1201" s="49" t="n">
        <v>490.5</v>
      </c>
      <c r="H1201" s="50" t="n">
        <f aca="false">MAX(0,IF(AND(Parameter!$B$21="Ja",ISNUMBER(Y1201)),Y1201,IF(Parameter!$B$20="Jahresanfang 2025 + Export",BO1201+BN1201,BN1201)))</f>
        <v>1</v>
      </c>
      <c r="I1201" s="50" t="n">
        <f aca="false">H1201*G1201</f>
        <v>490.5</v>
      </c>
      <c r="J1201" s="50" t="n">
        <f aca="false">BQ1201*Parameter!$B$18</f>
        <v>0</v>
      </c>
      <c r="K1201" s="51" t="n">
        <v>1.5</v>
      </c>
      <c r="L1201" s="52" t="n">
        <v>0</v>
      </c>
      <c r="M1201" s="50" t="n">
        <v>0</v>
      </c>
      <c r="N1201" s="50" t="n">
        <v>1</v>
      </c>
      <c r="O1201" s="53" t="n">
        <v>28</v>
      </c>
      <c r="P1201" s="48" t="s">
        <v>172</v>
      </c>
      <c r="Q1201" s="50"/>
      <c r="R1201" s="53" t="n">
        <f aca="false">IF(BW1201=1,0,IFERROR(VLOOKUP(BU1201,'Gebinde-Kategorie'!$A$5:$N$45,13,0)+0,0))</f>
        <v>12</v>
      </c>
      <c r="S1201" s="54"/>
      <c r="T1201" s="55" t="s">
        <v>183</v>
      </c>
      <c r="U1201" s="55"/>
      <c r="V1201" s="55"/>
      <c r="W1201" s="48"/>
      <c r="X1201" s="50"/>
      <c r="Y1201" s="50"/>
      <c r="Z1201" s="48" t="str">
        <f aca="false">IF(A1201="","",IF(AND(Parameter!$B$21="Ja",ISNUMBER(W1201)),W1201,IF(BZ1201="2+3",IF(ISNUMBER(SEARCH("grosser Artikel",BR1201)),2,IFERROR(VLOOKUP(BU1201,Parameter!$F$35:$G$64,2,0),2)),IF(OR(BZ1201="Nein",BZ1201=""),"-",BZ1201))))</f>
        <v>-</v>
      </c>
      <c r="AA1201" s="55"/>
      <c r="AB1201" s="56"/>
      <c r="AC1201" s="50" t="n">
        <f aca="false">AT1201</f>
        <v>4</v>
      </c>
      <c r="AD1201" s="50" t="n">
        <f aca="false">MAX(AT1201,H1201)</f>
        <v>4</v>
      </c>
      <c r="AE1201" s="57"/>
      <c r="AF1201" s="50" t="n">
        <f aca="false">IF(LEFT(Cockpit!$C$5,1)="A",H1201,IF(CE1201=1,CF1201,IF(LEFT(Cockpit!$C$5,1)="B",AK1201,MAX(AK1201,H1201))))</f>
        <v>1</v>
      </c>
      <c r="AG1201" s="50" t="n">
        <f aca="false">IF(BW1201=1,0,ROUNDUP(AF1201/BV1201,0))</f>
        <v>1</v>
      </c>
      <c r="AH1201" s="52" t="n">
        <f aca="false">IF(CL1201&gt;0,CL1201*MAX(1,AF1201/X1201),IF(BW1201=1,IF(AF1201&lt;=0,0,CA1201*MAX(1,IF(H1201&gt;0,AF1201/H1201,1))),IF(R1201&gt;0,AG1201/R1201,0))/MAX(0.1,N(Parameter!$M$21)))</f>
        <v>0.0833333333333333</v>
      </c>
      <c r="AI1201" s="50" t="n">
        <f aca="false">AH1201*BY1201</f>
        <v>12.0833333333333</v>
      </c>
      <c r="AJ1201" s="50" t="n">
        <f aca="false">AF1201*G1201</f>
        <v>490.5</v>
      </c>
      <c r="AK1201" s="50" t="n">
        <f aca="false">ROUNDUP(MAX(J1201/IF(CD1201&gt;0,CD1201,MAX(0.1,N(Cockpit!$C$6))),CG1201)/BV1201,0)*BV1201</f>
        <v>4</v>
      </c>
      <c r="AL1201" s="51" t="n">
        <f aca="false">IF(AI1201&gt;0,J1201/AI1201,-1)</f>
        <v>0</v>
      </c>
      <c r="AM1201" s="51" t="str">
        <f aca="false">IF(AND(OR(CC1201="L1",CC1201="L23",CC1201="LIFT"),AI1201&gt;0),SUMIFS($AI$7:$AI$1843,$CC$7:$CC$1843,CC1201,$AL$7:$AL$1843,"&gt;"&amp;AL1201)+SUMIFS($AI$7:$AI$1843,$CC$7:$CC$1843,CC1201,$AL$7:$AL$1843,AL1201,$BT$7:$BT$1843,"&lt;="&amp;BT1201),"")</f>
        <v/>
      </c>
      <c r="AN1201" s="58" t="n">
        <f aca="false">IF(AM1201="",0,MAX(0,MIN(1,(IF(CC1201="L1",Parameter!$H$5,IF(CC1201="L23",Parameter!$H$6+Parameter!$H$7,Parameter!$H$5+Parameter!$H$6+Parameter!$H$7))-(AM1201-AI1201))/AI1201)))</f>
        <v>0</v>
      </c>
      <c r="AO1201" s="50" t="n">
        <f aca="false">IF(LEFT(Cockpit!$I$5,1)="A",H1201,IF(CE1201=1,CF1201,IF(LEFT(Cockpit!$I$5,1)="B",AT1201,MAX(AT1201,H1201))))</f>
        <v>4</v>
      </c>
      <c r="AP1201" s="50" t="n">
        <f aca="false">IF(BW1201=1,0,ROUNDUP(AO1201/BV1201,0))</f>
        <v>1</v>
      </c>
      <c r="AQ1201" s="52" t="n">
        <f aca="false">IF(CL1201&gt;0,CL1201*MAX(1,AO1201/X1201),IF(BW1201=1,IF(AO1201&lt;=0,0,CA1201*MAX(1,IF(H1201&gt;0,AO1201/H1201,1))),IF(R1201&gt;0,AP1201/R1201,0))/MAX(0.1,N(Parameter!$M$21)))</f>
        <v>0.0833333333333333</v>
      </c>
      <c r="AR1201" s="50" t="n">
        <f aca="false">AQ1201*BY1201</f>
        <v>12.0833333333333</v>
      </c>
      <c r="AS1201" s="50" t="n">
        <f aca="false">AO1201*G1201</f>
        <v>1962</v>
      </c>
      <c r="AT1201" s="50" t="n">
        <f aca="false">ROUNDUP(MAX(J1201/IF(CD1201&gt;0,CD1201,MAX(0.1,N(Cockpit!$I$6))),CG1201)/BV1201,0)*BV1201</f>
        <v>4</v>
      </c>
      <c r="AU1201" s="51" t="n">
        <f aca="false">IF(AR1201&gt;0,J1201/AR1201,-1)</f>
        <v>0</v>
      </c>
      <c r="AV1201" s="51" t="str">
        <f aca="false">IF(AND(OR(CC1201="L1",CC1201="L23",CC1201="LIFT"),AR1201&gt;0),SUMIFS($AR$7:$AR$1843,$CC$7:$CC$1843,CC1201,$AU$7:$AU$1843,"&gt;"&amp;AU1201)+SUMIFS($AR$7:$AR$1843,$CC$7:$CC$1843,CC1201,$AU$7:$AU$1843,AU1201,$BT$7:$BT$1843,"&lt;="&amp;BT1201),"")</f>
        <v/>
      </c>
      <c r="AW1201" s="58" t="n">
        <f aca="false">IF(AV1201="",0,MAX(0,MIN(1,(IF(CC1201="L1",Parameter!$H$5,IF(CC1201="L23",Parameter!$H$6+Parameter!$H$7,Parameter!$H$5+Parameter!$H$6+Parameter!$H$7))-(AV1201-AR1201))/AR1201)))</f>
        <v>0</v>
      </c>
      <c r="AX1201" s="50" t="n">
        <f aca="false">IF(LEFT(Cockpit!$O$5,1)="A",H1201,IF(CE1201=1,CF1201,IF(LEFT(Cockpit!$O$5,1)="B",BC1201,MAX(BC1201,H1201))))</f>
        <v>4</v>
      </c>
      <c r="AY1201" s="50" t="n">
        <f aca="false">IF(BW1201=1,0,ROUNDUP(AX1201/BV1201,0))</f>
        <v>1</v>
      </c>
      <c r="AZ1201" s="52" t="n">
        <f aca="false">IF(CL1201&gt;0,CL1201*MAX(1,AX1201/X1201),IF(BW1201=1,IF(AX1201&lt;=0,0,CA1201*MAX(1,IF(H1201&gt;0,AX1201/H1201,1))),IF(R1201&gt;0,AY1201/R1201,0))/MAX(0.1,N(Parameter!$M$21)))</f>
        <v>0.0833333333333333</v>
      </c>
      <c r="BA1201" s="50" t="n">
        <f aca="false">AZ1201*BY1201</f>
        <v>12.0833333333333</v>
      </c>
      <c r="BB1201" s="50" t="n">
        <f aca="false">AX1201*G1201</f>
        <v>1962</v>
      </c>
      <c r="BC1201" s="50" t="n">
        <f aca="false">ROUNDUP(MAX(J1201/IF(CD1201&gt;0,CD1201,MAX(0.1,N(Cockpit!$O$6))),CG1201)/BV1201,0)*BV1201</f>
        <v>4</v>
      </c>
      <c r="BD1201" s="51" t="n">
        <f aca="false">IF(BA1201&gt;0,J1201/BA1201,-1)</f>
        <v>0</v>
      </c>
      <c r="BE1201" s="51" t="str">
        <f aca="false">IF(AND(OR(CC1201="L1",CC1201="L23",CC1201="LIFT"),BA1201&gt;0),SUMIFS($BA$7:$BA$1843,$CC$7:$CC$1843,CC1201,$BD$7:$BD$1843,"&gt;"&amp;BD1201)+SUMIFS($BA$7:$BA$1843,$CC$7:$CC$1843,CC1201,$BD$7:$BD$1843,BD1201,$BT$7:$BT$1843,"&lt;="&amp;BT1201),"")</f>
        <v/>
      </c>
      <c r="BF1201" s="58" t="n">
        <f aca="false">IF(BE1201="",0,MAX(0,MIN(1,(IF(CC1201="L1",Parameter!$H$5,IF(CC1201="L23",Parameter!$H$6+Parameter!$H$7,Parameter!$H$5+Parameter!$H$6+Parameter!$H$7))-(BE1201-BA1201))/BA1201)))</f>
        <v>0</v>
      </c>
      <c r="BG1201" s="48" t="str">
        <f aca="false">IF(AI1201&lt;=0,"",IF(CC1201="Aussen","Aussenlager",IF(CC1201="-","Nicht im Lift",IF(AN1201&gt;=1,"Lift",IF(AN1201&lt;=0,"Aussenlager","teilweise")))))</f>
        <v>Nicht im Lift</v>
      </c>
      <c r="BH1201" s="48" t="str">
        <f aca="false">IF(AR1201&lt;=0,"",IF(CC1201="Aussen","Aussenlager",IF(CC1201="-","Nicht im Lift",IF(AW1201&gt;=1,"Lift",IF(AW1201&lt;=0,"Aussenlager","teilweise")))))</f>
        <v>Nicht im Lift</v>
      </c>
      <c r="BI1201" s="48" t="str">
        <f aca="false">IF(BA1201&lt;=0,"",IF(CC1201="Aussen","Aussenlager",IF(CC1201="-","Nicht im Lift",IF(BF1201&gt;=1,"Lift",IF(BF1201&lt;=0,"Aussenlager","teilweise")))))</f>
        <v>Nicht im Lift</v>
      </c>
      <c r="BJ1201" s="48" t="str">
        <f aca="false">IF(A1201="","",IF(BS1201=1,"Neu; ","")&amp;IF(AND(BS1201=0,BN1201&lt;0),"negativer Bestand (Export "&amp;BN1201&amp;"); ","")&amp;IF(J1201&lt;=0,"Kein Verbrauch; ","")&amp;IF(CL1201&gt;0,"Lift "&amp;W1201&amp;" lt. Liftbericht (Fach "&amp;X1201&amp;" Stk); ",IF(BX1201=1,"Gebinde geschätzt ("&amp;T1201&amp;"); ",IF(BW1201=1,"Lose – Tablare geschätzt; ","")))&amp;IF(H1201&gt;AT1201,"Überbestand "&amp;ROUND(H1201-AT1201,0)&amp;" Stk / CHF "&amp;ROUND((H1201-AT1201)*G1201,0)&amp;"; ","")&amp;IF(AND(CE1201=1,CF1201&lt;CG1201),"MAX &lt; MB+LG; ","")&amp;IF(AND(CK1201&gt;0,CJ1201*10&gt;CK1201),"zu hoch für Tablar; ","")&amp;IF(AND(BS1201=0,OR(CE1201=1,AA1201&lt;&gt;"",U1201&lt;&gt;"",V1201&lt;&gt;"",AB1201&lt;&gt;"")),"manuell übersteuert; ","")&amp;IF(AND(BW1201=0,R1201=0),"Gebinde unbekannt / Stellmass fehlt; ","")&amp;IF(AND(BW1201=0,N(V1201)&lt;=0,N(Q1201)&lt;=0),"Menge pro Gebinde fehlt (Ist = 1 Gebinde); ","")&amp;BR1201)</f>
        <v>negativer Bestand (Export -1); Kein Verbrauch; Gebinde geschätzt (Mittel); Menge pro Gebinde fehlt (Ist = 1 Gebinde); </v>
      </c>
      <c r="BK1201" s="48"/>
      <c r="BL1201" s="48"/>
      <c r="BM1201" s="55"/>
      <c r="BN1201" s="50" t="n">
        <v>-1</v>
      </c>
      <c r="BO1201" s="50" t="n">
        <v>2</v>
      </c>
      <c r="BP1201" s="49" t="n">
        <v>-490.5</v>
      </c>
      <c r="BQ1201" s="50" t="n">
        <v>0</v>
      </c>
      <c r="BR1201" s="48"/>
      <c r="BS1201" s="53" t="n">
        <v>0</v>
      </c>
      <c r="BT1201" s="53" t="n">
        <v>1201</v>
      </c>
      <c r="BU1201" s="48" t="str">
        <f aca="false">IF(U1201&lt;&gt;"",UPPER(TRIM(U1201)),IF(BX1201=1,UPPER(VLOOKUP(T1201,Parameter!$I$27:$K$29,2,0)),IF(P1201="","LOSE",P1201)))</f>
        <v>S61</v>
      </c>
      <c r="BV1201" s="50" t="n">
        <f aca="false">IF(BU1201="LOSE",1,IF(N(V1201)&gt;0,V1201,IF(BX1201=1,MAX(1,N(VLOOKUP(T1201,Parameter!$I$27:$K$29,3,0)),H1201,N(N1201)),IF(N(Q1201)&gt;0,Q1201,MAX(1,H1201)))))</f>
        <v>4</v>
      </c>
      <c r="BW1201" s="53" t="n">
        <f aca="false">IF(BU1201="LOSE",1,0)</f>
        <v>0</v>
      </c>
      <c r="BX1201" s="53" t="n">
        <f aca="false">IF(AND(U1201="",OR(P1201="",P1201="LOSE"),T1201&lt;&gt;"",N(S1201)&lt;=0,ISNUMBER(MATCH(T1201,Parameter!$I$27:$I$29,0))),1,0)</f>
        <v>1</v>
      </c>
      <c r="BY1201" s="53" t="n">
        <f aca="false">IF(CL1201&gt;0,INDEX(Parameter!$H$5:$H$7,W1201)/INDEX(Parameter!$E$5:$E$7,W1201),IF(AND(BW1201=0,N(IFERROR(VLOOKUP(BU1201,'Gebinde-Kategorie'!$A$5:$N$45,14,0),0))&gt;0),VLOOKUP(BU1201,'Gebinde-Kategorie'!$A$5:$N$45,14,0)*10+Parameter!$M$23,Parameter!$M$24))</f>
        <v>145</v>
      </c>
      <c r="BZ1201" s="48" t="str">
        <f aca="false">IF(AND(Parameter!$B$19="Ja",E1201&lt;&gt;"",ISNUMBER(MATCH(E1201,Parameter!$I$35:$I$52,0))),VLOOKUP(E1201,Parameter!$I$35:$J$52,2,0),IFERROR(VLOOKUP(D1201,Parameter!$A$35:$C$64,2,0),"Nein"))</f>
        <v>Nein</v>
      </c>
      <c r="CA1201" s="52" t="n">
        <f aca="false">IF(BW1201=0,0,IF(N(S1201)&gt;0,S1201,IFERROR(VLOOKUP(D1201,Parameter!$A$35:$C$64,3,0)+0,0)))</f>
        <v>0</v>
      </c>
      <c r="CB1201" s="48" t="str">
        <f aca="false">IF(AA1201&lt;&gt;"",AA1201,Z1201)</f>
        <v>-</v>
      </c>
      <c r="CC1201" s="48" t="str">
        <f aca="false">IF(OR(CB1201=1,CB1201=2,CB1201=3),IF(Parameter!$E$27="Ja","LIFT",IF(CB1201=1,"L1","L23")),IF(CB1201="Aussen","Aussen","-"))</f>
        <v>-</v>
      </c>
      <c r="CD1201" s="59" t="n">
        <f aca="false">IF(N(AB1201)&gt;0,AB1201,0)</f>
        <v>0</v>
      </c>
      <c r="CE1201" s="53" t="n">
        <f aca="false">IF(ISNUMBER(AE1201),1,0)</f>
        <v>0</v>
      </c>
      <c r="CF1201" s="50" t="n">
        <f aca="false">N(AE1201)</f>
        <v>0</v>
      </c>
      <c r="CG1201" s="50" t="n">
        <f aca="false">N(M1201)+N(N1201)</f>
        <v>1</v>
      </c>
      <c r="CH1201" s="50" t="n">
        <f aca="false">ROUNDUP(H1201/BV1201,0)</f>
        <v>1</v>
      </c>
      <c r="CI1201" s="50" t="n">
        <f aca="false">ROUNDUP(CF1201/BV1201,0)</f>
        <v>0</v>
      </c>
      <c r="CJ1201" s="53" t="n">
        <f aca="false">IF(BW1201=1,0,IFERROR(VLOOKUP(BU1201,'Gebinde-Kategorie'!$A$5:$N$45,5,0)+0,0))</f>
        <v>11</v>
      </c>
      <c r="CK1201" s="53" t="n">
        <f aca="false">IFERROR(IF(OR(CB1201=1,CB1201=2,CB1201=3),N(INDEX(Parameter!$I$5:$I$7,CB1201)),0),0)</f>
        <v>0</v>
      </c>
      <c r="CL1201" s="52" t="n">
        <f aca="false">IF(AND(Parameter!$B$21="Ja",ISNUMBER(W1201),N(X1201)&gt;0),IFERROR(N(INDEX(Parameter!$L$5:$L$7,W1201))*INDEX(Parameter!$E$5:$E$7,W1201)*X1201/SUMIFS($X$7:$X$1843,$W$7:$W$1843,W1201),0),0)</f>
        <v>0</v>
      </c>
    </row>
    <row r="1202" customFormat="false" ht="15" hidden="false" customHeight="false" outlineLevel="0" collapsed="false">
      <c r="A1202" s="48" t="s">
        <v>2164</v>
      </c>
      <c r="B1202" s="48" t="s">
        <v>411</v>
      </c>
      <c r="C1202" s="48" t="s">
        <v>168</v>
      </c>
      <c r="D1202" s="48" t="s">
        <v>188</v>
      </c>
      <c r="E1202" s="48" t="s">
        <v>189</v>
      </c>
      <c r="F1202" s="48" t="s">
        <v>222</v>
      </c>
      <c r="G1202" s="49" t="n">
        <v>0.34</v>
      </c>
      <c r="H1202" s="50" t="n">
        <f aca="false">MAX(0,IF(AND(Parameter!$B$21="Ja",ISNUMBER(Y1202)),Y1202,IF(Parameter!$B$20="Jahresanfang 2025 + Export",BO1202+BN1202,BN1202)))</f>
        <v>987</v>
      </c>
      <c r="I1202" s="50" t="n">
        <f aca="false">H1202*G1202</f>
        <v>335.58</v>
      </c>
      <c r="J1202" s="50" t="n">
        <f aca="false">BQ1202*Parameter!$B$18</f>
        <v>6215</v>
      </c>
      <c r="K1202" s="51" t="n">
        <v>2301.5</v>
      </c>
      <c r="L1202" s="52" t="n">
        <v>2.70041277427765</v>
      </c>
      <c r="M1202" s="50" t="n">
        <v>242</v>
      </c>
      <c r="N1202" s="50" t="n">
        <v>2000</v>
      </c>
      <c r="O1202" s="53" t="n">
        <v>14</v>
      </c>
      <c r="P1202" s="48" t="s">
        <v>237</v>
      </c>
      <c r="Q1202" s="50" t="n">
        <v>1527</v>
      </c>
      <c r="R1202" s="53" t="n">
        <f aca="false">IF(BW1202=1,0,IFERROR(VLOOKUP(BU1202,'Gebinde-Kategorie'!$A$5:$N$45,13,0)+0,0))</f>
        <v>26</v>
      </c>
      <c r="S1202" s="54"/>
      <c r="T1202" s="55"/>
      <c r="U1202" s="55"/>
      <c r="V1202" s="55"/>
      <c r="W1202" s="48"/>
      <c r="X1202" s="50"/>
      <c r="Y1202" s="50"/>
      <c r="Z1202" s="48" t="n">
        <f aca="false">IF(A1202="","",IF(AND(Parameter!$B$21="Ja",ISNUMBER(W1202)),W1202,IF(BZ1202="2+3",IF(ISNUMBER(SEARCH("grosser Artikel",BR1202)),2,IFERROR(VLOOKUP(BU1202,Parameter!$F$35:$G$64,2,0),2)),IF(OR(BZ1202="Nein",BZ1202=""),"-",BZ1202))))</f>
        <v>3</v>
      </c>
      <c r="AA1202" s="55"/>
      <c r="AB1202" s="56"/>
      <c r="AC1202" s="50" t="n">
        <f aca="false">AT1202</f>
        <v>4581</v>
      </c>
      <c r="AD1202" s="50" t="n">
        <f aca="false">MAX(AT1202,H1202)</f>
        <v>4581</v>
      </c>
      <c r="AE1202" s="57"/>
      <c r="AF1202" s="50" t="n">
        <f aca="false">IF(LEFT(Cockpit!$C$5,1)="A",H1202,IF(CE1202=1,CF1202,IF(LEFT(Cockpit!$C$5,1)="B",AK1202,MAX(AK1202,H1202))))</f>
        <v>987</v>
      </c>
      <c r="AG1202" s="50" t="n">
        <f aca="false">IF(BW1202=1,0,ROUNDUP(AF1202/BV1202,0))</f>
        <v>1</v>
      </c>
      <c r="AH1202" s="52" t="n">
        <f aca="false">IF(CL1202&gt;0,CL1202*MAX(1,AF1202/X1202),IF(BW1202=1,IF(AF1202&lt;=0,0,CA1202*MAX(1,IF(H1202&gt;0,AF1202/H1202,1))),IF(R1202&gt;0,AG1202/R1202,0))/MAX(0.1,N(Parameter!$M$21)))</f>
        <v>0.0384615384615385</v>
      </c>
      <c r="AI1202" s="50" t="n">
        <f aca="false">AH1202*BY1202</f>
        <v>9.42307692307692</v>
      </c>
      <c r="AJ1202" s="50" t="n">
        <f aca="false">AF1202*G1202</f>
        <v>335.58</v>
      </c>
      <c r="AK1202" s="50" t="n">
        <f aca="false">ROUNDUP(MAX(J1202/IF(CD1202&gt;0,CD1202,MAX(0.1,N(Cockpit!$C$6))),CG1202)/BV1202,0)*BV1202</f>
        <v>4581</v>
      </c>
      <c r="AL1202" s="51" t="n">
        <f aca="false">IF(AI1202&gt;0,J1202/AI1202,-1)</f>
        <v>659.551020408163</v>
      </c>
      <c r="AM1202" s="51" t="n">
        <f aca="false">IF(AND(OR(CC1202="L1",CC1202="L23",CC1202="LIFT"),AI1202&gt;0),SUMIFS($AI$7:$AI$1843,$CC$7:$CC$1843,CC1202,$AL$7:$AL$1843,"&gt;"&amp;AL1202)+SUMIFS($AI$7:$AI$1843,$CC$7:$CC$1843,CC1202,$AL$7:$AL$1843,AL1202,$BT$7:$BT$1843,"&lt;="&amp;BT1202),"")</f>
        <v>35.8667582417583</v>
      </c>
      <c r="AN1202" s="58" t="n">
        <f aca="false">IF(AM1202="",0,MAX(0,MIN(1,(IF(CC1202="L1",Parameter!$H$5,IF(CC1202="L23",Parameter!$H$6+Parameter!$H$7,Parameter!$H$5+Parameter!$H$6+Parameter!$H$7))-(AM1202-AI1202))/AI1202)))</f>
        <v>1</v>
      </c>
      <c r="AO1202" s="50" t="n">
        <f aca="false">IF(LEFT(Cockpit!$I$5,1)="A",H1202,IF(CE1202=1,CF1202,IF(LEFT(Cockpit!$I$5,1)="B",AT1202,MAX(AT1202,H1202))))</f>
        <v>4581</v>
      </c>
      <c r="AP1202" s="50" t="n">
        <f aca="false">IF(BW1202=1,0,ROUNDUP(AO1202/BV1202,0))</f>
        <v>3</v>
      </c>
      <c r="AQ1202" s="52" t="n">
        <f aca="false">IF(CL1202&gt;0,CL1202*MAX(1,AO1202/X1202),IF(BW1202=1,IF(AO1202&lt;=0,0,CA1202*MAX(1,IF(H1202&gt;0,AO1202/H1202,1))),IF(R1202&gt;0,AP1202/R1202,0))/MAX(0.1,N(Parameter!$M$21)))</f>
        <v>0.115384615384615</v>
      </c>
      <c r="AR1202" s="50" t="n">
        <f aca="false">AQ1202*BY1202</f>
        <v>28.2692307692308</v>
      </c>
      <c r="AS1202" s="50" t="n">
        <f aca="false">AO1202*G1202</f>
        <v>1557.54</v>
      </c>
      <c r="AT1202" s="50" t="n">
        <f aca="false">ROUNDUP(MAX(J1202/IF(CD1202&gt;0,CD1202,MAX(0.1,N(Cockpit!$I$6))),CG1202)/BV1202,0)*BV1202</f>
        <v>4581</v>
      </c>
      <c r="AU1202" s="51" t="n">
        <f aca="false">IF(AR1202&gt;0,J1202/AR1202,-1)</f>
        <v>219.850340136054</v>
      </c>
      <c r="AV1202" s="51" t="n">
        <f aca="false">IF(AND(OR(CC1202="L1",CC1202="L23",CC1202="LIFT"),AR1202&gt;0),SUMIFS($AR$7:$AR$1843,$CC$7:$CC$1843,CC1202,$AU$7:$AU$1843,"&gt;"&amp;AU1202)+SUMIFS($AR$7:$AR$1843,$CC$7:$CC$1843,CC1202,$AU$7:$AU$1843,AU1202,$BT$7:$BT$1843,"&lt;="&amp;BT1202),"")</f>
        <v>271.744047619048</v>
      </c>
      <c r="AW1202" s="58" t="n">
        <f aca="false">IF(AV1202="",0,MAX(0,MIN(1,(IF(CC1202="L1",Parameter!$H$5,IF(CC1202="L23",Parameter!$H$6+Parameter!$H$7,Parameter!$H$5+Parameter!$H$6+Parameter!$H$7))-(AV1202-AR1202))/AR1202)))</f>
        <v>1</v>
      </c>
      <c r="AX1202" s="50" t="n">
        <f aca="false">IF(LEFT(Cockpit!$O$5,1)="A",H1202,IF(CE1202=1,CF1202,IF(LEFT(Cockpit!$O$5,1)="B",BC1202,MAX(BC1202,H1202))))</f>
        <v>3054</v>
      </c>
      <c r="AY1202" s="50" t="n">
        <f aca="false">IF(BW1202=1,0,ROUNDUP(AX1202/BV1202,0))</f>
        <v>2</v>
      </c>
      <c r="AZ1202" s="52" t="n">
        <f aca="false">IF(CL1202&gt;0,CL1202*MAX(1,AX1202/X1202),IF(BW1202=1,IF(AX1202&lt;=0,0,CA1202*MAX(1,IF(H1202&gt;0,AX1202/H1202,1))),IF(R1202&gt;0,AY1202/R1202,0))/MAX(0.1,N(Parameter!$M$21)))</f>
        <v>0.0769230769230769</v>
      </c>
      <c r="BA1202" s="50" t="n">
        <f aca="false">AZ1202*BY1202</f>
        <v>18.8461538461538</v>
      </c>
      <c r="BB1202" s="50" t="n">
        <f aca="false">AX1202*G1202</f>
        <v>1038.36</v>
      </c>
      <c r="BC1202" s="50" t="n">
        <f aca="false">ROUNDUP(MAX(J1202/IF(CD1202&gt;0,CD1202,MAX(0.1,N(Cockpit!$O$6))),CG1202)/BV1202,0)*BV1202</f>
        <v>3054</v>
      </c>
      <c r="BD1202" s="51" t="n">
        <f aca="false">IF(BA1202&gt;0,J1202/BA1202,-1)</f>
        <v>329.775510204082</v>
      </c>
      <c r="BE1202" s="51" t="n">
        <f aca="false">IF(AND(OR(CC1202="L1",CC1202="L23",CC1202="LIFT"),BA1202&gt;0),SUMIFS($BA$7:$BA$1843,$CC$7:$CC$1843,CC1202,$BD$7:$BD$1843,"&gt;"&amp;BD1202)+SUMIFS($BA$7:$BA$1843,$CC$7:$CC$1843,CC1202,$BD$7:$BD$1843,BD1202,$BT$7:$BT$1843,"&lt;="&amp;BT1202),"")</f>
        <v>161.821886446886</v>
      </c>
      <c r="BF1202" s="58" t="n">
        <f aca="false">IF(BE1202="",0,MAX(0,MIN(1,(IF(CC1202="L1",Parameter!$H$5,IF(CC1202="L23",Parameter!$H$6+Parameter!$H$7,Parameter!$H$5+Parameter!$H$6+Parameter!$H$7))-(BE1202-BA1202))/BA1202)))</f>
        <v>1</v>
      </c>
      <c r="BG1202" s="48" t="str">
        <f aca="false">IF(AI1202&lt;=0,"",IF(CC1202="Aussen","Aussenlager",IF(CC1202="-","Nicht im Lift",IF(AN1202&gt;=1,"Lift",IF(AN1202&lt;=0,"Aussenlager","teilweise")))))</f>
        <v>Lift</v>
      </c>
      <c r="BH1202" s="48" t="str">
        <f aca="false">IF(AR1202&lt;=0,"",IF(CC1202="Aussen","Aussenlager",IF(CC1202="-","Nicht im Lift",IF(AW1202&gt;=1,"Lift",IF(AW1202&lt;=0,"Aussenlager","teilweise")))))</f>
        <v>Lift</v>
      </c>
      <c r="BI1202" s="48" t="str">
        <f aca="false">IF(BA1202&lt;=0,"",IF(CC1202="Aussen","Aussenlager",IF(CC1202="-","Nicht im Lift",IF(BF1202&gt;=1,"Lift",IF(BF1202&lt;=0,"Aussenlager","teilweise")))))</f>
        <v>Lift</v>
      </c>
      <c r="BJ1202" s="48" t="str">
        <f aca="false">IF(A1202="","",IF(BS1202=1,"Neu; ","")&amp;IF(AND(BS1202=0,BN1202&lt;0),"negativer Bestand (Export "&amp;BN1202&amp;"); ","")&amp;IF(J1202&lt;=0,"Kein Verbrauch; ","")&amp;IF(CL1202&gt;0,"Lift "&amp;W1202&amp;" lt. Liftbericht (Fach "&amp;X1202&amp;" Stk); ",IF(BX1202=1,"Gebinde geschätzt ("&amp;T1202&amp;"); ",IF(BW1202=1,"Lose – Tablare geschätzt; ","")))&amp;IF(H1202&gt;AT1202,"Überbestand "&amp;ROUND(H1202-AT1202,0)&amp;" Stk / CHF "&amp;ROUND((H1202-AT1202)*G1202,0)&amp;"; ","")&amp;IF(AND(CE1202=1,CF1202&lt;CG1202),"MAX &lt; MB+LG; ","")&amp;IF(AND(CK1202&gt;0,CJ1202*10&gt;CK1202),"zu hoch für Tablar; ","")&amp;IF(AND(BS1202=0,OR(CE1202=1,AA1202&lt;&gt;"",U1202&lt;&gt;"",V1202&lt;&gt;"",AB1202&lt;&gt;"")),"manuell übersteuert; ","")&amp;IF(AND(BW1202=0,R1202=0),"Gebinde unbekannt / Stellmass fehlt; ","")&amp;IF(AND(BW1202=0,N(V1202)&lt;=0,N(Q1202)&lt;=0),"Menge pro Gebinde fehlt (Ist = 1 Gebinde); ","")&amp;BR1202)</f>
        <v>negativer Bestand (Export -1519); </v>
      </c>
      <c r="BK1202" s="48"/>
      <c r="BL1202" s="48"/>
      <c r="BM1202" s="55"/>
      <c r="BN1202" s="50" t="n">
        <v>-1519</v>
      </c>
      <c r="BO1202" s="50" t="n">
        <v>2506</v>
      </c>
      <c r="BP1202" s="49" t="n">
        <v>-492.019999999998</v>
      </c>
      <c r="BQ1202" s="50" t="n">
        <v>6215</v>
      </c>
      <c r="BR1202" s="48"/>
      <c r="BS1202" s="53" t="n">
        <v>0</v>
      </c>
      <c r="BT1202" s="53" t="n">
        <v>1202</v>
      </c>
      <c r="BU1202" s="48" t="str">
        <f aca="false">IF(U1202&lt;&gt;"",UPPER(TRIM(U1202)),IF(BX1202=1,UPPER(VLOOKUP(T1202,Parameter!$I$27:$K$29,2,0)),IF(P1202="","LOSE",P1202)))</f>
        <v>S52</v>
      </c>
      <c r="BV1202" s="50" t="n">
        <f aca="false">IF(BU1202="LOSE",1,IF(N(V1202)&gt;0,V1202,IF(BX1202=1,MAX(1,N(VLOOKUP(T1202,Parameter!$I$27:$K$29,3,0)),H1202,N(N1202)),IF(N(Q1202)&gt;0,Q1202,MAX(1,H1202)))))</f>
        <v>1527</v>
      </c>
      <c r="BW1202" s="53" t="n">
        <f aca="false">IF(BU1202="LOSE",1,0)</f>
        <v>0</v>
      </c>
      <c r="BX1202" s="53" t="n">
        <f aca="false">IF(AND(U1202="",OR(P1202="",P1202="LOSE"),T1202&lt;&gt;"",N(S1202)&lt;=0,ISNUMBER(MATCH(T1202,Parameter!$I$27:$I$29,0))),1,0)</f>
        <v>0</v>
      </c>
      <c r="BY1202" s="53" t="n">
        <f aca="false">IF(CL1202&gt;0,INDEX(Parameter!$H$5:$H$7,W1202)/INDEX(Parameter!$E$5:$E$7,W1202),IF(AND(BW1202=0,N(IFERROR(VLOOKUP(BU1202,'Gebinde-Kategorie'!$A$5:$N$45,14,0),0))&gt;0),VLOOKUP(BU1202,'Gebinde-Kategorie'!$A$5:$N$45,14,0)*10+Parameter!$M$23,Parameter!$M$24))</f>
        <v>245</v>
      </c>
      <c r="BZ1202" s="48" t="str">
        <f aca="false">IF(AND(Parameter!$B$19="Ja",E1202&lt;&gt;"",ISNUMBER(MATCH(E1202,Parameter!$I$35:$I$52,0))),VLOOKUP(E1202,Parameter!$I$35:$J$52,2,0),IFERROR(VLOOKUP(D1202,Parameter!$A$35:$C$64,2,0),"Nein"))</f>
        <v>2+3</v>
      </c>
      <c r="CA1202" s="52" t="n">
        <f aca="false">IF(BW1202=0,0,IF(N(S1202)&gt;0,S1202,IFERROR(VLOOKUP(D1202,Parameter!$A$35:$C$64,3,0)+0,0)))</f>
        <v>0</v>
      </c>
      <c r="CB1202" s="48" t="n">
        <f aca="false">IF(AA1202&lt;&gt;"",AA1202,Z1202)</f>
        <v>3</v>
      </c>
      <c r="CC1202" s="48" t="str">
        <f aca="false">IF(OR(CB1202=1,CB1202=2,CB1202=3),IF(Parameter!$E$27="Ja","LIFT",IF(CB1202=1,"L1","L23")),IF(CB1202="Aussen","Aussen","-"))</f>
        <v>LIFT</v>
      </c>
      <c r="CD1202" s="59" t="n">
        <f aca="false">IF(N(AB1202)&gt;0,AB1202,0)</f>
        <v>0</v>
      </c>
      <c r="CE1202" s="53" t="n">
        <f aca="false">IF(ISNUMBER(AE1202),1,0)</f>
        <v>0</v>
      </c>
      <c r="CF1202" s="50" t="n">
        <f aca="false">N(AE1202)</f>
        <v>0</v>
      </c>
      <c r="CG1202" s="50" t="n">
        <f aca="false">N(M1202)+N(N1202)</f>
        <v>2242</v>
      </c>
      <c r="CH1202" s="50" t="n">
        <f aca="false">ROUNDUP(H1202/BV1202,0)</f>
        <v>1</v>
      </c>
      <c r="CI1202" s="50" t="n">
        <f aca="false">ROUNDUP(CF1202/BV1202,0)</f>
        <v>0</v>
      </c>
      <c r="CJ1202" s="53" t="n">
        <f aca="false">IF(BW1202=1,0,IFERROR(VLOOKUP(BU1202,'Gebinde-Kategorie'!$A$5:$N$45,5,0)+0,0))</f>
        <v>21</v>
      </c>
      <c r="CK1202" s="53" t="n">
        <f aca="false">IFERROR(IF(OR(CB1202=1,CB1202=2,CB1202=3),N(INDEX(Parameter!$I$5:$I$7,CB1202)),0),0)</f>
        <v>0</v>
      </c>
      <c r="CL1202" s="52" t="n">
        <f aca="false">IF(AND(Parameter!$B$21="Ja",ISNUMBER(W1202),N(X1202)&gt;0),IFERROR(N(INDEX(Parameter!$L$5:$L$7,W1202))*INDEX(Parameter!$E$5:$E$7,W1202)*X1202/SUMIFS($X$7:$X$1843,$W$7:$W$1843,W1202),0),0)</f>
        <v>0</v>
      </c>
    </row>
    <row r="1203" customFormat="false" ht="15" hidden="false" customHeight="false" outlineLevel="0" collapsed="false">
      <c r="A1203" s="48" t="s">
        <v>2165</v>
      </c>
      <c r="B1203" s="48" t="s">
        <v>1922</v>
      </c>
      <c r="C1203" s="48" t="s">
        <v>168</v>
      </c>
      <c r="D1203" s="48" t="s">
        <v>188</v>
      </c>
      <c r="E1203" s="48"/>
      <c r="F1203" s="48" t="s">
        <v>222</v>
      </c>
      <c r="G1203" s="49" t="n">
        <v>16.62</v>
      </c>
      <c r="H1203" s="50" t="n">
        <f aca="false">MAX(0,IF(AND(Parameter!$B$21="Ja",ISNUMBER(Y1203)),Y1203,IF(Parameter!$B$20="Jahresanfang 2025 + Export",BO1203+BN1203,BN1203)))</f>
        <v>0</v>
      </c>
      <c r="I1203" s="50" t="n">
        <f aca="false">H1203*G1203</f>
        <v>0</v>
      </c>
      <c r="J1203" s="50" t="n">
        <f aca="false">BQ1203*Parameter!$B$18</f>
        <v>0</v>
      </c>
      <c r="K1203" s="51" t="n">
        <v>30</v>
      </c>
      <c r="L1203" s="52" t="n">
        <v>0</v>
      </c>
      <c r="M1203" s="50" t="n">
        <v>0</v>
      </c>
      <c r="N1203" s="50" t="n">
        <v>1</v>
      </c>
      <c r="O1203" s="53" t="n">
        <v>28</v>
      </c>
      <c r="P1203" s="48" t="s">
        <v>332</v>
      </c>
      <c r="Q1203" s="50" t="n">
        <v>15</v>
      </c>
      <c r="R1203" s="53" t="n">
        <f aca="false">IF(BW1203=1,0,IFERROR(VLOOKUP(BU1203,'Gebinde-Kategorie'!$A$5:$N$45,13,0)+0,0))</f>
        <v>52</v>
      </c>
      <c r="S1203" s="54"/>
      <c r="T1203" s="55"/>
      <c r="U1203" s="55"/>
      <c r="V1203" s="55"/>
      <c r="W1203" s="48"/>
      <c r="X1203" s="50"/>
      <c r="Y1203" s="50"/>
      <c r="Z1203" s="48" t="n">
        <f aca="false">IF(A1203="","",IF(AND(Parameter!$B$21="Ja",ISNUMBER(W1203)),W1203,IF(BZ1203="2+3",IF(ISNUMBER(SEARCH("grosser Artikel",BR1203)),2,IFERROR(VLOOKUP(BU1203,Parameter!$F$35:$G$64,2,0),2)),IF(OR(BZ1203="Nein",BZ1203=""),"-",BZ1203))))</f>
        <v>3</v>
      </c>
      <c r="AA1203" s="55"/>
      <c r="AB1203" s="56"/>
      <c r="AC1203" s="50" t="n">
        <f aca="false">AT1203</f>
        <v>15</v>
      </c>
      <c r="AD1203" s="50" t="n">
        <f aca="false">MAX(AT1203,H1203)</f>
        <v>15</v>
      </c>
      <c r="AE1203" s="57"/>
      <c r="AF1203" s="50" t="n">
        <f aca="false">IF(LEFT(Cockpit!$C$5,1)="A",H1203,IF(CE1203=1,CF1203,IF(LEFT(Cockpit!$C$5,1)="B",AK1203,MAX(AK1203,H1203))))</f>
        <v>0</v>
      </c>
      <c r="AG1203" s="50" t="n">
        <f aca="false">IF(BW1203=1,0,ROUNDUP(AF1203/BV1203,0))</f>
        <v>0</v>
      </c>
      <c r="AH1203" s="52" t="n">
        <f aca="false">IF(CL1203&gt;0,CL1203*MAX(1,AF1203/X1203),IF(BW1203=1,IF(AF1203&lt;=0,0,CA1203*MAX(1,IF(H1203&gt;0,AF1203/H1203,1))),IF(R1203&gt;0,AG1203/R1203,0))/MAX(0.1,N(Parameter!$M$21)))</f>
        <v>0</v>
      </c>
      <c r="AI1203" s="50" t="n">
        <f aca="false">AH1203*BY1203</f>
        <v>0</v>
      </c>
      <c r="AJ1203" s="50" t="n">
        <f aca="false">AF1203*G1203</f>
        <v>0</v>
      </c>
      <c r="AK1203" s="50" t="n">
        <f aca="false">ROUNDUP(MAX(J1203/IF(CD1203&gt;0,CD1203,MAX(0.1,N(Cockpit!$C$6))),CG1203)/BV1203,0)*BV1203</f>
        <v>15</v>
      </c>
      <c r="AL1203" s="51" t="n">
        <f aca="false">IF(AI1203&gt;0,J1203/AI1203,-1)</f>
        <v>-1</v>
      </c>
      <c r="AM1203" s="51" t="str">
        <f aca="false">IF(AND(OR(CC1203="L1",CC1203="L23",CC1203="LIFT"),AI1203&gt;0),SUMIFS($AI$7:$AI$1843,$CC$7:$CC$1843,CC1203,$AL$7:$AL$1843,"&gt;"&amp;AL1203)+SUMIFS($AI$7:$AI$1843,$CC$7:$CC$1843,CC1203,$AL$7:$AL$1843,AL1203,$BT$7:$BT$1843,"&lt;="&amp;BT1203),"")</f>
        <v/>
      </c>
      <c r="AN1203" s="58" t="n">
        <f aca="false">IF(AM1203="",0,MAX(0,MIN(1,(IF(CC1203="L1",Parameter!$H$5,IF(CC1203="L23",Parameter!$H$6+Parameter!$H$7,Parameter!$H$5+Parameter!$H$6+Parameter!$H$7))-(AM1203-AI1203))/AI1203)))</f>
        <v>0</v>
      </c>
      <c r="AO1203" s="50" t="n">
        <f aca="false">IF(LEFT(Cockpit!$I$5,1)="A",H1203,IF(CE1203=1,CF1203,IF(LEFT(Cockpit!$I$5,1)="B",AT1203,MAX(AT1203,H1203))))</f>
        <v>15</v>
      </c>
      <c r="AP1203" s="50" t="n">
        <f aca="false">IF(BW1203=1,0,ROUNDUP(AO1203/BV1203,0))</f>
        <v>1</v>
      </c>
      <c r="AQ1203" s="52" t="n">
        <f aca="false">IF(CL1203&gt;0,CL1203*MAX(1,AO1203/X1203),IF(BW1203=1,IF(AO1203&lt;=0,0,CA1203*MAX(1,IF(H1203&gt;0,AO1203/H1203,1))),IF(R1203&gt;0,AP1203/R1203,0))/MAX(0.1,N(Parameter!$M$21)))</f>
        <v>0.0192307692307692</v>
      </c>
      <c r="AR1203" s="50" t="n">
        <f aca="false">AQ1203*BY1203</f>
        <v>2.98076923076923</v>
      </c>
      <c r="AS1203" s="50" t="n">
        <f aca="false">AO1203*G1203</f>
        <v>249.3</v>
      </c>
      <c r="AT1203" s="50" t="n">
        <f aca="false">ROUNDUP(MAX(J1203/IF(CD1203&gt;0,CD1203,MAX(0.1,N(Cockpit!$I$6))),CG1203)/BV1203,0)*BV1203</f>
        <v>15</v>
      </c>
      <c r="AU1203" s="51" t="n">
        <f aca="false">IF(AR1203&gt;0,J1203/AR1203,-1)</f>
        <v>0</v>
      </c>
      <c r="AV1203" s="51" t="n">
        <f aca="false">IF(AND(OR(CC1203="L1",CC1203="L23",CC1203="LIFT"),AR1203&gt;0),SUMIFS($AR$7:$AR$1843,$CC$7:$CC$1843,CC1203,$AU$7:$AU$1843,"&gt;"&amp;AU1203)+SUMIFS($AR$7:$AR$1843,$CC$7:$CC$1843,CC1203,$AU$7:$AU$1843,AU1203,$BT$7:$BT$1843,"&lt;="&amp;BT1203),"")</f>
        <v>41180.6891103247</v>
      </c>
      <c r="AW1203" s="58" t="n">
        <f aca="false">IF(AV1203="",0,MAX(0,MIN(1,(IF(CC1203="L1",Parameter!$H$5,IF(CC1203="L23",Parameter!$H$6+Parameter!$H$7,Parameter!$H$5+Parameter!$H$6+Parameter!$H$7))-(AV1203-AR1203))/AR1203)))</f>
        <v>0</v>
      </c>
      <c r="AX1203" s="50" t="n">
        <f aca="false">IF(LEFT(Cockpit!$O$5,1)="A",H1203,IF(CE1203=1,CF1203,IF(LEFT(Cockpit!$O$5,1)="B",BC1203,MAX(BC1203,H1203))))</f>
        <v>15</v>
      </c>
      <c r="AY1203" s="50" t="n">
        <f aca="false">IF(BW1203=1,0,ROUNDUP(AX1203/BV1203,0))</f>
        <v>1</v>
      </c>
      <c r="AZ1203" s="52" t="n">
        <f aca="false">IF(CL1203&gt;0,CL1203*MAX(1,AX1203/X1203),IF(BW1203=1,IF(AX1203&lt;=0,0,CA1203*MAX(1,IF(H1203&gt;0,AX1203/H1203,1))),IF(R1203&gt;0,AY1203/R1203,0))/MAX(0.1,N(Parameter!$M$21)))</f>
        <v>0.0192307692307692</v>
      </c>
      <c r="BA1203" s="50" t="n">
        <f aca="false">AZ1203*BY1203</f>
        <v>2.98076923076923</v>
      </c>
      <c r="BB1203" s="50" t="n">
        <f aca="false">AX1203*G1203</f>
        <v>249.3</v>
      </c>
      <c r="BC1203" s="50" t="n">
        <f aca="false">ROUNDUP(MAX(J1203/IF(CD1203&gt;0,CD1203,MAX(0.1,N(Cockpit!$O$6))),CG1203)/BV1203,0)*BV1203</f>
        <v>15</v>
      </c>
      <c r="BD1203" s="51" t="n">
        <f aca="false">IF(BA1203&gt;0,J1203/BA1203,-1)</f>
        <v>0</v>
      </c>
      <c r="BE1203" s="51" t="n">
        <f aca="false">IF(AND(OR(CC1203="L1",CC1203="L23",CC1203="LIFT"),BA1203&gt;0),SUMIFS($BA$7:$BA$1843,$CC$7:$CC$1843,CC1203,$BD$7:$BD$1843,"&gt;"&amp;BD1203)+SUMIFS($BA$7:$BA$1843,$CC$7:$CC$1843,CC1203,$BD$7:$BD$1843,BD1203,$BT$7:$BT$1843,"&lt;="&amp;BT1203),"")</f>
        <v>37855.7011521906</v>
      </c>
      <c r="BF1203" s="58" t="n">
        <f aca="false">IF(BE1203="",0,MAX(0,MIN(1,(IF(CC1203="L1",Parameter!$H$5,IF(CC1203="L23",Parameter!$H$6+Parameter!$H$7,Parameter!$H$5+Parameter!$H$6+Parameter!$H$7))-(BE1203-BA1203))/BA1203)))</f>
        <v>0</v>
      </c>
      <c r="BG1203" s="48" t="str">
        <f aca="false">IF(AI1203&lt;=0,"",IF(CC1203="Aussen","Aussenlager",IF(CC1203="-","Nicht im Lift",IF(AN1203&gt;=1,"Lift",IF(AN1203&lt;=0,"Aussenlager","teilweise")))))</f>
        <v/>
      </c>
      <c r="BH1203" s="48" t="str">
        <f aca="false">IF(AR1203&lt;=0,"",IF(CC1203="Aussen","Aussenlager",IF(CC1203="-","Nicht im Lift",IF(AW1203&gt;=1,"Lift",IF(AW1203&lt;=0,"Aussenlager","teilweise")))))</f>
        <v>Aussenlager</v>
      </c>
      <c r="BI1203" s="48" t="str">
        <f aca="false">IF(BA1203&lt;=0,"",IF(CC1203="Aussen","Aussenlager",IF(CC1203="-","Nicht im Lift",IF(BF1203&gt;=1,"Lift",IF(BF1203&lt;=0,"Aussenlager","teilweise")))))</f>
        <v>Aussenlager</v>
      </c>
      <c r="BJ1203" s="48" t="str">
        <f aca="false">IF(A1203="","",IF(BS1203=1,"Neu; ","")&amp;IF(AND(BS1203=0,BN1203&lt;0),"negativer Bestand (Export "&amp;BN1203&amp;"); ","")&amp;IF(J1203&lt;=0,"Kein Verbrauch; ","")&amp;IF(CL1203&gt;0,"Lift "&amp;W1203&amp;" lt. Liftbericht (Fach "&amp;X1203&amp;" Stk); ",IF(BX1203=1,"Gebinde geschätzt ("&amp;T1203&amp;"); ",IF(BW1203=1,"Lose – Tablare geschätzt; ","")))&amp;IF(H1203&gt;AT1203,"Überbestand "&amp;ROUND(H1203-AT1203,0)&amp;" Stk / CHF "&amp;ROUND((H1203-AT1203)*G1203,0)&amp;"; ","")&amp;IF(AND(CE1203=1,CF1203&lt;CG1203),"MAX &lt; MB+LG; ","")&amp;IF(AND(CK1203&gt;0,CJ1203*10&gt;CK1203),"zu hoch für Tablar; ","")&amp;IF(AND(BS1203=0,OR(CE1203=1,AA1203&lt;&gt;"",U1203&lt;&gt;"",V1203&lt;&gt;"",AB1203&lt;&gt;"")),"manuell übersteuert; ","")&amp;IF(AND(BW1203=0,R1203=0),"Gebinde unbekannt / Stellmass fehlt; ","")&amp;IF(AND(BW1203=0,N(V1203)&lt;=0,N(Q1203)&lt;=0),"Menge pro Gebinde fehlt (Ist = 1 Gebinde); ","")&amp;BR1203)</f>
        <v>negativer Bestand (Export -30); Kein Verbrauch; </v>
      </c>
      <c r="BK1203" s="48"/>
      <c r="BL1203" s="48"/>
      <c r="BM1203" s="55"/>
      <c r="BN1203" s="50" t="n">
        <v>-30</v>
      </c>
      <c r="BO1203" s="50" t="n">
        <v>30</v>
      </c>
      <c r="BP1203" s="49" t="n">
        <v>-498.6</v>
      </c>
      <c r="BQ1203" s="50" t="n">
        <v>0</v>
      </c>
      <c r="BR1203" s="48"/>
      <c r="BS1203" s="53" t="n">
        <v>0</v>
      </c>
      <c r="BT1203" s="53" t="n">
        <v>1203</v>
      </c>
      <c r="BU1203" s="48" t="str">
        <f aca="false">IF(U1203&lt;&gt;"",UPPER(TRIM(U1203)),IF(BX1203=1,UPPER(VLOOKUP(T1203,Parameter!$I$27:$K$29,2,0)),IF(P1203="","LOSE",P1203)))</f>
        <v>S41</v>
      </c>
      <c r="BV1203" s="50" t="n">
        <f aca="false">IF(BU1203="LOSE",1,IF(N(V1203)&gt;0,V1203,IF(BX1203=1,MAX(1,N(VLOOKUP(T1203,Parameter!$I$27:$K$29,3,0)),H1203,N(N1203)),IF(N(Q1203)&gt;0,Q1203,MAX(1,H1203)))))</f>
        <v>15</v>
      </c>
      <c r="BW1203" s="53" t="n">
        <f aca="false">IF(BU1203="LOSE",1,0)</f>
        <v>0</v>
      </c>
      <c r="BX1203" s="53" t="n">
        <f aca="false">IF(AND(U1203="",OR(P1203="",P1203="LOSE"),T1203&lt;&gt;"",N(S1203)&lt;=0,ISNUMBER(MATCH(T1203,Parameter!$I$27:$I$29,0))),1,0)</f>
        <v>0</v>
      </c>
      <c r="BY1203" s="53" t="n">
        <f aca="false">IF(CL1203&gt;0,INDEX(Parameter!$H$5:$H$7,W1203)/INDEX(Parameter!$E$5:$E$7,W1203),IF(AND(BW1203=0,N(IFERROR(VLOOKUP(BU1203,'Gebinde-Kategorie'!$A$5:$N$45,14,0),0))&gt;0),VLOOKUP(BU1203,'Gebinde-Kategorie'!$A$5:$N$45,14,0)*10+Parameter!$M$23,Parameter!$M$24))</f>
        <v>155</v>
      </c>
      <c r="BZ1203" s="48" t="str">
        <f aca="false">IF(AND(Parameter!$B$19="Ja",E1203&lt;&gt;"",ISNUMBER(MATCH(E1203,Parameter!$I$35:$I$52,0))),VLOOKUP(E1203,Parameter!$I$35:$J$52,2,0),IFERROR(VLOOKUP(D1203,Parameter!$A$35:$C$64,2,0),"Nein"))</f>
        <v>2+3</v>
      </c>
      <c r="CA1203" s="52" t="n">
        <f aca="false">IF(BW1203=0,0,IF(N(S1203)&gt;0,S1203,IFERROR(VLOOKUP(D1203,Parameter!$A$35:$C$64,3,0)+0,0)))</f>
        <v>0</v>
      </c>
      <c r="CB1203" s="48" t="n">
        <f aca="false">IF(AA1203&lt;&gt;"",AA1203,Z1203)</f>
        <v>3</v>
      </c>
      <c r="CC1203" s="48" t="str">
        <f aca="false">IF(OR(CB1203=1,CB1203=2,CB1203=3),IF(Parameter!$E$27="Ja","LIFT",IF(CB1203=1,"L1","L23")),IF(CB1203="Aussen","Aussen","-"))</f>
        <v>LIFT</v>
      </c>
      <c r="CD1203" s="59" t="n">
        <f aca="false">IF(N(AB1203)&gt;0,AB1203,0)</f>
        <v>0</v>
      </c>
      <c r="CE1203" s="53" t="n">
        <f aca="false">IF(ISNUMBER(AE1203),1,0)</f>
        <v>0</v>
      </c>
      <c r="CF1203" s="50" t="n">
        <f aca="false">N(AE1203)</f>
        <v>0</v>
      </c>
      <c r="CG1203" s="50" t="n">
        <f aca="false">N(M1203)+N(N1203)</f>
        <v>1</v>
      </c>
      <c r="CH1203" s="50" t="n">
        <f aca="false">ROUNDUP(H1203/BV1203,0)</f>
        <v>0</v>
      </c>
      <c r="CI1203" s="50" t="n">
        <f aca="false">ROUNDUP(CF1203/BV1203,0)</f>
        <v>0</v>
      </c>
      <c r="CJ1203" s="53" t="n">
        <f aca="false">IF(BW1203=1,0,IFERROR(VLOOKUP(BU1203,'Gebinde-Kategorie'!$A$5:$N$45,5,0)+0,0))</f>
        <v>11</v>
      </c>
      <c r="CK1203" s="53" t="n">
        <f aca="false">IFERROR(IF(OR(CB1203=1,CB1203=2,CB1203=3),N(INDEX(Parameter!$I$5:$I$7,CB1203)),0),0)</f>
        <v>0</v>
      </c>
      <c r="CL1203" s="52" t="n">
        <f aca="false">IF(AND(Parameter!$B$21="Ja",ISNUMBER(W1203),N(X1203)&gt;0),IFERROR(N(INDEX(Parameter!$L$5:$L$7,W1203))*INDEX(Parameter!$E$5:$E$7,W1203)*X1203/SUMIFS($X$7:$X$1843,$W$7:$W$1843,W1203),0),0)</f>
        <v>0</v>
      </c>
    </row>
    <row r="1204" customFormat="false" ht="15" hidden="false" customHeight="false" outlineLevel="0" collapsed="false">
      <c r="A1204" s="48" t="s">
        <v>2166</v>
      </c>
      <c r="B1204" s="48" t="s">
        <v>2167</v>
      </c>
      <c r="C1204" s="48" t="s">
        <v>168</v>
      </c>
      <c r="D1204" s="48" t="s">
        <v>177</v>
      </c>
      <c r="E1204" s="48" t="s">
        <v>189</v>
      </c>
      <c r="F1204" s="48" t="s">
        <v>222</v>
      </c>
      <c r="G1204" s="49" t="n">
        <v>380.7</v>
      </c>
      <c r="H1204" s="50" t="n">
        <f aca="false">MAX(0,IF(AND(Parameter!$B$21="Ja",ISNUMBER(Y1204)),Y1204,IF(Parameter!$B$20="Jahresanfang 2025 + Export",BO1204+BN1204,BN1204)))</f>
        <v>2</v>
      </c>
      <c r="I1204" s="50" t="n">
        <f aca="false">H1204*G1204</f>
        <v>761.4</v>
      </c>
      <c r="J1204" s="50" t="n">
        <f aca="false">BQ1204*Parameter!$B$18</f>
        <v>0</v>
      </c>
      <c r="K1204" s="51" t="n">
        <v>3.5</v>
      </c>
      <c r="L1204" s="52" t="n">
        <v>0</v>
      </c>
      <c r="M1204" s="50" t="n">
        <v>0</v>
      </c>
      <c r="N1204" s="50" t="n">
        <v>1</v>
      </c>
      <c r="O1204" s="53" t="n">
        <v>28</v>
      </c>
      <c r="P1204" s="48" t="s">
        <v>172</v>
      </c>
      <c r="Q1204" s="50"/>
      <c r="R1204" s="53" t="n">
        <f aca="false">IF(BW1204=1,0,IFERROR(VLOOKUP(BU1204,'Gebinde-Kategorie'!$A$5:$N$45,13,0)+0,0))</f>
        <v>12</v>
      </c>
      <c r="S1204" s="54"/>
      <c r="T1204" s="55" t="s">
        <v>183</v>
      </c>
      <c r="U1204" s="55"/>
      <c r="V1204" s="55"/>
      <c r="W1204" s="48"/>
      <c r="X1204" s="50"/>
      <c r="Y1204" s="50"/>
      <c r="Z1204" s="48" t="n">
        <f aca="false">IF(A1204="","",IF(AND(Parameter!$B$21="Ja",ISNUMBER(W1204)),W1204,IF(BZ1204="2+3",IF(ISNUMBER(SEARCH("grosser Artikel",BR1204)),2,IFERROR(VLOOKUP(BU1204,Parameter!$F$35:$G$64,2,0),2)),IF(OR(BZ1204="Nein",BZ1204=""),"-",BZ1204))))</f>
        <v>2</v>
      </c>
      <c r="AA1204" s="55"/>
      <c r="AB1204" s="56"/>
      <c r="AC1204" s="50" t="n">
        <f aca="false">AT1204</f>
        <v>4</v>
      </c>
      <c r="AD1204" s="50" t="n">
        <f aca="false">MAX(AT1204,H1204)</f>
        <v>4</v>
      </c>
      <c r="AE1204" s="57"/>
      <c r="AF1204" s="50" t="n">
        <f aca="false">IF(LEFT(Cockpit!$C$5,1)="A",H1204,IF(CE1204=1,CF1204,IF(LEFT(Cockpit!$C$5,1)="B",AK1204,MAX(AK1204,H1204))))</f>
        <v>2</v>
      </c>
      <c r="AG1204" s="50" t="n">
        <f aca="false">IF(BW1204=1,0,ROUNDUP(AF1204/BV1204,0))</f>
        <v>1</v>
      </c>
      <c r="AH1204" s="52" t="n">
        <f aca="false">IF(CL1204&gt;0,CL1204*MAX(1,AF1204/X1204),IF(BW1204=1,IF(AF1204&lt;=0,0,CA1204*MAX(1,IF(H1204&gt;0,AF1204/H1204,1))),IF(R1204&gt;0,AG1204/R1204,0))/MAX(0.1,N(Parameter!$M$21)))</f>
        <v>0.0833333333333333</v>
      </c>
      <c r="AI1204" s="50" t="n">
        <f aca="false">AH1204*BY1204</f>
        <v>12.0833333333333</v>
      </c>
      <c r="AJ1204" s="50" t="n">
        <f aca="false">AF1204*G1204</f>
        <v>761.4</v>
      </c>
      <c r="AK1204" s="50" t="n">
        <f aca="false">ROUNDUP(MAX(J1204/IF(CD1204&gt;0,CD1204,MAX(0.1,N(Cockpit!$C$6))),CG1204)/BV1204,0)*BV1204</f>
        <v>4</v>
      </c>
      <c r="AL1204" s="51" t="n">
        <f aca="false">IF(AI1204&gt;0,J1204/AI1204,-1)</f>
        <v>0</v>
      </c>
      <c r="AM1204" s="51" t="n">
        <f aca="false">IF(AND(OR(CC1204="L1",CC1204="L23",CC1204="LIFT"),AI1204&gt;0),SUMIFS($AI$7:$AI$1843,$CC$7:$CC$1843,CC1204,$AL$7:$AL$1843,"&gt;"&amp;AL1204)+SUMIFS($AI$7:$AI$1843,$CC$7:$CC$1843,CC1204,$AL$7:$AL$1843,AL1204,$BT$7:$BT$1843,"&lt;="&amp;BT1204),"")</f>
        <v>29420.666834813</v>
      </c>
      <c r="AN1204" s="58" t="n">
        <f aca="false">IF(AM1204="",0,MAX(0,MIN(1,(IF(CC1204="L1",Parameter!$H$5,IF(CC1204="L23",Parameter!$H$6+Parameter!$H$7,Parameter!$H$5+Parameter!$H$6+Parameter!$H$7))-(AM1204-AI1204))/AI1204)))</f>
        <v>1</v>
      </c>
      <c r="AO1204" s="50" t="n">
        <f aca="false">IF(LEFT(Cockpit!$I$5,1)="A",H1204,IF(CE1204=1,CF1204,IF(LEFT(Cockpit!$I$5,1)="B",AT1204,MAX(AT1204,H1204))))</f>
        <v>4</v>
      </c>
      <c r="AP1204" s="50" t="n">
        <f aca="false">IF(BW1204=1,0,ROUNDUP(AO1204/BV1204,0))</f>
        <v>1</v>
      </c>
      <c r="AQ1204" s="52" t="n">
        <f aca="false">IF(CL1204&gt;0,CL1204*MAX(1,AO1204/X1204),IF(BW1204=1,IF(AO1204&lt;=0,0,CA1204*MAX(1,IF(H1204&gt;0,AO1204/H1204,1))),IF(R1204&gt;0,AP1204/R1204,0))/MAX(0.1,N(Parameter!$M$21)))</f>
        <v>0.0833333333333333</v>
      </c>
      <c r="AR1204" s="50" t="n">
        <f aca="false">AQ1204*BY1204</f>
        <v>12.0833333333333</v>
      </c>
      <c r="AS1204" s="50" t="n">
        <f aca="false">AO1204*G1204</f>
        <v>1522.8</v>
      </c>
      <c r="AT1204" s="50" t="n">
        <f aca="false">ROUNDUP(MAX(J1204/IF(CD1204&gt;0,CD1204,MAX(0.1,N(Cockpit!$I$6))),CG1204)/BV1204,0)*BV1204</f>
        <v>4</v>
      </c>
      <c r="AU1204" s="51" t="n">
        <f aca="false">IF(AR1204&gt;0,J1204/AR1204,-1)</f>
        <v>0</v>
      </c>
      <c r="AV1204" s="51" t="n">
        <f aca="false">IF(AND(OR(CC1204="L1",CC1204="L23",CC1204="LIFT"),AR1204&gt;0),SUMIFS($AR$7:$AR$1843,$CC$7:$CC$1843,CC1204,$AU$7:$AU$1843,"&gt;"&amp;AU1204)+SUMIFS($AR$7:$AR$1843,$CC$7:$CC$1843,CC1204,$AU$7:$AU$1843,AU1204,$BT$7:$BT$1843,"&lt;="&amp;BT1204),"")</f>
        <v>41192.772443658</v>
      </c>
      <c r="AW1204" s="58" t="n">
        <f aca="false">IF(AV1204="",0,MAX(0,MIN(1,(IF(CC1204="L1",Parameter!$H$5,IF(CC1204="L23",Parameter!$H$6+Parameter!$H$7,Parameter!$H$5+Parameter!$H$6+Parameter!$H$7))-(AV1204-AR1204))/AR1204)))</f>
        <v>0</v>
      </c>
      <c r="AX1204" s="50" t="n">
        <f aca="false">IF(LEFT(Cockpit!$O$5,1)="A",H1204,IF(CE1204=1,CF1204,IF(LEFT(Cockpit!$O$5,1)="B",BC1204,MAX(BC1204,H1204))))</f>
        <v>4</v>
      </c>
      <c r="AY1204" s="50" t="n">
        <f aca="false">IF(BW1204=1,0,ROUNDUP(AX1204/BV1204,0))</f>
        <v>1</v>
      </c>
      <c r="AZ1204" s="52" t="n">
        <f aca="false">IF(CL1204&gt;0,CL1204*MAX(1,AX1204/X1204),IF(BW1204=1,IF(AX1204&lt;=0,0,CA1204*MAX(1,IF(H1204&gt;0,AX1204/H1204,1))),IF(R1204&gt;0,AY1204/R1204,0))/MAX(0.1,N(Parameter!$M$21)))</f>
        <v>0.0833333333333333</v>
      </c>
      <c r="BA1204" s="50" t="n">
        <f aca="false">AZ1204*BY1204</f>
        <v>12.0833333333333</v>
      </c>
      <c r="BB1204" s="50" t="n">
        <f aca="false">AX1204*G1204</f>
        <v>1522.8</v>
      </c>
      <c r="BC1204" s="50" t="n">
        <f aca="false">ROUNDUP(MAX(J1204/IF(CD1204&gt;0,CD1204,MAX(0.1,N(Cockpit!$O$6))),CG1204)/BV1204,0)*BV1204</f>
        <v>4</v>
      </c>
      <c r="BD1204" s="51" t="n">
        <f aca="false">IF(BA1204&gt;0,J1204/BA1204,-1)</f>
        <v>0</v>
      </c>
      <c r="BE1204" s="51" t="n">
        <f aca="false">IF(AND(OR(CC1204="L1",CC1204="L23",CC1204="LIFT"),BA1204&gt;0),SUMIFS($BA$7:$BA$1843,$CC$7:$CC$1843,CC1204,$BD$7:$BD$1843,"&gt;"&amp;BD1204)+SUMIFS($BA$7:$BA$1843,$CC$7:$CC$1843,CC1204,$BD$7:$BD$1843,BD1204,$BT$7:$BT$1843,"&lt;="&amp;BT1204),"")</f>
        <v>37867.7844855239</v>
      </c>
      <c r="BF1204" s="58" t="n">
        <f aca="false">IF(BE1204="",0,MAX(0,MIN(1,(IF(CC1204="L1",Parameter!$H$5,IF(CC1204="L23",Parameter!$H$6+Parameter!$H$7,Parameter!$H$5+Parameter!$H$6+Parameter!$H$7))-(BE1204-BA1204))/BA1204)))</f>
        <v>0</v>
      </c>
      <c r="BG1204" s="48" t="str">
        <f aca="false">IF(AI1204&lt;=0,"",IF(CC1204="Aussen","Aussenlager",IF(CC1204="-","Nicht im Lift",IF(AN1204&gt;=1,"Lift",IF(AN1204&lt;=0,"Aussenlager","teilweise")))))</f>
        <v>Lift</v>
      </c>
      <c r="BH1204" s="48" t="str">
        <f aca="false">IF(AR1204&lt;=0,"",IF(CC1204="Aussen","Aussenlager",IF(CC1204="-","Nicht im Lift",IF(AW1204&gt;=1,"Lift",IF(AW1204&lt;=0,"Aussenlager","teilweise")))))</f>
        <v>Aussenlager</v>
      </c>
      <c r="BI1204" s="48" t="str">
        <f aca="false">IF(BA1204&lt;=0,"",IF(CC1204="Aussen","Aussenlager",IF(CC1204="-","Nicht im Lift",IF(BF1204&gt;=1,"Lift",IF(BF1204&lt;=0,"Aussenlager","teilweise")))))</f>
        <v>Aussenlager</v>
      </c>
      <c r="BJ1204" s="48" t="str">
        <f aca="false">IF(A1204="","",IF(BS1204=1,"Neu; ","")&amp;IF(AND(BS1204=0,BN1204&lt;0),"negativer Bestand (Export "&amp;BN1204&amp;"); ","")&amp;IF(J1204&lt;=0,"Kein Verbrauch; ","")&amp;IF(CL1204&gt;0,"Lift "&amp;W1204&amp;" lt. Liftbericht (Fach "&amp;X1204&amp;" Stk); ",IF(BX1204=1,"Gebinde geschätzt ("&amp;T1204&amp;"); ",IF(BW1204=1,"Lose – Tablare geschätzt; ","")))&amp;IF(H1204&gt;AT1204,"Überbestand "&amp;ROUND(H1204-AT1204,0)&amp;" Stk / CHF "&amp;ROUND((H1204-AT1204)*G1204,0)&amp;"; ","")&amp;IF(AND(CE1204=1,CF1204&lt;CG1204),"MAX &lt; MB+LG; ","")&amp;IF(AND(CK1204&gt;0,CJ1204*10&gt;CK1204),"zu hoch für Tablar; ","")&amp;IF(AND(BS1204=0,OR(CE1204=1,AA1204&lt;&gt;"",U1204&lt;&gt;"",V1204&lt;&gt;"",AB1204&lt;&gt;"")),"manuell übersteuert; ","")&amp;IF(AND(BW1204=0,R1204=0),"Gebinde unbekannt / Stellmass fehlt; ","")&amp;IF(AND(BW1204=0,N(V1204)&lt;=0,N(Q1204)&lt;=0),"Menge pro Gebinde fehlt (Ist = 1 Gebinde); ","")&amp;BR1204)</f>
        <v>negativer Bestand (Export -2); Kein Verbrauch; Gebinde geschätzt (Mittel); Menge pro Gebinde fehlt (Ist = 1 Gebinde); grosser Artikel &amp; nicht im KTL</v>
      </c>
      <c r="BK1204" s="48"/>
      <c r="BL1204" s="48"/>
      <c r="BM1204" s="55"/>
      <c r="BN1204" s="50" t="n">
        <v>-2</v>
      </c>
      <c r="BO1204" s="50" t="n">
        <v>4</v>
      </c>
      <c r="BP1204" s="49" t="n">
        <v>-506.68</v>
      </c>
      <c r="BQ1204" s="50" t="n">
        <v>0</v>
      </c>
      <c r="BR1204" s="48" t="s">
        <v>265</v>
      </c>
      <c r="BS1204" s="53" t="n">
        <v>0</v>
      </c>
      <c r="BT1204" s="53" t="n">
        <v>1204</v>
      </c>
      <c r="BU1204" s="48" t="str">
        <f aca="false">IF(U1204&lt;&gt;"",UPPER(TRIM(U1204)),IF(BX1204=1,UPPER(VLOOKUP(T1204,Parameter!$I$27:$K$29,2,0)),IF(P1204="","LOSE",P1204)))</f>
        <v>S61</v>
      </c>
      <c r="BV1204" s="50" t="n">
        <f aca="false">IF(BU1204="LOSE",1,IF(N(V1204)&gt;0,V1204,IF(BX1204=1,MAX(1,N(VLOOKUP(T1204,Parameter!$I$27:$K$29,3,0)),H1204,N(N1204)),IF(N(Q1204)&gt;0,Q1204,MAX(1,H1204)))))</f>
        <v>4</v>
      </c>
      <c r="BW1204" s="53" t="n">
        <f aca="false">IF(BU1204="LOSE",1,0)</f>
        <v>0</v>
      </c>
      <c r="BX1204" s="53" t="n">
        <f aca="false">IF(AND(U1204="",OR(P1204="",P1204="LOSE"),T1204&lt;&gt;"",N(S1204)&lt;=0,ISNUMBER(MATCH(T1204,Parameter!$I$27:$I$29,0))),1,0)</f>
        <v>1</v>
      </c>
      <c r="BY1204" s="53" t="n">
        <f aca="false">IF(CL1204&gt;0,INDEX(Parameter!$H$5:$H$7,W1204)/INDEX(Parameter!$E$5:$E$7,W1204),IF(AND(BW1204=0,N(IFERROR(VLOOKUP(BU1204,'Gebinde-Kategorie'!$A$5:$N$45,14,0),0))&gt;0),VLOOKUP(BU1204,'Gebinde-Kategorie'!$A$5:$N$45,14,0)*10+Parameter!$M$23,Parameter!$M$24))</f>
        <v>145</v>
      </c>
      <c r="BZ1204" s="48" t="str">
        <f aca="false">IF(AND(Parameter!$B$19="Ja",E1204&lt;&gt;"",ISNUMBER(MATCH(E1204,Parameter!$I$35:$I$52,0))),VLOOKUP(E1204,Parameter!$I$35:$J$52,2,0),IFERROR(VLOOKUP(D1204,Parameter!$A$35:$C$64,2,0),"Nein"))</f>
        <v>2+3</v>
      </c>
      <c r="CA1204" s="52" t="n">
        <f aca="false">IF(BW1204=0,0,IF(N(S1204)&gt;0,S1204,IFERROR(VLOOKUP(D1204,Parameter!$A$35:$C$64,3,0)+0,0)))</f>
        <v>0</v>
      </c>
      <c r="CB1204" s="48" t="n">
        <f aca="false">IF(AA1204&lt;&gt;"",AA1204,Z1204)</f>
        <v>2</v>
      </c>
      <c r="CC1204" s="48" t="str">
        <f aca="false">IF(OR(CB1204=1,CB1204=2,CB1204=3),IF(Parameter!$E$27="Ja","LIFT",IF(CB1204=1,"L1","L23")),IF(CB1204="Aussen","Aussen","-"))</f>
        <v>LIFT</v>
      </c>
      <c r="CD1204" s="59" t="n">
        <f aca="false">IF(N(AB1204)&gt;0,AB1204,0)</f>
        <v>0</v>
      </c>
      <c r="CE1204" s="53" t="n">
        <f aca="false">IF(ISNUMBER(AE1204),1,0)</f>
        <v>0</v>
      </c>
      <c r="CF1204" s="50" t="n">
        <f aca="false">N(AE1204)</f>
        <v>0</v>
      </c>
      <c r="CG1204" s="50" t="n">
        <f aca="false">N(M1204)+N(N1204)</f>
        <v>1</v>
      </c>
      <c r="CH1204" s="50" t="n">
        <f aca="false">ROUNDUP(H1204/BV1204,0)</f>
        <v>1</v>
      </c>
      <c r="CI1204" s="50" t="n">
        <f aca="false">ROUNDUP(CF1204/BV1204,0)</f>
        <v>0</v>
      </c>
      <c r="CJ1204" s="53" t="n">
        <f aca="false">IF(BW1204=1,0,IFERROR(VLOOKUP(BU1204,'Gebinde-Kategorie'!$A$5:$N$45,5,0)+0,0))</f>
        <v>11</v>
      </c>
      <c r="CK1204" s="53" t="n">
        <f aca="false">IFERROR(IF(OR(CB1204=1,CB1204=2,CB1204=3),N(INDEX(Parameter!$I$5:$I$7,CB1204)),0),0)</f>
        <v>0</v>
      </c>
      <c r="CL1204" s="52" t="n">
        <f aca="false">IF(AND(Parameter!$B$21="Ja",ISNUMBER(W1204),N(X1204)&gt;0),IFERROR(N(INDEX(Parameter!$L$5:$L$7,W1204))*INDEX(Parameter!$E$5:$E$7,W1204)*X1204/SUMIFS($X$7:$X$1843,$W$7:$W$1843,W1204),0),0)</f>
        <v>0</v>
      </c>
    </row>
    <row r="1205" customFormat="false" ht="15" hidden="false" customHeight="false" outlineLevel="0" collapsed="false">
      <c r="A1205" s="48" t="s">
        <v>2168</v>
      </c>
      <c r="B1205" s="48" t="s">
        <v>2169</v>
      </c>
      <c r="C1205" s="48" t="s">
        <v>168</v>
      </c>
      <c r="D1205" s="48" t="s">
        <v>177</v>
      </c>
      <c r="E1205" s="48" t="s">
        <v>189</v>
      </c>
      <c r="F1205" s="48" t="s">
        <v>222</v>
      </c>
      <c r="G1205" s="49" t="n">
        <v>65.23</v>
      </c>
      <c r="H1205" s="50" t="n">
        <f aca="false">MAX(0,IF(AND(Parameter!$B$21="Ja",ISNUMBER(Y1205)),Y1205,IF(Parameter!$B$20="Jahresanfang 2025 + Export",BO1205+BN1205,BN1205)))</f>
        <v>56</v>
      </c>
      <c r="I1205" s="50" t="n">
        <f aca="false">H1205*G1205</f>
        <v>3652.88</v>
      </c>
      <c r="J1205" s="50" t="n">
        <f aca="false">BQ1205*Parameter!$B$18</f>
        <v>194</v>
      </c>
      <c r="K1205" s="51" t="n">
        <v>103</v>
      </c>
      <c r="L1205" s="52" t="n">
        <v>1.88349514563107</v>
      </c>
      <c r="M1205" s="50" t="n">
        <v>11</v>
      </c>
      <c r="N1205" s="50" t="n">
        <v>100</v>
      </c>
      <c r="O1205" s="53" t="n">
        <v>21</v>
      </c>
      <c r="P1205" s="48" t="s">
        <v>178</v>
      </c>
      <c r="Q1205" s="50" t="n">
        <v>140</v>
      </c>
      <c r="R1205" s="53" t="n">
        <f aca="false">IF(BW1205=1,0,IFERROR(VLOOKUP(BU1205,'Gebinde-Kategorie'!$A$5:$N$45,13,0)+0,0))</f>
        <v>6</v>
      </c>
      <c r="S1205" s="54"/>
      <c r="T1205" s="55"/>
      <c r="U1205" s="55"/>
      <c r="V1205" s="55"/>
      <c r="W1205" s="48"/>
      <c r="X1205" s="50"/>
      <c r="Y1205" s="50"/>
      <c r="Z1205" s="48" t="n">
        <f aca="false">IF(A1205="","",IF(AND(Parameter!$B$21="Ja",ISNUMBER(W1205)),W1205,IF(BZ1205="2+3",IF(ISNUMBER(SEARCH("grosser Artikel",BR1205)),2,IFERROR(VLOOKUP(BU1205,Parameter!$F$35:$G$64,2,0),2)),IF(OR(BZ1205="Nein",BZ1205=""),"-",BZ1205))))</f>
        <v>2</v>
      </c>
      <c r="AA1205" s="55"/>
      <c r="AB1205" s="56"/>
      <c r="AC1205" s="50" t="n">
        <f aca="false">AT1205</f>
        <v>140</v>
      </c>
      <c r="AD1205" s="50" t="n">
        <f aca="false">MAX(AT1205,H1205)</f>
        <v>140</v>
      </c>
      <c r="AE1205" s="57"/>
      <c r="AF1205" s="50" t="n">
        <f aca="false">IF(LEFT(Cockpit!$C$5,1)="A",H1205,IF(CE1205=1,CF1205,IF(LEFT(Cockpit!$C$5,1)="B",AK1205,MAX(AK1205,H1205))))</f>
        <v>56</v>
      </c>
      <c r="AG1205" s="50" t="n">
        <f aca="false">IF(BW1205=1,0,ROUNDUP(AF1205/BV1205,0))</f>
        <v>1</v>
      </c>
      <c r="AH1205" s="52" t="n">
        <f aca="false">IF(CL1205&gt;0,CL1205*MAX(1,AF1205/X1205),IF(BW1205=1,IF(AF1205&lt;=0,0,CA1205*MAX(1,IF(H1205&gt;0,AF1205/H1205,1))),IF(R1205&gt;0,AG1205/R1205,0))/MAX(0.1,N(Parameter!$M$21)))</f>
        <v>0.166666666666667</v>
      </c>
      <c r="AI1205" s="50" t="n">
        <f aca="false">AH1205*BY1205</f>
        <v>39.1666666666667</v>
      </c>
      <c r="AJ1205" s="50" t="n">
        <f aca="false">AF1205*G1205</f>
        <v>3652.88</v>
      </c>
      <c r="AK1205" s="50" t="n">
        <f aca="false">ROUNDUP(MAX(J1205/IF(CD1205&gt;0,CD1205,MAX(0.1,N(Cockpit!$C$6))),CG1205)/BV1205,0)*BV1205</f>
        <v>140</v>
      </c>
      <c r="AL1205" s="51" t="n">
        <f aca="false">IF(AI1205&gt;0,J1205/AI1205,-1)</f>
        <v>4.9531914893617</v>
      </c>
      <c r="AM1205" s="51" t="n">
        <f aca="false">IF(AND(OR(CC1205="L1",CC1205="L23",CC1205="LIFT"),AI1205&gt;0),SUMIFS($AI$7:$AI$1843,$CC$7:$CC$1843,CC1205,$AL$7:$AL$1843,"&gt;"&amp;AL1205)+SUMIFS($AI$7:$AI$1843,$CC$7:$CC$1843,CC1205,$AL$7:$AL$1843,AL1205,$BT$7:$BT$1843,"&lt;="&amp;BT1205),"")</f>
        <v>3964.21657509158</v>
      </c>
      <c r="AN1205" s="58" t="n">
        <f aca="false">IF(AM1205="",0,MAX(0,MIN(1,(IF(CC1205="L1",Parameter!$H$5,IF(CC1205="L23",Parameter!$H$6+Parameter!$H$7,Parameter!$H$5+Parameter!$H$6+Parameter!$H$7))-(AM1205-AI1205))/AI1205)))</f>
        <v>1</v>
      </c>
      <c r="AO1205" s="50" t="n">
        <f aca="false">IF(LEFT(Cockpit!$I$5,1)="A",H1205,IF(CE1205=1,CF1205,IF(LEFT(Cockpit!$I$5,1)="B",AT1205,MAX(AT1205,H1205))))</f>
        <v>140</v>
      </c>
      <c r="AP1205" s="50" t="n">
        <f aca="false">IF(BW1205=1,0,ROUNDUP(AO1205/BV1205,0))</f>
        <v>1</v>
      </c>
      <c r="AQ1205" s="52" t="n">
        <f aca="false">IF(CL1205&gt;0,CL1205*MAX(1,AO1205/X1205),IF(BW1205=1,IF(AO1205&lt;=0,0,CA1205*MAX(1,IF(H1205&gt;0,AO1205/H1205,1))),IF(R1205&gt;0,AP1205/R1205,0))/MAX(0.1,N(Parameter!$M$21)))</f>
        <v>0.166666666666667</v>
      </c>
      <c r="AR1205" s="50" t="n">
        <f aca="false">AQ1205*BY1205</f>
        <v>39.1666666666667</v>
      </c>
      <c r="AS1205" s="50" t="n">
        <f aca="false">AO1205*G1205</f>
        <v>9132.2</v>
      </c>
      <c r="AT1205" s="50" t="n">
        <f aca="false">ROUNDUP(MAX(J1205/IF(CD1205&gt;0,CD1205,MAX(0.1,N(Cockpit!$I$6))),CG1205)/BV1205,0)*BV1205</f>
        <v>140</v>
      </c>
      <c r="AU1205" s="51" t="n">
        <f aca="false">IF(AR1205&gt;0,J1205/AR1205,-1)</f>
        <v>4.9531914893617</v>
      </c>
      <c r="AV1205" s="51" t="n">
        <f aca="false">IF(AND(OR(CC1205="L1",CC1205="L23",CC1205="LIFT"),AR1205&gt;0),SUMIFS($AR$7:$AR$1843,$CC$7:$CC$1843,CC1205,$AU$7:$AU$1843,"&gt;"&amp;AU1205)+SUMIFS($AR$7:$AR$1843,$CC$7:$CC$1843,CC1205,$AU$7:$AU$1843,AU1205,$BT$7:$BT$1843,"&lt;="&amp;BT1205),"")</f>
        <v>5098.00320512821</v>
      </c>
      <c r="AW1205" s="58" t="n">
        <f aca="false">IF(AV1205="",0,MAX(0,MIN(1,(IF(CC1205="L1",Parameter!$H$5,IF(CC1205="L23",Parameter!$H$6+Parameter!$H$7,Parameter!$H$5+Parameter!$H$6+Parameter!$H$7))-(AV1205-AR1205))/AR1205)))</f>
        <v>1</v>
      </c>
      <c r="AX1205" s="50" t="n">
        <f aca="false">IF(LEFT(Cockpit!$O$5,1)="A",H1205,IF(CE1205=1,CF1205,IF(LEFT(Cockpit!$O$5,1)="B",BC1205,MAX(BC1205,H1205))))</f>
        <v>140</v>
      </c>
      <c r="AY1205" s="50" t="n">
        <f aca="false">IF(BW1205=1,0,ROUNDUP(AX1205/BV1205,0))</f>
        <v>1</v>
      </c>
      <c r="AZ1205" s="52" t="n">
        <f aca="false">IF(CL1205&gt;0,CL1205*MAX(1,AX1205/X1205),IF(BW1205=1,IF(AX1205&lt;=0,0,CA1205*MAX(1,IF(H1205&gt;0,AX1205/H1205,1))),IF(R1205&gt;0,AY1205/R1205,0))/MAX(0.1,N(Parameter!$M$21)))</f>
        <v>0.166666666666667</v>
      </c>
      <c r="BA1205" s="50" t="n">
        <f aca="false">AZ1205*BY1205</f>
        <v>39.1666666666667</v>
      </c>
      <c r="BB1205" s="50" t="n">
        <f aca="false">AX1205*G1205</f>
        <v>9132.2</v>
      </c>
      <c r="BC1205" s="50" t="n">
        <f aca="false">ROUNDUP(MAX(J1205/IF(CD1205&gt;0,CD1205,MAX(0.1,N(Cockpit!$O$6))),CG1205)/BV1205,0)*BV1205</f>
        <v>140</v>
      </c>
      <c r="BD1205" s="51" t="n">
        <f aca="false">IF(BA1205&gt;0,J1205/BA1205,-1)</f>
        <v>4.9531914893617</v>
      </c>
      <c r="BE1205" s="51" t="n">
        <f aca="false">IF(AND(OR(CC1205="L1",CC1205="L23",CC1205="LIFT"),BA1205&gt;0),SUMIFS($BA$7:$BA$1843,$CC$7:$CC$1843,CC1205,$BD$7:$BD$1843,"&gt;"&amp;BD1205)+SUMIFS($BA$7:$BA$1843,$CC$7:$CC$1843,CC1205,$BD$7:$BD$1843,BD1205,$BT$7:$BT$1843,"&lt;="&amp;BT1205),"")</f>
        <v>4768.46794871795</v>
      </c>
      <c r="BF1205" s="58" t="n">
        <f aca="false">IF(BE1205="",0,MAX(0,MIN(1,(IF(CC1205="L1",Parameter!$H$5,IF(CC1205="L23",Parameter!$H$6+Parameter!$H$7,Parameter!$H$5+Parameter!$H$6+Parameter!$H$7))-(BE1205-BA1205))/BA1205)))</f>
        <v>1</v>
      </c>
      <c r="BG1205" s="48" t="str">
        <f aca="false">IF(AI1205&lt;=0,"",IF(CC1205="Aussen","Aussenlager",IF(CC1205="-","Nicht im Lift",IF(AN1205&gt;=1,"Lift",IF(AN1205&lt;=0,"Aussenlager","teilweise")))))</f>
        <v>Lift</v>
      </c>
      <c r="BH1205" s="48" t="str">
        <f aca="false">IF(AR1205&lt;=0,"",IF(CC1205="Aussen","Aussenlager",IF(CC1205="-","Nicht im Lift",IF(AW1205&gt;=1,"Lift",IF(AW1205&lt;=0,"Aussenlager","teilweise")))))</f>
        <v>Lift</v>
      </c>
      <c r="BI1205" s="48" t="str">
        <f aca="false">IF(BA1205&lt;=0,"",IF(CC1205="Aussen","Aussenlager",IF(CC1205="-","Nicht im Lift",IF(BF1205&gt;=1,"Lift",IF(BF1205&lt;=0,"Aussenlager","teilweise")))))</f>
        <v>Lift</v>
      </c>
      <c r="BJ1205" s="48" t="str">
        <f aca="false">IF(A1205="","",IF(BS1205=1,"Neu; ","")&amp;IF(AND(BS1205=0,BN1205&lt;0),"negativer Bestand (Export "&amp;BN1205&amp;"); ","")&amp;IF(J1205&lt;=0,"Kein Verbrauch; ","")&amp;IF(CL1205&gt;0,"Lift "&amp;W1205&amp;" lt. Liftbericht (Fach "&amp;X1205&amp;" Stk); ",IF(BX1205=1,"Gebinde geschätzt ("&amp;T1205&amp;"); ",IF(BW1205=1,"Lose – Tablare geschätzt; ","")))&amp;IF(H1205&gt;AT1205,"Überbestand "&amp;ROUND(H1205-AT1205,0)&amp;" Stk / CHF "&amp;ROUND((H1205-AT1205)*G1205,0)&amp;"; ","")&amp;IF(AND(CE1205=1,CF1205&lt;CG1205),"MAX &lt; MB+LG; ","")&amp;IF(AND(CK1205&gt;0,CJ1205*10&gt;CK1205),"zu hoch für Tablar; ","")&amp;IF(AND(BS1205=0,OR(CE1205=1,AA1205&lt;&gt;"",U1205&lt;&gt;"",V1205&lt;&gt;"",AB1205&lt;&gt;"")),"manuell übersteuert; ","")&amp;IF(AND(BW1205=0,R1205=0),"Gebinde unbekannt / Stellmass fehlt; ","")&amp;IF(AND(BW1205=0,N(V1205)&lt;=0,N(Q1205)&lt;=0),"Menge pro Gebinde fehlt (Ist = 1 Gebinde); ","")&amp;BR1205)</f>
        <v>grosser Artikel &amp; nicht im KTL</v>
      </c>
      <c r="BK1205" s="48"/>
      <c r="BL1205" s="48"/>
      <c r="BM1205" s="55"/>
      <c r="BN1205" s="50" t="n">
        <v>6</v>
      </c>
      <c r="BO1205" s="50" t="n">
        <v>50</v>
      </c>
      <c r="BP1205" s="49" t="n">
        <v>-513.119999999997</v>
      </c>
      <c r="BQ1205" s="50" t="n">
        <v>194</v>
      </c>
      <c r="BR1205" s="48" t="s">
        <v>265</v>
      </c>
      <c r="BS1205" s="53" t="n">
        <v>0</v>
      </c>
      <c r="BT1205" s="53" t="n">
        <v>1205</v>
      </c>
      <c r="BU1205" s="48" t="str">
        <f aca="false">IF(U1205&lt;&gt;"",UPPER(TRIM(U1205)),IF(BX1205=1,UPPER(VLOOKUP(T1205,Parameter!$I$27:$K$29,2,0)),IF(P1205="","LOSE",P1205)))</f>
        <v>S71</v>
      </c>
      <c r="BV1205" s="50" t="n">
        <f aca="false">IF(BU1205="LOSE",1,IF(N(V1205)&gt;0,V1205,IF(BX1205=1,MAX(1,N(VLOOKUP(T1205,Parameter!$I$27:$K$29,3,0)),H1205,N(N1205)),IF(N(Q1205)&gt;0,Q1205,MAX(1,H1205)))))</f>
        <v>140</v>
      </c>
      <c r="BW1205" s="53" t="n">
        <f aca="false">IF(BU1205="LOSE",1,0)</f>
        <v>0</v>
      </c>
      <c r="BX1205" s="53" t="n">
        <f aca="false">IF(AND(U1205="",OR(P1205="",P1205="LOSE"),T1205&lt;&gt;"",N(S1205)&lt;=0,ISNUMBER(MATCH(T1205,Parameter!$I$27:$I$29,0))),1,0)</f>
        <v>0</v>
      </c>
      <c r="BY1205" s="53" t="n">
        <f aca="false">IF(CL1205&gt;0,INDEX(Parameter!$H$5:$H$7,W1205)/INDEX(Parameter!$E$5:$E$7,W1205),IF(AND(BW1205=0,N(IFERROR(VLOOKUP(BU1205,'Gebinde-Kategorie'!$A$5:$N$45,14,0),0))&gt;0),VLOOKUP(BU1205,'Gebinde-Kategorie'!$A$5:$N$45,14,0)*10+Parameter!$M$23,Parameter!$M$24))</f>
        <v>235</v>
      </c>
      <c r="BZ1205" s="48" t="str">
        <f aca="false">IF(AND(Parameter!$B$19="Ja",E1205&lt;&gt;"",ISNUMBER(MATCH(E1205,Parameter!$I$35:$I$52,0))),VLOOKUP(E1205,Parameter!$I$35:$J$52,2,0),IFERROR(VLOOKUP(D1205,Parameter!$A$35:$C$64,2,0),"Nein"))</f>
        <v>2+3</v>
      </c>
      <c r="CA1205" s="52" t="n">
        <f aca="false">IF(BW1205=0,0,IF(N(S1205)&gt;0,S1205,IFERROR(VLOOKUP(D1205,Parameter!$A$35:$C$64,3,0)+0,0)))</f>
        <v>0</v>
      </c>
      <c r="CB1205" s="48" t="n">
        <f aca="false">IF(AA1205&lt;&gt;"",AA1205,Z1205)</f>
        <v>2</v>
      </c>
      <c r="CC1205" s="48" t="str">
        <f aca="false">IF(OR(CB1205=1,CB1205=2,CB1205=3),IF(Parameter!$E$27="Ja","LIFT",IF(CB1205=1,"L1","L23")),IF(CB1205="Aussen","Aussen","-"))</f>
        <v>LIFT</v>
      </c>
      <c r="CD1205" s="59" t="n">
        <f aca="false">IF(N(AB1205)&gt;0,AB1205,0)</f>
        <v>0</v>
      </c>
      <c r="CE1205" s="53" t="n">
        <f aca="false">IF(ISNUMBER(AE1205),1,0)</f>
        <v>0</v>
      </c>
      <c r="CF1205" s="50" t="n">
        <f aca="false">N(AE1205)</f>
        <v>0</v>
      </c>
      <c r="CG1205" s="50" t="n">
        <f aca="false">N(M1205)+N(N1205)</f>
        <v>111</v>
      </c>
      <c r="CH1205" s="50" t="n">
        <f aca="false">ROUNDUP(H1205/BV1205,0)</f>
        <v>1</v>
      </c>
      <c r="CI1205" s="50" t="n">
        <f aca="false">ROUNDUP(CF1205/BV1205,0)</f>
        <v>0</v>
      </c>
      <c r="CJ1205" s="53" t="n">
        <f aca="false">IF(BW1205=1,0,IFERROR(VLOOKUP(BU1205,'Gebinde-Kategorie'!$A$5:$N$45,5,0)+0,0))</f>
        <v>20</v>
      </c>
      <c r="CK1205" s="53" t="n">
        <f aca="false">IFERROR(IF(OR(CB1205=1,CB1205=2,CB1205=3),N(INDEX(Parameter!$I$5:$I$7,CB1205)),0),0)</f>
        <v>0</v>
      </c>
      <c r="CL1205" s="52" t="n">
        <f aca="false">IF(AND(Parameter!$B$21="Ja",ISNUMBER(W1205),N(X1205)&gt;0),IFERROR(N(INDEX(Parameter!$L$5:$L$7,W1205))*INDEX(Parameter!$E$5:$E$7,W1205)*X1205/SUMIFS($X$7:$X$1843,$W$7:$W$1843,W1205),0),0)</f>
        <v>0</v>
      </c>
    </row>
    <row r="1206" customFormat="false" ht="15" hidden="false" customHeight="false" outlineLevel="0" collapsed="false">
      <c r="A1206" s="48" t="s">
        <v>2170</v>
      </c>
      <c r="B1206" s="48" t="s">
        <v>2171</v>
      </c>
      <c r="C1206" s="48" t="s">
        <v>168</v>
      </c>
      <c r="D1206" s="48" t="s">
        <v>188</v>
      </c>
      <c r="E1206" s="48" t="s">
        <v>189</v>
      </c>
      <c r="F1206" s="48" t="s">
        <v>222</v>
      </c>
      <c r="G1206" s="49" t="n">
        <v>508.45</v>
      </c>
      <c r="H1206" s="50" t="n">
        <f aca="false">MAX(0,IF(AND(Parameter!$B$21="Ja",ISNUMBER(Y1206)),Y1206,IF(Parameter!$B$20="Jahresanfang 2025 + Export",BO1206+BN1206,BN1206)))</f>
        <v>4</v>
      </c>
      <c r="I1206" s="50" t="n">
        <f aca="false">H1206*G1206</f>
        <v>2033.8</v>
      </c>
      <c r="J1206" s="50" t="n">
        <f aca="false">BQ1206*Parameter!$B$18</f>
        <v>5</v>
      </c>
      <c r="K1206" s="51" t="n">
        <v>4.5</v>
      </c>
      <c r="L1206" s="52" t="n">
        <v>1.11111111111111</v>
      </c>
      <c r="M1206" s="50" t="n">
        <v>0</v>
      </c>
      <c r="N1206" s="50" t="n">
        <v>5</v>
      </c>
      <c r="O1206" s="53" t="n">
        <v>21</v>
      </c>
      <c r="P1206" s="48" t="s">
        <v>230</v>
      </c>
      <c r="Q1206" s="50" t="n">
        <v>8</v>
      </c>
      <c r="R1206" s="53" t="n">
        <f aca="false">IF(BW1206=1,0,IFERROR(VLOOKUP(BU1206,'Gebinde-Kategorie'!$A$5:$N$45,13,0)+0,0))</f>
        <v>12</v>
      </c>
      <c r="S1206" s="54"/>
      <c r="T1206" s="55"/>
      <c r="U1206" s="55"/>
      <c r="V1206" s="55"/>
      <c r="W1206" s="48"/>
      <c r="X1206" s="50"/>
      <c r="Y1206" s="50"/>
      <c r="Z1206" s="48" t="n">
        <f aca="false">IF(A1206="","",IF(AND(Parameter!$B$21="Ja",ISNUMBER(W1206)),W1206,IF(BZ1206="2+3",IF(ISNUMBER(SEARCH("grosser Artikel",BR1206)),2,IFERROR(VLOOKUP(BU1206,Parameter!$F$35:$G$64,2,0),2)),IF(OR(BZ1206="Nein",BZ1206=""),"-",BZ1206))))</f>
        <v>2</v>
      </c>
      <c r="AA1206" s="55"/>
      <c r="AB1206" s="56"/>
      <c r="AC1206" s="50" t="n">
        <f aca="false">AT1206</f>
        <v>8</v>
      </c>
      <c r="AD1206" s="50" t="n">
        <f aca="false">MAX(AT1206,H1206)</f>
        <v>8</v>
      </c>
      <c r="AE1206" s="57"/>
      <c r="AF1206" s="50" t="n">
        <f aca="false">IF(LEFT(Cockpit!$C$5,1)="A",H1206,IF(CE1206=1,CF1206,IF(LEFT(Cockpit!$C$5,1)="B",AK1206,MAX(AK1206,H1206))))</f>
        <v>4</v>
      </c>
      <c r="AG1206" s="50" t="n">
        <f aca="false">IF(BW1206=1,0,ROUNDUP(AF1206/BV1206,0))</f>
        <v>1</v>
      </c>
      <c r="AH1206" s="52" t="n">
        <f aca="false">IF(CL1206&gt;0,CL1206*MAX(1,AF1206/X1206),IF(BW1206=1,IF(AF1206&lt;=0,0,CA1206*MAX(1,IF(H1206&gt;0,AF1206/H1206,1))),IF(R1206&gt;0,AG1206/R1206,0))/MAX(0.1,N(Parameter!$M$21)))</f>
        <v>0.0833333333333333</v>
      </c>
      <c r="AI1206" s="50" t="n">
        <f aca="false">AH1206*BY1206</f>
        <v>28.75</v>
      </c>
      <c r="AJ1206" s="50" t="n">
        <f aca="false">AF1206*G1206</f>
        <v>2033.8</v>
      </c>
      <c r="AK1206" s="50" t="n">
        <f aca="false">ROUNDUP(MAX(J1206/IF(CD1206&gt;0,CD1206,MAX(0.1,N(Cockpit!$C$6))),CG1206)/BV1206,0)*BV1206</f>
        <v>8</v>
      </c>
      <c r="AL1206" s="51" t="n">
        <f aca="false">IF(AI1206&gt;0,J1206/AI1206,-1)</f>
        <v>0.173913043478261</v>
      </c>
      <c r="AM1206" s="51" t="n">
        <f aca="false">IF(AND(OR(CC1206="L1",CC1206="L23",CC1206="LIFT"),AI1206&gt;0),SUMIFS($AI$7:$AI$1843,$CC$7:$CC$1843,CC1206,$AL$7:$AL$1843,"&gt;"&amp;AL1206)+SUMIFS($AI$7:$AI$1843,$CC$7:$CC$1843,CC1206,$AL$7:$AL$1843,AL1206,$BT$7:$BT$1843,"&lt;="&amp;BT1206),"")</f>
        <v>12650.983720846</v>
      </c>
      <c r="AN1206" s="58" t="n">
        <f aca="false">IF(AM1206="",0,MAX(0,MIN(1,(IF(CC1206="L1",Parameter!$H$5,IF(CC1206="L23",Parameter!$H$6+Parameter!$H$7,Parameter!$H$5+Parameter!$H$6+Parameter!$H$7))-(AM1206-AI1206))/AI1206)))</f>
        <v>1</v>
      </c>
      <c r="AO1206" s="50" t="n">
        <f aca="false">IF(LEFT(Cockpit!$I$5,1)="A",H1206,IF(CE1206=1,CF1206,IF(LEFT(Cockpit!$I$5,1)="B",AT1206,MAX(AT1206,H1206))))</f>
        <v>8</v>
      </c>
      <c r="AP1206" s="50" t="n">
        <f aca="false">IF(BW1206=1,0,ROUNDUP(AO1206/BV1206,0))</f>
        <v>1</v>
      </c>
      <c r="AQ1206" s="52" t="n">
        <f aca="false">IF(CL1206&gt;0,CL1206*MAX(1,AO1206/X1206),IF(BW1206=1,IF(AO1206&lt;=0,0,CA1206*MAX(1,IF(H1206&gt;0,AO1206/H1206,1))),IF(R1206&gt;0,AP1206/R1206,0))/MAX(0.1,N(Parameter!$M$21)))</f>
        <v>0.0833333333333333</v>
      </c>
      <c r="AR1206" s="50" t="n">
        <f aca="false">AQ1206*BY1206</f>
        <v>28.75</v>
      </c>
      <c r="AS1206" s="50" t="n">
        <f aca="false">AO1206*G1206</f>
        <v>4067.6</v>
      </c>
      <c r="AT1206" s="50" t="n">
        <f aca="false">ROUNDUP(MAX(J1206/IF(CD1206&gt;0,CD1206,MAX(0.1,N(Cockpit!$I$6))),CG1206)/BV1206,0)*BV1206</f>
        <v>8</v>
      </c>
      <c r="AU1206" s="51" t="n">
        <f aca="false">IF(AR1206&gt;0,J1206/AR1206,-1)</f>
        <v>0.173913043478261</v>
      </c>
      <c r="AV1206" s="51" t="n">
        <f aca="false">IF(AND(OR(CC1206="L1",CC1206="L23",CC1206="LIFT"),AR1206&gt;0),SUMIFS($AR$7:$AR$1843,$CC$7:$CC$1843,CC1206,$AU$7:$AU$1843,"&gt;"&amp;AU1206)+SUMIFS($AR$7:$AR$1843,$CC$7:$CC$1843,CC1206,$AU$7:$AU$1843,AU1206,$BT$7:$BT$1843,"&lt;="&amp;BT1206),"")</f>
        <v>19132.6350732601</v>
      </c>
      <c r="AW1206" s="58" t="n">
        <f aca="false">IF(AV1206="",0,MAX(0,MIN(1,(IF(CC1206="L1",Parameter!$H$5,IF(CC1206="L23",Parameter!$H$6+Parameter!$H$7,Parameter!$H$5+Parameter!$H$6+Parameter!$H$7))-(AV1206-AR1206))/AR1206)))</f>
        <v>1</v>
      </c>
      <c r="AX1206" s="50" t="n">
        <f aca="false">IF(LEFT(Cockpit!$O$5,1)="A",H1206,IF(CE1206=1,CF1206,IF(LEFT(Cockpit!$O$5,1)="B",BC1206,MAX(BC1206,H1206))))</f>
        <v>8</v>
      </c>
      <c r="AY1206" s="50" t="n">
        <f aca="false">IF(BW1206=1,0,ROUNDUP(AX1206/BV1206,0))</f>
        <v>1</v>
      </c>
      <c r="AZ1206" s="52" t="n">
        <f aca="false">IF(CL1206&gt;0,CL1206*MAX(1,AX1206/X1206),IF(BW1206=1,IF(AX1206&lt;=0,0,CA1206*MAX(1,IF(H1206&gt;0,AX1206/H1206,1))),IF(R1206&gt;0,AY1206/R1206,0))/MAX(0.1,N(Parameter!$M$21)))</f>
        <v>0.0833333333333333</v>
      </c>
      <c r="BA1206" s="50" t="n">
        <f aca="false">AZ1206*BY1206</f>
        <v>28.75</v>
      </c>
      <c r="BB1206" s="50" t="n">
        <f aca="false">AX1206*G1206</f>
        <v>4067.6</v>
      </c>
      <c r="BC1206" s="50" t="n">
        <f aca="false">ROUNDUP(MAX(J1206/IF(CD1206&gt;0,CD1206,MAX(0.1,N(Cockpit!$O$6))),CG1206)/BV1206,0)*BV1206</f>
        <v>8</v>
      </c>
      <c r="BD1206" s="51" t="n">
        <f aca="false">IF(BA1206&gt;0,J1206/BA1206,-1)</f>
        <v>0.173913043478261</v>
      </c>
      <c r="BE1206" s="51" t="n">
        <f aca="false">IF(AND(OR(CC1206="L1",CC1206="L23",CC1206="LIFT"),BA1206&gt;0),SUMIFS($BA$7:$BA$1843,$CC$7:$CC$1843,CC1206,$BD$7:$BD$1843,"&gt;"&amp;BD1206)+SUMIFS($BA$7:$BA$1843,$CC$7:$CC$1843,CC1206,$BD$7:$BD$1843,BD1206,$BT$7:$BT$1843,"&lt;="&amp;BT1206),"")</f>
        <v>17158.7087912088</v>
      </c>
      <c r="BF1206" s="58" t="n">
        <f aca="false">IF(BE1206="",0,MAX(0,MIN(1,(IF(CC1206="L1",Parameter!$H$5,IF(CC1206="L23",Parameter!$H$6+Parameter!$H$7,Parameter!$H$5+Parameter!$H$6+Parameter!$H$7))-(BE1206-BA1206))/BA1206)))</f>
        <v>1</v>
      </c>
      <c r="BG1206" s="48" t="str">
        <f aca="false">IF(AI1206&lt;=0,"",IF(CC1206="Aussen","Aussenlager",IF(CC1206="-","Nicht im Lift",IF(AN1206&gt;=1,"Lift",IF(AN1206&lt;=0,"Aussenlager","teilweise")))))</f>
        <v>Lift</v>
      </c>
      <c r="BH1206" s="48" t="str">
        <f aca="false">IF(AR1206&lt;=0,"",IF(CC1206="Aussen","Aussenlager",IF(CC1206="-","Nicht im Lift",IF(AW1206&gt;=1,"Lift",IF(AW1206&lt;=0,"Aussenlager","teilweise")))))</f>
        <v>Lift</v>
      </c>
      <c r="BI1206" s="48" t="str">
        <f aca="false">IF(BA1206&lt;=0,"",IF(CC1206="Aussen","Aussenlager",IF(CC1206="-","Nicht im Lift",IF(BF1206&gt;=1,"Lift",IF(BF1206&lt;=0,"Aussenlager","teilweise")))))</f>
        <v>Lift</v>
      </c>
      <c r="BJ1206" s="48" t="str">
        <f aca="false">IF(A1206="","",IF(BS1206=1,"Neu; ","")&amp;IF(AND(BS1206=0,BN1206&lt;0),"negativer Bestand (Export "&amp;BN1206&amp;"); ","")&amp;IF(J1206&lt;=0,"Kein Verbrauch; ","")&amp;IF(CL1206&gt;0,"Lift "&amp;W1206&amp;" lt. Liftbericht (Fach "&amp;X1206&amp;" Stk); ",IF(BX1206=1,"Gebinde geschätzt ("&amp;T1206&amp;"); ",IF(BW1206=1,"Lose – Tablare geschätzt; ","")))&amp;IF(H1206&gt;AT1206,"Überbestand "&amp;ROUND(H1206-AT1206,0)&amp;" Stk / CHF "&amp;ROUND((H1206-AT1206)*G1206,0)&amp;"; ","")&amp;IF(AND(CE1206=1,CF1206&lt;CG1206),"MAX &lt; MB+LG; ","")&amp;IF(AND(CK1206&gt;0,CJ1206*10&gt;CK1206),"zu hoch für Tablar; ","")&amp;IF(AND(BS1206=0,OR(CE1206=1,AA1206&lt;&gt;"",U1206&lt;&gt;"",V1206&lt;&gt;"",AB1206&lt;&gt;"")),"manuell übersteuert; ","")&amp;IF(AND(BW1206=0,R1206=0),"Gebinde unbekannt / Stellmass fehlt; ","")&amp;IF(AND(BW1206=0,N(V1206)&lt;=0,N(Q1206)&lt;=0),"Menge pro Gebinde fehlt (Ist = 1 Gebinde); ","")&amp;BR1206)</f>
        <v>negativer Bestand (Export -2); </v>
      </c>
      <c r="BK1206" s="48"/>
      <c r="BL1206" s="48"/>
      <c r="BM1206" s="55"/>
      <c r="BN1206" s="50" t="n">
        <v>-2</v>
      </c>
      <c r="BO1206" s="50" t="n">
        <v>6</v>
      </c>
      <c r="BP1206" s="49" t="n">
        <v>-514.58</v>
      </c>
      <c r="BQ1206" s="50" t="n">
        <v>5</v>
      </c>
      <c r="BR1206" s="48"/>
      <c r="BS1206" s="53" t="n">
        <v>0</v>
      </c>
      <c r="BT1206" s="53" t="n">
        <v>1206</v>
      </c>
      <c r="BU1206" s="48" t="str">
        <f aca="false">IF(U1206&lt;&gt;"",UPPER(TRIM(U1206)),IF(BX1206=1,UPPER(VLOOKUP(T1206,Parameter!$I$27:$K$29,2,0)),IF(P1206="","LOSE",P1206)))</f>
        <v>S63</v>
      </c>
      <c r="BV1206" s="50" t="n">
        <f aca="false">IF(BU1206="LOSE",1,IF(N(V1206)&gt;0,V1206,IF(BX1206=1,MAX(1,N(VLOOKUP(T1206,Parameter!$I$27:$K$29,3,0)),H1206,N(N1206)),IF(N(Q1206)&gt;0,Q1206,MAX(1,H1206)))))</f>
        <v>8</v>
      </c>
      <c r="BW1206" s="53" t="n">
        <f aca="false">IF(BU1206="LOSE",1,0)</f>
        <v>0</v>
      </c>
      <c r="BX1206" s="53" t="n">
        <f aca="false">IF(AND(U1206="",OR(P1206="",P1206="LOSE"),T1206&lt;&gt;"",N(S1206)&lt;=0,ISNUMBER(MATCH(T1206,Parameter!$I$27:$I$29,0))),1,0)</f>
        <v>0</v>
      </c>
      <c r="BY1206" s="53" t="n">
        <f aca="false">IF(CL1206&gt;0,INDEX(Parameter!$H$5:$H$7,W1206)/INDEX(Parameter!$E$5:$E$7,W1206),IF(AND(BW1206=0,N(IFERROR(VLOOKUP(BU1206,'Gebinde-Kategorie'!$A$5:$N$45,14,0),0))&gt;0),VLOOKUP(BU1206,'Gebinde-Kategorie'!$A$5:$N$45,14,0)*10+Parameter!$M$23,Parameter!$M$24))</f>
        <v>345</v>
      </c>
      <c r="BZ1206" s="48" t="str">
        <f aca="false">IF(AND(Parameter!$B$19="Ja",E1206&lt;&gt;"",ISNUMBER(MATCH(E1206,Parameter!$I$35:$I$52,0))),VLOOKUP(E1206,Parameter!$I$35:$J$52,2,0),IFERROR(VLOOKUP(D1206,Parameter!$A$35:$C$64,2,0),"Nein"))</f>
        <v>2+3</v>
      </c>
      <c r="CA1206" s="52" t="n">
        <f aca="false">IF(BW1206=0,0,IF(N(S1206)&gt;0,S1206,IFERROR(VLOOKUP(D1206,Parameter!$A$35:$C$64,3,0)+0,0)))</f>
        <v>0</v>
      </c>
      <c r="CB1206" s="48" t="n">
        <f aca="false">IF(AA1206&lt;&gt;"",AA1206,Z1206)</f>
        <v>2</v>
      </c>
      <c r="CC1206" s="48" t="str">
        <f aca="false">IF(OR(CB1206=1,CB1206=2,CB1206=3),IF(Parameter!$E$27="Ja","LIFT",IF(CB1206=1,"L1","L23")),IF(CB1206="Aussen","Aussen","-"))</f>
        <v>LIFT</v>
      </c>
      <c r="CD1206" s="59" t="n">
        <f aca="false">IF(N(AB1206)&gt;0,AB1206,0)</f>
        <v>0</v>
      </c>
      <c r="CE1206" s="53" t="n">
        <f aca="false">IF(ISNUMBER(AE1206),1,0)</f>
        <v>0</v>
      </c>
      <c r="CF1206" s="50" t="n">
        <f aca="false">N(AE1206)</f>
        <v>0</v>
      </c>
      <c r="CG1206" s="50" t="n">
        <f aca="false">N(M1206)+N(N1206)</f>
        <v>5</v>
      </c>
      <c r="CH1206" s="50" t="n">
        <f aca="false">ROUNDUP(H1206/BV1206,0)</f>
        <v>1</v>
      </c>
      <c r="CI1206" s="50" t="n">
        <f aca="false">ROUNDUP(CF1206/BV1206,0)</f>
        <v>0</v>
      </c>
      <c r="CJ1206" s="53" t="n">
        <f aca="false">IF(BW1206=1,0,IFERROR(VLOOKUP(BU1206,'Gebinde-Kategorie'!$A$5:$N$45,5,0)+0,0))</f>
        <v>31</v>
      </c>
      <c r="CK1206" s="53" t="n">
        <f aca="false">IFERROR(IF(OR(CB1206=1,CB1206=2,CB1206=3),N(INDEX(Parameter!$I$5:$I$7,CB1206)),0),0)</f>
        <v>0</v>
      </c>
      <c r="CL1206" s="52" t="n">
        <f aca="false">IF(AND(Parameter!$B$21="Ja",ISNUMBER(W1206),N(X1206)&gt;0),IFERROR(N(INDEX(Parameter!$L$5:$L$7,W1206))*INDEX(Parameter!$E$5:$E$7,W1206)*X1206/SUMIFS($X$7:$X$1843,$W$7:$W$1843,W1206),0),0)</f>
        <v>0</v>
      </c>
    </row>
    <row r="1207" customFormat="false" ht="15" hidden="false" customHeight="false" outlineLevel="0" collapsed="false">
      <c r="A1207" s="48" t="s">
        <v>2172</v>
      </c>
      <c r="B1207" s="48" t="s">
        <v>2173</v>
      </c>
      <c r="C1207" s="48" t="s">
        <v>168</v>
      </c>
      <c r="D1207" s="48" t="s">
        <v>188</v>
      </c>
      <c r="E1207" s="48"/>
      <c r="F1207" s="48" t="s">
        <v>222</v>
      </c>
      <c r="G1207" s="49" t="n">
        <v>103.28</v>
      </c>
      <c r="H1207" s="50" t="n">
        <f aca="false">MAX(0,IF(AND(Parameter!$B$21="Ja",ISNUMBER(Y1207)),Y1207,IF(Parameter!$B$20="Jahresanfang 2025 + Export",BO1207+BN1207,BN1207)))</f>
        <v>18</v>
      </c>
      <c r="I1207" s="50" t="n">
        <f aca="false">H1207*G1207</f>
        <v>1859.04</v>
      </c>
      <c r="J1207" s="50" t="n">
        <f aca="false">BQ1207*Parameter!$B$18</f>
        <v>2</v>
      </c>
      <c r="K1207" s="51" t="n">
        <v>22</v>
      </c>
      <c r="L1207" s="52" t="n">
        <v>0.0909090909090909</v>
      </c>
      <c r="M1207" s="50" t="n">
        <v>0</v>
      </c>
      <c r="N1207" s="50" t="n">
        <v>1</v>
      </c>
      <c r="O1207" s="53" t="n">
        <v>21</v>
      </c>
      <c r="P1207" s="48" t="s">
        <v>332</v>
      </c>
      <c r="Q1207" s="50" t="n">
        <v>30</v>
      </c>
      <c r="R1207" s="53" t="n">
        <f aca="false">IF(BW1207=1,0,IFERROR(VLOOKUP(BU1207,'Gebinde-Kategorie'!$A$5:$N$45,13,0)+0,0))</f>
        <v>52</v>
      </c>
      <c r="S1207" s="54"/>
      <c r="T1207" s="55"/>
      <c r="U1207" s="55"/>
      <c r="V1207" s="55"/>
      <c r="W1207" s="48"/>
      <c r="X1207" s="50"/>
      <c r="Y1207" s="50"/>
      <c r="Z1207" s="48" t="n">
        <f aca="false">IF(A1207="","",IF(AND(Parameter!$B$21="Ja",ISNUMBER(W1207)),W1207,IF(BZ1207="2+3",IF(ISNUMBER(SEARCH("grosser Artikel",BR1207)),2,IFERROR(VLOOKUP(BU1207,Parameter!$F$35:$G$64,2,0),2)),IF(OR(BZ1207="Nein",BZ1207=""),"-",BZ1207))))</f>
        <v>3</v>
      </c>
      <c r="AA1207" s="55"/>
      <c r="AB1207" s="56"/>
      <c r="AC1207" s="50" t="n">
        <f aca="false">AT1207</f>
        <v>30</v>
      </c>
      <c r="AD1207" s="50" t="n">
        <f aca="false">MAX(AT1207,H1207)</f>
        <v>30</v>
      </c>
      <c r="AE1207" s="57"/>
      <c r="AF1207" s="50" t="n">
        <f aca="false">IF(LEFT(Cockpit!$C$5,1)="A",H1207,IF(CE1207=1,CF1207,IF(LEFT(Cockpit!$C$5,1)="B",AK1207,MAX(AK1207,H1207))))</f>
        <v>18</v>
      </c>
      <c r="AG1207" s="50" t="n">
        <f aca="false">IF(BW1207=1,0,ROUNDUP(AF1207/BV1207,0))</f>
        <v>1</v>
      </c>
      <c r="AH1207" s="52" t="n">
        <f aca="false">IF(CL1207&gt;0,CL1207*MAX(1,AF1207/X1207),IF(BW1207=1,IF(AF1207&lt;=0,0,CA1207*MAX(1,IF(H1207&gt;0,AF1207/H1207,1))),IF(R1207&gt;0,AG1207/R1207,0))/MAX(0.1,N(Parameter!$M$21)))</f>
        <v>0.0192307692307692</v>
      </c>
      <c r="AI1207" s="50" t="n">
        <f aca="false">AH1207*BY1207</f>
        <v>2.98076923076923</v>
      </c>
      <c r="AJ1207" s="50" t="n">
        <f aca="false">AF1207*G1207</f>
        <v>1859.04</v>
      </c>
      <c r="AK1207" s="50" t="n">
        <f aca="false">ROUNDUP(MAX(J1207/IF(CD1207&gt;0,CD1207,MAX(0.1,N(Cockpit!$C$6))),CG1207)/BV1207,0)*BV1207</f>
        <v>30</v>
      </c>
      <c r="AL1207" s="51" t="n">
        <f aca="false">IF(AI1207&gt;0,J1207/AI1207,-1)</f>
        <v>0.670967741935484</v>
      </c>
      <c r="AM1207" s="51" t="n">
        <f aca="false">IF(AND(OR(CC1207="L1",CC1207="L23",CC1207="LIFT"),AI1207&gt;0),SUMIFS($AI$7:$AI$1843,$CC$7:$CC$1843,CC1207,$AL$7:$AL$1843,"&gt;"&amp;AL1207)+SUMIFS($AI$7:$AI$1843,$CC$7:$CC$1843,CC1207,$AL$7:$AL$1843,AL1207,$BT$7:$BT$1843,"&lt;="&amp;BT1207),"")</f>
        <v>8641.44871794872</v>
      </c>
      <c r="AN1207" s="58" t="n">
        <f aca="false">IF(AM1207="",0,MAX(0,MIN(1,(IF(CC1207="L1",Parameter!$H$5,IF(CC1207="L23",Parameter!$H$6+Parameter!$H$7,Parameter!$H$5+Parameter!$H$6+Parameter!$H$7))-(AM1207-AI1207))/AI1207)))</f>
        <v>1</v>
      </c>
      <c r="AO1207" s="50" t="n">
        <f aca="false">IF(LEFT(Cockpit!$I$5,1)="A",H1207,IF(CE1207=1,CF1207,IF(LEFT(Cockpit!$I$5,1)="B",AT1207,MAX(AT1207,H1207))))</f>
        <v>30</v>
      </c>
      <c r="AP1207" s="50" t="n">
        <f aca="false">IF(BW1207=1,0,ROUNDUP(AO1207/BV1207,0))</f>
        <v>1</v>
      </c>
      <c r="AQ1207" s="52" t="n">
        <f aca="false">IF(CL1207&gt;0,CL1207*MAX(1,AO1207/X1207),IF(BW1207=1,IF(AO1207&lt;=0,0,CA1207*MAX(1,IF(H1207&gt;0,AO1207/H1207,1))),IF(R1207&gt;0,AP1207/R1207,0))/MAX(0.1,N(Parameter!$M$21)))</f>
        <v>0.0192307692307692</v>
      </c>
      <c r="AR1207" s="50" t="n">
        <f aca="false">AQ1207*BY1207</f>
        <v>2.98076923076923</v>
      </c>
      <c r="AS1207" s="50" t="n">
        <f aca="false">AO1207*G1207</f>
        <v>3098.4</v>
      </c>
      <c r="AT1207" s="50" t="n">
        <f aca="false">ROUNDUP(MAX(J1207/IF(CD1207&gt;0,CD1207,MAX(0.1,N(Cockpit!$I$6))),CG1207)/BV1207,0)*BV1207</f>
        <v>30</v>
      </c>
      <c r="AU1207" s="51" t="n">
        <f aca="false">IF(AR1207&gt;0,J1207/AR1207,-1)</f>
        <v>0.670967741935484</v>
      </c>
      <c r="AV1207" s="51" t="n">
        <f aca="false">IF(AND(OR(CC1207="L1",CC1207="L23",CC1207="LIFT"),AR1207&gt;0),SUMIFS($AR$7:$AR$1843,$CC$7:$CC$1843,CC1207,$AU$7:$AU$1843,"&gt;"&amp;AU1207)+SUMIFS($AR$7:$AR$1843,$CC$7:$CC$1843,CC1207,$AU$7:$AU$1843,AU1207,$BT$7:$BT$1843,"&lt;="&amp;BT1207),"")</f>
        <v>11783.570970696</v>
      </c>
      <c r="AW1207" s="58" t="n">
        <f aca="false">IF(AV1207="",0,MAX(0,MIN(1,(IF(CC1207="L1",Parameter!$H$5,IF(CC1207="L23",Parameter!$H$6+Parameter!$H$7,Parameter!$H$5+Parameter!$H$6+Parameter!$H$7))-(AV1207-AR1207))/AR1207)))</f>
        <v>1</v>
      </c>
      <c r="AX1207" s="50" t="n">
        <f aca="false">IF(LEFT(Cockpit!$O$5,1)="A",H1207,IF(CE1207=1,CF1207,IF(LEFT(Cockpit!$O$5,1)="B",BC1207,MAX(BC1207,H1207))))</f>
        <v>30</v>
      </c>
      <c r="AY1207" s="50" t="n">
        <f aca="false">IF(BW1207=1,0,ROUNDUP(AX1207/BV1207,0))</f>
        <v>1</v>
      </c>
      <c r="AZ1207" s="52" t="n">
        <f aca="false">IF(CL1207&gt;0,CL1207*MAX(1,AX1207/X1207),IF(BW1207=1,IF(AX1207&lt;=0,0,CA1207*MAX(1,IF(H1207&gt;0,AX1207/H1207,1))),IF(R1207&gt;0,AY1207/R1207,0))/MAX(0.1,N(Parameter!$M$21)))</f>
        <v>0.0192307692307692</v>
      </c>
      <c r="BA1207" s="50" t="n">
        <f aca="false">AZ1207*BY1207</f>
        <v>2.98076923076923</v>
      </c>
      <c r="BB1207" s="50" t="n">
        <f aca="false">AX1207*G1207</f>
        <v>3098.4</v>
      </c>
      <c r="BC1207" s="50" t="n">
        <f aca="false">ROUNDUP(MAX(J1207/IF(CD1207&gt;0,CD1207,MAX(0.1,N(Cockpit!$O$6))),CG1207)/BV1207,0)*BV1207</f>
        <v>30</v>
      </c>
      <c r="BD1207" s="51" t="n">
        <f aca="false">IF(BA1207&gt;0,J1207/BA1207,-1)</f>
        <v>0.670967741935484</v>
      </c>
      <c r="BE1207" s="51" t="n">
        <f aca="false">IF(AND(OR(CC1207="L1",CC1207="L23",CC1207="LIFT"),BA1207&gt;0),SUMIFS($BA$7:$BA$1843,$CC$7:$CC$1843,CC1207,$BD$7:$BD$1843,"&gt;"&amp;BD1207)+SUMIFS($BA$7:$BA$1843,$CC$7:$CC$1843,CC1207,$BD$7:$BD$1843,BD1207,$BT$7:$BT$1843,"&lt;="&amp;BT1207),"")</f>
        <v>11383.3946886447</v>
      </c>
      <c r="BF1207" s="58" t="n">
        <f aca="false">IF(BE1207="",0,MAX(0,MIN(1,(IF(CC1207="L1",Parameter!$H$5,IF(CC1207="L23",Parameter!$H$6+Parameter!$H$7,Parameter!$H$5+Parameter!$H$6+Parameter!$H$7))-(BE1207-BA1207))/BA1207)))</f>
        <v>1</v>
      </c>
      <c r="BG1207" s="48" t="str">
        <f aca="false">IF(AI1207&lt;=0,"",IF(CC1207="Aussen","Aussenlager",IF(CC1207="-","Nicht im Lift",IF(AN1207&gt;=1,"Lift",IF(AN1207&lt;=0,"Aussenlager","teilweise")))))</f>
        <v>Lift</v>
      </c>
      <c r="BH1207" s="48" t="str">
        <f aca="false">IF(AR1207&lt;=0,"",IF(CC1207="Aussen","Aussenlager",IF(CC1207="-","Nicht im Lift",IF(AW1207&gt;=1,"Lift",IF(AW1207&lt;=0,"Aussenlager","teilweise")))))</f>
        <v>Lift</v>
      </c>
      <c r="BI1207" s="48" t="str">
        <f aca="false">IF(BA1207&lt;=0,"",IF(CC1207="Aussen","Aussenlager",IF(CC1207="-","Nicht im Lift",IF(BF1207&gt;=1,"Lift",IF(BF1207&lt;=0,"Aussenlager","teilweise")))))</f>
        <v>Lift</v>
      </c>
      <c r="BJ1207" s="48" t="str">
        <f aca="false">IF(A1207="","",IF(BS1207=1,"Neu; ","")&amp;IF(AND(BS1207=0,BN1207&lt;0),"negativer Bestand (Export "&amp;BN1207&amp;"); ","")&amp;IF(J1207&lt;=0,"Kein Verbrauch; ","")&amp;IF(CL1207&gt;0,"Lift "&amp;W1207&amp;" lt. Liftbericht (Fach "&amp;X1207&amp;" Stk); ",IF(BX1207=1,"Gebinde geschätzt ("&amp;T1207&amp;"); ",IF(BW1207=1,"Lose – Tablare geschätzt; ","")))&amp;IF(H1207&gt;AT1207,"Überbestand "&amp;ROUND(H1207-AT1207,0)&amp;" Stk / CHF "&amp;ROUND((H1207-AT1207)*G1207,0)&amp;"; ","")&amp;IF(AND(CE1207=1,CF1207&lt;CG1207),"MAX &lt; MB+LG; ","")&amp;IF(AND(CK1207&gt;0,CJ1207*10&gt;CK1207),"zu hoch für Tablar; ","")&amp;IF(AND(BS1207=0,OR(CE1207=1,AA1207&lt;&gt;"",U1207&lt;&gt;"",V1207&lt;&gt;"",AB1207&lt;&gt;"")),"manuell übersteuert; ","")&amp;IF(AND(BW1207=0,R1207=0),"Gebinde unbekannt / Stellmass fehlt; ","")&amp;IF(AND(BW1207=0,N(V1207)&lt;=0,N(Q1207)&lt;=0),"Menge pro Gebinde fehlt (Ist = 1 Gebinde); ","")&amp;BR1207)</f>
        <v>negativer Bestand (Export -5); </v>
      </c>
      <c r="BK1207" s="48"/>
      <c r="BL1207" s="48"/>
      <c r="BM1207" s="55"/>
      <c r="BN1207" s="50" t="n">
        <v>-5</v>
      </c>
      <c r="BO1207" s="50" t="n">
        <v>23</v>
      </c>
      <c r="BP1207" s="49" t="n">
        <v>-516.4</v>
      </c>
      <c r="BQ1207" s="50" t="n">
        <v>2</v>
      </c>
      <c r="BR1207" s="48"/>
      <c r="BS1207" s="53" t="n">
        <v>0</v>
      </c>
      <c r="BT1207" s="53" t="n">
        <v>1207</v>
      </c>
      <c r="BU1207" s="48" t="str">
        <f aca="false">IF(U1207&lt;&gt;"",UPPER(TRIM(U1207)),IF(BX1207=1,UPPER(VLOOKUP(T1207,Parameter!$I$27:$K$29,2,0)),IF(P1207="","LOSE",P1207)))</f>
        <v>S41</v>
      </c>
      <c r="BV1207" s="50" t="n">
        <f aca="false">IF(BU1207="LOSE",1,IF(N(V1207)&gt;0,V1207,IF(BX1207=1,MAX(1,N(VLOOKUP(T1207,Parameter!$I$27:$K$29,3,0)),H1207,N(N1207)),IF(N(Q1207)&gt;0,Q1207,MAX(1,H1207)))))</f>
        <v>30</v>
      </c>
      <c r="BW1207" s="53" t="n">
        <f aca="false">IF(BU1207="LOSE",1,0)</f>
        <v>0</v>
      </c>
      <c r="BX1207" s="53" t="n">
        <f aca="false">IF(AND(U1207="",OR(P1207="",P1207="LOSE"),T1207&lt;&gt;"",N(S1207)&lt;=0,ISNUMBER(MATCH(T1207,Parameter!$I$27:$I$29,0))),1,0)</f>
        <v>0</v>
      </c>
      <c r="BY1207" s="53" t="n">
        <f aca="false">IF(CL1207&gt;0,INDEX(Parameter!$H$5:$H$7,W1207)/INDEX(Parameter!$E$5:$E$7,W1207),IF(AND(BW1207=0,N(IFERROR(VLOOKUP(BU1207,'Gebinde-Kategorie'!$A$5:$N$45,14,0),0))&gt;0),VLOOKUP(BU1207,'Gebinde-Kategorie'!$A$5:$N$45,14,0)*10+Parameter!$M$23,Parameter!$M$24))</f>
        <v>155</v>
      </c>
      <c r="BZ1207" s="48" t="str">
        <f aca="false">IF(AND(Parameter!$B$19="Ja",E1207&lt;&gt;"",ISNUMBER(MATCH(E1207,Parameter!$I$35:$I$52,0))),VLOOKUP(E1207,Parameter!$I$35:$J$52,2,0),IFERROR(VLOOKUP(D1207,Parameter!$A$35:$C$64,2,0),"Nein"))</f>
        <v>2+3</v>
      </c>
      <c r="CA1207" s="52" t="n">
        <f aca="false">IF(BW1207=0,0,IF(N(S1207)&gt;0,S1207,IFERROR(VLOOKUP(D1207,Parameter!$A$35:$C$64,3,0)+0,0)))</f>
        <v>0</v>
      </c>
      <c r="CB1207" s="48" t="n">
        <f aca="false">IF(AA1207&lt;&gt;"",AA1207,Z1207)</f>
        <v>3</v>
      </c>
      <c r="CC1207" s="48" t="str">
        <f aca="false">IF(OR(CB1207=1,CB1207=2,CB1207=3),IF(Parameter!$E$27="Ja","LIFT",IF(CB1207=1,"L1","L23")),IF(CB1207="Aussen","Aussen","-"))</f>
        <v>LIFT</v>
      </c>
      <c r="CD1207" s="59" t="n">
        <f aca="false">IF(N(AB1207)&gt;0,AB1207,0)</f>
        <v>0</v>
      </c>
      <c r="CE1207" s="53" t="n">
        <f aca="false">IF(ISNUMBER(AE1207),1,0)</f>
        <v>0</v>
      </c>
      <c r="CF1207" s="50" t="n">
        <f aca="false">N(AE1207)</f>
        <v>0</v>
      </c>
      <c r="CG1207" s="50" t="n">
        <f aca="false">N(M1207)+N(N1207)</f>
        <v>1</v>
      </c>
      <c r="CH1207" s="50" t="n">
        <f aca="false">ROUNDUP(H1207/BV1207,0)</f>
        <v>1</v>
      </c>
      <c r="CI1207" s="50" t="n">
        <f aca="false">ROUNDUP(CF1207/BV1207,0)</f>
        <v>0</v>
      </c>
      <c r="CJ1207" s="53" t="n">
        <f aca="false">IF(BW1207=1,0,IFERROR(VLOOKUP(BU1207,'Gebinde-Kategorie'!$A$5:$N$45,5,0)+0,0))</f>
        <v>11</v>
      </c>
      <c r="CK1207" s="53" t="n">
        <f aca="false">IFERROR(IF(OR(CB1207=1,CB1207=2,CB1207=3),N(INDEX(Parameter!$I$5:$I$7,CB1207)),0),0)</f>
        <v>0</v>
      </c>
      <c r="CL1207" s="52" t="n">
        <f aca="false">IF(AND(Parameter!$B$21="Ja",ISNUMBER(W1207),N(X1207)&gt;0),IFERROR(N(INDEX(Parameter!$L$5:$L$7,W1207))*INDEX(Parameter!$E$5:$E$7,W1207)*X1207/SUMIFS($X$7:$X$1843,$W$7:$W$1843,W1207),0),0)</f>
        <v>0</v>
      </c>
    </row>
    <row r="1208" customFormat="false" ht="15" hidden="false" customHeight="false" outlineLevel="0" collapsed="false">
      <c r="A1208" s="48" t="s">
        <v>2174</v>
      </c>
      <c r="B1208" s="48" t="s">
        <v>301</v>
      </c>
      <c r="C1208" s="48" t="s">
        <v>168</v>
      </c>
      <c r="D1208" s="48" t="s">
        <v>169</v>
      </c>
      <c r="E1208" s="48" t="s">
        <v>170</v>
      </c>
      <c r="F1208" s="48" t="s">
        <v>222</v>
      </c>
      <c r="G1208" s="49" t="n">
        <v>257.76</v>
      </c>
      <c r="H1208" s="50" t="n">
        <f aca="false">MAX(0,IF(AND(Parameter!$B$21="Ja",ISNUMBER(Y1208)),Y1208,IF(Parameter!$B$20="Jahresanfang 2025 + Export",BO1208+BN1208,BN1208)))</f>
        <v>16</v>
      </c>
      <c r="I1208" s="50" t="n">
        <f aca="false">H1208*G1208</f>
        <v>4124.16</v>
      </c>
      <c r="J1208" s="50" t="n">
        <f aca="false">BQ1208*Parameter!$B$18</f>
        <v>16</v>
      </c>
      <c r="K1208" s="51" t="n">
        <v>25.5</v>
      </c>
      <c r="L1208" s="52" t="n">
        <v>0.627450980392157</v>
      </c>
      <c r="M1208" s="50" t="n">
        <v>3</v>
      </c>
      <c r="N1208" s="50" t="n">
        <v>10</v>
      </c>
      <c r="O1208" s="53" t="n">
        <v>70</v>
      </c>
      <c r="P1208" s="48" t="s">
        <v>172</v>
      </c>
      <c r="Q1208" s="50"/>
      <c r="R1208" s="53" t="n">
        <f aca="false">IF(BW1208=1,0,IFERROR(VLOOKUP(BU1208,'Gebinde-Kategorie'!$A$5:$N$45,13,0)+0,0))</f>
        <v>0</v>
      </c>
      <c r="S1208" s="54"/>
      <c r="T1208" s="55"/>
      <c r="U1208" s="55"/>
      <c r="V1208" s="55"/>
      <c r="W1208" s="48" t="n">
        <v>1</v>
      </c>
      <c r="X1208" s="50" t="n">
        <v>35</v>
      </c>
      <c r="Y1208" s="50" t="n">
        <v>16</v>
      </c>
      <c r="Z1208" s="48" t="n">
        <f aca="false">IF(A1208="","",IF(AND(Parameter!$B$21="Ja",ISNUMBER(W1208)),W1208,IF(BZ1208="2+3",IF(ISNUMBER(SEARCH("grosser Artikel",BR1208)),2,IFERROR(VLOOKUP(BU1208,Parameter!$F$35:$G$64,2,0),2)),IF(OR(BZ1208="Nein",BZ1208=""),"-",BZ1208))))</f>
        <v>1</v>
      </c>
      <c r="AA1208" s="55"/>
      <c r="AB1208" s="56"/>
      <c r="AC1208" s="50" t="n">
        <f aca="false">AT1208</f>
        <v>13</v>
      </c>
      <c r="AD1208" s="50" t="n">
        <f aca="false">MAX(AT1208,H1208)</f>
        <v>16</v>
      </c>
      <c r="AE1208" s="57"/>
      <c r="AF1208" s="50" t="n">
        <f aca="false">IF(LEFT(Cockpit!$C$5,1)="A",H1208,IF(CE1208=1,CF1208,IF(LEFT(Cockpit!$C$5,1)="B",AK1208,MAX(AK1208,H1208))))</f>
        <v>16</v>
      </c>
      <c r="AG1208" s="50" t="n">
        <f aca="false">IF(BW1208=1,0,ROUNDUP(AF1208/BV1208,0))</f>
        <v>0</v>
      </c>
      <c r="AH1208" s="52" t="n">
        <f aca="false">IF(CL1208&gt;0,CL1208*MAX(1,AF1208/X1208),IF(BW1208=1,IF(AF1208&lt;=0,0,CA1208*MAX(1,IF(H1208&gt;0,AF1208/H1208,1))),IF(R1208&gt;0,AG1208/R1208,0))/MAX(0.1,N(Parameter!$M$21)))</f>
        <v>2.80131826741996</v>
      </c>
      <c r="AI1208" s="50" t="n">
        <f aca="false">AH1208*BY1208</f>
        <v>666.713747645951</v>
      </c>
      <c r="AJ1208" s="50" t="n">
        <f aca="false">AF1208*G1208</f>
        <v>4124.16</v>
      </c>
      <c r="AK1208" s="50" t="n">
        <f aca="false">ROUNDUP(MAX(J1208/IF(CD1208&gt;0,CD1208,MAX(0.1,N(Cockpit!$C$6))),CG1208)/BV1208,0)*BV1208</f>
        <v>13</v>
      </c>
      <c r="AL1208" s="51" t="n">
        <f aca="false">IF(AI1208&gt;0,J1208/AI1208,-1)</f>
        <v>0.0239983052044347</v>
      </c>
      <c r="AM1208" s="51" t="n">
        <f aca="false">IF(AND(OR(CC1208="L1",CC1208="L23",CC1208="LIFT"),AI1208&gt;0),SUMIFS($AI$7:$AI$1843,$CC$7:$CC$1843,CC1208,$AL$7:$AL$1843,"&gt;"&amp;AL1208)+SUMIFS($AI$7:$AI$1843,$CC$7:$CC$1843,CC1208,$AL$7:$AL$1843,AL1208,$BT$7:$BT$1843,"&lt;="&amp;BT1208),"")</f>
        <v>22711.3241525424</v>
      </c>
      <c r="AN1208" s="58" t="n">
        <f aca="false">IF(AM1208="",0,MAX(0,MIN(1,(IF(CC1208="L1",Parameter!$H$5,IF(CC1208="L23",Parameter!$H$6+Parameter!$H$7,Parameter!$H$5+Parameter!$H$6+Parameter!$H$7))-(AM1208-AI1208))/AI1208)))</f>
        <v>1</v>
      </c>
      <c r="AO1208" s="50" t="n">
        <f aca="false">IF(LEFT(Cockpit!$I$5,1)="A",H1208,IF(CE1208=1,CF1208,IF(LEFT(Cockpit!$I$5,1)="B",AT1208,MAX(AT1208,H1208))))</f>
        <v>16</v>
      </c>
      <c r="AP1208" s="50" t="n">
        <f aca="false">IF(BW1208=1,0,ROUNDUP(AO1208/BV1208,0))</f>
        <v>0</v>
      </c>
      <c r="AQ1208" s="52" t="n">
        <f aca="false">IF(CL1208&gt;0,CL1208*MAX(1,AO1208/X1208),IF(BW1208=1,IF(AO1208&lt;=0,0,CA1208*MAX(1,IF(H1208&gt;0,AO1208/H1208,1))),IF(R1208&gt;0,AP1208/R1208,0))/MAX(0.1,N(Parameter!$M$21)))</f>
        <v>2.80131826741996</v>
      </c>
      <c r="AR1208" s="50" t="n">
        <f aca="false">AQ1208*BY1208</f>
        <v>666.713747645951</v>
      </c>
      <c r="AS1208" s="50" t="n">
        <f aca="false">AO1208*G1208</f>
        <v>4124.16</v>
      </c>
      <c r="AT1208" s="50" t="n">
        <f aca="false">ROUNDUP(MAX(J1208/IF(CD1208&gt;0,CD1208,MAX(0.1,N(Cockpit!$I$6))),CG1208)/BV1208,0)*BV1208</f>
        <v>13</v>
      </c>
      <c r="AU1208" s="51" t="n">
        <f aca="false">IF(AR1208&gt;0,J1208/AR1208,-1)</f>
        <v>0.0239983052044347</v>
      </c>
      <c r="AV1208" s="51" t="n">
        <f aca="false">IF(AND(OR(CC1208="L1",CC1208="L23",CC1208="LIFT"),AR1208&gt;0),SUMIFS($AR$7:$AR$1843,$CC$7:$CC$1843,CC1208,$AU$7:$AU$1843,"&gt;"&amp;AU1208)+SUMIFS($AR$7:$AR$1843,$CC$7:$CC$1843,CC1208,$AU$7:$AU$1843,AU1208,$BT$7:$BT$1843,"&lt;="&amp;BT1208),"")</f>
        <v>33644.0484080421</v>
      </c>
      <c r="AW1208" s="58" t="n">
        <f aca="false">IF(AV1208="",0,MAX(0,MIN(1,(IF(CC1208="L1",Parameter!$H$5,IF(CC1208="L23",Parameter!$H$6+Parameter!$H$7,Parameter!$H$5+Parameter!$H$6+Parameter!$H$7))-(AV1208-AR1208))/AR1208)))</f>
        <v>1</v>
      </c>
      <c r="AX1208" s="50" t="n">
        <f aca="false">IF(LEFT(Cockpit!$O$5,1)="A",H1208,IF(CE1208=1,CF1208,IF(LEFT(Cockpit!$O$5,1)="B",BC1208,MAX(BC1208,H1208))))</f>
        <v>16</v>
      </c>
      <c r="AY1208" s="50" t="n">
        <f aca="false">IF(BW1208=1,0,ROUNDUP(AX1208/BV1208,0))</f>
        <v>0</v>
      </c>
      <c r="AZ1208" s="52" t="n">
        <f aca="false">IF(CL1208&gt;0,CL1208*MAX(1,AX1208/X1208),IF(BW1208=1,IF(AX1208&lt;=0,0,CA1208*MAX(1,IF(H1208&gt;0,AX1208/H1208,1))),IF(R1208&gt;0,AY1208/R1208,0))/MAX(0.1,N(Parameter!$M$21)))</f>
        <v>2.80131826741996</v>
      </c>
      <c r="BA1208" s="50" t="n">
        <f aca="false">AZ1208*BY1208</f>
        <v>666.713747645951</v>
      </c>
      <c r="BB1208" s="50" t="n">
        <f aca="false">AX1208*G1208</f>
        <v>4124.16</v>
      </c>
      <c r="BC1208" s="50" t="n">
        <f aca="false">ROUNDUP(MAX(J1208/IF(CD1208&gt;0,CD1208,MAX(0.1,N(Cockpit!$O$6))),CG1208)/BV1208,0)*BV1208</f>
        <v>13</v>
      </c>
      <c r="BD1208" s="51" t="n">
        <f aca="false">IF(BA1208&gt;0,J1208/BA1208,-1)</f>
        <v>0.0239983052044347</v>
      </c>
      <c r="BE1208" s="51" t="n">
        <f aca="false">IF(AND(OR(CC1208="L1",CC1208="L23",CC1208="LIFT"),BA1208&gt;0),SUMIFS($BA$7:$BA$1843,$CC$7:$CC$1843,CC1208,$BD$7:$BD$1843,"&gt;"&amp;BD1208)+SUMIFS($BA$7:$BA$1843,$CC$7:$CC$1843,CC1208,$BD$7:$BD$1843,BD1208,$BT$7:$BT$1843,"&lt;="&amp;BT1208),"")</f>
        <v>30319.0604499079</v>
      </c>
      <c r="BF1208" s="58" t="n">
        <f aca="false">IF(BE1208="",0,MAX(0,MIN(1,(IF(CC1208="L1",Parameter!$H$5,IF(CC1208="L23",Parameter!$H$6+Parameter!$H$7,Parameter!$H$5+Parameter!$H$6+Parameter!$H$7))-(BE1208-BA1208))/BA1208)))</f>
        <v>1</v>
      </c>
      <c r="BG1208" s="48" t="str">
        <f aca="false">IF(AI1208&lt;=0,"",IF(CC1208="Aussen","Aussenlager",IF(CC1208="-","Nicht im Lift",IF(AN1208&gt;=1,"Lift",IF(AN1208&lt;=0,"Aussenlager","teilweise")))))</f>
        <v>Lift</v>
      </c>
      <c r="BH1208" s="48" t="str">
        <f aca="false">IF(AR1208&lt;=0,"",IF(CC1208="Aussen","Aussenlager",IF(CC1208="-","Nicht im Lift",IF(AW1208&gt;=1,"Lift",IF(AW1208&lt;=0,"Aussenlager","teilweise")))))</f>
        <v>Lift</v>
      </c>
      <c r="BI1208" s="48" t="str">
        <f aca="false">IF(BA1208&lt;=0,"",IF(CC1208="Aussen","Aussenlager",IF(CC1208="-","Nicht im Lift",IF(BF1208&gt;=1,"Lift",IF(BF1208&lt;=0,"Aussenlager","teilweise")))))</f>
        <v>Lift</v>
      </c>
      <c r="BJ1208" s="48" t="str">
        <f aca="false">IF(A1208="","",IF(BS1208=1,"Neu; ","")&amp;IF(AND(BS1208=0,BN1208&lt;0),"negativer Bestand (Export "&amp;BN1208&amp;"); ","")&amp;IF(J1208&lt;=0,"Kein Verbrauch; ","")&amp;IF(CL1208&gt;0,"Lift "&amp;W1208&amp;" lt. Liftbericht (Fach "&amp;X1208&amp;" Stk); ",IF(BX1208=1,"Gebinde geschätzt ("&amp;T1208&amp;"); ",IF(BW1208=1,"Lose – Tablare geschätzt; ","")))&amp;IF(H1208&gt;AT1208,"Überbestand "&amp;ROUND(H1208-AT1208,0)&amp;" Stk / CHF "&amp;ROUND((H1208-AT1208)*G1208,0)&amp;"; ","")&amp;IF(AND(CE1208=1,CF1208&lt;CG1208),"MAX &lt; MB+LG; ","")&amp;IF(AND(CK1208&gt;0,CJ1208*10&gt;CK1208),"zu hoch für Tablar; ","")&amp;IF(AND(BS1208=0,OR(CE1208=1,AA1208&lt;&gt;"",U1208&lt;&gt;"",V1208&lt;&gt;"",AB1208&lt;&gt;"")),"manuell übersteuert; ","")&amp;IF(AND(BW1208=0,R1208=0),"Gebinde unbekannt / Stellmass fehlt; ","")&amp;IF(AND(BW1208=0,N(V1208)&lt;=0,N(Q1208)&lt;=0),"Menge pro Gebinde fehlt (Ist = 1 Gebinde); ","")&amp;BR1208)</f>
        <v>negativer Bestand (Export -3); Lift 1 lt. Liftbericht (Fach 35 Stk); Überbestand 3 Stk / CHF 773; </v>
      </c>
      <c r="BK1208" s="48"/>
      <c r="BL1208" s="48"/>
      <c r="BM1208" s="55"/>
      <c r="BN1208" s="50" t="n">
        <v>-3</v>
      </c>
      <c r="BO1208" s="50" t="n">
        <v>21</v>
      </c>
      <c r="BP1208" s="49" t="n">
        <v>-516.87</v>
      </c>
      <c r="BQ1208" s="50" t="n">
        <v>16</v>
      </c>
      <c r="BR1208" s="48"/>
      <c r="BS1208" s="53" t="n">
        <v>0</v>
      </c>
      <c r="BT1208" s="53" t="n">
        <v>1208</v>
      </c>
      <c r="BU1208" s="48" t="str">
        <f aca="false">IF(U1208&lt;&gt;"",UPPER(TRIM(U1208)),IF(BX1208=1,UPPER(VLOOKUP(T1208,Parameter!$I$27:$K$29,2,0)),IF(P1208="","LOSE",P1208)))</f>
        <v>LOSE</v>
      </c>
      <c r="BV1208" s="50" t="n">
        <f aca="false">IF(BU1208="LOSE",1,IF(N(V1208)&gt;0,V1208,IF(BX1208=1,MAX(1,N(VLOOKUP(T1208,Parameter!$I$27:$K$29,3,0)),H1208,N(N1208)),IF(N(Q1208)&gt;0,Q1208,MAX(1,H1208)))))</f>
        <v>1</v>
      </c>
      <c r="BW1208" s="53" t="n">
        <f aca="false">IF(BU1208="LOSE",1,0)</f>
        <v>1</v>
      </c>
      <c r="BX1208" s="53" t="n">
        <f aca="false">IF(AND(U1208="",OR(P1208="",P1208="LOSE"),T1208&lt;&gt;"",N(S1208)&lt;=0,ISNUMBER(MATCH(T1208,Parameter!$I$27:$I$29,0))),1,0)</f>
        <v>0</v>
      </c>
      <c r="BY1208" s="53" t="n">
        <f aca="false">IF(CL1208&gt;0,INDEX(Parameter!$H$5:$H$7,W1208)/INDEX(Parameter!$E$5:$E$7,W1208),IF(AND(BW1208=0,N(IFERROR(VLOOKUP(BU1208,'Gebinde-Kategorie'!$A$5:$N$45,14,0),0))&gt;0),VLOOKUP(BU1208,'Gebinde-Kategorie'!$A$5:$N$45,14,0)*10+Parameter!$M$23,Parameter!$M$24))</f>
        <v>238</v>
      </c>
      <c r="BZ1208" s="48" t="n">
        <f aca="false">IF(AND(Parameter!$B$19="Ja",E1208&lt;&gt;"",ISNUMBER(MATCH(E1208,Parameter!$I$35:$I$52,0))),VLOOKUP(E1208,Parameter!$I$35:$J$52,2,0),IFERROR(VLOOKUP(D1208,Parameter!$A$35:$C$64,2,0),"Nein"))</f>
        <v>1</v>
      </c>
      <c r="CA1208" s="52" t="n">
        <f aca="false">IF(BW1208=0,0,IF(N(S1208)&gt;0,S1208,IFERROR(VLOOKUP(D1208,Parameter!$A$35:$C$64,3,0)+0,0)))</f>
        <v>1</v>
      </c>
      <c r="CB1208" s="48" t="n">
        <f aca="false">IF(AA1208&lt;&gt;"",AA1208,Z1208)</f>
        <v>1</v>
      </c>
      <c r="CC1208" s="48" t="str">
        <f aca="false">IF(OR(CB1208=1,CB1208=2,CB1208=3),IF(Parameter!$E$27="Ja","LIFT",IF(CB1208=1,"L1","L23")),IF(CB1208="Aussen","Aussen","-"))</f>
        <v>LIFT</v>
      </c>
      <c r="CD1208" s="59" t="n">
        <f aca="false">IF(N(AB1208)&gt;0,AB1208,0)</f>
        <v>0</v>
      </c>
      <c r="CE1208" s="53" t="n">
        <f aca="false">IF(ISNUMBER(AE1208),1,0)</f>
        <v>0</v>
      </c>
      <c r="CF1208" s="50" t="n">
        <f aca="false">N(AE1208)</f>
        <v>0</v>
      </c>
      <c r="CG1208" s="50" t="n">
        <f aca="false">N(M1208)+N(N1208)</f>
        <v>13</v>
      </c>
      <c r="CH1208" s="50" t="n">
        <f aca="false">ROUNDUP(H1208/BV1208,0)</f>
        <v>16</v>
      </c>
      <c r="CI1208" s="50" t="n">
        <f aca="false">ROUNDUP(CF1208/BV1208,0)</f>
        <v>0</v>
      </c>
      <c r="CJ1208" s="53" t="n">
        <f aca="false">IF(BW1208=1,0,IFERROR(VLOOKUP(BU1208,'Gebinde-Kategorie'!$A$5:$N$45,5,0)+0,0))</f>
        <v>0</v>
      </c>
      <c r="CK1208" s="53" t="n">
        <f aca="false">IFERROR(IF(OR(CB1208=1,CB1208=2,CB1208=3),N(INDEX(Parameter!$I$5:$I$7,CB1208)),0),0)</f>
        <v>0</v>
      </c>
      <c r="CL1208" s="52" t="n">
        <f aca="false">IF(AND(Parameter!$B$21="Ja",ISNUMBER(W1208),N(X1208)&gt;0),IFERROR(N(INDEX(Parameter!$L$5:$L$7,W1208))*INDEX(Parameter!$E$5:$E$7,W1208)*X1208/SUMIFS($X$7:$X$1843,$W$7:$W$1843,W1208),0),0)</f>
        <v>2.80131826741996</v>
      </c>
    </row>
    <row r="1209" customFormat="false" ht="15" hidden="false" customHeight="false" outlineLevel="0" collapsed="false">
      <c r="A1209" s="48" t="s">
        <v>2175</v>
      </c>
      <c r="B1209" s="48" t="s">
        <v>2176</v>
      </c>
      <c r="C1209" s="48" t="s">
        <v>168</v>
      </c>
      <c r="D1209" s="48" t="s">
        <v>188</v>
      </c>
      <c r="E1209" s="48"/>
      <c r="F1209" s="48" t="s">
        <v>222</v>
      </c>
      <c r="G1209" s="49" t="n">
        <v>519.59</v>
      </c>
      <c r="H1209" s="50" t="n">
        <f aca="false">MAX(0,IF(AND(Parameter!$B$21="Ja",ISNUMBER(Y1209)),Y1209,IF(Parameter!$B$20="Jahresanfang 2025 + Export",BO1209+BN1209,BN1209)))</f>
        <v>7</v>
      </c>
      <c r="I1209" s="50" t="n">
        <f aca="false">H1209*G1209</f>
        <v>3637.13</v>
      </c>
      <c r="J1209" s="50" t="n">
        <f aca="false">BQ1209*Parameter!$B$18</f>
        <v>0</v>
      </c>
      <c r="K1209" s="51" t="n">
        <v>7.5</v>
      </c>
      <c r="L1209" s="52" t="n">
        <v>0</v>
      </c>
      <c r="M1209" s="50" t="n">
        <v>0</v>
      </c>
      <c r="N1209" s="50" t="n">
        <v>1</v>
      </c>
      <c r="O1209" s="53" t="n">
        <v>70</v>
      </c>
      <c r="P1209" s="48" t="s">
        <v>332</v>
      </c>
      <c r="Q1209" s="50" t="n">
        <v>10</v>
      </c>
      <c r="R1209" s="53" t="n">
        <f aca="false">IF(BW1209=1,0,IFERROR(VLOOKUP(BU1209,'Gebinde-Kategorie'!$A$5:$N$45,13,0)+0,0))</f>
        <v>52</v>
      </c>
      <c r="S1209" s="54"/>
      <c r="T1209" s="55"/>
      <c r="U1209" s="55"/>
      <c r="V1209" s="55"/>
      <c r="W1209" s="48"/>
      <c r="X1209" s="50"/>
      <c r="Y1209" s="50"/>
      <c r="Z1209" s="48" t="n">
        <f aca="false">IF(A1209="","",IF(AND(Parameter!$B$21="Ja",ISNUMBER(W1209)),W1209,IF(BZ1209="2+3",IF(ISNUMBER(SEARCH("grosser Artikel",BR1209)),2,IFERROR(VLOOKUP(BU1209,Parameter!$F$35:$G$64,2,0),2)),IF(OR(BZ1209="Nein",BZ1209=""),"-",BZ1209))))</f>
        <v>3</v>
      </c>
      <c r="AA1209" s="55"/>
      <c r="AB1209" s="56"/>
      <c r="AC1209" s="50" t="n">
        <f aca="false">AT1209</f>
        <v>10</v>
      </c>
      <c r="AD1209" s="50" t="n">
        <f aca="false">MAX(AT1209,H1209)</f>
        <v>10</v>
      </c>
      <c r="AE1209" s="57"/>
      <c r="AF1209" s="50" t="n">
        <f aca="false">IF(LEFT(Cockpit!$C$5,1)="A",H1209,IF(CE1209=1,CF1209,IF(LEFT(Cockpit!$C$5,1)="B",AK1209,MAX(AK1209,H1209))))</f>
        <v>7</v>
      </c>
      <c r="AG1209" s="50" t="n">
        <f aca="false">IF(BW1209=1,0,ROUNDUP(AF1209/BV1209,0))</f>
        <v>1</v>
      </c>
      <c r="AH1209" s="52" t="n">
        <f aca="false">IF(CL1209&gt;0,CL1209*MAX(1,AF1209/X1209),IF(BW1209=1,IF(AF1209&lt;=0,0,CA1209*MAX(1,IF(H1209&gt;0,AF1209/H1209,1))),IF(R1209&gt;0,AG1209/R1209,0))/MAX(0.1,N(Parameter!$M$21)))</f>
        <v>0.0192307692307692</v>
      </c>
      <c r="AI1209" s="50" t="n">
        <f aca="false">AH1209*BY1209</f>
        <v>2.98076923076923</v>
      </c>
      <c r="AJ1209" s="50" t="n">
        <f aca="false">AF1209*G1209</f>
        <v>3637.13</v>
      </c>
      <c r="AK1209" s="50" t="n">
        <f aca="false">ROUNDUP(MAX(J1209/IF(CD1209&gt;0,CD1209,MAX(0.1,N(Cockpit!$C$6))),CG1209)/BV1209,0)*BV1209</f>
        <v>10</v>
      </c>
      <c r="AL1209" s="51" t="n">
        <f aca="false">IF(AI1209&gt;0,J1209/AI1209,-1)</f>
        <v>0</v>
      </c>
      <c r="AM1209" s="51" t="n">
        <f aca="false">IF(AND(OR(CC1209="L1",CC1209="L23",CC1209="LIFT"),AI1209&gt;0),SUMIFS($AI$7:$AI$1843,$CC$7:$CC$1843,CC1209,$AL$7:$AL$1843,"&gt;"&amp;AL1209)+SUMIFS($AI$7:$AI$1843,$CC$7:$CC$1843,CC1209,$AL$7:$AL$1843,AL1209,$BT$7:$BT$1843,"&lt;="&amp;BT1209),"")</f>
        <v>29423.6476040438</v>
      </c>
      <c r="AN1209" s="58" t="n">
        <f aca="false">IF(AM1209="",0,MAX(0,MIN(1,(IF(CC1209="L1",Parameter!$H$5,IF(CC1209="L23",Parameter!$H$6+Parameter!$H$7,Parameter!$H$5+Parameter!$H$6+Parameter!$H$7))-(AM1209-AI1209))/AI1209)))</f>
        <v>1</v>
      </c>
      <c r="AO1209" s="50" t="n">
        <f aca="false">IF(LEFT(Cockpit!$I$5,1)="A",H1209,IF(CE1209=1,CF1209,IF(LEFT(Cockpit!$I$5,1)="B",AT1209,MAX(AT1209,H1209))))</f>
        <v>10</v>
      </c>
      <c r="AP1209" s="50" t="n">
        <f aca="false">IF(BW1209=1,0,ROUNDUP(AO1209/BV1209,0))</f>
        <v>1</v>
      </c>
      <c r="AQ1209" s="52" t="n">
        <f aca="false">IF(CL1209&gt;0,CL1209*MAX(1,AO1209/X1209),IF(BW1209=1,IF(AO1209&lt;=0,0,CA1209*MAX(1,IF(H1209&gt;0,AO1209/H1209,1))),IF(R1209&gt;0,AP1209/R1209,0))/MAX(0.1,N(Parameter!$M$21)))</f>
        <v>0.0192307692307692</v>
      </c>
      <c r="AR1209" s="50" t="n">
        <f aca="false">AQ1209*BY1209</f>
        <v>2.98076923076923</v>
      </c>
      <c r="AS1209" s="50" t="n">
        <f aca="false">AO1209*G1209</f>
        <v>5195.9</v>
      </c>
      <c r="AT1209" s="50" t="n">
        <f aca="false">ROUNDUP(MAX(J1209/IF(CD1209&gt;0,CD1209,MAX(0.1,N(Cockpit!$I$6))),CG1209)/BV1209,0)*BV1209</f>
        <v>10</v>
      </c>
      <c r="AU1209" s="51" t="n">
        <f aca="false">IF(AR1209&gt;0,J1209/AR1209,-1)</f>
        <v>0</v>
      </c>
      <c r="AV1209" s="51" t="n">
        <f aca="false">IF(AND(OR(CC1209="L1",CC1209="L23",CC1209="LIFT"),AR1209&gt;0),SUMIFS($AR$7:$AR$1843,$CC$7:$CC$1843,CC1209,$AU$7:$AU$1843,"&gt;"&amp;AU1209)+SUMIFS($AR$7:$AR$1843,$CC$7:$CC$1843,CC1209,$AU$7:$AU$1843,AU1209,$BT$7:$BT$1843,"&lt;="&amp;BT1209),"")</f>
        <v>41195.7532128888</v>
      </c>
      <c r="AW1209" s="58" t="n">
        <f aca="false">IF(AV1209="",0,MAX(0,MIN(1,(IF(CC1209="L1",Parameter!$H$5,IF(CC1209="L23",Parameter!$H$6+Parameter!$H$7,Parameter!$H$5+Parameter!$H$6+Parameter!$H$7))-(AV1209-AR1209))/AR1209)))</f>
        <v>0</v>
      </c>
      <c r="AX1209" s="50" t="n">
        <f aca="false">IF(LEFT(Cockpit!$O$5,1)="A",H1209,IF(CE1209=1,CF1209,IF(LEFT(Cockpit!$O$5,1)="B",BC1209,MAX(BC1209,H1209))))</f>
        <v>10</v>
      </c>
      <c r="AY1209" s="50" t="n">
        <f aca="false">IF(BW1209=1,0,ROUNDUP(AX1209/BV1209,0))</f>
        <v>1</v>
      </c>
      <c r="AZ1209" s="52" t="n">
        <f aca="false">IF(CL1209&gt;0,CL1209*MAX(1,AX1209/X1209),IF(BW1209=1,IF(AX1209&lt;=0,0,CA1209*MAX(1,IF(H1209&gt;0,AX1209/H1209,1))),IF(R1209&gt;0,AY1209/R1209,0))/MAX(0.1,N(Parameter!$M$21)))</f>
        <v>0.0192307692307692</v>
      </c>
      <c r="BA1209" s="50" t="n">
        <f aca="false">AZ1209*BY1209</f>
        <v>2.98076923076923</v>
      </c>
      <c r="BB1209" s="50" t="n">
        <f aca="false">AX1209*G1209</f>
        <v>5195.9</v>
      </c>
      <c r="BC1209" s="50" t="n">
        <f aca="false">ROUNDUP(MAX(J1209/IF(CD1209&gt;0,CD1209,MAX(0.1,N(Cockpit!$O$6))),CG1209)/BV1209,0)*BV1209</f>
        <v>10</v>
      </c>
      <c r="BD1209" s="51" t="n">
        <f aca="false">IF(BA1209&gt;0,J1209/BA1209,-1)</f>
        <v>0</v>
      </c>
      <c r="BE1209" s="51" t="n">
        <f aca="false">IF(AND(OR(CC1209="L1",CC1209="L23",CC1209="LIFT"),BA1209&gt;0),SUMIFS($BA$7:$BA$1843,$CC$7:$CC$1843,CC1209,$BD$7:$BD$1843,"&gt;"&amp;BD1209)+SUMIFS($BA$7:$BA$1843,$CC$7:$CC$1843,CC1209,$BD$7:$BD$1843,BD1209,$BT$7:$BT$1843,"&lt;="&amp;BT1209),"")</f>
        <v>37870.7652547547</v>
      </c>
      <c r="BF1209" s="58" t="n">
        <f aca="false">IF(BE1209="",0,MAX(0,MIN(1,(IF(CC1209="L1",Parameter!$H$5,IF(CC1209="L23",Parameter!$H$6+Parameter!$H$7,Parameter!$H$5+Parameter!$H$6+Parameter!$H$7))-(BE1209-BA1209))/BA1209)))</f>
        <v>0</v>
      </c>
      <c r="BG1209" s="48" t="str">
        <f aca="false">IF(AI1209&lt;=0,"",IF(CC1209="Aussen","Aussenlager",IF(CC1209="-","Nicht im Lift",IF(AN1209&gt;=1,"Lift",IF(AN1209&lt;=0,"Aussenlager","teilweise")))))</f>
        <v>Lift</v>
      </c>
      <c r="BH1209" s="48" t="str">
        <f aca="false">IF(AR1209&lt;=0,"",IF(CC1209="Aussen","Aussenlager",IF(CC1209="-","Nicht im Lift",IF(AW1209&gt;=1,"Lift",IF(AW1209&lt;=0,"Aussenlager","teilweise")))))</f>
        <v>Aussenlager</v>
      </c>
      <c r="BI1209" s="48" t="str">
        <f aca="false">IF(BA1209&lt;=0,"",IF(CC1209="Aussen","Aussenlager",IF(CC1209="-","Nicht im Lift",IF(BF1209&gt;=1,"Lift",IF(BF1209&lt;=0,"Aussenlager","teilweise")))))</f>
        <v>Aussenlager</v>
      </c>
      <c r="BJ1209" s="48" t="str">
        <f aca="false">IF(A1209="","",IF(BS1209=1,"Neu; ","")&amp;IF(AND(BS1209=0,BN1209&lt;0),"negativer Bestand (Export "&amp;BN1209&amp;"); ","")&amp;IF(J1209&lt;=0,"Kein Verbrauch; ","")&amp;IF(CL1209&gt;0,"Lift "&amp;W1209&amp;" lt. Liftbericht (Fach "&amp;X1209&amp;" Stk); ",IF(BX1209=1,"Gebinde geschätzt ("&amp;T1209&amp;"); ",IF(BW1209=1,"Lose – Tablare geschätzt; ","")))&amp;IF(H1209&gt;AT1209,"Überbestand "&amp;ROUND(H1209-AT1209,0)&amp;" Stk / CHF "&amp;ROUND((H1209-AT1209)*G1209,0)&amp;"; ","")&amp;IF(AND(CE1209=1,CF1209&lt;CG1209),"MAX &lt; MB+LG; ","")&amp;IF(AND(CK1209&gt;0,CJ1209*10&gt;CK1209),"zu hoch für Tablar; ","")&amp;IF(AND(BS1209=0,OR(CE1209=1,AA1209&lt;&gt;"",U1209&lt;&gt;"",V1209&lt;&gt;"",AB1209&lt;&gt;"")),"manuell übersteuert; ","")&amp;IF(AND(BW1209=0,R1209=0),"Gebinde unbekannt / Stellmass fehlt; ","")&amp;IF(AND(BW1209=0,N(V1209)&lt;=0,N(Q1209)&lt;=0),"Menge pro Gebinde fehlt (Ist = 1 Gebinde); ","")&amp;BR1209)</f>
        <v>negativer Bestand (Export -1); Kein Verbrauch; </v>
      </c>
      <c r="BK1209" s="48"/>
      <c r="BL1209" s="48"/>
      <c r="BM1209" s="55"/>
      <c r="BN1209" s="50" t="n">
        <v>-1</v>
      </c>
      <c r="BO1209" s="50" t="n">
        <v>8</v>
      </c>
      <c r="BP1209" s="49" t="n">
        <v>-519.59</v>
      </c>
      <c r="BQ1209" s="50" t="n">
        <v>0</v>
      </c>
      <c r="BR1209" s="48"/>
      <c r="BS1209" s="53" t="n">
        <v>0</v>
      </c>
      <c r="BT1209" s="53" t="n">
        <v>1209</v>
      </c>
      <c r="BU1209" s="48" t="str">
        <f aca="false">IF(U1209&lt;&gt;"",UPPER(TRIM(U1209)),IF(BX1209=1,UPPER(VLOOKUP(T1209,Parameter!$I$27:$K$29,2,0)),IF(P1209="","LOSE",P1209)))</f>
        <v>S41</v>
      </c>
      <c r="BV1209" s="50" t="n">
        <f aca="false">IF(BU1209="LOSE",1,IF(N(V1209)&gt;0,V1209,IF(BX1209=1,MAX(1,N(VLOOKUP(T1209,Parameter!$I$27:$K$29,3,0)),H1209,N(N1209)),IF(N(Q1209)&gt;0,Q1209,MAX(1,H1209)))))</f>
        <v>10</v>
      </c>
      <c r="BW1209" s="53" t="n">
        <f aca="false">IF(BU1209="LOSE",1,0)</f>
        <v>0</v>
      </c>
      <c r="BX1209" s="53" t="n">
        <f aca="false">IF(AND(U1209="",OR(P1209="",P1209="LOSE"),T1209&lt;&gt;"",N(S1209)&lt;=0,ISNUMBER(MATCH(T1209,Parameter!$I$27:$I$29,0))),1,0)</f>
        <v>0</v>
      </c>
      <c r="BY1209" s="53" t="n">
        <f aca="false">IF(CL1209&gt;0,INDEX(Parameter!$H$5:$H$7,W1209)/INDEX(Parameter!$E$5:$E$7,W1209),IF(AND(BW1209=0,N(IFERROR(VLOOKUP(BU1209,'Gebinde-Kategorie'!$A$5:$N$45,14,0),0))&gt;0),VLOOKUP(BU1209,'Gebinde-Kategorie'!$A$5:$N$45,14,0)*10+Parameter!$M$23,Parameter!$M$24))</f>
        <v>155</v>
      </c>
      <c r="BZ1209" s="48" t="str">
        <f aca="false">IF(AND(Parameter!$B$19="Ja",E1209&lt;&gt;"",ISNUMBER(MATCH(E1209,Parameter!$I$35:$I$52,0))),VLOOKUP(E1209,Parameter!$I$35:$J$52,2,0),IFERROR(VLOOKUP(D1209,Parameter!$A$35:$C$64,2,0),"Nein"))</f>
        <v>2+3</v>
      </c>
      <c r="CA1209" s="52" t="n">
        <f aca="false">IF(BW1209=0,0,IF(N(S1209)&gt;0,S1209,IFERROR(VLOOKUP(D1209,Parameter!$A$35:$C$64,3,0)+0,0)))</f>
        <v>0</v>
      </c>
      <c r="CB1209" s="48" t="n">
        <f aca="false">IF(AA1209&lt;&gt;"",AA1209,Z1209)</f>
        <v>3</v>
      </c>
      <c r="CC1209" s="48" t="str">
        <f aca="false">IF(OR(CB1209=1,CB1209=2,CB1209=3),IF(Parameter!$E$27="Ja","LIFT",IF(CB1209=1,"L1","L23")),IF(CB1209="Aussen","Aussen","-"))</f>
        <v>LIFT</v>
      </c>
      <c r="CD1209" s="59" t="n">
        <f aca="false">IF(N(AB1209)&gt;0,AB1209,0)</f>
        <v>0</v>
      </c>
      <c r="CE1209" s="53" t="n">
        <f aca="false">IF(ISNUMBER(AE1209),1,0)</f>
        <v>0</v>
      </c>
      <c r="CF1209" s="50" t="n">
        <f aca="false">N(AE1209)</f>
        <v>0</v>
      </c>
      <c r="CG1209" s="50" t="n">
        <f aca="false">N(M1209)+N(N1209)</f>
        <v>1</v>
      </c>
      <c r="CH1209" s="50" t="n">
        <f aca="false">ROUNDUP(H1209/BV1209,0)</f>
        <v>1</v>
      </c>
      <c r="CI1209" s="50" t="n">
        <f aca="false">ROUNDUP(CF1209/BV1209,0)</f>
        <v>0</v>
      </c>
      <c r="CJ1209" s="53" t="n">
        <f aca="false">IF(BW1209=1,0,IFERROR(VLOOKUP(BU1209,'Gebinde-Kategorie'!$A$5:$N$45,5,0)+0,0))</f>
        <v>11</v>
      </c>
      <c r="CK1209" s="53" t="n">
        <f aca="false">IFERROR(IF(OR(CB1209=1,CB1209=2,CB1209=3),N(INDEX(Parameter!$I$5:$I$7,CB1209)),0),0)</f>
        <v>0</v>
      </c>
      <c r="CL1209" s="52" t="n">
        <f aca="false">IF(AND(Parameter!$B$21="Ja",ISNUMBER(W1209),N(X1209)&gt;0),IFERROR(N(INDEX(Parameter!$L$5:$L$7,W1209))*INDEX(Parameter!$E$5:$E$7,W1209)*X1209/SUMIFS($X$7:$X$1843,$W$7:$W$1843,W1209),0),0)</f>
        <v>0</v>
      </c>
    </row>
    <row r="1210" customFormat="false" ht="15" hidden="false" customHeight="false" outlineLevel="0" collapsed="false">
      <c r="A1210" s="48" t="s">
        <v>2177</v>
      </c>
      <c r="B1210" s="48" t="s">
        <v>2004</v>
      </c>
      <c r="C1210" s="48" t="s">
        <v>168</v>
      </c>
      <c r="D1210" s="48" t="s">
        <v>177</v>
      </c>
      <c r="E1210" s="48"/>
      <c r="F1210" s="48" t="s">
        <v>222</v>
      </c>
      <c r="G1210" s="49" t="n">
        <v>206.49</v>
      </c>
      <c r="H1210" s="50" t="n">
        <f aca="false">MAX(0,IF(AND(Parameter!$B$21="Ja",ISNUMBER(Y1210)),Y1210,IF(Parameter!$B$20="Jahresanfang 2025 + Export",BO1210+BN1210,BN1210)))</f>
        <v>5</v>
      </c>
      <c r="I1210" s="50" t="n">
        <f aca="false">H1210*G1210</f>
        <v>1032.45</v>
      </c>
      <c r="J1210" s="50" t="n">
        <f aca="false">BQ1210*Parameter!$B$18</f>
        <v>18</v>
      </c>
      <c r="K1210" s="51" t="n">
        <v>14</v>
      </c>
      <c r="L1210" s="52" t="n">
        <v>1.28571428571429</v>
      </c>
      <c r="M1210" s="50" t="n">
        <v>2</v>
      </c>
      <c r="N1210" s="50" t="n">
        <v>15</v>
      </c>
      <c r="O1210" s="53" t="n">
        <v>28</v>
      </c>
      <c r="P1210" s="48" t="s">
        <v>178</v>
      </c>
      <c r="Q1210" s="50" t="n">
        <v>15</v>
      </c>
      <c r="R1210" s="53" t="n">
        <f aca="false">IF(BW1210=1,0,IFERROR(VLOOKUP(BU1210,'Gebinde-Kategorie'!$A$5:$N$45,13,0)+0,0))</f>
        <v>6</v>
      </c>
      <c r="S1210" s="54"/>
      <c r="T1210" s="55"/>
      <c r="U1210" s="55"/>
      <c r="V1210" s="55"/>
      <c r="W1210" s="48"/>
      <c r="X1210" s="50"/>
      <c r="Y1210" s="50"/>
      <c r="Z1210" s="48" t="n">
        <f aca="false">IF(A1210="","",IF(AND(Parameter!$B$21="Ja",ISNUMBER(W1210)),W1210,IF(BZ1210="2+3",IF(ISNUMBER(SEARCH("grosser Artikel",BR1210)),2,IFERROR(VLOOKUP(BU1210,Parameter!$F$35:$G$64,2,0),2)),IF(OR(BZ1210="Nein",BZ1210=""),"-",BZ1210))))</f>
        <v>2</v>
      </c>
      <c r="AA1210" s="55"/>
      <c r="AB1210" s="56"/>
      <c r="AC1210" s="50" t="n">
        <f aca="false">AT1210</f>
        <v>30</v>
      </c>
      <c r="AD1210" s="50" t="n">
        <f aca="false">MAX(AT1210,H1210)</f>
        <v>30</v>
      </c>
      <c r="AE1210" s="57"/>
      <c r="AF1210" s="50" t="n">
        <f aca="false">IF(LEFT(Cockpit!$C$5,1)="A",H1210,IF(CE1210=1,CF1210,IF(LEFT(Cockpit!$C$5,1)="B",AK1210,MAX(AK1210,H1210))))</f>
        <v>5</v>
      </c>
      <c r="AG1210" s="50" t="n">
        <f aca="false">IF(BW1210=1,0,ROUNDUP(AF1210/BV1210,0))</f>
        <v>1</v>
      </c>
      <c r="AH1210" s="52" t="n">
        <f aca="false">IF(CL1210&gt;0,CL1210*MAX(1,AF1210/X1210),IF(BW1210=1,IF(AF1210&lt;=0,0,CA1210*MAX(1,IF(H1210&gt;0,AF1210/H1210,1))),IF(R1210&gt;0,AG1210/R1210,0))/MAX(0.1,N(Parameter!$M$21)))</f>
        <v>0.166666666666667</v>
      </c>
      <c r="AI1210" s="50" t="n">
        <f aca="false">AH1210*BY1210</f>
        <v>39.1666666666667</v>
      </c>
      <c r="AJ1210" s="50" t="n">
        <f aca="false">AF1210*G1210</f>
        <v>1032.45</v>
      </c>
      <c r="AK1210" s="50" t="n">
        <f aca="false">ROUNDUP(MAX(J1210/IF(CD1210&gt;0,CD1210,MAX(0.1,N(Cockpit!$C$6))),CG1210)/BV1210,0)*BV1210</f>
        <v>30</v>
      </c>
      <c r="AL1210" s="51" t="n">
        <f aca="false">IF(AI1210&gt;0,J1210/AI1210,-1)</f>
        <v>0.459574468085106</v>
      </c>
      <c r="AM1210" s="51" t="n">
        <f aca="false">IF(AND(OR(CC1210="L1",CC1210="L23",CC1210="LIFT"),AI1210&gt;0),SUMIFS($AI$7:$AI$1843,$CC$7:$CC$1843,CC1210,$AL$7:$AL$1843,"&gt;"&amp;AL1210)+SUMIFS($AI$7:$AI$1843,$CC$7:$CC$1843,CC1210,$AL$7:$AL$1843,AL1210,$BT$7:$BT$1843,"&lt;="&amp;BT1210),"")</f>
        <v>9817.67716934666</v>
      </c>
      <c r="AN1210" s="58" t="n">
        <f aca="false">IF(AM1210="",0,MAX(0,MIN(1,(IF(CC1210="L1",Parameter!$H$5,IF(CC1210="L23",Parameter!$H$6+Parameter!$H$7,Parameter!$H$5+Parameter!$H$6+Parameter!$H$7))-(AM1210-AI1210))/AI1210)))</f>
        <v>1</v>
      </c>
      <c r="AO1210" s="50" t="n">
        <f aca="false">IF(LEFT(Cockpit!$I$5,1)="A",H1210,IF(CE1210=1,CF1210,IF(LEFT(Cockpit!$I$5,1)="B",AT1210,MAX(AT1210,H1210))))</f>
        <v>30</v>
      </c>
      <c r="AP1210" s="50" t="n">
        <f aca="false">IF(BW1210=1,0,ROUNDUP(AO1210/BV1210,0))</f>
        <v>2</v>
      </c>
      <c r="AQ1210" s="52" t="n">
        <f aca="false">IF(CL1210&gt;0,CL1210*MAX(1,AO1210/X1210),IF(BW1210=1,IF(AO1210&lt;=0,0,CA1210*MAX(1,IF(H1210&gt;0,AO1210/H1210,1))),IF(R1210&gt;0,AP1210/R1210,0))/MAX(0.1,N(Parameter!$M$21)))</f>
        <v>0.333333333333333</v>
      </c>
      <c r="AR1210" s="50" t="n">
        <f aca="false">AQ1210*BY1210</f>
        <v>78.3333333333333</v>
      </c>
      <c r="AS1210" s="50" t="n">
        <f aca="false">AO1210*G1210</f>
        <v>6194.7</v>
      </c>
      <c r="AT1210" s="50" t="n">
        <f aca="false">ROUNDUP(MAX(J1210/IF(CD1210&gt;0,CD1210,MAX(0.1,N(Cockpit!$I$6))),CG1210)/BV1210,0)*BV1210</f>
        <v>30</v>
      </c>
      <c r="AU1210" s="51" t="n">
        <f aca="false">IF(AR1210&gt;0,J1210/AR1210,-1)</f>
        <v>0.229787234042553</v>
      </c>
      <c r="AV1210" s="51" t="n">
        <f aca="false">IF(AND(OR(CC1210="L1",CC1210="L23",CC1210="LIFT"),AR1210&gt;0),SUMIFS($AR$7:$AR$1843,$CC$7:$CC$1843,CC1210,$AU$7:$AU$1843,"&gt;"&amp;AU1210)+SUMIFS($AR$7:$AR$1843,$CC$7:$CC$1843,CC1210,$AU$7:$AU$1843,AU1210,$BT$7:$BT$1843,"&lt;="&amp;BT1210),"")</f>
        <v>18113.7248168498</v>
      </c>
      <c r="AW1210" s="58" t="n">
        <f aca="false">IF(AV1210="",0,MAX(0,MIN(1,(IF(CC1210="L1",Parameter!$H$5,IF(CC1210="L23",Parameter!$H$6+Parameter!$H$7,Parameter!$H$5+Parameter!$H$6+Parameter!$H$7))-(AV1210-AR1210))/AR1210)))</f>
        <v>1</v>
      </c>
      <c r="AX1210" s="50" t="n">
        <f aca="false">IF(LEFT(Cockpit!$O$5,1)="A",H1210,IF(CE1210=1,CF1210,IF(LEFT(Cockpit!$O$5,1)="B",BC1210,MAX(BC1210,H1210))))</f>
        <v>30</v>
      </c>
      <c r="AY1210" s="50" t="n">
        <f aca="false">IF(BW1210=1,0,ROUNDUP(AX1210/BV1210,0))</f>
        <v>2</v>
      </c>
      <c r="AZ1210" s="52" t="n">
        <f aca="false">IF(CL1210&gt;0,CL1210*MAX(1,AX1210/X1210),IF(BW1210=1,IF(AX1210&lt;=0,0,CA1210*MAX(1,IF(H1210&gt;0,AX1210/H1210,1))),IF(R1210&gt;0,AY1210/R1210,0))/MAX(0.1,N(Parameter!$M$21)))</f>
        <v>0.333333333333333</v>
      </c>
      <c r="BA1210" s="50" t="n">
        <f aca="false">AZ1210*BY1210</f>
        <v>78.3333333333333</v>
      </c>
      <c r="BB1210" s="50" t="n">
        <f aca="false">AX1210*G1210</f>
        <v>6194.7</v>
      </c>
      <c r="BC1210" s="50" t="n">
        <f aca="false">ROUNDUP(MAX(J1210/IF(CD1210&gt;0,CD1210,MAX(0.1,N(Cockpit!$O$6))),CG1210)/BV1210,0)*BV1210</f>
        <v>30</v>
      </c>
      <c r="BD1210" s="51" t="n">
        <f aca="false">IF(BA1210&gt;0,J1210/BA1210,-1)</f>
        <v>0.229787234042553</v>
      </c>
      <c r="BE1210" s="51" t="n">
        <f aca="false">IF(AND(OR(CC1210="L1",CC1210="L23",CC1210="LIFT"),BA1210&gt;0),SUMIFS($BA$7:$BA$1843,$CC$7:$CC$1843,CC1210,$BD$7:$BD$1843,"&gt;"&amp;BD1210)+SUMIFS($BA$7:$BA$1843,$CC$7:$CC$1843,CC1210,$BD$7:$BD$1843,BD1210,$BT$7:$BT$1843,"&lt;="&amp;BT1210),"")</f>
        <v>16766.4652014652</v>
      </c>
      <c r="BF1210" s="58" t="n">
        <f aca="false">IF(BE1210="",0,MAX(0,MIN(1,(IF(CC1210="L1",Parameter!$H$5,IF(CC1210="L23",Parameter!$H$6+Parameter!$H$7,Parameter!$H$5+Parameter!$H$6+Parameter!$H$7))-(BE1210-BA1210))/BA1210)))</f>
        <v>1</v>
      </c>
      <c r="BG1210" s="48" t="str">
        <f aca="false">IF(AI1210&lt;=0,"",IF(CC1210="Aussen","Aussenlager",IF(CC1210="-","Nicht im Lift",IF(AN1210&gt;=1,"Lift",IF(AN1210&lt;=0,"Aussenlager","teilweise")))))</f>
        <v>Lift</v>
      </c>
      <c r="BH1210" s="48" t="str">
        <f aca="false">IF(AR1210&lt;=0,"",IF(CC1210="Aussen","Aussenlager",IF(CC1210="-","Nicht im Lift",IF(AW1210&gt;=1,"Lift",IF(AW1210&lt;=0,"Aussenlager","teilweise")))))</f>
        <v>Lift</v>
      </c>
      <c r="BI1210" s="48" t="str">
        <f aca="false">IF(BA1210&lt;=0,"",IF(CC1210="Aussen","Aussenlager",IF(CC1210="-","Nicht im Lift",IF(BF1210&gt;=1,"Lift",IF(BF1210&lt;=0,"Aussenlager","teilweise")))))</f>
        <v>Lift</v>
      </c>
      <c r="BJ1210" s="48" t="str">
        <f aca="false">IF(A1210="","",IF(BS1210=1,"Neu; ","")&amp;IF(AND(BS1210=0,BN1210&lt;0),"negativer Bestand (Export "&amp;BN1210&amp;"); ","")&amp;IF(J1210&lt;=0,"Kein Verbrauch; ","")&amp;IF(CL1210&gt;0,"Lift "&amp;W1210&amp;" lt. Liftbericht (Fach "&amp;X1210&amp;" Stk); ",IF(BX1210=1,"Gebinde geschätzt ("&amp;T1210&amp;"); ",IF(BW1210=1,"Lose – Tablare geschätzt; ","")))&amp;IF(H1210&gt;AT1210,"Überbestand "&amp;ROUND(H1210-AT1210,0)&amp;" Stk / CHF "&amp;ROUND((H1210-AT1210)*G1210,0)&amp;"; ","")&amp;IF(AND(CE1210=1,CF1210&lt;CG1210),"MAX &lt; MB+LG; ","")&amp;IF(AND(CK1210&gt;0,CJ1210*10&gt;CK1210),"zu hoch für Tablar; ","")&amp;IF(AND(BS1210=0,OR(CE1210=1,AA1210&lt;&gt;"",U1210&lt;&gt;"",V1210&lt;&gt;"",AB1210&lt;&gt;"")),"manuell übersteuert; ","")&amp;IF(AND(BW1210=0,R1210=0),"Gebinde unbekannt / Stellmass fehlt; ","")&amp;IF(AND(BW1210=0,N(V1210)&lt;=0,N(Q1210)&lt;=0),"Menge pro Gebinde fehlt (Ist = 1 Gebinde); ","")&amp;BR1210)</f>
        <v>negativer Bestand (Export -3); </v>
      </c>
      <c r="BK1210" s="48"/>
      <c r="BL1210" s="48"/>
      <c r="BM1210" s="55"/>
      <c r="BN1210" s="50" t="n">
        <v>-3</v>
      </c>
      <c r="BO1210" s="50" t="n">
        <v>8</v>
      </c>
      <c r="BP1210" s="49" t="n">
        <v>-527.629999999999</v>
      </c>
      <c r="BQ1210" s="50" t="n">
        <v>18</v>
      </c>
      <c r="BR1210" s="48"/>
      <c r="BS1210" s="53" t="n">
        <v>0</v>
      </c>
      <c r="BT1210" s="53" t="n">
        <v>1210</v>
      </c>
      <c r="BU1210" s="48" t="str">
        <f aca="false">IF(U1210&lt;&gt;"",UPPER(TRIM(U1210)),IF(BX1210=1,UPPER(VLOOKUP(T1210,Parameter!$I$27:$K$29,2,0)),IF(P1210="","LOSE",P1210)))</f>
        <v>S71</v>
      </c>
      <c r="BV1210" s="50" t="n">
        <f aca="false">IF(BU1210="LOSE",1,IF(N(V1210)&gt;0,V1210,IF(BX1210=1,MAX(1,N(VLOOKUP(T1210,Parameter!$I$27:$K$29,3,0)),H1210,N(N1210)),IF(N(Q1210)&gt;0,Q1210,MAX(1,H1210)))))</f>
        <v>15</v>
      </c>
      <c r="BW1210" s="53" t="n">
        <f aca="false">IF(BU1210="LOSE",1,0)</f>
        <v>0</v>
      </c>
      <c r="BX1210" s="53" t="n">
        <f aca="false">IF(AND(U1210="",OR(P1210="",P1210="LOSE"),T1210&lt;&gt;"",N(S1210)&lt;=0,ISNUMBER(MATCH(T1210,Parameter!$I$27:$I$29,0))),1,0)</f>
        <v>0</v>
      </c>
      <c r="BY1210" s="53" t="n">
        <f aca="false">IF(CL1210&gt;0,INDEX(Parameter!$H$5:$H$7,W1210)/INDEX(Parameter!$E$5:$E$7,W1210),IF(AND(BW1210=0,N(IFERROR(VLOOKUP(BU1210,'Gebinde-Kategorie'!$A$5:$N$45,14,0),0))&gt;0),VLOOKUP(BU1210,'Gebinde-Kategorie'!$A$5:$N$45,14,0)*10+Parameter!$M$23,Parameter!$M$24))</f>
        <v>235</v>
      </c>
      <c r="BZ1210" s="48" t="str">
        <f aca="false">IF(AND(Parameter!$B$19="Ja",E1210&lt;&gt;"",ISNUMBER(MATCH(E1210,Parameter!$I$35:$I$52,0))),VLOOKUP(E1210,Parameter!$I$35:$J$52,2,0),IFERROR(VLOOKUP(D1210,Parameter!$A$35:$C$64,2,0),"Nein"))</f>
        <v>2+3</v>
      </c>
      <c r="CA1210" s="52" t="n">
        <f aca="false">IF(BW1210=0,0,IF(N(S1210)&gt;0,S1210,IFERROR(VLOOKUP(D1210,Parameter!$A$35:$C$64,3,0)+0,0)))</f>
        <v>0</v>
      </c>
      <c r="CB1210" s="48" t="n">
        <f aca="false">IF(AA1210&lt;&gt;"",AA1210,Z1210)</f>
        <v>2</v>
      </c>
      <c r="CC1210" s="48" t="str">
        <f aca="false">IF(OR(CB1210=1,CB1210=2,CB1210=3),IF(Parameter!$E$27="Ja","LIFT",IF(CB1210=1,"L1","L23")),IF(CB1210="Aussen","Aussen","-"))</f>
        <v>LIFT</v>
      </c>
      <c r="CD1210" s="59" t="n">
        <f aca="false">IF(N(AB1210)&gt;0,AB1210,0)</f>
        <v>0</v>
      </c>
      <c r="CE1210" s="53" t="n">
        <f aca="false">IF(ISNUMBER(AE1210),1,0)</f>
        <v>0</v>
      </c>
      <c r="CF1210" s="50" t="n">
        <f aca="false">N(AE1210)</f>
        <v>0</v>
      </c>
      <c r="CG1210" s="50" t="n">
        <f aca="false">N(M1210)+N(N1210)</f>
        <v>17</v>
      </c>
      <c r="CH1210" s="50" t="n">
        <f aca="false">ROUNDUP(H1210/BV1210,0)</f>
        <v>1</v>
      </c>
      <c r="CI1210" s="50" t="n">
        <f aca="false">ROUNDUP(CF1210/BV1210,0)</f>
        <v>0</v>
      </c>
      <c r="CJ1210" s="53" t="n">
        <f aca="false">IF(BW1210=1,0,IFERROR(VLOOKUP(BU1210,'Gebinde-Kategorie'!$A$5:$N$45,5,0)+0,0))</f>
        <v>20</v>
      </c>
      <c r="CK1210" s="53" t="n">
        <f aca="false">IFERROR(IF(OR(CB1210=1,CB1210=2,CB1210=3),N(INDEX(Parameter!$I$5:$I$7,CB1210)),0),0)</f>
        <v>0</v>
      </c>
      <c r="CL1210" s="52" t="n">
        <f aca="false">IF(AND(Parameter!$B$21="Ja",ISNUMBER(W1210),N(X1210)&gt;0),IFERROR(N(INDEX(Parameter!$L$5:$L$7,W1210))*INDEX(Parameter!$E$5:$E$7,W1210)*X1210/SUMIFS($X$7:$X$1843,$W$7:$W$1843,W1210),0),0)</f>
        <v>0</v>
      </c>
    </row>
    <row r="1211" customFormat="false" ht="15" hidden="false" customHeight="false" outlineLevel="0" collapsed="false">
      <c r="A1211" s="48" t="s">
        <v>2178</v>
      </c>
      <c r="B1211" s="48" t="s">
        <v>2179</v>
      </c>
      <c r="C1211" s="48" t="s">
        <v>168</v>
      </c>
      <c r="D1211" s="48" t="s">
        <v>188</v>
      </c>
      <c r="E1211" s="48" t="s">
        <v>189</v>
      </c>
      <c r="F1211" s="48" t="s">
        <v>222</v>
      </c>
      <c r="G1211" s="49" t="n">
        <v>48.12</v>
      </c>
      <c r="H1211" s="50" t="n">
        <f aca="false">MAX(0,IF(AND(Parameter!$B$21="Ja",ISNUMBER(Y1211)),Y1211,IF(Parameter!$B$20="Jahresanfang 2025 + Export",BO1211+BN1211,BN1211)))</f>
        <v>34</v>
      </c>
      <c r="I1211" s="50" t="n">
        <f aca="false">H1211*G1211</f>
        <v>1636.08</v>
      </c>
      <c r="J1211" s="50" t="n">
        <f aca="false">BQ1211*Parameter!$B$18</f>
        <v>14</v>
      </c>
      <c r="K1211" s="51" t="n">
        <v>40.5</v>
      </c>
      <c r="L1211" s="52" t="n">
        <v>0.345679012345679</v>
      </c>
      <c r="M1211" s="50" t="n">
        <v>1</v>
      </c>
      <c r="N1211" s="50" t="n">
        <v>15</v>
      </c>
      <c r="O1211" s="53" t="n">
        <v>28</v>
      </c>
      <c r="P1211" s="48" t="s">
        <v>237</v>
      </c>
      <c r="Q1211" s="50" t="n">
        <v>38</v>
      </c>
      <c r="R1211" s="53" t="n">
        <f aca="false">IF(BW1211=1,0,IFERROR(VLOOKUP(BU1211,'Gebinde-Kategorie'!$A$5:$N$45,13,0)+0,0))</f>
        <v>26</v>
      </c>
      <c r="S1211" s="54"/>
      <c r="T1211" s="55"/>
      <c r="U1211" s="55"/>
      <c r="V1211" s="55"/>
      <c r="W1211" s="48"/>
      <c r="X1211" s="50"/>
      <c r="Y1211" s="50"/>
      <c r="Z1211" s="48" t="n">
        <f aca="false">IF(A1211="","",IF(AND(Parameter!$B$21="Ja",ISNUMBER(W1211)),W1211,IF(BZ1211="2+3",IF(ISNUMBER(SEARCH("grosser Artikel",BR1211)),2,IFERROR(VLOOKUP(BU1211,Parameter!$F$35:$G$64,2,0),2)),IF(OR(BZ1211="Nein",BZ1211=""),"-",BZ1211))))</f>
        <v>3</v>
      </c>
      <c r="AA1211" s="55"/>
      <c r="AB1211" s="56"/>
      <c r="AC1211" s="50" t="n">
        <f aca="false">AT1211</f>
        <v>38</v>
      </c>
      <c r="AD1211" s="50" t="n">
        <f aca="false">MAX(AT1211,H1211)</f>
        <v>38</v>
      </c>
      <c r="AE1211" s="57"/>
      <c r="AF1211" s="50" t="n">
        <f aca="false">IF(LEFT(Cockpit!$C$5,1)="A",H1211,IF(CE1211=1,CF1211,IF(LEFT(Cockpit!$C$5,1)="B",AK1211,MAX(AK1211,H1211))))</f>
        <v>34</v>
      </c>
      <c r="AG1211" s="50" t="n">
        <f aca="false">IF(BW1211=1,0,ROUNDUP(AF1211/BV1211,0))</f>
        <v>1</v>
      </c>
      <c r="AH1211" s="52" t="n">
        <f aca="false">IF(CL1211&gt;0,CL1211*MAX(1,AF1211/X1211),IF(BW1211=1,IF(AF1211&lt;=0,0,CA1211*MAX(1,IF(H1211&gt;0,AF1211/H1211,1))),IF(R1211&gt;0,AG1211/R1211,0))/MAX(0.1,N(Parameter!$M$21)))</f>
        <v>0.0384615384615385</v>
      </c>
      <c r="AI1211" s="50" t="n">
        <f aca="false">AH1211*BY1211</f>
        <v>9.42307692307692</v>
      </c>
      <c r="AJ1211" s="50" t="n">
        <f aca="false">AF1211*G1211</f>
        <v>1636.08</v>
      </c>
      <c r="AK1211" s="50" t="n">
        <f aca="false">ROUNDUP(MAX(J1211/IF(CD1211&gt;0,CD1211,MAX(0.1,N(Cockpit!$C$6))),CG1211)/BV1211,0)*BV1211</f>
        <v>38</v>
      </c>
      <c r="AL1211" s="51" t="n">
        <f aca="false">IF(AI1211&gt;0,J1211/AI1211,-1)</f>
        <v>1.48571428571429</v>
      </c>
      <c r="AM1211" s="51" t="n">
        <f aca="false">IF(AND(OR(CC1211="L1",CC1211="L23",CC1211="LIFT"),AI1211&gt;0),SUMIFS($AI$7:$AI$1843,$CC$7:$CC$1843,CC1211,$AL$7:$AL$1843,"&gt;"&amp;AL1211)+SUMIFS($AI$7:$AI$1843,$CC$7:$CC$1843,CC1211,$AL$7:$AL$1843,AL1211,$BT$7:$BT$1843,"&lt;="&amp;BT1211),"")</f>
        <v>6231.2760989011</v>
      </c>
      <c r="AN1211" s="58" t="n">
        <f aca="false">IF(AM1211="",0,MAX(0,MIN(1,(IF(CC1211="L1",Parameter!$H$5,IF(CC1211="L23",Parameter!$H$6+Parameter!$H$7,Parameter!$H$5+Parameter!$H$6+Parameter!$H$7))-(AM1211-AI1211))/AI1211)))</f>
        <v>1</v>
      </c>
      <c r="AO1211" s="50" t="n">
        <f aca="false">IF(LEFT(Cockpit!$I$5,1)="A",H1211,IF(CE1211=1,CF1211,IF(LEFT(Cockpit!$I$5,1)="B",AT1211,MAX(AT1211,H1211))))</f>
        <v>38</v>
      </c>
      <c r="AP1211" s="50" t="n">
        <f aca="false">IF(BW1211=1,0,ROUNDUP(AO1211/BV1211,0))</f>
        <v>1</v>
      </c>
      <c r="AQ1211" s="52" t="n">
        <f aca="false">IF(CL1211&gt;0,CL1211*MAX(1,AO1211/X1211),IF(BW1211=1,IF(AO1211&lt;=0,0,CA1211*MAX(1,IF(H1211&gt;0,AO1211/H1211,1))),IF(R1211&gt;0,AP1211/R1211,0))/MAX(0.1,N(Parameter!$M$21)))</f>
        <v>0.0384615384615385</v>
      </c>
      <c r="AR1211" s="50" t="n">
        <f aca="false">AQ1211*BY1211</f>
        <v>9.42307692307692</v>
      </c>
      <c r="AS1211" s="50" t="n">
        <f aca="false">AO1211*G1211</f>
        <v>1828.56</v>
      </c>
      <c r="AT1211" s="50" t="n">
        <f aca="false">ROUNDUP(MAX(J1211/IF(CD1211&gt;0,CD1211,MAX(0.1,N(Cockpit!$I$6))),CG1211)/BV1211,0)*BV1211</f>
        <v>38</v>
      </c>
      <c r="AU1211" s="51" t="n">
        <f aca="false">IF(AR1211&gt;0,J1211/AR1211,-1)</f>
        <v>1.48571428571429</v>
      </c>
      <c r="AV1211" s="51" t="n">
        <f aca="false">IF(AND(OR(CC1211="L1",CC1211="L23",CC1211="LIFT"),AR1211&gt;0),SUMIFS($AR$7:$AR$1843,$CC$7:$CC$1843,CC1211,$AU$7:$AU$1843,"&gt;"&amp;AU1211)+SUMIFS($AR$7:$AR$1843,$CC$7:$CC$1843,CC1211,$AU$7:$AU$1843,AU1211,$BT$7:$BT$1843,"&lt;="&amp;BT1211),"")</f>
        <v>8406.09065934066</v>
      </c>
      <c r="AW1211" s="58" t="n">
        <f aca="false">IF(AV1211="",0,MAX(0,MIN(1,(IF(CC1211="L1",Parameter!$H$5,IF(CC1211="L23",Parameter!$H$6+Parameter!$H$7,Parameter!$H$5+Parameter!$H$6+Parameter!$H$7))-(AV1211-AR1211))/AR1211)))</f>
        <v>1</v>
      </c>
      <c r="AX1211" s="50" t="n">
        <f aca="false">IF(LEFT(Cockpit!$O$5,1)="A",H1211,IF(CE1211=1,CF1211,IF(LEFT(Cockpit!$O$5,1)="B",BC1211,MAX(BC1211,H1211))))</f>
        <v>38</v>
      </c>
      <c r="AY1211" s="50" t="n">
        <f aca="false">IF(BW1211=1,0,ROUNDUP(AX1211/BV1211,0))</f>
        <v>1</v>
      </c>
      <c r="AZ1211" s="52" t="n">
        <f aca="false">IF(CL1211&gt;0,CL1211*MAX(1,AX1211/X1211),IF(BW1211=1,IF(AX1211&lt;=0,0,CA1211*MAX(1,IF(H1211&gt;0,AX1211/H1211,1))),IF(R1211&gt;0,AY1211/R1211,0))/MAX(0.1,N(Parameter!$M$21)))</f>
        <v>0.0384615384615385</v>
      </c>
      <c r="BA1211" s="50" t="n">
        <f aca="false">AZ1211*BY1211</f>
        <v>9.42307692307692</v>
      </c>
      <c r="BB1211" s="50" t="n">
        <f aca="false">AX1211*G1211</f>
        <v>1828.56</v>
      </c>
      <c r="BC1211" s="50" t="n">
        <f aca="false">ROUNDUP(MAX(J1211/IF(CD1211&gt;0,CD1211,MAX(0.1,N(Cockpit!$O$6))),CG1211)/BV1211,0)*BV1211</f>
        <v>38</v>
      </c>
      <c r="BD1211" s="51" t="n">
        <f aca="false">IF(BA1211&gt;0,J1211/BA1211,-1)</f>
        <v>1.48571428571429</v>
      </c>
      <c r="BE1211" s="51" t="n">
        <f aca="false">IF(AND(OR(CC1211="L1",CC1211="L23",CC1211="LIFT"),BA1211&gt;0),SUMIFS($BA$7:$BA$1843,$CC$7:$CC$1843,CC1211,$BD$7:$BD$1843,"&gt;"&amp;BD1211)+SUMIFS($BA$7:$BA$1843,$CC$7:$CC$1843,CC1211,$BD$7:$BD$1843,BD1211,$BT$7:$BT$1843,"&lt;="&amp;BT1211),"")</f>
        <v>8398.83104395604</v>
      </c>
      <c r="BF1211" s="58" t="n">
        <f aca="false">IF(BE1211="",0,MAX(0,MIN(1,(IF(CC1211="L1",Parameter!$H$5,IF(CC1211="L23",Parameter!$H$6+Parameter!$H$7,Parameter!$H$5+Parameter!$H$6+Parameter!$H$7))-(BE1211-BA1211))/BA1211)))</f>
        <v>1</v>
      </c>
      <c r="BG1211" s="48" t="str">
        <f aca="false">IF(AI1211&lt;=0,"",IF(CC1211="Aussen","Aussenlager",IF(CC1211="-","Nicht im Lift",IF(AN1211&gt;=1,"Lift",IF(AN1211&lt;=0,"Aussenlager","teilweise")))))</f>
        <v>Lift</v>
      </c>
      <c r="BH1211" s="48" t="str">
        <f aca="false">IF(AR1211&lt;=0,"",IF(CC1211="Aussen","Aussenlager",IF(CC1211="-","Nicht im Lift",IF(AW1211&gt;=1,"Lift",IF(AW1211&lt;=0,"Aussenlager","teilweise")))))</f>
        <v>Lift</v>
      </c>
      <c r="BI1211" s="48" t="str">
        <f aca="false">IF(BA1211&lt;=0,"",IF(CC1211="Aussen","Aussenlager",IF(CC1211="-","Nicht im Lift",IF(BF1211&gt;=1,"Lift",IF(BF1211&lt;=0,"Aussenlager","teilweise")))))</f>
        <v>Lift</v>
      </c>
      <c r="BJ1211" s="48" t="str">
        <f aca="false">IF(A1211="","",IF(BS1211=1,"Neu; ","")&amp;IF(AND(BS1211=0,BN1211&lt;0),"negativer Bestand (Export "&amp;BN1211&amp;"); ","")&amp;IF(J1211&lt;=0,"Kein Verbrauch; ","")&amp;IF(CL1211&gt;0,"Lift "&amp;W1211&amp;" lt. Liftbericht (Fach "&amp;X1211&amp;" Stk); ",IF(BX1211=1,"Gebinde geschätzt ("&amp;T1211&amp;"); ",IF(BW1211=1,"Lose – Tablare geschätzt; ","")))&amp;IF(H1211&gt;AT1211,"Überbestand "&amp;ROUND(H1211-AT1211,0)&amp;" Stk / CHF "&amp;ROUND((H1211-AT1211)*G1211,0)&amp;"; ","")&amp;IF(AND(CE1211=1,CF1211&lt;CG1211),"MAX &lt; MB+LG; ","")&amp;IF(AND(CK1211&gt;0,CJ1211*10&gt;CK1211),"zu hoch für Tablar; ","")&amp;IF(AND(BS1211=0,OR(CE1211=1,AA1211&lt;&gt;"",U1211&lt;&gt;"",V1211&lt;&gt;"",AB1211&lt;&gt;"")),"manuell übersteuert; ","")&amp;IF(AND(BW1211=0,R1211=0),"Gebinde unbekannt / Stellmass fehlt; ","")&amp;IF(AND(BW1211=0,N(V1211)&lt;=0,N(Q1211)&lt;=0),"Menge pro Gebinde fehlt (Ist = 1 Gebinde); ","")&amp;BR1211)</f>
        <v>negativer Bestand (Export -11); Neu</v>
      </c>
      <c r="BK1211" s="48"/>
      <c r="BL1211" s="48"/>
      <c r="BM1211" s="55"/>
      <c r="BN1211" s="50" t="n">
        <v>-11</v>
      </c>
      <c r="BO1211" s="50" t="n">
        <v>45</v>
      </c>
      <c r="BP1211" s="49" t="n">
        <v>-529.32</v>
      </c>
      <c r="BQ1211" s="50" t="n">
        <v>14</v>
      </c>
      <c r="BR1211" s="48" t="s">
        <v>630</v>
      </c>
      <c r="BS1211" s="53" t="n">
        <v>0</v>
      </c>
      <c r="BT1211" s="53" t="n">
        <v>1211</v>
      </c>
      <c r="BU1211" s="48" t="str">
        <f aca="false">IF(U1211&lt;&gt;"",UPPER(TRIM(U1211)),IF(BX1211=1,UPPER(VLOOKUP(T1211,Parameter!$I$27:$K$29,2,0)),IF(P1211="","LOSE",P1211)))</f>
        <v>S52</v>
      </c>
      <c r="BV1211" s="50" t="n">
        <f aca="false">IF(BU1211="LOSE",1,IF(N(V1211)&gt;0,V1211,IF(BX1211=1,MAX(1,N(VLOOKUP(T1211,Parameter!$I$27:$K$29,3,0)),H1211,N(N1211)),IF(N(Q1211)&gt;0,Q1211,MAX(1,H1211)))))</f>
        <v>38</v>
      </c>
      <c r="BW1211" s="53" t="n">
        <f aca="false">IF(BU1211="LOSE",1,0)</f>
        <v>0</v>
      </c>
      <c r="BX1211" s="53" t="n">
        <f aca="false">IF(AND(U1211="",OR(P1211="",P1211="LOSE"),T1211&lt;&gt;"",N(S1211)&lt;=0,ISNUMBER(MATCH(T1211,Parameter!$I$27:$I$29,0))),1,0)</f>
        <v>0</v>
      </c>
      <c r="BY1211" s="53" t="n">
        <f aca="false">IF(CL1211&gt;0,INDEX(Parameter!$H$5:$H$7,W1211)/INDEX(Parameter!$E$5:$E$7,W1211),IF(AND(BW1211=0,N(IFERROR(VLOOKUP(BU1211,'Gebinde-Kategorie'!$A$5:$N$45,14,0),0))&gt;0),VLOOKUP(BU1211,'Gebinde-Kategorie'!$A$5:$N$45,14,0)*10+Parameter!$M$23,Parameter!$M$24))</f>
        <v>245</v>
      </c>
      <c r="BZ1211" s="48" t="str">
        <f aca="false">IF(AND(Parameter!$B$19="Ja",E1211&lt;&gt;"",ISNUMBER(MATCH(E1211,Parameter!$I$35:$I$52,0))),VLOOKUP(E1211,Parameter!$I$35:$J$52,2,0),IFERROR(VLOOKUP(D1211,Parameter!$A$35:$C$64,2,0),"Nein"))</f>
        <v>2+3</v>
      </c>
      <c r="CA1211" s="52" t="n">
        <f aca="false">IF(BW1211=0,0,IF(N(S1211)&gt;0,S1211,IFERROR(VLOOKUP(D1211,Parameter!$A$35:$C$64,3,0)+0,0)))</f>
        <v>0</v>
      </c>
      <c r="CB1211" s="48" t="n">
        <f aca="false">IF(AA1211&lt;&gt;"",AA1211,Z1211)</f>
        <v>3</v>
      </c>
      <c r="CC1211" s="48" t="str">
        <f aca="false">IF(OR(CB1211=1,CB1211=2,CB1211=3),IF(Parameter!$E$27="Ja","LIFT",IF(CB1211=1,"L1","L23")),IF(CB1211="Aussen","Aussen","-"))</f>
        <v>LIFT</v>
      </c>
      <c r="CD1211" s="59" t="n">
        <f aca="false">IF(N(AB1211)&gt;0,AB1211,0)</f>
        <v>0</v>
      </c>
      <c r="CE1211" s="53" t="n">
        <f aca="false">IF(ISNUMBER(AE1211),1,0)</f>
        <v>0</v>
      </c>
      <c r="CF1211" s="50" t="n">
        <f aca="false">N(AE1211)</f>
        <v>0</v>
      </c>
      <c r="CG1211" s="50" t="n">
        <f aca="false">N(M1211)+N(N1211)</f>
        <v>16</v>
      </c>
      <c r="CH1211" s="50" t="n">
        <f aca="false">ROUNDUP(H1211/BV1211,0)</f>
        <v>1</v>
      </c>
      <c r="CI1211" s="50" t="n">
        <f aca="false">ROUNDUP(CF1211/BV1211,0)</f>
        <v>0</v>
      </c>
      <c r="CJ1211" s="53" t="n">
        <f aca="false">IF(BW1211=1,0,IFERROR(VLOOKUP(BU1211,'Gebinde-Kategorie'!$A$5:$N$45,5,0)+0,0))</f>
        <v>21</v>
      </c>
      <c r="CK1211" s="53" t="n">
        <f aca="false">IFERROR(IF(OR(CB1211=1,CB1211=2,CB1211=3),N(INDEX(Parameter!$I$5:$I$7,CB1211)),0),0)</f>
        <v>0</v>
      </c>
      <c r="CL1211" s="52" t="n">
        <f aca="false">IF(AND(Parameter!$B$21="Ja",ISNUMBER(W1211),N(X1211)&gt;0),IFERROR(N(INDEX(Parameter!$L$5:$L$7,W1211))*INDEX(Parameter!$E$5:$E$7,W1211)*X1211/SUMIFS($X$7:$X$1843,$W$7:$W$1843,W1211),0),0)</f>
        <v>0</v>
      </c>
    </row>
    <row r="1212" customFormat="false" ht="15" hidden="false" customHeight="false" outlineLevel="0" collapsed="false">
      <c r="A1212" s="48" t="s">
        <v>2180</v>
      </c>
      <c r="B1212" s="48" t="s">
        <v>2181</v>
      </c>
      <c r="C1212" s="48" t="s">
        <v>168</v>
      </c>
      <c r="D1212" s="48" t="s">
        <v>188</v>
      </c>
      <c r="E1212" s="48"/>
      <c r="F1212" s="48" t="s">
        <v>222</v>
      </c>
      <c r="G1212" s="49" t="n">
        <v>44.28</v>
      </c>
      <c r="H1212" s="50" t="n">
        <f aca="false">MAX(0,IF(AND(Parameter!$B$21="Ja",ISNUMBER(Y1212)),Y1212,IF(Parameter!$B$20="Jahresanfang 2025 + Export",BO1212+BN1212,BN1212)))</f>
        <v>385</v>
      </c>
      <c r="I1212" s="50" t="n">
        <f aca="false">H1212*G1212</f>
        <v>17047.8</v>
      </c>
      <c r="J1212" s="50" t="n">
        <f aca="false">BQ1212*Parameter!$B$18</f>
        <v>9</v>
      </c>
      <c r="K1212" s="51" t="n">
        <v>394.5</v>
      </c>
      <c r="L1212" s="52" t="n">
        <v>0.0228136882129278</v>
      </c>
      <c r="M1212" s="50" t="n">
        <v>0</v>
      </c>
      <c r="N1212" s="50" t="n">
        <v>10</v>
      </c>
      <c r="O1212" s="53" t="n">
        <v>28</v>
      </c>
      <c r="P1212" s="48" t="s">
        <v>190</v>
      </c>
      <c r="Q1212" s="50" t="n">
        <v>150</v>
      </c>
      <c r="R1212" s="53" t="n">
        <f aca="false">IF(BW1212=1,0,IFERROR(VLOOKUP(BU1212,'Gebinde-Kategorie'!$A$5:$N$45,13,0)+0,0))</f>
        <v>12</v>
      </c>
      <c r="S1212" s="54"/>
      <c r="T1212" s="55"/>
      <c r="U1212" s="55"/>
      <c r="V1212" s="55"/>
      <c r="W1212" s="48"/>
      <c r="X1212" s="50"/>
      <c r="Y1212" s="50"/>
      <c r="Z1212" s="48" t="n">
        <f aca="false">IF(A1212="","",IF(AND(Parameter!$B$21="Ja",ISNUMBER(W1212)),W1212,IF(BZ1212="2+3",IF(ISNUMBER(SEARCH("grosser Artikel",BR1212)),2,IFERROR(VLOOKUP(BU1212,Parameter!$F$35:$G$64,2,0),2)),IF(OR(BZ1212="Nein",BZ1212=""),"-",BZ1212))))</f>
        <v>2</v>
      </c>
      <c r="AA1212" s="55"/>
      <c r="AB1212" s="56"/>
      <c r="AC1212" s="50" t="n">
        <f aca="false">AT1212</f>
        <v>150</v>
      </c>
      <c r="AD1212" s="50" t="n">
        <f aca="false">MAX(AT1212,H1212)</f>
        <v>385</v>
      </c>
      <c r="AE1212" s="57"/>
      <c r="AF1212" s="50" t="n">
        <f aca="false">IF(LEFT(Cockpit!$C$5,1)="A",H1212,IF(CE1212=1,CF1212,IF(LEFT(Cockpit!$C$5,1)="B",AK1212,MAX(AK1212,H1212))))</f>
        <v>385</v>
      </c>
      <c r="AG1212" s="50" t="n">
        <f aca="false">IF(BW1212=1,0,ROUNDUP(AF1212/BV1212,0))</f>
        <v>3</v>
      </c>
      <c r="AH1212" s="52" t="n">
        <f aca="false">IF(CL1212&gt;0,CL1212*MAX(1,AF1212/X1212),IF(BW1212=1,IF(AF1212&lt;=0,0,CA1212*MAX(1,IF(H1212&gt;0,AF1212/H1212,1))),IF(R1212&gt;0,AG1212/R1212,0))/MAX(0.1,N(Parameter!$M$21)))</f>
        <v>0.25</v>
      </c>
      <c r="AI1212" s="50" t="n">
        <f aca="false">AH1212*BY1212</f>
        <v>36.25</v>
      </c>
      <c r="AJ1212" s="50" t="n">
        <f aca="false">AF1212*G1212</f>
        <v>17047.8</v>
      </c>
      <c r="AK1212" s="50" t="n">
        <f aca="false">ROUNDUP(MAX(J1212/IF(CD1212&gt;0,CD1212,MAX(0.1,N(Cockpit!$C$6))),CG1212)/BV1212,0)*BV1212</f>
        <v>150</v>
      </c>
      <c r="AL1212" s="51" t="n">
        <f aca="false">IF(AI1212&gt;0,J1212/AI1212,-1)</f>
        <v>0.248275862068966</v>
      </c>
      <c r="AM1212" s="51" t="n">
        <f aca="false">IF(AND(OR(CC1212="L1",CC1212="L23",CC1212="LIFT"),AI1212&gt;0),SUMIFS($AI$7:$AI$1843,$CC$7:$CC$1843,CC1212,$AL$7:$AL$1843,"&gt;"&amp;AL1212)+SUMIFS($AI$7:$AI$1843,$CC$7:$CC$1843,CC1212,$AL$7:$AL$1843,AL1212,$BT$7:$BT$1843,"&lt;="&amp;BT1212),"")</f>
        <v>11901.1035962625</v>
      </c>
      <c r="AN1212" s="58" t="n">
        <f aca="false">IF(AM1212="",0,MAX(0,MIN(1,(IF(CC1212="L1",Parameter!$H$5,IF(CC1212="L23",Parameter!$H$6+Parameter!$H$7,Parameter!$H$5+Parameter!$H$6+Parameter!$H$7))-(AM1212-AI1212))/AI1212)))</f>
        <v>1</v>
      </c>
      <c r="AO1212" s="50" t="n">
        <f aca="false">IF(LEFT(Cockpit!$I$5,1)="A",H1212,IF(CE1212=1,CF1212,IF(LEFT(Cockpit!$I$5,1)="B",AT1212,MAX(AT1212,H1212))))</f>
        <v>385</v>
      </c>
      <c r="AP1212" s="50" t="n">
        <f aca="false">IF(BW1212=1,0,ROUNDUP(AO1212/BV1212,0))</f>
        <v>3</v>
      </c>
      <c r="AQ1212" s="52" t="n">
        <f aca="false">IF(CL1212&gt;0,CL1212*MAX(1,AO1212/X1212),IF(BW1212=1,IF(AO1212&lt;=0,0,CA1212*MAX(1,IF(H1212&gt;0,AO1212/H1212,1))),IF(R1212&gt;0,AP1212/R1212,0))/MAX(0.1,N(Parameter!$M$21)))</f>
        <v>0.25</v>
      </c>
      <c r="AR1212" s="50" t="n">
        <f aca="false">AQ1212*BY1212</f>
        <v>36.25</v>
      </c>
      <c r="AS1212" s="50" t="n">
        <f aca="false">AO1212*G1212</f>
        <v>17047.8</v>
      </c>
      <c r="AT1212" s="50" t="n">
        <f aca="false">ROUNDUP(MAX(J1212/IF(CD1212&gt;0,CD1212,MAX(0.1,N(Cockpit!$I$6))),CG1212)/BV1212,0)*BV1212</f>
        <v>150</v>
      </c>
      <c r="AU1212" s="51" t="n">
        <f aca="false">IF(AR1212&gt;0,J1212/AR1212,-1)</f>
        <v>0.248275862068966</v>
      </c>
      <c r="AV1212" s="51" t="n">
        <f aca="false">IF(AND(OR(CC1212="L1",CC1212="L23",CC1212="LIFT"),AR1212&gt;0),SUMIFS($AR$7:$AR$1843,$CC$7:$CC$1843,CC1212,$AU$7:$AU$1843,"&gt;"&amp;AU1212)+SUMIFS($AR$7:$AR$1843,$CC$7:$CC$1843,CC1212,$AU$7:$AU$1843,AU1212,$BT$7:$BT$1843,"&lt;="&amp;BT1212),"")</f>
        <v>17729.5581501831</v>
      </c>
      <c r="AW1212" s="58" t="n">
        <f aca="false">IF(AV1212="",0,MAX(0,MIN(1,(IF(CC1212="L1",Parameter!$H$5,IF(CC1212="L23",Parameter!$H$6+Parameter!$H$7,Parameter!$H$5+Parameter!$H$6+Parameter!$H$7))-(AV1212-AR1212))/AR1212)))</f>
        <v>1</v>
      </c>
      <c r="AX1212" s="50" t="n">
        <f aca="false">IF(LEFT(Cockpit!$O$5,1)="A",H1212,IF(CE1212=1,CF1212,IF(LEFT(Cockpit!$O$5,1)="B",BC1212,MAX(BC1212,H1212))))</f>
        <v>385</v>
      </c>
      <c r="AY1212" s="50" t="n">
        <f aca="false">IF(BW1212=1,0,ROUNDUP(AX1212/BV1212,0))</f>
        <v>3</v>
      </c>
      <c r="AZ1212" s="52" t="n">
        <f aca="false">IF(CL1212&gt;0,CL1212*MAX(1,AX1212/X1212),IF(BW1212=1,IF(AX1212&lt;=0,0,CA1212*MAX(1,IF(H1212&gt;0,AX1212/H1212,1))),IF(R1212&gt;0,AY1212/R1212,0))/MAX(0.1,N(Parameter!$M$21)))</f>
        <v>0.25</v>
      </c>
      <c r="BA1212" s="50" t="n">
        <f aca="false">AZ1212*BY1212</f>
        <v>36.25</v>
      </c>
      <c r="BB1212" s="50" t="n">
        <f aca="false">AX1212*G1212</f>
        <v>17047.8</v>
      </c>
      <c r="BC1212" s="50" t="n">
        <f aca="false">ROUNDUP(MAX(J1212/IF(CD1212&gt;0,CD1212,MAX(0.1,N(Cockpit!$O$6))),CG1212)/BV1212,0)*BV1212</f>
        <v>150</v>
      </c>
      <c r="BD1212" s="51" t="n">
        <f aca="false">IF(BA1212&gt;0,J1212/BA1212,-1)</f>
        <v>0.248275862068966</v>
      </c>
      <c r="BE1212" s="51" t="n">
        <f aca="false">IF(AND(OR(CC1212="L1",CC1212="L23",CC1212="LIFT"),BA1212&gt;0),SUMIFS($BA$7:$BA$1843,$CC$7:$CC$1843,CC1212,$BD$7:$BD$1843,"&gt;"&amp;BD1212)+SUMIFS($BA$7:$BA$1843,$CC$7:$CC$1843,CC1212,$BD$7:$BD$1843,BD1212,$BT$7:$BT$1843,"&lt;="&amp;BT1212),"")</f>
        <v>16676.0485347985</v>
      </c>
      <c r="BF1212" s="58" t="n">
        <f aca="false">IF(BE1212="",0,MAX(0,MIN(1,(IF(CC1212="L1",Parameter!$H$5,IF(CC1212="L23",Parameter!$H$6+Parameter!$H$7,Parameter!$H$5+Parameter!$H$6+Parameter!$H$7))-(BE1212-BA1212))/BA1212)))</f>
        <v>1</v>
      </c>
      <c r="BG1212" s="48" t="str">
        <f aca="false">IF(AI1212&lt;=0,"",IF(CC1212="Aussen","Aussenlager",IF(CC1212="-","Nicht im Lift",IF(AN1212&gt;=1,"Lift",IF(AN1212&lt;=0,"Aussenlager","teilweise")))))</f>
        <v>Lift</v>
      </c>
      <c r="BH1212" s="48" t="str">
        <f aca="false">IF(AR1212&lt;=0,"",IF(CC1212="Aussen","Aussenlager",IF(CC1212="-","Nicht im Lift",IF(AW1212&gt;=1,"Lift",IF(AW1212&lt;=0,"Aussenlager","teilweise")))))</f>
        <v>Lift</v>
      </c>
      <c r="BI1212" s="48" t="str">
        <f aca="false">IF(BA1212&lt;=0,"",IF(CC1212="Aussen","Aussenlager",IF(CC1212="-","Nicht im Lift",IF(BF1212&gt;=1,"Lift",IF(BF1212&lt;=0,"Aussenlager","teilweise")))))</f>
        <v>Lift</v>
      </c>
      <c r="BJ1212" s="48" t="str">
        <f aca="false">IF(A1212="","",IF(BS1212=1,"Neu; ","")&amp;IF(AND(BS1212=0,BN1212&lt;0),"negativer Bestand (Export "&amp;BN1212&amp;"); ","")&amp;IF(J1212&lt;=0,"Kein Verbrauch; ","")&amp;IF(CL1212&gt;0,"Lift "&amp;W1212&amp;" lt. Liftbericht (Fach "&amp;X1212&amp;" Stk); ",IF(BX1212=1,"Gebinde geschätzt ("&amp;T1212&amp;"); ",IF(BW1212=1,"Lose – Tablare geschätzt; ","")))&amp;IF(H1212&gt;AT1212,"Überbestand "&amp;ROUND(H1212-AT1212,0)&amp;" Stk / CHF "&amp;ROUND((H1212-AT1212)*G1212,0)&amp;"; ","")&amp;IF(AND(CE1212=1,CF1212&lt;CG1212),"MAX &lt; MB+LG; ","")&amp;IF(AND(CK1212&gt;0,CJ1212*10&gt;CK1212),"zu hoch für Tablar; ","")&amp;IF(AND(BS1212=0,OR(CE1212=1,AA1212&lt;&gt;"",U1212&lt;&gt;"",V1212&lt;&gt;"",AB1212&lt;&gt;"")),"manuell übersteuert; ","")&amp;IF(AND(BW1212=0,R1212=0),"Gebinde unbekannt / Stellmass fehlt; ","")&amp;IF(AND(BW1212=0,N(V1212)&lt;=0,N(Q1212)&lt;=0),"Menge pro Gebinde fehlt (Ist = 1 Gebinde); ","")&amp;BR1212)</f>
        <v>negativer Bestand (Export -12); Überbestand 235 Stk / CHF 10406; i.o</v>
      </c>
      <c r="BK1212" s="48"/>
      <c r="BL1212" s="48"/>
      <c r="BM1212" s="55"/>
      <c r="BN1212" s="50" t="n">
        <v>-12</v>
      </c>
      <c r="BO1212" s="50" t="n">
        <v>397</v>
      </c>
      <c r="BP1212" s="49" t="n">
        <v>-531.36</v>
      </c>
      <c r="BQ1212" s="50" t="n">
        <v>9</v>
      </c>
      <c r="BR1212" s="48" t="s">
        <v>540</v>
      </c>
      <c r="BS1212" s="53" t="n">
        <v>0</v>
      </c>
      <c r="BT1212" s="53" t="n">
        <v>1212</v>
      </c>
      <c r="BU1212" s="48" t="str">
        <f aca="false">IF(U1212&lt;&gt;"",UPPER(TRIM(U1212)),IF(BX1212=1,UPPER(VLOOKUP(T1212,Parameter!$I$27:$K$29,2,0)),IF(P1212="","LOSE",P1212)))</f>
        <v>S61</v>
      </c>
      <c r="BV1212" s="50" t="n">
        <f aca="false">IF(BU1212="LOSE",1,IF(N(V1212)&gt;0,V1212,IF(BX1212=1,MAX(1,N(VLOOKUP(T1212,Parameter!$I$27:$K$29,3,0)),H1212,N(N1212)),IF(N(Q1212)&gt;0,Q1212,MAX(1,H1212)))))</f>
        <v>150</v>
      </c>
      <c r="BW1212" s="53" t="n">
        <f aca="false">IF(BU1212="LOSE",1,0)</f>
        <v>0</v>
      </c>
      <c r="BX1212" s="53" t="n">
        <f aca="false">IF(AND(U1212="",OR(P1212="",P1212="LOSE"),T1212&lt;&gt;"",N(S1212)&lt;=0,ISNUMBER(MATCH(T1212,Parameter!$I$27:$I$29,0))),1,0)</f>
        <v>0</v>
      </c>
      <c r="BY1212" s="53" t="n">
        <f aca="false">IF(CL1212&gt;0,INDEX(Parameter!$H$5:$H$7,W1212)/INDEX(Parameter!$E$5:$E$7,W1212),IF(AND(BW1212=0,N(IFERROR(VLOOKUP(BU1212,'Gebinde-Kategorie'!$A$5:$N$45,14,0),0))&gt;0),VLOOKUP(BU1212,'Gebinde-Kategorie'!$A$5:$N$45,14,0)*10+Parameter!$M$23,Parameter!$M$24))</f>
        <v>145</v>
      </c>
      <c r="BZ1212" s="48" t="str">
        <f aca="false">IF(AND(Parameter!$B$19="Ja",E1212&lt;&gt;"",ISNUMBER(MATCH(E1212,Parameter!$I$35:$I$52,0))),VLOOKUP(E1212,Parameter!$I$35:$J$52,2,0),IFERROR(VLOOKUP(D1212,Parameter!$A$35:$C$64,2,0),"Nein"))</f>
        <v>2+3</v>
      </c>
      <c r="CA1212" s="52" t="n">
        <f aca="false">IF(BW1212=0,0,IF(N(S1212)&gt;0,S1212,IFERROR(VLOOKUP(D1212,Parameter!$A$35:$C$64,3,0)+0,0)))</f>
        <v>0</v>
      </c>
      <c r="CB1212" s="48" t="n">
        <f aca="false">IF(AA1212&lt;&gt;"",AA1212,Z1212)</f>
        <v>2</v>
      </c>
      <c r="CC1212" s="48" t="str">
        <f aca="false">IF(OR(CB1212=1,CB1212=2,CB1212=3),IF(Parameter!$E$27="Ja","LIFT",IF(CB1212=1,"L1","L23")),IF(CB1212="Aussen","Aussen","-"))</f>
        <v>LIFT</v>
      </c>
      <c r="CD1212" s="59" t="n">
        <f aca="false">IF(N(AB1212)&gt;0,AB1212,0)</f>
        <v>0</v>
      </c>
      <c r="CE1212" s="53" t="n">
        <f aca="false">IF(ISNUMBER(AE1212),1,0)</f>
        <v>0</v>
      </c>
      <c r="CF1212" s="50" t="n">
        <f aca="false">N(AE1212)</f>
        <v>0</v>
      </c>
      <c r="CG1212" s="50" t="n">
        <f aca="false">N(M1212)+N(N1212)</f>
        <v>10</v>
      </c>
      <c r="CH1212" s="50" t="n">
        <f aca="false">ROUNDUP(H1212/BV1212,0)</f>
        <v>3</v>
      </c>
      <c r="CI1212" s="50" t="n">
        <f aca="false">ROUNDUP(CF1212/BV1212,0)</f>
        <v>0</v>
      </c>
      <c r="CJ1212" s="53" t="n">
        <f aca="false">IF(BW1212=1,0,IFERROR(VLOOKUP(BU1212,'Gebinde-Kategorie'!$A$5:$N$45,5,0)+0,0))</f>
        <v>11</v>
      </c>
      <c r="CK1212" s="53" t="n">
        <f aca="false">IFERROR(IF(OR(CB1212=1,CB1212=2,CB1212=3),N(INDEX(Parameter!$I$5:$I$7,CB1212)),0),0)</f>
        <v>0</v>
      </c>
      <c r="CL1212" s="52" t="n">
        <f aca="false">IF(AND(Parameter!$B$21="Ja",ISNUMBER(W1212),N(X1212)&gt;0),IFERROR(N(INDEX(Parameter!$L$5:$L$7,W1212))*INDEX(Parameter!$E$5:$E$7,W1212)*X1212/SUMIFS($X$7:$X$1843,$W$7:$W$1843,W1212),0),0)</f>
        <v>0</v>
      </c>
    </row>
    <row r="1213" customFormat="false" ht="15" hidden="false" customHeight="false" outlineLevel="0" collapsed="false">
      <c r="A1213" s="48" t="s">
        <v>2182</v>
      </c>
      <c r="B1213" s="48" t="s">
        <v>1712</v>
      </c>
      <c r="C1213" s="48" t="s">
        <v>168</v>
      </c>
      <c r="D1213" s="48" t="s">
        <v>188</v>
      </c>
      <c r="E1213" s="48" t="s">
        <v>189</v>
      </c>
      <c r="F1213" s="48" t="s">
        <v>222</v>
      </c>
      <c r="G1213" s="49" t="n">
        <v>107</v>
      </c>
      <c r="H1213" s="50" t="n">
        <f aca="false">MAX(0,IF(AND(Parameter!$B$21="Ja",ISNUMBER(Y1213)),Y1213,IF(Parameter!$B$20="Jahresanfang 2025 + Export",BO1213+BN1213,BN1213)))</f>
        <v>16</v>
      </c>
      <c r="I1213" s="50" t="n">
        <f aca="false">H1213*G1213</f>
        <v>1712</v>
      </c>
      <c r="J1213" s="50" t="n">
        <f aca="false">BQ1213*Parameter!$B$18</f>
        <v>14</v>
      </c>
      <c r="K1213" s="51" t="n">
        <v>23</v>
      </c>
      <c r="L1213" s="52" t="n">
        <v>0.608695652173913</v>
      </c>
      <c r="M1213" s="50" t="n">
        <v>3</v>
      </c>
      <c r="N1213" s="50" t="n">
        <v>15</v>
      </c>
      <c r="O1213" s="53" t="n">
        <v>84</v>
      </c>
      <c r="P1213" s="48" t="s">
        <v>237</v>
      </c>
      <c r="Q1213" s="50" t="n">
        <v>64</v>
      </c>
      <c r="R1213" s="53" t="n">
        <f aca="false">IF(BW1213=1,0,IFERROR(VLOOKUP(BU1213,'Gebinde-Kategorie'!$A$5:$N$45,13,0)+0,0))</f>
        <v>26</v>
      </c>
      <c r="S1213" s="54"/>
      <c r="T1213" s="55"/>
      <c r="U1213" s="55"/>
      <c r="V1213" s="55"/>
      <c r="W1213" s="48"/>
      <c r="X1213" s="50"/>
      <c r="Y1213" s="50"/>
      <c r="Z1213" s="48" t="n">
        <f aca="false">IF(A1213="","",IF(AND(Parameter!$B$21="Ja",ISNUMBER(W1213)),W1213,IF(BZ1213="2+3",IF(ISNUMBER(SEARCH("grosser Artikel",BR1213)),2,IFERROR(VLOOKUP(BU1213,Parameter!$F$35:$G$64,2,0),2)),IF(OR(BZ1213="Nein",BZ1213=""),"-",BZ1213))))</f>
        <v>3</v>
      </c>
      <c r="AA1213" s="55"/>
      <c r="AB1213" s="56"/>
      <c r="AC1213" s="50" t="n">
        <f aca="false">AT1213</f>
        <v>64</v>
      </c>
      <c r="AD1213" s="50" t="n">
        <f aca="false">MAX(AT1213,H1213)</f>
        <v>64</v>
      </c>
      <c r="AE1213" s="57"/>
      <c r="AF1213" s="50" t="n">
        <f aca="false">IF(LEFT(Cockpit!$C$5,1)="A",H1213,IF(CE1213=1,CF1213,IF(LEFT(Cockpit!$C$5,1)="B",AK1213,MAX(AK1213,H1213))))</f>
        <v>16</v>
      </c>
      <c r="AG1213" s="50" t="n">
        <f aca="false">IF(BW1213=1,0,ROUNDUP(AF1213/BV1213,0))</f>
        <v>1</v>
      </c>
      <c r="AH1213" s="52" t="n">
        <f aca="false">IF(CL1213&gt;0,CL1213*MAX(1,AF1213/X1213),IF(BW1213=1,IF(AF1213&lt;=0,0,CA1213*MAX(1,IF(H1213&gt;0,AF1213/H1213,1))),IF(R1213&gt;0,AG1213/R1213,0))/MAX(0.1,N(Parameter!$M$21)))</f>
        <v>0.0384615384615385</v>
      </c>
      <c r="AI1213" s="50" t="n">
        <f aca="false">AH1213*BY1213</f>
        <v>9.42307692307692</v>
      </c>
      <c r="AJ1213" s="50" t="n">
        <f aca="false">AF1213*G1213</f>
        <v>1712</v>
      </c>
      <c r="AK1213" s="50" t="n">
        <f aca="false">ROUNDUP(MAX(J1213/IF(CD1213&gt;0,CD1213,MAX(0.1,N(Cockpit!$C$6))),CG1213)/BV1213,0)*BV1213</f>
        <v>64</v>
      </c>
      <c r="AL1213" s="51" t="n">
        <f aca="false">IF(AI1213&gt;0,J1213/AI1213,-1)</f>
        <v>1.48571428571429</v>
      </c>
      <c r="AM1213" s="51" t="n">
        <f aca="false">IF(AND(OR(CC1213="L1",CC1213="L23",CC1213="LIFT"),AI1213&gt;0),SUMIFS($AI$7:$AI$1843,$CC$7:$CC$1843,CC1213,$AL$7:$AL$1843,"&gt;"&amp;AL1213)+SUMIFS($AI$7:$AI$1843,$CC$7:$CC$1843,CC1213,$AL$7:$AL$1843,AL1213,$BT$7:$BT$1843,"&lt;="&amp;BT1213),"")</f>
        <v>6240.69917582418</v>
      </c>
      <c r="AN1213" s="58" t="n">
        <f aca="false">IF(AM1213="",0,MAX(0,MIN(1,(IF(CC1213="L1",Parameter!$H$5,IF(CC1213="L23",Parameter!$H$6+Parameter!$H$7,Parameter!$H$5+Parameter!$H$6+Parameter!$H$7))-(AM1213-AI1213))/AI1213)))</f>
        <v>1</v>
      </c>
      <c r="AO1213" s="50" t="n">
        <f aca="false">IF(LEFT(Cockpit!$I$5,1)="A",H1213,IF(CE1213=1,CF1213,IF(LEFT(Cockpit!$I$5,1)="B",AT1213,MAX(AT1213,H1213))))</f>
        <v>64</v>
      </c>
      <c r="AP1213" s="50" t="n">
        <f aca="false">IF(BW1213=1,0,ROUNDUP(AO1213/BV1213,0))</f>
        <v>1</v>
      </c>
      <c r="AQ1213" s="52" t="n">
        <f aca="false">IF(CL1213&gt;0,CL1213*MAX(1,AO1213/X1213),IF(BW1213=1,IF(AO1213&lt;=0,0,CA1213*MAX(1,IF(H1213&gt;0,AO1213/H1213,1))),IF(R1213&gt;0,AP1213/R1213,0))/MAX(0.1,N(Parameter!$M$21)))</f>
        <v>0.0384615384615385</v>
      </c>
      <c r="AR1213" s="50" t="n">
        <f aca="false">AQ1213*BY1213</f>
        <v>9.42307692307692</v>
      </c>
      <c r="AS1213" s="50" t="n">
        <f aca="false">AO1213*G1213</f>
        <v>6848</v>
      </c>
      <c r="AT1213" s="50" t="n">
        <f aca="false">ROUNDUP(MAX(J1213/IF(CD1213&gt;0,CD1213,MAX(0.1,N(Cockpit!$I$6))),CG1213)/BV1213,0)*BV1213</f>
        <v>64</v>
      </c>
      <c r="AU1213" s="51" t="n">
        <f aca="false">IF(AR1213&gt;0,J1213/AR1213,-1)</f>
        <v>1.48571428571429</v>
      </c>
      <c r="AV1213" s="51" t="n">
        <f aca="false">IF(AND(OR(CC1213="L1",CC1213="L23",CC1213="LIFT"),AR1213&gt;0),SUMIFS($AR$7:$AR$1843,$CC$7:$CC$1843,CC1213,$AU$7:$AU$1843,"&gt;"&amp;AU1213)+SUMIFS($AR$7:$AR$1843,$CC$7:$CC$1843,CC1213,$AU$7:$AU$1843,AU1213,$BT$7:$BT$1843,"&lt;="&amp;BT1213),"")</f>
        <v>8415.51373626374</v>
      </c>
      <c r="AW1213" s="58" t="n">
        <f aca="false">IF(AV1213="",0,MAX(0,MIN(1,(IF(CC1213="L1",Parameter!$H$5,IF(CC1213="L23",Parameter!$H$6+Parameter!$H$7,Parameter!$H$5+Parameter!$H$6+Parameter!$H$7))-(AV1213-AR1213))/AR1213)))</f>
        <v>1</v>
      </c>
      <c r="AX1213" s="50" t="n">
        <f aca="false">IF(LEFT(Cockpit!$O$5,1)="A",H1213,IF(CE1213=1,CF1213,IF(LEFT(Cockpit!$O$5,1)="B",BC1213,MAX(BC1213,H1213))))</f>
        <v>64</v>
      </c>
      <c r="AY1213" s="50" t="n">
        <f aca="false">IF(BW1213=1,0,ROUNDUP(AX1213/BV1213,0))</f>
        <v>1</v>
      </c>
      <c r="AZ1213" s="52" t="n">
        <f aca="false">IF(CL1213&gt;0,CL1213*MAX(1,AX1213/X1213),IF(BW1213=1,IF(AX1213&lt;=0,0,CA1213*MAX(1,IF(H1213&gt;0,AX1213/H1213,1))),IF(R1213&gt;0,AY1213/R1213,0))/MAX(0.1,N(Parameter!$M$21)))</f>
        <v>0.0384615384615385</v>
      </c>
      <c r="BA1213" s="50" t="n">
        <f aca="false">AZ1213*BY1213</f>
        <v>9.42307692307692</v>
      </c>
      <c r="BB1213" s="50" t="n">
        <f aca="false">AX1213*G1213</f>
        <v>6848</v>
      </c>
      <c r="BC1213" s="50" t="n">
        <f aca="false">ROUNDUP(MAX(J1213/IF(CD1213&gt;0,CD1213,MAX(0.1,N(Cockpit!$O$6))),CG1213)/BV1213,0)*BV1213</f>
        <v>64</v>
      </c>
      <c r="BD1213" s="51" t="n">
        <f aca="false">IF(BA1213&gt;0,J1213/BA1213,-1)</f>
        <v>1.48571428571429</v>
      </c>
      <c r="BE1213" s="51" t="n">
        <f aca="false">IF(AND(OR(CC1213="L1",CC1213="L23",CC1213="LIFT"),BA1213&gt;0),SUMIFS($BA$7:$BA$1843,$CC$7:$CC$1843,CC1213,$BD$7:$BD$1843,"&gt;"&amp;BD1213)+SUMIFS($BA$7:$BA$1843,$CC$7:$CC$1843,CC1213,$BD$7:$BD$1843,BD1213,$BT$7:$BT$1843,"&lt;="&amp;BT1213),"")</f>
        <v>8408.25412087912</v>
      </c>
      <c r="BF1213" s="58" t="n">
        <f aca="false">IF(BE1213="",0,MAX(0,MIN(1,(IF(CC1213="L1",Parameter!$H$5,IF(CC1213="L23",Parameter!$H$6+Parameter!$H$7,Parameter!$H$5+Parameter!$H$6+Parameter!$H$7))-(BE1213-BA1213))/BA1213)))</f>
        <v>1</v>
      </c>
      <c r="BG1213" s="48" t="str">
        <f aca="false">IF(AI1213&lt;=0,"",IF(CC1213="Aussen","Aussenlager",IF(CC1213="-","Nicht im Lift",IF(AN1213&gt;=1,"Lift",IF(AN1213&lt;=0,"Aussenlager","teilweise")))))</f>
        <v>Lift</v>
      </c>
      <c r="BH1213" s="48" t="str">
        <f aca="false">IF(AR1213&lt;=0,"",IF(CC1213="Aussen","Aussenlager",IF(CC1213="-","Nicht im Lift",IF(AW1213&gt;=1,"Lift",IF(AW1213&lt;=0,"Aussenlager","teilweise")))))</f>
        <v>Lift</v>
      </c>
      <c r="BI1213" s="48" t="str">
        <f aca="false">IF(BA1213&lt;=0,"",IF(CC1213="Aussen","Aussenlager",IF(CC1213="-","Nicht im Lift",IF(BF1213&gt;=1,"Lift",IF(BF1213&lt;=0,"Aussenlager","teilweise")))))</f>
        <v>Lift</v>
      </c>
      <c r="BJ1213" s="48" t="str">
        <f aca="false">IF(A1213="","",IF(BS1213=1,"Neu; ","")&amp;IF(AND(BS1213=0,BN1213&lt;0),"negativer Bestand (Export "&amp;BN1213&amp;"); ","")&amp;IF(J1213&lt;=0,"Kein Verbrauch; ","")&amp;IF(CL1213&gt;0,"Lift "&amp;W1213&amp;" lt. Liftbericht (Fach "&amp;X1213&amp;" Stk); ",IF(BX1213=1,"Gebinde geschätzt ("&amp;T1213&amp;"); ",IF(BW1213=1,"Lose – Tablare geschätzt; ","")))&amp;IF(H1213&gt;AT1213,"Überbestand "&amp;ROUND(H1213-AT1213,0)&amp;" Stk / CHF "&amp;ROUND((H1213-AT1213)*G1213,0)&amp;"; ","")&amp;IF(AND(CE1213=1,CF1213&lt;CG1213),"MAX &lt; MB+LG; ","")&amp;IF(AND(CK1213&gt;0,CJ1213*10&gt;CK1213),"zu hoch für Tablar; ","")&amp;IF(AND(BS1213=0,OR(CE1213=1,AA1213&lt;&gt;"",U1213&lt;&gt;"",V1213&lt;&gt;"",AB1213&lt;&gt;"")),"manuell übersteuert; ","")&amp;IF(AND(BW1213=0,R1213=0),"Gebinde unbekannt / Stellmass fehlt; ","")&amp;IF(AND(BW1213=0,N(V1213)&lt;=0,N(Q1213)&lt;=0),"Menge pro Gebinde fehlt (Ist = 1 Gebinde); ","")&amp;BR1213)</f>
        <v>negativer Bestand (Export -5); </v>
      </c>
      <c r="BK1213" s="48"/>
      <c r="BL1213" s="48"/>
      <c r="BM1213" s="55"/>
      <c r="BN1213" s="50" t="n">
        <v>-5</v>
      </c>
      <c r="BO1213" s="50" t="n">
        <v>21</v>
      </c>
      <c r="BP1213" s="49" t="n">
        <v>-535</v>
      </c>
      <c r="BQ1213" s="50" t="n">
        <v>14</v>
      </c>
      <c r="BR1213" s="48"/>
      <c r="BS1213" s="53" t="n">
        <v>0</v>
      </c>
      <c r="BT1213" s="53" t="n">
        <v>1213</v>
      </c>
      <c r="BU1213" s="48" t="str">
        <f aca="false">IF(U1213&lt;&gt;"",UPPER(TRIM(U1213)),IF(BX1213=1,UPPER(VLOOKUP(T1213,Parameter!$I$27:$K$29,2,0)),IF(P1213="","LOSE",P1213)))</f>
        <v>S52</v>
      </c>
      <c r="BV1213" s="50" t="n">
        <f aca="false">IF(BU1213="LOSE",1,IF(N(V1213)&gt;0,V1213,IF(BX1213=1,MAX(1,N(VLOOKUP(T1213,Parameter!$I$27:$K$29,3,0)),H1213,N(N1213)),IF(N(Q1213)&gt;0,Q1213,MAX(1,H1213)))))</f>
        <v>64</v>
      </c>
      <c r="BW1213" s="53" t="n">
        <f aca="false">IF(BU1213="LOSE",1,0)</f>
        <v>0</v>
      </c>
      <c r="BX1213" s="53" t="n">
        <f aca="false">IF(AND(U1213="",OR(P1213="",P1213="LOSE"),T1213&lt;&gt;"",N(S1213)&lt;=0,ISNUMBER(MATCH(T1213,Parameter!$I$27:$I$29,0))),1,0)</f>
        <v>0</v>
      </c>
      <c r="BY1213" s="53" t="n">
        <f aca="false">IF(CL1213&gt;0,INDEX(Parameter!$H$5:$H$7,W1213)/INDEX(Parameter!$E$5:$E$7,W1213),IF(AND(BW1213=0,N(IFERROR(VLOOKUP(BU1213,'Gebinde-Kategorie'!$A$5:$N$45,14,0),0))&gt;0),VLOOKUP(BU1213,'Gebinde-Kategorie'!$A$5:$N$45,14,0)*10+Parameter!$M$23,Parameter!$M$24))</f>
        <v>245</v>
      </c>
      <c r="BZ1213" s="48" t="str">
        <f aca="false">IF(AND(Parameter!$B$19="Ja",E1213&lt;&gt;"",ISNUMBER(MATCH(E1213,Parameter!$I$35:$I$52,0))),VLOOKUP(E1213,Parameter!$I$35:$J$52,2,0),IFERROR(VLOOKUP(D1213,Parameter!$A$35:$C$64,2,0),"Nein"))</f>
        <v>2+3</v>
      </c>
      <c r="CA1213" s="52" t="n">
        <f aca="false">IF(BW1213=0,0,IF(N(S1213)&gt;0,S1213,IFERROR(VLOOKUP(D1213,Parameter!$A$35:$C$64,3,0)+0,0)))</f>
        <v>0</v>
      </c>
      <c r="CB1213" s="48" t="n">
        <f aca="false">IF(AA1213&lt;&gt;"",AA1213,Z1213)</f>
        <v>3</v>
      </c>
      <c r="CC1213" s="48" t="str">
        <f aca="false">IF(OR(CB1213=1,CB1213=2,CB1213=3),IF(Parameter!$E$27="Ja","LIFT",IF(CB1213=1,"L1","L23")),IF(CB1213="Aussen","Aussen","-"))</f>
        <v>LIFT</v>
      </c>
      <c r="CD1213" s="59" t="n">
        <f aca="false">IF(N(AB1213)&gt;0,AB1213,0)</f>
        <v>0</v>
      </c>
      <c r="CE1213" s="53" t="n">
        <f aca="false">IF(ISNUMBER(AE1213),1,0)</f>
        <v>0</v>
      </c>
      <c r="CF1213" s="50" t="n">
        <f aca="false">N(AE1213)</f>
        <v>0</v>
      </c>
      <c r="CG1213" s="50" t="n">
        <f aca="false">N(M1213)+N(N1213)</f>
        <v>18</v>
      </c>
      <c r="CH1213" s="50" t="n">
        <f aca="false">ROUNDUP(H1213/BV1213,0)</f>
        <v>1</v>
      </c>
      <c r="CI1213" s="50" t="n">
        <f aca="false">ROUNDUP(CF1213/BV1213,0)</f>
        <v>0</v>
      </c>
      <c r="CJ1213" s="53" t="n">
        <f aca="false">IF(BW1213=1,0,IFERROR(VLOOKUP(BU1213,'Gebinde-Kategorie'!$A$5:$N$45,5,0)+0,0))</f>
        <v>21</v>
      </c>
      <c r="CK1213" s="53" t="n">
        <f aca="false">IFERROR(IF(OR(CB1213=1,CB1213=2,CB1213=3),N(INDEX(Parameter!$I$5:$I$7,CB1213)),0),0)</f>
        <v>0</v>
      </c>
      <c r="CL1213" s="52" t="n">
        <f aca="false">IF(AND(Parameter!$B$21="Ja",ISNUMBER(W1213),N(X1213)&gt;0),IFERROR(N(INDEX(Parameter!$L$5:$L$7,W1213))*INDEX(Parameter!$E$5:$E$7,W1213)*X1213/SUMIFS($X$7:$X$1843,$W$7:$W$1843,W1213),0),0)</f>
        <v>0</v>
      </c>
    </row>
    <row r="1214" customFormat="false" ht="15" hidden="false" customHeight="false" outlineLevel="0" collapsed="false">
      <c r="A1214" s="48" t="s">
        <v>2183</v>
      </c>
      <c r="B1214" s="48" t="s">
        <v>2184</v>
      </c>
      <c r="C1214" s="48" t="s">
        <v>168</v>
      </c>
      <c r="D1214" s="48" t="s">
        <v>177</v>
      </c>
      <c r="E1214" s="48" t="s">
        <v>469</v>
      </c>
      <c r="F1214" s="48" t="s">
        <v>222</v>
      </c>
      <c r="G1214" s="49" t="n">
        <v>86</v>
      </c>
      <c r="H1214" s="50" t="n">
        <f aca="false">MAX(0,IF(AND(Parameter!$B$21="Ja",ISNUMBER(Y1214)),Y1214,IF(Parameter!$B$20="Jahresanfang 2025 + Export",BO1214+BN1214,BN1214)))</f>
        <v>2</v>
      </c>
      <c r="I1214" s="50" t="n">
        <f aca="false">H1214*G1214</f>
        <v>172</v>
      </c>
      <c r="J1214" s="50" t="n">
        <f aca="false">BQ1214*Parameter!$B$18</f>
        <v>36</v>
      </c>
      <c r="K1214" s="51" t="n">
        <v>13</v>
      </c>
      <c r="L1214" s="52" t="n">
        <v>2.76923076923077</v>
      </c>
      <c r="M1214" s="50" t="n">
        <v>1</v>
      </c>
      <c r="N1214" s="50" t="n">
        <v>2</v>
      </c>
      <c r="O1214" s="53" t="n">
        <v>14</v>
      </c>
      <c r="P1214" s="48" t="s">
        <v>172</v>
      </c>
      <c r="Q1214" s="50"/>
      <c r="R1214" s="53" t="n">
        <f aca="false">IF(BW1214=1,0,IFERROR(VLOOKUP(BU1214,'Gebinde-Kategorie'!$A$5:$N$45,13,0)+0,0))</f>
        <v>4</v>
      </c>
      <c r="S1214" s="54"/>
      <c r="T1214" s="55" t="s">
        <v>193</v>
      </c>
      <c r="U1214" s="55"/>
      <c r="V1214" s="55"/>
      <c r="W1214" s="48"/>
      <c r="X1214" s="50"/>
      <c r="Y1214" s="50"/>
      <c r="Z1214" s="48" t="str">
        <f aca="false">IF(A1214="","",IF(AND(Parameter!$B$21="Ja",ISNUMBER(W1214)),W1214,IF(BZ1214="2+3",IF(ISNUMBER(SEARCH("grosser Artikel",BR1214)),2,IFERROR(VLOOKUP(BU1214,Parameter!$F$35:$G$64,2,0),2)),IF(OR(BZ1214="Nein",BZ1214=""),"-",BZ1214))))</f>
        <v>-</v>
      </c>
      <c r="AA1214" s="55"/>
      <c r="AB1214" s="56"/>
      <c r="AC1214" s="50" t="n">
        <f aca="false">AT1214</f>
        <v>18</v>
      </c>
      <c r="AD1214" s="50" t="n">
        <f aca="false">MAX(AT1214,H1214)</f>
        <v>18</v>
      </c>
      <c r="AE1214" s="57"/>
      <c r="AF1214" s="50" t="n">
        <f aca="false">IF(LEFT(Cockpit!$C$5,1)="A",H1214,IF(CE1214=1,CF1214,IF(LEFT(Cockpit!$C$5,1)="B",AK1214,MAX(AK1214,H1214))))</f>
        <v>2</v>
      </c>
      <c r="AG1214" s="50" t="n">
        <f aca="false">IF(BW1214=1,0,ROUNDUP(AF1214/BV1214,0))</f>
        <v>1</v>
      </c>
      <c r="AH1214" s="52" t="n">
        <f aca="false">IF(CL1214&gt;0,CL1214*MAX(1,AF1214/X1214),IF(BW1214=1,IF(AF1214&lt;=0,0,CA1214*MAX(1,IF(H1214&gt;0,AF1214/H1214,1))),IF(R1214&gt;0,AG1214/R1214,0))/MAX(0.1,N(Parameter!$M$21)))</f>
        <v>0.25</v>
      </c>
      <c r="AI1214" s="50" t="n">
        <f aca="false">AH1214*BY1214</f>
        <v>58.75</v>
      </c>
      <c r="AJ1214" s="50" t="n">
        <f aca="false">AF1214*G1214</f>
        <v>172</v>
      </c>
      <c r="AK1214" s="50" t="n">
        <f aca="false">ROUNDUP(MAX(J1214/IF(CD1214&gt;0,CD1214,MAX(0.1,N(Cockpit!$C$6))),CG1214)/BV1214,0)*BV1214</f>
        <v>18</v>
      </c>
      <c r="AL1214" s="51" t="n">
        <f aca="false">IF(AI1214&gt;0,J1214/AI1214,-1)</f>
        <v>0.612765957446809</v>
      </c>
      <c r="AM1214" s="51" t="str">
        <f aca="false">IF(AND(OR(CC1214="L1",CC1214="L23",CC1214="LIFT"),AI1214&gt;0),SUMIFS($AI$7:$AI$1843,$CC$7:$CC$1843,CC1214,$AL$7:$AL$1843,"&gt;"&amp;AL1214)+SUMIFS($AI$7:$AI$1843,$CC$7:$CC$1843,CC1214,$AL$7:$AL$1843,AL1214,$BT$7:$BT$1843,"&lt;="&amp;BT1214),"")</f>
        <v/>
      </c>
      <c r="AN1214" s="58" t="n">
        <f aca="false">IF(AM1214="",0,MAX(0,MIN(1,(IF(CC1214="L1",Parameter!$H$5,IF(CC1214="L23",Parameter!$H$6+Parameter!$H$7,Parameter!$H$5+Parameter!$H$6+Parameter!$H$7))-(AM1214-AI1214))/AI1214)))</f>
        <v>0</v>
      </c>
      <c r="AO1214" s="50" t="n">
        <f aca="false">IF(LEFT(Cockpit!$I$5,1)="A",H1214,IF(CE1214=1,CF1214,IF(LEFT(Cockpit!$I$5,1)="B",AT1214,MAX(AT1214,H1214))))</f>
        <v>18</v>
      </c>
      <c r="AP1214" s="50" t="n">
        <f aca="false">IF(BW1214=1,0,ROUNDUP(AO1214/BV1214,0))</f>
        <v>9</v>
      </c>
      <c r="AQ1214" s="52" t="n">
        <f aca="false">IF(CL1214&gt;0,CL1214*MAX(1,AO1214/X1214),IF(BW1214=1,IF(AO1214&lt;=0,0,CA1214*MAX(1,IF(H1214&gt;0,AO1214/H1214,1))),IF(R1214&gt;0,AP1214/R1214,0))/MAX(0.1,N(Parameter!$M$21)))</f>
        <v>2.25</v>
      </c>
      <c r="AR1214" s="50" t="n">
        <f aca="false">AQ1214*BY1214</f>
        <v>528.75</v>
      </c>
      <c r="AS1214" s="50" t="n">
        <f aca="false">AO1214*G1214</f>
        <v>1548</v>
      </c>
      <c r="AT1214" s="50" t="n">
        <f aca="false">ROUNDUP(MAX(J1214/IF(CD1214&gt;0,CD1214,MAX(0.1,N(Cockpit!$I$6))),CG1214)/BV1214,0)*BV1214</f>
        <v>18</v>
      </c>
      <c r="AU1214" s="51" t="n">
        <f aca="false">IF(AR1214&gt;0,J1214/AR1214,-1)</f>
        <v>0.0680851063829787</v>
      </c>
      <c r="AV1214" s="51" t="str">
        <f aca="false">IF(AND(OR(CC1214="L1",CC1214="L23",CC1214="LIFT"),AR1214&gt;0),SUMIFS($AR$7:$AR$1843,$CC$7:$CC$1843,CC1214,$AU$7:$AU$1843,"&gt;"&amp;AU1214)+SUMIFS($AR$7:$AR$1843,$CC$7:$CC$1843,CC1214,$AU$7:$AU$1843,AU1214,$BT$7:$BT$1843,"&lt;="&amp;BT1214),"")</f>
        <v/>
      </c>
      <c r="AW1214" s="58" t="n">
        <f aca="false">IF(AV1214="",0,MAX(0,MIN(1,(IF(CC1214="L1",Parameter!$H$5,IF(CC1214="L23",Parameter!$H$6+Parameter!$H$7,Parameter!$H$5+Parameter!$H$6+Parameter!$H$7))-(AV1214-AR1214))/AR1214)))</f>
        <v>0</v>
      </c>
      <c r="AX1214" s="50" t="n">
        <f aca="false">IF(LEFT(Cockpit!$O$5,1)="A",H1214,IF(CE1214=1,CF1214,IF(LEFT(Cockpit!$O$5,1)="B",BC1214,MAX(BC1214,H1214))))</f>
        <v>12</v>
      </c>
      <c r="AY1214" s="50" t="n">
        <f aca="false">IF(BW1214=1,0,ROUNDUP(AX1214/BV1214,0))</f>
        <v>6</v>
      </c>
      <c r="AZ1214" s="52" t="n">
        <f aca="false">IF(CL1214&gt;0,CL1214*MAX(1,AX1214/X1214),IF(BW1214=1,IF(AX1214&lt;=0,0,CA1214*MAX(1,IF(H1214&gt;0,AX1214/H1214,1))),IF(R1214&gt;0,AY1214/R1214,0))/MAX(0.1,N(Parameter!$M$21)))</f>
        <v>1.5</v>
      </c>
      <c r="BA1214" s="50" t="n">
        <f aca="false">AZ1214*BY1214</f>
        <v>352.5</v>
      </c>
      <c r="BB1214" s="50" t="n">
        <f aca="false">AX1214*G1214</f>
        <v>1032</v>
      </c>
      <c r="BC1214" s="50" t="n">
        <f aca="false">ROUNDUP(MAX(J1214/IF(CD1214&gt;0,CD1214,MAX(0.1,N(Cockpit!$O$6))),CG1214)/BV1214,0)*BV1214</f>
        <v>12</v>
      </c>
      <c r="BD1214" s="51" t="n">
        <f aca="false">IF(BA1214&gt;0,J1214/BA1214,-1)</f>
        <v>0.102127659574468</v>
      </c>
      <c r="BE1214" s="51" t="str">
        <f aca="false">IF(AND(OR(CC1214="L1",CC1214="L23",CC1214="LIFT"),BA1214&gt;0),SUMIFS($BA$7:$BA$1843,$CC$7:$CC$1843,CC1214,$BD$7:$BD$1843,"&gt;"&amp;BD1214)+SUMIFS($BA$7:$BA$1843,$CC$7:$CC$1843,CC1214,$BD$7:$BD$1843,BD1214,$BT$7:$BT$1843,"&lt;="&amp;BT1214),"")</f>
        <v/>
      </c>
      <c r="BF1214" s="58" t="n">
        <f aca="false">IF(BE1214="",0,MAX(0,MIN(1,(IF(CC1214="L1",Parameter!$H$5,IF(CC1214="L23",Parameter!$H$6+Parameter!$H$7,Parameter!$H$5+Parameter!$H$6+Parameter!$H$7))-(BE1214-BA1214))/BA1214)))</f>
        <v>0</v>
      </c>
      <c r="BG1214" s="48" t="str">
        <f aca="false">IF(AI1214&lt;=0,"",IF(CC1214="Aussen","Aussenlager",IF(CC1214="-","Nicht im Lift",IF(AN1214&gt;=1,"Lift",IF(AN1214&lt;=0,"Aussenlager","teilweise")))))</f>
        <v>Nicht im Lift</v>
      </c>
      <c r="BH1214" s="48" t="str">
        <f aca="false">IF(AR1214&lt;=0,"",IF(CC1214="Aussen","Aussenlager",IF(CC1214="-","Nicht im Lift",IF(AW1214&gt;=1,"Lift",IF(AW1214&lt;=0,"Aussenlager","teilweise")))))</f>
        <v>Nicht im Lift</v>
      </c>
      <c r="BI1214" s="48" t="str">
        <f aca="false">IF(BA1214&lt;=0,"",IF(CC1214="Aussen","Aussenlager",IF(CC1214="-","Nicht im Lift",IF(BF1214&gt;=1,"Lift",IF(BF1214&lt;=0,"Aussenlager","teilweise")))))</f>
        <v>Nicht im Lift</v>
      </c>
      <c r="BJ1214" s="48" t="str">
        <f aca="false">IF(A1214="","",IF(BS1214=1,"Neu; ","")&amp;IF(AND(BS1214=0,BN1214&lt;0),"negativer Bestand (Export "&amp;BN1214&amp;"); ","")&amp;IF(J1214&lt;=0,"Kein Verbrauch; ","")&amp;IF(CL1214&gt;0,"Lift "&amp;W1214&amp;" lt. Liftbericht (Fach "&amp;X1214&amp;" Stk); ",IF(BX1214=1,"Gebinde geschätzt ("&amp;T1214&amp;"); ",IF(BW1214=1,"Lose – Tablare geschätzt; ","")))&amp;IF(H1214&gt;AT1214,"Überbestand "&amp;ROUND(H1214-AT1214,0)&amp;" Stk / CHF "&amp;ROUND((H1214-AT1214)*G1214,0)&amp;"; ","")&amp;IF(AND(CE1214=1,CF1214&lt;CG1214),"MAX &lt; MB+LG; ","")&amp;IF(AND(CK1214&gt;0,CJ1214*10&gt;CK1214),"zu hoch für Tablar; ","")&amp;IF(AND(BS1214=0,OR(CE1214=1,AA1214&lt;&gt;"",U1214&lt;&gt;"",V1214&lt;&gt;"",AB1214&lt;&gt;"")),"manuell übersteuert; ","")&amp;IF(AND(BW1214=0,R1214=0),"Gebinde unbekannt / Stellmass fehlt; ","")&amp;IF(AND(BW1214=0,N(V1214)&lt;=0,N(Q1214)&lt;=0),"Menge pro Gebinde fehlt (Ist = 1 Gebinde); ","")&amp;BR1214)</f>
        <v>negativer Bestand (Export -7); Gebinde geschätzt (Gross); Menge pro Gebinde fehlt (Ist = 1 Gebinde); </v>
      </c>
      <c r="BK1214" s="48"/>
      <c r="BL1214" s="48"/>
      <c r="BM1214" s="55"/>
      <c r="BN1214" s="50" t="n">
        <v>-7</v>
      </c>
      <c r="BO1214" s="50" t="n">
        <v>9</v>
      </c>
      <c r="BP1214" s="49" t="n">
        <v>-544.22</v>
      </c>
      <c r="BQ1214" s="50" t="n">
        <v>36</v>
      </c>
      <c r="BR1214" s="48"/>
      <c r="BS1214" s="53" t="n">
        <v>0</v>
      </c>
      <c r="BT1214" s="53" t="n">
        <v>1214</v>
      </c>
      <c r="BU1214" s="48" t="str">
        <f aca="false">IF(U1214&lt;&gt;"",UPPER(TRIM(U1214)),IF(BX1214=1,UPPER(VLOOKUP(T1214,Parameter!$I$27:$K$29,2,0)),IF(P1214="","LOSE",P1214)))</f>
        <v>S81</v>
      </c>
      <c r="BV1214" s="50" t="n">
        <f aca="false">IF(BU1214="LOSE",1,IF(N(V1214)&gt;0,V1214,IF(BX1214=1,MAX(1,N(VLOOKUP(T1214,Parameter!$I$27:$K$29,3,0)),H1214,N(N1214)),IF(N(Q1214)&gt;0,Q1214,MAX(1,H1214)))))</f>
        <v>2</v>
      </c>
      <c r="BW1214" s="53" t="n">
        <f aca="false">IF(BU1214="LOSE",1,0)</f>
        <v>0</v>
      </c>
      <c r="BX1214" s="53" t="n">
        <f aca="false">IF(AND(U1214="",OR(P1214="",P1214="LOSE"),T1214&lt;&gt;"",N(S1214)&lt;=0,ISNUMBER(MATCH(T1214,Parameter!$I$27:$I$29,0))),1,0)</f>
        <v>1</v>
      </c>
      <c r="BY1214" s="53" t="n">
        <f aca="false">IF(CL1214&gt;0,INDEX(Parameter!$H$5:$H$7,W1214)/INDEX(Parameter!$E$5:$E$7,W1214),IF(AND(BW1214=0,N(IFERROR(VLOOKUP(BU1214,'Gebinde-Kategorie'!$A$5:$N$45,14,0),0))&gt;0),VLOOKUP(BU1214,'Gebinde-Kategorie'!$A$5:$N$45,14,0)*10+Parameter!$M$23,Parameter!$M$24))</f>
        <v>235</v>
      </c>
      <c r="BZ1214" s="48" t="str">
        <f aca="false">IF(AND(Parameter!$B$19="Ja",E1214&lt;&gt;"",ISNUMBER(MATCH(E1214,Parameter!$I$35:$I$52,0))),VLOOKUP(E1214,Parameter!$I$35:$J$52,2,0),IFERROR(VLOOKUP(D1214,Parameter!$A$35:$C$64,2,0),"Nein"))</f>
        <v>Nein</v>
      </c>
      <c r="CA1214" s="52" t="n">
        <f aca="false">IF(BW1214=0,0,IF(N(S1214)&gt;0,S1214,IFERROR(VLOOKUP(D1214,Parameter!$A$35:$C$64,3,0)+0,0)))</f>
        <v>0</v>
      </c>
      <c r="CB1214" s="48" t="str">
        <f aca="false">IF(AA1214&lt;&gt;"",AA1214,Z1214)</f>
        <v>-</v>
      </c>
      <c r="CC1214" s="48" t="str">
        <f aca="false">IF(OR(CB1214=1,CB1214=2,CB1214=3),IF(Parameter!$E$27="Ja","LIFT",IF(CB1214=1,"L1","L23")),IF(CB1214="Aussen","Aussen","-"))</f>
        <v>-</v>
      </c>
      <c r="CD1214" s="59" t="n">
        <f aca="false">IF(N(AB1214)&gt;0,AB1214,0)</f>
        <v>0</v>
      </c>
      <c r="CE1214" s="53" t="n">
        <f aca="false">IF(ISNUMBER(AE1214),1,0)</f>
        <v>0</v>
      </c>
      <c r="CF1214" s="50" t="n">
        <f aca="false">N(AE1214)</f>
        <v>0</v>
      </c>
      <c r="CG1214" s="50" t="n">
        <f aca="false">N(M1214)+N(N1214)</f>
        <v>3</v>
      </c>
      <c r="CH1214" s="50" t="n">
        <f aca="false">ROUNDUP(H1214/BV1214,0)</f>
        <v>1</v>
      </c>
      <c r="CI1214" s="50" t="n">
        <f aca="false">ROUNDUP(CF1214/BV1214,0)</f>
        <v>0</v>
      </c>
      <c r="CJ1214" s="53" t="n">
        <f aca="false">IF(BW1214=1,0,IFERROR(VLOOKUP(BU1214,'Gebinde-Kategorie'!$A$5:$N$45,5,0)+0,0))</f>
        <v>20</v>
      </c>
      <c r="CK1214" s="53" t="n">
        <f aca="false">IFERROR(IF(OR(CB1214=1,CB1214=2,CB1214=3),N(INDEX(Parameter!$I$5:$I$7,CB1214)),0),0)</f>
        <v>0</v>
      </c>
      <c r="CL1214" s="52" t="n">
        <f aca="false">IF(AND(Parameter!$B$21="Ja",ISNUMBER(W1214),N(X1214)&gt;0),IFERROR(N(INDEX(Parameter!$L$5:$L$7,W1214))*INDEX(Parameter!$E$5:$E$7,W1214)*X1214/SUMIFS($X$7:$X$1843,$W$7:$W$1843,W1214),0),0)</f>
        <v>0</v>
      </c>
    </row>
    <row r="1215" customFormat="false" ht="15" hidden="false" customHeight="false" outlineLevel="0" collapsed="false">
      <c r="A1215" s="48" t="s">
        <v>2185</v>
      </c>
      <c r="B1215" s="48" t="s">
        <v>2186</v>
      </c>
      <c r="C1215" s="48" t="s">
        <v>460</v>
      </c>
      <c r="D1215" s="48" t="s">
        <v>177</v>
      </c>
      <c r="E1215" s="48" t="s">
        <v>1483</v>
      </c>
      <c r="F1215" s="48" t="s">
        <v>222</v>
      </c>
      <c r="G1215" s="49" t="n">
        <v>141.18</v>
      </c>
      <c r="H1215" s="50" t="n">
        <f aca="false">MAX(0,IF(AND(Parameter!$B$21="Ja",ISNUMBER(Y1215)),Y1215,IF(Parameter!$B$20="Jahresanfang 2025 + Export",BO1215+BN1215,BN1215)))</f>
        <v>0</v>
      </c>
      <c r="I1215" s="50" t="n">
        <f aca="false">H1215*G1215</f>
        <v>0</v>
      </c>
      <c r="J1215" s="50" t="n">
        <f aca="false">BQ1215*Parameter!$B$18</f>
        <v>0</v>
      </c>
      <c r="K1215" s="51" t="n">
        <v>2</v>
      </c>
      <c r="L1215" s="52" t="n">
        <v>0</v>
      </c>
      <c r="M1215" s="50" t="n">
        <v>0</v>
      </c>
      <c r="N1215" s="50" t="n">
        <v>1</v>
      </c>
      <c r="O1215" s="53" t="n">
        <v>56</v>
      </c>
      <c r="P1215" s="48" t="s">
        <v>172</v>
      </c>
      <c r="Q1215" s="50"/>
      <c r="R1215" s="53" t="n">
        <f aca="false">IF(BW1215=1,0,IFERROR(VLOOKUP(BU1215,'Gebinde-Kategorie'!$A$5:$N$45,13,0)+0,0))</f>
        <v>4</v>
      </c>
      <c r="S1215" s="54"/>
      <c r="T1215" s="55" t="s">
        <v>193</v>
      </c>
      <c r="U1215" s="55"/>
      <c r="V1215" s="55"/>
      <c r="W1215" s="48"/>
      <c r="X1215" s="50"/>
      <c r="Y1215" s="50"/>
      <c r="Z1215" s="48" t="str">
        <f aca="false">IF(A1215="","",IF(AND(Parameter!$B$21="Ja",ISNUMBER(W1215)),W1215,IF(BZ1215="2+3",IF(ISNUMBER(SEARCH("grosser Artikel",BR1215)),2,IFERROR(VLOOKUP(BU1215,Parameter!$F$35:$G$64,2,0),2)),IF(OR(BZ1215="Nein",BZ1215=""),"-",BZ1215))))</f>
        <v>-</v>
      </c>
      <c r="AA1215" s="55"/>
      <c r="AB1215" s="56"/>
      <c r="AC1215" s="50" t="n">
        <f aca="false">AT1215</f>
        <v>2</v>
      </c>
      <c r="AD1215" s="50" t="n">
        <f aca="false">MAX(AT1215,H1215)</f>
        <v>2</v>
      </c>
      <c r="AE1215" s="57"/>
      <c r="AF1215" s="50" t="n">
        <f aca="false">IF(LEFT(Cockpit!$C$5,1)="A",H1215,IF(CE1215=1,CF1215,IF(LEFT(Cockpit!$C$5,1)="B",AK1215,MAX(AK1215,H1215))))</f>
        <v>0</v>
      </c>
      <c r="AG1215" s="50" t="n">
        <f aca="false">IF(BW1215=1,0,ROUNDUP(AF1215/BV1215,0))</f>
        <v>0</v>
      </c>
      <c r="AH1215" s="52" t="n">
        <f aca="false">IF(CL1215&gt;0,CL1215*MAX(1,AF1215/X1215),IF(BW1215=1,IF(AF1215&lt;=0,0,CA1215*MAX(1,IF(H1215&gt;0,AF1215/H1215,1))),IF(R1215&gt;0,AG1215/R1215,0))/MAX(0.1,N(Parameter!$M$21)))</f>
        <v>0</v>
      </c>
      <c r="AI1215" s="50" t="n">
        <f aca="false">AH1215*BY1215</f>
        <v>0</v>
      </c>
      <c r="AJ1215" s="50" t="n">
        <f aca="false">AF1215*G1215</f>
        <v>0</v>
      </c>
      <c r="AK1215" s="50" t="n">
        <f aca="false">ROUNDUP(MAX(J1215/IF(CD1215&gt;0,CD1215,MAX(0.1,N(Cockpit!$C$6))),CG1215)/BV1215,0)*BV1215</f>
        <v>2</v>
      </c>
      <c r="AL1215" s="51" t="n">
        <f aca="false">IF(AI1215&gt;0,J1215/AI1215,-1)</f>
        <v>-1</v>
      </c>
      <c r="AM1215" s="51" t="str">
        <f aca="false">IF(AND(OR(CC1215="L1",CC1215="L23",CC1215="LIFT"),AI1215&gt;0),SUMIFS($AI$7:$AI$1843,$CC$7:$CC$1843,CC1215,$AL$7:$AL$1843,"&gt;"&amp;AL1215)+SUMIFS($AI$7:$AI$1843,$CC$7:$CC$1843,CC1215,$AL$7:$AL$1843,AL1215,$BT$7:$BT$1843,"&lt;="&amp;BT1215),"")</f>
        <v/>
      </c>
      <c r="AN1215" s="58" t="n">
        <f aca="false">IF(AM1215="",0,MAX(0,MIN(1,(IF(CC1215="L1",Parameter!$H$5,IF(CC1215="L23",Parameter!$H$6+Parameter!$H$7,Parameter!$H$5+Parameter!$H$6+Parameter!$H$7))-(AM1215-AI1215))/AI1215)))</f>
        <v>0</v>
      </c>
      <c r="AO1215" s="50" t="n">
        <f aca="false">IF(LEFT(Cockpit!$I$5,1)="A",H1215,IF(CE1215=1,CF1215,IF(LEFT(Cockpit!$I$5,1)="B",AT1215,MAX(AT1215,H1215))))</f>
        <v>2</v>
      </c>
      <c r="AP1215" s="50" t="n">
        <f aca="false">IF(BW1215=1,0,ROUNDUP(AO1215/BV1215,0))</f>
        <v>1</v>
      </c>
      <c r="AQ1215" s="52" t="n">
        <f aca="false">IF(CL1215&gt;0,CL1215*MAX(1,AO1215/X1215),IF(BW1215=1,IF(AO1215&lt;=0,0,CA1215*MAX(1,IF(H1215&gt;0,AO1215/H1215,1))),IF(R1215&gt;0,AP1215/R1215,0))/MAX(0.1,N(Parameter!$M$21)))</f>
        <v>0.25</v>
      </c>
      <c r="AR1215" s="50" t="n">
        <f aca="false">AQ1215*BY1215</f>
        <v>58.75</v>
      </c>
      <c r="AS1215" s="50" t="n">
        <f aca="false">AO1215*G1215</f>
        <v>282.36</v>
      </c>
      <c r="AT1215" s="50" t="n">
        <f aca="false">ROUNDUP(MAX(J1215/IF(CD1215&gt;0,CD1215,MAX(0.1,N(Cockpit!$I$6))),CG1215)/BV1215,0)*BV1215</f>
        <v>2</v>
      </c>
      <c r="AU1215" s="51" t="n">
        <f aca="false">IF(AR1215&gt;0,J1215/AR1215,-1)</f>
        <v>0</v>
      </c>
      <c r="AV1215" s="51" t="str">
        <f aca="false">IF(AND(OR(CC1215="L1",CC1215="L23",CC1215="LIFT"),AR1215&gt;0),SUMIFS($AR$7:$AR$1843,$CC$7:$CC$1843,CC1215,$AU$7:$AU$1843,"&gt;"&amp;AU1215)+SUMIFS($AR$7:$AR$1843,$CC$7:$CC$1843,CC1215,$AU$7:$AU$1843,AU1215,$BT$7:$BT$1843,"&lt;="&amp;BT1215),"")</f>
        <v/>
      </c>
      <c r="AW1215" s="58" t="n">
        <f aca="false">IF(AV1215="",0,MAX(0,MIN(1,(IF(CC1215="L1",Parameter!$H$5,IF(CC1215="L23",Parameter!$H$6+Parameter!$H$7,Parameter!$H$5+Parameter!$H$6+Parameter!$H$7))-(AV1215-AR1215))/AR1215)))</f>
        <v>0</v>
      </c>
      <c r="AX1215" s="50" t="n">
        <f aca="false">IF(LEFT(Cockpit!$O$5,1)="A",H1215,IF(CE1215=1,CF1215,IF(LEFT(Cockpit!$O$5,1)="B",BC1215,MAX(BC1215,H1215))))</f>
        <v>2</v>
      </c>
      <c r="AY1215" s="50" t="n">
        <f aca="false">IF(BW1215=1,0,ROUNDUP(AX1215/BV1215,0))</f>
        <v>1</v>
      </c>
      <c r="AZ1215" s="52" t="n">
        <f aca="false">IF(CL1215&gt;0,CL1215*MAX(1,AX1215/X1215),IF(BW1215=1,IF(AX1215&lt;=0,0,CA1215*MAX(1,IF(H1215&gt;0,AX1215/H1215,1))),IF(R1215&gt;0,AY1215/R1215,0))/MAX(0.1,N(Parameter!$M$21)))</f>
        <v>0.25</v>
      </c>
      <c r="BA1215" s="50" t="n">
        <f aca="false">AZ1215*BY1215</f>
        <v>58.75</v>
      </c>
      <c r="BB1215" s="50" t="n">
        <f aca="false">AX1215*G1215</f>
        <v>282.36</v>
      </c>
      <c r="BC1215" s="50" t="n">
        <f aca="false">ROUNDUP(MAX(J1215/IF(CD1215&gt;0,CD1215,MAX(0.1,N(Cockpit!$O$6))),CG1215)/BV1215,0)*BV1215</f>
        <v>2</v>
      </c>
      <c r="BD1215" s="51" t="n">
        <f aca="false">IF(BA1215&gt;0,J1215/BA1215,-1)</f>
        <v>0</v>
      </c>
      <c r="BE1215" s="51" t="str">
        <f aca="false">IF(AND(OR(CC1215="L1",CC1215="L23",CC1215="LIFT"),BA1215&gt;0),SUMIFS($BA$7:$BA$1843,$CC$7:$CC$1843,CC1215,$BD$7:$BD$1843,"&gt;"&amp;BD1215)+SUMIFS($BA$7:$BA$1843,$CC$7:$CC$1843,CC1215,$BD$7:$BD$1843,BD1215,$BT$7:$BT$1843,"&lt;="&amp;BT1215),"")</f>
        <v/>
      </c>
      <c r="BF1215" s="58" t="n">
        <f aca="false">IF(BE1215="",0,MAX(0,MIN(1,(IF(CC1215="L1",Parameter!$H$5,IF(CC1215="L23",Parameter!$H$6+Parameter!$H$7,Parameter!$H$5+Parameter!$H$6+Parameter!$H$7))-(BE1215-BA1215))/BA1215)))</f>
        <v>0</v>
      </c>
      <c r="BG1215" s="48" t="str">
        <f aca="false">IF(AI1215&lt;=0,"",IF(CC1215="Aussen","Aussenlager",IF(CC1215="-","Nicht im Lift",IF(AN1215&gt;=1,"Lift",IF(AN1215&lt;=0,"Aussenlager","teilweise")))))</f>
        <v/>
      </c>
      <c r="BH1215" s="48" t="str">
        <f aca="false">IF(AR1215&lt;=0,"",IF(CC1215="Aussen","Aussenlager",IF(CC1215="-","Nicht im Lift",IF(AW1215&gt;=1,"Lift",IF(AW1215&lt;=0,"Aussenlager","teilweise")))))</f>
        <v>Nicht im Lift</v>
      </c>
      <c r="BI1215" s="48" t="str">
        <f aca="false">IF(BA1215&lt;=0,"",IF(CC1215="Aussen","Aussenlager",IF(CC1215="-","Nicht im Lift",IF(BF1215&gt;=1,"Lift",IF(BF1215&lt;=0,"Aussenlager","teilweise")))))</f>
        <v>Nicht im Lift</v>
      </c>
      <c r="BJ1215" s="48" t="str">
        <f aca="false">IF(A1215="","",IF(BS1215=1,"Neu; ","")&amp;IF(AND(BS1215=0,BN1215&lt;0),"negativer Bestand (Export "&amp;BN1215&amp;"); ","")&amp;IF(J1215&lt;=0,"Kein Verbrauch; ","")&amp;IF(CL1215&gt;0,"Lift "&amp;W1215&amp;" lt. Liftbericht (Fach "&amp;X1215&amp;" Stk); ",IF(BX1215=1,"Gebinde geschätzt ("&amp;T1215&amp;"); ",IF(BW1215=1,"Lose – Tablare geschätzt; ","")))&amp;IF(H1215&gt;AT1215,"Überbestand "&amp;ROUND(H1215-AT1215,0)&amp;" Stk / CHF "&amp;ROUND((H1215-AT1215)*G1215,0)&amp;"; ","")&amp;IF(AND(CE1215=1,CF1215&lt;CG1215),"MAX &lt; MB+LG; ","")&amp;IF(AND(CK1215&gt;0,CJ1215*10&gt;CK1215),"zu hoch für Tablar; ","")&amp;IF(AND(BS1215=0,OR(CE1215=1,AA1215&lt;&gt;"",U1215&lt;&gt;"",V1215&lt;&gt;"",AB1215&lt;&gt;"")),"manuell übersteuert; ","")&amp;IF(AND(BW1215=0,R1215=0),"Gebinde unbekannt / Stellmass fehlt; ","")&amp;IF(AND(BW1215=0,N(V1215)&lt;=0,N(Q1215)&lt;=0),"Menge pro Gebinde fehlt (Ist = 1 Gebinde); ","")&amp;BR1215)</f>
        <v>negativer Bestand (Export -4); Kein Verbrauch; Gebinde geschätzt (Gross); Menge pro Gebinde fehlt (Ist = 1 Gebinde); </v>
      </c>
      <c r="BK1215" s="48"/>
      <c r="BL1215" s="48"/>
      <c r="BM1215" s="55"/>
      <c r="BN1215" s="50" t="n">
        <v>-4</v>
      </c>
      <c r="BO1215" s="50" t="n">
        <v>4</v>
      </c>
      <c r="BP1215" s="49" t="n">
        <v>-564.72</v>
      </c>
      <c r="BQ1215" s="50" t="n">
        <v>0</v>
      </c>
      <c r="BR1215" s="48"/>
      <c r="BS1215" s="53" t="n">
        <v>0</v>
      </c>
      <c r="BT1215" s="53" t="n">
        <v>1215</v>
      </c>
      <c r="BU1215" s="48" t="str">
        <f aca="false">IF(U1215&lt;&gt;"",UPPER(TRIM(U1215)),IF(BX1215=1,UPPER(VLOOKUP(T1215,Parameter!$I$27:$K$29,2,0)),IF(P1215="","LOSE",P1215)))</f>
        <v>S81</v>
      </c>
      <c r="BV1215" s="50" t="n">
        <f aca="false">IF(BU1215="LOSE",1,IF(N(V1215)&gt;0,V1215,IF(BX1215=1,MAX(1,N(VLOOKUP(T1215,Parameter!$I$27:$K$29,3,0)),H1215,N(N1215)),IF(N(Q1215)&gt;0,Q1215,MAX(1,H1215)))))</f>
        <v>2</v>
      </c>
      <c r="BW1215" s="53" t="n">
        <f aca="false">IF(BU1215="LOSE",1,0)</f>
        <v>0</v>
      </c>
      <c r="BX1215" s="53" t="n">
        <f aca="false">IF(AND(U1215="",OR(P1215="",P1215="LOSE"),T1215&lt;&gt;"",N(S1215)&lt;=0,ISNUMBER(MATCH(T1215,Parameter!$I$27:$I$29,0))),1,0)</f>
        <v>1</v>
      </c>
      <c r="BY1215" s="53" t="n">
        <f aca="false">IF(CL1215&gt;0,INDEX(Parameter!$H$5:$H$7,W1215)/INDEX(Parameter!$E$5:$E$7,W1215),IF(AND(BW1215=0,N(IFERROR(VLOOKUP(BU1215,'Gebinde-Kategorie'!$A$5:$N$45,14,0),0))&gt;0),VLOOKUP(BU1215,'Gebinde-Kategorie'!$A$5:$N$45,14,0)*10+Parameter!$M$23,Parameter!$M$24))</f>
        <v>235</v>
      </c>
      <c r="BZ1215" s="48" t="str">
        <f aca="false">IF(AND(Parameter!$B$19="Ja",E1215&lt;&gt;"",ISNUMBER(MATCH(E1215,Parameter!$I$35:$I$52,0))),VLOOKUP(E1215,Parameter!$I$35:$J$52,2,0),IFERROR(VLOOKUP(D1215,Parameter!$A$35:$C$64,2,0),"Nein"))</f>
        <v>Nein</v>
      </c>
      <c r="CA1215" s="52" t="n">
        <f aca="false">IF(BW1215=0,0,IF(N(S1215)&gt;0,S1215,IFERROR(VLOOKUP(D1215,Parameter!$A$35:$C$64,3,0)+0,0)))</f>
        <v>0</v>
      </c>
      <c r="CB1215" s="48" t="str">
        <f aca="false">IF(AA1215&lt;&gt;"",AA1215,Z1215)</f>
        <v>-</v>
      </c>
      <c r="CC1215" s="48" t="str">
        <f aca="false">IF(OR(CB1215=1,CB1215=2,CB1215=3),IF(Parameter!$E$27="Ja","LIFT",IF(CB1215=1,"L1","L23")),IF(CB1215="Aussen","Aussen","-"))</f>
        <v>-</v>
      </c>
      <c r="CD1215" s="59" t="n">
        <f aca="false">IF(N(AB1215)&gt;0,AB1215,0)</f>
        <v>0</v>
      </c>
      <c r="CE1215" s="53" t="n">
        <f aca="false">IF(ISNUMBER(AE1215),1,0)</f>
        <v>0</v>
      </c>
      <c r="CF1215" s="50" t="n">
        <f aca="false">N(AE1215)</f>
        <v>0</v>
      </c>
      <c r="CG1215" s="50" t="n">
        <f aca="false">N(M1215)+N(N1215)</f>
        <v>1</v>
      </c>
      <c r="CH1215" s="50" t="n">
        <f aca="false">ROUNDUP(H1215/BV1215,0)</f>
        <v>0</v>
      </c>
      <c r="CI1215" s="50" t="n">
        <f aca="false">ROUNDUP(CF1215/BV1215,0)</f>
        <v>0</v>
      </c>
      <c r="CJ1215" s="53" t="n">
        <f aca="false">IF(BW1215=1,0,IFERROR(VLOOKUP(BU1215,'Gebinde-Kategorie'!$A$5:$N$45,5,0)+0,0))</f>
        <v>20</v>
      </c>
      <c r="CK1215" s="53" t="n">
        <f aca="false">IFERROR(IF(OR(CB1215=1,CB1215=2,CB1215=3),N(INDEX(Parameter!$I$5:$I$7,CB1215)),0),0)</f>
        <v>0</v>
      </c>
      <c r="CL1215" s="52" t="n">
        <f aca="false">IF(AND(Parameter!$B$21="Ja",ISNUMBER(W1215),N(X1215)&gt;0),IFERROR(N(INDEX(Parameter!$L$5:$L$7,W1215))*INDEX(Parameter!$E$5:$E$7,W1215)*X1215/SUMIFS($X$7:$X$1843,$W$7:$W$1843,W1215),0),0)</f>
        <v>0</v>
      </c>
    </row>
    <row r="1216" customFormat="false" ht="15" hidden="false" customHeight="false" outlineLevel="0" collapsed="false">
      <c r="A1216" s="48" t="s">
        <v>2187</v>
      </c>
      <c r="B1216" s="48" t="s">
        <v>1407</v>
      </c>
      <c r="C1216" s="48" t="s">
        <v>168</v>
      </c>
      <c r="D1216" s="48" t="s">
        <v>188</v>
      </c>
      <c r="E1216" s="48"/>
      <c r="F1216" s="48" t="s">
        <v>222</v>
      </c>
      <c r="G1216" s="49" t="n">
        <v>63.26</v>
      </c>
      <c r="H1216" s="50" t="n">
        <f aca="false">MAX(0,IF(AND(Parameter!$B$21="Ja",ISNUMBER(Y1216)),Y1216,IF(Parameter!$B$20="Jahresanfang 2025 + Export",BO1216+BN1216,BN1216)))</f>
        <v>18</v>
      </c>
      <c r="I1216" s="50" t="n">
        <f aca="false">H1216*G1216</f>
        <v>1138.68</v>
      </c>
      <c r="J1216" s="50" t="n">
        <f aca="false">BQ1216*Parameter!$B$18</f>
        <v>2</v>
      </c>
      <c r="K1216" s="51" t="n">
        <v>25</v>
      </c>
      <c r="L1216" s="52" t="n">
        <v>0.08</v>
      </c>
      <c r="M1216" s="50" t="n">
        <v>0</v>
      </c>
      <c r="N1216" s="50" t="n">
        <v>1</v>
      </c>
      <c r="O1216" s="53" t="n">
        <v>35</v>
      </c>
      <c r="P1216" s="48" t="s">
        <v>172</v>
      </c>
      <c r="Q1216" s="50"/>
      <c r="R1216" s="53" t="n">
        <f aca="false">IF(BW1216=1,0,IFERROR(VLOOKUP(BU1216,'Gebinde-Kategorie'!$A$5:$N$45,13,0)+0,0))</f>
        <v>26</v>
      </c>
      <c r="S1216" s="54"/>
      <c r="T1216" s="55" t="s">
        <v>279</v>
      </c>
      <c r="U1216" s="55"/>
      <c r="V1216" s="55"/>
      <c r="W1216" s="48"/>
      <c r="X1216" s="50"/>
      <c r="Y1216" s="50"/>
      <c r="Z1216" s="48" t="n">
        <f aca="false">IF(A1216="","",IF(AND(Parameter!$B$21="Ja",ISNUMBER(W1216)),W1216,IF(BZ1216="2+3",IF(ISNUMBER(SEARCH("grosser Artikel",BR1216)),2,IFERROR(VLOOKUP(BU1216,Parameter!$F$35:$G$64,2,0),2)),IF(OR(BZ1216="Nein",BZ1216=""),"-",BZ1216))))</f>
        <v>3</v>
      </c>
      <c r="AA1216" s="55"/>
      <c r="AB1216" s="56"/>
      <c r="AC1216" s="50" t="n">
        <f aca="false">AT1216</f>
        <v>20</v>
      </c>
      <c r="AD1216" s="50" t="n">
        <f aca="false">MAX(AT1216,H1216)</f>
        <v>20</v>
      </c>
      <c r="AE1216" s="57"/>
      <c r="AF1216" s="50" t="n">
        <f aca="false">IF(LEFT(Cockpit!$C$5,1)="A",H1216,IF(CE1216=1,CF1216,IF(LEFT(Cockpit!$C$5,1)="B",AK1216,MAX(AK1216,H1216))))</f>
        <v>18</v>
      </c>
      <c r="AG1216" s="50" t="n">
        <f aca="false">IF(BW1216=1,0,ROUNDUP(AF1216/BV1216,0))</f>
        <v>1</v>
      </c>
      <c r="AH1216" s="52" t="n">
        <f aca="false">IF(CL1216&gt;0,CL1216*MAX(1,AF1216/X1216),IF(BW1216=1,IF(AF1216&lt;=0,0,CA1216*MAX(1,IF(H1216&gt;0,AF1216/H1216,1))),IF(R1216&gt;0,AG1216/R1216,0))/MAX(0.1,N(Parameter!$M$21)))</f>
        <v>0.0384615384615385</v>
      </c>
      <c r="AI1216" s="50" t="n">
        <f aca="false">AH1216*BY1216</f>
        <v>5.96153846153846</v>
      </c>
      <c r="AJ1216" s="50" t="n">
        <f aca="false">AF1216*G1216</f>
        <v>1138.68</v>
      </c>
      <c r="AK1216" s="50" t="n">
        <f aca="false">ROUNDUP(MAX(J1216/IF(CD1216&gt;0,CD1216,MAX(0.1,N(Cockpit!$C$6))),CG1216)/BV1216,0)*BV1216</f>
        <v>20</v>
      </c>
      <c r="AL1216" s="51" t="n">
        <f aca="false">IF(AI1216&gt;0,J1216/AI1216,-1)</f>
        <v>0.335483870967742</v>
      </c>
      <c r="AM1216" s="51" t="n">
        <f aca="false">IF(AND(OR(CC1216="L1",CC1216="L23",CC1216="LIFT"),AI1216&gt;0),SUMIFS($AI$7:$AI$1843,$CC$7:$CC$1843,CC1216,$AL$7:$AL$1843,"&gt;"&amp;AL1216)+SUMIFS($AI$7:$AI$1843,$CC$7:$CC$1843,CC1216,$AL$7:$AL$1843,AL1216,$BT$7:$BT$1843,"&lt;="&amp;BT1216),"")</f>
        <v>11242.6539625629</v>
      </c>
      <c r="AN1216" s="58" t="n">
        <f aca="false">IF(AM1216="",0,MAX(0,MIN(1,(IF(CC1216="L1",Parameter!$H$5,IF(CC1216="L23",Parameter!$H$6+Parameter!$H$7,Parameter!$H$5+Parameter!$H$6+Parameter!$H$7))-(AM1216-AI1216))/AI1216)))</f>
        <v>1</v>
      </c>
      <c r="AO1216" s="50" t="n">
        <f aca="false">IF(LEFT(Cockpit!$I$5,1)="A",H1216,IF(CE1216=1,CF1216,IF(LEFT(Cockpit!$I$5,1)="B",AT1216,MAX(AT1216,H1216))))</f>
        <v>20</v>
      </c>
      <c r="AP1216" s="50" t="n">
        <f aca="false">IF(BW1216=1,0,ROUNDUP(AO1216/BV1216,0))</f>
        <v>1</v>
      </c>
      <c r="AQ1216" s="52" t="n">
        <f aca="false">IF(CL1216&gt;0,CL1216*MAX(1,AO1216/X1216),IF(BW1216=1,IF(AO1216&lt;=0,0,CA1216*MAX(1,IF(H1216&gt;0,AO1216/H1216,1))),IF(R1216&gt;0,AP1216/R1216,0))/MAX(0.1,N(Parameter!$M$21)))</f>
        <v>0.0384615384615385</v>
      </c>
      <c r="AR1216" s="50" t="n">
        <f aca="false">AQ1216*BY1216</f>
        <v>5.96153846153846</v>
      </c>
      <c r="AS1216" s="50" t="n">
        <f aca="false">AO1216*G1216</f>
        <v>1265.2</v>
      </c>
      <c r="AT1216" s="50" t="n">
        <f aca="false">ROUNDUP(MAX(J1216/IF(CD1216&gt;0,CD1216,MAX(0.1,N(Cockpit!$I$6))),CG1216)/BV1216,0)*BV1216</f>
        <v>20</v>
      </c>
      <c r="AU1216" s="51" t="n">
        <f aca="false">IF(AR1216&gt;0,J1216/AR1216,-1)</f>
        <v>0.335483870967742</v>
      </c>
      <c r="AV1216" s="51" t="n">
        <f aca="false">IF(AND(OR(CC1216="L1",CC1216="L23",CC1216="LIFT"),AR1216&gt;0),SUMIFS($AR$7:$AR$1843,$CC$7:$CC$1843,CC1216,$AU$7:$AU$1843,"&gt;"&amp;AU1216)+SUMIFS($AR$7:$AR$1843,$CC$7:$CC$1843,CC1216,$AU$7:$AU$1843,AU1216,$BT$7:$BT$1843,"&lt;="&amp;BT1216),"")</f>
        <v>16368.3521062271</v>
      </c>
      <c r="AW1216" s="58" t="n">
        <f aca="false">IF(AV1216="",0,MAX(0,MIN(1,(IF(CC1216="L1",Parameter!$H$5,IF(CC1216="L23",Parameter!$H$6+Parameter!$H$7,Parameter!$H$5+Parameter!$H$6+Parameter!$H$7))-(AV1216-AR1216))/AR1216)))</f>
        <v>1</v>
      </c>
      <c r="AX1216" s="50" t="n">
        <f aca="false">IF(LEFT(Cockpit!$O$5,1)="A",H1216,IF(CE1216=1,CF1216,IF(LEFT(Cockpit!$O$5,1)="B",BC1216,MAX(BC1216,H1216))))</f>
        <v>20</v>
      </c>
      <c r="AY1216" s="50" t="n">
        <f aca="false">IF(BW1216=1,0,ROUNDUP(AX1216/BV1216,0))</f>
        <v>1</v>
      </c>
      <c r="AZ1216" s="52" t="n">
        <f aca="false">IF(CL1216&gt;0,CL1216*MAX(1,AX1216/X1216),IF(BW1216=1,IF(AX1216&lt;=0,0,CA1216*MAX(1,IF(H1216&gt;0,AX1216/H1216,1))),IF(R1216&gt;0,AY1216/R1216,0))/MAX(0.1,N(Parameter!$M$21)))</f>
        <v>0.0384615384615385</v>
      </c>
      <c r="BA1216" s="50" t="n">
        <f aca="false">AZ1216*BY1216</f>
        <v>5.96153846153846</v>
      </c>
      <c r="BB1216" s="50" t="n">
        <f aca="false">AX1216*G1216</f>
        <v>1265.2</v>
      </c>
      <c r="BC1216" s="50" t="n">
        <f aca="false">ROUNDUP(MAX(J1216/IF(CD1216&gt;0,CD1216,MAX(0.1,N(Cockpit!$O$6))),CG1216)/BV1216,0)*BV1216</f>
        <v>20</v>
      </c>
      <c r="BD1216" s="51" t="n">
        <f aca="false">IF(BA1216&gt;0,J1216/BA1216,-1)</f>
        <v>0.335483870967742</v>
      </c>
      <c r="BE1216" s="51" t="n">
        <f aca="false">IF(AND(OR(CC1216="L1",CC1216="L23",CC1216="LIFT"),BA1216&gt;0),SUMIFS($BA$7:$BA$1843,$CC$7:$CC$1843,CC1216,$BD$7:$BD$1843,"&gt;"&amp;BD1216)+SUMIFS($BA$7:$BA$1843,$CC$7:$CC$1843,CC1216,$BD$7:$BD$1843,BD1216,$BT$7:$BT$1843,"&lt;="&amp;BT1216),"")</f>
        <v>15119.0091575092</v>
      </c>
      <c r="BF1216" s="58" t="n">
        <f aca="false">IF(BE1216="",0,MAX(0,MIN(1,(IF(CC1216="L1",Parameter!$H$5,IF(CC1216="L23",Parameter!$H$6+Parameter!$H$7,Parameter!$H$5+Parameter!$H$6+Parameter!$H$7))-(BE1216-BA1216))/BA1216)))</f>
        <v>1</v>
      </c>
      <c r="BG1216" s="48" t="str">
        <f aca="false">IF(AI1216&lt;=0,"",IF(CC1216="Aussen","Aussenlager",IF(CC1216="-","Nicht im Lift",IF(AN1216&gt;=1,"Lift",IF(AN1216&lt;=0,"Aussenlager","teilweise")))))</f>
        <v>Lift</v>
      </c>
      <c r="BH1216" s="48" t="str">
        <f aca="false">IF(AR1216&lt;=0,"",IF(CC1216="Aussen","Aussenlager",IF(CC1216="-","Nicht im Lift",IF(AW1216&gt;=1,"Lift",IF(AW1216&lt;=0,"Aussenlager","teilweise")))))</f>
        <v>Lift</v>
      </c>
      <c r="BI1216" s="48" t="str">
        <f aca="false">IF(BA1216&lt;=0,"",IF(CC1216="Aussen","Aussenlager",IF(CC1216="-","Nicht im Lift",IF(BF1216&gt;=1,"Lift",IF(BF1216&lt;=0,"Aussenlager","teilweise")))))</f>
        <v>Lift</v>
      </c>
      <c r="BJ1216" s="48" t="str">
        <f aca="false">IF(A1216="","",IF(BS1216=1,"Neu; ","")&amp;IF(AND(BS1216=0,BN1216&lt;0),"negativer Bestand (Export "&amp;BN1216&amp;"); ","")&amp;IF(J1216&lt;=0,"Kein Verbrauch; ","")&amp;IF(CL1216&gt;0,"Lift "&amp;W1216&amp;" lt. Liftbericht (Fach "&amp;X1216&amp;" Stk); ",IF(BX1216=1,"Gebinde geschätzt ("&amp;T1216&amp;"); ",IF(BW1216=1,"Lose – Tablare geschätzt; ","")))&amp;IF(H1216&gt;AT1216,"Überbestand "&amp;ROUND(H1216-AT1216,0)&amp;" Stk / CHF "&amp;ROUND((H1216-AT1216)*G1216,0)&amp;"; ","")&amp;IF(AND(CE1216=1,CF1216&lt;CG1216),"MAX &lt; MB+LG; ","")&amp;IF(AND(CK1216&gt;0,CJ1216*10&gt;CK1216),"zu hoch für Tablar; ","")&amp;IF(AND(BS1216=0,OR(CE1216=1,AA1216&lt;&gt;"",U1216&lt;&gt;"",V1216&lt;&gt;"",AB1216&lt;&gt;"")),"manuell übersteuert; ","")&amp;IF(AND(BW1216=0,R1216=0),"Gebinde unbekannt / Stellmass fehlt; ","")&amp;IF(AND(BW1216=0,N(V1216)&lt;=0,N(Q1216)&lt;=0),"Menge pro Gebinde fehlt (Ist = 1 Gebinde); ","")&amp;BR1216)</f>
        <v>negativer Bestand (Export -9); Gebinde geschätzt (Klein); Menge pro Gebinde fehlt (Ist = 1 Gebinde); </v>
      </c>
      <c r="BK1216" s="48"/>
      <c r="BL1216" s="48"/>
      <c r="BM1216" s="55"/>
      <c r="BN1216" s="50" t="n">
        <v>-9</v>
      </c>
      <c r="BO1216" s="50" t="n">
        <v>27</v>
      </c>
      <c r="BP1216" s="49" t="n">
        <v>-569.34</v>
      </c>
      <c r="BQ1216" s="50" t="n">
        <v>2</v>
      </c>
      <c r="BR1216" s="48"/>
      <c r="BS1216" s="53" t="n">
        <v>0</v>
      </c>
      <c r="BT1216" s="53" t="n">
        <v>1216</v>
      </c>
      <c r="BU1216" s="48" t="str">
        <f aca="false">IF(U1216&lt;&gt;"",UPPER(TRIM(U1216)),IF(BX1216=1,UPPER(VLOOKUP(T1216,Parameter!$I$27:$K$29,2,0)),IF(P1216="","LOSE",P1216)))</f>
        <v>S51</v>
      </c>
      <c r="BV1216" s="50" t="n">
        <f aca="false">IF(BU1216="LOSE",1,IF(N(V1216)&gt;0,V1216,IF(BX1216=1,MAX(1,N(VLOOKUP(T1216,Parameter!$I$27:$K$29,3,0)),H1216,N(N1216)),IF(N(Q1216)&gt;0,Q1216,MAX(1,H1216)))))</f>
        <v>20</v>
      </c>
      <c r="BW1216" s="53" t="n">
        <f aca="false">IF(BU1216="LOSE",1,0)</f>
        <v>0</v>
      </c>
      <c r="BX1216" s="53" t="n">
        <f aca="false">IF(AND(U1216="",OR(P1216="",P1216="LOSE"),T1216&lt;&gt;"",N(S1216)&lt;=0,ISNUMBER(MATCH(T1216,Parameter!$I$27:$I$29,0))),1,0)</f>
        <v>1</v>
      </c>
      <c r="BY1216" s="53" t="n">
        <f aca="false">IF(CL1216&gt;0,INDEX(Parameter!$H$5:$H$7,W1216)/INDEX(Parameter!$E$5:$E$7,W1216),IF(AND(BW1216=0,N(IFERROR(VLOOKUP(BU1216,'Gebinde-Kategorie'!$A$5:$N$45,14,0),0))&gt;0),VLOOKUP(BU1216,'Gebinde-Kategorie'!$A$5:$N$45,14,0)*10+Parameter!$M$23,Parameter!$M$24))</f>
        <v>155</v>
      </c>
      <c r="BZ1216" s="48" t="str">
        <f aca="false">IF(AND(Parameter!$B$19="Ja",E1216&lt;&gt;"",ISNUMBER(MATCH(E1216,Parameter!$I$35:$I$52,0))),VLOOKUP(E1216,Parameter!$I$35:$J$52,2,0),IFERROR(VLOOKUP(D1216,Parameter!$A$35:$C$64,2,0),"Nein"))</f>
        <v>2+3</v>
      </c>
      <c r="CA1216" s="52" t="n">
        <f aca="false">IF(BW1216=0,0,IF(N(S1216)&gt;0,S1216,IFERROR(VLOOKUP(D1216,Parameter!$A$35:$C$64,3,0)+0,0)))</f>
        <v>0</v>
      </c>
      <c r="CB1216" s="48" t="n">
        <f aca="false">IF(AA1216&lt;&gt;"",AA1216,Z1216)</f>
        <v>3</v>
      </c>
      <c r="CC1216" s="48" t="str">
        <f aca="false">IF(OR(CB1216=1,CB1216=2,CB1216=3),IF(Parameter!$E$27="Ja","LIFT",IF(CB1216=1,"L1","L23")),IF(CB1216="Aussen","Aussen","-"))</f>
        <v>LIFT</v>
      </c>
      <c r="CD1216" s="59" t="n">
        <f aca="false">IF(N(AB1216)&gt;0,AB1216,0)</f>
        <v>0</v>
      </c>
      <c r="CE1216" s="53" t="n">
        <f aca="false">IF(ISNUMBER(AE1216),1,0)</f>
        <v>0</v>
      </c>
      <c r="CF1216" s="50" t="n">
        <f aca="false">N(AE1216)</f>
        <v>0</v>
      </c>
      <c r="CG1216" s="50" t="n">
        <f aca="false">N(M1216)+N(N1216)</f>
        <v>1</v>
      </c>
      <c r="CH1216" s="50" t="n">
        <f aca="false">ROUNDUP(H1216/BV1216,0)</f>
        <v>1</v>
      </c>
      <c r="CI1216" s="50" t="n">
        <f aca="false">ROUNDUP(CF1216/BV1216,0)</f>
        <v>0</v>
      </c>
      <c r="CJ1216" s="53" t="n">
        <f aca="false">IF(BW1216=1,0,IFERROR(VLOOKUP(BU1216,'Gebinde-Kategorie'!$A$5:$N$45,5,0)+0,0))</f>
        <v>11</v>
      </c>
      <c r="CK1216" s="53" t="n">
        <f aca="false">IFERROR(IF(OR(CB1216=1,CB1216=2,CB1216=3),N(INDEX(Parameter!$I$5:$I$7,CB1216)),0),0)</f>
        <v>0</v>
      </c>
      <c r="CL1216" s="52" t="n">
        <f aca="false">IF(AND(Parameter!$B$21="Ja",ISNUMBER(W1216),N(X1216)&gt;0),IFERROR(N(INDEX(Parameter!$L$5:$L$7,W1216))*INDEX(Parameter!$E$5:$E$7,W1216)*X1216/SUMIFS($X$7:$X$1843,$W$7:$W$1843,W1216),0),0)</f>
        <v>0</v>
      </c>
    </row>
    <row r="1217" customFormat="false" ht="15" hidden="false" customHeight="false" outlineLevel="0" collapsed="false">
      <c r="A1217" s="48" t="s">
        <v>2188</v>
      </c>
      <c r="B1217" s="48" t="s">
        <v>475</v>
      </c>
      <c r="C1217" s="48" t="s">
        <v>168</v>
      </c>
      <c r="D1217" s="48" t="s">
        <v>177</v>
      </c>
      <c r="E1217" s="48" t="s">
        <v>189</v>
      </c>
      <c r="F1217" s="48" t="s">
        <v>222</v>
      </c>
      <c r="G1217" s="49" t="n">
        <v>2.9</v>
      </c>
      <c r="H1217" s="50" t="n">
        <f aca="false">MAX(0,IF(AND(Parameter!$B$21="Ja",ISNUMBER(Y1217)),Y1217,IF(Parameter!$B$20="Jahresanfang 2025 + Export",BO1217+BN1217,BN1217)))</f>
        <v>119</v>
      </c>
      <c r="I1217" s="50" t="n">
        <f aca="false">H1217*G1217</f>
        <v>345.1</v>
      </c>
      <c r="J1217" s="50" t="n">
        <f aca="false">BQ1217*Parameter!$B$18</f>
        <v>403</v>
      </c>
      <c r="K1217" s="51" t="n">
        <v>227</v>
      </c>
      <c r="L1217" s="52" t="n">
        <v>1.77533039647577</v>
      </c>
      <c r="M1217" s="50" t="n">
        <v>39</v>
      </c>
      <c r="N1217" s="50" t="n">
        <v>405</v>
      </c>
      <c r="O1217" s="53" t="n">
        <v>35</v>
      </c>
      <c r="P1217" s="48" t="s">
        <v>230</v>
      </c>
      <c r="Q1217" s="50" t="n">
        <v>196</v>
      </c>
      <c r="R1217" s="53" t="n">
        <f aca="false">IF(BW1217=1,0,IFERROR(VLOOKUP(BU1217,'Gebinde-Kategorie'!$A$5:$N$45,13,0)+0,0))</f>
        <v>12</v>
      </c>
      <c r="S1217" s="54"/>
      <c r="T1217" s="55"/>
      <c r="U1217" s="55"/>
      <c r="V1217" s="55"/>
      <c r="W1217" s="48"/>
      <c r="X1217" s="50"/>
      <c r="Y1217" s="50"/>
      <c r="Z1217" s="48" t="n">
        <f aca="false">IF(A1217="","",IF(AND(Parameter!$B$21="Ja",ISNUMBER(W1217)),W1217,IF(BZ1217="2+3",IF(ISNUMBER(SEARCH("grosser Artikel",BR1217)),2,IFERROR(VLOOKUP(BU1217,Parameter!$F$35:$G$64,2,0),2)),IF(OR(BZ1217="Nein",BZ1217=""),"-",BZ1217))))</f>
        <v>2</v>
      </c>
      <c r="AA1217" s="55"/>
      <c r="AB1217" s="56"/>
      <c r="AC1217" s="50" t="n">
        <f aca="false">AT1217</f>
        <v>588</v>
      </c>
      <c r="AD1217" s="50" t="n">
        <f aca="false">MAX(AT1217,H1217)</f>
        <v>588</v>
      </c>
      <c r="AE1217" s="57"/>
      <c r="AF1217" s="50" t="n">
        <f aca="false">IF(LEFT(Cockpit!$C$5,1)="A",H1217,IF(CE1217=1,CF1217,IF(LEFT(Cockpit!$C$5,1)="B",AK1217,MAX(AK1217,H1217))))</f>
        <v>119</v>
      </c>
      <c r="AG1217" s="50" t="n">
        <f aca="false">IF(BW1217=1,0,ROUNDUP(AF1217/BV1217,0))</f>
        <v>1</v>
      </c>
      <c r="AH1217" s="52" t="n">
        <f aca="false">IF(CL1217&gt;0,CL1217*MAX(1,AF1217/X1217),IF(BW1217=1,IF(AF1217&lt;=0,0,CA1217*MAX(1,IF(H1217&gt;0,AF1217/H1217,1))),IF(R1217&gt;0,AG1217/R1217,0))/MAX(0.1,N(Parameter!$M$21)))</f>
        <v>0.0833333333333333</v>
      </c>
      <c r="AI1217" s="50" t="n">
        <f aca="false">AH1217*BY1217</f>
        <v>28.75</v>
      </c>
      <c r="AJ1217" s="50" t="n">
        <f aca="false">AF1217*G1217</f>
        <v>345.1</v>
      </c>
      <c r="AK1217" s="50" t="n">
        <f aca="false">ROUNDUP(MAX(J1217/IF(CD1217&gt;0,CD1217,MAX(0.1,N(Cockpit!$C$6))),CG1217)/BV1217,0)*BV1217</f>
        <v>588</v>
      </c>
      <c r="AL1217" s="51" t="n">
        <f aca="false">IF(AI1217&gt;0,J1217/AI1217,-1)</f>
        <v>14.0173913043478</v>
      </c>
      <c r="AM1217" s="51" t="n">
        <f aca="false">IF(AND(OR(CC1217="L1",CC1217="L23",CC1217="LIFT"),AI1217&gt;0),SUMIFS($AI$7:$AI$1843,$CC$7:$CC$1843,CC1217,$AL$7:$AL$1843,"&gt;"&amp;AL1217)+SUMIFS($AI$7:$AI$1843,$CC$7:$CC$1843,CC1217,$AL$7:$AL$1843,AL1217,$BT$7:$BT$1843,"&lt;="&amp;BT1217),"")</f>
        <v>2143.34340659341</v>
      </c>
      <c r="AN1217" s="58" t="n">
        <f aca="false">IF(AM1217="",0,MAX(0,MIN(1,(IF(CC1217="L1",Parameter!$H$5,IF(CC1217="L23",Parameter!$H$6+Parameter!$H$7,Parameter!$H$5+Parameter!$H$6+Parameter!$H$7))-(AM1217-AI1217))/AI1217)))</f>
        <v>1</v>
      </c>
      <c r="AO1217" s="50" t="n">
        <f aca="false">IF(LEFT(Cockpit!$I$5,1)="A",H1217,IF(CE1217=1,CF1217,IF(LEFT(Cockpit!$I$5,1)="B",AT1217,MAX(AT1217,H1217))))</f>
        <v>588</v>
      </c>
      <c r="AP1217" s="50" t="n">
        <f aca="false">IF(BW1217=1,0,ROUNDUP(AO1217/BV1217,0))</f>
        <v>3</v>
      </c>
      <c r="AQ1217" s="52" t="n">
        <f aca="false">IF(CL1217&gt;0,CL1217*MAX(1,AO1217/X1217),IF(BW1217=1,IF(AO1217&lt;=0,0,CA1217*MAX(1,IF(H1217&gt;0,AO1217/H1217,1))),IF(R1217&gt;0,AP1217/R1217,0))/MAX(0.1,N(Parameter!$M$21)))</f>
        <v>0.25</v>
      </c>
      <c r="AR1217" s="50" t="n">
        <f aca="false">AQ1217*BY1217</f>
        <v>86.25</v>
      </c>
      <c r="AS1217" s="50" t="n">
        <f aca="false">AO1217*G1217</f>
        <v>1705.2</v>
      </c>
      <c r="AT1217" s="50" t="n">
        <f aca="false">ROUNDUP(MAX(J1217/IF(CD1217&gt;0,CD1217,MAX(0.1,N(Cockpit!$I$6))),CG1217)/BV1217,0)*BV1217</f>
        <v>588</v>
      </c>
      <c r="AU1217" s="51" t="n">
        <f aca="false">IF(AR1217&gt;0,J1217/AR1217,-1)</f>
        <v>4.67246376811594</v>
      </c>
      <c r="AV1217" s="51" t="n">
        <f aca="false">IF(AND(OR(CC1217="L1",CC1217="L23",CC1217="LIFT"),AR1217&gt;0),SUMIFS($AR$7:$AR$1843,$CC$7:$CC$1843,CC1217,$AU$7:$AU$1843,"&gt;"&amp;AU1217)+SUMIFS($AR$7:$AR$1843,$CC$7:$CC$1843,CC1217,$AU$7:$AU$1843,AU1217,$BT$7:$BT$1843,"&lt;="&amp;BT1217),"")</f>
        <v>5300.88782051282</v>
      </c>
      <c r="AW1217" s="58" t="n">
        <f aca="false">IF(AV1217="",0,MAX(0,MIN(1,(IF(CC1217="L1",Parameter!$H$5,IF(CC1217="L23",Parameter!$H$6+Parameter!$H$7,Parameter!$H$5+Parameter!$H$6+Parameter!$H$7))-(AV1217-AR1217))/AR1217)))</f>
        <v>1</v>
      </c>
      <c r="AX1217" s="50" t="n">
        <f aca="false">IF(LEFT(Cockpit!$O$5,1)="A",H1217,IF(CE1217=1,CF1217,IF(LEFT(Cockpit!$O$5,1)="B",BC1217,MAX(BC1217,H1217))))</f>
        <v>588</v>
      </c>
      <c r="AY1217" s="50" t="n">
        <f aca="false">IF(BW1217=1,0,ROUNDUP(AX1217/BV1217,0))</f>
        <v>3</v>
      </c>
      <c r="AZ1217" s="52" t="n">
        <f aca="false">IF(CL1217&gt;0,CL1217*MAX(1,AX1217/X1217),IF(BW1217=1,IF(AX1217&lt;=0,0,CA1217*MAX(1,IF(H1217&gt;0,AX1217/H1217,1))),IF(R1217&gt;0,AY1217/R1217,0))/MAX(0.1,N(Parameter!$M$21)))</f>
        <v>0.25</v>
      </c>
      <c r="BA1217" s="50" t="n">
        <f aca="false">AZ1217*BY1217</f>
        <v>86.25</v>
      </c>
      <c r="BB1217" s="50" t="n">
        <f aca="false">AX1217*G1217</f>
        <v>1705.2</v>
      </c>
      <c r="BC1217" s="50" t="n">
        <f aca="false">ROUNDUP(MAX(J1217/IF(CD1217&gt;0,CD1217,MAX(0.1,N(Cockpit!$O$6))),CG1217)/BV1217,0)*BV1217</f>
        <v>588</v>
      </c>
      <c r="BD1217" s="51" t="n">
        <f aca="false">IF(BA1217&gt;0,J1217/BA1217,-1)</f>
        <v>4.67246376811594</v>
      </c>
      <c r="BE1217" s="51" t="n">
        <f aca="false">IF(AND(OR(CC1217="L1",CC1217="L23",CC1217="LIFT"),BA1217&gt;0),SUMIFS($BA$7:$BA$1843,$CC$7:$CC$1843,CC1217,$BD$7:$BD$1843,"&gt;"&amp;BD1217)+SUMIFS($BA$7:$BA$1843,$CC$7:$CC$1843,CC1217,$BD$7:$BD$1843,BD1217,$BT$7:$BT$1843,"&lt;="&amp;BT1217),"")</f>
        <v>4971.35256410256</v>
      </c>
      <c r="BF1217" s="58" t="n">
        <f aca="false">IF(BE1217="",0,MAX(0,MIN(1,(IF(CC1217="L1",Parameter!$H$5,IF(CC1217="L23",Parameter!$H$6+Parameter!$H$7,Parameter!$H$5+Parameter!$H$6+Parameter!$H$7))-(BE1217-BA1217))/BA1217)))</f>
        <v>1</v>
      </c>
      <c r="BG1217" s="48" t="str">
        <f aca="false">IF(AI1217&lt;=0,"",IF(CC1217="Aussen","Aussenlager",IF(CC1217="-","Nicht im Lift",IF(AN1217&gt;=1,"Lift",IF(AN1217&lt;=0,"Aussenlager","teilweise")))))</f>
        <v>Lift</v>
      </c>
      <c r="BH1217" s="48" t="str">
        <f aca="false">IF(AR1217&lt;=0,"",IF(CC1217="Aussen","Aussenlager",IF(CC1217="-","Nicht im Lift",IF(AW1217&gt;=1,"Lift",IF(AW1217&lt;=0,"Aussenlager","teilweise")))))</f>
        <v>Lift</v>
      </c>
      <c r="BI1217" s="48" t="str">
        <f aca="false">IF(BA1217&lt;=0,"",IF(CC1217="Aussen","Aussenlager",IF(CC1217="-","Nicht im Lift",IF(BF1217&gt;=1,"Lift",IF(BF1217&lt;=0,"Aussenlager","teilweise")))))</f>
        <v>Lift</v>
      </c>
      <c r="BJ1217" s="48" t="str">
        <f aca="false">IF(A1217="","",IF(BS1217=1,"Neu; ","")&amp;IF(AND(BS1217=0,BN1217&lt;0),"negativer Bestand (Export "&amp;BN1217&amp;"); ","")&amp;IF(J1217&lt;=0,"Kein Verbrauch; ","")&amp;IF(CL1217&gt;0,"Lift "&amp;W1217&amp;" lt. Liftbericht (Fach "&amp;X1217&amp;" Stk); ",IF(BX1217=1,"Gebinde geschätzt ("&amp;T1217&amp;"); ",IF(BW1217=1,"Lose – Tablare geschätzt; ","")))&amp;IF(H1217&gt;AT1217,"Überbestand "&amp;ROUND(H1217-AT1217,0)&amp;" Stk / CHF "&amp;ROUND((H1217-AT1217)*G1217,0)&amp;"; ","")&amp;IF(AND(CE1217=1,CF1217&lt;CG1217),"MAX &lt; MB+LG; ","")&amp;IF(AND(CK1217&gt;0,CJ1217*10&gt;CK1217),"zu hoch für Tablar; ","")&amp;IF(AND(BS1217=0,OR(CE1217=1,AA1217&lt;&gt;"",U1217&lt;&gt;"",V1217&lt;&gt;"",AB1217&lt;&gt;"")),"manuell übersteuert; ","")&amp;IF(AND(BW1217=0,R1217=0),"Gebinde unbekannt / Stellmass fehlt; ","")&amp;IF(AND(BW1217=0,N(V1217)&lt;=0,N(Q1217)&lt;=0),"Menge pro Gebinde fehlt (Ist = 1 Gebinde); ","")&amp;BR1217)</f>
        <v>negativer Bestand (Export -133); gehört dieser Artikel ins KTL ?</v>
      </c>
      <c r="BK1217" s="48"/>
      <c r="BL1217" s="48"/>
      <c r="BM1217" s="55"/>
      <c r="BN1217" s="50" t="n">
        <v>-133</v>
      </c>
      <c r="BO1217" s="50" t="n">
        <v>252</v>
      </c>
      <c r="BP1217" s="49" t="n">
        <v>-574.46</v>
      </c>
      <c r="BQ1217" s="50" t="n">
        <v>403</v>
      </c>
      <c r="BR1217" s="48" t="s">
        <v>476</v>
      </c>
      <c r="BS1217" s="53" t="n">
        <v>0</v>
      </c>
      <c r="BT1217" s="53" t="n">
        <v>1217</v>
      </c>
      <c r="BU1217" s="48" t="str">
        <f aca="false">IF(U1217&lt;&gt;"",UPPER(TRIM(U1217)),IF(BX1217=1,UPPER(VLOOKUP(T1217,Parameter!$I$27:$K$29,2,0)),IF(P1217="","LOSE",P1217)))</f>
        <v>S63</v>
      </c>
      <c r="BV1217" s="50" t="n">
        <f aca="false">IF(BU1217="LOSE",1,IF(N(V1217)&gt;0,V1217,IF(BX1217=1,MAX(1,N(VLOOKUP(T1217,Parameter!$I$27:$K$29,3,0)),H1217,N(N1217)),IF(N(Q1217)&gt;0,Q1217,MAX(1,H1217)))))</f>
        <v>196</v>
      </c>
      <c r="BW1217" s="53" t="n">
        <f aca="false">IF(BU1217="LOSE",1,0)</f>
        <v>0</v>
      </c>
      <c r="BX1217" s="53" t="n">
        <f aca="false">IF(AND(U1217="",OR(P1217="",P1217="LOSE"),T1217&lt;&gt;"",N(S1217)&lt;=0,ISNUMBER(MATCH(T1217,Parameter!$I$27:$I$29,0))),1,0)</f>
        <v>0</v>
      </c>
      <c r="BY1217" s="53" t="n">
        <f aca="false">IF(CL1217&gt;0,INDEX(Parameter!$H$5:$H$7,W1217)/INDEX(Parameter!$E$5:$E$7,W1217),IF(AND(BW1217=0,N(IFERROR(VLOOKUP(BU1217,'Gebinde-Kategorie'!$A$5:$N$45,14,0),0))&gt;0),VLOOKUP(BU1217,'Gebinde-Kategorie'!$A$5:$N$45,14,0)*10+Parameter!$M$23,Parameter!$M$24))</f>
        <v>345</v>
      </c>
      <c r="BZ1217" s="48" t="str">
        <f aca="false">IF(AND(Parameter!$B$19="Ja",E1217&lt;&gt;"",ISNUMBER(MATCH(E1217,Parameter!$I$35:$I$52,0))),VLOOKUP(E1217,Parameter!$I$35:$J$52,2,0),IFERROR(VLOOKUP(D1217,Parameter!$A$35:$C$64,2,0),"Nein"))</f>
        <v>2+3</v>
      </c>
      <c r="CA1217" s="52" t="n">
        <f aca="false">IF(BW1217=0,0,IF(N(S1217)&gt;0,S1217,IFERROR(VLOOKUP(D1217,Parameter!$A$35:$C$64,3,0)+0,0)))</f>
        <v>0</v>
      </c>
      <c r="CB1217" s="48" t="n">
        <f aca="false">IF(AA1217&lt;&gt;"",AA1217,Z1217)</f>
        <v>2</v>
      </c>
      <c r="CC1217" s="48" t="str">
        <f aca="false">IF(OR(CB1217=1,CB1217=2,CB1217=3),IF(Parameter!$E$27="Ja","LIFT",IF(CB1217=1,"L1","L23")),IF(CB1217="Aussen","Aussen","-"))</f>
        <v>LIFT</v>
      </c>
      <c r="CD1217" s="59" t="n">
        <f aca="false">IF(N(AB1217)&gt;0,AB1217,0)</f>
        <v>0</v>
      </c>
      <c r="CE1217" s="53" t="n">
        <f aca="false">IF(ISNUMBER(AE1217),1,0)</f>
        <v>0</v>
      </c>
      <c r="CF1217" s="50" t="n">
        <f aca="false">N(AE1217)</f>
        <v>0</v>
      </c>
      <c r="CG1217" s="50" t="n">
        <f aca="false">N(M1217)+N(N1217)</f>
        <v>444</v>
      </c>
      <c r="CH1217" s="50" t="n">
        <f aca="false">ROUNDUP(H1217/BV1217,0)</f>
        <v>1</v>
      </c>
      <c r="CI1217" s="50" t="n">
        <f aca="false">ROUNDUP(CF1217/BV1217,0)</f>
        <v>0</v>
      </c>
      <c r="CJ1217" s="53" t="n">
        <f aca="false">IF(BW1217=1,0,IFERROR(VLOOKUP(BU1217,'Gebinde-Kategorie'!$A$5:$N$45,5,0)+0,0))</f>
        <v>31</v>
      </c>
      <c r="CK1217" s="53" t="n">
        <f aca="false">IFERROR(IF(OR(CB1217=1,CB1217=2,CB1217=3),N(INDEX(Parameter!$I$5:$I$7,CB1217)),0),0)</f>
        <v>0</v>
      </c>
      <c r="CL1217" s="52" t="n">
        <f aca="false">IF(AND(Parameter!$B$21="Ja",ISNUMBER(W1217),N(X1217)&gt;0),IFERROR(N(INDEX(Parameter!$L$5:$L$7,W1217))*INDEX(Parameter!$E$5:$E$7,W1217)*X1217/SUMIFS($X$7:$X$1843,$W$7:$W$1843,W1217),0),0)</f>
        <v>0</v>
      </c>
    </row>
    <row r="1218" customFormat="false" ht="15" hidden="false" customHeight="false" outlineLevel="0" collapsed="false">
      <c r="A1218" s="48" t="s">
        <v>2189</v>
      </c>
      <c r="B1218" s="48" t="s">
        <v>526</v>
      </c>
      <c r="C1218" s="48" t="s">
        <v>168</v>
      </c>
      <c r="D1218" s="48" t="s">
        <v>177</v>
      </c>
      <c r="E1218" s="48"/>
      <c r="F1218" s="48" t="s">
        <v>222</v>
      </c>
      <c r="G1218" s="49" t="n">
        <v>301.79</v>
      </c>
      <c r="H1218" s="50" t="n">
        <f aca="false">MAX(0,IF(AND(Parameter!$B$21="Ja",ISNUMBER(Y1218)),Y1218,IF(Parameter!$B$20="Jahresanfang 2025 + Export",BO1218+BN1218,BN1218)))</f>
        <v>1</v>
      </c>
      <c r="I1218" s="50" t="n">
        <f aca="false">H1218*G1218</f>
        <v>301.79</v>
      </c>
      <c r="J1218" s="50" t="n">
        <f aca="false">BQ1218*Parameter!$B$18</f>
        <v>15</v>
      </c>
      <c r="K1218" s="51" t="n">
        <v>10</v>
      </c>
      <c r="L1218" s="52" t="n">
        <v>1.5</v>
      </c>
      <c r="M1218" s="50" t="n">
        <v>1</v>
      </c>
      <c r="N1218" s="50" t="n">
        <v>10</v>
      </c>
      <c r="O1218" s="53" t="n">
        <v>35</v>
      </c>
      <c r="P1218" s="48" t="s">
        <v>172</v>
      </c>
      <c r="Q1218" s="50"/>
      <c r="R1218" s="53" t="n">
        <f aca="false">IF(BW1218=1,0,IFERROR(VLOOKUP(BU1218,'Gebinde-Kategorie'!$A$5:$N$45,13,0)+0,0))</f>
        <v>12</v>
      </c>
      <c r="S1218" s="54"/>
      <c r="T1218" s="55" t="s">
        <v>183</v>
      </c>
      <c r="U1218" s="55"/>
      <c r="V1218" s="55"/>
      <c r="W1218" s="48"/>
      <c r="X1218" s="50"/>
      <c r="Y1218" s="50"/>
      <c r="Z1218" s="48" t="n">
        <f aca="false">IF(A1218="","",IF(AND(Parameter!$B$21="Ja",ISNUMBER(W1218)),W1218,IF(BZ1218="2+3",IF(ISNUMBER(SEARCH("grosser Artikel",BR1218)),2,IFERROR(VLOOKUP(BU1218,Parameter!$F$35:$G$64,2,0),2)),IF(OR(BZ1218="Nein",BZ1218=""),"-",BZ1218))))</f>
        <v>2</v>
      </c>
      <c r="AA1218" s="55"/>
      <c r="AB1218" s="56"/>
      <c r="AC1218" s="50" t="n">
        <f aca="false">AT1218</f>
        <v>20</v>
      </c>
      <c r="AD1218" s="50" t="n">
        <f aca="false">MAX(AT1218,H1218)</f>
        <v>20</v>
      </c>
      <c r="AE1218" s="57"/>
      <c r="AF1218" s="50" t="n">
        <f aca="false">IF(LEFT(Cockpit!$C$5,1)="A",H1218,IF(CE1218=1,CF1218,IF(LEFT(Cockpit!$C$5,1)="B",AK1218,MAX(AK1218,H1218))))</f>
        <v>1</v>
      </c>
      <c r="AG1218" s="50" t="n">
        <f aca="false">IF(BW1218=1,0,ROUNDUP(AF1218/BV1218,0))</f>
        <v>1</v>
      </c>
      <c r="AH1218" s="52" t="n">
        <f aca="false">IF(CL1218&gt;0,CL1218*MAX(1,AF1218/X1218),IF(BW1218=1,IF(AF1218&lt;=0,0,CA1218*MAX(1,IF(H1218&gt;0,AF1218/H1218,1))),IF(R1218&gt;0,AG1218/R1218,0))/MAX(0.1,N(Parameter!$M$21)))</f>
        <v>0.0833333333333333</v>
      </c>
      <c r="AI1218" s="50" t="n">
        <f aca="false">AH1218*BY1218</f>
        <v>12.0833333333333</v>
      </c>
      <c r="AJ1218" s="50" t="n">
        <f aca="false">AF1218*G1218</f>
        <v>301.79</v>
      </c>
      <c r="AK1218" s="50" t="n">
        <f aca="false">ROUNDUP(MAX(J1218/IF(CD1218&gt;0,CD1218,MAX(0.1,N(Cockpit!$C$6))),CG1218)/BV1218,0)*BV1218</f>
        <v>20</v>
      </c>
      <c r="AL1218" s="51" t="n">
        <f aca="false">IF(AI1218&gt;0,J1218/AI1218,-1)</f>
        <v>1.24137931034483</v>
      </c>
      <c r="AM1218" s="51" t="n">
        <f aca="false">IF(AND(OR(CC1218="L1",CC1218="L23",CC1218="LIFT"),AI1218&gt;0),SUMIFS($AI$7:$AI$1843,$CC$7:$CC$1843,CC1218,$AL$7:$AL$1843,"&gt;"&amp;AL1218)+SUMIFS($AI$7:$AI$1843,$CC$7:$CC$1843,CC1218,$AL$7:$AL$1843,AL1218,$BT$7:$BT$1843,"&lt;="&amp;BT1218),"")</f>
        <v>6423.13507326007</v>
      </c>
      <c r="AN1218" s="58" t="n">
        <f aca="false">IF(AM1218="",0,MAX(0,MIN(1,(IF(CC1218="L1",Parameter!$H$5,IF(CC1218="L23",Parameter!$H$6+Parameter!$H$7,Parameter!$H$5+Parameter!$H$6+Parameter!$H$7))-(AM1218-AI1218))/AI1218)))</f>
        <v>1</v>
      </c>
      <c r="AO1218" s="50" t="n">
        <f aca="false">IF(LEFT(Cockpit!$I$5,1)="A",H1218,IF(CE1218=1,CF1218,IF(LEFT(Cockpit!$I$5,1)="B",AT1218,MAX(AT1218,H1218))))</f>
        <v>20</v>
      </c>
      <c r="AP1218" s="50" t="n">
        <f aca="false">IF(BW1218=1,0,ROUNDUP(AO1218/BV1218,0))</f>
        <v>2</v>
      </c>
      <c r="AQ1218" s="52" t="n">
        <f aca="false">IF(CL1218&gt;0,CL1218*MAX(1,AO1218/X1218),IF(BW1218=1,IF(AO1218&lt;=0,0,CA1218*MAX(1,IF(H1218&gt;0,AO1218/H1218,1))),IF(R1218&gt;0,AP1218/R1218,0))/MAX(0.1,N(Parameter!$M$21)))</f>
        <v>0.166666666666667</v>
      </c>
      <c r="AR1218" s="50" t="n">
        <f aca="false">AQ1218*BY1218</f>
        <v>24.1666666666667</v>
      </c>
      <c r="AS1218" s="50" t="n">
        <f aca="false">AO1218*G1218</f>
        <v>6035.8</v>
      </c>
      <c r="AT1218" s="50" t="n">
        <f aca="false">ROUNDUP(MAX(J1218/IF(CD1218&gt;0,CD1218,MAX(0.1,N(Cockpit!$I$6))),CG1218)/BV1218,0)*BV1218</f>
        <v>20</v>
      </c>
      <c r="AU1218" s="51" t="n">
        <f aca="false">IF(AR1218&gt;0,J1218/AR1218,-1)</f>
        <v>0.620689655172414</v>
      </c>
      <c r="AV1218" s="51" t="n">
        <f aca="false">IF(AND(OR(CC1218="L1",CC1218="L23",CC1218="LIFT"),AR1218&gt;0),SUMIFS($AR$7:$AR$1843,$CC$7:$CC$1843,CC1218,$AU$7:$AU$1843,"&gt;"&amp;AU1218)+SUMIFS($AR$7:$AR$1843,$CC$7:$CC$1843,CC1218,$AU$7:$AU$1843,AU1218,$BT$7:$BT$1843,"&lt;="&amp;BT1218),"")</f>
        <v>12466.070970696</v>
      </c>
      <c r="AW1218" s="58" t="n">
        <f aca="false">IF(AV1218="",0,MAX(0,MIN(1,(IF(CC1218="L1",Parameter!$H$5,IF(CC1218="L23",Parameter!$H$6+Parameter!$H$7,Parameter!$H$5+Parameter!$H$6+Parameter!$H$7))-(AV1218-AR1218))/AR1218)))</f>
        <v>1</v>
      </c>
      <c r="AX1218" s="50" t="n">
        <f aca="false">IF(LEFT(Cockpit!$O$5,1)="A",H1218,IF(CE1218=1,CF1218,IF(LEFT(Cockpit!$O$5,1)="B",BC1218,MAX(BC1218,H1218))))</f>
        <v>20</v>
      </c>
      <c r="AY1218" s="50" t="n">
        <f aca="false">IF(BW1218=1,0,ROUNDUP(AX1218/BV1218,0))</f>
        <v>2</v>
      </c>
      <c r="AZ1218" s="52" t="n">
        <f aca="false">IF(CL1218&gt;0,CL1218*MAX(1,AX1218/X1218),IF(BW1218=1,IF(AX1218&lt;=0,0,CA1218*MAX(1,IF(H1218&gt;0,AX1218/H1218,1))),IF(R1218&gt;0,AY1218/R1218,0))/MAX(0.1,N(Parameter!$M$21)))</f>
        <v>0.166666666666667</v>
      </c>
      <c r="BA1218" s="50" t="n">
        <f aca="false">AZ1218*BY1218</f>
        <v>24.1666666666667</v>
      </c>
      <c r="BB1218" s="50" t="n">
        <f aca="false">AX1218*G1218</f>
        <v>6035.8</v>
      </c>
      <c r="BC1218" s="50" t="n">
        <f aca="false">ROUNDUP(MAX(J1218/IF(CD1218&gt;0,CD1218,MAX(0.1,N(Cockpit!$O$6))),CG1218)/BV1218,0)*BV1218</f>
        <v>20</v>
      </c>
      <c r="BD1218" s="51" t="n">
        <f aca="false">IF(BA1218&gt;0,J1218/BA1218,-1)</f>
        <v>0.620689655172414</v>
      </c>
      <c r="BE1218" s="51" t="n">
        <f aca="false">IF(AND(OR(CC1218="L1",CC1218="L23",CC1218="LIFT"),BA1218&gt;0),SUMIFS($BA$7:$BA$1843,$CC$7:$CC$1843,CC1218,$BD$7:$BD$1843,"&gt;"&amp;BD1218)+SUMIFS($BA$7:$BA$1843,$CC$7:$CC$1843,CC1218,$BD$7:$BD$1843,BD1218,$BT$7:$BT$1843,"&lt;="&amp;BT1218),"")</f>
        <v>11630.8946886447</v>
      </c>
      <c r="BF1218" s="58" t="n">
        <f aca="false">IF(BE1218="",0,MAX(0,MIN(1,(IF(CC1218="L1",Parameter!$H$5,IF(CC1218="L23",Parameter!$H$6+Parameter!$H$7,Parameter!$H$5+Parameter!$H$6+Parameter!$H$7))-(BE1218-BA1218))/BA1218)))</f>
        <v>1</v>
      </c>
      <c r="BG1218" s="48" t="str">
        <f aca="false">IF(AI1218&lt;=0,"",IF(CC1218="Aussen","Aussenlager",IF(CC1218="-","Nicht im Lift",IF(AN1218&gt;=1,"Lift",IF(AN1218&lt;=0,"Aussenlager","teilweise")))))</f>
        <v>Lift</v>
      </c>
      <c r="BH1218" s="48" t="str">
        <f aca="false">IF(AR1218&lt;=0,"",IF(CC1218="Aussen","Aussenlager",IF(CC1218="-","Nicht im Lift",IF(AW1218&gt;=1,"Lift",IF(AW1218&lt;=0,"Aussenlager","teilweise")))))</f>
        <v>Lift</v>
      </c>
      <c r="BI1218" s="48" t="str">
        <f aca="false">IF(BA1218&lt;=0,"",IF(CC1218="Aussen","Aussenlager",IF(CC1218="-","Nicht im Lift",IF(BF1218&gt;=1,"Lift",IF(BF1218&lt;=0,"Aussenlager","teilweise")))))</f>
        <v>Lift</v>
      </c>
      <c r="BJ1218" s="48" t="str">
        <f aca="false">IF(A1218="","",IF(BS1218=1,"Neu; ","")&amp;IF(AND(BS1218=0,BN1218&lt;0),"negativer Bestand (Export "&amp;BN1218&amp;"); ","")&amp;IF(J1218&lt;=0,"Kein Verbrauch; ","")&amp;IF(CL1218&gt;0,"Lift "&amp;W1218&amp;" lt. Liftbericht (Fach "&amp;X1218&amp;" Stk); ",IF(BX1218=1,"Gebinde geschätzt ("&amp;T1218&amp;"); ",IF(BW1218=1,"Lose – Tablare geschätzt; ","")))&amp;IF(H1218&gt;AT1218,"Überbestand "&amp;ROUND(H1218-AT1218,0)&amp;" Stk / CHF "&amp;ROUND((H1218-AT1218)*G1218,0)&amp;"; ","")&amp;IF(AND(CE1218=1,CF1218&lt;CG1218),"MAX &lt; MB+LG; ","")&amp;IF(AND(CK1218&gt;0,CJ1218*10&gt;CK1218),"zu hoch für Tablar; ","")&amp;IF(AND(BS1218=0,OR(CE1218=1,AA1218&lt;&gt;"",U1218&lt;&gt;"",V1218&lt;&gt;"",AB1218&lt;&gt;"")),"manuell übersteuert; ","")&amp;IF(AND(BW1218=0,R1218=0),"Gebinde unbekannt / Stellmass fehlt; ","")&amp;IF(AND(BW1218=0,N(V1218)&lt;=0,N(Q1218)&lt;=0),"Menge pro Gebinde fehlt (Ist = 1 Gebinde); ","")&amp;BR1218)</f>
        <v>negativer Bestand (Export -2); Gebinde geschätzt (Mittel); Menge pro Gebinde fehlt (Ist = 1 Gebinde); </v>
      </c>
      <c r="BK1218" s="48"/>
      <c r="BL1218" s="48"/>
      <c r="BM1218" s="55"/>
      <c r="BN1218" s="50" t="n">
        <v>-2</v>
      </c>
      <c r="BO1218" s="50" t="n">
        <v>3</v>
      </c>
      <c r="BP1218" s="49" t="n">
        <v>-580.570000000002</v>
      </c>
      <c r="BQ1218" s="50" t="n">
        <v>15</v>
      </c>
      <c r="BR1218" s="48"/>
      <c r="BS1218" s="53" t="n">
        <v>0</v>
      </c>
      <c r="BT1218" s="53" t="n">
        <v>1218</v>
      </c>
      <c r="BU1218" s="48" t="str">
        <f aca="false">IF(U1218&lt;&gt;"",UPPER(TRIM(U1218)),IF(BX1218=1,UPPER(VLOOKUP(T1218,Parameter!$I$27:$K$29,2,0)),IF(P1218="","LOSE",P1218)))</f>
        <v>S61</v>
      </c>
      <c r="BV1218" s="50" t="n">
        <f aca="false">IF(BU1218="LOSE",1,IF(N(V1218)&gt;0,V1218,IF(BX1218=1,MAX(1,N(VLOOKUP(T1218,Parameter!$I$27:$K$29,3,0)),H1218,N(N1218)),IF(N(Q1218)&gt;0,Q1218,MAX(1,H1218)))))</f>
        <v>10</v>
      </c>
      <c r="BW1218" s="53" t="n">
        <f aca="false">IF(BU1218="LOSE",1,0)</f>
        <v>0</v>
      </c>
      <c r="BX1218" s="53" t="n">
        <f aca="false">IF(AND(U1218="",OR(P1218="",P1218="LOSE"),T1218&lt;&gt;"",N(S1218)&lt;=0,ISNUMBER(MATCH(T1218,Parameter!$I$27:$I$29,0))),1,0)</f>
        <v>1</v>
      </c>
      <c r="BY1218" s="53" t="n">
        <f aca="false">IF(CL1218&gt;0,INDEX(Parameter!$H$5:$H$7,W1218)/INDEX(Parameter!$E$5:$E$7,W1218),IF(AND(BW1218=0,N(IFERROR(VLOOKUP(BU1218,'Gebinde-Kategorie'!$A$5:$N$45,14,0),0))&gt;0),VLOOKUP(BU1218,'Gebinde-Kategorie'!$A$5:$N$45,14,0)*10+Parameter!$M$23,Parameter!$M$24))</f>
        <v>145</v>
      </c>
      <c r="BZ1218" s="48" t="str">
        <f aca="false">IF(AND(Parameter!$B$19="Ja",E1218&lt;&gt;"",ISNUMBER(MATCH(E1218,Parameter!$I$35:$I$52,0))),VLOOKUP(E1218,Parameter!$I$35:$J$52,2,0),IFERROR(VLOOKUP(D1218,Parameter!$A$35:$C$64,2,0),"Nein"))</f>
        <v>2+3</v>
      </c>
      <c r="CA1218" s="52" t="n">
        <f aca="false">IF(BW1218=0,0,IF(N(S1218)&gt;0,S1218,IFERROR(VLOOKUP(D1218,Parameter!$A$35:$C$64,3,0)+0,0)))</f>
        <v>0</v>
      </c>
      <c r="CB1218" s="48" t="n">
        <f aca="false">IF(AA1218&lt;&gt;"",AA1218,Z1218)</f>
        <v>2</v>
      </c>
      <c r="CC1218" s="48" t="str">
        <f aca="false">IF(OR(CB1218=1,CB1218=2,CB1218=3),IF(Parameter!$E$27="Ja","LIFT",IF(CB1218=1,"L1","L23")),IF(CB1218="Aussen","Aussen","-"))</f>
        <v>LIFT</v>
      </c>
      <c r="CD1218" s="59" t="n">
        <f aca="false">IF(N(AB1218)&gt;0,AB1218,0)</f>
        <v>0</v>
      </c>
      <c r="CE1218" s="53" t="n">
        <f aca="false">IF(ISNUMBER(AE1218),1,0)</f>
        <v>0</v>
      </c>
      <c r="CF1218" s="50" t="n">
        <f aca="false">N(AE1218)</f>
        <v>0</v>
      </c>
      <c r="CG1218" s="50" t="n">
        <f aca="false">N(M1218)+N(N1218)</f>
        <v>11</v>
      </c>
      <c r="CH1218" s="50" t="n">
        <f aca="false">ROUNDUP(H1218/BV1218,0)</f>
        <v>1</v>
      </c>
      <c r="CI1218" s="50" t="n">
        <f aca="false">ROUNDUP(CF1218/BV1218,0)</f>
        <v>0</v>
      </c>
      <c r="CJ1218" s="53" t="n">
        <f aca="false">IF(BW1218=1,0,IFERROR(VLOOKUP(BU1218,'Gebinde-Kategorie'!$A$5:$N$45,5,0)+0,0))</f>
        <v>11</v>
      </c>
      <c r="CK1218" s="53" t="n">
        <f aca="false">IFERROR(IF(OR(CB1218=1,CB1218=2,CB1218=3),N(INDEX(Parameter!$I$5:$I$7,CB1218)),0),0)</f>
        <v>0</v>
      </c>
      <c r="CL1218" s="52" t="n">
        <f aca="false">IF(AND(Parameter!$B$21="Ja",ISNUMBER(W1218),N(X1218)&gt;0),IFERROR(N(INDEX(Parameter!$L$5:$L$7,W1218))*INDEX(Parameter!$E$5:$E$7,W1218)*X1218/SUMIFS($X$7:$X$1843,$W$7:$W$1843,W1218),0),0)</f>
        <v>0</v>
      </c>
    </row>
    <row r="1219" customFormat="false" ht="15" hidden="false" customHeight="false" outlineLevel="0" collapsed="false">
      <c r="A1219" s="48" t="s">
        <v>2190</v>
      </c>
      <c r="B1219" s="48" t="s">
        <v>1582</v>
      </c>
      <c r="C1219" s="48" t="s">
        <v>168</v>
      </c>
      <c r="D1219" s="48" t="s">
        <v>188</v>
      </c>
      <c r="E1219" s="48" t="s">
        <v>189</v>
      </c>
      <c r="F1219" s="48" t="s">
        <v>222</v>
      </c>
      <c r="G1219" s="49" t="n">
        <v>7.16</v>
      </c>
      <c r="H1219" s="50" t="n">
        <f aca="false">MAX(0,IF(AND(Parameter!$B$21="Ja",ISNUMBER(Y1219)),Y1219,IF(Parameter!$B$20="Jahresanfang 2025 + Export",BO1219+BN1219,BN1219)))</f>
        <v>33</v>
      </c>
      <c r="I1219" s="50" t="n">
        <f aca="false">H1219*G1219</f>
        <v>236.28</v>
      </c>
      <c r="J1219" s="50" t="n">
        <f aca="false">BQ1219*Parameter!$B$18</f>
        <v>0</v>
      </c>
      <c r="K1219" s="51" t="n">
        <v>74</v>
      </c>
      <c r="L1219" s="52" t="n">
        <v>0</v>
      </c>
      <c r="M1219" s="50" t="n">
        <v>0</v>
      </c>
      <c r="N1219" s="50" t="n">
        <v>1</v>
      </c>
      <c r="O1219" s="53" t="n">
        <v>63</v>
      </c>
      <c r="P1219" s="48" t="s">
        <v>237</v>
      </c>
      <c r="Q1219" s="50" t="n">
        <v>33</v>
      </c>
      <c r="R1219" s="53" t="n">
        <f aca="false">IF(BW1219=1,0,IFERROR(VLOOKUP(BU1219,'Gebinde-Kategorie'!$A$5:$N$45,13,0)+0,0))</f>
        <v>26</v>
      </c>
      <c r="S1219" s="54"/>
      <c r="T1219" s="55"/>
      <c r="U1219" s="55"/>
      <c r="V1219" s="55"/>
      <c r="W1219" s="48"/>
      <c r="X1219" s="50"/>
      <c r="Y1219" s="50"/>
      <c r="Z1219" s="48" t="n">
        <f aca="false">IF(A1219="","",IF(AND(Parameter!$B$21="Ja",ISNUMBER(W1219)),W1219,IF(BZ1219="2+3",IF(ISNUMBER(SEARCH("grosser Artikel",BR1219)),2,IFERROR(VLOOKUP(BU1219,Parameter!$F$35:$G$64,2,0),2)),IF(OR(BZ1219="Nein",BZ1219=""),"-",BZ1219))))</f>
        <v>3</v>
      </c>
      <c r="AA1219" s="55"/>
      <c r="AB1219" s="56"/>
      <c r="AC1219" s="50" t="n">
        <f aca="false">AT1219</f>
        <v>33</v>
      </c>
      <c r="AD1219" s="50" t="n">
        <f aca="false">MAX(AT1219,H1219)</f>
        <v>33</v>
      </c>
      <c r="AE1219" s="57"/>
      <c r="AF1219" s="50" t="n">
        <f aca="false">IF(LEFT(Cockpit!$C$5,1)="A",H1219,IF(CE1219=1,CF1219,IF(LEFT(Cockpit!$C$5,1)="B",AK1219,MAX(AK1219,H1219))))</f>
        <v>33</v>
      </c>
      <c r="AG1219" s="50" t="n">
        <f aca="false">IF(BW1219=1,0,ROUNDUP(AF1219/BV1219,0))</f>
        <v>1</v>
      </c>
      <c r="AH1219" s="52" t="n">
        <f aca="false">IF(CL1219&gt;0,CL1219*MAX(1,AF1219/X1219),IF(BW1219=1,IF(AF1219&lt;=0,0,CA1219*MAX(1,IF(H1219&gt;0,AF1219/H1219,1))),IF(R1219&gt;0,AG1219/R1219,0))/MAX(0.1,N(Parameter!$M$21)))</f>
        <v>0.0384615384615385</v>
      </c>
      <c r="AI1219" s="50" t="n">
        <f aca="false">AH1219*BY1219</f>
        <v>9.42307692307692</v>
      </c>
      <c r="AJ1219" s="50" t="n">
        <f aca="false">AF1219*G1219</f>
        <v>236.28</v>
      </c>
      <c r="AK1219" s="50" t="n">
        <f aca="false">ROUNDUP(MAX(J1219/IF(CD1219&gt;0,CD1219,MAX(0.1,N(Cockpit!$C$6))),CG1219)/BV1219,0)*BV1219</f>
        <v>33</v>
      </c>
      <c r="AL1219" s="51" t="n">
        <f aca="false">IF(AI1219&gt;0,J1219/AI1219,-1)</f>
        <v>0</v>
      </c>
      <c r="AM1219" s="51" t="n">
        <f aca="false">IF(AND(OR(CC1219="L1",CC1219="L23",CC1219="LIFT"),AI1219&gt;0),SUMIFS($AI$7:$AI$1843,$CC$7:$CC$1843,CC1219,$AL$7:$AL$1843,"&gt;"&amp;AL1219)+SUMIFS($AI$7:$AI$1843,$CC$7:$CC$1843,CC1219,$AL$7:$AL$1843,AL1219,$BT$7:$BT$1843,"&lt;="&amp;BT1219),"")</f>
        <v>29433.0706809669</v>
      </c>
      <c r="AN1219" s="58" t="n">
        <f aca="false">IF(AM1219="",0,MAX(0,MIN(1,(IF(CC1219="L1",Parameter!$H$5,IF(CC1219="L23",Parameter!$H$6+Parameter!$H$7,Parameter!$H$5+Parameter!$H$6+Parameter!$H$7))-(AM1219-AI1219))/AI1219)))</f>
        <v>1</v>
      </c>
      <c r="AO1219" s="50" t="n">
        <f aca="false">IF(LEFT(Cockpit!$I$5,1)="A",H1219,IF(CE1219=1,CF1219,IF(LEFT(Cockpit!$I$5,1)="B",AT1219,MAX(AT1219,H1219))))</f>
        <v>33</v>
      </c>
      <c r="AP1219" s="50" t="n">
        <f aca="false">IF(BW1219=1,0,ROUNDUP(AO1219/BV1219,0))</f>
        <v>1</v>
      </c>
      <c r="AQ1219" s="52" t="n">
        <f aca="false">IF(CL1219&gt;0,CL1219*MAX(1,AO1219/X1219),IF(BW1219=1,IF(AO1219&lt;=0,0,CA1219*MAX(1,IF(H1219&gt;0,AO1219/H1219,1))),IF(R1219&gt;0,AP1219/R1219,0))/MAX(0.1,N(Parameter!$M$21)))</f>
        <v>0.0384615384615385</v>
      </c>
      <c r="AR1219" s="50" t="n">
        <f aca="false">AQ1219*BY1219</f>
        <v>9.42307692307692</v>
      </c>
      <c r="AS1219" s="50" t="n">
        <f aca="false">AO1219*G1219</f>
        <v>236.28</v>
      </c>
      <c r="AT1219" s="50" t="n">
        <f aca="false">ROUNDUP(MAX(J1219/IF(CD1219&gt;0,CD1219,MAX(0.1,N(Cockpit!$I$6))),CG1219)/BV1219,0)*BV1219</f>
        <v>33</v>
      </c>
      <c r="AU1219" s="51" t="n">
        <f aca="false">IF(AR1219&gt;0,J1219/AR1219,-1)</f>
        <v>0</v>
      </c>
      <c r="AV1219" s="51" t="n">
        <f aca="false">IF(AND(OR(CC1219="L1",CC1219="L23",CC1219="LIFT"),AR1219&gt;0),SUMIFS($AR$7:$AR$1843,$CC$7:$CC$1843,CC1219,$AU$7:$AU$1843,"&gt;"&amp;AU1219)+SUMIFS($AR$7:$AR$1843,$CC$7:$CC$1843,CC1219,$AU$7:$AU$1843,AU1219,$BT$7:$BT$1843,"&lt;="&amp;BT1219),"")</f>
        <v>41205.1762898119</v>
      </c>
      <c r="AW1219" s="58" t="n">
        <f aca="false">IF(AV1219="",0,MAX(0,MIN(1,(IF(CC1219="L1",Parameter!$H$5,IF(CC1219="L23",Parameter!$H$6+Parameter!$H$7,Parameter!$H$5+Parameter!$H$6+Parameter!$H$7))-(AV1219-AR1219))/AR1219)))</f>
        <v>0</v>
      </c>
      <c r="AX1219" s="50" t="n">
        <f aca="false">IF(LEFT(Cockpit!$O$5,1)="A",H1219,IF(CE1219=1,CF1219,IF(LEFT(Cockpit!$O$5,1)="B",BC1219,MAX(BC1219,H1219))))</f>
        <v>33</v>
      </c>
      <c r="AY1219" s="50" t="n">
        <f aca="false">IF(BW1219=1,0,ROUNDUP(AX1219/BV1219,0))</f>
        <v>1</v>
      </c>
      <c r="AZ1219" s="52" t="n">
        <f aca="false">IF(CL1219&gt;0,CL1219*MAX(1,AX1219/X1219),IF(BW1219=1,IF(AX1219&lt;=0,0,CA1219*MAX(1,IF(H1219&gt;0,AX1219/H1219,1))),IF(R1219&gt;0,AY1219/R1219,0))/MAX(0.1,N(Parameter!$M$21)))</f>
        <v>0.0384615384615385</v>
      </c>
      <c r="BA1219" s="50" t="n">
        <f aca="false">AZ1219*BY1219</f>
        <v>9.42307692307692</v>
      </c>
      <c r="BB1219" s="50" t="n">
        <f aca="false">AX1219*G1219</f>
        <v>236.28</v>
      </c>
      <c r="BC1219" s="50" t="n">
        <f aca="false">ROUNDUP(MAX(J1219/IF(CD1219&gt;0,CD1219,MAX(0.1,N(Cockpit!$O$6))),CG1219)/BV1219,0)*BV1219</f>
        <v>33</v>
      </c>
      <c r="BD1219" s="51" t="n">
        <f aca="false">IF(BA1219&gt;0,J1219/BA1219,-1)</f>
        <v>0</v>
      </c>
      <c r="BE1219" s="51" t="n">
        <f aca="false">IF(AND(OR(CC1219="L1",CC1219="L23",CC1219="LIFT"),BA1219&gt;0),SUMIFS($BA$7:$BA$1843,$CC$7:$CC$1843,CC1219,$BD$7:$BD$1843,"&gt;"&amp;BD1219)+SUMIFS($BA$7:$BA$1843,$CC$7:$CC$1843,CC1219,$BD$7:$BD$1843,BD1219,$BT$7:$BT$1843,"&lt;="&amp;BT1219),"")</f>
        <v>37880.1883316777</v>
      </c>
      <c r="BF1219" s="58" t="n">
        <f aca="false">IF(BE1219="",0,MAX(0,MIN(1,(IF(CC1219="L1",Parameter!$H$5,IF(CC1219="L23",Parameter!$H$6+Parameter!$H$7,Parameter!$H$5+Parameter!$H$6+Parameter!$H$7))-(BE1219-BA1219))/BA1219)))</f>
        <v>0</v>
      </c>
      <c r="BG1219" s="48" t="str">
        <f aca="false">IF(AI1219&lt;=0,"",IF(CC1219="Aussen","Aussenlager",IF(CC1219="-","Nicht im Lift",IF(AN1219&gt;=1,"Lift",IF(AN1219&lt;=0,"Aussenlager","teilweise")))))</f>
        <v>Lift</v>
      </c>
      <c r="BH1219" s="48" t="str">
        <f aca="false">IF(AR1219&lt;=0,"",IF(CC1219="Aussen","Aussenlager",IF(CC1219="-","Nicht im Lift",IF(AW1219&gt;=1,"Lift",IF(AW1219&lt;=0,"Aussenlager","teilweise")))))</f>
        <v>Aussenlager</v>
      </c>
      <c r="BI1219" s="48" t="str">
        <f aca="false">IF(BA1219&lt;=0,"",IF(CC1219="Aussen","Aussenlager",IF(CC1219="-","Nicht im Lift",IF(BF1219&gt;=1,"Lift",IF(BF1219&lt;=0,"Aussenlager","teilweise")))))</f>
        <v>Aussenlager</v>
      </c>
      <c r="BJ1219" s="48" t="str">
        <f aca="false">IF(A1219="","",IF(BS1219=1,"Neu; ","")&amp;IF(AND(BS1219=0,BN1219&lt;0),"negativer Bestand (Export "&amp;BN1219&amp;"); ","")&amp;IF(J1219&lt;=0,"Kein Verbrauch; ","")&amp;IF(CL1219&gt;0,"Lift "&amp;W1219&amp;" lt. Liftbericht (Fach "&amp;X1219&amp;" Stk); ",IF(BX1219=1,"Gebinde geschätzt ("&amp;T1219&amp;"); ",IF(BW1219=1,"Lose – Tablare geschätzt; ","")))&amp;IF(H1219&gt;AT1219,"Überbestand "&amp;ROUND(H1219-AT1219,0)&amp;" Stk / CHF "&amp;ROUND((H1219-AT1219)*G1219,0)&amp;"; ","")&amp;IF(AND(CE1219=1,CF1219&lt;CG1219),"MAX &lt; MB+LG; ","")&amp;IF(AND(CK1219&gt;0,CJ1219*10&gt;CK1219),"zu hoch für Tablar; ","")&amp;IF(AND(BS1219=0,OR(CE1219=1,AA1219&lt;&gt;"",U1219&lt;&gt;"",V1219&lt;&gt;"",AB1219&lt;&gt;"")),"manuell übersteuert; ","")&amp;IF(AND(BW1219=0,R1219=0),"Gebinde unbekannt / Stellmass fehlt; ","")&amp;IF(AND(BW1219=0,N(V1219)&lt;=0,N(Q1219)&lt;=0),"Menge pro Gebinde fehlt (Ist = 1 Gebinde); ","")&amp;BR1219)</f>
        <v>negativer Bestand (Export -82); Kein Verbrauch; </v>
      </c>
      <c r="BK1219" s="48"/>
      <c r="BL1219" s="48"/>
      <c r="BM1219" s="55"/>
      <c r="BN1219" s="50" t="n">
        <v>-82</v>
      </c>
      <c r="BO1219" s="50" t="n">
        <v>115</v>
      </c>
      <c r="BP1219" s="49" t="n">
        <v>-587.12</v>
      </c>
      <c r="BQ1219" s="50" t="n">
        <v>0</v>
      </c>
      <c r="BR1219" s="48"/>
      <c r="BS1219" s="53" t="n">
        <v>0</v>
      </c>
      <c r="BT1219" s="53" t="n">
        <v>1219</v>
      </c>
      <c r="BU1219" s="48" t="str">
        <f aca="false">IF(U1219&lt;&gt;"",UPPER(TRIM(U1219)),IF(BX1219=1,UPPER(VLOOKUP(T1219,Parameter!$I$27:$K$29,2,0)),IF(P1219="","LOSE",P1219)))</f>
        <v>S52</v>
      </c>
      <c r="BV1219" s="50" t="n">
        <f aca="false">IF(BU1219="LOSE",1,IF(N(V1219)&gt;0,V1219,IF(BX1219=1,MAX(1,N(VLOOKUP(T1219,Parameter!$I$27:$K$29,3,0)),H1219,N(N1219)),IF(N(Q1219)&gt;0,Q1219,MAX(1,H1219)))))</f>
        <v>33</v>
      </c>
      <c r="BW1219" s="53" t="n">
        <f aca="false">IF(BU1219="LOSE",1,0)</f>
        <v>0</v>
      </c>
      <c r="BX1219" s="53" t="n">
        <f aca="false">IF(AND(U1219="",OR(P1219="",P1219="LOSE"),T1219&lt;&gt;"",N(S1219)&lt;=0,ISNUMBER(MATCH(T1219,Parameter!$I$27:$I$29,0))),1,0)</f>
        <v>0</v>
      </c>
      <c r="BY1219" s="53" t="n">
        <f aca="false">IF(CL1219&gt;0,INDEX(Parameter!$H$5:$H$7,W1219)/INDEX(Parameter!$E$5:$E$7,W1219),IF(AND(BW1219=0,N(IFERROR(VLOOKUP(BU1219,'Gebinde-Kategorie'!$A$5:$N$45,14,0),0))&gt;0),VLOOKUP(BU1219,'Gebinde-Kategorie'!$A$5:$N$45,14,0)*10+Parameter!$M$23,Parameter!$M$24))</f>
        <v>245</v>
      </c>
      <c r="BZ1219" s="48" t="str">
        <f aca="false">IF(AND(Parameter!$B$19="Ja",E1219&lt;&gt;"",ISNUMBER(MATCH(E1219,Parameter!$I$35:$I$52,0))),VLOOKUP(E1219,Parameter!$I$35:$J$52,2,0),IFERROR(VLOOKUP(D1219,Parameter!$A$35:$C$64,2,0),"Nein"))</f>
        <v>2+3</v>
      </c>
      <c r="CA1219" s="52" t="n">
        <f aca="false">IF(BW1219=0,0,IF(N(S1219)&gt;0,S1219,IFERROR(VLOOKUP(D1219,Parameter!$A$35:$C$64,3,0)+0,0)))</f>
        <v>0</v>
      </c>
      <c r="CB1219" s="48" t="n">
        <f aca="false">IF(AA1219&lt;&gt;"",AA1219,Z1219)</f>
        <v>3</v>
      </c>
      <c r="CC1219" s="48" t="str">
        <f aca="false">IF(OR(CB1219=1,CB1219=2,CB1219=3),IF(Parameter!$E$27="Ja","LIFT",IF(CB1219=1,"L1","L23")),IF(CB1219="Aussen","Aussen","-"))</f>
        <v>LIFT</v>
      </c>
      <c r="CD1219" s="59" t="n">
        <f aca="false">IF(N(AB1219)&gt;0,AB1219,0)</f>
        <v>0</v>
      </c>
      <c r="CE1219" s="53" t="n">
        <f aca="false">IF(ISNUMBER(AE1219),1,0)</f>
        <v>0</v>
      </c>
      <c r="CF1219" s="50" t="n">
        <f aca="false">N(AE1219)</f>
        <v>0</v>
      </c>
      <c r="CG1219" s="50" t="n">
        <f aca="false">N(M1219)+N(N1219)</f>
        <v>1</v>
      </c>
      <c r="CH1219" s="50" t="n">
        <f aca="false">ROUNDUP(H1219/BV1219,0)</f>
        <v>1</v>
      </c>
      <c r="CI1219" s="50" t="n">
        <f aca="false">ROUNDUP(CF1219/BV1219,0)</f>
        <v>0</v>
      </c>
      <c r="CJ1219" s="53" t="n">
        <f aca="false">IF(BW1219=1,0,IFERROR(VLOOKUP(BU1219,'Gebinde-Kategorie'!$A$5:$N$45,5,0)+0,0))</f>
        <v>21</v>
      </c>
      <c r="CK1219" s="53" t="n">
        <f aca="false">IFERROR(IF(OR(CB1219=1,CB1219=2,CB1219=3),N(INDEX(Parameter!$I$5:$I$7,CB1219)),0),0)</f>
        <v>0</v>
      </c>
      <c r="CL1219" s="52" t="n">
        <f aca="false">IF(AND(Parameter!$B$21="Ja",ISNUMBER(W1219),N(X1219)&gt;0),IFERROR(N(INDEX(Parameter!$L$5:$L$7,W1219))*INDEX(Parameter!$E$5:$E$7,W1219)*X1219/SUMIFS($X$7:$X$1843,$W$7:$W$1843,W1219),0),0)</f>
        <v>0</v>
      </c>
    </row>
    <row r="1220" customFormat="false" ht="15" hidden="false" customHeight="false" outlineLevel="0" collapsed="false">
      <c r="A1220" s="48" t="s">
        <v>2191</v>
      </c>
      <c r="B1220" s="48" t="s">
        <v>602</v>
      </c>
      <c r="C1220" s="48" t="s">
        <v>168</v>
      </c>
      <c r="D1220" s="48" t="s">
        <v>188</v>
      </c>
      <c r="E1220" s="48" t="s">
        <v>189</v>
      </c>
      <c r="F1220" s="48" t="s">
        <v>222</v>
      </c>
      <c r="G1220" s="49" t="n">
        <v>29.25</v>
      </c>
      <c r="H1220" s="50" t="n">
        <f aca="false">MAX(0,IF(AND(Parameter!$B$21="Ja",ISNUMBER(Y1220)),Y1220,IF(Parameter!$B$20="Jahresanfang 2025 + Export",BO1220+BN1220,BN1220)))</f>
        <v>27</v>
      </c>
      <c r="I1220" s="50" t="n">
        <f aca="false">H1220*G1220</f>
        <v>789.75</v>
      </c>
      <c r="J1220" s="50" t="n">
        <f aca="false">BQ1220*Parameter!$B$18</f>
        <v>47</v>
      </c>
      <c r="K1220" s="51" t="n">
        <v>66</v>
      </c>
      <c r="L1220" s="52" t="n">
        <v>0.712121212121212</v>
      </c>
      <c r="M1220" s="50" t="n">
        <v>1</v>
      </c>
      <c r="N1220" s="50" t="n">
        <v>45</v>
      </c>
      <c r="O1220" s="53" t="n">
        <v>14</v>
      </c>
      <c r="P1220" s="48" t="s">
        <v>332</v>
      </c>
      <c r="Q1220" s="50" t="n">
        <v>124</v>
      </c>
      <c r="R1220" s="53" t="n">
        <f aca="false">IF(BW1220=1,0,IFERROR(VLOOKUP(BU1220,'Gebinde-Kategorie'!$A$5:$N$45,13,0)+0,0))</f>
        <v>52</v>
      </c>
      <c r="S1220" s="54"/>
      <c r="T1220" s="55"/>
      <c r="U1220" s="55"/>
      <c r="V1220" s="55"/>
      <c r="W1220" s="48"/>
      <c r="X1220" s="50"/>
      <c r="Y1220" s="50"/>
      <c r="Z1220" s="48" t="n">
        <f aca="false">IF(A1220="","",IF(AND(Parameter!$B$21="Ja",ISNUMBER(W1220)),W1220,IF(BZ1220="2+3",IF(ISNUMBER(SEARCH("grosser Artikel",BR1220)),2,IFERROR(VLOOKUP(BU1220,Parameter!$F$35:$G$64,2,0),2)),IF(OR(BZ1220="Nein",BZ1220=""),"-",BZ1220))))</f>
        <v>3</v>
      </c>
      <c r="AA1220" s="55"/>
      <c r="AB1220" s="56"/>
      <c r="AC1220" s="50" t="n">
        <f aca="false">AT1220</f>
        <v>124</v>
      </c>
      <c r="AD1220" s="50" t="n">
        <f aca="false">MAX(AT1220,H1220)</f>
        <v>124</v>
      </c>
      <c r="AE1220" s="57"/>
      <c r="AF1220" s="50" t="n">
        <f aca="false">IF(LEFT(Cockpit!$C$5,1)="A",H1220,IF(CE1220=1,CF1220,IF(LEFT(Cockpit!$C$5,1)="B",AK1220,MAX(AK1220,H1220))))</f>
        <v>27</v>
      </c>
      <c r="AG1220" s="50" t="n">
        <f aca="false">IF(BW1220=1,0,ROUNDUP(AF1220/BV1220,0))</f>
        <v>1</v>
      </c>
      <c r="AH1220" s="52" t="n">
        <f aca="false">IF(CL1220&gt;0,CL1220*MAX(1,AF1220/X1220),IF(BW1220=1,IF(AF1220&lt;=0,0,CA1220*MAX(1,IF(H1220&gt;0,AF1220/H1220,1))),IF(R1220&gt;0,AG1220/R1220,0))/MAX(0.1,N(Parameter!$M$21)))</f>
        <v>0.0192307692307692</v>
      </c>
      <c r="AI1220" s="50" t="n">
        <f aca="false">AH1220*BY1220</f>
        <v>2.98076923076923</v>
      </c>
      <c r="AJ1220" s="50" t="n">
        <f aca="false">AF1220*G1220</f>
        <v>789.75</v>
      </c>
      <c r="AK1220" s="50" t="n">
        <f aca="false">ROUNDUP(MAX(J1220/IF(CD1220&gt;0,CD1220,MAX(0.1,N(Cockpit!$C$6))),CG1220)/BV1220,0)*BV1220</f>
        <v>124</v>
      </c>
      <c r="AL1220" s="51" t="n">
        <f aca="false">IF(AI1220&gt;0,J1220/AI1220,-1)</f>
        <v>15.7677419354839</v>
      </c>
      <c r="AM1220" s="51" t="n">
        <f aca="false">IF(AND(OR(CC1220="L1",CC1220="L23",CC1220="LIFT"),AI1220&gt;0),SUMIFS($AI$7:$AI$1843,$CC$7:$CC$1843,CC1220,$AL$7:$AL$1843,"&gt;"&amp;AL1220)+SUMIFS($AI$7:$AI$1843,$CC$7:$CC$1843,CC1220,$AL$7:$AL$1843,AL1220,$BT$7:$BT$1843,"&lt;="&amp;BT1220),"")</f>
        <v>2065.6891025641</v>
      </c>
      <c r="AN1220" s="58" t="n">
        <f aca="false">IF(AM1220="",0,MAX(0,MIN(1,(IF(CC1220="L1",Parameter!$H$5,IF(CC1220="L23",Parameter!$H$6+Parameter!$H$7,Parameter!$H$5+Parameter!$H$6+Parameter!$H$7))-(AM1220-AI1220))/AI1220)))</f>
        <v>1</v>
      </c>
      <c r="AO1220" s="50" t="n">
        <f aca="false">IF(LEFT(Cockpit!$I$5,1)="A",H1220,IF(CE1220=1,CF1220,IF(LEFT(Cockpit!$I$5,1)="B",AT1220,MAX(AT1220,H1220))))</f>
        <v>124</v>
      </c>
      <c r="AP1220" s="50" t="n">
        <f aca="false">IF(BW1220=1,0,ROUNDUP(AO1220/BV1220,0))</f>
        <v>1</v>
      </c>
      <c r="AQ1220" s="52" t="n">
        <f aca="false">IF(CL1220&gt;0,CL1220*MAX(1,AO1220/X1220),IF(BW1220=1,IF(AO1220&lt;=0,0,CA1220*MAX(1,IF(H1220&gt;0,AO1220/H1220,1))),IF(R1220&gt;0,AP1220/R1220,0))/MAX(0.1,N(Parameter!$M$21)))</f>
        <v>0.0192307692307692</v>
      </c>
      <c r="AR1220" s="50" t="n">
        <f aca="false">AQ1220*BY1220</f>
        <v>2.98076923076923</v>
      </c>
      <c r="AS1220" s="50" t="n">
        <f aca="false">AO1220*G1220</f>
        <v>3627</v>
      </c>
      <c r="AT1220" s="50" t="n">
        <f aca="false">ROUNDUP(MAX(J1220/IF(CD1220&gt;0,CD1220,MAX(0.1,N(Cockpit!$I$6))),CG1220)/BV1220,0)*BV1220</f>
        <v>124</v>
      </c>
      <c r="AU1220" s="51" t="n">
        <f aca="false">IF(AR1220&gt;0,J1220/AR1220,-1)</f>
        <v>15.7677419354839</v>
      </c>
      <c r="AV1220" s="51" t="n">
        <f aca="false">IF(AND(OR(CC1220="L1",CC1220="L23",CC1220="LIFT"),AR1220&gt;0),SUMIFS($AR$7:$AR$1843,$CC$7:$CC$1843,CC1220,$AU$7:$AU$1843,"&gt;"&amp;AU1220)+SUMIFS($AR$7:$AR$1843,$CC$7:$CC$1843,CC1220,$AU$7:$AU$1843,AU1220,$BT$7:$BT$1843,"&lt;="&amp;BT1220),"")</f>
        <v>3219.87225274725</v>
      </c>
      <c r="AW1220" s="58" t="n">
        <f aca="false">IF(AV1220="",0,MAX(0,MIN(1,(IF(CC1220="L1",Parameter!$H$5,IF(CC1220="L23",Parameter!$H$6+Parameter!$H$7,Parameter!$H$5+Parameter!$H$6+Parameter!$H$7))-(AV1220-AR1220))/AR1220)))</f>
        <v>1</v>
      </c>
      <c r="AX1220" s="50" t="n">
        <f aca="false">IF(LEFT(Cockpit!$O$5,1)="A",H1220,IF(CE1220=1,CF1220,IF(LEFT(Cockpit!$O$5,1)="B",BC1220,MAX(BC1220,H1220))))</f>
        <v>124</v>
      </c>
      <c r="AY1220" s="50" t="n">
        <f aca="false">IF(BW1220=1,0,ROUNDUP(AX1220/BV1220,0))</f>
        <v>1</v>
      </c>
      <c r="AZ1220" s="52" t="n">
        <f aca="false">IF(CL1220&gt;0,CL1220*MAX(1,AX1220/X1220),IF(BW1220=1,IF(AX1220&lt;=0,0,CA1220*MAX(1,IF(H1220&gt;0,AX1220/H1220,1))),IF(R1220&gt;0,AY1220/R1220,0))/MAX(0.1,N(Parameter!$M$21)))</f>
        <v>0.0192307692307692</v>
      </c>
      <c r="BA1220" s="50" t="n">
        <f aca="false">AZ1220*BY1220</f>
        <v>2.98076923076923</v>
      </c>
      <c r="BB1220" s="50" t="n">
        <f aca="false">AX1220*G1220</f>
        <v>3627</v>
      </c>
      <c r="BC1220" s="50" t="n">
        <f aca="false">ROUNDUP(MAX(J1220/IF(CD1220&gt;0,CD1220,MAX(0.1,N(Cockpit!$O$6))),CG1220)/BV1220,0)*BV1220</f>
        <v>124</v>
      </c>
      <c r="BD1220" s="51" t="n">
        <f aca="false">IF(BA1220&gt;0,J1220/BA1220,-1)</f>
        <v>15.7677419354839</v>
      </c>
      <c r="BE1220" s="51" t="n">
        <f aca="false">IF(AND(OR(CC1220="L1",CC1220="L23",CC1220="LIFT"),BA1220&gt;0),SUMIFS($BA$7:$BA$1843,$CC$7:$CC$1843,CC1220,$BD$7:$BD$1843,"&gt;"&amp;BD1220)+SUMIFS($BA$7:$BA$1843,$CC$7:$CC$1843,CC1220,$BD$7:$BD$1843,BD1220,$BT$7:$BT$1843,"&lt;="&amp;BT1220),"")</f>
        <v>2894.31135531136</v>
      </c>
      <c r="BF1220" s="58" t="n">
        <f aca="false">IF(BE1220="",0,MAX(0,MIN(1,(IF(CC1220="L1",Parameter!$H$5,IF(CC1220="L23",Parameter!$H$6+Parameter!$H$7,Parameter!$H$5+Parameter!$H$6+Parameter!$H$7))-(BE1220-BA1220))/BA1220)))</f>
        <v>1</v>
      </c>
      <c r="BG1220" s="48" t="str">
        <f aca="false">IF(AI1220&lt;=0,"",IF(CC1220="Aussen","Aussenlager",IF(CC1220="-","Nicht im Lift",IF(AN1220&gt;=1,"Lift",IF(AN1220&lt;=0,"Aussenlager","teilweise")))))</f>
        <v>Lift</v>
      </c>
      <c r="BH1220" s="48" t="str">
        <f aca="false">IF(AR1220&lt;=0,"",IF(CC1220="Aussen","Aussenlager",IF(CC1220="-","Nicht im Lift",IF(AW1220&gt;=1,"Lift",IF(AW1220&lt;=0,"Aussenlager","teilweise")))))</f>
        <v>Lift</v>
      </c>
      <c r="BI1220" s="48" t="str">
        <f aca="false">IF(BA1220&lt;=0,"",IF(CC1220="Aussen","Aussenlager",IF(CC1220="-","Nicht im Lift",IF(BF1220&gt;=1,"Lift",IF(BF1220&lt;=0,"Aussenlager","teilweise")))))</f>
        <v>Lift</v>
      </c>
      <c r="BJ1220" s="48" t="str">
        <f aca="false">IF(A1220="","",IF(BS1220=1,"Neu; ","")&amp;IF(AND(BS1220=0,BN1220&lt;0),"negativer Bestand (Export "&amp;BN1220&amp;"); ","")&amp;IF(J1220&lt;=0,"Kein Verbrauch; ","")&amp;IF(CL1220&gt;0,"Lift "&amp;W1220&amp;" lt. Liftbericht (Fach "&amp;X1220&amp;" Stk); ",IF(BX1220=1,"Gebinde geschätzt ("&amp;T1220&amp;"); ",IF(BW1220=1,"Lose – Tablare geschätzt; ","")))&amp;IF(H1220&gt;AT1220,"Überbestand "&amp;ROUND(H1220-AT1220,0)&amp;" Stk / CHF "&amp;ROUND((H1220-AT1220)*G1220,0)&amp;"; ","")&amp;IF(AND(CE1220=1,CF1220&lt;CG1220),"MAX &lt; MB+LG; ","")&amp;IF(AND(CK1220&gt;0,CJ1220*10&gt;CK1220),"zu hoch für Tablar; ","")&amp;IF(AND(BS1220=0,OR(CE1220=1,AA1220&lt;&gt;"",U1220&lt;&gt;"",V1220&lt;&gt;"",AB1220&lt;&gt;"")),"manuell übersteuert; ","")&amp;IF(AND(BW1220=0,R1220=0),"Gebinde unbekannt / Stellmass fehlt; ","")&amp;IF(AND(BW1220=0,N(V1220)&lt;=0,N(Q1220)&lt;=0),"Menge pro Gebinde fehlt (Ist = 1 Gebinde); ","")&amp;BR1220)</f>
        <v>negativer Bestand (Export -23); </v>
      </c>
      <c r="BK1220" s="48"/>
      <c r="BL1220" s="48"/>
      <c r="BM1220" s="55"/>
      <c r="BN1220" s="50" t="n">
        <v>-23</v>
      </c>
      <c r="BO1220" s="50" t="n">
        <v>50</v>
      </c>
      <c r="BP1220" s="49" t="n">
        <v>-588.750000000001</v>
      </c>
      <c r="BQ1220" s="50" t="n">
        <v>47</v>
      </c>
      <c r="BR1220" s="48"/>
      <c r="BS1220" s="53" t="n">
        <v>0</v>
      </c>
      <c r="BT1220" s="53" t="n">
        <v>1220</v>
      </c>
      <c r="BU1220" s="48" t="str">
        <f aca="false">IF(U1220&lt;&gt;"",UPPER(TRIM(U1220)),IF(BX1220=1,UPPER(VLOOKUP(T1220,Parameter!$I$27:$K$29,2,0)),IF(P1220="","LOSE",P1220)))</f>
        <v>S41</v>
      </c>
      <c r="BV1220" s="50" t="n">
        <f aca="false">IF(BU1220="LOSE",1,IF(N(V1220)&gt;0,V1220,IF(BX1220=1,MAX(1,N(VLOOKUP(T1220,Parameter!$I$27:$K$29,3,0)),H1220,N(N1220)),IF(N(Q1220)&gt;0,Q1220,MAX(1,H1220)))))</f>
        <v>124</v>
      </c>
      <c r="BW1220" s="53" t="n">
        <f aca="false">IF(BU1220="LOSE",1,0)</f>
        <v>0</v>
      </c>
      <c r="BX1220" s="53" t="n">
        <f aca="false">IF(AND(U1220="",OR(P1220="",P1220="LOSE"),T1220&lt;&gt;"",N(S1220)&lt;=0,ISNUMBER(MATCH(T1220,Parameter!$I$27:$I$29,0))),1,0)</f>
        <v>0</v>
      </c>
      <c r="BY1220" s="53" t="n">
        <f aca="false">IF(CL1220&gt;0,INDEX(Parameter!$H$5:$H$7,W1220)/INDEX(Parameter!$E$5:$E$7,W1220),IF(AND(BW1220=0,N(IFERROR(VLOOKUP(BU1220,'Gebinde-Kategorie'!$A$5:$N$45,14,0),0))&gt;0),VLOOKUP(BU1220,'Gebinde-Kategorie'!$A$5:$N$45,14,0)*10+Parameter!$M$23,Parameter!$M$24))</f>
        <v>155</v>
      </c>
      <c r="BZ1220" s="48" t="str">
        <f aca="false">IF(AND(Parameter!$B$19="Ja",E1220&lt;&gt;"",ISNUMBER(MATCH(E1220,Parameter!$I$35:$I$52,0))),VLOOKUP(E1220,Parameter!$I$35:$J$52,2,0),IFERROR(VLOOKUP(D1220,Parameter!$A$35:$C$64,2,0),"Nein"))</f>
        <v>2+3</v>
      </c>
      <c r="CA1220" s="52" t="n">
        <f aca="false">IF(BW1220=0,0,IF(N(S1220)&gt;0,S1220,IFERROR(VLOOKUP(D1220,Parameter!$A$35:$C$64,3,0)+0,0)))</f>
        <v>0</v>
      </c>
      <c r="CB1220" s="48" t="n">
        <f aca="false">IF(AA1220&lt;&gt;"",AA1220,Z1220)</f>
        <v>3</v>
      </c>
      <c r="CC1220" s="48" t="str">
        <f aca="false">IF(OR(CB1220=1,CB1220=2,CB1220=3),IF(Parameter!$E$27="Ja","LIFT",IF(CB1220=1,"L1","L23")),IF(CB1220="Aussen","Aussen","-"))</f>
        <v>LIFT</v>
      </c>
      <c r="CD1220" s="59" t="n">
        <f aca="false">IF(N(AB1220)&gt;0,AB1220,0)</f>
        <v>0</v>
      </c>
      <c r="CE1220" s="53" t="n">
        <f aca="false">IF(ISNUMBER(AE1220),1,0)</f>
        <v>0</v>
      </c>
      <c r="CF1220" s="50" t="n">
        <f aca="false">N(AE1220)</f>
        <v>0</v>
      </c>
      <c r="CG1220" s="50" t="n">
        <f aca="false">N(M1220)+N(N1220)</f>
        <v>46</v>
      </c>
      <c r="CH1220" s="50" t="n">
        <f aca="false">ROUNDUP(H1220/BV1220,0)</f>
        <v>1</v>
      </c>
      <c r="CI1220" s="50" t="n">
        <f aca="false">ROUNDUP(CF1220/BV1220,0)</f>
        <v>0</v>
      </c>
      <c r="CJ1220" s="53" t="n">
        <f aca="false">IF(BW1220=1,0,IFERROR(VLOOKUP(BU1220,'Gebinde-Kategorie'!$A$5:$N$45,5,0)+0,0))</f>
        <v>11</v>
      </c>
      <c r="CK1220" s="53" t="n">
        <f aca="false">IFERROR(IF(OR(CB1220=1,CB1220=2,CB1220=3),N(INDEX(Parameter!$I$5:$I$7,CB1220)),0),0)</f>
        <v>0</v>
      </c>
      <c r="CL1220" s="52" t="n">
        <f aca="false">IF(AND(Parameter!$B$21="Ja",ISNUMBER(W1220),N(X1220)&gt;0),IFERROR(N(INDEX(Parameter!$L$5:$L$7,W1220))*INDEX(Parameter!$E$5:$E$7,W1220)*X1220/SUMIFS($X$7:$X$1843,$W$7:$W$1843,W1220),0),0)</f>
        <v>0</v>
      </c>
    </row>
    <row r="1221" customFormat="false" ht="15" hidden="false" customHeight="false" outlineLevel="0" collapsed="false">
      <c r="A1221" s="48" t="s">
        <v>2192</v>
      </c>
      <c r="B1221" s="48" t="s">
        <v>580</v>
      </c>
      <c r="C1221" s="48" t="s">
        <v>168</v>
      </c>
      <c r="D1221" s="48" t="s">
        <v>177</v>
      </c>
      <c r="E1221" s="48" t="s">
        <v>189</v>
      </c>
      <c r="F1221" s="48" t="s">
        <v>222</v>
      </c>
      <c r="G1221" s="49" t="n">
        <v>800.37</v>
      </c>
      <c r="H1221" s="50" t="n">
        <f aca="false">MAX(0,IF(AND(Parameter!$B$21="Ja",ISNUMBER(Y1221)),Y1221,IF(Parameter!$B$20="Jahresanfang 2025 + Export",BO1221+BN1221,BN1221)))</f>
        <v>7</v>
      </c>
      <c r="I1221" s="50" t="n">
        <f aca="false">H1221*G1221</f>
        <v>5602.59</v>
      </c>
      <c r="J1221" s="50" t="n">
        <f aca="false">BQ1221*Parameter!$B$18</f>
        <v>8</v>
      </c>
      <c r="K1221" s="51" t="n">
        <v>9.5</v>
      </c>
      <c r="L1221" s="52" t="n">
        <v>0.842105263157895</v>
      </c>
      <c r="M1221" s="50" t="n">
        <v>0</v>
      </c>
      <c r="N1221" s="50" t="n">
        <v>5</v>
      </c>
      <c r="O1221" s="53" t="n">
        <v>28</v>
      </c>
      <c r="P1221" s="48" t="s">
        <v>178</v>
      </c>
      <c r="Q1221" s="50" t="n">
        <v>4.5</v>
      </c>
      <c r="R1221" s="53" t="n">
        <f aca="false">IF(BW1221=1,0,IFERROR(VLOOKUP(BU1221,'Gebinde-Kategorie'!$A$5:$N$45,13,0)+0,0))</f>
        <v>6</v>
      </c>
      <c r="S1221" s="54"/>
      <c r="T1221" s="55"/>
      <c r="U1221" s="55"/>
      <c r="V1221" s="55"/>
      <c r="W1221" s="48"/>
      <c r="X1221" s="50"/>
      <c r="Y1221" s="50"/>
      <c r="Z1221" s="48" t="n">
        <f aca="false">IF(A1221="","",IF(AND(Parameter!$B$21="Ja",ISNUMBER(W1221)),W1221,IF(BZ1221="2+3",IF(ISNUMBER(SEARCH("grosser Artikel",BR1221)),2,IFERROR(VLOOKUP(BU1221,Parameter!$F$35:$G$64,2,0),2)),IF(OR(BZ1221="Nein",BZ1221=""),"-",BZ1221))))</f>
        <v>2</v>
      </c>
      <c r="AA1221" s="55"/>
      <c r="AB1221" s="56"/>
      <c r="AC1221" s="50" t="n">
        <f aca="false">AT1221</f>
        <v>9</v>
      </c>
      <c r="AD1221" s="50" t="n">
        <f aca="false">MAX(AT1221,H1221)</f>
        <v>9</v>
      </c>
      <c r="AE1221" s="57"/>
      <c r="AF1221" s="50" t="n">
        <f aca="false">IF(LEFT(Cockpit!$C$5,1)="A",H1221,IF(CE1221=1,CF1221,IF(LEFT(Cockpit!$C$5,1)="B",AK1221,MAX(AK1221,H1221))))</f>
        <v>7</v>
      </c>
      <c r="AG1221" s="50" t="n">
        <f aca="false">IF(BW1221=1,0,ROUNDUP(AF1221/BV1221,0))</f>
        <v>2</v>
      </c>
      <c r="AH1221" s="52" t="n">
        <f aca="false">IF(CL1221&gt;0,CL1221*MAX(1,AF1221/X1221),IF(BW1221=1,IF(AF1221&lt;=0,0,CA1221*MAX(1,IF(H1221&gt;0,AF1221/H1221,1))),IF(R1221&gt;0,AG1221/R1221,0))/MAX(0.1,N(Parameter!$M$21)))</f>
        <v>0.333333333333333</v>
      </c>
      <c r="AI1221" s="50" t="n">
        <f aca="false">AH1221*BY1221</f>
        <v>78.3333333333333</v>
      </c>
      <c r="AJ1221" s="50" t="n">
        <f aca="false">AF1221*G1221</f>
        <v>5602.59</v>
      </c>
      <c r="AK1221" s="50" t="n">
        <f aca="false">ROUNDUP(MAX(J1221/IF(CD1221&gt;0,CD1221,MAX(0.1,N(Cockpit!$C$6))),CG1221)/BV1221,0)*BV1221</f>
        <v>9</v>
      </c>
      <c r="AL1221" s="51" t="n">
        <f aca="false">IF(AI1221&gt;0,J1221/AI1221,-1)</f>
        <v>0.102127659574468</v>
      </c>
      <c r="AM1221" s="51" t="n">
        <f aca="false">IF(AND(OR(CC1221="L1",CC1221="L23",CC1221="LIFT"),AI1221&gt;0),SUMIFS($AI$7:$AI$1843,$CC$7:$CC$1843,CC1221,$AL$7:$AL$1843,"&gt;"&amp;AL1221)+SUMIFS($AI$7:$AI$1843,$CC$7:$CC$1843,CC1221,$AL$7:$AL$1843,AL1221,$BT$7:$BT$1843,"&lt;="&amp;BT1221),"")</f>
        <v>15873.5177640156</v>
      </c>
      <c r="AN1221" s="58" t="n">
        <f aca="false">IF(AM1221="",0,MAX(0,MIN(1,(IF(CC1221="L1",Parameter!$H$5,IF(CC1221="L23",Parameter!$H$6+Parameter!$H$7,Parameter!$H$5+Parameter!$H$6+Parameter!$H$7))-(AM1221-AI1221))/AI1221)))</f>
        <v>1</v>
      </c>
      <c r="AO1221" s="50" t="n">
        <f aca="false">IF(LEFT(Cockpit!$I$5,1)="A",H1221,IF(CE1221=1,CF1221,IF(LEFT(Cockpit!$I$5,1)="B",AT1221,MAX(AT1221,H1221))))</f>
        <v>9</v>
      </c>
      <c r="AP1221" s="50" t="n">
        <f aca="false">IF(BW1221=1,0,ROUNDUP(AO1221/BV1221,0))</f>
        <v>2</v>
      </c>
      <c r="AQ1221" s="52" t="n">
        <f aca="false">IF(CL1221&gt;0,CL1221*MAX(1,AO1221/X1221),IF(BW1221=1,IF(AO1221&lt;=0,0,CA1221*MAX(1,IF(H1221&gt;0,AO1221/H1221,1))),IF(R1221&gt;0,AP1221/R1221,0))/MAX(0.1,N(Parameter!$M$21)))</f>
        <v>0.333333333333333</v>
      </c>
      <c r="AR1221" s="50" t="n">
        <f aca="false">AQ1221*BY1221</f>
        <v>78.3333333333333</v>
      </c>
      <c r="AS1221" s="50" t="n">
        <f aca="false">AO1221*G1221</f>
        <v>7203.33</v>
      </c>
      <c r="AT1221" s="50" t="n">
        <f aca="false">ROUNDUP(MAX(J1221/IF(CD1221&gt;0,CD1221,MAX(0.1,N(Cockpit!$I$6))),CG1221)/BV1221,0)*BV1221</f>
        <v>9</v>
      </c>
      <c r="AU1221" s="51" t="n">
        <f aca="false">IF(AR1221&gt;0,J1221/AR1221,-1)</f>
        <v>0.102127659574468</v>
      </c>
      <c r="AV1221" s="51" t="n">
        <f aca="false">IF(AND(OR(CC1221="L1",CC1221="L23",CC1221="LIFT"),AR1221&gt;0),SUMIFS($AR$7:$AR$1843,$CC$7:$CC$1843,CC1221,$AU$7:$AU$1843,"&gt;"&amp;AU1221)+SUMIFS($AR$7:$AR$1843,$CC$7:$CC$1843,CC1221,$AU$7:$AU$1843,AU1221,$BT$7:$BT$1843,"&lt;="&amp;BT1221),"")</f>
        <v>23689.817819892</v>
      </c>
      <c r="AW1221" s="58" t="n">
        <f aca="false">IF(AV1221="",0,MAX(0,MIN(1,(IF(CC1221="L1",Parameter!$H$5,IF(CC1221="L23",Parameter!$H$6+Parameter!$H$7,Parameter!$H$5+Parameter!$H$6+Parameter!$H$7))-(AV1221-AR1221))/AR1221)))</f>
        <v>1</v>
      </c>
      <c r="AX1221" s="50" t="n">
        <f aca="false">IF(LEFT(Cockpit!$O$5,1)="A",H1221,IF(CE1221=1,CF1221,IF(LEFT(Cockpit!$O$5,1)="B",BC1221,MAX(BC1221,H1221))))</f>
        <v>9</v>
      </c>
      <c r="AY1221" s="50" t="n">
        <f aca="false">IF(BW1221=1,0,ROUNDUP(AX1221/BV1221,0))</f>
        <v>2</v>
      </c>
      <c r="AZ1221" s="52" t="n">
        <f aca="false">IF(CL1221&gt;0,CL1221*MAX(1,AX1221/X1221),IF(BW1221=1,IF(AX1221&lt;=0,0,CA1221*MAX(1,IF(H1221&gt;0,AX1221/H1221,1))),IF(R1221&gt;0,AY1221/R1221,0))/MAX(0.1,N(Parameter!$M$21)))</f>
        <v>0.333333333333333</v>
      </c>
      <c r="BA1221" s="50" t="n">
        <f aca="false">AZ1221*BY1221</f>
        <v>78.3333333333333</v>
      </c>
      <c r="BB1221" s="50" t="n">
        <f aca="false">AX1221*G1221</f>
        <v>7203.33</v>
      </c>
      <c r="BC1221" s="50" t="n">
        <f aca="false">ROUNDUP(MAX(J1221/IF(CD1221&gt;0,CD1221,MAX(0.1,N(Cockpit!$O$6))),CG1221)/BV1221,0)*BV1221</f>
        <v>9</v>
      </c>
      <c r="BD1221" s="51" t="n">
        <f aca="false">IF(BA1221&gt;0,J1221/BA1221,-1)</f>
        <v>0.102127659574468</v>
      </c>
      <c r="BE1221" s="51" t="n">
        <f aca="false">IF(AND(OR(CC1221="L1",CC1221="L23",CC1221="LIFT"),BA1221&gt;0),SUMIFS($BA$7:$BA$1843,$CC$7:$CC$1843,CC1221,$BD$7:$BD$1843,"&gt;"&amp;BD1221)+SUMIFS($BA$7:$BA$1843,$CC$7:$CC$1843,CC1221,$BD$7:$BD$1843,BD1221,$BT$7:$BT$1843,"&lt;="&amp;BT1221),"")</f>
        <v>22254.2601819085</v>
      </c>
      <c r="BF1221" s="58" t="n">
        <f aca="false">IF(BE1221="",0,MAX(0,MIN(1,(IF(CC1221="L1",Parameter!$H$5,IF(CC1221="L23",Parameter!$H$6+Parameter!$H$7,Parameter!$H$5+Parameter!$H$6+Parameter!$H$7))-(BE1221-BA1221))/BA1221)))</f>
        <v>1</v>
      </c>
      <c r="BG1221" s="48" t="str">
        <f aca="false">IF(AI1221&lt;=0,"",IF(CC1221="Aussen","Aussenlager",IF(CC1221="-","Nicht im Lift",IF(AN1221&gt;=1,"Lift",IF(AN1221&lt;=0,"Aussenlager","teilweise")))))</f>
        <v>Lift</v>
      </c>
      <c r="BH1221" s="48" t="str">
        <f aca="false">IF(AR1221&lt;=0,"",IF(CC1221="Aussen","Aussenlager",IF(CC1221="-","Nicht im Lift",IF(AW1221&gt;=1,"Lift",IF(AW1221&lt;=0,"Aussenlager","teilweise")))))</f>
        <v>Lift</v>
      </c>
      <c r="BI1221" s="48" t="str">
        <f aca="false">IF(BA1221&lt;=0,"",IF(CC1221="Aussen","Aussenlager",IF(CC1221="-","Nicht im Lift",IF(BF1221&gt;=1,"Lift",IF(BF1221&lt;=0,"Aussenlager","teilweise")))))</f>
        <v>Lift</v>
      </c>
      <c r="BJ1221" s="48" t="str">
        <f aca="false">IF(A1221="","",IF(BS1221=1,"Neu; ","")&amp;IF(AND(BS1221=0,BN1221&lt;0),"negativer Bestand (Export "&amp;BN1221&amp;"); ","")&amp;IF(J1221&lt;=0,"Kein Verbrauch; ","")&amp;IF(CL1221&gt;0,"Lift "&amp;W1221&amp;" lt. Liftbericht (Fach "&amp;X1221&amp;" Stk); ",IF(BX1221=1,"Gebinde geschätzt ("&amp;T1221&amp;"); ",IF(BW1221=1,"Lose – Tablare geschätzt; ","")))&amp;IF(H1221&gt;AT1221,"Überbestand "&amp;ROUND(H1221-AT1221,0)&amp;" Stk / CHF "&amp;ROUND((H1221-AT1221)*G1221,0)&amp;"; ","")&amp;IF(AND(CE1221=1,CF1221&lt;CG1221),"MAX &lt; MB+LG; ","")&amp;IF(AND(CK1221&gt;0,CJ1221*10&gt;CK1221),"zu hoch für Tablar; ","")&amp;IF(AND(BS1221=0,OR(CE1221=1,AA1221&lt;&gt;"",U1221&lt;&gt;"",V1221&lt;&gt;"",AB1221&lt;&gt;"")),"manuell übersteuert; ","")&amp;IF(AND(BW1221=0,R1221=0),"Gebinde unbekannt / Stellmass fehlt; ","")&amp;IF(AND(BW1221=0,N(V1221)&lt;=0,N(Q1221)&lt;=0),"Menge pro Gebinde fehlt (Ist = 1 Gebinde); ","")&amp;BR1221)</f>
        <v>negativer Bestand (Export -1); nicht im KTL vorhanden</v>
      </c>
      <c r="BK1221" s="48"/>
      <c r="BL1221" s="48"/>
      <c r="BM1221" s="55"/>
      <c r="BN1221" s="50" t="n">
        <v>-1</v>
      </c>
      <c r="BO1221" s="50" t="n">
        <v>8</v>
      </c>
      <c r="BP1221" s="49" t="n">
        <v>-591.01</v>
      </c>
      <c r="BQ1221" s="50" t="n">
        <v>8</v>
      </c>
      <c r="BR1221" s="48" t="s">
        <v>234</v>
      </c>
      <c r="BS1221" s="53" t="n">
        <v>0</v>
      </c>
      <c r="BT1221" s="53" t="n">
        <v>1221</v>
      </c>
      <c r="BU1221" s="48" t="str">
        <f aca="false">IF(U1221&lt;&gt;"",UPPER(TRIM(U1221)),IF(BX1221=1,UPPER(VLOOKUP(T1221,Parameter!$I$27:$K$29,2,0)),IF(P1221="","LOSE",P1221)))</f>
        <v>S71</v>
      </c>
      <c r="BV1221" s="50" t="n">
        <f aca="false">IF(BU1221="LOSE",1,IF(N(V1221)&gt;0,V1221,IF(BX1221=1,MAX(1,N(VLOOKUP(T1221,Parameter!$I$27:$K$29,3,0)),H1221,N(N1221)),IF(N(Q1221)&gt;0,Q1221,MAX(1,H1221)))))</f>
        <v>4.5</v>
      </c>
      <c r="BW1221" s="53" t="n">
        <f aca="false">IF(BU1221="LOSE",1,0)</f>
        <v>0</v>
      </c>
      <c r="BX1221" s="53" t="n">
        <f aca="false">IF(AND(U1221="",OR(P1221="",P1221="LOSE"),T1221&lt;&gt;"",N(S1221)&lt;=0,ISNUMBER(MATCH(T1221,Parameter!$I$27:$I$29,0))),1,0)</f>
        <v>0</v>
      </c>
      <c r="BY1221" s="53" t="n">
        <f aca="false">IF(CL1221&gt;0,INDEX(Parameter!$H$5:$H$7,W1221)/INDEX(Parameter!$E$5:$E$7,W1221),IF(AND(BW1221=0,N(IFERROR(VLOOKUP(BU1221,'Gebinde-Kategorie'!$A$5:$N$45,14,0),0))&gt;0),VLOOKUP(BU1221,'Gebinde-Kategorie'!$A$5:$N$45,14,0)*10+Parameter!$M$23,Parameter!$M$24))</f>
        <v>235</v>
      </c>
      <c r="BZ1221" s="48" t="str">
        <f aca="false">IF(AND(Parameter!$B$19="Ja",E1221&lt;&gt;"",ISNUMBER(MATCH(E1221,Parameter!$I$35:$I$52,0))),VLOOKUP(E1221,Parameter!$I$35:$J$52,2,0),IFERROR(VLOOKUP(D1221,Parameter!$A$35:$C$64,2,0),"Nein"))</f>
        <v>2+3</v>
      </c>
      <c r="CA1221" s="52" t="n">
        <f aca="false">IF(BW1221=0,0,IF(N(S1221)&gt;0,S1221,IFERROR(VLOOKUP(D1221,Parameter!$A$35:$C$64,3,0)+0,0)))</f>
        <v>0</v>
      </c>
      <c r="CB1221" s="48" t="n">
        <f aca="false">IF(AA1221&lt;&gt;"",AA1221,Z1221)</f>
        <v>2</v>
      </c>
      <c r="CC1221" s="48" t="str">
        <f aca="false">IF(OR(CB1221=1,CB1221=2,CB1221=3),IF(Parameter!$E$27="Ja","LIFT",IF(CB1221=1,"L1","L23")),IF(CB1221="Aussen","Aussen","-"))</f>
        <v>LIFT</v>
      </c>
      <c r="CD1221" s="59" t="n">
        <f aca="false">IF(N(AB1221)&gt;0,AB1221,0)</f>
        <v>0</v>
      </c>
      <c r="CE1221" s="53" t="n">
        <f aca="false">IF(ISNUMBER(AE1221),1,0)</f>
        <v>0</v>
      </c>
      <c r="CF1221" s="50" t="n">
        <f aca="false">N(AE1221)</f>
        <v>0</v>
      </c>
      <c r="CG1221" s="50" t="n">
        <f aca="false">N(M1221)+N(N1221)</f>
        <v>5</v>
      </c>
      <c r="CH1221" s="50" t="n">
        <f aca="false">ROUNDUP(H1221/BV1221,0)</f>
        <v>2</v>
      </c>
      <c r="CI1221" s="50" t="n">
        <f aca="false">ROUNDUP(CF1221/BV1221,0)</f>
        <v>0</v>
      </c>
      <c r="CJ1221" s="53" t="n">
        <f aca="false">IF(BW1221=1,0,IFERROR(VLOOKUP(BU1221,'Gebinde-Kategorie'!$A$5:$N$45,5,0)+0,0))</f>
        <v>20</v>
      </c>
      <c r="CK1221" s="53" t="n">
        <f aca="false">IFERROR(IF(OR(CB1221=1,CB1221=2,CB1221=3),N(INDEX(Parameter!$I$5:$I$7,CB1221)),0),0)</f>
        <v>0</v>
      </c>
      <c r="CL1221" s="52" t="n">
        <f aca="false">IF(AND(Parameter!$B$21="Ja",ISNUMBER(W1221),N(X1221)&gt;0),IFERROR(N(INDEX(Parameter!$L$5:$L$7,W1221))*INDEX(Parameter!$E$5:$E$7,W1221)*X1221/SUMIFS($X$7:$X$1843,$W$7:$W$1843,W1221),0),0)</f>
        <v>0</v>
      </c>
    </row>
    <row r="1222" customFormat="false" ht="15" hidden="false" customHeight="false" outlineLevel="0" collapsed="false">
      <c r="A1222" s="48" t="s">
        <v>2193</v>
      </c>
      <c r="B1222" s="48" t="s">
        <v>2194</v>
      </c>
      <c r="C1222" s="48" t="s">
        <v>168</v>
      </c>
      <c r="D1222" s="48" t="s">
        <v>188</v>
      </c>
      <c r="E1222" s="48"/>
      <c r="F1222" s="48" t="s">
        <v>222</v>
      </c>
      <c r="G1222" s="49" t="n">
        <v>296.55</v>
      </c>
      <c r="H1222" s="50" t="n">
        <f aca="false">MAX(0,IF(AND(Parameter!$B$21="Ja",ISNUMBER(Y1222)),Y1222,IF(Parameter!$B$20="Jahresanfang 2025 + Export",BO1222+BN1222,BN1222)))</f>
        <v>32</v>
      </c>
      <c r="I1222" s="50" t="n">
        <f aca="false">H1222*G1222</f>
        <v>9489.6</v>
      </c>
      <c r="J1222" s="50" t="n">
        <f aca="false">BQ1222*Parameter!$B$18</f>
        <v>1</v>
      </c>
      <c r="K1222" s="51" t="n">
        <v>33</v>
      </c>
      <c r="L1222" s="52" t="n">
        <v>0.0303030303030303</v>
      </c>
      <c r="M1222" s="50" t="n">
        <v>0</v>
      </c>
      <c r="N1222" s="50" t="n">
        <v>1</v>
      </c>
      <c r="O1222" s="53" t="n">
        <v>63</v>
      </c>
      <c r="P1222" s="48" t="s">
        <v>230</v>
      </c>
      <c r="Q1222" s="50" t="n">
        <v>35</v>
      </c>
      <c r="R1222" s="53" t="n">
        <f aca="false">IF(BW1222=1,0,IFERROR(VLOOKUP(BU1222,'Gebinde-Kategorie'!$A$5:$N$45,13,0)+0,0))</f>
        <v>12</v>
      </c>
      <c r="S1222" s="54"/>
      <c r="T1222" s="55"/>
      <c r="U1222" s="55"/>
      <c r="V1222" s="55"/>
      <c r="W1222" s="48"/>
      <c r="X1222" s="50"/>
      <c r="Y1222" s="50"/>
      <c r="Z1222" s="48" t="n">
        <f aca="false">IF(A1222="","",IF(AND(Parameter!$B$21="Ja",ISNUMBER(W1222)),W1222,IF(BZ1222="2+3",IF(ISNUMBER(SEARCH("grosser Artikel",BR1222)),2,IFERROR(VLOOKUP(BU1222,Parameter!$F$35:$G$64,2,0),2)),IF(OR(BZ1222="Nein",BZ1222=""),"-",BZ1222))))</f>
        <v>2</v>
      </c>
      <c r="AA1222" s="55"/>
      <c r="AB1222" s="56"/>
      <c r="AC1222" s="50" t="n">
        <f aca="false">AT1222</f>
        <v>35</v>
      </c>
      <c r="AD1222" s="50" t="n">
        <f aca="false">MAX(AT1222,H1222)</f>
        <v>35</v>
      </c>
      <c r="AE1222" s="57"/>
      <c r="AF1222" s="50" t="n">
        <f aca="false">IF(LEFT(Cockpit!$C$5,1)="A",H1222,IF(CE1222=1,CF1222,IF(LEFT(Cockpit!$C$5,1)="B",AK1222,MAX(AK1222,H1222))))</f>
        <v>32</v>
      </c>
      <c r="AG1222" s="50" t="n">
        <f aca="false">IF(BW1222=1,0,ROUNDUP(AF1222/BV1222,0))</f>
        <v>1</v>
      </c>
      <c r="AH1222" s="52" t="n">
        <f aca="false">IF(CL1222&gt;0,CL1222*MAX(1,AF1222/X1222),IF(BW1222=1,IF(AF1222&lt;=0,0,CA1222*MAX(1,IF(H1222&gt;0,AF1222/H1222,1))),IF(R1222&gt;0,AG1222/R1222,0))/MAX(0.1,N(Parameter!$M$21)))</f>
        <v>0.0833333333333333</v>
      </c>
      <c r="AI1222" s="50" t="n">
        <f aca="false">AH1222*BY1222</f>
        <v>28.75</v>
      </c>
      <c r="AJ1222" s="50" t="n">
        <f aca="false">AF1222*G1222</f>
        <v>9489.6</v>
      </c>
      <c r="AK1222" s="50" t="n">
        <f aca="false">ROUNDUP(MAX(J1222/IF(CD1222&gt;0,CD1222,MAX(0.1,N(Cockpit!$C$6))),CG1222)/BV1222,0)*BV1222</f>
        <v>35</v>
      </c>
      <c r="AL1222" s="51" t="n">
        <f aca="false">IF(AI1222&gt;0,J1222/AI1222,-1)</f>
        <v>0.0347826086956522</v>
      </c>
      <c r="AM1222" s="51" t="n">
        <f aca="false">IF(AND(OR(CC1222="L1",CC1222="L23",CC1222="LIFT"),AI1222&gt;0),SUMIFS($AI$7:$AI$1843,$CC$7:$CC$1843,CC1222,$AL$7:$AL$1843,"&gt;"&amp;AL1222)+SUMIFS($AI$7:$AI$1843,$CC$7:$CC$1843,CC1222,$AL$7:$AL$1843,AL1222,$BT$7:$BT$1843,"&lt;="&amp;BT1222),"")</f>
        <v>19952.3709800087</v>
      </c>
      <c r="AN1222" s="58" t="n">
        <f aca="false">IF(AM1222="",0,MAX(0,MIN(1,(IF(CC1222="L1",Parameter!$H$5,IF(CC1222="L23",Parameter!$H$6+Parameter!$H$7,Parameter!$H$5+Parameter!$H$6+Parameter!$H$7))-(AM1222-AI1222))/AI1222)))</f>
        <v>1</v>
      </c>
      <c r="AO1222" s="50" t="n">
        <f aca="false">IF(LEFT(Cockpit!$I$5,1)="A",H1222,IF(CE1222=1,CF1222,IF(LEFT(Cockpit!$I$5,1)="B",AT1222,MAX(AT1222,H1222))))</f>
        <v>35</v>
      </c>
      <c r="AP1222" s="50" t="n">
        <f aca="false">IF(BW1222=1,0,ROUNDUP(AO1222/BV1222,0))</f>
        <v>1</v>
      </c>
      <c r="AQ1222" s="52" t="n">
        <f aca="false">IF(CL1222&gt;0,CL1222*MAX(1,AO1222/X1222),IF(BW1222=1,IF(AO1222&lt;=0,0,CA1222*MAX(1,IF(H1222&gt;0,AO1222/H1222,1))),IF(R1222&gt;0,AP1222/R1222,0))/MAX(0.1,N(Parameter!$M$21)))</f>
        <v>0.0833333333333333</v>
      </c>
      <c r="AR1222" s="50" t="n">
        <f aca="false">AQ1222*BY1222</f>
        <v>28.75</v>
      </c>
      <c r="AS1222" s="50" t="n">
        <f aca="false">AO1222*G1222</f>
        <v>10379.25</v>
      </c>
      <c r="AT1222" s="50" t="n">
        <f aca="false">ROUNDUP(MAX(J1222/IF(CD1222&gt;0,CD1222,MAX(0.1,N(Cockpit!$I$6))),CG1222)/BV1222,0)*BV1222</f>
        <v>35</v>
      </c>
      <c r="AU1222" s="51" t="n">
        <f aca="false">IF(AR1222&gt;0,J1222/AR1222,-1)</f>
        <v>0.0347826086956522</v>
      </c>
      <c r="AV1222" s="51" t="n">
        <f aca="false">IF(AND(OR(CC1222="L1",CC1222="L23",CC1222="LIFT"),AR1222&gt;0),SUMIFS($AR$7:$AR$1843,$CC$7:$CC$1843,CC1222,$AU$7:$AU$1843,"&gt;"&amp;AU1222)+SUMIFS($AR$7:$AR$1843,$CC$7:$CC$1843,CC1222,$AU$7:$AU$1843,AU1222,$BT$7:$BT$1843,"&lt;="&amp;BT1222),"")</f>
        <v>30787.1785688417</v>
      </c>
      <c r="AW1222" s="58" t="n">
        <f aca="false">IF(AV1222="",0,MAX(0,MIN(1,(IF(CC1222="L1",Parameter!$H$5,IF(CC1222="L23",Parameter!$H$6+Parameter!$H$7,Parameter!$H$5+Parameter!$H$6+Parameter!$H$7))-(AV1222-AR1222))/AR1222)))</f>
        <v>1</v>
      </c>
      <c r="AX1222" s="50" t="n">
        <f aca="false">IF(LEFT(Cockpit!$O$5,1)="A",H1222,IF(CE1222=1,CF1222,IF(LEFT(Cockpit!$O$5,1)="B",BC1222,MAX(BC1222,H1222))))</f>
        <v>35</v>
      </c>
      <c r="AY1222" s="50" t="n">
        <f aca="false">IF(BW1222=1,0,ROUNDUP(AX1222/BV1222,0))</f>
        <v>1</v>
      </c>
      <c r="AZ1222" s="52" t="n">
        <f aca="false">IF(CL1222&gt;0,CL1222*MAX(1,AX1222/X1222),IF(BW1222=1,IF(AX1222&lt;=0,0,CA1222*MAX(1,IF(H1222&gt;0,AX1222/H1222,1))),IF(R1222&gt;0,AY1222/R1222,0))/MAX(0.1,N(Parameter!$M$21)))</f>
        <v>0.0833333333333333</v>
      </c>
      <c r="BA1222" s="50" t="n">
        <f aca="false">AZ1222*BY1222</f>
        <v>28.75</v>
      </c>
      <c r="BB1222" s="50" t="n">
        <f aca="false">AX1222*G1222</f>
        <v>10379.25</v>
      </c>
      <c r="BC1222" s="50" t="n">
        <f aca="false">ROUNDUP(MAX(J1222/IF(CD1222&gt;0,CD1222,MAX(0.1,N(Cockpit!$O$6))),CG1222)/BV1222,0)*BV1222</f>
        <v>35</v>
      </c>
      <c r="BD1222" s="51" t="n">
        <f aca="false">IF(BA1222&gt;0,J1222/BA1222,-1)</f>
        <v>0.0347826086956522</v>
      </c>
      <c r="BE1222" s="51" t="n">
        <f aca="false">IF(AND(OR(CC1222="L1",CC1222="L23",CC1222="LIFT"),BA1222&gt;0),SUMIFS($BA$7:$BA$1843,$CC$7:$CC$1843,CC1222,$BD$7:$BD$1843,"&gt;"&amp;BD1222)+SUMIFS($BA$7:$BA$1843,$CC$7:$CC$1843,CC1222,$BD$7:$BD$1843,BD1222,$BT$7:$BT$1843,"&lt;="&amp;BT1222),"")</f>
        <v>27462.1906107076</v>
      </c>
      <c r="BF1222" s="58" t="n">
        <f aca="false">IF(BE1222="",0,MAX(0,MIN(1,(IF(CC1222="L1",Parameter!$H$5,IF(CC1222="L23",Parameter!$H$6+Parameter!$H$7,Parameter!$H$5+Parameter!$H$6+Parameter!$H$7))-(BE1222-BA1222))/BA1222)))</f>
        <v>1</v>
      </c>
      <c r="BG1222" s="48" t="str">
        <f aca="false">IF(AI1222&lt;=0,"",IF(CC1222="Aussen","Aussenlager",IF(CC1222="-","Nicht im Lift",IF(AN1222&gt;=1,"Lift",IF(AN1222&lt;=0,"Aussenlager","teilweise")))))</f>
        <v>Lift</v>
      </c>
      <c r="BH1222" s="48" t="str">
        <f aca="false">IF(AR1222&lt;=0,"",IF(CC1222="Aussen","Aussenlager",IF(CC1222="-","Nicht im Lift",IF(AW1222&gt;=1,"Lift",IF(AW1222&lt;=0,"Aussenlager","teilweise")))))</f>
        <v>Lift</v>
      </c>
      <c r="BI1222" s="48" t="str">
        <f aca="false">IF(BA1222&lt;=0,"",IF(CC1222="Aussen","Aussenlager",IF(CC1222="-","Nicht im Lift",IF(BF1222&gt;=1,"Lift",IF(BF1222&lt;=0,"Aussenlager","teilweise")))))</f>
        <v>Lift</v>
      </c>
      <c r="BJ1222" s="48" t="str">
        <f aca="false">IF(A1222="","",IF(BS1222=1,"Neu; ","")&amp;IF(AND(BS1222=0,BN1222&lt;0),"negativer Bestand (Export "&amp;BN1222&amp;"); ","")&amp;IF(J1222&lt;=0,"Kein Verbrauch; ","")&amp;IF(CL1222&gt;0,"Lift "&amp;W1222&amp;" lt. Liftbericht (Fach "&amp;X1222&amp;" Stk); ",IF(BX1222=1,"Gebinde geschätzt ("&amp;T1222&amp;"); ",IF(BW1222=1,"Lose – Tablare geschätzt; ","")))&amp;IF(H1222&gt;AT1222,"Überbestand "&amp;ROUND(H1222-AT1222,0)&amp;" Stk / CHF "&amp;ROUND((H1222-AT1222)*G1222,0)&amp;"; ","")&amp;IF(AND(CE1222=1,CF1222&lt;CG1222),"MAX &lt; MB+LG; ","")&amp;IF(AND(CK1222&gt;0,CJ1222*10&gt;CK1222),"zu hoch für Tablar; ","")&amp;IF(AND(BS1222=0,OR(CE1222=1,AA1222&lt;&gt;"",U1222&lt;&gt;"",V1222&lt;&gt;"",AB1222&lt;&gt;"")),"manuell übersteuert; ","")&amp;IF(AND(BW1222=0,R1222=0),"Gebinde unbekannt / Stellmass fehlt; ","")&amp;IF(AND(BW1222=0,N(V1222)&lt;=0,N(Q1222)&lt;=0),"Menge pro Gebinde fehlt (Ist = 1 Gebinde); ","")&amp;BR1222)</f>
        <v>negativer Bestand (Export -2); </v>
      </c>
      <c r="BK1222" s="48"/>
      <c r="BL1222" s="48"/>
      <c r="BM1222" s="55"/>
      <c r="BN1222" s="50" t="n">
        <v>-2</v>
      </c>
      <c r="BO1222" s="50" t="n">
        <v>34</v>
      </c>
      <c r="BP1222" s="49" t="n">
        <v>-593.1</v>
      </c>
      <c r="BQ1222" s="50" t="n">
        <v>1</v>
      </c>
      <c r="BR1222" s="48"/>
      <c r="BS1222" s="53" t="n">
        <v>0</v>
      </c>
      <c r="BT1222" s="53" t="n">
        <v>1222</v>
      </c>
      <c r="BU1222" s="48" t="str">
        <f aca="false">IF(U1222&lt;&gt;"",UPPER(TRIM(U1222)),IF(BX1222=1,UPPER(VLOOKUP(T1222,Parameter!$I$27:$K$29,2,0)),IF(P1222="","LOSE",P1222)))</f>
        <v>S63</v>
      </c>
      <c r="BV1222" s="50" t="n">
        <f aca="false">IF(BU1222="LOSE",1,IF(N(V1222)&gt;0,V1222,IF(BX1222=1,MAX(1,N(VLOOKUP(T1222,Parameter!$I$27:$K$29,3,0)),H1222,N(N1222)),IF(N(Q1222)&gt;0,Q1222,MAX(1,H1222)))))</f>
        <v>35</v>
      </c>
      <c r="BW1222" s="53" t="n">
        <f aca="false">IF(BU1222="LOSE",1,0)</f>
        <v>0</v>
      </c>
      <c r="BX1222" s="53" t="n">
        <f aca="false">IF(AND(U1222="",OR(P1222="",P1222="LOSE"),T1222&lt;&gt;"",N(S1222)&lt;=0,ISNUMBER(MATCH(T1222,Parameter!$I$27:$I$29,0))),1,0)</f>
        <v>0</v>
      </c>
      <c r="BY1222" s="53" t="n">
        <f aca="false">IF(CL1222&gt;0,INDEX(Parameter!$H$5:$H$7,W1222)/INDEX(Parameter!$E$5:$E$7,W1222),IF(AND(BW1222=0,N(IFERROR(VLOOKUP(BU1222,'Gebinde-Kategorie'!$A$5:$N$45,14,0),0))&gt;0),VLOOKUP(BU1222,'Gebinde-Kategorie'!$A$5:$N$45,14,0)*10+Parameter!$M$23,Parameter!$M$24))</f>
        <v>345</v>
      </c>
      <c r="BZ1222" s="48" t="str">
        <f aca="false">IF(AND(Parameter!$B$19="Ja",E1222&lt;&gt;"",ISNUMBER(MATCH(E1222,Parameter!$I$35:$I$52,0))),VLOOKUP(E1222,Parameter!$I$35:$J$52,2,0),IFERROR(VLOOKUP(D1222,Parameter!$A$35:$C$64,2,0),"Nein"))</f>
        <v>2+3</v>
      </c>
      <c r="CA1222" s="52" t="n">
        <f aca="false">IF(BW1222=0,0,IF(N(S1222)&gt;0,S1222,IFERROR(VLOOKUP(D1222,Parameter!$A$35:$C$64,3,0)+0,0)))</f>
        <v>0</v>
      </c>
      <c r="CB1222" s="48" t="n">
        <f aca="false">IF(AA1222&lt;&gt;"",AA1222,Z1222)</f>
        <v>2</v>
      </c>
      <c r="CC1222" s="48" t="str">
        <f aca="false">IF(OR(CB1222=1,CB1222=2,CB1222=3),IF(Parameter!$E$27="Ja","LIFT",IF(CB1222=1,"L1","L23")),IF(CB1222="Aussen","Aussen","-"))</f>
        <v>LIFT</v>
      </c>
      <c r="CD1222" s="59" t="n">
        <f aca="false">IF(N(AB1222)&gt;0,AB1222,0)</f>
        <v>0</v>
      </c>
      <c r="CE1222" s="53" t="n">
        <f aca="false">IF(ISNUMBER(AE1222),1,0)</f>
        <v>0</v>
      </c>
      <c r="CF1222" s="50" t="n">
        <f aca="false">N(AE1222)</f>
        <v>0</v>
      </c>
      <c r="CG1222" s="50" t="n">
        <f aca="false">N(M1222)+N(N1222)</f>
        <v>1</v>
      </c>
      <c r="CH1222" s="50" t="n">
        <f aca="false">ROUNDUP(H1222/BV1222,0)</f>
        <v>1</v>
      </c>
      <c r="CI1222" s="50" t="n">
        <f aca="false">ROUNDUP(CF1222/BV1222,0)</f>
        <v>0</v>
      </c>
      <c r="CJ1222" s="53" t="n">
        <f aca="false">IF(BW1222=1,0,IFERROR(VLOOKUP(BU1222,'Gebinde-Kategorie'!$A$5:$N$45,5,0)+0,0))</f>
        <v>31</v>
      </c>
      <c r="CK1222" s="53" t="n">
        <f aca="false">IFERROR(IF(OR(CB1222=1,CB1222=2,CB1222=3),N(INDEX(Parameter!$I$5:$I$7,CB1222)),0),0)</f>
        <v>0</v>
      </c>
      <c r="CL1222" s="52" t="n">
        <f aca="false">IF(AND(Parameter!$B$21="Ja",ISNUMBER(W1222),N(X1222)&gt;0),IFERROR(N(INDEX(Parameter!$L$5:$L$7,W1222))*INDEX(Parameter!$E$5:$E$7,W1222)*X1222/SUMIFS($X$7:$X$1843,$W$7:$W$1843,W1222),0),0)</f>
        <v>0</v>
      </c>
    </row>
    <row r="1223" customFormat="false" ht="15" hidden="false" customHeight="false" outlineLevel="0" collapsed="false">
      <c r="A1223" s="48" t="s">
        <v>2195</v>
      </c>
      <c r="B1223" s="48" t="s">
        <v>613</v>
      </c>
      <c r="C1223" s="48" t="s">
        <v>168</v>
      </c>
      <c r="D1223" s="48" t="s">
        <v>177</v>
      </c>
      <c r="E1223" s="48"/>
      <c r="F1223" s="48" t="s">
        <v>222</v>
      </c>
      <c r="G1223" s="49" t="n">
        <v>35.5</v>
      </c>
      <c r="H1223" s="50" t="n">
        <f aca="false">MAX(0,IF(AND(Parameter!$B$21="Ja",ISNUMBER(Y1223)),Y1223,IF(Parameter!$B$20="Jahresanfang 2025 + Export",BO1223+BN1223,BN1223)))</f>
        <v>0</v>
      </c>
      <c r="I1223" s="50" t="n">
        <f aca="false">H1223*G1223</f>
        <v>0</v>
      </c>
      <c r="J1223" s="50" t="n">
        <f aca="false">BQ1223*Parameter!$B$18</f>
        <v>0</v>
      </c>
      <c r="K1223" s="51" t="n">
        <v>8.5</v>
      </c>
      <c r="L1223" s="52" t="n">
        <v>0</v>
      </c>
      <c r="M1223" s="50" t="n">
        <v>0</v>
      </c>
      <c r="N1223" s="50" t="n">
        <v>1</v>
      </c>
      <c r="O1223" s="53" t="n">
        <v>42</v>
      </c>
      <c r="P1223" s="48" t="s">
        <v>172</v>
      </c>
      <c r="Q1223" s="50"/>
      <c r="R1223" s="53" t="n">
        <f aca="false">IF(BW1223=1,0,IFERROR(VLOOKUP(BU1223,'Gebinde-Kategorie'!$A$5:$N$45,13,0)+0,0))</f>
        <v>12</v>
      </c>
      <c r="S1223" s="54"/>
      <c r="T1223" s="55" t="s">
        <v>183</v>
      </c>
      <c r="U1223" s="55"/>
      <c r="V1223" s="55"/>
      <c r="W1223" s="48"/>
      <c r="X1223" s="50"/>
      <c r="Y1223" s="50"/>
      <c r="Z1223" s="48" t="n">
        <f aca="false">IF(A1223="","",IF(AND(Parameter!$B$21="Ja",ISNUMBER(W1223)),W1223,IF(BZ1223="2+3",IF(ISNUMBER(SEARCH("grosser Artikel",BR1223)),2,IFERROR(VLOOKUP(BU1223,Parameter!$F$35:$G$64,2,0),2)),IF(OR(BZ1223="Nein",BZ1223=""),"-",BZ1223))))</f>
        <v>2</v>
      </c>
      <c r="AA1223" s="55"/>
      <c r="AB1223" s="56"/>
      <c r="AC1223" s="50" t="n">
        <f aca="false">AT1223</f>
        <v>4</v>
      </c>
      <c r="AD1223" s="50" t="n">
        <f aca="false">MAX(AT1223,H1223)</f>
        <v>4</v>
      </c>
      <c r="AE1223" s="57"/>
      <c r="AF1223" s="50" t="n">
        <f aca="false">IF(LEFT(Cockpit!$C$5,1)="A",H1223,IF(CE1223=1,CF1223,IF(LEFT(Cockpit!$C$5,1)="B",AK1223,MAX(AK1223,H1223))))</f>
        <v>0</v>
      </c>
      <c r="AG1223" s="50" t="n">
        <f aca="false">IF(BW1223=1,0,ROUNDUP(AF1223/BV1223,0))</f>
        <v>0</v>
      </c>
      <c r="AH1223" s="52" t="n">
        <f aca="false">IF(CL1223&gt;0,CL1223*MAX(1,AF1223/X1223),IF(BW1223=1,IF(AF1223&lt;=0,0,CA1223*MAX(1,IF(H1223&gt;0,AF1223/H1223,1))),IF(R1223&gt;0,AG1223/R1223,0))/MAX(0.1,N(Parameter!$M$21)))</f>
        <v>0</v>
      </c>
      <c r="AI1223" s="50" t="n">
        <f aca="false">AH1223*BY1223</f>
        <v>0</v>
      </c>
      <c r="AJ1223" s="50" t="n">
        <f aca="false">AF1223*G1223</f>
        <v>0</v>
      </c>
      <c r="AK1223" s="50" t="n">
        <f aca="false">ROUNDUP(MAX(J1223/IF(CD1223&gt;0,CD1223,MAX(0.1,N(Cockpit!$C$6))),CG1223)/BV1223,0)*BV1223</f>
        <v>4</v>
      </c>
      <c r="AL1223" s="51" t="n">
        <f aca="false">IF(AI1223&gt;0,J1223/AI1223,-1)</f>
        <v>-1</v>
      </c>
      <c r="AM1223" s="51" t="str">
        <f aca="false">IF(AND(OR(CC1223="L1",CC1223="L23",CC1223="LIFT"),AI1223&gt;0),SUMIFS($AI$7:$AI$1843,$CC$7:$CC$1843,CC1223,$AL$7:$AL$1843,"&gt;"&amp;AL1223)+SUMIFS($AI$7:$AI$1843,$CC$7:$CC$1843,CC1223,$AL$7:$AL$1843,AL1223,$BT$7:$BT$1843,"&lt;="&amp;BT1223),"")</f>
        <v/>
      </c>
      <c r="AN1223" s="58" t="n">
        <f aca="false">IF(AM1223="",0,MAX(0,MIN(1,(IF(CC1223="L1",Parameter!$H$5,IF(CC1223="L23",Parameter!$H$6+Parameter!$H$7,Parameter!$H$5+Parameter!$H$6+Parameter!$H$7))-(AM1223-AI1223))/AI1223)))</f>
        <v>0</v>
      </c>
      <c r="AO1223" s="50" t="n">
        <f aca="false">IF(LEFT(Cockpit!$I$5,1)="A",H1223,IF(CE1223=1,CF1223,IF(LEFT(Cockpit!$I$5,1)="B",AT1223,MAX(AT1223,H1223))))</f>
        <v>4</v>
      </c>
      <c r="AP1223" s="50" t="n">
        <f aca="false">IF(BW1223=1,0,ROUNDUP(AO1223/BV1223,0))</f>
        <v>1</v>
      </c>
      <c r="AQ1223" s="52" t="n">
        <f aca="false">IF(CL1223&gt;0,CL1223*MAX(1,AO1223/X1223),IF(BW1223=1,IF(AO1223&lt;=0,0,CA1223*MAX(1,IF(H1223&gt;0,AO1223/H1223,1))),IF(R1223&gt;0,AP1223/R1223,0))/MAX(0.1,N(Parameter!$M$21)))</f>
        <v>0.0833333333333333</v>
      </c>
      <c r="AR1223" s="50" t="n">
        <f aca="false">AQ1223*BY1223</f>
        <v>12.0833333333333</v>
      </c>
      <c r="AS1223" s="50" t="n">
        <f aca="false">AO1223*G1223</f>
        <v>142</v>
      </c>
      <c r="AT1223" s="50" t="n">
        <f aca="false">ROUNDUP(MAX(J1223/IF(CD1223&gt;0,CD1223,MAX(0.1,N(Cockpit!$I$6))),CG1223)/BV1223,0)*BV1223</f>
        <v>4</v>
      </c>
      <c r="AU1223" s="51" t="n">
        <f aca="false">IF(AR1223&gt;0,J1223/AR1223,-1)</f>
        <v>0</v>
      </c>
      <c r="AV1223" s="51" t="n">
        <f aca="false">IF(AND(OR(CC1223="L1",CC1223="L23",CC1223="LIFT"),AR1223&gt;0),SUMIFS($AR$7:$AR$1843,$CC$7:$CC$1843,CC1223,$AU$7:$AU$1843,"&gt;"&amp;AU1223)+SUMIFS($AR$7:$AR$1843,$CC$7:$CC$1843,CC1223,$AU$7:$AU$1843,AU1223,$BT$7:$BT$1843,"&lt;="&amp;BT1223),"")</f>
        <v>41217.2596231452</v>
      </c>
      <c r="AW1223" s="58" t="n">
        <f aca="false">IF(AV1223="",0,MAX(0,MIN(1,(IF(CC1223="L1",Parameter!$H$5,IF(CC1223="L23",Parameter!$H$6+Parameter!$H$7,Parameter!$H$5+Parameter!$H$6+Parameter!$H$7))-(AV1223-AR1223))/AR1223)))</f>
        <v>0</v>
      </c>
      <c r="AX1223" s="50" t="n">
        <f aca="false">IF(LEFT(Cockpit!$O$5,1)="A",H1223,IF(CE1223=1,CF1223,IF(LEFT(Cockpit!$O$5,1)="B",BC1223,MAX(BC1223,H1223))))</f>
        <v>4</v>
      </c>
      <c r="AY1223" s="50" t="n">
        <f aca="false">IF(BW1223=1,0,ROUNDUP(AX1223/BV1223,0))</f>
        <v>1</v>
      </c>
      <c r="AZ1223" s="52" t="n">
        <f aca="false">IF(CL1223&gt;0,CL1223*MAX(1,AX1223/X1223),IF(BW1223=1,IF(AX1223&lt;=0,0,CA1223*MAX(1,IF(H1223&gt;0,AX1223/H1223,1))),IF(R1223&gt;0,AY1223/R1223,0))/MAX(0.1,N(Parameter!$M$21)))</f>
        <v>0.0833333333333333</v>
      </c>
      <c r="BA1223" s="50" t="n">
        <f aca="false">AZ1223*BY1223</f>
        <v>12.0833333333333</v>
      </c>
      <c r="BB1223" s="50" t="n">
        <f aca="false">AX1223*G1223</f>
        <v>142</v>
      </c>
      <c r="BC1223" s="50" t="n">
        <f aca="false">ROUNDUP(MAX(J1223/IF(CD1223&gt;0,CD1223,MAX(0.1,N(Cockpit!$O$6))),CG1223)/BV1223,0)*BV1223</f>
        <v>4</v>
      </c>
      <c r="BD1223" s="51" t="n">
        <f aca="false">IF(BA1223&gt;0,J1223/BA1223,-1)</f>
        <v>0</v>
      </c>
      <c r="BE1223" s="51" t="n">
        <f aca="false">IF(AND(OR(CC1223="L1",CC1223="L23",CC1223="LIFT"),BA1223&gt;0),SUMIFS($BA$7:$BA$1843,$CC$7:$CC$1843,CC1223,$BD$7:$BD$1843,"&gt;"&amp;BD1223)+SUMIFS($BA$7:$BA$1843,$CC$7:$CC$1843,CC1223,$BD$7:$BD$1843,BD1223,$BT$7:$BT$1843,"&lt;="&amp;BT1223),"")</f>
        <v>37892.2716650111</v>
      </c>
      <c r="BF1223" s="58" t="n">
        <f aca="false">IF(BE1223="",0,MAX(0,MIN(1,(IF(CC1223="L1",Parameter!$H$5,IF(CC1223="L23",Parameter!$H$6+Parameter!$H$7,Parameter!$H$5+Parameter!$H$6+Parameter!$H$7))-(BE1223-BA1223))/BA1223)))</f>
        <v>0</v>
      </c>
      <c r="BG1223" s="48" t="str">
        <f aca="false">IF(AI1223&lt;=0,"",IF(CC1223="Aussen","Aussenlager",IF(CC1223="-","Nicht im Lift",IF(AN1223&gt;=1,"Lift",IF(AN1223&lt;=0,"Aussenlager","teilweise")))))</f>
        <v/>
      </c>
      <c r="BH1223" s="48" t="str">
        <f aca="false">IF(AR1223&lt;=0,"",IF(CC1223="Aussen","Aussenlager",IF(CC1223="-","Nicht im Lift",IF(AW1223&gt;=1,"Lift",IF(AW1223&lt;=0,"Aussenlager","teilweise")))))</f>
        <v>Aussenlager</v>
      </c>
      <c r="BI1223" s="48" t="str">
        <f aca="false">IF(BA1223&lt;=0,"",IF(CC1223="Aussen","Aussenlager",IF(CC1223="-","Nicht im Lift",IF(BF1223&gt;=1,"Lift",IF(BF1223&lt;=0,"Aussenlager","teilweise")))))</f>
        <v>Aussenlager</v>
      </c>
      <c r="BJ1223" s="48" t="str">
        <f aca="false">IF(A1223="","",IF(BS1223=1,"Neu; ","")&amp;IF(AND(BS1223=0,BN1223&lt;0),"negativer Bestand (Export "&amp;BN1223&amp;"); ","")&amp;IF(J1223&lt;=0,"Kein Verbrauch; ","")&amp;IF(CL1223&gt;0,"Lift "&amp;W1223&amp;" lt. Liftbericht (Fach "&amp;X1223&amp;" Stk); ",IF(BX1223=1,"Gebinde geschätzt ("&amp;T1223&amp;"); ",IF(BW1223=1,"Lose – Tablare geschätzt; ","")))&amp;IF(H1223&gt;AT1223,"Überbestand "&amp;ROUND(H1223-AT1223,0)&amp;" Stk / CHF "&amp;ROUND((H1223-AT1223)*G1223,0)&amp;"; ","")&amp;IF(AND(CE1223=1,CF1223&lt;CG1223),"MAX &lt; MB+LG; ","")&amp;IF(AND(CK1223&gt;0,CJ1223*10&gt;CK1223),"zu hoch für Tablar; ","")&amp;IF(AND(BS1223=0,OR(CE1223=1,AA1223&lt;&gt;"",U1223&lt;&gt;"",V1223&lt;&gt;"",AB1223&lt;&gt;"")),"manuell übersteuert; ","")&amp;IF(AND(BW1223=0,R1223=0),"Gebinde unbekannt / Stellmass fehlt; ","")&amp;IF(AND(BW1223=0,N(V1223)&lt;=0,N(Q1223)&lt;=0),"Menge pro Gebinde fehlt (Ist = 1 Gebinde); ","")&amp;BR1223)</f>
        <v>negativer Bestand (Export -17); Kein Verbrauch; Gebinde geschätzt (Mittel); Menge pro Gebinde fehlt (Ist = 1 Gebinde); </v>
      </c>
      <c r="BK1223" s="48"/>
      <c r="BL1223" s="48"/>
      <c r="BM1223" s="55"/>
      <c r="BN1223" s="50" t="n">
        <v>-17</v>
      </c>
      <c r="BO1223" s="50" t="n">
        <v>17</v>
      </c>
      <c r="BP1223" s="49" t="n">
        <v>-603.5</v>
      </c>
      <c r="BQ1223" s="50" t="n">
        <v>0</v>
      </c>
      <c r="BR1223" s="48"/>
      <c r="BS1223" s="53" t="n">
        <v>0</v>
      </c>
      <c r="BT1223" s="53" t="n">
        <v>1223</v>
      </c>
      <c r="BU1223" s="48" t="str">
        <f aca="false">IF(U1223&lt;&gt;"",UPPER(TRIM(U1223)),IF(BX1223=1,UPPER(VLOOKUP(T1223,Parameter!$I$27:$K$29,2,0)),IF(P1223="","LOSE",P1223)))</f>
        <v>S61</v>
      </c>
      <c r="BV1223" s="50" t="n">
        <f aca="false">IF(BU1223="LOSE",1,IF(N(V1223)&gt;0,V1223,IF(BX1223=1,MAX(1,N(VLOOKUP(T1223,Parameter!$I$27:$K$29,3,0)),H1223,N(N1223)),IF(N(Q1223)&gt;0,Q1223,MAX(1,H1223)))))</f>
        <v>4</v>
      </c>
      <c r="BW1223" s="53" t="n">
        <f aca="false">IF(BU1223="LOSE",1,0)</f>
        <v>0</v>
      </c>
      <c r="BX1223" s="53" t="n">
        <f aca="false">IF(AND(U1223="",OR(P1223="",P1223="LOSE"),T1223&lt;&gt;"",N(S1223)&lt;=0,ISNUMBER(MATCH(T1223,Parameter!$I$27:$I$29,0))),1,0)</f>
        <v>1</v>
      </c>
      <c r="BY1223" s="53" t="n">
        <f aca="false">IF(CL1223&gt;0,INDEX(Parameter!$H$5:$H$7,W1223)/INDEX(Parameter!$E$5:$E$7,W1223),IF(AND(BW1223=0,N(IFERROR(VLOOKUP(BU1223,'Gebinde-Kategorie'!$A$5:$N$45,14,0),0))&gt;0),VLOOKUP(BU1223,'Gebinde-Kategorie'!$A$5:$N$45,14,0)*10+Parameter!$M$23,Parameter!$M$24))</f>
        <v>145</v>
      </c>
      <c r="BZ1223" s="48" t="str">
        <f aca="false">IF(AND(Parameter!$B$19="Ja",E1223&lt;&gt;"",ISNUMBER(MATCH(E1223,Parameter!$I$35:$I$52,0))),VLOOKUP(E1223,Parameter!$I$35:$J$52,2,0),IFERROR(VLOOKUP(D1223,Parameter!$A$35:$C$64,2,0),"Nein"))</f>
        <v>2+3</v>
      </c>
      <c r="CA1223" s="52" t="n">
        <f aca="false">IF(BW1223=0,0,IF(N(S1223)&gt;0,S1223,IFERROR(VLOOKUP(D1223,Parameter!$A$35:$C$64,3,0)+0,0)))</f>
        <v>0</v>
      </c>
      <c r="CB1223" s="48" t="n">
        <f aca="false">IF(AA1223&lt;&gt;"",AA1223,Z1223)</f>
        <v>2</v>
      </c>
      <c r="CC1223" s="48" t="str">
        <f aca="false">IF(OR(CB1223=1,CB1223=2,CB1223=3),IF(Parameter!$E$27="Ja","LIFT",IF(CB1223=1,"L1","L23")),IF(CB1223="Aussen","Aussen","-"))</f>
        <v>LIFT</v>
      </c>
      <c r="CD1223" s="59" t="n">
        <f aca="false">IF(N(AB1223)&gt;0,AB1223,0)</f>
        <v>0</v>
      </c>
      <c r="CE1223" s="53" t="n">
        <f aca="false">IF(ISNUMBER(AE1223),1,0)</f>
        <v>0</v>
      </c>
      <c r="CF1223" s="50" t="n">
        <f aca="false">N(AE1223)</f>
        <v>0</v>
      </c>
      <c r="CG1223" s="50" t="n">
        <f aca="false">N(M1223)+N(N1223)</f>
        <v>1</v>
      </c>
      <c r="CH1223" s="50" t="n">
        <f aca="false">ROUNDUP(H1223/BV1223,0)</f>
        <v>0</v>
      </c>
      <c r="CI1223" s="50" t="n">
        <f aca="false">ROUNDUP(CF1223/BV1223,0)</f>
        <v>0</v>
      </c>
      <c r="CJ1223" s="53" t="n">
        <f aca="false">IF(BW1223=1,0,IFERROR(VLOOKUP(BU1223,'Gebinde-Kategorie'!$A$5:$N$45,5,0)+0,0))</f>
        <v>11</v>
      </c>
      <c r="CK1223" s="53" t="n">
        <f aca="false">IFERROR(IF(OR(CB1223=1,CB1223=2,CB1223=3),N(INDEX(Parameter!$I$5:$I$7,CB1223)),0),0)</f>
        <v>0</v>
      </c>
      <c r="CL1223" s="52" t="n">
        <f aca="false">IF(AND(Parameter!$B$21="Ja",ISNUMBER(W1223),N(X1223)&gt;0),IFERROR(N(INDEX(Parameter!$L$5:$L$7,W1223))*INDEX(Parameter!$E$5:$E$7,W1223)*X1223/SUMIFS($X$7:$X$1843,$W$7:$W$1843,W1223),0),0)</f>
        <v>0</v>
      </c>
    </row>
    <row r="1224" customFormat="false" ht="15" hidden="false" customHeight="false" outlineLevel="0" collapsed="false">
      <c r="A1224" s="48" t="s">
        <v>2196</v>
      </c>
      <c r="B1224" s="48" t="s">
        <v>351</v>
      </c>
      <c r="C1224" s="48" t="s">
        <v>168</v>
      </c>
      <c r="D1224" s="48" t="s">
        <v>177</v>
      </c>
      <c r="E1224" s="48"/>
      <c r="F1224" s="48" t="s">
        <v>222</v>
      </c>
      <c r="G1224" s="49" t="n">
        <v>75.62</v>
      </c>
      <c r="H1224" s="50" t="n">
        <f aca="false">MAX(0,IF(AND(Parameter!$B$21="Ja",ISNUMBER(Y1224)),Y1224,IF(Parameter!$B$20="Jahresanfang 2025 + Export",BO1224+BN1224,BN1224)))</f>
        <v>128</v>
      </c>
      <c r="I1224" s="50" t="n">
        <f aca="false">H1224*G1224</f>
        <v>9679.36</v>
      </c>
      <c r="J1224" s="50" t="n">
        <f aca="false">BQ1224*Parameter!$B$18</f>
        <v>3</v>
      </c>
      <c r="K1224" s="51" t="n">
        <v>134.5</v>
      </c>
      <c r="L1224" s="52" t="n">
        <v>0.0223048327137547</v>
      </c>
      <c r="M1224" s="50" t="n">
        <v>0</v>
      </c>
      <c r="N1224" s="50" t="n">
        <v>5</v>
      </c>
      <c r="O1224" s="53" t="n">
        <v>70</v>
      </c>
      <c r="P1224" s="48" t="s">
        <v>178</v>
      </c>
      <c r="Q1224" s="50" t="n">
        <v>10</v>
      </c>
      <c r="R1224" s="53" t="n">
        <f aca="false">IF(BW1224=1,0,IFERROR(VLOOKUP(BU1224,'Gebinde-Kategorie'!$A$5:$N$45,13,0)+0,0))</f>
        <v>6</v>
      </c>
      <c r="S1224" s="54"/>
      <c r="T1224" s="55"/>
      <c r="U1224" s="55"/>
      <c r="V1224" s="55"/>
      <c r="W1224" s="48"/>
      <c r="X1224" s="50"/>
      <c r="Y1224" s="50"/>
      <c r="Z1224" s="48" t="n">
        <f aca="false">IF(A1224="","",IF(AND(Parameter!$B$21="Ja",ISNUMBER(W1224)),W1224,IF(BZ1224="2+3",IF(ISNUMBER(SEARCH("grosser Artikel",BR1224)),2,IFERROR(VLOOKUP(BU1224,Parameter!$F$35:$G$64,2,0),2)),IF(OR(BZ1224="Nein",BZ1224=""),"-",BZ1224))))</f>
        <v>2</v>
      </c>
      <c r="AA1224" s="55"/>
      <c r="AB1224" s="56"/>
      <c r="AC1224" s="50" t="n">
        <f aca="false">AT1224</f>
        <v>10</v>
      </c>
      <c r="AD1224" s="50" t="n">
        <f aca="false">MAX(AT1224,H1224)</f>
        <v>128</v>
      </c>
      <c r="AE1224" s="57"/>
      <c r="AF1224" s="50" t="n">
        <f aca="false">IF(LEFT(Cockpit!$C$5,1)="A",H1224,IF(CE1224=1,CF1224,IF(LEFT(Cockpit!$C$5,1)="B",AK1224,MAX(AK1224,H1224))))</f>
        <v>128</v>
      </c>
      <c r="AG1224" s="50" t="n">
        <f aca="false">IF(BW1224=1,0,ROUNDUP(AF1224/BV1224,0))</f>
        <v>13</v>
      </c>
      <c r="AH1224" s="52" t="n">
        <f aca="false">IF(CL1224&gt;0,CL1224*MAX(1,AF1224/X1224),IF(BW1224=1,IF(AF1224&lt;=0,0,CA1224*MAX(1,IF(H1224&gt;0,AF1224/H1224,1))),IF(R1224&gt;0,AG1224/R1224,0))/MAX(0.1,N(Parameter!$M$21)))</f>
        <v>2.16666666666667</v>
      </c>
      <c r="AI1224" s="50" t="n">
        <f aca="false">AH1224*BY1224</f>
        <v>509.166666666667</v>
      </c>
      <c r="AJ1224" s="50" t="n">
        <f aca="false">AF1224*G1224</f>
        <v>9679.36</v>
      </c>
      <c r="AK1224" s="50" t="n">
        <f aca="false">ROUNDUP(MAX(J1224/IF(CD1224&gt;0,CD1224,MAX(0.1,N(Cockpit!$C$6))),CG1224)/BV1224,0)*BV1224</f>
        <v>10</v>
      </c>
      <c r="AL1224" s="51" t="n">
        <f aca="false">IF(AI1224&gt;0,J1224/AI1224,-1)</f>
        <v>0.00589198036006547</v>
      </c>
      <c r="AM1224" s="51" t="n">
        <f aca="false">IF(AND(OR(CC1224="L1",CC1224="L23",CC1224="LIFT"),AI1224&gt;0),SUMIFS($AI$7:$AI$1843,$CC$7:$CC$1843,CC1224,$AL$7:$AL$1843,"&gt;"&amp;AL1224)+SUMIFS($AI$7:$AI$1843,$CC$7:$CC$1843,CC1224,$AL$7:$AL$1843,AL1224,$BT$7:$BT$1843,"&lt;="&amp;BT1224),"")</f>
        <v>25077.4980986528</v>
      </c>
      <c r="AN1224" s="58" t="n">
        <f aca="false">IF(AM1224="",0,MAX(0,MIN(1,(IF(CC1224="L1",Parameter!$H$5,IF(CC1224="L23",Parameter!$H$6+Parameter!$H$7,Parameter!$H$5+Parameter!$H$6+Parameter!$H$7))-(AM1224-AI1224))/AI1224)))</f>
        <v>1</v>
      </c>
      <c r="AO1224" s="50" t="n">
        <f aca="false">IF(LEFT(Cockpit!$I$5,1)="A",H1224,IF(CE1224=1,CF1224,IF(LEFT(Cockpit!$I$5,1)="B",AT1224,MAX(AT1224,H1224))))</f>
        <v>128</v>
      </c>
      <c r="AP1224" s="50" t="n">
        <f aca="false">IF(BW1224=1,0,ROUNDUP(AO1224/BV1224,0))</f>
        <v>13</v>
      </c>
      <c r="AQ1224" s="52" t="n">
        <f aca="false">IF(CL1224&gt;0,CL1224*MAX(1,AO1224/X1224),IF(BW1224=1,IF(AO1224&lt;=0,0,CA1224*MAX(1,IF(H1224&gt;0,AO1224/H1224,1))),IF(R1224&gt;0,AP1224/R1224,0))/MAX(0.1,N(Parameter!$M$21)))</f>
        <v>2.16666666666667</v>
      </c>
      <c r="AR1224" s="50" t="n">
        <f aca="false">AQ1224*BY1224</f>
        <v>509.166666666667</v>
      </c>
      <c r="AS1224" s="50" t="n">
        <f aca="false">AO1224*G1224</f>
        <v>9679.36</v>
      </c>
      <c r="AT1224" s="50" t="n">
        <f aca="false">ROUNDUP(MAX(J1224/IF(CD1224&gt;0,CD1224,MAX(0.1,N(Cockpit!$I$6))),CG1224)/BV1224,0)*BV1224</f>
        <v>10</v>
      </c>
      <c r="AU1224" s="51" t="n">
        <f aca="false">IF(AR1224&gt;0,J1224/AR1224,-1)</f>
        <v>0.00589198036006547</v>
      </c>
      <c r="AV1224" s="51" t="n">
        <f aca="false">IF(AND(OR(CC1224="L1",CC1224="L23",CC1224="LIFT"),AR1224&gt;0),SUMIFS($AR$7:$AR$1843,$CC$7:$CC$1843,CC1224,$AU$7:$AU$1843,"&gt;"&amp;AU1224)+SUMIFS($AR$7:$AR$1843,$CC$7:$CC$1843,CC1224,$AU$7:$AU$1843,AU1224,$BT$7:$BT$1843,"&lt;="&amp;BT1224),"")</f>
        <v>36323.0213183709</v>
      </c>
      <c r="AW1224" s="58" t="n">
        <f aca="false">IF(AV1224="",0,MAX(0,MIN(1,(IF(CC1224="L1",Parameter!$H$5,IF(CC1224="L23",Parameter!$H$6+Parameter!$H$7,Parameter!$H$5+Parameter!$H$6+Parameter!$H$7))-(AV1224-AR1224))/AR1224)))</f>
        <v>0</v>
      </c>
      <c r="AX1224" s="50" t="n">
        <f aca="false">IF(LEFT(Cockpit!$O$5,1)="A",H1224,IF(CE1224=1,CF1224,IF(LEFT(Cockpit!$O$5,1)="B",BC1224,MAX(BC1224,H1224))))</f>
        <v>128</v>
      </c>
      <c r="AY1224" s="50" t="n">
        <f aca="false">IF(BW1224=1,0,ROUNDUP(AX1224/BV1224,0))</f>
        <v>13</v>
      </c>
      <c r="AZ1224" s="52" t="n">
        <f aca="false">IF(CL1224&gt;0,CL1224*MAX(1,AX1224/X1224),IF(BW1224=1,IF(AX1224&lt;=0,0,CA1224*MAX(1,IF(H1224&gt;0,AX1224/H1224,1))),IF(R1224&gt;0,AY1224/R1224,0))/MAX(0.1,N(Parameter!$M$21)))</f>
        <v>2.16666666666667</v>
      </c>
      <c r="BA1224" s="50" t="n">
        <f aca="false">AZ1224*BY1224</f>
        <v>509.166666666667</v>
      </c>
      <c r="BB1224" s="50" t="n">
        <f aca="false">AX1224*G1224</f>
        <v>9679.36</v>
      </c>
      <c r="BC1224" s="50" t="n">
        <f aca="false">ROUNDUP(MAX(J1224/IF(CD1224&gt;0,CD1224,MAX(0.1,N(Cockpit!$O$6))),CG1224)/BV1224,0)*BV1224</f>
        <v>10</v>
      </c>
      <c r="BD1224" s="51" t="n">
        <f aca="false">IF(BA1224&gt;0,J1224/BA1224,-1)</f>
        <v>0.00589198036006547</v>
      </c>
      <c r="BE1224" s="51" t="n">
        <f aca="false">IF(AND(OR(CC1224="L1",CC1224="L23",CC1224="LIFT"),BA1224&gt;0),SUMIFS($BA$7:$BA$1843,$CC$7:$CC$1843,CC1224,$BD$7:$BD$1843,"&gt;"&amp;BD1224)+SUMIFS($BA$7:$BA$1843,$CC$7:$CC$1843,CC1224,$BD$7:$BD$1843,BD1224,$BT$7:$BT$1843,"&lt;="&amp;BT1224),"")</f>
        <v>32998.0333602368</v>
      </c>
      <c r="BF1224" s="58" t="n">
        <f aca="false">IF(BE1224="",0,MAX(0,MIN(1,(IF(CC1224="L1",Parameter!$H$5,IF(CC1224="L23",Parameter!$H$6+Parameter!$H$7,Parameter!$H$5+Parameter!$H$6+Parameter!$H$7))-(BE1224-BA1224))/BA1224)))</f>
        <v>1</v>
      </c>
      <c r="BG1224" s="48" t="str">
        <f aca="false">IF(AI1224&lt;=0,"",IF(CC1224="Aussen","Aussenlager",IF(CC1224="-","Nicht im Lift",IF(AN1224&gt;=1,"Lift",IF(AN1224&lt;=0,"Aussenlager","teilweise")))))</f>
        <v>Lift</v>
      </c>
      <c r="BH1224" s="48" t="str">
        <f aca="false">IF(AR1224&lt;=0,"",IF(CC1224="Aussen","Aussenlager",IF(CC1224="-","Nicht im Lift",IF(AW1224&gt;=1,"Lift",IF(AW1224&lt;=0,"Aussenlager","teilweise")))))</f>
        <v>Aussenlager</v>
      </c>
      <c r="BI1224" s="48" t="str">
        <f aca="false">IF(BA1224&lt;=0,"",IF(CC1224="Aussen","Aussenlager",IF(CC1224="-","Nicht im Lift",IF(BF1224&gt;=1,"Lift",IF(BF1224&lt;=0,"Aussenlager","teilweise")))))</f>
        <v>Lift</v>
      </c>
      <c r="BJ1224" s="48" t="str">
        <f aca="false">IF(A1224="","",IF(BS1224=1,"Neu; ","")&amp;IF(AND(BS1224=0,BN1224&lt;0),"negativer Bestand (Export "&amp;BN1224&amp;"); ","")&amp;IF(J1224&lt;=0,"Kein Verbrauch; ","")&amp;IF(CL1224&gt;0,"Lift "&amp;W1224&amp;" lt. Liftbericht (Fach "&amp;X1224&amp;" Stk); ",IF(BX1224=1,"Gebinde geschätzt ("&amp;T1224&amp;"); ",IF(BW1224=1,"Lose – Tablare geschätzt; ","")))&amp;IF(H1224&gt;AT1224,"Überbestand "&amp;ROUND(H1224-AT1224,0)&amp;" Stk / CHF "&amp;ROUND((H1224-AT1224)*G1224,0)&amp;"; ","")&amp;IF(AND(CE1224=1,CF1224&lt;CG1224),"MAX &lt; MB+LG; ","")&amp;IF(AND(CK1224&gt;0,CJ1224*10&gt;CK1224),"zu hoch für Tablar; ","")&amp;IF(AND(BS1224=0,OR(CE1224=1,AA1224&lt;&gt;"",U1224&lt;&gt;"",V1224&lt;&gt;"",AB1224&lt;&gt;"")),"manuell übersteuert; ","")&amp;IF(AND(BW1224=0,R1224=0),"Gebinde unbekannt / Stellmass fehlt; ","")&amp;IF(AND(BW1224=0,N(V1224)&lt;=0,N(Q1224)&lt;=0),"Menge pro Gebinde fehlt (Ist = 1 Gebinde); ","")&amp;BR1224)</f>
        <v>negativer Bestand (Export -8); Überbestand 118 Stk / CHF 8923; Bis auf 10stk?</v>
      </c>
      <c r="BK1224" s="48"/>
      <c r="BL1224" s="48"/>
      <c r="BM1224" s="55"/>
      <c r="BN1224" s="50" t="n">
        <v>-8</v>
      </c>
      <c r="BO1224" s="50" t="n">
        <v>136</v>
      </c>
      <c r="BP1224" s="49" t="n">
        <v>-604.96</v>
      </c>
      <c r="BQ1224" s="50" t="n">
        <v>3</v>
      </c>
      <c r="BR1224" s="48" t="s">
        <v>2197</v>
      </c>
      <c r="BS1224" s="53" t="n">
        <v>0</v>
      </c>
      <c r="BT1224" s="53" t="n">
        <v>1224</v>
      </c>
      <c r="BU1224" s="48" t="str">
        <f aca="false">IF(U1224&lt;&gt;"",UPPER(TRIM(U1224)),IF(BX1224=1,UPPER(VLOOKUP(T1224,Parameter!$I$27:$K$29,2,0)),IF(P1224="","LOSE",P1224)))</f>
        <v>S71</v>
      </c>
      <c r="BV1224" s="50" t="n">
        <f aca="false">IF(BU1224="LOSE",1,IF(N(V1224)&gt;0,V1224,IF(BX1224=1,MAX(1,N(VLOOKUP(T1224,Parameter!$I$27:$K$29,3,0)),H1224,N(N1224)),IF(N(Q1224)&gt;0,Q1224,MAX(1,H1224)))))</f>
        <v>10</v>
      </c>
      <c r="BW1224" s="53" t="n">
        <f aca="false">IF(BU1224="LOSE",1,0)</f>
        <v>0</v>
      </c>
      <c r="BX1224" s="53" t="n">
        <f aca="false">IF(AND(U1224="",OR(P1224="",P1224="LOSE"),T1224&lt;&gt;"",N(S1224)&lt;=0,ISNUMBER(MATCH(T1224,Parameter!$I$27:$I$29,0))),1,0)</f>
        <v>0</v>
      </c>
      <c r="BY1224" s="53" t="n">
        <f aca="false">IF(CL1224&gt;0,INDEX(Parameter!$H$5:$H$7,W1224)/INDEX(Parameter!$E$5:$E$7,W1224),IF(AND(BW1224=0,N(IFERROR(VLOOKUP(BU1224,'Gebinde-Kategorie'!$A$5:$N$45,14,0),0))&gt;0),VLOOKUP(BU1224,'Gebinde-Kategorie'!$A$5:$N$45,14,0)*10+Parameter!$M$23,Parameter!$M$24))</f>
        <v>235</v>
      </c>
      <c r="BZ1224" s="48" t="str">
        <f aca="false">IF(AND(Parameter!$B$19="Ja",E1224&lt;&gt;"",ISNUMBER(MATCH(E1224,Parameter!$I$35:$I$52,0))),VLOOKUP(E1224,Parameter!$I$35:$J$52,2,0),IFERROR(VLOOKUP(D1224,Parameter!$A$35:$C$64,2,0),"Nein"))</f>
        <v>2+3</v>
      </c>
      <c r="CA1224" s="52" t="n">
        <f aca="false">IF(BW1224=0,0,IF(N(S1224)&gt;0,S1224,IFERROR(VLOOKUP(D1224,Parameter!$A$35:$C$64,3,0)+0,0)))</f>
        <v>0</v>
      </c>
      <c r="CB1224" s="48" t="n">
        <f aca="false">IF(AA1224&lt;&gt;"",AA1224,Z1224)</f>
        <v>2</v>
      </c>
      <c r="CC1224" s="48" t="str">
        <f aca="false">IF(OR(CB1224=1,CB1224=2,CB1224=3),IF(Parameter!$E$27="Ja","LIFT",IF(CB1224=1,"L1","L23")),IF(CB1224="Aussen","Aussen","-"))</f>
        <v>LIFT</v>
      </c>
      <c r="CD1224" s="59" t="n">
        <f aca="false">IF(N(AB1224)&gt;0,AB1224,0)</f>
        <v>0</v>
      </c>
      <c r="CE1224" s="53" t="n">
        <f aca="false">IF(ISNUMBER(AE1224),1,0)</f>
        <v>0</v>
      </c>
      <c r="CF1224" s="50" t="n">
        <f aca="false">N(AE1224)</f>
        <v>0</v>
      </c>
      <c r="CG1224" s="50" t="n">
        <f aca="false">N(M1224)+N(N1224)</f>
        <v>5</v>
      </c>
      <c r="CH1224" s="50" t="n">
        <f aca="false">ROUNDUP(H1224/BV1224,0)</f>
        <v>13</v>
      </c>
      <c r="CI1224" s="50" t="n">
        <f aca="false">ROUNDUP(CF1224/BV1224,0)</f>
        <v>0</v>
      </c>
      <c r="CJ1224" s="53" t="n">
        <f aca="false">IF(BW1224=1,0,IFERROR(VLOOKUP(BU1224,'Gebinde-Kategorie'!$A$5:$N$45,5,0)+0,0))</f>
        <v>20</v>
      </c>
      <c r="CK1224" s="53" t="n">
        <f aca="false">IFERROR(IF(OR(CB1224=1,CB1224=2,CB1224=3),N(INDEX(Parameter!$I$5:$I$7,CB1224)),0),0)</f>
        <v>0</v>
      </c>
      <c r="CL1224" s="52" t="n">
        <f aca="false">IF(AND(Parameter!$B$21="Ja",ISNUMBER(W1224),N(X1224)&gt;0),IFERROR(N(INDEX(Parameter!$L$5:$L$7,W1224))*INDEX(Parameter!$E$5:$E$7,W1224)*X1224/SUMIFS($X$7:$X$1843,$W$7:$W$1843,W1224),0),0)</f>
        <v>0</v>
      </c>
    </row>
    <row r="1225" customFormat="false" ht="15" hidden="false" customHeight="false" outlineLevel="0" collapsed="false">
      <c r="A1225" s="48" t="s">
        <v>2198</v>
      </c>
      <c r="B1225" s="48" t="s">
        <v>775</v>
      </c>
      <c r="C1225" s="48" t="s">
        <v>168</v>
      </c>
      <c r="D1225" s="48" t="s">
        <v>188</v>
      </c>
      <c r="E1225" s="48"/>
      <c r="F1225" s="48" t="s">
        <v>222</v>
      </c>
      <c r="G1225" s="49" t="n">
        <v>55.29</v>
      </c>
      <c r="H1225" s="50" t="n">
        <f aca="false">MAX(0,IF(AND(Parameter!$B$21="Ja",ISNUMBER(Y1225)),Y1225,IF(Parameter!$B$20="Jahresanfang 2025 + Export",BO1225+BN1225,BN1225)))</f>
        <v>16</v>
      </c>
      <c r="I1225" s="50" t="n">
        <f aca="false">H1225*G1225</f>
        <v>884.64</v>
      </c>
      <c r="J1225" s="50" t="n">
        <f aca="false">BQ1225*Parameter!$B$18</f>
        <v>6</v>
      </c>
      <c r="K1225" s="51" t="n">
        <v>24</v>
      </c>
      <c r="L1225" s="52" t="n">
        <v>0.25</v>
      </c>
      <c r="M1225" s="50" t="n">
        <v>0</v>
      </c>
      <c r="N1225" s="50" t="n">
        <v>5</v>
      </c>
      <c r="O1225" s="53" t="n">
        <v>14</v>
      </c>
      <c r="P1225" s="48" t="s">
        <v>425</v>
      </c>
      <c r="Q1225" s="50" t="n">
        <v>19</v>
      </c>
      <c r="R1225" s="53" t="n">
        <f aca="false">IF(BW1225=1,0,IFERROR(VLOOKUP(BU1225,'Gebinde-Kategorie'!$A$5:$N$45,13,0)+0,0))</f>
        <v>104</v>
      </c>
      <c r="S1225" s="54"/>
      <c r="T1225" s="55"/>
      <c r="U1225" s="55"/>
      <c r="V1225" s="55"/>
      <c r="W1225" s="48"/>
      <c r="X1225" s="50"/>
      <c r="Y1225" s="50"/>
      <c r="Z1225" s="48" t="n">
        <f aca="false">IF(A1225="","",IF(AND(Parameter!$B$21="Ja",ISNUMBER(W1225)),W1225,IF(BZ1225="2+3",IF(ISNUMBER(SEARCH("grosser Artikel",BR1225)),2,IFERROR(VLOOKUP(BU1225,Parameter!$F$35:$G$64,2,0),2)),IF(OR(BZ1225="Nein",BZ1225=""),"-",BZ1225))))</f>
        <v>3</v>
      </c>
      <c r="AA1225" s="55"/>
      <c r="AB1225" s="56"/>
      <c r="AC1225" s="50" t="n">
        <f aca="false">AT1225</f>
        <v>19</v>
      </c>
      <c r="AD1225" s="50" t="n">
        <f aca="false">MAX(AT1225,H1225)</f>
        <v>19</v>
      </c>
      <c r="AE1225" s="57"/>
      <c r="AF1225" s="50" t="n">
        <f aca="false">IF(LEFT(Cockpit!$C$5,1)="A",H1225,IF(CE1225=1,CF1225,IF(LEFT(Cockpit!$C$5,1)="B",AK1225,MAX(AK1225,H1225))))</f>
        <v>16</v>
      </c>
      <c r="AG1225" s="50" t="n">
        <f aca="false">IF(BW1225=1,0,ROUNDUP(AF1225/BV1225,0))</f>
        <v>1</v>
      </c>
      <c r="AH1225" s="52" t="n">
        <f aca="false">IF(CL1225&gt;0,CL1225*MAX(1,AF1225/X1225),IF(BW1225=1,IF(AF1225&lt;=0,0,CA1225*MAX(1,IF(H1225&gt;0,AF1225/H1225,1))),IF(R1225&gt;0,AG1225/R1225,0))/MAX(0.1,N(Parameter!$M$21)))</f>
        <v>0.00961538461538462</v>
      </c>
      <c r="AI1225" s="50" t="n">
        <f aca="false">AH1225*BY1225</f>
        <v>1.49038461538462</v>
      </c>
      <c r="AJ1225" s="50" t="n">
        <f aca="false">AF1225*G1225</f>
        <v>884.64</v>
      </c>
      <c r="AK1225" s="50" t="n">
        <f aca="false">ROUNDUP(MAX(J1225/IF(CD1225&gt;0,CD1225,MAX(0.1,N(Cockpit!$C$6))),CG1225)/BV1225,0)*BV1225</f>
        <v>19</v>
      </c>
      <c r="AL1225" s="51" t="n">
        <f aca="false">IF(AI1225&gt;0,J1225/AI1225,-1)</f>
        <v>4.0258064516129</v>
      </c>
      <c r="AM1225" s="51" t="n">
        <f aca="false">IF(AND(OR(CC1225="L1",CC1225="L23",CC1225="LIFT"),AI1225&gt;0),SUMIFS($AI$7:$AI$1843,$CC$7:$CC$1843,CC1225,$AL$7:$AL$1843,"&gt;"&amp;AL1225)+SUMIFS($AI$7:$AI$1843,$CC$7:$CC$1843,CC1225,$AL$7:$AL$1843,AL1225,$BT$7:$BT$1843,"&lt;="&amp;BT1225),"")</f>
        <v>4372.10256410256</v>
      </c>
      <c r="AN1225" s="58" t="n">
        <f aca="false">IF(AM1225="",0,MAX(0,MIN(1,(IF(CC1225="L1",Parameter!$H$5,IF(CC1225="L23",Parameter!$H$6+Parameter!$H$7,Parameter!$H$5+Parameter!$H$6+Parameter!$H$7))-(AM1225-AI1225))/AI1225)))</f>
        <v>1</v>
      </c>
      <c r="AO1225" s="50" t="n">
        <f aca="false">IF(LEFT(Cockpit!$I$5,1)="A",H1225,IF(CE1225=1,CF1225,IF(LEFT(Cockpit!$I$5,1)="B",AT1225,MAX(AT1225,H1225))))</f>
        <v>19</v>
      </c>
      <c r="AP1225" s="50" t="n">
        <f aca="false">IF(BW1225=1,0,ROUNDUP(AO1225/BV1225,0))</f>
        <v>1</v>
      </c>
      <c r="AQ1225" s="52" t="n">
        <f aca="false">IF(CL1225&gt;0,CL1225*MAX(1,AO1225/X1225),IF(BW1225=1,IF(AO1225&lt;=0,0,CA1225*MAX(1,IF(H1225&gt;0,AO1225/H1225,1))),IF(R1225&gt;0,AP1225/R1225,0))/MAX(0.1,N(Parameter!$M$21)))</f>
        <v>0.00961538461538462</v>
      </c>
      <c r="AR1225" s="50" t="n">
        <f aca="false">AQ1225*BY1225</f>
        <v>1.49038461538462</v>
      </c>
      <c r="AS1225" s="50" t="n">
        <f aca="false">AO1225*G1225</f>
        <v>1050.51</v>
      </c>
      <c r="AT1225" s="50" t="n">
        <f aca="false">ROUNDUP(MAX(J1225/IF(CD1225&gt;0,CD1225,MAX(0.1,N(Cockpit!$I$6))),CG1225)/BV1225,0)*BV1225</f>
        <v>19</v>
      </c>
      <c r="AU1225" s="51" t="n">
        <f aca="false">IF(AR1225&gt;0,J1225/AR1225,-1)</f>
        <v>4.0258064516129</v>
      </c>
      <c r="AV1225" s="51" t="n">
        <f aca="false">IF(AND(OR(CC1225="L1",CC1225="L23",CC1225="LIFT"),AR1225&gt;0),SUMIFS($AR$7:$AR$1843,$CC$7:$CC$1843,CC1225,$AU$7:$AU$1843,"&gt;"&amp;AU1225)+SUMIFS($AR$7:$AR$1843,$CC$7:$CC$1843,CC1225,$AU$7:$AU$1843,AU1225,$BT$7:$BT$1843,"&lt;="&amp;BT1225),"")</f>
        <v>5614.64331501832</v>
      </c>
      <c r="AW1225" s="58" t="n">
        <f aca="false">IF(AV1225="",0,MAX(0,MIN(1,(IF(CC1225="L1",Parameter!$H$5,IF(CC1225="L23",Parameter!$H$6+Parameter!$H$7,Parameter!$H$5+Parameter!$H$6+Parameter!$H$7))-(AV1225-AR1225))/AR1225)))</f>
        <v>1</v>
      </c>
      <c r="AX1225" s="50" t="n">
        <f aca="false">IF(LEFT(Cockpit!$O$5,1)="A",H1225,IF(CE1225=1,CF1225,IF(LEFT(Cockpit!$O$5,1)="B",BC1225,MAX(BC1225,H1225))))</f>
        <v>19</v>
      </c>
      <c r="AY1225" s="50" t="n">
        <f aca="false">IF(BW1225=1,0,ROUNDUP(AX1225/BV1225,0))</f>
        <v>1</v>
      </c>
      <c r="AZ1225" s="52" t="n">
        <f aca="false">IF(CL1225&gt;0,CL1225*MAX(1,AX1225/X1225),IF(BW1225=1,IF(AX1225&lt;=0,0,CA1225*MAX(1,IF(H1225&gt;0,AX1225/H1225,1))),IF(R1225&gt;0,AY1225/R1225,0))/MAX(0.1,N(Parameter!$M$21)))</f>
        <v>0.00961538461538462</v>
      </c>
      <c r="BA1225" s="50" t="n">
        <f aca="false">AZ1225*BY1225</f>
        <v>1.49038461538462</v>
      </c>
      <c r="BB1225" s="50" t="n">
        <f aca="false">AX1225*G1225</f>
        <v>1050.51</v>
      </c>
      <c r="BC1225" s="50" t="n">
        <f aca="false">ROUNDUP(MAX(J1225/IF(CD1225&gt;0,CD1225,MAX(0.1,N(Cockpit!$O$6))),CG1225)/BV1225,0)*BV1225</f>
        <v>19</v>
      </c>
      <c r="BD1225" s="51" t="n">
        <f aca="false">IF(BA1225&gt;0,J1225/BA1225,-1)</f>
        <v>4.0258064516129</v>
      </c>
      <c r="BE1225" s="51" t="n">
        <f aca="false">IF(AND(OR(CC1225="L1",CC1225="L23",CC1225="LIFT"),BA1225&gt;0),SUMIFS($BA$7:$BA$1843,$CC$7:$CC$1843,CC1225,$BD$7:$BD$1843,"&gt;"&amp;BD1225)+SUMIFS($BA$7:$BA$1843,$CC$7:$CC$1843,CC1225,$BD$7:$BD$1843,BD1225,$BT$7:$BT$1843,"&lt;="&amp;BT1225),"")</f>
        <v>5302.51190476191</v>
      </c>
      <c r="BF1225" s="58" t="n">
        <f aca="false">IF(BE1225="",0,MAX(0,MIN(1,(IF(CC1225="L1",Parameter!$H$5,IF(CC1225="L23",Parameter!$H$6+Parameter!$H$7,Parameter!$H$5+Parameter!$H$6+Parameter!$H$7))-(BE1225-BA1225))/BA1225)))</f>
        <v>1</v>
      </c>
      <c r="BG1225" s="48" t="str">
        <f aca="false">IF(AI1225&lt;=0,"",IF(CC1225="Aussen","Aussenlager",IF(CC1225="-","Nicht im Lift",IF(AN1225&gt;=1,"Lift",IF(AN1225&lt;=0,"Aussenlager","teilweise")))))</f>
        <v>Lift</v>
      </c>
      <c r="BH1225" s="48" t="str">
        <f aca="false">IF(AR1225&lt;=0,"",IF(CC1225="Aussen","Aussenlager",IF(CC1225="-","Nicht im Lift",IF(AW1225&gt;=1,"Lift",IF(AW1225&lt;=0,"Aussenlager","teilweise")))))</f>
        <v>Lift</v>
      </c>
      <c r="BI1225" s="48" t="str">
        <f aca="false">IF(BA1225&lt;=0,"",IF(CC1225="Aussen","Aussenlager",IF(CC1225="-","Nicht im Lift",IF(BF1225&gt;=1,"Lift",IF(BF1225&lt;=0,"Aussenlager","teilweise")))))</f>
        <v>Lift</v>
      </c>
      <c r="BJ1225" s="48" t="str">
        <f aca="false">IF(A1225="","",IF(BS1225=1,"Neu; ","")&amp;IF(AND(BS1225=0,BN1225&lt;0),"negativer Bestand (Export "&amp;BN1225&amp;"); ","")&amp;IF(J1225&lt;=0,"Kein Verbrauch; ","")&amp;IF(CL1225&gt;0,"Lift "&amp;W1225&amp;" lt. Liftbericht (Fach "&amp;X1225&amp;" Stk); ",IF(BX1225=1,"Gebinde geschätzt ("&amp;T1225&amp;"); ",IF(BW1225=1,"Lose – Tablare geschätzt; ","")))&amp;IF(H1225&gt;AT1225,"Überbestand "&amp;ROUND(H1225-AT1225,0)&amp;" Stk / CHF "&amp;ROUND((H1225-AT1225)*G1225,0)&amp;"; ","")&amp;IF(AND(CE1225=1,CF1225&lt;CG1225),"MAX &lt; MB+LG; ","")&amp;IF(AND(CK1225&gt;0,CJ1225*10&gt;CK1225),"zu hoch für Tablar; ","")&amp;IF(AND(BS1225=0,OR(CE1225=1,AA1225&lt;&gt;"",U1225&lt;&gt;"",V1225&lt;&gt;"",AB1225&lt;&gt;"")),"manuell übersteuert; ","")&amp;IF(AND(BW1225=0,R1225=0),"Gebinde unbekannt / Stellmass fehlt; ","")&amp;IF(AND(BW1225=0,N(V1225)&lt;=0,N(Q1225)&lt;=0),"Menge pro Gebinde fehlt (Ist = 1 Gebinde); ","")&amp;BR1225)</f>
        <v>negativer Bestand (Export -11); </v>
      </c>
      <c r="BK1225" s="48"/>
      <c r="BL1225" s="48"/>
      <c r="BM1225" s="55"/>
      <c r="BN1225" s="50" t="n">
        <v>-11</v>
      </c>
      <c r="BO1225" s="50" t="n">
        <v>27</v>
      </c>
      <c r="BP1225" s="49" t="n">
        <v>-608.19</v>
      </c>
      <c r="BQ1225" s="50" t="n">
        <v>6</v>
      </c>
      <c r="BR1225" s="48"/>
      <c r="BS1225" s="53" t="n">
        <v>0</v>
      </c>
      <c r="BT1225" s="53" t="n">
        <v>1225</v>
      </c>
      <c r="BU1225" s="48" t="str">
        <f aca="false">IF(U1225&lt;&gt;"",UPPER(TRIM(U1225)),IF(BX1225=1,UPPER(VLOOKUP(T1225,Parameter!$I$27:$K$29,2,0)),IF(P1225="","LOSE",P1225)))</f>
        <v>S32</v>
      </c>
      <c r="BV1225" s="50" t="n">
        <f aca="false">IF(BU1225="LOSE",1,IF(N(V1225)&gt;0,V1225,IF(BX1225=1,MAX(1,N(VLOOKUP(T1225,Parameter!$I$27:$K$29,3,0)),H1225,N(N1225)),IF(N(Q1225)&gt;0,Q1225,MAX(1,H1225)))))</f>
        <v>19</v>
      </c>
      <c r="BW1225" s="53" t="n">
        <f aca="false">IF(BU1225="LOSE",1,0)</f>
        <v>0</v>
      </c>
      <c r="BX1225" s="53" t="n">
        <f aca="false">IF(AND(U1225="",OR(P1225="",P1225="LOSE"),T1225&lt;&gt;"",N(S1225)&lt;=0,ISNUMBER(MATCH(T1225,Parameter!$I$27:$I$29,0))),1,0)</f>
        <v>0</v>
      </c>
      <c r="BY1225" s="53" t="n">
        <f aca="false">IF(CL1225&gt;0,INDEX(Parameter!$H$5:$H$7,W1225)/INDEX(Parameter!$E$5:$E$7,W1225),IF(AND(BW1225=0,N(IFERROR(VLOOKUP(BU1225,'Gebinde-Kategorie'!$A$5:$N$45,14,0),0))&gt;0),VLOOKUP(BU1225,'Gebinde-Kategorie'!$A$5:$N$45,14,0)*10+Parameter!$M$23,Parameter!$M$24))</f>
        <v>155</v>
      </c>
      <c r="BZ1225" s="48" t="str">
        <f aca="false">IF(AND(Parameter!$B$19="Ja",E1225&lt;&gt;"",ISNUMBER(MATCH(E1225,Parameter!$I$35:$I$52,0))),VLOOKUP(E1225,Parameter!$I$35:$J$52,2,0),IFERROR(VLOOKUP(D1225,Parameter!$A$35:$C$64,2,0),"Nein"))</f>
        <v>2+3</v>
      </c>
      <c r="CA1225" s="52" t="n">
        <f aca="false">IF(BW1225=0,0,IF(N(S1225)&gt;0,S1225,IFERROR(VLOOKUP(D1225,Parameter!$A$35:$C$64,3,0)+0,0)))</f>
        <v>0</v>
      </c>
      <c r="CB1225" s="48" t="n">
        <f aca="false">IF(AA1225&lt;&gt;"",AA1225,Z1225)</f>
        <v>3</v>
      </c>
      <c r="CC1225" s="48" t="str">
        <f aca="false">IF(OR(CB1225=1,CB1225=2,CB1225=3),IF(Parameter!$E$27="Ja","LIFT",IF(CB1225=1,"L1","L23")),IF(CB1225="Aussen","Aussen","-"))</f>
        <v>LIFT</v>
      </c>
      <c r="CD1225" s="59" t="n">
        <f aca="false">IF(N(AB1225)&gt;0,AB1225,0)</f>
        <v>0</v>
      </c>
      <c r="CE1225" s="53" t="n">
        <f aca="false">IF(ISNUMBER(AE1225),1,0)</f>
        <v>0</v>
      </c>
      <c r="CF1225" s="50" t="n">
        <f aca="false">N(AE1225)</f>
        <v>0</v>
      </c>
      <c r="CG1225" s="50" t="n">
        <f aca="false">N(M1225)+N(N1225)</f>
        <v>5</v>
      </c>
      <c r="CH1225" s="50" t="n">
        <f aca="false">ROUNDUP(H1225/BV1225,0)</f>
        <v>1</v>
      </c>
      <c r="CI1225" s="50" t="n">
        <f aca="false">ROUNDUP(CF1225/BV1225,0)</f>
        <v>0</v>
      </c>
      <c r="CJ1225" s="53" t="n">
        <f aca="false">IF(BW1225=1,0,IFERROR(VLOOKUP(BU1225,'Gebinde-Kategorie'!$A$5:$N$45,5,0)+0,0))</f>
        <v>8</v>
      </c>
      <c r="CK1225" s="53" t="n">
        <f aca="false">IFERROR(IF(OR(CB1225=1,CB1225=2,CB1225=3),N(INDEX(Parameter!$I$5:$I$7,CB1225)),0),0)</f>
        <v>0</v>
      </c>
      <c r="CL1225" s="52" t="n">
        <f aca="false">IF(AND(Parameter!$B$21="Ja",ISNUMBER(W1225),N(X1225)&gt;0),IFERROR(N(INDEX(Parameter!$L$5:$L$7,W1225))*INDEX(Parameter!$E$5:$E$7,W1225)*X1225/SUMIFS($X$7:$X$1843,$W$7:$W$1843,W1225),0),0)</f>
        <v>0</v>
      </c>
    </row>
    <row r="1226" customFormat="false" ht="15" hidden="false" customHeight="false" outlineLevel="0" collapsed="false">
      <c r="A1226" s="48" t="s">
        <v>2199</v>
      </c>
      <c r="B1226" s="48" t="s">
        <v>2200</v>
      </c>
      <c r="C1226" s="48" t="s">
        <v>168</v>
      </c>
      <c r="D1226" s="48" t="s">
        <v>188</v>
      </c>
      <c r="E1226" s="48" t="s">
        <v>189</v>
      </c>
      <c r="F1226" s="48" t="s">
        <v>222</v>
      </c>
      <c r="G1226" s="49" t="n">
        <v>688</v>
      </c>
      <c r="H1226" s="50" t="n">
        <f aca="false">MAX(0,IF(AND(Parameter!$B$21="Ja",ISNUMBER(Y1226)),Y1226,IF(Parameter!$B$20="Jahresanfang 2025 + Export",BO1226+BN1226,BN1226)))</f>
        <v>19</v>
      </c>
      <c r="I1226" s="50" t="n">
        <f aca="false">H1226*G1226</f>
        <v>13072</v>
      </c>
      <c r="J1226" s="50" t="n">
        <f aca="false">BQ1226*Parameter!$B$18</f>
        <v>69</v>
      </c>
      <c r="K1226" s="51" t="n">
        <v>21</v>
      </c>
      <c r="L1226" s="52" t="n">
        <v>3.28571428571429</v>
      </c>
      <c r="M1226" s="50" t="n">
        <v>10</v>
      </c>
      <c r="N1226" s="50" t="n">
        <v>5</v>
      </c>
      <c r="O1226" s="53" t="n">
        <v>30</v>
      </c>
      <c r="P1226" s="48" t="s">
        <v>306</v>
      </c>
      <c r="Q1226" s="50" t="n">
        <v>11</v>
      </c>
      <c r="R1226" s="53" t="n">
        <f aca="false">IF(BW1226=1,0,IFERROR(VLOOKUP(BU1226,'Gebinde-Kategorie'!$A$5:$N$45,13,0)+0,0))</f>
        <v>26</v>
      </c>
      <c r="S1226" s="54"/>
      <c r="T1226" s="55"/>
      <c r="U1226" s="55"/>
      <c r="V1226" s="55"/>
      <c r="W1226" s="48"/>
      <c r="X1226" s="50"/>
      <c r="Y1226" s="50"/>
      <c r="Z1226" s="48" t="n">
        <f aca="false">IF(A1226="","",IF(AND(Parameter!$B$21="Ja",ISNUMBER(W1226)),W1226,IF(BZ1226="2+3",IF(ISNUMBER(SEARCH("grosser Artikel",BR1226)),2,IFERROR(VLOOKUP(BU1226,Parameter!$F$35:$G$64,2,0),2)),IF(OR(BZ1226="Nein",BZ1226=""),"-",BZ1226))))</f>
        <v>3</v>
      </c>
      <c r="AA1226" s="55"/>
      <c r="AB1226" s="56"/>
      <c r="AC1226" s="50" t="n">
        <f aca="false">AT1226</f>
        <v>44</v>
      </c>
      <c r="AD1226" s="50" t="n">
        <f aca="false">MAX(AT1226,H1226)</f>
        <v>44</v>
      </c>
      <c r="AE1226" s="57"/>
      <c r="AF1226" s="50" t="n">
        <f aca="false">IF(LEFT(Cockpit!$C$5,1)="A",H1226,IF(CE1226=1,CF1226,IF(LEFT(Cockpit!$C$5,1)="B",AK1226,MAX(AK1226,H1226))))</f>
        <v>19</v>
      </c>
      <c r="AG1226" s="50" t="n">
        <f aca="false">IF(BW1226=1,0,ROUNDUP(AF1226/BV1226,0))</f>
        <v>2</v>
      </c>
      <c r="AH1226" s="52" t="n">
        <f aca="false">IF(CL1226&gt;0,CL1226*MAX(1,AF1226/X1226),IF(BW1226=1,IF(AF1226&lt;=0,0,CA1226*MAX(1,IF(H1226&gt;0,AF1226/H1226,1))),IF(R1226&gt;0,AG1226/R1226,0))/MAX(0.1,N(Parameter!$M$21)))</f>
        <v>0.0769230769230769</v>
      </c>
      <c r="AI1226" s="50" t="n">
        <f aca="false">AH1226*BY1226</f>
        <v>11.9230769230769</v>
      </c>
      <c r="AJ1226" s="50" t="n">
        <f aca="false">AF1226*G1226</f>
        <v>13072</v>
      </c>
      <c r="AK1226" s="50" t="n">
        <f aca="false">ROUNDUP(MAX(J1226/IF(CD1226&gt;0,CD1226,MAX(0.1,N(Cockpit!$C$6))),CG1226)/BV1226,0)*BV1226</f>
        <v>44</v>
      </c>
      <c r="AL1226" s="51" t="n">
        <f aca="false">IF(AI1226&gt;0,J1226/AI1226,-1)</f>
        <v>5.78709677419355</v>
      </c>
      <c r="AM1226" s="51" t="n">
        <f aca="false">IF(AND(OR(CC1226="L1",CC1226="L23",CC1226="LIFT"),AI1226&gt;0),SUMIFS($AI$7:$AI$1843,$CC$7:$CC$1843,CC1226,$AL$7:$AL$1843,"&gt;"&amp;AL1226)+SUMIFS($AI$7:$AI$1843,$CC$7:$CC$1843,CC1226,$AL$7:$AL$1843,AL1226,$BT$7:$BT$1843,"&lt;="&amp;BT1226),"")</f>
        <v>3540.79532967033</v>
      </c>
      <c r="AN1226" s="58" t="n">
        <f aca="false">IF(AM1226="",0,MAX(0,MIN(1,(IF(CC1226="L1",Parameter!$H$5,IF(CC1226="L23",Parameter!$H$6+Parameter!$H$7,Parameter!$H$5+Parameter!$H$6+Parameter!$H$7))-(AM1226-AI1226))/AI1226)))</f>
        <v>1</v>
      </c>
      <c r="AO1226" s="50" t="n">
        <f aca="false">IF(LEFT(Cockpit!$I$5,1)="A",H1226,IF(CE1226=1,CF1226,IF(LEFT(Cockpit!$I$5,1)="B",AT1226,MAX(AT1226,H1226))))</f>
        <v>44</v>
      </c>
      <c r="AP1226" s="50" t="n">
        <f aca="false">IF(BW1226=1,0,ROUNDUP(AO1226/BV1226,0))</f>
        <v>4</v>
      </c>
      <c r="AQ1226" s="52" t="n">
        <f aca="false">IF(CL1226&gt;0,CL1226*MAX(1,AO1226/X1226),IF(BW1226=1,IF(AO1226&lt;=0,0,CA1226*MAX(1,IF(H1226&gt;0,AO1226/H1226,1))),IF(R1226&gt;0,AP1226/R1226,0))/MAX(0.1,N(Parameter!$M$21)))</f>
        <v>0.153846153846154</v>
      </c>
      <c r="AR1226" s="50" t="n">
        <f aca="false">AQ1226*BY1226</f>
        <v>23.8461538461538</v>
      </c>
      <c r="AS1226" s="50" t="n">
        <f aca="false">AO1226*G1226</f>
        <v>30272</v>
      </c>
      <c r="AT1226" s="50" t="n">
        <f aca="false">ROUNDUP(MAX(J1226/IF(CD1226&gt;0,CD1226,MAX(0.1,N(Cockpit!$I$6))),CG1226)/BV1226,0)*BV1226</f>
        <v>44</v>
      </c>
      <c r="AU1226" s="51" t="n">
        <f aca="false">IF(AR1226&gt;0,J1226/AR1226,-1)</f>
        <v>2.89354838709677</v>
      </c>
      <c r="AV1226" s="51" t="n">
        <f aca="false">IF(AND(OR(CC1226="L1",CC1226="L23",CC1226="LIFT"),AR1226&gt;0),SUMIFS($AR$7:$AR$1843,$CC$7:$CC$1843,CC1226,$AU$7:$AU$1843,"&gt;"&amp;AU1226)+SUMIFS($AR$7:$AR$1843,$CC$7:$CC$1843,CC1226,$AU$7:$AU$1843,AU1226,$BT$7:$BT$1843,"&lt;="&amp;BT1226),"")</f>
        <v>6367.39560439561</v>
      </c>
      <c r="AW1226" s="58" t="n">
        <f aca="false">IF(AV1226="",0,MAX(0,MIN(1,(IF(CC1226="L1",Parameter!$H$5,IF(CC1226="L23",Parameter!$H$6+Parameter!$H$7,Parameter!$H$5+Parameter!$H$6+Parameter!$H$7))-(AV1226-AR1226))/AR1226)))</f>
        <v>1</v>
      </c>
      <c r="AX1226" s="50" t="n">
        <f aca="false">IF(LEFT(Cockpit!$O$5,1)="A",H1226,IF(CE1226=1,CF1226,IF(LEFT(Cockpit!$O$5,1)="B",BC1226,MAX(BC1226,H1226))))</f>
        <v>33</v>
      </c>
      <c r="AY1226" s="50" t="n">
        <f aca="false">IF(BW1226=1,0,ROUNDUP(AX1226/BV1226,0))</f>
        <v>3</v>
      </c>
      <c r="AZ1226" s="52" t="n">
        <f aca="false">IF(CL1226&gt;0,CL1226*MAX(1,AX1226/X1226),IF(BW1226=1,IF(AX1226&lt;=0,0,CA1226*MAX(1,IF(H1226&gt;0,AX1226/H1226,1))),IF(R1226&gt;0,AY1226/R1226,0))/MAX(0.1,N(Parameter!$M$21)))</f>
        <v>0.115384615384615</v>
      </c>
      <c r="BA1226" s="50" t="n">
        <f aca="false">AZ1226*BY1226</f>
        <v>17.8846153846154</v>
      </c>
      <c r="BB1226" s="50" t="n">
        <f aca="false">AX1226*G1226</f>
        <v>22704</v>
      </c>
      <c r="BC1226" s="50" t="n">
        <f aca="false">ROUNDUP(MAX(J1226/IF(CD1226&gt;0,CD1226,MAX(0.1,N(Cockpit!$O$6))),CG1226)/BV1226,0)*BV1226</f>
        <v>33</v>
      </c>
      <c r="BD1226" s="51" t="n">
        <f aca="false">IF(BA1226&gt;0,J1226/BA1226,-1)</f>
        <v>3.85806451612903</v>
      </c>
      <c r="BE1226" s="51" t="n">
        <f aca="false">IF(AND(OR(CC1226="L1",CC1226="L23",CC1226="LIFT"),BA1226&gt;0),SUMIFS($BA$7:$BA$1843,$CC$7:$CC$1843,CC1226,$BD$7:$BD$1843,"&gt;"&amp;BD1226)+SUMIFS($BA$7:$BA$1843,$CC$7:$CC$1843,CC1226,$BD$7:$BD$1843,BD1226,$BT$7:$BT$1843,"&lt;="&amp;BT1226),"")</f>
        <v>5635.23626373626</v>
      </c>
      <c r="BF1226" s="58" t="n">
        <f aca="false">IF(BE1226="",0,MAX(0,MIN(1,(IF(CC1226="L1",Parameter!$H$5,IF(CC1226="L23",Parameter!$H$6+Parameter!$H$7,Parameter!$H$5+Parameter!$H$6+Parameter!$H$7))-(BE1226-BA1226))/BA1226)))</f>
        <v>1</v>
      </c>
      <c r="BG1226" s="48" t="str">
        <f aca="false">IF(AI1226&lt;=0,"",IF(CC1226="Aussen","Aussenlager",IF(CC1226="-","Nicht im Lift",IF(AN1226&gt;=1,"Lift",IF(AN1226&lt;=0,"Aussenlager","teilweise")))))</f>
        <v>Lift</v>
      </c>
      <c r="BH1226" s="48" t="str">
        <f aca="false">IF(AR1226&lt;=0,"",IF(CC1226="Aussen","Aussenlager",IF(CC1226="-","Nicht im Lift",IF(AW1226&gt;=1,"Lift",IF(AW1226&lt;=0,"Aussenlager","teilweise")))))</f>
        <v>Lift</v>
      </c>
      <c r="BI1226" s="48" t="str">
        <f aca="false">IF(BA1226&lt;=0,"",IF(CC1226="Aussen","Aussenlager",IF(CC1226="-","Nicht im Lift",IF(BF1226&gt;=1,"Lift",IF(BF1226&lt;=0,"Aussenlager","teilweise")))))</f>
        <v>Lift</v>
      </c>
      <c r="BJ1226" s="48" t="str">
        <f aca="false">IF(A1226="","",IF(BS1226=1,"Neu; ","")&amp;IF(AND(BS1226=0,BN1226&lt;0),"negativer Bestand (Export "&amp;BN1226&amp;"); ","")&amp;IF(J1226&lt;=0,"Kein Verbrauch; ","")&amp;IF(CL1226&gt;0,"Lift "&amp;W1226&amp;" lt. Liftbericht (Fach "&amp;X1226&amp;" Stk); ",IF(BX1226=1,"Gebinde geschätzt ("&amp;T1226&amp;"); ",IF(BW1226=1,"Lose – Tablare geschätzt; ","")))&amp;IF(H1226&gt;AT1226,"Überbestand "&amp;ROUND(H1226-AT1226,0)&amp;" Stk / CHF "&amp;ROUND((H1226-AT1226)*G1226,0)&amp;"; ","")&amp;IF(AND(CE1226=1,CF1226&lt;CG1226),"MAX &lt; MB+LG; ","")&amp;IF(AND(CK1226&gt;0,CJ1226*10&gt;CK1226),"zu hoch für Tablar; ","")&amp;IF(AND(BS1226=0,OR(CE1226=1,AA1226&lt;&gt;"",U1226&lt;&gt;"",V1226&lt;&gt;"",AB1226&lt;&gt;"")),"manuell übersteuert; ","")&amp;IF(AND(BW1226=0,R1226=0),"Gebinde unbekannt / Stellmass fehlt; ","")&amp;IF(AND(BW1226=0,N(V1226)&lt;=0,N(Q1226)&lt;=0),"Menge pro Gebinde fehlt (Ist = 1 Gebinde); ","")&amp;BR1226)</f>
        <v>negativer Bestand (Export -2); </v>
      </c>
      <c r="BK1226" s="48"/>
      <c r="BL1226" s="48"/>
      <c r="BM1226" s="55"/>
      <c r="BN1226" s="50" t="n">
        <v>-2</v>
      </c>
      <c r="BO1226" s="50" t="n">
        <v>21</v>
      </c>
      <c r="BP1226" s="49" t="n">
        <v>-619.999999999998</v>
      </c>
      <c r="BQ1226" s="50" t="n">
        <v>69</v>
      </c>
      <c r="BR1226" s="48"/>
      <c r="BS1226" s="53" t="n">
        <v>0</v>
      </c>
      <c r="BT1226" s="53" t="n">
        <v>1226</v>
      </c>
      <c r="BU1226" s="48" t="str">
        <f aca="false">IF(U1226&lt;&gt;"",UPPER(TRIM(U1226)),IF(BX1226=1,UPPER(VLOOKUP(T1226,Parameter!$I$27:$K$29,2,0)),IF(P1226="","LOSE",P1226)))</f>
        <v>S51</v>
      </c>
      <c r="BV1226" s="50" t="n">
        <f aca="false">IF(BU1226="LOSE",1,IF(N(V1226)&gt;0,V1226,IF(BX1226=1,MAX(1,N(VLOOKUP(T1226,Parameter!$I$27:$K$29,3,0)),H1226,N(N1226)),IF(N(Q1226)&gt;0,Q1226,MAX(1,H1226)))))</f>
        <v>11</v>
      </c>
      <c r="BW1226" s="53" t="n">
        <f aca="false">IF(BU1226="LOSE",1,0)</f>
        <v>0</v>
      </c>
      <c r="BX1226" s="53" t="n">
        <f aca="false">IF(AND(U1226="",OR(P1226="",P1226="LOSE"),T1226&lt;&gt;"",N(S1226)&lt;=0,ISNUMBER(MATCH(T1226,Parameter!$I$27:$I$29,0))),1,0)</f>
        <v>0</v>
      </c>
      <c r="BY1226" s="53" t="n">
        <f aca="false">IF(CL1226&gt;0,INDEX(Parameter!$H$5:$H$7,W1226)/INDEX(Parameter!$E$5:$E$7,W1226),IF(AND(BW1226=0,N(IFERROR(VLOOKUP(BU1226,'Gebinde-Kategorie'!$A$5:$N$45,14,0),0))&gt;0),VLOOKUP(BU1226,'Gebinde-Kategorie'!$A$5:$N$45,14,0)*10+Parameter!$M$23,Parameter!$M$24))</f>
        <v>155</v>
      </c>
      <c r="BZ1226" s="48" t="str">
        <f aca="false">IF(AND(Parameter!$B$19="Ja",E1226&lt;&gt;"",ISNUMBER(MATCH(E1226,Parameter!$I$35:$I$52,0))),VLOOKUP(E1226,Parameter!$I$35:$J$52,2,0),IFERROR(VLOOKUP(D1226,Parameter!$A$35:$C$64,2,0),"Nein"))</f>
        <v>2+3</v>
      </c>
      <c r="CA1226" s="52" t="n">
        <f aca="false">IF(BW1226=0,0,IF(N(S1226)&gt;0,S1226,IFERROR(VLOOKUP(D1226,Parameter!$A$35:$C$64,3,0)+0,0)))</f>
        <v>0</v>
      </c>
      <c r="CB1226" s="48" t="n">
        <f aca="false">IF(AA1226&lt;&gt;"",AA1226,Z1226)</f>
        <v>3</v>
      </c>
      <c r="CC1226" s="48" t="str">
        <f aca="false">IF(OR(CB1226=1,CB1226=2,CB1226=3),IF(Parameter!$E$27="Ja","LIFT",IF(CB1226=1,"L1","L23")),IF(CB1226="Aussen","Aussen","-"))</f>
        <v>LIFT</v>
      </c>
      <c r="CD1226" s="59" t="n">
        <f aca="false">IF(N(AB1226)&gt;0,AB1226,0)</f>
        <v>0</v>
      </c>
      <c r="CE1226" s="53" t="n">
        <f aca="false">IF(ISNUMBER(AE1226),1,0)</f>
        <v>0</v>
      </c>
      <c r="CF1226" s="50" t="n">
        <f aca="false">N(AE1226)</f>
        <v>0</v>
      </c>
      <c r="CG1226" s="50" t="n">
        <f aca="false">N(M1226)+N(N1226)</f>
        <v>15</v>
      </c>
      <c r="CH1226" s="50" t="n">
        <f aca="false">ROUNDUP(H1226/BV1226,0)</f>
        <v>2</v>
      </c>
      <c r="CI1226" s="50" t="n">
        <f aca="false">ROUNDUP(CF1226/BV1226,0)</f>
        <v>0</v>
      </c>
      <c r="CJ1226" s="53" t="n">
        <f aca="false">IF(BW1226=1,0,IFERROR(VLOOKUP(BU1226,'Gebinde-Kategorie'!$A$5:$N$45,5,0)+0,0))</f>
        <v>11</v>
      </c>
      <c r="CK1226" s="53" t="n">
        <f aca="false">IFERROR(IF(OR(CB1226=1,CB1226=2,CB1226=3),N(INDEX(Parameter!$I$5:$I$7,CB1226)),0),0)</f>
        <v>0</v>
      </c>
      <c r="CL1226" s="52" t="n">
        <f aca="false">IF(AND(Parameter!$B$21="Ja",ISNUMBER(W1226),N(X1226)&gt;0),IFERROR(N(INDEX(Parameter!$L$5:$L$7,W1226))*INDEX(Parameter!$E$5:$E$7,W1226)*X1226/SUMIFS($X$7:$X$1843,$W$7:$W$1843,W1226),0),0)</f>
        <v>0</v>
      </c>
    </row>
    <row r="1227" customFormat="false" ht="15" hidden="false" customHeight="false" outlineLevel="0" collapsed="false">
      <c r="A1227" s="48" t="s">
        <v>2201</v>
      </c>
      <c r="B1227" s="48" t="s">
        <v>2202</v>
      </c>
      <c r="C1227" s="48" t="s">
        <v>168</v>
      </c>
      <c r="D1227" s="48" t="s">
        <v>188</v>
      </c>
      <c r="E1227" s="48" t="s">
        <v>189</v>
      </c>
      <c r="F1227" s="48" t="s">
        <v>222</v>
      </c>
      <c r="G1227" s="49" t="n">
        <v>310.56</v>
      </c>
      <c r="H1227" s="50" t="n">
        <f aca="false">MAX(0,IF(AND(Parameter!$B$21="Ja",ISNUMBER(Y1227)),Y1227,IF(Parameter!$B$20="Jahresanfang 2025 + Export",BO1227+BN1227,BN1227)))</f>
        <v>8</v>
      </c>
      <c r="I1227" s="50" t="n">
        <f aca="false">H1227*G1227</f>
        <v>2484.48</v>
      </c>
      <c r="J1227" s="50" t="n">
        <f aca="false">BQ1227*Parameter!$B$18</f>
        <v>1</v>
      </c>
      <c r="K1227" s="51" t="n">
        <v>9.5</v>
      </c>
      <c r="L1227" s="52" t="n">
        <v>0.105263157894737</v>
      </c>
      <c r="M1227" s="50" t="n">
        <v>0</v>
      </c>
      <c r="N1227" s="50" t="n">
        <v>1</v>
      </c>
      <c r="O1227" s="53" t="n">
        <v>35</v>
      </c>
      <c r="P1227" s="48" t="s">
        <v>237</v>
      </c>
      <c r="Q1227" s="50" t="n">
        <v>12</v>
      </c>
      <c r="R1227" s="53" t="n">
        <f aca="false">IF(BW1227=1,0,IFERROR(VLOOKUP(BU1227,'Gebinde-Kategorie'!$A$5:$N$45,13,0)+0,0))</f>
        <v>26</v>
      </c>
      <c r="S1227" s="54"/>
      <c r="T1227" s="55"/>
      <c r="U1227" s="55"/>
      <c r="V1227" s="55"/>
      <c r="W1227" s="48"/>
      <c r="X1227" s="50"/>
      <c r="Y1227" s="50"/>
      <c r="Z1227" s="48" t="n">
        <f aca="false">IF(A1227="","",IF(AND(Parameter!$B$21="Ja",ISNUMBER(W1227)),W1227,IF(BZ1227="2+3",IF(ISNUMBER(SEARCH("grosser Artikel",BR1227)),2,IFERROR(VLOOKUP(BU1227,Parameter!$F$35:$G$64,2,0),2)),IF(OR(BZ1227="Nein",BZ1227=""),"-",BZ1227))))</f>
        <v>3</v>
      </c>
      <c r="AA1227" s="55"/>
      <c r="AB1227" s="56"/>
      <c r="AC1227" s="50" t="n">
        <f aca="false">AT1227</f>
        <v>12</v>
      </c>
      <c r="AD1227" s="50" t="n">
        <f aca="false">MAX(AT1227,H1227)</f>
        <v>12</v>
      </c>
      <c r="AE1227" s="57"/>
      <c r="AF1227" s="50" t="n">
        <f aca="false">IF(LEFT(Cockpit!$C$5,1)="A",H1227,IF(CE1227=1,CF1227,IF(LEFT(Cockpit!$C$5,1)="B",AK1227,MAX(AK1227,H1227))))</f>
        <v>8</v>
      </c>
      <c r="AG1227" s="50" t="n">
        <f aca="false">IF(BW1227=1,0,ROUNDUP(AF1227/BV1227,0))</f>
        <v>1</v>
      </c>
      <c r="AH1227" s="52" t="n">
        <f aca="false">IF(CL1227&gt;0,CL1227*MAX(1,AF1227/X1227),IF(BW1227=1,IF(AF1227&lt;=0,0,CA1227*MAX(1,IF(H1227&gt;0,AF1227/H1227,1))),IF(R1227&gt;0,AG1227/R1227,0))/MAX(0.1,N(Parameter!$M$21)))</f>
        <v>0.0384615384615385</v>
      </c>
      <c r="AI1227" s="50" t="n">
        <f aca="false">AH1227*BY1227</f>
        <v>9.42307692307692</v>
      </c>
      <c r="AJ1227" s="50" t="n">
        <f aca="false">AF1227*G1227</f>
        <v>2484.48</v>
      </c>
      <c r="AK1227" s="50" t="n">
        <f aca="false">ROUNDUP(MAX(J1227/IF(CD1227&gt;0,CD1227,MAX(0.1,N(Cockpit!$C$6))),CG1227)/BV1227,0)*BV1227</f>
        <v>12</v>
      </c>
      <c r="AL1227" s="51" t="n">
        <f aca="false">IF(AI1227&gt;0,J1227/AI1227,-1)</f>
        <v>0.106122448979592</v>
      </c>
      <c r="AM1227" s="51" t="n">
        <f aca="false">IF(AND(OR(CC1227="L1",CC1227="L23",CC1227="LIFT"),AI1227&gt;0),SUMIFS($AI$7:$AI$1843,$CC$7:$CC$1843,CC1227,$AL$7:$AL$1843,"&gt;"&amp;AL1227)+SUMIFS($AI$7:$AI$1843,$CC$7:$CC$1843,CC1227,$AL$7:$AL$1843,AL1227,$BT$7:$BT$1843,"&lt;="&amp;BT1227),"")</f>
        <v>15323.4989316239</v>
      </c>
      <c r="AN1227" s="58" t="n">
        <f aca="false">IF(AM1227="",0,MAX(0,MIN(1,(IF(CC1227="L1",Parameter!$H$5,IF(CC1227="L23",Parameter!$H$6+Parameter!$H$7,Parameter!$H$5+Parameter!$H$6+Parameter!$H$7))-(AM1227-AI1227))/AI1227)))</f>
        <v>1</v>
      </c>
      <c r="AO1227" s="50" t="n">
        <f aca="false">IF(LEFT(Cockpit!$I$5,1)="A",H1227,IF(CE1227=1,CF1227,IF(LEFT(Cockpit!$I$5,1)="B",AT1227,MAX(AT1227,H1227))))</f>
        <v>12</v>
      </c>
      <c r="AP1227" s="50" t="n">
        <f aca="false">IF(BW1227=1,0,ROUNDUP(AO1227/BV1227,0))</f>
        <v>1</v>
      </c>
      <c r="AQ1227" s="52" t="n">
        <f aca="false">IF(CL1227&gt;0,CL1227*MAX(1,AO1227/X1227),IF(BW1227=1,IF(AO1227&lt;=0,0,CA1227*MAX(1,IF(H1227&gt;0,AO1227/H1227,1))),IF(R1227&gt;0,AP1227/R1227,0))/MAX(0.1,N(Parameter!$M$21)))</f>
        <v>0.0384615384615385</v>
      </c>
      <c r="AR1227" s="50" t="n">
        <f aca="false">AQ1227*BY1227</f>
        <v>9.42307692307692</v>
      </c>
      <c r="AS1227" s="50" t="n">
        <f aca="false">AO1227*G1227</f>
        <v>3726.72</v>
      </c>
      <c r="AT1227" s="50" t="n">
        <f aca="false">ROUNDUP(MAX(J1227/IF(CD1227&gt;0,CD1227,MAX(0.1,N(Cockpit!$I$6))),CG1227)/BV1227,0)*BV1227</f>
        <v>12</v>
      </c>
      <c r="AU1227" s="51" t="n">
        <f aca="false">IF(AR1227&gt;0,J1227/AR1227,-1)</f>
        <v>0.106122448979592</v>
      </c>
      <c r="AV1227" s="51" t="n">
        <f aca="false">IF(AND(OR(CC1227="L1",CC1227="L23",CC1227="LIFT"),AR1227&gt;0),SUMIFS($AR$7:$AR$1843,$CC$7:$CC$1843,CC1227,$AU$7:$AU$1843,"&gt;"&amp;AU1227)+SUMIFS($AR$7:$AR$1843,$CC$7:$CC$1843,CC1227,$AU$7:$AU$1843,AU1227,$BT$7:$BT$1843,"&lt;="&amp;BT1227),"")</f>
        <v>20377.6991758242</v>
      </c>
      <c r="AW1227" s="58" t="n">
        <f aca="false">IF(AV1227="",0,MAX(0,MIN(1,(IF(CC1227="L1",Parameter!$H$5,IF(CC1227="L23",Parameter!$H$6+Parameter!$H$7,Parameter!$H$5+Parameter!$H$6+Parameter!$H$7))-(AV1227-AR1227))/AR1227)))</f>
        <v>1</v>
      </c>
      <c r="AX1227" s="50" t="n">
        <f aca="false">IF(LEFT(Cockpit!$O$5,1)="A",H1227,IF(CE1227=1,CF1227,IF(LEFT(Cockpit!$O$5,1)="B",BC1227,MAX(BC1227,H1227))))</f>
        <v>12</v>
      </c>
      <c r="AY1227" s="50" t="n">
        <f aca="false">IF(BW1227=1,0,ROUNDUP(AX1227/BV1227,0))</f>
        <v>1</v>
      </c>
      <c r="AZ1227" s="52" t="n">
        <f aca="false">IF(CL1227&gt;0,CL1227*MAX(1,AX1227/X1227),IF(BW1227=1,IF(AX1227&lt;=0,0,CA1227*MAX(1,IF(H1227&gt;0,AX1227/H1227,1))),IF(R1227&gt;0,AY1227/R1227,0))/MAX(0.1,N(Parameter!$M$21)))</f>
        <v>0.0384615384615385</v>
      </c>
      <c r="BA1227" s="50" t="n">
        <f aca="false">AZ1227*BY1227</f>
        <v>9.42307692307692</v>
      </c>
      <c r="BB1227" s="50" t="n">
        <f aca="false">AX1227*G1227</f>
        <v>3726.72</v>
      </c>
      <c r="BC1227" s="50" t="n">
        <f aca="false">ROUNDUP(MAX(J1227/IF(CD1227&gt;0,CD1227,MAX(0.1,N(Cockpit!$O$6))),CG1227)/BV1227,0)*BV1227</f>
        <v>12</v>
      </c>
      <c r="BD1227" s="51" t="n">
        <f aca="false">IF(BA1227&gt;0,J1227/BA1227,-1)</f>
        <v>0.106122448979592</v>
      </c>
      <c r="BE1227" s="51" t="n">
        <f aca="false">IF(AND(OR(CC1227="L1",CC1227="L23",CC1227="LIFT"),BA1227&gt;0),SUMIFS($BA$7:$BA$1843,$CC$7:$CC$1843,CC1227,$BD$7:$BD$1843,"&gt;"&amp;BD1227)+SUMIFS($BA$7:$BA$1843,$CC$7:$CC$1843,CC1227,$BD$7:$BD$1843,BD1227,$BT$7:$BT$1843,"&lt;="&amp;BT1227),"")</f>
        <v>20999.2413495168</v>
      </c>
      <c r="BF1227" s="58" t="n">
        <f aca="false">IF(BE1227="",0,MAX(0,MIN(1,(IF(CC1227="L1",Parameter!$H$5,IF(CC1227="L23",Parameter!$H$6+Parameter!$H$7,Parameter!$H$5+Parameter!$H$6+Parameter!$H$7))-(BE1227-BA1227))/BA1227)))</f>
        <v>1</v>
      </c>
      <c r="BG1227" s="48" t="str">
        <f aca="false">IF(AI1227&lt;=0,"",IF(CC1227="Aussen","Aussenlager",IF(CC1227="-","Nicht im Lift",IF(AN1227&gt;=1,"Lift",IF(AN1227&lt;=0,"Aussenlager","teilweise")))))</f>
        <v>Lift</v>
      </c>
      <c r="BH1227" s="48" t="str">
        <f aca="false">IF(AR1227&lt;=0,"",IF(CC1227="Aussen","Aussenlager",IF(CC1227="-","Nicht im Lift",IF(AW1227&gt;=1,"Lift",IF(AW1227&lt;=0,"Aussenlager","teilweise")))))</f>
        <v>Lift</v>
      </c>
      <c r="BI1227" s="48" t="str">
        <f aca="false">IF(BA1227&lt;=0,"",IF(CC1227="Aussen","Aussenlager",IF(CC1227="-","Nicht im Lift",IF(BF1227&gt;=1,"Lift",IF(BF1227&lt;=0,"Aussenlager","teilweise")))))</f>
        <v>Lift</v>
      </c>
      <c r="BJ1227" s="48" t="str">
        <f aca="false">IF(A1227="","",IF(BS1227=1,"Neu; ","")&amp;IF(AND(BS1227=0,BN1227&lt;0),"negativer Bestand (Export "&amp;BN1227&amp;"); ","")&amp;IF(J1227&lt;=0,"Kein Verbrauch; ","")&amp;IF(CL1227&gt;0,"Lift "&amp;W1227&amp;" lt. Liftbericht (Fach "&amp;X1227&amp;" Stk); ",IF(BX1227=1,"Gebinde geschätzt ("&amp;T1227&amp;"); ",IF(BW1227=1,"Lose – Tablare geschätzt; ","")))&amp;IF(H1227&gt;AT1227,"Überbestand "&amp;ROUND(H1227-AT1227,0)&amp;" Stk / CHF "&amp;ROUND((H1227-AT1227)*G1227,0)&amp;"; ","")&amp;IF(AND(CE1227=1,CF1227&lt;CG1227),"MAX &lt; MB+LG; ","")&amp;IF(AND(CK1227&gt;0,CJ1227*10&gt;CK1227),"zu hoch für Tablar; ","")&amp;IF(AND(BS1227=0,OR(CE1227=1,AA1227&lt;&gt;"",U1227&lt;&gt;"",V1227&lt;&gt;"",AB1227&lt;&gt;"")),"manuell übersteuert; ","")&amp;IF(AND(BW1227=0,R1227=0),"Gebinde unbekannt / Stellmass fehlt; ","")&amp;IF(AND(BW1227=0,N(V1227)&lt;=0,N(Q1227)&lt;=0),"Menge pro Gebinde fehlt (Ist = 1 Gebinde); ","")&amp;BR1227)</f>
        <v>negativer Bestand (Export -2); </v>
      </c>
      <c r="BK1227" s="48"/>
      <c r="BL1227" s="48"/>
      <c r="BM1227" s="55"/>
      <c r="BN1227" s="50" t="n">
        <v>-2</v>
      </c>
      <c r="BO1227" s="50" t="n">
        <v>10</v>
      </c>
      <c r="BP1227" s="49" t="n">
        <v>-621.12</v>
      </c>
      <c r="BQ1227" s="50" t="n">
        <v>1</v>
      </c>
      <c r="BR1227" s="48"/>
      <c r="BS1227" s="53" t="n">
        <v>0</v>
      </c>
      <c r="BT1227" s="53" t="n">
        <v>1227</v>
      </c>
      <c r="BU1227" s="48" t="str">
        <f aca="false">IF(U1227&lt;&gt;"",UPPER(TRIM(U1227)),IF(BX1227=1,UPPER(VLOOKUP(T1227,Parameter!$I$27:$K$29,2,0)),IF(P1227="","LOSE",P1227)))</f>
        <v>S52</v>
      </c>
      <c r="BV1227" s="50" t="n">
        <f aca="false">IF(BU1227="LOSE",1,IF(N(V1227)&gt;0,V1227,IF(BX1227=1,MAX(1,N(VLOOKUP(T1227,Parameter!$I$27:$K$29,3,0)),H1227,N(N1227)),IF(N(Q1227)&gt;0,Q1227,MAX(1,H1227)))))</f>
        <v>12</v>
      </c>
      <c r="BW1227" s="53" t="n">
        <f aca="false">IF(BU1227="LOSE",1,0)</f>
        <v>0</v>
      </c>
      <c r="BX1227" s="53" t="n">
        <f aca="false">IF(AND(U1227="",OR(P1227="",P1227="LOSE"),T1227&lt;&gt;"",N(S1227)&lt;=0,ISNUMBER(MATCH(T1227,Parameter!$I$27:$I$29,0))),1,0)</f>
        <v>0</v>
      </c>
      <c r="BY1227" s="53" t="n">
        <f aca="false">IF(CL1227&gt;0,INDEX(Parameter!$H$5:$H$7,W1227)/INDEX(Parameter!$E$5:$E$7,W1227),IF(AND(BW1227=0,N(IFERROR(VLOOKUP(BU1227,'Gebinde-Kategorie'!$A$5:$N$45,14,0),0))&gt;0),VLOOKUP(BU1227,'Gebinde-Kategorie'!$A$5:$N$45,14,0)*10+Parameter!$M$23,Parameter!$M$24))</f>
        <v>245</v>
      </c>
      <c r="BZ1227" s="48" t="str">
        <f aca="false">IF(AND(Parameter!$B$19="Ja",E1227&lt;&gt;"",ISNUMBER(MATCH(E1227,Parameter!$I$35:$I$52,0))),VLOOKUP(E1227,Parameter!$I$35:$J$52,2,0),IFERROR(VLOOKUP(D1227,Parameter!$A$35:$C$64,2,0),"Nein"))</f>
        <v>2+3</v>
      </c>
      <c r="CA1227" s="52" t="n">
        <f aca="false">IF(BW1227=0,0,IF(N(S1227)&gt;0,S1227,IFERROR(VLOOKUP(D1227,Parameter!$A$35:$C$64,3,0)+0,0)))</f>
        <v>0</v>
      </c>
      <c r="CB1227" s="48" t="n">
        <f aca="false">IF(AA1227&lt;&gt;"",AA1227,Z1227)</f>
        <v>3</v>
      </c>
      <c r="CC1227" s="48" t="str">
        <f aca="false">IF(OR(CB1227=1,CB1227=2,CB1227=3),IF(Parameter!$E$27="Ja","LIFT",IF(CB1227=1,"L1","L23")),IF(CB1227="Aussen","Aussen","-"))</f>
        <v>LIFT</v>
      </c>
      <c r="CD1227" s="59" t="n">
        <f aca="false">IF(N(AB1227)&gt;0,AB1227,0)</f>
        <v>0</v>
      </c>
      <c r="CE1227" s="53" t="n">
        <f aca="false">IF(ISNUMBER(AE1227),1,0)</f>
        <v>0</v>
      </c>
      <c r="CF1227" s="50" t="n">
        <f aca="false">N(AE1227)</f>
        <v>0</v>
      </c>
      <c r="CG1227" s="50" t="n">
        <f aca="false">N(M1227)+N(N1227)</f>
        <v>1</v>
      </c>
      <c r="CH1227" s="50" t="n">
        <f aca="false">ROUNDUP(H1227/BV1227,0)</f>
        <v>1</v>
      </c>
      <c r="CI1227" s="50" t="n">
        <f aca="false">ROUNDUP(CF1227/BV1227,0)</f>
        <v>0</v>
      </c>
      <c r="CJ1227" s="53" t="n">
        <f aca="false">IF(BW1227=1,0,IFERROR(VLOOKUP(BU1227,'Gebinde-Kategorie'!$A$5:$N$45,5,0)+0,0))</f>
        <v>21</v>
      </c>
      <c r="CK1227" s="53" t="n">
        <f aca="false">IFERROR(IF(OR(CB1227=1,CB1227=2,CB1227=3),N(INDEX(Parameter!$I$5:$I$7,CB1227)),0),0)</f>
        <v>0</v>
      </c>
      <c r="CL1227" s="52" t="n">
        <f aca="false">IF(AND(Parameter!$B$21="Ja",ISNUMBER(W1227),N(X1227)&gt;0),IFERROR(N(INDEX(Parameter!$L$5:$L$7,W1227))*INDEX(Parameter!$E$5:$E$7,W1227)*X1227/SUMIFS($X$7:$X$1843,$W$7:$W$1843,W1227),0),0)</f>
        <v>0</v>
      </c>
    </row>
    <row r="1228" customFormat="false" ht="15" hidden="false" customHeight="false" outlineLevel="0" collapsed="false">
      <c r="A1228" s="48" t="s">
        <v>2203</v>
      </c>
      <c r="B1228" s="48" t="s">
        <v>509</v>
      </c>
      <c r="C1228" s="48" t="s">
        <v>168</v>
      </c>
      <c r="D1228" s="48" t="s">
        <v>188</v>
      </c>
      <c r="E1228" s="48" t="s">
        <v>189</v>
      </c>
      <c r="F1228" s="48" t="s">
        <v>222</v>
      </c>
      <c r="G1228" s="49" t="n">
        <v>24</v>
      </c>
      <c r="H1228" s="50" t="n">
        <f aca="false">MAX(0,IF(AND(Parameter!$B$21="Ja",ISNUMBER(Y1228)),Y1228,IF(Parameter!$B$20="Jahresanfang 2025 + Export",BO1228+BN1228,BN1228)))</f>
        <v>28</v>
      </c>
      <c r="I1228" s="50" t="n">
        <f aca="false">H1228*G1228</f>
        <v>672</v>
      </c>
      <c r="J1228" s="50" t="n">
        <f aca="false">BQ1228*Parameter!$B$18</f>
        <v>43</v>
      </c>
      <c r="K1228" s="51" t="n">
        <v>32</v>
      </c>
      <c r="L1228" s="52" t="n">
        <v>1.34375</v>
      </c>
      <c r="M1228" s="50" t="n">
        <v>4</v>
      </c>
      <c r="N1228" s="50" t="n">
        <v>45</v>
      </c>
      <c r="O1228" s="53" t="n">
        <v>35</v>
      </c>
      <c r="P1228" s="48" t="s">
        <v>237</v>
      </c>
      <c r="Q1228" s="50" t="n">
        <v>40</v>
      </c>
      <c r="R1228" s="53" t="n">
        <f aca="false">IF(BW1228=1,0,IFERROR(VLOOKUP(BU1228,'Gebinde-Kategorie'!$A$5:$N$45,13,0)+0,0))</f>
        <v>26</v>
      </c>
      <c r="S1228" s="54"/>
      <c r="T1228" s="55"/>
      <c r="U1228" s="55"/>
      <c r="V1228" s="55"/>
      <c r="W1228" s="48"/>
      <c r="X1228" s="50"/>
      <c r="Y1228" s="50"/>
      <c r="Z1228" s="48" t="n">
        <f aca="false">IF(A1228="","",IF(AND(Parameter!$B$21="Ja",ISNUMBER(W1228)),W1228,IF(BZ1228="2+3",IF(ISNUMBER(SEARCH("grosser Artikel",BR1228)),2,IFERROR(VLOOKUP(BU1228,Parameter!$F$35:$G$64,2,0),2)),IF(OR(BZ1228="Nein",BZ1228=""),"-",BZ1228))))</f>
        <v>3</v>
      </c>
      <c r="AA1228" s="55"/>
      <c r="AB1228" s="56"/>
      <c r="AC1228" s="50" t="n">
        <f aca="false">AT1228</f>
        <v>80</v>
      </c>
      <c r="AD1228" s="50" t="n">
        <f aca="false">MAX(AT1228,H1228)</f>
        <v>80</v>
      </c>
      <c r="AE1228" s="57"/>
      <c r="AF1228" s="50" t="n">
        <f aca="false">IF(LEFT(Cockpit!$C$5,1)="A",H1228,IF(CE1228=1,CF1228,IF(LEFT(Cockpit!$C$5,1)="B",AK1228,MAX(AK1228,H1228))))</f>
        <v>28</v>
      </c>
      <c r="AG1228" s="50" t="n">
        <f aca="false">IF(BW1228=1,0,ROUNDUP(AF1228/BV1228,0))</f>
        <v>1</v>
      </c>
      <c r="AH1228" s="52" t="n">
        <f aca="false">IF(CL1228&gt;0,CL1228*MAX(1,AF1228/X1228),IF(BW1228=1,IF(AF1228&lt;=0,0,CA1228*MAX(1,IF(H1228&gt;0,AF1228/H1228,1))),IF(R1228&gt;0,AG1228/R1228,0))/MAX(0.1,N(Parameter!$M$21)))</f>
        <v>0.0384615384615385</v>
      </c>
      <c r="AI1228" s="50" t="n">
        <f aca="false">AH1228*BY1228</f>
        <v>9.42307692307692</v>
      </c>
      <c r="AJ1228" s="50" t="n">
        <f aca="false">AF1228*G1228</f>
        <v>672</v>
      </c>
      <c r="AK1228" s="50" t="n">
        <f aca="false">ROUNDUP(MAX(J1228/IF(CD1228&gt;0,CD1228,MAX(0.1,N(Cockpit!$C$6))),CG1228)/BV1228,0)*BV1228</f>
        <v>80</v>
      </c>
      <c r="AL1228" s="51" t="n">
        <f aca="false">IF(AI1228&gt;0,J1228/AI1228,-1)</f>
        <v>4.56326530612245</v>
      </c>
      <c r="AM1228" s="51" t="n">
        <f aca="false">IF(AND(OR(CC1228="L1",CC1228="L23",CC1228="LIFT"),AI1228&gt;0),SUMIFS($AI$7:$AI$1843,$CC$7:$CC$1843,CC1228,$AL$7:$AL$1843,"&gt;"&amp;AL1228)+SUMIFS($AI$7:$AI$1843,$CC$7:$CC$1843,CC1228,$AL$7:$AL$1843,AL1228,$BT$7:$BT$1843,"&lt;="&amp;BT1228),"")</f>
        <v>4129.88965201465</v>
      </c>
      <c r="AN1228" s="58" t="n">
        <f aca="false">IF(AM1228="",0,MAX(0,MIN(1,(IF(CC1228="L1",Parameter!$H$5,IF(CC1228="L23",Parameter!$H$6+Parameter!$H$7,Parameter!$H$5+Parameter!$H$6+Parameter!$H$7))-(AM1228-AI1228))/AI1228)))</f>
        <v>1</v>
      </c>
      <c r="AO1228" s="50" t="n">
        <f aca="false">IF(LEFT(Cockpit!$I$5,1)="A",H1228,IF(CE1228=1,CF1228,IF(LEFT(Cockpit!$I$5,1)="B",AT1228,MAX(AT1228,H1228))))</f>
        <v>80</v>
      </c>
      <c r="AP1228" s="50" t="n">
        <f aca="false">IF(BW1228=1,0,ROUNDUP(AO1228/BV1228,0))</f>
        <v>2</v>
      </c>
      <c r="AQ1228" s="52" t="n">
        <f aca="false">IF(CL1228&gt;0,CL1228*MAX(1,AO1228/X1228),IF(BW1228=1,IF(AO1228&lt;=0,0,CA1228*MAX(1,IF(H1228&gt;0,AO1228/H1228,1))),IF(R1228&gt;0,AP1228/R1228,0))/MAX(0.1,N(Parameter!$M$21)))</f>
        <v>0.0769230769230769</v>
      </c>
      <c r="AR1228" s="50" t="n">
        <f aca="false">AQ1228*BY1228</f>
        <v>18.8461538461538</v>
      </c>
      <c r="AS1228" s="50" t="n">
        <f aca="false">AO1228*G1228</f>
        <v>1920</v>
      </c>
      <c r="AT1228" s="50" t="n">
        <f aca="false">ROUNDUP(MAX(J1228/IF(CD1228&gt;0,CD1228,MAX(0.1,N(Cockpit!$I$6))),CG1228)/BV1228,0)*BV1228</f>
        <v>80</v>
      </c>
      <c r="AU1228" s="51" t="n">
        <f aca="false">IF(AR1228&gt;0,J1228/AR1228,-1)</f>
        <v>2.28163265306122</v>
      </c>
      <c r="AV1228" s="51" t="n">
        <f aca="false">IF(AND(OR(CC1228="L1",CC1228="L23",CC1228="LIFT"),AR1228&gt;0),SUMIFS($AR$7:$AR$1843,$CC$7:$CC$1843,CC1228,$AU$7:$AU$1843,"&gt;"&amp;AU1228)+SUMIFS($AR$7:$AR$1843,$CC$7:$CC$1843,CC1228,$AU$7:$AU$1843,AU1228,$BT$7:$BT$1843,"&lt;="&amp;BT1228),"")</f>
        <v>7183.0902014652</v>
      </c>
      <c r="AW1228" s="58" t="n">
        <f aca="false">IF(AV1228="",0,MAX(0,MIN(1,(IF(CC1228="L1",Parameter!$H$5,IF(CC1228="L23",Parameter!$H$6+Parameter!$H$7,Parameter!$H$5+Parameter!$H$6+Parameter!$H$7))-(AV1228-AR1228))/AR1228)))</f>
        <v>1</v>
      </c>
      <c r="AX1228" s="50" t="n">
        <f aca="false">IF(LEFT(Cockpit!$O$5,1)="A",H1228,IF(CE1228=1,CF1228,IF(LEFT(Cockpit!$O$5,1)="B",BC1228,MAX(BC1228,H1228))))</f>
        <v>80</v>
      </c>
      <c r="AY1228" s="50" t="n">
        <f aca="false">IF(BW1228=1,0,ROUNDUP(AX1228/BV1228,0))</f>
        <v>2</v>
      </c>
      <c r="AZ1228" s="52" t="n">
        <f aca="false">IF(CL1228&gt;0,CL1228*MAX(1,AX1228/X1228),IF(BW1228=1,IF(AX1228&lt;=0,0,CA1228*MAX(1,IF(H1228&gt;0,AX1228/H1228,1))),IF(R1228&gt;0,AY1228/R1228,0))/MAX(0.1,N(Parameter!$M$21)))</f>
        <v>0.0769230769230769</v>
      </c>
      <c r="BA1228" s="50" t="n">
        <f aca="false">AZ1228*BY1228</f>
        <v>18.8461538461538</v>
      </c>
      <c r="BB1228" s="50" t="n">
        <f aca="false">AX1228*G1228</f>
        <v>1920</v>
      </c>
      <c r="BC1228" s="50" t="n">
        <f aca="false">ROUNDUP(MAX(J1228/IF(CD1228&gt;0,CD1228,MAX(0.1,N(Cockpit!$O$6))),CG1228)/BV1228,0)*BV1228</f>
        <v>80</v>
      </c>
      <c r="BD1228" s="51" t="n">
        <f aca="false">IF(BA1228&gt;0,J1228/BA1228,-1)</f>
        <v>2.28163265306122</v>
      </c>
      <c r="BE1228" s="51" t="n">
        <f aca="false">IF(AND(OR(CC1228="L1",CC1228="L23",CC1228="LIFT"),BA1228&gt;0),SUMIFS($BA$7:$BA$1843,$CC$7:$CC$1843,CC1228,$BD$7:$BD$1843,"&gt;"&amp;BD1228)+SUMIFS($BA$7:$BA$1843,$CC$7:$CC$1843,CC1228,$BD$7:$BD$1843,BD1228,$BT$7:$BT$1843,"&lt;="&amp;BT1228),"")</f>
        <v>6755.83058608059</v>
      </c>
      <c r="BF1228" s="58" t="n">
        <f aca="false">IF(BE1228="",0,MAX(0,MIN(1,(IF(CC1228="L1",Parameter!$H$5,IF(CC1228="L23",Parameter!$H$6+Parameter!$H$7,Parameter!$H$5+Parameter!$H$6+Parameter!$H$7))-(BE1228-BA1228))/BA1228)))</f>
        <v>1</v>
      </c>
      <c r="BG1228" s="48" t="str">
        <f aca="false">IF(AI1228&lt;=0,"",IF(CC1228="Aussen","Aussenlager",IF(CC1228="-","Nicht im Lift",IF(AN1228&gt;=1,"Lift",IF(AN1228&lt;=0,"Aussenlager","teilweise")))))</f>
        <v>Lift</v>
      </c>
      <c r="BH1228" s="48" t="str">
        <f aca="false">IF(AR1228&lt;=0,"",IF(CC1228="Aussen","Aussenlager",IF(CC1228="-","Nicht im Lift",IF(AW1228&gt;=1,"Lift",IF(AW1228&lt;=0,"Aussenlager","teilweise")))))</f>
        <v>Lift</v>
      </c>
      <c r="BI1228" s="48" t="str">
        <f aca="false">IF(BA1228&lt;=0,"",IF(CC1228="Aussen","Aussenlager",IF(CC1228="-","Nicht im Lift",IF(BF1228&gt;=1,"Lift",IF(BF1228&lt;=0,"Aussenlager","teilweise")))))</f>
        <v>Lift</v>
      </c>
      <c r="BJ1228" s="48" t="str">
        <f aca="false">IF(A1228="","",IF(BS1228=1,"Neu; ","")&amp;IF(AND(BS1228=0,BN1228&lt;0),"negativer Bestand (Export "&amp;BN1228&amp;"); ","")&amp;IF(J1228&lt;=0,"Kein Verbrauch; ","")&amp;IF(CL1228&gt;0,"Lift "&amp;W1228&amp;" lt. Liftbericht (Fach "&amp;X1228&amp;" Stk); ",IF(BX1228=1,"Gebinde geschätzt ("&amp;T1228&amp;"); ",IF(BW1228=1,"Lose – Tablare geschätzt; ","")))&amp;IF(H1228&gt;AT1228,"Überbestand "&amp;ROUND(H1228-AT1228,0)&amp;" Stk / CHF "&amp;ROUND((H1228-AT1228)*G1228,0)&amp;"; ","")&amp;IF(AND(CE1228=1,CF1228&lt;CG1228),"MAX &lt; MB+LG; ","")&amp;IF(AND(CK1228&gt;0,CJ1228*10&gt;CK1228),"zu hoch für Tablar; ","")&amp;IF(AND(BS1228=0,OR(CE1228=1,AA1228&lt;&gt;"",U1228&lt;&gt;"",V1228&lt;&gt;"",AB1228&lt;&gt;"")),"manuell übersteuert; ","")&amp;IF(AND(BW1228=0,R1228=0),"Gebinde unbekannt / Stellmass fehlt; ","")&amp;IF(AND(BW1228=0,N(V1228)&lt;=0,N(Q1228)&lt;=0),"Menge pro Gebinde fehlt (Ist = 1 Gebinde); ","")&amp;BR1228)</f>
        <v>negativer Bestand (Export -26); </v>
      </c>
      <c r="BK1228" s="48"/>
      <c r="BL1228" s="48"/>
      <c r="BM1228" s="55"/>
      <c r="BN1228" s="50" t="n">
        <v>-26</v>
      </c>
      <c r="BO1228" s="50" t="n">
        <v>54</v>
      </c>
      <c r="BP1228" s="49" t="n">
        <v>-623.46</v>
      </c>
      <c r="BQ1228" s="50" t="n">
        <v>43</v>
      </c>
      <c r="BR1228" s="48"/>
      <c r="BS1228" s="53" t="n">
        <v>0</v>
      </c>
      <c r="BT1228" s="53" t="n">
        <v>1228</v>
      </c>
      <c r="BU1228" s="48" t="str">
        <f aca="false">IF(U1228&lt;&gt;"",UPPER(TRIM(U1228)),IF(BX1228=1,UPPER(VLOOKUP(T1228,Parameter!$I$27:$K$29,2,0)),IF(P1228="","LOSE",P1228)))</f>
        <v>S52</v>
      </c>
      <c r="BV1228" s="50" t="n">
        <f aca="false">IF(BU1228="LOSE",1,IF(N(V1228)&gt;0,V1228,IF(BX1228=1,MAX(1,N(VLOOKUP(T1228,Parameter!$I$27:$K$29,3,0)),H1228,N(N1228)),IF(N(Q1228)&gt;0,Q1228,MAX(1,H1228)))))</f>
        <v>40</v>
      </c>
      <c r="BW1228" s="53" t="n">
        <f aca="false">IF(BU1228="LOSE",1,0)</f>
        <v>0</v>
      </c>
      <c r="BX1228" s="53" t="n">
        <f aca="false">IF(AND(U1228="",OR(P1228="",P1228="LOSE"),T1228&lt;&gt;"",N(S1228)&lt;=0,ISNUMBER(MATCH(T1228,Parameter!$I$27:$I$29,0))),1,0)</f>
        <v>0</v>
      </c>
      <c r="BY1228" s="53" t="n">
        <f aca="false">IF(CL1228&gt;0,INDEX(Parameter!$H$5:$H$7,W1228)/INDEX(Parameter!$E$5:$E$7,W1228),IF(AND(BW1228=0,N(IFERROR(VLOOKUP(BU1228,'Gebinde-Kategorie'!$A$5:$N$45,14,0),0))&gt;0),VLOOKUP(BU1228,'Gebinde-Kategorie'!$A$5:$N$45,14,0)*10+Parameter!$M$23,Parameter!$M$24))</f>
        <v>245</v>
      </c>
      <c r="BZ1228" s="48" t="str">
        <f aca="false">IF(AND(Parameter!$B$19="Ja",E1228&lt;&gt;"",ISNUMBER(MATCH(E1228,Parameter!$I$35:$I$52,0))),VLOOKUP(E1228,Parameter!$I$35:$J$52,2,0),IFERROR(VLOOKUP(D1228,Parameter!$A$35:$C$64,2,0),"Nein"))</f>
        <v>2+3</v>
      </c>
      <c r="CA1228" s="52" t="n">
        <f aca="false">IF(BW1228=0,0,IF(N(S1228)&gt;0,S1228,IFERROR(VLOOKUP(D1228,Parameter!$A$35:$C$64,3,0)+0,0)))</f>
        <v>0</v>
      </c>
      <c r="CB1228" s="48" t="n">
        <f aca="false">IF(AA1228&lt;&gt;"",AA1228,Z1228)</f>
        <v>3</v>
      </c>
      <c r="CC1228" s="48" t="str">
        <f aca="false">IF(OR(CB1228=1,CB1228=2,CB1228=3),IF(Parameter!$E$27="Ja","LIFT",IF(CB1228=1,"L1","L23")),IF(CB1228="Aussen","Aussen","-"))</f>
        <v>LIFT</v>
      </c>
      <c r="CD1228" s="59" t="n">
        <f aca="false">IF(N(AB1228)&gt;0,AB1228,0)</f>
        <v>0</v>
      </c>
      <c r="CE1228" s="53" t="n">
        <f aca="false">IF(ISNUMBER(AE1228),1,0)</f>
        <v>0</v>
      </c>
      <c r="CF1228" s="50" t="n">
        <f aca="false">N(AE1228)</f>
        <v>0</v>
      </c>
      <c r="CG1228" s="50" t="n">
        <f aca="false">N(M1228)+N(N1228)</f>
        <v>49</v>
      </c>
      <c r="CH1228" s="50" t="n">
        <f aca="false">ROUNDUP(H1228/BV1228,0)</f>
        <v>1</v>
      </c>
      <c r="CI1228" s="50" t="n">
        <f aca="false">ROUNDUP(CF1228/BV1228,0)</f>
        <v>0</v>
      </c>
      <c r="CJ1228" s="53" t="n">
        <f aca="false">IF(BW1228=1,0,IFERROR(VLOOKUP(BU1228,'Gebinde-Kategorie'!$A$5:$N$45,5,0)+0,0))</f>
        <v>21</v>
      </c>
      <c r="CK1228" s="53" t="n">
        <f aca="false">IFERROR(IF(OR(CB1228=1,CB1228=2,CB1228=3),N(INDEX(Parameter!$I$5:$I$7,CB1228)),0),0)</f>
        <v>0</v>
      </c>
      <c r="CL1228" s="52" t="n">
        <f aca="false">IF(AND(Parameter!$B$21="Ja",ISNUMBER(W1228),N(X1228)&gt;0),IFERROR(N(INDEX(Parameter!$L$5:$L$7,W1228))*INDEX(Parameter!$E$5:$E$7,W1228)*X1228/SUMIFS($X$7:$X$1843,$W$7:$W$1843,W1228),0),0)</f>
        <v>0</v>
      </c>
    </row>
    <row r="1229" customFormat="false" ht="15" hidden="false" customHeight="false" outlineLevel="0" collapsed="false">
      <c r="A1229" s="48" t="s">
        <v>2204</v>
      </c>
      <c r="B1229" s="48" t="s">
        <v>2205</v>
      </c>
      <c r="C1229" s="48" t="s">
        <v>460</v>
      </c>
      <c r="D1229" s="48" t="s">
        <v>177</v>
      </c>
      <c r="E1229" s="48" t="s">
        <v>1483</v>
      </c>
      <c r="F1229" s="48" t="s">
        <v>222</v>
      </c>
      <c r="G1229" s="49" t="n">
        <v>160.38</v>
      </c>
      <c r="H1229" s="50" t="n">
        <f aca="false">MAX(0,IF(AND(Parameter!$B$21="Ja",ISNUMBER(Y1229)),Y1229,IF(Parameter!$B$20="Jahresanfang 2025 + Export",BO1229+BN1229,BN1229)))</f>
        <v>0</v>
      </c>
      <c r="I1229" s="50" t="n">
        <f aca="false">H1229*G1229</f>
        <v>0</v>
      </c>
      <c r="J1229" s="50" t="n">
        <f aca="false">BQ1229*Parameter!$B$18</f>
        <v>0</v>
      </c>
      <c r="K1229" s="51" t="n">
        <v>2</v>
      </c>
      <c r="L1229" s="52" t="n">
        <v>0</v>
      </c>
      <c r="M1229" s="50" t="n">
        <v>0</v>
      </c>
      <c r="N1229" s="50" t="n">
        <v>1</v>
      </c>
      <c r="O1229" s="53" t="n">
        <v>56</v>
      </c>
      <c r="P1229" s="48" t="s">
        <v>172</v>
      </c>
      <c r="Q1229" s="50"/>
      <c r="R1229" s="53" t="n">
        <f aca="false">IF(BW1229=1,0,IFERROR(VLOOKUP(BU1229,'Gebinde-Kategorie'!$A$5:$N$45,13,0)+0,0))</f>
        <v>4</v>
      </c>
      <c r="S1229" s="54"/>
      <c r="T1229" s="55" t="s">
        <v>193</v>
      </c>
      <c r="U1229" s="55"/>
      <c r="V1229" s="55"/>
      <c r="W1229" s="48"/>
      <c r="X1229" s="50"/>
      <c r="Y1229" s="50"/>
      <c r="Z1229" s="48" t="str">
        <f aca="false">IF(A1229="","",IF(AND(Parameter!$B$21="Ja",ISNUMBER(W1229)),W1229,IF(BZ1229="2+3",IF(ISNUMBER(SEARCH("grosser Artikel",BR1229)),2,IFERROR(VLOOKUP(BU1229,Parameter!$F$35:$G$64,2,0),2)),IF(OR(BZ1229="Nein",BZ1229=""),"-",BZ1229))))</f>
        <v>-</v>
      </c>
      <c r="AA1229" s="55"/>
      <c r="AB1229" s="56"/>
      <c r="AC1229" s="50" t="n">
        <f aca="false">AT1229</f>
        <v>2</v>
      </c>
      <c r="AD1229" s="50" t="n">
        <f aca="false">MAX(AT1229,H1229)</f>
        <v>2</v>
      </c>
      <c r="AE1229" s="57"/>
      <c r="AF1229" s="50" t="n">
        <f aca="false">IF(LEFT(Cockpit!$C$5,1)="A",H1229,IF(CE1229=1,CF1229,IF(LEFT(Cockpit!$C$5,1)="B",AK1229,MAX(AK1229,H1229))))</f>
        <v>0</v>
      </c>
      <c r="AG1229" s="50" t="n">
        <f aca="false">IF(BW1229=1,0,ROUNDUP(AF1229/BV1229,0))</f>
        <v>0</v>
      </c>
      <c r="AH1229" s="52" t="n">
        <f aca="false">IF(CL1229&gt;0,CL1229*MAX(1,AF1229/X1229),IF(BW1229=1,IF(AF1229&lt;=0,0,CA1229*MAX(1,IF(H1229&gt;0,AF1229/H1229,1))),IF(R1229&gt;0,AG1229/R1229,0))/MAX(0.1,N(Parameter!$M$21)))</f>
        <v>0</v>
      </c>
      <c r="AI1229" s="50" t="n">
        <f aca="false">AH1229*BY1229</f>
        <v>0</v>
      </c>
      <c r="AJ1229" s="50" t="n">
        <f aca="false">AF1229*G1229</f>
        <v>0</v>
      </c>
      <c r="AK1229" s="50" t="n">
        <f aca="false">ROUNDUP(MAX(J1229/IF(CD1229&gt;0,CD1229,MAX(0.1,N(Cockpit!$C$6))),CG1229)/BV1229,0)*BV1229</f>
        <v>2</v>
      </c>
      <c r="AL1229" s="51" t="n">
        <f aca="false">IF(AI1229&gt;0,J1229/AI1229,-1)</f>
        <v>-1</v>
      </c>
      <c r="AM1229" s="51" t="str">
        <f aca="false">IF(AND(OR(CC1229="L1",CC1229="L23",CC1229="LIFT"),AI1229&gt;0),SUMIFS($AI$7:$AI$1843,$CC$7:$CC$1843,CC1229,$AL$7:$AL$1843,"&gt;"&amp;AL1229)+SUMIFS($AI$7:$AI$1843,$CC$7:$CC$1843,CC1229,$AL$7:$AL$1843,AL1229,$BT$7:$BT$1843,"&lt;="&amp;BT1229),"")</f>
        <v/>
      </c>
      <c r="AN1229" s="58" t="n">
        <f aca="false">IF(AM1229="",0,MAX(0,MIN(1,(IF(CC1229="L1",Parameter!$H$5,IF(CC1229="L23",Parameter!$H$6+Parameter!$H$7,Parameter!$H$5+Parameter!$H$6+Parameter!$H$7))-(AM1229-AI1229))/AI1229)))</f>
        <v>0</v>
      </c>
      <c r="AO1229" s="50" t="n">
        <f aca="false">IF(LEFT(Cockpit!$I$5,1)="A",H1229,IF(CE1229=1,CF1229,IF(LEFT(Cockpit!$I$5,1)="B",AT1229,MAX(AT1229,H1229))))</f>
        <v>2</v>
      </c>
      <c r="AP1229" s="50" t="n">
        <f aca="false">IF(BW1229=1,0,ROUNDUP(AO1229/BV1229,0))</f>
        <v>1</v>
      </c>
      <c r="AQ1229" s="52" t="n">
        <f aca="false">IF(CL1229&gt;0,CL1229*MAX(1,AO1229/X1229),IF(BW1229=1,IF(AO1229&lt;=0,0,CA1229*MAX(1,IF(H1229&gt;0,AO1229/H1229,1))),IF(R1229&gt;0,AP1229/R1229,0))/MAX(0.1,N(Parameter!$M$21)))</f>
        <v>0.25</v>
      </c>
      <c r="AR1229" s="50" t="n">
        <f aca="false">AQ1229*BY1229</f>
        <v>58.75</v>
      </c>
      <c r="AS1229" s="50" t="n">
        <f aca="false">AO1229*G1229</f>
        <v>320.76</v>
      </c>
      <c r="AT1229" s="50" t="n">
        <f aca="false">ROUNDUP(MAX(J1229/IF(CD1229&gt;0,CD1229,MAX(0.1,N(Cockpit!$I$6))),CG1229)/BV1229,0)*BV1229</f>
        <v>2</v>
      </c>
      <c r="AU1229" s="51" t="n">
        <f aca="false">IF(AR1229&gt;0,J1229/AR1229,-1)</f>
        <v>0</v>
      </c>
      <c r="AV1229" s="51" t="str">
        <f aca="false">IF(AND(OR(CC1229="L1",CC1229="L23",CC1229="LIFT"),AR1229&gt;0),SUMIFS($AR$7:$AR$1843,$CC$7:$CC$1843,CC1229,$AU$7:$AU$1843,"&gt;"&amp;AU1229)+SUMIFS($AR$7:$AR$1843,$CC$7:$CC$1843,CC1229,$AU$7:$AU$1843,AU1229,$BT$7:$BT$1843,"&lt;="&amp;BT1229),"")</f>
        <v/>
      </c>
      <c r="AW1229" s="58" t="n">
        <f aca="false">IF(AV1229="",0,MAX(0,MIN(1,(IF(CC1229="L1",Parameter!$H$5,IF(CC1229="L23",Parameter!$H$6+Parameter!$H$7,Parameter!$H$5+Parameter!$H$6+Parameter!$H$7))-(AV1229-AR1229))/AR1229)))</f>
        <v>0</v>
      </c>
      <c r="AX1229" s="50" t="n">
        <f aca="false">IF(LEFT(Cockpit!$O$5,1)="A",H1229,IF(CE1229=1,CF1229,IF(LEFT(Cockpit!$O$5,1)="B",BC1229,MAX(BC1229,H1229))))</f>
        <v>2</v>
      </c>
      <c r="AY1229" s="50" t="n">
        <f aca="false">IF(BW1229=1,0,ROUNDUP(AX1229/BV1229,0))</f>
        <v>1</v>
      </c>
      <c r="AZ1229" s="52" t="n">
        <f aca="false">IF(CL1229&gt;0,CL1229*MAX(1,AX1229/X1229),IF(BW1229=1,IF(AX1229&lt;=0,0,CA1229*MAX(1,IF(H1229&gt;0,AX1229/H1229,1))),IF(R1229&gt;0,AY1229/R1229,0))/MAX(0.1,N(Parameter!$M$21)))</f>
        <v>0.25</v>
      </c>
      <c r="BA1229" s="50" t="n">
        <f aca="false">AZ1229*BY1229</f>
        <v>58.75</v>
      </c>
      <c r="BB1229" s="50" t="n">
        <f aca="false">AX1229*G1229</f>
        <v>320.76</v>
      </c>
      <c r="BC1229" s="50" t="n">
        <f aca="false">ROUNDUP(MAX(J1229/IF(CD1229&gt;0,CD1229,MAX(0.1,N(Cockpit!$O$6))),CG1229)/BV1229,0)*BV1229</f>
        <v>2</v>
      </c>
      <c r="BD1229" s="51" t="n">
        <f aca="false">IF(BA1229&gt;0,J1229/BA1229,-1)</f>
        <v>0</v>
      </c>
      <c r="BE1229" s="51" t="str">
        <f aca="false">IF(AND(OR(CC1229="L1",CC1229="L23",CC1229="LIFT"),BA1229&gt;0),SUMIFS($BA$7:$BA$1843,$CC$7:$CC$1843,CC1229,$BD$7:$BD$1843,"&gt;"&amp;BD1229)+SUMIFS($BA$7:$BA$1843,$CC$7:$CC$1843,CC1229,$BD$7:$BD$1843,BD1229,$BT$7:$BT$1843,"&lt;="&amp;BT1229),"")</f>
        <v/>
      </c>
      <c r="BF1229" s="58" t="n">
        <f aca="false">IF(BE1229="",0,MAX(0,MIN(1,(IF(CC1229="L1",Parameter!$H$5,IF(CC1229="L23",Parameter!$H$6+Parameter!$H$7,Parameter!$H$5+Parameter!$H$6+Parameter!$H$7))-(BE1229-BA1229))/BA1229)))</f>
        <v>0</v>
      </c>
      <c r="BG1229" s="48" t="str">
        <f aca="false">IF(AI1229&lt;=0,"",IF(CC1229="Aussen","Aussenlager",IF(CC1229="-","Nicht im Lift",IF(AN1229&gt;=1,"Lift",IF(AN1229&lt;=0,"Aussenlager","teilweise")))))</f>
        <v/>
      </c>
      <c r="BH1229" s="48" t="str">
        <f aca="false">IF(AR1229&lt;=0,"",IF(CC1229="Aussen","Aussenlager",IF(CC1229="-","Nicht im Lift",IF(AW1229&gt;=1,"Lift",IF(AW1229&lt;=0,"Aussenlager","teilweise")))))</f>
        <v>Nicht im Lift</v>
      </c>
      <c r="BI1229" s="48" t="str">
        <f aca="false">IF(BA1229&lt;=0,"",IF(CC1229="Aussen","Aussenlager",IF(CC1229="-","Nicht im Lift",IF(BF1229&gt;=1,"Lift",IF(BF1229&lt;=0,"Aussenlager","teilweise")))))</f>
        <v>Nicht im Lift</v>
      </c>
      <c r="BJ1229" s="48" t="str">
        <f aca="false">IF(A1229="","",IF(BS1229=1,"Neu; ","")&amp;IF(AND(BS1229=0,BN1229&lt;0),"negativer Bestand (Export "&amp;BN1229&amp;"); ","")&amp;IF(J1229&lt;=0,"Kein Verbrauch; ","")&amp;IF(CL1229&gt;0,"Lift "&amp;W1229&amp;" lt. Liftbericht (Fach "&amp;X1229&amp;" Stk); ",IF(BX1229=1,"Gebinde geschätzt ("&amp;T1229&amp;"); ",IF(BW1229=1,"Lose – Tablare geschätzt; ","")))&amp;IF(H1229&gt;AT1229,"Überbestand "&amp;ROUND(H1229-AT1229,0)&amp;" Stk / CHF "&amp;ROUND((H1229-AT1229)*G1229,0)&amp;"; ","")&amp;IF(AND(CE1229=1,CF1229&lt;CG1229),"MAX &lt; MB+LG; ","")&amp;IF(AND(CK1229&gt;0,CJ1229*10&gt;CK1229),"zu hoch für Tablar; ","")&amp;IF(AND(BS1229=0,OR(CE1229=1,AA1229&lt;&gt;"",U1229&lt;&gt;"",V1229&lt;&gt;"",AB1229&lt;&gt;"")),"manuell übersteuert; ","")&amp;IF(AND(BW1229=0,R1229=0),"Gebinde unbekannt / Stellmass fehlt; ","")&amp;IF(AND(BW1229=0,N(V1229)&lt;=0,N(Q1229)&lt;=0),"Menge pro Gebinde fehlt (Ist = 1 Gebinde); ","")&amp;BR1229)</f>
        <v>negativer Bestand (Export -4); Kein Verbrauch; Gebinde geschätzt (Gross); Menge pro Gebinde fehlt (Ist = 1 Gebinde); </v>
      </c>
      <c r="BK1229" s="48"/>
      <c r="BL1229" s="48"/>
      <c r="BM1229" s="55"/>
      <c r="BN1229" s="50" t="n">
        <v>-4</v>
      </c>
      <c r="BO1229" s="50" t="n">
        <v>4</v>
      </c>
      <c r="BP1229" s="49" t="n">
        <v>-641.52</v>
      </c>
      <c r="BQ1229" s="50" t="n">
        <v>0</v>
      </c>
      <c r="BR1229" s="48"/>
      <c r="BS1229" s="53" t="n">
        <v>0</v>
      </c>
      <c r="BT1229" s="53" t="n">
        <v>1229</v>
      </c>
      <c r="BU1229" s="48" t="str">
        <f aca="false">IF(U1229&lt;&gt;"",UPPER(TRIM(U1229)),IF(BX1229=1,UPPER(VLOOKUP(T1229,Parameter!$I$27:$K$29,2,0)),IF(P1229="","LOSE",P1229)))</f>
        <v>S81</v>
      </c>
      <c r="BV1229" s="50" t="n">
        <f aca="false">IF(BU1229="LOSE",1,IF(N(V1229)&gt;0,V1229,IF(BX1229=1,MAX(1,N(VLOOKUP(T1229,Parameter!$I$27:$K$29,3,0)),H1229,N(N1229)),IF(N(Q1229)&gt;0,Q1229,MAX(1,H1229)))))</f>
        <v>2</v>
      </c>
      <c r="BW1229" s="53" t="n">
        <f aca="false">IF(BU1229="LOSE",1,0)</f>
        <v>0</v>
      </c>
      <c r="BX1229" s="53" t="n">
        <f aca="false">IF(AND(U1229="",OR(P1229="",P1229="LOSE"),T1229&lt;&gt;"",N(S1229)&lt;=0,ISNUMBER(MATCH(T1229,Parameter!$I$27:$I$29,0))),1,0)</f>
        <v>1</v>
      </c>
      <c r="BY1229" s="53" t="n">
        <f aca="false">IF(CL1229&gt;0,INDEX(Parameter!$H$5:$H$7,W1229)/INDEX(Parameter!$E$5:$E$7,W1229),IF(AND(BW1229=0,N(IFERROR(VLOOKUP(BU1229,'Gebinde-Kategorie'!$A$5:$N$45,14,0),0))&gt;0),VLOOKUP(BU1229,'Gebinde-Kategorie'!$A$5:$N$45,14,0)*10+Parameter!$M$23,Parameter!$M$24))</f>
        <v>235</v>
      </c>
      <c r="BZ1229" s="48" t="str">
        <f aca="false">IF(AND(Parameter!$B$19="Ja",E1229&lt;&gt;"",ISNUMBER(MATCH(E1229,Parameter!$I$35:$I$52,0))),VLOOKUP(E1229,Parameter!$I$35:$J$52,2,0),IFERROR(VLOOKUP(D1229,Parameter!$A$35:$C$64,2,0),"Nein"))</f>
        <v>Nein</v>
      </c>
      <c r="CA1229" s="52" t="n">
        <f aca="false">IF(BW1229=0,0,IF(N(S1229)&gt;0,S1229,IFERROR(VLOOKUP(D1229,Parameter!$A$35:$C$64,3,0)+0,0)))</f>
        <v>0</v>
      </c>
      <c r="CB1229" s="48" t="str">
        <f aca="false">IF(AA1229&lt;&gt;"",AA1229,Z1229)</f>
        <v>-</v>
      </c>
      <c r="CC1229" s="48" t="str">
        <f aca="false">IF(OR(CB1229=1,CB1229=2,CB1229=3),IF(Parameter!$E$27="Ja","LIFT",IF(CB1229=1,"L1","L23")),IF(CB1229="Aussen","Aussen","-"))</f>
        <v>-</v>
      </c>
      <c r="CD1229" s="59" t="n">
        <f aca="false">IF(N(AB1229)&gt;0,AB1229,0)</f>
        <v>0</v>
      </c>
      <c r="CE1229" s="53" t="n">
        <f aca="false">IF(ISNUMBER(AE1229),1,0)</f>
        <v>0</v>
      </c>
      <c r="CF1229" s="50" t="n">
        <f aca="false">N(AE1229)</f>
        <v>0</v>
      </c>
      <c r="CG1229" s="50" t="n">
        <f aca="false">N(M1229)+N(N1229)</f>
        <v>1</v>
      </c>
      <c r="CH1229" s="50" t="n">
        <f aca="false">ROUNDUP(H1229/BV1229,0)</f>
        <v>0</v>
      </c>
      <c r="CI1229" s="50" t="n">
        <f aca="false">ROUNDUP(CF1229/BV1229,0)</f>
        <v>0</v>
      </c>
      <c r="CJ1229" s="53" t="n">
        <f aca="false">IF(BW1229=1,0,IFERROR(VLOOKUP(BU1229,'Gebinde-Kategorie'!$A$5:$N$45,5,0)+0,0))</f>
        <v>20</v>
      </c>
      <c r="CK1229" s="53" t="n">
        <f aca="false">IFERROR(IF(OR(CB1229=1,CB1229=2,CB1229=3),N(INDEX(Parameter!$I$5:$I$7,CB1229)),0),0)</f>
        <v>0</v>
      </c>
      <c r="CL1229" s="52" t="n">
        <f aca="false">IF(AND(Parameter!$B$21="Ja",ISNUMBER(W1229),N(X1229)&gt;0),IFERROR(N(INDEX(Parameter!$L$5:$L$7,W1229))*INDEX(Parameter!$E$5:$E$7,W1229)*X1229/SUMIFS($X$7:$X$1843,$W$7:$W$1843,W1229),0),0)</f>
        <v>0</v>
      </c>
    </row>
    <row r="1230" customFormat="false" ht="15" hidden="false" customHeight="false" outlineLevel="0" collapsed="false">
      <c r="A1230" s="48" t="s">
        <v>2206</v>
      </c>
      <c r="B1230" s="48" t="s">
        <v>2207</v>
      </c>
      <c r="C1230" s="48" t="s">
        <v>460</v>
      </c>
      <c r="D1230" s="48" t="s">
        <v>177</v>
      </c>
      <c r="E1230" s="48" t="s">
        <v>1483</v>
      </c>
      <c r="F1230" s="48" t="s">
        <v>222</v>
      </c>
      <c r="G1230" s="49" t="n">
        <v>160.8</v>
      </c>
      <c r="H1230" s="50" t="n">
        <f aca="false">MAX(0,IF(AND(Parameter!$B$21="Ja",ISNUMBER(Y1230)),Y1230,IF(Parameter!$B$20="Jahresanfang 2025 + Export",BO1230+BN1230,BN1230)))</f>
        <v>0</v>
      </c>
      <c r="I1230" s="50" t="n">
        <f aca="false">H1230*G1230</f>
        <v>0</v>
      </c>
      <c r="J1230" s="50" t="n">
        <f aca="false">BQ1230*Parameter!$B$18</f>
        <v>0</v>
      </c>
      <c r="K1230" s="51" t="n">
        <v>2</v>
      </c>
      <c r="L1230" s="52" t="n">
        <v>0</v>
      </c>
      <c r="M1230" s="50" t="n">
        <v>0</v>
      </c>
      <c r="N1230" s="50" t="n">
        <v>1</v>
      </c>
      <c r="O1230" s="53" t="n">
        <v>56</v>
      </c>
      <c r="P1230" s="48" t="s">
        <v>172</v>
      </c>
      <c r="Q1230" s="50"/>
      <c r="R1230" s="53" t="n">
        <f aca="false">IF(BW1230=1,0,IFERROR(VLOOKUP(BU1230,'Gebinde-Kategorie'!$A$5:$N$45,13,0)+0,0))</f>
        <v>4</v>
      </c>
      <c r="S1230" s="54"/>
      <c r="T1230" s="55" t="s">
        <v>193</v>
      </c>
      <c r="U1230" s="55"/>
      <c r="V1230" s="55"/>
      <c r="W1230" s="48"/>
      <c r="X1230" s="50"/>
      <c r="Y1230" s="50"/>
      <c r="Z1230" s="48" t="str">
        <f aca="false">IF(A1230="","",IF(AND(Parameter!$B$21="Ja",ISNUMBER(W1230)),W1230,IF(BZ1230="2+3",IF(ISNUMBER(SEARCH("grosser Artikel",BR1230)),2,IFERROR(VLOOKUP(BU1230,Parameter!$F$35:$G$64,2,0),2)),IF(OR(BZ1230="Nein",BZ1230=""),"-",BZ1230))))</f>
        <v>-</v>
      </c>
      <c r="AA1230" s="55"/>
      <c r="AB1230" s="56"/>
      <c r="AC1230" s="50" t="n">
        <f aca="false">AT1230</f>
        <v>2</v>
      </c>
      <c r="AD1230" s="50" t="n">
        <f aca="false">MAX(AT1230,H1230)</f>
        <v>2</v>
      </c>
      <c r="AE1230" s="57"/>
      <c r="AF1230" s="50" t="n">
        <f aca="false">IF(LEFT(Cockpit!$C$5,1)="A",H1230,IF(CE1230=1,CF1230,IF(LEFT(Cockpit!$C$5,1)="B",AK1230,MAX(AK1230,H1230))))</f>
        <v>0</v>
      </c>
      <c r="AG1230" s="50" t="n">
        <f aca="false">IF(BW1230=1,0,ROUNDUP(AF1230/BV1230,0))</f>
        <v>0</v>
      </c>
      <c r="AH1230" s="52" t="n">
        <f aca="false">IF(CL1230&gt;0,CL1230*MAX(1,AF1230/X1230),IF(BW1230=1,IF(AF1230&lt;=0,0,CA1230*MAX(1,IF(H1230&gt;0,AF1230/H1230,1))),IF(R1230&gt;0,AG1230/R1230,0))/MAX(0.1,N(Parameter!$M$21)))</f>
        <v>0</v>
      </c>
      <c r="AI1230" s="50" t="n">
        <f aca="false">AH1230*BY1230</f>
        <v>0</v>
      </c>
      <c r="AJ1230" s="50" t="n">
        <f aca="false">AF1230*G1230</f>
        <v>0</v>
      </c>
      <c r="AK1230" s="50" t="n">
        <f aca="false">ROUNDUP(MAX(J1230/IF(CD1230&gt;0,CD1230,MAX(0.1,N(Cockpit!$C$6))),CG1230)/BV1230,0)*BV1230</f>
        <v>2</v>
      </c>
      <c r="AL1230" s="51" t="n">
        <f aca="false">IF(AI1230&gt;0,J1230/AI1230,-1)</f>
        <v>-1</v>
      </c>
      <c r="AM1230" s="51" t="str">
        <f aca="false">IF(AND(OR(CC1230="L1",CC1230="L23",CC1230="LIFT"),AI1230&gt;0),SUMIFS($AI$7:$AI$1843,$CC$7:$CC$1843,CC1230,$AL$7:$AL$1843,"&gt;"&amp;AL1230)+SUMIFS($AI$7:$AI$1843,$CC$7:$CC$1843,CC1230,$AL$7:$AL$1843,AL1230,$BT$7:$BT$1843,"&lt;="&amp;BT1230),"")</f>
        <v/>
      </c>
      <c r="AN1230" s="58" t="n">
        <f aca="false">IF(AM1230="",0,MAX(0,MIN(1,(IF(CC1230="L1",Parameter!$H$5,IF(CC1230="L23",Parameter!$H$6+Parameter!$H$7,Parameter!$H$5+Parameter!$H$6+Parameter!$H$7))-(AM1230-AI1230))/AI1230)))</f>
        <v>0</v>
      </c>
      <c r="AO1230" s="50" t="n">
        <f aca="false">IF(LEFT(Cockpit!$I$5,1)="A",H1230,IF(CE1230=1,CF1230,IF(LEFT(Cockpit!$I$5,1)="B",AT1230,MAX(AT1230,H1230))))</f>
        <v>2</v>
      </c>
      <c r="AP1230" s="50" t="n">
        <f aca="false">IF(BW1230=1,0,ROUNDUP(AO1230/BV1230,0))</f>
        <v>1</v>
      </c>
      <c r="AQ1230" s="52" t="n">
        <f aca="false">IF(CL1230&gt;0,CL1230*MAX(1,AO1230/X1230),IF(BW1230=1,IF(AO1230&lt;=0,0,CA1230*MAX(1,IF(H1230&gt;0,AO1230/H1230,1))),IF(R1230&gt;0,AP1230/R1230,0))/MAX(0.1,N(Parameter!$M$21)))</f>
        <v>0.25</v>
      </c>
      <c r="AR1230" s="50" t="n">
        <f aca="false">AQ1230*BY1230</f>
        <v>58.75</v>
      </c>
      <c r="AS1230" s="50" t="n">
        <f aca="false">AO1230*G1230</f>
        <v>321.6</v>
      </c>
      <c r="AT1230" s="50" t="n">
        <f aca="false">ROUNDUP(MAX(J1230/IF(CD1230&gt;0,CD1230,MAX(0.1,N(Cockpit!$I$6))),CG1230)/BV1230,0)*BV1230</f>
        <v>2</v>
      </c>
      <c r="AU1230" s="51" t="n">
        <f aca="false">IF(AR1230&gt;0,J1230/AR1230,-1)</f>
        <v>0</v>
      </c>
      <c r="AV1230" s="51" t="str">
        <f aca="false">IF(AND(OR(CC1230="L1",CC1230="L23",CC1230="LIFT"),AR1230&gt;0),SUMIFS($AR$7:$AR$1843,$CC$7:$CC$1843,CC1230,$AU$7:$AU$1843,"&gt;"&amp;AU1230)+SUMIFS($AR$7:$AR$1843,$CC$7:$CC$1843,CC1230,$AU$7:$AU$1843,AU1230,$BT$7:$BT$1843,"&lt;="&amp;BT1230),"")</f>
        <v/>
      </c>
      <c r="AW1230" s="58" t="n">
        <f aca="false">IF(AV1230="",0,MAX(0,MIN(1,(IF(CC1230="L1",Parameter!$H$5,IF(CC1230="L23",Parameter!$H$6+Parameter!$H$7,Parameter!$H$5+Parameter!$H$6+Parameter!$H$7))-(AV1230-AR1230))/AR1230)))</f>
        <v>0</v>
      </c>
      <c r="AX1230" s="50" t="n">
        <f aca="false">IF(LEFT(Cockpit!$O$5,1)="A",H1230,IF(CE1230=1,CF1230,IF(LEFT(Cockpit!$O$5,1)="B",BC1230,MAX(BC1230,H1230))))</f>
        <v>2</v>
      </c>
      <c r="AY1230" s="50" t="n">
        <f aca="false">IF(BW1230=1,0,ROUNDUP(AX1230/BV1230,0))</f>
        <v>1</v>
      </c>
      <c r="AZ1230" s="52" t="n">
        <f aca="false">IF(CL1230&gt;0,CL1230*MAX(1,AX1230/X1230),IF(BW1230=1,IF(AX1230&lt;=0,0,CA1230*MAX(1,IF(H1230&gt;0,AX1230/H1230,1))),IF(R1230&gt;0,AY1230/R1230,0))/MAX(0.1,N(Parameter!$M$21)))</f>
        <v>0.25</v>
      </c>
      <c r="BA1230" s="50" t="n">
        <f aca="false">AZ1230*BY1230</f>
        <v>58.75</v>
      </c>
      <c r="BB1230" s="50" t="n">
        <f aca="false">AX1230*G1230</f>
        <v>321.6</v>
      </c>
      <c r="BC1230" s="50" t="n">
        <f aca="false">ROUNDUP(MAX(J1230/IF(CD1230&gt;0,CD1230,MAX(0.1,N(Cockpit!$O$6))),CG1230)/BV1230,0)*BV1230</f>
        <v>2</v>
      </c>
      <c r="BD1230" s="51" t="n">
        <f aca="false">IF(BA1230&gt;0,J1230/BA1230,-1)</f>
        <v>0</v>
      </c>
      <c r="BE1230" s="51" t="str">
        <f aca="false">IF(AND(OR(CC1230="L1",CC1230="L23",CC1230="LIFT"),BA1230&gt;0),SUMIFS($BA$7:$BA$1843,$CC$7:$CC$1843,CC1230,$BD$7:$BD$1843,"&gt;"&amp;BD1230)+SUMIFS($BA$7:$BA$1843,$CC$7:$CC$1843,CC1230,$BD$7:$BD$1843,BD1230,$BT$7:$BT$1843,"&lt;="&amp;BT1230),"")</f>
        <v/>
      </c>
      <c r="BF1230" s="58" t="n">
        <f aca="false">IF(BE1230="",0,MAX(0,MIN(1,(IF(CC1230="L1",Parameter!$H$5,IF(CC1230="L23",Parameter!$H$6+Parameter!$H$7,Parameter!$H$5+Parameter!$H$6+Parameter!$H$7))-(BE1230-BA1230))/BA1230)))</f>
        <v>0</v>
      </c>
      <c r="BG1230" s="48" t="str">
        <f aca="false">IF(AI1230&lt;=0,"",IF(CC1230="Aussen","Aussenlager",IF(CC1230="-","Nicht im Lift",IF(AN1230&gt;=1,"Lift",IF(AN1230&lt;=0,"Aussenlager","teilweise")))))</f>
        <v/>
      </c>
      <c r="BH1230" s="48" t="str">
        <f aca="false">IF(AR1230&lt;=0,"",IF(CC1230="Aussen","Aussenlager",IF(CC1230="-","Nicht im Lift",IF(AW1230&gt;=1,"Lift",IF(AW1230&lt;=0,"Aussenlager","teilweise")))))</f>
        <v>Nicht im Lift</v>
      </c>
      <c r="BI1230" s="48" t="str">
        <f aca="false">IF(BA1230&lt;=0,"",IF(CC1230="Aussen","Aussenlager",IF(CC1230="-","Nicht im Lift",IF(BF1230&gt;=1,"Lift",IF(BF1230&lt;=0,"Aussenlager","teilweise")))))</f>
        <v>Nicht im Lift</v>
      </c>
      <c r="BJ1230" s="48" t="str">
        <f aca="false">IF(A1230="","",IF(BS1230=1,"Neu; ","")&amp;IF(AND(BS1230=0,BN1230&lt;0),"negativer Bestand (Export "&amp;BN1230&amp;"); ","")&amp;IF(J1230&lt;=0,"Kein Verbrauch; ","")&amp;IF(CL1230&gt;0,"Lift "&amp;W1230&amp;" lt. Liftbericht (Fach "&amp;X1230&amp;" Stk); ",IF(BX1230=1,"Gebinde geschätzt ("&amp;T1230&amp;"); ",IF(BW1230=1,"Lose – Tablare geschätzt; ","")))&amp;IF(H1230&gt;AT1230,"Überbestand "&amp;ROUND(H1230-AT1230,0)&amp;" Stk / CHF "&amp;ROUND((H1230-AT1230)*G1230,0)&amp;"; ","")&amp;IF(AND(CE1230=1,CF1230&lt;CG1230),"MAX &lt; MB+LG; ","")&amp;IF(AND(CK1230&gt;0,CJ1230*10&gt;CK1230),"zu hoch für Tablar; ","")&amp;IF(AND(BS1230=0,OR(CE1230=1,AA1230&lt;&gt;"",U1230&lt;&gt;"",V1230&lt;&gt;"",AB1230&lt;&gt;"")),"manuell übersteuert; ","")&amp;IF(AND(BW1230=0,R1230=0),"Gebinde unbekannt / Stellmass fehlt; ","")&amp;IF(AND(BW1230=0,N(V1230)&lt;=0,N(Q1230)&lt;=0),"Menge pro Gebinde fehlt (Ist = 1 Gebinde); ","")&amp;BR1230)</f>
        <v>negativer Bestand (Export -4); Kein Verbrauch; Gebinde geschätzt (Gross); Menge pro Gebinde fehlt (Ist = 1 Gebinde); </v>
      </c>
      <c r="BK1230" s="48"/>
      <c r="BL1230" s="48"/>
      <c r="BM1230" s="55"/>
      <c r="BN1230" s="50" t="n">
        <v>-4</v>
      </c>
      <c r="BO1230" s="50" t="n">
        <v>4</v>
      </c>
      <c r="BP1230" s="49" t="n">
        <v>-643.2</v>
      </c>
      <c r="BQ1230" s="50" t="n">
        <v>0</v>
      </c>
      <c r="BR1230" s="48"/>
      <c r="BS1230" s="53" t="n">
        <v>0</v>
      </c>
      <c r="BT1230" s="53" t="n">
        <v>1230</v>
      </c>
      <c r="BU1230" s="48" t="str">
        <f aca="false">IF(U1230&lt;&gt;"",UPPER(TRIM(U1230)),IF(BX1230=1,UPPER(VLOOKUP(T1230,Parameter!$I$27:$K$29,2,0)),IF(P1230="","LOSE",P1230)))</f>
        <v>S81</v>
      </c>
      <c r="BV1230" s="50" t="n">
        <f aca="false">IF(BU1230="LOSE",1,IF(N(V1230)&gt;0,V1230,IF(BX1230=1,MAX(1,N(VLOOKUP(T1230,Parameter!$I$27:$K$29,3,0)),H1230,N(N1230)),IF(N(Q1230)&gt;0,Q1230,MAX(1,H1230)))))</f>
        <v>2</v>
      </c>
      <c r="BW1230" s="53" t="n">
        <f aca="false">IF(BU1230="LOSE",1,0)</f>
        <v>0</v>
      </c>
      <c r="BX1230" s="53" t="n">
        <f aca="false">IF(AND(U1230="",OR(P1230="",P1230="LOSE"),T1230&lt;&gt;"",N(S1230)&lt;=0,ISNUMBER(MATCH(T1230,Parameter!$I$27:$I$29,0))),1,0)</f>
        <v>1</v>
      </c>
      <c r="BY1230" s="53" t="n">
        <f aca="false">IF(CL1230&gt;0,INDEX(Parameter!$H$5:$H$7,W1230)/INDEX(Parameter!$E$5:$E$7,W1230),IF(AND(BW1230=0,N(IFERROR(VLOOKUP(BU1230,'Gebinde-Kategorie'!$A$5:$N$45,14,0),0))&gt;0),VLOOKUP(BU1230,'Gebinde-Kategorie'!$A$5:$N$45,14,0)*10+Parameter!$M$23,Parameter!$M$24))</f>
        <v>235</v>
      </c>
      <c r="BZ1230" s="48" t="str">
        <f aca="false">IF(AND(Parameter!$B$19="Ja",E1230&lt;&gt;"",ISNUMBER(MATCH(E1230,Parameter!$I$35:$I$52,0))),VLOOKUP(E1230,Parameter!$I$35:$J$52,2,0),IFERROR(VLOOKUP(D1230,Parameter!$A$35:$C$64,2,0),"Nein"))</f>
        <v>Nein</v>
      </c>
      <c r="CA1230" s="52" t="n">
        <f aca="false">IF(BW1230=0,0,IF(N(S1230)&gt;0,S1230,IFERROR(VLOOKUP(D1230,Parameter!$A$35:$C$64,3,0)+0,0)))</f>
        <v>0</v>
      </c>
      <c r="CB1230" s="48" t="str">
        <f aca="false">IF(AA1230&lt;&gt;"",AA1230,Z1230)</f>
        <v>-</v>
      </c>
      <c r="CC1230" s="48" t="str">
        <f aca="false">IF(OR(CB1230=1,CB1230=2,CB1230=3),IF(Parameter!$E$27="Ja","LIFT",IF(CB1230=1,"L1","L23")),IF(CB1230="Aussen","Aussen","-"))</f>
        <v>-</v>
      </c>
      <c r="CD1230" s="59" t="n">
        <f aca="false">IF(N(AB1230)&gt;0,AB1230,0)</f>
        <v>0</v>
      </c>
      <c r="CE1230" s="53" t="n">
        <f aca="false">IF(ISNUMBER(AE1230),1,0)</f>
        <v>0</v>
      </c>
      <c r="CF1230" s="50" t="n">
        <f aca="false">N(AE1230)</f>
        <v>0</v>
      </c>
      <c r="CG1230" s="50" t="n">
        <f aca="false">N(M1230)+N(N1230)</f>
        <v>1</v>
      </c>
      <c r="CH1230" s="50" t="n">
        <f aca="false">ROUNDUP(H1230/BV1230,0)</f>
        <v>0</v>
      </c>
      <c r="CI1230" s="50" t="n">
        <f aca="false">ROUNDUP(CF1230/BV1230,0)</f>
        <v>0</v>
      </c>
      <c r="CJ1230" s="53" t="n">
        <f aca="false">IF(BW1230=1,0,IFERROR(VLOOKUP(BU1230,'Gebinde-Kategorie'!$A$5:$N$45,5,0)+0,0))</f>
        <v>20</v>
      </c>
      <c r="CK1230" s="53" t="n">
        <f aca="false">IFERROR(IF(OR(CB1230=1,CB1230=2,CB1230=3),N(INDEX(Parameter!$I$5:$I$7,CB1230)),0),0)</f>
        <v>0</v>
      </c>
      <c r="CL1230" s="52" t="n">
        <f aca="false">IF(AND(Parameter!$B$21="Ja",ISNUMBER(W1230),N(X1230)&gt;0),IFERROR(N(INDEX(Parameter!$L$5:$L$7,W1230))*INDEX(Parameter!$E$5:$E$7,W1230)*X1230/SUMIFS($X$7:$X$1843,$W$7:$W$1843,W1230),0),0)</f>
        <v>0</v>
      </c>
    </row>
    <row r="1231" customFormat="false" ht="15" hidden="false" customHeight="false" outlineLevel="0" collapsed="false">
      <c r="A1231" s="48" t="s">
        <v>2208</v>
      </c>
      <c r="B1231" s="48" t="s">
        <v>1122</v>
      </c>
      <c r="C1231" s="48" t="s">
        <v>168</v>
      </c>
      <c r="D1231" s="48" t="s">
        <v>188</v>
      </c>
      <c r="E1231" s="48" t="s">
        <v>189</v>
      </c>
      <c r="F1231" s="48" t="s">
        <v>222</v>
      </c>
      <c r="G1231" s="49" t="n">
        <v>36.02</v>
      </c>
      <c r="H1231" s="50" t="n">
        <f aca="false">MAX(0,IF(AND(Parameter!$B$21="Ja",ISNUMBER(Y1231)),Y1231,IF(Parameter!$B$20="Jahresanfang 2025 + Export",BO1231+BN1231,BN1231)))</f>
        <v>45</v>
      </c>
      <c r="I1231" s="50" t="n">
        <f aca="false">H1231*G1231</f>
        <v>1620.9</v>
      </c>
      <c r="J1231" s="50" t="n">
        <f aca="false">BQ1231*Parameter!$B$18</f>
        <v>2</v>
      </c>
      <c r="K1231" s="51" t="n">
        <v>54.5</v>
      </c>
      <c r="L1231" s="52" t="n">
        <v>0.036697247706422</v>
      </c>
      <c r="M1231" s="50" t="n">
        <v>0</v>
      </c>
      <c r="N1231" s="50" t="n">
        <v>1</v>
      </c>
      <c r="O1231" s="53" t="n">
        <v>56</v>
      </c>
      <c r="P1231" s="48" t="s">
        <v>237</v>
      </c>
      <c r="Q1231" s="50" t="n">
        <v>13</v>
      </c>
      <c r="R1231" s="53" t="n">
        <f aca="false">IF(BW1231=1,0,IFERROR(VLOOKUP(BU1231,'Gebinde-Kategorie'!$A$5:$N$45,13,0)+0,0))</f>
        <v>26</v>
      </c>
      <c r="S1231" s="54"/>
      <c r="T1231" s="55"/>
      <c r="U1231" s="55"/>
      <c r="V1231" s="55"/>
      <c r="W1231" s="48"/>
      <c r="X1231" s="50"/>
      <c r="Y1231" s="50"/>
      <c r="Z1231" s="48" t="n">
        <f aca="false">IF(A1231="","",IF(AND(Parameter!$B$21="Ja",ISNUMBER(W1231)),W1231,IF(BZ1231="2+3",IF(ISNUMBER(SEARCH("grosser Artikel",BR1231)),2,IFERROR(VLOOKUP(BU1231,Parameter!$F$35:$G$64,2,0),2)),IF(OR(BZ1231="Nein",BZ1231=""),"-",BZ1231))))</f>
        <v>3</v>
      </c>
      <c r="AA1231" s="55"/>
      <c r="AB1231" s="56"/>
      <c r="AC1231" s="50" t="n">
        <f aca="false">AT1231</f>
        <v>13</v>
      </c>
      <c r="AD1231" s="50" t="n">
        <f aca="false">MAX(AT1231,H1231)</f>
        <v>45</v>
      </c>
      <c r="AE1231" s="57"/>
      <c r="AF1231" s="50" t="n">
        <f aca="false">IF(LEFT(Cockpit!$C$5,1)="A",H1231,IF(CE1231=1,CF1231,IF(LEFT(Cockpit!$C$5,1)="B",AK1231,MAX(AK1231,H1231))))</f>
        <v>45</v>
      </c>
      <c r="AG1231" s="50" t="n">
        <f aca="false">IF(BW1231=1,0,ROUNDUP(AF1231/BV1231,0))</f>
        <v>4</v>
      </c>
      <c r="AH1231" s="52" t="n">
        <f aca="false">IF(CL1231&gt;0,CL1231*MAX(1,AF1231/X1231),IF(BW1231=1,IF(AF1231&lt;=0,0,CA1231*MAX(1,IF(H1231&gt;0,AF1231/H1231,1))),IF(R1231&gt;0,AG1231/R1231,0))/MAX(0.1,N(Parameter!$M$21)))</f>
        <v>0.153846153846154</v>
      </c>
      <c r="AI1231" s="50" t="n">
        <f aca="false">AH1231*BY1231</f>
        <v>37.6923076923077</v>
      </c>
      <c r="AJ1231" s="50" t="n">
        <f aca="false">AF1231*G1231</f>
        <v>1620.9</v>
      </c>
      <c r="AK1231" s="50" t="n">
        <f aca="false">ROUNDUP(MAX(J1231/IF(CD1231&gt;0,CD1231,MAX(0.1,N(Cockpit!$C$6))),CG1231)/BV1231,0)*BV1231</f>
        <v>13</v>
      </c>
      <c r="AL1231" s="51" t="n">
        <f aca="false">IF(AI1231&gt;0,J1231/AI1231,-1)</f>
        <v>0.0530612244897959</v>
      </c>
      <c r="AM1231" s="51" t="n">
        <f aca="false">IF(AND(OR(CC1231="L1",CC1231="L23",CC1231="LIFT"),AI1231&gt;0),SUMIFS($AI$7:$AI$1843,$CC$7:$CC$1843,CC1231,$AL$7:$AL$1843,"&gt;"&amp;AL1231)+SUMIFS($AI$7:$AI$1843,$CC$7:$CC$1843,CC1231,$AL$7:$AL$1843,AL1231,$BT$7:$BT$1843,"&lt;="&amp;BT1231),"")</f>
        <v>19026.9155620745</v>
      </c>
      <c r="AN1231" s="58" t="n">
        <f aca="false">IF(AM1231="",0,MAX(0,MIN(1,(IF(CC1231="L1",Parameter!$H$5,IF(CC1231="L23",Parameter!$H$6+Parameter!$H$7,Parameter!$H$5+Parameter!$H$6+Parameter!$H$7))-(AM1231-AI1231))/AI1231)))</f>
        <v>1</v>
      </c>
      <c r="AO1231" s="50" t="n">
        <f aca="false">IF(LEFT(Cockpit!$I$5,1)="A",H1231,IF(CE1231=1,CF1231,IF(LEFT(Cockpit!$I$5,1)="B",AT1231,MAX(AT1231,H1231))))</f>
        <v>45</v>
      </c>
      <c r="AP1231" s="50" t="n">
        <f aca="false">IF(BW1231=1,0,ROUNDUP(AO1231/BV1231,0))</f>
        <v>4</v>
      </c>
      <c r="AQ1231" s="52" t="n">
        <f aca="false">IF(CL1231&gt;0,CL1231*MAX(1,AO1231/X1231),IF(BW1231=1,IF(AO1231&lt;=0,0,CA1231*MAX(1,IF(H1231&gt;0,AO1231/H1231,1))),IF(R1231&gt;0,AP1231/R1231,0))/MAX(0.1,N(Parameter!$M$21)))</f>
        <v>0.153846153846154</v>
      </c>
      <c r="AR1231" s="50" t="n">
        <f aca="false">AQ1231*BY1231</f>
        <v>37.6923076923077</v>
      </c>
      <c r="AS1231" s="50" t="n">
        <f aca="false">AO1231*G1231</f>
        <v>1620.9</v>
      </c>
      <c r="AT1231" s="50" t="n">
        <f aca="false">ROUNDUP(MAX(J1231/IF(CD1231&gt;0,CD1231,MAX(0.1,N(Cockpit!$I$6))),CG1231)/BV1231,0)*BV1231</f>
        <v>13</v>
      </c>
      <c r="AU1231" s="51" t="n">
        <f aca="false">IF(AR1231&gt;0,J1231/AR1231,-1)</f>
        <v>0.0530612244897959</v>
      </c>
      <c r="AV1231" s="51" t="n">
        <f aca="false">IF(AND(OR(CC1231="L1",CC1231="L23",CC1231="LIFT"),AR1231&gt;0),SUMIFS($AR$7:$AR$1843,$CC$7:$CC$1843,CC1231,$AU$7:$AU$1843,"&gt;"&amp;AU1231)+SUMIFS($AR$7:$AR$1843,$CC$7:$CC$1843,CC1231,$AU$7:$AU$1843,AU1231,$BT$7:$BT$1843,"&lt;="&amp;BT1231),"")</f>
        <v>29685.4731509075</v>
      </c>
      <c r="AW1231" s="58" t="n">
        <f aca="false">IF(AV1231="",0,MAX(0,MIN(1,(IF(CC1231="L1",Parameter!$H$5,IF(CC1231="L23",Parameter!$H$6+Parameter!$H$7,Parameter!$H$5+Parameter!$H$6+Parameter!$H$7))-(AV1231-AR1231))/AR1231)))</f>
        <v>1</v>
      </c>
      <c r="AX1231" s="50" t="n">
        <f aca="false">IF(LEFT(Cockpit!$O$5,1)="A",H1231,IF(CE1231=1,CF1231,IF(LEFT(Cockpit!$O$5,1)="B",BC1231,MAX(BC1231,H1231))))</f>
        <v>45</v>
      </c>
      <c r="AY1231" s="50" t="n">
        <f aca="false">IF(BW1231=1,0,ROUNDUP(AX1231/BV1231,0))</f>
        <v>4</v>
      </c>
      <c r="AZ1231" s="52" t="n">
        <f aca="false">IF(CL1231&gt;0,CL1231*MAX(1,AX1231/X1231),IF(BW1231=1,IF(AX1231&lt;=0,0,CA1231*MAX(1,IF(H1231&gt;0,AX1231/H1231,1))),IF(R1231&gt;0,AY1231/R1231,0))/MAX(0.1,N(Parameter!$M$21)))</f>
        <v>0.153846153846154</v>
      </c>
      <c r="BA1231" s="50" t="n">
        <f aca="false">AZ1231*BY1231</f>
        <v>37.6923076923077</v>
      </c>
      <c r="BB1231" s="50" t="n">
        <f aca="false">AX1231*G1231</f>
        <v>1620.9</v>
      </c>
      <c r="BC1231" s="50" t="n">
        <f aca="false">ROUNDUP(MAX(J1231/IF(CD1231&gt;0,CD1231,MAX(0.1,N(Cockpit!$O$6))),CG1231)/BV1231,0)*BV1231</f>
        <v>13</v>
      </c>
      <c r="BD1231" s="51" t="n">
        <f aca="false">IF(BA1231&gt;0,J1231/BA1231,-1)</f>
        <v>0.0530612244897959</v>
      </c>
      <c r="BE1231" s="51" t="n">
        <f aca="false">IF(AND(OR(CC1231="L1",CC1231="L23",CC1231="LIFT"),BA1231&gt;0),SUMIFS($BA$7:$BA$1843,$CC$7:$CC$1843,CC1231,$BD$7:$BD$1843,"&gt;"&amp;BD1231)+SUMIFS($BA$7:$BA$1843,$CC$7:$CC$1843,CC1231,$BD$7:$BD$1843,BD1231,$BT$7:$BT$1843,"&lt;="&amp;BT1231),"")</f>
        <v>26360.4851927733</v>
      </c>
      <c r="BF1231" s="58" t="n">
        <f aca="false">IF(BE1231="",0,MAX(0,MIN(1,(IF(CC1231="L1",Parameter!$H$5,IF(CC1231="L23",Parameter!$H$6+Parameter!$H$7,Parameter!$H$5+Parameter!$H$6+Parameter!$H$7))-(BE1231-BA1231))/BA1231)))</f>
        <v>1</v>
      </c>
      <c r="BG1231" s="48" t="str">
        <f aca="false">IF(AI1231&lt;=0,"",IF(CC1231="Aussen","Aussenlager",IF(CC1231="-","Nicht im Lift",IF(AN1231&gt;=1,"Lift",IF(AN1231&lt;=0,"Aussenlager","teilweise")))))</f>
        <v>Lift</v>
      </c>
      <c r="BH1231" s="48" t="str">
        <f aca="false">IF(AR1231&lt;=0,"",IF(CC1231="Aussen","Aussenlager",IF(CC1231="-","Nicht im Lift",IF(AW1231&gt;=1,"Lift",IF(AW1231&lt;=0,"Aussenlager","teilweise")))))</f>
        <v>Lift</v>
      </c>
      <c r="BI1231" s="48" t="str">
        <f aca="false">IF(BA1231&lt;=0,"",IF(CC1231="Aussen","Aussenlager",IF(CC1231="-","Nicht im Lift",IF(BF1231&gt;=1,"Lift",IF(BF1231&lt;=0,"Aussenlager","teilweise")))))</f>
        <v>Lift</v>
      </c>
      <c r="BJ1231" s="48" t="str">
        <f aca="false">IF(A1231="","",IF(BS1231=1,"Neu; ","")&amp;IF(AND(BS1231=0,BN1231&lt;0),"negativer Bestand (Export "&amp;BN1231&amp;"); ","")&amp;IF(J1231&lt;=0,"Kein Verbrauch; ","")&amp;IF(CL1231&gt;0,"Lift "&amp;W1231&amp;" lt. Liftbericht (Fach "&amp;X1231&amp;" Stk); ",IF(BX1231=1,"Gebinde geschätzt ("&amp;T1231&amp;"); ",IF(BW1231=1,"Lose – Tablare geschätzt; ","")))&amp;IF(H1231&gt;AT1231,"Überbestand "&amp;ROUND(H1231-AT1231,0)&amp;" Stk / CHF "&amp;ROUND((H1231-AT1231)*G1231,0)&amp;"; ","")&amp;IF(AND(CE1231=1,CF1231&lt;CG1231),"MAX &lt; MB+LG; ","")&amp;IF(AND(CK1231&gt;0,CJ1231*10&gt;CK1231),"zu hoch für Tablar; ","")&amp;IF(AND(BS1231=0,OR(CE1231=1,AA1231&lt;&gt;"",U1231&lt;&gt;"",V1231&lt;&gt;"",AB1231&lt;&gt;"")),"manuell übersteuert; ","")&amp;IF(AND(BW1231=0,R1231=0),"Gebinde unbekannt / Stellmass fehlt; ","")&amp;IF(AND(BW1231=0,N(V1231)&lt;=0,N(Q1231)&lt;=0),"Menge pro Gebinde fehlt (Ist = 1 Gebinde); ","")&amp;BR1231)</f>
        <v>negativer Bestand (Export -18); Überbestand 32 Stk / CHF 1153; </v>
      </c>
      <c r="BK1231" s="48"/>
      <c r="BL1231" s="48"/>
      <c r="BM1231" s="55"/>
      <c r="BN1231" s="50" t="n">
        <v>-18</v>
      </c>
      <c r="BO1231" s="50" t="n">
        <v>63</v>
      </c>
      <c r="BP1231" s="49" t="n">
        <v>-648.36</v>
      </c>
      <c r="BQ1231" s="50" t="n">
        <v>2</v>
      </c>
      <c r="BR1231" s="48"/>
      <c r="BS1231" s="53" t="n">
        <v>0</v>
      </c>
      <c r="BT1231" s="53" t="n">
        <v>1231</v>
      </c>
      <c r="BU1231" s="48" t="str">
        <f aca="false">IF(U1231&lt;&gt;"",UPPER(TRIM(U1231)),IF(BX1231=1,UPPER(VLOOKUP(T1231,Parameter!$I$27:$K$29,2,0)),IF(P1231="","LOSE",P1231)))</f>
        <v>S52</v>
      </c>
      <c r="BV1231" s="50" t="n">
        <f aca="false">IF(BU1231="LOSE",1,IF(N(V1231)&gt;0,V1231,IF(BX1231=1,MAX(1,N(VLOOKUP(T1231,Parameter!$I$27:$K$29,3,0)),H1231,N(N1231)),IF(N(Q1231)&gt;0,Q1231,MAX(1,H1231)))))</f>
        <v>13</v>
      </c>
      <c r="BW1231" s="53" t="n">
        <f aca="false">IF(BU1231="LOSE",1,0)</f>
        <v>0</v>
      </c>
      <c r="BX1231" s="53" t="n">
        <f aca="false">IF(AND(U1231="",OR(P1231="",P1231="LOSE"),T1231&lt;&gt;"",N(S1231)&lt;=0,ISNUMBER(MATCH(T1231,Parameter!$I$27:$I$29,0))),1,0)</f>
        <v>0</v>
      </c>
      <c r="BY1231" s="53" t="n">
        <f aca="false">IF(CL1231&gt;0,INDEX(Parameter!$H$5:$H$7,W1231)/INDEX(Parameter!$E$5:$E$7,W1231),IF(AND(BW1231=0,N(IFERROR(VLOOKUP(BU1231,'Gebinde-Kategorie'!$A$5:$N$45,14,0),0))&gt;0),VLOOKUP(BU1231,'Gebinde-Kategorie'!$A$5:$N$45,14,0)*10+Parameter!$M$23,Parameter!$M$24))</f>
        <v>245</v>
      </c>
      <c r="BZ1231" s="48" t="str">
        <f aca="false">IF(AND(Parameter!$B$19="Ja",E1231&lt;&gt;"",ISNUMBER(MATCH(E1231,Parameter!$I$35:$I$52,0))),VLOOKUP(E1231,Parameter!$I$35:$J$52,2,0),IFERROR(VLOOKUP(D1231,Parameter!$A$35:$C$64,2,0),"Nein"))</f>
        <v>2+3</v>
      </c>
      <c r="CA1231" s="52" t="n">
        <f aca="false">IF(BW1231=0,0,IF(N(S1231)&gt;0,S1231,IFERROR(VLOOKUP(D1231,Parameter!$A$35:$C$64,3,0)+0,0)))</f>
        <v>0</v>
      </c>
      <c r="CB1231" s="48" t="n">
        <f aca="false">IF(AA1231&lt;&gt;"",AA1231,Z1231)</f>
        <v>3</v>
      </c>
      <c r="CC1231" s="48" t="str">
        <f aca="false">IF(OR(CB1231=1,CB1231=2,CB1231=3),IF(Parameter!$E$27="Ja","LIFT",IF(CB1231=1,"L1","L23")),IF(CB1231="Aussen","Aussen","-"))</f>
        <v>LIFT</v>
      </c>
      <c r="CD1231" s="59" t="n">
        <f aca="false">IF(N(AB1231)&gt;0,AB1231,0)</f>
        <v>0</v>
      </c>
      <c r="CE1231" s="53" t="n">
        <f aca="false">IF(ISNUMBER(AE1231),1,0)</f>
        <v>0</v>
      </c>
      <c r="CF1231" s="50" t="n">
        <f aca="false">N(AE1231)</f>
        <v>0</v>
      </c>
      <c r="CG1231" s="50" t="n">
        <f aca="false">N(M1231)+N(N1231)</f>
        <v>1</v>
      </c>
      <c r="CH1231" s="50" t="n">
        <f aca="false">ROUNDUP(H1231/BV1231,0)</f>
        <v>4</v>
      </c>
      <c r="CI1231" s="50" t="n">
        <f aca="false">ROUNDUP(CF1231/BV1231,0)</f>
        <v>0</v>
      </c>
      <c r="CJ1231" s="53" t="n">
        <f aca="false">IF(BW1231=1,0,IFERROR(VLOOKUP(BU1231,'Gebinde-Kategorie'!$A$5:$N$45,5,0)+0,0))</f>
        <v>21</v>
      </c>
      <c r="CK1231" s="53" t="n">
        <f aca="false">IFERROR(IF(OR(CB1231=1,CB1231=2,CB1231=3),N(INDEX(Parameter!$I$5:$I$7,CB1231)),0),0)</f>
        <v>0</v>
      </c>
      <c r="CL1231" s="52" t="n">
        <f aca="false">IF(AND(Parameter!$B$21="Ja",ISNUMBER(W1231),N(X1231)&gt;0),IFERROR(N(INDEX(Parameter!$L$5:$L$7,W1231))*INDEX(Parameter!$E$5:$E$7,W1231)*X1231/SUMIFS($X$7:$X$1843,$W$7:$W$1843,W1231),0),0)</f>
        <v>0</v>
      </c>
    </row>
    <row r="1232" customFormat="false" ht="15" hidden="false" customHeight="false" outlineLevel="0" collapsed="false">
      <c r="A1232" s="48" t="s">
        <v>2209</v>
      </c>
      <c r="B1232" s="48" t="s">
        <v>2210</v>
      </c>
      <c r="C1232" s="48" t="s">
        <v>460</v>
      </c>
      <c r="D1232" s="48" t="s">
        <v>177</v>
      </c>
      <c r="E1232" s="48"/>
      <c r="F1232" s="48" t="s">
        <v>222</v>
      </c>
      <c r="G1232" s="49" t="n">
        <v>93.59</v>
      </c>
      <c r="H1232" s="50" t="n">
        <f aca="false">MAX(0,IF(AND(Parameter!$B$21="Ja",ISNUMBER(Y1232)),Y1232,IF(Parameter!$B$20="Jahresanfang 2025 + Export",BO1232+BN1232,BN1232)))</f>
        <v>0</v>
      </c>
      <c r="I1232" s="50" t="n">
        <f aca="false">H1232*G1232</f>
        <v>0</v>
      </c>
      <c r="J1232" s="50" t="n">
        <f aca="false">BQ1232*Parameter!$B$18</f>
        <v>0</v>
      </c>
      <c r="K1232" s="51" t="n">
        <v>3.5</v>
      </c>
      <c r="L1232" s="52" t="n">
        <v>0</v>
      </c>
      <c r="M1232" s="50" t="n">
        <v>0</v>
      </c>
      <c r="N1232" s="50" t="n">
        <v>1</v>
      </c>
      <c r="O1232" s="53" t="n">
        <v>56</v>
      </c>
      <c r="P1232" s="48" t="s">
        <v>172</v>
      </c>
      <c r="Q1232" s="50"/>
      <c r="R1232" s="53" t="n">
        <f aca="false">IF(BW1232=1,0,IFERROR(VLOOKUP(BU1232,'Gebinde-Kategorie'!$A$5:$N$45,13,0)+0,0))</f>
        <v>4</v>
      </c>
      <c r="S1232" s="54"/>
      <c r="T1232" s="55" t="s">
        <v>193</v>
      </c>
      <c r="U1232" s="55"/>
      <c r="V1232" s="55"/>
      <c r="W1232" s="48"/>
      <c r="X1232" s="50"/>
      <c r="Y1232" s="50"/>
      <c r="Z1232" s="48" t="n">
        <f aca="false">IF(A1232="","",IF(AND(Parameter!$B$21="Ja",ISNUMBER(W1232)),W1232,IF(BZ1232="2+3",IF(ISNUMBER(SEARCH("grosser Artikel",BR1232)),2,IFERROR(VLOOKUP(BU1232,Parameter!$F$35:$G$64,2,0),2)),IF(OR(BZ1232="Nein",BZ1232=""),"-",BZ1232))))</f>
        <v>2</v>
      </c>
      <c r="AA1232" s="55"/>
      <c r="AB1232" s="56"/>
      <c r="AC1232" s="50" t="n">
        <f aca="false">AT1232</f>
        <v>2</v>
      </c>
      <c r="AD1232" s="50" t="n">
        <f aca="false">MAX(AT1232,H1232)</f>
        <v>2</v>
      </c>
      <c r="AE1232" s="57"/>
      <c r="AF1232" s="50" t="n">
        <f aca="false">IF(LEFT(Cockpit!$C$5,1)="A",H1232,IF(CE1232=1,CF1232,IF(LEFT(Cockpit!$C$5,1)="B",AK1232,MAX(AK1232,H1232))))</f>
        <v>0</v>
      </c>
      <c r="AG1232" s="50" t="n">
        <f aca="false">IF(BW1232=1,0,ROUNDUP(AF1232/BV1232,0))</f>
        <v>0</v>
      </c>
      <c r="AH1232" s="52" t="n">
        <f aca="false">IF(CL1232&gt;0,CL1232*MAX(1,AF1232/X1232),IF(BW1232=1,IF(AF1232&lt;=0,0,CA1232*MAX(1,IF(H1232&gt;0,AF1232/H1232,1))),IF(R1232&gt;0,AG1232/R1232,0))/MAX(0.1,N(Parameter!$M$21)))</f>
        <v>0</v>
      </c>
      <c r="AI1232" s="50" t="n">
        <f aca="false">AH1232*BY1232</f>
        <v>0</v>
      </c>
      <c r="AJ1232" s="50" t="n">
        <f aca="false">AF1232*G1232</f>
        <v>0</v>
      </c>
      <c r="AK1232" s="50" t="n">
        <f aca="false">ROUNDUP(MAX(J1232/IF(CD1232&gt;0,CD1232,MAX(0.1,N(Cockpit!$C$6))),CG1232)/BV1232,0)*BV1232</f>
        <v>2</v>
      </c>
      <c r="AL1232" s="51" t="n">
        <f aca="false">IF(AI1232&gt;0,J1232/AI1232,-1)</f>
        <v>-1</v>
      </c>
      <c r="AM1232" s="51" t="str">
        <f aca="false">IF(AND(OR(CC1232="L1",CC1232="L23",CC1232="LIFT"),AI1232&gt;0),SUMIFS($AI$7:$AI$1843,$CC$7:$CC$1843,CC1232,$AL$7:$AL$1843,"&gt;"&amp;AL1232)+SUMIFS($AI$7:$AI$1843,$CC$7:$CC$1843,CC1232,$AL$7:$AL$1843,AL1232,$BT$7:$BT$1843,"&lt;="&amp;BT1232),"")</f>
        <v/>
      </c>
      <c r="AN1232" s="58" t="n">
        <f aca="false">IF(AM1232="",0,MAX(0,MIN(1,(IF(CC1232="L1",Parameter!$H$5,IF(CC1232="L23",Parameter!$H$6+Parameter!$H$7,Parameter!$H$5+Parameter!$H$6+Parameter!$H$7))-(AM1232-AI1232))/AI1232)))</f>
        <v>0</v>
      </c>
      <c r="AO1232" s="50" t="n">
        <f aca="false">IF(LEFT(Cockpit!$I$5,1)="A",H1232,IF(CE1232=1,CF1232,IF(LEFT(Cockpit!$I$5,1)="B",AT1232,MAX(AT1232,H1232))))</f>
        <v>2</v>
      </c>
      <c r="AP1232" s="50" t="n">
        <f aca="false">IF(BW1232=1,0,ROUNDUP(AO1232/BV1232,0))</f>
        <v>1</v>
      </c>
      <c r="AQ1232" s="52" t="n">
        <f aca="false">IF(CL1232&gt;0,CL1232*MAX(1,AO1232/X1232),IF(BW1232=1,IF(AO1232&lt;=0,0,CA1232*MAX(1,IF(H1232&gt;0,AO1232/H1232,1))),IF(R1232&gt;0,AP1232/R1232,0))/MAX(0.1,N(Parameter!$M$21)))</f>
        <v>0.25</v>
      </c>
      <c r="AR1232" s="50" t="n">
        <f aca="false">AQ1232*BY1232</f>
        <v>58.75</v>
      </c>
      <c r="AS1232" s="50" t="n">
        <f aca="false">AO1232*G1232</f>
        <v>187.18</v>
      </c>
      <c r="AT1232" s="50" t="n">
        <f aca="false">ROUNDUP(MAX(J1232/IF(CD1232&gt;0,CD1232,MAX(0.1,N(Cockpit!$I$6))),CG1232)/BV1232,0)*BV1232</f>
        <v>2</v>
      </c>
      <c r="AU1232" s="51" t="n">
        <f aca="false">IF(AR1232&gt;0,J1232/AR1232,-1)</f>
        <v>0</v>
      </c>
      <c r="AV1232" s="51" t="n">
        <f aca="false">IF(AND(OR(CC1232="L1",CC1232="L23",CC1232="LIFT"),AR1232&gt;0),SUMIFS($AR$7:$AR$1843,$CC$7:$CC$1843,CC1232,$AU$7:$AU$1843,"&gt;"&amp;AU1232)+SUMIFS($AR$7:$AR$1843,$CC$7:$CC$1843,CC1232,$AU$7:$AU$1843,AU1232,$BT$7:$BT$1843,"&lt;="&amp;BT1232),"")</f>
        <v>41276.0096231452</v>
      </c>
      <c r="AW1232" s="58" t="n">
        <f aca="false">IF(AV1232="",0,MAX(0,MIN(1,(IF(CC1232="L1",Parameter!$H$5,IF(CC1232="L23",Parameter!$H$6+Parameter!$H$7,Parameter!$H$5+Parameter!$H$6+Parameter!$H$7))-(AV1232-AR1232))/AR1232)))</f>
        <v>0</v>
      </c>
      <c r="AX1232" s="50" t="n">
        <f aca="false">IF(LEFT(Cockpit!$O$5,1)="A",H1232,IF(CE1232=1,CF1232,IF(LEFT(Cockpit!$O$5,1)="B",BC1232,MAX(BC1232,H1232))))</f>
        <v>2</v>
      </c>
      <c r="AY1232" s="50" t="n">
        <f aca="false">IF(BW1232=1,0,ROUNDUP(AX1232/BV1232,0))</f>
        <v>1</v>
      </c>
      <c r="AZ1232" s="52" t="n">
        <f aca="false">IF(CL1232&gt;0,CL1232*MAX(1,AX1232/X1232),IF(BW1232=1,IF(AX1232&lt;=0,0,CA1232*MAX(1,IF(H1232&gt;0,AX1232/H1232,1))),IF(R1232&gt;0,AY1232/R1232,0))/MAX(0.1,N(Parameter!$M$21)))</f>
        <v>0.25</v>
      </c>
      <c r="BA1232" s="50" t="n">
        <f aca="false">AZ1232*BY1232</f>
        <v>58.75</v>
      </c>
      <c r="BB1232" s="50" t="n">
        <f aca="false">AX1232*G1232</f>
        <v>187.18</v>
      </c>
      <c r="BC1232" s="50" t="n">
        <f aca="false">ROUNDUP(MAX(J1232/IF(CD1232&gt;0,CD1232,MAX(0.1,N(Cockpit!$O$6))),CG1232)/BV1232,0)*BV1232</f>
        <v>2</v>
      </c>
      <c r="BD1232" s="51" t="n">
        <f aca="false">IF(BA1232&gt;0,J1232/BA1232,-1)</f>
        <v>0</v>
      </c>
      <c r="BE1232" s="51" t="n">
        <f aca="false">IF(AND(OR(CC1232="L1",CC1232="L23",CC1232="LIFT"),BA1232&gt;0),SUMIFS($BA$7:$BA$1843,$CC$7:$CC$1843,CC1232,$BD$7:$BD$1843,"&gt;"&amp;BD1232)+SUMIFS($BA$7:$BA$1843,$CC$7:$CC$1843,CC1232,$BD$7:$BD$1843,BD1232,$BT$7:$BT$1843,"&lt;="&amp;BT1232),"")</f>
        <v>37951.0216650111</v>
      </c>
      <c r="BF1232" s="58" t="n">
        <f aca="false">IF(BE1232="",0,MAX(0,MIN(1,(IF(CC1232="L1",Parameter!$H$5,IF(CC1232="L23",Parameter!$H$6+Parameter!$H$7,Parameter!$H$5+Parameter!$H$6+Parameter!$H$7))-(BE1232-BA1232))/BA1232)))</f>
        <v>0</v>
      </c>
      <c r="BG1232" s="48" t="str">
        <f aca="false">IF(AI1232&lt;=0,"",IF(CC1232="Aussen","Aussenlager",IF(CC1232="-","Nicht im Lift",IF(AN1232&gt;=1,"Lift",IF(AN1232&lt;=0,"Aussenlager","teilweise")))))</f>
        <v/>
      </c>
      <c r="BH1232" s="48" t="str">
        <f aca="false">IF(AR1232&lt;=0,"",IF(CC1232="Aussen","Aussenlager",IF(CC1232="-","Nicht im Lift",IF(AW1232&gt;=1,"Lift",IF(AW1232&lt;=0,"Aussenlager","teilweise")))))</f>
        <v>Aussenlager</v>
      </c>
      <c r="BI1232" s="48" t="str">
        <f aca="false">IF(BA1232&lt;=0,"",IF(CC1232="Aussen","Aussenlager",IF(CC1232="-","Nicht im Lift",IF(BF1232&gt;=1,"Lift",IF(BF1232&lt;=0,"Aussenlager","teilweise")))))</f>
        <v>Aussenlager</v>
      </c>
      <c r="BJ1232" s="48" t="str">
        <f aca="false">IF(A1232="","",IF(BS1232=1,"Neu; ","")&amp;IF(AND(BS1232=0,BN1232&lt;0),"negativer Bestand (Export "&amp;BN1232&amp;"); ","")&amp;IF(J1232&lt;=0,"Kein Verbrauch; ","")&amp;IF(CL1232&gt;0,"Lift "&amp;W1232&amp;" lt. Liftbericht (Fach "&amp;X1232&amp;" Stk); ",IF(BX1232=1,"Gebinde geschätzt ("&amp;T1232&amp;"); ",IF(BW1232=1,"Lose – Tablare geschätzt; ","")))&amp;IF(H1232&gt;AT1232,"Überbestand "&amp;ROUND(H1232-AT1232,0)&amp;" Stk / CHF "&amp;ROUND((H1232-AT1232)*G1232,0)&amp;"; ","")&amp;IF(AND(CE1232=1,CF1232&lt;CG1232),"MAX &lt; MB+LG; ","")&amp;IF(AND(CK1232&gt;0,CJ1232*10&gt;CK1232),"zu hoch für Tablar; ","")&amp;IF(AND(BS1232=0,OR(CE1232=1,AA1232&lt;&gt;"",U1232&lt;&gt;"",V1232&lt;&gt;"",AB1232&lt;&gt;"")),"manuell übersteuert; ","")&amp;IF(AND(BW1232=0,R1232=0),"Gebinde unbekannt / Stellmass fehlt; ","")&amp;IF(AND(BW1232=0,N(V1232)&lt;=0,N(Q1232)&lt;=0),"Menge pro Gebinde fehlt (Ist = 1 Gebinde); ","")&amp;BR1232)</f>
        <v>negativer Bestand (Export -7); Kein Verbrauch; Gebinde geschätzt (Gross); Menge pro Gebinde fehlt (Ist = 1 Gebinde); Neuer Art.</v>
      </c>
      <c r="BK1232" s="48"/>
      <c r="BL1232" s="48"/>
      <c r="BM1232" s="55"/>
      <c r="BN1232" s="50" t="n">
        <v>-7</v>
      </c>
      <c r="BO1232" s="50" t="n">
        <v>7</v>
      </c>
      <c r="BP1232" s="49" t="n">
        <v>-655.13</v>
      </c>
      <c r="BQ1232" s="50" t="n">
        <v>0</v>
      </c>
      <c r="BR1232" s="48" t="s">
        <v>516</v>
      </c>
      <c r="BS1232" s="53" t="n">
        <v>0</v>
      </c>
      <c r="BT1232" s="53" t="n">
        <v>1232</v>
      </c>
      <c r="BU1232" s="48" t="str">
        <f aca="false">IF(U1232&lt;&gt;"",UPPER(TRIM(U1232)),IF(BX1232=1,UPPER(VLOOKUP(T1232,Parameter!$I$27:$K$29,2,0)),IF(P1232="","LOSE",P1232)))</f>
        <v>S81</v>
      </c>
      <c r="BV1232" s="50" t="n">
        <f aca="false">IF(BU1232="LOSE",1,IF(N(V1232)&gt;0,V1232,IF(BX1232=1,MAX(1,N(VLOOKUP(T1232,Parameter!$I$27:$K$29,3,0)),H1232,N(N1232)),IF(N(Q1232)&gt;0,Q1232,MAX(1,H1232)))))</f>
        <v>2</v>
      </c>
      <c r="BW1232" s="53" t="n">
        <f aca="false">IF(BU1232="LOSE",1,0)</f>
        <v>0</v>
      </c>
      <c r="BX1232" s="53" t="n">
        <f aca="false">IF(AND(U1232="",OR(P1232="",P1232="LOSE"),T1232&lt;&gt;"",N(S1232)&lt;=0,ISNUMBER(MATCH(T1232,Parameter!$I$27:$I$29,0))),1,0)</f>
        <v>1</v>
      </c>
      <c r="BY1232" s="53" t="n">
        <f aca="false">IF(CL1232&gt;0,INDEX(Parameter!$H$5:$H$7,W1232)/INDEX(Parameter!$E$5:$E$7,W1232),IF(AND(BW1232=0,N(IFERROR(VLOOKUP(BU1232,'Gebinde-Kategorie'!$A$5:$N$45,14,0),0))&gt;0),VLOOKUP(BU1232,'Gebinde-Kategorie'!$A$5:$N$45,14,0)*10+Parameter!$M$23,Parameter!$M$24))</f>
        <v>235</v>
      </c>
      <c r="BZ1232" s="48" t="str">
        <f aca="false">IF(AND(Parameter!$B$19="Ja",E1232&lt;&gt;"",ISNUMBER(MATCH(E1232,Parameter!$I$35:$I$52,0))),VLOOKUP(E1232,Parameter!$I$35:$J$52,2,0),IFERROR(VLOOKUP(D1232,Parameter!$A$35:$C$64,2,0),"Nein"))</f>
        <v>2+3</v>
      </c>
      <c r="CA1232" s="52" t="n">
        <f aca="false">IF(BW1232=0,0,IF(N(S1232)&gt;0,S1232,IFERROR(VLOOKUP(D1232,Parameter!$A$35:$C$64,3,0)+0,0)))</f>
        <v>0</v>
      </c>
      <c r="CB1232" s="48" t="n">
        <f aca="false">IF(AA1232&lt;&gt;"",AA1232,Z1232)</f>
        <v>2</v>
      </c>
      <c r="CC1232" s="48" t="str">
        <f aca="false">IF(OR(CB1232=1,CB1232=2,CB1232=3),IF(Parameter!$E$27="Ja","LIFT",IF(CB1232=1,"L1","L23")),IF(CB1232="Aussen","Aussen","-"))</f>
        <v>LIFT</v>
      </c>
      <c r="CD1232" s="59" t="n">
        <f aca="false">IF(N(AB1232)&gt;0,AB1232,0)</f>
        <v>0</v>
      </c>
      <c r="CE1232" s="53" t="n">
        <f aca="false">IF(ISNUMBER(AE1232),1,0)</f>
        <v>0</v>
      </c>
      <c r="CF1232" s="50" t="n">
        <f aca="false">N(AE1232)</f>
        <v>0</v>
      </c>
      <c r="CG1232" s="50" t="n">
        <f aca="false">N(M1232)+N(N1232)</f>
        <v>1</v>
      </c>
      <c r="CH1232" s="50" t="n">
        <f aca="false">ROUNDUP(H1232/BV1232,0)</f>
        <v>0</v>
      </c>
      <c r="CI1232" s="50" t="n">
        <f aca="false">ROUNDUP(CF1232/BV1232,0)</f>
        <v>0</v>
      </c>
      <c r="CJ1232" s="53" t="n">
        <f aca="false">IF(BW1232=1,0,IFERROR(VLOOKUP(BU1232,'Gebinde-Kategorie'!$A$5:$N$45,5,0)+0,0))</f>
        <v>20</v>
      </c>
      <c r="CK1232" s="53" t="n">
        <f aca="false">IFERROR(IF(OR(CB1232=1,CB1232=2,CB1232=3),N(INDEX(Parameter!$I$5:$I$7,CB1232)),0),0)</f>
        <v>0</v>
      </c>
      <c r="CL1232" s="52" t="n">
        <f aca="false">IF(AND(Parameter!$B$21="Ja",ISNUMBER(W1232),N(X1232)&gt;0),IFERROR(N(INDEX(Parameter!$L$5:$L$7,W1232))*INDEX(Parameter!$E$5:$E$7,W1232)*X1232/SUMIFS($X$7:$X$1843,$W$7:$W$1843,W1232),0),0)</f>
        <v>0</v>
      </c>
    </row>
    <row r="1233" customFormat="false" ht="15" hidden="false" customHeight="false" outlineLevel="0" collapsed="false">
      <c r="A1233" s="48" t="s">
        <v>2211</v>
      </c>
      <c r="B1233" s="48" t="s">
        <v>2212</v>
      </c>
      <c r="C1233" s="48" t="s">
        <v>168</v>
      </c>
      <c r="D1233" s="48" t="s">
        <v>177</v>
      </c>
      <c r="E1233" s="48" t="s">
        <v>189</v>
      </c>
      <c r="F1233" s="48" t="s">
        <v>222</v>
      </c>
      <c r="G1233" s="49" t="n">
        <v>131.25</v>
      </c>
      <c r="H1233" s="50" t="n">
        <f aca="false">MAX(0,IF(AND(Parameter!$B$21="Ja",ISNUMBER(Y1233)),Y1233,IF(Parameter!$B$20="Jahresanfang 2025 + Export",BO1233+BN1233,BN1233)))</f>
        <v>8</v>
      </c>
      <c r="I1233" s="50" t="n">
        <f aca="false">H1233*G1233</f>
        <v>1050</v>
      </c>
      <c r="J1233" s="50" t="n">
        <f aca="false">BQ1233*Parameter!$B$18</f>
        <v>6</v>
      </c>
      <c r="K1233" s="51" t="n">
        <v>9.5</v>
      </c>
      <c r="L1233" s="52" t="n">
        <v>0.631578947368421</v>
      </c>
      <c r="M1233" s="50" t="n">
        <v>0</v>
      </c>
      <c r="N1233" s="50" t="n">
        <v>5</v>
      </c>
      <c r="O1233" s="53" t="n">
        <v>21</v>
      </c>
      <c r="P1233" s="48" t="s">
        <v>263</v>
      </c>
      <c r="Q1233" s="50" t="n">
        <v>6</v>
      </c>
      <c r="R1233" s="53" t="n">
        <f aca="false">IF(BW1233=1,0,IFERROR(VLOOKUP(BU1233,'Gebinde-Kategorie'!$A$5:$N$45,13,0)+0,0))</f>
        <v>6</v>
      </c>
      <c r="S1233" s="54"/>
      <c r="T1233" s="55"/>
      <c r="U1233" s="55"/>
      <c r="V1233" s="55"/>
      <c r="W1233" s="48"/>
      <c r="X1233" s="50"/>
      <c r="Y1233" s="50"/>
      <c r="Z1233" s="48" t="n">
        <f aca="false">IF(A1233="","",IF(AND(Parameter!$B$21="Ja",ISNUMBER(W1233)),W1233,IF(BZ1233="2+3",IF(ISNUMBER(SEARCH("grosser Artikel",BR1233)),2,IFERROR(VLOOKUP(BU1233,Parameter!$F$35:$G$64,2,0),2)),IF(OR(BZ1233="Nein",BZ1233=""),"-",BZ1233))))</f>
        <v>2</v>
      </c>
      <c r="AA1233" s="55"/>
      <c r="AB1233" s="56"/>
      <c r="AC1233" s="50" t="n">
        <f aca="false">AT1233</f>
        <v>6</v>
      </c>
      <c r="AD1233" s="50" t="n">
        <f aca="false">MAX(AT1233,H1233)</f>
        <v>8</v>
      </c>
      <c r="AE1233" s="57"/>
      <c r="AF1233" s="50" t="n">
        <f aca="false">IF(LEFT(Cockpit!$C$5,1)="A",H1233,IF(CE1233=1,CF1233,IF(LEFT(Cockpit!$C$5,1)="B",AK1233,MAX(AK1233,H1233))))</f>
        <v>8</v>
      </c>
      <c r="AG1233" s="50" t="n">
        <f aca="false">IF(BW1233=1,0,ROUNDUP(AF1233/BV1233,0))</f>
        <v>2</v>
      </c>
      <c r="AH1233" s="52" t="n">
        <f aca="false">IF(CL1233&gt;0,CL1233*MAX(1,AF1233/X1233),IF(BW1233=1,IF(AF1233&lt;=0,0,CA1233*MAX(1,IF(H1233&gt;0,AF1233/H1233,1))),IF(R1233&gt;0,AG1233/R1233,0))/MAX(0.1,N(Parameter!$M$21)))</f>
        <v>0.333333333333333</v>
      </c>
      <c r="AI1233" s="50" t="n">
        <f aca="false">AH1233*BY1233</f>
        <v>145</v>
      </c>
      <c r="AJ1233" s="50" t="n">
        <f aca="false">AF1233*G1233</f>
        <v>1050</v>
      </c>
      <c r="AK1233" s="50" t="n">
        <f aca="false">ROUNDUP(MAX(J1233/IF(CD1233&gt;0,CD1233,MAX(0.1,N(Cockpit!$C$6))),CG1233)/BV1233,0)*BV1233</f>
        <v>6</v>
      </c>
      <c r="AL1233" s="51" t="n">
        <f aca="false">IF(AI1233&gt;0,J1233/AI1233,-1)</f>
        <v>0.0413793103448276</v>
      </c>
      <c r="AM1233" s="51" t="n">
        <f aca="false">IF(AND(OR(CC1233="L1",CC1233="L23",CC1233="LIFT"),AI1233&gt;0),SUMIFS($AI$7:$AI$1843,$CC$7:$CC$1843,CC1233,$AL$7:$AL$1843,"&gt;"&amp;AL1233)+SUMIFS($AI$7:$AI$1843,$CC$7:$CC$1843,CC1233,$AL$7:$AL$1843,AL1233,$BT$7:$BT$1843,"&lt;="&amp;BT1233),"")</f>
        <v>19866.4740873533</v>
      </c>
      <c r="AN1233" s="58" t="n">
        <f aca="false">IF(AM1233="",0,MAX(0,MIN(1,(IF(CC1233="L1",Parameter!$H$5,IF(CC1233="L23",Parameter!$H$6+Parameter!$H$7,Parameter!$H$5+Parameter!$H$6+Parameter!$H$7))-(AM1233-AI1233))/AI1233)))</f>
        <v>1</v>
      </c>
      <c r="AO1233" s="50" t="n">
        <f aca="false">IF(LEFT(Cockpit!$I$5,1)="A",H1233,IF(CE1233=1,CF1233,IF(LEFT(Cockpit!$I$5,1)="B",AT1233,MAX(AT1233,H1233))))</f>
        <v>8</v>
      </c>
      <c r="AP1233" s="50" t="n">
        <f aca="false">IF(BW1233=1,0,ROUNDUP(AO1233/BV1233,0))</f>
        <v>2</v>
      </c>
      <c r="AQ1233" s="52" t="n">
        <f aca="false">IF(CL1233&gt;0,CL1233*MAX(1,AO1233/X1233),IF(BW1233=1,IF(AO1233&lt;=0,0,CA1233*MAX(1,IF(H1233&gt;0,AO1233/H1233,1))),IF(R1233&gt;0,AP1233/R1233,0))/MAX(0.1,N(Parameter!$M$21)))</f>
        <v>0.333333333333333</v>
      </c>
      <c r="AR1233" s="50" t="n">
        <f aca="false">AQ1233*BY1233</f>
        <v>145</v>
      </c>
      <c r="AS1233" s="50" t="n">
        <f aca="false">AO1233*G1233</f>
        <v>1050</v>
      </c>
      <c r="AT1233" s="50" t="n">
        <f aca="false">ROUNDUP(MAX(J1233/IF(CD1233&gt;0,CD1233,MAX(0.1,N(Cockpit!$I$6))),CG1233)/BV1233,0)*BV1233</f>
        <v>6</v>
      </c>
      <c r="AU1233" s="51" t="n">
        <f aca="false">IF(AR1233&gt;0,J1233/AR1233,-1)</f>
        <v>0.0413793103448276</v>
      </c>
      <c r="AV1233" s="51" t="n">
        <f aca="false">IF(AND(OR(CC1233="L1",CC1233="L23",CC1233="LIFT"),AR1233&gt;0),SUMIFS($AR$7:$AR$1843,$CC$7:$CC$1843,CC1233,$AU$7:$AU$1843,"&gt;"&amp;AU1233)+SUMIFS($AR$7:$AR$1843,$CC$7:$CC$1843,CC1233,$AU$7:$AU$1843,AU1233,$BT$7:$BT$1843,"&lt;="&amp;BT1233),"")</f>
        <v>30701.2816761863</v>
      </c>
      <c r="AW1233" s="58" t="n">
        <f aca="false">IF(AV1233="",0,MAX(0,MIN(1,(IF(CC1233="L1",Parameter!$H$5,IF(CC1233="L23",Parameter!$H$6+Parameter!$H$7,Parameter!$H$5+Parameter!$H$6+Parameter!$H$7))-(AV1233-AR1233))/AR1233)))</f>
        <v>1</v>
      </c>
      <c r="AX1233" s="50" t="n">
        <f aca="false">IF(LEFT(Cockpit!$O$5,1)="A",H1233,IF(CE1233=1,CF1233,IF(LEFT(Cockpit!$O$5,1)="B",BC1233,MAX(BC1233,H1233))))</f>
        <v>8</v>
      </c>
      <c r="AY1233" s="50" t="n">
        <f aca="false">IF(BW1233=1,0,ROUNDUP(AX1233/BV1233,0))</f>
        <v>2</v>
      </c>
      <c r="AZ1233" s="52" t="n">
        <f aca="false">IF(CL1233&gt;0,CL1233*MAX(1,AX1233/X1233),IF(BW1233=1,IF(AX1233&lt;=0,0,CA1233*MAX(1,IF(H1233&gt;0,AX1233/H1233,1))),IF(R1233&gt;0,AY1233/R1233,0))/MAX(0.1,N(Parameter!$M$21)))</f>
        <v>0.333333333333333</v>
      </c>
      <c r="BA1233" s="50" t="n">
        <f aca="false">AZ1233*BY1233</f>
        <v>145</v>
      </c>
      <c r="BB1233" s="50" t="n">
        <f aca="false">AX1233*G1233</f>
        <v>1050</v>
      </c>
      <c r="BC1233" s="50" t="n">
        <f aca="false">ROUNDUP(MAX(J1233/IF(CD1233&gt;0,CD1233,MAX(0.1,N(Cockpit!$O$6))),CG1233)/BV1233,0)*BV1233</f>
        <v>6</v>
      </c>
      <c r="BD1233" s="51" t="n">
        <f aca="false">IF(BA1233&gt;0,J1233/BA1233,-1)</f>
        <v>0.0413793103448276</v>
      </c>
      <c r="BE1233" s="51" t="n">
        <f aca="false">IF(AND(OR(CC1233="L1",CC1233="L23",CC1233="LIFT"),BA1233&gt;0),SUMIFS($BA$7:$BA$1843,$CC$7:$CC$1843,CC1233,$BD$7:$BD$1843,"&gt;"&amp;BD1233)+SUMIFS($BA$7:$BA$1843,$CC$7:$CC$1843,CC1233,$BD$7:$BD$1843,BD1233,$BT$7:$BT$1843,"&lt;="&amp;BT1233),"")</f>
        <v>27376.2937180522</v>
      </c>
      <c r="BF1233" s="58" t="n">
        <f aca="false">IF(BE1233="",0,MAX(0,MIN(1,(IF(CC1233="L1",Parameter!$H$5,IF(CC1233="L23",Parameter!$H$6+Parameter!$H$7,Parameter!$H$5+Parameter!$H$6+Parameter!$H$7))-(BE1233-BA1233))/BA1233)))</f>
        <v>1</v>
      </c>
      <c r="BG1233" s="48" t="str">
        <f aca="false">IF(AI1233&lt;=0,"",IF(CC1233="Aussen","Aussenlager",IF(CC1233="-","Nicht im Lift",IF(AN1233&gt;=1,"Lift",IF(AN1233&lt;=0,"Aussenlager","teilweise")))))</f>
        <v>Lift</v>
      </c>
      <c r="BH1233" s="48" t="str">
        <f aca="false">IF(AR1233&lt;=0,"",IF(CC1233="Aussen","Aussenlager",IF(CC1233="-","Nicht im Lift",IF(AW1233&gt;=1,"Lift",IF(AW1233&lt;=0,"Aussenlager","teilweise")))))</f>
        <v>Lift</v>
      </c>
      <c r="BI1233" s="48" t="str">
        <f aca="false">IF(BA1233&lt;=0,"",IF(CC1233="Aussen","Aussenlager",IF(CC1233="-","Nicht im Lift",IF(BF1233&gt;=1,"Lift",IF(BF1233&lt;=0,"Aussenlager","teilweise")))))</f>
        <v>Lift</v>
      </c>
      <c r="BJ1233" s="48" t="str">
        <f aca="false">IF(A1233="","",IF(BS1233=1,"Neu; ","")&amp;IF(AND(BS1233=0,BN1233&lt;0),"negativer Bestand (Export "&amp;BN1233&amp;"); ","")&amp;IF(J1233&lt;=0,"Kein Verbrauch; ","")&amp;IF(CL1233&gt;0,"Lift "&amp;W1233&amp;" lt. Liftbericht (Fach "&amp;X1233&amp;" Stk); ",IF(BX1233=1,"Gebinde geschätzt ("&amp;T1233&amp;"); ",IF(BW1233=1,"Lose – Tablare geschätzt; ","")))&amp;IF(H1233&gt;AT1233,"Überbestand "&amp;ROUND(H1233-AT1233,0)&amp;" Stk / CHF "&amp;ROUND((H1233-AT1233)*G1233,0)&amp;"; ","")&amp;IF(AND(CE1233=1,CF1233&lt;CG1233),"MAX &lt; MB+LG; ","")&amp;IF(AND(CK1233&gt;0,CJ1233*10&gt;CK1233),"zu hoch für Tablar; ","")&amp;IF(AND(BS1233=0,OR(CE1233=1,AA1233&lt;&gt;"",U1233&lt;&gt;"",V1233&lt;&gt;"",AB1233&lt;&gt;"")),"manuell übersteuert; ","")&amp;IF(AND(BW1233=0,R1233=0),"Gebinde unbekannt / Stellmass fehlt; ","")&amp;IF(AND(BW1233=0,N(V1233)&lt;=0,N(Q1233)&lt;=0),"Menge pro Gebinde fehlt (Ist = 1 Gebinde); ","")&amp;BR1233)</f>
        <v>negativer Bestand (Export -5); Überbestand 2 Stk / CHF 263; grosser Artikel &amp; nicht im KTL</v>
      </c>
      <c r="BK1233" s="48"/>
      <c r="BL1233" s="48"/>
      <c r="BM1233" s="55"/>
      <c r="BN1233" s="50" t="n">
        <v>-5</v>
      </c>
      <c r="BO1233" s="50" t="n">
        <v>13</v>
      </c>
      <c r="BP1233" s="49" t="n">
        <v>-656.25</v>
      </c>
      <c r="BQ1233" s="50" t="n">
        <v>6</v>
      </c>
      <c r="BR1233" s="48" t="s">
        <v>265</v>
      </c>
      <c r="BS1233" s="53" t="n">
        <v>0</v>
      </c>
      <c r="BT1233" s="53" t="n">
        <v>1233</v>
      </c>
      <c r="BU1233" s="48" t="str">
        <f aca="false">IF(U1233&lt;&gt;"",UPPER(TRIM(U1233)),IF(BX1233=1,UPPER(VLOOKUP(T1233,Parameter!$I$27:$K$29,2,0)),IF(P1233="","LOSE",P1233)))</f>
        <v>S72</v>
      </c>
      <c r="BV1233" s="50" t="n">
        <f aca="false">IF(BU1233="LOSE",1,IF(N(V1233)&gt;0,V1233,IF(BX1233=1,MAX(1,N(VLOOKUP(T1233,Parameter!$I$27:$K$29,3,0)),H1233,N(N1233)),IF(N(Q1233)&gt;0,Q1233,MAX(1,H1233)))))</f>
        <v>6</v>
      </c>
      <c r="BW1233" s="53" t="n">
        <f aca="false">IF(BU1233="LOSE",1,0)</f>
        <v>0</v>
      </c>
      <c r="BX1233" s="53" t="n">
        <f aca="false">IF(AND(U1233="",OR(P1233="",P1233="LOSE"),T1233&lt;&gt;"",N(S1233)&lt;=0,ISNUMBER(MATCH(T1233,Parameter!$I$27:$I$29,0))),1,0)</f>
        <v>0</v>
      </c>
      <c r="BY1233" s="53" t="n">
        <f aca="false">IF(CL1233&gt;0,INDEX(Parameter!$H$5:$H$7,W1233)/INDEX(Parameter!$E$5:$E$7,W1233),IF(AND(BW1233=0,N(IFERROR(VLOOKUP(BU1233,'Gebinde-Kategorie'!$A$5:$N$45,14,0),0))&gt;0),VLOOKUP(BU1233,'Gebinde-Kategorie'!$A$5:$N$45,14,0)*10+Parameter!$M$23,Parameter!$M$24))</f>
        <v>435</v>
      </c>
      <c r="BZ1233" s="48" t="str">
        <f aca="false">IF(AND(Parameter!$B$19="Ja",E1233&lt;&gt;"",ISNUMBER(MATCH(E1233,Parameter!$I$35:$I$52,0))),VLOOKUP(E1233,Parameter!$I$35:$J$52,2,0),IFERROR(VLOOKUP(D1233,Parameter!$A$35:$C$64,2,0),"Nein"))</f>
        <v>2+3</v>
      </c>
      <c r="CA1233" s="52" t="n">
        <f aca="false">IF(BW1233=0,0,IF(N(S1233)&gt;0,S1233,IFERROR(VLOOKUP(D1233,Parameter!$A$35:$C$64,3,0)+0,0)))</f>
        <v>0</v>
      </c>
      <c r="CB1233" s="48" t="n">
        <f aca="false">IF(AA1233&lt;&gt;"",AA1233,Z1233)</f>
        <v>2</v>
      </c>
      <c r="CC1233" s="48" t="str">
        <f aca="false">IF(OR(CB1233=1,CB1233=2,CB1233=3),IF(Parameter!$E$27="Ja","LIFT",IF(CB1233=1,"L1","L23")),IF(CB1233="Aussen","Aussen","-"))</f>
        <v>LIFT</v>
      </c>
      <c r="CD1233" s="59" t="n">
        <f aca="false">IF(N(AB1233)&gt;0,AB1233,0)</f>
        <v>0</v>
      </c>
      <c r="CE1233" s="53" t="n">
        <f aca="false">IF(ISNUMBER(AE1233),1,0)</f>
        <v>0</v>
      </c>
      <c r="CF1233" s="50" t="n">
        <f aca="false">N(AE1233)</f>
        <v>0</v>
      </c>
      <c r="CG1233" s="50" t="n">
        <f aca="false">N(M1233)+N(N1233)</f>
        <v>5</v>
      </c>
      <c r="CH1233" s="50" t="n">
        <f aca="false">ROUNDUP(H1233/BV1233,0)</f>
        <v>2</v>
      </c>
      <c r="CI1233" s="50" t="n">
        <f aca="false">ROUNDUP(CF1233/BV1233,0)</f>
        <v>0</v>
      </c>
      <c r="CJ1233" s="53" t="n">
        <f aca="false">IF(BW1233=1,0,IFERROR(VLOOKUP(BU1233,'Gebinde-Kategorie'!$A$5:$N$45,5,0)+0,0))</f>
        <v>40</v>
      </c>
      <c r="CK1233" s="53" t="n">
        <f aca="false">IFERROR(IF(OR(CB1233=1,CB1233=2,CB1233=3),N(INDEX(Parameter!$I$5:$I$7,CB1233)),0),0)</f>
        <v>0</v>
      </c>
      <c r="CL1233" s="52" t="n">
        <f aca="false">IF(AND(Parameter!$B$21="Ja",ISNUMBER(W1233),N(X1233)&gt;0),IFERROR(N(INDEX(Parameter!$L$5:$L$7,W1233))*INDEX(Parameter!$E$5:$E$7,W1233)*X1233/SUMIFS($X$7:$X$1843,$W$7:$W$1843,W1233),0),0)</f>
        <v>0</v>
      </c>
    </row>
    <row r="1234" customFormat="false" ht="15" hidden="false" customHeight="false" outlineLevel="0" collapsed="false">
      <c r="A1234" s="48" t="s">
        <v>2213</v>
      </c>
      <c r="B1234" s="48" t="s">
        <v>2214</v>
      </c>
      <c r="C1234" s="48" t="s">
        <v>460</v>
      </c>
      <c r="D1234" s="48" t="s">
        <v>177</v>
      </c>
      <c r="E1234" s="48"/>
      <c r="F1234" s="48" t="s">
        <v>222</v>
      </c>
      <c r="G1234" s="49" t="n">
        <v>94.82</v>
      </c>
      <c r="H1234" s="50" t="n">
        <f aca="false">MAX(0,IF(AND(Parameter!$B$21="Ja",ISNUMBER(Y1234)),Y1234,IF(Parameter!$B$20="Jahresanfang 2025 + Export",BO1234+BN1234,BN1234)))</f>
        <v>0</v>
      </c>
      <c r="I1234" s="50" t="n">
        <f aca="false">H1234*G1234</f>
        <v>0</v>
      </c>
      <c r="J1234" s="50" t="n">
        <f aca="false">BQ1234*Parameter!$B$18</f>
        <v>0</v>
      </c>
      <c r="K1234" s="51" t="n">
        <v>3.5</v>
      </c>
      <c r="L1234" s="52" t="n">
        <v>0</v>
      </c>
      <c r="M1234" s="50" t="n">
        <v>0</v>
      </c>
      <c r="N1234" s="50" t="n">
        <v>1</v>
      </c>
      <c r="O1234" s="53" t="n">
        <v>56</v>
      </c>
      <c r="P1234" s="48" t="s">
        <v>172</v>
      </c>
      <c r="Q1234" s="50"/>
      <c r="R1234" s="53" t="n">
        <f aca="false">IF(BW1234=1,0,IFERROR(VLOOKUP(BU1234,'Gebinde-Kategorie'!$A$5:$N$45,13,0)+0,0))</f>
        <v>4</v>
      </c>
      <c r="S1234" s="54"/>
      <c r="T1234" s="55" t="s">
        <v>193</v>
      </c>
      <c r="U1234" s="55"/>
      <c r="V1234" s="55"/>
      <c r="W1234" s="48"/>
      <c r="X1234" s="50"/>
      <c r="Y1234" s="50"/>
      <c r="Z1234" s="48" t="n">
        <f aca="false">IF(A1234="","",IF(AND(Parameter!$B$21="Ja",ISNUMBER(W1234)),W1234,IF(BZ1234="2+3",IF(ISNUMBER(SEARCH("grosser Artikel",BR1234)),2,IFERROR(VLOOKUP(BU1234,Parameter!$F$35:$G$64,2,0),2)),IF(OR(BZ1234="Nein",BZ1234=""),"-",BZ1234))))</f>
        <v>2</v>
      </c>
      <c r="AA1234" s="55"/>
      <c r="AB1234" s="56"/>
      <c r="AC1234" s="50" t="n">
        <f aca="false">AT1234</f>
        <v>2</v>
      </c>
      <c r="AD1234" s="50" t="n">
        <f aca="false">MAX(AT1234,H1234)</f>
        <v>2</v>
      </c>
      <c r="AE1234" s="57"/>
      <c r="AF1234" s="50" t="n">
        <f aca="false">IF(LEFT(Cockpit!$C$5,1)="A",H1234,IF(CE1234=1,CF1234,IF(LEFT(Cockpit!$C$5,1)="B",AK1234,MAX(AK1234,H1234))))</f>
        <v>0</v>
      </c>
      <c r="AG1234" s="50" t="n">
        <f aca="false">IF(BW1234=1,0,ROUNDUP(AF1234/BV1234,0))</f>
        <v>0</v>
      </c>
      <c r="AH1234" s="52" t="n">
        <f aca="false">IF(CL1234&gt;0,CL1234*MAX(1,AF1234/X1234),IF(BW1234=1,IF(AF1234&lt;=0,0,CA1234*MAX(1,IF(H1234&gt;0,AF1234/H1234,1))),IF(R1234&gt;0,AG1234/R1234,0))/MAX(0.1,N(Parameter!$M$21)))</f>
        <v>0</v>
      </c>
      <c r="AI1234" s="50" t="n">
        <f aca="false">AH1234*BY1234</f>
        <v>0</v>
      </c>
      <c r="AJ1234" s="50" t="n">
        <f aca="false">AF1234*G1234</f>
        <v>0</v>
      </c>
      <c r="AK1234" s="50" t="n">
        <f aca="false">ROUNDUP(MAX(J1234/IF(CD1234&gt;0,CD1234,MAX(0.1,N(Cockpit!$C$6))),CG1234)/BV1234,0)*BV1234</f>
        <v>2</v>
      </c>
      <c r="AL1234" s="51" t="n">
        <f aca="false">IF(AI1234&gt;0,J1234/AI1234,-1)</f>
        <v>-1</v>
      </c>
      <c r="AM1234" s="51" t="str">
        <f aca="false">IF(AND(OR(CC1234="L1",CC1234="L23",CC1234="LIFT"),AI1234&gt;0),SUMIFS($AI$7:$AI$1843,$CC$7:$CC$1843,CC1234,$AL$7:$AL$1843,"&gt;"&amp;AL1234)+SUMIFS($AI$7:$AI$1843,$CC$7:$CC$1843,CC1234,$AL$7:$AL$1843,AL1234,$BT$7:$BT$1843,"&lt;="&amp;BT1234),"")</f>
        <v/>
      </c>
      <c r="AN1234" s="58" t="n">
        <f aca="false">IF(AM1234="",0,MAX(0,MIN(1,(IF(CC1234="L1",Parameter!$H$5,IF(CC1234="L23",Parameter!$H$6+Parameter!$H$7,Parameter!$H$5+Parameter!$H$6+Parameter!$H$7))-(AM1234-AI1234))/AI1234)))</f>
        <v>0</v>
      </c>
      <c r="AO1234" s="50" t="n">
        <f aca="false">IF(LEFT(Cockpit!$I$5,1)="A",H1234,IF(CE1234=1,CF1234,IF(LEFT(Cockpit!$I$5,1)="B",AT1234,MAX(AT1234,H1234))))</f>
        <v>2</v>
      </c>
      <c r="AP1234" s="50" t="n">
        <f aca="false">IF(BW1234=1,0,ROUNDUP(AO1234/BV1234,0))</f>
        <v>1</v>
      </c>
      <c r="AQ1234" s="52" t="n">
        <f aca="false">IF(CL1234&gt;0,CL1234*MAX(1,AO1234/X1234),IF(BW1234=1,IF(AO1234&lt;=0,0,CA1234*MAX(1,IF(H1234&gt;0,AO1234/H1234,1))),IF(R1234&gt;0,AP1234/R1234,0))/MAX(0.1,N(Parameter!$M$21)))</f>
        <v>0.25</v>
      </c>
      <c r="AR1234" s="50" t="n">
        <f aca="false">AQ1234*BY1234</f>
        <v>58.75</v>
      </c>
      <c r="AS1234" s="50" t="n">
        <f aca="false">AO1234*G1234</f>
        <v>189.64</v>
      </c>
      <c r="AT1234" s="50" t="n">
        <f aca="false">ROUNDUP(MAX(J1234/IF(CD1234&gt;0,CD1234,MAX(0.1,N(Cockpit!$I$6))),CG1234)/BV1234,0)*BV1234</f>
        <v>2</v>
      </c>
      <c r="AU1234" s="51" t="n">
        <f aca="false">IF(AR1234&gt;0,J1234/AR1234,-1)</f>
        <v>0</v>
      </c>
      <c r="AV1234" s="51" t="n">
        <f aca="false">IF(AND(OR(CC1234="L1",CC1234="L23",CC1234="LIFT"),AR1234&gt;0),SUMIFS($AR$7:$AR$1843,$CC$7:$CC$1843,CC1234,$AU$7:$AU$1843,"&gt;"&amp;AU1234)+SUMIFS($AR$7:$AR$1843,$CC$7:$CC$1843,CC1234,$AU$7:$AU$1843,AU1234,$BT$7:$BT$1843,"&lt;="&amp;BT1234),"")</f>
        <v>41334.7596231452</v>
      </c>
      <c r="AW1234" s="58" t="n">
        <f aca="false">IF(AV1234="",0,MAX(0,MIN(1,(IF(CC1234="L1",Parameter!$H$5,IF(CC1234="L23",Parameter!$H$6+Parameter!$H$7,Parameter!$H$5+Parameter!$H$6+Parameter!$H$7))-(AV1234-AR1234))/AR1234)))</f>
        <v>0</v>
      </c>
      <c r="AX1234" s="50" t="n">
        <f aca="false">IF(LEFT(Cockpit!$O$5,1)="A",H1234,IF(CE1234=1,CF1234,IF(LEFT(Cockpit!$O$5,1)="B",BC1234,MAX(BC1234,H1234))))</f>
        <v>2</v>
      </c>
      <c r="AY1234" s="50" t="n">
        <f aca="false">IF(BW1234=1,0,ROUNDUP(AX1234/BV1234,0))</f>
        <v>1</v>
      </c>
      <c r="AZ1234" s="52" t="n">
        <f aca="false">IF(CL1234&gt;0,CL1234*MAX(1,AX1234/X1234),IF(BW1234=1,IF(AX1234&lt;=0,0,CA1234*MAX(1,IF(H1234&gt;0,AX1234/H1234,1))),IF(R1234&gt;0,AY1234/R1234,0))/MAX(0.1,N(Parameter!$M$21)))</f>
        <v>0.25</v>
      </c>
      <c r="BA1234" s="50" t="n">
        <f aca="false">AZ1234*BY1234</f>
        <v>58.75</v>
      </c>
      <c r="BB1234" s="50" t="n">
        <f aca="false">AX1234*G1234</f>
        <v>189.64</v>
      </c>
      <c r="BC1234" s="50" t="n">
        <f aca="false">ROUNDUP(MAX(J1234/IF(CD1234&gt;0,CD1234,MAX(0.1,N(Cockpit!$O$6))),CG1234)/BV1234,0)*BV1234</f>
        <v>2</v>
      </c>
      <c r="BD1234" s="51" t="n">
        <f aca="false">IF(BA1234&gt;0,J1234/BA1234,-1)</f>
        <v>0</v>
      </c>
      <c r="BE1234" s="51" t="n">
        <f aca="false">IF(AND(OR(CC1234="L1",CC1234="L23",CC1234="LIFT"),BA1234&gt;0),SUMIFS($BA$7:$BA$1843,$CC$7:$CC$1843,CC1234,$BD$7:$BD$1843,"&gt;"&amp;BD1234)+SUMIFS($BA$7:$BA$1843,$CC$7:$CC$1843,CC1234,$BD$7:$BD$1843,BD1234,$BT$7:$BT$1843,"&lt;="&amp;BT1234),"")</f>
        <v>38009.7716650111</v>
      </c>
      <c r="BF1234" s="58" t="n">
        <f aca="false">IF(BE1234="",0,MAX(0,MIN(1,(IF(CC1234="L1",Parameter!$H$5,IF(CC1234="L23",Parameter!$H$6+Parameter!$H$7,Parameter!$H$5+Parameter!$H$6+Parameter!$H$7))-(BE1234-BA1234))/BA1234)))</f>
        <v>0</v>
      </c>
      <c r="BG1234" s="48" t="str">
        <f aca="false">IF(AI1234&lt;=0,"",IF(CC1234="Aussen","Aussenlager",IF(CC1234="-","Nicht im Lift",IF(AN1234&gt;=1,"Lift",IF(AN1234&lt;=0,"Aussenlager","teilweise")))))</f>
        <v/>
      </c>
      <c r="BH1234" s="48" t="str">
        <f aca="false">IF(AR1234&lt;=0,"",IF(CC1234="Aussen","Aussenlager",IF(CC1234="-","Nicht im Lift",IF(AW1234&gt;=1,"Lift",IF(AW1234&lt;=0,"Aussenlager","teilweise")))))</f>
        <v>Aussenlager</v>
      </c>
      <c r="BI1234" s="48" t="str">
        <f aca="false">IF(BA1234&lt;=0,"",IF(CC1234="Aussen","Aussenlager",IF(CC1234="-","Nicht im Lift",IF(BF1234&gt;=1,"Lift",IF(BF1234&lt;=0,"Aussenlager","teilweise")))))</f>
        <v>Aussenlager</v>
      </c>
      <c r="BJ1234" s="48" t="str">
        <f aca="false">IF(A1234="","",IF(BS1234=1,"Neu; ","")&amp;IF(AND(BS1234=0,BN1234&lt;0),"negativer Bestand (Export "&amp;BN1234&amp;"); ","")&amp;IF(J1234&lt;=0,"Kein Verbrauch; ","")&amp;IF(CL1234&gt;0,"Lift "&amp;W1234&amp;" lt. Liftbericht (Fach "&amp;X1234&amp;" Stk); ",IF(BX1234=1,"Gebinde geschätzt ("&amp;T1234&amp;"); ",IF(BW1234=1,"Lose – Tablare geschätzt; ","")))&amp;IF(H1234&gt;AT1234,"Überbestand "&amp;ROUND(H1234-AT1234,0)&amp;" Stk / CHF "&amp;ROUND((H1234-AT1234)*G1234,0)&amp;"; ","")&amp;IF(AND(CE1234=1,CF1234&lt;CG1234),"MAX &lt; MB+LG; ","")&amp;IF(AND(CK1234&gt;0,CJ1234*10&gt;CK1234),"zu hoch für Tablar; ","")&amp;IF(AND(BS1234=0,OR(CE1234=1,AA1234&lt;&gt;"",U1234&lt;&gt;"",V1234&lt;&gt;"",AB1234&lt;&gt;"")),"manuell übersteuert; ","")&amp;IF(AND(BW1234=0,R1234=0),"Gebinde unbekannt / Stellmass fehlt; ","")&amp;IF(AND(BW1234=0,N(V1234)&lt;=0,N(Q1234)&lt;=0),"Menge pro Gebinde fehlt (Ist = 1 Gebinde); ","")&amp;BR1234)</f>
        <v>negativer Bestand (Export -7); Kein Verbrauch; Gebinde geschätzt (Gross); Menge pro Gebinde fehlt (Ist = 1 Gebinde); Neuer Art.</v>
      </c>
      <c r="BK1234" s="48"/>
      <c r="BL1234" s="48"/>
      <c r="BM1234" s="55"/>
      <c r="BN1234" s="50" t="n">
        <v>-7</v>
      </c>
      <c r="BO1234" s="50" t="n">
        <v>7</v>
      </c>
      <c r="BP1234" s="49" t="n">
        <v>-663.74</v>
      </c>
      <c r="BQ1234" s="50" t="n">
        <v>0</v>
      </c>
      <c r="BR1234" s="48" t="s">
        <v>516</v>
      </c>
      <c r="BS1234" s="53" t="n">
        <v>0</v>
      </c>
      <c r="BT1234" s="53" t="n">
        <v>1234</v>
      </c>
      <c r="BU1234" s="48" t="str">
        <f aca="false">IF(U1234&lt;&gt;"",UPPER(TRIM(U1234)),IF(BX1234=1,UPPER(VLOOKUP(T1234,Parameter!$I$27:$K$29,2,0)),IF(P1234="","LOSE",P1234)))</f>
        <v>S81</v>
      </c>
      <c r="BV1234" s="50" t="n">
        <f aca="false">IF(BU1234="LOSE",1,IF(N(V1234)&gt;0,V1234,IF(BX1234=1,MAX(1,N(VLOOKUP(T1234,Parameter!$I$27:$K$29,3,0)),H1234,N(N1234)),IF(N(Q1234)&gt;0,Q1234,MAX(1,H1234)))))</f>
        <v>2</v>
      </c>
      <c r="BW1234" s="53" t="n">
        <f aca="false">IF(BU1234="LOSE",1,0)</f>
        <v>0</v>
      </c>
      <c r="BX1234" s="53" t="n">
        <f aca="false">IF(AND(U1234="",OR(P1234="",P1234="LOSE"),T1234&lt;&gt;"",N(S1234)&lt;=0,ISNUMBER(MATCH(T1234,Parameter!$I$27:$I$29,0))),1,0)</f>
        <v>1</v>
      </c>
      <c r="BY1234" s="53" t="n">
        <f aca="false">IF(CL1234&gt;0,INDEX(Parameter!$H$5:$H$7,W1234)/INDEX(Parameter!$E$5:$E$7,W1234),IF(AND(BW1234=0,N(IFERROR(VLOOKUP(BU1234,'Gebinde-Kategorie'!$A$5:$N$45,14,0),0))&gt;0),VLOOKUP(BU1234,'Gebinde-Kategorie'!$A$5:$N$45,14,0)*10+Parameter!$M$23,Parameter!$M$24))</f>
        <v>235</v>
      </c>
      <c r="BZ1234" s="48" t="str">
        <f aca="false">IF(AND(Parameter!$B$19="Ja",E1234&lt;&gt;"",ISNUMBER(MATCH(E1234,Parameter!$I$35:$I$52,0))),VLOOKUP(E1234,Parameter!$I$35:$J$52,2,0),IFERROR(VLOOKUP(D1234,Parameter!$A$35:$C$64,2,0),"Nein"))</f>
        <v>2+3</v>
      </c>
      <c r="CA1234" s="52" t="n">
        <f aca="false">IF(BW1234=0,0,IF(N(S1234)&gt;0,S1234,IFERROR(VLOOKUP(D1234,Parameter!$A$35:$C$64,3,0)+0,0)))</f>
        <v>0</v>
      </c>
      <c r="CB1234" s="48" t="n">
        <f aca="false">IF(AA1234&lt;&gt;"",AA1234,Z1234)</f>
        <v>2</v>
      </c>
      <c r="CC1234" s="48" t="str">
        <f aca="false">IF(OR(CB1234=1,CB1234=2,CB1234=3),IF(Parameter!$E$27="Ja","LIFT",IF(CB1234=1,"L1","L23")),IF(CB1234="Aussen","Aussen","-"))</f>
        <v>LIFT</v>
      </c>
      <c r="CD1234" s="59" t="n">
        <f aca="false">IF(N(AB1234)&gt;0,AB1234,0)</f>
        <v>0</v>
      </c>
      <c r="CE1234" s="53" t="n">
        <f aca="false">IF(ISNUMBER(AE1234),1,0)</f>
        <v>0</v>
      </c>
      <c r="CF1234" s="50" t="n">
        <f aca="false">N(AE1234)</f>
        <v>0</v>
      </c>
      <c r="CG1234" s="50" t="n">
        <f aca="false">N(M1234)+N(N1234)</f>
        <v>1</v>
      </c>
      <c r="CH1234" s="50" t="n">
        <f aca="false">ROUNDUP(H1234/BV1234,0)</f>
        <v>0</v>
      </c>
      <c r="CI1234" s="50" t="n">
        <f aca="false">ROUNDUP(CF1234/BV1234,0)</f>
        <v>0</v>
      </c>
      <c r="CJ1234" s="53" t="n">
        <f aca="false">IF(BW1234=1,0,IFERROR(VLOOKUP(BU1234,'Gebinde-Kategorie'!$A$5:$N$45,5,0)+0,0))</f>
        <v>20</v>
      </c>
      <c r="CK1234" s="53" t="n">
        <f aca="false">IFERROR(IF(OR(CB1234=1,CB1234=2,CB1234=3),N(INDEX(Parameter!$I$5:$I$7,CB1234)),0),0)</f>
        <v>0</v>
      </c>
      <c r="CL1234" s="52" t="n">
        <f aca="false">IF(AND(Parameter!$B$21="Ja",ISNUMBER(W1234),N(X1234)&gt;0),IFERROR(N(INDEX(Parameter!$L$5:$L$7,W1234))*INDEX(Parameter!$E$5:$E$7,W1234)*X1234/SUMIFS($X$7:$X$1843,$W$7:$W$1843,W1234),0),0)</f>
        <v>0</v>
      </c>
    </row>
    <row r="1235" customFormat="false" ht="15" hidden="false" customHeight="false" outlineLevel="0" collapsed="false">
      <c r="A1235" s="48" t="s">
        <v>2215</v>
      </c>
      <c r="B1235" s="48" t="s">
        <v>2131</v>
      </c>
      <c r="C1235" s="48" t="s">
        <v>168</v>
      </c>
      <c r="D1235" s="48" t="s">
        <v>188</v>
      </c>
      <c r="E1235" s="48" t="s">
        <v>170</v>
      </c>
      <c r="F1235" s="48" t="s">
        <v>222</v>
      </c>
      <c r="G1235" s="49" t="n">
        <v>54.19</v>
      </c>
      <c r="H1235" s="50" t="n">
        <f aca="false">MAX(0,IF(AND(Parameter!$B$21="Ja",ISNUMBER(Y1235)),Y1235,IF(Parameter!$B$20="Jahresanfang 2025 + Export",BO1235+BN1235,BN1235)))</f>
        <v>64</v>
      </c>
      <c r="I1235" s="50" t="n">
        <f aca="false">H1235*G1235</f>
        <v>3468.16</v>
      </c>
      <c r="J1235" s="50" t="n">
        <f aca="false">BQ1235*Parameter!$B$18</f>
        <v>254</v>
      </c>
      <c r="K1235" s="51" t="n">
        <v>77.5</v>
      </c>
      <c r="L1235" s="52" t="n">
        <v>3.27741935483871</v>
      </c>
      <c r="M1235" s="50" t="n">
        <v>14</v>
      </c>
      <c r="N1235" s="50" t="n">
        <v>30</v>
      </c>
      <c r="O1235" s="53" t="n">
        <v>21</v>
      </c>
      <c r="P1235" s="48" t="s">
        <v>306</v>
      </c>
      <c r="Q1235" s="50" t="n">
        <v>54</v>
      </c>
      <c r="R1235" s="53" t="n">
        <f aca="false">IF(BW1235=1,0,IFERROR(VLOOKUP(BU1235,'Gebinde-Kategorie'!$A$5:$N$45,13,0)+0,0))</f>
        <v>26</v>
      </c>
      <c r="S1235" s="54"/>
      <c r="T1235" s="55"/>
      <c r="U1235" s="55"/>
      <c r="V1235" s="55"/>
      <c r="W1235" s="48"/>
      <c r="X1235" s="50"/>
      <c r="Y1235" s="50"/>
      <c r="Z1235" s="48" t="n">
        <f aca="false">IF(A1235="","",IF(AND(Parameter!$B$21="Ja",ISNUMBER(W1235)),W1235,IF(BZ1235="2+3",IF(ISNUMBER(SEARCH("grosser Artikel",BR1235)),2,IFERROR(VLOOKUP(BU1235,Parameter!$F$35:$G$64,2,0),2)),IF(OR(BZ1235="Nein",BZ1235=""),"-",BZ1235))))</f>
        <v>1</v>
      </c>
      <c r="AA1235" s="55"/>
      <c r="AB1235" s="56"/>
      <c r="AC1235" s="50" t="n">
        <f aca="false">AT1235</f>
        <v>162</v>
      </c>
      <c r="AD1235" s="50" t="n">
        <f aca="false">MAX(AT1235,H1235)</f>
        <v>162</v>
      </c>
      <c r="AE1235" s="57"/>
      <c r="AF1235" s="50" t="n">
        <f aca="false">IF(LEFT(Cockpit!$C$5,1)="A",H1235,IF(CE1235=1,CF1235,IF(LEFT(Cockpit!$C$5,1)="B",AK1235,MAX(AK1235,H1235))))</f>
        <v>64</v>
      </c>
      <c r="AG1235" s="50" t="n">
        <f aca="false">IF(BW1235=1,0,ROUNDUP(AF1235/BV1235,0))</f>
        <v>2</v>
      </c>
      <c r="AH1235" s="52" t="n">
        <f aca="false">IF(CL1235&gt;0,CL1235*MAX(1,AF1235/X1235),IF(BW1235=1,IF(AF1235&lt;=0,0,CA1235*MAX(1,IF(H1235&gt;0,AF1235/H1235,1))),IF(R1235&gt;0,AG1235/R1235,0))/MAX(0.1,N(Parameter!$M$21)))</f>
        <v>0.0769230769230769</v>
      </c>
      <c r="AI1235" s="50" t="n">
        <f aca="false">AH1235*BY1235</f>
        <v>11.9230769230769</v>
      </c>
      <c r="AJ1235" s="50" t="n">
        <f aca="false">AF1235*G1235</f>
        <v>3468.16</v>
      </c>
      <c r="AK1235" s="50" t="n">
        <f aca="false">ROUNDUP(MAX(J1235/IF(CD1235&gt;0,CD1235,MAX(0.1,N(Cockpit!$C$6))),CG1235)/BV1235,0)*BV1235</f>
        <v>162</v>
      </c>
      <c r="AL1235" s="51" t="n">
        <f aca="false">IF(AI1235&gt;0,J1235/AI1235,-1)</f>
        <v>21.3032258064516</v>
      </c>
      <c r="AM1235" s="51" t="n">
        <f aca="false">IF(AND(OR(CC1235="L1",CC1235="L23",CC1235="LIFT"),AI1235&gt;0),SUMIFS($AI$7:$AI$1843,$CC$7:$CC$1843,CC1235,$AL$7:$AL$1843,"&gt;"&amp;AL1235)+SUMIFS($AI$7:$AI$1843,$CC$7:$CC$1843,CC1235,$AL$7:$AL$1843,AL1235,$BT$7:$BT$1843,"&lt;="&amp;BT1235),"")</f>
        <v>1637.26007326007</v>
      </c>
      <c r="AN1235" s="58" t="n">
        <f aca="false">IF(AM1235="",0,MAX(0,MIN(1,(IF(CC1235="L1",Parameter!$H$5,IF(CC1235="L23",Parameter!$H$6+Parameter!$H$7,Parameter!$H$5+Parameter!$H$6+Parameter!$H$7))-(AM1235-AI1235))/AI1235)))</f>
        <v>1</v>
      </c>
      <c r="AO1235" s="50" t="n">
        <f aca="false">IF(LEFT(Cockpit!$I$5,1)="A",H1235,IF(CE1235=1,CF1235,IF(LEFT(Cockpit!$I$5,1)="B",AT1235,MAX(AT1235,H1235))))</f>
        <v>162</v>
      </c>
      <c r="AP1235" s="50" t="n">
        <f aca="false">IF(BW1235=1,0,ROUNDUP(AO1235/BV1235,0))</f>
        <v>3</v>
      </c>
      <c r="AQ1235" s="52" t="n">
        <f aca="false">IF(CL1235&gt;0,CL1235*MAX(1,AO1235/X1235),IF(BW1235=1,IF(AO1235&lt;=0,0,CA1235*MAX(1,IF(H1235&gt;0,AO1235/H1235,1))),IF(R1235&gt;0,AP1235/R1235,0))/MAX(0.1,N(Parameter!$M$21)))</f>
        <v>0.115384615384615</v>
      </c>
      <c r="AR1235" s="50" t="n">
        <f aca="false">AQ1235*BY1235</f>
        <v>17.8846153846154</v>
      </c>
      <c r="AS1235" s="50" t="n">
        <f aca="false">AO1235*G1235</f>
        <v>8778.78</v>
      </c>
      <c r="AT1235" s="50" t="n">
        <f aca="false">ROUNDUP(MAX(J1235/IF(CD1235&gt;0,CD1235,MAX(0.1,N(Cockpit!$I$6))),CG1235)/BV1235,0)*BV1235</f>
        <v>162</v>
      </c>
      <c r="AU1235" s="51" t="n">
        <f aca="false">IF(AR1235&gt;0,J1235/AR1235,-1)</f>
        <v>14.2021505376344</v>
      </c>
      <c r="AV1235" s="51" t="n">
        <f aca="false">IF(AND(OR(CC1235="L1",CC1235="L23",CC1235="LIFT"),AR1235&gt;0),SUMIFS($AR$7:$AR$1843,$CC$7:$CC$1843,CC1235,$AU$7:$AU$1843,"&gt;"&amp;AU1235)+SUMIFS($AR$7:$AR$1843,$CC$7:$CC$1843,CC1235,$AU$7:$AU$1843,AU1235,$BT$7:$BT$1843,"&lt;="&amp;BT1235),"")</f>
        <v>3336.8054029304</v>
      </c>
      <c r="AW1235" s="58" t="n">
        <f aca="false">IF(AV1235="",0,MAX(0,MIN(1,(IF(CC1235="L1",Parameter!$H$5,IF(CC1235="L23",Parameter!$H$6+Parameter!$H$7,Parameter!$H$5+Parameter!$H$6+Parameter!$H$7))-(AV1235-AR1235))/AR1235)))</f>
        <v>1</v>
      </c>
      <c r="AX1235" s="50" t="n">
        <f aca="false">IF(LEFT(Cockpit!$O$5,1)="A",H1235,IF(CE1235=1,CF1235,IF(LEFT(Cockpit!$O$5,1)="B",BC1235,MAX(BC1235,H1235))))</f>
        <v>108</v>
      </c>
      <c r="AY1235" s="50" t="n">
        <f aca="false">IF(BW1235=1,0,ROUNDUP(AX1235/BV1235,0))</f>
        <v>2</v>
      </c>
      <c r="AZ1235" s="52" t="n">
        <f aca="false">IF(CL1235&gt;0,CL1235*MAX(1,AX1235/X1235),IF(BW1235=1,IF(AX1235&lt;=0,0,CA1235*MAX(1,IF(H1235&gt;0,AX1235/H1235,1))),IF(R1235&gt;0,AY1235/R1235,0))/MAX(0.1,N(Parameter!$M$21)))</f>
        <v>0.0769230769230769</v>
      </c>
      <c r="BA1235" s="50" t="n">
        <f aca="false">AZ1235*BY1235</f>
        <v>11.9230769230769</v>
      </c>
      <c r="BB1235" s="50" t="n">
        <f aca="false">AX1235*G1235</f>
        <v>5852.52</v>
      </c>
      <c r="BC1235" s="50" t="n">
        <f aca="false">ROUNDUP(MAX(J1235/IF(CD1235&gt;0,CD1235,MAX(0.1,N(Cockpit!$O$6))),CG1235)/BV1235,0)*BV1235</f>
        <v>108</v>
      </c>
      <c r="BD1235" s="51" t="n">
        <f aca="false">IF(BA1235&gt;0,J1235/BA1235,-1)</f>
        <v>21.3032258064516</v>
      </c>
      <c r="BE1235" s="51" t="n">
        <f aca="false">IF(AND(OR(CC1235="L1",CC1235="L23",CC1235="LIFT"),BA1235&gt;0),SUMIFS($BA$7:$BA$1843,$CC$7:$CC$1843,CC1235,$BD$7:$BD$1843,"&gt;"&amp;BD1235)+SUMIFS($BA$7:$BA$1843,$CC$7:$CC$1843,CC1235,$BD$7:$BD$1843,BD1235,$BT$7:$BT$1843,"&lt;="&amp;BT1235),"")</f>
        <v>2327.56776556777</v>
      </c>
      <c r="BF1235" s="58" t="n">
        <f aca="false">IF(BE1235="",0,MAX(0,MIN(1,(IF(CC1235="L1",Parameter!$H$5,IF(CC1235="L23",Parameter!$H$6+Parameter!$H$7,Parameter!$H$5+Parameter!$H$6+Parameter!$H$7))-(BE1235-BA1235))/BA1235)))</f>
        <v>1</v>
      </c>
      <c r="BG1235" s="48" t="str">
        <f aca="false">IF(AI1235&lt;=0,"",IF(CC1235="Aussen","Aussenlager",IF(CC1235="-","Nicht im Lift",IF(AN1235&gt;=1,"Lift",IF(AN1235&lt;=0,"Aussenlager","teilweise")))))</f>
        <v>Lift</v>
      </c>
      <c r="BH1235" s="48" t="str">
        <f aca="false">IF(AR1235&lt;=0,"",IF(CC1235="Aussen","Aussenlager",IF(CC1235="-","Nicht im Lift",IF(AW1235&gt;=1,"Lift",IF(AW1235&lt;=0,"Aussenlager","teilweise")))))</f>
        <v>Lift</v>
      </c>
      <c r="BI1235" s="48" t="str">
        <f aca="false">IF(BA1235&lt;=0,"",IF(CC1235="Aussen","Aussenlager",IF(CC1235="-","Nicht im Lift",IF(BF1235&gt;=1,"Lift",IF(BF1235&lt;=0,"Aussenlager","teilweise")))))</f>
        <v>Lift</v>
      </c>
      <c r="BJ1235" s="48" t="str">
        <f aca="false">IF(A1235="","",IF(BS1235=1,"Neu; ","")&amp;IF(AND(BS1235=0,BN1235&lt;0),"negativer Bestand (Export "&amp;BN1235&amp;"); ","")&amp;IF(J1235&lt;=0,"Kein Verbrauch; ","")&amp;IF(CL1235&gt;0,"Lift "&amp;W1235&amp;" lt. Liftbericht (Fach "&amp;X1235&amp;" Stk); ",IF(BX1235=1,"Gebinde geschätzt ("&amp;T1235&amp;"); ",IF(BW1235=1,"Lose – Tablare geschätzt; ","")))&amp;IF(H1235&gt;AT1235,"Überbestand "&amp;ROUND(H1235-AT1235,0)&amp;" Stk / CHF "&amp;ROUND((H1235-AT1235)*G1235,0)&amp;"; ","")&amp;IF(AND(CE1235=1,CF1235&lt;CG1235),"MAX &lt; MB+LG; ","")&amp;IF(AND(CK1235&gt;0,CJ1235*10&gt;CK1235),"zu hoch für Tablar; ","")&amp;IF(AND(BS1235=0,OR(CE1235=1,AA1235&lt;&gt;"",U1235&lt;&gt;"",V1235&lt;&gt;"",AB1235&lt;&gt;"")),"manuell übersteuert; ","")&amp;IF(AND(BW1235=0,R1235=0),"Gebinde unbekannt / Stellmass fehlt; ","")&amp;IF(AND(BW1235=0,N(V1235)&lt;=0,N(Q1235)&lt;=0),"Menge pro Gebinde fehlt (Ist = 1 Gebinde); ","")&amp;BR1235)</f>
        <v/>
      </c>
      <c r="BK1235" s="48"/>
      <c r="BL1235" s="48"/>
      <c r="BM1235" s="55"/>
      <c r="BN1235" s="50" t="n">
        <v>8</v>
      </c>
      <c r="BO1235" s="50" t="n">
        <v>56</v>
      </c>
      <c r="BP1235" s="49" t="n">
        <v>-673.040000000002</v>
      </c>
      <c r="BQ1235" s="50" t="n">
        <v>254</v>
      </c>
      <c r="BR1235" s="48"/>
      <c r="BS1235" s="53" t="n">
        <v>0</v>
      </c>
      <c r="BT1235" s="53" t="n">
        <v>1235</v>
      </c>
      <c r="BU1235" s="48" t="str">
        <f aca="false">IF(U1235&lt;&gt;"",UPPER(TRIM(U1235)),IF(BX1235=1,UPPER(VLOOKUP(T1235,Parameter!$I$27:$K$29,2,0)),IF(P1235="","LOSE",P1235)))</f>
        <v>S51</v>
      </c>
      <c r="BV1235" s="50" t="n">
        <f aca="false">IF(BU1235="LOSE",1,IF(N(V1235)&gt;0,V1235,IF(BX1235=1,MAX(1,N(VLOOKUP(T1235,Parameter!$I$27:$K$29,3,0)),H1235,N(N1235)),IF(N(Q1235)&gt;0,Q1235,MAX(1,H1235)))))</f>
        <v>54</v>
      </c>
      <c r="BW1235" s="53" t="n">
        <f aca="false">IF(BU1235="LOSE",1,0)</f>
        <v>0</v>
      </c>
      <c r="BX1235" s="53" t="n">
        <f aca="false">IF(AND(U1235="",OR(P1235="",P1235="LOSE"),T1235&lt;&gt;"",N(S1235)&lt;=0,ISNUMBER(MATCH(T1235,Parameter!$I$27:$I$29,0))),1,0)</f>
        <v>0</v>
      </c>
      <c r="BY1235" s="53" t="n">
        <f aca="false">IF(CL1235&gt;0,INDEX(Parameter!$H$5:$H$7,W1235)/INDEX(Parameter!$E$5:$E$7,W1235),IF(AND(BW1235=0,N(IFERROR(VLOOKUP(BU1235,'Gebinde-Kategorie'!$A$5:$N$45,14,0),0))&gt;0),VLOOKUP(BU1235,'Gebinde-Kategorie'!$A$5:$N$45,14,0)*10+Parameter!$M$23,Parameter!$M$24))</f>
        <v>155</v>
      </c>
      <c r="BZ1235" s="48" t="n">
        <f aca="false">IF(AND(Parameter!$B$19="Ja",E1235&lt;&gt;"",ISNUMBER(MATCH(E1235,Parameter!$I$35:$I$52,0))),VLOOKUP(E1235,Parameter!$I$35:$J$52,2,0),IFERROR(VLOOKUP(D1235,Parameter!$A$35:$C$64,2,0),"Nein"))</f>
        <v>1</v>
      </c>
      <c r="CA1235" s="52" t="n">
        <f aca="false">IF(BW1235=0,0,IF(N(S1235)&gt;0,S1235,IFERROR(VLOOKUP(D1235,Parameter!$A$35:$C$64,3,0)+0,0)))</f>
        <v>0</v>
      </c>
      <c r="CB1235" s="48" t="n">
        <f aca="false">IF(AA1235&lt;&gt;"",AA1235,Z1235)</f>
        <v>1</v>
      </c>
      <c r="CC1235" s="48" t="str">
        <f aca="false">IF(OR(CB1235=1,CB1235=2,CB1235=3),IF(Parameter!$E$27="Ja","LIFT",IF(CB1235=1,"L1","L23")),IF(CB1235="Aussen","Aussen","-"))</f>
        <v>LIFT</v>
      </c>
      <c r="CD1235" s="59" t="n">
        <f aca="false">IF(N(AB1235)&gt;0,AB1235,0)</f>
        <v>0</v>
      </c>
      <c r="CE1235" s="53" t="n">
        <f aca="false">IF(ISNUMBER(AE1235),1,0)</f>
        <v>0</v>
      </c>
      <c r="CF1235" s="50" t="n">
        <f aca="false">N(AE1235)</f>
        <v>0</v>
      </c>
      <c r="CG1235" s="50" t="n">
        <f aca="false">N(M1235)+N(N1235)</f>
        <v>44</v>
      </c>
      <c r="CH1235" s="50" t="n">
        <f aca="false">ROUNDUP(H1235/BV1235,0)</f>
        <v>2</v>
      </c>
      <c r="CI1235" s="50" t="n">
        <f aca="false">ROUNDUP(CF1235/BV1235,0)</f>
        <v>0</v>
      </c>
      <c r="CJ1235" s="53" t="n">
        <f aca="false">IF(BW1235=1,0,IFERROR(VLOOKUP(BU1235,'Gebinde-Kategorie'!$A$5:$N$45,5,0)+0,0))</f>
        <v>11</v>
      </c>
      <c r="CK1235" s="53" t="n">
        <f aca="false">IFERROR(IF(OR(CB1235=1,CB1235=2,CB1235=3),N(INDEX(Parameter!$I$5:$I$7,CB1235)),0),0)</f>
        <v>0</v>
      </c>
      <c r="CL1235" s="52" t="n">
        <f aca="false">IF(AND(Parameter!$B$21="Ja",ISNUMBER(W1235),N(X1235)&gt;0),IFERROR(N(INDEX(Parameter!$L$5:$L$7,W1235))*INDEX(Parameter!$E$5:$E$7,W1235)*X1235/SUMIFS($X$7:$X$1843,$W$7:$W$1843,W1235),0),0)</f>
        <v>0</v>
      </c>
    </row>
    <row r="1236" customFormat="false" ht="15" hidden="false" customHeight="false" outlineLevel="0" collapsed="false">
      <c r="A1236" s="48" t="s">
        <v>2216</v>
      </c>
      <c r="B1236" s="48" t="s">
        <v>2217</v>
      </c>
      <c r="C1236" s="48" t="s">
        <v>460</v>
      </c>
      <c r="D1236" s="48" t="s">
        <v>177</v>
      </c>
      <c r="E1236" s="48" t="s">
        <v>1483</v>
      </c>
      <c r="F1236" s="48" t="s">
        <v>222</v>
      </c>
      <c r="G1236" s="49" t="n">
        <v>67.89</v>
      </c>
      <c r="H1236" s="50" t="n">
        <f aca="false">MAX(0,IF(AND(Parameter!$B$21="Ja",ISNUMBER(Y1236)),Y1236,IF(Parameter!$B$20="Jahresanfang 2025 + Export",BO1236+BN1236,BN1236)))</f>
        <v>0</v>
      </c>
      <c r="I1236" s="50" t="n">
        <f aca="false">H1236*G1236</f>
        <v>0</v>
      </c>
      <c r="J1236" s="50" t="n">
        <f aca="false">BQ1236*Parameter!$B$18</f>
        <v>0</v>
      </c>
      <c r="K1236" s="51" t="n">
        <v>5</v>
      </c>
      <c r="L1236" s="52" t="n">
        <v>0</v>
      </c>
      <c r="M1236" s="50" t="n">
        <v>0</v>
      </c>
      <c r="N1236" s="50" t="n">
        <v>1</v>
      </c>
      <c r="O1236" s="53" t="n">
        <v>56</v>
      </c>
      <c r="P1236" s="48" t="s">
        <v>172</v>
      </c>
      <c r="Q1236" s="50"/>
      <c r="R1236" s="53" t="n">
        <f aca="false">IF(BW1236=1,0,IFERROR(VLOOKUP(BU1236,'Gebinde-Kategorie'!$A$5:$N$45,13,0)+0,0))</f>
        <v>4</v>
      </c>
      <c r="S1236" s="54"/>
      <c r="T1236" s="55" t="s">
        <v>193</v>
      </c>
      <c r="U1236" s="55"/>
      <c r="V1236" s="55"/>
      <c r="W1236" s="48"/>
      <c r="X1236" s="50"/>
      <c r="Y1236" s="50"/>
      <c r="Z1236" s="48" t="str">
        <f aca="false">IF(A1236="","",IF(AND(Parameter!$B$21="Ja",ISNUMBER(W1236)),W1236,IF(BZ1236="2+3",IF(ISNUMBER(SEARCH("grosser Artikel",BR1236)),2,IFERROR(VLOOKUP(BU1236,Parameter!$F$35:$G$64,2,0),2)),IF(OR(BZ1236="Nein",BZ1236=""),"-",BZ1236))))</f>
        <v>-</v>
      </c>
      <c r="AA1236" s="55"/>
      <c r="AB1236" s="56"/>
      <c r="AC1236" s="50" t="n">
        <f aca="false">AT1236</f>
        <v>2</v>
      </c>
      <c r="AD1236" s="50" t="n">
        <f aca="false">MAX(AT1236,H1236)</f>
        <v>2</v>
      </c>
      <c r="AE1236" s="57"/>
      <c r="AF1236" s="50" t="n">
        <f aca="false">IF(LEFT(Cockpit!$C$5,1)="A",H1236,IF(CE1236=1,CF1236,IF(LEFT(Cockpit!$C$5,1)="B",AK1236,MAX(AK1236,H1236))))</f>
        <v>0</v>
      </c>
      <c r="AG1236" s="50" t="n">
        <f aca="false">IF(BW1236=1,0,ROUNDUP(AF1236/BV1236,0))</f>
        <v>0</v>
      </c>
      <c r="AH1236" s="52" t="n">
        <f aca="false">IF(CL1236&gt;0,CL1236*MAX(1,AF1236/X1236),IF(BW1236=1,IF(AF1236&lt;=0,0,CA1236*MAX(1,IF(H1236&gt;0,AF1236/H1236,1))),IF(R1236&gt;0,AG1236/R1236,0))/MAX(0.1,N(Parameter!$M$21)))</f>
        <v>0</v>
      </c>
      <c r="AI1236" s="50" t="n">
        <f aca="false">AH1236*BY1236</f>
        <v>0</v>
      </c>
      <c r="AJ1236" s="50" t="n">
        <f aca="false">AF1236*G1236</f>
        <v>0</v>
      </c>
      <c r="AK1236" s="50" t="n">
        <f aca="false">ROUNDUP(MAX(J1236/IF(CD1236&gt;0,CD1236,MAX(0.1,N(Cockpit!$C$6))),CG1236)/BV1236,0)*BV1236</f>
        <v>2</v>
      </c>
      <c r="AL1236" s="51" t="n">
        <f aca="false">IF(AI1236&gt;0,J1236/AI1236,-1)</f>
        <v>-1</v>
      </c>
      <c r="AM1236" s="51" t="str">
        <f aca="false">IF(AND(OR(CC1236="L1",CC1236="L23",CC1236="LIFT"),AI1236&gt;0),SUMIFS($AI$7:$AI$1843,$CC$7:$CC$1843,CC1236,$AL$7:$AL$1843,"&gt;"&amp;AL1236)+SUMIFS($AI$7:$AI$1843,$CC$7:$CC$1843,CC1236,$AL$7:$AL$1843,AL1236,$BT$7:$BT$1843,"&lt;="&amp;BT1236),"")</f>
        <v/>
      </c>
      <c r="AN1236" s="58" t="n">
        <f aca="false">IF(AM1236="",0,MAX(0,MIN(1,(IF(CC1236="L1",Parameter!$H$5,IF(CC1236="L23",Parameter!$H$6+Parameter!$H$7,Parameter!$H$5+Parameter!$H$6+Parameter!$H$7))-(AM1236-AI1236))/AI1236)))</f>
        <v>0</v>
      </c>
      <c r="AO1236" s="50" t="n">
        <f aca="false">IF(LEFT(Cockpit!$I$5,1)="A",H1236,IF(CE1236=1,CF1236,IF(LEFT(Cockpit!$I$5,1)="B",AT1236,MAX(AT1236,H1236))))</f>
        <v>2</v>
      </c>
      <c r="AP1236" s="50" t="n">
        <f aca="false">IF(BW1236=1,0,ROUNDUP(AO1236/BV1236,0))</f>
        <v>1</v>
      </c>
      <c r="AQ1236" s="52" t="n">
        <f aca="false">IF(CL1236&gt;0,CL1236*MAX(1,AO1236/X1236),IF(BW1236=1,IF(AO1236&lt;=0,0,CA1236*MAX(1,IF(H1236&gt;0,AO1236/H1236,1))),IF(R1236&gt;0,AP1236/R1236,0))/MAX(0.1,N(Parameter!$M$21)))</f>
        <v>0.25</v>
      </c>
      <c r="AR1236" s="50" t="n">
        <f aca="false">AQ1236*BY1236</f>
        <v>58.75</v>
      </c>
      <c r="AS1236" s="50" t="n">
        <f aca="false">AO1236*G1236</f>
        <v>135.78</v>
      </c>
      <c r="AT1236" s="50" t="n">
        <f aca="false">ROUNDUP(MAX(J1236/IF(CD1236&gt;0,CD1236,MAX(0.1,N(Cockpit!$I$6))),CG1236)/BV1236,0)*BV1236</f>
        <v>2</v>
      </c>
      <c r="AU1236" s="51" t="n">
        <f aca="false">IF(AR1236&gt;0,J1236/AR1236,-1)</f>
        <v>0</v>
      </c>
      <c r="AV1236" s="51" t="str">
        <f aca="false">IF(AND(OR(CC1236="L1",CC1236="L23",CC1236="LIFT"),AR1236&gt;0),SUMIFS($AR$7:$AR$1843,$CC$7:$CC$1843,CC1236,$AU$7:$AU$1843,"&gt;"&amp;AU1236)+SUMIFS($AR$7:$AR$1843,$CC$7:$CC$1843,CC1236,$AU$7:$AU$1843,AU1236,$BT$7:$BT$1843,"&lt;="&amp;BT1236),"")</f>
        <v/>
      </c>
      <c r="AW1236" s="58" t="n">
        <f aca="false">IF(AV1236="",0,MAX(0,MIN(1,(IF(CC1236="L1",Parameter!$H$5,IF(CC1236="L23",Parameter!$H$6+Parameter!$H$7,Parameter!$H$5+Parameter!$H$6+Parameter!$H$7))-(AV1236-AR1236))/AR1236)))</f>
        <v>0</v>
      </c>
      <c r="AX1236" s="50" t="n">
        <f aca="false">IF(LEFT(Cockpit!$O$5,1)="A",H1236,IF(CE1236=1,CF1236,IF(LEFT(Cockpit!$O$5,1)="B",BC1236,MAX(BC1236,H1236))))</f>
        <v>2</v>
      </c>
      <c r="AY1236" s="50" t="n">
        <f aca="false">IF(BW1236=1,0,ROUNDUP(AX1236/BV1236,0))</f>
        <v>1</v>
      </c>
      <c r="AZ1236" s="52" t="n">
        <f aca="false">IF(CL1236&gt;0,CL1236*MAX(1,AX1236/X1236),IF(BW1236=1,IF(AX1236&lt;=0,0,CA1236*MAX(1,IF(H1236&gt;0,AX1236/H1236,1))),IF(R1236&gt;0,AY1236/R1236,0))/MAX(0.1,N(Parameter!$M$21)))</f>
        <v>0.25</v>
      </c>
      <c r="BA1236" s="50" t="n">
        <f aca="false">AZ1236*BY1236</f>
        <v>58.75</v>
      </c>
      <c r="BB1236" s="50" t="n">
        <f aca="false">AX1236*G1236</f>
        <v>135.78</v>
      </c>
      <c r="BC1236" s="50" t="n">
        <f aca="false">ROUNDUP(MAX(J1236/IF(CD1236&gt;0,CD1236,MAX(0.1,N(Cockpit!$O$6))),CG1236)/BV1236,0)*BV1236</f>
        <v>2</v>
      </c>
      <c r="BD1236" s="51" t="n">
        <f aca="false">IF(BA1236&gt;0,J1236/BA1236,-1)</f>
        <v>0</v>
      </c>
      <c r="BE1236" s="51" t="str">
        <f aca="false">IF(AND(OR(CC1236="L1",CC1236="L23",CC1236="LIFT"),BA1236&gt;0),SUMIFS($BA$7:$BA$1843,$CC$7:$CC$1843,CC1236,$BD$7:$BD$1843,"&gt;"&amp;BD1236)+SUMIFS($BA$7:$BA$1843,$CC$7:$CC$1843,CC1236,$BD$7:$BD$1843,BD1236,$BT$7:$BT$1843,"&lt;="&amp;BT1236),"")</f>
        <v/>
      </c>
      <c r="BF1236" s="58" t="n">
        <f aca="false">IF(BE1236="",0,MAX(0,MIN(1,(IF(CC1236="L1",Parameter!$H$5,IF(CC1236="L23",Parameter!$H$6+Parameter!$H$7,Parameter!$H$5+Parameter!$H$6+Parameter!$H$7))-(BE1236-BA1236))/BA1236)))</f>
        <v>0</v>
      </c>
      <c r="BG1236" s="48" t="str">
        <f aca="false">IF(AI1236&lt;=0,"",IF(CC1236="Aussen","Aussenlager",IF(CC1236="-","Nicht im Lift",IF(AN1236&gt;=1,"Lift",IF(AN1236&lt;=0,"Aussenlager","teilweise")))))</f>
        <v/>
      </c>
      <c r="BH1236" s="48" t="str">
        <f aca="false">IF(AR1236&lt;=0,"",IF(CC1236="Aussen","Aussenlager",IF(CC1236="-","Nicht im Lift",IF(AW1236&gt;=1,"Lift",IF(AW1236&lt;=0,"Aussenlager","teilweise")))))</f>
        <v>Nicht im Lift</v>
      </c>
      <c r="BI1236" s="48" t="str">
        <f aca="false">IF(BA1236&lt;=0,"",IF(CC1236="Aussen","Aussenlager",IF(CC1236="-","Nicht im Lift",IF(BF1236&gt;=1,"Lift",IF(BF1236&lt;=0,"Aussenlager","teilweise")))))</f>
        <v>Nicht im Lift</v>
      </c>
      <c r="BJ1236" s="48" t="str">
        <f aca="false">IF(A1236="","",IF(BS1236=1,"Neu; ","")&amp;IF(AND(BS1236=0,BN1236&lt;0),"negativer Bestand (Export "&amp;BN1236&amp;"); ","")&amp;IF(J1236&lt;=0,"Kein Verbrauch; ","")&amp;IF(CL1236&gt;0,"Lift "&amp;W1236&amp;" lt. Liftbericht (Fach "&amp;X1236&amp;" Stk); ",IF(BX1236=1,"Gebinde geschätzt ("&amp;T1236&amp;"); ",IF(BW1236=1,"Lose – Tablare geschätzt; ","")))&amp;IF(H1236&gt;AT1236,"Überbestand "&amp;ROUND(H1236-AT1236,0)&amp;" Stk / CHF "&amp;ROUND((H1236-AT1236)*G1236,0)&amp;"; ","")&amp;IF(AND(CE1236=1,CF1236&lt;CG1236),"MAX &lt; MB+LG; ","")&amp;IF(AND(CK1236&gt;0,CJ1236*10&gt;CK1236),"zu hoch für Tablar; ","")&amp;IF(AND(BS1236=0,OR(CE1236=1,AA1236&lt;&gt;"",U1236&lt;&gt;"",V1236&lt;&gt;"",AB1236&lt;&gt;"")),"manuell übersteuert; ","")&amp;IF(AND(BW1236=0,R1236=0),"Gebinde unbekannt / Stellmass fehlt; ","")&amp;IF(AND(BW1236=0,N(V1236)&lt;=0,N(Q1236)&lt;=0),"Menge pro Gebinde fehlt (Ist = 1 Gebinde); ","")&amp;BR1236)</f>
        <v>negativer Bestand (Export -10); Kein Verbrauch; Gebinde geschätzt (Gross); Menge pro Gebinde fehlt (Ist = 1 Gebinde); </v>
      </c>
      <c r="BK1236" s="48"/>
      <c r="BL1236" s="48"/>
      <c r="BM1236" s="55"/>
      <c r="BN1236" s="50" t="n">
        <v>-10</v>
      </c>
      <c r="BO1236" s="50" t="n">
        <v>10</v>
      </c>
      <c r="BP1236" s="49" t="n">
        <v>-678.9</v>
      </c>
      <c r="BQ1236" s="50" t="n">
        <v>0</v>
      </c>
      <c r="BR1236" s="48"/>
      <c r="BS1236" s="53" t="n">
        <v>0</v>
      </c>
      <c r="BT1236" s="53" t="n">
        <v>1236</v>
      </c>
      <c r="BU1236" s="48" t="str">
        <f aca="false">IF(U1236&lt;&gt;"",UPPER(TRIM(U1236)),IF(BX1236=1,UPPER(VLOOKUP(T1236,Parameter!$I$27:$K$29,2,0)),IF(P1236="","LOSE",P1236)))</f>
        <v>S81</v>
      </c>
      <c r="BV1236" s="50" t="n">
        <f aca="false">IF(BU1236="LOSE",1,IF(N(V1236)&gt;0,V1236,IF(BX1236=1,MAX(1,N(VLOOKUP(T1236,Parameter!$I$27:$K$29,3,0)),H1236,N(N1236)),IF(N(Q1236)&gt;0,Q1236,MAX(1,H1236)))))</f>
        <v>2</v>
      </c>
      <c r="BW1236" s="53" t="n">
        <f aca="false">IF(BU1236="LOSE",1,0)</f>
        <v>0</v>
      </c>
      <c r="BX1236" s="53" t="n">
        <f aca="false">IF(AND(U1236="",OR(P1236="",P1236="LOSE"),T1236&lt;&gt;"",N(S1236)&lt;=0,ISNUMBER(MATCH(T1236,Parameter!$I$27:$I$29,0))),1,0)</f>
        <v>1</v>
      </c>
      <c r="BY1236" s="53" t="n">
        <f aca="false">IF(CL1236&gt;0,INDEX(Parameter!$H$5:$H$7,W1236)/INDEX(Parameter!$E$5:$E$7,W1236),IF(AND(BW1236=0,N(IFERROR(VLOOKUP(BU1236,'Gebinde-Kategorie'!$A$5:$N$45,14,0),0))&gt;0),VLOOKUP(BU1236,'Gebinde-Kategorie'!$A$5:$N$45,14,0)*10+Parameter!$M$23,Parameter!$M$24))</f>
        <v>235</v>
      </c>
      <c r="BZ1236" s="48" t="str">
        <f aca="false">IF(AND(Parameter!$B$19="Ja",E1236&lt;&gt;"",ISNUMBER(MATCH(E1236,Parameter!$I$35:$I$52,0))),VLOOKUP(E1236,Parameter!$I$35:$J$52,2,0),IFERROR(VLOOKUP(D1236,Parameter!$A$35:$C$64,2,0),"Nein"))</f>
        <v>Nein</v>
      </c>
      <c r="CA1236" s="52" t="n">
        <f aca="false">IF(BW1236=0,0,IF(N(S1236)&gt;0,S1236,IFERROR(VLOOKUP(D1236,Parameter!$A$35:$C$64,3,0)+0,0)))</f>
        <v>0</v>
      </c>
      <c r="CB1236" s="48" t="str">
        <f aca="false">IF(AA1236&lt;&gt;"",AA1236,Z1236)</f>
        <v>-</v>
      </c>
      <c r="CC1236" s="48" t="str">
        <f aca="false">IF(OR(CB1236=1,CB1236=2,CB1236=3),IF(Parameter!$E$27="Ja","LIFT",IF(CB1236=1,"L1","L23")),IF(CB1236="Aussen","Aussen","-"))</f>
        <v>-</v>
      </c>
      <c r="CD1236" s="59" t="n">
        <f aca="false">IF(N(AB1236)&gt;0,AB1236,0)</f>
        <v>0</v>
      </c>
      <c r="CE1236" s="53" t="n">
        <f aca="false">IF(ISNUMBER(AE1236),1,0)</f>
        <v>0</v>
      </c>
      <c r="CF1236" s="50" t="n">
        <f aca="false">N(AE1236)</f>
        <v>0</v>
      </c>
      <c r="CG1236" s="50" t="n">
        <f aca="false">N(M1236)+N(N1236)</f>
        <v>1</v>
      </c>
      <c r="CH1236" s="50" t="n">
        <f aca="false">ROUNDUP(H1236/BV1236,0)</f>
        <v>0</v>
      </c>
      <c r="CI1236" s="50" t="n">
        <f aca="false">ROUNDUP(CF1236/BV1236,0)</f>
        <v>0</v>
      </c>
      <c r="CJ1236" s="53" t="n">
        <f aca="false">IF(BW1236=1,0,IFERROR(VLOOKUP(BU1236,'Gebinde-Kategorie'!$A$5:$N$45,5,0)+0,0))</f>
        <v>20</v>
      </c>
      <c r="CK1236" s="53" t="n">
        <f aca="false">IFERROR(IF(OR(CB1236=1,CB1236=2,CB1236=3),N(INDEX(Parameter!$I$5:$I$7,CB1236)),0),0)</f>
        <v>0</v>
      </c>
      <c r="CL1236" s="52" t="n">
        <f aca="false">IF(AND(Parameter!$B$21="Ja",ISNUMBER(W1236),N(X1236)&gt;0),IFERROR(N(INDEX(Parameter!$L$5:$L$7,W1236))*INDEX(Parameter!$E$5:$E$7,W1236)*X1236/SUMIFS($X$7:$X$1843,$W$7:$W$1843,W1236),0),0)</f>
        <v>0</v>
      </c>
    </row>
    <row r="1237" customFormat="false" ht="15" hidden="false" customHeight="false" outlineLevel="0" collapsed="false">
      <c r="A1237" s="48" t="s">
        <v>2218</v>
      </c>
      <c r="B1237" s="48" t="s">
        <v>672</v>
      </c>
      <c r="C1237" s="48" t="s">
        <v>168</v>
      </c>
      <c r="D1237" s="48" t="s">
        <v>177</v>
      </c>
      <c r="E1237" s="48"/>
      <c r="F1237" s="48" t="s">
        <v>222</v>
      </c>
      <c r="G1237" s="49" t="n">
        <v>201.92</v>
      </c>
      <c r="H1237" s="50" t="n">
        <f aca="false">MAX(0,IF(AND(Parameter!$B$21="Ja",ISNUMBER(Y1237)),Y1237,IF(Parameter!$B$20="Jahresanfang 2025 + Export",BO1237+BN1237,BN1237)))</f>
        <v>8</v>
      </c>
      <c r="I1237" s="50" t="n">
        <f aca="false">H1237*G1237</f>
        <v>1615.36</v>
      </c>
      <c r="J1237" s="50" t="n">
        <f aca="false">BQ1237*Parameter!$B$18</f>
        <v>55</v>
      </c>
      <c r="K1237" s="51" t="n">
        <v>17.5</v>
      </c>
      <c r="L1237" s="52" t="n">
        <v>3.14285714285714</v>
      </c>
      <c r="M1237" s="50" t="n">
        <v>5</v>
      </c>
      <c r="N1237" s="50" t="n">
        <v>10</v>
      </c>
      <c r="O1237" s="53" t="n">
        <v>28</v>
      </c>
      <c r="P1237" s="48" t="s">
        <v>172</v>
      </c>
      <c r="Q1237" s="50"/>
      <c r="R1237" s="53" t="n">
        <f aca="false">IF(BW1237=1,0,IFERROR(VLOOKUP(BU1237,'Gebinde-Kategorie'!$A$5:$N$45,13,0)+0,0))</f>
        <v>0</v>
      </c>
      <c r="S1237" s="54"/>
      <c r="T1237" s="55"/>
      <c r="U1237" s="55"/>
      <c r="V1237" s="55"/>
      <c r="W1237" s="48" t="n">
        <v>1</v>
      </c>
      <c r="X1237" s="50" t="n">
        <v>22</v>
      </c>
      <c r="Y1237" s="50" t="n">
        <v>8</v>
      </c>
      <c r="Z1237" s="48" t="n">
        <f aca="false">IF(A1237="","",IF(AND(Parameter!$B$21="Ja",ISNUMBER(W1237)),W1237,IF(BZ1237="2+3",IF(ISNUMBER(SEARCH("grosser Artikel",BR1237)),2,IFERROR(VLOOKUP(BU1237,Parameter!$F$35:$G$64,2,0),2)),IF(OR(BZ1237="Nein",BZ1237=""),"-",BZ1237))))</f>
        <v>1</v>
      </c>
      <c r="AA1237" s="55"/>
      <c r="AB1237" s="56"/>
      <c r="AC1237" s="50" t="n">
        <f aca="false">AT1237</f>
        <v>28</v>
      </c>
      <c r="AD1237" s="50" t="n">
        <f aca="false">MAX(AT1237,H1237)</f>
        <v>28</v>
      </c>
      <c r="AE1237" s="57"/>
      <c r="AF1237" s="50" t="n">
        <f aca="false">IF(LEFT(Cockpit!$C$5,1)="A",H1237,IF(CE1237=1,CF1237,IF(LEFT(Cockpit!$C$5,1)="B",AK1237,MAX(AK1237,H1237))))</f>
        <v>8</v>
      </c>
      <c r="AG1237" s="50" t="n">
        <f aca="false">IF(BW1237=1,0,ROUNDUP(AF1237/BV1237,0))</f>
        <v>0</v>
      </c>
      <c r="AH1237" s="52" t="n">
        <f aca="false">IF(CL1237&gt;0,CL1237*MAX(1,AF1237/X1237),IF(BW1237=1,IF(AF1237&lt;=0,0,CA1237*MAX(1,IF(H1237&gt;0,AF1237/H1237,1))),IF(R1237&gt;0,AG1237/R1237,0))/MAX(0.1,N(Parameter!$M$21)))</f>
        <v>1.7608286252354</v>
      </c>
      <c r="AI1237" s="50" t="n">
        <f aca="false">AH1237*BY1237</f>
        <v>419.077212806026</v>
      </c>
      <c r="AJ1237" s="50" t="n">
        <f aca="false">AF1237*G1237</f>
        <v>1615.36</v>
      </c>
      <c r="AK1237" s="50" t="n">
        <f aca="false">ROUNDUP(MAX(J1237/IF(CD1237&gt;0,CD1237,MAX(0.1,N(Cockpit!$C$6))),CG1237)/BV1237,0)*BV1237</f>
        <v>28</v>
      </c>
      <c r="AL1237" s="51" t="n">
        <f aca="false">IF(AI1237&gt;0,J1237/AI1237,-1)</f>
        <v>0.131240731586752</v>
      </c>
      <c r="AM1237" s="51" t="n">
        <f aca="false">IF(AND(OR(CC1237="L1",CC1237="L23",CC1237="LIFT"),AI1237&gt;0),SUMIFS($AI$7:$AI$1843,$CC$7:$CC$1843,CC1237,$AL$7:$AL$1843,"&gt;"&amp;AL1237)+SUMIFS($AI$7:$AI$1843,$CC$7:$CC$1843,CC1237,$AL$7:$AL$1843,AL1237,$BT$7:$BT$1843,"&lt;="&amp;BT1237),"")</f>
        <v>13748.169908011</v>
      </c>
      <c r="AN1237" s="58" t="n">
        <f aca="false">IF(AM1237="",0,MAX(0,MIN(1,(IF(CC1237="L1",Parameter!$H$5,IF(CC1237="L23",Parameter!$H$6+Parameter!$H$7,Parameter!$H$5+Parameter!$H$6+Parameter!$H$7))-(AM1237-AI1237))/AI1237)))</f>
        <v>1</v>
      </c>
      <c r="AO1237" s="50" t="n">
        <f aca="false">IF(LEFT(Cockpit!$I$5,1)="A",H1237,IF(CE1237=1,CF1237,IF(LEFT(Cockpit!$I$5,1)="B",AT1237,MAX(AT1237,H1237))))</f>
        <v>28</v>
      </c>
      <c r="AP1237" s="50" t="n">
        <f aca="false">IF(BW1237=1,0,ROUNDUP(AO1237/BV1237,0))</f>
        <v>0</v>
      </c>
      <c r="AQ1237" s="52" t="n">
        <f aca="false">IF(CL1237&gt;0,CL1237*MAX(1,AO1237/X1237),IF(BW1237=1,IF(AO1237&lt;=0,0,CA1237*MAX(1,IF(H1237&gt;0,AO1237/H1237,1))),IF(R1237&gt;0,AP1237/R1237,0))/MAX(0.1,N(Parameter!$M$21)))</f>
        <v>2.24105461393597</v>
      </c>
      <c r="AR1237" s="50" t="n">
        <f aca="false">AQ1237*BY1237</f>
        <v>533.370998116761</v>
      </c>
      <c r="AS1237" s="50" t="n">
        <f aca="false">AO1237*G1237</f>
        <v>5653.76</v>
      </c>
      <c r="AT1237" s="50" t="n">
        <f aca="false">ROUNDUP(MAX(J1237/IF(CD1237&gt;0,CD1237,MAX(0.1,N(Cockpit!$I$6))),CG1237)/BV1237,0)*BV1237</f>
        <v>28</v>
      </c>
      <c r="AU1237" s="51" t="n">
        <f aca="false">IF(AR1237&gt;0,J1237/AR1237,-1)</f>
        <v>0.103117717675305</v>
      </c>
      <c r="AV1237" s="51" t="n">
        <f aca="false">IF(AND(OR(CC1237="L1",CC1237="L23",CC1237="LIFT"),AR1237&gt;0),SUMIFS($AR$7:$AR$1843,$CC$7:$CC$1843,CC1237,$AU$7:$AU$1843,"&gt;"&amp;AU1237)+SUMIFS($AR$7:$AR$1843,$CC$7:$CC$1843,CC1237,$AU$7:$AU$1843,AU1237,$BT$7:$BT$1843,"&lt;="&amp;BT1237),"")</f>
        <v>23587.6262003063</v>
      </c>
      <c r="AW1237" s="58" t="n">
        <f aca="false">IF(AV1237="",0,MAX(0,MIN(1,(IF(CC1237="L1",Parameter!$H$5,IF(CC1237="L23",Parameter!$H$6+Parameter!$H$7,Parameter!$H$5+Parameter!$H$6+Parameter!$H$7))-(AV1237-AR1237))/AR1237)))</f>
        <v>1</v>
      </c>
      <c r="AX1237" s="50" t="n">
        <f aca="false">IF(LEFT(Cockpit!$O$5,1)="A",H1237,IF(CE1237=1,CF1237,IF(LEFT(Cockpit!$O$5,1)="B",BC1237,MAX(BC1237,H1237))))</f>
        <v>19</v>
      </c>
      <c r="AY1237" s="50" t="n">
        <f aca="false">IF(BW1237=1,0,ROUNDUP(AX1237/BV1237,0))</f>
        <v>0</v>
      </c>
      <c r="AZ1237" s="52" t="n">
        <f aca="false">IF(CL1237&gt;0,CL1237*MAX(1,AX1237/X1237),IF(BW1237=1,IF(AX1237&lt;=0,0,CA1237*MAX(1,IF(H1237&gt;0,AX1237/H1237,1))),IF(R1237&gt;0,AY1237/R1237,0))/MAX(0.1,N(Parameter!$M$21)))</f>
        <v>1.7608286252354</v>
      </c>
      <c r="BA1237" s="50" t="n">
        <f aca="false">AZ1237*BY1237</f>
        <v>419.077212806026</v>
      </c>
      <c r="BB1237" s="50" t="n">
        <f aca="false">AX1237*G1237</f>
        <v>3836.48</v>
      </c>
      <c r="BC1237" s="50" t="n">
        <f aca="false">ROUNDUP(MAX(J1237/IF(CD1237&gt;0,CD1237,MAX(0.1,N(Cockpit!$O$6))),CG1237)/BV1237,0)*BV1237</f>
        <v>19</v>
      </c>
      <c r="BD1237" s="51" t="n">
        <f aca="false">IF(BA1237&gt;0,J1237/BA1237,-1)</f>
        <v>0.131240731586752</v>
      </c>
      <c r="BE1237" s="51" t="n">
        <f aca="false">IF(AND(OR(CC1237="L1",CC1237="L23",CC1237="LIFT"),BA1237&gt;0),SUMIFS($BA$7:$BA$1843,$CC$7:$CC$1843,CC1237,$BD$7:$BD$1843,"&gt;"&amp;BD1237)+SUMIFS($BA$7:$BA$1843,$CC$7:$CC$1843,CC1237,$BD$7:$BD$1843,BD1237,$BT$7:$BT$1843,"&lt;="&amp;BT1237),"")</f>
        <v>19589.5196705366</v>
      </c>
      <c r="BF1237" s="58" t="n">
        <f aca="false">IF(BE1237="",0,MAX(0,MIN(1,(IF(CC1237="L1",Parameter!$H$5,IF(CC1237="L23",Parameter!$H$6+Parameter!$H$7,Parameter!$H$5+Parameter!$H$6+Parameter!$H$7))-(BE1237-BA1237))/BA1237)))</f>
        <v>1</v>
      </c>
      <c r="BG1237" s="48" t="str">
        <f aca="false">IF(AI1237&lt;=0,"",IF(CC1237="Aussen","Aussenlager",IF(CC1237="-","Nicht im Lift",IF(AN1237&gt;=1,"Lift",IF(AN1237&lt;=0,"Aussenlager","teilweise")))))</f>
        <v>Lift</v>
      </c>
      <c r="BH1237" s="48" t="str">
        <f aca="false">IF(AR1237&lt;=0,"",IF(CC1237="Aussen","Aussenlager",IF(CC1237="-","Nicht im Lift",IF(AW1237&gt;=1,"Lift",IF(AW1237&lt;=0,"Aussenlager","teilweise")))))</f>
        <v>Lift</v>
      </c>
      <c r="BI1237" s="48" t="str">
        <f aca="false">IF(BA1237&lt;=0,"",IF(CC1237="Aussen","Aussenlager",IF(CC1237="-","Nicht im Lift",IF(BF1237&gt;=1,"Lift",IF(BF1237&lt;=0,"Aussenlager","teilweise")))))</f>
        <v>Lift</v>
      </c>
      <c r="BJ1237" s="48" t="str">
        <f aca="false">IF(A1237="","",IF(BS1237=1,"Neu; ","")&amp;IF(AND(BS1237=0,BN1237&lt;0),"negativer Bestand (Export "&amp;BN1237&amp;"); ","")&amp;IF(J1237&lt;=0,"Kein Verbrauch; ","")&amp;IF(CL1237&gt;0,"Lift "&amp;W1237&amp;" lt. Liftbericht (Fach "&amp;X1237&amp;" Stk); ",IF(BX1237=1,"Gebinde geschätzt ("&amp;T1237&amp;"); ",IF(BW1237=1,"Lose – Tablare geschätzt; ","")))&amp;IF(H1237&gt;AT1237,"Überbestand "&amp;ROUND(H1237-AT1237,0)&amp;" Stk / CHF "&amp;ROUND((H1237-AT1237)*G1237,0)&amp;"; ","")&amp;IF(AND(CE1237=1,CF1237&lt;CG1237),"MAX &lt; MB+LG; ","")&amp;IF(AND(CK1237&gt;0,CJ1237*10&gt;CK1237),"zu hoch für Tablar; ","")&amp;IF(AND(BS1237=0,OR(CE1237=1,AA1237&lt;&gt;"",U1237&lt;&gt;"",V1237&lt;&gt;"",AB1237&lt;&gt;"")),"manuell übersteuert; ","")&amp;IF(AND(BW1237=0,R1237=0),"Gebinde unbekannt / Stellmass fehlt; ","")&amp;IF(AND(BW1237=0,N(V1237)&lt;=0,N(Q1237)&lt;=0),"Menge pro Gebinde fehlt (Ist = 1 Gebinde); ","")&amp;BR1237)</f>
        <v>negativer Bestand (Export -3); Lift 1 lt. Liftbericht (Fach 22 Stk); </v>
      </c>
      <c r="BK1237" s="48"/>
      <c r="BL1237" s="48"/>
      <c r="BM1237" s="55"/>
      <c r="BN1237" s="50" t="n">
        <v>-3</v>
      </c>
      <c r="BO1237" s="50" t="n">
        <v>15</v>
      </c>
      <c r="BP1237" s="49" t="n">
        <v>-687.960000000004</v>
      </c>
      <c r="BQ1237" s="50" t="n">
        <v>55</v>
      </c>
      <c r="BR1237" s="48"/>
      <c r="BS1237" s="53" t="n">
        <v>0</v>
      </c>
      <c r="BT1237" s="53" t="n">
        <v>1237</v>
      </c>
      <c r="BU1237" s="48" t="str">
        <f aca="false">IF(U1237&lt;&gt;"",UPPER(TRIM(U1237)),IF(BX1237=1,UPPER(VLOOKUP(T1237,Parameter!$I$27:$K$29,2,0)),IF(P1237="","LOSE",P1237)))</f>
        <v>LOSE</v>
      </c>
      <c r="BV1237" s="50" t="n">
        <f aca="false">IF(BU1237="LOSE",1,IF(N(V1237)&gt;0,V1237,IF(BX1237=1,MAX(1,N(VLOOKUP(T1237,Parameter!$I$27:$K$29,3,0)),H1237,N(N1237)),IF(N(Q1237)&gt;0,Q1237,MAX(1,H1237)))))</f>
        <v>1</v>
      </c>
      <c r="BW1237" s="53" t="n">
        <f aca="false">IF(BU1237="LOSE",1,0)</f>
        <v>1</v>
      </c>
      <c r="BX1237" s="53" t="n">
        <f aca="false">IF(AND(U1237="",OR(P1237="",P1237="LOSE"),T1237&lt;&gt;"",N(S1237)&lt;=0,ISNUMBER(MATCH(T1237,Parameter!$I$27:$I$29,0))),1,0)</f>
        <v>0</v>
      </c>
      <c r="BY1237" s="53" t="n">
        <f aca="false">IF(CL1237&gt;0,INDEX(Parameter!$H$5:$H$7,W1237)/INDEX(Parameter!$E$5:$E$7,W1237),IF(AND(BW1237=0,N(IFERROR(VLOOKUP(BU1237,'Gebinde-Kategorie'!$A$5:$N$45,14,0),0))&gt;0),VLOOKUP(BU1237,'Gebinde-Kategorie'!$A$5:$N$45,14,0)*10+Parameter!$M$23,Parameter!$M$24))</f>
        <v>238</v>
      </c>
      <c r="BZ1237" s="48" t="str">
        <f aca="false">IF(AND(Parameter!$B$19="Ja",E1237&lt;&gt;"",ISNUMBER(MATCH(E1237,Parameter!$I$35:$I$52,0))),VLOOKUP(E1237,Parameter!$I$35:$J$52,2,0),IFERROR(VLOOKUP(D1237,Parameter!$A$35:$C$64,2,0),"Nein"))</f>
        <v>2+3</v>
      </c>
      <c r="CA1237" s="52" t="n">
        <f aca="false">IF(BW1237=0,0,IF(N(S1237)&gt;0,S1237,IFERROR(VLOOKUP(D1237,Parameter!$A$35:$C$64,3,0)+0,0)))</f>
        <v>0.15</v>
      </c>
      <c r="CB1237" s="48" t="n">
        <f aca="false">IF(AA1237&lt;&gt;"",AA1237,Z1237)</f>
        <v>1</v>
      </c>
      <c r="CC1237" s="48" t="str">
        <f aca="false">IF(OR(CB1237=1,CB1237=2,CB1237=3),IF(Parameter!$E$27="Ja","LIFT",IF(CB1237=1,"L1","L23")),IF(CB1237="Aussen","Aussen","-"))</f>
        <v>LIFT</v>
      </c>
      <c r="CD1237" s="59" t="n">
        <f aca="false">IF(N(AB1237)&gt;0,AB1237,0)</f>
        <v>0</v>
      </c>
      <c r="CE1237" s="53" t="n">
        <f aca="false">IF(ISNUMBER(AE1237),1,0)</f>
        <v>0</v>
      </c>
      <c r="CF1237" s="50" t="n">
        <f aca="false">N(AE1237)</f>
        <v>0</v>
      </c>
      <c r="CG1237" s="50" t="n">
        <f aca="false">N(M1237)+N(N1237)</f>
        <v>15</v>
      </c>
      <c r="CH1237" s="50" t="n">
        <f aca="false">ROUNDUP(H1237/BV1237,0)</f>
        <v>8</v>
      </c>
      <c r="CI1237" s="50" t="n">
        <f aca="false">ROUNDUP(CF1237/BV1237,0)</f>
        <v>0</v>
      </c>
      <c r="CJ1237" s="53" t="n">
        <f aca="false">IF(BW1237=1,0,IFERROR(VLOOKUP(BU1237,'Gebinde-Kategorie'!$A$5:$N$45,5,0)+0,0))</f>
        <v>0</v>
      </c>
      <c r="CK1237" s="53" t="n">
        <f aca="false">IFERROR(IF(OR(CB1237=1,CB1237=2,CB1237=3),N(INDEX(Parameter!$I$5:$I$7,CB1237)),0),0)</f>
        <v>0</v>
      </c>
      <c r="CL1237" s="52" t="n">
        <f aca="false">IF(AND(Parameter!$B$21="Ja",ISNUMBER(W1237),N(X1237)&gt;0),IFERROR(N(INDEX(Parameter!$L$5:$L$7,W1237))*INDEX(Parameter!$E$5:$E$7,W1237)*X1237/SUMIFS($X$7:$X$1843,$W$7:$W$1843,W1237),0),0)</f>
        <v>1.7608286252354</v>
      </c>
    </row>
    <row r="1238" customFormat="false" ht="15" hidden="false" customHeight="false" outlineLevel="0" collapsed="false">
      <c r="A1238" s="48" t="s">
        <v>2219</v>
      </c>
      <c r="B1238" s="48" t="s">
        <v>542</v>
      </c>
      <c r="C1238" s="48" t="s">
        <v>168</v>
      </c>
      <c r="D1238" s="48" t="s">
        <v>177</v>
      </c>
      <c r="E1238" s="48"/>
      <c r="F1238" s="48" t="s">
        <v>222</v>
      </c>
      <c r="G1238" s="49" t="n">
        <v>185.97</v>
      </c>
      <c r="H1238" s="50" t="n">
        <f aca="false">MAX(0,IF(AND(Parameter!$B$21="Ja",ISNUMBER(Y1238)),Y1238,IF(Parameter!$B$20="Jahresanfang 2025 + Export",BO1238+BN1238,BN1238)))</f>
        <v>2</v>
      </c>
      <c r="I1238" s="50" t="n">
        <f aca="false">H1238*G1238</f>
        <v>371.94</v>
      </c>
      <c r="J1238" s="50" t="n">
        <f aca="false">BQ1238*Parameter!$B$18</f>
        <v>9</v>
      </c>
      <c r="K1238" s="51" t="n">
        <v>6</v>
      </c>
      <c r="L1238" s="52" t="n">
        <v>1.5</v>
      </c>
      <c r="M1238" s="50" t="n">
        <v>0</v>
      </c>
      <c r="N1238" s="50" t="n">
        <v>10</v>
      </c>
      <c r="O1238" s="53" t="n">
        <v>35</v>
      </c>
      <c r="P1238" s="48" t="s">
        <v>178</v>
      </c>
      <c r="Q1238" s="50" t="n">
        <v>10</v>
      </c>
      <c r="R1238" s="53" t="n">
        <f aca="false">IF(BW1238=1,0,IFERROR(VLOOKUP(BU1238,'Gebinde-Kategorie'!$A$5:$N$45,13,0)+0,0))</f>
        <v>6</v>
      </c>
      <c r="S1238" s="54"/>
      <c r="T1238" s="55"/>
      <c r="U1238" s="55"/>
      <c r="V1238" s="55"/>
      <c r="W1238" s="48"/>
      <c r="X1238" s="50"/>
      <c r="Y1238" s="50"/>
      <c r="Z1238" s="48" t="n">
        <f aca="false">IF(A1238="","",IF(AND(Parameter!$B$21="Ja",ISNUMBER(W1238)),W1238,IF(BZ1238="2+3",IF(ISNUMBER(SEARCH("grosser Artikel",BR1238)),2,IFERROR(VLOOKUP(BU1238,Parameter!$F$35:$G$64,2,0),2)),IF(OR(BZ1238="Nein",BZ1238=""),"-",BZ1238))))</f>
        <v>2</v>
      </c>
      <c r="AA1238" s="55"/>
      <c r="AB1238" s="56"/>
      <c r="AC1238" s="50" t="n">
        <f aca="false">AT1238</f>
        <v>10</v>
      </c>
      <c r="AD1238" s="50" t="n">
        <f aca="false">MAX(AT1238,H1238)</f>
        <v>10</v>
      </c>
      <c r="AE1238" s="57"/>
      <c r="AF1238" s="50" t="n">
        <f aca="false">IF(LEFT(Cockpit!$C$5,1)="A",H1238,IF(CE1238=1,CF1238,IF(LEFT(Cockpit!$C$5,1)="B",AK1238,MAX(AK1238,H1238))))</f>
        <v>2</v>
      </c>
      <c r="AG1238" s="50" t="n">
        <f aca="false">IF(BW1238=1,0,ROUNDUP(AF1238/BV1238,0))</f>
        <v>1</v>
      </c>
      <c r="AH1238" s="52" t="n">
        <f aca="false">IF(CL1238&gt;0,CL1238*MAX(1,AF1238/X1238),IF(BW1238=1,IF(AF1238&lt;=0,0,CA1238*MAX(1,IF(H1238&gt;0,AF1238/H1238,1))),IF(R1238&gt;0,AG1238/R1238,0))/MAX(0.1,N(Parameter!$M$21)))</f>
        <v>0.166666666666667</v>
      </c>
      <c r="AI1238" s="50" t="n">
        <f aca="false">AH1238*BY1238</f>
        <v>39.1666666666667</v>
      </c>
      <c r="AJ1238" s="50" t="n">
        <f aca="false">AF1238*G1238</f>
        <v>371.94</v>
      </c>
      <c r="AK1238" s="50" t="n">
        <f aca="false">ROUNDUP(MAX(J1238/IF(CD1238&gt;0,CD1238,MAX(0.1,N(Cockpit!$C$6))),CG1238)/BV1238,0)*BV1238</f>
        <v>10</v>
      </c>
      <c r="AL1238" s="51" t="n">
        <f aca="false">IF(AI1238&gt;0,J1238/AI1238,-1)</f>
        <v>0.229787234042553</v>
      </c>
      <c r="AM1238" s="51" t="n">
        <f aca="false">IF(AND(OR(CC1238="L1",CC1238="L23",CC1238="LIFT"),AI1238&gt;0),SUMIFS($AI$7:$AI$1843,$CC$7:$CC$1843,CC1238,$AL$7:$AL$1843,"&gt;"&amp;AL1238)+SUMIFS($AI$7:$AI$1843,$CC$7:$CC$1843,CC1238,$AL$7:$AL$1843,AL1238,$BT$7:$BT$1843,"&lt;="&amp;BT1238),"")</f>
        <v>12030.6869295958</v>
      </c>
      <c r="AN1238" s="58" t="n">
        <f aca="false">IF(AM1238="",0,MAX(0,MIN(1,(IF(CC1238="L1",Parameter!$H$5,IF(CC1238="L23",Parameter!$H$6+Parameter!$H$7,Parameter!$H$5+Parameter!$H$6+Parameter!$H$7))-(AM1238-AI1238))/AI1238)))</f>
        <v>1</v>
      </c>
      <c r="AO1238" s="50" t="n">
        <f aca="false">IF(LEFT(Cockpit!$I$5,1)="A",H1238,IF(CE1238=1,CF1238,IF(LEFT(Cockpit!$I$5,1)="B",AT1238,MAX(AT1238,H1238))))</f>
        <v>10</v>
      </c>
      <c r="AP1238" s="50" t="n">
        <f aca="false">IF(BW1238=1,0,ROUNDUP(AO1238/BV1238,0))</f>
        <v>1</v>
      </c>
      <c r="AQ1238" s="52" t="n">
        <f aca="false">IF(CL1238&gt;0,CL1238*MAX(1,AO1238/X1238),IF(BW1238=1,IF(AO1238&lt;=0,0,CA1238*MAX(1,IF(H1238&gt;0,AO1238/H1238,1))),IF(R1238&gt;0,AP1238/R1238,0))/MAX(0.1,N(Parameter!$M$21)))</f>
        <v>0.166666666666667</v>
      </c>
      <c r="AR1238" s="50" t="n">
        <f aca="false">AQ1238*BY1238</f>
        <v>39.1666666666667</v>
      </c>
      <c r="AS1238" s="50" t="n">
        <f aca="false">AO1238*G1238</f>
        <v>1859.7</v>
      </c>
      <c r="AT1238" s="50" t="n">
        <f aca="false">ROUNDUP(MAX(J1238/IF(CD1238&gt;0,CD1238,MAX(0.1,N(Cockpit!$I$6))),CG1238)/BV1238,0)*BV1238</f>
        <v>10</v>
      </c>
      <c r="AU1238" s="51" t="n">
        <f aca="false">IF(AR1238&gt;0,J1238/AR1238,-1)</f>
        <v>0.229787234042553</v>
      </c>
      <c r="AV1238" s="51" t="n">
        <f aca="false">IF(AND(OR(CC1238="L1",CC1238="L23",CC1238="LIFT"),AR1238&gt;0),SUMIFS($AR$7:$AR$1843,$CC$7:$CC$1843,CC1238,$AU$7:$AU$1843,"&gt;"&amp;AU1238)+SUMIFS($AR$7:$AR$1843,$CC$7:$CC$1843,CC1238,$AU$7:$AU$1843,AU1238,$BT$7:$BT$1843,"&lt;="&amp;BT1238),"")</f>
        <v>18152.8914835165</v>
      </c>
      <c r="AW1238" s="58" t="n">
        <f aca="false">IF(AV1238="",0,MAX(0,MIN(1,(IF(CC1238="L1",Parameter!$H$5,IF(CC1238="L23",Parameter!$H$6+Parameter!$H$7,Parameter!$H$5+Parameter!$H$6+Parameter!$H$7))-(AV1238-AR1238))/AR1238)))</f>
        <v>1</v>
      </c>
      <c r="AX1238" s="50" t="n">
        <f aca="false">IF(LEFT(Cockpit!$O$5,1)="A",H1238,IF(CE1238=1,CF1238,IF(LEFT(Cockpit!$O$5,1)="B",BC1238,MAX(BC1238,H1238))))</f>
        <v>10</v>
      </c>
      <c r="AY1238" s="50" t="n">
        <f aca="false">IF(BW1238=1,0,ROUNDUP(AX1238/BV1238,0))</f>
        <v>1</v>
      </c>
      <c r="AZ1238" s="52" t="n">
        <f aca="false">IF(CL1238&gt;0,CL1238*MAX(1,AX1238/X1238),IF(BW1238=1,IF(AX1238&lt;=0,0,CA1238*MAX(1,IF(H1238&gt;0,AX1238/H1238,1))),IF(R1238&gt;0,AY1238/R1238,0))/MAX(0.1,N(Parameter!$M$21)))</f>
        <v>0.166666666666667</v>
      </c>
      <c r="BA1238" s="50" t="n">
        <f aca="false">AZ1238*BY1238</f>
        <v>39.1666666666667</v>
      </c>
      <c r="BB1238" s="50" t="n">
        <f aca="false">AX1238*G1238</f>
        <v>1859.7</v>
      </c>
      <c r="BC1238" s="50" t="n">
        <f aca="false">ROUNDUP(MAX(J1238/IF(CD1238&gt;0,CD1238,MAX(0.1,N(Cockpit!$O$6))),CG1238)/BV1238,0)*BV1238</f>
        <v>10</v>
      </c>
      <c r="BD1238" s="51" t="n">
        <f aca="false">IF(BA1238&gt;0,J1238/BA1238,-1)</f>
        <v>0.229787234042553</v>
      </c>
      <c r="BE1238" s="51" t="n">
        <f aca="false">IF(AND(OR(CC1238="L1",CC1238="L23",CC1238="LIFT"),BA1238&gt;0),SUMIFS($BA$7:$BA$1843,$CC$7:$CC$1843,CC1238,$BD$7:$BD$1843,"&gt;"&amp;BD1238)+SUMIFS($BA$7:$BA$1843,$CC$7:$CC$1843,CC1238,$BD$7:$BD$1843,BD1238,$BT$7:$BT$1843,"&lt;="&amp;BT1238),"")</f>
        <v>16805.6318681319</v>
      </c>
      <c r="BF1238" s="58" t="n">
        <f aca="false">IF(BE1238="",0,MAX(0,MIN(1,(IF(CC1238="L1",Parameter!$H$5,IF(CC1238="L23",Parameter!$H$6+Parameter!$H$7,Parameter!$H$5+Parameter!$H$6+Parameter!$H$7))-(BE1238-BA1238))/BA1238)))</f>
        <v>1</v>
      </c>
      <c r="BG1238" s="48" t="str">
        <f aca="false">IF(AI1238&lt;=0,"",IF(CC1238="Aussen","Aussenlager",IF(CC1238="-","Nicht im Lift",IF(AN1238&gt;=1,"Lift",IF(AN1238&lt;=0,"Aussenlager","teilweise")))))</f>
        <v>Lift</v>
      </c>
      <c r="BH1238" s="48" t="str">
        <f aca="false">IF(AR1238&lt;=0,"",IF(CC1238="Aussen","Aussenlager",IF(CC1238="-","Nicht im Lift",IF(AW1238&gt;=1,"Lift",IF(AW1238&lt;=0,"Aussenlager","teilweise")))))</f>
        <v>Lift</v>
      </c>
      <c r="BI1238" s="48" t="str">
        <f aca="false">IF(BA1238&lt;=0,"",IF(CC1238="Aussen","Aussenlager",IF(CC1238="-","Nicht im Lift",IF(BF1238&gt;=1,"Lift",IF(BF1238&lt;=0,"Aussenlager","teilweise")))))</f>
        <v>Lift</v>
      </c>
      <c r="BJ1238" s="48" t="str">
        <f aca="false">IF(A1238="","",IF(BS1238=1,"Neu; ","")&amp;IF(AND(BS1238=0,BN1238&lt;0),"negativer Bestand (Export "&amp;BN1238&amp;"); ","")&amp;IF(J1238&lt;=0,"Kein Verbrauch; ","")&amp;IF(CL1238&gt;0,"Lift "&amp;W1238&amp;" lt. Liftbericht (Fach "&amp;X1238&amp;" Stk); ",IF(BX1238=1,"Gebinde geschätzt ("&amp;T1238&amp;"); ",IF(BW1238=1,"Lose – Tablare geschätzt; ","")))&amp;IF(H1238&gt;AT1238,"Überbestand "&amp;ROUND(H1238-AT1238,0)&amp;" Stk / CHF "&amp;ROUND((H1238-AT1238)*G1238,0)&amp;"; ","")&amp;IF(AND(CE1238=1,CF1238&lt;CG1238),"MAX &lt; MB+LG; ","")&amp;IF(AND(CK1238&gt;0,CJ1238*10&gt;CK1238),"zu hoch für Tablar; ","")&amp;IF(AND(BS1238=0,OR(CE1238=1,AA1238&lt;&gt;"",U1238&lt;&gt;"",V1238&lt;&gt;"",AB1238&lt;&gt;"")),"manuell übersteuert; ","")&amp;IF(AND(BW1238=0,R1238=0),"Gebinde unbekannt / Stellmass fehlt; ","")&amp;IF(AND(BW1238=0,N(V1238)&lt;=0,N(Q1238)&lt;=0),"Menge pro Gebinde fehlt (Ist = 1 Gebinde); ","")&amp;BR1238)</f>
        <v>negativer Bestand (Export -4); </v>
      </c>
      <c r="BK1238" s="48"/>
      <c r="BL1238" s="48"/>
      <c r="BM1238" s="55"/>
      <c r="BN1238" s="50" t="n">
        <v>-4</v>
      </c>
      <c r="BO1238" s="50" t="n">
        <v>6</v>
      </c>
      <c r="BP1238" s="49" t="n">
        <v>-689.16</v>
      </c>
      <c r="BQ1238" s="50" t="n">
        <v>9</v>
      </c>
      <c r="BR1238" s="48"/>
      <c r="BS1238" s="53" t="n">
        <v>0</v>
      </c>
      <c r="BT1238" s="53" t="n">
        <v>1238</v>
      </c>
      <c r="BU1238" s="48" t="str">
        <f aca="false">IF(U1238&lt;&gt;"",UPPER(TRIM(U1238)),IF(BX1238=1,UPPER(VLOOKUP(T1238,Parameter!$I$27:$K$29,2,0)),IF(P1238="","LOSE",P1238)))</f>
        <v>S71</v>
      </c>
      <c r="BV1238" s="50" t="n">
        <f aca="false">IF(BU1238="LOSE",1,IF(N(V1238)&gt;0,V1238,IF(BX1238=1,MAX(1,N(VLOOKUP(T1238,Parameter!$I$27:$K$29,3,0)),H1238,N(N1238)),IF(N(Q1238)&gt;0,Q1238,MAX(1,H1238)))))</f>
        <v>10</v>
      </c>
      <c r="BW1238" s="53" t="n">
        <f aca="false">IF(BU1238="LOSE",1,0)</f>
        <v>0</v>
      </c>
      <c r="BX1238" s="53" t="n">
        <f aca="false">IF(AND(U1238="",OR(P1238="",P1238="LOSE"),T1238&lt;&gt;"",N(S1238)&lt;=0,ISNUMBER(MATCH(T1238,Parameter!$I$27:$I$29,0))),1,0)</f>
        <v>0</v>
      </c>
      <c r="BY1238" s="53" t="n">
        <f aca="false">IF(CL1238&gt;0,INDEX(Parameter!$H$5:$H$7,W1238)/INDEX(Parameter!$E$5:$E$7,W1238),IF(AND(BW1238=0,N(IFERROR(VLOOKUP(BU1238,'Gebinde-Kategorie'!$A$5:$N$45,14,0),0))&gt;0),VLOOKUP(BU1238,'Gebinde-Kategorie'!$A$5:$N$45,14,0)*10+Parameter!$M$23,Parameter!$M$24))</f>
        <v>235</v>
      </c>
      <c r="BZ1238" s="48" t="str">
        <f aca="false">IF(AND(Parameter!$B$19="Ja",E1238&lt;&gt;"",ISNUMBER(MATCH(E1238,Parameter!$I$35:$I$52,0))),VLOOKUP(E1238,Parameter!$I$35:$J$52,2,0),IFERROR(VLOOKUP(D1238,Parameter!$A$35:$C$64,2,0),"Nein"))</f>
        <v>2+3</v>
      </c>
      <c r="CA1238" s="52" t="n">
        <f aca="false">IF(BW1238=0,0,IF(N(S1238)&gt;0,S1238,IFERROR(VLOOKUP(D1238,Parameter!$A$35:$C$64,3,0)+0,0)))</f>
        <v>0</v>
      </c>
      <c r="CB1238" s="48" t="n">
        <f aca="false">IF(AA1238&lt;&gt;"",AA1238,Z1238)</f>
        <v>2</v>
      </c>
      <c r="CC1238" s="48" t="str">
        <f aca="false">IF(OR(CB1238=1,CB1238=2,CB1238=3),IF(Parameter!$E$27="Ja","LIFT",IF(CB1238=1,"L1","L23")),IF(CB1238="Aussen","Aussen","-"))</f>
        <v>LIFT</v>
      </c>
      <c r="CD1238" s="59" t="n">
        <f aca="false">IF(N(AB1238)&gt;0,AB1238,0)</f>
        <v>0</v>
      </c>
      <c r="CE1238" s="53" t="n">
        <f aca="false">IF(ISNUMBER(AE1238),1,0)</f>
        <v>0</v>
      </c>
      <c r="CF1238" s="50" t="n">
        <f aca="false">N(AE1238)</f>
        <v>0</v>
      </c>
      <c r="CG1238" s="50" t="n">
        <f aca="false">N(M1238)+N(N1238)</f>
        <v>10</v>
      </c>
      <c r="CH1238" s="50" t="n">
        <f aca="false">ROUNDUP(H1238/BV1238,0)</f>
        <v>1</v>
      </c>
      <c r="CI1238" s="50" t="n">
        <f aca="false">ROUNDUP(CF1238/BV1238,0)</f>
        <v>0</v>
      </c>
      <c r="CJ1238" s="53" t="n">
        <f aca="false">IF(BW1238=1,0,IFERROR(VLOOKUP(BU1238,'Gebinde-Kategorie'!$A$5:$N$45,5,0)+0,0))</f>
        <v>20</v>
      </c>
      <c r="CK1238" s="53" t="n">
        <f aca="false">IFERROR(IF(OR(CB1238=1,CB1238=2,CB1238=3),N(INDEX(Parameter!$I$5:$I$7,CB1238)),0),0)</f>
        <v>0</v>
      </c>
      <c r="CL1238" s="52" t="n">
        <f aca="false">IF(AND(Parameter!$B$21="Ja",ISNUMBER(W1238),N(X1238)&gt;0),IFERROR(N(INDEX(Parameter!$L$5:$L$7,W1238))*INDEX(Parameter!$E$5:$E$7,W1238)*X1238/SUMIFS($X$7:$X$1843,$W$7:$W$1843,W1238),0),0)</f>
        <v>0</v>
      </c>
    </row>
    <row r="1239" customFormat="false" ht="15" hidden="false" customHeight="false" outlineLevel="0" collapsed="false">
      <c r="A1239" s="48" t="s">
        <v>2220</v>
      </c>
      <c r="B1239" s="48" t="s">
        <v>1872</v>
      </c>
      <c r="C1239" s="48" t="s">
        <v>168</v>
      </c>
      <c r="D1239" s="48" t="s">
        <v>188</v>
      </c>
      <c r="E1239" s="48" t="s">
        <v>189</v>
      </c>
      <c r="F1239" s="48" t="s">
        <v>222</v>
      </c>
      <c r="G1239" s="49" t="n">
        <v>63.53</v>
      </c>
      <c r="H1239" s="50" t="n">
        <f aca="false">MAX(0,IF(AND(Parameter!$B$21="Ja",ISNUMBER(Y1239)),Y1239,IF(Parameter!$B$20="Jahresanfang 2025 + Export",BO1239+BN1239,BN1239)))</f>
        <v>16</v>
      </c>
      <c r="I1239" s="50" t="n">
        <f aca="false">H1239*G1239</f>
        <v>1016.48</v>
      </c>
      <c r="J1239" s="50" t="n">
        <f aca="false">BQ1239*Parameter!$B$18</f>
        <v>19</v>
      </c>
      <c r="K1239" s="51" t="n">
        <v>32.5</v>
      </c>
      <c r="L1239" s="52" t="n">
        <v>0.584615384615385</v>
      </c>
      <c r="M1239" s="50" t="n">
        <v>1</v>
      </c>
      <c r="N1239" s="50" t="n">
        <v>25</v>
      </c>
      <c r="O1239" s="53" t="n">
        <v>21</v>
      </c>
      <c r="P1239" s="48" t="s">
        <v>297</v>
      </c>
      <c r="Q1239" s="50" t="n">
        <v>60</v>
      </c>
      <c r="R1239" s="53" t="n">
        <f aca="false">IF(BW1239=1,0,IFERROR(VLOOKUP(BU1239,'Gebinde-Kategorie'!$A$5:$N$45,13,0)+0,0))</f>
        <v>12</v>
      </c>
      <c r="S1239" s="54"/>
      <c r="T1239" s="55"/>
      <c r="U1239" s="55"/>
      <c r="V1239" s="55"/>
      <c r="W1239" s="48"/>
      <c r="X1239" s="50"/>
      <c r="Y1239" s="50"/>
      <c r="Z1239" s="48" t="n">
        <f aca="false">IF(A1239="","",IF(AND(Parameter!$B$21="Ja",ISNUMBER(W1239)),W1239,IF(BZ1239="2+3",IF(ISNUMBER(SEARCH("grosser Artikel",BR1239)),2,IFERROR(VLOOKUP(BU1239,Parameter!$F$35:$G$64,2,0),2)),IF(OR(BZ1239="Nein",BZ1239=""),"-",BZ1239))))</f>
        <v>2</v>
      </c>
      <c r="AA1239" s="55"/>
      <c r="AB1239" s="56"/>
      <c r="AC1239" s="50" t="n">
        <f aca="false">AT1239</f>
        <v>60</v>
      </c>
      <c r="AD1239" s="50" t="n">
        <f aca="false">MAX(AT1239,H1239)</f>
        <v>60</v>
      </c>
      <c r="AE1239" s="57"/>
      <c r="AF1239" s="50" t="n">
        <f aca="false">IF(LEFT(Cockpit!$C$5,1)="A",H1239,IF(CE1239=1,CF1239,IF(LEFT(Cockpit!$C$5,1)="B",AK1239,MAX(AK1239,H1239))))</f>
        <v>16</v>
      </c>
      <c r="AG1239" s="50" t="n">
        <f aca="false">IF(BW1239=1,0,ROUNDUP(AF1239/BV1239,0))</f>
        <v>1</v>
      </c>
      <c r="AH1239" s="52" t="n">
        <f aca="false">IF(CL1239&gt;0,CL1239*MAX(1,AF1239/X1239),IF(BW1239=1,IF(AF1239&lt;=0,0,CA1239*MAX(1,IF(H1239&gt;0,AF1239/H1239,1))),IF(R1239&gt;0,AG1239/R1239,0))/MAX(0.1,N(Parameter!$M$21)))</f>
        <v>0.0833333333333333</v>
      </c>
      <c r="AI1239" s="50" t="n">
        <f aca="false">AH1239*BY1239</f>
        <v>20.4166666666667</v>
      </c>
      <c r="AJ1239" s="50" t="n">
        <f aca="false">AF1239*G1239</f>
        <v>1016.48</v>
      </c>
      <c r="AK1239" s="50" t="n">
        <f aca="false">ROUNDUP(MAX(J1239/IF(CD1239&gt;0,CD1239,MAX(0.1,N(Cockpit!$C$6))),CG1239)/BV1239,0)*BV1239</f>
        <v>60</v>
      </c>
      <c r="AL1239" s="51" t="n">
        <f aca="false">IF(AI1239&gt;0,J1239/AI1239,-1)</f>
        <v>0.930612244897959</v>
      </c>
      <c r="AM1239" s="51" t="n">
        <f aca="false">IF(AND(OR(CC1239="L1",CC1239="L23",CC1239="LIFT"),AI1239&gt;0),SUMIFS($AI$7:$AI$1843,$CC$7:$CC$1843,CC1239,$AL$7:$AL$1843,"&gt;"&amp;AL1239)+SUMIFS($AI$7:$AI$1843,$CC$7:$CC$1843,CC1239,$AL$7:$AL$1843,AL1239,$BT$7:$BT$1843,"&lt;="&amp;BT1239),"")</f>
        <v>7355.53891941392</v>
      </c>
      <c r="AN1239" s="58" t="n">
        <f aca="false">IF(AM1239="",0,MAX(0,MIN(1,(IF(CC1239="L1",Parameter!$H$5,IF(CC1239="L23",Parameter!$H$6+Parameter!$H$7,Parameter!$H$5+Parameter!$H$6+Parameter!$H$7))-(AM1239-AI1239))/AI1239)))</f>
        <v>1</v>
      </c>
      <c r="AO1239" s="50" t="n">
        <f aca="false">IF(LEFT(Cockpit!$I$5,1)="A",H1239,IF(CE1239=1,CF1239,IF(LEFT(Cockpit!$I$5,1)="B",AT1239,MAX(AT1239,H1239))))</f>
        <v>60</v>
      </c>
      <c r="AP1239" s="50" t="n">
        <f aca="false">IF(BW1239=1,0,ROUNDUP(AO1239/BV1239,0))</f>
        <v>1</v>
      </c>
      <c r="AQ1239" s="52" t="n">
        <f aca="false">IF(CL1239&gt;0,CL1239*MAX(1,AO1239/X1239),IF(BW1239=1,IF(AO1239&lt;=0,0,CA1239*MAX(1,IF(H1239&gt;0,AO1239/H1239,1))),IF(R1239&gt;0,AP1239/R1239,0))/MAX(0.1,N(Parameter!$M$21)))</f>
        <v>0.0833333333333333</v>
      </c>
      <c r="AR1239" s="50" t="n">
        <f aca="false">AQ1239*BY1239</f>
        <v>20.4166666666667</v>
      </c>
      <c r="AS1239" s="50" t="n">
        <f aca="false">AO1239*G1239</f>
        <v>3811.8</v>
      </c>
      <c r="AT1239" s="50" t="n">
        <f aca="false">ROUNDUP(MAX(J1239/IF(CD1239&gt;0,CD1239,MAX(0.1,N(Cockpit!$I$6))),CG1239)/BV1239,0)*BV1239</f>
        <v>60</v>
      </c>
      <c r="AU1239" s="51" t="n">
        <f aca="false">IF(AR1239&gt;0,J1239/AR1239,-1)</f>
        <v>0.930612244897959</v>
      </c>
      <c r="AV1239" s="51" t="n">
        <f aca="false">IF(AND(OR(CC1239="L1",CC1239="L23",CC1239="LIFT"),AR1239&gt;0),SUMIFS($AR$7:$AR$1843,$CC$7:$CC$1843,CC1239,$AU$7:$AU$1843,"&gt;"&amp;AU1239)+SUMIFS($AR$7:$AR$1843,$CC$7:$CC$1843,CC1239,$AU$7:$AU$1843,AU1239,$BT$7:$BT$1843,"&lt;="&amp;BT1239),"")</f>
        <v>10490.9624542125</v>
      </c>
      <c r="AW1239" s="58" t="n">
        <f aca="false">IF(AV1239="",0,MAX(0,MIN(1,(IF(CC1239="L1",Parameter!$H$5,IF(CC1239="L23",Parameter!$H$6+Parameter!$H$7,Parameter!$H$5+Parameter!$H$6+Parameter!$H$7))-(AV1239-AR1239))/AR1239)))</f>
        <v>1</v>
      </c>
      <c r="AX1239" s="50" t="n">
        <f aca="false">IF(LEFT(Cockpit!$O$5,1)="A",H1239,IF(CE1239=1,CF1239,IF(LEFT(Cockpit!$O$5,1)="B",BC1239,MAX(BC1239,H1239))))</f>
        <v>60</v>
      </c>
      <c r="AY1239" s="50" t="n">
        <f aca="false">IF(BW1239=1,0,ROUNDUP(AX1239/BV1239,0))</f>
        <v>1</v>
      </c>
      <c r="AZ1239" s="52" t="n">
        <f aca="false">IF(CL1239&gt;0,CL1239*MAX(1,AX1239/X1239),IF(BW1239=1,IF(AX1239&lt;=0,0,CA1239*MAX(1,IF(H1239&gt;0,AX1239/H1239,1))),IF(R1239&gt;0,AY1239/R1239,0))/MAX(0.1,N(Parameter!$M$21)))</f>
        <v>0.0833333333333333</v>
      </c>
      <c r="BA1239" s="50" t="n">
        <f aca="false">AZ1239*BY1239</f>
        <v>20.4166666666667</v>
      </c>
      <c r="BB1239" s="50" t="n">
        <f aca="false">AX1239*G1239</f>
        <v>3811.8</v>
      </c>
      <c r="BC1239" s="50" t="n">
        <f aca="false">ROUNDUP(MAX(J1239/IF(CD1239&gt;0,CD1239,MAX(0.1,N(Cockpit!$O$6))),CG1239)/BV1239,0)*BV1239</f>
        <v>60</v>
      </c>
      <c r="BD1239" s="51" t="n">
        <f aca="false">IF(BA1239&gt;0,J1239/BA1239,-1)</f>
        <v>0.930612244897959</v>
      </c>
      <c r="BE1239" s="51" t="n">
        <f aca="false">IF(AND(OR(CC1239="L1",CC1239="L23",CC1239="LIFT"),BA1239&gt;0),SUMIFS($BA$7:$BA$1843,$CC$7:$CC$1843,CC1239,$BD$7:$BD$1843,"&gt;"&amp;BD1239)+SUMIFS($BA$7:$BA$1843,$CC$7:$CC$1843,CC1239,$BD$7:$BD$1843,BD1239,$BT$7:$BT$1843,"&lt;="&amp;BT1239),"")</f>
        <v>9749.11950549451</v>
      </c>
      <c r="BF1239" s="58" t="n">
        <f aca="false">IF(BE1239="",0,MAX(0,MIN(1,(IF(CC1239="L1",Parameter!$H$5,IF(CC1239="L23",Parameter!$H$6+Parameter!$H$7,Parameter!$H$5+Parameter!$H$6+Parameter!$H$7))-(BE1239-BA1239))/BA1239)))</f>
        <v>1</v>
      </c>
      <c r="BG1239" s="48" t="str">
        <f aca="false">IF(AI1239&lt;=0,"",IF(CC1239="Aussen","Aussenlager",IF(CC1239="-","Nicht im Lift",IF(AN1239&gt;=1,"Lift",IF(AN1239&lt;=0,"Aussenlager","teilweise")))))</f>
        <v>Lift</v>
      </c>
      <c r="BH1239" s="48" t="str">
        <f aca="false">IF(AR1239&lt;=0,"",IF(CC1239="Aussen","Aussenlager",IF(CC1239="-","Nicht im Lift",IF(AW1239&gt;=1,"Lift",IF(AW1239&lt;=0,"Aussenlager","teilweise")))))</f>
        <v>Lift</v>
      </c>
      <c r="BI1239" s="48" t="str">
        <f aca="false">IF(BA1239&lt;=0,"",IF(CC1239="Aussen","Aussenlager",IF(CC1239="-","Nicht im Lift",IF(BF1239&gt;=1,"Lift",IF(BF1239&lt;=0,"Aussenlager","teilweise")))))</f>
        <v>Lift</v>
      </c>
      <c r="BJ1239" s="48" t="str">
        <f aca="false">IF(A1239="","",IF(BS1239=1,"Neu; ","")&amp;IF(AND(BS1239=0,BN1239&lt;0),"negativer Bestand (Export "&amp;BN1239&amp;"); ","")&amp;IF(J1239&lt;=0,"Kein Verbrauch; ","")&amp;IF(CL1239&gt;0,"Lift "&amp;W1239&amp;" lt. Liftbericht (Fach "&amp;X1239&amp;" Stk); ",IF(BX1239=1,"Gebinde geschätzt ("&amp;T1239&amp;"); ",IF(BW1239=1,"Lose – Tablare geschätzt; ","")))&amp;IF(H1239&gt;AT1239,"Überbestand "&amp;ROUND(H1239-AT1239,0)&amp;" Stk / CHF "&amp;ROUND((H1239-AT1239)*G1239,0)&amp;"; ","")&amp;IF(AND(CE1239=1,CF1239&lt;CG1239),"MAX &lt; MB+LG; ","")&amp;IF(AND(CK1239&gt;0,CJ1239*10&gt;CK1239),"zu hoch für Tablar; ","")&amp;IF(AND(BS1239=0,OR(CE1239=1,AA1239&lt;&gt;"",U1239&lt;&gt;"",V1239&lt;&gt;"",AB1239&lt;&gt;"")),"manuell übersteuert; ","")&amp;IF(AND(BW1239=0,R1239=0),"Gebinde unbekannt / Stellmass fehlt; ","")&amp;IF(AND(BW1239=0,N(V1239)&lt;=0,N(Q1239)&lt;=0),"Menge pro Gebinde fehlt (Ist = 1 Gebinde); ","")&amp;BR1239)</f>
        <v>negativer Bestand (Export -20); B&amp;R</v>
      </c>
      <c r="BK1239" s="48"/>
      <c r="BL1239" s="48"/>
      <c r="BM1239" s="55"/>
      <c r="BN1239" s="50" t="n">
        <v>-20</v>
      </c>
      <c r="BO1239" s="50" t="n">
        <v>36</v>
      </c>
      <c r="BP1239" s="49" t="n">
        <v>-693.88</v>
      </c>
      <c r="BQ1239" s="50" t="n">
        <v>19</v>
      </c>
      <c r="BR1239" s="48" t="s">
        <v>2221</v>
      </c>
      <c r="BS1239" s="53" t="n">
        <v>0</v>
      </c>
      <c r="BT1239" s="53" t="n">
        <v>1239</v>
      </c>
      <c r="BU1239" s="48" t="str">
        <f aca="false">IF(U1239&lt;&gt;"",UPPER(TRIM(U1239)),IF(BX1239=1,UPPER(VLOOKUP(T1239,Parameter!$I$27:$K$29,2,0)),IF(P1239="","LOSE",P1239)))</f>
        <v>S62</v>
      </c>
      <c r="BV1239" s="50" t="n">
        <f aca="false">IF(BU1239="LOSE",1,IF(N(V1239)&gt;0,V1239,IF(BX1239=1,MAX(1,N(VLOOKUP(T1239,Parameter!$I$27:$K$29,3,0)),H1239,N(N1239)),IF(N(Q1239)&gt;0,Q1239,MAX(1,H1239)))))</f>
        <v>60</v>
      </c>
      <c r="BW1239" s="53" t="n">
        <f aca="false">IF(BU1239="LOSE",1,0)</f>
        <v>0</v>
      </c>
      <c r="BX1239" s="53" t="n">
        <f aca="false">IF(AND(U1239="",OR(P1239="",P1239="LOSE"),T1239&lt;&gt;"",N(S1239)&lt;=0,ISNUMBER(MATCH(T1239,Parameter!$I$27:$I$29,0))),1,0)</f>
        <v>0</v>
      </c>
      <c r="BY1239" s="53" t="n">
        <f aca="false">IF(CL1239&gt;0,INDEX(Parameter!$H$5:$H$7,W1239)/INDEX(Parameter!$E$5:$E$7,W1239),IF(AND(BW1239=0,N(IFERROR(VLOOKUP(BU1239,'Gebinde-Kategorie'!$A$5:$N$45,14,0),0))&gt;0),VLOOKUP(BU1239,'Gebinde-Kategorie'!$A$5:$N$45,14,0)*10+Parameter!$M$23,Parameter!$M$24))</f>
        <v>245</v>
      </c>
      <c r="BZ1239" s="48" t="str">
        <f aca="false">IF(AND(Parameter!$B$19="Ja",E1239&lt;&gt;"",ISNUMBER(MATCH(E1239,Parameter!$I$35:$I$52,0))),VLOOKUP(E1239,Parameter!$I$35:$J$52,2,0),IFERROR(VLOOKUP(D1239,Parameter!$A$35:$C$64,2,0),"Nein"))</f>
        <v>2+3</v>
      </c>
      <c r="CA1239" s="52" t="n">
        <f aca="false">IF(BW1239=0,0,IF(N(S1239)&gt;0,S1239,IFERROR(VLOOKUP(D1239,Parameter!$A$35:$C$64,3,0)+0,0)))</f>
        <v>0</v>
      </c>
      <c r="CB1239" s="48" t="n">
        <f aca="false">IF(AA1239&lt;&gt;"",AA1239,Z1239)</f>
        <v>2</v>
      </c>
      <c r="CC1239" s="48" t="str">
        <f aca="false">IF(OR(CB1239=1,CB1239=2,CB1239=3),IF(Parameter!$E$27="Ja","LIFT",IF(CB1239=1,"L1","L23")),IF(CB1239="Aussen","Aussen","-"))</f>
        <v>LIFT</v>
      </c>
      <c r="CD1239" s="59" t="n">
        <f aca="false">IF(N(AB1239)&gt;0,AB1239,0)</f>
        <v>0</v>
      </c>
      <c r="CE1239" s="53" t="n">
        <f aca="false">IF(ISNUMBER(AE1239),1,0)</f>
        <v>0</v>
      </c>
      <c r="CF1239" s="50" t="n">
        <f aca="false">N(AE1239)</f>
        <v>0</v>
      </c>
      <c r="CG1239" s="50" t="n">
        <f aca="false">N(M1239)+N(N1239)</f>
        <v>26</v>
      </c>
      <c r="CH1239" s="50" t="n">
        <f aca="false">ROUNDUP(H1239/BV1239,0)</f>
        <v>1</v>
      </c>
      <c r="CI1239" s="50" t="n">
        <f aca="false">ROUNDUP(CF1239/BV1239,0)</f>
        <v>0</v>
      </c>
      <c r="CJ1239" s="53" t="n">
        <f aca="false">IF(BW1239=1,0,IFERROR(VLOOKUP(BU1239,'Gebinde-Kategorie'!$A$5:$N$45,5,0)+0,0))</f>
        <v>21</v>
      </c>
      <c r="CK1239" s="53" t="n">
        <f aca="false">IFERROR(IF(OR(CB1239=1,CB1239=2,CB1239=3),N(INDEX(Parameter!$I$5:$I$7,CB1239)),0),0)</f>
        <v>0</v>
      </c>
      <c r="CL1239" s="52" t="n">
        <f aca="false">IF(AND(Parameter!$B$21="Ja",ISNUMBER(W1239),N(X1239)&gt;0),IFERROR(N(INDEX(Parameter!$L$5:$L$7,W1239))*INDEX(Parameter!$E$5:$E$7,W1239)*X1239/SUMIFS($X$7:$X$1843,$W$7:$W$1843,W1239),0),0)</f>
        <v>0</v>
      </c>
    </row>
    <row r="1240" customFormat="false" ht="15" hidden="false" customHeight="false" outlineLevel="0" collapsed="false">
      <c r="A1240" s="48" t="s">
        <v>2222</v>
      </c>
      <c r="B1240" s="48" t="s">
        <v>2223</v>
      </c>
      <c r="C1240" s="48" t="s">
        <v>168</v>
      </c>
      <c r="D1240" s="48" t="s">
        <v>188</v>
      </c>
      <c r="E1240" s="48"/>
      <c r="F1240" s="48" t="s">
        <v>222</v>
      </c>
      <c r="G1240" s="49" t="n">
        <v>139.36</v>
      </c>
      <c r="H1240" s="50" t="n">
        <f aca="false">MAX(0,IF(AND(Parameter!$B$21="Ja",ISNUMBER(Y1240)),Y1240,IF(Parameter!$B$20="Jahresanfang 2025 + Export",BO1240+BN1240,BN1240)))</f>
        <v>107</v>
      </c>
      <c r="I1240" s="50" t="n">
        <f aca="false">H1240*G1240</f>
        <v>14911.52</v>
      </c>
      <c r="J1240" s="50" t="n">
        <f aca="false">BQ1240*Parameter!$B$18</f>
        <v>3</v>
      </c>
      <c r="K1240" s="51" t="n">
        <v>110.5</v>
      </c>
      <c r="L1240" s="52" t="n">
        <v>0.0271493212669683</v>
      </c>
      <c r="M1240" s="50" t="n">
        <v>0</v>
      </c>
      <c r="N1240" s="50" t="n">
        <v>5</v>
      </c>
      <c r="O1240" s="53" t="n">
        <v>63</v>
      </c>
      <c r="P1240" s="48" t="s">
        <v>297</v>
      </c>
      <c r="Q1240" s="50" t="n">
        <v>110</v>
      </c>
      <c r="R1240" s="53" t="n">
        <f aca="false">IF(BW1240=1,0,IFERROR(VLOOKUP(BU1240,'Gebinde-Kategorie'!$A$5:$N$45,13,0)+0,0))</f>
        <v>12</v>
      </c>
      <c r="S1240" s="54"/>
      <c r="T1240" s="55"/>
      <c r="U1240" s="55"/>
      <c r="V1240" s="55"/>
      <c r="W1240" s="48"/>
      <c r="X1240" s="50"/>
      <c r="Y1240" s="50"/>
      <c r="Z1240" s="48" t="n">
        <f aca="false">IF(A1240="","",IF(AND(Parameter!$B$21="Ja",ISNUMBER(W1240)),W1240,IF(BZ1240="2+3",IF(ISNUMBER(SEARCH("grosser Artikel",BR1240)),2,IFERROR(VLOOKUP(BU1240,Parameter!$F$35:$G$64,2,0),2)),IF(OR(BZ1240="Nein",BZ1240=""),"-",BZ1240))))</f>
        <v>2</v>
      </c>
      <c r="AA1240" s="55"/>
      <c r="AB1240" s="56"/>
      <c r="AC1240" s="50" t="n">
        <f aca="false">AT1240</f>
        <v>110</v>
      </c>
      <c r="AD1240" s="50" t="n">
        <f aca="false">MAX(AT1240,H1240)</f>
        <v>110</v>
      </c>
      <c r="AE1240" s="57"/>
      <c r="AF1240" s="50" t="n">
        <f aca="false">IF(LEFT(Cockpit!$C$5,1)="A",H1240,IF(CE1240=1,CF1240,IF(LEFT(Cockpit!$C$5,1)="B",AK1240,MAX(AK1240,H1240))))</f>
        <v>107</v>
      </c>
      <c r="AG1240" s="50" t="n">
        <f aca="false">IF(BW1240=1,0,ROUNDUP(AF1240/BV1240,0))</f>
        <v>1</v>
      </c>
      <c r="AH1240" s="52" t="n">
        <f aca="false">IF(CL1240&gt;0,CL1240*MAX(1,AF1240/X1240),IF(BW1240=1,IF(AF1240&lt;=0,0,CA1240*MAX(1,IF(H1240&gt;0,AF1240/H1240,1))),IF(R1240&gt;0,AG1240/R1240,0))/MAX(0.1,N(Parameter!$M$21)))</f>
        <v>0.0833333333333333</v>
      </c>
      <c r="AI1240" s="50" t="n">
        <f aca="false">AH1240*BY1240</f>
        <v>20.4166666666667</v>
      </c>
      <c r="AJ1240" s="50" t="n">
        <f aca="false">AF1240*G1240</f>
        <v>14911.52</v>
      </c>
      <c r="AK1240" s="50" t="n">
        <f aca="false">ROUNDUP(MAX(J1240/IF(CD1240&gt;0,CD1240,MAX(0.1,N(Cockpit!$C$6))),CG1240)/BV1240,0)*BV1240</f>
        <v>110</v>
      </c>
      <c r="AL1240" s="51" t="n">
        <f aca="false">IF(AI1240&gt;0,J1240/AI1240,-1)</f>
        <v>0.146938775510204</v>
      </c>
      <c r="AM1240" s="51" t="n">
        <f aca="false">IF(AND(OR(CC1240="L1",CC1240="L23",CC1240="LIFT"),AI1240&gt;0),SUMIFS($AI$7:$AI$1843,$CC$7:$CC$1843,CC1240,$AL$7:$AL$1843,"&gt;"&amp;AL1240)+SUMIFS($AI$7:$AI$1843,$CC$7:$CC$1843,CC1240,$AL$7:$AL$1843,AL1240,$BT$7:$BT$1843,"&lt;="&amp;BT1240),"")</f>
        <v>13063.3234644358</v>
      </c>
      <c r="AN1240" s="58" t="n">
        <f aca="false">IF(AM1240="",0,MAX(0,MIN(1,(IF(CC1240="L1",Parameter!$H$5,IF(CC1240="L23",Parameter!$H$6+Parameter!$H$7,Parameter!$H$5+Parameter!$H$6+Parameter!$H$7))-(AM1240-AI1240))/AI1240)))</f>
        <v>1</v>
      </c>
      <c r="AO1240" s="50" t="n">
        <f aca="false">IF(LEFT(Cockpit!$I$5,1)="A",H1240,IF(CE1240=1,CF1240,IF(LEFT(Cockpit!$I$5,1)="B",AT1240,MAX(AT1240,H1240))))</f>
        <v>110</v>
      </c>
      <c r="AP1240" s="50" t="n">
        <f aca="false">IF(BW1240=1,0,ROUNDUP(AO1240/BV1240,0))</f>
        <v>1</v>
      </c>
      <c r="AQ1240" s="52" t="n">
        <f aca="false">IF(CL1240&gt;0,CL1240*MAX(1,AO1240/X1240),IF(BW1240=1,IF(AO1240&lt;=0,0,CA1240*MAX(1,IF(H1240&gt;0,AO1240/H1240,1))),IF(R1240&gt;0,AP1240/R1240,0))/MAX(0.1,N(Parameter!$M$21)))</f>
        <v>0.0833333333333333</v>
      </c>
      <c r="AR1240" s="50" t="n">
        <f aca="false">AQ1240*BY1240</f>
        <v>20.4166666666667</v>
      </c>
      <c r="AS1240" s="50" t="n">
        <f aca="false">AO1240*G1240</f>
        <v>15329.6</v>
      </c>
      <c r="AT1240" s="50" t="n">
        <f aca="false">ROUNDUP(MAX(J1240/IF(CD1240&gt;0,CD1240,MAX(0.1,N(Cockpit!$I$6))),CG1240)/BV1240,0)*BV1240</f>
        <v>110</v>
      </c>
      <c r="AU1240" s="51" t="n">
        <f aca="false">IF(AR1240&gt;0,J1240/AR1240,-1)</f>
        <v>0.146938775510204</v>
      </c>
      <c r="AV1240" s="51" t="n">
        <f aca="false">IF(AND(OR(CC1240="L1",CC1240="L23",CC1240="LIFT"),AR1240&gt;0),SUMIFS($AR$7:$AR$1843,$CC$7:$CC$1843,CC1240,$AU$7:$AU$1843,"&gt;"&amp;AU1240)+SUMIFS($AR$7:$AR$1843,$CC$7:$CC$1843,CC1240,$AU$7:$AU$1843,AU1240,$BT$7:$BT$1843,"&lt;="&amp;BT1240),"")</f>
        <v>19883.244047619</v>
      </c>
      <c r="AW1240" s="58" t="n">
        <f aca="false">IF(AV1240="",0,MAX(0,MIN(1,(IF(CC1240="L1",Parameter!$H$5,IF(CC1240="L23",Parameter!$H$6+Parameter!$H$7,Parameter!$H$5+Parameter!$H$6+Parameter!$H$7))-(AV1240-AR1240))/AR1240)))</f>
        <v>1</v>
      </c>
      <c r="AX1240" s="50" t="n">
        <f aca="false">IF(LEFT(Cockpit!$O$5,1)="A",H1240,IF(CE1240=1,CF1240,IF(LEFT(Cockpit!$O$5,1)="B",BC1240,MAX(BC1240,H1240))))</f>
        <v>110</v>
      </c>
      <c r="AY1240" s="50" t="n">
        <f aca="false">IF(BW1240=1,0,ROUNDUP(AX1240/BV1240,0))</f>
        <v>1</v>
      </c>
      <c r="AZ1240" s="52" t="n">
        <f aca="false">IF(CL1240&gt;0,CL1240*MAX(1,AX1240/X1240),IF(BW1240=1,IF(AX1240&lt;=0,0,CA1240*MAX(1,IF(H1240&gt;0,AX1240/H1240,1))),IF(R1240&gt;0,AY1240/R1240,0))/MAX(0.1,N(Parameter!$M$21)))</f>
        <v>0.0833333333333333</v>
      </c>
      <c r="BA1240" s="50" t="n">
        <f aca="false">AZ1240*BY1240</f>
        <v>20.4166666666667</v>
      </c>
      <c r="BB1240" s="50" t="n">
        <f aca="false">AX1240*G1240</f>
        <v>15329.6</v>
      </c>
      <c r="BC1240" s="50" t="n">
        <f aca="false">ROUNDUP(MAX(J1240/IF(CD1240&gt;0,CD1240,MAX(0.1,N(Cockpit!$O$6))),CG1240)/BV1240,0)*BV1240</f>
        <v>110</v>
      </c>
      <c r="BD1240" s="51" t="n">
        <f aca="false">IF(BA1240&gt;0,J1240/BA1240,-1)</f>
        <v>0.146938775510204</v>
      </c>
      <c r="BE1240" s="51" t="n">
        <f aca="false">IF(AND(OR(CC1240="L1",CC1240="L23",CC1240="LIFT"),BA1240&gt;0),SUMIFS($BA$7:$BA$1843,$CC$7:$CC$1843,CC1240,$BD$7:$BD$1843,"&gt;"&amp;BD1240)+SUMIFS($BA$7:$BA$1843,$CC$7:$CC$1843,CC1240,$BD$7:$BD$1843,BD1240,$BT$7:$BT$1843,"&lt;="&amp;BT1240),"")</f>
        <v>18904.6732269614</v>
      </c>
      <c r="BF1240" s="58" t="n">
        <f aca="false">IF(BE1240="",0,MAX(0,MIN(1,(IF(CC1240="L1",Parameter!$H$5,IF(CC1240="L23",Parameter!$H$6+Parameter!$H$7,Parameter!$H$5+Parameter!$H$6+Parameter!$H$7))-(BE1240-BA1240))/BA1240)))</f>
        <v>1</v>
      </c>
      <c r="BG1240" s="48" t="str">
        <f aca="false">IF(AI1240&lt;=0,"",IF(CC1240="Aussen","Aussenlager",IF(CC1240="-","Nicht im Lift",IF(AN1240&gt;=1,"Lift",IF(AN1240&lt;=0,"Aussenlager","teilweise")))))</f>
        <v>Lift</v>
      </c>
      <c r="BH1240" s="48" t="str">
        <f aca="false">IF(AR1240&lt;=0,"",IF(CC1240="Aussen","Aussenlager",IF(CC1240="-","Nicht im Lift",IF(AW1240&gt;=1,"Lift",IF(AW1240&lt;=0,"Aussenlager","teilweise")))))</f>
        <v>Lift</v>
      </c>
      <c r="BI1240" s="48" t="str">
        <f aca="false">IF(BA1240&lt;=0,"",IF(CC1240="Aussen","Aussenlager",IF(CC1240="-","Nicht im Lift",IF(BF1240&gt;=1,"Lift",IF(BF1240&lt;=0,"Aussenlager","teilweise")))))</f>
        <v>Lift</v>
      </c>
      <c r="BJ1240" s="48" t="str">
        <f aca="false">IF(A1240="","",IF(BS1240=1,"Neu; ","")&amp;IF(AND(BS1240=0,BN1240&lt;0),"negativer Bestand (Export "&amp;BN1240&amp;"); ","")&amp;IF(J1240&lt;=0,"Kein Verbrauch; ","")&amp;IF(CL1240&gt;0,"Lift "&amp;W1240&amp;" lt. Liftbericht (Fach "&amp;X1240&amp;" Stk); ",IF(BX1240=1,"Gebinde geschätzt ("&amp;T1240&amp;"); ",IF(BW1240=1,"Lose – Tablare geschätzt; ","")))&amp;IF(H1240&gt;AT1240,"Überbestand "&amp;ROUND(H1240-AT1240,0)&amp;" Stk / CHF "&amp;ROUND((H1240-AT1240)*G1240,0)&amp;"; ","")&amp;IF(AND(CE1240=1,CF1240&lt;CG1240),"MAX &lt; MB+LG; ","")&amp;IF(AND(CK1240&gt;0,CJ1240*10&gt;CK1240),"zu hoch für Tablar; ","")&amp;IF(AND(BS1240=0,OR(CE1240=1,AA1240&lt;&gt;"",U1240&lt;&gt;"",V1240&lt;&gt;"",AB1240&lt;&gt;"")),"manuell übersteuert; ","")&amp;IF(AND(BW1240=0,R1240=0),"Gebinde unbekannt / Stellmass fehlt; ","")&amp;IF(AND(BW1240=0,N(V1240)&lt;=0,N(Q1240)&lt;=0),"Menge pro Gebinde fehlt (Ist = 1 Gebinde); ","")&amp;BR1240)</f>
        <v>negativer Bestand (Export -5); i.o</v>
      </c>
      <c r="BK1240" s="48"/>
      <c r="BL1240" s="48"/>
      <c r="BM1240" s="55"/>
      <c r="BN1240" s="50" t="n">
        <v>-5</v>
      </c>
      <c r="BO1240" s="50" t="n">
        <v>112</v>
      </c>
      <c r="BP1240" s="49" t="n">
        <v>-696.8</v>
      </c>
      <c r="BQ1240" s="50" t="n">
        <v>3</v>
      </c>
      <c r="BR1240" s="48" t="s">
        <v>540</v>
      </c>
      <c r="BS1240" s="53" t="n">
        <v>0</v>
      </c>
      <c r="BT1240" s="53" t="n">
        <v>1240</v>
      </c>
      <c r="BU1240" s="48" t="str">
        <f aca="false">IF(U1240&lt;&gt;"",UPPER(TRIM(U1240)),IF(BX1240=1,UPPER(VLOOKUP(T1240,Parameter!$I$27:$K$29,2,0)),IF(P1240="","LOSE",P1240)))</f>
        <v>S62</v>
      </c>
      <c r="BV1240" s="50" t="n">
        <f aca="false">IF(BU1240="LOSE",1,IF(N(V1240)&gt;0,V1240,IF(BX1240=1,MAX(1,N(VLOOKUP(T1240,Parameter!$I$27:$K$29,3,0)),H1240,N(N1240)),IF(N(Q1240)&gt;0,Q1240,MAX(1,H1240)))))</f>
        <v>110</v>
      </c>
      <c r="BW1240" s="53" t="n">
        <f aca="false">IF(BU1240="LOSE",1,0)</f>
        <v>0</v>
      </c>
      <c r="BX1240" s="53" t="n">
        <f aca="false">IF(AND(U1240="",OR(P1240="",P1240="LOSE"),T1240&lt;&gt;"",N(S1240)&lt;=0,ISNUMBER(MATCH(T1240,Parameter!$I$27:$I$29,0))),1,0)</f>
        <v>0</v>
      </c>
      <c r="BY1240" s="53" t="n">
        <f aca="false">IF(CL1240&gt;0,INDEX(Parameter!$H$5:$H$7,W1240)/INDEX(Parameter!$E$5:$E$7,W1240),IF(AND(BW1240=0,N(IFERROR(VLOOKUP(BU1240,'Gebinde-Kategorie'!$A$5:$N$45,14,0),0))&gt;0),VLOOKUP(BU1240,'Gebinde-Kategorie'!$A$5:$N$45,14,0)*10+Parameter!$M$23,Parameter!$M$24))</f>
        <v>245</v>
      </c>
      <c r="BZ1240" s="48" t="str">
        <f aca="false">IF(AND(Parameter!$B$19="Ja",E1240&lt;&gt;"",ISNUMBER(MATCH(E1240,Parameter!$I$35:$I$52,0))),VLOOKUP(E1240,Parameter!$I$35:$J$52,2,0),IFERROR(VLOOKUP(D1240,Parameter!$A$35:$C$64,2,0),"Nein"))</f>
        <v>2+3</v>
      </c>
      <c r="CA1240" s="52" t="n">
        <f aca="false">IF(BW1240=0,0,IF(N(S1240)&gt;0,S1240,IFERROR(VLOOKUP(D1240,Parameter!$A$35:$C$64,3,0)+0,0)))</f>
        <v>0</v>
      </c>
      <c r="CB1240" s="48" t="n">
        <f aca="false">IF(AA1240&lt;&gt;"",AA1240,Z1240)</f>
        <v>2</v>
      </c>
      <c r="CC1240" s="48" t="str">
        <f aca="false">IF(OR(CB1240=1,CB1240=2,CB1240=3),IF(Parameter!$E$27="Ja","LIFT",IF(CB1240=1,"L1","L23")),IF(CB1240="Aussen","Aussen","-"))</f>
        <v>LIFT</v>
      </c>
      <c r="CD1240" s="59" t="n">
        <f aca="false">IF(N(AB1240)&gt;0,AB1240,0)</f>
        <v>0</v>
      </c>
      <c r="CE1240" s="53" t="n">
        <f aca="false">IF(ISNUMBER(AE1240),1,0)</f>
        <v>0</v>
      </c>
      <c r="CF1240" s="50" t="n">
        <f aca="false">N(AE1240)</f>
        <v>0</v>
      </c>
      <c r="CG1240" s="50" t="n">
        <f aca="false">N(M1240)+N(N1240)</f>
        <v>5</v>
      </c>
      <c r="CH1240" s="50" t="n">
        <f aca="false">ROUNDUP(H1240/BV1240,0)</f>
        <v>1</v>
      </c>
      <c r="CI1240" s="50" t="n">
        <f aca="false">ROUNDUP(CF1240/BV1240,0)</f>
        <v>0</v>
      </c>
      <c r="CJ1240" s="53" t="n">
        <f aca="false">IF(BW1240=1,0,IFERROR(VLOOKUP(BU1240,'Gebinde-Kategorie'!$A$5:$N$45,5,0)+0,0))</f>
        <v>21</v>
      </c>
      <c r="CK1240" s="53" t="n">
        <f aca="false">IFERROR(IF(OR(CB1240=1,CB1240=2,CB1240=3),N(INDEX(Parameter!$I$5:$I$7,CB1240)),0),0)</f>
        <v>0</v>
      </c>
      <c r="CL1240" s="52" t="n">
        <f aca="false">IF(AND(Parameter!$B$21="Ja",ISNUMBER(W1240),N(X1240)&gt;0),IFERROR(N(INDEX(Parameter!$L$5:$L$7,W1240))*INDEX(Parameter!$E$5:$E$7,W1240)*X1240/SUMIFS($X$7:$X$1843,$W$7:$W$1843,W1240),0),0)</f>
        <v>0</v>
      </c>
    </row>
    <row r="1241" customFormat="false" ht="15" hidden="false" customHeight="false" outlineLevel="0" collapsed="false">
      <c r="A1241" s="48" t="s">
        <v>2224</v>
      </c>
      <c r="B1241" s="48" t="s">
        <v>526</v>
      </c>
      <c r="C1241" s="48" t="s">
        <v>168</v>
      </c>
      <c r="D1241" s="48" t="s">
        <v>177</v>
      </c>
      <c r="E1241" s="48"/>
      <c r="F1241" s="48" t="s">
        <v>222</v>
      </c>
      <c r="G1241" s="49" t="n">
        <v>348.62</v>
      </c>
      <c r="H1241" s="50" t="n">
        <f aca="false">MAX(0,IF(AND(Parameter!$B$21="Ja",ISNUMBER(Y1241)),Y1241,IF(Parameter!$B$20="Jahresanfang 2025 + Export",BO1241+BN1241,BN1241)))</f>
        <v>6</v>
      </c>
      <c r="I1241" s="50" t="n">
        <f aca="false">H1241*G1241</f>
        <v>2091.72</v>
      </c>
      <c r="J1241" s="50" t="n">
        <f aca="false">BQ1241*Parameter!$B$18</f>
        <v>1</v>
      </c>
      <c r="K1241" s="51" t="n">
        <v>7.5</v>
      </c>
      <c r="L1241" s="52" t="n">
        <v>0.133333333333333</v>
      </c>
      <c r="M1241" s="50" t="n">
        <v>0</v>
      </c>
      <c r="N1241" s="50" t="n">
        <v>1</v>
      </c>
      <c r="O1241" s="53" t="n">
        <v>35</v>
      </c>
      <c r="P1241" s="48" t="s">
        <v>172</v>
      </c>
      <c r="Q1241" s="50"/>
      <c r="R1241" s="53" t="n">
        <f aca="false">IF(BW1241=1,0,IFERROR(VLOOKUP(BU1241,'Gebinde-Kategorie'!$A$5:$N$45,13,0)+0,0))</f>
        <v>12</v>
      </c>
      <c r="S1241" s="54"/>
      <c r="T1241" s="55" t="s">
        <v>183</v>
      </c>
      <c r="U1241" s="55"/>
      <c r="V1241" s="55"/>
      <c r="W1241" s="48"/>
      <c r="X1241" s="50"/>
      <c r="Y1241" s="50"/>
      <c r="Z1241" s="48" t="n">
        <f aca="false">IF(A1241="","",IF(AND(Parameter!$B$21="Ja",ISNUMBER(W1241)),W1241,IF(BZ1241="2+3",IF(ISNUMBER(SEARCH("grosser Artikel",BR1241)),2,IFERROR(VLOOKUP(BU1241,Parameter!$F$35:$G$64,2,0),2)),IF(OR(BZ1241="Nein",BZ1241=""),"-",BZ1241))))</f>
        <v>2</v>
      </c>
      <c r="AA1241" s="55"/>
      <c r="AB1241" s="56"/>
      <c r="AC1241" s="50" t="n">
        <f aca="false">AT1241</f>
        <v>6</v>
      </c>
      <c r="AD1241" s="50" t="n">
        <f aca="false">MAX(AT1241,H1241)</f>
        <v>6</v>
      </c>
      <c r="AE1241" s="57"/>
      <c r="AF1241" s="50" t="n">
        <f aca="false">IF(LEFT(Cockpit!$C$5,1)="A",H1241,IF(CE1241=1,CF1241,IF(LEFT(Cockpit!$C$5,1)="B",AK1241,MAX(AK1241,H1241))))</f>
        <v>6</v>
      </c>
      <c r="AG1241" s="50" t="n">
        <f aca="false">IF(BW1241=1,0,ROUNDUP(AF1241/BV1241,0))</f>
        <v>1</v>
      </c>
      <c r="AH1241" s="52" t="n">
        <f aca="false">IF(CL1241&gt;0,CL1241*MAX(1,AF1241/X1241),IF(BW1241=1,IF(AF1241&lt;=0,0,CA1241*MAX(1,IF(H1241&gt;0,AF1241/H1241,1))),IF(R1241&gt;0,AG1241/R1241,0))/MAX(0.1,N(Parameter!$M$21)))</f>
        <v>0.0833333333333333</v>
      </c>
      <c r="AI1241" s="50" t="n">
        <f aca="false">AH1241*BY1241</f>
        <v>12.0833333333333</v>
      </c>
      <c r="AJ1241" s="50" t="n">
        <f aca="false">AF1241*G1241</f>
        <v>2091.72</v>
      </c>
      <c r="AK1241" s="50" t="n">
        <f aca="false">ROUNDUP(MAX(J1241/IF(CD1241&gt;0,CD1241,MAX(0.1,N(Cockpit!$C$6))),CG1241)/BV1241,0)*BV1241</f>
        <v>6</v>
      </c>
      <c r="AL1241" s="51" t="n">
        <f aca="false">IF(AI1241&gt;0,J1241/AI1241,-1)</f>
        <v>0.0827586206896552</v>
      </c>
      <c r="AM1241" s="51" t="n">
        <f aca="false">IF(AND(OR(CC1241="L1",CC1241="L23",CC1241="LIFT"),AI1241&gt;0),SUMIFS($AI$7:$AI$1843,$CC$7:$CC$1843,CC1241,$AL$7:$AL$1843,"&gt;"&amp;AL1241)+SUMIFS($AI$7:$AI$1843,$CC$7:$CC$1843,CC1241,$AL$7:$AL$1843,AL1241,$BT$7:$BT$1843,"&lt;="&amp;BT1241),"")</f>
        <v>16761.9407322903</v>
      </c>
      <c r="AN1241" s="58" t="n">
        <f aca="false">IF(AM1241="",0,MAX(0,MIN(1,(IF(CC1241="L1",Parameter!$H$5,IF(CC1241="L23",Parameter!$H$6+Parameter!$H$7,Parameter!$H$5+Parameter!$H$6+Parameter!$H$7))-(AM1241-AI1241))/AI1241)))</f>
        <v>1</v>
      </c>
      <c r="AO1241" s="50" t="n">
        <f aca="false">IF(LEFT(Cockpit!$I$5,1)="A",H1241,IF(CE1241=1,CF1241,IF(LEFT(Cockpit!$I$5,1)="B",AT1241,MAX(AT1241,H1241))))</f>
        <v>6</v>
      </c>
      <c r="AP1241" s="50" t="n">
        <f aca="false">IF(BW1241=1,0,ROUNDUP(AO1241/BV1241,0))</f>
        <v>1</v>
      </c>
      <c r="AQ1241" s="52" t="n">
        <f aca="false">IF(CL1241&gt;0,CL1241*MAX(1,AO1241/X1241),IF(BW1241=1,IF(AO1241&lt;=0,0,CA1241*MAX(1,IF(H1241&gt;0,AO1241/H1241,1))),IF(R1241&gt;0,AP1241/R1241,0))/MAX(0.1,N(Parameter!$M$21)))</f>
        <v>0.0833333333333333</v>
      </c>
      <c r="AR1241" s="50" t="n">
        <f aca="false">AQ1241*BY1241</f>
        <v>12.0833333333333</v>
      </c>
      <c r="AS1241" s="50" t="n">
        <f aca="false">AO1241*G1241</f>
        <v>2091.72</v>
      </c>
      <c r="AT1241" s="50" t="n">
        <f aca="false">ROUNDUP(MAX(J1241/IF(CD1241&gt;0,CD1241,MAX(0.1,N(Cockpit!$I$6))),CG1241)/BV1241,0)*BV1241</f>
        <v>6</v>
      </c>
      <c r="AU1241" s="51" t="n">
        <f aca="false">IF(AR1241&gt;0,J1241/AR1241,-1)</f>
        <v>0.0827586206896552</v>
      </c>
      <c r="AV1241" s="51" t="n">
        <f aca="false">IF(AND(OR(CC1241="L1",CC1241="L23",CC1241="LIFT"),AR1241&gt;0),SUMIFS($AR$7:$AR$1843,$CC$7:$CC$1843,CC1241,$AU$7:$AU$1843,"&gt;"&amp;AU1241)+SUMIFS($AR$7:$AR$1843,$CC$7:$CC$1843,CC1241,$AU$7:$AU$1843,AU1241,$BT$7:$BT$1843,"&lt;="&amp;BT1241),"")</f>
        <v>25270.1711083173</v>
      </c>
      <c r="AW1241" s="58" t="n">
        <f aca="false">IF(AV1241="",0,MAX(0,MIN(1,(IF(CC1241="L1",Parameter!$H$5,IF(CC1241="L23",Parameter!$H$6+Parameter!$H$7,Parameter!$H$5+Parameter!$H$6+Parameter!$H$7))-(AV1241-AR1241))/AR1241)))</f>
        <v>1</v>
      </c>
      <c r="AX1241" s="50" t="n">
        <f aca="false">IF(LEFT(Cockpit!$O$5,1)="A",H1241,IF(CE1241=1,CF1241,IF(LEFT(Cockpit!$O$5,1)="B",BC1241,MAX(BC1241,H1241))))</f>
        <v>6</v>
      </c>
      <c r="AY1241" s="50" t="n">
        <f aca="false">IF(BW1241=1,0,ROUNDUP(AX1241/BV1241,0))</f>
        <v>1</v>
      </c>
      <c r="AZ1241" s="52" t="n">
        <f aca="false">IF(CL1241&gt;0,CL1241*MAX(1,AX1241/X1241),IF(BW1241=1,IF(AX1241&lt;=0,0,CA1241*MAX(1,IF(H1241&gt;0,AX1241/H1241,1))),IF(R1241&gt;0,AY1241/R1241,0))/MAX(0.1,N(Parameter!$M$21)))</f>
        <v>0.0833333333333333</v>
      </c>
      <c r="BA1241" s="50" t="n">
        <f aca="false">AZ1241*BY1241</f>
        <v>12.0833333333333</v>
      </c>
      <c r="BB1241" s="50" t="n">
        <f aca="false">AX1241*G1241</f>
        <v>2091.72</v>
      </c>
      <c r="BC1241" s="50" t="n">
        <f aca="false">ROUNDUP(MAX(J1241/IF(CD1241&gt;0,CD1241,MAX(0.1,N(Cockpit!$O$6))),CG1241)/BV1241,0)*BV1241</f>
        <v>6</v>
      </c>
      <c r="BD1241" s="51" t="n">
        <f aca="false">IF(BA1241&gt;0,J1241/BA1241,-1)</f>
        <v>0.0827586206896552</v>
      </c>
      <c r="BE1241" s="51" t="n">
        <f aca="false">IF(AND(OR(CC1241="L1",CC1241="L23",CC1241="LIFT"),BA1241&gt;0),SUMIFS($BA$7:$BA$1843,$CC$7:$CC$1843,CC1241,$BD$7:$BD$1843,"&gt;"&amp;BD1241)+SUMIFS($BA$7:$BA$1843,$CC$7:$CC$1843,CC1241,$BD$7:$BD$1843,BD1241,$BT$7:$BT$1843,"&lt;="&amp;BT1241),"")</f>
        <v>23472.6831501832</v>
      </c>
      <c r="BF1241" s="58" t="n">
        <f aca="false">IF(BE1241="",0,MAX(0,MIN(1,(IF(CC1241="L1",Parameter!$H$5,IF(CC1241="L23",Parameter!$H$6+Parameter!$H$7,Parameter!$H$5+Parameter!$H$6+Parameter!$H$7))-(BE1241-BA1241))/BA1241)))</f>
        <v>1</v>
      </c>
      <c r="BG1241" s="48" t="str">
        <f aca="false">IF(AI1241&lt;=0,"",IF(CC1241="Aussen","Aussenlager",IF(CC1241="-","Nicht im Lift",IF(AN1241&gt;=1,"Lift",IF(AN1241&lt;=0,"Aussenlager","teilweise")))))</f>
        <v>Lift</v>
      </c>
      <c r="BH1241" s="48" t="str">
        <f aca="false">IF(AR1241&lt;=0,"",IF(CC1241="Aussen","Aussenlager",IF(CC1241="-","Nicht im Lift",IF(AW1241&gt;=1,"Lift",IF(AW1241&lt;=0,"Aussenlager","teilweise")))))</f>
        <v>Lift</v>
      </c>
      <c r="BI1241" s="48" t="str">
        <f aca="false">IF(BA1241&lt;=0,"",IF(CC1241="Aussen","Aussenlager",IF(CC1241="-","Nicht im Lift",IF(BF1241&gt;=1,"Lift",IF(BF1241&lt;=0,"Aussenlager","teilweise")))))</f>
        <v>Lift</v>
      </c>
      <c r="BJ1241" s="48" t="str">
        <f aca="false">IF(A1241="","",IF(BS1241=1,"Neu; ","")&amp;IF(AND(BS1241=0,BN1241&lt;0),"negativer Bestand (Export "&amp;BN1241&amp;"); ","")&amp;IF(J1241&lt;=0,"Kein Verbrauch; ","")&amp;IF(CL1241&gt;0,"Lift "&amp;W1241&amp;" lt. Liftbericht (Fach "&amp;X1241&amp;" Stk); ",IF(BX1241=1,"Gebinde geschätzt ("&amp;T1241&amp;"); ",IF(BW1241=1,"Lose – Tablare geschätzt; ","")))&amp;IF(H1241&gt;AT1241,"Überbestand "&amp;ROUND(H1241-AT1241,0)&amp;" Stk / CHF "&amp;ROUND((H1241-AT1241)*G1241,0)&amp;"; ","")&amp;IF(AND(CE1241=1,CF1241&lt;CG1241),"MAX &lt; MB+LG; ","")&amp;IF(AND(CK1241&gt;0,CJ1241*10&gt;CK1241),"zu hoch für Tablar; ","")&amp;IF(AND(BS1241=0,OR(CE1241=1,AA1241&lt;&gt;"",U1241&lt;&gt;"",V1241&lt;&gt;"",AB1241&lt;&gt;"")),"manuell übersteuert; ","")&amp;IF(AND(BW1241=0,R1241=0),"Gebinde unbekannt / Stellmass fehlt; ","")&amp;IF(AND(BW1241=0,N(V1241)&lt;=0,N(Q1241)&lt;=0),"Menge pro Gebinde fehlt (Ist = 1 Gebinde); ","")&amp;BR1241)</f>
        <v>negativer Bestand (Export -2); Gebinde geschätzt (Mittel); Menge pro Gebinde fehlt (Ist = 1 Gebinde); </v>
      </c>
      <c r="BK1241" s="48"/>
      <c r="BL1241" s="48"/>
      <c r="BM1241" s="55"/>
      <c r="BN1241" s="50" t="n">
        <v>-2</v>
      </c>
      <c r="BO1241" s="50" t="n">
        <v>8</v>
      </c>
      <c r="BP1241" s="49" t="n">
        <v>-697.24</v>
      </c>
      <c r="BQ1241" s="50" t="n">
        <v>1</v>
      </c>
      <c r="BR1241" s="48"/>
      <c r="BS1241" s="53" t="n">
        <v>0</v>
      </c>
      <c r="BT1241" s="53" t="n">
        <v>1241</v>
      </c>
      <c r="BU1241" s="48" t="str">
        <f aca="false">IF(U1241&lt;&gt;"",UPPER(TRIM(U1241)),IF(BX1241=1,UPPER(VLOOKUP(T1241,Parameter!$I$27:$K$29,2,0)),IF(P1241="","LOSE",P1241)))</f>
        <v>S61</v>
      </c>
      <c r="BV1241" s="50" t="n">
        <f aca="false">IF(BU1241="LOSE",1,IF(N(V1241)&gt;0,V1241,IF(BX1241=1,MAX(1,N(VLOOKUP(T1241,Parameter!$I$27:$K$29,3,0)),H1241,N(N1241)),IF(N(Q1241)&gt;0,Q1241,MAX(1,H1241)))))</f>
        <v>6</v>
      </c>
      <c r="BW1241" s="53" t="n">
        <f aca="false">IF(BU1241="LOSE",1,0)</f>
        <v>0</v>
      </c>
      <c r="BX1241" s="53" t="n">
        <f aca="false">IF(AND(U1241="",OR(P1241="",P1241="LOSE"),T1241&lt;&gt;"",N(S1241)&lt;=0,ISNUMBER(MATCH(T1241,Parameter!$I$27:$I$29,0))),1,0)</f>
        <v>1</v>
      </c>
      <c r="BY1241" s="53" t="n">
        <f aca="false">IF(CL1241&gt;0,INDEX(Parameter!$H$5:$H$7,W1241)/INDEX(Parameter!$E$5:$E$7,W1241),IF(AND(BW1241=0,N(IFERROR(VLOOKUP(BU1241,'Gebinde-Kategorie'!$A$5:$N$45,14,0),0))&gt;0),VLOOKUP(BU1241,'Gebinde-Kategorie'!$A$5:$N$45,14,0)*10+Parameter!$M$23,Parameter!$M$24))</f>
        <v>145</v>
      </c>
      <c r="BZ1241" s="48" t="str">
        <f aca="false">IF(AND(Parameter!$B$19="Ja",E1241&lt;&gt;"",ISNUMBER(MATCH(E1241,Parameter!$I$35:$I$52,0))),VLOOKUP(E1241,Parameter!$I$35:$J$52,2,0),IFERROR(VLOOKUP(D1241,Parameter!$A$35:$C$64,2,0),"Nein"))</f>
        <v>2+3</v>
      </c>
      <c r="CA1241" s="52" t="n">
        <f aca="false">IF(BW1241=0,0,IF(N(S1241)&gt;0,S1241,IFERROR(VLOOKUP(D1241,Parameter!$A$35:$C$64,3,0)+0,0)))</f>
        <v>0</v>
      </c>
      <c r="CB1241" s="48" t="n">
        <f aca="false">IF(AA1241&lt;&gt;"",AA1241,Z1241)</f>
        <v>2</v>
      </c>
      <c r="CC1241" s="48" t="str">
        <f aca="false">IF(OR(CB1241=1,CB1241=2,CB1241=3),IF(Parameter!$E$27="Ja","LIFT",IF(CB1241=1,"L1","L23")),IF(CB1241="Aussen","Aussen","-"))</f>
        <v>LIFT</v>
      </c>
      <c r="CD1241" s="59" t="n">
        <f aca="false">IF(N(AB1241)&gt;0,AB1241,0)</f>
        <v>0</v>
      </c>
      <c r="CE1241" s="53" t="n">
        <f aca="false">IF(ISNUMBER(AE1241),1,0)</f>
        <v>0</v>
      </c>
      <c r="CF1241" s="50" t="n">
        <f aca="false">N(AE1241)</f>
        <v>0</v>
      </c>
      <c r="CG1241" s="50" t="n">
        <f aca="false">N(M1241)+N(N1241)</f>
        <v>1</v>
      </c>
      <c r="CH1241" s="50" t="n">
        <f aca="false">ROUNDUP(H1241/BV1241,0)</f>
        <v>1</v>
      </c>
      <c r="CI1241" s="50" t="n">
        <f aca="false">ROUNDUP(CF1241/BV1241,0)</f>
        <v>0</v>
      </c>
      <c r="CJ1241" s="53" t="n">
        <f aca="false">IF(BW1241=1,0,IFERROR(VLOOKUP(BU1241,'Gebinde-Kategorie'!$A$5:$N$45,5,0)+0,0))</f>
        <v>11</v>
      </c>
      <c r="CK1241" s="53" t="n">
        <f aca="false">IFERROR(IF(OR(CB1241=1,CB1241=2,CB1241=3),N(INDEX(Parameter!$I$5:$I$7,CB1241)),0),0)</f>
        <v>0</v>
      </c>
      <c r="CL1241" s="52" t="n">
        <f aca="false">IF(AND(Parameter!$B$21="Ja",ISNUMBER(W1241),N(X1241)&gt;0),IFERROR(N(INDEX(Parameter!$L$5:$L$7,W1241))*INDEX(Parameter!$E$5:$E$7,W1241)*X1241/SUMIFS($X$7:$X$1843,$W$7:$W$1843,W1241),0),0)</f>
        <v>0</v>
      </c>
    </row>
    <row r="1242" customFormat="false" ht="15" hidden="false" customHeight="false" outlineLevel="0" collapsed="false">
      <c r="A1242" s="48" t="s">
        <v>2225</v>
      </c>
      <c r="B1242" s="48" t="s">
        <v>1407</v>
      </c>
      <c r="C1242" s="48" t="s">
        <v>168</v>
      </c>
      <c r="D1242" s="48" t="s">
        <v>188</v>
      </c>
      <c r="E1242" s="48"/>
      <c r="F1242" s="48" t="s">
        <v>222</v>
      </c>
      <c r="G1242" s="49" t="n">
        <v>77.59</v>
      </c>
      <c r="H1242" s="50" t="n">
        <f aca="false">MAX(0,IF(AND(Parameter!$B$21="Ja",ISNUMBER(Y1242)),Y1242,IF(Parameter!$B$20="Jahresanfang 2025 + Export",BO1242+BN1242,BN1242)))</f>
        <v>17</v>
      </c>
      <c r="I1242" s="50" t="n">
        <f aca="false">H1242*G1242</f>
        <v>1319.03</v>
      </c>
      <c r="J1242" s="50" t="n">
        <f aca="false">BQ1242*Parameter!$B$18</f>
        <v>4</v>
      </c>
      <c r="K1242" s="51" t="n">
        <v>24</v>
      </c>
      <c r="L1242" s="52" t="n">
        <v>0.166666666666667</v>
      </c>
      <c r="M1242" s="50" t="n">
        <v>0</v>
      </c>
      <c r="N1242" s="50" t="n">
        <v>5</v>
      </c>
      <c r="O1242" s="53" t="n">
        <v>35</v>
      </c>
      <c r="P1242" s="48" t="s">
        <v>172</v>
      </c>
      <c r="Q1242" s="50"/>
      <c r="R1242" s="53" t="n">
        <f aca="false">IF(BW1242=1,0,IFERROR(VLOOKUP(BU1242,'Gebinde-Kategorie'!$A$5:$N$45,13,0)+0,0))</f>
        <v>26</v>
      </c>
      <c r="S1242" s="54"/>
      <c r="T1242" s="55" t="s">
        <v>279</v>
      </c>
      <c r="U1242" s="55"/>
      <c r="V1242" s="55"/>
      <c r="W1242" s="48"/>
      <c r="X1242" s="50"/>
      <c r="Y1242" s="50"/>
      <c r="Z1242" s="48" t="n">
        <f aca="false">IF(A1242="","",IF(AND(Parameter!$B$21="Ja",ISNUMBER(W1242)),W1242,IF(BZ1242="2+3",IF(ISNUMBER(SEARCH("grosser Artikel",BR1242)),2,IFERROR(VLOOKUP(BU1242,Parameter!$F$35:$G$64,2,0),2)),IF(OR(BZ1242="Nein",BZ1242=""),"-",BZ1242))))</f>
        <v>3</v>
      </c>
      <c r="AA1242" s="55"/>
      <c r="AB1242" s="56"/>
      <c r="AC1242" s="50" t="n">
        <f aca="false">AT1242</f>
        <v>20</v>
      </c>
      <c r="AD1242" s="50" t="n">
        <f aca="false">MAX(AT1242,H1242)</f>
        <v>20</v>
      </c>
      <c r="AE1242" s="57"/>
      <c r="AF1242" s="50" t="n">
        <f aca="false">IF(LEFT(Cockpit!$C$5,1)="A",H1242,IF(CE1242=1,CF1242,IF(LEFT(Cockpit!$C$5,1)="B",AK1242,MAX(AK1242,H1242))))</f>
        <v>17</v>
      </c>
      <c r="AG1242" s="50" t="n">
        <f aca="false">IF(BW1242=1,0,ROUNDUP(AF1242/BV1242,0))</f>
        <v>1</v>
      </c>
      <c r="AH1242" s="52" t="n">
        <f aca="false">IF(CL1242&gt;0,CL1242*MAX(1,AF1242/X1242),IF(BW1242=1,IF(AF1242&lt;=0,0,CA1242*MAX(1,IF(H1242&gt;0,AF1242/H1242,1))),IF(R1242&gt;0,AG1242/R1242,0))/MAX(0.1,N(Parameter!$M$21)))</f>
        <v>0.0384615384615385</v>
      </c>
      <c r="AI1242" s="50" t="n">
        <f aca="false">AH1242*BY1242</f>
        <v>5.96153846153846</v>
      </c>
      <c r="AJ1242" s="50" t="n">
        <f aca="false">AF1242*G1242</f>
        <v>1319.03</v>
      </c>
      <c r="AK1242" s="50" t="n">
        <f aca="false">ROUNDUP(MAX(J1242/IF(CD1242&gt;0,CD1242,MAX(0.1,N(Cockpit!$C$6))),CG1242)/BV1242,0)*BV1242</f>
        <v>20</v>
      </c>
      <c r="AL1242" s="51" t="n">
        <f aca="false">IF(AI1242&gt;0,J1242/AI1242,-1)</f>
        <v>0.670967741935484</v>
      </c>
      <c r="AM1242" s="51" t="n">
        <f aca="false">IF(AND(OR(CC1242="L1",CC1242="L23",CC1242="LIFT"),AI1242&gt;0),SUMIFS($AI$7:$AI$1843,$CC$7:$CC$1843,CC1242,$AL$7:$AL$1843,"&gt;"&amp;AL1242)+SUMIFS($AI$7:$AI$1843,$CC$7:$CC$1843,CC1242,$AL$7:$AL$1843,AL1242,$BT$7:$BT$1843,"&lt;="&amp;BT1242),"")</f>
        <v>8647.41025641026</v>
      </c>
      <c r="AN1242" s="58" t="n">
        <f aca="false">IF(AM1242="",0,MAX(0,MIN(1,(IF(CC1242="L1",Parameter!$H$5,IF(CC1242="L23",Parameter!$H$6+Parameter!$H$7,Parameter!$H$5+Parameter!$H$6+Parameter!$H$7))-(AM1242-AI1242))/AI1242)))</f>
        <v>1</v>
      </c>
      <c r="AO1242" s="50" t="n">
        <f aca="false">IF(LEFT(Cockpit!$I$5,1)="A",H1242,IF(CE1242=1,CF1242,IF(LEFT(Cockpit!$I$5,1)="B",AT1242,MAX(AT1242,H1242))))</f>
        <v>20</v>
      </c>
      <c r="AP1242" s="50" t="n">
        <f aca="false">IF(BW1242=1,0,ROUNDUP(AO1242/BV1242,0))</f>
        <v>1</v>
      </c>
      <c r="AQ1242" s="52" t="n">
        <f aca="false">IF(CL1242&gt;0,CL1242*MAX(1,AO1242/X1242),IF(BW1242=1,IF(AO1242&lt;=0,0,CA1242*MAX(1,IF(H1242&gt;0,AO1242/H1242,1))),IF(R1242&gt;0,AP1242/R1242,0))/MAX(0.1,N(Parameter!$M$21)))</f>
        <v>0.0384615384615385</v>
      </c>
      <c r="AR1242" s="50" t="n">
        <f aca="false">AQ1242*BY1242</f>
        <v>5.96153846153846</v>
      </c>
      <c r="AS1242" s="50" t="n">
        <f aca="false">AO1242*G1242</f>
        <v>1551.8</v>
      </c>
      <c r="AT1242" s="50" t="n">
        <f aca="false">ROUNDUP(MAX(J1242/IF(CD1242&gt;0,CD1242,MAX(0.1,N(Cockpit!$I$6))),CG1242)/BV1242,0)*BV1242</f>
        <v>20</v>
      </c>
      <c r="AU1242" s="51" t="n">
        <f aca="false">IF(AR1242&gt;0,J1242/AR1242,-1)</f>
        <v>0.670967741935484</v>
      </c>
      <c r="AV1242" s="51" t="n">
        <f aca="false">IF(AND(OR(CC1242="L1",CC1242="L23",CC1242="LIFT"),AR1242&gt;0),SUMIFS($AR$7:$AR$1843,$CC$7:$CC$1843,CC1242,$AU$7:$AU$1843,"&gt;"&amp;AU1242)+SUMIFS($AR$7:$AR$1843,$CC$7:$CC$1843,CC1242,$AU$7:$AU$1843,AU1242,$BT$7:$BT$1843,"&lt;="&amp;BT1242),"")</f>
        <v>11789.5325091575</v>
      </c>
      <c r="AW1242" s="58" t="n">
        <f aca="false">IF(AV1242="",0,MAX(0,MIN(1,(IF(CC1242="L1",Parameter!$H$5,IF(CC1242="L23",Parameter!$H$6+Parameter!$H$7,Parameter!$H$5+Parameter!$H$6+Parameter!$H$7))-(AV1242-AR1242))/AR1242)))</f>
        <v>1</v>
      </c>
      <c r="AX1242" s="50" t="n">
        <f aca="false">IF(LEFT(Cockpit!$O$5,1)="A",H1242,IF(CE1242=1,CF1242,IF(LEFT(Cockpit!$O$5,1)="B",BC1242,MAX(BC1242,H1242))))</f>
        <v>20</v>
      </c>
      <c r="AY1242" s="50" t="n">
        <f aca="false">IF(BW1242=1,0,ROUNDUP(AX1242/BV1242,0))</f>
        <v>1</v>
      </c>
      <c r="AZ1242" s="52" t="n">
        <f aca="false">IF(CL1242&gt;0,CL1242*MAX(1,AX1242/X1242),IF(BW1242=1,IF(AX1242&lt;=0,0,CA1242*MAX(1,IF(H1242&gt;0,AX1242/H1242,1))),IF(R1242&gt;0,AY1242/R1242,0))/MAX(0.1,N(Parameter!$M$21)))</f>
        <v>0.0384615384615385</v>
      </c>
      <c r="BA1242" s="50" t="n">
        <f aca="false">AZ1242*BY1242</f>
        <v>5.96153846153846</v>
      </c>
      <c r="BB1242" s="50" t="n">
        <f aca="false">AX1242*G1242</f>
        <v>1551.8</v>
      </c>
      <c r="BC1242" s="50" t="n">
        <f aca="false">ROUNDUP(MAX(J1242/IF(CD1242&gt;0,CD1242,MAX(0.1,N(Cockpit!$O$6))),CG1242)/BV1242,0)*BV1242</f>
        <v>20</v>
      </c>
      <c r="BD1242" s="51" t="n">
        <f aca="false">IF(BA1242&gt;0,J1242/BA1242,-1)</f>
        <v>0.670967741935484</v>
      </c>
      <c r="BE1242" s="51" t="n">
        <f aca="false">IF(AND(OR(CC1242="L1",CC1242="L23",CC1242="LIFT"),BA1242&gt;0),SUMIFS($BA$7:$BA$1843,$CC$7:$CC$1843,CC1242,$BD$7:$BD$1843,"&gt;"&amp;BD1242)+SUMIFS($BA$7:$BA$1843,$CC$7:$CC$1843,CC1242,$BD$7:$BD$1843,BD1242,$BT$7:$BT$1843,"&lt;="&amp;BT1242),"")</f>
        <v>11389.3562271062</v>
      </c>
      <c r="BF1242" s="58" t="n">
        <f aca="false">IF(BE1242="",0,MAX(0,MIN(1,(IF(CC1242="L1",Parameter!$H$5,IF(CC1242="L23",Parameter!$H$6+Parameter!$H$7,Parameter!$H$5+Parameter!$H$6+Parameter!$H$7))-(BE1242-BA1242))/BA1242)))</f>
        <v>1</v>
      </c>
      <c r="BG1242" s="48" t="str">
        <f aca="false">IF(AI1242&lt;=0,"",IF(CC1242="Aussen","Aussenlager",IF(CC1242="-","Nicht im Lift",IF(AN1242&gt;=1,"Lift",IF(AN1242&lt;=0,"Aussenlager","teilweise")))))</f>
        <v>Lift</v>
      </c>
      <c r="BH1242" s="48" t="str">
        <f aca="false">IF(AR1242&lt;=0,"",IF(CC1242="Aussen","Aussenlager",IF(CC1242="-","Nicht im Lift",IF(AW1242&gt;=1,"Lift",IF(AW1242&lt;=0,"Aussenlager","teilweise")))))</f>
        <v>Lift</v>
      </c>
      <c r="BI1242" s="48" t="str">
        <f aca="false">IF(BA1242&lt;=0,"",IF(CC1242="Aussen","Aussenlager",IF(CC1242="-","Nicht im Lift",IF(BF1242&gt;=1,"Lift",IF(BF1242&lt;=0,"Aussenlager","teilweise")))))</f>
        <v>Lift</v>
      </c>
      <c r="BJ1242" s="48" t="str">
        <f aca="false">IF(A1242="","",IF(BS1242=1,"Neu; ","")&amp;IF(AND(BS1242=0,BN1242&lt;0),"negativer Bestand (Export "&amp;BN1242&amp;"); ","")&amp;IF(J1242&lt;=0,"Kein Verbrauch; ","")&amp;IF(CL1242&gt;0,"Lift "&amp;W1242&amp;" lt. Liftbericht (Fach "&amp;X1242&amp;" Stk); ",IF(BX1242=1,"Gebinde geschätzt ("&amp;T1242&amp;"); ",IF(BW1242=1,"Lose – Tablare geschätzt; ","")))&amp;IF(H1242&gt;AT1242,"Überbestand "&amp;ROUND(H1242-AT1242,0)&amp;" Stk / CHF "&amp;ROUND((H1242-AT1242)*G1242,0)&amp;"; ","")&amp;IF(AND(CE1242=1,CF1242&lt;CG1242),"MAX &lt; MB+LG; ","")&amp;IF(AND(CK1242&gt;0,CJ1242*10&gt;CK1242),"zu hoch für Tablar; ","")&amp;IF(AND(BS1242=0,OR(CE1242=1,AA1242&lt;&gt;"",U1242&lt;&gt;"",V1242&lt;&gt;"",AB1242&lt;&gt;"")),"manuell übersteuert; ","")&amp;IF(AND(BW1242=0,R1242=0),"Gebinde unbekannt / Stellmass fehlt; ","")&amp;IF(AND(BW1242=0,N(V1242)&lt;=0,N(Q1242)&lt;=0),"Menge pro Gebinde fehlt (Ist = 1 Gebinde); ","")&amp;BR1242)</f>
        <v>negativer Bestand (Export -9); Gebinde geschätzt (Klein); Menge pro Gebinde fehlt (Ist = 1 Gebinde); </v>
      </c>
      <c r="BK1242" s="48"/>
      <c r="BL1242" s="48"/>
      <c r="BM1242" s="55"/>
      <c r="BN1242" s="50" t="n">
        <v>-9</v>
      </c>
      <c r="BO1242" s="50" t="n">
        <v>26</v>
      </c>
      <c r="BP1242" s="49" t="n">
        <v>-698.31</v>
      </c>
      <c r="BQ1242" s="50" t="n">
        <v>4</v>
      </c>
      <c r="BR1242" s="48"/>
      <c r="BS1242" s="53" t="n">
        <v>0</v>
      </c>
      <c r="BT1242" s="53" t="n">
        <v>1242</v>
      </c>
      <c r="BU1242" s="48" t="str">
        <f aca="false">IF(U1242&lt;&gt;"",UPPER(TRIM(U1242)),IF(BX1242=1,UPPER(VLOOKUP(T1242,Parameter!$I$27:$K$29,2,0)),IF(P1242="","LOSE",P1242)))</f>
        <v>S51</v>
      </c>
      <c r="BV1242" s="50" t="n">
        <f aca="false">IF(BU1242="LOSE",1,IF(N(V1242)&gt;0,V1242,IF(BX1242=1,MAX(1,N(VLOOKUP(T1242,Parameter!$I$27:$K$29,3,0)),H1242,N(N1242)),IF(N(Q1242)&gt;0,Q1242,MAX(1,H1242)))))</f>
        <v>20</v>
      </c>
      <c r="BW1242" s="53" t="n">
        <f aca="false">IF(BU1242="LOSE",1,0)</f>
        <v>0</v>
      </c>
      <c r="BX1242" s="53" t="n">
        <f aca="false">IF(AND(U1242="",OR(P1242="",P1242="LOSE"),T1242&lt;&gt;"",N(S1242)&lt;=0,ISNUMBER(MATCH(T1242,Parameter!$I$27:$I$29,0))),1,0)</f>
        <v>1</v>
      </c>
      <c r="BY1242" s="53" t="n">
        <f aca="false">IF(CL1242&gt;0,INDEX(Parameter!$H$5:$H$7,W1242)/INDEX(Parameter!$E$5:$E$7,W1242),IF(AND(BW1242=0,N(IFERROR(VLOOKUP(BU1242,'Gebinde-Kategorie'!$A$5:$N$45,14,0),0))&gt;0),VLOOKUP(BU1242,'Gebinde-Kategorie'!$A$5:$N$45,14,0)*10+Parameter!$M$23,Parameter!$M$24))</f>
        <v>155</v>
      </c>
      <c r="BZ1242" s="48" t="str">
        <f aca="false">IF(AND(Parameter!$B$19="Ja",E1242&lt;&gt;"",ISNUMBER(MATCH(E1242,Parameter!$I$35:$I$52,0))),VLOOKUP(E1242,Parameter!$I$35:$J$52,2,0),IFERROR(VLOOKUP(D1242,Parameter!$A$35:$C$64,2,0),"Nein"))</f>
        <v>2+3</v>
      </c>
      <c r="CA1242" s="52" t="n">
        <f aca="false">IF(BW1242=0,0,IF(N(S1242)&gt;0,S1242,IFERROR(VLOOKUP(D1242,Parameter!$A$35:$C$64,3,0)+0,0)))</f>
        <v>0</v>
      </c>
      <c r="CB1242" s="48" t="n">
        <f aca="false">IF(AA1242&lt;&gt;"",AA1242,Z1242)</f>
        <v>3</v>
      </c>
      <c r="CC1242" s="48" t="str">
        <f aca="false">IF(OR(CB1242=1,CB1242=2,CB1242=3),IF(Parameter!$E$27="Ja","LIFT",IF(CB1242=1,"L1","L23")),IF(CB1242="Aussen","Aussen","-"))</f>
        <v>LIFT</v>
      </c>
      <c r="CD1242" s="59" t="n">
        <f aca="false">IF(N(AB1242)&gt;0,AB1242,0)</f>
        <v>0</v>
      </c>
      <c r="CE1242" s="53" t="n">
        <f aca="false">IF(ISNUMBER(AE1242),1,0)</f>
        <v>0</v>
      </c>
      <c r="CF1242" s="50" t="n">
        <f aca="false">N(AE1242)</f>
        <v>0</v>
      </c>
      <c r="CG1242" s="50" t="n">
        <f aca="false">N(M1242)+N(N1242)</f>
        <v>5</v>
      </c>
      <c r="CH1242" s="50" t="n">
        <f aca="false">ROUNDUP(H1242/BV1242,0)</f>
        <v>1</v>
      </c>
      <c r="CI1242" s="50" t="n">
        <f aca="false">ROUNDUP(CF1242/BV1242,0)</f>
        <v>0</v>
      </c>
      <c r="CJ1242" s="53" t="n">
        <f aca="false">IF(BW1242=1,0,IFERROR(VLOOKUP(BU1242,'Gebinde-Kategorie'!$A$5:$N$45,5,0)+0,0))</f>
        <v>11</v>
      </c>
      <c r="CK1242" s="53" t="n">
        <f aca="false">IFERROR(IF(OR(CB1242=1,CB1242=2,CB1242=3),N(INDEX(Parameter!$I$5:$I$7,CB1242)),0),0)</f>
        <v>0</v>
      </c>
      <c r="CL1242" s="52" t="n">
        <f aca="false">IF(AND(Parameter!$B$21="Ja",ISNUMBER(W1242),N(X1242)&gt;0),IFERROR(N(INDEX(Parameter!$L$5:$L$7,W1242))*INDEX(Parameter!$E$5:$E$7,W1242)*X1242/SUMIFS($X$7:$X$1843,$W$7:$W$1843,W1242),0),0)</f>
        <v>0</v>
      </c>
    </row>
    <row r="1243" customFormat="false" ht="15" hidden="false" customHeight="false" outlineLevel="0" collapsed="false">
      <c r="A1243" s="48" t="s">
        <v>2226</v>
      </c>
      <c r="B1243" s="48" t="s">
        <v>1055</v>
      </c>
      <c r="C1243" s="48" t="s">
        <v>168</v>
      </c>
      <c r="D1243" s="48" t="s">
        <v>188</v>
      </c>
      <c r="E1243" s="48"/>
      <c r="F1243" s="48" t="s">
        <v>222</v>
      </c>
      <c r="G1243" s="49" t="n">
        <v>16.2</v>
      </c>
      <c r="H1243" s="50" t="n">
        <f aca="false">MAX(0,IF(AND(Parameter!$B$21="Ja",ISNUMBER(Y1243)),Y1243,IF(Parameter!$B$20="Jahresanfang 2025 + Export",BO1243+BN1243,BN1243)))</f>
        <v>17</v>
      </c>
      <c r="I1243" s="50" t="n">
        <f aca="false">H1243*G1243</f>
        <v>275.4</v>
      </c>
      <c r="J1243" s="50" t="n">
        <f aca="false">BQ1243*Parameter!$B$18</f>
        <v>2</v>
      </c>
      <c r="K1243" s="51" t="n">
        <v>59.5</v>
      </c>
      <c r="L1243" s="52" t="n">
        <v>0.0336134453781513</v>
      </c>
      <c r="M1243" s="50" t="n">
        <v>0</v>
      </c>
      <c r="N1243" s="50" t="n">
        <v>1</v>
      </c>
      <c r="O1243" s="53" t="n">
        <v>28</v>
      </c>
      <c r="P1243" s="48" t="s">
        <v>190</v>
      </c>
      <c r="Q1243" s="50" t="n">
        <v>40</v>
      </c>
      <c r="R1243" s="53" t="n">
        <f aca="false">IF(BW1243=1,0,IFERROR(VLOOKUP(BU1243,'Gebinde-Kategorie'!$A$5:$N$45,13,0)+0,0))</f>
        <v>12</v>
      </c>
      <c r="S1243" s="54"/>
      <c r="T1243" s="55"/>
      <c r="U1243" s="55"/>
      <c r="V1243" s="55"/>
      <c r="W1243" s="48"/>
      <c r="X1243" s="50"/>
      <c r="Y1243" s="50"/>
      <c r="Z1243" s="48" t="n">
        <f aca="false">IF(A1243="","",IF(AND(Parameter!$B$21="Ja",ISNUMBER(W1243)),W1243,IF(BZ1243="2+3",IF(ISNUMBER(SEARCH("grosser Artikel",BR1243)),2,IFERROR(VLOOKUP(BU1243,Parameter!$F$35:$G$64,2,0),2)),IF(OR(BZ1243="Nein",BZ1243=""),"-",BZ1243))))</f>
        <v>2</v>
      </c>
      <c r="AA1243" s="55"/>
      <c r="AB1243" s="56"/>
      <c r="AC1243" s="50" t="n">
        <f aca="false">AT1243</f>
        <v>40</v>
      </c>
      <c r="AD1243" s="50" t="n">
        <f aca="false">MAX(AT1243,H1243)</f>
        <v>40</v>
      </c>
      <c r="AE1243" s="57"/>
      <c r="AF1243" s="50" t="n">
        <f aca="false">IF(LEFT(Cockpit!$C$5,1)="A",H1243,IF(CE1243=1,CF1243,IF(LEFT(Cockpit!$C$5,1)="B",AK1243,MAX(AK1243,H1243))))</f>
        <v>17</v>
      </c>
      <c r="AG1243" s="50" t="n">
        <f aca="false">IF(BW1243=1,0,ROUNDUP(AF1243/BV1243,0))</f>
        <v>1</v>
      </c>
      <c r="AH1243" s="52" t="n">
        <f aca="false">IF(CL1243&gt;0,CL1243*MAX(1,AF1243/X1243),IF(BW1243=1,IF(AF1243&lt;=0,0,CA1243*MAX(1,IF(H1243&gt;0,AF1243/H1243,1))),IF(R1243&gt;0,AG1243/R1243,0))/MAX(0.1,N(Parameter!$M$21)))</f>
        <v>0.0833333333333333</v>
      </c>
      <c r="AI1243" s="50" t="n">
        <f aca="false">AH1243*BY1243</f>
        <v>12.0833333333333</v>
      </c>
      <c r="AJ1243" s="50" t="n">
        <f aca="false">AF1243*G1243</f>
        <v>275.4</v>
      </c>
      <c r="AK1243" s="50" t="n">
        <f aca="false">ROUNDUP(MAX(J1243/IF(CD1243&gt;0,CD1243,MAX(0.1,N(Cockpit!$C$6))),CG1243)/BV1243,0)*BV1243</f>
        <v>40</v>
      </c>
      <c r="AL1243" s="51" t="n">
        <f aca="false">IF(AI1243&gt;0,J1243/AI1243,-1)</f>
        <v>0.16551724137931</v>
      </c>
      <c r="AM1243" s="51" t="n">
        <f aca="false">IF(AND(OR(CC1243="L1",CC1243="L23",CC1243="LIFT"),AI1243&gt;0),SUMIFS($AI$7:$AI$1843,$CC$7:$CC$1843,CC1243,$AL$7:$AL$1843,"&gt;"&amp;AL1243)+SUMIFS($AI$7:$AI$1843,$CC$7:$CC$1843,CC1243,$AL$7:$AL$1843,AL1243,$BT$7:$BT$1843,"&lt;="&amp;BT1243),"")</f>
        <v>12841.6567977691</v>
      </c>
      <c r="AN1243" s="58" t="n">
        <f aca="false">IF(AM1243="",0,MAX(0,MIN(1,(IF(CC1243="L1",Parameter!$H$5,IF(CC1243="L23",Parameter!$H$6+Parameter!$H$7,Parameter!$H$5+Parameter!$H$6+Parameter!$H$7))-(AM1243-AI1243))/AI1243)))</f>
        <v>1</v>
      </c>
      <c r="AO1243" s="50" t="n">
        <f aca="false">IF(LEFT(Cockpit!$I$5,1)="A",H1243,IF(CE1243=1,CF1243,IF(LEFT(Cockpit!$I$5,1)="B",AT1243,MAX(AT1243,H1243))))</f>
        <v>40</v>
      </c>
      <c r="AP1243" s="50" t="n">
        <f aca="false">IF(BW1243=1,0,ROUNDUP(AO1243/BV1243,0))</f>
        <v>1</v>
      </c>
      <c r="AQ1243" s="52" t="n">
        <f aca="false">IF(CL1243&gt;0,CL1243*MAX(1,AO1243/X1243),IF(BW1243=1,IF(AO1243&lt;=0,0,CA1243*MAX(1,IF(H1243&gt;0,AO1243/H1243,1))),IF(R1243&gt;0,AP1243/R1243,0))/MAX(0.1,N(Parameter!$M$21)))</f>
        <v>0.0833333333333333</v>
      </c>
      <c r="AR1243" s="50" t="n">
        <f aca="false">AQ1243*BY1243</f>
        <v>12.0833333333333</v>
      </c>
      <c r="AS1243" s="50" t="n">
        <f aca="false">AO1243*G1243</f>
        <v>648</v>
      </c>
      <c r="AT1243" s="50" t="n">
        <f aca="false">ROUNDUP(MAX(J1243/IF(CD1243&gt;0,CD1243,MAX(0.1,N(Cockpit!$I$6))),CG1243)/BV1243,0)*BV1243</f>
        <v>40</v>
      </c>
      <c r="AU1243" s="51" t="n">
        <f aca="false">IF(AR1243&gt;0,J1243/AR1243,-1)</f>
        <v>0.16551724137931</v>
      </c>
      <c r="AV1243" s="51" t="n">
        <f aca="false">IF(AND(OR(CC1243="L1",CC1243="L23",CC1243="LIFT"),AR1243&gt;0),SUMIFS($AR$7:$AR$1843,$CC$7:$CC$1843,CC1243,$AU$7:$AU$1843,"&gt;"&amp;AU1243)+SUMIFS($AR$7:$AR$1843,$CC$7:$CC$1843,CC1243,$AU$7:$AU$1843,AU1243,$BT$7:$BT$1843,"&lt;="&amp;BT1243),"")</f>
        <v>19434.8145604396</v>
      </c>
      <c r="AW1243" s="58" t="n">
        <f aca="false">IF(AV1243="",0,MAX(0,MIN(1,(IF(CC1243="L1",Parameter!$H$5,IF(CC1243="L23",Parameter!$H$6+Parameter!$H$7,Parameter!$H$5+Parameter!$H$6+Parameter!$H$7))-(AV1243-AR1243))/AR1243)))</f>
        <v>1</v>
      </c>
      <c r="AX1243" s="50" t="n">
        <f aca="false">IF(LEFT(Cockpit!$O$5,1)="A",H1243,IF(CE1243=1,CF1243,IF(LEFT(Cockpit!$O$5,1)="B",BC1243,MAX(BC1243,H1243))))</f>
        <v>40</v>
      </c>
      <c r="AY1243" s="50" t="n">
        <f aca="false">IF(BW1243=1,0,ROUNDUP(AX1243/BV1243,0))</f>
        <v>1</v>
      </c>
      <c r="AZ1243" s="52" t="n">
        <f aca="false">IF(CL1243&gt;0,CL1243*MAX(1,AX1243/X1243),IF(BW1243=1,IF(AX1243&lt;=0,0,CA1243*MAX(1,IF(H1243&gt;0,AX1243/H1243,1))),IF(R1243&gt;0,AY1243/R1243,0))/MAX(0.1,N(Parameter!$M$21)))</f>
        <v>0.0833333333333333</v>
      </c>
      <c r="BA1243" s="50" t="n">
        <f aca="false">AZ1243*BY1243</f>
        <v>12.0833333333333</v>
      </c>
      <c r="BB1243" s="50" t="n">
        <f aca="false">AX1243*G1243</f>
        <v>648</v>
      </c>
      <c r="BC1243" s="50" t="n">
        <f aca="false">ROUNDUP(MAX(J1243/IF(CD1243&gt;0,CD1243,MAX(0.1,N(Cockpit!$O$6))),CG1243)/BV1243,0)*BV1243</f>
        <v>40</v>
      </c>
      <c r="BD1243" s="51" t="n">
        <f aca="false">IF(BA1243&gt;0,J1243/BA1243,-1)</f>
        <v>0.16551724137931</v>
      </c>
      <c r="BE1243" s="51" t="n">
        <f aca="false">IF(AND(OR(CC1243="L1",CC1243="L23",CC1243="LIFT"),BA1243&gt;0),SUMIFS($BA$7:$BA$1843,$CC$7:$CC$1843,CC1243,$BD$7:$BD$1843,"&gt;"&amp;BD1243)+SUMIFS($BA$7:$BA$1843,$CC$7:$CC$1843,CC1243,$BD$7:$BD$1843,BD1243,$BT$7:$BT$1843,"&lt;="&amp;BT1243),"")</f>
        <v>17460.8882783883</v>
      </c>
      <c r="BF1243" s="58" t="n">
        <f aca="false">IF(BE1243="",0,MAX(0,MIN(1,(IF(CC1243="L1",Parameter!$H$5,IF(CC1243="L23",Parameter!$H$6+Parameter!$H$7,Parameter!$H$5+Parameter!$H$6+Parameter!$H$7))-(BE1243-BA1243))/BA1243)))</f>
        <v>1</v>
      </c>
      <c r="BG1243" s="48" t="str">
        <f aca="false">IF(AI1243&lt;=0,"",IF(CC1243="Aussen","Aussenlager",IF(CC1243="-","Nicht im Lift",IF(AN1243&gt;=1,"Lift",IF(AN1243&lt;=0,"Aussenlager","teilweise")))))</f>
        <v>Lift</v>
      </c>
      <c r="BH1243" s="48" t="str">
        <f aca="false">IF(AR1243&lt;=0,"",IF(CC1243="Aussen","Aussenlager",IF(CC1243="-","Nicht im Lift",IF(AW1243&gt;=1,"Lift",IF(AW1243&lt;=0,"Aussenlager","teilweise")))))</f>
        <v>Lift</v>
      </c>
      <c r="BI1243" s="48" t="str">
        <f aca="false">IF(BA1243&lt;=0,"",IF(CC1243="Aussen","Aussenlager",IF(CC1243="-","Nicht im Lift",IF(BF1243&gt;=1,"Lift",IF(BF1243&lt;=0,"Aussenlager","teilweise")))))</f>
        <v>Lift</v>
      </c>
      <c r="BJ1243" s="48" t="str">
        <f aca="false">IF(A1243="","",IF(BS1243=1,"Neu; ","")&amp;IF(AND(BS1243=0,BN1243&lt;0),"negativer Bestand (Export "&amp;BN1243&amp;"); ","")&amp;IF(J1243&lt;=0,"Kein Verbrauch; ","")&amp;IF(CL1243&gt;0,"Lift "&amp;W1243&amp;" lt. Liftbericht (Fach "&amp;X1243&amp;" Stk); ",IF(BX1243=1,"Gebinde geschätzt ("&amp;T1243&amp;"); ",IF(BW1243=1,"Lose – Tablare geschätzt; ","")))&amp;IF(H1243&gt;AT1243,"Überbestand "&amp;ROUND(H1243-AT1243,0)&amp;" Stk / CHF "&amp;ROUND((H1243-AT1243)*G1243,0)&amp;"; ","")&amp;IF(AND(CE1243=1,CF1243&lt;CG1243),"MAX &lt; MB+LG; ","")&amp;IF(AND(CK1243&gt;0,CJ1243*10&gt;CK1243),"zu hoch für Tablar; ","")&amp;IF(AND(BS1243=0,OR(CE1243=1,AA1243&lt;&gt;"",U1243&lt;&gt;"",V1243&lt;&gt;"",AB1243&lt;&gt;"")),"manuell übersteuert; ","")&amp;IF(AND(BW1243=0,R1243=0),"Gebinde unbekannt / Stellmass fehlt; ","")&amp;IF(AND(BW1243=0,N(V1243)&lt;=0,N(Q1243)&lt;=0),"Menge pro Gebinde fehlt (Ist = 1 Gebinde); ","")&amp;BR1243)</f>
        <v>negativer Bestand (Export -44); </v>
      </c>
      <c r="BK1243" s="48"/>
      <c r="BL1243" s="48"/>
      <c r="BM1243" s="55"/>
      <c r="BN1243" s="50" t="n">
        <v>-44</v>
      </c>
      <c r="BO1243" s="50" t="n">
        <v>61</v>
      </c>
      <c r="BP1243" s="49" t="n">
        <v>-712.8</v>
      </c>
      <c r="BQ1243" s="50" t="n">
        <v>2</v>
      </c>
      <c r="BR1243" s="48"/>
      <c r="BS1243" s="53" t="n">
        <v>0</v>
      </c>
      <c r="BT1243" s="53" t="n">
        <v>1243</v>
      </c>
      <c r="BU1243" s="48" t="str">
        <f aca="false">IF(U1243&lt;&gt;"",UPPER(TRIM(U1243)),IF(BX1243=1,UPPER(VLOOKUP(T1243,Parameter!$I$27:$K$29,2,0)),IF(P1243="","LOSE",P1243)))</f>
        <v>S61</v>
      </c>
      <c r="BV1243" s="50" t="n">
        <f aca="false">IF(BU1243="LOSE",1,IF(N(V1243)&gt;0,V1243,IF(BX1243=1,MAX(1,N(VLOOKUP(T1243,Parameter!$I$27:$K$29,3,0)),H1243,N(N1243)),IF(N(Q1243)&gt;0,Q1243,MAX(1,H1243)))))</f>
        <v>40</v>
      </c>
      <c r="BW1243" s="53" t="n">
        <f aca="false">IF(BU1243="LOSE",1,0)</f>
        <v>0</v>
      </c>
      <c r="BX1243" s="53" t="n">
        <f aca="false">IF(AND(U1243="",OR(P1243="",P1243="LOSE"),T1243&lt;&gt;"",N(S1243)&lt;=0,ISNUMBER(MATCH(T1243,Parameter!$I$27:$I$29,0))),1,0)</f>
        <v>0</v>
      </c>
      <c r="BY1243" s="53" t="n">
        <f aca="false">IF(CL1243&gt;0,INDEX(Parameter!$H$5:$H$7,W1243)/INDEX(Parameter!$E$5:$E$7,W1243),IF(AND(BW1243=0,N(IFERROR(VLOOKUP(BU1243,'Gebinde-Kategorie'!$A$5:$N$45,14,0),0))&gt;0),VLOOKUP(BU1243,'Gebinde-Kategorie'!$A$5:$N$45,14,0)*10+Parameter!$M$23,Parameter!$M$24))</f>
        <v>145</v>
      </c>
      <c r="BZ1243" s="48" t="str">
        <f aca="false">IF(AND(Parameter!$B$19="Ja",E1243&lt;&gt;"",ISNUMBER(MATCH(E1243,Parameter!$I$35:$I$52,0))),VLOOKUP(E1243,Parameter!$I$35:$J$52,2,0),IFERROR(VLOOKUP(D1243,Parameter!$A$35:$C$64,2,0),"Nein"))</f>
        <v>2+3</v>
      </c>
      <c r="CA1243" s="52" t="n">
        <f aca="false">IF(BW1243=0,0,IF(N(S1243)&gt;0,S1243,IFERROR(VLOOKUP(D1243,Parameter!$A$35:$C$64,3,0)+0,0)))</f>
        <v>0</v>
      </c>
      <c r="CB1243" s="48" t="n">
        <f aca="false">IF(AA1243&lt;&gt;"",AA1243,Z1243)</f>
        <v>2</v>
      </c>
      <c r="CC1243" s="48" t="str">
        <f aca="false">IF(OR(CB1243=1,CB1243=2,CB1243=3),IF(Parameter!$E$27="Ja","LIFT",IF(CB1243=1,"L1","L23")),IF(CB1243="Aussen","Aussen","-"))</f>
        <v>LIFT</v>
      </c>
      <c r="CD1243" s="59" t="n">
        <f aca="false">IF(N(AB1243)&gt;0,AB1243,0)</f>
        <v>0</v>
      </c>
      <c r="CE1243" s="53" t="n">
        <f aca="false">IF(ISNUMBER(AE1243),1,0)</f>
        <v>0</v>
      </c>
      <c r="CF1243" s="50" t="n">
        <f aca="false">N(AE1243)</f>
        <v>0</v>
      </c>
      <c r="CG1243" s="50" t="n">
        <f aca="false">N(M1243)+N(N1243)</f>
        <v>1</v>
      </c>
      <c r="CH1243" s="50" t="n">
        <f aca="false">ROUNDUP(H1243/BV1243,0)</f>
        <v>1</v>
      </c>
      <c r="CI1243" s="50" t="n">
        <f aca="false">ROUNDUP(CF1243/BV1243,0)</f>
        <v>0</v>
      </c>
      <c r="CJ1243" s="53" t="n">
        <f aca="false">IF(BW1243=1,0,IFERROR(VLOOKUP(BU1243,'Gebinde-Kategorie'!$A$5:$N$45,5,0)+0,0))</f>
        <v>11</v>
      </c>
      <c r="CK1243" s="53" t="n">
        <f aca="false">IFERROR(IF(OR(CB1243=1,CB1243=2,CB1243=3),N(INDEX(Parameter!$I$5:$I$7,CB1243)),0),0)</f>
        <v>0</v>
      </c>
      <c r="CL1243" s="52" t="n">
        <f aca="false">IF(AND(Parameter!$B$21="Ja",ISNUMBER(W1243),N(X1243)&gt;0),IFERROR(N(INDEX(Parameter!$L$5:$L$7,W1243))*INDEX(Parameter!$E$5:$E$7,W1243)*X1243/SUMIFS($X$7:$X$1843,$W$7:$W$1843,W1243),0),0)</f>
        <v>0</v>
      </c>
    </row>
    <row r="1244" customFormat="false" ht="15" hidden="false" customHeight="false" outlineLevel="0" collapsed="false">
      <c r="A1244" s="48" t="s">
        <v>2227</v>
      </c>
      <c r="B1244" s="48" t="s">
        <v>2228</v>
      </c>
      <c r="C1244" s="48" t="s">
        <v>168</v>
      </c>
      <c r="D1244" s="48" t="s">
        <v>188</v>
      </c>
      <c r="E1244" s="48"/>
      <c r="F1244" s="48" t="s">
        <v>222</v>
      </c>
      <c r="G1244" s="49" t="n">
        <v>79.39</v>
      </c>
      <c r="H1244" s="50" t="n">
        <f aca="false">MAX(0,IF(AND(Parameter!$B$21="Ja",ISNUMBER(Y1244)),Y1244,IF(Parameter!$B$20="Jahresanfang 2025 + Export",BO1244+BN1244,BN1244)))</f>
        <v>0</v>
      </c>
      <c r="I1244" s="50" t="n">
        <f aca="false">H1244*G1244</f>
        <v>0</v>
      </c>
      <c r="J1244" s="50" t="n">
        <f aca="false">BQ1244*Parameter!$B$18</f>
        <v>3</v>
      </c>
      <c r="K1244" s="51" t="n">
        <v>6.5</v>
      </c>
      <c r="L1244" s="52" t="n">
        <v>0.461538461538462</v>
      </c>
      <c r="M1244" s="50" t="n">
        <v>0</v>
      </c>
      <c r="N1244" s="50" t="n">
        <v>5</v>
      </c>
      <c r="O1244" s="53" t="n">
        <v>35</v>
      </c>
      <c r="P1244" s="48" t="s">
        <v>172</v>
      </c>
      <c r="Q1244" s="50"/>
      <c r="R1244" s="53" t="n">
        <f aca="false">IF(BW1244=1,0,IFERROR(VLOOKUP(BU1244,'Gebinde-Kategorie'!$A$5:$N$45,13,0)+0,0))</f>
        <v>26</v>
      </c>
      <c r="S1244" s="54"/>
      <c r="T1244" s="55" t="s">
        <v>279</v>
      </c>
      <c r="U1244" s="55"/>
      <c r="V1244" s="55"/>
      <c r="W1244" s="48"/>
      <c r="X1244" s="50"/>
      <c r="Y1244" s="50"/>
      <c r="Z1244" s="48" t="n">
        <f aca="false">IF(A1244="","",IF(AND(Parameter!$B$21="Ja",ISNUMBER(W1244)),W1244,IF(BZ1244="2+3",IF(ISNUMBER(SEARCH("grosser Artikel",BR1244)),2,IFERROR(VLOOKUP(BU1244,Parameter!$F$35:$G$64,2,0),2)),IF(OR(BZ1244="Nein",BZ1244=""),"-",BZ1244))))</f>
        <v>3</v>
      </c>
      <c r="AA1244" s="55"/>
      <c r="AB1244" s="56"/>
      <c r="AC1244" s="50" t="n">
        <f aca="false">AT1244</f>
        <v>20</v>
      </c>
      <c r="AD1244" s="50" t="n">
        <f aca="false">MAX(AT1244,H1244)</f>
        <v>20</v>
      </c>
      <c r="AE1244" s="57"/>
      <c r="AF1244" s="50" t="n">
        <f aca="false">IF(LEFT(Cockpit!$C$5,1)="A",H1244,IF(CE1244=1,CF1244,IF(LEFT(Cockpit!$C$5,1)="B",AK1244,MAX(AK1244,H1244))))</f>
        <v>0</v>
      </c>
      <c r="AG1244" s="50" t="n">
        <f aca="false">IF(BW1244=1,0,ROUNDUP(AF1244/BV1244,0))</f>
        <v>0</v>
      </c>
      <c r="AH1244" s="52" t="n">
        <f aca="false">IF(CL1244&gt;0,CL1244*MAX(1,AF1244/X1244),IF(BW1244=1,IF(AF1244&lt;=0,0,CA1244*MAX(1,IF(H1244&gt;0,AF1244/H1244,1))),IF(R1244&gt;0,AG1244/R1244,0))/MAX(0.1,N(Parameter!$M$21)))</f>
        <v>0</v>
      </c>
      <c r="AI1244" s="50" t="n">
        <f aca="false">AH1244*BY1244</f>
        <v>0</v>
      </c>
      <c r="AJ1244" s="50" t="n">
        <f aca="false">AF1244*G1244</f>
        <v>0</v>
      </c>
      <c r="AK1244" s="50" t="n">
        <f aca="false">ROUNDUP(MAX(J1244/IF(CD1244&gt;0,CD1244,MAX(0.1,N(Cockpit!$C$6))),CG1244)/BV1244,0)*BV1244</f>
        <v>20</v>
      </c>
      <c r="AL1244" s="51" t="n">
        <f aca="false">IF(AI1244&gt;0,J1244/AI1244,-1)</f>
        <v>-1</v>
      </c>
      <c r="AM1244" s="51" t="str">
        <f aca="false">IF(AND(OR(CC1244="L1",CC1244="L23",CC1244="LIFT"),AI1244&gt;0),SUMIFS($AI$7:$AI$1843,$CC$7:$CC$1843,CC1244,$AL$7:$AL$1843,"&gt;"&amp;AL1244)+SUMIFS($AI$7:$AI$1843,$CC$7:$CC$1843,CC1244,$AL$7:$AL$1843,AL1244,$BT$7:$BT$1843,"&lt;="&amp;BT1244),"")</f>
        <v/>
      </c>
      <c r="AN1244" s="58" t="n">
        <f aca="false">IF(AM1244="",0,MAX(0,MIN(1,(IF(CC1244="L1",Parameter!$H$5,IF(CC1244="L23",Parameter!$H$6+Parameter!$H$7,Parameter!$H$5+Parameter!$H$6+Parameter!$H$7))-(AM1244-AI1244))/AI1244)))</f>
        <v>0</v>
      </c>
      <c r="AO1244" s="50" t="n">
        <f aca="false">IF(LEFT(Cockpit!$I$5,1)="A",H1244,IF(CE1244=1,CF1244,IF(LEFT(Cockpit!$I$5,1)="B",AT1244,MAX(AT1244,H1244))))</f>
        <v>20</v>
      </c>
      <c r="AP1244" s="50" t="n">
        <f aca="false">IF(BW1244=1,0,ROUNDUP(AO1244/BV1244,0))</f>
        <v>1</v>
      </c>
      <c r="AQ1244" s="52" t="n">
        <f aca="false">IF(CL1244&gt;0,CL1244*MAX(1,AO1244/X1244),IF(BW1244=1,IF(AO1244&lt;=0,0,CA1244*MAX(1,IF(H1244&gt;0,AO1244/H1244,1))),IF(R1244&gt;0,AP1244/R1244,0))/MAX(0.1,N(Parameter!$M$21)))</f>
        <v>0.0384615384615385</v>
      </c>
      <c r="AR1244" s="50" t="n">
        <f aca="false">AQ1244*BY1244</f>
        <v>5.96153846153846</v>
      </c>
      <c r="AS1244" s="50" t="n">
        <f aca="false">AO1244*G1244</f>
        <v>1587.8</v>
      </c>
      <c r="AT1244" s="50" t="n">
        <f aca="false">ROUNDUP(MAX(J1244/IF(CD1244&gt;0,CD1244,MAX(0.1,N(Cockpit!$I$6))),CG1244)/BV1244,0)*BV1244</f>
        <v>20</v>
      </c>
      <c r="AU1244" s="51" t="n">
        <f aca="false">IF(AR1244&gt;0,J1244/AR1244,-1)</f>
        <v>0.503225806451613</v>
      </c>
      <c r="AV1244" s="51" t="n">
        <f aca="false">IF(AND(OR(CC1244="L1",CC1244="L23",CC1244="LIFT"),AR1244&gt;0),SUMIFS($AR$7:$AR$1843,$CC$7:$CC$1843,CC1244,$AU$7:$AU$1843,"&gt;"&amp;AU1244)+SUMIFS($AR$7:$AR$1843,$CC$7:$CC$1843,CC1244,$AU$7:$AU$1843,AU1244,$BT$7:$BT$1843,"&lt;="&amp;BT1244),"")</f>
        <v>14024.211996337</v>
      </c>
      <c r="AW1244" s="58" t="n">
        <f aca="false">IF(AV1244="",0,MAX(0,MIN(1,(IF(CC1244="L1",Parameter!$H$5,IF(CC1244="L23",Parameter!$H$6+Parameter!$H$7,Parameter!$H$5+Parameter!$H$6+Parameter!$H$7))-(AV1244-AR1244))/AR1244)))</f>
        <v>1</v>
      </c>
      <c r="AX1244" s="50" t="n">
        <f aca="false">IF(LEFT(Cockpit!$O$5,1)="A",H1244,IF(CE1244=1,CF1244,IF(LEFT(Cockpit!$O$5,1)="B",BC1244,MAX(BC1244,H1244))))</f>
        <v>20</v>
      </c>
      <c r="AY1244" s="50" t="n">
        <f aca="false">IF(BW1244=1,0,ROUNDUP(AX1244/BV1244,0))</f>
        <v>1</v>
      </c>
      <c r="AZ1244" s="52" t="n">
        <f aca="false">IF(CL1244&gt;0,CL1244*MAX(1,AX1244/X1244),IF(BW1244=1,IF(AX1244&lt;=0,0,CA1244*MAX(1,IF(H1244&gt;0,AX1244/H1244,1))),IF(R1244&gt;0,AY1244/R1244,0))/MAX(0.1,N(Parameter!$M$21)))</f>
        <v>0.0384615384615385</v>
      </c>
      <c r="BA1244" s="50" t="n">
        <f aca="false">AZ1244*BY1244</f>
        <v>5.96153846153846</v>
      </c>
      <c r="BB1244" s="50" t="n">
        <f aca="false">AX1244*G1244</f>
        <v>1587.8</v>
      </c>
      <c r="BC1244" s="50" t="n">
        <f aca="false">ROUNDUP(MAX(J1244/IF(CD1244&gt;0,CD1244,MAX(0.1,N(Cockpit!$O$6))),CG1244)/BV1244,0)*BV1244</f>
        <v>20</v>
      </c>
      <c r="BD1244" s="51" t="n">
        <f aca="false">IF(BA1244&gt;0,J1244/BA1244,-1)</f>
        <v>0.503225806451613</v>
      </c>
      <c r="BE1244" s="51" t="n">
        <f aca="false">IF(AND(OR(CC1244="L1",CC1244="L23",CC1244="LIFT"),BA1244&gt;0),SUMIFS($BA$7:$BA$1843,$CC$7:$CC$1843,CC1244,$BD$7:$BD$1843,"&gt;"&amp;BD1244)+SUMIFS($BA$7:$BA$1843,$CC$7:$CC$1843,CC1244,$BD$7:$BD$1843,BD1244,$BT$7:$BT$1843,"&lt;="&amp;BT1244),"")</f>
        <v>13019.869047619</v>
      </c>
      <c r="BF1244" s="58" t="n">
        <f aca="false">IF(BE1244="",0,MAX(0,MIN(1,(IF(CC1244="L1",Parameter!$H$5,IF(CC1244="L23",Parameter!$H$6+Parameter!$H$7,Parameter!$H$5+Parameter!$H$6+Parameter!$H$7))-(BE1244-BA1244))/BA1244)))</f>
        <v>1</v>
      </c>
      <c r="BG1244" s="48" t="str">
        <f aca="false">IF(AI1244&lt;=0,"",IF(CC1244="Aussen","Aussenlager",IF(CC1244="-","Nicht im Lift",IF(AN1244&gt;=1,"Lift",IF(AN1244&lt;=0,"Aussenlager","teilweise")))))</f>
        <v/>
      </c>
      <c r="BH1244" s="48" t="str">
        <f aca="false">IF(AR1244&lt;=0,"",IF(CC1244="Aussen","Aussenlager",IF(CC1244="-","Nicht im Lift",IF(AW1244&gt;=1,"Lift",IF(AW1244&lt;=0,"Aussenlager","teilweise")))))</f>
        <v>Lift</v>
      </c>
      <c r="BI1244" s="48" t="str">
        <f aca="false">IF(BA1244&lt;=0,"",IF(CC1244="Aussen","Aussenlager",IF(CC1244="-","Nicht im Lift",IF(BF1244&gt;=1,"Lift",IF(BF1244&lt;=0,"Aussenlager","teilweise")))))</f>
        <v>Lift</v>
      </c>
      <c r="BJ1244" s="48" t="str">
        <f aca="false">IF(A1244="","",IF(BS1244=1,"Neu; ","")&amp;IF(AND(BS1244=0,BN1244&lt;0),"negativer Bestand (Export "&amp;BN1244&amp;"); ","")&amp;IF(J1244&lt;=0,"Kein Verbrauch; ","")&amp;IF(CL1244&gt;0,"Lift "&amp;W1244&amp;" lt. Liftbericht (Fach "&amp;X1244&amp;" Stk); ",IF(BX1244=1,"Gebinde geschätzt ("&amp;T1244&amp;"); ",IF(BW1244=1,"Lose – Tablare geschätzt; ","")))&amp;IF(H1244&gt;AT1244,"Überbestand "&amp;ROUND(H1244-AT1244,0)&amp;" Stk / CHF "&amp;ROUND((H1244-AT1244)*G1244,0)&amp;"; ","")&amp;IF(AND(CE1244=1,CF1244&lt;CG1244),"MAX &lt; MB+LG; ","")&amp;IF(AND(CK1244&gt;0,CJ1244*10&gt;CK1244),"zu hoch für Tablar; ","")&amp;IF(AND(BS1244=0,OR(CE1244=1,AA1244&lt;&gt;"",U1244&lt;&gt;"",V1244&lt;&gt;"",AB1244&lt;&gt;"")),"manuell übersteuert; ","")&amp;IF(AND(BW1244=0,R1244=0),"Gebinde unbekannt / Stellmass fehlt; ","")&amp;IF(AND(BW1244=0,N(V1244)&lt;=0,N(Q1244)&lt;=0),"Menge pro Gebinde fehlt (Ist = 1 Gebinde); ","")&amp;BR1244)</f>
        <v>negativer Bestand (Export -9); Gebinde geschätzt (Klein); Menge pro Gebinde fehlt (Ist = 1 Gebinde); </v>
      </c>
      <c r="BK1244" s="48"/>
      <c r="BL1244" s="48"/>
      <c r="BM1244" s="55"/>
      <c r="BN1244" s="50" t="n">
        <v>-9</v>
      </c>
      <c r="BO1244" s="50" t="n">
        <v>9</v>
      </c>
      <c r="BP1244" s="49" t="n">
        <v>-714.51</v>
      </c>
      <c r="BQ1244" s="50" t="n">
        <v>3</v>
      </c>
      <c r="BR1244" s="48"/>
      <c r="BS1244" s="53" t="n">
        <v>0</v>
      </c>
      <c r="BT1244" s="53" t="n">
        <v>1244</v>
      </c>
      <c r="BU1244" s="48" t="str">
        <f aca="false">IF(U1244&lt;&gt;"",UPPER(TRIM(U1244)),IF(BX1244=1,UPPER(VLOOKUP(T1244,Parameter!$I$27:$K$29,2,0)),IF(P1244="","LOSE",P1244)))</f>
        <v>S51</v>
      </c>
      <c r="BV1244" s="50" t="n">
        <f aca="false">IF(BU1244="LOSE",1,IF(N(V1244)&gt;0,V1244,IF(BX1244=1,MAX(1,N(VLOOKUP(T1244,Parameter!$I$27:$K$29,3,0)),H1244,N(N1244)),IF(N(Q1244)&gt;0,Q1244,MAX(1,H1244)))))</f>
        <v>20</v>
      </c>
      <c r="BW1244" s="53" t="n">
        <f aca="false">IF(BU1244="LOSE",1,0)</f>
        <v>0</v>
      </c>
      <c r="BX1244" s="53" t="n">
        <f aca="false">IF(AND(U1244="",OR(P1244="",P1244="LOSE"),T1244&lt;&gt;"",N(S1244)&lt;=0,ISNUMBER(MATCH(T1244,Parameter!$I$27:$I$29,0))),1,0)</f>
        <v>1</v>
      </c>
      <c r="BY1244" s="53" t="n">
        <f aca="false">IF(CL1244&gt;0,INDEX(Parameter!$H$5:$H$7,W1244)/INDEX(Parameter!$E$5:$E$7,W1244),IF(AND(BW1244=0,N(IFERROR(VLOOKUP(BU1244,'Gebinde-Kategorie'!$A$5:$N$45,14,0),0))&gt;0),VLOOKUP(BU1244,'Gebinde-Kategorie'!$A$5:$N$45,14,0)*10+Parameter!$M$23,Parameter!$M$24))</f>
        <v>155</v>
      </c>
      <c r="BZ1244" s="48" t="str">
        <f aca="false">IF(AND(Parameter!$B$19="Ja",E1244&lt;&gt;"",ISNUMBER(MATCH(E1244,Parameter!$I$35:$I$52,0))),VLOOKUP(E1244,Parameter!$I$35:$J$52,2,0),IFERROR(VLOOKUP(D1244,Parameter!$A$35:$C$64,2,0),"Nein"))</f>
        <v>2+3</v>
      </c>
      <c r="CA1244" s="52" t="n">
        <f aca="false">IF(BW1244=0,0,IF(N(S1244)&gt;0,S1244,IFERROR(VLOOKUP(D1244,Parameter!$A$35:$C$64,3,0)+0,0)))</f>
        <v>0</v>
      </c>
      <c r="CB1244" s="48" t="n">
        <f aca="false">IF(AA1244&lt;&gt;"",AA1244,Z1244)</f>
        <v>3</v>
      </c>
      <c r="CC1244" s="48" t="str">
        <f aca="false">IF(OR(CB1244=1,CB1244=2,CB1244=3),IF(Parameter!$E$27="Ja","LIFT",IF(CB1244=1,"L1","L23")),IF(CB1244="Aussen","Aussen","-"))</f>
        <v>LIFT</v>
      </c>
      <c r="CD1244" s="59" t="n">
        <f aca="false">IF(N(AB1244)&gt;0,AB1244,0)</f>
        <v>0</v>
      </c>
      <c r="CE1244" s="53" t="n">
        <f aca="false">IF(ISNUMBER(AE1244),1,0)</f>
        <v>0</v>
      </c>
      <c r="CF1244" s="50" t="n">
        <f aca="false">N(AE1244)</f>
        <v>0</v>
      </c>
      <c r="CG1244" s="50" t="n">
        <f aca="false">N(M1244)+N(N1244)</f>
        <v>5</v>
      </c>
      <c r="CH1244" s="50" t="n">
        <f aca="false">ROUNDUP(H1244/BV1244,0)</f>
        <v>0</v>
      </c>
      <c r="CI1244" s="50" t="n">
        <f aca="false">ROUNDUP(CF1244/BV1244,0)</f>
        <v>0</v>
      </c>
      <c r="CJ1244" s="53" t="n">
        <f aca="false">IF(BW1244=1,0,IFERROR(VLOOKUP(BU1244,'Gebinde-Kategorie'!$A$5:$N$45,5,0)+0,0))</f>
        <v>11</v>
      </c>
      <c r="CK1244" s="53" t="n">
        <f aca="false">IFERROR(IF(OR(CB1244=1,CB1244=2,CB1244=3),N(INDEX(Parameter!$I$5:$I$7,CB1244)),0),0)</f>
        <v>0</v>
      </c>
      <c r="CL1244" s="52" t="n">
        <f aca="false">IF(AND(Parameter!$B$21="Ja",ISNUMBER(W1244),N(X1244)&gt;0),IFERROR(N(INDEX(Parameter!$L$5:$L$7,W1244))*INDEX(Parameter!$E$5:$E$7,W1244)*X1244/SUMIFS($X$7:$X$1843,$W$7:$W$1843,W1244),0),0)</f>
        <v>0</v>
      </c>
    </row>
    <row r="1245" customFormat="false" ht="15" hidden="false" customHeight="false" outlineLevel="0" collapsed="false">
      <c r="A1245" s="48" t="s">
        <v>2229</v>
      </c>
      <c r="B1245" s="48" t="s">
        <v>2230</v>
      </c>
      <c r="C1245" s="48" t="s">
        <v>168</v>
      </c>
      <c r="D1245" s="48" t="s">
        <v>188</v>
      </c>
      <c r="E1245" s="48" t="s">
        <v>189</v>
      </c>
      <c r="F1245" s="48" t="s">
        <v>222</v>
      </c>
      <c r="G1245" s="49" t="n">
        <v>51.08</v>
      </c>
      <c r="H1245" s="50" t="n">
        <f aca="false">MAX(0,IF(AND(Parameter!$B$21="Ja",ISNUMBER(Y1245)),Y1245,IF(Parameter!$B$20="Jahresanfang 2025 + Export",BO1245+BN1245,BN1245)))</f>
        <v>53</v>
      </c>
      <c r="I1245" s="50" t="n">
        <f aca="false">H1245*G1245</f>
        <v>2707.24</v>
      </c>
      <c r="J1245" s="50" t="n">
        <f aca="false">BQ1245*Parameter!$B$18</f>
        <v>5</v>
      </c>
      <c r="K1245" s="51" t="n">
        <v>63.5</v>
      </c>
      <c r="L1245" s="52" t="n">
        <v>0.078740157480315</v>
      </c>
      <c r="M1245" s="50" t="n">
        <v>0</v>
      </c>
      <c r="N1245" s="50" t="n">
        <v>5</v>
      </c>
      <c r="O1245" s="53" t="n">
        <v>21</v>
      </c>
      <c r="P1245" s="48" t="s">
        <v>230</v>
      </c>
      <c r="Q1245" s="50" t="n">
        <v>71</v>
      </c>
      <c r="R1245" s="53" t="n">
        <f aca="false">IF(BW1245=1,0,IFERROR(VLOOKUP(BU1245,'Gebinde-Kategorie'!$A$5:$N$45,13,0)+0,0))</f>
        <v>12</v>
      </c>
      <c r="S1245" s="54"/>
      <c r="T1245" s="55"/>
      <c r="U1245" s="55"/>
      <c r="V1245" s="55"/>
      <c r="W1245" s="48"/>
      <c r="X1245" s="50"/>
      <c r="Y1245" s="50"/>
      <c r="Z1245" s="48" t="n">
        <f aca="false">IF(A1245="","",IF(AND(Parameter!$B$21="Ja",ISNUMBER(W1245)),W1245,IF(BZ1245="2+3",IF(ISNUMBER(SEARCH("grosser Artikel",BR1245)),2,IFERROR(VLOOKUP(BU1245,Parameter!$F$35:$G$64,2,0),2)),IF(OR(BZ1245="Nein",BZ1245=""),"-",BZ1245))))</f>
        <v>2</v>
      </c>
      <c r="AA1245" s="55"/>
      <c r="AB1245" s="56"/>
      <c r="AC1245" s="50" t="n">
        <f aca="false">AT1245</f>
        <v>71</v>
      </c>
      <c r="AD1245" s="50" t="n">
        <f aca="false">MAX(AT1245,H1245)</f>
        <v>71</v>
      </c>
      <c r="AE1245" s="57"/>
      <c r="AF1245" s="50" t="n">
        <f aca="false">IF(LEFT(Cockpit!$C$5,1)="A",H1245,IF(CE1245=1,CF1245,IF(LEFT(Cockpit!$C$5,1)="B",AK1245,MAX(AK1245,H1245))))</f>
        <v>53</v>
      </c>
      <c r="AG1245" s="50" t="n">
        <f aca="false">IF(BW1245=1,0,ROUNDUP(AF1245/BV1245,0))</f>
        <v>1</v>
      </c>
      <c r="AH1245" s="52" t="n">
        <f aca="false">IF(CL1245&gt;0,CL1245*MAX(1,AF1245/X1245),IF(BW1245=1,IF(AF1245&lt;=0,0,CA1245*MAX(1,IF(H1245&gt;0,AF1245/H1245,1))),IF(R1245&gt;0,AG1245/R1245,0))/MAX(0.1,N(Parameter!$M$21)))</f>
        <v>0.0833333333333333</v>
      </c>
      <c r="AI1245" s="50" t="n">
        <f aca="false">AH1245*BY1245</f>
        <v>28.75</v>
      </c>
      <c r="AJ1245" s="50" t="n">
        <f aca="false">AF1245*G1245</f>
        <v>2707.24</v>
      </c>
      <c r="AK1245" s="50" t="n">
        <f aca="false">ROUNDUP(MAX(J1245/IF(CD1245&gt;0,CD1245,MAX(0.1,N(Cockpit!$C$6))),CG1245)/BV1245,0)*BV1245</f>
        <v>71</v>
      </c>
      <c r="AL1245" s="51" t="n">
        <f aca="false">IF(AI1245&gt;0,J1245/AI1245,-1)</f>
        <v>0.173913043478261</v>
      </c>
      <c r="AM1245" s="51" t="n">
        <f aca="false">IF(AND(OR(CC1245="L1",CC1245="L23",CC1245="LIFT"),AI1245&gt;0),SUMIFS($AI$7:$AI$1843,$CC$7:$CC$1843,CC1245,$AL$7:$AL$1843,"&gt;"&amp;AL1245)+SUMIFS($AI$7:$AI$1843,$CC$7:$CC$1843,CC1245,$AL$7:$AL$1843,AL1245,$BT$7:$BT$1843,"&lt;="&amp;BT1245),"")</f>
        <v>12679.733720846</v>
      </c>
      <c r="AN1245" s="58" t="n">
        <f aca="false">IF(AM1245="",0,MAX(0,MIN(1,(IF(CC1245="L1",Parameter!$H$5,IF(CC1245="L23",Parameter!$H$6+Parameter!$H$7,Parameter!$H$5+Parameter!$H$6+Parameter!$H$7))-(AM1245-AI1245))/AI1245)))</f>
        <v>1</v>
      </c>
      <c r="AO1245" s="50" t="n">
        <f aca="false">IF(LEFT(Cockpit!$I$5,1)="A",H1245,IF(CE1245=1,CF1245,IF(LEFT(Cockpit!$I$5,1)="B",AT1245,MAX(AT1245,H1245))))</f>
        <v>71</v>
      </c>
      <c r="AP1245" s="50" t="n">
        <f aca="false">IF(BW1245=1,0,ROUNDUP(AO1245/BV1245,0))</f>
        <v>1</v>
      </c>
      <c r="AQ1245" s="52" t="n">
        <f aca="false">IF(CL1245&gt;0,CL1245*MAX(1,AO1245/X1245),IF(BW1245=1,IF(AO1245&lt;=0,0,CA1245*MAX(1,IF(H1245&gt;0,AO1245/H1245,1))),IF(R1245&gt;0,AP1245/R1245,0))/MAX(0.1,N(Parameter!$M$21)))</f>
        <v>0.0833333333333333</v>
      </c>
      <c r="AR1245" s="50" t="n">
        <f aca="false">AQ1245*BY1245</f>
        <v>28.75</v>
      </c>
      <c r="AS1245" s="50" t="n">
        <f aca="false">AO1245*G1245</f>
        <v>3626.68</v>
      </c>
      <c r="AT1245" s="50" t="n">
        <f aca="false">ROUNDUP(MAX(J1245/IF(CD1245&gt;0,CD1245,MAX(0.1,N(Cockpit!$I$6))),CG1245)/BV1245,0)*BV1245</f>
        <v>71</v>
      </c>
      <c r="AU1245" s="51" t="n">
        <f aca="false">IF(AR1245&gt;0,J1245/AR1245,-1)</f>
        <v>0.173913043478261</v>
      </c>
      <c r="AV1245" s="51" t="n">
        <f aca="false">IF(AND(OR(CC1245="L1",CC1245="L23",CC1245="LIFT"),AR1245&gt;0),SUMIFS($AR$7:$AR$1843,$CC$7:$CC$1843,CC1245,$AU$7:$AU$1843,"&gt;"&amp;AU1245)+SUMIFS($AR$7:$AR$1843,$CC$7:$CC$1843,CC1245,$AU$7:$AU$1843,AU1245,$BT$7:$BT$1843,"&lt;="&amp;BT1245),"")</f>
        <v>19161.3850732601</v>
      </c>
      <c r="AW1245" s="58" t="n">
        <f aca="false">IF(AV1245="",0,MAX(0,MIN(1,(IF(CC1245="L1",Parameter!$H$5,IF(CC1245="L23",Parameter!$H$6+Parameter!$H$7,Parameter!$H$5+Parameter!$H$6+Parameter!$H$7))-(AV1245-AR1245))/AR1245)))</f>
        <v>1</v>
      </c>
      <c r="AX1245" s="50" t="n">
        <f aca="false">IF(LEFT(Cockpit!$O$5,1)="A",H1245,IF(CE1245=1,CF1245,IF(LEFT(Cockpit!$O$5,1)="B",BC1245,MAX(BC1245,H1245))))</f>
        <v>71</v>
      </c>
      <c r="AY1245" s="50" t="n">
        <f aca="false">IF(BW1245=1,0,ROUNDUP(AX1245/BV1245,0))</f>
        <v>1</v>
      </c>
      <c r="AZ1245" s="52" t="n">
        <f aca="false">IF(CL1245&gt;0,CL1245*MAX(1,AX1245/X1245),IF(BW1245=1,IF(AX1245&lt;=0,0,CA1245*MAX(1,IF(H1245&gt;0,AX1245/H1245,1))),IF(R1245&gt;0,AY1245/R1245,0))/MAX(0.1,N(Parameter!$M$21)))</f>
        <v>0.0833333333333333</v>
      </c>
      <c r="BA1245" s="50" t="n">
        <f aca="false">AZ1245*BY1245</f>
        <v>28.75</v>
      </c>
      <c r="BB1245" s="50" t="n">
        <f aca="false">AX1245*G1245</f>
        <v>3626.68</v>
      </c>
      <c r="BC1245" s="50" t="n">
        <f aca="false">ROUNDUP(MAX(J1245/IF(CD1245&gt;0,CD1245,MAX(0.1,N(Cockpit!$O$6))),CG1245)/BV1245,0)*BV1245</f>
        <v>71</v>
      </c>
      <c r="BD1245" s="51" t="n">
        <f aca="false">IF(BA1245&gt;0,J1245/BA1245,-1)</f>
        <v>0.173913043478261</v>
      </c>
      <c r="BE1245" s="51" t="n">
        <f aca="false">IF(AND(OR(CC1245="L1",CC1245="L23",CC1245="LIFT"),BA1245&gt;0),SUMIFS($BA$7:$BA$1843,$CC$7:$CC$1843,CC1245,$BD$7:$BD$1843,"&gt;"&amp;BD1245)+SUMIFS($BA$7:$BA$1843,$CC$7:$CC$1843,CC1245,$BD$7:$BD$1843,BD1245,$BT$7:$BT$1843,"&lt;="&amp;BT1245),"")</f>
        <v>17187.4587912088</v>
      </c>
      <c r="BF1245" s="58" t="n">
        <f aca="false">IF(BE1245="",0,MAX(0,MIN(1,(IF(CC1245="L1",Parameter!$H$5,IF(CC1245="L23",Parameter!$H$6+Parameter!$H$7,Parameter!$H$5+Parameter!$H$6+Parameter!$H$7))-(BE1245-BA1245))/BA1245)))</f>
        <v>1</v>
      </c>
      <c r="BG1245" s="48" t="str">
        <f aca="false">IF(AI1245&lt;=0,"",IF(CC1245="Aussen","Aussenlager",IF(CC1245="-","Nicht im Lift",IF(AN1245&gt;=1,"Lift",IF(AN1245&lt;=0,"Aussenlager","teilweise")))))</f>
        <v>Lift</v>
      </c>
      <c r="BH1245" s="48" t="str">
        <f aca="false">IF(AR1245&lt;=0,"",IF(CC1245="Aussen","Aussenlager",IF(CC1245="-","Nicht im Lift",IF(AW1245&gt;=1,"Lift",IF(AW1245&lt;=0,"Aussenlager","teilweise")))))</f>
        <v>Lift</v>
      </c>
      <c r="BI1245" s="48" t="str">
        <f aca="false">IF(BA1245&lt;=0,"",IF(CC1245="Aussen","Aussenlager",IF(CC1245="-","Nicht im Lift",IF(BF1245&gt;=1,"Lift",IF(BF1245&lt;=0,"Aussenlager","teilweise")))))</f>
        <v>Lift</v>
      </c>
      <c r="BJ1245" s="48" t="str">
        <f aca="false">IF(A1245="","",IF(BS1245=1,"Neu; ","")&amp;IF(AND(BS1245=0,BN1245&lt;0),"negativer Bestand (Export "&amp;BN1245&amp;"); ","")&amp;IF(J1245&lt;=0,"Kein Verbrauch; ","")&amp;IF(CL1245&gt;0,"Lift "&amp;W1245&amp;" lt. Liftbericht (Fach "&amp;X1245&amp;" Stk); ",IF(BX1245=1,"Gebinde geschätzt ("&amp;T1245&amp;"); ",IF(BW1245=1,"Lose – Tablare geschätzt; ","")))&amp;IF(H1245&gt;AT1245,"Überbestand "&amp;ROUND(H1245-AT1245,0)&amp;" Stk / CHF "&amp;ROUND((H1245-AT1245)*G1245,0)&amp;"; ","")&amp;IF(AND(CE1245=1,CF1245&lt;CG1245),"MAX &lt; MB+LG; ","")&amp;IF(AND(CK1245&gt;0,CJ1245*10&gt;CK1245),"zu hoch für Tablar; ","")&amp;IF(AND(BS1245=0,OR(CE1245=1,AA1245&lt;&gt;"",U1245&lt;&gt;"",V1245&lt;&gt;"",AB1245&lt;&gt;"")),"manuell übersteuert; ","")&amp;IF(AND(BW1245=0,R1245=0),"Gebinde unbekannt / Stellmass fehlt; ","")&amp;IF(AND(BW1245=0,N(V1245)&lt;=0,N(Q1245)&lt;=0),"Menge pro Gebinde fehlt (Ist = 1 Gebinde); ","")&amp;BR1245)</f>
        <v>negativer Bestand (Export -14); Überbestand; Braucht es diesen Artikel ?</v>
      </c>
      <c r="BK1245" s="48"/>
      <c r="BL1245" s="48"/>
      <c r="BM1245" s="55"/>
      <c r="BN1245" s="50" t="n">
        <v>-14</v>
      </c>
      <c r="BO1245" s="50" t="n">
        <v>67</v>
      </c>
      <c r="BP1245" s="49" t="n">
        <v>-715.12</v>
      </c>
      <c r="BQ1245" s="50" t="n">
        <v>5</v>
      </c>
      <c r="BR1245" s="48" t="s">
        <v>2231</v>
      </c>
      <c r="BS1245" s="53" t="n">
        <v>0</v>
      </c>
      <c r="BT1245" s="53" t="n">
        <v>1245</v>
      </c>
      <c r="BU1245" s="48" t="str">
        <f aca="false">IF(U1245&lt;&gt;"",UPPER(TRIM(U1245)),IF(BX1245=1,UPPER(VLOOKUP(T1245,Parameter!$I$27:$K$29,2,0)),IF(P1245="","LOSE",P1245)))</f>
        <v>S63</v>
      </c>
      <c r="BV1245" s="50" t="n">
        <f aca="false">IF(BU1245="LOSE",1,IF(N(V1245)&gt;0,V1245,IF(BX1245=1,MAX(1,N(VLOOKUP(T1245,Parameter!$I$27:$K$29,3,0)),H1245,N(N1245)),IF(N(Q1245)&gt;0,Q1245,MAX(1,H1245)))))</f>
        <v>71</v>
      </c>
      <c r="BW1245" s="53" t="n">
        <f aca="false">IF(BU1245="LOSE",1,0)</f>
        <v>0</v>
      </c>
      <c r="BX1245" s="53" t="n">
        <f aca="false">IF(AND(U1245="",OR(P1245="",P1245="LOSE"),T1245&lt;&gt;"",N(S1245)&lt;=0,ISNUMBER(MATCH(T1245,Parameter!$I$27:$I$29,0))),1,0)</f>
        <v>0</v>
      </c>
      <c r="BY1245" s="53" t="n">
        <f aca="false">IF(CL1245&gt;0,INDEX(Parameter!$H$5:$H$7,W1245)/INDEX(Parameter!$E$5:$E$7,W1245),IF(AND(BW1245=0,N(IFERROR(VLOOKUP(BU1245,'Gebinde-Kategorie'!$A$5:$N$45,14,0),0))&gt;0),VLOOKUP(BU1245,'Gebinde-Kategorie'!$A$5:$N$45,14,0)*10+Parameter!$M$23,Parameter!$M$24))</f>
        <v>345</v>
      </c>
      <c r="BZ1245" s="48" t="str">
        <f aca="false">IF(AND(Parameter!$B$19="Ja",E1245&lt;&gt;"",ISNUMBER(MATCH(E1245,Parameter!$I$35:$I$52,0))),VLOOKUP(E1245,Parameter!$I$35:$J$52,2,0),IFERROR(VLOOKUP(D1245,Parameter!$A$35:$C$64,2,0),"Nein"))</f>
        <v>2+3</v>
      </c>
      <c r="CA1245" s="52" t="n">
        <f aca="false">IF(BW1245=0,0,IF(N(S1245)&gt;0,S1245,IFERROR(VLOOKUP(D1245,Parameter!$A$35:$C$64,3,0)+0,0)))</f>
        <v>0</v>
      </c>
      <c r="CB1245" s="48" t="n">
        <f aca="false">IF(AA1245&lt;&gt;"",AA1245,Z1245)</f>
        <v>2</v>
      </c>
      <c r="CC1245" s="48" t="str">
        <f aca="false">IF(OR(CB1245=1,CB1245=2,CB1245=3),IF(Parameter!$E$27="Ja","LIFT",IF(CB1245=1,"L1","L23")),IF(CB1245="Aussen","Aussen","-"))</f>
        <v>LIFT</v>
      </c>
      <c r="CD1245" s="59" t="n">
        <f aca="false">IF(N(AB1245)&gt;0,AB1245,0)</f>
        <v>0</v>
      </c>
      <c r="CE1245" s="53" t="n">
        <f aca="false">IF(ISNUMBER(AE1245),1,0)</f>
        <v>0</v>
      </c>
      <c r="CF1245" s="50" t="n">
        <f aca="false">N(AE1245)</f>
        <v>0</v>
      </c>
      <c r="CG1245" s="50" t="n">
        <f aca="false">N(M1245)+N(N1245)</f>
        <v>5</v>
      </c>
      <c r="CH1245" s="50" t="n">
        <f aca="false">ROUNDUP(H1245/BV1245,0)</f>
        <v>1</v>
      </c>
      <c r="CI1245" s="50" t="n">
        <f aca="false">ROUNDUP(CF1245/BV1245,0)</f>
        <v>0</v>
      </c>
      <c r="CJ1245" s="53" t="n">
        <f aca="false">IF(BW1245=1,0,IFERROR(VLOOKUP(BU1245,'Gebinde-Kategorie'!$A$5:$N$45,5,0)+0,0))</f>
        <v>31</v>
      </c>
      <c r="CK1245" s="53" t="n">
        <f aca="false">IFERROR(IF(OR(CB1245=1,CB1245=2,CB1245=3),N(INDEX(Parameter!$I$5:$I$7,CB1245)),0),0)</f>
        <v>0</v>
      </c>
      <c r="CL1245" s="52" t="n">
        <f aca="false">IF(AND(Parameter!$B$21="Ja",ISNUMBER(W1245),N(X1245)&gt;0),IFERROR(N(INDEX(Parameter!$L$5:$L$7,W1245))*INDEX(Parameter!$E$5:$E$7,W1245)*X1245/SUMIFS($X$7:$X$1843,$W$7:$W$1843,W1245),0),0)</f>
        <v>0</v>
      </c>
    </row>
    <row r="1246" customFormat="false" ht="15" hidden="false" customHeight="false" outlineLevel="0" collapsed="false">
      <c r="A1246" s="48" t="s">
        <v>2232</v>
      </c>
      <c r="B1246" s="48" t="s">
        <v>2233</v>
      </c>
      <c r="C1246" s="48" t="s">
        <v>460</v>
      </c>
      <c r="D1246" s="48" t="s">
        <v>177</v>
      </c>
      <c r="E1246" s="48" t="s">
        <v>1483</v>
      </c>
      <c r="F1246" s="48" t="s">
        <v>222</v>
      </c>
      <c r="G1246" s="49" t="n">
        <v>72.6</v>
      </c>
      <c r="H1246" s="50" t="n">
        <f aca="false">MAX(0,IF(AND(Parameter!$B$21="Ja",ISNUMBER(Y1246)),Y1246,IF(Parameter!$B$20="Jahresanfang 2025 + Export",BO1246+BN1246,BN1246)))</f>
        <v>0</v>
      </c>
      <c r="I1246" s="50" t="n">
        <f aca="false">H1246*G1246</f>
        <v>0</v>
      </c>
      <c r="J1246" s="50" t="n">
        <f aca="false">BQ1246*Parameter!$B$18</f>
        <v>0</v>
      </c>
      <c r="K1246" s="51" t="n">
        <v>5</v>
      </c>
      <c r="L1246" s="52" t="n">
        <v>0</v>
      </c>
      <c r="M1246" s="50" t="n">
        <v>0</v>
      </c>
      <c r="N1246" s="50" t="n">
        <v>1</v>
      </c>
      <c r="O1246" s="53" t="n">
        <v>56</v>
      </c>
      <c r="P1246" s="48" t="s">
        <v>172</v>
      </c>
      <c r="Q1246" s="50"/>
      <c r="R1246" s="53" t="n">
        <f aca="false">IF(BW1246=1,0,IFERROR(VLOOKUP(BU1246,'Gebinde-Kategorie'!$A$5:$N$45,13,0)+0,0))</f>
        <v>4</v>
      </c>
      <c r="S1246" s="54"/>
      <c r="T1246" s="55" t="s">
        <v>193</v>
      </c>
      <c r="U1246" s="55"/>
      <c r="V1246" s="55"/>
      <c r="W1246" s="48"/>
      <c r="X1246" s="50"/>
      <c r="Y1246" s="50"/>
      <c r="Z1246" s="48" t="str">
        <f aca="false">IF(A1246="","",IF(AND(Parameter!$B$21="Ja",ISNUMBER(W1246)),W1246,IF(BZ1246="2+3",IF(ISNUMBER(SEARCH("grosser Artikel",BR1246)),2,IFERROR(VLOOKUP(BU1246,Parameter!$F$35:$G$64,2,0),2)),IF(OR(BZ1246="Nein",BZ1246=""),"-",BZ1246))))</f>
        <v>-</v>
      </c>
      <c r="AA1246" s="55"/>
      <c r="AB1246" s="56"/>
      <c r="AC1246" s="50" t="n">
        <f aca="false">AT1246</f>
        <v>2</v>
      </c>
      <c r="AD1246" s="50" t="n">
        <f aca="false">MAX(AT1246,H1246)</f>
        <v>2</v>
      </c>
      <c r="AE1246" s="57"/>
      <c r="AF1246" s="50" t="n">
        <f aca="false">IF(LEFT(Cockpit!$C$5,1)="A",H1246,IF(CE1246=1,CF1246,IF(LEFT(Cockpit!$C$5,1)="B",AK1246,MAX(AK1246,H1246))))</f>
        <v>0</v>
      </c>
      <c r="AG1246" s="50" t="n">
        <f aca="false">IF(BW1246=1,0,ROUNDUP(AF1246/BV1246,0))</f>
        <v>0</v>
      </c>
      <c r="AH1246" s="52" t="n">
        <f aca="false">IF(CL1246&gt;0,CL1246*MAX(1,AF1246/X1246),IF(BW1246=1,IF(AF1246&lt;=0,0,CA1246*MAX(1,IF(H1246&gt;0,AF1246/H1246,1))),IF(R1246&gt;0,AG1246/R1246,0))/MAX(0.1,N(Parameter!$M$21)))</f>
        <v>0</v>
      </c>
      <c r="AI1246" s="50" t="n">
        <f aca="false">AH1246*BY1246</f>
        <v>0</v>
      </c>
      <c r="AJ1246" s="50" t="n">
        <f aca="false">AF1246*G1246</f>
        <v>0</v>
      </c>
      <c r="AK1246" s="50" t="n">
        <f aca="false">ROUNDUP(MAX(J1246/IF(CD1246&gt;0,CD1246,MAX(0.1,N(Cockpit!$C$6))),CG1246)/BV1246,0)*BV1246</f>
        <v>2</v>
      </c>
      <c r="AL1246" s="51" t="n">
        <f aca="false">IF(AI1246&gt;0,J1246/AI1246,-1)</f>
        <v>-1</v>
      </c>
      <c r="AM1246" s="51" t="str">
        <f aca="false">IF(AND(OR(CC1246="L1",CC1246="L23",CC1246="LIFT"),AI1246&gt;0),SUMIFS($AI$7:$AI$1843,$CC$7:$CC$1843,CC1246,$AL$7:$AL$1843,"&gt;"&amp;AL1246)+SUMIFS($AI$7:$AI$1843,$CC$7:$CC$1843,CC1246,$AL$7:$AL$1843,AL1246,$BT$7:$BT$1843,"&lt;="&amp;BT1246),"")</f>
        <v/>
      </c>
      <c r="AN1246" s="58" t="n">
        <f aca="false">IF(AM1246="",0,MAX(0,MIN(1,(IF(CC1246="L1",Parameter!$H$5,IF(CC1246="L23",Parameter!$H$6+Parameter!$H$7,Parameter!$H$5+Parameter!$H$6+Parameter!$H$7))-(AM1246-AI1246))/AI1246)))</f>
        <v>0</v>
      </c>
      <c r="AO1246" s="50" t="n">
        <f aca="false">IF(LEFT(Cockpit!$I$5,1)="A",H1246,IF(CE1246=1,CF1246,IF(LEFT(Cockpit!$I$5,1)="B",AT1246,MAX(AT1246,H1246))))</f>
        <v>2</v>
      </c>
      <c r="AP1246" s="50" t="n">
        <f aca="false">IF(BW1246=1,0,ROUNDUP(AO1246/BV1246,0))</f>
        <v>1</v>
      </c>
      <c r="AQ1246" s="52" t="n">
        <f aca="false">IF(CL1246&gt;0,CL1246*MAX(1,AO1246/X1246),IF(BW1246=1,IF(AO1246&lt;=0,0,CA1246*MAX(1,IF(H1246&gt;0,AO1246/H1246,1))),IF(R1246&gt;0,AP1246/R1246,0))/MAX(0.1,N(Parameter!$M$21)))</f>
        <v>0.25</v>
      </c>
      <c r="AR1246" s="50" t="n">
        <f aca="false">AQ1246*BY1246</f>
        <v>58.75</v>
      </c>
      <c r="AS1246" s="50" t="n">
        <f aca="false">AO1246*G1246</f>
        <v>145.2</v>
      </c>
      <c r="AT1246" s="50" t="n">
        <f aca="false">ROUNDUP(MAX(J1246/IF(CD1246&gt;0,CD1246,MAX(0.1,N(Cockpit!$I$6))),CG1246)/BV1246,0)*BV1246</f>
        <v>2</v>
      </c>
      <c r="AU1246" s="51" t="n">
        <f aca="false">IF(AR1246&gt;0,J1246/AR1246,-1)</f>
        <v>0</v>
      </c>
      <c r="AV1246" s="51" t="str">
        <f aca="false">IF(AND(OR(CC1246="L1",CC1246="L23",CC1246="LIFT"),AR1246&gt;0),SUMIFS($AR$7:$AR$1843,$CC$7:$CC$1843,CC1246,$AU$7:$AU$1843,"&gt;"&amp;AU1246)+SUMIFS($AR$7:$AR$1843,$CC$7:$CC$1843,CC1246,$AU$7:$AU$1843,AU1246,$BT$7:$BT$1843,"&lt;="&amp;BT1246),"")</f>
        <v/>
      </c>
      <c r="AW1246" s="58" t="n">
        <f aca="false">IF(AV1246="",0,MAX(0,MIN(1,(IF(CC1246="L1",Parameter!$H$5,IF(CC1246="L23",Parameter!$H$6+Parameter!$H$7,Parameter!$H$5+Parameter!$H$6+Parameter!$H$7))-(AV1246-AR1246))/AR1246)))</f>
        <v>0</v>
      </c>
      <c r="AX1246" s="50" t="n">
        <f aca="false">IF(LEFT(Cockpit!$O$5,1)="A",H1246,IF(CE1246=1,CF1246,IF(LEFT(Cockpit!$O$5,1)="B",BC1246,MAX(BC1246,H1246))))</f>
        <v>2</v>
      </c>
      <c r="AY1246" s="50" t="n">
        <f aca="false">IF(BW1246=1,0,ROUNDUP(AX1246/BV1246,0))</f>
        <v>1</v>
      </c>
      <c r="AZ1246" s="52" t="n">
        <f aca="false">IF(CL1246&gt;0,CL1246*MAX(1,AX1246/X1246),IF(BW1246=1,IF(AX1246&lt;=0,0,CA1246*MAX(1,IF(H1246&gt;0,AX1246/H1246,1))),IF(R1246&gt;0,AY1246/R1246,0))/MAX(0.1,N(Parameter!$M$21)))</f>
        <v>0.25</v>
      </c>
      <c r="BA1246" s="50" t="n">
        <f aca="false">AZ1246*BY1246</f>
        <v>58.75</v>
      </c>
      <c r="BB1246" s="50" t="n">
        <f aca="false">AX1246*G1246</f>
        <v>145.2</v>
      </c>
      <c r="BC1246" s="50" t="n">
        <f aca="false">ROUNDUP(MAX(J1246/IF(CD1246&gt;0,CD1246,MAX(0.1,N(Cockpit!$O$6))),CG1246)/BV1246,0)*BV1246</f>
        <v>2</v>
      </c>
      <c r="BD1246" s="51" t="n">
        <f aca="false">IF(BA1246&gt;0,J1246/BA1246,-1)</f>
        <v>0</v>
      </c>
      <c r="BE1246" s="51" t="str">
        <f aca="false">IF(AND(OR(CC1246="L1",CC1246="L23",CC1246="LIFT"),BA1246&gt;0),SUMIFS($BA$7:$BA$1843,$CC$7:$CC$1843,CC1246,$BD$7:$BD$1843,"&gt;"&amp;BD1246)+SUMIFS($BA$7:$BA$1843,$CC$7:$CC$1843,CC1246,$BD$7:$BD$1843,BD1246,$BT$7:$BT$1843,"&lt;="&amp;BT1246),"")</f>
        <v/>
      </c>
      <c r="BF1246" s="58" t="n">
        <f aca="false">IF(BE1246="",0,MAX(0,MIN(1,(IF(CC1246="L1",Parameter!$H$5,IF(CC1246="L23",Parameter!$H$6+Parameter!$H$7,Parameter!$H$5+Parameter!$H$6+Parameter!$H$7))-(BE1246-BA1246))/BA1246)))</f>
        <v>0</v>
      </c>
      <c r="BG1246" s="48" t="str">
        <f aca="false">IF(AI1246&lt;=0,"",IF(CC1246="Aussen","Aussenlager",IF(CC1246="-","Nicht im Lift",IF(AN1246&gt;=1,"Lift",IF(AN1246&lt;=0,"Aussenlager","teilweise")))))</f>
        <v/>
      </c>
      <c r="BH1246" s="48" t="str">
        <f aca="false">IF(AR1246&lt;=0,"",IF(CC1246="Aussen","Aussenlager",IF(CC1246="-","Nicht im Lift",IF(AW1246&gt;=1,"Lift",IF(AW1246&lt;=0,"Aussenlager","teilweise")))))</f>
        <v>Nicht im Lift</v>
      </c>
      <c r="BI1246" s="48" t="str">
        <f aca="false">IF(BA1246&lt;=0,"",IF(CC1246="Aussen","Aussenlager",IF(CC1246="-","Nicht im Lift",IF(BF1246&gt;=1,"Lift",IF(BF1246&lt;=0,"Aussenlager","teilweise")))))</f>
        <v>Nicht im Lift</v>
      </c>
      <c r="BJ1246" s="48" t="str">
        <f aca="false">IF(A1246="","",IF(BS1246=1,"Neu; ","")&amp;IF(AND(BS1246=0,BN1246&lt;0),"negativer Bestand (Export "&amp;BN1246&amp;"); ","")&amp;IF(J1246&lt;=0,"Kein Verbrauch; ","")&amp;IF(CL1246&gt;0,"Lift "&amp;W1246&amp;" lt. Liftbericht (Fach "&amp;X1246&amp;" Stk); ",IF(BX1246=1,"Gebinde geschätzt ("&amp;T1246&amp;"); ",IF(BW1246=1,"Lose – Tablare geschätzt; ","")))&amp;IF(H1246&gt;AT1246,"Überbestand "&amp;ROUND(H1246-AT1246,0)&amp;" Stk / CHF "&amp;ROUND((H1246-AT1246)*G1246,0)&amp;"; ","")&amp;IF(AND(CE1246=1,CF1246&lt;CG1246),"MAX &lt; MB+LG; ","")&amp;IF(AND(CK1246&gt;0,CJ1246*10&gt;CK1246),"zu hoch für Tablar; ","")&amp;IF(AND(BS1246=0,OR(CE1246=1,AA1246&lt;&gt;"",U1246&lt;&gt;"",V1246&lt;&gt;"",AB1246&lt;&gt;"")),"manuell übersteuert; ","")&amp;IF(AND(BW1246=0,R1246=0),"Gebinde unbekannt / Stellmass fehlt; ","")&amp;IF(AND(BW1246=0,N(V1246)&lt;=0,N(Q1246)&lt;=0),"Menge pro Gebinde fehlt (Ist = 1 Gebinde); ","")&amp;BR1246)</f>
        <v>negativer Bestand (Export -10); Kein Verbrauch; Gebinde geschätzt (Gross); Menge pro Gebinde fehlt (Ist = 1 Gebinde); Neu</v>
      </c>
      <c r="BK1246" s="48"/>
      <c r="BL1246" s="48"/>
      <c r="BM1246" s="55"/>
      <c r="BN1246" s="50" t="n">
        <v>-10</v>
      </c>
      <c r="BO1246" s="50" t="n">
        <v>10</v>
      </c>
      <c r="BP1246" s="49" t="n">
        <v>-726</v>
      </c>
      <c r="BQ1246" s="50" t="n">
        <v>0</v>
      </c>
      <c r="BR1246" s="48" t="s">
        <v>630</v>
      </c>
      <c r="BS1246" s="53" t="n">
        <v>0</v>
      </c>
      <c r="BT1246" s="53" t="n">
        <v>1246</v>
      </c>
      <c r="BU1246" s="48" t="str">
        <f aca="false">IF(U1246&lt;&gt;"",UPPER(TRIM(U1246)),IF(BX1246=1,UPPER(VLOOKUP(T1246,Parameter!$I$27:$K$29,2,0)),IF(P1246="","LOSE",P1246)))</f>
        <v>S81</v>
      </c>
      <c r="BV1246" s="50" t="n">
        <f aca="false">IF(BU1246="LOSE",1,IF(N(V1246)&gt;0,V1246,IF(BX1246=1,MAX(1,N(VLOOKUP(T1246,Parameter!$I$27:$K$29,3,0)),H1246,N(N1246)),IF(N(Q1246)&gt;0,Q1246,MAX(1,H1246)))))</f>
        <v>2</v>
      </c>
      <c r="BW1246" s="53" t="n">
        <f aca="false">IF(BU1246="LOSE",1,0)</f>
        <v>0</v>
      </c>
      <c r="BX1246" s="53" t="n">
        <f aca="false">IF(AND(U1246="",OR(P1246="",P1246="LOSE"),T1246&lt;&gt;"",N(S1246)&lt;=0,ISNUMBER(MATCH(T1246,Parameter!$I$27:$I$29,0))),1,0)</f>
        <v>1</v>
      </c>
      <c r="BY1246" s="53" t="n">
        <f aca="false">IF(CL1246&gt;0,INDEX(Parameter!$H$5:$H$7,W1246)/INDEX(Parameter!$E$5:$E$7,W1246),IF(AND(BW1246=0,N(IFERROR(VLOOKUP(BU1246,'Gebinde-Kategorie'!$A$5:$N$45,14,0),0))&gt;0),VLOOKUP(BU1246,'Gebinde-Kategorie'!$A$5:$N$45,14,0)*10+Parameter!$M$23,Parameter!$M$24))</f>
        <v>235</v>
      </c>
      <c r="BZ1246" s="48" t="str">
        <f aca="false">IF(AND(Parameter!$B$19="Ja",E1246&lt;&gt;"",ISNUMBER(MATCH(E1246,Parameter!$I$35:$I$52,0))),VLOOKUP(E1246,Parameter!$I$35:$J$52,2,0),IFERROR(VLOOKUP(D1246,Parameter!$A$35:$C$64,2,0),"Nein"))</f>
        <v>Nein</v>
      </c>
      <c r="CA1246" s="52" t="n">
        <f aca="false">IF(BW1246=0,0,IF(N(S1246)&gt;0,S1246,IFERROR(VLOOKUP(D1246,Parameter!$A$35:$C$64,3,0)+0,0)))</f>
        <v>0</v>
      </c>
      <c r="CB1246" s="48" t="str">
        <f aca="false">IF(AA1246&lt;&gt;"",AA1246,Z1246)</f>
        <v>-</v>
      </c>
      <c r="CC1246" s="48" t="str">
        <f aca="false">IF(OR(CB1246=1,CB1246=2,CB1246=3),IF(Parameter!$E$27="Ja","LIFT",IF(CB1246=1,"L1","L23")),IF(CB1246="Aussen","Aussen","-"))</f>
        <v>-</v>
      </c>
      <c r="CD1246" s="59" t="n">
        <f aca="false">IF(N(AB1246)&gt;0,AB1246,0)</f>
        <v>0</v>
      </c>
      <c r="CE1246" s="53" t="n">
        <f aca="false">IF(ISNUMBER(AE1246),1,0)</f>
        <v>0</v>
      </c>
      <c r="CF1246" s="50" t="n">
        <f aca="false">N(AE1246)</f>
        <v>0</v>
      </c>
      <c r="CG1246" s="50" t="n">
        <f aca="false">N(M1246)+N(N1246)</f>
        <v>1</v>
      </c>
      <c r="CH1246" s="50" t="n">
        <f aca="false">ROUNDUP(H1246/BV1246,0)</f>
        <v>0</v>
      </c>
      <c r="CI1246" s="50" t="n">
        <f aca="false">ROUNDUP(CF1246/BV1246,0)</f>
        <v>0</v>
      </c>
      <c r="CJ1246" s="53" t="n">
        <f aca="false">IF(BW1246=1,0,IFERROR(VLOOKUP(BU1246,'Gebinde-Kategorie'!$A$5:$N$45,5,0)+0,0))</f>
        <v>20</v>
      </c>
      <c r="CK1246" s="53" t="n">
        <f aca="false">IFERROR(IF(OR(CB1246=1,CB1246=2,CB1246=3),N(INDEX(Parameter!$I$5:$I$7,CB1246)),0),0)</f>
        <v>0</v>
      </c>
      <c r="CL1246" s="52" t="n">
        <f aca="false">IF(AND(Parameter!$B$21="Ja",ISNUMBER(W1246),N(X1246)&gt;0),IFERROR(N(INDEX(Parameter!$L$5:$L$7,W1246))*INDEX(Parameter!$E$5:$E$7,W1246)*X1246/SUMIFS($X$7:$X$1843,$W$7:$W$1843,W1246),0),0)</f>
        <v>0</v>
      </c>
    </row>
    <row r="1247" customFormat="false" ht="15" hidden="false" customHeight="false" outlineLevel="0" collapsed="false">
      <c r="A1247" s="48" t="s">
        <v>2234</v>
      </c>
      <c r="B1247" s="48" t="s">
        <v>2235</v>
      </c>
      <c r="C1247" s="48" t="s">
        <v>168</v>
      </c>
      <c r="D1247" s="48" t="s">
        <v>188</v>
      </c>
      <c r="E1247" s="48" t="s">
        <v>189</v>
      </c>
      <c r="F1247" s="48" t="s">
        <v>222</v>
      </c>
      <c r="G1247" s="49" t="n">
        <v>731.7</v>
      </c>
      <c r="H1247" s="50" t="n">
        <f aca="false">MAX(0,IF(AND(Parameter!$B$21="Ja",ISNUMBER(Y1247)),Y1247,IF(Parameter!$B$20="Jahresanfang 2025 + Export",BO1247+BN1247,BN1247)))</f>
        <v>4</v>
      </c>
      <c r="I1247" s="50" t="n">
        <f aca="false">H1247*G1247</f>
        <v>2926.8</v>
      </c>
      <c r="J1247" s="50" t="n">
        <f aca="false">BQ1247*Parameter!$B$18</f>
        <v>0</v>
      </c>
      <c r="K1247" s="51" t="n">
        <v>5</v>
      </c>
      <c r="L1247" s="52" t="n">
        <v>0</v>
      </c>
      <c r="M1247" s="50" t="n">
        <v>0</v>
      </c>
      <c r="N1247" s="50" t="n">
        <v>1</v>
      </c>
      <c r="O1247" s="53" t="n">
        <v>14</v>
      </c>
      <c r="P1247" s="48" t="s">
        <v>237</v>
      </c>
      <c r="Q1247" s="50" t="n">
        <v>4</v>
      </c>
      <c r="R1247" s="53" t="n">
        <f aca="false">IF(BW1247=1,0,IFERROR(VLOOKUP(BU1247,'Gebinde-Kategorie'!$A$5:$N$45,13,0)+0,0))</f>
        <v>26</v>
      </c>
      <c r="S1247" s="54"/>
      <c r="T1247" s="55"/>
      <c r="U1247" s="55"/>
      <c r="V1247" s="55"/>
      <c r="W1247" s="48"/>
      <c r="X1247" s="50"/>
      <c r="Y1247" s="50"/>
      <c r="Z1247" s="48" t="n">
        <f aca="false">IF(A1247="","",IF(AND(Parameter!$B$21="Ja",ISNUMBER(W1247)),W1247,IF(BZ1247="2+3",IF(ISNUMBER(SEARCH("grosser Artikel",BR1247)),2,IFERROR(VLOOKUP(BU1247,Parameter!$F$35:$G$64,2,0),2)),IF(OR(BZ1247="Nein",BZ1247=""),"-",BZ1247))))</f>
        <v>3</v>
      </c>
      <c r="AA1247" s="55"/>
      <c r="AB1247" s="56"/>
      <c r="AC1247" s="50" t="n">
        <f aca="false">AT1247</f>
        <v>4</v>
      </c>
      <c r="AD1247" s="50" t="n">
        <f aca="false">MAX(AT1247,H1247)</f>
        <v>4</v>
      </c>
      <c r="AE1247" s="57"/>
      <c r="AF1247" s="50" t="n">
        <f aca="false">IF(LEFT(Cockpit!$C$5,1)="A",H1247,IF(CE1247=1,CF1247,IF(LEFT(Cockpit!$C$5,1)="B",AK1247,MAX(AK1247,H1247))))</f>
        <v>4</v>
      </c>
      <c r="AG1247" s="50" t="n">
        <f aca="false">IF(BW1247=1,0,ROUNDUP(AF1247/BV1247,0))</f>
        <v>1</v>
      </c>
      <c r="AH1247" s="52" t="n">
        <f aca="false">IF(CL1247&gt;0,CL1247*MAX(1,AF1247/X1247),IF(BW1247=1,IF(AF1247&lt;=0,0,CA1247*MAX(1,IF(H1247&gt;0,AF1247/H1247,1))),IF(R1247&gt;0,AG1247/R1247,0))/MAX(0.1,N(Parameter!$M$21)))</f>
        <v>0.0384615384615385</v>
      </c>
      <c r="AI1247" s="50" t="n">
        <f aca="false">AH1247*BY1247</f>
        <v>9.42307692307692</v>
      </c>
      <c r="AJ1247" s="50" t="n">
        <f aca="false">AF1247*G1247</f>
        <v>2926.8</v>
      </c>
      <c r="AK1247" s="50" t="n">
        <f aca="false">ROUNDUP(MAX(J1247/IF(CD1247&gt;0,CD1247,MAX(0.1,N(Cockpit!$C$6))),CG1247)/BV1247,0)*BV1247</f>
        <v>4</v>
      </c>
      <c r="AL1247" s="51" t="n">
        <f aca="false">IF(AI1247&gt;0,J1247/AI1247,-1)</f>
        <v>0</v>
      </c>
      <c r="AM1247" s="51" t="n">
        <f aca="false">IF(AND(OR(CC1247="L1",CC1247="L23",CC1247="LIFT"),AI1247&gt;0),SUMIFS($AI$7:$AI$1843,$CC$7:$CC$1843,CC1247,$AL$7:$AL$1843,"&gt;"&amp;AL1247)+SUMIFS($AI$7:$AI$1843,$CC$7:$CC$1843,CC1247,$AL$7:$AL$1843,AL1247,$BT$7:$BT$1843,"&lt;="&amp;BT1247),"")</f>
        <v>29442.4937578899</v>
      </c>
      <c r="AN1247" s="58" t="n">
        <f aca="false">IF(AM1247="",0,MAX(0,MIN(1,(IF(CC1247="L1",Parameter!$H$5,IF(CC1247="L23",Parameter!$H$6+Parameter!$H$7,Parameter!$H$5+Parameter!$H$6+Parameter!$H$7))-(AM1247-AI1247))/AI1247)))</f>
        <v>1</v>
      </c>
      <c r="AO1247" s="50" t="n">
        <f aca="false">IF(LEFT(Cockpit!$I$5,1)="A",H1247,IF(CE1247=1,CF1247,IF(LEFT(Cockpit!$I$5,1)="B",AT1247,MAX(AT1247,H1247))))</f>
        <v>4</v>
      </c>
      <c r="AP1247" s="50" t="n">
        <f aca="false">IF(BW1247=1,0,ROUNDUP(AO1247/BV1247,0))</f>
        <v>1</v>
      </c>
      <c r="AQ1247" s="52" t="n">
        <f aca="false">IF(CL1247&gt;0,CL1247*MAX(1,AO1247/X1247),IF(BW1247=1,IF(AO1247&lt;=0,0,CA1247*MAX(1,IF(H1247&gt;0,AO1247/H1247,1))),IF(R1247&gt;0,AP1247/R1247,0))/MAX(0.1,N(Parameter!$M$21)))</f>
        <v>0.0384615384615385</v>
      </c>
      <c r="AR1247" s="50" t="n">
        <f aca="false">AQ1247*BY1247</f>
        <v>9.42307692307692</v>
      </c>
      <c r="AS1247" s="50" t="n">
        <f aca="false">AO1247*G1247</f>
        <v>2926.8</v>
      </c>
      <c r="AT1247" s="50" t="n">
        <f aca="false">ROUNDUP(MAX(J1247/IF(CD1247&gt;0,CD1247,MAX(0.1,N(Cockpit!$I$6))),CG1247)/BV1247,0)*BV1247</f>
        <v>4</v>
      </c>
      <c r="AU1247" s="51" t="n">
        <f aca="false">IF(AR1247&gt;0,J1247/AR1247,-1)</f>
        <v>0</v>
      </c>
      <c r="AV1247" s="51" t="n">
        <f aca="false">IF(AND(OR(CC1247="L1",CC1247="L23",CC1247="LIFT"),AR1247&gt;0),SUMIFS($AR$7:$AR$1843,$CC$7:$CC$1843,CC1247,$AU$7:$AU$1843,"&gt;"&amp;AU1247)+SUMIFS($AR$7:$AR$1843,$CC$7:$CC$1843,CC1247,$AU$7:$AU$1843,AU1247,$BT$7:$BT$1843,"&lt;="&amp;BT1247),"")</f>
        <v>41344.1827000683</v>
      </c>
      <c r="AW1247" s="58" t="n">
        <f aca="false">IF(AV1247="",0,MAX(0,MIN(1,(IF(CC1247="L1",Parameter!$H$5,IF(CC1247="L23",Parameter!$H$6+Parameter!$H$7,Parameter!$H$5+Parameter!$H$6+Parameter!$H$7))-(AV1247-AR1247))/AR1247)))</f>
        <v>0</v>
      </c>
      <c r="AX1247" s="50" t="n">
        <f aca="false">IF(LEFT(Cockpit!$O$5,1)="A",H1247,IF(CE1247=1,CF1247,IF(LEFT(Cockpit!$O$5,1)="B",BC1247,MAX(BC1247,H1247))))</f>
        <v>4</v>
      </c>
      <c r="AY1247" s="50" t="n">
        <f aca="false">IF(BW1247=1,0,ROUNDUP(AX1247/BV1247,0))</f>
        <v>1</v>
      </c>
      <c r="AZ1247" s="52" t="n">
        <f aca="false">IF(CL1247&gt;0,CL1247*MAX(1,AX1247/X1247),IF(BW1247=1,IF(AX1247&lt;=0,0,CA1247*MAX(1,IF(H1247&gt;0,AX1247/H1247,1))),IF(R1247&gt;0,AY1247/R1247,0))/MAX(0.1,N(Parameter!$M$21)))</f>
        <v>0.0384615384615385</v>
      </c>
      <c r="BA1247" s="50" t="n">
        <f aca="false">AZ1247*BY1247</f>
        <v>9.42307692307692</v>
      </c>
      <c r="BB1247" s="50" t="n">
        <f aca="false">AX1247*G1247</f>
        <v>2926.8</v>
      </c>
      <c r="BC1247" s="50" t="n">
        <f aca="false">ROUNDUP(MAX(J1247/IF(CD1247&gt;0,CD1247,MAX(0.1,N(Cockpit!$O$6))),CG1247)/BV1247,0)*BV1247</f>
        <v>4</v>
      </c>
      <c r="BD1247" s="51" t="n">
        <f aca="false">IF(BA1247&gt;0,J1247/BA1247,-1)</f>
        <v>0</v>
      </c>
      <c r="BE1247" s="51" t="n">
        <f aca="false">IF(AND(OR(CC1247="L1",CC1247="L23",CC1247="LIFT"),BA1247&gt;0),SUMIFS($BA$7:$BA$1843,$CC$7:$CC$1843,CC1247,$BD$7:$BD$1843,"&gt;"&amp;BD1247)+SUMIFS($BA$7:$BA$1843,$CC$7:$CC$1843,CC1247,$BD$7:$BD$1843,BD1247,$BT$7:$BT$1843,"&lt;="&amp;BT1247),"")</f>
        <v>38019.1947419342</v>
      </c>
      <c r="BF1247" s="58" t="n">
        <f aca="false">IF(BE1247="",0,MAX(0,MIN(1,(IF(CC1247="L1",Parameter!$H$5,IF(CC1247="L23",Parameter!$H$6+Parameter!$H$7,Parameter!$H$5+Parameter!$H$6+Parameter!$H$7))-(BE1247-BA1247))/BA1247)))</f>
        <v>0</v>
      </c>
      <c r="BG1247" s="48" t="str">
        <f aca="false">IF(AI1247&lt;=0,"",IF(CC1247="Aussen","Aussenlager",IF(CC1247="-","Nicht im Lift",IF(AN1247&gt;=1,"Lift",IF(AN1247&lt;=0,"Aussenlager","teilweise")))))</f>
        <v>Lift</v>
      </c>
      <c r="BH1247" s="48" t="str">
        <f aca="false">IF(AR1247&lt;=0,"",IF(CC1247="Aussen","Aussenlager",IF(CC1247="-","Nicht im Lift",IF(AW1247&gt;=1,"Lift",IF(AW1247&lt;=0,"Aussenlager","teilweise")))))</f>
        <v>Aussenlager</v>
      </c>
      <c r="BI1247" s="48" t="str">
        <f aca="false">IF(BA1247&lt;=0,"",IF(CC1247="Aussen","Aussenlager",IF(CC1247="-","Nicht im Lift",IF(BF1247&gt;=1,"Lift",IF(BF1247&lt;=0,"Aussenlager","teilweise")))))</f>
        <v>Aussenlager</v>
      </c>
      <c r="BJ1247" s="48" t="str">
        <f aca="false">IF(A1247="","",IF(BS1247=1,"Neu; ","")&amp;IF(AND(BS1247=0,BN1247&lt;0),"negativer Bestand (Export "&amp;BN1247&amp;"); ","")&amp;IF(J1247&lt;=0,"Kein Verbrauch; ","")&amp;IF(CL1247&gt;0,"Lift "&amp;W1247&amp;" lt. Liftbericht (Fach "&amp;X1247&amp;" Stk); ",IF(BX1247=1,"Gebinde geschätzt ("&amp;T1247&amp;"); ",IF(BW1247=1,"Lose – Tablare geschätzt; ","")))&amp;IF(H1247&gt;AT1247,"Überbestand "&amp;ROUND(H1247-AT1247,0)&amp;" Stk / CHF "&amp;ROUND((H1247-AT1247)*G1247,0)&amp;"; ","")&amp;IF(AND(CE1247=1,CF1247&lt;CG1247),"MAX &lt; MB+LG; ","")&amp;IF(AND(CK1247&gt;0,CJ1247*10&gt;CK1247),"zu hoch für Tablar; ","")&amp;IF(AND(BS1247=0,OR(CE1247=1,AA1247&lt;&gt;"",U1247&lt;&gt;"",V1247&lt;&gt;"",AB1247&lt;&gt;"")),"manuell übersteuert; ","")&amp;IF(AND(BW1247=0,R1247=0),"Gebinde unbekannt / Stellmass fehlt; ","")&amp;IF(AND(BW1247=0,N(V1247)&lt;=0,N(Q1247)&lt;=0),"Menge pro Gebinde fehlt (Ist = 1 Gebinde); ","")&amp;BR1247)</f>
        <v>negativer Bestand (Export -1); Kein Verbrauch; </v>
      </c>
      <c r="BK1247" s="48"/>
      <c r="BL1247" s="48"/>
      <c r="BM1247" s="55"/>
      <c r="BN1247" s="50" t="n">
        <v>-1</v>
      </c>
      <c r="BO1247" s="50" t="n">
        <v>5</v>
      </c>
      <c r="BP1247" s="49" t="n">
        <v>-731.7</v>
      </c>
      <c r="BQ1247" s="50" t="n">
        <v>0</v>
      </c>
      <c r="BR1247" s="48"/>
      <c r="BS1247" s="53" t="n">
        <v>0</v>
      </c>
      <c r="BT1247" s="53" t="n">
        <v>1247</v>
      </c>
      <c r="BU1247" s="48" t="str">
        <f aca="false">IF(U1247&lt;&gt;"",UPPER(TRIM(U1247)),IF(BX1247=1,UPPER(VLOOKUP(T1247,Parameter!$I$27:$K$29,2,0)),IF(P1247="","LOSE",P1247)))</f>
        <v>S52</v>
      </c>
      <c r="BV1247" s="50" t="n">
        <f aca="false">IF(BU1247="LOSE",1,IF(N(V1247)&gt;0,V1247,IF(BX1247=1,MAX(1,N(VLOOKUP(T1247,Parameter!$I$27:$K$29,3,0)),H1247,N(N1247)),IF(N(Q1247)&gt;0,Q1247,MAX(1,H1247)))))</f>
        <v>4</v>
      </c>
      <c r="BW1247" s="53" t="n">
        <f aca="false">IF(BU1247="LOSE",1,0)</f>
        <v>0</v>
      </c>
      <c r="BX1247" s="53" t="n">
        <f aca="false">IF(AND(U1247="",OR(P1247="",P1247="LOSE"),T1247&lt;&gt;"",N(S1247)&lt;=0,ISNUMBER(MATCH(T1247,Parameter!$I$27:$I$29,0))),1,0)</f>
        <v>0</v>
      </c>
      <c r="BY1247" s="53" t="n">
        <f aca="false">IF(CL1247&gt;0,INDEX(Parameter!$H$5:$H$7,W1247)/INDEX(Parameter!$E$5:$E$7,W1247),IF(AND(BW1247=0,N(IFERROR(VLOOKUP(BU1247,'Gebinde-Kategorie'!$A$5:$N$45,14,0),0))&gt;0),VLOOKUP(BU1247,'Gebinde-Kategorie'!$A$5:$N$45,14,0)*10+Parameter!$M$23,Parameter!$M$24))</f>
        <v>245</v>
      </c>
      <c r="BZ1247" s="48" t="str">
        <f aca="false">IF(AND(Parameter!$B$19="Ja",E1247&lt;&gt;"",ISNUMBER(MATCH(E1247,Parameter!$I$35:$I$52,0))),VLOOKUP(E1247,Parameter!$I$35:$J$52,2,0),IFERROR(VLOOKUP(D1247,Parameter!$A$35:$C$64,2,0),"Nein"))</f>
        <v>2+3</v>
      </c>
      <c r="CA1247" s="52" t="n">
        <f aca="false">IF(BW1247=0,0,IF(N(S1247)&gt;0,S1247,IFERROR(VLOOKUP(D1247,Parameter!$A$35:$C$64,3,0)+0,0)))</f>
        <v>0</v>
      </c>
      <c r="CB1247" s="48" t="n">
        <f aca="false">IF(AA1247&lt;&gt;"",AA1247,Z1247)</f>
        <v>3</v>
      </c>
      <c r="CC1247" s="48" t="str">
        <f aca="false">IF(OR(CB1247=1,CB1247=2,CB1247=3),IF(Parameter!$E$27="Ja","LIFT",IF(CB1247=1,"L1","L23")),IF(CB1247="Aussen","Aussen","-"))</f>
        <v>LIFT</v>
      </c>
      <c r="CD1247" s="59" t="n">
        <f aca="false">IF(N(AB1247)&gt;0,AB1247,0)</f>
        <v>0</v>
      </c>
      <c r="CE1247" s="53" t="n">
        <f aca="false">IF(ISNUMBER(AE1247),1,0)</f>
        <v>0</v>
      </c>
      <c r="CF1247" s="50" t="n">
        <f aca="false">N(AE1247)</f>
        <v>0</v>
      </c>
      <c r="CG1247" s="50" t="n">
        <f aca="false">N(M1247)+N(N1247)</f>
        <v>1</v>
      </c>
      <c r="CH1247" s="50" t="n">
        <f aca="false">ROUNDUP(H1247/BV1247,0)</f>
        <v>1</v>
      </c>
      <c r="CI1247" s="50" t="n">
        <f aca="false">ROUNDUP(CF1247/BV1247,0)</f>
        <v>0</v>
      </c>
      <c r="CJ1247" s="53" t="n">
        <f aca="false">IF(BW1247=1,0,IFERROR(VLOOKUP(BU1247,'Gebinde-Kategorie'!$A$5:$N$45,5,0)+0,0))</f>
        <v>21</v>
      </c>
      <c r="CK1247" s="53" t="n">
        <f aca="false">IFERROR(IF(OR(CB1247=1,CB1247=2,CB1247=3),N(INDEX(Parameter!$I$5:$I$7,CB1247)),0),0)</f>
        <v>0</v>
      </c>
      <c r="CL1247" s="52" t="n">
        <f aca="false">IF(AND(Parameter!$B$21="Ja",ISNUMBER(W1247),N(X1247)&gt;0),IFERROR(N(INDEX(Parameter!$L$5:$L$7,W1247))*INDEX(Parameter!$E$5:$E$7,W1247)*X1247/SUMIFS($X$7:$X$1843,$W$7:$W$1843,W1247),0),0)</f>
        <v>0</v>
      </c>
    </row>
    <row r="1248" customFormat="false" ht="15" hidden="false" customHeight="false" outlineLevel="0" collapsed="false">
      <c r="A1248" s="48" t="s">
        <v>2236</v>
      </c>
      <c r="B1248" s="48" t="s">
        <v>1963</v>
      </c>
      <c r="C1248" s="48" t="s">
        <v>168</v>
      </c>
      <c r="D1248" s="48" t="s">
        <v>177</v>
      </c>
      <c r="E1248" s="48" t="s">
        <v>189</v>
      </c>
      <c r="F1248" s="48" t="s">
        <v>222</v>
      </c>
      <c r="G1248" s="49" t="n">
        <v>183.46</v>
      </c>
      <c r="H1248" s="50" t="n">
        <f aca="false">MAX(0,IF(AND(Parameter!$B$21="Ja",ISNUMBER(Y1248)),Y1248,IF(Parameter!$B$20="Jahresanfang 2025 + Export",BO1248+BN1248,BN1248)))</f>
        <v>7</v>
      </c>
      <c r="I1248" s="50" t="n">
        <f aca="false">H1248*G1248</f>
        <v>1284.22</v>
      </c>
      <c r="J1248" s="50" t="n">
        <f aca="false">BQ1248*Parameter!$B$18</f>
        <v>67</v>
      </c>
      <c r="K1248" s="51" t="n">
        <v>18.5</v>
      </c>
      <c r="L1248" s="52" t="n">
        <v>3.62162162162162</v>
      </c>
      <c r="M1248" s="50" t="n">
        <v>10</v>
      </c>
      <c r="N1248" s="50" t="n">
        <v>30</v>
      </c>
      <c r="O1248" s="53" t="n">
        <v>44</v>
      </c>
      <c r="P1248" s="48" t="s">
        <v>178</v>
      </c>
      <c r="Q1248" s="50" t="n">
        <v>18</v>
      </c>
      <c r="R1248" s="53" t="n">
        <f aca="false">IF(BW1248=1,0,IFERROR(VLOOKUP(BU1248,'Gebinde-Kategorie'!$A$5:$N$45,13,0)+0,0))</f>
        <v>6</v>
      </c>
      <c r="S1248" s="54"/>
      <c r="T1248" s="55"/>
      <c r="U1248" s="55"/>
      <c r="V1248" s="55"/>
      <c r="W1248" s="48"/>
      <c r="X1248" s="50"/>
      <c r="Y1248" s="50"/>
      <c r="Z1248" s="48" t="n">
        <f aca="false">IF(A1248="","",IF(AND(Parameter!$B$21="Ja",ISNUMBER(W1248)),W1248,IF(BZ1248="2+3",IF(ISNUMBER(SEARCH("grosser Artikel",BR1248)),2,IFERROR(VLOOKUP(BU1248,Parameter!$F$35:$G$64,2,0),2)),IF(OR(BZ1248="Nein",BZ1248=""),"-",BZ1248))))</f>
        <v>2</v>
      </c>
      <c r="AA1248" s="55"/>
      <c r="AB1248" s="56"/>
      <c r="AC1248" s="50" t="n">
        <f aca="false">AT1248</f>
        <v>54</v>
      </c>
      <c r="AD1248" s="50" t="n">
        <f aca="false">MAX(AT1248,H1248)</f>
        <v>54</v>
      </c>
      <c r="AE1248" s="57"/>
      <c r="AF1248" s="50" t="n">
        <f aca="false">IF(LEFT(Cockpit!$C$5,1)="A",H1248,IF(CE1248=1,CF1248,IF(LEFT(Cockpit!$C$5,1)="B",AK1248,MAX(AK1248,H1248))))</f>
        <v>7</v>
      </c>
      <c r="AG1248" s="50" t="n">
        <f aca="false">IF(BW1248=1,0,ROUNDUP(AF1248/BV1248,0))</f>
        <v>1</v>
      </c>
      <c r="AH1248" s="52" t="n">
        <f aca="false">IF(CL1248&gt;0,CL1248*MAX(1,AF1248/X1248),IF(BW1248=1,IF(AF1248&lt;=0,0,CA1248*MAX(1,IF(H1248&gt;0,AF1248/H1248,1))),IF(R1248&gt;0,AG1248/R1248,0))/MAX(0.1,N(Parameter!$M$21)))</f>
        <v>0.166666666666667</v>
      </c>
      <c r="AI1248" s="50" t="n">
        <f aca="false">AH1248*BY1248</f>
        <v>39.1666666666667</v>
      </c>
      <c r="AJ1248" s="50" t="n">
        <f aca="false">AF1248*G1248</f>
        <v>1284.22</v>
      </c>
      <c r="AK1248" s="50" t="n">
        <f aca="false">ROUNDUP(MAX(J1248/IF(CD1248&gt;0,CD1248,MAX(0.1,N(Cockpit!$C$6))),CG1248)/BV1248,0)*BV1248</f>
        <v>54</v>
      </c>
      <c r="AL1248" s="51" t="n">
        <f aca="false">IF(AI1248&gt;0,J1248/AI1248,-1)</f>
        <v>1.71063829787234</v>
      </c>
      <c r="AM1248" s="51" t="n">
        <f aca="false">IF(AND(OR(CC1248="L1",CC1248="L23",CC1248="LIFT"),AI1248&gt;0),SUMIFS($AI$7:$AI$1843,$CC$7:$CC$1843,CC1248,$AL$7:$AL$1843,"&gt;"&amp;AL1248)+SUMIFS($AI$7:$AI$1843,$CC$7:$CC$1843,CC1248,$AL$7:$AL$1843,AL1248,$BT$7:$BT$1843,"&lt;="&amp;BT1248),"")</f>
        <v>6045.89148351648</v>
      </c>
      <c r="AN1248" s="58" t="n">
        <f aca="false">IF(AM1248="",0,MAX(0,MIN(1,(IF(CC1248="L1",Parameter!$H$5,IF(CC1248="L23",Parameter!$H$6+Parameter!$H$7,Parameter!$H$5+Parameter!$H$6+Parameter!$H$7))-(AM1248-AI1248))/AI1248)))</f>
        <v>1</v>
      </c>
      <c r="AO1248" s="50" t="n">
        <f aca="false">IF(LEFT(Cockpit!$I$5,1)="A",H1248,IF(CE1248=1,CF1248,IF(LEFT(Cockpit!$I$5,1)="B",AT1248,MAX(AT1248,H1248))))</f>
        <v>54</v>
      </c>
      <c r="AP1248" s="50" t="n">
        <f aca="false">IF(BW1248=1,0,ROUNDUP(AO1248/BV1248,0))</f>
        <v>3</v>
      </c>
      <c r="AQ1248" s="52" t="n">
        <f aca="false">IF(CL1248&gt;0,CL1248*MAX(1,AO1248/X1248),IF(BW1248=1,IF(AO1248&lt;=0,0,CA1248*MAX(1,IF(H1248&gt;0,AO1248/H1248,1))),IF(R1248&gt;0,AP1248/R1248,0))/MAX(0.1,N(Parameter!$M$21)))</f>
        <v>0.5</v>
      </c>
      <c r="AR1248" s="50" t="n">
        <f aca="false">AQ1248*BY1248</f>
        <v>117.5</v>
      </c>
      <c r="AS1248" s="50" t="n">
        <f aca="false">AO1248*G1248</f>
        <v>9906.84</v>
      </c>
      <c r="AT1248" s="50" t="n">
        <f aca="false">ROUNDUP(MAX(J1248/IF(CD1248&gt;0,CD1248,MAX(0.1,N(Cockpit!$I$6))),CG1248)/BV1248,0)*BV1248</f>
        <v>54</v>
      </c>
      <c r="AU1248" s="51" t="n">
        <f aca="false">IF(AR1248&gt;0,J1248/AR1248,-1)</f>
        <v>0.570212765957447</v>
      </c>
      <c r="AV1248" s="51" t="n">
        <f aca="false">IF(AND(OR(CC1248="L1",CC1248="L23",CC1248="LIFT"),AR1248&gt;0),SUMIFS($AR$7:$AR$1843,$CC$7:$CC$1843,CC1248,$AU$7:$AU$1843,"&gt;"&amp;AU1248)+SUMIFS($AR$7:$AR$1843,$CC$7:$CC$1843,CC1248,$AU$7:$AU$1843,AU1248,$BT$7:$BT$1843,"&lt;="&amp;BT1248),"")</f>
        <v>13395.0773809524</v>
      </c>
      <c r="AW1248" s="58" t="n">
        <f aca="false">IF(AV1248="",0,MAX(0,MIN(1,(IF(CC1248="L1",Parameter!$H$5,IF(CC1248="L23",Parameter!$H$6+Parameter!$H$7,Parameter!$H$5+Parameter!$H$6+Parameter!$H$7))-(AV1248-AR1248))/AR1248)))</f>
        <v>1</v>
      </c>
      <c r="AX1248" s="50" t="n">
        <f aca="false">IF(LEFT(Cockpit!$O$5,1)="A",H1248,IF(CE1248=1,CF1248,IF(LEFT(Cockpit!$O$5,1)="B",BC1248,MAX(BC1248,H1248))))</f>
        <v>54</v>
      </c>
      <c r="AY1248" s="50" t="n">
        <f aca="false">IF(BW1248=1,0,ROUNDUP(AX1248/BV1248,0))</f>
        <v>3</v>
      </c>
      <c r="AZ1248" s="52" t="n">
        <f aca="false">IF(CL1248&gt;0,CL1248*MAX(1,AX1248/X1248),IF(BW1248=1,IF(AX1248&lt;=0,0,CA1248*MAX(1,IF(H1248&gt;0,AX1248/H1248,1))),IF(R1248&gt;0,AY1248/R1248,0))/MAX(0.1,N(Parameter!$M$21)))</f>
        <v>0.5</v>
      </c>
      <c r="BA1248" s="50" t="n">
        <f aca="false">AZ1248*BY1248</f>
        <v>117.5</v>
      </c>
      <c r="BB1248" s="50" t="n">
        <f aca="false">AX1248*G1248</f>
        <v>9906.84</v>
      </c>
      <c r="BC1248" s="50" t="n">
        <f aca="false">ROUNDUP(MAX(J1248/IF(CD1248&gt;0,CD1248,MAX(0.1,N(Cockpit!$O$6))),CG1248)/BV1248,0)*BV1248</f>
        <v>54</v>
      </c>
      <c r="BD1248" s="51" t="n">
        <f aca="false">IF(BA1248&gt;0,J1248/BA1248,-1)</f>
        <v>0.570212765957447</v>
      </c>
      <c r="BE1248" s="51" t="n">
        <f aca="false">IF(AND(OR(CC1248="L1",CC1248="L23",CC1248="LIFT"),BA1248&gt;0),SUMIFS($BA$7:$BA$1843,$CC$7:$CC$1843,CC1248,$BD$7:$BD$1843,"&gt;"&amp;BD1248)+SUMIFS($BA$7:$BA$1843,$CC$7:$CC$1843,CC1248,$BD$7:$BD$1843,BD1248,$BT$7:$BT$1843,"&lt;="&amp;BT1248),"")</f>
        <v>12234.0677655678</v>
      </c>
      <c r="BF1248" s="58" t="n">
        <f aca="false">IF(BE1248="",0,MAX(0,MIN(1,(IF(CC1248="L1",Parameter!$H$5,IF(CC1248="L23",Parameter!$H$6+Parameter!$H$7,Parameter!$H$5+Parameter!$H$6+Parameter!$H$7))-(BE1248-BA1248))/BA1248)))</f>
        <v>1</v>
      </c>
      <c r="BG1248" s="48" t="str">
        <f aca="false">IF(AI1248&lt;=0,"",IF(CC1248="Aussen","Aussenlager",IF(CC1248="-","Nicht im Lift",IF(AN1248&gt;=1,"Lift",IF(AN1248&lt;=0,"Aussenlager","teilweise")))))</f>
        <v>Lift</v>
      </c>
      <c r="BH1248" s="48" t="str">
        <f aca="false">IF(AR1248&lt;=0,"",IF(CC1248="Aussen","Aussenlager",IF(CC1248="-","Nicht im Lift",IF(AW1248&gt;=1,"Lift",IF(AW1248&lt;=0,"Aussenlager","teilweise")))))</f>
        <v>Lift</v>
      </c>
      <c r="BI1248" s="48" t="str">
        <f aca="false">IF(BA1248&lt;=0,"",IF(CC1248="Aussen","Aussenlager",IF(CC1248="-","Nicht im Lift",IF(BF1248&gt;=1,"Lift",IF(BF1248&lt;=0,"Aussenlager","teilweise")))))</f>
        <v>Lift</v>
      </c>
      <c r="BJ1248" s="48" t="str">
        <f aca="false">IF(A1248="","",IF(BS1248=1,"Neu; ","")&amp;IF(AND(BS1248=0,BN1248&lt;0),"negativer Bestand (Export "&amp;BN1248&amp;"); ","")&amp;IF(J1248&lt;=0,"Kein Verbrauch; ","")&amp;IF(CL1248&gt;0,"Lift "&amp;W1248&amp;" lt. Liftbericht (Fach "&amp;X1248&amp;" Stk); ",IF(BX1248=1,"Gebinde geschätzt ("&amp;T1248&amp;"); ",IF(BW1248=1,"Lose – Tablare geschätzt; ","")))&amp;IF(H1248&gt;AT1248,"Überbestand "&amp;ROUND(H1248-AT1248,0)&amp;" Stk / CHF "&amp;ROUND((H1248-AT1248)*G1248,0)&amp;"; ","")&amp;IF(AND(CE1248=1,CF1248&lt;CG1248),"MAX &lt; MB+LG; ","")&amp;IF(AND(CK1248&gt;0,CJ1248*10&gt;CK1248),"zu hoch für Tablar; ","")&amp;IF(AND(BS1248=0,OR(CE1248=1,AA1248&lt;&gt;"",U1248&lt;&gt;"",V1248&lt;&gt;"",AB1248&lt;&gt;"")),"manuell übersteuert; ","")&amp;IF(AND(BW1248=0,R1248=0),"Gebinde unbekannt / Stellmass fehlt; ","")&amp;IF(AND(BW1248=0,N(V1248)&lt;=0,N(Q1248)&lt;=0),"Menge pro Gebinde fehlt (Ist = 1 Gebinde); ","")&amp;BR1248)</f>
        <v>negativer Bestand (Export -5); grosser Artikel &amp; nicht im KTL</v>
      </c>
      <c r="BK1248" s="48"/>
      <c r="BL1248" s="48"/>
      <c r="BM1248" s="55"/>
      <c r="BN1248" s="50" t="n">
        <v>-5</v>
      </c>
      <c r="BO1248" s="50" t="n">
        <v>12</v>
      </c>
      <c r="BP1248" s="49" t="n">
        <v>-731.78</v>
      </c>
      <c r="BQ1248" s="50" t="n">
        <v>67</v>
      </c>
      <c r="BR1248" s="48" t="s">
        <v>265</v>
      </c>
      <c r="BS1248" s="53" t="n">
        <v>0</v>
      </c>
      <c r="BT1248" s="53" t="n">
        <v>1248</v>
      </c>
      <c r="BU1248" s="48" t="str">
        <f aca="false">IF(U1248&lt;&gt;"",UPPER(TRIM(U1248)),IF(BX1248=1,UPPER(VLOOKUP(T1248,Parameter!$I$27:$K$29,2,0)),IF(P1248="","LOSE",P1248)))</f>
        <v>S71</v>
      </c>
      <c r="BV1248" s="50" t="n">
        <f aca="false">IF(BU1248="LOSE",1,IF(N(V1248)&gt;0,V1248,IF(BX1248=1,MAX(1,N(VLOOKUP(T1248,Parameter!$I$27:$K$29,3,0)),H1248,N(N1248)),IF(N(Q1248)&gt;0,Q1248,MAX(1,H1248)))))</f>
        <v>18</v>
      </c>
      <c r="BW1248" s="53" t="n">
        <f aca="false">IF(BU1248="LOSE",1,0)</f>
        <v>0</v>
      </c>
      <c r="BX1248" s="53" t="n">
        <f aca="false">IF(AND(U1248="",OR(P1248="",P1248="LOSE"),T1248&lt;&gt;"",N(S1248)&lt;=0,ISNUMBER(MATCH(T1248,Parameter!$I$27:$I$29,0))),1,0)</f>
        <v>0</v>
      </c>
      <c r="BY1248" s="53" t="n">
        <f aca="false">IF(CL1248&gt;0,INDEX(Parameter!$H$5:$H$7,W1248)/INDEX(Parameter!$E$5:$E$7,W1248),IF(AND(BW1248=0,N(IFERROR(VLOOKUP(BU1248,'Gebinde-Kategorie'!$A$5:$N$45,14,0),0))&gt;0),VLOOKUP(BU1248,'Gebinde-Kategorie'!$A$5:$N$45,14,0)*10+Parameter!$M$23,Parameter!$M$24))</f>
        <v>235</v>
      </c>
      <c r="BZ1248" s="48" t="str">
        <f aca="false">IF(AND(Parameter!$B$19="Ja",E1248&lt;&gt;"",ISNUMBER(MATCH(E1248,Parameter!$I$35:$I$52,0))),VLOOKUP(E1248,Parameter!$I$35:$J$52,2,0),IFERROR(VLOOKUP(D1248,Parameter!$A$35:$C$64,2,0),"Nein"))</f>
        <v>2+3</v>
      </c>
      <c r="CA1248" s="52" t="n">
        <f aca="false">IF(BW1248=0,0,IF(N(S1248)&gt;0,S1248,IFERROR(VLOOKUP(D1248,Parameter!$A$35:$C$64,3,0)+0,0)))</f>
        <v>0</v>
      </c>
      <c r="CB1248" s="48" t="n">
        <f aca="false">IF(AA1248&lt;&gt;"",AA1248,Z1248)</f>
        <v>2</v>
      </c>
      <c r="CC1248" s="48" t="str">
        <f aca="false">IF(OR(CB1248=1,CB1248=2,CB1248=3),IF(Parameter!$E$27="Ja","LIFT",IF(CB1248=1,"L1","L23")),IF(CB1248="Aussen","Aussen","-"))</f>
        <v>LIFT</v>
      </c>
      <c r="CD1248" s="59" t="n">
        <f aca="false">IF(N(AB1248)&gt;0,AB1248,0)</f>
        <v>0</v>
      </c>
      <c r="CE1248" s="53" t="n">
        <f aca="false">IF(ISNUMBER(AE1248),1,0)</f>
        <v>0</v>
      </c>
      <c r="CF1248" s="50" t="n">
        <f aca="false">N(AE1248)</f>
        <v>0</v>
      </c>
      <c r="CG1248" s="50" t="n">
        <f aca="false">N(M1248)+N(N1248)</f>
        <v>40</v>
      </c>
      <c r="CH1248" s="50" t="n">
        <f aca="false">ROUNDUP(H1248/BV1248,0)</f>
        <v>1</v>
      </c>
      <c r="CI1248" s="50" t="n">
        <f aca="false">ROUNDUP(CF1248/BV1248,0)</f>
        <v>0</v>
      </c>
      <c r="CJ1248" s="53" t="n">
        <f aca="false">IF(BW1248=1,0,IFERROR(VLOOKUP(BU1248,'Gebinde-Kategorie'!$A$5:$N$45,5,0)+0,0))</f>
        <v>20</v>
      </c>
      <c r="CK1248" s="53" t="n">
        <f aca="false">IFERROR(IF(OR(CB1248=1,CB1248=2,CB1248=3),N(INDEX(Parameter!$I$5:$I$7,CB1248)),0),0)</f>
        <v>0</v>
      </c>
      <c r="CL1248" s="52" t="n">
        <f aca="false">IF(AND(Parameter!$B$21="Ja",ISNUMBER(W1248),N(X1248)&gt;0),IFERROR(N(INDEX(Parameter!$L$5:$L$7,W1248))*INDEX(Parameter!$E$5:$E$7,W1248)*X1248/SUMIFS($X$7:$X$1843,$W$7:$W$1843,W1248),0),0)</f>
        <v>0</v>
      </c>
    </row>
    <row r="1249" customFormat="false" ht="15" hidden="false" customHeight="false" outlineLevel="0" collapsed="false">
      <c r="A1249" s="48" t="s">
        <v>2237</v>
      </c>
      <c r="B1249" s="48" t="s">
        <v>2238</v>
      </c>
      <c r="C1249" s="48" t="s">
        <v>460</v>
      </c>
      <c r="D1249" s="48" t="s">
        <v>177</v>
      </c>
      <c r="E1249" s="48"/>
      <c r="F1249" s="48" t="s">
        <v>222</v>
      </c>
      <c r="G1249" s="49" t="n">
        <v>104.82</v>
      </c>
      <c r="H1249" s="50" t="n">
        <f aca="false">MAX(0,IF(AND(Parameter!$B$21="Ja",ISNUMBER(Y1249)),Y1249,IF(Parameter!$B$20="Jahresanfang 2025 + Export",BO1249+BN1249,BN1249)))</f>
        <v>0</v>
      </c>
      <c r="I1249" s="50" t="n">
        <f aca="false">H1249*G1249</f>
        <v>0</v>
      </c>
      <c r="J1249" s="50" t="n">
        <f aca="false">BQ1249*Parameter!$B$18</f>
        <v>0</v>
      </c>
      <c r="K1249" s="51" t="n">
        <v>3.5</v>
      </c>
      <c r="L1249" s="52" t="n">
        <v>0</v>
      </c>
      <c r="M1249" s="50" t="n">
        <v>0</v>
      </c>
      <c r="N1249" s="50" t="n">
        <v>1</v>
      </c>
      <c r="O1249" s="53" t="n">
        <v>56</v>
      </c>
      <c r="P1249" s="48" t="s">
        <v>172</v>
      </c>
      <c r="Q1249" s="50"/>
      <c r="R1249" s="53" t="n">
        <f aca="false">IF(BW1249=1,0,IFERROR(VLOOKUP(BU1249,'Gebinde-Kategorie'!$A$5:$N$45,13,0)+0,0))</f>
        <v>4</v>
      </c>
      <c r="S1249" s="54"/>
      <c r="T1249" s="55" t="s">
        <v>193</v>
      </c>
      <c r="U1249" s="55"/>
      <c r="V1249" s="55"/>
      <c r="W1249" s="48"/>
      <c r="X1249" s="50"/>
      <c r="Y1249" s="50"/>
      <c r="Z1249" s="48" t="n">
        <f aca="false">IF(A1249="","",IF(AND(Parameter!$B$21="Ja",ISNUMBER(W1249)),W1249,IF(BZ1249="2+3",IF(ISNUMBER(SEARCH("grosser Artikel",BR1249)),2,IFERROR(VLOOKUP(BU1249,Parameter!$F$35:$G$64,2,0),2)),IF(OR(BZ1249="Nein",BZ1249=""),"-",BZ1249))))</f>
        <v>2</v>
      </c>
      <c r="AA1249" s="55"/>
      <c r="AB1249" s="56"/>
      <c r="AC1249" s="50" t="n">
        <f aca="false">AT1249</f>
        <v>2</v>
      </c>
      <c r="AD1249" s="50" t="n">
        <f aca="false">MAX(AT1249,H1249)</f>
        <v>2</v>
      </c>
      <c r="AE1249" s="57"/>
      <c r="AF1249" s="50" t="n">
        <f aca="false">IF(LEFT(Cockpit!$C$5,1)="A",H1249,IF(CE1249=1,CF1249,IF(LEFT(Cockpit!$C$5,1)="B",AK1249,MAX(AK1249,H1249))))</f>
        <v>0</v>
      </c>
      <c r="AG1249" s="50" t="n">
        <f aca="false">IF(BW1249=1,0,ROUNDUP(AF1249/BV1249,0))</f>
        <v>0</v>
      </c>
      <c r="AH1249" s="52" t="n">
        <f aca="false">IF(CL1249&gt;0,CL1249*MAX(1,AF1249/X1249),IF(BW1249=1,IF(AF1249&lt;=0,0,CA1249*MAX(1,IF(H1249&gt;0,AF1249/H1249,1))),IF(R1249&gt;0,AG1249/R1249,0))/MAX(0.1,N(Parameter!$M$21)))</f>
        <v>0</v>
      </c>
      <c r="AI1249" s="50" t="n">
        <f aca="false">AH1249*BY1249</f>
        <v>0</v>
      </c>
      <c r="AJ1249" s="50" t="n">
        <f aca="false">AF1249*G1249</f>
        <v>0</v>
      </c>
      <c r="AK1249" s="50" t="n">
        <f aca="false">ROUNDUP(MAX(J1249/IF(CD1249&gt;0,CD1249,MAX(0.1,N(Cockpit!$C$6))),CG1249)/BV1249,0)*BV1249</f>
        <v>2</v>
      </c>
      <c r="AL1249" s="51" t="n">
        <f aca="false">IF(AI1249&gt;0,J1249/AI1249,-1)</f>
        <v>-1</v>
      </c>
      <c r="AM1249" s="51" t="str">
        <f aca="false">IF(AND(OR(CC1249="L1",CC1249="L23",CC1249="LIFT"),AI1249&gt;0),SUMIFS($AI$7:$AI$1843,$CC$7:$CC$1843,CC1249,$AL$7:$AL$1843,"&gt;"&amp;AL1249)+SUMIFS($AI$7:$AI$1843,$CC$7:$CC$1843,CC1249,$AL$7:$AL$1843,AL1249,$BT$7:$BT$1843,"&lt;="&amp;BT1249),"")</f>
        <v/>
      </c>
      <c r="AN1249" s="58" t="n">
        <f aca="false">IF(AM1249="",0,MAX(0,MIN(1,(IF(CC1249="L1",Parameter!$H$5,IF(CC1249="L23",Parameter!$H$6+Parameter!$H$7,Parameter!$H$5+Parameter!$H$6+Parameter!$H$7))-(AM1249-AI1249))/AI1249)))</f>
        <v>0</v>
      </c>
      <c r="AO1249" s="50" t="n">
        <f aca="false">IF(LEFT(Cockpit!$I$5,1)="A",H1249,IF(CE1249=1,CF1249,IF(LEFT(Cockpit!$I$5,1)="B",AT1249,MAX(AT1249,H1249))))</f>
        <v>2</v>
      </c>
      <c r="AP1249" s="50" t="n">
        <f aca="false">IF(BW1249=1,0,ROUNDUP(AO1249/BV1249,0))</f>
        <v>1</v>
      </c>
      <c r="AQ1249" s="52" t="n">
        <f aca="false">IF(CL1249&gt;0,CL1249*MAX(1,AO1249/X1249),IF(BW1249=1,IF(AO1249&lt;=0,0,CA1249*MAX(1,IF(H1249&gt;0,AO1249/H1249,1))),IF(R1249&gt;0,AP1249/R1249,0))/MAX(0.1,N(Parameter!$M$21)))</f>
        <v>0.25</v>
      </c>
      <c r="AR1249" s="50" t="n">
        <f aca="false">AQ1249*BY1249</f>
        <v>58.75</v>
      </c>
      <c r="AS1249" s="50" t="n">
        <f aca="false">AO1249*G1249</f>
        <v>209.64</v>
      </c>
      <c r="AT1249" s="50" t="n">
        <f aca="false">ROUNDUP(MAX(J1249/IF(CD1249&gt;0,CD1249,MAX(0.1,N(Cockpit!$I$6))),CG1249)/BV1249,0)*BV1249</f>
        <v>2</v>
      </c>
      <c r="AU1249" s="51" t="n">
        <f aca="false">IF(AR1249&gt;0,J1249/AR1249,-1)</f>
        <v>0</v>
      </c>
      <c r="AV1249" s="51" t="n">
        <f aca="false">IF(AND(OR(CC1249="L1",CC1249="L23",CC1249="LIFT"),AR1249&gt;0),SUMIFS($AR$7:$AR$1843,$CC$7:$CC$1843,CC1249,$AU$7:$AU$1843,"&gt;"&amp;AU1249)+SUMIFS($AR$7:$AR$1843,$CC$7:$CC$1843,CC1249,$AU$7:$AU$1843,AU1249,$BT$7:$BT$1843,"&lt;="&amp;BT1249),"")</f>
        <v>41402.9327000683</v>
      </c>
      <c r="AW1249" s="58" t="n">
        <f aca="false">IF(AV1249="",0,MAX(0,MIN(1,(IF(CC1249="L1",Parameter!$H$5,IF(CC1249="L23",Parameter!$H$6+Parameter!$H$7,Parameter!$H$5+Parameter!$H$6+Parameter!$H$7))-(AV1249-AR1249))/AR1249)))</f>
        <v>0</v>
      </c>
      <c r="AX1249" s="50" t="n">
        <f aca="false">IF(LEFT(Cockpit!$O$5,1)="A",H1249,IF(CE1249=1,CF1249,IF(LEFT(Cockpit!$O$5,1)="B",BC1249,MAX(BC1249,H1249))))</f>
        <v>2</v>
      </c>
      <c r="AY1249" s="50" t="n">
        <f aca="false">IF(BW1249=1,0,ROUNDUP(AX1249/BV1249,0))</f>
        <v>1</v>
      </c>
      <c r="AZ1249" s="52" t="n">
        <f aca="false">IF(CL1249&gt;0,CL1249*MAX(1,AX1249/X1249),IF(BW1249=1,IF(AX1249&lt;=0,0,CA1249*MAX(1,IF(H1249&gt;0,AX1249/H1249,1))),IF(R1249&gt;0,AY1249/R1249,0))/MAX(0.1,N(Parameter!$M$21)))</f>
        <v>0.25</v>
      </c>
      <c r="BA1249" s="50" t="n">
        <f aca="false">AZ1249*BY1249</f>
        <v>58.75</v>
      </c>
      <c r="BB1249" s="50" t="n">
        <f aca="false">AX1249*G1249</f>
        <v>209.64</v>
      </c>
      <c r="BC1249" s="50" t="n">
        <f aca="false">ROUNDUP(MAX(J1249/IF(CD1249&gt;0,CD1249,MAX(0.1,N(Cockpit!$O$6))),CG1249)/BV1249,0)*BV1249</f>
        <v>2</v>
      </c>
      <c r="BD1249" s="51" t="n">
        <f aca="false">IF(BA1249&gt;0,J1249/BA1249,-1)</f>
        <v>0</v>
      </c>
      <c r="BE1249" s="51" t="n">
        <f aca="false">IF(AND(OR(CC1249="L1",CC1249="L23",CC1249="LIFT"),BA1249&gt;0),SUMIFS($BA$7:$BA$1843,$CC$7:$CC$1843,CC1249,$BD$7:$BD$1843,"&gt;"&amp;BD1249)+SUMIFS($BA$7:$BA$1843,$CC$7:$CC$1843,CC1249,$BD$7:$BD$1843,BD1249,$BT$7:$BT$1843,"&lt;="&amp;BT1249),"")</f>
        <v>38077.9447419342</v>
      </c>
      <c r="BF1249" s="58" t="n">
        <f aca="false">IF(BE1249="",0,MAX(0,MIN(1,(IF(CC1249="L1",Parameter!$H$5,IF(CC1249="L23",Parameter!$H$6+Parameter!$H$7,Parameter!$H$5+Parameter!$H$6+Parameter!$H$7))-(BE1249-BA1249))/BA1249)))</f>
        <v>0</v>
      </c>
      <c r="BG1249" s="48" t="str">
        <f aca="false">IF(AI1249&lt;=0,"",IF(CC1249="Aussen","Aussenlager",IF(CC1249="-","Nicht im Lift",IF(AN1249&gt;=1,"Lift",IF(AN1249&lt;=0,"Aussenlager","teilweise")))))</f>
        <v/>
      </c>
      <c r="BH1249" s="48" t="str">
        <f aca="false">IF(AR1249&lt;=0,"",IF(CC1249="Aussen","Aussenlager",IF(CC1249="-","Nicht im Lift",IF(AW1249&gt;=1,"Lift",IF(AW1249&lt;=0,"Aussenlager","teilweise")))))</f>
        <v>Aussenlager</v>
      </c>
      <c r="BI1249" s="48" t="str">
        <f aca="false">IF(BA1249&lt;=0,"",IF(CC1249="Aussen","Aussenlager",IF(CC1249="-","Nicht im Lift",IF(BF1249&gt;=1,"Lift",IF(BF1249&lt;=0,"Aussenlager","teilweise")))))</f>
        <v>Aussenlager</v>
      </c>
      <c r="BJ1249" s="48" t="str">
        <f aca="false">IF(A1249="","",IF(BS1249=1,"Neu; ","")&amp;IF(AND(BS1249=0,BN1249&lt;0),"negativer Bestand (Export "&amp;BN1249&amp;"); ","")&amp;IF(J1249&lt;=0,"Kein Verbrauch; ","")&amp;IF(CL1249&gt;0,"Lift "&amp;W1249&amp;" lt. Liftbericht (Fach "&amp;X1249&amp;" Stk); ",IF(BX1249=1,"Gebinde geschätzt ("&amp;T1249&amp;"); ",IF(BW1249=1,"Lose – Tablare geschätzt; ","")))&amp;IF(H1249&gt;AT1249,"Überbestand "&amp;ROUND(H1249-AT1249,0)&amp;" Stk / CHF "&amp;ROUND((H1249-AT1249)*G1249,0)&amp;"; ","")&amp;IF(AND(CE1249=1,CF1249&lt;CG1249),"MAX &lt; MB+LG; ","")&amp;IF(AND(CK1249&gt;0,CJ1249*10&gt;CK1249),"zu hoch für Tablar; ","")&amp;IF(AND(BS1249=0,OR(CE1249=1,AA1249&lt;&gt;"",U1249&lt;&gt;"",V1249&lt;&gt;"",AB1249&lt;&gt;"")),"manuell übersteuert; ","")&amp;IF(AND(BW1249=0,R1249=0),"Gebinde unbekannt / Stellmass fehlt; ","")&amp;IF(AND(BW1249=0,N(V1249)&lt;=0,N(Q1249)&lt;=0),"Menge pro Gebinde fehlt (Ist = 1 Gebinde); ","")&amp;BR1249)</f>
        <v>negativer Bestand (Export -7); Kein Verbrauch; Gebinde geschätzt (Gross); Menge pro Gebinde fehlt (Ist = 1 Gebinde); Neuer Art.</v>
      </c>
      <c r="BK1249" s="48"/>
      <c r="BL1249" s="48"/>
      <c r="BM1249" s="55"/>
      <c r="BN1249" s="50" t="n">
        <v>-7</v>
      </c>
      <c r="BO1249" s="50" t="n">
        <v>7</v>
      </c>
      <c r="BP1249" s="49" t="n">
        <v>-733.74</v>
      </c>
      <c r="BQ1249" s="50" t="n">
        <v>0</v>
      </c>
      <c r="BR1249" s="48" t="s">
        <v>516</v>
      </c>
      <c r="BS1249" s="53" t="n">
        <v>0</v>
      </c>
      <c r="BT1249" s="53" t="n">
        <v>1249</v>
      </c>
      <c r="BU1249" s="48" t="str">
        <f aca="false">IF(U1249&lt;&gt;"",UPPER(TRIM(U1249)),IF(BX1249=1,UPPER(VLOOKUP(T1249,Parameter!$I$27:$K$29,2,0)),IF(P1249="","LOSE",P1249)))</f>
        <v>S81</v>
      </c>
      <c r="BV1249" s="50" t="n">
        <f aca="false">IF(BU1249="LOSE",1,IF(N(V1249)&gt;0,V1249,IF(BX1249=1,MAX(1,N(VLOOKUP(T1249,Parameter!$I$27:$K$29,3,0)),H1249,N(N1249)),IF(N(Q1249)&gt;0,Q1249,MAX(1,H1249)))))</f>
        <v>2</v>
      </c>
      <c r="BW1249" s="53" t="n">
        <f aca="false">IF(BU1249="LOSE",1,0)</f>
        <v>0</v>
      </c>
      <c r="BX1249" s="53" t="n">
        <f aca="false">IF(AND(U1249="",OR(P1249="",P1249="LOSE"),T1249&lt;&gt;"",N(S1249)&lt;=0,ISNUMBER(MATCH(T1249,Parameter!$I$27:$I$29,0))),1,0)</f>
        <v>1</v>
      </c>
      <c r="BY1249" s="53" t="n">
        <f aca="false">IF(CL1249&gt;0,INDEX(Parameter!$H$5:$H$7,W1249)/INDEX(Parameter!$E$5:$E$7,W1249),IF(AND(BW1249=0,N(IFERROR(VLOOKUP(BU1249,'Gebinde-Kategorie'!$A$5:$N$45,14,0),0))&gt;0),VLOOKUP(BU1249,'Gebinde-Kategorie'!$A$5:$N$45,14,0)*10+Parameter!$M$23,Parameter!$M$24))</f>
        <v>235</v>
      </c>
      <c r="BZ1249" s="48" t="str">
        <f aca="false">IF(AND(Parameter!$B$19="Ja",E1249&lt;&gt;"",ISNUMBER(MATCH(E1249,Parameter!$I$35:$I$52,0))),VLOOKUP(E1249,Parameter!$I$35:$J$52,2,0),IFERROR(VLOOKUP(D1249,Parameter!$A$35:$C$64,2,0),"Nein"))</f>
        <v>2+3</v>
      </c>
      <c r="CA1249" s="52" t="n">
        <f aca="false">IF(BW1249=0,0,IF(N(S1249)&gt;0,S1249,IFERROR(VLOOKUP(D1249,Parameter!$A$35:$C$64,3,0)+0,0)))</f>
        <v>0</v>
      </c>
      <c r="CB1249" s="48" t="n">
        <f aca="false">IF(AA1249&lt;&gt;"",AA1249,Z1249)</f>
        <v>2</v>
      </c>
      <c r="CC1249" s="48" t="str">
        <f aca="false">IF(OR(CB1249=1,CB1249=2,CB1249=3),IF(Parameter!$E$27="Ja","LIFT",IF(CB1249=1,"L1","L23")),IF(CB1249="Aussen","Aussen","-"))</f>
        <v>LIFT</v>
      </c>
      <c r="CD1249" s="59" t="n">
        <f aca="false">IF(N(AB1249)&gt;0,AB1249,0)</f>
        <v>0</v>
      </c>
      <c r="CE1249" s="53" t="n">
        <f aca="false">IF(ISNUMBER(AE1249),1,0)</f>
        <v>0</v>
      </c>
      <c r="CF1249" s="50" t="n">
        <f aca="false">N(AE1249)</f>
        <v>0</v>
      </c>
      <c r="CG1249" s="50" t="n">
        <f aca="false">N(M1249)+N(N1249)</f>
        <v>1</v>
      </c>
      <c r="CH1249" s="50" t="n">
        <f aca="false">ROUNDUP(H1249/BV1249,0)</f>
        <v>0</v>
      </c>
      <c r="CI1249" s="50" t="n">
        <f aca="false">ROUNDUP(CF1249/BV1249,0)</f>
        <v>0</v>
      </c>
      <c r="CJ1249" s="53" t="n">
        <f aca="false">IF(BW1249=1,0,IFERROR(VLOOKUP(BU1249,'Gebinde-Kategorie'!$A$5:$N$45,5,0)+0,0))</f>
        <v>20</v>
      </c>
      <c r="CK1249" s="53" t="n">
        <f aca="false">IFERROR(IF(OR(CB1249=1,CB1249=2,CB1249=3),N(INDEX(Parameter!$I$5:$I$7,CB1249)),0),0)</f>
        <v>0</v>
      </c>
      <c r="CL1249" s="52" t="n">
        <f aca="false">IF(AND(Parameter!$B$21="Ja",ISNUMBER(W1249),N(X1249)&gt;0),IFERROR(N(INDEX(Parameter!$L$5:$L$7,W1249))*INDEX(Parameter!$E$5:$E$7,W1249)*X1249/SUMIFS($X$7:$X$1843,$W$7:$W$1843,W1249),0),0)</f>
        <v>0</v>
      </c>
    </row>
    <row r="1250" customFormat="false" ht="15" hidden="false" customHeight="false" outlineLevel="0" collapsed="false">
      <c r="A1250" s="48" t="s">
        <v>2239</v>
      </c>
      <c r="B1250" s="48" t="s">
        <v>2240</v>
      </c>
      <c r="C1250" s="48" t="s">
        <v>168</v>
      </c>
      <c r="D1250" s="48" t="s">
        <v>188</v>
      </c>
      <c r="E1250" s="48" t="s">
        <v>189</v>
      </c>
      <c r="F1250" s="48" t="s">
        <v>222</v>
      </c>
      <c r="G1250" s="49" t="n">
        <v>148.8</v>
      </c>
      <c r="H1250" s="50" t="n">
        <f aca="false">MAX(0,IF(AND(Parameter!$B$21="Ja",ISNUMBER(Y1250)),Y1250,IF(Parameter!$B$20="Jahresanfang 2025 + Export",BO1250+BN1250,BN1250)))</f>
        <v>19</v>
      </c>
      <c r="I1250" s="50" t="n">
        <f aca="false">H1250*G1250</f>
        <v>2827.2</v>
      </c>
      <c r="J1250" s="50" t="n">
        <f aca="false">BQ1250*Parameter!$B$18</f>
        <v>29</v>
      </c>
      <c r="K1250" s="51" t="n">
        <v>19</v>
      </c>
      <c r="L1250" s="52" t="n">
        <v>1.52631578947368</v>
      </c>
      <c r="M1250" s="50" t="n">
        <v>3</v>
      </c>
      <c r="N1250" s="50" t="n">
        <v>20</v>
      </c>
      <c r="O1250" s="53" t="n">
        <v>31</v>
      </c>
      <c r="P1250" s="48" t="s">
        <v>480</v>
      </c>
      <c r="Q1250" s="50" t="n">
        <v>37</v>
      </c>
      <c r="R1250" s="53" t="n">
        <f aca="false">IF(BW1250=1,0,IFERROR(VLOOKUP(BU1250,'Gebinde-Kategorie'!$A$5:$N$45,13,0)+0,0))</f>
        <v>52</v>
      </c>
      <c r="S1250" s="54"/>
      <c r="T1250" s="55"/>
      <c r="U1250" s="55"/>
      <c r="V1250" s="55"/>
      <c r="W1250" s="48"/>
      <c r="X1250" s="50"/>
      <c r="Y1250" s="50"/>
      <c r="Z1250" s="48" t="n">
        <f aca="false">IF(A1250="","",IF(AND(Parameter!$B$21="Ja",ISNUMBER(W1250)),W1250,IF(BZ1250="2+3",IF(ISNUMBER(SEARCH("grosser Artikel",BR1250)),2,IFERROR(VLOOKUP(BU1250,Parameter!$F$35:$G$64,2,0),2)),IF(OR(BZ1250="Nein",BZ1250=""),"-",BZ1250))))</f>
        <v>3</v>
      </c>
      <c r="AA1250" s="55"/>
      <c r="AB1250" s="56"/>
      <c r="AC1250" s="50" t="n">
        <f aca="false">AT1250</f>
        <v>37</v>
      </c>
      <c r="AD1250" s="50" t="n">
        <f aca="false">MAX(AT1250,H1250)</f>
        <v>37</v>
      </c>
      <c r="AE1250" s="57"/>
      <c r="AF1250" s="50" t="n">
        <f aca="false">IF(LEFT(Cockpit!$C$5,1)="A",H1250,IF(CE1250=1,CF1250,IF(LEFT(Cockpit!$C$5,1)="B",AK1250,MAX(AK1250,H1250))))</f>
        <v>19</v>
      </c>
      <c r="AG1250" s="50" t="n">
        <f aca="false">IF(BW1250=1,0,ROUNDUP(AF1250/BV1250,0))</f>
        <v>1</v>
      </c>
      <c r="AH1250" s="52" t="n">
        <f aca="false">IF(CL1250&gt;0,CL1250*MAX(1,AF1250/X1250),IF(BW1250=1,IF(AF1250&lt;=0,0,CA1250*MAX(1,IF(H1250&gt;0,AF1250/H1250,1))),IF(R1250&gt;0,AG1250/R1250,0))/MAX(0.1,N(Parameter!$M$21)))</f>
        <v>0.0192307692307692</v>
      </c>
      <c r="AI1250" s="50" t="n">
        <f aca="false">AH1250*BY1250</f>
        <v>2.98076923076923</v>
      </c>
      <c r="AJ1250" s="50" t="n">
        <f aca="false">AF1250*G1250</f>
        <v>2827.2</v>
      </c>
      <c r="AK1250" s="50" t="n">
        <f aca="false">ROUNDUP(MAX(J1250/IF(CD1250&gt;0,CD1250,MAX(0.1,N(Cockpit!$C$6))),CG1250)/BV1250,0)*BV1250</f>
        <v>37</v>
      </c>
      <c r="AL1250" s="51" t="n">
        <f aca="false">IF(AI1250&gt;0,J1250/AI1250,-1)</f>
        <v>9.72903225806452</v>
      </c>
      <c r="AM1250" s="51" t="n">
        <f aca="false">IF(AND(OR(CC1250="L1",CC1250="L23",CC1250="LIFT"),AI1250&gt;0),SUMIFS($AI$7:$AI$1843,$CC$7:$CC$1843,CC1250,$AL$7:$AL$1843,"&gt;"&amp;AL1250)+SUMIFS($AI$7:$AI$1843,$CC$7:$CC$1843,CC1250,$AL$7:$AL$1843,AL1250,$BT$7:$BT$1843,"&lt;="&amp;BT1250),"")</f>
        <v>2897.21382783883</v>
      </c>
      <c r="AN1250" s="58" t="n">
        <f aca="false">IF(AM1250="",0,MAX(0,MIN(1,(IF(CC1250="L1",Parameter!$H$5,IF(CC1250="L23",Parameter!$H$6+Parameter!$H$7,Parameter!$H$5+Parameter!$H$6+Parameter!$H$7))-(AM1250-AI1250))/AI1250)))</f>
        <v>1</v>
      </c>
      <c r="AO1250" s="50" t="n">
        <f aca="false">IF(LEFT(Cockpit!$I$5,1)="A",H1250,IF(CE1250=1,CF1250,IF(LEFT(Cockpit!$I$5,1)="B",AT1250,MAX(AT1250,H1250))))</f>
        <v>37</v>
      </c>
      <c r="AP1250" s="50" t="n">
        <f aca="false">IF(BW1250=1,0,ROUNDUP(AO1250/BV1250,0))</f>
        <v>1</v>
      </c>
      <c r="AQ1250" s="52" t="n">
        <f aca="false">IF(CL1250&gt;0,CL1250*MAX(1,AO1250/X1250),IF(BW1250=1,IF(AO1250&lt;=0,0,CA1250*MAX(1,IF(H1250&gt;0,AO1250/H1250,1))),IF(R1250&gt;0,AP1250/R1250,0))/MAX(0.1,N(Parameter!$M$21)))</f>
        <v>0.0192307692307692</v>
      </c>
      <c r="AR1250" s="50" t="n">
        <f aca="false">AQ1250*BY1250</f>
        <v>2.98076923076923</v>
      </c>
      <c r="AS1250" s="50" t="n">
        <f aca="false">AO1250*G1250</f>
        <v>5505.6</v>
      </c>
      <c r="AT1250" s="50" t="n">
        <f aca="false">ROUNDUP(MAX(J1250/IF(CD1250&gt;0,CD1250,MAX(0.1,N(Cockpit!$I$6))),CG1250)/BV1250,0)*BV1250</f>
        <v>37</v>
      </c>
      <c r="AU1250" s="51" t="n">
        <f aca="false">IF(AR1250&gt;0,J1250/AR1250,-1)</f>
        <v>9.72903225806452</v>
      </c>
      <c r="AV1250" s="51" t="n">
        <f aca="false">IF(AND(OR(CC1250="L1",CC1250="L23",CC1250="LIFT"),AR1250&gt;0),SUMIFS($AR$7:$AR$1843,$CC$7:$CC$1843,CC1250,$AU$7:$AU$1843,"&gt;"&amp;AU1250)+SUMIFS($AR$7:$AR$1843,$CC$7:$CC$1843,CC1250,$AU$7:$AU$1843,AU1250,$BT$7:$BT$1843,"&lt;="&amp;BT1250),"")</f>
        <v>4074.76098901099</v>
      </c>
      <c r="AW1250" s="58" t="n">
        <f aca="false">IF(AV1250="",0,MAX(0,MIN(1,(IF(CC1250="L1",Parameter!$H$5,IF(CC1250="L23",Parameter!$H$6+Parameter!$H$7,Parameter!$H$5+Parameter!$H$6+Parameter!$H$7))-(AV1250-AR1250))/AR1250)))</f>
        <v>1</v>
      </c>
      <c r="AX1250" s="50" t="n">
        <f aca="false">IF(LEFT(Cockpit!$O$5,1)="A",H1250,IF(CE1250=1,CF1250,IF(LEFT(Cockpit!$O$5,1)="B",BC1250,MAX(BC1250,H1250))))</f>
        <v>37</v>
      </c>
      <c r="AY1250" s="50" t="n">
        <f aca="false">IF(BW1250=1,0,ROUNDUP(AX1250/BV1250,0))</f>
        <v>1</v>
      </c>
      <c r="AZ1250" s="52" t="n">
        <f aca="false">IF(CL1250&gt;0,CL1250*MAX(1,AX1250/X1250),IF(BW1250=1,IF(AX1250&lt;=0,0,CA1250*MAX(1,IF(H1250&gt;0,AX1250/H1250,1))),IF(R1250&gt;0,AY1250/R1250,0))/MAX(0.1,N(Parameter!$M$21)))</f>
        <v>0.0192307692307692</v>
      </c>
      <c r="BA1250" s="50" t="n">
        <f aca="false">AZ1250*BY1250</f>
        <v>2.98076923076923</v>
      </c>
      <c r="BB1250" s="50" t="n">
        <f aca="false">AX1250*G1250</f>
        <v>5505.6</v>
      </c>
      <c r="BC1250" s="50" t="n">
        <f aca="false">ROUNDUP(MAX(J1250/IF(CD1250&gt;0,CD1250,MAX(0.1,N(Cockpit!$O$6))),CG1250)/BV1250,0)*BV1250</f>
        <v>37</v>
      </c>
      <c r="BD1250" s="51" t="n">
        <f aca="false">IF(BA1250&gt;0,J1250/BA1250,-1)</f>
        <v>9.72903225806452</v>
      </c>
      <c r="BE1250" s="51" t="n">
        <f aca="false">IF(AND(OR(CC1250="L1",CC1250="L23",CC1250="LIFT"),BA1250&gt;0),SUMIFS($BA$7:$BA$1843,$CC$7:$CC$1843,CC1250,$BD$7:$BD$1843,"&gt;"&amp;BD1250)+SUMIFS($BA$7:$BA$1843,$CC$7:$CC$1843,CC1250,$BD$7:$BD$1843,BD1250,$BT$7:$BT$1843,"&lt;="&amp;BT1250),"")</f>
        <v>3732.88598901099</v>
      </c>
      <c r="BF1250" s="58" t="n">
        <f aca="false">IF(BE1250="",0,MAX(0,MIN(1,(IF(CC1250="L1",Parameter!$H$5,IF(CC1250="L23",Parameter!$H$6+Parameter!$H$7,Parameter!$H$5+Parameter!$H$6+Parameter!$H$7))-(BE1250-BA1250))/BA1250)))</f>
        <v>1</v>
      </c>
      <c r="BG1250" s="48" t="str">
        <f aca="false">IF(AI1250&lt;=0,"",IF(CC1250="Aussen","Aussenlager",IF(CC1250="-","Nicht im Lift",IF(AN1250&gt;=1,"Lift",IF(AN1250&lt;=0,"Aussenlager","teilweise")))))</f>
        <v>Lift</v>
      </c>
      <c r="BH1250" s="48" t="str">
        <f aca="false">IF(AR1250&lt;=0,"",IF(CC1250="Aussen","Aussenlager",IF(CC1250="-","Nicht im Lift",IF(AW1250&gt;=1,"Lift",IF(AW1250&lt;=0,"Aussenlager","teilweise")))))</f>
        <v>Lift</v>
      </c>
      <c r="BI1250" s="48" t="str">
        <f aca="false">IF(BA1250&lt;=0,"",IF(CC1250="Aussen","Aussenlager",IF(CC1250="-","Nicht im Lift",IF(BF1250&gt;=1,"Lift",IF(BF1250&lt;=0,"Aussenlager","teilweise")))))</f>
        <v>Lift</v>
      </c>
      <c r="BJ1250" s="48" t="str">
        <f aca="false">IF(A1250="","",IF(BS1250=1,"Neu; ","")&amp;IF(AND(BS1250=0,BN1250&lt;0),"negativer Bestand (Export "&amp;BN1250&amp;"); ","")&amp;IF(J1250&lt;=0,"Kein Verbrauch; ","")&amp;IF(CL1250&gt;0,"Lift "&amp;W1250&amp;" lt. Liftbericht (Fach "&amp;X1250&amp;" Stk); ",IF(BX1250=1,"Gebinde geschätzt ("&amp;T1250&amp;"); ",IF(BW1250=1,"Lose – Tablare geschätzt; ","")))&amp;IF(H1250&gt;AT1250,"Überbestand "&amp;ROUND(H1250-AT1250,0)&amp;" Stk / CHF "&amp;ROUND((H1250-AT1250)*G1250,0)&amp;"; ","")&amp;IF(AND(CE1250=1,CF1250&lt;CG1250),"MAX &lt; MB+LG; ","")&amp;IF(AND(CK1250&gt;0,CJ1250*10&gt;CK1250),"zu hoch für Tablar; ","")&amp;IF(AND(BS1250=0,OR(CE1250=1,AA1250&lt;&gt;"",U1250&lt;&gt;"",V1250&lt;&gt;"",AB1250&lt;&gt;"")),"manuell übersteuert; ","")&amp;IF(AND(BW1250=0,R1250=0),"Gebinde unbekannt / Stellmass fehlt; ","")&amp;IF(AND(BW1250=0,N(V1250)&lt;=0,N(Q1250)&lt;=0),"Menge pro Gebinde fehlt (Ist = 1 Gebinde); ","")&amp;BR1250)</f>
        <v>negativer Bestand (Export -5); </v>
      </c>
      <c r="BK1250" s="48"/>
      <c r="BL1250" s="48"/>
      <c r="BM1250" s="55"/>
      <c r="BN1250" s="50" t="n">
        <v>-5</v>
      </c>
      <c r="BO1250" s="50" t="n">
        <v>24</v>
      </c>
      <c r="BP1250" s="49" t="n">
        <v>-738.000000000001</v>
      </c>
      <c r="BQ1250" s="50" t="n">
        <v>29</v>
      </c>
      <c r="BR1250" s="48"/>
      <c r="BS1250" s="53" t="n">
        <v>0</v>
      </c>
      <c r="BT1250" s="53" t="n">
        <v>1250</v>
      </c>
      <c r="BU1250" s="48" t="str">
        <f aca="false">IF(U1250&lt;&gt;"",UPPER(TRIM(U1250)),IF(BX1250=1,UPPER(VLOOKUP(T1250,Parameter!$I$27:$K$29,2,0)),IF(P1250="","LOSE",P1250)))</f>
        <v>S33</v>
      </c>
      <c r="BV1250" s="50" t="n">
        <f aca="false">IF(BU1250="LOSE",1,IF(N(V1250)&gt;0,V1250,IF(BX1250=1,MAX(1,N(VLOOKUP(T1250,Parameter!$I$27:$K$29,3,0)),H1250,N(N1250)),IF(N(Q1250)&gt;0,Q1250,MAX(1,H1250)))))</f>
        <v>37</v>
      </c>
      <c r="BW1250" s="53" t="n">
        <f aca="false">IF(BU1250="LOSE",1,0)</f>
        <v>0</v>
      </c>
      <c r="BX1250" s="53" t="n">
        <f aca="false">IF(AND(U1250="",OR(P1250="",P1250="LOSE"),T1250&lt;&gt;"",N(S1250)&lt;=0,ISNUMBER(MATCH(T1250,Parameter!$I$27:$I$29,0))),1,0)</f>
        <v>0</v>
      </c>
      <c r="BY1250" s="53" t="n">
        <f aca="false">IF(CL1250&gt;0,INDEX(Parameter!$H$5:$H$7,W1250)/INDEX(Parameter!$E$5:$E$7,W1250),IF(AND(BW1250=0,N(IFERROR(VLOOKUP(BU1250,'Gebinde-Kategorie'!$A$5:$N$45,14,0),0))&gt;0),VLOOKUP(BU1250,'Gebinde-Kategorie'!$A$5:$N$45,14,0)*10+Parameter!$M$23,Parameter!$M$24))</f>
        <v>155</v>
      </c>
      <c r="BZ1250" s="48" t="str">
        <f aca="false">IF(AND(Parameter!$B$19="Ja",E1250&lt;&gt;"",ISNUMBER(MATCH(E1250,Parameter!$I$35:$I$52,0))),VLOOKUP(E1250,Parameter!$I$35:$J$52,2,0),IFERROR(VLOOKUP(D1250,Parameter!$A$35:$C$64,2,0),"Nein"))</f>
        <v>2+3</v>
      </c>
      <c r="CA1250" s="52" t="n">
        <f aca="false">IF(BW1250=0,0,IF(N(S1250)&gt;0,S1250,IFERROR(VLOOKUP(D1250,Parameter!$A$35:$C$64,3,0)+0,0)))</f>
        <v>0</v>
      </c>
      <c r="CB1250" s="48" t="n">
        <f aca="false">IF(AA1250&lt;&gt;"",AA1250,Z1250)</f>
        <v>3</v>
      </c>
      <c r="CC1250" s="48" t="str">
        <f aca="false">IF(OR(CB1250=1,CB1250=2,CB1250=3),IF(Parameter!$E$27="Ja","LIFT",IF(CB1250=1,"L1","L23")),IF(CB1250="Aussen","Aussen","-"))</f>
        <v>LIFT</v>
      </c>
      <c r="CD1250" s="59" t="n">
        <f aca="false">IF(N(AB1250)&gt;0,AB1250,0)</f>
        <v>0</v>
      </c>
      <c r="CE1250" s="53" t="n">
        <f aca="false">IF(ISNUMBER(AE1250),1,0)</f>
        <v>0</v>
      </c>
      <c r="CF1250" s="50" t="n">
        <f aca="false">N(AE1250)</f>
        <v>0</v>
      </c>
      <c r="CG1250" s="50" t="n">
        <f aca="false">N(M1250)+N(N1250)</f>
        <v>23</v>
      </c>
      <c r="CH1250" s="50" t="n">
        <f aca="false">ROUNDUP(H1250/BV1250,0)</f>
        <v>1</v>
      </c>
      <c r="CI1250" s="50" t="n">
        <f aca="false">ROUNDUP(CF1250/BV1250,0)</f>
        <v>0</v>
      </c>
      <c r="CJ1250" s="53" t="n">
        <f aca="false">IF(BW1250=1,0,IFERROR(VLOOKUP(BU1250,'Gebinde-Kategorie'!$A$5:$N$45,5,0)+0,0))</f>
        <v>8</v>
      </c>
      <c r="CK1250" s="53" t="n">
        <f aca="false">IFERROR(IF(OR(CB1250=1,CB1250=2,CB1250=3),N(INDEX(Parameter!$I$5:$I$7,CB1250)),0),0)</f>
        <v>0</v>
      </c>
      <c r="CL1250" s="52" t="n">
        <f aca="false">IF(AND(Parameter!$B$21="Ja",ISNUMBER(W1250),N(X1250)&gt;0),IFERROR(N(INDEX(Parameter!$L$5:$L$7,W1250))*INDEX(Parameter!$E$5:$E$7,W1250)*X1250/SUMIFS($X$7:$X$1843,$W$7:$W$1843,W1250),0),0)</f>
        <v>0</v>
      </c>
    </row>
    <row r="1251" customFormat="false" ht="15" hidden="false" customHeight="false" outlineLevel="0" collapsed="false">
      <c r="A1251" s="48" t="s">
        <v>2241</v>
      </c>
      <c r="B1251" s="48" t="s">
        <v>595</v>
      </c>
      <c r="C1251" s="48" t="s">
        <v>168</v>
      </c>
      <c r="D1251" s="48" t="s">
        <v>188</v>
      </c>
      <c r="E1251" s="48" t="s">
        <v>189</v>
      </c>
      <c r="F1251" s="48" t="s">
        <v>222</v>
      </c>
      <c r="G1251" s="49" t="n">
        <v>59.75</v>
      </c>
      <c r="H1251" s="50" t="n">
        <f aca="false">MAX(0,IF(AND(Parameter!$B$21="Ja",ISNUMBER(Y1251)),Y1251,IF(Parameter!$B$20="Jahresanfang 2025 + Export",BO1251+BN1251,BN1251)))</f>
        <v>70</v>
      </c>
      <c r="I1251" s="50" t="n">
        <f aca="false">H1251*G1251</f>
        <v>4182.5</v>
      </c>
      <c r="J1251" s="50" t="n">
        <f aca="false">BQ1251*Parameter!$B$18</f>
        <v>29</v>
      </c>
      <c r="K1251" s="51" t="n">
        <v>77.5</v>
      </c>
      <c r="L1251" s="52" t="n">
        <v>0.374193548387097</v>
      </c>
      <c r="M1251" s="50" t="n">
        <v>4</v>
      </c>
      <c r="N1251" s="50" t="n">
        <v>30</v>
      </c>
      <c r="O1251" s="53" t="n">
        <v>21</v>
      </c>
      <c r="P1251" s="48" t="s">
        <v>237</v>
      </c>
      <c r="Q1251" s="50" t="n">
        <v>90</v>
      </c>
      <c r="R1251" s="53" t="n">
        <f aca="false">IF(BW1251=1,0,IFERROR(VLOOKUP(BU1251,'Gebinde-Kategorie'!$A$5:$N$45,13,0)+0,0))</f>
        <v>26</v>
      </c>
      <c r="S1251" s="54"/>
      <c r="T1251" s="55"/>
      <c r="U1251" s="55"/>
      <c r="V1251" s="55"/>
      <c r="W1251" s="48"/>
      <c r="X1251" s="50"/>
      <c r="Y1251" s="50"/>
      <c r="Z1251" s="48" t="n">
        <f aca="false">IF(A1251="","",IF(AND(Parameter!$B$21="Ja",ISNUMBER(W1251)),W1251,IF(BZ1251="2+3",IF(ISNUMBER(SEARCH("grosser Artikel",BR1251)),2,IFERROR(VLOOKUP(BU1251,Parameter!$F$35:$G$64,2,0),2)),IF(OR(BZ1251="Nein",BZ1251=""),"-",BZ1251))))</f>
        <v>3</v>
      </c>
      <c r="AA1251" s="55"/>
      <c r="AB1251" s="56"/>
      <c r="AC1251" s="50" t="n">
        <f aca="false">AT1251</f>
        <v>90</v>
      </c>
      <c r="AD1251" s="50" t="n">
        <f aca="false">MAX(AT1251,H1251)</f>
        <v>90</v>
      </c>
      <c r="AE1251" s="57"/>
      <c r="AF1251" s="50" t="n">
        <f aca="false">IF(LEFT(Cockpit!$C$5,1)="A",H1251,IF(CE1251=1,CF1251,IF(LEFT(Cockpit!$C$5,1)="B",AK1251,MAX(AK1251,H1251))))</f>
        <v>70</v>
      </c>
      <c r="AG1251" s="50" t="n">
        <f aca="false">IF(BW1251=1,0,ROUNDUP(AF1251/BV1251,0))</f>
        <v>1</v>
      </c>
      <c r="AH1251" s="52" t="n">
        <f aca="false">IF(CL1251&gt;0,CL1251*MAX(1,AF1251/X1251),IF(BW1251=1,IF(AF1251&lt;=0,0,CA1251*MAX(1,IF(H1251&gt;0,AF1251/H1251,1))),IF(R1251&gt;0,AG1251/R1251,0))/MAX(0.1,N(Parameter!$M$21)))</f>
        <v>0.0384615384615385</v>
      </c>
      <c r="AI1251" s="50" t="n">
        <f aca="false">AH1251*BY1251</f>
        <v>9.42307692307692</v>
      </c>
      <c r="AJ1251" s="50" t="n">
        <f aca="false">AF1251*G1251</f>
        <v>4182.5</v>
      </c>
      <c r="AK1251" s="50" t="n">
        <f aca="false">ROUNDUP(MAX(J1251/IF(CD1251&gt;0,CD1251,MAX(0.1,N(Cockpit!$C$6))),CG1251)/BV1251,0)*BV1251</f>
        <v>90</v>
      </c>
      <c r="AL1251" s="51" t="n">
        <f aca="false">IF(AI1251&gt;0,J1251/AI1251,-1)</f>
        <v>3.07755102040816</v>
      </c>
      <c r="AM1251" s="51" t="n">
        <f aca="false">IF(AND(OR(CC1251="L1",CC1251="L23",CC1251="LIFT"),AI1251&gt;0),SUMIFS($AI$7:$AI$1843,$CC$7:$CC$1843,CC1251,$AL$7:$AL$1843,"&gt;"&amp;AL1251)+SUMIFS($AI$7:$AI$1843,$CC$7:$CC$1843,CC1251,$AL$7:$AL$1843,AL1251,$BT$7:$BT$1843,"&lt;="&amp;BT1251),"")</f>
        <v>5041.08470695971</v>
      </c>
      <c r="AN1251" s="58" t="n">
        <f aca="false">IF(AM1251="",0,MAX(0,MIN(1,(IF(CC1251="L1",Parameter!$H$5,IF(CC1251="L23",Parameter!$H$6+Parameter!$H$7,Parameter!$H$5+Parameter!$H$6+Parameter!$H$7))-(AM1251-AI1251))/AI1251)))</f>
        <v>1</v>
      </c>
      <c r="AO1251" s="50" t="n">
        <f aca="false">IF(LEFT(Cockpit!$I$5,1)="A",H1251,IF(CE1251=1,CF1251,IF(LEFT(Cockpit!$I$5,1)="B",AT1251,MAX(AT1251,H1251))))</f>
        <v>90</v>
      </c>
      <c r="AP1251" s="50" t="n">
        <f aca="false">IF(BW1251=1,0,ROUNDUP(AO1251/BV1251,0))</f>
        <v>1</v>
      </c>
      <c r="AQ1251" s="52" t="n">
        <f aca="false">IF(CL1251&gt;0,CL1251*MAX(1,AO1251/X1251),IF(BW1251=1,IF(AO1251&lt;=0,0,CA1251*MAX(1,IF(H1251&gt;0,AO1251/H1251,1))),IF(R1251&gt;0,AP1251/R1251,0))/MAX(0.1,N(Parameter!$M$21)))</f>
        <v>0.0384615384615385</v>
      </c>
      <c r="AR1251" s="50" t="n">
        <f aca="false">AQ1251*BY1251</f>
        <v>9.42307692307692</v>
      </c>
      <c r="AS1251" s="50" t="n">
        <f aca="false">AO1251*G1251</f>
        <v>5377.5</v>
      </c>
      <c r="AT1251" s="50" t="n">
        <f aca="false">ROUNDUP(MAX(J1251/IF(CD1251&gt;0,CD1251,MAX(0.1,N(Cockpit!$I$6))),CG1251)/BV1251,0)*BV1251</f>
        <v>90</v>
      </c>
      <c r="AU1251" s="51" t="n">
        <f aca="false">IF(AR1251&gt;0,J1251/AR1251,-1)</f>
        <v>3.07755102040816</v>
      </c>
      <c r="AV1251" s="51" t="n">
        <f aca="false">IF(AND(OR(CC1251="L1",CC1251="L23",CC1251="LIFT"),AR1251&gt;0),SUMIFS($AR$7:$AR$1843,$CC$7:$CC$1843,CC1251,$AU$7:$AU$1843,"&gt;"&amp;AU1251)+SUMIFS($AR$7:$AR$1843,$CC$7:$CC$1843,CC1251,$AU$7:$AU$1843,AU1251,$BT$7:$BT$1843,"&lt;="&amp;BT1251),"")</f>
        <v>6229.57509157509</v>
      </c>
      <c r="AW1251" s="58" t="n">
        <f aca="false">IF(AV1251="",0,MAX(0,MIN(1,(IF(CC1251="L1",Parameter!$H$5,IF(CC1251="L23",Parameter!$H$6+Parameter!$H$7,Parameter!$H$5+Parameter!$H$6+Parameter!$H$7))-(AV1251-AR1251))/AR1251)))</f>
        <v>1</v>
      </c>
      <c r="AX1251" s="50" t="n">
        <f aca="false">IF(LEFT(Cockpit!$O$5,1)="A",H1251,IF(CE1251=1,CF1251,IF(LEFT(Cockpit!$O$5,1)="B",BC1251,MAX(BC1251,H1251))))</f>
        <v>90</v>
      </c>
      <c r="AY1251" s="50" t="n">
        <f aca="false">IF(BW1251=1,0,ROUNDUP(AX1251/BV1251,0))</f>
        <v>1</v>
      </c>
      <c r="AZ1251" s="52" t="n">
        <f aca="false">IF(CL1251&gt;0,CL1251*MAX(1,AX1251/X1251),IF(BW1251=1,IF(AX1251&lt;=0,0,CA1251*MAX(1,IF(H1251&gt;0,AX1251/H1251,1))),IF(R1251&gt;0,AY1251/R1251,0))/MAX(0.1,N(Parameter!$M$21)))</f>
        <v>0.0384615384615385</v>
      </c>
      <c r="BA1251" s="50" t="n">
        <f aca="false">AZ1251*BY1251</f>
        <v>9.42307692307692</v>
      </c>
      <c r="BB1251" s="50" t="n">
        <f aca="false">AX1251*G1251</f>
        <v>5377.5</v>
      </c>
      <c r="BC1251" s="50" t="n">
        <f aca="false">ROUNDUP(MAX(J1251/IF(CD1251&gt;0,CD1251,MAX(0.1,N(Cockpit!$O$6))),CG1251)/BV1251,0)*BV1251</f>
        <v>90</v>
      </c>
      <c r="BD1251" s="51" t="n">
        <f aca="false">IF(BA1251&gt;0,J1251/BA1251,-1)</f>
        <v>3.07755102040816</v>
      </c>
      <c r="BE1251" s="51" t="n">
        <f aca="false">IF(AND(OR(CC1251="L1",CC1251="L23",CC1251="LIFT"),BA1251&gt;0),SUMIFS($BA$7:$BA$1843,$CC$7:$CC$1843,CC1251,$BD$7:$BD$1843,"&gt;"&amp;BD1251)+SUMIFS($BA$7:$BA$1843,$CC$7:$CC$1843,CC1251,$BD$7:$BD$1843,BD1251,$BT$7:$BT$1843,"&lt;="&amp;BT1251),"")</f>
        <v>6217.41163003663</v>
      </c>
      <c r="BF1251" s="58" t="n">
        <f aca="false">IF(BE1251="",0,MAX(0,MIN(1,(IF(CC1251="L1",Parameter!$H$5,IF(CC1251="L23",Parameter!$H$6+Parameter!$H$7,Parameter!$H$5+Parameter!$H$6+Parameter!$H$7))-(BE1251-BA1251))/BA1251)))</f>
        <v>1</v>
      </c>
      <c r="BG1251" s="48" t="str">
        <f aca="false">IF(AI1251&lt;=0,"",IF(CC1251="Aussen","Aussenlager",IF(CC1251="-","Nicht im Lift",IF(AN1251&gt;=1,"Lift",IF(AN1251&lt;=0,"Aussenlager","teilweise")))))</f>
        <v>Lift</v>
      </c>
      <c r="BH1251" s="48" t="str">
        <f aca="false">IF(AR1251&lt;=0,"",IF(CC1251="Aussen","Aussenlager",IF(CC1251="-","Nicht im Lift",IF(AW1251&gt;=1,"Lift",IF(AW1251&lt;=0,"Aussenlager","teilweise")))))</f>
        <v>Lift</v>
      </c>
      <c r="BI1251" s="48" t="str">
        <f aca="false">IF(BA1251&lt;=0,"",IF(CC1251="Aussen","Aussenlager",IF(CC1251="-","Nicht im Lift",IF(BF1251&gt;=1,"Lift",IF(BF1251&lt;=0,"Aussenlager","teilweise")))))</f>
        <v>Lift</v>
      </c>
      <c r="BJ1251" s="48" t="str">
        <f aca="false">IF(A1251="","",IF(BS1251=1,"Neu; ","")&amp;IF(AND(BS1251=0,BN1251&lt;0),"negativer Bestand (Export "&amp;BN1251&amp;"); ","")&amp;IF(J1251&lt;=0,"Kein Verbrauch; ","")&amp;IF(CL1251&gt;0,"Lift "&amp;W1251&amp;" lt. Liftbericht (Fach "&amp;X1251&amp;" Stk); ",IF(BX1251=1,"Gebinde geschätzt ("&amp;T1251&amp;"); ",IF(BW1251=1,"Lose – Tablare geschätzt; ","")))&amp;IF(H1251&gt;AT1251,"Überbestand "&amp;ROUND(H1251-AT1251,0)&amp;" Stk / CHF "&amp;ROUND((H1251-AT1251)*G1251,0)&amp;"; ","")&amp;IF(AND(CE1251=1,CF1251&lt;CG1251),"MAX &lt; MB+LG; ","")&amp;IF(AND(CK1251&gt;0,CJ1251*10&gt;CK1251),"zu hoch für Tablar; ","")&amp;IF(AND(BS1251=0,OR(CE1251=1,AA1251&lt;&gt;"",U1251&lt;&gt;"",V1251&lt;&gt;"",AB1251&lt;&gt;"")),"manuell übersteuert; ","")&amp;IF(AND(BW1251=0,R1251=0),"Gebinde unbekannt / Stellmass fehlt; ","")&amp;IF(AND(BW1251=0,N(V1251)&lt;=0,N(Q1251)&lt;=0),"Menge pro Gebinde fehlt (Ist = 1 Gebinde); ","")&amp;BR1251)</f>
        <v>negativer Bestand (Export -13); </v>
      </c>
      <c r="BK1251" s="48"/>
      <c r="BL1251" s="48"/>
      <c r="BM1251" s="55"/>
      <c r="BN1251" s="50" t="n">
        <v>-13</v>
      </c>
      <c r="BO1251" s="50" t="n">
        <v>83</v>
      </c>
      <c r="BP1251" s="49" t="n">
        <v>-750.190000000001</v>
      </c>
      <c r="BQ1251" s="50" t="n">
        <v>29</v>
      </c>
      <c r="BR1251" s="48"/>
      <c r="BS1251" s="53" t="n">
        <v>0</v>
      </c>
      <c r="BT1251" s="53" t="n">
        <v>1251</v>
      </c>
      <c r="BU1251" s="48" t="str">
        <f aca="false">IF(U1251&lt;&gt;"",UPPER(TRIM(U1251)),IF(BX1251=1,UPPER(VLOOKUP(T1251,Parameter!$I$27:$K$29,2,0)),IF(P1251="","LOSE",P1251)))</f>
        <v>S52</v>
      </c>
      <c r="BV1251" s="50" t="n">
        <f aca="false">IF(BU1251="LOSE",1,IF(N(V1251)&gt;0,V1251,IF(BX1251=1,MAX(1,N(VLOOKUP(T1251,Parameter!$I$27:$K$29,3,0)),H1251,N(N1251)),IF(N(Q1251)&gt;0,Q1251,MAX(1,H1251)))))</f>
        <v>90</v>
      </c>
      <c r="BW1251" s="53" t="n">
        <f aca="false">IF(BU1251="LOSE",1,0)</f>
        <v>0</v>
      </c>
      <c r="BX1251" s="53" t="n">
        <f aca="false">IF(AND(U1251="",OR(P1251="",P1251="LOSE"),T1251&lt;&gt;"",N(S1251)&lt;=0,ISNUMBER(MATCH(T1251,Parameter!$I$27:$I$29,0))),1,0)</f>
        <v>0</v>
      </c>
      <c r="BY1251" s="53" t="n">
        <f aca="false">IF(CL1251&gt;0,INDEX(Parameter!$H$5:$H$7,W1251)/INDEX(Parameter!$E$5:$E$7,W1251),IF(AND(BW1251=0,N(IFERROR(VLOOKUP(BU1251,'Gebinde-Kategorie'!$A$5:$N$45,14,0),0))&gt;0),VLOOKUP(BU1251,'Gebinde-Kategorie'!$A$5:$N$45,14,0)*10+Parameter!$M$23,Parameter!$M$24))</f>
        <v>245</v>
      </c>
      <c r="BZ1251" s="48" t="str">
        <f aca="false">IF(AND(Parameter!$B$19="Ja",E1251&lt;&gt;"",ISNUMBER(MATCH(E1251,Parameter!$I$35:$I$52,0))),VLOOKUP(E1251,Parameter!$I$35:$J$52,2,0),IFERROR(VLOOKUP(D1251,Parameter!$A$35:$C$64,2,0),"Nein"))</f>
        <v>2+3</v>
      </c>
      <c r="CA1251" s="52" t="n">
        <f aca="false">IF(BW1251=0,0,IF(N(S1251)&gt;0,S1251,IFERROR(VLOOKUP(D1251,Parameter!$A$35:$C$64,3,0)+0,0)))</f>
        <v>0</v>
      </c>
      <c r="CB1251" s="48" t="n">
        <f aca="false">IF(AA1251&lt;&gt;"",AA1251,Z1251)</f>
        <v>3</v>
      </c>
      <c r="CC1251" s="48" t="str">
        <f aca="false">IF(OR(CB1251=1,CB1251=2,CB1251=3),IF(Parameter!$E$27="Ja","LIFT",IF(CB1251=1,"L1","L23")),IF(CB1251="Aussen","Aussen","-"))</f>
        <v>LIFT</v>
      </c>
      <c r="CD1251" s="59" t="n">
        <f aca="false">IF(N(AB1251)&gt;0,AB1251,0)</f>
        <v>0</v>
      </c>
      <c r="CE1251" s="53" t="n">
        <f aca="false">IF(ISNUMBER(AE1251),1,0)</f>
        <v>0</v>
      </c>
      <c r="CF1251" s="50" t="n">
        <f aca="false">N(AE1251)</f>
        <v>0</v>
      </c>
      <c r="CG1251" s="50" t="n">
        <f aca="false">N(M1251)+N(N1251)</f>
        <v>34</v>
      </c>
      <c r="CH1251" s="50" t="n">
        <f aca="false">ROUNDUP(H1251/BV1251,0)</f>
        <v>1</v>
      </c>
      <c r="CI1251" s="50" t="n">
        <f aca="false">ROUNDUP(CF1251/BV1251,0)</f>
        <v>0</v>
      </c>
      <c r="CJ1251" s="53" t="n">
        <f aca="false">IF(BW1251=1,0,IFERROR(VLOOKUP(BU1251,'Gebinde-Kategorie'!$A$5:$N$45,5,0)+0,0))</f>
        <v>21</v>
      </c>
      <c r="CK1251" s="53" t="n">
        <f aca="false">IFERROR(IF(OR(CB1251=1,CB1251=2,CB1251=3),N(INDEX(Parameter!$I$5:$I$7,CB1251)),0),0)</f>
        <v>0</v>
      </c>
      <c r="CL1251" s="52" t="n">
        <f aca="false">IF(AND(Parameter!$B$21="Ja",ISNUMBER(W1251),N(X1251)&gt;0),IFERROR(N(INDEX(Parameter!$L$5:$L$7,W1251))*INDEX(Parameter!$E$5:$E$7,W1251)*X1251/SUMIFS($X$7:$X$1843,$W$7:$W$1843,W1251),0),0)</f>
        <v>0</v>
      </c>
    </row>
    <row r="1252" customFormat="false" ht="15" hidden="false" customHeight="false" outlineLevel="0" collapsed="false">
      <c r="A1252" s="48" t="s">
        <v>2242</v>
      </c>
      <c r="B1252" s="48" t="s">
        <v>1529</v>
      </c>
      <c r="C1252" s="48" t="s">
        <v>168</v>
      </c>
      <c r="D1252" s="48" t="s">
        <v>188</v>
      </c>
      <c r="E1252" s="48"/>
      <c r="F1252" s="48" t="s">
        <v>222</v>
      </c>
      <c r="G1252" s="49" t="n">
        <v>1.67</v>
      </c>
      <c r="H1252" s="50" t="n">
        <f aca="false">MAX(0,IF(AND(Parameter!$B$21="Ja",ISNUMBER(Y1252)),Y1252,IF(Parameter!$B$20="Jahresanfang 2025 + Export",BO1252+BN1252,BN1252)))</f>
        <v>48</v>
      </c>
      <c r="I1252" s="50" t="n">
        <f aca="false">H1252*G1252</f>
        <v>80.16</v>
      </c>
      <c r="J1252" s="50" t="n">
        <f aca="false">BQ1252*Parameter!$B$18</f>
        <v>206</v>
      </c>
      <c r="K1252" s="51" t="n">
        <v>397.5</v>
      </c>
      <c r="L1252" s="52" t="n">
        <v>0.518238993710692</v>
      </c>
      <c r="M1252" s="50" t="n">
        <v>12</v>
      </c>
      <c r="N1252" s="50" t="n">
        <v>250</v>
      </c>
      <c r="O1252" s="53" t="n">
        <v>105</v>
      </c>
      <c r="P1252" s="48" t="s">
        <v>172</v>
      </c>
      <c r="Q1252" s="50"/>
      <c r="R1252" s="53" t="n">
        <f aca="false">IF(BW1252=1,0,IFERROR(VLOOKUP(BU1252,'Gebinde-Kategorie'!$A$5:$N$45,13,0)+0,0))</f>
        <v>26</v>
      </c>
      <c r="S1252" s="54"/>
      <c r="T1252" s="55" t="s">
        <v>279</v>
      </c>
      <c r="U1252" s="55"/>
      <c r="V1252" s="55"/>
      <c r="W1252" s="48"/>
      <c r="X1252" s="50"/>
      <c r="Y1252" s="50"/>
      <c r="Z1252" s="48" t="n">
        <f aca="false">IF(A1252="","",IF(AND(Parameter!$B$21="Ja",ISNUMBER(W1252)),W1252,IF(BZ1252="2+3",IF(ISNUMBER(SEARCH("grosser Artikel",BR1252)),2,IFERROR(VLOOKUP(BU1252,Parameter!$F$35:$G$64,2,0),2)),IF(OR(BZ1252="Nein",BZ1252=""),"-",BZ1252))))</f>
        <v>3</v>
      </c>
      <c r="AA1252" s="55"/>
      <c r="AB1252" s="56"/>
      <c r="AC1252" s="50" t="n">
        <f aca="false">AT1252</f>
        <v>500</v>
      </c>
      <c r="AD1252" s="50" t="n">
        <f aca="false">MAX(AT1252,H1252)</f>
        <v>500</v>
      </c>
      <c r="AE1252" s="57"/>
      <c r="AF1252" s="50" t="n">
        <f aca="false">IF(LEFT(Cockpit!$C$5,1)="A",H1252,IF(CE1252=1,CF1252,IF(LEFT(Cockpit!$C$5,1)="B",AK1252,MAX(AK1252,H1252))))</f>
        <v>48</v>
      </c>
      <c r="AG1252" s="50" t="n">
        <f aca="false">IF(BW1252=1,0,ROUNDUP(AF1252/BV1252,0))</f>
        <v>1</v>
      </c>
      <c r="AH1252" s="52" t="n">
        <f aca="false">IF(CL1252&gt;0,CL1252*MAX(1,AF1252/X1252),IF(BW1252=1,IF(AF1252&lt;=0,0,CA1252*MAX(1,IF(H1252&gt;0,AF1252/H1252,1))),IF(R1252&gt;0,AG1252/R1252,0))/MAX(0.1,N(Parameter!$M$21)))</f>
        <v>0.0384615384615385</v>
      </c>
      <c r="AI1252" s="50" t="n">
        <f aca="false">AH1252*BY1252</f>
        <v>5.96153846153846</v>
      </c>
      <c r="AJ1252" s="50" t="n">
        <f aca="false">AF1252*G1252</f>
        <v>80.16</v>
      </c>
      <c r="AK1252" s="50" t="n">
        <f aca="false">ROUNDUP(MAX(J1252/IF(CD1252&gt;0,CD1252,MAX(0.1,N(Cockpit!$C$6))),CG1252)/BV1252,0)*BV1252</f>
        <v>500</v>
      </c>
      <c r="AL1252" s="51" t="n">
        <f aca="false">IF(AI1252&gt;0,J1252/AI1252,-1)</f>
        <v>34.5548387096774</v>
      </c>
      <c r="AM1252" s="51" t="n">
        <f aca="false">IF(AND(OR(CC1252="L1",CC1252="L23",CC1252="LIFT"),AI1252&gt;0),SUMIFS($AI$7:$AI$1843,$CC$7:$CC$1843,CC1252,$AL$7:$AL$1843,"&gt;"&amp;AL1252)+SUMIFS($AI$7:$AI$1843,$CC$7:$CC$1843,CC1252,$AL$7:$AL$1843,AL1252,$BT$7:$BT$1843,"&lt;="&amp;BT1252),"")</f>
        <v>1307.69917582418</v>
      </c>
      <c r="AN1252" s="58" t="n">
        <f aca="false">IF(AM1252="",0,MAX(0,MIN(1,(IF(CC1252="L1",Parameter!$H$5,IF(CC1252="L23",Parameter!$H$6+Parameter!$H$7,Parameter!$H$5+Parameter!$H$6+Parameter!$H$7))-(AM1252-AI1252))/AI1252)))</f>
        <v>1</v>
      </c>
      <c r="AO1252" s="50" t="n">
        <f aca="false">IF(LEFT(Cockpit!$I$5,1)="A",H1252,IF(CE1252=1,CF1252,IF(LEFT(Cockpit!$I$5,1)="B",AT1252,MAX(AT1252,H1252))))</f>
        <v>500</v>
      </c>
      <c r="AP1252" s="50" t="n">
        <f aca="false">IF(BW1252=1,0,ROUNDUP(AO1252/BV1252,0))</f>
        <v>2</v>
      </c>
      <c r="AQ1252" s="52" t="n">
        <f aca="false">IF(CL1252&gt;0,CL1252*MAX(1,AO1252/X1252),IF(BW1252=1,IF(AO1252&lt;=0,0,CA1252*MAX(1,IF(H1252&gt;0,AO1252/H1252,1))),IF(R1252&gt;0,AP1252/R1252,0))/MAX(0.1,N(Parameter!$M$21)))</f>
        <v>0.0769230769230769</v>
      </c>
      <c r="AR1252" s="50" t="n">
        <f aca="false">AQ1252*BY1252</f>
        <v>11.9230769230769</v>
      </c>
      <c r="AS1252" s="50" t="n">
        <f aca="false">AO1252*G1252</f>
        <v>835</v>
      </c>
      <c r="AT1252" s="50" t="n">
        <f aca="false">ROUNDUP(MAX(J1252/IF(CD1252&gt;0,CD1252,MAX(0.1,N(Cockpit!$I$6))),CG1252)/BV1252,0)*BV1252</f>
        <v>500</v>
      </c>
      <c r="AU1252" s="51" t="n">
        <f aca="false">IF(AR1252&gt;0,J1252/AR1252,-1)</f>
        <v>17.2774193548387</v>
      </c>
      <c r="AV1252" s="51" t="n">
        <f aca="false">IF(AND(OR(CC1252="L1",CC1252="L23",CC1252="LIFT"),AR1252&gt;0),SUMIFS($AR$7:$AR$1843,$CC$7:$CC$1843,CC1252,$AU$7:$AU$1843,"&gt;"&amp;AU1252)+SUMIFS($AR$7:$AR$1843,$CC$7:$CC$1843,CC1252,$AU$7:$AU$1843,AU1252,$BT$7:$BT$1843,"&lt;="&amp;BT1252),"")</f>
        <v>2866.97893772894</v>
      </c>
      <c r="AW1252" s="58" t="n">
        <f aca="false">IF(AV1252="",0,MAX(0,MIN(1,(IF(CC1252="L1",Parameter!$H$5,IF(CC1252="L23",Parameter!$H$6+Parameter!$H$7,Parameter!$H$5+Parameter!$H$6+Parameter!$H$7))-(AV1252-AR1252))/AR1252)))</f>
        <v>1</v>
      </c>
      <c r="AX1252" s="50" t="n">
        <f aca="false">IF(LEFT(Cockpit!$O$5,1)="A",H1252,IF(CE1252=1,CF1252,IF(LEFT(Cockpit!$O$5,1)="B",BC1252,MAX(BC1252,H1252))))</f>
        <v>500</v>
      </c>
      <c r="AY1252" s="50" t="n">
        <f aca="false">IF(BW1252=1,0,ROUNDUP(AX1252/BV1252,0))</f>
        <v>2</v>
      </c>
      <c r="AZ1252" s="52" t="n">
        <f aca="false">IF(CL1252&gt;0,CL1252*MAX(1,AX1252/X1252),IF(BW1252=1,IF(AX1252&lt;=0,0,CA1252*MAX(1,IF(H1252&gt;0,AX1252/H1252,1))),IF(R1252&gt;0,AY1252/R1252,0))/MAX(0.1,N(Parameter!$M$21)))</f>
        <v>0.0769230769230769</v>
      </c>
      <c r="BA1252" s="50" t="n">
        <f aca="false">AZ1252*BY1252</f>
        <v>11.9230769230769</v>
      </c>
      <c r="BB1252" s="50" t="n">
        <f aca="false">AX1252*G1252</f>
        <v>835</v>
      </c>
      <c r="BC1252" s="50" t="n">
        <f aca="false">ROUNDUP(MAX(J1252/IF(CD1252&gt;0,CD1252,MAX(0.1,N(Cockpit!$O$6))),CG1252)/BV1252,0)*BV1252</f>
        <v>500</v>
      </c>
      <c r="BD1252" s="51" t="n">
        <f aca="false">IF(BA1252&gt;0,J1252/BA1252,-1)</f>
        <v>17.2774193548387</v>
      </c>
      <c r="BE1252" s="51" t="n">
        <f aca="false">IF(AND(OR(CC1252="L1",CC1252="L23",CC1252="LIFT"),BA1252&gt;0),SUMIFS($BA$7:$BA$1843,$CC$7:$CC$1843,CC1252,$BD$7:$BD$1843,"&gt;"&amp;BD1252)+SUMIFS($BA$7:$BA$1843,$CC$7:$CC$1843,CC1252,$BD$7:$BD$1843,BD1252,$BT$7:$BT$1843,"&lt;="&amp;BT1252),"")</f>
        <v>2686.41804029304</v>
      </c>
      <c r="BF1252" s="58" t="n">
        <f aca="false">IF(BE1252="",0,MAX(0,MIN(1,(IF(CC1252="L1",Parameter!$H$5,IF(CC1252="L23",Parameter!$H$6+Parameter!$H$7,Parameter!$H$5+Parameter!$H$6+Parameter!$H$7))-(BE1252-BA1252))/BA1252)))</f>
        <v>1</v>
      </c>
      <c r="BG1252" s="48" t="str">
        <f aca="false">IF(AI1252&lt;=0,"",IF(CC1252="Aussen","Aussenlager",IF(CC1252="-","Nicht im Lift",IF(AN1252&gt;=1,"Lift",IF(AN1252&lt;=0,"Aussenlager","teilweise")))))</f>
        <v>Lift</v>
      </c>
      <c r="BH1252" s="48" t="str">
        <f aca="false">IF(AR1252&lt;=0,"",IF(CC1252="Aussen","Aussenlager",IF(CC1252="-","Nicht im Lift",IF(AW1252&gt;=1,"Lift",IF(AW1252&lt;=0,"Aussenlager","teilweise")))))</f>
        <v>Lift</v>
      </c>
      <c r="BI1252" s="48" t="str">
        <f aca="false">IF(BA1252&lt;=0,"",IF(CC1252="Aussen","Aussenlager",IF(CC1252="-","Nicht im Lift",IF(BF1252&gt;=1,"Lift",IF(BF1252&lt;=0,"Aussenlager","teilweise")))))</f>
        <v>Lift</v>
      </c>
      <c r="BJ1252" s="48" t="str">
        <f aca="false">IF(A1252="","",IF(BS1252=1,"Neu; ","")&amp;IF(AND(BS1252=0,BN1252&lt;0),"negativer Bestand (Export "&amp;BN1252&amp;"); ","")&amp;IF(J1252&lt;=0,"Kein Verbrauch; ","")&amp;IF(CL1252&gt;0,"Lift "&amp;W1252&amp;" lt. Liftbericht (Fach "&amp;X1252&amp;" Stk); ",IF(BX1252=1,"Gebinde geschätzt ("&amp;T1252&amp;"); ",IF(BW1252=1,"Lose – Tablare geschätzt; ","")))&amp;IF(H1252&gt;AT1252,"Überbestand "&amp;ROUND(H1252-AT1252,0)&amp;" Stk / CHF "&amp;ROUND((H1252-AT1252)*G1252,0)&amp;"; ","")&amp;IF(AND(CE1252=1,CF1252&lt;CG1252),"MAX &lt; MB+LG; ","")&amp;IF(AND(CK1252&gt;0,CJ1252*10&gt;CK1252),"zu hoch für Tablar; ","")&amp;IF(AND(BS1252=0,OR(CE1252=1,AA1252&lt;&gt;"",U1252&lt;&gt;"",V1252&lt;&gt;"",AB1252&lt;&gt;"")),"manuell übersteuert; ","")&amp;IF(AND(BW1252=0,R1252=0),"Gebinde unbekannt / Stellmass fehlt; ","")&amp;IF(AND(BW1252=0,N(V1252)&lt;=0,N(Q1252)&lt;=0),"Menge pro Gebinde fehlt (Ist = 1 Gebinde); ","")&amp;BR1252)</f>
        <v>negativer Bestand (Export -452); Gebinde geschätzt (Klein); Menge pro Gebinde fehlt (Ist = 1 Gebinde); </v>
      </c>
      <c r="BK1252" s="48"/>
      <c r="BL1252" s="48"/>
      <c r="BM1252" s="55"/>
      <c r="BN1252" s="50" t="n">
        <v>-452</v>
      </c>
      <c r="BO1252" s="50" t="n">
        <v>500</v>
      </c>
      <c r="BP1252" s="49" t="n">
        <v>-754.84</v>
      </c>
      <c r="BQ1252" s="50" t="n">
        <v>206</v>
      </c>
      <c r="BR1252" s="48"/>
      <c r="BS1252" s="53" t="n">
        <v>0</v>
      </c>
      <c r="BT1252" s="53" t="n">
        <v>1252</v>
      </c>
      <c r="BU1252" s="48" t="str">
        <f aca="false">IF(U1252&lt;&gt;"",UPPER(TRIM(U1252)),IF(BX1252=1,UPPER(VLOOKUP(T1252,Parameter!$I$27:$K$29,2,0)),IF(P1252="","LOSE",P1252)))</f>
        <v>S51</v>
      </c>
      <c r="BV1252" s="50" t="n">
        <f aca="false">IF(BU1252="LOSE",1,IF(N(V1252)&gt;0,V1252,IF(BX1252=1,MAX(1,N(VLOOKUP(T1252,Parameter!$I$27:$K$29,3,0)),H1252,N(N1252)),IF(N(Q1252)&gt;0,Q1252,MAX(1,H1252)))))</f>
        <v>250</v>
      </c>
      <c r="BW1252" s="53" t="n">
        <f aca="false">IF(BU1252="LOSE",1,0)</f>
        <v>0</v>
      </c>
      <c r="BX1252" s="53" t="n">
        <f aca="false">IF(AND(U1252="",OR(P1252="",P1252="LOSE"),T1252&lt;&gt;"",N(S1252)&lt;=0,ISNUMBER(MATCH(T1252,Parameter!$I$27:$I$29,0))),1,0)</f>
        <v>1</v>
      </c>
      <c r="BY1252" s="53" t="n">
        <f aca="false">IF(CL1252&gt;0,INDEX(Parameter!$H$5:$H$7,W1252)/INDEX(Parameter!$E$5:$E$7,W1252),IF(AND(BW1252=0,N(IFERROR(VLOOKUP(BU1252,'Gebinde-Kategorie'!$A$5:$N$45,14,0),0))&gt;0),VLOOKUP(BU1252,'Gebinde-Kategorie'!$A$5:$N$45,14,0)*10+Parameter!$M$23,Parameter!$M$24))</f>
        <v>155</v>
      </c>
      <c r="BZ1252" s="48" t="str">
        <f aca="false">IF(AND(Parameter!$B$19="Ja",E1252&lt;&gt;"",ISNUMBER(MATCH(E1252,Parameter!$I$35:$I$52,0))),VLOOKUP(E1252,Parameter!$I$35:$J$52,2,0),IFERROR(VLOOKUP(D1252,Parameter!$A$35:$C$64,2,0),"Nein"))</f>
        <v>2+3</v>
      </c>
      <c r="CA1252" s="52" t="n">
        <f aca="false">IF(BW1252=0,0,IF(N(S1252)&gt;0,S1252,IFERROR(VLOOKUP(D1252,Parameter!$A$35:$C$64,3,0)+0,0)))</f>
        <v>0</v>
      </c>
      <c r="CB1252" s="48" t="n">
        <f aca="false">IF(AA1252&lt;&gt;"",AA1252,Z1252)</f>
        <v>3</v>
      </c>
      <c r="CC1252" s="48" t="str">
        <f aca="false">IF(OR(CB1252=1,CB1252=2,CB1252=3),IF(Parameter!$E$27="Ja","LIFT",IF(CB1252=1,"L1","L23")),IF(CB1252="Aussen","Aussen","-"))</f>
        <v>LIFT</v>
      </c>
      <c r="CD1252" s="59" t="n">
        <f aca="false">IF(N(AB1252)&gt;0,AB1252,0)</f>
        <v>0</v>
      </c>
      <c r="CE1252" s="53" t="n">
        <f aca="false">IF(ISNUMBER(AE1252),1,0)</f>
        <v>0</v>
      </c>
      <c r="CF1252" s="50" t="n">
        <f aca="false">N(AE1252)</f>
        <v>0</v>
      </c>
      <c r="CG1252" s="50" t="n">
        <f aca="false">N(M1252)+N(N1252)</f>
        <v>262</v>
      </c>
      <c r="CH1252" s="50" t="n">
        <f aca="false">ROUNDUP(H1252/BV1252,0)</f>
        <v>1</v>
      </c>
      <c r="CI1252" s="50" t="n">
        <f aca="false">ROUNDUP(CF1252/BV1252,0)</f>
        <v>0</v>
      </c>
      <c r="CJ1252" s="53" t="n">
        <f aca="false">IF(BW1252=1,0,IFERROR(VLOOKUP(BU1252,'Gebinde-Kategorie'!$A$5:$N$45,5,0)+0,0))</f>
        <v>11</v>
      </c>
      <c r="CK1252" s="53" t="n">
        <f aca="false">IFERROR(IF(OR(CB1252=1,CB1252=2,CB1252=3),N(INDEX(Parameter!$I$5:$I$7,CB1252)),0),0)</f>
        <v>0</v>
      </c>
      <c r="CL1252" s="52" t="n">
        <f aca="false">IF(AND(Parameter!$B$21="Ja",ISNUMBER(W1252),N(X1252)&gt;0),IFERROR(N(INDEX(Parameter!$L$5:$L$7,W1252))*INDEX(Parameter!$E$5:$E$7,W1252)*X1252/SUMIFS($X$7:$X$1843,$W$7:$W$1843,W1252),0),0)</f>
        <v>0</v>
      </c>
    </row>
    <row r="1253" customFormat="false" ht="15" hidden="false" customHeight="false" outlineLevel="0" collapsed="false">
      <c r="A1253" s="48" t="s">
        <v>2243</v>
      </c>
      <c r="B1253" s="48" t="s">
        <v>226</v>
      </c>
      <c r="C1253" s="48" t="s">
        <v>168</v>
      </c>
      <c r="D1253" s="48" t="s">
        <v>177</v>
      </c>
      <c r="E1253" s="48" t="s">
        <v>177</v>
      </c>
      <c r="F1253" s="48" t="s">
        <v>222</v>
      </c>
      <c r="G1253" s="49" t="n">
        <v>118.58</v>
      </c>
      <c r="H1253" s="50" t="n">
        <f aca="false">MAX(0,IF(AND(Parameter!$B$21="Ja",ISNUMBER(Y1253)),Y1253,IF(Parameter!$B$20="Jahresanfang 2025 + Export",BO1253+BN1253,BN1253)))</f>
        <v>16</v>
      </c>
      <c r="I1253" s="50" t="n">
        <f aca="false">H1253*G1253</f>
        <v>1897.28</v>
      </c>
      <c r="J1253" s="50" t="n">
        <f aca="false">BQ1253*Parameter!$B$18</f>
        <v>17</v>
      </c>
      <c r="K1253" s="51" t="n">
        <v>18</v>
      </c>
      <c r="L1253" s="52" t="n">
        <v>0.944444444444444</v>
      </c>
      <c r="M1253" s="50" t="n">
        <v>0</v>
      </c>
      <c r="N1253" s="50" t="n">
        <v>15</v>
      </c>
      <c r="O1253" s="53" t="n">
        <v>21</v>
      </c>
      <c r="P1253" s="48" t="s">
        <v>227</v>
      </c>
      <c r="Q1253" s="50" t="n">
        <v>40</v>
      </c>
      <c r="R1253" s="53" t="n">
        <f aca="false">IF(BW1253=1,0,IFERROR(VLOOKUP(BU1253,'Gebinde-Kategorie'!$A$5:$N$45,13,0)+0,0))</f>
        <v>4</v>
      </c>
      <c r="S1253" s="54"/>
      <c r="T1253" s="55"/>
      <c r="U1253" s="55"/>
      <c r="V1253" s="55"/>
      <c r="W1253" s="48"/>
      <c r="X1253" s="50"/>
      <c r="Y1253" s="50"/>
      <c r="Z1253" s="48" t="str">
        <f aca="false">IF(A1253="","",IF(AND(Parameter!$B$21="Ja",ISNUMBER(W1253)),W1253,IF(BZ1253="2+3",IF(ISNUMBER(SEARCH("grosser Artikel",BR1253)),2,IFERROR(VLOOKUP(BU1253,Parameter!$F$35:$G$64,2,0),2)),IF(OR(BZ1253="Nein",BZ1253=""),"-",BZ1253))))</f>
        <v>-</v>
      </c>
      <c r="AA1253" s="55"/>
      <c r="AB1253" s="56"/>
      <c r="AC1253" s="50" t="n">
        <f aca="false">AT1253</f>
        <v>40</v>
      </c>
      <c r="AD1253" s="50" t="n">
        <f aca="false">MAX(AT1253,H1253)</f>
        <v>40</v>
      </c>
      <c r="AE1253" s="57"/>
      <c r="AF1253" s="50" t="n">
        <f aca="false">IF(LEFT(Cockpit!$C$5,1)="A",H1253,IF(CE1253=1,CF1253,IF(LEFT(Cockpit!$C$5,1)="B",AK1253,MAX(AK1253,H1253))))</f>
        <v>16</v>
      </c>
      <c r="AG1253" s="50" t="n">
        <f aca="false">IF(BW1253=1,0,ROUNDUP(AF1253/BV1253,0))</f>
        <v>1</v>
      </c>
      <c r="AH1253" s="52" t="n">
        <f aca="false">IF(CL1253&gt;0,CL1253*MAX(1,AF1253/X1253),IF(BW1253=1,IF(AF1253&lt;=0,0,CA1253*MAX(1,IF(H1253&gt;0,AF1253/H1253,1))),IF(R1253&gt;0,AG1253/R1253,0))/MAX(0.1,N(Parameter!$M$21)))</f>
        <v>0.25</v>
      </c>
      <c r="AI1253" s="50" t="n">
        <f aca="false">AH1253*BY1253</f>
        <v>58.75</v>
      </c>
      <c r="AJ1253" s="50" t="n">
        <f aca="false">AF1253*G1253</f>
        <v>1897.28</v>
      </c>
      <c r="AK1253" s="50" t="n">
        <f aca="false">ROUNDUP(MAX(J1253/IF(CD1253&gt;0,CD1253,MAX(0.1,N(Cockpit!$C$6))),CG1253)/BV1253,0)*BV1253</f>
        <v>40</v>
      </c>
      <c r="AL1253" s="51" t="n">
        <f aca="false">IF(AI1253&gt;0,J1253/AI1253,-1)</f>
        <v>0.28936170212766</v>
      </c>
      <c r="AM1253" s="51" t="str">
        <f aca="false">IF(AND(OR(CC1253="L1",CC1253="L23",CC1253="LIFT"),AI1253&gt;0),SUMIFS($AI$7:$AI$1843,$CC$7:$CC$1843,CC1253,$AL$7:$AL$1843,"&gt;"&amp;AL1253)+SUMIFS($AI$7:$AI$1843,$CC$7:$CC$1843,CC1253,$AL$7:$AL$1843,AL1253,$BT$7:$BT$1843,"&lt;="&amp;BT1253),"")</f>
        <v/>
      </c>
      <c r="AN1253" s="58" t="n">
        <f aca="false">IF(AM1253="",0,MAX(0,MIN(1,(IF(CC1253="L1",Parameter!$H$5,IF(CC1253="L23",Parameter!$H$6+Parameter!$H$7,Parameter!$H$5+Parameter!$H$6+Parameter!$H$7))-(AM1253-AI1253))/AI1253)))</f>
        <v>0</v>
      </c>
      <c r="AO1253" s="50" t="n">
        <f aca="false">IF(LEFT(Cockpit!$I$5,1)="A",H1253,IF(CE1253=1,CF1253,IF(LEFT(Cockpit!$I$5,1)="B",AT1253,MAX(AT1253,H1253))))</f>
        <v>40</v>
      </c>
      <c r="AP1253" s="50" t="n">
        <f aca="false">IF(BW1253=1,0,ROUNDUP(AO1253/BV1253,0))</f>
        <v>1</v>
      </c>
      <c r="AQ1253" s="52" t="n">
        <f aca="false">IF(CL1253&gt;0,CL1253*MAX(1,AO1253/X1253),IF(BW1253=1,IF(AO1253&lt;=0,0,CA1253*MAX(1,IF(H1253&gt;0,AO1253/H1253,1))),IF(R1253&gt;0,AP1253/R1253,0))/MAX(0.1,N(Parameter!$M$21)))</f>
        <v>0.25</v>
      </c>
      <c r="AR1253" s="50" t="n">
        <f aca="false">AQ1253*BY1253</f>
        <v>58.75</v>
      </c>
      <c r="AS1253" s="50" t="n">
        <f aca="false">AO1253*G1253</f>
        <v>4743.2</v>
      </c>
      <c r="AT1253" s="50" t="n">
        <f aca="false">ROUNDUP(MAX(J1253/IF(CD1253&gt;0,CD1253,MAX(0.1,N(Cockpit!$I$6))),CG1253)/BV1253,0)*BV1253</f>
        <v>40</v>
      </c>
      <c r="AU1253" s="51" t="n">
        <f aca="false">IF(AR1253&gt;0,J1253/AR1253,-1)</f>
        <v>0.28936170212766</v>
      </c>
      <c r="AV1253" s="51" t="str">
        <f aca="false">IF(AND(OR(CC1253="L1",CC1253="L23",CC1253="LIFT"),AR1253&gt;0),SUMIFS($AR$7:$AR$1843,$CC$7:$CC$1843,CC1253,$AU$7:$AU$1843,"&gt;"&amp;AU1253)+SUMIFS($AR$7:$AR$1843,$CC$7:$CC$1843,CC1253,$AU$7:$AU$1843,AU1253,$BT$7:$BT$1843,"&lt;="&amp;BT1253),"")</f>
        <v/>
      </c>
      <c r="AW1253" s="58" t="n">
        <f aca="false">IF(AV1253="",0,MAX(0,MIN(1,(IF(CC1253="L1",Parameter!$H$5,IF(CC1253="L23",Parameter!$H$6+Parameter!$H$7,Parameter!$H$5+Parameter!$H$6+Parameter!$H$7))-(AV1253-AR1253))/AR1253)))</f>
        <v>0</v>
      </c>
      <c r="AX1253" s="50" t="n">
        <f aca="false">IF(LEFT(Cockpit!$O$5,1)="A",H1253,IF(CE1253=1,CF1253,IF(LEFT(Cockpit!$O$5,1)="B",BC1253,MAX(BC1253,H1253))))</f>
        <v>40</v>
      </c>
      <c r="AY1253" s="50" t="n">
        <f aca="false">IF(BW1253=1,0,ROUNDUP(AX1253/BV1253,0))</f>
        <v>1</v>
      </c>
      <c r="AZ1253" s="52" t="n">
        <f aca="false">IF(CL1253&gt;0,CL1253*MAX(1,AX1253/X1253),IF(BW1253=1,IF(AX1253&lt;=0,0,CA1253*MAX(1,IF(H1253&gt;0,AX1253/H1253,1))),IF(R1253&gt;0,AY1253/R1253,0))/MAX(0.1,N(Parameter!$M$21)))</f>
        <v>0.25</v>
      </c>
      <c r="BA1253" s="50" t="n">
        <f aca="false">AZ1253*BY1253</f>
        <v>58.75</v>
      </c>
      <c r="BB1253" s="50" t="n">
        <f aca="false">AX1253*G1253</f>
        <v>4743.2</v>
      </c>
      <c r="BC1253" s="50" t="n">
        <f aca="false">ROUNDUP(MAX(J1253/IF(CD1253&gt;0,CD1253,MAX(0.1,N(Cockpit!$O$6))),CG1253)/BV1253,0)*BV1253</f>
        <v>40</v>
      </c>
      <c r="BD1253" s="51" t="n">
        <f aca="false">IF(BA1253&gt;0,J1253/BA1253,-1)</f>
        <v>0.28936170212766</v>
      </c>
      <c r="BE1253" s="51" t="str">
        <f aca="false">IF(AND(OR(CC1253="L1",CC1253="L23",CC1253="LIFT"),BA1253&gt;0),SUMIFS($BA$7:$BA$1843,$CC$7:$CC$1843,CC1253,$BD$7:$BD$1843,"&gt;"&amp;BD1253)+SUMIFS($BA$7:$BA$1843,$CC$7:$CC$1843,CC1253,$BD$7:$BD$1843,BD1253,$BT$7:$BT$1843,"&lt;="&amp;BT1253),"")</f>
        <v/>
      </c>
      <c r="BF1253" s="58" t="n">
        <f aca="false">IF(BE1253="",0,MAX(0,MIN(1,(IF(CC1253="L1",Parameter!$H$5,IF(CC1253="L23",Parameter!$H$6+Parameter!$H$7,Parameter!$H$5+Parameter!$H$6+Parameter!$H$7))-(BE1253-BA1253))/BA1253)))</f>
        <v>0</v>
      </c>
      <c r="BG1253" s="48" t="str">
        <f aca="false">IF(AI1253&lt;=0,"",IF(CC1253="Aussen","Aussenlager",IF(CC1253="-","Nicht im Lift",IF(AN1253&gt;=1,"Lift",IF(AN1253&lt;=0,"Aussenlager","teilweise")))))</f>
        <v>Nicht im Lift</v>
      </c>
      <c r="BH1253" s="48" t="str">
        <f aca="false">IF(AR1253&lt;=0,"",IF(CC1253="Aussen","Aussenlager",IF(CC1253="-","Nicht im Lift",IF(AW1253&gt;=1,"Lift",IF(AW1253&lt;=0,"Aussenlager","teilweise")))))</f>
        <v>Nicht im Lift</v>
      </c>
      <c r="BI1253" s="48" t="str">
        <f aca="false">IF(BA1253&lt;=0,"",IF(CC1253="Aussen","Aussenlager",IF(CC1253="-","Nicht im Lift",IF(BF1253&gt;=1,"Lift",IF(BF1253&lt;=0,"Aussenlager","teilweise")))))</f>
        <v>Nicht im Lift</v>
      </c>
      <c r="BJ1253" s="48" t="str">
        <f aca="false">IF(A1253="","",IF(BS1253=1,"Neu; ","")&amp;IF(AND(BS1253=0,BN1253&lt;0),"negativer Bestand (Export "&amp;BN1253&amp;"); ","")&amp;IF(J1253&lt;=0,"Kein Verbrauch; ","")&amp;IF(CL1253&gt;0,"Lift "&amp;W1253&amp;" lt. Liftbericht (Fach "&amp;X1253&amp;" Stk); ",IF(BX1253=1,"Gebinde geschätzt ("&amp;T1253&amp;"); ",IF(BW1253=1,"Lose – Tablare geschätzt; ","")))&amp;IF(H1253&gt;AT1253,"Überbestand "&amp;ROUND(H1253-AT1253,0)&amp;" Stk / CHF "&amp;ROUND((H1253-AT1253)*G1253,0)&amp;"; ","")&amp;IF(AND(CE1253=1,CF1253&lt;CG1253),"MAX &lt; MB+LG; ","")&amp;IF(AND(CK1253&gt;0,CJ1253*10&gt;CK1253),"zu hoch für Tablar; ","")&amp;IF(AND(BS1253=0,OR(CE1253=1,AA1253&lt;&gt;"",U1253&lt;&gt;"",V1253&lt;&gt;"",AB1253&lt;&gt;"")),"manuell übersteuert; ","")&amp;IF(AND(BW1253=0,R1253=0),"Gebinde unbekannt / Stellmass fehlt; ","")&amp;IF(AND(BW1253=0,N(V1253)&lt;=0,N(Q1253)&lt;=0),"Menge pro Gebinde fehlt (Ist = 1 Gebinde); ","")&amp;BR1253)</f>
        <v>negativer Bestand (Export -3); </v>
      </c>
      <c r="BK1253" s="48"/>
      <c r="BL1253" s="48"/>
      <c r="BM1253" s="55"/>
      <c r="BN1253" s="50" t="n">
        <v>-3</v>
      </c>
      <c r="BO1253" s="50" t="n">
        <v>19</v>
      </c>
      <c r="BP1253" s="49" t="n">
        <v>-755.309999999999</v>
      </c>
      <c r="BQ1253" s="50" t="n">
        <v>17</v>
      </c>
      <c r="BR1253" s="48"/>
      <c r="BS1253" s="53" t="n">
        <v>0</v>
      </c>
      <c r="BT1253" s="53" t="n">
        <v>1253</v>
      </c>
      <c r="BU1253" s="48" t="str">
        <f aca="false">IF(U1253&lt;&gt;"",UPPER(TRIM(U1253)),IF(BX1253=1,UPPER(VLOOKUP(T1253,Parameter!$I$27:$K$29,2,0)),IF(P1253="","LOSE",P1253)))</f>
        <v>S81</v>
      </c>
      <c r="BV1253" s="50" t="n">
        <f aca="false">IF(BU1253="LOSE",1,IF(N(V1253)&gt;0,V1253,IF(BX1253=1,MAX(1,N(VLOOKUP(T1253,Parameter!$I$27:$K$29,3,0)),H1253,N(N1253)),IF(N(Q1253)&gt;0,Q1253,MAX(1,H1253)))))</f>
        <v>40</v>
      </c>
      <c r="BW1253" s="53" t="n">
        <f aca="false">IF(BU1253="LOSE",1,0)</f>
        <v>0</v>
      </c>
      <c r="BX1253" s="53" t="n">
        <f aca="false">IF(AND(U1253="",OR(P1253="",P1253="LOSE"),T1253&lt;&gt;"",N(S1253)&lt;=0,ISNUMBER(MATCH(T1253,Parameter!$I$27:$I$29,0))),1,0)</f>
        <v>0</v>
      </c>
      <c r="BY1253" s="53" t="n">
        <f aca="false">IF(CL1253&gt;0,INDEX(Parameter!$H$5:$H$7,W1253)/INDEX(Parameter!$E$5:$E$7,W1253),IF(AND(BW1253=0,N(IFERROR(VLOOKUP(BU1253,'Gebinde-Kategorie'!$A$5:$N$45,14,0),0))&gt;0),VLOOKUP(BU1253,'Gebinde-Kategorie'!$A$5:$N$45,14,0)*10+Parameter!$M$23,Parameter!$M$24))</f>
        <v>235</v>
      </c>
      <c r="BZ1253" s="48" t="str">
        <f aca="false">IF(AND(Parameter!$B$19="Ja",E1253&lt;&gt;"",ISNUMBER(MATCH(E1253,Parameter!$I$35:$I$52,0))),VLOOKUP(E1253,Parameter!$I$35:$J$52,2,0),IFERROR(VLOOKUP(D1253,Parameter!$A$35:$C$64,2,0),"Nein"))</f>
        <v>Nein</v>
      </c>
      <c r="CA1253" s="52" t="n">
        <f aca="false">IF(BW1253=0,0,IF(N(S1253)&gt;0,S1253,IFERROR(VLOOKUP(D1253,Parameter!$A$35:$C$64,3,0)+0,0)))</f>
        <v>0</v>
      </c>
      <c r="CB1253" s="48" t="str">
        <f aca="false">IF(AA1253&lt;&gt;"",AA1253,Z1253)</f>
        <v>-</v>
      </c>
      <c r="CC1253" s="48" t="str">
        <f aca="false">IF(OR(CB1253=1,CB1253=2,CB1253=3),IF(Parameter!$E$27="Ja","LIFT",IF(CB1253=1,"L1","L23")),IF(CB1253="Aussen","Aussen","-"))</f>
        <v>-</v>
      </c>
      <c r="CD1253" s="59" t="n">
        <f aca="false">IF(N(AB1253)&gt;0,AB1253,0)</f>
        <v>0</v>
      </c>
      <c r="CE1253" s="53" t="n">
        <f aca="false">IF(ISNUMBER(AE1253),1,0)</f>
        <v>0</v>
      </c>
      <c r="CF1253" s="50" t="n">
        <f aca="false">N(AE1253)</f>
        <v>0</v>
      </c>
      <c r="CG1253" s="50" t="n">
        <f aca="false">N(M1253)+N(N1253)</f>
        <v>15</v>
      </c>
      <c r="CH1253" s="50" t="n">
        <f aca="false">ROUNDUP(H1253/BV1253,0)</f>
        <v>1</v>
      </c>
      <c r="CI1253" s="50" t="n">
        <f aca="false">ROUNDUP(CF1253/BV1253,0)</f>
        <v>0</v>
      </c>
      <c r="CJ1253" s="53" t="n">
        <f aca="false">IF(BW1253=1,0,IFERROR(VLOOKUP(BU1253,'Gebinde-Kategorie'!$A$5:$N$45,5,0)+0,0))</f>
        <v>20</v>
      </c>
      <c r="CK1253" s="53" t="n">
        <f aca="false">IFERROR(IF(OR(CB1253=1,CB1253=2,CB1253=3),N(INDEX(Parameter!$I$5:$I$7,CB1253)),0),0)</f>
        <v>0</v>
      </c>
      <c r="CL1253" s="52" t="n">
        <f aca="false">IF(AND(Parameter!$B$21="Ja",ISNUMBER(W1253),N(X1253)&gt;0),IFERROR(N(INDEX(Parameter!$L$5:$L$7,W1253))*INDEX(Parameter!$E$5:$E$7,W1253)*X1253/SUMIFS($X$7:$X$1843,$W$7:$W$1843,W1253),0),0)</f>
        <v>0</v>
      </c>
    </row>
    <row r="1254" customFormat="false" ht="15" hidden="false" customHeight="false" outlineLevel="0" collapsed="false">
      <c r="A1254" s="48" t="s">
        <v>2244</v>
      </c>
      <c r="B1254" s="48" t="s">
        <v>187</v>
      </c>
      <c r="C1254" s="48" t="s">
        <v>168</v>
      </c>
      <c r="D1254" s="48" t="s">
        <v>188</v>
      </c>
      <c r="E1254" s="48"/>
      <c r="F1254" s="48" t="s">
        <v>222</v>
      </c>
      <c r="G1254" s="49" t="n">
        <v>292.14</v>
      </c>
      <c r="H1254" s="50" t="n">
        <f aca="false">MAX(0,IF(AND(Parameter!$B$21="Ja",ISNUMBER(Y1254)),Y1254,IF(Parameter!$B$20="Jahresanfang 2025 + Export",BO1254+BN1254,BN1254)))</f>
        <v>1</v>
      </c>
      <c r="I1254" s="50" t="n">
        <f aca="false">H1254*G1254</f>
        <v>292.14</v>
      </c>
      <c r="J1254" s="50" t="n">
        <f aca="false">BQ1254*Parameter!$B$18</f>
        <v>3</v>
      </c>
      <c r="K1254" s="51" t="n">
        <v>2.5</v>
      </c>
      <c r="L1254" s="52" t="n">
        <v>1.2</v>
      </c>
      <c r="M1254" s="50" t="n">
        <v>0</v>
      </c>
      <c r="N1254" s="50" t="n">
        <v>5</v>
      </c>
      <c r="O1254" s="53" t="n">
        <v>28</v>
      </c>
      <c r="P1254" s="48" t="s">
        <v>172</v>
      </c>
      <c r="Q1254" s="50"/>
      <c r="R1254" s="53" t="n">
        <f aca="false">IF(BW1254=1,0,IFERROR(VLOOKUP(BU1254,'Gebinde-Kategorie'!$A$5:$N$45,13,0)+0,0))</f>
        <v>12</v>
      </c>
      <c r="S1254" s="54"/>
      <c r="T1254" s="55" t="s">
        <v>183</v>
      </c>
      <c r="U1254" s="55"/>
      <c r="V1254" s="55"/>
      <c r="W1254" s="48"/>
      <c r="X1254" s="50"/>
      <c r="Y1254" s="50"/>
      <c r="Z1254" s="48" t="n">
        <f aca="false">IF(A1254="","",IF(AND(Parameter!$B$21="Ja",ISNUMBER(W1254)),W1254,IF(BZ1254="2+3",IF(ISNUMBER(SEARCH("grosser Artikel",BR1254)),2,IFERROR(VLOOKUP(BU1254,Parameter!$F$35:$G$64,2,0),2)),IF(OR(BZ1254="Nein",BZ1254=""),"-",BZ1254))))</f>
        <v>2</v>
      </c>
      <c r="AA1254" s="55"/>
      <c r="AB1254" s="56"/>
      <c r="AC1254" s="50" t="n">
        <f aca="false">AT1254</f>
        <v>5</v>
      </c>
      <c r="AD1254" s="50" t="n">
        <f aca="false">MAX(AT1254,H1254)</f>
        <v>5</v>
      </c>
      <c r="AE1254" s="57"/>
      <c r="AF1254" s="50" t="n">
        <f aca="false">IF(LEFT(Cockpit!$C$5,1)="A",H1254,IF(CE1254=1,CF1254,IF(LEFT(Cockpit!$C$5,1)="B",AK1254,MAX(AK1254,H1254))))</f>
        <v>1</v>
      </c>
      <c r="AG1254" s="50" t="n">
        <f aca="false">IF(BW1254=1,0,ROUNDUP(AF1254/BV1254,0))</f>
        <v>1</v>
      </c>
      <c r="AH1254" s="52" t="n">
        <f aca="false">IF(CL1254&gt;0,CL1254*MAX(1,AF1254/X1254),IF(BW1254=1,IF(AF1254&lt;=0,0,CA1254*MAX(1,IF(H1254&gt;0,AF1254/H1254,1))),IF(R1254&gt;0,AG1254/R1254,0))/MAX(0.1,N(Parameter!$M$21)))</f>
        <v>0.0833333333333333</v>
      </c>
      <c r="AI1254" s="50" t="n">
        <f aca="false">AH1254*BY1254</f>
        <v>12.0833333333333</v>
      </c>
      <c r="AJ1254" s="50" t="n">
        <f aca="false">AF1254*G1254</f>
        <v>292.14</v>
      </c>
      <c r="AK1254" s="50" t="n">
        <f aca="false">ROUNDUP(MAX(J1254/IF(CD1254&gt;0,CD1254,MAX(0.1,N(Cockpit!$C$6))),CG1254)/BV1254,0)*BV1254</f>
        <v>5</v>
      </c>
      <c r="AL1254" s="51" t="n">
        <f aca="false">IF(AI1254&gt;0,J1254/AI1254,-1)</f>
        <v>0.248275862068966</v>
      </c>
      <c r="AM1254" s="51" t="n">
        <f aca="false">IF(AND(OR(CC1254="L1",CC1254="L23",CC1254="LIFT"),AI1254&gt;0),SUMIFS($AI$7:$AI$1843,$CC$7:$CC$1843,CC1254,$AL$7:$AL$1843,"&gt;"&amp;AL1254)+SUMIFS($AI$7:$AI$1843,$CC$7:$CC$1843,CC1254,$AL$7:$AL$1843,AL1254,$BT$7:$BT$1843,"&lt;="&amp;BT1254),"")</f>
        <v>11913.1869295958</v>
      </c>
      <c r="AN1254" s="58" t="n">
        <f aca="false">IF(AM1254="",0,MAX(0,MIN(1,(IF(CC1254="L1",Parameter!$H$5,IF(CC1254="L23",Parameter!$H$6+Parameter!$H$7,Parameter!$H$5+Parameter!$H$6+Parameter!$H$7))-(AM1254-AI1254))/AI1254)))</f>
        <v>1</v>
      </c>
      <c r="AO1254" s="50" t="n">
        <f aca="false">IF(LEFT(Cockpit!$I$5,1)="A",H1254,IF(CE1254=1,CF1254,IF(LEFT(Cockpit!$I$5,1)="B",AT1254,MAX(AT1254,H1254))))</f>
        <v>5</v>
      </c>
      <c r="AP1254" s="50" t="n">
        <f aca="false">IF(BW1254=1,0,ROUNDUP(AO1254/BV1254,0))</f>
        <v>1</v>
      </c>
      <c r="AQ1254" s="52" t="n">
        <f aca="false">IF(CL1254&gt;0,CL1254*MAX(1,AO1254/X1254),IF(BW1254=1,IF(AO1254&lt;=0,0,CA1254*MAX(1,IF(H1254&gt;0,AO1254/H1254,1))),IF(R1254&gt;0,AP1254/R1254,0))/MAX(0.1,N(Parameter!$M$21)))</f>
        <v>0.0833333333333333</v>
      </c>
      <c r="AR1254" s="50" t="n">
        <f aca="false">AQ1254*BY1254</f>
        <v>12.0833333333333</v>
      </c>
      <c r="AS1254" s="50" t="n">
        <f aca="false">AO1254*G1254</f>
        <v>1460.7</v>
      </c>
      <c r="AT1254" s="50" t="n">
        <f aca="false">ROUNDUP(MAX(J1254/IF(CD1254&gt;0,CD1254,MAX(0.1,N(Cockpit!$I$6))),CG1254)/BV1254,0)*BV1254</f>
        <v>5</v>
      </c>
      <c r="AU1254" s="51" t="n">
        <f aca="false">IF(AR1254&gt;0,J1254/AR1254,-1)</f>
        <v>0.248275862068966</v>
      </c>
      <c r="AV1254" s="51" t="n">
        <f aca="false">IF(AND(OR(CC1254="L1",CC1254="L23",CC1254="LIFT"),AR1254&gt;0),SUMIFS($AR$7:$AR$1843,$CC$7:$CC$1843,CC1254,$AU$7:$AU$1843,"&gt;"&amp;AU1254)+SUMIFS($AR$7:$AR$1843,$CC$7:$CC$1843,CC1254,$AU$7:$AU$1843,AU1254,$BT$7:$BT$1843,"&lt;="&amp;BT1254),"")</f>
        <v>17741.6414835165</v>
      </c>
      <c r="AW1254" s="58" t="n">
        <f aca="false">IF(AV1254="",0,MAX(0,MIN(1,(IF(CC1254="L1",Parameter!$H$5,IF(CC1254="L23",Parameter!$H$6+Parameter!$H$7,Parameter!$H$5+Parameter!$H$6+Parameter!$H$7))-(AV1254-AR1254))/AR1254)))</f>
        <v>1</v>
      </c>
      <c r="AX1254" s="50" t="n">
        <f aca="false">IF(LEFT(Cockpit!$O$5,1)="A",H1254,IF(CE1254=1,CF1254,IF(LEFT(Cockpit!$O$5,1)="B",BC1254,MAX(BC1254,H1254))))</f>
        <v>5</v>
      </c>
      <c r="AY1254" s="50" t="n">
        <f aca="false">IF(BW1254=1,0,ROUNDUP(AX1254/BV1254,0))</f>
        <v>1</v>
      </c>
      <c r="AZ1254" s="52" t="n">
        <f aca="false">IF(CL1254&gt;0,CL1254*MAX(1,AX1254/X1254),IF(BW1254=1,IF(AX1254&lt;=0,0,CA1254*MAX(1,IF(H1254&gt;0,AX1254/H1254,1))),IF(R1254&gt;0,AY1254/R1254,0))/MAX(0.1,N(Parameter!$M$21)))</f>
        <v>0.0833333333333333</v>
      </c>
      <c r="BA1254" s="50" t="n">
        <f aca="false">AZ1254*BY1254</f>
        <v>12.0833333333333</v>
      </c>
      <c r="BB1254" s="50" t="n">
        <f aca="false">AX1254*G1254</f>
        <v>1460.7</v>
      </c>
      <c r="BC1254" s="50" t="n">
        <f aca="false">ROUNDUP(MAX(J1254/IF(CD1254&gt;0,CD1254,MAX(0.1,N(Cockpit!$O$6))),CG1254)/BV1254,0)*BV1254</f>
        <v>5</v>
      </c>
      <c r="BD1254" s="51" t="n">
        <f aca="false">IF(BA1254&gt;0,J1254/BA1254,-1)</f>
        <v>0.248275862068966</v>
      </c>
      <c r="BE1254" s="51" t="n">
        <f aca="false">IF(AND(OR(CC1254="L1",CC1254="L23",CC1254="LIFT"),BA1254&gt;0),SUMIFS($BA$7:$BA$1843,$CC$7:$CC$1843,CC1254,$BD$7:$BD$1843,"&gt;"&amp;BD1254)+SUMIFS($BA$7:$BA$1843,$CC$7:$CC$1843,CC1254,$BD$7:$BD$1843,BD1254,$BT$7:$BT$1843,"&lt;="&amp;BT1254),"")</f>
        <v>16688.1318681319</v>
      </c>
      <c r="BF1254" s="58" t="n">
        <f aca="false">IF(BE1254="",0,MAX(0,MIN(1,(IF(CC1254="L1",Parameter!$H$5,IF(CC1254="L23",Parameter!$H$6+Parameter!$H$7,Parameter!$H$5+Parameter!$H$6+Parameter!$H$7))-(BE1254-BA1254))/BA1254)))</f>
        <v>1</v>
      </c>
      <c r="BG1254" s="48" t="str">
        <f aca="false">IF(AI1254&lt;=0,"",IF(CC1254="Aussen","Aussenlager",IF(CC1254="-","Nicht im Lift",IF(AN1254&gt;=1,"Lift",IF(AN1254&lt;=0,"Aussenlager","teilweise")))))</f>
        <v>Lift</v>
      </c>
      <c r="BH1254" s="48" t="str">
        <f aca="false">IF(AR1254&lt;=0,"",IF(CC1254="Aussen","Aussenlager",IF(CC1254="-","Nicht im Lift",IF(AW1254&gt;=1,"Lift",IF(AW1254&lt;=0,"Aussenlager","teilweise")))))</f>
        <v>Lift</v>
      </c>
      <c r="BI1254" s="48" t="str">
        <f aca="false">IF(BA1254&lt;=0,"",IF(CC1254="Aussen","Aussenlager",IF(CC1254="-","Nicht im Lift",IF(BF1254&gt;=1,"Lift",IF(BF1254&lt;=0,"Aussenlager","teilweise")))))</f>
        <v>Lift</v>
      </c>
      <c r="BJ1254" s="48" t="str">
        <f aca="false">IF(A1254="","",IF(BS1254=1,"Neu; ","")&amp;IF(AND(BS1254=0,BN1254&lt;0),"negativer Bestand (Export "&amp;BN1254&amp;"); ","")&amp;IF(J1254&lt;=0,"Kein Verbrauch; ","")&amp;IF(CL1254&gt;0,"Lift "&amp;W1254&amp;" lt. Liftbericht (Fach "&amp;X1254&amp;" Stk); ",IF(BX1254=1,"Gebinde geschätzt ("&amp;T1254&amp;"); ",IF(BW1254=1,"Lose – Tablare geschätzt; ","")))&amp;IF(H1254&gt;AT1254,"Überbestand "&amp;ROUND(H1254-AT1254,0)&amp;" Stk / CHF "&amp;ROUND((H1254-AT1254)*G1254,0)&amp;"; ","")&amp;IF(AND(CE1254=1,CF1254&lt;CG1254),"MAX &lt; MB+LG; ","")&amp;IF(AND(CK1254&gt;0,CJ1254*10&gt;CK1254),"zu hoch für Tablar; ","")&amp;IF(AND(BS1254=0,OR(CE1254=1,AA1254&lt;&gt;"",U1254&lt;&gt;"",V1254&lt;&gt;"",AB1254&lt;&gt;"")),"manuell übersteuert; ","")&amp;IF(AND(BW1254=0,R1254=0),"Gebinde unbekannt / Stellmass fehlt; ","")&amp;IF(AND(BW1254=0,N(V1254)&lt;=0,N(Q1254)&lt;=0),"Menge pro Gebinde fehlt (Ist = 1 Gebinde); ","")&amp;BR1254)</f>
        <v>negativer Bestand (Export -3); Gebinde geschätzt (Mittel); Menge pro Gebinde fehlt (Ist = 1 Gebinde); </v>
      </c>
      <c r="BK1254" s="48"/>
      <c r="BL1254" s="48"/>
      <c r="BM1254" s="55"/>
      <c r="BN1254" s="50" t="n">
        <v>-3</v>
      </c>
      <c r="BO1254" s="50" t="n">
        <v>4</v>
      </c>
      <c r="BP1254" s="49" t="n">
        <v>-758.74</v>
      </c>
      <c r="BQ1254" s="50" t="n">
        <v>3</v>
      </c>
      <c r="BR1254" s="48"/>
      <c r="BS1254" s="53" t="n">
        <v>0</v>
      </c>
      <c r="BT1254" s="53" t="n">
        <v>1254</v>
      </c>
      <c r="BU1254" s="48" t="str">
        <f aca="false">IF(U1254&lt;&gt;"",UPPER(TRIM(U1254)),IF(BX1254=1,UPPER(VLOOKUP(T1254,Parameter!$I$27:$K$29,2,0)),IF(P1254="","LOSE",P1254)))</f>
        <v>S61</v>
      </c>
      <c r="BV1254" s="50" t="n">
        <f aca="false">IF(BU1254="LOSE",1,IF(N(V1254)&gt;0,V1254,IF(BX1254=1,MAX(1,N(VLOOKUP(T1254,Parameter!$I$27:$K$29,3,0)),H1254,N(N1254)),IF(N(Q1254)&gt;0,Q1254,MAX(1,H1254)))))</f>
        <v>5</v>
      </c>
      <c r="BW1254" s="53" t="n">
        <f aca="false">IF(BU1254="LOSE",1,0)</f>
        <v>0</v>
      </c>
      <c r="BX1254" s="53" t="n">
        <f aca="false">IF(AND(U1254="",OR(P1254="",P1254="LOSE"),T1254&lt;&gt;"",N(S1254)&lt;=0,ISNUMBER(MATCH(T1254,Parameter!$I$27:$I$29,0))),1,0)</f>
        <v>1</v>
      </c>
      <c r="BY1254" s="53" t="n">
        <f aca="false">IF(CL1254&gt;0,INDEX(Parameter!$H$5:$H$7,W1254)/INDEX(Parameter!$E$5:$E$7,W1254),IF(AND(BW1254=0,N(IFERROR(VLOOKUP(BU1254,'Gebinde-Kategorie'!$A$5:$N$45,14,0),0))&gt;0),VLOOKUP(BU1254,'Gebinde-Kategorie'!$A$5:$N$45,14,0)*10+Parameter!$M$23,Parameter!$M$24))</f>
        <v>145</v>
      </c>
      <c r="BZ1254" s="48" t="str">
        <f aca="false">IF(AND(Parameter!$B$19="Ja",E1254&lt;&gt;"",ISNUMBER(MATCH(E1254,Parameter!$I$35:$I$52,0))),VLOOKUP(E1254,Parameter!$I$35:$J$52,2,0),IFERROR(VLOOKUP(D1254,Parameter!$A$35:$C$64,2,0),"Nein"))</f>
        <v>2+3</v>
      </c>
      <c r="CA1254" s="52" t="n">
        <f aca="false">IF(BW1254=0,0,IF(N(S1254)&gt;0,S1254,IFERROR(VLOOKUP(D1254,Parameter!$A$35:$C$64,3,0)+0,0)))</f>
        <v>0</v>
      </c>
      <c r="CB1254" s="48" t="n">
        <f aca="false">IF(AA1254&lt;&gt;"",AA1254,Z1254)</f>
        <v>2</v>
      </c>
      <c r="CC1254" s="48" t="str">
        <f aca="false">IF(OR(CB1254=1,CB1254=2,CB1254=3),IF(Parameter!$E$27="Ja","LIFT",IF(CB1254=1,"L1","L23")),IF(CB1254="Aussen","Aussen","-"))</f>
        <v>LIFT</v>
      </c>
      <c r="CD1254" s="59" t="n">
        <f aca="false">IF(N(AB1254)&gt;0,AB1254,0)</f>
        <v>0</v>
      </c>
      <c r="CE1254" s="53" t="n">
        <f aca="false">IF(ISNUMBER(AE1254),1,0)</f>
        <v>0</v>
      </c>
      <c r="CF1254" s="50" t="n">
        <f aca="false">N(AE1254)</f>
        <v>0</v>
      </c>
      <c r="CG1254" s="50" t="n">
        <f aca="false">N(M1254)+N(N1254)</f>
        <v>5</v>
      </c>
      <c r="CH1254" s="50" t="n">
        <f aca="false">ROUNDUP(H1254/BV1254,0)</f>
        <v>1</v>
      </c>
      <c r="CI1254" s="50" t="n">
        <f aca="false">ROUNDUP(CF1254/BV1254,0)</f>
        <v>0</v>
      </c>
      <c r="CJ1254" s="53" t="n">
        <f aca="false">IF(BW1254=1,0,IFERROR(VLOOKUP(BU1254,'Gebinde-Kategorie'!$A$5:$N$45,5,0)+0,0))</f>
        <v>11</v>
      </c>
      <c r="CK1254" s="53" t="n">
        <f aca="false">IFERROR(IF(OR(CB1254=1,CB1254=2,CB1254=3),N(INDEX(Parameter!$I$5:$I$7,CB1254)),0),0)</f>
        <v>0</v>
      </c>
      <c r="CL1254" s="52" t="n">
        <f aca="false">IF(AND(Parameter!$B$21="Ja",ISNUMBER(W1254),N(X1254)&gt;0),IFERROR(N(INDEX(Parameter!$L$5:$L$7,W1254))*INDEX(Parameter!$E$5:$E$7,W1254)*X1254/SUMIFS($X$7:$X$1843,$W$7:$W$1843,W1254),0),0)</f>
        <v>0</v>
      </c>
    </row>
    <row r="1255" customFormat="false" ht="15" hidden="false" customHeight="false" outlineLevel="0" collapsed="false">
      <c r="A1255" s="48" t="s">
        <v>2245</v>
      </c>
      <c r="B1255" s="48" t="s">
        <v>2246</v>
      </c>
      <c r="C1255" s="48" t="s">
        <v>168</v>
      </c>
      <c r="D1255" s="48" t="s">
        <v>177</v>
      </c>
      <c r="E1255" s="48"/>
      <c r="F1255" s="48" t="s">
        <v>222</v>
      </c>
      <c r="G1255" s="49" t="n">
        <v>380</v>
      </c>
      <c r="H1255" s="50" t="n">
        <f aca="false">MAX(0,IF(AND(Parameter!$B$21="Ja",ISNUMBER(Y1255)),Y1255,IF(Parameter!$B$20="Jahresanfang 2025 + Export",BO1255+BN1255,BN1255)))</f>
        <v>9</v>
      </c>
      <c r="I1255" s="50" t="n">
        <f aca="false">H1255*G1255</f>
        <v>3420</v>
      </c>
      <c r="J1255" s="50" t="n">
        <f aca="false">BQ1255*Parameter!$B$18</f>
        <v>2</v>
      </c>
      <c r="K1255" s="51" t="n">
        <v>10</v>
      </c>
      <c r="L1255" s="52" t="n">
        <v>0.2</v>
      </c>
      <c r="M1255" s="50" t="n">
        <v>0</v>
      </c>
      <c r="N1255" s="50" t="n">
        <v>1</v>
      </c>
      <c r="O1255" s="53" t="n">
        <v>35</v>
      </c>
      <c r="P1255" s="48" t="s">
        <v>237</v>
      </c>
      <c r="Q1255" s="50" t="n">
        <v>10</v>
      </c>
      <c r="R1255" s="53" t="n">
        <f aca="false">IF(BW1255=1,0,IFERROR(VLOOKUP(BU1255,'Gebinde-Kategorie'!$A$5:$N$45,13,0)+0,0))</f>
        <v>26</v>
      </c>
      <c r="S1255" s="54"/>
      <c r="T1255" s="55"/>
      <c r="U1255" s="55"/>
      <c r="V1255" s="55"/>
      <c r="W1255" s="48"/>
      <c r="X1255" s="50"/>
      <c r="Y1255" s="50"/>
      <c r="Z1255" s="48" t="n">
        <f aca="false">IF(A1255="","",IF(AND(Parameter!$B$21="Ja",ISNUMBER(W1255)),W1255,IF(BZ1255="2+3",IF(ISNUMBER(SEARCH("grosser Artikel",BR1255)),2,IFERROR(VLOOKUP(BU1255,Parameter!$F$35:$G$64,2,0),2)),IF(OR(BZ1255="Nein",BZ1255=""),"-",BZ1255))))</f>
        <v>3</v>
      </c>
      <c r="AA1255" s="55"/>
      <c r="AB1255" s="56"/>
      <c r="AC1255" s="50" t="n">
        <f aca="false">AT1255</f>
        <v>10</v>
      </c>
      <c r="AD1255" s="50" t="n">
        <f aca="false">MAX(AT1255,H1255)</f>
        <v>10</v>
      </c>
      <c r="AE1255" s="57"/>
      <c r="AF1255" s="50" t="n">
        <f aca="false">IF(LEFT(Cockpit!$C$5,1)="A",H1255,IF(CE1255=1,CF1255,IF(LEFT(Cockpit!$C$5,1)="B",AK1255,MAX(AK1255,H1255))))</f>
        <v>9</v>
      </c>
      <c r="AG1255" s="50" t="n">
        <f aca="false">IF(BW1255=1,0,ROUNDUP(AF1255/BV1255,0))</f>
        <v>1</v>
      </c>
      <c r="AH1255" s="52" t="n">
        <f aca="false">IF(CL1255&gt;0,CL1255*MAX(1,AF1255/X1255),IF(BW1255=1,IF(AF1255&lt;=0,0,CA1255*MAX(1,IF(H1255&gt;0,AF1255/H1255,1))),IF(R1255&gt;0,AG1255/R1255,0))/MAX(0.1,N(Parameter!$M$21)))</f>
        <v>0.0384615384615385</v>
      </c>
      <c r="AI1255" s="50" t="n">
        <f aca="false">AH1255*BY1255</f>
        <v>9.42307692307692</v>
      </c>
      <c r="AJ1255" s="50" t="n">
        <f aca="false">AF1255*G1255</f>
        <v>3420</v>
      </c>
      <c r="AK1255" s="50" t="n">
        <f aca="false">ROUNDUP(MAX(J1255/IF(CD1255&gt;0,CD1255,MAX(0.1,N(Cockpit!$C$6))),CG1255)/BV1255,0)*BV1255</f>
        <v>10</v>
      </c>
      <c r="AL1255" s="51" t="n">
        <f aca="false">IF(AI1255&gt;0,J1255/AI1255,-1)</f>
        <v>0.212244897959184</v>
      </c>
      <c r="AM1255" s="51" t="n">
        <f aca="false">IF(AND(OR(CC1255="L1",CC1255="L23",CC1255="LIFT"),AI1255&gt;0),SUMIFS($AI$7:$AI$1843,$CC$7:$CC$1843,CC1255,$AL$7:$AL$1843,"&gt;"&amp;AL1255)+SUMIFS($AI$7:$AI$1843,$CC$7:$CC$1843,CC1255,$AL$7:$AL$1843,AL1255,$BT$7:$BT$1843,"&lt;="&amp;BT1255),"")</f>
        <v>12392.3939772563</v>
      </c>
      <c r="AN1255" s="58" t="n">
        <f aca="false">IF(AM1255="",0,MAX(0,MIN(1,(IF(CC1255="L1",Parameter!$H$5,IF(CC1255="L23",Parameter!$H$6+Parameter!$H$7,Parameter!$H$5+Parameter!$H$6+Parameter!$H$7))-(AM1255-AI1255))/AI1255)))</f>
        <v>1</v>
      </c>
      <c r="AO1255" s="50" t="n">
        <f aca="false">IF(LEFT(Cockpit!$I$5,1)="A",H1255,IF(CE1255=1,CF1255,IF(LEFT(Cockpit!$I$5,1)="B",AT1255,MAX(AT1255,H1255))))</f>
        <v>10</v>
      </c>
      <c r="AP1255" s="50" t="n">
        <f aca="false">IF(BW1255=1,0,ROUNDUP(AO1255/BV1255,0))</f>
        <v>1</v>
      </c>
      <c r="AQ1255" s="52" t="n">
        <f aca="false">IF(CL1255&gt;0,CL1255*MAX(1,AO1255/X1255),IF(BW1255=1,IF(AO1255&lt;=0,0,CA1255*MAX(1,IF(H1255&gt;0,AO1255/H1255,1))),IF(R1255&gt;0,AP1255/R1255,0))/MAX(0.1,N(Parameter!$M$21)))</f>
        <v>0.0384615384615385</v>
      </c>
      <c r="AR1255" s="50" t="n">
        <f aca="false">AQ1255*BY1255</f>
        <v>9.42307692307692</v>
      </c>
      <c r="AS1255" s="50" t="n">
        <f aca="false">AO1255*G1255</f>
        <v>3800</v>
      </c>
      <c r="AT1255" s="50" t="n">
        <f aca="false">ROUNDUP(MAX(J1255/IF(CD1255&gt;0,CD1255,MAX(0.1,N(Cockpit!$I$6))),CG1255)/BV1255,0)*BV1255</f>
        <v>10</v>
      </c>
      <c r="AU1255" s="51" t="n">
        <f aca="false">IF(AR1255&gt;0,J1255/AR1255,-1)</f>
        <v>0.212244897959184</v>
      </c>
      <c r="AV1255" s="51" t="n">
        <f aca="false">IF(AND(OR(CC1255="L1",CC1255="L23",CC1255="LIFT"),AR1255&gt;0),SUMIFS($AR$7:$AR$1843,$CC$7:$CC$1843,CC1255,$AU$7:$AU$1843,"&gt;"&amp;AU1255)+SUMIFS($AR$7:$AR$1843,$CC$7:$CC$1843,CC1255,$AU$7:$AU$1843,AU1255,$BT$7:$BT$1843,"&lt;="&amp;BT1255),"")</f>
        <v>18306.1286630037</v>
      </c>
      <c r="AW1255" s="58" t="n">
        <f aca="false">IF(AV1255="",0,MAX(0,MIN(1,(IF(CC1255="L1",Parameter!$H$5,IF(CC1255="L23",Parameter!$H$6+Parameter!$H$7,Parameter!$H$5+Parameter!$H$6+Parameter!$H$7))-(AV1255-AR1255))/AR1255)))</f>
        <v>1</v>
      </c>
      <c r="AX1255" s="50" t="n">
        <f aca="false">IF(LEFT(Cockpit!$O$5,1)="A",H1255,IF(CE1255=1,CF1255,IF(LEFT(Cockpit!$O$5,1)="B",BC1255,MAX(BC1255,H1255))))</f>
        <v>10</v>
      </c>
      <c r="AY1255" s="50" t="n">
        <f aca="false">IF(BW1255=1,0,ROUNDUP(AX1255/BV1255,0))</f>
        <v>1</v>
      </c>
      <c r="AZ1255" s="52" t="n">
        <f aca="false">IF(CL1255&gt;0,CL1255*MAX(1,AX1255/X1255),IF(BW1255=1,IF(AX1255&lt;=0,0,CA1255*MAX(1,IF(H1255&gt;0,AX1255/H1255,1))),IF(R1255&gt;0,AY1255/R1255,0))/MAX(0.1,N(Parameter!$M$21)))</f>
        <v>0.0384615384615385</v>
      </c>
      <c r="BA1255" s="50" t="n">
        <f aca="false">AZ1255*BY1255</f>
        <v>9.42307692307692</v>
      </c>
      <c r="BB1255" s="50" t="n">
        <f aca="false">AX1255*G1255</f>
        <v>3800</v>
      </c>
      <c r="BC1255" s="50" t="n">
        <f aca="false">ROUNDUP(MAX(J1255/IF(CD1255&gt;0,CD1255,MAX(0.1,N(Cockpit!$O$6))),CG1255)/BV1255,0)*BV1255</f>
        <v>10</v>
      </c>
      <c r="BD1255" s="51" t="n">
        <f aca="false">IF(BA1255&gt;0,J1255/BA1255,-1)</f>
        <v>0.212244897959184</v>
      </c>
      <c r="BE1255" s="51" t="n">
        <f aca="false">IF(AND(OR(CC1255="L1",CC1255="L23",CC1255="LIFT"),BA1255&gt;0),SUMIFS($BA$7:$BA$1843,$CC$7:$CC$1843,CC1255,$BD$7:$BD$1843,"&gt;"&amp;BD1255)+SUMIFS($BA$7:$BA$1843,$CC$7:$CC$1843,CC1255,$BD$7:$BD$1843,BD1255,$BT$7:$BT$1843,"&lt;="&amp;BT1255),"")</f>
        <v>16958.8690476191</v>
      </c>
      <c r="BF1255" s="58" t="n">
        <f aca="false">IF(BE1255="",0,MAX(0,MIN(1,(IF(CC1255="L1",Parameter!$H$5,IF(CC1255="L23",Parameter!$H$6+Parameter!$H$7,Parameter!$H$5+Parameter!$H$6+Parameter!$H$7))-(BE1255-BA1255))/BA1255)))</f>
        <v>1</v>
      </c>
      <c r="BG1255" s="48" t="str">
        <f aca="false">IF(AI1255&lt;=0,"",IF(CC1255="Aussen","Aussenlager",IF(CC1255="-","Nicht im Lift",IF(AN1255&gt;=1,"Lift",IF(AN1255&lt;=0,"Aussenlager","teilweise")))))</f>
        <v>Lift</v>
      </c>
      <c r="BH1255" s="48" t="str">
        <f aca="false">IF(AR1255&lt;=0,"",IF(CC1255="Aussen","Aussenlager",IF(CC1255="-","Nicht im Lift",IF(AW1255&gt;=1,"Lift",IF(AW1255&lt;=0,"Aussenlager","teilweise")))))</f>
        <v>Lift</v>
      </c>
      <c r="BI1255" s="48" t="str">
        <f aca="false">IF(BA1255&lt;=0,"",IF(CC1255="Aussen","Aussenlager",IF(CC1255="-","Nicht im Lift",IF(BF1255&gt;=1,"Lift",IF(BF1255&lt;=0,"Aussenlager","teilweise")))))</f>
        <v>Lift</v>
      </c>
      <c r="BJ1255" s="48" t="str">
        <f aca="false">IF(A1255="","",IF(BS1255=1,"Neu; ","")&amp;IF(AND(BS1255=0,BN1255&lt;0),"negativer Bestand (Export "&amp;BN1255&amp;"); ","")&amp;IF(J1255&lt;=0,"Kein Verbrauch; ","")&amp;IF(CL1255&gt;0,"Lift "&amp;W1255&amp;" lt. Liftbericht (Fach "&amp;X1255&amp;" Stk); ",IF(BX1255=1,"Gebinde geschätzt ("&amp;T1255&amp;"); ",IF(BW1255=1,"Lose – Tablare geschätzt; ","")))&amp;IF(H1255&gt;AT1255,"Überbestand "&amp;ROUND(H1255-AT1255,0)&amp;" Stk / CHF "&amp;ROUND((H1255-AT1255)*G1255,0)&amp;"; ","")&amp;IF(AND(CE1255=1,CF1255&lt;CG1255),"MAX &lt; MB+LG; ","")&amp;IF(AND(CK1255&gt;0,CJ1255*10&gt;CK1255),"zu hoch für Tablar; ","")&amp;IF(AND(BS1255=0,OR(CE1255=1,AA1255&lt;&gt;"",U1255&lt;&gt;"",V1255&lt;&gt;"",AB1255&lt;&gt;"")),"manuell übersteuert; ","")&amp;IF(AND(BW1255=0,R1255=0),"Gebinde unbekannt / Stellmass fehlt; ","")&amp;IF(AND(BW1255=0,N(V1255)&lt;=0,N(Q1255)&lt;=0),"Menge pro Gebinde fehlt (Ist = 1 Gebinde); ","")&amp;BR1255)</f>
        <v>negativer Bestand (Export -2); </v>
      </c>
      <c r="BK1255" s="48"/>
      <c r="BL1255" s="48"/>
      <c r="BM1255" s="55"/>
      <c r="BN1255" s="50" t="n">
        <v>-2</v>
      </c>
      <c r="BO1255" s="50" t="n">
        <v>11</v>
      </c>
      <c r="BP1255" s="49" t="n">
        <v>-760</v>
      </c>
      <c r="BQ1255" s="50" t="n">
        <v>2</v>
      </c>
      <c r="BR1255" s="48"/>
      <c r="BS1255" s="53" t="n">
        <v>0</v>
      </c>
      <c r="BT1255" s="53" t="n">
        <v>1255</v>
      </c>
      <c r="BU1255" s="48" t="str">
        <f aca="false">IF(U1255&lt;&gt;"",UPPER(TRIM(U1255)),IF(BX1255=1,UPPER(VLOOKUP(T1255,Parameter!$I$27:$K$29,2,0)),IF(P1255="","LOSE",P1255)))</f>
        <v>S52</v>
      </c>
      <c r="BV1255" s="50" t="n">
        <f aca="false">IF(BU1255="LOSE",1,IF(N(V1255)&gt;0,V1255,IF(BX1255=1,MAX(1,N(VLOOKUP(T1255,Parameter!$I$27:$K$29,3,0)),H1255,N(N1255)),IF(N(Q1255)&gt;0,Q1255,MAX(1,H1255)))))</f>
        <v>10</v>
      </c>
      <c r="BW1255" s="53" t="n">
        <f aca="false">IF(BU1255="LOSE",1,0)</f>
        <v>0</v>
      </c>
      <c r="BX1255" s="53" t="n">
        <f aca="false">IF(AND(U1255="",OR(P1255="",P1255="LOSE"),T1255&lt;&gt;"",N(S1255)&lt;=0,ISNUMBER(MATCH(T1255,Parameter!$I$27:$I$29,0))),1,0)</f>
        <v>0</v>
      </c>
      <c r="BY1255" s="53" t="n">
        <f aca="false">IF(CL1255&gt;0,INDEX(Parameter!$H$5:$H$7,W1255)/INDEX(Parameter!$E$5:$E$7,W1255),IF(AND(BW1255=0,N(IFERROR(VLOOKUP(BU1255,'Gebinde-Kategorie'!$A$5:$N$45,14,0),0))&gt;0),VLOOKUP(BU1255,'Gebinde-Kategorie'!$A$5:$N$45,14,0)*10+Parameter!$M$23,Parameter!$M$24))</f>
        <v>245</v>
      </c>
      <c r="BZ1255" s="48" t="str">
        <f aca="false">IF(AND(Parameter!$B$19="Ja",E1255&lt;&gt;"",ISNUMBER(MATCH(E1255,Parameter!$I$35:$I$52,0))),VLOOKUP(E1255,Parameter!$I$35:$J$52,2,0),IFERROR(VLOOKUP(D1255,Parameter!$A$35:$C$64,2,0),"Nein"))</f>
        <v>2+3</v>
      </c>
      <c r="CA1255" s="52" t="n">
        <f aca="false">IF(BW1255=0,0,IF(N(S1255)&gt;0,S1255,IFERROR(VLOOKUP(D1255,Parameter!$A$35:$C$64,3,0)+0,0)))</f>
        <v>0</v>
      </c>
      <c r="CB1255" s="48" t="n">
        <f aca="false">IF(AA1255&lt;&gt;"",AA1255,Z1255)</f>
        <v>3</v>
      </c>
      <c r="CC1255" s="48" t="str">
        <f aca="false">IF(OR(CB1255=1,CB1255=2,CB1255=3),IF(Parameter!$E$27="Ja","LIFT",IF(CB1255=1,"L1","L23")),IF(CB1255="Aussen","Aussen","-"))</f>
        <v>LIFT</v>
      </c>
      <c r="CD1255" s="59" t="n">
        <f aca="false">IF(N(AB1255)&gt;0,AB1255,0)</f>
        <v>0</v>
      </c>
      <c r="CE1255" s="53" t="n">
        <f aca="false">IF(ISNUMBER(AE1255),1,0)</f>
        <v>0</v>
      </c>
      <c r="CF1255" s="50" t="n">
        <f aca="false">N(AE1255)</f>
        <v>0</v>
      </c>
      <c r="CG1255" s="50" t="n">
        <f aca="false">N(M1255)+N(N1255)</f>
        <v>1</v>
      </c>
      <c r="CH1255" s="50" t="n">
        <f aca="false">ROUNDUP(H1255/BV1255,0)</f>
        <v>1</v>
      </c>
      <c r="CI1255" s="50" t="n">
        <f aca="false">ROUNDUP(CF1255/BV1255,0)</f>
        <v>0</v>
      </c>
      <c r="CJ1255" s="53" t="n">
        <f aca="false">IF(BW1255=1,0,IFERROR(VLOOKUP(BU1255,'Gebinde-Kategorie'!$A$5:$N$45,5,0)+0,0))</f>
        <v>21</v>
      </c>
      <c r="CK1255" s="53" t="n">
        <f aca="false">IFERROR(IF(OR(CB1255=1,CB1255=2,CB1255=3),N(INDEX(Parameter!$I$5:$I$7,CB1255)),0),0)</f>
        <v>0</v>
      </c>
      <c r="CL1255" s="52" t="n">
        <f aca="false">IF(AND(Parameter!$B$21="Ja",ISNUMBER(W1255),N(X1255)&gt;0),IFERROR(N(INDEX(Parameter!$L$5:$L$7,W1255))*INDEX(Parameter!$E$5:$E$7,W1255)*X1255/SUMIFS($X$7:$X$1843,$W$7:$W$1843,W1255),0),0)</f>
        <v>0</v>
      </c>
    </row>
    <row r="1256" customFormat="false" ht="15" hidden="false" customHeight="false" outlineLevel="0" collapsed="false">
      <c r="A1256" s="48" t="s">
        <v>2247</v>
      </c>
      <c r="B1256" s="48" t="s">
        <v>435</v>
      </c>
      <c r="C1256" s="48" t="s">
        <v>168</v>
      </c>
      <c r="D1256" s="48" t="s">
        <v>188</v>
      </c>
      <c r="E1256" s="48" t="s">
        <v>189</v>
      </c>
      <c r="F1256" s="48" t="s">
        <v>222</v>
      </c>
      <c r="G1256" s="49" t="n">
        <v>104.71</v>
      </c>
      <c r="H1256" s="50" t="n">
        <f aca="false">MAX(0,IF(AND(Parameter!$B$21="Ja",ISNUMBER(Y1256)),Y1256,IF(Parameter!$B$20="Jahresanfang 2025 + Export",BO1256+BN1256,BN1256)))</f>
        <v>50</v>
      </c>
      <c r="I1256" s="50" t="n">
        <f aca="false">H1256*G1256</f>
        <v>5235.5</v>
      </c>
      <c r="J1256" s="50" t="n">
        <f aca="false">BQ1256*Parameter!$B$18</f>
        <v>143</v>
      </c>
      <c r="K1256" s="51" t="n">
        <v>60</v>
      </c>
      <c r="L1256" s="52" t="n">
        <v>2.38333333333333</v>
      </c>
      <c r="M1256" s="50" t="n">
        <v>20</v>
      </c>
      <c r="N1256" s="50" t="n">
        <v>50</v>
      </c>
      <c r="O1256" s="53" t="n">
        <v>56</v>
      </c>
      <c r="P1256" s="48" t="s">
        <v>230</v>
      </c>
      <c r="Q1256" s="50" t="n">
        <v>154</v>
      </c>
      <c r="R1256" s="53" t="n">
        <f aca="false">IF(BW1256=1,0,IFERROR(VLOOKUP(BU1256,'Gebinde-Kategorie'!$A$5:$N$45,13,0)+0,0))</f>
        <v>12</v>
      </c>
      <c r="S1256" s="54"/>
      <c r="T1256" s="55"/>
      <c r="U1256" s="55"/>
      <c r="V1256" s="55"/>
      <c r="W1256" s="48"/>
      <c r="X1256" s="50"/>
      <c r="Y1256" s="50"/>
      <c r="Z1256" s="48" t="n">
        <f aca="false">IF(A1256="","",IF(AND(Parameter!$B$21="Ja",ISNUMBER(W1256)),W1256,IF(BZ1256="2+3",IF(ISNUMBER(SEARCH("grosser Artikel",BR1256)),2,IFERROR(VLOOKUP(BU1256,Parameter!$F$35:$G$64,2,0),2)),IF(OR(BZ1256="Nein",BZ1256=""),"-",BZ1256))))</f>
        <v>2</v>
      </c>
      <c r="AA1256" s="55"/>
      <c r="AB1256" s="56"/>
      <c r="AC1256" s="50" t="n">
        <f aca="false">AT1256</f>
        <v>154</v>
      </c>
      <c r="AD1256" s="50" t="n">
        <f aca="false">MAX(AT1256,H1256)</f>
        <v>154</v>
      </c>
      <c r="AE1256" s="57"/>
      <c r="AF1256" s="50" t="n">
        <f aca="false">IF(LEFT(Cockpit!$C$5,1)="A",H1256,IF(CE1256=1,CF1256,IF(LEFT(Cockpit!$C$5,1)="B",AK1256,MAX(AK1256,H1256))))</f>
        <v>50</v>
      </c>
      <c r="AG1256" s="50" t="n">
        <f aca="false">IF(BW1256=1,0,ROUNDUP(AF1256/BV1256,0))</f>
        <v>1</v>
      </c>
      <c r="AH1256" s="52" t="n">
        <f aca="false">IF(CL1256&gt;0,CL1256*MAX(1,AF1256/X1256),IF(BW1256=1,IF(AF1256&lt;=0,0,CA1256*MAX(1,IF(H1256&gt;0,AF1256/H1256,1))),IF(R1256&gt;0,AG1256/R1256,0))/MAX(0.1,N(Parameter!$M$21)))</f>
        <v>0.0833333333333333</v>
      </c>
      <c r="AI1256" s="50" t="n">
        <f aca="false">AH1256*BY1256</f>
        <v>28.75</v>
      </c>
      <c r="AJ1256" s="50" t="n">
        <f aca="false">AF1256*G1256</f>
        <v>5235.5</v>
      </c>
      <c r="AK1256" s="50" t="n">
        <f aca="false">ROUNDUP(MAX(J1256/IF(CD1256&gt;0,CD1256,MAX(0.1,N(Cockpit!$C$6))),CG1256)/BV1256,0)*BV1256</f>
        <v>154</v>
      </c>
      <c r="AL1256" s="51" t="n">
        <f aca="false">IF(AI1256&gt;0,J1256/AI1256,-1)</f>
        <v>4.97391304347826</v>
      </c>
      <c r="AM1256" s="51" t="n">
        <f aca="false">IF(AND(OR(CC1256="L1",CC1256="L23",CC1256="LIFT"),AI1256&gt;0),SUMIFS($AI$7:$AI$1843,$CC$7:$CC$1843,CC1256,$AL$7:$AL$1843,"&gt;"&amp;AL1256)+SUMIFS($AI$7:$AI$1843,$CC$7:$CC$1843,CC1256,$AL$7:$AL$1843,AL1256,$BT$7:$BT$1843,"&lt;="&amp;BT1256),"")</f>
        <v>3922.83562271062</v>
      </c>
      <c r="AN1256" s="58" t="n">
        <f aca="false">IF(AM1256="",0,MAX(0,MIN(1,(IF(CC1256="L1",Parameter!$H$5,IF(CC1256="L23",Parameter!$H$6+Parameter!$H$7,Parameter!$H$5+Parameter!$H$6+Parameter!$H$7))-(AM1256-AI1256))/AI1256)))</f>
        <v>1</v>
      </c>
      <c r="AO1256" s="50" t="n">
        <f aca="false">IF(LEFT(Cockpit!$I$5,1)="A",H1256,IF(CE1256=1,CF1256,IF(LEFT(Cockpit!$I$5,1)="B",AT1256,MAX(AT1256,H1256))))</f>
        <v>154</v>
      </c>
      <c r="AP1256" s="50" t="n">
        <f aca="false">IF(BW1256=1,0,ROUNDUP(AO1256/BV1256,0))</f>
        <v>1</v>
      </c>
      <c r="AQ1256" s="52" t="n">
        <f aca="false">IF(CL1256&gt;0,CL1256*MAX(1,AO1256/X1256),IF(BW1256=1,IF(AO1256&lt;=0,0,CA1256*MAX(1,IF(H1256&gt;0,AO1256/H1256,1))),IF(R1256&gt;0,AP1256/R1256,0))/MAX(0.1,N(Parameter!$M$21)))</f>
        <v>0.0833333333333333</v>
      </c>
      <c r="AR1256" s="50" t="n">
        <f aca="false">AQ1256*BY1256</f>
        <v>28.75</v>
      </c>
      <c r="AS1256" s="50" t="n">
        <f aca="false">AO1256*G1256</f>
        <v>16125.34</v>
      </c>
      <c r="AT1256" s="50" t="n">
        <f aca="false">ROUNDUP(MAX(J1256/IF(CD1256&gt;0,CD1256,MAX(0.1,N(Cockpit!$I$6))),CG1256)/BV1256,0)*BV1256</f>
        <v>154</v>
      </c>
      <c r="AU1256" s="51" t="n">
        <f aca="false">IF(AR1256&gt;0,J1256/AR1256,-1)</f>
        <v>4.97391304347826</v>
      </c>
      <c r="AV1256" s="51" t="n">
        <f aca="false">IF(AND(OR(CC1256="L1",CC1256="L23",CC1256="LIFT"),AR1256&gt;0),SUMIFS($AR$7:$AR$1843,$CC$7:$CC$1843,CC1256,$AU$7:$AU$1843,"&gt;"&amp;AU1256)+SUMIFS($AR$7:$AR$1843,$CC$7:$CC$1843,CC1256,$AU$7:$AU$1843,AU1256,$BT$7:$BT$1843,"&lt;="&amp;BT1256),"")</f>
        <v>4978.28891941392</v>
      </c>
      <c r="AW1256" s="58" t="n">
        <f aca="false">IF(AV1256="",0,MAX(0,MIN(1,(IF(CC1256="L1",Parameter!$H$5,IF(CC1256="L23",Parameter!$H$6+Parameter!$H$7,Parameter!$H$5+Parameter!$H$6+Parameter!$H$7))-(AV1256-AR1256))/AR1256)))</f>
        <v>1</v>
      </c>
      <c r="AX1256" s="50" t="n">
        <f aca="false">IF(LEFT(Cockpit!$O$5,1)="A",H1256,IF(CE1256=1,CF1256,IF(LEFT(Cockpit!$O$5,1)="B",BC1256,MAX(BC1256,H1256))))</f>
        <v>154</v>
      </c>
      <c r="AY1256" s="50" t="n">
        <f aca="false">IF(BW1256=1,0,ROUNDUP(AX1256/BV1256,0))</f>
        <v>1</v>
      </c>
      <c r="AZ1256" s="52" t="n">
        <f aca="false">IF(CL1256&gt;0,CL1256*MAX(1,AX1256/X1256),IF(BW1256=1,IF(AX1256&lt;=0,0,CA1256*MAX(1,IF(H1256&gt;0,AX1256/H1256,1))),IF(R1256&gt;0,AY1256/R1256,0))/MAX(0.1,N(Parameter!$M$21)))</f>
        <v>0.0833333333333333</v>
      </c>
      <c r="BA1256" s="50" t="n">
        <f aca="false">AZ1256*BY1256</f>
        <v>28.75</v>
      </c>
      <c r="BB1256" s="50" t="n">
        <f aca="false">AX1256*G1256</f>
        <v>16125.34</v>
      </c>
      <c r="BC1256" s="50" t="n">
        <f aca="false">ROUNDUP(MAX(J1256/IF(CD1256&gt;0,CD1256,MAX(0.1,N(Cockpit!$O$6))),CG1256)/BV1256,0)*BV1256</f>
        <v>154</v>
      </c>
      <c r="BD1256" s="51" t="n">
        <f aca="false">IF(BA1256&gt;0,J1256/BA1256,-1)</f>
        <v>4.97391304347826</v>
      </c>
      <c r="BE1256" s="51" t="n">
        <f aca="false">IF(AND(OR(CC1256="L1",CC1256="L23",CC1256="LIFT"),BA1256&gt;0),SUMIFS($BA$7:$BA$1843,$CC$7:$CC$1843,CC1256,$BD$7:$BD$1843,"&gt;"&amp;BD1256)+SUMIFS($BA$7:$BA$1843,$CC$7:$CC$1843,CC1256,$BD$7:$BD$1843,BD1256,$BT$7:$BT$1843,"&lt;="&amp;BT1256),"")</f>
        <v>4648.75366300366</v>
      </c>
      <c r="BF1256" s="58" t="n">
        <f aca="false">IF(BE1256="",0,MAX(0,MIN(1,(IF(CC1256="L1",Parameter!$H$5,IF(CC1256="L23",Parameter!$H$6+Parameter!$H$7,Parameter!$H$5+Parameter!$H$6+Parameter!$H$7))-(BE1256-BA1256))/BA1256)))</f>
        <v>1</v>
      </c>
      <c r="BG1256" s="48" t="str">
        <f aca="false">IF(AI1256&lt;=0,"",IF(CC1256="Aussen","Aussenlager",IF(CC1256="-","Nicht im Lift",IF(AN1256&gt;=1,"Lift",IF(AN1256&lt;=0,"Aussenlager","teilweise")))))</f>
        <v>Lift</v>
      </c>
      <c r="BH1256" s="48" t="str">
        <f aca="false">IF(AR1256&lt;=0,"",IF(CC1256="Aussen","Aussenlager",IF(CC1256="-","Nicht im Lift",IF(AW1256&gt;=1,"Lift",IF(AW1256&lt;=0,"Aussenlager","teilweise")))))</f>
        <v>Lift</v>
      </c>
      <c r="BI1256" s="48" t="str">
        <f aca="false">IF(BA1256&lt;=0,"",IF(CC1256="Aussen","Aussenlager",IF(CC1256="-","Nicht im Lift",IF(BF1256&gt;=1,"Lift",IF(BF1256&lt;=0,"Aussenlager","teilweise")))))</f>
        <v>Lift</v>
      </c>
      <c r="BJ1256" s="48" t="str">
        <f aca="false">IF(A1256="","",IF(BS1256=1,"Neu; ","")&amp;IF(AND(BS1256=0,BN1256&lt;0),"negativer Bestand (Export "&amp;BN1256&amp;"); ","")&amp;IF(J1256&lt;=0,"Kein Verbrauch; ","")&amp;IF(CL1256&gt;0,"Lift "&amp;W1256&amp;" lt. Liftbericht (Fach "&amp;X1256&amp;" Stk); ",IF(BX1256=1,"Gebinde geschätzt ("&amp;T1256&amp;"); ",IF(BW1256=1,"Lose – Tablare geschätzt; ","")))&amp;IF(H1256&gt;AT1256,"Überbestand "&amp;ROUND(H1256-AT1256,0)&amp;" Stk / CHF "&amp;ROUND((H1256-AT1256)*G1256,0)&amp;"; ","")&amp;IF(AND(CE1256=1,CF1256&lt;CG1256),"MAX &lt; MB+LG; ","")&amp;IF(AND(CK1256&gt;0,CJ1256*10&gt;CK1256),"zu hoch für Tablar; ","")&amp;IF(AND(BS1256=0,OR(CE1256=1,AA1256&lt;&gt;"",U1256&lt;&gt;"",V1256&lt;&gt;"",AB1256&lt;&gt;"")),"manuell übersteuert; ","")&amp;IF(AND(BW1256=0,R1256=0),"Gebinde unbekannt / Stellmass fehlt; ","")&amp;IF(AND(BW1256=0,N(V1256)&lt;=0,N(Q1256)&lt;=0),"Menge pro Gebinde fehlt (Ist = 1 Gebinde); ","")&amp;BR1256)</f>
        <v>negativer Bestand (Export -27); </v>
      </c>
      <c r="BK1256" s="48"/>
      <c r="BL1256" s="48"/>
      <c r="BM1256" s="55"/>
      <c r="BN1256" s="50" t="n">
        <v>-27</v>
      </c>
      <c r="BO1256" s="50" t="n">
        <v>77</v>
      </c>
      <c r="BP1256" s="49" t="n">
        <v>-762.8</v>
      </c>
      <c r="BQ1256" s="50" t="n">
        <v>143</v>
      </c>
      <c r="BR1256" s="48"/>
      <c r="BS1256" s="53" t="n">
        <v>0</v>
      </c>
      <c r="BT1256" s="53" t="n">
        <v>1256</v>
      </c>
      <c r="BU1256" s="48" t="str">
        <f aca="false">IF(U1256&lt;&gt;"",UPPER(TRIM(U1256)),IF(BX1256=1,UPPER(VLOOKUP(T1256,Parameter!$I$27:$K$29,2,0)),IF(P1256="","LOSE",P1256)))</f>
        <v>S63</v>
      </c>
      <c r="BV1256" s="50" t="n">
        <f aca="false">IF(BU1256="LOSE",1,IF(N(V1256)&gt;0,V1256,IF(BX1256=1,MAX(1,N(VLOOKUP(T1256,Parameter!$I$27:$K$29,3,0)),H1256,N(N1256)),IF(N(Q1256)&gt;0,Q1256,MAX(1,H1256)))))</f>
        <v>154</v>
      </c>
      <c r="BW1256" s="53" t="n">
        <f aca="false">IF(BU1256="LOSE",1,0)</f>
        <v>0</v>
      </c>
      <c r="BX1256" s="53" t="n">
        <f aca="false">IF(AND(U1256="",OR(P1256="",P1256="LOSE"),T1256&lt;&gt;"",N(S1256)&lt;=0,ISNUMBER(MATCH(T1256,Parameter!$I$27:$I$29,0))),1,0)</f>
        <v>0</v>
      </c>
      <c r="BY1256" s="53" t="n">
        <f aca="false">IF(CL1256&gt;0,INDEX(Parameter!$H$5:$H$7,W1256)/INDEX(Parameter!$E$5:$E$7,W1256),IF(AND(BW1256=0,N(IFERROR(VLOOKUP(BU1256,'Gebinde-Kategorie'!$A$5:$N$45,14,0),0))&gt;0),VLOOKUP(BU1256,'Gebinde-Kategorie'!$A$5:$N$45,14,0)*10+Parameter!$M$23,Parameter!$M$24))</f>
        <v>345</v>
      </c>
      <c r="BZ1256" s="48" t="str">
        <f aca="false">IF(AND(Parameter!$B$19="Ja",E1256&lt;&gt;"",ISNUMBER(MATCH(E1256,Parameter!$I$35:$I$52,0))),VLOOKUP(E1256,Parameter!$I$35:$J$52,2,0),IFERROR(VLOOKUP(D1256,Parameter!$A$35:$C$64,2,0),"Nein"))</f>
        <v>2+3</v>
      </c>
      <c r="CA1256" s="52" t="n">
        <f aca="false">IF(BW1256=0,0,IF(N(S1256)&gt;0,S1256,IFERROR(VLOOKUP(D1256,Parameter!$A$35:$C$64,3,0)+0,0)))</f>
        <v>0</v>
      </c>
      <c r="CB1256" s="48" t="n">
        <f aca="false">IF(AA1256&lt;&gt;"",AA1256,Z1256)</f>
        <v>2</v>
      </c>
      <c r="CC1256" s="48" t="str">
        <f aca="false">IF(OR(CB1256=1,CB1256=2,CB1256=3),IF(Parameter!$E$27="Ja","LIFT",IF(CB1256=1,"L1","L23")),IF(CB1256="Aussen","Aussen","-"))</f>
        <v>LIFT</v>
      </c>
      <c r="CD1256" s="59" t="n">
        <f aca="false">IF(N(AB1256)&gt;0,AB1256,0)</f>
        <v>0</v>
      </c>
      <c r="CE1256" s="53" t="n">
        <f aca="false">IF(ISNUMBER(AE1256),1,0)</f>
        <v>0</v>
      </c>
      <c r="CF1256" s="50" t="n">
        <f aca="false">N(AE1256)</f>
        <v>0</v>
      </c>
      <c r="CG1256" s="50" t="n">
        <f aca="false">N(M1256)+N(N1256)</f>
        <v>70</v>
      </c>
      <c r="CH1256" s="50" t="n">
        <f aca="false">ROUNDUP(H1256/BV1256,0)</f>
        <v>1</v>
      </c>
      <c r="CI1256" s="50" t="n">
        <f aca="false">ROUNDUP(CF1256/BV1256,0)</f>
        <v>0</v>
      </c>
      <c r="CJ1256" s="53" t="n">
        <f aca="false">IF(BW1256=1,0,IFERROR(VLOOKUP(BU1256,'Gebinde-Kategorie'!$A$5:$N$45,5,0)+0,0))</f>
        <v>31</v>
      </c>
      <c r="CK1256" s="53" t="n">
        <f aca="false">IFERROR(IF(OR(CB1256=1,CB1256=2,CB1256=3),N(INDEX(Parameter!$I$5:$I$7,CB1256)),0),0)</f>
        <v>0</v>
      </c>
      <c r="CL1256" s="52" t="n">
        <f aca="false">IF(AND(Parameter!$B$21="Ja",ISNUMBER(W1256),N(X1256)&gt;0),IFERROR(N(INDEX(Parameter!$L$5:$L$7,W1256))*INDEX(Parameter!$E$5:$E$7,W1256)*X1256/SUMIFS($X$7:$X$1843,$W$7:$W$1843,W1256),0),0)</f>
        <v>0</v>
      </c>
    </row>
    <row r="1257" customFormat="false" ht="15" hidden="false" customHeight="false" outlineLevel="0" collapsed="false">
      <c r="A1257" s="48" t="s">
        <v>2248</v>
      </c>
      <c r="B1257" s="48" t="s">
        <v>2249</v>
      </c>
      <c r="C1257" s="48" t="s">
        <v>168</v>
      </c>
      <c r="D1257" s="48" t="s">
        <v>188</v>
      </c>
      <c r="E1257" s="48"/>
      <c r="F1257" s="48" t="s">
        <v>222</v>
      </c>
      <c r="G1257" s="49" t="n">
        <v>95.87</v>
      </c>
      <c r="H1257" s="50" t="n">
        <f aca="false">MAX(0,IF(AND(Parameter!$B$21="Ja",ISNUMBER(Y1257)),Y1257,IF(Parameter!$B$20="Jahresanfang 2025 + Export",BO1257+BN1257,BN1257)))</f>
        <v>6</v>
      </c>
      <c r="I1257" s="50" t="n">
        <f aca="false">H1257*G1257</f>
        <v>575.22</v>
      </c>
      <c r="J1257" s="50" t="n">
        <f aca="false">BQ1257*Parameter!$B$18</f>
        <v>4</v>
      </c>
      <c r="K1257" s="51" t="n">
        <v>12</v>
      </c>
      <c r="L1257" s="52" t="n">
        <v>0.333333333333333</v>
      </c>
      <c r="M1257" s="50" t="n">
        <v>0</v>
      </c>
      <c r="N1257" s="50" t="n">
        <v>5</v>
      </c>
      <c r="O1257" s="53" t="n">
        <v>35</v>
      </c>
      <c r="P1257" s="48" t="s">
        <v>172</v>
      </c>
      <c r="Q1257" s="50"/>
      <c r="R1257" s="53" t="n">
        <f aca="false">IF(BW1257=1,0,IFERROR(VLOOKUP(BU1257,'Gebinde-Kategorie'!$A$5:$N$45,13,0)+0,0))</f>
        <v>26</v>
      </c>
      <c r="S1257" s="54"/>
      <c r="T1257" s="55" t="s">
        <v>279</v>
      </c>
      <c r="U1257" s="55"/>
      <c r="V1257" s="55"/>
      <c r="W1257" s="48"/>
      <c r="X1257" s="50"/>
      <c r="Y1257" s="50"/>
      <c r="Z1257" s="48" t="n">
        <f aca="false">IF(A1257="","",IF(AND(Parameter!$B$21="Ja",ISNUMBER(W1257)),W1257,IF(BZ1257="2+3",IF(ISNUMBER(SEARCH("grosser Artikel",BR1257)),2,IFERROR(VLOOKUP(BU1257,Parameter!$F$35:$G$64,2,0),2)),IF(OR(BZ1257="Nein",BZ1257=""),"-",BZ1257))))</f>
        <v>3</v>
      </c>
      <c r="AA1257" s="55"/>
      <c r="AB1257" s="56"/>
      <c r="AC1257" s="50" t="n">
        <f aca="false">AT1257</f>
        <v>20</v>
      </c>
      <c r="AD1257" s="50" t="n">
        <f aca="false">MAX(AT1257,H1257)</f>
        <v>20</v>
      </c>
      <c r="AE1257" s="57"/>
      <c r="AF1257" s="50" t="n">
        <f aca="false">IF(LEFT(Cockpit!$C$5,1)="A",H1257,IF(CE1257=1,CF1257,IF(LEFT(Cockpit!$C$5,1)="B",AK1257,MAX(AK1257,H1257))))</f>
        <v>6</v>
      </c>
      <c r="AG1257" s="50" t="n">
        <f aca="false">IF(BW1257=1,0,ROUNDUP(AF1257/BV1257,0))</f>
        <v>1</v>
      </c>
      <c r="AH1257" s="52" t="n">
        <f aca="false">IF(CL1257&gt;0,CL1257*MAX(1,AF1257/X1257),IF(BW1257=1,IF(AF1257&lt;=0,0,CA1257*MAX(1,IF(H1257&gt;0,AF1257/H1257,1))),IF(R1257&gt;0,AG1257/R1257,0))/MAX(0.1,N(Parameter!$M$21)))</f>
        <v>0.0384615384615385</v>
      </c>
      <c r="AI1257" s="50" t="n">
        <f aca="false">AH1257*BY1257</f>
        <v>5.96153846153846</v>
      </c>
      <c r="AJ1257" s="50" t="n">
        <f aca="false">AF1257*G1257</f>
        <v>575.22</v>
      </c>
      <c r="AK1257" s="50" t="n">
        <f aca="false">ROUNDUP(MAX(J1257/IF(CD1257&gt;0,CD1257,MAX(0.1,N(Cockpit!$C$6))),CG1257)/BV1257,0)*BV1257</f>
        <v>20</v>
      </c>
      <c r="AL1257" s="51" t="n">
        <f aca="false">IF(AI1257&gt;0,J1257/AI1257,-1)</f>
        <v>0.670967741935484</v>
      </c>
      <c r="AM1257" s="51" t="n">
        <f aca="false">IF(AND(OR(CC1257="L1",CC1257="L23",CC1257="LIFT"),AI1257&gt;0),SUMIFS($AI$7:$AI$1843,$CC$7:$CC$1843,CC1257,$AL$7:$AL$1843,"&gt;"&amp;AL1257)+SUMIFS($AI$7:$AI$1843,$CC$7:$CC$1843,CC1257,$AL$7:$AL$1843,AL1257,$BT$7:$BT$1843,"&lt;="&amp;BT1257),"")</f>
        <v>8653.3717948718</v>
      </c>
      <c r="AN1257" s="58" t="n">
        <f aca="false">IF(AM1257="",0,MAX(0,MIN(1,(IF(CC1257="L1",Parameter!$H$5,IF(CC1257="L23",Parameter!$H$6+Parameter!$H$7,Parameter!$H$5+Parameter!$H$6+Parameter!$H$7))-(AM1257-AI1257))/AI1257)))</f>
        <v>1</v>
      </c>
      <c r="AO1257" s="50" t="n">
        <f aca="false">IF(LEFT(Cockpit!$I$5,1)="A",H1257,IF(CE1257=1,CF1257,IF(LEFT(Cockpit!$I$5,1)="B",AT1257,MAX(AT1257,H1257))))</f>
        <v>20</v>
      </c>
      <c r="AP1257" s="50" t="n">
        <f aca="false">IF(BW1257=1,0,ROUNDUP(AO1257/BV1257,0))</f>
        <v>1</v>
      </c>
      <c r="AQ1257" s="52" t="n">
        <f aca="false">IF(CL1257&gt;0,CL1257*MAX(1,AO1257/X1257),IF(BW1257=1,IF(AO1257&lt;=0,0,CA1257*MAX(1,IF(H1257&gt;0,AO1257/H1257,1))),IF(R1257&gt;0,AP1257/R1257,0))/MAX(0.1,N(Parameter!$M$21)))</f>
        <v>0.0384615384615385</v>
      </c>
      <c r="AR1257" s="50" t="n">
        <f aca="false">AQ1257*BY1257</f>
        <v>5.96153846153846</v>
      </c>
      <c r="AS1257" s="50" t="n">
        <f aca="false">AO1257*G1257</f>
        <v>1917.4</v>
      </c>
      <c r="AT1257" s="50" t="n">
        <f aca="false">ROUNDUP(MAX(J1257/IF(CD1257&gt;0,CD1257,MAX(0.1,N(Cockpit!$I$6))),CG1257)/BV1257,0)*BV1257</f>
        <v>20</v>
      </c>
      <c r="AU1257" s="51" t="n">
        <f aca="false">IF(AR1257&gt;0,J1257/AR1257,-1)</f>
        <v>0.670967741935484</v>
      </c>
      <c r="AV1257" s="51" t="n">
        <f aca="false">IF(AND(OR(CC1257="L1",CC1257="L23",CC1257="LIFT"),AR1257&gt;0),SUMIFS($AR$7:$AR$1843,$CC$7:$CC$1843,CC1257,$AU$7:$AU$1843,"&gt;"&amp;AU1257)+SUMIFS($AR$7:$AR$1843,$CC$7:$CC$1843,CC1257,$AU$7:$AU$1843,AU1257,$BT$7:$BT$1843,"&lt;="&amp;BT1257),"")</f>
        <v>11795.494047619</v>
      </c>
      <c r="AW1257" s="58" t="n">
        <f aca="false">IF(AV1257="",0,MAX(0,MIN(1,(IF(CC1257="L1",Parameter!$H$5,IF(CC1257="L23",Parameter!$H$6+Parameter!$H$7,Parameter!$H$5+Parameter!$H$6+Parameter!$H$7))-(AV1257-AR1257))/AR1257)))</f>
        <v>1</v>
      </c>
      <c r="AX1257" s="50" t="n">
        <f aca="false">IF(LEFT(Cockpit!$O$5,1)="A",H1257,IF(CE1257=1,CF1257,IF(LEFT(Cockpit!$O$5,1)="B",BC1257,MAX(BC1257,H1257))))</f>
        <v>20</v>
      </c>
      <c r="AY1257" s="50" t="n">
        <f aca="false">IF(BW1257=1,0,ROUNDUP(AX1257/BV1257,0))</f>
        <v>1</v>
      </c>
      <c r="AZ1257" s="52" t="n">
        <f aca="false">IF(CL1257&gt;0,CL1257*MAX(1,AX1257/X1257),IF(BW1257=1,IF(AX1257&lt;=0,0,CA1257*MAX(1,IF(H1257&gt;0,AX1257/H1257,1))),IF(R1257&gt;0,AY1257/R1257,0))/MAX(0.1,N(Parameter!$M$21)))</f>
        <v>0.0384615384615385</v>
      </c>
      <c r="BA1257" s="50" t="n">
        <f aca="false">AZ1257*BY1257</f>
        <v>5.96153846153846</v>
      </c>
      <c r="BB1257" s="50" t="n">
        <f aca="false">AX1257*G1257</f>
        <v>1917.4</v>
      </c>
      <c r="BC1257" s="50" t="n">
        <f aca="false">ROUNDUP(MAX(J1257/IF(CD1257&gt;0,CD1257,MAX(0.1,N(Cockpit!$O$6))),CG1257)/BV1257,0)*BV1257</f>
        <v>20</v>
      </c>
      <c r="BD1257" s="51" t="n">
        <f aca="false">IF(BA1257&gt;0,J1257/BA1257,-1)</f>
        <v>0.670967741935484</v>
      </c>
      <c r="BE1257" s="51" t="n">
        <f aca="false">IF(AND(OR(CC1257="L1",CC1257="L23",CC1257="LIFT"),BA1257&gt;0),SUMIFS($BA$7:$BA$1843,$CC$7:$CC$1843,CC1257,$BD$7:$BD$1843,"&gt;"&amp;BD1257)+SUMIFS($BA$7:$BA$1843,$CC$7:$CC$1843,CC1257,$BD$7:$BD$1843,BD1257,$BT$7:$BT$1843,"&lt;="&amp;BT1257),"")</f>
        <v>11395.3177655678</v>
      </c>
      <c r="BF1257" s="58" t="n">
        <f aca="false">IF(BE1257="",0,MAX(0,MIN(1,(IF(CC1257="L1",Parameter!$H$5,IF(CC1257="L23",Parameter!$H$6+Parameter!$H$7,Parameter!$H$5+Parameter!$H$6+Parameter!$H$7))-(BE1257-BA1257))/BA1257)))</f>
        <v>1</v>
      </c>
      <c r="BG1257" s="48" t="str">
        <f aca="false">IF(AI1257&lt;=0,"",IF(CC1257="Aussen","Aussenlager",IF(CC1257="-","Nicht im Lift",IF(AN1257&gt;=1,"Lift",IF(AN1257&lt;=0,"Aussenlager","teilweise")))))</f>
        <v>Lift</v>
      </c>
      <c r="BH1257" s="48" t="str">
        <f aca="false">IF(AR1257&lt;=0,"",IF(CC1257="Aussen","Aussenlager",IF(CC1257="-","Nicht im Lift",IF(AW1257&gt;=1,"Lift",IF(AW1257&lt;=0,"Aussenlager","teilweise")))))</f>
        <v>Lift</v>
      </c>
      <c r="BI1257" s="48" t="str">
        <f aca="false">IF(BA1257&lt;=0,"",IF(CC1257="Aussen","Aussenlager",IF(CC1257="-","Nicht im Lift",IF(BF1257&gt;=1,"Lift",IF(BF1257&lt;=0,"Aussenlager","teilweise")))))</f>
        <v>Lift</v>
      </c>
      <c r="BJ1257" s="48" t="str">
        <f aca="false">IF(A1257="","",IF(BS1257=1,"Neu; ","")&amp;IF(AND(BS1257=0,BN1257&lt;0),"negativer Bestand (Export "&amp;BN1257&amp;"); ","")&amp;IF(J1257&lt;=0,"Kein Verbrauch; ","")&amp;IF(CL1257&gt;0,"Lift "&amp;W1257&amp;" lt. Liftbericht (Fach "&amp;X1257&amp;" Stk); ",IF(BX1257=1,"Gebinde geschätzt ("&amp;T1257&amp;"); ",IF(BW1257=1,"Lose – Tablare geschätzt; ","")))&amp;IF(H1257&gt;AT1257,"Überbestand "&amp;ROUND(H1257-AT1257,0)&amp;" Stk / CHF "&amp;ROUND((H1257-AT1257)*G1257,0)&amp;"; ","")&amp;IF(AND(CE1257=1,CF1257&lt;CG1257),"MAX &lt; MB+LG; ","")&amp;IF(AND(CK1257&gt;0,CJ1257*10&gt;CK1257),"zu hoch für Tablar; ","")&amp;IF(AND(BS1257=0,OR(CE1257=1,AA1257&lt;&gt;"",U1257&lt;&gt;"",V1257&lt;&gt;"",AB1257&lt;&gt;"")),"manuell übersteuert; ","")&amp;IF(AND(BW1257=0,R1257=0),"Gebinde unbekannt / Stellmass fehlt; ","")&amp;IF(AND(BW1257=0,N(V1257)&lt;=0,N(Q1257)&lt;=0),"Menge pro Gebinde fehlt (Ist = 1 Gebinde); ","")&amp;BR1257)</f>
        <v>negativer Bestand (Export -8); Gebinde geschätzt (Klein); Menge pro Gebinde fehlt (Ist = 1 Gebinde); </v>
      </c>
      <c r="BK1257" s="48"/>
      <c r="BL1257" s="48"/>
      <c r="BM1257" s="55"/>
      <c r="BN1257" s="50" t="n">
        <v>-8</v>
      </c>
      <c r="BO1257" s="50" t="n">
        <v>14</v>
      </c>
      <c r="BP1257" s="49" t="n">
        <v>-766.96</v>
      </c>
      <c r="BQ1257" s="50" t="n">
        <v>4</v>
      </c>
      <c r="BR1257" s="48"/>
      <c r="BS1257" s="53" t="n">
        <v>0</v>
      </c>
      <c r="BT1257" s="53" t="n">
        <v>1257</v>
      </c>
      <c r="BU1257" s="48" t="str">
        <f aca="false">IF(U1257&lt;&gt;"",UPPER(TRIM(U1257)),IF(BX1257=1,UPPER(VLOOKUP(T1257,Parameter!$I$27:$K$29,2,0)),IF(P1257="","LOSE",P1257)))</f>
        <v>S51</v>
      </c>
      <c r="BV1257" s="50" t="n">
        <f aca="false">IF(BU1257="LOSE",1,IF(N(V1257)&gt;0,V1257,IF(BX1257=1,MAX(1,N(VLOOKUP(T1257,Parameter!$I$27:$K$29,3,0)),H1257,N(N1257)),IF(N(Q1257)&gt;0,Q1257,MAX(1,H1257)))))</f>
        <v>20</v>
      </c>
      <c r="BW1257" s="53" t="n">
        <f aca="false">IF(BU1257="LOSE",1,0)</f>
        <v>0</v>
      </c>
      <c r="BX1257" s="53" t="n">
        <f aca="false">IF(AND(U1257="",OR(P1257="",P1257="LOSE"),T1257&lt;&gt;"",N(S1257)&lt;=0,ISNUMBER(MATCH(T1257,Parameter!$I$27:$I$29,0))),1,0)</f>
        <v>1</v>
      </c>
      <c r="BY1257" s="53" t="n">
        <f aca="false">IF(CL1257&gt;0,INDEX(Parameter!$H$5:$H$7,W1257)/INDEX(Parameter!$E$5:$E$7,W1257),IF(AND(BW1257=0,N(IFERROR(VLOOKUP(BU1257,'Gebinde-Kategorie'!$A$5:$N$45,14,0),0))&gt;0),VLOOKUP(BU1257,'Gebinde-Kategorie'!$A$5:$N$45,14,0)*10+Parameter!$M$23,Parameter!$M$24))</f>
        <v>155</v>
      </c>
      <c r="BZ1257" s="48" t="str">
        <f aca="false">IF(AND(Parameter!$B$19="Ja",E1257&lt;&gt;"",ISNUMBER(MATCH(E1257,Parameter!$I$35:$I$52,0))),VLOOKUP(E1257,Parameter!$I$35:$J$52,2,0),IFERROR(VLOOKUP(D1257,Parameter!$A$35:$C$64,2,0),"Nein"))</f>
        <v>2+3</v>
      </c>
      <c r="CA1257" s="52" t="n">
        <f aca="false">IF(BW1257=0,0,IF(N(S1257)&gt;0,S1257,IFERROR(VLOOKUP(D1257,Parameter!$A$35:$C$64,3,0)+0,0)))</f>
        <v>0</v>
      </c>
      <c r="CB1257" s="48" t="n">
        <f aca="false">IF(AA1257&lt;&gt;"",AA1257,Z1257)</f>
        <v>3</v>
      </c>
      <c r="CC1257" s="48" t="str">
        <f aca="false">IF(OR(CB1257=1,CB1257=2,CB1257=3),IF(Parameter!$E$27="Ja","LIFT",IF(CB1257=1,"L1","L23")),IF(CB1257="Aussen","Aussen","-"))</f>
        <v>LIFT</v>
      </c>
      <c r="CD1257" s="59" t="n">
        <f aca="false">IF(N(AB1257)&gt;0,AB1257,0)</f>
        <v>0</v>
      </c>
      <c r="CE1257" s="53" t="n">
        <f aca="false">IF(ISNUMBER(AE1257),1,0)</f>
        <v>0</v>
      </c>
      <c r="CF1257" s="50" t="n">
        <f aca="false">N(AE1257)</f>
        <v>0</v>
      </c>
      <c r="CG1257" s="50" t="n">
        <f aca="false">N(M1257)+N(N1257)</f>
        <v>5</v>
      </c>
      <c r="CH1257" s="50" t="n">
        <f aca="false">ROUNDUP(H1257/BV1257,0)</f>
        <v>1</v>
      </c>
      <c r="CI1257" s="50" t="n">
        <f aca="false">ROUNDUP(CF1257/BV1257,0)</f>
        <v>0</v>
      </c>
      <c r="CJ1257" s="53" t="n">
        <f aca="false">IF(BW1257=1,0,IFERROR(VLOOKUP(BU1257,'Gebinde-Kategorie'!$A$5:$N$45,5,0)+0,0))</f>
        <v>11</v>
      </c>
      <c r="CK1257" s="53" t="n">
        <f aca="false">IFERROR(IF(OR(CB1257=1,CB1257=2,CB1257=3),N(INDEX(Parameter!$I$5:$I$7,CB1257)),0),0)</f>
        <v>0</v>
      </c>
      <c r="CL1257" s="52" t="n">
        <f aca="false">IF(AND(Parameter!$B$21="Ja",ISNUMBER(W1257),N(X1257)&gt;0),IFERROR(N(INDEX(Parameter!$L$5:$L$7,W1257))*INDEX(Parameter!$E$5:$E$7,W1257)*X1257/SUMIFS($X$7:$X$1843,$W$7:$W$1843,W1257),0),0)</f>
        <v>0</v>
      </c>
    </row>
    <row r="1258" customFormat="false" ht="15" hidden="false" customHeight="false" outlineLevel="0" collapsed="false">
      <c r="A1258" s="48" t="s">
        <v>2250</v>
      </c>
      <c r="B1258" s="48" t="s">
        <v>1013</v>
      </c>
      <c r="C1258" s="48" t="s">
        <v>168</v>
      </c>
      <c r="D1258" s="48" t="s">
        <v>177</v>
      </c>
      <c r="E1258" s="48"/>
      <c r="F1258" s="48" t="s">
        <v>222</v>
      </c>
      <c r="G1258" s="49" t="n">
        <v>5.45</v>
      </c>
      <c r="H1258" s="50" t="n">
        <f aca="false">MAX(0,IF(AND(Parameter!$B$21="Ja",ISNUMBER(Y1258)),Y1258,IF(Parameter!$B$20="Jahresanfang 2025 + Export",BO1258+BN1258,BN1258)))</f>
        <v>50</v>
      </c>
      <c r="I1258" s="50" t="n">
        <f aca="false">H1258*G1258</f>
        <v>272.5</v>
      </c>
      <c r="J1258" s="50" t="n">
        <f aca="false">BQ1258*Parameter!$B$18</f>
        <v>185</v>
      </c>
      <c r="K1258" s="51" t="n">
        <v>118.5</v>
      </c>
      <c r="L1258" s="52" t="n">
        <v>1.56118143459916</v>
      </c>
      <c r="M1258" s="50" t="n">
        <v>32</v>
      </c>
      <c r="N1258" s="50" t="n">
        <v>185</v>
      </c>
      <c r="O1258" s="53" t="n">
        <v>63</v>
      </c>
      <c r="P1258" s="48" t="s">
        <v>172</v>
      </c>
      <c r="Q1258" s="50"/>
      <c r="R1258" s="53" t="n">
        <f aca="false">IF(BW1258=1,0,IFERROR(VLOOKUP(BU1258,'Gebinde-Kategorie'!$A$5:$N$45,13,0)+0,0))</f>
        <v>26</v>
      </c>
      <c r="S1258" s="54"/>
      <c r="T1258" s="55" t="s">
        <v>279</v>
      </c>
      <c r="U1258" s="55"/>
      <c r="V1258" s="55"/>
      <c r="W1258" s="48"/>
      <c r="X1258" s="50"/>
      <c r="Y1258" s="50"/>
      <c r="Z1258" s="48" t="n">
        <f aca="false">IF(A1258="","",IF(AND(Parameter!$B$21="Ja",ISNUMBER(W1258)),W1258,IF(BZ1258="2+3",IF(ISNUMBER(SEARCH("grosser Artikel",BR1258)),2,IFERROR(VLOOKUP(BU1258,Parameter!$F$35:$G$64,2,0),2)),IF(OR(BZ1258="Nein",BZ1258=""),"-",BZ1258))))</f>
        <v>3</v>
      </c>
      <c r="AA1258" s="55"/>
      <c r="AB1258" s="56"/>
      <c r="AC1258" s="50" t="n">
        <f aca="false">AT1258</f>
        <v>370</v>
      </c>
      <c r="AD1258" s="50" t="n">
        <f aca="false">MAX(AT1258,H1258)</f>
        <v>370</v>
      </c>
      <c r="AE1258" s="57"/>
      <c r="AF1258" s="50" t="n">
        <f aca="false">IF(LEFT(Cockpit!$C$5,1)="A",H1258,IF(CE1258=1,CF1258,IF(LEFT(Cockpit!$C$5,1)="B",AK1258,MAX(AK1258,H1258))))</f>
        <v>50</v>
      </c>
      <c r="AG1258" s="50" t="n">
        <f aca="false">IF(BW1258=1,0,ROUNDUP(AF1258/BV1258,0))</f>
        <v>1</v>
      </c>
      <c r="AH1258" s="52" t="n">
        <f aca="false">IF(CL1258&gt;0,CL1258*MAX(1,AF1258/X1258),IF(BW1258=1,IF(AF1258&lt;=0,0,CA1258*MAX(1,IF(H1258&gt;0,AF1258/H1258,1))),IF(R1258&gt;0,AG1258/R1258,0))/MAX(0.1,N(Parameter!$M$21)))</f>
        <v>0.0384615384615385</v>
      </c>
      <c r="AI1258" s="50" t="n">
        <f aca="false">AH1258*BY1258</f>
        <v>5.96153846153846</v>
      </c>
      <c r="AJ1258" s="50" t="n">
        <f aca="false">AF1258*G1258</f>
        <v>272.5</v>
      </c>
      <c r="AK1258" s="50" t="n">
        <f aca="false">ROUNDUP(MAX(J1258/IF(CD1258&gt;0,CD1258,MAX(0.1,N(Cockpit!$C$6))),CG1258)/BV1258,0)*BV1258</f>
        <v>370</v>
      </c>
      <c r="AL1258" s="51" t="n">
        <f aca="false">IF(AI1258&gt;0,J1258/AI1258,-1)</f>
        <v>31.0322580645161</v>
      </c>
      <c r="AM1258" s="51" t="n">
        <f aca="false">IF(AND(OR(CC1258="L1",CC1258="L23",CC1258="LIFT"),AI1258&gt;0),SUMIFS($AI$7:$AI$1843,$CC$7:$CC$1843,CC1258,$AL$7:$AL$1843,"&gt;"&amp;AL1258)+SUMIFS($AI$7:$AI$1843,$CC$7:$CC$1843,CC1258,$AL$7:$AL$1843,AL1258,$BT$7:$BT$1843,"&lt;="&amp;BT1258),"")</f>
        <v>1387.96703296703</v>
      </c>
      <c r="AN1258" s="58" t="n">
        <f aca="false">IF(AM1258="",0,MAX(0,MIN(1,(IF(CC1258="L1",Parameter!$H$5,IF(CC1258="L23",Parameter!$H$6+Parameter!$H$7,Parameter!$H$5+Parameter!$H$6+Parameter!$H$7))-(AM1258-AI1258))/AI1258)))</f>
        <v>1</v>
      </c>
      <c r="AO1258" s="50" t="n">
        <f aca="false">IF(LEFT(Cockpit!$I$5,1)="A",H1258,IF(CE1258=1,CF1258,IF(LEFT(Cockpit!$I$5,1)="B",AT1258,MAX(AT1258,H1258))))</f>
        <v>370</v>
      </c>
      <c r="AP1258" s="50" t="n">
        <f aca="false">IF(BW1258=1,0,ROUNDUP(AO1258/BV1258,0))</f>
        <v>2</v>
      </c>
      <c r="AQ1258" s="52" t="n">
        <f aca="false">IF(CL1258&gt;0,CL1258*MAX(1,AO1258/X1258),IF(BW1258=1,IF(AO1258&lt;=0,0,CA1258*MAX(1,IF(H1258&gt;0,AO1258/H1258,1))),IF(R1258&gt;0,AP1258/R1258,0))/MAX(0.1,N(Parameter!$M$21)))</f>
        <v>0.0769230769230769</v>
      </c>
      <c r="AR1258" s="50" t="n">
        <f aca="false">AQ1258*BY1258</f>
        <v>11.9230769230769</v>
      </c>
      <c r="AS1258" s="50" t="n">
        <f aca="false">AO1258*G1258</f>
        <v>2016.5</v>
      </c>
      <c r="AT1258" s="50" t="n">
        <f aca="false">ROUNDUP(MAX(J1258/IF(CD1258&gt;0,CD1258,MAX(0.1,N(Cockpit!$I$6))),CG1258)/BV1258,0)*BV1258</f>
        <v>370</v>
      </c>
      <c r="AU1258" s="51" t="n">
        <f aca="false">IF(AR1258&gt;0,J1258/AR1258,-1)</f>
        <v>15.5161290322581</v>
      </c>
      <c r="AV1258" s="51" t="n">
        <f aca="false">IF(AND(OR(CC1258="L1",CC1258="L23",CC1258="LIFT"),AR1258&gt;0),SUMIFS($AR$7:$AR$1843,$CC$7:$CC$1843,CC1258,$AU$7:$AU$1843,"&gt;"&amp;AU1258)+SUMIFS($AR$7:$AR$1843,$CC$7:$CC$1843,CC1258,$AU$7:$AU$1843,AU1258,$BT$7:$BT$1843,"&lt;="&amp;BT1258),"")</f>
        <v>3231.79532967033</v>
      </c>
      <c r="AW1258" s="58" t="n">
        <f aca="false">IF(AV1258="",0,MAX(0,MIN(1,(IF(CC1258="L1",Parameter!$H$5,IF(CC1258="L23",Parameter!$H$6+Parameter!$H$7,Parameter!$H$5+Parameter!$H$6+Parameter!$H$7))-(AV1258-AR1258))/AR1258)))</f>
        <v>1</v>
      </c>
      <c r="AX1258" s="50" t="n">
        <f aca="false">IF(LEFT(Cockpit!$O$5,1)="A",H1258,IF(CE1258=1,CF1258,IF(LEFT(Cockpit!$O$5,1)="B",BC1258,MAX(BC1258,H1258))))</f>
        <v>370</v>
      </c>
      <c r="AY1258" s="50" t="n">
        <f aca="false">IF(BW1258=1,0,ROUNDUP(AX1258/BV1258,0))</f>
        <v>2</v>
      </c>
      <c r="AZ1258" s="52" t="n">
        <f aca="false">IF(CL1258&gt;0,CL1258*MAX(1,AX1258/X1258),IF(BW1258=1,IF(AX1258&lt;=0,0,CA1258*MAX(1,IF(H1258&gt;0,AX1258/H1258,1))),IF(R1258&gt;0,AY1258/R1258,0))/MAX(0.1,N(Parameter!$M$21)))</f>
        <v>0.0769230769230769</v>
      </c>
      <c r="BA1258" s="50" t="n">
        <f aca="false">AZ1258*BY1258</f>
        <v>11.9230769230769</v>
      </c>
      <c r="BB1258" s="50" t="n">
        <f aca="false">AX1258*G1258</f>
        <v>2016.5</v>
      </c>
      <c r="BC1258" s="50" t="n">
        <f aca="false">ROUNDUP(MAX(J1258/IF(CD1258&gt;0,CD1258,MAX(0.1,N(Cockpit!$O$6))),CG1258)/BV1258,0)*BV1258</f>
        <v>370</v>
      </c>
      <c r="BD1258" s="51" t="n">
        <f aca="false">IF(BA1258&gt;0,J1258/BA1258,-1)</f>
        <v>15.5161290322581</v>
      </c>
      <c r="BE1258" s="51" t="n">
        <f aca="false">IF(AND(OR(CC1258="L1",CC1258="L23",CC1258="LIFT"),BA1258&gt;0),SUMIFS($BA$7:$BA$1843,$CC$7:$CC$1843,CC1258,$BD$7:$BD$1843,"&gt;"&amp;BD1258)+SUMIFS($BA$7:$BA$1843,$CC$7:$CC$1843,CC1258,$BD$7:$BD$1843,BD1258,$BT$7:$BT$1843,"&lt;="&amp;BT1258),"")</f>
        <v>2906.23443223443</v>
      </c>
      <c r="BF1258" s="58" t="n">
        <f aca="false">IF(BE1258="",0,MAX(0,MIN(1,(IF(CC1258="L1",Parameter!$H$5,IF(CC1258="L23",Parameter!$H$6+Parameter!$H$7,Parameter!$H$5+Parameter!$H$6+Parameter!$H$7))-(BE1258-BA1258))/BA1258)))</f>
        <v>1</v>
      </c>
      <c r="BG1258" s="48" t="str">
        <f aca="false">IF(AI1258&lt;=0,"",IF(CC1258="Aussen","Aussenlager",IF(CC1258="-","Nicht im Lift",IF(AN1258&gt;=1,"Lift",IF(AN1258&lt;=0,"Aussenlager","teilweise")))))</f>
        <v>Lift</v>
      </c>
      <c r="BH1258" s="48" t="str">
        <f aca="false">IF(AR1258&lt;=0,"",IF(CC1258="Aussen","Aussenlager",IF(CC1258="-","Nicht im Lift",IF(AW1258&gt;=1,"Lift",IF(AW1258&lt;=0,"Aussenlager","teilweise")))))</f>
        <v>Lift</v>
      </c>
      <c r="BI1258" s="48" t="str">
        <f aca="false">IF(BA1258&lt;=0,"",IF(CC1258="Aussen","Aussenlager",IF(CC1258="-","Nicht im Lift",IF(BF1258&gt;=1,"Lift",IF(BF1258&lt;=0,"Aussenlager","teilweise")))))</f>
        <v>Lift</v>
      </c>
      <c r="BJ1258" s="48" t="str">
        <f aca="false">IF(A1258="","",IF(BS1258=1,"Neu; ","")&amp;IF(AND(BS1258=0,BN1258&lt;0),"negativer Bestand (Export "&amp;BN1258&amp;"); ","")&amp;IF(J1258&lt;=0,"Kein Verbrauch; ","")&amp;IF(CL1258&gt;0,"Lift "&amp;W1258&amp;" lt. Liftbericht (Fach "&amp;X1258&amp;" Stk); ",IF(BX1258=1,"Gebinde geschätzt ("&amp;T1258&amp;"); ",IF(BW1258=1,"Lose – Tablare geschätzt; ","")))&amp;IF(H1258&gt;AT1258,"Überbestand "&amp;ROUND(H1258-AT1258,0)&amp;" Stk / CHF "&amp;ROUND((H1258-AT1258)*G1258,0)&amp;"; ","")&amp;IF(AND(CE1258=1,CF1258&lt;CG1258),"MAX &lt; MB+LG; ","")&amp;IF(AND(CK1258&gt;0,CJ1258*10&gt;CK1258),"zu hoch für Tablar; ","")&amp;IF(AND(BS1258=0,OR(CE1258=1,AA1258&lt;&gt;"",U1258&lt;&gt;"",V1258&lt;&gt;"",AB1258&lt;&gt;"")),"manuell übersteuert; ","")&amp;IF(AND(BW1258=0,R1258=0),"Gebinde unbekannt / Stellmass fehlt; ","")&amp;IF(AND(BW1258=0,N(V1258)&lt;=0,N(Q1258)&lt;=0),"Menge pro Gebinde fehlt (Ist = 1 Gebinde); ","")&amp;BR1258)</f>
        <v>negativer Bestand (Export -147); Gebinde geschätzt (Klein); Menge pro Gebinde fehlt (Ist = 1 Gebinde); </v>
      </c>
      <c r="BK1258" s="48"/>
      <c r="BL1258" s="48"/>
      <c r="BM1258" s="55"/>
      <c r="BN1258" s="50" t="n">
        <v>-147</v>
      </c>
      <c r="BO1258" s="50" t="n">
        <v>197</v>
      </c>
      <c r="BP1258" s="49" t="n">
        <v>-793.27</v>
      </c>
      <c r="BQ1258" s="50" t="n">
        <v>185</v>
      </c>
      <c r="BR1258" s="48"/>
      <c r="BS1258" s="53" t="n">
        <v>0</v>
      </c>
      <c r="BT1258" s="53" t="n">
        <v>1258</v>
      </c>
      <c r="BU1258" s="48" t="str">
        <f aca="false">IF(U1258&lt;&gt;"",UPPER(TRIM(U1258)),IF(BX1258=1,UPPER(VLOOKUP(T1258,Parameter!$I$27:$K$29,2,0)),IF(P1258="","LOSE",P1258)))</f>
        <v>S51</v>
      </c>
      <c r="BV1258" s="50" t="n">
        <f aca="false">IF(BU1258="LOSE",1,IF(N(V1258)&gt;0,V1258,IF(BX1258=1,MAX(1,N(VLOOKUP(T1258,Parameter!$I$27:$K$29,3,0)),H1258,N(N1258)),IF(N(Q1258)&gt;0,Q1258,MAX(1,H1258)))))</f>
        <v>185</v>
      </c>
      <c r="BW1258" s="53" t="n">
        <f aca="false">IF(BU1258="LOSE",1,0)</f>
        <v>0</v>
      </c>
      <c r="BX1258" s="53" t="n">
        <f aca="false">IF(AND(U1258="",OR(P1258="",P1258="LOSE"),T1258&lt;&gt;"",N(S1258)&lt;=0,ISNUMBER(MATCH(T1258,Parameter!$I$27:$I$29,0))),1,0)</f>
        <v>1</v>
      </c>
      <c r="BY1258" s="53" t="n">
        <f aca="false">IF(CL1258&gt;0,INDEX(Parameter!$H$5:$H$7,W1258)/INDEX(Parameter!$E$5:$E$7,W1258),IF(AND(BW1258=0,N(IFERROR(VLOOKUP(BU1258,'Gebinde-Kategorie'!$A$5:$N$45,14,0),0))&gt;0),VLOOKUP(BU1258,'Gebinde-Kategorie'!$A$5:$N$45,14,0)*10+Parameter!$M$23,Parameter!$M$24))</f>
        <v>155</v>
      </c>
      <c r="BZ1258" s="48" t="str">
        <f aca="false">IF(AND(Parameter!$B$19="Ja",E1258&lt;&gt;"",ISNUMBER(MATCH(E1258,Parameter!$I$35:$I$52,0))),VLOOKUP(E1258,Parameter!$I$35:$J$52,2,0),IFERROR(VLOOKUP(D1258,Parameter!$A$35:$C$64,2,0),"Nein"))</f>
        <v>2+3</v>
      </c>
      <c r="CA1258" s="52" t="n">
        <f aca="false">IF(BW1258=0,0,IF(N(S1258)&gt;0,S1258,IFERROR(VLOOKUP(D1258,Parameter!$A$35:$C$64,3,0)+0,0)))</f>
        <v>0</v>
      </c>
      <c r="CB1258" s="48" t="n">
        <f aca="false">IF(AA1258&lt;&gt;"",AA1258,Z1258)</f>
        <v>3</v>
      </c>
      <c r="CC1258" s="48" t="str">
        <f aca="false">IF(OR(CB1258=1,CB1258=2,CB1258=3),IF(Parameter!$E$27="Ja","LIFT",IF(CB1258=1,"L1","L23")),IF(CB1258="Aussen","Aussen","-"))</f>
        <v>LIFT</v>
      </c>
      <c r="CD1258" s="59" t="n">
        <f aca="false">IF(N(AB1258)&gt;0,AB1258,0)</f>
        <v>0</v>
      </c>
      <c r="CE1258" s="53" t="n">
        <f aca="false">IF(ISNUMBER(AE1258),1,0)</f>
        <v>0</v>
      </c>
      <c r="CF1258" s="50" t="n">
        <f aca="false">N(AE1258)</f>
        <v>0</v>
      </c>
      <c r="CG1258" s="50" t="n">
        <f aca="false">N(M1258)+N(N1258)</f>
        <v>217</v>
      </c>
      <c r="CH1258" s="50" t="n">
        <f aca="false">ROUNDUP(H1258/BV1258,0)</f>
        <v>1</v>
      </c>
      <c r="CI1258" s="50" t="n">
        <f aca="false">ROUNDUP(CF1258/BV1258,0)</f>
        <v>0</v>
      </c>
      <c r="CJ1258" s="53" t="n">
        <f aca="false">IF(BW1258=1,0,IFERROR(VLOOKUP(BU1258,'Gebinde-Kategorie'!$A$5:$N$45,5,0)+0,0))</f>
        <v>11</v>
      </c>
      <c r="CK1258" s="53" t="n">
        <f aca="false">IFERROR(IF(OR(CB1258=1,CB1258=2,CB1258=3),N(INDEX(Parameter!$I$5:$I$7,CB1258)),0),0)</f>
        <v>0</v>
      </c>
      <c r="CL1258" s="52" t="n">
        <f aca="false">IF(AND(Parameter!$B$21="Ja",ISNUMBER(W1258),N(X1258)&gt;0),IFERROR(N(INDEX(Parameter!$L$5:$L$7,W1258))*INDEX(Parameter!$E$5:$E$7,W1258)*X1258/SUMIFS($X$7:$X$1843,$W$7:$W$1843,W1258),0),0)</f>
        <v>0</v>
      </c>
    </row>
    <row r="1259" customFormat="false" ht="15" hidden="false" customHeight="false" outlineLevel="0" collapsed="false">
      <c r="A1259" s="48" t="s">
        <v>2251</v>
      </c>
      <c r="B1259" s="48" t="s">
        <v>167</v>
      </c>
      <c r="C1259" s="48" t="s">
        <v>460</v>
      </c>
      <c r="D1259" s="48" t="s">
        <v>357</v>
      </c>
      <c r="E1259" s="48" t="s">
        <v>2252</v>
      </c>
      <c r="F1259" s="48" t="s">
        <v>222</v>
      </c>
      <c r="G1259" s="49" t="n">
        <v>401.72</v>
      </c>
      <c r="H1259" s="50" t="n">
        <f aca="false">MAX(0,IF(AND(Parameter!$B$21="Ja",ISNUMBER(Y1259)),Y1259,IF(Parameter!$B$20="Jahresanfang 2025 + Export",BO1259+BN1259,BN1259)))</f>
        <v>0</v>
      </c>
      <c r="I1259" s="50" t="n">
        <f aca="false">H1259*G1259</f>
        <v>0</v>
      </c>
      <c r="J1259" s="50" t="n">
        <f aca="false">BQ1259*Parameter!$B$18</f>
        <v>0</v>
      </c>
      <c r="K1259" s="51" t="n">
        <v>1</v>
      </c>
      <c r="L1259" s="52" t="n">
        <v>0</v>
      </c>
      <c r="M1259" s="50" t="n">
        <v>0</v>
      </c>
      <c r="N1259" s="50" t="n">
        <v>0</v>
      </c>
      <c r="O1259" s="53" t="n">
        <v>35</v>
      </c>
      <c r="P1259" s="48" t="s">
        <v>172</v>
      </c>
      <c r="Q1259" s="50"/>
      <c r="R1259" s="53" t="n">
        <f aca="false">IF(BW1259=1,0,IFERROR(VLOOKUP(BU1259,'Gebinde-Kategorie'!$A$5:$N$45,13,0)+0,0))</f>
        <v>0</v>
      </c>
      <c r="S1259" s="54"/>
      <c r="T1259" s="55"/>
      <c r="U1259" s="55"/>
      <c r="V1259" s="55"/>
      <c r="W1259" s="48"/>
      <c r="X1259" s="50"/>
      <c r="Y1259" s="50"/>
      <c r="Z1259" s="48" t="str">
        <f aca="false">IF(A1259="","",IF(AND(Parameter!$B$21="Ja",ISNUMBER(W1259)),W1259,IF(BZ1259="2+3",IF(ISNUMBER(SEARCH("grosser Artikel",BR1259)),2,IFERROR(VLOOKUP(BU1259,Parameter!$F$35:$G$64,2,0),2)),IF(OR(BZ1259="Nein",BZ1259=""),"-",BZ1259))))</f>
        <v>-</v>
      </c>
      <c r="AA1259" s="55"/>
      <c r="AB1259" s="56"/>
      <c r="AC1259" s="50" t="n">
        <f aca="false">AT1259</f>
        <v>0</v>
      </c>
      <c r="AD1259" s="50" t="n">
        <f aca="false">MAX(AT1259,H1259)</f>
        <v>0</v>
      </c>
      <c r="AE1259" s="57"/>
      <c r="AF1259" s="50" t="n">
        <f aca="false">IF(LEFT(Cockpit!$C$5,1)="A",H1259,IF(CE1259=1,CF1259,IF(LEFT(Cockpit!$C$5,1)="B",AK1259,MAX(AK1259,H1259))))</f>
        <v>0</v>
      </c>
      <c r="AG1259" s="50" t="n">
        <f aca="false">IF(BW1259=1,0,ROUNDUP(AF1259/BV1259,0))</f>
        <v>0</v>
      </c>
      <c r="AH1259" s="52" t="n">
        <f aca="false">IF(CL1259&gt;0,CL1259*MAX(1,AF1259/X1259),IF(BW1259=1,IF(AF1259&lt;=0,0,CA1259*MAX(1,IF(H1259&gt;0,AF1259/H1259,1))),IF(R1259&gt;0,AG1259/R1259,0))/MAX(0.1,N(Parameter!$M$21)))</f>
        <v>0</v>
      </c>
      <c r="AI1259" s="50" t="n">
        <f aca="false">AH1259*BY1259</f>
        <v>0</v>
      </c>
      <c r="AJ1259" s="50" t="n">
        <f aca="false">AF1259*G1259</f>
        <v>0</v>
      </c>
      <c r="AK1259" s="50" t="n">
        <f aca="false">ROUNDUP(MAX(J1259/IF(CD1259&gt;0,CD1259,MAX(0.1,N(Cockpit!$C$6))),CG1259)/BV1259,0)*BV1259</f>
        <v>0</v>
      </c>
      <c r="AL1259" s="51" t="n">
        <f aca="false">IF(AI1259&gt;0,J1259/AI1259,-1)</f>
        <v>-1</v>
      </c>
      <c r="AM1259" s="51" t="str">
        <f aca="false">IF(AND(OR(CC1259="L1",CC1259="L23",CC1259="LIFT"),AI1259&gt;0),SUMIFS($AI$7:$AI$1843,$CC$7:$CC$1843,CC1259,$AL$7:$AL$1843,"&gt;"&amp;AL1259)+SUMIFS($AI$7:$AI$1843,$CC$7:$CC$1843,CC1259,$AL$7:$AL$1843,AL1259,$BT$7:$BT$1843,"&lt;="&amp;BT1259),"")</f>
        <v/>
      </c>
      <c r="AN1259" s="58" t="n">
        <f aca="false">IF(AM1259="",0,MAX(0,MIN(1,(IF(CC1259="L1",Parameter!$H$5,IF(CC1259="L23",Parameter!$H$6+Parameter!$H$7,Parameter!$H$5+Parameter!$H$6+Parameter!$H$7))-(AM1259-AI1259))/AI1259)))</f>
        <v>0</v>
      </c>
      <c r="AO1259" s="50" t="n">
        <f aca="false">IF(LEFT(Cockpit!$I$5,1)="A",H1259,IF(CE1259=1,CF1259,IF(LEFT(Cockpit!$I$5,1)="B",AT1259,MAX(AT1259,H1259))))</f>
        <v>0</v>
      </c>
      <c r="AP1259" s="50" t="n">
        <f aca="false">IF(BW1259=1,0,ROUNDUP(AO1259/BV1259,0))</f>
        <v>0</v>
      </c>
      <c r="AQ1259" s="52" t="n">
        <f aca="false">IF(CL1259&gt;0,CL1259*MAX(1,AO1259/X1259),IF(BW1259=1,IF(AO1259&lt;=0,0,CA1259*MAX(1,IF(H1259&gt;0,AO1259/H1259,1))),IF(R1259&gt;0,AP1259/R1259,0))/MAX(0.1,N(Parameter!$M$21)))</f>
        <v>0</v>
      </c>
      <c r="AR1259" s="50" t="n">
        <f aca="false">AQ1259*BY1259</f>
        <v>0</v>
      </c>
      <c r="AS1259" s="50" t="n">
        <f aca="false">AO1259*G1259</f>
        <v>0</v>
      </c>
      <c r="AT1259" s="50" t="n">
        <f aca="false">ROUNDUP(MAX(J1259/IF(CD1259&gt;0,CD1259,MAX(0.1,N(Cockpit!$I$6))),CG1259)/BV1259,0)*BV1259</f>
        <v>0</v>
      </c>
      <c r="AU1259" s="51" t="n">
        <f aca="false">IF(AR1259&gt;0,J1259/AR1259,-1)</f>
        <v>-1</v>
      </c>
      <c r="AV1259" s="51" t="str">
        <f aca="false">IF(AND(OR(CC1259="L1",CC1259="L23",CC1259="LIFT"),AR1259&gt;0),SUMIFS($AR$7:$AR$1843,$CC$7:$CC$1843,CC1259,$AU$7:$AU$1843,"&gt;"&amp;AU1259)+SUMIFS($AR$7:$AR$1843,$CC$7:$CC$1843,CC1259,$AU$7:$AU$1843,AU1259,$BT$7:$BT$1843,"&lt;="&amp;BT1259),"")</f>
        <v/>
      </c>
      <c r="AW1259" s="58" t="n">
        <f aca="false">IF(AV1259="",0,MAX(0,MIN(1,(IF(CC1259="L1",Parameter!$H$5,IF(CC1259="L23",Parameter!$H$6+Parameter!$H$7,Parameter!$H$5+Parameter!$H$6+Parameter!$H$7))-(AV1259-AR1259))/AR1259)))</f>
        <v>0</v>
      </c>
      <c r="AX1259" s="50" t="n">
        <f aca="false">IF(LEFT(Cockpit!$O$5,1)="A",H1259,IF(CE1259=1,CF1259,IF(LEFT(Cockpit!$O$5,1)="B",BC1259,MAX(BC1259,H1259))))</f>
        <v>0</v>
      </c>
      <c r="AY1259" s="50" t="n">
        <f aca="false">IF(BW1259=1,0,ROUNDUP(AX1259/BV1259,0))</f>
        <v>0</v>
      </c>
      <c r="AZ1259" s="52" t="n">
        <f aca="false">IF(CL1259&gt;0,CL1259*MAX(1,AX1259/X1259),IF(BW1259=1,IF(AX1259&lt;=0,0,CA1259*MAX(1,IF(H1259&gt;0,AX1259/H1259,1))),IF(R1259&gt;0,AY1259/R1259,0))/MAX(0.1,N(Parameter!$M$21)))</f>
        <v>0</v>
      </c>
      <c r="BA1259" s="50" t="n">
        <f aca="false">AZ1259*BY1259</f>
        <v>0</v>
      </c>
      <c r="BB1259" s="50" t="n">
        <f aca="false">AX1259*G1259</f>
        <v>0</v>
      </c>
      <c r="BC1259" s="50" t="n">
        <f aca="false">ROUNDUP(MAX(J1259/IF(CD1259&gt;0,CD1259,MAX(0.1,N(Cockpit!$O$6))),CG1259)/BV1259,0)*BV1259</f>
        <v>0</v>
      </c>
      <c r="BD1259" s="51" t="n">
        <f aca="false">IF(BA1259&gt;0,J1259/BA1259,-1)</f>
        <v>-1</v>
      </c>
      <c r="BE1259" s="51" t="str">
        <f aca="false">IF(AND(OR(CC1259="L1",CC1259="L23",CC1259="LIFT"),BA1259&gt;0),SUMIFS($BA$7:$BA$1843,$CC$7:$CC$1843,CC1259,$BD$7:$BD$1843,"&gt;"&amp;BD1259)+SUMIFS($BA$7:$BA$1843,$CC$7:$CC$1843,CC1259,$BD$7:$BD$1843,BD1259,$BT$7:$BT$1843,"&lt;="&amp;BT1259),"")</f>
        <v/>
      </c>
      <c r="BF1259" s="58" t="n">
        <f aca="false">IF(BE1259="",0,MAX(0,MIN(1,(IF(CC1259="L1",Parameter!$H$5,IF(CC1259="L23",Parameter!$H$6+Parameter!$H$7,Parameter!$H$5+Parameter!$H$6+Parameter!$H$7))-(BE1259-BA1259))/BA1259)))</f>
        <v>0</v>
      </c>
      <c r="BG1259" s="48" t="str">
        <f aca="false">IF(AI1259&lt;=0,"",IF(CC1259="Aussen","Aussenlager",IF(CC1259="-","Nicht im Lift",IF(AN1259&gt;=1,"Lift",IF(AN1259&lt;=0,"Aussenlager","teilweise")))))</f>
        <v/>
      </c>
      <c r="BH1259" s="48" t="str">
        <f aca="false">IF(AR1259&lt;=0,"",IF(CC1259="Aussen","Aussenlager",IF(CC1259="-","Nicht im Lift",IF(AW1259&gt;=1,"Lift",IF(AW1259&lt;=0,"Aussenlager","teilweise")))))</f>
        <v/>
      </c>
      <c r="BI1259" s="48" t="str">
        <f aca="false">IF(BA1259&lt;=0,"",IF(CC1259="Aussen","Aussenlager",IF(CC1259="-","Nicht im Lift",IF(BF1259&gt;=1,"Lift",IF(BF1259&lt;=0,"Aussenlager","teilweise")))))</f>
        <v/>
      </c>
      <c r="BJ1259" s="48" t="str">
        <f aca="false">IF(A1259="","",IF(BS1259=1,"Neu; ","")&amp;IF(AND(BS1259=0,BN1259&lt;0),"negativer Bestand (Export "&amp;BN1259&amp;"); ","")&amp;IF(J1259&lt;=0,"Kein Verbrauch; ","")&amp;IF(CL1259&gt;0,"Lift "&amp;W1259&amp;" lt. Liftbericht (Fach "&amp;X1259&amp;" Stk); ",IF(BX1259=1,"Gebinde geschätzt ("&amp;T1259&amp;"); ",IF(BW1259=1,"Lose – Tablare geschätzt; ","")))&amp;IF(H1259&gt;AT1259,"Überbestand "&amp;ROUND(H1259-AT1259,0)&amp;" Stk / CHF "&amp;ROUND((H1259-AT1259)*G1259,0)&amp;"; ","")&amp;IF(AND(CE1259=1,CF1259&lt;CG1259),"MAX &lt; MB+LG; ","")&amp;IF(AND(CK1259&gt;0,CJ1259*10&gt;CK1259),"zu hoch für Tablar; ","")&amp;IF(AND(BS1259=0,OR(CE1259=1,AA1259&lt;&gt;"",U1259&lt;&gt;"",V1259&lt;&gt;"",AB1259&lt;&gt;"")),"manuell übersteuert; ","")&amp;IF(AND(BW1259=0,R1259=0),"Gebinde unbekannt / Stellmass fehlt; ","")&amp;IF(AND(BW1259=0,N(V1259)&lt;=0,N(Q1259)&lt;=0),"Menge pro Gebinde fehlt (Ist = 1 Gebinde); ","")&amp;BR1259)</f>
        <v>negativer Bestand (Export -2); Kein Verbrauch; Lose – Tablare geschätzt; </v>
      </c>
      <c r="BK1259" s="48"/>
      <c r="BL1259" s="48"/>
      <c r="BM1259" s="55"/>
      <c r="BN1259" s="50" t="n">
        <v>-2</v>
      </c>
      <c r="BO1259" s="50" t="n">
        <v>2</v>
      </c>
      <c r="BP1259" s="49" t="n">
        <v>-803.44</v>
      </c>
      <c r="BQ1259" s="50" t="n">
        <v>0</v>
      </c>
      <c r="BR1259" s="48"/>
      <c r="BS1259" s="53" t="n">
        <v>0</v>
      </c>
      <c r="BT1259" s="53" t="n">
        <v>1259</v>
      </c>
      <c r="BU1259" s="48" t="str">
        <f aca="false">IF(U1259&lt;&gt;"",UPPER(TRIM(U1259)),IF(BX1259=1,UPPER(VLOOKUP(T1259,Parameter!$I$27:$K$29,2,0)),IF(P1259="","LOSE",P1259)))</f>
        <v>LOSE</v>
      </c>
      <c r="BV1259" s="50" t="n">
        <f aca="false">IF(BU1259="LOSE",1,IF(N(V1259)&gt;0,V1259,IF(BX1259=1,MAX(1,N(VLOOKUP(T1259,Parameter!$I$27:$K$29,3,0)),H1259,N(N1259)),IF(N(Q1259)&gt;0,Q1259,MAX(1,H1259)))))</f>
        <v>1</v>
      </c>
      <c r="BW1259" s="53" t="n">
        <f aca="false">IF(BU1259="LOSE",1,0)</f>
        <v>1</v>
      </c>
      <c r="BX1259" s="53" t="n">
        <f aca="false">IF(AND(U1259="",OR(P1259="",P1259="LOSE"),T1259&lt;&gt;"",N(S1259)&lt;=0,ISNUMBER(MATCH(T1259,Parameter!$I$27:$I$29,0))),1,0)</f>
        <v>0</v>
      </c>
      <c r="BY1259" s="53" t="n">
        <f aca="false">IF(CL1259&gt;0,INDEX(Parameter!$H$5:$H$7,W1259)/INDEX(Parameter!$E$5:$E$7,W1259),IF(AND(BW1259=0,N(IFERROR(VLOOKUP(BU1259,'Gebinde-Kategorie'!$A$5:$N$45,14,0),0))&gt;0),VLOOKUP(BU1259,'Gebinde-Kategorie'!$A$5:$N$45,14,0)*10+Parameter!$M$23,Parameter!$M$24))</f>
        <v>235</v>
      </c>
      <c r="BZ1259" s="48" t="str">
        <f aca="false">IF(AND(Parameter!$B$19="Ja",E1259&lt;&gt;"",ISNUMBER(MATCH(E1259,Parameter!$I$35:$I$52,0))),VLOOKUP(E1259,Parameter!$I$35:$J$52,2,0),IFERROR(VLOOKUP(D1259,Parameter!$A$35:$C$64,2,0),"Nein"))</f>
        <v>Nein</v>
      </c>
      <c r="CA1259" s="52" t="n">
        <f aca="false">IF(BW1259=0,0,IF(N(S1259)&gt;0,S1259,IFERROR(VLOOKUP(D1259,Parameter!$A$35:$C$64,3,0)+0,0)))</f>
        <v>0.15</v>
      </c>
      <c r="CB1259" s="48" t="str">
        <f aca="false">IF(AA1259&lt;&gt;"",AA1259,Z1259)</f>
        <v>-</v>
      </c>
      <c r="CC1259" s="48" t="str">
        <f aca="false">IF(OR(CB1259=1,CB1259=2,CB1259=3),IF(Parameter!$E$27="Ja","LIFT",IF(CB1259=1,"L1","L23")),IF(CB1259="Aussen","Aussen","-"))</f>
        <v>-</v>
      </c>
      <c r="CD1259" s="59" t="n">
        <f aca="false">IF(N(AB1259)&gt;0,AB1259,0)</f>
        <v>0</v>
      </c>
      <c r="CE1259" s="53" t="n">
        <f aca="false">IF(ISNUMBER(AE1259),1,0)</f>
        <v>0</v>
      </c>
      <c r="CF1259" s="50" t="n">
        <f aca="false">N(AE1259)</f>
        <v>0</v>
      </c>
      <c r="CG1259" s="50" t="n">
        <f aca="false">N(M1259)+N(N1259)</f>
        <v>0</v>
      </c>
      <c r="CH1259" s="50" t="n">
        <f aca="false">ROUNDUP(H1259/BV1259,0)</f>
        <v>0</v>
      </c>
      <c r="CI1259" s="50" t="n">
        <f aca="false">ROUNDUP(CF1259/BV1259,0)</f>
        <v>0</v>
      </c>
      <c r="CJ1259" s="53" t="n">
        <f aca="false">IF(BW1259=1,0,IFERROR(VLOOKUP(BU1259,'Gebinde-Kategorie'!$A$5:$N$45,5,0)+0,0))</f>
        <v>0</v>
      </c>
      <c r="CK1259" s="53" t="n">
        <f aca="false">IFERROR(IF(OR(CB1259=1,CB1259=2,CB1259=3),N(INDEX(Parameter!$I$5:$I$7,CB1259)),0),0)</f>
        <v>0</v>
      </c>
      <c r="CL1259" s="52" t="n">
        <f aca="false">IF(AND(Parameter!$B$21="Ja",ISNUMBER(W1259),N(X1259)&gt;0),IFERROR(N(INDEX(Parameter!$L$5:$L$7,W1259))*INDEX(Parameter!$E$5:$E$7,W1259)*X1259/SUMIFS($X$7:$X$1843,$W$7:$W$1843,W1259),0),0)</f>
        <v>0</v>
      </c>
    </row>
    <row r="1260" customFormat="false" ht="15" hidden="false" customHeight="false" outlineLevel="0" collapsed="false">
      <c r="A1260" s="48" t="s">
        <v>2253</v>
      </c>
      <c r="B1260" s="48" t="s">
        <v>2254</v>
      </c>
      <c r="C1260" s="48" t="s">
        <v>168</v>
      </c>
      <c r="D1260" s="48" t="s">
        <v>177</v>
      </c>
      <c r="E1260" s="48" t="s">
        <v>374</v>
      </c>
      <c r="F1260" s="48" t="s">
        <v>222</v>
      </c>
      <c r="G1260" s="49" t="n">
        <v>176.38</v>
      </c>
      <c r="H1260" s="50" t="n">
        <f aca="false">MAX(0,IF(AND(Parameter!$B$21="Ja",ISNUMBER(Y1260)),Y1260,IF(Parameter!$B$20="Jahresanfang 2025 + Export",BO1260+BN1260,BN1260)))</f>
        <v>0</v>
      </c>
      <c r="I1260" s="50" t="n">
        <f aca="false">H1260*G1260</f>
        <v>0</v>
      </c>
      <c r="J1260" s="50" t="n">
        <f aca="false">BQ1260*Parameter!$B$18</f>
        <v>2</v>
      </c>
      <c r="K1260" s="51" t="n">
        <v>4</v>
      </c>
      <c r="L1260" s="52" t="n">
        <v>0.5</v>
      </c>
      <c r="M1260" s="50" t="n">
        <v>0</v>
      </c>
      <c r="N1260" s="50" t="n">
        <v>1</v>
      </c>
      <c r="O1260" s="53" t="n">
        <v>14</v>
      </c>
      <c r="P1260" s="48" t="s">
        <v>172</v>
      </c>
      <c r="Q1260" s="50"/>
      <c r="R1260" s="53" t="n">
        <f aca="false">IF(BW1260=1,0,IFERROR(VLOOKUP(BU1260,'Gebinde-Kategorie'!$A$5:$N$45,13,0)+0,0))</f>
        <v>4</v>
      </c>
      <c r="S1260" s="54"/>
      <c r="T1260" s="55" t="s">
        <v>193</v>
      </c>
      <c r="U1260" s="55"/>
      <c r="V1260" s="55"/>
      <c r="W1260" s="48"/>
      <c r="X1260" s="50"/>
      <c r="Y1260" s="50"/>
      <c r="Z1260" s="48" t="str">
        <f aca="false">IF(A1260="","",IF(AND(Parameter!$B$21="Ja",ISNUMBER(W1260)),W1260,IF(BZ1260="2+3",IF(ISNUMBER(SEARCH("grosser Artikel",BR1260)),2,IFERROR(VLOOKUP(BU1260,Parameter!$F$35:$G$64,2,0),2)),IF(OR(BZ1260="Nein",BZ1260=""),"-",BZ1260))))</f>
        <v>-</v>
      </c>
      <c r="AA1260" s="55"/>
      <c r="AB1260" s="56"/>
      <c r="AC1260" s="50" t="n">
        <f aca="false">AT1260</f>
        <v>2</v>
      </c>
      <c r="AD1260" s="50" t="n">
        <f aca="false">MAX(AT1260,H1260)</f>
        <v>2</v>
      </c>
      <c r="AE1260" s="57"/>
      <c r="AF1260" s="50" t="n">
        <f aca="false">IF(LEFT(Cockpit!$C$5,1)="A",H1260,IF(CE1260=1,CF1260,IF(LEFT(Cockpit!$C$5,1)="B",AK1260,MAX(AK1260,H1260))))</f>
        <v>0</v>
      </c>
      <c r="AG1260" s="50" t="n">
        <f aca="false">IF(BW1260=1,0,ROUNDUP(AF1260/BV1260,0))</f>
        <v>0</v>
      </c>
      <c r="AH1260" s="52" t="n">
        <f aca="false">IF(CL1260&gt;0,CL1260*MAX(1,AF1260/X1260),IF(BW1260=1,IF(AF1260&lt;=0,0,CA1260*MAX(1,IF(H1260&gt;0,AF1260/H1260,1))),IF(R1260&gt;0,AG1260/R1260,0))/MAX(0.1,N(Parameter!$M$21)))</f>
        <v>0</v>
      </c>
      <c r="AI1260" s="50" t="n">
        <f aca="false">AH1260*BY1260</f>
        <v>0</v>
      </c>
      <c r="AJ1260" s="50" t="n">
        <f aca="false">AF1260*G1260</f>
        <v>0</v>
      </c>
      <c r="AK1260" s="50" t="n">
        <f aca="false">ROUNDUP(MAX(J1260/IF(CD1260&gt;0,CD1260,MAX(0.1,N(Cockpit!$C$6))),CG1260)/BV1260,0)*BV1260</f>
        <v>2</v>
      </c>
      <c r="AL1260" s="51" t="n">
        <f aca="false">IF(AI1260&gt;0,J1260/AI1260,-1)</f>
        <v>-1</v>
      </c>
      <c r="AM1260" s="51" t="str">
        <f aca="false">IF(AND(OR(CC1260="L1",CC1260="L23",CC1260="LIFT"),AI1260&gt;0),SUMIFS($AI$7:$AI$1843,$CC$7:$CC$1843,CC1260,$AL$7:$AL$1843,"&gt;"&amp;AL1260)+SUMIFS($AI$7:$AI$1843,$CC$7:$CC$1843,CC1260,$AL$7:$AL$1843,AL1260,$BT$7:$BT$1843,"&lt;="&amp;BT1260),"")</f>
        <v/>
      </c>
      <c r="AN1260" s="58" t="n">
        <f aca="false">IF(AM1260="",0,MAX(0,MIN(1,(IF(CC1260="L1",Parameter!$H$5,IF(CC1260="L23",Parameter!$H$6+Parameter!$H$7,Parameter!$H$5+Parameter!$H$6+Parameter!$H$7))-(AM1260-AI1260))/AI1260)))</f>
        <v>0</v>
      </c>
      <c r="AO1260" s="50" t="n">
        <f aca="false">IF(LEFT(Cockpit!$I$5,1)="A",H1260,IF(CE1260=1,CF1260,IF(LEFT(Cockpit!$I$5,1)="B",AT1260,MAX(AT1260,H1260))))</f>
        <v>2</v>
      </c>
      <c r="AP1260" s="50" t="n">
        <f aca="false">IF(BW1260=1,0,ROUNDUP(AO1260/BV1260,0))</f>
        <v>1</v>
      </c>
      <c r="AQ1260" s="52" t="n">
        <f aca="false">IF(CL1260&gt;0,CL1260*MAX(1,AO1260/X1260),IF(BW1260=1,IF(AO1260&lt;=0,0,CA1260*MAX(1,IF(H1260&gt;0,AO1260/H1260,1))),IF(R1260&gt;0,AP1260/R1260,0))/MAX(0.1,N(Parameter!$M$21)))</f>
        <v>0.25</v>
      </c>
      <c r="AR1260" s="50" t="n">
        <f aca="false">AQ1260*BY1260</f>
        <v>58.75</v>
      </c>
      <c r="AS1260" s="50" t="n">
        <f aca="false">AO1260*G1260</f>
        <v>352.76</v>
      </c>
      <c r="AT1260" s="50" t="n">
        <f aca="false">ROUNDUP(MAX(J1260/IF(CD1260&gt;0,CD1260,MAX(0.1,N(Cockpit!$I$6))),CG1260)/BV1260,0)*BV1260</f>
        <v>2</v>
      </c>
      <c r="AU1260" s="51" t="n">
        <f aca="false">IF(AR1260&gt;0,J1260/AR1260,-1)</f>
        <v>0.0340425531914894</v>
      </c>
      <c r="AV1260" s="51" t="str">
        <f aca="false">IF(AND(OR(CC1260="L1",CC1260="L23",CC1260="LIFT"),AR1260&gt;0),SUMIFS($AR$7:$AR$1843,$CC$7:$CC$1843,CC1260,$AU$7:$AU$1843,"&gt;"&amp;AU1260)+SUMIFS($AR$7:$AR$1843,$CC$7:$CC$1843,CC1260,$AU$7:$AU$1843,AU1260,$BT$7:$BT$1843,"&lt;="&amp;BT1260),"")</f>
        <v/>
      </c>
      <c r="AW1260" s="58" t="n">
        <f aca="false">IF(AV1260="",0,MAX(0,MIN(1,(IF(CC1260="L1",Parameter!$H$5,IF(CC1260="L23",Parameter!$H$6+Parameter!$H$7,Parameter!$H$5+Parameter!$H$6+Parameter!$H$7))-(AV1260-AR1260))/AR1260)))</f>
        <v>0</v>
      </c>
      <c r="AX1260" s="50" t="n">
        <f aca="false">IF(LEFT(Cockpit!$O$5,1)="A",H1260,IF(CE1260=1,CF1260,IF(LEFT(Cockpit!$O$5,1)="B",BC1260,MAX(BC1260,H1260))))</f>
        <v>2</v>
      </c>
      <c r="AY1260" s="50" t="n">
        <f aca="false">IF(BW1260=1,0,ROUNDUP(AX1260/BV1260,0))</f>
        <v>1</v>
      </c>
      <c r="AZ1260" s="52" t="n">
        <f aca="false">IF(CL1260&gt;0,CL1260*MAX(1,AX1260/X1260),IF(BW1260=1,IF(AX1260&lt;=0,0,CA1260*MAX(1,IF(H1260&gt;0,AX1260/H1260,1))),IF(R1260&gt;0,AY1260/R1260,0))/MAX(0.1,N(Parameter!$M$21)))</f>
        <v>0.25</v>
      </c>
      <c r="BA1260" s="50" t="n">
        <f aca="false">AZ1260*BY1260</f>
        <v>58.75</v>
      </c>
      <c r="BB1260" s="50" t="n">
        <f aca="false">AX1260*G1260</f>
        <v>352.76</v>
      </c>
      <c r="BC1260" s="50" t="n">
        <f aca="false">ROUNDUP(MAX(J1260/IF(CD1260&gt;0,CD1260,MAX(0.1,N(Cockpit!$O$6))),CG1260)/BV1260,0)*BV1260</f>
        <v>2</v>
      </c>
      <c r="BD1260" s="51" t="n">
        <f aca="false">IF(BA1260&gt;0,J1260/BA1260,-1)</f>
        <v>0.0340425531914894</v>
      </c>
      <c r="BE1260" s="51" t="str">
        <f aca="false">IF(AND(OR(CC1260="L1",CC1260="L23",CC1260="LIFT"),BA1260&gt;0),SUMIFS($BA$7:$BA$1843,$CC$7:$CC$1843,CC1260,$BD$7:$BD$1843,"&gt;"&amp;BD1260)+SUMIFS($BA$7:$BA$1843,$CC$7:$CC$1843,CC1260,$BD$7:$BD$1843,BD1260,$BT$7:$BT$1843,"&lt;="&amp;BT1260),"")</f>
        <v/>
      </c>
      <c r="BF1260" s="58" t="n">
        <f aca="false">IF(BE1260="",0,MAX(0,MIN(1,(IF(CC1260="L1",Parameter!$H$5,IF(CC1260="L23",Parameter!$H$6+Parameter!$H$7,Parameter!$H$5+Parameter!$H$6+Parameter!$H$7))-(BE1260-BA1260))/BA1260)))</f>
        <v>0</v>
      </c>
      <c r="BG1260" s="48" t="str">
        <f aca="false">IF(AI1260&lt;=0,"",IF(CC1260="Aussen","Aussenlager",IF(CC1260="-","Nicht im Lift",IF(AN1260&gt;=1,"Lift",IF(AN1260&lt;=0,"Aussenlager","teilweise")))))</f>
        <v/>
      </c>
      <c r="BH1260" s="48" t="str">
        <f aca="false">IF(AR1260&lt;=0,"",IF(CC1260="Aussen","Aussenlager",IF(CC1260="-","Nicht im Lift",IF(AW1260&gt;=1,"Lift",IF(AW1260&lt;=0,"Aussenlager","teilweise")))))</f>
        <v>Nicht im Lift</v>
      </c>
      <c r="BI1260" s="48" t="str">
        <f aca="false">IF(BA1260&lt;=0,"",IF(CC1260="Aussen","Aussenlager",IF(CC1260="-","Nicht im Lift",IF(BF1260&gt;=1,"Lift",IF(BF1260&lt;=0,"Aussenlager","teilweise")))))</f>
        <v>Nicht im Lift</v>
      </c>
      <c r="BJ1260" s="48" t="str">
        <f aca="false">IF(A1260="","",IF(BS1260=1,"Neu; ","")&amp;IF(AND(BS1260=0,BN1260&lt;0),"negativer Bestand (Export "&amp;BN1260&amp;"); ","")&amp;IF(J1260&lt;=0,"Kein Verbrauch; ","")&amp;IF(CL1260&gt;0,"Lift "&amp;W1260&amp;" lt. Liftbericht (Fach "&amp;X1260&amp;" Stk); ",IF(BX1260=1,"Gebinde geschätzt ("&amp;T1260&amp;"); ",IF(BW1260=1,"Lose – Tablare geschätzt; ","")))&amp;IF(H1260&gt;AT1260,"Überbestand "&amp;ROUND(H1260-AT1260,0)&amp;" Stk / CHF "&amp;ROUND((H1260-AT1260)*G1260,0)&amp;"; ","")&amp;IF(AND(CE1260=1,CF1260&lt;CG1260),"MAX &lt; MB+LG; ","")&amp;IF(AND(CK1260&gt;0,CJ1260*10&gt;CK1260),"zu hoch für Tablar; ","")&amp;IF(AND(BS1260=0,OR(CE1260=1,AA1260&lt;&gt;"",U1260&lt;&gt;"",V1260&lt;&gt;"",AB1260&lt;&gt;"")),"manuell übersteuert; ","")&amp;IF(AND(BW1260=0,R1260=0),"Gebinde unbekannt / Stellmass fehlt; ","")&amp;IF(AND(BW1260=0,N(V1260)&lt;=0,N(Q1260)&lt;=0),"Menge pro Gebinde fehlt (Ist = 1 Gebinde); ","")&amp;BR1260)</f>
        <v>negativer Bestand (Export -8); Gebinde geschätzt (Gross); Menge pro Gebinde fehlt (Ist = 1 Gebinde); </v>
      </c>
      <c r="BK1260" s="48"/>
      <c r="BL1260" s="48"/>
      <c r="BM1260" s="55"/>
      <c r="BN1260" s="50" t="n">
        <v>-8</v>
      </c>
      <c r="BO1260" s="50" t="n">
        <v>8</v>
      </c>
      <c r="BP1260" s="49" t="n">
        <v>-824.48</v>
      </c>
      <c r="BQ1260" s="50" t="n">
        <v>2</v>
      </c>
      <c r="BR1260" s="48"/>
      <c r="BS1260" s="53" t="n">
        <v>0</v>
      </c>
      <c r="BT1260" s="53" t="n">
        <v>1260</v>
      </c>
      <c r="BU1260" s="48" t="str">
        <f aca="false">IF(U1260&lt;&gt;"",UPPER(TRIM(U1260)),IF(BX1260=1,UPPER(VLOOKUP(T1260,Parameter!$I$27:$K$29,2,0)),IF(P1260="","LOSE",P1260)))</f>
        <v>S81</v>
      </c>
      <c r="BV1260" s="50" t="n">
        <f aca="false">IF(BU1260="LOSE",1,IF(N(V1260)&gt;0,V1260,IF(BX1260=1,MAX(1,N(VLOOKUP(T1260,Parameter!$I$27:$K$29,3,0)),H1260,N(N1260)),IF(N(Q1260)&gt;0,Q1260,MAX(1,H1260)))))</f>
        <v>2</v>
      </c>
      <c r="BW1260" s="53" t="n">
        <f aca="false">IF(BU1260="LOSE",1,0)</f>
        <v>0</v>
      </c>
      <c r="BX1260" s="53" t="n">
        <f aca="false">IF(AND(U1260="",OR(P1260="",P1260="LOSE"),T1260&lt;&gt;"",N(S1260)&lt;=0,ISNUMBER(MATCH(T1260,Parameter!$I$27:$I$29,0))),1,0)</f>
        <v>1</v>
      </c>
      <c r="BY1260" s="53" t="n">
        <f aca="false">IF(CL1260&gt;0,INDEX(Parameter!$H$5:$H$7,W1260)/INDEX(Parameter!$E$5:$E$7,W1260),IF(AND(BW1260=0,N(IFERROR(VLOOKUP(BU1260,'Gebinde-Kategorie'!$A$5:$N$45,14,0),0))&gt;0),VLOOKUP(BU1260,'Gebinde-Kategorie'!$A$5:$N$45,14,0)*10+Parameter!$M$23,Parameter!$M$24))</f>
        <v>235</v>
      </c>
      <c r="BZ1260" s="48" t="str">
        <f aca="false">IF(AND(Parameter!$B$19="Ja",E1260&lt;&gt;"",ISNUMBER(MATCH(E1260,Parameter!$I$35:$I$52,0))),VLOOKUP(E1260,Parameter!$I$35:$J$52,2,0),IFERROR(VLOOKUP(D1260,Parameter!$A$35:$C$64,2,0),"Nein"))</f>
        <v>Nein</v>
      </c>
      <c r="CA1260" s="52" t="n">
        <f aca="false">IF(BW1260=0,0,IF(N(S1260)&gt;0,S1260,IFERROR(VLOOKUP(D1260,Parameter!$A$35:$C$64,3,0)+0,0)))</f>
        <v>0</v>
      </c>
      <c r="CB1260" s="48" t="str">
        <f aca="false">IF(AA1260&lt;&gt;"",AA1260,Z1260)</f>
        <v>-</v>
      </c>
      <c r="CC1260" s="48" t="str">
        <f aca="false">IF(OR(CB1260=1,CB1260=2,CB1260=3),IF(Parameter!$E$27="Ja","LIFT",IF(CB1260=1,"L1","L23")),IF(CB1260="Aussen","Aussen","-"))</f>
        <v>-</v>
      </c>
      <c r="CD1260" s="59" t="n">
        <f aca="false">IF(N(AB1260)&gt;0,AB1260,0)</f>
        <v>0</v>
      </c>
      <c r="CE1260" s="53" t="n">
        <f aca="false">IF(ISNUMBER(AE1260),1,0)</f>
        <v>0</v>
      </c>
      <c r="CF1260" s="50" t="n">
        <f aca="false">N(AE1260)</f>
        <v>0</v>
      </c>
      <c r="CG1260" s="50" t="n">
        <f aca="false">N(M1260)+N(N1260)</f>
        <v>1</v>
      </c>
      <c r="CH1260" s="50" t="n">
        <f aca="false">ROUNDUP(H1260/BV1260,0)</f>
        <v>0</v>
      </c>
      <c r="CI1260" s="50" t="n">
        <f aca="false">ROUNDUP(CF1260/BV1260,0)</f>
        <v>0</v>
      </c>
      <c r="CJ1260" s="53" t="n">
        <f aca="false">IF(BW1260=1,0,IFERROR(VLOOKUP(BU1260,'Gebinde-Kategorie'!$A$5:$N$45,5,0)+0,0))</f>
        <v>20</v>
      </c>
      <c r="CK1260" s="53" t="n">
        <f aca="false">IFERROR(IF(OR(CB1260=1,CB1260=2,CB1260=3),N(INDEX(Parameter!$I$5:$I$7,CB1260)),0),0)</f>
        <v>0</v>
      </c>
      <c r="CL1260" s="52" t="n">
        <f aca="false">IF(AND(Parameter!$B$21="Ja",ISNUMBER(W1260),N(X1260)&gt;0),IFERROR(N(INDEX(Parameter!$L$5:$L$7,W1260))*INDEX(Parameter!$E$5:$E$7,W1260)*X1260/SUMIFS($X$7:$X$1843,$W$7:$W$1843,W1260),0),0)</f>
        <v>0</v>
      </c>
    </row>
    <row r="1261" customFormat="false" ht="15" hidden="false" customHeight="false" outlineLevel="0" collapsed="false">
      <c r="A1261" s="48" t="s">
        <v>2255</v>
      </c>
      <c r="B1261" s="48" t="s">
        <v>2256</v>
      </c>
      <c r="C1261" s="48" t="s">
        <v>168</v>
      </c>
      <c r="D1261" s="48" t="s">
        <v>188</v>
      </c>
      <c r="E1261" s="48" t="s">
        <v>189</v>
      </c>
      <c r="F1261" s="48" t="s">
        <v>222</v>
      </c>
      <c r="G1261" s="49" t="n">
        <v>55.37</v>
      </c>
      <c r="H1261" s="50" t="n">
        <f aca="false">MAX(0,IF(AND(Parameter!$B$21="Ja",ISNUMBER(Y1261)),Y1261,IF(Parameter!$B$20="Jahresanfang 2025 + Export",BO1261+BN1261,BN1261)))</f>
        <v>21</v>
      </c>
      <c r="I1261" s="50" t="n">
        <f aca="false">H1261*G1261</f>
        <v>1162.77</v>
      </c>
      <c r="J1261" s="50" t="n">
        <f aca="false">BQ1261*Parameter!$B$18</f>
        <v>12</v>
      </c>
      <c r="K1261" s="51" t="n">
        <v>29.5</v>
      </c>
      <c r="L1261" s="52" t="n">
        <v>0.406779661016949</v>
      </c>
      <c r="M1261" s="50" t="n">
        <v>5</v>
      </c>
      <c r="N1261" s="50" t="n">
        <v>5</v>
      </c>
      <c r="O1261" s="53" t="n">
        <v>14</v>
      </c>
      <c r="P1261" s="48" t="s">
        <v>425</v>
      </c>
      <c r="Q1261" s="50" t="n">
        <v>38</v>
      </c>
      <c r="R1261" s="53" t="n">
        <f aca="false">IF(BW1261=1,0,IFERROR(VLOOKUP(BU1261,'Gebinde-Kategorie'!$A$5:$N$45,13,0)+0,0))</f>
        <v>104</v>
      </c>
      <c r="S1261" s="54"/>
      <c r="T1261" s="55"/>
      <c r="U1261" s="55"/>
      <c r="V1261" s="55"/>
      <c r="W1261" s="48"/>
      <c r="X1261" s="50"/>
      <c r="Y1261" s="50"/>
      <c r="Z1261" s="48" t="n">
        <f aca="false">IF(A1261="","",IF(AND(Parameter!$B$21="Ja",ISNUMBER(W1261)),W1261,IF(BZ1261="2+3",IF(ISNUMBER(SEARCH("grosser Artikel",BR1261)),2,IFERROR(VLOOKUP(BU1261,Parameter!$F$35:$G$64,2,0),2)),IF(OR(BZ1261="Nein",BZ1261=""),"-",BZ1261))))</f>
        <v>3</v>
      </c>
      <c r="AA1261" s="55"/>
      <c r="AB1261" s="56"/>
      <c r="AC1261" s="50" t="n">
        <f aca="false">AT1261</f>
        <v>38</v>
      </c>
      <c r="AD1261" s="50" t="n">
        <f aca="false">MAX(AT1261,H1261)</f>
        <v>38</v>
      </c>
      <c r="AE1261" s="57"/>
      <c r="AF1261" s="50" t="n">
        <f aca="false">IF(LEFT(Cockpit!$C$5,1)="A",H1261,IF(CE1261=1,CF1261,IF(LEFT(Cockpit!$C$5,1)="B",AK1261,MAX(AK1261,H1261))))</f>
        <v>21</v>
      </c>
      <c r="AG1261" s="50" t="n">
        <f aca="false">IF(BW1261=1,0,ROUNDUP(AF1261/BV1261,0))</f>
        <v>1</v>
      </c>
      <c r="AH1261" s="52" t="n">
        <f aca="false">IF(CL1261&gt;0,CL1261*MAX(1,AF1261/X1261),IF(BW1261=1,IF(AF1261&lt;=0,0,CA1261*MAX(1,IF(H1261&gt;0,AF1261/H1261,1))),IF(R1261&gt;0,AG1261/R1261,0))/MAX(0.1,N(Parameter!$M$21)))</f>
        <v>0.00961538461538462</v>
      </c>
      <c r="AI1261" s="50" t="n">
        <f aca="false">AH1261*BY1261</f>
        <v>1.49038461538462</v>
      </c>
      <c r="AJ1261" s="50" t="n">
        <f aca="false">AF1261*G1261</f>
        <v>1162.77</v>
      </c>
      <c r="AK1261" s="50" t="n">
        <f aca="false">ROUNDUP(MAX(J1261/IF(CD1261&gt;0,CD1261,MAX(0.1,N(Cockpit!$C$6))),CG1261)/BV1261,0)*BV1261</f>
        <v>38</v>
      </c>
      <c r="AL1261" s="51" t="n">
        <f aca="false">IF(AI1261&gt;0,J1261/AI1261,-1)</f>
        <v>8.05161290322581</v>
      </c>
      <c r="AM1261" s="51" t="n">
        <f aca="false">IF(AND(OR(CC1261="L1",CC1261="L23",CC1261="LIFT"),AI1261&gt;0),SUMIFS($AI$7:$AI$1843,$CC$7:$CC$1843,CC1261,$AL$7:$AL$1843,"&gt;"&amp;AL1261)+SUMIFS($AI$7:$AI$1843,$CC$7:$CC$1843,CC1261,$AL$7:$AL$1843,AL1261,$BT$7:$BT$1843,"&lt;="&amp;BT1261),"")</f>
        <v>3049.60256410256</v>
      </c>
      <c r="AN1261" s="58" t="n">
        <f aca="false">IF(AM1261="",0,MAX(0,MIN(1,(IF(CC1261="L1",Parameter!$H$5,IF(CC1261="L23",Parameter!$H$6+Parameter!$H$7,Parameter!$H$5+Parameter!$H$6+Parameter!$H$7))-(AM1261-AI1261))/AI1261)))</f>
        <v>1</v>
      </c>
      <c r="AO1261" s="50" t="n">
        <f aca="false">IF(LEFT(Cockpit!$I$5,1)="A",H1261,IF(CE1261=1,CF1261,IF(LEFT(Cockpit!$I$5,1)="B",AT1261,MAX(AT1261,H1261))))</f>
        <v>38</v>
      </c>
      <c r="AP1261" s="50" t="n">
        <f aca="false">IF(BW1261=1,0,ROUNDUP(AO1261/BV1261,0))</f>
        <v>1</v>
      </c>
      <c r="AQ1261" s="52" t="n">
        <f aca="false">IF(CL1261&gt;0,CL1261*MAX(1,AO1261/X1261),IF(BW1261=1,IF(AO1261&lt;=0,0,CA1261*MAX(1,IF(H1261&gt;0,AO1261/H1261,1))),IF(R1261&gt;0,AP1261/R1261,0))/MAX(0.1,N(Parameter!$M$21)))</f>
        <v>0.00961538461538462</v>
      </c>
      <c r="AR1261" s="50" t="n">
        <f aca="false">AQ1261*BY1261</f>
        <v>1.49038461538462</v>
      </c>
      <c r="AS1261" s="50" t="n">
        <f aca="false">AO1261*G1261</f>
        <v>2104.06</v>
      </c>
      <c r="AT1261" s="50" t="n">
        <f aca="false">ROUNDUP(MAX(J1261/IF(CD1261&gt;0,CD1261,MAX(0.1,N(Cockpit!$I$6))),CG1261)/BV1261,0)*BV1261</f>
        <v>38</v>
      </c>
      <c r="AU1261" s="51" t="n">
        <f aca="false">IF(AR1261&gt;0,J1261/AR1261,-1)</f>
        <v>8.05161290322581</v>
      </c>
      <c r="AV1261" s="51" t="n">
        <f aca="false">IF(AND(OR(CC1261="L1",CC1261="L23",CC1261="LIFT"),AR1261&gt;0),SUMIFS($AR$7:$AR$1843,$CC$7:$CC$1843,CC1261,$AU$7:$AU$1843,"&gt;"&amp;AU1261)+SUMIFS($AR$7:$AR$1843,$CC$7:$CC$1843,CC1261,$AU$7:$AU$1843,AU1261,$BT$7:$BT$1843,"&lt;="&amp;BT1261),"")</f>
        <v>4276.24496336996</v>
      </c>
      <c r="AW1261" s="58" t="n">
        <f aca="false">IF(AV1261="",0,MAX(0,MIN(1,(IF(CC1261="L1",Parameter!$H$5,IF(CC1261="L23",Parameter!$H$6+Parameter!$H$7,Parameter!$H$5+Parameter!$H$6+Parameter!$H$7))-(AV1261-AR1261))/AR1261)))</f>
        <v>1</v>
      </c>
      <c r="AX1261" s="50" t="n">
        <f aca="false">IF(LEFT(Cockpit!$O$5,1)="A",H1261,IF(CE1261=1,CF1261,IF(LEFT(Cockpit!$O$5,1)="B",BC1261,MAX(BC1261,H1261))))</f>
        <v>38</v>
      </c>
      <c r="AY1261" s="50" t="n">
        <f aca="false">IF(BW1261=1,0,ROUNDUP(AX1261/BV1261,0))</f>
        <v>1</v>
      </c>
      <c r="AZ1261" s="52" t="n">
        <f aca="false">IF(CL1261&gt;0,CL1261*MAX(1,AX1261/X1261),IF(BW1261=1,IF(AX1261&lt;=0,0,CA1261*MAX(1,IF(H1261&gt;0,AX1261/H1261,1))),IF(R1261&gt;0,AY1261/R1261,0))/MAX(0.1,N(Parameter!$M$21)))</f>
        <v>0.00961538461538462</v>
      </c>
      <c r="BA1261" s="50" t="n">
        <f aca="false">AZ1261*BY1261</f>
        <v>1.49038461538462</v>
      </c>
      <c r="BB1261" s="50" t="n">
        <f aca="false">AX1261*G1261</f>
        <v>2104.06</v>
      </c>
      <c r="BC1261" s="50" t="n">
        <f aca="false">ROUNDUP(MAX(J1261/IF(CD1261&gt;0,CD1261,MAX(0.1,N(Cockpit!$O$6))),CG1261)/BV1261,0)*BV1261</f>
        <v>38</v>
      </c>
      <c r="BD1261" s="51" t="n">
        <f aca="false">IF(BA1261&gt;0,J1261/BA1261,-1)</f>
        <v>8.05161290322581</v>
      </c>
      <c r="BE1261" s="51" t="n">
        <f aca="false">IF(AND(OR(CC1261="L1",CC1261="L23",CC1261="LIFT"),BA1261&gt;0),SUMIFS($BA$7:$BA$1843,$CC$7:$CC$1843,CC1261,$BD$7:$BD$1843,"&gt;"&amp;BD1261)+SUMIFS($BA$7:$BA$1843,$CC$7:$CC$1843,CC1261,$BD$7:$BD$1843,BD1261,$BT$7:$BT$1843,"&lt;="&amp;BT1261),"")</f>
        <v>3943.79304029304</v>
      </c>
      <c r="BF1261" s="58" t="n">
        <f aca="false">IF(BE1261="",0,MAX(0,MIN(1,(IF(CC1261="L1",Parameter!$H$5,IF(CC1261="L23",Parameter!$H$6+Parameter!$H$7,Parameter!$H$5+Parameter!$H$6+Parameter!$H$7))-(BE1261-BA1261))/BA1261)))</f>
        <v>1</v>
      </c>
      <c r="BG1261" s="48" t="str">
        <f aca="false">IF(AI1261&lt;=0,"",IF(CC1261="Aussen","Aussenlager",IF(CC1261="-","Nicht im Lift",IF(AN1261&gt;=1,"Lift",IF(AN1261&lt;=0,"Aussenlager","teilweise")))))</f>
        <v>Lift</v>
      </c>
      <c r="BH1261" s="48" t="str">
        <f aca="false">IF(AR1261&lt;=0,"",IF(CC1261="Aussen","Aussenlager",IF(CC1261="-","Nicht im Lift",IF(AW1261&gt;=1,"Lift",IF(AW1261&lt;=0,"Aussenlager","teilweise")))))</f>
        <v>Lift</v>
      </c>
      <c r="BI1261" s="48" t="str">
        <f aca="false">IF(BA1261&lt;=0,"",IF(CC1261="Aussen","Aussenlager",IF(CC1261="-","Nicht im Lift",IF(BF1261&gt;=1,"Lift",IF(BF1261&lt;=0,"Aussenlager","teilweise")))))</f>
        <v>Lift</v>
      </c>
      <c r="BJ1261" s="48" t="str">
        <f aca="false">IF(A1261="","",IF(BS1261=1,"Neu; ","")&amp;IF(AND(BS1261=0,BN1261&lt;0),"negativer Bestand (Export "&amp;BN1261&amp;"); ","")&amp;IF(J1261&lt;=0,"Kein Verbrauch; ","")&amp;IF(CL1261&gt;0,"Lift "&amp;W1261&amp;" lt. Liftbericht (Fach "&amp;X1261&amp;" Stk); ",IF(BX1261=1,"Gebinde geschätzt ("&amp;T1261&amp;"); ",IF(BW1261=1,"Lose – Tablare geschätzt; ","")))&amp;IF(H1261&gt;AT1261,"Überbestand "&amp;ROUND(H1261-AT1261,0)&amp;" Stk / CHF "&amp;ROUND((H1261-AT1261)*G1261,0)&amp;"; ","")&amp;IF(AND(CE1261=1,CF1261&lt;CG1261),"MAX &lt; MB+LG; ","")&amp;IF(AND(CK1261&gt;0,CJ1261*10&gt;CK1261),"zu hoch für Tablar; ","")&amp;IF(AND(BS1261=0,OR(CE1261=1,AA1261&lt;&gt;"",U1261&lt;&gt;"",V1261&lt;&gt;"",AB1261&lt;&gt;"")),"manuell übersteuert; ","")&amp;IF(AND(BW1261=0,R1261=0),"Gebinde unbekannt / Stellmass fehlt; ","")&amp;IF(AND(BW1261=0,N(V1261)&lt;=0,N(Q1261)&lt;=0),"Menge pro Gebinde fehlt (Ist = 1 Gebinde); ","")&amp;BR1261)</f>
        <v>negativer Bestand (Export -15); </v>
      </c>
      <c r="BK1261" s="48"/>
      <c r="BL1261" s="48"/>
      <c r="BM1261" s="55"/>
      <c r="BN1261" s="50" t="n">
        <v>-15</v>
      </c>
      <c r="BO1261" s="50" t="n">
        <v>36</v>
      </c>
      <c r="BP1261" s="49" t="n">
        <v>-830.55</v>
      </c>
      <c r="BQ1261" s="50" t="n">
        <v>12</v>
      </c>
      <c r="BR1261" s="48"/>
      <c r="BS1261" s="53" t="n">
        <v>0</v>
      </c>
      <c r="BT1261" s="53" t="n">
        <v>1261</v>
      </c>
      <c r="BU1261" s="48" t="str">
        <f aca="false">IF(U1261&lt;&gt;"",UPPER(TRIM(U1261)),IF(BX1261=1,UPPER(VLOOKUP(T1261,Parameter!$I$27:$K$29,2,0)),IF(P1261="","LOSE",P1261)))</f>
        <v>S32</v>
      </c>
      <c r="BV1261" s="50" t="n">
        <f aca="false">IF(BU1261="LOSE",1,IF(N(V1261)&gt;0,V1261,IF(BX1261=1,MAX(1,N(VLOOKUP(T1261,Parameter!$I$27:$K$29,3,0)),H1261,N(N1261)),IF(N(Q1261)&gt;0,Q1261,MAX(1,H1261)))))</f>
        <v>38</v>
      </c>
      <c r="BW1261" s="53" t="n">
        <f aca="false">IF(BU1261="LOSE",1,0)</f>
        <v>0</v>
      </c>
      <c r="BX1261" s="53" t="n">
        <f aca="false">IF(AND(U1261="",OR(P1261="",P1261="LOSE"),T1261&lt;&gt;"",N(S1261)&lt;=0,ISNUMBER(MATCH(T1261,Parameter!$I$27:$I$29,0))),1,0)</f>
        <v>0</v>
      </c>
      <c r="BY1261" s="53" t="n">
        <f aca="false">IF(CL1261&gt;0,INDEX(Parameter!$H$5:$H$7,W1261)/INDEX(Parameter!$E$5:$E$7,W1261),IF(AND(BW1261=0,N(IFERROR(VLOOKUP(BU1261,'Gebinde-Kategorie'!$A$5:$N$45,14,0),0))&gt;0),VLOOKUP(BU1261,'Gebinde-Kategorie'!$A$5:$N$45,14,0)*10+Parameter!$M$23,Parameter!$M$24))</f>
        <v>155</v>
      </c>
      <c r="BZ1261" s="48" t="str">
        <f aca="false">IF(AND(Parameter!$B$19="Ja",E1261&lt;&gt;"",ISNUMBER(MATCH(E1261,Parameter!$I$35:$I$52,0))),VLOOKUP(E1261,Parameter!$I$35:$J$52,2,0),IFERROR(VLOOKUP(D1261,Parameter!$A$35:$C$64,2,0),"Nein"))</f>
        <v>2+3</v>
      </c>
      <c r="CA1261" s="52" t="n">
        <f aca="false">IF(BW1261=0,0,IF(N(S1261)&gt;0,S1261,IFERROR(VLOOKUP(D1261,Parameter!$A$35:$C$64,3,0)+0,0)))</f>
        <v>0</v>
      </c>
      <c r="CB1261" s="48" t="n">
        <f aca="false">IF(AA1261&lt;&gt;"",AA1261,Z1261)</f>
        <v>3</v>
      </c>
      <c r="CC1261" s="48" t="str">
        <f aca="false">IF(OR(CB1261=1,CB1261=2,CB1261=3),IF(Parameter!$E$27="Ja","LIFT",IF(CB1261=1,"L1","L23")),IF(CB1261="Aussen","Aussen","-"))</f>
        <v>LIFT</v>
      </c>
      <c r="CD1261" s="59" t="n">
        <f aca="false">IF(N(AB1261)&gt;0,AB1261,0)</f>
        <v>0</v>
      </c>
      <c r="CE1261" s="53" t="n">
        <f aca="false">IF(ISNUMBER(AE1261),1,0)</f>
        <v>0</v>
      </c>
      <c r="CF1261" s="50" t="n">
        <f aca="false">N(AE1261)</f>
        <v>0</v>
      </c>
      <c r="CG1261" s="50" t="n">
        <f aca="false">N(M1261)+N(N1261)</f>
        <v>10</v>
      </c>
      <c r="CH1261" s="50" t="n">
        <f aca="false">ROUNDUP(H1261/BV1261,0)</f>
        <v>1</v>
      </c>
      <c r="CI1261" s="50" t="n">
        <f aca="false">ROUNDUP(CF1261/BV1261,0)</f>
        <v>0</v>
      </c>
      <c r="CJ1261" s="53" t="n">
        <f aca="false">IF(BW1261=1,0,IFERROR(VLOOKUP(BU1261,'Gebinde-Kategorie'!$A$5:$N$45,5,0)+0,0))</f>
        <v>8</v>
      </c>
      <c r="CK1261" s="53" t="n">
        <f aca="false">IFERROR(IF(OR(CB1261=1,CB1261=2,CB1261=3),N(INDEX(Parameter!$I$5:$I$7,CB1261)),0),0)</f>
        <v>0</v>
      </c>
      <c r="CL1261" s="52" t="n">
        <f aca="false">IF(AND(Parameter!$B$21="Ja",ISNUMBER(W1261),N(X1261)&gt;0),IFERROR(N(INDEX(Parameter!$L$5:$L$7,W1261))*INDEX(Parameter!$E$5:$E$7,W1261)*X1261/SUMIFS($X$7:$X$1843,$W$7:$W$1843,W1261),0),0)</f>
        <v>0</v>
      </c>
    </row>
    <row r="1262" customFormat="false" ht="15" hidden="false" customHeight="false" outlineLevel="0" collapsed="false">
      <c r="A1262" s="48" t="s">
        <v>2257</v>
      </c>
      <c r="B1262" s="48" t="s">
        <v>2258</v>
      </c>
      <c r="C1262" s="48" t="s">
        <v>168</v>
      </c>
      <c r="D1262" s="48" t="s">
        <v>177</v>
      </c>
      <c r="E1262" s="48" t="s">
        <v>177</v>
      </c>
      <c r="F1262" s="48" t="s">
        <v>222</v>
      </c>
      <c r="G1262" s="49" t="n">
        <v>65.63</v>
      </c>
      <c r="H1262" s="50" t="n">
        <f aca="false">MAX(0,IF(AND(Parameter!$B$21="Ja",ISNUMBER(Y1262)),Y1262,IF(Parameter!$B$20="Jahresanfang 2025 + Export",BO1262+BN1262,BN1262)))</f>
        <v>32</v>
      </c>
      <c r="I1262" s="50" t="n">
        <f aca="false">H1262*G1262</f>
        <v>2100.16</v>
      </c>
      <c r="J1262" s="50" t="n">
        <f aca="false">BQ1262*Parameter!$B$18</f>
        <v>74</v>
      </c>
      <c r="K1262" s="51" t="n">
        <v>23.5</v>
      </c>
      <c r="L1262" s="52" t="n">
        <v>3.14893617021277</v>
      </c>
      <c r="M1262" s="50" t="n">
        <v>4</v>
      </c>
      <c r="N1262" s="50" t="n">
        <v>50</v>
      </c>
      <c r="O1262" s="53" t="n">
        <v>21</v>
      </c>
      <c r="P1262" s="48" t="s">
        <v>178</v>
      </c>
      <c r="Q1262" s="50" t="n">
        <v>60</v>
      </c>
      <c r="R1262" s="53" t="n">
        <f aca="false">IF(BW1262=1,0,IFERROR(VLOOKUP(BU1262,'Gebinde-Kategorie'!$A$5:$N$45,13,0)+0,0))</f>
        <v>6</v>
      </c>
      <c r="S1262" s="54"/>
      <c r="T1262" s="55"/>
      <c r="U1262" s="55"/>
      <c r="V1262" s="55"/>
      <c r="W1262" s="48"/>
      <c r="X1262" s="50"/>
      <c r="Y1262" s="50"/>
      <c r="Z1262" s="48" t="str">
        <f aca="false">IF(A1262="","",IF(AND(Parameter!$B$21="Ja",ISNUMBER(W1262)),W1262,IF(BZ1262="2+3",IF(ISNUMBER(SEARCH("grosser Artikel",BR1262)),2,IFERROR(VLOOKUP(BU1262,Parameter!$F$35:$G$64,2,0),2)),IF(OR(BZ1262="Nein",BZ1262=""),"-",BZ1262))))</f>
        <v>-</v>
      </c>
      <c r="AA1262" s="55"/>
      <c r="AB1262" s="56"/>
      <c r="AC1262" s="50" t="n">
        <f aca="false">AT1262</f>
        <v>60</v>
      </c>
      <c r="AD1262" s="50" t="n">
        <f aca="false">MAX(AT1262,H1262)</f>
        <v>60</v>
      </c>
      <c r="AE1262" s="57"/>
      <c r="AF1262" s="50" t="n">
        <f aca="false">IF(LEFT(Cockpit!$C$5,1)="A",H1262,IF(CE1262=1,CF1262,IF(LEFT(Cockpit!$C$5,1)="B",AK1262,MAX(AK1262,H1262))))</f>
        <v>32</v>
      </c>
      <c r="AG1262" s="50" t="n">
        <f aca="false">IF(BW1262=1,0,ROUNDUP(AF1262/BV1262,0))</f>
        <v>1</v>
      </c>
      <c r="AH1262" s="52" t="n">
        <f aca="false">IF(CL1262&gt;0,CL1262*MAX(1,AF1262/X1262),IF(BW1262=1,IF(AF1262&lt;=0,0,CA1262*MAX(1,IF(H1262&gt;0,AF1262/H1262,1))),IF(R1262&gt;0,AG1262/R1262,0))/MAX(0.1,N(Parameter!$M$21)))</f>
        <v>0.166666666666667</v>
      </c>
      <c r="AI1262" s="50" t="n">
        <f aca="false">AH1262*BY1262</f>
        <v>39.1666666666667</v>
      </c>
      <c r="AJ1262" s="50" t="n">
        <f aca="false">AF1262*G1262</f>
        <v>2100.16</v>
      </c>
      <c r="AK1262" s="50" t="n">
        <f aca="false">ROUNDUP(MAX(J1262/IF(CD1262&gt;0,CD1262,MAX(0.1,N(Cockpit!$C$6))),CG1262)/BV1262,0)*BV1262</f>
        <v>60</v>
      </c>
      <c r="AL1262" s="51" t="n">
        <f aca="false">IF(AI1262&gt;0,J1262/AI1262,-1)</f>
        <v>1.88936170212766</v>
      </c>
      <c r="AM1262" s="51" t="str">
        <f aca="false">IF(AND(OR(CC1262="L1",CC1262="L23",CC1262="LIFT"),AI1262&gt;0),SUMIFS($AI$7:$AI$1843,$CC$7:$CC$1843,CC1262,$AL$7:$AL$1843,"&gt;"&amp;AL1262)+SUMIFS($AI$7:$AI$1843,$CC$7:$CC$1843,CC1262,$AL$7:$AL$1843,AL1262,$BT$7:$BT$1843,"&lt;="&amp;BT1262),"")</f>
        <v/>
      </c>
      <c r="AN1262" s="58" t="n">
        <f aca="false">IF(AM1262="",0,MAX(0,MIN(1,(IF(CC1262="L1",Parameter!$H$5,IF(CC1262="L23",Parameter!$H$6+Parameter!$H$7,Parameter!$H$5+Parameter!$H$6+Parameter!$H$7))-(AM1262-AI1262))/AI1262)))</f>
        <v>0</v>
      </c>
      <c r="AO1262" s="50" t="n">
        <f aca="false">IF(LEFT(Cockpit!$I$5,1)="A",H1262,IF(CE1262=1,CF1262,IF(LEFT(Cockpit!$I$5,1)="B",AT1262,MAX(AT1262,H1262))))</f>
        <v>60</v>
      </c>
      <c r="AP1262" s="50" t="n">
        <f aca="false">IF(BW1262=1,0,ROUNDUP(AO1262/BV1262,0))</f>
        <v>1</v>
      </c>
      <c r="AQ1262" s="52" t="n">
        <f aca="false">IF(CL1262&gt;0,CL1262*MAX(1,AO1262/X1262),IF(BW1262=1,IF(AO1262&lt;=0,0,CA1262*MAX(1,IF(H1262&gt;0,AO1262/H1262,1))),IF(R1262&gt;0,AP1262/R1262,0))/MAX(0.1,N(Parameter!$M$21)))</f>
        <v>0.166666666666667</v>
      </c>
      <c r="AR1262" s="50" t="n">
        <f aca="false">AQ1262*BY1262</f>
        <v>39.1666666666667</v>
      </c>
      <c r="AS1262" s="50" t="n">
        <f aca="false">AO1262*G1262</f>
        <v>3937.8</v>
      </c>
      <c r="AT1262" s="50" t="n">
        <f aca="false">ROUNDUP(MAX(J1262/IF(CD1262&gt;0,CD1262,MAX(0.1,N(Cockpit!$I$6))),CG1262)/BV1262,0)*BV1262</f>
        <v>60</v>
      </c>
      <c r="AU1262" s="51" t="n">
        <f aca="false">IF(AR1262&gt;0,J1262/AR1262,-1)</f>
        <v>1.88936170212766</v>
      </c>
      <c r="AV1262" s="51" t="str">
        <f aca="false">IF(AND(OR(CC1262="L1",CC1262="L23",CC1262="LIFT"),AR1262&gt;0),SUMIFS($AR$7:$AR$1843,$CC$7:$CC$1843,CC1262,$AU$7:$AU$1843,"&gt;"&amp;AU1262)+SUMIFS($AR$7:$AR$1843,$CC$7:$CC$1843,CC1262,$AU$7:$AU$1843,AU1262,$BT$7:$BT$1843,"&lt;="&amp;BT1262),"")</f>
        <v/>
      </c>
      <c r="AW1262" s="58" t="n">
        <f aca="false">IF(AV1262="",0,MAX(0,MIN(1,(IF(CC1262="L1",Parameter!$H$5,IF(CC1262="L23",Parameter!$H$6+Parameter!$H$7,Parameter!$H$5+Parameter!$H$6+Parameter!$H$7))-(AV1262-AR1262))/AR1262)))</f>
        <v>0</v>
      </c>
      <c r="AX1262" s="50" t="n">
        <f aca="false">IF(LEFT(Cockpit!$O$5,1)="A",H1262,IF(CE1262=1,CF1262,IF(LEFT(Cockpit!$O$5,1)="B",BC1262,MAX(BC1262,H1262))))</f>
        <v>60</v>
      </c>
      <c r="AY1262" s="50" t="n">
        <f aca="false">IF(BW1262=1,0,ROUNDUP(AX1262/BV1262,0))</f>
        <v>1</v>
      </c>
      <c r="AZ1262" s="52" t="n">
        <f aca="false">IF(CL1262&gt;0,CL1262*MAX(1,AX1262/X1262),IF(BW1262=1,IF(AX1262&lt;=0,0,CA1262*MAX(1,IF(H1262&gt;0,AX1262/H1262,1))),IF(R1262&gt;0,AY1262/R1262,0))/MAX(0.1,N(Parameter!$M$21)))</f>
        <v>0.166666666666667</v>
      </c>
      <c r="BA1262" s="50" t="n">
        <f aca="false">AZ1262*BY1262</f>
        <v>39.1666666666667</v>
      </c>
      <c r="BB1262" s="50" t="n">
        <f aca="false">AX1262*G1262</f>
        <v>3937.8</v>
      </c>
      <c r="BC1262" s="50" t="n">
        <f aca="false">ROUNDUP(MAX(J1262/IF(CD1262&gt;0,CD1262,MAX(0.1,N(Cockpit!$O$6))),CG1262)/BV1262,0)*BV1262</f>
        <v>60</v>
      </c>
      <c r="BD1262" s="51" t="n">
        <f aca="false">IF(BA1262&gt;0,J1262/BA1262,-1)</f>
        <v>1.88936170212766</v>
      </c>
      <c r="BE1262" s="51" t="str">
        <f aca="false">IF(AND(OR(CC1262="L1",CC1262="L23",CC1262="LIFT"),BA1262&gt;0),SUMIFS($BA$7:$BA$1843,$CC$7:$CC$1843,CC1262,$BD$7:$BD$1843,"&gt;"&amp;BD1262)+SUMIFS($BA$7:$BA$1843,$CC$7:$CC$1843,CC1262,$BD$7:$BD$1843,BD1262,$BT$7:$BT$1843,"&lt;="&amp;BT1262),"")</f>
        <v/>
      </c>
      <c r="BF1262" s="58" t="n">
        <f aca="false">IF(BE1262="",0,MAX(0,MIN(1,(IF(CC1262="L1",Parameter!$H$5,IF(CC1262="L23",Parameter!$H$6+Parameter!$H$7,Parameter!$H$5+Parameter!$H$6+Parameter!$H$7))-(BE1262-BA1262))/BA1262)))</f>
        <v>0</v>
      </c>
      <c r="BG1262" s="48" t="str">
        <f aca="false">IF(AI1262&lt;=0,"",IF(CC1262="Aussen","Aussenlager",IF(CC1262="-","Nicht im Lift",IF(AN1262&gt;=1,"Lift",IF(AN1262&lt;=0,"Aussenlager","teilweise")))))</f>
        <v>Nicht im Lift</v>
      </c>
      <c r="BH1262" s="48" t="str">
        <f aca="false">IF(AR1262&lt;=0,"",IF(CC1262="Aussen","Aussenlager",IF(CC1262="-","Nicht im Lift",IF(AW1262&gt;=1,"Lift",IF(AW1262&lt;=0,"Aussenlager","teilweise")))))</f>
        <v>Nicht im Lift</v>
      </c>
      <c r="BI1262" s="48" t="str">
        <f aca="false">IF(BA1262&lt;=0,"",IF(CC1262="Aussen","Aussenlager",IF(CC1262="-","Nicht im Lift",IF(BF1262&gt;=1,"Lift",IF(BF1262&lt;=0,"Aussenlager","teilweise")))))</f>
        <v>Nicht im Lift</v>
      </c>
      <c r="BJ1262" s="48" t="str">
        <f aca="false">IF(A1262="","",IF(BS1262=1,"Neu; ","")&amp;IF(AND(BS1262=0,BN1262&lt;0),"negativer Bestand (Export "&amp;BN1262&amp;"); ","")&amp;IF(J1262&lt;=0,"Kein Verbrauch; ","")&amp;IF(CL1262&gt;0,"Lift "&amp;W1262&amp;" lt. Liftbericht (Fach "&amp;X1262&amp;" Stk); ",IF(BX1262=1,"Gebinde geschätzt ("&amp;T1262&amp;"); ",IF(BW1262=1,"Lose – Tablare geschätzt; ","")))&amp;IF(H1262&gt;AT1262,"Überbestand "&amp;ROUND(H1262-AT1262,0)&amp;" Stk / CHF "&amp;ROUND((H1262-AT1262)*G1262,0)&amp;"; ","")&amp;IF(AND(CE1262=1,CF1262&lt;CG1262),"MAX &lt; MB+LG; ","")&amp;IF(AND(CK1262&gt;0,CJ1262*10&gt;CK1262),"zu hoch für Tablar; ","")&amp;IF(AND(BS1262=0,OR(CE1262=1,AA1262&lt;&gt;"",U1262&lt;&gt;"",V1262&lt;&gt;"",AB1262&lt;&gt;"")),"manuell übersteuert; ","")&amp;IF(AND(BW1262=0,R1262=0),"Gebinde unbekannt / Stellmass fehlt; ","")&amp;IF(AND(BW1262=0,N(V1262)&lt;=0,N(Q1262)&lt;=0),"Menge pro Gebinde fehlt (Ist = 1 Gebinde); ","")&amp;BR1262)</f>
        <v>negativer Bestand (Export -3); </v>
      </c>
      <c r="BK1262" s="48"/>
      <c r="BL1262" s="48"/>
      <c r="BM1262" s="55"/>
      <c r="BN1262" s="50" t="n">
        <v>-3</v>
      </c>
      <c r="BO1262" s="50" t="n">
        <v>35</v>
      </c>
      <c r="BP1262" s="49" t="n">
        <v>-834.590000000002</v>
      </c>
      <c r="BQ1262" s="50" t="n">
        <v>74</v>
      </c>
      <c r="BR1262" s="48"/>
      <c r="BS1262" s="53" t="n">
        <v>0</v>
      </c>
      <c r="BT1262" s="53" t="n">
        <v>1262</v>
      </c>
      <c r="BU1262" s="48" t="str">
        <f aca="false">IF(U1262&lt;&gt;"",UPPER(TRIM(U1262)),IF(BX1262=1,UPPER(VLOOKUP(T1262,Parameter!$I$27:$K$29,2,0)),IF(P1262="","LOSE",P1262)))</f>
        <v>S71</v>
      </c>
      <c r="BV1262" s="50" t="n">
        <f aca="false">IF(BU1262="LOSE",1,IF(N(V1262)&gt;0,V1262,IF(BX1262=1,MAX(1,N(VLOOKUP(T1262,Parameter!$I$27:$K$29,3,0)),H1262,N(N1262)),IF(N(Q1262)&gt;0,Q1262,MAX(1,H1262)))))</f>
        <v>60</v>
      </c>
      <c r="BW1262" s="53" t="n">
        <f aca="false">IF(BU1262="LOSE",1,0)</f>
        <v>0</v>
      </c>
      <c r="BX1262" s="53" t="n">
        <f aca="false">IF(AND(U1262="",OR(P1262="",P1262="LOSE"),T1262&lt;&gt;"",N(S1262)&lt;=0,ISNUMBER(MATCH(T1262,Parameter!$I$27:$I$29,0))),1,0)</f>
        <v>0</v>
      </c>
      <c r="BY1262" s="53" t="n">
        <f aca="false">IF(CL1262&gt;0,INDEX(Parameter!$H$5:$H$7,W1262)/INDEX(Parameter!$E$5:$E$7,W1262),IF(AND(BW1262=0,N(IFERROR(VLOOKUP(BU1262,'Gebinde-Kategorie'!$A$5:$N$45,14,0),0))&gt;0),VLOOKUP(BU1262,'Gebinde-Kategorie'!$A$5:$N$45,14,0)*10+Parameter!$M$23,Parameter!$M$24))</f>
        <v>235</v>
      </c>
      <c r="BZ1262" s="48" t="str">
        <f aca="false">IF(AND(Parameter!$B$19="Ja",E1262&lt;&gt;"",ISNUMBER(MATCH(E1262,Parameter!$I$35:$I$52,0))),VLOOKUP(E1262,Parameter!$I$35:$J$52,2,0),IFERROR(VLOOKUP(D1262,Parameter!$A$35:$C$64,2,0),"Nein"))</f>
        <v>Nein</v>
      </c>
      <c r="CA1262" s="52" t="n">
        <f aca="false">IF(BW1262=0,0,IF(N(S1262)&gt;0,S1262,IFERROR(VLOOKUP(D1262,Parameter!$A$35:$C$64,3,0)+0,0)))</f>
        <v>0</v>
      </c>
      <c r="CB1262" s="48" t="str">
        <f aca="false">IF(AA1262&lt;&gt;"",AA1262,Z1262)</f>
        <v>-</v>
      </c>
      <c r="CC1262" s="48" t="str">
        <f aca="false">IF(OR(CB1262=1,CB1262=2,CB1262=3),IF(Parameter!$E$27="Ja","LIFT",IF(CB1262=1,"L1","L23")),IF(CB1262="Aussen","Aussen","-"))</f>
        <v>-</v>
      </c>
      <c r="CD1262" s="59" t="n">
        <f aca="false">IF(N(AB1262)&gt;0,AB1262,0)</f>
        <v>0</v>
      </c>
      <c r="CE1262" s="53" t="n">
        <f aca="false">IF(ISNUMBER(AE1262),1,0)</f>
        <v>0</v>
      </c>
      <c r="CF1262" s="50" t="n">
        <f aca="false">N(AE1262)</f>
        <v>0</v>
      </c>
      <c r="CG1262" s="50" t="n">
        <f aca="false">N(M1262)+N(N1262)</f>
        <v>54</v>
      </c>
      <c r="CH1262" s="50" t="n">
        <f aca="false">ROUNDUP(H1262/BV1262,0)</f>
        <v>1</v>
      </c>
      <c r="CI1262" s="50" t="n">
        <f aca="false">ROUNDUP(CF1262/BV1262,0)</f>
        <v>0</v>
      </c>
      <c r="CJ1262" s="53" t="n">
        <f aca="false">IF(BW1262=1,0,IFERROR(VLOOKUP(BU1262,'Gebinde-Kategorie'!$A$5:$N$45,5,0)+0,0))</f>
        <v>20</v>
      </c>
      <c r="CK1262" s="53" t="n">
        <f aca="false">IFERROR(IF(OR(CB1262=1,CB1262=2,CB1262=3),N(INDEX(Parameter!$I$5:$I$7,CB1262)),0),0)</f>
        <v>0</v>
      </c>
      <c r="CL1262" s="52" t="n">
        <f aca="false">IF(AND(Parameter!$B$21="Ja",ISNUMBER(W1262),N(X1262)&gt;0),IFERROR(N(INDEX(Parameter!$L$5:$L$7,W1262))*INDEX(Parameter!$E$5:$E$7,W1262)*X1262/SUMIFS($X$7:$X$1843,$W$7:$W$1843,W1262),0),0)</f>
        <v>0</v>
      </c>
    </row>
    <row r="1263" customFormat="false" ht="15" hidden="false" customHeight="false" outlineLevel="0" collapsed="false">
      <c r="A1263" s="48" t="s">
        <v>2259</v>
      </c>
      <c r="B1263" s="48" t="s">
        <v>2260</v>
      </c>
      <c r="C1263" s="48" t="s">
        <v>168</v>
      </c>
      <c r="D1263" s="48" t="s">
        <v>188</v>
      </c>
      <c r="E1263" s="48" t="s">
        <v>189</v>
      </c>
      <c r="F1263" s="48" t="s">
        <v>222</v>
      </c>
      <c r="G1263" s="49" t="n">
        <v>23.11</v>
      </c>
      <c r="H1263" s="50" t="n">
        <f aca="false">MAX(0,IF(AND(Parameter!$B$21="Ja",ISNUMBER(Y1263)),Y1263,IF(Parameter!$B$20="Jahresanfang 2025 + Export",BO1263+BN1263,BN1263)))</f>
        <v>132</v>
      </c>
      <c r="I1263" s="50" t="n">
        <f aca="false">H1263*G1263</f>
        <v>3050.52</v>
      </c>
      <c r="J1263" s="50" t="n">
        <f aca="false">BQ1263*Parameter!$B$18</f>
        <v>153</v>
      </c>
      <c r="K1263" s="51" t="n">
        <v>150</v>
      </c>
      <c r="L1263" s="52" t="n">
        <v>1.02</v>
      </c>
      <c r="M1263" s="50" t="n">
        <v>10</v>
      </c>
      <c r="N1263" s="50" t="n">
        <v>130</v>
      </c>
      <c r="O1263" s="53" t="n">
        <v>14</v>
      </c>
      <c r="P1263" s="48" t="s">
        <v>237</v>
      </c>
      <c r="Q1263" s="50" t="n">
        <v>279</v>
      </c>
      <c r="R1263" s="53" t="n">
        <f aca="false">IF(BW1263=1,0,IFERROR(VLOOKUP(BU1263,'Gebinde-Kategorie'!$A$5:$N$45,13,0)+0,0))</f>
        <v>26</v>
      </c>
      <c r="S1263" s="54"/>
      <c r="T1263" s="55"/>
      <c r="U1263" s="55"/>
      <c r="V1263" s="55"/>
      <c r="W1263" s="48"/>
      <c r="X1263" s="50"/>
      <c r="Y1263" s="50"/>
      <c r="Z1263" s="48" t="n">
        <f aca="false">IF(A1263="","",IF(AND(Parameter!$B$21="Ja",ISNUMBER(W1263)),W1263,IF(BZ1263="2+3",IF(ISNUMBER(SEARCH("grosser Artikel",BR1263)),2,IFERROR(VLOOKUP(BU1263,Parameter!$F$35:$G$64,2,0),2)),IF(OR(BZ1263="Nein",BZ1263=""),"-",BZ1263))))</f>
        <v>3</v>
      </c>
      <c r="AA1263" s="55"/>
      <c r="AB1263" s="56"/>
      <c r="AC1263" s="50" t="n">
        <f aca="false">AT1263</f>
        <v>279</v>
      </c>
      <c r="AD1263" s="50" t="n">
        <f aca="false">MAX(AT1263,H1263)</f>
        <v>279</v>
      </c>
      <c r="AE1263" s="57"/>
      <c r="AF1263" s="50" t="n">
        <f aca="false">IF(LEFT(Cockpit!$C$5,1)="A",H1263,IF(CE1263=1,CF1263,IF(LEFT(Cockpit!$C$5,1)="B",AK1263,MAX(AK1263,H1263))))</f>
        <v>132</v>
      </c>
      <c r="AG1263" s="50" t="n">
        <f aca="false">IF(BW1263=1,0,ROUNDUP(AF1263/BV1263,0))</f>
        <v>1</v>
      </c>
      <c r="AH1263" s="52" t="n">
        <f aca="false">IF(CL1263&gt;0,CL1263*MAX(1,AF1263/X1263),IF(BW1263=1,IF(AF1263&lt;=0,0,CA1263*MAX(1,IF(H1263&gt;0,AF1263/H1263,1))),IF(R1263&gt;0,AG1263/R1263,0))/MAX(0.1,N(Parameter!$M$21)))</f>
        <v>0.0384615384615385</v>
      </c>
      <c r="AI1263" s="50" t="n">
        <f aca="false">AH1263*BY1263</f>
        <v>9.42307692307692</v>
      </c>
      <c r="AJ1263" s="50" t="n">
        <f aca="false">AF1263*G1263</f>
        <v>3050.52</v>
      </c>
      <c r="AK1263" s="50" t="n">
        <f aca="false">ROUNDUP(MAX(J1263/IF(CD1263&gt;0,CD1263,MAX(0.1,N(Cockpit!$C$6))),CG1263)/BV1263,0)*BV1263</f>
        <v>279</v>
      </c>
      <c r="AL1263" s="51" t="n">
        <f aca="false">IF(AI1263&gt;0,J1263/AI1263,-1)</f>
        <v>16.2367346938776</v>
      </c>
      <c r="AM1263" s="51" t="n">
        <f aca="false">IF(AND(OR(CC1263="L1",CC1263="L23",CC1263="LIFT"),AI1263&gt;0),SUMIFS($AI$7:$AI$1843,$CC$7:$CC$1843,CC1263,$AL$7:$AL$1843,"&gt;"&amp;AL1263)+SUMIFS($AI$7:$AI$1843,$CC$7:$CC$1843,CC1263,$AL$7:$AL$1843,AL1263,$BT$7:$BT$1843,"&lt;="&amp;BT1263),"")</f>
        <v>2056.7467948718</v>
      </c>
      <c r="AN1263" s="58" t="n">
        <f aca="false">IF(AM1263="",0,MAX(0,MIN(1,(IF(CC1263="L1",Parameter!$H$5,IF(CC1263="L23",Parameter!$H$6+Parameter!$H$7,Parameter!$H$5+Parameter!$H$6+Parameter!$H$7))-(AM1263-AI1263))/AI1263)))</f>
        <v>1</v>
      </c>
      <c r="AO1263" s="50" t="n">
        <f aca="false">IF(LEFT(Cockpit!$I$5,1)="A",H1263,IF(CE1263=1,CF1263,IF(LEFT(Cockpit!$I$5,1)="B",AT1263,MAX(AT1263,H1263))))</f>
        <v>279</v>
      </c>
      <c r="AP1263" s="50" t="n">
        <f aca="false">IF(BW1263=1,0,ROUNDUP(AO1263/BV1263,0))</f>
        <v>1</v>
      </c>
      <c r="AQ1263" s="52" t="n">
        <f aca="false">IF(CL1263&gt;0,CL1263*MAX(1,AO1263/X1263),IF(BW1263=1,IF(AO1263&lt;=0,0,CA1263*MAX(1,IF(H1263&gt;0,AO1263/H1263,1))),IF(R1263&gt;0,AP1263/R1263,0))/MAX(0.1,N(Parameter!$M$21)))</f>
        <v>0.0384615384615385</v>
      </c>
      <c r="AR1263" s="50" t="n">
        <f aca="false">AQ1263*BY1263</f>
        <v>9.42307692307692</v>
      </c>
      <c r="AS1263" s="50" t="n">
        <f aca="false">AO1263*G1263</f>
        <v>6447.69</v>
      </c>
      <c r="AT1263" s="50" t="n">
        <f aca="false">ROUNDUP(MAX(J1263/IF(CD1263&gt;0,CD1263,MAX(0.1,N(Cockpit!$I$6))),CG1263)/BV1263,0)*BV1263</f>
        <v>279</v>
      </c>
      <c r="AU1263" s="51" t="n">
        <f aca="false">IF(AR1263&gt;0,J1263/AR1263,-1)</f>
        <v>16.2367346938776</v>
      </c>
      <c r="AV1263" s="51" t="n">
        <f aca="false">IF(AND(OR(CC1263="L1",CC1263="L23",CC1263="LIFT"),AR1263&gt;0),SUMIFS($AR$7:$AR$1843,$CC$7:$CC$1843,CC1263,$AU$7:$AU$1843,"&gt;"&amp;AU1263)+SUMIFS($AR$7:$AR$1843,$CC$7:$CC$1843,CC1263,$AU$7:$AU$1843,AU1263,$BT$7:$BT$1843,"&lt;="&amp;BT1263),"")</f>
        <v>3143.42994505495</v>
      </c>
      <c r="AW1263" s="58" t="n">
        <f aca="false">IF(AV1263="",0,MAX(0,MIN(1,(IF(CC1263="L1",Parameter!$H$5,IF(CC1263="L23",Parameter!$H$6+Parameter!$H$7,Parameter!$H$5+Parameter!$H$6+Parameter!$H$7))-(AV1263-AR1263))/AR1263)))</f>
        <v>1</v>
      </c>
      <c r="AX1263" s="50" t="n">
        <f aca="false">IF(LEFT(Cockpit!$O$5,1)="A",H1263,IF(CE1263=1,CF1263,IF(LEFT(Cockpit!$O$5,1)="B",BC1263,MAX(BC1263,H1263))))</f>
        <v>279</v>
      </c>
      <c r="AY1263" s="50" t="n">
        <f aca="false">IF(BW1263=1,0,ROUNDUP(AX1263/BV1263,0))</f>
        <v>1</v>
      </c>
      <c r="AZ1263" s="52" t="n">
        <f aca="false">IF(CL1263&gt;0,CL1263*MAX(1,AX1263/X1263),IF(BW1263=1,IF(AX1263&lt;=0,0,CA1263*MAX(1,IF(H1263&gt;0,AX1263/H1263,1))),IF(R1263&gt;0,AY1263/R1263,0))/MAX(0.1,N(Parameter!$M$21)))</f>
        <v>0.0384615384615385</v>
      </c>
      <c r="BA1263" s="50" t="n">
        <f aca="false">AZ1263*BY1263</f>
        <v>9.42307692307692</v>
      </c>
      <c r="BB1263" s="50" t="n">
        <f aca="false">AX1263*G1263</f>
        <v>6447.69</v>
      </c>
      <c r="BC1263" s="50" t="n">
        <f aca="false">ROUNDUP(MAX(J1263/IF(CD1263&gt;0,CD1263,MAX(0.1,N(Cockpit!$O$6))),CG1263)/BV1263,0)*BV1263</f>
        <v>279</v>
      </c>
      <c r="BD1263" s="51" t="n">
        <f aca="false">IF(BA1263&gt;0,J1263/BA1263,-1)</f>
        <v>16.2367346938776</v>
      </c>
      <c r="BE1263" s="51" t="n">
        <f aca="false">IF(AND(OR(CC1263="L1",CC1263="L23",CC1263="LIFT"),BA1263&gt;0),SUMIFS($BA$7:$BA$1843,$CC$7:$CC$1843,CC1263,$BD$7:$BD$1843,"&gt;"&amp;BD1263)+SUMIFS($BA$7:$BA$1843,$CC$7:$CC$1843,CC1263,$BD$7:$BD$1843,BD1263,$BT$7:$BT$1843,"&lt;="&amp;BT1263),"")</f>
        <v>2817.86904761905</v>
      </c>
      <c r="BF1263" s="58" t="n">
        <f aca="false">IF(BE1263="",0,MAX(0,MIN(1,(IF(CC1263="L1",Parameter!$H$5,IF(CC1263="L23",Parameter!$H$6+Parameter!$H$7,Parameter!$H$5+Parameter!$H$6+Parameter!$H$7))-(BE1263-BA1263))/BA1263)))</f>
        <v>1</v>
      </c>
      <c r="BG1263" s="48" t="str">
        <f aca="false">IF(AI1263&lt;=0,"",IF(CC1263="Aussen","Aussenlager",IF(CC1263="-","Nicht im Lift",IF(AN1263&gt;=1,"Lift",IF(AN1263&lt;=0,"Aussenlager","teilweise")))))</f>
        <v>Lift</v>
      </c>
      <c r="BH1263" s="48" t="str">
        <f aca="false">IF(AR1263&lt;=0,"",IF(CC1263="Aussen","Aussenlager",IF(CC1263="-","Nicht im Lift",IF(AW1263&gt;=1,"Lift",IF(AW1263&lt;=0,"Aussenlager","teilweise")))))</f>
        <v>Lift</v>
      </c>
      <c r="BI1263" s="48" t="str">
        <f aca="false">IF(BA1263&lt;=0,"",IF(CC1263="Aussen","Aussenlager",IF(CC1263="-","Nicht im Lift",IF(BF1263&gt;=1,"Lift",IF(BF1263&lt;=0,"Aussenlager","teilweise")))))</f>
        <v>Lift</v>
      </c>
      <c r="BJ1263" s="48" t="str">
        <f aca="false">IF(A1263="","",IF(BS1263=1,"Neu; ","")&amp;IF(AND(BS1263=0,BN1263&lt;0),"negativer Bestand (Export "&amp;BN1263&amp;"); ","")&amp;IF(J1263&lt;=0,"Kein Verbrauch; ","")&amp;IF(CL1263&gt;0,"Lift "&amp;W1263&amp;" lt. Liftbericht (Fach "&amp;X1263&amp;" Stk); ",IF(BX1263=1,"Gebinde geschätzt ("&amp;T1263&amp;"); ",IF(BW1263=1,"Lose – Tablare geschätzt; ","")))&amp;IF(H1263&gt;AT1263,"Überbestand "&amp;ROUND(H1263-AT1263,0)&amp;" Stk / CHF "&amp;ROUND((H1263-AT1263)*G1263,0)&amp;"; ","")&amp;IF(AND(CE1263=1,CF1263&lt;CG1263),"MAX &lt; MB+LG; ","")&amp;IF(AND(CK1263&gt;0,CJ1263*10&gt;CK1263),"zu hoch für Tablar; ","")&amp;IF(AND(BS1263=0,OR(CE1263=1,AA1263&lt;&gt;"",U1263&lt;&gt;"",V1263&lt;&gt;"",AB1263&lt;&gt;"")),"manuell übersteuert; ","")&amp;IF(AND(BW1263=0,R1263=0),"Gebinde unbekannt / Stellmass fehlt; ","")&amp;IF(AND(BW1263=0,N(V1263)&lt;=0,N(Q1263)&lt;=0),"Menge pro Gebinde fehlt (Ist = 1 Gebinde); ","")&amp;BR1263)</f>
        <v>negativer Bestand (Export -37); </v>
      </c>
      <c r="BK1263" s="48"/>
      <c r="BL1263" s="48"/>
      <c r="BM1263" s="55"/>
      <c r="BN1263" s="50" t="n">
        <v>-37</v>
      </c>
      <c r="BO1263" s="50" t="n">
        <v>169</v>
      </c>
      <c r="BP1263" s="49" t="n">
        <v>-834.749999999999</v>
      </c>
      <c r="BQ1263" s="50" t="n">
        <v>153</v>
      </c>
      <c r="BR1263" s="48"/>
      <c r="BS1263" s="53" t="n">
        <v>0</v>
      </c>
      <c r="BT1263" s="53" t="n">
        <v>1263</v>
      </c>
      <c r="BU1263" s="48" t="str">
        <f aca="false">IF(U1263&lt;&gt;"",UPPER(TRIM(U1263)),IF(BX1263=1,UPPER(VLOOKUP(T1263,Parameter!$I$27:$K$29,2,0)),IF(P1263="","LOSE",P1263)))</f>
        <v>S52</v>
      </c>
      <c r="BV1263" s="50" t="n">
        <f aca="false">IF(BU1263="LOSE",1,IF(N(V1263)&gt;0,V1263,IF(BX1263=1,MAX(1,N(VLOOKUP(T1263,Parameter!$I$27:$K$29,3,0)),H1263,N(N1263)),IF(N(Q1263)&gt;0,Q1263,MAX(1,H1263)))))</f>
        <v>279</v>
      </c>
      <c r="BW1263" s="53" t="n">
        <f aca="false">IF(BU1263="LOSE",1,0)</f>
        <v>0</v>
      </c>
      <c r="BX1263" s="53" t="n">
        <f aca="false">IF(AND(U1263="",OR(P1263="",P1263="LOSE"),T1263&lt;&gt;"",N(S1263)&lt;=0,ISNUMBER(MATCH(T1263,Parameter!$I$27:$I$29,0))),1,0)</f>
        <v>0</v>
      </c>
      <c r="BY1263" s="53" t="n">
        <f aca="false">IF(CL1263&gt;0,INDEX(Parameter!$H$5:$H$7,W1263)/INDEX(Parameter!$E$5:$E$7,W1263),IF(AND(BW1263=0,N(IFERROR(VLOOKUP(BU1263,'Gebinde-Kategorie'!$A$5:$N$45,14,0),0))&gt;0),VLOOKUP(BU1263,'Gebinde-Kategorie'!$A$5:$N$45,14,0)*10+Parameter!$M$23,Parameter!$M$24))</f>
        <v>245</v>
      </c>
      <c r="BZ1263" s="48" t="str">
        <f aca="false">IF(AND(Parameter!$B$19="Ja",E1263&lt;&gt;"",ISNUMBER(MATCH(E1263,Parameter!$I$35:$I$52,0))),VLOOKUP(E1263,Parameter!$I$35:$J$52,2,0),IFERROR(VLOOKUP(D1263,Parameter!$A$35:$C$64,2,0),"Nein"))</f>
        <v>2+3</v>
      </c>
      <c r="CA1263" s="52" t="n">
        <f aca="false">IF(BW1263=0,0,IF(N(S1263)&gt;0,S1263,IFERROR(VLOOKUP(D1263,Parameter!$A$35:$C$64,3,0)+0,0)))</f>
        <v>0</v>
      </c>
      <c r="CB1263" s="48" t="n">
        <f aca="false">IF(AA1263&lt;&gt;"",AA1263,Z1263)</f>
        <v>3</v>
      </c>
      <c r="CC1263" s="48" t="str">
        <f aca="false">IF(OR(CB1263=1,CB1263=2,CB1263=3),IF(Parameter!$E$27="Ja","LIFT",IF(CB1263=1,"L1","L23")),IF(CB1263="Aussen","Aussen","-"))</f>
        <v>LIFT</v>
      </c>
      <c r="CD1263" s="59" t="n">
        <f aca="false">IF(N(AB1263)&gt;0,AB1263,0)</f>
        <v>0</v>
      </c>
      <c r="CE1263" s="53" t="n">
        <f aca="false">IF(ISNUMBER(AE1263),1,0)</f>
        <v>0</v>
      </c>
      <c r="CF1263" s="50" t="n">
        <f aca="false">N(AE1263)</f>
        <v>0</v>
      </c>
      <c r="CG1263" s="50" t="n">
        <f aca="false">N(M1263)+N(N1263)</f>
        <v>140</v>
      </c>
      <c r="CH1263" s="50" t="n">
        <f aca="false">ROUNDUP(H1263/BV1263,0)</f>
        <v>1</v>
      </c>
      <c r="CI1263" s="50" t="n">
        <f aca="false">ROUNDUP(CF1263/BV1263,0)</f>
        <v>0</v>
      </c>
      <c r="CJ1263" s="53" t="n">
        <f aca="false">IF(BW1263=1,0,IFERROR(VLOOKUP(BU1263,'Gebinde-Kategorie'!$A$5:$N$45,5,0)+0,0))</f>
        <v>21</v>
      </c>
      <c r="CK1263" s="53" t="n">
        <f aca="false">IFERROR(IF(OR(CB1263=1,CB1263=2,CB1263=3),N(INDEX(Parameter!$I$5:$I$7,CB1263)),0),0)</f>
        <v>0</v>
      </c>
      <c r="CL1263" s="52" t="n">
        <f aca="false">IF(AND(Parameter!$B$21="Ja",ISNUMBER(W1263),N(X1263)&gt;0),IFERROR(N(INDEX(Parameter!$L$5:$L$7,W1263))*INDEX(Parameter!$E$5:$E$7,W1263)*X1263/SUMIFS($X$7:$X$1843,$W$7:$W$1843,W1263),0),0)</f>
        <v>0</v>
      </c>
    </row>
    <row r="1264" customFormat="false" ht="15" hidden="false" customHeight="false" outlineLevel="0" collapsed="false">
      <c r="A1264" s="48" t="s">
        <v>2261</v>
      </c>
      <c r="B1264" s="48" t="s">
        <v>2262</v>
      </c>
      <c r="C1264" s="48" t="s">
        <v>168</v>
      </c>
      <c r="D1264" s="48" t="s">
        <v>999</v>
      </c>
      <c r="E1264" s="48"/>
      <c r="F1264" s="48" t="s">
        <v>222</v>
      </c>
      <c r="G1264" s="49" t="n">
        <v>834.75</v>
      </c>
      <c r="H1264" s="50" t="n">
        <f aca="false">MAX(0,IF(AND(Parameter!$B$21="Ja",ISNUMBER(Y1264)),Y1264,IF(Parameter!$B$20="Jahresanfang 2025 + Export",BO1264+BN1264,BN1264)))</f>
        <v>3</v>
      </c>
      <c r="I1264" s="50" t="n">
        <f aca="false">H1264*G1264</f>
        <v>2504.25</v>
      </c>
      <c r="J1264" s="50" t="n">
        <f aca="false">BQ1264*Parameter!$B$18</f>
        <v>0</v>
      </c>
      <c r="K1264" s="51" t="n">
        <v>2</v>
      </c>
      <c r="L1264" s="52" t="n">
        <v>0</v>
      </c>
      <c r="M1264" s="50" t="n">
        <v>1</v>
      </c>
      <c r="N1264" s="50" t="n">
        <v>1</v>
      </c>
      <c r="O1264" s="53" t="n">
        <v>7</v>
      </c>
      <c r="P1264" s="48" t="s">
        <v>172</v>
      </c>
      <c r="Q1264" s="50"/>
      <c r="R1264" s="53" t="n">
        <f aca="false">IF(BW1264=1,0,IFERROR(VLOOKUP(BU1264,'Gebinde-Kategorie'!$A$5:$N$45,13,0)+0,0))</f>
        <v>0</v>
      </c>
      <c r="S1264" s="54"/>
      <c r="T1264" s="55"/>
      <c r="U1264" s="55"/>
      <c r="V1264" s="55"/>
      <c r="W1264" s="48"/>
      <c r="X1264" s="50"/>
      <c r="Y1264" s="50"/>
      <c r="Z1264" s="48" t="str">
        <f aca="false">IF(A1264="","",IF(AND(Parameter!$B$21="Ja",ISNUMBER(W1264)),W1264,IF(BZ1264="2+3",IF(ISNUMBER(SEARCH("grosser Artikel",BR1264)),2,IFERROR(VLOOKUP(BU1264,Parameter!$F$35:$G$64,2,0),2)),IF(OR(BZ1264="Nein",BZ1264=""),"-",BZ1264))))</f>
        <v>-</v>
      </c>
      <c r="AA1264" s="55"/>
      <c r="AB1264" s="56"/>
      <c r="AC1264" s="50" t="n">
        <f aca="false">AT1264</f>
        <v>2</v>
      </c>
      <c r="AD1264" s="50" t="n">
        <f aca="false">MAX(AT1264,H1264)</f>
        <v>3</v>
      </c>
      <c r="AE1264" s="57"/>
      <c r="AF1264" s="50" t="n">
        <f aca="false">IF(LEFT(Cockpit!$C$5,1)="A",H1264,IF(CE1264=1,CF1264,IF(LEFT(Cockpit!$C$5,1)="B",AK1264,MAX(AK1264,H1264))))</f>
        <v>3</v>
      </c>
      <c r="AG1264" s="50" t="n">
        <f aca="false">IF(BW1264=1,0,ROUNDUP(AF1264/BV1264,0))</f>
        <v>0</v>
      </c>
      <c r="AH1264" s="52" t="n">
        <f aca="false">IF(CL1264&gt;0,CL1264*MAX(1,AF1264/X1264),IF(BW1264=1,IF(AF1264&lt;=0,0,CA1264*MAX(1,IF(H1264&gt;0,AF1264/H1264,1))),IF(R1264&gt;0,AG1264/R1264,0))/MAX(0.1,N(Parameter!$M$21)))</f>
        <v>0.15</v>
      </c>
      <c r="AI1264" s="50" t="n">
        <f aca="false">AH1264*BY1264</f>
        <v>35.25</v>
      </c>
      <c r="AJ1264" s="50" t="n">
        <f aca="false">AF1264*G1264</f>
        <v>2504.25</v>
      </c>
      <c r="AK1264" s="50" t="n">
        <f aca="false">ROUNDUP(MAX(J1264/IF(CD1264&gt;0,CD1264,MAX(0.1,N(Cockpit!$C$6))),CG1264)/BV1264,0)*BV1264</f>
        <v>2</v>
      </c>
      <c r="AL1264" s="51" t="n">
        <f aca="false">IF(AI1264&gt;0,J1264/AI1264,-1)</f>
        <v>0</v>
      </c>
      <c r="AM1264" s="51" t="str">
        <f aca="false">IF(AND(OR(CC1264="L1",CC1264="L23",CC1264="LIFT"),AI1264&gt;0),SUMIFS($AI$7:$AI$1843,$CC$7:$CC$1843,CC1264,$AL$7:$AL$1843,"&gt;"&amp;AL1264)+SUMIFS($AI$7:$AI$1843,$CC$7:$CC$1843,CC1264,$AL$7:$AL$1843,AL1264,$BT$7:$BT$1843,"&lt;="&amp;BT1264),"")</f>
        <v/>
      </c>
      <c r="AN1264" s="58" t="n">
        <f aca="false">IF(AM1264="",0,MAX(0,MIN(1,(IF(CC1264="L1",Parameter!$H$5,IF(CC1264="L23",Parameter!$H$6+Parameter!$H$7,Parameter!$H$5+Parameter!$H$6+Parameter!$H$7))-(AM1264-AI1264))/AI1264)))</f>
        <v>0</v>
      </c>
      <c r="AO1264" s="50" t="n">
        <f aca="false">IF(LEFT(Cockpit!$I$5,1)="A",H1264,IF(CE1264=1,CF1264,IF(LEFT(Cockpit!$I$5,1)="B",AT1264,MAX(AT1264,H1264))))</f>
        <v>3</v>
      </c>
      <c r="AP1264" s="50" t="n">
        <f aca="false">IF(BW1264=1,0,ROUNDUP(AO1264/BV1264,0))</f>
        <v>0</v>
      </c>
      <c r="AQ1264" s="52" t="n">
        <f aca="false">IF(CL1264&gt;0,CL1264*MAX(1,AO1264/X1264),IF(BW1264=1,IF(AO1264&lt;=0,0,CA1264*MAX(1,IF(H1264&gt;0,AO1264/H1264,1))),IF(R1264&gt;0,AP1264/R1264,0))/MAX(0.1,N(Parameter!$M$21)))</f>
        <v>0.15</v>
      </c>
      <c r="AR1264" s="50" t="n">
        <f aca="false">AQ1264*BY1264</f>
        <v>35.25</v>
      </c>
      <c r="AS1264" s="50" t="n">
        <f aca="false">AO1264*G1264</f>
        <v>2504.25</v>
      </c>
      <c r="AT1264" s="50" t="n">
        <f aca="false">ROUNDUP(MAX(J1264/IF(CD1264&gt;0,CD1264,MAX(0.1,N(Cockpit!$I$6))),CG1264)/BV1264,0)*BV1264</f>
        <v>2</v>
      </c>
      <c r="AU1264" s="51" t="n">
        <f aca="false">IF(AR1264&gt;0,J1264/AR1264,-1)</f>
        <v>0</v>
      </c>
      <c r="AV1264" s="51" t="str">
        <f aca="false">IF(AND(OR(CC1264="L1",CC1264="L23",CC1264="LIFT"),AR1264&gt;0),SUMIFS($AR$7:$AR$1843,$CC$7:$CC$1843,CC1264,$AU$7:$AU$1843,"&gt;"&amp;AU1264)+SUMIFS($AR$7:$AR$1843,$CC$7:$CC$1843,CC1264,$AU$7:$AU$1843,AU1264,$BT$7:$BT$1843,"&lt;="&amp;BT1264),"")</f>
        <v/>
      </c>
      <c r="AW1264" s="58" t="n">
        <f aca="false">IF(AV1264="",0,MAX(0,MIN(1,(IF(CC1264="L1",Parameter!$H$5,IF(CC1264="L23",Parameter!$H$6+Parameter!$H$7,Parameter!$H$5+Parameter!$H$6+Parameter!$H$7))-(AV1264-AR1264))/AR1264)))</f>
        <v>0</v>
      </c>
      <c r="AX1264" s="50" t="n">
        <f aca="false">IF(LEFT(Cockpit!$O$5,1)="A",H1264,IF(CE1264=1,CF1264,IF(LEFT(Cockpit!$O$5,1)="B",BC1264,MAX(BC1264,H1264))))</f>
        <v>3</v>
      </c>
      <c r="AY1264" s="50" t="n">
        <f aca="false">IF(BW1264=1,0,ROUNDUP(AX1264/BV1264,0))</f>
        <v>0</v>
      </c>
      <c r="AZ1264" s="52" t="n">
        <f aca="false">IF(CL1264&gt;0,CL1264*MAX(1,AX1264/X1264),IF(BW1264=1,IF(AX1264&lt;=0,0,CA1264*MAX(1,IF(H1264&gt;0,AX1264/H1264,1))),IF(R1264&gt;0,AY1264/R1264,0))/MAX(0.1,N(Parameter!$M$21)))</f>
        <v>0.15</v>
      </c>
      <c r="BA1264" s="50" t="n">
        <f aca="false">AZ1264*BY1264</f>
        <v>35.25</v>
      </c>
      <c r="BB1264" s="50" t="n">
        <f aca="false">AX1264*G1264</f>
        <v>2504.25</v>
      </c>
      <c r="BC1264" s="50" t="n">
        <f aca="false">ROUNDUP(MAX(J1264/IF(CD1264&gt;0,CD1264,MAX(0.1,N(Cockpit!$O$6))),CG1264)/BV1264,0)*BV1264</f>
        <v>2</v>
      </c>
      <c r="BD1264" s="51" t="n">
        <f aca="false">IF(BA1264&gt;0,J1264/BA1264,-1)</f>
        <v>0</v>
      </c>
      <c r="BE1264" s="51" t="str">
        <f aca="false">IF(AND(OR(CC1264="L1",CC1264="L23",CC1264="LIFT"),BA1264&gt;0),SUMIFS($BA$7:$BA$1843,$CC$7:$CC$1843,CC1264,$BD$7:$BD$1843,"&gt;"&amp;BD1264)+SUMIFS($BA$7:$BA$1843,$CC$7:$CC$1843,CC1264,$BD$7:$BD$1843,BD1264,$BT$7:$BT$1843,"&lt;="&amp;BT1264),"")</f>
        <v/>
      </c>
      <c r="BF1264" s="58" t="n">
        <f aca="false">IF(BE1264="",0,MAX(0,MIN(1,(IF(CC1264="L1",Parameter!$H$5,IF(CC1264="L23",Parameter!$H$6+Parameter!$H$7,Parameter!$H$5+Parameter!$H$6+Parameter!$H$7))-(BE1264-BA1264))/BA1264)))</f>
        <v>0</v>
      </c>
      <c r="BG1264" s="48" t="str">
        <f aca="false">IF(AI1264&lt;=0,"",IF(CC1264="Aussen","Aussenlager",IF(CC1264="-","Nicht im Lift",IF(AN1264&gt;=1,"Lift",IF(AN1264&lt;=0,"Aussenlager","teilweise")))))</f>
        <v>Nicht im Lift</v>
      </c>
      <c r="BH1264" s="48" t="str">
        <f aca="false">IF(AR1264&lt;=0,"",IF(CC1264="Aussen","Aussenlager",IF(CC1264="-","Nicht im Lift",IF(AW1264&gt;=1,"Lift",IF(AW1264&lt;=0,"Aussenlager","teilweise")))))</f>
        <v>Nicht im Lift</v>
      </c>
      <c r="BI1264" s="48" t="str">
        <f aca="false">IF(BA1264&lt;=0,"",IF(CC1264="Aussen","Aussenlager",IF(CC1264="-","Nicht im Lift",IF(BF1264&gt;=1,"Lift",IF(BF1264&lt;=0,"Aussenlager","teilweise")))))</f>
        <v>Nicht im Lift</v>
      </c>
      <c r="BJ1264" s="48" t="str">
        <f aca="false">IF(A1264="","",IF(BS1264=1,"Neu; ","")&amp;IF(AND(BS1264=0,BN1264&lt;0),"negativer Bestand (Export "&amp;BN1264&amp;"); ","")&amp;IF(J1264&lt;=0,"Kein Verbrauch; ","")&amp;IF(CL1264&gt;0,"Lift "&amp;W1264&amp;" lt. Liftbericht (Fach "&amp;X1264&amp;" Stk); ",IF(BX1264=1,"Gebinde geschätzt ("&amp;T1264&amp;"); ",IF(BW1264=1,"Lose – Tablare geschätzt; ","")))&amp;IF(H1264&gt;AT1264,"Überbestand "&amp;ROUND(H1264-AT1264,0)&amp;" Stk / CHF "&amp;ROUND((H1264-AT1264)*G1264,0)&amp;"; ","")&amp;IF(AND(CE1264=1,CF1264&lt;CG1264),"MAX &lt; MB+LG; ","")&amp;IF(AND(CK1264&gt;0,CJ1264*10&gt;CK1264),"zu hoch für Tablar; ","")&amp;IF(AND(BS1264=0,OR(CE1264=1,AA1264&lt;&gt;"",U1264&lt;&gt;"",V1264&lt;&gt;"",AB1264&lt;&gt;"")),"manuell übersteuert; ","")&amp;IF(AND(BW1264=0,R1264=0),"Gebinde unbekannt / Stellmass fehlt; ","")&amp;IF(AND(BW1264=0,N(V1264)&lt;=0,N(Q1264)&lt;=0),"Menge pro Gebinde fehlt (Ist = 1 Gebinde); ","")&amp;BR1264)</f>
        <v>Kein Verbrauch; Lose – Tablare geschätzt; Überbestand 1 Stk / CHF 835; </v>
      </c>
      <c r="BK1264" s="48"/>
      <c r="BL1264" s="48"/>
      <c r="BM1264" s="55"/>
      <c r="BN1264" s="50" t="n">
        <v>1</v>
      </c>
      <c r="BO1264" s="50" t="n">
        <v>2</v>
      </c>
      <c r="BP1264" s="49" t="n">
        <v>-834.75</v>
      </c>
      <c r="BQ1264" s="50" t="n">
        <v>0</v>
      </c>
      <c r="BR1264" s="48"/>
      <c r="BS1264" s="53" t="n">
        <v>0</v>
      </c>
      <c r="BT1264" s="53" t="n">
        <v>1264</v>
      </c>
      <c r="BU1264" s="48" t="str">
        <f aca="false">IF(U1264&lt;&gt;"",UPPER(TRIM(U1264)),IF(BX1264=1,UPPER(VLOOKUP(T1264,Parameter!$I$27:$K$29,2,0)),IF(P1264="","LOSE",P1264)))</f>
        <v>LOSE</v>
      </c>
      <c r="BV1264" s="50" t="n">
        <f aca="false">IF(BU1264="LOSE",1,IF(N(V1264)&gt;0,V1264,IF(BX1264=1,MAX(1,N(VLOOKUP(T1264,Parameter!$I$27:$K$29,3,0)),H1264,N(N1264)),IF(N(Q1264)&gt;0,Q1264,MAX(1,H1264)))))</f>
        <v>1</v>
      </c>
      <c r="BW1264" s="53" t="n">
        <f aca="false">IF(BU1264="LOSE",1,0)</f>
        <v>1</v>
      </c>
      <c r="BX1264" s="53" t="n">
        <f aca="false">IF(AND(U1264="",OR(P1264="",P1264="LOSE"),T1264&lt;&gt;"",N(S1264)&lt;=0,ISNUMBER(MATCH(T1264,Parameter!$I$27:$I$29,0))),1,0)</f>
        <v>0</v>
      </c>
      <c r="BY1264" s="53" t="n">
        <f aca="false">IF(CL1264&gt;0,INDEX(Parameter!$H$5:$H$7,W1264)/INDEX(Parameter!$E$5:$E$7,W1264),IF(AND(BW1264=0,N(IFERROR(VLOOKUP(BU1264,'Gebinde-Kategorie'!$A$5:$N$45,14,0),0))&gt;0),VLOOKUP(BU1264,'Gebinde-Kategorie'!$A$5:$N$45,14,0)*10+Parameter!$M$23,Parameter!$M$24))</f>
        <v>235</v>
      </c>
      <c r="BZ1264" s="48" t="str">
        <f aca="false">IF(AND(Parameter!$B$19="Ja",E1264&lt;&gt;"",ISNUMBER(MATCH(E1264,Parameter!$I$35:$I$52,0))),VLOOKUP(E1264,Parameter!$I$35:$J$52,2,0),IFERROR(VLOOKUP(D1264,Parameter!$A$35:$C$64,2,0),"Nein"))</f>
        <v>Nein</v>
      </c>
      <c r="CA1264" s="52" t="n">
        <f aca="false">IF(BW1264=0,0,IF(N(S1264)&gt;0,S1264,IFERROR(VLOOKUP(D1264,Parameter!$A$35:$C$64,3,0)+0,0)))</f>
        <v>0.15</v>
      </c>
      <c r="CB1264" s="48" t="str">
        <f aca="false">IF(AA1264&lt;&gt;"",AA1264,Z1264)</f>
        <v>-</v>
      </c>
      <c r="CC1264" s="48" t="str">
        <f aca="false">IF(OR(CB1264=1,CB1264=2,CB1264=3),IF(Parameter!$E$27="Ja","LIFT",IF(CB1264=1,"L1","L23")),IF(CB1264="Aussen","Aussen","-"))</f>
        <v>-</v>
      </c>
      <c r="CD1264" s="59" t="n">
        <f aca="false">IF(N(AB1264)&gt;0,AB1264,0)</f>
        <v>0</v>
      </c>
      <c r="CE1264" s="53" t="n">
        <f aca="false">IF(ISNUMBER(AE1264),1,0)</f>
        <v>0</v>
      </c>
      <c r="CF1264" s="50" t="n">
        <f aca="false">N(AE1264)</f>
        <v>0</v>
      </c>
      <c r="CG1264" s="50" t="n">
        <f aca="false">N(M1264)+N(N1264)</f>
        <v>2</v>
      </c>
      <c r="CH1264" s="50" t="n">
        <f aca="false">ROUNDUP(H1264/BV1264,0)</f>
        <v>3</v>
      </c>
      <c r="CI1264" s="50" t="n">
        <f aca="false">ROUNDUP(CF1264/BV1264,0)</f>
        <v>0</v>
      </c>
      <c r="CJ1264" s="53" t="n">
        <f aca="false">IF(BW1264=1,0,IFERROR(VLOOKUP(BU1264,'Gebinde-Kategorie'!$A$5:$N$45,5,0)+0,0))</f>
        <v>0</v>
      </c>
      <c r="CK1264" s="53" t="n">
        <f aca="false">IFERROR(IF(OR(CB1264=1,CB1264=2,CB1264=3),N(INDEX(Parameter!$I$5:$I$7,CB1264)),0),0)</f>
        <v>0</v>
      </c>
      <c r="CL1264" s="52" t="n">
        <f aca="false">IF(AND(Parameter!$B$21="Ja",ISNUMBER(W1264),N(X1264)&gt;0),IFERROR(N(INDEX(Parameter!$L$5:$L$7,W1264))*INDEX(Parameter!$E$5:$E$7,W1264)*X1264/SUMIFS($X$7:$X$1843,$W$7:$W$1843,W1264),0),0)</f>
        <v>0</v>
      </c>
    </row>
    <row r="1265" customFormat="false" ht="15" hidden="false" customHeight="false" outlineLevel="0" collapsed="false">
      <c r="A1265" s="48" t="s">
        <v>2263</v>
      </c>
      <c r="B1265" s="48" t="s">
        <v>2264</v>
      </c>
      <c r="C1265" s="48" t="s">
        <v>168</v>
      </c>
      <c r="D1265" s="48" t="s">
        <v>188</v>
      </c>
      <c r="E1265" s="48" t="s">
        <v>189</v>
      </c>
      <c r="F1265" s="48" t="s">
        <v>222</v>
      </c>
      <c r="G1265" s="49" t="n">
        <v>28.7</v>
      </c>
      <c r="H1265" s="50" t="n">
        <f aca="false">MAX(0,IF(AND(Parameter!$B$21="Ja",ISNUMBER(Y1265)),Y1265,IF(Parameter!$B$20="Jahresanfang 2025 + Export",BO1265+BN1265,BN1265)))</f>
        <v>110</v>
      </c>
      <c r="I1265" s="50" t="n">
        <f aca="false">H1265*G1265</f>
        <v>3157</v>
      </c>
      <c r="J1265" s="50" t="n">
        <f aca="false">BQ1265*Parameter!$B$18</f>
        <v>19</v>
      </c>
      <c r="K1265" s="51" t="n">
        <v>130.5</v>
      </c>
      <c r="L1265" s="52" t="n">
        <v>0.145593869731801</v>
      </c>
      <c r="M1265" s="50" t="n">
        <v>1</v>
      </c>
      <c r="N1265" s="50" t="n">
        <v>20</v>
      </c>
      <c r="O1265" s="53" t="n">
        <v>28</v>
      </c>
      <c r="P1265" s="48" t="s">
        <v>230</v>
      </c>
      <c r="Q1265" s="50" t="n">
        <v>183</v>
      </c>
      <c r="R1265" s="53" t="n">
        <f aca="false">IF(BW1265=1,0,IFERROR(VLOOKUP(BU1265,'Gebinde-Kategorie'!$A$5:$N$45,13,0)+0,0))</f>
        <v>12</v>
      </c>
      <c r="S1265" s="54"/>
      <c r="T1265" s="55"/>
      <c r="U1265" s="55"/>
      <c r="V1265" s="55"/>
      <c r="W1265" s="48"/>
      <c r="X1265" s="50"/>
      <c r="Y1265" s="50"/>
      <c r="Z1265" s="48" t="n">
        <f aca="false">IF(A1265="","",IF(AND(Parameter!$B$21="Ja",ISNUMBER(W1265)),W1265,IF(BZ1265="2+3",IF(ISNUMBER(SEARCH("grosser Artikel",BR1265)),2,IFERROR(VLOOKUP(BU1265,Parameter!$F$35:$G$64,2,0),2)),IF(OR(BZ1265="Nein",BZ1265=""),"-",BZ1265))))</f>
        <v>2</v>
      </c>
      <c r="AA1265" s="55"/>
      <c r="AB1265" s="56"/>
      <c r="AC1265" s="50" t="n">
        <f aca="false">AT1265</f>
        <v>183</v>
      </c>
      <c r="AD1265" s="50" t="n">
        <f aca="false">MAX(AT1265,H1265)</f>
        <v>183</v>
      </c>
      <c r="AE1265" s="57"/>
      <c r="AF1265" s="50" t="n">
        <f aca="false">IF(LEFT(Cockpit!$C$5,1)="A",H1265,IF(CE1265=1,CF1265,IF(LEFT(Cockpit!$C$5,1)="B",AK1265,MAX(AK1265,H1265))))</f>
        <v>110</v>
      </c>
      <c r="AG1265" s="50" t="n">
        <f aca="false">IF(BW1265=1,0,ROUNDUP(AF1265/BV1265,0))</f>
        <v>1</v>
      </c>
      <c r="AH1265" s="52" t="n">
        <f aca="false">IF(CL1265&gt;0,CL1265*MAX(1,AF1265/X1265),IF(BW1265=1,IF(AF1265&lt;=0,0,CA1265*MAX(1,IF(H1265&gt;0,AF1265/H1265,1))),IF(R1265&gt;0,AG1265/R1265,0))/MAX(0.1,N(Parameter!$M$21)))</f>
        <v>0.0833333333333333</v>
      </c>
      <c r="AI1265" s="50" t="n">
        <f aca="false">AH1265*BY1265</f>
        <v>28.75</v>
      </c>
      <c r="AJ1265" s="50" t="n">
        <f aca="false">AF1265*G1265</f>
        <v>3157</v>
      </c>
      <c r="AK1265" s="50" t="n">
        <f aca="false">ROUNDUP(MAX(J1265/IF(CD1265&gt;0,CD1265,MAX(0.1,N(Cockpit!$C$6))),CG1265)/BV1265,0)*BV1265</f>
        <v>183</v>
      </c>
      <c r="AL1265" s="51" t="n">
        <f aca="false">IF(AI1265&gt;0,J1265/AI1265,-1)</f>
        <v>0.660869565217391</v>
      </c>
      <c r="AM1265" s="51" t="n">
        <f aca="false">IF(AND(OR(CC1265="L1",CC1265="L23",CC1265="LIFT"),AI1265&gt;0),SUMIFS($AI$7:$AI$1843,$CC$7:$CC$1843,CC1265,$AL$7:$AL$1843,"&gt;"&amp;AL1265)+SUMIFS($AI$7:$AI$1843,$CC$7:$CC$1843,CC1265,$AL$7:$AL$1843,AL1265,$BT$7:$BT$1843,"&lt;="&amp;BT1265),"")</f>
        <v>8733.3717948718</v>
      </c>
      <c r="AN1265" s="58" t="n">
        <f aca="false">IF(AM1265="",0,MAX(0,MIN(1,(IF(CC1265="L1",Parameter!$H$5,IF(CC1265="L23",Parameter!$H$6+Parameter!$H$7,Parameter!$H$5+Parameter!$H$6+Parameter!$H$7))-(AM1265-AI1265))/AI1265)))</f>
        <v>1</v>
      </c>
      <c r="AO1265" s="50" t="n">
        <f aca="false">IF(LEFT(Cockpit!$I$5,1)="A",H1265,IF(CE1265=1,CF1265,IF(LEFT(Cockpit!$I$5,1)="B",AT1265,MAX(AT1265,H1265))))</f>
        <v>183</v>
      </c>
      <c r="AP1265" s="50" t="n">
        <f aca="false">IF(BW1265=1,0,ROUNDUP(AO1265/BV1265,0))</f>
        <v>1</v>
      </c>
      <c r="AQ1265" s="52" t="n">
        <f aca="false">IF(CL1265&gt;0,CL1265*MAX(1,AO1265/X1265),IF(BW1265=1,IF(AO1265&lt;=0,0,CA1265*MAX(1,IF(H1265&gt;0,AO1265/H1265,1))),IF(R1265&gt;0,AP1265/R1265,0))/MAX(0.1,N(Parameter!$M$21)))</f>
        <v>0.0833333333333333</v>
      </c>
      <c r="AR1265" s="50" t="n">
        <f aca="false">AQ1265*BY1265</f>
        <v>28.75</v>
      </c>
      <c r="AS1265" s="50" t="n">
        <f aca="false">AO1265*G1265</f>
        <v>5252.1</v>
      </c>
      <c r="AT1265" s="50" t="n">
        <f aca="false">ROUNDUP(MAX(J1265/IF(CD1265&gt;0,CD1265,MAX(0.1,N(Cockpit!$I$6))),CG1265)/BV1265,0)*BV1265</f>
        <v>183</v>
      </c>
      <c r="AU1265" s="51" t="n">
        <f aca="false">IF(AR1265&gt;0,J1265/AR1265,-1)</f>
        <v>0.660869565217391</v>
      </c>
      <c r="AV1265" s="51" t="n">
        <f aca="false">IF(AND(OR(CC1265="L1",CC1265="L23",CC1265="LIFT"),AR1265&gt;0),SUMIFS($AR$7:$AR$1843,$CC$7:$CC$1843,CC1265,$AU$7:$AU$1843,"&gt;"&amp;AU1265)+SUMIFS($AR$7:$AR$1843,$CC$7:$CC$1843,CC1265,$AU$7:$AU$1843,AU1265,$BT$7:$BT$1843,"&lt;="&amp;BT1265),"")</f>
        <v>11941.8722527473</v>
      </c>
      <c r="AW1265" s="58" t="n">
        <f aca="false">IF(AV1265="",0,MAX(0,MIN(1,(IF(CC1265="L1",Parameter!$H$5,IF(CC1265="L23",Parameter!$H$6+Parameter!$H$7,Parameter!$H$5+Parameter!$H$6+Parameter!$H$7))-(AV1265-AR1265))/AR1265)))</f>
        <v>1</v>
      </c>
      <c r="AX1265" s="50" t="n">
        <f aca="false">IF(LEFT(Cockpit!$O$5,1)="A",H1265,IF(CE1265=1,CF1265,IF(LEFT(Cockpit!$O$5,1)="B",BC1265,MAX(BC1265,H1265))))</f>
        <v>183</v>
      </c>
      <c r="AY1265" s="50" t="n">
        <f aca="false">IF(BW1265=1,0,ROUNDUP(AX1265/BV1265,0))</f>
        <v>1</v>
      </c>
      <c r="AZ1265" s="52" t="n">
        <f aca="false">IF(CL1265&gt;0,CL1265*MAX(1,AX1265/X1265),IF(BW1265=1,IF(AX1265&lt;=0,0,CA1265*MAX(1,IF(H1265&gt;0,AX1265/H1265,1))),IF(R1265&gt;0,AY1265/R1265,0))/MAX(0.1,N(Parameter!$M$21)))</f>
        <v>0.0833333333333333</v>
      </c>
      <c r="BA1265" s="50" t="n">
        <f aca="false">AZ1265*BY1265</f>
        <v>28.75</v>
      </c>
      <c r="BB1265" s="50" t="n">
        <f aca="false">AX1265*G1265</f>
        <v>5252.1</v>
      </c>
      <c r="BC1265" s="50" t="n">
        <f aca="false">ROUNDUP(MAX(J1265/IF(CD1265&gt;0,CD1265,MAX(0.1,N(Cockpit!$O$6))),CG1265)/BV1265,0)*BV1265</f>
        <v>183</v>
      </c>
      <c r="BD1265" s="51" t="n">
        <f aca="false">IF(BA1265&gt;0,J1265/BA1265,-1)</f>
        <v>0.660869565217391</v>
      </c>
      <c r="BE1265" s="51" t="n">
        <f aca="false">IF(AND(OR(CC1265="L1",CC1265="L23",CC1265="LIFT"),BA1265&gt;0),SUMIFS($BA$7:$BA$1843,$CC$7:$CC$1843,CC1265,$BD$7:$BD$1843,"&gt;"&amp;BD1265)+SUMIFS($BA$7:$BA$1843,$CC$7:$CC$1843,CC1265,$BD$7:$BD$1843,BD1265,$BT$7:$BT$1843,"&lt;="&amp;BT1265),"")</f>
        <v>11481.2793040293</v>
      </c>
      <c r="BF1265" s="58" t="n">
        <f aca="false">IF(BE1265="",0,MAX(0,MIN(1,(IF(CC1265="L1",Parameter!$H$5,IF(CC1265="L23",Parameter!$H$6+Parameter!$H$7,Parameter!$H$5+Parameter!$H$6+Parameter!$H$7))-(BE1265-BA1265))/BA1265)))</f>
        <v>1</v>
      </c>
      <c r="BG1265" s="48" t="str">
        <f aca="false">IF(AI1265&lt;=0,"",IF(CC1265="Aussen","Aussenlager",IF(CC1265="-","Nicht im Lift",IF(AN1265&gt;=1,"Lift",IF(AN1265&lt;=0,"Aussenlager","teilweise")))))</f>
        <v>Lift</v>
      </c>
      <c r="BH1265" s="48" t="str">
        <f aca="false">IF(AR1265&lt;=0,"",IF(CC1265="Aussen","Aussenlager",IF(CC1265="-","Nicht im Lift",IF(AW1265&gt;=1,"Lift",IF(AW1265&lt;=0,"Aussenlager","teilweise")))))</f>
        <v>Lift</v>
      </c>
      <c r="BI1265" s="48" t="str">
        <f aca="false">IF(BA1265&lt;=0,"",IF(CC1265="Aussen","Aussenlager",IF(CC1265="-","Nicht im Lift",IF(BF1265&gt;=1,"Lift",IF(BF1265&lt;=0,"Aussenlager","teilweise")))))</f>
        <v>Lift</v>
      </c>
      <c r="BJ1265" s="48" t="str">
        <f aca="false">IF(A1265="","",IF(BS1265=1,"Neu; ","")&amp;IF(AND(BS1265=0,BN1265&lt;0),"negativer Bestand (Export "&amp;BN1265&amp;"); ","")&amp;IF(J1265&lt;=0,"Kein Verbrauch; ","")&amp;IF(CL1265&gt;0,"Lift "&amp;W1265&amp;" lt. Liftbericht (Fach "&amp;X1265&amp;" Stk); ",IF(BX1265=1,"Gebinde geschätzt ("&amp;T1265&amp;"); ",IF(BW1265=1,"Lose – Tablare geschätzt; ","")))&amp;IF(H1265&gt;AT1265,"Überbestand "&amp;ROUND(H1265-AT1265,0)&amp;" Stk / CHF "&amp;ROUND((H1265-AT1265)*G1265,0)&amp;"; ","")&amp;IF(AND(CE1265=1,CF1265&lt;CG1265),"MAX &lt; MB+LG; ","")&amp;IF(AND(CK1265&gt;0,CJ1265*10&gt;CK1265),"zu hoch für Tablar; ","")&amp;IF(AND(BS1265=0,OR(CE1265=1,AA1265&lt;&gt;"",U1265&lt;&gt;"",V1265&lt;&gt;"",AB1265&lt;&gt;"")),"manuell übersteuert; ","")&amp;IF(AND(BW1265=0,R1265=0),"Gebinde unbekannt / Stellmass fehlt; ","")&amp;IF(AND(BW1265=0,N(V1265)&lt;=0,N(Q1265)&lt;=0),"Menge pro Gebinde fehlt (Ist = 1 Gebinde); ","")&amp;BR1265)</f>
        <v>negativer Bestand (Export -30); Überbestand</v>
      </c>
      <c r="BK1265" s="48"/>
      <c r="BL1265" s="48"/>
      <c r="BM1265" s="55"/>
      <c r="BN1265" s="50" t="n">
        <v>-30</v>
      </c>
      <c r="BO1265" s="50" t="n">
        <v>140</v>
      </c>
      <c r="BP1265" s="49" t="n">
        <v>-861</v>
      </c>
      <c r="BQ1265" s="50" t="n">
        <v>19</v>
      </c>
      <c r="BR1265" s="48" t="s">
        <v>396</v>
      </c>
      <c r="BS1265" s="53" t="n">
        <v>0</v>
      </c>
      <c r="BT1265" s="53" t="n">
        <v>1265</v>
      </c>
      <c r="BU1265" s="48" t="str">
        <f aca="false">IF(U1265&lt;&gt;"",UPPER(TRIM(U1265)),IF(BX1265=1,UPPER(VLOOKUP(T1265,Parameter!$I$27:$K$29,2,0)),IF(P1265="","LOSE",P1265)))</f>
        <v>S63</v>
      </c>
      <c r="BV1265" s="50" t="n">
        <f aca="false">IF(BU1265="LOSE",1,IF(N(V1265)&gt;0,V1265,IF(BX1265=1,MAX(1,N(VLOOKUP(T1265,Parameter!$I$27:$K$29,3,0)),H1265,N(N1265)),IF(N(Q1265)&gt;0,Q1265,MAX(1,H1265)))))</f>
        <v>183</v>
      </c>
      <c r="BW1265" s="53" t="n">
        <f aca="false">IF(BU1265="LOSE",1,0)</f>
        <v>0</v>
      </c>
      <c r="BX1265" s="53" t="n">
        <f aca="false">IF(AND(U1265="",OR(P1265="",P1265="LOSE"),T1265&lt;&gt;"",N(S1265)&lt;=0,ISNUMBER(MATCH(T1265,Parameter!$I$27:$I$29,0))),1,0)</f>
        <v>0</v>
      </c>
      <c r="BY1265" s="53" t="n">
        <f aca="false">IF(CL1265&gt;0,INDEX(Parameter!$H$5:$H$7,W1265)/INDEX(Parameter!$E$5:$E$7,W1265),IF(AND(BW1265=0,N(IFERROR(VLOOKUP(BU1265,'Gebinde-Kategorie'!$A$5:$N$45,14,0),0))&gt;0),VLOOKUP(BU1265,'Gebinde-Kategorie'!$A$5:$N$45,14,0)*10+Parameter!$M$23,Parameter!$M$24))</f>
        <v>345</v>
      </c>
      <c r="BZ1265" s="48" t="str">
        <f aca="false">IF(AND(Parameter!$B$19="Ja",E1265&lt;&gt;"",ISNUMBER(MATCH(E1265,Parameter!$I$35:$I$52,0))),VLOOKUP(E1265,Parameter!$I$35:$J$52,2,0),IFERROR(VLOOKUP(D1265,Parameter!$A$35:$C$64,2,0),"Nein"))</f>
        <v>2+3</v>
      </c>
      <c r="CA1265" s="52" t="n">
        <f aca="false">IF(BW1265=0,0,IF(N(S1265)&gt;0,S1265,IFERROR(VLOOKUP(D1265,Parameter!$A$35:$C$64,3,0)+0,0)))</f>
        <v>0</v>
      </c>
      <c r="CB1265" s="48" t="n">
        <f aca="false">IF(AA1265&lt;&gt;"",AA1265,Z1265)</f>
        <v>2</v>
      </c>
      <c r="CC1265" s="48" t="str">
        <f aca="false">IF(OR(CB1265=1,CB1265=2,CB1265=3),IF(Parameter!$E$27="Ja","LIFT",IF(CB1265=1,"L1","L23")),IF(CB1265="Aussen","Aussen","-"))</f>
        <v>LIFT</v>
      </c>
      <c r="CD1265" s="59" t="n">
        <f aca="false">IF(N(AB1265)&gt;0,AB1265,0)</f>
        <v>0</v>
      </c>
      <c r="CE1265" s="53" t="n">
        <f aca="false">IF(ISNUMBER(AE1265),1,0)</f>
        <v>0</v>
      </c>
      <c r="CF1265" s="50" t="n">
        <f aca="false">N(AE1265)</f>
        <v>0</v>
      </c>
      <c r="CG1265" s="50" t="n">
        <f aca="false">N(M1265)+N(N1265)</f>
        <v>21</v>
      </c>
      <c r="CH1265" s="50" t="n">
        <f aca="false">ROUNDUP(H1265/BV1265,0)</f>
        <v>1</v>
      </c>
      <c r="CI1265" s="50" t="n">
        <f aca="false">ROUNDUP(CF1265/BV1265,0)</f>
        <v>0</v>
      </c>
      <c r="CJ1265" s="53" t="n">
        <f aca="false">IF(BW1265=1,0,IFERROR(VLOOKUP(BU1265,'Gebinde-Kategorie'!$A$5:$N$45,5,0)+0,0))</f>
        <v>31</v>
      </c>
      <c r="CK1265" s="53" t="n">
        <f aca="false">IFERROR(IF(OR(CB1265=1,CB1265=2,CB1265=3),N(INDEX(Parameter!$I$5:$I$7,CB1265)),0),0)</f>
        <v>0</v>
      </c>
      <c r="CL1265" s="52" t="n">
        <f aca="false">IF(AND(Parameter!$B$21="Ja",ISNUMBER(W1265),N(X1265)&gt;0),IFERROR(N(INDEX(Parameter!$L$5:$L$7,W1265))*INDEX(Parameter!$E$5:$E$7,W1265)*X1265/SUMIFS($X$7:$X$1843,$W$7:$W$1843,W1265),0),0)</f>
        <v>0</v>
      </c>
    </row>
    <row r="1266" customFormat="false" ht="15" hidden="false" customHeight="false" outlineLevel="0" collapsed="false">
      <c r="A1266" s="48" t="s">
        <v>2265</v>
      </c>
      <c r="B1266" s="48" t="s">
        <v>2266</v>
      </c>
      <c r="C1266" s="48" t="s">
        <v>168</v>
      </c>
      <c r="D1266" s="48" t="s">
        <v>188</v>
      </c>
      <c r="E1266" s="48"/>
      <c r="F1266" s="48" t="s">
        <v>222</v>
      </c>
      <c r="G1266" s="49" t="n">
        <v>2.98</v>
      </c>
      <c r="H1266" s="50" t="n">
        <f aca="false">MAX(0,IF(AND(Parameter!$B$21="Ja",ISNUMBER(Y1266)),Y1266,IF(Parameter!$B$20="Jahresanfang 2025 + Export",BO1266+BN1266,BN1266)))</f>
        <v>98</v>
      </c>
      <c r="I1266" s="50" t="n">
        <f aca="false">H1266*G1266</f>
        <v>292.04</v>
      </c>
      <c r="J1266" s="50" t="n">
        <f aca="false">BQ1266*Parameter!$B$18</f>
        <v>370</v>
      </c>
      <c r="K1266" s="51" t="n">
        <v>236</v>
      </c>
      <c r="L1266" s="52" t="n">
        <v>1.56779661016949</v>
      </c>
      <c r="M1266" s="50" t="n">
        <v>28</v>
      </c>
      <c r="N1266" s="50" t="n">
        <v>370</v>
      </c>
      <c r="O1266" s="53" t="n">
        <v>28</v>
      </c>
      <c r="P1266" s="48" t="s">
        <v>306</v>
      </c>
      <c r="Q1266" s="50" t="n">
        <v>185</v>
      </c>
      <c r="R1266" s="53" t="n">
        <f aca="false">IF(BW1266=1,0,IFERROR(VLOOKUP(BU1266,'Gebinde-Kategorie'!$A$5:$N$45,13,0)+0,0))</f>
        <v>26</v>
      </c>
      <c r="S1266" s="54"/>
      <c r="T1266" s="55"/>
      <c r="U1266" s="55"/>
      <c r="V1266" s="55"/>
      <c r="W1266" s="48"/>
      <c r="X1266" s="50"/>
      <c r="Y1266" s="50"/>
      <c r="Z1266" s="48" t="n">
        <f aca="false">IF(A1266="","",IF(AND(Parameter!$B$21="Ja",ISNUMBER(W1266)),W1266,IF(BZ1266="2+3",IF(ISNUMBER(SEARCH("grosser Artikel",BR1266)),2,IFERROR(VLOOKUP(BU1266,Parameter!$F$35:$G$64,2,0),2)),IF(OR(BZ1266="Nein",BZ1266=""),"-",BZ1266))))</f>
        <v>3</v>
      </c>
      <c r="AA1266" s="55"/>
      <c r="AB1266" s="56"/>
      <c r="AC1266" s="50" t="n">
        <f aca="false">AT1266</f>
        <v>555</v>
      </c>
      <c r="AD1266" s="50" t="n">
        <f aca="false">MAX(AT1266,H1266)</f>
        <v>555</v>
      </c>
      <c r="AE1266" s="57"/>
      <c r="AF1266" s="50" t="n">
        <f aca="false">IF(LEFT(Cockpit!$C$5,1)="A",H1266,IF(CE1266=1,CF1266,IF(LEFT(Cockpit!$C$5,1)="B",AK1266,MAX(AK1266,H1266))))</f>
        <v>98</v>
      </c>
      <c r="AG1266" s="50" t="n">
        <f aca="false">IF(BW1266=1,0,ROUNDUP(AF1266/BV1266,0))</f>
        <v>1</v>
      </c>
      <c r="AH1266" s="52" t="n">
        <f aca="false">IF(CL1266&gt;0,CL1266*MAX(1,AF1266/X1266),IF(BW1266=1,IF(AF1266&lt;=0,0,CA1266*MAX(1,IF(H1266&gt;0,AF1266/H1266,1))),IF(R1266&gt;0,AG1266/R1266,0))/MAX(0.1,N(Parameter!$M$21)))</f>
        <v>0.0384615384615385</v>
      </c>
      <c r="AI1266" s="50" t="n">
        <f aca="false">AH1266*BY1266</f>
        <v>5.96153846153846</v>
      </c>
      <c r="AJ1266" s="50" t="n">
        <f aca="false">AF1266*G1266</f>
        <v>292.04</v>
      </c>
      <c r="AK1266" s="50" t="n">
        <f aca="false">ROUNDUP(MAX(J1266/IF(CD1266&gt;0,CD1266,MAX(0.1,N(Cockpit!$C$6))),CG1266)/BV1266,0)*BV1266</f>
        <v>555</v>
      </c>
      <c r="AL1266" s="51" t="n">
        <f aca="false">IF(AI1266&gt;0,J1266/AI1266,-1)</f>
        <v>62.0645161290323</v>
      </c>
      <c r="AM1266" s="51" t="n">
        <f aca="false">IF(AND(OR(CC1266="L1",CC1266="L23",CC1266="LIFT"),AI1266&gt;0),SUMIFS($AI$7:$AI$1843,$CC$7:$CC$1843,CC1266,$AL$7:$AL$1843,"&gt;"&amp;AL1266)+SUMIFS($AI$7:$AI$1843,$CC$7:$CC$1843,CC1266,$AL$7:$AL$1843,AL1266,$BT$7:$BT$1843,"&lt;="&amp;BT1266),"")</f>
        <v>967.54532967033</v>
      </c>
      <c r="AN1266" s="58" t="n">
        <f aca="false">IF(AM1266="",0,MAX(0,MIN(1,(IF(CC1266="L1",Parameter!$H$5,IF(CC1266="L23",Parameter!$H$6+Parameter!$H$7,Parameter!$H$5+Parameter!$H$6+Parameter!$H$7))-(AM1266-AI1266))/AI1266)))</f>
        <v>1</v>
      </c>
      <c r="AO1266" s="50" t="n">
        <f aca="false">IF(LEFT(Cockpit!$I$5,1)="A",H1266,IF(CE1266=1,CF1266,IF(LEFT(Cockpit!$I$5,1)="B",AT1266,MAX(AT1266,H1266))))</f>
        <v>555</v>
      </c>
      <c r="AP1266" s="50" t="n">
        <f aca="false">IF(BW1266=1,0,ROUNDUP(AO1266/BV1266,0))</f>
        <v>3</v>
      </c>
      <c r="AQ1266" s="52" t="n">
        <f aca="false">IF(CL1266&gt;0,CL1266*MAX(1,AO1266/X1266),IF(BW1266=1,IF(AO1266&lt;=0,0,CA1266*MAX(1,IF(H1266&gt;0,AO1266/H1266,1))),IF(R1266&gt;0,AP1266/R1266,0))/MAX(0.1,N(Parameter!$M$21)))</f>
        <v>0.115384615384615</v>
      </c>
      <c r="AR1266" s="50" t="n">
        <f aca="false">AQ1266*BY1266</f>
        <v>17.8846153846154</v>
      </c>
      <c r="AS1266" s="50" t="n">
        <f aca="false">AO1266*G1266</f>
        <v>1653.9</v>
      </c>
      <c r="AT1266" s="50" t="n">
        <f aca="false">ROUNDUP(MAX(J1266/IF(CD1266&gt;0,CD1266,MAX(0.1,N(Cockpit!$I$6))),CG1266)/BV1266,0)*BV1266</f>
        <v>555</v>
      </c>
      <c r="AU1266" s="51" t="n">
        <f aca="false">IF(AR1266&gt;0,J1266/AR1266,-1)</f>
        <v>20.6881720430108</v>
      </c>
      <c r="AV1266" s="51" t="n">
        <f aca="false">IF(AND(OR(CC1266="L1",CC1266="L23",CC1266="LIFT"),AR1266&gt;0),SUMIFS($AR$7:$AR$1843,$CC$7:$CC$1843,CC1266,$AU$7:$AU$1843,"&gt;"&amp;AU1266)+SUMIFS($AR$7:$AR$1843,$CC$7:$CC$1843,CC1266,$AU$7:$AU$1843,AU1266,$BT$7:$BT$1843,"&lt;="&amp;BT1266),"")</f>
        <v>2253.89789377289</v>
      </c>
      <c r="AW1266" s="58" t="n">
        <f aca="false">IF(AV1266="",0,MAX(0,MIN(1,(IF(CC1266="L1",Parameter!$H$5,IF(CC1266="L23",Parameter!$H$6+Parameter!$H$7,Parameter!$H$5+Parameter!$H$6+Parameter!$H$7))-(AV1266-AR1266))/AR1266)))</f>
        <v>1</v>
      </c>
      <c r="AX1266" s="50" t="n">
        <f aca="false">IF(LEFT(Cockpit!$O$5,1)="A",H1266,IF(CE1266=1,CF1266,IF(LEFT(Cockpit!$O$5,1)="B",BC1266,MAX(BC1266,H1266))))</f>
        <v>555</v>
      </c>
      <c r="AY1266" s="50" t="n">
        <f aca="false">IF(BW1266=1,0,ROUNDUP(AX1266/BV1266,0))</f>
        <v>3</v>
      </c>
      <c r="AZ1266" s="52" t="n">
        <f aca="false">IF(CL1266&gt;0,CL1266*MAX(1,AX1266/X1266),IF(BW1266=1,IF(AX1266&lt;=0,0,CA1266*MAX(1,IF(H1266&gt;0,AX1266/H1266,1))),IF(R1266&gt;0,AY1266/R1266,0))/MAX(0.1,N(Parameter!$M$21)))</f>
        <v>0.115384615384615</v>
      </c>
      <c r="BA1266" s="50" t="n">
        <f aca="false">AZ1266*BY1266</f>
        <v>17.8846153846154</v>
      </c>
      <c r="BB1266" s="50" t="n">
        <f aca="false">AX1266*G1266</f>
        <v>1653.9</v>
      </c>
      <c r="BC1266" s="50" t="n">
        <f aca="false">ROUNDUP(MAX(J1266/IF(CD1266&gt;0,CD1266,MAX(0.1,N(Cockpit!$O$6))),CG1266)/BV1266,0)*BV1266</f>
        <v>555</v>
      </c>
      <c r="BD1266" s="51" t="n">
        <f aca="false">IF(BA1266&gt;0,J1266/BA1266,-1)</f>
        <v>20.6881720430108</v>
      </c>
      <c r="BE1266" s="51" t="n">
        <f aca="false">IF(AND(OR(CC1266="L1",CC1266="L23",CC1266="LIFT"),BA1266&gt;0),SUMIFS($BA$7:$BA$1843,$CC$7:$CC$1843,CC1266,$BD$7:$BD$1843,"&gt;"&amp;BD1266)+SUMIFS($BA$7:$BA$1843,$CC$7:$CC$1843,CC1266,$BD$7:$BD$1843,BD1266,$BT$7:$BT$1843,"&lt;="&amp;BT1266),"")</f>
        <v>2360.836996337</v>
      </c>
      <c r="BF1266" s="58" t="n">
        <f aca="false">IF(BE1266="",0,MAX(0,MIN(1,(IF(CC1266="L1",Parameter!$H$5,IF(CC1266="L23",Parameter!$H$6+Parameter!$H$7,Parameter!$H$5+Parameter!$H$6+Parameter!$H$7))-(BE1266-BA1266))/BA1266)))</f>
        <v>1</v>
      </c>
      <c r="BG1266" s="48" t="str">
        <f aca="false">IF(AI1266&lt;=0,"",IF(CC1266="Aussen","Aussenlager",IF(CC1266="-","Nicht im Lift",IF(AN1266&gt;=1,"Lift",IF(AN1266&lt;=0,"Aussenlager","teilweise")))))</f>
        <v>Lift</v>
      </c>
      <c r="BH1266" s="48" t="str">
        <f aca="false">IF(AR1266&lt;=0,"",IF(CC1266="Aussen","Aussenlager",IF(CC1266="-","Nicht im Lift",IF(AW1266&gt;=1,"Lift",IF(AW1266&lt;=0,"Aussenlager","teilweise")))))</f>
        <v>Lift</v>
      </c>
      <c r="BI1266" s="48" t="str">
        <f aca="false">IF(BA1266&lt;=0,"",IF(CC1266="Aussen","Aussenlager",IF(CC1266="-","Nicht im Lift",IF(BF1266&gt;=1,"Lift",IF(BF1266&lt;=0,"Aussenlager","teilweise")))))</f>
        <v>Lift</v>
      </c>
      <c r="BJ1266" s="48" t="str">
        <f aca="false">IF(A1266="","",IF(BS1266=1,"Neu; ","")&amp;IF(AND(BS1266=0,BN1266&lt;0),"negativer Bestand (Export "&amp;BN1266&amp;"); ","")&amp;IF(J1266&lt;=0,"Kein Verbrauch; ","")&amp;IF(CL1266&gt;0,"Lift "&amp;W1266&amp;" lt. Liftbericht (Fach "&amp;X1266&amp;" Stk); ",IF(BX1266=1,"Gebinde geschätzt ("&amp;T1266&amp;"); ",IF(BW1266=1,"Lose – Tablare geschätzt; ","")))&amp;IF(H1266&gt;AT1266,"Überbestand "&amp;ROUND(H1266-AT1266,0)&amp;" Stk / CHF "&amp;ROUND((H1266-AT1266)*G1266,0)&amp;"; ","")&amp;IF(AND(CE1266=1,CF1266&lt;CG1266),"MAX &lt; MB+LG; ","")&amp;IF(AND(CK1266&gt;0,CJ1266*10&gt;CK1266),"zu hoch für Tablar; ","")&amp;IF(AND(BS1266=0,OR(CE1266=1,AA1266&lt;&gt;"",U1266&lt;&gt;"",V1266&lt;&gt;"",AB1266&lt;&gt;"")),"manuell übersteuert; ","")&amp;IF(AND(BW1266=0,R1266=0),"Gebinde unbekannt / Stellmass fehlt; ","")&amp;IF(AND(BW1266=0,N(V1266)&lt;=0,N(Q1266)&lt;=0),"Menge pro Gebinde fehlt (Ist = 1 Gebinde); ","")&amp;BR1266)</f>
        <v>negativer Bestand (Export -296); </v>
      </c>
      <c r="BK1266" s="48"/>
      <c r="BL1266" s="48"/>
      <c r="BM1266" s="55"/>
      <c r="BN1266" s="50" t="n">
        <v>-296</v>
      </c>
      <c r="BO1266" s="50" t="n">
        <v>394</v>
      </c>
      <c r="BP1266" s="49" t="n">
        <v>-874.2</v>
      </c>
      <c r="BQ1266" s="50" t="n">
        <v>370</v>
      </c>
      <c r="BR1266" s="48"/>
      <c r="BS1266" s="53" t="n">
        <v>0</v>
      </c>
      <c r="BT1266" s="53" t="n">
        <v>1266</v>
      </c>
      <c r="BU1266" s="48" t="str">
        <f aca="false">IF(U1266&lt;&gt;"",UPPER(TRIM(U1266)),IF(BX1266=1,UPPER(VLOOKUP(T1266,Parameter!$I$27:$K$29,2,0)),IF(P1266="","LOSE",P1266)))</f>
        <v>S51</v>
      </c>
      <c r="BV1266" s="50" t="n">
        <f aca="false">IF(BU1266="LOSE",1,IF(N(V1266)&gt;0,V1266,IF(BX1266=1,MAX(1,N(VLOOKUP(T1266,Parameter!$I$27:$K$29,3,0)),H1266,N(N1266)),IF(N(Q1266)&gt;0,Q1266,MAX(1,H1266)))))</f>
        <v>185</v>
      </c>
      <c r="BW1266" s="53" t="n">
        <f aca="false">IF(BU1266="LOSE",1,0)</f>
        <v>0</v>
      </c>
      <c r="BX1266" s="53" t="n">
        <f aca="false">IF(AND(U1266="",OR(P1266="",P1266="LOSE"),T1266&lt;&gt;"",N(S1266)&lt;=0,ISNUMBER(MATCH(T1266,Parameter!$I$27:$I$29,0))),1,0)</f>
        <v>0</v>
      </c>
      <c r="BY1266" s="53" t="n">
        <f aca="false">IF(CL1266&gt;0,INDEX(Parameter!$H$5:$H$7,W1266)/INDEX(Parameter!$E$5:$E$7,W1266),IF(AND(BW1266=0,N(IFERROR(VLOOKUP(BU1266,'Gebinde-Kategorie'!$A$5:$N$45,14,0),0))&gt;0),VLOOKUP(BU1266,'Gebinde-Kategorie'!$A$5:$N$45,14,0)*10+Parameter!$M$23,Parameter!$M$24))</f>
        <v>155</v>
      </c>
      <c r="BZ1266" s="48" t="str">
        <f aca="false">IF(AND(Parameter!$B$19="Ja",E1266&lt;&gt;"",ISNUMBER(MATCH(E1266,Parameter!$I$35:$I$52,0))),VLOOKUP(E1266,Parameter!$I$35:$J$52,2,0),IFERROR(VLOOKUP(D1266,Parameter!$A$35:$C$64,2,0),"Nein"))</f>
        <v>2+3</v>
      </c>
      <c r="CA1266" s="52" t="n">
        <f aca="false">IF(BW1266=0,0,IF(N(S1266)&gt;0,S1266,IFERROR(VLOOKUP(D1266,Parameter!$A$35:$C$64,3,0)+0,0)))</f>
        <v>0</v>
      </c>
      <c r="CB1266" s="48" t="n">
        <f aca="false">IF(AA1266&lt;&gt;"",AA1266,Z1266)</f>
        <v>3</v>
      </c>
      <c r="CC1266" s="48" t="str">
        <f aca="false">IF(OR(CB1266=1,CB1266=2,CB1266=3),IF(Parameter!$E$27="Ja","LIFT",IF(CB1266=1,"L1","L23")),IF(CB1266="Aussen","Aussen","-"))</f>
        <v>LIFT</v>
      </c>
      <c r="CD1266" s="59" t="n">
        <f aca="false">IF(N(AB1266)&gt;0,AB1266,0)</f>
        <v>0</v>
      </c>
      <c r="CE1266" s="53" t="n">
        <f aca="false">IF(ISNUMBER(AE1266),1,0)</f>
        <v>0</v>
      </c>
      <c r="CF1266" s="50" t="n">
        <f aca="false">N(AE1266)</f>
        <v>0</v>
      </c>
      <c r="CG1266" s="50" t="n">
        <f aca="false">N(M1266)+N(N1266)</f>
        <v>398</v>
      </c>
      <c r="CH1266" s="50" t="n">
        <f aca="false">ROUNDUP(H1266/BV1266,0)</f>
        <v>1</v>
      </c>
      <c r="CI1266" s="50" t="n">
        <f aca="false">ROUNDUP(CF1266/BV1266,0)</f>
        <v>0</v>
      </c>
      <c r="CJ1266" s="53" t="n">
        <f aca="false">IF(BW1266=1,0,IFERROR(VLOOKUP(BU1266,'Gebinde-Kategorie'!$A$5:$N$45,5,0)+0,0))</f>
        <v>11</v>
      </c>
      <c r="CK1266" s="53" t="n">
        <f aca="false">IFERROR(IF(OR(CB1266=1,CB1266=2,CB1266=3),N(INDEX(Parameter!$I$5:$I$7,CB1266)),0),0)</f>
        <v>0</v>
      </c>
      <c r="CL1266" s="52" t="n">
        <f aca="false">IF(AND(Parameter!$B$21="Ja",ISNUMBER(W1266),N(X1266)&gt;0),IFERROR(N(INDEX(Parameter!$L$5:$L$7,W1266))*INDEX(Parameter!$E$5:$E$7,W1266)*X1266/SUMIFS($X$7:$X$1843,$W$7:$W$1843,W1266),0),0)</f>
        <v>0</v>
      </c>
    </row>
    <row r="1267" customFormat="false" ht="15" hidden="false" customHeight="false" outlineLevel="0" collapsed="false">
      <c r="A1267" s="48" t="s">
        <v>2267</v>
      </c>
      <c r="B1267" s="48" t="s">
        <v>2268</v>
      </c>
      <c r="C1267" s="48" t="s">
        <v>168</v>
      </c>
      <c r="D1267" s="48" t="s">
        <v>357</v>
      </c>
      <c r="E1267" s="48"/>
      <c r="F1267" s="48" t="s">
        <v>222</v>
      </c>
      <c r="G1267" s="49" t="n">
        <v>441.82</v>
      </c>
      <c r="H1267" s="50" t="n">
        <f aca="false">MAX(0,IF(AND(Parameter!$B$21="Ja",ISNUMBER(Y1267)),Y1267,IF(Parameter!$B$20="Jahresanfang 2025 + Export",BO1267+BN1267,BN1267)))</f>
        <v>0</v>
      </c>
      <c r="I1267" s="50" t="n">
        <f aca="false">H1267*G1267</f>
        <v>0</v>
      </c>
      <c r="J1267" s="50" t="n">
        <f aca="false">BQ1267*Parameter!$B$18</f>
        <v>0</v>
      </c>
      <c r="K1267" s="51" t="n">
        <v>1</v>
      </c>
      <c r="L1267" s="52" t="n">
        <v>0</v>
      </c>
      <c r="M1267" s="50" t="n">
        <v>0</v>
      </c>
      <c r="N1267" s="50" t="n">
        <v>1</v>
      </c>
      <c r="O1267" s="53" t="n">
        <v>0</v>
      </c>
      <c r="P1267" s="48" t="s">
        <v>172</v>
      </c>
      <c r="Q1267" s="50"/>
      <c r="R1267" s="53" t="n">
        <f aca="false">IF(BW1267=1,0,IFERROR(VLOOKUP(BU1267,'Gebinde-Kategorie'!$A$5:$N$45,13,0)+0,0))</f>
        <v>0</v>
      </c>
      <c r="S1267" s="54"/>
      <c r="T1267" s="55"/>
      <c r="U1267" s="55"/>
      <c r="V1267" s="55"/>
      <c r="W1267" s="48"/>
      <c r="X1267" s="50"/>
      <c r="Y1267" s="50"/>
      <c r="Z1267" s="48" t="str">
        <f aca="false">IF(A1267="","",IF(AND(Parameter!$B$21="Ja",ISNUMBER(W1267)),W1267,IF(BZ1267="2+3",IF(ISNUMBER(SEARCH("grosser Artikel",BR1267)),2,IFERROR(VLOOKUP(BU1267,Parameter!$F$35:$G$64,2,0),2)),IF(OR(BZ1267="Nein",BZ1267=""),"-",BZ1267))))</f>
        <v>-</v>
      </c>
      <c r="AA1267" s="55"/>
      <c r="AB1267" s="56"/>
      <c r="AC1267" s="50" t="n">
        <f aca="false">AT1267</f>
        <v>1</v>
      </c>
      <c r="AD1267" s="50" t="n">
        <f aca="false">MAX(AT1267,H1267)</f>
        <v>1</v>
      </c>
      <c r="AE1267" s="57"/>
      <c r="AF1267" s="50" t="n">
        <f aca="false">IF(LEFT(Cockpit!$C$5,1)="A",H1267,IF(CE1267=1,CF1267,IF(LEFT(Cockpit!$C$5,1)="B",AK1267,MAX(AK1267,H1267))))</f>
        <v>0</v>
      </c>
      <c r="AG1267" s="50" t="n">
        <f aca="false">IF(BW1267=1,0,ROUNDUP(AF1267/BV1267,0))</f>
        <v>0</v>
      </c>
      <c r="AH1267" s="52" t="n">
        <f aca="false">IF(CL1267&gt;0,CL1267*MAX(1,AF1267/X1267),IF(BW1267=1,IF(AF1267&lt;=0,0,CA1267*MAX(1,IF(H1267&gt;0,AF1267/H1267,1))),IF(R1267&gt;0,AG1267/R1267,0))/MAX(0.1,N(Parameter!$M$21)))</f>
        <v>0</v>
      </c>
      <c r="AI1267" s="50" t="n">
        <f aca="false">AH1267*BY1267</f>
        <v>0</v>
      </c>
      <c r="AJ1267" s="50" t="n">
        <f aca="false">AF1267*G1267</f>
        <v>0</v>
      </c>
      <c r="AK1267" s="50" t="n">
        <f aca="false">ROUNDUP(MAX(J1267/IF(CD1267&gt;0,CD1267,MAX(0.1,N(Cockpit!$C$6))),CG1267)/BV1267,0)*BV1267</f>
        <v>1</v>
      </c>
      <c r="AL1267" s="51" t="n">
        <f aca="false">IF(AI1267&gt;0,J1267/AI1267,-1)</f>
        <v>-1</v>
      </c>
      <c r="AM1267" s="51" t="str">
        <f aca="false">IF(AND(OR(CC1267="L1",CC1267="L23",CC1267="LIFT"),AI1267&gt;0),SUMIFS($AI$7:$AI$1843,$CC$7:$CC$1843,CC1267,$AL$7:$AL$1843,"&gt;"&amp;AL1267)+SUMIFS($AI$7:$AI$1843,$CC$7:$CC$1843,CC1267,$AL$7:$AL$1843,AL1267,$BT$7:$BT$1843,"&lt;="&amp;BT1267),"")</f>
        <v/>
      </c>
      <c r="AN1267" s="58" t="n">
        <f aca="false">IF(AM1267="",0,MAX(0,MIN(1,(IF(CC1267="L1",Parameter!$H$5,IF(CC1267="L23",Parameter!$H$6+Parameter!$H$7,Parameter!$H$5+Parameter!$H$6+Parameter!$H$7))-(AM1267-AI1267))/AI1267)))</f>
        <v>0</v>
      </c>
      <c r="AO1267" s="50" t="n">
        <f aca="false">IF(LEFT(Cockpit!$I$5,1)="A",H1267,IF(CE1267=1,CF1267,IF(LEFT(Cockpit!$I$5,1)="B",AT1267,MAX(AT1267,H1267))))</f>
        <v>1</v>
      </c>
      <c r="AP1267" s="50" t="n">
        <f aca="false">IF(BW1267=1,0,ROUNDUP(AO1267/BV1267,0))</f>
        <v>0</v>
      </c>
      <c r="AQ1267" s="52" t="n">
        <f aca="false">IF(CL1267&gt;0,CL1267*MAX(1,AO1267/X1267),IF(BW1267=1,IF(AO1267&lt;=0,0,CA1267*MAX(1,IF(H1267&gt;0,AO1267/H1267,1))),IF(R1267&gt;0,AP1267/R1267,0))/MAX(0.1,N(Parameter!$M$21)))</f>
        <v>0.15</v>
      </c>
      <c r="AR1267" s="50" t="n">
        <f aca="false">AQ1267*BY1267</f>
        <v>35.25</v>
      </c>
      <c r="AS1267" s="50" t="n">
        <f aca="false">AO1267*G1267</f>
        <v>441.82</v>
      </c>
      <c r="AT1267" s="50" t="n">
        <f aca="false">ROUNDUP(MAX(J1267/IF(CD1267&gt;0,CD1267,MAX(0.1,N(Cockpit!$I$6))),CG1267)/BV1267,0)*BV1267</f>
        <v>1</v>
      </c>
      <c r="AU1267" s="51" t="n">
        <f aca="false">IF(AR1267&gt;0,J1267/AR1267,-1)</f>
        <v>0</v>
      </c>
      <c r="AV1267" s="51" t="str">
        <f aca="false">IF(AND(OR(CC1267="L1",CC1267="L23",CC1267="LIFT"),AR1267&gt;0),SUMIFS($AR$7:$AR$1843,$CC$7:$CC$1843,CC1267,$AU$7:$AU$1843,"&gt;"&amp;AU1267)+SUMIFS($AR$7:$AR$1843,$CC$7:$CC$1843,CC1267,$AU$7:$AU$1843,AU1267,$BT$7:$BT$1843,"&lt;="&amp;BT1267),"")</f>
        <v/>
      </c>
      <c r="AW1267" s="58" t="n">
        <f aca="false">IF(AV1267="",0,MAX(0,MIN(1,(IF(CC1267="L1",Parameter!$H$5,IF(CC1267="L23",Parameter!$H$6+Parameter!$H$7,Parameter!$H$5+Parameter!$H$6+Parameter!$H$7))-(AV1267-AR1267))/AR1267)))</f>
        <v>0</v>
      </c>
      <c r="AX1267" s="50" t="n">
        <f aca="false">IF(LEFT(Cockpit!$O$5,1)="A",H1267,IF(CE1267=1,CF1267,IF(LEFT(Cockpit!$O$5,1)="B",BC1267,MAX(BC1267,H1267))))</f>
        <v>1</v>
      </c>
      <c r="AY1267" s="50" t="n">
        <f aca="false">IF(BW1267=1,0,ROUNDUP(AX1267/BV1267,0))</f>
        <v>0</v>
      </c>
      <c r="AZ1267" s="52" t="n">
        <f aca="false">IF(CL1267&gt;0,CL1267*MAX(1,AX1267/X1267),IF(BW1267=1,IF(AX1267&lt;=0,0,CA1267*MAX(1,IF(H1267&gt;0,AX1267/H1267,1))),IF(R1267&gt;0,AY1267/R1267,0))/MAX(0.1,N(Parameter!$M$21)))</f>
        <v>0.15</v>
      </c>
      <c r="BA1267" s="50" t="n">
        <f aca="false">AZ1267*BY1267</f>
        <v>35.25</v>
      </c>
      <c r="BB1267" s="50" t="n">
        <f aca="false">AX1267*G1267</f>
        <v>441.82</v>
      </c>
      <c r="BC1267" s="50" t="n">
        <f aca="false">ROUNDUP(MAX(J1267/IF(CD1267&gt;0,CD1267,MAX(0.1,N(Cockpit!$O$6))),CG1267)/BV1267,0)*BV1267</f>
        <v>1</v>
      </c>
      <c r="BD1267" s="51" t="n">
        <f aca="false">IF(BA1267&gt;0,J1267/BA1267,-1)</f>
        <v>0</v>
      </c>
      <c r="BE1267" s="51" t="str">
        <f aca="false">IF(AND(OR(CC1267="L1",CC1267="L23",CC1267="LIFT"),BA1267&gt;0),SUMIFS($BA$7:$BA$1843,$CC$7:$CC$1843,CC1267,$BD$7:$BD$1843,"&gt;"&amp;BD1267)+SUMIFS($BA$7:$BA$1843,$CC$7:$CC$1843,CC1267,$BD$7:$BD$1843,BD1267,$BT$7:$BT$1843,"&lt;="&amp;BT1267),"")</f>
        <v/>
      </c>
      <c r="BF1267" s="58" t="n">
        <f aca="false">IF(BE1267="",0,MAX(0,MIN(1,(IF(CC1267="L1",Parameter!$H$5,IF(CC1267="L23",Parameter!$H$6+Parameter!$H$7,Parameter!$H$5+Parameter!$H$6+Parameter!$H$7))-(BE1267-BA1267))/BA1267)))</f>
        <v>0</v>
      </c>
      <c r="BG1267" s="48" t="str">
        <f aca="false">IF(AI1267&lt;=0,"",IF(CC1267="Aussen","Aussenlager",IF(CC1267="-","Nicht im Lift",IF(AN1267&gt;=1,"Lift",IF(AN1267&lt;=0,"Aussenlager","teilweise")))))</f>
        <v/>
      </c>
      <c r="BH1267" s="48" t="str">
        <f aca="false">IF(AR1267&lt;=0,"",IF(CC1267="Aussen","Aussenlager",IF(CC1267="-","Nicht im Lift",IF(AW1267&gt;=1,"Lift",IF(AW1267&lt;=0,"Aussenlager","teilweise")))))</f>
        <v>Nicht im Lift</v>
      </c>
      <c r="BI1267" s="48" t="str">
        <f aca="false">IF(BA1267&lt;=0,"",IF(CC1267="Aussen","Aussenlager",IF(CC1267="-","Nicht im Lift",IF(BF1267&gt;=1,"Lift",IF(BF1267&lt;=0,"Aussenlager","teilweise")))))</f>
        <v>Nicht im Lift</v>
      </c>
      <c r="BJ1267" s="48" t="str">
        <f aca="false">IF(A1267="","",IF(BS1267=1,"Neu; ","")&amp;IF(AND(BS1267=0,BN1267&lt;0),"negativer Bestand (Export "&amp;BN1267&amp;"); ","")&amp;IF(J1267&lt;=0,"Kein Verbrauch; ","")&amp;IF(CL1267&gt;0,"Lift "&amp;W1267&amp;" lt. Liftbericht (Fach "&amp;X1267&amp;" Stk); ",IF(BX1267=1,"Gebinde geschätzt ("&amp;T1267&amp;"); ",IF(BW1267=1,"Lose – Tablare geschätzt; ","")))&amp;IF(H1267&gt;AT1267,"Überbestand "&amp;ROUND(H1267-AT1267,0)&amp;" Stk / CHF "&amp;ROUND((H1267-AT1267)*G1267,0)&amp;"; ","")&amp;IF(AND(CE1267=1,CF1267&lt;CG1267),"MAX &lt; MB+LG; ","")&amp;IF(AND(CK1267&gt;0,CJ1267*10&gt;CK1267),"zu hoch für Tablar; ","")&amp;IF(AND(BS1267=0,OR(CE1267=1,AA1267&lt;&gt;"",U1267&lt;&gt;"",V1267&lt;&gt;"",AB1267&lt;&gt;"")),"manuell übersteuert; ","")&amp;IF(AND(BW1267=0,R1267=0),"Gebinde unbekannt / Stellmass fehlt; ","")&amp;IF(AND(BW1267=0,N(V1267)&lt;=0,N(Q1267)&lt;=0),"Menge pro Gebinde fehlt (Ist = 1 Gebinde); ","")&amp;BR1267)</f>
        <v>negativer Bestand (Export -2); Kein Verbrauch; Lose – Tablare geschätzt; </v>
      </c>
      <c r="BK1267" s="48"/>
      <c r="BL1267" s="48"/>
      <c r="BM1267" s="55"/>
      <c r="BN1267" s="50" t="n">
        <v>-2</v>
      </c>
      <c r="BO1267" s="50" t="n">
        <v>2</v>
      </c>
      <c r="BP1267" s="49" t="n">
        <v>-883.64</v>
      </c>
      <c r="BQ1267" s="50" t="n">
        <v>0</v>
      </c>
      <c r="BR1267" s="48"/>
      <c r="BS1267" s="53" t="n">
        <v>0</v>
      </c>
      <c r="BT1267" s="53" t="n">
        <v>1267</v>
      </c>
      <c r="BU1267" s="48" t="str">
        <f aca="false">IF(U1267&lt;&gt;"",UPPER(TRIM(U1267)),IF(BX1267=1,UPPER(VLOOKUP(T1267,Parameter!$I$27:$K$29,2,0)),IF(P1267="","LOSE",P1267)))</f>
        <v>LOSE</v>
      </c>
      <c r="BV1267" s="50" t="n">
        <f aca="false">IF(BU1267="LOSE",1,IF(N(V1267)&gt;0,V1267,IF(BX1267=1,MAX(1,N(VLOOKUP(T1267,Parameter!$I$27:$K$29,3,0)),H1267,N(N1267)),IF(N(Q1267)&gt;0,Q1267,MAX(1,H1267)))))</f>
        <v>1</v>
      </c>
      <c r="BW1267" s="53" t="n">
        <f aca="false">IF(BU1267="LOSE",1,0)</f>
        <v>1</v>
      </c>
      <c r="BX1267" s="53" t="n">
        <f aca="false">IF(AND(U1267="",OR(P1267="",P1267="LOSE"),T1267&lt;&gt;"",N(S1267)&lt;=0,ISNUMBER(MATCH(T1267,Parameter!$I$27:$I$29,0))),1,0)</f>
        <v>0</v>
      </c>
      <c r="BY1267" s="53" t="n">
        <f aca="false">IF(CL1267&gt;0,INDEX(Parameter!$H$5:$H$7,W1267)/INDEX(Parameter!$E$5:$E$7,W1267),IF(AND(BW1267=0,N(IFERROR(VLOOKUP(BU1267,'Gebinde-Kategorie'!$A$5:$N$45,14,0),0))&gt;0),VLOOKUP(BU1267,'Gebinde-Kategorie'!$A$5:$N$45,14,0)*10+Parameter!$M$23,Parameter!$M$24))</f>
        <v>235</v>
      </c>
      <c r="BZ1267" s="48" t="str">
        <f aca="false">IF(AND(Parameter!$B$19="Ja",E1267&lt;&gt;"",ISNUMBER(MATCH(E1267,Parameter!$I$35:$I$52,0))),VLOOKUP(E1267,Parameter!$I$35:$J$52,2,0),IFERROR(VLOOKUP(D1267,Parameter!$A$35:$C$64,2,0),"Nein"))</f>
        <v>Nein</v>
      </c>
      <c r="CA1267" s="52" t="n">
        <f aca="false">IF(BW1267=0,0,IF(N(S1267)&gt;0,S1267,IFERROR(VLOOKUP(D1267,Parameter!$A$35:$C$64,3,0)+0,0)))</f>
        <v>0.15</v>
      </c>
      <c r="CB1267" s="48" t="str">
        <f aca="false">IF(AA1267&lt;&gt;"",AA1267,Z1267)</f>
        <v>-</v>
      </c>
      <c r="CC1267" s="48" t="str">
        <f aca="false">IF(OR(CB1267=1,CB1267=2,CB1267=3),IF(Parameter!$E$27="Ja","LIFT",IF(CB1267=1,"L1","L23")),IF(CB1267="Aussen","Aussen","-"))</f>
        <v>-</v>
      </c>
      <c r="CD1267" s="59" t="n">
        <f aca="false">IF(N(AB1267)&gt;0,AB1267,0)</f>
        <v>0</v>
      </c>
      <c r="CE1267" s="53" t="n">
        <f aca="false">IF(ISNUMBER(AE1267),1,0)</f>
        <v>0</v>
      </c>
      <c r="CF1267" s="50" t="n">
        <f aca="false">N(AE1267)</f>
        <v>0</v>
      </c>
      <c r="CG1267" s="50" t="n">
        <f aca="false">N(M1267)+N(N1267)</f>
        <v>1</v>
      </c>
      <c r="CH1267" s="50" t="n">
        <f aca="false">ROUNDUP(H1267/BV1267,0)</f>
        <v>0</v>
      </c>
      <c r="CI1267" s="50" t="n">
        <f aca="false">ROUNDUP(CF1267/BV1267,0)</f>
        <v>0</v>
      </c>
      <c r="CJ1267" s="53" t="n">
        <f aca="false">IF(BW1267=1,0,IFERROR(VLOOKUP(BU1267,'Gebinde-Kategorie'!$A$5:$N$45,5,0)+0,0))</f>
        <v>0</v>
      </c>
      <c r="CK1267" s="53" t="n">
        <f aca="false">IFERROR(IF(OR(CB1267=1,CB1267=2,CB1267=3),N(INDEX(Parameter!$I$5:$I$7,CB1267)),0),0)</f>
        <v>0</v>
      </c>
      <c r="CL1267" s="52" t="n">
        <f aca="false">IF(AND(Parameter!$B$21="Ja",ISNUMBER(W1267),N(X1267)&gt;0),IFERROR(N(INDEX(Parameter!$L$5:$L$7,W1267))*INDEX(Parameter!$E$5:$E$7,W1267)*X1267/SUMIFS($X$7:$X$1843,$W$7:$W$1843,W1267),0),0)</f>
        <v>0</v>
      </c>
    </row>
    <row r="1268" customFormat="false" ht="15" hidden="false" customHeight="false" outlineLevel="0" collapsed="false">
      <c r="A1268" s="48" t="s">
        <v>2269</v>
      </c>
      <c r="B1268" s="48" t="s">
        <v>2270</v>
      </c>
      <c r="C1268" s="48" t="s">
        <v>460</v>
      </c>
      <c r="D1268" s="48" t="s">
        <v>177</v>
      </c>
      <c r="E1268" s="48"/>
      <c r="F1268" s="48" t="s">
        <v>222</v>
      </c>
      <c r="G1268" s="49" t="n">
        <v>132.27</v>
      </c>
      <c r="H1268" s="50" t="n">
        <f aca="false">MAX(0,IF(AND(Parameter!$B$21="Ja",ISNUMBER(Y1268)),Y1268,IF(Parameter!$B$20="Jahresanfang 2025 + Export",BO1268+BN1268,BN1268)))</f>
        <v>0</v>
      </c>
      <c r="I1268" s="50" t="n">
        <f aca="false">H1268*G1268</f>
        <v>0</v>
      </c>
      <c r="J1268" s="50" t="n">
        <f aca="false">BQ1268*Parameter!$B$18</f>
        <v>0</v>
      </c>
      <c r="K1268" s="51" t="n">
        <v>3.5</v>
      </c>
      <c r="L1268" s="52" t="n">
        <v>0</v>
      </c>
      <c r="M1268" s="50" t="n">
        <v>0</v>
      </c>
      <c r="N1268" s="50" t="n">
        <v>1</v>
      </c>
      <c r="O1268" s="53" t="n">
        <v>56</v>
      </c>
      <c r="P1268" s="48" t="s">
        <v>172</v>
      </c>
      <c r="Q1268" s="50"/>
      <c r="R1268" s="53" t="n">
        <f aca="false">IF(BW1268=1,0,IFERROR(VLOOKUP(BU1268,'Gebinde-Kategorie'!$A$5:$N$45,13,0)+0,0))</f>
        <v>4</v>
      </c>
      <c r="S1268" s="54"/>
      <c r="T1268" s="55" t="s">
        <v>193</v>
      </c>
      <c r="U1268" s="55"/>
      <c r="V1268" s="55"/>
      <c r="W1268" s="48"/>
      <c r="X1268" s="50"/>
      <c r="Y1268" s="50"/>
      <c r="Z1268" s="48" t="n">
        <f aca="false">IF(A1268="","",IF(AND(Parameter!$B$21="Ja",ISNUMBER(W1268)),W1268,IF(BZ1268="2+3",IF(ISNUMBER(SEARCH("grosser Artikel",BR1268)),2,IFERROR(VLOOKUP(BU1268,Parameter!$F$35:$G$64,2,0),2)),IF(OR(BZ1268="Nein",BZ1268=""),"-",BZ1268))))</f>
        <v>2</v>
      </c>
      <c r="AA1268" s="55"/>
      <c r="AB1268" s="56"/>
      <c r="AC1268" s="50" t="n">
        <f aca="false">AT1268</f>
        <v>2</v>
      </c>
      <c r="AD1268" s="50" t="n">
        <f aca="false">MAX(AT1268,H1268)</f>
        <v>2</v>
      </c>
      <c r="AE1268" s="57"/>
      <c r="AF1268" s="50" t="n">
        <f aca="false">IF(LEFT(Cockpit!$C$5,1)="A",H1268,IF(CE1268=1,CF1268,IF(LEFT(Cockpit!$C$5,1)="B",AK1268,MAX(AK1268,H1268))))</f>
        <v>0</v>
      </c>
      <c r="AG1268" s="50" t="n">
        <f aca="false">IF(BW1268=1,0,ROUNDUP(AF1268/BV1268,0))</f>
        <v>0</v>
      </c>
      <c r="AH1268" s="52" t="n">
        <f aca="false">IF(CL1268&gt;0,CL1268*MAX(1,AF1268/X1268),IF(BW1268=1,IF(AF1268&lt;=0,0,CA1268*MAX(1,IF(H1268&gt;0,AF1268/H1268,1))),IF(R1268&gt;0,AG1268/R1268,0))/MAX(0.1,N(Parameter!$M$21)))</f>
        <v>0</v>
      </c>
      <c r="AI1268" s="50" t="n">
        <f aca="false">AH1268*BY1268</f>
        <v>0</v>
      </c>
      <c r="AJ1268" s="50" t="n">
        <f aca="false">AF1268*G1268</f>
        <v>0</v>
      </c>
      <c r="AK1268" s="50" t="n">
        <f aca="false">ROUNDUP(MAX(J1268/IF(CD1268&gt;0,CD1268,MAX(0.1,N(Cockpit!$C$6))),CG1268)/BV1268,0)*BV1268</f>
        <v>2</v>
      </c>
      <c r="AL1268" s="51" t="n">
        <f aca="false">IF(AI1268&gt;0,J1268/AI1268,-1)</f>
        <v>-1</v>
      </c>
      <c r="AM1268" s="51" t="str">
        <f aca="false">IF(AND(OR(CC1268="L1",CC1268="L23",CC1268="LIFT"),AI1268&gt;0),SUMIFS($AI$7:$AI$1843,$CC$7:$CC$1843,CC1268,$AL$7:$AL$1843,"&gt;"&amp;AL1268)+SUMIFS($AI$7:$AI$1843,$CC$7:$CC$1843,CC1268,$AL$7:$AL$1843,AL1268,$BT$7:$BT$1843,"&lt;="&amp;BT1268),"")</f>
        <v/>
      </c>
      <c r="AN1268" s="58" t="n">
        <f aca="false">IF(AM1268="",0,MAX(0,MIN(1,(IF(CC1268="L1",Parameter!$H$5,IF(CC1268="L23",Parameter!$H$6+Parameter!$H$7,Parameter!$H$5+Parameter!$H$6+Parameter!$H$7))-(AM1268-AI1268))/AI1268)))</f>
        <v>0</v>
      </c>
      <c r="AO1268" s="50" t="n">
        <f aca="false">IF(LEFT(Cockpit!$I$5,1)="A",H1268,IF(CE1268=1,CF1268,IF(LEFT(Cockpit!$I$5,1)="B",AT1268,MAX(AT1268,H1268))))</f>
        <v>2</v>
      </c>
      <c r="AP1268" s="50" t="n">
        <f aca="false">IF(BW1268=1,0,ROUNDUP(AO1268/BV1268,0))</f>
        <v>1</v>
      </c>
      <c r="AQ1268" s="52" t="n">
        <f aca="false">IF(CL1268&gt;0,CL1268*MAX(1,AO1268/X1268),IF(BW1268=1,IF(AO1268&lt;=0,0,CA1268*MAX(1,IF(H1268&gt;0,AO1268/H1268,1))),IF(R1268&gt;0,AP1268/R1268,0))/MAX(0.1,N(Parameter!$M$21)))</f>
        <v>0.25</v>
      </c>
      <c r="AR1268" s="50" t="n">
        <f aca="false">AQ1268*BY1268</f>
        <v>58.75</v>
      </c>
      <c r="AS1268" s="50" t="n">
        <f aca="false">AO1268*G1268</f>
        <v>264.54</v>
      </c>
      <c r="AT1268" s="50" t="n">
        <f aca="false">ROUNDUP(MAX(J1268/IF(CD1268&gt;0,CD1268,MAX(0.1,N(Cockpit!$I$6))),CG1268)/BV1268,0)*BV1268</f>
        <v>2</v>
      </c>
      <c r="AU1268" s="51" t="n">
        <f aca="false">IF(AR1268&gt;0,J1268/AR1268,-1)</f>
        <v>0</v>
      </c>
      <c r="AV1268" s="51" t="n">
        <f aca="false">IF(AND(OR(CC1268="L1",CC1268="L23",CC1268="LIFT"),AR1268&gt;0),SUMIFS($AR$7:$AR$1843,$CC$7:$CC$1843,CC1268,$AU$7:$AU$1843,"&gt;"&amp;AU1268)+SUMIFS($AR$7:$AR$1843,$CC$7:$CC$1843,CC1268,$AU$7:$AU$1843,AU1268,$BT$7:$BT$1843,"&lt;="&amp;BT1268),"")</f>
        <v>41461.6827000683</v>
      </c>
      <c r="AW1268" s="58" t="n">
        <f aca="false">IF(AV1268="",0,MAX(0,MIN(1,(IF(CC1268="L1",Parameter!$H$5,IF(CC1268="L23",Parameter!$H$6+Parameter!$H$7,Parameter!$H$5+Parameter!$H$6+Parameter!$H$7))-(AV1268-AR1268))/AR1268)))</f>
        <v>0</v>
      </c>
      <c r="AX1268" s="50" t="n">
        <f aca="false">IF(LEFT(Cockpit!$O$5,1)="A",H1268,IF(CE1268=1,CF1268,IF(LEFT(Cockpit!$O$5,1)="B",BC1268,MAX(BC1268,H1268))))</f>
        <v>2</v>
      </c>
      <c r="AY1268" s="50" t="n">
        <f aca="false">IF(BW1268=1,0,ROUNDUP(AX1268/BV1268,0))</f>
        <v>1</v>
      </c>
      <c r="AZ1268" s="52" t="n">
        <f aca="false">IF(CL1268&gt;0,CL1268*MAX(1,AX1268/X1268),IF(BW1268=1,IF(AX1268&lt;=0,0,CA1268*MAX(1,IF(H1268&gt;0,AX1268/H1268,1))),IF(R1268&gt;0,AY1268/R1268,0))/MAX(0.1,N(Parameter!$M$21)))</f>
        <v>0.25</v>
      </c>
      <c r="BA1268" s="50" t="n">
        <f aca="false">AZ1268*BY1268</f>
        <v>58.75</v>
      </c>
      <c r="BB1268" s="50" t="n">
        <f aca="false">AX1268*G1268</f>
        <v>264.54</v>
      </c>
      <c r="BC1268" s="50" t="n">
        <f aca="false">ROUNDUP(MAX(J1268/IF(CD1268&gt;0,CD1268,MAX(0.1,N(Cockpit!$O$6))),CG1268)/BV1268,0)*BV1268</f>
        <v>2</v>
      </c>
      <c r="BD1268" s="51" t="n">
        <f aca="false">IF(BA1268&gt;0,J1268/BA1268,-1)</f>
        <v>0</v>
      </c>
      <c r="BE1268" s="51" t="n">
        <f aca="false">IF(AND(OR(CC1268="L1",CC1268="L23",CC1268="LIFT"),BA1268&gt;0),SUMIFS($BA$7:$BA$1843,$CC$7:$CC$1843,CC1268,$BD$7:$BD$1843,"&gt;"&amp;BD1268)+SUMIFS($BA$7:$BA$1843,$CC$7:$CC$1843,CC1268,$BD$7:$BD$1843,BD1268,$BT$7:$BT$1843,"&lt;="&amp;BT1268),"")</f>
        <v>38136.6947419342</v>
      </c>
      <c r="BF1268" s="58" t="n">
        <f aca="false">IF(BE1268="",0,MAX(0,MIN(1,(IF(CC1268="L1",Parameter!$H$5,IF(CC1268="L23",Parameter!$H$6+Parameter!$H$7,Parameter!$H$5+Parameter!$H$6+Parameter!$H$7))-(BE1268-BA1268))/BA1268)))</f>
        <v>0</v>
      </c>
      <c r="BG1268" s="48" t="str">
        <f aca="false">IF(AI1268&lt;=0,"",IF(CC1268="Aussen","Aussenlager",IF(CC1268="-","Nicht im Lift",IF(AN1268&gt;=1,"Lift",IF(AN1268&lt;=0,"Aussenlager","teilweise")))))</f>
        <v/>
      </c>
      <c r="BH1268" s="48" t="str">
        <f aca="false">IF(AR1268&lt;=0,"",IF(CC1268="Aussen","Aussenlager",IF(CC1268="-","Nicht im Lift",IF(AW1268&gt;=1,"Lift",IF(AW1268&lt;=0,"Aussenlager","teilweise")))))</f>
        <v>Aussenlager</v>
      </c>
      <c r="BI1268" s="48" t="str">
        <f aca="false">IF(BA1268&lt;=0,"",IF(CC1268="Aussen","Aussenlager",IF(CC1268="-","Nicht im Lift",IF(BF1268&gt;=1,"Lift",IF(BF1268&lt;=0,"Aussenlager","teilweise")))))</f>
        <v>Aussenlager</v>
      </c>
      <c r="BJ1268" s="48" t="str">
        <f aca="false">IF(A1268="","",IF(BS1268=1,"Neu; ","")&amp;IF(AND(BS1268=0,BN1268&lt;0),"negativer Bestand (Export "&amp;BN1268&amp;"); ","")&amp;IF(J1268&lt;=0,"Kein Verbrauch; ","")&amp;IF(CL1268&gt;0,"Lift "&amp;W1268&amp;" lt. Liftbericht (Fach "&amp;X1268&amp;" Stk); ",IF(BX1268=1,"Gebinde geschätzt ("&amp;T1268&amp;"); ",IF(BW1268=1,"Lose – Tablare geschätzt; ","")))&amp;IF(H1268&gt;AT1268,"Überbestand "&amp;ROUND(H1268-AT1268,0)&amp;" Stk / CHF "&amp;ROUND((H1268-AT1268)*G1268,0)&amp;"; ","")&amp;IF(AND(CE1268=1,CF1268&lt;CG1268),"MAX &lt; MB+LG; ","")&amp;IF(AND(CK1268&gt;0,CJ1268*10&gt;CK1268),"zu hoch für Tablar; ","")&amp;IF(AND(BS1268=0,OR(CE1268=1,AA1268&lt;&gt;"",U1268&lt;&gt;"",V1268&lt;&gt;"",AB1268&lt;&gt;"")),"manuell übersteuert; ","")&amp;IF(AND(BW1268=0,R1268=0),"Gebinde unbekannt / Stellmass fehlt; ","")&amp;IF(AND(BW1268=0,N(V1268)&lt;=0,N(Q1268)&lt;=0),"Menge pro Gebinde fehlt (Ist = 1 Gebinde); ","")&amp;BR1268)</f>
        <v>negativer Bestand (Export -7); Kein Verbrauch; Gebinde geschätzt (Gross); Menge pro Gebinde fehlt (Ist = 1 Gebinde); Neuer Art.</v>
      </c>
      <c r="BK1268" s="48"/>
      <c r="BL1268" s="48"/>
      <c r="BM1268" s="55"/>
      <c r="BN1268" s="50" t="n">
        <v>-7</v>
      </c>
      <c r="BO1268" s="50" t="n">
        <v>7</v>
      </c>
      <c r="BP1268" s="49" t="n">
        <v>-925.89</v>
      </c>
      <c r="BQ1268" s="50" t="n">
        <v>0</v>
      </c>
      <c r="BR1268" s="48" t="s">
        <v>516</v>
      </c>
      <c r="BS1268" s="53" t="n">
        <v>0</v>
      </c>
      <c r="BT1268" s="53" t="n">
        <v>1268</v>
      </c>
      <c r="BU1268" s="48" t="str">
        <f aca="false">IF(U1268&lt;&gt;"",UPPER(TRIM(U1268)),IF(BX1268=1,UPPER(VLOOKUP(T1268,Parameter!$I$27:$K$29,2,0)),IF(P1268="","LOSE",P1268)))</f>
        <v>S81</v>
      </c>
      <c r="BV1268" s="50" t="n">
        <f aca="false">IF(BU1268="LOSE",1,IF(N(V1268)&gt;0,V1268,IF(BX1268=1,MAX(1,N(VLOOKUP(T1268,Parameter!$I$27:$K$29,3,0)),H1268,N(N1268)),IF(N(Q1268)&gt;0,Q1268,MAX(1,H1268)))))</f>
        <v>2</v>
      </c>
      <c r="BW1268" s="53" t="n">
        <f aca="false">IF(BU1268="LOSE",1,0)</f>
        <v>0</v>
      </c>
      <c r="BX1268" s="53" t="n">
        <f aca="false">IF(AND(U1268="",OR(P1268="",P1268="LOSE"),T1268&lt;&gt;"",N(S1268)&lt;=0,ISNUMBER(MATCH(T1268,Parameter!$I$27:$I$29,0))),1,0)</f>
        <v>1</v>
      </c>
      <c r="BY1268" s="53" t="n">
        <f aca="false">IF(CL1268&gt;0,INDEX(Parameter!$H$5:$H$7,W1268)/INDEX(Parameter!$E$5:$E$7,W1268),IF(AND(BW1268=0,N(IFERROR(VLOOKUP(BU1268,'Gebinde-Kategorie'!$A$5:$N$45,14,0),0))&gt;0),VLOOKUP(BU1268,'Gebinde-Kategorie'!$A$5:$N$45,14,0)*10+Parameter!$M$23,Parameter!$M$24))</f>
        <v>235</v>
      </c>
      <c r="BZ1268" s="48" t="str">
        <f aca="false">IF(AND(Parameter!$B$19="Ja",E1268&lt;&gt;"",ISNUMBER(MATCH(E1268,Parameter!$I$35:$I$52,0))),VLOOKUP(E1268,Parameter!$I$35:$J$52,2,0),IFERROR(VLOOKUP(D1268,Parameter!$A$35:$C$64,2,0),"Nein"))</f>
        <v>2+3</v>
      </c>
      <c r="CA1268" s="52" t="n">
        <f aca="false">IF(BW1268=0,0,IF(N(S1268)&gt;0,S1268,IFERROR(VLOOKUP(D1268,Parameter!$A$35:$C$64,3,0)+0,0)))</f>
        <v>0</v>
      </c>
      <c r="CB1268" s="48" t="n">
        <f aca="false">IF(AA1268&lt;&gt;"",AA1268,Z1268)</f>
        <v>2</v>
      </c>
      <c r="CC1268" s="48" t="str">
        <f aca="false">IF(OR(CB1268=1,CB1268=2,CB1268=3),IF(Parameter!$E$27="Ja","LIFT",IF(CB1268=1,"L1","L23")),IF(CB1268="Aussen","Aussen","-"))</f>
        <v>LIFT</v>
      </c>
      <c r="CD1268" s="59" t="n">
        <f aca="false">IF(N(AB1268)&gt;0,AB1268,0)</f>
        <v>0</v>
      </c>
      <c r="CE1268" s="53" t="n">
        <f aca="false">IF(ISNUMBER(AE1268),1,0)</f>
        <v>0</v>
      </c>
      <c r="CF1268" s="50" t="n">
        <f aca="false">N(AE1268)</f>
        <v>0</v>
      </c>
      <c r="CG1268" s="50" t="n">
        <f aca="false">N(M1268)+N(N1268)</f>
        <v>1</v>
      </c>
      <c r="CH1268" s="50" t="n">
        <f aca="false">ROUNDUP(H1268/BV1268,0)</f>
        <v>0</v>
      </c>
      <c r="CI1268" s="50" t="n">
        <f aca="false">ROUNDUP(CF1268/BV1268,0)</f>
        <v>0</v>
      </c>
      <c r="CJ1268" s="53" t="n">
        <f aca="false">IF(BW1268=1,0,IFERROR(VLOOKUP(BU1268,'Gebinde-Kategorie'!$A$5:$N$45,5,0)+0,0))</f>
        <v>20</v>
      </c>
      <c r="CK1268" s="53" t="n">
        <f aca="false">IFERROR(IF(OR(CB1268=1,CB1268=2,CB1268=3),N(INDEX(Parameter!$I$5:$I$7,CB1268)),0),0)</f>
        <v>0</v>
      </c>
      <c r="CL1268" s="52" t="n">
        <f aca="false">IF(AND(Parameter!$B$21="Ja",ISNUMBER(W1268),N(X1268)&gt;0),IFERROR(N(INDEX(Parameter!$L$5:$L$7,W1268))*INDEX(Parameter!$E$5:$E$7,W1268)*X1268/SUMIFS($X$7:$X$1843,$W$7:$W$1843,W1268),0),0)</f>
        <v>0</v>
      </c>
    </row>
    <row r="1269" customFormat="false" ht="15" hidden="false" customHeight="false" outlineLevel="0" collapsed="false">
      <c r="A1269" s="48" t="s">
        <v>2271</v>
      </c>
      <c r="B1269" s="48" t="s">
        <v>2272</v>
      </c>
      <c r="C1269" s="48" t="s">
        <v>168</v>
      </c>
      <c r="D1269" s="48" t="s">
        <v>188</v>
      </c>
      <c r="E1269" s="48"/>
      <c r="F1269" s="48" t="s">
        <v>222</v>
      </c>
      <c r="G1269" s="49" t="n">
        <v>5.02</v>
      </c>
      <c r="H1269" s="50" t="n">
        <f aca="false">MAX(0,IF(AND(Parameter!$B$21="Ja",ISNUMBER(Y1269)),Y1269,IF(Parameter!$B$20="Jahresanfang 2025 + Export",BO1269+BN1269,BN1269)))</f>
        <v>0</v>
      </c>
      <c r="I1269" s="50" t="n">
        <f aca="false">H1269*G1269</f>
        <v>0</v>
      </c>
      <c r="J1269" s="50" t="n">
        <f aca="false">BQ1269*Parameter!$B$18</f>
        <v>331</v>
      </c>
      <c r="K1269" s="51" t="n">
        <v>83</v>
      </c>
      <c r="L1269" s="52" t="n">
        <v>3.98795180722892</v>
      </c>
      <c r="M1269" s="50" t="n">
        <v>0</v>
      </c>
      <c r="N1269" s="50" t="n">
        <v>330</v>
      </c>
      <c r="O1269" s="53" t="n">
        <v>28</v>
      </c>
      <c r="P1269" s="48" t="s">
        <v>172</v>
      </c>
      <c r="Q1269" s="50"/>
      <c r="R1269" s="53" t="n">
        <f aca="false">IF(BW1269=1,0,IFERROR(VLOOKUP(BU1269,'Gebinde-Kategorie'!$A$5:$N$45,13,0)+0,0))</f>
        <v>26</v>
      </c>
      <c r="S1269" s="54"/>
      <c r="T1269" s="55" t="s">
        <v>279</v>
      </c>
      <c r="U1269" s="55"/>
      <c r="V1269" s="55"/>
      <c r="W1269" s="48"/>
      <c r="X1269" s="50"/>
      <c r="Y1269" s="50"/>
      <c r="Z1269" s="48" t="n">
        <f aca="false">IF(A1269="","",IF(AND(Parameter!$B$21="Ja",ISNUMBER(W1269)),W1269,IF(BZ1269="2+3",IF(ISNUMBER(SEARCH("grosser Artikel",BR1269)),2,IFERROR(VLOOKUP(BU1269,Parameter!$F$35:$G$64,2,0),2)),IF(OR(BZ1269="Nein",BZ1269=""),"-",BZ1269))))</f>
        <v>3</v>
      </c>
      <c r="AA1269" s="55"/>
      <c r="AB1269" s="56"/>
      <c r="AC1269" s="50" t="n">
        <f aca="false">AT1269</f>
        <v>330</v>
      </c>
      <c r="AD1269" s="50" t="n">
        <f aca="false">MAX(AT1269,H1269)</f>
        <v>330</v>
      </c>
      <c r="AE1269" s="57"/>
      <c r="AF1269" s="50" t="n">
        <f aca="false">IF(LEFT(Cockpit!$C$5,1)="A",H1269,IF(CE1269=1,CF1269,IF(LEFT(Cockpit!$C$5,1)="B",AK1269,MAX(AK1269,H1269))))</f>
        <v>0</v>
      </c>
      <c r="AG1269" s="50" t="n">
        <f aca="false">IF(BW1269=1,0,ROUNDUP(AF1269/BV1269,0))</f>
        <v>0</v>
      </c>
      <c r="AH1269" s="52" t="n">
        <f aca="false">IF(CL1269&gt;0,CL1269*MAX(1,AF1269/X1269),IF(BW1269=1,IF(AF1269&lt;=0,0,CA1269*MAX(1,IF(H1269&gt;0,AF1269/H1269,1))),IF(R1269&gt;0,AG1269/R1269,0))/MAX(0.1,N(Parameter!$M$21)))</f>
        <v>0</v>
      </c>
      <c r="AI1269" s="50" t="n">
        <f aca="false">AH1269*BY1269</f>
        <v>0</v>
      </c>
      <c r="AJ1269" s="50" t="n">
        <f aca="false">AF1269*G1269</f>
        <v>0</v>
      </c>
      <c r="AK1269" s="50" t="n">
        <f aca="false">ROUNDUP(MAX(J1269/IF(CD1269&gt;0,CD1269,MAX(0.1,N(Cockpit!$C$6))),CG1269)/BV1269,0)*BV1269</f>
        <v>330</v>
      </c>
      <c r="AL1269" s="51" t="n">
        <f aca="false">IF(AI1269&gt;0,J1269/AI1269,-1)</f>
        <v>-1</v>
      </c>
      <c r="AM1269" s="51" t="str">
        <f aca="false">IF(AND(OR(CC1269="L1",CC1269="L23",CC1269="LIFT"),AI1269&gt;0),SUMIFS($AI$7:$AI$1843,$CC$7:$CC$1843,CC1269,$AL$7:$AL$1843,"&gt;"&amp;AL1269)+SUMIFS($AI$7:$AI$1843,$CC$7:$CC$1843,CC1269,$AL$7:$AL$1843,AL1269,$BT$7:$BT$1843,"&lt;="&amp;BT1269),"")</f>
        <v/>
      </c>
      <c r="AN1269" s="58" t="n">
        <f aca="false">IF(AM1269="",0,MAX(0,MIN(1,(IF(CC1269="L1",Parameter!$H$5,IF(CC1269="L23",Parameter!$H$6+Parameter!$H$7,Parameter!$H$5+Parameter!$H$6+Parameter!$H$7))-(AM1269-AI1269))/AI1269)))</f>
        <v>0</v>
      </c>
      <c r="AO1269" s="50" t="n">
        <f aca="false">IF(LEFT(Cockpit!$I$5,1)="A",H1269,IF(CE1269=1,CF1269,IF(LEFT(Cockpit!$I$5,1)="B",AT1269,MAX(AT1269,H1269))))</f>
        <v>330</v>
      </c>
      <c r="AP1269" s="50" t="n">
        <f aca="false">IF(BW1269=1,0,ROUNDUP(AO1269/BV1269,0))</f>
        <v>1</v>
      </c>
      <c r="AQ1269" s="52" t="n">
        <f aca="false">IF(CL1269&gt;0,CL1269*MAX(1,AO1269/X1269),IF(BW1269=1,IF(AO1269&lt;=0,0,CA1269*MAX(1,IF(H1269&gt;0,AO1269/H1269,1))),IF(R1269&gt;0,AP1269/R1269,0))/MAX(0.1,N(Parameter!$M$21)))</f>
        <v>0.0384615384615385</v>
      </c>
      <c r="AR1269" s="50" t="n">
        <f aca="false">AQ1269*BY1269</f>
        <v>5.96153846153846</v>
      </c>
      <c r="AS1269" s="50" t="n">
        <f aca="false">AO1269*G1269</f>
        <v>1656.6</v>
      </c>
      <c r="AT1269" s="50" t="n">
        <f aca="false">ROUNDUP(MAX(J1269/IF(CD1269&gt;0,CD1269,MAX(0.1,N(Cockpit!$I$6))),CG1269)/BV1269,0)*BV1269</f>
        <v>330</v>
      </c>
      <c r="AU1269" s="51" t="n">
        <f aca="false">IF(AR1269&gt;0,J1269/AR1269,-1)</f>
        <v>55.5225806451613</v>
      </c>
      <c r="AV1269" s="51" t="n">
        <f aca="false">IF(AND(OR(CC1269="L1",CC1269="L23",CC1269="LIFT"),AR1269&gt;0),SUMIFS($AR$7:$AR$1843,$CC$7:$CC$1843,CC1269,$AU$7:$AU$1843,"&gt;"&amp;AU1269)+SUMIFS($AR$7:$AR$1843,$CC$7:$CC$1843,CC1269,$AU$7:$AU$1843,AU1269,$BT$7:$BT$1843,"&lt;="&amp;BT1269),"")</f>
        <v>1505.85164835165</v>
      </c>
      <c r="AW1269" s="58" t="n">
        <f aca="false">IF(AV1269="",0,MAX(0,MIN(1,(IF(CC1269="L1",Parameter!$H$5,IF(CC1269="L23",Parameter!$H$6+Parameter!$H$7,Parameter!$H$5+Parameter!$H$6+Parameter!$H$7))-(AV1269-AR1269))/AR1269)))</f>
        <v>1</v>
      </c>
      <c r="AX1269" s="50" t="n">
        <f aca="false">IF(LEFT(Cockpit!$O$5,1)="A",H1269,IF(CE1269=1,CF1269,IF(LEFT(Cockpit!$O$5,1)="B",BC1269,MAX(BC1269,H1269))))</f>
        <v>330</v>
      </c>
      <c r="AY1269" s="50" t="n">
        <f aca="false">IF(BW1269=1,0,ROUNDUP(AX1269/BV1269,0))</f>
        <v>1</v>
      </c>
      <c r="AZ1269" s="52" t="n">
        <f aca="false">IF(CL1269&gt;0,CL1269*MAX(1,AX1269/X1269),IF(BW1269=1,IF(AX1269&lt;=0,0,CA1269*MAX(1,IF(H1269&gt;0,AX1269/H1269,1))),IF(R1269&gt;0,AY1269/R1269,0))/MAX(0.1,N(Parameter!$M$21)))</f>
        <v>0.0384615384615385</v>
      </c>
      <c r="BA1269" s="50" t="n">
        <f aca="false">AZ1269*BY1269</f>
        <v>5.96153846153846</v>
      </c>
      <c r="BB1269" s="50" t="n">
        <f aca="false">AX1269*G1269</f>
        <v>1656.6</v>
      </c>
      <c r="BC1269" s="50" t="n">
        <f aca="false">ROUNDUP(MAX(J1269/IF(CD1269&gt;0,CD1269,MAX(0.1,N(Cockpit!$O$6))),CG1269)/BV1269,0)*BV1269</f>
        <v>330</v>
      </c>
      <c r="BD1269" s="51" t="n">
        <f aca="false">IF(BA1269&gt;0,J1269/BA1269,-1)</f>
        <v>55.5225806451613</v>
      </c>
      <c r="BE1269" s="51" t="n">
        <f aca="false">IF(AND(OR(CC1269="L1",CC1269="L23",CC1269="LIFT"),BA1269&gt;0),SUMIFS($BA$7:$BA$1843,$CC$7:$CC$1843,CC1269,$BD$7:$BD$1843,"&gt;"&amp;BD1269)+SUMIFS($BA$7:$BA$1843,$CC$7:$CC$1843,CC1269,$BD$7:$BD$1843,BD1269,$BT$7:$BT$1843,"&lt;="&amp;BT1269),"")</f>
        <v>1333.07921245421</v>
      </c>
      <c r="BF1269" s="58" t="n">
        <f aca="false">IF(BE1269="",0,MAX(0,MIN(1,(IF(CC1269="L1",Parameter!$H$5,IF(CC1269="L23",Parameter!$H$6+Parameter!$H$7,Parameter!$H$5+Parameter!$H$6+Parameter!$H$7))-(BE1269-BA1269))/BA1269)))</f>
        <v>1</v>
      </c>
      <c r="BG1269" s="48" t="str">
        <f aca="false">IF(AI1269&lt;=0,"",IF(CC1269="Aussen","Aussenlager",IF(CC1269="-","Nicht im Lift",IF(AN1269&gt;=1,"Lift",IF(AN1269&lt;=0,"Aussenlager","teilweise")))))</f>
        <v/>
      </c>
      <c r="BH1269" s="48" t="str">
        <f aca="false">IF(AR1269&lt;=0,"",IF(CC1269="Aussen","Aussenlager",IF(CC1269="-","Nicht im Lift",IF(AW1269&gt;=1,"Lift",IF(AW1269&lt;=0,"Aussenlager","teilweise")))))</f>
        <v>Lift</v>
      </c>
      <c r="BI1269" s="48" t="str">
        <f aca="false">IF(BA1269&lt;=0,"",IF(CC1269="Aussen","Aussenlager",IF(CC1269="-","Nicht im Lift",IF(BF1269&gt;=1,"Lift",IF(BF1269&lt;=0,"Aussenlager","teilweise")))))</f>
        <v>Lift</v>
      </c>
      <c r="BJ1269" s="48" t="str">
        <f aca="false">IF(A1269="","",IF(BS1269=1,"Neu; ","")&amp;IF(AND(BS1269=0,BN1269&lt;0),"negativer Bestand (Export "&amp;BN1269&amp;"); ","")&amp;IF(J1269&lt;=0,"Kein Verbrauch; ","")&amp;IF(CL1269&gt;0,"Lift "&amp;W1269&amp;" lt. Liftbericht (Fach "&amp;X1269&amp;" Stk); ",IF(BX1269=1,"Gebinde geschätzt ("&amp;T1269&amp;"); ",IF(BW1269=1,"Lose – Tablare geschätzt; ","")))&amp;IF(H1269&gt;AT1269,"Überbestand "&amp;ROUND(H1269-AT1269,0)&amp;" Stk / CHF "&amp;ROUND((H1269-AT1269)*G1269,0)&amp;"; ","")&amp;IF(AND(CE1269=1,CF1269&lt;CG1269),"MAX &lt; MB+LG; ","")&amp;IF(AND(CK1269&gt;0,CJ1269*10&gt;CK1269),"zu hoch für Tablar; ","")&amp;IF(AND(BS1269=0,OR(CE1269=1,AA1269&lt;&gt;"",U1269&lt;&gt;"",V1269&lt;&gt;"",AB1269&lt;&gt;"")),"manuell übersteuert; ","")&amp;IF(AND(BW1269=0,R1269=0),"Gebinde unbekannt / Stellmass fehlt; ","")&amp;IF(AND(BW1269=0,N(V1269)&lt;=0,N(Q1269)&lt;=0),"Menge pro Gebinde fehlt (Ist = 1 Gebinde); ","")&amp;BR1269)</f>
        <v>negativer Bestand (Export -166); Gebinde geschätzt (Klein); Menge pro Gebinde fehlt (Ist = 1 Gebinde); BEI MARIO</v>
      </c>
      <c r="BK1269" s="48"/>
      <c r="BL1269" s="48"/>
      <c r="BM1269" s="55"/>
      <c r="BN1269" s="50" t="n">
        <v>-166</v>
      </c>
      <c r="BO1269" s="50" t="n">
        <v>166</v>
      </c>
      <c r="BP1269" s="49" t="n">
        <v>-929.6</v>
      </c>
      <c r="BQ1269" s="50" t="n">
        <v>331</v>
      </c>
      <c r="BR1269" s="48" t="s">
        <v>2273</v>
      </c>
      <c r="BS1269" s="53" t="n">
        <v>0</v>
      </c>
      <c r="BT1269" s="53" t="n">
        <v>1269</v>
      </c>
      <c r="BU1269" s="48" t="str">
        <f aca="false">IF(U1269&lt;&gt;"",UPPER(TRIM(U1269)),IF(BX1269=1,UPPER(VLOOKUP(T1269,Parameter!$I$27:$K$29,2,0)),IF(P1269="","LOSE",P1269)))</f>
        <v>S51</v>
      </c>
      <c r="BV1269" s="50" t="n">
        <f aca="false">IF(BU1269="LOSE",1,IF(N(V1269)&gt;0,V1269,IF(BX1269=1,MAX(1,N(VLOOKUP(T1269,Parameter!$I$27:$K$29,3,0)),H1269,N(N1269)),IF(N(Q1269)&gt;0,Q1269,MAX(1,H1269)))))</f>
        <v>330</v>
      </c>
      <c r="BW1269" s="53" t="n">
        <f aca="false">IF(BU1269="LOSE",1,0)</f>
        <v>0</v>
      </c>
      <c r="BX1269" s="53" t="n">
        <f aca="false">IF(AND(U1269="",OR(P1269="",P1269="LOSE"),T1269&lt;&gt;"",N(S1269)&lt;=0,ISNUMBER(MATCH(T1269,Parameter!$I$27:$I$29,0))),1,0)</f>
        <v>1</v>
      </c>
      <c r="BY1269" s="53" t="n">
        <f aca="false">IF(CL1269&gt;0,INDEX(Parameter!$H$5:$H$7,W1269)/INDEX(Parameter!$E$5:$E$7,W1269),IF(AND(BW1269=0,N(IFERROR(VLOOKUP(BU1269,'Gebinde-Kategorie'!$A$5:$N$45,14,0),0))&gt;0),VLOOKUP(BU1269,'Gebinde-Kategorie'!$A$5:$N$45,14,0)*10+Parameter!$M$23,Parameter!$M$24))</f>
        <v>155</v>
      </c>
      <c r="BZ1269" s="48" t="str">
        <f aca="false">IF(AND(Parameter!$B$19="Ja",E1269&lt;&gt;"",ISNUMBER(MATCH(E1269,Parameter!$I$35:$I$52,0))),VLOOKUP(E1269,Parameter!$I$35:$J$52,2,0),IFERROR(VLOOKUP(D1269,Parameter!$A$35:$C$64,2,0),"Nein"))</f>
        <v>2+3</v>
      </c>
      <c r="CA1269" s="52" t="n">
        <f aca="false">IF(BW1269=0,0,IF(N(S1269)&gt;0,S1269,IFERROR(VLOOKUP(D1269,Parameter!$A$35:$C$64,3,0)+0,0)))</f>
        <v>0</v>
      </c>
      <c r="CB1269" s="48" t="n">
        <f aca="false">IF(AA1269&lt;&gt;"",AA1269,Z1269)</f>
        <v>3</v>
      </c>
      <c r="CC1269" s="48" t="str">
        <f aca="false">IF(OR(CB1269=1,CB1269=2,CB1269=3),IF(Parameter!$E$27="Ja","LIFT",IF(CB1269=1,"L1","L23")),IF(CB1269="Aussen","Aussen","-"))</f>
        <v>LIFT</v>
      </c>
      <c r="CD1269" s="59" t="n">
        <f aca="false">IF(N(AB1269)&gt;0,AB1269,0)</f>
        <v>0</v>
      </c>
      <c r="CE1269" s="53" t="n">
        <f aca="false">IF(ISNUMBER(AE1269),1,0)</f>
        <v>0</v>
      </c>
      <c r="CF1269" s="50" t="n">
        <f aca="false">N(AE1269)</f>
        <v>0</v>
      </c>
      <c r="CG1269" s="50" t="n">
        <f aca="false">N(M1269)+N(N1269)</f>
        <v>330</v>
      </c>
      <c r="CH1269" s="50" t="n">
        <f aca="false">ROUNDUP(H1269/BV1269,0)</f>
        <v>0</v>
      </c>
      <c r="CI1269" s="50" t="n">
        <f aca="false">ROUNDUP(CF1269/BV1269,0)</f>
        <v>0</v>
      </c>
      <c r="CJ1269" s="53" t="n">
        <f aca="false">IF(BW1269=1,0,IFERROR(VLOOKUP(BU1269,'Gebinde-Kategorie'!$A$5:$N$45,5,0)+0,0))</f>
        <v>11</v>
      </c>
      <c r="CK1269" s="53" t="n">
        <f aca="false">IFERROR(IF(OR(CB1269=1,CB1269=2,CB1269=3),N(INDEX(Parameter!$I$5:$I$7,CB1269)),0),0)</f>
        <v>0</v>
      </c>
      <c r="CL1269" s="52" t="n">
        <f aca="false">IF(AND(Parameter!$B$21="Ja",ISNUMBER(W1269),N(X1269)&gt;0),IFERROR(N(INDEX(Parameter!$L$5:$L$7,W1269))*INDEX(Parameter!$E$5:$E$7,W1269)*X1269/SUMIFS($X$7:$X$1843,$W$7:$W$1843,W1269),0),0)</f>
        <v>0</v>
      </c>
    </row>
    <row r="1270" customFormat="false" ht="15" hidden="false" customHeight="false" outlineLevel="0" collapsed="false">
      <c r="A1270" s="48" t="s">
        <v>2274</v>
      </c>
      <c r="B1270" s="48" t="s">
        <v>274</v>
      </c>
      <c r="C1270" s="48" t="s">
        <v>168</v>
      </c>
      <c r="D1270" s="48" t="s">
        <v>177</v>
      </c>
      <c r="E1270" s="48"/>
      <c r="F1270" s="48" t="s">
        <v>222</v>
      </c>
      <c r="G1270" s="49" t="n">
        <v>643.09</v>
      </c>
      <c r="H1270" s="50" t="n">
        <f aca="false">MAX(0,IF(AND(Parameter!$B$21="Ja",ISNUMBER(Y1270)),Y1270,IF(Parameter!$B$20="Jahresanfang 2025 + Export",BO1270+BN1270,BN1270)))</f>
        <v>1</v>
      </c>
      <c r="I1270" s="50" t="n">
        <f aca="false">H1270*G1270</f>
        <v>643.09</v>
      </c>
      <c r="J1270" s="50" t="n">
        <f aca="false">BQ1270*Parameter!$B$18</f>
        <v>5</v>
      </c>
      <c r="K1270" s="51" t="n">
        <v>4</v>
      </c>
      <c r="L1270" s="52" t="n">
        <v>1.25</v>
      </c>
      <c r="M1270" s="50" t="n">
        <v>0</v>
      </c>
      <c r="N1270" s="50" t="n">
        <v>5</v>
      </c>
      <c r="O1270" s="53" t="n">
        <v>56</v>
      </c>
      <c r="P1270" s="48" t="s">
        <v>172</v>
      </c>
      <c r="Q1270" s="50"/>
      <c r="R1270" s="53" t="n">
        <f aca="false">IF(BW1270=1,0,IFERROR(VLOOKUP(BU1270,'Gebinde-Kategorie'!$A$5:$N$45,13,0)+0,0))</f>
        <v>4</v>
      </c>
      <c r="S1270" s="54"/>
      <c r="T1270" s="55" t="s">
        <v>193</v>
      </c>
      <c r="U1270" s="55"/>
      <c r="V1270" s="55"/>
      <c r="W1270" s="48"/>
      <c r="X1270" s="50"/>
      <c r="Y1270" s="50"/>
      <c r="Z1270" s="48" t="n">
        <f aca="false">IF(A1270="","",IF(AND(Parameter!$B$21="Ja",ISNUMBER(W1270)),W1270,IF(BZ1270="2+3",IF(ISNUMBER(SEARCH("grosser Artikel",BR1270)),2,IFERROR(VLOOKUP(BU1270,Parameter!$F$35:$G$64,2,0),2)),IF(OR(BZ1270="Nein",BZ1270=""),"-",BZ1270))))</f>
        <v>2</v>
      </c>
      <c r="AA1270" s="55"/>
      <c r="AB1270" s="56"/>
      <c r="AC1270" s="50" t="n">
        <f aca="false">AT1270</f>
        <v>5</v>
      </c>
      <c r="AD1270" s="50" t="n">
        <f aca="false">MAX(AT1270,H1270)</f>
        <v>5</v>
      </c>
      <c r="AE1270" s="57"/>
      <c r="AF1270" s="50" t="n">
        <f aca="false">IF(LEFT(Cockpit!$C$5,1)="A",H1270,IF(CE1270=1,CF1270,IF(LEFT(Cockpit!$C$5,1)="B",AK1270,MAX(AK1270,H1270))))</f>
        <v>1</v>
      </c>
      <c r="AG1270" s="50" t="n">
        <f aca="false">IF(BW1270=1,0,ROUNDUP(AF1270/BV1270,0))</f>
        <v>1</v>
      </c>
      <c r="AH1270" s="52" t="n">
        <f aca="false">IF(CL1270&gt;0,CL1270*MAX(1,AF1270/X1270),IF(BW1270=1,IF(AF1270&lt;=0,0,CA1270*MAX(1,IF(H1270&gt;0,AF1270/H1270,1))),IF(R1270&gt;0,AG1270/R1270,0))/MAX(0.1,N(Parameter!$M$21)))</f>
        <v>0.25</v>
      </c>
      <c r="AI1270" s="50" t="n">
        <f aca="false">AH1270*BY1270</f>
        <v>58.75</v>
      </c>
      <c r="AJ1270" s="50" t="n">
        <f aca="false">AF1270*G1270</f>
        <v>643.09</v>
      </c>
      <c r="AK1270" s="50" t="n">
        <f aca="false">ROUNDUP(MAX(J1270/IF(CD1270&gt;0,CD1270,MAX(0.1,N(Cockpit!$C$6))),CG1270)/BV1270,0)*BV1270</f>
        <v>5</v>
      </c>
      <c r="AL1270" s="51" t="n">
        <f aca="false">IF(AI1270&gt;0,J1270/AI1270,-1)</f>
        <v>0.0851063829787234</v>
      </c>
      <c r="AM1270" s="51" t="n">
        <f aca="false">IF(AND(OR(CC1270="L1",CC1270="L23",CC1270="LIFT"),AI1270&gt;0),SUMIFS($AI$7:$AI$1843,$CC$7:$CC$1843,CC1270,$AL$7:$AL$1843,"&gt;"&amp;AL1270)+SUMIFS($AI$7:$AI$1843,$CC$7:$CC$1843,CC1270,$AL$7:$AL$1843,AL1270,$BT$7:$BT$1843,"&lt;="&amp;BT1270),"")</f>
        <v>16447.9575003622</v>
      </c>
      <c r="AN1270" s="58" t="n">
        <f aca="false">IF(AM1270="",0,MAX(0,MIN(1,(IF(CC1270="L1",Parameter!$H$5,IF(CC1270="L23",Parameter!$H$6+Parameter!$H$7,Parameter!$H$5+Parameter!$H$6+Parameter!$H$7))-(AM1270-AI1270))/AI1270)))</f>
        <v>1</v>
      </c>
      <c r="AO1270" s="50" t="n">
        <f aca="false">IF(LEFT(Cockpit!$I$5,1)="A",H1270,IF(CE1270=1,CF1270,IF(LEFT(Cockpit!$I$5,1)="B",AT1270,MAX(AT1270,H1270))))</f>
        <v>5</v>
      </c>
      <c r="AP1270" s="50" t="n">
        <f aca="false">IF(BW1270=1,0,ROUNDUP(AO1270/BV1270,0))</f>
        <v>1</v>
      </c>
      <c r="AQ1270" s="52" t="n">
        <f aca="false">IF(CL1270&gt;0,CL1270*MAX(1,AO1270/X1270),IF(BW1270=1,IF(AO1270&lt;=0,0,CA1270*MAX(1,IF(H1270&gt;0,AO1270/H1270,1))),IF(R1270&gt;0,AP1270/R1270,0))/MAX(0.1,N(Parameter!$M$21)))</f>
        <v>0.25</v>
      </c>
      <c r="AR1270" s="50" t="n">
        <f aca="false">AQ1270*BY1270</f>
        <v>58.75</v>
      </c>
      <c r="AS1270" s="50" t="n">
        <f aca="false">AO1270*G1270</f>
        <v>3215.45</v>
      </c>
      <c r="AT1270" s="50" t="n">
        <f aca="false">ROUNDUP(MAX(J1270/IF(CD1270&gt;0,CD1270,MAX(0.1,N(Cockpit!$I$6))),CG1270)/BV1270,0)*BV1270</f>
        <v>5</v>
      </c>
      <c r="AU1270" s="51" t="n">
        <f aca="false">IF(AR1270&gt;0,J1270/AR1270,-1)</f>
        <v>0.0851063829787234</v>
      </c>
      <c r="AV1270" s="51" t="n">
        <f aca="false">IF(AND(OR(CC1270="L1",CC1270="L23",CC1270="LIFT"),AR1270&gt;0),SUMIFS($AR$7:$AR$1843,$CC$7:$CC$1843,CC1270,$AU$7:$AU$1843,"&gt;"&amp;AU1270)+SUMIFS($AR$7:$AR$1843,$CC$7:$CC$1843,CC1270,$AU$7:$AU$1843,AU1270,$BT$7:$BT$1843,"&lt;="&amp;BT1270),"")</f>
        <v>24919.9378763891</v>
      </c>
      <c r="AW1270" s="58" t="n">
        <f aca="false">IF(AV1270="",0,MAX(0,MIN(1,(IF(CC1270="L1",Parameter!$H$5,IF(CC1270="L23",Parameter!$H$6+Parameter!$H$7,Parameter!$H$5+Parameter!$H$6+Parameter!$H$7))-(AV1270-AR1270))/AR1270)))</f>
        <v>1</v>
      </c>
      <c r="AX1270" s="50" t="n">
        <f aca="false">IF(LEFT(Cockpit!$O$5,1)="A",H1270,IF(CE1270=1,CF1270,IF(LEFT(Cockpit!$O$5,1)="B",BC1270,MAX(BC1270,H1270))))</f>
        <v>5</v>
      </c>
      <c r="AY1270" s="50" t="n">
        <f aca="false">IF(BW1270=1,0,ROUNDUP(AX1270/BV1270,0))</f>
        <v>1</v>
      </c>
      <c r="AZ1270" s="52" t="n">
        <f aca="false">IF(CL1270&gt;0,CL1270*MAX(1,AX1270/X1270),IF(BW1270=1,IF(AX1270&lt;=0,0,CA1270*MAX(1,IF(H1270&gt;0,AX1270/H1270,1))),IF(R1270&gt;0,AY1270/R1270,0))/MAX(0.1,N(Parameter!$M$21)))</f>
        <v>0.25</v>
      </c>
      <c r="BA1270" s="50" t="n">
        <f aca="false">AZ1270*BY1270</f>
        <v>58.75</v>
      </c>
      <c r="BB1270" s="50" t="n">
        <f aca="false">AX1270*G1270</f>
        <v>3215.45</v>
      </c>
      <c r="BC1270" s="50" t="n">
        <f aca="false">ROUNDUP(MAX(J1270/IF(CD1270&gt;0,CD1270,MAX(0.1,N(Cockpit!$O$6))),CG1270)/BV1270,0)*BV1270</f>
        <v>5</v>
      </c>
      <c r="BD1270" s="51" t="n">
        <f aca="false">IF(BA1270&gt;0,J1270/BA1270,-1)</f>
        <v>0.0851063829787234</v>
      </c>
      <c r="BE1270" s="51" t="n">
        <f aca="false">IF(AND(OR(CC1270="L1",CC1270="L23",CC1270="LIFT"),BA1270&gt;0),SUMIFS($BA$7:$BA$1843,$CC$7:$CC$1843,CC1270,$BD$7:$BD$1843,"&gt;"&amp;BD1270)+SUMIFS($BA$7:$BA$1843,$CC$7:$CC$1843,CC1270,$BD$7:$BD$1843,BD1270,$BT$7:$BT$1843,"&lt;="&amp;BT1270),"")</f>
        <v>23122.449918255</v>
      </c>
      <c r="BF1270" s="58" t="n">
        <f aca="false">IF(BE1270="",0,MAX(0,MIN(1,(IF(CC1270="L1",Parameter!$H$5,IF(CC1270="L23",Parameter!$H$6+Parameter!$H$7,Parameter!$H$5+Parameter!$H$6+Parameter!$H$7))-(BE1270-BA1270))/BA1270)))</f>
        <v>1</v>
      </c>
      <c r="BG1270" s="48" t="str">
        <f aca="false">IF(AI1270&lt;=0,"",IF(CC1270="Aussen","Aussenlager",IF(CC1270="-","Nicht im Lift",IF(AN1270&gt;=1,"Lift",IF(AN1270&lt;=0,"Aussenlager","teilweise")))))</f>
        <v>Lift</v>
      </c>
      <c r="BH1270" s="48" t="str">
        <f aca="false">IF(AR1270&lt;=0,"",IF(CC1270="Aussen","Aussenlager",IF(CC1270="-","Nicht im Lift",IF(AW1270&gt;=1,"Lift",IF(AW1270&lt;=0,"Aussenlager","teilweise")))))</f>
        <v>Lift</v>
      </c>
      <c r="BI1270" s="48" t="str">
        <f aca="false">IF(BA1270&lt;=0,"",IF(CC1270="Aussen","Aussenlager",IF(CC1270="-","Nicht im Lift",IF(BF1270&gt;=1,"Lift",IF(BF1270&lt;=0,"Aussenlager","teilweise")))))</f>
        <v>Lift</v>
      </c>
      <c r="BJ1270" s="48" t="str">
        <f aca="false">IF(A1270="","",IF(BS1270=1,"Neu; ","")&amp;IF(AND(BS1270=0,BN1270&lt;0),"negativer Bestand (Export "&amp;BN1270&amp;"); ","")&amp;IF(J1270&lt;=0,"Kein Verbrauch; ","")&amp;IF(CL1270&gt;0,"Lift "&amp;W1270&amp;" lt. Liftbericht (Fach "&amp;X1270&amp;" Stk); ",IF(BX1270=1,"Gebinde geschätzt ("&amp;T1270&amp;"); ",IF(BW1270=1,"Lose – Tablare geschätzt; ","")))&amp;IF(H1270&gt;AT1270,"Überbestand "&amp;ROUND(H1270-AT1270,0)&amp;" Stk / CHF "&amp;ROUND((H1270-AT1270)*G1270,0)&amp;"; ","")&amp;IF(AND(CE1270=1,CF1270&lt;CG1270),"MAX &lt; MB+LG; ","")&amp;IF(AND(CK1270&gt;0,CJ1270*10&gt;CK1270),"zu hoch für Tablar; ","")&amp;IF(AND(BS1270=0,OR(CE1270=1,AA1270&lt;&gt;"",U1270&lt;&gt;"",V1270&lt;&gt;"",AB1270&lt;&gt;"")),"manuell übersteuert; ","")&amp;IF(AND(BW1270=0,R1270=0),"Gebinde unbekannt / Stellmass fehlt; ","")&amp;IF(AND(BW1270=0,N(V1270)&lt;=0,N(Q1270)&lt;=0),"Menge pro Gebinde fehlt (Ist = 1 Gebinde); ","")&amp;BR1270)</f>
        <v>negativer Bestand (Export -1); Gebinde geschätzt (Gross); Menge pro Gebinde fehlt (Ist = 1 Gebinde); </v>
      </c>
      <c r="BK1270" s="48"/>
      <c r="BL1270" s="48"/>
      <c r="BM1270" s="55"/>
      <c r="BN1270" s="50" t="n">
        <v>-1</v>
      </c>
      <c r="BO1270" s="50" t="n">
        <v>2</v>
      </c>
      <c r="BP1270" s="49" t="n">
        <v>-936.91</v>
      </c>
      <c r="BQ1270" s="50" t="n">
        <v>5</v>
      </c>
      <c r="BR1270" s="48"/>
      <c r="BS1270" s="53" t="n">
        <v>0</v>
      </c>
      <c r="BT1270" s="53" t="n">
        <v>1270</v>
      </c>
      <c r="BU1270" s="48" t="str">
        <f aca="false">IF(U1270&lt;&gt;"",UPPER(TRIM(U1270)),IF(BX1270=1,UPPER(VLOOKUP(T1270,Parameter!$I$27:$K$29,2,0)),IF(P1270="","LOSE",P1270)))</f>
        <v>S81</v>
      </c>
      <c r="BV1270" s="50" t="n">
        <f aca="false">IF(BU1270="LOSE",1,IF(N(V1270)&gt;0,V1270,IF(BX1270=1,MAX(1,N(VLOOKUP(T1270,Parameter!$I$27:$K$29,3,0)),H1270,N(N1270)),IF(N(Q1270)&gt;0,Q1270,MAX(1,H1270)))))</f>
        <v>5</v>
      </c>
      <c r="BW1270" s="53" t="n">
        <f aca="false">IF(BU1270="LOSE",1,0)</f>
        <v>0</v>
      </c>
      <c r="BX1270" s="53" t="n">
        <f aca="false">IF(AND(U1270="",OR(P1270="",P1270="LOSE"),T1270&lt;&gt;"",N(S1270)&lt;=0,ISNUMBER(MATCH(T1270,Parameter!$I$27:$I$29,0))),1,0)</f>
        <v>1</v>
      </c>
      <c r="BY1270" s="53" t="n">
        <f aca="false">IF(CL1270&gt;0,INDEX(Parameter!$H$5:$H$7,W1270)/INDEX(Parameter!$E$5:$E$7,W1270),IF(AND(BW1270=0,N(IFERROR(VLOOKUP(BU1270,'Gebinde-Kategorie'!$A$5:$N$45,14,0),0))&gt;0),VLOOKUP(BU1270,'Gebinde-Kategorie'!$A$5:$N$45,14,0)*10+Parameter!$M$23,Parameter!$M$24))</f>
        <v>235</v>
      </c>
      <c r="BZ1270" s="48" t="str">
        <f aca="false">IF(AND(Parameter!$B$19="Ja",E1270&lt;&gt;"",ISNUMBER(MATCH(E1270,Parameter!$I$35:$I$52,0))),VLOOKUP(E1270,Parameter!$I$35:$J$52,2,0),IFERROR(VLOOKUP(D1270,Parameter!$A$35:$C$64,2,0),"Nein"))</f>
        <v>2+3</v>
      </c>
      <c r="CA1270" s="52" t="n">
        <f aca="false">IF(BW1270=0,0,IF(N(S1270)&gt;0,S1270,IFERROR(VLOOKUP(D1270,Parameter!$A$35:$C$64,3,0)+0,0)))</f>
        <v>0</v>
      </c>
      <c r="CB1270" s="48" t="n">
        <f aca="false">IF(AA1270&lt;&gt;"",AA1270,Z1270)</f>
        <v>2</v>
      </c>
      <c r="CC1270" s="48" t="str">
        <f aca="false">IF(OR(CB1270=1,CB1270=2,CB1270=3),IF(Parameter!$E$27="Ja","LIFT",IF(CB1270=1,"L1","L23")),IF(CB1270="Aussen","Aussen","-"))</f>
        <v>LIFT</v>
      </c>
      <c r="CD1270" s="59" t="n">
        <f aca="false">IF(N(AB1270)&gt;0,AB1270,0)</f>
        <v>0</v>
      </c>
      <c r="CE1270" s="53" t="n">
        <f aca="false">IF(ISNUMBER(AE1270),1,0)</f>
        <v>0</v>
      </c>
      <c r="CF1270" s="50" t="n">
        <f aca="false">N(AE1270)</f>
        <v>0</v>
      </c>
      <c r="CG1270" s="50" t="n">
        <f aca="false">N(M1270)+N(N1270)</f>
        <v>5</v>
      </c>
      <c r="CH1270" s="50" t="n">
        <f aca="false">ROUNDUP(H1270/BV1270,0)</f>
        <v>1</v>
      </c>
      <c r="CI1270" s="50" t="n">
        <f aca="false">ROUNDUP(CF1270/BV1270,0)</f>
        <v>0</v>
      </c>
      <c r="CJ1270" s="53" t="n">
        <f aca="false">IF(BW1270=1,0,IFERROR(VLOOKUP(BU1270,'Gebinde-Kategorie'!$A$5:$N$45,5,0)+0,0))</f>
        <v>20</v>
      </c>
      <c r="CK1270" s="53" t="n">
        <f aca="false">IFERROR(IF(OR(CB1270=1,CB1270=2,CB1270=3),N(INDEX(Parameter!$I$5:$I$7,CB1270)),0),0)</f>
        <v>0</v>
      </c>
      <c r="CL1270" s="52" t="n">
        <f aca="false">IF(AND(Parameter!$B$21="Ja",ISNUMBER(W1270),N(X1270)&gt;0),IFERROR(N(INDEX(Parameter!$L$5:$L$7,W1270))*INDEX(Parameter!$E$5:$E$7,W1270)*X1270/SUMIFS($X$7:$X$1843,$W$7:$W$1843,W1270),0),0)</f>
        <v>0</v>
      </c>
    </row>
    <row r="1271" customFormat="false" ht="15" hidden="false" customHeight="false" outlineLevel="0" collapsed="false">
      <c r="A1271" s="48" t="s">
        <v>2275</v>
      </c>
      <c r="B1271" s="48" t="s">
        <v>2276</v>
      </c>
      <c r="C1271" s="48" t="s">
        <v>168</v>
      </c>
      <c r="D1271" s="48" t="s">
        <v>188</v>
      </c>
      <c r="E1271" s="48" t="s">
        <v>189</v>
      </c>
      <c r="F1271" s="48" t="s">
        <v>222</v>
      </c>
      <c r="G1271" s="49" t="n">
        <v>315.61</v>
      </c>
      <c r="H1271" s="50" t="n">
        <f aca="false">MAX(0,IF(AND(Parameter!$B$21="Ja",ISNUMBER(Y1271)),Y1271,IF(Parameter!$B$20="Jahresanfang 2025 + Export",BO1271+BN1271,BN1271)))</f>
        <v>4</v>
      </c>
      <c r="I1271" s="50" t="n">
        <f aca="false">H1271*G1271</f>
        <v>1262.44</v>
      </c>
      <c r="J1271" s="50" t="n">
        <f aca="false">BQ1271*Parameter!$B$18</f>
        <v>1</v>
      </c>
      <c r="K1271" s="51" t="n">
        <v>6.5</v>
      </c>
      <c r="L1271" s="52" t="n">
        <v>0.153846153846154</v>
      </c>
      <c r="M1271" s="50" t="n">
        <v>0</v>
      </c>
      <c r="N1271" s="50" t="n">
        <v>1</v>
      </c>
      <c r="O1271" s="53" t="n">
        <v>21</v>
      </c>
      <c r="P1271" s="48" t="s">
        <v>306</v>
      </c>
      <c r="Q1271" s="50" t="n">
        <v>4</v>
      </c>
      <c r="R1271" s="53" t="n">
        <f aca="false">IF(BW1271=1,0,IFERROR(VLOOKUP(BU1271,'Gebinde-Kategorie'!$A$5:$N$45,13,0)+0,0))</f>
        <v>26</v>
      </c>
      <c r="S1271" s="54"/>
      <c r="T1271" s="55"/>
      <c r="U1271" s="55"/>
      <c r="V1271" s="55"/>
      <c r="W1271" s="48"/>
      <c r="X1271" s="50"/>
      <c r="Y1271" s="50"/>
      <c r="Z1271" s="48" t="n">
        <f aca="false">IF(A1271="","",IF(AND(Parameter!$B$21="Ja",ISNUMBER(W1271)),W1271,IF(BZ1271="2+3",IF(ISNUMBER(SEARCH("grosser Artikel",BR1271)),2,IFERROR(VLOOKUP(BU1271,Parameter!$F$35:$G$64,2,0),2)),IF(OR(BZ1271="Nein",BZ1271=""),"-",BZ1271))))</f>
        <v>3</v>
      </c>
      <c r="AA1271" s="55"/>
      <c r="AB1271" s="56"/>
      <c r="AC1271" s="50" t="n">
        <f aca="false">AT1271</f>
        <v>4</v>
      </c>
      <c r="AD1271" s="50" t="n">
        <f aca="false">MAX(AT1271,H1271)</f>
        <v>4</v>
      </c>
      <c r="AE1271" s="57"/>
      <c r="AF1271" s="50" t="n">
        <f aca="false">IF(LEFT(Cockpit!$C$5,1)="A",H1271,IF(CE1271=1,CF1271,IF(LEFT(Cockpit!$C$5,1)="B",AK1271,MAX(AK1271,H1271))))</f>
        <v>4</v>
      </c>
      <c r="AG1271" s="50" t="n">
        <f aca="false">IF(BW1271=1,0,ROUNDUP(AF1271/BV1271,0))</f>
        <v>1</v>
      </c>
      <c r="AH1271" s="52" t="n">
        <f aca="false">IF(CL1271&gt;0,CL1271*MAX(1,AF1271/X1271),IF(BW1271=1,IF(AF1271&lt;=0,0,CA1271*MAX(1,IF(H1271&gt;0,AF1271/H1271,1))),IF(R1271&gt;0,AG1271/R1271,0))/MAX(0.1,N(Parameter!$M$21)))</f>
        <v>0.0384615384615385</v>
      </c>
      <c r="AI1271" s="50" t="n">
        <f aca="false">AH1271*BY1271</f>
        <v>5.96153846153846</v>
      </c>
      <c r="AJ1271" s="50" t="n">
        <f aca="false">AF1271*G1271</f>
        <v>1262.44</v>
      </c>
      <c r="AK1271" s="50" t="n">
        <f aca="false">ROUNDUP(MAX(J1271/IF(CD1271&gt;0,CD1271,MAX(0.1,N(Cockpit!$C$6))),CG1271)/BV1271,0)*BV1271</f>
        <v>4</v>
      </c>
      <c r="AL1271" s="51" t="n">
        <f aca="false">IF(AI1271&gt;0,J1271/AI1271,-1)</f>
        <v>0.167741935483871</v>
      </c>
      <c r="AM1271" s="51" t="n">
        <f aca="false">IF(AND(OR(CC1271="L1",CC1271="L23",CC1271="LIFT"),AI1271&gt;0),SUMIFS($AI$7:$AI$1843,$CC$7:$CC$1843,CC1271,$AL$7:$AL$1843,"&gt;"&amp;AL1271)+SUMIFS($AI$7:$AI$1843,$CC$7:$CC$1843,CC1271,$AL$7:$AL$1843,AL1271,$BT$7:$BT$1843,"&lt;="&amp;BT1271),"")</f>
        <v>12757.233720846</v>
      </c>
      <c r="AN1271" s="58" t="n">
        <f aca="false">IF(AM1271="",0,MAX(0,MIN(1,(IF(CC1271="L1",Parameter!$H$5,IF(CC1271="L23",Parameter!$H$6+Parameter!$H$7,Parameter!$H$5+Parameter!$H$6+Parameter!$H$7))-(AM1271-AI1271))/AI1271)))</f>
        <v>1</v>
      </c>
      <c r="AO1271" s="50" t="n">
        <f aca="false">IF(LEFT(Cockpit!$I$5,1)="A",H1271,IF(CE1271=1,CF1271,IF(LEFT(Cockpit!$I$5,1)="B",AT1271,MAX(AT1271,H1271))))</f>
        <v>4</v>
      </c>
      <c r="AP1271" s="50" t="n">
        <f aca="false">IF(BW1271=1,0,ROUNDUP(AO1271/BV1271,0))</f>
        <v>1</v>
      </c>
      <c r="AQ1271" s="52" t="n">
        <f aca="false">IF(CL1271&gt;0,CL1271*MAX(1,AO1271/X1271),IF(BW1271=1,IF(AO1271&lt;=0,0,CA1271*MAX(1,IF(H1271&gt;0,AO1271/H1271,1))),IF(R1271&gt;0,AP1271/R1271,0))/MAX(0.1,N(Parameter!$M$21)))</f>
        <v>0.0384615384615385</v>
      </c>
      <c r="AR1271" s="50" t="n">
        <f aca="false">AQ1271*BY1271</f>
        <v>5.96153846153846</v>
      </c>
      <c r="AS1271" s="50" t="n">
        <f aca="false">AO1271*G1271</f>
        <v>1262.44</v>
      </c>
      <c r="AT1271" s="50" t="n">
        <f aca="false">ROUNDUP(MAX(J1271/IF(CD1271&gt;0,CD1271,MAX(0.1,N(Cockpit!$I$6))),CG1271)/BV1271,0)*BV1271</f>
        <v>4</v>
      </c>
      <c r="AU1271" s="51" t="n">
        <f aca="false">IF(AR1271&gt;0,J1271/AR1271,-1)</f>
        <v>0.167741935483871</v>
      </c>
      <c r="AV1271" s="51" t="n">
        <f aca="false">IF(AND(OR(CC1271="L1",CC1271="L23",CC1271="LIFT"),AR1271&gt;0),SUMIFS($AR$7:$AR$1843,$CC$7:$CC$1843,CC1271,$AU$7:$AU$1843,"&gt;"&amp;AU1271)+SUMIFS($AR$7:$AR$1843,$CC$7:$CC$1843,CC1271,$AU$7:$AU$1843,AU1271,$BT$7:$BT$1843,"&lt;="&amp;BT1271),"")</f>
        <v>19338.3081501832</v>
      </c>
      <c r="AW1271" s="58" t="n">
        <f aca="false">IF(AV1271="",0,MAX(0,MIN(1,(IF(CC1271="L1",Parameter!$H$5,IF(CC1271="L23",Parameter!$H$6+Parameter!$H$7,Parameter!$H$5+Parameter!$H$6+Parameter!$H$7))-(AV1271-AR1271))/AR1271)))</f>
        <v>1</v>
      </c>
      <c r="AX1271" s="50" t="n">
        <f aca="false">IF(LEFT(Cockpit!$O$5,1)="A",H1271,IF(CE1271=1,CF1271,IF(LEFT(Cockpit!$O$5,1)="B",BC1271,MAX(BC1271,H1271))))</f>
        <v>4</v>
      </c>
      <c r="AY1271" s="50" t="n">
        <f aca="false">IF(BW1271=1,0,ROUNDUP(AX1271/BV1271,0))</f>
        <v>1</v>
      </c>
      <c r="AZ1271" s="52" t="n">
        <f aca="false">IF(CL1271&gt;0,CL1271*MAX(1,AX1271/X1271),IF(BW1271=1,IF(AX1271&lt;=0,0,CA1271*MAX(1,IF(H1271&gt;0,AX1271/H1271,1))),IF(R1271&gt;0,AY1271/R1271,0))/MAX(0.1,N(Parameter!$M$21)))</f>
        <v>0.0384615384615385</v>
      </c>
      <c r="BA1271" s="50" t="n">
        <f aca="false">AZ1271*BY1271</f>
        <v>5.96153846153846</v>
      </c>
      <c r="BB1271" s="50" t="n">
        <f aca="false">AX1271*G1271</f>
        <v>1262.44</v>
      </c>
      <c r="BC1271" s="50" t="n">
        <f aca="false">ROUNDUP(MAX(J1271/IF(CD1271&gt;0,CD1271,MAX(0.1,N(Cockpit!$O$6))),CG1271)/BV1271,0)*BV1271</f>
        <v>4</v>
      </c>
      <c r="BD1271" s="51" t="n">
        <f aca="false">IF(BA1271&gt;0,J1271/BA1271,-1)</f>
        <v>0.167741935483871</v>
      </c>
      <c r="BE1271" s="51" t="n">
        <f aca="false">IF(AND(OR(CC1271="L1",CC1271="L23",CC1271="LIFT"),BA1271&gt;0),SUMIFS($BA$7:$BA$1843,$CC$7:$CC$1843,CC1271,$BD$7:$BD$1843,"&gt;"&amp;BD1271)+SUMIFS($BA$7:$BA$1843,$CC$7:$CC$1843,CC1271,$BD$7:$BD$1843,BD1271,$BT$7:$BT$1843,"&lt;="&amp;BT1271),"")</f>
        <v>17364.3818681319</v>
      </c>
      <c r="BF1271" s="58" t="n">
        <f aca="false">IF(BE1271="",0,MAX(0,MIN(1,(IF(CC1271="L1",Parameter!$H$5,IF(CC1271="L23",Parameter!$H$6+Parameter!$H$7,Parameter!$H$5+Parameter!$H$6+Parameter!$H$7))-(BE1271-BA1271))/BA1271)))</f>
        <v>1</v>
      </c>
      <c r="BG1271" s="48" t="str">
        <f aca="false">IF(AI1271&lt;=0,"",IF(CC1271="Aussen","Aussenlager",IF(CC1271="-","Nicht im Lift",IF(AN1271&gt;=1,"Lift",IF(AN1271&lt;=0,"Aussenlager","teilweise")))))</f>
        <v>Lift</v>
      </c>
      <c r="BH1271" s="48" t="str">
        <f aca="false">IF(AR1271&lt;=0,"",IF(CC1271="Aussen","Aussenlager",IF(CC1271="-","Nicht im Lift",IF(AW1271&gt;=1,"Lift",IF(AW1271&lt;=0,"Aussenlager","teilweise")))))</f>
        <v>Lift</v>
      </c>
      <c r="BI1271" s="48" t="str">
        <f aca="false">IF(BA1271&lt;=0,"",IF(CC1271="Aussen","Aussenlager",IF(CC1271="-","Nicht im Lift",IF(BF1271&gt;=1,"Lift",IF(BF1271&lt;=0,"Aussenlager","teilweise")))))</f>
        <v>Lift</v>
      </c>
      <c r="BJ1271" s="48" t="str">
        <f aca="false">IF(A1271="","",IF(BS1271=1,"Neu; ","")&amp;IF(AND(BS1271=0,BN1271&lt;0),"negativer Bestand (Export "&amp;BN1271&amp;"); ","")&amp;IF(J1271&lt;=0,"Kein Verbrauch; ","")&amp;IF(CL1271&gt;0,"Lift "&amp;W1271&amp;" lt. Liftbericht (Fach "&amp;X1271&amp;" Stk); ",IF(BX1271=1,"Gebinde geschätzt ("&amp;T1271&amp;"); ",IF(BW1271=1,"Lose – Tablare geschätzt; ","")))&amp;IF(H1271&gt;AT1271,"Überbestand "&amp;ROUND(H1271-AT1271,0)&amp;" Stk / CHF "&amp;ROUND((H1271-AT1271)*G1271,0)&amp;"; ","")&amp;IF(AND(CE1271=1,CF1271&lt;CG1271),"MAX &lt; MB+LG; ","")&amp;IF(AND(CK1271&gt;0,CJ1271*10&gt;CK1271),"zu hoch für Tablar; ","")&amp;IF(AND(BS1271=0,OR(CE1271=1,AA1271&lt;&gt;"",U1271&lt;&gt;"",V1271&lt;&gt;"",AB1271&lt;&gt;"")),"manuell übersteuert; ","")&amp;IF(AND(BW1271=0,R1271=0),"Gebinde unbekannt / Stellmass fehlt; ","")&amp;IF(AND(BW1271=0,N(V1271)&lt;=0,N(Q1271)&lt;=0),"Menge pro Gebinde fehlt (Ist = 1 Gebinde); ","")&amp;BR1271)</f>
        <v>negativer Bestand (Export -3); Neu</v>
      </c>
      <c r="BK1271" s="48"/>
      <c r="BL1271" s="48"/>
      <c r="BM1271" s="55"/>
      <c r="BN1271" s="50" t="n">
        <v>-3</v>
      </c>
      <c r="BO1271" s="50" t="n">
        <v>7</v>
      </c>
      <c r="BP1271" s="49" t="n">
        <v>-946.83</v>
      </c>
      <c r="BQ1271" s="50" t="n">
        <v>1</v>
      </c>
      <c r="BR1271" s="48" t="s">
        <v>630</v>
      </c>
      <c r="BS1271" s="53" t="n">
        <v>0</v>
      </c>
      <c r="BT1271" s="53" t="n">
        <v>1271</v>
      </c>
      <c r="BU1271" s="48" t="str">
        <f aca="false">IF(U1271&lt;&gt;"",UPPER(TRIM(U1271)),IF(BX1271=1,UPPER(VLOOKUP(T1271,Parameter!$I$27:$K$29,2,0)),IF(P1271="","LOSE",P1271)))</f>
        <v>S51</v>
      </c>
      <c r="BV1271" s="50" t="n">
        <f aca="false">IF(BU1271="LOSE",1,IF(N(V1271)&gt;0,V1271,IF(BX1271=1,MAX(1,N(VLOOKUP(T1271,Parameter!$I$27:$K$29,3,0)),H1271,N(N1271)),IF(N(Q1271)&gt;0,Q1271,MAX(1,H1271)))))</f>
        <v>4</v>
      </c>
      <c r="BW1271" s="53" t="n">
        <f aca="false">IF(BU1271="LOSE",1,0)</f>
        <v>0</v>
      </c>
      <c r="BX1271" s="53" t="n">
        <f aca="false">IF(AND(U1271="",OR(P1271="",P1271="LOSE"),T1271&lt;&gt;"",N(S1271)&lt;=0,ISNUMBER(MATCH(T1271,Parameter!$I$27:$I$29,0))),1,0)</f>
        <v>0</v>
      </c>
      <c r="BY1271" s="53" t="n">
        <f aca="false">IF(CL1271&gt;0,INDEX(Parameter!$H$5:$H$7,W1271)/INDEX(Parameter!$E$5:$E$7,W1271),IF(AND(BW1271=0,N(IFERROR(VLOOKUP(BU1271,'Gebinde-Kategorie'!$A$5:$N$45,14,0),0))&gt;0),VLOOKUP(BU1271,'Gebinde-Kategorie'!$A$5:$N$45,14,0)*10+Parameter!$M$23,Parameter!$M$24))</f>
        <v>155</v>
      </c>
      <c r="BZ1271" s="48" t="str">
        <f aca="false">IF(AND(Parameter!$B$19="Ja",E1271&lt;&gt;"",ISNUMBER(MATCH(E1271,Parameter!$I$35:$I$52,0))),VLOOKUP(E1271,Parameter!$I$35:$J$52,2,0),IFERROR(VLOOKUP(D1271,Parameter!$A$35:$C$64,2,0),"Nein"))</f>
        <v>2+3</v>
      </c>
      <c r="CA1271" s="52" t="n">
        <f aca="false">IF(BW1271=0,0,IF(N(S1271)&gt;0,S1271,IFERROR(VLOOKUP(D1271,Parameter!$A$35:$C$64,3,0)+0,0)))</f>
        <v>0</v>
      </c>
      <c r="CB1271" s="48" t="n">
        <f aca="false">IF(AA1271&lt;&gt;"",AA1271,Z1271)</f>
        <v>3</v>
      </c>
      <c r="CC1271" s="48" t="str">
        <f aca="false">IF(OR(CB1271=1,CB1271=2,CB1271=3),IF(Parameter!$E$27="Ja","LIFT",IF(CB1271=1,"L1","L23")),IF(CB1271="Aussen","Aussen","-"))</f>
        <v>LIFT</v>
      </c>
      <c r="CD1271" s="59" t="n">
        <f aca="false">IF(N(AB1271)&gt;0,AB1271,0)</f>
        <v>0</v>
      </c>
      <c r="CE1271" s="53" t="n">
        <f aca="false">IF(ISNUMBER(AE1271),1,0)</f>
        <v>0</v>
      </c>
      <c r="CF1271" s="50" t="n">
        <f aca="false">N(AE1271)</f>
        <v>0</v>
      </c>
      <c r="CG1271" s="50" t="n">
        <f aca="false">N(M1271)+N(N1271)</f>
        <v>1</v>
      </c>
      <c r="CH1271" s="50" t="n">
        <f aca="false">ROUNDUP(H1271/BV1271,0)</f>
        <v>1</v>
      </c>
      <c r="CI1271" s="50" t="n">
        <f aca="false">ROUNDUP(CF1271/BV1271,0)</f>
        <v>0</v>
      </c>
      <c r="CJ1271" s="53" t="n">
        <f aca="false">IF(BW1271=1,0,IFERROR(VLOOKUP(BU1271,'Gebinde-Kategorie'!$A$5:$N$45,5,0)+0,0))</f>
        <v>11</v>
      </c>
      <c r="CK1271" s="53" t="n">
        <f aca="false">IFERROR(IF(OR(CB1271=1,CB1271=2,CB1271=3),N(INDEX(Parameter!$I$5:$I$7,CB1271)),0),0)</f>
        <v>0</v>
      </c>
      <c r="CL1271" s="52" t="n">
        <f aca="false">IF(AND(Parameter!$B$21="Ja",ISNUMBER(W1271),N(X1271)&gt;0),IFERROR(N(INDEX(Parameter!$L$5:$L$7,W1271))*INDEX(Parameter!$E$5:$E$7,W1271)*X1271/SUMIFS($X$7:$X$1843,$W$7:$W$1843,W1271),0),0)</f>
        <v>0</v>
      </c>
    </row>
    <row r="1272" customFormat="false" ht="15" hidden="false" customHeight="false" outlineLevel="0" collapsed="false">
      <c r="A1272" s="48" t="s">
        <v>2277</v>
      </c>
      <c r="B1272" s="48" t="s">
        <v>2278</v>
      </c>
      <c r="C1272" s="48" t="s">
        <v>168</v>
      </c>
      <c r="D1272" s="48" t="s">
        <v>177</v>
      </c>
      <c r="E1272" s="48"/>
      <c r="F1272" s="48" t="s">
        <v>222</v>
      </c>
      <c r="G1272" s="49" t="n">
        <v>317.25</v>
      </c>
      <c r="H1272" s="50" t="n">
        <f aca="false">MAX(0,IF(AND(Parameter!$B$21="Ja",ISNUMBER(Y1272)),Y1272,IF(Parameter!$B$20="Jahresanfang 2025 + Export",BO1272+BN1272,BN1272)))</f>
        <v>7</v>
      </c>
      <c r="I1272" s="50" t="n">
        <f aca="false">H1272*G1272</f>
        <v>2220.75</v>
      </c>
      <c r="J1272" s="50" t="n">
        <f aca="false">BQ1272*Parameter!$B$18</f>
        <v>2</v>
      </c>
      <c r="K1272" s="51" t="n">
        <v>9</v>
      </c>
      <c r="L1272" s="52" t="n">
        <v>0.222222222222222</v>
      </c>
      <c r="M1272" s="50" t="n">
        <v>0</v>
      </c>
      <c r="N1272" s="50" t="n">
        <v>1</v>
      </c>
      <c r="O1272" s="53" t="n">
        <v>35</v>
      </c>
      <c r="P1272" s="48" t="s">
        <v>178</v>
      </c>
      <c r="Q1272" s="50" t="n">
        <v>10</v>
      </c>
      <c r="R1272" s="53" t="n">
        <f aca="false">IF(BW1272=1,0,IFERROR(VLOOKUP(BU1272,'Gebinde-Kategorie'!$A$5:$N$45,13,0)+0,0))</f>
        <v>6</v>
      </c>
      <c r="S1272" s="54"/>
      <c r="T1272" s="55"/>
      <c r="U1272" s="55"/>
      <c r="V1272" s="55"/>
      <c r="W1272" s="48"/>
      <c r="X1272" s="50"/>
      <c r="Y1272" s="50"/>
      <c r="Z1272" s="48" t="n">
        <f aca="false">IF(A1272="","",IF(AND(Parameter!$B$21="Ja",ISNUMBER(W1272)),W1272,IF(BZ1272="2+3",IF(ISNUMBER(SEARCH("grosser Artikel",BR1272)),2,IFERROR(VLOOKUP(BU1272,Parameter!$F$35:$G$64,2,0),2)),IF(OR(BZ1272="Nein",BZ1272=""),"-",BZ1272))))</f>
        <v>2</v>
      </c>
      <c r="AA1272" s="55"/>
      <c r="AB1272" s="56"/>
      <c r="AC1272" s="50" t="n">
        <f aca="false">AT1272</f>
        <v>10</v>
      </c>
      <c r="AD1272" s="50" t="n">
        <f aca="false">MAX(AT1272,H1272)</f>
        <v>10</v>
      </c>
      <c r="AE1272" s="57"/>
      <c r="AF1272" s="50" t="n">
        <f aca="false">IF(LEFT(Cockpit!$C$5,1)="A",H1272,IF(CE1272=1,CF1272,IF(LEFT(Cockpit!$C$5,1)="B",AK1272,MAX(AK1272,H1272))))</f>
        <v>7</v>
      </c>
      <c r="AG1272" s="50" t="n">
        <f aca="false">IF(BW1272=1,0,ROUNDUP(AF1272/BV1272,0))</f>
        <v>1</v>
      </c>
      <c r="AH1272" s="52" t="n">
        <f aca="false">IF(CL1272&gt;0,CL1272*MAX(1,AF1272/X1272),IF(BW1272=1,IF(AF1272&lt;=0,0,CA1272*MAX(1,IF(H1272&gt;0,AF1272/H1272,1))),IF(R1272&gt;0,AG1272/R1272,0))/MAX(0.1,N(Parameter!$M$21)))</f>
        <v>0.166666666666667</v>
      </c>
      <c r="AI1272" s="50" t="n">
        <f aca="false">AH1272*BY1272</f>
        <v>39.1666666666667</v>
      </c>
      <c r="AJ1272" s="50" t="n">
        <f aca="false">AF1272*G1272</f>
        <v>2220.75</v>
      </c>
      <c r="AK1272" s="50" t="n">
        <f aca="false">ROUNDUP(MAX(J1272/IF(CD1272&gt;0,CD1272,MAX(0.1,N(Cockpit!$C$6))),CG1272)/BV1272,0)*BV1272</f>
        <v>10</v>
      </c>
      <c r="AL1272" s="51" t="n">
        <f aca="false">IF(AI1272&gt;0,J1272/AI1272,-1)</f>
        <v>0.0510638297872341</v>
      </c>
      <c r="AM1272" s="51" t="n">
        <f aca="false">IF(AND(OR(CC1272="L1",CC1272="L23",CC1272="LIFT"),AI1272&gt;0),SUMIFS($AI$7:$AI$1843,$CC$7:$CC$1843,CC1272,$AL$7:$AL$1843,"&gt;"&amp;AL1272)+SUMIFS($AI$7:$AI$1843,$CC$7:$CC$1843,CC1272,$AL$7:$AL$1843,AL1272,$BT$7:$BT$1843,"&lt;="&amp;BT1272),"")</f>
        <v>19219.8957880632</v>
      </c>
      <c r="AN1272" s="58" t="n">
        <f aca="false">IF(AM1272="",0,MAX(0,MIN(1,(IF(CC1272="L1",Parameter!$H$5,IF(CC1272="L23",Parameter!$H$6+Parameter!$H$7,Parameter!$H$5+Parameter!$H$6+Parameter!$H$7))-(AM1272-AI1272))/AI1272)))</f>
        <v>1</v>
      </c>
      <c r="AO1272" s="50" t="n">
        <f aca="false">IF(LEFT(Cockpit!$I$5,1)="A",H1272,IF(CE1272=1,CF1272,IF(LEFT(Cockpit!$I$5,1)="B",AT1272,MAX(AT1272,H1272))))</f>
        <v>10</v>
      </c>
      <c r="AP1272" s="50" t="n">
        <f aca="false">IF(BW1272=1,0,ROUNDUP(AO1272/BV1272,0))</f>
        <v>1</v>
      </c>
      <c r="AQ1272" s="52" t="n">
        <f aca="false">IF(CL1272&gt;0,CL1272*MAX(1,AO1272/X1272),IF(BW1272=1,IF(AO1272&lt;=0,0,CA1272*MAX(1,IF(H1272&gt;0,AO1272/H1272,1))),IF(R1272&gt;0,AP1272/R1272,0))/MAX(0.1,N(Parameter!$M$21)))</f>
        <v>0.166666666666667</v>
      </c>
      <c r="AR1272" s="50" t="n">
        <f aca="false">AQ1272*BY1272</f>
        <v>39.1666666666667</v>
      </c>
      <c r="AS1272" s="50" t="n">
        <f aca="false">AO1272*G1272</f>
        <v>3172.5</v>
      </c>
      <c r="AT1272" s="50" t="n">
        <f aca="false">ROUNDUP(MAX(J1272/IF(CD1272&gt;0,CD1272,MAX(0.1,N(Cockpit!$I$6))),CG1272)/BV1272,0)*BV1272</f>
        <v>10</v>
      </c>
      <c r="AU1272" s="51" t="n">
        <f aca="false">IF(AR1272&gt;0,J1272/AR1272,-1)</f>
        <v>0.0510638297872341</v>
      </c>
      <c r="AV1272" s="51" t="n">
        <f aca="false">IF(AND(OR(CC1272="L1",CC1272="L23",CC1272="LIFT"),AR1272&gt;0),SUMIFS($AR$7:$AR$1843,$CC$7:$CC$1843,CC1272,$AU$7:$AU$1843,"&gt;"&amp;AU1272)+SUMIFS($AR$7:$AR$1843,$CC$7:$CC$1843,CC1272,$AU$7:$AU$1843,AU1272,$BT$7:$BT$1843,"&lt;="&amp;BT1272),"")</f>
        <v>30113.4533768962</v>
      </c>
      <c r="AW1272" s="58" t="n">
        <f aca="false">IF(AV1272="",0,MAX(0,MIN(1,(IF(CC1272="L1",Parameter!$H$5,IF(CC1272="L23",Parameter!$H$6+Parameter!$H$7,Parameter!$H$5+Parameter!$H$6+Parameter!$H$7))-(AV1272-AR1272))/AR1272)))</f>
        <v>1</v>
      </c>
      <c r="AX1272" s="50" t="n">
        <f aca="false">IF(LEFT(Cockpit!$O$5,1)="A",H1272,IF(CE1272=1,CF1272,IF(LEFT(Cockpit!$O$5,1)="B",BC1272,MAX(BC1272,H1272))))</f>
        <v>10</v>
      </c>
      <c r="AY1272" s="50" t="n">
        <f aca="false">IF(BW1272=1,0,ROUNDUP(AX1272/BV1272,0))</f>
        <v>1</v>
      </c>
      <c r="AZ1272" s="52" t="n">
        <f aca="false">IF(CL1272&gt;0,CL1272*MAX(1,AX1272/X1272),IF(BW1272=1,IF(AX1272&lt;=0,0,CA1272*MAX(1,IF(H1272&gt;0,AX1272/H1272,1))),IF(R1272&gt;0,AY1272/R1272,0))/MAX(0.1,N(Parameter!$M$21)))</f>
        <v>0.166666666666667</v>
      </c>
      <c r="BA1272" s="50" t="n">
        <f aca="false">AZ1272*BY1272</f>
        <v>39.1666666666667</v>
      </c>
      <c r="BB1272" s="50" t="n">
        <f aca="false">AX1272*G1272</f>
        <v>3172.5</v>
      </c>
      <c r="BC1272" s="50" t="n">
        <f aca="false">ROUNDUP(MAX(J1272/IF(CD1272&gt;0,CD1272,MAX(0.1,N(Cockpit!$O$6))),CG1272)/BV1272,0)*BV1272</f>
        <v>10</v>
      </c>
      <c r="BD1272" s="51" t="n">
        <f aca="false">IF(BA1272&gt;0,J1272/BA1272,-1)</f>
        <v>0.0510638297872341</v>
      </c>
      <c r="BE1272" s="51" t="n">
        <f aca="false">IF(AND(OR(CC1272="L1",CC1272="L23",CC1272="LIFT"),BA1272&gt;0),SUMIFS($BA$7:$BA$1843,$CC$7:$CC$1843,CC1272,$BD$7:$BD$1843,"&gt;"&amp;BD1272)+SUMIFS($BA$7:$BA$1843,$CC$7:$CC$1843,CC1272,$BD$7:$BD$1843,BD1272,$BT$7:$BT$1843,"&lt;="&amp;BT1272),"")</f>
        <v>26788.465418762</v>
      </c>
      <c r="BF1272" s="58" t="n">
        <f aca="false">IF(BE1272="",0,MAX(0,MIN(1,(IF(CC1272="L1",Parameter!$H$5,IF(CC1272="L23",Parameter!$H$6+Parameter!$H$7,Parameter!$H$5+Parameter!$H$6+Parameter!$H$7))-(BE1272-BA1272))/BA1272)))</f>
        <v>1</v>
      </c>
      <c r="BG1272" s="48" t="str">
        <f aca="false">IF(AI1272&lt;=0,"",IF(CC1272="Aussen","Aussenlager",IF(CC1272="-","Nicht im Lift",IF(AN1272&gt;=1,"Lift",IF(AN1272&lt;=0,"Aussenlager","teilweise")))))</f>
        <v>Lift</v>
      </c>
      <c r="BH1272" s="48" t="str">
        <f aca="false">IF(AR1272&lt;=0,"",IF(CC1272="Aussen","Aussenlager",IF(CC1272="-","Nicht im Lift",IF(AW1272&gt;=1,"Lift",IF(AW1272&lt;=0,"Aussenlager","teilweise")))))</f>
        <v>Lift</v>
      </c>
      <c r="BI1272" s="48" t="str">
        <f aca="false">IF(BA1272&lt;=0,"",IF(CC1272="Aussen","Aussenlager",IF(CC1272="-","Nicht im Lift",IF(BF1272&gt;=1,"Lift",IF(BF1272&lt;=0,"Aussenlager","teilweise")))))</f>
        <v>Lift</v>
      </c>
      <c r="BJ1272" s="48" t="str">
        <f aca="false">IF(A1272="","",IF(BS1272=1,"Neu; ","")&amp;IF(AND(BS1272=0,BN1272&lt;0),"negativer Bestand (Export "&amp;BN1272&amp;"); ","")&amp;IF(J1272&lt;=0,"Kein Verbrauch; ","")&amp;IF(CL1272&gt;0,"Lift "&amp;W1272&amp;" lt. Liftbericht (Fach "&amp;X1272&amp;" Stk); ",IF(BX1272=1,"Gebinde geschätzt ("&amp;T1272&amp;"); ",IF(BW1272=1,"Lose – Tablare geschätzt; ","")))&amp;IF(H1272&gt;AT1272,"Überbestand "&amp;ROUND(H1272-AT1272,0)&amp;" Stk / CHF "&amp;ROUND((H1272-AT1272)*G1272,0)&amp;"; ","")&amp;IF(AND(CE1272=1,CF1272&lt;CG1272),"MAX &lt; MB+LG; ","")&amp;IF(AND(CK1272&gt;0,CJ1272*10&gt;CK1272),"zu hoch für Tablar; ","")&amp;IF(AND(BS1272=0,OR(CE1272=1,AA1272&lt;&gt;"",U1272&lt;&gt;"",V1272&lt;&gt;"",AB1272&lt;&gt;"")),"manuell übersteuert; ","")&amp;IF(AND(BW1272=0,R1272=0),"Gebinde unbekannt / Stellmass fehlt; ","")&amp;IF(AND(BW1272=0,N(V1272)&lt;=0,N(Q1272)&lt;=0),"Menge pro Gebinde fehlt (Ist = 1 Gebinde); ","")&amp;BR1272)</f>
        <v>negativer Bestand (Export -3); </v>
      </c>
      <c r="BK1272" s="48"/>
      <c r="BL1272" s="48"/>
      <c r="BM1272" s="55"/>
      <c r="BN1272" s="50" t="n">
        <v>-3</v>
      </c>
      <c r="BO1272" s="50" t="n">
        <v>10</v>
      </c>
      <c r="BP1272" s="49" t="n">
        <v>-951.75</v>
      </c>
      <c r="BQ1272" s="50" t="n">
        <v>2</v>
      </c>
      <c r="BR1272" s="48"/>
      <c r="BS1272" s="53" t="n">
        <v>0</v>
      </c>
      <c r="BT1272" s="53" t="n">
        <v>1272</v>
      </c>
      <c r="BU1272" s="48" t="str">
        <f aca="false">IF(U1272&lt;&gt;"",UPPER(TRIM(U1272)),IF(BX1272=1,UPPER(VLOOKUP(T1272,Parameter!$I$27:$K$29,2,0)),IF(P1272="","LOSE",P1272)))</f>
        <v>S71</v>
      </c>
      <c r="BV1272" s="50" t="n">
        <f aca="false">IF(BU1272="LOSE",1,IF(N(V1272)&gt;0,V1272,IF(BX1272=1,MAX(1,N(VLOOKUP(T1272,Parameter!$I$27:$K$29,3,0)),H1272,N(N1272)),IF(N(Q1272)&gt;0,Q1272,MAX(1,H1272)))))</f>
        <v>10</v>
      </c>
      <c r="BW1272" s="53" t="n">
        <f aca="false">IF(BU1272="LOSE",1,0)</f>
        <v>0</v>
      </c>
      <c r="BX1272" s="53" t="n">
        <f aca="false">IF(AND(U1272="",OR(P1272="",P1272="LOSE"),T1272&lt;&gt;"",N(S1272)&lt;=0,ISNUMBER(MATCH(T1272,Parameter!$I$27:$I$29,0))),1,0)</f>
        <v>0</v>
      </c>
      <c r="BY1272" s="53" t="n">
        <f aca="false">IF(CL1272&gt;0,INDEX(Parameter!$H$5:$H$7,W1272)/INDEX(Parameter!$E$5:$E$7,W1272),IF(AND(BW1272=0,N(IFERROR(VLOOKUP(BU1272,'Gebinde-Kategorie'!$A$5:$N$45,14,0),0))&gt;0),VLOOKUP(BU1272,'Gebinde-Kategorie'!$A$5:$N$45,14,0)*10+Parameter!$M$23,Parameter!$M$24))</f>
        <v>235</v>
      </c>
      <c r="BZ1272" s="48" t="str">
        <f aca="false">IF(AND(Parameter!$B$19="Ja",E1272&lt;&gt;"",ISNUMBER(MATCH(E1272,Parameter!$I$35:$I$52,0))),VLOOKUP(E1272,Parameter!$I$35:$J$52,2,0),IFERROR(VLOOKUP(D1272,Parameter!$A$35:$C$64,2,0),"Nein"))</f>
        <v>2+3</v>
      </c>
      <c r="CA1272" s="52" t="n">
        <f aca="false">IF(BW1272=0,0,IF(N(S1272)&gt;0,S1272,IFERROR(VLOOKUP(D1272,Parameter!$A$35:$C$64,3,0)+0,0)))</f>
        <v>0</v>
      </c>
      <c r="CB1272" s="48" t="n">
        <f aca="false">IF(AA1272&lt;&gt;"",AA1272,Z1272)</f>
        <v>2</v>
      </c>
      <c r="CC1272" s="48" t="str">
        <f aca="false">IF(OR(CB1272=1,CB1272=2,CB1272=3),IF(Parameter!$E$27="Ja","LIFT",IF(CB1272=1,"L1","L23")),IF(CB1272="Aussen","Aussen","-"))</f>
        <v>LIFT</v>
      </c>
      <c r="CD1272" s="59" t="n">
        <f aca="false">IF(N(AB1272)&gt;0,AB1272,0)</f>
        <v>0</v>
      </c>
      <c r="CE1272" s="53" t="n">
        <f aca="false">IF(ISNUMBER(AE1272),1,0)</f>
        <v>0</v>
      </c>
      <c r="CF1272" s="50" t="n">
        <f aca="false">N(AE1272)</f>
        <v>0</v>
      </c>
      <c r="CG1272" s="50" t="n">
        <f aca="false">N(M1272)+N(N1272)</f>
        <v>1</v>
      </c>
      <c r="CH1272" s="50" t="n">
        <f aca="false">ROUNDUP(H1272/BV1272,0)</f>
        <v>1</v>
      </c>
      <c r="CI1272" s="50" t="n">
        <f aca="false">ROUNDUP(CF1272/BV1272,0)</f>
        <v>0</v>
      </c>
      <c r="CJ1272" s="53" t="n">
        <f aca="false">IF(BW1272=1,0,IFERROR(VLOOKUP(BU1272,'Gebinde-Kategorie'!$A$5:$N$45,5,0)+0,0))</f>
        <v>20</v>
      </c>
      <c r="CK1272" s="53" t="n">
        <f aca="false">IFERROR(IF(OR(CB1272=1,CB1272=2,CB1272=3),N(INDEX(Parameter!$I$5:$I$7,CB1272)),0),0)</f>
        <v>0</v>
      </c>
      <c r="CL1272" s="52" t="n">
        <f aca="false">IF(AND(Parameter!$B$21="Ja",ISNUMBER(W1272),N(X1272)&gt;0),IFERROR(N(INDEX(Parameter!$L$5:$L$7,W1272))*INDEX(Parameter!$E$5:$E$7,W1272)*X1272/SUMIFS($X$7:$X$1843,$W$7:$W$1843,W1272),0),0)</f>
        <v>0</v>
      </c>
    </row>
    <row r="1273" customFormat="false" ht="15" hidden="false" customHeight="false" outlineLevel="0" collapsed="false">
      <c r="A1273" s="48" t="s">
        <v>2279</v>
      </c>
      <c r="B1273" s="48" t="s">
        <v>2280</v>
      </c>
      <c r="C1273" s="48" t="s">
        <v>168</v>
      </c>
      <c r="D1273" s="48" t="s">
        <v>188</v>
      </c>
      <c r="E1273" s="48"/>
      <c r="F1273" s="48" t="s">
        <v>222</v>
      </c>
      <c r="G1273" s="49" t="n">
        <v>87.04</v>
      </c>
      <c r="H1273" s="50" t="n">
        <f aca="false">MAX(0,IF(AND(Parameter!$B$21="Ja",ISNUMBER(Y1273)),Y1273,IF(Parameter!$B$20="Jahresanfang 2025 + Export",BO1273+BN1273,BN1273)))</f>
        <v>46</v>
      </c>
      <c r="I1273" s="50" t="n">
        <f aca="false">H1273*G1273</f>
        <v>4003.84</v>
      </c>
      <c r="J1273" s="50" t="n">
        <f aca="false">BQ1273*Parameter!$B$18</f>
        <v>1</v>
      </c>
      <c r="K1273" s="51" t="n">
        <v>52</v>
      </c>
      <c r="L1273" s="52" t="n">
        <v>0.0192307692307692</v>
      </c>
      <c r="M1273" s="50" t="n">
        <v>0</v>
      </c>
      <c r="N1273" s="50" t="n">
        <v>1</v>
      </c>
      <c r="O1273" s="53" t="n">
        <v>28</v>
      </c>
      <c r="P1273" s="48" t="s">
        <v>263</v>
      </c>
      <c r="Q1273" s="50" t="n">
        <v>50</v>
      </c>
      <c r="R1273" s="53" t="n">
        <f aca="false">IF(BW1273=1,0,IFERROR(VLOOKUP(BU1273,'Gebinde-Kategorie'!$A$5:$N$45,13,0)+0,0))</f>
        <v>6</v>
      </c>
      <c r="S1273" s="54"/>
      <c r="T1273" s="55"/>
      <c r="U1273" s="55"/>
      <c r="V1273" s="55"/>
      <c r="W1273" s="48"/>
      <c r="X1273" s="50"/>
      <c r="Y1273" s="50"/>
      <c r="Z1273" s="48" t="n">
        <f aca="false">IF(A1273="","",IF(AND(Parameter!$B$21="Ja",ISNUMBER(W1273)),W1273,IF(BZ1273="2+3",IF(ISNUMBER(SEARCH("grosser Artikel",BR1273)),2,IFERROR(VLOOKUP(BU1273,Parameter!$F$35:$G$64,2,0),2)),IF(OR(BZ1273="Nein",BZ1273=""),"-",BZ1273))))</f>
        <v>2</v>
      </c>
      <c r="AA1273" s="55"/>
      <c r="AB1273" s="56"/>
      <c r="AC1273" s="50" t="n">
        <f aca="false">AT1273</f>
        <v>50</v>
      </c>
      <c r="AD1273" s="50" t="n">
        <f aca="false">MAX(AT1273,H1273)</f>
        <v>50</v>
      </c>
      <c r="AE1273" s="57"/>
      <c r="AF1273" s="50" t="n">
        <f aca="false">IF(LEFT(Cockpit!$C$5,1)="A",H1273,IF(CE1273=1,CF1273,IF(LEFT(Cockpit!$C$5,1)="B",AK1273,MAX(AK1273,H1273))))</f>
        <v>46</v>
      </c>
      <c r="AG1273" s="50" t="n">
        <f aca="false">IF(BW1273=1,0,ROUNDUP(AF1273/BV1273,0))</f>
        <v>1</v>
      </c>
      <c r="AH1273" s="52" t="n">
        <f aca="false">IF(CL1273&gt;0,CL1273*MAX(1,AF1273/X1273),IF(BW1273=1,IF(AF1273&lt;=0,0,CA1273*MAX(1,IF(H1273&gt;0,AF1273/H1273,1))),IF(R1273&gt;0,AG1273/R1273,0))/MAX(0.1,N(Parameter!$M$21)))</f>
        <v>0.166666666666667</v>
      </c>
      <c r="AI1273" s="50" t="n">
        <f aca="false">AH1273*BY1273</f>
        <v>72.5</v>
      </c>
      <c r="AJ1273" s="50" t="n">
        <f aca="false">AF1273*G1273</f>
        <v>4003.84</v>
      </c>
      <c r="AK1273" s="50" t="n">
        <f aca="false">ROUNDUP(MAX(J1273/IF(CD1273&gt;0,CD1273,MAX(0.1,N(Cockpit!$C$6))),CG1273)/BV1273,0)*BV1273</f>
        <v>50</v>
      </c>
      <c r="AL1273" s="51" t="n">
        <f aca="false">IF(AI1273&gt;0,J1273/AI1273,-1)</f>
        <v>0.0137931034482759</v>
      </c>
      <c r="AM1273" s="51" t="n">
        <f aca="false">IF(AND(OR(CC1273="L1",CC1273="L23",CC1273="LIFT"),AI1273&gt;0),SUMIFS($AI$7:$AI$1843,$CC$7:$CC$1843,CC1273,$AL$7:$AL$1843,"&gt;"&amp;AL1273)+SUMIFS($AI$7:$AI$1843,$CC$7:$CC$1843,CC1273,$AL$7:$AL$1843,AL1273,$BT$7:$BT$1843,"&lt;="&amp;BT1273),"")</f>
        <v>24137.4980986528</v>
      </c>
      <c r="AN1273" s="58" t="n">
        <f aca="false">IF(AM1273="",0,MAX(0,MIN(1,(IF(CC1273="L1",Parameter!$H$5,IF(CC1273="L23",Parameter!$H$6+Parameter!$H$7,Parameter!$H$5+Parameter!$H$6+Parameter!$H$7))-(AM1273-AI1273))/AI1273)))</f>
        <v>1</v>
      </c>
      <c r="AO1273" s="50" t="n">
        <f aca="false">IF(LEFT(Cockpit!$I$5,1)="A",H1273,IF(CE1273=1,CF1273,IF(LEFT(Cockpit!$I$5,1)="B",AT1273,MAX(AT1273,H1273))))</f>
        <v>50</v>
      </c>
      <c r="AP1273" s="50" t="n">
        <f aca="false">IF(BW1273=1,0,ROUNDUP(AO1273/BV1273,0))</f>
        <v>1</v>
      </c>
      <c r="AQ1273" s="52" t="n">
        <f aca="false">IF(CL1273&gt;0,CL1273*MAX(1,AO1273/X1273),IF(BW1273=1,IF(AO1273&lt;=0,0,CA1273*MAX(1,IF(H1273&gt;0,AO1273/H1273,1))),IF(R1273&gt;0,AP1273/R1273,0))/MAX(0.1,N(Parameter!$M$21)))</f>
        <v>0.166666666666667</v>
      </c>
      <c r="AR1273" s="50" t="n">
        <f aca="false">AQ1273*BY1273</f>
        <v>72.5</v>
      </c>
      <c r="AS1273" s="50" t="n">
        <f aca="false">AO1273*G1273</f>
        <v>4352</v>
      </c>
      <c r="AT1273" s="50" t="n">
        <f aca="false">ROUNDUP(MAX(J1273/IF(CD1273&gt;0,CD1273,MAX(0.1,N(Cockpit!$I$6))),CG1273)/BV1273,0)*BV1273</f>
        <v>50</v>
      </c>
      <c r="AU1273" s="51" t="n">
        <f aca="false">IF(AR1273&gt;0,J1273/AR1273,-1)</f>
        <v>0.0137931034482759</v>
      </c>
      <c r="AV1273" s="51" t="n">
        <f aca="false">IF(AND(OR(CC1273="L1",CC1273="L23",CC1273="LIFT"),AR1273&gt;0),SUMIFS($AR$7:$AR$1843,$CC$7:$CC$1843,CC1273,$AU$7:$AU$1843,"&gt;"&amp;AU1273)+SUMIFS($AR$7:$AR$1843,$CC$7:$CC$1843,CC1273,$AU$7:$AU$1843,AU1273,$BT$7:$BT$1843,"&lt;="&amp;BT1273),"")</f>
        <v>35383.0213183709</v>
      </c>
      <c r="AW1273" s="58" t="n">
        <f aca="false">IF(AV1273="",0,MAX(0,MIN(1,(IF(CC1273="L1",Parameter!$H$5,IF(CC1273="L23",Parameter!$H$6+Parameter!$H$7,Parameter!$H$5+Parameter!$H$6+Parameter!$H$7))-(AV1273-AR1273))/AR1273)))</f>
        <v>1</v>
      </c>
      <c r="AX1273" s="50" t="n">
        <f aca="false">IF(LEFT(Cockpit!$O$5,1)="A",H1273,IF(CE1273=1,CF1273,IF(LEFT(Cockpit!$O$5,1)="B",BC1273,MAX(BC1273,H1273))))</f>
        <v>50</v>
      </c>
      <c r="AY1273" s="50" t="n">
        <f aca="false">IF(BW1273=1,0,ROUNDUP(AX1273/BV1273,0))</f>
        <v>1</v>
      </c>
      <c r="AZ1273" s="52" t="n">
        <f aca="false">IF(CL1273&gt;0,CL1273*MAX(1,AX1273/X1273),IF(BW1273=1,IF(AX1273&lt;=0,0,CA1273*MAX(1,IF(H1273&gt;0,AX1273/H1273,1))),IF(R1273&gt;0,AY1273/R1273,0))/MAX(0.1,N(Parameter!$M$21)))</f>
        <v>0.166666666666667</v>
      </c>
      <c r="BA1273" s="50" t="n">
        <f aca="false">AZ1273*BY1273</f>
        <v>72.5</v>
      </c>
      <c r="BB1273" s="50" t="n">
        <f aca="false">AX1273*G1273</f>
        <v>4352</v>
      </c>
      <c r="BC1273" s="50" t="n">
        <f aca="false">ROUNDUP(MAX(J1273/IF(CD1273&gt;0,CD1273,MAX(0.1,N(Cockpit!$O$6))),CG1273)/BV1273,0)*BV1273</f>
        <v>50</v>
      </c>
      <c r="BD1273" s="51" t="n">
        <f aca="false">IF(BA1273&gt;0,J1273/BA1273,-1)</f>
        <v>0.0137931034482759</v>
      </c>
      <c r="BE1273" s="51" t="n">
        <f aca="false">IF(AND(OR(CC1273="L1",CC1273="L23",CC1273="LIFT"),BA1273&gt;0),SUMIFS($BA$7:$BA$1843,$CC$7:$CC$1843,CC1273,$BD$7:$BD$1843,"&gt;"&amp;BD1273)+SUMIFS($BA$7:$BA$1843,$CC$7:$CC$1843,CC1273,$BD$7:$BD$1843,BD1273,$BT$7:$BT$1843,"&lt;="&amp;BT1273),"")</f>
        <v>32058.0333602368</v>
      </c>
      <c r="BF1273" s="58" t="n">
        <f aca="false">IF(BE1273="",0,MAX(0,MIN(1,(IF(CC1273="L1",Parameter!$H$5,IF(CC1273="L23",Parameter!$H$6+Parameter!$H$7,Parameter!$H$5+Parameter!$H$6+Parameter!$H$7))-(BE1273-BA1273))/BA1273)))</f>
        <v>1</v>
      </c>
      <c r="BG1273" s="48" t="str">
        <f aca="false">IF(AI1273&lt;=0,"",IF(CC1273="Aussen","Aussenlager",IF(CC1273="-","Nicht im Lift",IF(AN1273&gt;=1,"Lift",IF(AN1273&lt;=0,"Aussenlager","teilweise")))))</f>
        <v>Lift</v>
      </c>
      <c r="BH1273" s="48" t="str">
        <f aca="false">IF(AR1273&lt;=0,"",IF(CC1273="Aussen","Aussenlager",IF(CC1273="-","Nicht im Lift",IF(AW1273&gt;=1,"Lift",IF(AW1273&lt;=0,"Aussenlager","teilweise")))))</f>
        <v>Lift</v>
      </c>
      <c r="BI1273" s="48" t="str">
        <f aca="false">IF(BA1273&lt;=0,"",IF(CC1273="Aussen","Aussenlager",IF(CC1273="-","Nicht im Lift",IF(BF1273&gt;=1,"Lift",IF(BF1273&lt;=0,"Aussenlager","teilweise")))))</f>
        <v>Lift</v>
      </c>
      <c r="BJ1273" s="48" t="str">
        <f aca="false">IF(A1273="","",IF(BS1273=1,"Neu; ","")&amp;IF(AND(BS1273=0,BN1273&lt;0),"negativer Bestand (Export "&amp;BN1273&amp;"); ","")&amp;IF(J1273&lt;=0,"Kein Verbrauch; ","")&amp;IF(CL1273&gt;0,"Lift "&amp;W1273&amp;" lt. Liftbericht (Fach "&amp;X1273&amp;" Stk); ",IF(BX1273=1,"Gebinde geschätzt ("&amp;T1273&amp;"); ",IF(BW1273=1,"Lose – Tablare geschätzt; ","")))&amp;IF(H1273&gt;AT1273,"Überbestand "&amp;ROUND(H1273-AT1273,0)&amp;" Stk / CHF "&amp;ROUND((H1273-AT1273)*G1273,0)&amp;"; ","")&amp;IF(AND(CE1273=1,CF1273&lt;CG1273),"MAX &lt; MB+LG; ","")&amp;IF(AND(CK1273&gt;0,CJ1273*10&gt;CK1273),"zu hoch für Tablar; ","")&amp;IF(AND(BS1273=0,OR(CE1273=1,AA1273&lt;&gt;"",U1273&lt;&gt;"",V1273&lt;&gt;"",AB1273&lt;&gt;"")),"manuell übersteuert; ","")&amp;IF(AND(BW1273=0,R1273=0),"Gebinde unbekannt / Stellmass fehlt; ","")&amp;IF(AND(BW1273=0,N(V1273)&lt;=0,N(Q1273)&lt;=0),"Menge pro Gebinde fehlt (Ist = 1 Gebinde); ","")&amp;BR1273)</f>
        <v>negativer Bestand (Export -11); überbestand</v>
      </c>
      <c r="BK1273" s="48"/>
      <c r="BL1273" s="48"/>
      <c r="BM1273" s="55"/>
      <c r="BN1273" s="50" t="n">
        <v>-11</v>
      </c>
      <c r="BO1273" s="50" t="n">
        <v>57</v>
      </c>
      <c r="BP1273" s="49" t="n">
        <v>-957.44</v>
      </c>
      <c r="BQ1273" s="50" t="n">
        <v>1</v>
      </c>
      <c r="BR1273" s="48" t="s">
        <v>1254</v>
      </c>
      <c r="BS1273" s="53" t="n">
        <v>0</v>
      </c>
      <c r="BT1273" s="53" t="n">
        <v>1273</v>
      </c>
      <c r="BU1273" s="48" t="str">
        <f aca="false">IF(U1273&lt;&gt;"",UPPER(TRIM(U1273)),IF(BX1273=1,UPPER(VLOOKUP(T1273,Parameter!$I$27:$K$29,2,0)),IF(P1273="","LOSE",P1273)))</f>
        <v>S72</v>
      </c>
      <c r="BV1273" s="50" t="n">
        <f aca="false">IF(BU1273="LOSE",1,IF(N(V1273)&gt;0,V1273,IF(BX1273=1,MAX(1,N(VLOOKUP(T1273,Parameter!$I$27:$K$29,3,0)),H1273,N(N1273)),IF(N(Q1273)&gt;0,Q1273,MAX(1,H1273)))))</f>
        <v>50</v>
      </c>
      <c r="BW1273" s="53" t="n">
        <f aca="false">IF(BU1273="LOSE",1,0)</f>
        <v>0</v>
      </c>
      <c r="BX1273" s="53" t="n">
        <f aca="false">IF(AND(U1273="",OR(P1273="",P1273="LOSE"),T1273&lt;&gt;"",N(S1273)&lt;=0,ISNUMBER(MATCH(T1273,Parameter!$I$27:$I$29,0))),1,0)</f>
        <v>0</v>
      </c>
      <c r="BY1273" s="53" t="n">
        <f aca="false">IF(CL1273&gt;0,INDEX(Parameter!$H$5:$H$7,W1273)/INDEX(Parameter!$E$5:$E$7,W1273),IF(AND(BW1273=0,N(IFERROR(VLOOKUP(BU1273,'Gebinde-Kategorie'!$A$5:$N$45,14,0),0))&gt;0),VLOOKUP(BU1273,'Gebinde-Kategorie'!$A$5:$N$45,14,0)*10+Parameter!$M$23,Parameter!$M$24))</f>
        <v>435</v>
      </c>
      <c r="BZ1273" s="48" t="str">
        <f aca="false">IF(AND(Parameter!$B$19="Ja",E1273&lt;&gt;"",ISNUMBER(MATCH(E1273,Parameter!$I$35:$I$52,0))),VLOOKUP(E1273,Parameter!$I$35:$J$52,2,0),IFERROR(VLOOKUP(D1273,Parameter!$A$35:$C$64,2,0),"Nein"))</f>
        <v>2+3</v>
      </c>
      <c r="CA1273" s="52" t="n">
        <f aca="false">IF(BW1273=0,0,IF(N(S1273)&gt;0,S1273,IFERROR(VLOOKUP(D1273,Parameter!$A$35:$C$64,3,0)+0,0)))</f>
        <v>0</v>
      </c>
      <c r="CB1273" s="48" t="n">
        <f aca="false">IF(AA1273&lt;&gt;"",AA1273,Z1273)</f>
        <v>2</v>
      </c>
      <c r="CC1273" s="48" t="str">
        <f aca="false">IF(OR(CB1273=1,CB1273=2,CB1273=3),IF(Parameter!$E$27="Ja","LIFT",IF(CB1273=1,"L1","L23")),IF(CB1273="Aussen","Aussen","-"))</f>
        <v>LIFT</v>
      </c>
      <c r="CD1273" s="59" t="n">
        <f aca="false">IF(N(AB1273)&gt;0,AB1273,0)</f>
        <v>0</v>
      </c>
      <c r="CE1273" s="53" t="n">
        <f aca="false">IF(ISNUMBER(AE1273),1,0)</f>
        <v>0</v>
      </c>
      <c r="CF1273" s="50" t="n">
        <f aca="false">N(AE1273)</f>
        <v>0</v>
      </c>
      <c r="CG1273" s="50" t="n">
        <f aca="false">N(M1273)+N(N1273)</f>
        <v>1</v>
      </c>
      <c r="CH1273" s="50" t="n">
        <f aca="false">ROUNDUP(H1273/BV1273,0)</f>
        <v>1</v>
      </c>
      <c r="CI1273" s="50" t="n">
        <f aca="false">ROUNDUP(CF1273/BV1273,0)</f>
        <v>0</v>
      </c>
      <c r="CJ1273" s="53" t="n">
        <f aca="false">IF(BW1273=1,0,IFERROR(VLOOKUP(BU1273,'Gebinde-Kategorie'!$A$5:$N$45,5,0)+0,0))</f>
        <v>40</v>
      </c>
      <c r="CK1273" s="53" t="n">
        <f aca="false">IFERROR(IF(OR(CB1273=1,CB1273=2,CB1273=3),N(INDEX(Parameter!$I$5:$I$7,CB1273)),0),0)</f>
        <v>0</v>
      </c>
      <c r="CL1273" s="52" t="n">
        <f aca="false">IF(AND(Parameter!$B$21="Ja",ISNUMBER(W1273),N(X1273)&gt;0),IFERROR(N(INDEX(Parameter!$L$5:$L$7,W1273))*INDEX(Parameter!$E$5:$E$7,W1273)*X1273/SUMIFS($X$7:$X$1843,$W$7:$W$1843,W1273),0),0)</f>
        <v>0</v>
      </c>
    </row>
    <row r="1274" customFormat="false" ht="15" hidden="false" customHeight="false" outlineLevel="0" collapsed="false">
      <c r="A1274" s="48" t="s">
        <v>2281</v>
      </c>
      <c r="B1274" s="48" t="s">
        <v>1712</v>
      </c>
      <c r="C1274" s="48" t="s">
        <v>168</v>
      </c>
      <c r="D1274" s="48" t="s">
        <v>188</v>
      </c>
      <c r="E1274" s="48" t="s">
        <v>189</v>
      </c>
      <c r="F1274" s="48" t="s">
        <v>222</v>
      </c>
      <c r="G1274" s="49" t="n">
        <v>107</v>
      </c>
      <c r="H1274" s="50" t="n">
        <f aca="false">MAX(0,IF(AND(Parameter!$B$21="Ja",ISNUMBER(Y1274)),Y1274,IF(Parameter!$B$20="Jahresanfang 2025 + Export",BO1274+BN1274,BN1274)))</f>
        <v>24</v>
      </c>
      <c r="I1274" s="50" t="n">
        <f aca="false">H1274*G1274</f>
        <v>2568</v>
      </c>
      <c r="J1274" s="50" t="n">
        <f aca="false">BQ1274*Parameter!$B$18</f>
        <v>56</v>
      </c>
      <c r="K1274" s="51" t="n">
        <v>34</v>
      </c>
      <c r="L1274" s="52" t="n">
        <v>1.64705882352941</v>
      </c>
      <c r="M1274" s="50" t="n">
        <v>2</v>
      </c>
      <c r="N1274" s="50" t="n">
        <v>10</v>
      </c>
      <c r="O1274" s="53" t="n">
        <v>14</v>
      </c>
      <c r="P1274" s="48" t="s">
        <v>237</v>
      </c>
      <c r="Q1274" s="50" t="n">
        <v>52</v>
      </c>
      <c r="R1274" s="53" t="n">
        <f aca="false">IF(BW1274=1,0,IFERROR(VLOOKUP(BU1274,'Gebinde-Kategorie'!$A$5:$N$45,13,0)+0,0))</f>
        <v>26</v>
      </c>
      <c r="S1274" s="54"/>
      <c r="T1274" s="55"/>
      <c r="U1274" s="55"/>
      <c r="V1274" s="55"/>
      <c r="W1274" s="48"/>
      <c r="X1274" s="50"/>
      <c r="Y1274" s="50"/>
      <c r="Z1274" s="48" t="n">
        <f aca="false">IF(A1274="","",IF(AND(Parameter!$B$21="Ja",ISNUMBER(W1274)),W1274,IF(BZ1274="2+3",IF(ISNUMBER(SEARCH("grosser Artikel",BR1274)),2,IFERROR(VLOOKUP(BU1274,Parameter!$F$35:$G$64,2,0),2)),IF(OR(BZ1274="Nein",BZ1274=""),"-",BZ1274))))</f>
        <v>3</v>
      </c>
      <c r="AA1274" s="55"/>
      <c r="AB1274" s="56"/>
      <c r="AC1274" s="50" t="n">
        <f aca="false">AT1274</f>
        <v>52</v>
      </c>
      <c r="AD1274" s="50" t="n">
        <f aca="false">MAX(AT1274,H1274)</f>
        <v>52</v>
      </c>
      <c r="AE1274" s="57"/>
      <c r="AF1274" s="50" t="n">
        <f aca="false">IF(LEFT(Cockpit!$C$5,1)="A",H1274,IF(CE1274=1,CF1274,IF(LEFT(Cockpit!$C$5,1)="B",AK1274,MAX(AK1274,H1274))))</f>
        <v>24</v>
      </c>
      <c r="AG1274" s="50" t="n">
        <f aca="false">IF(BW1274=1,0,ROUNDUP(AF1274/BV1274,0))</f>
        <v>1</v>
      </c>
      <c r="AH1274" s="52" t="n">
        <f aca="false">IF(CL1274&gt;0,CL1274*MAX(1,AF1274/X1274),IF(BW1274=1,IF(AF1274&lt;=0,0,CA1274*MAX(1,IF(H1274&gt;0,AF1274/H1274,1))),IF(R1274&gt;0,AG1274/R1274,0))/MAX(0.1,N(Parameter!$M$21)))</f>
        <v>0.0384615384615385</v>
      </c>
      <c r="AI1274" s="50" t="n">
        <f aca="false">AH1274*BY1274</f>
        <v>9.42307692307692</v>
      </c>
      <c r="AJ1274" s="50" t="n">
        <f aca="false">AF1274*G1274</f>
        <v>2568</v>
      </c>
      <c r="AK1274" s="50" t="n">
        <f aca="false">ROUNDUP(MAX(J1274/IF(CD1274&gt;0,CD1274,MAX(0.1,N(Cockpit!$C$6))),CG1274)/BV1274,0)*BV1274</f>
        <v>52</v>
      </c>
      <c r="AL1274" s="51" t="n">
        <f aca="false">IF(AI1274&gt;0,J1274/AI1274,-1)</f>
        <v>5.94285714285714</v>
      </c>
      <c r="AM1274" s="51" t="n">
        <f aca="false">IF(AND(OR(CC1274="L1",CC1274="L23",CC1274="LIFT"),AI1274&gt;0),SUMIFS($AI$7:$AI$1843,$CC$7:$CC$1843,CC1274,$AL$7:$AL$1843,"&gt;"&amp;AL1274)+SUMIFS($AI$7:$AI$1843,$CC$7:$CC$1843,CC1274,$AL$7:$AL$1843,AL1274,$BT$7:$BT$1843,"&lt;="&amp;BT1274),"")</f>
        <v>3522.91071428571</v>
      </c>
      <c r="AN1274" s="58" t="n">
        <f aca="false">IF(AM1274="",0,MAX(0,MIN(1,(IF(CC1274="L1",Parameter!$H$5,IF(CC1274="L23",Parameter!$H$6+Parameter!$H$7,Parameter!$H$5+Parameter!$H$6+Parameter!$H$7))-(AM1274-AI1274))/AI1274)))</f>
        <v>1</v>
      </c>
      <c r="AO1274" s="50" t="n">
        <f aca="false">IF(LEFT(Cockpit!$I$5,1)="A",H1274,IF(CE1274=1,CF1274,IF(LEFT(Cockpit!$I$5,1)="B",AT1274,MAX(AT1274,H1274))))</f>
        <v>52</v>
      </c>
      <c r="AP1274" s="50" t="n">
        <f aca="false">IF(BW1274=1,0,ROUNDUP(AO1274/BV1274,0))</f>
        <v>1</v>
      </c>
      <c r="AQ1274" s="52" t="n">
        <f aca="false">IF(CL1274&gt;0,CL1274*MAX(1,AO1274/X1274),IF(BW1274=1,IF(AO1274&lt;=0,0,CA1274*MAX(1,IF(H1274&gt;0,AO1274/H1274,1))),IF(R1274&gt;0,AP1274/R1274,0))/MAX(0.1,N(Parameter!$M$21)))</f>
        <v>0.0384615384615385</v>
      </c>
      <c r="AR1274" s="50" t="n">
        <f aca="false">AQ1274*BY1274</f>
        <v>9.42307692307692</v>
      </c>
      <c r="AS1274" s="50" t="n">
        <f aca="false">AO1274*G1274</f>
        <v>5564</v>
      </c>
      <c r="AT1274" s="50" t="n">
        <f aca="false">ROUNDUP(MAX(J1274/IF(CD1274&gt;0,CD1274,MAX(0.1,N(Cockpit!$I$6))),CG1274)/BV1274,0)*BV1274</f>
        <v>52</v>
      </c>
      <c r="AU1274" s="51" t="n">
        <f aca="false">IF(AR1274&gt;0,J1274/AR1274,-1)</f>
        <v>5.94285714285714</v>
      </c>
      <c r="AV1274" s="51" t="n">
        <f aca="false">IF(AND(OR(CC1274="L1",CC1274="L23",CC1274="LIFT"),AR1274&gt;0),SUMIFS($AR$7:$AR$1843,$CC$7:$CC$1843,CC1274,$AU$7:$AU$1843,"&gt;"&amp;AU1274)+SUMIFS($AR$7:$AR$1843,$CC$7:$CC$1843,CC1274,$AU$7:$AU$1843,AU1274,$BT$7:$BT$1843,"&lt;="&amp;BT1274),"")</f>
        <v>4622.22206959707</v>
      </c>
      <c r="AW1274" s="58" t="n">
        <f aca="false">IF(AV1274="",0,MAX(0,MIN(1,(IF(CC1274="L1",Parameter!$H$5,IF(CC1274="L23",Parameter!$H$6+Parameter!$H$7,Parameter!$H$5+Parameter!$H$6+Parameter!$H$7))-(AV1274-AR1274))/AR1274)))</f>
        <v>1</v>
      </c>
      <c r="AX1274" s="50" t="n">
        <f aca="false">IF(LEFT(Cockpit!$O$5,1)="A",H1274,IF(CE1274=1,CF1274,IF(LEFT(Cockpit!$O$5,1)="B",BC1274,MAX(BC1274,H1274))))</f>
        <v>52</v>
      </c>
      <c r="AY1274" s="50" t="n">
        <f aca="false">IF(BW1274=1,0,ROUNDUP(AX1274/BV1274,0))</f>
        <v>1</v>
      </c>
      <c r="AZ1274" s="52" t="n">
        <f aca="false">IF(CL1274&gt;0,CL1274*MAX(1,AX1274/X1274),IF(BW1274=1,IF(AX1274&lt;=0,0,CA1274*MAX(1,IF(H1274&gt;0,AX1274/H1274,1))),IF(R1274&gt;0,AY1274/R1274,0))/MAX(0.1,N(Parameter!$M$21)))</f>
        <v>0.0384615384615385</v>
      </c>
      <c r="BA1274" s="50" t="n">
        <f aca="false">AZ1274*BY1274</f>
        <v>9.42307692307692</v>
      </c>
      <c r="BB1274" s="50" t="n">
        <f aca="false">AX1274*G1274</f>
        <v>5564</v>
      </c>
      <c r="BC1274" s="50" t="n">
        <f aca="false">ROUNDUP(MAX(J1274/IF(CD1274&gt;0,CD1274,MAX(0.1,N(Cockpit!$O$6))),CG1274)/BV1274,0)*BV1274</f>
        <v>52</v>
      </c>
      <c r="BD1274" s="51" t="n">
        <f aca="false">IF(BA1274&gt;0,J1274/BA1274,-1)</f>
        <v>5.94285714285714</v>
      </c>
      <c r="BE1274" s="51" t="n">
        <f aca="false">IF(AND(OR(CC1274="L1",CC1274="L23",CC1274="LIFT"),BA1274&gt;0),SUMIFS($BA$7:$BA$1843,$CC$7:$CC$1843,CC1274,$BD$7:$BD$1843,"&gt;"&amp;BD1274)+SUMIFS($BA$7:$BA$1843,$CC$7:$CC$1843,CC1274,$BD$7:$BD$1843,BD1274,$BT$7:$BT$1843,"&lt;="&amp;BT1274),"")</f>
        <v>4413.52014652015</v>
      </c>
      <c r="BF1274" s="58" t="n">
        <f aca="false">IF(BE1274="",0,MAX(0,MIN(1,(IF(CC1274="L1",Parameter!$H$5,IF(CC1274="L23",Parameter!$H$6+Parameter!$H$7,Parameter!$H$5+Parameter!$H$6+Parameter!$H$7))-(BE1274-BA1274))/BA1274)))</f>
        <v>1</v>
      </c>
      <c r="BG1274" s="48" t="str">
        <f aca="false">IF(AI1274&lt;=0,"",IF(CC1274="Aussen","Aussenlager",IF(CC1274="-","Nicht im Lift",IF(AN1274&gt;=1,"Lift",IF(AN1274&lt;=0,"Aussenlager","teilweise")))))</f>
        <v>Lift</v>
      </c>
      <c r="BH1274" s="48" t="str">
        <f aca="false">IF(AR1274&lt;=0,"",IF(CC1274="Aussen","Aussenlager",IF(CC1274="-","Nicht im Lift",IF(AW1274&gt;=1,"Lift",IF(AW1274&lt;=0,"Aussenlager","teilweise")))))</f>
        <v>Lift</v>
      </c>
      <c r="BI1274" s="48" t="str">
        <f aca="false">IF(BA1274&lt;=0,"",IF(CC1274="Aussen","Aussenlager",IF(CC1274="-","Nicht im Lift",IF(BF1274&gt;=1,"Lift",IF(BF1274&lt;=0,"Aussenlager","teilweise")))))</f>
        <v>Lift</v>
      </c>
      <c r="BJ1274" s="48" t="str">
        <f aca="false">IF(A1274="","",IF(BS1274=1,"Neu; ","")&amp;IF(AND(BS1274=0,BN1274&lt;0),"negativer Bestand (Export "&amp;BN1274&amp;"); ","")&amp;IF(J1274&lt;=0,"Kein Verbrauch; ","")&amp;IF(CL1274&gt;0,"Lift "&amp;W1274&amp;" lt. Liftbericht (Fach "&amp;X1274&amp;" Stk); ",IF(BX1274=1,"Gebinde geschätzt ("&amp;T1274&amp;"); ",IF(BW1274=1,"Lose – Tablare geschätzt; ","")))&amp;IF(H1274&gt;AT1274,"Überbestand "&amp;ROUND(H1274-AT1274,0)&amp;" Stk / CHF "&amp;ROUND((H1274-AT1274)*G1274,0)&amp;"; ","")&amp;IF(AND(CE1274=1,CF1274&lt;CG1274),"MAX &lt; MB+LG; ","")&amp;IF(AND(CK1274&gt;0,CJ1274*10&gt;CK1274),"zu hoch für Tablar; ","")&amp;IF(AND(BS1274=0,OR(CE1274=1,AA1274&lt;&gt;"",U1274&lt;&gt;"",V1274&lt;&gt;"",AB1274&lt;&gt;"")),"manuell übersteuert; ","")&amp;IF(AND(BW1274=0,R1274=0),"Gebinde unbekannt / Stellmass fehlt; ","")&amp;IF(AND(BW1274=0,N(V1274)&lt;=0,N(Q1274)&lt;=0),"Menge pro Gebinde fehlt (Ist = 1 Gebinde); ","")&amp;BR1274)</f>
        <v>negativer Bestand (Export -9); </v>
      </c>
      <c r="BK1274" s="48"/>
      <c r="BL1274" s="48"/>
      <c r="BM1274" s="55"/>
      <c r="BN1274" s="50" t="n">
        <v>-9</v>
      </c>
      <c r="BO1274" s="50" t="n">
        <v>33</v>
      </c>
      <c r="BP1274" s="49" t="n">
        <v>-963</v>
      </c>
      <c r="BQ1274" s="50" t="n">
        <v>56</v>
      </c>
      <c r="BR1274" s="48"/>
      <c r="BS1274" s="53" t="n">
        <v>0</v>
      </c>
      <c r="BT1274" s="53" t="n">
        <v>1274</v>
      </c>
      <c r="BU1274" s="48" t="str">
        <f aca="false">IF(U1274&lt;&gt;"",UPPER(TRIM(U1274)),IF(BX1274=1,UPPER(VLOOKUP(T1274,Parameter!$I$27:$K$29,2,0)),IF(P1274="","LOSE",P1274)))</f>
        <v>S52</v>
      </c>
      <c r="BV1274" s="50" t="n">
        <f aca="false">IF(BU1274="LOSE",1,IF(N(V1274)&gt;0,V1274,IF(BX1274=1,MAX(1,N(VLOOKUP(T1274,Parameter!$I$27:$K$29,3,0)),H1274,N(N1274)),IF(N(Q1274)&gt;0,Q1274,MAX(1,H1274)))))</f>
        <v>52</v>
      </c>
      <c r="BW1274" s="53" t="n">
        <f aca="false">IF(BU1274="LOSE",1,0)</f>
        <v>0</v>
      </c>
      <c r="BX1274" s="53" t="n">
        <f aca="false">IF(AND(U1274="",OR(P1274="",P1274="LOSE"),T1274&lt;&gt;"",N(S1274)&lt;=0,ISNUMBER(MATCH(T1274,Parameter!$I$27:$I$29,0))),1,0)</f>
        <v>0</v>
      </c>
      <c r="BY1274" s="53" t="n">
        <f aca="false">IF(CL1274&gt;0,INDEX(Parameter!$H$5:$H$7,W1274)/INDEX(Parameter!$E$5:$E$7,W1274),IF(AND(BW1274=0,N(IFERROR(VLOOKUP(BU1274,'Gebinde-Kategorie'!$A$5:$N$45,14,0),0))&gt;0),VLOOKUP(BU1274,'Gebinde-Kategorie'!$A$5:$N$45,14,0)*10+Parameter!$M$23,Parameter!$M$24))</f>
        <v>245</v>
      </c>
      <c r="BZ1274" s="48" t="str">
        <f aca="false">IF(AND(Parameter!$B$19="Ja",E1274&lt;&gt;"",ISNUMBER(MATCH(E1274,Parameter!$I$35:$I$52,0))),VLOOKUP(E1274,Parameter!$I$35:$J$52,2,0),IFERROR(VLOOKUP(D1274,Parameter!$A$35:$C$64,2,0),"Nein"))</f>
        <v>2+3</v>
      </c>
      <c r="CA1274" s="52" t="n">
        <f aca="false">IF(BW1274=0,0,IF(N(S1274)&gt;0,S1274,IFERROR(VLOOKUP(D1274,Parameter!$A$35:$C$64,3,0)+0,0)))</f>
        <v>0</v>
      </c>
      <c r="CB1274" s="48" t="n">
        <f aca="false">IF(AA1274&lt;&gt;"",AA1274,Z1274)</f>
        <v>3</v>
      </c>
      <c r="CC1274" s="48" t="str">
        <f aca="false">IF(OR(CB1274=1,CB1274=2,CB1274=3),IF(Parameter!$E$27="Ja","LIFT",IF(CB1274=1,"L1","L23")),IF(CB1274="Aussen","Aussen","-"))</f>
        <v>LIFT</v>
      </c>
      <c r="CD1274" s="59" t="n">
        <f aca="false">IF(N(AB1274)&gt;0,AB1274,0)</f>
        <v>0</v>
      </c>
      <c r="CE1274" s="53" t="n">
        <f aca="false">IF(ISNUMBER(AE1274),1,0)</f>
        <v>0</v>
      </c>
      <c r="CF1274" s="50" t="n">
        <f aca="false">N(AE1274)</f>
        <v>0</v>
      </c>
      <c r="CG1274" s="50" t="n">
        <f aca="false">N(M1274)+N(N1274)</f>
        <v>12</v>
      </c>
      <c r="CH1274" s="50" t="n">
        <f aca="false">ROUNDUP(H1274/BV1274,0)</f>
        <v>1</v>
      </c>
      <c r="CI1274" s="50" t="n">
        <f aca="false">ROUNDUP(CF1274/BV1274,0)</f>
        <v>0</v>
      </c>
      <c r="CJ1274" s="53" t="n">
        <f aca="false">IF(BW1274=1,0,IFERROR(VLOOKUP(BU1274,'Gebinde-Kategorie'!$A$5:$N$45,5,0)+0,0))</f>
        <v>21</v>
      </c>
      <c r="CK1274" s="53" t="n">
        <f aca="false">IFERROR(IF(OR(CB1274=1,CB1274=2,CB1274=3),N(INDEX(Parameter!$I$5:$I$7,CB1274)),0),0)</f>
        <v>0</v>
      </c>
      <c r="CL1274" s="52" t="n">
        <f aca="false">IF(AND(Parameter!$B$21="Ja",ISNUMBER(W1274),N(X1274)&gt;0),IFERROR(N(INDEX(Parameter!$L$5:$L$7,W1274))*INDEX(Parameter!$E$5:$E$7,W1274)*X1274/SUMIFS($X$7:$X$1843,$W$7:$W$1843,W1274),0),0)</f>
        <v>0</v>
      </c>
    </row>
    <row r="1275" customFormat="false" ht="15" hidden="false" customHeight="false" outlineLevel="0" collapsed="false">
      <c r="A1275" s="48" t="s">
        <v>2282</v>
      </c>
      <c r="B1275" s="48" t="s">
        <v>2283</v>
      </c>
      <c r="C1275" s="48" t="s">
        <v>168</v>
      </c>
      <c r="D1275" s="48" t="s">
        <v>188</v>
      </c>
      <c r="E1275" s="48" t="s">
        <v>189</v>
      </c>
      <c r="F1275" s="48" t="s">
        <v>222</v>
      </c>
      <c r="G1275" s="49" t="n">
        <v>165.85</v>
      </c>
      <c r="H1275" s="50" t="n">
        <f aca="false">MAX(0,IF(AND(Parameter!$B$21="Ja",ISNUMBER(Y1275)),Y1275,IF(Parameter!$B$20="Jahresanfang 2025 + Export",BO1275+BN1275,BN1275)))</f>
        <v>2</v>
      </c>
      <c r="I1275" s="50" t="n">
        <f aca="false">H1275*G1275</f>
        <v>331.7</v>
      </c>
      <c r="J1275" s="50" t="n">
        <f aca="false">BQ1275*Parameter!$B$18</f>
        <v>6</v>
      </c>
      <c r="K1275" s="51" t="n">
        <v>7.5</v>
      </c>
      <c r="L1275" s="52" t="n">
        <v>0.8</v>
      </c>
      <c r="M1275" s="50" t="n">
        <v>0</v>
      </c>
      <c r="N1275" s="50" t="n">
        <v>5</v>
      </c>
      <c r="O1275" s="53" t="n">
        <v>28</v>
      </c>
      <c r="P1275" s="48" t="s">
        <v>190</v>
      </c>
      <c r="Q1275" s="50" t="n">
        <v>7</v>
      </c>
      <c r="R1275" s="53" t="n">
        <f aca="false">IF(BW1275=1,0,IFERROR(VLOOKUP(BU1275,'Gebinde-Kategorie'!$A$5:$N$45,13,0)+0,0))</f>
        <v>12</v>
      </c>
      <c r="S1275" s="54"/>
      <c r="T1275" s="55"/>
      <c r="U1275" s="55"/>
      <c r="V1275" s="55"/>
      <c r="W1275" s="48"/>
      <c r="X1275" s="50"/>
      <c r="Y1275" s="50"/>
      <c r="Z1275" s="48" t="n">
        <f aca="false">IF(A1275="","",IF(AND(Parameter!$B$21="Ja",ISNUMBER(W1275)),W1275,IF(BZ1275="2+3",IF(ISNUMBER(SEARCH("grosser Artikel",BR1275)),2,IFERROR(VLOOKUP(BU1275,Parameter!$F$35:$G$64,2,0),2)),IF(OR(BZ1275="Nein",BZ1275=""),"-",BZ1275))))</f>
        <v>2</v>
      </c>
      <c r="AA1275" s="55"/>
      <c r="AB1275" s="56"/>
      <c r="AC1275" s="50" t="n">
        <f aca="false">AT1275</f>
        <v>7</v>
      </c>
      <c r="AD1275" s="50" t="n">
        <f aca="false">MAX(AT1275,H1275)</f>
        <v>7</v>
      </c>
      <c r="AE1275" s="57"/>
      <c r="AF1275" s="50" t="n">
        <f aca="false">IF(LEFT(Cockpit!$C$5,1)="A",H1275,IF(CE1275=1,CF1275,IF(LEFT(Cockpit!$C$5,1)="B",AK1275,MAX(AK1275,H1275))))</f>
        <v>2</v>
      </c>
      <c r="AG1275" s="50" t="n">
        <f aca="false">IF(BW1275=1,0,ROUNDUP(AF1275/BV1275,0))</f>
        <v>1</v>
      </c>
      <c r="AH1275" s="52" t="n">
        <f aca="false">IF(CL1275&gt;0,CL1275*MAX(1,AF1275/X1275),IF(BW1275=1,IF(AF1275&lt;=0,0,CA1275*MAX(1,IF(H1275&gt;0,AF1275/H1275,1))),IF(R1275&gt;0,AG1275/R1275,0))/MAX(0.1,N(Parameter!$M$21)))</f>
        <v>0.0833333333333333</v>
      </c>
      <c r="AI1275" s="50" t="n">
        <f aca="false">AH1275*BY1275</f>
        <v>12.0833333333333</v>
      </c>
      <c r="AJ1275" s="50" t="n">
        <f aca="false">AF1275*G1275</f>
        <v>331.7</v>
      </c>
      <c r="AK1275" s="50" t="n">
        <f aca="false">ROUNDUP(MAX(J1275/IF(CD1275&gt;0,CD1275,MAX(0.1,N(Cockpit!$C$6))),CG1275)/BV1275,0)*BV1275</f>
        <v>7</v>
      </c>
      <c r="AL1275" s="51" t="n">
        <f aca="false">IF(AI1275&gt;0,J1275/AI1275,-1)</f>
        <v>0.496551724137931</v>
      </c>
      <c r="AM1275" s="51" t="n">
        <f aca="false">IF(AND(OR(CC1275="L1",CC1275="L23",CC1275="LIFT"),AI1275&gt;0),SUMIFS($AI$7:$AI$1843,$CC$7:$CC$1843,CC1275,$AL$7:$AL$1843,"&gt;"&amp;AL1275)+SUMIFS($AI$7:$AI$1843,$CC$7:$CC$1843,CC1275,$AL$7:$AL$1843,AL1275,$BT$7:$BT$1843,"&lt;="&amp;BT1275),"")</f>
        <v>9622.26050267999</v>
      </c>
      <c r="AN1275" s="58" t="n">
        <f aca="false">IF(AM1275="",0,MAX(0,MIN(1,(IF(CC1275="L1",Parameter!$H$5,IF(CC1275="L23",Parameter!$H$6+Parameter!$H$7,Parameter!$H$5+Parameter!$H$6+Parameter!$H$7))-(AM1275-AI1275))/AI1275)))</f>
        <v>1</v>
      </c>
      <c r="AO1275" s="50" t="n">
        <f aca="false">IF(LEFT(Cockpit!$I$5,1)="A",H1275,IF(CE1275=1,CF1275,IF(LEFT(Cockpit!$I$5,1)="B",AT1275,MAX(AT1275,H1275))))</f>
        <v>7</v>
      </c>
      <c r="AP1275" s="50" t="n">
        <f aca="false">IF(BW1275=1,0,ROUNDUP(AO1275/BV1275,0))</f>
        <v>1</v>
      </c>
      <c r="AQ1275" s="52" t="n">
        <f aca="false">IF(CL1275&gt;0,CL1275*MAX(1,AO1275/X1275),IF(BW1275=1,IF(AO1275&lt;=0,0,CA1275*MAX(1,IF(H1275&gt;0,AO1275/H1275,1))),IF(R1275&gt;0,AP1275/R1275,0))/MAX(0.1,N(Parameter!$M$21)))</f>
        <v>0.0833333333333333</v>
      </c>
      <c r="AR1275" s="50" t="n">
        <f aca="false">AQ1275*BY1275</f>
        <v>12.0833333333333</v>
      </c>
      <c r="AS1275" s="50" t="n">
        <f aca="false">AO1275*G1275</f>
        <v>1160.95</v>
      </c>
      <c r="AT1275" s="50" t="n">
        <f aca="false">ROUNDUP(MAX(J1275/IF(CD1275&gt;0,CD1275,MAX(0.1,N(Cockpit!$I$6))),CG1275)/BV1275,0)*BV1275</f>
        <v>7</v>
      </c>
      <c r="AU1275" s="51" t="n">
        <f aca="false">IF(AR1275&gt;0,J1275/AR1275,-1)</f>
        <v>0.496551724137931</v>
      </c>
      <c r="AV1275" s="51" t="n">
        <f aca="false">IF(AND(OR(CC1275="L1",CC1275="L23",CC1275="LIFT"),AR1275&gt;0),SUMIFS($AR$7:$AR$1843,$CC$7:$CC$1843,CC1275,$AU$7:$AU$1843,"&gt;"&amp;AU1275)+SUMIFS($AR$7:$AR$1843,$CC$7:$CC$1843,CC1275,$AU$7:$AU$1843,AU1275,$BT$7:$BT$1843,"&lt;="&amp;BT1275),"")</f>
        <v>14114.7568681319</v>
      </c>
      <c r="AW1275" s="58" t="n">
        <f aca="false">IF(AV1275="",0,MAX(0,MIN(1,(IF(CC1275="L1",Parameter!$H$5,IF(CC1275="L23",Parameter!$H$6+Parameter!$H$7,Parameter!$H$5+Parameter!$H$6+Parameter!$H$7))-(AV1275-AR1275))/AR1275)))</f>
        <v>1</v>
      </c>
      <c r="AX1275" s="50" t="n">
        <f aca="false">IF(LEFT(Cockpit!$O$5,1)="A",H1275,IF(CE1275=1,CF1275,IF(LEFT(Cockpit!$O$5,1)="B",BC1275,MAX(BC1275,H1275))))</f>
        <v>7</v>
      </c>
      <c r="AY1275" s="50" t="n">
        <f aca="false">IF(BW1275=1,0,ROUNDUP(AX1275/BV1275,0))</f>
        <v>1</v>
      </c>
      <c r="AZ1275" s="52" t="n">
        <f aca="false">IF(CL1275&gt;0,CL1275*MAX(1,AX1275/X1275),IF(BW1275=1,IF(AX1275&lt;=0,0,CA1275*MAX(1,IF(H1275&gt;0,AX1275/H1275,1))),IF(R1275&gt;0,AY1275/R1275,0))/MAX(0.1,N(Parameter!$M$21)))</f>
        <v>0.0833333333333333</v>
      </c>
      <c r="BA1275" s="50" t="n">
        <f aca="false">AZ1275*BY1275</f>
        <v>12.0833333333333</v>
      </c>
      <c r="BB1275" s="50" t="n">
        <f aca="false">AX1275*G1275</f>
        <v>1160.95</v>
      </c>
      <c r="BC1275" s="50" t="n">
        <f aca="false">ROUNDUP(MAX(J1275/IF(CD1275&gt;0,CD1275,MAX(0.1,N(Cockpit!$O$6))),CG1275)/BV1275,0)*BV1275</f>
        <v>7</v>
      </c>
      <c r="BD1275" s="51" t="n">
        <f aca="false">IF(BA1275&gt;0,J1275/BA1275,-1)</f>
        <v>0.496551724137931</v>
      </c>
      <c r="BE1275" s="51" t="n">
        <f aca="false">IF(AND(OR(CC1275="L1",CC1275="L23",CC1275="LIFT"),BA1275&gt;0),SUMIFS($BA$7:$BA$1843,$CC$7:$CC$1843,CC1275,$BD$7:$BD$1843,"&gt;"&amp;BD1275)+SUMIFS($BA$7:$BA$1843,$CC$7:$CC$1843,CC1275,$BD$7:$BD$1843,BD1275,$BT$7:$BT$1843,"&lt;="&amp;BT1275),"")</f>
        <v>13110.4139194139</v>
      </c>
      <c r="BF1275" s="58" t="n">
        <f aca="false">IF(BE1275="",0,MAX(0,MIN(1,(IF(CC1275="L1",Parameter!$H$5,IF(CC1275="L23",Parameter!$H$6+Parameter!$H$7,Parameter!$H$5+Parameter!$H$6+Parameter!$H$7))-(BE1275-BA1275))/BA1275)))</f>
        <v>1</v>
      </c>
      <c r="BG1275" s="48" t="str">
        <f aca="false">IF(AI1275&lt;=0,"",IF(CC1275="Aussen","Aussenlager",IF(CC1275="-","Nicht im Lift",IF(AN1275&gt;=1,"Lift",IF(AN1275&lt;=0,"Aussenlager","teilweise")))))</f>
        <v>Lift</v>
      </c>
      <c r="BH1275" s="48" t="str">
        <f aca="false">IF(AR1275&lt;=0,"",IF(CC1275="Aussen","Aussenlager",IF(CC1275="-","Nicht im Lift",IF(AW1275&gt;=1,"Lift",IF(AW1275&lt;=0,"Aussenlager","teilweise")))))</f>
        <v>Lift</v>
      </c>
      <c r="BI1275" s="48" t="str">
        <f aca="false">IF(BA1275&lt;=0,"",IF(CC1275="Aussen","Aussenlager",IF(CC1275="-","Nicht im Lift",IF(BF1275&gt;=1,"Lift",IF(BF1275&lt;=0,"Aussenlager","teilweise")))))</f>
        <v>Lift</v>
      </c>
      <c r="BJ1275" s="48" t="str">
        <f aca="false">IF(A1275="","",IF(BS1275=1,"Neu; ","")&amp;IF(AND(BS1275=0,BN1275&lt;0),"negativer Bestand (Export "&amp;BN1275&amp;"); ","")&amp;IF(J1275&lt;=0,"Kein Verbrauch; ","")&amp;IF(CL1275&gt;0,"Lift "&amp;W1275&amp;" lt. Liftbericht (Fach "&amp;X1275&amp;" Stk); ",IF(BX1275=1,"Gebinde geschätzt ("&amp;T1275&amp;"); ",IF(BW1275=1,"Lose – Tablare geschätzt; ","")))&amp;IF(H1275&gt;AT1275,"Überbestand "&amp;ROUND(H1275-AT1275,0)&amp;" Stk / CHF "&amp;ROUND((H1275-AT1275)*G1275,0)&amp;"; ","")&amp;IF(AND(CE1275=1,CF1275&lt;CG1275),"MAX &lt; MB+LG; ","")&amp;IF(AND(CK1275&gt;0,CJ1275*10&gt;CK1275),"zu hoch für Tablar; ","")&amp;IF(AND(BS1275=0,OR(CE1275=1,AA1275&lt;&gt;"",U1275&lt;&gt;"",V1275&lt;&gt;"",AB1275&lt;&gt;"")),"manuell übersteuert; ","")&amp;IF(AND(BW1275=0,R1275=0),"Gebinde unbekannt / Stellmass fehlt; ","")&amp;IF(AND(BW1275=0,N(V1275)&lt;=0,N(Q1275)&lt;=0),"Menge pro Gebinde fehlt (Ist = 1 Gebinde); ","")&amp;BR1275)</f>
        <v>negativer Bestand (Export -6); </v>
      </c>
      <c r="BK1275" s="48"/>
      <c r="BL1275" s="48"/>
      <c r="BM1275" s="55"/>
      <c r="BN1275" s="50" t="n">
        <v>-6</v>
      </c>
      <c r="BO1275" s="50" t="n">
        <v>8</v>
      </c>
      <c r="BP1275" s="49" t="n">
        <v>-967.26</v>
      </c>
      <c r="BQ1275" s="50" t="n">
        <v>6</v>
      </c>
      <c r="BR1275" s="48"/>
      <c r="BS1275" s="53" t="n">
        <v>0</v>
      </c>
      <c r="BT1275" s="53" t="n">
        <v>1275</v>
      </c>
      <c r="BU1275" s="48" t="str">
        <f aca="false">IF(U1275&lt;&gt;"",UPPER(TRIM(U1275)),IF(BX1275=1,UPPER(VLOOKUP(T1275,Parameter!$I$27:$K$29,2,0)),IF(P1275="","LOSE",P1275)))</f>
        <v>S61</v>
      </c>
      <c r="BV1275" s="50" t="n">
        <f aca="false">IF(BU1275="LOSE",1,IF(N(V1275)&gt;0,V1275,IF(BX1275=1,MAX(1,N(VLOOKUP(T1275,Parameter!$I$27:$K$29,3,0)),H1275,N(N1275)),IF(N(Q1275)&gt;0,Q1275,MAX(1,H1275)))))</f>
        <v>7</v>
      </c>
      <c r="BW1275" s="53" t="n">
        <f aca="false">IF(BU1275="LOSE",1,0)</f>
        <v>0</v>
      </c>
      <c r="BX1275" s="53" t="n">
        <f aca="false">IF(AND(U1275="",OR(P1275="",P1275="LOSE"),T1275&lt;&gt;"",N(S1275)&lt;=0,ISNUMBER(MATCH(T1275,Parameter!$I$27:$I$29,0))),1,0)</f>
        <v>0</v>
      </c>
      <c r="BY1275" s="53" t="n">
        <f aca="false">IF(CL1275&gt;0,INDEX(Parameter!$H$5:$H$7,W1275)/INDEX(Parameter!$E$5:$E$7,W1275),IF(AND(BW1275=0,N(IFERROR(VLOOKUP(BU1275,'Gebinde-Kategorie'!$A$5:$N$45,14,0),0))&gt;0),VLOOKUP(BU1275,'Gebinde-Kategorie'!$A$5:$N$45,14,0)*10+Parameter!$M$23,Parameter!$M$24))</f>
        <v>145</v>
      </c>
      <c r="BZ1275" s="48" t="str">
        <f aca="false">IF(AND(Parameter!$B$19="Ja",E1275&lt;&gt;"",ISNUMBER(MATCH(E1275,Parameter!$I$35:$I$52,0))),VLOOKUP(E1275,Parameter!$I$35:$J$52,2,0),IFERROR(VLOOKUP(D1275,Parameter!$A$35:$C$64,2,0),"Nein"))</f>
        <v>2+3</v>
      </c>
      <c r="CA1275" s="52" t="n">
        <f aca="false">IF(BW1275=0,0,IF(N(S1275)&gt;0,S1275,IFERROR(VLOOKUP(D1275,Parameter!$A$35:$C$64,3,0)+0,0)))</f>
        <v>0</v>
      </c>
      <c r="CB1275" s="48" t="n">
        <f aca="false">IF(AA1275&lt;&gt;"",AA1275,Z1275)</f>
        <v>2</v>
      </c>
      <c r="CC1275" s="48" t="str">
        <f aca="false">IF(OR(CB1275=1,CB1275=2,CB1275=3),IF(Parameter!$E$27="Ja","LIFT",IF(CB1275=1,"L1","L23")),IF(CB1275="Aussen","Aussen","-"))</f>
        <v>LIFT</v>
      </c>
      <c r="CD1275" s="59" t="n">
        <f aca="false">IF(N(AB1275)&gt;0,AB1275,0)</f>
        <v>0</v>
      </c>
      <c r="CE1275" s="53" t="n">
        <f aca="false">IF(ISNUMBER(AE1275),1,0)</f>
        <v>0</v>
      </c>
      <c r="CF1275" s="50" t="n">
        <f aca="false">N(AE1275)</f>
        <v>0</v>
      </c>
      <c r="CG1275" s="50" t="n">
        <f aca="false">N(M1275)+N(N1275)</f>
        <v>5</v>
      </c>
      <c r="CH1275" s="50" t="n">
        <f aca="false">ROUNDUP(H1275/BV1275,0)</f>
        <v>1</v>
      </c>
      <c r="CI1275" s="50" t="n">
        <f aca="false">ROUNDUP(CF1275/BV1275,0)</f>
        <v>0</v>
      </c>
      <c r="CJ1275" s="53" t="n">
        <f aca="false">IF(BW1275=1,0,IFERROR(VLOOKUP(BU1275,'Gebinde-Kategorie'!$A$5:$N$45,5,0)+0,0))</f>
        <v>11</v>
      </c>
      <c r="CK1275" s="53" t="n">
        <f aca="false">IFERROR(IF(OR(CB1275=1,CB1275=2,CB1275=3),N(INDEX(Parameter!$I$5:$I$7,CB1275)),0),0)</f>
        <v>0</v>
      </c>
      <c r="CL1275" s="52" t="n">
        <f aca="false">IF(AND(Parameter!$B$21="Ja",ISNUMBER(W1275),N(X1275)&gt;0),IFERROR(N(INDEX(Parameter!$L$5:$L$7,W1275))*INDEX(Parameter!$E$5:$E$7,W1275)*X1275/SUMIFS($X$7:$X$1843,$W$7:$W$1843,W1275),0),0)</f>
        <v>0</v>
      </c>
    </row>
    <row r="1276" customFormat="false" ht="15" hidden="false" customHeight="false" outlineLevel="0" collapsed="false">
      <c r="A1276" s="48" t="s">
        <v>2284</v>
      </c>
      <c r="B1276" s="48" t="s">
        <v>2285</v>
      </c>
      <c r="C1276" s="48" t="s">
        <v>168</v>
      </c>
      <c r="D1276" s="48" t="s">
        <v>188</v>
      </c>
      <c r="E1276" s="48"/>
      <c r="F1276" s="48" t="s">
        <v>222</v>
      </c>
      <c r="G1276" s="49" t="n">
        <v>329.39</v>
      </c>
      <c r="H1276" s="50" t="n">
        <f aca="false">MAX(0,IF(AND(Parameter!$B$21="Ja",ISNUMBER(Y1276)),Y1276,IF(Parameter!$B$20="Jahresanfang 2025 + Export",BO1276+BN1276,BN1276)))</f>
        <v>9</v>
      </c>
      <c r="I1276" s="50" t="n">
        <f aca="false">H1276*G1276</f>
        <v>2964.51</v>
      </c>
      <c r="J1276" s="50" t="n">
        <f aca="false">BQ1276*Parameter!$B$18</f>
        <v>2</v>
      </c>
      <c r="K1276" s="51" t="n">
        <v>11</v>
      </c>
      <c r="L1276" s="52" t="n">
        <v>0.181818181818182</v>
      </c>
      <c r="M1276" s="50" t="n">
        <v>0</v>
      </c>
      <c r="N1276" s="50" t="n">
        <v>1</v>
      </c>
      <c r="O1276" s="53" t="n">
        <v>28</v>
      </c>
      <c r="P1276" s="48" t="s">
        <v>425</v>
      </c>
      <c r="Q1276" s="50" t="n">
        <v>10</v>
      </c>
      <c r="R1276" s="53" t="n">
        <f aca="false">IF(BW1276=1,0,IFERROR(VLOOKUP(BU1276,'Gebinde-Kategorie'!$A$5:$N$45,13,0)+0,0))</f>
        <v>104</v>
      </c>
      <c r="S1276" s="54"/>
      <c r="T1276" s="55"/>
      <c r="U1276" s="55"/>
      <c r="V1276" s="55"/>
      <c r="W1276" s="48"/>
      <c r="X1276" s="50"/>
      <c r="Y1276" s="50"/>
      <c r="Z1276" s="48" t="n">
        <f aca="false">IF(A1276="","",IF(AND(Parameter!$B$21="Ja",ISNUMBER(W1276)),W1276,IF(BZ1276="2+3",IF(ISNUMBER(SEARCH("grosser Artikel",BR1276)),2,IFERROR(VLOOKUP(BU1276,Parameter!$F$35:$G$64,2,0),2)),IF(OR(BZ1276="Nein",BZ1276=""),"-",BZ1276))))</f>
        <v>3</v>
      </c>
      <c r="AA1276" s="55"/>
      <c r="AB1276" s="56"/>
      <c r="AC1276" s="50" t="n">
        <f aca="false">AT1276</f>
        <v>10</v>
      </c>
      <c r="AD1276" s="50" t="n">
        <f aca="false">MAX(AT1276,H1276)</f>
        <v>10</v>
      </c>
      <c r="AE1276" s="57"/>
      <c r="AF1276" s="50" t="n">
        <f aca="false">IF(LEFT(Cockpit!$C$5,1)="A",H1276,IF(CE1276=1,CF1276,IF(LEFT(Cockpit!$C$5,1)="B",AK1276,MAX(AK1276,H1276))))</f>
        <v>9</v>
      </c>
      <c r="AG1276" s="50" t="n">
        <f aca="false">IF(BW1276=1,0,ROUNDUP(AF1276/BV1276,0))</f>
        <v>1</v>
      </c>
      <c r="AH1276" s="52" t="n">
        <f aca="false">IF(CL1276&gt;0,CL1276*MAX(1,AF1276/X1276),IF(BW1276=1,IF(AF1276&lt;=0,0,CA1276*MAX(1,IF(H1276&gt;0,AF1276/H1276,1))),IF(R1276&gt;0,AG1276/R1276,0))/MAX(0.1,N(Parameter!$M$21)))</f>
        <v>0.00961538461538462</v>
      </c>
      <c r="AI1276" s="50" t="n">
        <f aca="false">AH1276*BY1276</f>
        <v>1.49038461538462</v>
      </c>
      <c r="AJ1276" s="50" t="n">
        <f aca="false">AF1276*G1276</f>
        <v>2964.51</v>
      </c>
      <c r="AK1276" s="50" t="n">
        <f aca="false">ROUNDUP(MAX(J1276/IF(CD1276&gt;0,CD1276,MAX(0.1,N(Cockpit!$C$6))),CG1276)/BV1276,0)*BV1276</f>
        <v>10</v>
      </c>
      <c r="AL1276" s="51" t="n">
        <f aca="false">IF(AI1276&gt;0,J1276/AI1276,-1)</f>
        <v>1.34193548387097</v>
      </c>
      <c r="AM1276" s="51" t="n">
        <f aca="false">IF(AND(OR(CC1276="L1",CC1276="L23",CC1276="LIFT"),AI1276&gt;0),SUMIFS($AI$7:$AI$1843,$CC$7:$CC$1843,CC1276,$AL$7:$AL$1843,"&gt;"&amp;AL1276)+SUMIFS($AI$7:$AI$1843,$CC$7:$CC$1843,CC1276,$AL$7:$AL$1843,AL1276,$BT$7:$BT$1843,"&lt;="&amp;BT1276),"")</f>
        <v>6362.44597069597</v>
      </c>
      <c r="AN1276" s="58" t="n">
        <f aca="false">IF(AM1276="",0,MAX(0,MIN(1,(IF(CC1276="L1",Parameter!$H$5,IF(CC1276="L23",Parameter!$H$6+Parameter!$H$7,Parameter!$H$5+Parameter!$H$6+Parameter!$H$7))-(AM1276-AI1276))/AI1276)))</f>
        <v>1</v>
      </c>
      <c r="AO1276" s="50" t="n">
        <f aca="false">IF(LEFT(Cockpit!$I$5,1)="A",H1276,IF(CE1276=1,CF1276,IF(LEFT(Cockpit!$I$5,1)="B",AT1276,MAX(AT1276,H1276))))</f>
        <v>10</v>
      </c>
      <c r="AP1276" s="50" t="n">
        <f aca="false">IF(BW1276=1,0,ROUNDUP(AO1276/BV1276,0))</f>
        <v>1</v>
      </c>
      <c r="AQ1276" s="52" t="n">
        <f aca="false">IF(CL1276&gt;0,CL1276*MAX(1,AO1276/X1276),IF(BW1276=1,IF(AO1276&lt;=0,0,CA1276*MAX(1,IF(H1276&gt;0,AO1276/H1276,1))),IF(R1276&gt;0,AP1276/R1276,0))/MAX(0.1,N(Parameter!$M$21)))</f>
        <v>0.00961538461538462</v>
      </c>
      <c r="AR1276" s="50" t="n">
        <f aca="false">AQ1276*BY1276</f>
        <v>1.49038461538462</v>
      </c>
      <c r="AS1276" s="50" t="n">
        <f aca="false">AO1276*G1276</f>
        <v>3293.9</v>
      </c>
      <c r="AT1276" s="50" t="n">
        <f aca="false">ROUNDUP(MAX(J1276/IF(CD1276&gt;0,CD1276,MAX(0.1,N(Cockpit!$I$6))),CG1276)/BV1276,0)*BV1276</f>
        <v>10</v>
      </c>
      <c r="AU1276" s="51" t="n">
        <f aca="false">IF(AR1276&gt;0,J1276/AR1276,-1)</f>
        <v>1.34193548387097</v>
      </c>
      <c r="AV1276" s="51" t="n">
        <f aca="false">IF(AND(OR(CC1276="L1",CC1276="L23",CC1276="LIFT"),AR1276&gt;0),SUMIFS($AR$7:$AR$1843,$CC$7:$CC$1843,CC1276,$AU$7:$AU$1843,"&gt;"&amp;AU1276)+SUMIFS($AR$7:$AR$1843,$CC$7:$CC$1843,CC1276,$AU$7:$AU$1843,AU1276,$BT$7:$BT$1843,"&lt;="&amp;BT1276),"")</f>
        <v>9432.93360805861</v>
      </c>
      <c r="AW1276" s="58" t="n">
        <f aca="false">IF(AV1276="",0,MAX(0,MIN(1,(IF(CC1276="L1",Parameter!$H$5,IF(CC1276="L23",Parameter!$H$6+Parameter!$H$7,Parameter!$H$5+Parameter!$H$6+Parameter!$H$7))-(AV1276-AR1276))/AR1276)))</f>
        <v>1</v>
      </c>
      <c r="AX1276" s="50" t="n">
        <f aca="false">IF(LEFT(Cockpit!$O$5,1)="A",H1276,IF(CE1276=1,CF1276,IF(LEFT(Cockpit!$O$5,1)="B",BC1276,MAX(BC1276,H1276))))</f>
        <v>10</v>
      </c>
      <c r="AY1276" s="50" t="n">
        <f aca="false">IF(BW1276=1,0,ROUNDUP(AX1276/BV1276,0))</f>
        <v>1</v>
      </c>
      <c r="AZ1276" s="52" t="n">
        <f aca="false">IF(CL1276&gt;0,CL1276*MAX(1,AX1276/X1276),IF(BW1276=1,IF(AX1276&lt;=0,0,CA1276*MAX(1,IF(H1276&gt;0,AX1276/H1276,1))),IF(R1276&gt;0,AY1276/R1276,0))/MAX(0.1,N(Parameter!$M$21)))</f>
        <v>0.00961538461538462</v>
      </c>
      <c r="BA1276" s="50" t="n">
        <f aca="false">AZ1276*BY1276</f>
        <v>1.49038461538462</v>
      </c>
      <c r="BB1276" s="50" t="n">
        <f aca="false">AX1276*G1276</f>
        <v>3293.9</v>
      </c>
      <c r="BC1276" s="50" t="n">
        <f aca="false">ROUNDUP(MAX(J1276/IF(CD1276&gt;0,CD1276,MAX(0.1,N(Cockpit!$O$6))),CG1276)/BV1276,0)*BV1276</f>
        <v>10</v>
      </c>
      <c r="BD1276" s="51" t="n">
        <f aca="false">IF(BA1276&gt;0,J1276/BA1276,-1)</f>
        <v>1.34193548387097</v>
      </c>
      <c r="BE1276" s="51" t="n">
        <f aca="false">IF(AND(OR(CC1276="L1",CC1276="L23",CC1276="LIFT"),BA1276&gt;0),SUMIFS($BA$7:$BA$1843,$CC$7:$CC$1843,CC1276,$BD$7:$BD$1843,"&gt;"&amp;BD1276)+SUMIFS($BA$7:$BA$1843,$CC$7:$CC$1843,CC1276,$BD$7:$BD$1843,BD1276,$BT$7:$BT$1843,"&lt;="&amp;BT1276),"")</f>
        <v>8618.59065934066</v>
      </c>
      <c r="BF1276" s="58" t="n">
        <f aca="false">IF(BE1276="",0,MAX(0,MIN(1,(IF(CC1276="L1",Parameter!$H$5,IF(CC1276="L23",Parameter!$H$6+Parameter!$H$7,Parameter!$H$5+Parameter!$H$6+Parameter!$H$7))-(BE1276-BA1276))/BA1276)))</f>
        <v>1</v>
      </c>
      <c r="BG1276" s="48" t="str">
        <f aca="false">IF(AI1276&lt;=0,"",IF(CC1276="Aussen","Aussenlager",IF(CC1276="-","Nicht im Lift",IF(AN1276&gt;=1,"Lift",IF(AN1276&lt;=0,"Aussenlager","teilweise")))))</f>
        <v>Lift</v>
      </c>
      <c r="BH1276" s="48" t="str">
        <f aca="false">IF(AR1276&lt;=0,"",IF(CC1276="Aussen","Aussenlager",IF(CC1276="-","Nicht im Lift",IF(AW1276&gt;=1,"Lift",IF(AW1276&lt;=0,"Aussenlager","teilweise")))))</f>
        <v>Lift</v>
      </c>
      <c r="BI1276" s="48" t="str">
        <f aca="false">IF(BA1276&lt;=0,"",IF(CC1276="Aussen","Aussenlager",IF(CC1276="-","Nicht im Lift",IF(BF1276&gt;=1,"Lift",IF(BF1276&lt;=0,"Aussenlager","teilweise")))))</f>
        <v>Lift</v>
      </c>
      <c r="BJ1276" s="48" t="str">
        <f aca="false">IF(A1276="","",IF(BS1276=1,"Neu; ","")&amp;IF(AND(BS1276=0,BN1276&lt;0),"negativer Bestand (Export "&amp;BN1276&amp;"); ","")&amp;IF(J1276&lt;=0,"Kein Verbrauch; ","")&amp;IF(CL1276&gt;0,"Lift "&amp;W1276&amp;" lt. Liftbericht (Fach "&amp;X1276&amp;" Stk); ",IF(BX1276=1,"Gebinde geschätzt ("&amp;T1276&amp;"); ",IF(BW1276=1,"Lose – Tablare geschätzt; ","")))&amp;IF(H1276&gt;AT1276,"Überbestand "&amp;ROUND(H1276-AT1276,0)&amp;" Stk / CHF "&amp;ROUND((H1276-AT1276)*G1276,0)&amp;"; ","")&amp;IF(AND(CE1276=1,CF1276&lt;CG1276),"MAX &lt; MB+LG; ","")&amp;IF(AND(CK1276&gt;0,CJ1276*10&gt;CK1276),"zu hoch für Tablar; ","")&amp;IF(AND(BS1276=0,OR(CE1276=1,AA1276&lt;&gt;"",U1276&lt;&gt;"",V1276&lt;&gt;"",AB1276&lt;&gt;"")),"manuell übersteuert; ","")&amp;IF(AND(BW1276=0,R1276=0),"Gebinde unbekannt / Stellmass fehlt; ","")&amp;IF(AND(BW1276=0,N(V1276)&lt;=0,N(Q1276)&lt;=0),"Menge pro Gebinde fehlt (Ist = 1 Gebinde); ","")&amp;BR1276)</f>
        <v>negativer Bestand (Export -3); Neuer Art.</v>
      </c>
      <c r="BK1276" s="48"/>
      <c r="BL1276" s="48"/>
      <c r="BM1276" s="55"/>
      <c r="BN1276" s="50" t="n">
        <v>-3</v>
      </c>
      <c r="BO1276" s="50" t="n">
        <v>12</v>
      </c>
      <c r="BP1276" s="49" t="n">
        <v>-988.17</v>
      </c>
      <c r="BQ1276" s="50" t="n">
        <v>2</v>
      </c>
      <c r="BR1276" s="48" t="s">
        <v>516</v>
      </c>
      <c r="BS1276" s="53" t="n">
        <v>0</v>
      </c>
      <c r="BT1276" s="53" t="n">
        <v>1276</v>
      </c>
      <c r="BU1276" s="48" t="str">
        <f aca="false">IF(U1276&lt;&gt;"",UPPER(TRIM(U1276)),IF(BX1276=1,UPPER(VLOOKUP(T1276,Parameter!$I$27:$K$29,2,0)),IF(P1276="","LOSE",P1276)))</f>
        <v>S32</v>
      </c>
      <c r="BV1276" s="50" t="n">
        <f aca="false">IF(BU1276="LOSE",1,IF(N(V1276)&gt;0,V1276,IF(BX1276=1,MAX(1,N(VLOOKUP(T1276,Parameter!$I$27:$K$29,3,0)),H1276,N(N1276)),IF(N(Q1276)&gt;0,Q1276,MAX(1,H1276)))))</f>
        <v>10</v>
      </c>
      <c r="BW1276" s="53" t="n">
        <f aca="false">IF(BU1276="LOSE",1,0)</f>
        <v>0</v>
      </c>
      <c r="BX1276" s="53" t="n">
        <f aca="false">IF(AND(U1276="",OR(P1276="",P1276="LOSE"),T1276&lt;&gt;"",N(S1276)&lt;=0,ISNUMBER(MATCH(T1276,Parameter!$I$27:$I$29,0))),1,0)</f>
        <v>0</v>
      </c>
      <c r="BY1276" s="53" t="n">
        <f aca="false">IF(CL1276&gt;0,INDEX(Parameter!$H$5:$H$7,W1276)/INDEX(Parameter!$E$5:$E$7,W1276),IF(AND(BW1276=0,N(IFERROR(VLOOKUP(BU1276,'Gebinde-Kategorie'!$A$5:$N$45,14,0),0))&gt;0),VLOOKUP(BU1276,'Gebinde-Kategorie'!$A$5:$N$45,14,0)*10+Parameter!$M$23,Parameter!$M$24))</f>
        <v>155</v>
      </c>
      <c r="BZ1276" s="48" t="str">
        <f aca="false">IF(AND(Parameter!$B$19="Ja",E1276&lt;&gt;"",ISNUMBER(MATCH(E1276,Parameter!$I$35:$I$52,0))),VLOOKUP(E1276,Parameter!$I$35:$J$52,2,0),IFERROR(VLOOKUP(D1276,Parameter!$A$35:$C$64,2,0),"Nein"))</f>
        <v>2+3</v>
      </c>
      <c r="CA1276" s="52" t="n">
        <f aca="false">IF(BW1276=0,0,IF(N(S1276)&gt;0,S1276,IFERROR(VLOOKUP(D1276,Parameter!$A$35:$C$64,3,0)+0,0)))</f>
        <v>0</v>
      </c>
      <c r="CB1276" s="48" t="n">
        <f aca="false">IF(AA1276&lt;&gt;"",AA1276,Z1276)</f>
        <v>3</v>
      </c>
      <c r="CC1276" s="48" t="str">
        <f aca="false">IF(OR(CB1276=1,CB1276=2,CB1276=3),IF(Parameter!$E$27="Ja","LIFT",IF(CB1276=1,"L1","L23")),IF(CB1276="Aussen","Aussen","-"))</f>
        <v>LIFT</v>
      </c>
      <c r="CD1276" s="59" t="n">
        <f aca="false">IF(N(AB1276)&gt;0,AB1276,0)</f>
        <v>0</v>
      </c>
      <c r="CE1276" s="53" t="n">
        <f aca="false">IF(ISNUMBER(AE1276),1,0)</f>
        <v>0</v>
      </c>
      <c r="CF1276" s="50" t="n">
        <f aca="false">N(AE1276)</f>
        <v>0</v>
      </c>
      <c r="CG1276" s="50" t="n">
        <f aca="false">N(M1276)+N(N1276)</f>
        <v>1</v>
      </c>
      <c r="CH1276" s="50" t="n">
        <f aca="false">ROUNDUP(H1276/BV1276,0)</f>
        <v>1</v>
      </c>
      <c r="CI1276" s="50" t="n">
        <f aca="false">ROUNDUP(CF1276/BV1276,0)</f>
        <v>0</v>
      </c>
      <c r="CJ1276" s="53" t="n">
        <f aca="false">IF(BW1276=1,0,IFERROR(VLOOKUP(BU1276,'Gebinde-Kategorie'!$A$5:$N$45,5,0)+0,0))</f>
        <v>8</v>
      </c>
      <c r="CK1276" s="53" t="n">
        <f aca="false">IFERROR(IF(OR(CB1276=1,CB1276=2,CB1276=3),N(INDEX(Parameter!$I$5:$I$7,CB1276)),0),0)</f>
        <v>0</v>
      </c>
      <c r="CL1276" s="52" t="n">
        <f aca="false">IF(AND(Parameter!$B$21="Ja",ISNUMBER(W1276),N(X1276)&gt;0),IFERROR(N(INDEX(Parameter!$L$5:$L$7,W1276))*INDEX(Parameter!$E$5:$E$7,W1276)*X1276/SUMIFS($X$7:$X$1843,$W$7:$W$1843,W1276),0),0)</f>
        <v>0</v>
      </c>
    </row>
    <row r="1277" customFormat="false" ht="15" hidden="false" customHeight="false" outlineLevel="0" collapsed="false">
      <c r="A1277" s="48" t="s">
        <v>2286</v>
      </c>
      <c r="B1277" s="48" t="s">
        <v>2287</v>
      </c>
      <c r="C1277" s="48" t="s">
        <v>168</v>
      </c>
      <c r="D1277" s="48" t="s">
        <v>177</v>
      </c>
      <c r="E1277" s="48"/>
      <c r="F1277" s="48" t="s">
        <v>222</v>
      </c>
      <c r="G1277" s="49" t="n">
        <v>498</v>
      </c>
      <c r="H1277" s="50" t="n">
        <f aca="false">MAX(0,IF(AND(Parameter!$B$21="Ja",ISNUMBER(Y1277)),Y1277,IF(Parameter!$B$20="Jahresanfang 2025 + Export",BO1277+BN1277,BN1277)))</f>
        <v>0</v>
      </c>
      <c r="I1277" s="50" t="n">
        <f aca="false">H1277*G1277</f>
        <v>0</v>
      </c>
      <c r="J1277" s="50" t="n">
        <f aca="false">BQ1277*Parameter!$B$18</f>
        <v>2</v>
      </c>
      <c r="K1277" s="51" t="n">
        <v>1</v>
      </c>
      <c r="L1277" s="52" t="n">
        <v>2</v>
      </c>
      <c r="M1277" s="50" t="n">
        <v>0</v>
      </c>
      <c r="N1277" s="50" t="n">
        <v>1</v>
      </c>
      <c r="O1277" s="53" t="n">
        <v>42</v>
      </c>
      <c r="P1277" s="48" t="s">
        <v>172</v>
      </c>
      <c r="Q1277" s="50"/>
      <c r="R1277" s="53" t="n">
        <f aca="false">IF(BW1277=1,0,IFERROR(VLOOKUP(BU1277,'Gebinde-Kategorie'!$A$5:$N$45,13,0)+0,0))</f>
        <v>12</v>
      </c>
      <c r="S1277" s="54"/>
      <c r="T1277" s="55" t="s">
        <v>183</v>
      </c>
      <c r="U1277" s="55"/>
      <c r="V1277" s="55"/>
      <c r="W1277" s="48"/>
      <c r="X1277" s="50"/>
      <c r="Y1277" s="50"/>
      <c r="Z1277" s="48" t="n">
        <f aca="false">IF(A1277="","",IF(AND(Parameter!$B$21="Ja",ISNUMBER(W1277)),W1277,IF(BZ1277="2+3",IF(ISNUMBER(SEARCH("grosser Artikel",BR1277)),2,IFERROR(VLOOKUP(BU1277,Parameter!$F$35:$G$64,2,0),2)),IF(OR(BZ1277="Nein",BZ1277=""),"-",BZ1277))))</f>
        <v>2</v>
      </c>
      <c r="AA1277" s="55"/>
      <c r="AB1277" s="56"/>
      <c r="AC1277" s="50" t="n">
        <f aca="false">AT1277</f>
        <v>4</v>
      </c>
      <c r="AD1277" s="50" t="n">
        <f aca="false">MAX(AT1277,H1277)</f>
        <v>4</v>
      </c>
      <c r="AE1277" s="57"/>
      <c r="AF1277" s="50" t="n">
        <f aca="false">IF(LEFT(Cockpit!$C$5,1)="A",H1277,IF(CE1277=1,CF1277,IF(LEFT(Cockpit!$C$5,1)="B",AK1277,MAX(AK1277,H1277))))</f>
        <v>0</v>
      </c>
      <c r="AG1277" s="50" t="n">
        <f aca="false">IF(BW1277=1,0,ROUNDUP(AF1277/BV1277,0))</f>
        <v>0</v>
      </c>
      <c r="AH1277" s="52" t="n">
        <f aca="false">IF(CL1277&gt;0,CL1277*MAX(1,AF1277/X1277),IF(BW1277=1,IF(AF1277&lt;=0,0,CA1277*MAX(1,IF(H1277&gt;0,AF1277/H1277,1))),IF(R1277&gt;0,AG1277/R1277,0))/MAX(0.1,N(Parameter!$M$21)))</f>
        <v>0</v>
      </c>
      <c r="AI1277" s="50" t="n">
        <f aca="false">AH1277*BY1277</f>
        <v>0</v>
      </c>
      <c r="AJ1277" s="50" t="n">
        <f aca="false">AF1277*G1277</f>
        <v>0</v>
      </c>
      <c r="AK1277" s="50" t="n">
        <f aca="false">ROUNDUP(MAX(J1277/IF(CD1277&gt;0,CD1277,MAX(0.1,N(Cockpit!$C$6))),CG1277)/BV1277,0)*BV1277</f>
        <v>4</v>
      </c>
      <c r="AL1277" s="51" t="n">
        <f aca="false">IF(AI1277&gt;0,J1277/AI1277,-1)</f>
        <v>-1</v>
      </c>
      <c r="AM1277" s="51" t="str">
        <f aca="false">IF(AND(OR(CC1277="L1",CC1277="L23",CC1277="LIFT"),AI1277&gt;0),SUMIFS($AI$7:$AI$1843,$CC$7:$CC$1843,CC1277,$AL$7:$AL$1843,"&gt;"&amp;AL1277)+SUMIFS($AI$7:$AI$1843,$CC$7:$CC$1843,CC1277,$AL$7:$AL$1843,AL1277,$BT$7:$BT$1843,"&lt;="&amp;BT1277),"")</f>
        <v/>
      </c>
      <c r="AN1277" s="58" t="n">
        <f aca="false">IF(AM1277="",0,MAX(0,MIN(1,(IF(CC1277="L1",Parameter!$H$5,IF(CC1277="L23",Parameter!$H$6+Parameter!$H$7,Parameter!$H$5+Parameter!$H$6+Parameter!$H$7))-(AM1277-AI1277))/AI1277)))</f>
        <v>0</v>
      </c>
      <c r="AO1277" s="50" t="n">
        <f aca="false">IF(LEFT(Cockpit!$I$5,1)="A",H1277,IF(CE1277=1,CF1277,IF(LEFT(Cockpit!$I$5,1)="B",AT1277,MAX(AT1277,H1277))))</f>
        <v>4</v>
      </c>
      <c r="AP1277" s="50" t="n">
        <f aca="false">IF(BW1277=1,0,ROUNDUP(AO1277/BV1277,0))</f>
        <v>1</v>
      </c>
      <c r="AQ1277" s="52" t="n">
        <f aca="false">IF(CL1277&gt;0,CL1277*MAX(1,AO1277/X1277),IF(BW1277=1,IF(AO1277&lt;=0,0,CA1277*MAX(1,IF(H1277&gt;0,AO1277/H1277,1))),IF(R1277&gt;0,AP1277/R1277,0))/MAX(0.1,N(Parameter!$M$21)))</f>
        <v>0.0833333333333333</v>
      </c>
      <c r="AR1277" s="50" t="n">
        <f aca="false">AQ1277*BY1277</f>
        <v>12.0833333333333</v>
      </c>
      <c r="AS1277" s="50" t="n">
        <f aca="false">AO1277*G1277</f>
        <v>1992</v>
      </c>
      <c r="AT1277" s="50" t="n">
        <f aca="false">ROUNDUP(MAX(J1277/IF(CD1277&gt;0,CD1277,MAX(0.1,N(Cockpit!$I$6))),CG1277)/BV1277,0)*BV1277</f>
        <v>4</v>
      </c>
      <c r="AU1277" s="51" t="n">
        <f aca="false">IF(AR1277&gt;0,J1277/AR1277,-1)</f>
        <v>0.16551724137931</v>
      </c>
      <c r="AV1277" s="51" t="n">
        <f aca="false">IF(AND(OR(CC1277="L1",CC1277="L23",CC1277="LIFT"),AR1277&gt;0),SUMIFS($AR$7:$AR$1843,$CC$7:$CC$1843,CC1277,$AU$7:$AU$1843,"&gt;"&amp;AU1277)+SUMIFS($AR$7:$AR$1843,$CC$7:$CC$1843,CC1277,$AU$7:$AU$1843,AU1277,$BT$7:$BT$1843,"&lt;="&amp;BT1277),"")</f>
        <v>19446.8978937729</v>
      </c>
      <c r="AW1277" s="58" t="n">
        <f aca="false">IF(AV1277="",0,MAX(0,MIN(1,(IF(CC1277="L1",Parameter!$H$5,IF(CC1277="L23",Parameter!$H$6+Parameter!$H$7,Parameter!$H$5+Parameter!$H$6+Parameter!$H$7))-(AV1277-AR1277))/AR1277)))</f>
        <v>1</v>
      </c>
      <c r="AX1277" s="50" t="n">
        <f aca="false">IF(LEFT(Cockpit!$O$5,1)="A",H1277,IF(CE1277=1,CF1277,IF(LEFT(Cockpit!$O$5,1)="B",BC1277,MAX(BC1277,H1277))))</f>
        <v>4</v>
      </c>
      <c r="AY1277" s="50" t="n">
        <f aca="false">IF(BW1277=1,0,ROUNDUP(AX1277/BV1277,0))</f>
        <v>1</v>
      </c>
      <c r="AZ1277" s="52" t="n">
        <f aca="false">IF(CL1277&gt;0,CL1277*MAX(1,AX1277/X1277),IF(BW1277=1,IF(AX1277&lt;=0,0,CA1277*MAX(1,IF(H1277&gt;0,AX1277/H1277,1))),IF(R1277&gt;0,AY1277/R1277,0))/MAX(0.1,N(Parameter!$M$21)))</f>
        <v>0.0833333333333333</v>
      </c>
      <c r="BA1277" s="50" t="n">
        <f aca="false">AZ1277*BY1277</f>
        <v>12.0833333333333</v>
      </c>
      <c r="BB1277" s="50" t="n">
        <f aca="false">AX1277*G1277</f>
        <v>1992</v>
      </c>
      <c r="BC1277" s="50" t="n">
        <f aca="false">ROUNDUP(MAX(J1277/IF(CD1277&gt;0,CD1277,MAX(0.1,N(Cockpit!$O$6))),CG1277)/BV1277,0)*BV1277</f>
        <v>4</v>
      </c>
      <c r="BD1277" s="51" t="n">
        <f aca="false">IF(BA1277&gt;0,J1277/BA1277,-1)</f>
        <v>0.16551724137931</v>
      </c>
      <c r="BE1277" s="51" t="n">
        <f aca="false">IF(AND(OR(CC1277="L1",CC1277="L23",CC1277="LIFT"),BA1277&gt;0),SUMIFS($BA$7:$BA$1843,$CC$7:$CC$1843,CC1277,$BD$7:$BD$1843,"&gt;"&amp;BD1277)+SUMIFS($BA$7:$BA$1843,$CC$7:$CC$1843,CC1277,$BD$7:$BD$1843,BD1277,$BT$7:$BT$1843,"&lt;="&amp;BT1277),"")</f>
        <v>17472.9716117216</v>
      </c>
      <c r="BF1277" s="58" t="n">
        <f aca="false">IF(BE1277="",0,MAX(0,MIN(1,(IF(CC1277="L1",Parameter!$H$5,IF(CC1277="L23",Parameter!$H$6+Parameter!$H$7,Parameter!$H$5+Parameter!$H$6+Parameter!$H$7))-(BE1277-BA1277))/BA1277)))</f>
        <v>1</v>
      </c>
      <c r="BG1277" s="48" t="str">
        <f aca="false">IF(AI1277&lt;=0,"",IF(CC1277="Aussen","Aussenlager",IF(CC1277="-","Nicht im Lift",IF(AN1277&gt;=1,"Lift",IF(AN1277&lt;=0,"Aussenlager","teilweise")))))</f>
        <v/>
      </c>
      <c r="BH1277" s="48" t="str">
        <f aca="false">IF(AR1277&lt;=0,"",IF(CC1277="Aussen","Aussenlager",IF(CC1277="-","Nicht im Lift",IF(AW1277&gt;=1,"Lift",IF(AW1277&lt;=0,"Aussenlager","teilweise")))))</f>
        <v>Lift</v>
      </c>
      <c r="BI1277" s="48" t="str">
        <f aca="false">IF(BA1277&lt;=0,"",IF(CC1277="Aussen","Aussenlager",IF(CC1277="-","Nicht im Lift",IF(BF1277&gt;=1,"Lift",IF(BF1277&lt;=0,"Aussenlager","teilweise")))))</f>
        <v>Lift</v>
      </c>
      <c r="BJ1277" s="48" t="str">
        <f aca="false">IF(A1277="","",IF(BS1277=1,"Neu; ","")&amp;IF(AND(BS1277=0,BN1277&lt;0),"negativer Bestand (Export "&amp;BN1277&amp;"); ","")&amp;IF(J1277&lt;=0,"Kein Verbrauch; ","")&amp;IF(CL1277&gt;0,"Lift "&amp;W1277&amp;" lt. Liftbericht (Fach "&amp;X1277&amp;" Stk); ",IF(BX1277=1,"Gebinde geschätzt ("&amp;T1277&amp;"); ",IF(BW1277=1,"Lose – Tablare geschätzt; ","")))&amp;IF(H1277&gt;AT1277,"Überbestand "&amp;ROUND(H1277-AT1277,0)&amp;" Stk / CHF "&amp;ROUND((H1277-AT1277)*G1277,0)&amp;"; ","")&amp;IF(AND(CE1277=1,CF1277&lt;CG1277),"MAX &lt; MB+LG; ","")&amp;IF(AND(CK1277&gt;0,CJ1277*10&gt;CK1277),"zu hoch für Tablar; ","")&amp;IF(AND(BS1277=0,OR(CE1277=1,AA1277&lt;&gt;"",U1277&lt;&gt;"",V1277&lt;&gt;"",AB1277&lt;&gt;"")),"manuell übersteuert; ","")&amp;IF(AND(BW1277=0,R1277=0),"Gebinde unbekannt / Stellmass fehlt; ","")&amp;IF(AND(BW1277=0,N(V1277)&lt;=0,N(Q1277)&lt;=0),"Menge pro Gebinde fehlt (Ist = 1 Gebinde); ","")&amp;BR1277)</f>
        <v>negativer Bestand (Export -2); Gebinde geschätzt (Mittel); Menge pro Gebinde fehlt (Ist = 1 Gebinde); </v>
      </c>
      <c r="BK1277" s="48"/>
      <c r="BL1277" s="48"/>
      <c r="BM1277" s="55"/>
      <c r="BN1277" s="50" t="n">
        <v>-2</v>
      </c>
      <c r="BO1277" s="50" t="n">
        <v>2</v>
      </c>
      <c r="BP1277" s="49" t="n">
        <v>-996</v>
      </c>
      <c r="BQ1277" s="50" t="n">
        <v>2</v>
      </c>
      <c r="BR1277" s="48"/>
      <c r="BS1277" s="53" t="n">
        <v>0</v>
      </c>
      <c r="BT1277" s="53" t="n">
        <v>1277</v>
      </c>
      <c r="BU1277" s="48" t="str">
        <f aca="false">IF(U1277&lt;&gt;"",UPPER(TRIM(U1277)),IF(BX1277=1,UPPER(VLOOKUP(T1277,Parameter!$I$27:$K$29,2,0)),IF(P1277="","LOSE",P1277)))</f>
        <v>S61</v>
      </c>
      <c r="BV1277" s="50" t="n">
        <f aca="false">IF(BU1277="LOSE",1,IF(N(V1277)&gt;0,V1277,IF(BX1277=1,MAX(1,N(VLOOKUP(T1277,Parameter!$I$27:$K$29,3,0)),H1277,N(N1277)),IF(N(Q1277)&gt;0,Q1277,MAX(1,H1277)))))</f>
        <v>4</v>
      </c>
      <c r="BW1277" s="53" t="n">
        <f aca="false">IF(BU1277="LOSE",1,0)</f>
        <v>0</v>
      </c>
      <c r="BX1277" s="53" t="n">
        <f aca="false">IF(AND(U1277="",OR(P1277="",P1277="LOSE"),T1277&lt;&gt;"",N(S1277)&lt;=0,ISNUMBER(MATCH(T1277,Parameter!$I$27:$I$29,0))),1,0)</f>
        <v>1</v>
      </c>
      <c r="BY1277" s="53" t="n">
        <f aca="false">IF(CL1277&gt;0,INDEX(Parameter!$H$5:$H$7,W1277)/INDEX(Parameter!$E$5:$E$7,W1277),IF(AND(BW1277=0,N(IFERROR(VLOOKUP(BU1277,'Gebinde-Kategorie'!$A$5:$N$45,14,0),0))&gt;0),VLOOKUP(BU1277,'Gebinde-Kategorie'!$A$5:$N$45,14,0)*10+Parameter!$M$23,Parameter!$M$24))</f>
        <v>145</v>
      </c>
      <c r="BZ1277" s="48" t="str">
        <f aca="false">IF(AND(Parameter!$B$19="Ja",E1277&lt;&gt;"",ISNUMBER(MATCH(E1277,Parameter!$I$35:$I$52,0))),VLOOKUP(E1277,Parameter!$I$35:$J$52,2,0),IFERROR(VLOOKUP(D1277,Parameter!$A$35:$C$64,2,0),"Nein"))</f>
        <v>2+3</v>
      </c>
      <c r="CA1277" s="52" t="n">
        <f aca="false">IF(BW1277=0,0,IF(N(S1277)&gt;0,S1277,IFERROR(VLOOKUP(D1277,Parameter!$A$35:$C$64,3,0)+0,0)))</f>
        <v>0</v>
      </c>
      <c r="CB1277" s="48" t="n">
        <f aca="false">IF(AA1277&lt;&gt;"",AA1277,Z1277)</f>
        <v>2</v>
      </c>
      <c r="CC1277" s="48" t="str">
        <f aca="false">IF(OR(CB1277=1,CB1277=2,CB1277=3),IF(Parameter!$E$27="Ja","LIFT",IF(CB1277=1,"L1","L23")),IF(CB1277="Aussen","Aussen","-"))</f>
        <v>LIFT</v>
      </c>
      <c r="CD1277" s="59" t="n">
        <f aca="false">IF(N(AB1277)&gt;0,AB1277,0)</f>
        <v>0</v>
      </c>
      <c r="CE1277" s="53" t="n">
        <f aca="false">IF(ISNUMBER(AE1277),1,0)</f>
        <v>0</v>
      </c>
      <c r="CF1277" s="50" t="n">
        <f aca="false">N(AE1277)</f>
        <v>0</v>
      </c>
      <c r="CG1277" s="50" t="n">
        <f aca="false">N(M1277)+N(N1277)</f>
        <v>1</v>
      </c>
      <c r="CH1277" s="50" t="n">
        <f aca="false">ROUNDUP(H1277/BV1277,0)</f>
        <v>0</v>
      </c>
      <c r="CI1277" s="50" t="n">
        <f aca="false">ROUNDUP(CF1277/BV1277,0)</f>
        <v>0</v>
      </c>
      <c r="CJ1277" s="53" t="n">
        <f aca="false">IF(BW1277=1,0,IFERROR(VLOOKUP(BU1277,'Gebinde-Kategorie'!$A$5:$N$45,5,0)+0,0))</f>
        <v>11</v>
      </c>
      <c r="CK1277" s="53" t="n">
        <f aca="false">IFERROR(IF(OR(CB1277=1,CB1277=2,CB1277=3),N(INDEX(Parameter!$I$5:$I$7,CB1277)),0),0)</f>
        <v>0</v>
      </c>
      <c r="CL1277" s="52" t="n">
        <f aca="false">IF(AND(Parameter!$B$21="Ja",ISNUMBER(W1277),N(X1277)&gt;0),IFERROR(N(INDEX(Parameter!$L$5:$L$7,W1277))*INDEX(Parameter!$E$5:$E$7,W1277)*X1277/SUMIFS($X$7:$X$1843,$W$7:$W$1843,W1277),0),0)</f>
        <v>0</v>
      </c>
    </row>
    <row r="1278" customFormat="false" ht="15" hidden="false" customHeight="false" outlineLevel="0" collapsed="false">
      <c r="A1278" s="48" t="s">
        <v>2288</v>
      </c>
      <c r="B1278" s="48" t="s">
        <v>1963</v>
      </c>
      <c r="C1278" s="48" t="s">
        <v>168</v>
      </c>
      <c r="D1278" s="48" t="s">
        <v>177</v>
      </c>
      <c r="E1278" s="48" t="s">
        <v>189</v>
      </c>
      <c r="F1278" s="48" t="s">
        <v>222</v>
      </c>
      <c r="G1278" s="49" t="n">
        <v>168</v>
      </c>
      <c r="H1278" s="50" t="n">
        <f aca="false">MAX(0,IF(AND(Parameter!$B$21="Ja",ISNUMBER(Y1278)),Y1278,IF(Parameter!$B$20="Jahresanfang 2025 + Export",BO1278+BN1278,BN1278)))</f>
        <v>18</v>
      </c>
      <c r="I1278" s="50" t="n">
        <f aca="false">H1278*G1278</f>
        <v>3024</v>
      </c>
      <c r="J1278" s="50" t="n">
        <f aca="false">BQ1278*Parameter!$B$18</f>
        <v>2</v>
      </c>
      <c r="K1278" s="51" t="n">
        <v>22.5</v>
      </c>
      <c r="L1278" s="52" t="n">
        <v>0.0888888888888889</v>
      </c>
      <c r="M1278" s="50" t="n">
        <v>0</v>
      </c>
      <c r="N1278" s="50" t="n">
        <v>1</v>
      </c>
      <c r="O1278" s="53" t="n">
        <v>84</v>
      </c>
      <c r="P1278" s="48" t="s">
        <v>178</v>
      </c>
      <c r="Q1278" s="50" t="n">
        <v>12</v>
      </c>
      <c r="R1278" s="53" t="n">
        <f aca="false">IF(BW1278=1,0,IFERROR(VLOOKUP(BU1278,'Gebinde-Kategorie'!$A$5:$N$45,13,0)+0,0))</f>
        <v>6</v>
      </c>
      <c r="S1278" s="54"/>
      <c r="T1278" s="55"/>
      <c r="U1278" s="55"/>
      <c r="V1278" s="55"/>
      <c r="W1278" s="48"/>
      <c r="X1278" s="50"/>
      <c r="Y1278" s="50"/>
      <c r="Z1278" s="48" t="n">
        <f aca="false">IF(A1278="","",IF(AND(Parameter!$B$21="Ja",ISNUMBER(W1278)),W1278,IF(BZ1278="2+3",IF(ISNUMBER(SEARCH("grosser Artikel",BR1278)),2,IFERROR(VLOOKUP(BU1278,Parameter!$F$35:$G$64,2,0),2)),IF(OR(BZ1278="Nein",BZ1278=""),"-",BZ1278))))</f>
        <v>2</v>
      </c>
      <c r="AA1278" s="55"/>
      <c r="AB1278" s="56"/>
      <c r="AC1278" s="50" t="n">
        <f aca="false">AT1278</f>
        <v>12</v>
      </c>
      <c r="AD1278" s="50" t="n">
        <f aca="false">MAX(AT1278,H1278)</f>
        <v>18</v>
      </c>
      <c r="AE1278" s="57"/>
      <c r="AF1278" s="50" t="n">
        <f aca="false">IF(LEFT(Cockpit!$C$5,1)="A",H1278,IF(CE1278=1,CF1278,IF(LEFT(Cockpit!$C$5,1)="B",AK1278,MAX(AK1278,H1278))))</f>
        <v>18</v>
      </c>
      <c r="AG1278" s="50" t="n">
        <f aca="false">IF(BW1278=1,0,ROUNDUP(AF1278/BV1278,0))</f>
        <v>2</v>
      </c>
      <c r="AH1278" s="52" t="n">
        <f aca="false">IF(CL1278&gt;0,CL1278*MAX(1,AF1278/X1278),IF(BW1278=1,IF(AF1278&lt;=0,0,CA1278*MAX(1,IF(H1278&gt;0,AF1278/H1278,1))),IF(R1278&gt;0,AG1278/R1278,0))/MAX(0.1,N(Parameter!$M$21)))</f>
        <v>0.333333333333333</v>
      </c>
      <c r="AI1278" s="50" t="n">
        <f aca="false">AH1278*BY1278</f>
        <v>78.3333333333333</v>
      </c>
      <c r="AJ1278" s="50" t="n">
        <f aca="false">AF1278*G1278</f>
        <v>3024</v>
      </c>
      <c r="AK1278" s="50" t="n">
        <f aca="false">ROUNDUP(MAX(J1278/IF(CD1278&gt;0,CD1278,MAX(0.1,N(Cockpit!$C$6))),CG1278)/BV1278,0)*BV1278</f>
        <v>12</v>
      </c>
      <c r="AL1278" s="51" t="n">
        <f aca="false">IF(AI1278&gt;0,J1278/AI1278,-1)</f>
        <v>0.025531914893617</v>
      </c>
      <c r="AM1278" s="51" t="n">
        <f aca="false">IF(AND(OR(CC1278="L1",CC1278="L23",CC1278="LIFT"),AI1278&gt;0),SUMIFS($AI$7:$AI$1843,$CC$7:$CC$1843,CC1278,$AL$7:$AL$1843,"&gt;"&amp;AL1278)+SUMIFS($AI$7:$AI$1843,$CC$7:$CC$1843,CC1278,$AL$7:$AL$1843,AL1278,$BT$7:$BT$1843,"&lt;="&amp;BT1278),"")</f>
        <v>21925.4437382298</v>
      </c>
      <c r="AN1278" s="58" t="n">
        <f aca="false">IF(AM1278="",0,MAX(0,MIN(1,(IF(CC1278="L1",Parameter!$H$5,IF(CC1278="L23",Parameter!$H$6+Parameter!$H$7,Parameter!$H$5+Parameter!$H$6+Parameter!$H$7))-(AM1278-AI1278))/AI1278)))</f>
        <v>1</v>
      </c>
      <c r="AO1278" s="50" t="n">
        <f aca="false">IF(LEFT(Cockpit!$I$5,1)="A",H1278,IF(CE1278=1,CF1278,IF(LEFT(Cockpit!$I$5,1)="B",AT1278,MAX(AT1278,H1278))))</f>
        <v>18</v>
      </c>
      <c r="AP1278" s="50" t="n">
        <f aca="false">IF(BW1278=1,0,ROUNDUP(AO1278/BV1278,0))</f>
        <v>2</v>
      </c>
      <c r="AQ1278" s="52" t="n">
        <f aca="false">IF(CL1278&gt;0,CL1278*MAX(1,AO1278/X1278),IF(BW1278=1,IF(AO1278&lt;=0,0,CA1278*MAX(1,IF(H1278&gt;0,AO1278/H1278,1))),IF(R1278&gt;0,AP1278/R1278,0))/MAX(0.1,N(Parameter!$M$21)))</f>
        <v>0.333333333333333</v>
      </c>
      <c r="AR1278" s="50" t="n">
        <f aca="false">AQ1278*BY1278</f>
        <v>78.3333333333333</v>
      </c>
      <c r="AS1278" s="50" t="n">
        <f aca="false">AO1278*G1278</f>
        <v>3024</v>
      </c>
      <c r="AT1278" s="50" t="n">
        <f aca="false">ROUNDUP(MAX(J1278/IF(CD1278&gt;0,CD1278,MAX(0.1,N(Cockpit!$I$6))),CG1278)/BV1278,0)*BV1278</f>
        <v>12</v>
      </c>
      <c r="AU1278" s="51" t="n">
        <f aca="false">IF(AR1278&gt;0,J1278/AR1278,-1)</f>
        <v>0.025531914893617</v>
      </c>
      <c r="AV1278" s="51" t="n">
        <f aca="false">IF(AND(OR(CC1278="L1",CC1278="L23",CC1278="LIFT"),AR1278&gt;0),SUMIFS($AR$7:$AR$1843,$CC$7:$CC$1843,CC1278,$AU$7:$AU$1843,"&gt;"&amp;AU1278)+SUMIFS($AR$7:$AR$1843,$CC$7:$CC$1843,CC1278,$AU$7:$AU$1843,AU1278,$BT$7:$BT$1843,"&lt;="&amp;BT1278),"")</f>
        <v>32858.1679937294</v>
      </c>
      <c r="AW1278" s="58" t="n">
        <f aca="false">IF(AV1278="",0,MAX(0,MIN(1,(IF(CC1278="L1",Parameter!$H$5,IF(CC1278="L23",Parameter!$H$6+Parameter!$H$7,Parameter!$H$5+Parameter!$H$6+Parameter!$H$7))-(AV1278-AR1278))/AR1278)))</f>
        <v>1</v>
      </c>
      <c r="AX1278" s="50" t="n">
        <f aca="false">IF(LEFT(Cockpit!$O$5,1)="A",H1278,IF(CE1278=1,CF1278,IF(LEFT(Cockpit!$O$5,1)="B",BC1278,MAX(BC1278,H1278))))</f>
        <v>18</v>
      </c>
      <c r="AY1278" s="50" t="n">
        <f aca="false">IF(BW1278=1,0,ROUNDUP(AX1278/BV1278,0))</f>
        <v>2</v>
      </c>
      <c r="AZ1278" s="52" t="n">
        <f aca="false">IF(CL1278&gt;0,CL1278*MAX(1,AX1278/X1278),IF(BW1278=1,IF(AX1278&lt;=0,0,CA1278*MAX(1,IF(H1278&gt;0,AX1278/H1278,1))),IF(R1278&gt;0,AY1278/R1278,0))/MAX(0.1,N(Parameter!$M$21)))</f>
        <v>0.333333333333333</v>
      </c>
      <c r="BA1278" s="50" t="n">
        <f aca="false">AZ1278*BY1278</f>
        <v>78.3333333333333</v>
      </c>
      <c r="BB1278" s="50" t="n">
        <f aca="false">AX1278*G1278</f>
        <v>3024</v>
      </c>
      <c r="BC1278" s="50" t="n">
        <f aca="false">ROUNDUP(MAX(J1278/IF(CD1278&gt;0,CD1278,MAX(0.1,N(Cockpit!$O$6))),CG1278)/BV1278,0)*BV1278</f>
        <v>12</v>
      </c>
      <c r="BD1278" s="51" t="n">
        <f aca="false">IF(BA1278&gt;0,J1278/BA1278,-1)</f>
        <v>0.025531914893617</v>
      </c>
      <c r="BE1278" s="51" t="n">
        <f aca="false">IF(AND(OR(CC1278="L1",CC1278="L23",CC1278="LIFT"),BA1278&gt;0),SUMIFS($BA$7:$BA$1843,$CC$7:$CC$1843,CC1278,$BD$7:$BD$1843,"&gt;"&amp;BD1278)+SUMIFS($BA$7:$BA$1843,$CC$7:$CC$1843,CC1278,$BD$7:$BD$1843,BD1278,$BT$7:$BT$1843,"&lt;="&amp;BT1278),"")</f>
        <v>29533.1800355953</v>
      </c>
      <c r="BF1278" s="58" t="n">
        <f aca="false">IF(BE1278="",0,MAX(0,MIN(1,(IF(CC1278="L1",Parameter!$H$5,IF(CC1278="L23",Parameter!$H$6+Parameter!$H$7,Parameter!$H$5+Parameter!$H$6+Parameter!$H$7))-(BE1278-BA1278))/BA1278)))</f>
        <v>1</v>
      </c>
      <c r="BG1278" s="48" t="str">
        <f aca="false">IF(AI1278&lt;=0,"",IF(CC1278="Aussen","Aussenlager",IF(CC1278="-","Nicht im Lift",IF(AN1278&gt;=1,"Lift",IF(AN1278&lt;=0,"Aussenlager","teilweise")))))</f>
        <v>Lift</v>
      </c>
      <c r="BH1278" s="48" t="str">
        <f aca="false">IF(AR1278&lt;=0,"",IF(CC1278="Aussen","Aussenlager",IF(CC1278="-","Nicht im Lift",IF(AW1278&gt;=1,"Lift",IF(AW1278&lt;=0,"Aussenlager","teilweise")))))</f>
        <v>Lift</v>
      </c>
      <c r="BI1278" s="48" t="str">
        <f aca="false">IF(BA1278&lt;=0,"",IF(CC1278="Aussen","Aussenlager",IF(CC1278="-","Nicht im Lift",IF(BF1278&gt;=1,"Lift",IF(BF1278&lt;=0,"Aussenlager","teilweise")))))</f>
        <v>Lift</v>
      </c>
      <c r="BJ1278" s="48" t="str">
        <f aca="false">IF(A1278="","",IF(BS1278=1,"Neu; ","")&amp;IF(AND(BS1278=0,BN1278&lt;0),"negativer Bestand (Export "&amp;BN1278&amp;"); ","")&amp;IF(J1278&lt;=0,"Kein Verbrauch; ","")&amp;IF(CL1278&gt;0,"Lift "&amp;W1278&amp;" lt. Liftbericht (Fach "&amp;X1278&amp;" Stk); ",IF(BX1278=1,"Gebinde geschätzt ("&amp;T1278&amp;"); ",IF(BW1278=1,"Lose – Tablare geschätzt; ","")))&amp;IF(H1278&gt;AT1278,"Überbestand "&amp;ROUND(H1278-AT1278,0)&amp;" Stk / CHF "&amp;ROUND((H1278-AT1278)*G1278,0)&amp;"; ","")&amp;IF(AND(CE1278=1,CF1278&lt;CG1278),"MAX &lt; MB+LG; ","")&amp;IF(AND(CK1278&gt;0,CJ1278*10&gt;CK1278),"zu hoch für Tablar; ","")&amp;IF(AND(BS1278=0,OR(CE1278=1,AA1278&lt;&gt;"",U1278&lt;&gt;"",V1278&lt;&gt;"",AB1278&lt;&gt;"")),"manuell übersteuert; ","")&amp;IF(AND(BW1278=0,R1278=0),"Gebinde unbekannt / Stellmass fehlt; ","")&amp;IF(AND(BW1278=0,N(V1278)&lt;=0,N(Q1278)&lt;=0),"Menge pro Gebinde fehlt (Ist = 1 Gebinde); ","")&amp;BR1278)</f>
        <v>negativer Bestand (Export -6); Überbestand 6 Stk / CHF 1008; Überbestand; grosser Artikel &amp; nicht im KTL</v>
      </c>
      <c r="BK1278" s="48"/>
      <c r="BL1278" s="48"/>
      <c r="BM1278" s="55"/>
      <c r="BN1278" s="50" t="n">
        <v>-6</v>
      </c>
      <c r="BO1278" s="50" t="n">
        <v>24</v>
      </c>
      <c r="BP1278" s="49" t="n">
        <v>-1008</v>
      </c>
      <c r="BQ1278" s="50" t="n">
        <v>2</v>
      </c>
      <c r="BR1278" s="48" t="s">
        <v>363</v>
      </c>
      <c r="BS1278" s="53" t="n">
        <v>0</v>
      </c>
      <c r="BT1278" s="53" t="n">
        <v>1278</v>
      </c>
      <c r="BU1278" s="48" t="str">
        <f aca="false">IF(U1278&lt;&gt;"",UPPER(TRIM(U1278)),IF(BX1278=1,UPPER(VLOOKUP(T1278,Parameter!$I$27:$K$29,2,0)),IF(P1278="","LOSE",P1278)))</f>
        <v>S71</v>
      </c>
      <c r="BV1278" s="50" t="n">
        <f aca="false">IF(BU1278="LOSE",1,IF(N(V1278)&gt;0,V1278,IF(BX1278=1,MAX(1,N(VLOOKUP(T1278,Parameter!$I$27:$K$29,3,0)),H1278,N(N1278)),IF(N(Q1278)&gt;0,Q1278,MAX(1,H1278)))))</f>
        <v>12</v>
      </c>
      <c r="BW1278" s="53" t="n">
        <f aca="false">IF(BU1278="LOSE",1,0)</f>
        <v>0</v>
      </c>
      <c r="BX1278" s="53" t="n">
        <f aca="false">IF(AND(U1278="",OR(P1278="",P1278="LOSE"),T1278&lt;&gt;"",N(S1278)&lt;=0,ISNUMBER(MATCH(T1278,Parameter!$I$27:$I$29,0))),1,0)</f>
        <v>0</v>
      </c>
      <c r="BY1278" s="53" t="n">
        <f aca="false">IF(CL1278&gt;0,INDEX(Parameter!$H$5:$H$7,W1278)/INDEX(Parameter!$E$5:$E$7,W1278),IF(AND(BW1278=0,N(IFERROR(VLOOKUP(BU1278,'Gebinde-Kategorie'!$A$5:$N$45,14,0),0))&gt;0),VLOOKUP(BU1278,'Gebinde-Kategorie'!$A$5:$N$45,14,0)*10+Parameter!$M$23,Parameter!$M$24))</f>
        <v>235</v>
      </c>
      <c r="BZ1278" s="48" t="str">
        <f aca="false">IF(AND(Parameter!$B$19="Ja",E1278&lt;&gt;"",ISNUMBER(MATCH(E1278,Parameter!$I$35:$I$52,0))),VLOOKUP(E1278,Parameter!$I$35:$J$52,2,0),IFERROR(VLOOKUP(D1278,Parameter!$A$35:$C$64,2,0),"Nein"))</f>
        <v>2+3</v>
      </c>
      <c r="CA1278" s="52" t="n">
        <f aca="false">IF(BW1278=0,0,IF(N(S1278)&gt;0,S1278,IFERROR(VLOOKUP(D1278,Parameter!$A$35:$C$64,3,0)+0,0)))</f>
        <v>0</v>
      </c>
      <c r="CB1278" s="48" t="n">
        <f aca="false">IF(AA1278&lt;&gt;"",AA1278,Z1278)</f>
        <v>2</v>
      </c>
      <c r="CC1278" s="48" t="str">
        <f aca="false">IF(OR(CB1278=1,CB1278=2,CB1278=3),IF(Parameter!$E$27="Ja","LIFT",IF(CB1278=1,"L1","L23")),IF(CB1278="Aussen","Aussen","-"))</f>
        <v>LIFT</v>
      </c>
      <c r="CD1278" s="59" t="n">
        <f aca="false">IF(N(AB1278)&gt;0,AB1278,0)</f>
        <v>0</v>
      </c>
      <c r="CE1278" s="53" t="n">
        <f aca="false">IF(ISNUMBER(AE1278),1,0)</f>
        <v>0</v>
      </c>
      <c r="CF1278" s="50" t="n">
        <f aca="false">N(AE1278)</f>
        <v>0</v>
      </c>
      <c r="CG1278" s="50" t="n">
        <f aca="false">N(M1278)+N(N1278)</f>
        <v>1</v>
      </c>
      <c r="CH1278" s="50" t="n">
        <f aca="false">ROUNDUP(H1278/BV1278,0)</f>
        <v>2</v>
      </c>
      <c r="CI1278" s="50" t="n">
        <f aca="false">ROUNDUP(CF1278/BV1278,0)</f>
        <v>0</v>
      </c>
      <c r="CJ1278" s="53" t="n">
        <f aca="false">IF(BW1278=1,0,IFERROR(VLOOKUP(BU1278,'Gebinde-Kategorie'!$A$5:$N$45,5,0)+0,0))</f>
        <v>20</v>
      </c>
      <c r="CK1278" s="53" t="n">
        <f aca="false">IFERROR(IF(OR(CB1278=1,CB1278=2,CB1278=3),N(INDEX(Parameter!$I$5:$I$7,CB1278)),0),0)</f>
        <v>0</v>
      </c>
      <c r="CL1278" s="52" t="n">
        <f aca="false">IF(AND(Parameter!$B$21="Ja",ISNUMBER(W1278),N(X1278)&gt;0),IFERROR(N(INDEX(Parameter!$L$5:$L$7,W1278))*INDEX(Parameter!$E$5:$E$7,W1278)*X1278/SUMIFS($X$7:$X$1843,$W$7:$W$1843,W1278),0),0)</f>
        <v>0</v>
      </c>
    </row>
    <row r="1279" customFormat="false" ht="15" hidden="false" customHeight="false" outlineLevel="0" collapsed="false">
      <c r="A1279" s="48" t="s">
        <v>2289</v>
      </c>
      <c r="B1279" s="48" t="s">
        <v>747</v>
      </c>
      <c r="C1279" s="48" t="s">
        <v>168</v>
      </c>
      <c r="D1279" s="48" t="s">
        <v>188</v>
      </c>
      <c r="E1279" s="48" t="s">
        <v>189</v>
      </c>
      <c r="F1279" s="48" t="s">
        <v>222</v>
      </c>
      <c r="G1279" s="49" t="n">
        <v>29.07</v>
      </c>
      <c r="H1279" s="50" t="n">
        <f aca="false">MAX(0,IF(AND(Parameter!$B$21="Ja",ISNUMBER(Y1279)),Y1279,IF(Parameter!$B$20="Jahresanfang 2025 + Export",BO1279+BN1279,BN1279)))</f>
        <v>33</v>
      </c>
      <c r="I1279" s="50" t="n">
        <f aca="false">H1279*G1279</f>
        <v>959.31</v>
      </c>
      <c r="J1279" s="50" t="n">
        <f aca="false">BQ1279*Parameter!$B$18</f>
        <v>72</v>
      </c>
      <c r="K1279" s="51" t="n">
        <v>66.5</v>
      </c>
      <c r="L1279" s="52" t="n">
        <v>1.08270676691729</v>
      </c>
      <c r="M1279" s="50" t="n">
        <v>5</v>
      </c>
      <c r="N1279" s="50" t="n">
        <v>70</v>
      </c>
      <c r="O1279" s="53" t="n">
        <v>28</v>
      </c>
      <c r="P1279" s="48" t="s">
        <v>306</v>
      </c>
      <c r="Q1279" s="50" t="n">
        <v>12</v>
      </c>
      <c r="R1279" s="53" t="n">
        <f aca="false">IF(BW1279=1,0,IFERROR(VLOOKUP(BU1279,'Gebinde-Kategorie'!$A$5:$N$45,13,0)+0,0))</f>
        <v>26</v>
      </c>
      <c r="S1279" s="54"/>
      <c r="T1279" s="55"/>
      <c r="U1279" s="55"/>
      <c r="V1279" s="55"/>
      <c r="W1279" s="48"/>
      <c r="X1279" s="50"/>
      <c r="Y1279" s="50"/>
      <c r="Z1279" s="48" t="n">
        <f aca="false">IF(A1279="","",IF(AND(Parameter!$B$21="Ja",ISNUMBER(W1279)),W1279,IF(BZ1279="2+3",IF(ISNUMBER(SEARCH("grosser Artikel",BR1279)),2,IFERROR(VLOOKUP(BU1279,Parameter!$F$35:$G$64,2,0),2)),IF(OR(BZ1279="Nein",BZ1279=""),"-",BZ1279))))</f>
        <v>3</v>
      </c>
      <c r="AA1279" s="55"/>
      <c r="AB1279" s="56"/>
      <c r="AC1279" s="50" t="n">
        <f aca="false">AT1279</f>
        <v>84</v>
      </c>
      <c r="AD1279" s="50" t="n">
        <f aca="false">MAX(AT1279,H1279)</f>
        <v>84</v>
      </c>
      <c r="AE1279" s="57"/>
      <c r="AF1279" s="50" t="n">
        <f aca="false">IF(LEFT(Cockpit!$C$5,1)="A",H1279,IF(CE1279=1,CF1279,IF(LEFT(Cockpit!$C$5,1)="B",AK1279,MAX(AK1279,H1279))))</f>
        <v>33</v>
      </c>
      <c r="AG1279" s="50" t="n">
        <f aca="false">IF(BW1279=1,0,ROUNDUP(AF1279/BV1279,0))</f>
        <v>3</v>
      </c>
      <c r="AH1279" s="52" t="n">
        <f aca="false">IF(CL1279&gt;0,CL1279*MAX(1,AF1279/X1279),IF(BW1279=1,IF(AF1279&lt;=0,0,CA1279*MAX(1,IF(H1279&gt;0,AF1279/H1279,1))),IF(R1279&gt;0,AG1279/R1279,0))/MAX(0.1,N(Parameter!$M$21)))</f>
        <v>0.115384615384615</v>
      </c>
      <c r="AI1279" s="50" t="n">
        <f aca="false">AH1279*BY1279</f>
        <v>17.8846153846154</v>
      </c>
      <c r="AJ1279" s="50" t="n">
        <f aca="false">AF1279*G1279</f>
        <v>959.31</v>
      </c>
      <c r="AK1279" s="50" t="n">
        <f aca="false">ROUNDUP(MAX(J1279/IF(CD1279&gt;0,CD1279,MAX(0.1,N(Cockpit!$C$6))),CG1279)/BV1279,0)*BV1279</f>
        <v>84</v>
      </c>
      <c r="AL1279" s="51" t="n">
        <f aca="false">IF(AI1279&gt;0,J1279/AI1279,-1)</f>
        <v>4.0258064516129</v>
      </c>
      <c r="AM1279" s="51" t="n">
        <f aca="false">IF(AND(OR(CC1279="L1",CC1279="L23",CC1279="LIFT"),AI1279&gt;0),SUMIFS($AI$7:$AI$1843,$CC$7:$CC$1843,CC1279,$AL$7:$AL$1843,"&gt;"&amp;AL1279)+SUMIFS($AI$7:$AI$1843,$CC$7:$CC$1843,CC1279,$AL$7:$AL$1843,AL1279,$BT$7:$BT$1843,"&lt;="&amp;BT1279),"")</f>
        <v>4389.98717948718</v>
      </c>
      <c r="AN1279" s="58" t="n">
        <f aca="false">IF(AM1279="",0,MAX(0,MIN(1,(IF(CC1279="L1",Parameter!$H$5,IF(CC1279="L23",Parameter!$H$6+Parameter!$H$7,Parameter!$H$5+Parameter!$H$6+Parameter!$H$7))-(AM1279-AI1279))/AI1279)))</f>
        <v>1</v>
      </c>
      <c r="AO1279" s="50" t="n">
        <f aca="false">IF(LEFT(Cockpit!$I$5,1)="A",H1279,IF(CE1279=1,CF1279,IF(LEFT(Cockpit!$I$5,1)="B",AT1279,MAX(AT1279,H1279))))</f>
        <v>84</v>
      </c>
      <c r="AP1279" s="50" t="n">
        <f aca="false">IF(BW1279=1,0,ROUNDUP(AO1279/BV1279,0))</f>
        <v>7</v>
      </c>
      <c r="AQ1279" s="52" t="n">
        <f aca="false">IF(CL1279&gt;0,CL1279*MAX(1,AO1279/X1279),IF(BW1279=1,IF(AO1279&lt;=0,0,CA1279*MAX(1,IF(H1279&gt;0,AO1279/H1279,1))),IF(R1279&gt;0,AP1279/R1279,0))/MAX(0.1,N(Parameter!$M$21)))</f>
        <v>0.269230769230769</v>
      </c>
      <c r="AR1279" s="50" t="n">
        <f aca="false">AQ1279*BY1279</f>
        <v>41.7307692307692</v>
      </c>
      <c r="AS1279" s="50" t="n">
        <f aca="false">AO1279*G1279</f>
        <v>2441.88</v>
      </c>
      <c r="AT1279" s="50" t="n">
        <f aca="false">ROUNDUP(MAX(J1279/IF(CD1279&gt;0,CD1279,MAX(0.1,N(Cockpit!$I$6))),CG1279)/BV1279,0)*BV1279</f>
        <v>84</v>
      </c>
      <c r="AU1279" s="51" t="n">
        <f aca="false">IF(AR1279&gt;0,J1279/AR1279,-1)</f>
        <v>1.72534562211982</v>
      </c>
      <c r="AV1279" s="51" t="n">
        <f aca="false">IF(AND(OR(CC1279="L1",CC1279="L23",CC1279="LIFT"),AR1279&gt;0),SUMIFS($AR$7:$AR$1843,$CC$7:$CC$1843,CC1279,$AU$7:$AU$1843,"&gt;"&amp;AU1279)+SUMIFS($AR$7:$AR$1843,$CC$7:$CC$1843,CC1279,$AU$7:$AU$1843,AU1279,$BT$7:$BT$1843,"&lt;="&amp;BT1279),"")</f>
        <v>8180.99450549451</v>
      </c>
      <c r="AW1279" s="58" t="n">
        <f aca="false">IF(AV1279="",0,MAX(0,MIN(1,(IF(CC1279="L1",Parameter!$H$5,IF(CC1279="L23",Parameter!$H$6+Parameter!$H$7,Parameter!$H$5+Parameter!$H$6+Parameter!$H$7))-(AV1279-AR1279))/AR1279)))</f>
        <v>1</v>
      </c>
      <c r="AX1279" s="50" t="n">
        <f aca="false">IF(LEFT(Cockpit!$O$5,1)="A",H1279,IF(CE1279=1,CF1279,IF(LEFT(Cockpit!$O$5,1)="B",BC1279,MAX(BC1279,H1279))))</f>
        <v>84</v>
      </c>
      <c r="AY1279" s="50" t="n">
        <f aca="false">IF(BW1279=1,0,ROUNDUP(AX1279/BV1279,0))</f>
        <v>7</v>
      </c>
      <c r="AZ1279" s="52" t="n">
        <f aca="false">IF(CL1279&gt;0,CL1279*MAX(1,AX1279/X1279),IF(BW1279=1,IF(AX1279&lt;=0,0,CA1279*MAX(1,IF(H1279&gt;0,AX1279/H1279,1))),IF(R1279&gt;0,AY1279/R1279,0))/MAX(0.1,N(Parameter!$M$21)))</f>
        <v>0.269230769230769</v>
      </c>
      <c r="BA1279" s="50" t="n">
        <f aca="false">AZ1279*BY1279</f>
        <v>41.7307692307692</v>
      </c>
      <c r="BB1279" s="50" t="n">
        <f aca="false">AX1279*G1279</f>
        <v>2441.88</v>
      </c>
      <c r="BC1279" s="50" t="n">
        <f aca="false">ROUNDUP(MAX(J1279/IF(CD1279&gt;0,CD1279,MAX(0.1,N(Cockpit!$O$6))),CG1279)/BV1279,0)*BV1279</f>
        <v>84</v>
      </c>
      <c r="BD1279" s="51" t="n">
        <f aca="false">IF(BA1279&gt;0,J1279/BA1279,-1)</f>
        <v>1.72534562211982</v>
      </c>
      <c r="BE1279" s="51" t="n">
        <f aca="false">IF(AND(OR(CC1279="L1",CC1279="L23",CC1279="LIFT"),BA1279&gt;0),SUMIFS($BA$7:$BA$1843,$CC$7:$CC$1843,CC1279,$BD$7:$BD$1843,"&gt;"&amp;BD1279)+SUMIFS($BA$7:$BA$1843,$CC$7:$CC$1843,CC1279,$BD$7:$BD$1843,BD1279,$BT$7:$BT$1843,"&lt;="&amp;BT1279),"")</f>
        <v>8095.40155677656</v>
      </c>
      <c r="BF1279" s="58" t="n">
        <f aca="false">IF(BE1279="",0,MAX(0,MIN(1,(IF(CC1279="L1",Parameter!$H$5,IF(CC1279="L23",Parameter!$H$6+Parameter!$H$7,Parameter!$H$5+Parameter!$H$6+Parameter!$H$7))-(BE1279-BA1279))/BA1279)))</f>
        <v>1</v>
      </c>
      <c r="BG1279" s="48" t="str">
        <f aca="false">IF(AI1279&lt;=0,"",IF(CC1279="Aussen","Aussenlager",IF(CC1279="-","Nicht im Lift",IF(AN1279&gt;=1,"Lift",IF(AN1279&lt;=0,"Aussenlager","teilweise")))))</f>
        <v>Lift</v>
      </c>
      <c r="BH1279" s="48" t="str">
        <f aca="false">IF(AR1279&lt;=0,"",IF(CC1279="Aussen","Aussenlager",IF(CC1279="-","Nicht im Lift",IF(AW1279&gt;=1,"Lift",IF(AW1279&lt;=0,"Aussenlager","teilweise")))))</f>
        <v>Lift</v>
      </c>
      <c r="BI1279" s="48" t="str">
        <f aca="false">IF(BA1279&lt;=0,"",IF(CC1279="Aussen","Aussenlager",IF(CC1279="-","Nicht im Lift",IF(BF1279&gt;=1,"Lift",IF(BF1279&lt;=0,"Aussenlager","teilweise")))))</f>
        <v>Lift</v>
      </c>
      <c r="BJ1279" s="48" t="str">
        <f aca="false">IF(A1279="","",IF(BS1279=1,"Neu; ","")&amp;IF(AND(BS1279=0,BN1279&lt;0),"negativer Bestand (Export "&amp;BN1279&amp;"); ","")&amp;IF(J1279&lt;=0,"Kein Verbrauch; ","")&amp;IF(CL1279&gt;0,"Lift "&amp;W1279&amp;" lt. Liftbericht (Fach "&amp;X1279&amp;" Stk); ",IF(BX1279=1,"Gebinde geschätzt ("&amp;T1279&amp;"); ",IF(BW1279=1,"Lose – Tablare geschätzt; ","")))&amp;IF(H1279&gt;AT1279,"Überbestand "&amp;ROUND(H1279-AT1279,0)&amp;" Stk / CHF "&amp;ROUND((H1279-AT1279)*G1279,0)&amp;"; ","")&amp;IF(AND(CE1279=1,CF1279&lt;CG1279),"MAX &lt; MB+LG; ","")&amp;IF(AND(CK1279&gt;0,CJ1279*10&gt;CK1279),"zu hoch für Tablar; ","")&amp;IF(AND(BS1279=0,OR(CE1279=1,AA1279&lt;&gt;"",U1279&lt;&gt;"",V1279&lt;&gt;"",AB1279&lt;&gt;"")),"manuell übersteuert; ","")&amp;IF(AND(BW1279=0,R1279=0),"Gebinde unbekannt / Stellmass fehlt; ","")&amp;IF(AND(BW1279=0,N(V1279)&lt;=0,N(Q1279)&lt;=0),"Menge pro Gebinde fehlt (Ist = 1 Gebinde); ","")&amp;BR1279)</f>
        <v>negativer Bestand (Export -34); </v>
      </c>
      <c r="BK1279" s="48"/>
      <c r="BL1279" s="48"/>
      <c r="BM1279" s="55"/>
      <c r="BN1279" s="50" t="n">
        <v>-34</v>
      </c>
      <c r="BO1279" s="50" t="n">
        <v>67</v>
      </c>
      <c r="BP1279" s="49" t="n">
        <v>-1008.48</v>
      </c>
      <c r="BQ1279" s="50" t="n">
        <v>72</v>
      </c>
      <c r="BR1279" s="48"/>
      <c r="BS1279" s="53" t="n">
        <v>0</v>
      </c>
      <c r="BT1279" s="53" t="n">
        <v>1279</v>
      </c>
      <c r="BU1279" s="48" t="str">
        <f aca="false">IF(U1279&lt;&gt;"",UPPER(TRIM(U1279)),IF(BX1279=1,UPPER(VLOOKUP(T1279,Parameter!$I$27:$K$29,2,0)),IF(P1279="","LOSE",P1279)))</f>
        <v>S51</v>
      </c>
      <c r="BV1279" s="50" t="n">
        <f aca="false">IF(BU1279="LOSE",1,IF(N(V1279)&gt;0,V1279,IF(BX1279=1,MAX(1,N(VLOOKUP(T1279,Parameter!$I$27:$K$29,3,0)),H1279,N(N1279)),IF(N(Q1279)&gt;0,Q1279,MAX(1,H1279)))))</f>
        <v>12</v>
      </c>
      <c r="BW1279" s="53" t="n">
        <f aca="false">IF(BU1279="LOSE",1,0)</f>
        <v>0</v>
      </c>
      <c r="BX1279" s="53" t="n">
        <f aca="false">IF(AND(U1279="",OR(P1279="",P1279="LOSE"),T1279&lt;&gt;"",N(S1279)&lt;=0,ISNUMBER(MATCH(T1279,Parameter!$I$27:$I$29,0))),1,0)</f>
        <v>0</v>
      </c>
      <c r="BY1279" s="53" t="n">
        <f aca="false">IF(CL1279&gt;0,INDEX(Parameter!$H$5:$H$7,W1279)/INDEX(Parameter!$E$5:$E$7,W1279),IF(AND(BW1279=0,N(IFERROR(VLOOKUP(BU1279,'Gebinde-Kategorie'!$A$5:$N$45,14,0),0))&gt;0),VLOOKUP(BU1279,'Gebinde-Kategorie'!$A$5:$N$45,14,0)*10+Parameter!$M$23,Parameter!$M$24))</f>
        <v>155</v>
      </c>
      <c r="BZ1279" s="48" t="str">
        <f aca="false">IF(AND(Parameter!$B$19="Ja",E1279&lt;&gt;"",ISNUMBER(MATCH(E1279,Parameter!$I$35:$I$52,0))),VLOOKUP(E1279,Parameter!$I$35:$J$52,2,0),IFERROR(VLOOKUP(D1279,Parameter!$A$35:$C$64,2,0),"Nein"))</f>
        <v>2+3</v>
      </c>
      <c r="CA1279" s="52" t="n">
        <f aca="false">IF(BW1279=0,0,IF(N(S1279)&gt;0,S1279,IFERROR(VLOOKUP(D1279,Parameter!$A$35:$C$64,3,0)+0,0)))</f>
        <v>0</v>
      </c>
      <c r="CB1279" s="48" t="n">
        <f aca="false">IF(AA1279&lt;&gt;"",AA1279,Z1279)</f>
        <v>3</v>
      </c>
      <c r="CC1279" s="48" t="str">
        <f aca="false">IF(OR(CB1279=1,CB1279=2,CB1279=3),IF(Parameter!$E$27="Ja","LIFT",IF(CB1279=1,"L1","L23")),IF(CB1279="Aussen","Aussen","-"))</f>
        <v>LIFT</v>
      </c>
      <c r="CD1279" s="59" t="n">
        <f aca="false">IF(N(AB1279)&gt;0,AB1279,0)</f>
        <v>0</v>
      </c>
      <c r="CE1279" s="53" t="n">
        <f aca="false">IF(ISNUMBER(AE1279),1,0)</f>
        <v>0</v>
      </c>
      <c r="CF1279" s="50" t="n">
        <f aca="false">N(AE1279)</f>
        <v>0</v>
      </c>
      <c r="CG1279" s="50" t="n">
        <f aca="false">N(M1279)+N(N1279)</f>
        <v>75</v>
      </c>
      <c r="CH1279" s="50" t="n">
        <f aca="false">ROUNDUP(H1279/BV1279,0)</f>
        <v>3</v>
      </c>
      <c r="CI1279" s="50" t="n">
        <f aca="false">ROUNDUP(CF1279/BV1279,0)</f>
        <v>0</v>
      </c>
      <c r="CJ1279" s="53" t="n">
        <f aca="false">IF(BW1279=1,0,IFERROR(VLOOKUP(BU1279,'Gebinde-Kategorie'!$A$5:$N$45,5,0)+0,0))</f>
        <v>11</v>
      </c>
      <c r="CK1279" s="53" t="n">
        <f aca="false">IFERROR(IF(OR(CB1279=1,CB1279=2,CB1279=3),N(INDEX(Parameter!$I$5:$I$7,CB1279)),0),0)</f>
        <v>0</v>
      </c>
      <c r="CL1279" s="52" t="n">
        <f aca="false">IF(AND(Parameter!$B$21="Ja",ISNUMBER(W1279),N(X1279)&gt;0),IFERROR(N(INDEX(Parameter!$L$5:$L$7,W1279))*INDEX(Parameter!$E$5:$E$7,W1279)*X1279/SUMIFS($X$7:$X$1843,$W$7:$W$1843,W1279),0),0)</f>
        <v>0</v>
      </c>
    </row>
    <row r="1280" customFormat="false" ht="15" hidden="false" customHeight="false" outlineLevel="0" collapsed="false">
      <c r="A1280" s="48" t="s">
        <v>2290</v>
      </c>
      <c r="B1280" s="48" t="s">
        <v>602</v>
      </c>
      <c r="C1280" s="48" t="s">
        <v>168</v>
      </c>
      <c r="D1280" s="48" t="s">
        <v>188</v>
      </c>
      <c r="E1280" s="48" t="s">
        <v>189</v>
      </c>
      <c r="F1280" s="48" t="s">
        <v>222</v>
      </c>
      <c r="G1280" s="49" t="n">
        <v>36.23</v>
      </c>
      <c r="H1280" s="50" t="n">
        <f aca="false">MAX(0,IF(AND(Parameter!$B$21="Ja",ISNUMBER(Y1280)),Y1280,IF(Parameter!$B$20="Jahresanfang 2025 + Export",BO1280+BN1280,BN1280)))</f>
        <v>9</v>
      </c>
      <c r="I1280" s="50" t="n">
        <f aca="false">H1280*G1280</f>
        <v>326.07</v>
      </c>
      <c r="J1280" s="50" t="n">
        <f aca="false">BQ1280*Parameter!$B$18</f>
        <v>37</v>
      </c>
      <c r="K1280" s="51" t="n">
        <v>40.5</v>
      </c>
      <c r="L1280" s="52" t="n">
        <v>0.91358024691358</v>
      </c>
      <c r="M1280" s="50" t="n">
        <v>1</v>
      </c>
      <c r="N1280" s="50" t="n">
        <v>35</v>
      </c>
      <c r="O1280" s="53" t="n">
        <v>14</v>
      </c>
      <c r="P1280" s="48" t="s">
        <v>480</v>
      </c>
      <c r="Q1280" s="50" t="n">
        <v>64</v>
      </c>
      <c r="R1280" s="53" t="n">
        <f aca="false">IF(BW1280=1,0,IFERROR(VLOOKUP(BU1280,'Gebinde-Kategorie'!$A$5:$N$45,13,0)+0,0))</f>
        <v>52</v>
      </c>
      <c r="S1280" s="54"/>
      <c r="T1280" s="55"/>
      <c r="U1280" s="55"/>
      <c r="V1280" s="55"/>
      <c r="W1280" s="48"/>
      <c r="X1280" s="50"/>
      <c r="Y1280" s="50"/>
      <c r="Z1280" s="48" t="n">
        <f aca="false">IF(A1280="","",IF(AND(Parameter!$B$21="Ja",ISNUMBER(W1280)),W1280,IF(BZ1280="2+3",IF(ISNUMBER(SEARCH("grosser Artikel",BR1280)),2,IFERROR(VLOOKUP(BU1280,Parameter!$F$35:$G$64,2,0),2)),IF(OR(BZ1280="Nein",BZ1280=""),"-",BZ1280))))</f>
        <v>3</v>
      </c>
      <c r="AA1280" s="55"/>
      <c r="AB1280" s="56"/>
      <c r="AC1280" s="50" t="n">
        <f aca="false">AT1280</f>
        <v>64</v>
      </c>
      <c r="AD1280" s="50" t="n">
        <f aca="false">MAX(AT1280,H1280)</f>
        <v>64</v>
      </c>
      <c r="AE1280" s="57"/>
      <c r="AF1280" s="50" t="n">
        <f aca="false">IF(LEFT(Cockpit!$C$5,1)="A",H1280,IF(CE1280=1,CF1280,IF(LEFT(Cockpit!$C$5,1)="B",AK1280,MAX(AK1280,H1280))))</f>
        <v>9</v>
      </c>
      <c r="AG1280" s="50" t="n">
        <f aca="false">IF(BW1280=1,0,ROUNDUP(AF1280/BV1280,0))</f>
        <v>1</v>
      </c>
      <c r="AH1280" s="52" t="n">
        <f aca="false">IF(CL1280&gt;0,CL1280*MAX(1,AF1280/X1280),IF(BW1280=1,IF(AF1280&lt;=0,0,CA1280*MAX(1,IF(H1280&gt;0,AF1280/H1280,1))),IF(R1280&gt;0,AG1280/R1280,0))/MAX(0.1,N(Parameter!$M$21)))</f>
        <v>0.0192307692307692</v>
      </c>
      <c r="AI1280" s="50" t="n">
        <f aca="false">AH1280*BY1280</f>
        <v>2.98076923076923</v>
      </c>
      <c r="AJ1280" s="50" t="n">
        <f aca="false">AF1280*G1280</f>
        <v>326.07</v>
      </c>
      <c r="AK1280" s="50" t="n">
        <f aca="false">ROUNDUP(MAX(J1280/IF(CD1280&gt;0,CD1280,MAX(0.1,N(Cockpit!$C$6))),CG1280)/BV1280,0)*BV1280</f>
        <v>64</v>
      </c>
      <c r="AL1280" s="51" t="n">
        <f aca="false">IF(AI1280&gt;0,J1280/AI1280,-1)</f>
        <v>12.4129032258065</v>
      </c>
      <c r="AM1280" s="51" t="n">
        <f aca="false">IF(AND(OR(CC1280="L1",CC1280="L23",CC1280="LIFT"),AI1280&gt;0),SUMIFS($AI$7:$AI$1843,$CC$7:$CC$1843,CC1280,$AL$7:$AL$1843,"&gt;"&amp;AL1280)+SUMIFS($AI$7:$AI$1843,$CC$7:$CC$1843,CC1280,$AL$7:$AL$1843,AL1280,$BT$7:$BT$1843,"&lt;="&amp;BT1280),"")</f>
        <v>2501.45787545788</v>
      </c>
      <c r="AN1280" s="58" t="n">
        <f aca="false">IF(AM1280="",0,MAX(0,MIN(1,(IF(CC1280="L1",Parameter!$H$5,IF(CC1280="L23",Parameter!$H$6+Parameter!$H$7,Parameter!$H$5+Parameter!$H$6+Parameter!$H$7))-(AM1280-AI1280))/AI1280)))</f>
        <v>1</v>
      </c>
      <c r="AO1280" s="50" t="n">
        <f aca="false">IF(LEFT(Cockpit!$I$5,1)="A",H1280,IF(CE1280=1,CF1280,IF(LEFT(Cockpit!$I$5,1)="B",AT1280,MAX(AT1280,H1280))))</f>
        <v>64</v>
      </c>
      <c r="AP1280" s="50" t="n">
        <f aca="false">IF(BW1280=1,0,ROUNDUP(AO1280/BV1280,0))</f>
        <v>1</v>
      </c>
      <c r="AQ1280" s="52" t="n">
        <f aca="false">IF(CL1280&gt;0,CL1280*MAX(1,AO1280/X1280),IF(BW1280=1,IF(AO1280&lt;=0,0,CA1280*MAX(1,IF(H1280&gt;0,AO1280/H1280,1))),IF(R1280&gt;0,AP1280/R1280,0))/MAX(0.1,N(Parameter!$M$21)))</f>
        <v>0.0192307692307692</v>
      </c>
      <c r="AR1280" s="50" t="n">
        <f aca="false">AQ1280*BY1280</f>
        <v>2.98076923076923</v>
      </c>
      <c r="AS1280" s="50" t="n">
        <f aca="false">AO1280*G1280</f>
        <v>2318.72</v>
      </c>
      <c r="AT1280" s="50" t="n">
        <f aca="false">ROUNDUP(MAX(J1280/IF(CD1280&gt;0,CD1280,MAX(0.1,N(Cockpit!$I$6))),CG1280)/BV1280,0)*BV1280</f>
        <v>64</v>
      </c>
      <c r="AU1280" s="51" t="n">
        <f aca="false">IF(AR1280&gt;0,J1280/AR1280,-1)</f>
        <v>12.4129032258065</v>
      </c>
      <c r="AV1280" s="51" t="n">
        <f aca="false">IF(AND(OR(CC1280="L1",CC1280="L23",CC1280="LIFT"),AR1280&gt;0),SUMIFS($AR$7:$AR$1843,$CC$7:$CC$1843,CC1280,$AU$7:$AU$1843,"&gt;"&amp;AU1280)+SUMIFS($AR$7:$AR$1843,$CC$7:$CC$1843,CC1280,$AU$7:$AU$1843,AU1280,$BT$7:$BT$1843,"&lt;="&amp;BT1280),"")</f>
        <v>3650.4793956044</v>
      </c>
      <c r="AW1280" s="58" t="n">
        <f aca="false">IF(AV1280="",0,MAX(0,MIN(1,(IF(CC1280="L1",Parameter!$H$5,IF(CC1280="L23",Parameter!$H$6+Parameter!$H$7,Parameter!$H$5+Parameter!$H$6+Parameter!$H$7))-(AV1280-AR1280))/AR1280)))</f>
        <v>1</v>
      </c>
      <c r="AX1280" s="50" t="n">
        <f aca="false">IF(LEFT(Cockpit!$O$5,1)="A",H1280,IF(CE1280=1,CF1280,IF(LEFT(Cockpit!$O$5,1)="B",BC1280,MAX(BC1280,H1280))))</f>
        <v>64</v>
      </c>
      <c r="AY1280" s="50" t="n">
        <f aca="false">IF(BW1280=1,0,ROUNDUP(AX1280/BV1280,0))</f>
        <v>1</v>
      </c>
      <c r="AZ1280" s="52" t="n">
        <f aca="false">IF(CL1280&gt;0,CL1280*MAX(1,AX1280/X1280),IF(BW1280=1,IF(AX1280&lt;=0,0,CA1280*MAX(1,IF(H1280&gt;0,AX1280/H1280,1))),IF(R1280&gt;0,AY1280/R1280,0))/MAX(0.1,N(Parameter!$M$21)))</f>
        <v>0.0192307692307692</v>
      </c>
      <c r="BA1280" s="50" t="n">
        <f aca="false">AZ1280*BY1280</f>
        <v>2.98076923076923</v>
      </c>
      <c r="BB1280" s="50" t="n">
        <f aca="false">AX1280*G1280</f>
        <v>2318.72</v>
      </c>
      <c r="BC1280" s="50" t="n">
        <f aca="false">ROUNDUP(MAX(J1280/IF(CD1280&gt;0,CD1280,MAX(0.1,N(Cockpit!$O$6))),CG1280)/BV1280,0)*BV1280</f>
        <v>64</v>
      </c>
      <c r="BD1280" s="51" t="n">
        <f aca="false">IF(BA1280&gt;0,J1280/BA1280,-1)</f>
        <v>12.4129032258065</v>
      </c>
      <c r="BE1280" s="51" t="n">
        <f aca="false">IF(AND(OR(CC1280="L1",CC1280="L23",CC1280="LIFT"),BA1280&gt;0),SUMIFS($BA$7:$BA$1843,$CC$7:$CC$1843,CC1280,$BD$7:$BD$1843,"&gt;"&amp;BD1280)+SUMIFS($BA$7:$BA$1843,$CC$7:$CC$1843,CC1280,$BD$7:$BD$1843,BD1280,$BT$7:$BT$1843,"&lt;="&amp;BT1280),"")</f>
        <v>3307.03388278388</v>
      </c>
      <c r="BF1280" s="58" t="n">
        <f aca="false">IF(BE1280="",0,MAX(0,MIN(1,(IF(CC1280="L1",Parameter!$H$5,IF(CC1280="L23",Parameter!$H$6+Parameter!$H$7,Parameter!$H$5+Parameter!$H$6+Parameter!$H$7))-(BE1280-BA1280))/BA1280)))</f>
        <v>1</v>
      </c>
      <c r="BG1280" s="48" t="str">
        <f aca="false">IF(AI1280&lt;=0,"",IF(CC1280="Aussen","Aussenlager",IF(CC1280="-","Nicht im Lift",IF(AN1280&gt;=1,"Lift",IF(AN1280&lt;=0,"Aussenlager","teilweise")))))</f>
        <v>Lift</v>
      </c>
      <c r="BH1280" s="48" t="str">
        <f aca="false">IF(AR1280&lt;=0,"",IF(CC1280="Aussen","Aussenlager",IF(CC1280="-","Nicht im Lift",IF(AW1280&gt;=1,"Lift",IF(AW1280&lt;=0,"Aussenlager","teilweise")))))</f>
        <v>Lift</v>
      </c>
      <c r="BI1280" s="48" t="str">
        <f aca="false">IF(BA1280&lt;=0,"",IF(CC1280="Aussen","Aussenlager",IF(CC1280="-","Nicht im Lift",IF(BF1280&gt;=1,"Lift",IF(BF1280&lt;=0,"Aussenlager","teilweise")))))</f>
        <v>Lift</v>
      </c>
      <c r="BJ1280" s="48" t="str">
        <f aca="false">IF(A1280="","",IF(BS1280=1,"Neu; ","")&amp;IF(AND(BS1280=0,BN1280&lt;0),"negativer Bestand (Export "&amp;BN1280&amp;"); ","")&amp;IF(J1280&lt;=0,"Kein Verbrauch; ","")&amp;IF(CL1280&gt;0,"Lift "&amp;W1280&amp;" lt. Liftbericht (Fach "&amp;X1280&amp;" Stk); ",IF(BX1280=1,"Gebinde geschätzt ("&amp;T1280&amp;"); ",IF(BW1280=1,"Lose – Tablare geschätzt; ","")))&amp;IF(H1280&gt;AT1280,"Überbestand "&amp;ROUND(H1280-AT1280,0)&amp;" Stk / CHF "&amp;ROUND((H1280-AT1280)*G1280,0)&amp;"; ","")&amp;IF(AND(CE1280=1,CF1280&lt;CG1280),"MAX &lt; MB+LG; ","")&amp;IF(AND(CK1280&gt;0,CJ1280*10&gt;CK1280),"zu hoch für Tablar; ","")&amp;IF(AND(BS1280=0,OR(CE1280=1,AA1280&lt;&gt;"",U1280&lt;&gt;"",V1280&lt;&gt;"",AB1280&lt;&gt;"")),"manuell übersteuert; ","")&amp;IF(AND(BW1280=0,R1280=0),"Gebinde unbekannt / Stellmass fehlt; ","")&amp;IF(AND(BW1280=0,N(V1280)&lt;=0,N(Q1280)&lt;=0),"Menge pro Gebinde fehlt (Ist = 1 Gebinde); ","")&amp;BR1280)</f>
        <v>negativer Bestand (Export -30); </v>
      </c>
      <c r="BK1280" s="48"/>
      <c r="BL1280" s="48"/>
      <c r="BM1280" s="55"/>
      <c r="BN1280" s="50" t="n">
        <v>-30</v>
      </c>
      <c r="BO1280" s="50" t="n">
        <v>39</v>
      </c>
      <c r="BP1280" s="49" t="n">
        <v>-1026.84</v>
      </c>
      <c r="BQ1280" s="50" t="n">
        <v>37</v>
      </c>
      <c r="BR1280" s="48"/>
      <c r="BS1280" s="53" t="n">
        <v>0</v>
      </c>
      <c r="BT1280" s="53" t="n">
        <v>1280</v>
      </c>
      <c r="BU1280" s="48" t="str">
        <f aca="false">IF(U1280&lt;&gt;"",UPPER(TRIM(U1280)),IF(BX1280=1,UPPER(VLOOKUP(T1280,Parameter!$I$27:$K$29,2,0)),IF(P1280="","LOSE",P1280)))</f>
        <v>S33</v>
      </c>
      <c r="BV1280" s="50" t="n">
        <f aca="false">IF(BU1280="LOSE",1,IF(N(V1280)&gt;0,V1280,IF(BX1280=1,MAX(1,N(VLOOKUP(T1280,Parameter!$I$27:$K$29,3,0)),H1280,N(N1280)),IF(N(Q1280)&gt;0,Q1280,MAX(1,H1280)))))</f>
        <v>64</v>
      </c>
      <c r="BW1280" s="53" t="n">
        <f aca="false">IF(BU1280="LOSE",1,0)</f>
        <v>0</v>
      </c>
      <c r="BX1280" s="53" t="n">
        <f aca="false">IF(AND(U1280="",OR(P1280="",P1280="LOSE"),T1280&lt;&gt;"",N(S1280)&lt;=0,ISNUMBER(MATCH(T1280,Parameter!$I$27:$I$29,0))),1,0)</f>
        <v>0</v>
      </c>
      <c r="BY1280" s="53" t="n">
        <f aca="false">IF(CL1280&gt;0,INDEX(Parameter!$H$5:$H$7,W1280)/INDEX(Parameter!$E$5:$E$7,W1280),IF(AND(BW1280=0,N(IFERROR(VLOOKUP(BU1280,'Gebinde-Kategorie'!$A$5:$N$45,14,0),0))&gt;0),VLOOKUP(BU1280,'Gebinde-Kategorie'!$A$5:$N$45,14,0)*10+Parameter!$M$23,Parameter!$M$24))</f>
        <v>155</v>
      </c>
      <c r="BZ1280" s="48" t="str">
        <f aca="false">IF(AND(Parameter!$B$19="Ja",E1280&lt;&gt;"",ISNUMBER(MATCH(E1280,Parameter!$I$35:$I$52,0))),VLOOKUP(E1280,Parameter!$I$35:$J$52,2,0),IFERROR(VLOOKUP(D1280,Parameter!$A$35:$C$64,2,0),"Nein"))</f>
        <v>2+3</v>
      </c>
      <c r="CA1280" s="52" t="n">
        <f aca="false">IF(BW1280=0,0,IF(N(S1280)&gt;0,S1280,IFERROR(VLOOKUP(D1280,Parameter!$A$35:$C$64,3,0)+0,0)))</f>
        <v>0</v>
      </c>
      <c r="CB1280" s="48" t="n">
        <f aca="false">IF(AA1280&lt;&gt;"",AA1280,Z1280)</f>
        <v>3</v>
      </c>
      <c r="CC1280" s="48" t="str">
        <f aca="false">IF(OR(CB1280=1,CB1280=2,CB1280=3),IF(Parameter!$E$27="Ja","LIFT",IF(CB1280=1,"L1","L23")),IF(CB1280="Aussen","Aussen","-"))</f>
        <v>LIFT</v>
      </c>
      <c r="CD1280" s="59" t="n">
        <f aca="false">IF(N(AB1280)&gt;0,AB1280,0)</f>
        <v>0</v>
      </c>
      <c r="CE1280" s="53" t="n">
        <f aca="false">IF(ISNUMBER(AE1280),1,0)</f>
        <v>0</v>
      </c>
      <c r="CF1280" s="50" t="n">
        <f aca="false">N(AE1280)</f>
        <v>0</v>
      </c>
      <c r="CG1280" s="50" t="n">
        <f aca="false">N(M1280)+N(N1280)</f>
        <v>36</v>
      </c>
      <c r="CH1280" s="50" t="n">
        <f aca="false">ROUNDUP(H1280/BV1280,0)</f>
        <v>1</v>
      </c>
      <c r="CI1280" s="50" t="n">
        <f aca="false">ROUNDUP(CF1280/BV1280,0)</f>
        <v>0</v>
      </c>
      <c r="CJ1280" s="53" t="n">
        <f aca="false">IF(BW1280=1,0,IFERROR(VLOOKUP(BU1280,'Gebinde-Kategorie'!$A$5:$N$45,5,0)+0,0))</f>
        <v>8</v>
      </c>
      <c r="CK1280" s="53" t="n">
        <f aca="false">IFERROR(IF(OR(CB1280=1,CB1280=2,CB1280=3),N(INDEX(Parameter!$I$5:$I$7,CB1280)),0),0)</f>
        <v>0</v>
      </c>
      <c r="CL1280" s="52" t="n">
        <f aca="false">IF(AND(Parameter!$B$21="Ja",ISNUMBER(W1280),N(X1280)&gt;0),IFERROR(N(INDEX(Parameter!$L$5:$L$7,W1280))*INDEX(Parameter!$E$5:$E$7,W1280)*X1280/SUMIFS($X$7:$X$1843,$W$7:$W$1843,W1280),0),0)</f>
        <v>0</v>
      </c>
    </row>
    <row r="1281" customFormat="false" ht="15" hidden="false" customHeight="false" outlineLevel="0" collapsed="false">
      <c r="A1281" s="48" t="s">
        <v>2291</v>
      </c>
      <c r="B1281" s="48" t="s">
        <v>2009</v>
      </c>
      <c r="C1281" s="48" t="s">
        <v>168</v>
      </c>
      <c r="D1281" s="48" t="s">
        <v>188</v>
      </c>
      <c r="E1281" s="48"/>
      <c r="F1281" s="48" t="s">
        <v>222</v>
      </c>
      <c r="G1281" s="49" t="n">
        <v>148.35</v>
      </c>
      <c r="H1281" s="50" t="n">
        <f aca="false">MAX(0,IF(AND(Parameter!$B$21="Ja",ISNUMBER(Y1281)),Y1281,IF(Parameter!$B$20="Jahresanfang 2025 + Export",BO1281+BN1281,BN1281)))</f>
        <v>169</v>
      </c>
      <c r="I1281" s="50" t="n">
        <f aca="false">H1281*G1281</f>
        <v>25071.15</v>
      </c>
      <c r="J1281" s="50" t="n">
        <f aca="false">BQ1281*Parameter!$B$18</f>
        <v>4</v>
      </c>
      <c r="K1281" s="51" t="n">
        <v>174</v>
      </c>
      <c r="L1281" s="52" t="n">
        <v>0.0229885057471264</v>
      </c>
      <c r="M1281" s="50" t="n">
        <v>0</v>
      </c>
      <c r="N1281" s="50" t="n">
        <v>5</v>
      </c>
      <c r="O1281" s="53" t="n">
        <v>63</v>
      </c>
      <c r="P1281" s="48" t="s">
        <v>297</v>
      </c>
      <c r="Q1281" s="50" t="n">
        <v>180</v>
      </c>
      <c r="R1281" s="53" t="n">
        <f aca="false">IF(BW1281=1,0,IFERROR(VLOOKUP(BU1281,'Gebinde-Kategorie'!$A$5:$N$45,13,0)+0,0))</f>
        <v>12</v>
      </c>
      <c r="S1281" s="54"/>
      <c r="T1281" s="55"/>
      <c r="U1281" s="55"/>
      <c r="V1281" s="55"/>
      <c r="W1281" s="48"/>
      <c r="X1281" s="50"/>
      <c r="Y1281" s="50"/>
      <c r="Z1281" s="48" t="n">
        <f aca="false">IF(A1281="","",IF(AND(Parameter!$B$21="Ja",ISNUMBER(W1281)),W1281,IF(BZ1281="2+3",IF(ISNUMBER(SEARCH("grosser Artikel",BR1281)),2,IFERROR(VLOOKUP(BU1281,Parameter!$F$35:$G$64,2,0),2)),IF(OR(BZ1281="Nein",BZ1281=""),"-",BZ1281))))</f>
        <v>2</v>
      </c>
      <c r="AA1281" s="55"/>
      <c r="AB1281" s="56"/>
      <c r="AC1281" s="50" t="n">
        <f aca="false">AT1281</f>
        <v>180</v>
      </c>
      <c r="AD1281" s="50" t="n">
        <f aca="false">MAX(AT1281,H1281)</f>
        <v>180</v>
      </c>
      <c r="AE1281" s="57"/>
      <c r="AF1281" s="50" t="n">
        <f aca="false">IF(LEFT(Cockpit!$C$5,1)="A",H1281,IF(CE1281=1,CF1281,IF(LEFT(Cockpit!$C$5,1)="B",AK1281,MAX(AK1281,H1281))))</f>
        <v>169</v>
      </c>
      <c r="AG1281" s="50" t="n">
        <f aca="false">IF(BW1281=1,0,ROUNDUP(AF1281/BV1281,0))</f>
        <v>1</v>
      </c>
      <c r="AH1281" s="52" t="n">
        <f aca="false">IF(CL1281&gt;0,CL1281*MAX(1,AF1281/X1281),IF(BW1281=1,IF(AF1281&lt;=0,0,CA1281*MAX(1,IF(H1281&gt;0,AF1281/H1281,1))),IF(R1281&gt;0,AG1281/R1281,0))/MAX(0.1,N(Parameter!$M$21)))</f>
        <v>0.0833333333333333</v>
      </c>
      <c r="AI1281" s="50" t="n">
        <f aca="false">AH1281*BY1281</f>
        <v>20.4166666666667</v>
      </c>
      <c r="AJ1281" s="50" t="n">
        <f aca="false">AF1281*G1281</f>
        <v>25071.15</v>
      </c>
      <c r="AK1281" s="50" t="n">
        <f aca="false">ROUNDUP(MAX(J1281/IF(CD1281&gt;0,CD1281,MAX(0.1,N(Cockpit!$C$6))),CG1281)/BV1281,0)*BV1281</f>
        <v>180</v>
      </c>
      <c r="AL1281" s="51" t="n">
        <f aca="false">IF(AI1281&gt;0,J1281/AI1281,-1)</f>
        <v>0.195918367346939</v>
      </c>
      <c r="AM1281" s="51" t="n">
        <f aca="false">IF(AND(OR(CC1281="L1",CC1281="L23",CC1281="LIFT"),AI1281&gt;0),SUMIFS($AI$7:$AI$1843,$CC$7:$CC$1843,CC1281,$AL$7:$AL$1843,"&gt;"&amp;AL1281)+SUMIFS($AI$7:$AI$1843,$CC$7:$CC$1843,CC1281,$AL$7:$AL$1843,AL1281,$BT$7:$BT$1843,"&lt;="&amp;BT1281),"")</f>
        <v>12601.8170541793</v>
      </c>
      <c r="AN1281" s="58" t="n">
        <f aca="false">IF(AM1281="",0,MAX(0,MIN(1,(IF(CC1281="L1",Parameter!$H$5,IF(CC1281="L23",Parameter!$H$6+Parameter!$H$7,Parameter!$H$5+Parameter!$H$6+Parameter!$H$7))-(AM1281-AI1281))/AI1281)))</f>
        <v>1</v>
      </c>
      <c r="AO1281" s="50" t="n">
        <f aca="false">IF(LEFT(Cockpit!$I$5,1)="A",H1281,IF(CE1281=1,CF1281,IF(LEFT(Cockpit!$I$5,1)="B",AT1281,MAX(AT1281,H1281))))</f>
        <v>180</v>
      </c>
      <c r="AP1281" s="50" t="n">
        <f aca="false">IF(BW1281=1,0,ROUNDUP(AO1281/BV1281,0))</f>
        <v>1</v>
      </c>
      <c r="AQ1281" s="52" t="n">
        <f aca="false">IF(CL1281&gt;0,CL1281*MAX(1,AO1281/X1281),IF(BW1281=1,IF(AO1281&lt;=0,0,CA1281*MAX(1,IF(H1281&gt;0,AO1281/H1281,1))),IF(R1281&gt;0,AP1281/R1281,0))/MAX(0.1,N(Parameter!$M$21)))</f>
        <v>0.0833333333333333</v>
      </c>
      <c r="AR1281" s="50" t="n">
        <f aca="false">AQ1281*BY1281</f>
        <v>20.4166666666667</v>
      </c>
      <c r="AS1281" s="50" t="n">
        <f aca="false">AO1281*G1281</f>
        <v>26703</v>
      </c>
      <c r="AT1281" s="50" t="n">
        <f aca="false">ROUNDUP(MAX(J1281/IF(CD1281&gt;0,CD1281,MAX(0.1,N(Cockpit!$I$6))),CG1281)/BV1281,0)*BV1281</f>
        <v>180</v>
      </c>
      <c r="AU1281" s="51" t="n">
        <f aca="false">IF(AR1281&gt;0,J1281/AR1281,-1)</f>
        <v>0.195918367346939</v>
      </c>
      <c r="AV1281" s="51" t="n">
        <f aca="false">IF(AND(OR(CC1281="L1",CC1281="L23",CC1281="LIFT"),AR1281&gt;0),SUMIFS($AR$7:$AR$1843,$CC$7:$CC$1843,CC1281,$AU$7:$AU$1843,"&gt;"&amp;AU1281)+SUMIFS($AR$7:$AR$1843,$CC$7:$CC$1843,CC1281,$AU$7:$AU$1843,AU1281,$BT$7:$BT$1843,"&lt;="&amp;BT1281),"")</f>
        <v>19083.4684065934</v>
      </c>
      <c r="AW1281" s="58" t="n">
        <f aca="false">IF(AV1281="",0,MAX(0,MIN(1,(IF(CC1281="L1",Parameter!$H$5,IF(CC1281="L23",Parameter!$H$6+Parameter!$H$7,Parameter!$H$5+Parameter!$H$6+Parameter!$H$7))-(AV1281-AR1281))/AR1281)))</f>
        <v>1</v>
      </c>
      <c r="AX1281" s="50" t="n">
        <f aca="false">IF(LEFT(Cockpit!$O$5,1)="A",H1281,IF(CE1281=1,CF1281,IF(LEFT(Cockpit!$O$5,1)="B",BC1281,MAX(BC1281,H1281))))</f>
        <v>180</v>
      </c>
      <c r="AY1281" s="50" t="n">
        <f aca="false">IF(BW1281=1,0,ROUNDUP(AX1281/BV1281,0))</f>
        <v>1</v>
      </c>
      <c r="AZ1281" s="52" t="n">
        <f aca="false">IF(CL1281&gt;0,CL1281*MAX(1,AX1281/X1281),IF(BW1281=1,IF(AX1281&lt;=0,0,CA1281*MAX(1,IF(H1281&gt;0,AX1281/H1281,1))),IF(R1281&gt;0,AY1281/R1281,0))/MAX(0.1,N(Parameter!$M$21)))</f>
        <v>0.0833333333333333</v>
      </c>
      <c r="BA1281" s="50" t="n">
        <f aca="false">AZ1281*BY1281</f>
        <v>20.4166666666667</v>
      </c>
      <c r="BB1281" s="50" t="n">
        <f aca="false">AX1281*G1281</f>
        <v>26703</v>
      </c>
      <c r="BC1281" s="50" t="n">
        <f aca="false">ROUNDUP(MAX(J1281/IF(CD1281&gt;0,CD1281,MAX(0.1,N(Cockpit!$O$6))),CG1281)/BV1281,0)*BV1281</f>
        <v>180</v>
      </c>
      <c r="BD1281" s="51" t="n">
        <f aca="false">IF(BA1281&gt;0,J1281/BA1281,-1)</f>
        <v>0.195918367346939</v>
      </c>
      <c r="BE1281" s="51" t="n">
        <f aca="false">IF(AND(OR(CC1281="L1",CC1281="L23",CC1281="LIFT"),BA1281&gt;0),SUMIFS($BA$7:$BA$1843,$CC$7:$CC$1843,CC1281,$BD$7:$BD$1843,"&gt;"&amp;BD1281)+SUMIFS($BA$7:$BA$1843,$CC$7:$CC$1843,CC1281,$BD$7:$BD$1843,BD1281,$BT$7:$BT$1843,"&lt;="&amp;BT1281),"")</f>
        <v>17109.5421245421</v>
      </c>
      <c r="BF1281" s="58" t="n">
        <f aca="false">IF(BE1281="",0,MAX(0,MIN(1,(IF(CC1281="L1",Parameter!$H$5,IF(CC1281="L23",Parameter!$H$6+Parameter!$H$7,Parameter!$H$5+Parameter!$H$6+Parameter!$H$7))-(BE1281-BA1281))/BA1281)))</f>
        <v>1</v>
      </c>
      <c r="BG1281" s="48" t="str">
        <f aca="false">IF(AI1281&lt;=0,"",IF(CC1281="Aussen","Aussenlager",IF(CC1281="-","Nicht im Lift",IF(AN1281&gt;=1,"Lift",IF(AN1281&lt;=0,"Aussenlager","teilweise")))))</f>
        <v>Lift</v>
      </c>
      <c r="BH1281" s="48" t="str">
        <f aca="false">IF(AR1281&lt;=0,"",IF(CC1281="Aussen","Aussenlager",IF(CC1281="-","Nicht im Lift",IF(AW1281&gt;=1,"Lift",IF(AW1281&lt;=0,"Aussenlager","teilweise")))))</f>
        <v>Lift</v>
      </c>
      <c r="BI1281" s="48" t="str">
        <f aca="false">IF(BA1281&lt;=0,"",IF(CC1281="Aussen","Aussenlager",IF(CC1281="-","Nicht im Lift",IF(BF1281&gt;=1,"Lift",IF(BF1281&lt;=0,"Aussenlager","teilweise")))))</f>
        <v>Lift</v>
      </c>
      <c r="BJ1281" s="48" t="str">
        <f aca="false">IF(A1281="","",IF(BS1281=1,"Neu; ","")&amp;IF(AND(BS1281=0,BN1281&lt;0),"negativer Bestand (Export "&amp;BN1281&amp;"); ","")&amp;IF(J1281&lt;=0,"Kein Verbrauch; ","")&amp;IF(CL1281&gt;0,"Lift "&amp;W1281&amp;" lt. Liftbericht (Fach "&amp;X1281&amp;" Stk); ",IF(BX1281=1,"Gebinde geschätzt ("&amp;T1281&amp;"); ",IF(BW1281=1,"Lose – Tablare geschätzt; ","")))&amp;IF(H1281&gt;AT1281,"Überbestand "&amp;ROUND(H1281-AT1281,0)&amp;" Stk / CHF "&amp;ROUND((H1281-AT1281)*G1281,0)&amp;"; ","")&amp;IF(AND(CE1281=1,CF1281&lt;CG1281),"MAX &lt; MB+LG; ","")&amp;IF(AND(CK1281&gt;0,CJ1281*10&gt;CK1281),"zu hoch für Tablar; ","")&amp;IF(AND(BS1281=0,OR(CE1281=1,AA1281&lt;&gt;"",U1281&lt;&gt;"",V1281&lt;&gt;"",AB1281&lt;&gt;"")),"manuell übersteuert; ","")&amp;IF(AND(BW1281=0,R1281=0),"Gebinde unbekannt / Stellmass fehlt; ","")&amp;IF(AND(BW1281=0,N(V1281)&lt;=0,N(Q1281)&lt;=0),"Menge pro Gebinde fehlt (Ist = 1 Gebinde); ","")&amp;BR1281)</f>
        <v>negativer Bestand (Export -7); i.o</v>
      </c>
      <c r="BK1281" s="48"/>
      <c r="BL1281" s="48"/>
      <c r="BM1281" s="55"/>
      <c r="BN1281" s="50" t="n">
        <v>-7</v>
      </c>
      <c r="BO1281" s="50" t="n">
        <v>176</v>
      </c>
      <c r="BP1281" s="49" t="n">
        <v>-1038.45</v>
      </c>
      <c r="BQ1281" s="50" t="n">
        <v>4</v>
      </c>
      <c r="BR1281" s="48" t="s">
        <v>540</v>
      </c>
      <c r="BS1281" s="53" t="n">
        <v>0</v>
      </c>
      <c r="BT1281" s="53" t="n">
        <v>1281</v>
      </c>
      <c r="BU1281" s="48" t="str">
        <f aca="false">IF(U1281&lt;&gt;"",UPPER(TRIM(U1281)),IF(BX1281=1,UPPER(VLOOKUP(T1281,Parameter!$I$27:$K$29,2,0)),IF(P1281="","LOSE",P1281)))</f>
        <v>S62</v>
      </c>
      <c r="BV1281" s="50" t="n">
        <f aca="false">IF(BU1281="LOSE",1,IF(N(V1281)&gt;0,V1281,IF(BX1281=1,MAX(1,N(VLOOKUP(T1281,Parameter!$I$27:$K$29,3,0)),H1281,N(N1281)),IF(N(Q1281)&gt;0,Q1281,MAX(1,H1281)))))</f>
        <v>180</v>
      </c>
      <c r="BW1281" s="53" t="n">
        <f aca="false">IF(BU1281="LOSE",1,0)</f>
        <v>0</v>
      </c>
      <c r="BX1281" s="53" t="n">
        <f aca="false">IF(AND(U1281="",OR(P1281="",P1281="LOSE"),T1281&lt;&gt;"",N(S1281)&lt;=0,ISNUMBER(MATCH(T1281,Parameter!$I$27:$I$29,0))),1,0)</f>
        <v>0</v>
      </c>
      <c r="BY1281" s="53" t="n">
        <f aca="false">IF(CL1281&gt;0,INDEX(Parameter!$H$5:$H$7,W1281)/INDEX(Parameter!$E$5:$E$7,W1281),IF(AND(BW1281=0,N(IFERROR(VLOOKUP(BU1281,'Gebinde-Kategorie'!$A$5:$N$45,14,0),0))&gt;0),VLOOKUP(BU1281,'Gebinde-Kategorie'!$A$5:$N$45,14,0)*10+Parameter!$M$23,Parameter!$M$24))</f>
        <v>245</v>
      </c>
      <c r="BZ1281" s="48" t="str">
        <f aca="false">IF(AND(Parameter!$B$19="Ja",E1281&lt;&gt;"",ISNUMBER(MATCH(E1281,Parameter!$I$35:$I$52,0))),VLOOKUP(E1281,Parameter!$I$35:$J$52,2,0),IFERROR(VLOOKUP(D1281,Parameter!$A$35:$C$64,2,0),"Nein"))</f>
        <v>2+3</v>
      </c>
      <c r="CA1281" s="52" t="n">
        <f aca="false">IF(BW1281=0,0,IF(N(S1281)&gt;0,S1281,IFERROR(VLOOKUP(D1281,Parameter!$A$35:$C$64,3,0)+0,0)))</f>
        <v>0</v>
      </c>
      <c r="CB1281" s="48" t="n">
        <f aca="false">IF(AA1281&lt;&gt;"",AA1281,Z1281)</f>
        <v>2</v>
      </c>
      <c r="CC1281" s="48" t="str">
        <f aca="false">IF(OR(CB1281=1,CB1281=2,CB1281=3),IF(Parameter!$E$27="Ja","LIFT",IF(CB1281=1,"L1","L23")),IF(CB1281="Aussen","Aussen","-"))</f>
        <v>LIFT</v>
      </c>
      <c r="CD1281" s="59" t="n">
        <f aca="false">IF(N(AB1281)&gt;0,AB1281,0)</f>
        <v>0</v>
      </c>
      <c r="CE1281" s="53" t="n">
        <f aca="false">IF(ISNUMBER(AE1281),1,0)</f>
        <v>0</v>
      </c>
      <c r="CF1281" s="50" t="n">
        <f aca="false">N(AE1281)</f>
        <v>0</v>
      </c>
      <c r="CG1281" s="50" t="n">
        <f aca="false">N(M1281)+N(N1281)</f>
        <v>5</v>
      </c>
      <c r="CH1281" s="50" t="n">
        <f aca="false">ROUNDUP(H1281/BV1281,0)</f>
        <v>1</v>
      </c>
      <c r="CI1281" s="50" t="n">
        <f aca="false">ROUNDUP(CF1281/BV1281,0)</f>
        <v>0</v>
      </c>
      <c r="CJ1281" s="53" t="n">
        <f aca="false">IF(BW1281=1,0,IFERROR(VLOOKUP(BU1281,'Gebinde-Kategorie'!$A$5:$N$45,5,0)+0,0))</f>
        <v>21</v>
      </c>
      <c r="CK1281" s="53" t="n">
        <f aca="false">IFERROR(IF(OR(CB1281=1,CB1281=2,CB1281=3),N(INDEX(Parameter!$I$5:$I$7,CB1281)),0),0)</f>
        <v>0</v>
      </c>
      <c r="CL1281" s="52" t="n">
        <f aca="false">IF(AND(Parameter!$B$21="Ja",ISNUMBER(W1281),N(X1281)&gt;0),IFERROR(N(INDEX(Parameter!$L$5:$L$7,W1281))*INDEX(Parameter!$E$5:$E$7,W1281)*X1281/SUMIFS($X$7:$X$1843,$W$7:$W$1843,W1281),0),0)</f>
        <v>0</v>
      </c>
    </row>
    <row r="1282" customFormat="false" ht="15" hidden="false" customHeight="false" outlineLevel="0" collapsed="false">
      <c r="A1282" s="48" t="s">
        <v>2292</v>
      </c>
      <c r="B1282" s="48" t="s">
        <v>2293</v>
      </c>
      <c r="C1282" s="48" t="s">
        <v>460</v>
      </c>
      <c r="D1282" s="48" t="s">
        <v>177</v>
      </c>
      <c r="E1282" s="48"/>
      <c r="F1282" s="48" t="s">
        <v>222</v>
      </c>
      <c r="G1282" s="49" t="n">
        <v>52</v>
      </c>
      <c r="H1282" s="50" t="n">
        <f aca="false">MAX(0,IF(AND(Parameter!$B$21="Ja",ISNUMBER(Y1282)),Y1282,IF(Parameter!$B$20="Jahresanfang 2025 + Export",BO1282+BN1282,BN1282)))</f>
        <v>0</v>
      </c>
      <c r="I1282" s="50" t="n">
        <f aca="false">H1282*G1282</f>
        <v>0</v>
      </c>
      <c r="J1282" s="50" t="n">
        <f aca="false">BQ1282*Parameter!$B$18</f>
        <v>0</v>
      </c>
      <c r="K1282" s="51" t="n">
        <v>10</v>
      </c>
      <c r="L1282" s="52" t="n">
        <v>0</v>
      </c>
      <c r="M1282" s="50" t="n">
        <v>0</v>
      </c>
      <c r="N1282" s="50" t="n">
        <v>1</v>
      </c>
      <c r="O1282" s="53" t="n">
        <v>56</v>
      </c>
      <c r="P1282" s="48" t="s">
        <v>172</v>
      </c>
      <c r="Q1282" s="50"/>
      <c r="R1282" s="53" t="n">
        <f aca="false">IF(BW1282=1,0,IFERROR(VLOOKUP(BU1282,'Gebinde-Kategorie'!$A$5:$N$45,13,0)+0,0))</f>
        <v>12</v>
      </c>
      <c r="S1282" s="54"/>
      <c r="T1282" s="55" t="s">
        <v>183</v>
      </c>
      <c r="U1282" s="55"/>
      <c r="V1282" s="55"/>
      <c r="W1282" s="48"/>
      <c r="X1282" s="50"/>
      <c r="Y1282" s="50"/>
      <c r="Z1282" s="48" t="n">
        <f aca="false">IF(A1282="","",IF(AND(Parameter!$B$21="Ja",ISNUMBER(W1282)),W1282,IF(BZ1282="2+3",IF(ISNUMBER(SEARCH("grosser Artikel",BR1282)),2,IFERROR(VLOOKUP(BU1282,Parameter!$F$35:$G$64,2,0),2)),IF(OR(BZ1282="Nein",BZ1282=""),"-",BZ1282))))</f>
        <v>2</v>
      </c>
      <c r="AA1282" s="55"/>
      <c r="AB1282" s="56"/>
      <c r="AC1282" s="50" t="n">
        <f aca="false">AT1282</f>
        <v>4</v>
      </c>
      <c r="AD1282" s="50" t="n">
        <f aca="false">MAX(AT1282,H1282)</f>
        <v>4</v>
      </c>
      <c r="AE1282" s="57"/>
      <c r="AF1282" s="50" t="n">
        <f aca="false">IF(LEFT(Cockpit!$C$5,1)="A",H1282,IF(CE1282=1,CF1282,IF(LEFT(Cockpit!$C$5,1)="B",AK1282,MAX(AK1282,H1282))))</f>
        <v>0</v>
      </c>
      <c r="AG1282" s="50" t="n">
        <f aca="false">IF(BW1282=1,0,ROUNDUP(AF1282/BV1282,0))</f>
        <v>0</v>
      </c>
      <c r="AH1282" s="52" t="n">
        <f aca="false">IF(CL1282&gt;0,CL1282*MAX(1,AF1282/X1282),IF(BW1282=1,IF(AF1282&lt;=0,0,CA1282*MAX(1,IF(H1282&gt;0,AF1282/H1282,1))),IF(R1282&gt;0,AG1282/R1282,0))/MAX(0.1,N(Parameter!$M$21)))</f>
        <v>0</v>
      </c>
      <c r="AI1282" s="50" t="n">
        <f aca="false">AH1282*BY1282</f>
        <v>0</v>
      </c>
      <c r="AJ1282" s="50" t="n">
        <f aca="false">AF1282*G1282</f>
        <v>0</v>
      </c>
      <c r="AK1282" s="50" t="n">
        <f aca="false">ROUNDUP(MAX(J1282/IF(CD1282&gt;0,CD1282,MAX(0.1,N(Cockpit!$C$6))),CG1282)/BV1282,0)*BV1282</f>
        <v>4</v>
      </c>
      <c r="AL1282" s="51" t="n">
        <f aca="false">IF(AI1282&gt;0,J1282/AI1282,-1)</f>
        <v>-1</v>
      </c>
      <c r="AM1282" s="51" t="str">
        <f aca="false">IF(AND(OR(CC1282="L1",CC1282="L23",CC1282="LIFT"),AI1282&gt;0),SUMIFS($AI$7:$AI$1843,$CC$7:$CC$1843,CC1282,$AL$7:$AL$1843,"&gt;"&amp;AL1282)+SUMIFS($AI$7:$AI$1843,$CC$7:$CC$1843,CC1282,$AL$7:$AL$1843,AL1282,$BT$7:$BT$1843,"&lt;="&amp;BT1282),"")</f>
        <v/>
      </c>
      <c r="AN1282" s="58" t="n">
        <f aca="false">IF(AM1282="",0,MAX(0,MIN(1,(IF(CC1282="L1",Parameter!$H$5,IF(CC1282="L23",Parameter!$H$6+Parameter!$H$7,Parameter!$H$5+Parameter!$H$6+Parameter!$H$7))-(AM1282-AI1282))/AI1282)))</f>
        <v>0</v>
      </c>
      <c r="AO1282" s="50" t="n">
        <f aca="false">IF(LEFT(Cockpit!$I$5,1)="A",H1282,IF(CE1282=1,CF1282,IF(LEFT(Cockpit!$I$5,1)="B",AT1282,MAX(AT1282,H1282))))</f>
        <v>4</v>
      </c>
      <c r="AP1282" s="50" t="n">
        <f aca="false">IF(BW1282=1,0,ROUNDUP(AO1282/BV1282,0))</f>
        <v>1</v>
      </c>
      <c r="AQ1282" s="52" t="n">
        <f aca="false">IF(CL1282&gt;0,CL1282*MAX(1,AO1282/X1282),IF(BW1282=1,IF(AO1282&lt;=0,0,CA1282*MAX(1,IF(H1282&gt;0,AO1282/H1282,1))),IF(R1282&gt;0,AP1282/R1282,0))/MAX(0.1,N(Parameter!$M$21)))</f>
        <v>0.0833333333333333</v>
      </c>
      <c r="AR1282" s="50" t="n">
        <f aca="false">AQ1282*BY1282</f>
        <v>12.0833333333333</v>
      </c>
      <c r="AS1282" s="50" t="n">
        <f aca="false">AO1282*G1282</f>
        <v>208</v>
      </c>
      <c r="AT1282" s="50" t="n">
        <f aca="false">ROUNDUP(MAX(J1282/IF(CD1282&gt;0,CD1282,MAX(0.1,N(Cockpit!$I$6))),CG1282)/BV1282,0)*BV1282</f>
        <v>4</v>
      </c>
      <c r="AU1282" s="51" t="n">
        <f aca="false">IF(AR1282&gt;0,J1282/AR1282,-1)</f>
        <v>0</v>
      </c>
      <c r="AV1282" s="51" t="n">
        <f aca="false">IF(AND(OR(CC1282="L1",CC1282="L23",CC1282="LIFT"),AR1282&gt;0),SUMIFS($AR$7:$AR$1843,$CC$7:$CC$1843,CC1282,$AU$7:$AU$1843,"&gt;"&amp;AU1282)+SUMIFS($AR$7:$AR$1843,$CC$7:$CC$1843,CC1282,$AU$7:$AU$1843,AU1282,$BT$7:$BT$1843,"&lt;="&amp;BT1282),"")</f>
        <v>41473.7660334016</v>
      </c>
      <c r="AW1282" s="58" t="n">
        <f aca="false">IF(AV1282="",0,MAX(0,MIN(1,(IF(CC1282="L1",Parameter!$H$5,IF(CC1282="L23",Parameter!$H$6+Parameter!$H$7,Parameter!$H$5+Parameter!$H$6+Parameter!$H$7))-(AV1282-AR1282))/AR1282)))</f>
        <v>0</v>
      </c>
      <c r="AX1282" s="50" t="n">
        <f aca="false">IF(LEFT(Cockpit!$O$5,1)="A",H1282,IF(CE1282=1,CF1282,IF(LEFT(Cockpit!$O$5,1)="B",BC1282,MAX(BC1282,H1282))))</f>
        <v>4</v>
      </c>
      <c r="AY1282" s="50" t="n">
        <f aca="false">IF(BW1282=1,0,ROUNDUP(AX1282/BV1282,0))</f>
        <v>1</v>
      </c>
      <c r="AZ1282" s="52" t="n">
        <f aca="false">IF(CL1282&gt;0,CL1282*MAX(1,AX1282/X1282),IF(BW1282=1,IF(AX1282&lt;=0,0,CA1282*MAX(1,IF(H1282&gt;0,AX1282/H1282,1))),IF(R1282&gt;0,AY1282/R1282,0))/MAX(0.1,N(Parameter!$M$21)))</f>
        <v>0.0833333333333333</v>
      </c>
      <c r="BA1282" s="50" t="n">
        <f aca="false">AZ1282*BY1282</f>
        <v>12.0833333333333</v>
      </c>
      <c r="BB1282" s="50" t="n">
        <f aca="false">AX1282*G1282</f>
        <v>208</v>
      </c>
      <c r="BC1282" s="50" t="n">
        <f aca="false">ROUNDUP(MAX(J1282/IF(CD1282&gt;0,CD1282,MAX(0.1,N(Cockpit!$O$6))),CG1282)/BV1282,0)*BV1282</f>
        <v>4</v>
      </c>
      <c r="BD1282" s="51" t="n">
        <f aca="false">IF(BA1282&gt;0,J1282/BA1282,-1)</f>
        <v>0</v>
      </c>
      <c r="BE1282" s="51" t="n">
        <f aca="false">IF(AND(OR(CC1282="L1",CC1282="L23",CC1282="LIFT"),BA1282&gt;0),SUMIFS($BA$7:$BA$1843,$CC$7:$CC$1843,CC1282,$BD$7:$BD$1843,"&gt;"&amp;BD1282)+SUMIFS($BA$7:$BA$1843,$CC$7:$CC$1843,CC1282,$BD$7:$BD$1843,BD1282,$BT$7:$BT$1843,"&lt;="&amp;BT1282),"")</f>
        <v>38148.7780752675</v>
      </c>
      <c r="BF1282" s="58" t="n">
        <f aca="false">IF(BE1282="",0,MAX(0,MIN(1,(IF(CC1282="L1",Parameter!$H$5,IF(CC1282="L23",Parameter!$H$6+Parameter!$H$7,Parameter!$H$5+Parameter!$H$6+Parameter!$H$7))-(BE1282-BA1282))/BA1282)))</f>
        <v>0</v>
      </c>
      <c r="BG1282" s="48" t="str">
        <f aca="false">IF(AI1282&lt;=0,"",IF(CC1282="Aussen","Aussenlager",IF(CC1282="-","Nicht im Lift",IF(AN1282&gt;=1,"Lift",IF(AN1282&lt;=0,"Aussenlager","teilweise")))))</f>
        <v/>
      </c>
      <c r="BH1282" s="48" t="str">
        <f aca="false">IF(AR1282&lt;=0,"",IF(CC1282="Aussen","Aussenlager",IF(CC1282="-","Nicht im Lift",IF(AW1282&gt;=1,"Lift",IF(AW1282&lt;=0,"Aussenlager","teilweise")))))</f>
        <v>Aussenlager</v>
      </c>
      <c r="BI1282" s="48" t="str">
        <f aca="false">IF(BA1282&lt;=0,"",IF(CC1282="Aussen","Aussenlager",IF(CC1282="-","Nicht im Lift",IF(BF1282&gt;=1,"Lift",IF(BF1282&lt;=0,"Aussenlager","teilweise")))))</f>
        <v>Aussenlager</v>
      </c>
      <c r="BJ1282" s="48" t="str">
        <f aca="false">IF(A1282="","",IF(BS1282=1,"Neu; ","")&amp;IF(AND(BS1282=0,BN1282&lt;0),"negativer Bestand (Export "&amp;BN1282&amp;"); ","")&amp;IF(J1282&lt;=0,"Kein Verbrauch; ","")&amp;IF(CL1282&gt;0,"Lift "&amp;W1282&amp;" lt. Liftbericht (Fach "&amp;X1282&amp;" Stk); ",IF(BX1282=1,"Gebinde geschätzt ("&amp;T1282&amp;"); ",IF(BW1282=1,"Lose – Tablare geschätzt; ","")))&amp;IF(H1282&gt;AT1282,"Überbestand "&amp;ROUND(H1282-AT1282,0)&amp;" Stk / CHF "&amp;ROUND((H1282-AT1282)*G1282,0)&amp;"; ","")&amp;IF(AND(CE1282=1,CF1282&lt;CG1282),"MAX &lt; MB+LG; ","")&amp;IF(AND(CK1282&gt;0,CJ1282*10&gt;CK1282),"zu hoch für Tablar; ","")&amp;IF(AND(BS1282=0,OR(CE1282=1,AA1282&lt;&gt;"",U1282&lt;&gt;"",V1282&lt;&gt;"",AB1282&lt;&gt;"")),"manuell übersteuert; ","")&amp;IF(AND(BW1282=0,R1282=0),"Gebinde unbekannt / Stellmass fehlt; ","")&amp;IF(AND(BW1282=0,N(V1282)&lt;=0,N(Q1282)&lt;=0),"Menge pro Gebinde fehlt (Ist = 1 Gebinde); ","")&amp;BR1282)</f>
        <v>negativer Bestand (Export -20); Kein Verbrauch; Gebinde geschätzt (Mittel); Menge pro Gebinde fehlt (Ist = 1 Gebinde); </v>
      </c>
      <c r="BK1282" s="48"/>
      <c r="BL1282" s="48"/>
      <c r="BM1282" s="55"/>
      <c r="BN1282" s="50" t="n">
        <v>-20</v>
      </c>
      <c r="BO1282" s="50" t="n">
        <v>20</v>
      </c>
      <c r="BP1282" s="49" t="n">
        <v>-1040</v>
      </c>
      <c r="BQ1282" s="50" t="n">
        <v>0</v>
      </c>
      <c r="BR1282" s="48"/>
      <c r="BS1282" s="53" t="n">
        <v>0</v>
      </c>
      <c r="BT1282" s="53" t="n">
        <v>1282</v>
      </c>
      <c r="BU1282" s="48" t="str">
        <f aca="false">IF(U1282&lt;&gt;"",UPPER(TRIM(U1282)),IF(BX1282=1,UPPER(VLOOKUP(T1282,Parameter!$I$27:$K$29,2,0)),IF(P1282="","LOSE",P1282)))</f>
        <v>S61</v>
      </c>
      <c r="BV1282" s="50" t="n">
        <f aca="false">IF(BU1282="LOSE",1,IF(N(V1282)&gt;0,V1282,IF(BX1282=1,MAX(1,N(VLOOKUP(T1282,Parameter!$I$27:$K$29,3,0)),H1282,N(N1282)),IF(N(Q1282)&gt;0,Q1282,MAX(1,H1282)))))</f>
        <v>4</v>
      </c>
      <c r="BW1282" s="53" t="n">
        <f aca="false">IF(BU1282="LOSE",1,0)</f>
        <v>0</v>
      </c>
      <c r="BX1282" s="53" t="n">
        <f aca="false">IF(AND(U1282="",OR(P1282="",P1282="LOSE"),T1282&lt;&gt;"",N(S1282)&lt;=0,ISNUMBER(MATCH(T1282,Parameter!$I$27:$I$29,0))),1,0)</f>
        <v>1</v>
      </c>
      <c r="BY1282" s="53" t="n">
        <f aca="false">IF(CL1282&gt;0,INDEX(Parameter!$H$5:$H$7,W1282)/INDEX(Parameter!$E$5:$E$7,W1282),IF(AND(BW1282=0,N(IFERROR(VLOOKUP(BU1282,'Gebinde-Kategorie'!$A$5:$N$45,14,0),0))&gt;0),VLOOKUP(BU1282,'Gebinde-Kategorie'!$A$5:$N$45,14,0)*10+Parameter!$M$23,Parameter!$M$24))</f>
        <v>145</v>
      </c>
      <c r="BZ1282" s="48" t="str">
        <f aca="false">IF(AND(Parameter!$B$19="Ja",E1282&lt;&gt;"",ISNUMBER(MATCH(E1282,Parameter!$I$35:$I$52,0))),VLOOKUP(E1282,Parameter!$I$35:$J$52,2,0),IFERROR(VLOOKUP(D1282,Parameter!$A$35:$C$64,2,0),"Nein"))</f>
        <v>2+3</v>
      </c>
      <c r="CA1282" s="52" t="n">
        <f aca="false">IF(BW1282=0,0,IF(N(S1282)&gt;0,S1282,IFERROR(VLOOKUP(D1282,Parameter!$A$35:$C$64,3,0)+0,0)))</f>
        <v>0</v>
      </c>
      <c r="CB1282" s="48" t="n">
        <f aca="false">IF(AA1282&lt;&gt;"",AA1282,Z1282)</f>
        <v>2</v>
      </c>
      <c r="CC1282" s="48" t="str">
        <f aca="false">IF(OR(CB1282=1,CB1282=2,CB1282=3),IF(Parameter!$E$27="Ja","LIFT",IF(CB1282=1,"L1","L23")),IF(CB1282="Aussen","Aussen","-"))</f>
        <v>LIFT</v>
      </c>
      <c r="CD1282" s="59" t="n">
        <f aca="false">IF(N(AB1282)&gt;0,AB1282,0)</f>
        <v>0</v>
      </c>
      <c r="CE1282" s="53" t="n">
        <f aca="false">IF(ISNUMBER(AE1282),1,0)</f>
        <v>0</v>
      </c>
      <c r="CF1282" s="50" t="n">
        <f aca="false">N(AE1282)</f>
        <v>0</v>
      </c>
      <c r="CG1282" s="50" t="n">
        <f aca="false">N(M1282)+N(N1282)</f>
        <v>1</v>
      </c>
      <c r="CH1282" s="50" t="n">
        <f aca="false">ROUNDUP(H1282/BV1282,0)</f>
        <v>0</v>
      </c>
      <c r="CI1282" s="50" t="n">
        <f aca="false">ROUNDUP(CF1282/BV1282,0)</f>
        <v>0</v>
      </c>
      <c r="CJ1282" s="53" t="n">
        <f aca="false">IF(BW1282=1,0,IFERROR(VLOOKUP(BU1282,'Gebinde-Kategorie'!$A$5:$N$45,5,0)+0,0))</f>
        <v>11</v>
      </c>
      <c r="CK1282" s="53" t="n">
        <f aca="false">IFERROR(IF(OR(CB1282=1,CB1282=2,CB1282=3),N(INDEX(Parameter!$I$5:$I$7,CB1282)),0),0)</f>
        <v>0</v>
      </c>
      <c r="CL1282" s="52" t="n">
        <f aca="false">IF(AND(Parameter!$B$21="Ja",ISNUMBER(W1282),N(X1282)&gt;0),IFERROR(N(INDEX(Parameter!$L$5:$L$7,W1282))*INDEX(Parameter!$E$5:$E$7,W1282)*X1282/SUMIFS($X$7:$X$1843,$W$7:$W$1843,W1282),0),0)</f>
        <v>0</v>
      </c>
    </row>
    <row r="1283" customFormat="false" ht="15" hidden="false" customHeight="false" outlineLevel="0" collapsed="false">
      <c r="A1283" s="48" t="s">
        <v>2294</v>
      </c>
      <c r="B1283" s="48" t="s">
        <v>2154</v>
      </c>
      <c r="C1283" s="48" t="s">
        <v>460</v>
      </c>
      <c r="D1283" s="48" t="s">
        <v>177</v>
      </c>
      <c r="E1283" s="48" t="s">
        <v>177</v>
      </c>
      <c r="F1283" s="48" t="s">
        <v>222</v>
      </c>
      <c r="G1283" s="49" t="n">
        <v>522</v>
      </c>
      <c r="H1283" s="50" t="n">
        <f aca="false">MAX(0,IF(AND(Parameter!$B$21="Ja",ISNUMBER(Y1283)),Y1283,IF(Parameter!$B$20="Jahresanfang 2025 + Export",BO1283+BN1283,BN1283)))</f>
        <v>0</v>
      </c>
      <c r="I1283" s="50" t="n">
        <f aca="false">H1283*G1283</f>
        <v>0</v>
      </c>
      <c r="J1283" s="50" t="n">
        <f aca="false">BQ1283*Parameter!$B$18</f>
        <v>0</v>
      </c>
      <c r="K1283" s="51" t="n">
        <v>2</v>
      </c>
      <c r="L1283" s="52" t="n">
        <v>0</v>
      </c>
      <c r="M1283" s="50" t="n">
        <v>0</v>
      </c>
      <c r="N1283" s="50" t="n">
        <v>1</v>
      </c>
      <c r="O1283" s="53" t="n">
        <v>35</v>
      </c>
      <c r="P1283" s="48" t="s">
        <v>172</v>
      </c>
      <c r="Q1283" s="50"/>
      <c r="R1283" s="53" t="n">
        <f aca="false">IF(BW1283=1,0,IFERROR(VLOOKUP(BU1283,'Gebinde-Kategorie'!$A$5:$N$45,13,0)+0,0))</f>
        <v>12</v>
      </c>
      <c r="S1283" s="54"/>
      <c r="T1283" s="55" t="s">
        <v>183</v>
      </c>
      <c r="U1283" s="55"/>
      <c r="V1283" s="55"/>
      <c r="W1283" s="48"/>
      <c r="X1283" s="50"/>
      <c r="Y1283" s="50"/>
      <c r="Z1283" s="48" t="str">
        <f aca="false">IF(A1283="","",IF(AND(Parameter!$B$21="Ja",ISNUMBER(W1283)),W1283,IF(BZ1283="2+3",IF(ISNUMBER(SEARCH("grosser Artikel",BR1283)),2,IFERROR(VLOOKUP(BU1283,Parameter!$F$35:$G$64,2,0),2)),IF(OR(BZ1283="Nein",BZ1283=""),"-",BZ1283))))</f>
        <v>-</v>
      </c>
      <c r="AA1283" s="55"/>
      <c r="AB1283" s="56"/>
      <c r="AC1283" s="50" t="n">
        <f aca="false">AT1283</f>
        <v>4</v>
      </c>
      <c r="AD1283" s="50" t="n">
        <f aca="false">MAX(AT1283,H1283)</f>
        <v>4</v>
      </c>
      <c r="AE1283" s="57"/>
      <c r="AF1283" s="50" t="n">
        <f aca="false">IF(LEFT(Cockpit!$C$5,1)="A",H1283,IF(CE1283=1,CF1283,IF(LEFT(Cockpit!$C$5,1)="B",AK1283,MAX(AK1283,H1283))))</f>
        <v>0</v>
      </c>
      <c r="AG1283" s="50" t="n">
        <f aca="false">IF(BW1283=1,0,ROUNDUP(AF1283/BV1283,0))</f>
        <v>0</v>
      </c>
      <c r="AH1283" s="52" t="n">
        <f aca="false">IF(CL1283&gt;0,CL1283*MAX(1,AF1283/X1283),IF(BW1283=1,IF(AF1283&lt;=0,0,CA1283*MAX(1,IF(H1283&gt;0,AF1283/H1283,1))),IF(R1283&gt;0,AG1283/R1283,0))/MAX(0.1,N(Parameter!$M$21)))</f>
        <v>0</v>
      </c>
      <c r="AI1283" s="50" t="n">
        <f aca="false">AH1283*BY1283</f>
        <v>0</v>
      </c>
      <c r="AJ1283" s="50" t="n">
        <f aca="false">AF1283*G1283</f>
        <v>0</v>
      </c>
      <c r="AK1283" s="50" t="n">
        <f aca="false">ROUNDUP(MAX(J1283/IF(CD1283&gt;0,CD1283,MAX(0.1,N(Cockpit!$C$6))),CG1283)/BV1283,0)*BV1283</f>
        <v>4</v>
      </c>
      <c r="AL1283" s="51" t="n">
        <f aca="false">IF(AI1283&gt;0,J1283/AI1283,-1)</f>
        <v>-1</v>
      </c>
      <c r="AM1283" s="51" t="str">
        <f aca="false">IF(AND(OR(CC1283="L1",CC1283="L23",CC1283="LIFT"),AI1283&gt;0),SUMIFS($AI$7:$AI$1843,$CC$7:$CC$1843,CC1283,$AL$7:$AL$1843,"&gt;"&amp;AL1283)+SUMIFS($AI$7:$AI$1843,$CC$7:$CC$1843,CC1283,$AL$7:$AL$1843,AL1283,$BT$7:$BT$1843,"&lt;="&amp;BT1283),"")</f>
        <v/>
      </c>
      <c r="AN1283" s="58" t="n">
        <f aca="false">IF(AM1283="",0,MAX(0,MIN(1,(IF(CC1283="L1",Parameter!$H$5,IF(CC1283="L23",Parameter!$H$6+Parameter!$H$7,Parameter!$H$5+Parameter!$H$6+Parameter!$H$7))-(AM1283-AI1283))/AI1283)))</f>
        <v>0</v>
      </c>
      <c r="AO1283" s="50" t="n">
        <f aca="false">IF(LEFT(Cockpit!$I$5,1)="A",H1283,IF(CE1283=1,CF1283,IF(LEFT(Cockpit!$I$5,1)="B",AT1283,MAX(AT1283,H1283))))</f>
        <v>4</v>
      </c>
      <c r="AP1283" s="50" t="n">
        <f aca="false">IF(BW1283=1,0,ROUNDUP(AO1283/BV1283,0))</f>
        <v>1</v>
      </c>
      <c r="AQ1283" s="52" t="n">
        <f aca="false">IF(CL1283&gt;0,CL1283*MAX(1,AO1283/X1283),IF(BW1283=1,IF(AO1283&lt;=0,0,CA1283*MAX(1,IF(H1283&gt;0,AO1283/H1283,1))),IF(R1283&gt;0,AP1283/R1283,0))/MAX(0.1,N(Parameter!$M$21)))</f>
        <v>0.0833333333333333</v>
      </c>
      <c r="AR1283" s="50" t="n">
        <f aca="false">AQ1283*BY1283</f>
        <v>12.0833333333333</v>
      </c>
      <c r="AS1283" s="50" t="n">
        <f aca="false">AO1283*G1283</f>
        <v>2088</v>
      </c>
      <c r="AT1283" s="50" t="n">
        <f aca="false">ROUNDUP(MAX(J1283/IF(CD1283&gt;0,CD1283,MAX(0.1,N(Cockpit!$I$6))),CG1283)/BV1283,0)*BV1283</f>
        <v>4</v>
      </c>
      <c r="AU1283" s="51" t="n">
        <f aca="false">IF(AR1283&gt;0,J1283/AR1283,-1)</f>
        <v>0</v>
      </c>
      <c r="AV1283" s="51" t="str">
        <f aca="false">IF(AND(OR(CC1283="L1",CC1283="L23",CC1283="LIFT"),AR1283&gt;0),SUMIFS($AR$7:$AR$1843,$CC$7:$CC$1843,CC1283,$AU$7:$AU$1843,"&gt;"&amp;AU1283)+SUMIFS($AR$7:$AR$1843,$CC$7:$CC$1843,CC1283,$AU$7:$AU$1843,AU1283,$BT$7:$BT$1843,"&lt;="&amp;BT1283),"")</f>
        <v/>
      </c>
      <c r="AW1283" s="58" t="n">
        <f aca="false">IF(AV1283="",0,MAX(0,MIN(1,(IF(CC1283="L1",Parameter!$H$5,IF(CC1283="L23",Parameter!$H$6+Parameter!$H$7,Parameter!$H$5+Parameter!$H$6+Parameter!$H$7))-(AV1283-AR1283))/AR1283)))</f>
        <v>0</v>
      </c>
      <c r="AX1283" s="50" t="n">
        <f aca="false">IF(LEFT(Cockpit!$O$5,1)="A",H1283,IF(CE1283=1,CF1283,IF(LEFT(Cockpit!$O$5,1)="B",BC1283,MAX(BC1283,H1283))))</f>
        <v>4</v>
      </c>
      <c r="AY1283" s="50" t="n">
        <f aca="false">IF(BW1283=1,0,ROUNDUP(AX1283/BV1283,0))</f>
        <v>1</v>
      </c>
      <c r="AZ1283" s="52" t="n">
        <f aca="false">IF(CL1283&gt;0,CL1283*MAX(1,AX1283/X1283),IF(BW1283=1,IF(AX1283&lt;=0,0,CA1283*MAX(1,IF(H1283&gt;0,AX1283/H1283,1))),IF(R1283&gt;0,AY1283/R1283,0))/MAX(0.1,N(Parameter!$M$21)))</f>
        <v>0.0833333333333333</v>
      </c>
      <c r="BA1283" s="50" t="n">
        <f aca="false">AZ1283*BY1283</f>
        <v>12.0833333333333</v>
      </c>
      <c r="BB1283" s="50" t="n">
        <f aca="false">AX1283*G1283</f>
        <v>2088</v>
      </c>
      <c r="BC1283" s="50" t="n">
        <f aca="false">ROUNDUP(MAX(J1283/IF(CD1283&gt;0,CD1283,MAX(0.1,N(Cockpit!$O$6))),CG1283)/BV1283,0)*BV1283</f>
        <v>4</v>
      </c>
      <c r="BD1283" s="51" t="n">
        <f aca="false">IF(BA1283&gt;0,J1283/BA1283,-1)</f>
        <v>0</v>
      </c>
      <c r="BE1283" s="51" t="str">
        <f aca="false">IF(AND(OR(CC1283="L1",CC1283="L23",CC1283="LIFT"),BA1283&gt;0),SUMIFS($BA$7:$BA$1843,$CC$7:$CC$1843,CC1283,$BD$7:$BD$1843,"&gt;"&amp;BD1283)+SUMIFS($BA$7:$BA$1843,$CC$7:$CC$1843,CC1283,$BD$7:$BD$1843,BD1283,$BT$7:$BT$1843,"&lt;="&amp;BT1283),"")</f>
        <v/>
      </c>
      <c r="BF1283" s="58" t="n">
        <f aca="false">IF(BE1283="",0,MAX(0,MIN(1,(IF(CC1283="L1",Parameter!$H$5,IF(CC1283="L23",Parameter!$H$6+Parameter!$H$7,Parameter!$H$5+Parameter!$H$6+Parameter!$H$7))-(BE1283-BA1283))/BA1283)))</f>
        <v>0</v>
      </c>
      <c r="BG1283" s="48" t="str">
        <f aca="false">IF(AI1283&lt;=0,"",IF(CC1283="Aussen","Aussenlager",IF(CC1283="-","Nicht im Lift",IF(AN1283&gt;=1,"Lift",IF(AN1283&lt;=0,"Aussenlager","teilweise")))))</f>
        <v/>
      </c>
      <c r="BH1283" s="48" t="str">
        <f aca="false">IF(AR1283&lt;=0,"",IF(CC1283="Aussen","Aussenlager",IF(CC1283="-","Nicht im Lift",IF(AW1283&gt;=1,"Lift",IF(AW1283&lt;=0,"Aussenlager","teilweise")))))</f>
        <v>Nicht im Lift</v>
      </c>
      <c r="BI1283" s="48" t="str">
        <f aca="false">IF(BA1283&lt;=0,"",IF(CC1283="Aussen","Aussenlager",IF(CC1283="-","Nicht im Lift",IF(BF1283&gt;=1,"Lift",IF(BF1283&lt;=0,"Aussenlager","teilweise")))))</f>
        <v>Nicht im Lift</v>
      </c>
      <c r="BJ1283" s="48" t="str">
        <f aca="false">IF(A1283="","",IF(BS1283=1,"Neu; ","")&amp;IF(AND(BS1283=0,BN1283&lt;0),"negativer Bestand (Export "&amp;BN1283&amp;"); ","")&amp;IF(J1283&lt;=0,"Kein Verbrauch; ","")&amp;IF(CL1283&gt;0,"Lift "&amp;W1283&amp;" lt. Liftbericht (Fach "&amp;X1283&amp;" Stk); ",IF(BX1283=1,"Gebinde geschätzt ("&amp;T1283&amp;"); ",IF(BW1283=1,"Lose – Tablare geschätzt; ","")))&amp;IF(H1283&gt;AT1283,"Überbestand "&amp;ROUND(H1283-AT1283,0)&amp;" Stk / CHF "&amp;ROUND((H1283-AT1283)*G1283,0)&amp;"; ","")&amp;IF(AND(CE1283=1,CF1283&lt;CG1283),"MAX &lt; MB+LG; ","")&amp;IF(AND(CK1283&gt;0,CJ1283*10&gt;CK1283),"zu hoch für Tablar; ","")&amp;IF(AND(BS1283=0,OR(CE1283=1,AA1283&lt;&gt;"",U1283&lt;&gt;"",V1283&lt;&gt;"",AB1283&lt;&gt;"")),"manuell übersteuert; ","")&amp;IF(AND(BW1283=0,R1283=0),"Gebinde unbekannt / Stellmass fehlt; ","")&amp;IF(AND(BW1283=0,N(V1283)&lt;=0,N(Q1283)&lt;=0),"Menge pro Gebinde fehlt (Ist = 1 Gebinde); ","")&amp;BR1283)</f>
        <v>negativer Bestand (Export -2); Kein Verbrauch; Gebinde geschätzt (Mittel); Menge pro Gebinde fehlt (Ist = 1 Gebinde); </v>
      </c>
      <c r="BK1283" s="48"/>
      <c r="BL1283" s="48"/>
      <c r="BM1283" s="55"/>
      <c r="BN1283" s="50" t="n">
        <v>-2</v>
      </c>
      <c r="BO1283" s="50" t="n">
        <v>2</v>
      </c>
      <c r="BP1283" s="49" t="n">
        <v>-1044</v>
      </c>
      <c r="BQ1283" s="50" t="n">
        <v>0</v>
      </c>
      <c r="BR1283" s="48"/>
      <c r="BS1283" s="53" t="n">
        <v>0</v>
      </c>
      <c r="BT1283" s="53" t="n">
        <v>1283</v>
      </c>
      <c r="BU1283" s="48" t="str">
        <f aca="false">IF(U1283&lt;&gt;"",UPPER(TRIM(U1283)),IF(BX1283=1,UPPER(VLOOKUP(T1283,Parameter!$I$27:$K$29,2,0)),IF(P1283="","LOSE",P1283)))</f>
        <v>S61</v>
      </c>
      <c r="BV1283" s="50" t="n">
        <f aca="false">IF(BU1283="LOSE",1,IF(N(V1283)&gt;0,V1283,IF(BX1283=1,MAX(1,N(VLOOKUP(T1283,Parameter!$I$27:$K$29,3,0)),H1283,N(N1283)),IF(N(Q1283)&gt;0,Q1283,MAX(1,H1283)))))</f>
        <v>4</v>
      </c>
      <c r="BW1283" s="53" t="n">
        <f aca="false">IF(BU1283="LOSE",1,0)</f>
        <v>0</v>
      </c>
      <c r="BX1283" s="53" t="n">
        <f aca="false">IF(AND(U1283="",OR(P1283="",P1283="LOSE"),T1283&lt;&gt;"",N(S1283)&lt;=0,ISNUMBER(MATCH(T1283,Parameter!$I$27:$I$29,0))),1,0)</f>
        <v>1</v>
      </c>
      <c r="BY1283" s="53" t="n">
        <f aca="false">IF(CL1283&gt;0,INDEX(Parameter!$H$5:$H$7,W1283)/INDEX(Parameter!$E$5:$E$7,W1283),IF(AND(BW1283=0,N(IFERROR(VLOOKUP(BU1283,'Gebinde-Kategorie'!$A$5:$N$45,14,0),0))&gt;0),VLOOKUP(BU1283,'Gebinde-Kategorie'!$A$5:$N$45,14,0)*10+Parameter!$M$23,Parameter!$M$24))</f>
        <v>145</v>
      </c>
      <c r="BZ1283" s="48" t="str">
        <f aca="false">IF(AND(Parameter!$B$19="Ja",E1283&lt;&gt;"",ISNUMBER(MATCH(E1283,Parameter!$I$35:$I$52,0))),VLOOKUP(E1283,Parameter!$I$35:$J$52,2,0),IFERROR(VLOOKUP(D1283,Parameter!$A$35:$C$64,2,0),"Nein"))</f>
        <v>Nein</v>
      </c>
      <c r="CA1283" s="52" t="n">
        <f aca="false">IF(BW1283=0,0,IF(N(S1283)&gt;0,S1283,IFERROR(VLOOKUP(D1283,Parameter!$A$35:$C$64,3,0)+0,0)))</f>
        <v>0</v>
      </c>
      <c r="CB1283" s="48" t="str">
        <f aca="false">IF(AA1283&lt;&gt;"",AA1283,Z1283)</f>
        <v>-</v>
      </c>
      <c r="CC1283" s="48" t="str">
        <f aca="false">IF(OR(CB1283=1,CB1283=2,CB1283=3),IF(Parameter!$E$27="Ja","LIFT",IF(CB1283=1,"L1","L23")),IF(CB1283="Aussen","Aussen","-"))</f>
        <v>-</v>
      </c>
      <c r="CD1283" s="59" t="n">
        <f aca="false">IF(N(AB1283)&gt;0,AB1283,0)</f>
        <v>0</v>
      </c>
      <c r="CE1283" s="53" t="n">
        <f aca="false">IF(ISNUMBER(AE1283),1,0)</f>
        <v>0</v>
      </c>
      <c r="CF1283" s="50" t="n">
        <f aca="false">N(AE1283)</f>
        <v>0</v>
      </c>
      <c r="CG1283" s="50" t="n">
        <f aca="false">N(M1283)+N(N1283)</f>
        <v>1</v>
      </c>
      <c r="CH1283" s="50" t="n">
        <f aca="false">ROUNDUP(H1283/BV1283,0)</f>
        <v>0</v>
      </c>
      <c r="CI1283" s="50" t="n">
        <f aca="false">ROUNDUP(CF1283/BV1283,0)</f>
        <v>0</v>
      </c>
      <c r="CJ1283" s="53" t="n">
        <f aca="false">IF(BW1283=1,0,IFERROR(VLOOKUP(BU1283,'Gebinde-Kategorie'!$A$5:$N$45,5,0)+0,0))</f>
        <v>11</v>
      </c>
      <c r="CK1283" s="53" t="n">
        <f aca="false">IFERROR(IF(OR(CB1283=1,CB1283=2,CB1283=3),N(INDEX(Parameter!$I$5:$I$7,CB1283)),0),0)</f>
        <v>0</v>
      </c>
      <c r="CL1283" s="52" t="n">
        <f aca="false">IF(AND(Parameter!$B$21="Ja",ISNUMBER(W1283),N(X1283)&gt;0),IFERROR(N(INDEX(Parameter!$L$5:$L$7,W1283))*INDEX(Parameter!$E$5:$E$7,W1283)*X1283/SUMIFS($X$7:$X$1843,$W$7:$W$1843,W1283),0),0)</f>
        <v>0</v>
      </c>
    </row>
    <row r="1284" customFormat="false" ht="15" hidden="false" customHeight="false" outlineLevel="0" collapsed="false">
      <c r="A1284" s="48" t="s">
        <v>2295</v>
      </c>
      <c r="B1284" s="48" t="s">
        <v>210</v>
      </c>
      <c r="C1284" s="48" t="s">
        <v>460</v>
      </c>
      <c r="D1284" s="48" t="s">
        <v>357</v>
      </c>
      <c r="E1284" s="48"/>
      <c r="F1284" s="48" t="s">
        <v>222</v>
      </c>
      <c r="G1284" s="49" t="n">
        <v>548</v>
      </c>
      <c r="H1284" s="50" t="n">
        <f aca="false">MAX(0,IF(AND(Parameter!$B$21="Ja",ISNUMBER(Y1284)),Y1284,IF(Parameter!$B$20="Jahresanfang 2025 + Export",BO1284+BN1284,BN1284)))</f>
        <v>0</v>
      </c>
      <c r="I1284" s="50" t="n">
        <f aca="false">H1284*G1284</f>
        <v>0</v>
      </c>
      <c r="J1284" s="50" t="n">
        <f aca="false">BQ1284*Parameter!$B$18</f>
        <v>0</v>
      </c>
      <c r="K1284" s="51" t="n">
        <v>1</v>
      </c>
      <c r="L1284" s="52" t="n">
        <v>0</v>
      </c>
      <c r="M1284" s="50" t="n">
        <v>0</v>
      </c>
      <c r="N1284" s="50" t="n">
        <v>1</v>
      </c>
      <c r="O1284" s="53" t="n">
        <v>0</v>
      </c>
      <c r="P1284" s="48" t="s">
        <v>172</v>
      </c>
      <c r="Q1284" s="50"/>
      <c r="R1284" s="53" t="n">
        <f aca="false">IF(BW1284=1,0,IFERROR(VLOOKUP(BU1284,'Gebinde-Kategorie'!$A$5:$N$45,13,0)+0,0))</f>
        <v>0</v>
      </c>
      <c r="S1284" s="54"/>
      <c r="T1284" s="55"/>
      <c r="U1284" s="55"/>
      <c r="V1284" s="55"/>
      <c r="W1284" s="48"/>
      <c r="X1284" s="50"/>
      <c r="Y1284" s="50"/>
      <c r="Z1284" s="48" t="str">
        <f aca="false">IF(A1284="","",IF(AND(Parameter!$B$21="Ja",ISNUMBER(W1284)),W1284,IF(BZ1284="2+3",IF(ISNUMBER(SEARCH("grosser Artikel",BR1284)),2,IFERROR(VLOOKUP(BU1284,Parameter!$F$35:$G$64,2,0),2)),IF(OR(BZ1284="Nein",BZ1284=""),"-",BZ1284))))</f>
        <v>-</v>
      </c>
      <c r="AA1284" s="55"/>
      <c r="AB1284" s="56"/>
      <c r="AC1284" s="50" t="n">
        <f aca="false">AT1284</f>
        <v>1</v>
      </c>
      <c r="AD1284" s="50" t="n">
        <f aca="false">MAX(AT1284,H1284)</f>
        <v>1</v>
      </c>
      <c r="AE1284" s="57"/>
      <c r="AF1284" s="50" t="n">
        <f aca="false">IF(LEFT(Cockpit!$C$5,1)="A",H1284,IF(CE1284=1,CF1284,IF(LEFT(Cockpit!$C$5,1)="B",AK1284,MAX(AK1284,H1284))))</f>
        <v>0</v>
      </c>
      <c r="AG1284" s="50" t="n">
        <f aca="false">IF(BW1284=1,0,ROUNDUP(AF1284/BV1284,0))</f>
        <v>0</v>
      </c>
      <c r="AH1284" s="52" t="n">
        <f aca="false">IF(CL1284&gt;0,CL1284*MAX(1,AF1284/X1284),IF(BW1284=1,IF(AF1284&lt;=0,0,CA1284*MAX(1,IF(H1284&gt;0,AF1284/H1284,1))),IF(R1284&gt;0,AG1284/R1284,0))/MAX(0.1,N(Parameter!$M$21)))</f>
        <v>0</v>
      </c>
      <c r="AI1284" s="50" t="n">
        <f aca="false">AH1284*BY1284</f>
        <v>0</v>
      </c>
      <c r="AJ1284" s="50" t="n">
        <f aca="false">AF1284*G1284</f>
        <v>0</v>
      </c>
      <c r="AK1284" s="50" t="n">
        <f aca="false">ROUNDUP(MAX(J1284/IF(CD1284&gt;0,CD1284,MAX(0.1,N(Cockpit!$C$6))),CG1284)/BV1284,0)*BV1284</f>
        <v>1</v>
      </c>
      <c r="AL1284" s="51" t="n">
        <f aca="false">IF(AI1284&gt;0,J1284/AI1284,-1)</f>
        <v>-1</v>
      </c>
      <c r="AM1284" s="51" t="str">
        <f aca="false">IF(AND(OR(CC1284="L1",CC1284="L23",CC1284="LIFT"),AI1284&gt;0),SUMIFS($AI$7:$AI$1843,$CC$7:$CC$1843,CC1284,$AL$7:$AL$1843,"&gt;"&amp;AL1284)+SUMIFS($AI$7:$AI$1843,$CC$7:$CC$1843,CC1284,$AL$7:$AL$1843,AL1284,$BT$7:$BT$1843,"&lt;="&amp;BT1284),"")</f>
        <v/>
      </c>
      <c r="AN1284" s="58" t="n">
        <f aca="false">IF(AM1284="",0,MAX(0,MIN(1,(IF(CC1284="L1",Parameter!$H$5,IF(CC1284="L23",Parameter!$H$6+Parameter!$H$7,Parameter!$H$5+Parameter!$H$6+Parameter!$H$7))-(AM1284-AI1284))/AI1284)))</f>
        <v>0</v>
      </c>
      <c r="AO1284" s="50" t="n">
        <f aca="false">IF(LEFT(Cockpit!$I$5,1)="A",H1284,IF(CE1284=1,CF1284,IF(LEFT(Cockpit!$I$5,1)="B",AT1284,MAX(AT1284,H1284))))</f>
        <v>1</v>
      </c>
      <c r="AP1284" s="50" t="n">
        <f aca="false">IF(BW1284=1,0,ROUNDUP(AO1284/BV1284,0))</f>
        <v>0</v>
      </c>
      <c r="AQ1284" s="52" t="n">
        <f aca="false">IF(CL1284&gt;0,CL1284*MAX(1,AO1284/X1284),IF(BW1284=1,IF(AO1284&lt;=0,0,CA1284*MAX(1,IF(H1284&gt;0,AO1284/H1284,1))),IF(R1284&gt;0,AP1284/R1284,0))/MAX(0.1,N(Parameter!$M$21)))</f>
        <v>0.15</v>
      </c>
      <c r="AR1284" s="50" t="n">
        <f aca="false">AQ1284*BY1284</f>
        <v>35.25</v>
      </c>
      <c r="AS1284" s="50" t="n">
        <f aca="false">AO1284*G1284</f>
        <v>548</v>
      </c>
      <c r="AT1284" s="50" t="n">
        <f aca="false">ROUNDUP(MAX(J1284/IF(CD1284&gt;0,CD1284,MAX(0.1,N(Cockpit!$I$6))),CG1284)/BV1284,0)*BV1284</f>
        <v>1</v>
      </c>
      <c r="AU1284" s="51" t="n">
        <f aca="false">IF(AR1284&gt;0,J1284/AR1284,-1)</f>
        <v>0</v>
      </c>
      <c r="AV1284" s="51" t="str">
        <f aca="false">IF(AND(OR(CC1284="L1",CC1284="L23",CC1284="LIFT"),AR1284&gt;0),SUMIFS($AR$7:$AR$1843,$CC$7:$CC$1843,CC1284,$AU$7:$AU$1843,"&gt;"&amp;AU1284)+SUMIFS($AR$7:$AR$1843,$CC$7:$CC$1843,CC1284,$AU$7:$AU$1843,AU1284,$BT$7:$BT$1843,"&lt;="&amp;BT1284),"")</f>
        <v/>
      </c>
      <c r="AW1284" s="58" t="n">
        <f aca="false">IF(AV1284="",0,MAX(0,MIN(1,(IF(CC1284="L1",Parameter!$H$5,IF(CC1284="L23",Parameter!$H$6+Parameter!$H$7,Parameter!$H$5+Parameter!$H$6+Parameter!$H$7))-(AV1284-AR1284))/AR1284)))</f>
        <v>0</v>
      </c>
      <c r="AX1284" s="50" t="n">
        <f aca="false">IF(LEFT(Cockpit!$O$5,1)="A",H1284,IF(CE1284=1,CF1284,IF(LEFT(Cockpit!$O$5,1)="B",BC1284,MAX(BC1284,H1284))))</f>
        <v>1</v>
      </c>
      <c r="AY1284" s="50" t="n">
        <f aca="false">IF(BW1284=1,0,ROUNDUP(AX1284/BV1284,0))</f>
        <v>0</v>
      </c>
      <c r="AZ1284" s="52" t="n">
        <f aca="false">IF(CL1284&gt;0,CL1284*MAX(1,AX1284/X1284),IF(BW1284=1,IF(AX1284&lt;=0,0,CA1284*MAX(1,IF(H1284&gt;0,AX1284/H1284,1))),IF(R1284&gt;0,AY1284/R1284,0))/MAX(0.1,N(Parameter!$M$21)))</f>
        <v>0.15</v>
      </c>
      <c r="BA1284" s="50" t="n">
        <f aca="false">AZ1284*BY1284</f>
        <v>35.25</v>
      </c>
      <c r="BB1284" s="50" t="n">
        <f aca="false">AX1284*G1284</f>
        <v>548</v>
      </c>
      <c r="BC1284" s="50" t="n">
        <f aca="false">ROUNDUP(MAX(J1284/IF(CD1284&gt;0,CD1284,MAX(0.1,N(Cockpit!$O$6))),CG1284)/BV1284,0)*BV1284</f>
        <v>1</v>
      </c>
      <c r="BD1284" s="51" t="n">
        <f aca="false">IF(BA1284&gt;0,J1284/BA1284,-1)</f>
        <v>0</v>
      </c>
      <c r="BE1284" s="51" t="str">
        <f aca="false">IF(AND(OR(CC1284="L1",CC1284="L23",CC1284="LIFT"),BA1284&gt;0),SUMIFS($BA$7:$BA$1843,$CC$7:$CC$1843,CC1284,$BD$7:$BD$1843,"&gt;"&amp;BD1284)+SUMIFS($BA$7:$BA$1843,$CC$7:$CC$1843,CC1284,$BD$7:$BD$1843,BD1284,$BT$7:$BT$1843,"&lt;="&amp;BT1284),"")</f>
        <v/>
      </c>
      <c r="BF1284" s="58" t="n">
        <f aca="false">IF(BE1284="",0,MAX(0,MIN(1,(IF(CC1284="L1",Parameter!$H$5,IF(CC1284="L23",Parameter!$H$6+Parameter!$H$7,Parameter!$H$5+Parameter!$H$6+Parameter!$H$7))-(BE1284-BA1284))/BA1284)))</f>
        <v>0</v>
      </c>
      <c r="BG1284" s="48" t="str">
        <f aca="false">IF(AI1284&lt;=0,"",IF(CC1284="Aussen","Aussenlager",IF(CC1284="-","Nicht im Lift",IF(AN1284&gt;=1,"Lift",IF(AN1284&lt;=0,"Aussenlager","teilweise")))))</f>
        <v/>
      </c>
      <c r="BH1284" s="48" t="str">
        <f aca="false">IF(AR1284&lt;=0,"",IF(CC1284="Aussen","Aussenlager",IF(CC1284="-","Nicht im Lift",IF(AW1284&gt;=1,"Lift",IF(AW1284&lt;=0,"Aussenlager","teilweise")))))</f>
        <v>Nicht im Lift</v>
      </c>
      <c r="BI1284" s="48" t="str">
        <f aca="false">IF(BA1284&lt;=0,"",IF(CC1284="Aussen","Aussenlager",IF(CC1284="-","Nicht im Lift",IF(BF1284&gt;=1,"Lift",IF(BF1284&lt;=0,"Aussenlager","teilweise")))))</f>
        <v>Nicht im Lift</v>
      </c>
      <c r="BJ1284" s="48" t="str">
        <f aca="false">IF(A1284="","",IF(BS1284=1,"Neu; ","")&amp;IF(AND(BS1284=0,BN1284&lt;0),"negativer Bestand (Export "&amp;BN1284&amp;"); ","")&amp;IF(J1284&lt;=0,"Kein Verbrauch; ","")&amp;IF(CL1284&gt;0,"Lift "&amp;W1284&amp;" lt. Liftbericht (Fach "&amp;X1284&amp;" Stk); ",IF(BX1284=1,"Gebinde geschätzt ("&amp;T1284&amp;"); ",IF(BW1284=1,"Lose – Tablare geschätzt; ","")))&amp;IF(H1284&gt;AT1284,"Überbestand "&amp;ROUND(H1284-AT1284,0)&amp;" Stk / CHF "&amp;ROUND((H1284-AT1284)*G1284,0)&amp;"; ","")&amp;IF(AND(CE1284=1,CF1284&lt;CG1284),"MAX &lt; MB+LG; ","")&amp;IF(AND(CK1284&gt;0,CJ1284*10&gt;CK1284),"zu hoch für Tablar; ","")&amp;IF(AND(BS1284=0,OR(CE1284=1,AA1284&lt;&gt;"",U1284&lt;&gt;"",V1284&lt;&gt;"",AB1284&lt;&gt;"")),"manuell übersteuert; ","")&amp;IF(AND(BW1284=0,R1284=0),"Gebinde unbekannt / Stellmass fehlt; ","")&amp;IF(AND(BW1284=0,N(V1284)&lt;=0,N(Q1284)&lt;=0),"Menge pro Gebinde fehlt (Ist = 1 Gebinde); ","")&amp;BR1284)</f>
        <v>negativer Bestand (Export -2); Kein Verbrauch; Lose – Tablare geschätzt; </v>
      </c>
      <c r="BK1284" s="48"/>
      <c r="BL1284" s="48"/>
      <c r="BM1284" s="55"/>
      <c r="BN1284" s="50" t="n">
        <v>-2</v>
      </c>
      <c r="BO1284" s="50" t="n">
        <v>2</v>
      </c>
      <c r="BP1284" s="49" t="n">
        <v>-1096</v>
      </c>
      <c r="BQ1284" s="50" t="n">
        <v>0</v>
      </c>
      <c r="BR1284" s="48"/>
      <c r="BS1284" s="53" t="n">
        <v>0</v>
      </c>
      <c r="BT1284" s="53" t="n">
        <v>1284</v>
      </c>
      <c r="BU1284" s="48" t="str">
        <f aca="false">IF(U1284&lt;&gt;"",UPPER(TRIM(U1284)),IF(BX1284=1,UPPER(VLOOKUP(T1284,Parameter!$I$27:$K$29,2,0)),IF(P1284="","LOSE",P1284)))</f>
        <v>LOSE</v>
      </c>
      <c r="BV1284" s="50" t="n">
        <f aca="false">IF(BU1284="LOSE",1,IF(N(V1284)&gt;0,V1284,IF(BX1284=1,MAX(1,N(VLOOKUP(T1284,Parameter!$I$27:$K$29,3,0)),H1284,N(N1284)),IF(N(Q1284)&gt;0,Q1284,MAX(1,H1284)))))</f>
        <v>1</v>
      </c>
      <c r="BW1284" s="53" t="n">
        <f aca="false">IF(BU1284="LOSE",1,0)</f>
        <v>1</v>
      </c>
      <c r="BX1284" s="53" t="n">
        <f aca="false">IF(AND(U1284="",OR(P1284="",P1284="LOSE"),T1284&lt;&gt;"",N(S1284)&lt;=0,ISNUMBER(MATCH(T1284,Parameter!$I$27:$I$29,0))),1,0)</f>
        <v>0</v>
      </c>
      <c r="BY1284" s="53" t="n">
        <f aca="false">IF(CL1284&gt;0,INDEX(Parameter!$H$5:$H$7,W1284)/INDEX(Parameter!$E$5:$E$7,W1284),IF(AND(BW1284=0,N(IFERROR(VLOOKUP(BU1284,'Gebinde-Kategorie'!$A$5:$N$45,14,0),0))&gt;0),VLOOKUP(BU1284,'Gebinde-Kategorie'!$A$5:$N$45,14,0)*10+Parameter!$M$23,Parameter!$M$24))</f>
        <v>235</v>
      </c>
      <c r="BZ1284" s="48" t="str">
        <f aca="false">IF(AND(Parameter!$B$19="Ja",E1284&lt;&gt;"",ISNUMBER(MATCH(E1284,Parameter!$I$35:$I$52,0))),VLOOKUP(E1284,Parameter!$I$35:$J$52,2,0),IFERROR(VLOOKUP(D1284,Parameter!$A$35:$C$64,2,0),"Nein"))</f>
        <v>Nein</v>
      </c>
      <c r="CA1284" s="52" t="n">
        <f aca="false">IF(BW1284=0,0,IF(N(S1284)&gt;0,S1284,IFERROR(VLOOKUP(D1284,Parameter!$A$35:$C$64,3,0)+0,0)))</f>
        <v>0.15</v>
      </c>
      <c r="CB1284" s="48" t="str">
        <f aca="false">IF(AA1284&lt;&gt;"",AA1284,Z1284)</f>
        <v>-</v>
      </c>
      <c r="CC1284" s="48" t="str">
        <f aca="false">IF(OR(CB1284=1,CB1284=2,CB1284=3),IF(Parameter!$E$27="Ja","LIFT",IF(CB1284=1,"L1","L23")),IF(CB1284="Aussen","Aussen","-"))</f>
        <v>-</v>
      </c>
      <c r="CD1284" s="59" t="n">
        <f aca="false">IF(N(AB1284)&gt;0,AB1284,0)</f>
        <v>0</v>
      </c>
      <c r="CE1284" s="53" t="n">
        <f aca="false">IF(ISNUMBER(AE1284),1,0)</f>
        <v>0</v>
      </c>
      <c r="CF1284" s="50" t="n">
        <f aca="false">N(AE1284)</f>
        <v>0</v>
      </c>
      <c r="CG1284" s="50" t="n">
        <f aca="false">N(M1284)+N(N1284)</f>
        <v>1</v>
      </c>
      <c r="CH1284" s="50" t="n">
        <f aca="false">ROUNDUP(H1284/BV1284,0)</f>
        <v>0</v>
      </c>
      <c r="CI1284" s="50" t="n">
        <f aca="false">ROUNDUP(CF1284/BV1284,0)</f>
        <v>0</v>
      </c>
      <c r="CJ1284" s="53" t="n">
        <f aca="false">IF(BW1284=1,0,IFERROR(VLOOKUP(BU1284,'Gebinde-Kategorie'!$A$5:$N$45,5,0)+0,0))</f>
        <v>0</v>
      </c>
      <c r="CK1284" s="53" t="n">
        <f aca="false">IFERROR(IF(OR(CB1284=1,CB1284=2,CB1284=3),N(INDEX(Parameter!$I$5:$I$7,CB1284)),0),0)</f>
        <v>0</v>
      </c>
      <c r="CL1284" s="52" t="n">
        <f aca="false">IF(AND(Parameter!$B$21="Ja",ISNUMBER(W1284),N(X1284)&gt;0),IFERROR(N(INDEX(Parameter!$L$5:$L$7,W1284))*INDEX(Parameter!$E$5:$E$7,W1284)*X1284/SUMIFS($X$7:$X$1843,$W$7:$W$1843,W1284),0),0)</f>
        <v>0</v>
      </c>
    </row>
    <row r="1285" customFormat="false" ht="15" hidden="false" customHeight="false" outlineLevel="0" collapsed="false">
      <c r="A1285" s="48" t="s">
        <v>2296</v>
      </c>
      <c r="B1285" s="48" t="s">
        <v>2297</v>
      </c>
      <c r="C1285" s="48" t="s">
        <v>168</v>
      </c>
      <c r="D1285" s="48" t="s">
        <v>188</v>
      </c>
      <c r="E1285" s="48" t="s">
        <v>189</v>
      </c>
      <c r="F1285" s="48" t="s">
        <v>222</v>
      </c>
      <c r="G1285" s="49" t="n">
        <v>114.41</v>
      </c>
      <c r="H1285" s="50" t="n">
        <f aca="false">MAX(0,IF(AND(Parameter!$B$21="Ja",ISNUMBER(Y1285)),Y1285,IF(Parameter!$B$20="Jahresanfang 2025 + Export",BO1285+BN1285,BN1285)))</f>
        <v>2</v>
      </c>
      <c r="I1285" s="50" t="n">
        <f aca="false">H1285*G1285</f>
        <v>228.82</v>
      </c>
      <c r="J1285" s="50" t="n">
        <f aca="false">BQ1285*Parameter!$B$18</f>
        <v>5</v>
      </c>
      <c r="K1285" s="51" t="n">
        <v>11.5</v>
      </c>
      <c r="L1285" s="52" t="n">
        <v>0.434782608695652</v>
      </c>
      <c r="M1285" s="50" t="n">
        <v>0</v>
      </c>
      <c r="N1285" s="50" t="n">
        <v>5</v>
      </c>
      <c r="O1285" s="53" t="n">
        <v>56</v>
      </c>
      <c r="P1285" s="48" t="s">
        <v>425</v>
      </c>
      <c r="Q1285" s="50" t="n">
        <v>8</v>
      </c>
      <c r="R1285" s="53" t="n">
        <f aca="false">IF(BW1285=1,0,IFERROR(VLOOKUP(BU1285,'Gebinde-Kategorie'!$A$5:$N$45,13,0)+0,0))</f>
        <v>104</v>
      </c>
      <c r="S1285" s="54"/>
      <c r="T1285" s="55"/>
      <c r="U1285" s="55"/>
      <c r="V1285" s="55"/>
      <c r="W1285" s="48"/>
      <c r="X1285" s="50"/>
      <c r="Y1285" s="50"/>
      <c r="Z1285" s="48" t="n">
        <f aca="false">IF(A1285="","",IF(AND(Parameter!$B$21="Ja",ISNUMBER(W1285)),W1285,IF(BZ1285="2+3",IF(ISNUMBER(SEARCH("grosser Artikel",BR1285)),2,IFERROR(VLOOKUP(BU1285,Parameter!$F$35:$G$64,2,0),2)),IF(OR(BZ1285="Nein",BZ1285=""),"-",BZ1285))))</f>
        <v>3</v>
      </c>
      <c r="AA1285" s="55"/>
      <c r="AB1285" s="56"/>
      <c r="AC1285" s="50" t="n">
        <f aca="false">AT1285</f>
        <v>8</v>
      </c>
      <c r="AD1285" s="50" t="n">
        <f aca="false">MAX(AT1285,H1285)</f>
        <v>8</v>
      </c>
      <c r="AE1285" s="57"/>
      <c r="AF1285" s="50" t="n">
        <f aca="false">IF(LEFT(Cockpit!$C$5,1)="A",H1285,IF(CE1285=1,CF1285,IF(LEFT(Cockpit!$C$5,1)="B",AK1285,MAX(AK1285,H1285))))</f>
        <v>2</v>
      </c>
      <c r="AG1285" s="50" t="n">
        <f aca="false">IF(BW1285=1,0,ROUNDUP(AF1285/BV1285,0))</f>
        <v>1</v>
      </c>
      <c r="AH1285" s="52" t="n">
        <f aca="false">IF(CL1285&gt;0,CL1285*MAX(1,AF1285/X1285),IF(BW1285=1,IF(AF1285&lt;=0,0,CA1285*MAX(1,IF(H1285&gt;0,AF1285/H1285,1))),IF(R1285&gt;0,AG1285/R1285,0))/MAX(0.1,N(Parameter!$M$21)))</f>
        <v>0.00961538461538462</v>
      </c>
      <c r="AI1285" s="50" t="n">
        <f aca="false">AH1285*BY1285</f>
        <v>1.49038461538462</v>
      </c>
      <c r="AJ1285" s="50" t="n">
        <f aca="false">AF1285*G1285</f>
        <v>228.82</v>
      </c>
      <c r="AK1285" s="50" t="n">
        <f aca="false">ROUNDUP(MAX(J1285/IF(CD1285&gt;0,CD1285,MAX(0.1,N(Cockpit!$C$6))),CG1285)/BV1285,0)*BV1285</f>
        <v>8</v>
      </c>
      <c r="AL1285" s="51" t="n">
        <f aca="false">IF(AI1285&gt;0,J1285/AI1285,-1)</f>
        <v>3.35483870967742</v>
      </c>
      <c r="AM1285" s="51" t="n">
        <f aca="false">IF(AND(OR(CC1285="L1",CC1285="L23",CC1285="LIFT"),AI1285&gt;0),SUMIFS($AI$7:$AI$1843,$CC$7:$CC$1843,CC1285,$AL$7:$AL$1843,"&gt;"&amp;AL1285)+SUMIFS($AI$7:$AI$1843,$CC$7:$CC$1843,CC1285,$AL$7:$AL$1843,AL1285,$BT$7:$BT$1843,"&lt;="&amp;BT1285),"")</f>
        <v>4957.0782967033</v>
      </c>
      <c r="AN1285" s="58" t="n">
        <f aca="false">IF(AM1285="",0,MAX(0,MIN(1,(IF(CC1285="L1",Parameter!$H$5,IF(CC1285="L23",Parameter!$H$6+Parameter!$H$7,Parameter!$H$5+Parameter!$H$6+Parameter!$H$7))-(AM1285-AI1285))/AI1285)))</f>
        <v>1</v>
      </c>
      <c r="AO1285" s="50" t="n">
        <f aca="false">IF(LEFT(Cockpit!$I$5,1)="A",H1285,IF(CE1285=1,CF1285,IF(LEFT(Cockpit!$I$5,1)="B",AT1285,MAX(AT1285,H1285))))</f>
        <v>8</v>
      </c>
      <c r="AP1285" s="50" t="n">
        <f aca="false">IF(BW1285=1,0,ROUNDUP(AO1285/BV1285,0))</f>
        <v>1</v>
      </c>
      <c r="AQ1285" s="52" t="n">
        <f aca="false">IF(CL1285&gt;0,CL1285*MAX(1,AO1285/X1285),IF(BW1285=1,IF(AO1285&lt;=0,0,CA1285*MAX(1,IF(H1285&gt;0,AO1285/H1285,1))),IF(R1285&gt;0,AP1285/R1285,0))/MAX(0.1,N(Parameter!$M$21)))</f>
        <v>0.00961538461538462</v>
      </c>
      <c r="AR1285" s="50" t="n">
        <f aca="false">AQ1285*BY1285</f>
        <v>1.49038461538462</v>
      </c>
      <c r="AS1285" s="50" t="n">
        <f aca="false">AO1285*G1285</f>
        <v>915.28</v>
      </c>
      <c r="AT1285" s="50" t="n">
        <f aca="false">ROUNDUP(MAX(J1285/IF(CD1285&gt;0,CD1285,MAX(0.1,N(Cockpit!$I$6))),CG1285)/BV1285,0)*BV1285</f>
        <v>8</v>
      </c>
      <c r="AU1285" s="51" t="n">
        <f aca="false">IF(AR1285&gt;0,J1285/AR1285,-1)</f>
        <v>3.35483870967742</v>
      </c>
      <c r="AV1285" s="51" t="n">
        <f aca="false">IF(AND(OR(CC1285="L1",CC1285="L23",CC1285="LIFT"),AR1285&gt;0),SUMIFS($AR$7:$AR$1843,$CC$7:$CC$1843,CC1285,$AU$7:$AU$1843,"&gt;"&amp;AU1285)+SUMIFS($AR$7:$AR$1843,$CC$7:$CC$1843,CC1285,$AU$7:$AU$1843,AU1285,$BT$7:$BT$1843,"&lt;="&amp;BT1285),"")</f>
        <v>6052.87637362637</v>
      </c>
      <c r="AW1285" s="58" t="n">
        <f aca="false">IF(AV1285="",0,MAX(0,MIN(1,(IF(CC1285="L1",Parameter!$H$5,IF(CC1285="L23",Parameter!$H$6+Parameter!$H$7,Parameter!$H$5+Parameter!$H$6+Parameter!$H$7))-(AV1285-AR1285))/AR1285)))</f>
        <v>1</v>
      </c>
      <c r="AX1285" s="50" t="n">
        <f aca="false">IF(LEFT(Cockpit!$O$5,1)="A",H1285,IF(CE1285=1,CF1285,IF(LEFT(Cockpit!$O$5,1)="B",BC1285,MAX(BC1285,H1285))))</f>
        <v>8</v>
      </c>
      <c r="AY1285" s="50" t="n">
        <f aca="false">IF(BW1285=1,0,ROUNDUP(AX1285/BV1285,0))</f>
        <v>1</v>
      </c>
      <c r="AZ1285" s="52" t="n">
        <f aca="false">IF(CL1285&gt;0,CL1285*MAX(1,AX1285/X1285),IF(BW1285=1,IF(AX1285&lt;=0,0,CA1285*MAX(1,IF(H1285&gt;0,AX1285/H1285,1))),IF(R1285&gt;0,AY1285/R1285,0))/MAX(0.1,N(Parameter!$M$21)))</f>
        <v>0.00961538461538462</v>
      </c>
      <c r="BA1285" s="50" t="n">
        <f aca="false">AZ1285*BY1285</f>
        <v>1.49038461538462</v>
      </c>
      <c r="BB1285" s="50" t="n">
        <f aca="false">AX1285*G1285</f>
        <v>915.28</v>
      </c>
      <c r="BC1285" s="50" t="n">
        <f aca="false">ROUNDUP(MAX(J1285/IF(CD1285&gt;0,CD1285,MAX(0.1,N(Cockpit!$O$6))),CG1285)/BV1285,0)*BV1285</f>
        <v>8</v>
      </c>
      <c r="BD1285" s="51" t="n">
        <f aca="false">IF(BA1285&gt;0,J1285/BA1285,-1)</f>
        <v>3.35483870967742</v>
      </c>
      <c r="BE1285" s="51" t="n">
        <f aca="false">IF(AND(OR(CC1285="L1",CC1285="L23",CC1285="LIFT"),BA1285&gt;0),SUMIFS($BA$7:$BA$1843,$CC$7:$CC$1843,CC1285,$BD$7:$BD$1843,"&gt;"&amp;BD1285)+SUMIFS($BA$7:$BA$1843,$CC$7:$CC$1843,CC1285,$BD$7:$BD$1843,BD1285,$BT$7:$BT$1843,"&lt;="&amp;BT1285),"")</f>
        <v>6040.71291208791</v>
      </c>
      <c r="BF1285" s="58" t="n">
        <f aca="false">IF(BE1285="",0,MAX(0,MIN(1,(IF(CC1285="L1",Parameter!$H$5,IF(CC1285="L23",Parameter!$H$6+Parameter!$H$7,Parameter!$H$5+Parameter!$H$6+Parameter!$H$7))-(BE1285-BA1285))/BA1285)))</f>
        <v>1</v>
      </c>
      <c r="BG1285" s="48" t="str">
        <f aca="false">IF(AI1285&lt;=0,"",IF(CC1285="Aussen","Aussenlager",IF(CC1285="-","Nicht im Lift",IF(AN1285&gt;=1,"Lift",IF(AN1285&lt;=0,"Aussenlager","teilweise")))))</f>
        <v>Lift</v>
      </c>
      <c r="BH1285" s="48" t="str">
        <f aca="false">IF(AR1285&lt;=0,"",IF(CC1285="Aussen","Aussenlager",IF(CC1285="-","Nicht im Lift",IF(AW1285&gt;=1,"Lift",IF(AW1285&lt;=0,"Aussenlager","teilweise")))))</f>
        <v>Lift</v>
      </c>
      <c r="BI1285" s="48" t="str">
        <f aca="false">IF(BA1285&lt;=0,"",IF(CC1285="Aussen","Aussenlager",IF(CC1285="-","Nicht im Lift",IF(BF1285&gt;=1,"Lift",IF(BF1285&lt;=0,"Aussenlager","teilweise")))))</f>
        <v>Lift</v>
      </c>
      <c r="BJ1285" s="48" t="str">
        <f aca="false">IF(A1285="","",IF(BS1285=1,"Neu; ","")&amp;IF(AND(BS1285=0,BN1285&lt;0),"negativer Bestand (Export "&amp;BN1285&amp;"); ","")&amp;IF(J1285&lt;=0,"Kein Verbrauch; ","")&amp;IF(CL1285&gt;0,"Lift "&amp;W1285&amp;" lt. Liftbericht (Fach "&amp;X1285&amp;" Stk); ",IF(BX1285=1,"Gebinde geschätzt ("&amp;T1285&amp;"); ",IF(BW1285=1,"Lose – Tablare geschätzt; ","")))&amp;IF(H1285&gt;AT1285,"Überbestand "&amp;ROUND(H1285-AT1285,0)&amp;" Stk / CHF "&amp;ROUND((H1285-AT1285)*G1285,0)&amp;"; ","")&amp;IF(AND(CE1285=1,CF1285&lt;CG1285),"MAX &lt; MB+LG; ","")&amp;IF(AND(CK1285&gt;0,CJ1285*10&gt;CK1285),"zu hoch für Tablar; ","")&amp;IF(AND(BS1285=0,OR(CE1285=1,AA1285&lt;&gt;"",U1285&lt;&gt;"",V1285&lt;&gt;"",AB1285&lt;&gt;"")),"manuell übersteuert; ","")&amp;IF(AND(BW1285=0,R1285=0),"Gebinde unbekannt / Stellmass fehlt; ","")&amp;IF(AND(BW1285=0,N(V1285)&lt;=0,N(Q1285)&lt;=0),"Menge pro Gebinde fehlt (Ist = 1 Gebinde); ","")&amp;BR1285)</f>
        <v>negativer Bestand (Export -10); nicht im KTL vorhanden</v>
      </c>
      <c r="BK1285" s="48"/>
      <c r="BL1285" s="48"/>
      <c r="BM1285" s="55"/>
      <c r="BN1285" s="50" t="n">
        <v>-10</v>
      </c>
      <c r="BO1285" s="50" t="n">
        <v>12</v>
      </c>
      <c r="BP1285" s="49" t="n">
        <v>-1113.96</v>
      </c>
      <c r="BQ1285" s="50" t="n">
        <v>5</v>
      </c>
      <c r="BR1285" s="48" t="s">
        <v>234</v>
      </c>
      <c r="BS1285" s="53" t="n">
        <v>0</v>
      </c>
      <c r="BT1285" s="53" t="n">
        <v>1285</v>
      </c>
      <c r="BU1285" s="48" t="str">
        <f aca="false">IF(U1285&lt;&gt;"",UPPER(TRIM(U1285)),IF(BX1285=1,UPPER(VLOOKUP(T1285,Parameter!$I$27:$K$29,2,0)),IF(P1285="","LOSE",P1285)))</f>
        <v>S32</v>
      </c>
      <c r="BV1285" s="50" t="n">
        <f aca="false">IF(BU1285="LOSE",1,IF(N(V1285)&gt;0,V1285,IF(BX1285=1,MAX(1,N(VLOOKUP(T1285,Parameter!$I$27:$K$29,3,0)),H1285,N(N1285)),IF(N(Q1285)&gt;0,Q1285,MAX(1,H1285)))))</f>
        <v>8</v>
      </c>
      <c r="BW1285" s="53" t="n">
        <f aca="false">IF(BU1285="LOSE",1,0)</f>
        <v>0</v>
      </c>
      <c r="BX1285" s="53" t="n">
        <f aca="false">IF(AND(U1285="",OR(P1285="",P1285="LOSE"),T1285&lt;&gt;"",N(S1285)&lt;=0,ISNUMBER(MATCH(T1285,Parameter!$I$27:$I$29,0))),1,0)</f>
        <v>0</v>
      </c>
      <c r="BY1285" s="53" t="n">
        <f aca="false">IF(CL1285&gt;0,INDEX(Parameter!$H$5:$H$7,W1285)/INDEX(Parameter!$E$5:$E$7,W1285),IF(AND(BW1285=0,N(IFERROR(VLOOKUP(BU1285,'Gebinde-Kategorie'!$A$5:$N$45,14,0),0))&gt;0),VLOOKUP(BU1285,'Gebinde-Kategorie'!$A$5:$N$45,14,0)*10+Parameter!$M$23,Parameter!$M$24))</f>
        <v>155</v>
      </c>
      <c r="BZ1285" s="48" t="str">
        <f aca="false">IF(AND(Parameter!$B$19="Ja",E1285&lt;&gt;"",ISNUMBER(MATCH(E1285,Parameter!$I$35:$I$52,0))),VLOOKUP(E1285,Parameter!$I$35:$J$52,2,0),IFERROR(VLOOKUP(D1285,Parameter!$A$35:$C$64,2,0),"Nein"))</f>
        <v>2+3</v>
      </c>
      <c r="CA1285" s="52" t="n">
        <f aca="false">IF(BW1285=0,0,IF(N(S1285)&gt;0,S1285,IFERROR(VLOOKUP(D1285,Parameter!$A$35:$C$64,3,0)+0,0)))</f>
        <v>0</v>
      </c>
      <c r="CB1285" s="48" t="n">
        <f aca="false">IF(AA1285&lt;&gt;"",AA1285,Z1285)</f>
        <v>3</v>
      </c>
      <c r="CC1285" s="48" t="str">
        <f aca="false">IF(OR(CB1285=1,CB1285=2,CB1285=3),IF(Parameter!$E$27="Ja","LIFT",IF(CB1285=1,"L1","L23")),IF(CB1285="Aussen","Aussen","-"))</f>
        <v>LIFT</v>
      </c>
      <c r="CD1285" s="59" t="n">
        <f aca="false">IF(N(AB1285)&gt;0,AB1285,0)</f>
        <v>0</v>
      </c>
      <c r="CE1285" s="53" t="n">
        <f aca="false">IF(ISNUMBER(AE1285),1,0)</f>
        <v>0</v>
      </c>
      <c r="CF1285" s="50" t="n">
        <f aca="false">N(AE1285)</f>
        <v>0</v>
      </c>
      <c r="CG1285" s="50" t="n">
        <f aca="false">N(M1285)+N(N1285)</f>
        <v>5</v>
      </c>
      <c r="CH1285" s="50" t="n">
        <f aca="false">ROUNDUP(H1285/BV1285,0)</f>
        <v>1</v>
      </c>
      <c r="CI1285" s="50" t="n">
        <f aca="false">ROUNDUP(CF1285/BV1285,0)</f>
        <v>0</v>
      </c>
      <c r="CJ1285" s="53" t="n">
        <f aca="false">IF(BW1285=1,0,IFERROR(VLOOKUP(BU1285,'Gebinde-Kategorie'!$A$5:$N$45,5,0)+0,0))</f>
        <v>8</v>
      </c>
      <c r="CK1285" s="53" t="n">
        <f aca="false">IFERROR(IF(OR(CB1285=1,CB1285=2,CB1285=3),N(INDEX(Parameter!$I$5:$I$7,CB1285)),0),0)</f>
        <v>0</v>
      </c>
      <c r="CL1285" s="52" t="n">
        <f aca="false">IF(AND(Parameter!$B$21="Ja",ISNUMBER(W1285),N(X1285)&gt;0),IFERROR(N(INDEX(Parameter!$L$5:$L$7,W1285))*INDEX(Parameter!$E$5:$E$7,W1285)*X1285/SUMIFS($X$7:$X$1843,$W$7:$W$1843,W1285),0),0)</f>
        <v>0</v>
      </c>
    </row>
    <row r="1286" customFormat="false" ht="15" hidden="false" customHeight="false" outlineLevel="0" collapsed="false">
      <c r="A1286" s="48" t="s">
        <v>2298</v>
      </c>
      <c r="B1286" s="48" t="s">
        <v>2223</v>
      </c>
      <c r="C1286" s="48" t="s">
        <v>168</v>
      </c>
      <c r="D1286" s="48" t="s">
        <v>177</v>
      </c>
      <c r="E1286" s="48"/>
      <c r="F1286" s="48" t="s">
        <v>222</v>
      </c>
      <c r="G1286" s="49" t="n">
        <v>279.59</v>
      </c>
      <c r="H1286" s="50" t="n">
        <f aca="false">MAX(0,IF(AND(Parameter!$B$21="Ja",ISNUMBER(Y1286)),Y1286,IF(Parameter!$B$20="Jahresanfang 2025 + Export",BO1286+BN1286,BN1286)))</f>
        <v>108</v>
      </c>
      <c r="I1286" s="50" t="n">
        <f aca="false">H1286*G1286</f>
        <v>30195.72</v>
      </c>
      <c r="J1286" s="50" t="n">
        <f aca="false">BQ1286*Parameter!$B$18</f>
        <v>2</v>
      </c>
      <c r="K1286" s="51" t="n">
        <v>111</v>
      </c>
      <c r="L1286" s="52" t="n">
        <v>0.018018018018018</v>
      </c>
      <c r="M1286" s="50" t="n">
        <v>0</v>
      </c>
      <c r="N1286" s="50" t="n">
        <v>1</v>
      </c>
      <c r="O1286" s="53" t="n">
        <v>28</v>
      </c>
      <c r="P1286" s="48" t="s">
        <v>172</v>
      </c>
      <c r="Q1286" s="50"/>
      <c r="R1286" s="53" t="n">
        <f aca="false">IF(BW1286=1,0,IFERROR(VLOOKUP(BU1286,'Gebinde-Kategorie'!$A$5:$N$45,13,0)+0,0))</f>
        <v>12</v>
      </c>
      <c r="S1286" s="54"/>
      <c r="T1286" s="55" t="s">
        <v>183</v>
      </c>
      <c r="U1286" s="55"/>
      <c r="V1286" s="55"/>
      <c r="W1286" s="48"/>
      <c r="X1286" s="50"/>
      <c r="Y1286" s="50"/>
      <c r="Z1286" s="48" t="n">
        <f aca="false">IF(A1286="","",IF(AND(Parameter!$B$21="Ja",ISNUMBER(W1286)),W1286,IF(BZ1286="2+3",IF(ISNUMBER(SEARCH("grosser Artikel",BR1286)),2,IFERROR(VLOOKUP(BU1286,Parameter!$F$35:$G$64,2,0),2)),IF(OR(BZ1286="Nein",BZ1286=""),"-",BZ1286))))</f>
        <v>2</v>
      </c>
      <c r="AA1286" s="55"/>
      <c r="AB1286" s="56"/>
      <c r="AC1286" s="50" t="n">
        <f aca="false">AT1286</f>
        <v>108</v>
      </c>
      <c r="AD1286" s="50" t="n">
        <f aca="false">MAX(AT1286,H1286)</f>
        <v>108</v>
      </c>
      <c r="AE1286" s="57"/>
      <c r="AF1286" s="50" t="n">
        <f aca="false">IF(LEFT(Cockpit!$C$5,1)="A",H1286,IF(CE1286=1,CF1286,IF(LEFT(Cockpit!$C$5,1)="B",AK1286,MAX(AK1286,H1286))))</f>
        <v>108</v>
      </c>
      <c r="AG1286" s="50" t="n">
        <f aca="false">IF(BW1286=1,0,ROUNDUP(AF1286/BV1286,0))</f>
        <v>1</v>
      </c>
      <c r="AH1286" s="52" t="n">
        <f aca="false">IF(CL1286&gt;0,CL1286*MAX(1,AF1286/X1286),IF(BW1286=1,IF(AF1286&lt;=0,0,CA1286*MAX(1,IF(H1286&gt;0,AF1286/H1286,1))),IF(R1286&gt;0,AG1286/R1286,0))/MAX(0.1,N(Parameter!$M$21)))</f>
        <v>0.0833333333333333</v>
      </c>
      <c r="AI1286" s="50" t="n">
        <f aca="false">AH1286*BY1286</f>
        <v>12.0833333333333</v>
      </c>
      <c r="AJ1286" s="50" t="n">
        <f aca="false">AF1286*G1286</f>
        <v>30195.72</v>
      </c>
      <c r="AK1286" s="50" t="n">
        <f aca="false">ROUNDUP(MAX(J1286/IF(CD1286&gt;0,CD1286,MAX(0.1,N(Cockpit!$C$6))),CG1286)/BV1286,0)*BV1286</f>
        <v>108</v>
      </c>
      <c r="AL1286" s="51" t="n">
        <f aca="false">IF(AI1286&gt;0,J1286/AI1286,-1)</f>
        <v>0.16551724137931</v>
      </c>
      <c r="AM1286" s="51" t="n">
        <f aca="false">IF(AND(OR(CC1286="L1",CC1286="L23",CC1286="LIFT"),AI1286&gt;0),SUMIFS($AI$7:$AI$1843,$CC$7:$CC$1843,CC1286,$AL$7:$AL$1843,"&gt;"&amp;AL1286)+SUMIFS($AI$7:$AI$1843,$CC$7:$CC$1843,CC1286,$AL$7:$AL$1843,AL1286,$BT$7:$BT$1843,"&lt;="&amp;BT1286),"")</f>
        <v>12853.7401311024</v>
      </c>
      <c r="AN1286" s="58" t="n">
        <f aca="false">IF(AM1286="",0,MAX(0,MIN(1,(IF(CC1286="L1",Parameter!$H$5,IF(CC1286="L23",Parameter!$H$6+Parameter!$H$7,Parameter!$H$5+Parameter!$H$6+Parameter!$H$7))-(AM1286-AI1286))/AI1286)))</f>
        <v>1</v>
      </c>
      <c r="AO1286" s="50" t="n">
        <f aca="false">IF(LEFT(Cockpit!$I$5,1)="A",H1286,IF(CE1286=1,CF1286,IF(LEFT(Cockpit!$I$5,1)="B",AT1286,MAX(AT1286,H1286))))</f>
        <v>108</v>
      </c>
      <c r="AP1286" s="50" t="n">
        <f aca="false">IF(BW1286=1,0,ROUNDUP(AO1286/BV1286,0))</f>
        <v>1</v>
      </c>
      <c r="AQ1286" s="52" t="n">
        <f aca="false">IF(CL1286&gt;0,CL1286*MAX(1,AO1286/X1286),IF(BW1286=1,IF(AO1286&lt;=0,0,CA1286*MAX(1,IF(H1286&gt;0,AO1286/H1286,1))),IF(R1286&gt;0,AP1286/R1286,0))/MAX(0.1,N(Parameter!$M$21)))</f>
        <v>0.0833333333333333</v>
      </c>
      <c r="AR1286" s="50" t="n">
        <f aca="false">AQ1286*BY1286</f>
        <v>12.0833333333333</v>
      </c>
      <c r="AS1286" s="50" t="n">
        <f aca="false">AO1286*G1286</f>
        <v>30195.72</v>
      </c>
      <c r="AT1286" s="50" t="n">
        <f aca="false">ROUNDUP(MAX(J1286/IF(CD1286&gt;0,CD1286,MAX(0.1,N(Cockpit!$I$6))),CG1286)/BV1286,0)*BV1286</f>
        <v>108</v>
      </c>
      <c r="AU1286" s="51" t="n">
        <f aca="false">IF(AR1286&gt;0,J1286/AR1286,-1)</f>
        <v>0.16551724137931</v>
      </c>
      <c r="AV1286" s="51" t="n">
        <f aca="false">IF(AND(OR(CC1286="L1",CC1286="L23",CC1286="LIFT"),AR1286&gt;0),SUMIFS($AR$7:$AR$1843,$CC$7:$CC$1843,CC1286,$AU$7:$AU$1843,"&gt;"&amp;AU1286)+SUMIFS($AR$7:$AR$1843,$CC$7:$CC$1843,CC1286,$AU$7:$AU$1843,AU1286,$BT$7:$BT$1843,"&lt;="&amp;BT1286),"")</f>
        <v>19458.9812271062</v>
      </c>
      <c r="AW1286" s="58" t="n">
        <f aca="false">IF(AV1286="",0,MAX(0,MIN(1,(IF(CC1286="L1",Parameter!$H$5,IF(CC1286="L23",Parameter!$H$6+Parameter!$H$7,Parameter!$H$5+Parameter!$H$6+Parameter!$H$7))-(AV1286-AR1286))/AR1286)))</f>
        <v>1</v>
      </c>
      <c r="AX1286" s="50" t="n">
        <f aca="false">IF(LEFT(Cockpit!$O$5,1)="A",H1286,IF(CE1286=1,CF1286,IF(LEFT(Cockpit!$O$5,1)="B",BC1286,MAX(BC1286,H1286))))</f>
        <v>108</v>
      </c>
      <c r="AY1286" s="50" t="n">
        <f aca="false">IF(BW1286=1,0,ROUNDUP(AX1286/BV1286,0))</f>
        <v>1</v>
      </c>
      <c r="AZ1286" s="52" t="n">
        <f aca="false">IF(CL1286&gt;0,CL1286*MAX(1,AX1286/X1286),IF(BW1286=1,IF(AX1286&lt;=0,0,CA1286*MAX(1,IF(H1286&gt;0,AX1286/H1286,1))),IF(R1286&gt;0,AY1286/R1286,0))/MAX(0.1,N(Parameter!$M$21)))</f>
        <v>0.0833333333333333</v>
      </c>
      <c r="BA1286" s="50" t="n">
        <f aca="false">AZ1286*BY1286</f>
        <v>12.0833333333333</v>
      </c>
      <c r="BB1286" s="50" t="n">
        <f aca="false">AX1286*G1286</f>
        <v>30195.72</v>
      </c>
      <c r="BC1286" s="50" t="n">
        <f aca="false">ROUNDUP(MAX(J1286/IF(CD1286&gt;0,CD1286,MAX(0.1,N(Cockpit!$O$6))),CG1286)/BV1286,0)*BV1286</f>
        <v>108</v>
      </c>
      <c r="BD1286" s="51" t="n">
        <f aca="false">IF(BA1286&gt;0,J1286/BA1286,-1)</f>
        <v>0.16551724137931</v>
      </c>
      <c r="BE1286" s="51" t="n">
        <f aca="false">IF(AND(OR(CC1286="L1",CC1286="L23",CC1286="LIFT"),BA1286&gt;0),SUMIFS($BA$7:$BA$1843,$CC$7:$CC$1843,CC1286,$BD$7:$BD$1843,"&gt;"&amp;BD1286)+SUMIFS($BA$7:$BA$1843,$CC$7:$CC$1843,CC1286,$BD$7:$BD$1843,BD1286,$BT$7:$BT$1843,"&lt;="&amp;BT1286),"")</f>
        <v>17485.0549450549</v>
      </c>
      <c r="BF1286" s="58" t="n">
        <f aca="false">IF(BE1286="",0,MAX(0,MIN(1,(IF(CC1286="L1",Parameter!$H$5,IF(CC1286="L23",Parameter!$H$6+Parameter!$H$7,Parameter!$H$5+Parameter!$H$6+Parameter!$H$7))-(BE1286-BA1286))/BA1286)))</f>
        <v>1</v>
      </c>
      <c r="BG1286" s="48" t="str">
        <f aca="false">IF(AI1286&lt;=0,"",IF(CC1286="Aussen","Aussenlager",IF(CC1286="-","Nicht im Lift",IF(AN1286&gt;=1,"Lift",IF(AN1286&lt;=0,"Aussenlager","teilweise")))))</f>
        <v>Lift</v>
      </c>
      <c r="BH1286" s="48" t="str">
        <f aca="false">IF(AR1286&lt;=0,"",IF(CC1286="Aussen","Aussenlager",IF(CC1286="-","Nicht im Lift",IF(AW1286&gt;=1,"Lift",IF(AW1286&lt;=0,"Aussenlager","teilweise")))))</f>
        <v>Lift</v>
      </c>
      <c r="BI1286" s="48" t="str">
        <f aca="false">IF(BA1286&lt;=0,"",IF(CC1286="Aussen","Aussenlager",IF(CC1286="-","Nicht im Lift",IF(BF1286&gt;=1,"Lift",IF(BF1286&lt;=0,"Aussenlager","teilweise")))))</f>
        <v>Lift</v>
      </c>
      <c r="BJ1286" s="48" t="str">
        <f aca="false">IF(A1286="","",IF(BS1286=1,"Neu; ","")&amp;IF(AND(BS1286=0,BN1286&lt;0),"negativer Bestand (Export "&amp;BN1286&amp;"); ","")&amp;IF(J1286&lt;=0,"Kein Verbrauch; ","")&amp;IF(CL1286&gt;0,"Lift "&amp;W1286&amp;" lt. Liftbericht (Fach "&amp;X1286&amp;" Stk); ",IF(BX1286=1,"Gebinde geschätzt ("&amp;T1286&amp;"); ",IF(BW1286=1,"Lose – Tablare geschätzt; ","")))&amp;IF(H1286&gt;AT1286,"Überbestand "&amp;ROUND(H1286-AT1286,0)&amp;" Stk / CHF "&amp;ROUND((H1286-AT1286)*G1286,0)&amp;"; ","")&amp;IF(AND(CE1286=1,CF1286&lt;CG1286),"MAX &lt; MB+LG; ","")&amp;IF(AND(CK1286&gt;0,CJ1286*10&gt;CK1286),"zu hoch für Tablar; ","")&amp;IF(AND(BS1286=0,OR(CE1286=1,AA1286&lt;&gt;"",U1286&lt;&gt;"",V1286&lt;&gt;"",AB1286&lt;&gt;"")),"manuell übersteuert; ","")&amp;IF(AND(BW1286=0,R1286=0),"Gebinde unbekannt / Stellmass fehlt; ","")&amp;IF(AND(BW1286=0,N(V1286)&lt;=0,N(Q1286)&lt;=0),"Menge pro Gebinde fehlt (Ist = 1 Gebinde); ","")&amp;BR1286)</f>
        <v>negativer Bestand (Export -4); Gebinde geschätzt (Mittel); Menge pro Gebinde fehlt (Ist = 1 Gebinde); </v>
      </c>
      <c r="BK1286" s="48"/>
      <c r="BL1286" s="48"/>
      <c r="BM1286" s="55"/>
      <c r="BN1286" s="50" t="n">
        <v>-4</v>
      </c>
      <c r="BO1286" s="50" t="n">
        <v>112</v>
      </c>
      <c r="BP1286" s="49" t="n">
        <v>-1118.36</v>
      </c>
      <c r="BQ1286" s="50" t="n">
        <v>2</v>
      </c>
      <c r="BR1286" s="48"/>
      <c r="BS1286" s="53" t="n">
        <v>0</v>
      </c>
      <c r="BT1286" s="53" t="n">
        <v>1286</v>
      </c>
      <c r="BU1286" s="48" t="str">
        <f aca="false">IF(U1286&lt;&gt;"",UPPER(TRIM(U1286)),IF(BX1286=1,UPPER(VLOOKUP(T1286,Parameter!$I$27:$K$29,2,0)),IF(P1286="","LOSE",P1286)))</f>
        <v>S61</v>
      </c>
      <c r="BV1286" s="50" t="n">
        <f aca="false">IF(BU1286="LOSE",1,IF(N(V1286)&gt;0,V1286,IF(BX1286=1,MAX(1,N(VLOOKUP(T1286,Parameter!$I$27:$K$29,3,0)),H1286,N(N1286)),IF(N(Q1286)&gt;0,Q1286,MAX(1,H1286)))))</f>
        <v>108</v>
      </c>
      <c r="BW1286" s="53" t="n">
        <f aca="false">IF(BU1286="LOSE",1,0)</f>
        <v>0</v>
      </c>
      <c r="BX1286" s="53" t="n">
        <f aca="false">IF(AND(U1286="",OR(P1286="",P1286="LOSE"),T1286&lt;&gt;"",N(S1286)&lt;=0,ISNUMBER(MATCH(T1286,Parameter!$I$27:$I$29,0))),1,0)</f>
        <v>1</v>
      </c>
      <c r="BY1286" s="53" t="n">
        <f aca="false">IF(CL1286&gt;0,INDEX(Parameter!$H$5:$H$7,W1286)/INDEX(Parameter!$E$5:$E$7,W1286),IF(AND(BW1286=0,N(IFERROR(VLOOKUP(BU1286,'Gebinde-Kategorie'!$A$5:$N$45,14,0),0))&gt;0),VLOOKUP(BU1286,'Gebinde-Kategorie'!$A$5:$N$45,14,0)*10+Parameter!$M$23,Parameter!$M$24))</f>
        <v>145</v>
      </c>
      <c r="BZ1286" s="48" t="str">
        <f aca="false">IF(AND(Parameter!$B$19="Ja",E1286&lt;&gt;"",ISNUMBER(MATCH(E1286,Parameter!$I$35:$I$52,0))),VLOOKUP(E1286,Parameter!$I$35:$J$52,2,0),IFERROR(VLOOKUP(D1286,Parameter!$A$35:$C$64,2,0),"Nein"))</f>
        <v>2+3</v>
      </c>
      <c r="CA1286" s="52" t="n">
        <f aca="false">IF(BW1286=0,0,IF(N(S1286)&gt;0,S1286,IFERROR(VLOOKUP(D1286,Parameter!$A$35:$C$64,3,0)+0,0)))</f>
        <v>0</v>
      </c>
      <c r="CB1286" s="48" t="n">
        <f aca="false">IF(AA1286&lt;&gt;"",AA1286,Z1286)</f>
        <v>2</v>
      </c>
      <c r="CC1286" s="48" t="str">
        <f aca="false">IF(OR(CB1286=1,CB1286=2,CB1286=3),IF(Parameter!$E$27="Ja","LIFT",IF(CB1286=1,"L1","L23")),IF(CB1286="Aussen","Aussen","-"))</f>
        <v>LIFT</v>
      </c>
      <c r="CD1286" s="59" t="n">
        <f aca="false">IF(N(AB1286)&gt;0,AB1286,0)</f>
        <v>0</v>
      </c>
      <c r="CE1286" s="53" t="n">
        <f aca="false">IF(ISNUMBER(AE1286),1,0)</f>
        <v>0</v>
      </c>
      <c r="CF1286" s="50" t="n">
        <f aca="false">N(AE1286)</f>
        <v>0</v>
      </c>
      <c r="CG1286" s="50" t="n">
        <f aca="false">N(M1286)+N(N1286)</f>
        <v>1</v>
      </c>
      <c r="CH1286" s="50" t="n">
        <f aca="false">ROUNDUP(H1286/BV1286,0)</f>
        <v>1</v>
      </c>
      <c r="CI1286" s="50" t="n">
        <f aca="false">ROUNDUP(CF1286/BV1286,0)</f>
        <v>0</v>
      </c>
      <c r="CJ1286" s="53" t="n">
        <f aca="false">IF(BW1286=1,0,IFERROR(VLOOKUP(BU1286,'Gebinde-Kategorie'!$A$5:$N$45,5,0)+0,0))</f>
        <v>11</v>
      </c>
      <c r="CK1286" s="53" t="n">
        <f aca="false">IFERROR(IF(OR(CB1286=1,CB1286=2,CB1286=3),N(INDEX(Parameter!$I$5:$I$7,CB1286)),0),0)</f>
        <v>0</v>
      </c>
      <c r="CL1286" s="52" t="n">
        <f aca="false">IF(AND(Parameter!$B$21="Ja",ISNUMBER(W1286),N(X1286)&gt;0),IFERROR(N(INDEX(Parameter!$L$5:$L$7,W1286))*INDEX(Parameter!$E$5:$E$7,W1286)*X1286/SUMIFS($X$7:$X$1843,$W$7:$W$1843,W1286),0),0)</f>
        <v>0</v>
      </c>
    </row>
    <row r="1287" customFormat="false" ht="15" hidden="false" customHeight="false" outlineLevel="0" collapsed="false">
      <c r="A1287" s="48" t="s">
        <v>2299</v>
      </c>
      <c r="B1287" s="48" t="s">
        <v>2300</v>
      </c>
      <c r="C1287" s="48" t="s">
        <v>168</v>
      </c>
      <c r="D1287" s="48" t="s">
        <v>188</v>
      </c>
      <c r="E1287" s="48" t="s">
        <v>189</v>
      </c>
      <c r="F1287" s="48" t="s">
        <v>222</v>
      </c>
      <c r="G1287" s="49" t="n">
        <v>112.45</v>
      </c>
      <c r="H1287" s="50" t="n">
        <f aca="false">MAX(0,IF(AND(Parameter!$B$21="Ja",ISNUMBER(Y1287)),Y1287,IF(Parameter!$B$20="Jahresanfang 2025 + Export",BO1287+BN1287,BN1287)))</f>
        <v>4</v>
      </c>
      <c r="I1287" s="50" t="n">
        <f aca="false">H1287*G1287</f>
        <v>449.8</v>
      </c>
      <c r="J1287" s="50" t="n">
        <f aca="false">BQ1287*Parameter!$B$18</f>
        <v>2</v>
      </c>
      <c r="K1287" s="51" t="n">
        <v>13</v>
      </c>
      <c r="L1287" s="52" t="n">
        <v>0.153846153846154</v>
      </c>
      <c r="M1287" s="50" t="n">
        <v>0</v>
      </c>
      <c r="N1287" s="50" t="n">
        <v>1</v>
      </c>
      <c r="O1287" s="53" t="n">
        <v>56</v>
      </c>
      <c r="P1287" s="48" t="s">
        <v>425</v>
      </c>
      <c r="Q1287" s="50" t="n">
        <v>6</v>
      </c>
      <c r="R1287" s="53" t="n">
        <f aca="false">IF(BW1287=1,0,IFERROR(VLOOKUP(BU1287,'Gebinde-Kategorie'!$A$5:$N$45,13,0)+0,0))</f>
        <v>104</v>
      </c>
      <c r="S1287" s="54"/>
      <c r="T1287" s="55"/>
      <c r="U1287" s="55"/>
      <c r="V1287" s="55"/>
      <c r="W1287" s="48"/>
      <c r="X1287" s="50"/>
      <c r="Y1287" s="50"/>
      <c r="Z1287" s="48" t="n">
        <f aca="false">IF(A1287="","",IF(AND(Parameter!$B$21="Ja",ISNUMBER(W1287)),W1287,IF(BZ1287="2+3",IF(ISNUMBER(SEARCH("grosser Artikel",BR1287)),2,IFERROR(VLOOKUP(BU1287,Parameter!$F$35:$G$64,2,0),2)),IF(OR(BZ1287="Nein",BZ1287=""),"-",BZ1287))))</f>
        <v>3</v>
      </c>
      <c r="AA1287" s="55"/>
      <c r="AB1287" s="56"/>
      <c r="AC1287" s="50" t="n">
        <f aca="false">AT1287</f>
        <v>6</v>
      </c>
      <c r="AD1287" s="50" t="n">
        <f aca="false">MAX(AT1287,H1287)</f>
        <v>6</v>
      </c>
      <c r="AE1287" s="57"/>
      <c r="AF1287" s="50" t="n">
        <f aca="false">IF(LEFT(Cockpit!$C$5,1)="A",H1287,IF(CE1287=1,CF1287,IF(LEFT(Cockpit!$C$5,1)="B",AK1287,MAX(AK1287,H1287))))</f>
        <v>4</v>
      </c>
      <c r="AG1287" s="50" t="n">
        <f aca="false">IF(BW1287=1,0,ROUNDUP(AF1287/BV1287,0))</f>
        <v>1</v>
      </c>
      <c r="AH1287" s="52" t="n">
        <f aca="false">IF(CL1287&gt;0,CL1287*MAX(1,AF1287/X1287),IF(BW1287=1,IF(AF1287&lt;=0,0,CA1287*MAX(1,IF(H1287&gt;0,AF1287/H1287,1))),IF(R1287&gt;0,AG1287/R1287,0))/MAX(0.1,N(Parameter!$M$21)))</f>
        <v>0.00961538461538462</v>
      </c>
      <c r="AI1287" s="50" t="n">
        <f aca="false">AH1287*BY1287</f>
        <v>1.49038461538462</v>
      </c>
      <c r="AJ1287" s="50" t="n">
        <f aca="false">AF1287*G1287</f>
        <v>449.8</v>
      </c>
      <c r="AK1287" s="50" t="n">
        <f aca="false">ROUNDUP(MAX(J1287/IF(CD1287&gt;0,CD1287,MAX(0.1,N(Cockpit!$C$6))),CG1287)/BV1287,0)*BV1287</f>
        <v>6</v>
      </c>
      <c r="AL1287" s="51" t="n">
        <f aca="false">IF(AI1287&gt;0,J1287/AI1287,-1)</f>
        <v>1.34193548387097</v>
      </c>
      <c r="AM1287" s="51" t="n">
        <f aca="false">IF(AND(OR(CC1287="L1",CC1287="L23",CC1287="LIFT"),AI1287&gt;0),SUMIFS($AI$7:$AI$1843,$CC$7:$CC$1843,CC1287,$AL$7:$AL$1843,"&gt;"&amp;AL1287)+SUMIFS($AI$7:$AI$1843,$CC$7:$CC$1843,CC1287,$AL$7:$AL$1843,AL1287,$BT$7:$BT$1843,"&lt;="&amp;BT1287),"")</f>
        <v>6363.93635531136</v>
      </c>
      <c r="AN1287" s="58" t="n">
        <f aca="false">IF(AM1287="",0,MAX(0,MIN(1,(IF(CC1287="L1",Parameter!$H$5,IF(CC1287="L23",Parameter!$H$6+Parameter!$H$7,Parameter!$H$5+Parameter!$H$6+Parameter!$H$7))-(AM1287-AI1287))/AI1287)))</f>
        <v>1</v>
      </c>
      <c r="AO1287" s="50" t="n">
        <f aca="false">IF(LEFT(Cockpit!$I$5,1)="A",H1287,IF(CE1287=1,CF1287,IF(LEFT(Cockpit!$I$5,1)="B",AT1287,MAX(AT1287,H1287))))</f>
        <v>6</v>
      </c>
      <c r="AP1287" s="50" t="n">
        <f aca="false">IF(BW1287=1,0,ROUNDUP(AO1287/BV1287,0))</f>
        <v>1</v>
      </c>
      <c r="AQ1287" s="52" t="n">
        <f aca="false">IF(CL1287&gt;0,CL1287*MAX(1,AO1287/X1287),IF(BW1287=1,IF(AO1287&lt;=0,0,CA1287*MAX(1,IF(H1287&gt;0,AO1287/H1287,1))),IF(R1287&gt;0,AP1287/R1287,0))/MAX(0.1,N(Parameter!$M$21)))</f>
        <v>0.00961538461538462</v>
      </c>
      <c r="AR1287" s="50" t="n">
        <f aca="false">AQ1287*BY1287</f>
        <v>1.49038461538462</v>
      </c>
      <c r="AS1287" s="50" t="n">
        <f aca="false">AO1287*G1287</f>
        <v>674.7</v>
      </c>
      <c r="AT1287" s="50" t="n">
        <f aca="false">ROUNDUP(MAX(J1287/IF(CD1287&gt;0,CD1287,MAX(0.1,N(Cockpit!$I$6))),CG1287)/BV1287,0)*BV1287</f>
        <v>6</v>
      </c>
      <c r="AU1287" s="51" t="n">
        <f aca="false">IF(AR1287&gt;0,J1287/AR1287,-1)</f>
        <v>1.34193548387097</v>
      </c>
      <c r="AV1287" s="51" t="n">
        <f aca="false">IF(AND(OR(CC1287="L1",CC1287="L23",CC1287="LIFT"),AR1287&gt;0),SUMIFS($AR$7:$AR$1843,$CC$7:$CC$1843,CC1287,$AU$7:$AU$1843,"&gt;"&amp;AU1287)+SUMIFS($AR$7:$AR$1843,$CC$7:$CC$1843,CC1287,$AU$7:$AU$1843,AU1287,$BT$7:$BT$1843,"&lt;="&amp;BT1287),"")</f>
        <v>9434.42399267399</v>
      </c>
      <c r="AW1287" s="58" t="n">
        <f aca="false">IF(AV1287="",0,MAX(0,MIN(1,(IF(CC1287="L1",Parameter!$H$5,IF(CC1287="L23",Parameter!$H$6+Parameter!$H$7,Parameter!$H$5+Parameter!$H$6+Parameter!$H$7))-(AV1287-AR1287))/AR1287)))</f>
        <v>1</v>
      </c>
      <c r="AX1287" s="50" t="n">
        <f aca="false">IF(LEFT(Cockpit!$O$5,1)="A",H1287,IF(CE1287=1,CF1287,IF(LEFT(Cockpit!$O$5,1)="B",BC1287,MAX(BC1287,H1287))))</f>
        <v>6</v>
      </c>
      <c r="AY1287" s="50" t="n">
        <f aca="false">IF(BW1287=1,0,ROUNDUP(AX1287/BV1287,0))</f>
        <v>1</v>
      </c>
      <c r="AZ1287" s="52" t="n">
        <f aca="false">IF(CL1287&gt;0,CL1287*MAX(1,AX1287/X1287),IF(BW1287=1,IF(AX1287&lt;=0,0,CA1287*MAX(1,IF(H1287&gt;0,AX1287/H1287,1))),IF(R1287&gt;0,AY1287/R1287,0))/MAX(0.1,N(Parameter!$M$21)))</f>
        <v>0.00961538461538462</v>
      </c>
      <c r="BA1287" s="50" t="n">
        <f aca="false">AZ1287*BY1287</f>
        <v>1.49038461538462</v>
      </c>
      <c r="BB1287" s="50" t="n">
        <f aca="false">AX1287*G1287</f>
        <v>674.7</v>
      </c>
      <c r="BC1287" s="50" t="n">
        <f aca="false">ROUNDUP(MAX(J1287/IF(CD1287&gt;0,CD1287,MAX(0.1,N(Cockpit!$O$6))),CG1287)/BV1287,0)*BV1287</f>
        <v>6</v>
      </c>
      <c r="BD1287" s="51" t="n">
        <f aca="false">IF(BA1287&gt;0,J1287/BA1287,-1)</f>
        <v>1.34193548387097</v>
      </c>
      <c r="BE1287" s="51" t="n">
        <f aca="false">IF(AND(OR(CC1287="L1",CC1287="L23",CC1287="LIFT"),BA1287&gt;0),SUMIFS($BA$7:$BA$1843,$CC$7:$CC$1843,CC1287,$BD$7:$BD$1843,"&gt;"&amp;BD1287)+SUMIFS($BA$7:$BA$1843,$CC$7:$CC$1843,CC1287,$BD$7:$BD$1843,BD1287,$BT$7:$BT$1843,"&lt;="&amp;BT1287),"")</f>
        <v>8620.08104395605</v>
      </c>
      <c r="BF1287" s="58" t="n">
        <f aca="false">IF(BE1287="",0,MAX(0,MIN(1,(IF(CC1287="L1",Parameter!$H$5,IF(CC1287="L23",Parameter!$H$6+Parameter!$H$7,Parameter!$H$5+Parameter!$H$6+Parameter!$H$7))-(BE1287-BA1287))/BA1287)))</f>
        <v>1</v>
      </c>
      <c r="BG1287" s="48" t="str">
        <f aca="false">IF(AI1287&lt;=0,"",IF(CC1287="Aussen","Aussenlager",IF(CC1287="-","Nicht im Lift",IF(AN1287&gt;=1,"Lift",IF(AN1287&lt;=0,"Aussenlager","teilweise")))))</f>
        <v>Lift</v>
      </c>
      <c r="BH1287" s="48" t="str">
        <f aca="false">IF(AR1287&lt;=0,"",IF(CC1287="Aussen","Aussenlager",IF(CC1287="-","Nicht im Lift",IF(AW1287&gt;=1,"Lift",IF(AW1287&lt;=0,"Aussenlager","teilweise")))))</f>
        <v>Lift</v>
      </c>
      <c r="BI1287" s="48" t="str">
        <f aca="false">IF(BA1287&lt;=0,"",IF(CC1287="Aussen","Aussenlager",IF(CC1287="-","Nicht im Lift",IF(BF1287&gt;=1,"Lift",IF(BF1287&lt;=0,"Aussenlager","teilweise")))))</f>
        <v>Lift</v>
      </c>
      <c r="BJ1287" s="48" t="str">
        <f aca="false">IF(A1287="","",IF(BS1287=1,"Neu; ","")&amp;IF(AND(BS1287=0,BN1287&lt;0),"negativer Bestand (Export "&amp;BN1287&amp;"); ","")&amp;IF(J1287&lt;=0,"Kein Verbrauch; ","")&amp;IF(CL1287&gt;0,"Lift "&amp;W1287&amp;" lt. Liftbericht (Fach "&amp;X1287&amp;" Stk); ",IF(BX1287=1,"Gebinde geschätzt ("&amp;T1287&amp;"); ",IF(BW1287=1,"Lose – Tablare geschätzt; ","")))&amp;IF(H1287&gt;AT1287,"Überbestand "&amp;ROUND(H1287-AT1287,0)&amp;" Stk / CHF "&amp;ROUND((H1287-AT1287)*G1287,0)&amp;"; ","")&amp;IF(AND(CE1287=1,CF1287&lt;CG1287),"MAX &lt; MB+LG; ","")&amp;IF(AND(CK1287&gt;0,CJ1287*10&gt;CK1287),"zu hoch für Tablar; ","")&amp;IF(AND(BS1287=0,OR(CE1287=1,AA1287&lt;&gt;"",U1287&lt;&gt;"",V1287&lt;&gt;"",AB1287&lt;&gt;"")),"manuell übersteuert; ","")&amp;IF(AND(BW1287=0,R1287=0),"Gebinde unbekannt / Stellmass fehlt; ","")&amp;IF(AND(BW1287=0,N(V1287)&lt;=0,N(Q1287)&lt;=0),"Menge pro Gebinde fehlt (Ist = 1 Gebinde); ","")&amp;BR1287)</f>
        <v>negativer Bestand (Export -10); nicht im KTL vorhanden</v>
      </c>
      <c r="BK1287" s="48"/>
      <c r="BL1287" s="48"/>
      <c r="BM1287" s="55"/>
      <c r="BN1287" s="50" t="n">
        <v>-10</v>
      </c>
      <c r="BO1287" s="50" t="n">
        <v>14</v>
      </c>
      <c r="BP1287" s="49" t="n">
        <v>-1124.5</v>
      </c>
      <c r="BQ1287" s="50" t="n">
        <v>2</v>
      </c>
      <c r="BR1287" s="48" t="s">
        <v>234</v>
      </c>
      <c r="BS1287" s="53" t="n">
        <v>0</v>
      </c>
      <c r="BT1287" s="53" t="n">
        <v>1287</v>
      </c>
      <c r="BU1287" s="48" t="str">
        <f aca="false">IF(U1287&lt;&gt;"",UPPER(TRIM(U1287)),IF(BX1287=1,UPPER(VLOOKUP(T1287,Parameter!$I$27:$K$29,2,0)),IF(P1287="","LOSE",P1287)))</f>
        <v>S32</v>
      </c>
      <c r="BV1287" s="50" t="n">
        <f aca="false">IF(BU1287="LOSE",1,IF(N(V1287)&gt;0,V1287,IF(BX1287=1,MAX(1,N(VLOOKUP(T1287,Parameter!$I$27:$K$29,3,0)),H1287,N(N1287)),IF(N(Q1287)&gt;0,Q1287,MAX(1,H1287)))))</f>
        <v>6</v>
      </c>
      <c r="BW1287" s="53" t="n">
        <f aca="false">IF(BU1287="LOSE",1,0)</f>
        <v>0</v>
      </c>
      <c r="BX1287" s="53" t="n">
        <f aca="false">IF(AND(U1287="",OR(P1287="",P1287="LOSE"),T1287&lt;&gt;"",N(S1287)&lt;=0,ISNUMBER(MATCH(T1287,Parameter!$I$27:$I$29,0))),1,0)</f>
        <v>0</v>
      </c>
      <c r="BY1287" s="53" t="n">
        <f aca="false">IF(CL1287&gt;0,INDEX(Parameter!$H$5:$H$7,W1287)/INDEX(Parameter!$E$5:$E$7,W1287),IF(AND(BW1287=0,N(IFERROR(VLOOKUP(BU1287,'Gebinde-Kategorie'!$A$5:$N$45,14,0),0))&gt;0),VLOOKUP(BU1287,'Gebinde-Kategorie'!$A$5:$N$45,14,0)*10+Parameter!$M$23,Parameter!$M$24))</f>
        <v>155</v>
      </c>
      <c r="BZ1287" s="48" t="str">
        <f aca="false">IF(AND(Parameter!$B$19="Ja",E1287&lt;&gt;"",ISNUMBER(MATCH(E1287,Parameter!$I$35:$I$52,0))),VLOOKUP(E1287,Parameter!$I$35:$J$52,2,0),IFERROR(VLOOKUP(D1287,Parameter!$A$35:$C$64,2,0),"Nein"))</f>
        <v>2+3</v>
      </c>
      <c r="CA1287" s="52" t="n">
        <f aca="false">IF(BW1287=0,0,IF(N(S1287)&gt;0,S1287,IFERROR(VLOOKUP(D1287,Parameter!$A$35:$C$64,3,0)+0,0)))</f>
        <v>0</v>
      </c>
      <c r="CB1287" s="48" t="n">
        <f aca="false">IF(AA1287&lt;&gt;"",AA1287,Z1287)</f>
        <v>3</v>
      </c>
      <c r="CC1287" s="48" t="str">
        <f aca="false">IF(OR(CB1287=1,CB1287=2,CB1287=3),IF(Parameter!$E$27="Ja","LIFT",IF(CB1287=1,"L1","L23")),IF(CB1287="Aussen","Aussen","-"))</f>
        <v>LIFT</v>
      </c>
      <c r="CD1287" s="59" t="n">
        <f aca="false">IF(N(AB1287)&gt;0,AB1287,0)</f>
        <v>0</v>
      </c>
      <c r="CE1287" s="53" t="n">
        <f aca="false">IF(ISNUMBER(AE1287),1,0)</f>
        <v>0</v>
      </c>
      <c r="CF1287" s="50" t="n">
        <f aca="false">N(AE1287)</f>
        <v>0</v>
      </c>
      <c r="CG1287" s="50" t="n">
        <f aca="false">N(M1287)+N(N1287)</f>
        <v>1</v>
      </c>
      <c r="CH1287" s="50" t="n">
        <f aca="false">ROUNDUP(H1287/BV1287,0)</f>
        <v>1</v>
      </c>
      <c r="CI1287" s="50" t="n">
        <f aca="false">ROUNDUP(CF1287/BV1287,0)</f>
        <v>0</v>
      </c>
      <c r="CJ1287" s="53" t="n">
        <f aca="false">IF(BW1287=1,0,IFERROR(VLOOKUP(BU1287,'Gebinde-Kategorie'!$A$5:$N$45,5,0)+0,0))</f>
        <v>8</v>
      </c>
      <c r="CK1287" s="53" t="n">
        <f aca="false">IFERROR(IF(OR(CB1287=1,CB1287=2,CB1287=3),N(INDEX(Parameter!$I$5:$I$7,CB1287)),0),0)</f>
        <v>0</v>
      </c>
      <c r="CL1287" s="52" t="n">
        <f aca="false">IF(AND(Parameter!$B$21="Ja",ISNUMBER(W1287),N(X1287)&gt;0),IFERROR(N(INDEX(Parameter!$L$5:$L$7,W1287))*INDEX(Parameter!$E$5:$E$7,W1287)*X1287/SUMIFS($X$7:$X$1843,$W$7:$W$1843,W1287),0),0)</f>
        <v>0</v>
      </c>
    </row>
    <row r="1288" customFormat="false" ht="15" hidden="false" customHeight="false" outlineLevel="0" collapsed="false">
      <c r="A1288" s="48" t="s">
        <v>2301</v>
      </c>
      <c r="B1288" s="48" t="s">
        <v>1833</v>
      </c>
      <c r="C1288" s="48" t="s">
        <v>168</v>
      </c>
      <c r="D1288" s="48" t="s">
        <v>188</v>
      </c>
      <c r="E1288" s="48" t="s">
        <v>189</v>
      </c>
      <c r="F1288" s="48" t="s">
        <v>222</v>
      </c>
      <c r="G1288" s="49" t="n">
        <v>30.9</v>
      </c>
      <c r="H1288" s="50" t="n">
        <f aca="false">MAX(0,IF(AND(Parameter!$B$21="Ja",ISNUMBER(Y1288)),Y1288,IF(Parameter!$B$20="Jahresanfang 2025 + Export",BO1288+BN1288,BN1288)))</f>
        <v>111</v>
      </c>
      <c r="I1288" s="50" t="n">
        <f aca="false">H1288*G1288</f>
        <v>3429.9</v>
      </c>
      <c r="J1288" s="50" t="n">
        <f aca="false">BQ1288*Parameter!$B$18</f>
        <v>42</v>
      </c>
      <c r="K1288" s="51" t="n">
        <v>132.5</v>
      </c>
      <c r="L1288" s="52" t="n">
        <v>0.316981132075472</v>
      </c>
      <c r="M1288" s="50" t="n">
        <v>8</v>
      </c>
      <c r="N1288" s="50" t="n">
        <v>40</v>
      </c>
      <c r="O1288" s="53" t="n">
        <v>70</v>
      </c>
      <c r="P1288" s="48" t="s">
        <v>306</v>
      </c>
      <c r="Q1288" s="50" t="n">
        <v>113</v>
      </c>
      <c r="R1288" s="53" t="n">
        <f aca="false">IF(BW1288=1,0,IFERROR(VLOOKUP(BU1288,'Gebinde-Kategorie'!$A$5:$N$45,13,0)+0,0))</f>
        <v>26</v>
      </c>
      <c r="S1288" s="54"/>
      <c r="T1288" s="55"/>
      <c r="U1288" s="55"/>
      <c r="V1288" s="55"/>
      <c r="W1288" s="48"/>
      <c r="X1288" s="50"/>
      <c r="Y1288" s="50"/>
      <c r="Z1288" s="48" t="n">
        <f aca="false">IF(A1288="","",IF(AND(Parameter!$B$21="Ja",ISNUMBER(W1288)),W1288,IF(BZ1288="2+3",IF(ISNUMBER(SEARCH("grosser Artikel",BR1288)),2,IFERROR(VLOOKUP(BU1288,Parameter!$F$35:$G$64,2,0),2)),IF(OR(BZ1288="Nein",BZ1288=""),"-",BZ1288))))</f>
        <v>3</v>
      </c>
      <c r="AA1288" s="55"/>
      <c r="AB1288" s="56"/>
      <c r="AC1288" s="50" t="n">
        <f aca="false">AT1288</f>
        <v>113</v>
      </c>
      <c r="AD1288" s="50" t="n">
        <f aca="false">MAX(AT1288,H1288)</f>
        <v>113</v>
      </c>
      <c r="AE1288" s="57"/>
      <c r="AF1288" s="50" t="n">
        <f aca="false">IF(LEFT(Cockpit!$C$5,1)="A",H1288,IF(CE1288=1,CF1288,IF(LEFT(Cockpit!$C$5,1)="B",AK1288,MAX(AK1288,H1288))))</f>
        <v>111</v>
      </c>
      <c r="AG1288" s="50" t="n">
        <f aca="false">IF(BW1288=1,0,ROUNDUP(AF1288/BV1288,0))</f>
        <v>1</v>
      </c>
      <c r="AH1288" s="52" t="n">
        <f aca="false">IF(CL1288&gt;0,CL1288*MAX(1,AF1288/X1288),IF(BW1288=1,IF(AF1288&lt;=0,0,CA1288*MAX(1,IF(H1288&gt;0,AF1288/H1288,1))),IF(R1288&gt;0,AG1288/R1288,0))/MAX(0.1,N(Parameter!$M$21)))</f>
        <v>0.0384615384615385</v>
      </c>
      <c r="AI1288" s="50" t="n">
        <f aca="false">AH1288*BY1288</f>
        <v>5.96153846153846</v>
      </c>
      <c r="AJ1288" s="50" t="n">
        <f aca="false">AF1288*G1288</f>
        <v>3429.9</v>
      </c>
      <c r="AK1288" s="50" t="n">
        <f aca="false">ROUNDUP(MAX(J1288/IF(CD1288&gt;0,CD1288,MAX(0.1,N(Cockpit!$C$6))),CG1288)/BV1288,0)*BV1288</f>
        <v>113</v>
      </c>
      <c r="AL1288" s="51" t="n">
        <f aca="false">IF(AI1288&gt;0,J1288/AI1288,-1)</f>
        <v>7.04516129032258</v>
      </c>
      <c r="AM1288" s="51" t="n">
        <f aca="false">IF(AND(OR(CC1288="L1",CC1288="L23",CC1288="LIFT"),AI1288&gt;0),SUMIFS($AI$7:$AI$1843,$CC$7:$CC$1843,CC1288,$AL$7:$AL$1843,"&gt;"&amp;AL1288)+SUMIFS($AI$7:$AI$1843,$CC$7:$CC$1843,CC1288,$AL$7:$AL$1843,AL1288,$BT$7:$BT$1843,"&lt;="&amp;BT1288),"")</f>
        <v>3190.13690476191</v>
      </c>
      <c r="AN1288" s="58" t="n">
        <f aca="false">IF(AM1288="",0,MAX(0,MIN(1,(IF(CC1288="L1",Parameter!$H$5,IF(CC1288="L23",Parameter!$H$6+Parameter!$H$7,Parameter!$H$5+Parameter!$H$6+Parameter!$H$7))-(AM1288-AI1288))/AI1288)))</f>
        <v>1</v>
      </c>
      <c r="AO1288" s="50" t="n">
        <f aca="false">IF(LEFT(Cockpit!$I$5,1)="A",H1288,IF(CE1288=1,CF1288,IF(LEFT(Cockpit!$I$5,1)="B",AT1288,MAX(AT1288,H1288))))</f>
        <v>113</v>
      </c>
      <c r="AP1288" s="50" t="n">
        <f aca="false">IF(BW1288=1,0,ROUNDUP(AO1288/BV1288,0))</f>
        <v>1</v>
      </c>
      <c r="AQ1288" s="52" t="n">
        <f aca="false">IF(CL1288&gt;0,CL1288*MAX(1,AO1288/X1288),IF(BW1288=1,IF(AO1288&lt;=0,0,CA1288*MAX(1,IF(H1288&gt;0,AO1288/H1288,1))),IF(R1288&gt;0,AP1288/R1288,0))/MAX(0.1,N(Parameter!$M$21)))</f>
        <v>0.0384615384615385</v>
      </c>
      <c r="AR1288" s="50" t="n">
        <f aca="false">AQ1288*BY1288</f>
        <v>5.96153846153846</v>
      </c>
      <c r="AS1288" s="50" t="n">
        <f aca="false">AO1288*G1288</f>
        <v>3491.7</v>
      </c>
      <c r="AT1288" s="50" t="n">
        <f aca="false">ROUNDUP(MAX(J1288/IF(CD1288&gt;0,CD1288,MAX(0.1,N(Cockpit!$I$6))),CG1288)/BV1288,0)*BV1288</f>
        <v>113</v>
      </c>
      <c r="AU1288" s="51" t="n">
        <f aca="false">IF(AR1288&gt;0,J1288/AR1288,-1)</f>
        <v>7.04516129032258</v>
      </c>
      <c r="AV1288" s="51" t="n">
        <f aca="false">IF(AND(OR(CC1288="L1",CC1288="L23",CC1288="LIFT"),AR1288&gt;0),SUMIFS($AR$7:$AR$1843,$CC$7:$CC$1843,CC1288,$AU$7:$AU$1843,"&gt;"&amp;AU1288)+SUMIFS($AR$7:$AR$1843,$CC$7:$CC$1843,CC1288,$AU$7:$AU$1843,AU1288,$BT$7:$BT$1843,"&lt;="&amp;BT1288),"")</f>
        <v>4372.49038461539</v>
      </c>
      <c r="AW1288" s="58" t="n">
        <f aca="false">IF(AV1288="",0,MAX(0,MIN(1,(IF(CC1288="L1",Parameter!$H$5,IF(CC1288="L23",Parameter!$H$6+Parameter!$H$7,Parameter!$H$5+Parameter!$H$6+Parameter!$H$7))-(AV1288-AR1288))/AR1288)))</f>
        <v>1</v>
      </c>
      <c r="AX1288" s="50" t="n">
        <f aca="false">IF(LEFT(Cockpit!$O$5,1)="A",H1288,IF(CE1288=1,CF1288,IF(LEFT(Cockpit!$O$5,1)="B",BC1288,MAX(BC1288,H1288))))</f>
        <v>113</v>
      </c>
      <c r="AY1288" s="50" t="n">
        <f aca="false">IF(BW1288=1,0,ROUNDUP(AX1288/BV1288,0))</f>
        <v>1</v>
      </c>
      <c r="AZ1288" s="52" t="n">
        <f aca="false">IF(CL1288&gt;0,CL1288*MAX(1,AX1288/X1288),IF(BW1288=1,IF(AX1288&lt;=0,0,CA1288*MAX(1,IF(H1288&gt;0,AX1288/H1288,1))),IF(R1288&gt;0,AY1288/R1288,0))/MAX(0.1,N(Parameter!$M$21)))</f>
        <v>0.0384615384615385</v>
      </c>
      <c r="BA1288" s="50" t="n">
        <f aca="false">AZ1288*BY1288</f>
        <v>5.96153846153846</v>
      </c>
      <c r="BB1288" s="50" t="n">
        <f aca="false">AX1288*G1288</f>
        <v>3491.7</v>
      </c>
      <c r="BC1288" s="50" t="n">
        <f aca="false">ROUNDUP(MAX(J1288/IF(CD1288&gt;0,CD1288,MAX(0.1,N(Cockpit!$O$6))),CG1288)/BV1288,0)*BV1288</f>
        <v>113</v>
      </c>
      <c r="BD1288" s="51" t="n">
        <f aca="false">IF(BA1288&gt;0,J1288/BA1288,-1)</f>
        <v>7.04516129032258</v>
      </c>
      <c r="BE1288" s="51" t="n">
        <f aca="false">IF(AND(OR(CC1288="L1",CC1288="L23",CC1288="LIFT"),BA1288&gt;0),SUMIFS($BA$7:$BA$1843,$CC$7:$CC$1843,CC1288,$BD$7:$BD$1843,"&gt;"&amp;BD1288)+SUMIFS($BA$7:$BA$1843,$CC$7:$CC$1843,CC1288,$BD$7:$BD$1843,BD1288,$BT$7:$BT$1843,"&lt;="&amp;BT1288),"")</f>
        <v>4115.45512820513</v>
      </c>
      <c r="BF1288" s="58" t="n">
        <f aca="false">IF(BE1288="",0,MAX(0,MIN(1,(IF(CC1288="L1",Parameter!$H$5,IF(CC1288="L23",Parameter!$H$6+Parameter!$H$7,Parameter!$H$5+Parameter!$H$6+Parameter!$H$7))-(BE1288-BA1288))/BA1288)))</f>
        <v>1</v>
      </c>
      <c r="BG1288" s="48" t="str">
        <f aca="false">IF(AI1288&lt;=0,"",IF(CC1288="Aussen","Aussenlager",IF(CC1288="-","Nicht im Lift",IF(AN1288&gt;=1,"Lift",IF(AN1288&lt;=0,"Aussenlager","teilweise")))))</f>
        <v>Lift</v>
      </c>
      <c r="BH1288" s="48" t="str">
        <f aca="false">IF(AR1288&lt;=0,"",IF(CC1288="Aussen","Aussenlager",IF(CC1288="-","Nicht im Lift",IF(AW1288&gt;=1,"Lift",IF(AW1288&lt;=0,"Aussenlager","teilweise")))))</f>
        <v>Lift</v>
      </c>
      <c r="BI1288" s="48" t="str">
        <f aca="false">IF(BA1288&lt;=0,"",IF(CC1288="Aussen","Aussenlager",IF(CC1288="-","Nicht im Lift",IF(BF1288&gt;=1,"Lift",IF(BF1288&lt;=0,"Aussenlager","teilweise")))))</f>
        <v>Lift</v>
      </c>
      <c r="BJ1288" s="48" t="str">
        <f aca="false">IF(A1288="","",IF(BS1288=1,"Neu; ","")&amp;IF(AND(BS1288=0,BN1288&lt;0),"negativer Bestand (Export "&amp;BN1288&amp;"); ","")&amp;IF(J1288&lt;=0,"Kein Verbrauch; ","")&amp;IF(CL1288&gt;0,"Lift "&amp;W1288&amp;" lt. Liftbericht (Fach "&amp;X1288&amp;" Stk); ",IF(BX1288=1,"Gebinde geschätzt ("&amp;T1288&amp;"); ",IF(BW1288=1,"Lose – Tablare geschätzt; ","")))&amp;IF(H1288&gt;AT1288,"Überbestand "&amp;ROUND(H1288-AT1288,0)&amp;" Stk / CHF "&amp;ROUND((H1288-AT1288)*G1288,0)&amp;"; ","")&amp;IF(AND(CE1288=1,CF1288&lt;CG1288),"MAX &lt; MB+LG; ","")&amp;IF(AND(CK1288&gt;0,CJ1288*10&gt;CK1288),"zu hoch für Tablar; ","")&amp;IF(AND(BS1288=0,OR(CE1288=1,AA1288&lt;&gt;"",U1288&lt;&gt;"",V1288&lt;&gt;"",AB1288&lt;&gt;"")),"manuell übersteuert; ","")&amp;IF(AND(BW1288=0,R1288=0),"Gebinde unbekannt / Stellmass fehlt; ","")&amp;IF(AND(BW1288=0,N(V1288)&lt;=0,N(Q1288)&lt;=0),"Menge pro Gebinde fehlt (Ist = 1 Gebinde); ","")&amp;BR1288)</f>
        <v>negativer Bestand (Export -43); </v>
      </c>
      <c r="BK1288" s="48"/>
      <c r="BL1288" s="48"/>
      <c r="BM1288" s="55"/>
      <c r="BN1288" s="50" t="n">
        <v>-43</v>
      </c>
      <c r="BO1288" s="50" t="n">
        <v>154</v>
      </c>
      <c r="BP1288" s="49" t="n">
        <v>-1126.96</v>
      </c>
      <c r="BQ1288" s="50" t="n">
        <v>42</v>
      </c>
      <c r="BR1288" s="48"/>
      <c r="BS1288" s="53" t="n">
        <v>0</v>
      </c>
      <c r="BT1288" s="53" t="n">
        <v>1288</v>
      </c>
      <c r="BU1288" s="48" t="str">
        <f aca="false">IF(U1288&lt;&gt;"",UPPER(TRIM(U1288)),IF(BX1288=1,UPPER(VLOOKUP(T1288,Parameter!$I$27:$K$29,2,0)),IF(P1288="","LOSE",P1288)))</f>
        <v>S51</v>
      </c>
      <c r="BV1288" s="50" t="n">
        <f aca="false">IF(BU1288="LOSE",1,IF(N(V1288)&gt;0,V1288,IF(BX1288=1,MAX(1,N(VLOOKUP(T1288,Parameter!$I$27:$K$29,3,0)),H1288,N(N1288)),IF(N(Q1288)&gt;0,Q1288,MAX(1,H1288)))))</f>
        <v>113</v>
      </c>
      <c r="BW1288" s="53" t="n">
        <f aca="false">IF(BU1288="LOSE",1,0)</f>
        <v>0</v>
      </c>
      <c r="BX1288" s="53" t="n">
        <f aca="false">IF(AND(U1288="",OR(P1288="",P1288="LOSE"),T1288&lt;&gt;"",N(S1288)&lt;=0,ISNUMBER(MATCH(T1288,Parameter!$I$27:$I$29,0))),1,0)</f>
        <v>0</v>
      </c>
      <c r="BY1288" s="53" t="n">
        <f aca="false">IF(CL1288&gt;0,INDEX(Parameter!$H$5:$H$7,W1288)/INDEX(Parameter!$E$5:$E$7,W1288),IF(AND(BW1288=0,N(IFERROR(VLOOKUP(BU1288,'Gebinde-Kategorie'!$A$5:$N$45,14,0),0))&gt;0),VLOOKUP(BU1288,'Gebinde-Kategorie'!$A$5:$N$45,14,0)*10+Parameter!$M$23,Parameter!$M$24))</f>
        <v>155</v>
      </c>
      <c r="BZ1288" s="48" t="str">
        <f aca="false">IF(AND(Parameter!$B$19="Ja",E1288&lt;&gt;"",ISNUMBER(MATCH(E1288,Parameter!$I$35:$I$52,0))),VLOOKUP(E1288,Parameter!$I$35:$J$52,2,0),IFERROR(VLOOKUP(D1288,Parameter!$A$35:$C$64,2,0),"Nein"))</f>
        <v>2+3</v>
      </c>
      <c r="CA1288" s="52" t="n">
        <f aca="false">IF(BW1288=0,0,IF(N(S1288)&gt;0,S1288,IFERROR(VLOOKUP(D1288,Parameter!$A$35:$C$64,3,0)+0,0)))</f>
        <v>0</v>
      </c>
      <c r="CB1288" s="48" t="n">
        <f aca="false">IF(AA1288&lt;&gt;"",AA1288,Z1288)</f>
        <v>3</v>
      </c>
      <c r="CC1288" s="48" t="str">
        <f aca="false">IF(OR(CB1288=1,CB1288=2,CB1288=3),IF(Parameter!$E$27="Ja","LIFT",IF(CB1288=1,"L1","L23")),IF(CB1288="Aussen","Aussen","-"))</f>
        <v>LIFT</v>
      </c>
      <c r="CD1288" s="59" t="n">
        <f aca="false">IF(N(AB1288)&gt;0,AB1288,0)</f>
        <v>0</v>
      </c>
      <c r="CE1288" s="53" t="n">
        <f aca="false">IF(ISNUMBER(AE1288),1,0)</f>
        <v>0</v>
      </c>
      <c r="CF1288" s="50" t="n">
        <f aca="false">N(AE1288)</f>
        <v>0</v>
      </c>
      <c r="CG1288" s="50" t="n">
        <f aca="false">N(M1288)+N(N1288)</f>
        <v>48</v>
      </c>
      <c r="CH1288" s="50" t="n">
        <f aca="false">ROUNDUP(H1288/BV1288,0)</f>
        <v>1</v>
      </c>
      <c r="CI1288" s="50" t="n">
        <f aca="false">ROUNDUP(CF1288/BV1288,0)</f>
        <v>0</v>
      </c>
      <c r="CJ1288" s="53" t="n">
        <f aca="false">IF(BW1288=1,0,IFERROR(VLOOKUP(BU1288,'Gebinde-Kategorie'!$A$5:$N$45,5,0)+0,0))</f>
        <v>11</v>
      </c>
      <c r="CK1288" s="53" t="n">
        <f aca="false">IFERROR(IF(OR(CB1288=1,CB1288=2,CB1288=3),N(INDEX(Parameter!$I$5:$I$7,CB1288)),0),0)</f>
        <v>0</v>
      </c>
      <c r="CL1288" s="52" t="n">
        <f aca="false">IF(AND(Parameter!$B$21="Ja",ISNUMBER(W1288),N(X1288)&gt;0),IFERROR(N(INDEX(Parameter!$L$5:$L$7,W1288))*INDEX(Parameter!$E$5:$E$7,W1288)*X1288/SUMIFS($X$7:$X$1843,$W$7:$W$1843,W1288),0),0)</f>
        <v>0</v>
      </c>
    </row>
    <row r="1289" customFormat="false" ht="15" hidden="false" customHeight="false" outlineLevel="0" collapsed="false">
      <c r="A1289" s="48" t="s">
        <v>2302</v>
      </c>
      <c r="B1289" s="48" t="s">
        <v>409</v>
      </c>
      <c r="C1289" s="48" t="s">
        <v>168</v>
      </c>
      <c r="D1289" s="48" t="s">
        <v>188</v>
      </c>
      <c r="E1289" s="48" t="s">
        <v>189</v>
      </c>
      <c r="F1289" s="48" t="s">
        <v>222</v>
      </c>
      <c r="G1289" s="49" t="n">
        <v>0.14</v>
      </c>
      <c r="H1289" s="50" t="n">
        <f aca="false">MAX(0,IF(AND(Parameter!$B$21="Ja",ISNUMBER(Y1289)),Y1289,IF(Parameter!$B$20="Jahresanfang 2025 + Export",BO1289+BN1289,BN1289)))</f>
        <v>673</v>
      </c>
      <c r="I1289" s="50" t="n">
        <f aca="false">H1289*G1289</f>
        <v>94.22</v>
      </c>
      <c r="J1289" s="50" t="n">
        <f aca="false">BQ1289*Parameter!$B$18</f>
        <v>2173</v>
      </c>
      <c r="K1289" s="51" t="n">
        <v>1861.5</v>
      </c>
      <c r="L1289" s="52" t="n">
        <v>1.16733816814397</v>
      </c>
      <c r="M1289" s="50" t="n">
        <v>127</v>
      </c>
      <c r="N1289" s="50" t="n">
        <v>1000</v>
      </c>
      <c r="O1289" s="53" t="n">
        <v>21</v>
      </c>
      <c r="P1289" s="48" t="s">
        <v>306</v>
      </c>
      <c r="Q1289" s="50" t="n">
        <v>1238</v>
      </c>
      <c r="R1289" s="53" t="n">
        <f aca="false">IF(BW1289=1,0,IFERROR(VLOOKUP(BU1289,'Gebinde-Kategorie'!$A$5:$N$45,13,0)+0,0))</f>
        <v>26</v>
      </c>
      <c r="S1289" s="54"/>
      <c r="T1289" s="55"/>
      <c r="U1289" s="55"/>
      <c r="V1289" s="55"/>
      <c r="W1289" s="48"/>
      <c r="X1289" s="50"/>
      <c r="Y1289" s="50"/>
      <c r="Z1289" s="48" t="n">
        <f aca="false">IF(A1289="","",IF(AND(Parameter!$B$21="Ja",ISNUMBER(W1289)),W1289,IF(BZ1289="2+3",IF(ISNUMBER(SEARCH("grosser Artikel",BR1289)),2,IFERROR(VLOOKUP(BU1289,Parameter!$F$35:$G$64,2,0),2)),IF(OR(BZ1289="Nein",BZ1289=""),"-",BZ1289))))</f>
        <v>3</v>
      </c>
      <c r="AA1289" s="55"/>
      <c r="AB1289" s="56"/>
      <c r="AC1289" s="50" t="n">
        <f aca="false">AT1289</f>
        <v>1238</v>
      </c>
      <c r="AD1289" s="50" t="n">
        <f aca="false">MAX(AT1289,H1289)</f>
        <v>1238</v>
      </c>
      <c r="AE1289" s="57"/>
      <c r="AF1289" s="50" t="n">
        <f aca="false">IF(LEFT(Cockpit!$C$5,1)="A",H1289,IF(CE1289=1,CF1289,IF(LEFT(Cockpit!$C$5,1)="B",AK1289,MAX(AK1289,H1289))))</f>
        <v>673</v>
      </c>
      <c r="AG1289" s="50" t="n">
        <f aca="false">IF(BW1289=1,0,ROUNDUP(AF1289/BV1289,0))</f>
        <v>1</v>
      </c>
      <c r="AH1289" s="52" t="n">
        <f aca="false">IF(CL1289&gt;0,CL1289*MAX(1,AF1289/X1289),IF(BW1289=1,IF(AF1289&lt;=0,0,CA1289*MAX(1,IF(H1289&gt;0,AF1289/H1289,1))),IF(R1289&gt;0,AG1289/R1289,0))/MAX(0.1,N(Parameter!$M$21)))</f>
        <v>0.0384615384615385</v>
      </c>
      <c r="AI1289" s="50" t="n">
        <f aca="false">AH1289*BY1289</f>
        <v>5.96153846153846</v>
      </c>
      <c r="AJ1289" s="50" t="n">
        <f aca="false">AF1289*G1289</f>
        <v>94.22</v>
      </c>
      <c r="AK1289" s="50" t="n">
        <f aca="false">ROUNDUP(MAX(J1289/IF(CD1289&gt;0,CD1289,MAX(0.1,N(Cockpit!$C$6))),CG1289)/BV1289,0)*BV1289</f>
        <v>1238</v>
      </c>
      <c r="AL1289" s="51" t="n">
        <f aca="false">IF(AI1289&gt;0,J1289/AI1289,-1)</f>
        <v>364.503225806452</v>
      </c>
      <c r="AM1289" s="51" t="n">
        <f aca="false">IF(AND(OR(CC1289="L1",CC1289="L23",CC1289="LIFT"),AI1289&gt;0),SUMIFS($AI$7:$AI$1843,$CC$7:$CC$1843,CC1289,$AL$7:$AL$1843,"&gt;"&amp;AL1289)+SUMIFS($AI$7:$AI$1843,$CC$7:$CC$1843,CC1289,$AL$7:$AL$1843,AL1289,$BT$7:$BT$1843,"&lt;="&amp;BT1289),"")</f>
        <v>217.872252747253</v>
      </c>
      <c r="AN1289" s="58" t="n">
        <f aca="false">IF(AM1289="",0,MAX(0,MIN(1,(IF(CC1289="L1",Parameter!$H$5,IF(CC1289="L23",Parameter!$H$6+Parameter!$H$7,Parameter!$H$5+Parameter!$H$6+Parameter!$H$7))-(AM1289-AI1289))/AI1289)))</f>
        <v>1</v>
      </c>
      <c r="AO1289" s="50" t="n">
        <f aca="false">IF(LEFT(Cockpit!$I$5,1)="A",H1289,IF(CE1289=1,CF1289,IF(LEFT(Cockpit!$I$5,1)="B",AT1289,MAX(AT1289,H1289))))</f>
        <v>1238</v>
      </c>
      <c r="AP1289" s="50" t="n">
        <f aca="false">IF(BW1289=1,0,ROUNDUP(AO1289/BV1289,0))</f>
        <v>1</v>
      </c>
      <c r="AQ1289" s="52" t="n">
        <f aca="false">IF(CL1289&gt;0,CL1289*MAX(1,AO1289/X1289),IF(BW1289=1,IF(AO1289&lt;=0,0,CA1289*MAX(1,IF(H1289&gt;0,AO1289/H1289,1))),IF(R1289&gt;0,AP1289/R1289,0))/MAX(0.1,N(Parameter!$M$21)))</f>
        <v>0.0384615384615385</v>
      </c>
      <c r="AR1289" s="50" t="n">
        <f aca="false">AQ1289*BY1289</f>
        <v>5.96153846153846</v>
      </c>
      <c r="AS1289" s="50" t="n">
        <f aca="false">AO1289*G1289</f>
        <v>173.32</v>
      </c>
      <c r="AT1289" s="50" t="n">
        <f aca="false">ROUNDUP(MAX(J1289/IF(CD1289&gt;0,CD1289,MAX(0.1,N(Cockpit!$I$6))),CG1289)/BV1289,0)*BV1289</f>
        <v>1238</v>
      </c>
      <c r="AU1289" s="51" t="n">
        <f aca="false">IF(AR1289&gt;0,J1289/AR1289,-1)</f>
        <v>364.503225806452</v>
      </c>
      <c r="AV1289" s="51" t="n">
        <f aca="false">IF(AND(OR(CC1289="L1",CC1289="L23",CC1289="LIFT"),AR1289&gt;0),SUMIFS($AR$7:$AR$1843,$CC$7:$CC$1843,CC1289,$AU$7:$AU$1843,"&gt;"&amp;AU1289)+SUMIFS($AR$7:$AR$1843,$CC$7:$CC$1843,CC1289,$AU$7:$AU$1843,AU1289,$BT$7:$BT$1843,"&lt;="&amp;BT1289),"")</f>
        <v>121.386446886447</v>
      </c>
      <c r="AW1289" s="58" t="n">
        <f aca="false">IF(AV1289="",0,MAX(0,MIN(1,(IF(CC1289="L1",Parameter!$H$5,IF(CC1289="L23",Parameter!$H$6+Parameter!$H$7,Parameter!$H$5+Parameter!$H$6+Parameter!$H$7))-(AV1289-AR1289))/AR1289)))</f>
        <v>1</v>
      </c>
      <c r="AX1289" s="50" t="n">
        <f aca="false">IF(LEFT(Cockpit!$O$5,1)="A",H1289,IF(CE1289=1,CF1289,IF(LEFT(Cockpit!$O$5,1)="B",BC1289,MAX(BC1289,H1289))))</f>
        <v>1238</v>
      </c>
      <c r="AY1289" s="50" t="n">
        <f aca="false">IF(BW1289=1,0,ROUNDUP(AX1289/BV1289,0))</f>
        <v>1</v>
      </c>
      <c r="AZ1289" s="52" t="n">
        <f aca="false">IF(CL1289&gt;0,CL1289*MAX(1,AX1289/X1289),IF(BW1289=1,IF(AX1289&lt;=0,0,CA1289*MAX(1,IF(H1289&gt;0,AX1289/H1289,1))),IF(R1289&gt;0,AY1289/R1289,0))/MAX(0.1,N(Parameter!$M$21)))</f>
        <v>0.0384615384615385</v>
      </c>
      <c r="BA1289" s="50" t="n">
        <f aca="false">AZ1289*BY1289</f>
        <v>5.96153846153846</v>
      </c>
      <c r="BB1289" s="50" t="n">
        <f aca="false">AX1289*G1289</f>
        <v>173.32</v>
      </c>
      <c r="BC1289" s="50" t="n">
        <f aca="false">ROUNDUP(MAX(J1289/IF(CD1289&gt;0,CD1289,MAX(0.1,N(Cockpit!$O$6))),CG1289)/BV1289,0)*BV1289</f>
        <v>1238</v>
      </c>
      <c r="BD1289" s="51" t="n">
        <f aca="false">IF(BA1289&gt;0,J1289/BA1289,-1)</f>
        <v>364.503225806452</v>
      </c>
      <c r="BE1289" s="51" t="n">
        <f aca="false">IF(AND(OR(CC1289="L1",CC1289="L23",CC1289="LIFT"),BA1289&gt;0),SUMIFS($BA$7:$BA$1843,$CC$7:$CC$1843,CC1289,$BD$7:$BD$1843,"&gt;"&amp;BD1289)+SUMIFS($BA$7:$BA$1843,$CC$7:$CC$1843,CC1289,$BD$7:$BD$1843,BD1289,$BT$7:$BT$1843,"&lt;="&amp;BT1289),"")</f>
        <v>133.309523809524</v>
      </c>
      <c r="BF1289" s="58" t="n">
        <f aca="false">IF(BE1289="",0,MAX(0,MIN(1,(IF(CC1289="L1",Parameter!$H$5,IF(CC1289="L23",Parameter!$H$6+Parameter!$H$7,Parameter!$H$5+Parameter!$H$6+Parameter!$H$7))-(BE1289-BA1289))/BA1289)))</f>
        <v>1</v>
      </c>
      <c r="BG1289" s="48" t="str">
        <f aca="false">IF(AI1289&lt;=0,"",IF(CC1289="Aussen","Aussenlager",IF(CC1289="-","Nicht im Lift",IF(AN1289&gt;=1,"Lift",IF(AN1289&lt;=0,"Aussenlager","teilweise")))))</f>
        <v>Lift</v>
      </c>
      <c r="BH1289" s="48" t="str">
        <f aca="false">IF(AR1289&lt;=0,"",IF(CC1289="Aussen","Aussenlager",IF(CC1289="-","Nicht im Lift",IF(AW1289&gt;=1,"Lift",IF(AW1289&lt;=0,"Aussenlager","teilweise")))))</f>
        <v>Lift</v>
      </c>
      <c r="BI1289" s="48" t="str">
        <f aca="false">IF(BA1289&lt;=0,"",IF(CC1289="Aussen","Aussenlager",IF(CC1289="-","Nicht im Lift",IF(BF1289&gt;=1,"Lift",IF(BF1289&lt;=0,"Aussenlager","teilweise")))))</f>
        <v>Lift</v>
      </c>
      <c r="BJ1289" s="48" t="str">
        <f aca="false">IF(A1289="","",IF(BS1289=1,"Neu; ","")&amp;IF(AND(BS1289=0,BN1289&lt;0),"negativer Bestand (Export "&amp;BN1289&amp;"); ","")&amp;IF(J1289&lt;=0,"Kein Verbrauch; ","")&amp;IF(CL1289&gt;0,"Lift "&amp;W1289&amp;" lt. Liftbericht (Fach "&amp;X1289&amp;" Stk); ",IF(BX1289=1,"Gebinde geschätzt ("&amp;T1289&amp;"); ",IF(BW1289=1,"Lose – Tablare geschätzt; ","")))&amp;IF(H1289&gt;AT1289,"Überbestand "&amp;ROUND(H1289-AT1289,0)&amp;" Stk / CHF "&amp;ROUND((H1289-AT1289)*G1289,0)&amp;"; ","")&amp;IF(AND(CE1289=1,CF1289&lt;CG1289),"MAX &lt; MB+LG; ","")&amp;IF(AND(CK1289&gt;0,CJ1289*10&gt;CK1289),"zu hoch für Tablar; ","")&amp;IF(AND(BS1289=0,OR(CE1289=1,AA1289&lt;&gt;"",U1289&lt;&gt;"",V1289&lt;&gt;"",AB1289&lt;&gt;"")),"manuell übersteuert; ","")&amp;IF(AND(BW1289=0,R1289=0),"Gebinde unbekannt / Stellmass fehlt; ","")&amp;IF(AND(BW1289=0,N(V1289)&lt;=0,N(Q1289)&lt;=0),"Menge pro Gebinde fehlt (Ist = 1 Gebinde); ","")&amp;BR1289)</f>
        <v>negativer Bestand (Export -2641); </v>
      </c>
      <c r="BK1289" s="48"/>
      <c r="BL1289" s="48"/>
      <c r="BM1289" s="55"/>
      <c r="BN1289" s="50" t="n">
        <v>-2641</v>
      </c>
      <c r="BO1289" s="50" t="n">
        <v>3314</v>
      </c>
      <c r="BP1289" s="49" t="n">
        <v>-1130.58</v>
      </c>
      <c r="BQ1289" s="50" t="n">
        <v>2173</v>
      </c>
      <c r="BR1289" s="48"/>
      <c r="BS1289" s="53" t="n">
        <v>0</v>
      </c>
      <c r="BT1289" s="53" t="n">
        <v>1289</v>
      </c>
      <c r="BU1289" s="48" t="str">
        <f aca="false">IF(U1289&lt;&gt;"",UPPER(TRIM(U1289)),IF(BX1289=1,UPPER(VLOOKUP(T1289,Parameter!$I$27:$K$29,2,0)),IF(P1289="","LOSE",P1289)))</f>
        <v>S51</v>
      </c>
      <c r="BV1289" s="50" t="n">
        <f aca="false">IF(BU1289="LOSE",1,IF(N(V1289)&gt;0,V1289,IF(BX1289=1,MAX(1,N(VLOOKUP(T1289,Parameter!$I$27:$K$29,3,0)),H1289,N(N1289)),IF(N(Q1289)&gt;0,Q1289,MAX(1,H1289)))))</f>
        <v>1238</v>
      </c>
      <c r="BW1289" s="53" t="n">
        <f aca="false">IF(BU1289="LOSE",1,0)</f>
        <v>0</v>
      </c>
      <c r="BX1289" s="53" t="n">
        <f aca="false">IF(AND(U1289="",OR(P1289="",P1289="LOSE"),T1289&lt;&gt;"",N(S1289)&lt;=0,ISNUMBER(MATCH(T1289,Parameter!$I$27:$I$29,0))),1,0)</f>
        <v>0</v>
      </c>
      <c r="BY1289" s="53" t="n">
        <f aca="false">IF(CL1289&gt;0,INDEX(Parameter!$H$5:$H$7,W1289)/INDEX(Parameter!$E$5:$E$7,W1289),IF(AND(BW1289=0,N(IFERROR(VLOOKUP(BU1289,'Gebinde-Kategorie'!$A$5:$N$45,14,0),0))&gt;0),VLOOKUP(BU1289,'Gebinde-Kategorie'!$A$5:$N$45,14,0)*10+Parameter!$M$23,Parameter!$M$24))</f>
        <v>155</v>
      </c>
      <c r="BZ1289" s="48" t="str">
        <f aca="false">IF(AND(Parameter!$B$19="Ja",E1289&lt;&gt;"",ISNUMBER(MATCH(E1289,Parameter!$I$35:$I$52,0))),VLOOKUP(E1289,Parameter!$I$35:$J$52,2,0),IFERROR(VLOOKUP(D1289,Parameter!$A$35:$C$64,2,0),"Nein"))</f>
        <v>2+3</v>
      </c>
      <c r="CA1289" s="52" t="n">
        <f aca="false">IF(BW1289=0,0,IF(N(S1289)&gt;0,S1289,IFERROR(VLOOKUP(D1289,Parameter!$A$35:$C$64,3,0)+0,0)))</f>
        <v>0</v>
      </c>
      <c r="CB1289" s="48" t="n">
        <f aca="false">IF(AA1289&lt;&gt;"",AA1289,Z1289)</f>
        <v>3</v>
      </c>
      <c r="CC1289" s="48" t="str">
        <f aca="false">IF(OR(CB1289=1,CB1289=2,CB1289=3),IF(Parameter!$E$27="Ja","LIFT",IF(CB1289=1,"L1","L23")),IF(CB1289="Aussen","Aussen","-"))</f>
        <v>LIFT</v>
      </c>
      <c r="CD1289" s="59" t="n">
        <f aca="false">IF(N(AB1289)&gt;0,AB1289,0)</f>
        <v>0</v>
      </c>
      <c r="CE1289" s="53" t="n">
        <f aca="false">IF(ISNUMBER(AE1289),1,0)</f>
        <v>0</v>
      </c>
      <c r="CF1289" s="50" t="n">
        <f aca="false">N(AE1289)</f>
        <v>0</v>
      </c>
      <c r="CG1289" s="50" t="n">
        <f aca="false">N(M1289)+N(N1289)</f>
        <v>1127</v>
      </c>
      <c r="CH1289" s="50" t="n">
        <f aca="false">ROUNDUP(H1289/BV1289,0)</f>
        <v>1</v>
      </c>
      <c r="CI1289" s="50" t="n">
        <f aca="false">ROUNDUP(CF1289/BV1289,0)</f>
        <v>0</v>
      </c>
      <c r="CJ1289" s="53" t="n">
        <f aca="false">IF(BW1289=1,0,IFERROR(VLOOKUP(BU1289,'Gebinde-Kategorie'!$A$5:$N$45,5,0)+0,0))</f>
        <v>11</v>
      </c>
      <c r="CK1289" s="53" t="n">
        <f aca="false">IFERROR(IF(OR(CB1289=1,CB1289=2,CB1289=3),N(INDEX(Parameter!$I$5:$I$7,CB1289)),0),0)</f>
        <v>0</v>
      </c>
      <c r="CL1289" s="52" t="n">
        <f aca="false">IF(AND(Parameter!$B$21="Ja",ISNUMBER(W1289),N(X1289)&gt;0),IFERROR(N(INDEX(Parameter!$L$5:$L$7,W1289))*INDEX(Parameter!$E$5:$E$7,W1289)*X1289/SUMIFS($X$7:$X$1843,$W$7:$W$1843,W1289),0),0)</f>
        <v>0</v>
      </c>
    </row>
    <row r="1290" customFormat="false" ht="15" hidden="false" customHeight="false" outlineLevel="0" collapsed="false">
      <c r="A1290" s="48" t="s">
        <v>2303</v>
      </c>
      <c r="B1290" s="48" t="s">
        <v>210</v>
      </c>
      <c r="C1290" s="48" t="s">
        <v>460</v>
      </c>
      <c r="D1290" s="48" t="s">
        <v>357</v>
      </c>
      <c r="E1290" s="48"/>
      <c r="F1290" s="48" t="s">
        <v>222</v>
      </c>
      <c r="G1290" s="49" t="n">
        <v>1133.33</v>
      </c>
      <c r="H1290" s="50" t="n">
        <f aca="false">MAX(0,IF(AND(Parameter!$B$21="Ja",ISNUMBER(Y1290)),Y1290,IF(Parameter!$B$20="Jahresanfang 2025 + Export",BO1290+BN1290,BN1290)))</f>
        <v>0</v>
      </c>
      <c r="I1290" s="50" t="n">
        <f aca="false">H1290*G1290</f>
        <v>0</v>
      </c>
      <c r="J1290" s="50" t="n">
        <f aca="false">BQ1290*Parameter!$B$18</f>
        <v>0</v>
      </c>
      <c r="K1290" s="51" t="n">
        <v>0.5</v>
      </c>
      <c r="L1290" s="52" t="n">
        <v>0</v>
      </c>
      <c r="M1290" s="50" t="n">
        <v>0</v>
      </c>
      <c r="N1290" s="50" t="n">
        <v>0</v>
      </c>
      <c r="O1290" s="53" t="n">
        <v>70</v>
      </c>
      <c r="P1290" s="48" t="s">
        <v>172</v>
      </c>
      <c r="Q1290" s="50"/>
      <c r="R1290" s="53" t="n">
        <f aca="false">IF(BW1290=1,0,IFERROR(VLOOKUP(BU1290,'Gebinde-Kategorie'!$A$5:$N$45,13,0)+0,0))</f>
        <v>0</v>
      </c>
      <c r="S1290" s="54"/>
      <c r="T1290" s="55"/>
      <c r="U1290" s="55"/>
      <c r="V1290" s="55"/>
      <c r="W1290" s="48"/>
      <c r="X1290" s="50"/>
      <c r="Y1290" s="50"/>
      <c r="Z1290" s="48" t="str">
        <f aca="false">IF(A1290="","",IF(AND(Parameter!$B$21="Ja",ISNUMBER(W1290)),W1290,IF(BZ1290="2+3",IF(ISNUMBER(SEARCH("grosser Artikel",BR1290)),2,IFERROR(VLOOKUP(BU1290,Parameter!$F$35:$G$64,2,0),2)),IF(OR(BZ1290="Nein",BZ1290=""),"-",BZ1290))))</f>
        <v>-</v>
      </c>
      <c r="AA1290" s="55"/>
      <c r="AB1290" s="56"/>
      <c r="AC1290" s="50" t="n">
        <f aca="false">AT1290</f>
        <v>0</v>
      </c>
      <c r="AD1290" s="50" t="n">
        <f aca="false">MAX(AT1290,H1290)</f>
        <v>0</v>
      </c>
      <c r="AE1290" s="57"/>
      <c r="AF1290" s="50" t="n">
        <f aca="false">IF(LEFT(Cockpit!$C$5,1)="A",H1290,IF(CE1290=1,CF1290,IF(LEFT(Cockpit!$C$5,1)="B",AK1290,MAX(AK1290,H1290))))</f>
        <v>0</v>
      </c>
      <c r="AG1290" s="50" t="n">
        <f aca="false">IF(BW1290=1,0,ROUNDUP(AF1290/BV1290,0))</f>
        <v>0</v>
      </c>
      <c r="AH1290" s="52" t="n">
        <f aca="false">IF(CL1290&gt;0,CL1290*MAX(1,AF1290/X1290),IF(BW1290=1,IF(AF1290&lt;=0,0,CA1290*MAX(1,IF(H1290&gt;0,AF1290/H1290,1))),IF(R1290&gt;0,AG1290/R1290,0))/MAX(0.1,N(Parameter!$M$21)))</f>
        <v>0</v>
      </c>
      <c r="AI1290" s="50" t="n">
        <f aca="false">AH1290*BY1290</f>
        <v>0</v>
      </c>
      <c r="AJ1290" s="50" t="n">
        <f aca="false">AF1290*G1290</f>
        <v>0</v>
      </c>
      <c r="AK1290" s="50" t="n">
        <f aca="false">ROUNDUP(MAX(J1290/IF(CD1290&gt;0,CD1290,MAX(0.1,N(Cockpit!$C$6))),CG1290)/BV1290,0)*BV1290</f>
        <v>0</v>
      </c>
      <c r="AL1290" s="51" t="n">
        <f aca="false">IF(AI1290&gt;0,J1290/AI1290,-1)</f>
        <v>-1</v>
      </c>
      <c r="AM1290" s="51" t="str">
        <f aca="false">IF(AND(OR(CC1290="L1",CC1290="L23",CC1290="LIFT"),AI1290&gt;0),SUMIFS($AI$7:$AI$1843,$CC$7:$CC$1843,CC1290,$AL$7:$AL$1843,"&gt;"&amp;AL1290)+SUMIFS($AI$7:$AI$1843,$CC$7:$CC$1843,CC1290,$AL$7:$AL$1843,AL1290,$BT$7:$BT$1843,"&lt;="&amp;BT1290),"")</f>
        <v/>
      </c>
      <c r="AN1290" s="58" t="n">
        <f aca="false">IF(AM1290="",0,MAX(0,MIN(1,(IF(CC1290="L1",Parameter!$H$5,IF(CC1290="L23",Parameter!$H$6+Parameter!$H$7,Parameter!$H$5+Parameter!$H$6+Parameter!$H$7))-(AM1290-AI1290))/AI1290)))</f>
        <v>0</v>
      </c>
      <c r="AO1290" s="50" t="n">
        <f aca="false">IF(LEFT(Cockpit!$I$5,1)="A",H1290,IF(CE1290=1,CF1290,IF(LEFT(Cockpit!$I$5,1)="B",AT1290,MAX(AT1290,H1290))))</f>
        <v>0</v>
      </c>
      <c r="AP1290" s="50" t="n">
        <f aca="false">IF(BW1290=1,0,ROUNDUP(AO1290/BV1290,0))</f>
        <v>0</v>
      </c>
      <c r="AQ1290" s="52" t="n">
        <f aca="false">IF(CL1290&gt;0,CL1290*MAX(1,AO1290/X1290),IF(BW1290=1,IF(AO1290&lt;=0,0,CA1290*MAX(1,IF(H1290&gt;0,AO1290/H1290,1))),IF(R1290&gt;0,AP1290/R1290,0))/MAX(0.1,N(Parameter!$M$21)))</f>
        <v>0</v>
      </c>
      <c r="AR1290" s="50" t="n">
        <f aca="false">AQ1290*BY1290</f>
        <v>0</v>
      </c>
      <c r="AS1290" s="50" t="n">
        <f aca="false">AO1290*G1290</f>
        <v>0</v>
      </c>
      <c r="AT1290" s="50" t="n">
        <f aca="false">ROUNDUP(MAX(J1290/IF(CD1290&gt;0,CD1290,MAX(0.1,N(Cockpit!$I$6))),CG1290)/BV1290,0)*BV1290</f>
        <v>0</v>
      </c>
      <c r="AU1290" s="51" t="n">
        <f aca="false">IF(AR1290&gt;0,J1290/AR1290,-1)</f>
        <v>-1</v>
      </c>
      <c r="AV1290" s="51" t="str">
        <f aca="false">IF(AND(OR(CC1290="L1",CC1290="L23",CC1290="LIFT"),AR1290&gt;0),SUMIFS($AR$7:$AR$1843,$CC$7:$CC$1843,CC1290,$AU$7:$AU$1843,"&gt;"&amp;AU1290)+SUMIFS($AR$7:$AR$1843,$CC$7:$CC$1843,CC1290,$AU$7:$AU$1843,AU1290,$BT$7:$BT$1843,"&lt;="&amp;BT1290),"")</f>
        <v/>
      </c>
      <c r="AW1290" s="58" t="n">
        <f aca="false">IF(AV1290="",0,MAX(0,MIN(1,(IF(CC1290="L1",Parameter!$H$5,IF(CC1290="L23",Parameter!$H$6+Parameter!$H$7,Parameter!$H$5+Parameter!$H$6+Parameter!$H$7))-(AV1290-AR1290))/AR1290)))</f>
        <v>0</v>
      </c>
      <c r="AX1290" s="50" t="n">
        <f aca="false">IF(LEFT(Cockpit!$O$5,1)="A",H1290,IF(CE1290=1,CF1290,IF(LEFT(Cockpit!$O$5,1)="B",BC1290,MAX(BC1290,H1290))))</f>
        <v>0</v>
      </c>
      <c r="AY1290" s="50" t="n">
        <f aca="false">IF(BW1290=1,0,ROUNDUP(AX1290/BV1290,0))</f>
        <v>0</v>
      </c>
      <c r="AZ1290" s="52" t="n">
        <f aca="false">IF(CL1290&gt;0,CL1290*MAX(1,AX1290/X1290),IF(BW1290=1,IF(AX1290&lt;=0,0,CA1290*MAX(1,IF(H1290&gt;0,AX1290/H1290,1))),IF(R1290&gt;0,AY1290/R1290,0))/MAX(0.1,N(Parameter!$M$21)))</f>
        <v>0</v>
      </c>
      <c r="BA1290" s="50" t="n">
        <f aca="false">AZ1290*BY1290</f>
        <v>0</v>
      </c>
      <c r="BB1290" s="50" t="n">
        <f aca="false">AX1290*G1290</f>
        <v>0</v>
      </c>
      <c r="BC1290" s="50" t="n">
        <f aca="false">ROUNDUP(MAX(J1290/IF(CD1290&gt;0,CD1290,MAX(0.1,N(Cockpit!$O$6))),CG1290)/BV1290,0)*BV1290</f>
        <v>0</v>
      </c>
      <c r="BD1290" s="51" t="n">
        <f aca="false">IF(BA1290&gt;0,J1290/BA1290,-1)</f>
        <v>-1</v>
      </c>
      <c r="BE1290" s="51" t="str">
        <f aca="false">IF(AND(OR(CC1290="L1",CC1290="L23",CC1290="LIFT"),BA1290&gt;0),SUMIFS($BA$7:$BA$1843,$CC$7:$CC$1843,CC1290,$BD$7:$BD$1843,"&gt;"&amp;BD1290)+SUMIFS($BA$7:$BA$1843,$CC$7:$CC$1843,CC1290,$BD$7:$BD$1843,BD1290,$BT$7:$BT$1843,"&lt;="&amp;BT1290),"")</f>
        <v/>
      </c>
      <c r="BF1290" s="58" t="n">
        <f aca="false">IF(BE1290="",0,MAX(0,MIN(1,(IF(CC1290="L1",Parameter!$H$5,IF(CC1290="L23",Parameter!$H$6+Parameter!$H$7,Parameter!$H$5+Parameter!$H$6+Parameter!$H$7))-(BE1290-BA1290))/BA1290)))</f>
        <v>0</v>
      </c>
      <c r="BG1290" s="48" t="str">
        <f aca="false">IF(AI1290&lt;=0,"",IF(CC1290="Aussen","Aussenlager",IF(CC1290="-","Nicht im Lift",IF(AN1290&gt;=1,"Lift",IF(AN1290&lt;=0,"Aussenlager","teilweise")))))</f>
        <v/>
      </c>
      <c r="BH1290" s="48" t="str">
        <f aca="false">IF(AR1290&lt;=0,"",IF(CC1290="Aussen","Aussenlager",IF(CC1290="-","Nicht im Lift",IF(AW1290&gt;=1,"Lift",IF(AW1290&lt;=0,"Aussenlager","teilweise")))))</f>
        <v/>
      </c>
      <c r="BI1290" s="48" t="str">
        <f aca="false">IF(BA1290&lt;=0,"",IF(CC1290="Aussen","Aussenlager",IF(CC1290="-","Nicht im Lift",IF(BF1290&gt;=1,"Lift",IF(BF1290&lt;=0,"Aussenlager","teilweise")))))</f>
        <v/>
      </c>
      <c r="BJ1290" s="48" t="str">
        <f aca="false">IF(A1290="","",IF(BS1290=1,"Neu; ","")&amp;IF(AND(BS1290=0,BN1290&lt;0),"negativer Bestand (Export "&amp;BN1290&amp;"); ","")&amp;IF(J1290&lt;=0,"Kein Verbrauch; ","")&amp;IF(CL1290&gt;0,"Lift "&amp;W1290&amp;" lt. Liftbericht (Fach "&amp;X1290&amp;" Stk); ",IF(BX1290=1,"Gebinde geschätzt ("&amp;T1290&amp;"); ",IF(BW1290=1,"Lose – Tablare geschätzt; ","")))&amp;IF(H1290&gt;AT1290,"Überbestand "&amp;ROUND(H1290-AT1290,0)&amp;" Stk / CHF "&amp;ROUND((H1290-AT1290)*G1290,0)&amp;"; ","")&amp;IF(AND(CE1290=1,CF1290&lt;CG1290),"MAX &lt; MB+LG; ","")&amp;IF(AND(CK1290&gt;0,CJ1290*10&gt;CK1290),"zu hoch für Tablar; ","")&amp;IF(AND(BS1290=0,OR(CE1290=1,AA1290&lt;&gt;"",U1290&lt;&gt;"",V1290&lt;&gt;"",AB1290&lt;&gt;"")),"manuell übersteuert; ","")&amp;IF(AND(BW1290=0,R1290=0),"Gebinde unbekannt / Stellmass fehlt; ","")&amp;IF(AND(BW1290=0,N(V1290)&lt;=0,N(Q1290)&lt;=0),"Menge pro Gebinde fehlt (Ist = 1 Gebinde); ","")&amp;BR1290)</f>
        <v>negativer Bestand (Export -1); Kein Verbrauch; Lose – Tablare geschätzt; </v>
      </c>
      <c r="BK1290" s="48"/>
      <c r="BL1290" s="48"/>
      <c r="BM1290" s="55"/>
      <c r="BN1290" s="50" t="n">
        <v>-1</v>
      </c>
      <c r="BO1290" s="50" t="n">
        <v>1</v>
      </c>
      <c r="BP1290" s="49" t="n">
        <v>-1133.33</v>
      </c>
      <c r="BQ1290" s="50" t="n">
        <v>0</v>
      </c>
      <c r="BR1290" s="48"/>
      <c r="BS1290" s="53" t="n">
        <v>0</v>
      </c>
      <c r="BT1290" s="53" t="n">
        <v>1290</v>
      </c>
      <c r="BU1290" s="48" t="str">
        <f aca="false">IF(U1290&lt;&gt;"",UPPER(TRIM(U1290)),IF(BX1290=1,UPPER(VLOOKUP(T1290,Parameter!$I$27:$K$29,2,0)),IF(P1290="","LOSE",P1290)))</f>
        <v>LOSE</v>
      </c>
      <c r="BV1290" s="50" t="n">
        <f aca="false">IF(BU1290="LOSE",1,IF(N(V1290)&gt;0,V1290,IF(BX1290=1,MAX(1,N(VLOOKUP(T1290,Parameter!$I$27:$K$29,3,0)),H1290,N(N1290)),IF(N(Q1290)&gt;0,Q1290,MAX(1,H1290)))))</f>
        <v>1</v>
      </c>
      <c r="BW1290" s="53" t="n">
        <f aca="false">IF(BU1290="LOSE",1,0)</f>
        <v>1</v>
      </c>
      <c r="BX1290" s="53" t="n">
        <f aca="false">IF(AND(U1290="",OR(P1290="",P1290="LOSE"),T1290&lt;&gt;"",N(S1290)&lt;=0,ISNUMBER(MATCH(T1290,Parameter!$I$27:$I$29,0))),1,0)</f>
        <v>0</v>
      </c>
      <c r="BY1290" s="53" t="n">
        <f aca="false">IF(CL1290&gt;0,INDEX(Parameter!$H$5:$H$7,W1290)/INDEX(Parameter!$E$5:$E$7,W1290),IF(AND(BW1290=0,N(IFERROR(VLOOKUP(BU1290,'Gebinde-Kategorie'!$A$5:$N$45,14,0),0))&gt;0),VLOOKUP(BU1290,'Gebinde-Kategorie'!$A$5:$N$45,14,0)*10+Parameter!$M$23,Parameter!$M$24))</f>
        <v>235</v>
      </c>
      <c r="BZ1290" s="48" t="str">
        <f aca="false">IF(AND(Parameter!$B$19="Ja",E1290&lt;&gt;"",ISNUMBER(MATCH(E1290,Parameter!$I$35:$I$52,0))),VLOOKUP(E1290,Parameter!$I$35:$J$52,2,0),IFERROR(VLOOKUP(D1290,Parameter!$A$35:$C$64,2,0),"Nein"))</f>
        <v>Nein</v>
      </c>
      <c r="CA1290" s="52" t="n">
        <f aca="false">IF(BW1290=0,0,IF(N(S1290)&gt;0,S1290,IFERROR(VLOOKUP(D1290,Parameter!$A$35:$C$64,3,0)+0,0)))</f>
        <v>0.15</v>
      </c>
      <c r="CB1290" s="48" t="str">
        <f aca="false">IF(AA1290&lt;&gt;"",AA1290,Z1290)</f>
        <v>-</v>
      </c>
      <c r="CC1290" s="48" t="str">
        <f aca="false">IF(OR(CB1290=1,CB1290=2,CB1290=3),IF(Parameter!$E$27="Ja","LIFT",IF(CB1290=1,"L1","L23")),IF(CB1290="Aussen","Aussen","-"))</f>
        <v>-</v>
      </c>
      <c r="CD1290" s="59" t="n">
        <f aca="false">IF(N(AB1290)&gt;0,AB1290,0)</f>
        <v>0</v>
      </c>
      <c r="CE1290" s="53" t="n">
        <f aca="false">IF(ISNUMBER(AE1290),1,0)</f>
        <v>0</v>
      </c>
      <c r="CF1290" s="50" t="n">
        <f aca="false">N(AE1290)</f>
        <v>0</v>
      </c>
      <c r="CG1290" s="50" t="n">
        <f aca="false">N(M1290)+N(N1290)</f>
        <v>0</v>
      </c>
      <c r="CH1290" s="50" t="n">
        <f aca="false">ROUNDUP(H1290/BV1290,0)</f>
        <v>0</v>
      </c>
      <c r="CI1290" s="50" t="n">
        <f aca="false">ROUNDUP(CF1290/BV1290,0)</f>
        <v>0</v>
      </c>
      <c r="CJ1290" s="53" t="n">
        <f aca="false">IF(BW1290=1,0,IFERROR(VLOOKUP(BU1290,'Gebinde-Kategorie'!$A$5:$N$45,5,0)+0,0))</f>
        <v>0</v>
      </c>
      <c r="CK1290" s="53" t="n">
        <f aca="false">IFERROR(IF(OR(CB1290=1,CB1290=2,CB1290=3),N(INDEX(Parameter!$I$5:$I$7,CB1290)),0),0)</f>
        <v>0</v>
      </c>
      <c r="CL1290" s="52" t="n">
        <f aca="false">IF(AND(Parameter!$B$21="Ja",ISNUMBER(W1290),N(X1290)&gt;0),IFERROR(N(INDEX(Parameter!$L$5:$L$7,W1290))*INDEX(Parameter!$E$5:$E$7,W1290)*X1290/SUMIFS($X$7:$X$1843,$W$7:$W$1843,W1290),0),0)</f>
        <v>0</v>
      </c>
    </row>
    <row r="1291" customFormat="false" ht="15" hidden="false" customHeight="false" outlineLevel="0" collapsed="false">
      <c r="A1291" s="48" t="s">
        <v>2304</v>
      </c>
      <c r="B1291" s="48" t="s">
        <v>274</v>
      </c>
      <c r="C1291" s="48" t="s">
        <v>168</v>
      </c>
      <c r="D1291" s="48" t="s">
        <v>177</v>
      </c>
      <c r="E1291" s="48"/>
      <c r="F1291" s="48" t="s">
        <v>222</v>
      </c>
      <c r="G1291" s="49" t="n">
        <v>1160</v>
      </c>
      <c r="H1291" s="50" t="n">
        <f aca="false">MAX(0,IF(AND(Parameter!$B$21="Ja",ISNUMBER(Y1291)),Y1291,IF(Parameter!$B$20="Jahresanfang 2025 + Export",BO1291+BN1291,BN1291)))</f>
        <v>0</v>
      </c>
      <c r="I1291" s="50" t="n">
        <f aca="false">H1291*G1291</f>
        <v>0</v>
      </c>
      <c r="J1291" s="50" t="n">
        <f aca="false">BQ1291*Parameter!$B$18</f>
        <v>0</v>
      </c>
      <c r="K1291" s="51" t="n">
        <v>1</v>
      </c>
      <c r="L1291" s="52" t="n">
        <v>0</v>
      </c>
      <c r="M1291" s="50" t="n">
        <v>0</v>
      </c>
      <c r="N1291" s="50" t="n">
        <v>1</v>
      </c>
      <c r="O1291" s="53" t="n">
        <v>35</v>
      </c>
      <c r="P1291" s="48" t="s">
        <v>172</v>
      </c>
      <c r="Q1291" s="50"/>
      <c r="R1291" s="53" t="n">
        <f aca="false">IF(BW1291=1,0,IFERROR(VLOOKUP(BU1291,'Gebinde-Kategorie'!$A$5:$N$45,13,0)+0,0))</f>
        <v>4</v>
      </c>
      <c r="S1291" s="54"/>
      <c r="T1291" s="55" t="s">
        <v>193</v>
      </c>
      <c r="U1291" s="55"/>
      <c r="V1291" s="55"/>
      <c r="W1291" s="48"/>
      <c r="X1291" s="50"/>
      <c r="Y1291" s="50"/>
      <c r="Z1291" s="48" t="n">
        <f aca="false">IF(A1291="","",IF(AND(Parameter!$B$21="Ja",ISNUMBER(W1291)),W1291,IF(BZ1291="2+3",IF(ISNUMBER(SEARCH("grosser Artikel",BR1291)),2,IFERROR(VLOOKUP(BU1291,Parameter!$F$35:$G$64,2,0),2)),IF(OR(BZ1291="Nein",BZ1291=""),"-",BZ1291))))</f>
        <v>2</v>
      </c>
      <c r="AA1291" s="55"/>
      <c r="AB1291" s="56"/>
      <c r="AC1291" s="50" t="n">
        <f aca="false">AT1291</f>
        <v>2</v>
      </c>
      <c r="AD1291" s="50" t="n">
        <f aca="false">MAX(AT1291,H1291)</f>
        <v>2</v>
      </c>
      <c r="AE1291" s="57"/>
      <c r="AF1291" s="50" t="n">
        <f aca="false">IF(LEFT(Cockpit!$C$5,1)="A",H1291,IF(CE1291=1,CF1291,IF(LEFT(Cockpit!$C$5,1)="B",AK1291,MAX(AK1291,H1291))))</f>
        <v>0</v>
      </c>
      <c r="AG1291" s="50" t="n">
        <f aca="false">IF(BW1291=1,0,ROUNDUP(AF1291/BV1291,0))</f>
        <v>0</v>
      </c>
      <c r="AH1291" s="52" t="n">
        <f aca="false">IF(CL1291&gt;0,CL1291*MAX(1,AF1291/X1291),IF(BW1291=1,IF(AF1291&lt;=0,0,CA1291*MAX(1,IF(H1291&gt;0,AF1291/H1291,1))),IF(R1291&gt;0,AG1291/R1291,0))/MAX(0.1,N(Parameter!$M$21)))</f>
        <v>0</v>
      </c>
      <c r="AI1291" s="50" t="n">
        <f aca="false">AH1291*BY1291</f>
        <v>0</v>
      </c>
      <c r="AJ1291" s="50" t="n">
        <f aca="false">AF1291*G1291</f>
        <v>0</v>
      </c>
      <c r="AK1291" s="50" t="n">
        <f aca="false">ROUNDUP(MAX(J1291/IF(CD1291&gt;0,CD1291,MAX(0.1,N(Cockpit!$C$6))),CG1291)/BV1291,0)*BV1291</f>
        <v>2</v>
      </c>
      <c r="AL1291" s="51" t="n">
        <f aca="false">IF(AI1291&gt;0,J1291/AI1291,-1)</f>
        <v>-1</v>
      </c>
      <c r="AM1291" s="51" t="str">
        <f aca="false">IF(AND(OR(CC1291="L1",CC1291="L23",CC1291="LIFT"),AI1291&gt;0),SUMIFS($AI$7:$AI$1843,$CC$7:$CC$1843,CC1291,$AL$7:$AL$1843,"&gt;"&amp;AL1291)+SUMIFS($AI$7:$AI$1843,$CC$7:$CC$1843,CC1291,$AL$7:$AL$1843,AL1291,$BT$7:$BT$1843,"&lt;="&amp;BT1291),"")</f>
        <v/>
      </c>
      <c r="AN1291" s="58" t="n">
        <f aca="false">IF(AM1291="",0,MAX(0,MIN(1,(IF(CC1291="L1",Parameter!$H$5,IF(CC1291="L23",Parameter!$H$6+Parameter!$H$7,Parameter!$H$5+Parameter!$H$6+Parameter!$H$7))-(AM1291-AI1291))/AI1291)))</f>
        <v>0</v>
      </c>
      <c r="AO1291" s="50" t="n">
        <f aca="false">IF(LEFT(Cockpit!$I$5,1)="A",H1291,IF(CE1291=1,CF1291,IF(LEFT(Cockpit!$I$5,1)="B",AT1291,MAX(AT1291,H1291))))</f>
        <v>2</v>
      </c>
      <c r="AP1291" s="50" t="n">
        <f aca="false">IF(BW1291=1,0,ROUNDUP(AO1291/BV1291,0))</f>
        <v>1</v>
      </c>
      <c r="AQ1291" s="52" t="n">
        <f aca="false">IF(CL1291&gt;0,CL1291*MAX(1,AO1291/X1291),IF(BW1291=1,IF(AO1291&lt;=0,0,CA1291*MAX(1,IF(H1291&gt;0,AO1291/H1291,1))),IF(R1291&gt;0,AP1291/R1291,0))/MAX(0.1,N(Parameter!$M$21)))</f>
        <v>0.25</v>
      </c>
      <c r="AR1291" s="50" t="n">
        <f aca="false">AQ1291*BY1291</f>
        <v>58.75</v>
      </c>
      <c r="AS1291" s="50" t="n">
        <f aca="false">AO1291*G1291</f>
        <v>2320</v>
      </c>
      <c r="AT1291" s="50" t="n">
        <f aca="false">ROUNDUP(MAX(J1291/IF(CD1291&gt;0,CD1291,MAX(0.1,N(Cockpit!$I$6))),CG1291)/BV1291,0)*BV1291</f>
        <v>2</v>
      </c>
      <c r="AU1291" s="51" t="n">
        <f aca="false">IF(AR1291&gt;0,J1291/AR1291,-1)</f>
        <v>0</v>
      </c>
      <c r="AV1291" s="51" t="n">
        <f aca="false">IF(AND(OR(CC1291="L1",CC1291="L23",CC1291="LIFT"),AR1291&gt;0),SUMIFS($AR$7:$AR$1843,$CC$7:$CC$1843,CC1291,$AU$7:$AU$1843,"&gt;"&amp;AU1291)+SUMIFS($AR$7:$AR$1843,$CC$7:$CC$1843,CC1291,$AU$7:$AU$1843,AU1291,$BT$7:$BT$1843,"&lt;="&amp;BT1291),"")</f>
        <v>41532.5160334016</v>
      </c>
      <c r="AW1291" s="58" t="n">
        <f aca="false">IF(AV1291="",0,MAX(0,MIN(1,(IF(CC1291="L1",Parameter!$H$5,IF(CC1291="L23",Parameter!$H$6+Parameter!$H$7,Parameter!$H$5+Parameter!$H$6+Parameter!$H$7))-(AV1291-AR1291))/AR1291)))</f>
        <v>0</v>
      </c>
      <c r="AX1291" s="50" t="n">
        <f aca="false">IF(LEFT(Cockpit!$O$5,1)="A",H1291,IF(CE1291=1,CF1291,IF(LEFT(Cockpit!$O$5,1)="B",BC1291,MAX(BC1291,H1291))))</f>
        <v>2</v>
      </c>
      <c r="AY1291" s="50" t="n">
        <f aca="false">IF(BW1291=1,0,ROUNDUP(AX1291/BV1291,0))</f>
        <v>1</v>
      </c>
      <c r="AZ1291" s="52" t="n">
        <f aca="false">IF(CL1291&gt;0,CL1291*MAX(1,AX1291/X1291),IF(BW1291=1,IF(AX1291&lt;=0,0,CA1291*MAX(1,IF(H1291&gt;0,AX1291/H1291,1))),IF(R1291&gt;0,AY1291/R1291,0))/MAX(0.1,N(Parameter!$M$21)))</f>
        <v>0.25</v>
      </c>
      <c r="BA1291" s="50" t="n">
        <f aca="false">AZ1291*BY1291</f>
        <v>58.75</v>
      </c>
      <c r="BB1291" s="50" t="n">
        <f aca="false">AX1291*G1291</f>
        <v>2320</v>
      </c>
      <c r="BC1291" s="50" t="n">
        <f aca="false">ROUNDUP(MAX(J1291/IF(CD1291&gt;0,CD1291,MAX(0.1,N(Cockpit!$O$6))),CG1291)/BV1291,0)*BV1291</f>
        <v>2</v>
      </c>
      <c r="BD1291" s="51" t="n">
        <f aca="false">IF(BA1291&gt;0,J1291/BA1291,-1)</f>
        <v>0</v>
      </c>
      <c r="BE1291" s="51" t="n">
        <f aca="false">IF(AND(OR(CC1291="L1",CC1291="L23",CC1291="LIFT"),BA1291&gt;0),SUMIFS($BA$7:$BA$1843,$CC$7:$CC$1843,CC1291,$BD$7:$BD$1843,"&gt;"&amp;BD1291)+SUMIFS($BA$7:$BA$1843,$CC$7:$CC$1843,CC1291,$BD$7:$BD$1843,BD1291,$BT$7:$BT$1843,"&lt;="&amp;BT1291),"")</f>
        <v>38207.5280752675</v>
      </c>
      <c r="BF1291" s="58" t="n">
        <f aca="false">IF(BE1291="",0,MAX(0,MIN(1,(IF(CC1291="L1",Parameter!$H$5,IF(CC1291="L23",Parameter!$H$6+Parameter!$H$7,Parameter!$H$5+Parameter!$H$6+Parameter!$H$7))-(BE1291-BA1291))/BA1291)))</f>
        <v>0</v>
      </c>
      <c r="BG1291" s="48" t="str">
        <f aca="false">IF(AI1291&lt;=0,"",IF(CC1291="Aussen","Aussenlager",IF(CC1291="-","Nicht im Lift",IF(AN1291&gt;=1,"Lift",IF(AN1291&lt;=0,"Aussenlager","teilweise")))))</f>
        <v/>
      </c>
      <c r="BH1291" s="48" t="str">
        <f aca="false">IF(AR1291&lt;=0,"",IF(CC1291="Aussen","Aussenlager",IF(CC1291="-","Nicht im Lift",IF(AW1291&gt;=1,"Lift",IF(AW1291&lt;=0,"Aussenlager","teilweise")))))</f>
        <v>Aussenlager</v>
      </c>
      <c r="BI1291" s="48" t="str">
        <f aca="false">IF(BA1291&lt;=0,"",IF(CC1291="Aussen","Aussenlager",IF(CC1291="-","Nicht im Lift",IF(BF1291&gt;=1,"Lift",IF(BF1291&lt;=0,"Aussenlager","teilweise")))))</f>
        <v>Aussenlager</v>
      </c>
      <c r="BJ1291" s="48" t="str">
        <f aca="false">IF(A1291="","",IF(BS1291=1,"Neu; ","")&amp;IF(AND(BS1291=0,BN1291&lt;0),"negativer Bestand (Export "&amp;BN1291&amp;"); ","")&amp;IF(J1291&lt;=0,"Kein Verbrauch; ","")&amp;IF(CL1291&gt;0,"Lift "&amp;W1291&amp;" lt. Liftbericht (Fach "&amp;X1291&amp;" Stk); ",IF(BX1291=1,"Gebinde geschätzt ("&amp;T1291&amp;"); ",IF(BW1291=1,"Lose – Tablare geschätzt; ","")))&amp;IF(H1291&gt;AT1291,"Überbestand "&amp;ROUND(H1291-AT1291,0)&amp;" Stk / CHF "&amp;ROUND((H1291-AT1291)*G1291,0)&amp;"; ","")&amp;IF(AND(CE1291=1,CF1291&lt;CG1291),"MAX &lt; MB+LG; ","")&amp;IF(AND(CK1291&gt;0,CJ1291*10&gt;CK1291),"zu hoch für Tablar; ","")&amp;IF(AND(BS1291=0,OR(CE1291=1,AA1291&lt;&gt;"",U1291&lt;&gt;"",V1291&lt;&gt;"",AB1291&lt;&gt;"")),"manuell übersteuert; ","")&amp;IF(AND(BW1291=0,R1291=0),"Gebinde unbekannt / Stellmass fehlt; ","")&amp;IF(AND(BW1291=0,N(V1291)&lt;=0,N(Q1291)&lt;=0),"Menge pro Gebinde fehlt (Ist = 1 Gebinde); ","")&amp;BR1291)</f>
        <v>negativer Bestand (Export -1); Kein Verbrauch; Gebinde geschätzt (Gross); Menge pro Gebinde fehlt (Ist = 1 Gebinde); </v>
      </c>
      <c r="BK1291" s="48"/>
      <c r="BL1291" s="48"/>
      <c r="BM1291" s="55"/>
      <c r="BN1291" s="50" t="n">
        <v>-1</v>
      </c>
      <c r="BO1291" s="50" t="n">
        <v>1</v>
      </c>
      <c r="BP1291" s="49" t="n">
        <v>-1160</v>
      </c>
      <c r="BQ1291" s="50" t="n">
        <v>0</v>
      </c>
      <c r="BR1291" s="48"/>
      <c r="BS1291" s="53" t="n">
        <v>0</v>
      </c>
      <c r="BT1291" s="53" t="n">
        <v>1291</v>
      </c>
      <c r="BU1291" s="48" t="str">
        <f aca="false">IF(U1291&lt;&gt;"",UPPER(TRIM(U1291)),IF(BX1291=1,UPPER(VLOOKUP(T1291,Parameter!$I$27:$K$29,2,0)),IF(P1291="","LOSE",P1291)))</f>
        <v>S81</v>
      </c>
      <c r="BV1291" s="50" t="n">
        <f aca="false">IF(BU1291="LOSE",1,IF(N(V1291)&gt;0,V1291,IF(BX1291=1,MAX(1,N(VLOOKUP(T1291,Parameter!$I$27:$K$29,3,0)),H1291,N(N1291)),IF(N(Q1291)&gt;0,Q1291,MAX(1,H1291)))))</f>
        <v>2</v>
      </c>
      <c r="BW1291" s="53" t="n">
        <f aca="false">IF(BU1291="LOSE",1,0)</f>
        <v>0</v>
      </c>
      <c r="BX1291" s="53" t="n">
        <f aca="false">IF(AND(U1291="",OR(P1291="",P1291="LOSE"),T1291&lt;&gt;"",N(S1291)&lt;=0,ISNUMBER(MATCH(T1291,Parameter!$I$27:$I$29,0))),1,0)</f>
        <v>1</v>
      </c>
      <c r="BY1291" s="53" t="n">
        <f aca="false">IF(CL1291&gt;0,INDEX(Parameter!$H$5:$H$7,W1291)/INDEX(Parameter!$E$5:$E$7,W1291),IF(AND(BW1291=0,N(IFERROR(VLOOKUP(BU1291,'Gebinde-Kategorie'!$A$5:$N$45,14,0),0))&gt;0),VLOOKUP(BU1291,'Gebinde-Kategorie'!$A$5:$N$45,14,0)*10+Parameter!$M$23,Parameter!$M$24))</f>
        <v>235</v>
      </c>
      <c r="BZ1291" s="48" t="str">
        <f aca="false">IF(AND(Parameter!$B$19="Ja",E1291&lt;&gt;"",ISNUMBER(MATCH(E1291,Parameter!$I$35:$I$52,0))),VLOOKUP(E1291,Parameter!$I$35:$J$52,2,0),IFERROR(VLOOKUP(D1291,Parameter!$A$35:$C$64,2,0),"Nein"))</f>
        <v>2+3</v>
      </c>
      <c r="CA1291" s="52" t="n">
        <f aca="false">IF(BW1291=0,0,IF(N(S1291)&gt;0,S1291,IFERROR(VLOOKUP(D1291,Parameter!$A$35:$C$64,3,0)+0,0)))</f>
        <v>0</v>
      </c>
      <c r="CB1291" s="48" t="n">
        <f aca="false">IF(AA1291&lt;&gt;"",AA1291,Z1291)</f>
        <v>2</v>
      </c>
      <c r="CC1291" s="48" t="str">
        <f aca="false">IF(OR(CB1291=1,CB1291=2,CB1291=3),IF(Parameter!$E$27="Ja","LIFT",IF(CB1291=1,"L1","L23")),IF(CB1291="Aussen","Aussen","-"))</f>
        <v>LIFT</v>
      </c>
      <c r="CD1291" s="59" t="n">
        <f aca="false">IF(N(AB1291)&gt;0,AB1291,0)</f>
        <v>0</v>
      </c>
      <c r="CE1291" s="53" t="n">
        <f aca="false">IF(ISNUMBER(AE1291),1,0)</f>
        <v>0</v>
      </c>
      <c r="CF1291" s="50" t="n">
        <f aca="false">N(AE1291)</f>
        <v>0</v>
      </c>
      <c r="CG1291" s="50" t="n">
        <f aca="false">N(M1291)+N(N1291)</f>
        <v>1</v>
      </c>
      <c r="CH1291" s="50" t="n">
        <f aca="false">ROUNDUP(H1291/BV1291,0)</f>
        <v>0</v>
      </c>
      <c r="CI1291" s="50" t="n">
        <f aca="false">ROUNDUP(CF1291/BV1291,0)</f>
        <v>0</v>
      </c>
      <c r="CJ1291" s="53" t="n">
        <f aca="false">IF(BW1291=1,0,IFERROR(VLOOKUP(BU1291,'Gebinde-Kategorie'!$A$5:$N$45,5,0)+0,0))</f>
        <v>20</v>
      </c>
      <c r="CK1291" s="53" t="n">
        <f aca="false">IFERROR(IF(OR(CB1291=1,CB1291=2,CB1291=3),N(INDEX(Parameter!$I$5:$I$7,CB1291)),0),0)</f>
        <v>0</v>
      </c>
      <c r="CL1291" s="52" t="n">
        <f aca="false">IF(AND(Parameter!$B$21="Ja",ISNUMBER(W1291),N(X1291)&gt;0),IFERROR(N(INDEX(Parameter!$L$5:$L$7,W1291))*INDEX(Parameter!$E$5:$E$7,W1291)*X1291/SUMIFS($X$7:$X$1843,$W$7:$W$1843,W1291),0),0)</f>
        <v>0</v>
      </c>
    </row>
    <row r="1292" customFormat="false" ht="15" hidden="false" customHeight="false" outlineLevel="0" collapsed="false">
      <c r="A1292" s="48" t="s">
        <v>2305</v>
      </c>
      <c r="B1292" s="48" t="s">
        <v>604</v>
      </c>
      <c r="C1292" s="48" t="s">
        <v>168</v>
      </c>
      <c r="D1292" s="48" t="s">
        <v>188</v>
      </c>
      <c r="E1292" s="48" t="s">
        <v>189</v>
      </c>
      <c r="F1292" s="48" t="s">
        <v>222</v>
      </c>
      <c r="G1292" s="49" t="n">
        <v>16.14</v>
      </c>
      <c r="H1292" s="50" t="n">
        <f aca="false">MAX(0,IF(AND(Parameter!$B$21="Ja",ISNUMBER(Y1292)),Y1292,IF(Parameter!$B$20="Jahresanfang 2025 + Export",BO1292+BN1292,BN1292)))</f>
        <v>10</v>
      </c>
      <c r="I1292" s="50" t="n">
        <f aca="false">H1292*G1292</f>
        <v>161.4</v>
      </c>
      <c r="J1292" s="50" t="n">
        <f aca="false">BQ1292*Parameter!$B$18</f>
        <v>53</v>
      </c>
      <c r="K1292" s="51" t="n">
        <v>61.5</v>
      </c>
      <c r="L1292" s="52" t="n">
        <v>0.861788617886179</v>
      </c>
      <c r="M1292" s="50" t="n">
        <v>3</v>
      </c>
      <c r="N1292" s="50" t="n">
        <v>55</v>
      </c>
      <c r="O1292" s="53" t="n">
        <v>21</v>
      </c>
      <c r="P1292" s="48" t="s">
        <v>306</v>
      </c>
      <c r="Q1292" s="50" t="n">
        <v>58</v>
      </c>
      <c r="R1292" s="53" t="n">
        <f aca="false">IF(BW1292=1,0,IFERROR(VLOOKUP(BU1292,'Gebinde-Kategorie'!$A$5:$N$45,13,0)+0,0))</f>
        <v>26</v>
      </c>
      <c r="S1292" s="54"/>
      <c r="T1292" s="55"/>
      <c r="U1292" s="55"/>
      <c r="V1292" s="55"/>
      <c r="W1292" s="48"/>
      <c r="X1292" s="50"/>
      <c r="Y1292" s="50"/>
      <c r="Z1292" s="48" t="n">
        <f aca="false">IF(A1292="","",IF(AND(Parameter!$B$21="Ja",ISNUMBER(W1292)),W1292,IF(BZ1292="2+3",IF(ISNUMBER(SEARCH("grosser Artikel",BR1292)),2,IFERROR(VLOOKUP(BU1292,Parameter!$F$35:$G$64,2,0),2)),IF(OR(BZ1292="Nein",BZ1292=""),"-",BZ1292))))</f>
        <v>3</v>
      </c>
      <c r="AA1292" s="55"/>
      <c r="AB1292" s="56"/>
      <c r="AC1292" s="50" t="n">
        <f aca="false">AT1292</f>
        <v>58</v>
      </c>
      <c r="AD1292" s="50" t="n">
        <f aca="false">MAX(AT1292,H1292)</f>
        <v>58</v>
      </c>
      <c r="AE1292" s="57"/>
      <c r="AF1292" s="50" t="n">
        <f aca="false">IF(LEFT(Cockpit!$C$5,1)="A",H1292,IF(CE1292=1,CF1292,IF(LEFT(Cockpit!$C$5,1)="B",AK1292,MAX(AK1292,H1292))))</f>
        <v>10</v>
      </c>
      <c r="AG1292" s="50" t="n">
        <f aca="false">IF(BW1292=1,0,ROUNDUP(AF1292/BV1292,0))</f>
        <v>1</v>
      </c>
      <c r="AH1292" s="52" t="n">
        <f aca="false">IF(CL1292&gt;0,CL1292*MAX(1,AF1292/X1292),IF(BW1292=1,IF(AF1292&lt;=0,0,CA1292*MAX(1,IF(H1292&gt;0,AF1292/H1292,1))),IF(R1292&gt;0,AG1292/R1292,0))/MAX(0.1,N(Parameter!$M$21)))</f>
        <v>0.0384615384615385</v>
      </c>
      <c r="AI1292" s="50" t="n">
        <f aca="false">AH1292*BY1292</f>
        <v>5.96153846153846</v>
      </c>
      <c r="AJ1292" s="50" t="n">
        <f aca="false">AF1292*G1292</f>
        <v>161.4</v>
      </c>
      <c r="AK1292" s="50" t="n">
        <f aca="false">ROUNDUP(MAX(J1292/IF(CD1292&gt;0,CD1292,MAX(0.1,N(Cockpit!$C$6))),CG1292)/BV1292,0)*BV1292</f>
        <v>58</v>
      </c>
      <c r="AL1292" s="51" t="n">
        <f aca="false">IF(AI1292&gt;0,J1292/AI1292,-1)</f>
        <v>8.89032258064516</v>
      </c>
      <c r="AM1292" s="51" t="n">
        <f aca="false">IF(AND(OR(CC1292="L1",CC1292="L23",CC1292="LIFT"),AI1292&gt;0),SUMIFS($AI$7:$AI$1843,$CC$7:$CC$1843,CC1292,$AL$7:$AL$1843,"&gt;"&amp;AL1292)+SUMIFS($AI$7:$AI$1843,$CC$7:$CC$1843,CC1292,$AL$7:$AL$1843,AL1292,$BT$7:$BT$1843,"&lt;="&amp;BT1292),"")</f>
        <v>2930.06456043956</v>
      </c>
      <c r="AN1292" s="58" t="n">
        <f aca="false">IF(AM1292="",0,MAX(0,MIN(1,(IF(CC1292="L1",Parameter!$H$5,IF(CC1292="L23",Parameter!$H$6+Parameter!$H$7,Parameter!$H$5+Parameter!$H$6+Parameter!$H$7))-(AM1292-AI1292))/AI1292)))</f>
        <v>1</v>
      </c>
      <c r="AO1292" s="50" t="n">
        <f aca="false">IF(LEFT(Cockpit!$I$5,1)="A",H1292,IF(CE1292=1,CF1292,IF(LEFT(Cockpit!$I$5,1)="B",AT1292,MAX(AT1292,H1292))))</f>
        <v>58</v>
      </c>
      <c r="AP1292" s="50" t="n">
        <f aca="false">IF(BW1292=1,0,ROUNDUP(AO1292/BV1292,0))</f>
        <v>1</v>
      </c>
      <c r="AQ1292" s="52" t="n">
        <f aca="false">IF(CL1292&gt;0,CL1292*MAX(1,AO1292/X1292),IF(BW1292=1,IF(AO1292&lt;=0,0,CA1292*MAX(1,IF(H1292&gt;0,AO1292/H1292,1))),IF(R1292&gt;0,AP1292/R1292,0))/MAX(0.1,N(Parameter!$M$21)))</f>
        <v>0.0384615384615385</v>
      </c>
      <c r="AR1292" s="50" t="n">
        <f aca="false">AQ1292*BY1292</f>
        <v>5.96153846153846</v>
      </c>
      <c r="AS1292" s="50" t="n">
        <f aca="false">AO1292*G1292</f>
        <v>936.12</v>
      </c>
      <c r="AT1292" s="50" t="n">
        <f aca="false">ROUNDUP(MAX(J1292/IF(CD1292&gt;0,CD1292,MAX(0.1,N(Cockpit!$I$6))),CG1292)/BV1292,0)*BV1292</f>
        <v>58</v>
      </c>
      <c r="AU1292" s="51" t="n">
        <f aca="false">IF(AR1292&gt;0,J1292/AR1292,-1)</f>
        <v>8.89032258064516</v>
      </c>
      <c r="AV1292" s="51" t="n">
        <f aca="false">IF(AND(OR(CC1292="L1",CC1292="L23",CC1292="LIFT"),AR1292&gt;0),SUMIFS($AR$7:$AR$1843,$CC$7:$CC$1843,CC1292,$AU$7:$AU$1843,"&gt;"&amp;AU1292)+SUMIFS($AR$7:$AR$1843,$CC$7:$CC$1843,CC1292,$AU$7:$AU$1843,AU1292,$BT$7:$BT$1843,"&lt;="&amp;BT1292),"")</f>
        <v>4175.66529304029</v>
      </c>
      <c r="AW1292" s="58" t="n">
        <f aca="false">IF(AV1292="",0,MAX(0,MIN(1,(IF(CC1292="L1",Parameter!$H$5,IF(CC1292="L23",Parameter!$H$6+Parameter!$H$7,Parameter!$H$5+Parameter!$H$6+Parameter!$H$7))-(AV1292-AR1292))/AR1292)))</f>
        <v>1</v>
      </c>
      <c r="AX1292" s="50" t="n">
        <f aca="false">IF(LEFT(Cockpit!$O$5,1)="A",H1292,IF(CE1292=1,CF1292,IF(LEFT(Cockpit!$O$5,1)="B",BC1292,MAX(BC1292,H1292))))</f>
        <v>58</v>
      </c>
      <c r="AY1292" s="50" t="n">
        <f aca="false">IF(BW1292=1,0,ROUNDUP(AX1292/BV1292,0))</f>
        <v>1</v>
      </c>
      <c r="AZ1292" s="52" t="n">
        <f aca="false">IF(CL1292&gt;0,CL1292*MAX(1,AX1292/X1292),IF(BW1292=1,IF(AX1292&lt;=0,0,CA1292*MAX(1,IF(H1292&gt;0,AX1292/H1292,1))),IF(R1292&gt;0,AY1292/R1292,0))/MAX(0.1,N(Parameter!$M$21)))</f>
        <v>0.0384615384615385</v>
      </c>
      <c r="BA1292" s="50" t="n">
        <f aca="false">AZ1292*BY1292</f>
        <v>5.96153846153846</v>
      </c>
      <c r="BB1292" s="50" t="n">
        <f aca="false">AX1292*G1292</f>
        <v>936.12</v>
      </c>
      <c r="BC1292" s="50" t="n">
        <f aca="false">ROUNDUP(MAX(J1292/IF(CD1292&gt;0,CD1292,MAX(0.1,N(Cockpit!$O$6))),CG1292)/BV1292,0)*BV1292</f>
        <v>58</v>
      </c>
      <c r="BD1292" s="51" t="n">
        <f aca="false">IF(BA1292&gt;0,J1292/BA1292,-1)</f>
        <v>8.89032258064516</v>
      </c>
      <c r="BE1292" s="51" t="n">
        <f aca="false">IF(AND(OR(CC1292="L1",CC1292="L23",CC1292="LIFT"),BA1292&gt;0),SUMIFS($BA$7:$BA$1843,$CC$7:$CC$1843,CC1292,$BD$7:$BD$1843,"&gt;"&amp;BD1292)+SUMIFS($BA$7:$BA$1843,$CC$7:$CC$1843,CC1292,$BD$7:$BD$1843,BD1292,$BT$7:$BT$1843,"&lt;="&amp;BT1292),"")</f>
        <v>3833.79029304029</v>
      </c>
      <c r="BF1292" s="58" t="n">
        <f aca="false">IF(BE1292="",0,MAX(0,MIN(1,(IF(CC1292="L1",Parameter!$H$5,IF(CC1292="L23",Parameter!$H$6+Parameter!$H$7,Parameter!$H$5+Parameter!$H$6+Parameter!$H$7))-(BE1292-BA1292))/BA1292)))</f>
        <v>1</v>
      </c>
      <c r="BG1292" s="48" t="str">
        <f aca="false">IF(AI1292&lt;=0,"",IF(CC1292="Aussen","Aussenlager",IF(CC1292="-","Nicht im Lift",IF(AN1292&gt;=1,"Lift",IF(AN1292&lt;=0,"Aussenlager","teilweise")))))</f>
        <v>Lift</v>
      </c>
      <c r="BH1292" s="48" t="str">
        <f aca="false">IF(AR1292&lt;=0,"",IF(CC1292="Aussen","Aussenlager",IF(CC1292="-","Nicht im Lift",IF(AW1292&gt;=1,"Lift",IF(AW1292&lt;=0,"Aussenlager","teilweise")))))</f>
        <v>Lift</v>
      </c>
      <c r="BI1292" s="48" t="str">
        <f aca="false">IF(BA1292&lt;=0,"",IF(CC1292="Aussen","Aussenlager",IF(CC1292="-","Nicht im Lift",IF(BF1292&gt;=1,"Lift",IF(BF1292&lt;=0,"Aussenlager","teilweise")))))</f>
        <v>Lift</v>
      </c>
      <c r="BJ1292" s="48" t="str">
        <f aca="false">IF(A1292="","",IF(BS1292=1,"Neu; ","")&amp;IF(AND(BS1292=0,BN1292&lt;0),"negativer Bestand (Export "&amp;BN1292&amp;"); ","")&amp;IF(J1292&lt;=0,"Kein Verbrauch; ","")&amp;IF(CL1292&gt;0,"Lift "&amp;W1292&amp;" lt. Liftbericht (Fach "&amp;X1292&amp;" Stk); ",IF(BX1292=1,"Gebinde geschätzt ("&amp;T1292&amp;"); ",IF(BW1292=1,"Lose – Tablare geschätzt; ","")))&amp;IF(H1292&gt;AT1292,"Überbestand "&amp;ROUND(H1292-AT1292,0)&amp;" Stk / CHF "&amp;ROUND((H1292-AT1292)*G1292,0)&amp;"; ","")&amp;IF(AND(CE1292=1,CF1292&lt;CG1292),"MAX &lt; MB+LG; ","")&amp;IF(AND(CK1292&gt;0,CJ1292*10&gt;CK1292),"zu hoch für Tablar; ","")&amp;IF(AND(BS1292=0,OR(CE1292=1,AA1292&lt;&gt;"",U1292&lt;&gt;"",V1292&lt;&gt;"",AB1292&lt;&gt;"")),"manuell übersteuert; ","")&amp;IF(AND(BW1292=0,R1292=0),"Gebinde unbekannt / Stellmass fehlt; ","")&amp;IF(AND(BW1292=0,N(V1292)&lt;=0,N(Q1292)&lt;=0),"Menge pro Gebinde fehlt (Ist = 1 Gebinde); ","")&amp;BR1292)</f>
        <v>negativer Bestand (Export -66); </v>
      </c>
      <c r="BK1292" s="48"/>
      <c r="BL1292" s="48"/>
      <c r="BM1292" s="55"/>
      <c r="BN1292" s="50" t="n">
        <v>-66</v>
      </c>
      <c r="BO1292" s="50" t="n">
        <v>76</v>
      </c>
      <c r="BP1292" s="49" t="n">
        <v>-1160.7</v>
      </c>
      <c r="BQ1292" s="50" t="n">
        <v>53</v>
      </c>
      <c r="BR1292" s="48"/>
      <c r="BS1292" s="53" t="n">
        <v>0</v>
      </c>
      <c r="BT1292" s="53" t="n">
        <v>1292</v>
      </c>
      <c r="BU1292" s="48" t="str">
        <f aca="false">IF(U1292&lt;&gt;"",UPPER(TRIM(U1292)),IF(BX1292=1,UPPER(VLOOKUP(T1292,Parameter!$I$27:$K$29,2,0)),IF(P1292="","LOSE",P1292)))</f>
        <v>S51</v>
      </c>
      <c r="BV1292" s="50" t="n">
        <f aca="false">IF(BU1292="LOSE",1,IF(N(V1292)&gt;0,V1292,IF(BX1292=1,MAX(1,N(VLOOKUP(T1292,Parameter!$I$27:$K$29,3,0)),H1292,N(N1292)),IF(N(Q1292)&gt;0,Q1292,MAX(1,H1292)))))</f>
        <v>58</v>
      </c>
      <c r="BW1292" s="53" t="n">
        <f aca="false">IF(BU1292="LOSE",1,0)</f>
        <v>0</v>
      </c>
      <c r="BX1292" s="53" t="n">
        <f aca="false">IF(AND(U1292="",OR(P1292="",P1292="LOSE"),T1292&lt;&gt;"",N(S1292)&lt;=0,ISNUMBER(MATCH(T1292,Parameter!$I$27:$I$29,0))),1,0)</f>
        <v>0</v>
      </c>
      <c r="BY1292" s="53" t="n">
        <f aca="false">IF(CL1292&gt;0,INDEX(Parameter!$H$5:$H$7,W1292)/INDEX(Parameter!$E$5:$E$7,W1292),IF(AND(BW1292=0,N(IFERROR(VLOOKUP(BU1292,'Gebinde-Kategorie'!$A$5:$N$45,14,0),0))&gt;0),VLOOKUP(BU1292,'Gebinde-Kategorie'!$A$5:$N$45,14,0)*10+Parameter!$M$23,Parameter!$M$24))</f>
        <v>155</v>
      </c>
      <c r="BZ1292" s="48" t="str">
        <f aca="false">IF(AND(Parameter!$B$19="Ja",E1292&lt;&gt;"",ISNUMBER(MATCH(E1292,Parameter!$I$35:$I$52,0))),VLOOKUP(E1292,Parameter!$I$35:$J$52,2,0),IFERROR(VLOOKUP(D1292,Parameter!$A$35:$C$64,2,0),"Nein"))</f>
        <v>2+3</v>
      </c>
      <c r="CA1292" s="52" t="n">
        <f aca="false">IF(BW1292=0,0,IF(N(S1292)&gt;0,S1292,IFERROR(VLOOKUP(D1292,Parameter!$A$35:$C$64,3,0)+0,0)))</f>
        <v>0</v>
      </c>
      <c r="CB1292" s="48" t="n">
        <f aca="false">IF(AA1292&lt;&gt;"",AA1292,Z1292)</f>
        <v>3</v>
      </c>
      <c r="CC1292" s="48" t="str">
        <f aca="false">IF(OR(CB1292=1,CB1292=2,CB1292=3),IF(Parameter!$E$27="Ja","LIFT",IF(CB1292=1,"L1","L23")),IF(CB1292="Aussen","Aussen","-"))</f>
        <v>LIFT</v>
      </c>
      <c r="CD1292" s="59" t="n">
        <f aca="false">IF(N(AB1292)&gt;0,AB1292,0)</f>
        <v>0</v>
      </c>
      <c r="CE1292" s="53" t="n">
        <f aca="false">IF(ISNUMBER(AE1292),1,0)</f>
        <v>0</v>
      </c>
      <c r="CF1292" s="50" t="n">
        <f aca="false">N(AE1292)</f>
        <v>0</v>
      </c>
      <c r="CG1292" s="50" t="n">
        <f aca="false">N(M1292)+N(N1292)</f>
        <v>58</v>
      </c>
      <c r="CH1292" s="50" t="n">
        <f aca="false">ROUNDUP(H1292/BV1292,0)</f>
        <v>1</v>
      </c>
      <c r="CI1292" s="50" t="n">
        <f aca="false">ROUNDUP(CF1292/BV1292,0)</f>
        <v>0</v>
      </c>
      <c r="CJ1292" s="53" t="n">
        <f aca="false">IF(BW1292=1,0,IFERROR(VLOOKUP(BU1292,'Gebinde-Kategorie'!$A$5:$N$45,5,0)+0,0))</f>
        <v>11</v>
      </c>
      <c r="CK1292" s="53" t="n">
        <f aca="false">IFERROR(IF(OR(CB1292=1,CB1292=2,CB1292=3),N(INDEX(Parameter!$I$5:$I$7,CB1292)),0),0)</f>
        <v>0</v>
      </c>
      <c r="CL1292" s="52" t="n">
        <f aca="false">IF(AND(Parameter!$B$21="Ja",ISNUMBER(W1292),N(X1292)&gt;0),IFERROR(N(INDEX(Parameter!$L$5:$L$7,W1292))*INDEX(Parameter!$E$5:$E$7,W1292)*X1292/SUMIFS($X$7:$X$1843,$W$7:$W$1843,W1292),0),0)</f>
        <v>0</v>
      </c>
    </row>
    <row r="1293" customFormat="false" ht="15" hidden="false" customHeight="false" outlineLevel="0" collapsed="false">
      <c r="A1293" s="48" t="s">
        <v>2306</v>
      </c>
      <c r="B1293" s="48" t="s">
        <v>1002</v>
      </c>
      <c r="C1293" s="48" t="s">
        <v>168</v>
      </c>
      <c r="D1293" s="48" t="s">
        <v>188</v>
      </c>
      <c r="E1293" s="48" t="s">
        <v>189</v>
      </c>
      <c r="F1293" s="48" t="s">
        <v>222</v>
      </c>
      <c r="G1293" s="49" t="n">
        <v>116.83</v>
      </c>
      <c r="H1293" s="50" t="n">
        <f aca="false">MAX(0,IF(AND(Parameter!$B$21="Ja",ISNUMBER(Y1293)),Y1293,IF(Parameter!$B$20="Jahresanfang 2025 + Export",BO1293+BN1293,BN1293)))</f>
        <v>28.7910000000001</v>
      </c>
      <c r="I1293" s="50" t="n">
        <f aca="false">H1293*G1293</f>
        <v>3363.65253000001</v>
      </c>
      <c r="J1293" s="50" t="n">
        <f aca="false">BQ1293*Parameter!$B$18</f>
        <v>148.173</v>
      </c>
      <c r="K1293" s="51" t="n">
        <v>35.0785</v>
      </c>
      <c r="L1293" s="52" t="n">
        <v>4.22404036660633</v>
      </c>
      <c r="M1293" s="50" t="n">
        <v>15</v>
      </c>
      <c r="N1293" s="50" t="n">
        <v>45</v>
      </c>
      <c r="O1293" s="53" t="n">
        <v>42</v>
      </c>
      <c r="P1293" s="48" t="s">
        <v>297</v>
      </c>
      <c r="Q1293" s="50" t="n">
        <v>17.887</v>
      </c>
      <c r="R1293" s="53" t="n">
        <f aca="false">IF(BW1293=1,0,IFERROR(VLOOKUP(BU1293,'Gebinde-Kategorie'!$A$5:$N$45,13,0)+0,0))</f>
        <v>12</v>
      </c>
      <c r="S1293" s="54"/>
      <c r="T1293" s="55"/>
      <c r="U1293" s="55"/>
      <c r="V1293" s="55"/>
      <c r="W1293" s="48"/>
      <c r="X1293" s="50"/>
      <c r="Y1293" s="50"/>
      <c r="Z1293" s="48" t="n">
        <f aca="false">IF(A1293="","",IF(AND(Parameter!$B$21="Ja",ISNUMBER(W1293)),W1293,IF(BZ1293="2+3",IF(ISNUMBER(SEARCH("grosser Artikel",BR1293)),2,IFERROR(VLOOKUP(BU1293,Parameter!$F$35:$G$64,2,0),2)),IF(OR(BZ1293="Nein",BZ1293=""),"-",BZ1293))))</f>
        <v>2</v>
      </c>
      <c r="AA1293" s="55"/>
      <c r="AB1293" s="56"/>
      <c r="AC1293" s="50" t="n">
        <f aca="false">AT1293</f>
        <v>89.435</v>
      </c>
      <c r="AD1293" s="50" t="n">
        <f aca="false">MAX(AT1293,H1293)</f>
        <v>89.435</v>
      </c>
      <c r="AE1293" s="57"/>
      <c r="AF1293" s="50" t="n">
        <f aca="false">IF(LEFT(Cockpit!$C$5,1)="A",H1293,IF(CE1293=1,CF1293,IF(LEFT(Cockpit!$C$5,1)="B",AK1293,MAX(AK1293,H1293))))</f>
        <v>28.7910000000001</v>
      </c>
      <c r="AG1293" s="50" t="n">
        <f aca="false">IF(BW1293=1,0,ROUNDUP(AF1293/BV1293,0))</f>
        <v>2</v>
      </c>
      <c r="AH1293" s="52" t="n">
        <f aca="false">IF(CL1293&gt;0,CL1293*MAX(1,AF1293/X1293),IF(BW1293=1,IF(AF1293&lt;=0,0,CA1293*MAX(1,IF(H1293&gt;0,AF1293/H1293,1))),IF(R1293&gt;0,AG1293/R1293,0))/MAX(0.1,N(Parameter!$M$21)))</f>
        <v>0.166666666666667</v>
      </c>
      <c r="AI1293" s="50" t="n">
        <f aca="false">AH1293*BY1293</f>
        <v>40.8333333333333</v>
      </c>
      <c r="AJ1293" s="50" t="n">
        <f aca="false">AF1293*G1293</f>
        <v>3363.65253000001</v>
      </c>
      <c r="AK1293" s="50" t="n">
        <f aca="false">ROUNDUP(MAX(J1293/IF(CD1293&gt;0,CD1293,MAX(0.1,N(Cockpit!$C$6))),CG1293)/BV1293,0)*BV1293</f>
        <v>89.435</v>
      </c>
      <c r="AL1293" s="51" t="n">
        <f aca="false">IF(AI1293&gt;0,J1293/AI1293,-1)</f>
        <v>3.62872653061225</v>
      </c>
      <c r="AM1293" s="51" t="n">
        <f aca="false">IF(AND(OR(CC1293="L1",CC1293="L23",CC1293="LIFT"),AI1293&gt;0),SUMIFS($AI$7:$AI$1843,$CC$7:$CC$1843,CC1293,$AL$7:$AL$1843,"&gt;"&amp;AL1293)+SUMIFS($AI$7:$AI$1843,$CC$7:$CC$1843,CC1293,$AL$7:$AL$1843,AL1293,$BT$7:$BT$1843,"&lt;="&amp;BT1293),"")</f>
        <v>4819.57051282051</v>
      </c>
      <c r="AN1293" s="58" t="n">
        <f aca="false">IF(AM1293="",0,MAX(0,MIN(1,(IF(CC1293="L1",Parameter!$H$5,IF(CC1293="L23",Parameter!$H$6+Parameter!$H$7,Parameter!$H$5+Parameter!$H$6+Parameter!$H$7))-(AM1293-AI1293))/AI1293)))</f>
        <v>1</v>
      </c>
      <c r="AO1293" s="50" t="n">
        <f aca="false">IF(LEFT(Cockpit!$I$5,1)="A",H1293,IF(CE1293=1,CF1293,IF(LEFT(Cockpit!$I$5,1)="B",AT1293,MAX(AT1293,H1293))))</f>
        <v>89.435</v>
      </c>
      <c r="AP1293" s="50" t="n">
        <f aca="false">IF(BW1293=1,0,ROUNDUP(AO1293/BV1293,0))</f>
        <v>5</v>
      </c>
      <c r="AQ1293" s="52" t="n">
        <f aca="false">IF(CL1293&gt;0,CL1293*MAX(1,AO1293/X1293),IF(BW1293=1,IF(AO1293&lt;=0,0,CA1293*MAX(1,IF(H1293&gt;0,AO1293/H1293,1))),IF(R1293&gt;0,AP1293/R1293,0))/MAX(0.1,N(Parameter!$M$21)))</f>
        <v>0.416666666666667</v>
      </c>
      <c r="AR1293" s="50" t="n">
        <f aca="false">AQ1293*BY1293</f>
        <v>102.083333333333</v>
      </c>
      <c r="AS1293" s="50" t="n">
        <f aca="false">AO1293*G1293</f>
        <v>10448.69105</v>
      </c>
      <c r="AT1293" s="50" t="n">
        <f aca="false">ROUNDUP(MAX(J1293/IF(CD1293&gt;0,CD1293,MAX(0.1,N(Cockpit!$I$6))),CG1293)/BV1293,0)*BV1293</f>
        <v>89.435</v>
      </c>
      <c r="AU1293" s="51" t="n">
        <f aca="false">IF(AR1293&gt;0,J1293/AR1293,-1)</f>
        <v>1.4514906122449</v>
      </c>
      <c r="AV1293" s="51" t="n">
        <f aca="false">IF(AND(OR(CC1293="L1",CC1293="L23",CC1293="LIFT"),AR1293&gt;0),SUMIFS($AR$7:$AR$1843,$CC$7:$CC$1843,CC1293,$AU$7:$AU$1843,"&gt;"&amp;AU1293)+SUMIFS($AR$7:$AR$1843,$CC$7:$CC$1843,CC1293,$AU$7:$AU$1843,AU1293,$BT$7:$BT$1843,"&lt;="&amp;BT1293),"")</f>
        <v>8527.02014652015</v>
      </c>
      <c r="AW1293" s="58" t="n">
        <f aca="false">IF(AV1293="",0,MAX(0,MIN(1,(IF(CC1293="L1",Parameter!$H$5,IF(CC1293="L23",Parameter!$H$6+Parameter!$H$7,Parameter!$H$5+Parameter!$H$6+Parameter!$H$7))-(AV1293-AR1293))/AR1293)))</f>
        <v>1</v>
      </c>
      <c r="AX1293" s="50" t="n">
        <f aca="false">IF(LEFT(Cockpit!$O$5,1)="A",H1293,IF(CE1293=1,CF1293,IF(LEFT(Cockpit!$O$5,1)="B",BC1293,MAX(BC1293,H1293))))</f>
        <v>71.548</v>
      </c>
      <c r="AY1293" s="50" t="n">
        <f aca="false">IF(BW1293=1,0,ROUNDUP(AX1293/BV1293,0))</f>
        <v>4</v>
      </c>
      <c r="AZ1293" s="52" t="n">
        <f aca="false">IF(CL1293&gt;0,CL1293*MAX(1,AX1293/X1293),IF(BW1293=1,IF(AX1293&lt;=0,0,CA1293*MAX(1,IF(H1293&gt;0,AX1293/H1293,1))),IF(R1293&gt;0,AY1293/R1293,0))/MAX(0.1,N(Parameter!$M$21)))</f>
        <v>0.333333333333333</v>
      </c>
      <c r="BA1293" s="50" t="n">
        <f aca="false">AZ1293*BY1293</f>
        <v>81.6666666666667</v>
      </c>
      <c r="BB1293" s="50" t="n">
        <f aca="false">AX1293*G1293</f>
        <v>8358.95284</v>
      </c>
      <c r="BC1293" s="50" t="n">
        <f aca="false">ROUNDUP(MAX(J1293/IF(CD1293&gt;0,CD1293,MAX(0.1,N(Cockpit!$O$6))),CG1293)/BV1293,0)*BV1293</f>
        <v>71.548</v>
      </c>
      <c r="BD1293" s="51" t="n">
        <f aca="false">IF(BA1293&gt;0,J1293/BA1293,-1)</f>
        <v>1.81436326530612</v>
      </c>
      <c r="BE1293" s="51" t="n">
        <f aca="false">IF(AND(OR(CC1293="L1",CC1293="L23",CC1293="LIFT"),BA1293&gt;0),SUMIFS($BA$7:$BA$1843,$CC$7:$CC$1843,CC1293,$BD$7:$BD$1843,"&gt;"&amp;BD1293)+SUMIFS($BA$7:$BA$1843,$CC$7:$CC$1843,CC1293,$BD$7:$BD$1843,BD1293,$BT$7:$BT$1843,"&lt;="&amp;BT1293),"")</f>
        <v>7972.49725274725</v>
      </c>
      <c r="BF1293" s="58" t="n">
        <f aca="false">IF(BE1293="",0,MAX(0,MIN(1,(IF(CC1293="L1",Parameter!$H$5,IF(CC1293="L23",Parameter!$H$6+Parameter!$H$7,Parameter!$H$5+Parameter!$H$6+Parameter!$H$7))-(BE1293-BA1293))/BA1293)))</f>
        <v>1</v>
      </c>
      <c r="BG1293" s="48" t="str">
        <f aca="false">IF(AI1293&lt;=0,"",IF(CC1293="Aussen","Aussenlager",IF(CC1293="-","Nicht im Lift",IF(AN1293&gt;=1,"Lift",IF(AN1293&lt;=0,"Aussenlager","teilweise")))))</f>
        <v>Lift</v>
      </c>
      <c r="BH1293" s="48" t="str">
        <f aca="false">IF(AR1293&lt;=0,"",IF(CC1293="Aussen","Aussenlager",IF(CC1293="-","Nicht im Lift",IF(AW1293&gt;=1,"Lift",IF(AW1293&lt;=0,"Aussenlager","teilweise")))))</f>
        <v>Lift</v>
      </c>
      <c r="BI1293" s="48" t="str">
        <f aca="false">IF(BA1293&lt;=0,"",IF(CC1293="Aussen","Aussenlager",IF(CC1293="-","Nicht im Lift",IF(BF1293&gt;=1,"Lift",IF(BF1293&lt;=0,"Aussenlager","teilweise")))))</f>
        <v>Lift</v>
      </c>
      <c r="BJ1293" s="48" t="str">
        <f aca="false">IF(A1293="","",IF(BS1293=1,"Neu; ","")&amp;IF(AND(BS1293=0,BN1293&lt;0),"negativer Bestand (Export "&amp;BN1293&amp;"); ","")&amp;IF(J1293&lt;=0,"Kein Verbrauch; ","")&amp;IF(CL1293&gt;0,"Lift "&amp;W1293&amp;" lt. Liftbericht (Fach "&amp;X1293&amp;" Stk); ",IF(BX1293=1,"Gebinde geschätzt ("&amp;T1293&amp;"); ",IF(BW1293=1,"Lose – Tablare geschätzt; ","")))&amp;IF(H1293&gt;AT1293,"Überbestand "&amp;ROUND(H1293-AT1293,0)&amp;" Stk / CHF "&amp;ROUND((H1293-AT1293)*G1293,0)&amp;"; ","")&amp;IF(AND(CE1293=1,CF1293&lt;CG1293),"MAX &lt; MB+LG; ","")&amp;IF(AND(CK1293&gt;0,CJ1293*10&gt;CK1293),"zu hoch für Tablar; ","")&amp;IF(AND(BS1293=0,OR(CE1293=1,AA1293&lt;&gt;"",U1293&lt;&gt;"",V1293&lt;&gt;"",AB1293&lt;&gt;"")),"manuell übersteuert; ","")&amp;IF(AND(BW1293=0,R1293=0),"Gebinde unbekannt / Stellmass fehlt; ","")&amp;IF(AND(BW1293=0,N(V1293)&lt;=0,N(Q1293)&lt;=0),"Menge pro Gebinde fehlt (Ist = 1 Gebinde); ","")&amp;BR1293)</f>
        <v>negativer Bestand (Export -10.0179999999999); </v>
      </c>
      <c r="BK1293" s="48"/>
      <c r="BL1293" s="48"/>
      <c r="BM1293" s="55"/>
      <c r="BN1293" s="50" t="n">
        <v>-10.0179999999999</v>
      </c>
      <c r="BO1293" s="50" t="n">
        <v>38.809</v>
      </c>
      <c r="BP1293" s="49" t="n">
        <v>-1172.3</v>
      </c>
      <c r="BQ1293" s="50" t="n">
        <v>148.173</v>
      </c>
      <c r="BR1293" s="48"/>
      <c r="BS1293" s="53" t="n">
        <v>0</v>
      </c>
      <c r="BT1293" s="53" t="n">
        <v>1293</v>
      </c>
      <c r="BU1293" s="48" t="str">
        <f aca="false">IF(U1293&lt;&gt;"",UPPER(TRIM(U1293)),IF(BX1293=1,UPPER(VLOOKUP(T1293,Parameter!$I$27:$K$29,2,0)),IF(P1293="","LOSE",P1293)))</f>
        <v>S62</v>
      </c>
      <c r="BV1293" s="50" t="n">
        <f aca="false">IF(BU1293="LOSE",1,IF(N(V1293)&gt;0,V1293,IF(BX1293=1,MAX(1,N(VLOOKUP(T1293,Parameter!$I$27:$K$29,3,0)),H1293,N(N1293)),IF(N(Q1293)&gt;0,Q1293,MAX(1,H1293)))))</f>
        <v>17.887</v>
      </c>
      <c r="BW1293" s="53" t="n">
        <f aca="false">IF(BU1293="LOSE",1,0)</f>
        <v>0</v>
      </c>
      <c r="BX1293" s="53" t="n">
        <f aca="false">IF(AND(U1293="",OR(P1293="",P1293="LOSE"),T1293&lt;&gt;"",N(S1293)&lt;=0,ISNUMBER(MATCH(T1293,Parameter!$I$27:$I$29,0))),1,0)</f>
        <v>0</v>
      </c>
      <c r="BY1293" s="53" t="n">
        <f aca="false">IF(CL1293&gt;0,INDEX(Parameter!$H$5:$H$7,W1293)/INDEX(Parameter!$E$5:$E$7,W1293),IF(AND(BW1293=0,N(IFERROR(VLOOKUP(BU1293,'Gebinde-Kategorie'!$A$5:$N$45,14,0),0))&gt;0),VLOOKUP(BU1293,'Gebinde-Kategorie'!$A$5:$N$45,14,0)*10+Parameter!$M$23,Parameter!$M$24))</f>
        <v>245</v>
      </c>
      <c r="BZ1293" s="48" t="str">
        <f aca="false">IF(AND(Parameter!$B$19="Ja",E1293&lt;&gt;"",ISNUMBER(MATCH(E1293,Parameter!$I$35:$I$52,0))),VLOOKUP(E1293,Parameter!$I$35:$J$52,2,0),IFERROR(VLOOKUP(D1293,Parameter!$A$35:$C$64,2,0),"Nein"))</f>
        <v>2+3</v>
      </c>
      <c r="CA1293" s="52" t="n">
        <f aca="false">IF(BW1293=0,0,IF(N(S1293)&gt;0,S1293,IFERROR(VLOOKUP(D1293,Parameter!$A$35:$C$64,3,0)+0,0)))</f>
        <v>0</v>
      </c>
      <c r="CB1293" s="48" t="n">
        <f aca="false">IF(AA1293&lt;&gt;"",AA1293,Z1293)</f>
        <v>2</v>
      </c>
      <c r="CC1293" s="48" t="str">
        <f aca="false">IF(OR(CB1293=1,CB1293=2,CB1293=3),IF(Parameter!$E$27="Ja","LIFT",IF(CB1293=1,"L1","L23")),IF(CB1293="Aussen","Aussen","-"))</f>
        <v>LIFT</v>
      </c>
      <c r="CD1293" s="59" t="n">
        <f aca="false">IF(N(AB1293)&gt;0,AB1293,0)</f>
        <v>0</v>
      </c>
      <c r="CE1293" s="53" t="n">
        <f aca="false">IF(ISNUMBER(AE1293),1,0)</f>
        <v>0</v>
      </c>
      <c r="CF1293" s="50" t="n">
        <f aca="false">N(AE1293)</f>
        <v>0</v>
      </c>
      <c r="CG1293" s="50" t="n">
        <f aca="false">N(M1293)+N(N1293)</f>
        <v>60</v>
      </c>
      <c r="CH1293" s="50" t="n">
        <f aca="false">ROUNDUP(H1293/BV1293,0)</f>
        <v>2</v>
      </c>
      <c r="CI1293" s="50" t="n">
        <f aca="false">ROUNDUP(CF1293/BV1293,0)</f>
        <v>0</v>
      </c>
      <c r="CJ1293" s="53" t="n">
        <f aca="false">IF(BW1293=1,0,IFERROR(VLOOKUP(BU1293,'Gebinde-Kategorie'!$A$5:$N$45,5,0)+0,0))</f>
        <v>21</v>
      </c>
      <c r="CK1293" s="53" t="n">
        <f aca="false">IFERROR(IF(OR(CB1293=1,CB1293=2,CB1293=3),N(INDEX(Parameter!$I$5:$I$7,CB1293)),0),0)</f>
        <v>0</v>
      </c>
      <c r="CL1293" s="52" t="n">
        <f aca="false">IF(AND(Parameter!$B$21="Ja",ISNUMBER(W1293),N(X1293)&gt;0),IFERROR(N(INDEX(Parameter!$L$5:$L$7,W1293))*INDEX(Parameter!$E$5:$E$7,W1293)*X1293/SUMIFS($X$7:$X$1843,$W$7:$W$1843,W1293),0),0)</f>
        <v>0</v>
      </c>
    </row>
    <row r="1294" customFormat="false" ht="15" hidden="false" customHeight="false" outlineLevel="0" collapsed="false">
      <c r="A1294" s="48" t="s">
        <v>2307</v>
      </c>
      <c r="B1294" s="48" t="s">
        <v>347</v>
      </c>
      <c r="C1294" s="48" t="s">
        <v>168</v>
      </c>
      <c r="D1294" s="48" t="s">
        <v>177</v>
      </c>
      <c r="E1294" s="48" t="s">
        <v>170</v>
      </c>
      <c r="F1294" s="48" t="s">
        <v>222</v>
      </c>
      <c r="G1294" s="49" t="n">
        <v>186.4</v>
      </c>
      <c r="H1294" s="50" t="n">
        <f aca="false">MAX(0,IF(AND(Parameter!$B$21="Ja",ISNUMBER(Y1294)),Y1294,IF(Parameter!$B$20="Jahresanfang 2025 + Export",BO1294+BN1294,BN1294)))</f>
        <v>10</v>
      </c>
      <c r="I1294" s="50" t="n">
        <f aca="false">H1294*G1294</f>
        <v>1864</v>
      </c>
      <c r="J1294" s="50" t="n">
        <f aca="false">BQ1294*Parameter!$B$18</f>
        <v>25</v>
      </c>
      <c r="K1294" s="51" t="n">
        <v>13</v>
      </c>
      <c r="L1294" s="52" t="n">
        <v>1.92307692307692</v>
      </c>
      <c r="M1294" s="50" t="n">
        <v>1</v>
      </c>
      <c r="N1294" s="50" t="n">
        <v>10</v>
      </c>
      <c r="O1294" s="53" t="n">
        <v>21</v>
      </c>
      <c r="P1294" s="48" t="s">
        <v>178</v>
      </c>
      <c r="Q1294" s="50" t="n">
        <v>15</v>
      </c>
      <c r="R1294" s="53" t="n">
        <f aca="false">IF(BW1294=1,0,IFERROR(VLOOKUP(BU1294,'Gebinde-Kategorie'!$A$5:$N$45,13,0)+0,0))</f>
        <v>6</v>
      </c>
      <c r="S1294" s="54"/>
      <c r="T1294" s="55"/>
      <c r="U1294" s="55"/>
      <c r="V1294" s="55"/>
      <c r="W1294" s="48"/>
      <c r="X1294" s="50"/>
      <c r="Y1294" s="50"/>
      <c r="Z1294" s="48" t="n">
        <f aca="false">IF(A1294="","",IF(AND(Parameter!$B$21="Ja",ISNUMBER(W1294)),W1294,IF(BZ1294="2+3",IF(ISNUMBER(SEARCH("grosser Artikel",BR1294)),2,IFERROR(VLOOKUP(BU1294,Parameter!$F$35:$G$64,2,0),2)),IF(OR(BZ1294="Nein",BZ1294=""),"-",BZ1294))))</f>
        <v>1</v>
      </c>
      <c r="AA1294" s="55"/>
      <c r="AB1294" s="56"/>
      <c r="AC1294" s="50" t="n">
        <f aca="false">AT1294</f>
        <v>15</v>
      </c>
      <c r="AD1294" s="50" t="n">
        <f aca="false">MAX(AT1294,H1294)</f>
        <v>15</v>
      </c>
      <c r="AE1294" s="57"/>
      <c r="AF1294" s="50" t="n">
        <f aca="false">IF(LEFT(Cockpit!$C$5,1)="A",H1294,IF(CE1294=1,CF1294,IF(LEFT(Cockpit!$C$5,1)="B",AK1294,MAX(AK1294,H1294))))</f>
        <v>10</v>
      </c>
      <c r="AG1294" s="50" t="n">
        <f aca="false">IF(BW1294=1,0,ROUNDUP(AF1294/BV1294,0))</f>
        <v>1</v>
      </c>
      <c r="AH1294" s="52" t="n">
        <f aca="false">IF(CL1294&gt;0,CL1294*MAX(1,AF1294/X1294),IF(BW1294=1,IF(AF1294&lt;=0,0,CA1294*MAX(1,IF(H1294&gt;0,AF1294/H1294,1))),IF(R1294&gt;0,AG1294/R1294,0))/MAX(0.1,N(Parameter!$M$21)))</f>
        <v>0.166666666666667</v>
      </c>
      <c r="AI1294" s="50" t="n">
        <f aca="false">AH1294*BY1294</f>
        <v>39.1666666666667</v>
      </c>
      <c r="AJ1294" s="50" t="n">
        <f aca="false">AF1294*G1294</f>
        <v>1864</v>
      </c>
      <c r="AK1294" s="50" t="n">
        <f aca="false">ROUNDUP(MAX(J1294/IF(CD1294&gt;0,CD1294,MAX(0.1,N(Cockpit!$C$6))),CG1294)/BV1294,0)*BV1294</f>
        <v>15</v>
      </c>
      <c r="AL1294" s="51" t="n">
        <f aca="false">IF(AI1294&gt;0,J1294/AI1294,-1)</f>
        <v>0.638297872340426</v>
      </c>
      <c r="AM1294" s="51" t="n">
        <f aca="false">IF(AND(OR(CC1294="L1",CC1294="L23",CC1294="LIFT"),AI1294&gt;0),SUMIFS($AI$7:$AI$1843,$CC$7:$CC$1843,CC1294,$AL$7:$AL$1843,"&gt;"&amp;AL1294)+SUMIFS($AI$7:$AI$1843,$CC$7:$CC$1843,CC1294,$AL$7:$AL$1843,AL1294,$BT$7:$BT$1843,"&lt;="&amp;BT1294),"")</f>
        <v>8772.53846153846</v>
      </c>
      <c r="AN1294" s="58" t="n">
        <f aca="false">IF(AM1294="",0,MAX(0,MIN(1,(IF(CC1294="L1",Parameter!$H$5,IF(CC1294="L23",Parameter!$H$6+Parameter!$H$7,Parameter!$H$5+Parameter!$H$6+Parameter!$H$7))-(AM1294-AI1294))/AI1294)))</f>
        <v>1</v>
      </c>
      <c r="AO1294" s="50" t="n">
        <f aca="false">IF(LEFT(Cockpit!$I$5,1)="A",H1294,IF(CE1294=1,CF1294,IF(LEFT(Cockpit!$I$5,1)="B",AT1294,MAX(AT1294,H1294))))</f>
        <v>15</v>
      </c>
      <c r="AP1294" s="50" t="n">
        <f aca="false">IF(BW1294=1,0,ROUNDUP(AO1294/BV1294,0))</f>
        <v>1</v>
      </c>
      <c r="AQ1294" s="52" t="n">
        <f aca="false">IF(CL1294&gt;0,CL1294*MAX(1,AO1294/X1294),IF(BW1294=1,IF(AO1294&lt;=0,0,CA1294*MAX(1,IF(H1294&gt;0,AO1294/H1294,1))),IF(R1294&gt;0,AP1294/R1294,0))/MAX(0.1,N(Parameter!$M$21)))</f>
        <v>0.166666666666667</v>
      </c>
      <c r="AR1294" s="50" t="n">
        <f aca="false">AQ1294*BY1294</f>
        <v>39.1666666666667</v>
      </c>
      <c r="AS1294" s="50" t="n">
        <f aca="false">AO1294*G1294</f>
        <v>2796</v>
      </c>
      <c r="AT1294" s="50" t="n">
        <f aca="false">ROUNDUP(MAX(J1294/IF(CD1294&gt;0,CD1294,MAX(0.1,N(Cockpit!$I$6))),CG1294)/BV1294,0)*BV1294</f>
        <v>15</v>
      </c>
      <c r="AU1294" s="51" t="n">
        <f aca="false">IF(AR1294&gt;0,J1294/AR1294,-1)</f>
        <v>0.638297872340426</v>
      </c>
      <c r="AV1294" s="51" t="n">
        <f aca="false">IF(AND(OR(CC1294="L1",CC1294="L23",CC1294="LIFT"),AR1294&gt;0),SUMIFS($AR$7:$AR$1843,$CC$7:$CC$1843,CC1294,$AU$7:$AU$1843,"&gt;"&amp;AU1294)+SUMIFS($AR$7:$AR$1843,$CC$7:$CC$1843,CC1294,$AU$7:$AU$1843,AU1294,$BT$7:$BT$1843,"&lt;="&amp;BT1294),"")</f>
        <v>12234.7889194139</v>
      </c>
      <c r="AW1294" s="58" t="n">
        <f aca="false">IF(AV1294="",0,MAX(0,MIN(1,(IF(CC1294="L1",Parameter!$H$5,IF(CC1294="L23",Parameter!$H$6+Parameter!$H$7,Parameter!$H$5+Parameter!$H$6+Parameter!$H$7))-(AV1294-AR1294))/AR1294)))</f>
        <v>1</v>
      </c>
      <c r="AX1294" s="50" t="n">
        <f aca="false">IF(LEFT(Cockpit!$O$5,1)="A",H1294,IF(CE1294=1,CF1294,IF(LEFT(Cockpit!$O$5,1)="B",BC1294,MAX(BC1294,H1294))))</f>
        <v>15</v>
      </c>
      <c r="AY1294" s="50" t="n">
        <f aca="false">IF(BW1294=1,0,ROUNDUP(AX1294/BV1294,0))</f>
        <v>1</v>
      </c>
      <c r="AZ1294" s="52" t="n">
        <f aca="false">IF(CL1294&gt;0,CL1294*MAX(1,AX1294/X1294),IF(BW1294=1,IF(AX1294&lt;=0,0,CA1294*MAX(1,IF(H1294&gt;0,AX1294/H1294,1))),IF(R1294&gt;0,AY1294/R1294,0))/MAX(0.1,N(Parameter!$M$21)))</f>
        <v>0.166666666666667</v>
      </c>
      <c r="BA1294" s="50" t="n">
        <f aca="false">AZ1294*BY1294</f>
        <v>39.1666666666667</v>
      </c>
      <c r="BB1294" s="50" t="n">
        <f aca="false">AX1294*G1294</f>
        <v>2796</v>
      </c>
      <c r="BC1294" s="50" t="n">
        <f aca="false">ROUNDUP(MAX(J1294/IF(CD1294&gt;0,CD1294,MAX(0.1,N(Cockpit!$O$6))),CG1294)/BV1294,0)*BV1294</f>
        <v>15</v>
      </c>
      <c r="BD1294" s="51" t="n">
        <f aca="false">IF(BA1294&gt;0,J1294/BA1294,-1)</f>
        <v>0.638297872340426</v>
      </c>
      <c r="BE1294" s="51" t="n">
        <f aca="false">IF(AND(OR(CC1294="L1",CC1294="L23",CC1294="LIFT"),BA1294&gt;0),SUMIFS($BA$7:$BA$1843,$CC$7:$CC$1843,CC1294,$BD$7:$BD$1843,"&gt;"&amp;BD1294)+SUMIFS($BA$7:$BA$1843,$CC$7:$CC$1843,CC1294,$BD$7:$BD$1843,BD1294,$BT$7:$BT$1843,"&lt;="&amp;BT1294),"")</f>
        <v>11520.445970696</v>
      </c>
      <c r="BF1294" s="58" t="n">
        <f aca="false">IF(BE1294="",0,MAX(0,MIN(1,(IF(CC1294="L1",Parameter!$H$5,IF(CC1294="L23",Parameter!$H$6+Parameter!$H$7,Parameter!$H$5+Parameter!$H$6+Parameter!$H$7))-(BE1294-BA1294))/BA1294)))</f>
        <v>1</v>
      </c>
      <c r="BG1294" s="48" t="str">
        <f aca="false">IF(AI1294&lt;=0,"",IF(CC1294="Aussen","Aussenlager",IF(CC1294="-","Nicht im Lift",IF(AN1294&gt;=1,"Lift",IF(AN1294&lt;=0,"Aussenlager","teilweise")))))</f>
        <v>Lift</v>
      </c>
      <c r="BH1294" s="48" t="str">
        <f aca="false">IF(AR1294&lt;=0,"",IF(CC1294="Aussen","Aussenlager",IF(CC1294="-","Nicht im Lift",IF(AW1294&gt;=1,"Lift",IF(AW1294&lt;=0,"Aussenlager","teilweise")))))</f>
        <v>Lift</v>
      </c>
      <c r="BI1294" s="48" t="str">
        <f aca="false">IF(BA1294&lt;=0,"",IF(CC1294="Aussen","Aussenlager",IF(CC1294="-","Nicht im Lift",IF(BF1294&gt;=1,"Lift",IF(BF1294&lt;=0,"Aussenlager","teilweise")))))</f>
        <v>Lift</v>
      </c>
      <c r="BJ1294" s="48" t="str">
        <f aca="false">IF(A1294="","",IF(BS1294=1,"Neu; ","")&amp;IF(AND(BS1294=0,BN1294&lt;0),"negativer Bestand (Export "&amp;BN1294&amp;"); ","")&amp;IF(J1294&lt;=0,"Kein Verbrauch; ","")&amp;IF(CL1294&gt;0,"Lift "&amp;W1294&amp;" lt. Liftbericht (Fach "&amp;X1294&amp;" Stk); ",IF(BX1294=1,"Gebinde geschätzt ("&amp;T1294&amp;"); ",IF(BW1294=1,"Lose – Tablare geschätzt; ","")))&amp;IF(H1294&gt;AT1294,"Überbestand "&amp;ROUND(H1294-AT1294,0)&amp;" Stk / CHF "&amp;ROUND((H1294-AT1294)*G1294,0)&amp;"; ","")&amp;IF(AND(CE1294=1,CF1294&lt;CG1294),"MAX &lt; MB+LG; ","")&amp;IF(AND(CK1294&gt;0,CJ1294*10&gt;CK1294),"zu hoch für Tablar; ","")&amp;IF(AND(BS1294=0,OR(CE1294=1,AA1294&lt;&gt;"",U1294&lt;&gt;"",V1294&lt;&gt;"",AB1294&lt;&gt;"")),"manuell übersteuert; ","")&amp;IF(AND(BW1294=0,R1294=0),"Gebinde unbekannt / Stellmass fehlt; ","")&amp;IF(AND(BW1294=0,N(V1294)&lt;=0,N(Q1294)&lt;=0),"Menge pro Gebinde fehlt (Ist = 1 Gebinde); ","")&amp;BR1294)</f>
        <v>negativer Bestand (Export -5); </v>
      </c>
      <c r="BK1294" s="48"/>
      <c r="BL1294" s="48"/>
      <c r="BM1294" s="55"/>
      <c r="BN1294" s="50" t="n">
        <v>-5</v>
      </c>
      <c r="BO1294" s="50" t="n">
        <v>15</v>
      </c>
      <c r="BP1294" s="49" t="n">
        <v>-1177.7</v>
      </c>
      <c r="BQ1294" s="50" t="n">
        <v>25</v>
      </c>
      <c r="BR1294" s="48"/>
      <c r="BS1294" s="53" t="n">
        <v>0</v>
      </c>
      <c r="BT1294" s="53" t="n">
        <v>1294</v>
      </c>
      <c r="BU1294" s="48" t="str">
        <f aca="false">IF(U1294&lt;&gt;"",UPPER(TRIM(U1294)),IF(BX1294=1,UPPER(VLOOKUP(T1294,Parameter!$I$27:$K$29,2,0)),IF(P1294="","LOSE",P1294)))</f>
        <v>S71</v>
      </c>
      <c r="BV1294" s="50" t="n">
        <f aca="false">IF(BU1294="LOSE",1,IF(N(V1294)&gt;0,V1294,IF(BX1294=1,MAX(1,N(VLOOKUP(T1294,Parameter!$I$27:$K$29,3,0)),H1294,N(N1294)),IF(N(Q1294)&gt;0,Q1294,MAX(1,H1294)))))</f>
        <v>15</v>
      </c>
      <c r="BW1294" s="53" t="n">
        <f aca="false">IF(BU1294="LOSE",1,0)</f>
        <v>0</v>
      </c>
      <c r="BX1294" s="53" t="n">
        <f aca="false">IF(AND(U1294="",OR(P1294="",P1294="LOSE"),T1294&lt;&gt;"",N(S1294)&lt;=0,ISNUMBER(MATCH(T1294,Parameter!$I$27:$I$29,0))),1,0)</f>
        <v>0</v>
      </c>
      <c r="BY1294" s="53" t="n">
        <f aca="false">IF(CL1294&gt;0,INDEX(Parameter!$H$5:$H$7,W1294)/INDEX(Parameter!$E$5:$E$7,W1294),IF(AND(BW1294=0,N(IFERROR(VLOOKUP(BU1294,'Gebinde-Kategorie'!$A$5:$N$45,14,0),0))&gt;0),VLOOKUP(BU1294,'Gebinde-Kategorie'!$A$5:$N$45,14,0)*10+Parameter!$M$23,Parameter!$M$24))</f>
        <v>235</v>
      </c>
      <c r="BZ1294" s="48" t="n">
        <f aca="false">IF(AND(Parameter!$B$19="Ja",E1294&lt;&gt;"",ISNUMBER(MATCH(E1294,Parameter!$I$35:$I$52,0))),VLOOKUP(E1294,Parameter!$I$35:$J$52,2,0),IFERROR(VLOOKUP(D1294,Parameter!$A$35:$C$64,2,0),"Nein"))</f>
        <v>1</v>
      </c>
      <c r="CA1294" s="52" t="n">
        <f aca="false">IF(BW1294=0,0,IF(N(S1294)&gt;0,S1294,IFERROR(VLOOKUP(D1294,Parameter!$A$35:$C$64,3,0)+0,0)))</f>
        <v>0</v>
      </c>
      <c r="CB1294" s="48" t="n">
        <f aca="false">IF(AA1294&lt;&gt;"",AA1294,Z1294)</f>
        <v>1</v>
      </c>
      <c r="CC1294" s="48" t="str">
        <f aca="false">IF(OR(CB1294=1,CB1294=2,CB1294=3),IF(Parameter!$E$27="Ja","LIFT",IF(CB1294=1,"L1","L23")),IF(CB1294="Aussen","Aussen","-"))</f>
        <v>LIFT</v>
      </c>
      <c r="CD1294" s="59" t="n">
        <f aca="false">IF(N(AB1294)&gt;0,AB1294,0)</f>
        <v>0</v>
      </c>
      <c r="CE1294" s="53" t="n">
        <f aca="false">IF(ISNUMBER(AE1294),1,0)</f>
        <v>0</v>
      </c>
      <c r="CF1294" s="50" t="n">
        <f aca="false">N(AE1294)</f>
        <v>0</v>
      </c>
      <c r="CG1294" s="50" t="n">
        <f aca="false">N(M1294)+N(N1294)</f>
        <v>11</v>
      </c>
      <c r="CH1294" s="50" t="n">
        <f aca="false">ROUNDUP(H1294/BV1294,0)</f>
        <v>1</v>
      </c>
      <c r="CI1294" s="50" t="n">
        <f aca="false">ROUNDUP(CF1294/BV1294,0)</f>
        <v>0</v>
      </c>
      <c r="CJ1294" s="53" t="n">
        <f aca="false">IF(BW1294=1,0,IFERROR(VLOOKUP(BU1294,'Gebinde-Kategorie'!$A$5:$N$45,5,0)+0,0))</f>
        <v>20</v>
      </c>
      <c r="CK1294" s="53" t="n">
        <f aca="false">IFERROR(IF(OR(CB1294=1,CB1294=2,CB1294=3),N(INDEX(Parameter!$I$5:$I$7,CB1294)),0),0)</f>
        <v>0</v>
      </c>
      <c r="CL1294" s="52" t="n">
        <f aca="false">IF(AND(Parameter!$B$21="Ja",ISNUMBER(W1294),N(X1294)&gt;0),IFERROR(N(INDEX(Parameter!$L$5:$L$7,W1294))*INDEX(Parameter!$E$5:$E$7,W1294)*X1294/SUMIFS($X$7:$X$1843,$W$7:$W$1843,W1294),0),0)</f>
        <v>0</v>
      </c>
    </row>
    <row r="1295" customFormat="false" ht="15" hidden="false" customHeight="false" outlineLevel="0" collapsed="false">
      <c r="A1295" s="48" t="s">
        <v>2308</v>
      </c>
      <c r="B1295" s="48" t="s">
        <v>1043</v>
      </c>
      <c r="C1295" s="48" t="s">
        <v>168</v>
      </c>
      <c r="D1295" s="48" t="s">
        <v>188</v>
      </c>
      <c r="E1295" s="48"/>
      <c r="F1295" s="48" t="s">
        <v>222</v>
      </c>
      <c r="G1295" s="49" t="n">
        <v>48.23</v>
      </c>
      <c r="H1295" s="50" t="n">
        <f aca="false">MAX(0,IF(AND(Parameter!$B$21="Ja",ISNUMBER(Y1295)),Y1295,IF(Parameter!$B$20="Jahresanfang 2025 + Export",BO1295+BN1295,BN1295)))</f>
        <v>72</v>
      </c>
      <c r="I1295" s="50" t="n">
        <f aca="false">H1295*G1295</f>
        <v>3472.56</v>
      </c>
      <c r="J1295" s="50" t="n">
        <f aca="false">BQ1295*Parameter!$B$18</f>
        <v>308</v>
      </c>
      <c r="K1295" s="51" t="n">
        <v>83.5</v>
      </c>
      <c r="L1295" s="52" t="n">
        <v>3.68862275449102</v>
      </c>
      <c r="M1295" s="50" t="n">
        <v>17</v>
      </c>
      <c r="N1295" s="50" t="n">
        <v>100</v>
      </c>
      <c r="O1295" s="53" t="n">
        <v>21</v>
      </c>
      <c r="P1295" s="48" t="s">
        <v>297</v>
      </c>
      <c r="Q1295" s="50" t="n">
        <v>180</v>
      </c>
      <c r="R1295" s="53" t="n">
        <f aca="false">IF(BW1295=1,0,IFERROR(VLOOKUP(BU1295,'Gebinde-Kategorie'!$A$5:$N$45,13,0)+0,0))</f>
        <v>12</v>
      </c>
      <c r="S1295" s="54"/>
      <c r="T1295" s="55"/>
      <c r="U1295" s="55"/>
      <c r="V1295" s="55"/>
      <c r="W1295" s="48"/>
      <c r="X1295" s="50"/>
      <c r="Y1295" s="50"/>
      <c r="Z1295" s="48" t="n">
        <f aca="false">IF(A1295="","",IF(AND(Parameter!$B$21="Ja",ISNUMBER(W1295)),W1295,IF(BZ1295="2+3",IF(ISNUMBER(SEARCH("grosser Artikel",BR1295)),2,IFERROR(VLOOKUP(BU1295,Parameter!$F$35:$G$64,2,0),2)),IF(OR(BZ1295="Nein",BZ1295=""),"-",BZ1295))))</f>
        <v>2</v>
      </c>
      <c r="AA1295" s="55"/>
      <c r="AB1295" s="56"/>
      <c r="AC1295" s="50" t="n">
        <f aca="false">AT1295</f>
        <v>180</v>
      </c>
      <c r="AD1295" s="50" t="n">
        <f aca="false">MAX(AT1295,H1295)</f>
        <v>180</v>
      </c>
      <c r="AE1295" s="57"/>
      <c r="AF1295" s="50" t="n">
        <f aca="false">IF(LEFT(Cockpit!$C$5,1)="A",H1295,IF(CE1295=1,CF1295,IF(LEFT(Cockpit!$C$5,1)="B",AK1295,MAX(AK1295,H1295))))</f>
        <v>72</v>
      </c>
      <c r="AG1295" s="50" t="n">
        <f aca="false">IF(BW1295=1,0,ROUNDUP(AF1295/BV1295,0))</f>
        <v>1</v>
      </c>
      <c r="AH1295" s="52" t="n">
        <f aca="false">IF(CL1295&gt;0,CL1295*MAX(1,AF1295/X1295),IF(BW1295=1,IF(AF1295&lt;=0,0,CA1295*MAX(1,IF(H1295&gt;0,AF1295/H1295,1))),IF(R1295&gt;0,AG1295/R1295,0))/MAX(0.1,N(Parameter!$M$21)))</f>
        <v>0.0833333333333333</v>
      </c>
      <c r="AI1295" s="50" t="n">
        <f aca="false">AH1295*BY1295</f>
        <v>20.4166666666667</v>
      </c>
      <c r="AJ1295" s="50" t="n">
        <f aca="false">AF1295*G1295</f>
        <v>3472.56</v>
      </c>
      <c r="AK1295" s="50" t="n">
        <f aca="false">ROUNDUP(MAX(J1295/IF(CD1295&gt;0,CD1295,MAX(0.1,N(Cockpit!$C$6))),CG1295)/BV1295,0)*BV1295</f>
        <v>180</v>
      </c>
      <c r="AL1295" s="51" t="n">
        <f aca="false">IF(AI1295&gt;0,J1295/AI1295,-1)</f>
        <v>15.0857142857143</v>
      </c>
      <c r="AM1295" s="51" t="n">
        <f aca="false">IF(AND(OR(CC1295="L1",CC1295="L23",CC1295="LIFT"),AI1295&gt;0),SUMIFS($AI$7:$AI$1843,$CC$7:$CC$1843,CC1295,$AL$7:$AL$1843,"&gt;"&amp;AL1295)+SUMIFS($AI$7:$AI$1843,$CC$7:$CC$1843,CC1295,$AL$7:$AL$1843,AL1295,$BT$7:$BT$1843,"&lt;="&amp;BT1295),"")</f>
        <v>2093.55769230769</v>
      </c>
      <c r="AN1295" s="58" t="n">
        <f aca="false">IF(AM1295="",0,MAX(0,MIN(1,(IF(CC1295="L1",Parameter!$H$5,IF(CC1295="L23",Parameter!$H$6+Parameter!$H$7,Parameter!$H$5+Parameter!$H$6+Parameter!$H$7))-(AM1295-AI1295))/AI1295)))</f>
        <v>1</v>
      </c>
      <c r="AO1295" s="50" t="n">
        <f aca="false">IF(LEFT(Cockpit!$I$5,1)="A",H1295,IF(CE1295=1,CF1295,IF(LEFT(Cockpit!$I$5,1)="B",AT1295,MAX(AT1295,H1295))))</f>
        <v>180</v>
      </c>
      <c r="AP1295" s="50" t="n">
        <f aca="false">IF(BW1295=1,0,ROUNDUP(AO1295/BV1295,0))</f>
        <v>1</v>
      </c>
      <c r="AQ1295" s="52" t="n">
        <f aca="false">IF(CL1295&gt;0,CL1295*MAX(1,AO1295/X1295),IF(BW1295=1,IF(AO1295&lt;=0,0,CA1295*MAX(1,IF(H1295&gt;0,AO1295/H1295,1))),IF(R1295&gt;0,AP1295/R1295,0))/MAX(0.1,N(Parameter!$M$21)))</f>
        <v>0.0833333333333333</v>
      </c>
      <c r="AR1295" s="50" t="n">
        <f aca="false">AQ1295*BY1295</f>
        <v>20.4166666666667</v>
      </c>
      <c r="AS1295" s="50" t="n">
        <f aca="false">AO1295*G1295</f>
        <v>8681.4</v>
      </c>
      <c r="AT1295" s="50" t="n">
        <f aca="false">ROUNDUP(MAX(J1295/IF(CD1295&gt;0,CD1295,MAX(0.1,N(Cockpit!$I$6))),CG1295)/BV1295,0)*BV1295</f>
        <v>180</v>
      </c>
      <c r="AU1295" s="51" t="n">
        <f aca="false">IF(AR1295&gt;0,J1295/AR1295,-1)</f>
        <v>15.0857142857143</v>
      </c>
      <c r="AV1295" s="51" t="n">
        <f aca="false">IF(AND(OR(CC1295="L1",CC1295="L23",CC1295="LIFT"),AR1295&gt;0),SUMIFS($AR$7:$AR$1843,$CC$7:$CC$1843,CC1295,$AU$7:$AU$1843,"&gt;"&amp;AU1295)+SUMIFS($AR$7:$AR$1843,$CC$7:$CC$1843,CC1295,$AU$7:$AU$1843,AU1295,$BT$7:$BT$1843,"&lt;="&amp;BT1295),"")</f>
        <v>3288.94276556777</v>
      </c>
      <c r="AW1295" s="58" t="n">
        <f aca="false">IF(AV1295="",0,MAX(0,MIN(1,(IF(CC1295="L1",Parameter!$H$5,IF(CC1295="L23",Parameter!$H$6+Parameter!$H$7,Parameter!$H$5+Parameter!$H$6+Parameter!$H$7))-(AV1295-AR1295))/AR1295)))</f>
        <v>1</v>
      </c>
      <c r="AX1295" s="50" t="n">
        <f aca="false">IF(LEFT(Cockpit!$O$5,1)="A",H1295,IF(CE1295=1,CF1295,IF(LEFT(Cockpit!$O$5,1)="B",BC1295,MAX(BC1295,H1295))))</f>
        <v>180</v>
      </c>
      <c r="AY1295" s="50" t="n">
        <f aca="false">IF(BW1295=1,0,ROUNDUP(AX1295/BV1295,0))</f>
        <v>1</v>
      </c>
      <c r="AZ1295" s="52" t="n">
        <f aca="false">IF(CL1295&gt;0,CL1295*MAX(1,AX1295/X1295),IF(BW1295=1,IF(AX1295&lt;=0,0,CA1295*MAX(1,IF(H1295&gt;0,AX1295/H1295,1))),IF(R1295&gt;0,AY1295/R1295,0))/MAX(0.1,N(Parameter!$M$21)))</f>
        <v>0.0833333333333333</v>
      </c>
      <c r="BA1295" s="50" t="n">
        <f aca="false">AZ1295*BY1295</f>
        <v>20.4166666666667</v>
      </c>
      <c r="BB1295" s="50" t="n">
        <f aca="false">AX1295*G1295</f>
        <v>8681.4</v>
      </c>
      <c r="BC1295" s="50" t="n">
        <f aca="false">ROUNDUP(MAX(J1295/IF(CD1295&gt;0,CD1295,MAX(0.1,N(Cockpit!$O$6))),CG1295)/BV1295,0)*BV1295</f>
        <v>180</v>
      </c>
      <c r="BD1295" s="51" t="n">
        <f aca="false">IF(BA1295&gt;0,J1295/BA1295,-1)</f>
        <v>15.0857142857143</v>
      </c>
      <c r="BE1295" s="51" t="n">
        <f aca="false">IF(AND(OR(CC1295="L1",CC1295="L23",CC1295="LIFT"),BA1295&gt;0),SUMIFS($BA$7:$BA$1843,$CC$7:$CC$1843,CC1295,$BD$7:$BD$1843,"&gt;"&amp;BD1295)+SUMIFS($BA$7:$BA$1843,$CC$7:$CC$1843,CC1295,$BD$7:$BD$1843,BD1295,$BT$7:$BT$1843,"&lt;="&amp;BT1295),"")</f>
        <v>2963.38186813187</v>
      </c>
      <c r="BF1295" s="58" t="n">
        <f aca="false">IF(BE1295="",0,MAX(0,MIN(1,(IF(CC1295="L1",Parameter!$H$5,IF(CC1295="L23",Parameter!$H$6+Parameter!$H$7,Parameter!$H$5+Parameter!$H$6+Parameter!$H$7))-(BE1295-BA1295))/BA1295)))</f>
        <v>1</v>
      </c>
      <c r="BG1295" s="48" t="str">
        <f aca="false">IF(AI1295&lt;=0,"",IF(CC1295="Aussen","Aussenlager",IF(CC1295="-","Nicht im Lift",IF(AN1295&gt;=1,"Lift",IF(AN1295&lt;=0,"Aussenlager","teilweise")))))</f>
        <v>Lift</v>
      </c>
      <c r="BH1295" s="48" t="str">
        <f aca="false">IF(AR1295&lt;=0,"",IF(CC1295="Aussen","Aussenlager",IF(CC1295="-","Nicht im Lift",IF(AW1295&gt;=1,"Lift",IF(AW1295&lt;=0,"Aussenlager","teilweise")))))</f>
        <v>Lift</v>
      </c>
      <c r="BI1295" s="48" t="str">
        <f aca="false">IF(BA1295&lt;=0,"",IF(CC1295="Aussen","Aussenlager",IF(CC1295="-","Nicht im Lift",IF(BF1295&gt;=1,"Lift",IF(BF1295&lt;=0,"Aussenlager","teilweise")))))</f>
        <v>Lift</v>
      </c>
      <c r="BJ1295" s="48" t="str">
        <f aca="false">IF(A1295="","",IF(BS1295=1,"Neu; ","")&amp;IF(AND(BS1295=0,BN1295&lt;0),"negativer Bestand (Export "&amp;BN1295&amp;"); ","")&amp;IF(J1295&lt;=0,"Kein Verbrauch; ","")&amp;IF(CL1295&gt;0,"Lift "&amp;W1295&amp;" lt. Liftbericht (Fach "&amp;X1295&amp;" Stk); ",IF(BX1295=1,"Gebinde geschätzt ("&amp;T1295&amp;"); ",IF(BW1295=1,"Lose – Tablare geschätzt; ","")))&amp;IF(H1295&gt;AT1295,"Überbestand "&amp;ROUND(H1295-AT1295,0)&amp;" Stk / CHF "&amp;ROUND((H1295-AT1295)*G1295,0)&amp;"; ","")&amp;IF(AND(CE1295=1,CF1295&lt;CG1295),"MAX &lt; MB+LG; ","")&amp;IF(AND(CK1295&gt;0,CJ1295*10&gt;CK1295),"zu hoch für Tablar; ","")&amp;IF(AND(BS1295=0,OR(CE1295=1,AA1295&lt;&gt;"",U1295&lt;&gt;"",V1295&lt;&gt;"",AB1295&lt;&gt;"")),"manuell übersteuert; ","")&amp;IF(AND(BW1295=0,R1295=0),"Gebinde unbekannt / Stellmass fehlt; ","")&amp;IF(AND(BW1295=0,N(V1295)&lt;=0,N(Q1295)&lt;=0),"Menge pro Gebinde fehlt (Ist = 1 Gebinde); ","")&amp;BR1295)</f>
        <v>negativer Bestand (Export -23); </v>
      </c>
      <c r="BK1295" s="48"/>
      <c r="BL1295" s="48"/>
      <c r="BM1295" s="55"/>
      <c r="BN1295" s="50" t="n">
        <v>-23</v>
      </c>
      <c r="BO1295" s="50" t="n">
        <v>95</v>
      </c>
      <c r="BP1295" s="49" t="n">
        <v>-1179.59</v>
      </c>
      <c r="BQ1295" s="50" t="n">
        <v>308</v>
      </c>
      <c r="BR1295" s="48"/>
      <c r="BS1295" s="53" t="n">
        <v>0</v>
      </c>
      <c r="BT1295" s="53" t="n">
        <v>1295</v>
      </c>
      <c r="BU1295" s="48" t="str">
        <f aca="false">IF(U1295&lt;&gt;"",UPPER(TRIM(U1295)),IF(BX1295=1,UPPER(VLOOKUP(T1295,Parameter!$I$27:$K$29,2,0)),IF(P1295="","LOSE",P1295)))</f>
        <v>S62</v>
      </c>
      <c r="BV1295" s="50" t="n">
        <f aca="false">IF(BU1295="LOSE",1,IF(N(V1295)&gt;0,V1295,IF(BX1295=1,MAX(1,N(VLOOKUP(T1295,Parameter!$I$27:$K$29,3,0)),H1295,N(N1295)),IF(N(Q1295)&gt;0,Q1295,MAX(1,H1295)))))</f>
        <v>180</v>
      </c>
      <c r="BW1295" s="53" t="n">
        <f aca="false">IF(BU1295="LOSE",1,0)</f>
        <v>0</v>
      </c>
      <c r="BX1295" s="53" t="n">
        <f aca="false">IF(AND(U1295="",OR(P1295="",P1295="LOSE"),T1295&lt;&gt;"",N(S1295)&lt;=0,ISNUMBER(MATCH(T1295,Parameter!$I$27:$I$29,0))),1,0)</f>
        <v>0</v>
      </c>
      <c r="BY1295" s="53" t="n">
        <f aca="false">IF(CL1295&gt;0,INDEX(Parameter!$H$5:$H$7,W1295)/INDEX(Parameter!$E$5:$E$7,W1295),IF(AND(BW1295=0,N(IFERROR(VLOOKUP(BU1295,'Gebinde-Kategorie'!$A$5:$N$45,14,0),0))&gt;0),VLOOKUP(BU1295,'Gebinde-Kategorie'!$A$5:$N$45,14,0)*10+Parameter!$M$23,Parameter!$M$24))</f>
        <v>245</v>
      </c>
      <c r="BZ1295" s="48" t="str">
        <f aca="false">IF(AND(Parameter!$B$19="Ja",E1295&lt;&gt;"",ISNUMBER(MATCH(E1295,Parameter!$I$35:$I$52,0))),VLOOKUP(E1295,Parameter!$I$35:$J$52,2,0),IFERROR(VLOOKUP(D1295,Parameter!$A$35:$C$64,2,0),"Nein"))</f>
        <v>2+3</v>
      </c>
      <c r="CA1295" s="52" t="n">
        <f aca="false">IF(BW1295=0,0,IF(N(S1295)&gt;0,S1295,IFERROR(VLOOKUP(D1295,Parameter!$A$35:$C$64,3,0)+0,0)))</f>
        <v>0</v>
      </c>
      <c r="CB1295" s="48" t="n">
        <f aca="false">IF(AA1295&lt;&gt;"",AA1295,Z1295)</f>
        <v>2</v>
      </c>
      <c r="CC1295" s="48" t="str">
        <f aca="false">IF(OR(CB1295=1,CB1295=2,CB1295=3),IF(Parameter!$E$27="Ja","LIFT",IF(CB1295=1,"L1","L23")),IF(CB1295="Aussen","Aussen","-"))</f>
        <v>LIFT</v>
      </c>
      <c r="CD1295" s="59" t="n">
        <f aca="false">IF(N(AB1295)&gt;0,AB1295,0)</f>
        <v>0</v>
      </c>
      <c r="CE1295" s="53" t="n">
        <f aca="false">IF(ISNUMBER(AE1295),1,0)</f>
        <v>0</v>
      </c>
      <c r="CF1295" s="50" t="n">
        <f aca="false">N(AE1295)</f>
        <v>0</v>
      </c>
      <c r="CG1295" s="50" t="n">
        <f aca="false">N(M1295)+N(N1295)</f>
        <v>117</v>
      </c>
      <c r="CH1295" s="50" t="n">
        <f aca="false">ROUNDUP(H1295/BV1295,0)</f>
        <v>1</v>
      </c>
      <c r="CI1295" s="50" t="n">
        <f aca="false">ROUNDUP(CF1295/BV1295,0)</f>
        <v>0</v>
      </c>
      <c r="CJ1295" s="53" t="n">
        <f aca="false">IF(BW1295=1,0,IFERROR(VLOOKUP(BU1295,'Gebinde-Kategorie'!$A$5:$N$45,5,0)+0,0))</f>
        <v>21</v>
      </c>
      <c r="CK1295" s="53" t="n">
        <f aca="false">IFERROR(IF(OR(CB1295=1,CB1295=2,CB1295=3),N(INDEX(Parameter!$I$5:$I$7,CB1295)),0),0)</f>
        <v>0</v>
      </c>
      <c r="CL1295" s="52" t="n">
        <f aca="false">IF(AND(Parameter!$B$21="Ja",ISNUMBER(W1295),N(X1295)&gt;0),IFERROR(N(INDEX(Parameter!$L$5:$L$7,W1295))*INDEX(Parameter!$E$5:$E$7,W1295)*X1295/SUMIFS($X$7:$X$1843,$W$7:$W$1843,W1295),0),0)</f>
        <v>0</v>
      </c>
    </row>
    <row r="1296" customFormat="false" ht="15" hidden="false" customHeight="false" outlineLevel="0" collapsed="false">
      <c r="A1296" s="48" t="s">
        <v>2309</v>
      </c>
      <c r="B1296" s="48" t="s">
        <v>818</v>
      </c>
      <c r="C1296" s="48" t="s">
        <v>168</v>
      </c>
      <c r="D1296" s="48" t="s">
        <v>188</v>
      </c>
      <c r="E1296" s="48" t="s">
        <v>189</v>
      </c>
      <c r="F1296" s="48" t="s">
        <v>222</v>
      </c>
      <c r="G1296" s="49" t="n">
        <v>107.44</v>
      </c>
      <c r="H1296" s="50" t="n">
        <f aca="false">MAX(0,IF(AND(Parameter!$B$21="Ja",ISNUMBER(Y1296)),Y1296,IF(Parameter!$B$20="Jahresanfang 2025 + Export",BO1296+BN1296,BN1296)))</f>
        <v>79</v>
      </c>
      <c r="I1296" s="50" t="n">
        <f aca="false">H1296*G1296</f>
        <v>8487.76</v>
      </c>
      <c r="J1296" s="50" t="n">
        <f aca="false">BQ1296*Parameter!$B$18</f>
        <v>9</v>
      </c>
      <c r="K1296" s="51" t="n">
        <v>85</v>
      </c>
      <c r="L1296" s="52" t="n">
        <v>0.105882352941177</v>
      </c>
      <c r="M1296" s="50" t="n">
        <v>3</v>
      </c>
      <c r="N1296" s="50" t="n">
        <v>10</v>
      </c>
      <c r="O1296" s="53" t="n">
        <v>126</v>
      </c>
      <c r="P1296" s="48" t="s">
        <v>425</v>
      </c>
      <c r="Q1296" s="50" t="n">
        <v>32</v>
      </c>
      <c r="R1296" s="53" t="n">
        <f aca="false">IF(BW1296=1,0,IFERROR(VLOOKUP(BU1296,'Gebinde-Kategorie'!$A$5:$N$45,13,0)+0,0))</f>
        <v>104</v>
      </c>
      <c r="S1296" s="54"/>
      <c r="T1296" s="55"/>
      <c r="U1296" s="55"/>
      <c r="V1296" s="55"/>
      <c r="W1296" s="48"/>
      <c r="X1296" s="50"/>
      <c r="Y1296" s="50"/>
      <c r="Z1296" s="48" t="n">
        <f aca="false">IF(A1296="","",IF(AND(Parameter!$B$21="Ja",ISNUMBER(W1296)),W1296,IF(BZ1296="2+3",IF(ISNUMBER(SEARCH("grosser Artikel",BR1296)),2,IFERROR(VLOOKUP(BU1296,Parameter!$F$35:$G$64,2,0),2)),IF(OR(BZ1296="Nein",BZ1296=""),"-",BZ1296))))</f>
        <v>3</v>
      </c>
      <c r="AA1296" s="55"/>
      <c r="AB1296" s="56"/>
      <c r="AC1296" s="50" t="n">
        <f aca="false">AT1296</f>
        <v>32</v>
      </c>
      <c r="AD1296" s="50" t="n">
        <f aca="false">MAX(AT1296,H1296)</f>
        <v>79</v>
      </c>
      <c r="AE1296" s="57"/>
      <c r="AF1296" s="50" t="n">
        <f aca="false">IF(LEFT(Cockpit!$C$5,1)="A",H1296,IF(CE1296=1,CF1296,IF(LEFT(Cockpit!$C$5,1)="B",AK1296,MAX(AK1296,H1296))))</f>
        <v>79</v>
      </c>
      <c r="AG1296" s="50" t="n">
        <f aca="false">IF(BW1296=1,0,ROUNDUP(AF1296/BV1296,0))</f>
        <v>3</v>
      </c>
      <c r="AH1296" s="52" t="n">
        <f aca="false">IF(CL1296&gt;0,CL1296*MAX(1,AF1296/X1296),IF(BW1296=1,IF(AF1296&lt;=0,0,CA1296*MAX(1,IF(H1296&gt;0,AF1296/H1296,1))),IF(R1296&gt;0,AG1296/R1296,0))/MAX(0.1,N(Parameter!$M$21)))</f>
        <v>0.0288461538461538</v>
      </c>
      <c r="AI1296" s="50" t="n">
        <f aca="false">AH1296*BY1296</f>
        <v>4.47115384615385</v>
      </c>
      <c r="AJ1296" s="50" t="n">
        <f aca="false">AF1296*G1296</f>
        <v>8487.76</v>
      </c>
      <c r="AK1296" s="50" t="n">
        <f aca="false">ROUNDUP(MAX(J1296/IF(CD1296&gt;0,CD1296,MAX(0.1,N(Cockpit!$C$6))),CG1296)/BV1296,0)*BV1296</f>
        <v>32</v>
      </c>
      <c r="AL1296" s="51" t="n">
        <f aca="false">IF(AI1296&gt;0,J1296/AI1296,-1)</f>
        <v>2.01290322580645</v>
      </c>
      <c r="AM1296" s="51" t="n">
        <f aca="false">IF(AND(OR(CC1296="L1",CC1296="L23",CC1296="LIFT"),AI1296&gt;0),SUMIFS($AI$7:$AI$1843,$CC$7:$CC$1843,CC1296,$AL$7:$AL$1843,"&gt;"&amp;AL1296)+SUMIFS($AI$7:$AI$1843,$CC$7:$CC$1843,CC1296,$AL$7:$AL$1843,AL1296,$BT$7:$BT$1843,"&lt;="&amp;BT1296),"")</f>
        <v>5828.10943223443</v>
      </c>
      <c r="AN1296" s="58" t="n">
        <f aca="false">IF(AM1296="",0,MAX(0,MIN(1,(IF(CC1296="L1",Parameter!$H$5,IF(CC1296="L23",Parameter!$H$6+Parameter!$H$7,Parameter!$H$5+Parameter!$H$6+Parameter!$H$7))-(AM1296-AI1296))/AI1296)))</f>
        <v>1</v>
      </c>
      <c r="AO1296" s="50" t="n">
        <f aca="false">IF(LEFT(Cockpit!$I$5,1)="A",H1296,IF(CE1296=1,CF1296,IF(LEFT(Cockpit!$I$5,1)="B",AT1296,MAX(AT1296,H1296))))</f>
        <v>79</v>
      </c>
      <c r="AP1296" s="50" t="n">
        <f aca="false">IF(BW1296=1,0,ROUNDUP(AO1296/BV1296,0))</f>
        <v>3</v>
      </c>
      <c r="AQ1296" s="52" t="n">
        <f aca="false">IF(CL1296&gt;0,CL1296*MAX(1,AO1296/X1296),IF(BW1296=1,IF(AO1296&lt;=0,0,CA1296*MAX(1,IF(H1296&gt;0,AO1296/H1296,1))),IF(R1296&gt;0,AP1296/R1296,0))/MAX(0.1,N(Parameter!$M$21)))</f>
        <v>0.0288461538461538</v>
      </c>
      <c r="AR1296" s="50" t="n">
        <f aca="false">AQ1296*BY1296</f>
        <v>4.47115384615385</v>
      </c>
      <c r="AS1296" s="50" t="n">
        <f aca="false">AO1296*G1296</f>
        <v>8487.76</v>
      </c>
      <c r="AT1296" s="50" t="n">
        <f aca="false">ROUNDUP(MAX(J1296/IF(CD1296&gt;0,CD1296,MAX(0.1,N(Cockpit!$I$6))),CG1296)/BV1296,0)*BV1296</f>
        <v>32</v>
      </c>
      <c r="AU1296" s="51" t="n">
        <f aca="false">IF(AR1296&gt;0,J1296/AR1296,-1)</f>
        <v>2.01290322580645</v>
      </c>
      <c r="AV1296" s="51" t="n">
        <f aca="false">IF(AND(OR(CC1296="L1",CC1296="L23",CC1296="LIFT"),AR1296&gt;0),SUMIFS($AR$7:$AR$1843,$CC$7:$CC$1843,CC1296,$AU$7:$AU$1843,"&gt;"&amp;AU1296)+SUMIFS($AR$7:$AR$1843,$CC$7:$CC$1843,CC1296,$AU$7:$AU$1843,AU1296,$BT$7:$BT$1843,"&lt;="&amp;BT1296),"")</f>
        <v>7737.80173992674</v>
      </c>
      <c r="AW1296" s="58" t="n">
        <f aca="false">IF(AV1296="",0,MAX(0,MIN(1,(IF(CC1296="L1",Parameter!$H$5,IF(CC1296="L23",Parameter!$H$6+Parameter!$H$7,Parameter!$H$5+Parameter!$H$6+Parameter!$H$7))-(AV1296-AR1296))/AR1296)))</f>
        <v>1</v>
      </c>
      <c r="AX1296" s="50" t="n">
        <f aca="false">IF(LEFT(Cockpit!$O$5,1)="A",H1296,IF(CE1296=1,CF1296,IF(LEFT(Cockpit!$O$5,1)="B",BC1296,MAX(BC1296,H1296))))</f>
        <v>79</v>
      </c>
      <c r="AY1296" s="50" t="n">
        <f aca="false">IF(BW1296=1,0,ROUNDUP(AX1296/BV1296,0))</f>
        <v>3</v>
      </c>
      <c r="AZ1296" s="52" t="n">
        <f aca="false">IF(CL1296&gt;0,CL1296*MAX(1,AX1296/X1296),IF(BW1296=1,IF(AX1296&lt;=0,0,CA1296*MAX(1,IF(H1296&gt;0,AX1296/H1296,1))),IF(R1296&gt;0,AY1296/R1296,0))/MAX(0.1,N(Parameter!$M$21)))</f>
        <v>0.0288461538461538</v>
      </c>
      <c r="BA1296" s="50" t="n">
        <f aca="false">AZ1296*BY1296</f>
        <v>4.47115384615385</v>
      </c>
      <c r="BB1296" s="50" t="n">
        <f aca="false">AX1296*G1296</f>
        <v>8487.76</v>
      </c>
      <c r="BC1296" s="50" t="n">
        <f aca="false">ROUNDUP(MAX(J1296/IF(CD1296&gt;0,CD1296,MAX(0.1,N(Cockpit!$O$6))),CG1296)/BV1296,0)*BV1296</f>
        <v>32</v>
      </c>
      <c r="BD1296" s="51" t="n">
        <f aca="false">IF(BA1296&gt;0,J1296/BA1296,-1)</f>
        <v>2.01290322580645</v>
      </c>
      <c r="BE1296" s="51" t="n">
        <f aca="false">IF(AND(OR(CC1296="L1",CC1296="L23",CC1296="LIFT"),BA1296&gt;0),SUMIFS($BA$7:$BA$1843,$CC$7:$CC$1843,CC1296,$BD$7:$BD$1843,"&gt;"&amp;BD1296)+SUMIFS($BA$7:$BA$1843,$CC$7:$CC$1843,CC1296,$BD$7:$BD$1843,BD1296,$BT$7:$BT$1843,"&lt;="&amp;BT1296),"")</f>
        <v>7636.79212454212</v>
      </c>
      <c r="BF1296" s="58" t="n">
        <f aca="false">IF(BE1296="",0,MAX(0,MIN(1,(IF(CC1296="L1",Parameter!$H$5,IF(CC1296="L23",Parameter!$H$6+Parameter!$H$7,Parameter!$H$5+Parameter!$H$6+Parameter!$H$7))-(BE1296-BA1296))/BA1296)))</f>
        <v>1</v>
      </c>
      <c r="BG1296" s="48" t="str">
        <f aca="false">IF(AI1296&lt;=0,"",IF(CC1296="Aussen","Aussenlager",IF(CC1296="-","Nicht im Lift",IF(AN1296&gt;=1,"Lift",IF(AN1296&lt;=0,"Aussenlager","teilweise")))))</f>
        <v>Lift</v>
      </c>
      <c r="BH1296" s="48" t="str">
        <f aca="false">IF(AR1296&lt;=0,"",IF(CC1296="Aussen","Aussenlager",IF(CC1296="-","Nicht im Lift",IF(AW1296&gt;=1,"Lift",IF(AW1296&lt;=0,"Aussenlager","teilweise")))))</f>
        <v>Lift</v>
      </c>
      <c r="BI1296" s="48" t="str">
        <f aca="false">IF(BA1296&lt;=0,"",IF(CC1296="Aussen","Aussenlager",IF(CC1296="-","Nicht im Lift",IF(BF1296&gt;=1,"Lift",IF(BF1296&lt;=0,"Aussenlager","teilweise")))))</f>
        <v>Lift</v>
      </c>
      <c r="BJ1296" s="48" t="str">
        <f aca="false">IF(A1296="","",IF(BS1296=1,"Neu; ","")&amp;IF(AND(BS1296=0,BN1296&lt;0),"negativer Bestand (Export "&amp;BN1296&amp;"); ","")&amp;IF(J1296&lt;=0,"Kein Verbrauch; ","")&amp;IF(CL1296&gt;0,"Lift "&amp;W1296&amp;" lt. Liftbericht (Fach "&amp;X1296&amp;" Stk); ",IF(BX1296=1,"Gebinde geschätzt ("&amp;T1296&amp;"); ",IF(BW1296=1,"Lose – Tablare geschätzt; ","")))&amp;IF(H1296&gt;AT1296,"Überbestand "&amp;ROUND(H1296-AT1296,0)&amp;" Stk / CHF "&amp;ROUND((H1296-AT1296)*G1296,0)&amp;"; ","")&amp;IF(AND(CE1296=1,CF1296&lt;CG1296),"MAX &lt; MB+LG; ","")&amp;IF(AND(CK1296&gt;0,CJ1296*10&gt;CK1296),"zu hoch für Tablar; ","")&amp;IF(AND(BS1296=0,OR(CE1296=1,AA1296&lt;&gt;"",U1296&lt;&gt;"",V1296&lt;&gt;"",AB1296&lt;&gt;"")),"manuell übersteuert; ","")&amp;IF(AND(BW1296=0,R1296=0),"Gebinde unbekannt / Stellmass fehlt; ","")&amp;IF(AND(BW1296=0,N(V1296)&lt;=0,N(Q1296)&lt;=0),"Menge pro Gebinde fehlt (Ist = 1 Gebinde); ","")&amp;BR1296)</f>
        <v>negativer Bestand (Export -11); Überbestand 47 Stk / CHF 5050; </v>
      </c>
      <c r="BK1296" s="48"/>
      <c r="BL1296" s="48"/>
      <c r="BM1296" s="55"/>
      <c r="BN1296" s="50" t="n">
        <v>-11</v>
      </c>
      <c r="BO1296" s="50" t="n">
        <v>90</v>
      </c>
      <c r="BP1296" s="49" t="n">
        <v>-1181.84</v>
      </c>
      <c r="BQ1296" s="50" t="n">
        <v>9</v>
      </c>
      <c r="BR1296" s="48"/>
      <c r="BS1296" s="53" t="n">
        <v>0</v>
      </c>
      <c r="BT1296" s="53" t="n">
        <v>1296</v>
      </c>
      <c r="BU1296" s="48" t="str">
        <f aca="false">IF(U1296&lt;&gt;"",UPPER(TRIM(U1296)),IF(BX1296=1,UPPER(VLOOKUP(T1296,Parameter!$I$27:$K$29,2,0)),IF(P1296="","LOSE",P1296)))</f>
        <v>S32</v>
      </c>
      <c r="BV1296" s="50" t="n">
        <f aca="false">IF(BU1296="LOSE",1,IF(N(V1296)&gt;0,V1296,IF(BX1296=1,MAX(1,N(VLOOKUP(T1296,Parameter!$I$27:$K$29,3,0)),H1296,N(N1296)),IF(N(Q1296)&gt;0,Q1296,MAX(1,H1296)))))</f>
        <v>32</v>
      </c>
      <c r="BW1296" s="53" t="n">
        <f aca="false">IF(BU1296="LOSE",1,0)</f>
        <v>0</v>
      </c>
      <c r="BX1296" s="53" t="n">
        <f aca="false">IF(AND(U1296="",OR(P1296="",P1296="LOSE"),T1296&lt;&gt;"",N(S1296)&lt;=0,ISNUMBER(MATCH(T1296,Parameter!$I$27:$I$29,0))),1,0)</f>
        <v>0</v>
      </c>
      <c r="BY1296" s="53" t="n">
        <f aca="false">IF(CL1296&gt;0,INDEX(Parameter!$H$5:$H$7,W1296)/INDEX(Parameter!$E$5:$E$7,W1296),IF(AND(BW1296=0,N(IFERROR(VLOOKUP(BU1296,'Gebinde-Kategorie'!$A$5:$N$45,14,0),0))&gt;0),VLOOKUP(BU1296,'Gebinde-Kategorie'!$A$5:$N$45,14,0)*10+Parameter!$M$23,Parameter!$M$24))</f>
        <v>155</v>
      </c>
      <c r="BZ1296" s="48" t="str">
        <f aca="false">IF(AND(Parameter!$B$19="Ja",E1296&lt;&gt;"",ISNUMBER(MATCH(E1296,Parameter!$I$35:$I$52,0))),VLOOKUP(E1296,Parameter!$I$35:$J$52,2,0),IFERROR(VLOOKUP(D1296,Parameter!$A$35:$C$64,2,0),"Nein"))</f>
        <v>2+3</v>
      </c>
      <c r="CA1296" s="52" t="n">
        <f aca="false">IF(BW1296=0,0,IF(N(S1296)&gt;0,S1296,IFERROR(VLOOKUP(D1296,Parameter!$A$35:$C$64,3,0)+0,0)))</f>
        <v>0</v>
      </c>
      <c r="CB1296" s="48" t="n">
        <f aca="false">IF(AA1296&lt;&gt;"",AA1296,Z1296)</f>
        <v>3</v>
      </c>
      <c r="CC1296" s="48" t="str">
        <f aca="false">IF(OR(CB1296=1,CB1296=2,CB1296=3),IF(Parameter!$E$27="Ja","LIFT",IF(CB1296=1,"L1","L23")),IF(CB1296="Aussen","Aussen","-"))</f>
        <v>LIFT</v>
      </c>
      <c r="CD1296" s="59" t="n">
        <f aca="false">IF(N(AB1296)&gt;0,AB1296,0)</f>
        <v>0</v>
      </c>
      <c r="CE1296" s="53" t="n">
        <f aca="false">IF(ISNUMBER(AE1296),1,0)</f>
        <v>0</v>
      </c>
      <c r="CF1296" s="50" t="n">
        <f aca="false">N(AE1296)</f>
        <v>0</v>
      </c>
      <c r="CG1296" s="50" t="n">
        <f aca="false">N(M1296)+N(N1296)</f>
        <v>13</v>
      </c>
      <c r="CH1296" s="50" t="n">
        <f aca="false">ROUNDUP(H1296/BV1296,0)</f>
        <v>3</v>
      </c>
      <c r="CI1296" s="50" t="n">
        <f aca="false">ROUNDUP(CF1296/BV1296,0)</f>
        <v>0</v>
      </c>
      <c r="CJ1296" s="53" t="n">
        <f aca="false">IF(BW1296=1,0,IFERROR(VLOOKUP(BU1296,'Gebinde-Kategorie'!$A$5:$N$45,5,0)+0,0))</f>
        <v>8</v>
      </c>
      <c r="CK1296" s="53" t="n">
        <f aca="false">IFERROR(IF(OR(CB1296=1,CB1296=2,CB1296=3),N(INDEX(Parameter!$I$5:$I$7,CB1296)),0),0)</f>
        <v>0</v>
      </c>
      <c r="CL1296" s="52" t="n">
        <f aca="false">IF(AND(Parameter!$B$21="Ja",ISNUMBER(W1296),N(X1296)&gt;0),IFERROR(N(INDEX(Parameter!$L$5:$L$7,W1296))*INDEX(Parameter!$E$5:$E$7,W1296)*X1296/SUMIFS($X$7:$X$1843,$W$7:$W$1843,W1296),0),0)</f>
        <v>0</v>
      </c>
    </row>
    <row r="1297" customFormat="false" ht="15" hidden="false" customHeight="false" outlineLevel="0" collapsed="false">
      <c r="A1297" s="48" t="s">
        <v>2310</v>
      </c>
      <c r="B1297" s="48" t="s">
        <v>2311</v>
      </c>
      <c r="C1297" s="48" t="s">
        <v>460</v>
      </c>
      <c r="D1297" s="48" t="s">
        <v>177</v>
      </c>
      <c r="E1297" s="48"/>
      <c r="F1297" s="48" t="s">
        <v>222</v>
      </c>
      <c r="G1297" s="49" t="n">
        <v>49.41</v>
      </c>
      <c r="H1297" s="50" t="n">
        <f aca="false">MAX(0,IF(AND(Parameter!$B$21="Ja",ISNUMBER(Y1297)),Y1297,IF(Parameter!$B$20="Jahresanfang 2025 + Export",BO1297+BN1297,BN1297)))</f>
        <v>0</v>
      </c>
      <c r="I1297" s="50" t="n">
        <f aca="false">H1297*G1297</f>
        <v>0</v>
      </c>
      <c r="J1297" s="50" t="n">
        <f aca="false">BQ1297*Parameter!$B$18</f>
        <v>0</v>
      </c>
      <c r="K1297" s="51" t="n">
        <v>12</v>
      </c>
      <c r="L1297" s="52" t="n">
        <v>0</v>
      </c>
      <c r="M1297" s="50" t="n">
        <v>0</v>
      </c>
      <c r="N1297" s="50" t="n">
        <v>1</v>
      </c>
      <c r="O1297" s="53" t="n">
        <v>56</v>
      </c>
      <c r="P1297" s="48" t="s">
        <v>172</v>
      </c>
      <c r="Q1297" s="50"/>
      <c r="R1297" s="53" t="n">
        <f aca="false">IF(BW1297=1,0,IFERROR(VLOOKUP(BU1297,'Gebinde-Kategorie'!$A$5:$N$45,13,0)+0,0))</f>
        <v>4</v>
      </c>
      <c r="S1297" s="54"/>
      <c r="T1297" s="55" t="s">
        <v>193</v>
      </c>
      <c r="U1297" s="55"/>
      <c r="V1297" s="55"/>
      <c r="W1297" s="48"/>
      <c r="X1297" s="50"/>
      <c r="Y1297" s="50"/>
      <c r="Z1297" s="48" t="n">
        <f aca="false">IF(A1297="","",IF(AND(Parameter!$B$21="Ja",ISNUMBER(W1297)),W1297,IF(BZ1297="2+3",IF(ISNUMBER(SEARCH("grosser Artikel",BR1297)),2,IFERROR(VLOOKUP(BU1297,Parameter!$F$35:$G$64,2,0),2)),IF(OR(BZ1297="Nein",BZ1297=""),"-",BZ1297))))</f>
        <v>2</v>
      </c>
      <c r="AA1297" s="55"/>
      <c r="AB1297" s="56"/>
      <c r="AC1297" s="50" t="n">
        <f aca="false">AT1297</f>
        <v>2</v>
      </c>
      <c r="AD1297" s="50" t="n">
        <f aca="false">MAX(AT1297,H1297)</f>
        <v>2</v>
      </c>
      <c r="AE1297" s="57"/>
      <c r="AF1297" s="50" t="n">
        <f aca="false">IF(LEFT(Cockpit!$C$5,1)="A",H1297,IF(CE1297=1,CF1297,IF(LEFT(Cockpit!$C$5,1)="B",AK1297,MAX(AK1297,H1297))))</f>
        <v>0</v>
      </c>
      <c r="AG1297" s="50" t="n">
        <f aca="false">IF(BW1297=1,0,ROUNDUP(AF1297/BV1297,0))</f>
        <v>0</v>
      </c>
      <c r="AH1297" s="52" t="n">
        <f aca="false">IF(CL1297&gt;0,CL1297*MAX(1,AF1297/X1297),IF(BW1297=1,IF(AF1297&lt;=0,0,CA1297*MAX(1,IF(H1297&gt;0,AF1297/H1297,1))),IF(R1297&gt;0,AG1297/R1297,0))/MAX(0.1,N(Parameter!$M$21)))</f>
        <v>0</v>
      </c>
      <c r="AI1297" s="50" t="n">
        <f aca="false">AH1297*BY1297</f>
        <v>0</v>
      </c>
      <c r="AJ1297" s="50" t="n">
        <f aca="false">AF1297*G1297</f>
        <v>0</v>
      </c>
      <c r="AK1297" s="50" t="n">
        <f aca="false">ROUNDUP(MAX(J1297/IF(CD1297&gt;0,CD1297,MAX(0.1,N(Cockpit!$C$6))),CG1297)/BV1297,0)*BV1297</f>
        <v>2</v>
      </c>
      <c r="AL1297" s="51" t="n">
        <f aca="false">IF(AI1297&gt;0,J1297/AI1297,-1)</f>
        <v>-1</v>
      </c>
      <c r="AM1297" s="51" t="str">
        <f aca="false">IF(AND(OR(CC1297="L1",CC1297="L23",CC1297="LIFT"),AI1297&gt;0),SUMIFS($AI$7:$AI$1843,$CC$7:$CC$1843,CC1297,$AL$7:$AL$1843,"&gt;"&amp;AL1297)+SUMIFS($AI$7:$AI$1843,$CC$7:$CC$1843,CC1297,$AL$7:$AL$1843,AL1297,$BT$7:$BT$1843,"&lt;="&amp;BT1297),"")</f>
        <v/>
      </c>
      <c r="AN1297" s="58" t="n">
        <f aca="false">IF(AM1297="",0,MAX(0,MIN(1,(IF(CC1297="L1",Parameter!$H$5,IF(CC1297="L23",Parameter!$H$6+Parameter!$H$7,Parameter!$H$5+Parameter!$H$6+Parameter!$H$7))-(AM1297-AI1297))/AI1297)))</f>
        <v>0</v>
      </c>
      <c r="AO1297" s="50" t="n">
        <f aca="false">IF(LEFT(Cockpit!$I$5,1)="A",H1297,IF(CE1297=1,CF1297,IF(LEFT(Cockpit!$I$5,1)="B",AT1297,MAX(AT1297,H1297))))</f>
        <v>2</v>
      </c>
      <c r="AP1297" s="50" t="n">
        <f aca="false">IF(BW1297=1,0,ROUNDUP(AO1297/BV1297,0))</f>
        <v>1</v>
      </c>
      <c r="AQ1297" s="52" t="n">
        <f aca="false">IF(CL1297&gt;0,CL1297*MAX(1,AO1297/X1297),IF(BW1297=1,IF(AO1297&lt;=0,0,CA1297*MAX(1,IF(H1297&gt;0,AO1297/H1297,1))),IF(R1297&gt;0,AP1297/R1297,0))/MAX(0.1,N(Parameter!$M$21)))</f>
        <v>0.25</v>
      </c>
      <c r="AR1297" s="50" t="n">
        <f aca="false">AQ1297*BY1297</f>
        <v>58.75</v>
      </c>
      <c r="AS1297" s="50" t="n">
        <f aca="false">AO1297*G1297</f>
        <v>98.82</v>
      </c>
      <c r="AT1297" s="50" t="n">
        <f aca="false">ROUNDUP(MAX(J1297/IF(CD1297&gt;0,CD1297,MAX(0.1,N(Cockpit!$I$6))),CG1297)/BV1297,0)*BV1297</f>
        <v>2</v>
      </c>
      <c r="AU1297" s="51" t="n">
        <f aca="false">IF(AR1297&gt;0,J1297/AR1297,-1)</f>
        <v>0</v>
      </c>
      <c r="AV1297" s="51" t="n">
        <f aca="false">IF(AND(OR(CC1297="L1",CC1297="L23",CC1297="LIFT"),AR1297&gt;0),SUMIFS($AR$7:$AR$1843,$CC$7:$CC$1843,CC1297,$AU$7:$AU$1843,"&gt;"&amp;AU1297)+SUMIFS($AR$7:$AR$1843,$CC$7:$CC$1843,CC1297,$AU$7:$AU$1843,AU1297,$BT$7:$BT$1843,"&lt;="&amp;BT1297),"")</f>
        <v>41591.2660334016</v>
      </c>
      <c r="AW1297" s="58" t="n">
        <f aca="false">IF(AV1297="",0,MAX(0,MIN(1,(IF(CC1297="L1",Parameter!$H$5,IF(CC1297="L23",Parameter!$H$6+Parameter!$H$7,Parameter!$H$5+Parameter!$H$6+Parameter!$H$7))-(AV1297-AR1297))/AR1297)))</f>
        <v>0</v>
      </c>
      <c r="AX1297" s="50" t="n">
        <f aca="false">IF(LEFT(Cockpit!$O$5,1)="A",H1297,IF(CE1297=1,CF1297,IF(LEFT(Cockpit!$O$5,1)="B",BC1297,MAX(BC1297,H1297))))</f>
        <v>2</v>
      </c>
      <c r="AY1297" s="50" t="n">
        <f aca="false">IF(BW1297=1,0,ROUNDUP(AX1297/BV1297,0))</f>
        <v>1</v>
      </c>
      <c r="AZ1297" s="52" t="n">
        <f aca="false">IF(CL1297&gt;0,CL1297*MAX(1,AX1297/X1297),IF(BW1297=1,IF(AX1297&lt;=0,0,CA1297*MAX(1,IF(H1297&gt;0,AX1297/H1297,1))),IF(R1297&gt;0,AY1297/R1297,0))/MAX(0.1,N(Parameter!$M$21)))</f>
        <v>0.25</v>
      </c>
      <c r="BA1297" s="50" t="n">
        <f aca="false">AZ1297*BY1297</f>
        <v>58.75</v>
      </c>
      <c r="BB1297" s="50" t="n">
        <f aca="false">AX1297*G1297</f>
        <v>98.82</v>
      </c>
      <c r="BC1297" s="50" t="n">
        <f aca="false">ROUNDUP(MAX(J1297/IF(CD1297&gt;0,CD1297,MAX(0.1,N(Cockpit!$O$6))),CG1297)/BV1297,0)*BV1297</f>
        <v>2</v>
      </c>
      <c r="BD1297" s="51" t="n">
        <f aca="false">IF(BA1297&gt;0,J1297/BA1297,-1)</f>
        <v>0</v>
      </c>
      <c r="BE1297" s="51" t="n">
        <f aca="false">IF(AND(OR(CC1297="L1",CC1297="L23",CC1297="LIFT"),BA1297&gt;0),SUMIFS($BA$7:$BA$1843,$CC$7:$CC$1843,CC1297,$BD$7:$BD$1843,"&gt;"&amp;BD1297)+SUMIFS($BA$7:$BA$1843,$CC$7:$CC$1843,CC1297,$BD$7:$BD$1843,BD1297,$BT$7:$BT$1843,"&lt;="&amp;BT1297),"")</f>
        <v>38266.2780752675</v>
      </c>
      <c r="BF1297" s="58" t="n">
        <f aca="false">IF(BE1297="",0,MAX(0,MIN(1,(IF(CC1297="L1",Parameter!$H$5,IF(CC1297="L23",Parameter!$H$6+Parameter!$H$7,Parameter!$H$5+Parameter!$H$6+Parameter!$H$7))-(BE1297-BA1297))/BA1297)))</f>
        <v>0</v>
      </c>
      <c r="BG1297" s="48" t="str">
        <f aca="false">IF(AI1297&lt;=0,"",IF(CC1297="Aussen","Aussenlager",IF(CC1297="-","Nicht im Lift",IF(AN1297&gt;=1,"Lift",IF(AN1297&lt;=0,"Aussenlager","teilweise")))))</f>
        <v/>
      </c>
      <c r="BH1297" s="48" t="str">
        <f aca="false">IF(AR1297&lt;=0,"",IF(CC1297="Aussen","Aussenlager",IF(CC1297="-","Nicht im Lift",IF(AW1297&gt;=1,"Lift",IF(AW1297&lt;=0,"Aussenlager","teilweise")))))</f>
        <v>Aussenlager</v>
      </c>
      <c r="BI1297" s="48" t="str">
        <f aca="false">IF(BA1297&lt;=0,"",IF(CC1297="Aussen","Aussenlager",IF(CC1297="-","Nicht im Lift",IF(BF1297&gt;=1,"Lift",IF(BF1297&lt;=0,"Aussenlager","teilweise")))))</f>
        <v>Aussenlager</v>
      </c>
      <c r="BJ1297" s="48" t="str">
        <f aca="false">IF(A1297="","",IF(BS1297=1,"Neu; ","")&amp;IF(AND(BS1297=0,BN1297&lt;0),"negativer Bestand (Export "&amp;BN1297&amp;"); ","")&amp;IF(J1297&lt;=0,"Kein Verbrauch; ","")&amp;IF(CL1297&gt;0,"Lift "&amp;W1297&amp;" lt. Liftbericht (Fach "&amp;X1297&amp;" Stk); ",IF(BX1297=1,"Gebinde geschätzt ("&amp;T1297&amp;"); ",IF(BW1297=1,"Lose – Tablare geschätzt; ","")))&amp;IF(H1297&gt;AT1297,"Überbestand "&amp;ROUND(H1297-AT1297,0)&amp;" Stk / CHF "&amp;ROUND((H1297-AT1297)*G1297,0)&amp;"; ","")&amp;IF(AND(CE1297=1,CF1297&lt;CG1297),"MAX &lt; MB+LG; ","")&amp;IF(AND(CK1297&gt;0,CJ1297*10&gt;CK1297),"zu hoch für Tablar; ","")&amp;IF(AND(BS1297=0,OR(CE1297=1,AA1297&lt;&gt;"",U1297&lt;&gt;"",V1297&lt;&gt;"",AB1297&lt;&gt;"")),"manuell übersteuert; ","")&amp;IF(AND(BW1297=0,R1297=0),"Gebinde unbekannt / Stellmass fehlt; ","")&amp;IF(AND(BW1297=0,N(V1297)&lt;=0,N(Q1297)&lt;=0),"Menge pro Gebinde fehlt (Ist = 1 Gebinde); ","")&amp;BR1297)</f>
        <v>negativer Bestand (Export -24); Kein Verbrauch; Gebinde geschätzt (Gross); Menge pro Gebinde fehlt (Ist = 1 Gebinde); Neuer Art.</v>
      </c>
      <c r="BK1297" s="48"/>
      <c r="BL1297" s="48"/>
      <c r="BM1297" s="55"/>
      <c r="BN1297" s="50" t="n">
        <v>-24</v>
      </c>
      <c r="BO1297" s="50" t="n">
        <v>24</v>
      </c>
      <c r="BP1297" s="49" t="n">
        <v>-1185.84</v>
      </c>
      <c r="BQ1297" s="50" t="n">
        <v>0</v>
      </c>
      <c r="BR1297" s="48" t="s">
        <v>516</v>
      </c>
      <c r="BS1297" s="53" t="n">
        <v>0</v>
      </c>
      <c r="BT1297" s="53" t="n">
        <v>1297</v>
      </c>
      <c r="BU1297" s="48" t="str">
        <f aca="false">IF(U1297&lt;&gt;"",UPPER(TRIM(U1297)),IF(BX1297=1,UPPER(VLOOKUP(T1297,Parameter!$I$27:$K$29,2,0)),IF(P1297="","LOSE",P1297)))</f>
        <v>S81</v>
      </c>
      <c r="BV1297" s="50" t="n">
        <f aca="false">IF(BU1297="LOSE",1,IF(N(V1297)&gt;0,V1297,IF(BX1297=1,MAX(1,N(VLOOKUP(T1297,Parameter!$I$27:$K$29,3,0)),H1297,N(N1297)),IF(N(Q1297)&gt;0,Q1297,MAX(1,H1297)))))</f>
        <v>2</v>
      </c>
      <c r="BW1297" s="53" t="n">
        <f aca="false">IF(BU1297="LOSE",1,0)</f>
        <v>0</v>
      </c>
      <c r="BX1297" s="53" t="n">
        <f aca="false">IF(AND(U1297="",OR(P1297="",P1297="LOSE"),T1297&lt;&gt;"",N(S1297)&lt;=0,ISNUMBER(MATCH(T1297,Parameter!$I$27:$I$29,0))),1,0)</f>
        <v>1</v>
      </c>
      <c r="BY1297" s="53" t="n">
        <f aca="false">IF(CL1297&gt;0,INDEX(Parameter!$H$5:$H$7,W1297)/INDEX(Parameter!$E$5:$E$7,W1297),IF(AND(BW1297=0,N(IFERROR(VLOOKUP(BU1297,'Gebinde-Kategorie'!$A$5:$N$45,14,0),0))&gt;0),VLOOKUP(BU1297,'Gebinde-Kategorie'!$A$5:$N$45,14,0)*10+Parameter!$M$23,Parameter!$M$24))</f>
        <v>235</v>
      </c>
      <c r="BZ1297" s="48" t="str">
        <f aca="false">IF(AND(Parameter!$B$19="Ja",E1297&lt;&gt;"",ISNUMBER(MATCH(E1297,Parameter!$I$35:$I$52,0))),VLOOKUP(E1297,Parameter!$I$35:$J$52,2,0),IFERROR(VLOOKUP(D1297,Parameter!$A$35:$C$64,2,0),"Nein"))</f>
        <v>2+3</v>
      </c>
      <c r="CA1297" s="52" t="n">
        <f aca="false">IF(BW1297=0,0,IF(N(S1297)&gt;0,S1297,IFERROR(VLOOKUP(D1297,Parameter!$A$35:$C$64,3,0)+0,0)))</f>
        <v>0</v>
      </c>
      <c r="CB1297" s="48" t="n">
        <f aca="false">IF(AA1297&lt;&gt;"",AA1297,Z1297)</f>
        <v>2</v>
      </c>
      <c r="CC1297" s="48" t="str">
        <f aca="false">IF(OR(CB1297=1,CB1297=2,CB1297=3),IF(Parameter!$E$27="Ja","LIFT",IF(CB1297=1,"L1","L23")),IF(CB1297="Aussen","Aussen","-"))</f>
        <v>LIFT</v>
      </c>
      <c r="CD1297" s="59" t="n">
        <f aca="false">IF(N(AB1297)&gt;0,AB1297,0)</f>
        <v>0</v>
      </c>
      <c r="CE1297" s="53" t="n">
        <f aca="false">IF(ISNUMBER(AE1297),1,0)</f>
        <v>0</v>
      </c>
      <c r="CF1297" s="50" t="n">
        <f aca="false">N(AE1297)</f>
        <v>0</v>
      </c>
      <c r="CG1297" s="50" t="n">
        <f aca="false">N(M1297)+N(N1297)</f>
        <v>1</v>
      </c>
      <c r="CH1297" s="50" t="n">
        <f aca="false">ROUNDUP(H1297/BV1297,0)</f>
        <v>0</v>
      </c>
      <c r="CI1297" s="50" t="n">
        <f aca="false">ROUNDUP(CF1297/BV1297,0)</f>
        <v>0</v>
      </c>
      <c r="CJ1297" s="53" t="n">
        <f aca="false">IF(BW1297=1,0,IFERROR(VLOOKUP(BU1297,'Gebinde-Kategorie'!$A$5:$N$45,5,0)+0,0))</f>
        <v>20</v>
      </c>
      <c r="CK1297" s="53" t="n">
        <f aca="false">IFERROR(IF(OR(CB1297=1,CB1297=2,CB1297=3),N(INDEX(Parameter!$I$5:$I$7,CB1297)),0),0)</f>
        <v>0</v>
      </c>
      <c r="CL1297" s="52" t="n">
        <f aca="false">IF(AND(Parameter!$B$21="Ja",ISNUMBER(W1297),N(X1297)&gt;0),IFERROR(N(INDEX(Parameter!$L$5:$L$7,W1297))*INDEX(Parameter!$E$5:$E$7,W1297)*X1297/SUMIFS($X$7:$X$1843,$W$7:$W$1843,W1297),0),0)</f>
        <v>0</v>
      </c>
    </row>
    <row r="1298" customFormat="false" ht="15" hidden="false" customHeight="false" outlineLevel="0" collapsed="false">
      <c r="A1298" s="48" t="s">
        <v>2312</v>
      </c>
      <c r="B1298" s="48" t="s">
        <v>2313</v>
      </c>
      <c r="C1298" s="48" t="s">
        <v>460</v>
      </c>
      <c r="D1298" s="48" t="s">
        <v>177</v>
      </c>
      <c r="E1298" s="48"/>
      <c r="F1298" s="48" t="s">
        <v>222</v>
      </c>
      <c r="G1298" s="49" t="n">
        <v>59.5</v>
      </c>
      <c r="H1298" s="50" t="n">
        <f aca="false">MAX(0,IF(AND(Parameter!$B$21="Ja",ISNUMBER(Y1298)),Y1298,IF(Parameter!$B$20="Jahresanfang 2025 + Export",BO1298+BN1298,BN1298)))</f>
        <v>0</v>
      </c>
      <c r="I1298" s="50" t="n">
        <f aca="false">H1298*G1298</f>
        <v>0</v>
      </c>
      <c r="J1298" s="50" t="n">
        <f aca="false">BQ1298*Parameter!$B$18</f>
        <v>0</v>
      </c>
      <c r="K1298" s="51" t="n">
        <v>10</v>
      </c>
      <c r="L1298" s="52" t="n">
        <v>0</v>
      </c>
      <c r="M1298" s="50" t="n">
        <v>0</v>
      </c>
      <c r="N1298" s="50" t="n">
        <v>1</v>
      </c>
      <c r="O1298" s="53" t="n">
        <v>56</v>
      </c>
      <c r="P1298" s="48" t="s">
        <v>172</v>
      </c>
      <c r="Q1298" s="50"/>
      <c r="R1298" s="53" t="n">
        <f aca="false">IF(BW1298=1,0,IFERROR(VLOOKUP(BU1298,'Gebinde-Kategorie'!$A$5:$N$45,13,0)+0,0))</f>
        <v>12</v>
      </c>
      <c r="S1298" s="54"/>
      <c r="T1298" s="55" t="s">
        <v>183</v>
      </c>
      <c r="U1298" s="55"/>
      <c r="V1298" s="55"/>
      <c r="W1298" s="48"/>
      <c r="X1298" s="50"/>
      <c r="Y1298" s="50"/>
      <c r="Z1298" s="48" t="n">
        <f aca="false">IF(A1298="","",IF(AND(Parameter!$B$21="Ja",ISNUMBER(W1298)),W1298,IF(BZ1298="2+3",IF(ISNUMBER(SEARCH("grosser Artikel",BR1298)),2,IFERROR(VLOOKUP(BU1298,Parameter!$F$35:$G$64,2,0),2)),IF(OR(BZ1298="Nein",BZ1298=""),"-",BZ1298))))</f>
        <v>2</v>
      </c>
      <c r="AA1298" s="55"/>
      <c r="AB1298" s="56"/>
      <c r="AC1298" s="50" t="n">
        <f aca="false">AT1298</f>
        <v>4</v>
      </c>
      <c r="AD1298" s="50" t="n">
        <f aca="false">MAX(AT1298,H1298)</f>
        <v>4</v>
      </c>
      <c r="AE1298" s="57"/>
      <c r="AF1298" s="50" t="n">
        <f aca="false">IF(LEFT(Cockpit!$C$5,1)="A",H1298,IF(CE1298=1,CF1298,IF(LEFT(Cockpit!$C$5,1)="B",AK1298,MAX(AK1298,H1298))))</f>
        <v>0</v>
      </c>
      <c r="AG1298" s="50" t="n">
        <f aca="false">IF(BW1298=1,0,ROUNDUP(AF1298/BV1298,0))</f>
        <v>0</v>
      </c>
      <c r="AH1298" s="52" t="n">
        <f aca="false">IF(CL1298&gt;0,CL1298*MAX(1,AF1298/X1298),IF(BW1298=1,IF(AF1298&lt;=0,0,CA1298*MAX(1,IF(H1298&gt;0,AF1298/H1298,1))),IF(R1298&gt;0,AG1298/R1298,0))/MAX(0.1,N(Parameter!$M$21)))</f>
        <v>0</v>
      </c>
      <c r="AI1298" s="50" t="n">
        <f aca="false">AH1298*BY1298</f>
        <v>0</v>
      </c>
      <c r="AJ1298" s="50" t="n">
        <f aca="false">AF1298*G1298</f>
        <v>0</v>
      </c>
      <c r="AK1298" s="50" t="n">
        <f aca="false">ROUNDUP(MAX(J1298/IF(CD1298&gt;0,CD1298,MAX(0.1,N(Cockpit!$C$6))),CG1298)/BV1298,0)*BV1298</f>
        <v>4</v>
      </c>
      <c r="AL1298" s="51" t="n">
        <f aca="false">IF(AI1298&gt;0,J1298/AI1298,-1)</f>
        <v>-1</v>
      </c>
      <c r="AM1298" s="51" t="str">
        <f aca="false">IF(AND(OR(CC1298="L1",CC1298="L23",CC1298="LIFT"),AI1298&gt;0),SUMIFS($AI$7:$AI$1843,$CC$7:$CC$1843,CC1298,$AL$7:$AL$1843,"&gt;"&amp;AL1298)+SUMIFS($AI$7:$AI$1843,$CC$7:$CC$1843,CC1298,$AL$7:$AL$1843,AL1298,$BT$7:$BT$1843,"&lt;="&amp;BT1298),"")</f>
        <v/>
      </c>
      <c r="AN1298" s="58" t="n">
        <f aca="false">IF(AM1298="",0,MAX(0,MIN(1,(IF(CC1298="L1",Parameter!$H$5,IF(CC1298="L23",Parameter!$H$6+Parameter!$H$7,Parameter!$H$5+Parameter!$H$6+Parameter!$H$7))-(AM1298-AI1298))/AI1298)))</f>
        <v>0</v>
      </c>
      <c r="AO1298" s="50" t="n">
        <f aca="false">IF(LEFT(Cockpit!$I$5,1)="A",H1298,IF(CE1298=1,CF1298,IF(LEFT(Cockpit!$I$5,1)="B",AT1298,MAX(AT1298,H1298))))</f>
        <v>4</v>
      </c>
      <c r="AP1298" s="50" t="n">
        <f aca="false">IF(BW1298=1,0,ROUNDUP(AO1298/BV1298,0))</f>
        <v>1</v>
      </c>
      <c r="AQ1298" s="52" t="n">
        <f aca="false">IF(CL1298&gt;0,CL1298*MAX(1,AO1298/X1298),IF(BW1298=1,IF(AO1298&lt;=0,0,CA1298*MAX(1,IF(H1298&gt;0,AO1298/H1298,1))),IF(R1298&gt;0,AP1298/R1298,0))/MAX(0.1,N(Parameter!$M$21)))</f>
        <v>0.0833333333333333</v>
      </c>
      <c r="AR1298" s="50" t="n">
        <f aca="false">AQ1298*BY1298</f>
        <v>12.0833333333333</v>
      </c>
      <c r="AS1298" s="50" t="n">
        <f aca="false">AO1298*G1298</f>
        <v>238</v>
      </c>
      <c r="AT1298" s="50" t="n">
        <f aca="false">ROUNDUP(MAX(J1298/IF(CD1298&gt;0,CD1298,MAX(0.1,N(Cockpit!$I$6))),CG1298)/BV1298,0)*BV1298</f>
        <v>4</v>
      </c>
      <c r="AU1298" s="51" t="n">
        <f aca="false">IF(AR1298&gt;0,J1298/AR1298,-1)</f>
        <v>0</v>
      </c>
      <c r="AV1298" s="51" t="n">
        <f aca="false">IF(AND(OR(CC1298="L1",CC1298="L23",CC1298="LIFT"),AR1298&gt;0),SUMIFS($AR$7:$AR$1843,$CC$7:$CC$1843,CC1298,$AU$7:$AU$1843,"&gt;"&amp;AU1298)+SUMIFS($AR$7:$AR$1843,$CC$7:$CC$1843,CC1298,$AU$7:$AU$1843,AU1298,$BT$7:$BT$1843,"&lt;="&amp;BT1298),"")</f>
        <v>41603.349366735</v>
      </c>
      <c r="AW1298" s="58" t="n">
        <f aca="false">IF(AV1298="",0,MAX(0,MIN(1,(IF(CC1298="L1",Parameter!$H$5,IF(CC1298="L23",Parameter!$H$6+Parameter!$H$7,Parameter!$H$5+Parameter!$H$6+Parameter!$H$7))-(AV1298-AR1298))/AR1298)))</f>
        <v>0</v>
      </c>
      <c r="AX1298" s="50" t="n">
        <f aca="false">IF(LEFT(Cockpit!$O$5,1)="A",H1298,IF(CE1298=1,CF1298,IF(LEFT(Cockpit!$O$5,1)="B",BC1298,MAX(BC1298,H1298))))</f>
        <v>4</v>
      </c>
      <c r="AY1298" s="50" t="n">
        <f aca="false">IF(BW1298=1,0,ROUNDUP(AX1298/BV1298,0))</f>
        <v>1</v>
      </c>
      <c r="AZ1298" s="52" t="n">
        <f aca="false">IF(CL1298&gt;0,CL1298*MAX(1,AX1298/X1298),IF(BW1298=1,IF(AX1298&lt;=0,0,CA1298*MAX(1,IF(H1298&gt;0,AX1298/H1298,1))),IF(R1298&gt;0,AY1298/R1298,0))/MAX(0.1,N(Parameter!$M$21)))</f>
        <v>0.0833333333333333</v>
      </c>
      <c r="BA1298" s="50" t="n">
        <f aca="false">AZ1298*BY1298</f>
        <v>12.0833333333333</v>
      </c>
      <c r="BB1298" s="50" t="n">
        <f aca="false">AX1298*G1298</f>
        <v>238</v>
      </c>
      <c r="BC1298" s="50" t="n">
        <f aca="false">ROUNDUP(MAX(J1298/IF(CD1298&gt;0,CD1298,MAX(0.1,N(Cockpit!$O$6))),CG1298)/BV1298,0)*BV1298</f>
        <v>4</v>
      </c>
      <c r="BD1298" s="51" t="n">
        <f aca="false">IF(BA1298&gt;0,J1298/BA1298,-1)</f>
        <v>0</v>
      </c>
      <c r="BE1298" s="51" t="n">
        <f aca="false">IF(AND(OR(CC1298="L1",CC1298="L23",CC1298="LIFT"),BA1298&gt;0),SUMIFS($BA$7:$BA$1843,$CC$7:$CC$1843,CC1298,$BD$7:$BD$1843,"&gt;"&amp;BD1298)+SUMIFS($BA$7:$BA$1843,$CC$7:$CC$1843,CC1298,$BD$7:$BD$1843,BD1298,$BT$7:$BT$1843,"&lt;="&amp;BT1298),"")</f>
        <v>38278.3614086008</v>
      </c>
      <c r="BF1298" s="58" t="n">
        <f aca="false">IF(BE1298="",0,MAX(0,MIN(1,(IF(CC1298="L1",Parameter!$H$5,IF(CC1298="L23",Parameter!$H$6+Parameter!$H$7,Parameter!$H$5+Parameter!$H$6+Parameter!$H$7))-(BE1298-BA1298))/BA1298)))</f>
        <v>0</v>
      </c>
      <c r="BG1298" s="48" t="str">
        <f aca="false">IF(AI1298&lt;=0,"",IF(CC1298="Aussen","Aussenlager",IF(CC1298="-","Nicht im Lift",IF(AN1298&gt;=1,"Lift",IF(AN1298&lt;=0,"Aussenlager","teilweise")))))</f>
        <v/>
      </c>
      <c r="BH1298" s="48" t="str">
        <f aca="false">IF(AR1298&lt;=0,"",IF(CC1298="Aussen","Aussenlager",IF(CC1298="-","Nicht im Lift",IF(AW1298&gt;=1,"Lift",IF(AW1298&lt;=0,"Aussenlager","teilweise")))))</f>
        <v>Aussenlager</v>
      </c>
      <c r="BI1298" s="48" t="str">
        <f aca="false">IF(BA1298&lt;=0,"",IF(CC1298="Aussen","Aussenlager",IF(CC1298="-","Nicht im Lift",IF(BF1298&gt;=1,"Lift",IF(BF1298&lt;=0,"Aussenlager","teilweise")))))</f>
        <v>Aussenlager</v>
      </c>
      <c r="BJ1298" s="48" t="str">
        <f aca="false">IF(A1298="","",IF(BS1298=1,"Neu; ","")&amp;IF(AND(BS1298=0,BN1298&lt;0),"negativer Bestand (Export "&amp;BN1298&amp;"); ","")&amp;IF(J1298&lt;=0,"Kein Verbrauch; ","")&amp;IF(CL1298&gt;0,"Lift "&amp;W1298&amp;" lt. Liftbericht (Fach "&amp;X1298&amp;" Stk); ",IF(BX1298=1,"Gebinde geschätzt ("&amp;T1298&amp;"); ",IF(BW1298=1,"Lose – Tablare geschätzt; ","")))&amp;IF(H1298&gt;AT1298,"Überbestand "&amp;ROUND(H1298-AT1298,0)&amp;" Stk / CHF "&amp;ROUND((H1298-AT1298)*G1298,0)&amp;"; ","")&amp;IF(AND(CE1298=1,CF1298&lt;CG1298),"MAX &lt; MB+LG; ","")&amp;IF(AND(CK1298&gt;0,CJ1298*10&gt;CK1298),"zu hoch für Tablar; ","")&amp;IF(AND(BS1298=0,OR(CE1298=1,AA1298&lt;&gt;"",U1298&lt;&gt;"",V1298&lt;&gt;"",AB1298&lt;&gt;"")),"manuell übersteuert; ","")&amp;IF(AND(BW1298=0,R1298=0),"Gebinde unbekannt / Stellmass fehlt; ","")&amp;IF(AND(BW1298=0,N(V1298)&lt;=0,N(Q1298)&lt;=0),"Menge pro Gebinde fehlt (Ist = 1 Gebinde); ","")&amp;BR1298)</f>
        <v>negativer Bestand (Export -20); Kein Verbrauch; Gebinde geschätzt (Mittel); Menge pro Gebinde fehlt (Ist = 1 Gebinde); </v>
      </c>
      <c r="BK1298" s="48"/>
      <c r="BL1298" s="48"/>
      <c r="BM1298" s="55"/>
      <c r="BN1298" s="50" t="n">
        <v>-20</v>
      </c>
      <c r="BO1298" s="50" t="n">
        <v>20</v>
      </c>
      <c r="BP1298" s="49" t="n">
        <v>-1190</v>
      </c>
      <c r="BQ1298" s="50" t="n">
        <v>0</v>
      </c>
      <c r="BR1298" s="48"/>
      <c r="BS1298" s="53" t="n">
        <v>0</v>
      </c>
      <c r="BT1298" s="53" t="n">
        <v>1298</v>
      </c>
      <c r="BU1298" s="48" t="str">
        <f aca="false">IF(U1298&lt;&gt;"",UPPER(TRIM(U1298)),IF(BX1298=1,UPPER(VLOOKUP(T1298,Parameter!$I$27:$K$29,2,0)),IF(P1298="","LOSE",P1298)))</f>
        <v>S61</v>
      </c>
      <c r="BV1298" s="50" t="n">
        <f aca="false">IF(BU1298="LOSE",1,IF(N(V1298)&gt;0,V1298,IF(BX1298=1,MAX(1,N(VLOOKUP(T1298,Parameter!$I$27:$K$29,3,0)),H1298,N(N1298)),IF(N(Q1298)&gt;0,Q1298,MAX(1,H1298)))))</f>
        <v>4</v>
      </c>
      <c r="BW1298" s="53" t="n">
        <f aca="false">IF(BU1298="LOSE",1,0)</f>
        <v>0</v>
      </c>
      <c r="BX1298" s="53" t="n">
        <f aca="false">IF(AND(U1298="",OR(P1298="",P1298="LOSE"),T1298&lt;&gt;"",N(S1298)&lt;=0,ISNUMBER(MATCH(T1298,Parameter!$I$27:$I$29,0))),1,0)</f>
        <v>1</v>
      </c>
      <c r="BY1298" s="53" t="n">
        <f aca="false">IF(CL1298&gt;0,INDEX(Parameter!$H$5:$H$7,W1298)/INDEX(Parameter!$E$5:$E$7,W1298),IF(AND(BW1298=0,N(IFERROR(VLOOKUP(BU1298,'Gebinde-Kategorie'!$A$5:$N$45,14,0),0))&gt;0),VLOOKUP(BU1298,'Gebinde-Kategorie'!$A$5:$N$45,14,0)*10+Parameter!$M$23,Parameter!$M$24))</f>
        <v>145</v>
      </c>
      <c r="BZ1298" s="48" t="str">
        <f aca="false">IF(AND(Parameter!$B$19="Ja",E1298&lt;&gt;"",ISNUMBER(MATCH(E1298,Parameter!$I$35:$I$52,0))),VLOOKUP(E1298,Parameter!$I$35:$J$52,2,0),IFERROR(VLOOKUP(D1298,Parameter!$A$35:$C$64,2,0),"Nein"))</f>
        <v>2+3</v>
      </c>
      <c r="CA1298" s="52" t="n">
        <f aca="false">IF(BW1298=0,0,IF(N(S1298)&gt;0,S1298,IFERROR(VLOOKUP(D1298,Parameter!$A$35:$C$64,3,0)+0,0)))</f>
        <v>0</v>
      </c>
      <c r="CB1298" s="48" t="n">
        <f aca="false">IF(AA1298&lt;&gt;"",AA1298,Z1298)</f>
        <v>2</v>
      </c>
      <c r="CC1298" s="48" t="str">
        <f aca="false">IF(OR(CB1298=1,CB1298=2,CB1298=3),IF(Parameter!$E$27="Ja","LIFT",IF(CB1298=1,"L1","L23")),IF(CB1298="Aussen","Aussen","-"))</f>
        <v>LIFT</v>
      </c>
      <c r="CD1298" s="59" t="n">
        <f aca="false">IF(N(AB1298)&gt;0,AB1298,0)</f>
        <v>0</v>
      </c>
      <c r="CE1298" s="53" t="n">
        <f aca="false">IF(ISNUMBER(AE1298),1,0)</f>
        <v>0</v>
      </c>
      <c r="CF1298" s="50" t="n">
        <f aca="false">N(AE1298)</f>
        <v>0</v>
      </c>
      <c r="CG1298" s="50" t="n">
        <f aca="false">N(M1298)+N(N1298)</f>
        <v>1</v>
      </c>
      <c r="CH1298" s="50" t="n">
        <f aca="false">ROUNDUP(H1298/BV1298,0)</f>
        <v>0</v>
      </c>
      <c r="CI1298" s="50" t="n">
        <f aca="false">ROUNDUP(CF1298/BV1298,0)</f>
        <v>0</v>
      </c>
      <c r="CJ1298" s="53" t="n">
        <f aca="false">IF(BW1298=1,0,IFERROR(VLOOKUP(BU1298,'Gebinde-Kategorie'!$A$5:$N$45,5,0)+0,0))</f>
        <v>11</v>
      </c>
      <c r="CK1298" s="53" t="n">
        <f aca="false">IFERROR(IF(OR(CB1298=1,CB1298=2,CB1298=3),N(INDEX(Parameter!$I$5:$I$7,CB1298)),0),0)</f>
        <v>0</v>
      </c>
      <c r="CL1298" s="52" t="n">
        <f aca="false">IF(AND(Parameter!$B$21="Ja",ISNUMBER(W1298),N(X1298)&gt;0),IFERROR(N(INDEX(Parameter!$L$5:$L$7,W1298))*INDEX(Parameter!$E$5:$E$7,W1298)*X1298/SUMIFS($X$7:$X$1843,$W$7:$W$1843,W1298),0),0)</f>
        <v>0</v>
      </c>
    </row>
    <row r="1299" customFormat="false" ht="15" hidden="false" customHeight="false" outlineLevel="0" collapsed="false">
      <c r="A1299" s="48" t="s">
        <v>2314</v>
      </c>
      <c r="B1299" s="48" t="s">
        <v>409</v>
      </c>
      <c r="C1299" s="48" t="s">
        <v>168</v>
      </c>
      <c r="D1299" s="48" t="s">
        <v>177</v>
      </c>
      <c r="E1299" s="48" t="s">
        <v>189</v>
      </c>
      <c r="F1299" s="48" t="s">
        <v>222</v>
      </c>
      <c r="G1299" s="49" t="n">
        <v>1.59</v>
      </c>
      <c r="H1299" s="50" t="n">
        <f aca="false">MAX(0,IF(AND(Parameter!$B$21="Ja",ISNUMBER(Y1299)),Y1299,IF(Parameter!$B$20="Jahresanfang 2025 + Export",BO1299+BN1299,BN1299)))</f>
        <v>1109</v>
      </c>
      <c r="I1299" s="50" t="n">
        <f aca="false">H1299*G1299</f>
        <v>1763.31</v>
      </c>
      <c r="J1299" s="50" t="n">
        <f aca="false">BQ1299*Parameter!$B$18</f>
        <v>5534</v>
      </c>
      <c r="K1299" s="51" t="n">
        <v>1501.5</v>
      </c>
      <c r="L1299" s="52" t="n">
        <v>3.68564768564769</v>
      </c>
      <c r="M1299" s="50" t="n">
        <v>322</v>
      </c>
      <c r="N1299" s="50" t="n">
        <v>600</v>
      </c>
      <c r="O1299" s="53" t="n">
        <v>21</v>
      </c>
      <c r="P1299" s="48" t="s">
        <v>230</v>
      </c>
      <c r="Q1299" s="50" t="n">
        <v>300</v>
      </c>
      <c r="R1299" s="53" t="n">
        <f aca="false">IF(BW1299=1,0,IFERROR(VLOOKUP(BU1299,'Gebinde-Kategorie'!$A$5:$N$45,13,0)+0,0))</f>
        <v>12</v>
      </c>
      <c r="S1299" s="54"/>
      <c r="T1299" s="55"/>
      <c r="U1299" s="55"/>
      <c r="V1299" s="55"/>
      <c r="W1299" s="48"/>
      <c r="X1299" s="50"/>
      <c r="Y1299" s="50"/>
      <c r="Z1299" s="48" t="n">
        <f aca="false">IF(A1299="","",IF(AND(Parameter!$B$21="Ja",ISNUMBER(W1299)),W1299,IF(BZ1299="2+3",IF(ISNUMBER(SEARCH("grosser Artikel",BR1299)),2,IFERROR(VLOOKUP(BU1299,Parameter!$F$35:$G$64,2,0),2)),IF(OR(BZ1299="Nein",BZ1299=""),"-",BZ1299))))</f>
        <v>2</v>
      </c>
      <c r="AA1299" s="55"/>
      <c r="AB1299" s="56"/>
      <c r="AC1299" s="50" t="n">
        <f aca="false">AT1299</f>
        <v>3000</v>
      </c>
      <c r="AD1299" s="50" t="n">
        <f aca="false">MAX(AT1299,H1299)</f>
        <v>3000</v>
      </c>
      <c r="AE1299" s="57"/>
      <c r="AF1299" s="50" t="n">
        <f aca="false">IF(LEFT(Cockpit!$C$5,1)="A",H1299,IF(CE1299=1,CF1299,IF(LEFT(Cockpit!$C$5,1)="B",AK1299,MAX(AK1299,H1299))))</f>
        <v>1109</v>
      </c>
      <c r="AG1299" s="50" t="n">
        <f aca="false">IF(BW1299=1,0,ROUNDUP(AF1299/BV1299,0))</f>
        <v>4</v>
      </c>
      <c r="AH1299" s="52" t="n">
        <f aca="false">IF(CL1299&gt;0,CL1299*MAX(1,AF1299/X1299),IF(BW1299=1,IF(AF1299&lt;=0,0,CA1299*MAX(1,IF(H1299&gt;0,AF1299/H1299,1))),IF(R1299&gt;0,AG1299/R1299,0))/MAX(0.1,N(Parameter!$M$21)))</f>
        <v>0.333333333333333</v>
      </c>
      <c r="AI1299" s="50" t="n">
        <f aca="false">AH1299*BY1299</f>
        <v>115</v>
      </c>
      <c r="AJ1299" s="50" t="n">
        <f aca="false">AF1299*G1299</f>
        <v>1763.31</v>
      </c>
      <c r="AK1299" s="50" t="n">
        <f aca="false">ROUNDUP(MAX(J1299/IF(CD1299&gt;0,CD1299,MAX(0.1,N(Cockpit!$C$6))),CG1299)/BV1299,0)*BV1299</f>
        <v>3000</v>
      </c>
      <c r="AL1299" s="51" t="n">
        <f aca="false">IF(AI1299&gt;0,J1299/AI1299,-1)</f>
        <v>48.1217391304348</v>
      </c>
      <c r="AM1299" s="51" t="n">
        <f aca="false">IF(AND(OR(CC1299="L1",CC1299="L23",CC1299="LIFT"),AI1299&gt;0),SUMIFS($AI$7:$AI$1843,$CC$7:$CC$1843,CC1299,$AL$7:$AL$1843,"&gt;"&amp;AL1299)+SUMIFS($AI$7:$AI$1843,$CC$7:$CC$1843,CC1299,$AL$7:$AL$1843,AL1299,$BT$7:$BT$1843,"&lt;="&amp;BT1299),"")</f>
        <v>1142.98214285714</v>
      </c>
      <c r="AN1299" s="58" t="n">
        <f aca="false">IF(AM1299="",0,MAX(0,MIN(1,(IF(CC1299="L1",Parameter!$H$5,IF(CC1299="L23",Parameter!$H$6+Parameter!$H$7,Parameter!$H$5+Parameter!$H$6+Parameter!$H$7))-(AM1299-AI1299))/AI1299)))</f>
        <v>1</v>
      </c>
      <c r="AO1299" s="50" t="n">
        <f aca="false">IF(LEFT(Cockpit!$I$5,1)="A",H1299,IF(CE1299=1,CF1299,IF(LEFT(Cockpit!$I$5,1)="B",AT1299,MAX(AT1299,H1299))))</f>
        <v>3000</v>
      </c>
      <c r="AP1299" s="50" t="n">
        <f aca="false">IF(BW1299=1,0,ROUNDUP(AO1299/BV1299,0))</f>
        <v>10</v>
      </c>
      <c r="AQ1299" s="52" t="n">
        <f aca="false">IF(CL1299&gt;0,CL1299*MAX(1,AO1299/X1299),IF(BW1299=1,IF(AO1299&lt;=0,0,CA1299*MAX(1,IF(H1299&gt;0,AO1299/H1299,1))),IF(R1299&gt;0,AP1299/R1299,0))/MAX(0.1,N(Parameter!$M$21)))</f>
        <v>0.833333333333333</v>
      </c>
      <c r="AR1299" s="50" t="n">
        <f aca="false">AQ1299*BY1299</f>
        <v>287.5</v>
      </c>
      <c r="AS1299" s="50" t="n">
        <f aca="false">AO1299*G1299</f>
        <v>4770</v>
      </c>
      <c r="AT1299" s="50" t="n">
        <f aca="false">ROUNDUP(MAX(J1299/IF(CD1299&gt;0,CD1299,MAX(0.1,N(Cockpit!$I$6))),CG1299)/BV1299,0)*BV1299</f>
        <v>3000</v>
      </c>
      <c r="AU1299" s="51" t="n">
        <f aca="false">IF(AR1299&gt;0,J1299/AR1299,-1)</f>
        <v>19.2486956521739</v>
      </c>
      <c r="AV1299" s="51" t="n">
        <f aca="false">IF(AND(OR(CC1299="L1",CC1299="L23",CC1299="LIFT"),AR1299&gt;0),SUMIFS($AR$7:$AR$1843,$CC$7:$CC$1843,CC1299,$AU$7:$AU$1843,"&gt;"&amp;AU1299)+SUMIFS($AR$7:$AR$1843,$CC$7:$CC$1843,CC1299,$AU$7:$AU$1843,AU1299,$BT$7:$BT$1843,"&lt;="&amp;BT1299),"")</f>
        <v>2638.61217948718</v>
      </c>
      <c r="AW1299" s="58" t="n">
        <f aca="false">IF(AV1299="",0,MAX(0,MIN(1,(IF(CC1299="L1",Parameter!$H$5,IF(CC1299="L23",Parameter!$H$6+Parameter!$H$7,Parameter!$H$5+Parameter!$H$6+Parameter!$H$7))-(AV1299-AR1299))/AR1299)))</f>
        <v>1</v>
      </c>
      <c r="AX1299" s="50" t="n">
        <f aca="false">IF(LEFT(Cockpit!$O$5,1)="A",H1299,IF(CE1299=1,CF1299,IF(LEFT(Cockpit!$O$5,1)="B",BC1299,MAX(BC1299,H1299))))</f>
        <v>2100</v>
      </c>
      <c r="AY1299" s="50" t="n">
        <f aca="false">IF(BW1299=1,0,ROUNDUP(AX1299/BV1299,0))</f>
        <v>7</v>
      </c>
      <c r="AZ1299" s="52" t="n">
        <f aca="false">IF(CL1299&gt;0,CL1299*MAX(1,AX1299/X1299),IF(BW1299=1,IF(AX1299&lt;=0,0,CA1299*MAX(1,IF(H1299&gt;0,AX1299/H1299,1))),IF(R1299&gt;0,AY1299/R1299,0))/MAX(0.1,N(Parameter!$M$21)))</f>
        <v>0.583333333333333</v>
      </c>
      <c r="BA1299" s="50" t="n">
        <f aca="false">AZ1299*BY1299</f>
        <v>201.25</v>
      </c>
      <c r="BB1299" s="50" t="n">
        <f aca="false">AX1299*G1299</f>
        <v>3339</v>
      </c>
      <c r="BC1299" s="50" t="n">
        <f aca="false">ROUNDUP(MAX(J1299/IF(CD1299&gt;0,CD1299,MAX(0.1,N(Cockpit!$O$6))),CG1299)/BV1299,0)*BV1299</f>
        <v>2100</v>
      </c>
      <c r="BD1299" s="51" t="n">
        <f aca="false">IF(BA1299&gt;0,J1299/BA1299,-1)</f>
        <v>27.4981366459627</v>
      </c>
      <c r="BE1299" s="51" t="n">
        <f aca="false">IF(AND(OR(CC1299="L1",CC1299="L23",CC1299="LIFT"),BA1299&gt;0),SUMIFS($BA$7:$BA$1843,$CC$7:$CC$1843,CC1299,$BD$7:$BD$1843,"&gt;"&amp;BD1299)+SUMIFS($BA$7:$BA$1843,$CC$7:$CC$1843,CC1299,$BD$7:$BD$1843,BD1299,$BT$7:$BT$1843,"&lt;="&amp;BT1299),"")</f>
        <v>2099.02380952381</v>
      </c>
      <c r="BF1299" s="58" t="n">
        <f aca="false">IF(BE1299="",0,MAX(0,MIN(1,(IF(CC1299="L1",Parameter!$H$5,IF(CC1299="L23",Parameter!$H$6+Parameter!$H$7,Parameter!$H$5+Parameter!$H$6+Parameter!$H$7))-(BE1299-BA1299))/BA1299)))</f>
        <v>1</v>
      </c>
      <c r="BG1299" s="48" t="str">
        <f aca="false">IF(AI1299&lt;=0,"",IF(CC1299="Aussen","Aussenlager",IF(CC1299="-","Nicht im Lift",IF(AN1299&gt;=1,"Lift",IF(AN1299&lt;=0,"Aussenlager","teilweise")))))</f>
        <v>Lift</v>
      </c>
      <c r="BH1299" s="48" t="str">
        <f aca="false">IF(AR1299&lt;=0,"",IF(CC1299="Aussen","Aussenlager",IF(CC1299="-","Nicht im Lift",IF(AW1299&gt;=1,"Lift",IF(AW1299&lt;=0,"Aussenlager","teilweise")))))</f>
        <v>Lift</v>
      </c>
      <c r="BI1299" s="48" t="str">
        <f aca="false">IF(BA1299&lt;=0,"",IF(CC1299="Aussen","Aussenlager",IF(CC1299="-","Nicht im Lift",IF(BF1299&gt;=1,"Lift",IF(BF1299&lt;=0,"Aussenlager","teilweise")))))</f>
        <v>Lift</v>
      </c>
      <c r="BJ1299" s="48" t="str">
        <f aca="false">IF(A1299="","",IF(BS1299=1,"Neu; ","")&amp;IF(AND(BS1299=0,BN1299&lt;0),"negativer Bestand (Export "&amp;BN1299&amp;"); ","")&amp;IF(J1299&lt;=0,"Kein Verbrauch; ","")&amp;IF(CL1299&gt;0,"Lift "&amp;W1299&amp;" lt. Liftbericht (Fach "&amp;X1299&amp;" Stk); ",IF(BX1299=1,"Gebinde geschätzt ("&amp;T1299&amp;"); ",IF(BW1299=1,"Lose – Tablare geschätzt; ","")))&amp;IF(H1299&gt;AT1299,"Überbestand "&amp;ROUND(H1299-AT1299,0)&amp;" Stk / CHF "&amp;ROUND((H1299-AT1299)*G1299,0)&amp;"; ","")&amp;IF(AND(CE1299=1,CF1299&lt;CG1299),"MAX &lt; MB+LG; ","")&amp;IF(AND(CK1299&gt;0,CJ1299*10&gt;CK1299),"zu hoch für Tablar; ","")&amp;IF(AND(BS1299=0,OR(CE1299=1,AA1299&lt;&gt;"",U1299&lt;&gt;"",V1299&lt;&gt;"",AB1299&lt;&gt;"")),"manuell übersteuert; ","")&amp;IF(AND(BW1299=0,R1299=0),"Gebinde unbekannt / Stellmass fehlt; ","")&amp;IF(AND(BW1299=0,N(V1299)&lt;=0,N(Q1299)&lt;=0),"Menge pro Gebinde fehlt (Ist = 1 Gebinde); ","")&amp;BR1299)</f>
        <v>negativer Bestand (Export -641); grosse  Artikelmenge</v>
      </c>
      <c r="BK1299" s="48"/>
      <c r="BL1299" s="48"/>
      <c r="BM1299" s="55"/>
      <c r="BN1299" s="50" t="n">
        <v>-641</v>
      </c>
      <c r="BO1299" s="50" t="n">
        <v>1750</v>
      </c>
      <c r="BP1299" s="49" t="n">
        <v>-1191.49</v>
      </c>
      <c r="BQ1299" s="50" t="n">
        <v>5534</v>
      </c>
      <c r="BR1299" s="48" t="s">
        <v>1611</v>
      </c>
      <c r="BS1299" s="53" t="n">
        <v>0</v>
      </c>
      <c r="BT1299" s="53" t="n">
        <v>1299</v>
      </c>
      <c r="BU1299" s="48" t="str">
        <f aca="false">IF(U1299&lt;&gt;"",UPPER(TRIM(U1299)),IF(BX1299=1,UPPER(VLOOKUP(T1299,Parameter!$I$27:$K$29,2,0)),IF(P1299="","LOSE",P1299)))</f>
        <v>S63</v>
      </c>
      <c r="BV1299" s="50" t="n">
        <f aca="false">IF(BU1299="LOSE",1,IF(N(V1299)&gt;0,V1299,IF(BX1299=1,MAX(1,N(VLOOKUP(T1299,Parameter!$I$27:$K$29,3,0)),H1299,N(N1299)),IF(N(Q1299)&gt;0,Q1299,MAX(1,H1299)))))</f>
        <v>300</v>
      </c>
      <c r="BW1299" s="53" t="n">
        <f aca="false">IF(BU1299="LOSE",1,0)</f>
        <v>0</v>
      </c>
      <c r="BX1299" s="53" t="n">
        <f aca="false">IF(AND(U1299="",OR(P1299="",P1299="LOSE"),T1299&lt;&gt;"",N(S1299)&lt;=0,ISNUMBER(MATCH(T1299,Parameter!$I$27:$I$29,0))),1,0)</f>
        <v>0</v>
      </c>
      <c r="BY1299" s="53" t="n">
        <f aca="false">IF(CL1299&gt;0,INDEX(Parameter!$H$5:$H$7,W1299)/INDEX(Parameter!$E$5:$E$7,W1299),IF(AND(BW1299=0,N(IFERROR(VLOOKUP(BU1299,'Gebinde-Kategorie'!$A$5:$N$45,14,0),0))&gt;0),VLOOKUP(BU1299,'Gebinde-Kategorie'!$A$5:$N$45,14,0)*10+Parameter!$M$23,Parameter!$M$24))</f>
        <v>345</v>
      </c>
      <c r="BZ1299" s="48" t="str">
        <f aca="false">IF(AND(Parameter!$B$19="Ja",E1299&lt;&gt;"",ISNUMBER(MATCH(E1299,Parameter!$I$35:$I$52,0))),VLOOKUP(E1299,Parameter!$I$35:$J$52,2,0),IFERROR(VLOOKUP(D1299,Parameter!$A$35:$C$64,2,0),"Nein"))</f>
        <v>2+3</v>
      </c>
      <c r="CA1299" s="52" t="n">
        <f aca="false">IF(BW1299=0,0,IF(N(S1299)&gt;0,S1299,IFERROR(VLOOKUP(D1299,Parameter!$A$35:$C$64,3,0)+0,0)))</f>
        <v>0</v>
      </c>
      <c r="CB1299" s="48" t="n">
        <f aca="false">IF(AA1299&lt;&gt;"",AA1299,Z1299)</f>
        <v>2</v>
      </c>
      <c r="CC1299" s="48" t="str">
        <f aca="false">IF(OR(CB1299=1,CB1299=2,CB1299=3),IF(Parameter!$E$27="Ja","LIFT",IF(CB1299=1,"L1","L23")),IF(CB1299="Aussen","Aussen","-"))</f>
        <v>LIFT</v>
      </c>
      <c r="CD1299" s="59" t="n">
        <f aca="false">IF(N(AB1299)&gt;0,AB1299,0)</f>
        <v>0</v>
      </c>
      <c r="CE1299" s="53" t="n">
        <f aca="false">IF(ISNUMBER(AE1299),1,0)</f>
        <v>0</v>
      </c>
      <c r="CF1299" s="50" t="n">
        <f aca="false">N(AE1299)</f>
        <v>0</v>
      </c>
      <c r="CG1299" s="50" t="n">
        <f aca="false">N(M1299)+N(N1299)</f>
        <v>922</v>
      </c>
      <c r="CH1299" s="50" t="n">
        <f aca="false">ROUNDUP(H1299/BV1299,0)</f>
        <v>4</v>
      </c>
      <c r="CI1299" s="50" t="n">
        <f aca="false">ROUNDUP(CF1299/BV1299,0)</f>
        <v>0</v>
      </c>
      <c r="CJ1299" s="53" t="n">
        <f aca="false">IF(BW1299=1,0,IFERROR(VLOOKUP(BU1299,'Gebinde-Kategorie'!$A$5:$N$45,5,0)+0,0))</f>
        <v>31</v>
      </c>
      <c r="CK1299" s="53" t="n">
        <f aca="false">IFERROR(IF(OR(CB1299=1,CB1299=2,CB1299=3),N(INDEX(Parameter!$I$5:$I$7,CB1299)),0),0)</f>
        <v>0</v>
      </c>
      <c r="CL1299" s="52" t="n">
        <f aca="false">IF(AND(Parameter!$B$21="Ja",ISNUMBER(W1299),N(X1299)&gt;0),IFERROR(N(INDEX(Parameter!$L$5:$L$7,W1299))*INDEX(Parameter!$E$5:$E$7,W1299)*X1299/SUMIFS($X$7:$X$1843,$W$7:$W$1843,W1299),0),0)</f>
        <v>0</v>
      </c>
    </row>
    <row r="1300" customFormat="false" ht="15" hidden="false" customHeight="false" outlineLevel="0" collapsed="false">
      <c r="A1300" s="48" t="s">
        <v>2315</v>
      </c>
      <c r="B1300" s="48" t="s">
        <v>2316</v>
      </c>
      <c r="C1300" s="48" t="s">
        <v>168</v>
      </c>
      <c r="D1300" s="48" t="s">
        <v>177</v>
      </c>
      <c r="E1300" s="48" t="s">
        <v>374</v>
      </c>
      <c r="F1300" s="48" t="s">
        <v>222</v>
      </c>
      <c r="G1300" s="49" t="n">
        <v>659.54</v>
      </c>
      <c r="H1300" s="50" t="n">
        <f aca="false">MAX(0,IF(AND(Parameter!$B$21="Ja",ISNUMBER(Y1300)),Y1300,IF(Parameter!$B$20="Jahresanfang 2025 + Export",BO1300+BN1300,BN1300)))</f>
        <v>0</v>
      </c>
      <c r="I1300" s="50" t="n">
        <f aca="false">H1300*G1300</f>
        <v>0</v>
      </c>
      <c r="J1300" s="50" t="n">
        <f aca="false">BQ1300*Parameter!$B$18</f>
        <v>8</v>
      </c>
      <c r="K1300" s="51" t="n">
        <v>1</v>
      </c>
      <c r="L1300" s="52" t="n">
        <v>8</v>
      </c>
      <c r="M1300" s="50" t="n">
        <v>0</v>
      </c>
      <c r="N1300" s="50" t="n">
        <v>2</v>
      </c>
      <c r="O1300" s="53" t="n">
        <v>14</v>
      </c>
      <c r="P1300" s="48" t="s">
        <v>172</v>
      </c>
      <c r="Q1300" s="50"/>
      <c r="R1300" s="53" t="n">
        <f aca="false">IF(BW1300=1,0,IFERROR(VLOOKUP(BU1300,'Gebinde-Kategorie'!$A$5:$N$45,13,0)+0,0))</f>
        <v>4</v>
      </c>
      <c r="S1300" s="54"/>
      <c r="T1300" s="55" t="s">
        <v>193</v>
      </c>
      <c r="U1300" s="55"/>
      <c r="V1300" s="55"/>
      <c r="W1300" s="48"/>
      <c r="X1300" s="50"/>
      <c r="Y1300" s="50"/>
      <c r="Z1300" s="48" t="str">
        <f aca="false">IF(A1300="","",IF(AND(Parameter!$B$21="Ja",ISNUMBER(W1300)),W1300,IF(BZ1300="2+3",IF(ISNUMBER(SEARCH("grosser Artikel",BR1300)),2,IFERROR(VLOOKUP(BU1300,Parameter!$F$35:$G$64,2,0),2)),IF(OR(BZ1300="Nein",BZ1300=""),"-",BZ1300))))</f>
        <v>-</v>
      </c>
      <c r="AA1300" s="55"/>
      <c r="AB1300" s="56"/>
      <c r="AC1300" s="50" t="n">
        <f aca="false">AT1300</f>
        <v>4</v>
      </c>
      <c r="AD1300" s="50" t="n">
        <f aca="false">MAX(AT1300,H1300)</f>
        <v>4</v>
      </c>
      <c r="AE1300" s="57"/>
      <c r="AF1300" s="50" t="n">
        <f aca="false">IF(LEFT(Cockpit!$C$5,1)="A",H1300,IF(CE1300=1,CF1300,IF(LEFT(Cockpit!$C$5,1)="B",AK1300,MAX(AK1300,H1300))))</f>
        <v>0</v>
      </c>
      <c r="AG1300" s="50" t="n">
        <f aca="false">IF(BW1300=1,0,ROUNDUP(AF1300/BV1300,0))</f>
        <v>0</v>
      </c>
      <c r="AH1300" s="52" t="n">
        <f aca="false">IF(CL1300&gt;0,CL1300*MAX(1,AF1300/X1300),IF(BW1300=1,IF(AF1300&lt;=0,0,CA1300*MAX(1,IF(H1300&gt;0,AF1300/H1300,1))),IF(R1300&gt;0,AG1300/R1300,0))/MAX(0.1,N(Parameter!$M$21)))</f>
        <v>0</v>
      </c>
      <c r="AI1300" s="50" t="n">
        <f aca="false">AH1300*BY1300</f>
        <v>0</v>
      </c>
      <c r="AJ1300" s="50" t="n">
        <f aca="false">AF1300*G1300</f>
        <v>0</v>
      </c>
      <c r="AK1300" s="50" t="n">
        <f aca="false">ROUNDUP(MAX(J1300/IF(CD1300&gt;0,CD1300,MAX(0.1,N(Cockpit!$C$6))),CG1300)/BV1300,0)*BV1300</f>
        <v>4</v>
      </c>
      <c r="AL1300" s="51" t="n">
        <f aca="false">IF(AI1300&gt;0,J1300/AI1300,-1)</f>
        <v>-1</v>
      </c>
      <c r="AM1300" s="51" t="str">
        <f aca="false">IF(AND(OR(CC1300="L1",CC1300="L23",CC1300="LIFT"),AI1300&gt;0),SUMIFS($AI$7:$AI$1843,$CC$7:$CC$1843,CC1300,$AL$7:$AL$1843,"&gt;"&amp;AL1300)+SUMIFS($AI$7:$AI$1843,$CC$7:$CC$1843,CC1300,$AL$7:$AL$1843,AL1300,$BT$7:$BT$1843,"&lt;="&amp;BT1300),"")</f>
        <v/>
      </c>
      <c r="AN1300" s="58" t="n">
        <f aca="false">IF(AM1300="",0,MAX(0,MIN(1,(IF(CC1300="L1",Parameter!$H$5,IF(CC1300="L23",Parameter!$H$6+Parameter!$H$7,Parameter!$H$5+Parameter!$H$6+Parameter!$H$7))-(AM1300-AI1300))/AI1300)))</f>
        <v>0</v>
      </c>
      <c r="AO1300" s="50" t="n">
        <f aca="false">IF(LEFT(Cockpit!$I$5,1)="A",H1300,IF(CE1300=1,CF1300,IF(LEFT(Cockpit!$I$5,1)="B",AT1300,MAX(AT1300,H1300))))</f>
        <v>4</v>
      </c>
      <c r="AP1300" s="50" t="n">
        <f aca="false">IF(BW1300=1,0,ROUNDUP(AO1300/BV1300,0))</f>
        <v>2</v>
      </c>
      <c r="AQ1300" s="52" t="n">
        <f aca="false">IF(CL1300&gt;0,CL1300*MAX(1,AO1300/X1300),IF(BW1300=1,IF(AO1300&lt;=0,0,CA1300*MAX(1,IF(H1300&gt;0,AO1300/H1300,1))),IF(R1300&gt;0,AP1300/R1300,0))/MAX(0.1,N(Parameter!$M$21)))</f>
        <v>0.5</v>
      </c>
      <c r="AR1300" s="50" t="n">
        <f aca="false">AQ1300*BY1300</f>
        <v>117.5</v>
      </c>
      <c r="AS1300" s="50" t="n">
        <f aca="false">AO1300*G1300</f>
        <v>2638.16</v>
      </c>
      <c r="AT1300" s="50" t="n">
        <f aca="false">ROUNDUP(MAX(J1300/IF(CD1300&gt;0,CD1300,MAX(0.1,N(Cockpit!$I$6))),CG1300)/BV1300,0)*BV1300</f>
        <v>4</v>
      </c>
      <c r="AU1300" s="51" t="n">
        <f aca="false">IF(AR1300&gt;0,J1300/AR1300,-1)</f>
        <v>0.0680851063829787</v>
      </c>
      <c r="AV1300" s="51" t="str">
        <f aca="false">IF(AND(OR(CC1300="L1",CC1300="L23",CC1300="LIFT"),AR1300&gt;0),SUMIFS($AR$7:$AR$1843,$CC$7:$CC$1843,CC1300,$AU$7:$AU$1843,"&gt;"&amp;AU1300)+SUMIFS($AR$7:$AR$1843,$CC$7:$CC$1843,CC1300,$AU$7:$AU$1843,AU1300,$BT$7:$BT$1843,"&lt;="&amp;BT1300),"")</f>
        <v/>
      </c>
      <c r="AW1300" s="58" t="n">
        <f aca="false">IF(AV1300="",0,MAX(0,MIN(1,(IF(CC1300="L1",Parameter!$H$5,IF(CC1300="L23",Parameter!$H$6+Parameter!$H$7,Parameter!$H$5+Parameter!$H$6+Parameter!$H$7))-(AV1300-AR1300))/AR1300)))</f>
        <v>0</v>
      </c>
      <c r="AX1300" s="50" t="n">
        <f aca="false">IF(LEFT(Cockpit!$O$5,1)="A",H1300,IF(CE1300=1,CF1300,IF(LEFT(Cockpit!$O$5,1)="B",BC1300,MAX(BC1300,H1300))))</f>
        <v>4</v>
      </c>
      <c r="AY1300" s="50" t="n">
        <f aca="false">IF(BW1300=1,0,ROUNDUP(AX1300/BV1300,0))</f>
        <v>2</v>
      </c>
      <c r="AZ1300" s="52" t="n">
        <f aca="false">IF(CL1300&gt;0,CL1300*MAX(1,AX1300/X1300),IF(BW1300=1,IF(AX1300&lt;=0,0,CA1300*MAX(1,IF(H1300&gt;0,AX1300/H1300,1))),IF(R1300&gt;0,AY1300/R1300,0))/MAX(0.1,N(Parameter!$M$21)))</f>
        <v>0.5</v>
      </c>
      <c r="BA1300" s="50" t="n">
        <f aca="false">AZ1300*BY1300</f>
        <v>117.5</v>
      </c>
      <c r="BB1300" s="50" t="n">
        <f aca="false">AX1300*G1300</f>
        <v>2638.16</v>
      </c>
      <c r="BC1300" s="50" t="n">
        <f aca="false">ROUNDUP(MAX(J1300/IF(CD1300&gt;0,CD1300,MAX(0.1,N(Cockpit!$O$6))),CG1300)/BV1300,0)*BV1300</f>
        <v>4</v>
      </c>
      <c r="BD1300" s="51" t="n">
        <f aca="false">IF(BA1300&gt;0,J1300/BA1300,-1)</f>
        <v>0.0680851063829787</v>
      </c>
      <c r="BE1300" s="51" t="str">
        <f aca="false">IF(AND(OR(CC1300="L1",CC1300="L23",CC1300="LIFT"),BA1300&gt;0),SUMIFS($BA$7:$BA$1843,$CC$7:$CC$1843,CC1300,$BD$7:$BD$1843,"&gt;"&amp;BD1300)+SUMIFS($BA$7:$BA$1843,$CC$7:$CC$1843,CC1300,$BD$7:$BD$1843,BD1300,$BT$7:$BT$1843,"&lt;="&amp;BT1300),"")</f>
        <v/>
      </c>
      <c r="BF1300" s="58" t="n">
        <f aca="false">IF(BE1300="",0,MAX(0,MIN(1,(IF(CC1300="L1",Parameter!$H$5,IF(CC1300="L23",Parameter!$H$6+Parameter!$H$7,Parameter!$H$5+Parameter!$H$6+Parameter!$H$7))-(BE1300-BA1300))/BA1300)))</f>
        <v>0</v>
      </c>
      <c r="BG1300" s="48" t="str">
        <f aca="false">IF(AI1300&lt;=0,"",IF(CC1300="Aussen","Aussenlager",IF(CC1300="-","Nicht im Lift",IF(AN1300&gt;=1,"Lift",IF(AN1300&lt;=0,"Aussenlager","teilweise")))))</f>
        <v/>
      </c>
      <c r="BH1300" s="48" t="str">
        <f aca="false">IF(AR1300&lt;=0,"",IF(CC1300="Aussen","Aussenlager",IF(CC1300="-","Nicht im Lift",IF(AW1300&gt;=1,"Lift",IF(AW1300&lt;=0,"Aussenlager","teilweise")))))</f>
        <v>Nicht im Lift</v>
      </c>
      <c r="BI1300" s="48" t="str">
        <f aca="false">IF(BA1300&lt;=0,"",IF(CC1300="Aussen","Aussenlager",IF(CC1300="-","Nicht im Lift",IF(BF1300&gt;=1,"Lift",IF(BF1300&lt;=0,"Aussenlager","teilweise")))))</f>
        <v>Nicht im Lift</v>
      </c>
      <c r="BJ1300" s="48" t="str">
        <f aca="false">IF(A1300="","",IF(BS1300=1,"Neu; ","")&amp;IF(AND(BS1300=0,BN1300&lt;0),"negativer Bestand (Export "&amp;BN1300&amp;"); ","")&amp;IF(J1300&lt;=0,"Kein Verbrauch; ","")&amp;IF(CL1300&gt;0,"Lift "&amp;W1300&amp;" lt. Liftbericht (Fach "&amp;X1300&amp;" Stk); ",IF(BX1300=1,"Gebinde geschätzt ("&amp;T1300&amp;"); ",IF(BW1300=1,"Lose – Tablare geschätzt; ","")))&amp;IF(H1300&gt;AT1300,"Überbestand "&amp;ROUND(H1300-AT1300,0)&amp;" Stk / CHF "&amp;ROUND((H1300-AT1300)*G1300,0)&amp;"; ","")&amp;IF(AND(CE1300=1,CF1300&lt;CG1300),"MAX &lt; MB+LG; ","")&amp;IF(AND(CK1300&gt;0,CJ1300*10&gt;CK1300),"zu hoch für Tablar; ","")&amp;IF(AND(BS1300=0,OR(CE1300=1,AA1300&lt;&gt;"",U1300&lt;&gt;"",V1300&lt;&gt;"",AB1300&lt;&gt;"")),"manuell übersteuert; ","")&amp;IF(AND(BW1300=0,R1300=0),"Gebinde unbekannt / Stellmass fehlt; ","")&amp;IF(AND(BW1300=0,N(V1300)&lt;=0,N(Q1300)&lt;=0),"Menge pro Gebinde fehlt (Ist = 1 Gebinde); ","")&amp;BR1300)</f>
        <v>negativer Bestand (Export -2); Gebinde geschätzt (Gross); Menge pro Gebinde fehlt (Ist = 1 Gebinde); </v>
      </c>
      <c r="BK1300" s="48"/>
      <c r="BL1300" s="48"/>
      <c r="BM1300" s="55"/>
      <c r="BN1300" s="50" t="n">
        <v>-2</v>
      </c>
      <c r="BO1300" s="50" t="n">
        <v>2</v>
      </c>
      <c r="BP1300" s="49" t="n">
        <v>-1191.98</v>
      </c>
      <c r="BQ1300" s="50" t="n">
        <v>8</v>
      </c>
      <c r="BR1300" s="48"/>
      <c r="BS1300" s="53" t="n">
        <v>0</v>
      </c>
      <c r="BT1300" s="53" t="n">
        <v>1300</v>
      </c>
      <c r="BU1300" s="48" t="str">
        <f aca="false">IF(U1300&lt;&gt;"",UPPER(TRIM(U1300)),IF(BX1300=1,UPPER(VLOOKUP(T1300,Parameter!$I$27:$K$29,2,0)),IF(P1300="","LOSE",P1300)))</f>
        <v>S81</v>
      </c>
      <c r="BV1300" s="50" t="n">
        <f aca="false">IF(BU1300="LOSE",1,IF(N(V1300)&gt;0,V1300,IF(BX1300=1,MAX(1,N(VLOOKUP(T1300,Parameter!$I$27:$K$29,3,0)),H1300,N(N1300)),IF(N(Q1300)&gt;0,Q1300,MAX(1,H1300)))))</f>
        <v>2</v>
      </c>
      <c r="BW1300" s="53" t="n">
        <f aca="false">IF(BU1300="LOSE",1,0)</f>
        <v>0</v>
      </c>
      <c r="BX1300" s="53" t="n">
        <f aca="false">IF(AND(U1300="",OR(P1300="",P1300="LOSE"),T1300&lt;&gt;"",N(S1300)&lt;=0,ISNUMBER(MATCH(T1300,Parameter!$I$27:$I$29,0))),1,0)</f>
        <v>1</v>
      </c>
      <c r="BY1300" s="53" t="n">
        <f aca="false">IF(CL1300&gt;0,INDEX(Parameter!$H$5:$H$7,W1300)/INDEX(Parameter!$E$5:$E$7,W1300),IF(AND(BW1300=0,N(IFERROR(VLOOKUP(BU1300,'Gebinde-Kategorie'!$A$5:$N$45,14,0),0))&gt;0),VLOOKUP(BU1300,'Gebinde-Kategorie'!$A$5:$N$45,14,0)*10+Parameter!$M$23,Parameter!$M$24))</f>
        <v>235</v>
      </c>
      <c r="BZ1300" s="48" t="str">
        <f aca="false">IF(AND(Parameter!$B$19="Ja",E1300&lt;&gt;"",ISNUMBER(MATCH(E1300,Parameter!$I$35:$I$52,0))),VLOOKUP(E1300,Parameter!$I$35:$J$52,2,0),IFERROR(VLOOKUP(D1300,Parameter!$A$35:$C$64,2,0),"Nein"))</f>
        <v>Nein</v>
      </c>
      <c r="CA1300" s="52" t="n">
        <f aca="false">IF(BW1300=0,0,IF(N(S1300)&gt;0,S1300,IFERROR(VLOOKUP(D1300,Parameter!$A$35:$C$64,3,0)+0,0)))</f>
        <v>0</v>
      </c>
      <c r="CB1300" s="48" t="str">
        <f aca="false">IF(AA1300&lt;&gt;"",AA1300,Z1300)</f>
        <v>-</v>
      </c>
      <c r="CC1300" s="48" t="str">
        <f aca="false">IF(OR(CB1300=1,CB1300=2,CB1300=3),IF(Parameter!$E$27="Ja","LIFT",IF(CB1300=1,"L1","L23")),IF(CB1300="Aussen","Aussen","-"))</f>
        <v>-</v>
      </c>
      <c r="CD1300" s="59" t="n">
        <f aca="false">IF(N(AB1300)&gt;0,AB1300,0)</f>
        <v>0</v>
      </c>
      <c r="CE1300" s="53" t="n">
        <f aca="false">IF(ISNUMBER(AE1300),1,0)</f>
        <v>0</v>
      </c>
      <c r="CF1300" s="50" t="n">
        <f aca="false">N(AE1300)</f>
        <v>0</v>
      </c>
      <c r="CG1300" s="50" t="n">
        <f aca="false">N(M1300)+N(N1300)</f>
        <v>2</v>
      </c>
      <c r="CH1300" s="50" t="n">
        <f aca="false">ROUNDUP(H1300/BV1300,0)</f>
        <v>0</v>
      </c>
      <c r="CI1300" s="50" t="n">
        <f aca="false">ROUNDUP(CF1300/BV1300,0)</f>
        <v>0</v>
      </c>
      <c r="CJ1300" s="53" t="n">
        <f aca="false">IF(BW1300=1,0,IFERROR(VLOOKUP(BU1300,'Gebinde-Kategorie'!$A$5:$N$45,5,0)+0,0))</f>
        <v>20</v>
      </c>
      <c r="CK1300" s="53" t="n">
        <f aca="false">IFERROR(IF(OR(CB1300=1,CB1300=2,CB1300=3),N(INDEX(Parameter!$I$5:$I$7,CB1300)),0),0)</f>
        <v>0</v>
      </c>
      <c r="CL1300" s="52" t="n">
        <f aca="false">IF(AND(Parameter!$B$21="Ja",ISNUMBER(W1300),N(X1300)&gt;0),IFERROR(N(INDEX(Parameter!$L$5:$L$7,W1300))*INDEX(Parameter!$E$5:$E$7,W1300)*X1300/SUMIFS($X$7:$X$1843,$W$7:$W$1843,W1300),0),0)</f>
        <v>0</v>
      </c>
    </row>
    <row r="1301" customFormat="false" ht="15" hidden="false" customHeight="false" outlineLevel="0" collapsed="false">
      <c r="A1301" s="48" t="s">
        <v>2317</v>
      </c>
      <c r="B1301" s="48" t="s">
        <v>539</v>
      </c>
      <c r="C1301" s="48" t="s">
        <v>168</v>
      </c>
      <c r="D1301" s="48" t="s">
        <v>188</v>
      </c>
      <c r="E1301" s="48"/>
      <c r="F1301" s="48" t="s">
        <v>222</v>
      </c>
      <c r="G1301" s="49" t="n">
        <v>28.42</v>
      </c>
      <c r="H1301" s="50" t="n">
        <f aca="false">MAX(0,IF(AND(Parameter!$B$21="Ja",ISNUMBER(Y1301)),Y1301,IF(Parameter!$B$20="Jahresanfang 2025 + Export",BO1301+BN1301,BN1301)))</f>
        <v>18</v>
      </c>
      <c r="I1301" s="50" t="n">
        <f aca="false">H1301*G1301</f>
        <v>511.56</v>
      </c>
      <c r="J1301" s="50" t="n">
        <f aca="false">BQ1301*Parameter!$B$18</f>
        <v>11</v>
      </c>
      <c r="K1301" s="51" t="n">
        <v>41</v>
      </c>
      <c r="L1301" s="52" t="n">
        <v>0.268292682926829</v>
      </c>
      <c r="M1301" s="50" t="n">
        <v>1</v>
      </c>
      <c r="N1301" s="50" t="n">
        <v>15</v>
      </c>
      <c r="O1301" s="53" t="n">
        <v>28</v>
      </c>
      <c r="P1301" s="48" t="s">
        <v>306</v>
      </c>
      <c r="Q1301" s="50" t="n">
        <v>50</v>
      </c>
      <c r="R1301" s="53" t="n">
        <f aca="false">IF(BW1301=1,0,IFERROR(VLOOKUP(BU1301,'Gebinde-Kategorie'!$A$5:$N$45,13,0)+0,0))</f>
        <v>26</v>
      </c>
      <c r="S1301" s="54"/>
      <c r="T1301" s="55"/>
      <c r="U1301" s="55"/>
      <c r="V1301" s="55"/>
      <c r="W1301" s="48"/>
      <c r="X1301" s="50"/>
      <c r="Y1301" s="50"/>
      <c r="Z1301" s="48" t="n">
        <f aca="false">IF(A1301="","",IF(AND(Parameter!$B$21="Ja",ISNUMBER(W1301)),W1301,IF(BZ1301="2+3",IF(ISNUMBER(SEARCH("grosser Artikel",BR1301)),2,IFERROR(VLOOKUP(BU1301,Parameter!$F$35:$G$64,2,0),2)),IF(OR(BZ1301="Nein",BZ1301=""),"-",BZ1301))))</f>
        <v>3</v>
      </c>
      <c r="AA1301" s="55"/>
      <c r="AB1301" s="56"/>
      <c r="AC1301" s="50" t="n">
        <f aca="false">AT1301</f>
        <v>50</v>
      </c>
      <c r="AD1301" s="50" t="n">
        <f aca="false">MAX(AT1301,H1301)</f>
        <v>50</v>
      </c>
      <c r="AE1301" s="57"/>
      <c r="AF1301" s="50" t="n">
        <f aca="false">IF(LEFT(Cockpit!$C$5,1)="A",H1301,IF(CE1301=1,CF1301,IF(LEFT(Cockpit!$C$5,1)="B",AK1301,MAX(AK1301,H1301))))</f>
        <v>18</v>
      </c>
      <c r="AG1301" s="50" t="n">
        <f aca="false">IF(BW1301=1,0,ROUNDUP(AF1301/BV1301,0))</f>
        <v>1</v>
      </c>
      <c r="AH1301" s="52" t="n">
        <f aca="false">IF(CL1301&gt;0,CL1301*MAX(1,AF1301/X1301),IF(BW1301=1,IF(AF1301&lt;=0,0,CA1301*MAX(1,IF(H1301&gt;0,AF1301/H1301,1))),IF(R1301&gt;0,AG1301/R1301,0))/MAX(0.1,N(Parameter!$M$21)))</f>
        <v>0.0384615384615385</v>
      </c>
      <c r="AI1301" s="50" t="n">
        <f aca="false">AH1301*BY1301</f>
        <v>5.96153846153846</v>
      </c>
      <c r="AJ1301" s="50" t="n">
        <f aca="false">AF1301*G1301</f>
        <v>511.56</v>
      </c>
      <c r="AK1301" s="50" t="n">
        <f aca="false">ROUNDUP(MAX(J1301/IF(CD1301&gt;0,CD1301,MAX(0.1,N(Cockpit!$C$6))),CG1301)/BV1301,0)*BV1301</f>
        <v>50</v>
      </c>
      <c r="AL1301" s="51" t="n">
        <f aca="false">IF(AI1301&gt;0,J1301/AI1301,-1)</f>
        <v>1.84516129032258</v>
      </c>
      <c r="AM1301" s="51" t="n">
        <f aca="false">IF(AND(OR(CC1301="L1",CC1301="L23",CC1301="LIFT"),AI1301&gt;0),SUMIFS($AI$7:$AI$1843,$CC$7:$CC$1843,CC1301,$AL$7:$AL$1843,"&gt;"&amp;AL1301)+SUMIFS($AI$7:$AI$1843,$CC$7:$CC$1843,CC1301,$AL$7:$AL$1843,AL1301,$BT$7:$BT$1843,"&lt;="&amp;BT1301),"")</f>
        <v>5959.80815018315</v>
      </c>
      <c r="AN1301" s="58" t="n">
        <f aca="false">IF(AM1301="",0,MAX(0,MIN(1,(IF(CC1301="L1",Parameter!$H$5,IF(CC1301="L23",Parameter!$H$6+Parameter!$H$7,Parameter!$H$5+Parameter!$H$6+Parameter!$H$7))-(AM1301-AI1301))/AI1301)))</f>
        <v>1</v>
      </c>
      <c r="AO1301" s="50" t="n">
        <f aca="false">IF(LEFT(Cockpit!$I$5,1)="A",H1301,IF(CE1301=1,CF1301,IF(LEFT(Cockpit!$I$5,1)="B",AT1301,MAX(AT1301,H1301))))</f>
        <v>50</v>
      </c>
      <c r="AP1301" s="50" t="n">
        <f aca="false">IF(BW1301=1,0,ROUNDUP(AO1301/BV1301,0))</f>
        <v>1</v>
      </c>
      <c r="AQ1301" s="52" t="n">
        <f aca="false">IF(CL1301&gt;0,CL1301*MAX(1,AO1301/X1301),IF(BW1301=1,IF(AO1301&lt;=0,0,CA1301*MAX(1,IF(H1301&gt;0,AO1301/H1301,1))),IF(R1301&gt;0,AP1301/R1301,0))/MAX(0.1,N(Parameter!$M$21)))</f>
        <v>0.0384615384615385</v>
      </c>
      <c r="AR1301" s="50" t="n">
        <f aca="false">AQ1301*BY1301</f>
        <v>5.96153846153846</v>
      </c>
      <c r="AS1301" s="50" t="n">
        <f aca="false">AO1301*G1301</f>
        <v>1421</v>
      </c>
      <c r="AT1301" s="50" t="n">
        <f aca="false">ROUNDUP(MAX(J1301/IF(CD1301&gt;0,CD1301,MAX(0.1,N(Cockpit!$I$6))),CG1301)/BV1301,0)*BV1301</f>
        <v>50</v>
      </c>
      <c r="AU1301" s="51" t="n">
        <f aca="false">IF(AR1301&gt;0,J1301/AR1301,-1)</f>
        <v>1.84516129032258</v>
      </c>
      <c r="AV1301" s="51" t="n">
        <f aca="false">IF(AND(OR(CC1301="L1",CC1301="L23",CC1301="LIFT"),AR1301&gt;0),SUMIFS($AR$7:$AR$1843,$CC$7:$CC$1843,CC1301,$AU$7:$AU$1843,"&gt;"&amp;AU1301)+SUMIFS($AR$7:$AR$1843,$CC$7:$CC$1843,CC1301,$AU$7:$AU$1843,AU1301,$BT$7:$BT$1843,"&lt;="&amp;BT1301),"")</f>
        <v>8070.17353479854</v>
      </c>
      <c r="AW1301" s="58" t="n">
        <f aca="false">IF(AV1301="",0,MAX(0,MIN(1,(IF(CC1301="L1",Parameter!$H$5,IF(CC1301="L23",Parameter!$H$6+Parameter!$H$7,Parameter!$H$5+Parameter!$H$6+Parameter!$H$7))-(AV1301-AR1301))/AR1301)))</f>
        <v>1</v>
      </c>
      <c r="AX1301" s="50" t="n">
        <f aca="false">IF(LEFT(Cockpit!$O$5,1)="A",H1301,IF(CE1301=1,CF1301,IF(LEFT(Cockpit!$O$5,1)="B",BC1301,MAX(BC1301,H1301))))</f>
        <v>50</v>
      </c>
      <c r="AY1301" s="50" t="n">
        <f aca="false">IF(BW1301=1,0,ROUNDUP(AX1301/BV1301,0))</f>
        <v>1</v>
      </c>
      <c r="AZ1301" s="52" t="n">
        <f aca="false">IF(CL1301&gt;0,CL1301*MAX(1,AX1301/X1301),IF(BW1301=1,IF(AX1301&lt;=0,0,CA1301*MAX(1,IF(H1301&gt;0,AX1301/H1301,1))),IF(R1301&gt;0,AY1301/R1301,0))/MAX(0.1,N(Parameter!$M$21)))</f>
        <v>0.0384615384615385</v>
      </c>
      <c r="BA1301" s="50" t="n">
        <f aca="false">AZ1301*BY1301</f>
        <v>5.96153846153846</v>
      </c>
      <c r="BB1301" s="50" t="n">
        <f aca="false">AX1301*G1301</f>
        <v>1421</v>
      </c>
      <c r="BC1301" s="50" t="n">
        <f aca="false">ROUNDUP(MAX(J1301/IF(CD1301&gt;0,CD1301,MAX(0.1,N(Cockpit!$O$6))),CG1301)/BV1301,0)*BV1301</f>
        <v>50</v>
      </c>
      <c r="BD1301" s="51" t="n">
        <f aca="false">IF(BA1301&gt;0,J1301/BA1301,-1)</f>
        <v>1.84516129032258</v>
      </c>
      <c r="BE1301" s="51" t="n">
        <f aca="false">IF(AND(OR(CC1301="L1",CC1301="L23",CC1301="LIFT"),BA1301&gt;0),SUMIFS($BA$7:$BA$1843,$CC$7:$CC$1843,CC1301,$BD$7:$BD$1843,"&gt;"&amp;BD1301)+SUMIFS($BA$7:$BA$1843,$CC$7:$CC$1843,CC1301,$BD$7:$BD$1843,BD1301,$BT$7:$BT$1843,"&lt;="&amp;BT1301),"")</f>
        <v>7890.83058608059</v>
      </c>
      <c r="BF1301" s="58" t="n">
        <f aca="false">IF(BE1301="",0,MAX(0,MIN(1,(IF(CC1301="L1",Parameter!$H$5,IF(CC1301="L23",Parameter!$H$6+Parameter!$H$7,Parameter!$H$5+Parameter!$H$6+Parameter!$H$7))-(BE1301-BA1301))/BA1301)))</f>
        <v>1</v>
      </c>
      <c r="BG1301" s="48" t="str">
        <f aca="false">IF(AI1301&lt;=0,"",IF(CC1301="Aussen","Aussenlager",IF(CC1301="-","Nicht im Lift",IF(AN1301&gt;=1,"Lift",IF(AN1301&lt;=0,"Aussenlager","teilweise")))))</f>
        <v>Lift</v>
      </c>
      <c r="BH1301" s="48" t="str">
        <f aca="false">IF(AR1301&lt;=0,"",IF(CC1301="Aussen","Aussenlager",IF(CC1301="-","Nicht im Lift",IF(AW1301&gt;=1,"Lift",IF(AW1301&lt;=0,"Aussenlager","teilweise")))))</f>
        <v>Lift</v>
      </c>
      <c r="BI1301" s="48" t="str">
        <f aca="false">IF(BA1301&lt;=0,"",IF(CC1301="Aussen","Aussenlager",IF(CC1301="-","Nicht im Lift",IF(BF1301&gt;=1,"Lift",IF(BF1301&lt;=0,"Aussenlager","teilweise")))))</f>
        <v>Lift</v>
      </c>
      <c r="BJ1301" s="48" t="str">
        <f aca="false">IF(A1301="","",IF(BS1301=1,"Neu; ","")&amp;IF(AND(BS1301=0,BN1301&lt;0),"negativer Bestand (Export "&amp;BN1301&amp;"); ","")&amp;IF(J1301&lt;=0,"Kein Verbrauch; ","")&amp;IF(CL1301&gt;0,"Lift "&amp;W1301&amp;" lt. Liftbericht (Fach "&amp;X1301&amp;" Stk); ",IF(BX1301=1,"Gebinde geschätzt ("&amp;T1301&amp;"); ",IF(BW1301=1,"Lose – Tablare geschätzt; ","")))&amp;IF(H1301&gt;AT1301,"Überbestand "&amp;ROUND(H1301-AT1301,0)&amp;" Stk / CHF "&amp;ROUND((H1301-AT1301)*G1301,0)&amp;"; ","")&amp;IF(AND(CE1301=1,CF1301&lt;CG1301),"MAX &lt; MB+LG; ","")&amp;IF(AND(CK1301&gt;0,CJ1301*10&gt;CK1301),"zu hoch für Tablar; ","")&amp;IF(AND(BS1301=0,OR(CE1301=1,AA1301&lt;&gt;"",U1301&lt;&gt;"",V1301&lt;&gt;"",AB1301&lt;&gt;"")),"manuell übersteuert; ","")&amp;IF(AND(BW1301=0,R1301=0),"Gebinde unbekannt / Stellmass fehlt; ","")&amp;IF(AND(BW1301=0,N(V1301)&lt;=0,N(Q1301)&lt;=0),"Menge pro Gebinde fehlt (Ist = 1 Gebinde); ","")&amp;BR1301)</f>
        <v>negativer Bestand (Export -29); </v>
      </c>
      <c r="BK1301" s="48"/>
      <c r="BL1301" s="48"/>
      <c r="BM1301" s="55"/>
      <c r="BN1301" s="50" t="n">
        <v>-29</v>
      </c>
      <c r="BO1301" s="50" t="n">
        <v>47</v>
      </c>
      <c r="BP1301" s="49" t="n">
        <v>-1194.54</v>
      </c>
      <c r="BQ1301" s="50" t="n">
        <v>11</v>
      </c>
      <c r="BR1301" s="48"/>
      <c r="BS1301" s="53" t="n">
        <v>0</v>
      </c>
      <c r="BT1301" s="53" t="n">
        <v>1301</v>
      </c>
      <c r="BU1301" s="48" t="str">
        <f aca="false">IF(U1301&lt;&gt;"",UPPER(TRIM(U1301)),IF(BX1301=1,UPPER(VLOOKUP(T1301,Parameter!$I$27:$K$29,2,0)),IF(P1301="","LOSE",P1301)))</f>
        <v>S51</v>
      </c>
      <c r="BV1301" s="50" t="n">
        <f aca="false">IF(BU1301="LOSE",1,IF(N(V1301)&gt;0,V1301,IF(BX1301=1,MAX(1,N(VLOOKUP(T1301,Parameter!$I$27:$K$29,3,0)),H1301,N(N1301)),IF(N(Q1301)&gt;0,Q1301,MAX(1,H1301)))))</f>
        <v>50</v>
      </c>
      <c r="BW1301" s="53" t="n">
        <f aca="false">IF(BU1301="LOSE",1,0)</f>
        <v>0</v>
      </c>
      <c r="BX1301" s="53" t="n">
        <f aca="false">IF(AND(U1301="",OR(P1301="",P1301="LOSE"),T1301&lt;&gt;"",N(S1301)&lt;=0,ISNUMBER(MATCH(T1301,Parameter!$I$27:$I$29,0))),1,0)</f>
        <v>0</v>
      </c>
      <c r="BY1301" s="53" t="n">
        <f aca="false">IF(CL1301&gt;0,INDEX(Parameter!$H$5:$H$7,W1301)/INDEX(Parameter!$E$5:$E$7,W1301),IF(AND(BW1301=0,N(IFERROR(VLOOKUP(BU1301,'Gebinde-Kategorie'!$A$5:$N$45,14,0),0))&gt;0),VLOOKUP(BU1301,'Gebinde-Kategorie'!$A$5:$N$45,14,0)*10+Parameter!$M$23,Parameter!$M$24))</f>
        <v>155</v>
      </c>
      <c r="BZ1301" s="48" t="str">
        <f aca="false">IF(AND(Parameter!$B$19="Ja",E1301&lt;&gt;"",ISNUMBER(MATCH(E1301,Parameter!$I$35:$I$52,0))),VLOOKUP(E1301,Parameter!$I$35:$J$52,2,0),IFERROR(VLOOKUP(D1301,Parameter!$A$35:$C$64,2,0),"Nein"))</f>
        <v>2+3</v>
      </c>
      <c r="CA1301" s="52" t="n">
        <f aca="false">IF(BW1301=0,0,IF(N(S1301)&gt;0,S1301,IFERROR(VLOOKUP(D1301,Parameter!$A$35:$C$64,3,0)+0,0)))</f>
        <v>0</v>
      </c>
      <c r="CB1301" s="48" t="n">
        <f aca="false">IF(AA1301&lt;&gt;"",AA1301,Z1301)</f>
        <v>3</v>
      </c>
      <c r="CC1301" s="48" t="str">
        <f aca="false">IF(OR(CB1301=1,CB1301=2,CB1301=3),IF(Parameter!$E$27="Ja","LIFT",IF(CB1301=1,"L1","L23")),IF(CB1301="Aussen","Aussen","-"))</f>
        <v>LIFT</v>
      </c>
      <c r="CD1301" s="59" t="n">
        <f aca="false">IF(N(AB1301)&gt;0,AB1301,0)</f>
        <v>0</v>
      </c>
      <c r="CE1301" s="53" t="n">
        <f aca="false">IF(ISNUMBER(AE1301),1,0)</f>
        <v>0</v>
      </c>
      <c r="CF1301" s="50" t="n">
        <f aca="false">N(AE1301)</f>
        <v>0</v>
      </c>
      <c r="CG1301" s="50" t="n">
        <f aca="false">N(M1301)+N(N1301)</f>
        <v>16</v>
      </c>
      <c r="CH1301" s="50" t="n">
        <f aca="false">ROUNDUP(H1301/BV1301,0)</f>
        <v>1</v>
      </c>
      <c r="CI1301" s="50" t="n">
        <f aca="false">ROUNDUP(CF1301/BV1301,0)</f>
        <v>0</v>
      </c>
      <c r="CJ1301" s="53" t="n">
        <f aca="false">IF(BW1301=1,0,IFERROR(VLOOKUP(BU1301,'Gebinde-Kategorie'!$A$5:$N$45,5,0)+0,0))</f>
        <v>11</v>
      </c>
      <c r="CK1301" s="53" t="n">
        <f aca="false">IFERROR(IF(OR(CB1301=1,CB1301=2,CB1301=3),N(INDEX(Parameter!$I$5:$I$7,CB1301)),0),0)</f>
        <v>0</v>
      </c>
      <c r="CL1301" s="52" t="n">
        <f aca="false">IF(AND(Parameter!$B$21="Ja",ISNUMBER(W1301),N(X1301)&gt;0),IFERROR(N(INDEX(Parameter!$L$5:$L$7,W1301))*INDEX(Parameter!$E$5:$E$7,W1301)*X1301/SUMIFS($X$7:$X$1843,$W$7:$W$1843,W1301),0),0)</f>
        <v>0</v>
      </c>
    </row>
    <row r="1302" customFormat="false" ht="15" hidden="false" customHeight="false" outlineLevel="0" collapsed="false">
      <c r="A1302" s="48" t="s">
        <v>2318</v>
      </c>
      <c r="B1302" s="48" t="s">
        <v>409</v>
      </c>
      <c r="C1302" s="48" t="s">
        <v>168</v>
      </c>
      <c r="D1302" s="48" t="s">
        <v>177</v>
      </c>
      <c r="E1302" s="48" t="s">
        <v>189</v>
      </c>
      <c r="F1302" s="48" t="s">
        <v>222</v>
      </c>
      <c r="G1302" s="49" t="n">
        <v>0.19</v>
      </c>
      <c r="H1302" s="50" t="n">
        <f aca="false">MAX(0,IF(AND(Parameter!$B$21="Ja",ISNUMBER(Y1302)),Y1302,IF(Parameter!$B$20="Jahresanfang 2025 + Export",BO1302+BN1302,BN1302)))</f>
        <v>1061</v>
      </c>
      <c r="I1302" s="50" t="n">
        <f aca="false">H1302*G1302</f>
        <v>201.59</v>
      </c>
      <c r="J1302" s="50" t="n">
        <f aca="false">BQ1302*Parameter!$B$18</f>
        <v>3712</v>
      </c>
      <c r="K1302" s="51" t="n">
        <v>5621.5</v>
      </c>
      <c r="L1302" s="52" t="n">
        <v>0.660321978119719</v>
      </c>
      <c r="M1302" s="50" t="n">
        <v>216</v>
      </c>
      <c r="N1302" s="50" t="n">
        <v>2000</v>
      </c>
      <c r="O1302" s="53" t="n">
        <v>21</v>
      </c>
      <c r="P1302" s="48" t="s">
        <v>230</v>
      </c>
      <c r="Q1302" s="50" t="n">
        <v>2200</v>
      </c>
      <c r="R1302" s="53" t="n">
        <f aca="false">IF(BW1302=1,0,IFERROR(VLOOKUP(BU1302,'Gebinde-Kategorie'!$A$5:$N$45,13,0)+0,0))</f>
        <v>12</v>
      </c>
      <c r="S1302" s="54"/>
      <c r="T1302" s="55"/>
      <c r="U1302" s="55"/>
      <c r="V1302" s="55"/>
      <c r="W1302" s="48"/>
      <c r="X1302" s="50"/>
      <c r="Y1302" s="50"/>
      <c r="Z1302" s="48" t="n">
        <f aca="false">IF(A1302="","",IF(AND(Parameter!$B$21="Ja",ISNUMBER(W1302)),W1302,IF(BZ1302="2+3",IF(ISNUMBER(SEARCH("grosser Artikel",BR1302)),2,IFERROR(VLOOKUP(BU1302,Parameter!$F$35:$G$64,2,0),2)),IF(OR(BZ1302="Nein",BZ1302=""),"-",BZ1302))))</f>
        <v>2</v>
      </c>
      <c r="AA1302" s="55"/>
      <c r="AB1302" s="56"/>
      <c r="AC1302" s="50" t="n">
        <f aca="false">AT1302</f>
        <v>4400</v>
      </c>
      <c r="AD1302" s="50" t="n">
        <f aca="false">MAX(AT1302,H1302)</f>
        <v>4400</v>
      </c>
      <c r="AE1302" s="57"/>
      <c r="AF1302" s="50" t="n">
        <f aca="false">IF(LEFT(Cockpit!$C$5,1)="A",H1302,IF(CE1302=1,CF1302,IF(LEFT(Cockpit!$C$5,1)="B",AK1302,MAX(AK1302,H1302))))</f>
        <v>1061</v>
      </c>
      <c r="AG1302" s="50" t="n">
        <f aca="false">IF(BW1302=1,0,ROUNDUP(AF1302/BV1302,0))</f>
        <v>1</v>
      </c>
      <c r="AH1302" s="52" t="n">
        <f aca="false">IF(CL1302&gt;0,CL1302*MAX(1,AF1302/X1302),IF(BW1302=1,IF(AF1302&lt;=0,0,CA1302*MAX(1,IF(H1302&gt;0,AF1302/H1302,1))),IF(R1302&gt;0,AG1302/R1302,0))/MAX(0.1,N(Parameter!$M$21)))</f>
        <v>0.0833333333333333</v>
      </c>
      <c r="AI1302" s="50" t="n">
        <f aca="false">AH1302*BY1302</f>
        <v>28.75</v>
      </c>
      <c r="AJ1302" s="50" t="n">
        <f aca="false">AF1302*G1302</f>
        <v>201.59</v>
      </c>
      <c r="AK1302" s="50" t="n">
        <f aca="false">ROUNDUP(MAX(J1302/IF(CD1302&gt;0,CD1302,MAX(0.1,N(Cockpit!$C$6))),CG1302)/BV1302,0)*BV1302</f>
        <v>4400</v>
      </c>
      <c r="AL1302" s="51" t="n">
        <f aca="false">IF(AI1302&gt;0,J1302/AI1302,-1)</f>
        <v>129.113043478261</v>
      </c>
      <c r="AM1302" s="51" t="n">
        <f aca="false">IF(AND(OR(CC1302="L1",CC1302="L23",CC1302="LIFT"),AI1302&gt;0),SUMIFS($AI$7:$AI$1843,$CC$7:$CC$1843,CC1302,$AL$7:$AL$1843,"&gt;"&amp;AL1302)+SUMIFS($AI$7:$AI$1843,$CC$7:$CC$1843,CC1302,$AL$7:$AL$1843,AL1302,$BT$7:$BT$1843,"&lt;="&amp;BT1302),"")</f>
        <v>638.029304029304</v>
      </c>
      <c r="AN1302" s="58" t="n">
        <f aca="false">IF(AM1302="",0,MAX(0,MIN(1,(IF(CC1302="L1",Parameter!$H$5,IF(CC1302="L23",Parameter!$H$6+Parameter!$H$7,Parameter!$H$5+Parameter!$H$6+Parameter!$H$7))-(AM1302-AI1302))/AI1302)))</f>
        <v>1</v>
      </c>
      <c r="AO1302" s="50" t="n">
        <f aca="false">IF(LEFT(Cockpit!$I$5,1)="A",H1302,IF(CE1302=1,CF1302,IF(LEFT(Cockpit!$I$5,1)="B",AT1302,MAX(AT1302,H1302))))</f>
        <v>4400</v>
      </c>
      <c r="AP1302" s="50" t="n">
        <f aca="false">IF(BW1302=1,0,ROUNDUP(AO1302/BV1302,0))</f>
        <v>2</v>
      </c>
      <c r="AQ1302" s="52" t="n">
        <f aca="false">IF(CL1302&gt;0,CL1302*MAX(1,AO1302/X1302),IF(BW1302=1,IF(AO1302&lt;=0,0,CA1302*MAX(1,IF(H1302&gt;0,AO1302/H1302,1))),IF(R1302&gt;0,AP1302/R1302,0))/MAX(0.1,N(Parameter!$M$21)))</f>
        <v>0.166666666666667</v>
      </c>
      <c r="AR1302" s="50" t="n">
        <f aca="false">AQ1302*BY1302</f>
        <v>57.5</v>
      </c>
      <c r="AS1302" s="50" t="n">
        <f aca="false">AO1302*G1302</f>
        <v>836</v>
      </c>
      <c r="AT1302" s="50" t="n">
        <f aca="false">ROUNDUP(MAX(J1302/IF(CD1302&gt;0,CD1302,MAX(0.1,N(Cockpit!$I$6))),CG1302)/BV1302,0)*BV1302</f>
        <v>4400</v>
      </c>
      <c r="AU1302" s="51" t="n">
        <f aca="false">IF(AR1302&gt;0,J1302/AR1302,-1)</f>
        <v>64.5565217391304</v>
      </c>
      <c r="AV1302" s="51" t="n">
        <f aca="false">IF(AND(OR(CC1302="L1",CC1302="L23",CC1302="LIFT"),AR1302&gt;0),SUMIFS($AR$7:$AR$1843,$CC$7:$CC$1843,CC1302,$AU$7:$AU$1843,"&gt;"&amp;AU1302)+SUMIFS($AR$7:$AR$1843,$CC$7:$CC$1843,CC1302,$AU$7:$AU$1843,AU1302,$BT$7:$BT$1843,"&lt;="&amp;BT1302),"")</f>
        <v>1373.86446886447</v>
      </c>
      <c r="AW1302" s="58" t="n">
        <f aca="false">IF(AV1302="",0,MAX(0,MIN(1,(IF(CC1302="L1",Parameter!$H$5,IF(CC1302="L23",Parameter!$H$6+Parameter!$H$7,Parameter!$H$5+Parameter!$H$6+Parameter!$H$7))-(AV1302-AR1302))/AR1302)))</f>
        <v>1</v>
      </c>
      <c r="AX1302" s="50" t="n">
        <f aca="false">IF(LEFT(Cockpit!$O$5,1)="A",H1302,IF(CE1302=1,CF1302,IF(LEFT(Cockpit!$O$5,1)="B",BC1302,MAX(BC1302,H1302))))</f>
        <v>4400</v>
      </c>
      <c r="AY1302" s="50" t="n">
        <f aca="false">IF(BW1302=1,0,ROUNDUP(AX1302/BV1302,0))</f>
        <v>2</v>
      </c>
      <c r="AZ1302" s="52" t="n">
        <f aca="false">IF(CL1302&gt;0,CL1302*MAX(1,AX1302/X1302),IF(BW1302=1,IF(AX1302&lt;=0,0,CA1302*MAX(1,IF(H1302&gt;0,AX1302/H1302,1))),IF(R1302&gt;0,AY1302/R1302,0))/MAX(0.1,N(Parameter!$M$21)))</f>
        <v>0.166666666666667</v>
      </c>
      <c r="BA1302" s="50" t="n">
        <f aca="false">AZ1302*BY1302</f>
        <v>57.5</v>
      </c>
      <c r="BB1302" s="50" t="n">
        <f aca="false">AX1302*G1302</f>
        <v>836</v>
      </c>
      <c r="BC1302" s="50" t="n">
        <f aca="false">ROUNDUP(MAX(J1302/IF(CD1302&gt;0,CD1302,MAX(0.1,N(Cockpit!$O$6))),CG1302)/BV1302,0)*BV1302</f>
        <v>4400</v>
      </c>
      <c r="BD1302" s="51" t="n">
        <f aca="false">IF(BA1302&gt;0,J1302/BA1302,-1)</f>
        <v>64.5565217391304</v>
      </c>
      <c r="BE1302" s="51" t="n">
        <f aca="false">IF(AND(OR(CC1302="L1",CC1302="L23",CC1302="LIFT"),BA1302&gt;0),SUMIFS($BA$7:$BA$1843,$CC$7:$CC$1843,CC1302,$BD$7:$BD$1843,"&gt;"&amp;BD1302)+SUMIFS($BA$7:$BA$1843,$CC$7:$CC$1843,CC1302,$BD$7:$BD$1843,BD1302,$BT$7:$BT$1843,"&lt;="&amp;BT1302),"")</f>
        <v>1213.01510989011</v>
      </c>
      <c r="BF1302" s="58" t="n">
        <f aca="false">IF(BE1302="",0,MAX(0,MIN(1,(IF(CC1302="L1",Parameter!$H$5,IF(CC1302="L23",Parameter!$H$6+Parameter!$H$7,Parameter!$H$5+Parameter!$H$6+Parameter!$H$7))-(BE1302-BA1302))/BA1302)))</f>
        <v>1</v>
      </c>
      <c r="BG1302" s="48" t="str">
        <f aca="false">IF(AI1302&lt;=0,"",IF(CC1302="Aussen","Aussenlager",IF(CC1302="-","Nicht im Lift",IF(AN1302&gt;=1,"Lift",IF(AN1302&lt;=0,"Aussenlager","teilweise")))))</f>
        <v>Lift</v>
      </c>
      <c r="BH1302" s="48" t="str">
        <f aca="false">IF(AR1302&lt;=0,"",IF(CC1302="Aussen","Aussenlager",IF(CC1302="-","Nicht im Lift",IF(AW1302&gt;=1,"Lift",IF(AW1302&lt;=0,"Aussenlager","teilweise")))))</f>
        <v>Lift</v>
      </c>
      <c r="BI1302" s="48" t="str">
        <f aca="false">IF(BA1302&lt;=0,"",IF(CC1302="Aussen","Aussenlager",IF(CC1302="-","Nicht im Lift",IF(BF1302&gt;=1,"Lift",IF(BF1302&lt;=0,"Aussenlager","teilweise")))))</f>
        <v>Lift</v>
      </c>
      <c r="BJ1302" s="48" t="str">
        <f aca="false">IF(A1302="","",IF(BS1302=1,"Neu; ","")&amp;IF(AND(BS1302=0,BN1302&lt;0),"negativer Bestand (Export "&amp;BN1302&amp;"); ","")&amp;IF(J1302&lt;=0,"Kein Verbrauch; ","")&amp;IF(CL1302&gt;0,"Lift "&amp;W1302&amp;" lt. Liftbericht (Fach "&amp;X1302&amp;" Stk); ",IF(BX1302=1,"Gebinde geschätzt ("&amp;T1302&amp;"); ",IF(BW1302=1,"Lose – Tablare geschätzt; ","")))&amp;IF(H1302&gt;AT1302,"Überbestand "&amp;ROUND(H1302-AT1302,0)&amp;" Stk / CHF "&amp;ROUND((H1302-AT1302)*G1302,0)&amp;"; ","")&amp;IF(AND(CE1302=1,CF1302&lt;CG1302),"MAX &lt; MB+LG; ","")&amp;IF(AND(CK1302&gt;0,CJ1302*10&gt;CK1302),"zu hoch für Tablar; ","")&amp;IF(AND(BS1302=0,OR(CE1302=1,AA1302&lt;&gt;"",U1302&lt;&gt;"",V1302&lt;&gt;"",AB1302&lt;&gt;"")),"manuell übersteuert; ","")&amp;IF(AND(BW1302=0,R1302=0),"Gebinde unbekannt / Stellmass fehlt; ","")&amp;IF(AND(BW1302=0,N(V1302)&lt;=0,N(Q1302)&lt;=0),"Menge pro Gebinde fehlt (Ist = 1 Gebinde); ","")&amp;BR1302)</f>
        <v>negativer Bestand (Export -6299); grosse  Artikelmenge</v>
      </c>
      <c r="BK1302" s="48"/>
      <c r="BL1302" s="48"/>
      <c r="BM1302" s="55"/>
      <c r="BN1302" s="50" t="n">
        <v>-6299</v>
      </c>
      <c r="BO1302" s="50" t="n">
        <v>7360</v>
      </c>
      <c r="BP1302" s="49" t="n">
        <v>-1196.81</v>
      </c>
      <c r="BQ1302" s="50" t="n">
        <v>3712</v>
      </c>
      <c r="BR1302" s="48" t="s">
        <v>1611</v>
      </c>
      <c r="BS1302" s="53" t="n">
        <v>0</v>
      </c>
      <c r="BT1302" s="53" t="n">
        <v>1302</v>
      </c>
      <c r="BU1302" s="48" t="str">
        <f aca="false">IF(U1302&lt;&gt;"",UPPER(TRIM(U1302)),IF(BX1302=1,UPPER(VLOOKUP(T1302,Parameter!$I$27:$K$29,2,0)),IF(P1302="","LOSE",P1302)))</f>
        <v>S63</v>
      </c>
      <c r="BV1302" s="50" t="n">
        <f aca="false">IF(BU1302="LOSE",1,IF(N(V1302)&gt;0,V1302,IF(BX1302=1,MAX(1,N(VLOOKUP(T1302,Parameter!$I$27:$K$29,3,0)),H1302,N(N1302)),IF(N(Q1302)&gt;0,Q1302,MAX(1,H1302)))))</f>
        <v>2200</v>
      </c>
      <c r="BW1302" s="53" t="n">
        <f aca="false">IF(BU1302="LOSE",1,0)</f>
        <v>0</v>
      </c>
      <c r="BX1302" s="53" t="n">
        <f aca="false">IF(AND(U1302="",OR(P1302="",P1302="LOSE"),T1302&lt;&gt;"",N(S1302)&lt;=0,ISNUMBER(MATCH(T1302,Parameter!$I$27:$I$29,0))),1,0)</f>
        <v>0</v>
      </c>
      <c r="BY1302" s="53" t="n">
        <f aca="false">IF(CL1302&gt;0,INDEX(Parameter!$H$5:$H$7,W1302)/INDEX(Parameter!$E$5:$E$7,W1302),IF(AND(BW1302=0,N(IFERROR(VLOOKUP(BU1302,'Gebinde-Kategorie'!$A$5:$N$45,14,0),0))&gt;0),VLOOKUP(BU1302,'Gebinde-Kategorie'!$A$5:$N$45,14,0)*10+Parameter!$M$23,Parameter!$M$24))</f>
        <v>345</v>
      </c>
      <c r="BZ1302" s="48" t="str">
        <f aca="false">IF(AND(Parameter!$B$19="Ja",E1302&lt;&gt;"",ISNUMBER(MATCH(E1302,Parameter!$I$35:$I$52,0))),VLOOKUP(E1302,Parameter!$I$35:$J$52,2,0),IFERROR(VLOOKUP(D1302,Parameter!$A$35:$C$64,2,0),"Nein"))</f>
        <v>2+3</v>
      </c>
      <c r="CA1302" s="52" t="n">
        <f aca="false">IF(BW1302=0,0,IF(N(S1302)&gt;0,S1302,IFERROR(VLOOKUP(D1302,Parameter!$A$35:$C$64,3,0)+0,0)))</f>
        <v>0</v>
      </c>
      <c r="CB1302" s="48" t="n">
        <f aca="false">IF(AA1302&lt;&gt;"",AA1302,Z1302)</f>
        <v>2</v>
      </c>
      <c r="CC1302" s="48" t="str">
        <f aca="false">IF(OR(CB1302=1,CB1302=2,CB1302=3),IF(Parameter!$E$27="Ja","LIFT",IF(CB1302=1,"L1","L23")),IF(CB1302="Aussen","Aussen","-"))</f>
        <v>LIFT</v>
      </c>
      <c r="CD1302" s="59" t="n">
        <f aca="false">IF(N(AB1302)&gt;0,AB1302,0)</f>
        <v>0</v>
      </c>
      <c r="CE1302" s="53" t="n">
        <f aca="false">IF(ISNUMBER(AE1302),1,0)</f>
        <v>0</v>
      </c>
      <c r="CF1302" s="50" t="n">
        <f aca="false">N(AE1302)</f>
        <v>0</v>
      </c>
      <c r="CG1302" s="50" t="n">
        <f aca="false">N(M1302)+N(N1302)</f>
        <v>2216</v>
      </c>
      <c r="CH1302" s="50" t="n">
        <f aca="false">ROUNDUP(H1302/BV1302,0)</f>
        <v>1</v>
      </c>
      <c r="CI1302" s="50" t="n">
        <f aca="false">ROUNDUP(CF1302/BV1302,0)</f>
        <v>0</v>
      </c>
      <c r="CJ1302" s="53" t="n">
        <f aca="false">IF(BW1302=1,0,IFERROR(VLOOKUP(BU1302,'Gebinde-Kategorie'!$A$5:$N$45,5,0)+0,0))</f>
        <v>31</v>
      </c>
      <c r="CK1302" s="53" t="n">
        <f aca="false">IFERROR(IF(OR(CB1302=1,CB1302=2,CB1302=3),N(INDEX(Parameter!$I$5:$I$7,CB1302)),0),0)</f>
        <v>0</v>
      </c>
      <c r="CL1302" s="52" t="n">
        <f aca="false">IF(AND(Parameter!$B$21="Ja",ISNUMBER(W1302),N(X1302)&gt;0),IFERROR(N(INDEX(Parameter!$L$5:$L$7,W1302))*INDEX(Parameter!$E$5:$E$7,W1302)*X1302/SUMIFS($X$7:$X$1843,$W$7:$W$1843,W1302),0),0)</f>
        <v>0</v>
      </c>
    </row>
    <row r="1303" customFormat="false" ht="15" hidden="false" customHeight="false" outlineLevel="0" collapsed="false">
      <c r="A1303" s="48" t="s">
        <v>2319</v>
      </c>
      <c r="B1303" s="48" t="s">
        <v>2320</v>
      </c>
      <c r="C1303" s="48" t="s">
        <v>168</v>
      </c>
      <c r="D1303" s="48" t="s">
        <v>188</v>
      </c>
      <c r="E1303" s="48" t="s">
        <v>189</v>
      </c>
      <c r="F1303" s="48" t="s">
        <v>222</v>
      </c>
      <c r="G1303" s="49" t="n">
        <v>983.67</v>
      </c>
      <c r="H1303" s="50" t="n">
        <f aca="false">MAX(0,IF(AND(Parameter!$B$21="Ja",ISNUMBER(Y1303)),Y1303,IF(Parameter!$B$20="Jahresanfang 2025 + Export",BO1303+BN1303,BN1303)))</f>
        <v>13</v>
      </c>
      <c r="I1303" s="50" t="n">
        <f aca="false">H1303*G1303</f>
        <v>12787.71</v>
      </c>
      <c r="J1303" s="50" t="n">
        <f aca="false">BQ1303*Parameter!$B$18</f>
        <v>12</v>
      </c>
      <c r="K1303" s="51" t="n">
        <v>14</v>
      </c>
      <c r="L1303" s="52" t="n">
        <v>0.857142857142857</v>
      </c>
      <c r="M1303" s="50" t="n">
        <v>1</v>
      </c>
      <c r="N1303" s="50" t="n">
        <v>5</v>
      </c>
      <c r="O1303" s="53" t="n">
        <v>28</v>
      </c>
      <c r="P1303" s="48" t="s">
        <v>297</v>
      </c>
      <c r="Q1303" s="50" t="n">
        <v>35</v>
      </c>
      <c r="R1303" s="53" t="n">
        <f aca="false">IF(BW1303=1,0,IFERROR(VLOOKUP(BU1303,'Gebinde-Kategorie'!$A$5:$N$45,13,0)+0,0))</f>
        <v>12</v>
      </c>
      <c r="S1303" s="54"/>
      <c r="T1303" s="55"/>
      <c r="U1303" s="55"/>
      <c r="V1303" s="55"/>
      <c r="W1303" s="48"/>
      <c r="X1303" s="50"/>
      <c r="Y1303" s="50"/>
      <c r="Z1303" s="48" t="n">
        <f aca="false">IF(A1303="","",IF(AND(Parameter!$B$21="Ja",ISNUMBER(W1303)),W1303,IF(BZ1303="2+3",IF(ISNUMBER(SEARCH("grosser Artikel",BR1303)),2,IFERROR(VLOOKUP(BU1303,Parameter!$F$35:$G$64,2,0),2)),IF(OR(BZ1303="Nein",BZ1303=""),"-",BZ1303))))</f>
        <v>2</v>
      </c>
      <c r="AA1303" s="55"/>
      <c r="AB1303" s="56"/>
      <c r="AC1303" s="50" t="n">
        <f aca="false">AT1303</f>
        <v>35</v>
      </c>
      <c r="AD1303" s="50" t="n">
        <f aca="false">MAX(AT1303,H1303)</f>
        <v>35</v>
      </c>
      <c r="AE1303" s="57"/>
      <c r="AF1303" s="50" t="n">
        <f aca="false">IF(LEFT(Cockpit!$C$5,1)="A",H1303,IF(CE1303=1,CF1303,IF(LEFT(Cockpit!$C$5,1)="B",AK1303,MAX(AK1303,H1303))))</f>
        <v>13</v>
      </c>
      <c r="AG1303" s="50" t="n">
        <f aca="false">IF(BW1303=1,0,ROUNDUP(AF1303/BV1303,0))</f>
        <v>1</v>
      </c>
      <c r="AH1303" s="52" t="n">
        <f aca="false">IF(CL1303&gt;0,CL1303*MAX(1,AF1303/X1303),IF(BW1303=1,IF(AF1303&lt;=0,0,CA1303*MAX(1,IF(H1303&gt;0,AF1303/H1303,1))),IF(R1303&gt;0,AG1303/R1303,0))/MAX(0.1,N(Parameter!$M$21)))</f>
        <v>0.0833333333333333</v>
      </c>
      <c r="AI1303" s="50" t="n">
        <f aca="false">AH1303*BY1303</f>
        <v>20.4166666666667</v>
      </c>
      <c r="AJ1303" s="50" t="n">
        <f aca="false">AF1303*G1303</f>
        <v>12787.71</v>
      </c>
      <c r="AK1303" s="50" t="n">
        <f aca="false">ROUNDUP(MAX(J1303/IF(CD1303&gt;0,CD1303,MAX(0.1,N(Cockpit!$C$6))),CG1303)/BV1303,0)*BV1303</f>
        <v>35</v>
      </c>
      <c r="AL1303" s="51" t="n">
        <f aca="false">IF(AI1303&gt;0,J1303/AI1303,-1)</f>
        <v>0.587755102040816</v>
      </c>
      <c r="AM1303" s="51" t="n">
        <f aca="false">IF(AND(OR(CC1303="L1",CC1303="L23",CC1303="LIFT"),AI1303&gt;0),SUMIFS($AI$7:$AI$1843,$CC$7:$CC$1843,CC1303,$AL$7:$AL$1843,"&gt;"&amp;AL1303)+SUMIFS($AI$7:$AI$1843,$CC$7:$CC$1843,CC1303,$AL$7:$AL$1843,AL1303,$BT$7:$BT$1843,"&lt;="&amp;BT1303),"")</f>
        <v>9279.53614370563</v>
      </c>
      <c r="AN1303" s="58" t="n">
        <f aca="false">IF(AM1303="",0,MAX(0,MIN(1,(IF(CC1303="L1",Parameter!$H$5,IF(CC1303="L23",Parameter!$H$6+Parameter!$H$7,Parameter!$H$5+Parameter!$H$6+Parameter!$H$7))-(AM1303-AI1303))/AI1303)))</f>
        <v>1</v>
      </c>
      <c r="AO1303" s="50" t="n">
        <f aca="false">IF(LEFT(Cockpit!$I$5,1)="A",H1303,IF(CE1303=1,CF1303,IF(LEFT(Cockpit!$I$5,1)="B",AT1303,MAX(AT1303,H1303))))</f>
        <v>35</v>
      </c>
      <c r="AP1303" s="50" t="n">
        <f aca="false">IF(BW1303=1,0,ROUNDUP(AO1303/BV1303,0))</f>
        <v>1</v>
      </c>
      <c r="AQ1303" s="52" t="n">
        <f aca="false">IF(CL1303&gt;0,CL1303*MAX(1,AO1303/X1303),IF(BW1303=1,IF(AO1303&lt;=0,0,CA1303*MAX(1,IF(H1303&gt;0,AO1303/H1303,1))),IF(R1303&gt;0,AP1303/R1303,0))/MAX(0.1,N(Parameter!$M$21)))</f>
        <v>0.0833333333333333</v>
      </c>
      <c r="AR1303" s="50" t="n">
        <f aca="false">AQ1303*BY1303</f>
        <v>20.4166666666667</v>
      </c>
      <c r="AS1303" s="50" t="n">
        <f aca="false">AO1303*G1303</f>
        <v>34428.45</v>
      </c>
      <c r="AT1303" s="50" t="n">
        <f aca="false">ROUNDUP(MAX(J1303/IF(CD1303&gt;0,CD1303,MAX(0.1,N(Cockpit!$I$6))),CG1303)/BV1303,0)*BV1303</f>
        <v>35</v>
      </c>
      <c r="AU1303" s="51" t="n">
        <f aca="false">IF(AR1303&gt;0,J1303/AR1303,-1)</f>
        <v>0.587755102040816</v>
      </c>
      <c r="AV1303" s="51" t="n">
        <f aca="false">IF(AND(OR(CC1303="L1",CC1303="L23",CC1303="LIFT"),AR1303&gt;0),SUMIFS($AR$7:$AR$1843,$CC$7:$CC$1843,CC1303,$AU$7:$AU$1843,"&gt;"&amp;AU1303)+SUMIFS($AR$7:$AR$1843,$CC$7:$CC$1843,CC1303,$AU$7:$AU$1843,AU1303,$BT$7:$BT$1843,"&lt;="&amp;BT1303),"")</f>
        <v>12871.070970696</v>
      </c>
      <c r="AW1303" s="58" t="n">
        <f aca="false">IF(AV1303="",0,MAX(0,MIN(1,(IF(CC1303="L1",Parameter!$H$5,IF(CC1303="L23",Parameter!$H$6+Parameter!$H$7,Parameter!$H$5+Parameter!$H$6+Parameter!$H$7))-(AV1303-AR1303))/AR1303)))</f>
        <v>1</v>
      </c>
      <c r="AX1303" s="50" t="n">
        <f aca="false">IF(LEFT(Cockpit!$O$5,1)="A",H1303,IF(CE1303=1,CF1303,IF(LEFT(Cockpit!$O$5,1)="B",BC1303,MAX(BC1303,H1303))))</f>
        <v>35</v>
      </c>
      <c r="AY1303" s="50" t="n">
        <f aca="false">IF(BW1303=1,0,ROUNDUP(AX1303/BV1303,0))</f>
        <v>1</v>
      </c>
      <c r="AZ1303" s="52" t="n">
        <f aca="false">IF(CL1303&gt;0,CL1303*MAX(1,AX1303/X1303),IF(BW1303=1,IF(AX1303&lt;=0,0,CA1303*MAX(1,IF(H1303&gt;0,AX1303/H1303,1))),IF(R1303&gt;0,AY1303/R1303,0))/MAX(0.1,N(Parameter!$M$21)))</f>
        <v>0.0833333333333333</v>
      </c>
      <c r="BA1303" s="50" t="n">
        <f aca="false">AZ1303*BY1303</f>
        <v>20.4166666666667</v>
      </c>
      <c r="BB1303" s="50" t="n">
        <f aca="false">AX1303*G1303</f>
        <v>34428.45</v>
      </c>
      <c r="BC1303" s="50" t="n">
        <f aca="false">ROUNDUP(MAX(J1303/IF(CD1303&gt;0,CD1303,MAX(0.1,N(Cockpit!$O$6))),CG1303)/BV1303,0)*BV1303</f>
        <v>35</v>
      </c>
      <c r="BD1303" s="51" t="n">
        <f aca="false">IF(BA1303&gt;0,J1303/BA1303,-1)</f>
        <v>0.587755102040816</v>
      </c>
      <c r="BE1303" s="51" t="n">
        <f aca="false">IF(AND(OR(CC1303="L1",CC1303="L23",CC1303="LIFT"),BA1303&gt;0),SUMIFS($BA$7:$BA$1843,$CC$7:$CC$1843,CC1303,$BD$7:$BD$1843,"&gt;"&amp;BD1303)+SUMIFS($BA$7:$BA$1843,$CC$7:$CC$1843,CC1303,$BD$7:$BD$1843,BD1303,$BT$7:$BT$1843,"&lt;="&amp;BT1303),"")</f>
        <v>11794.6446886447</v>
      </c>
      <c r="BF1303" s="58" t="n">
        <f aca="false">IF(BE1303="",0,MAX(0,MIN(1,(IF(CC1303="L1",Parameter!$H$5,IF(CC1303="L23",Parameter!$H$6+Parameter!$H$7,Parameter!$H$5+Parameter!$H$6+Parameter!$H$7))-(BE1303-BA1303))/BA1303)))</f>
        <v>1</v>
      </c>
      <c r="BG1303" s="48" t="str">
        <f aca="false">IF(AI1303&lt;=0,"",IF(CC1303="Aussen","Aussenlager",IF(CC1303="-","Nicht im Lift",IF(AN1303&gt;=1,"Lift",IF(AN1303&lt;=0,"Aussenlager","teilweise")))))</f>
        <v>Lift</v>
      </c>
      <c r="BH1303" s="48" t="str">
        <f aca="false">IF(AR1303&lt;=0,"",IF(CC1303="Aussen","Aussenlager",IF(CC1303="-","Nicht im Lift",IF(AW1303&gt;=1,"Lift",IF(AW1303&lt;=0,"Aussenlager","teilweise")))))</f>
        <v>Lift</v>
      </c>
      <c r="BI1303" s="48" t="str">
        <f aca="false">IF(BA1303&lt;=0,"",IF(CC1303="Aussen","Aussenlager",IF(CC1303="-","Nicht im Lift",IF(BF1303&gt;=1,"Lift",IF(BF1303&lt;=0,"Aussenlager","teilweise")))))</f>
        <v>Lift</v>
      </c>
      <c r="BJ1303" s="48" t="str">
        <f aca="false">IF(A1303="","",IF(BS1303=1,"Neu; ","")&amp;IF(AND(BS1303=0,BN1303&lt;0),"negativer Bestand (Export "&amp;BN1303&amp;"); ","")&amp;IF(J1303&lt;=0,"Kein Verbrauch; ","")&amp;IF(CL1303&gt;0,"Lift "&amp;W1303&amp;" lt. Liftbericht (Fach "&amp;X1303&amp;" Stk); ",IF(BX1303=1,"Gebinde geschätzt ("&amp;T1303&amp;"); ",IF(BW1303=1,"Lose – Tablare geschätzt; ","")))&amp;IF(H1303&gt;AT1303,"Überbestand "&amp;ROUND(H1303-AT1303,0)&amp;" Stk / CHF "&amp;ROUND((H1303-AT1303)*G1303,0)&amp;"; ","")&amp;IF(AND(CE1303=1,CF1303&lt;CG1303),"MAX &lt; MB+LG; ","")&amp;IF(AND(CK1303&gt;0,CJ1303*10&gt;CK1303),"zu hoch für Tablar; ","")&amp;IF(AND(BS1303=0,OR(CE1303=1,AA1303&lt;&gt;"",U1303&lt;&gt;"",V1303&lt;&gt;"",AB1303&lt;&gt;"")),"manuell übersteuert; ","")&amp;IF(AND(BW1303=0,R1303=0),"Gebinde unbekannt / Stellmass fehlt; ","")&amp;IF(AND(BW1303=0,N(V1303)&lt;=0,N(Q1303)&lt;=0),"Menge pro Gebinde fehlt (Ist = 1 Gebinde); ","")&amp;BR1303)</f>
        <v>negativer Bestand (Export -4); </v>
      </c>
      <c r="BK1303" s="48"/>
      <c r="BL1303" s="48"/>
      <c r="BM1303" s="55"/>
      <c r="BN1303" s="50" t="n">
        <v>-4</v>
      </c>
      <c r="BO1303" s="50" t="n">
        <v>17</v>
      </c>
      <c r="BP1303" s="49" t="n">
        <v>-1203.92</v>
      </c>
      <c r="BQ1303" s="50" t="n">
        <v>12</v>
      </c>
      <c r="BR1303" s="48"/>
      <c r="BS1303" s="53" t="n">
        <v>0</v>
      </c>
      <c r="BT1303" s="53" t="n">
        <v>1303</v>
      </c>
      <c r="BU1303" s="48" t="str">
        <f aca="false">IF(U1303&lt;&gt;"",UPPER(TRIM(U1303)),IF(BX1303=1,UPPER(VLOOKUP(T1303,Parameter!$I$27:$K$29,2,0)),IF(P1303="","LOSE",P1303)))</f>
        <v>S62</v>
      </c>
      <c r="BV1303" s="50" t="n">
        <f aca="false">IF(BU1303="LOSE",1,IF(N(V1303)&gt;0,V1303,IF(BX1303=1,MAX(1,N(VLOOKUP(T1303,Parameter!$I$27:$K$29,3,0)),H1303,N(N1303)),IF(N(Q1303)&gt;0,Q1303,MAX(1,H1303)))))</f>
        <v>35</v>
      </c>
      <c r="BW1303" s="53" t="n">
        <f aca="false">IF(BU1303="LOSE",1,0)</f>
        <v>0</v>
      </c>
      <c r="BX1303" s="53" t="n">
        <f aca="false">IF(AND(U1303="",OR(P1303="",P1303="LOSE"),T1303&lt;&gt;"",N(S1303)&lt;=0,ISNUMBER(MATCH(T1303,Parameter!$I$27:$I$29,0))),1,0)</f>
        <v>0</v>
      </c>
      <c r="BY1303" s="53" t="n">
        <f aca="false">IF(CL1303&gt;0,INDEX(Parameter!$H$5:$H$7,W1303)/INDEX(Parameter!$E$5:$E$7,W1303),IF(AND(BW1303=0,N(IFERROR(VLOOKUP(BU1303,'Gebinde-Kategorie'!$A$5:$N$45,14,0),0))&gt;0),VLOOKUP(BU1303,'Gebinde-Kategorie'!$A$5:$N$45,14,0)*10+Parameter!$M$23,Parameter!$M$24))</f>
        <v>245</v>
      </c>
      <c r="BZ1303" s="48" t="str">
        <f aca="false">IF(AND(Parameter!$B$19="Ja",E1303&lt;&gt;"",ISNUMBER(MATCH(E1303,Parameter!$I$35:$I$52,0))),VLOOKUP(E1303,Parameter!$I$35:$J$52,2,0),IFERROR(VLOOKUP(D1303,Parameter!$A$35:$C$64,2,0),"Nein"))</f>
        <v>2+3</v>
      </c>
      <c r="CA1303" s="52" t="n">
        <f aca="false">IF(BW1303=0,0,IF(N(S1303)&gt;0,S1303,IFERROR(VLOOKUP(D1303,Parameter!$A$35:$C$64,3,0)+0,0)))</f>
        <v>0</v>
      </c>
      <c r="CB1303" s="48" t="n">
        <f aca="false">IF(AA1303&lt;&gt;"",AA1303,Z1303)</f>
        <v>2</v>
      </c>
      <c r="CC1303" s="48" t="str">
        <f aca="false">IF(OR(CB1303=1,CB1303=2,CB1303=3),IF(Parameter!$E$27="Ja","LIFT",IF(CB1303=1,"L1","L23")),IF(CB1303="Aussen","Aussen","-"))</f>
        <v>LIFT</v>
      </c>
      <c r="CD1303" s="59" t="n">
        <f aca="false">IF(N(AB1303)&gt;0,AB1303,0)</f>
        <v>0</v>
      </c>
      <c r="CE1303" s="53" t="n">
        <f aca="false">IF(ISNUMBER(AE1303),1,0)</f>
        <v>0</v>
      </c>
      <c r="CF1303" s="50" t="n">
        <f aca="false">N(AE1303)</f>
        <v>0</v>
      </c>
      <c r="CG1303" s="50" t="n">
        <f aca="false">N(M1303)+N(N1303)</f>
        <v>6</v>
      </c>
      <c r="CH1303" s="50" t="n">
        <f aca="false">ROUNDUP(H1303/BV1303,0)</f>
        <v>1</v>
      </c>
      <c r="CI1303" s="50" t="n">
        <f aca="false">ROUNDUP(CF1303/BV1303,0)</f>
        <v>0</v>
      </c>
      <c r="CJ1303" s="53" t="n">
        <f aca="false">IF(BW1303=1,0,IFERROR(VLOOKUP(BU1303,'Gebinde-Kategorie'!$A$5:$N$45,5,0)+0,0))</f>
        <v>21</v>
      </c>
      <c r="CK1303" s="53" t="n">
        <f aca="false">IFERROR(IF(OR(CB1303=1,CB1303=2,CB1303=3),N(INDEX(Parameter!$I$5:$I$7,CB1303)),0),0)</f>
        <v>0</v>
      </c>
      <c r="CL1303" s="52" t="n">
        <f aca="false">IF(AND(Parameter!$B$21="Ja",ISNUMBER(W1303),N(X1303)&gt;0),IFERROR(N(INDEX(Parameter!$L$5:$L$7,W1303))*INDEX(Parameter!$E$5:$E$7,W1303)*X1303/SUMIFS($X$7:$X$1843,$W$7:$W$1843,W1303),0),0)</f>
        <v>0</v>
      </c>
    </row>
    <row r="1304" customFormat="false" ht="15" hidden="false" customHeight="false" outlineLevel="0" collapsed="false">
      <c r="A1304" s="48" t="s">
        <v>2321</v>
      </c>
      <c r="B1304" s="48" t="s">
        <v>2322</v>
      </c>
      <c r="C1304" s="48" t="s">
        <v>168</v>
      </c>
      <c r="D1304" s="48" t="s">
        <v>188</v>
      </c>
      <c r="E1304" s="48" t="s">
        <v>189</v>
      </c>
      <c r="F1304" s="48" t="s">
        <v>222</v>
      </c>
      <c r="G1304" s="49" t="n">
        <v>64.57</v>
      </c>
      <c r="H1304" s="50" t="n">
        <f aca="false">MAX(0,IF(AND(Parameter!$B$21="Ja",ISNUMBER(Y1304)),Y1304,IF(Parameter!$B$20="Jahresanfang 2025 + Export",BO1304+BN1304,BN1304)))</f>
        <v>26</v>
      </c>
      <c r="I1304" s="50" t="n">
        <f aca="false">H1304*G1304</f>
        <v>1678.82</v>
      </c>
      <c r="J1304" s="50" t="n">
        <f aca="false">BQ1304*Parameter!$B$18</f>
        <v>71</v>
      </c>
      <c r="K1304" s="51" t="n">
        <v>29.5</v>
      </c>
      <c r="L1304" s="52" t="n">
        <v>2.40677966101695</v>
      </c>
      <c r="M1304" s="50" t="n">
        <v>4</v>
      </c>
      <c r="N1304" s="50" t="n">
        <v>20</v>
      </c>
      <c r="O1304" s="53" t="n">
        <v>21</v>
      </c>
      <c r="P1304" s="48" t="s">
        <v>306</v>
      </c>
      <c r="Q1304" s="50" t="n">
        <v>64</v>
      </c>
      <c r="R1304" s="53" t="n">
        <f aca="false">IF(BW1304=1,0,IFERROR(VLOOKUP(BU1304,'Gebinde-Kategorie'!$A$5:$N$45,13,0)+0,0))</f>
        <v>26</v>
      </c>
      <c r="S1304" s="54"/>
      <c r="T1304" s="55"/>
      <c r="U1304" s="55"/>
      <c r="V1304" s="55"/>
      <c r="W1304" s="48"/>
      <c r="X1304" s="50"/>
      <c r="Y1304" s="50"/>
      <c r="Z1304" s="48" t="n">
        <f aca="false">IF(A1304="","",IF(AND(Parameter!$B$21="Ja",ISNUMBER(W1304)),W1304,IF(BZ1304="2+3",IF(ISNUMBER(SEARCH("grosser Artikel",BR1304)),2,IFERROR(VLOOKUP(BU1304,Parameter!$F$35:$G$64,2,0),2)),IF(OR(BZ1304="Nein",BZ1304=""),"-",BZ1304))))</f>
        <v>3</v>
      </c>
      <c r="AA1304" s="55"/>
      <c r="AB1304" s="56"/>
      <c r="AC1304" s="50" t="n">
        <f aca="false">AT1304</f>
        <v>64</v>
      </c>
      <c r="AD1304" s="50" t="n">
        <f aca="false">MAX(AT1304,H1304)</f>
        <v>64</v>
      </c>
      <c r="AE1304" s="57"/>
      <c r="AF1304" s="50" t="n">
        <f aca="false">IF(LEFT(Cockpit!$C$5,1)="A",H1304,IF(CE1304=1,CF1304,IF(LEFT(Cockpit!$C$5,1)="B",AK1304,MAX(AK1304,H1304))))</f>
        <v>26</v>
      </c>
      <c r="AG1304" s="50" t="n">
        <f aca="false">IF(BW1304=1,0,ROUNDUP(AF1304/BV1304,0))</f>
        <v>1</v>
      </c>
      <c r="AH1304" s="52" t="n">
        <f aca="false">IF(CL1304&gt;0,CL1304*MAX(1,AF1304/X1304),IF(BW1304=1,IF(AF1304&lt;=0,0,CA1304*MAX(1,IF(H1304&gt;0,AF1304/H1304,1))),IF(R1304&gt;0,AG1304/R1304,0))/MAX(0.1,N(Parameter!$M$21)))</f>
        <v>0.0384615384615385</v>
      </c>
      <c r="AI1304" s="50" t="n">
        <f aca="false">AH1304*BY1304</f>
        <v>5.96153846153846</v>
      </c>
      <c r="AJ1304" s="50" t="n">
        <f aca="false">AF1304*G1304</f>
        <v>1678.82</v>
      </c>
      <c r="AK1304" s="50" t="n">
        <f aca="false">ROUNDUP(MAX(J1304/IF(CD1304&gt;0,CD1304,MAX(0.1,N(Cockpit!$C$6))),CG1304)/BV1304,0)*BV1304</f>
        <v>64</v>
      </c>
      <c r="AL1304" s="51" t="n">
        <f aca="false">IF(AI1304&gt;0,J1304/AI1304,-1)</f>
        <v>11.9096774193548</v>
      </c>
      <c r="AM1304" s="51" t="n">
        <f aca="false">IF(AND(OR(CC1304="L1",CC1304="L23",CC1304="LIFT"),AI1304&gt;0),SUMIFS($AI$7:$AI$1843,$CC$7:$CC$1843,CC1304,$AL$7:$AL$1843,"&gt;"&amp;AL1304)+SUMIFS($AI$7:$AI$1843,$CC$7:$CC$1843,CC1304,$AL$7:$AL$1843,AL1304,$BT$7:$BT$1843,"&lt;="&amp;BT1304),"")</f>
        <v>2531.42582417582</v>
      </c>
      <c r="AN1304" s="58" t="n">
        <f aca="false">IF(AM1304="",0,MAX(0,MIN(1,(IF(CC1304="L1",Parameter!$H$5,IF(CC1304="L23",Parameter!$H$6+Parameter!$H$7,Parameter!$H$5+Parameter!$H$6+Parameter!$H$7))-(AM1304-AI1304))/AI1304)))</f>
        <v>1</v>
      </c>
      <c r="AO1304" s="50" t="n">
        <f aca="false">IF(LEFT(Cockpit!$I$5,1)="A",H1304,IF(CE1304=1,CF1304,IF(LEFT(Cockpit!$I$5,1)="B",AT1304,MAX(AT1304,H1304))))</f>
        <v>64</v>
      </c>
      <c r="AP1304" s="50" t="n">
        <f aca="false">IF(BW1304=1,0,ROUNDUP(AO1304/BV1304,0))</f>
        <v>1</v>
      </c>
      <c r="AQ1304" s="52" t="n">
        <f aca="false">IF(CL1304&gt;0,CL1304*MAX(1,AO1304/X1304),IF(BW1304=1,IF(AO1304&lt;=0,0,CA1304*MAX(1,IF(H1304&gt;0,AO1304/H1304,1))),IF(R1304&gt;0,AP1304/R1304,0))/MAX(0.1,N(Parameter!$M$21)))</f>
        <v>0.0384615384615385</v>
      </c>
      <c r="AR1304" s="50" t="n">
        <f aca="false">AQ1304*BY1304</f>
        <v>5.96153846153846</v>
      </c>
      <c r="AS1304" s="50" t="n">
        <f aca="false">AO1304*G1304</f>
        <v>4132.48</v>
      </c>
      <c r="AT1304" s="50" t="n">
        <f aca="false">ROUNDUP(MAX(J1304/IF(CD1304&gt;0,CD1304,MAX(0.1,N(Cockpit!$I$6))),CG1304)/BV1304,0)*BV1304</f>
        <v>64</v>
      </c>
      <c r="AU1304" s="51" t="n">
        <f aca="false">IF(AR1304&gt;0,J1304/AR1304,-1)</f>
        <v>11.9096774193548</v>
      </c>
      <c r="AV1304" s="51" t="n">
        <f aca="false">IF(AND(OR(CC1304="L1",CC1304="L23",CC1304="LIFT"),AR1304&gt;0),SUMIFS($AR$7:$AR$1843,$CC$7:$CC$1843,CC1304,$AU$7:$AU$1843,"&gt;"&amp;AU1304)+SUMIFS($AR$7:$AR$1843,$CC$7:$CC$1843,CC1304,$AU$7:$AU$1843,AU1304,$BT$7:$BT$1843,"&lt;="&amp;BT1304),"")</f>
        <v>3687.21016483517</v>
      </c>
      <c r="AW1304" s="58" t="n">
        <f aca="false">IF(AV1304="",0,MAX(0,MIN(1,(IF(CC1304="L1",Parameter!$H$5,IF(CC1304="L23",Parameter!$H$6+Parameter!$H$7,Parameter!$H$5+Parameter!$H$6+Parameter!$H$7))-(AV1304-AR1304))/AR1304)))</f>
        <v>1</v>
      </c>
      <c r="AX1304" s="50" t="n">
        <f aca="false">IF(LEFT(Cockpit!$O$5,1)="A",H1304,IF(CE1304=1,CF1304,IF(LEFT(Cockpit!$O$5,1)="B",BC1304,MAX(BC1304,H1304))))</f>
        <v>64</v>
      </c>
      <c r="AY1304" s="50" t="n">
        <f aca="false">IF(BW1304=1,0,ROUNDUP(AX1304/BV1304,0))</f>
        <v>1</v>
      </c>
      <c r="AZ1304" s="52" t="n">
        <f aca="false">IF(CL1304&gt;0,CL1304*MAX(1,AX1304/X1304),IF(BW1304=1,IF(AX1304&lt;=0,0,CA1304*MAX(1,IF(H1304&gt;0,AX1304/H1304,1))),IF(R1304&gt;0,AY1304/R1304,0))/MAX(0.1,N(Parameter!$M$21)))</f>
        <v>0.0384615384615385</v>
      </c>
      <c r="BA1304" s="50" t="n">
        <f aca="false">AZ1304*BY1304</f>
        <v>5.96153846153846</v>
      </c>
      <c r="BB1304" s="50" t="n">
        <f aca="false">AX1304*G1304</f>
        <v>4132.48</v>
      </c>
      <c r="BC1304" s="50" t="n">
        <f aca="false">ROUNDUP(MAX(J1304/IF(CD1304&gt;0,CD1304,MAX(0.1,N(Cockpit!$O$6))),CG1304)/BV1304,0)*BV1304</f>
        <v>64</v>
      </c>
      <c r="BD1304" s="51" t="n">
        <f aca="false">IF(BA1304&gt;0,J1304/BA1304,-1)</f>
        <v>11.9096774193548</v>
      </c>
      <c r="BE1304" s="51" t="n">
        <f aca="false">IF(AND(OR(CC1304="L1",CC1304="L23",CC1304="LIFT"),BA1304&gt;0),SUMIFS($BA$7:$BA$1843,$CC$7:$CC$1843,CC1304,$BD$7:$BD$1843,"&gt;"&amp;BD1304)+SUMIFS($BA$7:$BA$1843,$CC$7:$CC$1843,CC1304,$BD$7:$BD$1843,BD1304,$BT$7:$BT$1843,"&lt;="&amp;BT1304),"")</f>
        <v>3324.9184981685</v>
      </c>
      <c r="BF1304" s="58" t="n">
        <f aca="false">IF(BE1304="",0,MAX(0,MIN(1,(IF(CC1304="L1",Parameter!$H$5,IF(CC1304="L23",Parameter!$H$6+Parameter!$H$7,Parameter!$H$5+Parameter!$H$6+Parameter!$H$7))-(BE1304-BA1304))/BA1304)))</f>
        <v>1</v>
      </c>
      <c r="BG1304" s="48" t="str">
        <f aca="false">IF(AI1304&lt;=0,"",IF(CC1304="Aussen","Aussenlager",IF(CC1304="-","Nicht im Lift",IF(AN1304&gt;=1,"Lift",IF(AN1304&lt;=0,"Aussenlager","teilweise")))))</f>
        <v>Lift</v>
      </c>
      <c r="BH1304" s="48" t="str">
        <f aca="false">IF(AR1304&lt;=0,"",IF(CC1304="Aussen","Aussenlager",IF(CC1304="-","Nicht im Lift",IF(AW1304&gt;=1,"Lift",IF(AW1304&lt;=0,"Aussenlager","teilweise")))))</f>
        <v>Lift</v>
      </c>
      <c r="BI1304" s="48" t="str">
        <f aca="false">IF(BA1304&lt;=0,"",IF(CC1304="Aussen","Aussenlager",IF(CC1304="-","Nicht im Lift",IF(BF1304&gt;=1,"Lift",IF(BF1304&lt;=0,"Aussenlager","teilweise")))))</f>
        <v>Lift</v>
      </c>
      <c r="BJ1304" s="48" t="str">
        <f aca="false">IF(A1304="","",IF(BS1304=1,"Neu; ","")&amp;IF(AND(BS1304=0,BN1304&lt;0),"negativer Bestand (Export "&amp;BN1304&amp;"); ","")&amp;IF(J1304&lt;=0,"Kein Verbrauch; ","")&amp;IF(CL1304&gt;0,"Lift "&amp;W1304&amp;" lt. Liftbericht (Fach "&amp;X1304&amp;" Stk); ",IF(BX1304=1,"Gebinde geschätzt ("&amp;T1304&amp;"); ",IF(BW1304=1,"Lose – Tablare geschätzt; ","")))&amp;IF(H1304&gt;AT1304,"Überbestand "&amp;ROUND(H1304-AT1304,0)&amp;" Stk / CHF "&amp;ROUND((H1304-AT1304)*G1304,0)&amp;"; ","")&amp;IF(AND(CE1304=1,CF1304&lt;CG1304),"MAX &lt; MB+LG; ","")&amp;IF(AND(CK1304&gt;0,CJ1304*10&gt;CK1304),"zu hoch für Tablar; ","")&amp;IF(AND(BS1304=0,OR(CE1304=1,AA1304&lt;&gt;"",U1304&lt;&gt;"",V1304&lt;&gt;"",AB1304&lt;&gt;"")),"manuell übersteuert; ","")&amp;IF(AND(BW1304=0,R1304=0),"Gebinde unbekannt / Stellmass fehlt; ","")&amp;IF(AND(BW1304=0,N(V1304)&lt;=0,N(Q1304)&lt;=0),"Menge pro Gebinde fehlt (Ist = 1 Gebinde); ","")&amp;BR1304)</f>
        <v>negativer Bestand (Export -9); </v>
      </c>
      <c r="BK1304" s="48"/>
      <c r="BL1304" s="48"/>
      <c r="BM1304" s="55"/>
      <c r="BN1304" s="50" t="n">
        <v>-9</v>
      </c>
      <c r="BO1304" s="50" t="n">
        <v>35</v>
      </c>
      <c r="BP1304" s="49" t="n">
        <v>-1206.58</v>
      </c>
      <c r="BQ1304" s="50" t="n">
        <v>71</v>
      </c>
      <c r="BR1304" s="48"/>
      <c r="BS1304" s="53" t="n">
        <v>0</v>
      </c>
      <c r="BT1304" s="53" t="n">
        <v>1304</v>
      </c>
      <c r="BU1304" s="48" t="str">
        <f aca="false">IF(U1304&lt;&gt;"",UPPER(TRIM(U1304)),IF(BX1304=1,UPPER(VLOOKUP(T1304,Parameter!$I$27:$K$29,2,0)),IF(P1304="","LOSE",P1304)))</f>
        <v>S51</v>
      </c>
      <c r="BV1304" s="50" t="n">
        <f aca="false">IF(BU1304="LOSE",1,IF(N(V1304)&gt;0,V1304,IF(BX1304=1,MAX(1,N(VLOOKUP(T1304,Parameter!$I$27:$K$29,3,0)),H1304,N(N1304)),IF(N(Q1304)&gt;0,Q1304,MAX(1,H1304)))))</f>
        <v>64</v>
      </c>
      <c r="BW1304" s="53" t="n">
        <f aca="false">IF(BU1304="LOSE",1,0)</f>
        <v>0</v>
      </c>
      <c r="BX1304" s="53" t="n">
        <f aca="false">IF(AND(U1304="",OR(P1304="",P1304="LOSE"),T1304&lt;&gt;"",N(S1304)&lt;=0,ISNUMBER(MATCH(T1304,Parameter!$I$27:$I$29,0))),1,0)</f>
        <v>0</v>
      </c>
      <c r="BY1304" s="53" t="n">
        <f aca="false">IF(CL1304&gt;0,INDEX(Parameter!$H$5:$H$7,W1304)/INDEX(Parameter!$E$5:$E$7,W1304),IF(AND(BW1304=0,N(IFERROR(VLOOKUP(BU1304,'Gebinde-Kategorie'!$A$5:$N$45,14,0),0))&gt;0),VLOOKUP(BU1304,'Gebinde-Kategorie'!$A$5:$N$45,14,0)*10+Parameter!$M$23,Parameter!$M$24))</f>
        <v>155</v>
      </c>
      <c r="BZ1304" s="48" t="str">
        <f aca="false">IF(AND(Parameter!$B$19="Ja",E1304&lt;&gt;"",ISNUMBER(MATCH(E1304,Parameter!$I$35:$I$52,0))),VLOOKUP(E1304,Parameter!$I$35:$J$52,2,0),IFERROR(VLOOKUP(D1304,Parameter!$A$35:$C$64,2,0),"Nein"))</f>
        <v>2+3</v>
      </c>
      <c r="CA1304" s="52" t="n">
        <f aca="false">IF(BW1304=0,0,IF(N(S1304)&gt;0,S1304,IFERROR(VLOOKUP(D1304,Parameter!$A$35:$C$64,3,0)+0,0)))</f>
        <v>0</v>
      </c>
      <c r="CB1304" s="48" t="n">
        <f aca="false">IF(AA1304&lt;&gt;"",AA1304,Z1304)</f>
        <v>3</v>
      </c>
      <c r="CC1304" s="48" t="str">
        <f aca="false">IF(OR(CB1304=1,CB1304=2,CB1304=3),IF(Parameter!$E$27="Ja","LIFT",IF(CB1304=1,"L1","L23")),IF(CB1304="Aussen","Aussen","-"))</f>
        <v>LIFT</v>
      </c>
      <c r="CD1304" s="59" t="n">
        <f aca="false">IF(N(AB1304)&gt;0,AB1304,0)</f>
        <v>0</v>
      </c>
      <c r="CE1304" s="53" t="n">
        <f aca="false">IF(ISNUMBER(AE1304),1,0)</f>
        <v>0</v>
      </c>
      <c r="CF1304" s="50" t="n">
        <f aca="false">N(AE1304)</f>
        <v>0</v>
      </c>
      <c r="CG1304" s="50" t="n">
        <f aca="false">N(M1304)+N(N1304)</f>
        <v>24</v>
      </c>
      <c r="CH1304" s="50" t="n">
        <f aca="false">ROUNDUP(H1304/BV1304,0)</f>
        <v>1</v>
      </c>
      <c r="CI1304" s="50" t="n">
        <f aca="false">ROUNDUP(CF1304/BV1304,0)</f>
        <v>0</v>
      </c>
      <c r="CJ1304" s="53" t="n">
        <f aca="false">IF(BW1304=1,0,IFERROR(VLOOKUP(BU1304,'Gebinde-Kategorie'!$A$5:$N$45,5,0)+0,0))</f>
        <v>11</v>
      </c>
      <c r="CK1304" s="53" t="n">
        <f aca="false">IFERROR(IF(OR(CB1304=1,CB1304=2,CB1304=3),N(INDEX(Parameter!$I$5:$I$7,CB1304)),0),0)</f>
        <v>0</v>
      </c>
      <c r="CL1304" s="52" t="n">
        <f aca="false">IF(AND(Parameter!$B$21="Ja",ISNUMBER(W1304),N(X1304)&gt;0),IFERROR(N(INDEX(Parameter!$L$5:$L$7,W1304))*INDEX(Parameter!$E$5:$E$7,W1304)*X1304/SUMIFS($X$7:$X$1843,$W$7:$W$1843,W1304),0),0)</f>
        <v>0</v>
      </c>
    </row>
    <row r="1305" customFormat="false" ht="15" hidden="false" customHeight="false" outlineLevel="0" collapsed="false">
      <c r="A1305" s="48" t="s">
        <v>2323</v>
      </c>
      <c r="B1305" s="48" t="s">
        <v>1155</v>
      </c>
      <c r="C1305" s="48" t="s">
        <v>168</v>
      </c>
      <c r="D1305" s="48" t="s">
        <v>188</v>
      </c>
      <c r="E1305" s="48" t="s">
        <v>189</v>
      </c>
      <c r="F1305" s="48" t="s">
        <v>222</v>
      </c>
      <c r="G1305" s="49" t="n">
        <v>108.99</v>
      </c>
      <c r="H1305" s="50" t="n">
        <f aca="false">MAX(0,IF(AND(Parameter!$B$21="Ja",ISNUMBER(Y1305)),Y1305,IF(Parameter!$B$20="Jahresanfang 2025 + Export",BO1305+BN1305,BN1305)))</f>
        <v>20</v>
      </c>
      <c r="I1305" s="50" t="n">
        <f aca="false">H1305*G1305</f>
        <v>2179.8</v>
      </c>
      <c r="J1305" s="50" t="n">
        <f aca="false">BQ1305*Parameter!$B$18</f>
        <v>68</v>
      </c>
      <c r="K1305" s="51" t="n">
        <v>22</v>
      </c>
      <c r="L1305" s="52" t="n">
        <v>3.09090909090909</v>
      </c>
      <c r="M1305" s="50" t="n">
        <v>4</v>
      </c>
      <c r="N1305" s="50" t="n">
        <v>35</v>
      </c>
      <c r="O1305" s="53" t="n">
        <v>21</v>
      </c>
      <c r="P1305" s="48" t="s">
        <v>306</v>
      </c>
      <c r="Q1305" s="50" t="n">
        <v>56</v>
      </c>
      <c r="R1305" s="53" t="n">
        <f aca="false">IF(BW1305=1,0,IFERROR(VLOOKUP(BU1305,'Gebinde-Kategorie'!$A$5:$N$45,13,0)+0,0))</f>
        <v>26</v>
      </c>
      <c r="S1305" s="54"/>
      <c r="T1305" s="55"/>
      <c r="U1305" s="55"/>
      <c r="V1305" s="55"/>
      <c r="W1305" s="48"/>
      <c r="X1305" s="50"/>
      <c r="Y1305" s="50"/>
      <c r="Z1305" s="48" t="n">
        <f aca="false">IF(A1305="","",IF(AND(Parameter!$B$21="Ja",ISNUMBER(W1305)),W1305,IF(BZ1305="2+3",IF(ISNUMBER(SEARCH("grosser Artikel",BR1305)),2,IFERROR(VLOOKUP(BU1305,Parameter!$F$35:$G$64,2,0),2)),IF(OR(BZ1305="Nein",BZ1305=""),"-",BZ1305))))</f>
        <v>3</v>
      </c>
      <c r="AA1305" s="55"/>
      <c r="AB1305" s="56"/>
      <c r="AC1305" s="50" t="n">
        <f aca="false">AT1305</f>
        <v>56</v>
      </c>
      <c r="AD1305" s="50" t="n">
        <f aca="false">MAX(AT1305,H1305)</f>
        <v>56</v>
      </c>
      <c r="AE1305" s="57"/>
      <c r="AF1305" s="50" t="n">
        <f aca="false">IF(LEFT(Cockpit!$C$5,1)="A",H1305,IF(CE1305=1,CF1305,IF(LEFT(Cockpit!$C$5,1)="B",AK1305,MAX(AK1305,H1305))))</f>
        <v>20</v>
      </c>
      <c r="AG1305" s="50" t="n">
        <f aca="false">IF(BW1305=1,0,ROUNDUP(AF1305/BV1305,0))</f>
        <v>1</v>
      </c>
      <c r="AH1305" s="52" t="n">
        <f aca="false">IF(CL1305&gt;0,CL1305*MAX(1,AF1305/X1305),IF(BW1305=1,IF(AF1305&lt;=0,0,CA1305*MAX(1,IF(H1305&gt;0,AF1305/H1305,1))),IF(R1305&gt;0,AG1305/R1305,0))/MAX(0.1,N(Parameter!$M$21)))</f>
        <v>0.0384615384615385</v>
      </c>
      <c r="AI1305" s="50" t="n">
        <f aca="false">AH1305*BY1305</f>
        <v>5.96153846153846</v>
      </c>
      <c r="AJ1305" s="50" t="n">
        <f aca="false">AF1305*G1305</f>
        <v>2179.8</v>
      </c>
      <c r="AK1305" s="50" t="n">
        <f aca="false">ROUNDUP(MAX(J1305/IF(CD1305&gt;0,CD1305,MAX(0.1,N(Cockpit!$C$6))),CG1305)/BV1305,0)*BV1305</f>
        <v>56</v>
      </c>
      <c r="AL1305" s="51" t="n">
        <f aca="false">IF(AI1305&gt;0,J1305/AI1305,-1)</f>
        <v>11.4064516129032</v>
      </c>
      <c r="AM1305" s="51" t="n">
        <f aca="false">IF(AND(OR(CC1305="L1",CC1305="L23",CC1305="LIFT"),AI1305&gt;0),SUMIFS($AI$7:$AI$1843,$CC$7:$CC$1843,CC1305,$AL$7:$AL$1843,"&gt;"&amp;AL1305)+SUMIFS($AI$7:$AI$1843,$CC$7:$CC$1843,CC1305,$AL$7:$AL$1843,AL1305,$BT$7:$BT$1843,"&lt;="&amp;BT1305),"")</f>
        <v>2553.39835164835</v>
      </c>
      <c r="AN1305" s="58" t="n">
        <f aca="false">IF(AM1305="",0,MAX(0,MIN(1,(IF(CC1305="L1",Parameter!$H$5,IF(CC1305="L23",Parameter!$H$6+Parameter!$H$7,Parameter!$H$5+Parameter!$H$6+Parameter!$H$7))-(AM1305-AI1305))/AI1305)))</f>
        <v>1</v>
      </c>
      <c r="AO1305" s="50" t="n">
        <f aca="false">IF(LEFT(Cockpit!$I$5,1)="A",H1305,IF(CE1305=1,CF1305,IF(LEFT(Cockpit!$I$5,1)="B",AT1305,MAX(AT1305,H1305))))</f>
        <v>56</v>
      </c>
      <c r="AP1305" s="50" t="n">
        <f aca="false">IF(BW1305=1,0,ROUNDUP(AO1305/BV1305,0))</f>
        <v>1</v>
      </c>
      <c r="AQ1305" s="52" t="n">
        <f aca="false">IF(CL1305&gt;0,CL1305*MAX(1,AO1305/X1305),IF(BW1305=1,IF(AO1305&lt;=0,0,CA1305*MAX(1,IF(H1305&gt;0,AO1305/H1305,1))),IF(R1305&gt;0,AP1305/R1305,0))/MAX(0.1,N(Parameter!$M$21)))</f>
        <v>0.0384615384615385</v>
      </c>
      <c r="AR1305" s="50" t="n">
        <f aca="false">AQ1305*BY1305</f>
        <v>5.96153846153846</v>
      </c>
      <c r="AS1305" s="50" t="n">
        <f aca="false">AO1305*G1305</f>
        <v>6103.44</v>
      </c>
      <c r="AT1305" s="50" t="n">
        <f aca="false">ROUNDUP(MAX(J1305/IF(CD1305&gt;0,CD1305,MAX(0.1,N(Cockpit!$I$6))),CG1305)/BV1305,0)*BV1305</f>
        <v>56</v>
      </c>
      <c r="AU1305" s="51" t="n">
        <f aca="false">IF(AR1305&gt;0,J1305/AR1305,-1)</f>
        <v>11.4064516129032</v>
      </c>
      <c r="AV1305" s="51" t="n">
        <f aca="false">IF(AND(OR(CC1305="L1",CC1305="L23",CC1305="LIFT"),AR1305&gt;0),SUMIFS($AR$7:$AR$1843,$CC$7:$CC$1843,CC1305,$AU$7:$AU$1843,"&gt;"&amp;AU1305)+SUMIFS($AR$7:$AR$1843,$CC$7:$CC$1843,CC1305,$AU$7:$AU$1843,AU1305,$BT$7:$BT$1843,"&lt;="&amp;BT1305),"")</f>
        <v>3722.06730769231</v>
      </c>
      <c r="AW1305" s="58" t="n">
        <f aca="false">IF(AV1305="",0,MAX(0,MIN(1,(IF(CC1305="L1",Parameter!$H$5,IF(CC1305="L23",Parameter!$H$6+Parameter!$H$7,Parameter!$H$5+Parameter!$H$6+Parameter!$H$7))-(AV1305-AR1305))/AR1305)))</f>
        <v>1</v>
      </c>
      <c r="AX1305" s="50" t="n">
        <f aca="false">IF(LEFT(Cockpit!$O$5,1)="A",H1305,IF(CE1305=1,CF1305,IF(LEFT(Cockpit!$O$5,1)="B",BC1305,MAX(BC1305,H1305))))</f>
        <v>56</v>
      </c>
      <c r="AY1305" s="50" t="n">
        <f aca="false">IF(BW1305=1,0,ROUNDUP(AX1305/BV1305,0))</f>
        <v>1</v>
      </c>
      <c r="AZ1305" s="52" t="n">
        <f aca="false">IF(CL1305&gt;0,CL1305*MAX(1,AX1305/X1305),IF(BW1305=1,IF(AX1305&lt;=0,0,CA1305*MAX(1,IF(H1305&gt;0,AX1305/H1305,1))),IF(R1305&gt;0,AY1305/R1305,0))/MAX(0.1,N(Parameter!$M$21)))</f>
        <v>0.0384615384615385</v>
      </c>
      <c r="BA1305" s="50" t="n">
        <f aca="false">AZ1305*BY1305</f>
        <v>5.96153846153846</v>
      </c>
      <c r="BB1305" s="50" t="n">
        <f aca="false">AX1305*G1305</f>
        <v>6103.44</v>
      </c>
      <c r="BC1305" s="50" t="n">
        <f aca="false">ROUNDUP(MAX(J1305/IF(CD1305&gt;0,CD1305,MAX(0.1,N(Cockpit!$O$6))),CG1305)/BV1305,0)*BV1305</f>
        <v>56</v>
      </c>
      <c r="BD1305" s="51" t="n">
        <f aca="false">IF(BA1305&gt;0,J1305/BA1305,-1)</f>
        <v>11.4064516129032</v>
      </c>
      <c r="BE1305" s="51" t="n">
        <f aca="false">IF(AND(OR(CC1305="L1",CC1305="L23",CC1305="LIFT"),BA1305&gt;0),SUMIFS($BA$7:$BA$1843,$CC$7:$CC$1843,CC1305,$BD$7:$BD$1843,"&gt;"&amp;BD1305)+SUMIFS($BA$7:$BA$1843,$CC$7:$CC$1843,CC1305,$BD$7:$BD$1843,BD1305,$BT$7:$BT$1843,"&lt;="&amp;BT1305),"")</f>
        <v>3359.77564102564</v>
      </c>
      <c r="BF1305" s="58" t="n">
        <f aca="false">IF(BE1305="",0,MAX(0,MIN(1,(IF(CC1305="L1",Parameter!$H$5,IF(CC1305="L23",Parameter!$H$6+Parameter!$H$7,Parameter!$H$5+Parameter!$H$6+Parameter!$H$7))-(BE1305-BA1305))/BA1305)))</f>
        <v>1</v>
      </c>
      <c r="BG1305" s="48" t="str">
        <f aca="false">IF(AI1305&lt;=0,"",IF(CC1305="Aussen","Aussenlager",IF(CC1305="-","Nicht im Lift",IF(AN1305&gt;=1,"Lift",IF(AN1305&lt;=0,"Aussenlager","teilweise")))))</f>
        <v>Lift</v>
      </c>
      <c r="BH1305" s="48" t="str">
        <f aca="false">IF(AR1305&lt;=0,"",IF(CC1305="Aussen","Aussenlager",IF(CC1305="-","Nicht im Lift",IF(AW1305&gt;=1,"Lift",IF(AW1305&lt;=0,"Aussenlager","teilweise")))))</f>
        <v>Lift</v>
      </c>
      <c r="BI1305" s="48" t="str">
        <f aca="false">IF(BA1305&lt;=0,"",IF(CC1305="Aussen","Aussenlager",IF(CC1305="-","Nicht im Lift",IF(BF1305&gt;=1,"Lift",IF(BF1305&lt;=0,"Aussenlager","teilweise")))))</f>
        <v>Lift</v>
      </c>
      <c r="BJ1305" s="48" t="str">
        <f aca="false">IF(A1305="","",IF(BS1305=1,"Neu; ","")&amp;IF(AND(BS1305=0,BN1305&lt;0),"negativer Bestand (Export "&amp;BN1305&amp;"); ","")&amp;IF(J1305&lt;=0,"Kein Verbrauch; ","")&amp;IF(CL1305&gt;0,"Lift "&amp;W1305&amp;" lt. Liftbericht (Fach "&amp;X1305&amp;" Stk); ",IF(BX1305=1,"Gebinde geschätzt ("&amp;T1305&amp;"); ",IF(BW1305=1,"Lose – Tablare geschätzt; ","")))&amp;IF(H1305&gt;AT1305,"Überbestand "&amp;ROUND(H1305-AT1305,0)&amp;" Stk / CHF "&amp;ROUND((H1305-AT1305)*G1305,0)&amp;"; ","")&amp;IF(AND(CE1305=1,CF1305&lt;CG1305),"MAX &lt; MB+LG; ","")&amp;IF(AND(CK1305&gt;0,CJ1305*10&gt;CK1305),"zu hoch für Tablar; ","")&amp;IF(AND(BS1305=0,OR(CE1305=1,AA1305&lt;&gt;"",U1305&lt;&gt;"",V1305&lt;&gt;"",AB1305&lt;&gt;"")),"manuell übersteuert; ","")&amp;IF(AND(BW1305=0,R1305=0),"Gebinde unbekannt / Stellmass fehlt; ","")&amp;IF(AND(BW1305=0,N(V1305)&lt;=0,N(Q1305)&lt;=0),"Menge pro Gebinde fehlt (Ist = 1 Gebinde); ","")&amp;BR1305)</f>
        <v>negativer Bestand (Export -6); </v>
      </c>
      <c r="BK1305" s="48"/>
      <c r="BL1305" s="48"/>
      <c r="BM1305" s="55"/>
      <c r="BN1305" s="50" t="n">
        <v>-6</v>
      </c>
      <c r="BO1305" s="50" t="n">
        <v>26</v>
      </c>
      <c r="BP1305" s="49" t="n">
        <v>-1221</v>
      </c>
      <c r="BQ1305" s="50" t="n">
        <v>68</v>
      </c>
      <c r="BR1305" s="48"/>
      <c r="BS1305" s="53" t="n">
        <v>0</v>
      </c>
      <c r="BT1305" s="53" t="n">
        <v>1305</v>
      </c>
      <c r="BU1305" s="48" t="str">
        <f aca="false">IF(U1305&lt;&gt;"",UPPER(TRIM(U1305)),IF(BX1305=1,UPPER(VLOOKUP(T1305,Parameter!$I$27:$K$29,2,0)),IF(P1305="","LOSE",P1305)))</f>
        <v>S51</v>
      </c>
      <c r="BV1305" s="50" t="n">
        <f aca="false">IF(BU1305="LOSE",1,IF(N(V1305)&gt;0,V1305,IF(BX1305=1,MAX(1,N(VLOOKUP(T1305,Parameter!$I$27:$K$29,3,0)),H1305,N(N1305)),IF(N(Q1305)&gt;0,Q1305,MAX(1,H1305)))))</f>
        <v>56</v>
      </c>
      <c r="BW1305" s="53" t="n">
        <f aca="false">IF(BU1305="LOSE",1,0)</f>
        <v>0</v>
      </c>
      <c r="BX1305" s="53" t="n">
        <f aca="false">IF(AND(U1305="",OR(P1305="",P1305="LOSE"),T1305&lt;&gt;"",N(S1305)&lt;=0,ISNUMBER(MATCH(T1305,Parameter!$I$27:$I$29,0))),1,0)</f>
        <v>0</v>
      </c>
      <c r="BY1305" s="53" t="n">
        <f aca="false">IF(CL1305&gt;0,INDEX(Parameter!$H$5:$H$7,W1305)/INDEX(Parameter!$E$5:$E$7,W1305),IF(AND(BW1305=0,N(IFERROR(VLOOKUP(BU1305,'Gebinde-Kategorie'!$A$5:$N$45,14,0),0))&gt;0),VLOOKUP(BU1305,'Gebinde-Kategorie'!$A$5:$N$45,14,0)*10+Parameter!$M$23,Parameter!$M$24))</f>
        <v>155</v>
      </c>
      <c r="BZ1305" s="48" t="str">
        <f aca="false">IF(AND(Parameter!$B$19="Ja",E1305&lt;&gt;"",ISNUMBER(MATCH(E1305,Parameter!$I$35:$I$52,0))),VLOOKUP(E1305,Parameter!$I$35:$J$52,2,0),IFERROR(VLOOKUP(D1305,Parameter!$A$35:$C$64,2,0),"Nein"))</f>
        <v>2+3</v>
      </c>
      <c r="CA1305" s="52" t="n">
        <f aca="false">IF(BW1305=0,0,IF(N(S1305)&gt;0,S1305,IFERROR(VLOOKUP(D1305,Parameter!$A$35:$C$64,3,0)+0,0)))</f>
        <v>0</v>
      </c>
      <c r="CB1305" s="48" t="n">
        <f aca="false">IF(AA1305&lt;&gt;"",AA1305,Z1305)</f>
        <v>3</v>
      </c>
      <c r="CC1305" s="48" t="str">
        <f aca="false">IF(OR(CB1305=1,CB1305=2,CB1305=3),IF(Parameter!$E$27="Ja","LIFT",IF(CB1305=1,"L1","L23")),IF(CB1305="Aussen","Aussen","-"))</f>
        <v>LIFT</v>
      </c>
      <c r="CD1305" s="59" t="n">
        <f aca="false">IF(N(AB1305)&gt;0,AB1305,0)</f>
        <v>0</v>
      </c>
      <c r="CE1305" s="53" t="n">
        <f aca="false">IF(ISNUMBER(AE1305),1,0)</f>
        <v>0</v>
      </c>
      <c r="CF1305" s="50" t="n">
        <f aca="false">N(AE1305)</f>
        <v>0</v>
      </c>
      <c r="CG1305" s="50" t="n">
        <f aca="false">N(M1305)+N(N1305)</f>
        <v>39</v>
      </c>
      <c r="CH1305" s="50" t="n">
        <f aca="false">ROUNDUP(H1305/BV1305,0)</f>
        <v>1</v>
      </c>
      <c r="CI1305" s="50" t="n">
        <f aca="false">ROUNDUP(CF1305/BV1305,0)</f>
        <v>0</v>
      </c>
      <c r="CJ1305" s="53" t="n">
        <f aca="false">IF(BW1305=1,0,IFERROR(VLOOKUP(BU1305,'Gebinde-Kategorie'!$A$5:$N$45,5,0)+0,0))</f>
        <v>11</v>
      </c>
      <c r="CK1305" s="53" t="n">
        <f aca="false">IFERROR(IF(OR(CB1305=1,CB1305=2,CB1305=3),N(INDEX(Parameter!$I$5:$I$7,CB1305)),0),0)</f>
        <v>0</v>
      </c>
      <c r="CL1305" s="52" t="n">
        <f aca="false">IF(AND(Parameter!$B$21="Ja",ISNUMBER(W1305),N(X1305)&gt;0),IFERROR(N(INDEX(Parameter!$L$5:$L$7,W1305))*INDEX(Parameter!$E$5:$E$7,W1305)*X1305/SUMIFS($X$7:$X$1843,$W$7:$W$1843,W1305),0),0)</f>
        <v>0</v>
      </c>
    </row>
    <row r="1306" customFormat="false" ht="15" hidden="false" customHeight="false" outlineLevel="0" collapsed="false">
      <c r="A1306" s="48" t="s">
        <v>2324</v>
      </c>
      <c r="B1306" s="48" t="s">
        <v>409</v>
      </c>
      <c r="C1306" s="48" t="s">
        <v>168</v>
      </c>
      <c r="D1306" s="48" t="s">
        <v>177</v>
      </c>
      <c r="E1306" s="48" t="s">
        <v>189</v>
      </c>
      <c r="F1306" s="48" t="s">
        <v>222</v>
      </c>
      <c r="G1306" s="49" t="n">
        <v>0.6</v>
      </c>
      <c r="H1306" s="50" t="n">
        <f aca="false">MAX(0,IF(AND(Parameter!$B$21="Ja",ISNUMBER(Y1306)),Y1306,IF(Parameter!$B$20="Jahresanfang 2025 + Export",BO1306+BN1306,BN1306)))</f>
        <v>1207</v>
      </c>
      <c r="I1306" s="50" t="n">
        <f aca="false">H1306*G1306</f>
        <v>724.2</v>
      </c>
      <c r="J1306" s="50" t="n">
        <f aca="false">BQ1306*Parameter!$B$18</f>
        <v>2375</v>
      </c>
      <c r="K1306" s="51" t="n">
        <v>2079</v>
      </c>
      <c r="L1306" s="52" t="n">
        <v>1.14237614237614</v>
      </c>
      <c r="M1306" s="50" t="n">
        <v>600</v>
      </c>
      <c r="N1306" s="50" t="n">
        <v>500</v>
      </c>
      <c r="O1306" s="53" t="n">
        <v>91</v>
      </c>
      <c r="P1306" s="48" t="s">
        <v>178</v>
      </c>
      <c r="Q1306" s="50" t="n">
        <v>750</v>
      </c>
      <c r="R1306" s="53" t="n">
        <f aca="false">IF(BW1306=1,0,IFERROR(VLOOKUP(BU1306,'Gebinde-Kategorie'!$A$5:$N$45,13,0)+0,0))</f>
        <v>6</v>
      </c>
      <c r="S1306" s="54"/>
      <c r="T1306" s="55"/>
      <c r="U1306" s="55"/>
      <c r="V1306" s="55"/>
      <c r="W1306" s="48"/>
      <c r="X1306" s="50"/>
      <c r="Y1306" s="50"/>
      <c r="Z1306" s="48" t="n">
        <f aca="false">IF(A1306="","",IF(AND(Parameter!$B$21="Ja",ISNUMBER(W1306)),W1306,IF(BZ1306="2+3",IF(ISNUMBER(SEARCH("grosser Artikel",BR1306)),2,IFERROR(VLOOKUP(BU1306,Parameter!$F$35:$G$64,2,0),2)),IF(OR(BZ1306="Nein",BZ1306=""),"-",BZ1306))))</f>
        <v>2</v>
      </c>
      <c r="AA1306" s="55"/>
      <c r="AB1306" s="56"/>
      <c r="AC1306" s="50" t="n">
        <f aca="false">AT1306</f>
        <v>1500</v>
      </c>
      <c r="AD1306" s="50" t="n">
        <f aca="false">MAX(AT1306,H1306)</f>
        <v>1500</v>
      </c>
      <c r="AE1306" s="57"/>
      <c r="AF1306" s="50" t="n">
        <f aca="false">IF(LEFT(Cockpit!$C$5,1)="A",H1306,IF(CE1306=1,CF1306,IF(LEFT(Cockpit!$C$5,1)="B",AK1306,MAX(AK1306,H1306))))</f>
        <v>1207</v>
      </c>
      <c r="AG1306" s="50" t="n">
        <f aca="false">IF(BW1306=1,0,ROUNDUP(AF1306/BV1306,0))</f>
        <v>2</v>
      </c>
      <c r="AH1306" s="52" t="n">
        <f aca="false">IF(CL1306&gt;0,CL1306*MAX(1,AF1306/X1306),IF(BW1306=1,IF(AF1306&lt;=0,0,CA1306*MAX(1,IF(H1306&gt;0,AF1306/H1306,1))),IF(R1306&gt;0,AG1306/R1306,0))/MAX(0.1,N(Parameter!$M$21)))</f>
        <v>0.333333333333333</v>
      </c>
      <c r="AI1306" s="50" t="n">
        <f aca="false">AH1306*BY1306</f>
        <v>78.3333333333333</v>
      </c>
      <c r="AJ1306" s="50" t="n">
        <f aca="false">AF1306*G1306</f>
        <v>724.2</v>
      </c>
      <c r="AK1306" s="50" t="n">
        <f aca="false">ROUNDUP(MAX(J1306/IF(CD1306&gt;0,CD1306,MAX(0.1,N(Cockpit!$C$6))),CG1306)/BV1306,0)*BV1306</f>
        <v>1500</v>
      </c>
      <c r="AL1306" s="51" t="n">
        <f aca="false">IF(AI1306&gt;0,J1306/AI1306,-1)</f>
        <v>30.3191489361702</v>
      </c>
      <c r="AM1306" s="51" t="n">
        <f aca="false">IF(AND(OR(CC1306="L1",CC1306="L23",CC1306="LIFT"),AI1306&gt;0),SUMIFS($AI$7:$AI$1843,$CC$7:$CC$1843,CC1306,$AL$7:$AL$1843,"&gt;"&amp;AL1306)+SUMIFS($AI$7:$AI$1843,$CC$7:$CC$1843,CC1306,$AL$7:$AL$1843,AL1306,$BT$7:$BT$1843,"&lt;="&amp;BT1306),"")</f>
        <v>1481.68498168498</v>
      </c>
      <c r="AN1306" s="58" t="n">
        <f aca="false">IF(AM1306="",0,MAX(0,MIN(1,(IF(CC1306="L1",Parameter!$H$5,IF(CC1306="L23",Parameter!$H$6+Parameter!$H$7,Parameter!$H$5+Parameter!$H$6+Parameter!$H$7))-(AM1306-AI1306))/AI1306)))</f>
        <v>1</v>
      </c>
      <c r="AO1306" s="50" t="n">
        <f aca="false">IF(LEFT(Cockpit!$I$5,1)="A",H1306,IF(CE1306=1,CF1306,IF(LEFT(Cockpit!$I$5,1)="B",AT1306,MAX(AT1306,H1306))))</f>
        <v>1500</v>
      </c>
      <c r="AP1306" s="50" t="n">
        <f aca="false">IF(BW1306=1,0,ROUNDUP(AO1306/BV1306,0))</f>
        <v>2</v>
      </c>
      <c r="AQ1306" s="52" t="n">
        <f aca="false">IF(CL1306&gt;0,CL1306*MAX(1,AO1306/X1306),IF(BW1306=1,IF(AO1306&lt;=0,0,CA1306*MAX(1,IF(H1306&gt;0,AO1306/H1306,1))),IF(R1306&gt;0,AP1306/R1306,0))/MAX(0.1,N(Parameter!$M$21)))</f>
        <v>0.333333333333333</v>
      </c>
      <c r="AR1306" s="50" t="n">
        <f aca="false">AQ1306*BY1306</f>
        <v>78.3333333333333</v>
      </c>
      <c r="AS1306" s="50" t="n">
        <f aca="false">AO1306*G1306</f>
        <v>900</v>
      </c>
      <c r="AT1306" s="50" t="n">
        <f aca="false">ROUNDUP(MAX(J1306/IF(CD1306&gt;0,CD1306,MAX(0.1,N(Cockpit!$I$6))),CG1306)/BV1306,0)*BV1306</f>
        <v>1500</v>
      </c>
      <c r="AU1306" s="51" t="n">
        <f aca="false">IF(AR1306&gt;0,J1306/AR1306,-1)</f>
        <v>30.3191489361702</v>
      </c>
      <c r="AV1306" s="51" t="n">
        <f aca="false">IF(AND(OR(CC1306="L1",CC1306="L23",CC1306="LIFT"),AR1306&gt;0),SUMIFS($AR$7:$AR$1843,$CC$7:$CC$1843,CC1306,$AU$7:$AU$1843,"&gt;"&amp;AU1306)+SUMIFS($AR$7:$AR$1843,$CC$7:$CC$1843,CC1306,$AU$7:$AU$1843,AU1306,$BT$7:$BT$1843,"&lt;="&amp;BT1306),"")</f>
        <v>1985.39926739927</v>
      </c>
      <c r="AW1306" s="58" t="n">
        <f aca="false">IF(AV1306="",0,MAX(0,MIN(1,(IF(CC1306="L1",Parameter!$H$5,IF(CC1306="L23",Parameter!$H$6+Parameter!$H$7,Parameter!$H$5+Parameter!$H$6+Parameter!$H$7))-(AV1306-AR1306))/AR1306)))</f>
        <v>1</v>
      </c>
      <c r="AX1306" s="50" t="n">
        <f aca="false">IF(LEFT(Cockpit!$O$5,1)="A",H1306,IF(CE1306=1,CF1306,IF(LEFT(Cockpit!$O$5,1)="B",BC1306,MAX(BC1306,H1306))))</f>
        <v>1500</v>
      </c>
      <c r="AY1306" s="50" t="n">
        <f aca="false">IF(BW1306=1,0,ROUNDUP(AX1306/BV1306,0))</f>
        <v>2</v>
      </c>
      <c r="AZ1306" s="52" t="n">
        <f aca="false">IF(CL1306&gt;0,CL1306*MAX(1,AX1306/X1306),IF(BW1306=1,IF(AX1306&lt;=0,0,CA1306*MAX(1,IF(H1306&gt;0,AX1306/H1306,1))),IF(R1306&gt;0,AY1306/R1306,0))/MAX(0.1,N(Parameter!$M$21)))</f>
        <v>0.333333333333333</v>
      </c>
      <c r="BA1306" s="50" t="n">
        <f aca="false">AZ1306*BY1306</f>
        <v>78.3333333333333</v>
      </c>
      <c r="BB1306" s="50" t="n">
        <f aca="false">AX1306*G1306</f>
        <v>900</v>
      </c>
      <c r="BC1306" s="50" t="n">
        <f aca="false">ROUNDUP(MAX(J1306/IF(CD1306&gt;0,CD1306,MAX(0.1,N(Cockpit!$O$6))),CG1306)/BV1306,0)*BV1306</f>
        <v>1500</v>
      </c>
      <c r="BD1306" s="51" t="n">
        <f aca="false">IF(BA1306&gt;0,J1306/BA1306,-1)</f>
        <v>30.3191489361702</v>
      </c>
      <c r="BE1306" s="51" t="n">
        <f aca="false">IF(AND(OR(CC1306="L1",CC1306="L23",CC1306="LIFT"),BA1306&gt;0),SUMIFS($BA$7:$BA$1843,$CC$7:$CC$1843,CC1306,$BD$7:$BD$1843,"&gt;"&amp;BD1306)+SUMIFS($BA$7:$BA$1843,$CC$7:$CC$1843,CC1306,$BD$7:$BD$1843,BD1306,$BT$7:$BT$1843,"&lt;="&amp;BT1306),"")</f>
        <v>1869.74221611722</v>
      </c>
      <c r="BF1306" s="58" t="n">
        <f aca="false">IF(BE1306="",0,MAX(0,MIN(1,(IF(CC1306="L1",Parameter!$H$5,IF(CC1306="L23",Parameter!$H$6+Parameter!$H$7,Parameter!$H$5+Parameter!$H$6+Parameter!$H$7))-(BE1306-BA1306))/BA1306)))</f>
        <v>1</v>
      </c>
      <c r="BG1306" s="48" t="str">
        <f aca="false">IF(AI1306&lt;=0,"",IF(CC1306="Aussen","Aussenlager",IF(CC1306="-","Nicht im Lift",IF(AN1306&gt;=1,"Lift",IF(AN1306&lt;=0,"Aussenlager","teilweise")))))</f>
        <v>Lift</v>
      </c>
      <c r="BH1306" s="48" t="str">
        <f aca="false">IF(AR1306&lt;=0,"",IF(CC1306="Aussen","Aussenlager",IF(CC1306="-","Nicht im Lift",IF(AW1306&gt;=1,"Lift",IF(AW1306&lt;=0,"Aussenlager","teilweise")))))</f>
        <v>Lift</v>
      </c>
      <c r="BI1306" s="48" t="str">
        <f aca="false">IF(BA1306&lt;=0,"",IF(CC1306="Aussen","Aussenlager",IF(CC1306="-","Nicht im Lift",IF(BF1306&gt;=1,"Lift",IF(BF1306&lt;=0,"Aussenlager","teilweise")))))</f>
        <v>Lift</v>
      </c>
      <c r="BJ1306" s="48" t="str">
        <f aca="false">IF(A1306="","",IF(BS1306=1,"Neu; ","")&amp;IF(AND(BS1306=0,BN1306&lt;0),"negativer Bestand (Export "&amp;BN1306&amp;"); ","")&amp;IF(J1306&lt;=0,"Kein Verbrauch; ","")&amp;IF(CL1306&gt;0,"Lift "&amp;W1306&amp;" lt. Liftbericht (Fach "&amp;X1306&amp;" Stk); ",IF(BX1306=1,"Gebinde geschätzt ("&amp;T1306&amp;"); ",IF(BW1306=1,"Lose – Tablare geschätzt; ","")))&amp;IF(H1306&gt;AT1306,"Überbestand "&amp;ROUND(H1306-AT1306,0)&amp;" Stk / CHF "&amp;ROUND((H1306-AT1306)*G1306,0)&amp;"; ","")&amp;IF(AND(CE1306=1,CF1306&lt;CG1306),"MAX &lt; MB+LG; ","")&amp;IF(AND(CK1306&gt;0,CJ1306*10&gt;CK1306),"zu hoch für Tablar; ","")&amp;IF(AND(BS1306=0,OR(CE1306=1,AA1306&lt;&gt;"",U1306&lt;&gt;"",V1306&lt;&gt;"",AB1306&lt;&gt;"")),"manuell übersteuert; ","")&amp;IF(AND(BW1306=0,R1306=0),"Gebinde unbekannt / Stellmass fehlt; ","")&amp;IF(AND(BW1306=0,N(V1306)&lt;=0,N(Q1306)&lt;=0),"Menge pro Gebinde fehlt (Ist = 1 Gebinde); ","")&amp;BR1306)</f>
        <v>negativer Bestand (Export -1973); grosse  Artikelmenge</v>
      </c>
      <c r="BK1306" s="48"/>
      <c r="BL1306" s="48"/>
      <c r="BM1306" s="55"/>
      <c r="BN1306" s="50" t="n">
        <v>-1973</v>
      </c>
      <c r="BO1306" s="50" t="n">
        <v>3180</v>
      </c>
      <c r="BP1306" s="49" t="n">
        <v>-1221.58</v>
      </c>
      <c r="BQ1306" s="50" t="n">
        <v>2375</v>
      </c>
      <c r="BR1306" s="48" t="s">
        <v>1611</v>
      </c>
      <c r="BS1306" s="53" t="n">
        <v>0</v>
      </c>
      <c r="BT1306" s="53" t="n">
        <v>1306</v>
      </c>
      <c r="BU1306" s="48" t="str">
        <f aca="false">IF(U1306&lt;&gt;"",UPPER(TRIM(U1306)),IF(BX1306=1,UPPER(VLOOKUP(T1306,Parameter!$I$27:$K$29,2,0)),IF(P1306="","LOSE",P1306)))</f>
        <v>S71</v>
      </c>
      <c r="BV1306" s="50" t="n">
        <f aca="false">IF(BU1306="LOSE",1,IF(N(V1306)&gt;0,V1306,IF(BX1306=1,MAX(1,N(VLOOKUP(T1306,Parameter!$I$27:$K$29,3,0)),H1306,N(N1306)),IF(N(Q1306)&gt;0,Q1306,MAX(1,H1306)))))</f>
        <v>750</v>
      </c>
      <c r="BW1306" s="53" t="n">
        <f aca="false">IF(BU1306="LOSE",1,0)</f>
        <v>0</v>
      </c>
      <c r="BX1306" s="53" t="n">
        <f aca="false">IF(AND(U1306="",OR(P1306="",P1306="LOSE"),T1306&lt;&gt;"",N(S1306)&lt;=0,ISNUMBER(MATCH(T1306,Parameter!$I$27:$I$29,0))),1,0)</f>
        <v>0</v>
      </c>
      <c r="BY1306" s="53" t="n">
        <f aca="false">IF(CL1306&gt;0,INDEX(Parameter!$H$5:$H$7,W1306)/INDEX(Parameter!$E$5:$E$7,W1306),IF(AND(BW1306=0,N(IFERROR(VLOOKUP(BU1306,'Gebinde-Kategorie'!$A$5:$N$45,14,0),0))&gt;0),VLOOKUP(BU1306,'Gebinde-Kategorie'!$A$5:$N$45,14,0)*10+Parameter!$M$23,Parameter!$M$24))</f>
        <v>235</v>
      </c>
      <c r="BZ1306" s="48" t="str">
        <f aca="false">IF(AND(Parameter!$B$19="Ja",E1306&lt;&gt;"",ISNUMBER(MATCH(E1306,Parameter!$I$35:$I$52,0))),VLOOKUP(E1306,Parameter!$I$35:$J$52,2,0),IFERROR(VLOOKUP(D1306,Parameter!$A$35:$C$64,2,0),"Nein"))</f>
        <v>2+3</v>
      </c>
      <c r="CA1306" s="52" t="n">
        <f aca="false">IF(BW1306=0,0,IF(N(S1306)&gt;0,S1306,IFERROR(VLOOKUP(D1306,Parameter!$A$35:$C$64,3,0)+0,0)))</f>
        <v>0</v>
      </c>
      <c r="CB1306" s="48" t="n">
        <f aca="false">IF(AA1306&lt;&gt;"",AA1306,Z1306)</f>
        <v>2</v>
      </c>
      <c r="CC1306" s="48" t="str">
        <f aca="false">IF(OR(CB1306=1,CB1306=2,CB1306=3),IF(Parameter!$E$27="Ja","LIFT",IF(CB1306=1,"L1","L23")),IF(CB1306="Aussen","Aussen","-"))</f>
        <v>LIFT</v>
      </c>
      <c r="CD1306" s="59" t="n">
        <f aca="false">IF(N(AB1306)&gt;0,AB1306,0)</f>
        <v>0</v>
      </c>
      <c r="CE1306" s="53" t="n">
        <f aca="false">IF(ISNUMBER(AE1306),1,0)</f>
        <v>0</v>
      </c>
      <c r="CF1306" s="50" t="n">
        <f aca="false">N(AE1306)</f>
        <v>0</v>
      </c>
      <c r="CG1306" s="50" t="n">
        <f aca="false">N(M1306)+N(N1306)</f>
        <v>1100</v>
      </c>
      <c r="CH1306" s="50" t="n">
        <f aca="false">ROUNDUP(H1306/BV1306,0)</f>
        <v>2</v>
      </c>
      <c r="CI1306" s="50" t="n">
        <f aca="false">ROUNDUP(CF1306/BV1306,0)</f>
        <v>0</v>
      </c>
      <c r="CJ1306" s="53" t="n">
        <f aca="false">IF(BW1306=1,0,IFERROR(VLOOKUP(BU1306,'Gebinde-Kategorie'!$A$5:$N$45,5,0)+0,0))</f>
        <v>20</v>
      </c>
      <c r="CK1306" s="53" t="n">
        <f aca="false">IFERROR(IF(OR(CB1306=1,CB1306=2,CB1306=3),N(INDEX(Parameter!$I$5:$I$7,CB1306)),0),0)</f>
        <v>0</v>
      </c>
      <c r="CL1306" s="52" t="n">
        <f aca="false">IF(AND(Parameter!$B$21="Ja",ISNUMBER(W1306),N(X1306)&gt;0),IFERROR(N(INDEX(Parameter!$L$5:$L$7,W1306))*INDEX(Parameter!$E$5:$E$7,W1306)*X1306/SUMIFS($X$7:$X$1843,$W$7:$W$1843,W1306),0),0)</f>
        <v>0</v>
      </c>
    </row>
    <row r="1307" customFormat="false" ht="15" hidden="false" customHeight="false" outlineLevel="0" collapsed="false">
      <c r="A1307" s="48" t="s">
        <v>2325</v>
      </c>
      <c r="B1307" s="48" t="s">
        <v>2184</v>
      </c>
      <c r="C1307" s="48" t="s">
        <v>460</v>
      </c>
      <c r="D1307" s="48" t="s">
        <v>177</v>
      </c>
      <c r="E1307" s="48" t="s">
        <v>469</v>
      </c>
      <c r="F1307" s="48" t="s">
        <v>222</v>
      </c>
      <c r="G1307" s="49" t="n">
        <v>50.01</v>
      </c>
      <c r="H1307" s="50" t="n">
        <f aca="false">MAX(0,IF(AND(Parameter!$B$21="Ja",ISNUMBER(Y1307)),Y1307,IF(Parameter!$B$20="Jahresanfang 2025 + Export",BO1307+BN1307,BN1307)))</f>
        <v>0</v>
      </c>
      <c r="I1307" s="50" t="n">
        <f aca="false">H1307*G1307</f>
        <v>0</v>
      </c>
      <c r="J1307" s="50" t="n">
        <f aca="false">BQ1307*Parameter!$B$18</f>
        <v>33</v>
      </c>
      <c r="K1307" s="51" t="n">
        <v>20.5</v>
      </c>
      <c r="L1307" s="52" t="n">
        <v>1.60975609756098</v>
      </c>
      <c r="M1307" s="50" t="n">
        <v>1</v>
      </c>
      <c r="N1307" s="50" t="n">
        <v>20</v>
      </c>
      <c r="O1307" s="53" t="n">
        <v>21</v>
      </c>
      <c r="P1307" s="48" t="s">
        <v>172</v>
      </c>
      <c r="Q1307" s="50"/>
      <c r="R1307" s="53" t="n">
        <f aca="false">IF(BW1307=1,0,IFERROR(VLOOKUP(BU1307,'Gebinde-Kategorie'!$A$5:$N$45,13,0)+0,0))</f>
        <v>4</v>
      </c>
      <c r="S1307" s="54"/>
      <c r="T1307" s="55" t="s">
        <v>193</v>
      </c>
      <c r="U1307" s="55"/>
      <c r="V1307" s="55"/>
      <c r="W1307" s="48"/>
      <c r="X1307" s="50"/>
      <c r="Y1307" s="50"/>
      <c r="Z1307" s="48" t="str">
        <f aca="false">IF(A1307="","",IF(AND(Parameter!$B$21="Ja",ISNUMBER(W1307)),W1307,IF(BZ1307="2+3",IF(ISNUMBER(SEARCH("grosser Artikel",BR1307)),2,IFERROR(VLOOKUP(BU1307,Parameter!$F$35:$G$64,2,0),2)),IF(OR(BZ1307="Nein",BZ1307=""),"-",BZ1307))))</f>
        <v>-</v>
      </c>
      <c r="AA1307" s="55"/>
      <c r="AB1307" s="56"/>
      <c r="AC1307" s="50" t="n">
        <f aca="false">AT1307</f>
        <v>40</v>
      </c>
      <c r="AD1307" s="50" t="n">
        <f aca="false">MAX(AT1307,H1307)</f>
        <v>40</v>
      </c>
      <c r="AE1307" s="57"/>
      <c r="AF1307" s="50" t="n">
        <f aca="false">IF(LEFT(Cockpit!$C$5,1)="A",H1307,IF(CE1307=1,CF1307,IF(LEFT(Cockpit!$C$5,1)="B",AK1307,MAX(AK1307,H1307))))</f>
        <v>0</v>
      </c>
      <c r="AG1307" s="50" t="n">
        <f aca="false">IF(BW1307=1,0,ROUNDUP(AF1307/BV1307,0))</f>
        <v>0</v>
      </c>
      <c r="AH1307" s="52" t="n">
        <f aca="false">IF(CL1307&gt;0,CL1307*MAX(1,AF1307/X1307),IF(BW1307=1,IF(AF1307&lt;=0,0,CA1307*MAX(1,IF(H1307&gt;0,AF1307/H1307,1))),IF(R1307&gt;0,AG1307/R1307,0))/MAX(0.1,N(Parameter!$M$21)))</f>
        <v>0</v>
      </c>
      <c r="AI1307" s="50" t="n">
        <f aca="false">AH1307*BY1307</f>
        <v>0</v>
      </c>
      <c r="AJ1307" s="50" t="n">
        <f aca="false">AF1307*G1307</f>
        <v>0</v>
      </c>
      <c r="AK1307" s="50" t="n">
        <f aca="false">ROUNDUP(MAX(J1307/IF(CD1307&gt;0,CD1307,MAX(0.1,N(Cockpit!$C$6))),CG1307)/BV1307,0)*BV1307</f>
        <v>40</v>
      </c>
      <c r="AL1307" s="51" t="n">
        <f aca="false">IF(AI1307&gt;0,J1307/AI1307,-1)</f>
        <v>-1</v>
      </c>
      <c r="AM1307" s="51" t="str">
        <f aca="false">IF(AND(OR(CC1307="L1",CC1307="L23",CC1307="LIFT"),AI1307&gt;0),SUMIFS($AI$7:$AI$1843,$CC$7:$CC$1843,CC1307,$AL$7:$AL$1843,"&gt;"&amp;AL1307)+SUMIFS($AI$7:$AI$1843,$CC$7:$CC$1843,CC1307,$AL$7:$AL$1843,AL1307,$BT$7:$BT$1843,"&lt;="&amp;BT1307),"")</f>
        <v/>
      </c>
      <c r="AN1307" s="58" t="n">
        <f aca="false">IF(AM1307="",0,MAX(0,MIN(1,(IF(CC1307="L1",Parameter!$H$5,IF(CC1307="L23",Parameter!$H$6+Parameter!$H$7,Parameter!$H$5+Parameter!$H$6+Parameter!$H$7))-(AM1307-AI1307))/AI1307)))</f>
        <v>0</v>
      </c>
      <c r="AO1307" s="50" t="n">
        <f aca="false">IF(LEFT(Cockpit!$I$5,1)="A",H1307,IF(CE1307=1,CF1307,IF(LEFT(Cockpit!$I$5,1)="B",AT1307,MAX(AT1307,H1307))))</f>
        <v>40</v>
      </c>
      <c r="AP1307" s="50" t="n">
        <f aca="false">IF(BW1307=1,0,ROUNDUP(AO1307/BV1307,0))</f>
        <v>2</v>
      </c>
      <c r="AQ1307" s="52" t="n">
        <f aca="false">IF(CL1307&gt;0,CL1307*MAX(1,AO1307/X1307),IF(BW1307=1,IF(AO1307&lt;=0,0,CA1307*MAX(1,IF(H1307&gt;0,AO1307/H1307,1))),IF(R1307&gt;0,AP1307/R1307,0))/MAX(0.1,N(Parameter!$M$21)))</f>
        <v>0.5</v>
      </c>
      <c r="AR1307" s="50" t="n">
        <f aca="false">AQ1307*BY1307</f>
        <v>117.5</v>
      </c>
      <c r="AS1307" s="50" t="n">
        <f aca="false">AO1307*G1307</f>
        <v>2000.4</v>
      </c>
      <c r="AT1307" s="50" t="n">
        <f aca="false">ROUNDUP(MAX(J1307/IF(CD1307&gt;0,CD1307,MAX(0.1,N(Cockpit!$I$6))),CG1307)/BV1307,0)*BV1307</f>
        <v>40</v>
      </c>
      <c r="AU1307" s="51" t="n">
        <f aca="false">IF(AR1307&gt;0,J1307/AR1307,-1)</f>
        <v>0.280851063829787</v>
      </c>
      <c r="AV1307" s="51" t="str">
        <f aca="false">IF(AND(OR(CC1307="L1",CC1307="L23",CC1307="LIFT"),AR1307&gt;0),SUMIFS($AR$7:$AR$1843,$CC$7:$CC$1843,CC1307,$AU$7:$AU$1843,"&gt;"&amp;AU1307)+SUMIFS($AR$7:$AR$1843,$CC$7:$CC$1843,CC1307,$AU$7:$AU$1843,AU1307,$BT$7:$BT$1843,"&lt;="&amp;BT1307),"")</f>
        <v/>
      </c>
      <c r="AW1307" s="58" t="n">
        <f aca="false">IF(AV1307="",0,MAX(0,MIN(1,(IF(CC1307="L1",Parameter!$H$5,IF(CC1307="L23",Parameter!$H$6+Parameter!$H$7,Parameter!$H$5+Parameter!$H$6+Parameter!$H$7))-(AV1307-AR1307))/AR1307)))</f>
        <v>0</v>
      </c>
      <c r="AX1307" s="50" t="n">
        <f aca="false">IF(LEFT(Cockpit!$O$5,1)="A",H1307,IF(CE1307=1,CF1307,IF(LEFT(Cockpit!$O$5,1)="B",BC1307,MAX(BC1307,H1307))))</f>
        <v>40</v>
      </c>
      <c r="AY1307" s="50" t="n">
        <f aca="false">IF(BW1307=1,0,ROUNDUP(AX1307/BV1307,0))</f>
        <v>2</v>
      </c>
      <c r="AZ1307" s="52" t="n">
        <f aca="false">IF(CL1307&gt;0,CL1307*MAX(1,AX1307/X1307),IF(BW1307=1,IF(AX1307&lt;=0,0,CA1307*MAX(1,IF(H1307&gt;0,AX1307/H1307,1))),IF(R1307&gt;0,AY1307/R1307,0))/MAX(0.1,N(Parameter!$M$21)))</f>
        <v>0.5</v>
      </c>
      <c r="BA1307" s="50" t="n">
        <f aca="false">AZ1307*BY1307</f>
        <v>117.5</v>
      </c>
      <c r="BB1307" s="50" t="n">
        <f aca="false">AX1307*G1307</f>
        <v>2000.4</v>
      </c>
      <c r="BC1307" s="50" t="n">
        <f aca="false">ROUNDUP(MAX(J1307/IF(CD1307&gt;0,CD1307,MAX(0.1,N(Cockpit!$O$6))),CG1307)/BV1307,0)*BV1307</f>
        <v>40</v>
      </c>
      <c r="BD1307" s="51" t="n">
        <f aca="false">IF(BA1307&gt;0,J1307/BA1307,-1)</f>
        <v>0.280851063829787</v>
      </c>
      <c r="BE1307" s="51" t="str">
        <f aca="false">IF(AND(OR(CC1307="L1",CC1307="L23",CC1307="LIFT"),BA1307&gt;0),SUMIFS($BA$7:$BA$1843,$CC$7:$CC$1843,CC1307,$BD$7:$BD$1843,"&gt;"&amp;BD1307)+SUMIFS($BA$7:$BA$1843,$CC$7:$CC$1843,CC1307,$BD$7:$BD$1843,BD1307,$BT$7:$BT$1843,"&lt;="&amp;BT1307),"")</f>
        <v/>
      </c>
      <c r="BF1307" s="58" t="n">
        <f aca="false">IF(BE1307="",0,MAX(0,MIN(1,(IF(CC1307="L1",Parameter!$H$5,IF(CC1307="L23",Parameter!$H$6+Parameter!$H$7,Parameter!$H$5+Parameter!$H$6+Parameter!$H$7))-(BE1307-BA1307))/BA1307)))</f>
        <v>0</v>
      </c>
      <c r="BG1307" s="48" t="str">
        <f aca="false">IF(AI1307&lt;=0,"",IF(CC1307="Aussen","Aussenlager",IF(CC1307="-","Nicht im Lift",IF(AN1307&gt;=1,"Lift",IF(AN1307&lt;=0,"Aussenlager","teilweise")))))</f>
        <v/>
      </c>
      <c r="BH1307" s="48" t="str">
        <f aca="false">IF(AR1307&lt;=0,"",IF(CC1307="Aussen","Aussenlager",IF(CC1307="-","Nicht im Lift",IF(AW1307&gt;=1,"Lift",IF(AW1307&lt;=0,"Aussenlager","teilweise")))))</f>
        <v>Nicht im Lift</v>
      </c>
      <c r="BI1307" s="48" t="str">
        <f aca="false">IF(BA1307&lt;=0,"",IF(CC1307="Aussen","Aussenlager",IF(CC1307="-","Nicht im Lift",IF(BF1307&gt;=1,"Lift",IF(BF1307&lt;=0,"Aussenlager","teilweise")))))</f>
        <v>Nicht im Lift</v>
      </c>
      <c r="BJ1307" s="48" t="str">
        <f aca="false">IF(A1307="","",IF(BS1307=1,"Neu; ","")&amp;IF(AND(BS1307=0,BN1307&lt;0),"negativer Bestand (Export "&amp;BN1307&amp;"); ","")&amp;IF(J1307&lt;=0,"Kein Verbrauch; ","")&amp;IF(CL1307&gt;0,"Lift "&amp;W1307&amp;" lt. Liftbericht (Fach "&amp;X1307&amp;" Stk); ",IF(BX1307=1,"Gebinde geschätzt ("&amp;T1307&amp;"); ",IF(BW1307=1,"Lose – Tablare geschätzt; ","")))&amp;IF(H1307&gt;AT1307,"Überbestand "&amp;ROUND(H1307-AT1307,0)&amp;" Stk / CHF "&amp;ROUND((H1307-AT1307)*G1307,0)&amp;"; ","")&amp;IF(AND(CE1307=1,CF1307&lt;CG1307),"MAX &lt; MB+LG; ","")&amp;IF(AND(CK1307&gt;0,CJ1307*10&gt;CK1307),"zu hoch für Tablar; ","")&amp;IF(AND(BS1307=0,OR(CE1307=1,AA1307&lt;&gt;"",U1307&lt;&gt;"",V1307&lt;&gt;"",AB1307&lt;&gt;"")),"manuell übersteuert; ","")&amp;IF(AND(BW1307=0,R1307=0),"Gebinde unbekannt / Stellmass fehlt; ","")&amp;IF(AND(BW1307=0,N(V1307)&lt;=0,N(Q1307)&lt;=0),"Menge pro Gebinde fehlt (Ist = 1 Gebinde); ","")&amp;BR1307)</f>
        <v>negativer Bestand (Export -25); Gebinde geschätzt (Gross); Menge pro Gebinde fehlt (Ist = 1 Gebinde); </v>
      </c>
      <c r="BK1307" s="48"/>
      <c r="BL1307" s="48"/>
      <c r="BM1307" s="55"/>
      <c r="BN1307" s="50" t="n">
        <v>-25</v>
      </c>
      <c r="BO1307" s="50" t="n">
        <v>25</v>
      </c>
      <c r="BP1307" s="49" t="n">
        <v>-1239.5</v>
      </c>
      <c r="BQ1307" s="50" t="n">
        <v>33</v>
      </c>
      <c r="BR1307" s="48"/>
      <c r="BS1307" s="53" t="n">
        <v>0</v>
      </c>
      <c r="BT1307" s="53" t="n">
        <v>1307</v>
      </c>
      <c r="BU1307" s="48" t="str">
        <f aca="false">IF(U1307&lt;&gt;"",UPPER(TRIM(U1307)),IF(BX1307=1,UPPER(VLOOKUP(T1307,Parameter!$I$27:$K$29,2,0)),IF(P1307="","LOSE",P1307)))</f>
        <v>S81</v>
      </c>
      <c r="BV1307" s="50" t="n">
        <f aca="false">IF(BU1307="LOSE",1,IF(N(V1307)&gt;0,V1307,IF(BX1307=1,MAX(1,N(VLOOKUP(T1307,Parameter!$I$27:$K$29,3,0)),H1307,N(N1307)),IF(N(Q1307)&gt;0,Q1307,MAX(1,H1307)))))</f>
        <v>20</v>
      </c>
      <c r="BW1307" s="53" t="n">
        <f aca="false">IF(BU1307="LOSE",1,0)</f>
        <v>0</v>
      </c>
      <c r="BX1307" s="53" t="n">
        <f aca="false">IF(AND(U1307="",OR(P1307="",P1307="LOSE"),T1307&lt;&gt;"",N(S1307)&lt;=0,ISNUMBER(MATCH(T1307,Parameter!$I$27:$I$29,0))),1,0)</f>
        <v>1</v>
      </c>
      <c r="BY1307" s="53" t="n">
        <f aca="false">IF(CL1307&gt;0,INDEX(Parameter!$H$5:$H$7,W1307)/INDEX(Parameter!$E$5:$E$7,W1307),IF(AND(BW1307=0,N(IFERROR(VLOOKUP(BU1307,'Gebinde-Kategorie'!$A$5:$N$45,14,0),0))&gt;0),VLOOKUP(BU1307,'Gebinde-Kategorie'!$A$5:$N$45,14,0)*10+Parameter!$M$23,Parameter!$M$24))</f>
        <v>235</v>
      </c>
      <c r="BZ1307" s="48" t="str">
        <f aca="false">IF(AND(Parameter!$B$19="Ja",E1307&lt;&gt;"",ISNUMBER(MATCH(E1307,Parameter!$I$35:$I$52,0))),VLOOKUP(E1307,Parameter!$I$35:$J$52,2,0),IFERROR(VLOOKUP(D1307,Parameter!$A$35:$C$64,2,0),"Nein"))</f>
        <v>Nein</v>
      </c>
      <c r="CA1307" s="52" t="n">
        <f aca="false">IF(BW1307=0,0,IF(N(S1307)&gt;0,S1307,IFERROR(VLOOKUP(D1307,Parameter!$A$35:$C$64,3,0)+0,0)))</f>
        <v>0</v>
      </c>
      <c r="CB1307" s="48" t="str">
        <f aca="false">IF(AA1307&lt;&gt;"",AA1307,Z1307)</f>
        <v>-</v>
      </c>
      <c r="CC1307" s="48" t="str">
        <f aca="false">IF(OR(CB1307=1,CB1307=2,CB1307=3),IF(Parameter!$E$27="Ja","LIFT",IF(CB1307=1,"L1","L23")),IF(CB1307="Aussen","Aussen","-"))</f>
        <v>-</v>
      </c>
      <c r="CD1307" s="59" t="n">
        <f aca="false">IF(N(AB1307)&gt;0,AB1307,0)</f>
        <v>0</v>
      </c>
      <c r="CE1307" s="53" t="n">
        <f aca="false">IF(ISNUMBER(AE1307),1,0)</f>
        <v>0</v>
      </c>
      <c r="CF1307" s="50" t="n">
        <f aca="false">N(AE1307)</f>
        <v>0</v>
      </c>
      <c r="CG1307" s="50" t="n">
        <f aca="false">N(M1307)+N(N1307)</f>
        <v>21</v>
      </c>
      <c r="CH1307" s="50" t="n">
        <f aca="false">ROUNDUP(H1307/BV1307,0)</f>
        <v>0</v>
      </c>
      <c r="CI1307" s="50" t="n">
        <f aca="false">ROUNDUP(CF1307/BV1307,0)</f>
        <v>0</v>
      </c>
      <c r="CJ1307" s="53" t="n">
        <f aca="false">IF(BW1307=1,0,IFERROR(VLOOKUP(BU1307,'Gebinde-Kategorie'!$A$5:$N$45,5,0)+0,0))</f>
        <v>20</v>
      </c>
      <c r="CK1307" s="53" t="n">
        <f aca="false">IFERROR(IF(OR(CB1307=1,CB1307=2,CB1307=3),N(INDEX(Parameter!$I$5:$I$7,CB1307)),0),0)</f>
        <v>0</v>
      </c>
      <c r="CL1307" s="52" t="n">
        <f aca="false">IF(AND(Parameter!$B$21="Ja",ISNUMBER(W1307),N(X1307)&gt;0),IFERROR(N(INDEX(Parameter!$L$5:$L$7,W1307))*INDEX(Parameter!$E$5:$E$7,W1307)*X1307/SUMIFS($X$7:$X$1843,$W$7:$W$1843,W1307),0),0)</f>
        <v>0</v>
      </c>
    </row>
    <row r="1308" customFormat="false" ht="15" hidden="false" customHeight="false" outlineLevel="0" collapsed="false">
      <c r="A1308" s="48" t="s">
        <v>2326</v>
      </c>
      <c r="B1308" s="48" t="s">
        <v>2327</v>
      </c>
      <c r="C1308" s="48" t="s">
        <v>168</v>
      </c>
      <c r="D1308" s="48" t="s">
        <v>188</v>
      </c>
      <c r="E1308" s="48" t="s">
        <v>189</v>
      </c>
      <c r="F1308" s="48" t="s">
        <v>222</v>
      </c>
      <c r="G1308" s="49" t="n">
        <v>28.8</v>
      </c>
      <c r="H1308" s="50" t="n">
        <f aca="false">MAX(0,IF(AND(Parameter!$B$21="Ja",ISNUMBER(Y1308)),Y1308,IF(Parameter!$B$20="Jahresanfang 2025 + Export",BO1308+BN1308,BN1308)))</f>
        <v>79</v>
      </c>
      <c r="I1308" s="50" t="n">
        <f aca="false">H1308*G1308</f>
        <v>2275.2</v>
      </c>
      <c r="J1308" s="50" t="n">
        <f aca="false">BQ1308*Parameter!$B$18</f>
        <v>180</v>
      </c>
      <c r="K1308" s="51" t="n">
        <v>93</v>
      </c>
      <c r="L1308" s="52" t="n">
        <v>1.93548387096774</v>
      </c>
      <c r="M1308" s="50" t="n">
        <v>4</v>
      </c>
      <c r="N1308" s="50" t="n">
        <v>130</v>
      </c>
      <c r="O1308" s="53" t="n">
        <v>7</v>
      </c>
      <c r="P1308" s="48" t="s">
        <v>237</v>
      </c>
      <c r="Q1308" s="50" t="n">
        <v>87</v>
      </c>
      <c r="R1308" s="53" t="n">
        <f aca="false">IF(BW1308=1,0,IFERROR(VLOOKUP(BU1308,'Gebinde-Kategorie'!$A$5:$N$45,13,0)+0,0))</f>
        <v>26</v>
      </c>
      <c r="S1308" s="54"/>
      <c r="T1308" s="55"/>
      <c r="U1308" s="55"/>
      <c r="V1308" s="55"/>
      <c r="W1308" s="48"/>
      <c r="X1308" s="50"/>
      <c r="Y1308" s="50"/>
      <c r="Z1308" s="48" t="n">
        <f aca="false">IF(A1308="","",IF(AND(Parameter!$B$21="Ja",ISNUMBER(W1308)),W1308,IF(BZ1308="2+3",IF(ISNUMBER(SEARCH("grosser Artikel",BR1308)),2,IFERROR(VLOOKUP(BU1308,Parameter!$F$35:$G$64,2,0),2)),IF(OR(BZ1308="Nein",BZ1308=""),"-",BZ1308))))</f>
        <v>3</v>
      </c>
      <c r="AA1308" s="55"/>
      <c r="AB1308" s="56"/>
      <c r="AC1308" s="50" t="n">
        <f aca="false">AT1308</f>
        <v>174</v>
      </c>
      <c r="AD1308" s="50" t="n">
        <f aca="false">MAX(AT1308,H1308)</f>
        <v>174</v>
      </c>
      <c r="AE1308" s="57"/>
      <c r="AF1308" s="50" t="n">
        <f aca="false">IF(LEFT(Cockpit!$C$5,1)="A",H1308,IF(CE1308=1,CF1308,IF(LEFT(Cockpit!$C$5,1)="B",AK1308,MAX(AK1308,H1308))))</f>
        <v>79</v>
      </c>
      <c r="AG1308" s="50" t="n">
        <f aca="false">IF(BW1308=1,0,ROUNDUP(AF1308/BV1308,0))</f>
        <v>1</v>
      </c>
      <c r="AH1308" s="52" t="n">
        <f aca="false">IF(CL1308&gt;0,CL1308*MAX(1,AF1308/X1308),IF(BW1308=1,IF(AF1308&lt;=0,0,CA1308*MAX(1,IF(H1308&gt;0,AF1308/H1308,1))),IF(R1308&gt;0,AG1308/R1308,0))/MAX(0.1,N(Parameter!$M$21)))</f>
        <v>0.0384615384615385</v>
      </c>
      <c r="AI1308" s="50" t="n">
        <f aca="false">AH1308*BY1308</f>
        <v>9.42307692307692</v>
      </c>
      <c r="AJ1308" s="50" t="n">
        <f aca="false">AF1308*G1308</f>
        <v>2275.2</v>
      </c>
      <c r="AK1308" s="50" t="n">
        <f aca="false">ROUNDUP(MAX(J1308/IF(CD1308&gt;0,CD1308,MAX(0.1,N(Cockpit!$C$6))),CG1308)/BV1308,0)*BV1308</f>
        <v>174</v>
      </c>
      <c r="AL1308" s="51" t="n">
        <f aca="false">IF(AI1308&gt;0,J1308/AI1308,-1)</f>
        <v>19.1020408163265</v>
      </c>
      <c r="AM1308" s="51" t="n">
        <f aca="false">IF(AND(OR(CC1308="L1",CC1308="L23",CC1308="LIFT"),AI1308&gt;0),SUMIFS($AI$7:$AI$1843,$CC$7:$CC$1843,CC1308,$AL$7:$AL$1843,"&gt;"&amp;AL1308)+SUMIFS($AI$7:$AI$1843,$CC$7:$CC$1843,CC1308,$AL$7:$AL$1843,AL1308,$BT$7:$BT$1843,"&lt;="&amp;BT1308),"")</f>
        <v>1746.39743589744</v>
      </c>
      <c r="AN1308" s="58" t="n">
        <f aca="false">IF(AM1308="",0,MAX(0,MIN(1,(IF(CC1308="L1",Parameter!$H$5,IF(CC1308="L23",Parameter!$H$6+Parameter!$H$7,Parameter!$H$5+Parameter!$H$6+Parameter!$H$7))-(AM1308-AI1308))/AI1308)))</f>
        <v>1</v>
      </c>
      <c r="AO1308" s="50" t="n">
        <f aca="false">IF(LEFT(Cockpit!$I$5,1)="A",H1308,IF(CE1308=1,CF1308,IF(LEFT(Cockpit!$I$5,1)="B",AT1308,MAX(AT1308,H1308))))</f>
        <v>174</v>
      </c>
      <c r="AP1308" s="50" t="n">
        <f aca="false">IF(BW1308=1,0,ROUNDUP(AO1308/BV1308,0))</f>
        <v>2</v>
      </c>
      <c r="AQ1308" s="52" t="n">
        <f aca="false">IF(CL1308&gt;0,CL1308*MAX(1,AO1308/X1308),IF(BW1308=1,IF(AO1308&lt;=0,0,CA1308*MAX(1,IF(H1308&gt;0,AO1308/H1308,1))),IF(R1308&gt;0,AP1308/R1308,0))/MAX(0.1,N(Parameter!$M$21)))</f>
        <v>0.0769230769230769</v>
      </c>
      <c r="AR1308" s="50" t="n">
        <f aca="false">AQ1308*BY1308</f>
        <v>18.8461538461538</v>
      </c>
      <c r="AS1308" s="50" t="n">
        <f aca="false">AO1308*G1308</f>
        <v>5011.2</v>
      </c>
      <c r="AT1308" s="50" t="n">
        <f aca="false">ROUNDUP(MAX(J1308/IF(CD1308&gt;0,CD1308,MAX(0.1,N(Cockpit!$I$6))),CG1308)/BV1308,0)*BV1308</f>
        <v>174</v>
      </c>
      <c r="AU1308" s="51" t="n">
        <f aca="false">IF(AR1308&gt;0,J1308/AR1308,-1)</f>
        <v>9.55102040816326</v>
      </c>
      <c r="AV1308" s="51" t="n">
        <f aca="false">IF(AND(OR(CC1308="L1",CC1308="L23",CC1308="LIFT"),AR1308&gt;0),SUMIFS($AR$7:$AR$1843,$CC$7:$CC$1843,CC1308,$AU$7:$AU$1843,"&gt;"&amp;AU1308)+SUMIFS($AR$7:$AR$1843,$CC$7:$CC$1843,CC1308,$AU$7:$AU$1843,AU1308,$BT$7:$BT$1843,"&lt;="&amp;BT1308),"")</f>
        <v>4117.4532967033</v>
      </c>
      <c r="AW1308" s="58" t="n">
        <f aca="false">IF(AV1308="",0,MAX(0,MIN(1,(IF(CC1308="L1",Parameter!$H$5,IF(CC1308="L23",Parameter!$H$6+Parameter!$H$7,Parameter!$H$5+Parameter!$H$6+Parameter!$H$7))-(AV1308-AR1308))/AR1308)))</f>
        <v>1</v>
      </c>
      <c r="AX1308" s="50" t="n">
        <f aca="false">IF(LEFT(Cockpit!$O$5,1)="A",H1308,IF(CE1308=1,CF1308,IF(LEFT(Cockpit!$O$5,1)="B",BC1308,MAX(BC1308,H1308))))</f>
        <v>174</v>
      </c>
      <c r="AY1308" s="50" t="n">
        <f aca="false">IF(BW1308=1,0,ROUNDUP(AX1308/BV1308,0))</f>
        <v>2</v>
      </c>
      <c r="AZ1308" s="52" t="n">
        <f aca="false">IF(CL1308&gt;0,CL1308*MAX(1,AX1308/X1308),IF(BW1308=1,IF(AX1308&lt;=0,0,CA1308*MAX(1,IF(H1308&gt;0,AX1308/H1308,1))),IF(R1308&gt;0,AY1308/R1308,0))/MAX(0.1,N(Parameter!$M$21)))</f>
        <v>0.0769230769230769</v>
      </c>
      <c r="BA1308" s="50" t="n">
        <f aca="false">AZ1308*BY1308</f>
        <v>18.8461538461538</v>
      </c>
      <c r="BB1308" s="50" t="n">
        <f aca="false">AX1308*G1308</f>
        <v>5011.2</v>
      </c>
      <c r="BC1308" s="50" t="n">
        <f aca="false">ROUNDUP(MAX(J1308/IF(CD1308&gt;0,CD1308,MAX(0.1,N(Cockpit!$O$6))),CG1308)/BV1308,0)*BV1308</f>
        <v>174</v>
      </c>
      <c r="BD1308" s="51" t="n">
        <f aca="false">IF(BA1308&gt;0,J1308/BA1308,-1)</f>
        <v>9.55102040816326</v>
      </c>
      <c r="BE1308" s="51" t="n">
        <f aca="false">IF(AND(OR(CC1308="L1",CC1308="L23",CC1308="LIFT"),BA1308&gt;0),SUMIFS($BA$7:$BA$1843,$CC$7:$CC$1843,CC1308,$BD$7:$BD$1843,"&gt;"&amp;BD1308)+SUMIFS($BA$7:$BA$1843,$CC$7:$CC$1843,CC1308,$BD$7:$BD$1843,BD1308,$BT$7:$BT$1843,"&lt;="&amp;BT1308),"")</f>
        <v>3775.5782967033</v>
      </c>
      <c r="BF1308" s="58" t="n">
        <f aca="false">IF(BE1308="",0,MAX(0,MIN(1,(IF(CC1308="L1",Parameter!$H$5,IF(CC1308="L23",Parameter!$H$6+Parameter!$H$7,Parameter!$H$5+Parameter!$H$6+Parameter!$H$7))-(BE1308-BA1308))/BA1308)))</f>
        <v>1</v>
      </c>
      <c r="BG1308" s="48" t="str">
        <f aca="false">IF(AI1308&lt;=0,"",IF(CC1308="Aussen","Aussenlager",IF(CC1308="-","Nicht im Lift",IF(AN1308&gt;=1,"Lift",IF(AN1308&lt;=0,"Aussenlager","teilweise")))))</f>
        <v>Lift</v>
      </c>
      <c r="BH1308" s="48" t="str">
        <f aca="false">IF(AR1308&lt;=0,"",IF(CC1308="Aussen","Aussenlager",IF(CC1308="-","Nicht im Lift",IF(AW1308&gt;=1,"Lift",IF(AW1308&lt;=0,"Aussenlager","teilweise")))))</f>
        <v>Lift</v>
      </c>
      <c r="BI1308" s="48" t="str">
        <f aca="false">IF(BA1308&lt;=0,"",IF(CC1308="Aussen","Aussenlager",IF(CC1308="-","Nicht im Lift",IF(BF1308&gt;=1,"Lift",IF(BF1308&lt;=0,"Aussenlager","teilweise")))))</f>
        <v>Lift</v>
      </c>
      <c r="BJ1308" s="48" t="str">
        <f aca="false">IF(A1308="","",IF(BS1308=1,"Neu; ","")&amp;IF(AND(BS1308=0,BN1308&lt;0),"negativer Bestand (Export "&amp;BN1308&amp;"); ","")&amp;IF(J1308&lt;=0,"Kein Verbrauch; ","")&amp;IF(CL1308&gt;0,"Lift "&amp;W1308&amp;" lt. Liftbericht (Fach "&amp;X1308&amp;" Stk); ",IF(BX1308=1,"Gebinde geschätzt ("&amp;T1308&amp;"); ",IF(BW1308=1,"Lose – Tablare geschätzt; ","")))&amp;IF(H1308&gt;AT1308,"Überbestand "&amp;ROUND(H1308-AT1308,0)&amp;" Stk / CHF "&amp;ROUND((H1308-AT1308)*G1308,0)&amp;"; ","")&amp;IF(AND(CE1308=1,CF1308&lt;CG1308),"MAX &lt; MB+LG; ","")&amp;IF(AND(CK1308&gt;0,CJ1308*10&gt;CK1308),"zu hoch für Tablar; ","")&amp;IF(AND(BS1308=0,OR(CE1308=1,AA1308&lt;&gt;"",U1308&lt;&gt;"",V1308&lt;&gt;"",AB1308&lt;&gt;"")),"manuell übersteuert; ","")&amp;IF(AND(BW1308=0,R1308=0),"Gebinde unbekannt / Stellmass fehlt; ","")&amp;IF(AND(BW1308=0,N(V1308)&lt;=0,N(Q1308)&lt;=0),"Menge pro Gebinde fehlt (Ist = 1 Gebinde); ","")&amp;BR1308)</f>
        <v>negativer Bestand (Export -44); </v>
      </c>
      <c r="BK1308" s="48"/>
      <c r="BL1308" s="48"/>
      <c r="BM1308" s="55"/>
      <c r="BN1308" s="50" t="n">
        <v>-44</v>
      </c>
      <c r="BO1308" s="50" t="n">
        <v>123</v>
      </c>
      <c r="BP1308" s="49" t="n">
        <v>-1264.74</v>
      </c>
      <c r="BQ1308" s="50" t="n">
        <v>180</v>
      </c>
      <c r="BR1308" s="48"/>
      <c r="BS1308" s="53" t="n">
        <v>0</v>
      </c>
      <c r="BT1308" s="53" t="n">
        <v>1308</v>
      </c>
      <c r="BU1308" s="48" t="str">
        <f aca="false">IF(U1308&lt;&gt;"",UPPER(TRIM(U1308)),IF(BX1308=1,UPPER(VLOOKUP(T1308,Parameter!$I$27:$K$29,2,0)),IF(P1308="","LOSE",P1308)))</f>
        <v>S52</v>
      </c>
      <c r="BV1308" s="50" t="n">
        <f aca="false">IF(BU1308="LOSE",1,IF(N(V1308)&gt;0,V1308,IF(BX1308=1,MAX(1,N(VLOOKUP(T1308,Parameter!$I$27:$K$29,3,0)),H1308,N(N1308)),IF(N(Q1308)&gt;0,Q1308,MAX(1,H1308)))))</f>
        <v>87</v>
      </c>
      <c r="BW1308" s="53" t="n">
        <f aca="false">IF(BU1308="LOSE",1,0)</f>
        <v>0</v>
      </c>
      <c r="BX1308" s="53" t="n">
        <f aca="false">IF(AND(U1308="",OR(P1308="",P1308="LOSE"),T1308&lt;&gt;"",N(S1308)&lt;=0,ISNUMBER(MATCH(T1308,Parameter!$I$27:$I$29,0))),1,0)</f>
        <v>0</v>
      </c>
      <c r="BY1308" s="53" t="n">
        <f aca="false">IF(CL1308&gt;0,INDEX(Parameter!$H$5:$H$7,W1308)/INDEX(Parameter!$E$5:$E$7,W1308),IF(AND(BW1308=0,N(IFERROR(VLOOKUP(BU1308,'Gebinde-Kategorie'!$A$5:$N$45,14,0),0))&gt;0),VLOOKUP(BU1308,'Gebinde-Kategorie'!$A$5:$N$45,14,0)*10+Parameter!$M$23,Parameter!$M$24))</f>
        <v>245</v>
      </c>
      <c r="BZ1308" s="48" t="str">
        <f aca="false">IF(AND(Parameter!$B$19="Ja",E1308&lt;&gt;"",ISNUMBER(MATCH(E1308,Parameter!$I$35:$I$52,0))),VLOOKUP(E1308,Parameter!$I$35:$J$52,2,0),IFERROR(VLOOKUP(D1308,Parameter!$A$35:$C$64,2,0),"Nein"))</f>
        <v>2+3</v>
      </c>
      <c r="CA1308" s="52" t="n">
        <f aca="false">IF(BW1308=0,0,IF(N(S1308)&gt;0,S1308,IFERROR(VLOOKUP(D1308,Parameter!$A$35:$C$64,3,0)+0,0)))</f>
        <v>0</v>
      </c>
      <c r="CB1308" s="48" t="n">
        <f aca="false">IF(AA1308&lt;&gt;"",AA1308,Z1308)</f>
        <v>3</v>
      </c>
      <c r="CC1308" s="48" t="str">
        <f aca="false">IF(OR(CB1308=1,CB1308=2,CB1308=3),IF(Parameter!$E$27="Ja","LIFT",IF(CB1308=1,"L1","L23")),IF(CB1308="Aussen","Aussen","-"))</f>
        <v>LIFT</v>
      </c>
      <c r="CD1308" s="59" t="n">
        <f aca="false">IF(N(AB1308)&gt;0,AB1308,0)</f>
        <v>0</v>
      </c>
      <c r="CE1308" s="53" t="n">
        <f aca="false">IF(ISNUMBER(AE1308),1,0)</f>
        <v>0</v>
      </c>
      <c r="CF1308" s="50" t="n">
        <f aca="false">N(AE1308)</f>
        <v>0</v>
      </c>
      <c r="CG1308" s="50" t="n">
        <f aca="false">N(M1308)+N(N1308)</f>
        <v>134</v>
      </c>
      <c r="CH1308" s="50" t="n">
        <f aca="false">ROUNDUP(H1308/BV1308,0)</f>
        <v>1</v>
      </c>
      <c r="CI1308" s="50" t="n">
        <f aca="false">ROUNDUP(CF1308/BV1308,0)</f>
        <v>0</v>
      </c>
      <c r="CJ1308" s="53" t="n">
        <f aca="false">IF(BW1308=1,0,IFERROR(VLOOKUP(BU1308,'Gebinde-Kategorie'!$A$5:$N$45,5,0)+0,0))</f>
        <v>21</v>
      </c>
      <c r="CK1308" s="53" t="n">
        <f aca="false">IFERROR(IF(OR(CB1308=1,CB1308=2,CB1308=3),N(INDEX(Parameter!$I$5:$I$7,CB1308)),0),0)</f>
        <v>0</v>
      </c>
      <c r="CL1308" s="52" t="n">
        <f aca="false">IF(AND(Parameter!$B$21="Ja",ISNUMBER(W1308),N(X1308)&gt;0),IFERROR(N(INDEX(Parameter!$L$5:$L$7,W1308))*INDEX(Parameter!$E$5:$E$7,W1308)*X1308/SUMIFS($X$7:$X$1843,$W$7:$W$1843,W1308),0),0)</f>
        <v>0</v>
      </c>
    </row>
    <row r="1309" customFormat="false" ht="15" hidden="false" customHeight="false" outlineLevel="0" collapsed="false">
      <c r="A1309" s="48" t="s">
        <v>2328</v>
      </c>
      <c r="B1309" s="48" t="s">
        <v>429</v>
      </c>
      <c r="C1309" s="48" t="s">
        <v>168</v>
      </c>
      <c r="D1309" s="48" t="s">
        <v>188</v>
      </c>
      <c r="E1309" s="48" t="s">
        <v>189</v>
      </c>
      <c r="F1309" s="48" t="s">
        <v>222</v>
      </c>
      <c r="G1309" s="49" t="n">
        <v>24.31</v>
      </c>
      <c r="H1309" s="50" t="n">
        <f aca="false">MAX(0,IF(AND(Parameter!$B$21="Ja",ISNUMBER(Y1309)),Y1309,IF(Parameter!$B$20="Jahresanfang 2025 + Export",BO1309+BN1309,BN1309)))</f>
        <v>37</v>
      </c>
      <c r="I1309" s="50" t="n">
        <f aca="false">H1309*G1309</f>
        <v>899.47</v>
      </c>
      <c r="J1309" s="50" t="n">
        <f aca="false">BQ1309*Parameter!$B$18</f>
        <v>77</v>
      </c>
      <c r="K1309" s="51" t="n">
        <v>57.5</v>
      </c>
      <c r="L1309" s="52" t="n">
        <v>1.33913043478261</v>
      </c>
      <c r="M1309" s="50" t="n">
        <v>2</v>
      </c>
      <c r="N1309" s="50" t="n">
        <v>75</v>
      </c>
      <c r="O1309" s="53" t="n">
        <v>14</v>
      </c>
      <c r="P1309" s="48" t="s">
        <v>306</v>
      </c>
      <c r="Q1309" s="50" t="n">
        <v>164</v>
      </c>
      <c r="R1309" s="53" t="n">
        <f aca="false">IF(BW1309=1,0,IFERROR(VLOOKUP(BU1309,'Gebinde-Kategorie'!$A$5:$N$45,13,0)+0,0))</f>
        <v>26</v>
      </c>
      <c r="S1309" s="54"/>
      <c r="T1309" s="55"/>
      <c r="U1309" s="55"/>
      <c r="V1309" s="55"/>
      <c r="W1309" s="48"/>
      <c r="X1309" s="50"/>
      <c r="Y1309" s="50"/>
      <c r="Z1309" s="48" t="n">
        <f aca="false">IF(A1309="","",IF(AND(Parameter!$B$21="Ja",ISNUMBER(W1309)),W1309,IF(BZ1309="2+3",IF(ISNUMBER(SEARCH("grosser Artikel",BR1309)),2,IFERROR(VLOOKUP(BU1309,Parameter!$F$35:$G$64,2,0),2)),IF(OR(BZ1309="Nein",BZ1309=""),"-",BZ1309))))</f>
        <v>3</v>
      </c>
      <c r="AA1309" s="55"/>
      <c r="AB1309" s="56"/>
      <c r="AC1309" s="50" t="n">
        <f aca="false">AT1309</f>
        <v>164</v>
      </c>
      <c r="AD1309" s="50" t="n">
        <f aca="false">MAX(AT1309,H1309)</f>
        <v>164</v>
      </c>
      <c r="AE1309" s="57"/>
      <c r="AF1309" s="50" t="n">
        <f aca="false">IF(LEFT(Cockpit!$C$5,1)="A",H1309,IF(CE1309=1,CF1309,IF(LEFT(Cockpit!$C$5,1)="B",AK1309,MAX(AK1309,H1309))))</f>
        <v>37</v>
      </c>
      <c r="AG1309" s="50" t="n">
        <f aca="false">IF(BW1309=1,0,ROUNDUP(AF1309/BV1309,0))</f>
        <v>1</v>
      </c>
      <c r="AH1309" s="52" t="n">
        <f aca="false">IF(CL1309&gt;0,CL1309*MAX(1,AF1309/X1309),IF(BW1309=1,IF(AF1309&lt;=0,0,CA1309*MAX(1,IF(H1309&gt;0,AF1309/H1309,1))),IF(R1309&gt;0,AG1309/R1309,0))/MAX(0.1,N(Parameter!$M$21)))</f>
        <v>0.0384615384615385</v>
      </c>
      <c r="AI1309" s="50" t="n">
        <f aca="false">AH1309*BY1309</f>
        <v>5.96153846153846</v>
      </c>
      <c r="AJ1309" s="50" t="n">
        <f aca="false">AF1309*G1309</f>
        <v>899.47</v>
      </c>
      <c r="AK1309" s="50" t="n">
        <f aca="false">ROUNDUP(MAX(J1309/IF(CD1309&gt;0,CD1309,MAX(0.1,N(Cockpit!$C$6))),CG1309)/BV1309,0)*BV1309</f>
        <v>164</v>
      </c>
      <c r="AL1309" s="51" t="n">
        <f aca="false">IF(AI1309&gt;0,J1309/AI1309,-1)</f>
        <v>12.9161290322581</v>
      </c>
      <c r="AM1309" s="51" t="n">
        <f aca="false">IF(AND(OR(CC1309="L1",CC1309="L23",CC1309="LIFT"),AI1309&gt;0),SUMIFS($AI$7:$AI$1843,$CC$7:$CC$1843,CC1309,$AL$7:$AL$1843,"&gt;"&amp;AL1309)+SUMIFS($AI$7:$AI$1843,$CC$7:$CC$1843,CC1309,$AL$7:$AL$1843,AL1309,$BT$7:$BT$1843,"&lt;="&amp;BT1309),"")</f>
        <v>2381.58608058608</v>
      </c>
      <c r="AN1309" s="58" t="n">
        <f aca="false">IF(AM1309="",0,MAX(0,MIN(1,(IF(CC1309="L1",Parameter!$H$5,IF(CC1309="L23",Parameter!$H$6+Parameter!$H$7,Parameter!$H$5+Parameter!$H$6+Parameter!$H$7))-(AM1309-AI1309))/AI1309)))</f>
        <v>1</v>
      </c>
      <c r="AO1309" s="50" t="n">
        <f aca="false">IF(LEFT(Cockpit!$I$5,1)="A",H1309,IF(CE1309=1,CF1309,IF(LEFT(Cockpit!$I$5,1)="B",AT1309,MAX(AT1309,H1309))))</f>
        <v>164</v>
      </c>
      <c r="AP1309" s="50" t="n">
        <f aca="false">IF(BW1309=1,0,ROUNDUP(AO1309/BV1309,0))</f>
        <v>1</v>
      </c>
      <c r="AQ1309" s="52" t="n">
        <f aca="false">IF(CL1309&gt;0,CL1309*MAX(1,AO1309/X1309),IF(BW1309=1,IF(AO1309&lt;=0,0,CA1309*MAX(1,IF(H1309&gt;0,AO1309/H1309,1))),IF(R1309&gt;0,AP1309/R1309,0))/MAX(0.1,N(Parameter!$M$21)))</f>
        <v>0.0384615384615385</v>
      </c>
      <c r="AR1309" s="50" t="n">
        <f aca="false">AQ1309*BY1309</f>
        <v>5.96153846153846</v>
      </c>
      <c r="AS1309" s="50" t="n">
        <f aca="false">AO1309*G1309</f>
        <v>3986.84</v>
      </c>
      <c r="AT1309" s="50" t="n">
        <f aca="false">ROUNDUP(MAX(J1309/IF(CD1309&gt;0,CD1309,MAX(0.1,N(Cockpit!$I$6))),CG1309)/BV1309,0)*BV1309</f>
        <v>164</v>
      </c>
      <c r="AU1309" s="51" t="n">
        <f aca="false">IF(AR1309&gt;0,J1309/AR1309,-1)</f>
        <v>12.9161290322581</v>
      </c>
      <c r="AV1309" s="51" t="n">
        <f aca="false">IF(AND(OR(CC1309="L1",CC1309="L23",CC1309="LIFT"),AR1309&gt;0),SUMIFS($AR$7:$AR$1843,$CC$7:$CC$1843,CC1309,$AU$7:$AU$1843,"&gt;"&amp;AU1309)+SUMIFS($AR$7:$AR$1843,$CC$7:$CC$1843,CC1309,$AU$7:$AU$1843,AU1309,$BT$7:$BT$1843,"&lt;="&amp;BT1309),"")</f>
        <v>3560.57554945055</v>
      </c>
      <c r="AW1309" s="58" t="n">
        <f aca="false">IF(AV1309="",0,MAX(0,MIN(1,(IF(CC1309="L1",Parameter!$H$5,IF(CC1309="L23",Parameter!$H$6+Parameter!$H$7,Parameter!$H$5+Parameter!$H$6+Parameter!$H$7))-(AV1309-AR1309))/AR1309)))</f>
        <v>1</v>
      </c>
      <c r="AX1309" s="50" t="n">
        <f aca="false">IF(LEFT(Cockpit!$O$5,1)="A",H1309,IF(CE1309=1,CF1309,IF(LEFT(Cockpit!$O$5,1)="B",BC1309,MAX(BC1309,H1309))))</f>
        <v>164</v>
      </c>
      <c r="AY1309" s="50" t="n">
        <f aca="false">IF(BW1309=1,0,ROUNDUP(AX1309/BV1309,0))</f>
        <v>1</v>
      </c>
      <c r="AZ1309" s="52" t="n">
        <f aca="false">IF(CL1309&gt;0,CL1309*MAX(1,AX1309/X1309),IF(BW1309=1,IF(AX1309&lt;=0,0,CA1309*MAX(1,IF(H1309&gt;0,AX1309/H1309,1))),IF(R1309&gt;0,AY1309/R1309,0))/MAX(0.1,N(Parameter!$M$21)))</f>
        <v>0.0384615384615385</v>
      </c>
      <c r="BA1309" s="50" t="n">
        <f aca="false">AZ1309*BY1309</f>
        <v>5.96153846153846</v>
      </c>
      <c r="BB1309" s="50" t="n">
        <f aca="false">AX1309*G1309</f>
        <v>3986.84</v>
      </c>
      <c r="BC1309" s="50" t="n">
        <f aca="false">ROUNDUP(MAX(J1309/IF(CD1309&gt;0,CD1309,MAX(0.1,N(Cockpit!$O$6))),CG1309)/BV1309,0)*BV1309</f>
        <v>164</v>
      </c>
      <c r="BD1309" s="51" t="n">
        <f aca="false">IF(BA1309&gt;0,J1309/BA1309,-1)</f>
        <v>12.9161290322581</v>
      </c>
      <c r="BE1309" s="51" t="n">
        <f aca="false">IF(AND(OR(CC1309="L1",CC1309="L23",CC1309="LIFT"),BA1309&gt;0),SUMIFS($BA$7:$BA$1843,$CC$7:$CC$1843,CC1309,$BD$7:$BD$1843,"&gt;"&amp;BD1309)+SUMIFS($BA$7:$BA$1843,$CC$7:$CC$1843,CC1309,$BD$7:$BD$1843,BD1309,$BT$7:$BT$1843,"&lt;="&amp;BT1309),"")</f>
        <v>3217.13003663004</v>
      </c>
      <c r="BF1309" s="58" t="n">
        <f aca="false">IF(BE1309="",0,MAX(0,MIN(1,(IF(CC1309="L1",Parameter!$H$5,IF(CC1309="L23",Parameter!$H$6+Parameter!$H$7,Parameter!$H$5+Parameter!$H$6+Parameter!$H$7))-(BE1309-BA1309))/BA1309)))</f>
        <v>1</v>
      </c>
      <c r="BG1309" s="48" t="str">
        <f aca="false">IF(AI1309&lt;=0,"",IF(CC1309="Aussen","Aussenlager",IF(CC1309="-","Nicht im Lift",IF(AN1309&gt;=1,"Lift",IF(AN1309&lt;=0,"Aussenlager","teilweise")))))</f>
        <v>Lift</v>
      </c>
      <c r="BH1309" s="48" t="str">
        <f aca="false">IF(AR1309&lt;=0,"",IF(CC1309="Aussen","Aussenlager",IF(CC1309="-","Nicht im Lift",IF(AW1309&gt;=1,"Lift",IF(AW1309&lt;=0,"Aussenlager","teilweise")))))</f>
        <v>Lift</v>
      </c>
      <c r="BI1309" s="48" t="str">
        <f aca="false">IF(BA1309&lt;=0,"",IF(CC1309="Aussen","Aussenlager",IF(CC1309="-","Nicht im Lift",IF(BF1309&gt;=1,"Lift",IF(BF1309&lt;=0,"Aussenlager","teilweise")))))</f>
        <v>Lift</v>
      </c>
      <c r="BJ1309" s="48" t="str">
        <f aca="false">IF(A1309="","",IF(BS1309=1,"Neu; ","")&amp;IF(AND(BS1309=0,BN1309&lt;0),"negativer Bestand (Export "&amp;BN1309&amp;"); ","")&amp;IF(J1309&lt;=0,"Kein Verbrauch; ","")&amp;IF(CL1309&gt;0,"Lift "&amp;W1309&amp;" lt. Liftbericht (Fach "&amp;X1309&amp;" Stk); ",IF(BX1309=1,"Gebinde geschätzt ("&amp;T1309&amp;"); ",IF(BW1309=1,"Lose – Tablare geschätzt; ","")))&amp;IF(H1309&gt;AT1309,"Überbestand "&amp;ROUND(H1309-AT1309,0)&amp;" Stk / CHF "&amp;ROUND((H1309-AT1309)*G1309,0)&amp;"; ","")&amp;IF(AND(CE1309=1,CF1309&lt;CG1309),"MAX &lt; MB+LG; ","")&amp;IF(AND(CK1309&gt;0,CJ1309*10&gt;CK1309),"zu hoch für Tablar; ","")&amp;IF(AND(BS1309=0,OR(CE1309=1,AA1309&lt;&gt;"",U1309&lt;&gt;"",V1309&lt;&gt;"",AB1309&lt;&gt;"")),"manuell übersteuert; ","")&amp;IF(AND(BW1309=0,R1309=0),"Gebinde unbekannt / Stellmass fehlt; ","")&amp;IF(AND(BW1309=0,N(V1309)&lt;=0,N(Q1309)&lt;=0),"Menge pro Gebinde fehlt (Ist = 1 Gebinde); ","")&amp;BR1309)</f>
        <v>negativer Bestand (Export -34); </v>
      </c>
      <c r="BK1309" s="48"/>
      <c r="BL1309" s="48"/>
      <c r="BM1309" s="55"/>
      <c r="BN1309" s="50" t="n">
        <v>-34</v>
      </c>
      <c r="BO1309" s="50" t="n">
        <v>71</v>
      </c>
      <c r="BP1309" s="49" t="n">
        <v>-1282.14</v>
      </c>
      <c r="BQ1309" s="50" t="n">
        <v>77</v>
      </c>
      <c r="BR1309" s="48"/>
      <c r="BS1309" s="53" t="n">
        <v>0</v>
      </c>
      <c r="BT1309" s="53" t="n">
        <v>1309</v>
      </c>
      <c r="BU1309" s="48" t="str">
        <f aca="false">IF(U1309&lt;&gt;"",UPPER(TRIM(U1309)),IF(BX1309=1,UPPER(VLOOKUP(T1309,Parameter!$I$27:$K$29,2,0)),IF(P1309="","LOSE",P1309)))</f>
        <v>S51</v>
      </c>
      <c r="BV1309" s="50" t="n">
        <f aca="false">IF(BU1309="LOSE",1,IF(N(V1309)&gt;0,V1309,IF(BX1309=1,MAX(1,N(VLOOKUP(T1309,Parameter!$I$27:$K$29,3,0)),H1309,N(N1309)),IF(N(Q1309)&gt;0,Q1309,MAX(1,H1309)))))</f>
        <v>164</v>
      </c>
      <c r="BW1309" s="53" t="n">
        <f aca="false">IF(BU1309="LOSE",1,0)</f>
        <v>0</v>
      </c>
      <c r="BX1309" s="53" t="n">
        <f aca="false">IF(AND(U1309="",OR(P1309="",P1309="LOSE"),T1309&lt;&gt;"",N(S1309)&lt;=0,ISNUMBER(MATCH(T1309,Parameter!$I$27:$I$29,0))),1,0)</f>
        <v>0</v>
      </c>
      <c r="BY1309" s="53" t="n">
        <f aca="false">IF(CL1309&gt;0,INDEX(Parameter!$H$5:$H$7,W1309)/INDEX(Parameter!$E$5:$E$7,W1309),IF(AND(BW1309=0,N(IFERROR(VLOOKUP(BU1309,'Gebinde-Kategorie'!$A$5:$N$45,14,0),0))&gt;0),VLOOKUP(BU1309,'Gebinde-Kategorie'!$A$5:$N$45,14,0)*10+Parameter!$M$23,Parameter!$M$24))</f>
        <v>155</v>
      </c>
      <c r="BZ1309" s="48" t="str">
        <f aca="false">IF(AND(Parameter!$B$19="Ja",E1309&lt;&gt;"",ISNUMBER(MATCH(E1309,Parameter!$I$35:$I$52,0))),VLOOKUP(E1309,Parameter!$I$35:$J$52,2,0),IFERROR(VLOOKUP(D1309,Parameter!$A$35:$C$64,2,0),"Nein"))</f>
        <v>2+3</v>
      </c>
      <c r="CA1309" s="52" t="n">
        <f aca="false">IF(BW1309=0,0,IF(N(S1309)&gt;0,S1309,IFERROR(VLOOKUP(D1309,Parameter!$A$35:$C$64,3,0)+0,0)))</f>
        <v>0</v>
      </c>
      <c r="CB1309" s="48" t="n">
        <f aca="false">IF(AA1309&lt;&gt;"",AA1309,Z1309)</f>
        <v>3</v>
      </c>
      <c r="CC1309" s="48" t="str">
        <f aca="false">IF(OR(CB1309=1,CB1309=2,CB1309=3),IF(Parameter!$E$27="Ja","LIFT",IF(CB1309=1,"L1","L23")),IF(CB1309="Aussen","Aussen","-"))</f>
        <v>LIFT</v>
      </c>
      <c r="CD1309" s="59" t="n">
        <f aca="false">IF(N(AB1309)&gt;0,AB1309,0)</f>
        <v>0</v>
      </c>
      <c r="CE1309" s="53" t="n">
        <f aca="false">IF(ISNUMBER(AE1309),1,0)</f>
        <v>0</v>
      </c>
      <c r="CF1309" s="50" t="n">
        <f aca="false">N(AE1309)</f>
        <v>0</v>
      </c>
      <c r="CG1309" s="50" t="n">
        <f aca="false">N(M1309)+N(N1309)</f>
        <v>77</v>
      </c>
      <c r="CH1309" s="50" t="n">
        <f aca="false">ROUNDUP(H1309/BV1309,0)</f>
        <v>1</v>
      </c>
      <c r="CI1309" s="50" t="n">
        <f aca="false">ROUNDUP(CF1309/BV1309,0)</f>
        <v>0</v>
      </c>
      <c r="CJ1309" s="53" t="n">
        <f aca="false">IF(BW1309=1,0,IFERROR(VLOOKUP(BU1309,'Gebinde-Kategorie'!$A$5:$N$45,5,0)+0,0))</f>
        <v>11</v>
      </c>
      <c r="CK1309" s="53" t="n">
        <f aca="false">IFERROR(IF(OR(CB1309=1,CB1309=2,CB1309=3),N(INDEX(Parameter!$I$5:$I$7,CB1309)),0),0)</f>
        <v>0</v>
      </c>
      <c r="CL1309" s="52" t="n">
        <f aca="false">IF(AND(Parameter!$B$21="Ja",ISNUMBER(W1309),N(X1309)&gt;0),IFERROR(N(INDEX(Parameter!$L$5:$L$7,W1309))*INDEX(Parameter!$E$5:$E$7,W1309)*X1309/SUMIFS($X$7:$X$1843,$W$7:$W$1843,W1309),0),0)</f>
        <v>0</v>
      </c>
    </row>
    <row r="1310" customFormat="false" ht="15" hidden="false" customHeight="false" outlineLevel="0" collapsed="false">
      <c r="A1310" s="48" t="s">
        <v>2329</v>
      </c>
      <c r="B1310" s="48" t="s">
        <v>429</v>
      </c>
      <c r="C1310" s="48" t="s">
        <v>168</v>
      </c>
      <c r="D1310" s="48" t="s">
        <v>188</v>
      </c>
      <c r="E1310" s="48" t="s">
        <v>189</v>
      </c>
      <c r="F1310" s="48" t="s">
        <v>222</v>
      </c>
      <c r="G1310" s="49" t="n">
        <v>47.59</v>
      </c>
      <c r="H1310" s="50" t="n">
        <f aca="false">MAX(0,IF(AND(Parameter!$B$21="Ja",ISNUMBER(Y1310)),Y1310,IF(Parameter!$B$20="Jahresanfang 2025 + Export",BO1310+BN1310,BN1310)))</f>
        <v>137</v>
      </c>
      <c r="I1310" s="50" t="n">
        <f aca="false">H1310*G1310</f>
        <v>6519.83</v>
      </c>
      <c r="J1310" s="50" t="n">
        <f aca="false">BQ1310*Parameter!$B$18</f>
        <v>0</v>
      </c>
      <c r="K1310" s="51" t="n">
        <v>147.5</v>
      </c>
      <c r="L1310" s="52" t="n">
        <v>0</v>
      </c>
      <c r="M1310" s="50" t="n">
        <v>0</v>
      </c>
      <c r="N1310" s="50" t="n">
        <v>1</v>
      </c>
      <c r="O1310" s="53" t="n">
        <v>28</v>
      </c>
      <c r="P1310" s="48" t="s">
        <v>237</v>
      </c>
      <c r="Q1310" s="50" t="n">
        <v>246</v>
      </c>
      <c r="R1310" s="53" t="n">
        <f aca="false">IF(BW1310=1,0,IFERROR(VLOOKUP(BU1310,'Gebinde-Kategorie'!$A$5:$N$45,13,0)+0,0))</f>
        <v>26</v>
      </c>
      <c r="S1310" s="54"/>
      <c r="T1310" s="55"/>
      <c r="U1310" s="55"/>
      <c r="V1310" s="55"/>
      <c r="W1310" s="48"/>
      <c r="X1310" s="50"/>
      <c r="Y1310" s="50"/>
      <c r="Z1310" s="48" t="n">
        <f aca="false">IF(A1310="","",IF(AND(Parameter!$B$21="Ja",ISNUMBER(W1310)),W1310,IF(BZ1310="2+3",IF(ISNUMBER(SEARCH("grosser Artikel",BR1310)),2,IFERROR(VLOOKUP(BU1310,Parameter!$F$35:$G$64,2,0),2)),IF(OR(BZ1310="Nein",BZ1310=""),"-",BZ1310))))</f>
        <v>3</v>
      </c>
      <c r="AA1310" s="55"/>
      <c r="AB1310" s="56"/>
      <c r="AC1310" s="50" t="n">
        <f aca="false">AT1310</f>
        <v>246</v>
      </c>
      <c r="AD1310" s="50" t="n">
        <f aca="false">MAX(AT1310,H1310)</f>
        <v>246</v>
      </c>
      <c r="AE1310" s="57"/>
      <c r="AF1310" s="50" t="n">
        <f aca="false">IF(LEFT(Cockpit!$C$5,1)="A",H1310,IF(CE1310=1,CF1310,IF(LEFT(Cockpit!$C$5,1)="B",AK1310,MAX(AK1310,H1310))))</f>
        <v>137</v>
      </c>
      <c r="AG1310" s="50" t="n">
        <f aca="false">IF(BW1310=1,0,ROUNDUP(AF1310/BV1310,0))</f>
        <v>1</v>
      </c>
      <c r="AH1310" s="52" t="n">
        <f aca="false">IF(CL1310&gt;0,CL1310*MAX(1,AF1310/X1310),IF(BW1310=1,IF(AF1310&lt;=0,0,CA1310*MAX(1,IF(H1310&gt;0,AF1310/H1310,1))),IF(R1310&gt;0,AG1310/R1310,0))/MAX(0.1,N(Parameter!$M$21)))</f>
        <v>0.0384615384615385</v>
      </c>
      <c r="AI1310" s="50" t="n">
        <f aca="false">AH1310*BY1310</f>
        <v>9.42307692307692</v>
      </c>
      <c r="AJ1310" s="50" t="n">
        <f aca="false">AF1310*G1310</f>
        <v>6519.83</v>
      </c>
      <c r="AK1310" s="50" t="n">
        <f aca="false">ROUNDUP(MAX(J1310/IF(CD1310&gt;0,CD1310,MAX(0.1,N(Cockpit!$C$6))),CG1310)/BV1310,0)*BV1310</f>
        <v>246</v>
      </c>
      <c r="AL1310" s="51" t="n">
        <f aca="false">IF(AI1310&gt;0,J1310/AI1310,-1)</f>
        <v>0</v>
      </c>
      <c r="AM1310" s="51" t="n">
        <f aca="false">IF(AND(OR(CC1310="L1",CC1310="L23",CC1310="LIFT"),AI1310&gt;0),SUMIFS($AI$7:$AI$1843,$CC$7:$CC$1843,CC1310,$AL$7:$AL$1843,"&gt;"&amp;AL1310)+SUMIFS($AI$7:$AI$1843,$CC$7:$CC$1843,CC1310,$AL$7:$AL$1843,AL1310,$BT$7:$BT$1843,"&lt;="&amp;BT1310),"")</f>
        <v>29451.916834813</v>
      </c>
      <c r="AN1310" s="58" t="n">
        <f aca="false">IF(AM1310="",0,MAX(0,MIN(1,(IF(CC1310="L1",Parameter!$H$5,IF(CC1310="L23",Parameter!$H$6+Parameter!$H$7,Parameter!$H$5+Parameter!$H$6+Parameter!$H$7))-(AM1310-AI1310))/AI1310)))</f>
        <v>1</v>
      </c>
      <c r="AO1310" s="50" t="n">
        <f aca="false">IF(LEFT(Cockpit!$I$5,1)="A",H1310,IF(CE1310=1,CF1310,IF(LEFT(Cockpit!$I$5,1)="B",AT1310,MAX(AT1310,H1310))))</f>
        <v>246</v>
      </c>
      <c r="AP1310" s="50" t="n">
        <f aca="false">IF(BW1310=1,0,ROUNDUP(AO1310/BV1310,0))</f>
        <v>1</v>
      </c>
      <c r="AQ1310" s="52" t="n">
        <f aca="false">IF(CL1310&gt;0,CL1310*MAX(1,AO1310/X1310),IF(BW1310=1,IF(AO1310&lt;=0,0,CA1310*MAX(1,IF(H1310&gt;0,AO1310/H1310,1))),IF(R1310&gt;0,AP1310/R1310,0))/MAX(0.1,N(Parameter!$M$21)))</f>
        <v>0.0384615384615385</v>
      </c>
      <c r="AR1310" s="50" t="n">
        <f aca="false">AQ1310*BY1310</f>
        <v>9.42307692307692</v>
      </c>
      <c r="AS1310" s="50" t="n">
        <f aca="false">AO1310*G1310</f>
        <v>11707.14</v>
      </c>
      <c r="AT1310" s="50" t="n">
        <f aca="false">ROUNDUP(MAX(J1310/IF(CD1310&gt;0,CD1310,MAX(0.1,N(Cockpit!$I$6))),CG1310)/BV1310,0)*BV1310</f>
        <v>246</v>
      </c>
      <c r="AU1310" s="51" t="n">
        <f aca="false">IF(AR1310&gt;0,J1310/AR1310,-1)</f>
        <v>0</v>
      </c>
      <c r="AV1310" s="51" t="n">
        <f aca="false">IF(AND(OR(CC1310="L1",CC1310="L23",CC1310="LIFT"),AR1310&gt;0),SUMIFS($AR$7:$AR$1843,$CC$7:$CC$1843,CC1310,$AU$7:$AU$1843,"&gt;"&amp;AU1310)+SUMIFS($AR$7:$AR$1843,$CC$7:$CC$1843,CC1310,$AU$7:$AU$1843,AU1310,$BT$7:$BT$1843,"&lt;="&amp;BT1310),"")</f>
        <v>41612.772443658</v>
      </c>
      <c r="AW1310" s="58" t="n">
        <f aca="false">IF(AV1310="",0,MAX(0,MIN(1,(IF(CC1310="L1",Parameter!$H$5,IF(CC1310="L23",Parameter!$H$6+Parameter!$H$7,Parameter!$H$5+Parameter!$H$6+Parameter!$H$7))-(AV1310-AR1310))/AR1310)))</f>
        <v>0</v>
      </c>
      <c r="AX1310" s="50" t="n">
        <f aca="false">IF(LEFT(Cockpit!$O$5,1)="A",H1310,IF(CE1310=1,CF1310,IF(LEFT(Cockpit!$O$5,1)="B",BC1310,MAX(BC1310,H1310))))</f>
        <v>246</v>
      </c>
      <c r="AY1310" s="50" t="n">
        <f aca="false">IF(BW1310=1,0,ROUNDUP(AX1310/BV1310,0))</f>
        <v>1</v>
      </c>
      <c r="AZ1310" s="52" t="n">
        <f aca="false">IF(CL1310&gt;0,CL1310*MAX(1,AX1310/X1310),IF(BW1310=1,IF(AX1310&lt;=0,0,CA1310*MAX(1,IF(H1310&gt;0,AX1310/H1310,1))),IF(R1310&gt;0,AY1310/R1310,0))/MAX(0.1,N(Parameter!$M$21)))</f>
        <v>0.0384615384615385</v>
      </c>
      <c r="BA1310" s="50" t="n">
        <f aca="false">AZ1310*BY1310</f>
        <v>9.42307692307692</v>
      </c>
      <c r="BB1310" s="50" t="n">
        <f aca="false">AX1310*G1310</f>
        <v>11707.14</v>
      </c>
      <c r="BC1310" s="50" t="n">
        <f aca="false">ROUNDUP(MAX(J1310/IF(CD1310&gt;0,CD1310,MAX(0.1,N(Cockpit!$O$6))),CG1310)/BV1310,0)*BV1310</f>
        <v>246</v>
      </c>
      <c r="BD1310" s="51" t="n">
        <f aca="false">IF(BA1310&gt;0,J1310/BA1310,-1)</f>
        <v>0</v>
      </c>
      <c r="BE1310" s="51" t="n">
        <f aca="false">IF(AND(OR(CC1310="L1",CC1310="L23",CC1310="LIFT"),BA1310&gt;0),SUMIFS($BA$7:$BA$1843,$CC$7:$CC$1843,CC1310,$BD$7:$BD$1843,"&gt;"&amp;BD1310)+SUMIFS($BA$7:$BA$1843,$CC$7:$CC$1843,CC1310,$BD$7:$BD$1843,BD1310,$BT$7:$BT$1843,"&lt;="&amp;BT1310),"")</f>
        <v>38287.7844855239</v>
      </c>
      <c r="BF1310" s="58" t="n">
        <f aca="false">IF(BE1310="",0,MAX(0,MIN(1,(IF(CC1310="L1",Parameter!$H$5,IF(CC1310="L23",Parameter!$H$6+Parameter!$H$7,Parameter!$H$5+Parameter!$H$6+Parameter!$H$7))-(BE1310-BA1310))/BA1310)))</f>
        <v>0</v>
      </c>
      <c r="BG1310" s="48" t="str">
        <f aca="false">IF(AI1310&lt;=0,"",IF(CC1310="Aussen","Aussenlager",IF(CC1310="-","Nicht im Lift",IF(AN1310&gt;=1,"Lift",IF(AN1310&lt;=0,"Aussenlager","teilweise")))))</f>
        <v>Lift</v>
      </c>
      <c r="BH1310" s="48" t="str">
        <f aca="false">IF(AR1310&lt;=0,"",IF(CC1310="Aussen","Aussenlager",IF(CC1310="-","Nicht im Lift",IF(AW1310&gt;=1,"Lift",IF(AW1310&lt;=0,"Aussenlager","teilweise")))))</f>
        <v>Aussenlager</v>
      </c>
      <c r="BI1310" s="48" t="str">
        <f aca="false">IF(BA1310&lt;=0,"",IF(CC1310="Aussen","Aussenlager",IF(CC1310="-","Nicht im Lift",IF(BF1310&gt;=1,"Lift",IF(BF1310&lt;=0,"Aussenlager","teilweise")))))</f>
        <v>Aussenlager</v>
      </c>
      <c r="BJ1310" s="48" t="str">
        <f aca="false">IF(A1310="","",IF(BS1310=1,"Neu; ","")&amp;IF(AND(BS1310=0,BN1310&lt;0),"negativer Bestand (Export "&amp;BN1310&amp;"); ","")&amp;IF(J1310&lt;=0,"Kein Verbrauch; ","")&amp;IF(CL1310&gt;0,"Lift "&amp;W1310&amp;" lt. Liftbericht (Fach "&amp;X1310&amp;" Stk); ",IF(BX1310=1,"Gebinde geschätzt ("&amp;T1310&amp;"); ",IF(BW1310=1,"Lose – Tablare geschätzt; ","")))&amp;IF(H1310&gt;AT1310,"Überbestand "&amp;ROUND(H1310-AT1310,0)&amp;" Stk / CHF "&amp;ROUND((H1310-AT1310)*G1310,0)&amp;"; ","")&amp;IF(AND(CE1310=1,CF1310&lt;CG1310),"MAX &lt; MB+LG; ","")&amp;IF(AND(CK1310&gt;0,CJ1310*10&gt;CK1310),"zu hoch für Tablar; ","")&amp;IF(AND(BS1310=0,OR(CE1310=1,AA1310&lt;&gt;"",U1310&lt;&gt;"",V1310&lt;&gt;"",AB1310&lt;&gt;"")),"manuell übersteuert; ","")&amp;IF(AND(BW1310=0,R1310=0),"Gebinde unbekannt / Stellmass fehlt; ","")&amp;IF(AND(BW1310=0,N(V1310)&lt;=0,N(Q1310)&lt;=0),"Menge pro Gebinde fehlt (Ist = 1 Gebinde); ","")&amp;BR1310)</f>
        <v>negativer Bestand (Export -27); Kein Verbrauch; </v>
      </c>
      <c r="BK1310" s="48"/>
      <c r="BL1310" s="48"/>
      <c r="BM1310" s="55"/>
      <c r="BN1310" s="50" t="n">
        <v>-27</v>
      </c>
      <c r="BO1310" s="50" t="n">
        <v>164</v>
      </c>
      <c r="BP1310" s="49" t="n">
        <v>-1284.93</v>
      </c>
      <c r="BQ1310" s="50" t="n">
        <v>0</v>
      </c>
      <c r="BR1310" s="48"/>
      <c r="BS1310" s="53" t="n">
        <v>0</v>
      </c>
      <c r="BT1310" s="53" t="n">
        <v>1310</v>
      </c>
      <c r="BU1310" s="48" t="str">
        <f aca="false">IF(U1310&lt;&gt;"",UPPER(TRIM(U1310)),IF(BX1310=1,UPPER(VLOOKUP(T1310,Parameter!$I$27:$K$29,2,0)),IF(P1310="","LOSE",P1310)))</f>
        <v>S52</v>
      </c>
      <c r="BV1310" s="50" t="n">
        <f aca="false">IF(BU1310="LOSE",1,IF(N(V1310)&gt;0,V1310,IF(BX1310=1,MAX(1,N(VLOOKUP(T1310,Parameter!$I$27:$K$29,3,0)),H1310,N(N1310)),IF(N(Q1310)&gt;0,Q1310,MAX(1,H1310)))))</f>
        <v>246</v>
      </c>
      <c r="BW1310" s="53" t="n">
        <f aca="false">IF(BU1310="LOSE",1,0)</f>
        <v>0</v>
      </c>
      <c r="BX1310" s="53" t="n">
        <f aca="false">IF(AND(U1310="",OR(P1310="",P1310="LOSE"),T1310&lt;&gt;"",N(S1310)&lt;=0,ISNUMBER(MATCH(T1310,Parameter!$I$27:$I$29,0))),1,0)</f>
        <v>0</v>
      </c>
      <c r="BY1310" s="53" t="n">
        <f aca="false">IF(CL1310&gt;0,INDEX(Parameter!$H$5:$H$7,W1310)/INDEX(Parameter!$E$5:$E$7,W1310),IF(AND(BW1310=0,N(IFERROR(VLOOKUP(BU1310,'Gebinde-Kategorie'!$A$5:$N$45,14,0),0))&gt;0),VLOOKUP(BU1310,'Gebinde-Kategorie'!$A$5:$N$45,14,0)*10+Parameter!$M$23,Parameter!$M$24))</f>
        <v>245</v>
      </c>
      <c r="BZ1310" s="48" t="str">
        <f aca="false">IF(AND(Parameter!$B$19="Ja",E1310&lt;&gt;"",ISNUMBER(MATCH(E1310,Parameter!$I$35:$I$52,0))),VLOOKUP(E1310,Parameter!$I$35:$J$52,2,0),IFERROR(VLOOKUP(D1310,Parameter!$A$35:$C$64,2,0),"Nein"))</f>
        <v>2+3</v>
      </c>
      <c r="CA1310" s="52" t="n">
        <f aca="false">IF(BW1310=0,0,IF(N(S1310)&gt;0,S1310,IFERROR(VLOOKUP(D1310,Parameter!$A$35:$C$64,3,0)+0,0)))</f>
        <v>0</v>
      </c>
      <c r="CB1310" s="48" t="n">
        <f aca="false">IF(AA1310&lt;&gt;"",AA1310,Z1310)</f>
        <v>3</v>
      </c>
      <c r="CC1310" s="48" t="str">
        <f aca="false">IF(OR(CB1310=1,CB1310=2,CB1310=3),IF(Parameter!$E$27="Ja","LIFT",IF(CB1310=1,"L1","L23")),IF(CB1310="Aussen","Aussen","-"))</f>
        <v>LIFT</v>
      </c>
      <c r="CD1310" s="59" t="n">
        <f aca="false">IF(N(AB1310)&gt;0,AB1310,0)</f>
        <v>0</v>
      </c>
      <c r="CE1310" s="53" t="n">
        <f aca="false">IF(ISNUMBER(AE1310),1,0)</f>
        <v>0</v>
      </c>
      <c r="CF1310" s="50" t="n">
        <f aca="false">N(AE1310)</f>
        <v>0</v>
      </c>
      <c r="CG1310" s="50" t="n">
        <f aca="false">N(M1310)+N(N1310)</f>
        <v>1</v>
      </c>
      <c r="CH1310" s="50" t="n">
        <f aca="false">ROUNDUP(H1310/BV1310,0)</f>
        <v>1</v>
      </c>
      <c r="CI1310" s="50" t="n">
        <f aca="false">ROUNDUP(CF1310/BV1310,0)</f>
        <v>0</v>
      </c>
      <c r="CJ1310" s="53" t="n">
        <f aca="false">IF(BW1310=1,0,IFERROR(VLOOKUP(BU1310,'Gebinde-Kategorie'!$A$5:$N$45,5,0)+0,0))</f>
        <v>21</v>
      </c>
      <c r="CK1310" s="53" t="n">
        <f aca="false">IFERROR(IF(OR(CB1310=1,CB1310=2,CB1310=3),N(INDEX(Parameter!$I$5:$I$7,CB1310)),0),0)</f>
        <v>0</v>
      </c>
      <c r="CL1310" s="52" t="n">
        <f aca="false">IF(AND(Parameter!$B$21="Ja",ISNUMBER(W1310),N(X1310)&gt;0),IFERROR(N(INDEX(Parameter!$L$5:$L$7,W1310))*INDEX(Parameter!$E$5:$E$7,W1310)*X1310/SUMIFS($X$7:$X$1843,$W$7:$W$1843,W1310),0),0)</f>
        <v>0</v>
      </c>
    </row>
    <row r="1311" customFormat="false" ht="15" hidden="false" customHeight="false" outlineLevel="0" collapsed="false">
      <c r="A1311" s="48" t="s">
        <v>2330</v>
      </c>
      <c r="B1311" s="48" t="s">
        <v>2331</v>
      </c>
      <c r="C1311" s="48" t="s">
        <v>460</v>
      </c>
      <c r="D1311" s="48" t="s">
        <v>177</v>
      </c>
      <c r="E1311" s="48"/>
      <c r="F1311" s="48" t="s">
        <v>222</v>
      </c>
      <c r="G1311" s="49" t="n">
        <v>65</v>
      </c>
      <c r="H1311" s="50" t="n">
        <f aca="false">MAX(0,IF(AND(Parameter!$B$21="Ja",ISNUMBER(Y1311)),Y1311,IF(Parameter!$B$20="Jahresanfang 2025 + Export",BO1311+BN1311,BN1311)))</f>
        <v>0</v>
      </c>
      <c r="I1311" s="50" t="n">
        <f aca="false">H1311*G1311</f>
        <v>0</v>
      </c>
      <c r="J1311" s="50" t="n">
        <f aca="false">BQ1311*Parameter!$B$18</f>
        <v>0</v>
      </c>
      <c r="K1311" s="51" t="n">
        <v>10</v>
      </c>
      <c r="L1311" s="52" t="n">
        <v>0</v>
      </c>
      <c r="M1311" s="50" t="n">
        <v>0</v>
      </c>
      <c r="N1311" s="50" t="n">
        <v>1</v>
      </c>
      <c r="O1311" s="53" t="n">
        <v>56</v>
      </c>
      <c r="P1311" s="48" t="s">
        <v>172</v>
      </c>
      <c r="Q1311" s="50"/>
      <c r="R1311" s="53" t="n">
        <f aca="false">IF(BW1311=1,0,IFERROR(VLOOKUP(BU1311,'Gebinde-Kategorie'!$A$5:$N$45,13,0)+0,0))</f>
        <v>12</v>
      </c>
      <c r="S1311" s="54"/>
      <c r="T1311" s="55" t="s">
        <v>183</v>
      </c>
      <c r="U1311" s="55"/>
      <c r="V1311" s="55"/>
      <c r="W1311" s="48"/>
      <c r="X1311" s="50"/>
      <c r="Y1311" s="50"/>
      <c r="Z1311" s="48" t="n">
        <f aca="false">IF(A1311="","",IF(AND(Parameter!$B$21="Ja",ISNUMBER(W1311)),W1311,IF(BZ1311="2+3",IF(ISNUMBER(SEARCH("grosser Artikel",BR1311)),2,IFERROR(VLOOKUP(BU1311,Parameter!$F$35:$G$64,2,0),2)),IF(OR(BZ1311="Nein",BZ1311=""),"-",BZ1311))))</f>
        <v>2</v>
      </c>
      <c r="AA1311" s="55"/>
      <c r="AB1311" s="56"/>
      <c r="AC1311" s="50" t="n">
        <f aca="false">AT1311</f>
        <v>4</v>
      </c>
      <c r="AD1311" s="50" t="n">
        <f aca="false">MAX(AT1311,H1311)</f>
        <v>4</v>
      </c>
      <c r="AE1311" s="57"/>
      <c r="AF1311" s="50" t="n">
        <f aca="false">IF(LEFT(Cockpit!$C$5,1)="A",H1311,IF(CE1311=1,CF1311,IF(LEFT(Cockpit!$C$5,1)="B",AK1311,MAX(AK1311,H1311))))</f>
        <v>0</v>
      </c>
      <c r="AG1311" s="50" t="n">
        <f aca="false">IF(BW1311=1,0,ROUNDUP(AF1311/BV1311,0))</f>
        <v>0</v>
      </c>
      <c r="AH1311" s="52" t="n">
        <f aca="false">IF(CL1311&gt;0,CL1311*MAX(1,AF1311/X1311),IF(BW1311=1,IF(AF1311&lt;=0,0,CA1311*MAX(1,IF(H1311&gt;0,AF1311/H1311,1))),IF(R1311&gt;0,AG1311/R1311,0))/MAX(0.1,N(Parameter!$M$21)))</f>
        <v>0</v>
      </c>
      <c r="AI1311" s="50" t="n">
        <f aca="false">AH1311*BY1311</f>
        <v>0</v>
      </c>
      <c r="AJ1311" s="50" t="n">
        <f aca="false">AF1311*G1311</f>
        <v>0</v>
      </c>
      <c r="AK1311" s="50" t="n">
        <f aca="false">ROUNDUP(MAX(J1311/IF(CD1311&gt;0,CD1311,MAX(0.1,N(Cockpit!$C$6))),CG1311)/BV1311,0)*BV1311</f>
        <v>4</v>
      </c>
      <c r="AL1311" s="51" t="n">
        <f aca="false">IF(AI1311&gt;0,J1311/AI1311,-1)</f>
        <v>-1</v>
      </c>
      <c r="AM1311" s="51" t="str">
        <f aca="false">IF(AND(OR(CC1311="L1",CC1311="L23",CC1311="LIFT"),AI1311&gt;0),SUMIFS($AI$7:$AI$1843,$CC$7:$CC$1843,CC1311,$AL$7:$AL$1843,"&gt;"&amp;AL1311)+SUMIFS($AI$7:$AI$1843,$CC$7:$CC$1843,CC1311,$AL$7:$AL$1843,AL1311,$BT$7:$BT$1843,"&lt;="&amp;BT1311),"")</f>
        <v/>
      </c>
      <c r="AN1311" s="58" t="n">
        <f aca="false">IF(AM1311="",0,MAX(0,MIN(1,(IF(CC1311="L1",Parameter!$H$5,IF(CC1311="L23",Parameter!$H$6+Parameter!$H$7,Parameter!$H$5+Parameter!$H$6+Parameter!$H$7))-(AM1311-AI1311))/AI1311)))</f>
        <v>0</v>
      </c>
      <c r="AO1311" s="50" t="n">
        <f aca="false">IF(LEFT(Cockpit!$I$5,1)="A",H1311,IF(CE1311=1,CF1311,IF(LEFT(Cockpit!$I$5,1)="B",AT1311,MAX(AT1311,H1311))))</f>
        <v>4</v>
      </c>
      <c r="AP1311" s="50" t="n">
        <f aca="false">IF(BW1311=1,0,ROUNDUP(AO1311/BV1311,0))</f>
        <v>1</v>
      </c>
      <c r="AQ1311" s="52" t="n">
        <f aca="false">IF(CL1311&gt;0,CL1311*MAX(1,AO1311/X1311),IF(BW1311=1,IF(AO1311&lt;=0,0,CA1311*MAX(1,IF(H1311&gt;0,AO1311/H1311,1))),IF(R1311&gt;0,AP1311/R1311,0))/MAX(0.1,N(Parameter!$M$21)))</f>
        <v>0.0833333333333333</v>
      </c>
      <c r="AR1311" s="50" t="n">
        <f aca="false">AQ1311*BY1311</f>
        <v>12.0833333333333</v>
      </c>
      <c r="AS1311" s="50" t="n">
        <f aca="false">AO1311*G1311</f>
        <v>260</v>
      </c>
      <c r="AT1311" s="50" t="n">
        <f aca="false">ROUNDUP(MAX(J1311/IF(CD1311&gt;0,CD1311,MAX(0.1,N(Cockpit!$I$6))),CG1311)/BV1311,0)*BV1311</f>
        <v>4</v>
      </c>
      <c r="AU1311" s="51" t="n">
        <f aca="false">IF(AR1311&gt;0,J1311/AR1311,-1)</f>
        <v>0</v>
      </c>
      <c r="AV1311" s="51" t="n">
        <f aca="false">IF(AND(OR(CC1311="L1",CC1311="L23",CC1311="LIFT"),AR1311&gt;0),SUMIFS($AR$7:$AR$1843,$CC$7:$CC$1843,CC1311,$AU$7:$AU$1843,"&gt;"&amp;AU1311)+SUMIFS($AR$7:$AR$1843,$CC$7:$CC$1843,CC1311,$AU$7:$AU$1843,AU1311,$BT$7:$BT$1843,"&lt;="&amp;BT1311),"")</f>
        <v>41624.8557769914</v>
      </c>
      <c r="AW1311" s="58" t="n">
        <f aca="false">IF(AV1311="",0,MAX(0,MIN(1,(IF(CC1311="L1",Parameter!$H$5,IF(CC1311="L23",Parameter!$H$6+Parameter!$H$7,Parameter!$H$5+Parameter!$H$6+Parameter!$H$7))-(AV1311-AR1311))/AR1311)))</f>
        <v>0</v>
      </c>
      <c r="AX1311" s="50" t="n">
        <f aca="false">IF(LEFT(Cockpit!$O$5,1)="A",H1311,IF(CE1311=1,CF1311,IF(LEFT(Cockpit!$O$5,1)="B",BC1311,MAX(BC1311,H1311))))</f>
        <v>4</v>
      </c>
      <c r="AY1311" s="50" t="n">
        <f aca="false">IF(BW1311=1,0,ROUNDUP(AX1311/BV1311,0))</f>
        <v>1</v>
      </c>
      <c r="AZ1311" s="52" t="n">
        <f aca="false">IF(CL1311&gt;0,CL1311*MAX(1,AX1311/X1311),IF(BW1311=1,IF(AX1311&lt;=0,0,CA1311*MAX(1,IF(H1311&gt;0,AX1311/H1311,1))),IF(R1311&gt;0,AY1311/R1311,0))/MAX(0.1,N(Parameter!$M$21)))</f>
        <v>0.0833333333333333</v>
      </c>
      <c r="BA1311" s="50" t="n">
        <f aca="false">AZ1311*BY1311</f>
        <v>12.0833333333333</v>
      </c>
      <c r="BB1311" s="50" t="n">
        <f aca="false">AX1311*G1311</f>
        <v>260</v>
      </c>
      <c r="BC1311" s="50" t="n">
        <f aca="false">ROUNDUP(MAX(J1311/IF(CD1311&gt;0,CD1311,MAX(0.1,N(Cockpit!$O$6))),CG1311)/BV1311,0)*BV1311</f>
        <v>4</v>
      </c>
      <c r="BD1311" s="51" t="n">
        <f aca="false">IF(BA1311&gt;0,J1311/BA1311,-1)</f>
        <v>0</v>
      </c>
      <c r="BE1311" s="51" t="n">
        <f aca="false">IF(AND(OR(CC1311="L1",CC1311="L23",CC1311="LIFT"),BA1311&gt;0),SUMIFS($BA$7:$BA$1843,$CC$7:$CC$1843,CC1311,$BD$7:$BD$1843,"&gt;"&amp;BD1311)+SUMIFS($BA$7:$BA$1843,$CC$7:$CC$1843,CC1311,$BD$7:$BD$1843,BD1311,$BT$7:$BT$1843,"&lt;="&amp;BT1311),"")</f>
        <v>38299.8678188572</v>
      </c>
      <c r="BF1311" s="58" t="n">
        <f aca="false">IF(BE1311="",0,MAX(0,MIN(1,(IF(CC1311="L1",Parameter!$H$5,IF(CC1311="L23",Parameter!$H$6+Parameter!$H$7,Parameter!$H$5+Parameter!$H$6+Parameter!$H$7))-(BE1311-BA1311))/BA1311)))</f>
        <v>0</v>
      </c>
      <c r="BG1311" s="48" t="str">
        <f aca="false">IF(AI1311&lt;=0,"",IF(CC1311="Aussen","Aussenlager",IF(CC1311="-","Nicht im Lift",IF(AN1311&gt;=1,"Lift",IF(AN1311&lt;=0,"Aussenlager","teilweise")))))</f>
        <v/>
      </c>
      <c r="BH1311" s="48" t="str">
        <f aca="false">IF(AR1311&lt;=0,"",IF(CC1311="Aussen","Aussenlager",IF(CC1311="-","Nicht im Lift",IF(AW1311&gt;=1,"Lift",IF(AW1311&lt;=0,"Aussenlager","teilweise")))))</f>
        <v>Aussenlager</v>
      </c>
      <c r="BI1311" s="48" t="str">
        <f aca="false">IF(BA1311&lt;=0,"",IF(CC1311="Aussen","Aussenlager",IF(CC1311="-","Nicht im Lift",IF(BF1311&gt;=1,"Lift",IF(BF1311&lt;=0,"Aussenlager","teilweise")))))</f>
        <v>Aussenlager</v>
      </c>
      <c r="BJ1311" s="48" t="str">
        <f aca="false">IF(A1311="","",IF(BS1311=1,"Neu; ","")&amp;IF(AND(BS1311=0,BN1311&lt;0),"negativer Bestand (Export "&amp;BN1311&amp;"); ","")&amp;IF(J1311&lt;=0,"Kein Verbrauch; ","")&amp;IF(CL1311&gt;0,"Lift "&amp;W1311&amp;" lt. Liftbericht (Fach "&amp;X1311&amp;" Stk); ",IF(BX1311=1,"Gebinde geschätzt ("&amp;T1311&amp;"); ",IF(BW1311=1,"Lose – Tablare geschätzt; ","")))&amp;IF(H1311&gt;AT1311,"Überbestand "&amp;ROUND(H1311-AT1311,0)&amp;" Stk / CHF "&amp;ROUND((H1311-AT1311)*G1311,0)&amp;"; ","")&amp;IF(AND(CE1311=1,CF1311&lt;CG1311),"MAX &lt; MB+LG; ","")&amp;IF(AND(CK1311&gt;0,CJ1311*10&gt;CK1311),"zu hoch für Tablar; ","")&amp;IF(AND(BS1311=0,OR(CE1311=1,AA1311&lt;&gt;"",U1311&lt;&gt;"",V1311&lt;&gt;"",AB1311&lt;&gt;"")),"manuell übersteuert; ","")&amp;IF(AND(BW1311=0,R1311=0),"Gebinde unbekannt / Stellmass fehlt; ","")&amp;IF(AND(BW1311=0,N(V1311)&lt;=0,N(Q1311)&lt;=0),"Menge pro Gebinde fehlt (Ist = 1 Gebinde); ","")&amp;BR1311)</f>
        <v>negativer Bestand (Export -20); Kein Verbrauch; Gebinde geschätzt (Mittel); Menge pro Gebinde fehlt (Ist = 1 Gebinde); </v>
      </c>
      <c r="BK1311" s="48"/>
      <c r="BL1311" s="48"/>
      <c r="BM1311" s="55"/>
      <c r="BN1311" s="50" t="n">
        <v>-20</v>
      </c>
      <c r="BO1311" s="50" t="n">
        <v>20</v>
      </c>
      <c r="BP1311" s="49" t="n">
        <v>-1300</v>
      </c>
      <c r="BQ1311" s="50" t="n">
        <v>0</v>
      </c>
      <c r="BR1311" s="48"/>
      <c r="BS1311" s="53" t="n">
        <v>0</v>
      </c>
      <c r="BT1311" s="53" t="n">
        <v>1311</v>
      </c>
      <c r="BU1311" s="48" t="str">
        <f aca="false">IF(U1311&lt;&gt;"",UPPER(TRIM(U1311)),IF(BX1311=1,UPPER(VLOOKUP(T1311,Parameter!$I$27:$K$29,2,0)),IF(P1311="","LOSE",P1311)))</f>
        <v>S61</v>
      </c>
      <c r="BV1311" s="50" t="n">
        <f aca="false">IF(BU1311="LOSE",1,IF(N(V1311)&gt;0,V1311,IF(BX1311=1,MAX(1,N(VLOOKUP(T1311,Parameter!$I$27:$K$29,3,0)),H1311,N(N1311)),IF(N(Q1311)&gt;0,Q1311,MAX(1,H1311)))))</f>
        <v>4</v>
      </c>
      <c r="BW1311" s="53" t="n">
        <f aca="false">IF(BU1311="LOSE",1,0)</f>
        <v>0</v>
      </c>
      <c r="BX1311" s="53" t="n">
        <f aca="false">IF(AND(U1311="",OR(P1311="",P1311="LOSE"),T1311&lt;&gt;"",N(S1311)&lt;=0,ISNUMBER(MATCH(T1311,Parameter!$I$27:$I$29,0))),1,0)</f>
        <v>1</v>
      </c>
      <c r="BY1311" s="53" t="n">
        <f aca="false">IF(CL1311&gt;0,INDEX(Parameter!$H$5:$H$7,W1311)/INDEX(Parameter!$E$5:$E$7,W1311),IF(AND(BW1311=0,N(IFERROR(VLOOKUP(BU1311,'Gebinde-Kategorie'!$A$5:$N$45,14,0),0))&gt;0),VLOOKUP(BU1311,'Gebinde-Kategorie'!$A$5:$N$45,14,0)*10+Parameter!$M$23,Parameter!$M$24))</f>
        <v>145</v>
      </c>
      <c r="BZ1311" s="48" t="str">
        <f aca="false">IF(AND(Parameter!$B$19="Ja",E1311&lt;&gt;"",ISNUMBER(MATCH(E1311,Parameter!$I$35:$I$52,0))),VLOOKUP(E1311,Parameter!$I$35:$J$52,2,0),IFERROR(VLOOKUP(D1311,Parameter!$A$35:$C$64,2,0),"Nein"))</f>
        <v>2+3</v>
      </c>
      <c r="CA1311" s="52" t="n">
        <f aca="false">IF(BW1311=0,0,IF(N(S1311)&gt;0,S1311,IFERROR(VLOOKUP(D1311,Parameter!$A$35:$C$64,3,0)+0,0)))</f>
        <v>0</v>
      </c>
      <c r="CB1311" s="48" t="n">
        <f aca="false">IF(AA1311&lt;&gt;"",AA1311,Z1311)</f>
        <v>2</v>
      </c>
      <c r="CC1311" s="48" t="str">
        <f aca="false">IF(OR(CB1311=1,CB1311=2,CB1311=3),IF(Parameter!$E$27="Ja","LIFT",IF(CB1311=1,"L1","L23")),IF(CB1311="Aussen","Aussen","-"))</f>
        <v>LIFT</v>
      </c>
      <c r="CD1311" s="59" t="n">
        <f aca="false">IF(N(AB1311)&gt;0,AB1311,0)</f>
        <v>0</v>
      </c>
      <c r="CE1311" s="53" t="n">
        <f aca="false">IF(ISNUMBER(AE1311),1,0)</f>
        <v>0</v>
      </c>
      <c r="CF1311" s="50" t="n">
        <f aca="false">N(AE1311)</f>
        <v>0</v>
      </c>
      <c r="CG1311" s="50" t="n">
        <f aca="false">N(M1311)+N(N1311)</f>
        <v>1</v>
      </c>
      <c r="CH1311" s="50" t="n">
        <f aca="false">ROUNDUP(H1311/BV1311,0)</f>
        <v>0</v>
      </c>
      <c r="CI1311" s="50" t="n">
        <f aca="false">ROUNDUP(CF1311/BV1311,0)</f>
        <v>0</v>
      </c>
      <c r="CJ1311" s="53" t="n">
        <f aca="false">IF(BW1311=1,0,IFERROR(VLOOKUP(BU1311,'Gebinde-Kategorie'!$A$5:$N$45,5,0)+0,0))</f>
        <v>11</v>
      </c>
      <c r="CK1311" s="53" t="n">
        <f aca="false">IFERROR(IF(OR(CB1311=1,CB1311=2,CB1311=3),N(INDEX(Parameter!$I$5:$I$7,CB1311)),0),0)</f>
        <v>0</v>
      </c>
      <c r="CL1311" s="52" t="n">
        <f aca="false">IF(AND(Parameter!$B$21="Ja",ISNUMBER(W1311),N(X1311)&gt;0),IFERROR(N(INDEX(Parameter!$L$5:$L$7,W1311))*INDEX(Parameter!$E$5:$E$7,W1311)*X1311/SUMIFS($X$7:$X$1843,$W$7:$W$1843,W1311),0),0)</f>
        <v>0</v>
      </c>
    </row>
    <row r="1312" customFormat="false" ht="15" hidden="false" customHeight="false" outlineLevel="0" collapsed="false">
      <c r="A1312" s="48" t="s">
        <v>2332</v>
      </c>
      <c r="B1312" s="48" t="s">
        <v>2333</v>
      </c>
      <c r="C1312" s="48" t="s">
        <v>460</v>
      </c>
      <c r="D1312" s="48" t="s">
        <v>177</v>
      </c>
      <c r="E1312" s="48"/>
      <c r="F1312" s="48" t="s">
        <v>222</v>
      </c>
      <c r="G1312" s="49" t="n">
        <v>65</v>
      </c>
      <c r="H1312" s="50" t="n">
        <f aca="false">MAX(0,IF(AND(Parameter!$B$21="Ja",ISNUMBER(Y1312)),Y1312,IF(Parameter!$B$20="Jahresanfang 2025 + Export",BO1312+BN1312,BN1312)))</f>
        <v>0</v>
      </c>
      <c r="I1312" s="50" t="n">
        <f aca="false">H1312*G1312</f>
        <v>0</v>
      </c>
      <c r="J1312" s="50" t="n">
        <f aca="false">BQ1312*Parameter!$B$18</f>
        <v>0</v>
      </c>
      <c r="K1312" s="51" t="n">
        <v>10</v>
      </c>
      <c r="L1312" s="52" t="n">
        <v>0</v>
      </c>
      <c r="M1312" s="50" t="n">
        <v>0</v>
      </c>
      <c r="N1312" s="50" t="n">
        <v>1</v>
      </c>
      <c r="O1312" s="53" t="n">
        <v>56</v>
      </c>
      <c r="P1312" s="48" t="s">
        <v>172</v>
      </c>
      <c r="Q1312" s="50"/>
      <c r="R1312" s="53" t="n">
        <f aca="false">IF(BW1312=1,0,IFERROR(VLOOKUP(BU1312,'Gebinde-Kategorie'!$A$5:$N$45,13,0)+0,0))</f>
        <v>12</v>
      </c>
      <c r="S1312" s="54"/>
      <c r="T1312" s="55" t="s">
        <v>183</v>
      </c>
      <c r="U1312" s="55"/>
      <c r="V1312" s="55"/>
      <c r="W1312" s="48"/>
      <c r="X1312" s="50"/>
      <c r="Y1312" s="50"/>
      <c r="Z1312" s="48" t="n">
        <f aca="false">IF(A1312="","",IF(AND(Parameter!$B$21="Ja",ISNUMBER(W1312)),W1312,IF(BZ1312="2+3",IF(ISNUMBER(SEARCH("grosser Artikel",BR1312)),2,IFERROR(VLOOKUP(BU1312,Parameter!$F$35:$G$64,2,0),2)),IF(OR(BZ1312="Nein",BZ1312=""),"-",BZ1312))))</f>
        <v>2</v>
      </c>
      <c r="AA1312" s="55"/>
      <c r="AB1312" s="56"/>
      <c r="AC1312" s="50" t="n">
        <f aca="false">AT1312</f>
        <v>4</v>
      </c>
      <c r="AD1312" s="50" t="n">
        <f aca="false">MAX(AT1312,H1312)</f>
        <v>4</v>
      </c>
      <c r="AE1312" s="57"/>
      <c r="AF1312" s="50" t="n">
        <f aca="false">IF(LEFT(Cockpit!$C$5,1)="A",H1312,IF(CE1312=1,CF1312,IF(LEFT(Cockpit!$C$5,1)="B",AK1312,MAX(AK1312,H1312))))</f>
        <v>0</v>
      </c>
      <c r="AG1312" s="50" t="n">
        <f aca="false">IF(BW1312=1,0,ROUNDUP(AF1312/BV1312,0))</f>
        <v>0</v>
      </c>
      <c r="AH1312" s="52" t="n">
        <f aca="false">IF(CL1312&gt;0,CL1312*MAX(1,AF1312/X1312),IF(BW1312=1,IF(AF1312&lt;=0,0,CA1312*MAX(1,IF(H1312&gt;0,AF1312/H1312,1))),IF(R1312&gt;0,AG1312/R1312,0))/MAX(0.1,N(Parameter!$M$21)))</f>
        <v>0</v>
      </c>
      <c r="AI1312" s="50" t="n">
        <f aca="false">AH1312*BY1312</f>
        <v>0</v>
      </c>
      <c r="AJ1312" s="50" t="n">
        <f aca="false">AF1312*G1312</f>
        <v>0</v>
      </c>
      <c r="AK1312" s="50" t="n">
        <f aca="false">ROUNDUP(MAX(J1312/IF(CD1312&gt;0,CD1312,MAX(0.1,N(Cockpit!$C$6))),CG1312)/BV1312,0)*BV1312</f>
        <v>4</v>
      </c>
      <c r="AL1312" s="51" t="n">
        <f aca="false">IF(AI1312&gt;0,J1312/AI1312,-1)</f>
        <v>-1</v>
      </c>
      <c r="AM1312" s="51" t="str">
        <f aca="false">IF(AND(OR(CC1312="L1",CC1312="L23",CC1312="LIFT"),AI1312&gt;0),SUMIFS($AI$7:$AI$1843,$CC$7:$CC$1843,CC1312,$AL$7:$AL$1843,"&gt;"&amp;AL1312)+SUMIFS($AI$7:$AI$1843,$CC$7:$CC$1843,CC1312,$AL$7:$AL$1843,AL1312,$BT$7:$BT$1843,"&lt;="&amp;BT1312),"")</f>
        <v/>
      </c>
      <c r="AN1312" s="58" t="n">
        <f aca="false">IF(AM1312="",0,MAX(0,MIN(1,(IF(CC1312="L1",Parameter!$H$5,IF(CC1312="L23",Parameter!$H$6+Parameter!$H$7,Parameter!$H$5+Parameter!$H$6+Parameter!$H$7))-(AM1312-AI1312))/AI1312)))</f>
        <v>0</v>
      </c>
      <c r="AO1312" s="50" t="n">
        <f aca="false">IF(LEFT(Cockpit!$I$5,1)="A",H1312,IF(CE1312=1,CF1312,IF(LEFT(Cockpit!$I$5,1)="B",AT1312,MAX(AT1312,H1312))))</f>
        <v>4</v>
      </c>
      <c r="AP1312" s="50" t="n">
        <f aca="false">IF(BW1312=1,0,ROUNDUP(AO1312/BV1312,0))</f>
        <v>1</v>
      </c>
      <c r="AQ1312" s="52" t="n">
        <f aca="false">IF(CL1312&gt;0,CL1312*MAX(1,AO1312/X1312),IF(BW1312=1,IF(AO1312&lt;=0,0,CA1312*MAX(1,IF(H1312&gt;0,AO1312/H1312,1))),IF(R1312&gt;0,AP1312/R1312,0))/MAX(0.1,N(Parameter!$M$21)))</f>
        <v>0.0833333333333333</v>
      </c>
      <c r="AR1312" s="50" t="n">
        <f aca="false">AQ1312*BY1312</f>
        <v>12.0833333333333</v>
      </c>
      <c r="AS1312" s="50" t="n">
        <f aca="false">AO1312*G1312</f>
        <v>260</v>
      </c>
      <c r="AT1312" s="50" t="n">
        <f aca="false">ROUNDUP(MAX(J1312/IF(CD1312&gt;0,CD1312,MAX(0.1,N(Cockpit!$I$6))),CG1312)/BV1312,0)*BV1312</f>
        <v>4</v>
      </c>
      <c r="AU1312" s="51" t="n">
        <f aca="false">IF(AR1312&gt;0,J1312/AR1312,-1)</f>
        <v>0</v>
      </c>
      <c r="AV1312" s="51" t="n">
        <f aca="false">IF(AND(OR(CC1312="L1",CC1312="L23",CC1312="LIFT"),AR1312&gt;0),SUMIFS($AR$7:$AR$1843,$CC$7:$CC$1843,CC1312,$AU$7:$AU$1843,"&gt;"&amp;AU1312)+SUMIFS($AR$7:$AR$1843,$CC$7:$CC$1843,CC1312,$AU$7:$AU$1843,AU1312,$BT$7:$BT$1843,"&lt;="&amp;BT1312),"")</f>
        <v>41636.9391103247</v>
      </c>
      <c r="AW1312" s="58" t="n">
        <f aca="false">IF(AV1312="",0,MAX(0,MIN(1,(IF(CC1312="L1",Parameter!$H$5,IF(CC1312="L23",Parameter!$H$6+Parameter!$H$7,Parameter!$H$5+Parameter!$H$6+Parameter!$H$7))-(AV1312-AR1312))/AR1312)))</f>
        <v>0</v>
      </c>
      <c r="AX1312" s="50" t="n">
        <f aca="false">IF(LEFT(Cockpit!$O$5,1)="A",H1312,IF(CE1312=1,CF1312,IF(LEFT(Cockpit!$O$5,1)="B",BC1312,MAX(BC1312,H1312))))</f>
        <v>4</v>
      </c>
      <c r="AY1312" s="50" t="n">
        <f aca="false">IF(BW1312=1,0,ROUNDUP(AX1312/BV1312,0))</f>
        <v>1</v>
      </c>
      <c r="AZ1312" s="52" t="n">
        <f aca="false">IF(CL1312&gt;0,CL1312*MAX(1,AX1312/X1312),IF(BW1312=1,IF(AX1312&lt;=0,0,CA1312*MAX(1,IF(H1312&gt;0,AX1312/H1312,1))),IF(R1312&gt;0,AY1312/R1312,0))/MAX(0.1,N(Parameter!$M$21)))</f>
        <v>0.0833333333333333</v>
      </c>
      <c r="BA1312" s="50" t="n">
        <f aca="false">AZ1312*BY1312</f>
        <v>12.0833333333333</v>
      </c>
      <c r="BB1312" s="50" t="n">
        <f aca="false">AX1312*G1312</f>
        <v>260</v>
      </c>
      <c r="BC1312" s="50" t="n">
        <f aca="false">ROUNDUP(MAX(J1312/IF(CD1312&gt;0,CD1312,MAX(0.1,N(Cockpit!$O$6))),CG1312)/BV1312,0)*BV1312</f>
        <v>4</v>
      </c>
      <c r="BD1312" s="51" t="n">
        <f aca="false">IF(BA1312&gt;0,J1312/BA1312,-1)</f>
        <v>0</v>
      </c>
      <c r="BE1312" s="51" t="n">
        <f aca="false">IF(AND(OR(CC1312="L1",CC1312="L23",CC1312="LIFT"),BA1312&gt;0),SUMIFS($BA$7:$BA$1843,$CC$7:$CC$1843,CC1312,$BD$7:$BD$1843,"&gt;"&amp;BD1312)+SUMIFS($BA$7:$BA$1843,$CC$7:$CC$1843,CC1312,$BD$7:$BD$1843,BD1312,$BT$7:$BT$1843,"&lt;="&amp;BT1312),"")</f>
        <v>38311.9511521906</v>
      </c>
      <c r="BF1312" s="58" t="n">
        <f aca="false">IF(BE1312="",0,MAX(0,MIN(1,(IF(CC1312="L1",Parameter!$H$5,IF(CC1312="L23",Parameter!$H$6+Parameter!$H$7,Parameter!$H$5+Parameter!$H$6+Parameter!$H$7))-(BE1312-BA1312))/BA1312)))</f>
        <v>0</v>
      </c>
      <c r="BG1312" s="48" t="str">
        <f aca="false">IF(AI1312&lt;=0,"",IF(CC1312="Aussen","Aussenlager",IF(CC1312="-","Nicht im Lift",IF(AN1312&gt;=1,"Lift",IF(AN1312&lt;=0,"Aussenlager","teilweise")))))</f>
        <v/>
      </c>
      <c r="BH1312" s="48" t="str">
        <f aca="false">IF(AR1312&lt;=0,"",IF(CC1312="Aussen","Aussenlager",IF(CC1312="-","Nicht im Lift",IF(AW1312&gt;=1,"Lift",IF(AW1312&lt;=0,"Aussenlager","teilweise")))))</f>
        <v>Aussenlager</v>
      </c>
      <c r="BI1312" s="48" t="str">
        <f aca="false">IF(BA1312&lt;=0,"",IF(CC1312="Aussen","Aussenlager",IF(CC1312="-","Nicht im Lift",IF(BF1312&gt;=1,"Lift",IF(BF1312&lt;=0,"Aussenlager","teilweise")))))</f>
        <v>Aussenlager</v>
      </c>
      <c r="BJ1312" s="48" t="str">
        <f aca="false">IF(A1312="","",IF(BS1312=1,"Neu; ","")&amp;IF(AND(BS1312=0,BN1312&lt;0),"negativer Bestand (Export "&amp;BN1312&amp;"); ","")&amp;IF(J1312&lt;=0,"Kein Verbrauch; ","")&amp;IF(CL1312&gt;0,"Lift "&amp;W1312&amp;" lt. Liftbericht (Fach "&amp;X1312&amp;" Stk); ",IF(BX1312=1,"Gebinde geschätzt ("&amp;T1312&amp;"); ",IF(BW1312=1,"Lose – Tablare geschätzt; ","")))&amp;IF(H1312&gt;AT1312,"Überbestand "&amp;ROUND(H1312-AT1312,0)&amp;" Stk / CHF "&amp;ROUND((H1312-AT1312)*G1312,0)&amp;"; ","")&amp;IF(AND(CE1312=1,CF1312&lt;CG1312),"MAX &lt; MB+LG; ","")&amp;IF(AND(CK1312&gt;0,CJ1312*10&gt;CK1312),"zu hoch für Tablar; ","")&amp;IF(AND(BS1312=0,OR(CE1312=1,AA1312&lt;&gt;"",U1312&lt;&gt;"",V1312&lt;&gt;"",AB1312&lt;&gt;"")),"manuell übersteuert; ","")&amp;IF(AND(BW1312=0,R1312=0),"Gebinde unbekannt / Stellmass fehlt; ","")&amp;IF(AND(BW1312=0,N(V1312)&lt;=0,N(Q1312)&lt;=0),"Menge pro Gebinde fehlt (Ist = 1 Gebinde); ","")&amp;BR1312)</f>
        <v>negativer Bestand (Export -20); Kein Verbrauch; Gebinde geschätzt (Mittel); Menge pro Gebinde fehlt (Ist = 1 Gebinde); </v>
      </c>
      <c r="BK1312" s="48"/>
      <c r="BL1312" s="48"/>
      <c r="BM1312" s="55"/>
      <c r="BN1312" s="50" t="n">
        <v>-20</v>
      </c>
      <c r="BO1312" s="50" t="n">
        <v>20</v>
      </c>
      <c r="BP1312" s="49" t="n">
        <v>-1300</v>
      </c>
      <c r="BQ1312" s="50" t="n">
        <v>0</v>
      </c>
      <c r="BR1312" s="48"/>
      <c r="BS1312" s="53" t="n">
        <v>0</v>
      </c>
      <c r="BT1312" s="53" t="n">
        <v>1312</v>
      </c>
      <c r="BU1312" s="48" t="str">
        <f aca="false">IF(U1312&lt;&gt;"",UPPER(TRIM(U1312)),IF(BX1312=1,UPPER(VLOOKUP(T1312,Parameter!$I$27:$K$29,2,0)),IF(P1312="","LOSE",P1312)))</f>
        <v>S61</v>
      </c>
      <c r="BV1312" s="50" t="n">
        <f aca="false">IF(BU1312="LOSE",1,IF(N(V1312)&gt;0,V1312,IF(BX1312=1,MAX(1,N(VLOOKUP(T1312,Parameter!$I$27:$K$29,3,0)),H1312,N(N1312)),IF(N(Q1312)&gt;0,Q1312,MAX(1,H1312)))))</f>
        <v>4</v>
      </c>
      <c r="BW1312" s="53" t="n">
        <f aca="false">IF(BU1312="LOSE",1,0)</f>
        <v>0</v>
      </c>
      <c r="BX1312" s="53" t="n">
        <f aca="false">IF(AND(U1312="",OR(P1312="",P1312="LOSE"),T1312&lt;&gt;"",N(S1312)&lt;=0,ISNUMBER(MATCH(T1312,Parameter!$I$27:$I$29,0))),1,0)</f>
        <v>1</v>
      </c>
      <c r="BY1312" s="53" t="n">
        <f aca="false">IF(CL1312&gt;0,INDEX(Parameter!$H$5:$H$7,W1312)/INDEX(Parameter!$E$5:$E$7,W1312),IF(AND(BW1312=0,N(IFERROR(VLOOKUP(BU1312,'Gebinde-Kategorie'!$A$5:$N$45,14,0),0))&gt;0),VLOOKUP(BU1312,'Gebinde-Kategorie'!$A$5:$N$45,14,0)*10+Parameter!$M$23,Parameter!$M$24))</f>
        <v>145</v>
      </c>
      <c r="BZ1312" s="48" t="str">
        <f aca="false">IF(AND(Parameter!$B$19="Ja",E1312&lt;&gt;"",ISNUMBER(MATCH(E1312,Parameter!$I$35:$I$52,0))),VLOOKUP(E1312,Parameter!$I$35:$J$52,2,0),IFERROR(VLOOKUP(D1312,Parameter!$A$35:$C$64,2,0),"Nein"))</f>
        <v>2+3</v>
      </c>
      <c r="CA1312" s="52" t="n">
        <f aca="false">IF(BW1312=0,0,IF(N(S1312)&gt;0,S1312,IFERROR(VLOOKUP(D1312,Parameter!$A$35:$C$64,3,0)+0,0)))</f>
        <v>0</v>
      </c>
      <c r="CB1312" s="48" t="n">
        <f aca="false">IF(AA1312&lt;&gt;"",AA1312,Z1312)</f>
        <v>2</v>
      </c>
      <c r="CC1312" s="48" t="str">
        <f aca="false">IF(OR(CB1312=1,CB1312=2,CB1312=3),IF(Parameter!$E$27="Ja","LIFT",IF(CB1312=1,"L1","L23")),IF(CB1312="Aussen","Aussen","-"))</f>
        <v>LIFT</v>
      </c>
      <c r="CD1312" s="59" t="n">
        <f aca="false">IF(N(AB1312)&gt;0,AB1312,0)</f>
        <v>0</v>
      </c>
      <c r="CE1312" s="53" t="n">
        <f aca="false">IF(ISNUMBER(AE1312),1,0)</f>
        <v>0</v>
      </c>
      <c r="CF1312" s="50" t="n">
        <f aca="false">N(AE1312)</f>
        <v>0</v>
      </c>
      <c r="CG1312" s="50" t="n">
        <f aca="false">N(M1312)+N(N1312)</f>
        <v>1</v>
      </c>
      <c r="CH1312" s="50" t="n">
        <f aca="false">ROUNDUP(H1312/BV1312,0)</f>
        <v>0</v>
      </c>
      <c r="CI1312" s="50" t="n">
        <f aca="false">ROUNDUP(CF1312/BV1312,0)</f>
        <v>0</v>
      </c>
      <c r="CJ1312" s="53" t="n">
        <f aca="false">IF(BW1312=1,0,IFERROR(VLOOKUP(BU1312,'Gebinde-Kategorie'!$A$5:$N$45,5,0)+0,0))</f>
        <v>11</v>
      </c>
      <c r="CK1312" s="53" t="n">
        <f aca="false">IFERROR(IF(OR(CB1312=1,CB1312=2,CB1312=3),N(INDEX(Parameter!$I$5:$I$7,CB1312)),0),0)</f>
        <v>0</v>
      </c>
      <c r="CL1312" s="52" t="n">
        <f aca="false">IF(AND(Parameter!$B$21="Ja",ISNUMBER(W1312),N(X1312)&gt;0),IFERROR(N(INDEX(Parameter!$L$5:$L$7,W1312))*INDEX(Parameter!$E$5:$E$7,W1312)*X1312/SUMIFS($X$7:$X$1843,$W$7:$W$1843,W1312),0),0)</f>
        <v>0</v>
      </c>
    </row>
    <row r="1313" customFormat="false" ht="15" hidden="false" customHeight="false" outlineLevel="0" collapsed="false">
      <c r="A1313" s="48" t="s">
        <v>2334</v>
      </c>
      <c r="B1313" s="48" t="s">
        <v>2335</v>
      </c>
      <c r="C1313" s="48" t="s">
        <v>168</v>
      </c>
      <c r="D1313" s="48" t="s">
        <v>357</v>
      </c>
      <c r="E1313" s="48"/>
      <c r="F1313" s="48" t="s">
        <v>222</v>
      </c>
      <c r="G1313" s="49" t="n">
        <v>1309.41</v>
      </c>
      <c r="H1313" s="50" t="n">
        <f aca="false">MAX(0,IF(AND(Parameter!$B$21="Ja",ISNUMBER(Y1313)),Y1313,IF(Parameter!$B$20="Jahresanfang 2025 + Export",BO1313+BN1313,BN1313)))</f>
        <v>0</v>
      </c>
      <c r="I1313" s="50" t="n">
        <f aca="false">H1313*G1313</f>
        <v>0</v>
      </c>
      <c r="J1313" s="50" t="n">
        <f aca="false">BQ1313*Parameter!$B$18</f>
        <v>0</v>
      </c>
      <c r="K1313" s="51" t="n">
        <v>0.5</v>
      </c>
      <c r="L1313" s="52" t="n">
        <v>0</v>
      </c>
      <c r="M1313" s="50" t="n">
        <v>0</v>
      </c>
      <c r="N1313" s="50" t="n">
        <v>1</v>
      </c>
      <c r="O1313" s="53" t="n">
        <v>77</v>
      </c>
      <c r="P1313" s="48" t="s">
        <v>172</v>
      </c>
      <c r="Q1313" s="50"/>
      <c r="R1313" s="53" t="n">
        <f aca="false">IF(BW1313=1,0,IFERROR(VLOOKUP(BU1313,'Gebinde-Kategorie'!$A$5:$N$45,13,0)+0,0))</f>
        <v>0</v>
      </c>
      <c r="S1313" s="54"/>
      <c r="T1313" s="55"/>
      <c r="U1313" s="55"/>
      <c r="V1313" s="55"/>
      <c r="W1313" s="48"/>
      <c r="X1313" s="50"/>
      <c r="Y1313" s="50"/>
      <c r="Z1313" s="48" t="str">
        <f aca="false">IF(A1313="","",IF(AND(Parameter!$B$21="Ja",ISNUMBER(W1313)),W1313,IF(BZ1313="2+3",IF(ISNUMBER(SEARCH("grosser Artikel",BR1313)),2,IFERROR(VLOOKUP(BU1313,Parameter!$F$35:$G$64,2,0),2)),IF(OR(BZ1313="Nein",BZ1313=""),"-",BZ1313))))</f>
        <v>-</v>
      </c>
      <c r="AA1313" s="55"/>
      <c r="AB1313" s="56"/>
      <c r="AC1313" s="50" t="n">
        <f aca="false">AT1313</f>
        <v>1</v>
      </c>
      <c r="AD1313" s="50" t="n">
        <f aca="false">MAX(AT1313,H1313)</f>
        <v>1</v>
      </c>
      <c r="AE1313" s="57"/>
      <c r="AF1313" s="50" t="n">
        <f aca="false">IF(LEFT(Cockpit!$C$5,1)="A",H1313,IF(CE1313=1,CF1313,IF(LEFT(Cockpit!$C$5,1)="B",AK1313,MAX(AK1313,H1313))))</f>
        <v>0</v>
      </c>
      <c r="AG1313" s="50" t="n">
        <f aca="false">IF(BW1313=1,0,ROUNDUP(AF1313/BV1313,0))</f>
        <v>0</v>
      </c>
      <c r="AH1313" s="52" t="n">
        <f aca="false">IF(CL1313&gt;0,CL1313*MAX(1,AF1313/X1313),IF(BW1313=1,IF(AF1313&lt;=0,0,CA1313*MAX(1,IF(H1313&gt;0,AF1313/H1313,1))),IF(R1313&gt;0,AG1313/R1313,0))/MAX(0.1,N(Parameter!$M$21)))</f>
        <v>0</v>
      </c>
      <c r="AI1313" s="50" t="n">
        <f aca="false">AH1313*BY1313</f>
        <v>0</v>
      </c>
      <c r="AJ1313" s="50" t="n">
        <f aca="false">AF1313*G1313</f>
        <v>0</v>
      </c>
      <c r="AK1313" s="50" t="n">
        <f aca="false">ROUNDUP(MAX(J1313/IF(CD1313&gt;0,CD1313,MAX(0.1,N(Cockpit!$C$6))),CG1313)/BV1313,0)*BV1313</f>
        <v>1</v>
      </c>
      <c r="AL1313" s="51" t="n">
        <f aca="false">IF(AI1313&gt;0,J1313/AI1313,-1)</f>
        <v>-1</v>
      </c>
      <c r="AM1313" s="51" t="str">
        <f aca="false">IF(AND(OR(CC1313="L1",CC1313="L23",CC1313="LIFT"),AI1313&gt;0),SUMIFS($AI$7:$AI$1843,$CC$7:$CC$1843,CC1313,$AL$7:$AL$1843,"&gt;"&amp;AL1313)+SUMIFS($AI$7:$AI$1843,$CC$7:$CC$1843,CC1313,$AL$7:$AL$1843,AL1313,$BT$7:$BT$1843,"&lt;="&amp;BT1313),"")</f>
        <v/>
      </c>
      <c r="AN1313" s="58" t="n">
        <f aca="false">IF(AM1313="",0,MAX(0,MIN(1,(IF(CC1313="L1",Parameter!$H$5,IF(CC1313="L23",Parameter!$H$6+Parameter!$H$7,Parameter!$H$5+Parameter!$H$6+Parameter!$H$7))-(AM1313-AI1313))/AI1313)))</f>
        <v>0</v>
      </c>
      <c r="AO1313" s="50" t="n">
        <f aca="false">IF(LEFT(Cockpit!$I$5,1)="A",H1313,IF(CE1313=1,CF1313,IF(LEFT(Cockpit!$I$5,1)="B",AT1313,MAX(AT1313,H1313))))</f>
        <v>1</v>
      </c>
      <c r="AP1313" s="50" t="n">
        <f aca="false">IF(BW1313=1,0,ROUNDUP(AO1313/BV1313,0))</f>
        <v>0</v>
      </c>
      <c r="AQ1313" s="52" t="n">
        <f aca="false">IF(CL1313&gt;0,CL1313*MAX(1,AO1313/X1313),IF(BW1313=1,IF(AO1313&lt;=0,0,CA1313*MAX(1,IF(H1313&gt;0,AO1313/H1313,1))),IF(R1313&gt;0,AP1313/R1313,0))/MAX(0.1,N(Parameter!$M$21)))</f>
        <v>0.15</v>
      </c>
      <c r="AR1313" s="50" t="n">
        <f aca="false">AQ1313*BY1313</f>
        <v>35.25</v>
      </c>
      <c r="AS1313" s="50" t="n">
        <f aca="false">AO1313*G1313</f>
        <v>1309.41</v>
      </c>
      <c r="AT1313" s="50" t="n">
        <f aca="false">ROUNDUP(MAX(J1313/IF(CD1313&gt;0,CD1313,MAX(0.1,N(Cockpit!$I$6))),CG1313)/BV1313,0)*BV1313</f>
        <v>1</v>
      </c>
      <c r="AU1313" s="51" t="n">
        <f aca="false">IF(AR1313&gt;0,J1313/AR1313,-1)</f>
        <v>0</v>
      </c>
      <c r="AV1313" s="51" t="str">
        <f aca="false">IF(AND(OR(CC1313="L1",CC1313="L23",CC1313="LIFT"),AR1313&gt;0),SUMIFS($AR$7:$AR$1843,$CC$7:$CC$1843,CC1313,$AU$7:$AU$1843,"&gt;"&amp;AU1313)+SUMIFS($AR$7:$AR$1843,$CC$7:$CC$1843,CC1313,$AU$7:$AU$1843,AU1313,$BT$7:$BT$1843,"&lt;="&amp;BT1313),"")</f>
        <v/>
      </c>
      <c r="AW1313" s="58" t="n">
        <f aca="false">IF(AV1313="",0,MAX(0,MIN(1,(IF(CC1313="L1",Parameter!$H$5,IF(CC1313="L23",Parameter!$H$6+Parameter!$H$7,Parameter!$H$5+Parameter!$H$6+Parameter!$H$7))-(AV1313-AR1313))/AR1313)))</f>
        <v>0</v>
      </c>
      <c r="AX1313" s="50" t="n">
        <f aca="false">IF(LEFT(Cockpit!$O$5,1)="A",H1313,IF(CE1313=1,CF1313,IF(LEFT(Cockpit!$O$5,1)="B",BC1313,MAX(BC1313,H1313))))</f>
        <v>1</v>
      </c>
      <c r="AY1313" s="50" t="n">
        <f aca="false">IF(BW1313=1,0,ROUNDUP(AX1313/BV1313,0))</f>
        <v>0</v>
      </c>
      <c r="AZ1313" s="52" t="n">
        <f aca="false">IF(CL1313&gt;0,CL1313*MAX(1,AX1313/X1313),IF(BW1313=1,IF(AX1313&lt;=0,0,CA1313*MAX(1,IF(H1313&gt;0,AX1313/H1313,1))),IF(R1313&gt;0,AY1313/R1313,0))/MAX(0.1,N(Parameter!$M$21)))</f>
        <v>0.15</v>
      </c>
      <c r="BA1313" s="50" t="n">
        <f aca="false">AZ1313*BY1313</f>
        <v>35.25</v>
      </c>
      <c r="BB1313" s="50" t="n">
        <f aca="false">AX1313*G1313</f>
        <v>1309.41</v>
      </c>
      <c r="BC1313" s="50" t="n">
        <f aca="false">ROUNDUP(MAX(J1313/IF(CD1313&gt;0,CD1313,MAX(0.1,N(Cockpit!$O$6))),CG1313)/BV1313,0)*BV1313</f>
        <v>1</v>
      </c>
      <c r="BD1313" s="51" t="n">
        <f aca="false">IF(BA1313&gt;0,J1313/BA1313,-1)</f>
        <v>0</v>
      </c>
      <c r="BE1313" s="51" t="str">
        <f aca="false">IF(AND(OR(CC1313="L1",CC1313="L23",CC1313="LIFT"),BA1313&gt;0),SUMIFS($BA$7:$BA$1843,$CC$7:$CC$1843,CC1313,$BD$7:$BD$1843,"&gt;"&amp;BD1313)+SUMIFS($BA$7:$BA$1843,$CC$7:$CC$1843,CC1313,$BD$7:$BD$1843,BD1313,$BT$7:$BT$1843,"&lt;="&amp;BT1313),"")</f>
        <v/>
      </c>
      <c r="BF1313" s="58" t="n">
        <f aca="false">IF(BE1313="",0,MAX(0,MIN(1,(IF(CC1313="L1",Parameter!$H$5,IF(CC1313="L23",Parameter!$H$6+Parameter!$H$7,Parameter!$H$5+Parameter!$H$6+Parameter!$H$7))-(BE1313-BA1313))/BA1313)))</f>
        <v>0</v>
      </c>
      <c r="BG1313" s="48" t="str">
        <f aca="false">IF(AI1313&lt;=0,"",IF(CC1313="Aussen","Aussenlager",IF(CC1313="-","Nicht im Lift",IF(AN1313&gt;=1,"Lift",IF(AN1313&lt;=0,"Aussenlager","teilweise")))))</f>
        <v/>
      </c>
      <c r="BH1313" s="48" t="str">
        <f aca="false">IF(AR1313&lt;=0,"",IF(CC1313="Aussen","Aussenlager",IF(CC1313="-","Nicht im Lift",IF(AW1313&gt;=1,"Lift",IF(AW1313&lt;=0,"Aussenlager","teilweise")))))</f>
        <v>Nicht im Lift</v>
      </c>
      <c r="BI1313" s="48" t="str">
        <f aca="false">IF(BA1313&lt;=0,"",IF(CC1313="Aussen","Aussenlager",IF(CC1313="-","Nicht im Lift",IF(BF1313&gt;=1,"Lift",IF(BF1313&lt;=0,"Aussenlager","teilweise")))))</f>
        <v>Nicht im Lift</v>
      </c>
      <c r="BJ1313" s="48" t="str">
        <f aca="false">IF(A1313="","",IF(BS1313=1,"Neu; ","")&amp;IF(AND(BS1313=0,BN1313&lt;0),"negativer Bestand (Export "&amp;BN1313&amp;"); ","")&amp;IF(J1313&lt;=0,"Kein Verbrauch; ","")&amp;IF(CL1313&gt;0,"Lift "&amp;W1313&amp;" lt. Liftbericht (Fach "&amp;X1313&amp;" Stk); ",IF(BX1313=1,"Gebinde geschätzt ("&amp;T1313&amp;"); ",IF(BW1313=1,"Lose – Tablare geschätzt; ","")))&amp;IF(H1313&gt;AT1313,"Überbestand "&amp;ROUND(H1313-AT1313,0)&amp;" Stk / CHF "&amp;ROUND((H1313-AT1313)*G1313,0)&amp;"; ","")&amp;IF(AND(CE1313=1,CF1313&lt;CG1313),"MAX &lt; MB+LG; ","")&amp;IF(AND(CK1313&gt;0,CJ1313*10&gt;CK1313),"zu hoch für Tablar; ","")&amp;IF(AND(BS1313=0,OR(CE1313=1,AA1313&lt;&gt;"",U1313&lt;&gt;"",V1313&lt;&gt;"",AB1313&lt;&gt;"")),"manuell übersteuert; ","")&amp;IF(AND(BW1313=0,R1313=0),"Gebinde unbekannt / Stellmass fehlt; ","")&amp;IF(AND(BW1313=0,N(V1313)&lt;=0,N(Q1313)&lt;=0),"Menge pro Gebinde fehlt (Ist = 1 Gebinde); ","")&amp;BR1313)</f>
        <v>negativer Bestand (Export -1); Kein Verbrauch; Lose – Tablare geschätzt; </v>
      </c>
      <c r="BK1313" s="48"/>
      <c r="BL1313" s="48"/>
      <c r="BM1313" s="55"/>
      <c r="BN1313" s="50" t="n">
        <v>-1</v>
      </c>
      <c r="BO1313" s="50" t="n">
        <v>1</v>
      </c>
      <c r="BP1313" s="49" t="n">
        <v>-1309.41</v>
      </c>
      <c r="BQ1313" s="50" t="n">
        <v>0</v>
      </c>
      <c r="BR1313" s="48"/>
      <c r="BS1313" s="53" t="n">
        <v>0</v>
      </c>
      <c r="BT1313" s="53" t="n">
        <v>1313</v>
      </c>
      <c r="BU1313" s="48" t="str">
        <f aca="false">IF(U1313&lt;&gt;"",UPPER(TRIM(U1313)),IF(BX1313=1,UPPER(VLOOKUP(T1313,Parameter!$I$27:$K$29,2,0)),IF(P1313="","LOSE",P1313)))</f>
        <v>LOSE</v>
      </c>
      <c r="BV1313" s="50" t="n">
        <f aca="false">IF(BU1313="LOSE",1,IF(N(V1313)&gt;0,V1313,IF(BX1313=1,MAX(1,N(VLOOKUP(T1313,Parameter!$I$27:$K$29,3,0)),H1313,N(N1313)),IF(N(Q1313)&gt;0,Q1313,MAX(1,H1313)))))</f>
        <v>1</v>
      </c>
      <c r="BW1313" s="53" t="n">
        <f aca="false">IF(BU1313="LOSE",1,0)</f>
        <v>1</v>
      </c>
      <c r="BX1313" s="53" t="n">
        <f aca="false">IF(AND(U1313="",OR(P1313="",P1313="LOSE"),T1313&lt;&gt;"",N(S1313)&lt;=0,ISNUMBER(MATCH(T1313,Parameter!$I$27:$I$29,0))),1,0)</f>
        <v>0</v>
      </c>
      <c r="BY1313" s="53" t="n">
        <f aca="false">IF(CL1313&gt;0,INDEX(Parameter!$H$5:$H$7,W1313)/INDEX(Parameter!$E$5:$E$7,W1313),IF(AND(BW1313=0,N(IFERROR(VLOOKUP(BU1313,'Gebinde-Kategorie'!$A$5:$N$45,14,0),0))&gt;0),VLOOKUP(BU1313,'Gebinde-Kategorie'!$A$5:$N$45,14,0)*10+Parameter!$M$23,Parameter!$M$24))</f>
        <v>235</v>
      </c>
      <c r="BZ1313" s="48" t="str">
        <f aca="false">IF(AND(Parameter!$B$19="Ja",E1313&lt;&gt;"",ISNUMBER(MATCH(E1313,Parameter!$I$35:$I$52,0))),VLOOKUP(E1313,Parameter!$I$35:$J$52,2,0),IFERROR(VLOOKUP(D1313,Parameter!$A$35:$C$64,2,0),"Nein"))</f>
        <v>Nein</v>
      </c>
      <c r="CA1313" s="52" t="n">
        <f aca="false">IF(BW1313=0,0,IF(N(S1313)&gt;0,S1313,IFERROR(VLOOKUP(D1313,Parameter!$A$35:$C$64,3,0)+0,0)))</f>
        <v>0.15</v>
      </c>
      <c r="CB1313" s="48" t="str">
        <f aca="false">IF(AA1313&lt;&gt;"",AA1313,Z1313)</f>
        <v>-</v>
      </c>
      <c r="CC1313" s="48" t="str">
        <f aca="false">IF(OR(CB1313=1,CB1313=2,CB1313=3),IF(Parameter!$E$27="Ja","LIFT",IF(CB1313=1,"L1","L23")),IF(CB1313="Aussen","Aussen","-"))</f>
        <v>-</v>
      </c>
      <c r="CD1313" s="59" t="n">
        <f aca="false">IF(N(AB1313)&gt;0,AB1313,0)</f>
        <v>0</v>
      </c>
      <c r="CE1313" s="53" t="n">
        <f aca="false">IF(ISNUMBER(AE1313),1,0)</f>
        <v>0</v>
      </c>
      <c r="CF1313" s="50" t="n">
        <f aca="false">N(AE1313)</f>
        <v>0</v>
      </c>
      <c r="CG1313" s="50" t="n">
        <f aca="false">N(M1313)+N(N1313)</f>
        <v>1</v>
      </c>
      <c r="CH1313" s="50" t="n">
        <f aca="false">ROUNDUP(H1313/BV1313,0)</f>
        <v>0</v>
      </c>
      <c r="CI1313" s="50" t="n">
        <f aca="false">ROUNDUP(CF1313/BV1313,0)</f>
        <v>0</v>
      </c>
      <c r="CJ1313" s="53" t="n">
        <f aca="false">IF(BW1313=1,0,IFERROR(VLOOKUP(BU1313,'Gebinde-Kategorie'!$A$5:$N$45,5,0)+0,0))</f>
        <v>0</v>
      </c>
      <c r="CK1313" s="53" t="n">
        <f aca="false">IFERROR(IF(OR(CB1313=1,CB1313=2,CB1313=3),N(INDEX(Parameter!$I$5:$I$7,CB1313)),0),0)</f>
        <v>0</v>
      </c>
      <c r="CL1313" s="52" t="n">
        <f aca="false">IF(AND(Parameter!$B$21="Ja",ISNUMBER(W1313),N(X1313)&gt;0),IFERROR(N(INDEX(Parameter!$L$5:$L$7,W1313))*INDEX(Parameter!$E$5:$E$7,W1313)*X1313/SUMIFS($X$7:$X$1843,$W$7:$W$1843,W1313),0),0)</f>
        <v>0</v>
      </c>
    </row>
    <row r="1314" customFormat="false" ht="15" hidden="false" customHeight="false" outlineLevel="0" collapsed="false">
      <c r="A1314" s="48" t="s">
        <v>2336</v>
      </c>
      <c r="B1314" s="48" t="s">
        <v>2337</v>
      </c>
      <c r="C1314" s="48" t="s">
        <v>168</v>
      </c>
      <c r="D1314" s="48" t="s">
        <v>188</v>
      </c>
      <c r="E1314" s="48"/>
      <c r="F1314" s="48" t="s">
        <v>222</v>
      </c>
      <c r="G1314" s="49" t="n">
        <v>1.9</v>
      </c>
      <c r="H1314" s="50" t="n">
        <f aca="false">MAX(0,IF(AND(Parameter!$B$21="Ja",ISNUMBER(Y1314)),Y1314,IF(Parameter!$B$20="Jahresanfang 2025 + Export",BO1314+BN1314,BN1314)))</f>
        <v>244</v>
      </c>
      <c r="I1314" s="50" t="n">
        <f aca="false">H1314*G1314</f>
        <v>463.6</v>
      </c>
      <c r="J1314" s="50" t="n">
        <f aca="false">BQ1314*Parameter!$B$18</f>
        <v>320</v>
      </c>
      <c r="K1314" s="51" t="n">
        <v>708</v>
      </c>
      <c r="L1314" s="52" t="n">
        <v>0.451977401129944</v>
      </c>
      <c r="M1314" s="50" t="n">
        <v>49</v>
      </c>
      <c r="N1314" s="50" t="n">
        <v>320</v>
      </c>
      <c r="O1314" s="53" t="n">
        <v>56</v>
      </c>
      <c r="P1314" s="48" t="s">
        <v>332</v>
      </c>
      <c r="Q1314" s="50" t="n">
        <v>360</v>
      </c>
      <c r="R1314" s="53" t="n">
        <f aca="false">IF(BW1314=1,0,IFERROR(VLOOKUP(BU1314,'Gebinde-Kategorie'!$A$5:$N$45,13,0)+0,0))</f>
        <v>52</v>
      </c>
      <c r="S1314" s="54"/>
      <c r="T1314" s="55"/>
      <c r="U1314" s="55"/>
      <c r="V1314" s="55"/>
      <c r="W1314" s="48"/>
      <c r="X1314" s="50"/>
      <c r="Y1314" s="50"/>
      <c r="Z1314" s="48" t="n">
        <f aca="false">IF(A1314="","",IF(AND(Parameter!$B$21="Ja",ISNUMBER(W1314)),W1314,IF(BZ1314="2+3",IF(ISNUMBER(SEARCH("grosser Artikel",BR1314)),2,IFERROR(VLOOKUP(BU1314,Parameter!$F$35:$G$64,2,0),2)),IF(OR(BZ1314="Nein",BZ1314=""),"-",BZ1314))))</f>
        <v>3</v>
      </c>
      <c r="AA1314" s="55"/>
      <c r="AB1314" s="56"/>
      <c r="AC1314" s="50" t="n">
        <f aca="false">AT1314</f>
        <v>720</v>
      </c>
      <c r="AD1314" s="50" t="n">
        <f aca="false">MAX(AT1314,H1314)</f>
        <v>720</v>
      </c>
      <c r="AE1314" s="57"/>
      <c r="AF1314" s="50" t="n">
        <f aca="false">IF(LEFT(Cockpit!$C$5,1)="A",H1314,IF(CE1314=1,CF1314,IF(LEFT(Cockpit!$C$5,1)="B",AK1314,MAX(AK1314,H1314))))</f>
        <v>244</v>
      </c>
      <c r="AG1314" s="50" t="n">
        <f aca="false">IF(BW1314=1,0,ROUNDUP(AF1314/BV1314,0))</f>
        <v>1</v>
      </c>
      <c r="AH1314" s="52" t="n">
        <f aca="false">IF(CL1314&gt;0,CL1314*MAX(1,AF1314/X1314),IF(BW1314=1,IF(AF1314&lt;=0,0,CA1314*MAX(1,IF(H1314&gt;0,AF1314/H1314,1))),IF(R1314&gt;0,AG1314/R1314,0))/MAX(0.1,N(Parameter!$M$21)))</f>
        <v>0.0192307692307692</v>
      </c>
      <c r="AI1314" s="50" t="n">
        <f aca="false">AH1314*BY1314</f>
        <v>2.98076923076923</v>
      </c>
      <c r="AJ1314" s="50" t="n">
        <f aca="false">AF1314*G1314</f>
        <v>463.6</v>
      </c>
      <c r="AK1314" s="50" t="n">
        <f aca="false">ROUNDUP(MAX(J1314/IF(CD1314&gt;0,CD1314,MAX(0.1,N(Cockpit!$C$6))),CG1314)/BV1314,0)*BV1314</f>
        <v>720</v>
      </c>
      <c r="AL1314" s="51" t="n">
        <f aca="false">IF(AI1314&gt;0,J1314/AI1314,-1)</f>
        <v>107.354838709677</v>
      </c>
      <c r="AM1314" s="51" t="n">
        <f aca="false">IF(AND(OR(CC1314="L1",CC1314="L23",CC1314="LIFT"),AI1314&gt;0),SUMIFS($AI$7:$AI$1843,$CC$7:$CC$1843,CC1314,$AL$7:$AL$1843,"&gt;"&amp;AL1314)+SUMIFS($AI$7:$AI$1843,$CC$7:$CC$1843,CC1314,$AL$7:$AL$1843,AL1314,$BT$7:$BT$1843,"&lt;="&amp;BT1314),"")</f>
        <v>758.863553113553</v>
      </c>
      <c r="AN1314" s="58" t="n">
        <f aca="false">IF(AM1314="",0,MAX(0,MIN(1,(IF(CC1314="L1",Parameter!$H$5,IF(CC1314="L23",Parameter!$H$6+Parameter!$H$7,Parameter!$H$5+Parameter!$H$6+Parameter!$H$7))-(AM1314-AI1314))/AI1314)))</f>
        <v>1</v>
      </c>
      <c r="AO1314" s="50" t="n">
        <f aca="false">IF(LEFT(Cockpit!$I$5,1)="A",H1314,IF(CE1314=1,CF1314,IF(LEFT(Cockpit!$I$5,1)="B",AT1314,MAX(AT1314,H1314))))</f>
        <v>720</v>
      </c>
      <c r="AP1314" s="50" t="n">
        <f aca="false">IF(BW1314=1,0,ROUNDUP(AO1314/BV1314,0))</f>
        <v>2</v>
      </c>
      <c r="AQ1314" s="52" t="n">
        <f aca="false">IF(CL1314&gt;0,CL1314*MAX(1,AO1314/X1314),IF(BW1314=1,IF(AO1314&lt;=0,0,CA1314*MAX(1,IF(H1314&gt;0,AO1314/H1314,1))),IF(R1314&gt;0,AP1314/R1314,0))/MAX(0.1,N(Parameter!$M$21)))</f>
        <v>0.0384615384615385</v>
      </c>
      <c r="AR1314" s="50" t="n">
        <f aca="false">AQ1314*BY1314</f>
        <v>5.96153846153846</v>
      </c>
      <c r="AS1314" s="50" t="n">
        <f aca="false">AO1314*G1314</f>
        <v>1368</v>
      </c>
      <c r="AT1314" s="50" t="n">
        <f aca="false">ROUNDUP(MAX(J1314/IF(CD1314&gt;0,CD1314,MAX(0.1,N(Cockpit!$I$6))),CG1314)/BV1314,0)*BV1314</f>
        <v>720</v>
      </c>
      <c r="AU1314" s="51" t="n">
        <f aca="false">IF(AR1314&gt;0,J1314/AR1314,-1)</f>
        <v>53.6774193548387</v>
      </c>
      <c r="AV1314" s="51" t="n">
        <f aca="false">IF(AND(OR(CC1314="L1",CC1314="L23",CC1314="LIFT"),AR1314&gt;0),SUMIFS($AR$7:$AR$1843,$CC$7:$CC$1843,CC1314,$AU$7:$AU$1843,"&gt;"&amp;AU1314)+SUMIFS($AR$7:$AR$1843,$CC$7:$CC$1843,CC1314,$AU$7:$AU$1843,AU1314,$BT$7:$BT$1843,"&lt;="&amp;BT1314),"")</f>
        <v>1512.92032967033</v>
      </c>
      <c r="AW1314" s="58" t="n">
        <f aca="false">IF(AV1314="",0,MAX(0,MIN(1,(IF(CC1314="L1",Parameter!$H$5,IF(CC1314="L23",Parameter!$H$6+Parameter!$H$7,Parameter!$H$5+Parameter!$H$6+Parameter!$H$7))-(AV1314-AR1314))/AR1314)))</f>
        <v>1</v>
      </c>
      <c r="AX1314" s="50" t="n">
        <f aca="false">IF(LEFT(Cockpit!$O$5,1)="A",H1314,IF(CE1314=1,CF1314,IF(LEFT(Cockpit!$O$5,1)="B",BC1314,MAX(BC1314,H1314))))</f>
        <v>720</v>
      </c>
      <c r="AY1314" s="50" t="n">
        <f aca="false">IF(BW1314=1,0,ROUNDUP(AX1314/BV1314,0))</f>
        <v>2</v>
      </c>
      <c r="AZ1314" s="52" t="n">
        <f aca="false">IF(CL1314&gt;0,CL1314*MAX(1,AX1314/X1314),IF(BW1314=1,IF(AX1314&lt;=0,0,CA1314*MAX(1,IF(H1314&gt;0,AX1314/H1314,1))),IF(R1314&gt;0,AY1314/R1314,0))/MAX(0.1,N(Parameter!$M$21)))</f>
        <v>0.0384615384615385</v>
      </c>
      <c r="BA1314" s="50" t="n">
        <f aca="false">AZ1314*BY1314</f>
        <v>5.96153846153846</v>
      </c>
      <c r="BB1314" s="50" t="n">
        <f aca="false">AX1314*G1314</f>
        <v>1368</v>
      </c>
      <c r="BC1314" s="50" t="n">
        <f aca="false">ROUNDUP(MAX(J1314/IF(CD1314&gt;0,CD1314,MAX(0.1,N(Cockpit!$O$6))),CG1314)/BV1314,0)*BV1314</f>
        <v>720</v>
      </c>
      <c r="BD1314" s="51" t="n">
        <f aca="false">IF(BA1314&gt;0,J1314/BA1314,-1)</f>
        <v>53.6774193548387</v>
      </c>
      <c r="BE1314" s="51" t="n">
        <f aca="false">IF(AND(OR(CC1314="L1",CC1314="L23",CC1314="LIFT"),BA1314&gt;0),SUMIFS($BA$7:$BA$1843,$CC$7:$CC$1843,CC1314,$BD$7:$BD$1843,"&gt;"&amp;BD1314)+SUMIFS($BA$7:$BA$1843,$CC$7:$CC$1843,CC1314,$BD$7:$BD$1843,BD1314,$BT$7:$BT$1843,"&lt;="&amp;BT1314),"")</f>
        <v>1340.14789377289</v>
      </c>
      <c r="BF1314" s="58" t="n">
        <f aca="false">IF(BE1314="",0,MAX(0,MIN(1,(IF(CC1314="L1",Parameter!$H$5,IF(CC1314="L23",Parameter!$H$6+Parameter!$H$7,Parameter!$H$5+Parameter!$H$6+Parameter!$H$7))-(BE1314-BA1314))/BA1314)))</f>
        <v>1</v>
      </c>
      <c r="BG1314" s="48" t="str">
        <f aca="false">IF(AI1314&lt;=0,"",IF(CC1314="Aussen","Aussenlager",IF(CC1314="-","Nicht im Lift",IF(AN1314&gt;=1,"Lift",IF(AN1314&lt;=0,"Aussenlager","teilweise")))))</f>
        <v>Lift</v>
      </c>
      <c r="BH1314" s="48" t="str">
        <f aca="false">IF(AR1314&lt;=0,"",IF(CC1314="Aussen","Aussenlager",IF(CC1314="-","Nicht im Lift",IF(AW1314&gt;=1,"Lift",IF(AW1314&lt;=0,"Aussenlager","teilweise")))))</f>
        <v>Lift</v>
      </c>
      <c r="BI1314" s="48" t="str">
        <f aca="false">IF(BA1314&lt;=0,"",IF(CC1314="Aussen","Aussenlager",IF(CC1314="-","Nicht im Lift",IF(BF1314&gt;=1,"Lift",IF(BF1314&lt;=0,"Aussenlager","teilweise")))))</f>
        <v>Lift</v>
      </c>
      <c r="BJ1314" s="48" t="str">
        <f aca="false">IF(A1314="","",IF(BS1314=1,"Neu; ","")&amp;IF(AND(BS1314=0,BN1314&lt;0),"negativer Bestand (Export "&amp;BN1314&amp;"); ","")&amp;IF(J1314&lt;=0,"Kein Verbrauch; ","")&amp;IF(CL1314&gt;0,"Lift "&amp;W1314&amp;" lt. Liftbericht (Fach "&amp;X1314&amp;" Stk); ",IF(BX1314=1,"Gebinde geschätzt ("&amp;T1314&amp;"); ",IF(BW1314=1,"Lose – Tablare geschätzt; ","")))&amp;IF(H1314&gt;AT1314,"Überbestand "&amp;ROUND(H1314-AT1314,0)&amp;" Stk / CHF "&amp;ROUND((H1314-AT1314)*G1314,0)&amp;"; ","")&amp;IF(AND(CE1314=1,CF1314&lt;CG1314),"MAX &lt; MB+LG; ","")&amp;IF(AND(CK1314&gt;0,CJ1314*10&gt;CK1314),"zu hoch für Tablar; ","")&amp;IF(AND(BS1314=0,OR(CE1314=1,AA1314&lt;&gt;"",U1314&lt;&gt;"",V1314&lt;&gt;"",AB1314&lt;&gt;"")),"manuell übersteuert; ","")&amp;IF(AND(BW1314=0,R1314=0),"Gebinde unbekannt / Stellmass fehlt; ","")&amp;IF(AND(BW1314=0,N(V1314)&lt;=0,N(Q1314)&lt;=0),"Menge pro Gebinde fehlt (Ist = 1 Gebinde); ","")&amp;BR1314)</f>
        <v>negativer Bestand (Export -695); </v>
      </c>
      <c r="BK1314" s="48"/>
      <c r="BL1314" s="48"/>
      <c r="BM1314" s="55"/>
      <c r="BN1314" s="50" t="n">
        <v>-695</v>
      </c>
      <c r="BO1314" s="50" t="n">
        <v>939</v>
      </c>
      <c r="BP1314" s="49" t="n">
        <v>-1320.5</v>
      </c>
      <c r="BQ1314" s="50" t="n">
        <v>320</v>
      </c>
      <c r="BR1314" s="48"/>
      <c r="BS1314" s="53" t="n">
        <v>0</v>
      </c>
      <c r="BT1314" s="53" t="n">
        <v>1314</v>
      </c>
      <c r="BU1314" s="48" t="str">
        <f aca="false">IF(U1314&lt;&gt;"",UPPER(TRIM(U1314)),IF(BX1314=1,UPPER(VLOOKUP(T1314,Parameter!$I$27:$K$29,2,0)),IF(P1314="","LOSE",P1314)))</f>
        <v>S41</v>
      </c>
      <c r="BV1314" s="50" t="n">
        <f aca="false">IF(BU1314="LOSE",1,IF(N(V1314)&gt;0,V1314,IF(BX1314=1,MAX(1,N(VLOOKUP(T1314,Parameter!$I$27:$K$29,3,0)),H1314,N(N1314)),IF(N(Q1314)&gt;0,Q1314,MAX(1,H1314)))))</f>
        <v>360</v>
      </c>
      <c r="BW1314" s="53" t="n">
        <f aca="false">IF(BU1314="LOSE",1,0)</f>
        <v>0</v>
      </c>
      <c r="BX1314" s="53" t="n">
        <f aca="false">IF(AND(U1314="",OR(P1314="",P1314="LOSE"),T1314&lt;&gt;"",N(S1314)&lt;=0,ISNUMBER(MATCH(T1314,Parameter!$I$27:$I$29,0))),1,0)</f>
        <v>0</v>
      </c>
      <c r="BY1314" s="53" t="n">
        <f aca="false">IF(CL1314&gt;0,INDEX(Parameter!$H$5:$H$7,W1314)/INDEX(Parameter!$E$5:$E$7,W1314),IF(AND(BW1314=0,N(IFERROR(VLOOKUP(BU1314,'Gebinde-Kategorie'!$A$5:$N$45,14,0),0))&gt;0),VLOOKUP(BU1314,'Gebinde-Kategorie'!$A$5:$N$45,14,0)*10+Parameter!$M$23,Parameter!$M$24))</f>
        <v>155</v>
      </c>
      <c r="BZ1314" s="48" t="str">
        <f aca="false">IF(AND(Parameter!$B$19="Ja",E1314&lt;&gt;"",ISNUMBER(MATCH(E1314,Parameter!$I$35:$I$52,0))),VLOOKUP(E1314,Parameter!$I$35:$J$52,2,0),IFERROR(VLOOKUP(D1314,Parameter!$A$35:$C$64,2,0),"Nein"))</f>
        <v>2+3</v>
      </c>
      <c r="CA1314" s="52" t="n">
        <f aca="false">IF(BW1314=0,0,IF(N(S1314)&gt;0,S1314,IFERROR(VLOOKUP(D1314,Parameter!$A$35:$C$64,3,0)+0,0)))</f>
        <v>0</v>
      </c>
      <c r="CB1314" s="48" t="n">
        <f aca="false">IF(AA1314&lt;&gt;"",AA1314,Z1314)</f>
        <v>3</v>
      </c>
      <c r="CC1314" s="48" t="str">
        <f aca="false">IF(OR(CB1314=1,CB1314=2,CB1314=3),IF(Parameter!$E$27="Ja","LIFT",IF(CB1314=1,"L1","L23")),IF(CB1314="Aussen","Aussen","-"))</f>
        <v>LIFT</v>
      </c>
      <c r="CD1314" s="59" t="n">
        <f aca="false">IF(N(AB1314)&gt;0,AB1314,0)</f>
        <v>0</v>
      </c>
      <c r="CE1314" s="53" t="n">
        <f aca="false">IF(ISNUMBER(AE1314),1,0)</f>
        <v>0</v>
      </c>
      <c r="CF1314" s="50" t="n">
        <f aca="false">N(AE1314)</f>
        <v>0</v>
      </c>
      <c r="CG1314" s="50" t="n">
        <f aca="false">N(M1314)+N(N1314)</f>
        <v>369</v>
      </c>
      <c r="CH1314" s="50" t="n">
        <f aca="false">ROUNDUP(H1314/BV1314,0)</f>
        <v>1</v>
      </c>
      <c r="CI1314" s="50" t="n">
        <f aca="false">ROUNDUP(CF1314/BV1314,0)</f>
        <v>0</v>
      </c>
      <c r="CJ1314" s="53" t="n">
        <f aca="false">IF(BW1314=1,0,IFERROR(VLOOKUP(BU1314,'Gebinde-Kategorie'!$A$5:$N$45,5,0)+0,0))</f>
        <v>11</v>
      </c>
      <c r="CK1314" s="53" t="n">
        <f aca="false">IFERROR(IF(OR(CB1314=1,CB1314=2,CB1314=3),N(INDEX(Parameter!$I$5:$I$7,CB1314)),0),0)</f>
        <v>0</v>
      </c>
      <c r="CL1314" s="52" t="n">
        <f aca="false">IF(AND(Parameter!$B$21="Ja",ISNUMBER(W1314),N(X1314)&gt;0),IFERROR(N(INDEX(Parameter!$L$5:$L$7,W1314))*INDEX(Parameter!$E$5:$E$7,W1314)*X1314/SUMIFS($X$7:$X$1843,$W$7:$W$1843,W1314),0),0)</f>
        <v>0</v>
      </c>
    </row>
    <row r="1315" customFormat="false" ht="15" hidden="false" customHeight="false" outlineLevel="0" collapsed="false">
      <c r="A1315" s="48" t="s">
        <v>2338</v>
      </c>
      <c r="B1315" s="48" t="s">
        <v>2339</v>
      </c>
      <c r="C1315" s="48" t="s">
        <v>168</v>
      </c>
      <c r="D1315" s="48" t="s">
        <v>188</v>
      </c>
      <c r="E1315" s="48" t="s">
        <v>189</v>
      </c>
      <c r="F1315" s="48" t="s">
        <v>222</v>
      </c>
      <c r="G1315" s="49" t="n">
        <v>148.68</v>
      </c>
      <c r="H1315" s="50" t="n">
        <f aca="false">MAX(0,IF(AND(Parameter!$B$21="Ja",ISNUMBER(Y1315)),Y1315,IF(Parameter!$B$20="Jahresanfang 2025 + Export",BO1315+BN1315,BN1315)))</f>
        <v>12</v>
      </c>
      <c r="I1315" s="50" t="n">
        <f aca="false">H1315*G1315</f>
        <v>1784.16</v>
      </c>
      <c r="J1315" s="50" t="n">
        <f aca="false">BQ1315*Parameter!$B$18</f>
        <v>33</v>
      </c>
      <c r="K1315" s="51" t="n">
        <v>20</v>
      </c>
      <c r="L1315" s="52" t="n">
        <v>1.65</v>
      </c>
      <c r="M1315" s="50" t="n">
        <v>2</v>
      </c>
      <c r="N1315" s="50" t="n">
        <v>25</v>
      </c>
      <c r="O1315" s="53" t="n">
        <v>30</v>
      </c>
      <c r="P1315" s="48" t="s">
        <v>480</v>
      </c>
      <c r="Q1315" s="50" t="n">
        <v>37</v>
      </c>
      <c r="R1315" s="53" t="n">
        <f aca="false">IF(BW1315=1,0,IFERROR(VLOOKUP(BU1315,'Gebinde-Kategorie'!$A$5:$N$45,13,0)+0,0))</f>
        <v>52</v>
      </c>
      <c r="S1315" s="54"/>
      <c r="T1315" s="55"/>
      <c r="U1315" s="55"/>
      <c r="V1315" s="55"/>
      <c r="W1315" s="48"/>
      <c r="X1315" s="50"/>
      <c r="Y1315" s="50"/>
      <c r="Z1315" s="48" t="n">
        <f aca="false">IF(A1315="","",IF(AND(Parameter!$B$21="Ja",ISNUMBER(W1315)),W1315,IF(BZ1315="2+3",IF(ISNUMBER(SEARCH("grosser Artikel",BR1315)),2,IFERROR(VLOOKUP(BU1315,Parameter!$F$35:$G$64,2,0),2)),IF(OR(BZ1315="Nein",BZ1315=""),"-",BZ1315))))</f>
        <v>3</v>
      </c>
      <c r="AA1315" s="55"/>
      <c r="AB1315" s="56"/>
      <c r="AC1315" s="50" t="n">
        <f aca="false">AT1315</f>
        <v>37</v>
      </c>
      <c r="AD1315" s="50" t="n">
        <f aca="false">MAX(AT1315,H1315)</f>
        <v>37</v>
      </c>
      <c r="AE1315" s="57"/>
      <c r="AF1315" s="50" t="n">
        <f aca="false">IF(LEFT(Cockpit!$C$5,1)="A",H1315,IF(CE1315=1,CF1315,IF(LEFT(Cockpit!$C$5,1)="B",AK1315,MAX(AK1315,H1315))))</f>
        <v>12</v>
      </c>
      <c r="AG1315" s="50" t="n">
        <f aca="false">IF(BW1315=1,0,ROUNDUP(AF1315/BV1315,0))</f>
        <v>1</v>
      </c>
      <c r="AH1315" s="52" t="n">
        <f aca="false">IF(CL1315&gt;0,CL1315*MAX(1,AF1315/X1315),IF(BW1315=1,IF(AF1315&lt;=0,0,CA1315*MAX(1,IF(H1315&gt;0,AF1315/H1315,1))),IF(R1315&gt;0,AG1315/R1315,0))/MAX(0.1,N(Parameter!$M$21)))</f>
        <v>0.0192307692307692</v>
      </c>
      <c r="AI1315" s="50" t="n">
        <f aca="false">AH1315*BY1315</f>
        <v>2.98076923076923</v>
      </c>
      <c r="AJ1315" s="50" t="n">
        <f aca="false">AF1315*G1315</f>
        <v>1784.16</v>
      </c>
      <c r="AK1315" s="50" t="n">
        <f aca="false">ROUNDUP(MAX(J1315/IF(CD1315&gt;0,CD1315,MAX(0.1,N(Cockpit!$C$6))),CG1315)/BV1315,0)*BV1315</f>
        <v>37</v>
      </c>
      <c r="AL1315" s="51" t="n">
        <f aca="false">IF(AI1315&gt;0,J1315/AI1315,-1)</f>
        <v>11.0709677419355</v>
      </c>
      <c r="AM1315" s="51" t="n">
        <f aca="false">IF(AND(OR(CC1315="L1",CC1315="L23",CC1315="LIFT"),AI1315&gt;0),SUMIFS($AI$7:$AI$1843,$CC$7:$CC$1843,CC1315,$AL$7:$AL$1843,"&gt;"&amp;AL1315)+SUMIFS($AI$7:$AI$1843,$CC$7:$CC$1843,CC1315,$AL$7:$AL$1843,AL1315,$BT$7:$BT$1843,"&lt;="&amp;BT1315),"")</f>
        <v>2576.79578754579</v>
      </c>
      <c r="AN1315" s="58" t="n">
        <f aca="false">IF(AM1315="",0,MAX(0,MIN(1,(IF(CC1315="L1",Parameter!$H$5,IF(CC1315="L23",Parameter!$H$6+Parameter!$H$7,Parameter!$H$5+Parameter!$H$6+Parameter!$H$7))-(AM1315-AI1315))/AI1315)))</f>
        <v>1</v>
      </c>
      <c r="AO1315" s="50" t="n">
        <f aca="false">IF(LEFT(Cockpit!$I$5,1)="A",H1315,IF(CE1315=1,CF1315,IF(LEFT(Cockpit!$I$5,1)="B",AT1315,MAX(AT1315,H1315))))</f>
        <v>37</v>
      </c>
      <c r="AP1315" s="50" t="n">
        <f aca="false">IF(BW1315=1,0,ROUNDUP(AO1315/BV1315,0))</f>
        <v>1</v>
      </c>
      <c r="AQ1315" s="52" t="n">
        <f aca="false">IF(CL1315&gt;0,CL1315*MAX(1,AO1315/X1315),IF(BW1315=1,IF(AO1315&lt;=0,0,CA1315*MAX(1,IF(H1315&gt;0,AO1315/H1315,1))),IF(R1315&gt;0,AP1315/R1315,0))/MAX(0.1,N(Parameter!$M$21)))</f>
        <v>0.0192307692307692</v>
      </c>
      <c r="AR1315" s="50" t="n">
        <f aca="false">AQ1315*BY1315</f>
        <v>2.98076923076923</v>
      </c>
      <c r="AS1315" s="50" t="n">
        <f aca="false">AO1315*G1315</f>
        <v>5501.16</v>
      </c>
      <c r="AT1315" s="50" t="n">
        <f aca="false">ROUNDUP(MAX(J1315/IF(CD1315&gt;0,CD1315,MAX(0.1,N(Cockpit!$I$6))),CG1315)/BV1315,0)*BV1315</f>
        <v>37</v>
      </c>
      <c r="AU1315" s="51" t="n">
        <f aca="false">IF(AR1315&gt;0,J1315/AR1315,-1)</f>
        <v>11.0709677419355</v>
      </c>
      <c r="AV1315" s="51" t="n">
        <f aca="false">IF(AND(OR(CC1315="L1",CC1315="L23",CC1315="LIFT"),AR1315&gt;0),SUMIFS($AR$7:$AR$1843,$CC$7:$CC$1843,CC1315,$AU$7:$AU$1843,"&gt;"&amp;AU1315)+SUMIFS($AR$7:$AR$1843,$CC$7:$CC$1843,CC1315,$AU$7:$AU$1843,AU1315,$BT$7:$BT$1843,"&lt;="&amp;BT1315),"")</f>
        <v>3725.04807692308</v>
      </c>
      <c r="AW1315" s="58" t="n">
        <f aca="false">IF(AV1315="",0,MAX(0,MIN(1,(IF(CC1315="L1",Parameter!$H$5,IF(CC1315="L23",Parameter!$H$6+Parameter!$H$7,Parameter!$H$5+Parameter!$H$6+Parameter!$H$7))-(AV1315-AR1315))/AR1315)))</f>
        <v>1</v>
      </c>
      <c r="AX1315" s="50" t="n">
        <f aca="false">IF(LEFT(Cockpit!$O$5,1)="A",H1315,IF(CE1315=1,CF1315,IF(LEFT(Cockpit!$O$5,1)="B",BC1315,MAX(BC1315,H1315))))</f>
        <v>37</v>
      </c>
      <c r="AY1315" s="50" t="n">
        <f aca="false">IF(BW1315=1,0,ROUNDUP(AX1315/BV1315,0))</f>
        <v>1</v>
      </c>
      <c r="AZ1315" s="52" t="n">
        <f aca="false">IF(CL1315&gt;0,CL1315*MAX(1,AX1315/X1315),IF(BW1315=1,IF(AX1315&lt;=0,0,CA1315*MAX(1,IF(H1315&gt;0,AX1315/H1315,1))),IF(R1315&gt;0,AY1315/R1315,0))/MAX(0.1,N(Parameter!$M$21)))</f>
        <v>0.0192307692307692</v>
      </c>
      <c r="BA1315" s="50" t="n">
        <f aca="false">AZ1315*BY1315</f>
        <v>2.98076923076923</v>
      </c>
      <c r="BB1315" s="50" t="n">
        <f aca="false">AX1315*G1315</f>
        <v>5501.16</v>
      </c>
      <c r="BC1315" s="50" t="n">
        <f aca="false">ROUNDUP(MAX(J1315/IF(CD1315&gt;0,CD1315,MAX(0.1,N(Cockpit!$O$6))),CG1315)/BV1315,0)*BV1315</f>
        <v>37</v>
      </c>
      <c r="BD1315" s="51" t="n">
        <f aca="false">IF(BA1315&gt;0,J1315/BA1315,-1)</f>
        <v>11.0709677419355</v>
      </c>
      <c r="BE1315" s="51" t="n">
        <f aca="false">IF(AND(OR(CC1315="L1",CC1315="L23",CC1315="LIFT"),BA1315&gt;0),SUMIFS($BA$7:$BA$1843,$CC$7:$CC$1843,CC1315,$BD$7:$BD$1843,"&gt;"&amp;BD1315)+SUMIFS($BA$7:$BA$1843,$CC$7:$CC$1843,CC1315,$BD$7:$BD$1843,BD1315,$BT$7:$BT$1843,"&lt;="&amp;BT1315),"")</f>
        <v>3383.17307692308</v>
      </c>
      <c r="BF1315" s="58" t="n">
        <f aca="false">IF(BE1315="",0,MAX(0,MIN(1,(IF(CC1315="L1",Parameter!$H$5,IF(CC1315="L23",Parameter!$H$6+Parameter!$H$7,Parameter!$H$5+Parameter!$H$6+Parameter!$H$7))-(BE1315-BA1315))/BA1315)))</f>
        <v>1</v>
      </c>
      <c r="BG1315" s="48" t="str">
        <f aca="false">IF(AI1315&lt;=0,"",IF(CC1315="Aussen","Aussenlager",IF(CC1315="-","Nicht im Lift",IF(AN1315&gt;=1,"Lift",IF(AN1315&lt;=0,"Aussenlager","teilweise")))))</f>
        <v>Lift</v>
      </c>
      <c r="BH1315" s="48" t="str">
        <f aca="false">IF(AR1315&lt;=0,"",IF(CC1315="Aussen","Aussenlager",IF(CC1315="-","Nicht im Lift",IF(AW1315&gt;=1,"Lift",IF(AW1315&lt;=0,"Aussenlager","teilweise")))))</f>
        <v>Lift</v>
      </c>
      <c r="BI1315" s="48" t="str">
        <f aca="false">IF(BA1315&lt;=0,"",IF(CC1315="Aussen","Aussenlager",IF(CC1315="-","Nicht im Lift",IF(BF1315&gt;=1,"Lift",IF(BF1315&lt;=0,"Aussenlager","teilweise")))))</f>
        <v>Lift</v>
      </c>
      <c r="BJ1315" s="48" t="str">
        <f aca="false">IF(A1315="","",IF(BS1315=1,"Neu; ","")&amp;IF(AND(BS1315=0,BN1315&lt;0),"negativer Bestand (Export "&amp;BN1315&amp;"); ","")&amp;IF(J1315&lt;=0,"Kein Verbrauch; ","")&amp;IF(CL1315&gt;0,"Lift "&amp;W1315&amp;" lt. Liftbericht (Fach "&amp;X1315&amp;" Stk); ",IF(BX1315=1,"Gebinde geschätzt ("&amp;T1315&amp;"); ",IF(BW1315=1,"Lose – Tablare geschätzt; ","")))&amp;IF(H1315&gt;AT1315,"Überbestand "&amp;ROUND(H1315-AT1315,0)&amp;" Stk / CHF "&amp;ROUND((H1315-AT1315)*G1315,0)&amp;"; ","")&amp;IF(AND(CE1315=1,CF1315&lt;CG1315),"MAX &lt; MB+LG; ","")&amp;IF(AND(CK1315&gt;0,CJ1315*10&gt;CK1315),"zu hoch für Tablar; ","")&amp;IF(AND(BS1315=0,OR(CE1315=1,AA1315&lt;&gt;"",U1315&lt;&gt;"",V1315&lt;&gt;"",AB1315&lt;&gt;"")),"manuell übersteuert; ","")&amp;IF(AND(BW1315=0,R1315=0),"Gebinde unbekannt / Stellmass fehlt; ","")&amp;IF(AND(BW1315=0,N(V1315)&lt;=0,N(Q1315)&lt;=0),"Menge pro Gebinde fehlt (Ist = 1 Gebinde); ","")&amp;BR1315)</f>
        <v>negativer Bestand (Export -9); </v>
      </c>
      <c r="BK1315" s="48"/>
      <c r="BL1315" s="48"/>
      <c r="BM1315" s="55"/>
      <c r="BN1315" s="50" t="n">
        <v>-9</v>
      </c>
      <c r="BO1315" s="50" t="n">
        <v>21</v>
      </c>
      <c r="BP1315" s="49" t="n">
        <v>-1335.06</v>
      </c>
      <c r="BQ1315" s="50" t="n">
        <v>33</v>
      </c>
      <c r="BR1315" s="48"/>
      <c r="BS1315" s="53" t="n">
        <v>0</v>
      </c>
      <c r="BT1315" s="53" t="n">
        <v>1315</v>
      </c>
      <c r="BU1315" s="48" t="str">
        <f aca="false">IF(U1315&lt;&gt;"",UPPER(TRIM(U1315)),IF(BX1315=1,UPPER(VLOOKUP(T1315,Parameter!$I$27:$K$29,2,0)),IF(P1315="","LOSE",P1315)))</f>
        <v>S33</v>
      </c>
      <c r="BV1315" s="50" t="n">
        <f aca="false">IF(BU1315="LOSE",1,IF(N(V1315)&gt;0,V1315,IF(BX1315=1,MAX(1,N(VLOOKUP(T1315,Parameter!$I$27:$K$29,3,0)),H1315,N(N1315)),IF(N(Q1315)&gt;0,Q1315,MAX(1,H1315)))))</f>
        <v>37</v>
      </c>
      <c r="BW1315" s="53" t="n">
        <f aca="false">IF(BU1315="LOSE",1,0)</f>
        <v>0</v>
      </c>
      <c r="BX1315" s="53" t="n">
        <f aca="false">IF(AND(U1315="",OR(P1315="",P1315="LOSE"),T1315&lt;&gt;"",N(S1315)&lt;=0,ISNUMBER(MATCH(T1315,Parameter!$I$27:$I$29,0))),1,0)</f>
        <v>0</v>
      </c>
      <c r="BY1315" s="53" t="n">
        <f aca="false">IF(CL1315&gt;0,INDEX(Parameter!$H$5:$H$7,W1315)/INDEX(Parameter!$E$5:$E$7,W1315),IF(AND(BW1315=0,N(IFERROR(VLOOKUP(BU1315,'Gebinde-Kategorie'!$A$5:$N$45,14,0),0))&gt;0),VLOOKUP(BU1315,'Gebinde-Kategorie'!$A$5:$N$45,14,0)*10+Parameter!$M$23,Parameter!$M$24))</f>
        <v>155</v>
      </c>
      <c r="BZ1315" s="48" t="str">
        <f aca="false">IF(AND(Parameter!$B$19="Ja",E1315&lt;&gt;"",ISNUMBER(MATCH(E1315,Parameter!$I$35:$I$52,0))),VLOOKUP(E1315,Parameter!$I$35:$J$52,2,0),IFERROR(VLOOKUP(D1315,Parameter!$A$35:$C$64,2,0),"Nein"))</f>
        <v>2+3</v>
      </c>
      <c r="CA1315" s="52" t="n">
        <f aca="false">IF(BW1315=0,0,IF(N(S1315)&gt;0,S1315,IFERROR(VLOOKUP(D1315,Parameter!$A$35:$C$64,3,0)+0,0)))</f>
        <v>0</v>
      </c>
      <c r="CB1315" s="48" t="n">
        <f aca="false">IF(AA1315&lt;&gt;"",AA1315,Z1315)</f>
        <v>3</v>
      </c>
      <c r="CC1315" s="48" t="str">
        <f aca="false">IF(OR(CB1315=1,CB1315=2,CB1315=3),IF(Parameter!$E$27="Ja","LIFT",IF(CB1315=1,"L1","L23")),IF(CB1315="Aussen","Aussen","-"))</f>
        <v>LIFT</v>
      </c>
      <c r="CD1315" s="59" t="n">
        <f aca="false">IF(N(AB1315)&gt;0,AB1315,0)</f>
        <v>0</v>
      </c>
      <c r="CE1315" s="53" t="n">
        <f aca="false">IF(ISNUMBER(AE1315),1,0)</f>
        <v>0</v>
      </c>
      <c r="CF1315" s="50" t="n">
        <f aca="false">N(AE1315)</f>
        <v>0</v>
      </c>
      <c r="CG1315" s="50" t="n">
        <f aca="false">N(M1315)+N(N1315)</f>
        <v>27</v>
      </c>
      <c r="CH1315" s="50" t="n">
        <f aca="false">ROUNDUP(H1315/BV1315,0)</f>
        <v>1</v>
      </c>
      <c r="CI1315" s="50" t="n">
        <f aca="false">ROUNDUP(CF1315/BV1315,0)</f>
        <v>0</v>
      </c>
      <c r="CJ1315" s="53" t="n">
        <f aca="false">IF(BW1315=1,0,IFERROR(VLOOKUP(BU1315,'Gebinde-Kategorie'!$A$5:$N$45,5,0)+0,0))</f>
        <v>8</v>
      </c>
      <c r="CK1315" s="53" t="n">
        <f aca="false">IFERROR(IF(OR(CB1315=1,CB1315=2,CB1315=3),N(INDEX(Parameter!$I$5:$I$7,CB1315)),0),0)</f>
        <v>0</v>
      </c>
      <c r="CL1315" s="52" t="n">
        <f aca="false">IF(AND(Parameter!$B$21="Ja",ISNUMBER(W1315),N(X1315)&gt;0),IFERROR(N(INDEX(Parameter!$L$5:$L$7,W1315))*INDEX(Parameter!$E$5:$E$7,W1315)*X1315/SUMIFS($X$7:$X$1843,$W$7:$W$1843,W1315),0),0)</f>
        <v>0</v>
      </c>
    </row>
    <row r="1316" customFormat="false" ht="15" hidden="false" customHeight="false" outlineLevel="0" collapsed="false">
      <c r="A1316" s="48" t="s">
        <v>2340</v>
      </c>
      <c r="B1316" s="48" t="s">
        <v>2341</v>
      </c>
      <c r="C1316" s="48" t="s">
        <v>168</v>
      </c>
      <c r="D1316" s="48" t="s">
        <v>188</v>
      </c>
      <c r="E1316" s="48" t="s">
        <v>189</v>
      </c>
      <c r="F1316" s="48" t="s">
        <v>222</v>
      </c>
      <c r="G1316" s="49" t="n">
        <v>31.25</v>
      </c>
      <c r="H1316" s="50" t="n">
        <f aca="false">MAX(0,IF(AND(Parameter!$B$21="Ja",ISNUMBER(Y1316)),Y1316,IF(Parameter!$B$20="Jahresanfang 2025 + Export",BO1316+BN1316,BN1316)))</f>
        <v>25</v>
      </c>
      <c r="I1316" s="50" t="n">
        <f aca="false">H1316*G1316</f>
        <v>781.25</v>
      </c>
      <c r="J1316" s="50" t="n">
        <f aca="false">BQ1316*Parameter!$B$18</f>
        <v>29</v>
      </c>
      <c r="K1316" s="51" t="n">
        <v>17</v>
      </c>
      <c r="L1316" s="52" t="n">
        <v>1.70588235294118</v>
      </c>
      <c r="M1316" s="50" t="n">
        <v>1</v>
      </c>
      <c r="N1316" s="50" t="n">
        <v>30</v>
      </c>
      <c r="O1316" s="53" t="n">
        <v>14</v>
      </c>
      <c r="P1316" s="48" t="s">
        <v>230</v>
      </c>
      <c r="Q1316" s="50" t="n">
        <v>39</v>
      </c>
      <c r="R1316" s="53" t="n">
        <f aca="false">IF(BW1316=1,0,IFERROR(VLOOKUP(BU1316,'Gebinde-Kategorie'!$A$5:$N$45,13,0)+0,0))</f>
        <v>12</v>
      </c>
      <c r="S1316" s="54"/>
      <c r="T1316" s="55"/>
      <c r="U1316" s="55"/>
      <c r="V1316" s="55"/>
      <c r="W1316" s="48"/>
      <c r="X1316" s="50"/>
      <c r="Y1316" s="50"/>
      <c r="Z1316" s="48" t="n">
        <f aca="false">IF(A1316="","",IF(AND(Parameter!$B$21="Ja",ISNUMBER(W1316)),W1316,IF(BZ1316="2+3",IF(ISNUMBER(SEARCH("grosser Artikel",BR1316)),2,IFERROR(VLOOKUP(BU1316,Parameter!$F$35:$G$64,2,0),2)),IF(OR(BZ1316="Nein",BZ1316=""),"-",BZ1316))))</f>
        <v>2</v>
      </c>
      <c r="AA1316" s="55"/>
      <c r="AB1316" s="56"/>
      <c r="AC1316" s="50" t="n">
        <f aca="false">AT1316</f>
        <v>39</v>
      </c>
      <c r="AD1316" s="50" t="n">
        <f aca="false">MAX(AT1316,H1316)</f>
        <v>39</v>
      </c>
      <c r="AE1316" s="57"/>
      <c r="AF1316" s="50" t="n">
        <f aca="false">IF(LEFT(Cockpit!$C$5,1)="A",H1316,IF(CE1316=1,CF1316,IF(LEFT(Cockpit!$C$5,1)="B",AK1316,MAX(AK1316,H1316))))</f>
        <v>25</v>
      </c>
      <c r="AG1316" s="50" t="n">
        <f aca="false">IF(BW1316=1,0,ROUNDUP(AF1316/BV1316,0))</f>
        <v>1</v>
      </c>
      <c r="AH1316" s="52" t="n">
        <f aca="false">IF(CL1316&gt;0,CL1316*MAX(1,AF1316/X1316),IF(BW1316=1,IF(AF1316&lt;=0,0,CA1316*MAX(1,IF(H1316&gt;0,AF1316/H1316,1))),IF(R1316&gt;0,AG1316/R1316,0))/MAX(0.1,N(Parameter!$M$21)))</f>
        <v>0.0833333333333333</v>
      </c>
      <c r="AI1316" s="50" t="n">
        <f aca="false">AH1316*BY1316</f>
        <v>28.75</v>
      </c>
      <c r="AJ1316" s="50" t="n">
        <f aca="false">AF1316*G1316</f>
        <v>781.25</v>
      </c>
      <c r="AK1316" s="50" t="n">
        <f aca="false">ROUNDUP(MAX(J1316/IF(CD1316&gt;0,CD1316,MAX(0.1,N(Cockpit!$C$6))),CG1316)/BV1316,0)*BV1316</f>
        <v>39</v>
      </c>
      <c r="AL1316" s="51" t="n">
        <f aca="false">IF(AI1316&gt;0,J1316/AI1316,-1)</f>
        <v>1.00869565217391</v>
      </c>
      <c r="AM1316" s="51" t="n">
        <f aca="false">IF(AND(OR(CC1316="L1",CC1316="L23",CC1316="LIFT"),AI1316&gt;0),SUMIFS($AI$7:$AI$1843,$CC$7:$CC$1843,CC1316,$AL$7:$AL$1843,"&gt;"&amp;AL1316)+SUMIFS($AI$7:$AI$1843,$CC$7:$CC$1843,CC1316,$AL$7:$AL$1843,AL1316,$BT$7:$BT$1843,"&lt;="&amp;BT1316),"")</f>
        <v>7017.6543040293</v>
      </c>
      <c r="AN1316" s="58" t="n">
        <f aca="false">IF(AM1316="",0,MAX(0,MIN(1,(IF(CC1316="L1",Parameter!$H$5,IF(CC1316="L23",Parameter!$H$6+Parameter!$H$7,Parameter!$H$5+Parameter!$H$6+Parameter!$H$7))-(AM1316-AI1316))/AI1316)))</f>
        <v>1</v>
      </c>
      <c r="AO1316" s="50" t="n">
        <f aca="false">IF(LEFT(Cockpit!$I$5,1)="A",H1316,IF(CE1316=1,CF1316,IF(LEFT(Cockpit!$I$5,1)="B",AT1316,MAX(AT1316,H1316))))</f>
        <v>39</v>
      </c>
      <c r="AP1316" s="50" t="n">
        <f aca="false">IF(BW1316=1,0,ROUNDUP(AO1316/BV1316,0))</f>
        <v>1</v>
      </c>
      <c r="AQ1316" s="52" t="n">
        <f aca="false">IF(CL1316&gt;0,CL1316*MAX(1,AO1316/X1316),IF(BW1316=1,IF(AO1316&lt;=0,0,CA1316*MAX(1,IF(H1316&gt;0,AO1316/H1316,1))),IF(R1316&gt;0,AP1316/R1316,0))/MAX(0.1,N(Parameter!$M$21)))</f>
        <v>0.0833333333333333</v>
      </c>
      <c r="AR1316" s="50" t="n">
        <f aca="false">AQ1316*BY1316</f>
        <v>28.75</v>
      </c>
      <c r="AS1316" s="50" t="n">
        <f aca="false">AO1316*G1316</f>
        <v>1218.75</v>
      </c>
      <c r="AT1316" s="50" t="n">
        <f aca="false">ROUNDUP(MAX(J1316/IF(CD1316&gt;0,CD1316,MAX(0.1,N(Cockpit!$I$6))),CG1316)/BV1316,0)*BV1316</f>
        <v>39</v>
      </c>
      <c r="AU1316" s="51" t="n">
        <f aca="false">IF(AR1316&gt;0,J1316/AR1316,-1)</f>
        <v>1.00869565217391</v>
      </c>
      <c r="AV1316" s="51" t="n">
        <f aca="false">IF(AND(OR(CC1316="L1",CC1316="L23",CC1316="LIFT"),AR1316&gt;0),SUMIFS($AR$7:$AR$1843,$CC$7:$CC$1843,CC1316,$AU$7:$AU$1843,"&gt;"&amp;AU1316)+SUMIFS($AR$7:$AR$1843,$CC$7:$CC$1843,CC1316,$AU$7:$AU$1843,AU1316,$BT$7:$BT$1843,"&lt;="&amp;BT1316),"")</f>
        <v>10077.6611721612</v>
      </c>
      <c r="AW1316" s="58" t="n">
        <f aca="false">IF(AV1316="",0,MAX(0,MIN(1,(IF(CC1316="L1",Parameter!$H$5,IF(CC1316="L23",Parameter!$H$6+Parameter!$H$7,Parameter!$H$5+Parameter!$H$6+Parameter!$H$7))-(AV1316-AR1316))/AR1316)))</f>
        <v>1</v>
      </c>
      <c r="AX1316" s="50" t="n">
        <f aca="false">IF(LEFT(Cockpit!$O$5,1)="A",H1316,IF(CE1316=1,CF1316,IF(LEFT(Cockpit!$O$5,1)="B",BC1316,MAX(BC1316,H1316))))</f>
        <v>39</v>
      </c>
      <c r="AY1316" s="50" t="n">
        <f aca="false">IF(BW1316=1,0,ROUNDUP(AX1316/BV1316,0))</f>
        <v>1</v>
      </c>
      <c r="AZ1316" s="52" t="n">
        <f aca="false">IF(CL1316&gt;0,CL1316*MAX(1,AX1316/X1316),IF(BW1316=1,IF(AX1316&lt;=0,0,CA1316*MAX(1,IF(H1316&gt;0,AX1316/H1316,1))),IF(R1316&gt;0,AY1316/R1316,0))/MAX(0.1,N(Parameter!$M$21)))</f>
        <v>0.0833333333333333</v>
      </c>
      <c r="BA1316" s="50" t="n">
        <f aca="false">AZ1316*BY1316</f>
        <v>28.75</v>
      </c>
      <c r="BB1316" s="50" t="n">
        <f aca="false">AX1316*G1316</f>
        <v>1218.75</v>
      </c>
      <c r="BC1316" s="50" t="n">
        <f aca="false">ROUNDUP(MAX(J1316/IF(CD1316&gt;0,CD1316,MAX(0.1,N(Cockpit!$O$6))),CG1316)/BV1316,0)*BV1316</f>
        <v>39</v>
      </c>
      <c r="BD1316" s="51" t="n">
        <f aca="false">IF(BA1316&gt;0,J1316/BA1316,-1)</f>
        <v>1.00869565217391</v>
      </c>
      <c r="BE1316" s="51" t="n">
        <f aca="false">IF(AND(OR(CC1316="L1",CC1316="L23",CC1316="LIFT"),BA1316&gt;0),SUMIFS($BA$7:$BA$1843,$CC$7:$CC$1843,CC1316,$BD$7:$BD$1843,"&gt;"&amp;BD1316)+SUMIFS($BA$7:$BA$1843,$CC$7:$CC$1843,CC1316,$BD$7:$BD$1843,BD1316,$BT$7:$BT$1843,"&lt;="&amp;BT1316),"")</f>
        <v>9284.15155677656</v>
      </c>
      <c r="BF1316" s="58" t="n">
        <f aca="false">IF(BE1316="",0,MAX(0,MIN(1,(IF(CC1316="L1",Parameter!$H$5,IF(CC1316="L23",Parameter!$H$6+Parameter!$H$7,Parameter!$H$5+Parameter!$H$6+Parameter!$H$7))-(BE1316-BA1316))/BA1316)))</f>
        <v>1</v>
      </c>
      <c r="BG1316" s="48" t="str">
        <f aca="false">IF(AI1316&lt;=0,"",IF(CC1316="Aussen","Aussenlager",IF(CC1316="-","Nicht im Lift",IF(AN1316&gt;=1,"Lift",IF(AN1316&lt;=0,"Aussenlager","teilweise")))))</f>
        <v>Lift</v>
      </c>
      <c r="BH1316" s="48" t="str">
        <f aca="false">IF(AR1316&lt;=0,"",IF(CC1316="Aussen","Aussenlager",IF(CC1316="-","Nicht im Lift",IF(AW1316&gt;=1,"Lift",IF(AW1316&lt;=0,"Aussenlager","teilweise")))))</f>
        <v>Lift</v>
      </c>
      <c r="BI1316" s="48" t="str">
        <f aca="false">IF(BA1316&lt;=0,"",IF(CC1316="Aussen","Aussenlager",IF(CC1316="-","Nicht im Lift",IF(BF1316&gt;=1,"Lift",IF(BF1316&lt;=0,"Aussenlager","teilweise")))))</f>
        <v>Lift</v>
      </c>
      <c r="BJ1316" s="48" t="str">
        <f aca="false">IF(A1316="","",IF(BS1316=1,"Neu; ","")&amp;IF(AND(BS1316=0,BN1316&lt;0),"negativer Bestand (Export "&amp;BN1316&amp;"); ","")&amp;IF(J1316&lt;=0,"Kein Verbrauch; ","")&amp;IF(CL1316&gt;0,"Lift "&amp;W1316&amp;" lt. Liftbericht (Fach "&amp;X1316&amp;" Stk); ",IF(BX1316=1,"Gebinde geschätzt ("&amp;T1316&amp;"); ",IF(BW1316=1,"Lose – Tablare geschätzt; ","")))&amp;IF(H1316&gt;AT1316,"Überbestand "&amp;ROUND(H1316-AT1316,0)&amp;" Stk / CHF "&amp;ROUND((H1316-AT1316)*G1316,0)&amp;"; ","")&amp;IF(AND(CE1316=1,CF1316&lt;CG1316),"MAX &lt; MB+LG; ","")&amp;IF(AND(CK1316&gt;0,CJ1316*10&gt;CK1316),"zu hoch für Tablar; ","")&amp;IF(AND(BS1316=0,OR(CE1316=1,AA1316&lt;&gt;"",U1316&lt;&gt;"",V1316&lt;&gt;"",AB1316&lt;&gt;"")),"manuell übersteuert; ","")&amp;IF(AND(BW1316=0,R1316=0),"Gebinde unbekannt / Stellmass fehlt; ","")&amp;IF(AND(BW1316=0,N(V1316)&lt;=0,N(Q1316)&lt;=0),"Menge pro Gebinde fehlt (Ist = 1 Gebinde); ","")&amp;BR1316)</f>
        <v/>
      </c>
      <c r="BK1316" s="48"/>
      <c r="BL1316" s="48"/>
      <c r="BM1316" s="55"/>
      <c r="BN1316" s="50" t="n">
        <v>6</v>
      </c>
      <c r="BO1316" s="50" t="n">
        <v>19</v>
      </c>
      <c r="BP1316" s="49" t="n">
        <v>-1346.56</v>
      </c>
      <c r="BQ1316" s="50" t="n">
        <v>29</v>
      </c>
      <c r="BR1316" s="48"/>
      <c r="BS1316" s="53" t="n">
        <v>0</v>
      </c>
      <c r="BT1316" s="53" t="n">
        <v>1316</v>
      </c>
      <c r="BU1316" s="48" t="str">
        <f aca="false">IF(U1316&lt;&gt;"",UPPER(TRIM(U1316)),IF(BX1316=1,UPPER(VLOOKUP(T1316,Parameter!$I$27:$K$29,2,0)),IF(P1316="","LOSE",P1316)))</f>
        <v>S63</v>
      </c>
      <c r="BV1316" s="50" t="n">
        <f aca="false">IF(BU1316="LOSE",1,IF(N(V1316)&gt;0,V1316,IF(BX1316=1,MAX(1,N(VLOOKUP(T1316,Parameter!$I$27:$K$29,3,0)),H1316,N(N1316)),IF(N(Q1316)&gt;0,Q1316,MAX(1,H1316)))))</f>
        <v>39</v>
      </c>
      <c r="BW1316" s="53" t="n">
        <f aca="false">IF(BU1316="LOSE",1,0)</f>
        <v>0</v>
      </c>
      <c r="BX1316" s="53" t="n">
        <f aca="false">IF(AND(U1316="",OR(P1316="",P1316="LOSE"),T1316&lt;&gt;"",N(S1316)&lt;=0,ISNUMBER(MATCH(T1316,Parameter!$I$27:$I$29,0))),1,0)</f>
        <v>0</v>
      </c>
      <c r="BY1316" s="53" t="n">
        <f aca="false">IF(CL1316&gt;0,INDEX(Parameter!$H$5:$H$7,W1316)/INDEX(Parameter!$E$5:$E$7,W1316),IF(AND(BW1316=0,N(IFERROR(VLOOKUP(BU1316,'Gebinde-Kategorie'!$A$5:$N$45,14,0),0))&gt;0),VLOOKUP(BU1316,'Gebinde-Kategorie'!$A$5:$N$45,14,0)*10+Parameter!$M$23,Parameter!$M$24))</f>
        <v>345</v>
      </c>
      <c r="BZ1316" s="48" t="str">
        <f aca="false">IF(AND(Parameter!$B$19="Ja",E1316&lt;&gt;"",ISNUMBER(MATCH(E1316,Parameter!$I$35:$I$52,0))),VLOOKUP(E1316,Parameter!$I$35:$J$52,2,0),IFERROR(VLOOKUP(D1316,Parameter!$A$35:$C$64,2,0),"Nein"))</f>
        <v>2+3</v>
      </c>
      <c r="CA1316" s="52" t="n">
        <f aca="false">IF(BW1316=0,0,IF(N(S1316)&gt;0,S1316,IFERROR(VLOOKUP(D1316,Parameter!$A$35:$C$64,3,0)+0,0)))</f>
        <v>0</v>
      </c>
      <c r="CB1316" s="48" t="n">
        <f aca="false">IF(AA1316&lt;&gt;"",AA1316,Z1316)</f>
        <v>2</v>
      </c>
      <c r="CC1316" s="48" t="str">
        <f aca="false">IF(OR(CB1316=1,CB1316=2,CB1316=3),IF(Parameter!$E$27="Ja","LIFT",IF(CB1316=1,"L1","L23")),IF(CB1316="Aussen","Aussen","-"))</f>
        <v>LIFT</v>
      </c>
      <c r="CD1316" s="59" t="n">
        <f aca="false">IF(N(AB1316)&gt;0,AB1316,0)</f>
        <v>0</v>
      </c>
      <c r="CE1316" s="53" t="n">
        <f aca="false">IF(ISNUMBER(AE1316),1,0)</f>
        <v>0</v>
      </c>
      <c r="CF1316" s="50" t="n">
        <f aca="false">N(AE1316)</f>
        <v>0</v>
      </c>
      <c r="CG1316" s="50" t="n">
        <f aca="false">N(M1316)+N(N1316)</f>
        <v>31</v>
      </c>
      <c r="CH1316" s="50" t="n">
        <f aca="false">ROUNDUP(H1316/BV1316,0)</f>
        <v>1</v>
      </c>
      <c r="CI1316" s="50" t="n">
        <f aca="false">ROUNDUP(CF1316/BV1316,0)</f>
        <v>0</v>
      </c>
      <c r="CJ1316" s="53" t="n">
        <f aca="false">IF(BW1316=1,0,IFERROR(VLOOKUP(BU1316,'Gebinde-Kategorie'!$A$5:$N$45,5,0)+0,0))</f>
        <v>31</v>
      </c>
      <c r="CK1316" s="53" t="n">
        <f aca="false">IFERROR(IF(OR(CB1316=1,CB1316=2,CB1316=3),N(INDEX(Parameter!$I$5:$I$7,CB1316)),0),0)</f>
        <v>0</v>
      </c>
      <c r="CL1316" s="52" t="n">
        <f aca="false">IF(AND(Parameter!$B$21="Ja",ISNUMBER(W1316),N(X1316)&gt;0),IFERROR(N(INDEX(Parameter!$L$5:$L$7,W1316))*INDEX(Parameter!$E$5:$E$7,W1316)*X1316/SUMIFS($X$7:$X$1843,$W$7:$W$1843,W1316),0),0)</f>
        <v>0</v>
      </c>
    </row>
    <row r="1317" customFormat="false" ht="15" hidden="false" customHeight="false" outlineLevel="0" collapsed="false">
      <c r="A1317" s="48" t="s">
        <v>2342</v>
      </c>
      <c r="B1317" s="48" t="s">
        <v>257</v>
      </c>
      <c r="C1317" s="48" t="s">
        <v>171</v>
      </c>
      <c r="D1317" s="48" t="s">
        <v>177</v>
      </c>
      <c r="E1317" s="48"/>
      <c r="F1317" s="48" t="s">
        <v>222</v>
      </c>
      <c r="G1317" s="49" t="n">
        <v>1415.42</v>
      </c>
      <c r="H1317" s="50" t="n">
        <f aca="false">MAX(0,IF(AND(Parameter!$B$21="Ja",ISNUMBER(Y1317)),Y1317,IF(Parameter!$B$20="Jahresanfang 2025 + Export",BO1317+BN1317,BN1317)))</f>
        <v>1</v>
      </c>
      <c r="I1317" s="50" t="n">
        <f aca="false">H1317*G1317</f>
        <v>1415.42</v>
      </c>
      <c r="J1317" s="50" t="n">
        <f aca="false">BQ1317*Parameter!$B$18</f>
        <v>12</v>
      </c>
      <c r="K1317" s="51" t="n">
        <v>1.5</v>
      </c>
      <c r="L1317" s="52" t="n">
        <v>8</v>
      </c>
      <c r="M1317" s="50" t="n">
        <v>0</v>
      </c>
      <c r="N1317" s="50" t="n">
        <v>5</v>
      </c>
      <c r="O1317" s="53" t="n">
        <v>70</v>
      </c>
      <c r="P1317" s="48" t="s">
        <v>172</v>
      </c>
      <c r="Q1317" s="50"/>
      <c r="R1317" s="53" t="n">
        <f aca="false">IF(BW1317=1,0,IFERROR(VLOOKUP(BU1317,'Gebinde-Kategorie'!$A$5:$N$45,13,0)+0,0))</f>
        <v>0</v>
      </c>
      <c r="S1317" s="54"/>
      <c r="T1317" s="55"/>
      <c r="U1317" s="55"/>
      <c r="V1317" s="55"/>
      <c r="W1317" s="48" t="n">
        <v>1</v>
      </c>
      <c r="X1317" s="50" t="n">
        <v>1</v>
      </c>
      <c r="Y1317" s="50" t="n">
        <v>1</v>
      </c>
      <c r="Z1317" s="48" t="n">
        <f aca="false">IF(A1317="","",IF(AND(Parameter!$B$21="Ja",ISNUMBER(W1317)),W1317,IF(BZ1317="2+3",IF(ISNUMBER(SEARCH("grosser Artikel",BR1317)),2,IFERROR(VLOOKUP(BU1317,Parameter!$F$35:$G$64,2,0),2)),IF(OR(BZ1317="Nein",BZ1317=""),"-",BZ1317))))</f>
        <v>1</v>
      </c>
      <c r="AA1317" s="55"/>
      <c r="AB1317" s="56"/>
      <c r="AC1317" s="50" t="n">
        <f aca="false">AT1317</f>
        <v>6</v>
      </c>
      <c r="AD1317" s="50" t="n">
        <f aca="false">MAX(AT1317,H1317)</f>
        <v>6</v>
      </c>
      <c r="AE1317" s="57"/>
      <c r="AF1317" s="50" t="n">
        <f aca="false">IF(LEFT(Cockpit!$C$5,1)="A",H1317,IF(CE1317=1,CF1317,IF(LEFT(Cockpit!$C$5,1)="B",AK1317,MAX(AK1317,H1317))))</f>
        <v>1</v>
      </c>
      <c r="AG1317" s="50" t="n">
        <f aca="false">IF(BW1317=1,0,ROUNDUP(AF1317/BV1317,0))</f>
        <v>0</v>
      </c>
      <c r="AH1317" s="52" t="n">
        <f aca="false">IF(CL1317&gt;0,CL1317*MAX(1,AF1317/X1317),IF(BW1317=1,IF(AF1317&lt;=0,0,CA1317*MAX(1,IF(H1317&gt;0,AF1317/H1317,1))),IF(R1317&gt;0,AG1317/R1317,0))/MAX(0.1,N(Parameter!$M$21)))</f>
        <v>0.0800376647834275</v>
      </c>
      <c r="AI1317" s="50" t="n">
        <f aca="false">AH1317*BY1317</f>
        <v>19.0489642184557</v>
      </c>
      <c r="AJ1317" s="50" t="n">
        <f aca="false">AF1317*G1317</f>
        <v>1415.42</v>
      </c>
      <c r="AK1317" s="50" t="n">
        <f aca="false">ROUNDUP(MAX(J1317/IF(CD1317&gt;0,CD1317,MAX(0.1,N(Cockpit!$C$6))),CG1317)/BV1317,0)*BV1317</f>
        <v>6</v>
      </c>
      <c r="AL1317" s="51" t="n">
        <f aca="false">IF(AI1317&gt;0,J1317/AI1317,-1)</f>
        <v>0.629955511616411</v>
      </c>
      <c r="AM1317" s="51" t="n">
        <f aca="false">IF(AND(OR(CC1317="L1",CC1317="L23",CC1317="LIFT"),AI1317&gt;0),SUMIFS($AI$7:$AI$1843,$CC$7:$CC$1843,CC1317,$AL$7:$AL$1843,"&gt;"&amp;AL1317)+SUMIFS($AI$7:$AI$1843,$CC$7:$CC$1843,CC1317,$AL$7:$AL$1843,AL1317,$BT$7:$BT$1843,"&lt;="&amp;BT1317),"")</f>
        <v>8877.86947703897</v>
      </c>
      <c r="AN1317" s="58" t="n">
        <f aca="false">IF(AM1317="",0,MAX(0,MIN(1,(IF(CC1317="L1",Parameter!$H$5,IF(CC1317="L23",Parameter!$H$6+Parameter!$H$7,Parameter!$H$5+Parameter!$H$6+Parameter!$H$7))-(AM1317-AI1317))/AI1317)))</f>
        <v>1</v>
      </c>
      <c r="AO1317" s="50" t="n">
        <f aca="false">IF(LEFT(Cockpit!$I$5,1)="A",H1317,IF(CE1317=1,CF1317,IF(LEFT(Cockpit!$I$5,1)="B",AT1317,MAX(AT1317,H1317))))</f>
        <v>6</v>
      </c>
      <c r="AP1317" s="50" t="n">
        <f aca="false">IF(BW1317=1,0,ROUNDUP(AO1317/BV1317,0))</f>
        <v>0</v>
      </c>
      <c r="AQ1317" s="52" t="n">
        <f aca="false">IF(CL1317&gt;0,CL1317*MAX(1,AO1317/X1317),IF(BW1317=1,IF(AO1317&lt;=0,0,CA1317*MAX(1,IF(H1317&gt;0,AO1317/H1317,1))),IF(R1317&gt;0,AP1317/R1317,0))/MAX(0.1,N(Parameter!$M$21)))</f>
        <v>0.480225988700565</v>
      </c>
      <c r="AR1317" s="50" t="n">
        <f aca="false">AQ1317*BY1317</f>
        <v>114.293785310734</v>
      </c>
      <c r="AS1317" s="50" t="n">
        <f aca="false">AO1317*G1317</f>
        <v>8492.52</v>
      </c>
      <c r="AT1317" s="50" t="n">
        <f aca="false">ROUNDUP(MAX(J1317/IF(CD1317&gt;0,CD1317,MAX(0.1,N(Cockpit!$I$6))),CG1317)/BV1317,0)*BV1317</f>
        <v>6</v>
      </c>
      <c r="AU1317" s="51" t="n">
        <f aca="false">IF(AR1317&gt;0,J1317/AR1317,-1)</f>
        <v>0.104992585269402</v>
      </c>
      <c r="AV1317" s="51" t="n">
        <f aca="false">IF(AND(OR(CC1317="L1",CC1317="L23",CC1317="LIFT"),AR1317&gt;0),SUMIFS($AR$7:$AR$1843,$CC$7:$CC$1843,CC1317,$AU$7:$AU$1843,"&gt;"&amp;AU1317)+SUMIFS($AR$7:$AR$1843,$CC$7:$CC$1843,CC1317,$AU$7:$AU$1843,AU1317,$BT$7:$BT$1843,"&lt;="&amp;BT1317),"")</f>
        <v>20987.2660308148</v>
      </c>
      <c r="AW1317" s="58" t="n">
        <f aca="false">IF(AV1317="",0,MAX(0,MIN(1,(IF(CC1317="L1",Parameter!$H$5,IF(CC1317="L23",Parameter!$H$6+Parameter!$H$7,Parameter!$H$5+Parameter!$H$6+Parameter!$H$7))-(AV1317-AR1317))/AR1317)))</f>
        <v>1</v>
      </c>
      <c r="AX1317" s="50" t="n">
        <f aca="false">IF(LEFT(Cockpit!$O$5,1)="A",H1317,IF(CE1317=1,CF1317,IF(LEFT(Cockpit!$O$5,1)="B",BC1317,MAX(BC1317,H1317))))</f>
        <v>5</v>
      </c>
      <c r="AY1317" s="50" t="n">
        <f aca="false">IF(BW1317=1,0,ROUNDUP(AX1317/BV1317,0))</f>
        <v>0</v>
      </c>
      <c r="AZ1317" s="52" t="n">
        <f aca="false">IF(CL1317&gt;0,CL1317*MAX(1,AX1317/X1317),IF(BW1317=1,IF(AX1317&lt;=0,0,CA1317*MAX(1,IF(H1317&gt;0,AX1317/H1317,1))),IF(R1317&gt;0,AY1317/R1317,0))/MAX(0.1,N(Parameter!$M$21)))</f>
        <v>0.400188323917138</v>
      </c>
      <c r="BA1317" s="50" t="n">
        <f aca="false">AZ1317*BY1317</f>
        <v>95.2448210922787</v>
      </c>
      <c r="BB1317" s="50" t="n">
        <f aca="false">AX1317*G1317</f>
        <v>7077.1</v>
      </c>
      <c r="BC1317" s="50" t="n">
        <f aca="false">ROUNDUP(MAX(J1317/IF(CD1317&gt;0,CD1317,MAX(0.1,N(Cockpit!$O$6))),CG1317)/BV1317,0)*BV1317</f>
        <v>5</v>
      </c>
      <c r="BD1317" s="51" t="n">
        <f aca="false">IF(BA1317&gt;0,J1317/BA1317,-1)</f>
        <v>0.125991102323282</v>
      </c>
      <c r="BE1317" s="51" t="n">
        <f aca="false">IF(AND(OR(CC1317="L1",CC1317="L23",CC1317="LIFT"),BA1317&gt;0),SUMIFS($BA$7:$BA$1843,$CC$7:$CC$1843,CC1317,$BD$7:$BD$1843,"&gt;"&amp;BD1317)+SUMIFS($BA$7:$BA$1843,$CC$7:$CC$1843,CC1317,$BD$7:$BD$1843,BD1317,$BT$7:$BT$1843,"&lt;="&amp;BT1317),"")</f>
        <v>20028.7145857909</v>
      </c>
      <c r="BF1317" s="58" t="n">
        <f aca="false">IF(BE1317="",0,MAX(0,MIN(1,(IF(CC1317="L1",Parameter!$H$5,IF(CC1317="L23",Parameter!$H$6+Parameter!$H$7,Parameter!$H$5+Parameter!$H$6+Parameter!$H$7))-(BE1317-BA1317))/BA1317)))</f>
        <v>1</v>
      </c>
      <c r="BG1317" s="48" t="str">
        <f aca="false">IF(AI1317&lt;=0,"",IF(CC1317="Aussen","Aussenlager",IF(CC1317="-","Nicht im Lift",IF(AN1317&gt;=1,"Lift",IF(AN1317&lt;=0,"Aussenlager","teilweise")))))</f>
        <v>Lift</v>
      </c>
      <c r="BH1317" s="48" t="str">
        <f aca="false">IF(AR1317&lt;=0,"",IF(CC1317="Aussen","Aussenlager",IF(CC1317="-","Nicht im Lift",IF(AW1317&gt;=1,"Lift",IF(AW1317&lt;=0,"Aussenlager","teilweise")))))</f>
        <v>Lift</v>
      </c>
      <c r="BI1317" s="48" t="str">
        <f aca="false">IF(BA1317&lt;=0,"",IF(CC1317="Aussen","Aussenlager",IF(CC1317="-","Nicht im Lift",IF(BF1317&gt;=1,"Lift",IF(BF1317&lt;=0,"Aussenlager","teilweise")))))</f>
        <v>Lift</v>
      </c>
      <c r="BJ1317" s="48" t="str">
        <f aca="false">IF(A1317="","",IF(BS1317=1,"Neu; ","")&amp;IF(AND(BS1317=0,BN1317&lt;0),"negativer Bestand (Export "&amp;BN1317&amp;"); ","")&amp;IF(J1317&lt;=0,"Kein Verbrauch; ","")&amp;IF(CL1317&gt;0,"Lift "&amp;W1317&amp;" lt. Liftbericht (Fach "&amp;X1317&amp;" Stk); ",IF(BX1317=1,"Gebinde geschätzt ("&amp;T1317&amp;"); ",IF(BW1317=1,"Lose – Tablare geschätzt; ","")))&amp;IF(H1317&gt;AT1317,"Überbestand "&amp;ROUND(H1317-AT1317,0)&amp;" Stk / CHF "&amp;ROUND((H1317-AT1317)*G1317,0)&amp;"; ","")&amp;IF(AND(CE1317=1,CF1317&lt;CG1317),"MAX &lt; MB+LG; ","")&amp;IF(AND(CK1317&gt;0,CJ1317*10&gt;CK1317),"zu hoch für Tablar; ","")&amp;IF(AND(BS1317=0,OR(CE1317=1,AA1317&lt;&gt;"",U1317&lt;&gt;"",V1317&lt;&gt;"",AB1317&lt;&gt;"")),"manuell übersteuert; ","")&amp;IF(AND(BW1317=0,R1317=0),"Gebinde unbekannt / Stellmass fehlt; ","")&amp;IF(AND(BW1317=0,N(V1317)&lt;=0,N(Q1317)&lt;=0),"Menge pro Gebinde fehlt (Ist = 1 Gebinde); ","")&amp;BR1317)</f>
        <v>negativer Bestand (Export -1); Lift 1 lt. Liftbericht (Fach 1 Stk); Twin</v>
      </c>
      <c r="BK1317" s="48"/>
      <c r="BL1317" s="48"/>
      <c r="BM1317" s="55"/>
      <c r="BN1317" s="50" t="n">
        <v>-1</v>
      </c>
      <c r="BO1317" s="50" t="n">
        <v>2</v>
      </c>
      <c r="BP1317" s="49" t="n">
        <v>-1350.54</v>
      </c>
      <c r="BQ1317" s="50" t="n">
        <v>12</v>
      </c>
      <c r="BR1317" s="48" t="s">
        <v>218</v>
      </c>
      <c r="BS1317" s="53" t="n">
        <v>0</v>
      </c>
      <c r="BT1317" s="53" t="n">
        <v>1317</v>
      </c>
      <c r="BU1317" s="48" t="str">
        <f aca="false">IF(U1317&lt;&gt;"",UPPER(TRIM(U1317)),IF(BX1317=1,UPPER(VLOOKUP(T1317,Parameter!$I$27:$K$29,2,0)),IF(P1317="","LOSE",P1317)))</f>
        <v>LOSE</v>
      </c>
      <c r="BV1317" s="50" t="n">
        <f aca="false">IF(BU1317="LOSE",1,IF(N(V1317)&gt;0,V1317,IF(BX1317=1,MAX(1,N(VLOOKUP(T1317,Parameter!$I$27:$K$29,3,0)),H1317,N(N1317)),IF(N(Q1317)&gt;0,Q1317,MAX(1,H1317)))))</f>
        <v>1</v>
      </c>
      <c r="BW1317" s="53" t="n">
        <f aca="false">IF(BU1317="LOSE",1,0)</f>
        <v>1</v>
      </c>
      <c r="BX1317" s="53" t="n">
        <f aca="false">IF(AND(U1317="",OR(P1317="",P1317="LOSE"),T1317&lt;&gt;"",N(S1317)&lt;=0,ISNUMBER(MATCH(T1317,Parameter!$I$27:$I$29,0))),1,0)</f>
        <v>0</v>
      </c>
      <c r="BY1317" s="53" t="n">
        <f aca="false">IF(CL1317&gt;0,INDEX(Parameter!$H$5:$H$7,W1317)/INDEX(Parameter!$E$5:$E$7,W1317),IF(AND(BW1317=0,N(IFERROR(VLOOKUP(BU1317,'Gebinde-Kategorie'!$A$5:$N$45,14,0),0))&gt;0),VLOOKUP(BU1317,'Gebinde-Kategorie'!$A$5:$N$45,14,0)*10+Parameter!$M$23,Parameter!$M$24))</f>
        <v>238</v>
      </c>
      <c r="BZ1317" s="48" t="str">
        <f aca="false">IF(AND(Parameter!$B$19="Ja",E1317&lt;&gt;"",ISNUMBER(MATCH(E1317,Parameter!$I$35:$I$52,0))),VLOOKUP(E1317,Parameter!$I$35:$J$52,2,0),IFERROR(VLOOKUP(D1317,Parameter!$A$35:$C$64,2,0),"Nein"))</f>
        <v>2+3</v>
      </c>
      <c r="CA1317" s="52" t="n">
        <f aca="false">IF(BW1317=0,0,IF(N(S1317)&gt;0,S1317,IFERROR(VLOOKUP(D1317,Parameter!$A$35:$C$64,3,0)+0,0)))</f>
        <v>0.15</v>
      </c>
      <c r="CB1317" s="48" t="n">
        <f aca="false">IF(AA1317&lt;&gt;"",AA1317,Z1317)</f>
        <v>1</v>
      </c>
      <c r="CC1317" s="48" t="str">
        <f aca="false">IF(OR(CB1317=1,CB1317=2,CB1317=3),IF(Parameter!$E$27="Ja","LIFT",IF(CB1317=1,"L1","L23")),IF(CB1317="Aussen","Aussen","-"))</f>
        <v>LIFT</v>
      </c>
      <c r="CD1317" s="59" t="n">
        <f aca="false">IF(N(AB1317)&gt;0,AB1317,0)</f>
        <v>0</v>
      </c>
      <c r="CE1317" s="53" t="n">
        <f aca="false">IF(ISNUMBER(AE1317),1,0)</f>
        <v>0</v>
      </c>
      <c r="CF1317" s="50" t="n">
        <f aca="false">N(AE1317)</f>
        <v>0</v>
      </c>
      <c r="CG1317" s="50" t="n">
        <f aca="false">N(M1317)+N(N1317)</f>
        <v>5</v>
      </c>
      <c r="CH1317" s="50" t="n">
        <f aca="false">ROUNDUP(H1317/BV1317,0)</f>
        <v>1</v>
      </c>
      <c r="CI1317" s="50" t="n">
        <f aca="false">ROUNDUP(CF1317/BV1317,0)</f>
        <v>0</v>
      </c>
      <c r="CJ1317" s="53" t="n">
        <f aca="false">IF(BW1317=1,0,IFERROR(VLOOKUP(BU1317,'Gebinde-Kategorie'!$A$5:$N$45,5,0)+0,0))</f>
        <v>0</v>
      </c>
      <c r="CK1317" s="53" t="n">
        <f aca="false">IFERROR(IF(OR(CB1317=1,CB1317=2,CB1317=3),N(INDEX(Parameter!$I$5:$I$7,CB1317)),0),0)</f>
        <v>0</v>
      </c>
      <c r="CL1317" s="52" t="n">
        <f aca="false">IF(AND(Parameter!$B$21="Ja",ISNUMBER(W1317),N(X1317)&gt;0),IFERROR(N(INDEX(Parameter!$L$5:$L$7,W1317))*INDEX(Parameter!$E$5:$E$7,W1317)*X1317/SUMIFS($X$7:$X$1843,$W$7:$W$1843,W1317),0),0)</f>
        <v>0.0800376647834275</v>
      </c>
    </row>
    <row r="1318" customFormat="false" ht="15" hidden="false" customHeight="false" outlineLevel="0" collapsed="false">
      <c r="A1318" s="48" t="s">
        <v>2343</v>
      </c>
      <c r="B1318" s="48" t="s">
        <v>2344</v>
      </c>
      <c r="C1318" s="48" t="s">
        <v>168</v>
      </c>
      <c r="D1318" s="48" t="s">
        <v>177</v>
      </c>
      <c r="E1318" s="48" t="s">
        <v>170</v>
      </c>
      <c r="F1318" s="48" t="s">
        <v>222</v>
      </c>
      <c r="G1318" s="49" t="n">
        <v>724.26</v>
      </c>
      <c r="H1318" s="50" t="n">
        <f aca="false">MAX(0,IF(AND(Parameter!$B$21="Ja",ISNUMBER(Y1318)),Y1318,IF(Parameter!$B$20="Jahresanfang 2025 + Export",BO1318+BN1318,BN1318)))</f>
        <v>9</v>
      </c>
      <c r="I1318" s="50" t="n">
        <f aca="false">H1318*G1318</f>
        <v>6518.34</v>
      </c>
      <c r="J1318" s="50" t="n">
        <f aca="false">BQ1318*Parameter!$B$18</f>
        <v>24</v>
      </c>
      <c r="K1318" s="51" t="n">
        <v>11.5</v>
      </c>
      <c r="L1318" s="52" t="n">
        <v>2.08695652173913</v>
      </c>
      <c r="M1318" s="50" t="n">
        <v>5</v>
      </c>
      <c r="N1318" s="50" t="n">
        <v>10</v>
      </c>
      <c r="O1318" s="53" t="n">
        <v>70</v>
      </c>
      <c r="P1318" s="48" t="s">
        <v>178</v>
      </c>
      <c r="Q1318" s="50" t="n">
        <v>9</v>
      </c>
      <c r="R1318" s="53" t="n">
        <f aca="false">IF(BW1318=1,0,IFERROR(VLOOKUP(BU1318,'Gebinde-Kategorie'!$A$5:$N$45,13,0)+0,0))</f>
        <v>6</v>
      </c>
      <c r="S1318" s="54"/>
      <c r="T1318" s="55"/>
      <c r="U1318" s="55"/>
      <c r="V1318" s="55"/>
      <c r="W1318" s="48"/>
      <c r="X1318" s="50"/>
      <c r="Y1318" s="50"/>
      <c r="Z1318" s="48" t="n">
        <f aca="false">IF(A1318="","",IF(AND(Parameter!$B$21="Ja",ISNUMBER(W1318)),W1318,IF(BZ1318="2+3",IF(ISNUMBER(SEARCH("grosser Artikel",BR1318)),2,IFERROR(VLOOKUP(BU1318,Parameter!$F$35:$G$64,2,0),2)),IF(OR(BZ1318="Nein",BZ1318=""),"-",BZ1318))))</f>
        <v>1</v>
      </c>
      <c r="AA1318" s="55"/>
      <c r="AB1318" s="56"/>
      <c r="AC1318" s="50" t="n">
        <f aca="false">AT1318</f>
        <v>18</v>
      </c>
      <c r="AD1318" s="50" t="n">
        <f aca="false">MAX(AT1318,H1318)</f>
        <v>18</v>
      </c>
      <c r="AE1318" s="57"/>
      <c r="AF1318" s="50" t="n">
        <f aca="false">IF(LEFT(Cockpit!$C$5,1)="A",H1318,IF(CE1318=1,CF1318,IF(LEFT(Cockpit!$C$5,1)="B",AK1318,MAX(AK1318,H1318))))</f>
        <v>9</v>
      </c>
      <c r="AG1318" s="50" t="n">
        <f aca="false">IF(BW1318=1,0,ROUNDUP(AF1318/BV1318,0))</f>
        <v>1</v>
      </c>
      <c r="AH1318" s="52" t="n">
        <f aca="false">IF(CL1318&gt;0,CL1318*MAX(1,AF1318/X1318),IF(BW1318=1,IF(AF1318&lt;=0,0,CA1318*MAX(1,IF(H1318&gt;0,AF1318/H1318,1))),IF(R1318&gt;0,AG1318/R1318,0))/MAX(0.1,N(Parameter!$M$21)))</f>
        <v>0.166666666666667</v>
      </c>
      <c r="AI1318" s="50" t="n">
        <f aca="false">AH1318*BY1318</f>
        <v>39.1666666666667</v>
      </c>
      <c r="AJ1318" s="50" t="n">
        <f aca="false">AF1318*G1318</f>
        <v>6518.34</v>
      </c>
      <c r="AK1318" s="50" t="n">
        <f aca="false">ROUNDUP(MAX(J1318/IF(CD1318&gt;0,CD1318,MAX(0.1,N(Cockpit!$C$6))),CG1318)/BV1318,0)*BV1318</f>
        <v>18</v>
      </c>
      <c r="AL1318" s="51" t="n">
        <f aca="false">IF(AI1318&gt;0,J1318/AI1318,-1)</f>
        <v>0.612765957446809</v>
      </c>
      <c r="AM1318" s="51" t="n">
        <f aca="false">IF(AND(OR(CC1318="L1",CC1318="L23",CC1318="LIFT"),AI1318&gt;0),SUMIFS($AI$7:$AI$1843,$CC$7:$CC$1843,CC1318,$AL$7:$AL$1843,"&gt;"&amp;AL1318)+SUMIFS($AI$7:$AI$1843,$CC$7:$CC$1843,CC1318,$AL$7:$AL$1843,AL1318,$BT$7:$BT$1843,"&lt;="&amp;BT1318),"")</f>
        <v>9230.36947703897</v>
      </c>
      <c r="AN1318" s="58" t="n">
        <f aca="false">IF(AM1318="",0,MAX(0,MIN(1,(IF(CC1318="L1",Parameter!$H$5,IF(CC1318="L23",Parameter!$H$6+Parameter!$H$7,Parameter!$H$5+Parameter!$H$6+Parameter!$H$7))-(AM1318-AI1318))/AI1318)))</f>
        <v>1</v>
      </c>
      <c r="AO1318" s="50" t="n">
        <f aca="false">IF(LEFT(Cockpit!$I$5,1)="A",H1318,IF(CE1318=1,CF1318,IF(LEFT(Cockpit!$I$5,1)="B",AT1318,MAX(AT1318,H1318))))</f>
        <v>18</v>
      </c>
      <c r="AP1318" s="50" t="n">
        <f aca="false">IF(BW1318=1,0,ROUNDUP(AO1318/BV1318,0))</f>
        <v>2</v>
      </c>
      <c r="AQ1318" s="52" t="n">
        <f aca="false">IF(CL1318&gt;0,CL1318*MAX(1,AO1318/X1318),IF(BW1318=1,IF(AO1318&lt;=0,0,CA1318*MAX(1,IF(H1318&gt;0,AO1318/H1318,1))),IF(R1318&gt;0,AP1318/R1318,0))/MAX(0.1,N(Parameter!$M$21)))</f>
        <v>0.333333333333333</v>
      </c>
      <c r="AR1318" s="50" t="n">
        <f aca="false">AQ1318*BY1318</f>
        <v>78.3333333333333</v>
      </c>
      <c r="AS1318" s="50" t="n">
        <f aca="false">AO1318*G1318</f>
        <v>13036.68</v>
      </c>
      <c r="AT1318" s="50" t="n">
        <f aca="false">ROUNDUP(MAX(J1318/IF(CD1318&gt;0,CD1318,MAX(0.1,N(Cockpit!$I$6))),CG1318)/BV1318,0)*BV1318</f>
        <v>18</v>
      </c>
      <c r="AU1318" s="51" t="n">
        <f aca="false">IF(AR1318&gt;0,J1318/AR1318,-1)</f>
        <v>0.306382978723404</v>
      </c>
      <c r="AV1318" s="51" t="n">
        <f aca="false">IF(AND(OR(CC1318="L1",CC1318="L23",CC1318="LIFT"),AR1318&gt;0),SUMIFS($AR$7:$AR$1843,$CC$7:$CC$1843,CC1318,$AU$7:$AU$1843,"&gt;"&amp;AU1318)+SUMIFS($AR$7:$AR$1843,$CC$7:$CC$1843,CC1318,$AU$7:$AU$1843,AU1318,$BT$7:$BT$1843,"&lt;="&amp;BT1318),"")</f>
        <v>16868.4803113553</v>
      </c>
      <c r="AW1318" s="58" t="n">
        <f aca="false">IF(AV1318="",0,MAX(0,MIN(1,(IF(CC1318="L1",Parameter!$H$5,IF(CC1318="L23",Parameter!$H$6+Parameter!$H$7,Parameter!$H$5+Parameter!$H$6+Parameter!$H$7))-(AV1318-AR1318))/AR1318)))</f>
        <v>1</v>
      </c>
      <c r="AX1318" s="50" t="n">
        <f aca="false">IF(LEFT(Cockpit!$O$5,1)="A",H1318,IF(CE1318=1,CF1318,IF(LEFT(Cockpit!$O$5,1)="B",BC1318,MAX(BC1318,H1318))))</f>
        <v>18</v>
      </c>
      <c r="AY1318" s="50" t="n">
        <f aca="false">IF(BW1318=1,0,ROUNDUP(AX1318/BV1318,0))</f>
        <v>2</v>
      </c>
      <c r="AZ1318" s="52" t="n">
        <f aca="false">IF(CL1318&gt;0,CL1318*MAX(1,AX1318/X1318),IF(BW1318=1,IF(AX1318&lt;=0,0,CA1318*MAX(1,IF(H1318&gt;0,AX1318/H1318,1))),IF(R1318&gt;0,AY1318/R1318,0))/MAX(0.1,N(Parameter!$M$21)))</f>
        <v>0.333333333333333</v>
      </c>
      <c r="BA1318" s="50" t="n">
        <f aca="false">AZ1318*BY1318</f>
        <v>78.3333333333333</v>
      </c>
      <c r="BB1318" s="50" t="n">
        <f aca="false">AX1318*G1318</f>
        <v>13036.68</v>
      </c>
      <c r="BC1318" s="50" t="n">
        <f aca="false">ROUNDUP(MAX(J1318/IF(CD1318&gt;0,CD1318,MAX(0.1,N(Cockpit!$O$6))),CG1318)/BV1318,0)*BV1318</f>
        <v>18</v>
      </c>
      <c r="BD1318" s="51" t="n">
        <f aca="false">IF(BA1318&gt;0,J1318/BA1318,-1)</f>
        <v>0.306382978723404</v>
      </c>
      <c r="BE1318" s="51" t="n">
        <f aca="false">IF(AND(OR(CC1318="L1",CC1318="L23",CC1318="LIFT"),BA1318&gt;0),SUMIFS($BA$7:$BA$1843,$CC$7:$CC$1843,CC1318,$BD$7:$BD$1843,"&gt;"&amp;BD1318)+SUMIFS($BA$7:$BA$1843,$CC$7:$CC$1843,CC1318,$BD$7:$BD$1843,BD1318,$BT$7:$BT$1843,"&lt;="&amp;BT1318),"")</f>
        <v>15384.1373626374</v>
      </c>
      <c r="BF1318" s="58" t="n">
        <f aca="false">IF(BE1318="",0,MAX(0,MIN(1,(IF(CC1318="L1",Parameter!$H$5,IF(CC1318="L23",Parameter!$H$6+Parameter!$H$7,Parameter!$H$5+Parameter!$H$6+Parameter!$H$7))-(BE1318-BA1318))/BA1318)))</f>
        <v>1</v>
      </c>
      <c r="BG1318" s="48" t="str">
        <f aca="false">IF(AI1318&lt;=0,"",IF(CC1318="Aussen","Aussenlager",IF(CC1318="-","Nicht im Lift",IF(AN1318&gt;=1,"Lift",IF(AN1318&lt;=0,"Aussenlager","teilweise")))))</f>
        <v>Lift</v>
      </c>
      <c r="BH1318" s="48" t="str">
        <f aca="false">IF(AR1318&lt;=0,"",IF(CC1318="Aussen","Aussenlager",IF(CC1318="-","Nicht im Lift",IF(AW1318&gt;=1,"Lift",IF(AW1318&lt;=0,"Aussenlager","teilweise")))))</f>
        <v>Lift</v>
      </c>
      <c r="BI1318" s="48" t="str">
        <f aca="false">IF(BA1318&lt;=0,"",IF(CC1318="Aussen","Aussenlager",IF(CC1318="-","Nicht im Lift",IF(BF1318&gt;=1,"Lift",IF(BF1318&lt;=0,"Aussenlager","teilweise")))))</f>
        <v>Lift</v>
      </c>
      <c r="BJ1318" s="48" t="str">
        <f aca="false">IF(A1318="","",IF(BS1318=1,"Neu; ","")&amp;IF(AND(BS1318=0,BN1318&lt;0),"negativer Bestand (Export "&amp;BN1318&amp;"); ","")&amp;IF(J1318&lt;=0,"Kein Verbrauch; ","")&amp;IF(CL1318&gt;0,"Lift "&amp;W1318&amp;" lt. Liftbericht (Fach "&amp;X1318&amp;" Stk); ",IF(BX1318=1,"Gebinde geschätzt ("&amp;T1318&amp;"); ",IF(BW1318=1,"Lose – Tablare geschätzt; ","")))&amp;IF(H1318&gt;AT1318,"Überbestand "&amp;ROUND(H1318-AT1318,0)&amp;" Stk / CHF "&amp;ROUND((H1318-AT1318)*G1318,0)&amp;"; ","")&amp;IF(AND(CE1318=1,CF1318&lt;CG1318),"MAX &lt; MB+LG; ","")&amp;IF(AND(CK1318&gt;0,CJ1318*10&gt;CK1318),"zu hoch für Tablar; ","")&amp;IF(AND(BS1318=0,OR(CE1318=1,AA1318&lt;&gt;"",U1318&lt;&gt;"",V1318&lt;&gt;"",AB1318&lt;&gt;"")),"manuell übersteuert; ","")&amp;IF(AND(BW1318=0,R1318=0),"Gebinde unbekannt / Stellmass fehlt; ","")&amp;IF(AND(BW1318=0,N(V1318)&lt;=0,N(Q1318)&lt;=0),"Menge pro Gebinde fehlt (Ist = 1 Gebinde); ","")&amp;BR1318)</f>
        <v>negativer Bestand (Export -7); </v>
      </c>
      <c r="BK1318" s="48"/>
      <c r="BL1318" s="48"/>
      <c r="BM1318" s="55"/>
      <c r="BN1318" s="50" t="n">
        <v>-7</v>
      </c>
      <c r="BO1318" s="50" t="n">
        <v>16</v>
      </c>
      <c r="BP1318" s="49" t="n">
        <v>-1388.67000000001</v>
      </c>
      <c r="BQ1318" s="50" t="n">
        <v>24</v>
      </c>
      <c r="BR1318" s="48"/>
      <c r="BS1318" s="53" t="n">
        <v>0</v>
      </c>
      <c r="BT1318" s="53" t="n">
        <v>1318</v>
      </c>
      <c r="BU1318" s="48" t="str">
        <f aca="false">IF(U1318&lt;&gt;"",UPPER(TRIM(U1318)),IF(BX1318=1,UPPER(VLOOKUP(T1318,Parameter!$I$27:$K$29,2,0)),IF(P1318="","LOSE",P1318)))</f>
        <v>S71</v>
      </c>
      <c r="BV1318" s="50" t="n">
        <f aca="false">IF(BU1318="LOSE",1,IF(N(V1318)&gt;0,V1318,IF(BX1318=1,MAX(1,N(VLOOKUP(T1318,Parameter!$I$27:$K$29,3,0)),H1318,N(N1318)),IF(N(Q1318)&gt;0,Q1318,MAX(1,H1318)))))</f>
        <v>9</v>
      </c>
      <c r="BW1318" s="53" t="n">
        <f aca="false">IF(BU1318="LOSE",1,0)</f>
        <v>0</v>
      </c>
      <c r="BX1318" s="53" t="n">
        <f aca="false">IF(AND(U1318="",OR(P1318="",P1318="LOSE"),T1318&lt;&gt;"",N(S1318)&lt;=0,ISNUMBER(MATCH(T1318,Parameter!$I$27:$I$29,0))),1,0)</f>
        <v>0</v>
      </c>
      <c r="BY1318" s="53" t="n">
        <f aca="false">IF(CL1318&gt;0,INDEX(Parameter!$H$5:$H$7,W1318)/INDEX(Parameter!$E$5:$E$7,W1318),IF(AND(BW1318=0,N(IFERROR(VLOOKUP(BU1318,'Gebinde-Kategorie'!$A$5:$N$45,14,0),0))&gt;0),VLOOKUP(BU1318,'Gebinde-Kategorie'!$A$5:$N$45,14,0)*10+Parameter!$M$23,Parameter!$M$24))</f>
        <v>235</v>
      </c>
      <c r="BZ1318" s="48" t="n">
        <f aca="false">IF(AND(Parameter!$B$19="Ja",E1318&lt;&gt;"",ISNUMBER(MATCH(E1318,Parameter!$I$35:$I$52,0))),VLOOKUP(E1318,Parameter!$I$35:$J$52,2,0),IFERROR(VLOOKUP(D1318,Parameter!$A$35:$C$64,2,0),"Nein"))</f>
        <v>1</v>
      </c>
      <c r="CA1318" s="52" t="n">
        <f aca="false">IF(BW1318=0,0,IF(N(S1318)&gt;0,S1318,IFERROR(VLOOKUP(D1318,Parameter!$A$35:$C$64,3,0)+0,0)))</f>
        <v>0</v>
      </c>
      <c r="CB1318" s="48" t="n">
        <f aca="false">IF(AA1318&lt;&gt;"",AA1318,Z1318)</f>
        <v>1</v>
      </c>
      <c r="CC1318" s="48" t="str">
        <f aca="false">IF(OR(CB1318=1,CB1318=2,CB1318=3),IF(Parameter!$E$27="Ja","LIFT",IF(CB1318=1,"L1","L23")),IF(CB1318="Aussen","Aussen","-"))</f>
        <v>LIFT</v>
      </c>
      <c r="CD1318" s="59" t="n">
        <f aca="false">IF(N(AB1318)&gt;0,AB1318,0)</f>
        <v>0</v>
      </c>
      <c r="CE1318" s="53" t="n">
        <f aca="false">IF(ISNUMBER(AE1318),1,0)</f>
        <v>0</v>
      </c>
      <c r="CF1318" s="50" t="n">
        <f aca="false">N(AE1318)</f>
        <v>0</v>
      </c>
      <c r="CG1318" s="50" t="n">
        <f aca="false">N(M1318)+N(N1318)</f>
        <v>15</v>
      </c>
      <c r="CH1318" s="50" t="n">
        <f aca="false">ROUNDUP(H1318/BV1318,0)</f>
        <v>1</v>
      </c>
      <c r="CI1318" s="50" t="n">
        <f aca="false">ROUNDUP(CF1318/BV1318,0)</f>
        <v>0</v>
      </c>
      <c r="CJ1318" s="53" t="n">
        <f aca="false">IF(BW1318=1,0,IFERROR(VLOOKUP(BU1318,'Gebinde-Kategorie'!$A$5:$N$45,5,0)+0,0))</f>
        <v>20</v>
      </c>
      <c r="CK1318" s="53" t="n">
        <f aca="false">IFERROR(IF(OR(CB1318=1,CB1318=2,CB1318=3),N(INDEX(Parameter!$I$5:$I$7,CB1318)),0),0)</f>
        <v>0</v>
      </c>
      <c r="CL1318" s="52" t="n">
        <f aca="false">IF(AND(Parameter!$B$21="Ja",ISNUMBER(W1318),N(X1318)&gt;0),IFERROR(N(INDEX(Parameter!$L$5:$L$7,W1318))*INDEX(Parameter!$E$5:$E$7,W1318)*X1318/SUMIFS($X$7:$X$1843,$W$7:$W$1843,W1318),0),0)</f>
        <v>0</v>
      </c>
    </row>
    <row r="1319" customFormat="false" ht="15" hidden="false" customHeight="false" outlineLevel="0" collapsed="false">
      <c r="A1319" s="48" t="s">
        <v>2345</v>
      </c>
      <c r="B1319" s="48" t="s">
        <v>2346</v>
      </c>
      <c r="C1319" s="48" t="s">
        <v>168</v>
      </c>
      <c r="D1319" s="48" t="s">
        <v>177</v>
      </c>
      <c r="E1319" s="48" t="s">
        <v>469</v>
      </c>
      <c r="F1319" s="48" t="s">
        <v>222</v>
      </c>
      <c r="G1319" s="49" t="n">
        <v>701.08</v>
      </c>
      <c r="H1319" s="50" t="n">
        <f aca="false">MAX(0,IF(AND(Parameter!$B$21="Ja",ISNUMBER(Y1319)),Y1319,IF(Parameter!$B$20="Jahresanfang 2025 + Export",BO1319+BN1319,BN1319)))</f>
        <v>0</v>
      </c>
      <c r="I1319" s="50" t="n">
        <f aca="false">H1319*G1319</f>
        <v>0</v>
      </c>
      <c r="J1319" s="50" t="n">
        <f aca="false">BQ1319*Parameter!$B$18</f>
        <v>2</v>
      </c>
      <c r="K1319" s="51" t="n">
        <v>3</v>
      </c>
      <c r="L1319" s="52" t="n">
        <v>0.666666666666667</v>
      </c>
      <c r="M1319" s="50" t="n">
        <v>0</v>
      </c>
      <c r="N1319" s="50" t="n">
        <v>1</v>
      </c>
      <c r="O1319" s="53" t="n">
        <v>14</v>
      </c>
      <c r="P1319" s="48" t="s">
        <v>172</v>
      </c>
      <c r="Q1319" s="50"/>
      <c r="R1319" s="53" t="n">
        <f aca="false">IF(BW1319=1,0,IFERROR(VLOOKUP(BU1319,'Gebinde-Kategorie'!$A$5:$N$45,13,0)+0,0))</f>
        <v>4</v>
      </c>
      <c r="S1319" s="54"/>
      <c r="T1319" s="55" t="s">
        <v>193</v>
      </c>
      <c r="U1319" s="55"/>
      <c r="V1319" s="55"/>
      <c r="W1319" s="48"/>
      <c r="X1319" s="50"/>
      <c r="Y1319" s="50"/>
      <c r="Z1319" s="48" t="str">
        <f aca="false">IF(A1319="","",IF(AND(Parameter!$B$21="Ja",ISNUMBER(W1319)),W1319,IF(BZ1319="2+3",IF(ISNUMBER(SEARCH("grosser Artikel",BR1319)),2,IFERROR(VLOOKUP(BU1319,Parameter!$F$35:$G$64,2,0),2)),IF(OR(BZ1319="Nein",BZ1319=""),"-",BZ1319))))</f>
        <v>-</v>
      </c>
      <c r="AA1319" s="55"/>
      <c r="AB1319" s="56"/>
      <c r="AC1319" s="50" t="n">
        <f aca="false">AT1319</f>
        <v>2</v>
      </c>
      <c r="AD1319" s="50" t="n">
        <f aca="false">MAX(AT1319,H1319)</f>
        <v>2</v>
      </c>
      <c r="AE1319" s="57"/>
      <c r="AF1319" s="50" t="n">
        <f aca="false">IF(LEFT(Cockpit!$C$5,1)="A",H1319,IF(CE1319=1,CF1319,IF(LEFT(Cockpit!$C$5,1)="B",AK1319,MAX(AK1319,H1319))))</f>
        <v>0</v>
      </c>
      <c r="AG1319" s="50" t="n">
        <f aca="false">IF(BW1319=1,0,ROUNDUP(AF1319/BV1319,0))</f>
        <v>0</v>
      </c>
      <c r="AH1319" s="52" t="n">
        <f aca="false">IF(CL1319&gt;0,CL1319*MAX(1,AF1319/X1319),IF(BW1319=1,IF(AF1319&lt;=0,0,CA1319*MAX(1,IF(H1319&gt;0,AF1319/H1319,1))),IF(R1319&gt;0,AG1319/R1319,0))/MAX(0.1,N(Parameter!$M$21)))</f>
        <v>0</v>
      </c>
      <c r="AI1319" s="50" t="n">
        <f aca="false">AH1319*BY1319</f>
        <v>0</v>
      </c>
      <c r="AJ1319" s="50" t="n">
        <f aca="false">AF1319*G1319</f>
        <v>0</v>
      </c>
      <c r="AK1319" s="50" t="n">
        <f aca="false">ROUNDUP(MAX(J1319/IF(CD1319&gt;0,CD1319,MAX(0.1,N(Cockpit!$C$6))),CG1319)/BV1319,0)*BV1319</f>
        <v>2</v>
      </c>
      <c r="AL1319" s="51" t="n">
        <f aca="false">IF(AI1319&gt;0,J1319/AI1319,-1)</f>
        <v>-1</v>
      </c>
      <c r="AM1319" s="51" t="str">
        <f aca="false">IF(AND(OR(CC1319="L1",CC1319="L23",CC1319="LIFT"),AI1319&gt;0),SUMIFS($AI$7:$AI$1843,$CC$7:$CC$1843,CC1319,$AL$7:$AL$1843,"&gt;"&amp;AL1319)+SUMIFS($AI$7:$AI$1843,$CC$7:$CC$1843,CC1319,$AL$7:$AL$1843,AL1319,$BT$7:$BT$1843,"&lt;="&amp;BT1319),"")</f>
        <v/>
      </c>
      <c r="AN1319" s="58" t="n">
        <f aca="false">IF(AM1319="",0,MAX(0,MIN(1,(IF(CC1319="L1",Parameter!$H$5,IF(CC1319="L23",Parameter!$H$6+Parameter!$H$7,Parameter!$H$5+Parameter!$H$6+Parameter!$H$7))-(AM1319-AI1319))/AI1319)))</f>
        <v>0</v>
      </c>
      <c r="AO1319" s="50" t="n">
        <f aca="false">IF(LEFT(Cockpit!$I$5,1)="A",H1319,IF(CE1319=1,CF1319,IF(LEFT(Cockpit!$I$5,1)="B",AT1319,MAX(AT1319,H1319))))</f>
        <v>2</v>
      </c>
      <c r="AP1319" s="50" t="n">
        <f aca="false">IF(BW1319=1,0,ROUNDUP(AO1319/BV1319,0))</f>
        <v>1</v>
      </c>
      <c r="AQ1319" s="52" t="n">
        <f aca="false">IF(CL1319&gt;0,CL1319*MAX(1,AO1319/X1319),IF(BW1319=1,IF(AO1319&lt;=0,0,CA1319*MAX(1,IF(H1319&gt;0,AO1319/H1319,1))),IF(R1319&gt;0,AP1319/R1319,0))/MAX(0.1,N(Parameter!$M$21)))</f>
        <v>0.25</v>
      </c>
      <c r="AR1319" s="50" t="n">
        <f aca="false">AQ1319*BY1319</f>
        <v>58.75</v>
      </c>
      <c r="AS1319" s="50" t="n">
        <f aca="false">AO1319*G1319</f>
        <v>1402.16</v>
      </c>
      <c r="AT1319" s="50" t="n">
        <f aca="false">ROUNDUP(MAX(J1319/IF(CD1319&gt;0,CD1319,MAX(0.1,N(Cockpit!$I$6))),CG1319)/BV1319,0)*BV1319</f>
        <v>2</v>
      </c>
      <c r="AU1319" s="51" t="n">
        <f aca="false">IF(AR1319&gt;0,J1319/AR1319,-1)</f>
        <v>0.0340425531914894</v>
      </c>
      <c r="AV1319" s="51" t="str">
        <f aca="false">IF(AND(OR(CC1319="L1",CC1319="L23",CC1319="LIFT"),AR1319&gt;0),SUMIFS($AR$7:$AR$1843,$CC$7:$CC$1843,CC1319,$AU$7:$AU$1843,"&gt;"&amp;AU1319)+SUMIFS($AR$7:$AR$1843,$CC$7:$CC$1843,CC1319,$AU$7:$AU$1843,AU1319,$BT$7:$BT$1843,"&lt;="&amp;BT1319),"")</f>
        <v/>
      </c>
      <c r="AW1319" s="58" t="n">
        <f aca="false">IF(AV1319="",0,MAX(0,MIN(1,(IF(CC1319="L1",Parameter!$H$5,IF(CC1319="L23",Parameter!$H$6+Parameter!$H$7,Parameter!$H$5+Parameter!$H$6+Parameter!$H$7))-(AV1319-AR1319))/AR1319)))</f>
        <v>0</v>
      </c>
      <c r="AX1319" s="50" t="n">
        <f aca="false">IF(LEFT(Cockpit!$O$5,1)="A",H1319,IF(CE1319=1,CF1319,IF(LEFT(Cockpit!$O$5,1)="B",BC1319,MAX(BC1319,H1319))))</f>
        <v>2</v>
      </c>
      <c r="AY1319" s="50" t="n">
        <f aca="false">IF(BW1319=1,0,ROUNDUP(AX1319/BV1319,0))</f>
        <v>1</v>
      </c>
      <c r="AZ1319" s="52" t="n">
        <f aca="false">IF(CL1319&gt;0,CL1319*MAX(1,AX1319/X1319),IF(BW1319=1,IF(AX1319&lt;=0,0,CA1319*MAX(1,IF(H1319&gt;0,AX1319/H1319,1))),IF(R1319&gt;0,AY1319/R1319,0))/MAX(0.1,N(Parameter!$M$21)))</f>
        <v>0.25</v>
      </c>
      <c r="BA1319" s="50" t="n">
        <f aca="false">AZ1319*BY1319</f>
        <v>58.75</v>
      </c>
      <c r="BB1319" s="50" t="n">
        <f aca="false">AX1319*G1319</f>
        <v>1402.16</v>
      </c>
      <c r="BC1319" s="50" t="n">
        <f aca="false">ROUNDUP(MAX(J1319/IF(CD1319&gt;0,CD1319,MAX(0.1,N(Cockpit!$O$6))),CG1319)/BV1319,0)*BV1319</f>
        <v>2</v>
      </c>
      <c r="BD1319" s="51" t="n">
        <f aca="false">IF(BA1319&gt;0,J1319/BA1319,-1)</f>
        <v>0.0340425531914894</v>
      </c>
      <c r="BE1319" s="51" t="str">
        <f aca="false">IF(AND(OR(CC1319="L1",CC1319="L23",CC1319="LIFT"),BA1319&gt;0),SUMIFS($BA$7:$BA$1843,$CC$7:$CC$1843,CC1319,$BD$7:$BD$1843,"&gt;"&amp;BD1319)+SUMIFS($BA$7:$BA$1843,$CC$7:$CC$1843,CC1319,$BD$7:$BD$1843,BD1319,$BT$7:$BT$1843,"&lt;="&amp;BT1319),"")</f>
        <v/>
      </c>
      <c r="BF1319" s="58" t="n">
        <f aca="false">IF(BE1319="",0,MAX(0,MIN(1,(IF(CC1319="L1",Parameter!$H$5,IF(CC1319="L23",Parameter!$H$6+Parameter!$H$7,Parameter!$H$5+Parameter!$H$6+Parameter!$H$7))-(BE1319-BA1319))/BA1319)))</f>
        <v>0</v>
      </c>
      <c r="BG1319" s="48" t="str">
        <f aca="false">IF(AI1319&lt;=0,"",IF(CC1319="Aussen","Aussenlager",IF(CC1319="-","Nicht im Lift",IF(AN1319&gt;=1,"Lift",IF(AN1319&lt;=0,"Aussenlager","teilweise")))))</f>
        <v/>
      </c>
      <c r="BH1319" s="48" t="str">
        <f aca="false">IF(AR1319&lt;=0,"",IF(CC1319="Aussen","Aussenlager",IF(CC1319="-","Nicht im Lift",IF(AW1319&gt;=1,"Lift",IF(AW1319&lt;=0,"Aussenlager","teilweise")))))</f>
        <v>Nicht im Lift</v>
      </c>
      <c r="BI1319" s="48" t="str">
        <f aca="false">IF(BA1319&lt;=0,"",IF(CC1319="Aussen","Aussenlager",IF(CC1319="-","Nicht im Lift",IF(BF1319&gt;=1,"Lift",IF(BF1319&lt;=0,"Aussenlager","teilweise")))))</f>
        <v>Nicht im Lift</v>
      </c>
      <c r="BJ1319" s="48" t="str">
        <f aca="false">IF(A1319="","",IF(BS1319=1,"Neu; ","")&amp;IF(AND(BS1319=0,BN1319&lt;0),"negativer Bestand (Export "&amp;BN1319&amp;"); ","")&amp;IF(J1319&lt;=0,"Kein Verbrauch; ","")&amp;IF(CL1319&gt;0,"Lift "&amp;W1319&amp;" lt. Liftbericht (Fach "&amp;X1319&amp;" Stk); ",IF(BX1319=1,"Gebinde geschätzt ("&amp;T1319&amp;"); ",IF(BW1319=1,"Lose – Tablare geschätzt; ","")))&amp;IF(H1319&gt;AT1319,"Überbestand "&amp;ROUND(H1319-AT1319,0)&amp;" Stk / CHF "&amp;ROUND((H1319-AT1319)*G1319,0)&amp;"; ","")&amp;IF(AND(CE1319=1,CF1319&lt;CG1319),"MAX &lt; MB+LG; ","")&amp;IF(AND(CK1319&gt;0,CJ1319*10&gt;CK1319),"zu hoch für Tablar; ","")&amp;IF(AND(BS1319=0,OR(CE1319=1,AA1319&lt;&gt;"",U1319&lt;&gt;"",V1319&lt;&gt;"",AB1319&lt;&gt;"")),"manuell übersteuert; ","")&amp;IF(AND(BW1319=0,R1319=0),"Gebinde unbekannt / Stellmass fehlt; ","")&amp;IF(AND(BW1319=0,N(V1319)&lt;=0,N(Q1319)&lt;=0),"Menge pro Gebinde fehlt (Ist = 1 Gebinde); ","")&amp;BR1319)</f>
        <v>negativer Bestand (Export -2); Gebinde geschätzt (Gross); Menge pro Gebinde fehlt (Ist = 1 Gebinde); </v>
      </c>
      <c r="BK1319" s="48"/>
      <c r="BL1319" s="48"/>
      <c r="BM1319" s="55"/>
      <c r="BN1319" s="50" t="n">
        <v>-2</v>
      </c>
      <c r="BO1319" s="50" t="n">
        <v>2</v>
      </c>
      <c r="BP1319" s="49" t="n">
        <v>-1402.16</v>
      </c>
      <c r="BQ1319" s="50" t="n">
        <v>2</v>
      </c>
      <c r="BR1319" s="48"/>
      <c r="BS1319" s="53" t="n">
        <v>0</v>
      </c>
      <c r="BT1319" s="53" t="n">
        <v>1319</v>
      </c>
      <c r="BU1319" s="48" t="str">
        <f aca="false">IF(U1319&lt;&gt;"",UPPER(TRIM(U1319)),IF(BX1319=1,UPPER(VLOOKUP(T1319,Parameter!$I$27:$K$29,2,0)),IF(P1319="","LOSE",P1319)))</f>
        <v>S81</v>
      </c>
      <c r="BV1319" s="50" t="n">
        <f aca="false">IF(BU1319="LOSE",1,IF(N(V1319)&gt;0,V1319,IF(BX1319=1,MAX(1,N(VLOOKUP(T1319,Parameter!$I$27:$K$29,3,0)),H1319,N(N1319)),IF(N(Q1319)&gt;0,Q1319,MAX(1,H1319)))))</f>
        <v>2</v>
      </c>
      <c r="BW1319" s="53" t="n">
        <f aca="false">IF(BU1319="LOSE",1,0)</f>
        <v>0</v>
      </c>
      <c r="BX1319" s="53" t="n">
        <f aca="false">IF(AND(U1319="",OR(P1319="",P1319="LOSE"),T1319&lt;&gt;"",N(S1319)&lt;=0,ISNUMBER(MATCH(T1319,Parameter!$I$27:$I$29,0))),1,0)</f>
        <v>1</v>
      </c>
      <c r="BY1319" s="53" t="n">
        <f aca="false">IF(CL1319&gt;0,INDEX(Parameter!$H$5:$H$7,W1319)/INDEX(Parameter!$E$5:$E$7,W1319),IF(AND(BW1319=0,N(IFERROR(VLOOKUP(BU1319,'Gebinde-Kategorie'!$A$5:$N$45,14,0),0))&gt;0),VLOOKUP(BU1319,'Gebinde-Kategorie'!$A$5:$N$45,14,0)*10+Parameter!$M$23,Parameter!$M$24))</f>
        <v>235</v>
      </c>
      <c r="BZ1319" s="48" t="str">
        <f aca="false">IF(AND(Parameter!$B$19="Ja",E1319&lt;&gt;"",ISNUMBER(MATCH(E1319,Parameter!$I$35:$I$52,0))),VLOOKUP(E1319,Parameter!$I$35:$J$52,2,0),IFERROR(VLOOKUP(D1319,Parameter!$A$35:$C$64,2,0),"Nein"))</f>
        <v>Nein</v>
      </c>
      <c r="CA1319" s="52" t="n">
        <f aca="false">IF(BW1319=0,0,IF(N(S1319)&gt;0,S1319,IFERROR(VLOOKUP(D1319,Parameter!$A$35:$C$64,3,0)+0,0)))</f>
        <v>0</v>
      </c>
      <c r="CB1319" s="48" t="str">
        <f aca="false">IF(AA1319&lt;&gt;"",AA1319,Z1319)</f>
        <v>-</v>
      </c>
      <c r="CC1319" s="48" t="str">
        <f aca="false">IF(OR(CB1319=1,CB1319=2,CB1319=3),IF(Parameter!$E$27="Ja","LIFT",IF(CB1319=1,"L1","L23")),IF(CB1319="Aussen","Aussen","-"))</f>
        <v>-</v>
      </c>
      <c r="CD1319" s="59" t="n">
        <f aca="false">IF(N(AB1319)&gt;0,AB1319,0)</f>
        <v>0</v>
      </c>
      <c r="CE1319" s="53" t="n">
        <f aca="false">IF(ISNUMBER(AE1319),1,0)</f>
        <v>0</v>
      </c>
      <c r="CF1319" s="50" t="n">
        <f aca="false">N(AE1319)</f>
        <v>0</v>
      </c>
      <c r="CG1319" s="50" t="n">
        <f aca="false">N(M1319)+N(N1319)</f>
        <v>1</v>
      </c>
      <c r="CH1319" s="50" t="n">
        <f aca="false">ROUNDUP(H1319/BV1319,0)</f>
        <v>0</v>
      </c>
      <c r="CI1319" s="50" t="n">
        <f aca="false">ROUNDUP(CF1319/BV1319,0)</f>
        <v>0</v>
      </c>
      <c r="CJ1319" s="53" t="n">
        <f aca="false">IF(BW1319=1,0,IFERROR(VLOOKUP(BU1319,'Gebinde-Kategorie'!$A$5:$N$45,5,0)+0,0))</f>
        <v>20</v>
      </c>
      <c r="CK1319" s="53" t="n">
        <f aca="false">IFERROR(IF(OR(CB1319=1,CB1319=2,CB1319=3),N(INDEX(Parameter!$I$5:$I$7,CB1319)),0),0)</f>
        <v>0</v>
      </c>
      <c r="CL1319" s="52" t="n">
        <f aca="false">IF(AND(Parameter!$B$21="Ja",ISNUMBER(W1319),N(X1319)&gt;0),IFERROR(N(INDEX(Parameter!$L$5:$L$7,W1319))*INDEX(Parameter!$E$5:$E$7,W1319)*X1319/SUMIFS($X$7:$X$1843,$W$7:$W$1843,W1319),0),0)</f>
        <v>0</v>
      </c>
    </row>
    <row r="1320" customFormat="false" ht="15" hidden="false" customHeight="false" outlineLevel="0" collapsed="false">
      <c r="A1320" s="48" t="s">
        <v>2347</v>
      </c>
      <c r="B1320" s="48" t="s">
        <v>2348</v>
      </c>
      <c r="C1320" s="48" t="s">
        <v>168</v>
      </c>
      <c r="D1320" s="48" t="s">
        <v>188</v>
      </c>
      <c r="E1320" s="48" t="s">
        <v>189</v>
      </c>
      <c r="F1320" s="48" t="s">
        <v>222</v>
      </c>
      <c r="G1320" s="49" t="n">
        <v>564.84</v>
      </c>
      <c r="H1320" s="50" t="n">
        <f aca="false">MAX(0,IF(AND(Parameter!$B$21="Ja",ISNUMBER(Y1320)),Y1320,IF(Parameter!$B$20="Jahresanfang 2025 + Export",BO1320+BN1320,BN1320)))</f>
        <v>1</v>
      </c>
      <c r="I1320" s="50" t="n">
        <f aca="false">H1320*G1320</f>
        <v>564.84</v>
      </c>
      <c r="J1320" s="50" t="n">
        <f aca="false">BQ1320*Parameter!$B$18</f>
        <v>15</v>
      </c>
      <c r="K1320" s="51" t="n">
        <v>3.5</v>
      </c>
      <c r="L1320" s="52" t="n">
        <v>4.28571428571429</v>
      </c>
      <c r="M1320" s="50" t="n">
        <v>0</v>
      </c>
      <c r="N1320" s="50" t="n">
        <v>10</v>
      </c>
      <c r="O1320" s="53" t="n">
        <v>21</v>
      </c>
      <c r="P1320" s="48" t="s">
        <v>230</v>
      </c>
      <c r="Q1320" s="50" t="n">
        <v>8</v>
      </c>
      <c r="R1320" s="53" t="n">
        <f aca="false">IF(BW1320=1,0,IFERROR(VLOOKUP(BU1320,'Gebinde-Kategorie'!$A$5:$N$45,13,0)+0,0))</f>
        <v>12</v>
      </c>
      <c r="S1320" s="54"/>
      <c r="T1320" s="55"/>
      <c r="U1320" s="55"/>
      <c r="V1320" s="55"/>
      <c r="W1320" s="48"/>
      <c r="X1320" s="50"/>
      <c r="Y1320" s="50"/>
      <c r="Z1320" s="48" t="n">
        <f aca="false">IF(A1320="","",IF(AND(Parameter!$B$21="Ja",ISNUMBER(W1320)),W1320,IF(BZ1320="2+3",IF(ISNUMBER(SEARCH("grosser Artikel",BR1320)),2,IFERROR(VLOOKUP(BU1320,Parameter!$F$35:$G$64,2,0),2)),IF(OR(BZ1320="Nein",BZ1320=""),"-",BZ1320))))</f>
        <v>2</v>
      </c>
      <c r="AA1320" s="55"/>
      <c r="AB1320" s="56"/>
      <c r="AC1320" s="50" t="n">
        <f aca="false">AT1320</f>
        <v>16</v>
      </c>
      <c r="AD1320" s="50" t="n">
        <f aca="false">MAX(AT1320,H1320)</f>
        <v>16</v>
      </c>
      <c r="AE1320" s="57"/>
      <c r="AF1320" s="50" t="n">
        <f aca="false">IF(LEFT(Cockpit!$C$5,1)="A",H1320,IF(CE1320=1,CF1320,IF(LEFT(Cockpit!$C$5,1)="B",AK1320,MAX(AK1320,H1320))))</f>
        <v>1</v>
      </c>
      <c r="AG1320" s="50" t="n">
        <f aca="false">IF(BW1320=1,0,ROUNDUP(AF1320/BV1320,0))</f>
        <v>1</v>
      </c>
      <c r="AH1320" s="52" t="n">
        <f aca="false">IF(CL1320&gt;0,CL1320*MAX(1,AF1320/X1320),IF(BW1320=1,IF(AF1320&lt;=0,0,CA1320*MAX(1,IF(H1320&gt;0,AF1320/H1320,1))),IF(R1320&gt;0,AG1320/R1320,0))/MAX(0.1,N(Parameter!$M$21)))</f>
        <v>0.0833333333333333</v>
      </c>
      <c r="AI1320" s="50" t="n">
        <f aca="false">AH1320*BY1320</f>
        <v>28.75</v>
      </c>
      <c r="AJ1320" s="50" t="n">
        <f aca="false">AF1320*G1320</f>
        <v>564.84</v>
      </c>
      <c r="AK1320" s="50" t="n">
        <f aca="false">ROUNDUP(MAX(J1320/IF(CD1320&gt;0,CD1320,MAX(0.1,N(Cockpit!$C$6))),CG1320)/BV1320,0)*BV1320</f>
        <v>16</v>
      </c>
      <c r="AL1320" s="51" t="n">
        <f aca="false">IF(AI1320&gt;0,J1320/AI1320,-1)</f>
        <v>0.521739130434783</v>
      </c>
      <c r="AM1320" s="51" t="n">
        <f aca="false">IF(AND(OR(CC1320="L1",CC1320="L23",CC1320="LIFT"),AI1320&gt;0),SUMIFS($AI$7:$AI$1843,$CC$7:$CC$1843,CC1320,$AL$7:$AL$1843,"&gt;"&amp;AL1320)+SUMIFS($AI$7:$AI$1843,$CC$7:$CC$1843,CC1320,$AL$7:$AL$1843,AL1320,$BT$7:$BT$1843,"&lt;="&amp;BT1320),"")</f>
        <v>9528.95922062871</v>
      </c>
      <c r="AN1320" s="58" t="n">
        <f aca="false">IF(AM1320="",0,MAX(0,MIN(1,(IF(CC1320="L1",Parameter!$H$5,IF(CC1320="L23",Parameter!$H$6+Parameter!$H$7,Parameter!$H$5+Parameter!$H$6+Parameter!$H$7))-(AM1320-AI1320))/AI1320)))</f>
        <v>1</v>
      </c>
      <c r="AO1320" s="50" t="n">
        <f aca="false">IF(LEFT(Cockpit!$I$5,1)="A",H1320,IF(CE1320=1,CF1320,IF(LEFT(Cockpit!$I$5,1)="B",AT1320,MAX(AT1320,H1320))))</f>
        <v>16</v>
      </c>
      <c r="AP1320" s="50" t="n">
        <f aca="false">IF(BW1320=1,0,ROUNDUP(AO1320/BV1320,0))</f>
        <v>2</v>
      </c>
      <c r="AQ1320" s="52" t="n">
        <f aca="false">IF(CL1320&gt;0,CL1320*MAX(1,AO1320/X1320),IF(BW1320=1,IF(AO1320&lt;=0,0,CA1320*MAX(1,IF(H1320&gt;0,AO1320/H1320,1))),IF(R1320&gt;0,AP1320/R1320,0))/MAX(0.1,N(Parameter!$M$21)))</f>
        <v>0.166666666666667</v>
      </c>
      <c r="AR1320" s="50" t="n">
        <f aca="false">AQ1320*BY1320</f>
        <v>57.5</v>
      </c>
      <c r="AS1320" s="50" t="n">
        <f aca="false">AO1320*G1320</f>
        <v>9037.44</v>
      </c>
      <c r="AT1320" s="50" t="n">
        <f aca="false">ROUNDUP(MAX(J1320/IF(CD1320&gt;0,CD1320,MAX(0.1,N(Cockpit!$I$6))),CG1320)/BV1320,0)*BV1320</f>
        <v>16</v>
      </c>
      <c r="AU1320" s="51" t="n">
        <f aca="false">IF(AR1320&gt;0,J1320/AR1320,-1)</f>
        <v>0.260869565217391</v>
      </c>
      <c r="AV1320" s="51" t="n">
        <f aca="false">IF(AND(OR(CC1320="L1",CC1320="L23",CC1320="LIFT"),AR1320&gt;0),SUMIFS($AR$7:$AR$1843,$CC$7:$CC$1843,CC1320,$AU$7:$AU$1843,"&gt;"&amp;AU1320)+SUMIFS($AR$7:$AR$1843,$CC$7:$CC$1843,CC1320,$AU$7:$AU$1843,AU1320,$BT$7:$BT$1843,"&lt;="&amp;BT1320),"")</f>
        <v>17669.3017399267</v>
      </c>
      <c r="AW1320" s="58" t="n">
        <f aca="false">IF(AV1320="",0,MAX(0,MIN(1,(IF(CC1320="L1",Parameter!$H$5,IF(CC1320="L23",Parameter!$H$6+Parameter!$H$7,Parameter!$H$5+Parameter!$H$6+Parameter!$H$7))-(AV1320-AR1320))/AR1320)))</f>
        <v>1</v>
      </c>
      <c r="AX1320" s="50" t="n">
        <f aca="false">IF(LEFT(Cockpit!$O$5,1)="A",H1320,IF(CE1320=1,CF1320,IF(LEFT(Cockpit!$O$5,1)="B",BC1320,MAX(BC1320,H1320))))</f>
        <v>16</v>
      </c>
      <c r="AY1320" s="50" t="n">
        <f aca="false">IF(BW1320=1,0,ROUNDUP(AX1320/BV1320,0))</f>
        <v>2</v>
      </c>
      <c r="AZ1320" s="52" t="n">
        <f aca="false">IF(CL1320&gt;0,CL1320*MAX(1,AX1320/X1320),IF(BW1320=1,IF(AX1320&lt;=0,0,CA1320*MAX(1,IF(H1320&gt;0,AX1320/H1320,1))),IF(R1320&gt;0,AY1320/R1320,0))/MAX(0.1,N(Parameter!$M$21)))</f>
        <v>0.166666666666667</v>
      </c>
      <c r="BA1320" s="50" t="n">
        <f aca="false">AZ1320*BY1320</f>
        <v>57.5</v>
      </c>
      <c r="BB1320" s="50" t="n">
        <f aca="false">AX1320*G1320</f>
        <v>9037.44</v>
      </c>
      <c r="BC1320" s="50" t="n">
        <f aca="false">ROUNDUP(MAX(J1320/IF(CD1320&gt;0,CD1320,MAX(0.1,N(Cockpit!$O$6))),CG1320)/BV1320,0)*BV1320</f>
        <v>16</v>
      </c>
      <c r="BD1320" s="51" t="n">
        <f aca="false">IF(BA1320&gt;0,J1320/BA1320,-1)</f>
        <v>0.260869565217391</v>
      </c>
      <c r="BE1320" s="51" t="n">
        <f aca="false">IF(AND(OR(CC1320="L1",CC1320="L23",CC1320="LIFT"),BA1320&gt;0),SUMIFS($BA$7:$BA$1843,$CC$7:$CC$1843,CC1320,$BD$7:$BD$1843,"&gt;"&amp;BD1320)+SUMIFS($BA$7:$BA$1843,$CC$7:$CC$1843,CC1320,$BD$7:$BD$1843,BD1320,$BT$7:$BT$1843,"&lt;="&amp;BT1320),"")</f>
        <v>16615.7921245421</v>
      </c>
      <c r="BF1320" s="58" t="n">
        <f aca="false">IF(BE1320="",0,MAX(0,MIN(1,(IF(CC1320="L1",Parameter!$H$5,IF(CC1320="L23",Parameter!$H$6+Parameter!$H$7,Parameter!$H$5+Parameter!$H$6+Parameter!$H$7))-(BE1320-BA1320))/BA1320)))</f>
        <v>1</v>
      </c>
      <c r="BG1320" s="48" t="str">
        <f aca="false">IF(AI1320&lt;=0,"",IF(CC1320="Aussen","Aussenlager",IF(CC1320="-","Nicht im Lift",IF(AN1320&gt;=1,"Lift",IF(AN1320&lt;=0,"Aussenlager","teilweise")))))</f>
        <v>Lift</v>
      </c>
      <c r="BH1320" s="48" t="str">
        <f aca="false">IF(AR1320&lt;=0,"",IF(CC1320="Aussen","Aussenlager",IF(CC1320="-","Nicht im Lift",IF(AW1320&gt;=1,"Lift",IF(AW1320&lt;=0,"Aussenlager","teilweise")))))</f>
        <v>Lift</v>
      </c>
      <c r="BI1320" s="48" t="str">
        <f aca="false">IF(BA1320&lt;=0,"",IF(CC1320="Aussen","Aussenlager",IF(CC1320="-","Nicht im Lift",IF(BF1320&gt;=1,"Lift",IF(BF1320&lt;=0,"Aussenlager","teilweise")))))</f>
        <v>Lift</v>
      </c>
      <c r="BJ1320" s="48" t="str">
        <f aca="false">IF(A1320="","",IF(BS1320=1,"Neu; ","")&amp;IF(AND(BS1320=0,BN1320&lt;0),"negativer Bestand (Export "&amp;BN1320&amp;"); ","")&amp;IF(J1320&lt;=0,"Kein Verbrauch; ","")&amp;IF(CL1320&gt;0,"Lift "&amp;W1320&amp;" lt. Liftbericht (Fach "&amp;X1320&amp;" Stk); ",IF(BX1320=1,"Gebinde geschätzt ("&amp;T1320&amp;"); ",IF(BW1320=1,"Lose – Tablare geschätzt; ","")))&amp;IF(H1320&gt;AT1320,"Überbestand "&amp;ROUND(H1320-AT1320,0)&amp;" Stk / CHF "&amp;ROUND((H1320-AT1320)*G1320,0)&amp;"; ","")&amp;IF(AND(CE1320=1,CF1320&lt;CG1320),"MAX &lt; MB+LG; ","")&amp;IF(AND(CK1320&gt;0,CJ1320*10&gt;CK1320),"zu hoch für Tablar; ","")&amp;IF(AND(BS1320=0,OR(CE1320=1,AA1320&lt;&gt;"",U1320&lt;&gt;"",V1320&lt;&gt;"",AB1320&lt;&gt;"")),"manuell übersteuert; ","")&amp;IF(AND(BW1320=0,R1320=0),"Gebinde unbekannt / Stellmass fehlt; ","")&amp;IF(AND(BW1320=0,N(V1320)&lt;=0,N(Q1320)&lt;=0),"Menge pro Gebinde fehlt (Ist = 1 Gebinde); ","")&amp;BR1320)</f>
        <v>negativer Bestand (Export -3); </v>
      </c>
      <c r="BK1320" s="48"/>
      <c r="BL1320" s="48"/>
      <c r="BM1320" s="55"/>
      <c r="BN1320" s="50" t="n">
        <v>-3</v>
      </c>
      <c r="BO1320" s="50" t="n">
        <v>4</v>
      </c>
      <c r="BP1320" s="49" t="n">
        <v>-1424.6</v>
      </c>
      <c r="BQ1320" s="50" t="n">
        <v>15</v>
      </c>
      <c r="BR1320" s="48"/>
      <c r="BS1320" s="53" t="n">
        <v>0</v>
      </c>
      <c r="BT1320" s="53" t="n">
        <v>1320</v>
      </c>
      <c r="BU1320" s="48" t="str">
        <f aca="false">IF(U1320&lt;&gt;"",UPPER(TRIM(U1320)),IF(BX1320=1,UPPER(VLOOKUP(T1320,Parameter!$I$27:$K$29,2,0)),IF(P1320="","LOSE",P1320)))</f>
        <v>S63</v>
      </c>
      <c r="BV1320" s="50" t="n">
        <f aca="false">IF(BU1320="LOSE",1,IF(N(V1320)&gt;0,V1320,IF(BX1320=1,MAX(1,N(VLOOKUP(T1320,Parameter!$I$27:$K$29,3,0)),H1320,N(N1320)),IF(N(Q1320)&gt;0,Q1320,MAX(1,H1320)))))</f>
        <v>8</v>
      </c>
      <c r="BW1320" s="53" t="n">
        <f aca="false">IF(BU1320="LOSE",1,0)</f>
        <v>0</v>
      </c>
      <c r="BX1320" s="53" t="n">
        <f aca="false">IF(AND(U1320="",OR(P1320="",P1320="LOSE"),T1320&lt;&gt;"",N(S1320)&lt;=0,ISNUMBER(MATCH(T1320,Parameter!$I$27:$I$29,0))),1,0)</f>
        <v>0</v>
      </c>
      <c r="BY1320" s="53" t="n">
        <f aca="false">IF(CL1320&gt;0,INDEX(Parameter!$H$5:$H$7,W1320)/INDEX(Parameter!$E$5:$E$7,W1320),IF(AND(BW1320=0,N(IFERROR(VLOOKUP(BU1320,'Gebinde-Kategorie'!$A$5:$N$45,14,0),0))&gt;0),VLOOKUP(BU1320,'Gebinde-Kategorie'!$A$5:$N$45,14,0)*10+Parameter!$M$23,Parameter!$M$24))</f>
        <v>345</v>
      </c>
      <c r="BZ1320" s="48" t="str">
        <f aca="false">IF(AND(Parameter!$B$19="Ja",E1320&lt;&gt;"",ISNUMBER(MATCH(E1320,Parameter!$I$35:$I$52,0))),VLOOKUP(E1320,Parameter!$I$35:$J$52,2,0),IFERROR(VLOOKUP(D1320,Parameter!$A$35:$C$64,2,0),"Nein"))</f>
        <v>2+3</v>
      </c>
      <c r="CA1320" s="52" t="n">
        <f aca="false">IF(BW1320=0,0,IF(N(S1320)&gt;0,S1320,IFERROR(VLOOKUP(D1320,Parameter!$A$35:$C$64,3,0)+0,0)))</f>
        <v>0</v>
      </c>
      <c r="CB1320" s="48" t="n">
        <f aca="false">IF(AA1320&lt;&gt;"",AA1320,Z1320)</f>
        <v>2</v>
      </c>
      <c r="CC1320" s="48" t="str">
        <f aca="false">IF(OR(CB1320=1,CB1320=2,CB1320=3),IF(Parameter!$E$27="Ja","LIFT",IF(CB1320=1,"L1","L23")),IF(CB1320="Aussen","Aussen","-"))</f>
        <v>LIFT</v>
      </c>
      <c r="CD1320" s="59" t="n">
        <f aca="false">IF(N(AB1320)&gt;0,AB1320,0)</f>
        <v>0</v>
      </c>
      <c r="CE1320" s="53" t="n">
        <f aca="false">IF(ISNUMBER(AE1320),1,0)</f>
        <v>0</v>
      </c>
      <c r="CF1320" s="50" t="n">
        <f aca="false">N(AE1320)</f>
        <v>0</v>
      </c>
      <c r="CG1320" s="50" t="n">
        <f aca="false">N(M1320)+N(N1320)</f>
        <v>10</v>
      </c>
      <c r="CH1320" s="50" t="n">
        <f aca="false">ROUNDUP(H1320/BV1320,0)</f>
        <v>1</v>
      </c>
      <c r="CI1320" s="50" t="n">
        <f aca="false">ROUNDUP(CF1320/BV1320,0)</f>
        <v>0</v>
      </c>
      <c r="CJ1320" s="53" t="n">
        <f aca="false">IF(BW1320=1,0,IFERROR(VLOOKUP(BU1320,'Gebinde-Kategorie'!$A$5:$N$45,5,0)+0,0))</f>
        <v>31</v>
      </c>
      <c r="CK1320" s="53" t="n">
        <f aca="false">IFERROR(IF(OR(CB1320=1,CB1320=2,CB1320=3),N(INDEX(Parameter!$I$5:$I$7,CB1320)),0),0)</f>
        <v>0</v>
      </c>
      <c r="CL1320" s="52" t="n">
        <f aca="false">IF(AND(Parameter!$B$21="Ja",ISNUMBER(W1320),N(X1320)&gt;0),IFERROR(N(INDEX(Parameter!$L$5:$L$7,W1320))*INDEX(Parameter!$E$5:$E$7,W1320)*X1320/SUMIFS($X$7:$X$1843,$W$7:$W$1843,W1320),0),0)</f>
        <v>0</v>
      </c>
    </row>
    <row r="1321" customFormat="false" ht="15" hidden="false" customHeight="false" outlineLevel="0" collapsed="false">
      <c r="A1321" s="48" t="s">
        <v>2349</v>
      </c>
      <c r="B1321" s="48" t="s">
        <v>584</v>
      </c>
      <c r="C1321" s="48" t="s">
        <v>168</v>
      </c>
      <c r="D1321" s="48" t="s">
        <v>177</v>
      </c>
      <c r="E1321" s="48" t="s">
        <v>170</v>
      </c>
      <c r="F1321" s="48" t="s">
        <v>222</v>
      </c>
      <c r="G1321" s="49" t="n">
        <v>189.21</v>
      </c>
      <c r="H1321" s="50" t="n">
        <f aca="false">MAX(0,IF(AND(Parameter!$B$21="Ja",ISNUMBER(Y1321)),Y1321,IF(Parameter!$B$20="Jahresanfang 2025 + Export",BO1321+BN1321,BN1321)))</f>
        <v>8</v>
      </c>
      <c r="I1321" s="50" t="n">
        <f aca="false">H1321*G1321</f>
        <v>1513.68</v>
      </c>
      <c r="J1321" s="50" t="n">
        <f aca="false">BQ1321*Parameter!$B$18</f>
        <v>25</v>
      </c>
      <c r="K1321" s="51" t="n">
        <v>12</v>
      </c>
      <c r="L1321" s="52" t="n">
        <v>2.08333333333333</v>
      </c>
      <c r="M1321" s="50" t="n">
        <v>2</v>
      </c>
      <c r="N1321" s="50" t="n">
        <v>10</v>
      </c>
      <c r="O1321" s="53" t="n">
        <v>21</v>
      </c>
      <c r="P1321" s="48" t="s">
        <v>178</v>
      </c>
      <c r="Q1321" s="50" t="n">
        <v>13</v>
      </c>
      <c r="R1321" s="53" t="n">
        <f aca="false">IF(BW1321=1,0,IFERROR(VLOOKUP(BU1321,'Gebinde-Kategorie'!$A$5:$N$45,13,0)+0,0))</f>
        <v>6</v>
      </c>
      <c r="S1321" s="54"/>
      <c r="T1321" s="55"/>
      <c r="U1321" s="55"/>
      <c r="V1321" s="55"/>
      <c r="W1321" s="48"/>
      <c r="X1321" s="50"/>
      <c r="Y1321" s="50"/>
      <c r="Z1321" s="48" t="n">
        <f aca="false">IF(A1321="","",IF(AND(Parameter!$B$21="Ja",ISNUMBER(W1321)),W1321,IF(BZ1321="2+3",IF(ISNUMBER(SEARCH("grosser Artikel",BR1321)),2,IFERROR(VLOOKUP(BU1321,Parameter!$F$35:$G$64,2,0),2)),IF(OR(BZ1321="Nein",BZ1321=""),"-",BZ1321))))</f>
        <v>1</v>
      </c>
      <c r="AA1321" s="55"/>
      <c r="AB1321" s="56"/>
      <c r="AC1321" s="50" t="n">
        <f aca="false">AT1321</f>
        <v>13</v>
      </c>
      <c r="AD1321" s="50" t="n">
        <f aca="false">MAX(AT1321,H1321)</f>
        <v>13</v>
      </c>
      <c r="AE1321" s="57"/>
      <c r="AF1321" s="50" t="n">
        <f aca="false">IF(LEFT(Cockpit!$C$5,1)="A",H1321,IF(CE1321=1,CF1321,IF(LEFT(Cockpit!$C$5,1)="B",AK1321,MAX(AK1321,H1321))))</f>
        <v>8</v>
      </c>
      <c r="AG1321" s="50" t="n">
        <f aca="false">IF(BW1321=1,0,ROUNDUP(AF1321/BV1321,0))</f>
        <v>1</v>
      </c>
      <c r="AH1321" s="52" t="n">
        <f aca="false">IF(CL1321&gt;0,CL1321*MAX(1,AF1321/X1321),IF(BW1321=1,IF(AF1321&lt;=0,0,CA1321*MAX(1,IF(H1321&gt;0,AF1321/H1321,1))),IF(R1321&gt;0,AG1321/R1321,0))/MAX(0.1,N(Parameter!$M$21)))</f>
        <v>0.166666666666667</v>
      </c>
      <c r="AI1321" s="50" t="n">
        <f aca="false">AH1321*BY1321</f>
        <v>39.1666666666667</v>
      </c>
      <c r="AJ1321" s="50" t="n">
        <f aca="false">AF1321*G1321</f>
        <v>1513.68</v>
      </c>
      <c r="AK1321" s="50" t="n">
        <f aca="false">ROUNDUP(MAX(J1321/IF(CD1321&gt;0,CD1321,MAX(0.1,N(Cockpit!$C$6))),CG1321)/BV1321,0)*BV1321</f>
        <v>13</v>
      </c>
      <c r="AL1321" s="51" t="n">
        <f aca="false">IF(AI1321&gt;0,J1321/AI1321,-1)</f>
        <v>0.638297872340426</v>
      </c>
      <c r="AM1321" s="51" t="n">
        <f aca="false">IF(AND(OR(CC1321="L1",CC1321="L23",CC1321="LIFT"),AI1321&gt;0),SUMIFS($AI$7:$AI$1843,$CC$7:$CC$1843,CC1321,$AL$7:$AL$1843,"&gt;"&amp;AL1321)+SUMIFS($AI$7:$AI$1843,$CC$7:$CC$1843,CC1321,$AL$7:$AL$1843,AL1321,$BT$7:$BT$1843,"&lt;="&amp;BT1321),"")</f>
        <v>8811.70512820513</v>
      </c>
      <c r="AN1321" s="58" t="n">
        <f aca="false">IF(AM1321="",0,MAX(0,MIN(1,(IF(CC1321="L1",Parameter!$H$5,IF(CC1321="L23",Parameter!$H$6+Parameter!$H$7,Parameter!$H$5+Parameter!$H$6+Parameter!$H$7))-(AM1321-AI1321))/AI1321)))</f>
        <v>1</v>
      </c>
      <c r="AO1321" s="50" t="n">
        <f aca="false">IF(LEFT(Cockpit!$I$5,1)="A",H1321,IF(CE1321=1,CF1321,IF(LEFT(Cockpit!$I$5,1)="B",AT1321,MAX(AT1321,H1321))))</f>
        <v>13</v>
      </c>
      <c r="AP1321" s="50" t="n">
        <f aca="false">IF(BW1321=1,0,ROUNDUP(AO1321/BV1321,0))</f>
        <v>1</v>
      </c>
      <c r="AQ1321" s="52" t="n">
        <f aca="false">IF(CL1321&gt;0,CL1321*MAX(1,AO1321/X1321),IF(BW1321=1,IF(AO1321&lt;=0,0,CA1321*MAX(1,IF(H1321&gt;0,AO1321/H1321,1))),IF(R1321&gt;0,AP1321/R1321,0))/MAX(0.1,N(Parameter!$M$21)))</f>
        <v>0.166666666666667</v>
      </c>
      <c r="AR1321" s="50" t="n">
        <f aca="false">AQ1321*BY1321</f>
        <v>39.1666666666667</v>
      </c>
      <c r="AS1321" s="50" t="n">
        <f aca="false">AO1321*G1321</f>
        <v>2459.73</v>
      </c>
      <c r="AT1321" s="50" t="n">
        <f aca="false">ROUNDUP(MAX(J1321/IF(CD1321&gt;0,CD1321,MAX(0.1,N(Cockpit!$I$6))),CG1321)/BV1321,0)*BV1321</f>
        <v>13</v>
      </c>
      <c r="AU1321" s="51" t="n">
        <f aca="false">IF(AR1321&gt;0,J1321/AR1321,-1)</f>
        <v>0.638297872340426</v>
      </c>
      <c r="AV1321" s="51" t="n">
        <f aca="false">IF(AND(OR(CC1321="L1",CC1321="L23",CC1321="LIFT"),AR1321&gt;0),SUMIFS($AR$7:$AR$1843,$CC$7:$CC$1843,CC1321,$AU$7:$AU$1843,"&gt;"&amp;AU1321)+SUMIFS($AR$7:$AR$1843,$CC$7:$CC$1843,CC1321,$AU$7:$AU$1843,AU1321,$BT$7:$BT$1843,"&lt;="&amp;BT1321),"")</f>
        <v>12273.9555860806</v>
      </c>
      <c r="AW1321" s="58" t="n">
        <f aca="false">IF(AV1321="",0,MAX(0,MIN(1,(IF(CC1321="L1",Parameter!$H$5,IF(CC1321="L23",Parameter!$H$6+Parameter!$H$7,Parameter!$H$5+Parameter!$H$6+Parameter!$H$7))-(AV1321-AR1321))/AR1321)))</f>
        <v>1</v>
      </c>
      <c r="AX1321" s="50" t="n">
        <f aca="false">IF(LEFT(Cockpit!$O$5,1)="A",H1321,IF(CE1321=1,CF1321,IF(LEFT(Cockpit!$O$5,1)="B",BC1321,MAX(BC1321,H1321))))</f>
        <v>13</v>
      </c>
      <c r="AY1321" s="50" t="n">
        <f aca="false">IF(BW1321=1,0,ROUNDUP(AX1321/BV1321,0))</f>
        <v>1</v>
      </c>
      <c r="AZ1321" s="52" t="n">
        <f aca="false">IF(CL1321&gt;0,CL1321*MAX(1,AX1321/X1321),IF(BW1321=1,IF(AX1321&lt;=0,0,CA1321*MAX(1,IF(H1321&gt;0,AX1321/H1321,1))),IF(R1321&gt;0,AY1321/R1321,0))/MAX(0.1,N(Parameter!$M$21)))</f>
        <v>0.166666666666667</v>
      </c>
      <c r="BA1321" s="50" t="n">
        <f aca="false">AZ1321*BY1321</f>
        <v>39.1666666666667</v>
      </c>
      <c r="BB1321" s="50" t="n">
        <f aca="false">AX1321*G1321</f>
        <v>2459.73</v>
      </c>
      <c r="BC1321" s="50" t="n">
        <f aca="false">ROUNDUP(MAX(J1321/IF(CD1321&gt;0,CD1321,MAX(0.1,N(Cockpit!$O$6))),CG1321)/BV1321,0)*BV1321</f>
        <v>13</v>
      </c>
      <c r="BD1321" s="51" t="n">
        <f aca="false">IF(BA1321&gt;0,J1321/BA1321,-1)</f>
        <v>0.638297872340426</v>
      </c>
      <c r="BE1321" s="51" t="n">
        <f aca="false">IF(AND(OR(CC1321="L1",CC1321="L23",CC1321="LIFT"),BA1321&gt;0),SUMIFS($BA$7:$BA$1843,$CC$7:$CC$1843,CC1321,$BD$7:$BD$1843,"&gt;"&amp;BD1321)+SUMIFS($BA$7:$BA$1843,$CC$7:$CC$1843,CC1321,$BD$7:$BD$1843,BD1321,$BT$7:$BT$1843,"&lt;="&amp;BT1321),"")</f>
        <v>11559.6126373626</v>
      </c>
      <c r="BF1321" s="58" t="n">
        <f aca="false">IF(BE1321="",0,MAX(0,MIN(1,(IF(CC1321="L1",Parameter!$H$5,IF(CC1321="L23",Parameter!$H$6+Parameter!$H$7,Parameter!$H$5+Parameter!$H$6+Parameter!$H$7))-(BE1321-BA1321))/BA1321)))</f>
        <v>1</v>
      </c>
      <c r="BG1321" s="48" t="str">
        <f aca="false">IF(AI1321&lt;=0,"",IF(CC1321="Aussen","Aussenlager",IF(CC1321="-","Nicht im Lift",IF(AN1321&gt;=1,"Lift",IF(AN1321&lt;=0,"Aussenlager","teilweise")))))</f>
        <v>Lift</v>
      </c>
      <c r="BH1321" s="48" t="str">
        <f aca="false">IF(AR1321&lt;=0,"",IF(CC1321="Aussen","Aussenlager",IF(CC1321="-","Nicht im Lift",IF(AW1321&gt;=1,"Lift",IF(AW1321&lt;=0,"Aussenlager","teilweise")))))</f>
        <v>Lift</v>
      </c>
      <c r="BI1321" s="48" t="str">
        <f aca="false">IF(BA1321&lt;=0,"",IF(CC1321="Aussen","Aussenlager",IF(CC1321="-","Nicht im Lift",IF(BF1321&gt;=1,"Lift",IF(BF1321&lt;=0,"Aussenlager","teilweise")))))</f>
        <v>Lift</v>
      </c>
      <c r="BJ1321" s="48" t="str">
        <f aca="false">IF(A1321="","",IF(BS1321=1,"Neu; ","")&amp;IF(AND(BS1321=0,BN1321&lt;0),"negativer Bestand (Export "&amp;BN1321&amp;"); ","")&amp;IF(J1321&lt;=0,"Kein Verbrauch; ","")&amp;IF(CL1321&gt;0,"Lift "&amp;W1321&amp;" lt. Liftbericht (Fach "&amp;X1321&amp;" Stk); ",IF(BX1321=1,"Gebinde geschätzt ("&amp;T1321&amp;"); ",IF(BW1321=1,"Lose – Tablare geschätzt; ","")))&amp;IF(H1321&gt;AT1321,"Überbestand "&amp;ROUND(H1321-AT1321,0)&amp;" Stk / CHF "&amp;ROUND((H1321-AT1321)*G1321,0)&amp;"; ","")&amp;IF(AND(CE1321=1,CF1321&lt;CG1321),"MAX &lt; MB+LG; ","")&amp;IF(AND(CK1321&gt;0,CJ1321*10&gt;CK1321),"zu hoch für Tablar; ","")&amp;IF(AND(BS1321=0,OR(CE1321=1,AA1321&lt;&gt;"",U1321&lt;&gt;"",V1321&lt;&gt;"",AB1321&lt;&gt;"")),"manuell übersteuert; ","")&amp;IF(AND(BW1321=0,R1321=0),"Gebinde unbekannt / Stellmass fehlt; ","")&amp;IF(AND(BW1321=0,N(V1321)&lt;=0,N(Q1321)&lt;=0),"Menge pro Gebinde fehlt (Ist = 1 Gebinde); ","")&amp;BR1321)</f>
        <v>negativer Bestand (Export -6); </v>
      </c>
      <c r="BK1321" s="48"/>
      <c r="BL1321" s="48"/>
      <c r="BM1321" s="55"/>
      <c r="BN1321" s="50" t="n">
        <v>-6</v>
      </c>
      <c r="BO1321" s="50" t="n">
        <v>14</v>
      </c>
      <c r="BP1321" s="49" t="n">
        <v>-1429.68</v>
      </c>
      <c r="BQ1321" s="50" t="n">
        <v>25</v>
      </c>
      <c r="BR1321" s="48"/>
      <c r="BS1321" s="53" t="n">
        <v>0</v>
      </c>
      <c r="BT1321" s="53" t="n">
        <v>1321</v>
      </c>
      <c r="BU1321" s="48" t="str">
        <f aca="false">IF(U1321&lt;&gt;"",UPPER(TRIM(U1321)),IF(BX1321=1,UPPER(VLOOKUP(T1321,Parameter!$I$27:$K$29,2,0)),IF(P1321="","LOSE",P1321)))</f>
        <v>S71</v>
      </c>
      <c r="BV1321" s="50" t="n">
        <f aca="false">IF(BU1321="LOSE",1,IF(N(V1321)&gt;0,V1321,IF(BX1321=1,MAX(1,N(VLOOKUP(T1321,Parameter!$I$27:$K$29,3,0)),H1321,N(N1321)),IF(N(Q1321)&gt;0,Q1321,MAX(1,H1321)))))</f>
        <v>13</v>
      </c>
      <c r="BW1321" s="53" t="n">
        <f aca="false">IF(BU1321="LOSE",1,0)</f>
        <v>0</v>
      </c>
      <c r="BX1321" s="53" t="n">
        <f aca="false">IF(AND(U1321="",OR(P1321="",P1321="LOSE"),T1321&lt;&gt;"",N(S1321)&lt;=0,ISNUMBER(MATCH(T1321,Parameter!$I$27:$I$29,0))),1,0)</f>
        <v>0</v>
      </c>
      <c r="BY1321" s="53" t="n">
        <f aca="false">IF(CL1321&gt;0,INDEX(Parameter!$H$5:$H$7,W1321)/INDEX(Parameter!$E$5:$E$7,W1321),IF(AND(BW1321=0,N(IFERROR(VLOOKUP(BU1321,'Gebinde-Kategorie'!$A$5:$N$45,14,0),0))&gt;0),VLOOKUP(BU1321,'Gebinde-Kategorie'!$A$5:$N$45,14,0)*10+Parameter!$M$23,Parameter!$M$24))</f>
        <v>235</v>
      </c>
      <c r="BZ1321" s="48" t="n">
        <f aca="false">IF(AND(Parameter!$B$19="Ja",E1321&lt;&gt;"",ISNUMBER(MATCH(E1321,Parameter!$I$35:$I$52,0))),VLOOKUP(E1321,Parameter!$I$35:$J$52,2,0),IFERROR(VLOOKUP(D1321,Parameter!$A$35:$C$64,2,0),"Nein"))</f>
        <v>1</v>
      </c>
      <c r="CA1321" s="52" t="n">
        <f aca="false">IF(BW1321=0,0,IF(N(S1321)&gt;0,S1321,IFERROR(VLOOKUP(D1321,Parameter!$A$35:$C$64,3,0)+0,0)))</f>
        <v>0</v>
      </c>
      <c r="CB1321" s="48" t="n">
        <f aca="false">IF(AA1321&lt;&gt;"",AA1321,Z1321)</f>
        <v>1</v>
      </c>
      <c r="CC1321" s="48" t="str">
        <f aca="false">IF(OR(CB1321=1,CB1321=2,CB1321=3),IF(Parameter!$E$27="Ja","LIFT",IF(CB1321=1,"L1","L23")),IF(CB1321="Aussen","Aussen","-"))</f>
        <v>LIFT</v>
      </c>
      <c r="CD1321" s="59" t="n">
        <f aca="false">IF(N(AB1321)&gt;0,AB1321,0)</f>
        <v>0</v>
      </c>
      <c r="CE1321" s="53" t="n">
        <f aca="false">IF(ISNUMBER(AE1321),1,0)</f>
        <v>0</v>
      </c>
      <c r="CF1321" s="50" t="n">
        <f aca="false">N(AE1321)</f>
        <v>0</v>
      </c>
      <c r="CG1321" s="50" t="n">
        <f aca="false">N(M1321)+N(N1321)</f>
        <v>12</v>
      </c>
      <c r="CH1321" s="50" t="n">
        <f aca="false">ROUNDUP(H1321/BV1321,0)</f>
        <v>1</v>
      </c>
      <c r="CI1321" s="50" t="n">
        <f aca="false">ROUNDUP(CF1321/BV1321,0)</f>
        <v>0</v>
      </c>
      <c r="CJ1321" s="53" t="n">
        <f aca="false">IF(BW1321=1,0,IFERROR(VLOOKUP(BU1321,'Gebinde-Kategorie'!$A$5:$N$45,5,0)+0,0))</f>
        <v>20</v>
      </c>
      <c r="CK1321" s="53" t="n">
        <f aca="false">IFERROR(IF(OR(CB1321=1,CB1321=2,CB1321=3),N(INDEX(Parameter!$I$5:$I$7,CB1321)),0),0)</f>
        <v>0</v>
      </c>
      <c r="CL1321" s="52" t="n">
        <f aca="false">IF(AND(Parameter!$B$21="Ja",ISNUMBER(W1321),N(X1321)&gt;0),IFERROR(N(INDEX(Parameter!$L$5:$L$7,W1321))*INDEX(Parameter!$E$5:$E$7,W1321)*X1321/SUMIFS($X$7:$X$1843,$W$7:$W$1843,W1321),0),0)</f>
        <v>0</v>
      </c>
    </row>
    <row r="1322" customFormat="false" ht="15" hidden="false" customHeight="false" outlineLevel="0" collapsed="false">
      <c r="A1322" s="48" t="s">
        <v>2350</v>
      </c>
      <c r="B1322" s="48" t="s">
        <v>2351</v>
      </c>
      <c r="C1322" s="48" t="s">
        <v>168</v>
      </c>
      <c r="D1322" s="48" t="s">
        <v>188</v>
      </c>
      <c r="E1322" s="48"/>
      <c r="F1322" s="48" t="s">
        <v>222</v>
      </c>
      <c r="G1322" s="49" t="n">
        <v>1433.79</v>
      </c>
      <c r="H1322" s="50" t="n">
        <f aca="false">MAX(0,IF(AND(Parameter!$B$21="Ja",ISNUMBER(Y1322)),Y1322,IF(Parameter!$B$20="Jahresanfang 2025 + Export",BO1322+BN1322,BN1322)))</f>
        <v>6</v>
      </c>
      <c r="I1322" s="50" t="n">
        <f aca="false">H1322*G1322</f>
        <v>8602.74</v>
      </c>
      <c r="J1322" s="50" t="n">
        <f aca="false">BQ1322*Parameter!$B$18</f>
        <v>0</v>
      </c>
      <c r="K1322" s="51" t="n">
        <v>7</v>
      </c>
      <c r="L1322" s="52" t="n">
        <v>0</v>
      </c>
      <c r="M1322" s="50" t="n">
        <v>1</v>
      </c>
      <c r="N1322" s="50" t="n">
        <v>1</v>
      </c>
      <c r="O1322" s="53" t="n">
        <v>14</v>
      </c>
      <c r="P1322" s="48" t="s">
        <v>230</v>
      </c>
      <c r="Q1322" s="50" t="n">
        <v>6</v>
      </c>
      <c r="R1322" s="53" t="n">
        <f aca="false">IF(BW1322=1,0,IFERROR(VLOOKUP(BU1322,'Gebinde-Kategorie'!$A$5:$N$45,13,0)+0,0))</f>
        <v>12</v>
      </c>
      <c r="S1322" s="54"/>
      <c r="T1322" s="55"/>
      <c r="U1322" s="55"/>
      <c r="V1322" s="55"/>
      <c r="W1322" s="48"/>
      <c r="X1322" s="50"/>
      <c r="Y1322" s="50"/>
      <c r="Z1322" s="48" t="n">
        <f aca="false">IF(A1322="","",IF(AND(Parameter!$B$21="Ja",ISNUMBER(W1322)),W1322,IF(BZ1322="2+3",IF(ISNUMBER(SEARCH("grosser Artikel",BR1322)),2,IFERROR(VLOOKUP(BU1322,Parameter!$F$35:$G$64,2,0),2)),IF(OR(BZ1322="Nein",BZ1322=""),"-",BZ1322))))</f>
        <v>2</v>
      </c>
      <c r="AA1322" s="55"/>
      <c r="AB1322" s="56"/>
      <c r="AC1322" s="50" t="n">
        <f aca="false">AT1322</f>
        <v>6</v>
      </c>
      <c r="AD1322" s="50" t="n">
        <f aca="false">MAX(AT1322,H1322)</f>
        <v>6</v>
      </c>
      <c r="AE1322" s="57"/>
      <c r="AF1322" s="50" t="n">
        <f aca="false">IF(LEFT(Cockpit!$C$5,1)="A",H1322,IF(CE1322=1,CF1322,IF(LEFT(Cockpit!$C$5,1)="B",AK1322,MAX(AK1322,H1322))))</f>
        <v>6</v>
      </c>
      <c r="AG1322" s="50" t="n">
        <f aca="false">IF(BW1322=1,0,ROUNDUP(AF1322/BV1322,0))</f>
        <v>1</v>
      </c>
      <c r="AH1322" s="52" t="n">
        <f aca="false">IF(CL1322&gt;0,CL1322*MAX(1,AF1322/X1322),IF(BW1322=1,IF(AF1322&lt;=0,0,CA1322*MAX(1,IF(H1322&gt;0,AF1322/H1322,1))),IF(R1322&gt;0,AG1322/R1322,0))/MAX(0.1,N(Parameter!$M$21)))</f>
        <v>0.0833333333333333</v>
      </c>
      <c r="AI1322" s="50" t="n">
        <f aca="false">AH1322*BY1322</f>
        <v>28.75</v>
      </c>
      <c r="AJ1322" s="50" t="n">
        <f aca="false">AF1322*G1322</f>
        <v>8602.74</v>
      </c>
      <c r="AK1322" s="50" t="n">
        <f aca="false">ROUNDUP(MAX(J1322/IF(CD1322&gt;0,CD1322,MAX(0.1,N(Cockpit!$C$6))),CG1322)/BV1322,0)*BV1322</f>
        <v>6</v>
      </c>
      <c r="AL1322" s="51" t="n">
        <f aca="false">IF(AI1322&gt;0,J1322/AI1322,-1)</f>
        <v>0</v>
      </c>
      <c r="AM1322" s="51" t="n">
        <f aca="false">IF(AND(OR(CC1322="L1",CC1322="L23",CC1322="LIFT"),AI1322&gt;0),SUMIFS($AI$7:$AI$1843,$CC$7:$CC$1843,CC1322,$AL$7:$AL$1843,"&gt;"&amp;AL1322)+SUMIFS($AI$7:$AI$1843,$CC$7:$CC$1843,CC1322,$AL$7:$AL$1843,AL1322,$BT$7:$BT$1843,"&lt;="&amp;BT1322),"")</f>
        <v>29480.666834813</v>
      </c>
      <c r="AN1322" s="58" t="n">
        <f aca="false">IF(AM1322="",0,MAX(0,MIN(1,(IF(CC1322="L1",Parameter!$H$5,IF(CC1322="L23",Parameter!$H$6+Parameter!$H$7,Parameter!$H$5+Parameter!$H$6+Parameter!$H$7))-(AM1322-AI1322))/AI1322)))</f>
        <v>1</v>
      </c>
      <c r="AO1322" s="50" t="n">
        <f aca="false">IF(LEFT(Cockpit!$I$5,1)="A",H1322,IF(CE1322=1,CF1322,IF(LEFT(Cockpit!$I$5,1)="B",AT1322,MAX(AT1322,H1322))))</f>
        <v>6</v>
      </c>
      <c r="AP1322" s="50" t="n">
        <f aca="false">IF(BW1322=1,0,ROUNDUP(AO1322/BV1322,0))</f>
        <v>1</v>
      </c>
      <c r="AQ1322" s="52" t="n">
        <f aca="false">IF(CL1322&gt;0,CL1322*MAX(1,AO1322/X1322),IF(BW1322=1,IF(AO1322&lt;=0,0,CA1322*MAX(1,IF(H1322&gt;0,AO1322/H1322,1))),IF(R1322&gt;0,AP1322/R1322,0))/MAX(0.1,N(Parameter!$M$21)))</f>
        <v>0.0833333333333333</v>
      </c>
      <c r="AR1322" s="50" t="n">
        <f aca="false">AQ1322*BY1322</f>
        <v>28.75</v>
      </c>
      <c r="AS1322" s="50" t="n">
        <f aca="false">AO1322*G1322</f>
        <v>8602.74</v>
      </c>
      <c r="AT1322" s="50" t="n">
        <f aca="false">ROUNDUP(MAX(J1322/IF(CD1322&gt;0,CD1322,MAX(0.1,N(Cockpit!$I$6))),CG1322)/BV1322,0)*BV1322</f>
        <v>6</v>
      </c>
      <c r="AU1322" s="51" t="n">
        <f aca="false">IF(AR1322&gt;0,J1322/AR1322,-1)</f>
        <v>0</v>
      </c>
      <c r="AV1322" s="51" t="n">
        <f aca="false">IF(AND(OR(CC1322="L1",CC1322="L23",CC1322="LIFT"),AR1322&gt;0),SUMIFS($AR$7:$AR$1843,$CC$7:$CC$1843,CC1322,$AU$7:$AU$1843,"&gt;"&amp;AU1322)+SUMIFS($AR$7:$AR$1843,$CC$7:$CC$1843,CC1322,$AU$7:$AU$1843,AU1322,$BT$7:$BT$1843,"&lt;="&amp;BT1322),"")</f>
        <v>41665.6891103247</v>
      </c>
      <c r="AW1322" s="58" t="n">
        <f aca="false">IF(AV1322="",0,MAX(0,MIN(1,(IF(CC1322="L1",Parameter!$H$5,IF(CC1322="L23",Parameter!$H$6+Parameter!$H$7,Parameter!$H$5+Parameter!$H$6+Parameter!$H$7))-(AV1322-AR1322))/AR1322)))</f>
        <v>0</v>
      </c>
      <c r="AX1322" s="50" t="n">
        <f aca="false">IF(LEFT(Cockpit!$O$5,1)="A",H1322,IF(CE1322=1,CF1322,IF(LEFT(Cockpit!$O$5,1)="B",BC1322,MAX(BC1322,H1322))))</f>
        <v>6</v>
      </c>
      <c r="AY1322" s="50" t="n">
        <f aca="false">IF(BW1322=1,0,ROUNDUP(AX1322/BV1322,0))</f>
        <v>1</v>
      </c>
      <c r="AZ1322" s="52" t="n">
        <f aca="false">IF(CL1322&gt;0,CL1322*MAX(1,AX1322/X1322),IF(BW1322=1,IF(AX1322&lt;=0,0,CA1322*MAX(1,IF(H1322&gt;0,AX1322/H1322,1))),IF(R1322&gt;0,AY1322/R1322,0))/MAX(0.1,N(Parameter!$M$21)))</f>
        <v>0.0833333333333333</v>
      </c>
      <c r="BA1322" s="50" t="n">
        <f aca="false">AZ1322*BY1322</f>
        <v>28.75</v>
      </c>
      <c r="BB1322" s="50" t="n">
        <f aca="false">AX1322*G1322</f>
        <v>8602.74</v>
      </c>
      <c r="BC1322" s="50" t="n">
        <f aca="false">ROUNDUP(MAX(J1322/IF(CD1322&gt;0,CD1322,MAX(0.1,N(Cockpit!$O$6))),CG1322)/BV1322,0)*BV1322</f>
        <v>6</v>
      </c>
      <c r="BD1322" s="51" t="n">
        <f aca="false">IF(BA1322&gt;0,J1322/BA1322,-1)</f>
        <v>0</v>
      </c>
      <c r="BE1322" s="51" t="n">
        <f aca="false">IF(AND(OR(CC1322="L1",CC1322="L23",CC1322="LIFT"),BA1322&gt;0),SUMIFS($BA$7:$BA$1843,$CC$7:$CC$1843,CC1322,$BD$7:$BD$1843,"&gt;"&amp;BD1322)+SUMIFS($BA$7:$BA$1843,$CC$7:$CC$1843,CC1322,$BD$7:$BD$1843,BD1322,$BT$7:$BT$1843,"&lt;="&amp;BT1322),"")</f>
        <v>38340.7011521906</v>
      </c>
      <c r="BF1322" s="58" t="n">
        <f aca="false">IF(BE1322="",0,MAX(0,MIN(1,(IF(CC1322="L1",Parameter!$H$5,IF(CC1322="L23",Parameter!$H$6+Parameter!$H$7,Parameter!$H$5+Parameter!$H$6+Parameter!$H$7))-(BE1322-BA1322))/BA1322)))</f>
        <v>0</v>
      </c>
      <c r="BG1322" s="48" t="str">
        <f aca="false">IF(AI1322&lt;=0,"",IF(CC1322="Aussen","Aussenlager",IF(CC1322="-","Nicht im Lift",IF(AN1322&gt;=1,"Lift",IF(AN1322&lt;=0,"Aussenlager","teilweise")))))</f>
        <v>Lift</v>
      </c>
      <c r="BH1322" s="48" t="str">
        <f aca="false">IF(AR1322&lt;=0,"",IF(CC1322="Aussen","Aussenlager",IF(CC1322="-","Nicht im Lift",IF(AW1322&gt;=1,"Lift",IF(AW1322&lt;=0,"Aussenlager","teilweise")))))</f>
        <v>Aussenlager</v>
      </c>
      <c r="BI1322" s="48" t="str">
        <f aca="false">IF(BA1322&lt;=0,"",IF(CC1322="Aussen","Aussenlager",IF(CC1322="-","Nicht im Lift",IF(BF1322&gt;=1,"Lift",IF(BF1322&lt;=0,"Aussenlager","teilweise")))))</f>
        <v>Aussenlager</v>
      </c>
      <c r="BJ1322" s="48" t="str">
        <f aca="false">IF(A1322="","",IF(BS1322=1,"Neu; ","")&amp;IF(AND(BS1322=0,BN1322&lt;0),"negativer Bestand (Export "&amp;BN1322&amp;"); ","")&amp;IF(J1322&lt;=0,"Kein Verbrauch; ","")&amp;IF(CL1322&gt;0,"Lift "&amp;W1322&amp;" lt. Liftbericht (Fach "&amp;X1322&amp;" Stk); ",IF(BX1322=1,"Gebinde geschätzt ("&amp;T1322&amp;"); ",IF(BW1322=1,"Lose – Tablare geschätzt; ","")))&amp;IF(H1322&gt;AT1322,"Überbestand "&amp;ROUND(H1322-AT1322,0)&amp;" Stk / CHF "&amp;ROUND((H1322-AT1322)*G1322,0)&amp;"; ","")&amp;IF(AND(CE1322=1,CF1322&lt;CG1322),"MAX &lt; MB+LG; ","")&amp;IF(AND(CK1322&gt;0,CJ1322*10&gt;CK1322),"zu hoch für Tablar; ","")&amp;IF(AND(BS1322=0,OR(CE1322=1,AA1322&lt;&gt;"",U1322&lt;&gt;"",V1322&lt;&gt;"",AB1322&lt;&gt;"")),"manuell übersteuert; ","")&amp;IF(AND(BW1322=0,R1322=0),"Gebinde unbekannt / Stellmass fehlt; ","")&amp;IF(AND(BW1322=0,N(V1322)&lt;=0,N(Q1322)&lt;=0),"Menge pro Gebinde fehlt (Ist = 1 Gebinde); ","")&amp;BR1322)</f>
        <v>negativer Bestand (Export -1); Kein Verbrauch; </v>
      </c>
      <c r="BK1322" s="48"/>
      <c r="BL1322" s="48"/>
      <c r="BM1322" s="55"/>
      <c r="BN1322" s="50" t="n">
        <v>-1</v>
      </c>
      <c r="BO1322" s="50" t="n">
        <v>7</v>
      </c>
      <c r="BP1322" s="49" t="n">
        <v>-1433.79</v>
      </c>
      <c r="BQ1322" s="50" t="n">
        <v>0</v>
      </c>
      <c r="BR1322" s="48"/>
      <c r="BS1322" s="53" t="n">
        <v>0</v>
      </c>
      <c r="BT1322" s="53" t="n">
        <v>1322</v>
      </c>
      <c r="BU1322" s="48" t="str">
        <f aca="false">IF(U1322&lt;&gt;"",UPPER(TRIM(U1322)),IF(BX1322=1,UPPER(VLOOKUP(T1322,Parameter!$I$27:$K$29,2,0)),IF(P1322="","LOSE",P1322)))</f>
        <v>S63</v>
      </c>
      <c r="BV1322" s="50" t="n">
        <f aca="false">IF(BU1322="LOSE",1,IF(N(V1322)&gt;0,V1322,IF(BX1322=1,MAX(1,N(VLOOKUP(T1322,Parameter!$I$27:$K$29,3,0)),H1322,N(N1322)),IF(N(Q1322)&gt;0,Q1322,MAX(1,H1322)))))</f>
        <v>6</v>
      </c>
      <c r="BW1322" s="53" t="n">
        <f aca="false">IF(BU1322="LOSE",1,0)</f>
        <v>0</v>
      </c>
      <c r="BX1322" s="53" t="n">
        <f aca="false">IF(AND(U1322="",OR(P1322="",P1322="LOSE"),T1322&lt;&gt;"",N(S1322)&lt;=0,ISNUMBER(MATCH(T1322,Parameter!$I$27:$I$29,0))),1,0)</f>
        <v>0</v>
      </c>
      <c r="BY1322" s="53" t="n">
        <f aca="false">IF(CL1322&gt;0,INDEX(Parameter!$H$5:$H$7,W1322)/INDEX(Parameter!$E$5:$E$7,W1322),IF(AND(BW1322=0,N(IFERROR(VLOOKUP(BU1322,'Gebinde-Kategorie'!$A$5:$N$45,14,0),0))&gt;0),VLOOKUP(BU1322,'Gebinde-Kategorie'!$A$5:$N$45,14,0)*10+Parameter!$M$23,Parameter!$M$24))</f>
        <v>345</v>
      </c>
      <c r="BZ1322" s="48" t="str">
        <f aca="false">IF(AND(Parameter!$B$19="Ja",E1322&lt;&gt;"",ISNUMBER(MATCH(E1322,Parameter!$I$35:$I$52,0))),VLOOKUP(E1322,Parameter!$I$35:$J$52,2,0),IFERROR(VLOOKUP(D1322,Parameter!$A$35:$C$64,2,0),"Nein"))</f>
        <v>2+3</v>
      </c>
      <c r="CA1322" s="52" t="n">
        <f aca="false">IF(BW1322=0,0,IF(N(S1322)&gt;0,S1322,IFERROR(VLOOKUP(D1322,Parameter!$A$35:$C$64,3,0)+0,0)))</f>
        <v>0</v>
      </c>
      <c r="CB1322" s="48" t="n">
        <f aca="false">IF(AA1322&lt;&gt;"",AA1322,Z1322)</f>
        <v>2</v>
      </c>
      <c r="CC1322" s="48" t="str">
        <f aca="false">IF(OR(CB1322=1,CB1322=2,CB1322=3),IF(Parameter!$E$27="Ja","LIFT",IF(CB1322=1,"L1","L23")),IF(CB1322="Aussen","Aussen","-"))</f>
        <v>LIFT</v>
      </c>
      <c r="CD1322" s="59" t="n">
        <f aca="false">IF(N(AB1322)&gt;0,AB1322,0)</f>
        <v>0</v>
      </c>
      <c r="CE1322" s="53" t="n">
        <f aca="false">IF(ISNUMBER(AE1322),1,0)</f>
        <v>0</v>
      </c>
      <c r="CF1322" s="50" t="n">
        <f aca="false">N(AE1322)</f>
        <v>0</v>
      </c>
      <c r="CG1322" s="50" t="n">
        <f aca="false">N(M1322)+N(N1322)</f>
        <v>2</v>
      </c>
      <c r="CH1322" s="50" t="n">
        <f aca="false">ROUNDUP(H1322/BV1322,0)</f>
        <v>1</v>
      </c>
      <c r="CI1322" s="50" t="n">
        <f aca="false">ROUNDUP(CF1322/BV1322,0)</f>
        <v>0</v>
      </c>
      <c r="CJ1322" s="53" t="n">
        <f aca="false">IF(BW1322=1,0,IFERROR(VLOOKUP(BU1322,'Gebinde-Kategorie'!$A$5:$N$45,5,0)+0,0))</f>
        <v>31</v>
      </c>
      <c r="CK1322" s="53" t="n">
        <f aca="false">IFERROR(IF(OR(CB1322=1,CB1322=2,CB1322=3),N(INDEX(Parameter!$I$5:$I$7,CB1322)),0),0)</f>
        <v>0</v>
      </c>
      <c r="CL1322" s="52" t="n">
        <f aca="false">IF(AND(Parameter!$B$21="Ja",ISNUMBER(W1322),N(X1322)&gt;0),IFERROR(N(INDEX(Parameter!$L$5:$L$7,W1322))*INDEX(Parameter!$E$5:$E$7,W1322)*X1322/SUMIFS($X$7:$X$1843,$W$7:$W$1843,W1322),0),0)</f>
        <v>0</v>
      </c>
    </row>
    <row r="1323" customFormat="false" ht="15" hidden="false" customHeight="false" outlineLevel="0" collapsed="false">
      <c r="A1323" s="48" t="s">
        <v>2352</v>
      </c>
      <c r="B1323" s="48" t="s">
        <v>2353</v>
      </c>
      <c r="C1323" s="48" t="s">
        <v>168</v>
      </c>
      <c r="D1323" s="48" t="s">
        <v>188</v>
      </c>
      <c r="E1323" s="48" t="s">
        <v>189</v>
      </c>
      <c r="F1323" s="48" t="s">
        <v>222</v>
      </c>
      <c r="G1323" s="49" t="n">
        <v>516.55</v>
      </c>
      <c r="H1323" s="50" t="n">
        <f aca="false">MAX(0,IF(AND(Parameter!$B$21="Ja",ISNUMBER(Y1323)),Y1323,IF(Parameter!$B$20="Jahresanfang 2025 + Export",BO1323+BN1323,BN1323)))</f>
        <v>7</v>
      </c>
      <c r="I1323" s="50" t="n">
        <f aca="false">H1323*G1323</f>
        <v>3615.85</v>
      </c>
      <c r="J1323" s="50" t="n">
        <f aca="false">BQ1323*Parameter!$B$18</f>
        <v>18</v>
      </c>
      <c r="K1323" s="51" t="n">
        <v>12.5</v>
      </c>
      <c r="L1323" s="52" t="n">
        <v>1.44</v>
      </c>
      <c r="M1323" s="50" t="n">
        <v>1</v>
      </c>
      <c r="N1323" s="50" t="n">
        <v>10</v>
      </c>
      <c r="O1323" s="53" t="n">
        <v>21</v>
      </c>
      <c r="P1323" s="48" t="s">
        <v>297</v>
      </c>
      <c r="Q1323" s="50" t="n">
        <v>38</v>
      </c>
      <c r="R1323" s="53" t="n">
        <f aca="false">IF(BW1323=1,0,IFERROR(VLOOKUP(BU1323,'Gebinde-Kategorie'!$A$5:$N$45,13,0)+0,0))</f>
        <v>12</v>
      </c>
      <c r="S1323" s="54"/>
      <c r="T1323" s="55"/>
      <c r="U1323" s="55"/>
      <c r="V1323" s="55"/>
      <c r="W1323" s="48"/>
      <c r="X1323" s="50"/>
      <c r="Y1323" s="50"/>
      <c r="Z1323" s="48" t="n">
        <f aca="false">IF(A1323="","",IF(AND(Parameter!$B$21="Ja",ISNUMBER(W1323)),W1323,IF(BZ1323="2+3",IF(ISNUMBER(SEARCH("grosser Artikel",BR1323)),2,IFERROR(VLOOKUP(BU1323,Parameter!$F$35:$G$64,2,0),2)),IF(OR(BZ1323="Nein",BZ1323=""),"-",BZ1323))))</f>
        <v>2</v>
      </c>
      <c r="AA1323" s="55"/>
      <c r="AB1323" s="56"/>
      <c r="AC1323" s="50" t="n">
        <f aca="false">AT1323</f>
        <v>38</v>
      </c>
      <c r="AD1323" s="50" t="n">
        <f aca="false">MAX(AT1323,H1323)</f>
        <v>38</v>
      </c>
      <c r="AE1323" s="57"/>
      <c r="AF1323" s="50" t="n">
        <f aca="false">IF(LEFT(Cockpit!$C$5,1)="A",H1323,IF(CE1323=1,CF1323,IF(LEFT(Cockpit!$C$5,1)="B",AK1323,MAX(AK1323,H1323))))</f>
        <v>7</v>
      </c>
      <c r="AG1323" s="50" t="n">
        <f aca="false">IF(BW1323=1,0,ROUNDUP(AF1323/BV1323,0))</f>
        <v>1</v>
      </c>
      <c r="AH1323" s="52" t="n">
        <f aca="false">IF(CL1323&gt;0,CL1323*MAX(1,AF1323/X1323),IF(BW1323=1,IF(AF1323&lt;=0,0,CA1323*MAX(1,IF(H1323&gt;0,AF1323/H1323,1))),IF(R1323&gt;0,AG1323/R1323,0))/MAX(0.1,N(Parameter!$M$21)))</f>
        <v>0.0833333333333333</v>
      </c>
      <c r="AI1323" s="50" t="n">
        <f aca="false">AH1323*BY1323</f>
        <v>20.4166666666667</v>
      </c>
      <c r="AJ1323" s="50" t="n">
        <f aca="false">AF1323*G1323</f>
        <v>3615.85</v>
      </c>
      <c r="AK1323" s="50" t="n">
        <f aca="false">ROUNDUP(MAX(J1323/IF(CD1323&gt;0,CD1323,MAX(0.1,N(Cockpit!$C$6))),CG1323)/BV1323,0)*BV1323</f>
        <v>38</v>
      </c>
      <c r="AL1323" s="51" t="n">
        <f aca="false">IF(AI1323&gt;0,J1323/AI1323,-1)</f>
        <v>0.881632653061225</v>
      </c>
      <c r="AM1323" s="51" t="n">
        <f aca="false">IF(AND(OR(CC1323="L1",CC1323="L23",CC1323="LIFT"),AI1323&gt;0),SUMIFS($AI$7:$AI$1843,$CC$7:$CC$1843,CC1323,$AL$7:$AL$1843,"&gt;"&amp;AL1323)+SUMIFS($AI$7:$AI$1843,$CC$7:$CC$1843,CC1323,$AL$7:$AL$1843,AL1323,$BT$7:$BT$1843,"&lt;="&amp;BT1323),"")</f>
        <v>7651.52884615385</v>
      </c>
      <c r="AN1323" s="58" t="n">
        <f aca="false">IF(AM1323="",0,MAX(0,MIN(1,(IF(CC1323="L1",Parameter!$H$5,IF(CC1323="L23",Parameter!$H$6+Parameter!$H$7,Parameter!$H$5+Parameter!$H$6+Parameter!$H$7))-(AM1323-AI1323))/AI1323)))</f>
        <v>1</v>
      </c>
      <c r="AO1323" s="50" t="n">
        <f aca="false">IF(LEFT(Cockpit!$I$5,1)="A",H1323,IF(CE1323=1,CF1323,IF(LEFT(Cockpit!$I$5,1)="B",AT1323,MAX(AT1323,H1323))))</f>
        <v>38</v>
      </c>
      <c r="AP1323" s="50" t="n">
        <f aca="false">IF(BW1323=1,0,ROUNDUP(AO1323/BV1323,0))</f>
        <v>1</v>
      </c>
      <c r="AQ1323" s="52" t="n">
        <f aca="false">IF(CL1323&gt;0,CL1323*MAX(1,AO1323/X1323),IF(BW1323=1,IF(AO1323&lt;=0,0,CA1323*MAX(1,IF(H1323&gt;0,AO1323/H1323,1))),IF(R1323&gt;0,AP1323/R1323,0))/MAX(0.1,N(Parameter!$M$21)))</f>
        <v>0.0833333333333333</v>
      </c>
      <c r="AR1323" s="50" t="n">
        <f aca="false">AQ1323*BY1323</f>
        <v>20.4166666666667</v>
      </c>
      <c r="AS1323" s="50" t="n">
        <f aca="false">AO1323*G1323</f>
        <v>19628.9</v>
      </c>
      <c r="AT1323" s="50" t="n">
        <f aca="false">ROUNDUP(MAX(J1323/IF(CD1323&gt;0,CD1323,MAX(0.1,N(Cockpit!$I$6))),CG1323)/BV1323,0)*BV1323</f>
        <v>38</v>
      </c>
      <c r="AU1323" s="51" t="n">
        <f aca="false">IF(AR1323&gt;0,J1323/AR1323,-1)</f>
        <v>0.881632653061225</v>
      </c>
      <c r="AV1323" s="51" t="n">
        <f aca="false">IF(AND(OR(CC1323="L1",CC1323="L23",CC1323="LIFT"),AR1323&gt;0),SUMIFS($AR$7:$AR$1843,$CC$7:$CC$1843,CC1323,$AU$7:$AU$1843,"&gt;"&amp;AU1323)+SUMIFS($AR$7:$AR$1843,$CC$7:$CC$1843,CC1323,$AU$7:$AU$1843,AU1323,$BT$7:$BT$1843,"&lt;="&amp;BT1323),"")</f>
        <v>10762.7857142857</v>
      </c>
      <c r="AW1323" s="58" t="n">
        <f aca="false">IF(AV1323="",0,MAX(0,MIN(1,(IF(CC1323="L1",Parameter!$H$5,IF(CC1323="L23",Parameter!$H$6+Parameter!$H$7,Parameter!$H$5+Parameter!$H$6+Parameter!$H$7))-(AV1323-AR1323))/AR1323)))</f>
        <v>1</v>
      </c>
      <c r="AX1323" s="50" t="n">
        <f aca="false">IF(LEFT(Cockpit!$O$5,1)="A",H1323,IF(CE1323=1,CF1323,IF(LEFT(Cockpit!$O$5,1)="B",BC1323,MAX(BC1323,H1323))))</f>
        <v>38</v>
      </c>
      <c r="AY1323" s="50" t="n">
        <f aca="false">IF(BW1323=1,0,ROUNDUP(AX1323/BV1323,0))</f>
        <v>1</v>
      </c>
      <c r="AZ1323" s="52" t="n">
        <f aca="false">IF(CL1323&gt;0,CL1323*MAX(1,AX1323/X1323),IF(BW1323=1,IF(AX1323&lt;=0,0,CA1323*MAX(1,IF(H1323&gt;0,AX1323/H1323,1))),IF(R1323&gt;0,AY1323/R1323,0))/MAX(0.1,N(Parameter!$M$21)))</f>
        <v>0.0833333333333333</v>
      </c>
      <c r="BA1323" s="50" t="n">
        <f aca="false">AZ1323*BY1323</f>
        <v>20.4166666666667</v>
      </c>
      <c r="BB1323" s="50" t="n">
        <f aca="false">AX1323*G1323</f>
        <v>19628.9</v>
      </c>
      <c r="BC1323" s="50" t="n">
        <f aca="false">ROUNDUP(MAX(J1323/IF(CD1323&gt;0,CD1323,MAX(0.1,N(Cockpit!$O$6))),CG1323)/BV1323,0)*BV1323</f>
        <v>38</v>
      </c>
      <c r="BD1323" s="51" t="n">
        <f aca="false">IF(BA1323&gt;0,J1323/BA1323,-1)</f>
        <v>0.881632653061225</v>
      </c>
      <c r="BE1323" s="51" t="n">
        <f aca="false">IF(AND(OR(CC1323="L1",CC1323="L23",CC1323="LIFT"),BA1323&gt;0),SUMIFS($BA$7:$BA$1843,$CC$7:$CC$1843,CC1323,$BD$7:$BD$1843,"&gt;"&amp;BD1323)+SUMIFS($BA$7:$BA$1843,$CC$7:$CC$1843,CC1323,$BD$7:$BD$1843,BD1323,$BT$7:$BT$1843,"&lt;="&amp;BT1323),"")</f>
        <v>10020.9427655678</v>
      </c>
      <c r="BF1323" s="58" t="n">
        <f aca="false">IF(BE1323="",0,MAX(0,MIN(1,(IF(CC1323="L1",Parameter!$H$5,IF(CC1323="L23",Parameter!$H$6+Parameter!$H$7,Parameter!$H$5+Parameter!$H$6+Parameter!$H$7))-(BE1323-BA1323))/BA1323)))</f>
        <v>1</v>
      </c>
      <c r="BG1323" s="48" t="str">
        <f aca="false">IF(AI1323&lt;=0,"",IF(CC1323="Aussen","Aussenlager",IF(CC1323="-","Nicht im Lift",IF(AN1323&gt;=1,"Lift",IF(AN1323&lt;=0,"Aussenlager","teilweise")))))</f>
        <v>Lift</v>
      </c>
      <c r="BH1323" s="48" t="str">
        <f aca="false">IF(AR1323&lt;=0,"",IF(CC1323="Aussen","Aussenlager",IF(CC1323="-","Nicht im Lift",IF(AW1323&gt;=1,"Lift",IF(AW1323&lt;=0,"Aussenlager","teilweise")))))</f>
        <v>Lift</v>
      </c>
      <c r="BI1323" s="48" t="str">
        <f aca="false">IF(BA1323&lt;=0,"",IF(CC1323="Aussen","Aussenlager",IF(CC1323="-","Nicht im Lift",IF(BF1323&gt;=1,"Lift",IF(BF1323&lt;=0,"Aussenlager","teilweise")))))</f>
        <v>Lift</v>
      </c>
      <c r="BJ1323" s="48" t="str">
        <f aca="false">IF(A1323="","",IF(BS1323=1,"Neu; ","")&amp;IF(AND(BS1323=0,BN1323&lt;0),"negativer Bestand (Export "&amp;BN1323&amp;"); ","")&amp;IF(J1323&lt;=0,"Kein Verbrauch; ","")&amp;IF(CL1323&gt;0,"Lift "&amp;W1323&amp;" lt. Liftbericht (Fach "&amp;X1323&amp;" Stk); ",IF(BX1323=1,"Gebinde geschätzt ("&amp;T1323&amp;"); ",IF(BW1323=1,"Lose – Tablare geschätzt; ","")))&amp;IF(H1323&gt;AT1323,"Überbestand "&amp;ROUND(H1323-AT1323,0)&amp;" Stk / CHF "&amp;ROUND((H1323-AT1323)*G1323,0)&amp;"; ","")&amp;IF(AND(CE1323=1,CF1323&lt;CG1323),"MAX &lt; MB+LG; ","")&amp;IF(AND(CK1323&gt;0,CJ1323*10&gt;CK1323),"zu hoch für Tablar; ","")&amp;IF(AND(BS1323=0,OR(CE1323=1,AA1323&lt;&gt;"",U1323&lt;&gt;"",V1323&lt;&gt;"",AB1323&lt;&gt;"")),"manuell übersteuert; ","")&amp;IF(AND(BW1323=0,R1323=0),"Gebinde unbekannt / Stellmass fehlt; ","")&amp;IF(AND(BW1323=0,N(V1323)&lt;=0,N(Q1323)&lt;=0),"Menge pro Gebinde fehlt (Ist = 1 Gebinde); ","")&amp;BR1323)</f>
        <v>negativer Bestand (Export -3); </v>
      </c>
      <c r="BK1323" s="48"/>
      <c r="BL1323" s="48"/>
      <c r="BM1323" s="55"/>
      <c r="BN1323" s="50" t="n">
        <v>-3</v>
      </c>
      <c r="BO1323" s="50" t="n">
        <v>10</v>
      </c>
      <c r="BP1323" s="49" t="n">
        <v>-1450.15</v>
      </c>
      <c r="BQ1323" s="50" t="n">
        <v>18</v>
      </c>
      <c r="BR1323" s="48"/>
      <c r="BS1323" s="53" t="n">
        <v>0</v>
      </c>
      <c r="BT1323" s="53" t="n">
        <v>1323</v>
      </c>
      <c r="BU1323" s="48" t="str">
        <f aca="false">IF(U1323&lt;&gt;"",UPPER(TRIM(U1323)),IF(BX1323=1,UPPER(VLOOKUP(T1323,Parameter!$I$27:$K$29,2,0)),IF(P1323="","LOSE",P1323)))</f>
        <v>S62</v>
      </c>
      <c r="BV1323" s="50" t="n">
        <f aca="false">IF(BU1323="LOSE",1,IF(N(V1323)&gt;0,V1323,IF(BX1323=1,MAX(1,N(VLOOKUP(T1323,Parameter!$I$27:$K$29,3,0)),H1323,N(N1323)),IF(N(Q1323)&gt;0,Q1323,MAX(1,H1323)))))</f>
        <v>38</v>
      </c>
      <c r="BW1323" s="53" t="n">
        <f aca="false">IF(BU1323="LOSE",1,0)</f>
        <v>0</v>
      </c>
      <c r="BX1323" s="53" t="n">
        <f aca="false">IF(AND(U1323="",OR(P1323="",P1323="LOSE"),T1323&lt;&gt;"",N(S1323)&lt;=0,ISNUMBER(MATCH(T1323,Parameter!$I$27:$I$29,0))),1,0)</f>
        <v>0</v>
      </c>
      <c r="BY1323" s="53" t="n">
        <f aca="false">IF(CL1323&gt;0,INDEX(Parameter!$H$5:$H$7,W1323)/INDEX(Parameter!$E$5:$E$7,W1323),IF(AND(BW1323=0,N(IFERROR(VLOOKUP(BU1323,'Gebinde-Kategorie'!$A$5:$N$45,14,0),0))&gt;0),VLOOKUP(BU1323,'Gebinde-Kategorie'!$A$5:$N$45,14,0)*10+Parameter!$M$23,Parameter!$M$24))</f>
        <v>245</v>
      </c>
      <c r="BZ1323" s="48" t="str">
        <f aca="false">IF(AND(Parameter!$B$19="Ja",E1323&lt;&gt;"",ISNUMBER(MATCH(E1323,Parameter!$I$35:$I$52,0))),VLOOKUP(E1323,Parameter!$I$35:$J$52,2,0),IFERROR(VLOOKUP(D1323,Parameter!$A$35:$C$64,2,0),"Nein"))</f>
        <v>2+3</v>
      </c>
      <c r="CA1323" s="52" t="n">
        <f aca="false">IF(BW1323=0,0,IF(N(S1323)&gt;0,S1323,IFERROR(VLOOKUP(D1323,Parameter!$A$35:$C$64,3,0)+0,0)))</f>
        <v>0</v>
      </c>
      <c r="CB1323" s="48" t="n">
        <f aca="false">IF(AA1323&lt;&gt;"",AA1323,Z1323)</f>
        <v>2</v>
      </c>
      <c r="CC1323" s="48" t="str">
        <f aca="false">IF(OR(CB1323=1,CB1323=2,CB1323=3),IF(Parameter!$E$27="Ja","LIFT",IF(CB1323=1,"L1","L23")),IF(CB1323="Aussen","Aussen","-"))</f>
        <v>LIFT</v>
      </c>
      <c r="CD1323" s="59" t="n">
        <f aca="false">IF(N(AB1323)&gt;0,AB1323,0)</f>
        <v>0</v>
      </c>
      <c r="CE1323" s="53" t="n">
        <f aca="false">IF(ISNUMBER(AE1323),1,0)</f>
        <v>0</v>
      </c>
      <c r="CF1323" s="50" t="n">
        <f aca="false">N(AE1323)</f>
        <v>0</v>
      </c>
      <c r="CG1323" s="50" t="n">
        <f aca="false">N(M1323)+N(N1323)</f>
        <v>11</v>
      </c>
      <c r="CH1323" s="50" t="n">
        <f aca="false">ROUNDUP(H1323/BV1323,0)</f>
        <v>1</v>
      </c>
      <c r="CI1323" s="50" t="n">
        <f aca="false">ROUNDUP(CF1323/BV1323,0)</f>
        <v>0</v>
      </c>
      <c r="CJ1323" s="53" t="n">
        <f aca="false">IF(BW1323=1,0,IFERROR(VLOOKUP(BU1323,'Gebinde-Kategorie'!$A$5:$N$45,5,0)+0,0))</f>
        <v>21</v>
      </c>
      <c r="CK1323" s="53" t="n">
        <f aca="false">IFERROR(IF(OR(CB1323=1,CB1323=2,CB1323=3),N(INDEX(Parameter!$I$5:$I$7,CB1323)),0),0)</f>
        <v>0</v>
      </c>
      <c r="CL1323" s="52" t="n">
        <f aca="false">IF(AND(Parameter!$B$21="Ja",ISNUMBER(W1323),N(X1323)&gt;0),IFERROR(N(INDEX(Parameter!$L$5:$L$7,W1323))*INDEX(Parameter!$E$5:$E$7,W1323)*X1323/SUMIFS($X$7:$X$1843,$W$7:$W$1843,W1323),0),0)</f>
        <v>0</v>
      </c>
    </row>
    <row r="1324" customFormat="false" ht="15" hidden="false" customHeight="false" outlineLevel="0" collapsed="false">
      <c r="A1324" s="48" t="s">
        <v>2354</v>
      </c>
      <c r="B1324" s="48" t="s">
        <v>602</v>
      </c>
      <c r="C1324" s="48" t="s">
        <v>168</v>
      </c>
      <c r="D1324" s="48" t="s">
        <v>188</v>
      </c>
      <c r="E1324" s="48" t="s">
        <v>189</v>
      </c>
      <c r="F1324" s="48" t="s">
        <v>222</v>
      </c>
      <c r="G1324" s="49" t="n">
        <v>29.61</v>
      </c>
      <c r="H1324" s="50" t="n">
        <f aca="false">MAX(0,IF(AND(Parameter!$B$21="Ja",ISNUMBER(Y1324)),Y1324,IF(Parameter!$B$20="Jahresanfang 2025 + Export",BO1324+BN1324,BN1324)))</f>
        <v>28</v>
      </c>
      <c r="I1324" s="50" t="n">
        <f aca="false">H1324*G1324</f>
        <v>829.08</v>
      </c>
      <c r="J1324" s="50" t="n">
        <f aca="false">BQ1324*Parameter!$B$18</f>
        <v>75</v>
      </c>
      <c r="K1324" s="51" t="n">
        <v>83.5</v>
      </c>
      <c r="L1324" s="52" t="n">
        <v>0.898203592814371</v>
      </c>
      <c r="M1324" s="50" t="n">
        <v>2</v>
      </c>
      <c r="N1324" s="50" t="n">
        <v>75</v>
      </c>
      <c r="O1324" s="53" t="n">
        <v>14</v>
      </c>
      <c r="P1324" s="48" t="s">
        <v>306</v>
      </c>
      <c r="Q1324" s="50" t="n">
        <v>109</v>
      </c>
      <c r="R1324" s="53" t="n">
        <f aca="false">IF(BW1324=1,0,IFERROR(VLOOKUP(BU1324,'Gebinde-Kategorie'!$A$5:$N$45,13,0)+0,0))</f>
        <v>26</v>
      </c>
      <c r="S1324" s="54"/>
      <c r="T1324" s="55"/>
      <c r="U1324" s="55"/>
      <c r="V1324" s="55"/>
      <c r="W1324" s="48"/>
      <c r="X1324" s="50"/>
      <c r="Y1324" s="50"/>
      <c r="Z1324" s="48" t="n">
        <f aca="false">IF(A1324="","",IF(AND(Parameter!$B$21="Ja",ISNUMBER(W1324)),W1324,IF(BZ1324="2+3",IF(ISNUMBER(SEARCH("grosser Artikel",BR1324)),2,IFERROR(VLOOKUP(BU1324,Parameter!$F$35:$G$64,2,0),2)),IF(OR(BZ1324="Nein",BZ1324=""),"-",BZ1324))))</f>
        <v>3</v>
      </c>
      <c r="AA1324" s="55"/>
      <c r="AB1324" s="56"/>
      <c r="AC1324" s="50" t="n">
        <f aca="false">AT1324</f>
        <v>109</v>
      </c>
      <c r="AD1324" s="50" t="n">
        <f aca="false">MAX(AT1324,H1324)</f>
        <v>109</v>
      </c>
      <c r="AE1324" s="57"/>
      <c r="AF1324" s="50" t="n">
        <f aca="false">IF(LEFT(Cockpit!$C$5,1)="A",H1324,IF(CE1324=1,CF1324,IF(LEFT(Cockpit!$C$5,1)="B",AK1324,MAX(AK1324,H1324))))</f>
        <v>28</v>
      </c>
      <c r="AG1324" s="50" t="n">
        <f aca="false">IF(BW1324=1,0,ROUNDUP(AF1324/BV1324,0))</f>
        <v>1</v>
      </c>
      <c r="AH1324" s="52" t="n">
        <f aca="false">IF(CL1324&gt;0,CL1324*MAX(1,AF1324/X1324),IF(BW1324=1,IF(AF1324&lt;=0,0,CA1324*MAX(1,IF(H1324&gt;0,AF1324/H1324,1))),IF(R1324&gt;0,AG1324/R1324,0))/MAX(0.1,N(Parameter!$M$21)))</f>
        <v>0.0384615384615385</v>
      </c>
      <c r="AI1324" s="50" t="n">
        <f aca="false">AH1324*BY1324</f>
        <v>5.96153846153846</v>
      </c>
      <c r="AJ1324" s="50" t="n">
        <f aca="false">AF1324*G1324</f>
        <v>829.08</v>
      </c>
      <c r="AK1324" s="50" t="n">
        <f aca="false">ROUNDUP(MAX(J1324/IF(CD1324&gt;0,CD1324,MAX(0.1,N(Cockpit!$C$6))),CG1324)/BV1324,0)*BV1324</f>
        <v>109</v>
      </c>
      <c r="AL1324" s="51" t="n">
        <f aca="false">IF(AI1324&gt;0,J1324/AI1324,-1)</f>
        <v>12.5806451612903</v>
      </c>
      <c r="AM1324" s="51" t="n">
        <f aca="false">IF(AND(OR(CC1324="L1",CC1324="L23",CC1324="LIFT"),AI1324&gt;0),SUMIFS($AI$7:$AI$1843,$CC$7:$CC$1843,CC1324,$AL$7:$AL$1843,"&gt;"&amp;AL1324)+SUMIFS($AI$7:$AI$1843,$CC$7:$CC$1843,CC1324,$AL$7:$AL$1843,AL1324,$BT$7:$BT$1843,"&lt;="&amp;BT1324),"")</f>
        <v>2426.29761904762</v>
      </c>
      <c r="AN1324" s="58" t="n">
        <f aca="false">IF(AM1324="",0,MAX(0,MIN(1,(IF(CC1324="L1",Parameter!$H$5,IF(CC1324="L23",Parameter!$H$6+Parameter!$H$7,Parameter!$H$5+Parameter!$H$6+Parameter!$H$7))-(AM1324-AI1324))/AI1324)))</f>
        <v>1</v>
      </c>
      <c r="AO1324" s="50" t="n">
        <f aca="false">IF(LEFT(Cockpit!$I$5,1)="A",H1324,IF(CE1324=1,CF1324,IF(LEFT(Cockpit!$I$5,1)="B",AT1324,MAX(AT1324,H1324))))</f>
        <v>109</v>
      </c>
      <c r="AP1324" s="50" t="n">
        <f aca="false">IF(BW1324=1,0,ROUNDUP(AO1324/BV1324,0))</f>
        <v>1</v>
      </c>
      <c r="AQ1324" s="52" t="n">
        <f aca="false">IF(CL1324&gt;0,CL1324*MAX(1,AO1324/X1324),IF(BW1324=1,IF(AO1324&lt;=0,0,CA1324*MAX(1,IF(H1324&gt;0,AO1324/H1324,1))),IF(R1324&gt;0,AP1324/R1324,0))/MAX(0.1,N(Parameter!$M$21)))</f>
        <v>0.0384615384615385</v>
      </c>
      <c r="AR1324" s="50" t="n">
        <f aca="false">AQ1324*BY1324</f>
        <v>5.96153846153846</v>
      </c>
      <c r="AS1324" s="50" t="n">
        <f aca="false">AO1324*G1324</f>
        <v>3227.49</v>
      </c>
      <c r="AT1324" s="50" t="n">
        <f aca="false">ROUNDUP(MAX(J1324/IF(CD1324&gt;0,CD1324,MAX(0.1,N(Cockpit!$I$6))),CG1324)/BV1324,0)*BV1324</f>
        <v>109</v>
      </c>
      <c r="AU1324" s="51" t="n">
        <f aca="false">IF(AR1324&gt;0,J1324/AR1324,-1)</f>
        <v>12.5806451612903</v>
      </c>
      <c r="AV1324" s="51" t="n">
        <f aca="false">IF(AND(OR(CC1324="L1",CC1324="L23",CC1324="LIFT"),AR1324&gt;0),SUMIFS($AR$7:$AR$1843,$CC$7:$CC$1843,CC1324,$AU$7:$AU$1843,"&gt;"&amp;AU1324)+SUMIFS($AR$7:$AR$1843,$CC$7:$CC$1843,CC1324,$AU$7:$AU$1843,AU1324,$BT$7:$BT$1843,"&lt;="&amp;BT1324),"")</f>
        <v>3593.36401098901</v>
      </c>
      <c r="AW1324" s="58" t="n">
        <f aca="false">IF(AV1324="",0,MAX(0,MIN(1,(IF(CC1324="L1",Parameter!$H$5,IF(CC1324="L23",Parameter!$H$6+Parameter!$H$7,Parameter!$H$5+Parameter!$H$6+Parameter!$H$7))-(AV1324-AR1324))/AR1324)))</f>
        <v>1</v>
      </c>
      <c r="AX1324" s="50" t="n">
        <f aca="false">IF(LEFT(Cockpit!$O$5,1)="A",H1324,IF(CE1324=1,CF1324,IF(LEFT(Cockpit!$O$5,1)="B",BC1324,MAX(BC1324,H1324))))</f>
        <v>109</v>
      </c>
      <c r="AY1324" s="50" t="n">
        <f aca="false">IF(BW1324=1,0,ROUNDUP(AX1324/BV1324,0))</f>
        <v>1</v>
      </c>
      <c r="AZ1324" s="52" t="n">
        <f aca="false">IF(CL1324&gt;0,CL1324*MAX(1,AX1324/X1324),IF(BW1324=1,IF(AX1324&lt;=0,0,CA1324*MAX(1,IF(H1324&gt;0,AX1324/H1324,1))),IF(R1324&gt;0,AY1324/R1324,0))/MAX(0.1,N(Parameter!$M$21)))</f>
        <v>0.0384615384615385</v>
      </c>
      <c r="BA1324" s="50" t="n">
        <f aca="false">AZ1324*BY1324</f>
        <v>5.96153846153846</v>
      </c>
      <c r="BB1324" s="50" t="n">
        <f aca="false">AX1324*G1324</f>
        <v>3227.49</v>
      </c>
      <c r="BC1324" s="50" t="n">
        <f aca="false">ROUNDUP(MAX(J1324/IF(CD1324&gt;0,CD1324,MAX(0.1,N(Cockpit!$O$6))),CG1324)/BV1324,0)*BV1324</f>
        <v>109</v>
      </c>
      <c r="BD1324" s="51" t="n">
        <f aca="false">IF(BA1324&gt;0,J1324/BA1324,-1)</f>
        <v>12.5806451612903</v>
      </c>
      <c r="BE1324" s="51" t="n">
        <f aca="false">IF(AND(OR(CC1324="L1",CC1324="L23",CC1324="LIFT"),BA1324&gt;0),SUMIFS($BA$7:$BA$1843,$CC$7:$CC$1843,CC1324,$BD$7:$BD$1843,"&gt;"&amp;BD1324)+SUMIFS($BA$7:$BA$1843,$CC$7:$CC$1843,CC1324,$BD$7:$BD$1843,BD1324,$BT$7:$BT$1843,"&lt;="&amp;BT1324),"")</f>
        <v>3249.9184981685</v>
      </c>
      <c r="BF1324" s="58" t="n">
        <f aca="false">IF(BE1324="",0,MAX(0,MIN(1,(IF(CC1324="L1",Parameter!$H$5,IF(CC1324="L23",Parameter!$H$6+Parameter!$H$7,Parameter!$H$5+Parameter!$H$6+Parameter!$H$7))-(BE1324-BA1324))/BA1324)))</f>
        <v>1</v>
      </c>
      <c r="BG1324" s="48" t="str">
        <f aca="false">IF(AI1324&lt;=0,"",IF(CC1324="Aussen","Aussenlager",IF(CC1324="-","Nicht im Lift",IF(AN1324&gt;=1,"Lift",IF(AN1324&lt;=0,"Aussenlager","teilweise")))))</f>
        <v>Lift</v>
      </c>
      <c r="BH1324" s="48" t="str">
        <f aca="false">IF(AR1324&lt;=0,"",IF(CC1324="Aussen","Aussenlager",IF(CC1324="-","Nicht im Lift",IF(AW1324&gt;=1,"Lift",IF(AW1324&lt;=0,"Aussenlager","teilweise")))))</f>
        <v>Lift</v>
      </c>
      <c r="BI1324" s="48" t="str">
        <f aca="false">IF(BA1324&lt;=0,"",IF(CC1324="Aussen","Aussenlager",IF(CC1324="-","Nicht im Lift",IF(BF1324&gt;=1,"Lift",IF(BF1324&lt;=0,"Aussenlager","teilweise")))))</f>
        <v>Lift</v>
      </c>
      <c r="BJ1324" s="48" t="str">
        <f aca="false">IF(A1324="","",IF(BS1324=1,"Neu; ","")&amp;IF(AND(BS1324=0,BN1324&lt;0),"negativer Bestand (Export "&amp;BN1324&amp;"); ","")&amp;IF(J1324&lt;=0,"Kein Verbrauch; ","")&amp;IF(CL1324&gt;0,"Lift "&amp;W1324&amp;" lt. Liftbericht (Fach "&amp;X1324&amp;" Stk); ",IF(BX1324=1,"Gebinde geschätzt ("&amp;T1324&amp;"); ",IF(BW1324=1,"Lose – Tablare geschätzt; ","")))&amp;IF(H1324&gt;AT1324,"Überbestand "&amp;ROUND(H1324-AT1324,0)&amp;" Stk / CHF "&amp;ROUND((H1324-AT1324)*G1324,0)&amp;"; ","")&amp;IF(AND(CE1324=1,CF1324&lt;CG1324),"MAX &lt; MB+LG; ","")&amp;IF(AND(CK1324&gt;0,CJ1324*10&gt;CK1324),"zu hoch für Tablar; ","")&amp;IF(AND(BS1324=0,OR(CE1324=1,AA1324&lt;&gt;"",U1324&lt;&gt;"",V1324&lt;&gt;"",AB1324&lt;&gt;"")),"manuell übersteuert; ","")&amp;IF(AND(BW1324=0,R1324=0),"Gebinde unbekannt / Stellmass fehlt; ","")&amp;IF(AND(BW1324=0,N(V1324)&lt;=0,N(Q1324)&lt;=0),"Menge pro Gebinde fehlt (Ist = 1 Gebinde); ","")&amp;BR1324)</f>
        <v>negativer Bestand (Export -53); </v>
      </c>
      <c r="BK1324" s="48"/>
      <c r="BL1324" s="48"/>
      <c r="BM1324" s="55"/>
      <c r="BN1324" s="50" t="n">
        <v>-53</v>
      </c>
      <c r="BO1324" s="50" t="n">
        <v>81</v>
      </c>
      <c r="BP1324" s="49" t="n">
        <v>-1451.88</v>
      </c>
      <c r="BQ1324" s="50" t="n">
        <v>75</v>
      </c>
      <c r="BR1324" s="48"/>
      <c r="BS1324" s="53" t="n">
        <v>0</v>
      </c>
      <c r="BT1324" s="53" t="n">
        <v>1324</v>
      </c>
      <c r="BU1324" s="48" t="str">
        <f aca="false">IF(U1324&lt;&gt;"",UPPER(TRIM(U1324)),IF(BX1324=1,UPPER(VLOOKUP(T1324,Parameter!$I$27:$K$29,2,0)),IF(P1324="","LOSE",P1324)))</f>
        <v>S51</v>
      </c>
      <c r="BV1324" s="50" t="n">
        <f aca="false">IF(BU1324="LOSE",1,IF(N(V1324)&gt;0,V1324,IF(BX1324=1,MAX(1,N(VLOOKUP(T1324,Parameter!$I$27:$K$29,3,0)),H1324,N(N1324)),IF(N(Q1324)&gt;0,Q1324,MAX(1,H1324)))))</f>
        <v>109</v>
      </c>
      <c r="BW1324" s="53" t="n">
        <f aca="false">IF(BU1324="LOSE",1,0)</f>
        <v>0</v>
      </c>
      <c r="BX1324" s="53" t="n">
        <f aca="false">IF(AND(U1324="",OR(P1324="",P1324="LOSE"),T1324&lt;&gt;"",N(S1324)&lt;=0,ISNUMBER(MATCH(T1324,Parameter!$I$27:$I$29,0))),1,0)</f>
        <v>0</v>
      </c>
      <c r="BY1324" s="53" t="n">
        <f aca="false">IF(CL1324&gt;0,INDEX(Parameter!$H$5:$H$7,W1324)/INDEX(Parameter!$E$5:$E$7,W1324),IF(AND(BW1324=0,N(IFERROR(VLOOKUP(BU1324,'Gebinde-Kategorie'!$A$5:$N$45,14,0),0))&gt;0),VLOOKUP(BU1324,'Gebinde-Kategorie'!$A$5:$N$45,14,0)*10+Parameter!$M$23,Parameter!$M$24))</f>
        <v>155</v>
      </c>
      <c r="BZ1324" s="48" t="str">
        <f aca="false">IF(AND(Parameter!$B$19="Ja",E1324&lt;&gt;"",ISNUMBER(MATCH(E1324,Parameter!$I$35:$I$52,0))),VLOOKUP(E1324,Parameter!$I$35:$J$52,2,0),IFERROR(VLOOKUP(D1324,Parameter!$A$35:$C$64,2,0),"Nein"))</f>
        <v>2+3</v>
      </c>
      <c r="CA1324" s="52" t="n">
        <f aca="false">IF(BW1324=0,0,IF(N(S1324)&gt;0,S1324,IFERROR(VLOOKUP(D1324,Parameter!$A$35:$C$64,3,0)+0,0)))</f>
        <v>0</v>
      </c>
      <c r="CB1324" s="48" t="n">
        <f aca="false">IF(AA1324&lt;&gt;"",AA1324,Z1324)</f>
        <v>3</v>
      </c>
      <c r="CC1324" s="48" t="str">
        <f aca="false">IF(OR(CB1324=1,CB1324=2,CB1324=3),IF(Parameter!$E$27="Ja","LIFT",IF(CB1324=1,"L1","L23")),IF(CB1324="Aussen","Aussen","-"))</f>
        <v>LIFT</v>
      </c>
      <c r="CD1324" s="59" t="n">
        <f aca="false">IF(N(AB1324)&gt;0,AB1324,0)</f>
        <v>0</v>
      </c>
      <c r="CE1324" s="53" t="n">
        <f aca="false">IF(ISNUMBER(AE1324),1,0)</f>
        <v>0</v>
      </c>
      <c r="CF1324" s="50" t="n">
        <f aca="false">N(AE1324)</f>
        <v>0</v>
      </c>
      <c r="CG1324" s="50" t="n">
        <f aca="false">N(M1324)+N(N1324)</f>
        <v>77</v>
      </c>
      <c r="CH1324" s="50" t="n">
        <f aca="false">ROUNDUP(H1324/BV1324,0)</f>
        <v>1</v>
      </c>
      <c r="CI1324" s="50" t="n">
        <f aca="false">ROUNDUP(CF1324/BV1324,0)</f>
        <v>0</v>
      </c>
      <c r="CJ1324" s="53" t="n">
        <f aca="false">IF(BW1324=1,0,IFERROR(VLOOKUP(BU1324,'Gebinde-Kategorie'!$A$5:$N$45,5,0)+0,0))</f>
        <v>11</v>
      </c>
      <c r="CK1324" s="53" t="n">
        <f aca="false">IFERROR(IF(OR(CB1324=1,CB1324=2,CB1324=3),N(INDEX(Parameter!$I$5:$I$7,CB1324)),0),0)</f>
        <v>0</v>
      </c>
      <c r="CL1324" s="52" t="n">
        <f aca="false">IF(AND(Parameter!$B$21="Ja",ISNUMBER(W1324),N(X1324)&gt;0),IFERROR(N(INDEX(Parameter!$L$5:$L$7,W1324))*INDEX(Parameter!$E$5:$E$7,W1324)*X1324/SUMIFS($X$7:$X$1843,$W$7:$W$1843,W1324),0),0)</f>
        <v>0</v>
      </c>
    </row>
    <row r="1325" customFormat="false" ht="15" hidden="false" customHeight="false" outlineLevel="0" collapsed="false">
      <c r="A1325" s="48" t="s">
        <v>2355</v>
      </c>
      <c r="B1325" s="48" t="s">
        <v>2356</v>
      </c>
      <c r="C1325" s="48" t="s">
        <v>168</v>
      </c>
      <c r="D1325" s="48" t="s">
        <v>188</v>
      </c>
      <c r="E1325" s="48" t="s">
        <v>189</v>
      </c>
      <c r="F1325" s="48" t="s">
        <v>222</v>
      </c>
      <c r="G1325" s="49" t="n">
        <v>8.87</v>
      </c>
      <c r="H1325" s="50" t="n">
        <f aca="false">MAX(0,IF(AND(Parameter!$B$21="Ja",ISNUMBER(Y1325)),Y1325,IF(Parameter!$B$20="Jahresanfang 2025 + Export",BO1325+BN1325,BN1325)))</f>
        <v>377</v>
      </c>
      <c r="I1325" s="50" t="n">
        <f aca="false">H1325*G1325</f>
        <v>3343.99</v>
      </c>
      <c r="J1325" s="50" t="n">
        <f aca="false">BQ1325*Parameter!$B$18</f>
        <v>1312</v>
      </c>
      <c r="K1325" s="51" t="n">
        <v>657.5</v>
      </c>
      <c r="L1325" s="52" t="n">
        <v>1.99543726235741</v>
      </c>
      <c r="M1325" s="50" t="n">
        <v>206</v>
      </c>
      <c r="N1325" s="50" t="n">
        <v>600</v>
      </c>
      <c r="O1325" s="53" t="n">
        <v>56</v>
      </c>
      <c r="P1325" s="48" t="s">
        <v>306</v>
      </c>
      <c r="Q1325" s="50" t="n">
        <v>881</v>
      </c>
      <c r="R1325" s="53" t="n">
        <f aca="false">IF(BW1325=1,0,IFERROR(VLOOKUP(BU1325,'Gebinde-Kategorie'!$A$5:$N$45,13,0)+0,0))</f>
        <v>26</v>
      </c>
      <c r="S1325" s="54"/>
      <c r="T1325" s="55"/>
      <c r="U1325" s="55"/>
      <c r="V1325" s="55"/>
      <c r="W1325" s="48"/>
      <c r="X1325" s="50"/>
      <c r="Y1325" s="50"/>
      <c r="Z1325" s="48" t="n">
        <f aca="false">IF(A1325="","",IF(AND(Parameter!$B$21="Ja",ISNUMBER(W1325)),W1325,IF(BZ1325="2+3",IF(ISNUMBER(SEARCH("grosser Artikel",BR1325)),2,IFERROR(VLOOKUP(BU1325,Parameter!$F$35:$G$64,2,0),2)),IF(OR(BZ1325="Nein",BZ1325=""),"-",BZ1325))))</f>
        <v>3</v>
      </c>
      <c r="AA1325" s="55"/>
      <c r="AB1325" s="56"/>
      <c r="AC1325" s="50" t="n">
        <f aca="false">AT1325</f>
        <v>881</v>
      </c>
      <c r="AD1325" s="50" t="n">
        <f aca="false">MAX(AT1325,H1325)</f>
        <v>881</v>
      </c>
      <c r="AE1325" s="57"/>
      <c r="AF1325" s="50" t="n">
        <f aca="false">IF(LEFT(Cockpit!$C$5,1)="A",H1325,IF(CE1325=1,CF1325,IF(LEFT(Cockpit!$C$5,1)="B",AK1325,MAX(AK1325,H1325))))</f>
        <v>377</v>
      </c>
      <c r="AG1325" s="50" t="n">
        <f aca="false">IF(BW1325=1,0,ROUNDUP(AF1325/BV1325,0))</f>
        <v>1</v>
      </c>
      <c r="AH1325" s="52" t="n">
        <f aca="false">IF(CL1325&gt;0,CL1325*MAX(1,AF1325/X1325),IF(BW1325=1,IF(AF1325&lt;=0,0,CA1325*MAX(1,IF(H1325&gt;0,AF1325/H1325,1))),IF(R1325&gt;0,AG1325/R1325,0))/MAX(0.1,N(Parameter!$M$21)))</f>
        <v>0.0384615384615385</v>
      </c>
      <c r="AI1325" s="50" t="n">
        <f aca="false">AH1325*BY1325</f>
        <v>5.96153846153846</v>
      </c>
      <c r="AJ1325" s="50" t="n">
        <f aca="false">AF1325*G1325</f>
        <v>3343.99</v>
      </c>
      <c r="AK1325" s="50" t="n">
        <f aca="false">ROUNDUP(MAX(J1325/IF(CD1325&gt;0,CD1325,MAX(0.1,N(Cockpit!$C$6))),CG1325)/BV1325,0)*BV1325</f>
        <v>881</v>
      </c>
      <c r="AL1325" s="51" t="n">
        <f aca="false">IF(AI1325&gt;0,J1325/AI1325,-1)</f>
        <v>220.077419354839</v>
      </c>
      <c r="AM1325" s="51" t="n">
        <f aca="false">IF(AND(OR(CC1325="L1",CC1325="L23",CC1325="LIFT"),AI1325&gt;0),SUMIFS($AI$7:$AI$1843,$CC$7:$CC$1843,CC1325,$AL$7:$AL$1843,"&gt;"&amp;AL1325)+SUMIFS($AI$7:$AI$1843,$CC$7:$CC$1843,CC1325,$AL$7:$AL$1843,AL1325,$BT$7:$BT$1843,"&lt;="&amp;BT1325),"")</f>
        <v>314.666666666667</v>
      </c>
      <c r="AN1325" s="58" t="n">
        <f aca="false">IF(AM1325="",0,MAX(0,MIN(1,(IF(CC1325="L1",Parameter!$H$5,IF(CC1325="L23",Parameter!$H$6+Parameter!$H$7,Parameter!$H$5+Parameter!$H$6+Parameter!$H$7))-(AM1325-AI1325))/AI1325)))</f>
        <v>1</v>
      </c>
      <c r="AO1325" s="50" t="n">
        <f aca="false">IF(LEFT(Cockpit!$I$5,1)="A",H1325,IF(CE1325=1,CF1325,IF(LEFT(Cockpit!$I$5,1)="B",AT1325,MAX(AT1325,H1325))))</f>
        <v>881</v>
      </c>
      <c r="AP1325" s="50" t="n">
        <f aca="false">IF(BW1325=1,0,ROUNDUP(AO1325/BV1325,0))</f>
        <v>1</v>
      </c>
      <c r="AQ1325" s="52" t="n">
        <f aca="false">IF(CL1325&gt;0,CL1325*MAX(1,AO1325/X1325),IF(BW1325=1,IF(AO1325&lt;=0,0,CA1325*MAX(1,IF(H1325&gt;0,AO1325/H1325,1))),IF(R1325&gt;0,AP1325/R1325,0))/MAX(0.1,N(Parameter!$M$21)))</f>
        <v>0.0384615384615385</v>
      </c>
      <c r="AR1325" s="50" t="n">
        <f aca="false">AQ1325*BY1325</f>
        <v>5.96153846153846</v>
      </c>
      <c r="AS1325" s="50" t="n">
        <f aca="false">AO1325*G1325</f>
        <v>7814.47</v>
      </c>
      <c r="AT1325" s="50" t="n">
        <f aca="false">ROUNDUP(MAX(J1325/IF(CD1325&gt;0,CD1325,MAX(0.1,N(Cockpit!$I$6))),CG1325)/BV1325,0)*BV1325</f>
        <v>881</v>
      </c>
      <c r="AU1325" s="51" t="n">
        <f aca="false">IF(AR1325&gt;0,J1325/AR1325,-1)</f>
        <v>220.077419354839</v>
      </c>
      <c r="AV1325" s="51" t="n">
        <f aca="false">IF(AND(OR(CC1325="L1",CC1325="L23",CC1325="LIFT"),AR1325&gt;0),SUMIFS($AR$7:$AR$1843,$CC$7:$CC$1843,CC1325,$AU$7:$AU$1843,"&gt;"&amp;AU1325)+SUMIFS($AR$7:$AR$1843,$CC$7:$CC$1843,CC1325,$AU$7:$AU$1843,AU1325,$BT$7:$BT$1843,"&lt;="&amp;BT1325),"")</f>
        <v>243.474816849817</v>
      </c>
      <c r="AW1325" s="58" t="n">
        <f aca="false">IF(AV1325="",0,MAX(0,MIN(1,(IF(CC1325="L1",Parameter!$H$5,IF(CC1325="L23",Parameter!$H$6+Parameter!$H$7,Parameter!$H$5+Parameter!$H$6+Parameter!$H$7))-(AV1325-AR1325))/AR1325)))</f>
        <v>1</v>
      </c>
      <c r="AX1325" s="50" t="n">
        <f aca="false">IF(LEFT(Cockpit!$O$5,1)="A",H1325,IF(CE1325=1,CF1325,IF(LEFT(Cockpit!$O$5,1)="B",BC1325,MAX(BC1325,H1325))))</f>
        <v>881</v>
      </c>
      <c r="AY1325" s="50" t="n">
        <f aca="false">IF(BW1325=1,0,ROUNDUP(AX1325/BV1325,0))</f>
        <v>1</v>
      </c>
      <c r="AZ1325" s="52" t="n">
        <f aca="false">IF(CL1325&gt;0,CL1325*MAX(1,AX1325/X1325),IF(BW1325=1,IF(AX1325&lt;=0,0,CA1325*MAX(1,IF(H1325&gt;0,AX1325/H1325,1))),IF(R1325&gt;0,AY1325/R1325,0))/MAX(0.1,N(Parameter!$M$21)))</f>
        <v>0.0384615384615385</v>
      </c>
      <c r="BA1325" s="50" t="n">
        <f aca="false">AZ1325*BY1325</f>
        <v>5.96153846153846</v>
      </c>
      <c r="BB1325" s="50" t="n">
        <f aca="false">AX1325*G1325</f>
        <v>7814.47</v>
      </c>
      <c r="BC1325" s="50" t="n">
        <f aca="false">ROUNDUP(MAX(J1325/IF(CD1325&gt;0,CD1325,MAX(0.1,N(Cockpit!$O$6))),CG1325)/BV1325,0)*BV1325</f>
        <v>881</v>
      </c>
      <c r="BD1325" s="51" t="n">
        <f aca="false">IF(BA1325&gt;0,J1325/BA1325,-1)</f>
        <v>220.077419354839</v>
      </c>
      <c r="BE1325" s="51" t="n">
        <f aca="false">IF(AND(OR(CC1325="L1",CC1325="L23",CC1325="LIFT"),BA1325&gt;0),SUMIFS($BA$7:$BA$1843,$CC$7:$CC$1843,CC1325,$BD$7:$BD$1843,"&gt;"&amp;BD1325)+SUMIFS($BA$7:$BA$1843,$CC$7:$CC$1843,CC1325,$BD$7:$BD$1843,BD1325,$BT$7:$BT$1843,"&lt;="&amp;BT1325),"")</f>
        <v>334.692765567766</v>
      </c>
      <c r="BF1325" s="58" t="n">
        <f aca="false">IF(BE1325="",0,MAX(0,MIN(1,(IF(CC1325="L1",Parameter!$H$5,IF(CC1325="L23",Parameter!$H$6+Parameter!$H$7,Parameter!$H$5+Parameter!$H$6+Parameter!$H$7))-(BE1325-BA1325))/BA1325)))</f>
        <v>1</v>
      </c>
      <c r="BG1325" s="48" t="str">
        <f aca="false">IF(AI1325&lt;=0,"",IF(CC1325="Aussen","Aussenlager",IF(CC1325="-","Nicht im Lift",IF(AN1325&gt;=1,"Lift",IF(AN1325&lt;=0,"Aussenlager","teilweise")))))</f>
        <v>Lift</v>
      </c>
      <c r="BH1325" s="48" t="str">
        <f aca="false">IF(AR1325&lt;=0,"",IF(CC1325="Aussen","Aussenlager",IF(CC1325="-","Nicht im Lift",IF(AW1325&gt;=1,"Lift",IF(AW1325&lt;=0,"Aussenlager","teilweise")))))</f>
        <v>Lift</v>
      </c>
      <c r="BI1325" s="48" t="str">
        <f aca="false">IF(BA1325&lt;=0,"",IF(CC1325="Aussen","Aussenlager",IF(CC1325="-","Nicht im Lift",IF(BF1325&gt;=1,"Lift",IF(BF1325&lt;=0,"Aussenlager","teilweise")))))</f>
        <v>Lift</v>
      </c>
      <c r="BJ1325" s="48" t="str">
        <f aca="false">IF(A1325="","",IF(BS1325=1,"Neu; ","")&amp;IF(AND(BS1325=0,BN1325&lt;0),"negativer Bestand (Export "&amp;BN1325&amp;"); ","")&amp;IF(J1325&lt;=0,"Kein Verbrauch; ","")&amp;IF(CL1325&gt;0,"Lift "&amp;W1325&amp;" lt. Liftbericht (Fach "&amp;X1325&amp;" Stk); ",IF(BX1325=1,"Gebinde geschätzt ("&amp;T1325&amp;"); ",IF(BW1325=1,"Lose – Tablare geschätzt; ","")))&amp;IF(H1325&gt;AT1325,"Überbestand "&amp;ROUND(H1325-AT1325,0)&amp;" Stk / CHF "&amp;ROUND((H1325-AT1325)*G1325,0)&amp;"; ","")&amp;IF(AND(CE1325=1,CF1325&lt;CG1325),"MAX &lt; MB+LG; ","")&amp;IF(AND(CK1325&gt;0,CJ1325*10&gt;CK1325),"zu hoch für Tablar; ","")&amp;IF(AND(BS1325=0,OR(CE1325=1,AA1325&lt;&gt;"",U1325&lt;&gt;"",V1325&lt;&gt;"",AB1325&lt;&gt;"")),"manuell übersteuert; ","")&amp;IF(AND(BW1325=0,R1325=0),"Gebinde unbekannt / Stellmass fehlt; ","")&amp;IF(AND(BW1325=0,N(V1325)&lt;=0,N(Q1325)&lt;=0),"Menge pro Gebinde fehlt (Ist = 1 Gebinde); ","")&amp;BR1325)</f>
        <v>negativer Bestand (Export -179); </v>
      </c>
      <c r="BK1325" s="48"/>
      <c r="BL1325" s="48"/>
      <c r="BM1325" s="55"/>
      <c r="BN1325" s="50" t="n">
        <v>-179</v>
      </c>
      <c r="BO1325" s="50" t="n">
        <v>556</v>
      </c>
      <c r="BP1325" s="49" t="n">
        <v>-1484.94000000002</v>
      </c>
      <c r="BQ1325" s="50" t="n">
        <v>1312</v>
      </c>
      <c r="BR1325" s="48"/>
      <c r="BS1325" s="53" t="n">
        <v>0</v>
      </c>
      <c r="BT1325" s="53" t="n">
        <v>1325</v>
      </c>
      <c r="BU1325" s="48" t="str">
        <f aca="false">IF(U1325&lt;&gt;"",UPPER(TRIM(U1325)),IF(BX1325=1,UPPER(VLOOKUP(T1325,Parameter!$I$27:$K$29,2,0)),IF(P1325="","LOSE",P1325)))</f>
        <v>S51</v>
      </c>
      <c r="BV1325" s="50" t="n">
        <f aca="false">IF(BU1325="LOSE",1,IF(N(V1325)&gt;0,V1325,IF(BX1325=1,MAX(1,N(VLOOKUP(T1325,Parameter!$I$27:$K$29,3,0)),H1325,N(N1325)),IF(N(Q1325)&gt;0,Q1325,MAX(1,H1325)))))</f>
        <v>881</v>
      </c>
      <c r="BW1325" s="53" t="n">
        <f aca="false">IF(BU1325="LOSE",1,0)</f>
        <v>0</v>
      </c>
      <c r="BX1325" s="53" t="n">
        <f aca="false">IF(AND(U1325="",OR(P1325="",P1325="LOSE"),T1325&lt;&gt;"",N(S1325)&lt;=0,ISNUMBER(MATCH(T1325,Parameter!$I$27:$I$29,0))),1,0)</f>
        <v>0</v>
      </c>
      <c r="BY1325" s="53" t="n">
        <f aca="false">IF(CL1325&gt;0,INDEX(Parameter!$H$5:$H$7,W1325)/INDEX(Parameter!$E$5:$E$7,W1325),IF(AND(BW1325=0,N(IFERROR(VLOOKUP(BU1325,'Gebinde-Kategorie'!$A$5:$N$45,14,0),0))&gt;0),VLOOKUP(BU1325,'Gebinde-Kategorie'!$A$5:$N$45,14,0)*10+Parameter!$M$23,Parameter!$M$24))</f>
        <v>155</v>
      </c>
      <c r="BZ1325" s="48" t="str">
        <f aca="false">IF(AND(Parameter!$B$19="Ja",E1325&lt;&gt;"",ISNUMBER(MATCH(E1325,Parameter!$I$35:$I$52,0))),VLOOKUP(E1325,Parameter!$I$35:$J$52,2,0),IFERROR(VLOOKUP(D1325,Parameter!$A$35:$C$64,2,0),"Nein"))</f>
        <v>2+3</v>
      </c>
      <c r="CA1325" s="52" t="n">
        <f aca="false">IF(BW1325=0,0,IF(N(S1325)&gt;0,S1325,IFERROR(VLOOKUP(D1325,Parameter!$A$35:$C$64,3,0)+0,0)))</f>
        <v>0</v>
      </c>
      <c r="CB1325" s="48" t="n">
        <f aca="false">IF(AA1325&lt;&gt;"",AA1325,Z1325)</f>
        <v>3</v>
      </c>
      <c r="CC1325" s="48" t="str">
        <f aca="false">IF(OR(CB1325=1,CB1325=2,CB1325=3),IF(Parameter!$E$27="Ja","LIFT",IF(CB1325=1,"L1","L23")),IF(CB1325="Aussen","Aussen","-"))</f>
        <v>LIFT</v>
      </c>
      <c r="CD1325" s="59" t="n">
        <f aca="false">IF(N(AB1325)&gt;0,AB1325,0)</f>
        <v>0</v>
      </c>
      <c r="CE1325" s="53" t="n">
        <f aca="false">IF(ISNUMBER(AE1325),1,0)</f>
        <v>0</v>
      </c>
      <c r="CF1325" s="50" t="n">
        <f aca="false">N(AE1325)</f>
        <v>0</v>
      </c>
      <c r="CG1325" s="50" t="n">
        <f aca="false">N(M1325)+N(N1325)</f>
        <v>806</v>
      </c>
      <c r="CH1325" s="50" t="n">
        <f aca="false">ROUNDUP(H1325/BV1325,0)</f>
        <v>1</v>
      </c>
      <c r="CI1325" s="50" t="n">
        <f aca="false">ROUNDUP(CF1325/BV1325,0)</f>
        <v>0</v>
      </c>
      <c r="CJ1325" s="53" t="n">
        <f aca="false">IF(BW1325=1,0,IFERROR(VLOOKUP(BU1325,'Gebinde-Kategorie'!$A$5:$N$45,5,0)+0,0))</f>
        <v>11</v>
      </c>
      <c r="CK1325" s="53" t="n">
        <f aca="false">IFERROR(IF(OR(CB1325=1,CB1325=2,CB1325=3),N(INDEX(Parameter!$I$5:$I$7,CB1325)),0),0)</f>
        <v>0</v>
      </c>
      <c r="CL1325" s="52" t="n">
        <f aca="false">IF(AND(Parameter!$B$21="Ja",ISNUMBER(W1325),N(X1325)&gt;0),IFERROR(N(INDEX(Parameter!$L$5:$L$7,W1325))*INDEX(Parameter!$E$5:$E$7,W1325)*X1325/SUMIFS($X$7:$X$1843,$W$7:$W$1843,W1325),0),0)</f>
        <v>0</v>
      </c>
    </row>
    <row r="1326" customFormat="false" ht="15" hidden="false" customHeight="false" outlineLevel="0" collapsed="false">
      <c r="A1326" s="48" t="s">
        <v>2357</v>
      </c>
      <c r="B1326" s="48" t="s">
        <v>2358</v>
      </c>
      <c r="C1326" s="48" t="s">
        <v>168</v>
      </c>
      <c r="D1326" s="48" t="s">
        <v>188</v>
      </c>
      <c r="E1326" s="48"/>
      <c r="F1326" s="48" t="s">
        <v>222</v>
      </c>
      <c r="G1326" s="49" t="n">
        <v>55.4</v>
      </c>
      <c r="H1326" s="50" t="n">
        <f aca="false">MAX(0,IF(AND(Parameter!$B$21="Ja",ISNUMBER(Y1326)),Y1326,IF(Parameter!$B$20="Jahresanfang 2025 + Export",BO1326+BN1326,BN1326)))</f>
        <v>71</v>
      </c>
      <c r="I1326" s="50" t="n">
        <f aca="false">H1326*G1326</f>
        <v>3933.4</v>
      </c>
      <c r="J1326" s="50" t="n">
        <f aca="false">BQ1326*Parameter!$B$18</f>
        <v>12</v>
      </c>
      <c r="K1326" s="51" t="n">
        <v>92</v>
      </c>
      <c r="L1326" s="52" t="n">
        <v>0.130434782608696</v>
      </c>
      <c r="M1326" s="50" t="n">
        <v>1</v>
      </c>
      <c r="N1326" s="50" t="n">
        <v>10</v>
      </c>
      <c r="O1326" s="53" t="n">
        <v>42</v>
      </c>
      <c r="P1326" s="48" t="s">
        <v>172</v>
      </c>
      <c r="Q1326" s="50"/>
      <c r="R1326" s="53" t="n">
        <f aca="false">IF(BW1326=1,0,IFERROR(VLOOKUP(BU1326,'Gebinde-Kategorie'!$A$5:$N$45,13,0)+0,0))</f>
        <v>12</v>
      </c>
      <c r="S1326" s="54"/>
      <c r="T1326" s="55" t="s">
        <v>183</v>
      </c>
      <c r="U1326" s="55"/>
      <c r="V1326" s="55"/>
      <c r="W1326" s="48"/>
      <c r="X1326" s="50"/>
      <c r="Y1326" s="50"/>
      <c r="Z1326" s="48" t="n">
        <f aca="false">IF(A1326="","",IF(AND(Parameter!$B$21="Ja",ISNUMBER(W1326)),W1326,IF(BZ1326="2+3",IF(ISNUMBER(SEARCH("grosser Artikel",BR1326)),2,IFERROR(VLOOKUP(BU1326,Parameter!$F$35:$G$64,2,0),2)),IF(OR(BZ1326="Nein",BZ1326=""),"-",BZ1326))))</f>
        <v>2</v>
      </c>
      <c r="AA1326" s="55"/>
      <c r="AB1326" s="56"/>
      <c r="AC1326" s="50" t="n">
        <f aca="false">AT1326</f>
        <v>71</v>
      </c>
      <c r="AD1326" s="50" t="n">
        <f aca="false">MAX(AT1326,H1326)</f>
        <v>71</v>
      </c>
      <c r="AE1326" s="57"/>
      <c r="AF1326" s="50" t="n">
        <f aca="false">IF(LEFT(Cockpit!$C$5,1)="A",H1326,IF(CE1326=1,CF1326,IF(LEFT(Cockpit!$C$5,1)="B",AK1326,MAX(AK1326,H1326))))</f>
        <v>71</v>
      </c>
      <c r="AG1326" s="50" t="n">
        <f aca="false">IF(BW1326=1,0,ROUNDUP(AF1326/BV1326,0))</f>
        <v>1</v>
      </c>
      <c r="AH1326" s="52" t="n">
        <f aca="false">IF(CL1326&gt;0,CL1326*MAX(1,AF1326/X1326),IF(BW1326=1,IF(AF1326&lt;=0,0,CA1326*MAX(1,IF(H1326&gt;0,AF1326/H1326,1))),IF(R1326&gt;0,AG1326/R1326,0))/MAX(0.1,N(Parameter!$M$21)))</f>
        <v>0.0833333333333333</v>
      </c>
      <c r="AI1326" s="50" t="n">
        <f aca="false">AH1326*BY1326</f>
        <v>12.0833333333333</v>
      </c>
      <c r="AJ1326" s="50" t="n">
        <f aca="false">AF1326*G1326</f>
        <v>3933.4</v>
      </c>
      <c r="AK1326" s="50" t="n">
        <f aca="false">ROUNDUP(MAX(J1326/IF(CD1326&gt;0,CD1326,MAX(0.1,N(Cockpit!$C$6))),CG1326)/BV1326,0)*BV1326</f>
        <v>71</v>
      </c>
      <c r="AL1326" s="51" t="n">
        <f aca="false">IF(AI1326&gt;0,J1326/AI1326,-1)</f>
        <v>0.993103448275862</v>
      </c>
      <c r="AM1326" s="51" t="n">
        <f aca="false">IF(AND(OR(CC1326="L1",CC1326="L23",CC1326="LIFT"),AI1326&gt;0),SUMIFS($AI$7:$AI$1843,$CC$7:$CC$1843,CC1326,$AL$7:$AL$1843,"&gt;"&amp;AL1326)+SUMIFS($AI$7:$AI$1843,$CC$7:$CC$1843,CC1326,$AL$7:$AL$1843,AL1326,$BT$7:$BT$1843,"&lt;="&amp;BT1326),"")</f>
        <v>7086.69276556777</v>
      </c>
      <c r="AN1326" s="58" t="n">
        <f aca="false">IF(AM1326="",0,MAX(0,MIN(1,(IF(CC1326="L1",Parameter!$H$5,IF(CC1326="L23",Parameter!$H$6+Parameter!$H$7,Parameter!$H$5+Parameter!$H$6+Parameter!$H$7))-(AM1326-AI1326))/AI1326)))</f>
        <v>1</v>
      </c>
      <c r="AO1326" s="50" t="n">
        <f aca="false">IF(LEFT(Cockpit!$I$5,1)="A",H1326,IF(CE1326=1,CF1326,IF(LEFT(Cockpit!$I$5,1)="B",AT1326,MAX(AT1326,H1326))))</f>
        <v>71</v>
      </c>
      <c r="AP1326" s="50" t="n">
        <f aca="false">IF(BW1326=1,0,ROUNDUP(AO1326/BV1326,0))</f>
        <v>1</v>
      </c>
      <c r="AQ1326" s="52" t="n">
        <f aca="false">IF(CL1326&gt;0,CL1326*MAX(1,AO1326/X1326),IF(BW1326=1,IF(AO1326&lt;=0,0,CA1326*MAX(1,IF(H1326&gt;0,AO1326/H1326,1))),IF(R1326&gt;0,AP1326/R1326,0))/MAX(0.1,N(Parameter!$M$21)))</f>
        <v>0.0833333333333333</v>
      </c>
      <c r="AR1326" s="50" t="n">
        <f aca="false">AQ1326*BY1326</f>
        <v>12.0833333333333</v>
      </c>
      <c r="AS1326" s="50" t="n">
        <f aca="false">AO1326*G1326</f>
        <v>3933.4</v>
      </c>
      <c r="AT1326" s="50" t="n">
        <f aca="false">ROUNDUP(MAX(J1326/IF(CD1326&gt;0,CD1326,MAX(0.1,N(Cockpit!$I$6))),CG1326)/BV1326,0)*BV1326</f>
        <v>71</v>
      </c>
      <c r="AU1326" s="51" t="n">
        <f aca="false">IF(AR1326&gt;0,J1326/AR1326,-1)</f>
        <v>0.993103448275862</v>
      </c>
      <c r="AV1326" s="51" t="n">
        <f aca="false">IF(AND(OR(CC1326="L1",CC1326="L23",CC1326="LIFT"),AR1326&gt;0),SUMIFS($AR$7:$AR$1843,$CC$7:$CC$1843,CC1326,$AU$7:$AU$1843,"&gt;"&amp;AU1326)+SUMIFS($AR$7:$AR$1843,$CC$7:$CC$1843,CC1326,$AU$7:$AU$1843,AU1326,$BT$7:$BT$1843,"&lt;="&amp;BT1326),"")</f>
        <v>10237.0521978022</v>
      </c>
      <c r="AW1326" s="58" t="n">
        <f aca="false">IF(AV1326="",0,MAX(0,MIN(1,(IF(CC1326="L1",Parameter!$H$5,IF(CC1326="L23",Parameter!$H$6+Parameter!$H$7,Parameter!$H$5+Parameter!$H$6+Parameter!$H$7))-(AV1326-AR1326))/AR1326)))</f>
        <v>1</v>
      </c>
      <c r="AX1326" s="50" t="n">
        <f aca="false">IF(LEFT(Cockpit!$O$5,1)="A",H1326,IF(CE1326=1,CF1326,IF(LEFT(Cockpit!$O$5,1)="B",BC1326,MAX(BC1326,H1326))))</f>
        <v>71</v>
      </c>
      <c r="AY1326" s="50" t="n">
        <f aca="false">IF(BW1326=1,0,ROUNDUP(AX1326/BV1326,0))</f>
        <v>1</v>
      </c>
      <c r="AZ1326" s="52" t="n">
        <f aca="false">IF(CL1326&gt;0,CL1326*MAX(1,AX1326/X1326),IF(BW1326=1,IF(AX1326&lt;=0,0,CA1326*MAX(1,IF(H1326&gt;0,AX1326/H1326,1))),IF(R1326&gt;0,AY1326/R1326,0))/MAX(0.1,N(Parameter!$M$21)))</f>
        <v>0.0833333333333333</v>
      </c>
      <c r="BA1326" s="50" t="n">
        <f aca="false">AZ1326*BY1326</f>
        <v>12.0833333333333</v>
      </c>
      <c r="BB1326" s="50" t="n">
        <f aca="false">AX1326*G1326</f>
        <v>3933.4</v>
      </c>
      <c r="BC1326" s="50" t="n">
        <f aca="false">ROUNDUP(MAX(J1326/IF(CD1326&gt;0,CD1326,MAX(0.1,N(Cockpit!$O$6))),CG1326)/BV1326,0)*BV1326</f>
        <v>71</v>
      </c>
      <c r="BD1326" s="51" t="n">
        <f aca="false">IF(BA1326&gt;0,J1326/BA1326,-1)</f>
        <v>0.993103448275862</v>
      </c>
      <c r="BE1326" s="51" t="n">
        <f aca="false">IF(AND(OR(CC1326="L1",CC1326="L23",CC1326="LIFT"),BA1326&gt;0),SUMIFS($BA$7:$BA$1843,$CC$7:$CC$1843,CC1326,$BD$7:$BD$1843,"&gt;"&amp;BD1326)+SUMIFS($BA$7:$BA$1843,$CC$7:$CC$1843,CC1326,$BD$7:$BD$1843,BD1326,$BT$7:$BT$1843,"&lt;="&amp;BT1326),"")</f>
        <v>9326.04258241758</v>
      </c>
      <c r="BF1326" s="58" t="n">
        <f aca="false">IF(BE1326="",0,MAX(0,MIN(1,(IF(CC1326="L1",Parameter!$H$5,IF(CC1326="L23",Parameter!$H$6+Parameter!$H$7,Parameter!$H$5+Parameter!$H$6+Parameter!$H$7))-(BE1326-BA1326))/BA1326)))</f>
        <v>1</v>
      </c>
      <c r="BG1326" s="48" t="str">
        <f aca="false">IF(AI1326&lt;=0,"",IF(CC1326="Aussen","Aussenlager",IF(CC1326="-","Nicht im Lift",IF(AN1326&gt;=1,"Lift",IF(AN1326&lt;=0,"Aussenlager","teilweise")))))</f>
        <v>Lift</v>
      </c>
      <c r="BH1326" s="48" t="str">
        <f aca="false">IF(AR1326&lt;=0,"",IF(CC1326="Aussen","Aussenlager",IF(CC1326="-","Nicht im Lift",IF(AW1326&gt;=1,"Lift",IF(AW1326&lt;=0,"Aussenlager","teilweise")))))</f>
        <v>Lift</v>
      </c>
      <c r="BI1326" s="48" t="str">
        <f aca="false">IF(BA1326&lt;=0,"",IF(CC1326="Aussen","Aussenlager",IF(CC1326="-","Nicht im Lift",IF(BF1326&gt;=1,"Lift",IF(BF1326&lt;=0,"Aussenlager","teilweise")))))</f>
        <v>Lift</v>
      </c>
      <c r="BJ1326" s="48" t="str">
        <f aca="false">IF(A1326="","",IF(BS1326=1,"Neu; ","")&amp;IF(AND(BS1326=0,BN1326&lt;0),"negativer Bestand (Export "&amp;BN1326&amp;"); ","")&amp;IF(J1326&lt;=0,"Kein Verbrauch; ","")&amp;IF(CL1326&gt;0,"Lift "&amp;W1326&amp;" lt. Liftbericht (Fach "&amp;X1326&amp;" Stk); ",IF(BX1326=1,"Gebinde geschätzt ("&amp;T1326&amp;"); ",IF(BW1326=1,"Lose – Tablare geschätzt; ","")))&amp;IF(H1326&gt;AT1326,"Überbestand "&amp;ROUND(H1326-AT1326,0)&amp;" Stk / CHF "&amp;ROUND((H1326-AT1326)*G1326,0)&amp;"; ","")&amp;IF(AND(CE1326=1,CF1326&lt;CG1326),"MAX &lt; MB+LG; ","")&amp;IF(AND(CK1326&gt;0,CJ1326*10&gt;CK1326),"zu hoch für Tablar; ","")&amp;IF(AND(BS1326=0,OR(CE1326=1,AA1326&lt;&gt;"",U1326&lt;&gt;"",V1326&lt;&gt;"",AB1326&lt;&gt;"")),"manuell übersteuert; ","")&amp;IF(AND(BW1326=0,R1326=0),"Gebinde unbekannt / Stellmass fehlt; ","")&amp;IF(AND(BW1326=0,N(V1326)&lt;=0,N(Q1326)&lt;=0),"Menge pro Gebinde fehlt (Ist = 1 Gebinde); ","")&amp;BR1326)</f>
        <v>negativer Bestand (Export -27); Gebinde geschätzt (Mittel); Menge pro Gebinde fehlt (Ist = 1 Gebinde); </v>
      </c>
      <c r="BK1326" s="48"/>
      <c r="BL1326" s="48"/>
      <c r="BM1326" s="55"/>
      <c r="BN1326" s="50" t="n">
        <v>-27</v>
      </c>
      <c r="BO1326" s="50" t="n">
        <v>98</v>
      </c>
      <c r="BP1326" s="49" t="n">
        <v>-1495.8</v>
      </c>
      <c r="BQ1326" s="50" t="n">
        <v>12</v>
      </c>
      <c r="BR1326" s="48"/>
      <c r="BS1326" s="53" t="n">
        <v>0</v>
      </c>
      <c r="BT1326" s="53" t="n">
        <v>1326</v>
      </c>
      <c r="BU1326" s="48" t="str">
        <f aca="false">IF(U1326&lt;&gt;"",UPPER(TRIM(U1326)),IF(BX1326=1,UPPER(VLOOKUP(T1326,Parameter!$I$27:$K$29,2,0)),IF(P1326="","LOSE",P1326)))</f>
        <v>S61</v>
      </c>
      <c r="BV1326" s="50" t="n">
        <f aca="false">IF(BU1326="LOSE",1,IF(N(V1326)&gt;0,V1326,IF(BX1326=1,MAX(1,N(VLOOKUP(T1326,Parameter!$I$27:$K$29,3,0)),H1326,N(N1326)),IF(N(Q1326)&gt;0,Q1326,MAX(1,H1326)))))</f>
        <v>71</v>
      </c>
      <c r="BW1326" s="53" t="n">
        <f aca="false">IF(BU1326="LOSE",1,0)</f>
        <v>0</v>
      </c>
      <c r="BX1326" s="53" t="n">
        <f aca="false">IF(AND(U1326="",OR(P1326="",P1326="LOSE"),T1326&lt;&gt;"",N(S1326)&lt;=0,ISNUMBER(MATCH(T1326,Parameter!$I$27:$I$29,0))),1,0)</f>
        <v>1</v>
      </c>
      <c r="BY1326" s="53" t="n">
        <f aca="false">IF(CL1326&gt;0,INDEX(Parameter!$H$5:$H$7,W1326)/INDEX(Parameter!$E$5:$E$7,W1326),IF(AND(BW1326=0,N(IFERROR(VLOOKUP(BU1326,'Gebinde-Kategorie'!$A$5:$N$45,14,0),0))&gt;0),VLOOKUP(BU1326,'Gebinde-Kategorie'!$A$5:$N$45,14,0)*10+Parameter!$M$23,Parameter!$M$24))</f>
        <v>145</v>
      </c>
      <c r="BZ1326" s="48" t="str">
        <f aca="false">IF(AND(Parameter!$B$19="Ja",E1326&lt;&gt;"",ISNUMBER(MATCH(E1326,Parameter!$I$35:$I$52,0))),VLOOKUP(E1326,Parameter!$I$35:$J$52,2,0),IFERROR(VLOOKUP(D1326,Parameter!$A$35:$C$64,2,0),"Nein"))</f>
        <v>2+3</v>
      </c>
      <c r="CA1326" s="52" t="n">
        <f aca="false">IF(BW1326=0,0,IF(N(S1326)&gt;0,S1326,IFERROR(VLOOKUP(D1326,Parameter!$A$35:$C$64,3,0)+0,0)))</f>
        <v>0</v>
      </c>
      <c r="CB1326" s="48" t="n">
        <f aca="false">IF(AA1326&lt;&gt;"",AA1326,Z1326)</f>
        <v>2</v>
      </c>
      <c r="CC1326" s="48" t="str">
        <f aca="false">IF(OR(CB1326=1,CB1326=2,CB1326=3),IF(Parameter!$E$27="Ja","LIFT",IF(CB1326=1,"L1","L23")),IF(CB1326="Aussen","Aussen","-"))</f>
        <v>LIFT</v>
      </c>
      <c r="CD1326" s="59" t="n">
        <f aca="false">IF(N(AB1326)&gt;0,AB1326,0)</f>
        <v>0</v>
      </c>
      <c r="CE1326" s="53" t="n">
        <f aca="false">IF(ISNUMBER(AE1326),1,0)</f>
        <v>0</v>
      </c>
      <c r="CF1326" s="50" t="n">
        <f aca="false">N(AE1326)</f>
        <v>0</v>
      </c>
      <c r="CG1326" s="50" t="n">
        <f aca="false">N(M1326)+N(N1326)</f>
        <v>11</v>
      </c>
      <c r="CH1326" s="50" t="n">
        <f aca="false">ROUNDUP(H1326/BV1326,0)</f>
        <v>1</v>
      </c>
      <c r="CI1326" s="50" t="n">
        <f aca="false">ROUNDUP(CF1326/BV1326,0)</f>
        <v>0</v>
      </c>
      <c r="CJ1326" s="53" t="n">
        <f aca="false">IF(BW1326=1,0,IFERROR(VLOOKUP(BU1326,'Gebinde-Kategorie'!$A$5:$N$45,5,0)+0,0))</f>
        <v>11</v>
      </c>
      <c r="CK1326" s="53" t="n">
        <f aca="false">IFERROR(IF(OR(CB1326=1,CB1326=2,CB1326=3),N(INDEX(Parameter!$I$5:$I$7,CB1326)),0),0)</f>
        <v>0</v>
      </c>
      <c r="CL1326" s="52" t="n">
        <f aca="false">IF(AND(Parameter!$B$21="Ja",ISNUMBER(W1326),N(X1326)&gt;0),IFERROR(N(INDEX(Parameter!$L$5:$L$7,W1326))*INDEX(Parameter!$E$5:$E$7,W1326)*X1326/SUMIFS($X$7:$X$1843,$W$7:$W$1843,W1326),0),0)</f>
        <v>0</v>
      </c>
    </row>
    <row r="1327" customFormat="false" ht="15" hidden="false" customHeight="false" outlineLevel="0" collapsed="false">
      <c r="A1327" s="48" t="s">
        <v>2359</v>
      </c>
      <c r="B1327" s="48" t="s">
        <v>2360</v>
      </c>
      <c r="C1327" s="48" t="s">
        <v>168</v>
      </c>
      <c r="D1327" s="48" t="s">
        <v>177</v>
      </c>
      <c r="E1327" s="48" t="s">
        <v>189</v>
      </c>
      <c r="F1327" s="48" t="s">
        <v>222</v>
      </c>
      <c r="G1327" s="49" t="n">
        <v>107.09</v>
      </c>
      <c r="H1327" s="50" t="n">
        <f aca="false">MAX(0,IF(AND(Parameter!$B$21="Ja",ISNUMBER(Y1327)),Y1327,IF(Parameter!$B$20="Jahresanfang 2025 + Export",BO1327+BN1327,BN1327)))</f>
        <v>40</v>
      </c>
      <c r="I1327" s="50" t="n">
        <f aca="false">H1327*G1327</f>
        <v>4283.6</v>
      </c>
      <c r="J1327" s="50" t="n">
        <f aca="false">BQ1327*Parameter!$B$18</f>
        <v>95</v>
      </c>
      <c r="K1327" s="51" t="n">
        <v>45</v>
      </c>
      <c r="L1327" s="52" t="n">
        <v>2.11111111111111</v>
      </c>
      <c r="M1327" s="50" t="n">
        <v>5</v>
      </c>
      <c r="N1327" s="50" t="n">
        <v>40</v>
      </c>
      <c r="O1327" s="53" t="n">
        <v>21</v>
      </c>
      <c r="P1327" s="48" t="s">
        <v>178</v>
      </c>
      <c r="Q1327" s="50" t="n">
        <v>60</v>
      </c>
      <c r="R1327" s="53" t="n">
        <f aca="false">IF(BW1327=1,0,IFERROR(VLOOKUP(BU1327,'Gebinde-Kategorie'!$A$5:$N$45,13,0)+0,0))</f>
        <v>6</v>
      </c>
      <c r="S1327" s="54"/>
      <c r="T1327" s="55"/>
      <c r="U1327" s="55"/>
      <c r="V1327" s="55"/>
      <c r="W1327" s="48"/>
      <c r="X1327" s="50"/>
      <c r="Y1327" s="50"/>
      <c r="Z1327" s="48" t="n">
        <f aca="false">IF(A1327="","",IF(AND(Parameter!$B$21="Ja",ISNUMBER(W1327)),W1327,IF(BZ1327="2+3",IF(ISNUMBER(SEARCH("grosser Artikel",BR1327)),2,IFERROR(VLOOKUP(BU1327,Parameter!$F$35:$G$64,2,0),2)),IF(OR(BZ1327="Nein",BZ1327=""),"-",BZ1327))))</f>
        <v>2</v>
      </c>
      <c r="AA1327" s="55"/>
      <c r="AB1327" s="56"/>
      <c r="AC1327" s="50" t="n">
        <f aca="false">AT1327</f>
        <v>60</v>
      </c>
      <c r="AD1327" s="50" t="n">
        <f aca="false">MAX(AT1327,H1327)</f>
        <v>60</v>
      </c>
      <c r="AE1327" s="57"/>
      <c r="AF1327" s="50" t="n">
        <f aca="false">IF(LEFT(Cockpit!$C$5,1)="A",H1327,IF(CE1327=1,CF1327,IF(LEFT(Cockpit!$C$5,1)="B",AK1327,MAX(AK1327,H1327))))</f>
        <v>40</v>
      </c>
      <c r="AG1327" s="50" t="n">
        <f aca="false">IF(BW1327=1,0,ROUNDUP(AF1327/BV1327,0))</f>
        <v>1</v>
      </c>
      <c r="AH1327" s="52" t="n">
        <f aca="false">IF(CL1327&gt;0,CL1327*MAX(1,AF1327/X1327),IF(BW1327=1,IF(AF1327&lt;=0,0,CA1327*MAX(1,IF(H1327&gt;0,AF1327/H1327,1))),IF(R1327&gt;0,AG1327/R1327,0))/MAX(0.1,N(Parameter!$M$21)))</f>
        <v>0.166666666666667</v>
      </c>
      <c r="AI1327" s="50" t="n">
        <f aca="false">AH1327*BY1327</f>
        <v>39.1666666666667</v>
      </c>
      <c r="AJ1327" s="50" t="n">
        <f aca="false">AF1327*G1327</f>
        <v>4283.6</v>
      </c>
      <c r="AK1327" s="50" t="n">
        <f aca="false">ROUNDUP(MAX(J1327/IF(CD1327&gt;0,CD1327,MAX(0.1,N(Cockpit!$C$6))),CG1327)/BV1327,0)*BV1327</f>
        <v>60</v>
      </c>
      <c r="AL1327" s="51" t="n">
        <f aca="false">IF(AI1327&gt;0,J1327/AI1327,-1)</f>
        <v>2.42553191489362</v>
      </c>
      <c r="AM1327" s="51" t="n">
        <f aca="false">IF(AND(OR(CC1327="L1",CC1327="L23",CC1327="LIFT"),AI1327&gt;0),SUMIFS($AI$7:$AI$1843,$CC$7:$CC$1843,CC1327,$AL$7:$AL$1843,"&gt;"&amp;AL1327)+SUMIFS($AI$7:$AI$1843,$CC$7:$CC$1843,CC1327,$AL$7:$AL$1843,AL1327,$BT$7:$BT$1843,"&lt;="&amp;BT1327),"")</f>
        <v>5569.17902930403</v>
      </c>
      <c r="AN1327" s="58" t="n">
        <f aca="false">IF(AM1327="",0,MAX(0,MIN(1,(IF(CC1327="L1",Parameter!$H$5,IF(CC1327="L23",Parameter!$H$6+Parameter!$H$7,Parameter!$H$5+Parameter!$H$6+Parameter!$H$7))-(AM1327-AI1327))/AI1327)))</f>
        <v>1</v>
      </c>
      <c r="AO1327" s="50" t="n">
        <f aca="false">IF(LEFT(Cockpit!$I$5,1)="A",H1327,IF(CE1327=1,CF1327,IF(LEFT(Cockpit!$I$5,1)="B",AT1327,MAX(AT1327,H1327))))</f>
        <v>60</v>
      </c>
      <c r="AP1327" s="50" t="n">
        <f aca="false">IF(BW1327=1,0,ROUNDUP(AO1327/BV1327,0))</f>
        <v>1</v>
      </c>
      <c r="AQ1327" s="52" t="n">
        <f aca="false">IF(CL1327&gt;0,CL1327*MAX(1,AO1327/X1327),IF(BW1327=1,IF(AO1327&lt;=0,0,CA1327*MAX(1,IF(H1327&gt;0,AO1327/H1327,1))),IF(R1327&gt;0,AP1327/R1327,0))/MAX(0.1,N(Parameter!$M$21)))</f>
        <v>0.166666666666667</v>
      </c>
      <c r="AR1327" s="50" t="n">
        <f aca="false">AQ1327*BY1327</f>
        <v>39.1666666666667</v>
      </c>
      <c r="AS1327" s="50" t="n">
        <f aca="false">AO1327*G1327</f>
        <v>6425.4</v>
      </c>
      <c r="AT1327" s="50" t="n">
        <f aca="false">ROUNDUP(MAX(J1327/IF(CD1327&gt;0,CD1327,MAX(0.1,N(Cockpit!$I$6))),CG1327)/BV1327,0)*BV1327</f>
        <v>60</v>
      </c>
      <c r="AU1327" s="51" t="n">
        <f aca="false">IF(AR1327&gt;0,J1327/AR1327,-1)</f>
        <v>2.42553191489362</v>
      </c>
      <c r="AV1327" s="51" t="n">
        <f aca="false">IF(AND(OR(CC1327="L1",CC1327="L23",CC1327="LIFT"),AR1327&gt;0),SUMIFS($AR$7:$AR$1843,$CC$7:$CC$1843,CC1327,$AU$7:$AU$1843,"&gt;"&amp;AU1327)+SUMIFS($AR$7:$AR$1843,$CC$7:$CC$1843,CC1327,$AU$7:$AU$1843,AU1327,$BT$7:$BT$1843,"&lt;="&amp;BT1327),"")</f>
        <v>6935.28159340659</v>
      </c>
      <c r="AW1327" s="58" t="n">
        <f aca="false">IF(AV1327="",0,MAX(0,MIN(1,(IF(CC1327="L1",Parameter!$H$5,IF(CC1327="L23",Parameter!$H$6+Parameter!$H$7,Parameter!$H$5+Parameter!$H$6+Parameter!$H$7))-(AV1327-AR1327))/AR1327)))</f>
        <v>1</v>
      </c>
      <c r="AX1327" s="50" t="n">
        <f aca="false">IF(LEFT(Cockpit!$O$5,1)="A",H1327,IF(CE1327=1,CF1327,IF(LEFT(Cockpit!$O$5,1)="B",BC1327,MAX(BC1327,H1327))))</f>
        <v>60</v>
      </c>
      <c r="AY1327" s="50" t="n">
        <f aca="false">IF(BW1327=1,0,ROUNDUP(AX1327/BV1327,0))</f>
        <v>1</v>
      </c>
      <c r="AZ1327" s="52" t="n">
        <f aca="false">IF(CL1327&gt;0,CL1327*MAX(1,AX1327/X1327),IF(BW1327=1,IF(AX1327&lt;=0,0,CA1327*MAX(1,IF(H1327&gt;0,AX1327/H1327,1))),IF(R1327&gt;0,AY1327/R1327,0))/MAX(0.1,N(Parameter!$M$21)))</f>
        <v>0.166666666666667</v>
      </c>
      <c r="BA1327" s="50" t="n">
        <f aca="false">AZ1327*BY1327</f>
        <v>39.1666666666667</v>
      </c>
      <c r="BB1327" s="50" t="n">
        <f aca="false">AX1327*G1327</f>
        <v>6425.4</v>
      </c>
      <c r="BC1327" s="50" t="n">
        <f aca="false">ROUNDUP(MAX(J1327/IF(CD1327&gt;0,CD1327,MAX(0.1,N(Cockpit!$O$6))),CG1327)/BV1327,0)*BV1327</f>
        <v>60</v>
      </c>
      <c r="BD1327" s="51" t="n">
        <f aca="false">IF(BA1327&gt;0,J1327/BA1327,-1)</f>
        <v>2.42553191489362</v>
      </c>
      <c r="BE1327" s="51" t="n">
        <f aca="false">IF(AND(OR(CC1327="L1",CC1327="L23",CC1327="LIFT"),BA1327&gt;0),SUMIFS($BA$7:$BA$1843,$CC$7:$CC$1843,CC1327,$BD$7:$BD$1843,"&gt;"&amp;BD1327)+SUMIFS($BA$7:$BA$1843,$CC$7:$CC$1843,CC1327,$BD$7:$BD$1843,BD1327,$BT$7:$BT$1843,"&lt;="&amp;BT1327),"")</f>
        <v>6675.10531135531</v>
      </c>
      <c r="BF1327" s="58" t="n">
        <f aca="false">IF(BE1327="",0,MAX(0,MIN(1,(IF(CC1327="L1",Parameter!$H$5,IF(CC1327="L23",Parameter!$H$6+Parameter!$H$7,Parameter!$H$5+Parameter!$H$6+Parameter!$H$7))-(BE1327-BA1327))/BA1327)))</f>
        <v>1</v>
      </c>
      <c r="BG1327" s="48" t="str">
        <f aca="false">IF(AI1327&lt;=0,"",IF(CC1327="Aussen","Aussenlager",IF(CC1327="-","Nicht im Lift",IF(AN1327&gt;=1,"Lift",IF(AN1327&lt;=0,"Aussenlager","teilweise")))))</f>
        <v>Lift</v>
      </c>
      <c r="BH1327" s="48" t="str">
        <f aca="false">IF(AR1327&lt;=0,"",IF(CC1327="Aussen","Aussenlager",IF(CC1327="-","Nicht im Lift",IF(AW1327&gt;=1,"Lift",IF(AW1327&lt;=0,"Aussenlager","teilweise")))))</f>
        <v>Lift</v>
      </c>
      <c r="BI1327" s="48" t="str">
        <f aca="false">IF(BA1327&lt;=0,"",IF(CC1327="Aussen","Aussenlager",IF(CC1327="-","Nicht im Lift",IF(BF1327&gt;=1,"Lift",IF(BF1327&lt;=0,"Aussenlager","teilweise")))))</f>
        <v>Lift</v>
      </c>
      <c r="BJ1327" s="48" t="str">
        <f aca="false">IF(A1327="","",IF(BS1327=1,"Neu; ","")&amp;IF(AND(BS1327=0,BN1327&lt;0),"negativer Bestand (Export "&amp;BN1327&amp;"); ","")&amp;IF(J1327&lt;=0,"Kein Verbrauch; ","")&amp;IF(CL1327&gt;0,"Lift "&amp;W1327&amp;" lt. Liftbericht (Fach "&amp;X1327&amp;" Stk); ",IF(BX1327=1,"Gebinde geschätzt ("&amp;T1327&amp;"); ",IF(BW1327=1,"Lose – Tablare geschätzt; ","")))&amp;IF(H1327&gt;AT1327,"Überbestand "&amp;ROUND(H1327-AT1327,0)&amp;" Stk / CHF "&amp;ROUND((H1327-AT1327)*G1327,0)&amp;"; ","")&amp;IF(AND(CE1327=1,CF1327&lt;CG1327),"MAX &lt; MB+LG; ","")&amp;IF(AND(CK1327&gt;0,CJ1327*10&gt;CK1327),"zu hoch für Tablar; ","")&amp;IF(AND(BS1327=0,OR(CE1327=1,AA1327&lt;&gt;"",U1327&lt;&gt;"",V1327&lt;&gt;"",AB1327&lt;&gt;"")),"manuell übersteuert; ","")&amp;IF(AND(BW1327=0,R1327=0),"Gebinde unbekannt / Stellmass fehlt; ","")&amp;IF(AND(BW1327=0,N(V1327)&lt;=0,N(Q1327)&lt;=0),"Menge pro Gebinde fehlt (Ist = 1 Gebinde); ","")&amp;BR1327)</f>
        <v>negativer Bestand (Export -12); grosser Artikel &amp; nicht im KTL</v>
      </c>
      <c r="BK1327" s="48"/>
      <c r="BL1327" s="48"/>
      <c r="BM1327" s="55"/>
      <c r="BN1327" s="50" t="n">
        <v>-12</v>
      </c>
      <c r="BO1327" s="50" t="n">
        <v>52</v>
      </c>
      <c r="BP1327" s="49" t="n">
        <v>-1519.08</v>
      </c>
      <c r="BQ1327" s="50" t="n">
        <v>95</v>
      </c>
      <c r="BR1327" s="48" t="s">
        <v>265</v>
      </c>
      <c r="BS1327" s="53" t="n">
        <v>0</v>
      </c>
      <c r="BT1327" s="53" t="n">
        <v>1327</v>
      </c>
      <c r="BU1327" s="48" t="str">
        <f aca="false">IF(U1327&lt;&gt;"",UPPER(TRIM(U1327)),IF(BX1327=1,UPPER(VLOOKUP(T1327,Parameter!$I$27:$K$29,2,0)),IF(P1327="","LOSE",P1327)))</f>
        <v>S71</v>
      </c>
      <c r="BV1327" s="50" t="n">
        <f aca="false">IF(BU1327="LOSE",1,IF(N(V1327)&gt;0,V1327,IF(BX1327=1,MAX(1,N(VLOOKUP(T1327,Parameter!$I$27:$K$29,3,0)),H1327,N(N1327)),IF(N(Q1327)&gt;0,Q1327,MAX(1,H1327)))))</f>
        <v>60</v>
      </c>
      <c r="BW1327" s="53" t="n">
        <f aca="false">IF(BU1327="LOSE",1,0)</f>
        <v>0</v>
      </c>
      <c r="BX1327" s="53" t="n">
        <f aca="false">IF(AND(U1327="",OR(P1327="",P1327="LOSE"),T1327&lt;&gt;"",N(S1327)&lt;=0,ISNUMBER(MATCH(T1327,Parameter!$I$27:$I$29,0))),1,0)</f>
        <v>0</v>
      </c>
      <c r="BY1327" s="53" t="n">
        <f aca="false">IF(CL1327&gt;0,INDEX(Parameter!$H$5:$H$7,W1327)/INDEX(Parameter!$E$5:$E$7,W1327),IF(AND(BW1327=0,N(IFERROR(VLOOKUP(BU1327,'Gebinde-Kategorie'!$A$5:$N$45,14,0),0))&gt;0),VLOOKUP(BU1327,'Gebinde-Kategorie'!$A$5:$N$45,14,0)*10+Parameter!$M$23,Parameter!$M$24))</f>
        <v>235</v>
      </c>
      <c r="BZ1327" s="48" t="str">
        <f aca="false">IF(AND(Parameter!$B$19="Ja",E1327&lt;&gt;"",ISNUMBER(MATCH(E1327,Parameter!$I$35:$I$52,0))),VLOOKUP(E1327,Parameter!$I$35:$J$52,2,0),IFERROR(VLOOKUP(D1327,Parameter!$A$35:$C$64,2,0),"Nein"))</f>
        <v>2+3</v>
      </c>
      <c r="CA1327" s="52" t="n">
        <f aca="false">IF(BW1327=0,0,IF(N(S1327)&gt;0,S1327,IFERROR(VLOOKUP(D1327,Parameter!$A$35:$C$64,3,0)+0,0)))</f>
        <v>0</v>
      </c>
      <c r="CB1327" s="48" t="n">
        <f aca="false">IF(AA1327&lt;&gt;"",AA1327,Z1327)</f>
        <v>2</v>
      </c>
      <c r="CC1327" s="48" t="str">
        <f aca="false">IF(OR(CB1327=1,CB1327=2,CB1327=3),IF(Parameter!$E$27="Ja","LIFT",IF(CB1327=1,"L1","L23")),IF(CB1327="Aussen","Aussen","-"))</f>
        <v>LIFT</v>
      </c>
      <c r="CD1327" s="59" t="n">
        <f aca="false">IF(N(AB1327)&gt;0,AB1327,0)</f>
        <v>0</v>
      </c>
      <c r="CE1327" s="53" t="n">
        <f aca="false">IF(ISNUMBER(AE1327),1,0)</f>
        <v>0</v>
      </c>
      <c r="CF1327" s="50" t="n">
        <f aca="false">N(AE1327)</f>
        <v>0</v>
      </c>
      <c r="CG1327" s="50" t="n">
        <f aca="false">N(M1327)+N(N1327)</f>
        <v>45</v>
      </c>
      <c r="CH1327" s="50" t="n">
        <f aca="false">ROUNDUP(H1327/BV1327,0)</f>
        <v>1</v>
      </c>
      <c r="CI1327" s="50" t="n">
        <f aca="false">ROUNDUP(CF1327/BV1327,0)</f>
        <v>0</v>
      </c>
      <c r="CJ1327" s="53" t="n">
        <f aca="false">IF(BW1327=1,0,IFERROR(VLOOKUP(BU1327,'Gebinde-Kategorie'!$A$5:$N$45,5,0)+0,0))</f>
        <v>20</v>
      </c>
      <c r="CK1327" s="53" t="n">
        <f aca="false">IFERROR(IF(OR(CB1327=1,CB1327=2,CB1327=3),N(INDEX(Parameter!$I$5:$I$7,CB1327)),0),0)</f>
        <v>0</v>
      </c>
      <c r="CL1327" s="52" t="n">
        <f aca="false">IF(AND(Parameter!$B$21="Ja",ISNUMBER(W1327),N(X1327)&gt;0),IFERROR(N(INDEX(Parameter!$L$5:$L$7,W1327))*INDEX(Parameter!$E$5:$E$7,W1327)*X1327/SUMIFS($X$7:$X$1843,$W$7:$W$1843,W1327),0),0)</f>
        <v>0</v>
      </c>
    </row>
    <row r="1328" customFormat="false" ht="15" hidden="false" customHeight="false" outlineLevel="0" collapsed="false">
      <c r="A1328" s="48" t="s">
        <v>2361</v>
      </c>
      <c r="B1328" s="48" t="s">
        <v>2362</v>
      </c>
      <c r="C1328" s="48" t="s">
        <v>168</v>
      </c>
      <c r="D1328" s="48" t="s">
        <v>357</v>
      </c>
      <c r="E1328" s="48"/>
      <c r="F1328" s="48" t="s">
        <v>222</v>
      </c>
      <c r="G1328" s="49" t="n">
        <v>1537.04</v>
      </c>
      <c r="H1328" s="50" t="n">
        <f aca="false">MAX(0,IF(AND(Parameter!$B$21="Ja",ISNUMBER(Y1328)),Y1328,IF(Parameter!$B$20="Jahresanfang 2025 + Export",BO1328+BN1328,BN1328)))</f>
        <v>0</v>
      </c>
      <c r="I1328" s="50" t="n">
        <f aca="false">H1328*G1328</f>
        <v>0</v>
      </c>
      <c r="J1328" s="50" t="n">
        <f aca="false">BQ1328*Parameter!$B$18</f>
        <v>0</v>
      </c>
      <c r="K1328" s="51" t="n">
        <v>0.5</v>
      </c>
      <c r="L1328" s="52" t="n">
        <v>0</v>
      </c>
      <c r="M1328" s="50" t="n">
        <v>0</v>
      </c>
      <c r="N1328" s="50" t="n">
        <v>1</v>
      </c>
      <c r="O1328" s="53" t="n">
        <v>90</v>
      </c>
      <c r="P1328" s="48" t="s">
        <v>172</v>
      </c>
      <c r="Q1328" s="50"/>
      <c r="R1328" s="53" t="n">
        <f aca="false">IF(BW1328=1,0,IFERROR(VLOOKUP(BU1328,'Gebinde-Kategorie'!$A$5:$N$45,13,0)+0,0))</f>
        <v>0</v>
      </c>
      <c r="S1328" s="54"/>
      <c r="T1328" s="55"/>
      <c r="U1328" s="55"/>
      <c r="V1328" s="55"/>
      <c r="W1328" s="48"/>
      <c r="X1328" s="50"/>
      <c r="Y1328" s="50"/>
      <c r="Z1328" s="48" t="str">
        <f aca="false">IF(A1328="","",IF(AND(Parameter!$B$21="Ja",ISNUMBER(W1328)),W1328,IF(BZ1328="2+3",IF(ISNUMBER(SEARCH("grosser Artikel",BR1328)),2,IFERROR(VLOOKUP(BU1328,Parameter!$F$35:$G$64,2,0),2)),IF(OR(BZ1328="Nein",BZ1328=""),"-",BZ1328))))</f>
        <v>-</v>
      </c>
      <c r="AA1328" s="55"/>
      <c r="AB1328" s="56"/>
      <c r="AC1328" s="50" t="n">
        <f aca="false">AT1328</f>
        <v>1</v>
      </c>
      <c r="AD1328" s="50" t="n">
        <f aca="false">MAX(AT1328,H1328)</f>
        <v>1</v>
      </c>
      <c r="AE1328" s="57"/>
      <c r="AF1328" s="50" t="n">
        <f aca="false">IF(LEFT(Cockpit!$C$5,1)="A",H1328,IF(CE1328=1,CF1328,IF(LEFT(Cockpit!$C$5,1)="B",AK1328,MAX(AK1328,H1328))))</f>
        <v>0</v>
      </c>
      <c r="AG1328" s="50" t="n">
        <f aca="false">IF(BW1328=1,0,ROUNDUP(AF1328/BV1328,0))</f>
        <v>0</v>
      </c>
      <c r="AH1328" s="52" t="n">
        <f aca="false">IF(CL1328&gt;0,CL1328*MAX(1,AF1328/X1328),IF(BW1328=1,IF(AF1328&lt;=0,0,CA1328*MAX(1,IF(H1328&gt;0,AF1328/H1328,1))),IF(R1328&gt;0,AG1328/R1328,0))/MAX(0.1,N(Parameter!$M$21)))</f>
        <v>0</v>
      </c>
      <c r="AI1328" s="50" t="n">
        <f aca="false">AH1328*BY1328</f>
        <v>0</v>
      </c>
      <c r="AJ1328" s="50" t="n">
        <f aca="false">AF1328*G1328</f>
        <v>0</v>
      </c>
      <c r="AK1328" s="50" t="n">
        <f aca="false">ROUNDUP(MAX(J1328/IF(CD1328&gt;0,CD1328,MAX(0.1,N(Cockpit!$C$6))),CG1328)/BV1328,0)*BV1328</f>
        <v>1</v>
      </c>
      <c r="AL1328" s="51" t="n">
        <f aca="false">IF(AI1328&gt;0,J1328/AI1328,-1)</f>
        <v>-1</v>
      </c>
      <c r="AM1328" s="51" t="str">
        <f aca="false">IF(AND(OR(CC1328="L1",CC1328="L23",CC1328="LIFT"),AI1328&gt;0),SUMIFS($AI$7:$AI$1843,$CC$7:$CC$1843,CC1328,$AL$7:$AL$1843,"&gt;"&amp;AL1328)+SUMIFS($AI$7:$AI$1843,$CC$7:$CC$1843,CC1328,$AL$7:$AL$1843,AL1328,$BT$7:$BT$1843,"&lt;="&amp;BT1328),"")</f>
        <v/>
      </c>
      <c r="AN1328" s="58" t="n">
        <f aca="false">IF(AM1328="",0,MAX(0,MIN(1,(IF(CC1328="L1",Parameter!$H$5,IF(CC1328="L23",Parameter!$H$6+Parameter!$H$7,Parameter!$H$5+Parameter!$H$6+Parameter!$H$7))-(AM1328-AI1328))/AI1328)))</f>
        <v>0</v>
      </c>
      <c r="AO1328" s="50" t="n">
        <f aca="false">IF(LEFT(Cockpit!$I$5,1)="A",H1328,IF(CE1328=1,CF1328,IF(LEFT(Cockpit!$I$5,1)="B",AT1328,MAX(AT1328,H1328))))</f>
        <v>1</v>
      </c>
      <c r="AP1328" s="50" t="n">
        <f aca="false">IF(BW1328=1,0,ROUNDUP(AO1328/BV1328,0))</f>
        <v>0</v>
      </c>
      <c r="AQ1328" s="52" t="n">
        <f aca="false">IF(CL1328&gt;0,CL1328*MAX(1,AO1328/X1328),IF(BW1328=1,IF(AO1328&lt;=0,0,CA1328*MAX(1,IF(H1328&gt;0,AO1328/H1328,1))),IF(R1328&gt;0,AP1328/R1328,0))/MAX(0.1,N(Parameter!$M$21)))</f>
        <v>0.15</v>
      </c>
      <c r="AR1328" s="50" t="n">
        <f aca="false">AQ1328*BY1328</f>
        <v>35.25</v>
      </c>
      <c r="AS1328" s="50" t="n">
        <f aca="false">AO1328*G1328</f>
        <v>1537.04</v>
      </c>
      <c r="AT1328" s="50" t="n">
        <f aca="false">ROUNDUP(MAX(J1328/IF(CD1328&gt;0,CD1328,MAX(0.1,N(Cockpit!$I$6))),CG1328)/BV1328,0)*BV1328</f>
        <v>1</v>
      </c>
      <c r="AU1328" s="51" t="n">
        <f aca="false">IF(AR1328&gt;0,J1328/AR1328,-1)</f>
        <v>0</v>
      </c>
      <c r="AV1328" s="51" t="str">
        <f aca="false">IF(AND(OR(CC1328="L1",CC1328="L23",CC1328="LIFT"),AR1328&gt;0),SUMIFS($AR$7:$AR$1843,$CC$7:$CC$1843,CC1328,$AU$7:$AU$1843,"&gt;"&amp;AU1328)+SUMIFS($AR$7:$AR$1843,$CC$7:$CC$1843,CC1328,$AU$7:$AU$1843,AU1328,$BT$7:$BT$1843,"&lt;="&amp;BT1328),"")</f>
        <v/>
      </c>
      <c r="AW1328" s="58" t="n">
        <f aca="false">IF(AV1328="",0,MAX(0,MIN(1,(IF(CC1328="L1",Parameter!$H$5,IF(CC1328="L23",Parameter!$H$6+Parameter!$H$7,Parameter!$H$5+Parameter!$H$6+Parameter!$H$7))-(AV1328-AR1328))/AR1328)))</f>
        <v>0</v>
      </c>
      <c r="AX1328" s="50" t="n">
        <f aca="false">IF(LEFT(Cockpit!$O$5,1)="A",H1328,IF(CE1328=1,CF1328,IF(LEFT(Cockpit!$O$5,1)="B",BC1328,MAX(BC1328,H1328))))</f>
        <v>1</v>
      </c>
      <c r="AY1328" s="50" t="n">
        <f aca="false">IF(BW1328=1,0,ROUNDUP(AX1328/BV1328,0))</f>
        <v>0</v>
      </c>
      <c r="AZ1328" s="52" t="n">
        <f aca="false">IF(CL1328&gt;0,CL1328*MAX(1,AX1328/X1328),IF(BW1328=1,IF(AX1328&lt;=0,0,CA1328*MAX(1,IF(H1328&gt;0,AX1328/H1328,1))),IF(R1328&gt;0,AY1328/R1328,0))/MAX(0.1,N(Parameter!$M$21)))</f>
        <v>0.15</v>
      </c>
      <c r="BA1328" s="50" t="n">
        <f aca="false">AZ1328*BY1328</f>
        <v>35.25</v>
      </c>
      <c r="BB1328" s="50" t="n">
        <f aca="false">AX1328*G1328</f>
        <v>1537.04</v>
      </c>
      <c r="BC1328" s="50" t="n">
        <f aca="false">ROUNDUP(MAX(J1328/IF(CD1328&gt;0,CD1328,MAX(0.1,N(Cockpit!$O$6))),CG1328)/BV1328,0)*BV1328</f>
        <v>1</v>
      </c>
      <c r="BD1328" s="51" t="n">
        <f aca="false">IF(BA1328&gt;0,J1328/BA1328,-1)</f>
        <v>0</v>
      </c>
      <c r="BE1328" s="51" t="str">
        <f aca="false">IF(AND(OR(CC1328="L1",CC1328="L23",CC1328="LIFT"),BA1328&gt;0),SUMIFS($BA$7:$BA$1843,$CC$7:$CC$1843,CC1328,$BD$7:$BD$1843,"&gt;"&amp;BD1328)+SUMIFS($BA$7:$BA$1843,$CC$7:$CC$1843,CC1328,$BD$7:$BD$1843,BD1328,$BT$7:$BT$1843,"&lt;="&amp;BT1328),"")</f>
        <v/>
      </c>
      <c r="BF1328" s="58" t="n">
        <f aca="false">IF(BE1328="",0,MAX(0,MIN(1,(IF(CC1328="L1",Parameter!$H$5,IF(CC1328="L23",Parameter!$H$6+Parameter!$H$7,Parameter!$H$5+Parameter!$H$6+Parameter!$H$7))-(BE1328-BA1328))/BA1328)))</f>
        <v>0</v>
      </c>
      <c r="BG1328" s="48" t="str">
        <f aca="false">IF(AI1328&lt;=0,"",IF(CC1328="Aussen","Aussenlager",IF(CC1328="-","Nicht im Lift",IF(AN1328&gt;=1,"Lift",IF(AN1328&lt;=0,"Aussenlager","teilweise")))))</f>
        <v/>
      </c>
      <c r="BH1328" s="48" t="str">
        <f aca="false">IF(AR1328&lt;=0,"",IF(CC1328="Aussen","Aussenlager",IF(CC1328="-","Nicht im Lift",IF(AW1328&gt;=1,"Lift",IF(AW1328&lt;=0,"Aussenlager","teilweise")))))</f>
        <v>Nicht im Lift</v>
      </c>
      <c r="BI1328" s="48" t="str">
        <f aca="false">IF(BA1328&lt;=0,"",IF(CC1328="Aussen","Aussenlager",IF(CC1328="-","Nicht im Lift",IF(BF1328&gt;=1,"Lift",IF(BF1328&lt;=0,"Aussenlager","teilweise")))))</f>
        <v>Nicht im Lift</v>
      </c>
      <c r="BJ1328" s="48" t="str">
        <f aca="false">IF(A1328="","",IF(BS1328=1,"Neu; ","")&amp;IF(AND(BS1328=0,BN1328&lt;0),"negativer Bestand (Export "&amp;BN1328&amp;"); ","")&amp;IF(J1328&lt;=0,"Kein Verbrauch; ","")&amp;IF(CL1328&gt;0,"Lift "&amp;W1328&amp;" lt. Liftbericht (Fach "&amp;X1328&amp;" Stk); ",IF(BX1328=1,"Gebinde geschätzt ("&amp;T1328&amp;"); ",IF(BW1328=1,"Lose – Tablare geschätzt; ","")))&amp;IF(H1328&gt;AT1328,"Überbestand "&amp;ROUND(H1328-AT1328,0)&amp;" Stk / CHF "&amp;ROUND((H1328-AT1328)*G1328,0)&amp;"; ","")&amp;IF(AND(CE1328=1,CF1328&lt;CG1328),"MAX &lt; MB+LG; ","")&amp;IF(AND(CK1328&gt;0,CJ1328*10&gt;CK1328),"zu hoch für Tablar; ","")&amp;IF(AND(BS1328=0,OR(CE1328=1,AA1328&lt;&gt;"",U1328&lt;&gt;"",V1328&lt;&gt;"",AB1328&lt;&gt;"")),"manuell übersteuert; ","")&amp;IF(AND(BW1328=0,R1328=0),"Gebinde unbekannt / Stellmass fehlt; ","")&amp;IF(AND(BW1328=0,N(V1328)&lt;=0,N(Q1328)&lt;=0),"Menge pro Gebinde fehlt (Ist = 1 Gebinde); ","")&amp;BR1328)</f>
        <v>negativer Bestand (Export -1); Kein Verbrauch; Lose – Tablare geschätzt; </v>
      </c>
      <c r="BK1328" s="48"/>
      <c r="BL1328" s="48"/>
      <c r="BM1328" s="55"/>
      <c r="BN1328" s="50" t="n">
        <v>-1</v>
      </c>
      <c r="BO1328" s="50" t="n">
        <v>1</v>
      </c>
      <c r="BP1328" s="49" t="n">
        <v>-1537.04</v>
      </c>
      <c r="BQ1328" s="50" t="n">
        <v>0</v>
      </c>
      <c r="BR1328" s="48"/>
      <c r="BS1328" s="53" t="n">
        <v>0</v>
      </c>
      <c r="BT1328" s="53" t="n">
        <v>1328</v>
      </c>
      <c r="BU1328" s="48" t="str">
        <f aca="false">IF(U1328&lt;&gt;"",UPPER(TRIM(U1328)),IF(BX1328=1,UPPER(VLOOKUP(T1328,Parameter!$I$27:$K$29,2,0)),IF(P1328="","LOSE",P1328)))</f>
        <v>LOSE</v>
      </c>
      <c r="BV1328" s="50" t="n">
        <f aca="false">IF(BU1328="LOSE",1,IF(N(V1328)&gt;0,V1328,IF(BX1328=1,MAX(1,N(VLOOKUP(T1328,Parameter!$I$27:$K$29,3,0)),H1328,N(N1328)),IF(N(Q1328)&gt;0,Q1328,MAX(1,H1328)))))</f>
        <v>1</v>
      </c>
      <c r="BW1328" s="53" t="n">
        <f aca="false">IF(BU1328="LOSE",1,0)</f>
        <v>1</v>
      </c>
      <c r="BX1328" s="53" t="n">
        <f aca="false">IF(AND(U1328="",OR(P1328="",P1328="LOSE"),T1328&lt;&gt;"",N(S1328)&lt;=0,ISNUMBER(MATCH(T1328,Parameter!$I$27:$I$29,0))),1,0)</f>
        <v>0</v>
      </c>
      <c r="BY1328" s="53" t="n">
        <f aca="false">IF(CL1328&gt;0,INDEX(Parameter!$H$5:$H$7,W1328)/INDEX(Parameter!$E$5:$E$7,W1328),IF(AND(BW1328=0,N(IFERROR(VLOOKUP(BU1328,'Gebinde-Kategorie'!$A$5:$N$45,14,0),0))&gt;0),VLOOKUP(BU1328,'Gebinde-Kategorie'!$A$5:$N$45,14,0)*10+Parameter!$M$23,Parameter!$M$24))</f>
        <v>235</v>
      </c>
      <c r="BZ1328" s="48" t="str">
        <f aca="false">IF(AND(Parameter!$B$19="Ja",E1328&lt;&gt;"",ISNUMBER(MATCH(E1328,Parameter!$I$35:$I$52,0))),VLOOKUP(E1328,Parameter!$I$35:$J$52,2,0),IFERROR(VLOOKUP(D1328,Parameter!$A$35:$C$64,2,0),"Nein"))</f>
        <v>Nein</v>
      </c>
      <c r="CA1328" s="52" t="n">
        <f aca="false">IF(BW1328=0,0,IF(N(S1328)&gt;0,S1328,IFERROR(VLOOKUP(D1328,Parameter!$A$35:$C$64,3,0)+0,0)))</f>
        <v>0.15</v>
      </c>
      <c r="CB1328" s="48" t="str">
        <f aca="false">IF(AA1328&lt;&gt;"",AA1328,Z1328)</f>
        <v>-</v>
      </c>
      <c r="CC1328" s="48" t="str">
        <f aca="false">IF(OR(CB1328=1,CB1328=2,CB1328=3),IF(Parameter!$E$27="Ja","LIFT",IF(CB1328=1,"L1","L23")),IF(CB1328="Aussen","Aussen","-"))</f>
        <v>-</v>
      </c>
      <c r="CD1328" s="59" t="n">
        <f aca="false">IF(N(AB1328)&gt;0,AB1328,0)</f>
        <v>0</v>
      </c>
      <c r="CE1328" s="53" t="n">
        <f aca="false">IF(ISNUMBER(AE1328),1,0)</f>
        <v>0</v>
      </c>
      <c r="CF1328" s="50" t="n">
        <f aca="false">N(AE1328)</f>
        <v>0</v>
      </c>
      <c r="CG1328" s="50" t="n">
        <f aca="false">N(M1328)+N(N1328)</f>
        <v>1</v>
      </c>
      <c r="CH1328" s="50" t="n">
        <f aca="false">ROUNDUP(H1328/BV1328,0)</f>
        <v>0</v>
      </c>
      <c r="CI1328" s="50" t="n">
        <f aca="false">ROUNDUP(CF1328/BV1328,0)</f>
        <v>0</v>
      </c>
      <c r="CJ1328" s="53" t="n">
        <f aca="false">IF(BW1328=1,0,IFERROR(VLOOKUP(BU1328,'Gebinde-Kategorie'!$A$5:$N$45,5,0)+0,0))</f>
        <v>0</v>
      </c>
      <c r="CK1328" s="53" t="n">
        <f aca="false">IFERROR(IF(OR(CB1328=1,CB1328=2,CB1328=3),N(INDEX(Parameter!$I$5:$I$7,CB1328)),0),0)</f>
        <v>0</v>
      </c>
      <c r="CL1328" s="52" t="n">
        <f aca="false">IF(AND(Parameter!$B$21="Ja",ISNUMBER(W1328),N(X1328)&gt;0),IFERROR(N(INDEX(Parameter!$L$5:$L$7,W1328))*INDEX(Parameter!$E$5:$E$7,W1328)*X1328/SUMIFS($X$7:$X$1843,$W$7:$W$1843,W1328),0),0)</f>
        <v>0</v>
      </c>
    </row>
    <row r="1329" customFormat="false" ht="15" hidden="false" customHeight="false" outlineLevel="0" collapsed="false">
      <c r="A1329" s="48" t="s">
        <v>2363</v>
      </c>
      <c r="B1329" s="48" t="s">
        <v>409</v>
      </c>
      <c r="C1329" s="48" t="s">
        <v>168</v>
      </c>
      <c r="D1329" s="48" t="s">
        <v>177</v>
      </c>
      <c r="E1329" s="48" t="s">
        <v>189</v>
      </c>
      <c r="F1329" s="48" t="s">
        <v>222</v>
      </c>
      <c r="G1329" s="49" t="n">
        <v>0.24</v>
      </c>
      <c r="H1329" s="50" t="n">
        <f aca="false">MAX(0,IF(AND(Parameter!$B$21="Ja",ISNUMBER(Y1329)),Y1329,IF(Parameter!$B$20="Jahresanfang 2025 + Export",BO1329+BN1329,BN1329)))</f>
        <v>2423</v>
      </c>
      <c r="I1329" s="50" t="n">
        <f aca="false">H1329*G1329</f>
        <v>581.52</v>
      </c>
      <c r="J1329" s="50" t="n">
        <f aca="false">BQ1329*Parameter!$B$18</f>
        <v>17893</v>
      </c>
      <c r="K1329" s="51" t="n">
        <v>6601.5</v>
      </c>
      <c r="L1329" s="52" t="n">
        <v>2.71044459592517</v>
      </c>
      <c r="M1329" s="50" t="n">
        <v>1043</v>
      </c>
      <c r="N1329" s="50" t="n">
        <v>2000</v>
      </c>
      <c r="O1329" s="53" t="n">
        <v>21</v>
      </c>
      <c r="P1329" s="48" t="s">
        <v>178</v>
      </c>
      <c r="Q1329" s="50" t="n">
        <v>3500</v>
      </c>
      <c r="R1329" s="53" t="n">
        <f aca="false">IF(BW1329=1,0,IFERROR(VLOOKUP(BU1329,'Gebinde-Kategorie'!$A$5:$N$45,13,0)+0,0))</f>
        <v>6</v>
      </c>
      <c r="S1329" s="54"/>
      <c r="T1329" s="55"/>
      <c r="U1329" s="55"/>
      <c r="V1329" s="55"/>
      <c r="W1329" s="48"/>
      <c r="X1329" s="50"/>
      <c r="Y1329" s="50"/>
      <c r="Z1329" s="48" t="n">
        <f aca="false">IF(A1329="","",IF(AND(Parameter!$B$21="Ja",ISNUMBER(W1329)),W1329,IF(BZ1329="2+3",IF(ISNUMBER(SEARCH("grosser Artikel",BR1329)),2,IFERROR(VLOOKUP(BU1329,Parameter!$F$35:$G$64,2,0),2)),IF(OR(BZ1329="Nein",BZ1329=""),"-",BZ1329))))</f>
        <v>2</v>
      </c>
      <c r="AA1329" s="55"/>
      <c r="AB1329" s="56"/>
      <c r="AC1329" s="50" t="n">
        <f aca="false">AT1329</f>
        <v>10500</v>
      </c>
      <c r="AD1329" s="50" t="n">
        <f aca="false">MAX(AT1329,H1329)</f>
        <v>10500</v>
      </c>
      <c r="AE1329" s="57"/>
      <c r="AF1329" s="50" t="n">
        <f aca="false">IF(LEFT(Cockpit!$C$5,1)="A",H1329,IF(CE1329=1,CF1329,IF(LEFT(Cockpit!$C$5,1)="B",AK1329,MAX(AK1329,H1329))))</f>
        <v>2423</v>
      </c>
      <c r="AG1329" s="50" t="n">
        <f aca="false">IF(BW1329=1,0,ROUNDUP(AF1329/BV1329,0))</f>
        <v>1</v>
      </c>
      <c r="AH1329" s="52" t="n">
        <f aca="false">IF(CL1329&gt;0,CL1329*MAX(1,AF1329/X1329),IF(BW1329=1,IF(AF1329&lt;=0,0,CA1329*MAX(1,IF(H1329&gt;0,AF1329/H1329,1))),IF(R1329&gt;0,AG1329/R1329,0))/MAX(0.1,N(Parameter!$M$21)))</f>
        <v>0.166666666666667</v>
      </c>
      <c r="AI1329" s="50" t="n">
        <f aca="false">AH1329*BY1329</f>
        <v>39.1666666666667</v>
      </c>
      <c r="AJ1329" s="50" t="n">
        <f aca="false">AF1329*G1329</f>
        <v>581.52</v>
      </c>
      <c r="AK1329" s="50" t="n">
        <f aca="false">ROUNDUP(MAX(J1329/IF(CD1329&gt;0,CD1329,MAX(0.1,N(Cockpit!$C$6))),CG1329)/BV1329,0)*BV1329</f>
        <v>10500</v>
      </c>
      <c r="AL1329" s="51" t="n">
        <f aca="false">IF(AI1329&gt;0,J1329/AI1329,-1)</f>
        <v>456.842553191489</v>
      </c>
      <c r="AM1329" s="51" t="n">
        <f aca="false">IF(AND(OR(CC1329="L1",CC1329="L23",CC1329="LIFT"),AI1329&gt;0),SUMIFS($AI$7:$AI$1843,$CC$7:$CC$1843,CC1329,$AL$7:$AL$1843,"&gt;"&amp;AL1329)+SUMIFS($AI$7:$AI$1843,$CC$7:$CC$1843,CC1329,$AL$7:$AL$1843,AL1329,$BT$7:$BT$1843,"&lt;="&amp;BT1329),"")</f>
        <v>129.801282051282</v>
      </c>
      <c r="AN1329" s="58" t="n">
        <f aca="false">IF(AM1329="",0,MAX(0,MIN(1,(IF(CC1329="L1",Parameter!$H$5,IF(CC1329="L23",Parameter!$H$6+Parameter!$H$7,Parameter!$H$5+Parameter!$H$6+Parameter!$H$7))-(AM1329-AI1329))/AI1329)))</f>
        <v>1</v>
      </c>
      <c r="AO1329" s="50" t="n">
        <f aca="false">IF(LEFT(Cockpit!$I$5,1)="A",H1329,IF(CE1329=1,CF1329,IF(LEFT(Cockpit!$I$5,1)="B",AT1329,MAX(AT1329,H1329))))</f>
        <v>10500</v>
      </c>
      <c r="AP1329" s="50" t="n">
        <f aca="false">IF(BW1329=1,0,ROUNDUP(AO1329/BV1329,0))</f>
        <v>3</v>
      </c>
      <c r="AQ1329" s="52" t="n">
        <f aca="false">IF(CL1329&gt;0,CL1329*MAX(1,AO1329/X1329),IF(BW1329=1,IF(AO1329&lt;=0,0,CA1329*MAX(1,IF(H1329&gt;0,AO1329/H1329,1))),IF(R1329&gt;0,AP1329/R1329,0))/MAX(0.1,N(Parameter!$M$21)))</f>
        <v>0.5</v>
      </c>
      <c r="AR1329" s="50" t="n">
        <f aca="false">AQ1329*BY1329</f>
        <v>117.5</v>
      </c>
      <c r="AS1329" s="50" t="n">
        <f aca="false">AO1329*G1329</f>
        <v>2520</v>
      </c>
      <c r="AT1329" s="50" t="n">
        <f aca="false">ROUNDUP(MAX(J1329/IF(CD1329&gt;0,CD1329,MAX(0.1,N(Cockpit!$I$6))),CG1329)/BV1329,0)*BV1329</f>
        <v>10500</v>
      </c>
      <c r="AU1329" s="51" t="n">
        <f aca="false">IF(AR1329&gt;0,J1329/AR1329,-1)</f>
        <v>152.28085106383</v>
      </c>
      <c r="AV1329" s="51" t="n">
        <f aca="false">IF(AND(OR(CC1329="L1",CC1329="L23",CC1329="LIFT"),AR1329&gt;0),SUMIFS($AR$7:$AR$1843,$CC$7:$CC$1843,CC1329,$AU$7:$AU$1843,"&gt;"&amp;AU1329)+SUMIFS($AR$7:$AR$1843,$CC$7:$CC$1843,CC1329,$AU$7:$AU$1843,AU1329,$BT$7:$BT$1843,"&lt;="&amp;BT1329),"")</f>
        <v>595.762820512821</v>
      </c>
      <c r="AW1329" s="58" t="n">
        <f aca="false">IF(AV1329="",0,MAX(0,MIN(1,(IF(CC1329="L1",Parameter!$H$5,IF(CC1329="L23",Parameter!$H$6+Parameter!$H$7,Parameter!$H$5+Parameter!$H$6+Parameter!$H$7))-(AV1329-AR1329))/AR1329)))</f>
        <v>1</v>
      </c>
      <c r="AX1329" s="50" t="n">
        <f aca="false">IF(LEFT(Cockpit!$O$5,1)="A",H1329,IF(CE1329=1,CF1329,IF(LEFT(Cockpit!$O$5,1)="B",BC1329,MAX(BC1329,H1329))))</f>
        <v>7000</v>
      </c>
      <c r="AY1329" s="50" t="n">
        <f aca="false">IF(BW1329=1,0,ROUNDUP(AX1329/BV1329,0))</f>
        <v>2</v>
      </c>
      <c r="AZ1329" s="52" t="n">
        <f aca="false">IF(CL1329&gt;0,CL1329*MAX(1,AX1329/X1329),IF(BW1329=1,IF(AX1329&lt;=0,0,CA1329*MAX(1,IF(H1329&gt;0,AX1329/H1329,1))),IF(R1329&gt;0,AY1329/R1329,0))/MAX(0.1,N(Parameter!$M$21)))</f>
        <v>0.333333333333333</v>
      </c>
      <c r="BA1329" s="50" t="n">
        <f aca="false">AZ1329*BY1329</f>
        <v>78.3333333333333</v>
      </c>
      <c r="BB1329" s="50" t="n">
        <f aca="false">AX1329*G1329</f>
        <v>1680</v>
      </c>
      <c r="BC1329" s="50" t="n">
        <f aca="false">ROUNDUP(MAX(J1329/IF(CD1329&gt;0,CD1329,MAX(0.1,N(Cockpit!$O$6))),CG1329)/BV1329,0)*BV1329</f>
        <v>7000</v>
      </c>
      <c r="BD1329" s="51" t="n">
        <f aca="false">IF(BA1329&gt;0,J1329/BA1329,-1)</f>
        <v>228.421276595745</v>
      </c>
      <c r="BE1329" s="51" t="n">
        <f aca="false">IF(AND(OR(CC1329="L1",CC1329="L23",CC1329="LIFT"),BA1329&gt;0),SUMIFS($BA$7:$BA$1843,$CC$7:$CC$1843,CC1329,$BD$7:$BD$1843,"&gt;"&amp;BD1329)+SUMIFS($BA$7:$BA$1843,$CC$7:$CC$1843,CC1329,$BD$7:$BD$1843,BD1329,$BT$7:$BT$1843,"&lt;="&amp;BT1329),"")</f>
        <v>326.516941391941</v>
      </c>
      <c r="BF1329" s="58" t="n">
        <f aca="false">IF(BE1329="",0,MAX(0,MIN(1,(IF(CC1329="L1",Parameter!$H$5,IF(CC1329="L23",Parameter!$H$6+Parameter!$H$7,Parameter!$H$5+Parameter!$H$6+Parameter!$H$7))-(BE1329-BA1329))/BA1329)))</f>
        <v>1</v>
      </c>
      <c r="BG1329" s="48" t="str">
        <f aca="false">IF(AI1329&lt;=0,"",IF(CC1329="Aussen","Aussenlager",IF(CC1329="-","Nicht im Lift",IF(AN1329&gt;=1,"Lift",IF(AN1329&lt;=0,"Aussenlager","teilweise")))))</f>
        <v>Lift</v>
      </c>
      <c r="BH1329" s="48" t="str">
        <f aca="false">IF(AR1329&lt;=0,"",IF(CC1329="Aussen","Aussenlager",IF(CC1329="-","Nicht im Lift",IF(AW1329&gt;=1,"Lift",IF(AW1329&lt;=0,"Aussenlager","teilweise")))))</f>
        <v>Lift</v>
      </c>
      <c r="BI1329" s="48" t="str">
        <f aca="false">IF(BA1329&lt;=0,"",IF(CC1329="Aussen","Aussenlager",IF(CC1329="-","Nicht im Lift",IF(BF1329&gt;=1,"Lift",IF(BF1329&lt;=0,"Aussenlager","teilweise")))))</f>
        <v>Lift</v>
      </c>
      <c r="BJ1329" s="48" t="str">
        <f aca="false">IF(A1329="","",IF(BS1329=1,"Neu; ","")&amp;IF(AND(BS1329=0,BN1329&lt;0),"negativer Bestand (Export "&amp;BN1329&amp;"); ","")&amp;IF(J1329&lt;=0,"Kein Verbrauch; ","")&amp;IF(CL1329&gt;0,"Lift "&amp;W1329&amp;" lt. Liftbericht (Fach "&amp;X1329&amp;" Stk); ",IF(BX1329=1,"Gebinde geschätzt ("&amp;T1329&amp;"); ",IF(BW1329=1,"Lose – Tablare geschätzt; ","")))&amp;IF(H1329&gt;AT1329,"Überbestand "&amp;ROUND(H1329-AT1329,0)&amp;" Stk / CHF "&amp;ROUND((H1329-AT1329)*G1329,0)&amp;"; ","")&amp;IF(AND(CE1329=1,CF1329&lt;CG1329),"MAX &lt; MB+LG; ","")&amp;IF(AND(CK1329&gt;0,CJ1329*10&gt;CK1329),"zu hoch für Tablar; ","")&amp;IF(AND(BS1329=0,OR(CE1329=1,AA1329&lt;&gt;"",U1329&lt;&gt;"",V1329&lt;&gt;"",AB1329&lt;&gt;"")),"manuell übersteuert; ","")&amp;IF(AND(BW1329=0,R1329=0),"Gebinde unbekannt / Stellmass fehlt; ","")&amp;IF(AND(BW1329=0,N(V1329)&lt;=0,N(Q1329)&lt;=0),"Menge pro Gebinde fehlt (Ist = 1 Gebinde); ","")&amp;BR1329)</f>
        <v>negativer Bestand (Export -6796); grosse  Artikelmenge</v>
      </c>
      <c r="BK1329" s="48"/>
      <c r="BL1329" s="48"/>
      <c r="BM1329" s="55"/>
      <c r="BN1329" s="50" t="n">
        <v>-6796</v>
      </c>
      <c r="BO1329" s="50" t="n">
        <v>9219</v>
      </c>
      <c r="BP1329" s="49" t="n">
        <v>-1539.39</v>
      </c>
      <c r="BQ1329" s="50" t="n">
        <v>17893</v>
      </c>
      <c r="BR1329" s="48" t="s">
        <v>1611</v>
      </c>
      <c r="BS1329" s="53" t="n">
        <v>0</v>
      </c>
      <c r="BT1329" s="53" t="n">
        <v>1329</v>
      </c>
      <c r="BU1329" s="48" t="str">
        <f aca="false">IF(U1329&lt;&gt;"",UPPER(TRIM(U1329)),IF(BX1329=1,UPPER(VLOOKUP(T1329,Parameter!$I$27:$K$29,2,0)),IF(P1329="","LOSE",P1329)))</f>
        <v>S71</v>
      </c>
      <c r="BV1329" s="50" t="n">
        <f aca="false">IF(BU1329="LOSE",1,IF(N(V1329)&gt;0,V1329,IF(BX1329=1,MAX(1,N(VLOOKUP(T1329,Parameter!$I$27:$K$29,3,0)),H1329,N(N1329)),IF(N(Q1329)&gt;0,Q1329,MAX(1,H1329)))))</f>
        <v>3500</v>
      </c>
      <c r="BW1329" s="53" t="n">
        <f aca="false">IF(BU1329="LOSE",1,0)</f>
        <v>0</v>
      </c>
      <c r="BX1329" s="53" t="n">
        <f aca="false">IF(AND(U1329="",OR(P1329="",P1329="LOSE"),T1329&lt;&gt;"",N(S1329)&lt;=0,ISNUMBER(MATCH(T1329,Parameter!$I$27:$I$29,0))),1,0)</f>
        <v>0</v>
      </c>
      <c r="BY1329" s="53" t="n">
        <f aca="false">IF(CL1329&gt;0,INDEX(Parameter!$H$5:$H$7,W1329)/INDEX(Parameter!$E$5:$E$7,W1329),IF(AND(BW1329=0,N(IFERROR(VLOOKUP(BU1329,'Gebinde-Kategorie'!$A$5:$N$45,14,0),0))&gt;0),VLOOKUP(BU1329,'Gebinde-Kategorie'!$A$5:$N$45,14,0)*10+Parameter!$M$23,Parameter!$M$24))</f>
        <v>235</v>
      </c>
      <c r="BZ1329" s="48" t="str">
        <f aca="false">IF(AND(Parameter!$B$19="Ja",E1329&lt;&gt;"",ISNUMBER(MATCH(E1329,Parameter!$I$35:$I$52,0))),VLOOKUP(E1329,Parameter!$I$35:$J$52,2,0),IFERROR(VLOOKUP(D1329,Parameter!$A$35:$C$64,2,0),"Nein"))</f>
        <v>2+3</v>
      </c>
      <c r="CA1329" s="52" t="n">
        <f aca="false">IF(BW1329=0,0,IF(N(S1329)&gt;0,S1329,IFERROR(VLOOKUP(D1329,Parameter!$A$35:$C$64,3,0)+0,0)))</f>
        <v>0</v>
      </c>
      <c r="CB1329" s="48" t="n">
        <f aca="false">IF(AA1329&lt;&gt;"",AA1329,Z1329)</f>
        <v>2</v>
      </c>
      <c r="CC1329" s="48" t="str">
        <f aca="false">IF(OR(CB1329=1,CB1329=2,CB1329=3),IF(Parameter!$E$27="Ja","LIFT",IF(CB1329=1,"L1","L23")),IF(CB1329="Aussen","Aussen","-"))</f>
        <v>LIFT</v>
      </c>
      <c r="CD1329" s="59" t="n">
        <f aca="false">IF(N(AB1329)&gt;0,AB1329,0)</f>
        <v>0</v>
      </c>
      <c r="CE1329" s="53" t="n">
        <f aca="false">IF(ISNUMBER(AE1329),1,0)</f>
        <v>0</v>
      </c>
      <c r="CF1329" s="50" t="n">
        <f aca="false">N(AE1329)</f>
        <v>0</v>
      </c>
      <c r="CG1329" s="50" t="n">
        <f aca="false">N(M1329)+N(N1329)</f>
        <v>3043</v>
      </c>
      <c r="CH1329" s="50" t="n">
        <f aca="false">ROUNDUP(H1329/BV1329,0)</f>
        <v>1</v>
      </c>
      <c r="CI1329" s="50" t="n">
        <f aca="false">ROUNDUP(CF1329/BV1329,0)</f>
        <v>0</v>
      </c>
      <c r="CJ1329" s="53" t="n">
        <f aca="false">IF(BW1329=1,0,IFERROR(VLOOKUP(BU1329,'Gebinde-Kategorie'!$A$5:$N$45,5,0)+0,0))</f>
        <v>20</v>
      </c>
      <c r="CK1329" s="53" t="n">
        <f aca="false">IFERROR(IF(OR(CB1329=1,CB1329=2,CB1329=3),N(INDEX(Parameter!$I$5:$I$7,CB1329)),0),0)</f>
        <v>0</v>
      </c>
      <c r="CL1329" s="52" t="n">
        <f aca="false">IF(AND(Parameter!$B$21="Ja",ISNUMBER(W1329),N(X1329)&gt;0),IFERROR(N(INDEX(Parameter!$L$5:$L$7,W1329))*INDEX(Parameter!$E$5:$E$7,W1329)*X1329/SUMIFS($X$7:$X$1843,$W$7:$W$1843,W1329),0),0)</f>
        <v>0</v>
      </c>
    </row>
    <row r="1330" customFormat="false" ht="15" hidden="false" customHeight="false" outlineLevel="0" collapsed="false">
      <c r="A1330" s="48" t="s">
        <v>2364</v>
      </c>
      <c r="B1330" s="48" t="s">
        <v>409</v>
      </c>
      <c r="C1330" s="48" t="s">
        <v>168</v>
      </c>
      <c r="D1330" s="48" t="s">
        <v>177</v>
      </c>
      <c r="E1330" s="48"/>
      <c r="F1330" s="48" t="s">
        <v>222</v>
      </c>
      <c r="G1330" s="49" t="n">
        <v>0.42</v>
      </c>
      <c r="H1330" s="50" t="n">
        <f aca="false">MAX(0,IF(AND(Parameter!$B$21="Ja",ISNUMBER(Y1330)),Y1330,IF(Parameter!$B$20="Jahresanfang 2025 + Export",BO1330+BN1330,BN1330)))</f>
        <v>0</v>
      </c>
      <c r="I1330" s="50" t="n">
        <f aca="false">H1330*G1330</f>
        <v>0</v>
      </c>
      <c r="J1330" s="50" t="n">
        <f aca="false">BQ1330*Parameter!$B$18</f>
        <v>18000</v>
      </c>
      <c r="K1330" s="51" t="n">
        <v>3000</v>
      </c>
      <c r="L1330" s="52" t="n">
        <v>6</v>
      </c>
      <c r="M1330" s="50" t="n">
        <v>0</v>
      </c>
      <c r="N1330" s="50" t="n">
        <v>200</v>
      </c>
      <c r="O1330" s="53" t="n">
        <v>21</v>
      </c>
      <c r="P1330" s="48" t="s">
        <v>172</v>
      </c>
      <c r="Q1330" s="50"/>
      <c r="R1330" s="53" t="n">
        <f aca="false">IF(BW1330=1,0,IFERROR(VLOOKUP(BU1330,'Gebinde-Kategorie'!$A$5:$N$45,13,0)+0,0))</f>
        <v>26</v>
      </c>
      <c r="S1330" s="54"/>
      <c r="T1330" s="55" t="s">
        <v>279</v>
      </c>
      <c r="U1330" s="55"/>
      <c r="V1330" s="55"/>
      <c r="W1330" s="48"/>
      <c r="X1330" s="50"/>
      <c r="Y1330" s="50"/>
      <c r="Z1330" s="48" t="n">
        <f aca="false">IF(A1330="","",IF(AND(Parameter!$B$21="Ja",ISNUMBER(W1330)),W1330,IF(BZ1330="2+3",IF(ISNUMBER(SEARCH("grosser Artikel",BR1330)),2,IFERROR(VLOOKUP(BU1330,Parameter!$F$35:$G$64,2,0),2)),IF(OR(BZ1330="Nein",BZ1330=""),"-",BZ1330))))</f>
        <v>3</v>
      </c>
      <c r="AA1330" s="55"/>
      <c r="AB1330" s="56"/>
      <c r="AC1330" s="50" t="n">
        <f aca="false">AT1330</f>
        <v>9000</v>
      </c>
      <c r="AD1330" s="50" t="n">
        <f aca="false">MAX(AT1330,H1330)</f>
        <v>9000</v>
      </c>
      <c r="AE1330" s="57"/>
      <c r="AF1330" s="50" t="n">
        <f aca="false">IF(LEFT(Cockpit!$C$5,1)="A",H1330,IF(CE1330=1,CF1330,IF(LEFT(Cockpit!$C$5,1)="B",AK1330,MAX(AK1330,H1330))))</f>
        <v>0</v>
      </c>
      <c r="AG1330" s="50" t="n">
        <f aca="false">IF(BW1330=1,0,ROUNDUP(AF1330/BV1330,0))</f>
        <v>0</v>
      </c>
      <c r="AH1330" s="52" t="n">
        <f aca="false">IF(CL1330&gt;0,CL1330*MAX(1,AF1330/X1330),IF(BW1330=1,IF(AF1330&lt;=0,0,CA1330*MAX(1,IF(H1330&gt;0,AF1330/H1330,1))),IF(R1330&gt;0,AG1330/R1330,0))/MAX(0.1,N(Parameter!$M$21)))</f>
        <v>0</v>
      </c>
      <c r="AI1330" s="50" t="n">
        <f aca="false">AH1330*BY1330</f>
        <v>0</v>
      </c>
      <c r="AJ1330" s="50" t="n">
        <f aca="false">AF1330*G1330</f>
        <v>0</v>
      </c>
      <c r="AK1330" s="50" t="n">
        <f aca="false">ROUNDUP(MAX(J1330/IF(CD1330&gt;0,CD1330,MAX(0.1,N(Cockpit!$C$6))),CG1330)/BV1330,0)*BV1330</f>
        <v>9000</v>
      </c>
      <c r="AL1330" s="51" t="n">
        <f aca="false">IF(AI1330&gt;0,J1330/AI1330,-1)</f>
        <v>-1</v>
      </c>
      <c r="AM1330" s="51" t="str">
        <f aca="false">IF(AND(OR(CC1330="L1",CC1330="L23",CC1330="LIFT"),AI1330&gt;0),SUMIFS($AI$7:$AI$1843,$CC$7:$CC$1843,CC1330,$AL$7:$AL$1843,"&gt;"&amp;AL1330)+SUMIFS($AI$7:$AI$1843,$CC$7:$CC$1843,CC1330,$AL$7:$AL$1843,AL1330,$BT$7:$BT$1843,"&lt;="&amp;BT1330),"")</f>
        <v/>
      </c>
      <c r="AN1330" s="58" t="n">
        <f aca="false">IF(AM1330="",0,MAX(0,MIN(1,(IF(CC1330="L1",Parameter!$H$5,IF(CC1330="L23",Parameter!$H$6+Parameter!$H$7,Parameter!$H$5+Parameter!$H$6+Parameter!$H$7))-(AM1330-AI1330))/AI1330)))</f>
        <v>0</v>
      </c>
      <c r="AO1330" s="50" t="n">
        <f aca="false">IF(LEFT(Cockpit!$I$5,1)="A",H1330,IF(CE1330=1,CF1330,IF(LEFT(Cockpit!$I$5,1)="B",AT1330,MAX(AT1330,H1330))))</f>
        <v>9000</v>
      </c>
      <c r="AP1330" s="50" t="n">
        <f aca="false">IF(BW1330=1,0,ROUNDUP(AO1330/BV1330,0))</f>
        <v>45</v>
      </c>
      <c r="AQ1330" s="52" t="n">
        <f aca="false">IF(CL1330&gt;0,CL1330*MAX(1,AO1330/X1330),IF(BW1330=1,IF(AO1330&lt;=0,0,CA1330*MAX(1,IF(H1330&gt;0,AO1330/H1330,1))),IF(R1330&gt;0,AP1330/R1330,0))/MAX(0.1,N(Parameter!$M$21)))</f>
        <v>1.73076923076923</v>
      </c>
      <c r="AR1330" s="50" t="n">
        <f aca="false">AQ1330*BY1330</f>
        <v>268.269230769231</v>
      </c>
      <c r="AS1330" s="50" t="n">
        <f aca="false">AO1330*G1330</f>
        <v>3780</v>
      </c>
      <c r="AT1330" s="50" t="n">
        <f aca="false">ROUNDUP(MAX(J1330/IF(CD1330&gt;0,CD1330,MAX(0.1,N(Cockpit!$I$6))),CG1330)/BV1330,0)*BV1330</f>
        <v>9000</v>
      </c>
      <c r="AU1330" s="51" t="n">
        <f aca="false">IF(AR1330&gt;0,J1330/AR1330,-1)</f>
        <v>67.0967741935484</v>
      </c>
      <c r="AV1330" s="51" t="n">
        <f aca="false">IF(AND(OR(CC1330="L1",CC1330="L23",CC1330="LIFT"),AR1330&gt;0),SUMIFS($AR$7:$AR$1843,$CC$7:$CC$1843,CC1330,$AU$7:$AU$1843,"&gt;"&amp;AU1330)+SUMIFS($AR$7:$AR$1843,$CC$7:$CC$1843,CC1330,$AU$7:$AU$1843,AU1330,$BT$7:$BT$1843,"&lt;="&amp;BT1330),"")</f>
        <v>1297.41529304029</v>
      </c>
      <c r="AW1330" s="58" t="n">
        <f aca="false">IF(AV1330="",0,MAX(0,MIN(1,(IF(CC1330="L1",Parameter!$H$5,IF(CC1330="L23",Parameter!$H$6+Parameter!$H$7,Parameter!$H$5+Parameter!$H$6+Parameter!$H$7))-(AV1330-AR1330))/AR1330)))</f>
        <v>1</v>
      </c>
      <c r="AX1330" s="50" t="n">
        <f aca="false">IF(LEFT(Cockpit!$O$5,1)="A",H1330,IF(CE1330=1,CF1330,IF(LEFT(Cockpit!$O$5,1)="B",BC1330,MAX(BC1330,H1330))))</f>
        <v>6000</v>
      </c>
      <c r="AY1330" s="50" t="n">
        <f aca="false">IF(BW1330=1,0,ROUNDUP(AX1330/BV1330,0))</f>
        <v>30</v>
      </c>
      <c r="AZ1330" s="52" t="n">
        <f aca="false">IF(CL1330&gt;0,CL1330*MAX(1,AX1330/X1330),IF(BW1330=1,IF(AX1330&lt;=0,0,CA1330*MAX(1,IF(H1330&gt;0,AX1330/H1330,1))),IF(R1330&gt;0,AY1330/R1330,0))/MAX(0.1,N(Parameter!$M$21)))</f>
        <v>1.15384615384615</v>
      </c>
      <c r="BA1330" s="50" t="n">
        <f aca="false">AZ1330*BY1330</f>
        <v>178.846153846154</v>
      </c>
      <c r="BB1330" s="50" t="n">
        <f aca="false">AX1330*G1330</f>
        <v>2520</v>
      </c>
      <c r="BC1330" s="50" t="n">
        <f aca="false">ROUNDUP(MAX(J1330/IF(CD1330&gt;0,CD1330,MAX(0.1,N(Cockpit!$O$6))),CG1330)/BV1330,0)*BV1330</f>
        <v>6000</v>
      </c>
      <c r="BD1330" s="51" t="n">
        <f aca="false">IF(BA1330&gt;0,J1330/BA1330,-1)</f>
        <v>100.645161290323</v>
      </c>
      <c r="BE1330" s="51" t="n">
        <f aca="false">IF(AND(OR(CC1330="L1",CC1330="L23",CC1330="LIFT"),BA1330&gt;0),SUMIFS($BA$7:$BA$1843,$CC$7:$CC$1843,CC1330,$BD$7:$BD$1843,"&gt;"&amp;BD1330)+SUMIFS($BA$7:$BA$1843,$CC$7:$CC$1843,CC1330,$BD$7:$BD$1843,BD1330,$BT$7:$BT$1843,"&lt;="&amp;BT1330),"")</f>
        <v>1023.53983516484</v>
      </c>
      <c r="BF1330" s="58" t="n">
        <f aca="false">IF(BE1330="",0,MAX(0,MIN(1,(IF(CC1330="L1",Parameter!$H$5,IF(CC1330="L23",Parameter!$H$6+Parameter!$H$7,Parameter!$H$5+Parameter!$H$6+Parameter!$H$7))-(BE1330-BA1330))/BA1330)))</f>
        <v>1</v>
      </c>
      <c r="BG1330" s="48" t="str">
        <f aca="false">IF(AI1330&lt;=0,"",IF(CC1330="Aussen","Aussenlager",IF(CC1330="-","Nicht im Lift",IF(AN1330&gt;=1,"Lift",IF(AN1330&lt;=0,"Aussenlager","teilweise")))))</f>
        <v/>
      </c>
      <c r="BH1330" s="48" t="str">
        <f aca="false">IF(AR1330&lt;=0,"",IF(CC1330="Aussen","Aussenlager",IF(CC1330="-","Nicht im Lift",IF(AW1330&gt;=1,"Lift",IF(AW1330&lt;=0,"Aussenlager","teilweise")))))</f>
        <v>Lift</v>
      </c>
      <c r="BI1330" s="48" t="str">
        <f aca="false">IF(BA1330&lt;=0,"",IF(CC1330="Aussen","Aussenlager",IF(CC1330="-","Nicht im Lift",IF(BF1330&gt;=1,"Lift",IF(BF1330&lt;=0,"Aussenlager","teilweise")))))</f>
        <v>Lift</v>
      </c>
      <c r="BJ1330" s="48" t="str">
        <f aca="false">IF(A1330="","",IF(BS1330=1,"Neu; ","")&amp;IF(AND(BS1330=0,BN1330&lt;0),"negativer Bestand (Export "&amp;BN1330&amp;"); ","")&amp;IF(J1330&lt;=0,"Kein Verbrauch; ","")&amp;IF(CL1330&gt;0,"Lift "&amp;W1330&amp;" lt. Liftbericht (Fach "&amp;X1330&amp;" Stk); ",IF(BX1330=1,"Gebinde geschätzt ("&amp;T1330&amp;"); ",IF(BW1330=1,"Lose – Tablare geschätzt; ","")))&amp;IF(H1330&gt;AT1330,"Überbestand "&amp;ROUND(H1330-AT1330,0)&amp;" Stk / CHF "&amp;ROUND((H1330-AT1330)*G1330,0)&amp;"; ","")&amp;IF(AND(CE1330=1,CF1330&lt;CG1330),"MAX &lt; MB+LG; ","")&amp;IF(AND(CK1330&gt;0,CJ1330*10&gt;CK1330),"zu hoch für Tablar; ","")&amp;IF(AND(BS1330=0,OR(CE1330=1,AA1330&lt;&gt;"",U1330&lt;&gt;"",V1330&lt;&gt;"",AB1330&lt;&gt;"")),"manuell übersteuert; ","")&amp;IF(AND(BW1330=0,R1330=0),"Gebinde unbekannt / Stellmass fehlt; ","")&amp;IF(AND(BW1330=0,N(V1330)&lt;=0,N(Q1330)&lt;=0),"Menge pro Gebinde fehlt (Ist = 1 Gebinde); ","")&amp;BR1330)</f>
        <v>negativer Bestand (Export -4000); Gebinde geschätzt (Klein); Menge pro Gebinde fehlt (Ist = 1 Gebinde); </v>
      </c>
      <c r="BK1330" s="48"/>
      <c r="BL1330" s="48"/>
      <c r="BM1330" s="55"/>
      <c r="BN1330" s="50" t="n">
        <v>-4000</v>
      </c>
      <c r="BO1330" s="50" t="n">
        <v>4000</v>
      </c>
      <c r="BP1330" s="49" t="n">
        <v>-1560</v>
      </c>
      <c r="BQ1330" s="50" t="n">
        <v>18000</v>
      </c>
      <c r="BR1330" s="48"/>
      <c r="BS1330" s="53" t="n">
        <v>0</v>
      </c>
      <c r="BT1330" s="53" t="n">
        <v>1330</v>
      </c>
      <c r="BU1330" s="48" t="str">
        <f aca="false">IF(U1330&lt;&gt;"",UPPER(TRIM(U1330)),IF(BX1330=1,UPPER(VLOOKUP(T1330,Parameter!$I$27:$K$29,2,0)),IF(P1330="","LOSE",P1330)))</f>
        <v>S51</v>
      </c>
      <c r="BV1330" s="50" t="n">
        <f aca="false">IF(BU1330="LOSE",1,IF(N(V1330)&gt;0,V1330,IF(BX1330=1,MAX(1,N(VLOOKUP(T1330,Parameter!$I$27:$K$29,3,0)),H1330,N(N1330)),IF(N(Q1330)&gt;0,Q1330,MAX(1,H1330)))))</f>
        <v>200</v>
      </c>
      <c r="BW1330" s="53" t="n">
        <f aca="false">IF(BU1330="LOSE",1,0)</f>
        <v>0</v>
      </c>
      <c r="BX1330" s="53" t="n">
        <f aca="false">IF(AND(U1330="",OR(P1330="",P1330="LOSE"),T1330&lt;&gt;"",N(S1330)&lt;=0,ISNUMBER(MATCH(T1330,Parameter!$I$27:$I$29,0))),1,0)</f>
        <v>1</v>
      </c>
      <c r="BY1330" s="53" t="n">
        <f aca="false">IF(CL1330&gt;0,INDEX(Parameter!$H$5:$H$7,W1330)/INDEX(Parameter!$E$5:$E$7,W1330),IF(AND(BW1330=0,N(IFERROR(VLOOKUP(BU1330,'Gebinde-Kategorie'!$A$5:$N$45,14,0),0))&gt;0),VLOOKUP(BU1330,'Gebinde-Kategorie'!$A$5:$N$45,14,0)*10+Parameter!$M$23,Parameter!$M$24))</f>
        <v>155</v>
      </c>
      <c r="BZ1330" s="48" t="str">
        <f aca="false">IF(AND(Parameter!$B$19="Ja",E1330&lt;&gt;"",ISNUMBER(MATCH(E1330,Parameter!$I$35:$I$52,0))),VLOOKUP(E1330,Parameter!$I$35:$J$52,2,0),IFERROR(VLOOKUP(D1330,Parameter!$A$35:$C$64,2,0),"Nein"))</f>
        <v>2+3</v>
      </c>
      <c r="CA1330" s="52" t="n">
        <f aca="false">IF(BW1330=0,0,IF(N(S1330)&gt;0,S1330,IFERROR(VLOOKUP(D1330,Parameter!$A$35:$C$64,3,0)+0,0)))</f>
        <v>0</v>
      </c>
      <c r="CB1330" s="48" t="n">
        <f aca="false">IF(AA1330&lt;&gt;"",AA1330,Z1330)</f>
        <v>3</v>
      </c>
      <c r="CC1330" s="48" t="str">
        <f aca="false">IF(OR(CB1330=1,CB1330=2,CB1330=3),IF(Parameter!$E$27="Ja","LIFT",IF(CB1330=1,"L1","L23")),IF(CB1330="Aussen","Aussen","-"))</f>
        <v>LIFT</v>
      </c>
      <c r="CD1330" s="59" t="n">
        <f aca="false">IF(N(AB1330)&gt;0,AB1330,0)</f>
        <v>0</v>
      </c>
      <c r="CE1330" s="53" t="n">
        <f aca="false">IF(ISNUMBER(AE1330),1,0)</f>
        <v>0</v>
      </c>
      <c r="CF1330" s="50" t="n">
        <f aca="false">N(AE1330)</f>
        <v>0</v>
      </c>
      <c r="CG1330" s="50" t="n">
        <f aca="false">N(M1330)+N(N1330)</f>
        <v>200</v>
      </c>
      <c r="CH1330" s="50" t="n">
        <f aca="false">ROUNDUP(H1330/BV1330,0)</f>
        <v>0</v>
      </c>
      <c r="CI1330" s="50" t="n">
        <f aca="false">ROUNDUP(CF1330/BV1330,0)</f>
        <v>0</v>
      </c>
      <c r="CJ1330" s="53" t="n">
        <f aca="false">IF(BW1330=1,0,IFERROR(VLOOKUP(BU1330,'Gebinde-Kategorie'!$A$5:$N$45,5,0)+0,0))</f>
        <v>11</v>
      </c>
      <c r="CK1330" s="53" t="n">
        <f aca="false">IFERROR(IF(OR(CB1330=1,CB1330=2,CB1330=3),N(INDEX(Parameter!$I$5:$I$7,CB1330)),0),0)</f>
        <v>0</v>
      </c>
      <c r="CL1330" s="52" t="n">
        <f aca="false">IF(AND(Parameter!$B$21="Ja",ISNUMBER(W1330),N(X1330)&gt;0),IFERROR(N(INDEX(Parameter!$L$5:$L$7,W1330))*INDEX(Parameter!$E$5:$E$7,W1330)*X1330/SUMIFS($X$7:$X$1843,$W$7:$W$1843,W1330),0),0)</f>
        <v>0</v>
      </c>
    </row>
    <row r="1331" customFormat="false" ht="15" hidden="false" customHeight="false" outlineLevel="0" collapsed="false">
      <c r="A1331" s="48" t="s">
        <v>2365</v>
      </c>
      <c r="B1331" s="48" t="s">
        <v>2366</v>
      </c>
      <c r="C1331" s="48" t="s">
        <v>168</v>
      </c>
      <c r="D1331" s="48" t="s">
        <v>188</v>
      </c>
      <c r="E1331" s="48"/>
      <c r="F1331" s="48" t="s">
        <v>222</v>
      </c>
      <c r="G1331" s="49" t="n">
        <v>29.51</v>
      </c>
      <c r="H1331" s="50" t="n">
        <f aca="false">MAX(0,IF(AND(Parameter!$B$21="Ja",ISNUMBER(Y1331)),Y1331,IF(Parameter!$B$20="Jahresanfang 2025 + Export",BO1331+BN1331,BN1331)))</f>
        <v>4</v>
      </c>
      <c r="I1331" s="50" t="n">
        <f aca="false">H1331*G1331</f>
        <v>118.04</v>
      </c>
      <c r="J1331" s="50" t="n">
        <f aca="false">BQ1331*Parameter!$B$18</f>
        <v>3</v>
      </c>
      <c r="K1331" s="51" t="n">
        <v>56</v>
      </c>
      <c r="L1331" s="52" t="n">
        <v>0.0535714285714286</v>
      </c>
      <c r="M1331" s="50" t="n">
        <v>0</v>
      </c>
      <c r="N1331" s="50" t="n">
        <v>5</v>
      </c>
      <c r="O1331" s="53" t="n">
        <v>28</v>
      </c>
      <c r="P1331" s="48" t="s">
        <v>306</v>
      </c>
      <c r="Q1331" s="50" t="n">
        <v>25</v>
      </c>
      <c r="R1331" s="53" t="n">
        <f aca="false">IF(BW1331=1,0,IFERROR(VLOOKUP(BU1331,'Gebinde-Kategorie'!$A$5:$N$45,13,0)+0,0))</f>
        <v>26</v>
      </c>
      <c r="S1331" s="54"/>
      <c r="T1331" s="55"/>
      <c r="U1331" s="55"/>
      <c r="V1331" s="55"/>
      <c r="W1331" s="48"/>
      <c r="X1331" s="50"/>
      <c r="Y1331" s="50"/>
      <c r="Z1331" s="48" t="n">
        <f aca="false">IF(A1331="","",IF(AND(Parameter!$B$21="Ja",ISNUMBER(W1331)),W1331,IF(BZ1331="2+3",IF(ISNUMBER(SEARCH("grosser Artikel",BR1331)),2,IFERROR(VLOOKUP(BU1331,Parameter!$F$35:$G$64,2,0),2)),IF(OR(BZ1331="Nein",BZ1331=""),"-",BZ1331))))</f>
        <v>3</v>
      </c>
      <c r="AA1331" s="55"/>
      <c r="AB1331" s="56"/>
      <c r="AC1331" s="50" t="n">
        <f aca="false">AT1331</f>
        <v>25</v>
      </c>
      <c r="AD1331" s="50" t="n">
        <f aca="false">MAX(AT1331,H1331)</f>
        <v>25</v>
      </c>
      <c r="AE1331" s="57"/>
      <c r="AF1331" s="50" t="n">
        <f aca="false">IF(LEFT(Cockpit!$C$5,1)="A",H1331,IF(CE1331=1,CF1331,IF(LEFT(Cockpit!$C$5,1)="B",AK1331,MAX(AK1331,H1331))))</f>
        <v>4</v>
      </c>
      <c r="AG1331" s="50" t="n">
        <f aca="false">IF(BW1331=1,0,ROUNDUP(AF1331/BV1331,0))</f>
        <v>1</v>
      </c>
      <c r="AH1331" s="52" t="n">
        <f aca="false">IF(CL1331&gt;0,CL1331*MAX(1,AF1331/X1331),IF(BW1331=1,IF(AF1331&lt;=0,0,CA1331*MAX(1,IF(H1331&gt;0,AF1331/H1331,1))),IF(R1331&gt;0,AG1331/R1331,0))/MAX(0.1,N(Parameter!$M$21)))</f>
        <v>0.0384615384615385</v>
      </c>
      <c r="AI1331" s="50" t="n">
        <f aca="false">AH1331*BY1331</f>
        <v>5.96153846153846</v>
      </c>
      <c r="AJ1331" s="50" t="n">
        <f aca="false">AF1331*G1331</f>
        <v>118.04</v>
      </c>
      <c r="AK1331" s="50" t="n">
        <f aca="false">ROUNDUP(MAX(J1331/IF(CD1331&gt;0,CD1331,MAX(0.1,N(Cockpit!$C$6))),CG1331)/BV1331,0)*BV1331</f>
        <v>25</v>
      </c>
      <c r="AL1331" s="51" t="n">
        <f aca="false">IF(AI1331&gt;0,J1331/AI1331,-1)</f>
        <v>0.503225806451613</v>
      </c>
      <c r="AM1331" s="51" t="n">
        <f aca="false">IF(AND(OR(CC1331="L1",CC1331="L23",CC1331="LIFT"),AI1331&gt;0),SUMIFS($AI$7:$AI$1843,$CC$7:$CC$1843,CC1331,$AL$7:$AL$1843,"&gt;"&amp;AL1331)+SUMIFS($AI$7:$AI$1843,$CC$7:$CC$1843,CC1331,$AL$7:$AL$1843,AL1331,$BT$7:$BT$1843,"&lt;="&amp;BT1331),"")</f>
        <v>9580.04896421846</v>
      </c>
      <c r="AN1331" s="58" t="n">
        <f aca="false">IF(AM1331="",0,MAX(0,MIN(1,(IF(CC1331="L1",Parameter!$H$5,IF(CC1331="L23",Parameter!$H$6+Parameter!$H$7,Parameter!$H$5+Parameter!$H$6+Parameter!$H$7))-(AM1331-AI1331))/AI1331)))</f>
        <v>1</v>
      </c>
      <c r="AO1331" s="50" t="n">
        <f aca="false">IF(LEFT(Cockpit!$I$5,1)="A",H1331,IF(CE1331=1,CF1331,IF(LEFT(Cockpit!$I$5,1)="B",AT1331,MAX(AT1331,H1331))))</f>
        <v>25</v>
      </c>
      <c r="AP1331" s="50" t="n">
        <f aca="false">IF(BW1331=1,0,ROUNDUP(AO1331/BV1331,0))</f>
        <v>1</v>
      </c>
      <c r="AQ1331" s="52" t="n">
        <f aca="false">IF(CL1331&gt;0,CL1331*MAX(1,AO1331/X1331),IF(BW1331=1,IF(AO1331&lt;=0,0,CA1331*MAX(1,IF(H1331&gt;0,AO1331/H1331,1))),IF(R1331&gt;0,AP1331/R1331,0))/MAX(0.1,N(Parameter!$M$21)))</f>
        <v>0.0384615384615385</v>
      </c>
      <c r="AR1331" s="50" t="n">
        <f aca="false">AQ1331*BY1331</f>
        <v>5.96153846153846</v>
      </c>
      <c r="AS1331" s="50" t="n">
        <f aca="false">AO1331*G1331</f>
        <v>737.75</v>
      </c>
      <c r="AT1331" s="50" t="n">
        <f aca="false">ROUNDUP(MAX(J1331/IF(CD1331&gt;0,CD1331,MAX(0.1,N(Cockpit!$I$6))),CG1331)/BV1331,0)*BV1331</f>
        <v>25</v>
      </c>
      <c r="AU1331" s="51" t="n">
        <f aca="false">IF(AR1331&gt;0,J1331/AR1331,-1)</f>
        <v>0.503225806451613</v>
      </c>
      <c r="AV1331" s="51" t="n">
        <f aca="false">IF(AND(OR(CC1331="L1",CC1331="L23",CC1331="LIFT"),AR1331&gt;0),SUMIFS($AR$7:$AR$1843,$CC$7:$CC$1843,CC1331,$AU$7:$AU$1843,"&gt;"&amp;AU1331)+SUMIFS($AR$7:$AR$1843,$CC$7:$CC$1843,CC1331,$AU$7:$AU$1843,AU1331,$BT$7:$BT$1843,"&lt;="&amp;BT1331),"")</f>
        <v>14030.1735347985</v>
      </c>
      <c r="AW1331" s="58" t="n">
        <f aca="false">IF(AV1331="",0,MAX(0,MIN(1,(IF(CC1331="L1",Parameter!$H$5,IF(CC1331="L23",Parameter!$H$6+Parameter!$H$7,Parameter!$H$5+Parameter!$H$6+Parameter!$H$7))-(AV1331-AR1331))/AR1331)))</f>
        <v>1</v>
      </c>
      <c r="AX1331" s="50" t="n">
        <f aca="false">IF(LEFT(Cockpit!$O$5,1)="A",H1331,IF(CE1331=1,CF1331,IF(LEFT(Cockpit!$O$5,1)="B",BC1331,MAX(BC1331,H1331))))</f>
        <v>25</v>
      </c>
      <c r="AY1331" s="50" t="n">
        <f aca="false">IF(BW1331=1,0,ROUNDUP(AX1331/BV1331,0))</f>
        <v>1</v>
      </c>
      <c r="AZ1331" s="52" t="n">
        <f aca="false">IF(CL1331&gt;0,CL1331*MAX(1,AX1331/X1331),IF(BW1331=1,IF(AX1331&lt;=0,0,CA1331*MAX(1,IF(H1331&gt;0,AX1331/H1331,1))),IF(R1331&gt;0,AY1331/R1331,0))/MAX(0.1,N(Parameter!$M$21)))</f>
        <v>0.0384615384615385</v>
      </c>
      <c r="BA1331" s="50" t="n">
        <f aca="false">AZ1331*BY1331</f>
        <v>5.96153846153846</v>
      </c>
      <c r="BB1331" s="50" t="n">
        <f aca="false">AX1331*G1331</f>
        <v>737.75</v>
      </c>
      <c r="BC1331" s="50" t="n">
        <f aca="false">ROUNDUP(MAX(J1331/IF(CD1331&gt;0,CD1331,MAX(0.1,N(Cockpit!$O$6))),CG1331)/BV1331,0)*BV1331</f>
        <v>25</v>
      </c>
      <c r="BD1331" s="51" t="n">
        <f aca="false">IF(BA1331&gt;0,J1331/BA1331,-1)</f>
        <v>0.503225806451613</v>
      </c>
      <c r="BE1331" s="51" t="n">
        <f aca="false">IF(AND(OR(CC1331="L1",CC1331="L23",CC1331="LIFT"),BA1331&gt;0),SUMIFS($BA$7:$BA$1843,$CC$7:$CC$1843,CC1331,$BD$7:$BD$1843,"&gt;"&amp;BD1331)+SUMIFS($BA$7:$BA$1843,$CC$7:$CC$1843,CC1331,$BD$7:$BD$1843,BD1331,$BT$7:$BT$1843,"&lt;="&amp;BT1331),"")</f>
        <v>13025.8305860806</v>
      </c>
      <c r="BF1331" s="58" t="n">
        <f aca="false">IF(BE1331="",0,MAX(0,MIN(1,(IF(CC1331="L1",Parameter!$H$5,IF(CC1331="L23",Parameter!$H$6+Parameter!$H$7,Parameter!$H$5+Parameter!$H$6+Parameter!$H$7))-(BE1331-BA1331))/BA1331)))</f>
        <v>1</v>
      </c>
      <c r="BG1331" s="48" t="str">
        <f aca="false">IF(AI1331&lt;=0,"",IF(CC1331="Aussen","Aussenlager",IF(CC1331="-","Nicht im Lift",IF(AN1331&gt;=1,"Lift",IF(AN1331&lt;=0,"Aussenlager","teilweise")))))</f>
        <v>Lift</v>
      </c>
      <c r="BH1331" s="48" t="str">
        <f aca="false">IF(AR1331&lt;=0,"",IF(CC1331="Aussen","Aussenlager",IF(CC1331="-","Nicht im Lift",IF(AW1331&gt;=1,"Lift",IF(AW1331&lt;=0,"Aussenlager","teilweise")))))</f>
        <v>Lift</v>
      </c>
      <c r="BI1331" s="48" t="str">
        <f aca="false">IF(BA1331&lt;=0,"",IF(CC1331="Aussen","Aussenlager",IF(CC1331="-","Nicht im Lift",IF(BF1331&gt;=1,"Lift",IF(BF1331&lt;=0,"Aussenlager","teilweise")))))</f>
        <v>Lift</v>
      </c>
      <c r="BJ1331" s="48" t="str">
        <f aca="false">IF(A1331="","",IF(BS1331=1,"Neu; ","")&amp;IF(AND(BS1331=0,BN1331&lt;0),"negativer Bestand (Export "&amp;BN1331&amp;"); ","")&amp;IF(J1331&lt;=0,"Kein Verbrauch; ","")&amp;IF(CL1331&gt;0,"Lift "&amp;W1331&amp;" lt. Liftbericht (Fach "&amp;X1331&amp;" Stk); ",IF(BX1331=1,"Gebinde geschätzt ("&amp;T1331&amp;"); ",IF(BW1331=1,"Lose – Tablare geschätzt; ","")))&amp;IF(H1331&gt;AT1331,"Überbestand "&amp;ROUND(H1331-AT1331,0)&amp;" Stk / CHF "&amp;ROUND((H1331-AT1331)*G1331,0)&amp;"; ","")&amp;IF(AND(CE1331=1,CF1331&lt;CG1331),"MAX &lt; MB+LG; ","")&amp;IF(AND(CK1331&gt;0,CJ1331*10&gt;CK1331),"zu hoch für Tablar; ","")&amp;IF(AND(BS1331=0,OR(CE1331=1,AA1331&lt;&gt;"",U1331&lt;&gt;"",V1331&lt;&gt;"",AB1331&lt;&gt;"")),"manuell übersteuert; ","")&amp;IF(AND(BW1331=0,R1331=0),"Gebinde unbekannt / Stellmass fehlt; ","")&amp;IF(AND(BW1331=0,N(V1331)&lt;=0,N(Q1331)&lt;=0),"Menge pro Gebinde fehlt (Ist = 1 Gebinde); ","")&amp;BR1331)</f>
        <v>negativer Bestand (Export -54); i.o</v>
      </c>
      <c r="BK1331" s="48"/>
      <c r="BL1331" s="48"/>
      <c r="BM1331" s="55"/>
      <c r="BN1331" s="50" t="n">
        <v>-54</v>
      </c>
      <c r="BO1331" s="50" t="n">
        <v>58</v>
      </c>
      <c r="BP1331" s="49" t="n">
        <v>-1593.54</v>
      </c>
      <c r="BQ1331" s="50" t="n">
        <v>3</v>
      </c>
      <c r="BR1331" s="48" t="s">
        <v>540</v>
      </c>
      <c r="BS1331" s="53" t="n">
        <v>0</v>
      </c>
      <c r="BT1331" s="53" t="n">
        <v>1331</v>
      </c>
      <c r="BU1331" s="48" t="str">
        <f aca="false">IF(U1331&lt;&gt;"",UPPER(TRIM(U1331)),IF(BX1331=1,UPPER(VLOOKUP(T1331,Parameter!$I$27:$K$29,2,0)),IF(P1331="","LOSE",P1331)))</f>
        <v>S51</v>
      </c>
      <c r="BV1331" s="50" t="n">
        <f aca="false">IF(BU1331="LOSE",1,IF(N(V1331)&gt;0,V1331,IF(BX1331=1,MAX(1,N(VLOOKUP(T1331,Parameter!$I$27:$K$29,3,0)),H1331,N(N1331)),IF(N(Q1331)&gt;0,Q1331,MAX(1,H1331)))))</f>
        <v>25</v>
      </c>
      <c r="BW1331" s="53" t="n">
        <f aca="false">IF(BU1331="LOSE",1,0)</f>
        <v>0</v>
      </c>
      <c r="BX1331" s="53" t="n">
        <f aca="false">IF(AND(U1331="",OR(P1331="",P1331="LOSE"),T1331&lt;&gt;"",N(S1331)&lt;=0,ISNUMBER(MATCH(T1331,Parameter!$I$27:$I$29,0))),1,0)</f>
        <v>0</v>
      </c>
      <c r="BY1331" s="53" t="n">
        <f aca="false">IF(CL1331&gt;0,INDEX(Parameter!$H$5:$H$7,W1331)/INDEX(Parameter!$E$5:$E$7,W1331),IF(AND(BW1331=0,N(IFERROR(VLOOKUP(BU1331,'Gebinde-Kategorie'!$A$5:$N$45,14,0),0))&gt;0),VLOOKUP(BU1331,'Gebinde-Kategorie'!$A$5:$N$45,14,0)*10+Parameter!$M$23,Parameter!$M$24))</f>
        <v>155</v>
      </c>
      <c r="BZ1331" s="48" t="str">
        <f aca="false">IF(AND(Parameter!$B$19="Ja",E1331&lt;&gt;"",ISNUMBER(MATCH(E1331,Parameter!$I$35:$I$52,0))),VLOOKUP(E1331,Parameter!$I$35:$J$52,2,0),IFERROR(VLOOKUP(D1331,Parameter!$A$35:$C$64,2,0),"Nein"))</f>
        <v>2+3</v>
      </c>
      <c r="CA1331" s="52" t="n">
        <f aca="false">IF(BW1331=0,0,IF(N(S1331)&gt;0,S1331,IFERROR(VLOOKUP(D1331,Parameter!$A$35:$C$64,3,0)+0,0)))</f>
        <v>0</v>
      </c>
      <c r="CB1331" s="48" t="n">
        <f aca="false">IF(AA1331&lt;&gt;"",AA1331,Z1331)</f>
        <v>3</v>
      </c>
      <c r="CC1331" s="48" t="str">
        <f aca="false">IF(OR(CB1331=1,CB1331=2,CB1331=3),IF(Parameter!$E$27="Ja","LIFT",IF(CB1331=1,"L1","L23")),IF(CB1331="Aussen","Aussen","-"))</f>
        <v>LIFT</v>
      </c>
      <c r="CD1331" s="59" t="n">
        <f aca="false">IF(N(AB1331)&gt;0,AB1331,0)</f>
        <v>0</v>
      </c>
      <c r="CE1331" s="53" t="n">
        <f aca="false">IF(ISNUMBER(AE1331),1,0)</f>
        <v>0</v>
      </c>
      <c r="CF1331" s="50" t="n">
        <f aca="false">N(AE1331)</f>
        <v>0</v>
      </c>
      <c r="CG1331" s="50" t="n">
        <f aca="false">N(M1331)+N(N1331)</f>
        <v>5</v>
      </c>
      <c r="CH1331" s="50" t="n">
        <f aca="false">ROUNDUP(H1331/BV1331,0)</f>
        <v>1</v>
      </c>
      <c r="CI1331" s="50" t="n">
        <f aca="false">ROUNDUP(CF1331/BV1331,0)</f>
        <v>0</v>
      </c>
      <c r="CJ1331" s="53" t="n">
        <f aca="false">IF(BW1331=1,0,IFERROR(VLOOKUP(BU1331,'Gebinde-Kategorie'!$A$5:$N$45,5,0)+0,0))</f>
        <v>11</v>
      </c>
      <c r="CK1331" s="53" t="n">
        <f aca="false">IFERROR(IF(OR(CB1331=1,CB1331=2,CB1331=3),N(INDEX(Parameter!$I$5:$I$7,CB1331)),0),0)</f>
        <v>0</v>
      </c>
      <c r="CL1331" s="52" t="n">
        <f aca="false">IF(AND(Parameter!$B$21="Ja",ISNUMBER(W1331),N(X1331)&gt;0),IFERROR(N(INDEX(Parameter!$L$5:$L$7,W1331))*INDEX(Parameter!$E$5:$E$7,W1331)*X1331/SUMIFS($X$7:$X$1843,$W$7:$W$1843,W1331),0),0)</f>
        <v>0</v>
      </c>
    </row>
    <row r="1332" customFormat="false" ht="15" hidden="false" customHeight="false" outlineLevel="0" collapsed="false">
      <c r="A1332" s="48" t="s">
        <v>2367</v>
      </c>
      <c r="B1332" s="48" t="s">
        <v>409</v>
      </c>
      <c r="C1332" s="48" t="s">
        <v>168</v>
      </c>
      <c r="D1332" s="48" t="s">
        <v>177</v>
      </c>
      <c r="E1332" s="48" t="s">
        <v>189</v>
      </c>
      <c r="F1332" s="48" t="s">
        <v>222</v>
      </c>
      <c r="G1332" s="49" t="n">
        <v>0.57</v>
      </c>
      <c r="H1332" s="50" t="n">
        <f aca="false">MAX(0,IF(AND(Parameter!$B$21="Ja",ISNUMBER(Y1332)),Y1332,IF(Parameter!$B$20="Jahresanfang 2025 + Export",BO1332+BN1332,BN1332)))</f>
        <v>467</v>
      </c>
      <c r="I1332" s="50" t="n">
        <f aca="false">H1332*G1332</f>
        <v>266.19</v>
      </c>
      <c r="J1332" s="50" t="n">
        <f aca="false">BQ1332*Parameter!$B$18</f>
        <v>4436</v>
      </c>
      <c r="K1332" s="51" t="n">
        <v>2976</v>
      </c>
      <c r="L1332" s="52" t="n">
        <v>1.49059139784946</v>
      </c>
      <c r="M1332" s="50" t="n">
        <v>258</v>
      </c>
      <c r="N1332" s="50" t="n">
        <v>1000</v>
      </c>
      <c r="O1332" s="53" t="n">
        <v>21</v>
      </c>
      <c r="P1332" s="48" t="s">
        <v>178</v>
      </c>
      <c r="Q1332" s="50" t="n">
        <v>1109</v>
      </c>
      <c r="R1332" s="53" t="n">
        <f aca="false">IF(BW1332=1,0,IFERROR(VLOOKUP(BU1332,'Gebinde-Kategorie'!$A$5:$N$45,13,0)+0,0))</f>
        <v>6</v>
      </c>
      <c r="S1332" s="54"/>
      <c r="T1332" s="55"/>
      <c r="U1332" s="55"/>
      <c r="V1332" s="55"/>
      <c r="W1332" s="48"/>
      <c r="X1332" s="50"/>
      <c r="Y1332" s="50"/>
      <c r="Z1332" s="48" t="n">
        <f aca="false">IF(A1332="","",IF(AND(Parameter!$B$21="Ja",ISNUMBER(W1332)),W1332,IF(BZ1332="2+3",IF(ISNUMBER(SEARCH("grosser Artikel",BR1332)),2,IFERROR(VLOOKUP(BU1332,Parameter!$F$35:$G$64,2,0),2)),IF(OR(BZ1332="Nein",BZ1332=""),"-",BZ1332))))</f>
        <v>2</v>
      </c>
      <c r="AA1332" s="55"/>
      <c r="AB1332" s="56"/>
      <c r="AC1332" s="50" t="n">
        <f aca="false">AT1332</f>
        <v>2218</v>
      </c>
      <c r="AD1332" s="50" t="n">
        <f aca="false">MAX(AT1332,H1332)</f>
        <v>2218</v>
      </c>
      <c r="AE1332" s="57"/>
      <c r="AF1332" s="50" t="n">
        <f aca="false">IF(LEFT(Cockpit!$C$5,1)="A",H1332,IF(CE1332=1,CF1332,IF(LEFT(Cockpit!$C$5,1)="B",AK1332,MAX(AK1332,H1332))))</f>
        <v>467</v>
      </c>
      <c r="AG1332" s="50" t="n">
        <f aca="false">IF(BW1332=1,0,ROUNDUP(AF1332/BV1332,0))</f>
        <v>1</v>
      </c>
      <c r="AH1332" s="52" t="n">
        <f aca="false">IF(CL1332&gt;0,CL1332*MAX(1,AF1332/X1332),IF(BW1332=1,IF(AF1332&lt;=0,0,CA1332*MAX(1,IF(H1332&gt;0,AF1332/H1332,1))),IF(R1332&gt;0,AG1332/R1332,0))/MAX(0.1,N(Parameter!$M$21)))</f>
        <v>0.166666666666667</v>
      </c>
      <c r="AI1332" s="50" t="n">
        <f aca="false">AH1332*BY1332</f>
        <v>39.1666666666667</v>
      </c>
      <c r="AJ1332" s="50" t="n">
        <f aca="false">AF1332*G1332</f>
        <v>266.19</v>
      </c>
      <c r="AK1332" s="50" t="n">
        <f aca="false">ROUNDUP(MAX(J1332/IF(CD1332&gt;0,CD1332,MAX(0.1,N(Cockpit!$C$6))),CG1332)/BV1332,0)*BV1332</f>
        <v>2218</v>
      </c>
      <c r="AL1332" s="51" t="n">
        <f aca="false">IF(AI1332&gt;0,J1332/AI1332,-1)</f>
        <v>113.259574468085</v>
      </c>
      <c r="AM1332" s="51" t="n">
        <f aca="false">IF(AND(OR(CC1332="L1",CC1332="L23",CC1332="LIFT"),AI1332&gt;0),SUMIFS($AI$7:$AI$1843,$CC$7:$CC$1843,CC1332,$AL$7:$AL$1843,"&gt;"&amp;AL1332)+SUMIFS($AI$7:$AI$1843,$CC$7:$CC$1843,CC1332,$AL$7:$AL$1843,AL1332,$BT$7:$BT$1843,"&lt;="&amp;BT1332),"")</f>
        <v>733.782509157509</v>
      </c>
      <c r="AN1332" s="58" t="n">
        <f aca="false">IF(AM1332="",0,MAX(0,MIN(1,(IF(CC1332="L1",Parameter!$H$5,IF(CC1332="L23",Parameter!$H$6+Parameter!$H$7,Parameter!$H$5+Parameter!$H$6+Parameter!$H$7))-(AM1332-AI1332))/AI1332)))</f>
        <v>1</v>
      </c>
      <c r="AO1332" s="50" t="n">
        <f aca="false">IF(LEFT(Cockpit!$I$5,1)="A",H1332,IF(CE1332=1,CF1332,IF(LEFT(Cockpit!$I$5,1)="B",AT1332,MAX(AT1332,H1332))))</f>
        <v>2218</v>
      </c>
      <c r="AP1332" s="50" t="n">
        <f aca="false">IF(BW1332=1,0,ROUNDUP(AO1332/BV1332,0))</f>
        <v>2</v>
      </c>
      <c r="AQ1332" s="52" t="n">
        <f aca="false">IF(CL1332&gt;0,CL1332*MAX(1,AO1332/X1332),IF(BW1332=1,IF(AO1332&lt;=0,0,CA1332*MAX(1,IF(H1332&gt;0,AO1332/H1332,1))),IF(R1332&gt;0,AP1332/R1332,0))/MAX(0.1,N(Parameter!$M$21)))</f>
        <v>0.333333333333333</v>
      </c>
      <c r="AR1332" s="50" t="n">
        <f aca="false">AQ1332*BY1332</f>
        <v>78.3333333333333</v>
      </c>
      <c r="AS1332" s="50" t="n">
        <f aca="false">AO1332*G1332</f>
        <v>1264.26</v>
      </c>
      <c r="AT1332" s="50" t="n">
        <f aca="false">ROUNDUP(MAX(J1332/IF(CD1332&gt;0,CD1332,MAX(0.1,N(Cockpit!$I$6))),CG1332)/BV1332,0)*BV1332</f>
        <v>2218</v>
      </c>
      <c r="AU1332" s="51" t="n">
        <f aca="false">IF(AR1332&gt;0,J1332/AR1332,-1)</f>
        <v>56.6297872340426</v>
      </c>
      <c r="AV1332" s="51" t="n">
        <f aca="false">IF(AND(OR(CC1332="L1",CC1332="L23",CC1332="LIFT"),AR1332&gt;0),SUMIFS($AR$7:$AR$1843,$CC$7:$CC$1843,CC1332,$AU$7:$AU$1843,"&gt;"&amp;AU1332)+SUMIFS($AR$7:$AR$1843,$CC$7:$CC$1843,CC1332,$AU$7:$AU$1843,AU1332,$BT$7:$BT$1843,"&lt;="&amp;BT1332),"")</f>
        <v>1487.96703296703</v>
      </c>
      <c r="AW1332" s="58" t="n">
        <f aca="false">IF(AV1332="",0,MAX(0,MIN(1,(IF(CC1332="L1",Parameter!$H$5,IF(CC1332="L23",Parameter!$H$6+Parameter!$H$7,Parameter!$H$5+Parameter!$H$6+Parameter!$H$7))-(AV1332-AR1332))/AR1332)))</f>
        <v>1</v>
      </c>
      <c r="AX1332" s="50" t="n">
        <f aca="false">IF(LEFT(Cockpit!$O$5,1)="A",H1332,IF(CE1332=1,CF1332,IF(LEFT(Cockpit!$O$5,1)="B",BC1332,MAX(BC1332,H1332))))</f>
        <v>2218</v>
      </c>
      <c r="AY1332" s="50" t="n">
        <f aca="false">IF(BW1332=1,0,ROUNDUP(AX1332/BV1332,0))</f>
        <v>2</v>
      </c>
      <c r="AZ1332" s="52" t="n">
        <f aca="false">IF(CL1332&gt;0,CL1332*MAX(1,AX1332/X1332),IF(BW1332=1,IF(AX1332&lt;=0,0,CA1332*MAX(1,IF(H1332&gt;0,AX1332/H1332,1))),IF(R1332&gt;0,AY1332/R1332,0))/MAX(0.1,N(Parameter!$M$21)))</f>
        <v>0.333333333333333</v>
      </c>
      <c r="BA1332" s="50" t="n">
        <f aca="false">AZ1332*BY1332</f>
        <v>78.3333333333333</v>
      </c>
      <c r="BB1332" s="50" t="n">
        <f aca="false">AX1332*G1332</f>
        <v>1264.26</v>
      </c>
      <c r="BC1332" s="50" t="n">
        <f aca="false">ROUNDUP(MAX(J1332/IF(CD1332&gt;0,CD1332,MAX(0.1,N(Cockpit!$O$6))),CG1332)/BV1332,0)*BV1332</f>
        <v>2218</v>
      </c>
      <c r="BD1332" s="51" t="n">
        <f aca="false">IF(BA1332&gt;0,J1332/BA1332,-1)</f>
        <v>56.6297872340426</v>
      </c>
      <c r="BE1332" s="51" t="n">
        <f aca="false">IF(AND(OR(CC1332="L1",CC1332="L23",CC1332="LIFT"),BA1332&gt;0),SUMIFS($BA$7:$BA$1843,$CC$7:$CC$1843,CC1332,$BD$7:$BD$1843,"&gt;"&amp;BD1332)+SUMIFS($BA$7:$BA$1843,$CC$7:$CC$1843,CC1332,$BD$7:$BD$1843,BD1332,$BT$7:$BT$1843,"&lt;="&amp;BT1332),"")</f>
        <v>1327.11767399267</v>
      </c>
      <c r="BF1332" s="58" t="n">
        <f aca="false">IF(BE1332="",0,MAX(0,MIN(1,(IF(CC1332="L1",Parameter!$H$5,IF(CC1332="L23",Parameter!$H$6+Parameter!$H$7,Parameter!$H$5+Parameter!$H$6+Parameter!$H$7))-(BE1332-BA1332))/BA1332)))</f>
        <v>1</v>
      </c>
      <c r="BG1332" s="48" t="str">
        <f aca="false">IF(AI1332&lt;=0,"",IF(CC1332="Aussen","Aussenlager",IF(CC1332="-","Nicht im Lift",IF(AN1332&gt;=1,"Lift",IF(AN1332&lt;=0,"Aussenlager","teilweise")))))</f>
        <v>Lift</v>
      </c>
      <c r="BH1332" s="48" t="str">
        <f aca="false">IF(AR1332&lt;=0,"",IF(CC1332="Aussen","Aussenlager",IF(CC1332="-","Nicht im Lift",IF(AW1332&gt;=1,"Lift",IF(AW1332&lt;=0,"Aussenlager","teilweise")))))</f>
        <v>Lift</v>
      </c>
      <c r="BI1332" s="48" t="str">
        <f aca="false">IF(BA1332&lt;=0,"",IF(CC1332="Aussen","Aussenlager",IF(CC1332="-","Nicht im Lift",IF(BF1332&gt;=1,"Lift",IF(BF1332&lt;=0,"Aussenlager","teilweise")))))</f>
        <v>Lift</v>
      </c>
      <c r="BJ1332" s="48" t="str">
        <f aca="false">IF(A1332="","",IF(BS1332=1,"Neu; ","")&amp;IF(AND(BS1332=0,BN1332&lt;0),"negativer Bestand (Export "&amp;BN1332&amp;"); ","")&amp;IF(J1332&lt;=0,"Kein Verbrauch; ","")&amp;IF(CL1332&gt;0,"Lift "&amp;W1332&amp;" lt. Liftbericht (Fach "&amp;X1332&amp;" Stk); ",IF(BX1332=1,"Gebinde geschätzt ("&amp;T1332&amp;"); ",IF(BW1332=1,"Lose – Tablare geschätzt; ","")))&amp;IF(H1332&gt;AT1332,"Überbestand "&amp;ROUND(H1332-AT1332,0)&amp;" Stk / CHF "&amp;ROUND((H1332-AT1332)*G1332,0)&amp;"; ","")&amp;IF(AND(CE1332=1,CF1332&lt;CG1332),"MAX &lt; MB+LG; ","")&amp;IF(AND(CK1332&gt;0,CJ1332*10&gt;CK1332),"zu hoch für Tablar; ","")&amp;IF(AND(BS1332=0,OR(CE1332=1,AA1332&lt;&gt;"",U1332&lt;&gt;"",V1332&lt;&gt;"",AB1332&lt;&gt;"")),"manuell übersteuert; ","")&amp;IF(AND(BW1332=0,R1332=0),"Gebinde unbekannt / Stellmass fehlt; ","")&amp;IF(AND(BW1332=0,N(V1332)&lt;=0,N(Q1332)&lt;=0),"Menge pro Gebinde fehlt (Ist = 1 Gebinde); ","")&amp;BR1332)</f>
        <v>negativer Bestand (Export -2649); grosse  Artikelmenge</v>
      </c>
      <c r="BK1332" s="48"/>
      <c r="BL1332" s="48"/>
      <c r="BM1332" s="55"/>
      <c r="BN1332" s="50" t="n">
        <v>-2649</v>
      </c>
      <c r="BO1332" s="50" t="n">
        <v>3116</v>
      </c>
      <c r="BP1332" s="49" t="n">
        <v>-1602.66</v>
      </c>
      <c r="BQ1332" s="50" t="n">
        <v>4436</v>
      </c>
      <c r="BR1332" s="48" t="s">
        <v>1611</v>
      </c>
      <c r="BS1332" s="53" t="n">
        <v>0</v>
      </c>
      <c r="BT1332" s="53" t="n">
        <v>1332</v>
      </c>
      <c r="BU1332" s="48" t="str">
        <f aca="false">IF(U1332&lt;&gt;"",UPPER(TRIM(U1332)),IF(BX1332=1,UPPER(VLOOKUP(T1332,Parameter!$I$27:$K$29,2,0)),IF(P1332="","LOSE",P1332)))</f>
        <v>S71</v>
      </c>
      <c r="BV1332" s="50" t="n">
        <f aca="false">IF(BU1332="LOSE",1,IF(N(V1332)&gt;0,V1332,IF(BX1332=1,MAX(1,N(VLOOKUP(T1332,Parameter!$I$27:$K$29,3,0)),H1332,N(N1332)),IF(N(Q1332)&gt;0,Q1332,MAX(1,H1332)))))</f>
        <v>1109</v>
      </c>
      <c r="BW1332" s="53" t="n">
        <f aca="false">IF(BU1332="LOSE",1,0)</f>
        <v>0</v>
      </c>
      <c r="BX1332" s="53" t="n">
        <f aca="false">IF(AND(U1332="",OR(P1332="",P1332="LOSE"),T1332&lt;&gt;"",N(S1332)&lt;=0,ISNUMBER(MATCH(T1332,Parameter!$I$27:$I$29,0))),1,0)</f>
        <v>0</v>
      </c>
      <c r="BY1332" s="53" t="n">
        <f aca="false">IF(CL1332&gt;0,INDEX(Parameter!$H$5:$H$7,W1332)/INDEX(Parameter!$E$5:$E$7,W1332),IF(AND(BW1332=0,N(IFERROR(VLOOKUP(BU1332,'Gebinde-Kategorie'!$A$5:$N$45,14,0),0))&gt;0),VLOOKUP(BU1332,'Gebinde-Kategorie'!$A$5:$N$45,14,0)*10+Parameter!$M$23,Parameter!$M$24))</f>
        <v>235</v>
      </c>
      <c r="BZ1332" s="48" t="str">
        <f aca="false">IF(AND(Parameter!$B$19="Ja",E1332&lt;&gt;"",ISNUMBER(MATCH(E1332,Parameter!$I$35:$I$52,0))),VLOOKUP(E1332,Parameter!$I$35:$J$52,2,0),IFERROR(VLOOKUP(D1332,Parameter!$A$35:$C$64,2,0),"Nein"))</f>
        <v>2+3</v>
      </c>
      <c r="CA1332" s="52" t="n">
        <f aca="false">IF(BW1332=0,0,IF(N(S1332)&gt;0,S1332,IFERROR(VLOOKUP(D1332,Parameter!$A$35:$C$64,3,0)+0,0)))</f>
        <v>0</v>
      </c>
      <c r="CB1332" s="48" t="n">
        <f aca="false">IF(AA1332&lt;&gt;"",AA1332,Z1332)</f>
        <v>2</v>
      </c>
      <c r="CC1332" s="48" t="str">
        <f aca="false">IF(OR(CB1332=1,CB1332=2,CB1332=3),IF(Parameter!$E$27="Ja","LIFT",IF(CB1332=1,"L1","L23")),IF(CB1332="Aussen","Aussen","-"))</f>
        <v>LIFT</v>
      </c>
      <c r="CD1332" s="59" t="n">
        <f aca="false">IF(N(AB1332)&gt;0,AB1332,0)</f>
        <v>0</v>
      </c>
      <c r="CE1332" s="53" t="n">
        <f aca="false">IF(ISNUMBER(AE1332),1,0)</f>
        <v>0</v>
      </c>
      <c r="CF1332" s="50" t="n">
        <f aca="false">N(AE1332)</f>
        <v>0</v>
      </c>
      <c r="CG1332" s="50" t="n">
        <f aca="false">N(M1332)+N(N1332)</f>
        <v>1258</v>
      </c>
      <c r="CH1332" s="50" t="n">
        <f aca="false">ROUNDUP(H1332/BV1332,0)</f>
        <v>1</v>
      </c>
      <c r="CI1332" s="50" t="n">
        <f aca="false">ROUNDUP(CF1332/BV1332,0)</f>
        <v>0</v>
      </c>
      <c r="CJ1332" s="53" t="n">
        <f aca="false">IF(BW1332=1,0,IFERROR(VLOOKUP(BU1332,'Gebinde-Kategorie'!$A$5:$N$45,5,0)+0,0))</f>
        <v>20</v>
      </c>
      <c r="CK1332" s="53" t="n">
        <f aca="false">IFERROR(IF(OR(CB1332=1,CB1332=2,CB1332=3),N(INDEX(Parameter!$I$5:$I$7,CB1332)),0),0)</f>
        <v>0</v>
      </c>
      <c r="CL1332" s="52" t="n">
        <f aca="false">IF(AND(Parameter!$B$21="Ja",ISNUMBER(W1332),N(X1332)&gt;0),IFERROR(N(INDEX(Parameter!$L$5:$L$7,W1332))*INDEX(Parameter!$E$5:$E$7,W1332)*X1332/SUMIFS($X$7:$X$1843,$W$7:$W$1843,W1332),0),0)</f>
        <v>0</v>
      </c>
    </row>
    <row r="1333" customFormat="false" ht="15" hidden="false" customHeight="false" outlineLevel="0" collapsed="false">
      <c r="A1333" s="48" t="s">
        <v>2368</v>
      </c>
      <c r="B1333" s="48" t="s">
        <v>1013</v>
      </c>
      <c r="C1333" s="48" t="s">
        <v>168</v>
      </c>
      <c r="D1333" s="48" t="s">
        <v>188</v>
      </c>
      <c r="E1333" s="48" t="s">
        <v>189</v>
      </c>
      <c r="F1333" s="48" t="s">
        <v>222</v>
      </c>
      <c r="G1333" s="49" t="n">
        <v>4.38</v>
      </c>
      <c r="H1333" s="50" t="n">
        <f aca="false">MAX(0,IF(AND(Parameter!$B$21="Ja",ISNUMBER(Y1333)),Y1333,IF(Parameter!$B$20="Jahresanfang 2025 + Export",BO1333+BN1333,BN1333)))</f>
        <v>281</v>
      </c>
      <c r="I1333" s="50" t="n">
        <f aca="false">H1333*G1333</f>
        <v>1230.78</v>
      </c>
      <c r="J1333" s="50" t="n">
        <f aca="false">BQ1333*Parameter!$B$18</f>
        <v>415</v>
      </c>
      <c r="K1333" s="51" t="n">
        <v>465.5</v>
      </c>
      <c r="L1333" s="52" t="n">
        <v>0.891514500537057</v>
      </c>
      <c r="M1333" s="50" t="n">
        <v>32</v>
      </c>
      <c r="N1333" s="50" t="n">
        <v>415</v>
      </c>
      <c r="O1333" s="53" t="n">
        <v>28</v>
      </c>
      <c r="P1333" s="48" t="s">
        <v>480</v>
      </c>
      <c r="Q1333" s="50" t="n">
        <v>139</v>
      </c>
      <c r="R1333" s="53" t="n">
        <f aca="false">IF(BW1333=1,0,IFERROR(VLOOKUP(BU1333,'Gebinde-Kategorie'!$A$5:$N$45,13,0)+0,0))</f>
        <v>52</v>
      </c>
      <c r="S1333" s="54"/>
      <c r="T1333" s="55"/>
      <c r="U1333" s="55"/>
      <c r="V1333" s="55"/>
      <c r="W1333" s="48"/>
      <c r="X1333" s="50"/>
      <c r="Y1333" s="50"/>
      <c r="Z1333" s="48" t="n">
        <f aca="false">IF(A1333="","",IF(AND(Parameter!$B$21="Ja",ISNUMBER(W1333)),W1333,IF(BZ1333="2+3",IF(ISNUMBER(SEARCH("grosser Artikel",BR1333)),2,IFERROR(VLOOKUP(BU1333,Parameter!$F$35:$G$64,2,0),2)),IF(OR(BZ1333="Nein",BZ1333=""),"-",BZ1333))))</f>
        <v>3</v>
      </c>
      <c r="AA1333" s="55"/>
      <c r="AB1333" s="56"/>
      <c r="AC1333" s="50" t="n">
        <f aca="false">AT1333</f>
        <v>556</v>
      </c>
      <c r="AD1333" s="50" t="n">
        <f aca="false">MAX(AT1333,H1333)</f>
        <v>556</v>
      </c>
      <c r="AE1333" s="57"/>
      <c r="AF1333" s="50" t="n">
        <f aca="false">IF(LEFT(Cockpit!$C$5,1)="A",H1333,IF(CE1333=1,CF1333,IF(LEFT(Cockpit!$C$5,1)="B",AK1333,MAX(AK1333,H1333))))</f>
        <v>281</v>
      </c>
      <c r="AG1333" s="50" t="n">
        <f aca="false">IF(BW1333=1,0,ROUNDUP(AF1333/BV1333,0))</f>
        <v>3</v>
      </c>
      <c r="AH1333" s="52" t="n">
        <f aca="false">IF(CL1333&gt;0,CL1333*MAX(1,AF1333/X1333),IF(BW1333=1,IF(AF1333&lt;=0,0,CA1333*MAX(1,IF(H1333&gt;0,AF1333/H1333,1))),IF(R1333&gt;0,AG1333/R1333,0))/MAX(0.1,N(Parameter!$M$21)))</f>
        <v>0.0576923076923077</v>
      </c>
      <c r="AI1333" s="50" t="n">
        <f aca="false">AH1333*BY1333</f>
        <v>8.94230769230769</v>
      </c>
      <c r="AJ1333" s="50" t="n">
        <f aca="false">AF1333*G1333</f>
        <v>1230.78</v>
      </c>
      <c r="AK1333" s="50" t="n">
        <f aca="false">ROUNDUP(MAX(J1333/IF(CD1333&gt;0,CD1333,MAX(0.1,N(Cockpit!$C$6))),CG1333)/BV1333,0)*BV1333</f>
        <v>556</v>
      </c>
      <c r="AL1333" s="51" t="n">
        <f aca="false">IF(AI1333&gt;0,J1333/AI1333,-1)</f>
        <v>46.4086021505376</v>
      </c>
      <c r="AM1333" s="51" t="n">
        <f aca="false">IF(AND(OR(CC1333="L1",CC1333="L23",CC1333="LIFT"),AI1333&gt;0),SUMIFS($AI$7:$AI$1843,$CC$7:$CC$1843,CC1333,$AL$7:$AL$1843,"&gt;"&amp;AL1333)+SUMIFS($AI$7:$AI$1843,$CC$7:$CC$1843,CC1333,$AL$7:$AL$1843,AL1333,$BT$7:$BT$1843,"&lt;="&amp;BT1333),"")</f>
        <v>1157.88598901099</v>
      </c>
      <c r="AN1333" s="58" t="n">
        <f aca="false">IF(AM1333="",0,MAX(0,MIN(1,(IF(CC1333="L1",Parameter!$H$5,IF(CC1333="L23",Parameter!$H$6+Parameter!$H$7,Parameter!$H$5+Parameter!$H$6+Parameter!$H$7))-(AM1333-AI1333))/AI1333)))</f>
        <v>1</v>
      </c>
      <c r="AO1333" s="50" t="n">
        <f aca="false">IF(LEFT(Cockpit!$I$5,1)="A",H1333,IF(CE1333=1,CF1333,IF(LEFT(Cockpit!$I$5,1)="B",AT1333,MAX(AT1333,H1333))))</f>
        <v>556</v>
      </c>
      <c r="AP1333" s="50" t="n">
        <f aca="false">IF(BW1333=1,0,ROUNDUP(AO1333/BV1333,0))</f>
        <v>4</v>
      </c>
      <c r="AQ1333" s="52" t="n">
        <f aca="false">IF(CL1333&gt;0,CL1333*MAX(1,AO1333/X1333),IF(BW1333=1,IF(AO1333&lt;=0,0,CA1333*MAX(1,IF(H1333&gt;0,AO1333/H1333,1))),IF(R1333&gt;0,AP1333/R1333,0))/MAX(0.1,N(Parameter!$M$21)))</f>
        <v>0.0769230769230769</v>
      </c>
      <c r="AR1333" s="50" t="n">
        <f aca="false">AQ1333*BY1333</f>
        <v>11.9230769230769</v>
      </c>
      <c r="AS1333" s="50" t="n">
        <f aca="false">AO1333*G1333</f>
        <v>2435.28</v>
      </c>
      <c r="AT1333" s="50" t="n">
        <f aca="false">ROUNDUP(MAX(J1333/IF(CD1333&gt;0,CD1333,MAX(0.1,N(Cockpit!$I$6))),CG1333)/BV1333,0)*BV1333</f>
        <v>556</v>
      </c>
      <c r="AU1333" s="51" t="n">
        <f aca="false">IF(AR1333&gt;0,J1333/AR1333,-1)</f>
        <v>34.8064516129032</v>
      </c>
      <c r="AV1333" s="51" t="n">
        <f aca="false">IF(AND(OR(CC1333="L1",CC1333="L23",CC1333="LIFT"),AR1333&gt;0),SUMIFS($AR$7:$AR$1843,$CC$7:$CC$1843,CC1333,$AU$7:$AU$1843,"&gt;"&amp;AU1333)+SUMIFS($AR$7:$AR$1843,$CC$7:$CC$1843,CC1333,$AU$7:$AU$1843,AU1333,$BT$7:$BT$1843,"&lt;="&amp;BT1333),"")</f>
        <v>1809.85027472527</v>
      </c>
      <c r="AW1333" s="58" t="n">
        <f aca="false">IF(AV1333="",0,MAX(0,MIN(1,(IF(CC1333="L1",Parameter!$H$5,IF(CC1333="L23",Parameter!$H$6+Parameter!$H$7,Parameter!$H$5+Parameter!$H$6+Parameter!$H$7))-(AV1333-AR1333))/AR1333)))</f>
        <v>1</v>
      </c>
      <c r="AX1333" s="50" t="n">
        <f aca="false">IF(LEFT(Cockpit!$O$5,1)="A",H1333,IF(CE1333=1,CF1333,IF(LEFT(Cockpit!$O$5,1)="B",BC1333,MAX(BC1333,H1333))))</f>
        <v>556</v>
      </c>
      <c r="AY1333" s="50" t="n">
        <f aca="false">IF(BW1333=1,0,ROUNDUP(AX1333/BV1333,0))</f>
        <v>4</v>
      </c>
      <c r="AZ1333" s="52" t="n">
        <f aca="false">IF(CL1333&gt;0,CL1333*MAX(1,AX1333/X1333),IF(BW1333=1,IF(AX1333&lt;=0,0,CA1333*MAX(1,IF(H1333&gt;0,AX1333/H1333,1))),IF(R1333&gt;0,AY1333/R1333,0))/MAX(0.1,N(Parameter!$M$21)))</f>
        <v>0.0769230769230769</v>
      </c>
      <c r="BA1333" s="50" t="n">
        <f aca="false">AZ1333*BY1333</f>
        <v>11.9230769230769</v>
      </c>
      <c r="BB1333" s="50" t="n">
        <f aca="false">AX1333*G1333</f>
        <v>2435.28</v>
      </c>
      <c r="BC1333" s="50" t="n">
        <f aca="false">ROUNDUP(MAX(J1333/IF(CD1333&gt;0,CD1333,MAX(0.1,N(Cockpit!$O$6))),CG1333)/BV1333,0)*BV1333</f>
        <v>556</v>
      </c>
      <c r="BD1333" s="51" t="n">
        <f aca="false">IF(BA1333&gt;0,J1333/BA1333,-1)</f>
        <v>34.8064516129032</v>
      </c>
      <c r="BE1333" s="51" t="n">
        <f aca="false">IF(AND(OR(CC1333="L1",CC1333="L23",CC1333="LIFT"),BA1333&gt;0),SUMIFS($BA$7:$BA$1843,$CC$7:$CC$1843,CC1333,$BD$7:$BD$1843,"&gt;"&amp;BD1333)+SUMIFS($BA$7:$BA$1843,$CC$7:$CC$1843,CC1333,$BD$7:$BD$1843,BD1333,$BT$7:$BT$1843,"&lt;="&amp;BT1333),"")</f>
        <v>1645.53937728938</v>
      </c>
      <c r="BF1333" s="58" t="n">
        <f aca="false">IF(BE1333="",0,MAX(0,MIN(1,(IF(CC1333="L1",Parameter!$H$5,IF(CC1333="L23",Parameter!$H$6+Parameter!$H$7,Parameter!$H$5+Parameter!$H$6+Parameter!$H$7))-(BE1333-BA1333))/BA1333)))</f>
        <v>1</v>
      </c>
      <c r="BG1333" s="48" t="str">
        <f aca="false">IF(AI1333&lt;=0,"",IF(CC1333="Aussen","Aussenlager",IF(CC1333="-","Nicht im Lift",IF(AN1333&gt;=1,"Lift",IF(AN1333&lt;=0,"Aussenlager","teilweise")))))</f>
        <v>Lift</v>
      </c>
      <c r="BH1333" s="48" t="str">
        <f aca="false">IF(AR1333&lt;=0,"",IF(CC1333="Aussen","Aussenlager",IF(CC1333="-","Nicht im Lift",IF(AW1333&gt;=1,"Lift",IF(AW1333&lt;=0,"Aussenlager","teilweise")))))</f>
        <v>Lift</v>
      </c>
      <c r="BI1333" s="48" t="str">
        <f aca="false">IF(BA1333&lt;=0,"",IF(CC1333="Aussen","Aussenlager",IF(CC1333="-","Nicht im Lift",IF(BF1333&gt;=1,"Lift",IF(BF1333&lt;=0,"Aussenlager","teilweise")))))</f>
        <v>Lift</v>
      </c>
      <c r="BJ1333" s="48" t="str">
        <f aca="false">IF(A1333="","",IF(BS1333=1,"Neu; ","")&amp;IF(AND(BS1333=0,BN1333&lt;0),"negativer Bestand (Export "&amp;BN1333&amp;"); ","")&amp;IF(J1333&lt;=0,"Kein Verbrauch; ","")&amp;IF(CL1333&gt;0,"Lift "&amp;W1333&amp;" lt. Liftbericht (Fach "&amp;X1333&amp;" Stk); ",IF(BX1333=1,"Gebinde geschätzt ("&amp;T1333&amp;"); ",IF(BW1333=1,"Lose – Tablare geschätzt; ","")))&amp;IF(H1333&gt;AT1333,"Überbestand "&amp;ROUND(H1333-AT1333,0)&amp;" Stk / CHF "&amp;ROUND((H1333-AT1333)*G1333,0)&amp;"; ","")&amp;IF(AND(CE1333=1,CF1333&lt;CG1333),"MAX &lt; MB+LG; ","")&amp;IF(AND(CK1333&gt;0,CJ1333*10&gt;CK1333),"zu hoch für Tablar; ","")&amp;IF(AND(BS1333=0,OR(CE1333=1,AA1333&lt;&gt;"",U1333&lt;&gt;"",V1333&lt;&gt;"",AB1333&lt;&gt;"")),"manuell übersteuert; ","")&amp;IF(AND(BW1333=0,R1333=0),"Gebinde unbekannt / Stellmass fehlt; ","")&amp;IF(AND(BW1333=0,N(V1333)&lt;=0,N(Q1333)&lt;=0),"Menge pro Gebinde fehlt (Ist = 1 Gebinde); ","")&amp;BR1333)</f>
        <v>negativer Bestand (Export -367); B&amp;R</v>
      </c>
      <c r="BK1333" s="48"/>
      <c r="BL1333" s="48"/>
      <c r="BM1333" s="55"/>
      <c r="BN1333" s="50" t="n">
        <v>-367</v>
      </c>
      <c r="BO1333" s="50" t="n">
        <v>648</v>
      </c>
      <c r="BP1333" s="49" t="n">
        <v>-1607.46</v>
      </c>
      <c r="BQ1333" s="50" t="n">
        <v>415</v>
      </c>
      <c r="BR1333" s="48" t="s">
        <v>2221</v>
      </c>
      <c r="BS1333" s="53" t="n">
        <v>0</v>
      </c>
      <c r="BT1333" s="53" t="n">
        <v>1333</v>
      </c>
      <c r="BU1333" s="48" t="str">
        <f aca="false">IF(U1333&lt;&gt;"",UPPER(TRIM(U1333)),IF(BX1333=1,UPPER(VLOOKUP(T1333,Parameter!$I$27:$K$29,2,0)),IF(P1333="","LOSE",P1333)))</f>
        <v>S33</v>
      </c>
      <c r="BV1333" s="50" t="n">
        <f aca="false">IF(BU1333="LOSE",1,IF(N(V1333)&gt;0,V1333,IF(BX1333=1,MAX(1,N(VLOOKUP(T1333,Parameter!$I$27:$K$29,3,0)),H1333,N(N1333)),IF(N(Q1333)&gt;0,Q1333,MAX(1,H1333)))))</f>
        <v>139</v>
      </c>
      <c r="BW1333" s="53" t="n">
        <f aca="false">IF(BU1333="LOSE",1,0)</f>
        <v>0</v>
      </c>
      <c r="BX1333" s="53" t="n">
        <f aca="false">IF(AND(U1333="",OR(P1333="",P1333="LOSE"),T1333&lt;&gt;"",N(S1333)&lt;=0,ISNUMBER(MATCH(T1333,Parameter!$I$27:$I$29,0))),1,0)</f>
        <v>0</v>
      </c>
      <c r="BY1333" s="53" t="n">
        <f aca="false">IF(CL1333&gt;0,INDEX(Parameter!$H$5:$H$7,W1333)/INDEX(Parameter!$E$5:$E$7,W1333),IF(AND(BW1333=0,N(IFERROR(VLOOKUP(BU1333,'Gebinde-Kategorie'!$A$5:$N$45,14,0),0))&gt;0),VLOOKUP(BU1333,'Gebinde-Kategorie'!$A$5:$N$45,14,0)*10+Parameter!$M$23,Parameter!$M$24))</f>
        <v>155</v>
      </c>
      <c r="BZ1333" s="48" t="str">
        <f aca="false">IF(AND(Parameter!$B$19="Ja",E1333&lt;&gt;"",ISNUMBER(MATCH(E1333,Parameter!$I$35:$I$52,0))),VLOOKUP(E1333,Parameter!$I$35:$J$52,2,0),IFERROR(VLOOKUP(D1333,Parameter!$A$35:$C$64,2,0),"Nein"))</f>
        <v>2+3</v>
      </c>
      <c r="CA1333" s="52" t="n">
        <f aca="false">IF(BW1333=0,0,IF(N(S1333)&gt;0,S1333,IFERROR(VLOOKUP(D1333,Parameter!$A$35:$C$64,3,0)+0,0)))</f>
        <v>0</v>
      </c>
      <c r="CB1333" s="48" t="n">
        <f aca="false">IF(AA1333&lt;&gt;"",AA1333,Z1333)</f>
        <v>3</v>
      </c>
      <c r="CC1333" s="48" t="str">
        <f aca="false">IF(OR(CB1333=1,CB1333=2,CB1333=3),IF(Parameter!$E$27="Ja","LIFT",IF(CB1333=1,"L1","L23")),IF(CB1333="Aussen","Aussen","-"))</f>
        <v>LIFT</v>
      </c>
      <c r="CD1333" s="59" t="n">
        <f aca="false">IF(N(AB1333)&gt;0,AB1333,0)</f>
        <v>0</v>
      </c>
      <c r="CE1333" s="53" t="n">
        <f aca="false">IF(ISNUMBER(AE1333),1,0)</f>
        <v>0</v>
      </c>
      <c r="CF1333" s="50" t="n">
        <f aca="false">N(AE1333)</f>
        <v>0</v>
      </c>
      <c r="CG1333" s="50" t="n">
        <f aca="false">N(M1333)+N(N1333)</f>
        <v>447</v>
      </c>
      <c r="CH1333" s="50" t="n">
        <f aca="false">ROUNDUP(H1333/BV1333,0)</f>
        <v>3</v>
      </c>
      <c r="CI1333" s="50" t="n">
        <f aca="false">ROUNDUP(CF1333/BV1333,0)</f>
        <v>0</v>
      </c>
      <c r="CJ1333" s="53" t="n">
        <f aca="false">IF(BW1333=1,0,IFERROR(VLOOKUP(BU1333,'Gebinde-Kategorie'!$A$5:$N$45,5,0)+0,0))</f>
        <v>8</v>
      </c>
      <c r="CK1333" s="53" t="n">
        <f aca="false">IFERROR(IF(OR(CB1333=1,CB1333=2,CB1333=3),N(INDEX(Parameter!$I$5:$I$7,CB1333)),0),0)</f>
        <v>0</v>
      </c>
      <c r="CL1333" s="52" t="n">
        <f aca="false">IF(AND(Parameter!$B$21="Ja",ISNUMBER(W1333),N(X1333)&gt;0),IFERROR(N(INDEX(Parameter!$L$5:$L$7,W1333))*INDEX(Parameter!$E$5:$E$7,W1333)*X1333/SUMIFS($X$7:$X$1843,$W$7:$W$1843,W1333),0),0)</f>
        <v>0</v>
      </c>
    </row>
    <row r="1334" customFormat="false" ht="15" hidden="false" customHeight="false" outlineLevel="0" collapsed="false">
      <c r="A1334" s="48" t="s">
        <v>2369</v>
      </c>
      <c r="B1334" s="48" t="s">
        <v>411</v>
      </c>
      <c r="C1334" s="48" t="s">
        <v>168</v>
      </c>
      <c r="D1334" s="48" t="s">
        <v>188</v>
      </c>
      <c r="E1334" s="48" t="s">
        <v>189</v>
      </c>
      <c r="F1334" s="48" t="s">
        <v>222</v>
      </c>
      <c r="G1334" s="49" t="n">
        <v>0.73</v>
      </c>
      <c r="H1334" s="50" t="n">
        <f aca="false">MAX(0,IF(AND(Parameter!$B$21="Ja",ISNUMBER(Y1334)),Y1334,IF(Parameter!$B$20="Jahresanfang 2025 + Export",BO1334+BN1334,BN1334)))</f>
        <v>4470</v>
      </c>
      <c r="I1334" s="50" t="n">
        <f aca="false">H1334*G1334</f>
        <v>3263.1</v>
      </c>
      <c r="J1334" s="50" t="n">
        <f aca="false">BQ1334*Parameter!$B$18</f>
        <v>7948</v>
      </c>
      <c r="K1334" s="51" t="n">
        <v>5515</v>
      </c>
      <c r="L1334" s="52" t="n">
        <v>1.44116047144152</v>
      </c>
      <c r="M1334" s="50" t="n">
        <v>1786</v>
      </c>
      <c r="N1334" s="50" t="n">
        <v>2000</v>
      </c>
      <c r="O1334" s="53" t="n">
        <v>80</v>
      </c>
      <c r="P1334" s="48" t="s">
        <v>297</v>
      </c>
      <c r="Q1334" s="50" t="n">
        <v>9495</v>
      </c>
      <c r="R1334" s="53" t="n">
        <f aca="false">IF(BW1334=1,0,IFERROR(VLOOKUP(BU1334,'Gebinde-Kategorie'!$A$5:$N$45,13,0)+0,0))</f>
        <v>12</v>
      </c>
      <c r="S1334" s="54"/>
      <c r="T1334" s="55"/>
      <c r="U1334" s="55"/>
      <c r="V1334" s="55"/>
      <c r="W1334" s="48"/>
      <c r="X1334" s="50"/>
      <c r="Y1334" s="50"/>
      <c r="Z1334" s="48" t="n">
        <f aca="false">IF(A1334="","",IF(AND(Parameter!$B$21="Ja",ISNUMBER(W1334)),W1334,IF(BZ1334="2+3",IF(ISNUMBER(SEARCH("grosser Artikel",BR1334)),2,IFERROR(VLOOKUP(BU1334,Parameter!$F$35:$G$64,2,0),2)),IF(OR(BZ1334="Nein",BZ1334=""),"-",BZ1334))))</f>
        <v>2</v>
      </c>
      <c r="AA1334" s="55"/>
      <c r="AB1334" s="56"/>
      <c r="AC1334" s="50" t="n">
        <f aca="false">AT1334</f>
        <v>9495</v>
      </c>
      <c r="AD1334" s="50" t="n">
        <f aca="false">MAX(AT1334,H1334)</f>
        <v>9495</v>
      </c>
      <c r="AE1334" s="57"/>
      <c r="AF1334" s="50" t="n">
        <f aca="false">IF(LEFT(Cockpit!$C$5,1)="A",H1334,IF(CE1334=1,CF1334,IF(LEFT(Cockpit!$C$5,1)="B",AK1334,MAX(AK1334,H1334))))</f>
        <v>4470</v>
      </c>
      <c r="AG1334" s="50" t="n">
        <f aca="false">IF(BW1334=1,0,ROUNDUP(AF1334/BV1334,0))</f>
        <v>1</v>
      </c>
      <c r="AH1334" s="52" t="n">
        <f aca="false">IF(CL1334&gt;0,CL1334*MAX(1,AF1334/X1334),IF(BW1334=1,IF(AF1334&lt;=0,0,CA1334*MAX(1,IF(H1334&gt;0,AF1334/H1334,1))),IF(R1334&gt;0,AG1334/R1334,0))/MAX(0.1,N(Parameter!$M$21)))</f>
        <v>0.0833333333333333</v>
      </c>
      <c r="AI1334" s="50" t="n">
        <f aca="false">AH1334*BY1334</f>
        <v>20.4166666666667</v>
      </c>
      <c r="AJ1334" s="50" t="n">
        <f aca="false">AF1334*G1334</f>
        <v>3263.1</v>
      </c>
      <c r="AK1334" s="50" t="n">
        <f aca="false">ROUNDUP(MAX(J1334/IF(CD1334&gt;0,CD1334,MAX(0.1,N(Cockpit!$C$6))),CG1334)/BV1334,0)*BV1334</f>
        <v>9495</v>
      </c>
      <c r="AL1334" s="51" t="n">
        <f aca="false">IF(AI1334&gt;0,J1334/AI1334,-1)</f>
        <v>389.289795918367</v>
      </c>
      <c r="AM1334" s="51" t="n">
        <f aca="false">IF(AND(OR(CC1334="L1",CC1334="L23",CC1334="LIFT"),AI1334&gt;0),SUMIFS($AI$7:$AI$1843,$CC$7:$CC$1843,CC1334,$AL$7:$AL$1843,"&gt;"&amp;AL1334)+SUMIFS($AI$7:$AI$1843,$CC$7:$CC$1843,CC1334,$AL$7:$AL$1843,AL1334,$BT$7:$BT$1843,"&lt;="&amp;BT1334),"")</f>
        <v>199.987637362637</v>
      </c>
      <c r="AN1334" s="58" t="n">
        <f aca="false">IF(AM1334="",0,MAX(0,MIN(1,(IF(CC1334="L1",Parameter!$H$5,IF(CC1334="L23",Parameter!$H$6+Parameter!$H$7,Parameter!$H$5+Parameter!$H$6+Parameter!$H$7))-(AM1334-AI1334))/AI1334)))</f>
        <v>1</v>
      </c>
      <c r="AO1334" s="50" t="n">
        <f aca="false">IF(LEFT(Cockpit!$I$5,1)="A",H1334,IF(CE1334=1,CF1334,IF(LEFT(Cockpit!$I$5,1)="B",AT1334,MAX(AT1334,H1334))))</f>
        <v>9495</v>
      </c>
      <c r="AP1334" s="50" t="n">
        <f aca="false">IF(BW1334=1,0,ROUNDUP(AO1334/BV1334,0))</f>
        <v>1</v>
      </c>
      <c r="AQ1334" s="52" t="n">
        <f aca="false">IF(CL1334&gt;0,CL1334*MAX(1,AO1334/X1334),IF(BW1334=1,IF(AO1334&lt;=0,0,CA1334*MAX(1,IF(H1334&gt;0,AO1334/H1334,1))),IF(R1334&gt;0,AP1334/R1334,0))/MAX(0.1,N(Parameter!$M$21)))</f>
        <v>0.0833333333333333</v>
      </c>
      <c r="AR1334" s="50" t="n">
        <f aca="false">AQ1334*BY1334</f>
        <v>20.4166666666667</v>
      </c>
      <c r="AS1334" s="50" t="n">
        <f aca="false">AO1334*G1334</f>
        <v>6931.35</v>
      </c>
      <c r="AT1334" s="50" t="n">
        <f aca="false">ROUNDUP(MAX(J1334/IF(CD1334&gt;0,CD1334,MAX(0.1,N(Cockpit!$I$6))),CG1334)/BV1334,0)*BV1334</f>
        <v>9495</v>
      </c>
      <c r="AU1334" s="51" t="n">
        <f aca="false">IF(AR1334&gt;0,J1334/AR1334,-1)</f>
        <v>389.289795918367</v>
      </c>
      <c r="AV1334" s="51" t="n">
        <f aca="false">IF(AND(OR(CC1334="L1",CC1334="L23",CC1334="LIFT"),AR1334&gt;0),SUMIFS($AR$7:$AR$1843,$CC$7:$CC$1843,CC1334,$AU$7:$AU$1843,"&gt;"&amp;AU1334)+SUMIFS($AR$7:$AR$1843,$CC$7:$CC$1843,CC1334,$AU$7:$AU$1843,AU1334,$BT$7:$BT$1843,"&lt;="&amp;BT1334),"")</f>
        <v>115.424908424908</v>
      </c>
      <c r="AW1334" s="58" t="n">
        <f aca="false">IF(AV1334="",0,MAX(0,MIN(1,(IF(CC1334="L1",Parameter!$H$5,IF(CC1334="L23",Parameter!$H$6+Parameter!$H$7,Parameter!$H$5+Parameter!$H$6+Parameter!$H$7))-(AV1334-AR1334))/AR1334)))</f>
        <v>1</v>
      </c>
      <c r="AX1334" s="50" t="n">
        <f aca="false">IF(LEFT(Cockpit!$O$5,1)="A",H1334,IF(CE1334=1,CF1334,IF(LEFT(Cockpit!$O$5,1)="B",BC1334,MAX(BC1334,H1334))))</f>
        <v>9495</v>
      </c>
      <c r="AY1334" s="50" t="n">
        <f aca="false">IF(BW1334=1,0,ROUNDUP(AX1334/BV1334,0))</f>
        <v>1</v>
      </c>
      <c r="AZ1334" s="52" t="n">
        <f aca="false">IF(CL1334&gt;0,CL1334*MAX(1,AX1334/X1334),IF(BW1334=1,IF(AX1334&lt;=0,0,CA1334*MAX(1,IF(H1334&gt;0,AX1334/H1334,1))),IF(R1334&gt;0,AY1334/R1334,0))/MAX(0.1,N(Parameter!$M$21)))</f>
        <v>0.0833333333333333</v>
      </c>
      <c r="BA1334" s="50" t="n">
        <f aca="false">AZ1334*BY1334</f>
        <v>20.4166666666667</v>
      </c>
      <c r="BB1334" s="50" t="n">
        <f aca="false">AX1334*G1334</f>
        <v>6931.35</v>
      </c>
      <c r="BC1334" s="50" t="n">
        <f aca="false">ROUNDUP(MAX(J1334/IF(CD1334&gt;0,CD1334,MAX(0.1,N(Cockpit!$O$6))),CG1334)/BV1334,0)*BV1334</f>
        <v>9495</v>
      </c>
      <c r="BD1334" s="51" t="n">
        <f aca="false">IF(BA1334&gt;0,J1334/BA1334,-1)</f>
        <v>389.289795918367</v>
      </c>
      <c r="BE1334" s="51" t="n">
        <f aca="false">IF(AND(OR(CC1334="L1",CC1334="L23",CC1334="LIFT"),BA1334&gt;0),SUMIFS($BA$7:$BA$1843,$CC$7:$CC$1843,CC1334,$BD$7:$BD$1843,"&gt;"&amp;BD1334)+SUMIFS($BA$7:$BA$1843,$CC$7:$CC$1843,CC1334,$BD$7:$BD$1843,BD1334,$BT$7:$BT$1843,"&lt;="&amp;BT1334),"")</f>
        <v>124.367216117216</v>
      </c>
      <c r="BF1334" s="58" t="n">
        <f aca="false">IF(BE1334="",0,MAX(0,MIN(1,(IF(CC1334="L1",Parameter!$H$5,IF(CC1334="L23",Parameter!$H$6+Parameter!$H$7,Parameter!$H$5+Parameter!$H$6+Parameter!$H$7))-(BE1334-BA1334))/BA1334)))</f>
        <v>1</v>
      </c>
      <c r="BG1334" s="48" t="str">
        <f aca="false">IF(AI1334&lt;=0,"",IF(CC1334="Aussen","Aussenlager",IF(CC1334="-","Nicht im Lift",IF(AN1334&gt;=1,"Lift",IF(AN1334&lt;=0,"Aussenlager","teilweise")))))</f>
        <v>Lift</v>
      </c>
      <c r="BH1334" s="48" t="str">
        <f aca="false">IF(AR1334&lt;=0,"",IF(CC1334="Aussen","Aussenlager",IF(CC1334="-","Nicht im Lift",IF(AW1334&gt;=1,"Lift",IF(AW1334&lt;=0,"Aussenlager","teilweise")))))</f>
        <v>Lift</v>
      </c>
      <c r="BI1334" s="48" t="str">
        <f aca="false">IF(BA1334&lt;=0,"",IF(CC1334="Aussen","Aussenlager",IF(CC1334="-","Nicht im Lift",IF(BF1334&gt;=1,"Lift",IF(BF1334&lt;=0,"Aussenlager","teilweise")))))</f>
        <v>Lift</v>
      </c>
      <c r="BJ1334" s="48" t="str">
        <f aca="false">IF(A1334="","",IF(BS1334=1,"Neu; ","")&amp;IF(AND(BS1334=0,BN1334&lt;0),"negativer Bestand (Export "&amp;BN1334&amp;"); ","")&amp;IF(J1334&lt;=0,"Kein Verbrauch; ","")&amp;IF(CL1334&gt;0,"Lift "&amp;W1334&amp;" lt. Liftbericht (Fach "&amp;X1334&amp;" Stk); ",IF(BX1334=1,"Gebinde geschätzt ("&amp;T1334&amp;"); ",IF(BW1334=1,"Lose – Tablare geschätzt; ","")))&amp;IF(H1334&gt;AT1334,"Überbestand "&amp;ROUND(H1334-AT1334,0)&amp;" Stk / CHF "&amp;ROUND((H1334-AT1334)*G1334,0)&amp;"; ","")&amp;IF(AND(CE1334=1,CF1334&lt;CG1334),"MAX &lt; MB+LG; ","")&amp;IF(AND(CK1334&gt;0,CJ1334*10&gt;CK1334),"zu hoch für Tablar; ","")&amp;IF(AND(BS1334=0,OR(CE1334=1,AA1334&lt;&gt;"",U1334&lt;&gt;"",V1334&lt;&gt;"",AB1334&lt;&gt;"")),"manuell übersteuert; ","")&amp;IF(AND(BW1334=0,R1334=0),"Gebinde unbekannt / Stellmass fehlt; ","")&amp;IF(AND(BW1334=0,N(V1334)&lt;=0,N(Q1334)&lt;=0),"Menge pro Gebinde fehlt (Ist = 1 Gebinde); ","")&amp;BR1334)</f>
        <v>negativer Bestand (Export -3141); </v>
      </c>
      <c r="BK1334" s="48"/>
      <c r="BL1334" s="48"/>
      <c r="BM1334" s="55"/>
      <c r="BN1334" s="50" t="n">
        <v>-3141</v>
      </c>
      <c r="BO1334" s="50" t="n">
        <v>7611</v>
      </c>
      <c r="BP1334" s="49" t="n">
        <v>-1613.34</v>
      </c>
      <c r="BQ1334" s="50" t="n">
        <v>7948</v>
      </c>
      <c r="BR1334" s="48"/>
      <c r="BS1334" s="53" t="n">
        <v>0</v>
      </c>
      <c r="BT1334" s="53" t="n">
        <v>1334</v>
      </c>
      <c r="BU1334" s="48" t="str">
        <f aca="false">IF(U1334&lt;&gt;"",UPPER(TRIM(U1334)),IF(BX1334=1,UPPER(VLOOKUP(T1334,Parameter!$I$27:$K$29,2,0)),IF(P1334="","LOSE",P1334)))</f>
        <v>S62</v>
      </c>
      <c r="BV1334" s="50" t="n">
        <f aca="false">IF(BU1334="LOSE",1,IF(N(V1334)&gt;0,V1334,IF(BX1334=1,MAX(1,N(VLOOKUP(T1334,Parameter!$I$27:$K$29,3,0)),H1334,N(N1334)),IF(N(Q1334)&gt;0,Q1334,MAX(1,H1334)))))</f>
        <v>9495</v>
      </c>
      <c r="BW1334" s="53" t="n">
        <f aca="false">IF(BU1334="LOSE",1,0)</f>
        <v>0</v>
      </c>
      <c r="BX1334" s="53" t="n">
        <f aca="false">IF(AND(U1334="",OR(P1334="",P1334="LOSE"),T1334&lt;&gt;"",N(S1334)&lt;=0,ISNUMBER(MATCH(T1334,Parameter!$I$27:$I$29,0))),1,0)</f>
        <v>0</v>
      </c>
      <c r="BY1334" s="53" t="n">
        <f aca="false">IF(CL1334&gt;0,INDEX(Parameter!$H$5:$H$7,W1334)/INDEX(Parameter!$E$5:$E$7,W1334),IF(AND(BW1334=0,N(IFERROR(VLOOKUP(BU1334,'Gebinde-Kategorie'!$A$5:$N$45,14,0),0))&gt;0),VLOOKUP(BU1334,'Gebinde-Kategorie'!$A$5:$N$45,14,0)*10+Parameter!$M$23,Parameter!$M$24))</f>
        <v>245</v>
      </c>
      <c r="BZ1334" s="48" t="str">
        <f aca="false">IF(AND(Parameter!$B$19="Ja",E1334&lt;&gt;"",ISNUMBER(MATCH(E1334,Parameter!$I$35:$I$52,0))),VLOOKUP(E1334,Parameter!$I$35:$J$52,2,0),IFERROR(VLOOKUP(D1334,Parameter!$A$35:$C$64,2,0),"Nein"))</f>
        <v>2+3</v>
      </c>
      <c r="CA1334" s="52" t="n">
        <f aca="false">IF(BW1334=0,0,IF(N(S1334)&gt;0,S1334,IFERROR(VLOOKUP(D1334,Parameter!$A$35:$C$64,3,0)+0,0)))</f>
        <v>0</v>
      </c>
      <c r="CB1334" s="48" t="n">
        <f aca="false">IF(AA1334&lt;&gt;"",AA1334,Z1334)</f>
        <v>2</v>
      </c>
      <c r="CC1334" s="48" t="str">
        <f aca="false">IF(OR(CB1334=1,CB1334=2,CB1334=3),IF(Parameter!$E$27="Ja","LIFT",IF(CB1334=1,"L1","L23")),IF(CB1334="Aussen","Aussen","-"))</f>
        <v>LIFT</v>
      </c>
      <c r="CD1334" s="59" t="n">
        <f aca="false">IF(N(AB1334)&gt;0,AB1334,0)</f>
        <v>0</v>
      </c>
      <c r="CE1334" s="53" t="n">
        <f aca="false">IF(ISNUMBER(AE1334),1,0)</f>
        <v>0</v>
      </c>
      <c r="CF1334" s="50" t="n">
        <f aca="false">N(AE1334)</f>
        <v>0</v>
      </c>
      <c r="CG1334" s="50" t="n">
        <f aca="false">N(M1334)+N(N1334)</f>
        <v>3786</v>
      </c>
      <c r="CH1334" s="50" t="n">
        <f aca="false">ROUNDUP(H1334/BV1334,0)</f>
        <v>1</v>
      </c>
      <c r="CI1334" s="50" t="n">
        <f aca="false">ROUNDUP(CF1334/BV1334,0)</f>
        <v>0</v>
      </c>
      <c r="CJ1334" s="53" t="n">
        <f aca="false">IF(BW1334=1,0,IFERROR(VLOOKUP(BU1334,'Gebinde-Kategorie'!$A$5:$N$45,5,0)+0,0))</f>
        <v>21</v>
      </c>
      <c r="CK1334" s="53" t="n">
        <f aca="false">IFERROR(IF(OR(CB1334=1,CB1334=2,CB1334=3),N(INDEX(Parameter!$I$5:$I$7,CB1334)),0),0)</f>
        <v>0</v>
      </c>
      <c r="CL1334" s="52" t="n">
        <f aca="false">IF(AND(Parameter!$B$21="Ja",ISNUMBER(W1334),N(X1334)&gt;0),IFERROR(N(INDEX(Parameter!$L$5:$L$7,W1334))*INDEX(Parameter!$E$5:$E$7,W1334)*X1334/SUMIFS($X$7:$X$1843,$W$7:$W$1843,W1334),0),0)</f>
        <v>0</v>
      </c>
    </row>
    <row r="1335" customFormat="false" ht="15" hidden="false" customHeight="false" outlineLevel="0" collapsed="false">
      <c r="A1335" s="48" t="s">
        <v>2370</v>
      </c>
      <c r="B1335" s="48" t="s">
        <v>570</v>
      </c>
      <c r="C1335" s="48" t="s">
        <v>168</v>
      </c>
      <c r="D1335" s="48" t="s">
        <v>188</v>
      </c>
      <c r="E1335" s="48" t="s">
        <v>189</v>
      </c>
      <c r="F1335" s="48" t="s">
        <v>222</v>
      </c>
      <c r="G1335" s="49" t="n">
        <v>46.69</v>
      </c>
      <c r="H1335" s="50" t="n">
        <f aca="false">MAX(0,IF(AND(Parameter!$B$21="Ja",ISNUMBER(Y1335)),Y1335,IF(Parameter!$B$20="Jahresanfang 2025 + Export",BO1335+BN1335,BN1335)))</f>
        <v>59</v>
      </c>
      <c r="I1335" s="50" t="n">
        <f aca="false">H1335*G1335</f>
        <v>2754.71</v>
      </c>
      <c r="J1335" s="50" t="n">
        <f aca="false">BQ1335*Parameter!$B$18</f>
        <v>27</v>
      </c>
      <c r="K1335" s="51" t="n">
        <v>80.5</v>
      </c>
      <c r="L1335" s="52" t="n">
        <v>0.335403726708075</v>
      </c>
      <c r="M1335" s="50" t="n">
        <v>1</v>
      </c>
      <c r="N1335" s="50" t="n">
        <v>25</v>
      </c>
      <c r="O1335" s="53" t="n">
        <v>14</v>
      </c>
      <c r="P1335" s="48" t="s">
        <v>230</v>
      </c>
      <c r="Q1335" s="50" t="n">
        <v>58</v>
      </c>
      <c r="R1335" s="53" t="n">
        <f aca="false">IF(BW1335=1,0,IFERROR(VLOOKUP(BU1335,'Gebinde-Kategorie'!$A$5:$N$45,13,0)+0,0))</f>
        <v>12</v>
      </c>
      <c r="S1335" s="54"/>
      <c r="T1335" s="55"/>
      <c r="U1335" s="55"/>
      <c r="V1335" s="55"/>
      <c r="W1335" s="48"/>
      <c r="X1335" s="50"/>
      <c r="Y1335" s="50"/>
      <c r="Z1335" s="48" t="n">
        <f aca="false">IF(A1335="","",IF(AND(Parameter!$B$21="Ja",ISNUMBER(W1335)),W1335,IF(BZ1335="2+3",IF(ISNUMBER(SEARCH("grosser Artikel",BR1335)),2,IFERROR(VLOOKUP(BU1335,Parameter!$F$35:$G$64,2,0),2)),IF(OR(BZ1335="Nein",BZ1335=""),"-",BZ1335))))</f>
        <v>2</v>
      </c>
      <c r="AA1335" s="55"/>
      <c r="AB1335" s="56"/>
      <c r="AC1335" s="50" t="n">
        <f aca="false">AT1335</f>
        <v>58</v>
      </c>
      <c r="AD1335" s="50" t="n">
        <f aca="false">MAX(AT1335,H1335)</f>
        <v>59</v>
      </c>
      <c r="AE1335" s="57"/>
      <c r="AF1335" s="50" t="n">
        <f aca="false">IF(LEFT(Cockpit!$C$5,1)="A",H1335,IF(CE1335=1,CF1335,IF(LEFT(Cockpit!$C$5,1)="B",AK1335,MAX(AK1335,H1335))))</f>
        <v>59</v>
      </c>
      <c r="AG1335" s="50" t="n">
        <f aca="false">IF(BW1335=1,0,ROUNDUP(AF1335/BV1335,0))</f>
        <v>2</v>
      </c>
      <c r="AH1335" s="52" t="n">
        <f aca="false">IF(CL1335&gt;0,CL1335*MAX(1,AF1335/X1335),IF(BW1335=1,IF(AF1335&lt;=0,0,CA1335*MAX(1,IF(H1335&gt;0,AF1335/H1335,1))),IF(R1335&gt;0,AG1335/R1335,0))/MAX(0.1,N(Parameter!$M$21)))</f>
        <v>0.166666666666667</v>
      </c>
      <c r="AI1335" s="50" t="n">
        <f aca="false">AH1335*BY1335</f>
        <v>57.5</v>
      </c>
      <c r="AJ1335" s="50" t="n">
        <f aca="false">AF1335*G1335</f>
        <v>2754.71</v>
      </c>
      <c r="AK1335" s="50" t="n">
        <f aca="false">ROUNDUP(MAX(J1335/IF(CD1335&gt;0,CD1335,MAX(0.1,N(Cockpit!$C$6))),CG1335)/BV1335,0)*BV1335</f>
        <v>58</v>
      </c>
      <c r="AL1335" s="51" t="n">
        <f aca="false">IF(AI1335&gt;0,J1335/AI1335,-1)</f>
        <v>0.469565217391304</v>
      </c>
      <c r="AM1335" s="51" t="n">
        <f aca="false">IF(AND(OR(CC1335="L1",CC1335="L23",CC1335="LIFT"),AI1335&gt;0),SUMIFS($AI$7:$AI$1843,$CC$7:$CC$1843,CC1335,$AL$7:$AL$1843,"&gt;"&amp;AL1335)+SUMIFS($AI$7:$AI$1843,$CC$7:$CC$1843,CC1335,$AL$7:$AL$1843,AL1335,$BT$7:$BT$1843,"&lt;="&amp;BT1335),"")</f>
        <v>9700.17716934666</v>
      </c>
      <c r="AN1335" s="58" t="n">
        <f aca="false">IF(AM1335="",0,MAX(0,MIN(1,(IF(CC1335="L1",Parameter!$H$5,IF(CC1335="L23",Parameter!$H$6+Parameter!$H$7,Parameter!$H$5+Parameter!$H$6+Parameter!$H$7))-(AM1335-AI1335))/AI1335)))</f>
        <v>1</v>
      </c>
      <c r="AO1335" s="50" t="n">
        <f aca="false">IF(LEFT(Cockpit!$I$5,1)="A",H1335,IF(CE1335=1,CF1335,IF(LEFT(Cockpit!$I$5,1)="B",AT1335,MAX(AT1335,H1335))))</f>
        <v>59</v>
      </c>
      <c r="AP1335" s="50" t="n">
        <f aca="false">IF(BW1335=1,0,ROUNDUP(AO1335/BV1335,0))</f>
        <v>2</v>
      </c>
      <c r="AQ1335" s="52" t="n">
        <f aca="false">IF(CL1335&gt;0,CL1335*MAX(1,AO1335/X1335),IF(BW1335=1,IF(AO1335&lt;=0,0,CA1335*MAX(1,IF(H1335&gt;0,AO1335/H1335,1))),IF(R1335&gt;0,AP1335/R1335,0))/MAX(0.1,N(Parameter!$M$21)))</f>
        <v>0.166666666666667</v>
      </c>
      <c r="AR1335" s="50" t="n">
        <f aca="false">AQ1335*BY1335</f>
        <v>57.5</v>
      </c>
      <c r="AS1335" s="50" t="n">
        <f aca="false">AO1335*G1335</f>
        <v>2754.71</v>
      </c>
      <c r="AT1335" s="50" t="n">
        <f aca="false">ROUNDUP(MAX(J1335/IF(CD1335&gt;0,CD1335,MAX(0.1,N(Cockpit!$I$6))),CG1335)/BV1335,0)*BV1335</f>
        <v>58</v>
      </c>
      <c r="AU1335" s="51" t="n">
        <f aca="false">IF(AR1335&gt;0,J1335/AR1335,-1)</f>
        <v>0.469565217391304</v>
      </c>
      <c r="AV1335" s="51" t="n">
        <f aca="false">IF(AND(OR(CC1335="L1",CC1335="L23",CC1335="LIFT"),AR1335&gt;0),SUMIFS($AR$7:$AR$1843,$CC$7:$CC$1843,CC1335,$AU$7:$AU$1843,"&gt;"&amp;AU1335)+SUMIFS($AR$7:$AR$1843,$CC$7:$CC$1843,CC1335,$AU$7:$AU$1843,AU1335,$BT$7:$BT$1843,"&lt;="&amp;BT1335),"")</f>
        <v>14711.8402014652</v>
      </c>
      <c r="AW1335" s="58" t="n">
        <f aca="false">IF(AV1335="",0,MAX(0,MIN(1,(IF(CC1335="L1",Parameter!$H$5,IF(CC1335="L23",Parameter!$H$6+Parameter!$H$7,Parameter!$H$5+Parameter!$H$6+Parameter!$H$7))-(AV1335-AR1335))/AR1335)))</f>
        <v>1</v>
      </c>
      <c r="AX1335" s="50" t="n">
        <f aca="false">IF(LEFT(Cockpit!$O$5,1)="A",H1335,IF(CE1335=1,CF1335,IF(LEFT(Cockpit!$O$5,1)="B",BC1335,MAX(BC1335,H1335))))</f>
        <v>59</v>
      </c>
      <c r="AY1335" s="50" t="n">
        <f aca="false">IF(BW1335=1,0,ROUNDUP(AX1335/BV1335,0))</f>
        <v>2</v>
      </c>
      <c r="AZ1335" s="52" t="n">
        <f aca="false">IF(CL1335&gt;0,CL1335*MAX(1,AX1335/X1335),IF(BW1335=1,IF(AX1335&lt;=0,0,CA1335*MAX(1,IF(H1335&gt;0,AX1335/H1335,1))),IF(R1335&gt;0,AY1335/R1335,0))/MAX(0.1,N(Parameter!$M$21)))</f>
        <v>0.166666666666667</v>
      </c>
      <c r="BA1335" s="50" t="n">
        <f aca="false">AZ1335*BY1335</f>
        <v>57.5</v>
      </c>
      <c r="BB1335" s="50" t="n">
        <f aca="false">AX1335*G1335</f>
        <v>2754.71</v>
      </c>
      <c r="BC1335" s="50" t="n">
        <f aca="false">ROUNDUP(MAX(J1335/IF(CD1335&gt;0,CD1335,MAX(0.1,N(Cockpit!$O$6))),CG1335)/BV1335,0)*BV1335</f>
        <v>58</v>
      </c>
      <c r="BD1335" s="51" t="n">
        <f aca="false">IF(BA1335&gt;0,J1335/BA1335,-1)</f>
        <v>0.469565217391304</v>
      </c>
      <c r="BE1335" s="51" t="n">
        <f aca="false">IF(AND(OR(CC1335="L1",CC1335="L23",CC1335="LIFT"),BA1335&gt;0),SUMIFS($BA$7:$BA$1843,$CC$7:$CC$1843,CC1335,$BD$7:$BD$1843,"&gt;"&amp;BD1335)+SUMIFS($BA$7:$BA$1843,$CC$7:$CC$1843,CC1335,$BD$7:$BD$1843,BD1335,$BT$7:$BT$1843,"&lt;="&amp;BT1335),"")</f>
        <v>13344.9972527473</v>
      </c>
      <c r="BF1335" s="58" t="n">
        <f aca="false">IF(BE1335="",0,MAX(0,MIN(1,(IF(CC1335="L1",Parameter!$H$5,IF(CC1335="L23",Parameter!$H$6+Parameter!$H$7,Parameter!$H$5+Parameter!$H$6+Parameter!$H$7))-(BE1335-BA1335))/BA1335)))</f>
        <v>1</v>
      </c>
      <c r="BG1335" s="48" t="str">
        <f aca="false">IF(AI1335&lt;=0,"",IF(CC1335="Aussen","Aussenlager",IF(CC1335="-","Nicht im Lift",IF(AN1335&gt;=1,"Lift",IF(AN1335&lt;=0,"Aussenlager","teilweise")))))</f>
        <v>Lift</v>
      </c>
      <c r="BH1335" s="48" t="str">
        <f aca="false">IF(AR1335&lt;=0,"",IF(CC1335="Aussen","Aussenlager",IF(CC1335="-","Nicht im Lift",IF(AW1335&gt;=1,"Lift",IF(AW1335&lt;=0,"Aussenlager","teilweise")))))</f>
        <v>Lift</v>
      </c>
      <c r="BI1335" s="48" t="str">
        <f aca="false">IF(BA1335&lt;=0,"",IF(CC1335="Aussen","Aussenlager",IF(CC1335="-","Nicht im Lift",IF(BF1335&gt;=1,"Lift",IF(BF1335&lt;=0,"Aussenlager","teilweise")))))</f>
        <v>Lift</v>
      </c>
      <c r="BJ1335" s="48" t="str">
        <f aca="false">IF(A1335="","",IF(BS1335=1,"Neu; ","")&amp;IF(AND(BS1335=0,BN1335&lt;0),"negativer Bestand (Export "&amp;BN1335&amp;"); ","")&amp;IF(J1335&lt;=0,"Kein Verbrauch; ","")&amp;IF(CL1335&gt;0,"Lift "&amp;W1335&amp;" lt. Liftbericht (Fach "&amp;X1335&amp;" Stk); ",IF(BX1335=1,"Gebinde geschätzt ("&amp;T1335&amp;"); ",IF(BW1335=1,"Lose – Tablare geschätzt; ","")))&amp;IF(H1335&gt;AT1335,"Überbestand "&amp;ROUND(H1335-AT1335,0)&amp;" Stk / CHF "&amp;ROUND((H1335-AT1335)*G1335,0)&amp;"; ","")&amp;IF(AND(CE1335=1,CF1335&lt;CG1335),"MAX &lt; MB+LG; ","")&amp;IF(AND(CK1335&gt;0,CJ1335*10&gt;CK1335),"zu hoch für Tablar; ","")&amp;IF(AND(BS1335=0,OR(CE1335=1,AA1335&lt;&gt;"",U1335&lt;&gt;"",V1335&lt;&gt;"",AB1335&lt;&gt;"")),"manuell übersteuert; ","")&amp;IF(AND(BW1335=0,R1335=0),"Gebinde unbekannt / Stellmass fehlt; ","")&amp;IF(AND(BW1335=0,N(V1335)&lt;=0,N(Q1335)&lt;=0),"Menge pro Gebinde fehlt (Ist = 1 Gebinde); ","")&amp;BR1335)</f>
        <v>negativer Bestand (Export -35); Überbestand 1 Stk / CHF 47; </v>
      </c>
      <c r="BK1335" s="48"/>
      <c r="BL1335" s="48"/>
      <c r="BM1335" s="55"/>
      <c r="BN1335" s="50" t="n">
        <v>-35</v>
      </c>
      <c r="BO1335" s="50" t="n">
        <v>94</v>
      </c>
      <c r="BP1335" s="49" t="n">
        <v>-1634.15</v>
      </c>
      <c r="BQ1335" s="50" t="n">
        <v>27</v>
      </c>
      <c r="BR1335" s="48"/>
      <c r="BS1335" s="53" t="n">
        <v>0</v>
      </c>
      <c r="BT1335" s="53" t="n">
        <v>1335</v>
      </c>
      <c r="BU1335" s="48" t="str">
        <f aca="false">IF(U1335&lt;&gt;"",UPPER(TRIM(U1335)),IF(BX1335=1,UPPER(VLOOKUP(T1335,Parameter!$I$27:$K$29,2,0)),IF(P1335="","LOSE",P1335)))</f>
        <v>S63</v>
      </c>
      <c r="BV1335" s="50" t="n">
        <f aca="false">IF(BU1335="LOSE",1,IF(N(V1335)&gt;0,V1335,IF(BX1335=1,MAX(1,N(VLOOKUP(T1335,Parameter!$I$27:$K$29,3,0)),H1335,N(N1335)),IF(N(Q1335)&gt;0,Q1335,MAX(1,H1335)))))</f>
        <v>58</v>
      </c>
      <c r="BW1335" s="53" t="n">
        <f aca="false">IF(BU1335="LOSE",1,0)</f>
        <v>0</v>
      </c>
      <c r="BX1335" s="53" t="n">
        <f aca="false">IF(AND(U1335="",OR(P1335="",P1335="LOSE"),T1335&lt;&gt;"",N(S1335)&lt;=0,ISNUMBER(MATCH(T1335,Parameter!$I$27:$I$29,0))),1,0)</f>
        <v>0</v>
      </c>
      <c r="BY1335" s="53" t="n">
        <f aca="false">IF(CL1335&gt;0,INDEX(Parameter!$H$5:$H$7,W1335)/INDEX(Parameter!$E$5:$E$7,W1335),IF(AND(BW1335=0,N(IFERROR(VLOOKUP(BU1335,'Gebinde-Kategorie'!$A$5:$N$45,14,0),0))&gt;0),VLOOKUP(BU1335,'Gebinde-Kategorie'!$A$5:$N$45,14,0)*10+Parameter!$M$23,Parameter!$M$24))</f>
        <v>345</v>
      </c>
      <c r="BZ1335" s="48" t="str">
        <f aca="false">IF(AND(Parameter!$B$19="Ja",E1335&lt;&gt;"",ISNUMBER(MATCH(E1335,Parameter!$I$35:$I$52,0))),VLOOKUP(E1335,Parameter!$I$35:$J$52,2,0),IFERROR(VLOOKUP(D1335,Parameter!$A$35:$C$64,2,0),"Nein"))</f>
        <v>2+3</v>
      </c>
      <c r="CA1335" s="52" t="n">
        <f aca="false">IF(BW1335=0,0,IF(N(S1335)&gt;0,S1335,IFERROR(VLOOKUP(D1335,Parameter!$A$35:$C$64,3,0)+0,0)))</f>
        <v>0</v>
      </c>
      <c r="CB1335" s="48" t="n">
        <f aca="false">IF(AA1335&lt;&gt;"",AA1335,Z1335)</f>
        <v>2</v>
      </c>
      <c r="CC1335" s="48" t="str">
        <f aca="false">IF(OR(CB1335=1,CB1335=2,CB1335=3),IF(Parameter!$E$27="Ja","LIFT",IF(CB1335=1,"L1","L23")),IF(CB1335="Aussen","Aussen","-"))</f>
        <v>LIFT</v>
      </c>
      <c r="CD1335" s="59" t="n">
        <f aca="false">IF(N(AB1335)&gt;0,AB1335,0)</f>
        <v>0</v>
      </c>
      <c r="CE1335" s="53" t="n">
        <f aca="false">IF(ISNUMBER(AE1335),1,0)</f>
        <v>0</v>
      </c>
      <c r="CF1335" s="50" t="n">
        <f aca="false">N(AE1335)</f>
        <v>0</v>
      </c>
      <c r="CG1335" s="50" t="n">
        <f aca="false">N(M1335)+N(N1335)</f>
        <v>26</v>
      </c>
      <c r="CH1335" s="50" t="n">
        <f aca="false">ROUNDUP(H1335/BV1335,0)</f>
        <v>2</v>
      </c>
      <c r="CI1335" s="50" t="n">
        <f aca="false">ROUNDUP(CF1335/BV1335,0)</f>
        <v>0</v>
      </c>
      <c r="CJ1335" s="53" t="n">
        <f aca="false">IF(BW1335=1,0,IFERROR(VLOOKUP(BU1335,'Gebinde-Kategorie'!$A$5:$N$45,5,0)+0,0))</f>
        <v>31</v>
      </c>
      <c r="CK1335" s="53" t="n">
        <f aca="false">IFERROR(IF(OR(CB1335=1,CB1335=2,CB1335=3),N(INDEX(Parameter!$I$5:$I$7,CB1335)),0),0)</f>
        <v>0</v>
      </c>
      <c r="CL1335" s="52" t="n">
        <f aca="false">IF(AND(Parameter!$B$21="Ja",ISNUMBER(W1335),N(X1335)&gt;0),IFERROR(N(INDEX(Parameter!$L$5:$L$7,W1335))*INDEX(Parameter!$E$5:$E$7,W1335)*X1335/SUMIFS($X$7:$X$1843,$W$7:$W$1843,W1335),0),0)</f>
        <v>0</v>
      </c>
    </row>
    <row r="1336" customFormat="false" ht="15" hidden="false" customHeight="false" outlineLevel="0" collapsed="false">
      <c r="A1336" s="48" t="s">
        <v>2371</v>
      </c>
      <c r="B1336" s="48" t="s">
        <v>484</v>
      </c>
      <c r="C1336" s="48" t="s">
        <v>460</v>
      </c>
      <c r="D1336" s="48" t="s">
        <v>177</v>
      </c>
      <c r="E1336" s="48" t="s">
        <v>189</v>
      </c>
      <c r="F1336" s="48" t="s">
        <v>222</v>
      </c>
      <c r="G1336" s="49" t="n">
        <v>103.25</v>
      </c>
      <c r="H1336" s="50" t="n">
        <f aca="false">MAX(0,IF(AND(Parameter!$B$21="Ja",ISNUMBER(Y1336)),Y1336,IF(Parameter!$B$20="Jahresanfang 2025 + Export",BO1336+BN1336,BN1336)))</f>
        <v>0</v>
      </c>
      <c r="I1336" s="50" t="n">
        <f aca="false">H1336*G1336</f>
        <v>0</v>
      </c>
      <c r="J1336" s="50" t="n">
        <f aca="false">BQ1336*Parameter!$B$18</f>
        <v>0</v>
      </c>
      <c r="K1336" s="51" t="n">
        <v>16</v>
      </c>
      <c r="L1336" s="52" t="n">
        <v>0</v>
      </c>
      <c r="M1336" s="50" t="n">
        <v>0</v>
      </c>
      <c r="N1336" s="50" t="n">
        <v>1</v>
      </c>
      <c r="O1336" s="53" t="n">
        <v>56</v>
      </c>
      <c r="P1336" s="48" t="s">
        <v>172</v>
      </c>
      <c r="Q1336" s="50"/>
      <c r="R1336" s="53" t="n">
        <f aca="false">IF(BW1336=1,0,IFERROR(VLOOKUP(BU1336,'Gebinde-Kategorie'!$A$5:$N$45,13,0)+0,0))</f>
        <v>12</v>
      </c>
      <c r="S1336" s="54"/>
      <c r="T1336" s="55" t="s">
        <v>183</v>
      </c>
      <c r="U1336" s="55"/>
      <c r="V1336" s="55"/>
      <c r="W1336" s="48"/>
      <c r="X1336" s="50"/>
      <c r="Y1336" s="50"/>
      <c r="Z1336" s="48" t="n">
        <f aca="false">IF(A1336="","",IF(AND(Parameter!$B$21="Ja",ISNUMBER(W1336)),W1336,IF(BZ1336="2+3",IF(ISNUMBER(SEARCH("grosser Artikel",BR1336)),2,IFERROR(VLOOKUP(BU1336,Parameter!$F$35:$G$64,2,0),2)),IF(OR(BZ1336="Nein",BZ1336=""),"-",BZ1336))))</f>
        <v>2</v>
      </c>
      <c r="AA1336" s="55"/>
      <c r="AB1336" s="56"/>
      <c r="AC1336" s="50" t="n">
        <f aca="false">AT1336</f>
        <v>4</v>
      </c>
      <c r="AD1336" s="50" t="n">
        <f aca="false">MAX(AT1336,H1336)</f>
        <v>4</v>
      </c>
      <c r="AE1336" s="57"/>
      <c r="AF1336" s="50" t="n">
        <f aca="false">IF(LEFT(Cockpit!$C$5,1)="A",H1336,IF(CE1336=1,CF1336,IF(LEFT(Cockpit!$C$5,1)="B",AK1336,MAX(AK1336,H1336))))</f>
        <v>0</v>
      </c>
      <c r="AG1336" s="50" t="n">
        <f aca="false">IF(BW1336=1,0,ROUNDUP(AF1336/BV1336,0))</f>
        <v>0</v>
      </c>
      <c r="AH1336" s="52" t="n">
        <f aca="false">IF(CL1336&gt;0,CL1336*MAX(1,AF1336/X1336),IF(BW1336=1,IF(AF1336&lt;=0,0,CA1336*MAX(1,IF(H1336&gt;0,AF1336/H1336,1))),IF(R1336&gt;0,AG1336/R1336,0))/MAX(0.1,N(Parameter!$M$21)))</f>
        <v>0</v>
      </c>
      <c r="AI1336" s="50" t="n">
        <f aca="false">AH1336*BY1336</f>
        <v>0</v>
      </c>
      <c r="AJ1336" s="50" t="n">
        <f aca="false">AF1336*G1336</f>
        <v>0</v>
      </c>
      <c r="AK1336" s="50" t="n">
        <f aca="false">ROUNDUP(MAX(J1336/IF(CD1336&gt;0,CD1336,MAX(0.1,N(Cockpit!$C$6))),CG1336)/BV1336,0)*BV1336</f>
        <v>4</v>
      </c>
      <c r="AL1336" s="51" t="n">
        <f aca="false">IF(AI1336&gt;0,J1336/AI1336,-1)</f>
        <v>-1</v>
      </c>
      <c r="AM1336" s="51" t="str">
        <f aca="false">IF(AND(OR(CC1336="L1",CC1336="L23",CC1336="LIFT"),AI1336&gt;0),SUMIFS($AI$7:$AI$1843,$CC$7:$CC$1843,CC1336,$AL$7:$AL$1843,"&gt;"&amp;AL1336)+SUMIFS($AI$7:$AI$1843,$CC$7:$CC$1843,CC1336,$AL$7:$AL$1843,AL1336,$BT$7:$BT$1843,"&lt;="&amp;BT1336),"")</f>
        <v/>
      </c>
      <c r="AN1336" s="58" t="n">
        <f aca="false">IF(AM1336="",0,MAX(0,MIN(1,(IF(CC1336="L1",Parameter!$H$5,IF(CC1336="L23",Parameter!$H$6+Parameter!$H$7,Parameter!$H$5+Parameter!$H$6+Parameter!$H$7))-(AM1336-AI1336))/AI1336)))</f>
        <v>0</v>
      </c>
      <c r="AO1336" s="50" t="n">
        <f aca="false">IF(LEFT(Cockpit!$I$5,1)="A",H1336,IF(CE1336=1,CF1336,IF(LEFT(Cockpit!$I$5,1)="B",AT1336,MAX(AT1336,H1336))))</f>
        <v>4</v>
      </c>
      <c r="AP1336" s="50" t="n">
        <f aca="false">IF(BW1336=1,0,ROUNDUP(AO1336/BV1336,0))</f>
        <v>1</v>
      </c>
      <c r="AQ1336" s="52" t="n">
        <f aca="false">IF(CL1336&gt;0,CL1336*MAX(1,AO1336/X1336),IF(BW1336=1,IF(AO1336&lt;=0,0,CA1336*MAX(1,IF(H1336&gt;0,AO1336/H1336,1))),IF(R1336&gt;0,AP1336/R1336,0))/MAX(0.1,N(Parameter!$M$21)))</f>
        <v>0.0833333333333333</v>
      </c>
      <c r="AR1336" s="50" t="n">
        <f aca="false">AQ1336*BY1336</f>
        <v>12.0833333333333</v>
      </c>
      <c r="AS1336" s="50" t="n">
        <f aca="false">AO1336*G1336</f>
        <v>413</v>
      </c>
      <c r="AT1336" s="50" t="n">
        <f aca="false">ROUNDUP(MAX(J1336/IF(CD1336&gt;0,CD1336,MAX(0.1,N(Cockpit!$I$6))),CG1336)/BV1336,0)*BV1336</f>
        <v>4</v>
      </c>
      <c r="AU1336" s="51" t="n">
        <f aca="false">IF(AR1336&gt;0,J1336/AR1336,-1)</f>
        <v>0</v>
      </c>
      <c r="AV1336" s="51" t="n">
        <f aca="false">IF(AND(OR(CC1336="L1",CC1336="L23",CC1336="LIFT"),AR1336&gt;0),SUMIFS($AR$7:$AR$1843,$CC$7:$CC$1843,CC1336,$AU$7:$AU$1843,"&gt;"&amp;AU1336)+SUMIFS($AR$7:$AR$1843,$CC$7:$CC$1843,CC1336,$AU$7:$AU$1843,AU1336,$BT$7:$BT$1843,"&lt;="&amp;BT1336),"")</f>
        <v>41677.772443658</v>
      </c>
      <c r="AW1336" s="58" t="n">
        <f aca="false">IF(AV1336="",0,MAX(0,MIN(1,(IF(CC1336="L1",Parameter!$H$5,IF(CC1336="L23",Parameter!$H$6+Parameter!$H$7,Parameter!$H$5+Parameter!$H$6+Parameter!$H$7))-(AV1336-AR1336))/AR1336)))</f>
        <v>0</v>
      </c>
      <c r="AX1336" s="50" t="n">
        <f aca="false">IF(LEFT(Cockpit!$O$5,1)="A",H1336,IF(CE1336=1,CF1336,IF(LEFT(Cockpit!$O$5,1)="B",BC1336,MAX(BC1336,H1336))))</f>
        <v>4</v>
      </c>
      <c r="AY1336" s="50" t="n">
        <f aca="false">IF(BW1336=1,0,ROUNDUP(AX1336/BV1336,0))</f>
        <v>1</v>
      </c>
      <c r="AZ1336" s="52" t="n">
        <f aca="false">IF(CL1336&gt;0,CL1336*MAX(1,AX1336/X1336),IF(BW1336=1,IF(AX1336&lt;=0,0,CA1336*MAX(1,IF(H1336&gt;0,AX1336/H1336,1))),IF(R1336&gt;0,AY1336/R1336,0))/MAX(0.1,N(Parameter!$M$21)))</f>
        <v>0.0833333333333333</v>
      </c>
      <c r="BA1336" s="50" t="n">
        <f aca="false">AZ1336*BY1336</f>
        <v>12.0833333333333</v>
      </c>
      <c r="BB1336" s="50" t="n">
        <f aca="false">AX1336*G1336</f>
        <v>413</v>
      </c>
      <c r="BC1336" s="50" t="n">
        <f aca="false">ROUNDUP(MAX(J1336/IF(CD1336&gt;0,CD1336,MAX(0.1,N(Cockpit!$O$6))),CG1336)/BV1336,0)*BV1336</f>
        <v>4</v>
      </c>
      <c r="BD1336" s="51" t="n">
        <f aca="false">IF(BA1336&gt;0,J1336/BA1336,-1)</f>
        <v>0</v>
      </c>
      <c r="BE1336" s="51" t="n">
        <f aca="false">IF(AND(OR(CC1336="L1",CC1336="L23",CC1336="LIFT"),BA1336&gt;0),SUMIFS($BA$7:$BA$1843,$CC$7:$CC$1843,CC1336,$BD$7:$BD$1843,"&gt;"&amp;BD1336)+SUMIFS($BA$7:$BA$1843,$CC$7:$CC$1843,CC1336,$BD$7:$BD$1843,BD1336,$BT$7:$BT$1843,"&lt;="&amp;BT1336),"")</f>
        <v>38352.7844855239</v>
      </c>
      <c r="BF1336" s="58" t="n">
        <f aca="false">IF(BE1336="",0,MAX(0,MIN(1,(IF(CC1336="L1",Parameter!$H$5,IF(CC1336="L23",Parameter!$H$6+Parameter!$H$7,Parameter!$H$5+Parameter!$H$6+Parameter!$H$7))-(BE1336-BA1336))/BA1336)))</f>
        <v>0</v>
      </c>
      <c r="BG1336" s="48" t="str">
        <f aca="false">IF(AI1336&lt;=0,"",IF(CC1336="Aussen","Aussenlager",IF(CC1336="-","Nicht im Lift",IF(AN1336&gt;=1,"Lift",IF(AN1336&lt;=0,"Aussenlager","teilweise")))))</f>
        <v/>
      </c>
      <c r="BH1336" s="48" t="str">
        <f aca="false">IF(AR1336&lt;=0,"",IF(CC1336="Aussen","Aussenlager",IF(CC1336="-","Nicht im Lift",IF(AW1336&gt;=1,"Lift",IF(AW1336&lt;=0,"Aussenlager","teilweise")))))</f>
        <v>Aussenlager</v>
      </c>
      <c r="BI1336" s="48" t="str">
        <f aca="false">IF(BA1336&lt;=0,"",IF(CC1336="Aussen","Aussenlager",IF(CC1336="-","Nicht im Lift",IF(BF1336&gt;=1,"Lift",IF(BF1336&lt;=0,"Aussenlager","teilweise")))))</f>
        <v>Aussenlager</v>
      </c>
      <c r="BJ1336" s="48" t="str">
        <f aca="false">IF(A1336="","",IF(BS1336=1,"Neu; ","")&amp;IF(AND(BS1336=0,BN1336&lt;0),"negativer Bestand (Export "&amp;BN1336&amp;"); ","")&amp;IF(J1336&lt;=0,"Kein Verbrauch; ","")&amp;IF(CL1336&gt;0,"Lift "&amp;W1336&amp;" lt. Liftbericht (Fach "&amp;X1336&amp;" Stk); ",IF(BX1336=1,"Gebinde geschätzt ("&amp;T1336&amp;"); ",IF(BW1336=1,"Lose – Tablare geschätzt; ","")))&amp;IF(H1336&gt;AT1336,"Überbestand "&amp;ROUND(H1336-AT1336,0)&amp;" Stk / CHF "&amp;ROUND((H1336-AT1336)*G1336,0)&amp;"; ","")&amp;IF(AND(CE1336=1,CF1336&lt;CG1336),"MAX &lt; MB+LG; ","")&amp;IF(AND(CK1336&gt;0,CJ1336*10&gt;CK1336),"zu hoch für Tablar; ","")&amp;IF(AND(BS1336=0,OR(CE1336=1,AA1336&lt;&gt;"",U1336&lt;&gt;"",V1336&lt;&gt;"",AB1336&lt;&gt;"")),"manuell übersteuert; ","")&amp;IF(AND(BW1336=0,R1336=0),"Gebinde unbekannt / Stellmass fehlt; ","")&amp;IF(AND(BW1336=0,N(V1336)&lt;=0,N(Q1336)&lt;=0),"Menge pro Gebinde fehlt (Ist = 1 Gebinde); ","")&amp;BR1336)</f>
        <v>negativer Bestand (Export -16); Kein Verbrauch; Gebinde geschätzt (Mittel); Menge pro Gebinde fehlt (Ist = 1 Gebinde); grosser Artikel &amp; nicht im KTL</v>
      </c>
      <c r="BK1336" s="48"/>
      <c r="BL1336" s="48"/>
      <c r="BM1336" s="55"/>
      <c r="BN1336" s="50" t="n">
        <v>-16</v>
      </c>
      <c r="BO1336" s="50" t="n">
        <v>16</v>
      </c>
      <c r="BP1336" s="49" t="n">
        <v>-1652</v>
      </c>
      <c r="BQ1336" s="50" t="n">
        <v>0</v>
      </c>
      <c r="BR1336" s="48" t="s">
        <v>265</v>
      </c>
      <c r="BS1336" s="53" t="n">
        <v>0</v>
      </c>
      <c r="BT1336" s="53" t="n">
        <v>1336</v>
      </c>
      <c r="BU1336" s="48" t="str">
        <f aca="false">IF(U1336&lt;&gt;"",UPPER(TRIM(U1336)),IF(BX1336=1,UPPER(VLOOKUP(T1336,Parameter!$I$27:$K$29,2,0)),IF(P1336="","LOSE",P1336)))</f>
        <v>S61</v>
      </c>
      <c r="BV1336" s="50" t="n">
        <f aca="false">IF(BU1336="LOSE",1,IF(N(V1336)&gt;0,V1336,IF(BX1336=1,MAX(1,N(VLOOKUP(T1336,Parameter!$I$27:$K$29,3,0)),H1336,N(N1336)),IF(N(Q1336)&gt;0,Q1336,MAX(1,H1336)))))</f>
        <v>4</v>
      </c>
      <c r="BW1336" s="53" t="n">
        <f aca="false">IF(BU1336="LOSE",1,0)</f>
        <v>0</v>
      </c>
      <c r="BX1336" s="53" t="n">
        <f aca="false">IF(AND(U1336="",OR(P1336="",P1336="LOSE"),T1336&lt;&gt;"",N(S1336)&lt;=0,ISNUMBER(MATCH(T1336,Parameter!$I$27:$I$29,0))),1,0)</f>
        <v>1</v>
      </c>
      <c r="BY1336" s="53" t="n">
        <f aca="false">IF(CL1336&gt;0,INDEX(Parameter!$H$5:$H$7,W1336)/INDEX(Parameter!$E$5:$E$7,W1336),IF(AND(BW1336=0,N(IFERROR(VLOOKUP(BU1336,'Gebinde-Kategorie'!$A$5:$N$45,14,0),0))&gt;0),VLOOKUP(BU1336,'Gebinde-Kategorie'!$A$5:$N$45,14,0)*10+Parameter!$M$23,Parameter!$M$24))</f>
        <v>145</v>
      </c>
      <c r="BZ1336" s="48" t="str">
        <f aca="false">IF(AND(Parameter!$B$19="Ja",E1336&lt;&gt;"",ISNUMBER(MATCH(E1336,Parameter!$I$35:$I$52,0))),VLOOKUP(E1336,Parameter!$I$35:$J$52,2,0),IFERROR(VLOOKUP(D1336,Parameter!$A$35:$C$64,2,0),"Nein"))</f>
        <v>2+3</v>
      </c>
      <c r="CA1336" s="52" t="n">
        <f aca="false">IF(BW1336=0,0,IF(N(S1336)&gt;0,S1336,IFERROR(VLOOKUP(D1336,Parameter!$A$35:$C$64,3,0)+0,0)))</f>
        <v>0</v>
      </c>
      <c r="CB1336" s="48" t="n">
        <f aca="false">IF(AA1336&lt;&gt;"",AA1336,Z1336)</f>
        <v>2</v>
      </c>
      <c r="CC1336" s="48" t="str">
        <f aca="false">IF(OR(CB1336=1,CB1336=2,CB1336=3),IF(Parameter!$E$27="Ja","LIFT",IF(CB1336=1,"L1","L23")),IF(CB1336="Aussen","Aussen","-"))</f>
        <v>LIFT</v>
      </c>
      <c r="CD1336" s="59" t="n">
        <f aca="false">IF(N(AB1336)&gt;0,AB1336,0)</f>
        <v>0</v>
      </c>
      <c r="CE1336" s="53" t="n">
        <f aca="false">IF(ISNUMBER(AE1336),1,0)</f>
        <v>0</v>
      </c>
      <c r="CF1336" s="50" t="n">
        <f aca="false">N(AE1336)</f>
        <v>0</v>
      </c>
      <c r="CG1336" s="50" t="n">
        <f aca="false">N(M1336)+N(N1336)</f>
        <v>1</v>
      </c>
      <c r="CH1336" s="50" t="n">
        <f aca="false">ROUNDUP(H1336/BV1336,0)</f>
        <v>0</v>
      </c>
      <c r="CI1336" s="50" t="n">
        <f aca="false">ROUNDUP(CF1336/BV1336,0)</f>
        <v>0</v>
      </c>
      <c r="CJ1336" s="53" t="n">
        <f aca="false">IF(BW1336=1,0,IFERROR(VLOOKUP(BU1336,'Gebinde-Kategorie'!$A$5:$N$45,5,0)+0,0))</f>
        <v>11</v>
      </c>
      <c r="CK1336" s="53" t="n">
        <f aca="false">IFERROR(IF(OR(CB1336=1,CB1336=2,CB1336=3),N(INDEX(Parameter!$I$5:$I$7,CB1336)),0),0)</f>
        <v>0</v>
      </c>
      <c r="CL1336" s="52" t="n">
        <f aca="false">IF(AND(Parameter!$B$21="Ja",ISNUMBER(W1336),N(X1336)&gt;0),IFERROR(N(INDEX(Parameter!$L$5:$L$7,W1336))*INDEX(Parameter!$E$5:$E$7,W1336)*X1336/SUMIFS($X$7:$X$1843,$W$7:$W$1843,W1336),0),0)</f>
        <v>0</v>
      </c>
    </row>
    <row r="1337" customFormat="false" ht="15" hidden="false" customHeight="false" outlineLevel="0" collapsed="false">
      <c r="A1337" s="48" t="s">
        <v>2372</v>
      </c>
      <c r="B1337" s="48" t="s">
        <v>602</v>
      </c>
      <c r="C1337" s="48" t="s">
        <v>168</v>
      </c>
      <c r="D1337" s="48" t="s">
        <v>188</v>
      </c>
      <c r="E1337" s="48" t="s">
        <v>189</v>
      </c>
      <c r="F1337" s="48" t="s">
        <v>222</v>
      </c>
      <c r="G1337" s="49" t="n">
        <v>15.91</v>
      </c>
      <c r="H1337" s="50" t="n">
        <f aca="false">MAX(0,IF(AND(Parameter!$B$21="Ja",ISNUMBER(Y1337)),Y1337,IF(Parameter!$B$20="Jahresanfang 2025 + Export",BO1337+BN1337,BN1337)))</f>
        <v>31</v>
      </c>
      <c r="I1337" s="50" t="n">
        <f aca="false">H1337*G1337</f>
        <v>493.21</v>
      </c>
      <c r="J1337" s="50" t="n">
        <f aca="false">BQ1337*Parameter!$B$18</f>
        <v>69</v>
      </c>
      <c r="K1337" s="51" t="n">
        <v>101.5</v>
      </c>
      <c r="L1337" s="52" t="n">
        <v>0.679802955665025</v>
      </c>
      <c r="M1337" s="50" t="n">
        <v>2</v>
      </c>
      <c r="N1337" s="50" t="n">
        <v>70</v>
      </c>
      <c r="O1337" s="53" t="n">
        <v>14</v>
      </c>
      <c r="P1337" s="48" t="s">
        <v>480</v>
      </c>
      <c r="Q1337" s="50" t="n">
        <v>86</v>
      </c>
      <c r="R1337" s="53" t="n">
        <f aca="false">IF(BW1337=1,0,IFERROR(VLOOKUP(BU1337,'Gebinde-Kategorie'!$A$5:$N$45,13,0)+0,0))</f>
        <v>52</v>
      </c>
      <c r="S1337" s="54"/>
      <c r="T1337" s="55"/>
      <c r="U1337" s="55"/>
      <c r="V1337" s="55"/>
      <c r="W1337" s="48"/>
      <c r="X1337" s="50"/>
      <c r="Y1337" s="50"/>
      <c r="Z1337" s="48" t="n">
        <f aca="false">IF(A1337="","",IF(AND(Parameter!$B$21="Ja",ISNUMBER(W1337)),W1337,IF(BZ1337="2+3",IF(ISNUMBER(SEARCH("grosser Artikel",BR1337)),2,IFERROR(VLOOKUP(BU1337,Parameter!$F$35:$G$64,2,0),2)),IF(OR(BZ1337="Nein",BZ1337=""),"-",BZ1337))))</f>
        <v>3</v>
      </c>
      <c r="AA1337" s="55"/>
      <c r="AB1337" s="56"/>
      <c r="AC1337" s="50" t="n">
        <f aca="false">AT1337</f>
        <v>86</v>
      </c>
      <c r="AD1337" s="50" t="n">
        <f aca="false">MAX(AT1337,H1337)</f>
        <v>86</v>
      </c>
      <c r="AE1337" s="57"/>
      <c r="AF1337" s="50" t="n">
        <f aca="false">IF(LEFT(Cockpit!$C$5,1)="A",H1337,IF(CE1337=1,CF1337,IF(LEFT(Cockpit!$C$5,1)="B",AK1337,MAX(AK1337,H1337))))</f>
        <v>31</v>
      </c>
      <c r="AG1337" s="50" t="n">
        <f aca="false">IF(BW1337=1,0,ROUNDUP(AF1337/BV1337,0))</f>
        <v>1</v>
      </c>
      <c r="AH1337" s="52" t="n">
        <f aca="false">IF(CL1337&gt;0,CL1337*MAX(1,AF1337/X1337),IF(BW1337=1,IF(AF1337&lt;=0,0,CA1337*MAX(1,IF(H1337&gt;0,AF1337/H1337,1))),IF(R1337&gt;0,AG1337/R1337,0))/MAX(0.1,N(Parameter!$M$21)))</f>
        <v>0.0192307692307692</v>
      </c>
      <c r="AI1337" s="50" t="n">
        <f aca="false">AH1337*BY1337</f>
        <v>2.98076923076923</v>
      </c>
      <c r="AJ1337" s="50" t="n">
        <f aca="false">AF1337*G1337</f>
        <v>493.21</v>
      </c>
      <c r="AK1337" s="50" t="n">
        <f aca="false">ROUNDUP(MAX(J1337/IF(CD1337&gt;0,CD1337,MAX(0.1,N(Cockpit!$C$6))),CG1337)/BV1337,0)*BV1337</f>
        <v>86</v>
      </c>
      <c r="AL1337" s="51" t="n">
        <f aca="false">IF(AI1337&gt;0,J1337/AI1337,-1)</f>
        <v>23.1483870967742</v>
      </c>
      <c r="AM1337" s="51" t="n">
        <f aca="false">IF(AND(OR(CC1337="L1",CC1337="L23",CC1337="LIFT"),AI1337&gt;0),SUMIFS($AI$7:$AI$1843,$CC$7:$CC$1843,CC1337,$AL$7:$AL$1843,"&gt;"&amp;AL1337)+SUMIFS($AI$7:$AI$1843,$CC$7:$CC$1843,CC1337,$AL$7:$AL$1843,AL1337,$BT$7:$BT$1843,"&lt;="&amp;BT1337),"")</f>
        <v>1579.98443223443</v>
      </c>
      <c r="AN1337" s="58" t="n">
        <f aca="false">IF(AM1337="",0,MAX(0,MIN(1,(IF(CC1337="L1",Parameter!$H$5,IF(CC1337="L23",Parameter!$H$6+Parameter!$H$7,Parameter!$H$5+Parameter!$H$6+Parameter!$H$7))-(AM1337-AI1337))/AI1337)))</f>
        <v>1</v>
      </c>
      <c r="AO1337" s="50" t="n">
        <f aca="false">IF(LEFT(Cockpit!$I$5,1)="A",H1337,IF(CE1337=1,CF1337,IF(LEFT(Cockpit!$I$5,1)="B",AT1337,MAX(AT1337,H1337))))</f>
        <v>86</v>
      </c>
      <c r="AP1337" s="50" t="n">
        <f aca="false">IF(BW1337=1,0,ROUNDUP(AO1337/BV1337,0))</f>
        <v>1</v>
      </c>
      <c r="AQ1337" s="52" t="n">
        <f aca="false">IF(CL1337&gt;0,CL1337*MAX(1,AO1337/X1337),IF(BW1337=1,IF(AO1337&lt;=0,0,CA1337*MAX(1,IF(H1337&gt;0,AO1337/H1337,1))),IF(R1337&gt;0,AP1337/R1337,0))/MAX(0.1,N(Parameter!$M$21)))</f>
        <v>0.0192307692307692</v>
      </c>
      <c r="AR1337" s="50" t="n">
        <f aca="false">AQ1337*BY1337</f>
        <v>2.98076923076923</v>
      </c>
      <c r="AS1337" s="50" t="n">
        <f aca="false">AO1337*G1337</f>
        <v>1368.26</v>
      </c>
      <c r="AT1337" s="50" t="n">
        <f aca="false">ROUNDUP(MAX(J1337/IF(CD1337&gt;0,CD1337,MAX(0.1,N(Cockpit!$I$6))),CG1337)/BV1337,0)*BV1337</f>
        <v>86</v>
      </c>
      <c r="AU1337" s="51" t="n">
        <f aca="false">IF(AR1337&gt;0,J1337/AR1337,-1)</f>
        <v>23.1483870967742</v>
      </c>
      <c r="AV1337" s="51" t="n">
        <f aca="false">IF(AND(OR(CC1337="L1",CC1337="L23",CC1337="LIFT"),AR1337&gt;0),SUMIFS($AR$7:$AR$1843,$CC$7:$CC$1843,CC1337,$AU$7:$AU$1843,"&gt;"&amp;AU1337)+SUMIFS($AR$7:$AR$1843,$CC$7:$CC$1843,CC1337,$AU$7:$AU$1843,AU1337,$BT$7:$BT$1843,"&lt;="&amp;BT1337),"")</f>
        <v>2220.62866300366</v>
      </c>
      <c r="AW1337" s="58" t="n">
        <f aca="false">IF(AV1337="",0,MAX(0,MIN(1,(IF(CC1337="L1",Parameter!$H$5,IF(CC1337="L23",Parameter!$H$6+Parameter!$H$7,Parameter!$H$5+Parameter!$H$6+Parameter!$H$7))-(AV1337-AR1337))/AR1337)))</f>
        <v>1</v>
      </c>
      <c r="AX1337" s="50" t="n">
        <f aca="false">IF(LEFT(Cockpit!$O$5,1)="A",H1337,IF(CE1337=1,CF1337,IF(LEFT(Cockpit!$O$5,1)="B",BC1337,MAX(BC1337,H1337))))</f>
        <v>86</v>
      </c>
      <c r="AY1337" s="50" t="n">
        <f aca="false">IF(BW1337=1,0,ROUNDUP(AX1337/BV1337,0))</f>
        <v>1</v>
      </c>
      <c r="AZ1337" s="52" t="n">
        <f aca="false">IF(CL1337&gt;0,CL1337*MAX(1,AX1337/X1337),IF(BW1337=1,IF(AX1337&lt;=0,0,CA1337*MAX(1,IF(H1337&gt;0,AX1337/H1337,1))),IF(R1337&gt;0,AY1337/R1337,0))/MAX(0.1,N(Parameter!$M$21)))</f>
        <v>0.0192307692307692</v>
      </c>
      <c r="BA1337" s="50" t="n">
        <f aca="false">AZ1337*BY1337</f>
        <v>2.98076923076923</v>
      </c>
      <c r="BB1337" s="50" t="n">
        <f aca="false">AX1337*G1337</f>
        <v>1368.26</v>
      </c>
      <c r="BC1337" s="50" t="n">
        <f aca="false">ROUNDUP(MAX(J1337/IF(CD1337&gt;0,CD1337,MAX(0.1,N(Cockpit!$O$6))),CG1337)/BV1337,0)*BV1337</f>
        <v>86</v>
      </c>
      <c r="BD1337" s="51" t="n">
        <f aca="false">IF(BA1337&gt;0,J1337/BA1337,-1)</f>
        <v>23.1483870967742</v>
      </c>
      <c r="BE1337" s="51" t="n">
        <f aca="false">IF(AND(OR(CC1337="L1",CC1337="L23",CC1337="LIFT"),BA1337&gt;0),SUMIFS($BA$7:$BA$1843,$CC$7:$CC$1843,CC1337,$BD$7:$BD$1843,"&gt;"&amp;BD1337)+SUMIFS($BA$7:$BA$1843,$CC$7:$CC$1843,CC1337,$BD$7:$BD$1843,BD1337,$BT$7:$BT$1843,"&lt;="&amp;BT1337),"")</f>
        <v>2315.64468864469</v>
      </c>
      <c r="BF1337" s="58" t="n">
        <f aca="false">IF(BE1337="",0,MAX(0,MIN(1,(IF(CC1337="L1",Parameter!$H$5,IF(CC1337="L23",Parameter!$H$6+Parameter!$H$7,Parameter!$H$5+Parameter!$H$6+Parameter!$H$7))-(BE1337-BA1337))/BA1337)))</f>
        <v>1</v>
      </c>
      <c r="BG1337" s="48" t="str">
        <f aca="false">IF(AI1337&lt;=0,"",IF(CC1337="Aussen","Aussenlager",IF(CC1337="-","Nicht im Lift",IF(AN1337&gt;=1,"Lift",IF(AN1337&lt;=0,"Aussenlager","teilweise")))))</f>
        <v>Lift</v>
      </c>
      <c r="BH1337" s="48" t="str">
        <f aca="false">IF(AR1337&lt;=0,"",IF(CC1337="Aussen","Aussenlager",IF(CC1337="-","Nicht im Lift",IF(AW1337&gt;=1,"Lift",IF(AW1337&lt;=0,"Aussenlager","teilweise")))))</f>
        <v>Lift</v>
      </c>
      <c r="BI1337" s="48" t="str">
        <f aca="false">IF(BA1337&lt;=0,"",IF(CC1337="Aussen","Aussenlager",IF(CC1337="-","Nicht im Lift",IF(BF1337&gt;=1,"Lift",IF(BF1337&lt;=0,"Aussenlager","teilweise")))))</f>
        <v>Lift</v>
      </c>
      <c r="BJ1337" s="48" t="str">
        <f aca="false">IF(A1337="","",IF(BS1337=1,"Neu; ","")&amp;IF(AND(BS1337=0,BN1337&lt;0),"negativer Bestand (Export "&amp;BN1337&amp;"); ","")&amp;IF(J1337&lt;=0,"Kein Verbrauch; ","")&amp;IF(CL1337&gt;0,"Lift "&amp;W1337&amp;" lt. Liftbericht (Fach "&amp;X1337&amp;" Stk); ",IF(BX1337=1,"Gebinde geschätzt ("&amp;T1337&amp;"); ",IF(BW1337=1,"Lose – Tablare geschätzt; ","")))&amp;IF(H1337&gt;AT1337,"Überbestand "&amp;ROUND(H1337-AT1337,0)&amp;" Stk / CHF "&amp;ROUND((H1337-AT1337)*G1337,0)&amp;"; ","")&amp;IF(AND(CE1337=1,CF1337&lt;CG1337),"MAX &lt; MB+LG; ","")&amp;IF(AND(CK1337&gt;0,CJ1337*10&gt;CK1337),"zu hoch für Tablar; ","")&amp;IF(AND(BS1337=0,OR(CE1337=1,AA1337&lt;&gt;"",U1337&lt;&gt;"",V1337&lt;&gt;"",AB1337&lt;&gt;"")),"manuell übersteuert; ","")&amp;IF(AND(BW1337=0,R1337=0),"Gebinde unbekannt / Stellmass fehlt; ","")&amp;IF(AND(BW1337=0,N(V1337)&lt;=0,N(Q1337)&lt;=0),"Menge pro Gebinde fehlt (Ist = 1 Gebinde); ","")&amp;BR1337)</f>
        <v>negativer Bestand (Export -104); </v>
      </c>
      <c r="BK1337" s="48"/>
      <c r="BL1337" s="48"/>
      <c r="BM1337" s="55"/>
      <c r="BN1337" s="50" t="n">
        <v>-104</v>
      </c>
      <c r="BO1337" s="50" t="n">
        <v>135</v>
      </c>
      <c r="BP1337" s="49" t="n">
        <v>-1654.64</v>
      </c>
      <c r="BQ1337" s="50" t="n">
        <v>69</v>
      </c>
      <c r="BR1337" s="48"/>
      <c r="BS1337" s="53" t="n">
        <v>0</v>
      </c>
      <c r="BT1337" s="53" t="n">
        <v>1337</v>
      </c>
      <c r="BU1337" s="48" t="str">
        <f aca="false">IF(U1337&lt;&gt;"",UPPER(TRIM(U1337)),IF(BX1337=1,UPPER(VLOOKUP(T1337,Parameter!$I$27:$K$29,2,0)),IF(P1337="","LOSE",P1337)))</f>
        <v>S33</v>
      </c>
      <c r="BV1337" s="50" t="n">
        <f aca="false">IF(BU1337="LOSE",1,IF(N(V1337)&gt;0,V1337,IF(BX1337=1,MAX(1,N(VLOOKUP(T1337,Parameter!$I$27:$K$29,3,0)),H1337,N(N1337)),IF(N(Q1337)&gt;0,Q1337,MAX(1,H1337)))))</f>
        <v>86</v>
      </c>
      <c r="BW1337" s="53" t="n">
        <f aca="false">IF(BU1337="LOSE",1,0)</f>
        <v>0</v>
      </c>
      <c r="BX1337" s="53" t="n">
        <f aca="false">IF(AND(U1337="",OR(P1337="",P1337="LOSE"),T1337&lt;&gt;"",N(S1337)&lt;=0,ISNUMBER(MATCH(T1337,Parameter!$I$27:$I$29,0))),1,0)</f>
        <v>0</v>
      </c>
      <c r="BY1337" s="53" t="n">
        <f aca="false">IF(CL1337&gt;0,INDEX(Parameter!$H$5:$H$7,W1337)/INDEX(Parameter!$E$5:$E$7,W1337),IF(AND(BW1337=0,N(IFERROR(VLOOKUP(BU1337,'Gebinde-Kategorie'!$A$5:$N$45,14,0),0))&gt;0),VLOOKUP(BU1337,'Gebinde-Kategorie'!$A$5:$N$45,14,0)*10+Parameter!$M$23,Parameter!$M$24))</f>
        <v>155</v>
      </c>
      <c r="BZ1337" s="48" t="str">
        <f aca="false">IF(AND(Parameter!$B$19="Ja",E1337&lt;&gt;"",ISNUMBER(MATCH(E1337,Parameter!$I$35:$I$52,0))),VLOOKUP(E1337,Parameter!$I$35:$J$52,2,0),IFERROR(VLOOKUP(D1337,Parameter!$A$35:$C$64,2,0),"Nein"))</f>
        <v>2+3</v>
      </c>
      <c r="CA1337" s="52" t="n">
        <f aca="false">IF(BW1337=0,0,IF(N(S1337)&gt;0,S1337,IFERROR(VLOOKUP(D1337,Parameter!$A$35:$C$64,3,0)+0,0)))</f>
        <v>0</v>
      </c>
      <c r="CB1337" s="48" t="n">
        <f aca="false">IF(AA1337&lt;&gt;"",AA1337,Z1337)</f>
        <v>3</v>
      </c>
      <c r="CC1337" s="48" t="str">
        <f aca="false">IF(OR(CB1337=1,CB1337=2,CB1337=3),IF(Parameter!$E$27="Ja","LIFT",IF(CB1337=1,"L1","L23")),IF(CB1337="Aussen","Aussen","-"))</f>
        <v>LIFT</v>
      </c>
      <c r="CD1337" s="59" t="n">
        <f aca="false">IF(N(AB1337)&gt;0,AB1337,0)</f>
        <v>0</v>
      </c>
      <c r="CE1337" s="53" t="n">
        <f aca="false">IF(ISNUMBER(AE1337),1,0)</f>
        <v>0</v>
      </c>
      <c r="CF1337" s="50" t="n">
        <f aca="false">N(AE1337)</f>
        <v>0</v>
      </c>
      <c r="CG1337" s="50" t="n">
        <f aca="false">N(M1337)+N(N1337)</f>
        <v>72</v>
      </c>
      <c r="CH1337" s="50" t="n">
        <f aca="false">ROUNDUP(H1337/BV1337,0)</f>
        <v>1</v>
      </c>
      <c r="CI1337" s="50" t="n">
        <f aca="false">ROUNDUP(CF1337/BV1337,0)</f>
        <v>0</v>
      </c>
      <c r="CJ1337" s="53" t="n">
        <f aca="false">IF(BW1337=1,0,IFERROR(VLOOKUP(BU1337,'Gebinde-Kategorie'!$A$5:$N$45,5,0)+0,0))</f>
        <v>8</v>
      </c>
      <c r="CK1337" s="53" t="n">
        <f aca="false">IFERROR(IF(OR(CB1337=1,CB1337=2,CB1337=3),N(INDEX(Parameter!$I$5:$I$7,CB1337)),0),0)</f>
        <v>0</v>
      </c>
      <c r="CL1337" s="52" t="n">
        <f aca="false">IF(AND(Parameter!$B$21="Ja",ISNUMBER(W1337),N(X1337)&gt;0),IFERROR(N(INDEX(Parameter!$L$5:$L$7,W1337))*INDEX(Parameter!$E$5:$E$7,W1337)*X1337/SUMIFS($X$7:$X$1843,$W$7:$W$1843,W1337),0),0)</f>
        <v>0</v>
      </c>
    </row>
    <row r="1338" customFormat="false" ht="15" hidden="false" customHeight="false" outlineLevel="0" collapsed="false">
      <c r="A1338" s="48" t="s">
        <v>2373</v>
      </c>
      <c r="B1338" s="48" t="s">
        <v>1369</v>
      </c>
      <c r="C1338" s="48" t="s">
        <v>168</v>
      </c>
      <c r="D1338" s="48" t="s">
        <v>188</v>
      </c>
      <c r="E1338" s="48"/>
      <c r="F1338" s="48" t="s">
        <v>222</v>
      </c>
      <c r="G1338" s="49" t="n">
        <v>84.96</v>
      </c>
      <c r="H1338" s="50" t="n">
        <f aca="false">MAX(0,IF(AND(Parameter!$B$21="Ja",ISNUMBER(Y1338)),Y1338,IF(Parameter!$B$20="Jahresanfang 2025 + Export",BO1338+BN1338,BN1338)))</f>
        <v>48</v>
      </c>
      <c r="I1338" s="50" t="n">
        <f aca="false">H1338*G1338</f>
        <v>4078.08</v>
      </c>
      <c r="J1338" s="50" t="n">
        <f aca="false">BQ1338*Parameter!$B$18</f>
        <v>192</v>
      </c>
      <c r="K1338" s="51" t="n">
        <v>38</v>
      </c>
      <c r="L1338" s="52" t="n">
        <v>5.05263157894737</v>
      </c>
      <c r="M1338" s="50" t="n">
        <v>10</v>
      </c>
      <c r="N1338" s="50" t="n">
        <v>60</v>
      </c>
      <c r="O1338" s="53" t="n">
        <v>14</v>
      </c>
      <c r="P1338" s="48" t="s">
        <v>297</v>
      </c>
      <c r="Q1338" s="50" t="n">
        <v>100</v>
      </c>
      <c r="R1338" s="53" t="n">
        <f aca="false">IF(BW1338=1,0,IFERROR(VLOOKUP(BU1338,'Gebinde-Kategorie'!$A$5:$N$45,13,0)+0,0))</f>
        <v>12</v>
      </c>
      <c r="S1338" s="54"/>
      <c r="T1338" s="55"/>
      <c r="U1338" s="55"/>
      <c r="V1338" s="55"/>
      <c r="W1338" s="48"/>
      <c r="X1338" s="50"/>
      <c r="Y1338" s="50"/>
      <c r="Z1338" s="48" t="n">
        <f aca="false">IF(A1338="","",IF(AND(Parameter!$B$21="Ja",ISNUMBER(W1338)),W1338,IF(BZ1338="2+3",IF(ISNUMBER(SEARCH("grosser Artikel",BR1338)),2,IFERROR(VLOOKUP(BU1338,Parameter!$F$35:$G$64,2,0),2)),IF(OR(BZ1338="Nein",BZ1338=""),"-",BZ1338))))</f>
        <v>2</v>
      </c>
      <c r="AA1338" s="55"/>
      <c r="AB1338" s="56"/>
      <c r="AC1338" s="50" t="n">
        <f aca="false">AT1338</f>
        <v>100</v>
      </c>
      <c r="AD1338" s="50" t="n">
        <f aca="false">MAX(AT1338,H1338)</f>
        <v>100</v>
      </c>
      <c r="AE1338" s="57"/>
      <c r="AF1338" s="50" t="n">
        <f aca="false">IF(LEFT(Cockpit!$C$5,1)="A",H1338,IF(CE1338=1,CF1338,IF(LEFT(Cockpit!$C$5,1)="B",AK1338,MAX(AK1338,H1338))))</f>
        <v>48</v>
      </c>
      <c r="AG1338" s="50" t="n">
        <f aca="false">IF(BW1338=1,0,ROUNDUP(AF1338/BV1338,0))</f>
        <v>1</v>
      </c>
      <c r="AH1338" s="52" t="n">
        <f aca="false">IF(CL1338&gt;0,CL1338*MAX(1,AF1338/X1338),IF(BW1338=1,IF(AF1338&lt;=0,0,CA1338*MAX(1,IF(H1338&gt;0,AF1338/H1338,1))),IF(R1338&gt;0,AG1338/R1338,0))/MAX(0.1,N(Parameter!$M$21)))</f>
        <v>0.0833333333333333</v>
      </c>
      <c r="AI1338" s="50" t="n">
        <f aca="false">AH1338*BY1338</f>
        <v>20.4166666666667</v>
      </c>
      <c r="AJ1338" s="50" t="n">
        <f aca="false">AF1338*G1338</f>
        <v>4078.08</v>
      </c>
      <c r="AK1338" s="50" t="n">
        <f aca="false">ROUNDUP(MAX(J1338/IF(CD1338&gt;0,CD1338,MAX(0.1,N(Cockpit!$C$6))),CG1338)/BV1338,0)*BV1338</f>
        <v>100</v>
      </c>
      <c r="AL1338" s="51" t="n">
        <f aca="false">IF(AI1338&gt;0,J1338/AI1338,-1)</f>
        <v>9.40408163265306</v>
      </c>
      <c r="AM1338" s="51" t="n">
        <f aca="false">IF(AND(OR(CC1338="L1",CC1338="L23",CC1338="LIFT"),AI1338&gt;0),SUMIFS($AI$7:$AI$1843,$CC$7:$CC$1843,CC1338,$AL$7:$AL$1843,"&gt;"&amp;AL1338)+SUMIFS($AI$7:$AI$1843,$CC$7:$CC$1843,CC1338,$AL$7:$AL$1843,AL1338,$BT$7:$BT$1843,"&lt;="&amp;BT1338),"")</f>
        <v>2917.63049450549</v>
      </c>
      <c r="AN1338" s="58" t="n">
        <f aca="false">IF(AM1338="",0,MAX(0,MIN(1,(IF(CC1338="L1",Parameter!$H$5,IF(CC1338="L23",Parameter!$H$6+Parameter!$H$7,Parameter!$H$5+Parameter!$H$6+Parameter!$H$7))-(AM1338-AI1338))/AI1338)))</f>
        <v>1</v>
      </c>
      <c r="AO1338" s="50" t="n">
        <f aca="false">IF(LEFT(Cockpit!$I$5,1)="A",H1338,IF(CE1338=1,CF1338,IF(LEFT(Cockpit!$I$5,1)="B",AT1338,MAX(AT1338,H1338))))</f>
        <v>100</v>
      </c>
      <c r="AP1338" s="50" t="n">
        <f aca="false">IF(BW1338=1,0,ROUNDUP(AO1338/BV1338,0))</f>
        <v>1</v>
      </c>
      <c r="AQ1338" s="52" t="n">
        <f aca="false">IF(CL1338&gt;0,CL1338*MAX(1,AO1338/X1338),IF(BW1338=1,IF(AO1338&lt;=0,0,CA1338*MAX(1,IF(H1338&gt;0,AO1338/H1338,1))),IF(R1338&gt;0,AP1338/R1338,0))/MAX(0.1,N(Parameter!$M$21)))</f>
        <v>0.0833333333333333</v>
      </c>
      <c r="AR1338" s="50" t="n">
        <f aca="false">AQ1338*BY1338</f>
        <v>20.4166666666667</v>
      </c>
      <c r="AS1338" s="50" t="n">
        <f aca="false">AO1338*G1338</f>
        <v>8496</v>
      </c>
      <c r="AT1338" s="50" t="n">
        <f aca="false">ROUNDUP(MAX(J1338/IF(CD1338&gt;0,CD1338,MAX(0.1,N(Cockpit!$I$6))),CG1338)/BV1338,0)*BV1338</f>
        <v>100</v>
      </c>
      <c r="AU1338" s="51" t="n">
        <f aca="false">IF(AR1338&gt;0,J1338/AR1338,-1)</f>
        <v>9.40408163265306</v>
      </c>
      <c r="AV1338" s="51" t="n">
        <f aca="false">IF(AND(OR(CC1338="L1",CC1338="L23",CC1338="LIFT"),AR1338&gt;0),SUMIFS($AR$7:$AR$1843,$CC$7:$CC$1843,CC1338,$AU$7:$AU$1843,"&gt;"&amp;AU1338)+SUMIFS($AR$7:$AR$1843,$CC$7:$CC$1843,CC1338,$AU$7:$AU$1843,AU1338,$BT$7:$BT$1843,"&lt;="&amp;BT1338),"")</f>
        <v>4137.86996336996</v>
      </c>
      <c r="AW1338" s="58" t="n">
        <f aca="false">IF(AV1338="",0,MAX(0,MIN(1,(IF(CC1338="L1",Parameter!$H$5,IF(CC1338="L23",Parameter!$H$6+Parameter!$H$7,Parameter!$H$5+Parameter!$H$6+Parameter!$H$7))-(AV1338-AR1338))/AR1338)))</f>
        <v>1</v>
      </c>
      <c r="AX1338" s="50" t="n">
        <f aca="false">IF(LEFT(Cockpit!$O$5,1)="A",H1338,IF(CE1338=1,CF1338,IF(LEFT(Cockpit!$O$5,1)="B",BC1338,MAX(BC1338,H1338))))</f>
        <v>100</v>
      </c>
      <c r="AY1338" s="50" t="n">
        <f aca="false">IF(BW1338=1,0,ROUNDUP(AX1338/BV1338,0))</f>
        <v>1</v>
      </c>
      <c r="AZ1338" s="52" t="n">
        <f aca="false">IF(CL1338&gt;0,CL1338*MAX(1,AX1338/X1338),IF(BW1338=1,IF(AX1338&lt;=0,0,CA1338*MAX(1,IF(H1338&gt;0,AX1338/H1338,1))),IF(R1338&gt;0,AY1338/R1338,0))/MAX(0.1,N(Parameter!$M$21)))</f>
        <v>0.0833333333333333</v>
      </c>
      <c r="BA1338" s="50" t="n">
        <f aca="false">AZ1338*BY1338</f>
        <v>20.4166666666667</v>
      </c>
      <c r="BB1338" s="50" t="n">
        <f aca="false">AX1338*G1338</f>
        <v>8496</v>
      </c>
      <c r="BC1338" s="50" t="n">
        <f aca="false">ROUNDUP(MAX(J1338/IF(CD1338&gt;0,CD1338,MAX(0.1,N(Cockpit!$O$6))),CG1338)/BV1338,0)*BV1338</f>
        <v>100</v>
      </c>
      <c r="BD1338" s="51" t="n">
        <f aca="false">IF(BA1338&gt;0,J1338/BA1338,-1)</f>
        <v>9.40408163265306</v>
      </c>
      <c r="BE1338" s="51" t="n">
        <f aca="false">IF(AND(OR(CC1338="L1",CC1338="L23",CC1338="LIFT"),BA1338&gt;0),SUMIFS($BA$7:$BA$1843,$CC$7:$CC$1843,CC1338,$BD$7:$BD$1843,"&gt;"&amp;BD1338)+SUMIFS($BA$7:$BA$1843,$CC$7:$CC$1843,CC1338,$BD$7:$BD$1843,BD1338,$BT$7:$BT$1843,"&lt;="&amp;BT1338),"")</f>
        <v>3795.99496336996</v>
      </c>
      <c r="BF1338" s="58" t="n">
        <f aca="false">IF(BE1338="",0,MAX(0,MIN(1,(IF(CC1338="L1",Parameter!$H$5,IF(CC1338="L23",Parameter!$H$6+Parameter!$H$7,Parameter!$H$5+Parameter!$H$6+Parameter!$H$7))-(BE1338-BA1338))/BA1338)))</f>
        <v>1</v>
      </c>
      <c r="BG1338" s="48" t="str">
        <f aca="false">IF(AI1338&lt;=0,"",IF(CC1338="Aussen","Aussenlager",IF(CC1338="-","Nicht im Lift",IF(AN1338&gt;=1,"Lift",IF(AN1338&lt;=0,"Aussenlager","teilweise")))))</f>
        <v>Lift</v>
      </c>
      <c r="BH1338" s="48" t="str">
        <f aca="false">IF(AR1338&lt;=0,"",IF(CC1338="Aussen","Aussenlager",IF(CC1338="-","Nicht im Lift",IF(AW1338&gt;=1,"Lift",IF(AW1338&lt;=0,"Aussenlager","teilweise")))))</f>
        <v>Lift</v>
      </c>
      <c r="BI1338" s="48" t="str">
        <f aca="false">IF(BA1338&lt;=0,"",IF(CC1338="Aussen","Aussenlager",IF(CC1338="-","Nicht im Lift",IF(BF1338&gt;=1,"Lift",IF(BF1338&lt;=0,"Aussenlager","teilweise")))))</f>
        <v>Lift</v>
      </c>
      <c r="BJ1338" s="48" t="str">
        <f aca="false">IF(A1338="","",IF(BS1338=1,"Neu; ","")&amp;IF(AND(BS1338=0,BN1338&lt;0),"negativer Bestand (Export "&amp;BN1338&amp;"); ","")&amp;IF(J1338&lt;=0,"Kein Verbrauch; ","")&amp;IF(CL1338&gt;0,"Lift "&amp;W1338&amp;" lt. Liftbericht (Fach "&amp;X1338&amp;" Stk); ",IF(BX1338=1,"Gebinde geschätzt ("&amp;T1338&amp;"); ",IF(BW1338=1,"Lose – Tablare geschätzt; ","")))&amp;IF(H1338&gt;AT1338,"Überbestand "&amp;ROUND(H1338-AT1338,0)&amp;" Stk / CHF "&amp;ROUND((H1338-AT1338)*G1338,0)&amp;"; ","")&amp;IF(AND(CE1338=1,CF1338&lt;CG1338),"MAX &lt; MB+LG; ","")&amp;IF(AND(CK1338&gt;0,CJ1338*10&gt;CK1338),"zu hoch für Tablar; ","")&amp;IF(AND(BS1338=0,OR(CE1338=1,AA1338&lt;&gt;"",U1338&lt;&gt;"",V1338&lt;&gt;"",AB1338&lt;&gt;"")),"manuell übersteuert; ","")&amp;IF(AND(BW1338=0,R1338=0),"Gebinde unbekannt / Stellmass fehlt; ","")&amp;IF(AND(BW1338=0,N(V1338)&lt;=0,N(Q1338)&lt;=0),"Menge pro Gebinde fehlt (Ist = 1 Gebinde); ","")&amp;BR1338)</f>
        <v/>
      </c>
      <c r="BK1338" s="48"/>
      <c r="BL1338" s="48"/>
      <c r="BM1338" s="55"/>
      <c r="BN1338" s="50" t="n">
        <v>10</v>
      </c>
      <c r="BO1338" s="50" t="n">
        <v>38</v>
      </c>
      <c r="BP1338" s="49" t="n">
        <v>-1696.37000000001</v>
      </c>
      <c r="BQ1338" s="50" t="n">
        <v>192</v>
      </c>
      <c r="BR1338" s="48"/>
      <c r="BS1338" s="53" t="n">
        <v>0</v>
      </c>
      <c r="BT1338" s="53" t="n">
        <v>1338</v>
      </c>
      <c r="BU1338" s="48" t="str">
        <f aca="false">IF(U1338&lt;&gt;"",UPPER(TRIM(U1338)),IF(BX1338=1,UPPER(VLOOKUP(T1338,Parameter!$I$27:$K$29,2,0)),IF(P1338="","LOSE",P1338)))</f>
        <v>S62</v>
      </c>
      <c r="BV1338" s="50" t="n">
        <f aca="false">IF(BU1338="LOSE",1,IF(N(V1338)&gt;0,V1338,IF(BX1338=1,MAX(1,N(VLOOKUP(T1338,Parameter!$I$27:$K$29,3,0)),H1338,N(N1338)),IF(N(Q1338)&gt;0,Q1338,MAX(1,H1338)))))</f>
        <v>100</v>
      </c>
      <c r="BW1338" s="53" t="n">
        <f aca="false">IF(BU1338="LOSE",1,0)</f>
        <v>0</v>
      </c>
      <c r="BX1338" s="53" t="n">
        <f aca="false">IF(AND(U1338="",OR(P1338="",P1338="LOSE"),T1338&lt;&gt;"",N(S1338)&lt;=0,ISNUMBER(MATCH(T1338,Parameter!$I$27:$I$29,0))),1,0)</f>
        <v>0</v>
      </c>
      <c r="BY1338" s="53" t="n">
        <f aca="false">IF(CL1338&gt;0,INDEX(Parameter!$H$5:$H$7,W1338)/INDEX(Parameter!$E$5:$E$7,W1338),IF(AND(BW1338=0,N(IFERROR(VLOOKUP(BU1338,'Gebinde-Kategorie'!$A$5:$N$45,14,0),0))&gt;0),VLOOKUP(BU1338,'Gebinde-Kategorie'!$A$5:$N$45,14,0)*10+Parameter!$M$23,Parameter!$M$24))</f>
        <v>245</v>
      </c>
      <c r="BZ1338" s="48" t="str">
        <f aca="false">IF(AND(Parameter!$B$19="Ja",E1338&lt;&gt;"",ISNUMBER(MATCH(E1338,Parameter!$I$35:$I$52,0))),VLOOKUP(E1338,Parameter!$I$35:$J$52,2,0),IFERROR(VLOOKUP(D1338,Parameter!$A$35:$C$64,2,0),"Nein"))</f>
        <v>2+3</v>
      </c>
      <c r="CA1338" s="52" t="n">
        <f aca="false">IF(BW1338=0,0,IF(N(S1338)&gt;0,S1338,IFERROR(VLOOKUP(D1338,Parameter!$A$35:$C$64,3,0)+0,0)))</f>
        <v>0</v>
      </c>
      <c r="CB1338" s="48" t="n">
        <f aca="false">IF(AA1338&lt;&gt;"",AA1338,Z1338)</f>
        <v>2</v>
      </c>
      <c r="CC1338" s="48" t="str">
        <f aca="false">IF(OR(CB1338=1,CB1338=2,CB1338=3),IF(Parameter!$E$27="Ja","LIFT",IF(CB1338=1,"L1","L23")),IF(CB1338="Aussen","Aussen","-"))</f>
        <v>LIFT</v>
      </c>
      <c r="CD1338" s="59" t="n">
        <f aca="false">IF(N(AB1338)&gt;0,AB1338,0)</f>
        <v>0</v>
      </c>
      <c r="CE1338" s="53" t="n">
        <f aca="false">IF(ISNUMBER(AE1338),1,0)</f>
        <v>0</v>
      </c>
      <c r="CF1338" s="50" t="n">
        <f aca="false">N(AE1338)</f>
        <v>0</v>
      </c>
      <c r="CG1338" s="50" t="n">
        <f aca="false">N(M1338)+N(N1338)</f>
        <v>70</v>
      </c>
      <c r="CH1338" s="50" t="n">
        <f aca="false">ROUNDUP(H1338/BV1338,0)</f>
        <v>1</v>
      </c>
      <c r="CI1338" s="50" t="n">
        <f aca="false">ROUNDUP(CF1338/BV1338,0)</f>
        <v>0</v>
      </c>
      <c r="CJ1338" s="53" t="n">
        <f aca="false">IF(BW1338=1,0,IFERROR(VLOOKUP(BU1338,'Gebinde-Kategorie'!$A$5:$N$45,5,0)+0,0))</f>
        <v>21</v>
      </c>
      <c r="CK1338" s="53" t="n">
        <f aca="false">IFERROR(IF(OR(CB1338=1,CB1338=2,CB1338=3),N(INDEX(Parameter!$I$5:$I$7,CB1338)),0),0)</f>
        <v>0</v>
      </c>
      <c r="CL1338" s="52" t="n">
        <f aca="false">IF(AND(Parameter!$B$21="Ja",ISNUMBER(W1338),N(X1338)&gt;0),IFERROR(N(INDEX(Parameter!$L$5:$L$7,W1338))*INDEX(Parameter!$E$5:$E$7,W1338)*X1338/SUMIFS($X$7:$X$1843,$W$7:$W$1843,W1338),0),0)</f>
        <v>0</v>
      </c>
    </row>
    <row r="1339" customFormat="false" ht="15" hidden="false" customHeight="false" outlineLevel="0" collapsed="false">
      <c r="A1339" s="48" t="s">
        <v>2374</v>
      </c>
      <c r="B1339" s="48" t="s">
        <v>818</v>
      </c>
      <c r="C1339" s="48" t="s">
        <v>168</v>
      </c>
      <c r="D1339" s="48" t="s">
        <v>188</v>
      </c>
      <c r="E1339" s="48" t="s">
        <v>189</v>
      </c>
      <c r="F1339" s="48" t="s">
        <v>222</v>
      </c>
      <c r="G1339" s="49" t="n">
        <v>90.07</v>
      </c>
      <c r="H1339" s="50" t="n">
        <f aca="false">MAX(0,IF(AND(Parameter!$B$21="Ja",ISNUMBER(Y1339)),Y1339,IF(Parameter!$B$20="Jahresanfang 2025 + Export",BO1339+BN1339,BN1339)))</f>
        <v>9</v>
      </c>
      <c r="I1339" s="50" t="n">
        <f aca="false">H1339*G1339</f>
        <v>810.63</v>
      </c>
      <c r="J1339" s="50" t="n">
        <f aca="false">BQ1339*Parameter!$B$18</f>
        <v>20</v>
      </c>
      <c r="K1339" s="51" t="n">
        <v>24</v>
      </c>
      <c r="L1339" s="52" t="n">
        <v>0.833333333333333</v>
      </c>
      <c r="M1339" s="50" t="n">
        <v>7</v>
      </c>
      <c r="N1339" s="50" t="n">
        <v>50</v>
      </c>
      <c r="O1339" s="53" t="n">
        <v>126</v>
      </c>
      <c r="P1339" s="48" t="s">
        <v>332</v>
      </c>
      <c r="Q1339" s="50" t="n">
        <v>52</v>
      </c>
      <c r="R1339" s="53" t="n">
        <f aca="false">IF(BW1339=1,0,IFERROR(VLOOKUP(BU1339,'Gebinde-Kategorie'!$A$5:$N$45,13,0)+0,0))</f>
        <v>52</v>
      </c>
      <c r="S1339" s="54"/>
      <c r="T1339" s="55"/>
      <c r="U1339" s="55"/>
      <c r="V1339" s="55"/>
      <c r="W1339" s="48"/>
      <c r="X1339" s="50"/>
      <c r="Y1339" s="50"/>
      <c r="Z1339" s="48" t="n">
        <f aca="false">IF(A1339="","",IF(AND(Parameter!$B$21="Ja",ISNUMBER(W1339)),W1339,IF(BZ1339="2+3",IF(ISNUMBER(SEARCH("grosser Artikel",BR1339)),2,IFERROR(VLOOKUP(BU1339,Parameter!$F$35:$G$64,2,0),2)),IF(OR(BZ1339="Nein",BZ1339=""),"-",BZ1339))))</f>
        <v>3</v>
      </c>
      <c r="AA1339" s="55"/>
      <c r="AB1339" s="56"/>
      <c r="AC1339" s="50" t="n">
        <f aca="false">AT1339</f>
        <v>104</v>
      </c>
      <c r="AD1339" s="50" t="n">
        <f aca="false">MAX(AT1339,H1339)</f>
        <v>104</v>
      </c>
      <c r="AE1339" s="57"/>
      <c r="AF1339" s="50" t="n">
        <f aca="false">IF(LEFT(Cockpit!$C$5,1)="A",H1339,IF(CE1339=1,CF1339,IF(LEFT(Cockpit!$C$5,1)="B",AK1339,MAX(AK1339,H1339))))</f>
        <v>9</v>
      </c>
      <c r="AG1339" s="50" t="n">
        <f aca="false">IF(BW1339=1,0,ROUNDUP(AF1339/BV1339,0))</f>
        <v>1</v>
      </c>
      <c r="AH1339" s="52" t="n">
        <f aca="false">IF(CL1339&gt;0,CL1339*MAX(1,AF1339/X1339),IF(BW1339=1,IF(AF1339&lt;=0,0,CA1339*MAX(1,IF(H1339&gt;0,AF1339/H1339,1))),IF(R1339&gt;0,AG1339/R1339,0))/MAX(0.1,N(Parameter!$M$21)))</f>
        <v>0.0192307692307692</v>
      </c>
      <c r="AI1339" s="50" t="n">
        <f aca="false">AH1339*BY1339</f>
        <v>2.98076923076923</v>
      </c>
      <c r="AJ1339" s="50" t="n">
        <f aca="false">AF1339*G1339</f>
        <v>810.63</v>
      </c>
      <c r="AK1339" s="50" t="n">
        <f aca="false">ROUNDUP(MAX(J1339/IF(CD1339&gt;0,CD1339,MAX(0.1,N(Cockpit!$C$6))),CG1339)/BV1339,0)*BV1339</f>
        <v>104</v>
      </c>
      <c r="AL1339" s="51" t="n">
        <f aca="false">IF(AI1339&gt;0,J1339/AI1339,-1)</f>
        <v>6.70967741935484</v>
      </c>
      <c r="AM1339" s="51" t="n">
        <f aca="false">IF(AND(OR(CC1339="L1",CC1339="L23",CC1339="LIFT"),AI1339&gt;0),SUMIFS($AI$7:$AI$1843,$CC$7:$CC$1843,CC1339,$AL$7:$AL$1843,"&gt;"&amp;AL1339)+SUMIFS($AI$7:$AI$1843,$CC$7:$CC$1843,CC1339,$AL$7:$AL$1843,AL1339,$BT$7:$BT$1843,"&lt;="&amp;BT1339),"")</f>
        <v>3400.10485347985</v>
      </c>
      <c r="AN1339" s="58" t="n">
        <f aca="false">IF(AM1339="",0,MAX(0,MIN(1,(IF(CC1339="L1",Parameter!$H$5,IF(CC1339="L23",Parameter!$H$6+Parameter!$H$7,Parameter!$H$5+Parameter!$H$6+Parameter!$H$7))-(AM1339-AI1339))/AI1339)))</f>
        <v>1</v>
      </c>
      <c r="AO1339" s="50" t="n">
        <f aca="false">IF(LEFT(Cockpit!$I$5,1)="A",H1339,IF(CE1339=1,CF1339,IF(LEFT(Cockpit!$I$5,1)="B",AT1339,MAX(AT1339,H1339))))</f>
        <v>104</v>
      </c>
      <c r="AP1339" s="50" t="n">
        <f aca="false">IF(BW1339=1,0,ROUNDUP(AO1339/BV1339,0))</f>
        <v>2</v>
      </c>
      <c r="AQ1339" s="52" t="n">
        <f aca="false">IF(CL1339&gt;0,CL1339*MAX(1,AO1339/X1339),IF(BW1339=1,IF(AO1339&lt;=0,0,CA1339*MAX(1,IF(H1339&gt;0,AO1339/H1339,1))),IF(R1339&gt;0,AP1339/R1339,0))/MAX(0.1,N(Parameter!$M$21)))</f>
        <v>0.0384615384615385</v>
      </c>
      <c r="AR1339" s="50" t="n">
        <f aca="false">AQ1339*BY1339</f>
        <v>5.96153846153846</v>
      </c>
      <c r="AS1339" s="50" t="n">
        <f aca="false">AO1339*G1339</f>
        <v>9367.28</v>
      </c>
      <c r="AT1339" s="50" t="n">
        <f aca="false">ROUNDUP(MAX(J1339/IF(CD1339&gt;0,CD1339,MAX(0.1,N(Cockpit!$I$6))),CG1339)/BV1339,0)*BV1339</f>
        <v>104</v>
      </c>
      <c r="AU1339" s="51" t="n">
        <f aca="false">IF(AR1339&gt;0,J1339/AR1339,-1)</f>
        <v>3.35483870967742</v>
      </c>
      <c r="AV1339" s="51" t="n">
        <f aca="false">IF(AND(OR(CC1339="L1",CC1339="L23",CC1339="LIFT"),AR1339&gt;0),SUMIFS($AR$7:$AR$1843,$CC$7:$CC$1843,CC1339,$AU$7:$AU$1843,"&gt;"&amp;AU1339)+SUMIFS($AR$7:$AR$1843,$CC$7:$CC$1843,CC1339,$AU$7:$AU$1843,AU1339,$BT$7:$BT$1843,"&lt;="&amp;BT1339),"")</f>
        <v>6058.83791208791</v>
      </c>
      <c r="AW1339" s="58" t="n">
        <f aca="false">IF(AV1339="",0,MAX(0,MIN(1,(IF(CC1339="L1",Parameter!$H$5,IF(CC1339="L23",Parameter!$H$6+Parameter!$H$7,Parameter!$H$5+Parameter!$H$6+Parameter!$H$7))-(AV1339-AR1339))/AR1339)))</f>
        <v>1</v>
      </c>
      <c r="AX1339" s="50" t="n">
        <f aca="false">IF(LEFT(Cockpit!$O$5,1)="A",H1339,IF(CE1339=1,CF1339,IF(LEFT(Cockpit!$O$5,1)="B",BC1339,MAX(BC1339,H1339))))</f>
        <v>104</v>
      </c>
      <c r="AY1339" s="50" t="n">
        <f aca="false">IF(BW1339=1,0,ROUNDUP(AX1339/BV1339,0))</f>
        <v>2</v>
      </c>
      <c r="AZ1339" s="52" t="n">
        <f aca="false">IF(CL1339&gt;0,CL1339*MAX(1,AX1339/X1339),IF(BW1339=1,IF(AX1339&lt;=0,0,CA1339*MAX(1,IF(H1339&gt;0,AX1339/H1339,1))),IF(R1339&gt;0,AY1339/R1339,0))/MAX(0.1,N(Parameter!$M$21)))</f>
        <v>0.0384615384615385</v>
      </c>
      <c r="BA1339" s="50" t="n">
        <f aca="false">AZ1339*BY1339</f>
        <v>5.96153846153846</v>
      </c>
      <c r="BB1339" s="50" t="n">
        <f aca="false">AX1339*G1339</f>
        <v>9367.28</v>
      </c>
      <c r="BC1339" s="50" t="n">
        <f aca="false">ROUNDUP(MAX(J1339/IF(CD1339&gt;0,CD1339,MAX(0.1,N(Cockpit!$O$6))),CG1339)/BV1339,0)*BV1339</f>
        <v>104</v>
      </c>
      <c r="BD1339" s="51" t="n">
        <f aca="false">IF(BA1339&gt;0,J1339/BA1339,-1)</f>
        <v>3.35483870967742</v>
      </c>
      <c r="BE1339" s="51" t="n">
        <f aca="false">IF(AND(OR(CC1339="L1",CC1339="L23",CC1339="LIFT"),BA1339&gt;0),SUMIFS($BA$7:$BA$1843,$CC$7:$CC$1843,CC1339,$BD$7:$BD$1843,"&gt;"&amp;BD1339)+SUMIFS($BA$7:$BA$1843,$CC$7:$CC$1843,CC1339,$BD$7:$BD$1843,BD1339,$BT$7:$BT$1843,"&lt;="&amp;BT1339),"")</f>
        <v>6046.67445054945</v>
      </c>
      <c r="BF1339" s="58" t="n">
        <f aca="false">IF(BE1339="",0,MAX(0,MIN(1,(IF(CC1339="L1",Parameter!$H$5,IF(CC1339="L23",Parameter!$H$6+Parameter!$H$7,Parameter!$H$5+Parameter!$H$6+Parameter!$H$7))-(BE1339-BA1339))/BA1339)))</f>
        <v>1</v>
      </c>
      <c r="BG1339" s="48" t="str">
        <f aca="false">IF(AI1339&lt;=0,"",IF(CC1339="Aussen","Aussenlager",IF(CC1339="-","Nicht im Lift",IF(AN1339&gt;=1,"Lift",IF(AN1339&lt;=0,"Aussenlager","teilweise")))))</f>
        <v>Lift</v>
      </c>
      <c r="BH1339" s="48" t="str">
        <f aca="false">IF(AR1339&lt;=0,"",IF(CC1339="Aussen","Aussenlager",IF(CC1339="-","Nicht im Lift",IF(AW1339&gt;=1,"Lift",IF(AW1339&lt;=0,"Aussenlager","teilweise")))))</f>
        <v>Lift</v>
      </c>
      <c r="BI1339" s="48" t="str">
        <f aca="false">IF(BA1339&lt;=0,"",IF(CC1339="Aussen","Aussenlager",IF(CC1339="-","Nicht im Lift",IF(BF1339&gt;=1,"Lift",IF(BF1339&lt;=0,"Aussenlager","teilweise")))))</f>
        <v>Lift</v>
      </c>
      <c r="BJ1339" s="48" t="str">
        <f aca="false">IF(A1339="","",IF(BS1339=1,"Neu; ","")&amp;IF(AND(BS1339=0,BN1339&lt;0),"negativer Bestand (Export "&amp;BN1339&amp;"); ","")&amp;IF(J1339&lt;=0,"Kein Verbrauch; ","")&amp;IF(CL1339&gt;0,"Lift "&amp;W1339&amp;" lt. Liftbericht (Fach "&amp;X1339&amp;" Stk); ",IF(BX1339=1,"Gebinde geschätzt ("&amp;T1339&amp;"); ",IF(BW1339=1,"Lose – Tablare geschätzt; ","")))&amp;IF(H1339&gt;AT1339,"Überbestand "&amp;ROUND(H1339-AT1339,0)&amp;" Stk / CHF "&amp;ROUND((H1339-AT1339)*G1339,0)&amp;"; ","")&amp;IF(AND(CE1339=1,CF1339&lt;CG1339),"MAX &lt; MB+LG; ","")&amp;IF(AND(CK1339&gt;0,CJ1339*10&gt;CK1339),"zu hoch für Tablar; ","")&amp;IF(AND(BS1339=0,OR(CE1339=1,AA1339&lt;&gt;"",U1339&lt;&gt;"",V1339&lt;&gt;"",AB1339&lt;&gt;"")),"manuell übersteuert; ","")&amp;IF(AND(BW1339=0,R1339=0),"Gebinde unbekannt / Stellmass fehlt; ","")&amp;IF(AND(BW1339=0,N(V1339)&lt;=0,N(Q1339)&lt;=0),"Menge pro Gebinde fehlt (Ist = 1 Gebinde); ","")&amp;BR1339)</f>
        <v>negativer Bestand (Export -15); </v>
      </c>
      <c r="BK1339" s="48"/>
      <c r="BL1339" s="48"/>
      <c r="BM1339" s="55"/>
      <c r="BN1339" s="50" t="n">
        <v>-15</v>
      </c>
      <c r="BO1339" s="50" t="n">
        <v>24</v>
      </c>
      <c r="BP1339" s="49" t="n">
        <v>-1726.41</v>
      </c>
      <c r="BQ1339" s="50" t="n">
        <v>20</v>
      </c>
      <c r="BR1339" s="48"/>
      <c r="BS1339" s="53" t="n">
        <v>0</v>
      </c>
      <c r="BT1339" s="53" t="n">
        <v>1339</v>
      </c>
      <c r="BU1339" s="48" t="str">
        <f aca="false">IF(U1339&lt;&gt;"",UPPER(TRIM(U1339)),IF(BX1339=1,UPPER(VLOOKUP(T1339,Parameter!$I$27:$K$29,2,0)),IF(P1339="","LOSE",P1339)))</f>
        <v>S41</v>
      </c>
      <c r="BV1339" s="50" t="n">
        <f aca="false">IF(BU1339="LOSE",1,IF(N(V1339)&gt;0,V1339,IF(BX1339=1,MAX(1,N(VLOOKUP(T1339,Parameter!$I$27:$K$29,3,0)),H1339,N(N1339)),IF(N(Q1339)&gt;0,Q1339,MAX(1,H1339)))))</f>
        <v>52</v>
      </c>
      <c r="BW1339" s="53" t="n">
        <f aca="false">IF(BU1339="LOSE",1,0)</f>
        <v>0</v>
      </c>
      <c r="BX1339" s="53" t="n">
        <f aca="false">IF(AND(U1339="",OR(P1339="",P1339="LOSE"),T1339&lt;&gt;"",N(S1339)&lt;=0,ISNUMBER(MATCH(T1339,Parameter!$I$27:$I$29,0))),1,0)</f>
        <v>0</v>
      </c>
      <c r="BY1339" s="53" t="n">
        <f aca="false">IF(CL1339&gt;0,INDEX(Parameter!$H$5:$H$7,W1339)/INDEX(Parameter!$E$5:$E$7,W1339),IF(AND(BW1339=0,N(IFERROR(VLOOKUP(BU1339,'Gebinde-Kategorie'!$A$5:$N$45,14,0),0))&gt;0),VLOOKUP(BU1339,'Gebinde-Kategorie'!$A$5:$N$45,14,0)*10+Parameter!$M$23,Parameter!$M$24))</f>
        <v>155</v>
      </c>
      <c r="BZ1339" s="48" t="str">
        <f aca="false">IF(AND(Parameter!$B$19="Ja",E1339&lt;&gt;"",ISNUMBER(MATCH(E1339,Parameter!$I$35:$I$52,0))),VLOOKUP(E1339,Parameter!$I$35:$J$52,2,0),IFERROR(VLOOKUP(D1339,Parameter!$A$35:$C$64,2,0),"Nein"))</f>
        <v>2+3</v>
      </c>
      <c r="CA1339" s="52" t="n">
        <f aca="false">IF(BW1339=0,0,IF(N(S1339)&gt;0,S1339,IFERROR(VLOOKUP(D1339,Parameter!$A$35:$C$64,3,0)+0,0)))</f>
        <v>0</v>
      </c>
      <c r="CB1339" s="48" t="n">
        <f aca="false">IF(AA1339&lt;&gt;"",AA1339,Z1339)</f>
        <v>3</v>
      </c>
      <c r="CC1339" s="48" t="str">
        <f aca="false">IF(OR(CB1339=1,CB1339=2,CB1339=3),IF(Parameter!$E$27="Ja","LIFT",IF(CB1339=1,"L1","L23")),IF(CB1339="Aussen","Aussen","-"))</f>
        <v>LIFT</v>
      </c>
      <c r="CD1339" s="59" t="n">
        <f aca="false">IF(N(AB1339)&gt;0,AB1339,0)</f>
        <v>0</v>
      </c>
      <c r="CE1339" s="53" t="n">
        <f aca="false">IF(ISNUMBER(AE1339),1,0)</f>
        <v>0</v>
      </c>
      <c r="CF1339" s="50" t="n">
        <f aca="false">N(AE1339)</f>
        <v>0</v>
      </c>
      <c r="CG1339" s="50" t="n">
        <f aca="false">N(M1339)+N(N1339)</f>
        <v>57</v>
      </c>
      <c r="CH1339" s="50" t="n">
        <f aca="false">ROUNDUP(H1339/BV1339,0)</f>
        <v>1</v>
      </c>
      <c r="CI1339" s="50" t="n">
        <f aca="false">ROUNDUP(CF1339/BV1339,0)</f>
        <v>0</v>
      </c>
      <c r="CJ1339" s="53" t="n">
        <f aca="false">IF(BW1339=1,0,IFERROR(VLOOKUP(BU1339,'Gebinde-Kategorie'!$A$5:$N$45,5,0)+0,0))</f>
        <v>11</v>
      </c>
      <c r="CK1339" s="53" t="n">
        <f aca="false">IFERROR(IF(OR(CB1339=1,CB1339=2,CB1339=3),N(INDEX(Parameter!$I$5:$I$7,CB1339)),0),0)</f>
        <v>0</v>
      </c>
      <c r="CL1339" s="52" t="n">
        <f aca="false">IF(AND(Parameter!$B$21="Ja",ISNUMBER(W1339),N(X1339)&gt;0),IFERROR(N(INDEX(Parameter!$L$5:$L$7,W1339))*INDEX(Parameter!$E$5:$E$7,W1339)*X1339/SUMIFS($X$7:$X$1843,$W$7:$W$1843,W1339),0),0)</f>
        <v>0</v>
      </c>
    </row>
    <row r="1340" customFormat="false" ht="15" hidden="false" customHeight="false" outlineLevel="0" collapsed="false">
      <c r="A1340" s="48" t="s">
        <v>2375</v>
      </c>
      <c r="B1340" s="48" t="s">
        <v>2376</v>
      </c>
      <c r="C1340" s="48" t="s">
        <v>168</v>
      </c>
      <c r="D1340" s="48" t="s">
        <v>169</v>
      </c>
      <c r="E1340" s="48" t="s">
        <v>189</v>
      </c>
      <c r="F1340" s="48" t="s">
        <v>222</v>
      </c>
      <c r="G1340" s="49" t="n">
        <v>2313.78</v>
      </c>
      <c r="H1340" s="50" t="n">
        <f aca="false">MAX(0,IF(AND(Parameter!$B$21="Ja",ISNUMBER(Y1340)),Y1340,IF(Parameter!$B$20="Jahresanfang 2025 + Export",BO1340+BN1340,BN1340)))</f>
        <v>7</v>
      </c>
      <c r="I1340" s="50" t="n">
        <f aca="false">H1340*G1340</f>
        <v>16196.46</v>
      </c>
      <c r="J1340" s="50" t="n">
        <f aca="false">BQ1340*Parameter!$B$18</f>
        <v>29</v>
      </c>
      <c r="K1340" s="51" t="n">
        <v>28</v>
      </c>
      <c r="L1340" s="52" t="n">
        <v>1.03571428571429</v>
      </c>
      <c r="M1340" s="50" t="n">
        <v>3</v>
      </c>
      <c r="N1340" s="50" t="n">
        <v>10</v>
      </c>
      <c r="O1340" s="53" t="n">
        <v>21</v>
      </c>
      <c r="P1340" s="48" t="s">
        <v>172</v>
      </c>
      <c r="Q1340" s="50"/>
      <c r="R1340" s="53" t="n">
        <f aca="false">IF(BW1340=1,0,IFERROR(VLOOKUP(BU1340,'Gebinde-Kategorie'!$A$5:$N$45,13,0)+0,0))</f>
        <v>0</v>
      </c>
      <c r="S1340" s="54"/>
      <c r="T1340" s="55"/>
      <c r="U1340" s="55"/>
      <c r="V1340" s="55"/>
      <c r="W1340" s="48" t="n">
        <v>1</v>
      </c>
      <c r="X1340" s="50" t="n">
        <v>15</v>
      </c>
      <c r="Y1340" s="50" t="n">
        <v>7</v>
      </c>
      <c r="Z1340" s="48" t="n">
        <f aca="false">IF(A1340="","",IF(AND(Parameter!$B$21="Ja",ISNUMBER(W1340)),W1340,IF(BZ1340="2+3",IF(ISNUMBER(SEARCH("grosser Artikel",BR1340)),2,IFERROR(VLOOKUP(BU1340,Parameter!$F$35:$G$64,2,0),2)),IF(OR(BZ1340="Nein",BZ1340=""),"-",BZ1340))))</f>
        <v>1</v>
      </c>
      <c r="AA1340" s="55"/>
      <c r="AB1340" s="56"/>
      <c r="AC1340" s="50" t="n">
        <f aca="false">AT1340</f>
        <v>15</v>
      </c>
      <c r="AD1340" s="50" t="n">
        <f aca="false">MAX(AT1340,H1340)</f>
        <v>15</v>
      </c>
      <c r="AE1340" s="57"/>
      <c r="AF1340" s="50" t="n">
        <f aca="false">IF(LEFT(Cockpit!$C$5,1)="A",H1340,IF(CE1340=1,CF1340,IF(LEFT(Cockpit!$C$5,1)="B",AK1340,MAX(AK1340,H1340))))</f>
        <v>7</v>
      </c>
      <c r="AG1340" s="50" t="n">
        <f aca="false">IF(BW1340=1,0,ROUNDUP(AF1340/BV1340,0))</f>
        <v>0</v>
      </c>
      <c r="AH1340" s="52" t="n">
        <f aca="false">IF(CL1340&gt;0,CL1340*MAX(1,AF1340/X1340),IF(BW1340=1,IF(AF1340&lt;=0,0,CA1340*MAX(1,IF(H1340&gt;0,AF1340/H1340,1))),IF(R1340&gt;0,AG1340/R1340,0))/MAX(0.1,N(Parameter!$M$21)))</f>
        <v>1.20056497175141</v>
      </c>
      <c r="AI1340" s="50" t="n">
        <f aca="false">AH1340*BY1340</f>
        <v>285.734463276836</v>
      </c>
      <c r="AJ1340" s="50" t="n">
        <f aca="false">AF1340*G1340</f>
        <v>16196.46</v>
      </c>
      <c r="AK1340" s="50" t="n">
        <f aca="false">ROUNDUP(MAX(J1340/IF(CD1340&gt;0,CD1340,MAX(0.1,N(Cockpit!$C$6))),CG1340)/BV1340,0)*BV1340</f>
        <v>15</v>
      </c>
      <c r="AL1340" s="51" t="n">
        <f aca="false">IF(AI1340&gt;0,J1340/AI1340,-1)</f>
        <v>0.101492832427088</v>
      </c>
      <c r="AM1340" s="51" t="n">
        <f aca="false">IF(AND(OR(CC1340="L1",CC1340="L23",CC1340="LIFT"),AI1340&gt;0),SUMIFS($AI$7:$AI$1843,$CC$7:$CC$1843,CC1340,$AL$7:$AL$1843,"&gt;"&amp;AL1340)+SUMIFS($AI$7:$AI$1843,$CC$7:$CC$1843,CC1340,$AL$7:$AL$1843,AL1340,$BT$7:$BT$1843,"&lt;="&amp;BT1340),"")</f>
        <v>16444.9866905693</v>
      </c>
      <c r="AN1340" s="58" t="n">
        <f aca="false">IF(AM1340="",0,MAX(0,MIN(1,(IF(CC1340="L1",Parameter!$H$5,IF(CC1340="L23",Parameter!$H$6+Parameter!$H$7,Parameter!$H$5+Parameter!$H$6+Parameter!$H$7))-(AM1340-AI1340))/AI1340)))</f>
        <v>1</v>
      </c>
      <c r="AO1340" s="50" t="n">
        <f aca="false">IF(LEFT(Cockpit!$I$5,1)="A",H1340,IF(CE1340=1,CF1340,IF(LEFT(Cockpit!$I$5,1)="B",AT1340,MAX(AT1340,H1340))))</f>
        <v>15</v>
      </c>
      <c r="AP1340" s="50" t="n">
        <f aca="false">IF(BW1340=1,0,ROUNDUP(AO1340/BV1340,0))</f>
        <v>0</v>
      </c>
      <c r="AQ1340" s="52" t="n">
        <f aca="false">IF(CL1340&gt;0,CL1340*MAX(1,AO1340/X1340),IF(BW1340=1,IF(AO1340&lt;=0,0,CA1340*MAX(1,IF(H1340&gt;0,AO1340/H1340,1))),IF(R1340&gt;0,AP1340/R1340,0))/MAX(0.1,N(Parameter!$M$21)))</f>
        <v>1.20056497175141</v>
      </c>
      <c r="AR1340" s="50" t="n">
        <f aca="false">AQ1340*BY1340</f>
        <v>285.734463276836</v>
      </c>
      <c r="AS1340" s="50" t="n">
        <f aca="false">AO1340*G1340</f>
        <v>34706.7</v>
      </c>
      <c r="AT1340" s="50" t="n">
        <f aca="false">ROUNDUP(MAX(J1340/IF(CD1340&gt;0,CD1340,MAX(0.1,N(Cockpit!$I$6))),CG1340)/BV1340,0)*BV1340</f>
        <v>15</v>
      </c>
      <c r="AU1340" s="51" t="n">
        <f aca="false">IF(AR1340&gt;0,J1340/AR1340,-1)</f>
        <v>0.101492832427088</v>
      </c>
      <c r="AV1340" s="51" t="n">
        <f aca="false">IF(AND(OR(CC1340="L1",CC1340="L23",CC1340="LIFT"),AR1340&gt;0),SUMIFS($AR$7:$AR$1843,$CC$7:$CC$1843,CC1340,$AU$7:$AU$1843,"&gt;"&amp;AU1340)+SUMIFS($AR$7:$AR$1843,$CC$7:$CC$1843,CC1340,$AU$7:$AU$1843,AU1340,$BT$7:$BT$1843,"&lt;="&amp;BT1340),"")</f>
        <v>24261.2867464456</v>
      </c>
      <c r="AW1340" s="58" t="n">
        <f aca="false">IF(AV1340="",0,MAX(0,MIN(1,(IF(CC1340="L1",Parameter!$H$5,IF(CC1340="L23",Parameter!$H$6+Parameter!$H$7,Parameter!$H$5+Parameter!$H$6+Parameter!$H$7))-(AV1340-AR1340))/AR1340)))</f>
        <v>1</v>
      </c>
      <c r="AX1340" s="50" t="n">
        <f aca="false">IF(LEFT(Cockpit!$O$5,1)="A",H1340,IF(CE1340=1,CF1340,IF(LEFT(Cockpit!$O$5,1)="B",BC1340,MAX(BC1340,H1340))))</f>
        <v>13</v>
      </c>
      <c r="AY1340" s="50" t="n">
        <f aca="false">IF(BW1340=1,0,ROUNDUP(AX1340/BV1340,0))</f>
        <v>0</v>
      </c>
      <c r="AZ1340" s="52" t="n">
        <f aca="false">IF(CL1340&gt;0,CL1340*MAX(1,AX1340/X1340),IF(BW1340=1,IF(AX1340&lt;=0,0,CA1340*MAX(1,IF(H1340&gt;0,AX1340/H1340,1))),IF(R1340&gt;0,AY1340/R1340,0))/MAX(0.1,N(Parameter!$M$21)))</f>
        <v>1.20056497175141</v>
      </c>
      <c r="BA1340" s="50" t="n">
        <f aca="false">AZ1340*BY1340</f>
        <v>285.734463276836</v>
      </c>
      <c r="BB1340" s="50" t="n">
        <f aca="false">AX1340*G1340</f>
        <v>30079.14</v>
      </c>
      <c r="BC1340" s="50" t="n">
        <f aca="false">ROUNDUP(MAX(J1340/IF(CD1340&gt;0,CD1340,MAX(0.1,N(Cockpit!$O$6))),CG1340)/BV1340,0)*BV1340</f>
        <v>13</v>
      </c>
      <c r="BD1340" s="51" t="n">
        <f aca="false">IF(BA1340&gt;0,J1340/BA1340,-1)</f>
        <v>0.101492832427088</v>
      </c>
      <c r="BE1340" s="51" t="n">
        <f aca="false">IF(AND(OR(CC1340="L1",CC1340="L23",CC1340="LIFT"),BA1340&gt;0),SUMIFS($BA$7:$BA$1843,$CC$7:$CC$1843,CC1340,$BD$7:$BD$1843,"&gt;"&amp;BD1340)+SUMIFS($BA$7:$BA$1843,$CC$7:$CC$1843,CC1340,$BD$7:$BD$1843,BD1340,$BT$7:$BT$1843,"&lt;="&amp;BT1340),"")</f>
        <v>22825.7291084622</v>
      </c>
      <c r="BF1340" s="58" t="n">
        <f aca="false">IF(BE1340="",0,MAX(0,MIN(1,(IF(CC1340="L1",Parameter!$H$5,IF(CC1340="L23",Parameter!$H$6+Parameter!$H$7,Parameter!$H$5+Parameter!$H$6+Parameter!$H$7))-(BE1340-BA1340))/BA1340)))</f>
        <v>1</v>
      </c>
      <c r="BG1340" s="48" t="str">
        <f aca="false">IF(AI1340&lt;=0,"",IF(CC1340="Aussen","Aussenlager",IF(CC1340="-","Nicht im Lift",IF(AN1340&gt;=1,"Lift",IF(AN1340&lt;=0,"Aussenlager","teilweise")))))</f>
        <v>Lift</v>
      </c>
      <c r="BH1340" s="48" t="str">
        <f aca="false">IF(AR1340&lt;=0,"",IF(CC1340="Aussen","Aussenlager",IF(CC1340="-","Nicht im Lift",IF(AW1340&gt;=1,"Lift",IF(AW1340&lt;=0,"Aussenlager","teilweise")))))</f>
        <v>Lift</v>
      </c>
      <c r="BI1340" s="48" t="str">
        <f aca="false">IF(BA1340&lt;=0,"",IF(CC1340="Aussen","Aussenlager",IF(CC1340="-","Nicht im Lift",IF(BF1340&gt;=1,"Lift",IF(BF1340&lt;=0,"Aussenlager","teilweise")))))</f>
        <v>Lift</v>
      </c>
      <c r="BJ1340" s="48" t="str">
        <f aca="false">IF(A1340="","",IF(BS1340=1,"Neu; ","")&amp;IF(AND(BS1340=0,BN1340&lt;0),"negativer Bestand (Export "&amp;BN1340&amp;"); ","")&amp;IF(J1340&lt;=0,"Kein Verbrauch; ","")&amp;IF(CL1340&gt;0,"Lift "&amp;W1340&amp;" lt. Liftbericht (Fach "&amp;X1340&amp;" Stk); ",IF(BX1340=1,"Gebinde geschätzt ("&amp;T1340&amp;"); ",IF(BW1340=1,"Lose – Tablare geschätzt; ","")))&amp;IF(H1340&gt;AT1340,"Überbestand "&amp;ROUND(H1340-AT1340,0)&amp;" Stk / CHF "&amp;ROUND((H1340-AT1340)*G1340,0)&amp;"; ","")&amp;IF(AND(CE1340=1,CF1340&lt;CG1340),"MAX &lt; MB+LG; ","")&amp;IF(AND(CK1340&gt;0,CJ1340*10&gt;CK1340),"zu hoch für Tablar; ","")&amp;IF(AND(BS1340=0,OR(CE1340=1,AA1340&lt;&gt;"",U1340&lt;&gt;"",V1340&lt;&gt;"",AB1340&lt;&gt;"")),"manuell übersteuert; ","")&amp;IF(AND(BW1340=0,R1340=0),"Gebinde unbekannt / Stellmass fehlt; ","")&amp;IF(AND(BW1340=0,N(V1340)&lt;=0,N(Q1340)&lt;=0),"Menge pro Gebinde fehlt (Ist = 1 Gebinde); ","")&amp;BR1340)</f>
        <v>Lift 1 lt. Liftbericht (Fach 15 Stk); grosser Artikel &amp; nicht im KTL</v>
      </c>
      <c r="BK1340" s="48"/>
      <c r="BL1340" s="48"/>
      <c r="BM1340" s="55"/>
      <c r="BN1340" s="50" t="n">
        <v>0</v>
      </c>
      <c r="BO1340" s="50" t="n">
        <v>31</v>
      </c>
      <c r="BP1340" s="49" t="n">
        <v>-1735.11000000002</v>
      </c>
      <c r="BQ1340" s="50" t="n">
        <v>29</v>
      </c>
      <c r="BR1340" s="48" t="s">
        <v>265</v>
      </c>
      <c r="BS1340" s="53" t="n">
        <v>0</v>
      </c>
      <c r="BT1340" s="53" t="n">
        <v>1340</v>
      </c>
      <c r="BU1340" s="48" t="str">
        <f aca="false">IF(U1340&lt;&gt;"",UPPER(TRIM(U1340)),IF(BX1340=1,UPPER(VLOOKUP(T1340,Parameter!$I$27:$K$29,2,0)),IF(P1340="","LOSE",P1340)))</f>
        <v>LOSE</v>
      </c>
      <c r="BV1340" s="50" t="n">
        <f aca="false">IF(BU1340="LOSE",1,IF(N(V1340)&gt;0,V1340,IF(BX1340=1,MAX(1,N(VLOOKUP(T1340,Parameter!$I$27:$K$29,3,0)),H1340,N(N1340)),IF(N(Q1340)&gt;0,Q1340,MAX(1,H1340)))))</f>
        <v>1</v>
      </c>
      <c r="BW1340" s="53" t="n">
        <f aca="false">IF(BU1340="LOSE",1,0)</f>
        <v>1</v>
      </c>
      <c r="BX1340" s="53" t="n">
        <f aca="false">IF(AND(U1340="",OR(P1340="",P1340="LOSE"),T1340&lt;&gt;"",N(S1340)&lt;=0,ISNUMBER(MATCH(T1340,Parameter!$I$27:$I$29,0))),1,0)</f>
        <v>0</v>
      </c>
      <c r="BY1340" s="53" t="n">
        <f aca="false">IF(CL1340&gt;0,INDEX(Parameter!$H$5:$H$7,W1340)/INDEX(Parameter!$E$5:$E$7,W1340),IF(AND(BW1340=0,N(IFERROR(VLOOKUP(BU1340,'Gebinde-Kategorie'!$A$5:$N$45,14,0),0))&gt;0),VLOOKUP(BU1340,'Gebinde-Kategorie'!$A$5:$N$45,14,0)*10+Parameter!$M$23,Parameter!$M$24))</f>
        <v>238</v>
      </c>
      <c r="BZ1340" s="48" t="str">
        <f aca="false">IF(AND(Parameter!$B$19="Ja",E1340&lt;&gt;"",ISNUMBER(MATCH(E1340,Parameter!$I$35:$I$52,0))),VLOOKUP(E1340,Parameter!$I$35:$J$52,2,0),IFERROR(VLOOKUP(D1340,Parameter!$A$35:$C$64,2,0),"Nein"))</f>
        <v>2+3</v>
      </c>
      <c r="CA1340" s="52" t="n">
        <f aca="false">IF(BW1340=0,0,IF(N(S1340)&gt;0,S1340,IFERROR(VLOOKUP(D1340,Parameter!$A$35:$C$64,3,0)+0,0)))</f>
        <v>1</v>
      </c>
      <c r="CB1340" s="48" t="n">
        <f aca="false">IF(AA1340&lt;&gt;"",AA1340,Z1340)</f>
        <v>1</v>
      </c>
      <c r="CC1340" s="48" t="str">
        <f aca="false">IF(OR(CB1340=1,CB1340=2,CB1340=3),IF(Parameter!$E$27="Ja","LIFT",IF(CB1340=1,"L1","L23")),IF(CB1340="Aussen","Aussen","-"))</f>
        <v>LIFT</v>
      </c>
      <c r="CD1340" s="59" t="n">
        <f aca="false">IF(N(AB1340)&gt;0,AB1340,0)</f>
        <v>0</v>
      </c>
      <c r="CE1340" s="53" t="n">
        <f aca="false">IF(ISNUMBER(AE1340),1,0)</f>
        <v>0</v>
      </c>
      <c r="CF1340" s="50" t="n">
        <f aca="false">N(AE1340)</f>
        <v>0</v>
      </c>
      <c r="CG1340" s="50" t="n">
        <f aca="false">N(M1340)+N(N1340)</f>
        <v>13</v>
      </c>
      <c r="CH1340" s="50" t="n">
        <f aca="false">ROUNDUP(H1340/BV1340,0)</f>
        <v>7</v>
      </c>
      <c r="CI1340" s="50" t="n">
        <f aca="false">ROUNDUP(CF1340/BV1340,0)</f>
        <v>0</v>
      </c>
      <c r="CJ1340" s="53" t="n">
        <f aca="false">IF(BW1340=1,0,IFERROR(VLOOKUP(BU1340,'Gebinde-Kategorie'!$A$5:$N$45,5,0)+0,0))</f>
        <v>0</v>
      </c>
      <c r="CK1340" s="53" t="n">
        <f aca="false">IFERROR(IF(OR(CB1340=1,CB1340=2,CB1340=3),N(INDEX(Parameter!$I$5:$I$7,CB1340)),0),0)</f>
        <v>0</v>
      </c>
      <c r="CL1340" s="52" t="n">
        <f aca="false">IF(AND(Parameter!$B$21="Ja",ISNUMBER(W1340),N(X1340)&gt;0),IFERROR(N(INDEX(Parameter!$L$5:$L$7,W1340))*INDEX(Parameter!$E$5:$E$7,W1340)*X1340/SUMIFS($X$7:$X$1843,$W$7:$W$1843,W1340),0),0)</f>
        <v>1.20056497175141</v>
      </c>
    </row>
    <row r="1341" customFormat="false" ht="15" hidden="false" customHeight="false" outlineLevel="0" collapsed="false">
      <c r="A1341" s="48" t="s">
        <v>2377</v>
      </c>
      <c r="B1341" s="48" t="s">
        <v>493</v>
      </c>
      <c r="C1341" s="48" t="s">
        <v>168</v>
      </c>
      <c r="D1341" s="48" t="s">
        <v>188</v>
      </c>
      <c r="E1341" s="48" t="s">
        <v>189</v>
      </c>
      <c r="F1341" s="48" t="s">
        <v>222</v>
      </c>
      <c r="G1341" s="49" t="n">
        <v>12.6</v>
      </c>
      <c r="H1341" s="50" t="n">
        <f aca="false">MAX(0,IF(AND(Parameter!$B$21="Ja",ISNUMBER(Y1341)),Y1341,IF(Parameter!$B$20="Jahresanfang 2025 + Export",BO1341+BN1341,BN1341)))</f>
        <v>35</v>
      </c>
      <c r="I1341" s="50" t="n">
        <f aca="false">H1341*G1341</f>
        <v>441</v>
      </c>
      <c r="J1341" s="50" t="n">
        <f aca="false">BQ1341*Parameter!$B$18</f>
        <v>501</v>
      </c>
      <c r="K1341" s="51" t="n">
        <v>182</v>
      </c>
      <c r="L1341" s="52" t="n">
        <v>2.75274725274725</v>
      </c>
      <c r="M1341" s="50" t="n">
        <v>10</v>
      </c>
      <c r="N1341" s="50" t="n">
        <v>200</v>
      </c>
      <c r="O1341" s="53" t="n">
        <v>7</v>
      </c>
      <c r="P1341" s="48" t="s">
        <v>237</v>
      </c>
      <c r="Q1341" s="50" t="n">
        <v>179</v>
      </c>
      <c r="R1341" s="53" t="n">
        <f aca="false">IF(BW1341=1,0,IFERROR(VLOOKUP(BU1341,'Gebinde-Kategorie'!$A$5:$N$45,13,0)+0,0))</f>
        <v>26</v>
      </c>
      <c r="S1341" s="54"/>
      <c r="T1341" s="55"/>
      <c r="U1341" s="55"/>
      <c r="V1341" s="55"/>
      <c r="W1341" s="48"/>
      <c r="X1341" s="50"/>
      <c r="Y1341" s="50"/>
      <c r="Z1341" s="48" t="n">
        <f aca="false">IF(A1341="","",IF(AND(Parameter!$B$21="Ja",ISNUMBER(W1341)),W1341,IF(BZ1341="2+3",IF(ISNUMBER(SEARCH("grosser Artikel",BR1341)),2,IFERROR(VLOOKUP(BU1341,Parameter!$F$35:$G$64,2,0),2)),IF(OR(BZ1341="Nein",BZ1341=""),"-",BZ1341))))</f>
        <v>3</v>
      </c>
      <c r="AA1341" s="55"/>
      <c r="AB1341" s="56"/>
      <c r="AC1341" s="50" t="n">
        <f aca="false">AT1341</f>
        <v>358</v>
      </c>
      <c r="AD1341" s="50" t="n">
        <f aca="false">MAX(AT1341,H1341)</f>
        <v>358</v>
      </c>
      <c r="AE1341" s="57"/>
      <c r="AF1341" s="50" t="n">
        <f aca="false">IF(LEFT(Cockpit!$C$5,1)="A",H1341,IF(CE1341=1,CF1341,IF(LEFT(Cockpit!$C$5,1)="B",AK1341,MAX(AK1341,H1341))))</f>
        <v>35</v>
      </c>
      <c r="AG1341" s="50" t="n">
        <f aca="false">IF(BW1341=1,0,ROUNDUP(AF1341/BV1341,0))</f>
        <v>1</v>
      </c>
      <c r="AH1341" s="52" t="n">
        <f aca="false">IF(CL1341&gt;0,CL1341*MAX(1,AF1341/X1341),IF(BW1341=1,IF(AF1341&lt;=0,0,CA1341*MAX(1,IF(H1341&gt;0,AF1341/H1341,1))),IF(R1341&gt;0,AG1341/R1341,0))/MAX(0.1,N(Parameter!$M$21)))</f>
        <v>0.0384615384615385</v>
      </c>
      <c r="AI1341" s="50" t="n">
        <f aca="false">AH1341*BY1341</f>
        <v>9.42307692307692</v>
      </c>
      <c r="AJ1341" s="50" t="n">
        <f aca="false">AF1341*G1341</f>
        <v>441</v>
      </c>
      <c r="AK1341" s="50" t="n">
        <f aca="false">ROUNDUP(MAX(J1341/IF(CD1341&gt;0,CD1341,MAX(0.1,N(Cockpit!$C$6))),CG1341)/BV1341,0)*BV1341</f>
        <v>358</v>
      </c>
      <c r="AL1341" s="51" t="n">
        <f aca="false">IF(AI1341&gt;0,J1341/AI1341,-1)</f>
        <v>53.1673469387755</v>
      </c>
      <c r="AM1341" s="51" t="n">
        <f aca="false">IF(AND(OR(CC1341="L1",CC1341="L23",CC1341="LIFT"),AI1341&gt;0),SUMIFS($AI$7:$AI$1843,$CC$7:$CC$1843,CC1341,$AL$7:$AL$1843,"&gt;"&amp;AL1341)+SUMIFS($AI$7:$AI$1843,$CC$7:$CC$1843,CC1341,$AL$7:$AL$1843,AL1341,$BT$7:$BT$1843,"&lt;="&amp;BT1341),"")</f>
        <v>1011.97115384615</v>
      </c>
      <c r="AN1341" s="58" t="n">
        <f aca="false">IF(AM1341="",0,MAX(0,MIN(1,(IF(CC1341="L1",Parameter!$H$5,IF(CC1341="L23",Parameter!$H$6+Parameter!$H$7,Parameter!$H$5+Parameter!$H$6+Parameter!$H$7))-(AM1341-AI1341))/AI1341)))</f>
        <v>1</v>
      </c>
      <c r="AO1341" s="50" t="n">
        <f aca="false">IF(LEFT(Cockpit!$I$5,1)="A",H1341,IF(CE1341=1,CF1341,IF(LEFT(Cockpit!$I$5,1)="B",AT1341,MAX(AT1341,H1341))))</f>
        <v>358</v>
      </c>
      <c r="AP1341" s="50" t="n">
        <f aca="false">IF(BW1341=1,0,ROUNDUP(AO1341/BV1341,0))</f>
        <v>2</v>
      </c>
      <c r="AQ1341" s="52" t="n">
        <f aca="false">IF(CL1341&gt;0,CL1341*MAX(1,AO1341/X1341),IF(BW1341=1,IF(AO1341&lt;=0,0,CA1341*MAX(1,IF(H1341&gt;0,AO1341/H1341,1))),IF(R1341&gt;0,AP1341/R1341,0))/MAX(0.1,N(Parameter!$M$21)))</f>
        <v>0.0769230769230769</v>
      </c>
      <c r="AR1341" s="50" t="n">
        <f aca="false">AQ1341*BY1341</f>
        <v>18.8461538461538</v>
      </c>
      <c r="AS1341" s="50" t="n">
        <f aca="false">AO1341*G1341</f>
        <v>4510.8</v>
      </c>
      <c r="AT1341" s="50" t="n">
        <f aca="false">ROUNDUP(MAX(J1341/IF(CD1341&gt;0,CD1341,MAX(0.1,N(Cockpit!$I$6))),CG1341)/BV1341,0)*BV1341</f>
        <v>358</v>
      </c>
      <c r="AU1341" s="51" t="n">
        <f aca="false">IF(AR1341&gt;0,J1341/AR1341,-1)</f>
        <v>26.5836734693878</v>
      </c>
      <c r="AV1341" s="51" t="n">
        <f aca="false">IF(AND(OR(CC1341="L1",CC1341="L23",CC1341="LIFT"),AR1341&gt;0),SUMIFS($AR$7:$AR$1843,$CC$7:$CC$1843,CC1341,$AU$7:$AU$1843,"&gt;"&amp;AU1341)+SUMIFS($AR$7:$AR$1843,$CC$7:$CC$1843,CC1341,$AU$7:$AU$1843,AU1341,$BT$7:$BT$1843,"&lt;="&amp;BT1341),"")</f>
        <v>2039.72893772894</v>
      </c>
      <c r="AW1341" s="58" t="n">
        <f aca="false">IF(AV1341="",0,MAX(0,MIN(1,(IF(CC1341="L1",Parameter!$H$5,IF(CC1341="L23",Parameter!$H$6+Parameter!$H$7,Parameter!$H$5+Parameter!$H$6+Parameter!$H$7))-(AV1341-AR1341))/AR1341)))</f>
        <v>1</v>
      </c>
      <c r="AX1341" s="50" t="n">
        <f aca="false">IF(LEFT(Cockpit!$O$5,1)="A",H1341,IF(CE1341=1,CF1341,IF(LEFT(Cockpit!$O$5,1)="B",BC1341,MAX(BC1341,H1341))))</f>
        <v>358</v>
      </c>
      <c r="AY1341" s="50" t="n">
        <f aca="false">IF(BW1341=1,0,ROUNDUP(AX1341/BV1341,0))</f>
        <v>2</v>
      </c>
      <c r="AZ1341" s="52" t="n">
        <f aca="false">IF(CL1341&gt;0,CL1341*MAX(1,AX1341/X1341),IF(BW1341=1,IF(AX1341&lt;=0,0,CA1341*MAX(1,IF(H1341&gt;0,AX1341/H1341,1))),IF(R1341&gt;0,AY1341/R1341,0))/MAX(0.1,N(Parameter!$M$21)))</f>
        <v>0.0769230769230769</v>
      </c>
      <c r="BA1341" s="50" t="n">
        <f aca="false">AZ1341*BY1341</f>
        <v>18.8461538461538</v>
      </c>
      <c r="BB1341" s="50" t="n">
        <f aca="false">AX1341*G1341</f>
        <v>4510.8</v>
      </c>
      <c r="BC1341" s="50" t="n">
        <f aca="false">ROUNDUP(MAX(J1341/IF(CD1341&gt;0,CD1341,MAX(0.1,N(Cockpit!$O$6))),CG1341)/BV1341,0)*BV1341</f>
        <v>358</v>
      </c>
      <c r="BD1341" s="51" t="n">
        <f aca="false">IF(BA1341&gt;0,J1341/BA1341,-1)</f>
        <v>26.5836734693878</v>
      </c>
      <c r="BE1341" s="51" t="n">
        <f aca="false">IF(AND(OR(CC1341="L1",CC1341="L23",CC1341="LIFT"),BA1341&gt;0),SUMIFS($BA$7:$BA$1843,$CC$7:$CC$1843,CC1341,$BD$7:$BD$1843,"&gt;"&amp;BD1341)+SUMIFS($BA$7:$BA$1843,$CC$7:$CC$1843,CC1341,$BD$7:$BD$1843,BD1341,$BT$7:$BT$1843,"&lt;="&amp;BT1341),"")</f>
        <v>2125.32188644689</v>
      </c>
      <c r="BF1341" s="58" t="n">
        <f aca="false">IF(BE1341="",0,MAX(0,MIN(1,(IF(CC1341="L1",Parameter!$H$5,IF(CC1341="L23",Parameter!$H$6+Parameter!$H$7,Parameter!$H$5+Parameter!$H$6+Parameter!$H$7))-(BE1341-BA1341))/BA1341)))</f>
        <v>1</v>
      </c>
      <c r="BG1341" s="48" t="str">
        <f aca="false">IF(AI1341&lt;=0,"",IF(CC1341="Aussen","Aussenlager",IF(CC1341="-","Nicht im Lift",IF(AN1341&gt;=1,"Lift",IF(AN1341&lt;=0,"Aussenlager","teilweise")))))</f>
        <v>Lift</v>
      </c>
      <c r="BH1341" s="48" t="str">
        <f aca="false">IF(AR1341&lt;=0,"",IF(CC1341="Aussen","Aussenlager",IF(CC1341="-","Nicht im Lift",IF(AW1341&gt;=1,"Lift",IF(AW1341&lt;=0,"Aussenlager","teilweise")))))</f>
        <v>Lift</v>
      </c>
      <c r="BI1341" s="48" t="str">
        <f aca="false">IF(BA1341&lt;=0,"",IF(CC1341="Aussen","Aussenlager",IF(CC1341="-","Nicht im Lift",IF(BF1341&gt;=1,"Lift",IF(BF1341&lt;=0,"Aussenlager","teilweise")))))</f>
        <v>Lift</v>
      </c>
      <c r="BJ1341" s="48" t="str">
        <f aca="false">IF(A1341="","",IF(BS1341=1,"Neu; ","")&amp;IF(AND(BS1341=0,BN1341&lt;0),"negativer Bestand (Export "&amp;BN1341&amp;"); ","")&amp;IF(J1341&lt;=0,"Kein Verbrauch; ","")&amp;IF(CL1341&gt;0,"Lift "&amp;W1341&amp;" lt. Liftbericht (Fach "&amp;X1341&amp;" Stk); ",IF(BX1341=1,"Gebinde geschätzt ("&amp;T1341&amp;"); ",IF(BW1341=1,"Lose – Tablare geschätzt; ","")))&amp;IF(H1341&gt;AT1341,"Überbestand "&amp;ROUND(H1341-AT1341,0)&amp;" Stk / CHF "&amp;ROUND((H1341-AT1341)*G1341,0)&amp;"; ","")&amp;IF(AND(CE1341=1,CF1341&lt;CG1341),"MAX &lt; MB+LG; ","")&amp;IF(AND(CK1341&gt;0,CJ1341*10&gt;CK1341),"zu hoch für Tablar; ","")&amp;IF(AND(BS1341=0,OR(CE1341=1,AA1341&lt;&gt;"",U1341&lt;&gt;"",V1341&lt;&gt;"",AB1341&lt;&gt;"")),"manuell übersteuert; ","")&amp;IF(AND(BW1341=0,R1341=0),"Gebinde unbekannt / Stellmass fehlt; ","")&amp;IF(AND(BW1341=0,N(V1341)&lt;=0,N(Q1341)&lt;=0),"Menge pro Gebinde fehlt (Ist = 1 Gebinde); ","")&amp;BR1341)</f>
        <v>negativer Bestand (Export -136); </v>
      </c>
      <c r="BK1341" s="48"/>
      <c r="BL1341" s="48"/>
      <c r="BM1341" s="55"/>
      <c r="BN1341" s="50" t="n">
        <v>-136</v>
      </c>
      <c r="BO1341" s="50" t="n">
        <v>171</v>
      </c>
      <c r="BP1341" s="49" t="n">
        <v>-1772.05</v>
      </c>
      <c r="BQ1341" s="50" t="n">
        <v>501</v>
      </c>
      <c r="BR1341" s="48"/>
      <c r="BS1341" s="53" t="n">
        <v>0</v>
      </c>
      <c r="BT1341" s="53" t="n">
        <v>1341</v>
      </c>
      <c r="BU1341" s="48" t="str">
        <f aca="false">IF(U1341&lt;&gt;"",UPPER(TRIM(U1341)),IF(BX1341=1,UPPER(VLOOKUP(T1341,Parameter!$I$27:$K$29,2,0)),IF(P1341="","LOSE",P1341)))</f>
        <v>S52</v>
      </c>
      <c r="BV1341" s="50" t="n">
        <f aca="false">IF(BU1341="LOSE",1,IF(N(V1341)&gt;0,V1341,IF(BX1341=1,MAX(1,N(VLOOKUP(T1341,Parameter!$I$27:$K$29,3,0)),H1341,N(N1341)),IF(N(Q1341)&gt;0,Q1341,MAX(1,H1341)))))</f>
        <v>179</v>
      </c>
      <c r="BW1341" s="53" t="n">
        <f aca="false">IF(BU1341="LOSE",1,0)</f>
        <v>0</v>
      </c>
      <c r="BX1341" s="53" t="n">
        <f aca="false">IF(AND(U1341="",OR(P1341="",P1341="LOSE"),T1341&lt;&gt;"",N(S1341)&lt;=0,ISNUMBER(MATCH(T1341,Parameter!$I$27:$I$29,0))),1,0)</f>
        <v>0</v>
      </c>
      <c r="BY1341" s="53" t="n">
        <f aca="false">IF(CL1341&gt;0,INDEX(Parameter!$H$5:$H$7,W1341)/INDEX(Parameter!$E$5:$E$7,W1341),IF(AND(BW1341=0,N(IFERROR(VLOOKUP(BU1341,'Gebinde-Kategorie'!$A$5:$N$45,14,0),0))&gt;0),VLOOKUP(BU1341,'Gebinde-Kategorie'!$A$5:$N$45,14,0)*10+Parameter!$M$23,Parameter!$M$24))</f>
        <v>245</v>
      </c>
      <c r="BZ1341" s="48" t="str">
        <f aca="false">IF(AND(Parameter!$B$19="Ja",E1341&lt;&gt;"",ISNUMBER(MATCH(E1341,Parameter!$I$35:$I$52,0))),VLOOKUP(E1341,Parameter!$I$35:$J$52,2,0),IFERROR(VLOOKUP(D1341,Parameter!$A$35:$C$64,2,0),"Nein"))</f>
        <v>2+3</v>
      </c>
      <c r="CA1341" s="52" t="n">
        <f aca="false">IF(BW1341=0,0,IF(N(S1341)&gt;0,S1341,IFERROR(VLOOKUP(D1341,Parameter!$A$35:$C$64,3,0)+0,0)))</f>
        <v>0</v>
      </c>
      <c r="CB1341" s="48" t="n">
        <f aca="false">IF(AA1341&lt;&gt;"",AA1341,Z1341)</f>
        <v>3</v>
      </c>
      <c r="CC1341" s="48" t="str">
        <f aca="false">IF(OR(CB1341=1,CB1341=2,CB1341=3),IF(Parameter!$E$27="Ja","LIFT",IF(CB1341=1,"L1","L23")),IF(CB1341="Aussen","Aussen","-"))</f>
        <v>LIFT</v>
      </c>
      <c r="CD1341" s="59" t="n">
        <f aca="false">IF(N(AB1341)&gt;0,AB1341,0)</f>
        <v>0</v>
      </c>
      <c r="CE1341" s="53" t="n">
        <f aca="false">IF(ISNUMBER(AE1341),1,0)</f>
        <v>0</v>
      </c>
      <c r="CF1341" s="50" t="n">
        <f aca="false">N(AE1341)</f>
        <v>0</v>
      </c>
      <c r="CG1341" s="50" t="n">
        <f aca="false">N(M1341)+N(N1341)</f>
        <v>210</v>
      </c>
      <c r="CH1341" s="50" t="n">
        <f aca="false">ROUNDUP(H1341/BV1341,0)</f>
        <v>1</v>
      </c>
      <c r="CI1341" s="50" t="n">
        <f aca="false">ROUNDUP(CF1341/BV1341,0)</f>
        <v>0</v>
      </c>
      <c r="CJ1341" s="53" t="n">
        <f aca="false">IF(BW1341=1,0,IFERROR(VLOOKUP(BU1341,'Gebinde-Kategorie'!$A$5:$N$45,5,0)+0,0))</f>
        <v>21</v>
      </c>
      <c r="CK1341" s="53" t="n">
        <f aca="false">IFERROR(IF(OR(CB1341=1,CB1341=2,CB1341=3),N(INDEX(Parameter!$I$5:$I$7,CB1341)),0),0)</f>
        <v>0</v>
      </c>
      <c r="CL1341" s="52" t="n">
        <f aca="false">IF(AND(Parameter!$B$21="Ja",ISNUMBER(W1341),N(X1341)&gt;0),IFERROR(N(INDEX(Parameter!$L$5:$L$7,W1341))*INDEX(Parameter!$E$5:$E$7,W1341)*X1341/SUMIFS($X$7:$X$1843,$W$7:$W$1843,W1341),0),0)</f>
        <v>0</v>
      </c>
    </row>
    <row r="1342" customFormat="false" ht="15" hidden="false" customHeight="false" outlineLevel="0" collapsed="false">
      <c r="A1342" s="48" t="s">
        <v>2378</v>
      </c>
      <c r="B1342" s="48" t="s">
        <v>2379</v>
      </c>
      <c r="C1342" s="48" t="s">
        <v>168</v>
      </c>
      <c r="D1342" s="48" t="s">
        <v>188</v>
      </c>
      <c r="E1342" s="48"/>
      <c r="F1342" s="48" t="s">
        <v>222</v>
      </c>
      <c r="G1342" s="49" t="n">
        <v>27.71</v>
      </c>
      <c r="H1342" s="50" t="n">
        <f aca="false">MAX(0,IF(AND(Parameter!$B$21="Ja",ISNUMBER(Y1342)),Y1342,IF(Parameter!$B$20="Jahresanfang 2025 + Export",BO1342+BN1342,BN1342)))</f>
        <v>11</v>
      </c>
      <c r="I1342" s="50" t="n">
        <f aca="false">H1342*G1342</f>
        <v>304.81</v>
      </c>
      <c r="J1342" s="50" t="n">
        <f aca="false">BQ1342*Parameter!$B$18</f>
        <v>1</v>
      </c>
      <c r="K1342" s="51" t="n">
        <v>63.5</v>
      </c>
      <c r="L1342" s="52" t="n">
        <v>0.015748031496063</v>
      </c>
      <c r="M1342" s="50" t="n">
        <v>0</v>
      </c>
      <c r="N1342" s="50" t="n">
        <v>1</v>
      </c>
      <c r="O1342" s="53" t="n">
        <v>49</v>
      </c>
      <c r="P1342" s="48" t="s">
        <v>306</v>
      </c>
      <c r="Q1342" s="50" t="n">
        <v>35</v>
      </c>
      <c r="R1342" s="53" t="n">
        <f aca="false">IF(BW1342=1,0,IFERROR(VLOOKUP(BU1342,'Gebinde-Kategorie'!$A$5:$N$45,13,0)+0,0))</f>
        <v>26</v>
      </c>
      <c r="S1342" s="54"/>
      <c r="T1342" s="55"/>
      <c r="U1342" s="55"/>
      <c r="V1342" s="55"/>
      <c r="W1342" s="48"/>
      <c r="X1342" s="50"/>
      <c r="Y1342" s="50"/>
      <c r="Z1342" s="48" t="n">
        <f aca="false">IF(A1342="","",IF(AND(Parameter!$B$21="Ja",ISNUMBER(W1342)),W1342,IF(BZ1342="2+3",IF(ISNUMBER(SEARCH("grosser Artikel",BR1342)),2,IFERROR(VLOOKUP(BU1342,Parameter!$F$35:$G$64,2,0),2)),IF(OR(BZ1342="Nein",BZ1342=""),"-",BZ1342))))</f>
        <v>3</v>
      </c>
      <c r="AA1342" s="55"/>
      <c r="AB1342" s="56"/>
      <c r="AC1342" s="50" t="n">
        <f aca="false">AT1342</f>
        <v>35</v>
      </c>
      <c r="AD1342" s="50" t="n">
        <f aca="false">MAX(AT1342,H1342)</f>
        <v>35</v>
      </c>
      <c r="AE1342" s="57"/>
      <c r="AF1342" s="50" t="n">
        <f aca="false">IF(LEFT(Cockpit!$C$5,1)="A",H1342,IF(CE1342=1,CF1342,IF(LEFT(Cockpit!$C$5,1)="B",AK1342,MAX(AK1342,H1342))))</f>
        <v>11</v>
      </c>
      <c r="AG1342" s="50" t="n">
        <f aca="false">IF(BW1342=1,0,ROUNDUP(AF1342/BV1342,0))</f>
        <v>1</v>
      </c>
      <c r="AH1342" s="52" t="n">
        <f aca="false">IF(CL1342&gt;0,CL1342*MAX(1,AF1342/X1342),IF(BW1342=1,IF(AF1342&lt;=0,0,CA1342*MAX(1,IF(H1342&gt;0,AF1342/H1342,1))),IF(R1342&gt;0,AG1342/R1342,0))/MAX(0.1,N(Parameter!$M$21)))</f>
        <v>0.0384615384615385</v>
      </c>
      <c r="AI1342" s="50" t="n">
        <f aca="false">AH1342*BY1342</f>
        <v>5.96153846153846</v>
      </c>
      <c r="AJ1342" s="50" t="n">
        <f aca="false">AF1342*G1342</f>
        <v>304.81</v>
      </c>
      <c r="AK1342" s="50" t="n">
        <f aca="false">ROUNDUP(MAX(J1342/IF(CD1342&gt;0,CD1342,MAX(0.1,N(Cockpit!$C$6))),CG1342)/BV1342,0)*BV1342</f>
        <v>35</v>
      </c>
      <c r="AL1342" s="51" t="n">
        <f aca="false">IF(AI1342&gt;0,J1342/AI1342,-1)</f>
        <v>0.167741935483871</v>
      </c>
      <c r="AM1342" s="51" t="n">
        <f aca="false">IF(AND(OR(CC1342="L1",CC1342="L23",CC1342="LIFT"),AI1342&gt;0),SUMIFS($AI$7:$AI$1843,$CC$7:$CC$1843,CC1342,$AL$7:$AL$1843,"&gt;"&amp;AL1342)+SUMIFS($AI$7:$AI$1843,$CC$7:$CC$1843,CC1342,$AL$7:$AL$1843,AL1342,$BT$7:$BT$1843,"&lt;="&amp;BT1342),"")</f>
        <v>12763.1952593075</v>
      </c>
      <c r="AN1342" s="58" t="n">
        <f aca="false">IF(AM1342="",0,MAX(0,MIN(1,(IF(CC1342="L1",Parameter!$H$5,IF(CC1342="L23",Parameter!$H$6+Parameter!$H$7,Parameter!$H$5+Parameter!$H$6+Parameter!$H$7))-(AM1342-AI1342))/AI1342)))</f>
        <v>1</v>
      </c>
      <c r="AO1342" s="50" t="n">
        <f aca="false">IF(LEFT(Cockpit!$I$5,1)="A",H1342,IF(CE1342=1,CF1342,IF(LEFT(Cockpit!$I$5,1)="B",AT1342,MAX(AT1342,H1342))))</f>
        <v>35</v>
      </c>
      <c r="AP1342" s="50" t="n">
        <f aca="false">IF(BW1342=1,0,ROUNDUP(AO1342/BV1342,0))</f>
        <v>1</v>
      </c>
      <c r="AQ1342" s="52" t="n">
        <f aca="false">IF(CL1342&gt;0,CL1342*MAX(1,AO1342/X1342),IF(BW1342=1,IF(AO1342&lt;=0,0,CA1342*MAX(1,IF(H1342&gt;0,AO1342/H1342,1))),IF(R1342&gt;0,AP1342/R1342,0))/MAX(0.1,N(Parameter!$M$21)))</f>
        <v>0.0384615384615385</v>
      </c>
      <c r="AR1342" s="50" t="n">
        <f aca="false">AQ1342*BY1342</f>
        <v>5.96153846153846</v>
      </c>
      <c r="AS1342" s="50" t="n">
        <f aca="false">AO1342*G1342</f>
        <v>969.85</v>
      </c>
      <c r="AT1342" s="50" t="n">
        <f aca="false">ROUNDUP(MAX(J1342/IF(CD1342&gt;0,CD1342,MAX(0.1,N(Cockpit!$I$6))),CG1342)/BV1342,0)*BV1342</f>
        <v>35</v>
      </c>
      <c r="AU1342" s="51" t="n">
        <f aca="false">IF(AR1342&gt;0,J1342/AR1342,-1)</f>
        <v>0.167741935483871</v>
      </c>
      <c r="AV1342" s="51" t="n">
        <f aca="false">IF(AND(OR(CC1342="L1",CC1342="L23",CC1342="LIFT"),AR1342&gt;0),SUMIFS($AR$7:$AR$1843,$CC$7:$CC$1843,CC1342,$AU$7:$AU$1843,"&gt;"&amp;AU1342)+SUMIFS($AR$7:$AR$1843,$CC$7:$CC$1843,CC1342,$AU$7:$AU$1843,AU1342,$BT$7:$BT$1843,"&lt;="&amp;BT1342),"")</f>
        <v>19344.2696886447</v>
      </c>
      <c r="AW1342" s="58" t="n">
        <f aca="false">IF(AV1342="",0,MAX(0,MIN(1,(IF(CC1342="L1",Parameter!$H$5,IF(CC1342="L23",Parameter!$H$6+Parameter!$H$7,Parameter!$H$5+Parameter!$H$6+Parameter!$H$7))-(AV1342-AR1342))/AR1342)))</f>
        <v>1</v>
      </c>
      <c r="AX1342" s="50" t="n">
        <f aca="false">IF(LEFT(Cockpit!$O$5,1)="A",H1342,IF(CE1342=1,CF1342,IF(LEFT(Cockpit!$O$5,1)="B",BC1342,MAX(BC1342,H1342))))</f>
        <v>35</v>
      </c>
      <c r="AY1342" s="50" t="n">
        <f aca="false">IF(BW1342=1,0,ROUNDUP(AX1342/BV1342,0))</f>
        <v>1</v>
      </c>
      <c r="AZ1342" s="52" t="n">
        <f aca="false">IF(CL1342&gt;0,CL1342*MAX(1,AX1342/X1342),IF(BW1342=1,IF(AX1342&lt;=0,0,CA1342*MAX(1,IF(H1342&gt;0,AX1342/H1342,1))),IF(R1342&gt;0,AY1342/R1342,0))/MAX(0.1,N(Parameter!$M$21)))</f>
        <v>0.0384615384615385</v>
      </c>
      <c r="BA1342" s="50" t="n">
        <f aca="false">AZ1342*BY1342</f>
        <v>5.96153846153846</v>
      </c>
      <c r="BB1342" s="50" t="n">
        <f aca="false">AX1342*G1342</f>
        <v>969.85</v>
      </c>
      <c r="BC1342" s="50" t="n">
        <f aca="false">ROUNDUP(MAX(J1342/IF(CD1342&gt;0,CD1342,MAX(0.1,N(Cockpit!$O$6))),CG1342)/BV1342,0)*BV1342</f>
        <v>35</v>
      </c>
      <c r="BD1342" s="51" t="n">
        <f aca="false">IF(BA1342&gt;0,J1342/BA1342,-1)</f>
        <v>0.167741935483871</v>
      </c>
      <c r="BE1342" s="51" t="n">
        <f aca="false">IF(AND(OR(CC1342="L1",CC1342="L23",CC1342="LIFT"),BA1342&gt;0),SUMIFS($BA$7:$BA$1843,$CC$7:$CC$1843,CC1342,$BD$7:$BD$1843,"&gt;"&amp;BD1342)+SUMIFS($BA$7:$BA$1843,$CC$7:$CC$1843,CC1342,$BD$7:$BD$1843,BD1342,$BT$7:$BT$1843,"&lt;="&amp;BT1342),"")</f>
        <v>17370.3434065934</v>
      </c>
      <c r="BF1342" s="58" t="n">
        <f aca="false">IF(BE1342="",0,MAX(0,MIN(1,(IF(CC1342="L1",Parameter!$H$5,IF(CC1342="L23",Parameter!$H$6+Parameter!$H$7,Parameter!$H$5+Parameter!$H$6+Parameter!$H$7))-(BE1342-BA1342))/BA1342)))</f>
        <v>1</v>
      </c>
      <c r="BG1342" s="48" t="str">
        <f aca="false">IF(AI1342&lt;=0,"",IF(CC1342="Aussen","Aussenlager",IF(CC1342="-","Nicht im Lift",IF(AN1342&gt;=1,"Lift",IF(AN1342&lt;=0,"Aussenlager","teilweise")))))</f>
        <v>Lift</v>
      </c>
      <c r="BH1342" s="48" t="str">
        <f aca="false">IF(AR1342&lt;=0,"",IF(CC1342="Aussen","Aussenlager",IF(CC1342="-","Nicht im Lift",IF(AW1342&gt;=1,"Lift",IF(AW1342&lt;=0,"Aussenlager","teilweise")))))</f>
        <v>Lift</v>
      </c>
      <c r="BI1342" s="48" t="str">
        <f aca="false">IF(BA1342&lt;=0,"",IF(CC1342="Aussen","Aussenlager",IF(CC1342="-","Nicht im Lift",IF(BF1342&gt;=1,"Lift",IF(BF1342&lt;=0,"Aussenlager","teilweise")))))</f>
        <v>Lift</v>
      </c>
      <c r="BJ1342" s="48" t="str">
        <f aca="false">IF(A1342="","",IF(BS1342=1,"Neu; ","")&amp;IF(AND(BS1342=0,BN1342&lt;0),"negativer Bestand (Export "&amp;BN1342&amp;"); ","")&amp;IF(J1342&lt;=0,"Kein Verbrauch; ","")&amp;IF(CL1342&gt;0,"Lift "&amp;W1342&amp;" lt. Liftbericht (Fach "&amp;X1342&amp;" Stk); ",IF(BX1342=1,"Gebinde geschätzt ("&amp;T1342&amp;"); ",IF(BW1342=1,"Lose – Tablare geschätzt; ","")))&amp;IF(H1342&gt;AT1342,"Überbestand "&amp;ROUND(H1342-AT1342,0)&amp;" Stk / CHF "&amp;ROUND((H1342-AT1342)*G1342,0)&amp;"; ","")&amp;IF(AND(CE1342=1,CF1342&lt;CG1342),"MAX &lt; MB+LG; ","")&amp;IF(AND(CK1342&gt;0,CJ1342*10&gt;CK1342),"zu hoch für Tablar; ","")&amp;IF(AND(BS1342=0,OR(CE1342=1,AA1342&lt;&gt;"",U1342&lt;&gt;"",V1342&lt;&gt;"",AB1342&lt;&gt;"")),"manuell übersteuert; ","")&amp;IF(AND(BW1342=0,R1342=0),"Gebinde unbekannt / Stellmass fehlt; ","")&amp;IF(AND(BW1342=0,N(V1342)&lt;=0,N(Q1342)&lt;=0),"Menge pro Gebinde fehlt (Ist = 1 Gebinde); ","")&amp;BR1342)</f>
        <v>negativer Bestand (Export -65); </v>
      </c>
      <c r="BK1342" s="48"/>
      <c r="BL1342" s="48"/>
      <c r="BM1342" s="55"/>
      <c r="BN1342" s="50" t="n">
        <v>-65</v>
      </c>
      <c r="BO1342" s="50" t="n">
        <v>76</v>
      </c>
      <c r="BP1342" s="49" t="n">
        <v>-1801.15</v>
      </c>
      <c r="BQ1342" s="50" t="n">
        <v>1</v>
      </c>
      <c r="BR1342" s="48"/>
      <c r="BS1342" s="53" t="n">
        <v>0</v>
      </c>
      <c r="BT1342" s="53" t="n">
        <v>1342</v>
      </c>
      <c r="BU1342" s="48" t="str">
        <f aca="false">IF(U1342&lt;&gt;"",UPPER(TRIM(U1342)),IF(BX1342=1,UPPER(VLOOKUP(T1342,Parameter!$I$27:$K$29,2,0)),IF(P1342="","LOSE",P1342)))</f>
        <v>S51</v>
      </c>
      <c r="BV1342" s="50" t="n">
        <f aca="false">IF(BU1342="LOSE",1,IF(N(V1342)&gt;0,V1342,IF(BX1342=1,MAX(1,N(VLOOKUP(T1342,Parameter!$I$27:$K$29,3,0)),H1342,N(N1342)),IF(N(Q1342)&gt;0,Q1342,MAX(1,H1342)))))</f>
        <v>35</v>
      </c>
      <c r="BW1342" s="53" t="n">
        <f aca="false">IF(BU1342="LOSE",1,0)</f>
        <v>0</v>
      </c>
      <c r="BX1342" s="53" t="n">
        <f aca="false">IF(AND(U1342="",OR(P1342="",P1342="LOSE"),T1342&lt;&gt;"",N(S1342)&lt;=0,ISNUMBER(MATCH(T1342,Parameter!$I$27:$I$29,0))),1,0)</f>
        <v>0</v>
      </c>
      <c r="BY1342" s="53" t="n">
        <f aca="false">IF(CL1342&gt;0,INDEX(Parameter!$H$5:$H$7,W1342)/INDEX(Parameter!$E$5:$E$7,W1342),IF(AND(BW1342=0,N(IFERROR(VLOOKUP(BU1342,'Gebinde-Kategorie'!$A$5:$N$45,14,0),0))&gt;0),VLOOKUP(BU1342,'Gebinde-Kategorie'!$A$5:$N$45,14,0)*10+Parameter!$M$23,Parameter!$M$24))</f>
        <v>155</v>
      </c>
      <c r="BZ1342" s="48" t="str">
        <f aca="false">IF(AND(Parameter!$B$19="Ja",E1342&lt;&gt;"",ISNUMBER(MATCH(E1342,Parameter!$I$35:$I$52,0))),VLOOKUP(E1342,Parameter!$I$35:$J$52,2,0),IFERROR(VLOOKUP(D1342,Parameter!$A$35:$C$64,2,0),"Nein"))</f>
        <v>2+3</v>
      </c>
      <c r="CA1342" s="52" t="n">
        <f aca="false">IF(BW1342=0,0,IF(N(S1342)&gt;0,S1342,IFERROR(VLOOKUP(D1342,Parameter!$A$35:$C$64,3,0)+0,0)))</f>
        <v>0</v>
      </c>
      <c r="CB1342" s="48" t="n">
        <f aca="false">IF(AA1342&lt;&gt;"",AA1342,Z1342)</f>
        <v>3</v>
      </c>
      <c r="CC1342" s="48" t="str">
        <f aca="false">IF(OR(CB1342=1,CB1342=2,CB1342=3),IF(Parameter!$E$27="Ja","LIFT",IF(CB1342=1,"L1","L23")),IF(CB1342="Aussen","Aussen","-"))</f>
        <v>LIFT</v>
      </c>
      <c r="CD1342" s="59" t="n">
        <f aca="false">IF(N(AB1342)&gt;0,AB1342,0)</f>
        <v>0</v>
      </c>
      <c r="CE1342" s="53" t="n">
        <f aca="false">IF(ISNUMBER(AE1342),1,0)</f>
        <v>0</v>
      </c>
      <c r="CF1342" s="50" t="n">
        <f aca="false">N(AE1342)</f>
        <v>0</v>
      </c>
      <c r="CG1342" s="50" t="n">
        <f aca="false">N(M1342)+N(N1342)</f>
        <v>1</v>
      </c>
      <c r="CH1342" s="50" t="n">
        <f aca="false">ROUNDUP(H1342/BV1342,0)</f>
        <v>1</v>
      </c>
      <c r="CI1342" s="50" t="n">
        <f aca="false">ROUNDUP(CF1342/BV1342,0)</f>
        <v>0</v>
      </c>
      <c r="CJ1342" s="53" t="n">
        <f aca="false">IF(BW1342=1,0,IFERROR(VLOOKUP(BU1342,'Gebinde-Kategorie'!$A$5:$N$45,5,0)+0,0))</f>
        <v>11</v>
      </c>
      <c r="CK1342" s="53" t="n">
        <f aca="false">IFERROR(IF(OR(CB1342=1,CB1342=2,CB1342=3),N(INDEX(Parameter!$I$5:$I$7,CB1342)),0),0)</f>
        <v>0</v>
      </c>
      <c r="CL1342" s="52" t="n">
        <f aca="false">IF(AND(Parameter!$B$21="Ja",ISNUMBER(W1342),N(X1342)&gt;0),IFERROR(N(INDEX(Parameter!$L$5:$L$7,W1342))*INDEX(Parameter!$E$5:$E$7,W1342)*X1342/SUMIFS($X$7:$X$1843,$W$7:$W$1843,W1342),0),0)</f>
        <v>0</v>
      </c>
    </row>
    <row r="1343" customFormat="false" ht="15" hidden="false" customHeight="false" outlineLevel="0" collapsed="false">
      <c r="A1343" s="48" t="s">
        <v>2380</v>
      </c>
      <c r="B1343" s="48" t="s">
        <v>1115</v>
      </c>
      <c r="C1343" s="48" t="s">
        <v>168</v>
      </c>
      <c r="D1343" s="48" t="s">
        <v>177</v>
      </c>
      <c r="E1343" s="48" t="s">
        <v>189</v>
      </c>
      <c r="F1343" s="48" t="s">
        <v>222</v>
      </c>
      <c r="G1343" s="49" t="n">
        <v>278.37</v>
      </c>
      <c r="H1343" s="50" t="n">
        <f aca="false">MAX(0,IF(AND(Parameter!$B$21="Ja",ISNUMBER(Y1343)),Y1343,IF(Parameter!$B$20="Jahresanfang 2025 + Export",BO1343+BN1343,BN1343)))</f>
        <v>4</v>
      </c>
      <c r="I1343" s="50" t="n">
        <f aca="false">H1343*G1343</f>
        <v>1113.48</v>
      </c>
      <c r="J1343" s="50" t="n">
        <f aca="false">BQ1343*Parameter!$B$18</f>
        <v>44</v>
      </c>
      <c r="K1343" s="51" t="n">
        <v>9</v>
      </c>
      <c r="L1343" s="52" t="n">
        <v>4.88888888888889</v>
      </c>
      <c r="M1343" s="50" t="n">
        <v>2</v>
      </c>
      <c r="N1343" s="50" t="n">
        <v>10</v>
      </c>
      <c r="O1343" s="53" t="n">
        <v>21</v>
      </c>
      <c r="P1343" s="48" t="s">
        <v>178</v>
      </c>
      <c r="Q1343" s="50" t="n">
        <v>12</v>
      </c>
      <c r="R1343" s="53" t="n">
        <f aca="false">IF(BW1343=1,0,IFERROR(VLOOKUP(BU1343,'Gebinde-Kategorie'!$A$5:$N$45,13,0)+0,0))</f>
        <v>6</v>
      </c>
      <c r="S1343" s="54"/>
      <c r="T1343" s="55"/>
      <c r="U1343" s="55"/>
      <c r="V1343" s="55"/>
      <c r="W1343" s="48"/>
      <c r="X1343" s="50"/>
      <c r="Y1343" s="50"/>
      <c r="Z1343" s="48" t="n">
        <f aca="false">IF(A1343="","",IF(AND(Parameter!$B$21="Ja",ISNUMBER(W1343)),W1343,IF(BZ1343="2+3",IF(ISNUMBER(SEARCH("grosser Artikel",BR1343)),2,IFERROR(VLOOKUP(BU1343,Parameter!$F$35:$G$64,2,0),2)),IF(OR(BZ1343="Nein",BZ1343=""),"-",BZ1343))))</f>
        <v>2</v>
      </c>
      <c r="AA1343" s="55"/>
      <c r="AB1343" s="56"/>
      <c r="AC1343" s="50" t="n">
        <f aca="false">AT1343</f>
        <v>24</v>
      </c>
      <c r="AD1343" s="50" t="n">
        <f aca="false">MAX(AT1343,H1343)</f>
        <v>24</v>
      </c>
      <c r="AE1343" s="57"/>
      <c r="AF1343" s="50" t="n">
        <f aca="false">IF(LEFT(Cockpit!$C$5,1)="A",H1343,IF(CE1343=1,CF1343,IF(LEFT(Cockpit!$C$5,1)="B",AK1343,MAX(AK1343,H1343))))</f>
        <v>4</v>
      </c>
      <c r="AG1343" s="50" t="n">
        <f aca="false">IF(BW1343=1,0,ROUNDUP(AF1343/BV1343,0))</f>
        <v>1</v>
      </c>
      <c r="AH1343" s="52" t="n">
        <f aca="false">IF(CL1343&gt;0,CL1343*MAX(1,AF1343/X1343),IF(BW1343=1,IF(AF1343&lt;=0,0,CA1343*MAX(1,IF(H1343&gt;0,AF1343/H1343,1))),IF(R1343&gt;0,AG1343/R1343,0))/MAX(0.1,N(Parameter!$M$21)))</f>
        <v>0.166666666666667</v>
      </c>
      <c r="AI1343" s="50" t="n">
        <f aca="false">AH1343*BY1343</f>
        <v>39.1666666666667</v>
      </c>
      <c r="AJ1343" s="50" t="n">
        <f aca="false">AF1343*G1343</f>
        <v>1113.48</v>
      </c>
      <c r="AK1343" s="50" t="n">
        <f aca="false">ROUNDUP(MAX(J1343/IF(CD1343&gt;0,CD1343,MAX(0.1,N(Cockpit!$C$6))),CG1343)/BV1343,0)*BV1343</f>
        <v>24</v>
      </c>
      <c r="AL1343" s="51" t="n">
        <f aca="false">IF(AI1343&gt;0,J1343/AI1343,-1)</f>
        <v>1.12340425531915</v>
      </c>
      <c r="AM1343" s="51" t="n">
        <f aca="false">IF(AND(OR(CC1343="L1",CC1343="L23",CC1343="LIFT"),AI1343&gt;0),SUMIFS($AI$7:$AI$1843,$CC$7:$CC$1843,CC1343,$AL$7:$AL$1843,"&gt;"&amp;AL1343)+SUMIFS($AI$7:$AI$1843,$CC$7:$CC$1843,CC1343,$AL$7:$AL$1843,AL1343,$BT$7:$BT$1843,"&lt;="&amp;BT1343),"")</f>
        <v>6754.76968864469</v>
      </c>
      <c r="AN1343" s="58" t="n">
        <f aca="false">IF(AM1343="",0,MAX(0,MIN(1,(IF(CC1343="L1",Parameter!$H$5,IF(CC1343="L23",Parameter!$H$6+Parameter!$H$7,Parameter!$H$5+Parameter!$H$6+Parameter!$H$7))-(AM1343-AI1343))/AI1343)))</f>
        <v>1</v>
      </c>
      <c r="AO1343" s="50" t="n">
        <f aca="false">IF(LEFT(Cockpit!$I$5,1)="A",H1343,IF(CE1343=1,CF1343,IF(LEFT(Cockpit!$I$5,1)="B",AT1343,MAX(AT1343,H1343))))</f>
        <v>24</v>
      </c>
      <c r="AP1343" s="50" t="n">
        <f aca="false">IF(BW1343=1,0,ROUNDUP(AO1343/BV1343,0))</f>
        <v>2</v>
      </c>
      <c r="AQ1343" s="52" t="n">
        <f aca="false">IF(CL1343&gt;0,CL1343*MAX(1,AO1343/X1343),IF(BW1343=1,IF(AO1343&lt;=0,0,CA1343*MAX(1,IF(H1343&gt;0,AO1343/H1343,1))),IF(R1343&gt;0,AP1343/R1343,0))/MAX(0.1,N(Parameter!$M$21)))</f>
        <v>0.333333333333333</v>
      </c>
      <c r="AR1343" s="50" t="n">
        <f aca="false">AQ1343*BY1343</f>
        <v>78.3333333333333</v>
      </c>
      <c r="AS1343" s="50" t="n">
        <f aca="false">AO1343*G1343</f>
        <v>6680.88</v>
      </c>
      <c r="AT1343" s="50" t="n">
        <f aca="false">ROUNDUP(MAX(J1343/IF(CD1343&gt;0,CD1343,MAX(0.1,N(Cockpit!$I$6))),CG1343)/BV1343,0)*BV1343</f>
        <v>24</v>
      </c>
      <c r="AU1343" s="51" t="n">
        <f aca="false">IF(AR1343&gt;0,J1343/AR1343,-1)</f>
        <v>0.561702127659575</v>
      </c>
      <c r="AV1343" s="51" t="n">
        <f aca="false">IF(AND(OR(CC1343="L1",CC1343="L23",CC1343="LIFT"),AR1343&gt;0),SUMIFS($AR$7:$AR$1843,$CC$7:$CC$1843,CC1343,$AU$7:$AU$1843,"&gt;"&amp;AU1343)+SUMIFS($AR$7:$AR$1843,$CC$7:$CC$1843,CC1343,$AU$7:$AU$1843,AU1343,$BT$7:$BT$1843,"&lt;="&amp;BT1343),"")</f>
        <v>13473.4107142857</v>
      </c>
      <c r="AW1343" s="58" t="n">
        <f aca="false">IF(AV1343="",0,MAX(0,MIN(1,(IF(CC1343="L1",Parameter!$H$5,IF(CC1343="L23",Parameter!$H$6+Parameter!$H$7,Parameter!$H$5+Parameter!$H$6+Parameter!$H$7))-(AV1343-AR1343))/AR1343)))</f>
        <v>1</v>
      </c>
      <c r="AX1343" s="50" t="n">
        <f aca="false">IF(LEFT(Cockpit!$O$5,1)="A",H1343,IF(CE1343=1,CF1343,IF(LEFT(Cockpit!$O$5,1)="B",BC1343,MAX(BC1343,H1343))))</f>
        <v>24</v>
      </c>
      <c r="AY1343" s="50" t="n">
        <f aca="false">IF(BW1343=1,0,ROUNDUP(AX1343/BV1343,0))</f>
        <v>2</v>
      </c>
      <c r="AZ1343" s="52" t="n">
        <f aca="false">IF(CL1343&gt;0,CL1343*MAX(1,AX1343/X1343),IF(BW1343=1,IF(AX1343&lt;=0,0,CA1343*MAX(1,IF(H1343&gt;0,AX1343/H1343,1))),IF(R1343&gt;0,AY1343/R1343,0))/MAX(0.1,N(Parameter!$M$21)))</f>
        <v>0.333333333333333</v>
      </c>
      <c r="BA1343" s="50" t="n">
        <f aca="false">AZ1343*BY1343</f>
        <v>78.3333333333333</v>
      </c>
      <c r="BB1343" s="50" t="n">
        <f aca="false">AX1343*G1343</f>
        <v>6680.88</v>
      </c>
      <c r="BC1343" s="50" t="n">
        <f aca="false">ROUNDUP(MAX(J1343/IF(CD1343&gt;0,CD1343,MAX(0.1,N(Cockpit!$O$6))),CG1343)/BV1343,0)*BV1343</f>
        <v>24</v>
      </c>
      <c r="BD1343" s="51" t="n">
        <f aca="false">IF(BA1343&gt;0,J1343/BA1343,-1)</f>
        <v>0.561702127659575</v>
      </c>
      <c r="BE1343" s="51" t="n">
        <f aca="false">IF(AND(OR(CC1343="L1",CC1343="L23",CC1343="LIFT"),BA1343&gt;0),SUMIFS($BA$7:$BA$1843,$CC$7:$CC$1843,CC1343,$BD$7:$BD$1843,"&gt;"&amp;BD1343)+SUMIFS($BA$7:$BA$1843,$CC$7:$CC$1843,CC1343,$BD$7:$BD$1843,BD1343,$BT$7:$BT$1843,"&lt;="&amp;BT1343),"")</f>
        <v>12312.4010989011</v>
      </c>
      <c r="BF1343" s="58" t="n">
        <f aca="false">IF(BE1343="",0,MAX(0,MIN(1,(IF(CC1343="L1",Parameter!$H$5,IF(CC1343="L23",Parameter!$H$6+Parameter!$H$7,Parameter!$H$5+Parameter!$H$6+Parameter!$H$7))-(BE1343-BA1343))/BA1343)))</f>
        <v>1</v>
      </c>
      <c r="BG1343" s="48" t="str">
        <f aca="false">IF(AI1343&lt;=0,"",IF(CC1343="Aussen","Aussenlager",IF(CC1343="-","Nicht im Lift",IF(AN1343&gt;=1,"Lift",IF(AN1343&lt;=0,"Aussenlager","teilweise")))))</f>
        <v>Lift</v>
      </c>
      <c r="BH1343" s="48" t="str">
        <f aca="false">IF(AR1343&lt;=0,"",IF(CC1343="Aussen","Aussenlager",IF(CC1343="-","Nicht im Lift",IF(AW1343&gt;=1,"Lift",IF(AW1343&lt;=0,"Aussenlager","teilweise")))))</f>
        <v>Lift</v>
      </c>
      <c r="BI1343" s="48" t="str">
        <f aca="false">IF(BA1343&lt;=0,"",IF(CC1343="Aussen","Aussenlager",IF(CC1343="-","Nicht im Lift",IF(BF1343&gt;=1,"Lift",IF(BF1343&lt;=0,"Aussenlager","teilweise")))))</f>
        <v>Lift</v>
      </c>
      <c r="BJ1343" s="48" t="str">
        <f aca="false">IF(A1343="","",IF(BS1343=1,"Neu; ","")&amp;IF(AND(BS1343=0,BN1343&lt;0),"negativer Bestand (Export "&amp;BN1343&amp;"); ","")&amp;IF(J1343&lt;=0,"Kein Verbrauch; ","")&amp;IF(CL1343&gt;0,"Lift "&amp;W1343&amp;" lt. Liftbericht (Fach "&amp;X1343&amp;" Stk); ",IF(BX1343=1,"Gebinde geschätzt ("&amp;T1343&amp;"); ",IF(BW1343=1,"Lose – Tablare geschätzt; ","")))&amp;IF(H1343&gt;AT1343,"Überbestand "&amp;ROUND(H1343-AT1343,0)&amp;" Stk / CHF "&amp;ROUND((H1343-AT1343)*G1343,0)&amp;"; ","")&amp;IF(AND(CE1343=1,CF1343&lt;CG1343),"MAX &lt; MB+LG; ","")&amp;IF(AND(CK1343&gt;0,CJ1343*10&gt;CK1343),"zu hoch für Tablar; ","")&amp;IF(AND(BS1343=0,OR(CE1343=1,AA1343&lt;&gt;"",U1343&lt;&gt;"",V1343&lt;&gt;"",AB1343&lt;&gt;"")),"manuell übersteuert; ","")&amp;IF(AND(BW1343=0,R1343=0),"Gebinde unbekannt / Stellmass fehlt; ","")&amp;IF(AND(BW1343=0,N(V1343)&lt;=0,N(Q1343)&lt;=0),"Menge pro Gebinde fehlt (Ist = 1 Gebinde); ","")&amp;BR1343)</f>
        <v>negativer Bestand (Export -4); grosser Artikel &amp; nicht im KTL</v>
      </c>
      <c r="BK1343" s="48"/>
      <c r="BL1343" s="48"/>
      <c r="BM1343" s="55"/>
      <c r="BN1343" s="50" t="n">
        <v>-4</v>
      </c>
      <c r="BO1343" s="50" t="n">
        <v>8</v>
      </c>
      <c r="BP1343" s="49" t="n">
        <v>-1807.16</v>
      </c>
      <c r="BQ1343" s="50" t="n">
        <v>44</v>
      </c>
      <c r="BR1343" s="48" t="s">
        <v>265</v>
      </c>
      <c r="BS1343" s="53" t="n">
        <v>0</v>
      </c>
      <c r="BT1343" s="53" t="n">
        <v>1343</v>
      </c>
      <c r="BU1343" s="48" t="str">
        <f aca="false">IF(U1343&lt;&gt;"",UPPER(TRIM(U1343)),IF(BX1343=1,UPPER(VLOOKUP(T1343,Parameter!$I$27:$K$29,2,0)),IF(P1343="","LOSE",P1343)))</f>
        <v>S71</v>
      </c>
      <c r="BV1343" s="50" t="n">
        <f aca="false">IF(BU1343="LOSE",1,IF(N(V1343)&gt;0,V1343,IF(BX1343=1,MAX(1,N(VLOOKUP(T1343,Parameter!$I$27:$K$29,3,0)),H1343,N(N1343)),IF(N(Q1343)&gt;0,Q1343,MAX(1,H1343)))))</f>
        <v>12</v>
      </c>
      <c r="BW1343" s="53" t="n">
        <f aca="false">IF(BU1343="LOSE",1,0)</f>
        <v>0</v>
      </c>
      <c r="BX1343" s="53" t="n">
        <f aca="false">IF(AND(U1343="",OR(P1343="",P1343="LOSE"),T1343&lt;&gt;"",N(S1343)&lt;=0,ISNUMBER(MATCH(T1343,Parameter!$I$27:$I$29,0))),1,0)</f>
        <v>0</v>
      </c>
      <c r="BY1343" s="53" t="n">
        <f aca="false">IF(CL1343&gt;0,INDEX(Parameter!$H$5:$H$7,W1343)/INDEX(Parameter!$E$5:$E$7,W1343),IF(AND(BW1343=0,N(IFERROR(VLOOKUP(BU1343,'Gebinde-Kategorie'!$A$5:$N$45,14,0),0))&gt;0),VLOOKUP(BU1343,'Gebinde-Kategorie'!$A$5:$N$45,14,0)*10+Parameter!$M$23,Parameter!$M$24))</f>
        <v>235</v>
      </c>
      <c r="BZ1343" s="48" t="str">
        <f aca="false">IF(AND(Parameter!$B$19="Ja",E1343&lt;&gt;"",ISNUMBER(MATCH(E1343,Parameter!$I$35:$I$52,0))),VLOOKUP(E1343,Parameter!$I$35:$J$52,2,0),IFERROR(VLOOKUP(D1343,Parameter!$A$35:$C$64,2,0),"Nein"))</f>
        <v>2+3</v>
      </c>
      <c r="CA1343" s="52" t="n">
        <f aca="false">IF(BW1343=0,0,IF(N(S1343)&gt;0,S1343,IFERROR(VLOOKUP(D1343,Parameter!$A$35:$C$64,3,0)+0,0)))</f>
        <v>0</v>
      </c>
      <c r="CB1343" s="48" t="n">
        <f aca="false">IF(AA1343&lt;&gt;"",AA1343,Z1343)</f>
        <v>2</v>
      </c>
      <c r="CC1343" s="48" t="str">
        <f aca="false">IF(OR(CB1343=1,CB1343=2,CB1343=3),IF(Parameter!$E$27="Ja","LIFT",IF(CB1343=1,"L1","L23")),IF(CB1343="Aussen","Aussen","-"))</f>
        <v>LIFT</v>
      </c>
      <c r="CD1343" s="59" t="n">
        <f aca="false">IF(N(AB1343)&gt;0,AB1343,0)</f>
        <v>0</v>
      </c>
      <c r="CE1343" s="53" t="n">
        <f aca="false">IF(ISNUMBER(AE1343),1,0)</f>
        <v>0</v>
      </c>
      <c r="CF1343" s="50" t="n">
        <f aca="false">N(AE1343)</f>
        <v>0</v>
      </c>
      <c r="CG1343" s="50" t="n">
        <f aca="false">N(M1343)+N(N1343)</f>
        <v>12</v>
      </c>
      <c r="CH1343" s="50" t="n">
        <f aca="false">ROUNDUP(H1343/BV1343,0)</f>
        <v>1</v>
      </c>
      <c r="CI1343" s="50" t="n">
        <f aca="false">ROUNDUP(CF1343/BV1343,0)</f>
        <v>0</v>
      </c>
      <c r="CJ1343" s="53" t="n">
        <f aca="false">IF(BW1343=1,0,IFERROR(VLOOKUP(BU1343,'Gebinde-Kategorie'!$A$5:$N$45,5,0)+0,0))</f>
        <v>20</v>
      </c>
      <c r="CK1343" s="53" t="n">
        <f aca="false">IFERROR(IF(OR(CB1343=1,CB1343=2,CB1343=3),N(INDEX(Parameter!$I$5:$I$7,CB1343)),0),0)</f>
        <v>0</v>
      </c>
      <c r="CL1343" s="52" t="n">
        <f aca="false">IF(AND(Parameter!$B$21="Ja",ISNUMBER(W1343),N(X1343)&gt;0),IFERROR(N(INDEX(Parameter!$L$5:$L$7,W1343))*INDEX(Parameter!$E$5:$E$7,W1343)*X1343/SUMIFS($X$7:$X$1843,$W$7:$W$1843,W1343),0),0)</f>
        <v>0</v>
      </c>
    </row>
    <row r="1344" customFormat="false" ht="15" hidden="false" customHeight="false" outlineLevel="0" collapsed="false">
      <c r="A1344" s="48" t="s">
        <v>2381</v>
      </c>
      <c r="B1344" s="48" t="s">
        <v>2141</v>
      </c>
      <c r="C1344" s="48" t="s">
        <v>168</v>
      </c>
      <c r="D1344" s="48" t="s">
        <v>177</v>
      </c>
      <c r="E1344" s="48" t="s">
        <v>189</v>
      </c>
      <c r="F1344" s="48" t="s">
        <v>222</v>
      </c>
      <c r="G1344" s="49" t="n">
        <v>38.6</v>
      </c>
      <c r="H1344" s="50" t="n">
        <f aca="false">MAX(0,IF(AND(Parameter!$B$21="Ja",ISNUMBER(Y1344)),Y1344,IF(Parameter!$B$20="Jahresanfang 2025 + Export",BO1344+BN1344,BN1344)))</f>
        <v>47</v>
      </c>
      <c r="I1344" s="50" t="n">
        <f aca="false">H1344*G1344</f>
        <v>1814.2</v>
      </c>
      <c r="J1344" s="50" t="n">
        <f aca="false">BQ1344*Parameter!$B$18</f>
        <v>158</v>
      </c>
      <c r="K1344" s="51" t="n">
        <v>79</v>
      </c>
      <c r="L1344" s="52" t="n">
        <v>2</v>
      </c>
      <c r="M1344" s="50" t="n">
        <v>20</v>
      </c>
      <c r="N1344" s="50" t="n">
        <v>100</v>
      </c>
      <c r="O1344" s="53" t="n">
        <v>42</v>
      </c>
      <c r="P1344" s="48" t="s">
        <v>297</v>
      </c>
      <c r="Q1344" s="50" t="n">
        <v>23</v>
      </c>
      <c r="R1344" s="53" t="n">
        <f aca="false">IF(BW1344=1,0,IFERROR(VLOOKUP(BU1344,'Gebinde-Kategorie'!$A$5:$N$45,13,0)+0,0))</f>
        <v>12</v>
      </c>
      <c r="S1344" s="54"/>
      <c r="T1344" s="55"/>
      <c r="U1344" s="55"/>
      <c r="V1344" s="55"/>
      <c r="W1344" s="48"/>
      <c r="X1344" s="50"/>
      <c r="Y1344" s="50"/>
      <c r="Z1344" s="48" t="n">
        <f aca="false">IF(A1344="","",IF(AND(Parameter!$B$21="Ja",ISNUMBER(W1344)),W1344,IF(BZ1344="2+3",IF(ISNUMBER(SEARCH("grosser Artikel",BR1344)),2,IFERROR(VLOOKUP(BU1344,Parameter!$F$35:$G$64,2,0),2)),IF(OR(BZ1344="Nein",BZ1344=""),"-",BZ1344))))</f>
        <v>2</v>
      </c>
      <c r="AA1344" s="55"/>
      <c r="AB1344" s="56"/>
      <c r="AC1344" s="50" t="n">
        <f aca="false">AT1344</f>
        <v>138</v>
      </c>
      <c r="AD1344" s="50" t="n">
        <f aca="false">MAX(AT1344,H1344)</f>
        <v>138</v>
      </c>
      <c r="AE1344" s="57"/>
      <c r="AF1344" s="50" t="n">
        <f aca="false">IF(LEFT(Cockpit!$C$5,1)="A",H1344,IF(CE1344=1,CF1344,IF(LEFT(Cockpit!$C$5,1)="B",AK1344,MAX(AK1344,H1344))))</f>
        <v>47</v>
      </c>
      <c r="AG1344" s="50" t="n">
        <f aca="false">IF(BW1344=1,0,ROUNDUP(AF1344/BV1344,0))</f>
        <v>3</v>
      </c>
      <c r="AH1344" s="52" t="n">
        <f aca="false">IF(CL1344&gt;0,CL1344*MAX(1,AF1344/X1344),IF(BW1344=1,IF(AF1344&lt;=0,0,CA1344*MAX(1,IF(H1344&gt;0,AF1344/H1344,1))),IF(R1344&gt;0,AG1344/R1344,0))/MAX(0.1,N(Parameter!$M$21)))</f>
        <v>0.25</v>
      </c>
      <c r="AI1344" s="50" t="n">
        <f aca="false">AH1344*BY1344</f>
        <v>61.25</v>
      </c>
      <c r="AJ1344" s="50" t="n">
        <f aca="false">AF1344*G1344</f>
        <v>1814.2</v>
      </c>
      <c r="AK1344" s="50" t="n">
        <f aca="false">ROUNDUP(MAX(J1344/IF(CD1344&gt;0,CD1344,MAX(0.1,N(Cockpit!$C$6))),CG1344)/BV1344,0)*BV1344</f>
        <v>138</v>
      </c>
      <c r="AL1344" s="51" t="n">
        <f aca="false">IF(AI1344&gt;0,J1344/AI1344,-1)</f>
        <v>2.57959183673469</v>
      </c>
      <c r="AM1344" s="51" t="n">
        <f aca="false">IF(AND(OR(CC1344="L1",CC1344="L23",CC1344="LIFT"),AI1344&gt;0),SUMIFS($AI$7:$AI$1843,$CC$7:$CC$1843,CC1344,$AL$7:$AL$1843,"&gt;"&amp;AL1344)+SUMIFS($AI$7:$AI$1843,$CC$7:$CC$1843,CC1344,$AL$7:$AL$1843,AL1344,$BT$7:$BT$1843,"&lt;="&amp;BT1344),"")</f>
        <v>5419.46749084249</v>
      </c>
      <c r="AN1344" s="58" t="n">
        <f aca="false">IF(AM1344="",0,MAX(0,MIN(1,(IF(CC1344="L1",Parameter!$H$5,IF(CC1344="L23",Parameter!$H$6+Parameter!$H$7,Parameter!$H$5+Parameter!$H$6+Parameter!$H$7))-(AM1344-AI1344))/AI1344)))</f>
        <v>1</v>
      </c>
      <c r="AO1344" s="50" t="n">
        <f aca="false">IF(LEFT(Cockpit!$I$5,1)="A",H1344,IF(CE1344=1,CF1344,IF(LEFT(Cockpit!$I$5,1)="B",AT1344,MAX(AT1344,H1344))))</f>
        <v>138</v>
      </c>
      <c r="AP1344" s="50" t="n">
        <f aca="false">IF(BW1344=1,0,ROUNDUP(AO1344/BV1344,0))</f>
        <v>6</v>
      </c>
      <c r="AQ1344" s="52" t="n">
        <f aca="false">IF(CL1344&gt;0,CL1344*MAX(1,AO1344/X1344),IF(BW1344=1,IF(AO1344&lt;=0,0,CA1344*MAX(1,IF(H1344&gt;0,AO1344/H1344,1))),IF(R1344&gt;0,AP1344/R1344,0))/MAX(0.1,N(Parameter!$M$21)))</f>
        <v>0.5</v>
      </c>
      <c r="AR1344" s="50" t="n">
        <f aca="false">AQ1344*BY1344</f>
        <v>122.5</v>
      </c>
      <c r="AS1344" s="50" t="n">
        <f aca="false">AO1344*G1344</f>
        <v>5326.8</v>
      </c>
      <c r="AT1344" s="50" t="n">
        <f aca="false">ROUNDUP(MAX(J1344/IF(CD1344&gt;0,CD1344,MAX(0.1,N(Cockpit!$I$6))),CG1344)/BV1344,0)*BV1344</f>
        <v>138</v>
      </c>
      <c r="AU1344" s="51" t="n">
        <f aca="false">IF(AR1344&gt;0,J1344/AR1344,-1)</f>
        <v>1.28979591836735</v>
      </c>
      <c r="AV1344" s="51" t="n">
        <f aca="false">IF(AND(OR(CC1344="L1",CC1344="L23",CC1344="LIFT"),AR1344&gt;0),SUMIFS($AR$7:$AR$1843,$CC$7:$CC$1843,CC1344,$AU$7:$AU$1843,"&gt;"&amp;AU1344)+SUMIFS($AR$7:$AR$1843,$CC$7:$CC$1843,CC1344,$AU$7:$AU$1843,AU1344,$BT$7:$BT$1843,"&lt;="&amp;BT1344),"")</f>
        <v>9556.92399267399</v>
      </c>
      <c r="AW1344" s="58" t="n">
        <f aca="false">IF(AV1344="",0,MAX(0,MIN(1,(IF(CC1344="L1",Parameter!$H$5,IF(CC1344="L23",Parameter!$H$6+Parameter!$H$7,Parameter!$H$5+Parameter!$H$6+Parameter!$H$7))-(AV1344-AR1344))/AR1344)))</f>
        <v>1</v>
      </c>
      <c r="AX1344" s="50" t="n">
        <f aca="false">IF(LEFT(Cockpit!$O$5,1)="A",H1344,IF(CE1344=1,CF1344,IF(LEFT(Cockpit!$O$5,1)="B",BC1344,MAX(BC1344,H1344))))</f>
        <v>138</v>
      </c>
      <c r="AY1344" s="50" t="n">
        <f aca="false">IF(BW1344=1,0,ROUNDUP(AX1344/BV1344,0))</f>
        <v>6</v>
      </c>
      <c r="AZ1344" s="52" t="n">
        <f aca="false">IF(CL1344&gt;0,CL1344*MAX(1,AX1344/X1344),IF(BW1344=1,IF(AX1344&lt;=0,0,CA1344*MAX(1,IF(H1344&gt;0,AX1344/H1344,1))),IF(R1344&gt;0,AY1344/R1344,0))/MAX(0.1,N(Parameter!$M$21)))</f>
        <v>0.5</v>
      </c>
      <c r="BA1344" s="50" t="n">
        <f aca="false">AZ1344*BY1344</f>
        <v>122.5</v>
      </c>
      <c r="BB1344" s="50" t="n">
        <f aca="false">AX1344*G1344</f>
        <v>5326.8</v>
      </c>
      <c r="BC1344" s="50" t="n">
        <f aca="false">ROUNDUP(MAX(J1344/IF(CD1344&gt;0,CD1344,MAX(0.1,N(Cockpit!$O$6))),CG1344)/BV1344,0)*BV1344</f>
        <v>138</v>
      </c>
      <c r="BD1344" s="51" t="n">
        <f aca="false">IF(BA1344&gt;0,J1344/BA1344,-1)</f>
        <v>1.28979591836735</v>
      </c>
      <c r="BE1344" s="51" t="n">
        <f aca="false">IF(AND(OR(CC1344="L1",CC1344="L23",CC1344="LIFT"),BA1344&gt;0),SUMIFS($BA$7:$BA$1843,$CC$7:$CC$1843,CC1344,$BD$7:$BD$1843,"&gt;"&amp;BD1344)+SUMIFS($BA$7:$BA$1843,$CC$7:$CC$1843,CC1344,$BD$7:$BD$1843,BD1344,$BT$7:$BT$1843,"&lt;="&amp;BT1344),"")</f>
        <v>8742.58104395605</v>
      </c>
      <c r="BF1344" s="58" t="n">
        <f aca="false">IF(BE1344="",0,MAX(0,MIN(1,(IF(CC1344="L1",Parameter!$H$5,IF(CC1344="L23",Parameter!$H$6+Parameter!$H$7,Parameter!$H$5+Parameter!$H$6+Parameter!$H$7))-(BE1344-BA1344))/BA1344)))</f>
        <v>1</v>
      </c>
      <c r="BG1344" s="48" t="str">
        <f aca="false">IF(AI1344&lt;=0,"",IF(CC1344="Aussen","Aussenlager",IF(CC1344="-","Nicht im Lift",IF(AN1344&gt;=1,"Lift",IF(AN1344&lt;=0,"Aussenlager","teilweise")))))</f>
        <v>Lift</v>
      </c>
      <c r="BH1344" s="48" t="str">
        <f aca="false">IF(AR1344&lt;=0,"",IF(CC1344="Aussen","Aussenlager",IF(CC1344="-","Nicht im Lift",IF(AW1344&gt;=1,"Lift",IF(AW1344&lt;=0,"Aussenlager","teilweise")))))</f>
        <v>Lift</v>
      </c>
      <c r="BI1344" s="48" t="str">
        <f aca="false">IF(BA1344&lt;=0,"",IF(CC1344="Aussen","Aussenlager",IF(CC1344="-","Nicht im Lift",IF(BF1344&gt;=1,"Lift",IF(BF1344&lt;=0,"Aussenlager","teilweise")))))</f>
        <v>Lift</v>
      </c>
      <c r="BJ1344" s="48" t="str">
        <f aca="false">IF(A1344="","",IF(BS1344=1,"Neu; ","")&amp;IF(AND(BS1344=0,BN1344&lt;0),"negativer Bestand (Export "&amp;BN1344&amp;"); ","")&amp;IF(J1344&lt;=0,"Kein Verbrauch; ","")&amp;IF(CL1344&gt;0,"Lift "&amp;W1344&amp;" lt. Liftbericht (Fach "&amp;X1344&amp;" Stk); ",IF(BX1344=1,"Gebinde geschätzt ("&amp;T1344&amp;"); ",IF(BW1344=1,"Lose – Tablare geschätzt; ","")))&amp;IF(H1344&gt;AT1344,"Überbestand "&amp;ROUND(H1344-AT1344,0)&amp;" Stk / CHF "&amp;ROUND((H1344-AT1344)*G1344,0)&amp;"; ","")&amp;IF(AND(CE1344=1,CF1344&lt;CG1344),"MAX &lt; MB+LG; ","")&amp;IF(AND(CK1344&gt;0,CJ1344*10&gt;CK1344),"zu hoch für Tablar; ","")&amp;IF(AND(BS1344=0,OR(CE1344=1,AA1344&lt;&gt;"",U1344&lt;&gt;"",V1344&lt;&gt;"",AB1344&lt;&gt;"")),"manuell übersteuert; ","")&amp;IF(AND(BW1344=0,R1344=0),"Gebinde unbekannt / Stellmass fehlt; ","")&amp;IF(AND(BW1344=0,N(V1344)&lt;=0,N(Q1344)&lt;=0),"Menge pro Gebinde fehlt (Ist = 1 Gebinde); ","")&amp;BR1344)</f>
        <v>negativer Bestand (Export -36); </v>
      </c>
      <c r="BK1344" s="48"/>
      <c r="BL1344" s="48"/>
      <c r="BM1344" s="55"/>
      <c r="BN1344" s="50" t="n">
        <v>-36</v>
      </c>
      <c r="BO1344" s="50" t="n">
        <v>83</v>
      </c>
      <c r="BP1344" s="49" t="n">
        <v>-1818.71</v>
      </c>
      <c r="BQ1344" s="50" t="n">
        <v>158</v>
      </c>
      <c r="BR1344" s="48"/>
      <c r="BS1344" s="53" t="n">
        <v>0</v>
      </c>
      <c r="BT1344" s="53" t="n">
        <v>1344</v>
      </c>
      <c r="BU1344" s="48" t="str">
        <f aca="false">IF(U1344&lt;&gt;"",UPPER(TRIM(U1344)),IF(BX1344=1,UPPER(VLOOKUP(T1344,Parameter!$I$27:$K$29,2,0)),IF(P1344="","LOSE",P1344)))</f>
        <v>S62</v>
      </c>
      <c r="BV1344" s="50" t="n">
        <f aca="false">IF(BU1344="LOSE",1,IF(N(V1344)&gt;0,V1344,IF(BX1344=1,MAX(1,N(VLOOKUP(T1344,Parameter!$I$27:$K$29,3,0)),H1344,N(N1344)),IF(N(Q1344)&gt;0,Q1344,MAX(1,H1344)))))</f>
        <v>23</v>
      </c>
      <c r="BW1344" s="53" t="n">
        <f aca="false">IF(BU1344="LOSE",1,0)</f>
        <v>0</v>
      </c>
      <c r="BX1344" s="53" t="n">
        <f aca="false">IF(AND(U1344="",OR(P1344="",P1344="LOSE"),T1344&lt;&gt;"",N(S1344)&lt;=0,ISNUMBER(MATCH(T1344,Parameter!$I$27:$I$29,0))),1,0)</f>
        <v>0</v>
      </c>
      <c r="BY1344" s="53" t="n">
        <f aca="false">IF(CL1344&gt;0,INDEX(Parameter!$H$5:$H$7,W1344)/INDEX(Parameter!$E$5:$E$7,W1344),IF(AND(BW1344=0,N(IFERROR(VLOOKUP(BU1344,'Gebinde-Kategorie'!$A$5:$N$45,14,0),0))&gt;0),VLOOKUP(BU1344,'Gebinde-Kategorie'!$A$5:$N$45,14,0)*10+Parameter!$M$23,Parameter!$M$24))</f>
        <v>245</v>
      </c>
      <c r="BZ1344" s="48" t="str">
        <f aca="false">IF(AND(Parameter!$B$19="Ja",E1344&lt;&gt;"",ISNUMBER(MATCH(E1344,Parameter!$I$35:$I$52,0))),VLOOKUP(E1344,Parameter!$I$35:$J$52,2,0),IFERROR(VLOOKUP(D1344,Parameter!$A$35:$C$64,2,0),"Nein"))</f>
        <v>2+3</v>
      </c>
      <c r="CA1344" s="52" t="n">
        <f aca="false">IF(BW1344=0,0,IF(N(S1344)&gt;0,S1344,IFERROR(VLOOKUP(D1344,Parameter!$A$35:$C$64,3,0)+0,0)))</f>
        <v>0</v>
      </c>
      <c r="CB1344" s="48" t="n">
        <f aca="false">IF(AA1344&lt;&gt;"",AA1344,Z1344)</f>
        <v>2</v>
      </c>
      <c r="CC1344" s="48" t="str">
        <f aca="false">IF(OR(CB1344=1,CB1344=2,CB1344=3),IF(Parameter!$E$27="Ja","LIFT",IF(CB1344=1,"L1","L23")),IF(CB1344="Aussen","Aussen","-"))</f>
        <v>LIFT</v>
      </c>
      <c r="CD1344" s="59" t="n">
        <f aca="false">IF(N(AB1344)&gt;0,AB1344,0)</f>
        <v>0</v>
      </c>
      <c r="CE1344" s="53" t="n">
        <f aca="false">IF(ISNUMBER(AE1344),1,0)</f>
        <v>0</v>
      </c>
      <c r="CF1344" s="50" t="n">
        <f aca="false">N(AE1344)</f>
        <v>0</v>
      </c>
      <c r="CG1344" s="50" t="n">
        <f aca="false">N(M1344)+N(N1344)</f>
        <v>120</v>
      </c>
      <c r="CH1344" s="50" t="n">
        <f aca="false">ROUNDUP(H1344/BV1344,0)</f>
        <v>3</v>
      </c>
      <c r="CI1344" s="50" t="n">
        <f aca="false">ROUNDUP(CF1344/BV1344,0)</f>
        <v>0</v>
      </c>
      <c r="CJ1344" s="53" t="n">
        <f aca="false">IF(BW1344=1,0,IFERROR(VLOOKUP(BU1344,'Gebinde-Kategorie'!$A$5:$N$45,5,0)+0,0))</f>
        <v>21</v>
      </c>
      <c r="CK1344" s="53" t="n">
        <f aca="false">IFERROR(IF(OR(CB1344=1,CB1344=2,CB1344=3),N(INDEX(Parameter!$I$5:$I$7,CB1344)),0),0)</f>
        <v>0</v>
      </c>
      <c r="CL1344" s="52" t="n">
        <f aca="false">IF(AND(Parameter!$B$21="Ja",ISNUMBER(W1344),N(X1344)&gt;0),IFERROR(N(INDEX(Parameter!$L$5:$L$7,W1344))*INDEX(Parameter!$E$5:$E$7,W1344)*X1344/SUMIFS($X$7:$X$1843,$W$7:$W$1843,W1344),0),0)</f>
        <v>0</v>
      </c>
    </row>
    <row r="1345" customFormat="false" ht="15" hidden="false" customHeight="false" outlineLevel="0" collapsed="false">
      <c r="A1345" s="48" t="s">
        <v>2382</v>
      </c>
      <c r="B1345" s="48" t="s">
        <v>1906</v>
      </c>
      <c r="C1345" s="48" t="s">
        <v>171</v>
      </c>
      <c r="D1345" s="48" t="s">
        <v>188</v>
      </c>
      <c r="E1345" s="48" t="s">
        <v>189</v>
      </c>
      <c r="F1345" s="48" t="s">
        <v>222</v>
      </c>
      <c r="G1345" s="49" t="n">
        <v>21.45</v>
      </c>
      <c r="H1345" s="50" t="n">
        <f aca="false">MAX(0,IF(AND(Parameter!$B$21="Ja",ISNUMBER(Y1345)),Y1345,IF(Parameter!$B$20="Jahresanfang 2025 + Export",BO1345+BN1345,BN1345)))</f>
        <v>42</v>
      </c>
      <c r="I1345" s="50" t="n">
        <f aca="false">H1345*G1345</f>
        <v>900.9</v>
      </c>
      <c r="J1345" s="50" t="n">
        <f aca="false">BQ1345*Parameter!$B$18</f>
        <v>384</v>
      </c>
      <c r="K1345" s="51" t="n">
        <v>122.5</v>
      </c>
      <c r="L1345" s="52" t="n">
        <v>3.13469387755102</v>
      </c>
      <c r="M1345" s="50" t="n">
        <v>0</v>
      </c>
      <c r="N1345" s="50" t="n">
        <v>210</v>
      </c>
      <c r="O1345" s="53" t="n">
        <v>21</v>
      </c>
      <c r="P1345" s="48" t="s">
        <v>306</v>
      </c>
      <c r="Q1345" s="50" t="n">
        <v>57</v>
      </c>
      <c r="R1345" s="53" t="n">
        <f aca="false">IF(BW1345=1,0,IFERROR(VLOOKUP(BU1345,'Gebinde-Kategorie'!$A$5:$N$45,13,0)+0,0))</f>
        <v>26</v>
      </c>
      <c r="S1345" s="54"/>
      <c r="T1345" s="55"/>
      <c r="U1345" s="55"/>
      <c r="V1345" s="55"/>
      <c r="W1345" s="48"/>
      <c r="X1345" s="50"/>
      <c r="Y1345" s="50"/>
      <c r="Z1345" s="48" t="n">
        <f aca="false">IF(A1345="","",IF(AND(Parameter!$B$21="Ja",ISNUMBER(W1345)),W1345,IF(BZ1345="2+3",IF(ISNUMBER(SEARCH("grosser Artikel",BR1345)),2,IFERROR(VLOOKUP(BU1345,Parameter!$F$35:$G$64,2,0),2)),IF(OR(BZ1345="Nein",BZ1345=""),"-",BZ1345))))</f>
        <v>3</v>
      </c>
      <c r="AA1345" s="55"/>
      <c r="AB1345" s="56"/>
      <c r="AC1345" s="50" t="n">
        <f aca="false">AT1345</f>
        <v>228</v>
      </c>
      <c r="AD1345" s="50" t="n">
        <f aca="false">MAX(AT1345,H1345)</f>
        <v>228</v>
      </c>
      <c r="AE1345" s="57"/>
      <c r="AF1345" s="50" t="n">
        <f aca="false">IF(LEFT(Cockpit!$C$5,1)="A",H1345,IF(CE1345=1,CF1345,IF(LEFT(Cockpit!$C$5,1)="B",AK1345,MAX(AK1345,H1345))))</f>
        <v>42</v>
      </c>
      <c r="AG1345" s="50" t="n">
        <f aca="false">IF(BW1345=1,0,ROUNDUP(AF1345/BV1345,0))</f>
        <v>1</v>
      </c>
      <c r="AH1345" s="52" t="n">
        <f aca="false">IF(CL1345&gt;0,CL1345*MAX(1,AF1345/X1345),IF(BW1345=1,IF(AF1345&lt;=0,0,CA1345*MAX(1,IF(H1345&gt;0,AF1345/H1345,1))),IF(R1345&gt;0,AG1345/R1345,0))/MAX(0.1,N(Parameter!$M$21)))</f>
        <v>0.0384615384615385</v>
      </c>
      <c r="AI1345" s="50" t="n">
        <f aca="false">AH1345*BY1345</f>
        <v>5.96153846153846</v>
      </c>
      <c r="AJ1345" s="50" t="n">
        <f aca="false">AF1345*G1345</f>
        <v>900.9</v>
      </c>
      <c r="AK1345" s="50" t="n">
        <f aca="false">ROUNDUP(MAX(J1345/IF(CD1345&gt;0,CD1345,MAX(0.1,N(Cockpit!$C$6))),CG1345)/BV1345,0)*BV1345</f>
        <v>228</v>
      </c>
      <c r="AL1345" s="51" t="n">
        <f aca="false">IF(AI1345&gt;0,J1345/AI1345,-1)</f>
        <v>64.4129032258065</v>
      </c>
      <c r="AM1345" s="51" t="n">
        <f aca="false">IF(AND(OR(CC1345="L1",CC1345="L23",CC1345="LIFT"),AI1345&gt;0),SUMIFS($AI$7:$AI$1843,$CC$7:$CC$1843,CC1345,$AL$7:$AL$1843,"&gt;"&amp;AL1345)+SUMIFS($AI$7:$AI$1843,$CC$7:$CC$1843,CC1345,$AL$7:$AL$1843,AL1345,$BT$7:$BT$1843,"&lt;="&amp;BT1345),"")</f>
        <v>946.199175824176</v>
      </c>
      <c r="AN1345" s="58" t="n">
        <f aca="false">IF(AM1345="",0,MAX(0,MIN(1,(IF(CC1345="L1",Parameter!$H$5,IF(CC1345="L23",Parameter!$H$6+Parameter!$H$7,Parameter!$H$5+Parameter!$H$6+Parameter!$H$7))-(AM1345-AI1345))/AI1345)))</f>
        <v>1</v>
      </c>
      <c r="AO1345" s="50" t="n">
        <f aca="false">IF(LEFT(Cockpit!$I$5,1)="A",H1345,IF(CE1345=1,CF1345,IF(LEFT(Cockpit!$I$5,1)="B",AT1345,MAX(AT1345,H1345))))</f>
        <v>228</v>
      </c>
      <c r="AP1345" s="50" t="n">
        <f aca="false">IF(BW1345=1,0,ROUNDUP(AO1345/BV1345,0))</f>
        <v>4</v>
      </c>
      <c r="AQ1345" s="52" t="n">
        <f aca="false">IF(CL1345&gt;0,CL1345*MAX(1,AO1345/X1345),IF(BW1345=1,IF(AO1345&lt;=0,0,CA1345*MAX(1,IF(H1345&gt;0,AO1345/H1345,1))),IF(R1345&gt;0,AP1345/R1345,0))/MAX(0.1,N(Parameter!$M$21)))</f>
        <v>0.153846153846154</v>
      </c>
      <c r="AR1345" s="50" t="n">
        <f aca="false">AQ1345*BY1345</f>
        <v>23.8461538461538</v>
      </c>
      <c r="AS1345" s="50" t="n">
        <f aca="false">AO1345*G1345</f>
        <v>4890.6</v>
      </c>
      <c r="AT1345" s="50" t="n">
        <f aca="false">ROUNDUP(MAX(J1345/IF(CD1345&gt;0,CD1345,MAX(0.1,N(Cockpit!$I$6))),CG1345)/BV1345,0)*BV1345</f>
        <v>228</v>
      </c>
      <c r="AU1345" s="51" t="n">
        <f aca="false">IF(AR1345&gt;0,J1345/AR1345,-1)</f>
        <v>16.1032258064516</v>
      </c>
      <c r="AV1345" s="51" t="n">
        <f aca="false">IF(AND(OR(CC1345="L1",CC1345="L23",CC1345="LIFT"),AR1345&gt;0),SUMIFS($AR$7:$AR$1843,$CC$7:$CC$1843,CC1345,$AU$7:$AU$1843,"&gt;"&amp;AU1345)+SUMIFS($AR$7:$AR$1843,$CC$7:$CC$1843,CC1345,$AU$7:$AU$1843,AU1345,$BT$7:$BT$1843,"&lt;="&amp;BT1345),"")</f>
        <v>3179.19917582418</v>
      </c>
      <c r="AW1345" s="58" t="n">
        <f aca="false">IF(AV1345="",0,MAX(0,MIN(1,(IF(CC1345="L1",Parameter!$H$5,IF(CC1345="L23",Parameter!$H$6+Parameter!$H$7,Parameter!$H$5+Parameter!$H$6+Parameter!$H$7))-(AV1345-AR1345))/AR1345)))</f>
        <v>1</v>
      </c>
      <c r="AX1345" s="50" t="n">
        <f aca="false">IF(LEFT(Cockpit!$O$5,1)="A",H1345,IF(CE1345=1,CF1345,IF(LEFT(Cockpit!$O$5,1)="B",BC1345,MAX(BC1345,H1345))))</f>
        <v>228</v>
      </c>
      <c r="AY1345" s="50" t="n">
        <f aca="false">IF(BW1345=1,0,ROUNDUP(AX1345/BV1345,0))</f>
        <v>4</v>
      </c>
      <c r="AZ1345" s="52" t="n">
        <f aca="false">IF(CL1345&gt;0,CL1345*MAX(1,AX1345/X1345),IF(BW1345=1,IF(AX1345&lt;=0,0,CA1345*MAX(1,IF(H1345&gt;0,AX1345/H1345,1))),IF(R1345&gt;0,AY1345/R1345,0))/MAX(0.1,N(Parameter!$M$21)))</f>
        <v>0.153846153846154</v>
      </c>
      <c r="BA1345" s="50" t="n">
        <f aca="false">AZ1345*BY1345</f>
        <v>23.8461538461538</v>
      </c>
      <c r="BB1345" s="50" t="n">
        <f aca="false">AX1345*G1345</f>
        <v>4890.6</v>
      </c>
      <c r="BC1345" s="50" t="n">
        <f aca="false">ROUNDUP(MAX(J1345/IF(CD1345&gt;0,CD1345,MAX(0.1,N(Cockpit!$O$6))),CG1345)/BV1345,0)*BV1345</f>
        <v>228</v>
      </c>
      <c r="BD1345" s="51" t="n">
        <f aca="false">IF(BA1345&gt;0,J1345/BA1345,-1)</f>
        <v>16.1032258064516</v>
      </c>
      <c r="BE1345" s="51" t="n">
        <f aca="false">IF(AND(OR(CC1345="L1",CC1345="L23",CC1345="LIFT"),BA1345&gt;0),SUMIFS($BA$7:$BA$1843,$CC$7:$CC$1843,CC1345,$BD$7:$BD$1843,"&gt;"&amp;BD1345)+SUMIFS($BA$7:$BA$1843,$CC$7:$CC$1843,CC1345,$BD$7:$BD$1843,BD1345,$BT$7:$BT$1843,"&lt;="&amp;BT1345),"")</f>
        <v>2853.63827838828</v>
      </c>
      <c r="BF1345" s="58" t="n">
        <f aca="false">IF(BE1345="",0,MAX(0,MIN(1,(IF(CC1345="L1",Parameter!$H$5,IF(CC1345="L23",Parameter!$H$6+Parameter!$H$7,Parameter!$H$5+Parameter!$H$6+Parameter!$H$7))-(BE1345-BA1345))/BA1345)))</f>
        <v>1</v>
      </c>
      <c r="BG1345" s="48" t="str">
        <f aca="false">IF(AI1345&lt;=0,"",IF(CC1345="Aussen","Aussenlager",IF(CC1345="-","Nicht im Lift",IF(AN1345&gt;=1,"Lift",IF(AN1345&lt;=0,"Aussenlager","teilweise")))))</f>
        <v>Lift</v>
      </c>
      <c r="BH1345" s="48" t="str">
        <f aca="false">IF(AR1345&lt;=0,"",IF(CC1345="Aussen","Aussenlager",IF(CC1345="-","Nicht im Lift",IF(AW1345&gt;=1,"Lift",IF(AW1345&lt;=0,"Aussenlager","teilweise")))))</f>
        <v>Lift</v>
      </c>
      <c r="BI1345" s="48" t="str">
        <f aca="false">IF(BA1345&lt;=0,"",IF(CC1345="Aussen","Aussenlager",IF(CC1345="-","Nicht im Lift",IF(BF1345&gt;=1,"Lift",IF(BF1345&lt;=0,"Aussenlager","teilweise")))))</f>
        <v>Lift</v>
      </c>
      <c r="BJ1345" s="48" t="str">
        <f aca="false">IF(A1345="","",IF(BS1345=1,"Neu; ","")&amp;IF(AND(BS1345=0,BN1345&lt;0),"negativer Bestand (Export "&amp;BN1345&amp;"); ","")&amp;IF(J1345&lt;=0,"Kein Verbrauch; ","")&amp;IF(CL1345&gt;0,"Lift "&amp;W1345&amp;" lt. Liftbericht (Fach "&amp;X1345&amp;" Stk); ",IF(BX1345=1,"Gebinde geschätzt ("&amp;T1345&amp;"); ",IF(BW1345=1,"Lose – Tablare geschätzt; ","")))&amp;IF(H1345&gt;AT1345,"Überbestand "&amp;ROUND(H1345-AT1345,0)&amp;" Stk / CHF "&amp;ROUND((H1345-AT1345)*G1345,0)&amp;"; ","")&amp;IF(AND(CE1345=1,CF1345&lt;CG1345),"MAX &lt; MB+LG; ","")&amp;IF(AND(CK1345&gt;0,CJ1345*10&gt;CK1345),"zu hoch für Tablar; ","")&amp;IF(AND(BS1345=0,OR(CE1345=1,AA1345&lt;&gt;"",U1345&lt;&gt;"",V1345&lt;&gt;"",AB1345&lt;&gt;"")),"manuell übersteuert; ","")&amp;IF(AND(BW1345=0,R1345=0),"Gebinde unbekannt / Stellmass fehlt; ","")&amp;IF(AND(BW1345=0,N(V1345)&lt;=0,N(Q1345)&lt;=0),"Menge pro Gebinde fehlt (Ist = 1 Gebinde); ","")&amp;BR1345)</f>
        <v>negativer Bestand (Export -165); </v>
      </c>
      <c r="BK1345" s="48"/>
      <c r="BL1345" s="48"/>
      <c r="BM1345" s="55"/>
      <c r="BN1345" s="50" t="n">
        <v>-165</v>
      </c>
      <c r="BO1345" s="50" t="n">
        <v>207</v>
      </c>
      <c r="BP1345" s="49" t="n">
        <v>-1852.2</v>
      </c>
      <c r="BQ1345" s="50" t="n">
        <v>384</v>
      </c>
      <c r="BR1345" s="48"/>
      <c r="BS1345" s="53" t="n">
        <v>0</v>
      </c>
      <c r="BT1345" s="53" t="n">
        <v>1345</v>
      </c>
      <c r="BU1345" s="48" t="str">
        <f aca="false">IF(U1345&lt;&gt;"",UPPER(TRIM(U1345)),IF(BX1345=1,UPPER(VLOOKUP(T1345,Parameter!$I$27:$K$29,2,0)),IF(P1345="","LOSE",P1345)))</f>
        <v>S51</v>
      </c>
      <c r="BV1345" s="50" t="n">
        <f aca="false">IF(BU1345="LOSE",1,IF(N(V1345)&gt;0,V1345,IF(BX1345=1,MAX(1,N(VLOOKUP(T1345,Parameter!$I$27:$K$29,3,0)),H1345,N(N1345)),IF(N(Q1345)&gt;0,Q1345,MAX(1,H1345)))))</f>
        <v>57</v>
      </c>
      <c r="BW1345" s="53" t="n">
        <f aca="false">IF(BU1345="LOSE",1,0)</f>
        <v>0</v>
      </c>
      <c r="BX1345" s="53" t="n">
        <f aca="false">IF(AND(U1345="",OR(P1345="",P1345="LOSE"),T1345&lt;&gt;"",N(S1345)&lt;=0,ISNUMBER(MATCH(T1345,Parameter!$I$27:$I$29,0))),1,0)</f>
        <v>0</v>
      </c>
      <c r="BY1345" s="53" t="n">
        <f aca="false">IF(CL1345&gt;0,INDEX(Parameter!$H$5:$H$7,W1345)/INDEX(Parameter!$E$5:$E$7,W1345),IF(AND(BW1345=0,N(IFERROR(VLOOKUP(BU1345,'Gebinde-Kategorie'!$A$5:$N$45,14,0),0))&gt;0),VLOOKUP(BU1345,'Gebinde-Kategorie'!$A$5:$N$45,14,0)*10+Parameter!$M$23,Parameter!$M$24))</f>
        <v>155</v>
      </c>
      <c r="BZ1345" s="48" t="str">
        <f aca="false">IF(AND(Parameter!$B$19="Ja",E1345&lt;&gt;"",ISNUMBER(MATCH(E1345,Parameter!$I$35:$I$52,0))),VLOOKUP(E1345,Parameter!$I$35:$J$52,2,0),IFERROR(VLOOKUP(D1345,Parameter!$A$35:$C$64,2,0),"Nein"))</f>
        <v>2+3</v>
      </c>
      <c r="CA1345" s="52" t="n">
        <f aca="false">IF(BW1345=0,0,IF(N(S1345)&gt;0,S1345,IFERROR(VLOOKUP(D1345,Parameter!$A$35:$C$64,3,0)+0,0)))</f>
        <v>0</v>
      </c>
      <c r="CB1345" s="48" t="n">
        <f aca="false">IF(AA1345&lt;&gt;"",AA1345,Z1345)</f>
        <v>3</v>
      </c>
      <c r="CC1345" s="48" t="str">
        <f aca="false">IF(OR(CB1345=1,CB1345=2,CB1345=3),IF(Parameter!$E$27="Ja","LIFT",IF(CB1345=1,"L1","L23")),IF(CB1345="Aussen","Aussen","-"))</f>
        <v>LIFT</v>
      </c>
      <c r="CD1345" s="59" t="n">
        <f aca="false">IF(N(AB1345)&gt;0,AB1345,0)</f>
        <v>0</v>
      </c>
      <c r="CE1345" s="53" t="n">
        <f aca="false">IF(ISNUMBER(AE1345),1,0)</f>
        <v>0</v>
      </c>
      <c r="CF1345" s="50" t="n">
        <f aca="false">N(AE1345)</f>
        <v>0</v>
      </c>
      <c r="CG1345" s="50" t="n">
        <f aca="false">N(M1345)+N(N1345)</f>
        <v>210</v>
      </c>
      <c r="CH1345" s="50" t="n">
        <f aca="false">ROUNDUP(H1345/BV1345,0)</f>
        <v>1</v>
      </c>
      <c r="CI1345" s="50" t="n">
        <f aca="false">ROUNDUP(CF1345/BV1345,0)</f>
        <v>0</v>
      </c>
      <c r="CJ1345" s="53" t="n">
        <f aca="false">IF(BW1345=1,0,IFERROR(VLOOKUP(BU1345,'Gebinde-Kategorie'!$A$5:$N$45,5,0)+0,0))</f>
        <v>11</v>
      </c>
      <c r="CK1345" s="53" t="n">
        <f aca="false">IFERROR(IF(OR(CB1345=1,CB1345=2,CB1345=3),N(INDEX(Parameter!$I$5:$I$7,CB1345)),0),0)</f>
        <v>0</v>
      </c>
      <c r="CL1345" s="52" t="n">
        <f aca="false">IF(AND(Parameter!$B$21="Ja",ISNUMBER(W1345),N(X1345)&gt;0),IFERROR(N(INDEX(Parameter!$L$5:$L$7,W1345))*INDEX(Parameter!$E$5:$E$7,W1345)*X1345/SUMIFS($X$7:$X$1843,$W$7:$W$1843,W1345),0),0)</f>
        <v>0</v>
      </c>
    </row>
    <row r="1346" customFormat="false" ht="15" hidden="false" customHeight="false" outlineLevel="0" collapsed="false">
      <c r="A1346" s="48" t="s">
        <v>2383</v>
      </c>
      <c r="B1346" s="48" t="s">
        <v>466</v>
      </c>
      <c r="C1346" s="48" t="s">
        <v>168</v>
      </c>
      <c r="D1346" s="48" t="s">
        <v>177</v>
      </c>
      <c r="E1346" s="48" t="s">
        <v>189</v>
      </c>
      <c r="F1346" s="48" t="s">
        <v>222</v>
      </c>
      <c r="G1346" s="49" t="n">
        <v>238.48</v>
      </c>
      <c r="H1346" s="50" t="n">
        <f aca="false">MAX(0,IF(AND(Parameter!$B$21="Ja",ISNUMBER(Y1346)),Y1346,IF(Parameter!$B$20="Jahresanfang 2025 + Export",BO1346+BN1346,BN1346)))</f>
        <v>11</v>
      </c>
      <c r="I1346" s="50" t="n">
        <f aca="false">H1346*G1346</f>
        <v>2623.28</v>
      </c>
      <c r="J1346" s="50" t="n">
        <f aca="false">BQ1346*Parameter!$B$18</f>
        <v>39</v>
      </c>
      <c r="K1346" s="51" t="n">
        <v>14.5</v>
      </c>
      <c r="L1346" s="52" t="n">
        <v>2.68965517241379</v>
      </c>
      <c r="M1346" s="50" t="n">
        <v>3</v>
      </c>
      <c r="N1346" s="50" t="n">
        <v>10</v>
      </c>
      <c r="O1346" s="53" t="n">
        <v>28</v>
      </c>
      <c r="P1346" s="48" t="s">
        <v>172</v>
      </c>
      <c r="Q1346" s="50"/>
      <c r="R1346" s="53" t="n">
        <f aca="false">IF(BW1346=1,0,IFERROR(VLOOKUP(BU1346,'Gebinde-Kategorie'!$A$5:$N$45,13,0)+0,0))</f>
        <v>0</v>
      </c>
      <c r="S1346" s="54"/>
      <c r="T1346" s="55"/>
      <c r="U1346" s="55"/>
      <c r="V1346" s="55"/>
      <c r="W1346" s="48" t="n">
        <v>1</v>
      </c>
      <c r="X1346" s="50" t="n">
        <v>18</v>
      </c>
      <c r="Y1346" s="50" t="n">
        <v>11</v>
      </c>
      <c r="Z1346" s="48" t="n">
        <f aca="false">IF(A1346="","",IF(AND(Parameter!$B$21="Ja",ISNUMBER(W1346)),W1346,IF(BZ1346="2+3",IF(ISNUMBER(SEARCH("grosser Artikel",BR1346)),2,IFERROR(VLOOKUP(BU1346,Parameter!$F$35:$G$64,2,0),2)),IF(OR(BZ1346="Nein",BZ1346=""),"-",BZ1346))))</f>
        <v>1</v>
      </c>
      <c r="AA1346" s="55"/>
      <c r="AB1346" s="56"/>
      <c r="AC1346" s="50" t="n">
        <f aca="false">AT1346</f>
        <v>20</v>
      </c>
      <c r="AD1346" s="50" t="n">
        <f aca="false">MAX(AT1346,H1346)</f>
        <v>20</v>
      </c>
      <c r="AE1346" s="57"/>
      <c r="AF1346" s="50" t="n">
        <f aca="false">IF(LEFT(Cockpit!$C$5,1)="A",H1346,IF(CE1346=1,CF1346,IF(LEFT(Cockpit!$C$5,1)="B",AK1346,MAX(AK1346,H1346))))</f>
        <v>11</v>
      </c>
      <c r="AG1346" s="50" t="n">
        <f aca="false">IF(BW1346=1,0,ROUNDUP(AF1346/BV1346,0))</f>
        <v>0</v>
      </c>
      <c r="AH1346" s="52" t="n">
        <f aca="false">IF(CL1346&gt;0,CL1346*MAX(1,AF1346/X1346),IF(BW1346=1,IF(AF1346&lt;=0,0,CA1346*MAX(1,IF(H1346&gt;0,AF1346/H1346,1))),IF(R1346&gt;0,AG1346/R1346,0))/MAX(0.1,N(Parameter!$M$21)))</f>
        <v>1.44067796610169</v>
      </c>
      <c r="AI1346" s="50" t="n">
        <f aca="false">AH1346*BY1346</f>
        <v>342.881355932203</v>
      </c>
      <c r="AJ1346" s="50" t="n">
        <f aca="false">AF1346*G1346</f>
        <v>2623.28</v>
      </c>
      <c r="AK1346" s="50" t="n">
        <f aca="false">ROUNDUP(MAX(J1346/IF(CD1346&gt;0,CD1346,MAX(0.1,N(Cockpit!$C$6))),CG1346)/BV1346,0)*BV1346</f>
        <v>20</v>
      </c>
      <c r="AL1346" s="51" t="n">
        <f aca="false">IF(AI1346&gt;0,J1346/AI1346,-1)</f>
        <v>0.113741967375185</v>
      </c>
      <c r="AM1346" s="51" t="n">
        <f aca="false">IF(AND(OR(CC1346="L1",CC1346="L23",CC1346="LIFT"),AI1346&gt;0),SUMIFS($AI$7:$AI$1843,$CC$7:$CC$1843,CC1346,$AL$7:$AL$1843,"&gt;"&amp;AL1346)+SUMIFS($AI$7:$AI$1843,$CC$7:$CC$1843,CC1346,$AL$7:$AL$1843,AL1346,$BT$7:$BT$1843,"&lt;="&amp;BT1346),"")</f>
        <v>14765.5545596118</v>
      </c>
      <c r="AN1346" s="58" t="n">
        <f aca="false">IF(AM1346="",0,MAX(0,MIN(1,(IF(CC1346="L1",Parameter!$H$5,IF(CC1346="L23",Parameter!$H$6+Parameter!$H$7,Parameter!$H$5+Parameter!$H$6+Parameter!$H$7))-(AM1346-AI1346))/AI1346)))</f>
        <v>1</v>
      </c>
      <c r="AO1346" s="50" t="n">
        <f aca="false">IF(LEFT(Cockpit!$I$5,1)="A",H1346,IF(CE1346=1,CF1346,IF(LEFT(Cockpit!$I$5,1)="B",AT1346,MAX(AT1346,H1346))))</f>
        <v>20</v>
      </c>
      <c r="AP1346" s="50" t="n">
        <f aca="false">IF(BW1346=1,0,ROUNDUP(AO1346/BV1346,0))</f>
        <v>0</v>
      </c>
      <c r="AQ1346" s="52" t="n">
        <f aca="false">IF(CL1346&gt;0,CL1346*MAX(1,AO1346/X1346),IF(BW1346=1,IF(AO1346&lt;=0,0,CA1346*MAX(1,IF(H1346&gt;0,AO1346/H1346,1))),IF(R1346&gt;0,AP1346/R1346,0))/MAX(0.1,N(Parameter!$M$21)))</f>
        <v>1.60075329566855</v>
      </c>
      <c r="AR1346" s="50" t="n">
        <f aca="false">AQ1346*BY1346</f>
        <v>380.979284369115</v>
      </c>
      <c r="AS1346" s="50" t="n">
        <f aca="false">AO1346*G1346</f>
        <v>4769.6</v>
      </c>
      <c r="AT1346" s="50" t="n">
        <f aca="false">ROUNDUP(MAX(J1346/IF(CD1346&gt;0,CD1346,MAX(0.1,N(Cockpit!$I$6))),CG1346)/BV1346,0)*BV1346</f>
        <v>20</v>
      </c>
      <c r="AU1346" s="51" t="n">
        <f aca="false">IF(AR1346&gt;0,J1346/AR1346,-1)</f>
        <v>0.102367770637667</v>
      </c>
      <c r="AV1346" s="51" t="n">
        <f aca="false">IF(AND(OR(CC1346="L1",CC1346="L23",CC1346="LIFT"),AR1346&gt;0),SUMIFS($AR$7:$AR$1843,$CC$7:$CC$1843,CC1346,$AU$7:$AU$1843,"&gt;"&amp;AU1346)+SUMIFS($AR$7:$AR$1843,$CC$7:$CC$1843,CC1346,$AU$7:$AU$1843,AU1346,$BT$7:$BT$1843,"&lt;="&amp;BT1346),"")</f>
        <v>23435.2344865586</v>
      </c>
      <c r="AW1346" s="58" t="n">
        <f aca="false">IF(AV1346="",0,MAX(0,MIN(1,(IF(CC1346="L1",Parameter!$H$5,IF(CC1346="L23",Parameter!$H$6+Parameter!$H$7,Parameter!$H$5+Parameter!$H$6+Parameter!$H$7))-(AV1346-AR1346))/AR1346)))</f>
        <v>1</v>
      </c>
      <c r="AX1346" s="50" t="n">
        <f aca="false">IF(LEFT(Cockpit!$O$5,1)="A",H1346,IF(CE1346=1,CF1346,IF(LEFT(Cockpit!$O$5,1)="B",BC1346,MAX(BC1346,H1346))))</f>
        <v>13</v>
      </c>
      <c r="AY1346" s="50" t="n">
        <f aca="false">IF(BW1346=1,0,ROUNDUP(AX1346/BV1346,0))</f>
        <v>0</v>
      </c>
      <c r="AZ1346" s="52" t="n">
        <f aca="false">IF(CL1346&gt;0,CL1346*MAX(1,AX1346/X1346),IF(BW1346=1,IF(AX1346&lt;=0,0,CA1346*MAX(1,IF(H1346&gt;0,AX1346/H1346,1))),IF(R1346&gt;0,AY1346/R1346,0))/MAX(0.1,N(Parameter!$M$21)))</f>
        <v>1.44067796610169</v>
      </c>
      <c r="BA1346" s="50" t="n">
        <f aca="false">AZ1346*BY1346</f>
        <v>342.881355932203</v>
      </c>
      <c r="BB1346" s="50" t="n">
        <f aca="false">AX1346*G1346</f>
        <v>3100.24</v>
      </c>
      <c r="BC1346" s="50" t="n">
        <f aca="false">ROUNDUP(MAX(J1346/IF(CD1346&gt;0,CD1346,MAX(0.1,N(Cockpit!$O$6))),CG1346)/BV1346,0)*BV1346</f>
        <v>13</v>
      </c>
      <c r="BD1346" s="51" t="n">
        <f aca="false">IF(BA1346&gt;0,J1346/BA1346,-1)</f>
        <v>0.113741967375185</v>
      </c>
      <c r="BE1346" s="51" t="n">
        <f aca="false">IF(AND(OR(CC1346="L1",CC1346="L23",CC1346="LIFT"),BA1346&gt;0),SUMIFS($BA$7:$BA$1843,$CC$7:$CC$1843,CC1346,$BD$7:$BD$1843,"&gt;"&amp;BD1346)+SUMIFS($BA$7:$BA$1843,$CC$7:$CC$1843,CC1346,$BD$7:$BD$1843,BD1346,$BT$7:$BT$1843,"&lt;="&amp;BT1346),"")</f>
        <v>20780.482476563</v>
      </c>
      <c r="BF1346" s="58" t="n">
        <f aca="false">IF(BE1346="",0,MAX(0,MIN(1,(IF(CC1346="L1",Parameter!$H$5,IF(CC1346="L23",Parameter!$H$6+Parameter!$H$7,Parameter!$H$5+Parameter!$H$6+Parameter!$H$7))-(BE1346-BA1346))/BA1346)))</f>
        <v>1</v>
      </c>
      <c r="BG1346" s="48" t="str">
        <f aca="false">IF(AI1346&lt;=0,"",IF(CC1346="Aussen","Aussenlager",IF(CC1346="-","Nicht im Lift",IF(AN1346&gt;=1,"Lift",IF(AN1346&lt;=0,"Aussenlager","teilweise")))))</f>
        <v>Lift</v>
      </c>
      <c r="BH1346" s="48" t="str">
        <f aca="false">IF(AR1346&lt;=0,"",IF(CC1346="Aussen","Aussenlager",IF(CC1346="-","Nicht im Lift",IF(AW1346&gt;=1,"Lift",IF(AW1346&lt;=0,"Aussenlager","teilweise")))))</f>
        <v>Lift</v>
      </c>
      <c r="BI1346" s="48" t="str">
        <f aca="false">IF(BA1346&lt;=0,"",IF(CC1346="Aussen","Aussenlager",IF(CC1346="-","Nicht im Lift",IF(BF1346&gt;=1,"Lift",IF(BF1346&lt;=0,"Aussenlager","teilweise")))))</f>
        <v>Lift</v>
      </c>
      <c r="BJ1346" s="48" t="str">
        <f aca="false">IF(A1346="","",IF(BS1346=1,"Neu; ","")&amp;IF(AND(BS1346=0,BN1346&lt;0),"negativer Bestand (Export "&amp;BN1346&amp;"); ","")&amp;IF(J1346&lt;=0,"Kein Verbrauch; ","")&amp;IF(CL1346&gt;0,"Lift "&amp;W1346&amp;" lt. Liftbericht (Fach "&amp;X1346&amp;" Stk); ",IF(BX1346=1,"Gebinde geschätzt ("&amp;T1346&amp;"); ",IF(BW1346=1,"Lose – Tablare geschätzt; ","")))&amp;IF(H1346&gt;AT1346,"Überbestand "&amp;ROUND(H1346-AT1346,0)&amp;" Stk / CHF "&amp;ROUND((H1346-AT1346)*G1346,0)&amp;"; ","")&amp;IF(AND(CE1346=1,CF1346&lt;CG1346),"MAX &lt; MB+LG; ","")&amp;IF(AND(CK1346&gt;0,CJ1346*10&gt;CK1346),"zu hoch für Tablar; ","")&amp;IF(AND(BS1346=0,OR(CE1346=1,AA1346&lt;&gt;"",U1346&lt;&gt;"",V1346&lt;&gt;"",AB1346&lt;&gt;"")),"manuell übersteuert; ","")&amp;IF(AND(BW1346=0,R1346=0),"Gebinde unbekannt / Stellmass fehlt; ","")&amp;IF(AND(BW1346=0,N(V1346)&lt;=0,N(Q1346)&lt;=0),"Menge pro Gebinde fehlt (Ist = 1 Gebinde); ","")&amp;BR1346)</f>
        <v>negativer Bestand (Export -8); Lift 1 lt. Liftbericht (Fach 18 Stk); grosser Artikel &amp; nicht im KTL</v>
      </c>
      <c r="BK1346" s="48"/>
      <c r="BL1346" s="48"/>
      <c r="BM1346" s="55"/>
      <c r="BN1346" s="50" t="n">
        <v>-8</v>
      </c>
      <c r="BO1346" s="50" t="n">
        <v>19</v>
      </c>
      <c r="BP1346" s="49" t="n">
        <v>-1918.86</v>
      </c>
      <c r="BQ1346" s="50" t="n">
        <v>39</v>
      </c>
      <c r="BR1346" s="48" t="s">
        <v>265</v>
      </c>
      <c r="BS1346" s="53" t="n">
        <v>0</v>
      </c>
      <c r="BT1346" s="53" t="n">
        <v>1346</v>
      </c>
      <c r="BU1346" s="48" t="str">
        <f aca="false">IF(U1346&lt;&gt;"",UPPER(TRIM(U1346)),IF(BX1346=1,UPPER(VLOOKUP(T1346,Parameter!$I$27:$K$29,2,0)),IF(P1346="","LOSE",P1346)))</f>
        <v>LOSE</v>
      </c>
      <c r="BV1346" s="50" t="n">
        <f aca="false">IF(BU1346="LOSE",1,IF(N(V1346)&gt;0,V1346,IF(BX1346=1,MAX(1,N(VLOOKUP(T1346,Parameter!$I$27:$K$29,3,0)),H1346,N(N1346)),IF(N(Q1346)&gt;0,Q1346,MAX(1,H1346)))))</f>
        <v>1</v>
      </c>
      <c r="BW1346" s="53" t="n">
        <f aca="false">IF(BU1346="LOSE",1,0)</f>
        <v>1</v>
      </c>
      <c r="BX1346" s="53" t="n">
        <f aca="false">IF(AND(U1346="",OR(P1346="",P1346="LOSE"),T1346&lt;&gt;"",N(S1346)&lt;=0,ISNUMBER(MATCH(T1346,Parameter!$I$27:$I$29,0))),1,0)</f>
        <v>0</v>
      </c>
      <c r="BY1346" s="53" t="n">
        <f aca="false">IF(CL1346&gt;0,INDEX(Parameter!$H$5:$H$7,W1346)/INDEX(Parameter!$E$5:$E$7,W1346),IF(AND(BW1346=0,N(IFERROR(VLOOKUP(BU1346,'Gebinde-Kategorie'!$A$5:$N$45,14,0),0))&gt;0),VLOOKUP(BU1346,'Gebinde-Kategorie'!$A$5:$N$45,14,0)*10+Parameter!$M$23,Parameter!$M$24))</f>
        <v>238</v>
      </c>
      <c r="BZ1346" s="48" t="str">
        <f aca="false">IF(AND(Parameter!$B$19="Ja",E1346&lt;&gt;"",ISNUMBER(MATCH(E1346,Parameter!$I$35:$I$52,0))),VLOOKUP(E1346,Parameter!$I$35:$J$52,2,0),IFERROR(VLOOKUP(D1346,Parameter!$A$35:$C$64,2,0),"Nein"))</f>
        <v>2+3</v>
      </c>
      <c r="CA1346" s="52" t="n">
        <f aca="false">IF(BW1346=0,0,IF(N(S1346)&gt;0,S1346,IFERROR(VLOOKUP(D1346,Parameter!$A$35:$C$64,3,0)+0,0)))</f>
        <v>0.15</v>
      </c>
      <c r="CB1346" s="48" t="n">
        <f aca="false">IF(AA1346&lt;&gt;"",AA1346,Z1346)</f>
        <v>1</v>
      </c>
      <c r="CC1346" s="48" t="str">
        <f aca="false">IF(OR(CB1346=1,CB1346=2,CB1346=3),IF(Parameter!$E$27="Ja","LIFT",IF(CB1346=1,"L1","L23")),IF(CB1346="Aussen","Aussen","-"))</f>
        <v>LIFT</v>
      </c>
      <c r="CD1346" s="59" t="n">
        <f aca="false">IF(N(AB1346)&gt;0,AB1346,0)</f>
        <v>0</v>
      </c>
      <c r="CE1346" s="53" t="n">
        <f aca="false">IF(ISNUMBER(AE1346),1,0)</f>
        <v>0</v>
      </c>
      <c r="CF1346" s="50" t="n">
        <f aca="false">N(AE1346)</f>
        <v>0</v>
      </c>
      <c r="CG1346" s="50" t="n">
        <f aca="false">N(M1346)+N(N1346)</f>
        <v>13</v>
      </c>
      <c r="CH1346" s="50" t="n">
        <f aca="false">ROUNDUP(H1346/BV1346,0)</f>
        <v>11</v>
      </c>
      <c r="CI1346" s="50" t="n">
        <f aca="false">ROUNDUP(CF1346/BV1346,0)</f>
        <v>0</v>
      </c>
      <c r="CJ1346" s="53" t="n">
        <f aca="false">IF(BW1346=1,0,IFERROR(VLOOKUP(BU1346,'Gebinde-Kategorie'!$A$5:$N$45,5,0)+0,0))</f>
        <v>0</v>
      </c>
      <c r="CK1346" s="53" t="n">
        <f aca="false">IFERROR(IF(OR(CB1346=1,CB1346=2,CB1346=3),N(INDEX(Parameter!$I$5:$I$7,CB1346)),0),0)</f>
        <v>0</v>
      </c>
      <c r="CL1346" s="52" t="n">
        <f aca="false">IF(AND(Parameter!$B$21="Ja",ISNUMBER(W1346),N(X1346)&gt;0),IFERROR(N(INDEX(Parameter!$L$5:$L$7,W1346))*INDEX(Parameter!$E$5:$E$7,W1346)*X1346/SUMIFS($X$7:$X$1843,$W$7:$W$1843,W1346),0),0)</f>
        <v>1.44067796610169</v>
      </c>
    </row>
    <row r="1347" customFormat="false" ht="15" hidden="false" customHeight="false" outlineLevel="0" collapsed="false">
      <c r="A1347" s="48" t="s">
        <v>2384</v>
      </c>
      <c r="B1347" s="48" t="s">
        <v>530</v>
      </c>
      <c r="C1347" s="48" t="s">
        <v>460</v>
      </c>
      <c r="D1347" s="48" t="s">
        <v>177</v>
      </c>
      <c r="E1347" s="48" t="s">
        <v>189</v>
      </c>
      <c r="F1347" s="48" t="s">
        <v>222</v>
      </c>
      <c r="G1347" s="49" t="n">
        <v>115.06</v>
      </c>
      <c r="H1347" s="50" t="n">
        <f aca="false">MAX(0,IF(AND(Parameter!$B$21="Ja",ISNUMBER(Y1347)),Y1347,IF(Parameter!$B$20="Jahresanfang 2025 + Export",BO1347+BN1347,BN1347)))</f>
        <v>0</v>
      </c>
      <c r="I1347" s="50" t="n">
        <f aca="false">H1347*G1347</f>
        <v>0</v>
      </c>
      <c r="J1347" s="50" t="n">
        <f aca="false">BQ1347*Parameter!$B$18</f>
        <v>0</v>
      </c>
      <c r="K1347" s="51" t="n">
        <v>16.5</v>
      </c>
      <c r="L1347" s="52" t="n">
        <v>0</v>
      </c>
      <c r="M1347" s="50" t="n">
        <v>0</v>
      </c>
      <c r="N1347" s="50" t="n">
        <v>1</v>
      </c>
      <c r="O1347" s="53" t="n">
        <v>56</v>
      </c>
      <c r="P1347" s="48" t="s">
        <v>172</v>
      </c>
      <c r="Q1347" s="50"/>
      <c r="R1347" s="53" t="n">
        <f aca="false">IF(BW1347=1,0,IFERROR(VLOOKUP(BU1347,'Gebinde-Kategorie'!$A$5:$N$45,13,0)+0,0))</f>
        <v>12</v>
      </c>
      <c r="S1347" s="54"/>
      <c r="T1347" s="55" t="s">
        <v>183</v>
      </c>
      <c r="U1347" s="55"/>
      <c r="V1347" s="55"/>
      <c r="W1347" s="48"/>
      <c r="X1347" s="50"/>
      <c r="Y1347" s="50"/>
      <c r="Z1347" s="48" t="n">
        <f aca="false">IF(A1347="","",IF(AND(Parameter!$B$21="Ja",ISNUMBER(W1347)),W1347,IF(BZ1347="2+3",IF(ISNUMBER(SEARCH("grosser Artikel",BR1347)),2,IFERROR(VLOOKUP(BU1347,Parameter!$F$35:$G$64,2,0),2)),IF(OR(BZ1347="Nein",BZ1347=""),"-",BZ1347))))</f>
        <v>2</v>
      </c>
      <c r="AA1347" s="55"/>
      <c r="AB1347" s="56"/>
      <c r="AC1347" s="50" t="n">
        <f aca="false">AT1347</f>
        <v>4</v>
      </c>
      <c r="AD1347" s="50" t="n">
        <f aca="false">MAX(AT1347,H1347)</f>
        <v>4</v>
      </c>
      <c r="AE1347" s="57"/>
      <c r="AF1347" s="50" t="n">
        <f aca="false">IF(LEFT(Cockpit!$C$5,1)="A",H1347,IF(CE1347=1,CF1347,IF(LEFT(Cockpit!$C$5,1)="B",AK1347,MAX(AK1347,H1347))))</f>
        <v>0</v>
      </c>
      <c r="AG1347" s="50" t="n">
        <f aca="false">IF(BW1347=1,0,ROUNDUP(AF1347/BV1347,0))</f>
        <v>0</v>
      </c>
      <c r="AH1347" s="52" t="n">
        <f aca="false">IF(CL1347&gt;0,CL1347*MAX(1,AF1347/X1347),IF(BW1347=1,IF(AF1347&lt;=0,0,CA1347*MAX(1,IF(H1347&gt;0,AF1347/H1347,1))),IF(R1347&gt;0,AG1347/R1347,0))/MAX(0.1,N(Parameter!$M$21)))</f>
        <v>0</v>
      </c>
      <c r="AI1347" s="50" t="n">
        <f aca="false">AH1347*BY1347</f>
        <v>0</v>
      </c>
      <c r="AJ1347" s="50" t="n">
        <f aca="false">AF1347*G1347</f>
        <v>0</v>
      </c>
      <c r="AK1347" s="50" t="n">
        <f aca="false">ROUNDUP(MAX(J1347/IF(CD1347&gt;0,CD1347,MAX(0.1,N(Cockpit!$C$6))),CG1347)/BV1347,0)*BV1347</f>
        <v>4</v>
      </c>
      <c r="AL1347" s="51" t="n">
        <f aca="false">IF(AI1347&gt;0,J1347/AI1347,-1)</f>
        <v>-1</v>
      </c>
      <c r="AM1347" s="51" t="str">
        <f aca="false">IF(AND(OR(CC1347="L1",CC1347="L23",CC1347="LIFT"),AI1347&gt;0),SUMIFS($AI$7:$AI$1843,$CC$7:$CC$1843,CC1347,$AL$7:$AL$1843,"&gt;"&amp;AL1347)+SUMIFS($AI$7:$AI$1843,$CC$7:$CC$1843,CC1347,$AL$7:$AL$1843,AL1347,$BT$7:$BT$1843,"&lt;="&amp;BT1347),"")</f>
        <v/>
      </c>
      <c r="AN1347" s="58" t="n">
        <f aca="false">IF(AM1347="",0,MAX(0,MIN(1,(IF(CC1347="L1",Parameter!$H$5,IF(CC1347="L23",Parameter!$H$6+Parameter!$H$7,Parameter!$H$5+Parameter!$H$6+Parameter!$H$7))-(AM1347-AI1347))/AI1347)))</f>
        <v>0</v>
      </c>
      <c r="AO1347" s="50" t="n">
        <f aca="false">IF(LEFT(Cockpit!$I$5,1)="A",H1347,IF(CE1347=1,CF1347,IF(LEFT(Cockpit!$I$5,1)="B",AT1347,MAX(AT1347,H1347))))</f>
        <v>4</v>
      </c>
      <c r="AP1347" s="50" t="n">
        <f aca="false">IF(BW1347=1,0,ROUNDUP(AO1347/BV1347,0))</f>
        <v>1</v>
      </c>
      <c r="AQ1347" s="52" t="n">
        <f aca="false">IF(CL1347&gt;0,CL1347*MAX(1,AO1347/X1347),IF(BW1347=1,IF(AO1347&lt;=0,0,CA1347*MAX(1,IF(H1347&gt;0,AO1347/H1347,1))),IF(R1347&gt;0,AP1347/R1347,0))/MAX(0.1,N(Parameter!$M$21)))</f>
        <v>0.0833333333333333</v>
      </c>
      <c r="AR1347" s="50" t="n">
        <f aca="false">AQ1347*BY1347</f>
        <v>12.0833333333333</v>
      </c>
      <c r="AS1347" s="50" t="n">
        <f aca="false">AO1347*G1347</f>
        <v>460.24</v>
      </c>
      <c r="AT1347" s="50" t="n">
        <f aca="false">ROUNDUP(MAX(J1347/IF(CD1347&gt;0,CD1347,MAX(0.1,N(Cockpit!$I$6))),CG1347)/BV1347,0)*BV1347</f>
        <v>4</v>
      </c>
      <c r="AU1347" s="51" t="n">
        <f aca="false">IF(AR1347&gt;0,J1347/AR1347,-1)</f>
        <v>0</v>
      </c>
      <c r="AV1347" s="51" t="n">
        <f aca="false">IF(AND(OR(CC1347="L1",CC1347="L23",CC1347="LIFT"),AR1347&gt;0),SUMIFS($AR$7:$AR$1843,$CC$7:$CC$1843,CC1347,$AU$7:$AU$1843,"&gt;"&amp;AU1347)+SUMIFS($AR$7:$AR$1843,$CC$7:$CC$1843,CC1347,$AU$7:$AU$1843,AU1347,$BT$7:$BT$1843,"&lt;="&amp;BT1347),"")</f>
        <v>41689.8557769914</v>
      </c>
      <c r="AW1347" s="58" t="n">
        <f aca="false">IF(AV1347="",0,MAX(0,MIN(1,(IF(CC1347="L1",Parameter!$H$5,IF(CC1347="L23",Parameter!$H$6+Parameter!$H$7,Parameter!$H$5+Parameter!$H$6+Parameter!$H$7))-(AV1347-AR1347))/AR1347)))</f>
        <v>0</v>
      </c>
      <c r="AX1347" s="50" t="n">
        <f aca="false">IF(LEFT(Cockpit!$O$5,1)="A",H1347,IF(CE1347=1,CF1347,IF(LEFT(Cockpit!$O$5,1)="B",BC1347,MAX(BC1347,H1347))))</f>
        <v>4</v>
      </c>
      <c r="AY1347" s="50" t="n">
        <f aca="false">IF(BW1347=1,0,ROUNDUP(AX1347/BV1347,0))</f>
        <v>1</v>
      </c>
      <c r="AZ1347" s="52" t="n">
        <f aca="false">IF(CL1347&gt;0,CL1347*MAX(1,AX1347/X1347),IF(BW1347=1,IF(AX1347&lt;=0,0,CA1347*MAX(1,IF(H1347&gt;0,AX1347/H1347,1))),IF(R1347&gt;0,AY1347/R1347,0))/MAX(0.1,N(Parameter!$M$21)))</f>
        <v>0.0833333333333333</v>
      </c>
      <c r="BA1347" s="50" t="n">
        <f aca="false">AZ1347*BY1347</f>
        <v>12.0833333333333</v>
      </c>
      <c r="BB1347" s="50" t="n">
        <f aca="false">AX1347*G1347</f>
        <v>460.24</v>
      </c>
      <c r="BC1347" s="50" t="n">
        <f aca="false">ROUNDUP(MAX(J1347/IF(CD1347&gt;0,CD1347,MAX(0.1,N(Cockpit!$O$6))),CG1347)/BV1347,0)*BV1347</f>
        <v>4</v>
      </c>
      <c r="BD1347" s="51" t="n">
        <f aca="false">IF(BA1347&gt;0,J1347/BA1347,-1)</f>
        <v>0</v>
      </c>
      <c r="BE1347" s="51" t="n">
        <f aca="false">IF(AND(OR(CC1347="L1",CC1347="L23",CC1347="LIFT"),BA1347&gt;0),SUMIFS($BA$7:$BA$1843,$CC$7:$CC$1843,CC1347,$BD$7:$BD$1843,"&gt;"&amp;BD1347)+SUMIFS($BA$7:$BA$1843,$CC$7:$CC$1843,CC1347,$BD$7:$BD$1843,BD1347,$BT$7:$BT$1843,"&lt;="&amp;BT1347),"")</f>
        <v>38364.8678188572</v>
      </c>
      <c r="BF1347" s="58" t="n">
        <f aca="false">IF(BE1347="",0,MAX(0,MIN(1,(IF(CC1347="L1",Parameter!$H$5,IF(CC1347="L23",Parameter!$H$6+Parameter!$H$7,Parameter!$H$5+Parameter!$H$6+Parameter!$H$7))-(BE1347-BA1347))/BA1347)))</f>
        <v>0</v>
      </c>
      <c r="BG1347" s="48" t="str">
        <f aca="false">IF(AI1347&lt;=0,"",IF(CC1347="Aussen","Aussenlager",IF(CC1347="-","Nicht im Lift",IF(AN1347&gt;=1,"Lift",IF(AN1347&lt;=0,"Aussenlager","teilweise")))))</f>
        <v/>
      </c>
      <c r="BH1347" s="48" t="str">
        <f aca="false">IF(AR1347&lt;=0,"",IF(CC1347="Aussen","Aussenlager",IF(CC1347="-","Nicht im Lift",IF(AW1347&gt;=1,"Lift",IF(AW1347&lt;=0,"Aussenlager","teilweise")))))</f>
        <v>Aussenlager</v>
      </c>
      <c r="BI1347" s="48" t="str">
        <f aca="false">IF(BA1347&lt;=0,"",IF(CC1347="Aussen","Aussenlager",IF(CC1347="-","Nicht im Lift",IF(BF1347&gt;=1,"Lift",IF(BF1347&lt;=0,"Aussenlager","teilweise")))))</f>
        <v>Aussenlager</v>
      </c>
      <c r="BJ1347" s="48" t="str">
        <f aca="false">IF(A1347="","",IF(BS1347=1,"Neu; ","")&amp;IF(AND(BS1347=0,BN1347&lt;0),"negativer Bestand (Export "&amp;BN1347&amp;"); ","")&amp;IF(J1347&lt;=0,"Kein Verbrauch; ","")&amp;IF(CL1347&gt;0,"Lift "&amp;W1347&amp;" lt. Liftbericht (Fach "&amp;X1347&amp;" Stk); ",IF(BX1347=1,"Gebinde geschätzt ("&amp;T1347&amp;"); ",IF(BW1347=1,"Lose – Tablare geschätzt; ","")))&amp;IF(H1347&gt;AT1347,"Überbestand "&amp;ROUND(H1347-AT1347,0)&amp;" Stk / CHF "&amp;ROUND((H1347-AT1347)*G1347,0)&amp;"; ","")&amp;IF(AND(CE1347=1,CF1347&lt;CG1347),"MAX &lt; MB+LG; ","")&amp;IF(AND(CK1347&gt;0,CJ1347*10&gt;CK1347),"zu hoch für Tablar; ","")&amp;IF(AND(BS1347=0,OR(CE1347=1,AA1347&lt;&gt;"",U1347&lt;&gt;"",V1347&lt;&gt;"",AB1347&lt;&gt;"")),"manuell übersteuert; ","")&amp;IF(AND(BW1347=0,R1347=0),"Gebinde unbekannt / Stellmass fehlt; ","")&amp;IF(AND(BW1347=0,N(V1347)&lt;=0,N(Q1347)&lt;=0),"Menge pro Gebinde fehlt (Ist = 1 Gebinde); ","")&amp;BR1347)</f>
        <v>negativer Bestand (Export -17); Kein Verbrauch; Gebinde geschätzt (Mittel); Menge pro Gebinde fehlt (Ist = 1 Gebinde); grosser Artikel &amp; nicht im KTL</v>
      </c>
      <c r="BK1347" s="48"/>
      <c r="BL1347" s="48"/>
      <c r="BM1347" s="55"/>
      <c r="BN1347" s="50" t="n">
        <v>-17</v>
      </c>
      <c r="BO1347" s="50" t="n">
        <v>17</v>
      </c>
      <c r="BP1347" s="49" t="n">
        <v>-1956.02</v>
      </c>
      <c r="BQ1347" s="50" t="n">
        <v>0</v>
      </c>
      <c r="BR1347" s="48" t="s">
        <v>265</v>
      </c>
      <c r="BS1347" s="53" t="n">
        <v>0</v>
      </c>
      <c r="BT1347" s="53" t="n">
        <v>1347</v>
      </c>
      <c r="BU1347" s="48" t="str">
        <f aca="false">IF(U1347&lt;&gt;"",UPPER(TRIM(U1347)),IF(BX1347=1,UPPER(VLOOKUP(T1347,Parameter!$I$27:$K$29,2,0)),IF(P1347="","LOSE",P1347)))</f>
        <v>S61</v>
      </c>
      <c r="BV1347" s="50" t="n">
        <f aca="false">IF(BU1347="LOSE",1,IF(N(V1347)&gt;0,V1347,IF(BX1347=1,MAX(1,N(VLOOKUP(T1347,Parameter!$I$27:$K$29,3,0)),H1347,N(N1347)),IF(N(Q1347)&gt;0,Q1347,MAX(1,H1347)))))</f>
        <v>4</v>
      </c>
      <c r="BW1347" s="53" t="n">
        <f aca="false">IF(BU1347="LOSE",1,0)</f>
        <v>0</v>
      </c>
      <c r="BX1347" s="53" t="n">
        <f aca="false">IF(AND(U1347="",OR(P1347="",P1347="LOSE"),T1347&lt;&gt;"",N(S1347)&lt;=0,ISNUMBER(MATCH(T1347,Parameter!$I$27:$I$29,0))),1,0)</f>
        <v>1</v>
      </c>
      <c r="BY1347" s="53" t="n">
        <f aca="false">IF(CL1347&gt;0,INDEX(Parameter!$H$5:$H$7,W1347)/INDEX(Parameter!$E$5:$E$7,W1347),IF(AND(BW1347=0,N(IFERROR(VLOOKUP(BU1347,'Gebinde-Kategorie'!$A$5:$N$45,14,0),0))&gt;0),VLOOKUP(BU1347,'Gebinde-Kategorie'!$A$5:$N$45,14,0)*10+Parameter!$M$23,Parameter!$M$24))</f>
        <v>145</v>
      </c>
      <c r="BZ1347" s="48" t="str">
        <f aca="false">IF(AND(Parameter!$B$19="Ja",E1347&lt;&gt;"",ISNUMBER(MATCH(E1347,Parameter!$I$35:$I$52,0))),VLOOKUP(E1347,Parameter!$I$35:$J$52,2,0),IFERROR(VLOOKUP(D1347,Parameter!$A$35:$C$64,2,0),"Nein"))</f>
        <v>2+3</v>
      </c>
      <c r="CA1347" s="52" t="n">
        <f aca="false">IF(BW1347=0,0,IF(N(S1347)&gt;0,S1347,IFERROR(VLOOKUP(D1347,Parameter!$A$35:$C$64,3,0)+0,0)))</f>
        <v>0</v>
      </c>
      <c r="CB1347" s="48" t="n">
        <f aca="false">IF(AA1347&lt;&gt;"",AA1347,Z1347)</f>
        <v>2</v>
      </c>
      <c r="CC1347" s="48" t="str">
        <f aca="false">IF(OR(CB1347=1,CB1347=2,CB1347=3),IF(Parameter!$E$27="Ja","LIFT",IF(CB1347=1,"L1","L23")),IF(CB1347="Aussen","Aussen","-"))</f>
        <v>LIFT</v>
      </c>
      <c r="CD1347" s="59" t="n">
        <f aca="false">IF(N(AB1347)&gt;0,AB1347,0)</f>
        <v>0</v>
      </c>
      <c r="CE1347" s="53" t="n">
        <f aca="false">IF(ISNUMBER(AE1347),1,0)</f>
        <v>0</v>
      </c>
      <c r="CF1347" s="50" t="n">
        <f aca="false">N(AE1347)</f>
        <v>0</v>
      </c>
      <c r="CG1347" s="50" t="n">
        <f aca="false">N(M1347)+N(N1347)</f>
        <v>1</v>
      </c>
      <c r="CH1347" s="50" t="n">
        <f aca="false">ROUNDUP(H1347/BV1347,0)</f>
        <v>0</v>
      </c>
      <c r="CI1347" s="50" t="n">
        <f aca="false">ROUNDUP(CF1347/BV1347,0)</f>
        <v>0</v>
      </c>
      <c r="CJ1347" s="53" t="n">
        <f aca="false">IF(BW1347=1,0,IFERROR(VLOOKUP(BU1347,'Gebinde-Kategorie'!$A$5:$N$45,5,0)+0,0))</f>
        <v>11</v>
      </c>
      <c r="CK1347" s="53" t="n">
        <f aca="false">IFERROR(IF(OR(CB1347=1,CB1347=2,CB1347=3),N(INDEX(Parameter!$I$5:$I$7,CB1347)),0),0)</f>
        <v>0</v>
      </c>
      <c r="CL1347" s="52" t="n">
        <f aca="false">IF(AND(Parameter!$B$21="Ja",ISNUMBER(W1347),N(X1347)&gt;0),IFERROR(N(INDEX(Parameter!$L$5:$L$7,W1347))*INDEX(Parameter!$E$5:$E$7,W1347)*X1347/SUMIFS($X$7:$X$1843,$W$7:$W$1843,W1347),0),0)</f>
        <v>0</v>
      </c>
    </row>
    <row r="1348" customFormat="false" ht="15" hidden="false" customHeight="false" outlineLevel="0" collapsed="false">
      <c r="A1348" s="48" t="s">
        <v>2385</v>
      </c>
      <c r="B1348" s="48" t="s">
        <v>2278</v>
      </c>
      <c r="C1348" s="48" t="s">
        <v>168</v>
      </c>
      <c r="D1348" s="48" t="s">
        <v>177</v>
      </c>
      <c r="E1348" s="48"/>
      <c r="F1348" s="48" t="s">
        <v>222</v>
      </c>
      <c r="G1348" s="49" t="n">
        <v>393.01</v>
      </c>
      <c r="H1348" s="50" t="n">
        <f aca="false">MAX(0,IF(AND(Parameter!$B$21="Ja",ISNUMBER(Y1348)),Y1348,IF(Parameter!$B$20="Jahresanfang 2025 + Export",BO1348+BN1348,BN1348)))</f>
        <v>4</v>
      </c>
      <c r="I1348" s="50" t="n">
        <f aca="false">H1348*G1348</f>
        <v>1572.04</v>
      </c>
      <c r="J1348" s="50" t="n">
        <f aca="false">BQ1348*Parameter!$B$18</f>
        <v>1</v>
      </c>
      <c r="K1348" s="51" t="n">
        <v>6.5</v>
      </c>
      <c r="L1348" s="52" t="n">
        <v>0.153846153846154</v>
      </c>
      <c r="M1348" s="50" t="n">
        <v>0</v>
      </c>
      <c r="N1348" s="50" t="n">
        <v>1</v>
      </c>
      <c r="O1348" s="53" t="n">
        <v>35</v>
      </c>
      <c r="P1348" s="48" t="s">
        <v>178</v>
      </c>
      <c r="Q1348" s="50" t="n">
        <v>10</v>
      </c>
      <c r="R1348" s="53" t="n">
        <f aca="false">IF(BW1348=1,0,IFERROR(VLOOKUP(BU1348,'Gebinde-Kategorie'!$A$5:$N$45,13,0)+0,0))</f>
        <v>6</v>
      </c>
      <c r="S1348" s="54"/>
      <c r="T1348" s="55"/>
      <c r="U1348" s="55"/>
      <c r="V1348" s="55"/>
      <c r="W1348" s="48"/>
      <c r="X1348" s="50"/>
      <c r="Y1348" s="50"/>
      <c r="Z1348" s="48" t="n">
        <f aca="false">IF(A1348="","",IF(AND(Parameter!$B$21="Ja",ISNUMBER(W1348)),W1348,IF(BZ1348="2+3",IF(ISNUMBER(SEARCH("grosser Artikel",BR1348)),2,IFERROR(VLOOKUP(BU1348,Parameter!$F$35:$G$64,2,0),2)),IF(OR(BZ1348="Nein",BZ1348=""),"-",BZ1348))))</f>
        <v>2</v>
      </c>
      <c r="AA1348" s="55"/>
      <c r="AB1348" s="56"/>
      <c r="AC1348" s="50" t="n">
        <f aca="false">AT1348</f>
        <v>10</v>
      </c>
      <c r="AD1348" s="50" t="n">
        <f aca="false">MAX(AT1348,H1348)</f>
        <v>10</v>
      </c>
      <c r="AE1348" s="57"/>
      <c r="AF1348" s="50" t="n">
        <f aca="false">IF(LEFT(Cockpit!$C$5,1)="A",H1348,IF(CE1348=1,CF1348,IF(LEFT(Cockpit!$C$5,1)="B",AK1348,MAX(AK1348,H1348))))</f>
        <v>4</v>
      </c>
      <c r="AG1348" s="50" t="n">
        <f aca="false">IF(BW1348=1,0,ROUNDUP(AF1348/BV1348,0))</f>
        <v>1</v>
      </c>
      <c r="AH1348" s="52" t="n">
        <f aca="false">IF(CL1348&gt;0,CL1348*MAX(1,AF1348/X1348),IF(BW1348=1,IF(AF1348&lt;=0,0,CA1348*MAX(1,IF(H1348&gt;0,AF1348/H1348,1))),IF(R1348&gt;0,AG1348/R1348,0))/MAX(0.1,N(Parameter!$M$21)))</f>
        <v>0.166666666666667</v>
      </c>
      <c r="AI1348" s="50" t="n">
        <f aca="false">AH1348*BY1348</f>
        <v>39.1666666666667</v>
      </c>
      <c r="AJ1348" s="50" t="n">
        <f aca="false">AF1348*G1348</f>
        <v>1572.04</v>
      </c>
      <c r="AK1348" s="50" t="n">
        <f aca="false">ROUNDUP(MAX(J1348/IF(CD1348&gt;0,CD1348,MAX(0.1,N(Cockpit!$C$6))),CG1348)/BV1348,0)*BV1348</f>
        <v>10</v>
      </c>
      <c r="AL1348" s="51" t="n">
        <f aca="false">IF(AI1348&gt;0,J1348/AI1348,-1)</f>
        <v>0.025531914893617</v>
      </c>
      <c r="AM1348" s="51" t="n">
        <f aca="false">IF(AND(OR(CC1348="L1",CC1348="L23",CC1348="LIFT"),AI1348&gt;0),SUMIFS($AI$7:$AI$1843,$CC$7:$CC$1843,CC1348,$AL$7:$AL$1843,"&gt;"&amp;AL1348)+SUMIFS($AI$7:$AI$1843,$CC$7:$CC$1843,CC1348,$AL$7:$AL$1843,AL1348,$BT$7:$BT$1843,"&lt;="&amp;BT1348),"")</f>
        <v>21964.6104048964</v>
      </c>
      <c r="AN1348" s="58" t="n">
        <f aca="false">IF(AM1348="",0,MAX(0,MIN(1,(IF(CC1348="L1",Parameter!$H$5,IF(CC1348="L23",Parameter!$H$6+Parameter!$H$7,Parameter!$H$5+Parameter!$H$6+Parameter!$H$7))-(AM1348-AI1348))/AI1348)))</f>
        <v>1</v>
      </c>
      <c r="AO1348" s="50" t="n">
        <f aca="false">IF(LEFT(Cockpit!$I$5,1)="A",H1348,IF(CE1348=1,CF1348,IF(LEFT(Cockpit!$I$5,1)="B",AT1348,MAX(AT1348,H1348))))</f>
        <v>10</v>
      </c>
      <c r="AP1348" s="50" t="n">
        <f aca="false">IF(BW1348=1,0,ROUNDUP(AO1348/BV1348,0))</f>
        <v>1</v>
      </c>
      <c r="AQ1348" s="52" t="n">
        <f aca="false">IF(CL1348&gt;0,CL1348*MAX(1,AO1348/X1348),IF(BW1348=1,IF(AO1348&lt;=0,0,CA1348*MAX(1,IF(H1348&gt;0,AO1348/H1348,1))),IF(R1348&gt;0,AP1348/R1348,0))/MAX(0.1,N(Parameter!$M$21)))</f>
        <v>0.166666666666667</v>
      </c>
      <c r="AR1348" s="50" t="n">
        <f aca="false">AQ1348*BY1348</f>
        <v>39.1666666666667</v>
      </c>
      <c r="AS1348" s="50" t="n">
        <f aca="false">AO1348*G1348</f>
        <v>3930.1</v>
      </c>
      <c r="AT1348" s="50" t="n">
        <f aca="false">ROUNDUP(MAX(J1348/IF(CD1348&gt;0,CD1348,MAX(0.1,N(Cockpit!$I$6))),CG1348)/BV1348,0)*BV1348</f>
        <v>10</v>
      </c>
      <c r="AU1348" s="51" t="n">
        <f aca="false">IF(AR1348&gt;0,J1348/AR1348,-1)</f>
        <v>0.025531914893617</v>
      </c>
      <c r="AV1348" s="51" t="n">
        <f aca="false">IF(AND(OR(CC1348="L1",CC1348="L23",CC1348="LIFT"),AR1348&gt;0),SUMIFS($AR$7:$AR$1843,$CC$7:$CC$1843,CC1348,$AU$7:$AU$1843,"&gt;"&amp;AU1348)+SUMIFS($AR$7:$AR$1843,$CC$7:$CC$1843,CC1348,$AU$7:$AU$1843,AU1348,$BT$7:$BT$1843,"&lt;="&amp;BT1348),"")</f>
        <v>32897.3346603961</v>
      </c>
      <c r="AW1348" s="58" t="n">
        <f aca="false">IF(AV1348="",0,MAX(0,MIN(1,(IF(CC1348="L1",Parameter!$H$5,IF(CC1348="L23",Parameter!$H$6+Parameter!$H$7,Parameter!$H$5+Parameter!$H$6+Parameter!$H$7))-(AV1348-AR1348))/AR1348)))</f>
        <v>1</v>
      </c>
      <c r="AX1348" s="50" t="n">
        <f aca="false">IF(LEFT(Cockpit!$O$5,1)="A",H1348,IF(CE1348=1,CF1348,IF(LEFT(Cockpit!$O$5,1)="B",BC1348,MAX(BC1348,H1348))))</f>
        <v>10</v>
      </c>
      <c r="AY1348" s="50" t="n">
        <f aca="false">IF(BW1348=1,0,ROUNDUP(AX1348/BV1348,0))</f>
        <v>1</v>
      </c>
      <c r="AZ1348" s="52" t="n">
        <f aca="false">IF(CL1348&gt;0,CL1348*MAX(1,AX1348/X1348),IF(BW1348=1,IF(AX1348&lt;=0,0,CA1348*MAX(1,IF(H1348&gt;0,AX1348/H1348,1))),IF(R1348&gt;0,AY1348/R1348,0))/MAX(0.1,N(Parameter!$M$21)))</f>
        <v>0.166666666666667</v>
      </c>
      <c r="BA1348" s="50" t="n">
        <f aca="false">AZ1348*BY1348</f>
        <v>39.1666666666667</v>
      </c>
      <c r="BB1348" s="50" t="n">
        <f aca="false">AX1348*G1348</f>
        <v>3930.1</v>
      </c>
      <c r="BC1348" s="50" t="n">
        <f aca="false">ROUNDUP(MAX(J1348/IF(CD1348&gt;0,CD1348,MAX(0.1,N(Cockpit!$O$6))),CG1348)/BV1348,0)*BV1348</f>
        <v>10</v>
      </c>
      <c r="BD1348" s="51" t="n">
        <f aca="false">IF(BA1348&gt;0,J1348/BA1348,-1)</f>
        <v>0.025531914893617</v>
      </c>
      <c r="BE1348" s="51" t="n">
        <f aca="false">IF(AND(OR(CC1348="L1",CC1348="L23",CC1348="LIFT"),BA1348&gt;0),SUMIFS($BA$7:$BA$1843,$CC$7:$CC$1843,CC1348,$BD$7:$BD$1843,"&gt;"&amp;BD1348)+SUMIFS($BA$7:$BA$1843,$CC$7:$CC$1843,CC1348,$BD$7:$BD$1843,BD1348,$BT$7:$BT$1843,"&lt;="&amp;BT1348),"")</f>
        <v>29572.346702262</v>
      </c>
      <c r="BF1348" s="58" t="n">
        <f aca="false">IF(BE1348="",0,MAX(0,MIN(1,(IF(CC1348="L1",Parameter!$H$5,IF(CC1348="L23",Parameter!$H$6+Parameter!$H$7,Parameter!$H$5+Parameter!$H$6+Parameter!$H$7))-(BE1348-BA1348))/BA1348)))</f>
        <v>1</v>
      </c>
      <c r="BG1348" s="48" t="str">
        <f aca="false">IF(AI1348&lt;=0,"",IF(CC1348="Aussen","Aussenlager",IF(CC1348="-","Nicht im Lift",IF(AN1348&gt;=1,"Lift",IF(AN1348&lt;=0,"Aussenlager","teilweise")))))</f>
        <v>Lift</v>
      </c>
      <c r="BH1348" s="48" t="str">
        <f aca="false">IF(AR1348&lt;=0,"",IF(CC1348="Aussen","Aussenlager",IF(CC1348="-","Nicht im Lift",IF(AW1348&gt;=1,"Lift",IF(AW1348&lt;=0,"Aussenlager","teilweise")))))</f>
        <v>Lift</v>
      </c>
      <c r="BI1348" s="48" t="str">
        <f aca="false">IF(BA1348&lt;=0,"",IF(CC1348="Aussen","Aussenlager",IF(CC1348="-","Nicht im Lift",IF(BF1348&gt;=1,"Lift",IF(BF1348&lt;=0,"Aussenlager","teilweise")))))</f>
        <v>Lift</v>
      </c>
      <c r="BJ1348" s="48" t="str">
        <f aca="false">IF(A1348="","",IF(BS1348=1,"Neu; ","")&amp;IF(AND(BS1348=0,BN1348&lt;0),"negativer Bestand (Export "&amp;BN1348&amp;"); ","")&amp;IF(J1348&lt;=0,"Kein Verbrauch; ","")&amp;IF(CL1348&gt;0,"Lift "&amp;W1348&amp;" lt. Liftbericht (Fach "&amp;X1348&amp;" Stk); ",IF(BX1348=1,"Gebinde geschätzt ("&amp;T1348&amp;"); ",IF(BW1348=1,"Lose – Tablare geschätzt; ","")))&amp;IF(H1348&gt;AT1348,"Überbestand "&amp;ROUND(H1348-AT1348,0)&amp;" Stk / CHF "&amp;ROUND((H1348-AT1348)*G1348,0)&amp;"; ","")&amp;IF(AND(CE1348=1,CF1348&lt;CG1348),"MAX &lt; MB+LG; ","")&amp;IF(AND(CK1348&gt;0,CJ1348*10&gt;CK1348),"zu hoch für Tablar; ","")&amp;IF(AND(BS1348=0,OR(CE1348=1,AA1348&lt;&gt;"",U1348&lt;&gt;"",V1348&lt;&gt;"",AB1348&lt;&gt;"")),"manuell übersteuert; ","")&amp;IF(AND(BW1348=0,R1348=0),"Gebinde unbekannt / Stellmass fehlt; ","")&amp;IF(AND(BW1348=0,N(V1348)&lt;=0,N(Q1348)&lt;=0),"Menge pro Gebinde fehlt (Ist = 1 Gebinde); ","")&amp;BR1348)</f>
        <v>negativer Bestand (Export -5); </v>
      </c>
      <c r="BK1348" s="48"/>
      <c r="BL1348" s="48"/>
      <c r="BM1348" s="55"/>
      <c r="BN1348" s="50" t="n">
        <v>-5</v>
      </c>
      <c r="BO1348" s="50" t="n">
        <v>9</v>
      </c>
      <c r="BP1348" s="49" t="n">
        <v>-1965.05</v>
      </c>
      <c r="BQ1348" s="50" t="n">
        <v>1</v>
      </c>
      <c r="BR1348" s="48"/>
      <c r="BS1348" s="53" t="n">
        <v>0</v>
      </c>
      <c r="BT1348" s="53" t="n">
        <v>1348</v>
      </c>
      <c r="BU1348" s="48" t="str">
        <f aca="false">IF(U1348&lt;&gt;"",UPPER(TRIM(U1348)),IF(BX1348=1,UPPER(VLOOKUP(T1348,Parameter!$I$27:$K$29,2,0)),IF(P1348="","LOSE",P1348)))</f>
        <v>S71</v>
      </c>
      <c r="BV1348" s="50" t="n">
        <f aca="false">IF(BU1348="LOSE",1,IF(N(V1348)&gt;0,V1348,IF(BX1348=1,MAX(1,N(VLOOKUP(T1348,Parameter!$I$27:$K$29,3,0)),H1348,N(N1348)),IF(N(Q1348)&gt;0,Q1348,MAX(1,H1348)))))</f>
        <v>10</v>
      </c>
      <c r="BW1348" s="53" t="n">
        <f aca="false">IF(BU1348="LOSE",1,0)</f>
        <v>0</v>
      </c>
      <c r="BX1348" s="53" t="n">
        <f aca="false">IF(AND(U1348="",OR(P1348="",P1348="LOSE"),T1348&lt;&gt;"",N(S1348)&lt;=0,ISNUMBER(MATCH(T1348,Parameter!$I$27:$I$29,0))),1,0)</f>
        <v>0</v>
      </c>
      <c r="BY1348" s="53" t="n">
        <f aca="false">IF(CL1348&gt;0,INDEX(Parameter!$H$5:$H$7,W1348)/INDEX(Parameter!$E$5:$E$7,W1348),IF(AND(BW1348=0,N(IFERROR(VLOOKUP(BU1348,'Gebinde-Kategorie'!$A$5:$N$45,14,0),0))&gt;0),VLOOKUP(BU1348,'Gebinde-Kategorie'!$A$5:$N$45,14,0)*10+Parameter!$M$23,Parameter!$M$24))</f>
        <v>235</v>
      </c>
      <c r="BZ1348" s="48" t="str">
        <f aca="false">IF(AND(Parameter!$B$19="Ja",E1348&lt;&gt;"",ISNUMBER(MATCH(E1348,Parameter!$I$35:$I$52,0))),VLOOKUP(E1348,Parameter!$I$35:$J$52,2,0),IFERROR(VLOOKUP(D1348,Parameter!$A$35:$C$64,2,0),"Nein"))</f>
        <v>2+3</v>
      </c>
      <c r="CA1348" s="52" t="n">
        <f aca="false">IF(BW1348=0,0,IF(N(S1348)&gt;0,S1348,IFERROR(VLOOKUP(D1348,Parameter!$A$35:$C$64,3,0)+0,0)))</f>
        <v>0</v>
      </c>
      <c r="CB1348" s="48" t="n">
        <f aca="false">IF(AA1348&lt;&gt;"",AA1348,Z1348)</f>
        <v>2</v>
      </c>
      <c r="CC1348" s="48" t="str">
        <f aca="false">IF(OR(CB1348=1,CB1348=2,CB1348=3),IF(Parameter!$E$27="Ja","LIFT",IF(CB1348=1,"L1","L23")),IF(CB1348="Aussen","Aussen","-"))</f>
        <v>LIFT</v>
      </c>
      <c r="CD1348" s="59" t="n">
        <f aca="false">IF(N(AB1348)&gt;0,AB1348,0)</f>
        <v>0</v>
      </c>
      <c r="CE1348" s="53" t="n">
        <f aca="false">IF(ISNUMBER(AE1348),1,0)</f>
        <v>0</v>
      </c>
      <c r="CF1348" s="50" t="n">
        <f aca="false">N(AE1348)</f>
        <v>0</v>
      </c>
      <c r="CG1348" s="50" t="n">
        <f aca="false">N(M1348)+N(N1348)</f>
        <v>1</v>
      </c>
      <c r="CH1348" s="50" t="n">
        <f aca="false">ROUNDUP(H1348/BV1348,0)</f>
        <v>1</v>
      </c>
      <c r="CI1348" s="50" t="n">
        <f aca="false">ROUNDUP(CF1348/BV1348,0)</f>
        <v>0</v>
      </c>
      <c r="CJ1348" s="53" t="n">
        <f aca="false">IF(BW1348=1,0,IFERROR(VLOOKUP(BU1348,'Gebinde-Kategorie'!$A$5:$N$45,5,0)+0,0))</f>
        <v>20</v>
      </c>
      <c r="CK1348" s="53" t="n">
        <f aca="false">IFERROR(IF(OR(CB1348=1,CB1348=2,CB1348=3),N(INDEX(Parameter!$I$5:$I$7,CB1348)),0),0)</f>
        <v>0</v>
      </c>
      <c r="CL1348" s="52" t="n">
        <f aca="false">IF(AND(Parameter!$B$21="Ja",ISNUMBER(W1348),N(X1348)&gt;0),IFERROR(N(INDEX(Parameter!$L$5:$L$7,W1348))*INDEX(Parameter!$E$5:$E$7,W1348)*X1348/SUMIFS($X$7:$X$1843,$W$7:$W$1843,W1348),0),0)</f>
        <v>0</v>
      </c>
    </row>
    <row r="1349" customFormat="false" ht="15" hidden="false" customHeight="false" outlineLevel="0" collapsed="false">
      <c r="A1349" s="48" t="s">
        <v>2386</v>
      </c>
      <c r="B1349" s="48" t="s">
        <v>1417</v>
      </c>
      <c r="C1349" s="48" t="s">
        <v>168</v>
      </c>
      <c r="D1349" s="48" t="s">
        <v>357</v>
      </c>
      <c r="E1349" s="48"/>
      <c r="F1349" s="48" t="s">
        <v>222</v>
      </c>
      <c r="G1349" s="49" t="n">
        <v>1997.24</v>
      </c>
      <c r="H1349" s="50" t="n">
        <f aca="false">MAX(0,IF(AND(Parameter!$B$21="Ja",ISNUMBER(Y1349)),Y1349,IF(Parameter!$B$20="Jahresanfang 2025 + Export",BO1349+BN1349,BN1349)))</f>
        <v>0</v>
      </c>
      <c r="I1349" s="50" t="n">
        <f aca="false">H1349*G1349</f>
        <v>0</v>
      </c>
      <c r="J1349" s="50" t="n">
        <f aca="false">BQ1349*Parameter!$B$18</f>
        <v>1</v>
      </c>
      <c r="K1349" s="51" t="n">
        <v>0.5</v>
      </c>
      <c r="L1349" s="52" t="n">
        <v>2</v>
      </c>
      <c r="M1349" s="50" t="n">
        <v>0</v>
      </c>
      <c r="N1349" s="50" t="n">
        <v>1</v>
      </c>
      <c r="O1349" s="53" t="n">
        <v>0</v>
      </c>
      <c r="P1349" s="48" t="s">
        <v>172</v>
      </c>
      <c r="Q1349" s="50"/>
      <c r="R1349" s="53" t="n">
        <f aca="false">IF(BW1349=1,0,IFERROR(VLOOKUP(BU1349,'Gebinde-Kategorie'!$A$5:$N$45,13,0)+0,0))</f>
        <v>0</v>
      </c>
      <c r="S1349" s="54"/>
      <c r="T1349" s="55"/>
      <c r="U1349" s="55"/>
      <c r="V1349" s="55"/>
      <c r="W1349" s="48"/>
      <c r="X1349" s="50"/>
      <c r="Y1349" s="50"/>
      <c r="Z1349" s="48" t="str">
        <f aca="false">IF(A1349="","",IF(AND(Parameter!$B$21="Ja",ISNUMBER(W1349)),W1349,IF(BZ1349="2+3",IF(ISNUMBER(SEARCH("grosser Artikel",BR1349)),2,IFERROR(VLOOKUP(BU1349,Parameter!$F$35:$G$64,2,0),2)),IF(OR(BZ1349="Nein",BZ1349=""),"-",BZ1349))))</f>
        <v>-</v>
      </c>
      <c r="AA1349" s="55"/>
      <c r="AB1349" s="56"/>
      <c r="AC1349" s="50" t="n">
        <f aca="false">AT1349</f>
        <v>1</v>
      </c>
      <c r="AD1349" s="50" t="n">
        <f aca="false">MAX(AT1349,H1349)</f>
        <v>1</v>
      </c>
      <c r="AE1349" s="57"/>
      <c r="AF1349" s="50" t="n">
        <f aca="false">IF(LEFT(Cockpit!$C$5,1)="A",H1349,IF(CE1349=1,CF1349,IF(LEFT(Cockpit!$C$5,1)="B",AK1349,MAX(AK1349,H1349))))</f>
        <v>0</v>
      </c>
      <c r="AG1349" s="50" t="n">
        <f aca="false">IF(BW1349=1,0,ROUNDUP(AF1349/BV1349,0))</f>
        <v>0</v>
      </c>
      <c r="AH1349" s="52" t="n">
        <f aca="false">IF(CL1349&gt;0,CL1349*MAX(1,AF1349/X1349),IF(BW1349=1,IF(AF1349&lt;=0,0,CA1349*MAX(1,IF(H1349&gt;0,AF1349/H1349,1))),IF(R1349&gt;0,AG1349/R1349,0))/MAX(0.1,N(Parameter!$M$21)))</f>
        <v>0</v>
      </c>
      <c r="AI1349" s="50" t="n">
        <f aca="false">AH1349*BY1349</f>
        <v>0</v>
      </c>
      <c r="AJ1349" s="50" t="n">
        <f aca="false">AF1349*G1349</f>
        <v>0</v>
      </c>
      <c r="AK1349" s="50" t="n">
        <f aca="false">ROUNDUP(MAX(J1349/IF(CD1349&gt;0,CD1349,MAX(0.1,N(Cockpit!$C$6))),CG1349)/BV1349,0)*BV1349</f>
        <v>1</v>
      </c>
      <c r="AL1349" s="51" t="n">
        <f aca="false">IF(AI1349&gt;0,J1349/AI1349,-1)</f>
        <v>-1</v>
      </c>
      <c r="AM1349" s="51" t="str">
        <f aca="false">IF(AND(OR(CC1349="L1",CC1349="L23",CC1349="LIFT"),AI1349&gt;0),SUMIFS($AI$7:$AI$1843,$CC$7:$CC$1843,CC1349,$AL$7:$AL$1843,"&gt;"&amp;AL1349)+SUMIFS($AI$7:$AI$1843,$CC$7:$CC$1843,CC1349,$AL$7:$AL$1843,AL1349,$BT$7:$BT$1843,"&lt;="&amp;BT1349),"")</f>
        <v/>
      </c>
      <c r="AN1349" s="58" t="n">
        <f aca="false">IF(AM1349="",0,MAX(0,MIN(1,(IF(CC1349="L1",Parameter!$H$5,IF(CC1349="L23",Parameter!$H$6+Parameter!$H$7,Parameter!$H$5+Parameter!$H$6+Parameter!$H$7))-(AM1349-AI1349))/AI1349)))</f>
        <v>0</v>
      </c>
      <c r="AO1349" s="50" t="n">
        <f aca="false">IF(LEFT(Cockpit!$I$5,1)="A",H1349,IF(CE1349=1,CF1349,IF(LEFT(Cockpit!$I$5,1)="B",AT1349,MAX(AT1349,H1349))))</f>
        <v>1</v>
      </c>
      <c r="AP1349" s="50" t="n">
        <f aca="false">IF(BW1349=1,0,ROUNDUP(AO1349/BV1349,0))</f>
        <v>0</v>
      </c>
      <c r="AQ1349" s="52" t="n">
        <f aca="false">IF(CL1349&gt;0,CL1349*MAX(1,AO1349/X1349),IF(BW1349=1,IF(AO1349&lt;=0,0,CA1349*MAX(1,IF(H1349&gt;0,AO1349/H1349,1))),IF(R1349&gt;0,AP1349/R1349,0))/MAX(0.1,N(Parameter!$M$21)))</f>
        <v>0.15</v>
      </c>
      <c r="AR1349" s="50" t="n">
        <f aca="false">AQ1349*BY1349</f>
        <v>35.25</v>
      </c>
      <c r="AS1349" s="50" t="n">
        <f aca="false">AO1349*G1349</f>
        <v>1997.24</v>
      </c>
      <c r="AT1349" s="50" t="n">
        <f aca="false">ROUNDUP(MAX(J1349/IF(CD1349&gt;0,CD1349,MAX(0.1,N(Cockpit!$I$6))),CG1349)/BV1349,0)*BV1349</f>
        <v>1</v>
      </c>
      <c r="AU1349" s="51" t="n">
        <f aca="false">IF(AR1349&gt;0,J1349/AR1349,-1)</f>
        <v>0.0283687943262411</v>
      </c>
      <c r="AV1349" s="51" t="str">
        <f aca="false">IF(AND(OR(CC1349="L1",CC1349="L23",CC1349="LIFT"),AR1349&gt;0),SUMIFS($AR$7:$AR$1843,$CC$7:$CC$1843,CC1349,$AU$7:$AU$1843,"&gt;"&amp;AU1349)+SUMIFS($AR$7:$AR$1843,$CC$7:$CC$1843,CC1349,$AU$7:$AU$1843,AU1349,$BT$7:$BT$1843,"&lt;="&amp;BT1349),"")</f>
        <v/>
      </c>
      <c r="AW1349" s="58" t="n">
        <f aca="false">IF(AV1349="",0,MAX(0,MIN(1,(IF(CC1349="L1",Parameter!$H$5,IF(CC1349="L23",Parameter!$H$6+Parameter!$H$7,Parameter!$H$5+Parameter!$H$6+Parameter!$H$7))-(AV1349-AR1349))/AR1349)))</f>
        <v>0</v>
      </c>
      <c r="AX1349" s="50" t="n">
        <f aca="false">IF(LEFT(Cockpit!$O$5,1)="A",H1349,IF(CE1349=1,CF1349,IF(LEFT(Cockpit!$O$5,1)="B",BC1349,MAX(BC1349,H1349))))</f>
        <v>1</v>
      </c>
      <c r="AY1349" s="50" t="n">
        <f aca="false">IF(BW1349=1,0,ROUNDUP(AX1349/BV1349,0))</f>
        <v>0</v>
      </c>
      <c r="AZ1349" s="52" t="n">
        <f aca="false">IF(CL1349&gt;0,CL1349*MAX(1,AX1349/X1349),IF(BW1349=1,IF(AX1349&lt;=0,0,CA1349*MAX(1,IF(H1349&gt;0,AX1349/H1349,1))),IF(R1349&gt;0,AY1349/R1349,0))/MAX(0.1,N(Parameter!$M$21)))</f>
        <v>0.15</v>
      </c>
      <c r="BA1349" s="50" t="n">
        <f aca="false">AZ1349*BY1349</f>
        <v>35.25</v>
      </c>
      <c r="BB1349" s="50" t="n">
        <f aca="false">AX1349*G1349</f>
        <v>1997.24</v>
      </c>
      <c r="BC1349" s="50" t="n">
        <f aca="false">ROUNDUP(MAX(J1349/IF(CD1349&gt;0,CD1349,MAX(0.1,N(Cockpit!$O$6))),CG1349)/BV1349,0)*BV1349</f>
        <v>1</v>
      </c>
      <c r="BD1349" s="51" t="n">
        <f aca="false">IF(BA1349&gt;0,J1349/BA1349,-1)</f>
        <v>0.0283687943262411</v>
      </c>
      <c r="BE1349" s="51" t="str">
        <f aca="false">IF(AND(OR(CC1349="L1",CC1349="L23",CC1349="LIFT"),BA1349&gt;0),SUMIFS($BA$7:$BA$1843,$CC$7:$CC$1843,CC1349,$BD$7:$BD$1843,"&gt;"&amp;BD1349)+SUMIFS($BA$7:$BA$1843,$CC$7:$CC$1843,CC1349,$BD$7:$BD$1843,BD1349,$BT$7:$BT$1843,"&lt;="&amp;BT1349),"")</f>
        <v/>
      </c>
      <c r="BF1349" s="58" t="n">
        <f aca="false">IF(BE1349="",0,MAX(0,MIN(1,(IF(CC1349="L1",Parameter!$H$5,IF(CC1349="L23",Parameter!$H$6+Parameter!$H$7,Parameter!$H$5+Parameter!$H$6+Parameter!$H$7))-(BE1349-BA1349))/BA1349)))</f>
        <v>0</v>
      </c>
      <c r="BG1349" s="48" t="str">
        <f aca="false">IF(AI1349&lt;=0,"",IF(CC1349="Aussen","Aussenlager",IF(CC1349="-","Nicht im Lift",IF(AN1349&gt;=1,"Lift",IF(AN1349&lt;=0,"Aussenlager","teilweise")))))</f>
        <v/>
      </c>
      <c r="BH1349" s="48" t="str">
        <f aca="false">IF(AR1349&lt;=0,"",IF(CC1349="Aussen","Aussenlager",IF(CC1349="-","Nicht im Lift",IF(AW1349&gt;=1,"Lift",IF(AW1349&lt;=0,"Aussenlager","teilweise")))))</f>
        <v>Nicht im Lift</v>
      </c>
      <c r="BI1349" s="48" t="str">
        <f aca="false">IF(BA1349&lt;=0,"",IF(CC1349="Aussen","Aussenlager",IF(CC1349="-","Nicht im Lift",IF(BF1349&gt;=1,"Lift",IF(BF1349&lt;=0,"Aussenlager","teilweise")))))</f>
        <v>Nicht im Lift</v>
      </c>
      <c r="BJ1349" s="48" t="str">
        <f aca="false">IF(A1349="","",IF(BS1349=1,"Neu; ","")&amp;IF(AND(BS1349=0,BN1349&lt;0),"negativer Bestand (Export "&amp;BN1349&amp;"); ","")&amp;IF(J1349&lt;=0,"Kein Verbrauch; ","")&amp;IF(CL1349&gt;0,"Lift "&amp;W1349&amp;" lt. Liftbericht (Fach "&amp;X1349&amp;" Stk); ",IF(BX1349=1,"Gebinde geschätzt ("&amp;T1349&amp;"); ",IF(BW1349=1,"Lose – Tablare geschätzt; ","")))&amp;IF(H1349&gt;AT1349,"Überbestand "&amp;ROUND(H1349-AT1349,0)&amp;" Stk / CHF "&amp;ROUND((H1349-AT1349)*G1349,0)&amp;"; ","")&amp;IF(AND(CE1349=1,CF1349&lt;CG1349),"MAX &lt; MB+LG; ","")&amp;IF(AND(CK1349&gt;0,CJ1349*10&gt;CK1349),"zu hoch für Tablar; ","")&amp;IF(AND(BS1349=0,OR(CE1349=1,AA1349&lt;&gt;"",U1349&lt;&gt;"",V1349&lt;&gt;"",AB1349&lt;&gt;"")),"manuell übersteuert; ","")&amp;IF(AND(BW1349=0,R1349=0),"Gebinde unbekannt / Stellmass fehlt; ","")&amp;IF(AND(BW1349=0,N(V1349)&lt;=0,N(Q1349)&lt;=0),"Menge pro Gebinde fehlt (Ist = 1 Gebinde); ","")&amp;BR1349)</f>
        <v>negativer Bestand (Export -1); Lose – Tablare geschätzt; </v>
      </c>
      <c r="BK1349" s="48"/>
      <c r="BL1349" s="48"/>
      <c r="BM1349" s="55"/>
      <c r="BN1349" s="50" t="n">
        <v>-1</v>
      </c>
      <c r="BO1349" s="50" t="n">
        <v>1</v>
      </c>
      <c r="BP1349" s="49" t="n">
        <v>-1997.24</v>
      </c>
      <c r="BQ1349" s="50" t="n">
        <v>1</v>
      </c>
      <c r="BR1349" s="48"/>
      <c r="BS1349" s="53" t="n">
        <v>0</v>
      </c>
      <c r="BT1349" s="53" t="n">
        <v>1349</v>
      </c>
      <c r="BU1349" s="48" t="str">
        <f aca="false">IF(U1349&lt;&gt;"",UPPER(TRIM(U1349)),IF(BX1349=1,UPPER(VLOOKUP(T1349,Parameter!$I$27:$K$29,2,0)),IF(P1349="","LOSE",P1349)))</f>
        <v>LOSE</v>
      </c>
      <c r="BV1349" s="50" t="n">
        <f aca="false">IF(BU1349="LOSE",1,IF(N(V1349)&gt;0,V1349,IF(BX1349=1,MAX(1,N(VLOOKUP(T1349,Parameter!$I$27:$K$29,3,0)),H1349,N(N1349)),IF(N(Q1349)&gt;0,Q1349,MAX(1,H1349)))))</f>
        <v>1</v>
      </c>
      <c r="BW1349" s="53" t="n">
        <f aca="false">IF(BU1349="LOSE",1,0)</f>
        <v>1</v>
      </c>
      <c r="BX1349" s="53" t="n">
        <f aca="false">IF(AND(U1349="",OR(P1349="",P1349="LOSE"),T1349&lt;&gt;"",N(S1349)&lt;=0,ISNUMBER(MATCH(T1349,Parameter!$I$27:$I$29,0))),1,0)</f>
        <v>0</v>
      </c>
      <c r="BY1349" s="53" t="n">
        <f aca="false">IF(CL1349&gt;0,INDEX(Parameter!$H$5:$H$7,W1349)/INDEX(Parameter!$E$5:$E$7,W1349),IF(AND(BW1349=0,N(IFERROR(VLOOKUP(BU1349,'Gebinde-Kategorie'!$A$5:$N$45,14,0),0))&gt;0),VLOOKUP(BU1349,'Gebinde-Kategorie'!$A$5:$N$45,14,0)*10+Parameter!$M$23,Parameter!$M$24))</f>
        <v>235</v>
      </c>
      <c r="BZ1349" s="48" t="str">
        <f aca="false">IF(AND(Parameter!$B$19="Ja",E1349&lt;&gt;"",ISNUMBER(MATCH(E1349,Parameter!$I$35:$I$52,0))),VLOOKUP(E1349,Parameter!$I$35:$J$52,2,0),IFERROR(VLOOKUP(D1349,Parameter!$A$35:$C$64,2,0),"Nein"))</f>
        <v>Nein</v>
      </c>
      <c r="CA1349" s="52" t="n">
        <f aca="false">IF(BW1349=0,0,IF(N(S1349)&gt;0,S1349,IFERROR(VLOOKUP(D1349,Parameter!$A$35:$C$64,3,0)+0,0)))</f>
        <v>0.15</v>
      </c>
      <c r="CB1349" s="48" t="str">
        <f aca="false">IF(AA1349&lt;&gt;"",AA1349,Z1349)</f>
        <v>-</v>
      </c>
      <c r="CC1349" s="48" t="str">
        <f aca="false">IF(OR(CB1349=1,CB1349=2,CB1349=3),IF(Parameter!$E$27="Ja","LIFT",IF(CB1349=1,"L1","L23")),IF(CB1349="Aussen","Aussen","-"))</f>
        <v>-</v>
      </c>
      <c r="CD1349" s="59" t="n">
        <f aca="false">IF(N(AB1349)&gt;0,AB1349,0)</f>
        <v>0</v>
      </c>
      <c r="CE1349" s="53" t="n">
        <f aca="false">IF(ISNUMBER(AE1349),1,0)</f>
        <v>0</v>
      </c>
      <c r="CF1349" s="50" t="n">
        <f aca="false">N(AE1349)</f>
        <v>0</v>
      </c>
      <c r="CG1349" s="50" t="n">
        <f aca="false">N(M1349)+N(N1349)</f>
        <v>1</v>
      </c>
      <c r="CH1349" s="50" t="n">
        <f aca="false">ROUNDUP(H1349/BV1349,0)</f>
        <v>0</v>
      </c>
      <c r="CI1349" s="50" t="n">
        <f aca="false">ROUNDUP(CF1349/BV1349,0)</f>
        <v>0</v>
      </c>
      <c r="CJ1349" s="53" t="n">
        <f aca="false">IF(BW1349=1,0,IFERROR(VLOOKUP(BU1349,'Gebinde-Kategorie'!$A$5:$N$45,5,0)+0,0))</f>
        <v>0</v>
      </c>
      <c r="CK1349" s="53" t="n">
        <f aca="false">IFERROR(IF(OR(CB1349=1,CB1349=2,CB1349=3),N(INDEX(Parameter!$I$5:$I$7,CB1349)),0),0)</f>
        <v>0</v>
      </c>
      <c r="CL1349" s="52" t="n">
        <f aca="false">IF(AND(Parameter!$B$21="Ja",ISNUMBER(W1349),N(X1349)&gt;0),IFERROR(N(INDEX(Parameter!$L$5:$L$7,W1349))*INDEX(Parameter!$E$5:$E$7,W1349)*X1349/SUMIFS($X$7:$X$1843,$W$7:$W$1843,W1349),0),0)</f>
        <v>0</v>
      </c>
    </row>
    <row r="1350" customFormat="false" ht="15" hidden="false" customHeight="false" outlineLevel="0" collapsed="false">
      <c r="A1350" s="48" t="s">
        <v>2387</v>
      </c>
      <c r="B1350" s="48" t="s">
        <v>2388</v>
      </c>
      <c r="C1350" s="48" t="s">
        <v>460</v>
      </c>
      <c r="D1350" s="48" t="s">
        <v>169</v>
      </c>
      <c r="E1350" s="48"/>
      <c r="F1350" s="48" t="s">
        <v>222</v>
      </c>
      <c r="G1350" s="49" t="n">
        <v>1004.29</v>
      </c>
      <c r="H1350" s="50" t="n">
        <f aca="false">MAX(0,IF(AND(Parameter!$B$21="Ja",ISNUMBER(Y1350)),Y1350,IF(Parameter!$B$20="Jahresanfang 2025 + Export",BO1350+BN1350,BN1350)))</f>
        <v>0</v>
      </c>
      <c r="I1350" s="50" t="n">
        <f aca="false">H1350*G1350</f>
        <v>0</v>
      </c>
      <c r="J1350" s="50" t="n">
        <f aca="false">BQ1350*Parameter!$B$18</f>
        <v>1</v>
      </c>
      <c r="K1350" s="51" t="n">
        <v>1.5</v>
      </c>
      <c r="L1350" s="52" t="n">
        <v>0.666666666666667</v>
      </c>
      <c r="M1350" s="50" t="n">
        <v>0</v>
      </c>
      <c r="N1350" s="50" t="n">
        <v>1</v>
      </c>
      <c r="O1350" s="53" t="n">
        <v>35</v>
      </c>
      <c r="P1350" s="48" t="s">
        <v>172</v>
      </c>
      <c r="Q1350" s="50"/>
      <c r="R1350" s="53" t="n">
        <f aca="false">IF(BW1350=1,0,IFERROR(VLOOKUP(BU1350,'Gebinde-Kategorie'!$A$5:$N$45,13,0)+0,0))</f>
        <v>0</v>
      </c>
      <c r="S1350" s="54"/>
      <c r="T1350" s="55"/>
      <c r="U1350" s="55"/>
      <c r="V1350" s="55"/>
      <c r="W1350" s="48" t="n">
        <v>1</v>
      </c>
      <c r="X1350" s="50" t="n">
        <v>1</v>
      </c>
      <c r="Y1350" s="50" t="n">
        <v>0</v>
      </c>
      <c r="Z1350" s="48" t="n">
        <f aca="false">IF(A1350="","",IF(AND(Parameter!$B$21="Ja",ISNUMBER(W1350)),W1350,IF(BZ1350="2+3",IF(ISNUMBER(SEARCH("grosser Artikel",BR1350)),2,IFERROR(VLOOKUP(BU1350,Parameter!$F$35:$G$64,2,0),2)),IF(OR(BZ1350="Nein",BZ1350=""),"-",BZ1350))))</f>
        <v>1</v>
      </c>
      <c r="AA1350" s="55"/>
      <c r="AB1350" s="56"/>
      <c r="AC1350" s="50" t="n">
        <f aca="false">AT1350</f>
        <v>1</v>
      </c>
      <c r="AD1350" s="50" t="n">
        <f aca="false">MAX(AT1350,H1350)</f>
        <v>1</v>
      </c>
      <c r="AE1350" s="57"/>
      <c r="AF1350" s="50" t="n">
        <f aca="false">IF(LEFT(Cockpit!$C$5,1)="A",H1350,IF(CE1350=1,CF1350,IF(LEFT(Cockpit!$C$5,1)="B",AK1350,MAX(AK1350,H1350))))</f>
        <v>0</v>
      </c>
      <c r="AG1350" s="50" t="n">
        <f aca="false">IF(BW1350=1,0,ROUNDUP(AF1350/BV1350,0))</f>
        <v>0</v>
      </c>
      <c r="AH1350" s="52" t="n">
        <f aca="false">IF(CL1350&gt;0,CL1350*MAX(1,AF1350/X1350),IF(BW1350=1,IF(AF1350&lt;=0,0,CA1350*MAX(1,IF(H1350&gt;0,AF1350/H1350,1))),IF(R1350&gt;0,AG1350/R1350,0))/MAX(0.1,N(Parameter!$M$21)))</f>
        <v>0.0800376647834275</v>
      </c>
      <c r="AI1350" s="50" t="n">
        <f aca="false">AH1350*BY1350</f>
        <v>19.0489642184557</v>
      </c>
      <c r="AJ1350" s="50" t="n">
        <f aca="false">AF1350*G1350</f>
        <v>0</v>
      </c>
      <c r="AK1350" s="50" t="n">
        <f aca="false">ROUNDUP(MAX(J1350/IF(CD1350&gt;0,CD1350,MAX(0.1,N(Cockpit!$C$6))),CG1350)/BV1350,0)*BV1350</f>
        <v>1</v>
      </c>
      <c r="AL1350" s="51" t="n">
        <f aca="false">IF(AI1350&gt;0,J1350/AI1350,-1)</f>
        <v>0.0524962926347009</v>
      </c>
      <c r="AM1350" s="51" t="n">
        <f aca="false">IF(AND(OR(CC1350="L1",CC1350="L23",CC1350="LIFT"),AI1350&gt;0),SUMIFS($AI$7:$AI$1843,$CC$7:$CC$1843,CC1350,$AL$7:$AL$1843,"&gt;"&amp;AL1350)+SUMIFS($AI$7:$AI$1843,$CC$7:$CC$1843,CC1350,$AL$7:$AL$1843,AL1350,$BT$7:$BT$1843,"&lt;="&amp;BT1350),"")</f>
        <v>19084.0624547298</v>
      </c>
      <c r="AN1350" s="58" t="n">
        <f aca="false">IF(AM1350="",0,MAX(0,MIN(1,(IF(CC1350="L1",Parameter!$H$5,IF(CC1350="L23",Parameter!$H$6+Parameter!$H$7,Parameter!$H$5+Parameter!$H$6+Parameter!$H$7))-(AM1350-AI1350))/AI1350)))</f>
        <v>1</v>
      </c>
      <c r="AO1350" s="50" t="n">
        <f aca="false">IF(LEFT(Cockpit!$I$5,1)="A",H1350,IF(CE1350=1,CF1350,IF(LEFT(Cockpit!$I$5,1)="B",AT1350,MAX(AT1350,H1350))))</f>
        <v>1</v>
      </c>
      <c r="AP1350" s="50" t="n">
        <f aca="false">IF(BW1350=1,0,ROUNDUP(AO1350/BV1350,0))</f>
        <v>0</v>
      </c>
      <c r="AQ1350" s="52" t="n">
        <f aca="false">IF(CL1350&gt;0,CL1350*MAX(1,AO1350/X1350),IF(BW1350=1,IF(AO1350&lt;=0,0,CA1350*MAX(1,IF(H1350&gt;0,AO1350/H1350,1))),IF(R1350&gt;0,AP1350/R1350,0))/MAX(0.1,N(Parameter!$M$21)))</f>
        <v>0.0800376647834275</v>
      </c>
      <c r="AR1350" s="50" t="n">
        <f aca="false">AQ1350*BY1350</f>
        <v>19.0489642184557</v>
      </c>
      <c r="AS1350" s="50" t="n">
        <f aca="false">AO1350*G1350</f>
        <v>1004.29</v>
      </c>
      <c r="AT1350" s="50" t="n">
        <f aca="false">ROUNDUP(MAX(J1350/IF(CD1350&gt;0,CD1350,MAX(0.1,N(Cockpit!$I$6))),CG1350)/BV1350,0)*BV1350</f>
        <v>1</v>
      </c>
      <c r="AU1350" s="51" t="n">
        <f aca="false">IF(AR1350&gt;0,J1350/AR1350,-1)</f>
        <v>0.0524962926347009</v>
      </c>
      <c r="AV1350" s="51" t="n">
        <f aca="false">IF(AND(OR(CC1350="L1",CC1350="L23",CC1350="LIFT"),AR1350&gt;0),SUMIFS($AR$7:$AR$1843,$CC$7:$CC$1843,CC1350,$AU$7:$AU$1843,"&gt;"&amp;AU1350)+SUMIFS($AR$7:$AR$1843,$CC$7:$CC$1843,CC1350,$AU$7:$AU$1843,AU1350,$BT$7:$BT$1843,"&lt;="&amp;BT1350),"")</f>
        <v>29742.6200435628</v>
      </c>
      <c r="AW1350" s="58" t="n">
        <f aca="false">IF(AV1350="",0,MAX(0,MIN(1,(IF(CC1350="L1",Parameter!$H$5,IF(CC1350="L23",Parameter!$H$6+Parameter!$H$7,Parameter!$H$5+Parameter!$H$6+Parameter!$H$7))-(AV1350-AR1350))/AR1350)))</f>
        <v>1</v>
      </c>
      <c r="AX1350" s="50" t="n">
        <f aca="false">IF(LEFT(Cockpit!$O$5,1)="A",H1350,IF(CE1350=1,CF1350,IF(LEFT(Cockpit!$O$5,1)="B",BC1350,MAX(BC1350,H1350))))</f>
        <v>1</v>
      </c>
      <c r="AY1350" s="50" t="n">
        <f aca="false">IF(BW1350=1,0,ROUNDUP(AX1350/BV1350,0))</f>
        <v>0</v>
      </c>
      <c r="AZ1350" s="52" t="n">
        <f aca="false">IF(CL1350&gt;0,CL1350*MAX(1,AX1350/X1350),IF(BW1350=1,IF(AX1350&lt;=0,0,CA1350*MAX(1,IF(H1350&gt;0,AX1350/H1350,1))),IF(R1350&gt;0,AY1350/R1350,0))/MAX(0.1,N(Parameter!$M$21)))</f>
        <v>0.0800376647834275</v>
      </c>
      <c r="BA1350" s="50" t="n">
        <f aca="false">AZ1350*BY1350</f>
        <v>19.0489642184557</v>
      </c>
      <c r="BB1350" s="50" t="n">
        <f aca="false">AX1350*G1350</f>
        <v>1004.29</v>
      </c>
      <c r="BC1350" s="50" t="n">
        <f aca="false">ROUNDUP(MAX(J1350/IF(CD1350&gt;0,CD1350,MAX(0.1,N(Cockpit!$O$6))),CG1350)/BV1350,0)*BV1350</f>
        <v>1</v>
      </c>
      <c r="BD1350" s="51" t="n">
        <f aca="false">IF(BA1350&gt;0,J1350/BA1350,-1)</f>
        <v>0.0524962926347009</v>
      </c>
      <c r="BE1350" s="51" t="n">
        <f aca="false">IF(AND(OR(CC1350="L1",CC1350="L23",CC1350="LIFT"),BA1350&gt;0),SUMIFS($BA$7:$BA$1843,$CC$7:$CC$1843,CC1350,$BD$7:$BD$1843,"&gt;"&amp;BD1350)+SUMIFS($BA$7:$BA$1843,$CC$7:$CC$1843,CC1350,$BD$7:$BD$1843,BD1350,$BT$7:$BT$1843,"&lt;="&amp;BT1350),"")</f>
        <v>26417.6320854287</v>
      </c>
      <c r="BF1350" s="58" t="n">
        <f aca="false">IF(BE1350="",0,MAX(0,MIN(1,(IF(CC1350="L1",Parameter!$H$5,IF(CC1350="L23",Parameter!$H$6+Parameter!$H$7,Parameter!$H$5+Parameter!$H$6+Parameter!$H$7))-(BE1350-BA1350))/BA1350)))</f>
        <v>1</v>
      </c>
      <c r="BG1350" s="48" t="str">
        <f aca="false">IF(AI1350&lt;=0,"",IF(CC1350="Aussen","Aussenlager",IF(CC1350="-","Nicht im Lift",IF(AN1350&gt;=1,"Lift",IF(AN1350&lt;=0,"Aussenlager","teilweise")))))</f>
        <v>Lift</v>
      </c>
      <c r="BH1350" s="48" t="str">
        <f aca="false">IF(AR1350&lt;=0,"",IF(CC1350="Aussen","Aussenlager",IF(CC1350="-","Nicht im Lift",IF(AW1350&gt;=1,"Lift",IF(AW1350&lt;=0,"Aussenlager","teilweise")))))</f>
        <v>Lift</v>
      </c>
      <c r="BI1350" s="48" t="str">
        <f aca="false">IF(BA1350&lt;=0,"",IF(CC1350="Aussen","Aussenlager",IF(CC1350="-","Nicht im Lift",IF(BF1350&gt;=1,"Lift",IF(BF1350&lt;=0,"Aussenlager","teilweise")))))</f>
        <v>Lift</v>
      </c>
      <c r="BJ1350" s="48" t="str">
        <f aca="false">IF(A1350="","",IF(BS1350=1,"Neu; ","")&amp;IF(AND(BS1350=0,BN1350&lt;0),"negativer Bestand (Export "&amp;BN1350&amp;"); ","")&amp;IF(J1350&lt;=0,"Kein Verbrauch; ","")&amp;IF(CL1350&gt;0,"Lift "&amp;W1350&amp;" lt. Liftbericht (Fach "&amp;X1350&amp;" Stk); ",IF(BX1350=1,"Gebinde geschätzt ("&amp;T1350&amp;"); ",IF(BW1350=1,"Lose – Tablare geschätzt; ","")))&amp;IF(H1350&gt;AT1350,"Überbestand "&amp;ROUND(H1350-AT1350,0)&amp;" Stk / CHF "&amp;ROUND((H1350-AT1350)*G1350,0)&amp;"; ","")&amp;IF(AND(CE1350=1,CF1350&lt;CG1350),"MAX &lt; MB+LG; ","")&amp;IF(AND(CK1350&gt;0,CJ1350*10&gt;CK1350),"zu hoch für Tablar; ","")&amp;IF(AND(BS1350=0,OR(CE1350=1,AA1350&lt;&gt;"",U1350&lt;&gt;"",V1350&lt;&gt;"",AB1350&lt;&gt;"")),"manuell übersteuert; ","")&amp;IF(AND(BW1350=0,R1350=0),"Gebinde unbekannt / Stellmass fehlt; ","")&amp;IF(AND(BW1350=0,N(V1350)&lt;=0,N(Q1350)&lt;=0),"Menge pro Gebinde fehlt (Ist = 1 Gebinde); ","")&amp;BR1350)</f>
        <v>negativer Bestand (Export -2); Lift 1 lt. Liftbericht (Fach 1 Stk); Neuer Art.</v>
      </c>
      <c r="BK1350" s="48"/>
      <c r="BL1350" s="48"/>
      <c r="BM1350" s="55"/>
      <c r="BN1350" s="50" t="n">
        <v>-2</v>
      </c>
      <c r="BO1350" s="50" t="n">
        <v>2</v>
      </c>
      <c r="BP1350" s="49" t="n">
        <v>-2008.58</v>
      </c>
      <c r="BQ1350" s="50" t="n">
        <v>1</v>
      </c>
      <c r="BR1350" s="48" t="s">
        <v>516</v>
      </c>
      <c r="BS1350" s="53" t="n">
        <v>0</v>
      </c>
      <c r="BT1350" s="53" t="n">
        <v>1350</v>
      </c>
      <c r="BU1350" s="48" t="str">
        <f aca="false">IF(U1350&lt;&gt;"",UPPER(TRIM(U1350)),IF(BX1350=1,UPPER(VLOOKUP(T1350,Parameter!$I$27:$K$29,2,0)),IF(P1350="","LOSE",P1350)))</f>
        <v>LOSE</v>
      </c>
      <c r="BV1350" s="50" t="n">
        <f aca="false">IF(BU1350="LOSE",1,IF(N(V1350)&gt;0,V1350,IF(BX1350=1,MAX(1,N(VLOOKUP(T1350,Parameter!$I$27:$K$29,3,0)),H1350,N(N1350)),IF(N(Q1350)&gt;0,Q1350,MAX(1,H1350)))))</f>
        <v>1</v>
      </c>
      <c r="BW1350" s="53" t="n">
        <f aca="false">IF(BU1350="LOSE",1,0)</f>
        <v>1</v>
      </c>
      <c r="BX1350" s="53" t="n">
        <f aca="false">IF(AND(U1350="",OR(P1350="",P1350="LOSE"),T1350&lt;&gt;"",N(S1350)&lt;=0,ISNUMBER(MATCH(T1350,Parameter!$I$27:$I$29,0))),1,0)</f>
        <v>0</v>
      </c>
      <c r="BY1350" s="53" t="n">
        <f aca="false">IF(CL1350&gt;0,INDEX(Parameter!$H$5:$H$7,W1350)/INDEX(Parameter!$E$5:$E$7,W1350),IF(AND(BW1350=0,N(IFERROR(VLOOKUP(BU1350,'Gebinde-Kategorie'!$A$5:$N$45,14,0),0))&gt;0),VLOOKUP(BU1350,'Gebinde-Kategorie'!$A$5:$N$45,14,0)*10+Parameter!$M$23,Parameter!$M$24))</f>
        <v>238</v>
      </c>
      <c r="BZ1350" s="48" t="n">
        <f aca="false">IF(AND(Parameter!$B$19="Ja",E1350&lt;&gt;"",ISNUMBER(MATCH(E1350,Parameter!$I$35:$I$52,0))),VLOOKUP(E1350,Parameter!$I$35:$J$52,2,0),IFERROR(VLOOKUP(D1350,Parameter!$A$35:$C$64,2,0),"Nein"))</f>
        <v>1</v>
      </c>
      <c r="CA1350" s="52" t="n">
        <f aca="false">IF(BW1350=0,0,IF(N(S1350)&gt;0,S1350,IFERROR(VLOOKUP(D1350,Parameter!$A$35:$C$64,3,0)+0,0)))</f>
        <v>1</v>
      </c>
      <c r="CB1350" s="48" t="n">
        <f aca="false">IF(AA1350&lt;&gt;"",AA1350,Z1350)</f>
        <v>1</v>
      </c>
      <c r="CC1350" s="48" t="str">
        <f aca="false">IF(OR(CB1350=1,CB1350=2,CB1350=3),IF(Parameter!$E$27="Ja","LIFT",IF(CB1350=1,"L1","L23")),IF(CB1350="Aussen","Aussen","-"))</f>
        <v>LIFT</v>
      </c>
      <c r="CD1350" s="59" t="n">
        <f aca="false">IF(N(AB1350)&gt;0,AB1350,0)</f>
        <v>0</v>
      </c>
      <c r="CE1350" s="53" t="n">
        <f aca="false">IF(ISNUMBER(AE1350),1,0)</f>
        <v>0</v>
      </c>
      <c r="CF1350" s="50" t="n">
        <f aca="false">N(AE1350)</f>
        <v>0</v>
      </c>
      <c r="CG1350" s="50" t="n">
        <f aca="false">N(M1350)+N(N1350)</f>
        <v>1</v>
      </c>
      <c r="CH1350" s="50" t="n">
        <f aca="false">ROUNDUP(H1350/BV1350,0)</f>
        <v>0</v>
      </c>
      <c r="CI1350" s="50" t="n">
        <f aca="false">ROUNDUP(CF1350/BV1350,0)</f>
        <v>0</v>
      </c>
      <c r="CJ1350" s="53" t="n">
        <f aca="false">IF(BW1350=1,0,IFERROR(VLOOKUP(BU1350,'Gebinde-Kategorie'!$A$5:$N$45,5,0)+0,0))</f>
        <v>0</v>
      </c>
      <c r="CK1350" s="53" t="n">
        <f aca="false">IFERROR(IF(OR(CB1350=1,CB1350=2,CB1350=3),N(INDEX(Parameter!$I$5:$I$7,CB1350)),0),0)</f>
        <v>0</v>
      </c>
      <c r="CL1350" s="52" t="n">
        <f aca="false">IF(AND(Parameter!$B$21="Ja",ISNUMBER(W1350),N(X1350)&gt;0),IFERROR(N(INDEX(Parameter!$L$5:$L$7,W1350))*INDEX(Parameter!$E$5:$E$7,W1350)*X1350/SUMIFS($X$7:$X$1843,$W$7:$W$1843,W1350),0),0)</f>
        <v>0.0800376647834275</v>
      </c>
    </row>
    <row r="1351" customFormat="false" ht="15" hidden="false" customHeight="false" outlineLevel="0" collapsed="false">
      <c r="A1351" s="48" t="s">
        <v>2389</v>
      </c>
      <c r="B1351" s="48" t="s">
        <v>2388</v>
      </c>
      <c r="C1351" s="48" t="s">
        <v>168</v>
      </c>
      <c r="D1351" s="48" t="s">
        <v>169</v>
      </c>
      <c r="E1351" s="48" t="s">
        <v>170</v>
      </c>
      <c r="F1351" s="48" t="s">
        <v>222</v>
      </c>
      <c r="G1351" s="49" t="n">
        <v>2008.66</v>
      </c>
      <c r="H1351" s="50" t="n">
        <f aca="false">MAX(0,IF(AND(Parameter!$B$21="Ja",ISNUMBER(Y1351)),Y1351,IF(Parameter!$B$20="Jahresanfang 2025 + Export",BO1351+BN1351,BN1351)))</f>
        <v>9</v>
      </c>
      <c r="I1351" s="50" t="n">
        <f aca="false">H1351*G1351</f>
        <v>18077.94</v>
      </c>
      <c r="J1351" s="50" t="n">
        <f aca="false">BQ1351*Parameter!$B$18</f>
        <v>0</v>
      </c>
      <c r="K1351" s="51" t="n">
        <v>10</v>
      </c>
      <c r="L1351" s="52" t="n">
        <v>0</v>
      </c>
      <c r="M1351" s="50" t="n">
        <v>0</v>
      </c>
      <c r="N1351" s="50" t="n">
        <v>5</v>
      </c>
      <c r="O1351" s="53" t="n">
        <v>86</v>
      </c>
      <c r="P1351" s="48" t="s">
        <v>172</v>
      </c>
      <c r="Q1351" s="50"/>
      <c r="R1351" s="53" t="n">
        <f aca="false">IF(BW1351=1,0,IFERROR(VLOOKUP(BU1351,'Gebinde-Kategorie'!$A$5:$N$45,13,0)+0,0))</f>
        <v>0</v>
      </c>
      <c r="S1351" s="54"/>
      <c r="T1351" s="55"/>
      <c r="U1351" s="55"/>
      <c r="V1351" s="55"/>
      <c r="W1351" s="48" t="n">
        <v>1</v>
      </c>
      <c r="X1351" s="50" t="n">
        <v>10</v>
      </c>
      <c r="Y1351" s="50" t="n">
        <v>9</v>
      </c>
      <c r="Z1351" s="48" t="n">
        <f aca="false">IF(A1351="","",IF(AND(Parameter!$B$21="Ja",ISNUMBER(W1351)),W1351,IF(BZ1351="2+3",IF(ISNUMBER(SEARCH("grosser Artikel",BR1351)),2,IFERROR(VLOOKUP(BU1351,Parameter!$F$35:$G$64,2,0),2)),IF(OR(BZ1351="Nein",BZ1351=""),"-",BZ1351))))</f>
        <v>1</v>
      </c>
      <c r="AA1351" s="55"/>
      <c r="AB1351" s="56"/>
      <c r="AC1351" s="50" t="n">
        <f aca="false">AT1351</f>
        <v>5</v>
      </c>
      <c r="AD1351" s="50" t="n">
        <f aca="false">MAX(AT1351,H1351)</f>
        <v>9</v>
      </c>
      <c r="AE1351" s="57"/>
      <c r="AF1351" s="50" t="n">
        <f aca="false">IF(LEFT(Cockpit!$C$5,1)="A",H1351,IF(CE1351=1,CF1351,IF(LEFT(Cockpit!$C$5,1)="B",AK1351,MAX(AK1351,H1351))))</f>
        <v>9</v>
      </c>
      <c r="AG1351" s="50" t="n">
        <f aca="false">IF(BW1351=1,0,ROUNDUP(AF1351/BV1351,0))</f>
        <v>0</v>
      </c>
      <c r="AH1351" s="52" t="n">
        <f aca="false">IF(CL1351&gt;0,CL1351*MAX(1,AF1351/X1351),IF(BW1351=1,IF(AF1351&lt;=0,0,CA1351*MAX(1,IF(H1351&gt;0,AF1351/H1351,1))),IF(R1351&gt;0,AG1351/R1351,0))/MAX(0.1,N(Parameter!$M$21)))</f>
        <v>0.800376647834275</v>
      </c>
      <c r="AI1351" s="50" t="n">
        <f aca="false">AH1351*BY1351</f>
        <v>190.489642184557</v>
      </c>
      <c r="AJ1351" s="50" t="n">
        <f aca="false">AF1351*G1351</f>
        <v>18077.94</v>
      </c>
      <c r="AK1351" s="50" t="n">
        <f aca="false">ROUNDUP(MAX(J1351/IF(CD1351&gt;0,CD1351,MAX(0.1,N(Cockpit!$C$6))),CG1351)/BV1351,0)*BV1351</f>
        <v>5</v>
      </c>
      <c r="AL1351" s="51" t="n">
        <f aca="false">IF(AI1351&gt;0,J1351/AI1351,-1)</f>
        <v>0</v>
      </c>
      <c r="AM1351" s="51" t="n">
        <f aca="false">IF(AND(OR(CC1351="L1",CC1351="L23",CC1351="LIFT"),AI1351&gt;0),SUMIFS($AI$7:$AI$1843,$CC$7:$CC$1843,CC1351,$AL$7:$AL$1843,"&gt;"&amp;AL1351)+SUMIFS($AI$7:$AI$1843,$CC$7:$CC$1843,CC1351,$AL$7:$AL$1843,AL1351,$BT$7:$BT$1843,"&lt;="&amp;BT1351),"")</f>
        <v>29671.1564769976</v>
      </c>
      <c r="AN1351" s="58" t="n">
        <f aca="false">IF(AM1351="",0,MAX(0,MIN(1,(IF(CC1351="L1",Parameter!$H$5,IF(CC1351="L23",Parameter!$H$6+Parameter!$H$7,Parameter!$H$5+Parameter!$H$6+Parameter!$H$7))-(AM1351-AI1351))/AI1351)))</f>
        <v>1</v>
      </c>
      <c r="AO1351" s="50" t="n">
        <f aca="false">IF(LEFT(Cockpit!$I$5,1)="A",H1351,IF(CE1351=1,CF1351,IF(LEFT(Cockpit!$I$5,1)="B",AT1351,MAX(AT1351,H1351))))</f>
        <v>9</v>
      </c>
      <c r="AP1351" s="50" t="n">
        <f aca="false">IF(BW1351=1,0,ROUNDUP(AO1351/BV1351,0))</f>
        <v>0</v>
      </c>
      <c r="AQ1351" s="52" t="n">
        <f aca="false">IF(CL1351&gt;0,CL1351*MAX(1,AO1351/X1351),IF(BW1351=1,IF(AO1351&lt;=0,0,CA1351*MAX(1,IF(H1351&gt;0,AO1351/H1351,1))),IF(R1351&gt;0,AP1351/R1351,0))/MAX(0.1,N(Parameter!$M$21)))</f>
        <v>0.800376647834275</v>
      </c>
      <c r="AR1351" s="50" t="n">
        <f aca="false">AQ1351*BY1351</f>
        <v>190.489642184557</v>
      </c>
      <c r="AS1351" s="50" t="n">
        <f aca="false">AO1351*G1351</f>
        <v>18077.94</v>
      </c>
      <c r="AT1351" s="50" t="n">
        <f aca="false">ROUNDUP(MAX(J1351/IF(CD1351&gt;0,CD1351,MAX(0.1,N(Cockpit!$I$6))),CG1351)/BV1351,0)*BV1351</f>
        <v>5</v>
      </c>
      <c r="AU1351" s="51" t="n">
        <f aca="false">IF(AR1351&gt;0,J1351/AR1351,-1)</f>
        <v>0</v>
      </c>
      <c r="AV1351" s="51" t="n">
        <f aca="false">IF(AND(OR(CC1351="L1",CC1351="L23",CC1351="LIFT"),AR1351&gt;0),SUMIFS($AR$7:$AR$1843,$CC$7:$CC$1843,CC1351,$AU$7:$AU$1843,"&gt;"&amp;AU1351)+SUMIFS($AR$7:$AR$1843,$CC$7:$CC$1843,CC1351,$AU$7:$AU$1843,AU1351,$BT$7:$BT$1843,"&lt;="&amp;BT1351),"")</f>
        <v>41880.3454191759</v>
      </c>
      <c r="AW1351" s="58" t="n">
        <f aca="false">IF(AV1351="",0,MAX(0,MIN(1,(IF(CC1351="L1",Parameter!$H$5,IF(CC1351="L23",Parameter!$H$6+Parameter!$H$7,Parameter!$H$5+Parameter!$H$6+Parameter!$H$7))-(AV1351-AR1351))/AR1351)))</f>
        <v>0</v>
      </c>
      <c r="AX1351" s="50" t="n">
        <f aca="false">IF(LEFT(Cockpit!$O$5,1)="A",H1351,IF(CE1351=1,CF1351,IF(LEFT(Cockpit!$O$5,1)="B",BC1351,MAX(BC1351,H1351))))</f>
        <v>9</v>
      </c>
      <c r="AY1351" s="50" t="n">
        <f aca="false">IF(BW1351=1,0,ROUNDUP(AX1351/BV1351,0))</f>
        <v>0</v>
      </c>
      <c r="AZ1351" s="52" t="n">
        <f aca="false">IF(CL1351&gt;0,CL1351*MAX(1,AX1351/X1351),IF(BW1351=1,IF(AX1351&lt;=0,0,CA1351*MAX(1,IF(H1351&gt;0,AX1351/H1351,1))),IF(R1351&gt;0,AY1351/R1351,0))/MAX(0.1,N(Parameter!$M$21)))</f>
        <v>0.800376647834275</v>
      </c>
      <c r="BA1351" s="50" t="n">
        <f aca="false">AZ1351*BY1351</f>
        <v>190.489642184557</v>
      </c>
      <c r="BB1351" s="50" t="n">
        <f aca="false">AX1351*G1351</f>
        <v>18077.94</v>
      </c>
      <c r="BC1351" s="50" t="n">
        <f aca="false">ROUNDUP(MAX(J1351/IF(CD1351&gt;0,CD1351,MAX(0.1,N(Cockpit!$O$6))),CG1351)/BV1351,0)*BV1351</f>
        <v>5</v>
      </c>
      <c r="BD1351" s="51" t="n">
        <f aca="false">IF(BA1351&gt;0,J1351/BA1351,-1)</f>
        <v>0</v>
      </c>
      <c r="BE1351" s="51" t="n">
        <f aca="false">IF(AND(OR(CC1351="L1",CC1351="L23",CC1351="LIFT"),BA1351&gt;0),SUMIFS($BA$7:$BA$1843,$CC$7:$CC$1843,CC1351,$BD$7:$BD$1843,"&gt;"&amp;BD1351)+SUMIFS($BA$7:$BA$1843,$CC$7:$CC$1843,CC1351,$BD$7:$BD$1843,BD1351,$BT$7:$BT$1843,"&lt;="&amp;BT1351),"")</f>
        <v>38555.3574610418</v>
      </c>
      <c r="BF1351" s="58" t="n">
        <f aca="false">IF(BE1351="",0,MAX(0,MIN(1,(IF(CC1351="L1",Parameter!$H$5,IF(CC1351="L23",Parameter!$H$6+Parameter!$H$7,Parameter!$H$5+Parameter!$H$6+Parameter!$H$7))-(BE1351-BA1351))/BA1351)))</f>
        <v>0</v>
      </c>
      <c r="BG1351" s="48" t="str">
        <f aca="false">IF(AI1351&lt;=0,"",IF(CC1351="Aussen","Aussenlager",IF(CC1351="-","Nicht im Lift",IF(AN1351&gt;=1,"Lift",IF(AN1351&lt;=0,"Aussenlager","teilweise")))))</f>
        <v>Lift</v>
      </c>
      <c r="BH1351" s="48" t="str">
        <f aca="false">IF(AR1351&lt;=0,"",IF(CC1351="Aussen","Aussenlager",IF(CC1351="-","Nicht im Lift",IF(AW1351&gt;=1,"Lift",IF(AW1351&lt;=0,"Aussenlager","teilweise")))))</f>
        <v>Aussenlager</v>
      </c>
      <c r="BI1351" s="48" t="str">
        <f aca="false">IF(BA1351&lt;=0,"",IF(CC1351="Aussen","Aussenlager",IF(CC1351="-","Nicht im Lift",IF(BF1351&gt;=1,"Lift",IF(BF1351&lt;=0,"Aussenlager","teilweise")))))</f>
        <v>Aussenlager</v>
      </c>
      <c r="BJ1351" s="48" t="str">
        <f aca="false">IF(A1351="","",IF(BS1351=1,"Neu; ","")&amp;IF(AND(BS1351=0,BN1351&lt;0),"negativer Bestand (Export "&amp;BN1351&amp;"); ","")&amp;IF(J1351&lt;=0,"Kein Verbrauch; ","")&amp;IF(CL1351&gt;0,"Lift "&amp;W1351&amp;" lt. Liftbericht (Fach "&amp;X1351&amp;" Stk); ",IF(BX1351=1,"Gebinde geschätzt ("&amp;T1351&amp;"); ",IF(BW1351=1,"Lose – Tablare geschätzt; ","")))&amp;IF(H1351&gt;AT1351,"Überbestand "&amp;ROUND(H1351-AT1351,0)&amp;" Stk / CHF "&amp;ROUND((H1351-AT1351)*G1351,0)&amp;"; ","")&amp;IF(AND(CE1351=1,CF1351&lt;CG1351),"MAX &lt; MB+LG; ","")&amp;IF(AND(CK1351&gt;0,CJ1351*10&gt;CK1351),"zu hoch für Tablar; ","")&amp;IF(AND(BS1351=0,OR(CE1351=1,AA1351&lt;&gt;"",U1351&lt;&gt;"",V1351&lt;&gt;"",AB1351&lt;&gt;"")),"manuell übersteuert; ","")&amp;IF(AND(BW1351=0,R1351=0),"Gebinde unbekannt / Stellmass fehlt; ","")&amp;IF(AND(BW1351=0,N(V1351)&lt;=0,N(Q1351)&lt;=0),"Menge pro Gebinde fehlt (Ist = 1 Gebinde); ","")&amp;BR1351)</f>
        <v>negativer Bestand (Export -1); Kein Verbrauch; Lift 1 lt. Liftbericht (Fach 10 Stk); Überbestand 4 Stk / CHF 8035; </v>
      </c>
      <c r="BK1351" s="48"/>
      <c r="BL1351" s="48"/>
      <c r="BM1351" s="55"/>
      <c r="BN1351" s="50" t="n">
        <v>-1</v>
      </c>
      <c r="BO1351" s="50" t="n">
        <v>10</v>
      </c>
      <c r="BP1351" s="49" t="n">
        <v>-2008.66</v>
      </c>
      <c r="BQ1351" s="50" t="n">
        <v>0</v>
      </c>
      <c r="BR1351" s="48"/>
      <c r="BS1351" s="53" t="n">
        <v>0</v>
      </c>
      <c r="BT1351" s="53" t="n">
        <v>1351</v>
      </c>
      <c r="BU1351" s="48" t="str">
        <f aca="false">IF(U1351&lt;&gt;"",UPPER(TRIM(U1351)),IF(BX1351=1,UPPER(VLOOKUP(T1351,Parameter!$I$27:$K$29,2,0)),IF(P1351="","LOSE",P1351)))</f>
        <v>LOSE</v>
      </c>
      <c r="BV1351" s="50" t="n">
        <f aca="false">IF(BU1351="LOSE",1,IF(N(V1351)&gt;0,V1351,IF(BX1351=1,MAX(1,N(VLOOKUP(T1351,Parameter!$I$27:$K$29,3,0)),H1351,N(N1351)),IF(N(Q1351)&gt;0,Q1351,MAX(1,H1351)))))</f>
        <v>1</v>
      </c>
      <c r="BW1351" s="53" t="n">
        <f aca="false">IF(BU1351="LOSE",1,0)</f>
        <v>1</v>
      </c>
      <c r="BX1351" s="53" t="n">
        <f aca="false">IF(AND(U1351="",OR(P1351="",P1351="LOSE"),T1351&lt;&gt;"",N(S1351)&lt;=0,ISNUMBER(MATCH(T1351,Parameter!$I$27:$I$29,0))),1,0)</f>
        <v>0</v>
      </c>
      <c r="BY1351" s="53" t="n">
        <f aca="false">IF(CL1351&gt;0,INDEX(Parameter!$H$5:$H$7,W1351)/INDEX(Parameter!$E$5:$E$7,W1351),IF(AND(BW1351=0,N(IFERROR(VLOOKUP(BU1351,'Gebinde-Kategorie'!$A$5:$N$45,14,0),0))&gt;0),VLOOKUP(BU1351,'Gebinde-Kategorie'!$A$5:$N$45,14,0)*10+Parameter!$M$23,Parameter!$M$24))</f>
        <v>238</v>
      </c>
      <c r="BZ1351" s="48" t="n">
        <f aca="false">IF(AND(Parameter!$B$19="Ja",E1351&lt;&gt;"",ISNUMBER(MATCH(E1351,Parameter!$I$35:$I$52,0))),VLOOKUP(E1351,Parameter!$I$35:$J$52,2,0),IFERROR(VLOOKUP(D1351,Parameter!$A$35:$C$64,2,0),"Nein"))</f>
        <v>1</v>
      </c>
      <c r="CA1351" s="52" t="n">
        <f aca="false">IF(BW1351=0,0,IF(N(S1351)&gt;0,S1351,IFERROR(VLOOKUP(D1351,Parameter!$A$35:$C$64,3,0)+0,0)))</f>
        <v>1</v>
      </c>
      <c r="CB1351" s="48" t="n">
        <f aca="false">IF(AA1351&lt;&gt;"",AA1351,Z1351)</f>
        <v>1</v>
      </c>
      <c r="CC1351" s="48" t="str">
        <f aca="false">IF(OR(CB1351=1,CB1351=2,CB1351=3),IF(Parameter!$E$27="Ja","LIFT",IF(CB1351=1,"L1","L23")),IF(CB1351="Aussen","Aussen","-"))</f>
        <v>LIFT</v>
      </c>
      <c r="CD1351" s="59" t="n">
        <f aca="false">IF(N(AB1351)&gt;0,AB1351,0)</f>
        <v>0</v>
      </c>
      <c r="CE1351" s="53" t="n">
        <f aca="false">IF(ISNUMBER(AE1351),1,0)</f>
        <v>0</v>
      </c>
      <c r="CF1351" s="50" t="n">
        <f aca="false">N(AE1351)</f>
        <v>0</v>
      </c>
      <c r="CG1351" s="50" t="n">
        <f aca="false">N(M1351)+N(N1351)</f>
        <v>5</v>
      </c>
      <c r="CH1351" s="50" t="n">
        <f aca="false">ROUNDUP(H1351/BV1351,0)</f>
        <v>9</v>
      </c>
      <c r="CI1351" s="50" t="n">
        <f aca="false">ROUNDUP(CF1351/BV1351,0)</f>
        <v>0</v>
      </c>
      <c r="CJ1351" s="53" t="n">
        <f aca="false">IF(BW1351=1,0,IFERROR(VLOOKUP(BU1351,'Gebinde-Kategorie'!$A$5:$N$45,5,0)+0,0))</f>
        <v>0</v>
      </c>
      <c r="CK1351" s="53" t="n">
        <f aca="false">IFERROR(IF(OR(CB1351=1,CB1351=2,CB1351=3),N(INDEX(Parameter!$I$5:$I$7,CB1351)),0),0)</f>
        <v>0</v>
      </c>
      <c r="CL1351" s="52" t="n">
        <f aca="false">IF(AND(Parameter!$B$21="Ja",ISNUMBER(W1351),N(X1351)&gt;0),IFERROR(N(INDEX(Parameter!$L$5:$L$7,W1351))*INDEX(Parameter!$E$5:$E$7,W1351)*X1351/SUMIFS($X$7:$X$1843,$W$7:$W$1843,W1351),0),0)</f>
        <v>0.800376647834275</v>
      </c>
    </row>
    <row r="1352" customFormat="false" ht="15" hidden="false" customHeight="false" outlineLevel="0" collapsed="false">
      <c r="A1352" s="48" t="s">
        <v>2390</v>
      </c>
      <c r="B1352" s="48" t="s">
        <v>680</v>
      </c>
      <c r="C1352" s="48" t="s">
        <v>168</v>
      </c>
      <c r="D1352" s="48" t="s">
        <v>188</v>
      </c>
      <c r="E1352" s="48"/>
      <c r="F1352" s="48" t="s">
        <v>222</v>
      </c>
      <c r="G1352" s="49" t="n">
        <v>14.73</v>
      </c>
      <c r="H1352" s="50" t="n">
        <f aca="false">MAX(0,IF(AND(Parameter!$B$21="Ja",ISNUMBER(Y1352)),Y1352,IF(Parameter!$B$20="Jahresanfang 2025 + Export",BO1352+BN1352,BN1352)))</f>
        <v>61</v>
      </c>
      <c r="I1352" s="50" t="n">
        <f aca="false">H1352*G1352</f>
        <v>898.53</v>
      </c>
      <c r="J1352" s="50" t="n">
        <f aca="false">BQ1352*Parameter!$B$18</f>
        <v>188</v>
      </c>
      <c r="K1352" s="51" t="n">
        <v>126</v>
      </c>
      <c r="L1352" s="52" t="n">
        <v>1.49206349206349</v>
      </c>
      <c r="M1352" s="50" t="n">
        <v>35</v>
      </c>
      <c r="N1352" s="50" t="n">
        <v>190</v>
      </c>
      <c r="O1352" s="53" t="n">
        <v>63</v>
      </c>
      <c r="P1352" s="48" t="s">
        <v>230</v>
      </c>
      <c r="Q1352" s="50" t="n">
        <v>100</v>
      </c>
      <c r="R1352" s="53" t="n">
        <f aca="false">IF(BW1352=1,0,IFERROR(VLOOKUP(BU1352,'Gebinde-Kategorie'!$A$5:$N$45,13,0)+0,0))</f>
        <v>12</v>
      </c>
      <c r="S1352" s="54"/>
      <c r="T1352" s="55"/>
      <c r="U1352" s="55"/>
      <c r="V1352" s="55"/>
      <c r="W1352" s="48"/>
      <c r="X1352" s="50"/>
      <c r="Y1352" s="50"/>
      <c r="Z1352" s="48" t="n">
        <f aca="false">IF(A1352="","",IF(AND(Parameter!$B$21="Ja",ISNUMBER(W1352)),W1352,IF(BZ1352="2+3",IF(ISNUMBER(SEARCH("grosser Artikel",BR1352)),2,IFERROR(VLOOKUP(BU1352,Parameter!$F$35:$G$64,2,0),2)),IF(OR(BZ1352="Nein",BZ1352=""),"-",BZ1352))))</f>
        <v>2</v>
      </c>
      <c r="AA1352" s="55"/>
      <c r="AB1352" s="56"/>
      <c r="AC1352" s="50" t="n">
        <f aca="false">AT1352</f>
        <v>300</v>
      </c>
      <c r="AD1352" s="50" t="n">
        <f aca="false">MAX(AT1352,H1352)</f>
        <v>300</v>
      </c>
      <c r="AE1352" s="57"/>
      <c r="AF1352" s="50" t="n">
        <f aca="false">IF(LEFT(Cockpit!$C$5,1)="A",H1352,IF(CE1352=1,CF1352,IF(LEFT(Cockpit!$C$5,1)="B",AK1352,MAX(AK1352,H1352))))</f>
        <v>61</v>
      </c>
      <c r="AG1352" s="50" t="n">
        <f aca="false">IF(BW1352=1,0,ROUNDUP(AF1352/BV1352,0))</f>
        <v>1</v>
      </c>
      <c r="AH1352" s="52" t="n">
        <f aca="false">IF(CL1352&gt;0,CL1352*MAX(1,AF1352/X1352),IF(BW1352=1,IF(AF1352&lt;=0,0,CA1352*MAX(1,IF(H1352&gt;0,AF1352/H1352,1))),IF(R1352&gt;0,AG1352/R1352,0))/MAX(0.1,N(Parameter!$M$21)))</f>
        <v>0.0833333333333333</v>
      </c>
      <c r="AI1352" s="50" t="n">
        <f aca="false">AH1352*BY1352</f>
        <v>28.75</v>
      </c>
      <c r="AJ1352" s="50" t="n">
        <f aca="false">AF1352*G1352</f>
        <v>898.53</v>
      </c>
      <c r="AK1352" s="50" t="n">
        <f aca="false">ROUNDUP(MAX(J1352/IF(CD1352&gt;0,CD1352,MAX(0.1,N(Cockpit!$C$6))),CG1352)/BV1352,0)*BV1352</f>
        <v>300</v>
      </c>
      <c r="AL1352" s="51" t="n">
        <f aca="false">IF(AI1352&gt;0,J1352/AI1352,-1)</f>
        <v>6.53913043478261</v>
      </c>
      <c r="AM1352" s="51" t="n">
        <f aca="false">IF(AND(OR(CC1352="L1",CC1352="L23",CC1352="LIFT"),AI1352&gt;0),SUMIFS($AI$7:$AI$1843,$CC$7:$CC$1843,CC1352,$AL$7:$AL$1843,"&gt;"&amp;AL1352)+SUMIFS($AI$7:$AI$1843,$CC$7:$CC$1843,CC1352,$AL$7:$AL$1843,AL1352,$BT$7:$BT$1843,"&lt;="&amp;BT1352),"")</f>
        <v>3428.85485347985</v>
      </c>
      <c r="AN1352" s="58" t="n">
        <f aca="false">IF(AM1352="",0,MAX(0,MIN(1,(IF(CC1352="L1",Parameter!$H$5,IF(CC1352="L23",Parameter!$H$6+Parameter!$H$7,Parameter!$H$5+Parameter!$H$6+Parameter!$H$7))-(AM1352-AI1352))/AI1352)))</f>
        <v>1</v>
      </c>
      <c r="AO1352" s="50" t="n">
        <f aca="false">IF(LEFT(Cockpit!$I$5,1)="A",H1352,IF(CE1352=1,CF1352,IF(LEFT(Cockpit!$I$5,1)="B",AT1352,MAX(AT1352,H1352))))</f>
        <v>300</v>
      </c>
      <c r="AP1352" s="50" t="n">
        <f aca="false">IF(BW1352=1,0,ROUNDUP(AO1352/BV1352,0))</f>
        <v>3</v>
      </c>
      <c r="AQ1352" s="52" t="n">
        <f aca="false">IF(CL1352&gt;0,CL1352*MAX(1,AO1352/X1352),IF(BW1352=1,IF(AO1352&lt;=0,0,CA1352*MAX(1,IF(H1352&gt;0,AO1352/H1352,1))),IF(R1352&gt;0,AP1352/R1352,0))/MAX(0.1,N(Parameter!$M$21)))</f>
        <v>0.25</v>
      </c>
      <c r="AR1352" s="50" t="n">
        <f aca="false">AQ1352*BY1352</f>
        <v>86.25</v>
      </c>
      <c r="AS1352" s="50" t="n">
        <f aca="false">AO1352*G1352</f>
        <v>4419</v>
      </c>
      <c r="AT1352" s="50" t="n">
        <f aca="false">ROUNDUP(MAX(J1352/IF(CD1352&gt;0,CD1352,MAX(0.1,N(Cockpit!$I$6))),CG1352)/BV1352,0)*BV1352</f>
        <v>300</v>
      </c>
      <c r="AU1352" s="51" t="n">
        <f aca="false">IF(AR1352&gt;0,J1352/AR1352,-1)</f>
        <v>2.17971014492754</v>
      </c>
      <c r="AV1352" s="51" t="n">
        <f aca="false">IF(AND(OR(CC1352="L1",CC1352="L23",CC1352="LIFT"),AR1352&gt;0),SUMIFS($AR$7:$AR$1843,$CC$7:$CC$1843,CC1352,$AU$7:$AU$1843,"&gt;"&amp;AU1352)+SUMIFS($AR$7:$AR$1843,$CC$7:$CC$1843,CC1352,$AU$7:$AU$1843,AU1352,$BT$7:$BT$1843,"&lt;="&amp;BT1352),"")</f>
        <v>7430.84661172161</v>
      </c>
      <c r="AW1352" s="58" t="n">
        <f aca="false">IF(AV1352="",0,MAX(0,MIN(1,(IF(CC1352="L1",Parameter!$H$5,IF(CC1352="L23",Parameter!$H$6+Parameter!$H$7,Parameter!$H$5+Parameter!$H$6+Parameter!$H$7))-(AV1352-AR1352))/AR1352)))</f>
        <v>1</v>
      </c>
      <c r="AX1352" s="50" t="n">
        <f aca="false">IF(LEFT(Cockpit!$O$5,1)="A",H1352,IF(CE1352=1,CF1352,IF(LEFT(Cockpit!$O$5,1)="B",BC1352,MAX(BC1352,H1352))))</f>
        <v>300</v>
      </c>
      <c r="AY1352" s="50" t="n">
        <f aca="false">IF(BW1352=1,0,ROUNDUP(AX1352/BV1352,0))</f>
        <v>3</v>
      </c>
      <c r="AZ1352" s="52" t="n">
        <f aca="false">IF(CL1352&gt;0,CL1352*MAX(1,AX1352/X1352),IF(BW1352=1,IF(AX1352&lt;=0,0,CA1352*MAX(1,IF(H1352&gt;0,AX1352/H1352,1))),IF(R1352&gt;0,AY1352/R1352,0))/MAX(0.1,N(Parameter!$M$21)))</f>
        <v>0.25</v>
      </c>
      <c r="BA1352" s="50" t="n">
        <f aca="false">AZ1352*BY1352</f>
        <v>86.25</v>
      </c>
      <c r="BB1352" s="50" t="n">
        <f aca="false">AX1352*G1352</f>
        <v>4419</v>
      </c>
      <c r="BC1352" s="50" t="n">
        <f aca="false">ROUNDUP(MAX(J1352/IF(CD1352&gt;0,CD1352,MAX(0.1,N(Cockpit!$O$6))),CG1352)/BV1352,0)*BV1352</f>
        <v>300</v>
      </c>
      <c r="BD1352" s="51" t="n">
        <f aca="false">IF(BA1352&gt;0,J1352/BA1352,-1)</f>
        <v>2.17971014492754</v>
      </c>
      <c r="BE1352" s="51" t="n">
        <f aca="false">IF(AND(OR(CC1352="L1",CC1352="L23",CC1352="LIFT"),BA1352&gt;0),SUMIFS($BA$7:$BA$1843,$CC$7:$CC$1843,CC1352,$BD$7:$BD$1843,"&gt;"&amp;BD1352)+SUMIFS($BA$7:$BA$1843,$CC$7:$CC$1843,CC1352,$BD$7:$BD$1843,BD1352,$BT$7:$BT$1843,"&lt;="&amp;BT1352),"")</f>
        <v>7003.586996337</v>
      </c>
      <c r="BF1352" s="58" t="n">
        <f aca="false">IF(BE1352="",0,MAX(0,MIN(1,(IF(CC1352="L1",Parameter!$H$5,IF(CC1352="L23",Parameter!$H$6+Parameter!$H$7,Parameter!$H$5+Parameter!$H$6+Parameter!$H$7))-(BE1352-BA1352))/BA1352)))</f>
        <v>1</v>
      </c>
      <c r="BG1352" s="48" t="str">
        <f aca="false">IF(AI1352&lt;=0,"",IF(CC1352="Aussen","Aussenlager",IF(CC1352="-","Nicht im Lift",IF(AN1352&gt;=1,"Lift",IF(AN1352&lt;=0,"Aussenlager","teilweise")))))</f>
        <v>Lift</v>
      </c>
      <c r="BH1352" s="48" t="str">
        <f aca="false">IF(AR1352&lt;=0,"",IF(CC1352="Aussen","Aussenlager",IF(CC1352="-","Nicht im Lift",IF(AW1352&gt;=1,"Lift",IF(AW1352&lt;=0,"Aussenlager","teilweise")))))</f>
        <v>Lift</v>
      </c>
      <c r="BI1352" s="48" t="str">
        <f aca="false">IF(BA1352&lt;=0,"",IF(CC1352="Aussen","Aussenlager",IF(CC1352="-","Nicht im Lift",IF(BF1352&gt;=1,"Lift",IF(BF1352&lt;=0,"Aussenlager","teilweise")))))</f>
        <v>Lift</v>
      </c>
      <c r="BJ1352" s="48" t="str">
        <f aca="false">IF(A1352="","",IF(BS1352=1,"Neu; ","")&amp;IF(AND(BS1352=0,BN1352&lt;0),"negativer Bestand (Export "&amp;BN1352&amp;"); ","")&amp;IF(J1352&lt;=0,"Kein Verbrauch; ","")&amp;IF(CL1352&gt;0,"Lift "&amp;W1352&amp;" lt. Liftbericht (Fach "&amp;X1352&amp;" Stk); ",IF(BX1352=1,"Gebinde geschätzt ("&amp;T1352&amp;"); ",IF(BW1352=1,"Lose – Tablare geschätzt; ","")))&amp;IF(H1352&gt;AT1352,"Überbestand "&amp;ROUND(H1352-AT1352,0)&amp;" Stk / CHF "&amp;ROUND((H1352-AT1352)*G1352,0)&amp;"; ","")&amp;IF(AND(CE1352=1,CF1352&lt;CG1352),"MAX &lt; MB+LG; ","")&amp;IF(AND(CK1352&gt;0,CJ1352*10&gt;CK1352),"zu hoch für Tablar; ","")&amp;IF(AND(BS1352=0,OR(CE1352=1,AA1352&lt;&gt;"",U1352&lt;&gt;"",V1352&lt;&gt;"",AB1352&lt;&gt;"")),"manuell übersteuert; ","")&amp;IF(AND(BW1352=0,R1352=0),"Gebinde unbekannt / Stellmass fehlt; ","")&amp;IF(AND(BW1352=0,N(V1352)&lt;=0,N(Q1352)&lt;=0),"Menge pro Gebinde fehlt (Ist = 1 Gebinde); ","")&amp;BR1352)</f>
        <v>negativer Bestand (Export -139); </v>
      </c>
      <c r="BK1352" s="48"/>
      <c r="BL1352" s="48"/>
      <c r="BM1352" s="55"/>
      <c r="BN1352" s="50" t="n">
        <v>-139</v>
      </c>
      <c r="BO1352" s="50" t="n">
        <v>200</v>
      </c>
      <c r="BP1352" s="49" t="n">
        <v>-2015.47</v>
      </c>
      <c r="BQ1352" s="50" t="n">
        <v>188</v>
      </c>
      <c r="BR1352" s="48"/>
      <c r="BS1352" s="53" t="n">
        <v>0</v>
      </c>
      <c r="BT1352" s="53" t="n">
        <v>1352</v>
      </c>
      <c r="BU1352" s="48" t="str">
        <f aca="false">IF(U1352&lt;&gt;"",UPPER(TRIM(U1352)),IF(BX1352=1,UPPER(VLOOKUP(T1352,Parameter!$I$27:$K$29,2,0)),IF(P1352="","LOSE",P1352)))</f>
        <v>S63</v>
      </c>
      <c r="BV1352" s="50" t="n">
        <f aca="false">IF(BU1352="LOSE",1,IF(N(V1352)&gt;0,V1352,IF(BX1352=1,MAX(1,N(VLOOKUP(T1352,Parameter!$I$27:$K$29,3,0)),H1352,N(N1352)),IF(N(Q1352)&gt;0,Q1352,MAX(1,H1352)))))</f>
        <v>100</v>
      </c>
      <c r="BW1352" s="53" t="n">
        <f aca="false">IF(BU1352="LOSE",1,0)</f>
        <v>0</v>
      </c>
      <c r="BX1352" s="53" t="n">
        <f aca="false">IF(AND(U1352="",OR(P1352="",P1352="LOSE"),T1352&lt;&gt;"",N(S1352)&lt;=0,ISNUMBER(MATCH(T1352,Parameter!$I$27:$I$29,0))),1,0)</f>
        <v>0</v>
      </c>
      <c r="BY1352" s="53" t="n">
        <f aca="false">IF(CL1352&gt;0,INDEX(Parameter!$H$5:$H$7,W1352)/INDEX(Parameter!$E$5:$E$7,W1352),IF(AND(BW1352=0,N(IFERROR(VLOOKUP(BU1352,'Gebinde-Kategorie'!$A$5:$N$45,14,0),0))&gt;0),VLOOKUP(BU1352,'Gebinde-Kategorie'!$A$5:$N$45,14,0)*10+Parameter!$M$23,Parameter!$M$24))</f>
        <v>345</v>
      </c>
      <c r="BZ1352" s="48" t="str">
        <f aca="false">IF(AND(Parameter!$B$19="Ja",E1352&lt;&gt;"",ISNUMBER(MATCH(E1352,Parameter!$I$35:$I$52,0))),VLOOKUP(E1352,Parameter!$I$35:$J$52,2,0),IFERROR(VLOOKUP(D1352,Parameter!$A$35:$C$64,2,0),"Nein"))</f>
        <v>2+3</v>
      </c>
      <c r="CA1352" s="52" t="n">
        <f aca="false">IF(BW1352=0,0,IF(N(S1352)&gt;0,S1352,IFERROR(VLOOKUP(D1352,Parameter!$A$35:$C$64,3,0)+0,0)))</f>
        <v>0</v>
      </c>
      <c r="CB1352" s="48" t="n">
        <f aca="false">IF(AA1352&lt;&gt;"",AA1352,Z1352)</f>
        <v>2</v>
      </c>
      <c r="CC1352" s="48" t="str">
        <f aca="false">IF(OR(CB1352=1,CB1352=2,CB1352=3),IF(Parameter!$E$27="Ja","LIFT",IF(CB1352=1,"L1","L23")),IF(CB1352="Aussen","Aussen","-"))</f>
        <v>LIFT</v>
      </c>
      <c r="CD1352" s="59" t="n">
        <f aca="false">IF(N(AB1352)&gt;0,AB1352,0)</f>
        <v>0</v>
      </c>
      <c r="CE1352" s="53" t="n">
        <f aca="false">IF(ISNUMBER(AE1352),1,0)</f>
        <v>0</v>
      </c>
      <c r="CF1352" s="50" t="n">
        <f aca="false">N(AE1352)</f>
        <v>0</v>
      </c>
      <c r="CG1352" s="50" t="n">
        <f aca="false">N(M1352)+N(N1352)</f>
        <v>225</v>
      </c>
      <c r="CH1352" s="50" t="n">
        <f aca="false">ROUNDUP(H1352/BV1352,0)</f>
        <v>1</v>
      </c>
      <c r="CI1352" s="50" t="n">
        <f aca="false">ROUNDUP(CF1352/BV1352,0)</f>
        <v>0</v>
      </c>
      <c r="CJ1352" s="53" t="n">
        <f aca="false">IF(BW1352=1,0,IFERROR(VLOOKUP(BU1352,'Gebinde-Kategorie'!$A$5:$N$45,5,0)+0,0))</f>
        <v>31</v>
      </c>
      <c r="CK1352" s="53" t="n">
        <f aca="false">IFERROR(IF(OR(CB1352=1,CB1352=2,CB1352=3),N(INDEX(Parameter!$I$5:$I$7,CB1352)),0),0)</f>
        <v>0</v>
      </c>
      <c r="CL1352" s="52" t="n">
        <f aca="false">IF(AND(Parameter!$B$21="Ja",ISNUMBER(W1352),N(X1352)&gt;0),IFERROR(N(INDEX(Parameter!$L$5:$L$7,W1352))*INDEX(Parameter!$E$5:$E$7,W1352)*X1352/SUMIFS($X$7:$X$1843,$W$7:$W$1843,W1352),0),0)</f>
        <v>0</v>
      </c>
    </row>
    <row r="1353" customFormat="false" ht="15" hidden="false" customHeight="false" outlineLevel="0" collapsed="false">
      <c r="A1353" s="48" t="s">
        <v>2391</v>
      </c>
      <c r="B1353" s="48" t="s">
        <v>721</v>
      </c>
      <c r="C1353" s="48" t="s">
        <v>168</v>
      </c>
      <c r="D1353" s="48" t="s">
        <v>177</v>
      </c>
      <c r="E1353" s="48" t="s">
        <v>170</v>
      </c>
      <c r="F1353" s="48" t="s">
        <v>222</v>
      </c>
      <c r="G1353" s="49" t="n">
        <v>107.1</v>
      </c>
      <c r="H1353" s="50" t="n">
        <f aca="false">MAX(0,IF(AND(Parameter!$B$21="Ja",ISNUMBER(Y1353)),Y1353,IF(Parameter!$B$20="Jahresanfang 2025 + Export",BO1353+BN1353,BN1353)))</f>
        <v>42</v>
      </c>
      <c r="I1353" s="50" t="n">
        <f aca="false">H1353*G1353</f>
        <v>4498.2</v>
      </c>
      <c r="J1353" s="50" t="n">
        <f aca="false">BQ1353*Parameter!$B$18</f>
        <v>14</v>
      </c>
      <c r="K1353" s="51" t="n">
        <v>54</v>
      </c>
      <c r="L1353" s="52" t="n">
        <v>0.259259259259259</v>
      </c>
      <c r="M1353" s="50" t="n">
        <v>0</v>
      </c>
      <c r="N1353" s="50" t="n">
        <v>15</v>
      </c>
      <c r="O1353" s="53" t="n">
        <v>21</v>
      </c>
      <c r="P1353" s="48" t="s">
        <v>190</v>
      </c>
      <c r="Q1353" s="50" t="n">
        <v>56</v>
      </c>
      <c r="R1353" s="53" t="n">
        <f aca="false">IF(BW1353=1,0,IFERROR(VLOOKUP(BU1353,'Gebinde-Kategorie'!$A$5:$N$45,13,0)+0,0))</f>
        <v>12</v>
      </c>
      <c r="S1353" s="54"/>
      <c r="T1353" s="55"/>
      <c r="U1353" s="55"/>
      <c r="V1353" s="55"/>
      <c r="W1353" s="48"/>
      <c r="X1353" s="50"/>
      <c r="Y1353" s="50"/>
      <c r="Z1353" s="48" t="n">
        <f aca="false">IF(A1353="","",IF(AND(Parameter!$B$21="Ja",ISNUMBER(W1353)),W1353,IF(BZ1353="2+3",IF(ISNUMBER(SEARCH("grosser Artikel",BR1353)),2,IFERROR(VLOOKUP(BU1353,Parameter!$F$35:$G$64,2,0),2)),IF(OR(BZ1353="Nein",BZ1353=""),"-",BZ1353))))</f>
        <v>1</v>
      </c>
      <c r="AA1353" s="55"/>
      <c r="AB1353" s="56"/>
      <c r="AC1353" s="50" t="n">
        <f aca="false">AT1353</f>
        <v>56</v>
      </c>
      <c r="AD1353" s="50" t="n">
        <f aca="false">MAX(AT1353,H1353)</f>
        <v>56</v>
      </c>
      <c r="AE1353" s="57"/>
      <c r="AF1353" s="50" t="n">
        <f aca="false">IF(LEFT(Cockpit!$C$5,1)="A",H1353,IF(CE1353=1,CF1353,IF(LEFT(Cockpit!$C$5,1)="B",AK1353,MAX(AK1353,H1353))))</f>
        <v>42</v>
      </c>
      <c r="AG1353" s="50" t="n">
        <f aca="false">IF(BW1353=1,0,ROUNDUP(AF1353/BV1353,0))</f>
        <v>1</v>
      </c>
      <c r="AH1353" s="52" t="n">
        <f aca="false">IF(CL1353&gt;0,CL1353*MAX(1,AF1353/X1353),IF(BW1353=1,IF(AF1353&lt;=0,0,CA1353*MAX(1,IF(H1353&gt;0,AF1353/H1353,1))),IF(R1353&gt;0,AG1353/R1353,0))/MAX(0.1,N(Parameter!$M$21)))</f>
        <v>0.0833333333333333</v>
      </c>
      <c r="AI1353" s="50" t="n">
        <f aca="false">AH1353*BY1353</f>
        <v>12.0833333333333</v>
      </c>
      <c r="AJ1353" s="50" t="n">
        <f aca="false">AF1353*G1353</f>
        <v>4498.2</v>
      </c>
      <c r="AK1353" s="50" t="n">
        <f aca="false">ROUNDUP(MAX(J1353/IF(CD1353&gt;0,CD1353,MAX(0.1,N(Cockpit!$C$6))),CG1353)/BV1353,0)*BV1353</f>
        <v>56</v>
      </c>
      <c r="AL1353" s="51" t="n">
        <f aca="false">IF(AI1353&gt;0,J1353/AI1353,-1)</f>
        <v>1.15862068965517</v>
      </c>
      <c r="AM1353" s="51" t="n">
        <f aca="false">IF(AND(OR(CC1353="L1",CC1353="L23",CC1353="LIFT"),AI1353&gt;0),SUMIFS($AI$7:$AI$1843,$CC$7:$CC$1843,CC1353,$AL$7:$AL$1843,"&gt;"&amp;AL1353)+SUMIFS($AI$7:$AI$1843,$CC$7:$CC$1843,CC1353,$AL$7:$AL$1843,AL1353,$BT$7:$BT$1843,"&lt;="&amp;BT1353),"")</f>
        <v>6715.60302197802</v>
      </c>
      <c r="AN1353" s="58" t="n">
        <f aca="false">IF(AM1353="",0,MAX(0,MIN(1,(IF(CC1353="L1",Parameter!$H$5,IF(CC1353="L23",Parameter!$H$6+Parameter!$H$7,Parameter!$H$5+Parameter!$H$6+Parameter!$H$7))-(AM1353-AI1353))/AI1353)))</f>
        <v>1</v>
      </c>
      <c r="AO1353" s="50" t="n">
        <f aca="false">IF(LEFT(Cockpit!$I$5,1)="A",H1353,IF(CE1353=1,CF1353,IF(LEFT(Cockpit!$I$5,1)="B",AT1353,MAX(AT1353,H1353))))</f>
        <v>56</v>
      </c>
      <c r="AP1353" s="50" t="n">
        <f aca="false">IF(BW1353=1,0,ROUNDUP(AO1353/BV1353,0))</f>
        <v>1</v>
      </c>
      <c r="AQ1353" s="52" t="n">
        <f aca="false">IF(CL1353&gt;0,CL1353*MAX(1,AO1353/X1353),IF(BW1353=1,IF(AO1353&lt;=0,0,CA1353*MAX(1,IF(H1353&gt;0,AO1353/H1353,1))),IF(R1353&gt;0,AP1353/R1353,0))/MAX(0.1,N(Parameter!$M$21)))</f>
        <v>0.0833333333333333</v>
      </c>
      <c r="AR1353" s="50" t="n">
        <f aca="false">AQ1353*BY1353</f>
        <v>12.0833333333333</v>
      </c>
      <c r="AS1353" s="50" t="n">
        <f aca="false">AO1353*G1353</f>
        <v>5997.6</v>
      </c>
      <c r="AT1353" s="50" t="n">
        <f aca="false">ROUNDUP(MAX(J1353/IF(CD1353&gt;0,CD1353,MAX(0.1,N(Cockpit!$I$6))),CG1353)/BV1353,0)*BV1353</f>
        <v>56</v>
      </c>
      <c r="AU1353" s="51" t="n">
        <f aca="false">IF(AR1353&gt;0,J1353/AR1353,-1)</f>
        <v>1.15862068965517</v>
      </c>
      <c r="AV1353" s="51" t="n">
        <f aca="false">IF(AND(OR(CC1353="L1",CC1353="L23",CC1353="LIFT"),AR1353&gt;0),SUMIFS($AR$7:$AR$1843,$CC$7:$CC$1843,CC1353,$AU$7:$AU$1843,"&gt;"&amp;AU1353)+SUMIFS($AR$7:$AR$1843,$CC$7:$CC$1843,CC1353,$AU$7:$AU$1843,AU1353,$BT$7:$BT$1843,"&lt;="&amp;BT1353),"")</f>
        <v>9897.69322344322</v>
      </c>
      <c r="AW1353" s="58" t="n">
        <f aca="false">IF(AV1353="",0,MAX(0,MIN(1,(IF(CC1353="L1",Parameter!$H$5,IF(CC1353="L23",Parameter!$H$6+Parameter!$H$7,Parameter!$H$5+Parameter!$H$6+Parameter!$H$7))-(AV1353-AR1353))/AR1353)))</f>
        <v>1</v>
      </c>
      <c r="AX1353" s="50" t="n">
        <f aca="false">IF(LEFT(Cockpit!$O$5,1)="A",H1353,IF(CE1353=1,CF1353,IF(LEFT(Cockpit!$O$5,1)="B",BC1353,MAX(BC1353,H1353))))</f>
        <v>56</v>
      </c>
      <c r="AY1353" s="50" t="n">
        <f aca="false">IF(BW1353=1,0,ROUNDUP(AX1353/BV1353,0))</f>
        <v>1</v>
      </c>
      <c r="AZ1353" s="52" t="n">
        <f aca="false">IF(CL1353&gt;0,CL1353*MAX(1,AX1353/X1353),IF(BW1353=1,IF(AX1353&lt;=0,0,CA1353*MAX(1,IF(H1353&gt;0,AX1353/H1353,1))),IF(R1353&gt;0,AY1353/R1353,0))/MAX(0.1,N(Parameter!$M$21)))</f>
        <v>0.0833333333333333</v>
      </c>
      <c r="BA1353" s="50" t="n">
        <f aca="false">AZ1353*BY1353</f>
        <v>12.0833333333333</v>
      </c>
      <c r="BB1353" s="50" t="n">
        <f aca="false">AX1353*G1353</f>
        <v>5997.6</v>
      </c>
      <c r="BC1353" s="50" t="n">
        <f aca="false">ROUNDUP(MAX(J1353/IF(CD1353&gt;0,CD1353,MAX(0.1,N(Cockpit!$O$6))),CG1353)/BV1353,0)*BV1353</f>
        <v>56</v>
      </c>
      <c r="BD1353" s="51" t="n">
        <f aca="false">IF(BA1353&gt;0,J1353/BA1353,-1)</f>
        <v>1.15862068965517</v>
      </c>
      <c r="BE1353" s="51" t="n">
        <f aca="false">IF(AND(OR(CC1353="L1",CC1353="L23",CC1353="LIFT"),BA1353&gt;0),SUMIFS($BA$7:$BA$1843,$CC$7:$CC$1843,CC1353,$BD$7:$BD$1843,"&gt;"&amp;BD1353)+SUMIFS($BA$7:$BA$1843,$CC$7:$CC$1843,CC1353,$BD$7:$BD$1843,BD1353,$BT$7:$BT$1843,"&lt;="&amp;BT1353),"")</f>
        <v>8908.35027472527</v>
      </c>
      <c r="BF1353" s="58" t="n">
        <f aca="false">IF(BE1353="",0,MAX(0,MIN(1,(IF(CC1353="L1",Parameter!$H$5,IF(CC1353="L23",Parameter!$H$6+Parameter!$H$7,Parameter!$H$5+Parameter!$H$6+Parameter!$H$7))-(BE1353-BA1353))/BA1353)))</f>
        <v>1</v>
      </c>
      <c r="BG1353" s="48" t="str">
        <f aca="false">IF(AI1353&lt;=0,"",IF(CC1353="Aussen","Aussenlager",IF(CC1353="-","Nicht im Lift",IF(AN1353&gt;=1,"Lift",IF(AN1353&lt;=0,"Aussenlager","teilweise")))))</f>
        <v>Lift</v>
      </c>
      <c r="BH1353" s="48" t="str">
        <f aca="false">IF(AR1353&lt;=0,"",IF(CC1353="Aussen","Aussenlager",IF(CC1353="-","Nicht im Lift",IF(AW1353&gt;=1,"Lift",IF(AW1353&lt;=0,"Aussenlager","teilweise")))))</f>
        <v>Lift</v>
      </c>
      <c r="BI1353" s="48" t="str">
        <f aca="false">IF(BA1353&lt;=0,"",IF(CC1353="Aussen","Aussenlager",IF(CC1353="-","Nicht im Lift",IF(BF1353&gt;=1,"Lift",IF(BF1353&lt;=0,"Aussenlager","teilweise")))))</f>
        <v>Lift</v>
      </c>
      <c r="BJ1353" s="48" t="str">
        <f aca="false">IF(A1353="","",IF(BS1353=1,"Neu; ","")&amp;IF(AND(BS1353=0,BN1353&lt;0),"negativer Bestand (Export "&amp;BN1353&amp;"); ","")&amp;IF(J1353&lt;=0,"Kein Verbrauch; ","")&amp;IF(CL1353&gt;0,"Lift "&amp;W1353&amp;" lt. Liftbericht (Fach "&amp;X1353&amp;" Stk); ",IF(BX1353=1,"Gebinde geschätzt ("&amp;T1353&amp;"); ",IF(BW1353=1,"Lose – Tablare geschätzt; ","")))&amp;IF(H1353&gt;AT1353,"Überbestand "&amp;ROUND(H1353-AT1353,0)&amp;" Stk / CHF "&amp;ROUND((H1353-AT1353)*G1353,0)&amp;"; ","")&amp;IF(AND(CE1353=1,CF1353&lt;CG1353),"MAX &lt; MB+LG; ","")&amp;IF(AND(CK1353&gt;0,CJ1353*10&gt;CK1353),"zu hoch für Tablar; ","")&amp;IF(AND(BS1353=0,OR(CE1353=1,AA1353&lt;&gt;"",U1353&lt;&gt;"",V1353&lt;&gt;"",AB1353&lt;&gt;"")),"manuell übersteuert; ","")&amp;IF(AND(BW1353=0,R1353=0),"Gebinde unbekannt / Stellmass fehlt; ","")&amp;IF(AND(BW1353=0,N(V1353)&lt;=0,N(Q1353)&lt;=0),"Menge pro Gebinde fehlt (Ist = 1 Gebinde); ","")&amp;BR1353)</f>
        <v>negativer Bestand (Export -19); Neu</v>
      </c>
      <c r="BK1353" s="48"/>
      <c r="BL1353" s="48"/>
      <c r="BM1353" s="55"/>
      <c r="BN1353" s="50" t="n">
        <v>-19</v>
      </c>
      <c r="BO1353" s="50" t="n">
        <v>61</v>
      </c>
      <c r="BP1353" s="49" t="n">
        <v>-2034.9</v>
      </c>
      <c r="BQ1353" s="50" t="n">
        <v>14</v>
      </c>
      <c r="BR1353" s="48" t="s">
        <v>630</v>
      </c>
      <c r="BS1353" s="53" t="n">
        <v>0</v>
      </c>
      <c r="BT1353" s="53" t="n">
        <v>1353</v>
      </c>
      <c r="BU1353" s="48" t="str">
        <f aca="false">IF(U1353&lt;&gt;"",UPPER(TRIM(U1353)),IF(BX1353=1,UPPER(VLOOKUP(T1353,Parameter!$I$27:$K$29,2,0)),IF(P1353="","LOSE",P1353)))</f>
        <v>S61</v>
      </c>
      <c r="BV1353" s="50" t="n">
        <f aca="false">IF(BU1353="LOSE",1,IF(N(V1353)&gt;0,V1353,IF(BX1353=1,MAX(1,N(VLOOKUP(T1353,Parameter!$I$27:$K$29,3,0)),H1353,N(N1353)),IF(N(Q1353)&gt;0,Q1353,MAX(1,H1353)))))</f>
        <v>56</v>
      </c>
      <c r="BW1353" s="53" t="n">
        <f aca="false">IF(BU1353="LOSE",1,0)</f>
        <v>0</v>
      </c>
      <c r="BX1353" s="53" t="n">
        <f aca="false">IF(AND(U1353="",OR(P1353="",P1353="LOSE"),T1353&lt;&gt;"",N(S1353)&lt;=0,ISNUMBER(MATCH(T1353,Parameter!$I$27:$I$29,0))),1,0)</f>
        <v>0</v>
      </c>
      <c r="BY1353" s="53" t="n">
        <f aca="false">IF(CL1353&gt;0,INDEX(Parameter!$H$5:$H$7,W1353)/INDEX(Parameter!$E$5:$E$7,W1353),IF(AND(BW1353=0,N(IFERROR(VLOOKUP(BU1353,'Gebinde-Kategorie'!$A$5:$N$45,14,0),0))&gt;0),VLOOKUP(BU1353,'Gebinde-Kategorie'!$A$5:$N$45,14,0)*10+Parameter!$M$23,Parameter!$M$24))</f>
        <v>145</v>
      </c>
      <c r="BZ1353" s="48" t="n">
        <f aca="false">IF(AND(Parameter!$B$19="Ja",E1353&lt;&gt;"",ISNUMBER(MATCH(E1353,Parameter!$I$35:$I$52,0))),VLOOKUP(E1353,Parameter!$I$35:$J$52,2,0),IFERROR(VLOOKUP(D1353,Parameter!$A$35:$C$64,2,0),"Nein"))</f>
        <v>1</v>
      </c>
      <c r="CA1353" s="52" t="n">
        <f aca="false">IF(BW1353=0,0,IF(N(S1353)&gt;0,S1353,IFERROR(VLOOKUP(D1353,Parameter!$A$35:$C$64,3,0)+0,0)))</f>
        <v>0</v>
      </c>
      <c r="CB1353" s="48" t="n">
        <f aca="false">IF(AA1353&lt;&gt;"",AA1353,Z1353)</f>
        <v>1</v>
      </c>
      <c r="CC1353" s="48" t="str">
        <f aca="false">IF(OR(CB1353=1,CB1353=2,CB1353=3),IF(Parameter!$E$27="Ja","LIFT",IF(CB1353=1,"L1","L23")),IF(CB1353="Aussen","Aussen","-"))</f>
        <v>LIFT</v>
      </c>
      <c r="CD1353" s="59" t="n">
        <f aca="false">IF(N(AB1353)&gt;0,AB1353,0)</f>
        <v>0</v>
      </c>
      <c r="CE1353" s="53" t="n">
        <f aca="false">IF(ISNUMBER(AE1353),1,0)</f>
        <v>0</v>
      </c>
      <c r="CF1353" s="50" t="n">
        <f aca="false">N(AE1353)</f>
        <v>0</v>
      </c>
      <c r="CG1353" s="50" t="n">
        <f aca="false">N(M1353)+N(N1353)</f>
        <v>15</v>
      </c>
      <c r="CH1353" s="50" t="n">
        <f aca="false">ROUNDUP(H1353/BV1353,0)</f>
        <v>1</v>
      </c>
      <c r="CI1353" s="50" t="n">
        <f aca="false">ROUNDUP(CF1353/BV1353,0)</f>
        <v>0</v>
      </c>
      <c r="CJ1353" s="53" t="n">
        <f aca="false">IF(BW1353=1,0,IFERROR(VLOOKUP(BU1353,'Gebinde-Kategorie'!$A$5:$N$45,5,0)+0,0))</f>
        <v>11</v>
      </c>
      <c r="CK1353" s="53" t="n">
        <f aca="false">IFERROR(IF(OR(CB1353=1,CB1353=2,CB1353=3),N(INDEX(Parameter!$I$5:$I$7,CB1353)),0),0)</f>
        <v>0</v>
      </c>
      <c r="CL1353" s="52" t="n">
        <f aca="false">IF(AND(Parameter!$B$21="Ja",ISNUMBER(W1353),N(X1353)&gt;0),IFERROR(N(INDEX(Parameter!$L$5:$L$7,W1353))*INDEX(Parameter!$E$5:$E$7,W1353)*X1353/SUMIFS($X$7:$X$1843,$W$7:$W$1843,W1353),0),0)</f>
        <v>0</v>
      </c>
    </row>
    <row r="1354" customFormat="false" ht="15" hidden="false" customHeight="false" outlineLevel="0" collapsed="false">
      <c r="A1354" s="48" t="s">
        <v>2392</v>
      </c>
      <c r="B1354" s="48" t="s">
        <v>2393</v>
      </c>
      <c r="C1354" s="48" t="s">
        <v>168</v>
      </c>
      <c r="D1354" s="48" t="s">
        <v>177</v>
      </c>
      <c r="E1354" s="48" t="s">
        <v>189</v>
      </c>
      <c r="F1354" s="48" t="s">
        <v>222</v>
      </c>
      <c r="G1354" s="49" t="n">
        <v>104.19</v>
      </c>
      <c r="H1354" s="50" t="n">
        <f aca="false">MAX(0,IF(AND(Parameter!$B$21="Ja",ISNUMBER(Y1354)),Y1354,IF(Parameter!$B$20="Jahresanfang 2025 + Export",BO1354+BN1354,BN1354)))</f>
        <v>147</v>
      </c>
      <c r="I1354" s="50" t="n">
        <f aca="false">H1354*G1354</f>
        <v>15315.93</v>
      </c>
      <c r="J1354" s="50" t="n">
        <f aca="false">BQ1354*Parameter!$B$18</f>
        <v>458</v>
      </c>
      <c r="K1354" s="51" t="n">
        <v>140.5</v>
      </c>
      <c r="L1354" s="52" t="n">
        <v>3.25978647686833</v>
      </c>
      <c r="M1354" s="50" t="n">
        <v>26</v>
      </c>
      <c r="N1354" s="50" t="n">
        <v>110</v>
      </c>
      <c r="O1354" s="53" t="n">
        <v>21</v>
      </c>
      <c r="P1354" s="48" t="s">
        <v>178</v>
      </c>
      <c r="Q1354" s="50" t="n">
        <v>56</v>
      </c>
      <c r="R1354" s="53" t="n">
        <f aca="false">IF(BW1354=1,0,IFERROR(VLOOKUP(BU1354,'Gebinde-Kategorie'!$A$5:$N$45,13,0)+0,0))</f>
        <v>6</v>
      </c>
      <c r="S1354" s="54"/>
      <c r="T1354" s="55"/>
      <c r="U1354" s="55"/>
      <c r="V1354" s="55"/>
      <c r="W1354" s="48"/>
      <c r="X1354" s="50"/>
      <c r="Y1354" s="50"/>
      <c r="Z1354" s="48" t="n">
        <f aca="false">IF(A1354="","",IF(AND(Parameter!$B$21="Ja",ISNUMBER(W1354)),W1354,IF(BZ1354="2+3",IF(ISNUMBER(SEARCH("grosser Artikel",BR1354)),2,IFERROR(VLOOKUP(BU1354,Parameter!$F$35:$G$64,2,0),2)),IF(OR(BZ1354="Nein",BZ1354=""),"-",BZ1354))))</f>
        <v>2</v>
      </c>
      <c r="AA1354" s="55"/>
      <c r="AB1354" s="56"/>
      <c r="AC1354" s="50" t="n">
        <f aca="false">AT1354</f>
        <v>280</v>
      </c>
      <c r="AD1354" s="50" t="n">
        <f aca="false">MAX(AT1354,H1354)</f>
        <v>280</v>
      </c>
      <c r="AE1354" s="57"/>
      <c r="AF1354" s="50" t="n">
        <f aca="false">IF(LEFT(Cockpit!$C$5,1)="A",H1354,IF(CE1354=1,CF1354,IF(LEFT(Cockpit!$C$5,1)="B",AK1354,MAX(AK1354,H1354))))</f>
        <v>147</v>
      </c>
      <c r="AG1354" s="50" t="n">
        <f aca="false">IF(BW1354=1,0,ROUNDUP(AF1354/BV1354,0))</f>
        <v>3</v>
      </c>
      <c r="AH1354" s="52" t="n">
        <f aca="false">IF(CL1354&gt;0,CL1354*MAX(1,AF1354/X1354),IF(BW1354=1,IF(AF1354&lt;=0,0,CA1354*MAX(1,IF(H1354&gt;0,AF1354/H1354,1))),IF(R1354&gt;0,AG1354/R1354,0))/MAX(0.1,N(Parameter!$M$21)))</f>
        <v>0.5</v>
      </c>
      <c r="AI1354" s="50" t="n">
        <f aca="false">AH1354*BY1354</f>
        <v>117.5</v>
      </c>
      <c r="AJ1354" s="50" t="n">
        <f aca="false">AF1354*G1354</f>
        <v>15315.93</v>
      </c>
      <c r="AK1354" s="50" t="n">
        <f aca="false">ROUNDUP(MAX(J1354/IF(CD1354&gt;0,CD1354,MAX(0.1,N(Cockpit!$C$6))),CG1354)/BV1354,0)*BV1354</f>
        <v>280</v>
      </c>
      <c r="AL1354" s="51" t="n">
        <f aca="false">IF(AI1354&gt;0,J1354/AI1354,-1)</f>
        <v>3.89787234042553</v>
      </c>
      <c r="AM1354" s="51" t="n">
        <f aca="false">IF(AND(OR(CC1354="L1",CC1354="L23",CC1354="LIFT"),AI1354&gt;0),SUMIFS($AI$7:$AI$1843,$CC$7:$CC$1843,CC1354,$AL$7:$AL$1843,"&gt;"&amp;AL1354)+SUMIFS($AI$7:$AI$1843,$CC$7:$CC$1843,CC1354,$AL$7:$AL$1843,AL1354,$BT$7:$BT$1843,"&lt;="&amp;BT1354),"")</f>
        <v>4561.55769230769</v>
      </c>
      <c r="AN1354" s="58" t="n">
        <f aca="false">IF(AM1354="",0,MAX(0,MIN(1,(IF(CC1354="L1",Parameter!$H$5,IF(CC1354="L23",Parameter!$H$6+Parameter!$H$7,Parameter!$H$5+Parameter!$H$6+Parameter!$H$7))-(AM1354-AI1354))/AI1354)))</f>
        <v>1</v>
      </c>
      <c r="AO1354" s="50" t="n">
        <f aca="false">IF(LEFT(Cockpit!$I$5,1)="A",H1354,IF(CE1354=1,CF1354,IF(LEFT(Cockpit!$I$5,1)="B",AT1354,MAX(AT1354,H1354))))</f>
        <v>280</v>
      </c>
      <c r="AP1354" s="50" t="n">
        <f aca="false">IF(BW1354=1,0,ROUNDUP(AO1354/BV1354,0))</f>
        <v>5</v>
      </c>
      <c r="AQ1354" s="52" t="n">
        <f aca="false">IF(CL1354&gt;0,CL1354*MAX(1,AO1354/X1354),IF(BW1354=1,IF(AO1354&lt;=0,0,CA1354*MAX(1,IF(H1354&gt;0,AO1354/H1354,1))),IF(R1354&gt;0,AP1354/R1354,0))/MAX(0.1,N(Parameter!$M$21)))</f>
        <v>0.833333333333333</v>
      </c>
      <c r="AR1354" s="50" t="n">
        <f aca="false">AQ1354*BY1354</f>
        <v>195.833333333333</v>
      </c>
      <c r="AS1354" s="50" t="n">
        <f aca="false">AO1354*G1354</f>
        <v>29173.2</v>
      </c>
      <c r="AT1354" s="50" t="n">
        <f aca="false">ROUNDUP(MAX(J1354/IF(CD1354&gt;0,CD1354,MAX(0.1,N(Cockpit!$I$6))),CG1354)/BV1354,0)*BV1354</f>
        <v>280</v>
      </c>
      <c r="AU1354" s="51" t="n">
        <f aca="false">IF(AR1354&gt;0,J1354/AR1354,-1)</f>
        <v>2.33872340425532</v>
      </c>
      <c r="AV1354" s="51" t="n">
        <f aca="false">IF(AND(OR(CC1354="L1",CC1354="L23",CC1354="LIFT"),AR1354&gt;0),SUMIFS($AR$7:$AR$1843,$CC$7:$CC$1843,CC1354,$AU$7:$AU$1843,"&gt;"&amp;AU1354)+SUMIFS($AR$7:$AR$1843,$CC$7:$CC$1843,CC1354,$AU$7:$AU$1843,AU1354,$BT$7:$BT$1843,"&lt;="&amp;BT1354),"")</f>
        <v>7164.24404761905</v>
      </c>
      <c r="AW1354" s="58" t="n">
        <f aca="false">IF(AV1354="",0,MAX(0,MIN(1,(IF(CC1354="L1",Parameter!$H$5,IF(CC1354="L23",Parameter!$H$6+Parameter!$H$7,Parameter!$H$5+Parameter!$H$6+Parameter!$H$7))-(AV1354-AR1354))/AR1354)))</f>
        <v>1</v>
      </c>
      <c r="AX1354" s="50" t="n">
        <f aca="false">IF(LEFT(Cockpit!$O$5,1)="A",H1354,IF(CE1354=1,CF1354,IF(LEFT(Cockpit!$O$5,1)="B",BC1354,MAX(BC1354,H1354))))</f>
        <v>168</v>
      </c>
      <c r="AY1354" s="50" t="n">
        <f aca="false">IF(BW1354=1,0,ROUNDUP(AX1354/BV1354,0))</f>
        <v>3</v>
      </c>
      <c r="AZ1354" s="52" t="n">
        <f aca="false">IF(CL1354&gt;0,CL1354*MAX(1,AX1354/X1354),IF(BW1354=1,IF(AX1354&lt;=0,0,CA1354*MAX(1,IF(H1354&gt;0,AX1354/H1354,1))),IF(R1354&gt;0,AY1354/R1354,0))/MAX(0.1,N(Parameter!$M$21)))</f>
        <v>0.5</v>
      </c>
      <c r="BA1354" s="50" t="n">
        <f aca="false">AZ1354*BY1354</f>
        <v>117.5</v>
      </c>
      <c r="BB1354" s="50" t="n">
        <f aca="false">AX1354*G1354</f>
        <v>17503.92</v>
      </c>
      <c r="BC1354" s="50" t="n">
        <f aca="false">ROUNDUP(MAX(J1354/IF(CD1354&gt;0,CD1354,MAX(0.1,N(Cockpit!$O$6))),CG1354)/BV1354,0)*BV1354</f>
        <v>168</v>
      </c>
      <c r="BD1354" s="51" t="n">
        <f aca="false">IF(BA1354&gt;0,J1354/BA1354,-1)</f>
        <v>3.89787234042553</v>
      </c>
      <c r="BE1354" s="51" t="n">
        <f aca="false">IF(AND(OR(CC1354="L1",CC1354="L23",CC1354="LIFT"),BA1354&gt;0),SUMIFS($BA$7:$BA$1843,$CC$7:$CC$1843,CC1354,$BD$7:$BD$1843,"&gt;"&amp;BD1354)+SUMIFS($BA$7:$BA$1843,$CC$7:$CC$1843,CC1354,$BD$7:$BD$1843,BD1354,$BT$7:$BT$1843,"&lt;="&amp;BT1354),"")</f>
        <v>5502.35164835165</v>
      </c>
      <c r="BF1354" s="58" t="n">
        <f aca="false">IF(BE1354="",0,MAX(0,MIN(1,(IF(CC1354="L1",Parameter!$H$5,IF(CC1354="L23",Parameter!$H$6+Parameter!$H$7,Parameter!$H$5+Parameter!$H$6+Parameter!$H$7))-(BE1354-BA1354))/BA1354)))</f>
        <v>1</v>
      </c>
      <c r="BG1354" s="48" t="str">
        <f aca="false">IF(AI1354&lt;=0,"",IF(CC1354="Aussen","Aussenlager",IF(CC1354="-","Nicht im Lift",IF(AN1354&gt;=1,"Lift",IF(AN1354&lt;=0,"Aussenlager","teilweise")))))</f>
        <v>Lift</v>
      </c>
      <c r="BH1354" s="48" t="str">
        <f aca="false">IF(AR1354&lt;=0,"",IF(CC1354="Aussen","Aussenlager",IF(CC1354="-","Nicht im Lift",IF(AW1354&gt;=1,"Lift",IF(AW1354&lt;=0,"Aussenlager","teilweise")))))</f>
        <v>Lift</v>
      </c>
      <c r="BI1354" s="48" t="str">
        <f aca="false">IF(BA1354&lt;=0,"",IF(CC1354="Aussen","Aussenlager",IF(CC1354="-","Nicht im Lift",IF(BF1354&gt;=1,"Lift",IF(BF1354&lt;=0,"Aussenlager","teilweise")))))</f>
        <v>Lift</v>
      </c>
      <c r="BJ1354" s="48" t="str">
        <f aca="false">IF(A1354="","",IF(BS1354=1,"Neu; ","")&amp;IF(AND(BS1354=0,BN1354&lt;0),"negativer Bestand (Export "&amp;BN1354&amp;"); ","")&amp;IF(J1354&lt;=0,"Kein Verbrauch; ","")&amp;IF(CL1354&gt;0,"Lift "&amp;W1354&amp;" lt. Liftbericht (Fach "&amp;X1354&amp;" Stk); ",IF(BX1354=1,"Gebinde geschätzt ("&amp;T1354&amp;"); ",IF(BW1354=1,"Lose – Tablare geschätzt; ","")))&amp;IF(H1354&gt;AT1354,"Überbestand "&amp;ROUND(H1354-AT1354,0)&amp;" Stk / CHF "&amp;ROUND((H1354-AT1354)*G1354,0)&amp;"; ","")&amp;IF(AND(CE1354=1,CF1354&lt;CG1354),"MAX &lt; MB+LG; ","")&amp;IF(AND(CK1354&gt;0,CJ1354*10&gt;CK1354),"zu hoch für Tablar; ","")&amp;IF(AND(BS1354=0,OR(CE1354=1,AA1354&lt;&gt;"",U1354&lt;&gt;"",V1354&lt;&gt;"",AB1354&lt;&gt;"")),"manuell übersteuert; ","")&amp;IF(AND(BW1354=0,R1354=0),"Gebinde unbekannt / Stellmass fehlt; ","")&amp;IF(AND(BW1354=0,N(V1354)&lt;=0,N(Q1354)&lt;=0),"Menge pro Gebinde fehlt (Ist = 1 Gebinde); ","")&amp;BR1354)</f>
        <v>negativer Bestand (Export -4); grosser Artikel &amp; nicht im KTL</v>
      </c>
      <c r="BK1354" s="48"/>
      <c r="BL1354" s="48"/>
      <c r="BM1354" s="55"/>
      <c r="BN1354" s="50" t="n">
        <v>-4</v>
      </c>
      <c r="BO1354" s="50" t="n">
        <v>151</v>
      </c>
      <c r="BP1354" s="49" t="n">
        <v>-2108.76</v>
      </c>
      <c r="BQ1354" s="50" t="n">
        <v>458</v>
      </c>
      <c r="BR1354" s="48" t="s">
        <v>265</v>
      </c>
      <c r="BS1354" s="53" t="n">
        <v>0</v>
      </c>
      <c r="BT1354" s="53" t="n">
        <v>1354</v>
      </c>
      <c r="BU1354" s="48" t="str">
        <f aca="false">IF(U1354&lt;&gt;"",UPPER(TRIM(U1354)),IF(BX1354=1,UPPER(VLOOKUP(T1354,Parameter!$I$27:$K$29,2,0)),IF(P1354="","LOSE",P1354)))</f>
        <v>S71</v>
      </c>
      <c r="BV1354" s="50" t="n">
        <f aca="false">IF(BU1354="LOSE",1,IF(N(V1354)&gt;0,V1354,IF(BX1354=1,MAX(1,N(VLOOKUP(T1354,Parameter!$I$27:$K$29,3,0)),H1354,N(N1354)),IF(N(Q1354)&gt;0,Q1354,MAX(1,H1354)))))</f>
        <v>56</v>
      </c>
      <c r="BW1354" s="53" t="n">
        <f aca="false">IF(BU1354="LOSE",1,0)</f>
        <v>0</v>
      </c>
      <c r="BX1354" s="53" t="n">
        <f aca="false">IF(AND(U1354="",OR(P1354="",P1354="LOSE"),T1354&lt;&gt;"",N(S1354)&lt;=0,ISNUMBER(MATCH(T1354,Parameter!$I$27:$I$29,0))),1,0)</f>
        <v>0</v>
      </c>
      <c r="BY1354" s="53" t="n">
        <f aca="false">IF(CL1354&gt;0,INDEX(Parameter!$H$5:$H$7,W1354)/INDEX(Parameter!$E$5:$E$7,W1354),IF(AND(BW1354=0,N(IFERROR(VLOOKUP(BU1354,'Gebinde-Kategorie'!$A$5:$N$45,14,0),0))&gt;0),VLOOKUP(BU1354,'Gebinde-Kategorie'!$A$5:$N$45,14,0)*10+Parameter!$M$23,Parameter!$M$24))</f>
        <v>235</v>
      </c>
      <c r="BZ1354" s="48" t="str">
        <f aca="false">IF(AND(Parameter!$B$19="Ja",E1354&lt;&gt;"",ISNUMBER(MATCH(E1354,Parameter!$I$35:$I$52,0))),VLOOKUP(E1354,Parameter!$I$35:$J$52,2,0),IFERROR(VLOOKUP(D1354,Parameter!$A$35:$C$64,2,0),"Nein"))</f>
        <v>2+3</v>
      </c>
      <c r="CA1354" s="52" t="n">
        <f aca="false">IF(BW1354=0,0,IF(N(S1354)&gt;0,S1354,IFERROR(VLOOKUP(D1354,Parameter!$A$35:$C$64,3,0)+0,0)))</f>
        <v>0</v>
      </c>
      <c r="CB1354" s="48" t="n">
        <f aca="false">IF(AA1354&lt;&gt;"",AA1354,Z1354)</f>
        <v>2</v>
      </c>
      <c r="CC1354" s="48" t="str">
        <f aca="false">IF(OR(CB1354=1,CB1354=2,CB1354=3),IF(Parameter!$E$27="Ja","LIFT",IF(CB1354=1,"L1","L23")),IF(CB1354="Aussen","Aussen","-"))</f>
        <v>LIFT</v>
      </c>
      <c r="CD1354" s="59" t="n">
        <f aca="false">IF(N(AB1354)&gt;0,AB1354,0)</f>
        <v>0</v>
      </c>
      <c r="CE1354" s="53" t="n">
        <f aca="false">IF(ISNUMBER(AE1354),1,0)</f>
        <v>0</v>
      </c>
      <c r="CF1354" s="50" t="n">
        <f aca="false">N(AE1354)</f>
        <v>0</v>
      </c>
      <c r="CG1354" s="50" t="n">
        <f aca="false">N(M1354)+N(N1354)</f>
        <v>136</v>
      </c>
      <c r="CH1354" s="50" t="n">
        <f aca="false">ROUNDUP(H1354/BV1354,0)</f>
        <v>3</v>
      </c>
      <c r="CI1354" s="50" t="n">
        <f aca="false">ROUNDUP(CF1354/BV1354,0)</f>
        <v>0</v>
      </c>
      <c r="CJ1354" s="53" t="n">
        <f aca="false">IF(BW1354=1,0,IFERROR(VLOOKUP(BU1354,'Gebinde-Kategorie'!$A$5:$N$45,5,0)+0,0))</f>
        <v>20</v>
      </c>
      <c r="CK1354" s="53" t="n">
        <f aca="false">IFERROR(IF(OR(CB1354=1,CB1354=2,CB1354=3),N(INDEX(Parameter!$I$5:$I$7,CB1354)),0),0)</f>
        <v>0</v>
      </c>
      <c r="CL1354" s="52" t="n">
        <f aca="false">IF(AND(Parameter!$B$21="Ja",ISNUMBER(W1354),N(X1354)&gt;0),IFERROR(N(INDEX(Parameter!$L$5:$L$7,W1354))*INDEX(Parameter!$E$5:$E$7,W1354)*X1354/SUMIFS($X$7:$X$1843,$W$7:$W$1843,W1354),0),0)</f>
        <v>0</v>
      </c>
    </row>
    <row r="1355" customFormat="false" ht="15" hidden="false" customHeight="false" outlineLevel="0" collapsed="false">
      <c r="A1355" s="48" t="s">
        <v>2394</v>
      </c>
      <c r="B1355" s="48" t="s">
        <v>580</v>
      </c>
      <c r="C1355" s="48" t="s">
        <v>168</v>
      </c>
      <c r="D1355" s="48" t="s">
        <v>188</v>
      </c>
      <c r="E1355" s="48" t="s">
        <v>189</v>
      </c>
      <c r="F1355" s="48" t="s">
        <v>222</v>
      </c>
      <c r="G1355" s="49" t="n">
        <v>440.01</v>
      </c>
      <c r="H1355" s="50" t="n">
        <f aca="false">MAX(0,IF(AND(Parameter!$B$21="Ja",ISNUMBER(Y1355)),Y1355,IF(Parameter!$B$20="Jahresanfang 2025 + Export",BO1355+BN1355,BN1355)))</f>
        <v>10</v>
      </c>
      <c r="I1355" s="50" t="n">
        <f aca="false">H1355*G1355</f>
        <v>4400.1</v>
      </c>
      <c r="J1355" s="50" t="n">
        <f aca="false">BQ1355*Parameter!$B$18</f>
        <v>9</v>
      </c>
      <c r="K1355" s="51" t="n">
        <v>12.5</v>
      </c>
      <c r="L1355" s="52" t="n">
        <v>0.72</v>
      </c>
      <c r="M1355" s="50" t="n">
        <v>1</v>
      </c>
      <c r="N1355" s="50" t="n">
        <v>5</v>
      </c>
      <c r="O1355" s="53" t="n">
        <v>28</v>
      </c>
      <c r="P1355" s="48" t="s">
        <v>297</v>
      </c>
      <c r="Q1355" s="50" t="n">
        <v>4</v>
      </c>
      <c r="R1355" s="53" t="n">
        <f aca="false">IF(BW1355=1,0,IFERROR(VLOOKUP(BU1355,'Gebinde-Kategorie'!$A$5:$N$45,13,0)+0,0))</f>
        <v>12</v>
      </c>
      <c r="S1355" s="54"/>
      <c r="T1355" s="55"/>
      <c r="U1355" s="55"/>
      <c r="V1355" s="55"/>
      <c r="W1355" s="48"/>
      <c r="X1355" s="50"/>
      <c r="Y1355" s="50"/>
      <c r="Z1355" s="48" t="n">
        <f aca="false">IF(A1355="","",IF(AND(Parameter!$B$21="Ja",ISNUMBER(W1355)),W1355,IF(BZ1355="2+3",IF(ISNUMBER(SEARCH("grosser Artikel",BR1355)),2,IFERROR(VLOOKUP(BU1355,Parameter!$F$35:$G$64,2,0),2)),IF(OR(BZ1355="Nein",BZ1355=""),"-",BZ1355))))</f>
        <v>2</v>
      </c>
      <c r="AA1355" s="55"/>
      <c r="AB1355" s="56"/>
      <c r="AC1355" s="50" t="n">
        <f aca="false">AT1355</f>
        <v>8</v>
      </c>
      <c r="AD1355" s="50" t="n">
        <f aca="false">MAX(AT1355,H1355)</f>
        <v>10</v>
      </c>
      <c r="AE1355" s="57"/>
      <c r="AF1355" s="50" t="n">
        <f aca="false">IF(LEFT(Cockpit!$C$5,1)="A",H1355,IF(CE1355=1,CF1355,IF(LEFT(Cockpit!$C$5,1)="B",AK1355,MAX(AK1355,H1355))))</f>
        <v>10</v>
      </c>
      <c r="AG1355" s="50" t="n">
        <f aca="false">IF(BW1355=1,0,ROUNDUP(AF1355/BV1355,0))</f>
        <v>3</v>
      </c>
      <c r="AH1355" s="52" t="n">
        <f aca="false">IF(CL1355&gt;0,CL1355*MAX(1,AF1355/X1355),IF(BW1355=1,IF(AF1355&lt;=0,0,CA1355*MAX(1,IF(H1355&gt;0,AF1355/H1355,1))),IF(R1355&gt;0,AG1355/R1355,0))/MAX(0.1,N(Parameter!$M$21)))</f>
        <v>0.25</v>
      </c>
      <c r="AI1355" s="50" t="n">
        <f aca="false">AH1355*BY1355</f>
        <v>61.25</v>
      </c>
      <c r="AJ1355" s="50" t="n">
        <f aca="false">AF1355*G1355</f>
        <v>4400.1</v>
      </c>
      <c r="AK1355" s="50" t="n">
        <f aca="false">ROUNDUP(MAX(J1355/IF(CD1355&gt;0,CD1355,MAX(0.1,N(Cockpit!$C$6))),CG1355)/BV1355,0)*BV1355</f>
        <v>8</v>
      </c>
      <c r="AL1355" s="51" t="n">
        <f aca="false">IF(AI1355&gt;0,J1355/AI1355,-1)</f>
        <v>0.146938775510204</v>
      </c>
      <c r="AM1355" s="51" t="n">
        <f aca="false">IF(AND(OR(CC1355="L1",CC1355="L23",CC1355="LIFT"),AI1355&gt;0),SUMIFS($AI$7:$AI$1843,$CC$7:$CC$1843,CC1355,$AL$7:$AL$1843,"&gt;"&amp;AL1355)+SUMIFS($AI$7:$AI$1843,$CC$7:$CC$1843,CC1355,$AL$7:$AL$1843,AL1355,$BT$7:$BT$1843,"&lt;="&amp;BT1355),"")</f>
        <v>13124.5734644358</v>
      </c>
      <c r="AN1355" s="58" t="n">
        <f aca="false">IF(AM1355="",0,MAX(0,MIN(1,(IF(CC1355="L1",Parameter!$H$5,IF(CC1355="L23",Parameter!$H$6+Parameter!$H$7,Parameter!$H$5+Parameter!$H$6+Parameter!$H$7))-(AM1355-AI1355))/AI1355)))</f>
        <v>1</v>
      </c>
      <c r="AO1355" s="50" t="n">
        <f aca="false">IF(LEFT(Cockpit!$I$5,1)="A",H1355,IF(CE1355=1,CF1355,IF(LEFT(Cockpit!$I$5,1)="B",AT1355,MAX(AT1355,H1355))))</f>
        <v>10</v>
      </c>
      <c r="AP1355" s="50" t="n">
        <f aca="false">IF(BW1355=1,0,ROUNDUP(AO1355/BV1355,0))</f>
        <v>3</v>
      </c>
      <c r="AQ1355" s="52" t="n">
        <f aca="false">IF(CL1355&gt;0,CL1355*MAX(1,AO1355/X1355),IF(BW1355=1,IF(AO1355&lt;=0,0,CA1355*MAX(1,IF(H1355&gt;0,AO1355/H1355,1))),IF(R1355&gt;0,AP1355/R1355,0))/MAX(0.1,N(Parameter!$M$21)))</f>
        <v>0.25</v>
      </c>
      <c r="AR1355" s="50" t="n">
        <f aca="false">AQ1355*BY1355</f>
        <v>61.25</v>
      </c>
      <c r="AS1355" s="50" t="n">
        <f aca="false">AO1355*G1355</f>
        <v>4400.1</v>
      </c>
      <c r="AT1355" s="50" t="n">
        <f aca="false">ROUNDUP(MAX(J1355/IF(CD1355&gt;0,CD1355,MAX(0.1,N(Cockpit!$I$6))),CG1355)/BV1355,0)*BV1355</f>
        <v>8</v>
      </c>
      <c r="AU1355" s="51" t="n">
        <f aca="false">IF(AR1355&gt;0,J1355/AR1355,-1)</f>
        <v>0.146938775510204</v>
      </c>
      <c r="AV1355" s="51" t="n">
        <f aca="false">IF(AND(OR(CC1355="L1",CC1355="L23",CC1355="LIFT"),AR1355&gt;0),SUMIFS($AR$7:$AR$1843,$CC$7:$CC$1843,CC1355,$AU$7:$AU$1843,"&gt;"&amp;AU1355)+SUMIFS($AR$7:$AR$1843,$CC$7:$CC$1843,CC1355,$AU$7:$AU$1843,AU1355,$BT$7:$BT$1843,"&lt;="&amp;BT1355),"")</f>
        <v>19944.494047619</v>
      </c>
      <c r="AW1355" s="58" t="n">
        <f aca="false">IF(AV1355="",0,MAX(0,MIN(1,(IF(CC1355="L1",Parameter!$H$5,IF(CC1355="L23",Parameter!$H$6+Parameter!$H$7,Parameter!$H$5+Parameter!$H$6+Parameter!$H$7))-(AV1355-AR1355))/AR1355)))</f>
        <v>1</v>
      </c>
      <c r="AX1355" s="50" t="n">
        <f aca="false">IF(LEFT(Cockpit!$O$5,1)="A",H1355,IF(CE1355=1,CF1355,IF(LEFT(Cockpit!$O$5,1)="B",BC1355,MAX(BC1355,H1355))))</f>
        <v>10</v>
      </c>
      <c r="AY1355" s="50" t="n">
        <f aca="false">IF(BW1355=1,0,ROUNDUP(AX1355/BV1355,0))</f>
        <v>3</v>
      </c>
      <c r="AZ1355" s="52" t="n">
        <f aca="false">IF(CL1355&gt;0,CL1355*MAX(1,AX1355/X1355),IF(BW1355=1,IF(AX1355&lt;=0,0,CA1355*MAX(1,IF(H1355&gt;0,AX1355/H1355,1))),IF(R1355&gt;0,AY1355/R1355,0))/MAX(0.1,N(Parameter!$M$21)))</f>
        <v>0.25</v>
      </c>
      <c r="BA1355" s="50" t="n">
        <f aca="false">AZ1355*BY1355</f>
        <v>61.25</v>
      </c>
      <c r="BB1355" s="50" t="n">
        <f aca="false">AX1355*G1355</f>
        <v>4400.1</v>
      </c>
      <c r="BC1355" s="50" t="n">
        <f aca="false">ROUNDUP(MAX(J1355/IF(CD1355&gt;0,CD1355,MAX(0.1,N(Cockpit!$O$6))),CG1355)/BV1355,0)*BV1355</f>
        <v>8</v>
      </c>
      <c r="BD1355" s="51" t="n">
        <f aca="false">IF(BA1355&gt;0,J1355/BA1355,-1)</f>
        <v>0.146938775510204</v>
      </c>
      <c r="BE1355" s="51" t="n">
        <f aca="false">IF(AND(OR(CC1355="L1",CC1355="L23",CC1355="LIFT"),BA1355&gt;0),SUMIFS($BA$7:$BA$1843,$CC$7:$CC$1843,CC1355,$BD$7:$BD$1843,"&gt;"&amp;BD1355)+SUMIFS($BA$7:$BA$1843,$CC$7:$CC$1843,CC1355,$BD$7:$BD$1843,BD1355,$BT$7:$BT$1843,"&lt;="&amp;BT1355),"")</f>
        <v>18965.9232269614</v>
      </c>
      <c r="BF1355" s="58" t="n">
        <f aca="false">IF(BE1355="",0,MAX(0,MIN(1,(IF(CC1355="L1",Parameter!$H$5,IF(CC1355="L23",Parameter!$H$6+Parameter!$H$7,Parameter!$H$5+Parameter!$H$6+Parameter!$H$7))-(BE1355-BA1355))/BA1355)))</f>
        <v>1</v>
      </c>
      <c r="BG1355" s="48" t="str">
        <f aca="false">IF(AI1355&lt;=0,"",IF(CC1355="Aussen","Aussenlager",IF(CC1355="-","Nicht im Lift",IF(AN1355&gt;=1,"Lift",IF(AN1355&lt;=0,"Aussenlager","teilweise")))))</f>
        <v>Lift</v>
      </c>
      <c r="BH1355" s="48" t="str">
        <f aca="false">IF(AR1355&lt;=0,"",IF(CC1355="Aussen","Aussenlager",IF(CC1355="-","Nicht im Lift",IF(AW1355&gt;=1,"Lift",IF(AW1355&lt;=0,"Aussenlager","teilweise")))))</f>
        <v>Lift</v>
      </c>
      <c r="BI1355" s="48" t="str">
        <f aca="false">IF(BA1355&lt;=0,"",IF(CC1355="Aussen","Aussenlager",IF(CC1355="-","Nicht im Lift",IF(BF1355&gt;=1,"Lift",IF(BF1355&lt;=0,"Aussenlager","teilweise")))))</f>
        <v>Lift</v>
      </c>
      <c r="BJ1355" s="48" t="str">
        <f aca="false">IF(A1355="","",IF(BS1355=1,"Neu; ","")&amp;IF(AND(BS1355=0,BN1355&lt;0),"negativer Bestand (Export "&amp;BN1355&amp;"); ","")&amp;IF(J1355&lt;=0,"Kein Verbrauch; ","")&amp;IF(CL1355&gt;0,"Lift "&amp;W1355&amp;" lt. Liftbericht (Fach "&amp;X1355&amp;" Stk); ",IF(BX1355=1,"Gebinde geschätzt ("&amp;T1355&amp;"); ",IF(BW1355=1,"Lose – Tablare geschätzt; ","")))&amp;IF(H1355&gt;AT1355,"Überbestand "&amp;ROUND(H1355-AT1355,0)&amp;" Stk / CHF "&amp;ROUND((H1355-AT1355)*G1355,0)&amp;"; ","")&amp;IF(AND(CE1355=1,CF1355&lt;CG1355),"MAX &lt; MB+LG; ","")&amp;IF(AND(CK1355&gt;0,CJ1355*10&gt;CK1355),"zu hoch für Tablar; ","")&amp;IF(AND(BS1355=0,OR(CE1355=1,AA1355&lt;&gt;"",U1355&lt;&gt;"",V1355&lt;&gt;"",AB1355&lt;&gt;"")),"manuell übersteuert; ","")&amp;IF(AND(BW1355=0,R1355=0),"Gebinde unbekannt / Stellmass fehlt; ","")&amp;IF(AND(BW1355=0,N(V1355)&lt;=0,N(Q1355)&lt;=0),"Menge pro Gebinde fehlt (Ist = 1 Gebinde); ","")&amp;BR1355)</f>
        <v>negativer Bestand (Export -5); Überbestand 2 Stk / CHF 880; </v>
      </c>
      <c r="BK1355" s="48"/>
      <c r="BL1355" s="48"/>
      <c r="BM1355" s="55"/>
      <c r="BN1355" s="50" t="n">
        <v>-5</v>
      </c>
      <c r="BO1355" s="50" t="n">
        <v>15</v>
      </c>
      <c r="BP1355" s="49" t="n">
        <v>-2167.05</v>
      </c>
      <c r="BQ1355" s="50" t="n">
        <v>9</v>
      </c>
      <c r="BR1355" s="48"/>
      <c r="BS1355" s="53" t="n">
        <v>0</v>
      </c>
      <c r="BT1355" s="53" t="n">
        <v>1355</v>
      </c>
      <c r="BU1355" s="48" t="str">
        <f aca="false">IF(U1355&lt;&gt;"",UPPER(TRIM(U1355)),IF(BX1355=1,UPPER(VLOOKUP(T1355,Parameter!$I$27:$K$29,2,0)),IF(P1355="","LOSE",P1355)))</f>
        <v>S62</v>
      </c>
      <c r="BV1355" s="50" t="n">
        <f aca="false">IF(BU1355="LOSE",1,IF(N(V1355)&gt;0,V1355,IF(BX1355=1,MAX(1,N(VLOOKUP(T1355,Parameter!$I$27:$K$29,3,0)),H1355,N(N1355)),IF(N(Q1355)&gt;0,Q1355,MAX(1,H1355)))))</f>
        <v>4</v>
      </c>
      <c r="BW1355" s="53" t="n">
        <f aca="false">IF(BU1355="LOSE",1,0)</f>
        <v>0</v>
      </c>
      <c r="BX1355" s="53" t="n">
        <f aca="false">IF(AND(U1355="",OR(P1355="",P1355="LOSE"),T1355&lt;&gt;"",N(S1355)&lt;=0,ISNUMBER(MATCH(T1355,Parameter!$I$27:$I$29,0))),1,0)</f>
        <v>0</v>
      </c>
      <c r="BY1355" s="53" t="n">
        <f aca="false">IF(CL1355&gt;0,INDEX(Parameter!$H$5:$H$7,W1355)/INDEX(Parameter!$E$5:$E$7,W1355),IF(AND(BW1355=0,N(IFERROR(VLOOKUP(BU1355,'Gebinde-Kategorie'!$A$5:$N$45,14,0),0))&gt;0),VLOOKUP(BU1355,'Gebinde-Kategorie'!$A$5:$N$45,14,0)*10+Parameter!$M$23,Parameter!$M$24))</f>
        <v>245</v>
      </c>
      <c r="BZ1355" s="48" t="str">
        <f aca="false">IF(AND(Parameter!$B$19="Ja",E1355&lt;&gt;"",ISNUMBER(MATCH(E1355,Parameter!$I$35:$I$52,0))),VLOOKUP(E1355,Parameter!$I$35:$J$52,2,0),IFERROR(VLOOKUP(D1355,Parameter!$A$35:$C$64,2,0),"Nein"))</f>
        <v>2+3</v>
      </c>
      <c r="CA1355" s="52" t="n">
        <f aca="false">IF(BW1355=0,0,IF(N(S1355)&gt;0,S1355,IFERROR(VLOOKUP(D1355,Parameter!$A$35:$C$64,3,0)+0,0)))</f>
        <v>0</v>
      </c>
      <c r="CB1355" s="48" t="n">
        <f aca="false">IF(AA1355&lt;&gt;"",AA1355,Z1355)</f>
        <v>2</v>
      </c>
      <c r="CC1355" s="48" t="str">
        <f aca="false">IF(OR(CB1355=1,CB1355=2,CB1355=3),IF(Parameter!$E$27="Ja","LIFT",IF(CB1355=1,"L1","L23")),IF(CB1355="Aussen","Aussen","-"))</f>
        <v>LIFT</v>
      </c>
      <c r="CD1355" s="59" t="n">
        <f aca="false">IF(N(AB1355)&gt;0,AB1355,0)</f>
        <v>0</v>
      </c>
      <c r="CE1355" s="53" t="n">
        <f aca="false">IF(ISNUMBER(AE1355),1,0)</f>
        <v>0</v>
      </c>
      <c r="CF1355" s="50" t="n">
        <f aca="false">N(AE1355)</f>
        <v>0</v>
      </c>
      <c r="CG1355" s="50" t="n">
        <f aca="false">N(M1355)+N(N1355)</f>
        <v>6</v>
      </c>
      <c r="CH1355" s="50" t="n">
        <f aca="false">ROUNDUP(H1355/BV1355,0)</f>
        <v>3</v>
      </c>
      <c r="CI1355" s="50" t="n">
        <f aca="false">ROUNDUP(CF1355/BV1355,0)</f>
        <v>0</v>
      </c>
      <c r="CJ1355" s="53" t="n">
        <f aca="false">IF(BW1355=1,0,IFERROR(VLOOKUP(BU1355,'Gebinde-Kategorie'!$A$5:$N$45,5,0)+0,0))</f>
        <v>21</v>
      </c>
      <c r="CK1355" s="53" t="n">
        <f aca="false">IFERROR(IF(OR(CB1355=1,CB1355=2,CB1355=3),N(INDEX(Parameter!$I$5:$I$7,CB1355)),0),0)</f>
        <v>0</v>
      </c>
      <c r="CL1355" s="52" t="n">
        <f aca="false">IF(AND(Parameter!$B$21="Ja",ISNUMBER(W1355),N(X1355)&gt;0),IFERROR(N(INDEX(Parameter!$L$5:$L$7,W1355))*INDEX(Parameter!$E$5:$E$7,W1355)*X1355/SUMIFS($X$7:$X$1843,$W$7:$W$1843,W1355),0),0)</f>
        <v>0</v>
      </c>
    </row>
    <row r="1356" customFormat="false" ht="15" hidden="false" customHeight="false" outlineLevel="0" collapsed="false">
      <c r="A1356" s="48" t="s">
        <v>2395</v>
      </c>
      <c r="B1356" s="48" t="s">
        <v>2396</v>
      </c>
      <c r="C1356" s="48" t="s">
        <v>168</v>
      </c>
      <c r="D1356" s="48" t="s">
        <v>177</v>
      </c>
      <c r="E1356" s="48" t="s">
        <v>177</v>
      </c>
      <c r="F1356" s="48" t="s">
        <v>222</v>
      </c>
      <c r="G1356" s="49" t="n">
        <v>2251.23</v>
      </c>
      <c r="H1356" s="50" t="n">
        <f aca="false">MAX(0,IF(AND(Parameter!$B$21="Ja",ISNUMBER(Y1356)),Y1356,IF(Parameter!$B$20="Jahresanfang 2025 + Export",BO1356+BN1356,BN1356)))</f>
        <v>1</v>
      </c>
      <c r="I1356" s="50" t="n">
        <f aca="false">H1356*G1356</f>
        <v>2251.23</v>
      </c>
      <c r="J1356" s="50" t="n">
        <f aca="false">BQ1356*Parameter!$B$18</f>
        <v>2</v>
      </c>
      <c r="K1356" s="51" t="n">
        <v>2.5</v>
      </c>
      <c r="L1356" s="52" t="n">
        <v>0.8</v>
      </c>
      <c r="M1356" s="50" t="n">
        <v>1</v>
      </c>
      <c r="N1356" s="50" t="n">
        <v>1</v>
      </c>
      <c r="O1356" s="53" t="n">
        <v>56</v>
      </c>
      <c r="P1356" s="48" t="s">
        <v>172</v>
      </c>
      <c r="Q1356" s="50"/>
      <c r="R1356" s="53" t="n">
        <f aca="false">IF(BW1356=1,0,IFERROR(VLOOKUP(BU1356,'Gebinde-Kategorie'!$A$5:$N$45,13,0)+0,0))</f>
        <v>0</v>
      </c>
      <c r="S1356" s="54"/>
      <c r="T1356" s="55"/>
      <c r="U1356" s="55"/>
      <c r="V1356" s="55"/>
      <c r="W1356" s="48" t="n">
        <v>1</v>
      </c>
      <c r="X1356" s="50" t="n">
        <v>3</v>
      </c>
      <c r="Y1356" s="50" t="n">
        <v>1</v>
      </c>
      <c r="Z1356" s="48" t="n">
        <f aca="false">IF(A1356="","",IF(AND(Parameter!$B$21="Ja",ISNUMBER(W1356)),W1356,IF(BZ1356="2+3",IF(ISNUMBER(SEARCH("grosser Artikel",BR1356)),2,IFERROR(VLOOKUP(BU1356,Parameter!$F$35:$G$64,2,0),2)),IF(OR(BZ1356="Nein",BZ1356=""),"-",BZ1356))))</f>
        <v>1</v>
      </c>
      <c r="AA1356" s="55"/>
      <c r="AB1356" s="56"/>
      <c r="AC1356" s="50" t="n">
        <f aca="false">AT1356</f>
        <v>2</v>
      </c>
      <c r="AD1356" s="50" t="n">
        <f aca="false">MAX(AT1356,H1356)</f>
        <v>2</v>
      </c>
      <c r="AE1356" s="57"/>
      <c r="AF1356" s="50" t="n">
        <f aca="false">IF(LEFT(Cockpit!$C$5,1)="A",H1356,IF(CE1356=1,CF1356,IF(LEFT(Cockpit!$C$5,1)="B",AK1356,MAX(AK1356,H1356))))</f>
        <v>1</v>
      </c>
      <c r="AG1356" s="50" t="n">
        <f aca="false">IF(BW1356=1,0,ROUNDUP(AF1356/BV1356,0))</f>
        <v>0</v>
      </c>
      <c r="AH1356" s="52" t="n">
        <f aca="false">IF(CL1356&gt;0,CL1356*MAX(1,AF1356/X1356),IF(BW1356=1,IF(AF1356&lt;=0,0,CA1356*MAX(1,IF(H1356&gt;0,AF1356/H1356,1))),IF(R1356&gt;0,AG1356/R1356,0))/MAX(0.1,N(Parameter!$M$21)))</f>
        <v>0.240112994350283</v>
      </c>
      <c r="AI1356" s="50" t="n">
        <f aca="false">AH1356*BY1356</f>
        <v>57.1468926553672</v>
      </c>
      <c r="AJ1356" s="50" t="n">
        <f aca="false">AF1356*G1356</f>
        <v>2251.23</v>
      </c>
      <c r="AK1356" s="50" t="n">
        <f aca="false">ROUNDUP(MAX(J1356/IF(CD1356&gt;0,CD1356,MAX(0.1,N(Cockpit!$C$6))),CG1356)/BV1356,0)*BV1356</f>
        <v>2</v>
      </c>
      <c r="AL1356" s="51" t="n">
        <f aca="false">IF(AI1356&gt;0,J1356/AI1356,-1)</f>
        <v>0.034997528423134</v>
      </c>
      <c r="AM1356" s="51" t="n">
        <f aca="false">IF(AND(OR(CC1356="L1",CC1356="L23",CC1356="LIFT"),AI1356&gt;0),SUMIFS($AI$7:$AI$1843,$CC$7:$CC$1843,CC1356,$AL$7:$AL$1843,"&gt;"&amp;AL1356)+SUMIFS($AI$7:$AI$1843,$CC$7:$CC$1843,CC1356,$AL$7:$AL$1843,AL1356,$BT$7:$BT$1843,"&lt;="&amp;BT1356),"")</f>
        <v>19923.6209800087</v>
      </c>
      <c r="AN1356" s="58" t="n">
        <f aca="false">IF(AM1356="",0,MAX(0,MIN(1,(IF(CC1356="L1",Parameter!$H$5,IF(CC1356="L23",Parameter!$H$6+Parameter!$H$7,Parameter!$H$5+Parameter!$H$6+Parameter!$H$7))-(AM1356-AI1356))/AI1356)))</f>
        <v>1</v>
      </c>
      <c r="AO1356" s="50" t="n">
        <f aca="false">IF(LEFT(Cockpit!$I$5,1)="A",H1356,IF(CE1356=1,CF1356,IF(LEFT(Cockpit!$I$5,1)="B",AT1356,MAX(AT1356,H1356))))</f>
        <v>2</v>
      </c>
      <c r="AP1356" s="50" t="n">
        <f aca="false">IF(BW1356=1,0,ROUNDUP(AO1356/BV1356,0))</f>
        <v>0</v>
      </c>
      <c r="AQ1356" s="52" t="n">
        <f aca="false">IF(CL1356&gt;0,CL1356*MAX(1,AO1356/X1356),IF(BW1356=1,IF(AO1356&lt;=0,0,CA1356*MAX(1,IF(H1356&gt;0,AO1356/H1356,1))),IF(R1356&gt;0,AP1356/R1356,0))/MAX(0.1,N(Parameter!$M$21)))</f>
        <v>0.240112994350283</v>
      </c>
      <c r="AR1356" s="50" t="n">
        <f aca="false">AQ1356*BY1356</f>
        <v>57.1468926553672</v>
      </c>
      <c r="AS1356" s="50" t="n">
        <f aca="false">AO1356*G1356</f>
        <v>4502.46</v>
      </c>
      <c r="AT1356" s="50" t="n">
        <f aca="false">ROUNDUP(MAX(J1356/IF(CD1356&gt;0,CD1356,MAX(0.1,N(Cockpit!$I$6))),CG1356)/BV1356,0)*BV1356</f>
        <v>2</v>
      </c>
      <c r="AU1356" s="51" t="n">
        <f aca="false">IF(AR1356&gt;0,J1356/AR1356,-1)</f>
        <v>0.034997528423134</v>
      </c>
      <c r="AV1356" s="51" t="n">
        <f aca="false">IF(AND(OR(CC1356="L1",CC1356="L23",CC1356="LIFT"),AR1356&gt;0),SUMIFS($AR$7:$AR$1843,$CC$7:$CC$1843,CC1356,$AU$7:$AU$1843,"&gt;"&amp;AU1356)+SUMIFS($AR$7:$AR$1843,$CC$7:$CC$1843,CC1356,$AU$7:$AU$1843,AU1356,$BT$7:$BT$1843,"&lt;="&amp;BT1356),"")</f>
        <v>30758.4285688417</v>
      </c>
      <c r="AW1356" s="58" t="n">
        <f aca="false">IF(AV1356="",0,MAX(0,MIN(1,(IF(CC1356="L1",Parameter!$H$5,IF(CC1356="L23",Parameter!$H$6+Parameter!$H$7,Parameter!$H$5+Parameter!$H$6+Parameter!$H$7))-(AV1356-AR1356))/AR1356)))</f>
        <v>1</v>
      </c>
      <c r="AX1356" s="50" t="n">
        <f aca="false">IF(LEFT(Cockpit!$O$5,1)="A",H1356,IF(CE1356=1,CF1356,IF(LEFT(Cockpit!$O$5,1)="B",BC1356,MAX(BC1356,H1356))))</f>
        <v>2</v>
      </c>
      <c r="AY1356" s="50" t="n">
        <f aca="false">IF(BW1356=1,0,ROUNDUP(AX1356/BV1356,0))</f>
        <v>0</v>
      </c>
      <c r="AZ1356" s="52" t="n">
        <f aca="false">IF(CL1356&gt;0,CL1356*MAX(1,AX1356/X1356),IF(BW1356=1,IF(AX1356&lt;=0,0,CA1356*MAX(1,IF(H1356&gt;0,AX1356/H1356,1))),IF(R1356&gt;0,AY1356/R1356,0))/MAX(0.1,N(Parameter!$M$21)))</f>
        <v>0.240112994350283</v>
      </c>
      <c r="BA1356" s="50" t="n">
        <f aca="false">AZ1356*BY1356</f>
        <v>57.1468926553672</v>
      </c>
      <c r="BB1356" s="50" t="n">
        <f aca="false">AX1356*G1356</f>
        <v>4502.46</v>
      </c>
      <c r="BC1356" s="50" t="n">
        <f aca="false">ROUNDUP(MAX(J1356/IF(CD1356&gt;0,CD1356,MAX(0.1,N(Cockpit!$O$6))),CG1356)/BV1356,0)*BV1356</f>
        <v>2</v>
      </c>
      <c r="BD1356" s="51" t="n">
        <f aca="false">IF(BA1356&gt;0,J1356/BA1356,-1)</f>
        <v>0.034997528423134</v>
      </c>
      <c r="BE1356" s="51" t="n">
        <f aca="false">IF(AND(OR(CC1356="L1",CC1356="L23",CC1356="LIFT"),BA1356&gt;0),SUMIFS($BA$7:$BA$1843,$CC$7:$CC$1843,CC1356,$BD$7:$BD$1843,"&gt;"&amp;BD1356)+SUMIFS($BA$7:$BA$1843,$CC$7:$CC$1843,CC1356,$BD$7:$BD$1843,BD1356,$BT$7:$BT$1843,"&lt;="&amp;BT1356),"")</f>
        <v>27433.4406107076</v>
      </c>
      <c r="BF1356" s="58" t="n">
        <f aca="false">IF(BE1356="",0,MAX(0,MIN(1,(IF(CC1356="L1",Parameter!$H$5,IF(CC1356="L23",Parameter!$H$6+Parameter!$H$7,Parameter!$H$5+Parameter!$H$6+Parameter!$H$7))-(BE1356-BA1356))/BA1356)))</f>
        <v>1</v>
      </c>
      <c r="BG1356" s="48" t="str">
        <f aca="false">IF(AI1356&lt;=0,"",IF(CC1356="Aussen","Aussenlager",IF(CC1356="-","Nicht im Lift",IF(AN1356&gt;=1,"Lift",IF(AN1356&lt;=0,"Aussenlager","teilweise")))))</f>
        <v>Lift</v>
      </c>
      <c r="BH1356" s="48" t="str">
        <f aca="false">IF(AR1356&lt;=0,"",IF(CC1356="Aussen","Aussenlager",IF(CC1356="-","Nicht im Lift",IF(AW1356&gt;=1,"Lift",IF(AW1356&lt;=0,"Aussenlager","teilweise")))))</f>
        <v>Lift</v>
      </c>
      <c r="BI1356" s="48" t="str">
        <f aca="false">IF(BA1356&lt;=0,"",IF(CC1356="Aussen","Aussenlager",IF(CC1356="-","Nicht im Lift",IF(BF1356&gt;=1,"Lift",IF(BF1356&lt;=0,"Aussenlager","teilweise")))))</f>
        <v>Lift</v>
      </c>
      <c r="BJ1356" s="48" t="str">
        <f aca="false">IF(A1356="","",IF(BS1356=1,"Neu; ","")&amp;IF(AND(BS1356=0,BN1356&lt;0),"negativer Bestand (Export "&amp;BN1356&amp;"); ","")&amp;IF(J1356&lt;=0,"Kein Verbrauch; ","")&amp;IF(CL1356&gt;0,"Lift "&amp;W1356&amp;" lt. Liftbericht (Fach "&amp;X1356&amp;" Stk); ",IF(BX1356=1,"Gebinde geschätzt ("&amp;T1356&amp;"); ",IF(BW1356=1,"Lose – Tablare geschätzt; ","")))&amp;IF(H1356&gt;AT1356,"Überbestand "&amp;ROUND(H1356-AT1356,0)&amp;" Stk / CHF "&amp;ROUND((H1356-AT1356)*G1356,0)&amp;"; ","")&amp;IF(AND(CE1356=1,CF1356&lt;CG1356),"MAX &lt; MB+LG; ","")&amp;IF(AND(CK1356&gt;0,CJ1356*10&gt;CK1356),"zu hoch für Tablar; ","")&amp;IF(AND(BS1356=0,OR(CE1356=1,AA1356&lt;&gt;"",U1356&lt;&gt;"",V1356&lt;&gt;"",AB1356&lt;&gt;"")),"manuell übersteuert; ","")&amp;IF(AND(BW1356=0,R1356=0),"Gebinde unbekannt / Stellmass fehlt; ","")&amp;IF(AND(BW1356=0,N(V1356)&lt;=0,N(Q1356)&lt;=0),"Menge pro Gebinde fehlt (Ist = 1 Gebinde); ","")&amp;BR1356)</f>
        <v>negativer Bestand (Export -1); Lift 1 lt. Liftbericht (Fach 3 Stk); </v>
      </c>
      <c r="BK1356" s="48"/>
      <c r="BL1356" s="48"/>
      <c r="BM1356" s="55"/>
      <c r="BN1356" s="50" t="n">
        <v>-1</v>
      </c>
      <c r="BO1356" s="50" t="n">
        <v>2</v>
      </c>
      <c r="BP1356" s="49" t="n">
        <v>-2169.73</v>
      </c>
      <c r="BQ1356" s="50" t="n">
        <v>2</v>
      </c>
      <c r="BR1356" s="48"/>
      <c r="BS1356" s="53" t="n">
        <v>0</v>
      </c>
      <c r="BT1356" s="53" t="n">
        <v>1356</v>
      </c>
      <c r="BU1356" s="48" t="str">
        <f aca="false">IF(U1356&lt;&gt;"",UPPER(TRIM(U1356)),IF(BX1356=1,UPPER(VLOOKUP(T1356,Parameter!$I$27:$K$29,2,0)),IF(P1356="","LOSE",P1356)))</f>
        <v>LOSE</v>
      </c>
      <c r="BV1356" s="50" t="n">
        <f aca="false">IF(BU1356="LOSE",1,IF(N(V1356)&gt;0,V1356,IF(BX1356=1,MAX(1,N(VLOOKUP(T1356,Parameter!$I$27:$K$29,3,0)),H1356,N(N1356)),IF(N(Q1356)&gt;0,Q1356,MAX(1,H1356)))))</f>
        <v>1</v>
      </c>
      <c r="BW1356" s="53" t="n">
        <f aca="false">IF(BU1356="LOSE",1,0)</f>
        <v>1</v>
      </c>
      <c r="BX1356" s="53" t="n">
        <f aca="false">IF(AND(U1356="",OR(P1356="",P1356="LOSE"),T1356&lt;&gt;"",N(S1356)&lt;=0,ISNUMBER(MATCH(T1356,Parameter!$I$27:$I$29,0))),1,0)</f>
        <v>0</v>
      </c>
      <c r="BY1356" s="53" t="n">
        <f aca="false">IF(CL1356&gt;0,INDEX(Parameter!$H$5:$H$7,W1356)/INDEX(Parameter!$E$5:$E$7,W1356),IF(AND(BW1356=0,N(IFERROR(VLOOKUP(BU1356,'Gebinde-Kategorie'!$A$5:$N$45,14,0),0))&gt;0),VLOOKUP(BU1356,'Gebinde-Kategorie'!$A$5:$N$45,14,0)*10+Parameter!$M$23,Parameter!$M$24))</f>
        <v>238</v>
      </c>
      <c r="BZ1356" s="48" t="str">
        <f aca="false">IF(AND(Parameter!$B$19="Ja",E1356&lt;&gt;"",ISNUMBER(MATCH(E1356,Parameter!$I$35:$I$52,0))),VLOOKUP(E1356,Parameter!$I$35:$J$52,2,0),IFERROR(VLOOKUP(D1356,Parameter!$A$35:$C$64,2,0),"Nein"))</f>
        <v>Nein</v>
      </c>
      <c r="CA1356" s="52" t="n">
        <f aca="false">IF(BW1356=0,0,IF(N(S1356)&gt;0,S1356,IFERROR(VLOOKUP(D1356,Parameter!$A$35:$C$64,3,0)+0,0)))</f>
        <v>0.15</v>
      </c>
      <c r="CB1356" s="48" t="n">
        <f aca="false">IF(AA1356&lt;&gt;"",AA1356,Z1356)</f>
        <v>1</v>
      </c>
      <c r="CC1356" s="48" t="str">
        <f aca="false">IF(OR(CB1356=1,CB1356=2,CB1356=3),IF(Parameter!$E$27="Ja","LIFT",IF(CB1356=1,"L1","L23")),IF(CB1356="Aussen","Aussen","-"))</f>
        <v>LIFT</v>
      </c>
      <c r="CD1356" s="59" t="n">
        <f aca="false">IF(N(AB1356)&gt;0,AB1356,0)</f>
        <v>0</v>
      </c>
      <c r="CE1356" s="53" t="n">
        <f aca="false">IF(ISNUMBER(AE1356),1,0)</f>
        <v>0</v>
      </c>
      <c r="CF1356" s="50" t="n">
        <f aca="false">N(AE1356)</f>
        <v>0</v>
      </c>
      <c r="CG1356" s="50" t="n">
        <f aca="false">N(M1356)+N(N1356)</f>
        <v>2</v>
      </c>
      <c r="CH1356" s="50" t="n">
        <f aca="false">ROUNDUP(H1356/BV1356,0)</f>
        <v>1</v>
      </c>
      <c r="CI1356" s="50" t="n">
        <f aca="false">ROUNDUP(CF1356/BV1356,0)</f>
        <v>0</v>
      </c>
      <c r="CJ1356" s="53" t="n">
        <f aca="false">IF(BW1356=1,0,IFERROR(VLOOKUP(BU1356,'Gebinde-Kategorie'!$A$5:$N$45,5,0)+0,0))</f>
        <v>0</v>
      </c>
      <c r="CK1356" s="53" t="n">
        <f aca="false">IFERROR(IF(OR(CB1356=1,CB1356=2,CB1356=3),N(INDEX(Parameter!$I$5:$I$7,CB1356)),0),0)</f>
        <v>0</v>
      </c>
      <c r="CL1356" s="52" t="n">
        <f aca="false">IF(AND(Parameter!$B$21="Ja",ISNUMBER(W1356),N(X1356)&gt;0),IFERROR(N(INDEX(Parameter!$L$5:$L$7,W1356))*INDEX(Parameter!$E$5:$E$7,W1356)*X1356/SUMIFS($X$7:$X$1843,$W$7:$W$1843,W1356),0),0)</f>
        <v>0.240112994350283</v>
      </c>
    </row>
    <row r="1357" customFormat="false" ht="15" hidden="false" customHeight="false" outlineLevel="0" collapsed="false">
      <c r="A1357" s="48" t="s">
        <v>2397</v>
      </c>
      <c r="B1357" s="48" t="s">
        <v>2398</v>
      </c>
      <c r="C1357" s="48" t="s">
        <v>168</v>
      </c>
      <c r="D1357" s="48" t="s">
        <v>188</v>
      </c>
      <c r="E1357" s="48" t="s">
        <v>189</v>
      </c>
      <c r="F1357" s="48" t="s">
        <v>222</v>
      </c>
      <c r="G1357" s="49" t="n">
        <v>369.31</v>
      </c>
      <c r="H1357" s="50" t="n">
        <f aca="false">MAX(0,IF(AND(Parameter!$B$21="Ja",ISNUMBER(Y1357)),Y1357,IF(Parameter!$B$20="Jahresanfang 2025 + Export",BO1357+BN1357,BN1357)))</f>
        <v>1</v>
      </c>
      <c r="I1357" s="50" t="n">
        <f aca="false">H1357*G1357</f>
        <v>369.31</v>
      </c>
      <c r="J1357" s="50" t="n">
        <f aca="false">BQ1357*Parameter!$B$18</f>
        <v>3</v>
      </c>
      <c r="K1357" s="51" t="n">
        <v>5.5</v>
      </c>
      <c r="L1357" s="52" t="n">
        <v>0.545454545454545</v>
      </c>
      <c r="M1357" s="50" t="n">
        <v>0</v>
      </c>
      <c r="N1357" s="50" t="n">
        <v>5</v>
      </c>
      <c r="O1357" s="53" t="n">
        <v>21</v>
      </c>
      <c r="P1357" s="48" t="s">
        <v>306</v>
      </c>
      <c r="Q1357" s="50" t="n">
        <v>4</v>
      </c>
      <c r="R1357" s="53" t="n">
        <f aca="false">IF(BW1357=1,0,IFERROR(VLOOKUP(BU1357,'Gebinde-Kategorie'!$A$5:$N$45,13,0)+0,0))</f>
        <v>26</v>
      </c>
      <c r="S1357" s="54"/>
      <c r="T1357" s="55"/>
      <c r="U1357" s="55"/>
      <c r="V1357" s="55"/>
      <c r="W1357" s="48"/>
      <c r="X1357" s="50"/>
      <c r="Y1357" s="50"/>
      <c r="Z1357" s="48" t="n">
        <f aca="false">IF(A1357="","",IF(AND(Parameter!$B$21="Ja",ISNUMBER(W1357)),W1357,IF(BZ1357="2+3",IF(ISNUMBER(SEARCH("grosser Artikel",BR1357)),2,IFERROR(VLOOKUP(BU1357,Parameter!$F$35:$G$64,2,0),2)),IF(OR(BZ1357="Nein",BZ1357=""),"-",BZ1357))))</f>
        <v>3</v>
      </c>
      <c r="AA1357" s="55"/>
      <c r="AB1357" s="56"/>
      <c r="AC1357" s="50" t="n">
        <f aca="false">AT1357</f>
        <v>8</v>
      </c>
      <c r="AD1357" s="50" t="n">
        <f aca="false">MAX(AT1357,H1357)</f>
        <v>8</v>
      </c>
      <c r="AE1357" s="57"/>
      <c r="AF1357" s="50" t="n">
        <f aca="false">IF(LEFT(Cockpit!$C$5,1)="A",H1357,IF(CE1357=1,CF1357,IF(LEFT(Cockpit!$C$5,1)="B",AK1357,MAX(AK1357,H1357))))</f>
        <v>1</v>
      </c>
      <c r="AG1357" s="50" t="n">
        <f aca="false">IF(BW1357=1,0,ROUNDUP(AF1357/BV1357,0))</f>
        <v>1</v>
      </c>
      <c r="AH1357" s="52" t="n">
        <f aca="false">IF(CL1357&gt;0,CL1357*MAX(1,AF1357/X1357),IF(BW1357=1,IF(AF1357&lt;=0,0,CA1357*MAX(1,IF(H1357&gt;0,AF1357/H1357,1))),IF(R1357&gt;0,AG1357/R1357,0))/MAX(0.1,N(Parameter!$M$21)))</f>
        <v>0.0384615384615385</v>
      </c>
      <c r="AI1357" s="50" t="n">
        <f aca="false">AH1357*BY1357</f>
        <v>5.96153846153846</v>
      </c>
      <c r="AJ1357" s="50" t="n">
        <f aca="false">AF1357*G1357</f>
        <v>369.31</v>
      </c>
      <c r="AK1357" s="50" t="n">
        <f aca="false">ROUNDUP(MAX(J1357/IF(CD1357&gt;0,CD1357,MAX(0.1,N(Cockpit!$C$6))),CG1357)/BV1357,0)*BV1357</f>
        <v>8</v>
      </c>
      <c r="AL1357" s="51" t="n">
        <f aca="false">IF(AI1357&gt;0,J1357/AI1357,-1)</f>
        <v>0.503225806451613</v>
      </c>
      <c r="AM1357" s="51" t="n">
        <f aca="false">IF(AND(OR(CC1357="L1",CC1357="L23",CC1357="LIFT"),AI1357&gt;0),SUMIFS($AI$7:$AI$1843,$CC$7:$CC$1843,CC1357,$AL$7:$AL$1843,"&gt;"&amp;AL1357)+SUMIFS($AI$7:$AI$1843,$CC$7:$CC$1843,CC1357,$AL$7:$AL$1843,AL1357,$BT$7:$BT$1843,"&lt;="&amp;BT1357),"")</f>
        <v>9586.01050267999</v>
      </c>
      <c r="AN1357" s="58" t="n">
        <f aca="false">IF(AM1357="",0,MAX(0,MIN(1,(IF(CC1357="L1",Parameter!$H$5,IF(CC1357="L23",Parameter!$H$6+Parameter!$H$7,Parameter!$H$5+Parameter!$H$6+Parameter!$H$7))-(AM1357-AI1357))/AI1357)))</f>
        <v>1</v>
      </c>
      <c r="AO1357" s="50" t="n">
        <f aca="false">IF(LEFT(Cockpit!$I$5,1)="A",H1357,IF(CE1357=1,CF1357,IF(LEFT(Cockpit!$I$5,1)="B",AT1357,MAX(AT1357,H1357))))</f>
        <v>8</v>
      </c>
      <c r="AP1357" s="50" t="n">
        <f aca="false">IF(BW1357=1,0,ROUNDUP(AO1357/BV1357,0))</f>
        <v>2</v>
      </c>
      <c r="AQ1357" s="52" t="n">
        <f aca="false">IF(CL1357&gt;0,CL1357*MAX(1,AO1357/X1357),IF(BW1357=1,IF(AO1357&lt;=0,0,CA1357*MAX(1,IF(H1357&gt;0,AO1357/H1357,1))),IF(R1357&gt;0,AP1357/R1357,0))/MAX(0.1,N(Parameter!$M$21)))</f>
        <v>0.0769230769230769</v>
      </c>
      <c r="AR1357" s="50" t="n">
        <f aca="false">AQ1357*BY1357</f>
        <v>11.9230769230769</v>
      </c>
      <c r="AS1357" s="50" t="n">
        <f aca="false">AO1357*G1357</f>
        <v>2954.48</v>
      </c>
      <c r="AT1357" s="50" t="n">
        <f aca="false">ROUNDUP(MAX(J1357/IF(CD1357&gt;0,CD1357,MAX(0.1,N(Cockpit!$I$6))),CG1357)/BV1357,0)*BV1357</f>
        <v>8</v>
      </c>
      <c r="AU1357" s="51" t="n">
        <f aca="false">IF(AR1357&gt;0,J1357/AR1357,-1)</f>
        <v>0.251612903225806</v>
      </c>
      <c r="AV1357" s="51" t="n">
        <f aca="false">IF(AND(OR(CC1357="L1",CC1357="L23",CC1357="LIFT"),AR1357&gt;0),SUMIFS($AR$7:$AR$1843,$CC$7:$CC$1843,CC1357,$AU$7:$AU$1843,"&gt;"&amp;AU1357)+SUMIFS($AR$7:$AR$1843,$CC$7:$CC$1843,CC1357,$AU$7:$AU$1843,AU1357,$BT$7:$BT$1843,"&lt;="&amp;BT1357),"")</f>
        <v>17681.2248168498</v>
      </c>
      <c r="AW1357" s="58" t="n">
        <f aca="false">IF(AV1357="",0,MAX(0,MIN(1,(IF(CC1357="L1",Parameter!$H$5,IF(CC1357="L23",Parameter!$H$6+Parameter!$H$7,Parameter!$H$5+Parameter!$H$6+Parameter!$H$7))-(AV1357-AR1357))/AR1357)))</f>
        <v>1</v>
      </c>
      <c r="AX1357" s="50" t="n">
        <f aca="false">IF(LEFT(Cockpit!$O$5,1)="A",H1357,IF(CE1357=1,CF1357,IF(LEFT(Cockpit!$O$5,1)="B",BC1357,MAX(BC1357,H1357))))</f>
        <v>8</v>
      </c>
      <c r="AY1357" s="50" t="n">
        <f aca="false">IF(BW1357=1,0,ROUNDUP(AX1357/BV1357,0))</f>
        <v>2</v>
      </c>
      <c r="AZ1357" s="52" t="n">
        <f aca="false">IF(CL1357&gt;0,CL1357*MAX(1,AX1357/X1357),IF(BW1357=1,IF(AX1357&lt;=0,0,CA1357*MAX(1,IF(H1357&gt;0,AX1357/H1357,1))),IF(R1357&gt;0,AY1357/R1357,0))/MAX(0.1,N(Parameter!$M$21)))</f>
        <v>0.0769230769230769</v>
      </c>
      <c r="BA1357" s="50" t="n">
        <f aca="false">AZ1357*BY1357</f>
        <v>11.9230769230769</v>
      </c>
      <c r="BB1357" s="50" t="n">
        <f aca="false">AX1357*G1357</f>
        <v>2954.48</v>
      </c>
      <c r="BC1357" s="50" t="n">
        <f aca="false">ROUNDUP(MAX(J1357/IF(CD1357&gt;0,CD1357,MAX(0.1,N(Cockpit!$O$6))),CG1357)/BV1357,0)*BV1357</f>
        <v>8</v>
      </c>
      <c r="BD1357" s="51" t="n">
        <f aca="false">IF(BA1357&gt;0,J1357/BA1357,-1)</f>
        <v>0.251612903225806</v>
      </c>
      <c r="BE1357" s="51" t="n">
        <f aca="false">IF(AND(OR(CC1357="L1",CC1357="L23",CC1357="LIFT"),BA1357&gt;0),SUMIFS($BA$7:$BA$1843,$CC$7:$CC$1843,CC1357,$BD$7:$BD$1843,"&gt;"&amp;BD1357)+SUMIFS($BA$7:$BA$1843,$CC$7:$CC$1843,CC1357,$BD$7:$BD$1843,BD1357,$BT$7:$BT$1843,"&lt;="&amp;BT1357),"")</f>
        <v>16627.7152014652</v>
      </c>
      <c r="BF1357" s="58" t="n">
        <f aca="false">IF(BE1357="",0,MAX(0,MIN(1,(IF(CC1357="L1",Parameter!$H$5,IF(CC1357="L23",Parameter!$H$6+Parameter!$H$7,Parameter!$H$5+Parameter!$H$6+Parameter!$H$7))-(BE1357-BA1357))/BA1357)))</f>
        <v>1</v>
      </c>
      <c r="BG1357" s="48" t="str">
        <f aca="false">IF(AI1357&lt;=0,"",IF(CC1357="Aussen","Aussenlager",IF(CC1357="-","Nicht im Lift",IF(AN1357&gt;=1,"Lift",IF(AN1357&lt;=0,"Aussenlager","teilweise")))))</f>
        <v>Lift</v>
      </c>
      <c r="BH1357" s="48" t="str">
        <f aca="false">IF(AR1357&lt;=0,"",IF(CC1357="Aussen","Aussenlager",IF(CC1357="-","Nicht im Lift",IF(AW1357&gt;=1,"Lift",IF(AW1357&lt;=0,"Aussenlager","teilweise")))))</f>
        <v>Lift</v>
      </c>
      <c r="BI1357" s="48" t="str">
        <f aca="false">IF(BA1357&lt;=0,"",IF(CC1357="Aussen","Aussenlager",IF(CC1357="-","Nicht im Lift",IF(BF1357&gt;=1,"Lift",IF(BF1357&lt;=0,"Aussenlager","teilweise")))))</f>
        <v>Lift</v>
      </c>
      <c r="BJ1357" s="48" t="str">
        <f aca="false">IF(A1357="","",IF(BS1357=1,"Neu; ","")&amp;IF(AND(BS1357=0,BN1357&lt;0),"negativer Bestand (Export "&amp;BN1357&amp;"); ","")&amp;IF(J1357&lt;=0,"Kein Verbrauch; ","")&amp;IF(CL1357&gt;0,"Lift "&amp;W1357&amp;" lt. Liftbericht (Fach "&amp;X1357&amp;" Stk); ",IF(BX1357=1,"Gebinde geschätzt ("&amp;T1357&amp;"); ",IF(BW1357=1,"Lose – Tablare geschätzt; ","")))&amp;IF(H1357&gt;AT1357,"Überbestand "&amp;ROUND(H1357-AT1357,0)&amp;" Stk / CHF "&amp;ROUND((H1357-AT1357)*G1357,0)&amp;"; ","")&amp;IF(AND(CE1357=1,CF1357&lt;CG1357),"MAX &lt; MB+LG; ","")&amp;IF(AND(CK1357&gt;0,CJ1357*10&gt;CK1357),"zu hoch für Tablar; ","")&amp;IF(AND(BS1357=0,OR(CE1357=1,AA1357&lt;&gt;"",U1357&lt;&gt;"",V1357&lt;&gt;"",AB1357&lt;&gt;"")),"manuell übersteuert; ","")&amp;IF(AND(BW1357=0,R1357=0),"Gebinde unbekannt / Stellmass fehlt; ","")&amp;IF(AND(BW1357=0,N(V1357)&lt;=0,N(Q1357)&lt;=0),"Menge pro Gebinde fehlt (Ist = 1 Gebinde); ","")&amp;BR1357)</f>
        <v>negativer Bestand (Export -6); Neu</v>
      </c>
      <c r="BK1357" s="48"/>
      <c r="BL1357" s="48"/>
      <c r="BM1357" s="55"/>
      <c r="BN1357" s="50" t="n">
        <v>-6</v>
      </c>
      <c r="BO1357" s="50" t="n">
        <v>7</v>
      </c>
      <c r="BP1357" s="49" t="n">
        <v>-2215.86</v>
      </c>
      <c r="BQ1357" s="50" t="n">
        <v>3</v>
      </c>
      <c r="BR1357" s="48" t="s">
        <v>630</v>
      </c>
      <c r="BS1357" s="53" t="n">
        <v>0</v>
      </c>
      <c r="BT1357" s="53" t="n">
        <v>1357</v>
      </c>
      <c r="BU1357" s="48" t="str">
        <f aca="false">IF(U1357&lt;&gt;"",UPPER(TRIM(U1357)),IF(BX1357=1,UPPER(VLOOKUP(T1357,Parameter!$I$27:$K$29,2,0)),IF(P1357="","LOSE",P1357)))</f>
        <v>S51</v>
      </c>
      <c r="BV1357" s="50" t="n">
        <f aca="false">IF(BU1357="LOSE",1,IF(N(V1357)&gt;0,V1357,IF(BX1357=1,MAX(1,N(VLOOKUP(T1357,Parameter!$I$27:$K$29,3,0)),H1357,N(N1357)),IF(N(Q1357)&gt;0,Q1357,MAX(1,H1357)))))</f>
        <v>4</v>
      </c>
      <c r="BW1357" s="53" t="n">
        <f aca="false">IF(BU1357="LOSE",1,0)</f>
        <v>0</v>
      </c>
      <c r="BX1357" s="53" t="n">
        <f aca="false">IF(AND(U1357="",OR(P1357="",P1357="LOSE"),T1357&lt;&gt;"",N(S1357)&lt;=0,ISNUMBER(MATCH(T1357,Parameter!$I$27:$I$29,0))),1,0)</f>
        <v>0</v>
      </c>
      <c r="BY1357" s="53" t="n">
        <f aca="false">IF(CL1357&gt;0,INDEX(Parameter!$H$5:$H$7,W1357)/INDEX(Parameter!$E$5:$E$7,W1357),IF(AND(BW1357=0,N(IFERROR(VLOOKUP(BU1357,'Gebinde-Kategorie'!$A$5:$N$45,14,0),0))&gt;0),VLOOKUP(BU1357,'Gebinde-Kategorie'!$A$5:$N$45,14,0)*10+Parameter!$M$23,Parameter!$M$24))</f>
        <v>155</v>
      </c>
      <c r="BZ1357" s="48" t="str">
        <f aca="false">IF(AND(Parameter!$B$19="Ja",E1357&lt;&gt;"",ISNUMBER(MATCH(E1357,Parameter!$I$35:$I$52,0))),VLOOKUP(E1357,Parameter!$I$35:$J$52,2,0),IFERROR(VLOOKUP(D1357,Parameter!$A$35:$C$64,2,0),"Nein"))</f>
        <v>2+3</v>
      </c>
      <c r="CA1357" s="52" t="n">
        <f aca="false">IF(BW1357=0,0,IF(N(S1357)&gt;0,S1357,IFERROR(VLOOKUP(D1357,Parameter!$A$35:$C$64,3,0)+0,0)))</f>
        <v>0</v>
      </c>
      <c r="CB1357" s="48" t="n">
        <f aca="false">IF(AA1357&lt;&gt;"",AA1357,Z1357)</f>
        <v>3</v>
      </c>
      <c r="CC1357" s="48" t="str">
        <f aca="false">IF(OR(CB1357=1,CB1357=2,CB1357=3),IF(Parameter!$E$27="Ja","LIFT",IF(CB1357=1,"L1","L23")),IF(CB1357="Aussen","Aussen","-"))</f>
        <v>LIFT</v>
      </c>
      <c r="CD1357" s="59" t="n">
        <f aca="false">IF(N(AB1357)&gt;0,AB1357,0)</f>
        <v>0</v>
      </c>
      <c r="CE1357" s="53" t="n">
        <f aca="false">IF(ISNUMBER(AE1357),1,0)</f>
        <v>0</v>
      </c>
      <c r="CF1357" s="50" t="n">
        <f aca="false">N(AE1357)</f>
        <v>0</v>
      </c>
      <c r="CG1357" s="50" t="n">
        <f aca="false">N(M1357)+N(N1357)</f>
        <v>5</v>
      </c>
      <c r="CH1357" s="50" t="n">
        <f aca="false">ROUNDUP(H1357/BV1357,0)</f>
        <v>1</v>
      </c>
      <c r="CI1357" s="50" t="n">
        <f aca="false">ROUNDUP(CF1357/BV1357,0)</f>
        <v>0</v>
      </c>
      <c r="CJ1357" s="53" t="n">
        <f aca="false">IF(BW1357=1,0,IFERROR(VLOOKUP(BU1357,'Gebinde-Kategorie'!$A$5:$N$45,5,0)+0,0))</f>
        <v>11</v>
      </c>
      <c r="CK1357" s="53" t="n">
        <f aca="false">IFERROR(IF(OR(CB1357=1,CB1357=2,CB1357=3),N(INDEX(Parameter!$I$5:$I$7,CB1357)),0),0)</f>
        <v>0</v>
      </c>
      <c r="CL1357" s="52" t="n">
        <f aca="false">IF(AND(Parameter!$B$21="Ja",ISNUMBER(W1357),N(X1357)&gt;0),IFERROR(N(INDEX(Parameter!$L$5:$L$7,W1357))*INDEX(Parameter!$E$5:$E$7,W1357)*X1357/SUMIFS($X$7:$X$1843,$W$7:$W$1843,W1357),0),0)</f>
        <v>0</v>
      </c>
    </row>
    <row r="1358" customFormat="false" ht="15" hidden="false" customHeight="false" outlineLevel="0" collapsed="false">
      <c r="A1358" s="48" t="s">
        <v>2399</v>
      </c>
      <c r="B1358" s="48" t="s">
        <v>294</v>
      </c>
      <c r="C1358" s="48" t="s">
        <v>168</v>
      </c>
      <c r="D1358" s="48" t="s">
        <v>177</v>
      </c>
      <c r="E1358" s="48"/>
      <c r="F1358" s="48" t="s">
        <v>222</v>
      </c>
      <c r="G1358" s="49" t="n">
        <v>221.79</v>
      </c>
      <c r="H1358" s="50" t="n">
        <f aca="false">MAX(0,IF(AND(Parameter!$B$21="Ja",ISNUMBER(Y1358)),Y1358,IF(Parameter!$B$20="Jahresanfang 2025 + Export",BO1358+BN1358,BN1358)))</f>
        <v>20</v>
      </c>
      <c r="I1358" s="50" t="n">
        <f aca="false">H1358*G1358</f>
        <v>4435.8</v>
      </c>
      <c r="J1358" s="50" t="n">
        <f aca="false">BQ1358*Parameter!$B$18</f>
        <v>5</v>
      </c>
      <c r="K1358" s="51" t="n">
        <v>26.5</v>
      </c>
      <c r="L1358" s="52" t="n">
        <v>0.188679245283019</v>
      </c>
      <c r="M1358" s="50" t="n">
        <v>0</v>
      </c>
      <c r="N1358" s="50" t="n">
        <v>5</v>
      </c>
      <c r="O1358" s="53" t="n">
        <v>56</v>
      </c>
      <c r="P1358" s="48" t="s">
        <v>178</v>
      </c>
      <c r="Q1358" s="50" t="n">
        <v>20</v>
      </c>
      <c r="R1358" s="53" t="n">
        <f aca="false">IF(BW1358=1,0,IFERROR(VLOOKUP(BU1358,'Gebinde-Kategorie'!$A$5:$N$45,13,0)+0,0))</f>
        <v>6</v>
      </c>
      <c r="S1358" s="54"/>
      <c r="T1358" s="55"/>
      <c r="U1358" s="55"/>
      <c r="V1358" s="55"/>
      <c r="W1358" s="48"/>
      <c r="X1358" s="50"/>
      <c r="Y1358" s="50"/>
      <c r="Z1358" s="48" t="n">
        <f aca="false">IF(A1358="","",IF(AND(Parameter!$B$21="Ja",ISNUMBER(W1358)),W1358,IF(BZ1358="2+3",IF(ISNUMBER(SEARCH("grosser Artikel",BR1358)),2,IFERROR(VLOOKUP(BU1358,Parameter!$F$35:$G$64,2,0),2)),IF(OR(BZ1358="Nein",BZ1358=""),"-",BZ1358))))</f>
        <v>2</v>
      </c>
      <c r="AA1358" s="55"/>
      <c r="AB1358" s="56"/>
      <c r="AC1358" s="50" t="n">
        <f aca="false">AT1358</f>
        <v>20</v>
      </c>
      <c r="AD1358" s="50" t="n">
        <f aca="false">MAX(AT1358,H1358)</f>
        <v>20</v>
      </c>
      <c r="AE1358" s="57"/>
      <c r="AF1358" s="50" t="n">
        <f aca="false">IF(LEFT(Cockpit!$C$5,1)="A",H1358,IF(CE1358=1,CF1358,IF(LEFT(Cockpit!$C$5,1)="B",AK1358,MAX(AK1358,H1358))))</f>
        <v>20</v>
      </c>
      <c r="AG1358" s="50" t="n">
        <f aca="false">IF(BW1358=1,0,ROUNDUP(AF1358/BV1358,0))</f>
        <v>1</v>
      </c>
      <c r="AH1358" s="52" t="n">
        <f aca="false">IF(CL1358&gt;0,CL1358*MAX(1,AF1358/X1358),IF(BW1358=1,IF(AF1358&lt;=0,0,CA1358*MAX(1,IF(H1358&gt;0,AF1358/H1358,1))),IF(R1358&gt;0,AG1358/R1358,0))/MAX(0.1,N(Parameter!$M$21)))</f>
        <v>0.166666666666667</v>
      </c>
      <c r="AI1358" s="50" t="n">
        <f aca="false">AH1358*BY1358</f>
        <v>39.1666666666667</v>
      </c>
      <c r="AJ1358" s="50" t="n">
        <f aca="false">AF1358*G1358</f>
        <v>4435.8</v>
      </c>
      <c r="AK1358" s="50" t="n">
        <f aca="false">ROUNDUP(MAX(J1358/IF(CD1358&gt;0,CD1358,MAX(0.1,N(Cockpit!$C$6))),CG1358)/BV1358,0)*BV1358</f>
        <v>20</v>
      </c>
      <c r="AL1358" s="51" t="n">
        <f aca="false">IF(AI1358&gt;0,J1358/AI1358,-1)</f>
        <v>0.127659574468085</v>
      </c>
      <c r="AM1358" s="51" t="n">
        <f aca="false">IF(AND(OR(CC1358="L1",CC1358="L23",CC1358="LIFT"),AI1358&gt;0),SUMIFS($AI$7:$AI$1843,$CC$7:$CC$1843,CC1358,$AL$7:$AL$1843,"&gt;"&amp;AL1358)+SUMIFS($AI$7:$AI$1843,$CC$7:$CC$1843,CC1358,$AL$7:$AL$1843,AL1358,$BT$7:$BT$1843,"&lt;="&amp;BT1358),"")</f>
        <v>13901.6303599884</v>
      </c>
      <c r="AN1358" s="58" t="n">
        <f aca="false">IF(AM1358="",0,MAX(0,MIN(1,(IF(CC1358="L1",Parameter!$H$5,IF(CC1358="L23",Parameter!$H$6+Parameter!$H$7,Parameter!$H$5+Parameter!$H$6+Parameter!$H$7))-(AM1358-AI1358))/AI1358)))</f>
        <v>1</v>
      </c>
      <c r="AO1358" s="50" t="n">
        <f aca="false">IF(LEFT(Cockpit!$I$5,1)="A",H1358,IF(CE1358=1,CF1358,IF(LEFT(Cockpit!$I$5,1)="B",AT1358,MAX(AT1358,H1358))))</f>
        <v>20</v>
      </c>
      <c r="AP1358" s="50" t="n">
        <f aca="false">IF(BW1358=1,0,ROUNDUP(AO1358/BV1358,0))</f>
        <v>1</v>
      </c>
      <c r="AQ1358" s="52" t="n">
        <f aca="false">IF(CL1358&gt;0,CL1358*MAX(1,AO1358/X1358),IF(BW1358=1,IF(AO1358&lt;=0,0,CA1358*MAX(1,IF(H1358&gt;0,AO1358/H1358,1))),IF(R1358&gt;0,AP1358/R1358,0))/MAX(0.1,N(Parameter!$M$21)))</f>
        <v>0.166666666666667</v>
      </c>
      <c r="AR1358" s="50" t="n">
        <f aca="false">AQ1358*BY1358</f>
        <v>39.1666666666667</v>
      </c>
      <c r="AS1358" s="50" t="n">
        <f aca="false">AO1358*G1358</f>
        <v>4435.8</v>
      </c>
      <c r="AT1358" s="50" t="n">
        <f aca="false">ROUNDUP(MAX(J1358/IF(CD1358&gt;0,CD1358,MAX(0.1,N(Cockpit!$I$6))),CG1358)/BV1358,0)*BV1358</f>
        <v>20</v>
      </c>
      <c r="AU1358" s="51" t="n">
        <f aca="false">IF(AR1358&gt;0,J1358/AR1358,-1)</f>
        <v>0.127659574468085</v>
      </c>
      <c r="AV1358" s="51" t="n">
        <f aca="false">IF(AND(OR(CC1358="L1",CC1358="L23",CC1358="LIFT"),AR1358&gt;0),SUMIFS($AR$7:$AR$1843,$CC$7:$CC$1843,CC1358,$AU$7:$AU$1843,"&gt;"&amp;AU1358)+SUMIFS($AR$7:$AR$1843,$CC$7:$CC$1843,CC1358,$AU$7:$AU$1843,AU1358,$BT$7:$BT$1843,"&lt;="&amp;BT1358),"")</f>
        <v>20188.1799450549</v>
      </c>
      <c r="AW1358" s="58" t="n">
        <f aca="false">IF(AV1358="",0,MAX(0,MIN(1,(IF(CC1358="L1",Parameter!$H$5,IF(CC1358="L23",Parameter!$H$6+Parameter!$H$7,Parameter!$H$5+Parameter!$H$6+Parameter!$H$7))-(AV1358-AR1358))/AR1358)))</f>
        <v>1</v>
      </c>
      <c r="AX1358" s="50" t="n">
        <f aca="false">IF(LEFT(Cockpit!$O$5,1)="A",H1358,IF(CE1358=1,CF1358,IF(LEFT(Cockpit!$O$5,1)="B",BC1358,MAX(BC1358,H1358))))</f>
        <v>20</v>
      </c>
      <c r="AY1358" s="50" t="n">
        <f aca="false">IF(BW1358=1,0,ROUNDUP(AX1358/BV1358,0))</f>
        <v>1</v>
      </c>
      <c r="AZ1358" s="52" t="n">
        <f aca="false">IF(CL1358&gt;0,CL1358*MAX(1,AX1358/X1358),IF(BW1358=1,IF(AX1358&lt;=0,0,CA1358*MAX(1,IF(H1358&gt;0,AX1358/H1358,1))),IF(R1358&gt;0,AY1358/R1358,0))/MAX(0.1,N(Parameter!$M$21)))</f>
        <v>0.166666666666667</v>
      </c>
      <c r="BA1358" s="50" t="n">
        <f aca="false">AZ1358*BY1358</f>
        <v>39.1666666666667</v>
      </c>
      <c r="BB1358" s="50" t="n">
        <f aca="false">AX1358*G1358</f>
        <v>4435.8</v>
      </c>
      <c r="BC1358" s="50" t="n">
        <f aca="false">ROUNDUP(MAX(J1358/IF(CD1358&gt;0,CD1358,MAX(0.1,N(Cockpit!$O$6))),CG1358)/BV1358,0)*BV1358</f>
        <v>20</v>
      </c>
      <c r="BD1358" s="51" t="n">
        <f aca="false">IF(BA1358&gt;0,J1358/BA1358,-1)</f>
        <v>0.127659574468085</v>
      </c>
      <c r="BE1358" s="51" t="n">
        <f aca="false">IF(AND(OR(CC1358="L1",CC1358="L23",CC1358="LIFT"),BA1358&gt;0),SUMIFS($BA$7:$BA$1843,$CC$7:$CC$1843,CC1358,$BD$7:$BD$1843,"&gt;"&amp;BD1358)+SUMIFS($BA$7:$BA$1843,$CC$7:$CC$1843,CC1358,$BD$7:$BD$1843,BD1358,$BT$7:$BT$1843,"&lt;="&amp;BT1358),"")</f>
        <v>19742.980122514</v>
      </c>
      <c r="BF1358" s="58" t="n">
        <f aca="false">IF(BE1358="",0,MAX(0,MIN(1,(IF(CC1358="L1",Parameter!$H$5,IF(CC1358="L23",Parameter!$H$6+Parameter!$H$7,Parameter!$H$5+Parameter!$H$6+Parameter!$H$7))-(BE1358-BA1358))/BA1358)))</f>
        <v>1</v>
      </c>
      <c r="BG1358" s="48" t="str">
        <f aca="false">IF(AI1358&lt;=0,"",IF(CC1358="Aussen","Aussenlager",IF(CC1358="-","Nicht im Lift",IF(AN1358&gt;=1,"Lift",IF(AN1358&lt;=0,"Aussenlager","teilweise")))))</f>
        <v>Lift</v>
      </c>
      <c r="BH1358" s="48" t="str">
        <f aca="false">IF(AR1358&lt;=0,"",IF(CC1358="Aussen","Aussenlager",IF(CC1358="-","Nicht im Lift",IF(AW1358&gt;=1,"Lift",IF(AW1358&lt;=0,"Aussenlager","teilweise")))))</f>
        <v>Lift</v>
      </c>
      <c r="BI1358" s="48" t="str">
        <f aca="false">IF(BA1358&lt;=0,"",IF(CC1358="Aussen","Aussenlager",IF(CC1358="-","Nicht im Lift",IF(BF1358&gt;=1,"Lift",IF(BF1358&lt;=0,"Aussenlager","teilweise")))))</f>
        <v>Lift</v>
      </c>
      <c r="BJ1358" s="48" t="str">
        <f aca="false">IF(A1358="","",IF(BS1358=1,"Neu; ","")&amp;IF(AND(BS1358=0,BN1358&lt;0),"negativer Bestand (Export "&amp;BN1358&amp;"); ","")&amp;IF(J1358&lt;=0,"Kein Verbrauch; ","")&amp;IF(CL1358&gt;0,"Lift "&amp;W1358&amp;" lt. Liftbericht (Fach "&amp;X1358&amp;" Stk); ",IF(BX1358=1,"Gebinde geschätzt ("&amp;T1358&amp;"); ",IF(BW1358=1,"Lose – Tablare geschätzt; ","")))&amp;IF(H1358&gt;AT1358,"Überbestand "&amp;ROUND(H1358-AT1358,0)&amp;" Stk / CHF "&amp;ROUND((H1358-AT1358)*G1358,0)&amp;"; ","")&amp;IF(AND(CE1358=1,CF1358&lt;CG1358),"MAX &lt; MB+LG; ","")&amp;IF(AND(CK1358&gt;0,CJ1358*10&gt;CK1358),"zu hoch für Tablar; ","")&amp;IF(AND(BS1358=0,OR(CE1358=1,AA1358&lt;&gt;"",U1358&lt;&gt;"",V1358&lt;&gt;"",AB1358&lt;&gt;"")),"manuell übersteuert; ","")&amp;IF(AND(BW1358=0,R1358=0),"Gebinde unbekannt / Stellmass fehlt; ","")&amp;IF(AND(BW1358=0,N(V1358)&lt;=0,N(Q1358)&lt;=0),"Menge pro Gebinde fehlt (Ist = 1 Gebinde); ","")&amp;BR1358)</f>
        <v>negativer Bestand (Export -10); </v>
      </c>
      <c r="BK1358" s="48"/>
      <c r="BL1358" s="48"/>
      <c r="BM1358" s="55"/>
      <c r="BN1358" s="50" t="n">
        <v>-10</v>
      </c>
      <c r="BO1358" s="50" t="n">
        <v>30</v>
      </c>
      <c r="BP1358" s="49" t="n">
        <v>-2217.9</v>
      </c>
      <c r="BQ1358" s="50" t="n">
        <v>5</v>
      </c>
      <c r="BR1358" s="48"/>
      <c r="BS1358" s="53" t="n">
        <v>0</v>
      </c>
      <c r="BT1358" s="53" t="n">
        <v>1358</v>
      </c>
      <c r="BU1358" s="48" t="str">
        <f aca="false">IF(U1358&lt;&gt;"",UPPER(TRIM(U1358)),IF(BX1358=1,UPPER(VLOOKUP(T1358,Parameter!$I$27:$K$29,2,0)),IF(P1358="","LOSE",P1358)))</f>
        <v>S71</v>
      </c>
      <c r="BV1358" s="50" t="n">
        <f aca="false">IF(BU1358="LOSE",1,IF(N(V1358)&gt;0,V1358,IF(BX1358=1,MAX(1,N(VLOOKUP(T1358,Parameter!$I$27:$K$29,3,0)),H1358,N(N1358)),IF(N(Q1358)&gt;0,Q1358,MAX(1,H1358)))))</f>
        <v>20</v>
      </c>
      <c r="BW1358" s="53" t="n">
        <f aca="false">IF(BU1358="LOSE",1,0)</f>
        <v>0</v>
      </c>
      <c r="BX1358" s="53" t="n">
        <f aca="false">IF(AND(U1358="",OR(P1358="",P1358="LOSE"),T1358&lt;&gt;"",N(S1358)&lt;=0,ISNUMBER(MATCH(T1358,Parameter!$I$27:$I$29,0))),1,0)</f>
        <v>0</v>
      </c>
      <c r="BY1358" s="53" t="n">
        <f aca="false">IF(CL1358&gt;0,INDEX(Parameter!$H$5:$H$7,W1358)/INDEX(Parameter!$E$5:$E$7,W1358),IF(AND(BW1358=0,N(IFERROR(VLOOKUP(BU1358,'Gebinde-Kategorie'!$A$5:$N$45,14,0),0))&gt;0),VLOOKUP(BU1358,'Gebinde-Kategorie'!$A$5:$N$45,14,0)*10+Parameter!$M$23,Parameter!$M$24))</f>
        <v>235</v>
      </c>
      <c r="BZ1358" s="48" t="str">
        <f aca="false">IF(AND(Parameter!$B$19="Ja",E1358&lt;&gt;"",ISNUMBER(MATCH(E1358,Parameter!$I$35:$I$52,0))),VLOOKUP(E1358,Parameter!$I$35:$J$52,2,0),IFERROR(VLOOKUP(D1358,Parameter!$A$35:$C$64,2,0),"Nein"))</f>
        <v>2+3</v>
      </c>
      <c r="CA1358" s="52" t="n">
        <f aca="false">IF(BW1358=0,0,IF(N(S1358)&gt;0,S1358,IFERROR(VLOOKUP(D1358,Parameter!$A$35:$C$64,3,0)+0,0)))</f>
        <v>0</v>
      </c>
      <c r="CB1358" s="48" t="n">
        <f aca="false">IF(AA1358&lt;&gt;"",AA1358,Z1358)</f>
        <v>2</v>
      </c>
      <c r="CC1358" s="48" t="str">
        <f aca="false">IF(OR(CB1358=1,CB1358=2,CB1358=3),IF(Parameter!$E$27="Ja","LIFT",IF(CB1358=1,"L1","L23")),IF(CB1358="Aussen","Aussen","-"))</f>
        <v>LIFT</v>
      </c>
      <c r="CD1358" s="59" t="n">
        <f aca="false">IF(N(AB1358)&gt;0,AB1358,0)</f>
        <v>0</v>
      </c>
      <c r="CE1358" s="53" t="n">
        <f aca="false">IF(ISNUMBER(AE1358),1,0)</f>
        <v>0</v>
      </c>
      <c r="CF1358" s="50" t="n">
        <f aca="false">N(AE1358)</f>
        <v>0</v>
      </c>
      <c r="CG1358" s="50" t="n">
        <f aca="false">N(M1358)+N(N1358)</f>
        <v>5</v>
      </c>
      <c r="CH1358" s="50" t="n">
        <f aca="false">ROUNDUP(H1358/BV1358,0)</f>
        <v>1</v>
      </c>
      <c r="CI1358" s="50" t="n">
        <f aca="false">ROUNDUP(CF1358/BV1358,0)</f>
        <v>0</v>
      </c>
      <c r="CJ1358" s="53" t="n">
        <f aca="false">IF(BW1358=1,0,IFERROR(VLOOKUP(BU1358,'Gebinde-Kategorie'!$A$5:$N$45,5,0)+0,0))</f>
        <v>20</v>
      </c>
      <c r="CK1358" s="53" t="n">
        <f aca="false">IFERROR(IF(OR(CB1358=1,CB1358=2,CB1358=3),N(INDEX(Parameter!$I$5:$I$7,CB1358)),0),0)</f>
        <v>0</v>
      </c>
      <c r="CL1358" s="52" t="n">
        <f aca="false">IF(AND(Parameter!$B$21="Ja",ISNUMBER(W1358),N(X1358)&gt;0),IFERROR(N(INDEX(Parameter!$L$5:$L$7,W1358))*INDEX(Parameter!$E$5:$E$7,W1358)*X1358/SUMIFS($X$7:$X$1843,$W$7:$W$1843,W1358),0),0)</f>
        <v>0</v>
      </c>
    </row>
    <row r="1359" customFormat="false" ht="15" hidden="false" customHeight="false" outlineLevel="0" collapsed="false">
      <c r="A1359" s="48" t="s">
        <v>2400</v>
      </c>
      <c r="B1359" s="48" t="s">
        <v>602</v>
      </c>
      <c r="C1359" s="48" t="s">
        <v>168</v>
      </c>
      <c r="D1359" s="48" t="s">
        <v>188</v>
      </c>
      <c r="E1359" s="48" t="s">
        <v>189</v>
      </c>
      <c r="F1359" s="48" t="s">
        <v>222</v>
      </c>
      <c r="G1359" s="49" t="n">
        <v>49.99</v>
      </c>
      <c r="H1359" s="50" t="n">
        <f aca="false">MAX(0,IF(AND(Parameter!$B$21="Ja",ISNUMBER(Y1359)),Y1359,IF(Parameter!$B$20="Jahresanfang 2025 + Export",BO1359+BN1359,BN1359)))</f>
        <v>63</v>
      </c>
      <c r="I1359" s="50" t="n">
        <f aca="false">H1359*G1359</f>
        <v>3149.37</v>
      </c>
      <c r="J1359" s="50" t="n">
        <f aca="false">BQ1359*Parameter!$B$18</f>
        <v>30</v>
      </c>
      <c r="K1359" s="51" t="n">
        <v>92.5</v>
      </c>
      <c r="L1359" s="52" t="n">
        <v>0.324324324324324</v>
      </c>
      <c r="M1359" s="50" t="n">
        <v>2</v>
      </c>
      <c r="N1359" s="50" t="n">
        <v>30</v>
      </c>
      <c r="O1359" s="53" t="n">
        <v>28</v>
      </c>
      <c r="P1359" s="48" t="s">
        <v>306</v>
      </c>
      <c r="Q1359" s="50" t="n">
        <v>161</v>
      </c>
      <c r="R1359" s="53" t="n">
        <f aca="false">IF(BW1359=1,0,IFERROR(VLOOKUP(BU1359,'Gebinde-Kategorie'!$A$5:$N$45,13,0)+0,0))</f>
        <v>26</v>
      </c>
      <c r="S1359" s="54"/>
      <c r="T1359" s="55"/>
      <c r="U1359" s="55"/>
      <c r="V1359" s="55"/>
      <c r="W1359" s="48"/>
      <c r="X1359" s="50"/>
      <c r="Y1359" s="50"/>
      <c r="Z1359" s="48" t="n">
        <f aca="false">IF(A1359="","",IF(AND(Parameter!$B$21="Ja",ISNUMBER(W1359)),W1359,IF(BZ1359="2+3",IF(ISNUMBER(SEARCH("grosser Artikel",BR1359)),2,IFERROR(VLOOKUP(BU1359,Parameter!$F$35:$G$64,2,0),2)),IF(OR(BZ1359="Nein",BZ1359=""),"-",BZ1359))))</f>
        <v>3</v>
      </c>
      <c r="AA1359" s="55"/>
      <c r="AB1359" s="56"/>
      <c r="AC1359" s="50" t="n">
        <f aca="false">AT1359</f>
        <v>161</v>
      </c>
      <c r="AD1359" s="50" t="n">
        <f aca="false">MAX(AT1359,H1359)</f>
        <v>161</v>
      </c>
      <c r="AE1359" s="57"/>
      <c r="AF1359" s="50" t="n">
        <f aca="false">IF(LEFT(Cockpit!$C$5,1)="A",H1359,IF(CE1359=1,CF1359,IF(LEFT(Cockpit!$C$5,1)="B",AK1359,MAX(AK1359,H1359))))</f>
        <v>63</v>
      </c>
      <c r="AG1359" s="50" t="n">
        <f aca="false">IF(BW1359=1,0,ROUNDUP(AF1359/BV1359,0))</f>
        <v>1</v>
      </c>
      <c r="AH1359" s="52" t="n">
        <f aca="false">IF(CL1359&gt;0,CL1359*MAX(1,AF1359/X1359),IF(BW1359=1,IF(AF1359&lt;=0,0,CA1359*MAX(1,IF(H1359&gt;0,AF1359/H1359,1))),IF(R1359&gt;0,AG1359/R1359,0))/MAX(0.1,N(Parameter!$M$21)))</f>
        <v>0.0384615384615385</v>
      </c>
      <c r="AI1359" s="50" t="n">
        <f aca="false">AH1359*BY1359</f>
        <v>5.96153846153846</v>
      </c>
      <c r="AJ1359" s="50" t="n">
        <f aca="false">AF1359*G1359</f>
        <v>3149.37</v>
      </c>
      <c r="AK1359" s="50" t="n">
        <f aca="false">ROUNDUP(MAX(J1359/IF(CD1359&gt;0,CD1359,MAX(0.1,N(Cockpit!$C$6))),CG1359)/BV1359,0)*BV1359</f>
        <v>161</v>
      </c>
      <c r="AL1359" s="51" t="n">
        <f aca="false">IF(AI1359&gt;0,J1359/AI1359,-1)</f>
        <v>5.03225806451613</v>
      </c>
      <c r="AM1359" s="51" t="n">
        <f aca="false">IF(AND(OR(CC1359="L1",CC1359="L23",CC1359="LIFT"),AI1359&gt;0),SUMIFS($AI$7:$AI$1843,$CC$7:$CC$1843,CC1359,$AL$7:$AL$1843,"&gt;"&amp;AL1359)+SUMIFS($AI$7:$AI$1843,$CC$7:$CC$1843,CC1359,$AL$7:$AL$1843,AL1359,$BT$7:$BT$1843,"&lt;="&amp;BT1359),"")</f>
        <v>3894.08562271062</v>
      </c>
      <c r="AN1359" s="58" t="n">
        <f aca="false">IF(AM1359="",0,MAX(0,MIN(1,(IF(CC1359="L1",Parameter!$H$5,IF(CC1359="L23",Parameter!$H$6+Parameter!$H$7,Parameter!$H$5+Parameter!$H$6+Parameter!$H$7))-(AM1359-AI1359))/AI1359)))</f>
        <v>1</v>
      </c>
      <c r="AO1359" s="50" t="n">
        <f aca="false">IF(LEFT(Cockpit!$I$5,1)="A",H1359,IF(CE1359=1,CF1359,IF(LEFT(Cockpit!$I$5,1)="B",AT1359,MAX(AT1359,H1359))))</f>
        <v>161</v>
      </c>
      <c r="AP1359" s="50" t="n">
        <f aca="false">IF(BW1359=1,0,ROUNDUP(AO1359/BV1359,0))</f>
        <v>1</v>
      </c>
      <c r="AQ1359" s="52" t="n">
        <f aca="false">IF(CL1359&gt;0,CL1359*MAX(1,AO1359/X1359),IF(BW1359=1,IF(AO1359&lt;=0,0,CA1359*MAX(1,IF(H1359&gt;0,AO1359/H1359,1))),IF(R1359&gt;0,AP1359/R1359,0))/MAX(0.1,N(Parameter!$M$21)))</f>
        <v>0.0384615384615385</v>
      </c>
      <c r="AR1359" s="50" t="n">
        <f aca="false">AQ1359*BY1359</f>
        <v>5.96153846153846</v>
      </c>
      <c r="AS1359" s="50" t="n">
        <f aca="false">AO1359*G1359</f>
        <v>8048.39</v>
      </c>
      <c r="AT1359" s="50" t="n">
        <f aca="false">ROUNDUP(MAX(J1359/IF(CD1359&gt;0,CD1359,MAX(0.1,N(Cockpit!$I$6))),CG1359)/BV1359,0)*BV1359</f>
        <v>161</v>
      </c>
      <c r="AU1359" s="51" t="n">
        <f aca="false">IF(AR1359&gt;0,J1359/AR1359,-1)</f>
        <v>5.03225806451613</v>
      </c>
      <c r="AV1359" s="51" t="n">
        <f aca="false">IF(AND(OR(CC1359="L1",CC1359="L23",CC1359="LIFT"),AR1359&gt;0),SUMIFS($AR$7:$AR$1843,$CC$7:$CC$1843,CC1359,$AU$7:$AU$1843,"&gt;"&amp;AU1359)+SUMIFS($AR$7:$AR$1843,$CC$7:$CC$1843,CC1359,$AU$7:$AU$1843,AU1359,$BT$7:$BT$1843,"&lt;="&amp;BT1359),"")</f>
        <v>4949.53891941392</v>
      </c>
      <c r="AW1359" s="58" t="n">
        <f aca="false">IF(AV1359="",0,MAX(0,MIN(1,(IF(CC1359="L1",Parameter!$H$5,IF(CC1359="L23",Parameter!$H$6+Parameter!$H$7,Parameter!$H$5+Parameter!$H$6+Parameter!$H$7))-(AV1359-AR1359))/AR1359)))</f>
        <v>1</v>
      </c>
      <c r="AX1359" s="50" t="n">
        <f aca="false">IF(LEFT(Cockpit!$O$5,1)="A",H1359,IF(CE1359=1,CF1359,IF(LEFT(Cockpit!$O$5,1)="B",BC1359,MAX(BC1359,H1359))))</f>
        <v>161</v>
      </c>
      <c r="AY1359" s="50" t="n">
        <f aca="false">IF(BW1359=1,0,ROUNDUP(AX1359/BV1359,0))</f>
        <v>1</v>
      </c>
      <c r="AZ1359" s="52" t="n">
        <f aca="false">IF(CL1359&gt;0,CL1359*MAX(1,AX1359/X1359),IF(BW1359=1,IF(AX1359&lt;=0,0,CA1359*MAX(1,IF(H1359&gt;0,AX1359/H1359,1))),IF(R1359&gt;0,AY1359/R1359,0))/MAX(0.1,N(Parameter!$M$21)))</f>
        <v>0.0384615384615385</v>
      </c>
      <c r="BA1359" s="50" t="n">
        <f aca="false">AZ1359*BY1359</f>
        <v>5.96153846153846</v>
      </c>
      <c r="BB1359" s="50" t="n">
        <f aca="false">AX1359*G1359</f>
        <v>8048.39</v>
      </c>
      <c r="BC1359" s="50" t="n">
        <f aca="false">ROUNDUP(MAX(J1359/IF(CD1359&gt;0,CD1359,MAX(0.1,N(Cockpit!$O$6))),CG1359)/BV1359,0)*BV1359</f>
        <v>161</v>
      </c>
      <c r="BD1359" s="51" t="n">
        <f aca="false">IF(BA1359&gt;0,J1359/BA1359,-1)</f>
        <v>5.03225806451613</v>
      </c>
      <c r="BE1359" s="51" t="n">
        <f aca="false">IF(AND(OR(CC1359="L1",CC1359="L23",CC1359="LIFT"),BA1359&gt;0),SUMIFS($BA$7:$BA$1843,$CC$7:$CC$1843,CC1359,$BD$7:$BD$1843,"&gt;"&amp;BD1359)+SUMIFS($BA$7:$BA$1843,$CC$7:$CC$1843,CC1359,$BD$7:$BD$1843,BD1359,$BT$7:$BT$1843,"&lt;="&amp;BT1359),"")</f>
        <v>4620.00366300366</v>
      </c>
      <c r="BF1359" s="58" t="n">
        <f aca="false">IF(BE1359="",0,MAX(0,MIN(1,(IF(CC1359="L1",Parameter!$H$5,IF(CC1359="L23",Parameter!$H$6+Parameter!$H$7,Parameter!$H$5+Parameter!$H$6+Parameter!$H$7))-(BE1359-BA1359))/BA1359)))</f>
        <v>1</v>
      </c>
      <c r="BG1359" s="48" t="str">
        <f aca="false">IF(AI1359&lt;=0,"",IF(CC1359="Aussen","Aussenlager",IF(CC1359="-","Nicht im Lift",IF(AN1359&gt;=1,"Lift",IF(AN1359&lt;=0,"Aussenlager","teilweise")))))</f>
        <v>Lift</v>
      </c>
      <c r="BH1359" s="48" t="str">
        <f aca="false">IF(AR1359&lt;=0,"",IF(CC1359="Aussen","Aussenlager",IF(CC1359="-","Nicht im Lift",IF(AW1359&gt;=1,"Lift",IF(AW1359&lt;=0,"Aussenlager","teilweise")))))</f>
        <v>Lift</v>
      </c>
      <c r="BI1359" s="48" t="str">
        <f aca="false">IF(BA1359&lt;=0,"",IF(CC1359="Aussen","Aussenlager",IF(CC1359="-","Nicht im Lift",IF(BF1359&gt;=1,"Lift",IF(BF1359&lt;=0,"Aussenlager","teilweise")))))</f>
        <v>Lift</v>
      </c>
      <c r="BJ1359" s="48" t="str">
        <f aca="false">IF(A1359="","",IF(BS1359=1,"Neu; ","")&amp;IF(AND(BS1359=0,BN1359&lt;0),"negativer Bestand (Export "&amp;BN1359&amp;"); ","")&amp;IF(J1359&lt;=0,"Kein Verbrauch; ","")&amp;IF(CL1359&gt;0,"Lift "&amp;W1359&amp;" lt. Liftbericht (Fach "&amp;X1359&amp;" Stk); ",IF(BX1359=1,"Gebinde geschätzt ("&amp;T1359&amp;"); ",IF(BW1359=1,"Lose – Tablare geschätzt; ","")))&amp;IF(H1359&gt;AT1359,"Überbestand "&amp;ROUND(H1359-AT1359,0)&amp;" Stk / CHF "&amp;ROUND((H1359-AT1359)*G1359,0)&amp;"; ","")&amp;IF(AND(CE1359=1,CF1359&lt;CG1359),"MAX &lt; MB+LG; ","")&amp;IF(AND(CK1359&gt;0,CJ1359*10&gt;CK1359),"zu hoch für Tablar; ","")&amp;IF(AND(BS1359=0,OR(CE1359=1,AA1359&lt;&gt;"",U1359&lt;&gt;"",V1359&lt;&gt;"",AB1359&lt;&gt;"")),"manuell übersteuert; ","")&amp;IF(AND(BW1359=0,R1359=0),"Gebinde unbekannt / Stellmass fehlt; ","")&amp;IF(AND(BW1359=0,N(V1359)&lt;=0,N(Q1359)&lt;=0),"Menge pro Gebinde fehlt (Ist = 1 Gebinde); ","")&amp;BR1359)</f>
        <v>negativer Bestand (Export -45); </v>
      </c>
      <c r="BK1359" s="48"/>
      <c r="BL1359" s="48"/>
      <c r="BM1359" s="55"/>
      <c r="BN1359" s="50" t="n">
        <v>-45</v>
      </c>
      <c r="BO1359" s="50" t="n">
        <v>108</v>
      </c>
      <c r="BP1359" s="49" t="n">
        <v>-2249.55</v>
      </c>
      <c r="BQ1359" s="50" t="n">
        <v>30</v>
      </c>
      <c r="BR1359" s="48"/>
      <c r="BS1359" s="53" t="n">
        <v>0</v>
      </c>
      <c r="BT1359" s="53" t="n">
        <v>1359</v>
      </c>
      <c r="BU1359" s="48" t="str">
        <f aca="false">IF(U1359&lt;&gt;"",UPPER(TRIM(U1359)),IF(BX1359=1,UPPER(VLOOKUP(T1359,Parameter!$I$27:$K$29,2,0)),IF(P1359="","LOSE",P1359)))</f>
        <v>S51</v>
      </c>
      <c r="BV1359" s="50" t="n">
        <f aca="false">IF(BU1359="LOSE",1,IF(N(V1359)&gt;0,V1359,IF(BX1359=1,MAX(1,N(VLOOKUP(T1359,Parameter!$I$27:$K$29,3,0)),H1359,N(N1359)),IF(N(Q1359)&gt;0,Q1359,MAX(1,H1359)))))</f>
        <v>161</v>
      </c>
      <c r="BW1359" s="53" t="n">
        <f aca="false">IF(BU1359="LOSE",1,0)</f>
        <v>0</v>
      </c>
      <c r="BX1359" s="53" t="n">
        <f aca="false">IF(AND(U1359="",OR(P1359="",P1359="LOSE"),T1359&lt;&gt;"",N(S1359)&lt;=0,ISNUMBER(MATCH(T1359,Parameter!$I$27:$I$29,0))),1,0)</f>
        <v>0</v>
      </c>
      <c r="BY1359" s="53" t="n">
        <f aca="false">IF(CL1359&gt;0,INDEX(Parameter!$H$5:$H$7,W1359)/INDEX(Parameter!$E$5:$E$7,W1359),IF(AND(BW1359=0,N(IFERROR(VLOOKUP(BU1359,'Gebinde-Kategorie'!$A$5:$N$45,14,0),0))&gt;0),VLOOKUP(BU1359,'Gebinde-Kategorie'!$A$5:$N$45,14,0)*10+Parameter!$M$23,Parameter!$M$24))</f>
        <v>155</v>
      </c>
      <c r="BZ1359" s="48" t="str">
        <f aca="false">IF(AND(Parameter!$B$19="Ja",E1359&lt;&gt;"",ISNUMBER(MATCH(E1359,Parameter!$I$35:$I$52,0))),VLOOKUP(E1359,Parameter!$I$35:$J$52,2,0),IFERROR(VLOOKUP(D1359,Parameter!$A$35:$C$64,2,0),"Nein"))</f>
        <v>2+3</v>
      </c>
      <c r="CA1359" s="52" t="n">
        <f aca="false">IF(BW1359=0,0,IF(N(S1359)&gt;0,S1359,IFERROR(VLOOKUP(D1359,Parameter!$A$35:$C$64,3,0)+0,0)))</f>
        <v>0</v>
      </c>
      <c r="CB1359" s="48" t="n">
        <f aca="false">IF(AA1359&lt;&gt;"",AA1359,Z1359)</f>
        <v>3</v>
      </c>
      <c r="CC1359" s="48" t="str">
        <f aca="false">IF(OR(CB1359=1,CB1359=2,CB1359=3),IF(Parameter!$E$27="Ja","LIFT",IF(CB1359=1,"L1","L23")),IF(CB1359="Aussen","Aussen","-"))</f>
        <v>LIFT</v>
      </c>
      <c r="CD1359" s="59" t="n">
        <f aca="false">IF(N(AB1359)&gt;0,AB1359,0)</f>
        <v>0</v>
      </c>
      <c r="CE1359" s="53" t="n">
        <f aca="false">IF(ISNUMBER(AE1359),1,0)</f>
        <v>0</v>
      </c>
      <c r="CF1359" s="50" t="n">
        <f aca="false">N(AE1359)</f>
        <v>0</v>
      </c>
      <c r="CG1359" s="50" t="n">
        <f aca="false">N(M1359)+N(N1359)</f>
        <v>32</v>
      </c>
      <c r="CH1359" s="50" t="n">
        <f aca="false">ROUNDUP(H1359/BV1359,0)</f>
        <v>1</v>
      </c>
      <c r="CI1359" s="50" t="n">
        <f aca="false">ROUNDUP(CF1359/BV1359,0)</f>
        <v>0</v>
      </c>
      <c r="CJ1359" s="53" t="n">
        <f aca="false">IF(BW1359=1,0,IFERROR(VLOOKUP(BU1359,'Gebinde-Kategorie'!$A$5:$N$45,5,0)+0,0))</f>
        <v>11</v>
      </c>
      <c r="CK1359" s="53" t="n">
        <f aca="false">IFERROR(IF(OR(CB1359=1,CB1359=2,CB1359=3),N(INDEX(Parameter!$I$5:$I$7,CB1359)),0),0)</f>
        <v>0</v>
      </c>
      <c r="CL1359" s="52" t="n">
        <f aca="false">IF(AND(Parameter!$B$21="Ja",ISNUMBER(W1359),N(X1359)&gt;0),IFERROR(N(INDEX(Parameter!$L$5:$L$7,W1359))*INDEX(Parameter!$E$5:$E$7,W1359)*X1359/SUMIFS($X$7:$X$1843,$W$7:$W$1843,W1359),0),0)</f>
        <v>0</v>
      </c>
    </row>
    <row r="1360" customFormat="false" ht="15" hidden="false" customHeight="false" outlineLevel="0" collapsed="false">
      <c r="A1360" s="48" t="s">
        <v>2401</v>
      </c>
      <c r="B1360" s="48" t="s">
        <v>210</v>
      </c>
      <c r="C1360" s="48" t="s">
        <v>171</v>
      </c>
      <c r="D1360" s="48" t="s">
        <v>177</v>
      </c>
      <c r="E1360" s="48" t="s">
        <v>170</v>
      </c>
      <c r="F1360" s="48" t="s">
        <v>222</v>
      </c>
      <c r="G1360" s="49" t="n">
        <v>2326.66</v>
      </c>
      <c r="H1360" s="50" t="n">
        <f aca="false">MAX(0,IF(AND(Parameter!$B$21="Ja",ISNUMBER(Y1360)),Y1360,IF(Parameter!$B$20="Jahresanfang 2025 + Export",BO1360+BN1360,BN1360)))</f>
        <v>1</v>
      </c>
      <c r="I1360" s="50" t="n">
        <f aca="false">H1360*G1360</f>
        <v>2326.66</v>
      </c>
      <c r="J1360" s="50" t="n">
        <f aca="false">BQ1360*Parameter!$B$18</f>
        <v>0</v>
      </c>
      <c r="K1360" s="51" t="n">
        <v>10</v>
      </c>
      <c r="L1360" s="52" t="n">
        <v>0</v>
      </c>
      <c r="M1360" s="50" t="n">
        <v>0</v>
      </c>
      <c r="N1360" s="50" t="n">
        <v>1</v>
      </c>
      <c r="O1360" s="53" t="n">
        <v>49</v>
      </c>
      <c r="P1360" s="48" t="s">
        <v>172</v>
      </c>
      <c r="Q1360" s="50"/>
      <c r="R1360" s="53" t="n">
        <f aca="false">IF(BW1360=1,0,IFERROR(VLOOKUP(BU1360,'Gebinde-Kategorie'!$A$5:$N$45,13,0)+0,0))</f>
        <v>0</v>
      </c>
      <c r="S1360" s="54"/>
      <c r="T1360" s="55"/>
      <c r="U1360" s="55"/>
      <c r="V1360" s="55"/>
      <c r="W1360" s="48" t="n">
        <v>1</v>
      </c>
      <c r="X1360" s="50" t="n">
        <v>1</v>
      </c>
      <c r="Y1360" s="50" t="n">
        <v>1</v>
      </c>
      <c r="Z1360" s="48" t="n">
        <f aca="false">IF(A1360="","",IF(AND(Parameter!$B$21="Ja",ISNUMBER(W1360)),W1360,IF(BZ1360="2+3",IF(ISNUMBER(SEARCH("grosser Artikel",BR1360)),2,IFERROR(VLOOKUP(BU1360,Parameter!$F$35:$G$64,2,0),2)),IF(OR(BZ1360="Nein",BZ1360=""),"-",BZ1360))))</f>
        <v>1</v>
      </c>
      <c r="AA1360" s="55"/>
      <c r="AB1360" s="56"/>
      <c r="AC1360" s="50" t="n">
        <f aca="false">AT1360</f>
        <v>1</v>
      </c>
      <c r="AD1360" s="50" t="n">
        <f aca="false">MAX(AT1360,H1360)</f>
        <v>1</v>
      </c>
      <c r="AE1360" s="57"/>
      <c r="AF1360" s="50" t="n">
        <f aca="false">IF(LEFT(Cockpit!$C$5,1)="A",H1360,IF(CE1360=1,CF1360,IF(LEFT(Cockpit!$C$5,1)="B",AK1360,MAX(AK1360,H1360))))</f>
        <v>1</v>
      </c>
      <c r="AG1360" s="50" t="n">
        <f aca="false">IF(BW1360=1,0,ROUNDUP(AF1360/BV1360,0))</f>
        <v>0</v>
      </c>
      <c r="AH1360" s="52" t="n">
        <f aca="false">IF(CL1360&gt;0,CL1360*MAX(1,AF1360/X1360),IF(BW1360=1,IF(AF1360&lt;=0,0,CA1360*MAX(1,IF(H1360&gt;0,AF1360/H1360,1))),IF(R1360&gt;0,AG1360/R1360,0))/MAX(0.1,N(Parameter!$M$21)))</f>
        <v>0.0800376647834275</v>
      </c>
      <c r="AI1360" s="50" t="n">
        <f aca="false">AH1360*BY1360</f>
        <v>19.0489642184557</v>
      </c>
      <c r="AJ1360" s="50" t="n">
        <f aca="false">AF1360*G1360</f>
        <v>2326.66</v>
      </c>
      <c r="AK1360" s="50" t="n">
        <f aca="false">ROUNDUP(MAX(J1360/IF(CD1360&gt;0,CD1360,MAX(0.1,N(Cockpit!$C$6))),CG1360)/BV1360,0)*BV1360</f>
        <v>1</v>
      </c>
      <c r="AL1360" s="51" t="n">
        <f aca="false">IF(AI1360&gt;0,J1360/AI1360,-1)</f>
        <v>0</v>
      </c>
      <c r="AM1360" s="51" t="n">
        <f aca="false">IF(AND(OR(CC1360="L1",CC1360="L23",CC1360="LIFT"),AI1360&gt;0),SUMIFS($AI$7:$AI$1843,$CC$7:$CC$1843,CC1360,$AL$7:$AL$1843,"&gt;"&amp;AL1360)+SUMIFS($AI$7:$AI$1843,$CC$7:$CC$1843,CC1360,$AL$7:$AL$1843,AL1360,$BT$7:$BT$1843,"&lt;="&amp;BT1360),"")</f>
        <v>29690.205441216</v>
      </c>
      <c r="AN1360" s="58" t="n">
        <f aca="false">IF(AM1360="",0,MAX(0,MIN(1,(IF(CC1360="L1",Parameter!$H$5,IF(CC1360="L23",Parameter!$H$6+Parameter!$H$7,Parameter!$H$5+Parameter!$H$6+Parameter!$H$7))-(AM1360-AI1360))/AI1360)))</f>
        <v>1</v>
      </c>
      <c r="AO1360" s="50" t="n">
        <f aca="false">IF(LEFT(Cockpit!$I$5,1)="A",H1360,IF(CE1360=1,CF1360,IF(LEFT(Cockpit!$I$5,1)="B",AT1360,MAX(AT1360,H1360))))</f>
        <v>1</v>
      </c>
      <c r="AP1360" s="50" t="n">
        <f aca="false">IF(BW1360=1,0,ROUNDUP(AO1360/BV1360,0))</f>
        <v>0</v>
      </c>
      <c r="AQ1360" s="52" t="n">
        <f aca="false">IF(CL1360&gt;0,CL1360*MAX(1,AO1360/X1360),IF(BW1360=1,IF(AO1360&lt;=0,0,CA1360*MAX(1,IF(H1360&gt;0,AO1360/H1360,1))),IF(R1360&gt;0,AP1360/R1360,0))/MAX(0.1,N(Parameter!$M$21)))</f>
        <v>0.0800376647834275</v>
      </c>
      <c r="AR1360" s="50" t="n">
        <f aca="false">AQ1360*BY1360</f>
        <v>19.0489642184557</v>
      </c>
      <c r="AS1360" s="50" t="n">
        <f aca="false">AO1360*G1360</f>
        <v>2326.66</v>
      </c>
      <c r="AT1360" s="50" t="n">
        <f aca="false">ROUNDUP(MAX(J1360/IF(CD1360&gt;0,CD1360,MAX(0.1,N(Cockpit!$I$6))),CG1360)/BV1360,0)*BV1360</f>
        <v>1</v>
      </c>
      <c r="AU1360" s="51" t="n">
        <f aca="false">IF(AR1360&gt;0,J1360/AR1360,-1)</f>
        <v>0</v>
      </c>
      <c r="AV1360" s="51" t="n">
        <f aca="false">IF(AND(OR(CC1360="L1",CC1360="L23",CC1360="LIFT"),AR1360&gt;0),SUMIFS($AR$7:$AR$1843,$CC$7:$CC$1843,CC1360,$AU$7:$AU$1843,"&gt;"&amp;AU1360)+SUMIFS($AR$7:$AR$1843,$CC$7:$CC$1843,CC1360,$AU$7:$AU$1843,AU1360,$BT$7:$BT$1843,"&lt;="&amp;BT1360),"")</f>
        <v>41899.3943833944</v>
      </c>
      <c r="AW1360" s="58" t="n">
        <f aca="false">IF(AV1360="",0,MAX(0,MIN(1,(IF(CC1360="L1",Parameter!$H$5,IF(CC1360="L23",Parameter!$H$6+Parameter!$H$7,Parameter!$H$5+Parameter!$H$6+Parameter!$H$7))-(AV1360-AR1360))/AR1360)))</f>
        <v>0</v>
      </c>
      <c r="AX1360" s="50" t="n">
        <f aca="false">IF(LEFT(Cockpit!$O$5,1)="A",H1360,IF(CE1360=1,CF1360,IF(LEFT(Cockpit!$O$5,1)="B",BC1360,MAX(BC1360,H1360))))</f>
        <v>1</v>
      </c>
      <c r="AY1360" s="50" t="n">
        <f aca="false">IF(BW1360=1,0,ROUNDUP(AX1360/BV1360,0))</f>
        <v>0</v>
      </c>
      <c r="AZ1360" s="52" t="n">
        <f aca="false">IF(CL1360&gt;0,CL1360*MAX(1,AX1360/X1360),IF(BW1360=1,IF(AX1360&lt;=0,0,CA1360*MAX(1,IF(H1360&gt;0,AX1360/H1360,1))),IF(R1360&gt;0,AY1360/R1360,0))/MAX(0.1,N(Parameter!$M$21)))</f>
        <v>0.0800376647834275</v>
      </c>
      <c r="BA1360" s="50" t="n">
        <f aca="false">AZ1360*BY1360</f>
        <v>19.0489642184557</v>
      </c>
      <c r="BB1360" s="50" t="n">
        <f aca="false">AX1360*G1360</f>
        <v>2326.66</v>
      </c>
      <c r="BC1360" s="50" t="n">
        <f aca="false">ROUNDUP(MAX(J1360/IF(CD1360&gt;0,CD1360,MAX(0.1,N(Cockpit!$O$6))),CG1360)/BV1360,0)*BV1360</f>
        <v>1</v>
      </c>
      <c r="BD1360" s="51" t="n">
        <f aca="false">IF(BA1360&gt;0,J1360/BA1360,-1)</f>
        <v>0</v>
      </c>
      <c r="BE1360" s="51" t="n">
        <f aca="false">IF(AND(OR(CC1360="L1",CC1360="L23",CC1360="LIFT"),BA1360&gt;0),SUMIFS($BA$7:$BA$1843,$CC$7:$CC$1843,CC1360,$BD$7:$BD$1843,"&gt;"&amp;BD1360)+SUMIFS($BA$7:$BA$1843,$CC$7:$CC$1843,CC1360,$BD$7:$BD$1843,BD1360,$BT$7:$BT$1843,"&lt;="&amp;BT1360),"")</f>
        <v>38574.4064252602</v>
      </c>
      <c r="BF1360" s="58" t="n">
        <f aca="false">IF(BE1360="",0,MAX(0,MIN(1,(IF(CC1360="L1",Parameter!$H$5,IF(CC1360="L23",Parameter!$H$6+Parameter!$H$7,Parameter!$H$5+Parameter!$H$6+Parameter!$H$7))-(BE1360-BA1360))/BA1360)))</f>
        <v>0</v>
      </c>
      <c r="BG1360" s="48" t="str">
        <f aca="false">IF(AI1360&lt;=0,"",IF(CC1360="Aussen","Aussenlager",IF(CC1360="-","Nicht im Lift",IF(AN1360&gt;=1,"Lift",IF(AN1360&lt;=0,"Aussenlager","teilweise")))))</f>
        <v>Lift</v>
      </c>
      <c r="BH1360" s="48" t="str">
        <f aca="false">IF(AR1360&lt;=0,"",IF(CC1360="Aussen","Aussenlager",IF(CC1360="-","Nicht im Lift",IF(AW1360&gt;=1,"Lift",IF(AW1360&lt;=0,"Aussenlager","teilweise")))))</f>
        <v>Aussenlager</v>
      </c>
      <c r="BI1360" s="48" t="str">
        <f aca="false">IF(BA1360&lt;=0,"",IF(CC1360="Aussen","Aussenlager",IF(CC1360="-","Nicht im Lift",IF(BF1360&gt;=1,"Lift",IF(BF1360&lt;=0,"Aussenlager","teilweise")))))</f>
        <v>Aussenlager</v>
      </c>
      <c r="BJ1360" s="48" t="str">
        <f aca="false">IF(A1360="","",IF(BS1360=1,"Neu; ","")&amp;IF(AND(BS1360=0,BN1360&lt;0),"negativer Bestand (Export "&amp;BN1360&amp;"); ","")&amp;IF(J1360&lt;=0,"Kein Verbrauch; ","")&amp;IF(CL1360&gt;0,"Lift "&amp;W1360&amp;" lt. Liftbericht (Fach "&amp;X1360&amp;" Stk); ",IF(BX1360=1,"Gebinde geschätzt ("&amp;T1360&amp;"); ",IF(BW1360=1,"Lose – Tablare geschätzt; ","")))&amp;IF(H1360&gt;AT1360,"Überbestand "&amp;ROUND(H1360-AT1360,0)&amp;" Stk / CHF "&amp;ROUND((H1360-AT1360)*G1360,0)&amp;"; ","")&amp;IF(AND(CE1360=1,CF1360&lt;CG1360),"MAX &lt; MB+LG; ","")&amp;IF(AND(CK1360&gt;0,CJ1360*10&gt;CK1360),"zu hoch für Tablar; ","")&amp;IF(AND(BS1360=0,OR(CE1360=1,AA1360&lt;&gt;"",U1360&lt;&gt;"",V1360&lt;&gt;"",AB1360&lt;&gt;"")),"manuell übersteuert; ","")&amp;IF(AND(BW1360=0,R1360=0),"Gebinde unbekannt / Stellmass fehlt; ","")&amp;IF(AND(BW1360=0,N(V1360)&lt;=0,N(Q1360)&lt;=0),"Menge pro Gebinde fehlt (Ist = 1 Gebinde); ","")&amp;BR1360)</f>
        <v>negativer Bestand (Export -1); Kein Verbrauch; Lift 1 lt. Liftbericht (Fach 1 Stk); Standartdüse</v>
      </c>
      <c r="BK1360" s="48"/>
      <c r="BL1360" s="48"/>
      <c r="BM1360" s="55"/>
      <c r="BN1360" s="50" t="n">
        <v>-1</v>
      </c>
      <c r="BO1360" s="50" t="n">
        <v>10</v>
      </c>
      <c r="BP1360" s="49" t="n">
        <v>-2326.66</v>
      </c>
      <c r="BQ1360" s="50" t="n">
        <v>0</v>
      </c>
      <c r="BR1360" s="48" t="s">
        <v>2402</v>
      </c>
      <c r="BS1360" s="53" t="n">
        <v>0</v>
      </c>
      <c r="BT1360" s="53" t="n">
        <v>1360</v>
      </c>
      <c r="BU1360" s="48" t="str">
        <f aca="false">IF(U1360&lt;&gt;"",UPPER(TRIM(U1360)),IF(BX1360=1,UPPER(VLOOKUP(T1360,Parameter!$I$27:$K$29,2,0)),IF(P1360="","LOSE",P1360)))</f>
        <v>LOSE</v>
      </c>
      <c r="BV1360" s="50" t="n">
        <f aca="false">IF(BU1360="LOSE",1,IF(N(V1360)&gt;0,V1360,IF(BX1360=1,MAX(1,N(VLOOKUP(T1360,Parameter!$I$27:$K$29,3,0)),H1360,N(N1360)),IF(N(Q1360)&gt;0,Q1360,MAX(1,H1360)))))</f>
        <v>1</v>
      </c>
      <c r="BW1360" s="53" t="n">
        <f aca="false">IF(BU1360="LOSE",1,0)</f>
        <v>1</v>
      </c>
      <c r="BX1360" s="53" t="n">
        <f aca="false">IF(AND(U1360="",OR(P1360="",P1360="LOSE"),T1360&lt;&gt;"",N(S1360)&lt;=0,ISNUMBER(MATCH(T1360,Parameter!$I$27:$I$29,0))),1,0)</f>
        <v>0</v>
      </c>
      <c r="BY1360" s="53" t="n">
        <f aca="false">IF(CL1360&gt;0,INDEX(Parameter!$H$5:$H$7,W1360)/INDEX(Parameter!$E$5:$E$7,W1360),IF(AND(BW1360=0,N(IFERROR(VLOOKUP(BU1360,'Gebinde-Kategorie'!$A$5:$N$45,14,0),0))&gt;0),VLOOKUP(BU1360,'Gebinde-Kategorie'!$A$5:$N$45,14,0)*10+Parameter!$M$23,Parameter!$M$24))</f>
        <v>238</v>
      </c>
      <c r="BZ1360" s="48" t="n">
        <f aca="false">IF(AND(Parameter!$B$19="Ja",E1360&lt;&gt;"",ISNUMBER(MATCH(E1360,Parameter!$I$35:$I$52,0))),VLOOKUP(E1360,Parameter!$I$35:$J$52,2,0),IFERROR(VLOOKUP(D1360,Parameter!$A$35:$C$64,2,0),"Nein"))</f>
        <v>1</v>
      </c>
      <c r="CA1360" s="52" t="n">
        <f aca="false">IF(BW1360=0,0,IF(N(S1360)&gt;0,S1360,IFERROR(VLOOKUP(D1360,Parameter!$A$35:$C$64,3,0)+0,0)))</f>
        <v>0.15</v>
      </c>
      <c r="CB1360" s="48" t="n">
        <f aca="false">IF(AA1360&lt;&gt;"",AA1360,Z1360)</f>
        <v>1</v>
      </c>
      <c r="CC1360" s="48" t="str">
        <f aca="false">IF(OR(CB1360=1,CB1360=2,CB1360=3),IF(Parameter!$E$27="Ja","LIFT",IF(CB1360=1,"L1","L23")),IF(CB1360="Aussen","Aussen","-"))</f>
        <v>LIFT</v>
      </c>
      <c r="CD1360" s="59" t="n">
        <f aca="false">IF(N(AB1360)&gt;0,AB1360,0)</f>
        <v>0</v>
      </c>
      <c r="CE1360" s="53" t="n">
        <f aca="false">IF(ISNUMBER(AE1360),1,0)</f>
        <v>0</v>
      </c>
      <c r="CF1360" s="50" t="n">
        <f aca="false">N(AE1360)</f>
        <v>0</v>
      </c>
      <c r="CG1360" s="50" t="n">
        <f aca="false">N(M1360)+N(N1360)</f>
        <v>1</v>
      </c>
      <c r="CH1360" s="50" t="n">
        <f aca="false">ROUNDUP(H1360/BV1360,0)</f>
        <v>1</v>
      </c>
      <c r="CI1360" s="50" t="n">
        <f aca="false">ROUNDUP(CF1360/BV1360,0)</f>
        <v>0</v>
      </c>
      <c r="CJ1360" s="53" t="n">
        <f aca="false">IF(BW1360=1,0,IFERROR(VLOOKUP(BU1360,'Gebinde-Kategorie'!$A$5:$N$45,5,0)+0,0))</f>
        <v>0</v>
      </c>
      <c r="CK1360" s="53" t="n">
        <f aca="false">IFERROR(IF(OR(CB1360=1,CB1360=2,CB1360=3),N(INDEX(Parameter!$I$5:$I$7,CB1360)),0),0)</f>
        <v>0</v>
      </c>
      <c r="CL1360" s="52" t="n">
        <f aca="false">IF(AND(Parameter!$B$21="Ja",ISNUMBER(W1360),N(X1360)&gt;0),IFERROR(N(INDEX(Parameter!$L$5:$L$7,W1360))*INDEX(Parameter!$E$5:$E$7,W1360)*X1360/SUMIFS($X$7:$X$1843,$W$7:$W$1843,W1360),0),0)</f>
        <v>0.0800376647834275</v>
      </c>
    </row>
    <row r="1361" customFormat="false" ht="15" hidden="false" customHeight="false" outlineLevel="0" collapsed="false">
      <c r="A1361" s="48" t="s">
        <v>2403</v>
      </c>
      <c r="B1361" s="48" t="s">
        <v>602</v>
      </c>
      <c r="C1361" s="48" t="s">
        <v>168</v>
      </c>
      <c r="D1361" s="48" t="s">
        <v>188</v>
      </c>
      <c r="E1361" s="48" t="s">
        <v>189</v>
      </c>
      <c r="F1361" s="48" t="s">
        <v>222</v>
      </c>
      <c r="G1361" s="49" t="n">
        <v>18.95</v>
      </c>
      <c r="H1361" s="50" t="n">
        <f aca="false">MAX(0,IF(AND(Parameter!$B$21="Ja",ISNUMBER(Y1361)),Y1361,IF(Parameter!$B$20="Jahresanfang 2025 + Export",BO1361+BN1361,BN1361)))</f>
        <v>50</v>
      </c>
      <c r="I1361" s="50" t="n">
        <f aca="false">H1361*G1361</f>
        <v>947.5</v>
      </c>
      <c r="J1361" s="50" t="n">
        <f aca="false">BQ1361*Parameter!$B$18</f>
        <v>82</v>
      </c>
      <c r="K1361" s="51" t="n">
        <v>133</v>
      </c>
      <c r="L1361" s="52" t="n">
        <v>0.616541353383459</v>
      </c>
      <c r="M1361" s="50" t="n">
        <v>3</v>
      </c>
      <c r="N1361" s="50" t="n">
        <v>90</v>
      </c>
      <c r="O1361" s="53" t="n">
        <v>14</v>
      </c>
      <c r="P1361" s="48" t="s">
        <v>306</v>
      </c>
      <c r="Q1361" s="50" t="n">
        <v>123</v>
      </c>
      <c r="R1361" s="53" t="n">
        <f aca="false">IF(BW1361=1,0,IFERROR(VLOOKUP(BU1361,'Gebinde-Kategorie'!$A$5:$N$45,13,0)+0,0))</f>
        <v>26</v>
      </c>
      <c r="S1361" s="54"/>
      <c r="T1361" s="55"/>
      <c r="U1361" s="55"/>
      <c r="V1361" s="55"/>
      <c r="W1361" s="48"/>
      <c r="X1361" s="50"/>
      <c r="Y1361" s="50"/>
      <c r="Z1361" s="48" t="n">
        <f aca="false">IF(A1361="","",IF(AND(Parameter!$B$21="Ja",ISNUMBER(W1361)),W1361,IF(BZ1361="2+3",IF(ISNUMBER(SEARCH("grosser Artikel",BR1361)),2,IFERROR(VLOOKUP(BU1361,Parameter!$F$35:$G$64,2,0),2)),IF(OR(BZ1361="Nein",BZ1361=""),"-",BZ1361))))</f>
        <v>3</v>
      </c>
      <c r="AA1361" s="55"/>
      <c r="AB1361" s="56"/>
      <c r="AC1361" s="50" t="n">
        <f aca="false">AT1361</f>
        <v>123</v>
      </c>
      <c r="AD1361" s="50" t="n">
        <f aca="false">MAX(AT1361,H1361)</f>
        <v>123</v>
      </c>
      <c r="AE1361" s="57"/>
      <c r="AF1361" s="50" t="n">
        <f aca="false">IF(LEFT(Cockpit!$C$5,1)="A",H1361,IF(CE1361=1,CF1361,IF(LEFT(Cockpit!$C$5,1)="B",AK1361,MAX(AK1361,H1361))))</f>
        <v>50</v>
      </c>
      <c r="AG1361" s="50" t="n">
        <f aca="false">IF(BW1361=1,0,ROUNDUP(AF1361/BV1361,0))</f>
        <v>1</v>
      </c>
      <c r="AH1361" s="52" t="n">
        <f aca="false">IF(CL1361&gt;0,CL1361*MAX(1,AF1361/X1361),IF(BW1361=1,IF(AF1361&lt;=0,0,CA1361*MAX(1,IF(H1361&gt;0,AF1361/H1361,1))),IF(R1361&gt;0,AG1361/R1361,0))/MAX(0.1,N(Parameter!$M$21)))</f>
        <v>0.0384615384615385</v>
      </c>
      <c r="AI1361" s="50" t="n">
        <f aca="false">AH1361*BY1361</f>
        <v>5.96153846153846</v>
      </c>
      <c r="AJ1361" s="50" t="n">
        <f aca="false">AF1361*G1361</f>
        <v>947.5</v>
      </c>
      <c r="AK1361" s="50" t="n">
        <f aca="false">ROUNDUP(MAX(J1361/IF(CD1361&gt;0,CD1361,MAX(0.1,N(Cockpit!$C$6))),CG1361)/BV1361,0)*BV1361</f>
        <v>123</v>
      </c>
      <c r="AL1361" s="51" t="n">
        <f aca="false">IF(AI1361&gt;0,J1361/AI1361,-1)</f>
        <v>13.7548387096774</v>
      </c>
      <c r="AM1361" s="51" t="n">
        <f aca="false">IF(AND(OR(CC1361="L1",CC1361="L23",CC1361="LIFT"),AI1361&gt;0),SUMIFS($AI$7:$AI$1843,$CC$7:$CC$1843,CC1361,$AL$7:$AL$1843,"&gt;"&amp;AL1361)+SUMIFS($AI$7:$AI$1843,$CC$7:$CC$1843,CC1361,$AL$7:$AL$1843,AL1361,$BT$7:$BT$1843,"&lt;="&amp;BT1361),"")</f>
        <v>2231.61263736264</v>
      </c>
      <c r="AN1361" s="58" t="n">
        <f aca="false">IF(AM1361="",0,MAX(0,MIN(1,(IF(CC1361="L1",Parameter!$H$5,IF(CC1361="L23",Parameter!$H$6+Parameter!$H$7,Parameter!$H$5+Parameter!$H$6+Parameter!$H$7))-(AM1361-AI1361))/AI1361)))</f>
        <v>1</v>
      </c>
      <c r="AO1361" s="50" t="n">
        <f aca="false">IF(LEFT(Cockpit!$I$5,1)="A",H1361,IF(CE1361=1,CF1361,IF(LEFT(Cockpit!$I$5,1)="B",AT1361,MAX(AT1361,H1361))))</f>
        <v>123</v>
      </c>
      <c r="AP1361" s="50" t="n">
        <f aca="false">IF(BW1361=1,0,ROUNDUP(AO1361/BV1361,0))</f>
        <v>1</v>
      </c>
      <c r="AQ1361" s="52" t="n">
        <f aca="false">IF(CL1361&gt;0,CL1361*MAX(1,AO1361/X1361),IF(BW1361=1,IF(AO1361&lt;=0,0,CA1361*MAX(1,IF(H1361&gt;0,AO1361/H1361,1))),IF(R1361&gt;0,AP1361/R1361,0))/MAX(0.1,N(Parameter!$M$21)))</f>
        <v>0.0384615384615385</v>
      </c>
      <c r="AR1361" s="50" t="n">
        <f aca="false">AQ1361*BY1361</f>
        <v>5.96153846153846</v>
      </c>
      <c r="AS1361" s="50" t="n">
        <f aca="false">AO1361*G1361</f>
        <v>2330.85</v>
      </c>
      <c r="AT1361" s="50" t="n">
        <f aca="false">ROUNDUP(MAX(J1361/IF(CD1361&gt;0,CD1361,MAX(0.1,N(Cockpit!$I$6))),CG1361)/BV1361,0)*BV1361</f>
        <v>123</v>
      </c>
      <c r="AU1361" s="51" t="n">
        <f aca="false">IF(AR1361&gt;0,J1361/AR1361,-1)</f>
        <v>13.7548387096774</v>
      </c>
      <c r="AV1361" s="51" t="n">
        <f aca="false">IF(AND(OR(CC1361="L1",CC1361="L23",CC1361="LIFT"),AR1361&gt;0),SUMIFS($AR$7:$AR$1843,$CC$7:$CC$1843,CC1361,$AU$7:$AU$1843,"&gt;"&amp;AU1361)+SUMIFS($AR$7:$AR$1843,$CC$7:$CC$1843,CC1361,$AU$7:$AU$1843,AU1361,$BT$7:$BT$1843,"&lt;="&amp;BT1361),"")</f>
        <v>3439.97847985348</v>
      </c>
      <c r="AW1361" s="58" t="n">
        <f aca="false">IF(AV1361="",0,MAX(0,MIN(1,(IF(CC1361="L1",Parameter!$H$5,IF(CC1361="L23",Parameter!$H$6+Parameter!$H$7,Parameter!$H$5+Parameter!$H$6+Parameter!$H$7))-(AV1361-AR1361))/AR1361)))</f>
        <v>1</v>
      </c>
      <c r="AX1361" s="50" t="n">
        <f aca="false">IF(LEFT(Cockpit!$O$5,1)="A",H1361,IF(CE1361=1,CF1361,IF(LEFT(Cockpit!$O$5,1)="B",BC1361,MAX(BC1361,H1361))))</f>
        <v>123</v>
      </c>
      <c r="AY1361" s="50" t="n">
        <f aca="false">IF(BW1361=1,0,ROUNDUP(AX1361/BV1361,0))</f>
        <v>1</v>
      </c>
      <c r="AZ1361" s="52" t="n">
        <f aca="false">IF(CL1361&gt;0,CL1361*MAX(1,AX1361/X1361),IF(BW1361=1,IF(AX1361&lt;=0,0,CA1361*MAX(1,IF(H1361&gt;0,AX1361/H1361,1))),IF(R1361&gt;0,AY1361/R1361,0))/MAX(0.1,N(Parameter!$M$21)))</f>
        <v>0.0384615384615385</v>
      </c>
      <c r="BA1361" s="50" t="n">
        <f aca="false">AZ1361*BY1361</f>
        <v>5.96153846153846</v>
      </c>
      <c r="BB1361" s="50" t="n">
        <f aca="false">AX1361*G1361</f>
        <v>2330.85</v>
      </c>
      <c r="BC1361" s="50" t="n">
        <f aca="false">ROUNDUP(MAX(J1361/IF(CD1361&gt;0,CD1361,MAX(0.1,N(Cockpit!$O$6))),CG1361)/BV1361,0)*BV1361</f>
        <v>123</v>
      </c>
      <c r="BD1361" s="51" t="n">
        <f aca="false">IF(BA1361&gt;0,J1361/BA1361,-1)</f>
        <v>13.7548387096774</v>
      </c>
      <c r="BE1361" s="51" t="n">
        <f aca="false">IF(AND(OR(CC1361="L1",CC1361="L23",CC1361="LIFT"),BA1361&gt;0),SUMIFS($BA$7:$BA$1843,$CC$7:$CC$1843,CC1361,$BD$7:$BD$1843,"&gt;"&amp;BD1361)+SUMIFS($BA$7:$BA$1843,$CC$7:$CC$1843,CC1361,$BD$7:$BD$1843,BD1361,$BT$7:$BT$1843,"&lt;="&amp;BT1361),"")</f>
        <v>3096.53296703297</v>
      </c>
      <c r="BF1361" s="58" t="n">
        <f aca="false">IF(BE1361="",0,MAX(0,MIN(1,(IF(CC1361="L1",Parameter!$H$5,IF(CC1361="L23",Parameter!$H$6+Parameter!$H$7,Parameter!$H$5+Parameter!$H$6+Parameter!$H$7))-(BE1361-BA1361))/BA1361)))</f>
        <v>1</v>
      </c>
      <c r="BG1361" s="48" t="str">
        <f aca="false">IF(AI1361&lt;=0,"",IF(CC1361="Aussen","Aussenlager",IF(CC1361="-","Nicht im Lift",IF(AN1361&gt;=1,"Lift",IF(AN1361&lt;=0,"Aussenlager","teilweise")))))</f>
        <v>Lift</v>
      </c>
      <c r="BH1361" s="48" t="str">
        <f aca="false">IF(AR1361&lt;=0,"",IF(CC1361="Aussen","Aussenlager",IF(CC1361="-","Nicht im Lift",IF(AW1361&gt;=1,"Lift",IF(AW1361&lt;=0,"Aussenlager","teilweise")))))</f>
        <v>Lift</v>
      </c>
      <c r="BI1361" s="48" t="str">
        <f aca="false">IF(BA1361&lt;=0,"",IF(CC1361="Aussen","Aussenlager",IF(CC1361="-","Nicht im Lift",IF(BF1361&gt;=1,"Lift",IF(BF1361&lt;=0,"Aussenlager","teilweise")))))</f>
        <v>Lift</v>
      </c>
      <c r="BJ1361" s="48" t="str">
        <f aca="false">IF(A1361="","",IF(BS1361=1,"Neu; ","")&amp;IF(AND(BS1361=0,BN1361&lt;0),"negativer Bestand (Export "&amp;BN1361&amp;"); ","")&amp;IF(J1361&lt;=0,"Kein Verbrauch; ","")&amp;IF(CL1361&gt;0,"Lift "&amp;W1361&amp;" lt. Liftbericht (Fach "&amp;X1361&amp;" Stk); ",IF(BX1361=1,"Gebinde geschätzt ("&amp;T1361&amp;"); ",IF(BW1361=1,"Lose – Tablare geschätzt; ","")))&amp;IF(H1361&gt;AT1361,"Überbestand "&amp;ROUND(H1361-AT1361,0)&amp;" Stk / CHF "&amp;ROUND((H1361-AT1361)*G1361,0)&amp;"; ","")&amp;IF(AND(CE1361=1,CF1361&lt;CG1361),"MAX &lt; MB+LG; ","")&amp;IF(AND(CK1361&gt;0,CJ1361*10&gt;CK1361),"zu hoch für Tablar; ","")&amp;IF(AND(BS1361=0,OR(CE1361=1,AA1361&lt;&gt;"",U1361&lt;&gt;"",V1361&lt;&gt;"",AB1361&lt;&gt;"")),"manuell übersteuert; ","")&amp;IF(AND(BW1361=0,R1361=0),"Gebinde unbekannt / Stellmass fehlt; ","")&amp;IF(AND(BW1361=0,N(V1361)&lt;=0,N(Q1361)&lt;=0),"Menge pro Gebinde fehlt (Ist = 1 Gebinde); ","")&amp;BR1361)</f>
        <v>negativer Bestand (Export -124); </v>
      </c>
      <c r="BK1361" s="48"/>
      <c r="BL1361" s="48"/>
      <c r="BM1361" s="55"/>
      <c r="BN1361" s="50" t="n">
        <v>-124</v>
      </c>
      <c r="BO1361" s="50" t="n">
        <v>174</v>
      </c>
      <c r="BP1361" s="49" t="n">
        <v>-2349.8</v>
      </c>
      <c r="BQ1361" s="50" t="n">
        <v>82</v>
      </c>
      <c r="BR1361" s="48"/>
      <c r="BS1361" s="53" t="n">
        <v>0</v>
      </c>
      <c r="BT1361" s="53" t="n">
        <v>1361</v>
      </c>
      <c r="BU1361" s="48" t="str">
        <f aca="false">IF(U1361&lt;&gt;"",UPPER(TRIM(U1361)),IF(BX1361=1,UPPER(VLOOKUP(T1361,Parameter!$I$27:$K$29,2,0)),IF(P1361="","LOSE",P1361)))</f>
        <v>S51</v>
      </c>
      <c r="BV1361" s="50" t="n">
        <f aca="false">IF(BU1361="LOSE",1,IF(N(V1361)&gt;0,V1361,IF(BX1361=1,MAX(1,N(VLOOKUP(T1361,Parameter!$I$27:$K$29,3,0)),H1361,N(N1361)),IF(N(Q1361)&gt;0,Q1361,MAX(1,H1361)))))</f>
        <v>123</v>
      </c>
      <c r="BW1361" s="53" t="n">
        <f aca="false">IF(BU1361="LOSE",1,0)</f>
        <v>0</v>
      </c>
      <c r="BX1361" s="53" t="n">
        <f aca="false">IF(AND(U1361="",OR(P1361="",P1361="LOSE"),T1361&lt;&gt;"",N(S1361)&lt;=0,ISNUMBER(MATCH(T1361,Parameter!$I$27:$I$29,0))),1,0)</f>
        <v>0</v>
      </c>
      <c r="BY1361" s="53" t="n">
        <f aca="false">IF(CL1361&gt;0,INDEX(Parameter!$H$5:$H$7,W1361)/INDEX(Parameter!$E$5:$E$7,W1361),IF(AND(BW1361=0,N(IFERROR(VLOOKUP(BU1361,'Gebinde-Kategorie'!$A$5:$N$45,14,0),0))&gt;0),VLOOKUP(BU1361,'Gebinde-Kategorie'!$A$5:$N$45,14,0)*10+Parameter!$M$23,Parameter!$M$24))</f>
        <v>155</v>
      </c>
      <c r="BZ1361" s="48" t="str">
        <f aca="false">IF(AND(Parameter!$B$19="Ja",E1361&lt;&gt;"",ISNUMBER(MATCH(E1361,Parameter!$I$35:$I$52,0))),VLOOKUP(E1361,Parameter!$I$35:$J$52,2,0),IFERROR(VLOOKUP(D1361,Parameter!$A$35:$C$64,2,0),"Nein"))</f>
        <v>2+3</v>
      </c>
      <c r="CA1361" s="52" t="n">
        <f aca="false">IF(BW1361=0,0,IF(N(S1361)&gt;0,S1361,IFERROR(VLOOKUP(D1361,Parameter!$A$35:$C$64,3,0)+0,0)))</f>
        <v>0</v>
      </c>
      <c r="CB1361" s="48" t="n">
        <f aca="false">IF(AA1361&lt;&gt;"",AA1361,Z1361)</f>
        <v>3</v>
      </c>
      <c r="CC1361" s="48" t="str">
        <f aca="false">IF(OR(CB1361=1,CB1361=2,CB1361=3),IF(Parameter!$E$27="Ja","LIFT",IF(CB1361=1,"L1","L23")),IF(CB1361="Aussen","Aussen","-"))</f>
        <v>LIFT</v>
      </c>
      <c r="CD1361" s="59" t="n">
        <f aca="false">IF(N(AB1361)&gt;0,AB1361,0)</f>
        <v>0</v>
      </c>
      <c r="CE1361" s="53" t="n">
        <f aca="false">IF(ISNUMBER(AE1361),1,0)</f>
        <v>0</v>
      </c>
      <c r="CF1361" s="50" t="n">
        <f aca="false">N(AE1361)</f>
        <v>0</v>
      </c>
      <c r="CG1361" s="50" t="n">
        <f aca="false">N(M1361)+N(N1361)</f>
        <v>93</v>
      </c>
      <c r="CH1361" s="50" t="n">
        <f aca="false">ROUNDUP(H1361/BV1361,0)</f>
        <v>1</v>
      </c>
      <c r="CI1361" s="50" t="n">
        <f aca="false">ROUNDUP(CF1361/BV1361,0)</f>
        <v>0</v>
      </c>
      <c r="CJ1361" s="53" t="n">
        <f aca="false">IF(BW1361=1,0,IFERROR(VLOOKUP(BU1361,'Gebinde-Kategorie'!$A$5:$N$45,5,0)+0,0))</f>
        <v>11</v>
      </c>
      <c r="CK1361" s="53" t="n">
        <f aca="false">IFERROR(IF(OR(CB1361=1,CB1361=2,CB1361=3),N(INDEX(Parameter!$I$5:$I$7,CB1361)),0),0)</f>
        <v>0</v>
      </c>
      <c r="CL1361" s="52" t="n">
        <f aca="false">IF(AND(Parameter!$B$21="Ja",ISNUMBER(W1361),N(X1361)&gt;0),IFERROR(N(INDEX(Parameter!$L$5:$L$7,W1361))*INDEX(Parameter!$E$5:$E$7,W1361)*X1361/SUMIFS($X$7:$X$1843,$W$7:$W$1843,W1361),0),0)</f>
        <v>0</v>
      </c>
    </row>
    <row r="1362" customFormat="false" ht="15" hidden="false" customHeight="false" outlineLevel="0" collapsed="false">
      <c r="A1362" s="48" t="s">
        <v>2404</v>
      </c>
      <c r="B1362" s="48" t="s">
        <v>584</v>
      </c>
      <c r="C1362" s="48" t="s">
        <v>168</v>
      </c>
      <c r="D1362" s="48" t="s">
        <v>177</v>
      </c>
      <c r="E1362" s="48" t="s">
        <v>170</v>
      </c>
      <c r="F1362" s="48" t="s">
        <v>222</v>
      </c>
      <c r="G1362" s="49" t="n">
        <v>133.49</v>
      </c>
      <c r="H1362" s="50" t="n">
        <f aca="false">MAX(0,IF(AND(Parameter!$B$21="Ja",ISNUMBER(Y1362)),Y1362,IF(Parameter!$B$20="Jahresanfang 2025 + Export",BO1362+BN1362,BN1362)))</f>
        <v>18</v>
      </c>
      <c r="I1362" s="50" t="n">
        <f aca="false">H1362*G1362</f>
        <v>2402.82</v>
      </c>
      <c r="J1362" s="50" t="n">
        <f aca="false">BQ1362*Parameter!$B$18</f>
        <v>69</v>
      </c>
      <c r="K1362" s="51" t="n">
        <v>26</v>
      </c>
      <c r="L1362" s="52" t="n">
        <v>2.65384615384615</v>
      </c>
      <c r="M1362" s="50" t="n">
        <v>4</v>
      </c>
      <c r="N1362" s="50" t="n">
        <v>35</v>
      </c>
      <c r="O1362" s="53" t="n">
        <v>21</v>
      </c>
      <c r="P1362" s="48" t="s">
        <v>178</v>
      </c>
      <c r="Q1362" s="50" t="n">
        <v>35</v>
      </c>
      <c r="R1362" s="53" t="n">
        <f aca="false">IF(BW1362=1,0,IFERROR(VLOOKUP(BU1362,'Gebinde-Kategorie'!$A$5:$N$45,13,0)+0,0))</f>
        <v>6</v>
      </c>
      <c r="S1362" s="54"/>
      <c r="T1362" s="55"/>
      <c r="U1362" s="55"/>
      <c r="V1362" s="55"/>
      <c r="W1362" s="48"/>
      <c r="X1362" s="50"/>
      <c r="Y1362" s="50"/>
      <c r="Z1362" s="48" t="n">
        <f aca="false">IF(A1362="","",IF(AND(Parameter!$B$21="Ja",ISNUMBER(W1362)),W1362,IF(BZ1362="2+3",IF(ISNUMBER(SEARCH("grosser Artikel",BR1362)),2,IFERROR(VLOOKUP(BU1362,Parameter!$F$35:$G$64,2,0),2)),IF(OR(BZ1362="Nein",BZ1362=""),"-",BZ1362))))</f>
        <v>1</v>
      </c>
      <c r="AA1362" s="55"/>
      <c r="AB1362" s="56"/>
      <c r="AC1362" s="50" t="n">
        <f aca="false">AT1362</f>
        <v>70</v>
      </c>
      <c r="AD1362" s="50" t="n">
        <f aca="false">MAX(AT1362,H1362)</f>
        <v>70</v>
      </c>
      <c r="AE1362" s="57"/>
      <c r="AF1362" s="50" t="n">
        <f aca="false">IF(LEFT(Cockpit!$C$5,1)="A",H1362,IF(CE1362=1,CF1362,IF(LEFT(Cockpit!$C$5,1)="B",AK1362,MAX(AK1362,H1362))))</f>
        <v>18</v>
      </c>
      <c r="AG1362" s="50" t="n">
        <f aca="false">IF(BW1362=1,0,ROUNDUP(AF1362/BV1362,0))</f>
        <v>1</v>
      </c>
      <c r="AH1362" s="52" t="n">
        <f aca="false">IF(CL1362&gt;0,CL1362*MAX(1,AF1362/X1362),IF(BW1362=1,IF(AF1362&lt;=0,0,CA1362*MAX(1,IF(H1362&gt;0,AF1362/H1362,1))),IF(R1362&gt;0,AG1362/R1362,0))/MAX(0.1,N(Parameter!$M$21)))</f>
        <v>0.166666666666667</v>
      </c>
      <c r="AI1362" s="50" t="n">
        <f aca="false">AH1362*BY1362</f>
        <v>39.1666666666667</v>
      </c>
      <c r="AJ1362" s="50" t="n">
        <f aca="false">AF1362*G1362</f>
        <v>2402.82</v>
      </c>
      <c r="AK1362" s="50" t="n">
        <f aca="false">ROUNDUP(MAX(J1362/IF(CD1362&gt;0,CD1362,MAX(0.1,N(Cockpit!$C$6))),CG1362)/BV1362,0)*BV1362</f>
        <v>70</v>
      </c>
      <c r="AL1362" s="51" t="n">
        <f aca="false">IF(AI1362&gt;0,J1362/AI1362,-1)</f>
        <v>1.76170212765957</v>
      </c>
      <c r="AM1362" s="51" t="n">
        <f aca="false">IF(AND(OR(CC1362="L1",CC1362="L23",CC1362="LIFT"),AI1362&gt;0),SUMIFS($AI$7:$AI$1843,$CC$7:$CC$1843,CC1362,$AL$7:$AL$1843,"&gt;"&amp;AL1362)+SUMIFS($AI$7:$AI$1843,$CC$7:$CC$1843,CC1362,$AL$7:$AL$1843,AL1362,$BT$7:$BT$1843,"&lt;="&amp;BT1362),"")</f>
        <v>6006.72481684982</v>
      </c>
      <c r="AN1362" s="58" t="n">
        <f aca="false">IF(AM1362="",0,MAX(0,MIN(1,(IF(CC1362="L1",Parameter!$H$5,IF(CC1362="L23",Parameter!$H$6+Parameter!$H$7,Parameter!$H$5+Parameter!$H$6+Parameter!$H$7))-(AM1362-AI1362))/AI1362)))</f>
        <v>1</v>
      </c>
      <c r="AO1362" s="50" t="n">
        <f aca="false">IF(LEFT(Cockpit!$I$5,1)="A",H1362,IF(CE1362=1,CF1362,IF(LEFT(Cockpit!$I$5,1)="B",AT1362,MAX(AT1362,H1362))))</f>
        <v>70</v>
      </c>
      <c r="AP1362" s="50" t="n">
        <f aca="false">IF(BW1362=1,0,ROUNDUP(AO1362/BV1362,0))</f>
        <v>2</v>
      </c>
      <c r="AQ1362" s="52" t="n">
        <f aca="false">IF(CL1362&gt;0,CL1362*MAX(1,AO1362/X1362),IF(BW1362=1,IF(AO1362&lt;=0,0,CA1362*MAX(1,IF(H1362&gt;0,AO1362/H1362,1))),IF(R1362&gt;0,AP1362/R1362,0))/MAX(0.1,N(Parameter!$M$21)))</f>
        <v>0.333333333333333</v>
      </c>
      <c r="AR1362" s="50" t="n">
        <f aca="false">AQ1362*BY1362</f>
        <v>78.3333333333333</v>
      </c>
      <c r="AS1362" s="50" t="n">
        <f aca="false">AO1362*G1362</f>
        <v>9344.3</v>
      </c>
      <c r="AT1362" s="50" t="n">
        <f aca="false">ROUNDUP(MAX(J1362/IF(CD1362&gt;0,CD1362,MAX(0.1,N(Cockpit!$I$6))),CG1362)/BV1362,0)*BV1362</f>
        <v>70</v>
      </c>
      <c r="AU1362" s="51" t="n">
        <f aca="false">IF(AR1362&gt;0,J1362/AR1362,-1)</f>
        <v>0.880851063829787</v>
      </c>
      <c r="AV1362" s="51" t="n">
        <f aca="false">IF(AND(OR(CC1362="L1",CC1362="L23",CC1362="LIFT"),AR1362&gt;0),SUMIFS($AR$7:$AR$1843,$CC$7:$CC$1843,CC1362,$AU$7:$AU$1843,"&gt;"&amp;AU1362)+SUMIFS($AR$7:$AR$1843,$CC$7:$CC$1843,CC1362,$AU$7:$AU$1843,AU1362,$BT$7:$BT$1843,"&lt;="&amp;BT1362),"")</f>
        <v>10841.119047619</v>
      </c>
      <c r="AW1362" s="58" t="n">
        <f aca="false">IF(AV1362="",0,MAX(0,MIN(1,(IF(CC1362="L1",Parameter!$H$5,IF(CC1362="L23",Parameter!$H$6+Parameter!$H$7,Parameter!$H$5+Parameter!$H$6+Parameter!$H$7))-(AV1362-AR1362))/AR1362)))</f>
        <v>1</v>
      </c>
      <c r="AX1362" s="50" t="n">
        <f aca="false">IF(LEFT(Cockpit!$O$5,1)="A",H1362,IF(CE1362=1,CF1362,IF(LEFT(Cockpit!$O$5,1)="B",BC1362,MAX(BC1362,H1362))))</f>
        <v>70</v>
      </c>
      <c r="AY1362" s="50" t="n">
        <f aca="false">IF(BW1362=1,0,ROUNDUP(AX1362/BV1362,0))</f>
        <v>2</v>
      </c>
      <c r="AZ1362" s="52" t="n">
        <f aca="false">IF(CL1362&gt;0,CL1362*MAX(1,AX1362/X1362),IF(BW1362=1,IF(AX1362&lt;=0,0,CA1362*MAX(1,IF(H1362&gt;0,AX1362/H1362,1))),IF(R1362&gt;0,AY1362/R1362,0))/MAX(0.1,N(Parameter!$M$21)))</f>
        <v>0.333333333333333</v>
      </c>
      <c r="BA1362" s="50" t="n">
        <f aca="false">AZ1362*BY1362</f>
        <v>78.3333333333333</v>
      </c>
      <c r="BB1362" s="50" t="n">
        <f aca="false">AX1362*G1362</f>
        <v>9344.3</v>
      </c>
      <c r="BC1362" s="50" t="n">
        <f aca="false">ROUNDUP(MAX(J1362/IF(CD1362&gt;0,CD1362,MAX(0.1,N(Cockpit!$O$6))),CG1362)/BV1362,0)*BV1362</f>
        <v>70</v>
      </c>
      <c r="BD1362" s="51" t="n">
        <f aca="false">IF(BA1362&gt;0,J1362/BA1362,-1)</f>
        <v>0.880851063829787</v>
      </c>
      <c r="BE1362" s="51" t="n">
        <f aca="false">IF(AND(OR(CC1362="L1",CC1362="L23",CC1362="LIFT"),BA1362&gt;0),SUMIFS($BA$7:$BA$1843,$CC$7:$CC$1843,CC1362,$BD$7:$BD$1843,"&gt;"&amp;BD1362)+SUMIFS($BA$7:$BA$1843,$CC$7:$CC$1843,CC1362,$BD$7:$BD$1843,BD1362,$BT$7:$BT$1843,"&lt;="&amp;BT1362),"")</f>
        <v>10099.2760989011</v>
      </c>
      <c r="BF1362" s="58" t="n">
        <f aca="false">IF(BE1362="",0,MAX(0,MIN(1,(IF(CC1362="L1",Parameter!$H$5,IF(CC1362="L23",Parameter!$H$6+Parameter!$H$7,Parameter!$H$5+Parameter!$H$6+Parameter!$H$7))-(BE1362-BA1362))/BA1362)))</f>
        <v>1</v>
      </c>
      <c r="BG1362" s="48" t="str">
        <f aca="false">IF(AI1362&lt;=0,"",IF(CC1362="Aussen","Aussenlager",IF(CC1362="-","Nicht im Lift",IF(AN1362&gt;=1,"Lift",IF(AN1362&lt;=0,"Aussenlager","teilweise")))))</f>
        <v>Lift</v>
      </c>
      <c r="BH1362" s="48" t="str">
        <f aca="false">IF(AR1362&lt;=0,"",IF(CC1362="Aussen","Aussenlager",IF(CC1362="-","Nicht im Lift",IF(AW1362&gt;=1,"Lift",IF(AW1362&lt;=0,"Aussenlager","teilweise")))))</f>
        <v>Lift</v>
      </c>
      <c r="BI1362" s="48" t="str">
        <f aca="false">IF(BA1362&lt;=0,"",IF(CC1362="Aussen","Aussenlager",IF(CC1362="-","Nicht im Lift",IF(BF1362&gt;=1,"Lift",IF(BF1362&lt;=0,"Aussenlager","teilweise")))))</f>
        <v>Lift</v>
      </c>
      <c r="BJ1362" s="48" t="str">
        <f aca="false">IF(A1362="","",IF(BS1362=1,"Neu; ","")&amp;IF(AND(BS1362=0,BN1362&lt;0),"negativer Bestand (Export "&amp;BN1362&amp;"); ","")&amp;IF(J1362&lt;=0,"Kein Verbrauch; ","")&amp;IF(CL1362&gt;0,"Lift "&amp;W1362&amp;" lt. Liftbericht (Fach "&amp;X1362&amp;" Stk); ",IF(BX1362=1,"Gebinde geschätzt ("&amp;T1362&amp;"); ",IF(BW1362=1,"Lose – Tablare geschätzt; ","")))&amp;IF(H1362&gt;AT1362,"Überbestand "&amp;ROUND(H1362-AT1362,0)&amp;" Stk / CHF "&amp;ROUND((H1362-AT1362)*G1362,0)&amp;"; ","")&amp;IF(AND(CE1362=1,CF1362&lt;CG1362),"MAX &lt; MB+LG; ","")&amp;IF(AND(CK1362&gt;0,CJ1362*10&gt;CK1362),"zu hoch für Tablar; ","")&amp;IF(AND(BS1362=0,OR(CE1362=1,AA1362&lt;&gt;"",U1362&lt;&gt;"",V1362&lt;&gt;"",AB1362&lt;&gt;"")),"manuell übersteuert; ","")&amp;IF(AND(BW1362=0,R1362=0),"Gebinde unbekannt / Stellmass fehlt; ","")&amp;IF(AND(BW1362=0,N(V1362)&lt;=0,N(Q1362)&lt;=0),"Menge pro Gebinde fehlt (Ist = 1 Gebinde); ","")&amp;BR1362)</f>
        <v>negativer Bestand (Export -18); 01C</v>
      </c>
      <c r="BK1362" s="48"/>
      <c r="BL1362" s="48"/>
      <c r="BM1362" s="55"/>
      <c r="BN1362" s="50" t="n">
        <v>-18</v>
      </c>
      <c r="BO1362" s="50" t="n">
        <v>36</v>
      </c>
      <c r="BP1362" s="49" t="n">
        <v>-2395.98</v>
      </c>
      <c r="BQ1362" s="50" t="n">
        <v>69</v>
      </c>
      <c r="BR1362" s="48" t="s">
        <v>2405</v>
      </c>
      <c r="BS1362" s="53" t="n">
        <v>0</v>
      </c>
      <c r="BT1362" s="53" t="n">
        <v>1362</v>
      </c>
      <c r="BU1362" s="48" t="str">
        <f aca="false">IF(U1362&lt;&gt;"",UPPER(TRIM(U1362)),IF(BX1362=1,UPPER(VLOOKUP(T1362,Parameter!$I$27:$K$29,2,0)),IF(P1362="","LOSE",P1362)))</f>
        <v>S71</v>
      </c>
      <c r="BV1362" s="50" t="n">
        <f aca="false">IF(BU1362="LOSE",1,IF(N(V1362)&gt;0,V1362,IF(BX1362=1,MAX(1,N(VLOOKUP(T1362,Parameter!$I$27:$K$29,3,0)),H1362,N(N1362)),IF(N(Q1362)&gt;0,Q1362,MAX(1,H1362)))))</f>
        <v>35</v>
      </c>
      <c r="BW1362" s="53" t="n">
        <f aca="false">IF(BU1362="LOSE",1,0)</f>
        <v>0</v>
      </c>
      <c r="BX1362" s="53" t="n">
        <f aca="false">IF(AND(U1362="",OR(P1362="",P1362="LOSE"),T1362&lt;&gt;"",N(S1362)&lt;=0,ISNUMBER(MATCH(T1362,Parameter!$I$27:$I$29,0))),1,0)</f>
        <v>0</v>
      </c>
      <c r="BY1362" s="53" t="n">
        <f aca="false">IF(CL1362&gt;0,INDEX(Parameter!$H$5:$H$7,W1362)/INDEX(Parameter!$E$5:$E$7,W1362),IF(AND(BW1362=0,N(IFERROR(VLOOKUP(BU1362,'Gebinde-Kategorie'!$A$5:$N$45,14,0),0))&gt;0),VLOOKUP(BU1362,'Gebinde-Kategorie'!$A$5:$N$45,14,0)*10+Parameter!$M$23,Parameter!$M$24))</f>
        <v>235</v>
      </c>
      <c r="BZ1362" s="48" t="n">
        <f aca="false">IF(AND(Parameter!$B$19="Ja",E1362&lt;&gt;"",ISNUMBER(MATCH(E1362,Parameter!$I$35:$I$52,0))),VLOOKUP(E1362,Parameter!$I$35:$J$52,2,0),IFERROR(VLOOKUP(D1362,Parameter!$A$35:$C$64,2,0),"Nein"))</f>
        <v>1</v>
      </c>
      <c r="CA1362" s="52" t="n">
        <f aca="false">IF(BW1362=0,0,IF(N(S1362)&gt;0,S1362,IFERROR(VLOOKUP(D1362,Parameter!$A$35:$C$64,3,0)+0,0)))</f>
        <v>0</v>
      </c>
      <c r="CB1362" s="48" t="n">
        <f aca="false">IF(AA1362&lt;&gt;"",AA1362,Z1362)</f>
        <v>1</v>
      </c>
      <c r="CC1362" s="48" t="str">
        <f aca="false">IF(OR(CB1362=1,CB1362=2,CB1362=3),IF(Parameter!$E$27="Ja","LIFT",IF(CB1362=1,"L1","L23")),IF(CB1362="Aussen","Aussen","-"))</f>
        <v>LIFT</v>
      </c>
      <c r="CD1362" s="59" t="n">
        <f aca="false">IF(N(AB1362)&gt;0,AB1362,0)</f>
        <v>0</v>
      </c>
      <c r="CE1362" s="53" t="n">
        <f aca="false">IF(ISNUMBER(AE1362),1,0)</f>
        <v>0</v>
      </c>
      <c r="CF1362" s="50" t="n">
        <f aca="false">N(AE1362)</f>
        <v>0</v>
      </c>
      <c r="CG1362" s="50" t="n">
        <f aca="false">N(M1362)+N(N1362)</f>
        <v>39</v>
      </c>
      <c r="CH1362" s="50" t="n">
        <f aca="false">ROUNDUP(H1362/BV1362,0)</f>
        <v>1</v>
      </c>
      <c r="CI1362" s="50" t="n">
        <f aca="false">ROUNDUP(CF1362/BV1362,0)</f>
        <v>0</v>
      </c>
      <c r="CJ1362" s="53" t="n">
        <f aca="false">IF(BW1362=1,0,IFERROR(VLOOKUP(BU1362,'Gebinde-Kategorie'!$A$5:$N$45,5,0)+0,0))</f>
        <v>20</v>
      </c>
      <c r="CK1362" s="53" t="n">
        <f aca="false">IFERROR(IF(OR(CB1362=1,CB1362=2,CB1362=3),N(INDEX(Parameter!$I$5:$I$7,CB1362)),0),0)</f>
        <v>0</v>
      </c>
      <c r="CL1362" s="52" t="n">
        <f aca="false">IF(AND(Parameter!$B$21="Ja",ISNUMBER(W1362),N(X1362)&gt;0),IFERROR(N(INDEX(Parameter!$L$5:$L$7,W1362))*INDEX(Parameter!$E$5:$E$7,W1362)*X1362/SUMIFS($X$7:$X$1843,$W$7:$W$1843,W1362),0),0)</f>
        <v>0</v>
      </c>
    </row>
    <row r="1363" customFormat="false" ht="15" hidden="false" customHeight="false" outlineLevel="0" collapsed="false">
      <c r="A1363" s="48" t="s">
        <v>2406</v>
      </c>
      <c r="B1363" s="48" t="s">
        <v>2407</v>
      </c>
      <c r="C1363" s="48" t="s">
        <v>168</v>
      </c>
      <c r="D1363" s="48" t="s">
        <v>177</v>
      </c>
      <c r="E1363" s="48" t="s">
        <v>189</v>
      </c>
      <c r="F1363" s="48" t="s">
        <v>222</v>
      </c>
      <c r="G1363" s="49" t="n">
        <v>280.07</v>
      </c>
      <c r="H1363" s="50" t="n">
        <f aca="false">MAX(0,IF(AND(Parameter!$B$21="Ja",ISNUMBER(Y1363)),Y1363,IF(Parameter!$B$20="Jahresanfang 2025 + Export",BO1363+BN1363,BN1363)))</f>
        <v>3</v>
      </c>
      <c r="I1363" s="50" t="n">
        <f aca="false">H1363*G1363</f>
        <v>840.21</v>
      </c>
      <c r="J1363" s="50" t="n">
        <f aca="false">BQ1363*Parameter!$B$18</f>
        <v>46</v>
      </c>
      <c r="K1363" s="51" t="n">
        <v>9</v>
      </c>
      <c r="L1363" s="52" t="n">
        <v>5.11111111111111</v>
      </c>
      <c r="M1363" s="50" t="n">
        <v>2</v>
      </c>
      <c r="N1363" s="50" t="n">
        <v>10</v>
      </c>
      <c r="O1363" s="53" t="n">
        <v>21</v>
      </c>
      <c r="P1363" s="48" t="s">
        <v>178</v>
      </c>
      <c r="Q1363" s="50" t="n">
        <v>12</v>
      </c>
      <c r="R1363" s="53" t="n">
        <f aca="false">IF(BW1363=1,0,IFERROR(VLOOKUP(BU1363,'Gebinde-Kategorie'!$A$5:$N$45,13,0)+0,0))</f>
        <v>6</v>
      </c>
      <c r="S1363" s="54"/>
      <c r="T1363" s="55"/>
      <c r="U1363" s="55"/>
      <c r="V1363" s="55"/>
      <c r="W1363" s="48"/>
      <c r="X1363" s="50"/>
      <c r="Y1363" s="50"/>
      <c r="Z1363" s="48" t="n">
        <f aca="false">IF(A1363="","",IF(AND(Parameter!$B$21="Ja",ISNUMBER(W1363)),W1363,IF(BZ1363="2+3",IF(ISNUMBER(SEARCH("grosser Artikel",BR1363)),2,IFERROR(VLOOKUP(BU1363,Parameter!$F$35:$G$64,2,0),2)),IF(OR(BZ1363="Nein",BZ1363=""),"-",BZ1363))))</f>
        <v>2</v>
      </c>
      <c r="AA1363" s="55"/>
      <c r="AB1363" s="56"/>
      <c r="AC1363" s="50" t="n">
        <f aca="false">AT1363</f>
        <v>24</v>
      </c>
      <c r="AD1363" s="50" t="n">
        <f aca="false">MAX(AT1363,H1363)</f>
        <v>24</v>
      </c>
      <c r="AE1363" s="57"/>
      <c r="AF1363" s="50" t="n">
        <f aca="false">IF(LEFT(Cockpit!$C$5,1)="A",H1363,IF(CE1363=1,CF1363,IF(LEFT(Cockpit!$C$5,1)="B",AK1363,MAX(AK1363,H1363))))</f>
        <v>3</v>
      </c>
      <c r="AG1363" s="50" t="n">
        <f aca="false">IF(BW1363=1,0,ROUNDUP(AF1363/BV1363,0))</f>
        <v>1</v>
      </c>
      <c r="AH1363" s="52" t="n">
        <f aca="false">IF(CL1363&gt;0,CL1363*MAX(1,AF1363/X1363),IF(BW1363=1,IF(AF1363&lt;=0,0,CA1363*MAX(1,IF(H1363&gt;0,AF1363/H1363,1))),IF(R1363&gt;0,AG1363/R1363,0))/MAX(0.1,N(Parameter!$M$21)))</f>
        <v>0.166666666666667</v>
      </c>
      <c r="AI1363" s="50" t="n">
        <f aca="false">AH1363*BY1363</f>
        <v>39.1666666666667</v>
      </c>
      <c r="AJ1363" s="50" t="n">
        <f aca="false">AF1363*G1363</f>
        <v>840.21</v>
      </c>
      <c r="AK1363" s="50" t="n">
        <f aca="false">ROUNDUP(MAX(J1363/IF(CD1363&gt;0,CD1363,MAX(0.1,N(Cockpit!$C$6))),CG1363)/BV1363,0)*BV1363</f>
        <v>24</v>
      </c>
      <c r="AL1363" s="51" t="n">
        <f aca="false">IF(AI1363&gt;0,J1363/AI1363,-1)</f>
        <v>1.17446808510638</v>
      </c>
      <c r="AM1363" s="51" t="n">
        <f aca="false">IF(AND(OR(CC1363="L1",CC1363="L23",CC1363="LIFT"),AI1363&gt;0),SUMIFS($AI$7:$AI$1843,$CC$7:$CC$1843,CC1363,$AL$7:$AL$1843,"&gt;"&amp;AL1363)+SUMIFS($AI$7:$AI$1843,$CC$7:$CC$1843,CC1363,$AL$7:$AL$1843,AL1363,$BT$7:$BT$1843,"&lt;="&amp;BT1363),"")</f>
        <v>6685.63507326007</v>
      </c>
      <c r="AN1363" s="58" t="n">
        <f aca="false">IF(AM1363="",0,MAX(0,MIN(1,(IF(CC1363="L1",Parameter!$H$5,IF(CC1363="L23",Parameter!$H$6+Parameter!$H$7,Parameter!$H$5+Parameter!$H$6+Parameter!$H$7))-(AM1363-AI1363))/AI1363)))</f>
        <v>1</v>
      </c>
      <c r="AO1363" s="50" t="n">
        <f aca="false">IF(LEFT(Cockpit!$I$5,1)="A",H1363,IF(CE1363=1,CF1363,IF(LEFT(Cockpit!$I$5,1)="B",AT1363,MAX(AT1363,H1363))))</f>
        <v>24</v>
      </c>
      <c r="AP1363" s="50" t="n">
        <f aca="false">IF(BW1363=1,0,ROUNDUP(AO1363/BV1363,0))</f>
        <v>2</v>
      </c>
      <c r="AQ1363" s="52" t="n">
        <f aca="false">IF(CL1363&gt;0,CL1363*MAX(1,AO1363/X1363),IF(BW1363=1,IF(AO1363&lt;=0,0,CA1363*MAX(1,IF(H1363&gt;0,AO1363/H1363,1))),IF(R1363&gt;0,AP1363/R1363,0))/MAX(0.1,N(Parameter!$M$21)))</f>
        <v>0.333333333333333</v>
      </c>
      <c r="AR1363" s="50" t="n">
        <f aca="false">AQ1363*BY1363</f>
        <v>78.3333333333333</v>
      </c>
      <c r="AS1363" s="50" t="n">
        <f aca="false">AO1363*G1363</f>
        <v>6721.68</v>
      </c>
      <c r="AT1363" s="50" t="n">
        <f aca="false">ROUNDUP(MAX(J1363/IF(CD1363&gt;0,CD1363,MAX(0.1,N(Cockpit!$I$6))),CG1363)/BV1363,0)*BV1363</f>
        <v>24</v>
      </c>
      <c r="AU1363" s="51" t="n">
        <f aca="false">IF(AR1363&gt;0,J1363/AR1363,-1)</f>
        <v>0.587234042553192</v>
      </c>
      <c r="AV1363" s="51" t="n">
        <f aca="false">IF(AND(OR(CC1363="L1",CC1363="L23",CC1363="LIFT"),AR1363&gt;0),SUMIFS($AR$7:$AR$1843,$CC$7:$CC$1843,CC1363,$AU$7:$AU$1843,"&gt;"&amp;AU1363)+SUMIFS($AR$7:$AR$1843,$CC$7:$CC$1843,CC1363,$AU$7:$AU$1843,AU1363,$BT$7:$BT$1843,"&lt;="&amp;BT1363),"")</f>
        <v>12949.4043040293</v>
      </c>
      <c r="AW1363" s="58" t="n">
        <f aca="false">IF(AV1363="",0,MAX(0,MIN(1,(IF(CC1363="L1",Parameter!$H$5,IF(CC1363="L23",Parameter!$H$6+Parameter!$H$7,Parameter!$H$5+Parameter!$H$6+Parameter!$H$7))-(AV1363-AR1363))/AR1363)))</f>
        <v>1</v>
      </c>
      <c r="AX1363" s="50" t="n">
        <f aca="false">IF(LEFT(Cockpit!$O$5,1)="A",H1363,IF(CE1363=1,CF1363,IF(LEFT(Cockpit!$O$5,1)="B",BC1363,MAX(BC1363,H1363))))</f>
        <v>24</v>
      </c>
      <c r="AY1363" s="50" t="n">
        <f aca="false">IF(BW1363=1,0,ROUNDUP(AX1363/BV1363,0))</f>
        <v>2</v>
      </c>
      <c r="AZ1363" s="52" t="n">
        <f aca="false">IF(CL1363&gt;0,CL1363*MAX(1,AX1363/X1363),IF(BW1363=1,IF(AX1363&lt;=0,0,CA1363*MAX(1,IF(H1363&gt;0,AX1363/H1363,1))),IF(R1363&gt;0,AY1363/R1363,0))/MAX(0.1,N(Parameter!$M$21)))</f>
        <v>0.333333333333333</v>
      </c>
      <c r="BA1363" s="50" t="n">
        <f aca="false">AZ1363*BY1363</f>
        <v>78.3333333333333</v>
      </c>
      <c r="BB1363" s="50" t="n">
        <f aca="false">AX1363*G1363</f>
        <v>6721.68</v>
      </c>
      <c r="BC1363" s="50" t="n">
        <f aca="false">ROUNDUP(MAX(J1363/IF(CD1363&gt;0,CD1363,MAX(0.1,N(Cockpit!$O$6))),CG1363)/BV1363,0)*BV1363</f>
        <v>24</v>
      </c>
      <c r="BD1363" s="51" t="n">
        <f aca="false">IF(BA1363&gt;0,J1363/BA1363,-1)</f>
        <v>0.587234042553192</v>
      </c>
      <c r="BE1363" s="51" t="n">
        <f aca="false">IF(AND(OR(CC1363="L1",CC1363="L23",CC1363="LIFT"),BA1363&gt;0),SUMIFS($BA$7:$BA$1843,$CC$7:$CC$1843,CC1363,$BD$7:$BD$1843,"&gt;"&amp;BD1363)+SUMIFS($BA$7:$BA$1843,$CC$7:$CC$1843,CC1363,$BD$7:$BD$1843,BD1363,$BT$7:$BT$1843,"&lt;="&amp;BT1363),"")</f>
        <v>11872.978021978</v>
      </c>
      <c r="BF1363" s="58" t="n">
        <f aca="false">IF(BE1363="",0,MAX(0,MIN(1,(IF(CC1363="L1",Parameter!$H$5,IF(CC1363="L23",Parameter!$H$6+Parameter!$H$7,Parameter!$H$5+Parameter!$H$6+Parameter!$H$7))-(BE1363-BA1363))/BA1363)))</f>
        <v>1</v>
      </c>
      <c r="BG1363" s="48" t="str">
        <f aca="false">IF(AI1363&lt;=0,"",IF(CC1363="Aussen","Aussenlager",IF(CC1363="-","Nicht im Lift",IF(AN1363&gt;=1,"Lift",IF(AN1363&lt;=0,"Aussenlager","teilweise")))))</f>
        <v>Lift</v>
      </c>
      <c r="BH1363" s="48" t="str">
        <f aca="false">IF(AR1363&lt;=0,"",IF(CC1363="Aussen","Aussenlager",IF(CC1363="-","Nicht im Lift",IF(AW1363&gt;=1,"Lift",IF(AW1363&lt;=0,"Aussenlager","teilweise")))))</f>
        <v>Lift</v>
      </c>
      <c r="BI1363" s="48" t="str">
        <f aca="false">IF(BA1363&lt;=0,"",IF(CC1363="Aussen","Aussenlager",IF(CC1363="-","Nicht im Lift",IF(BF1363&gt;=1,"Lift",IF(BF1363&lt;=0,"Aussenlager","teilweise")))))</f>
        <v>Lift</v>
      </c>
      <c r="BJ1363" s="48" t="str">
        <f aca="false">IF(A1363="","",IF(BS1363=1,"Neu; ","")&amp;IF(AND(BS1363=0,BN1363&lt;0),"negativer Bestand (Export "&amp;BN1363&amp;"); ","")&amp;IF(J1363&lt;=0,"Kein Verbrauch; ","")&amp;IF(CL1363&gt;0,"Lift "&amp;W1363&amp;" lt. Liftbericht (Fach "&amp;X1363&amp;" Stk); ",IF(BX1363=1,"Gebinde geschätzt ("&amp;T1363&amp;"); ",IF(BW1363=1,"Lose – Tablare geschätzt; ","")))&amp;IF(H1363&gt;AT1363,"Überbestand "&amp;ROUND(H1363-AT1363,0)&amp;" Stk / CHF "&amp;ROUND((H1363-AT1363)*G1363,0)&amp;"; ","")&amp;IF(AND(CE1363=1,CF1363&lt;CG1363),"MAX &lt; MB+LG; ","")&amp;IF(AND(CK1363&gt;0,CJ1363*10&gt;CK1363),"zu hoch für Tablar; ","")&amp;IF(AND(BS1363=0,OR(CE1363=1,AA1363&lt;&gt;"",U1363&lt;&gt;"",V1363&lt;&gt;"",AB1363&lt;&gt;"")),"manuell übersteuert; ","")&amp;IF(AND(BW1363=0,R1363=0),"Gebinde unbekannt / Stellmass fehlt; ","")&amp;IF(AND(BW1363=0,N(V1363)&lt;=0,N(Q1363)&lt;=0),"Menge pro Gebinde fehlt (Ist = 1 Gebinde); ","")&amp;BR1363)</f>
        <v>negativer Bestand (Export -6); grosser Artikel &amp; nicht im KTL</v>
      </c>
      <c r="BK1363" s="48"/>
      <c r="BL1363" s="48"/>
      <c r="BM1363" s="55"/>
      <c r="BN1363" s="50" t="n">
        <v>-6</v>
      </c>
      <c r="BO1363" s="50" t="n">
        <v>9</v>
      </c>
      <c r="BP1363" s="49" t="n">
        <v>-2447.76</v>
      </c>
      <c r="BQ1363" s="50" t="n">
        <v>46</v>
      </c>
      <c r="BR1363" s="48" t="s">
        <v>265</v>
      </c>
      <c r="BS1363" s="53" t="n">
        <v>0</v>
      </c>
      <c r="BT1363" s="53" t="n">
        <v>1363</v>
      </c>
      <c r="BU1363" s="48" t="str">
        <f aca="false">IF(U1363&lt;&gt;"",UPPER(TRIM(U1363)),IF(BX1363=1,UPPER(VLOOKUP(T1363,Parameter!$I$27:$K$29,2,0)),IF(P1363="","LOSE",P1363)))</f>
        <v>S71</v>
      </c>
      <c r="BV1363" s="50" t="n">
        <f aca="false">IF(BU1363="LOSE",1,IF(N(V1363)&gt;0,V1363,IF(BX1363=1,MAX(1,N(VLOOKUP(T1363,Parameter!$I$27:$K$29,3,0)),H1363,N(N1363)),IF(N(Q1363)&gt;0,Q1363,MAX(1,H1363)))))</f>
        <v>12</v>
      </c>
      <c r="BW1363" s="53" t="n">
        <f aca="false">IF(BU1363="LOSE",1,0)</f>
        <v>0</v>
      </c>
      <c r="BX1363" s="53" t="n">
        <f aca="false">IF(AND(U1363="",OR(P1363="",P1363="LOSE"),T1363&lt;&gt;"",N(S1363)&lt;=0,ISNUMBER(MATCH(T1363,Parameter!$I$27:$I$29,0))),1,0)</f>
        <v>0</v>
      </c>
      <c r="BY1363" s="53" t="n">
        <f aca="false">IF(CL1363&gt;0,INDEX(Parameter!$H$5:$H$7,W1363)/INDEX(Parameter!$E$5:$E$7,W1363),IF(AND(BW1363=0,N(IFERROR(VLOOKUP(BU1363,'Gebinde-Kategorie'!$A$5:$N$45,14,0),0))&gt;0),VLOOKUP(BU1363,'Gebinde-Kategorie'!$A$5:$N$45,14,0)*10+Parameter!$M$23,Parameter!$M$24))</f>
        <v>235</v>
      </c>
      <c r="BZ1363" s="48" t="str">
        <f aca="false">IF(AND(Parameter!$B$19="Ja",E1363&lt;&gt;"",ISNUMBER(MATCH(E1363,Parameter!$I$35:$I$52,0))),VLOOKUP(E1363,Parameter!$I$35:$J$52,2,0),IFERROR(VLOOKUP(D1363,Parameter!$A$35:$C$64,2,0),"Nein"))</f>
        <v>2+3</v>
      </c>
      <c r="CA1363" s="52" t="n">
        <f aca="false">IF(BW1363=0,0,IF(N(S1363)&gt;0,S1363,IFERROR(VLOOKUP(D1363,Parameter!$A$35:$C$64,3,0)+0,0)))</f>
        <v>0</v>
      </c>
      <c r="CB1363" s="48" t="n">
        <f aca="false">IF(AA1363&lt;&gt;"",AA1363,Z1363)</f>
        <v>2</v>
      </c>
      <c r="CC1363" s="48" t="str">
        <f aca="false">IF(OR(CB1363=1,CB1363=2,CB1363=3),IF(Parameter!$E$27="Ja","LIFT",IF(CB1363=1,"L1","L23")),IF(CB1363="Aussen","Aussen","-"))</f>
        <v>LIFT</v>
      </c>
      <c r="CD1363" s="59" t="n">
        <f aca="false">IF(N(AB1363)&gt;0,AB1363,0)</f>
        <v>0</v>
      </c>
      <c r="CE1363" s="53" t="n">
        <f aca="false">IF(ISNUMBER(AE1363),1,0)</f>
        <v>0</v>
      </c>
      <c r="CF1363" s="50" t="n">
        <f aca="false">N(AE1363)</f>
        <v>0</v>
      </c>
      <c r="CG1363" s="50" t="n">
        <f aca="false">N(M1363)+N(N1363)</f>
        <v>12</v>
      </c>
      <c r="CH1363" s="50" t="n">
        <f aca="false">ROUNDUP(H1363/BV1363,0)</f>
        <v>1</v>
      </c>
      <c r="CI1363" s="50" t="n">
        <f aca="false">ROUNDUP(CF1363/BV1363,0)</f>
        <v>0</v>
      </c>
      <c r="CJ1363" s="53" t="n">
        <f aca="false">IF(BW1363=1,0,IFERROR(VLOOKUP(BU1363,'Gebinde-Kategorie'!$A$5:$N$45,5,0)+0,0))</f>
        <v>20</v>
      </c>
      <c r="CK1363" s="53" t="n">
        <f aca="false">IFERROR(IF(OR(CB1363=1,CB1363=2,CB1363=3),N(INDEX(Parameter!$I$5:$I$7,CB1363)),0),0)</f>
        <v>0</v>
      </c>
      <c r="CL1363" s="52" t="n">
        <f aca="false">IF(AND(Parameter!$B$21="Ja",ISNUMBER(W1363),N(X1363)&gt;0),IFERROR(N(INDEX(Parameter!$L$5:$L$7,W1363))*INDEX(Parameter!$E$5:$E$7,W1363)*X1363/SUMIFS($X$7:$X$1843,$W$7:$W$1843,W1363),0),0)</f>
        <v>0</v>
      </c>
    </row>
    <row r="1364" customFormat="false" ht="15" hidden="false" customHeight="false" outlineLevel="0" collapsed="false">
      <c r="A1364" s="48" t="s">
        <v>2408</v>
      </c>
      <c r="B1364" s="48" t="s">
        <v>539</v>
      </c>
      <c r="C1364" s="48" t="s">
        <v>168</v>
      </c>
      <c r="D1364" s="48" t="s">
        <v>188</v>
      </c>
      <c r="E1364" s="48" t="s">
        <v>189</v>
      </c>
      <c r="F1364" s="48" t="s">
        <v>222</v>
      </c>
      <c r="G1364" s="49" t="n">
        <v>7.42</v>
      </c>
      <c r="H1364" s="50" t="n">
        <f aca="false">MAX(0,IF(AND(Parameter!$B$21="Ja",ISNUMBER(Y1364)),Y1364,IF(Parameter!$B$20="Jahresanfang 2025 + Export",BO1364+BN1364,BN1364)))</f>
        <v>122</v>
      </c>
      <c r="I1364" s="50" t="n">
        <f aca="false">H1364*G1364</f>
        <v>905.24</v>
      </c>
      <c r="J1364" s="50" t="n">
        <f aca="false">BQ1364*Parameter!$B$18</f>
        <v>390</v>
      </c>
      <c r="K1364" s="51" t="n">
        <v>280.5</v>
      </c>
      <c r="L1364" s="52" t="n">
        <v>1.3903743315508</v>
      </c>
      <c r="M1364" s="50" t="n">
        <v>35</v>
      </c>
      <c r="N1364" s="50" t="n">
        <v>390</v>
      </c>
      <c r="O1364" s="53" t="n">
        <v>28</v>
      </c>
      <c r="P1364" s="48" t="s">
        <v>306</v>
      </c>
      <c r="Q1364" s="50" t="n">
        <v>30</v>
      </c>
      <c r="R1364" s="53" t="n">
        <f aca="false">IF(BW1364=1,0,IFERROR(VLOOKUP(BU1364,'Gebinde-Kategorie'!$A$5:$N$45,13,0)+0,0))</f>
        <v>26</v>
      </c>
      <c r="S1364" s="54"/>
      <c r="T1364" s="55"/>
      <c r="U1364" s="55"/>
      <c r="V1364" s="55"/>
      <c r="W1364" s="48"/>
      <c r="X1364" s="50"/>
      <c r="Y1364" s="50"/>
      <c r="Z1364" s="48" t="n">
        <f aca="false">IF(A1364="","",IF(AND(Parameter!$B$21="Ja",ISNUMBER(W1364)),W1364,IF(BZ1364="2+3",IF(ISNUMBER(SEARCH("grosser Artikel",BR1364)),2,IFERROR(VLOOKUP(BU1364,Parameter!$F$35:$G$64,2,0),2)),IF(OR(BZ1364="Nein",BZ1364=""),"-",BZ1364))))</f>
        <v>3</v>
      </c>
      <c r="AA1364" s="55"/>
      <c r="AB1364" s="56"/>
      <c r="AC1364" s="50" t="n">
        <f aca="false">AT1364</f>
        <v>450</v>
      </c>
      <c r="AD1364" s="50" t="n">
        <f aca="false">MAX(AT1364,H1364)</f>
        <v>450</v>
      </c>
      <c r="AE1364" s="57"/>
      <c r="AF1364" s="50" t="n">
        <f aca="false">IF(LEFT(Cockpit!$C$5,1)="A",H1364,IF(CE1364=1,CF1364,IF(LEFT(Cockpit!$C$5,1)="B",AK1364,MAX(AK1364,H1364))))</f>
        <v>122</v>
      </c>
      <c r="AG1364" s="50" t="n">
        <f aca="false">IF(BW1364=1,0,ROUNDUP(AF1364/BV1364,0))</f>
        <v>5</v>
      </c>
      <c r="AH1364" s="52" t="n">
        <f aca="false">IF(CL1364&gt;0,CL1364*MAX(1,AF1364/X1364),IF(BW1364=1,IF(AF1364&lt;=0,0,CA1364*MAX(1,IF(H1364&gt;0,AF1364/H1364,1))),IF(R1364&gt;0,AG1364/R1364,0))/MAX(0.1,N(Parameter!$M$21)))</f>
        <v>0.192307692307692</v>
      </c>
      <c r="AI1364" s="50" t="n">
        <f aca="false">AH1364*BY1364</f>
        <v>29.8076923076923</v>
      </c>
      <c r="AJ1364" s="50" t="n">
        <f aca="false">AF1364*G1364</f>
        <v>905.24</v>
      </c>
      <c r="AK1364" s="50" t="n">
        <f aca="false">ROUNDUP(MAX(J1364/IF(CD1364&gt;0,CD1364,MAX(0.1,N(Cockpit!$C$6))),CG1364)/BV1364,0)*BV1364</f>
        <v>450</v>
      </c>
      <c r="AL1364" s="51" t="n">
        <f aca="false">IF(AI1364&gt;0,J1364/AI1364,-1)</f>
        <v>13.0838709677419</v>
      </c>
      <c r="AM1364" s="51" t="n">
        <f aca="false">IF(AND(OR(CC1364="L1",CC1364="L23",CC1364="LIFT"),AI1364&gt;0),SUMIFS($AI$7:$AI$1843,$CC$7:$CC$1843,CC1364,$AL$7:$AL$1843,"&gt;"&amp;AL1364)+SUMIFS($AI$7:$AI$1843,$CC$7:$CC$1843,CC1364,$AL$7:$AL$1843,AL1364,$BT$7:$BT$1843,"&lt;="&amp;BT1364),"")</f>
        <v>2375.62454212454</v>
      </c>
      <c r="AN1364" s="58" t="n">
        <f aca="false">IF(AM1364="",0,MAX(0,MIN(1,(IF(CC1364="L1",Parameter!$H$5,IF(CC1364="L23",Parameter!$H$6+Parameter!$H$7,Parameter!$H$5+Parameter!$H$6+Parameter!$H$7))-(AM1364-AI1364))/AI1364)))</f>
        <v>1</v>
      </c>
      <c r="AO1364" s="50" t="n">
        <f aca="false">IF(LEFT(Cockpit!$I$5,1)="A",H1364,IF(CE1364=1,CF1364,IF(LEFT(Cockpit!$I$5,1)="B",AT1364,MAX(AT1364,H1364))))</f>
        <v>450</v>
      </c>
      <c r="AP1364" s="50" t="n">
        <f aca="false">IF(BW1364=1,0,ROUNDUP(AO1364/BV1364,0))</f>
        <v>15</v>
      </c>
      <c r="AQ1364" s="52" t="n">
        <f aca="false">IF(CL1364&gt;0,CL1364*MAX(1,AO1364/X1364),IF(BW1364=1,IF(AO1364&lt;=0,0,CA1364*MAX(1,IF(H1364&gt;0,AO1364/H1364,1))),IF(R1364&gt;0,AP1364/R1364,0))/MAX(0.1,N(Parameter!$M$21)))</f>
        <v>0.576923076923077</v>
      </c>
      <c r="AR1364" s="50" t="n">
        <f aca="false">AQ1364*BY1364</f>
        <v>89.4230769230769</v>
      </c>
      <c r="AS1364" s="50" t="n">
        <f aca="false">AO1364*G1364</f>
        <v>3339</v>
      </c>
      <c r="AT1364" s="50" t="n">
        <f aca="false">ROUNDUP(MAX(J1364/IF(CD1364&gt;0,CD1364,MAX(0.1,N(Cockpit!$I$6))),CG1364)/BV1364,0)*BV1364</f>
        <v>450</v>
      </c>
      <c r="AU1364" s="51" t="n">
        <f aca="false">IF(AR1364&gt;0,J1364/AR1364,-1)</f>
        <v>4.36129032258065</v>
      </c>
      <c r="AV1364" s="51" t="n">
        <f aca="false">IF(AND(OR(CC1364="L1",CC1364="L23",CC1364="LIFT"),AR1364&gt;0),SUMIFS($AR$7:$AR$1843,$CC$7:$CC$1843,CC1364,$AU$7:$AU$1843,"&gt;"&amp;AU1364)+SUMIFS($AR$7:$AR$1843,$CC$7:$CC$1843,CC1364,$AU$7:$AU$1843,AU1364,$BT$7:$BT$1843,"&lt;="&amp;BT1364),"")</f>
        <v>5424.54716117216</v>
      </c>
      <c r="AW1364" s="58" t="n">
        <f aca="false">IF(AV1364="",0,MAX(0,MIN(1,(IF(CC1364="L1",Parameter!$H$5,IF(CC1364="L23",Parameter!$H$6+Parameter!$H$7,Parameter!$H$5+Parameter!$H$6+Parameter!$H$7))-(AV1364-AR1364))/AR1364)))</f>
        <v>1</v>
      </c>
      <c r="AX1364" s="50" t="n">
        <f aca="false">IF(LEFT(Cockpit!$O$5,1)="A",H1364,IF(CE1364=1,CF1364,IF(LEFT(Cockpit!$O$5,1)="B",BC1364,MAX(BC1364,H1364))))</f>
        <v>450</v>
      </c>
      <c r="AY1364" s="50" t="n">
        <f aca="false">IF(BW1364=1,0,ROUNDUP(AX1364/BV1364,0))</f>
        <v>15</v>
      </c>
      <c r="AZ1364" s="52" t="n">
        <f aca="false">IF(CL1364&gt;0,CL1364*MAX(1,AX1364/X1364),IF(BW1364=1,IF(AX1364&lt;=0,0,CA1364*MAX(1,IF(H1364&gt;0,AX1364/H1364,1))),IF(R1364&gt;0,AY1364/R1364,0))/MAX(0.1,N(Parameter!$M$21)))</f>
        <v>0.576923076923077</v>
      </c>
      <c r="BA1364" s="50" t="n">
        <f aca="false">AZ1364*BY1364</f>
        <v>89.4230769230769</v>
      </c>
      <c r="BB1364" s="50" t="n">
        <f aca="false">AX1364*G1364</f>
        <v>3339</v>
      </c>
      <c r="BC1364" s="50" t="n">
        <f aca="false">ROUNDUP(MAX(J1364/IF(CD1364&gt;0,CD1364,MAX(0.1,N(Cockpit!$O$6))),CG1364)/BV1364,0)*BV1364</f>
        <v>450</v>
      </c>
      <c r="BD1364" s="51" t="n">
        <f aca="false">IF(BA1364&gt;0,J1364/BA1364,-1)</f>
        <v>4.36129032258065</v>
      </c>
      <c r="BE1364" s="51" t="n">
        <f aca="false">IF(AND(OR(CC1364="L1",CC1364="L23",CC1364="LIFT"),BA1364&gt;0),SUMIFS($BA$7:$BA$1843,$CC$7:$CC$1843,CC1364,$BD$7:$BD$1843,"&gt;"&amp;BD1364)+SUMIFS($BA$7:$BA$1843,$CC$7:$CC$1843,CC1364,$BD$7:$BD$1843,BD1364,$BT$7:$BT$1843,"&lt;="&amp;BT1364),"")</f>
        <v>5095.01190476191</v>
      </c>
      <c r="BF1364" s="58" t="n">
        <f aca="false">IF(BE1364="",0,MAX(0,MIN(1,(IF(CC1364="L1",Parameter!$H$5,IF(CC1364="L23",Parameter!$H$6+Parameter!$H$7,Parameter!$H$5+Parameter!$H$6+Parameter!$H$7))-(BE1364-BA1364))/BA1364)))</f>
        <v>1</v>
      </c>
      <c r="BG1364" s="48" t="str">
        <f aca="false">IF(AI1364&lt;=0,"",IF(CC1364="Aussen","Aussenlager",IF(CC1364="-","Nicht im Lift",IF(AN1364&gt;=1,"Lift",IF(AN1364&lt;=0,"Aussenlager","teilweise")))))</f>
        <v>Lift</v>
      </c>
      <c r="BH1364" s="48" t="str">
        <f aca="false">IF(AR1364&lt;=0,"",IF(CC1364="Aussen","Aussenlager",IF(CC1364="-","Nicht im Lift",IF(AW1364&gt;=1,"Lift",IF(AW1364&lt;=0,"Aussenlager","teilweise")))))</f>
        <v>Lift</v>
      </c>
      <c r="BI1364" s="48" t="str">
        <f aca="false">IF(BA1364&lt;=0,"",IF(CC1364="Aussen","Aussenlager",IF(CC1364="-","Nicht im Lift",IF(BF1364&gt;=1,"Lift",IF(BF1364&lt;=0,"Aussenlager","teilweise")))))</f>
        <v>Lift</v>
      </c>
      <c r="BJ1364" s="48" t="str">
        <f aca="false">IF(A1364="","",IF(BS1364=1,"Neu; ","")&amp;IF(AND(BS1364=0,BN1364&lt;0),"negativer Bestand (Export "&amp;BN1364&amp;"); ","")&amp;IF(J1364&lt;=0,"Kein Verbrauch; ","")&amp;IF(CL1364&gt;0,"Lift "&amp;W1364&amp;" lt. Liftbericht (Fach "&amp;X1364&amp;" Stk); ",IF(BX1364=1,"Gebinde geschätzt ("&amp;T1364&amp;"); ",IF(BW1364=1,"Lose – Tablare geschätzt; ","")))&amp;IF(H1364&gt;AT1364,"Überbestand "&amp;ROUND(H1364-AT1364,0)&amp;" Stk / CHF "&amp;ROUND((H1364-AT1364)*G1364,0)&amp;"; ","")&amp;IF(AND(CE1364=1,CF1364&lt;CG1364),"MAX &lt; MB+LG; ","")&amp;IF(AND(CK1364&gt;0,CJ1364*10&gt;CK1364),"zu hoch für Tablar; ","")&amp;IF(AND(BS1364=0,OR(CE1364=1,AA1364&lt;&gt;"",U1364&lt;&gt;"",V1364&lt;&gt;"",AB1364&lt;&gt;"")),"manuell übersteuert; ","")&amp;IF(AND(BW1364=0,R1364=0),"Gebinde unbekannt / Stellmass fehlt; ","")&amp;IF(AND(BW1364=0,N(V1364)&lt;=0,N(Q1364)&lt;=0),"Menge pro Gebinde fehlt (Ist = 1 Gebinde); ","")&amp;BR1364)</f>
        <v>negativer Bestand (Export -334); B&amp;R</v>
      </c>
      <c r="BK1364" s="48"/>
      <c r="BL1364" s="48"/>
      <c r="BM1364" s="55"/>
      <c r="BN1364" s="50" t="n">
        <v>-334</v>
      </c>
      <c r="BO1364" s="50" t="n">
        <v>456</v>
      </c>
      <c r="BP1364" s="49" t="n">
        <v>-2464.6</v>
      </c>
      <c r="BQ1364" s="50" t="n">
        <v>390</v>
      </c>
      <c r="BR1364" s="48" t="s">
        <v>2221</v>
      </c>
      <c r="BS1364" s="53" t="n">
        <v>0</v>
      </c>
      <c r="BT1364" s="53" t="n">
        <v>1364</v>
      </c>
      <c r="BU1364" s="48" t="str">
        <f aca="false">IF(U1364&lt;&gt;"",UPPER(TRIM(U1364)),IF(BX1364=1,UPPER(VLOOKUP(T1364,Parameter!$I$27:$K$29,2,0)),IF(P1364="","LOSE",P1364)))</f>
        <v>S51</v>
      </c>
      <c r="BV1364" s="50" t="n">
        <f aca="false">IF(BU1364="LOSE",1,IF(N(V1364)&gt;0,V1364,IF(BX1364=1,MAX(1,N(VLOOKUP(T1364,Parameter!$I$27:$K$29,3,0)),H1364,N(N1364)),IF(N(Q1364)&gt;0,Q1364,MAX(1,H1364)))))</f>
        <v>30</v>
      </c>
      <c r="BW1364" s="53" t="n">
        <f aca="false">IF(BU1364="LOSE",1,0)</f>
        <v>0</v>
      </c>
      <c r="BX1364" s="53" t="n">
        <f aca="false">IF(AND(U1364="",OR(P1364="",P1364="LOSE"),T1364&lt;&gt;"",N(S1364)&lt;=0,ISNUMBER(MATCH(T1364,Parameter!$I$27:$I$29,0))),1,0)</f>
        <v>0</v>
      </c>
      <c r="BY1364" s="53" t="n">
        <f aca="false">IF(CL1364&gt;0,INDEX(Parameter!$H$5:$H$7,W1364)/INDEX(Parameter!$E$5:$E$7,W1364),IF(AND(BW1364=0,N(IFERROR(VLOOKUP(BU1364,'Gebinde-Kategorie'!$A$5:$N$45,14,0),0))&gt;0),VLOOKUP(BU1364,'Gebinde-Kategorie'!$A$5:$N$45,14,0)*10+Parameter!$M$23,Parameter!$M$24))</f>
        <v>155</v>
      </c>
      <c r="BZ1364" s="48" t="str">
        <f aca="false">IF(AND(Parameter!$B$19="Ja",E1364&lt;&gt;"",ISNUMBER(MATCH(E1364,Parameter!$I$35:$I$52,0))),VLOOKUP(E1364,Parameter!$I$35:$J$52,2,0),IFERROR(VLOOKUP(D1364,Parameter!$A$35:$C$64,2,0),"Nein"))</f>
        <v>2+3</v>
      </c>
      <c r="CA1364" s="52" t="n">
        <f aca="false">IF(BW1364=0,0,IF(N(S1364)&gt;0,S1364,IFERROR(VLOOKUP(D1364,Parameter!$A$35:$C$64,3,0)+0,0)))</f>
        <v>0</v>
      </c>
      <c r="CB1364" s="48" t="n">
        <f aca="false">IF(AA1364&lt;&gt;"",AA1364,Z1364)</f>
        <v>3</v>
      </c>
      <c r="CC1364" s="48" t="str">
        <f aca="false">IF(OR(CB1364=1,CB1364=2,CB1364=3),IF(Parameter!$E$27="Ja","LIFT",IF(CB1364=1,"L1","L23")),IF(CB1364="Aussen","Aussen","-"))</f>
        <v>LIFT</v>
      </c>
      <c r="CD1364" s="59" t="n">
        <f aca="false">IF(N(AB1364)&gt;0,AB1364,0)</f>
        <v>0</v>
      </c>
      <c r="CE1364" s="53" t="n">
        <f aca="false">IF(ISNUMBER(AE1364),1,0)</f>
        <v>0</v>
      </c>
      <c r="CF1364" s="50" t="n">
        <f aca="false">N(AE1364)</f>
        <v>0</v>
      </c>
      <c r="CG1364" s="50" t="n">
        <f aca="false">N(M1364)+N(N1364)</f>
        <v>425</v>
      </c>
      <c r="CH1364" s="50" t="n">
        <f aca="false">ROUNDUP(H1364/BV1364,0)</f>
        <v>5</v>
      </c>
      <c r="CI1364" s="50" t="n">
        <f aca="false">ROUNDUP(CF1364/BV1364,0)</f>
        <v>0</v>
      </c>
      <c r="CJ1364" s="53" t="n">
        <f aca="false">IF(BW1364=1,0,IFERROR(VLOOKUP(BU1364,'Gebinde-Kategorie'!$A$5:$N$45,5,0)+0,0))</f>
        <v>11</v>
      </c>
      <c r="CK1364" s="53" t="n">
        <f aca="false">IFERROR(IF(OR(CB1364=1,CB1364=2,CB1364=3),N(INDEX(Parameter!$I$5:$I$7,CB1364)),0),0)</f>
        <v>0</v>
      </c>
      <c r="CL1364" s="52" t="n">
        <f aca="false">IF(AND(Parameter!$B$21="Ja",ISNUMBER(W1364),N(X1364)&gt;0),IFERROR(N(INDEX(Parameter!$L$5:$L$7,W1364))*INDEX(Parameter!$E$5:$E$7,W1364)*X1364/SUMIFS($X$7:$X$1843,$W$7:$W$1843,W1364),0),0)</f>
        <v>0</v>
      </c>
    </row>
    <row r="1365" customFormat="false" ht="15" hidden="false" customHeight="false" outlineLevel="0" collapsed="false">
      <c r="A1365" s="48" t="s">
        <v>2409</v>
      </c>
      <c r="B1365" s="48" t="s">
        <v>2410</v>
      </c>
      <c r="C1365" s="48" t="s">
        <v>168</v>
      </c>
      <c r="D1365" s="48" t="s">
        <v>188</v>
      </c>
      <c r="E1365" s="48"/>
      <c r="F1365" s="48" t="s">
        <v>222</v>
      </c>
      <c r="G1365" s="49" t="n">
        <v>82.23</v>
      </c>
      <c r="H1365" s="50" t="n">
        <f aca="false">MAX(0,IF(AND(Parameter!$B$21="Ja",ISNUMBER(Y1365)),Y1365,IF(Parameter!$B$20="Jahresanfang 2025 + Export",BO1365+BN1365,BN1365)))</f>
        <v>4</v>
      </c>
      <c r="I1365" s="50" t="n">
        <f aca="false">H1365*G1365</f>
        <v>328.92</v>
      </c>
      <c r="J1365" s="50" t="n">
        <f aca="false">BQ1365*Parameter!$B$18</f>
        <v>3</v>
      </c>
      <c r="K1365" s="51" t="n">
        <v>31.5</v>
      </c>
      <c r="L1365" s="52" t="n">
        <v>0.0952380952380952</v>
      </c>
      <c r="M1365" s="50" t="n">
        <v>0</v>
      </c>
      <c r="N1365" s="50" t="n">
        <v>5</v>
      </c>
      <c r="O1365" s="53" t="n">
        <v>28</v>
      </c>
      <c r="P1365" s="48" t="s">
        <v>480</v>
      </c>
      <c r="Q1365" s="50" t="n">
        <v>10</v>
      </c>
      <c r="R1365" s="53" t="n">
        <f aca="false">IF(BW1365=1,0,IFERROR(VLOOKUP(BU1365,'Gebinde-Kategorie'!$A$5:$N$45,13,0)+0,0))</f>
        <v>52</v>
      </c>
      <c r="S1365" s="54"/>
      <c r="T1365" s="55"/>
      <c r="U1365" s="55"/>
      <c r="V1365" s="55"/>
      <c r="W1365" s="48"/>
      <c r="X1365" s="50"/>
      <c r="Y1365" s="50"/>
      <c r="Z1365" s="48" t="n">
        <f aca="false">IF(A1365="","",IF(AND(Parameter!$B$21="Ja",ISNUMBER(W1365)),W1365,IF(BZ1365="2+3",IF(ISNUMBER(SEARCH("grosser Artikel",BR1365)),2,IFERROR(VLOOKUP(BU1365,Parameter!$F$35:$G$64,2,0),2)),IF(OR(BZ1365="Nein",BZ1365=""),"-",BZ1365))))</f>
        <v>3</v>
      </c>
      <c r="AA1365" s="55"/>
      <c r="AB1365" s="56"/>
      <c r="AC1365" s="50" t="n">
        <f aca="false">AT1365</f>
        <v>10</v>
      </c>
      <c r="AD1365" s="50" t="n">
        <f aca="false">MAX(AT1365,H1365)</f>
        <v>10</v>
      </c>
      <c r="AE1365" s="57"/>
      <c r="AF1365" s="50" t="n">
        <f aca="false">IF(LEFT(Cockpit!$C$5,1)="A",H1365,IF(CE1365=1,CF1365,IF(LEFT(Cockpit!$C$5,1)="B",AK1365,MAX(AK1365,H1365))))</f>
        <v>4</v>
      </c>
      <c r="AG1365" s="50" t="n">
        <f aca="false">IF(BW1365=1,0,ROUNDUP(AF1365/BV1365,0))</f>
        <v>1</v>
      </c>
      <c r="AH1365" s="52" t="n">
        <f aca="false">IF(CL1365&gt;0,CL1365*MAX(1,AF1365/X1365),IF(BW1365=1,IF(AF1365&lt;=0,0,CA1365*MAX(1,IF(H1365&gt;0,AF1365/H1365,1))),IF(R1365&gt;0,AG1365/R1365,0))/MAX(0.1,N(Parameter!$M$21)))</f>
        <v>0.0192307692307692</v>
      </c>
      <c r="AI1365" s="50" t="n">
        <f aca="false">AH1365*BY1365</f>
        <v>2.98076923076923</v>
      </c>
      <c r="AJ1365" s="50" t="n">
        <f aca="false">AF1365*G1365</f>
        <v>328.92</v>
      </c>
      <c r="AK1365" s="50" t="n">
        <f aca="false">ROUNDUP(MAX(J1365/IF(CD1365&gt;0,CD1365,MAX(0.1,N(Cockpit!$C$6))),CG1365)/BV1365,0)*BV1365</f>
        <v>10</v>
      </c>
      <c r="AL1365" s="51" t="n">
        <f aca="false">IF(AI1365&gt;0,J1365/AI1365,-1)</f>
        <v>1.00645161290323</v>
      </c>
      <c r="AM1365" s="51" t="n">
        <f aca="false">IF(AND(OR(CC1365="L1",CC1365="L23",CC1365="LIFT"),AI1365&gt;0),SUMIFS($AI$7:$AI$1843,$CC$7:$CC$1843,CC1365,$AL$7:$AL$1843,"&gt;"&amp;AL1365)+SUMIFS($AI$7:$AI$1843,$CC$7:$CC$1843,CC1365,$AL$7:$AL$1843,AL1365,$BT$7:$BT$1843,"&lt;="&amp;BT1365),"")</f>
        <v>7050.44276556777</v>
      </c>
      <c r="AN1365" s="58" t="n">
        <f aca="false">IF(AM1365="",0,MAX(0,MIN(1,(IF(CC1365="L1",Parameter!$H$5,IF(CC1365="L23",Parameter!$H$6+Parameter!$H$7,Parameter!$H$5+Parameter!$H$6+Parameter!$H$7))-(AM1365-AI1365))/AI1365)))</f>
        <v>1</v>
      </c>
      <c r="AO1365" s="50" t="n">
        <f aca="false">IF(LEFT(Cockpit!$I$5,1)="A",H1365,IF(CE1365=1,CF1365,IF(LEFT(Cockpit!$I$5,1)="B",AT1365,MAX(AT1365,H1365))))</f>
        <v>10</v>
      </c>
      <c r="AP1365" s="50" t="n">
        <f aca="false">IF(BW1365=1,0,ROUNDUP(AO1365/BV1365,0))</f>
        <v>1</v>
      </c>
      <c r="AQ1365" s="52" t="n">
        <f aca="false">IF(CL1365&gt;0,CL1365*MAX(1,AO1365/X1365),IF(BW1365=1,IF(AO1365&lt;=0,0,CA1365*MAX(1,IF(H1365&gt;0,AO1365/H1365,1))),IF(R1365&gt;0,AP1365/R1365,0))/MAX(0.1,N(Parameter!$M$21)))</f>
        <v>0.0192307692307692</v>
      </c>
      <c r="AR1365" s="50" t="n">
        <f aca="false">AQ1365*BY1365</f>
        <v>2.98076923076923</v>
      </c>
      <c r="AS1365" s="50" t="n">
        <f aca="false">AO1365*G1365</f>
        <v>822.3</v>
      </c>
      <c r="AT1365" s="50" t="n">
        <f aca="false">ROUNDUP(MAX(J1365/IF(CD1365&gt;0,CD1365,MAX(0.1,N(Cockpit!$I$6))),CG1365)/BV1365,0)*BV1365</f>
        <v>10</v>
      </c>
      <c r="AU1365" s="51" t="n">
        <f aca="false">IF(AR1365&gt;0,J1365/AR1365,-1)</f>
        <v>1.00645161290323</v>
      </c>
      <c r="AV1365" s="51" t="n">
        <f aca="false">IF(AND(OR(CC1365="L1",CC1365="L23",CC1365="LIFT"),AR1365&gt;0),SUMIFS($AR$7:$AR$1843,$CC$7:$CC$1843,CC1365,$AU$7:$AU$1843,"&gt;"&amp;AU1365)+SUMIFS($AR$7:$AR$1843,$CC$7:$CC$1843,CC1365,$AU$7:$AU$1843,AU1365,$BT$7:$BT$1843,"&lt;="&amp;BT1365),"")</f>
        <v>10107.4688644689</v>
      </c>
      <c r="AW1365" s="58" t="n">
        <f aca="false">IF(AV1365="",0,MAX(0,MIN(1,(IF(CC1365="L1",Parameter!$H$5,IF(CC1365="L23",Parameter!$H$6+Parameter!$H$7,Parameter!$H$5+Parameter!$H$6+Parameter!$H$7))-(AV1365-AR1365))/AR1365)))</f>
        <v>1</v>
      </c>
      <c r="AX1365" s="50" t="n">
        <f aca="false">IF(LEFT(Cockpit!$O$5,1)="A",H1365,IF(CE1365=1,CF1365,IF(LEFT(Cockpit!$O$5,1)="B",BC1365,MAX(BC1365,H1365))))</f>
        <v>10</v>
      </c>
      <c r="AY1365" s="50" t="n">
        <f aca="false">IF(BW1365=1,0,ROUNDUP(AX1365/BV1365,0))</f>
        <v>1</v>
      </c>
      <c r="AZ1365" s="52" t="n">
        <f aca="false">IF(CL1365&gt;0,CL1365*MAX(1,AX1365/X1365),IF(BW1365=1,IF(AX1365&lt;=0,0,CA1365*MAX(1,IF(H1365&gt;0,AX1365/H1365,1))),IF(R1365&gt;0,AY1365/R1365,0))/MAX(0.1,N(Parameter!$M$21)))</f>
        <v>0.0192307692307692</v>
      </c>
      <c r="BA1365" s="50" t="n">
        <f aca="false">AZ1365*BY1365</f>
        <v>2.98076923076923</v>
      </c>
      <c r="BB1365" s="50" t="n">
        <f aca="false">AX1365*G1365</f>
        <v>822.3</v>
      </c>
      <c r="BC1365" s="50" t="n">
        <f aca="false">ROUNDUP(MAX(J1365/IF(CD1365&gt;0,CD1365,MAX(0.1,N(Cockpit!$O$6))),CG1365)/BV1365,0)*BV1365</f>
        <v>10</v>
      </c>
      <c r="BD1365" s="51" t="n">
        <f aca="false">IF(BA1365&gt;0,J1365/BA1365,-1)</f>
        <v>1.00645161290323</v>
      </c>
      <c r="BE1365" s="51" t="n">
        <f aca="false">IF(AND(OR(CC1365="L1",CC1365="L23",CC1365="LIFT"),BA1365&gt;0),SUMIFS($BA$7:$BA$1843,$CC$7:$CC$1843,CC1365,$BD$7:$BD$1843,"&gt;"&amp;BD1365)+SUMIFS($BA$7:$BA$1843,$CC$7:$CC$1843,CC1365,$BD$7:$BD$1843,BD1365,$BT$7:$BT$1843,"&lt;="&amp;BT1365),"")</f>
        <v>9313.95924908425</v>
      </c>
      <c r="BF1365" s="58" t="n">
        <f aca="false">IF(BE1365="",0,MAX(0,MIN(1,(IF(CC1365="L1",Parameter!$H$5,IF(CC1365="L23",Parameter!$H$6+Parameter!$H$7,Parameter!$H$5+Parameter!$H$6+Parameter!$H$7))-(BE1365-BA1365))/BA1365)))</f>
        <v>1</v>
      </c>
      <c r="BG1365" s="48" t="str">
        <f aca="false">IF(AI1365&lt;=0,"",IF(CC1365="Aussen","Aussenlager",IF(CC1365="-","Nicht im Lift",IF(AN1365&gt;=1,"Lift",IF(AN1365&lt;=0,"Aussenlager","teilweise")))))</f>
        <v>Lift</v>
      </c>
      <c r="BH1365" s="48" t="str">
        <f aca="false">IF(AR1365&lt;=0,"",IF(CC1365="Aussen","Aussenlager",IF(CC1365="-","Nicht im Lift",IF(AW1365&gt;=1,"Lift",IF(AW1365&lt;=0,"Aussenlager","teilweise")))))</f>
        <v>Lift</v>
      </c>
      <c r="BI1365" s="48" t="str">
        <f aca="false">IF(BA1365&lt;=0,"",IF(CC1365="Aussen","Aussenlager",IF(CC1365="-","Nicht im Lift",IF(BF1365&gt;=1,"Lift",IF(BF1365&lt;=0,"Aussenlager","teilweise")))))</f>
        <v>Lift</v>
      </c>
      <c r="BJ1365" s="48" t="str">
        <f aca="false">IF(A1365="","",IF(BS1365=1,"Neu; ","")&amp;IF(AND(BS1365=0,BN1365&lt;0),"negativer Bestand (Export "&amp;BN1365&amp;"); ","")&amp;IF(J1365&lt;=0,"Kein Verbrauch; ","")&amp;IF(CL1365&gt;0,"Lift "&amp;W1365&amp;" lt. Liftbericht (Fach "&amp;X1365&amp;" Stk); ",IF(BX1365=1,"Gebinde geschätzt ("&amp;T1365&amp;"); ",IF(BW1365=1,"Lose – Tablare geschätzt; ","")))&amp;IF(H1365&gt;AT1365,"Überbestand "&amp;ROUND(H1365-AT1365,0)&amp;" Stk / CHF "&amp;ROUND((H1365-AT1365)*G1365,0)&amp;"; ","")&amp;IF(AND(CE1365=1,CF1365&lt;CG1365),"MAX &lt; MB+LG; ","")&amp;IF(AND(CK1365&gt;0,CJ1365*10&gt;CK1365),"zu hoch für Tablar; ","")&amp;IF(AND(BS1365=0,OR(CE1365=1,AA1365&lt;&gt;"",U1365&lt;&gt;"",V1365&lt;&gt;"",AB1365&lt;&gt;"")),"manuell übersteuert; ","")&amp;IF(AND(BW1365=0,R1365=0),"Gebinde unbekannt / Stellmass fehlt; ","")&amp;IF(AND(BW1365=0,N(V1365)&lt;=0,N(Q1365)&lt;=0),"Menge pro Gebinde fehlt (Ist = 1 Gebinde); ","")&amp;BR1365)</f>
        <v>negativer Bestand (Export -30); </v>
      </c>
      <c r="BK1365" s="48"/>
      <c r="BL1365" s="48"/>
      <c r="BM1365" s="55"/>
      <c r="BN1365" s="50" t="n">
        <v>-30</v>
      </c>
      <c r="BO1365" s="50" t="n">
        <v>34</v>
      </c>
      <c r="BP1365" s="49" t="n">
        <v>-2466.9</v>
      </c>
      <c r="BQ1365" s="50" t="n">
        <v>3</v>
      </c>
      <c r="BR1365" s="48"/>
      <c r="BS1365" s="53" t="n">
        <v>0</v>
      </c>
      <c r="BT1365" s="53" t="n">
        <v>1365</v>
      </c>
      <c r="BU1365" s="48" t="str">
        <f aca="false">IF(U1365&lt;&gt;"",UPPER(TRIM(U1365)),IF(BX1365=1,UPPER(VLOOKUP(T1365,Parameter!$I$27:$K$29,2,0)),IF(P1365="","LOSE",P1365)))</f>
        <v>S33</v>
      </c>
      <c r="BV1365" s="50" t="n">
        <f aca="false">IF(BU1365="LOSE",1,IF(N(V1365)&gt;0,V1365,IF(BX1365=1,MAX(1,N(VLOOKUP(T1365,Parameter!$I$27:$K$29,3,0)),H1365,N(N1365)),IF(N(Q1365)&gt;0,Q1365,MAX(1,H1365)))))</f>
        <v>10</v>
      </c>
      <c r="BW1365" s="53" t="n">
        <f aca="false">IF(BU1365="LOSE",1,0)</f>
        <v>0</v>
      </c>
      <c r="BX1365" s="53" t="n">
        <f aca="false">IF(AND(U1365="",OR(P1365="",P1365="LOSE"),T1365&lt;&gt;"",N(S1365)&lt;=0,ISNUMBER(MATCH(T1365,Parameter!$I$27:$I$29,0))),1,0)</f>
        <v>0</v>
      </c>
      <c r="BY1365" s="53" t="n">
        <f aca="false">IF(CL1365&gt;0,INDEX(Parameter!$H$5:$H$7,W1365)/INDEX(Parameter!$E$5:$E$7,W1365),IF(AND(BW1365=0,N(IFERROR(VLOOKUP(BU1365,'Gebinde-Kategorie'!$A$5:$N$45,14,0),0))&gt;0),VLOOKUP(BU1365,'Gebinde-Kategorie'!$A$5:$N$45,14,0)*10+Parameter!$M$23,Parameter!$M$24))</f>
        <v>155</v>
      </c>
      <c r="BZ1365" s="48" t="str">
        <f aca="false">IF(AND(Parameter!$B$19="Ja",E1365&lt;&gt;"",ISNUMBER(MATCH(E1365,Parameter!$I$35:$I$52,0))),VLOOKUP(E1365,Parameter!$I$35:$J$52,2,0),IFERROR(VLOOKUP(D1365,Parameter!$A$35:$C$64,2,0),"Nein"))</f>
        <v>2+3</v>
      </c>
      <c r="CA1365" s="52" t="n">
        <f aca="false">IF(BW1365=0,0,IF(N(S1365)&gt;0,S1365,IFERROR(VLOOKUP(D1365,Parameter!$A$35:$C$64,3,0)+0,0)))</f>
        <v>0</v>
      </c>
      <c r="CB1365" s="48" t="n">
        <f aca="false">IF(AA1365&lt;&gt;"",AA1365,Z1365)</f>
        <v>3</v>
      </c>
      <c r="CC1365" s="48" t="str">
        <f aca="false">IF(OR(CB1365=1,CB1365=2,CB1365=3),IF(Parameter!$E$27="Ja","LIFT",IF(CB1365=1,"L1","L23")),IF(CB1365="Aussen","Aussen","-"))</f>
        <v>LIFT</v>
      </c>
      <c r="CD1365" s="59" t="n">
        <f aca="false">IF(N(AB1365)&gt;0,AB1365,0)</f>
        <v>0</v>
      </c>
      <c r="CE1365" s="53" t="n">
        <f aca="false">IF(ISNUMBER(AE1365),1,0)</f>
        <v>0</v>
      </c>
      <c r="CF1365" s="50" t="n">
        <f aca="false">N(AE1365)</f>
        <v>0</v>
      </c>
      <c r="CG1365" s="50" t="n">
        <f aca="false">N(M1365)+N(N1365)</f>
        <v>5</v>
      </c>
      <c r="CH1365" s="50" t="n">
        <f aca="false">ROUNDUP(H1365/BV1365,0)</f>
        <v>1</v>
      </c>
      <c r="CI1365" s="50" t="n">
        <f aca="false">ROUNDUP(CF1365/BV1365,0)</f>
        <v>0</v>
      </c>
      <c r="CJ1365" s="53" t="n">
        <f aca="false">IF(BW1365=1,0,IFERROR(VLOOKUP(BU1365,'Gebinde-Kategorie'!$A$5:$N$45,5,0)+0,0))</f>
        <v>8</v>
      </c>
      <c r="CK1365" s="53" t="n">
        <f aca="false">IFERROR(IF(OR(CB1365=1,CB1365=2,CB1365=3),N(INDEX(Parameter!$I$5:$I$7,CB1365)),0),0)</f>
        <v>0</v>
      </c>
      <c r="CL1365" s="52" t="n">
        <f aca="false">IF(AND(Parameter!$B$21="Ja",ISNUMBER(W1365),N(X1365)&gt;0),IFERROR(N(INDEX(Parameter!$L$5:$L$7,W1365))*INDEX(Parameter!$E$5:$E$7,W1365)*X1365/SUMIFS($X$7:$X$1843,$W$7:$W$1843,W1365),0),0)</f>
        <v>0</v>
      </c>
    </row>
    <row r="1366" customFormat="false" ht="15" hidden="false" customHeight="false" outlineLevel="0" collapsed="false">
      <c r="A1366" s="48" t="s">
        <v>2411</v>
      </c>
      <c r="B1366" s="48" t="s">
        <v>707</v>
      </c>
      <c r="C1366" s="48" t="s">
        <v>168</v>
      </c>
      <c r="D1366" s="48" t="s">
        <v>177</v>
      </c>
      <c r="E1366" s="48" t="s">
        <v>170</v>
      </c>
      <c r="F1366" s="48" t="s">
        <v>222</v>
      </c>
      <c r="G1366" s="49" t="n">
        <v>362.99</v>
      </c>
      <c r="H1366" s="50" t="n">
        <f aca="false">MAX(0,IF(AND(Parameter!$B$21="Ja",ISNUMBER(Y1366)),Y1366,IF(Parameter!$B$20="Jahresanfang 2025 + Export",BO1366+BN1366,BN1366)))</f>
        <v>17</v>
      </c>
      <c r="I1366" s="50" t="n">
        <f aca="false">H1366*G1366</f>
        <v>6170.83</v>
      </c>
      <c r="J1366" s="50" t="n">
        <f aca="false">BQ1366*Parameter!$B$18</f>
        <v>39</v>
      </c>
      <c r="K1366" s="51" t="n">
        <v>25.5</v>
      </c>
      <c r="L1366" s="52" t="n">
        <v>1.52941176470588</v>
      </c>
      <c r="M1366" s="50" t="n">
        <v>5</v>
      </c>
      <c r="N1366" s="50" t="n">
        <v>15</v>
      </c>
      <c r="O1366" s="53" t="n">
        <v>35</v>
      </c>
      <c r="P1366" s="48" t="s">
        <v>263</v>
      </c>
      <c r="Q1366" s="50" t="n">
        <v>10</v>
      </c>
      <c r="R1366" s="53" t="n">
        <f aca="false">IF(BW1366=1,0,IFERROR(VLOOKUP(BU1366,'Gebinde-Kategorie'!$A$5:$N$45,13,0)+0,0))</f>
        <v>6</v>
      </c>
      <c r="S1366" s="54"/>
      <c r="T1366" s="55"/>
      <c r="U1366" s="55"/>
      <c r="V1366" s="55"/>
      <c r="W1366" s="48"/>
      <c r="X1366" s="50"/>
      <c r="Y1366" s="50"/>
      <c r="Z1366" s="48" t="n">
        <f aca="false">IF(A1366="","",IF(AND(Parameter!$B$21="Ja",ISNUMBER(W1366)),W1366,IF(BZ1366="2+3",IF(ISNUMBER(SEARCH("grosser Artikel",BR1366)),2,IFERROR(VLOOKUP(BU1366,Parameter!$F$35:$G$64,2,0),2)),IF(OR(BZ1366="Nein",BZ1366=""),"-",BZ1366))))</f>
        <v>1</v>
      </c>
      <c r="AA1366" s="55"/>
      <c r="AB1366" s="56"/>
      <c r="AC1366" s="50" t="n">
        <f aca="false">AT1366</f>
        <v>20</v>
      </c>
      <c r="AD1366" s="50" t="n">
        <f aca="false">MAX(AT1366,H1366)</f>
        <v>20</v>
      </c>
      <c r="AE1366" s="57"/>
      <c r="AF1366" s="50" t="n">
        <f aca="false">IF(LEFT(Cockpit!$C$5,1)="A",H1366,IF(CE1366=1,CF1366,IF(LEFT(Cockpit!$C$5,1)="B",AK1366,MAX(AK1366,H1366))))</f>
        <v>17</v>
      </c>
      <c r="AG1366" s="50" t="n">
        <f aca="false">IF(BW1366=1,0,ROUNDUP(AF1366/BV1366,0))</f>
        <v>2</v>
      </c>
      <c r="AH1366" s="52" t="n">
        <f aca="false">IF(CL1366&gt;0,CL1366*MAX(1,AF1366/X1366),IF(BW1366=1,IF(AF1366&lt;=0,0,CA1366*MAX(1,IF(H1366&gt;0,AF1366/H1366,1))),IF(R1366&gt;0,AG1366/R1366,0))/MAX(0.1,N(Parameter!$M$21)))</f>
        <v>0.333333333333333</v>
      </c>
      <c r="AI1366" s="50" t="n">
        <f aca="false">AH1366*BY1366</f>
        <v>145</v>
      </c>
      <c r="AJ1366" s="50" t="n">
        <f aca="false">AF1366*G1366</f>
        <v>6170.83</v>
      </c>
      <c r="AK1366" s="50" t="n">
        <f aca="false">ROUNDUP(MAX(J1366/IF(CD1366&gt;0,CD1366,MAX(0.1,N(Cockpit!$C$6))),CG1366)/BV1366,0)*BV1366</f>
        <v>20</v>
      </c>
      <c r="AL1366" s="51" t="n">
        <f aca="false">IF(AI1366&gt;0,J1366/AI1366,-1)</f>
        <v>0.268965517241379</v>
      </c>
      <c r="AM1366" s="51" t="n">
        <f aca="false">IF(AND(OR(CC1366="L1",CC1366="L23",CC1366="LIFT"),AI1366&gt;0),SUMIFS($AI$7:$AI$1843,$CC$7:$CC$1843,CC1366,$AL$7:$AL$1843,"&gt;"&amp;AL1366)+SUMIFS($AI$7:$AI$1843,$CC$7:$CC$1843,CC1366,$AL$7:$AL$1843,AL1366,$BT$7:$BT$1843,"&lt;="&amp;BT1366),"")</f>
        <v>11852.7702629292</v>
      </c>
      <c r="AN1366" s="58" t="n">
        <f aca="false">IF(AM1366="",0,MAX(0,MIN(1,(IF(CC1366="L1",Parameter!$H$5,IF(CC1366="L23",Parameter!$H$6+Parameter!$H$7,Parameter!$H$5+Parameter!$H$6+Parameter!$H$7))-(AM1366-AI1366))/AI1366)))</f>
        <v>1</v>
      </c>
      <c r="AO1366" s="50" t="n">
        <f aca="false">IF(LEFT(Cockpit!$I$5,1)="A",H1366,IF(CE1366=1,CF1366,IF(LEFT(Cockpit!$I$5,1)="B",AT1366,MAX(AT1366,H1366))))</f>
        <v>20</v>
      </c>
      <c r="AP1366" s="50" t="n">
        <f aca="false">IF(BW1366=1,0,ROUNDUP(AO1366/BV1366,0))</f>
        <v>2</v>
      </c>
      <c r="AQ1366" s="52" t="n">
        <f aca="false">IF(CL1366&gt;0,CL1366*MAX(1,AO1366/X1366),IF(BW1366=1,IF(AO1366&lt;=0,0,CA1366*MAX(1,IF(H1366&gt;0,AO1366/H1366,1))),IF(R1366&gt;0,AP1366/R1366,0))/MAX(0.1,N(Parameter!$M$21)))</f>
        <v>0.333333333333333</v>
      </c>
      <c r="AR1366" s="50" t="n">
        <f aca="false">AQ1366*BY1366</f>
        <v>145</v>
      </c>
      <c r="AS1366" s="50" t="n">
        <f aca="false">AO1366*G1366</f>
        <v>7259.8</v>
      </c>
      <c r="AT1366" s="50" t="n">
        <f aca="false">ROUNDUP(MAX(J1366/IF(CD1366&gt;0,CD1366,MAX(0.1,N(Cockpit!$I$6))),CG1366)/BV1366,0)*BV1366</f>
        <v>20</v>
      </c>
      <c r="AU1366" s="51" t="n">
        <f aca="false">IF(AR1366&gt;0,J1366/AR1366,-1)</f>
        <v>0.268965517241379</v>
      </c>
      <c r="AV1366" s="51" t="n">
        <f aca="false">IF(AND(OR(CC1366="L1",CC1366="L23",CC1366="LIFT"),AR1366&gt;0),SUMIFS($AR$7:$AR$1843,$CC$7:$CC$1843,CC1366,$AU$7:$AU$1843,"&gt;"&amp;AU1366)+SUMIFS($AR$7:$AR$1843,$CC$7:$CC$1843,CC1366,$AU$7:$AU$1843,AU1366,$BT$7:$BT$1843,"&lt;="&amp;BT1366),"")</f>
        <v>17394.3017399267</v>
      </c>
      <c r="AW1366" s="58" t="n">
        <f aca="false">IF(AV1366="",0,MAX(0,MIN(1,(IF(CC1366="L1",Parameter!$H$5,IF(CC1366="L23",Parameter!$H$6+Parameter!$H$7,Parameter!$H$5+Parameter!$H$6+Parameter!$H$7))-(AV1366-AR1366))/AR1366)))</f>
        <v>1</v>
      </c>
      <c r="AX1366" s="50" t="n">
        <f aca="false">IF(LEFT(Cockpit!$O$5,1)="A",H1366,IF(CE1366=1,CF1366,IF(LEFT(Cockpit!$O$5,1)="B",BC1366,MAX(BC1366,H1366))))</f>
        <v>20</v>
      </c>
      <c r="AY1366" s="50" t="n">
        <f aca="false">IF(BW1366=1,0,ROUNDUP(AX1366/BV1366,0))</f>
        <v>2</v>
      </c>
      <c r="AZ1366" s="52" t="n">
        <f aca="false">IF(CL1366&gt;0,CL1366*MAX(1,AX1366/X1366),IF(BW1366=1,IF(AX1366&lt;=0,0,CA1366*MAX(1,IF(H1366&gt;0,AX1366/H1366,1))),IF(R1366&gt;0,AY1366/R1366,0))/MAX(0.1,N(Parameter!$M$21)))</f>
        <v>0.333333333333333</v>
      </c>
      <c r="BA1366" s="50" t="n">
        <f aca="false">AZ1366*BY1366</f>
        <v>145</v>
      </c>
      <c r="BB1366" s="50" t="n">
        <f aca="false">AX1366*G1366</f>
        <v>7259.8</v>
      </c>
      <c r="BC1366" s="50" t="n">
        <f aca="false">ROUNDUP(MAX(J1366/IF(CD1366&gt;0,CD1366,MAX(0.1,N(Cockpit!$O$6))),CG1366)/BV1366,0)*BV1366</f>
        <v>20</v>
      </c>
      <c r="BD1366" s="51" t="n">
        <f aca="false">IF(BA1366&gt;0,J1366/BA1366,-1)</f>
        <v>0.268965517241379</v>
      </c>
      <c r="BE1366" s="51" t="n">
        <f aca="false">IF(AND(OR(CC1366="L1",CC1366="L23",CC1366="LIFT"),BA1366&gt;0),SUMIFS($BA$7:$BA$1843,$CC$7:$CC$1843,CC1366,$BD$7:$BD$1843,"&gt;"&amp;BD1366)+SUMIFS($BA$7:$BA$1843,$CC$7:$CC$1843,CC1366,$BD$7:$BD$1843,BD1366,$BT$7:$BT$1843,"&lt;="&amp;BT1366),"")</f>
        <v>16340.7921245421</v>
      </c>
      <c r="BF1366" s="58" t="n">
        <f aca="false">IF(BE1366="",0,MAX(0,MIN(1,(IF(CC1366="L1",Parameter!$H$5,IF(CC1366="L23",Parameter!$H$6+Parameter!$H$7,Parameter!$H$5+Parameter!$H$6+Parameter!$H$7))-(BE1366-BA1366))/BA1366)))</f>
        <v>1</v>
      </c>
      <c r="BG1366" s="48" t="str">
        <f aca="false">IF(AI1366&lt;=0,"",IF(CC1366="Aussen","Aussenlager",IF(CC1366="-","Nicht im Lift",IF(AN1366&gt;=1,"Lift",IF(AN1366&lt;=0,"Aussenlager","teilweise")))))</f>
        <v>Lift</v>
      </c>
      <c r="BH1366" s="48" t="str">
        <f aca="false">IF(AR1366&lt;=0,"",IF(CC1366="Aussen","Aussenlager",IF(CC1366="-","Nicht im Lift",IF(AW1366&gt;=1,"Lift",IF(AW1366&lt;=0,"Aussenlager","teilweise")))))</f>
        <v>Lift</v>
      </c>
      <c r="BI1366" s="48" t="str">
        <f aca="false">IF(BA1366&lt;=0,"",IF(CC1366="Aussen","Aussenlager",IF(CC1366="-","Nicht im Lift",IF(BF1366&gt;=1,"Lift",IF(BF1366&lt;=0,"Aussenlager","teilweise")))))</f>
        <v>Lift</v>
      </c>
      <c r="BJ1366" s="48" t="str">
        <f aca="false">IF(A1366="","",IF(BS1366=1,"Neu; ","")&amp;IF(AND(BS1366=0,BN1366&lt;0),"negativer Bestand (Export "&amp;BN1366&amp;"); ","")&amp;IF(J1366&lt;=0,"Kein Verbrauch; ","")&amp;IF(CL1366&gt;0,"Lift "&amp;W1366&amp;" lt. Liftbericht (Fach "&amp;X1366&amp;" Stk); ",IF(BX1366=1,"Gebinde geschätzt ("&amp;T1366&amp;"); ",IF(BW1366=1,"Lose – Tablare geschätzt; ","")))&amp;IF(H1366&gt;AT1366,"Überbestand "&amp;ROUND(H1366-AT1366,0)&amp;" Stk / CHF "&amp;ROUND((H1366-AT1366)*G1366,0)&amp;"; ","")&amp;IF(AND(CE1366=1,CF1366&lt;CG1366),"MAX &lt; MB+LG; ","")&amp;IF(AND(CK1366&gt;0,CJ1366*10&gt;CK1366),"zu hoch für Tablar; ","")&amp;IF(AND(BS1366=0,OR(CE1366=1,AA1366&lt;&gt;"",U1366&lt;&gt;"",V1366&lt;&gt;"",AB1366&lt;&gt;"")),"manuell übersteuert; ","")&amp;IF(AND(BW1366=0,R1366=0),"Gebinde unbekannt / Stellmass fehlt; ","")&amp;IF(AND(BW1366=0,N(V1366)&lt;=0,N(Q1366)&lt;=0),"Menge pro Gebinde fehlt (Ist = 1 Gebinde); ","")&amp;BR1366)</f>
        <v>negativer Bestand (Export -7); </v>
      </c>
      <c r="BK1366" s="48"/>
      <c r="BL1366" s="48"/>
      <c r="BM1366" s="55"/>
      <c r="BN1366" s="50" t="n">
        <v>-7</v>
      </c>
      <c r="BO1366" s="50" t="n">
        <v>24</v>
      </c>
      <c r="BP1366" s="49" t="n">
        <v>-2540.21000000001</v>
      </c>
      <c r="BQ1366" s="50" t="n">
        <v>39</v>
      </c>
      <c r="BR1366" s="48"/>
      <c r="BS1366" s="53" t="n">
        <v>0</v>
      </c>
      <c r="BT1366" s="53" t="n">
        <v>1366</v>
      </c>
      <c r="BU1366" s="48" t="str">
        <f aca="false">IF(U1366&lt;&gt;"",UPPER(TRIM(U1366)),IF(BX1366=1,UPPER(VLOOKUP(T1366,Parameter!$I$27:$K$29,2,0)),IF(P1366="","LOSE",P1366)))</f>
        <v>S72</v>
      </c>
      <c r="BV1366" s="50" t="n">
        <f aca="false">IF(BU1366="LOSE",1,IF(N(V1366)&gt;0,V1366,IF(BX1366=1,MAX(1,N(VLOOKUP(T1366,Parameter!$I$27:$K$29,3,0)),H1366,N(N1366)),IF(N(Q1366)&gt;0,Q1366,MAX(1,H1366)))))</f>
        <v>10</v>
      </c>
      <c r="BW1366" s="53" t="n">
        <f aca="false">IF(BU1366="LOSE",1,0)</f>
        <v>0</v>
      </c>
      <c r="BX1366" s="53" t="n">
        <f aca="false">IF(AND(U1366="",OR(P1366="",P1366="LOSE"),T1366&lt;&gt;"",N(S1366)&lt;=0,ISNUMBER(MATCH(T1366,Parameter!$I$27:$I$29,0))),1,0)</f>
        <v>0</v>
      </c>
      <c r="BY1366" s="53" t="n">
        <f aca="false">IF(CL1366&gt;0,INDEX(Parameter!$H$5:$H$7,W1366)/INDEX(Parameter!$E$5:$E$7,W1366),IF(AND(BW1366=0,N(IFERROR(VLOOKUP(BU1366,'Gebinde-Kategorie'!$A$5:$N$45,14,0),0))&gt;0),VLOOKUP(BU1366,'Gebinde-Kategorie'!$A$5:$N$45,14,0)*10+Parameter!$M$23,Parameter!$M$24))</f>
        <v>435</v>
      </c>
      <c r="BZ1366" s="48" t="n">
        <f aca="false">IF(AND(Parameter!$B$19="Ja",E1366&lt;&gt;"",ISNUMBER(MATCH(E1366,Parameter!$I$35:$I$52,0))),VLOOKUP(E1366,Parameter!$I$35:$J$52,2,0),IFERROR(VLOOKUP(D1366,Parameter!$A$35:$C$64,2,0),"Nein"))</f>
        <v>1</v>
      </c>
      <c r="CA1366" s="52" t="n">
        <f aca="false">IF(BW1366=0,0,IF(N(S1366)&gt;0,S1366,IFERROR(VLOOKUP(D1366,Parameter!$A$35:$C$64,3,0)+0,0)))</f>
        <v>0</v>
      </c>
      <c r="CB1366" s="48" t="n">
        <f aca="false">IF(AA1366&lt;&gt;"",AA1366,Z1366)</f>
        <v>1</v>
      </c>
      <c r="CC1366" s="48" t="str">
        <f aca="false">IF(OR(CB1366=1,CB1366=2,CB1366=3),IF(Parameter!$E$27="Ja","LIFT",IF(CB1366=1,"L1","L23")),IF(CB1366="Aussen","Aussen","-"))</f>
        <v>LIFT</v>
      </c>
      <c r="CD1366" s="59" t="n">
        <f aca="false">IF(N(AB1366)&gt;0,AB1366,0)</f>
        <v>0</v>
      </c>
      <c r="CE1366" s="53" t="n">
        <f aca="false">IF(ISNUMBER(AE1366),1,0)</f>
        <v>0</v>
      </c>
      <c r="CF1366" s="50" t="n">
        <f aca="false">N(AE1366)</f>
        <v>0</v>
      </c>
      <c r="CG1366" s="50" t="n">
        <f aca="false">N(M1366)+N(N1366)</f>
        <v>20</v>
      </c>
      <c r="CH1366" s="50" t="n">
        <f aca="false">ROUNDUP(H1366/BV1366,0)</f>
        <v>2</v>
      </c>
      <c r="CI1366" s="50" t="n">
        <f aca="false">ROUNDUP(CF1366/BV1366,0)</f>
        <v>0</v>
      </c>
      <c r="CJ1366" s="53" t="n">
        <f aca="false">IF(BW1366=1,0,IFERROR(VLOOKUP(BU1366,'Gebinde-Kategorie'!$A$5:$N$45,5,0)+0,0))</f>
        <v>40</v>
      </c>
      <c r="CK1366" s="53" t="n">
        <f aca="false">IFERROR(IF(OR(CB1366=1,CB1366=2,CB1366=3),N(INDEX(Parameter!$I$5:$I$7,CB1366)),0),0)</f>
        <v>0</v>
      </c>
      <c r="CL1366" s="52" t="n">
        <f aca="false">IF(AND(Parameter!$B$21="Ja",ISNUMBER(W1366),N(X1366)&gt;0),IFERROR(N(INDEX(Parameter!$L$5:$L$7,W1366))*INDEX(Parameter!$E$5:$E$7,W1366)*X1366/SUMIFS($X$7:$X$1843,$W$7:$W$1843,W1366),0),0)</f>
        <v>0</v>
      </c>
    </row>
    <row r="1367" customFormat="false" ht="15" hidden="false" customHeight="false" outlineLevel="0" collapsed="false">
      <c r="A1367" s="48" t="s">
        <v>2412</v>
      </c>
      <c r="B1367" s="48" t="s">
        <v>2413</v>
      </c>
      <c r="C1367" s="48" t="s">
        <v>168</v>
      </c>
      <c r="D1367" s="48" t="s">
        <v>188</v>
      </c>
      <c r="E1367" s="48" t="s">
        <v>189</v>
      </c>
      <c r="F1367" s="48" t="s">
        <v>222</v>
      </c>
      <c r="G1367" s="49" t="n">
        <v>24.67</v>
      </c>
      <c r="H1367" s="50" t="n">
        <f aca="false">MAX(0,IF(AND(Parameter!$B$21="Ja",ISNUMBER(Y1367)),Y1367,IF(Parameter!$B$20="Jahresanfang 2025 + Export",BO1367+BN1367,BN1367)))</f>
        <v>32</v>
      </c>
      <c r="I1367" s="50" t="n">
        <f aca="false">H1367*G1367</f>
        <v>789.44</v>
      </c>
      <c r="J1367" s="50" t="n">
        <f aca="false">BQ1367*Parameter!$B$18</f>
        <v>22</v>
      </c>
      <c r="K1367" s="51" t="n">
        <v>121</v>
      </c>
      <c r="L1367" s="52" t="n">
        <v>0.181818181818182</v>
      </c>
      <c r="M1367" s="50" t="n">
        <v>1</v>
      </c>
      <c r="N1367" s="50" t="n">
        <v>20</v>
      </c>
      <c r="O1367" s="53" t="n">
        <v>28</v>
      </c>
      <c r="P1367" s="48" t="s">
        <v>306</v>
      </c>
      <c r="Q1367" s="50" t="n">
        <v>60</v>
      </c>
      <c r="R1367" s="53" t="n">
        <f aca="false">IF(BW1367=1,0,IFERROR(VLOOKUP(BU1367,'Gebinde-Kategorie'!$A$5:$N$45,13,0)+0,0))</f>
        <v>26</v>
      </c>
      <c r="S1367" s="54"/>
      <c r="T1367" s="55"/>
      <c r="U1367" s="55"/>
      <c r="V1367" s="55"/>
      <c r="W1367" s="48"/>
      <c r="X1367" s="50"/>
      <c r="Y1367" s="50"/>
      <c r="Z1367" s="48" t="n">
        <f aca="false">IF(A1367="","",IF(AND(Parameter!$B$21="Ja",ISNUMBER(W1367)),W1367,IF(BZ1367="2+3",IF(ISNUMBER(SEARCH("grosser Artikel",BR1367)),2,IFERROR(VLOOKUP(BU1367,Parameter!$F$35:$G$64,2,0),2)),IF(OR(BZ1367="Nein",BZ1367=""),"-",BZ1367))))</f>
        <v>3</v>
      </c>
      <c r="AA1367" s="55"/>
      <c r="AB1367" s="56"/>
      <c r="AC1367" s="50" t="n">
        <f aca="false">AT1367</f>
        <v>60</v>
      </c>
      <c r="AD1367" s="50" t="n">
        <f aca="false">MAX(AT1367,H1367)</f>
        <v>60</v>
      </c>
      <c r="AE1367" s="57"/>
      <c r="AF1367" s="50" t="n">
        <f aca="false">IF(LEFT(Cockpit!$C$5,1)="A",H1367,IF(CE1367=1,CF1367,IF(LEFT(Cockpit!$C$5,1)="B",AK1367,MAX(AK1367,H1367))))</f>
        <v>32</v>
      </c>
      <c r="AG1367" s="50" t="n">
        <f aca="false">IF(BW1367=1,0,ROUNDUP(AF1367/BV1367,0))</f>
        <v>1</v>
      </c>
      <c r="AH1367" s="52" t="n">
        <f aca="false">IF(CL1367&gt;0,CL1367*MAX(1,AF1367/X1367),IF(BW1367=1,IF(AF1367&lt;=0,0,CA1367*MAX(1,IF(H1367&gt;0,AF1367/H1367,1))),IF(R1367&gt;0,AG1367/R1367,0))/MAX(0.1,N(Parameter!$M$21)))</f>
        <v>0.0384615384615385</v>
      </c>
      <c r="AI1367" s="50" t="n">
        <f aca="false">AH1367*BY1367</f>
        <v>5.96153846153846</v>
      </c>
      <c r="AJ1367" s="50" t="n">
        <f aca="false">AF1367*G1367</f>
        <v>789.44</v>
      </c>
      <c r="AK1367" s="50" t="n">
        <f aca="false">ROUNDUP(MAX(J1367/IF(CD1367&gt;0,CD1367,MAX(0.1,N(Cockpit!$C$6))),CG1367)/BV1367,0)*BV1367</f>
        <v>60</v>
      </c>
      <c r="AL1367" s="51" t="n">
        <f aca="false">IF(AI1367&gt;0,J1367/AI1367,-1)</f>
        <v>3.69032258064516</v>
      </c>
      <c r="AM1367" s="51" t="n">
        <f aca="false">IF(AND(OR(CC1367="L1",CC1367="L23",CC1367="LIFT"),AI1367&gt;0),SUMIFS($AI$7:$AI$1843,$CC$7:$CC$1843,CC1367,$AL$7:$AL$1843,"&gt;"&amp;AL1367)+SUMIFS($AI$7:$AI$1843,$CC$7:$CC$1843,CC1367,$AL$7:$AL$1843,AL1367,$BT$7:$BT$1843,"&lt;="&amp;BT1367),"")</f>
        <v>4778.73717948718</v>
      </c>
      <c r="AN1367" s="58" t="n">
        <f aca="false">IF(AM1367="",0,MAX(0,MIN(1,(IF(CC1367="L1",Parameter!$H$5,IF(CC1367="L23",Parameter!$H$6+Parameter!$H$7,Parameter!$H$5+Parameter!$H$6+Parameter!$H$7))-(AM1367-AI1367))/AI1367)))</f>
        <v>1</v>
      </c>
      <c r="AO1367" s="50" t="n">
        <f aca="false">IF(LEFT(Cockpit!$I$5,1)="A",H1367,IF(CE1367=1,CF1367,IF(LEFT(Cockpit!$I$5,1)="B",AT1367,MAX(AT1367,H1367))))</f>
        <v>60</v>
      </c>
      <c r="AP1367" s="50" t="n">
        <f aca="false">IF(BW1367=1,0,ROUNDUP(AO1367/BV1367,0))</f>
        <v>1</v>
      </c>
      <c r="AQ1367" s="52" t="n">
        <f aca="false">IF(CL1367&gt;0,CL1367*MAX(1,AO1367/X1367),IF(BW1367=1,IF(AO1367&lt;=0,0,CA1367*MAX(1,IF(H1367&gt;0,AO1367/H1367,1))),IF(R1367&gt;0,AP1367/R1367,0))/MAX(0.1,N(Parameter!$M$21)))</f>
        <v>0.0384615384615385</v>
      </c>
      <c r="AR1367" s="50" t="n">
        <f aca="false">AQ1367*BY1367</f>
        <v>5.96153846153846</v>
      </c>
      <c r="AS1367" s="50" t="n">
        <f aca="false">AO1367*G1367</f>
        <v>1480.2</v>
      </c>
      <c r="AT1367" s="50" t="n">
        <f aca="false">ROUNDUP(MAX(J1367/IF(CD1367&gt;0,CD1367,MAX(0.1,N(Cockpit!$I$6))),CG1367)/BV1367,0)*BV1367</f>
        <v>60</v>
      </c>
      <c r="AU1367" s="51" t="n">
        <f aca="false">IF(AR1367&gt;0,J1367/AR1367,-1)</f>
        <v>3.69032258064516</v>
      </c>
      <c r="AV1367" s="51" t="n">
        <f aca="false">IF(AND(OR(CC1367="L1",CC1367="L23",CC1367="LIFT"),AR1367&gt;0),SUMIFS($AR$7:$AR$1843,$CC$7:$CC$1843,CC1367,$AU$7:$AU$1843,"&gt;"&amp;AU1367)+SUMIFS($AR$7:$AR$1843,$CC$7:$CC$1843,CC1367,$AU$7:$AU$1843,AU1367,$BT$7:$BT$1843,"&lt;="&amp;BT1367),"")</f>
        <v>5944.86767399267</v>
      </c>
      <c r="AW1367" s="58" t="n">
        <f aca="false">IF(AV1367="",0,MAX(0,MIN(1,(IF(CC1367="L1",Parameter!$H$5,IF(CC1367="L23",Parameter!$H$6+Parameter!$H$7,Parameter!$H$5+Parameter!$H$6+Parameter!$H$7))-(AV1367-AR1367))/AR1367)))</f>
        <v>1</v>
      </c>
      <c r="AX1367" s="50" t="n">
        <f aca="false">IF(LEFT(Cockpit!$O$5,1)="A",H1367,IF(CE1367=1,CF1367,IF(LEFT(Cockpit!$O$5,1)="B",BC1367,MAX(BC1367,H1367))))</f>
        <v>60</v>
      </c>
      <c r="AY1367" s="50" t="n">
        <f aca="false">IF(BW1367=1,0,ROUNDUP(AX1367/BV1367,0))</f>
        <v>1</v>
      </c>
      <c r="AZ1367" s="52" t="n">
        <f aca="false">IF(CL1367&gt;0,CL1367*MAX(1,AX1367/X1367),IF(BW1367=1,IF(AX1367&lt;=0,0,CA1367*MAX(1,IF(H1367&gt;0,AX1367/H1367,1))),IF(R1367&gt;0,AY1367/R1367,0))/MAX(0.1,N(Parameter!$M$21)))</f>
        <v>0.0384615384615385</v>
      </c>
      <c r="BA1367" s="50" t="n">
        <f aca="false">AZ1367*BY1367</f>
        <v>5.96153846153846</v>
      </c>
      <c r="BB1367" s="50" t="n">
        <f aca="false">AX1367*G1367</f>
        <v>1480.2</v>
      </c>
      <c r="BC1367" s="50" t="n">
        <f aca="false">ROUNDUP(MAX(J1367/IF(CD1367&gt;0,CD1367,MAX(0.1,N(Cockpit!$O$6))),CG1367)/BV1367,0)*BV1367</f>
        <v>60</v>
      </c>
      <c r="BD1367" s="51" t="n">
        <f aca="false">IF(BA1367&gt;0,J1367/BA1367,-1)</f>
        <v>3.69032258064516</v>
      </c>
      <c r="BE1367" s="51" t="n">
        <f aca="false">IF(AND(OR(CC1367="L1",CC1367="L23",CC1367="LIFT"),BA1367&gt;0),SUMIFS($BA$7:$BA$1843,$CC$7:$CC$1843,CC1367,$BD$7:$BD$1843,"&gt;"&amp;BD1367)+SUMIFS($BA$7:$BA$1843,$CC$7:$CC$1843,CC1367,$BD$7:$BD$1843,BD1367,$BT$7:$BT$1843,"&lt;="&amp;BT1367),"")</f>
        <v>5846.45421245421</v>
      </c>
      <c r="BF1367" s="58" t="n">
        <f aca="false">IF(BE1367="",0,MAX(0,MIN(1,(IF(CC1367="L1",Parameter!$H$5,IF(CC1367="L23",Parameter!$H$6+Parameter!$H$7,Parameter!$H$5+Parameter!$H$6+Parameter!$H$7))-(BE1367-BA1367))/BA1367)))</f>
        <v>1</v>
      </c>
      <c r="BG1367" s="48" t="str">
        <f aca="false">IF(AI1367&lt;=0,"",IF(CC1367="Aussen","Aussenlager",IF(CC1367="-","Nicht im Lift",IF(AN1367&gt;=1,"Lift",IF(AN1367&lt;=0,"Aussenlager","teilweise")))))</f>
        <v>Lift</v>
      </c>
      <c r="BH1367" s="48" t="str">
        <f aca="false">IF(AR1367&lt;=0,"",IF(CC1367="Aussen","Aussenlager",IF(CC1367="-","Nicht im Lift",IF(AW1367&gt;=1,"Lift",IF(AW1367&lt;=0,"Aussenlager","teilweise")))))</f>
        <v>Lift</v>
      </c>
      <c r="BI1367" s="48" t="str">
        <f aca="false">IF(BA1367&lt;=0,"",IF(CC1367="Aussen","Aussenlager",IF(CC1367="-","Nicht im Lift",IF(BF1367&gt;=1,"Lift",IF(BF1367&lt;=0,"Aussenlager","teilweise")))))</f>
        <v>Lift</v>
      </c>
      <c r="BJ1367" s="48" t="str">
        <f aca="false">IF(A1367="","",IF(BS1367=1,"Neu; ","")&amp;IF(AND(BS1367=0,BN1367&lt;0),"negativer Bestand (Export "&amp;BN1367&amp;"); ","")&amp;IF(J1367&lt;=0,"Kein Verbrauch; ","")&amp;IF(CL1367&gt;0,"Lift "&amp;W1367&amp;" lt. Liftbericht (Fach "&amp;X1367&amp;" Stk); ",IF(BX1367=1,"Gebinde geschätzt ("&amp;T1367&amp;"); ",IF(BW1367=1,"Lose – Tablare geschätzt; ","")))&amp;IF(H1367&gt;AT1367,"Überbestand "&amp;ROUND(H1367-AT1367,0)&amp;" Stk / CHF "&amp;ROUND((H1367-AT1367)*G1367,0)&amp;"; ","")&amp;IF(AND(CE1367=1,CF1367&lt;CG1367),"MAX &lt; MB+LG; ","")&amp;IF(AND(CK1367&gt;0,CJ1367*10&gt;CK1367),"zu hoch für Tablar; ","")&amp;IF(AND(BS1367=0,OR(CE1367=1,AA1367&lt;&gt;"",U1367&lt;&gt;"",V1367&lt;&gt;"",AB1367&lt;&gt;"")),"manuell übersteuert; ","")&amp;IF(AND(BW1367=0,R1367=0),"Gebinde unbekannt / Stellmass fehlt; ","")&amp;IF(AND(BW1367=0,N(V1367)&lt;=0,N(Q1367)&lt;=0),"Menge pro Gebinde fehlt (Ist = 1 Gebinde); ","")&amp;BR1367)</f>
        <v>negativer Bestand (Export -103); B&amp;R</v>
      </c>
      <c r="BK1367" s="48"/>
      <c r="BL1367" s="48"/>
      <c r="BM1367" s="55"/>
      <c r="BN1367" s="50" t="n">
        <v>-103</v>
      </c>
      <c r="BO1367" s="50" t="n">
        <v>135</v>
      </c>
      <c r="BP1367" s="49" t="n">
        <v>-2541.01</v>
      </c>
      <c r="BQ1367" s="50" t="n">
        <v>22</v>
      </c>
      <c r="BR1367" s="48" t="s">
        <v>2221</v>
      </c>
      <c r="BS1367" s="53" t="n">
        <v>0</v>
      </c>
      <c r="BT1367" s="53" t="n">
        <v>1367</v>
      </c>
      <c r="BU1367" s="48" t="str">
        <f aca="false">IF(U1367&lt;&gt;"",UPPER(TRIM(U1367)),IF(BX1367=1,UPPER(VLOOKUP(T1367,Parameter!$I$27:$K$29,2,0)),IF(P1367="","LOSE",P1367)))</f>
        <v>S51</v>
      </c>
      <c r="BV1367" s="50" t="n">
        <f aca="false">IF(BU1367="LOSE",1,IF(N(V1367)&gt;0,V1367,IF(BX1367=1,MAX(1,N(VLOOKUP(T1367,Parameter!$I$27:$K$29,3,0)),H1367,N(N1367)),IF(N(Q1367)&gt;0,Q1367,MAX(1,H1367)))))</f>
        <v>60</v>
      </c>
      <c r="BW1367" s="53" t="n">
        <f aca="false">IF(BU1367="LOSE",1,0)</f>
        <v>0</v>
      </c>
      <c r="BX1367" s="53" t="n">
        <f aca="false">IF(AND(U1367="",OR(P1367="",P1367="LOSE"),T1367&lt;&gt;"",N(S1367)&lt;=0,ISNUMBER(MATCH(T1367,Parameter!$I$27:$I$29,0))),1,0)</f>
        <v>0</v>
      </c>
      <c r="BY1367" s="53" t="n">
        <f aca="false">IF(CL1367&gt;0,INDEX(Parameter!$H$5:$H$7,W1367)/INDEX(Parameter!$E$5:$E$7,W1367),IF(AND(BW1367=0,N(IFERROR(VLOOKUP(BU1367,'Gebinde-Kategorie'!$A$5:$N$45,14,0),0))&gt;0),VLOOKUP(BU1367,'Gebinde-Kategorie'!$A$5:$N$45,14,0)*10+Parameter!$M$23,Parameter!$M$24))</f>
        <v>155</v>
      </c>
      <c r="BZ1367" s="48" t="str">
        <f aca="false">IF(AND(Parameter!$B$19="Ja",E1367&lt;&gt;"",ISNUMBER(MATCH(E1367,Parameter!$I$35:$I$52,0))),VLOOKUP(E1367,Parameter!$I$35:$J$52,2,0),IFERROR(VLOOKUP(D1367,Parameter!$A$35:$C$64,2,0),"Nein"))</f>
        <v>2+3</v>
      </c>
      <c r="CA1367" s="52" t="n">
        <f aca="false">IF(BW1367=0,0,IF(N(S1367)&gt;0,S1367,IFERROR(VLOOKUP(D1367,Parameter!$A$35:$C$64,3,0)+0,0)))</f>
        <v>0</v>
      </c>
      <c r="CB1367" s="48" t="n">
        <f aca="false">IF(AA1367&lt;&gt;"",AA1367,Z1367)</f>
        <v>3</v>
      </c>
      <c r="CC1367" s="48" t="str">
        <f aca="false">IF(OR(CB1367=1,CB1367=2,CB1367=3),IF(Parameter!$E$27="Ja","LIFT",IF(CB1367=1,"L1","L23")),IF(CB1367="Aussen","Aussen","-"))</f>
        <v>LIFT</v>
      </c>
      <c r="CD1367" s="59" t="n">
        <f aca="false">IF(N(AB1367)&gt;0,AB1367,0)</f>
        <v>0</v>
      </c>
      <c r="CE1367" s="53" t="n">
        <f aca="false">IF(ISNUMBER(AE1367),1,0)</f>
        <v>0</v>
      </c>
      <c r="CF1367" s="50" t="n">
        <f aca="false">N(AE1367)</f>
        <v>0</v>
      </c>
      <c r="CG1367" s="50" t="n">
        <f aca="false">N(M1367)+N(N1367)</f>
        <v>21</v>
      </c>
      <c r="CH1367" s="50" t="n">
        <f aca="false">ROUNDUP(H1367/BV1367,0)</f>
        <v>1</v>
      </c>
      <c r="CI1367" s="50" t="n">
        <f aca="false">ROUNDUP(CF1367/BV1367,0)</f>
        <v>0</v>
      </c>
      <c r="CJ1367" s="53" t="n">
        <f aca="false">IF(BW1367=1,0,IFERROR(VLOOKUP(BU1367,'Gebinde-Kategorie'!$A$5:$N$45,5,0)+0,0))</f>
        <v>11</v>
      </c>
      <c r="CK1367" s="53" t="n">
        <f aca="false">IFERROR(IF(OR(CB1367=1,CB1367=2,CB1367=3),N(INDEX(Parameter!$I$5:$I$7,CB1367)),0),0)</f>
        <v>0</v>
      </c>
      <c r="CL1367" s="52" t="n">
        <f aca="false">IF(AND(Parameter!$B$21="Ja",ISNUMBER(W1367),N(X1367)&gt;0),IFERROR(N(INDEX(Parameter!$L$5:$L$7,W1367))*INDEX(Parameter!$E$5:$E$7,W1367)*X1367/SUMIFS($X$7:$X$1843,$W$7:$W$1843,W1367),0),0)</f>
        <v>0</v>
      </c>
    </row>
    <row r="1368" customFormat="false" ht="15" hidden="false" customHeight="false" outlineLevel="0" collapsed="false">
      <c r="A1368" s="48" t="s">
        <v>2414</v>
      </c>
      <c r="B1368" s="48" t="s">
        <v>2176</v>
      </c>
      <c r="C1368" s="48" t="s">
        <v>168</v>
      </c>
      <c r="D1368" s="48" t="s">
        <v>188</v>
      </c>
      <c r="E1368" s="48"/>
      <c r="F1368" s="48" t="s">
        <v>222</v>
      </c>
      <c r="G1368" s="49" t="n">
        <v>1272.53</v>
      </c>
      <c r="H1368" s="50" t="n">
        <f aca="false">MAX(0,IF(AND(Parameter!$B$21="Ja",ISNUMBER(Y1368)),Y1368,IF(Parameter!$B$20="Jahresanfang 2025 + Export",BO1368+BN1368,BN1368)))</f>
        <v>2</v>
      </c>
      <c r="I1368" s="50" t="n">
        <f aca="false">H1368*G1368</f>
        <v>2545.06</v>
      </c>
      <c r="J1368" s="50" t="n">
        <f aca="false">BQ1368*Parameter!$B$18</f>
        <v>1</v>
      </c>
      <c r="K1368" s="51" t="n">
        <v>3.5</v>
      </c>
      <c r="L1368" s="52" t="n">
        <v>0.285714285714286</v>
      </c>
      <c r="M1368" s="50" t="n">
        <v>0</v>
      </c>
      <c r="N1368" s="50" t="n">
        <v>1</v>
      </c>
      <c r="O1368" s="53" t="n">
        <v>70</v>
      </c>
      <c r="P1368" s="48" t="s">
        <v>306</v>
      </c>
      <c r="Q1368" s="50" t="n">
        <v>3</v>
      </c>
      <c r="R1368" s="53" t="n">
        <f aca="false">IF(BW1368=1,0,IFERROR(VLOOKUP(BU1368,'Gebinde-Kategorie'!$A$5:$N$45,13,0)+0,0))</f>
        <v>26</v>
      </c>
      <c r="S1368" s="54"/>
      <c r="T1368" s="55"/>
      <c r="U1368" s="55"/>
      <c r="V1368" s="55"/>
      <c r="W1368" s="48"/>
      <c r="X1368" s="50"/>
      <c r="Y1368" s="50"/>
      <c r="Z1368" s="48" t="n">
        <f aca="false">IF(A1368="","",IF(AND(Parameter!$B$21="Ja",ISNUMBER(W1368)),W1368,IF(BZ1368="2+3",IF(ISNUMBER(SEARCH("grosser Artikel",BR1368)),2,IFERROR(VLOOKUP(BU1368,Parameter!$F$35:$G$64,2,0),2)),IF(OR(BZ1368="Nein",BZ1368=""),"-",BZ1368))))</f>
        <v>3</v>
      </c>
      <c r="AA1368" s="55"/>
      <c r="AB1368" s="56"/>
      <c r="AC1368" s="50" t="n">
        <f aca="false">AT1368</f>
        <v>3</v>
      </c>
      <c r="AD1368" s="50" t="n">
        <f aca="false">MAX(AT1368,H1368)</f>
        <v>3</v>
      </c>
      <c r="AE1368" s="57"/>
      <c r="AF1368" s="50" t="n">
        <f aca="false">IF(LEFT(Cockpit!$C$5,1)="A",H1368,IF(CE1368=1,CF1368,IF(LEFT(Cockpit!$C$5,1)="B",AK1368,MAX(AK1368,H1368))))</f>
        <v>2</v>
      </c>
      <c r="AG1368" s="50" t="n">
        <f aca="false">IF(BW1368=1,0,ROUNDUP(AF1368/BV1368,0))</f>
        <v>1</v>
      </c>
      <c r="AH1368" s="52" t="n">
        <f aca="false">IF(CL1368&gt;0,CL1368*MAX(1,AF1368/X1368),IF(BW1368=1,IF(AF1368&lt;=0,0,CA1368*MAX(1,IF(H1368&gt;0,AF1368/H1368,1))),IF(R1368&gt;0,AG1368/R1368,0))/MAX(0.1,N(Parameter!$M$21)))</f>
        <v>0.0384615384615385</v>
      </c>
      <c r="AI1368" s="50" t="n">
        <f aca="false">AH1368*BY1368</f>
        <v>5.96153846153846</v>
      </c>
      <c r="AJ1368" s="50" t="n">
        <f aca="false">AF1368*G1368</f>
        <v>2545.06</v>
      </c>
      <c r="AK1368" s="50" t="n">
        <f aca="false">ROUNDUP(MAX(J1368/IF(CD1368&gt;0,CD1368,MAX(0.1,N(Cockpit!$C$6))),CG1368)/BV1368,0)*BV1368</f>
        <v>3</v>
      </c>
      <c r="AL1368" s="51" t="n">
        <f aca="false">IF(AI1368&gt;0,J1368/AI1368,-1)</f>
        <v>0.167741935483871</v>
      </c>
      <c r="AM1368" s="51" t="n">
        <f aca="false">IF(AND(OR(CC1368="L1",CC1368="L23",CC1368="LIFT"),AI1368&gt;0),SUMIFS($AI$7:$AI$1843,$CC$7:$CC$1843,CC1368,$AL$7:$AL$1843,"&gt;"&amp;AL1368)+SUMIFS($AI$7:$AI$1843,$CC$7:$CC$1843,CC1368,$AL$7:$AL$1843,AL1368,$BT$7:$BT$1843,"&lt;="&amp;BT1368),"")</f>
        <v>12769.1567977691</v>
      </c>
      <c r="AN1368" s="58" t="n">
        <f aca="false">IF(AM1368="",0,MAX(0,MIN(1,(IF(CC1368="L1",Parameter!$H$5,IF(CC1368="L23",Parameter!$H$6+Parameter!$H$7,Parameter!$H$5+Parameter!$H$6+Parameter!$H$7))-(AM1368-AI1368))/AI1368)))</f>
        <v>1</v>
      </c>
      <c r="AO1368" s="50" t="n">
        <f aca="false">IF(LEFT(Cockpit!$I$5,1)="A",H1368,IF(CE1368=1,CF1368,IF(LEFT(Cockpit!$I$5,1)="B",AT1368,MAX(AT1368,H1368))))</f>
        <v>3</v>
      </c>
      <c r="AP1368" s="50" t="n">
        <f aca="false">IF(BW1368=1,0,ROUNDUP(AO1368/BV1368,0))</f>
        <v>1</v>
      </c>
      <c r="AQ1368" s="52" t="n">
        <f aca="false">IF(CL1368&gt;0,CL1368*MAX(1,AO1368/X1368),IF(BW1368=1,IF(AO1368&lt;=0,0,CA1368*MAX(1,IF(H1368&gt;0,AO1368/H1368,1))),IF(R1368&gt;0,AP1368/R1368,0))/MAX(0.1,N(Parameter!$M$21)))</f>
        <v>0.0384615384615385</v>
      </c>
      <c r="AR1368" s="50" t="n">
        <f aca="false">AQ1368*BY1368</f>
        <v>5.96153846153846</v>
      </c>
      <c r="AS1368" s="50" t="n">
        <f aca="false">AO1368*G1368</f>
        <v>3817.59</v>
      </c>
      <c r="AT1368" s="50" t="n">
        <f aca="false">ROUNDUP(MAX(J1368/IF(CD1368&gt;0,CD1368,MAX(0.1,N(Cockpit!$I$6))),CG1368)/BV1368,0)*BV1368</f>
        <v>3</v>
      </c>
      <c r="AU1368" s="51" t="n">
        <f aca="false">IF(AR1368&gt;0,J1368/AR1368,-1)</f>
        <v>0.167741935483871</v>
      </c>
      <c r="AV1368" s="51" t="n">
        <f aca="false">IF(AND(OR(CC1368="L1",CC1368="L23",CC1368="LIFT"),AR1368&gt;0),SUMIFS($AR$7:$AR$1843,$CC$7:$CC$1843,CC1368,$AU$7:$AU$1843,"&gt;"&amp;AU1368)+SUMIFS($AR$7:$AR$1843,$CC$7:$CC$1843,CC1368,$AU$7:$AU$1843,AU1368,$BT$7:$BT$1843,"&lt;="&amp;BT1368),"")</f>
        <v>19350.2312271062</v>
      </c>
      <c r="AW1368" s="58" t="n">
        <f aca="false">IF(AV1368="",0,MAX(0,MIN(1,(IF(CC1368="L1",Parameter!$H$5,IF(CC1368="L23",Parameter!$H$6+Parameter!$H$7,Parameter!$H$5+Parameter!$H$6+Parameter!$H$7))-(AV1368-AR1368))/AR1368)))</f>
        <v>1</v>
      </c>
      <c r="AX1368" s="50" t="n">
        <f aca="false">IF(LEFT(Cockpit!$O$5,1)="A",H1368,IF(CE1368=1,CF1368,IF(LEFT(Cockpit!$O$5,1)="B",BC1368,MAX(BC1368,H1368))))</f>
        <v>3</v>
      </c>
      <c r="AY1368" s="50" t="n">
        <f aca="false">IF(BW1368=1,0,ROUNDUP(AX1368/BV1368,0))</f>
        <v>1</v>
      </c>
      <c r="AZ1368" s="52" t="n">
        <f aca="false">IF(CL1368&gt;0,CL1368*MAX(1,AX1368/X1368),IF(BW1368=1,IF(AX1368&lt;=0,0,CA1368*MAX(1,IF(H1368&gt;0,AX1368/H1368,1))),IF(R1368&gt;0,AY1368/R1368,0))/MAX(0.1,N(Parameter!$M$21)))</f>
        <v>0.0384615384615385</v>
      </c>
      <c r="BA1368" s="50" t="n">
        <f aca="false">AZ1368*BY1368</f>
        <v>5.96153846153846</v>
      </c>
      <c r="BB1368" s="50" t="n">
        <f aca="false">AX1368*G1368</f>
        <v>3817.59</v>
      </c>
      <c r="BC1368" s="50" t="n">
        <f aca="false">ROUNDUP(MAX(J1368/IF(CD1368&gt;0,CD1368,MAX(0.1,N(Cockpit!$O$6))),CG1368)/BV1368,0)*BV1368</f>
        <v>3</v>
      </c>
      <c r="BD1368" s="51" t="n">
        <f aca="false">IF(BA1368&gt;0,J1368/BA1368,-1)</f>
        <v>0.167741935483871</v>
      </c>
      <c r="BE1368" s="51" t="n">
        <f aca="false">IF(AND(OR(CC1368="L1",CC1368="L23",CC1368="LIFT"),BA1368&gt;0),SUMIFS($BA$7:$BA$1843,$CC$7:$CC$1843,CC1368,$BD$7:$BD$1843,"&gt;"&amp;BD1368)+SUMIFS($BA$7:$BA$1843,$CC$7:$CC$1843,CC1368,$BD$7:$BD$1843,BD1368,$BT$7:$BT$1843,"&lt;="&amp;BT1368),"")</f>
        <v>17376.3049450549</v>
      </c>
      <c r="BF1368" s="58" t="n">
        <f aca="false">IF(BE1368="",0,MAX(0,MIN(1,(IF(CC1368="L1",Parameter!$H$5,IF(CC1368="L23",Parameter!$H$6+Parameter!$H$7,Parameter!$H$5+Parameter!$H$6+Parameter!$H$7))-(BE1368-BA1368))/BA1368)))</f>
        <v>1</v>
      </c>
      <c r="BG1368" s="48" t="str">
        <f aca="false">IF(AI1368&lt;=0,"",IF(CC1368="Aussen","Aussenlager",IF(CC1368="-","Nicht im Lift",IF(AN1368&gt;=1,"Lift",IF(AN1368&lt;=0,"Aussenlager","teilweise")))))</f>
        <v>Lift</v>
      </c>
      <c r="BH1368" s="48" t="str">
        <f aca="false">IF(AR1368&lt;=0,"",IF(CC1368="Aussen","Aussenlager",IF(CC1368="-","Nicht im Lift",IF(AW1368&gt;=1,"Lift",IF(AW1368&lt;=0,"Aussenlager","teilweise")))))</f>
        <v>Lift</v>
      </c>
      <c r="BI1368" s="48" t="str">
        <f aca="false">IF(BA1368&lt;=0,"",IF(CC1368="Aussen","Aussenlager",IF(CC1368="-","Nicht im Lift",IF(BF1368&gt;=1,"Lift",IF(BF1368&lt;=0,"Aussenlager","teilweise")))))</f>
        <v>Lift</v>
      </c>
      <c r="BJ1368" s="48" t="str">
        <f aca="false">IF(A1368="","",IF(BS1368=1,"Neu; ","")&amp;IF(AND(BS1368=0,BN1368&lt;0),"negativer Bestand (Export "&amp;BN1368&amp;"); ","")&amp;IF(J1368&lt;=0,"Kein Verbrauch; ","")&amp;IF(CL1368&gt;0,"Lift "&amp;W1368&amp;" lt. Liftbericht (Fach "&amp;X1368&amp;" Stk); ",IF(BX1368=1,"Gebinde geschätzt ("&amp;T1368&amp;"); ",IF(BW1368=1,"Lose – Tablare geschätzt; ","")))&amp;IF(H1368&gt;AT1368,"Überbestand "&amp;ROUND(H1368-AT1368,0)&amp;" Stk / CHF "&amp;ROUND((H1368-AT1368)*G1368,0)&amp;"; ","")&amp;IF(AND(CE1368=1,CF1368&lt;CG1368),"MAX &lt; MB+LG; ","")&amp;IF(AND(CK1368&gt;0,CJ1368*10&gt;CK1368),"zu hoch für Tablar; ","")&amp;IF(AND(BS1368=0,OR(CE1368=1,AA1368&lt;&gt;"",U1368&lt;&gt;"",V1368&lt;&gt;"",AB1368&lt;&gt;"")),"manuell übersteuert; ","")&amp;IF(AND(BW1368=0,R1368=0),"Gebinde unbekannt / Stellmass fehlt; ","")&amp;IF(AND(BW1368=0,N(V1368)&lt;=0,N(Q1368)&lt;=0),"Menge pro Gebinde fehlt (Ist = 1 Gebinde); ","")&amp;BR1368)</f>
        <v>negativer Bestand (Export -2); </v>
      </c>
      <c r="BK1368" s="48"/>
      <c r="BL1368" s="48"/>
      <c r="BM1368" s="55"/>
      <c r="BN1368" s="50" t="n">
        <v>-2</v>
      </c>
      <c r="BO1368" s="50" t="n">
        <v>4</v>
      </c>
      <c r="BP1368" s="49" t="n">
        <v>-2545.06</v>
      </c>
      <c r="BQ1368" s="50" t="n">
        <v>1</v>
      </c>
      <c r="BR1368" s="48"/>
      <c r="BS1368" s="53" t="n">
        <v>0</v>
      </c>
      <c r="BT1368" s="53" t="n">
        <v>1368</v>
      </c>
      <c r="BU1368" s="48" t="str">
        <f aca="false">IF(U1368&lt;&gt;"",UPPER(TRIM(U1368)),IF(BX1368=1,UPPER(VLOOKUP(T1368,Parameter!$I$27:$K$29,2,0)),IF(P1368="","LOSE",P1368)))</f>
        <v>S51</v>
      </c>
      <c r="BV1368" s="50" t="n">
        <f aca="false">IF(BU1368="LOSE",1,IF(N(V1368)&gt;0,V1368,IF(BX1368=1,MAX(1,N(VLOOKUP(T1368,Parameter!$I$27:$K$29,3,0)),H1368,N(N1368)),IF(N(Q1368)&gt;0,Q1368,MAX(1,H1368)))))</f>
        <v>3</v>
      </c>
      <c r="BW1368" s="53" t="n">
        <f aca="false">IF(BU1368="LOSE",1,0)</f>
        <v>0</v>
      </c>
      <c r="BX1368" s="53" t="n">
        <f aca="false">IF(AND(U1368="",OR(P1368="",P1368="LOSE"),T1368&lt;&gt;"",N(S1368)&lt;=0,ISNUMBER(MATCH(T1368,Parameter!$I$27:$I$29,0))),1,0)</f>
        <v>0</v>
      </c>
      <c r="BY1368" s="53" t="n">
        <f aca="false">IF(CL1368&gt;0,INDEX(Parameter!$H$5:$H$7,W1368)/INDEX(Parameter!$E$5:$E$7,W1368),IF(AND(BW1368=0,N(IFERROR(VLOOKUP(BU1368,'Gebinde-Kategorie'!$A$5:$N$45,14,0),0))&gt;0),VLOOKUP(BU1368,'Gebinde-Kategorie'!$A$5:$N$45,14,0)*10+Parameter!$M$23,Parameter!$M$24))</f>
        <v>155</v>
      </c>
      <c r="BZ1368" s="48" t="str">
        <f aca="false">IF(AND(Parameter!$B$19="Ja",E1368&lt;&gt;"",ISNUMBER(MATCH(E1368,Parameter!$I$35:$I$52,0))),VLOOKUP(E1368,Parameter!$I$35:$J$52,2,0),IFERROR(VLOOKUP(D1368,Parameter!$A$35:$C$64,2,0),"Nein"))</f>
        <v>2+3</v>
      </c>
      <c r="CA1368" s="52" t="n">
        <f aca="false">IF(BW1368=0,0,IF(N(S1368)&gt;0,S1368,IFERROR(VLOOKUP(D1368,Parameter!$A$35:$C$64,3,0)+0,0)))</f>
        <v>0</v>
      </c>
      <c r="CB1368" s="48" t="n">
        <f aca="false">IF(AA1368&lt;&gt;"",AA1368,Z1368)</f>
        <v>3</v>
      </c>
      <c r="CC1368" s="48" t="str">
        <f aca="false">IF(OR(CB1368=1,CB1368=2,CB1368=3),IF(Parameter!$E$27="Ja","LIFT",IF(CB1368=1,"L1","L23")),IF(CB1368="Aussen","Aussen","-"))</f>
        <v>LIFT</v>
      </c>
      <c r="CD1368" s="59" t="n">
        <f aca="false">IF(N(AB1368)&gt;0,AB1368,0)</f>
        <v>0</v>
      </c>
      <c r="CE1368" s="53" t="n">
        <f aca="false">IF(ISNUMBER(AE1368),1,0)</f>
        <v>0</v>
      </c>
      <c r="CF1368" s="50" t="n">
        <f aca="false">N(AE1368)</f>
        <v>0</v>
      </c>
      <c r="CG1368" s="50" t="n">
        <f aca="false">N(M1368)+N(N1368)</f>
        <v>1</v>
      </c>
      <c r="CH1368" s="50" t="n">
        <f aca="false">ROUNDUP(H1368/BV1368,0)</f>
        <v>1</v>
      </c>
      <c r="CI1368" s="50" t="n">
        <f aca="false">ROUNDUP(CF1368/BV1368,0)</f>
        <v>0</v>
      </c>
      <c r="CJ1368" s="53" t="n">
        <f aca="false">IF(BW1368=1,0,IFERROR(VLOOKUP(BU1368,'Gebinde-Kategorie'!$A$5:$N$45,5,0)+0,0))</f>
        <v>11</v>
      </c>
      <c r="CK1368" s="53" t="n">
        <f aca="false">IFERROR(IF(OR(CB1368=1,CB1368=2,CB1368=3),N(INDEX(Parameter!$I$5:$I$7,CB1368)),0),0)</f>
        <v>0</v>
      </c>
      <c r="CL1368" s="52" t="n">
        <f aca="false">IF(AND(Parameter!$B$21="Ja",ISNUMBER(W1368),N(X1368)&gt;0),IFERROR(N(INDEX(Parameter!$L$5:$L$7,W1368))*INDEX(Parameter!$E$5:$E$7,W1368)*X1368/SUMIFS($X$7:$X$1843,$W$7:$W$1843,W1368),0),0)</f>
        <v>0</v>
      </c>
    </row>
    <row r="1369" customFormat="false" ht="15" hidden="false" customHeight="false" outlineLevel="0" collapsed="false">
      <c r="A1369" s="48" t="s">
        <v>2415</v>
      </c>
      <c r="B1369" s="48" t="s">
        <v>2362</v>
      </c>
      <c r="C1369" s="48" t="s">
        <v>460</v>
      </c>
      <c r="D1369" s="48" t="s">
        <v>357</v>
      </c>
      <c r="E1369" s="48" t="s">
        <v>2252</v>
      </c>
      <c r="F1369" s="48" t="s">
        <v>222</v>
      </c>
      <c r="G1369" s="49" t="n">
        <v>1275.67</v>
      </c>
      <c r="H1369" s="50" t="n">
        <f aca="false">MAX(0,IF(AND(Parameter!$B$21="Ja",ISNUMBER(Y1369)),Y1369,IF(Parameter!$B$20="Jahresanfang 2025 + Export",BO1369+BN1369,BN1369)))</f>
        <v>0</v>
      </c>
      <c r="I1369" s="50" t="n">
        <f aca="false">H1369*G1369</f>
        <v>0</v>
      </c>
      <c r="J1369" s="50" t="n">
        <f aca="false">BQ1369*Parameter!$B$18</f>
        <v>0</v>
      </c>
      <c r="K1369" s="51" t="n">
        <v>1</v>
      </c>
      <c r="L1369" s="52" t="n">
        <v>0</v>
      </c>
      <c r="M1369" s="50" t="n">
        <v>0</v>
      </c>
      <c r="N1369" s="50" t="n">
        <v>1</v>
      </c>
      <c r="O1369" s="53" t="n">
        <v>0</v>
      </c>
      <c r="P1369" s="48" t="s">
        <v>172</v>
      </c>
      <c r="Q1369" s="50"/>
      <c r="R1369" s="53" t="n">
        <f aca="false">IF(BW1369=1,0,IFERROR(VLOOKUP(BU1369,'Gebinde-Kategorie'!$A$5:$N$45,13,0)+0,0))</f>
        <v>0</v>
      </c>
      <c r="S1369" s="54"/>
      <c r="T1369" s="55"/>
      <c r="U1369" s="55"/>
      <c r="V1369" s="55"/>
      <c r="W1369" s="48"/>
      <c r="X1369" s="50"/>
      <c r="Y1369" s="50"/>
      <c r="Z1369" s="48" t="str">
        <f aca="false">IF(A1369="","",IF(AND(Parameter!$B$21="Ja",ISNUMBER(W1369)),W1369,IF(BZ1369="2+3",IF(ISNUMBER(SEARCH("grosser Artikel",BR1369)),2,IFERROR(VLOOKUP(BU1369,Parameter!$F$35:$G$64,2,0),2)),IF(OR(BZ1369="Nein",BZ1369=""),"-",BZ1369))))</f>
        <v>-</v>
      </c>
      <c r="AA1369" s="55"/>
      <c r="AB1369" s="56"/>
      <c r="AC1369" s="50" t="n">
        <f aca="false">AT1369</f>
        <v>1</v>
      </c>
      <c r="AD1369" s="50" t="n">
        <f aca="false">MAX(AT1369,H1369)</f>
        <v>1</v>
      </c>
      <c r="AE1369" s="57"/>
      <c r="AF1369" s="50" t="n">
        <f aca="false">IF(LEFT(Cockpit!$C$5,1)="A",H1369,IF(CE1369=1,CF1369,IF(LEFT(Cockpit!$C$5,1)="B",AK1369,MAX(AK1369,H1369))))</f>
        <v>0</v>
      </c>
      <c r="AG1369" s="50" t="n">
        <f aca="false">IF(BW1369=1,0,ROUNDUP(AF1369/BV1369,0))</f>
        <v>0</v>
      </c>
      <c r="AH1369" s="52" t="n">
        <f aca="false">IF(CL1369&gt;0,CL1369*MAX(1,AF1369/X1369),IF(BW1369=1,IF(AF1369&lt;=0,0,CA1369*MAX(1,IF(H1369&gt;0,AF1369/H1369,1))),IF(R1369&gt;0,AG1369/R1369,0))/MAX(0.1,N(Parameter!$M$21)))</f>
        <v>0</v>
      </c>
      <c r="AI1369" s="50" t="n">
        <f aca="false">AH1369*BY1369</f>
        <v>0</v>
      </c>
      <c r="AJ1369" s="50" t="n">
        <f aca="false">AF1369*G1369</f>
        <v>0</v>
      </c>
      <c r="AK1369" s="50" t="n">
        <f aca="false">ROUNDUP(MAX(J1369/IF(CD1369&gt;0,CD1369,MAX(0.1,N(Cockpit!$C$6))),CG1369)/BV1369,0)*BV1369</f>
        <v>1</v>
      </c>
      <c r="AL1369" s="51" t="n">
        <f aca="false">IF(AI1369&gt;0,J1369/AI1369,-1)</f>
        <v>-1</v>
      </c>
      <c r="AM1369" s="51" t="str">
        <f aca="false">IF(AND(OR(CC1369="L1",CC1369="L23",CC1369="LIFT"),AI1369&gt;0),SUMIFS($AI$7:$AI$1843,$CC$7:$CC$1843,CC1369,$AL$7:$AL$1843,"&gt;"&amp;AL1369)+SUMIFS($AI$7:$AI$1843,$CC$7:$CC$1843,CC1369,$AL$7:$AL$1843,AL1369,$BT$7:$BT$1843,"&lt;="&amp;BT1369),"")</f>
        <v/>
      </c>
      <c r="AN1369" s="58" t="n">
        <f aca="false">IF(AM1369="",0,MAX(0,MIN(1,(IF(CC1369="L1",Parameter!$H$5,IF(CC1369="L23",Parameter!$H$6+Parameter!$H$7,Parameter!$H$5+Parameter!$H$6+Parameter!$H$7))-(AM1369-AI1369))/AI1369)))</f>
        <v>0</v>
      </c>
      <c r="AO1369" s="50" t="n">
        <f aca="false">IF(LEFT(Cockpit!$I$5,1)="A",H1369,IF(CE1369=1,CF1369,IF(LEFT(Cockpit!$I$5,1)="B",AT1369,MAX(AT1369,H1369))))</f>
        <v>1</v>
      </c>
      <c r="AP1369" s="50" t="n">
        <f aca="false">IF(BW1369=1,0,ROUNDUP(AO1369/BV1369,0))</f>
        <v>0</v>
      </c>
      <c r="AQ1369" s="52" t="n">
        <f aca="false">IF(CL1369&gt;0,CL1369*MAX(1,AO1369/X1369),IF(BW1369=1,IF(AO1369&lt;=0,0,CA1369*MAX(1,IF(H1369&gt;0,AO1369/H1369,1))),IF(R1369&gt;0,AP1369/R1369,0))/MAX(0.1,N(Parameter!$M$21)))</f>
        <v>0.15</v>
      </c>
      <c r="AR1369" s="50" t="n">
        <f aca="false">AQ1369*BY1369</f>
        <v>35.25</v>
      </c>
      <c r="AS1369" s="50" t="n">
        <f aca="false">AO1369*G1369</f>
        <v>1275.67</v>
      </c>
      <c r="AT1369" s="50" t="n">
        <f aca="false">ROUNDUP(MAX(J1369/IF(CD1369&gt;0,CD1369,MAX(0.1,N(Cockpit!$I$6))),CG1369)/BV1369,0)*BV1369</f>
        <v>1</v>
      </c>
      <c r="AU1369" s="51" t="n">
        <f aca="false">IF(AR1369&gt;0,J1369/AR1369,-1)</f>
        <v>0</v>
      </c>
      <c r="AV1369" s="51" t="str">
        <f aca="false">IF(AND(OR(CC1369="L1",CC1369="L23",CC1369="LIFT"),AR1369&gt;0),SUMIFS($AR$7:$AR$1843,$CC$7:$CC$1843,CC1369,$AU$7:$AU$1843,"&gt;"&amp;AU1369)+SUMIFS($AR$7:$AR$1843,$CC$7:$CC$1843,CC1369,$AU$7:$AU$1843,AU1369,$BT$7:$BT$1843,"&lt;="&amp;BT1369),"")</f>
        <v/>
      </c>
      <c r="AW1369" s="58" t="n">
        <f aca="false">IF(AV1369="",0,MAX(0,MIN(1,(IF(CC1369="L1",Parameter!$H$5,IF(CC1369="L23",Parameter!$H$6+Parameter!$H$7,Parameter!$H$5+Parameter!$H$6+Parameter!$H$7))-(AV1369-AR1369))/AR1369)))</f>
        <v>0</v>
      </c>
      <c r="AX1369" s="50" t="n">
        <f aca="false">IF(LEFT(Cockpit!$O$5,1)="A",H1369,IF(CE1369=1,CF1369,IF(LEFT(Cockpit!$O$5,1)="B",BC1369,MAX(BC1369,H1369))))</f>
        <v>1</v>
      </c>
      <c r="AY1369" s="50" t="n">
        <f aca="false">IF(BW1369=1,0,ROUNDUP(AX1369/BV1369,0))</f>
        <v>0</v>
      </c>
      <c r="AZ1369" s="52" t="n">
        <f aca="false">IF(CL1369&gt;0,CL1369*MAX(1,AX1369/X1369),IF(BW1369=1,IF(AX1369&lt;=0,0,CA1369*MAX(1,IF(H1369&gt;0,AX1369/H1369,1))),IF(R1369&gt;0,AY1369/R1369,0))/MAX(0.1,N(Parameter!$M$21)))</f>
        <v>0.15</v>
      </c>
      <c r="BA1369" s="50" t="n">
        <f aca="false">AZ1369*BY1369</f>
        <v>35.25</v>
      </c>
      <c r="BB1369" s="50" t="n">
        <f aca="false">AX1369*G1369</f>
        <v>1275.67</v>
      </c>
      <c r="BC1369" s="50" t="n">
        <f aca="false">ROUNDUP(MAX(J1369/IF(CD1369&gt;0,CD1369,MAX(0.1,N(Cockpit!$O$6))),CG1369)/BV1369,0)*BV1369</f>
        <v>1</v>
      </c>
      <c r="BD1369" s="51" t="n">
        <f aca="false">IF(BA1369&gt;0,J1369/BA1369,-1)</f>
        <v>0</v>
      </c>
      <c r="BE1369" s="51" t="str">
        <f aca="false">IF(AND(OR(CC1369="L1",CC1369="L23",CC1369="LIFT"),BA1369&gt;0),SUMIFS($BA$7:$BA$1843,$CC$7:$CC$1843,CC1369,$BD$7:$BD$1843,"&gt;"&amp;BD1369)+SUMIFS($BA$7:$BA$1843,$CC$7:$CC$1843,CC1369,$BD$7:$BD$1843,BD1369,$BT$7:$BT$1843,"&lt;="&amp;BT1369),"")</f>
        <v/>
      </c>
      <c r="BF1369" s="58" t="n">
        <f aca="false">IF(BE1369="",0,MAX(0,MIN(1,(IF(CC1369="L1",Parameter!$H$5,IF(CC1369="L23",Parameter!$H$6+Parameter!$H$7,Parameter!$H$5+Parameter!$H$6+Parameter!$H$7))-(BE1369-BA1369))/BA1369)))</f>
        <v>0</v>
      </c>
      <c r="BG1369" s="48" t="str">
        <f aca="false">IF(AI1369&lt;=0,"",IF(CC1369="Aussen","Aussenlager",IF(CC1369="-","Nicht im Lift",IF(AN1369&gt;=1,"Lift",IF(AN1369&lt;=0,"Aussenlager","teilweise")))))</f>
        <v/>
      </c>
      <c r="BH1369" s="48" t="str">
        <f aca="false">IF(AR1369&lt;=0,"",IF(CC1369="Aussen","Aussenlager",IF(CC1369="-","Nicht im Lift",IF(AW1369&gt;=1,"Lift",IF(AW1369&lt;=0,"Aussenlager","teilweise")))))</f>
        <v>Nicht im Lift</v>
      </c>
      <c r="BI1369" s="48" t="str">
        <f aca="false">IF(BA1369&lt;=0,"",IF(CC1369="Aussen","Aussenlager",IF(CC1369="-","Nicht im Lift",IF(BF1369&gt;=1,"Lift",IF(BF1369&lt;=0,"Aussenlager","teilweise")))))</f>
        <v>Nicht im Lift</v>
      </c>
      <c r="BJ1369" s="48" t="str">
        <f aca="false">IF(A1369="","",IF(BS1369=1,"Neu; ","")&amp;IF(AND(BS1369=0,BN1369&lt;0),"negativer Bestand (Export "&amp;BN1369&amp;"); ","")&amp;IF(J1369&lt;=0,"Kein Verbrauch; ","")&amp;IF(CL1369&gt;0,"Lift "&amp;W1369&amp;" lt. Liftbericht (Fach "&amp;X1369&amp;" Stk); ",IF(BX1369=1,"Gebinde geschätzt ("&amp;T1369&amp;"); ",IF(BW1369=1,"Lose – Tablare geschätzt; ","")))&amp;IF(H1369&gt;AT1369,"Überbestand "&amp;ROUND(H1369-AT1369,0)&amp;" Stk / CHF "&amp;ROUND((H1369-AT1369)*G1369,0)&amp;"; ","")&amp;IF(AND(CE1369=1,CF1369&lt;CG1369),"MAX &lt; MB+LG; ","")&amp;IF(AND(CK1369&gt;0,CJ1369*10&gt;CK1369),"zu hoch für Tablar; ","")&amp;IF(AND(BS1369=0,OR(CE1369=1,AA1369&lt;&gt;"",U1369&lt;&gt;"",V1369&lt;&gt;"",AB1369&lt;&gt;"")),"manuell übersteuert; ","")&amp;IF(AND(BW1369=0,R1369=0),"Gebinde unbekannt / Stellmass fehlt; ","")&amp;IF(AND(BW1369=0,N(V1369)&lt;=0,N(Q1369)&lt;=0),"Menge pro Gebinde fehlt (Ist = 1 Gebinde); ","")&amp;BR1369)</f>
        <v>negativer Bestand (Export -2); Kein Verbrauch; Lose – Tablare geschätzt; </v>
      </c>
      <c r="BK1369" s="48"/>
      <c r="BL1369" s="48"/>
      <c r="BM1369" s="55"/>
      <c r="BN1369" s="50" t="n">
        <v>-2</v>
      </c>
      <c r="BO1369" s="50" t="n">
        <v>2</v>
      </c>
      <c r="BP1369" s="49" t="n">
        <v>-2551.34</v>
      </c>
      <c r="BQ1369" s="50" t="n">
        <v>0</v>
      </c>
      <c r="BR1369" s="48"/>
      <c r="BS1369" s="53" t="n">
        <v>0</v>
      </c>
      <c r="BT1369" s="53" t="n">
        <v>1369</v>
      </c>
      <c r="BU1369" s="48" t="str">
        <f aca="false">IF(U1369&lt;&gt;"",UPPER(TRIM(U1369)),IF(BX1369=1,UPPER(VLOOKUP(T1369,Parameter!$I$27:$K$29,2,0)),IF(P1369="","LOSE",P1369)))</f>
        <v>LOSE</v>
      </c>
      <c r="BV1369" s="50" t="n">
        <f aca="false">IF(BU1369="LOSE",1,IF(N(V1369)&gt;0,V1369,IF(BX1369=1,MAX(1,N(VLOOKUP(T1369,Parameter!$I$27:$K$29,3,0)),H1369,N(N1369)),IF(N(Q1369)&gt;0,Q1369,MAX(1,H1369)))))</f>
        <v>1</v>
      </c>
      <c r="BW1369" s="53" t="n">
        <f aca="false">IF(BU1369="LOSE",1,0)</f>
        <v>1</v>
      </c>
      <c r="BX1369" s="53" t="n">
        <f aca="false">IF(AND(U1369="",OR(P1369="",P1369="LOSE"),T1369&lt;&gt;"",N(S1369)&lt;=0,ISNUMBER(MATCH(T1369,Parameter!$I$27:$I$29,0))),1,0)</f>
        <v>0</v>
      </c>
      <c r="BY1369" s="53" t="n">
        <f aca="false">IF(CL1369&gt;0,INDEX(Parameter!$H$5:$H$7,W1369)/INDEX(Parameter!$E$5:$E$7,W1369),IF(AND(BW1369=0,N(IFERROR(VLOOKUP(BU1369,'Gebinde-Kategorie'!$A$5:$N$45,14,0),0))&gt;0),VLOOKUP(BU1369,'Gebinde-Kategorie'!$A$5:$N$45,14,0)*10+Parameter!$M$23,Parameter!$M$24))</f>
        <v>235</v>
      </c>
      <c r="BZ1369" s="48" t="str">
        <f aca="false">IF(AND(Parameter!$B$19="Ja",E1369&lt;&gt;"",ISNUMBER(MATCH(E1369,Parameter!$I$35:$I$52,0))),VLOOKUP(E1369,Parameter!$I$35:$J$52,2,0),IFERROR(VLOOKUP(D1369,Parameter!$A$35:$C$64,2,0),"Nein"))</f>
        <v>Nein</v>
      </c>
      <c r="CA1369" s="52" t="n">
        <f aca="false">IF(BW1369=0,0,IF(N(S1369)&gt;0,S1369,IFERROR(VLOOKUP(D1369,Parameter!$A$35:$C$64,3,0)+0,0)))</f>
        <v>0.15</v>
      </c>
      <c r="CB1369" s="48" t="str">
        <f aca="false">IF(AA1369&lt;&gt;"",AA1369,Z1369)</f>
        <v>-</v>
      </c>
      <c r="CC1369" s="48" t="str">
        <f aca="false">IF(OR(CB1369=1,CB1369=2,CB1369=3),IF(Parameter!$E$27="Ja","LIFT",IF(CB1369=1,"L1","L23")),IF(CB1369="Aussen","Aussen","-"))</f>
        <v>-</v>
      </c>
      <c r="CD1369" s="59" t="n">
        <f aca="false">IF(N(AB1369)&gt;0,AB1369,0)</f>
        <v>0</v>
      </c>
      <c r="CE1369" s="53" t="n">
        <f aca="false">IF(ISNUMBER(AE1369),1,0)</f>
        <v>0</v>
      </c>
      <c r="CF1369" s="50" t="n">
        <f aca="false">N(AE1369)</f>
        <v>0</v>
      </c>
      <c r="CG1369" s="50" t="n">
        <f aca="false">N(M1369)+N(N1369)</f>
        <v>1</v>
      </c>
      <c r="CH1369" s="50" t="n">
        <f aca="false">ROUNDUP(H1369/BV1369,0)</f>
        <v>0</v>
      </c>
      <c r="CI1369" s="50" t="n">
        <f aca="false">ROUNDUP(CF1369/BV1369,0)</f>
        <v>0</v>
      </c>
      <c r="CJ1369" s="53" t="n">
        <f aca="false">IF(BW1369=1,0,IFERROR(VLOOKUP(BU1369,'Gebinde-Kategorie'!$A$5:$N$45,5,0)+0,0))</f>
        <v>0</v>
      </c>
      <c r="CK1369" s="53" t="n">
        <f aca="false">IFERROR(IF(OR(CB1369=1,CB1369=2,CB1369=3),N(INDEX(Parameter!$I$5:$I$7,CB1369)),0),0)</f>
        <v>0</v>
      </c>
      <c r="CL1369" s="52" t="n">
        <f aca="false">IF(AND(Parameter!$B$21="Ja",ISNUMBER(W1369),N(X1369)&gt;0),IFERROR(N(INDEX(Parameter!$L$5:$L$7,W1369))*INDEX(Parameter!$E$5:$E$7,W1369)*X1369/SUMIFS($X$7:$X$1843,$W$7:$W$1843,W1369),0),0)</f>
        <v>0</v>
      </c>
    </row>
    <row r="1370" customFormat="false" ht="15" hidden="false" customHeight="false" outlineLevel="0" collapsed="false">
      <c r="A1370" s="48" t="s">
        <v>2416</v>
      </c>
      <c r="B1370" s="48" t="s">
        <v>2417</v>
      </c>
      <c r="C1370" s="48" t="s">
        <v>460</v>
      </c>
      <c r="D1370" s="48" t="s">
        <v>177</v>
      </c>
      <c r="E1370" s="48" t="s">
        <v>1483</v>
      </c>
      <c r="F1370" s="48" t="s">
        <v>222</v>
      </c>
      <c r="G1370" s="49" t="n">
        <v>99.31</v>
      </c>
      <c r="H1370" s="50" t="n">
        <f aca="false">MAX(0,IF(AND(Parameter!$B$21="Ja",ISNUMBER(Y1370)),Y1370,IF(Parameter!$B$20="Jahresanfang 2025 + Export",BO1370+BN1370,BN1370)))</f>
        <v>0</v>
      </c>
      <c r="I1370" s="50" t="n">
        <f aca="false">H1370*G1370</f>
        <v>0</v>
      </c>
      <c r="J1370" s="50" t="n">
        <f aca="false">BQ1370*Parameter!$B$18</f>
        <v>0</v>
      </c>
      <c r="K1370" s="51" t="n">
        <v>21</v>
      </c>
      <c r="L1370" s="52" t="n">
        <v>0</v>
      </c>
      <c r="M1370" s="50" t="n">
        <v>0</v>
      </c>
      <c r="N1370" s="50" t="n">
        <v>1</v>
      </c>
      <c r="O1370" s="53" t="n">
        <v>56</v>
      </c>
      <c r="P1370" s="48" t="s">
        <v>172</v>
      </c>
      <c r="Q1370" s="50"/>
      <c r="R1370" s="53" t="n">
        <f aca="false">IF(BW1370=1,0,IFERROR(VLOOKUP(BU1370,'Gebinde-Kategorie'!$A$5:$N$45,13,0)+0,0))</f>
        <v>4</v>
      </c>
      <c r="S1370" s="54"/>
      <c r="T1370" s="55" t="s">
        <v>193</v>
      </c>
      <c r="U1370" s="55"/>
      <c r="V1370" s="55"/>
      <c r="W1370" s="48"/>
      <c r="X1370" s="50"/>
      <c r="Y1370" s="50"/>
      <c r="Z1370" s="48" t="str">
        <f aca="false">IF(A1370="","",IF(AND(Parameter!$B$21="Ja",ISNUMBER(W1370)),W1370,IF(BZ1370="2+3",IF(ISNUMBER(SEARCH("grosser Artikel",BR1370)),2,IFERROR(VLOOKUP(BU1370,Parameter!$F$35:$G$64,2,0),2)),IF(OR(BZ1370="Nein",BZ1370=""),"-",BZ1370))))</f>
        <v>-</v>
      </c>
      <c r="AA1370" s="55"/>
      <c r="AB1370" s="56"/>
      <c r="AC1370" s="50" t="n">
        <f aca="false">AT1370</f>
        <v>2</v>
      </c>
      <c r="AD1370" s="50" t="n">
        <f aca="false">MAX(AT1370,H1370)</f>
        <v>2</v>
      </c>
      <c r="AE1370" s="57"/>
      <c r="AF1370" s="50" t="n">
        <f aca="false">IF(LEFT(Cockpit!$C$5,1)="A",H1370,IF(CE1370=1,CF1370,IF(LEFT(Cockpit!$C$5,1)="B",AK1370,MAX(AK1370,H1370))))</f>
        <v>0</v>
      </c>
      <c r="AG1370" s="50" t="n">
        <f aca="false">IF(BW1370=1,0,ROUNDUP(AF1370/BV1370,0))</f>
        <v>0</v>
      </c>
      <c r="AH1370" s="52" t="n">
        <f aca="false">IF(CL1370&gt;0,CL1370*MAX(1,AF1370/X1370),IF(BW1370=1,IF(AF1370&lt;=0,0,CA1370*MAX(1,IF(H1370&gt;0,AF1370/H1370,1))),IF(R1370&gt;0,AG1370/R1370,0))/MAX(0.1,N(Parameter!$M$21)))</f>
        <v>0</v>
      </c>
      <c r="AI1370" s="50" t="n">
        <f aca="false">AH1370*BY1370</f>
        <v>0</v>
      </c>
      <c r="AJ1370" s="50" t="n">
        <f aca="false">AF1370*G1370</f>
        <v>0</v>
      </c>
      <c r="AK1370" s="50" t="n">
        <f aca="false">ROUNDUP(MAX(J1370/IF(CD1370&gt;0,CD1370,MAX(0.1,N(Cockpit!$C$6))),CG1370)/BV1370,0)*BV1370</f>
        <v>2</v>
      </c>
      <c r="AL1370" s="51" t="n">
        <f aca="false">IF(AI1370&gt;0,J1370/AI1370,-1)</f>
        <v>-1</v>
      </c>
      <c r="AM1370" s="51" t="str">
        <f aca="false">IF(AND(OR(CC1370="L1",CC1370="L23",CC1370="LIFT"),AI1370&gt;0),SUMIFS($AI$7:$AI$1843,$CC$7:$CC$1843,CC1370,$AL$7:$AL$1843,"&gt;"&amp;AL1370)+SUMIFS($AI$7:$AI$1843,$CC$7:$CC$1843,CC1370,$AL$7:$AL$1843,AL1370,$BT$7:$BT$1843,"&lt;="&amp;BT1370),"")</f>
        <v/>
      </c>
      <c r="AN1370" s="58" t="n">
        <f aca="false">IF(AM1370="",0,MAX(0,MIN(1,(IF(CC1370="L1",Parameter!$H$5,IF(CC1370="L23",Parameter!$H$6+Parameter!$H$7,Parameter!$H$5+Parameter!$H$6+Parameter!$H$7))-(AM1370-AI1370))/AI1370)))</f>
        <v>0</v>
      </c>
      <c r="AO1370" s="50" t="n">
        <f aca="false">IF(LEFT(Cockpit!$I$5,1)="A",H1370,IF(CE1370=1,CF1370,IF(LEFT(Cockpit!$I$5,1)="B",AT1370,MAX(AT1370,H1370))))</f>
        <v>2</v>
      </c>
      <c r="AP1370" s="50" t="n">
        <f aca="false">IF(BW1370=1,0,ROUNDUP(AO1370/BV1370,0))</f>
        <v>1</v>
      </c>
      <c r="AQ1370" s="52" t="n">
        <f aca="false">IF(CL1370&gt;0,CL1370*MAX(1,AO1370/X1370),IF(BW1370=1,IF(AO1370&lt;=0,0,CA1370*MAX(1,IF(H1370&gt;0,AO1370/H1370,1))),IF(R1370&gt;0,AP1370/R1370,0))/MAX(0.1,N(Parameter!$M$21)))</f>
        <v>0.25</v>
      </c>
      <c r="AR1370" s="50" t="n">
        <f aca="false">AQ1370*BY1370</f>
        <v>58.75</v>
      </c>
      <c r="AS1370" s="50" t="n">
        <f aca="false">AO1370*G1370</f>
        <v>198.62</v>
      </c>
      <c r="AT1370" s="50" t="n">
        <f aca="false">ROUNDUP(MAX(J1370/IF(CD1370&gt;0,CD1370,MAX(0.1,N(Cockpit!$I$6))),CG1370)/BV1370,0)*BV1370</f>
        <v>2</v>
      </c>
      <c r="AU1370" s="51" t="n">
        <f aca="false">IF(AR1370&gt;0,J1370/AR1370,-1)</f>
        <v>0</v>
      </c>
      <c r="AV1370" s="51" t="str">
        <f aca="false">IF(AND(OR(CC1370="L1",CC1370="L23",CC1370="LIFT"),AR1370&gt;0),SUMIFS($AR$7:$AR$1843,$CC$7:$CC$1843,CC1370,$AU$7:$AU$1843,"&gt;"&amp;AU1370)+SUMIFS($AR$7:$AR$1843,$CC$7:$CC$1843,CC1370,$AU$7:$AU$1843,AU1370,$BT$7:$BT$1843,"&lt;="&amp;BT1370),"")</f>
        <v/>
      </c>
      <c r="AW1370" s="58" t="n">
        <f aca="false">IF(AV1370="",0,MAX(0,MIN(1,(IF(CC1370="L1",Parameter!$H$5,IF(CC1370="L23",Parameter!$H$6+Parameter!$H$7,Parameter!$H$5+Parameter!$H$6+Parameter!$H$7))-(AV1370-AR1370))/AR1370)))</f>
        <v>0</v>
      </c>
      <c r="AX1370" s="50" t="n">
        <f aca="false">IF(LEFT(Cockpit!$O$5,1)="A",H1370,IF(CE1370=1,CF1370,IF(LEFT(Cockpit!$O$5,1)="B",BC1370,MAX(BC1370,H1370))))</f>
        <v>2</v>
      </c>
      <c r="AY1370" s="50" t="n">
        <f aca="false">IF(BW1370=1,0,ROUNDUP(AX1370/BV1370,0))</f>
        <v>1</v>
      </c>
      <c r="AZ1370" s="52" t="n">
        <f aca="false">IF(CL1370&gt;0,CL1370*MAX(1,AX1370/X1370),IF(BW1370=1,IF(AX1370&lt;=0,0,CA1370*MAX(1,IF(H1370&gt;0,AX1370/H1370,1))),IF(R1370&gt;0,AY1370/R1370,0))/MAX(0.1,N(Parameter!$M$21)))</f>
        <v>0.25</v>
      </c>
      <c r="BA1370" s="50" t="n">
        <f aca="false">AZ1370*BY1370</f>
        <v>58.75</v>
      </c>
      <c r="BB1370" s="50" t="n">
        <f aca="false">AX1370*G1370</f>
        <v>198.62</v>
      </c>
      <c r="BC1370" s="50" t="n">
        <f aca="false">ROUNDUP(MAX(J1370/IF(CD1370&gt;0,CD1370,MAX(0.1,N(Cockpit!$O$6))),CG1370)/BV1370,0)*BV1370</f>
        <v>2</v>
      </c>
      <c r="BD1370" s="51" t="n">
        <f aca="false">IF(BA1370&gt;0,J1370/BA1370,-1)</f>
        <v>0</v>
      </c>
      <c r="BE1370" s="51" t="str">
        <f aca="false">IF(AND(OR(CC1370="L1",CC1370="L23",CC1370="LIFT"),BA1370&gt;0),SUMIFS($BA$7:$BA$1843,$CC$7:$CC$1843,CC1370,$BD$7:$BD$1843,"&gt;"&amp;BD1370)+SUMIFS($BA$7:$BA$1843,$CC$7:$CC$1843,CC1370,$BD$7:$BD$1843,BD1370,$BT$7:$BT$1843,"&lt;="&amp;BT1370),"")</f>
        <v/>
      </c>
      <c r="BF1370" s="58" t="n">
        <f aca="false">IF(BE1370="",0,MAX(0,MIN(1,(IF(CC1370="L1",Parameter!$H$5,IF(CC1370="L23",Parameter!$H$6+Parameter!$H$7,Parameter!$H$5+Parameter!$H$6+Parameter!$H$7))-(BE1370-BA1370))/BA1370)))</f>
        <v>0</v>
      </c>
      <c r="BG1370" s="48" t="str">
        <f aca="false">IF(AI1370&lt;=0,"",IF(CC1370="Aussen","Aussenlager",IF(CC1370="-","Nicht im Lift",IF(AN1370&gt;=1,"Lift",IF(AN1370&lt;=0,"Aussenlager","teilweise")))))</f>
        <v/>
      </c>
      <c r="BH1370" s="48" t="str">
        <f aca="false">IF(AR1370&lt;=0,"",IF(CC1370="Aussen","Aussenlager",IF(CC1370="-","Nicht im Lift",IF(AW1370&gt;=1,"Lift",IF(AW1370&lt;=0,"Aussenlager","teilweise")))))</f>
        <v>Nicht im Lift</v>
      </c>
      <c r="BI1370" s="48" t="str">
        <f aca="false">IF(BA1370&lt;=0,"",IF(CC1370="Aussen","Aussenlager",IF(CC1370="-","Nicht im Lift",IF(BF1370&gt;=1,"Lift",IF(BF1370&lt;=0,"Aussenlager","teilweise")))))</f>
        <v>Nicht im Lift</v>
      </c>
      <c r="BJ1370" s="48" t="str">
        <f aca="false">IF(A1370="","",IF(BS1370=1,"Neu; ","")&amp;IF(AND(BS1370=0,BN1370&lt;0),"negativer Bestand (Export "&amp;BN1370&amp;"); ","")&amp;IF(J1370&lt;=0,"Kein Verbrauch; ","")&amp;IF(CL1370&gt;0,"Lift "&amp;W1370&amp;" lt. Liftbericht (Fach "&amp;X1370&amp;" Stk); ",IF(BX1370=1,"Gebinde geschätzt ("&amp;T1370&amp;"); ",IF(BW1370=1,"Lose – Tablare geschätzt; ","")))&amp;IF(H1370&gt;AT1370,"Überbestand "&amp;ROUND(H1370-AT1370,0)&amp;" Stk / CHF "&amp;ROUND((H1370-AT1370)*G1370,0)&amp;"; ","")&amp;IF(AND(CE1370=1,CF1370&lt;CG1370),"MAX &lt; MB+LG; ","")&amp;IF(AND(CK1370&gt;0,CJ1370*10&gt;CK1370),"zu hoch für Tablar; ","")&amp;IF(AND(BS1370=0,OR(CE1370=1,AA1370&lt;&gt;"",U1370&lt;&gt;"",V1370&lt;&gt;"",AB1370&lt;&gt;"")),"manuell übersteuert; ","")&amp;IF(AND(BW1370=0,R1370=0),"Gebinde unbekannt / Stellmass fehlt; ","")&amp;IF(AND(BW1370=0,N(V1370)&lt;=0,N(Q1370)&lt;=0),"Menge pro Gebinde fehlt (Ist = 1 Gebinde); ","")&amp;BR1370)</f>
        <v>negativer Bestand (Export -26); Kein Verbrauch; Gebinde geschätzt (Gross); Menge pro Gebinde fehlt (Ist = 1 Gebinde); </v>
      </c>
      <c r="BK1370" s="48"/>
      <c r="BL1370" s="48"/>
      <c r="BM1370" s="55"/>
      <c r="BN1370" s="50" t="n">
        <v>-26</v>
      </c>
      <c r="BO1370" s="50" t="n">
        <v>26</v>
      </c>
      <c r="BP1370" s="49" t="n">
        <v>-2582.06</v>
      </c>
      <c r="BQ1370" s="50" t="n">
        <v>0</v>
      </c>
      <c r="BR1370" s="48"/>
      <c r="BS1370" s="53" t="n">
        <v>0</v>
      </c>
      <c r="BT1370" s="53" t="n">
        <v>1370</v>
      </c>
      <c r="BU1370" s="48" t="str">
        <f aca="false">IF(U1370&lt;&gt;"",UPPER(TRIM(U1370)),IF(BX1370=1,UPPER(VLOOKUP(T1370,Parameter!$I$27:$K$29,2,0)),IF(P1370="","LOSE",P1370)))</f>
        <v>S81</v>
      </c>
      <c r="BV1370" s="50" t="n">
        <f aca="false">IF(BU1370="LOSE",1,IF(N(V1370)&gt;0,V1370,IF(BX1370=1,MAX(1,N(VLOOKUP(T1370,Parameter!$I$27:$K$29,3,0)),H1370,N(N1370)),IF(N(Q1370)&gt;0,Q1370,MAX(1,H1370)))))</f>
        <v>2</v>
      </c>
      <c r="BW1370" s="53" t="n">
        <f aca="false">IF(BU1370="LOSE",1,0)</f>
        <v>0</v>
      </c>
      <c r="BX1370" s="53" t="n">
        <f aca="false">IF(AND(U1370="",OR(P1370="",P1370="LOSE"),T1370&lt;&gt;"",N(S1370)&lt;=0,ISNUMBER(MATCH(T1370,Parameter!$I$27:$I$29,0))),1,0)</f>
        <v>1</v>
      </c>
      <c r="BY1370" s="53" t="n">
        <f aca="false">IF(CL1370&gt;0,INDEX(Parameter!$H$5:$H$7,W1370)/INDEX(Parameter!$E$5:$E$7,W1370),IF(AND(BW1370=0,N(IFERROR(VLOOKUP(BU1370,'Gebinde-Kategorie'!$A$5:$N$45,14,0),0))&gt;0),VLOOKUP(BU1370,'Gebinde-Kategorie'!$A$5:$N$45,14,0)*10+Parameter!$M$23,Parameter!$M$24))</f>
        <v>235</v>
      </c>
      <c r="BZ1370" s="48" t="str">
        <f aca="false">IF(AND(Parameter!$B$19="Ja",E1370&lt;&gt;"",ISNUMBER(MATCH(E1370,Parameter!$I$35:$I$52,0))),VLOOKUP(E1370,Parameter!$I$35:$J$52,2,0),IFERROR(VLOOKUP(D1370,Parameter!$A$35:$C$64,2,0),"Nein"))</f>
        <v>Nein</v>
      </c>
      <c r="CA1370" s="52" t="n">
        <f aca="false">IF(BW1370=0,0,IF(N(S1370)&gt;0,S1370,IFERROR(VLOOKUP(D1370,Parameter!$A$35:$C$64,3,0)+0,0)))</f>
        <v>0</v>
      </c>
      <c r="CB1370" s="48" t="str">
        <f aca="false">IF(AA1370&lt;&gt;"",AA1370,Z1370)</f>
        <v>-</v>
      </c>
      <c r="CC1370" s="48" t="str">
        <f aca="false">IF(OR(CB1370=1,CB1370=2,CB1370=3),IF(Parameter!$E$27="Ja","LIFT",IF(CB1370=1,"L1","L23")),IF(CB1370="Aussen","Aussen","-"))</f>
        <v>-</v>
      </c>
      <c r="CD1370" s="59" t="n">
        <f aca="false">IF(N(AB1370)&gt;0,AB1370,0)</f>
        <v>0</v>
      </c>
      <c r="CE1370" s="53" t="n">
        <f aca="false">IF(ISNUMBER(AE1370),1,0)</f>
        <v>0</v>
      </c>
      <c r="CF1370" s="50" t="n">
        <f aca="false">N(AE1370)</f>
        <v>0</v>
      </c>
      <c r="CG1370" s="50" t="n">
        <f aca="false">N(M1370)+N(N1370)</f>
        <v>1</v>
      </c>
      <c r="CH1370" s="50" t="n">
        <f aca="false">ROUNDUP(H1370/BV1370,0)</f>
        <v>0</v>
      </c>
      <c r="CI1370" s="50" t="n">
        <f aca="false">ROUNDUP(CF1370/BV1370,0)</f>
        <v>0</v>
      </c>
      <c r="CJ1370" s="53" t="n">
        <f aca="false">IF(BW1370=1,0,IFERROR(VLOOKUP(BU1370,'Gebinde-Kategorie'!$A$5:$N$45,5,0)+0,0))</f>
        <v>20</v>
      </c>
      <c r="CK1370" s="53" t="n">
        <f aca="false">IFERROR(IF(OR(CB1370=1,CB1370=2,CB1370=3),N(INDEX(Parameter!$I$5:$I$7,CB1370)),0),0)</f>
        <v>0</v>
      </c>
      <c r="CL1370" s="52" t="n">
        <f aca="false">IF(AND(Parameter!$B$21="Ja",ISNUMBER(W1370),N(X1370)&gt;0),IFERROR(N(INDEX(Parameter!$L$5:$L$7,W1370))*INDEX(Parameter!$E$5:$E$7,W1370)*X1370/SUMIFS($X$7:$X$1843,$W$7:$W$1843,W1370),0),0)</f>
        <v>0</v>
      </c>
    </row>
    <row r="1371" customFormat="false" ht="15" hidden="false" customHeight="false" outlineLevel="0" collapsed="false">
      <c r="A1371" s="48" t="s">
        <v>2418</v>
      </c>
      <c r="B1371" s="48" t="s">
        <v>2419</v>
      </c>
      <c r="C1371" s="48" t="s">
        <v>168</v>
      </c>
      <c r="D1371" s="48" t="s">
        <v>188</v>
      </c>
      <c r="E1371" s="48" t="s">
        <v>189</v>
      </c>
      <c r="F1371" s="48" t="s">
        <v>222</v>
      </c>
      <c r="G1371" s="49" t="n">
        <v>525.8</v>
      </c>
      <c r="H1371" s="50" t="n">
        <f aca="false">MAX(0,IF(AND(Parameter!$B$21="Ja",ISNUMBER(Y1371)),Y1371,IF(Parameter!$B$20="Jahresanfang 2025 + Export",BO1371+BN1371,BN1371)))</f>
        <v>2</v>
      </c>
      <c r="I1371" s="50" t="n">
        <f aca="false">H1371*G1371</f>
        <v>1051.6</v>
      </c>
      <c r="J1371" s="50" t="n">
        <f aca="false">BQ1371*Parameter!$B$18</f>
        <v>22</v>
      </c>
      <c r="K1371" s="51" t="n">
        <v>8</v>
      </c>
      <c r="L1371" s="52" t="n">
        <v>2.75</v>
      </c>
      <c r="M1371" s="50" t="n">
        <v>1</v>
      </c>
      <c r="N1371" s="50" t="n">
        <v>10</v>
      </c>
      <c r="O1371" s="53" t="n">
        <v>21</v>
      </c>
      <c r="P1371" s="48" t="s">
        <v>230</v>
      </c>
      <c r="Q1371" s="50" t="n">
        <v>8</v>
      </c>
      <c r="R1371" s="53" t="n">
        <f aca="false">IF(BW1371=1,0,IFERROR(VLOOKUP(BU1371,'Gebinde-Kategorie'!$A$5:$N$45,13,0)+0,0))</f>
        <v>12</v>
      </c>
      <c r="S1371" s="54"/>
      <c r="T1371" s="55"/>
      <c r="U1371" s="55"/>
      <c r="V1371" s="55"/>
      <c r="W1371" s="48"/>
      <c r="X1371" s="50"/>
      <c r="Y1371" s="50"/>
      <c r="Z1371" s="48" t="n">
        <f aca="false">IF(A1371="","",IF(AND(Parameter!$B$21="Ja",ISNUMBER(W1371)),W1371,IF(BZ1371="2+3",IF(ISNUMBER(SEARCH("grosser Artikel",BR1371)),2,IFERROR(VLOOKUP(BU1371,Parameter!$F$35:$G$64,2,0),2)),IF(OR(BZ1371="Nein",BZ1371=""),"-",BZ1371))))</f>
        <v>2</v>
      </c>
      <c r="AA1371" s="55"/>
      <c r="AB1371" s="56"/>
      <c r="AC1371" s="50" t="n">
        <f aca="false">AT1371</f>
        <v>16</v>
      </c>
      <c r="AD1371" s="50" t="n">
        <f aca="false">MAX(AT1371,H1371)</f>
        <v>16</v>
      </c>
      <c r="AE1371" s="57"/>
      <c r="AF1371" s="50" t="n">
        <f aca="false">IF(LEFT(Cockpit!$C$5,1)="A",H1371,IF(CE1371=1,CF1371,IF(LEFT(Cockpit!$C$5,1)="B",AK1371,MAX(AK1371,H1371))))</f>
        <v>2</v>
      </c>
      <c r="AG1371" s="50" t="n">
        <f aca="false">IF(BW1371=1,0,ROUNDUP(AF1371/BV1371,0))</f>
        <v>1</v>
      </c>
      <c r="AH1371" s="52" t="n">
        <f aca="false">IF(CL1371&gt;0,CL1371*MAX(1,AF1371/X1371),IF(BW1371=1,IF(AF1371&lt;=0,0,CA1371*MAX(1,IF(H1371&gt;0,AF1371/H1371,1))),IF(R1371&gt;0,AG1371/R1371,0))/MAX(0.1,N(Parameter!$M$21)))</f>
        <v>0.0833333333333333</v>
      </c>
      <c r="AI1371" s="50" t="n">
        <f aca="false">AH1371*BY1371</f>
        <v>28.75</v>
      </c>
      <c r="AJ1371" s="50" t="n">
        <f aca="false">AF1371*G1371</f>
        <v>1051.6</v>
      </c>
      <c r="AK1371" s="50" t="n">
        <f aca="false">ROUNDUP(MAX(J1371/IF(CD1371&gt;0,CD1371,MAX(0.1,N(Cockpit!$C$6))),CG1371)/BV1371,0)*BV1371</f>
        <v>16</v>
      </c>
      <c r="AL1371" s="51" t="n">
        <f aca="false">IF(AI1371&gt;0,J1371/AI1371,-1)</f>
        <v>0.765217391304348</v>
      </c>
      <c r="AM1371" s="51" t="n">
        <f aca="false">IF(AND(OR(CC1371="L1",CC1371="L23",CC1371="LIFT"),AI1371&gt;0),SUMIFS($AI$7:$AI$1843,$CC$7:$CC$1843,CC1371,$AL$7:$AL$1843,"&gt;"&amp;AL1371)+SUMIFS($AI$7:$AI$1843,$CC$7:$CC$1843,CC1371,$AL$7:$AL$1843,AL1371,$BT$7:$BT$1843,"&lt;="&amp;BT1371),"")</f>
        <v>8358.06730769231</v>
      </c>
      <c r="AN1371" s="58" t="n">
        <f aca="false">IF(AM1371="",0,MAX(0,MIN(1,(IF(CC1371="L1",Parameter!$H$5,IF(CC1371="L23",Parameter!$H$6+Parameter!$H$7,Parameter!$H$5+Parameter!$H$6+Parameter!$H$7))-(AM1371-AI1371))/AI1371)))</f>
        <v>1</v>
      </c>
      <c r="AO1371" s="50" t="n">
        <f aca="false">IF(LEFT(Cockpit!$I$5,1)="A",H1371,IF(CE1371=1,CF1371,IF(LEFT(Cockpit!$I$5,1)="B",AT1371,MAX(AT1371,H1371))))</f>
        <v>16</v>
      </c>
      <c r="AP1371" s="50" t="n">
        <f aca="false">IF(BW1371=1,0,ROUNDUP(AO1371/BV1371,0))</f>
        <v>2</v>
      </c>
      <c r="AQ1371" s="52" t="n">
        <f aca="false">IF(CL1371&gt;0,CL1371*MAX(1,AO1371/X1371),IF(BW1371=1,IF(AO1371&lt;=0,0,CA1371*MAX(1,IF(H1371&gt;0,AO1371/H1371,1))),IF(R1371&gt;0,AP1371/R1371,0))/MAX(0.1,N(Parameter!$M$21)))</f>
        <v>0.166666666666667</v>
      </c>
      <c r="AR1371" s="50" t="n">
        <f aca="false">AQ1371*BY1371</f>
        <v>57.5</v>
      </c>
      <c r="AS1371" s="50" t="n">
        <f aca="false">AO1371*G1371</f>
        <v>8412.8</v>
      </c>
      <c r="AT1371" s="50" t="n">
        <f aca="false">ROUNDUP(MAX(J1371/IF(CD1371&gt;0,CD1371,MAX(0.1,N(Cockpit!$I$6))),CG1371)/BV1371,0)*BV1371</f>
        <v>16</v>
      </c>
      <c r="AU1371" s="51" t="n">
        <f aca="false">IF(AR1371&gt;0,J1371/AR1371,-1)</f>
        <v>0.382608695652174</v>
      </c>
      <c r="AV1371" s="51" t="n">
        <f aca="false">IF(AND(OR(CC1371="L1",CC1371="L23",CC1371="LIFT"),AR1371&gt;0),SUMIFS($AR$7:$AR$1843,$CC$7:$CC$1843,CC1371,$AU$7:$AU$1843,"&gt;"&amp;AU1371)+SUMIFS($AR$7:$AR$1843,$CC$7:$CC$1843,CC1371,$AU$7:$AU$1843,AU1371,$BT$7:$BT$1843,"&lt;="&amp;BT1371),"")</f>
        <v>15419.6982600733</v>
      </c>
      <c r="AW1371" s="58" t="n">
        <f aca="false">IF(AV1371="",0,MAX(0,MIN(1,(IF(CC1371="L1",Parameter!$H$5,IF(CC1371="L23",Parameter!$H$6+Parameter!$H$7,Parameter!$H$5+Parameter!$H$6+Parameter!$H$7))-(AV1371-AR1371))/AR1371)))</f>
        <v>1</v>
      </c>
      <c r="AX1371" s="50" t="n">
        <f aca="false">IF(LEFT(Cockpit!$O$5,1)="A",H1371,IF(CE1371=1,CF1371,IF(LEFT(Cockpit!$O$5,1)="B",BC1371,MAX(BC1371,H1371))))</f>
        <v>16</v>
      </c>
      <c r="AY1371" s="50" t="n">
        <f aca="false">IF(BW1371=1,0,ROUNDUP(AX1371/BV1371,0))</f>
        <v>2</v>
      </c>
      <c r="AZ1371" s="52" t="n">
        <f aca="false">IF(CL1371&gt;0,CL1371*MAX(1,AX1371/X1371),IF(BW1371=1,IF(AX1371&lt;=0,0,CA1371*MAX(1,IF(H1371&gt;0,AX1371/H1371,1))),IF(R1371&gt;0,AY1371/R1371,0))/MAX(0.1,N(Parameter!$M$21)))</f>
        <v>0.166666666666667</v>
      </c>
      <c r="BA1371" s="50" t="n">
        <f aca="false">AZ1371*BY1371</f>
        <v>57.5</v>
      </c>
      <c r="BB1371" s="50" t="n">
        <f aca="false">AX1371*G1371</f>
        <v>8412.8</v>
      </c>
      <c r="BC1371" s="50" t="n">
        <f aca="false">ROUNDUP(MAX(J1371/IF(CD1371&gt;0,CD1371,MAX(0.1,N(Cockpit!$O$6))),CG1371)/BV1371,0)*BV1371</f>
        <v>16</v>
      </c>
      <c r="BD1371" s="51" t="n">
        <f aca="false">IF(BA1371&gt;0,J1371/BA1371,-1)</f>
        <v>0.382608695652174</v>
      </c>
      <c r="BE1371" s="51" t="n">
        <f aca="false">IF(AND(OR(CC1371="L1",CC1371="L23",CC1371="LIFT"),BA1371&gt;0),SUMIFS($BA$7:$BA$1843,$CC$7:$CC$1843,CC1371,$BD$7:$BD$1843,"&gt;"&amp;BD1371)+SUMIFS($BA$7:$BA$1843,$CC$7:$CC$1843,CC1371,$BD$7:$BD$1843,BD1371,$BT$7:$BT$1843,"&lt;="&amp;BT1371),"")</f>
        <v>14405.3553113553</v>
      </c>
      <c r="BF1371" s="58" t="n">
        <f aca="false">IF(BE1371="",0,MAX(0,MIN(1,(IF(CC1371="L1",Parameter!$H$5,IF(CC1371="L23",Parameter!$H$6+Parameter!$H$7,Parameter!$H$5+Parameter!$H$6+Parameter!$H$7))-(BE1371-BA1371))/BA1371)))</f>
        <v>1</v>
      </c>
      <c r="BG1371" s="48" t="str">
        <f aca="false">IF(AI1371&lt;=0,"",IF(CC1371="Aussen","Aussenlager",IF(CC1371="-","Nicht im Lift",IF(AN1371&gt;=1,"Lift",IF(AN1371&lt;=0,"Aussenlager","teilweise")))))</f>
        <v>Lift</v>
      </c>
      <c r="BH1371" s="48" t="str">
        <f aca="false">IF(AR1371&lt;=0,"",IF(CC1371="Aussen","Aussenlager",IF(CC1371="-","Nicht im Lift",IF(AW1371&gt;=1,"Lift",IF(AW1371&lt;=0,"Aussenlager","teilweise")))))</f>
        <v>Lift</v>
      </c>
      <c r="BI1371" s="48" t="str">
        <f aca="false">IF(BA1371&lt;=0,"",IF(CC1371="Aussen","Aussenlager",IF(CC1371="-","Nicht im Lift",IF(BF1371&gt;=1,"Lift",IF(BF1371&lt;=0,"Aussenlager","teilweise")))))</f>
        <v>Lift</v>
      </c>
      <c r="BJ1371" s="48" t="str">
        <f aca="false">IF(A1371="","",IF(BS1371=1,"Neu; ","")&amp;IF(AND(BS1371=0,BN1371&lt;0),"negativer Bestand (Export "&amp;BN1371&amp;"); ","")&amp;IF(J1371&lt;=0,"Kein Verbrauch; ","")&amp;IF(CL1371&gt;0,"Lift "&amp;W1371&amp;" lt. Liftbericht (Fach "&amp;X1371&amp;" Stk); ",IF(BX1371=1,"Gebinde geschätzt ("&amp;T1371&amp;"); ",IF(BW1371=1,"Lose – Tablare geschätzt; ","")))&amp;IF(H1371&gt;AT1371,"Überbestand "&amp;ROUND(H1371-AT1371,0)&amp;" Stk / CHF "&amp;ROUND((H1371-AT1371)*G1371,0)&amp;"; ","")&amp;IF(AND(CE1371=1,CF1371&lt;CG1371),"MAX &lt; MB+LG; ","")&amp;IF(AND(CK1371&gt;0,CJ1371*10&gt;CK1371),"zu hoch für Tablar; ","")&amp;IF(AND(BS1371=0,OR(CE1371=1,AA1371&lt;&gt;"",U1371&lt;&gt;"",V1371&lt;&gt;"",AB1371&lt;&gt;"")),"manuell übersteuert; ","")&amp;IF(AND(BW1371=0,R1371=0),"Gebinde unbekannt / Stellmass fehlt; ","")&amp;IF(AND(BW1371=0,N(V1371)&lt;=0,N(Q1371)&lt;=0),"Menge pro Gebinde fehlt (Ist = 1 Gebinde); ","")&amp;BR1371)</f>
        <v>negativer Bestand (Export -6); </v>
      </c>
      <c r="BK1371" s="48"/>
      <c r="BL1371" s="48"/>
      <c r="BM1371" s="55"/>
      <c r="BN1371" s="50" t="n">
        <v>-6</v>
      </c>
      <c r="BO1371" s="50" t="n">
        <v>8</v>
      </c>
      <c r="BP1371" s="49" t="n">
        <v>-2622.8</v>
      </c>
      <c r="BQ1371" s="50" t="n">
        <v>22</v>
      </c>
      <c r="BR1371" s="48"/>
      <c r="BS1371" s="53" t="n">
        <v>0</v>
      </c>
      <c r="BT1371" s="53" t="n">
        <v>1371</v>
      </c>
      <c r="BU1371" s="48" t="str">
        <f aca="false">IF(U1371&lt;&gt;"",UPPER(TRIM(U1371)),IF(BX1371=1,UPPER(VLOOKUP(T1371,Parameter!$I$27:$K$29,2,0)),IF(P1371="","LOSE",P1371)))</f>
        <v>S63</v>
      </c>
      <c r="BV1371" s="50" t="n">
        <f aca="false">IF(BU1371="LOSE",1,IF(N(V1371)&gt;0,V1371,IF(BX1371=1,MAX(1,N(VLOOKUP(T1371,Parameter!$I$27:$K$29,3,0)),H1371,N(N1371)),IF(N(Q1371)&gt;0,Q1371,MAX(1,H1371)))))</f>
        <v>8</v>
      </c>
      <c r="BW1371" s="53" t="n">
        <f aca="false">IF(BU1371="LOSE",1,0)</f>
        <v>0</v>
      </c>
      <c r="BX1371" s="53" t="n">
        <f aca="false">IF(AND(U1371="",OR(P1371="",P1371="LOSE"),T1371&lt;&gt;"",N(S1371)&lt;=0,ISNUMBER(MATCH(T1371,Parameter!$I$27:$I$29,0))),1,0)</f>
        <v>0</v>
      </c>
      <c r="BY1371" s="53" t="n">
        <f aca="false">IF(CL1371&gt;0,INDEX(Parameter!$H$5:$H$7,W1371)/INDEX(Parameter!$E$5:$E$7,W1371),IF(AND(BW1371=0,N(IFERROR(VLOOKUP(BU1371,'Gebinde-Kategorie'!$A$5:$N$45,14,0),0))&gt;0),VLOOKUP(BU1371,'Gebinde-Kategorie'!$A$5:$N$45,14,0)*10+Parameter!$M$23,Parameter!$M$24))</f>
        <v>345</v>
      </c>
      <c r="BZ1371" s="48" t="str">
        <f aca="false">IF(AND(Parameter!$B$19="Ja",E1371&lt;&gt;"",ISNUMBER(MATCH(E1371,Parameter!$I$35:$I$52,0))),VLOOKUP(E1371,Parameter!$I$35:$J$52,2,0),IFERROR(VLOOKUP(D1371,Parameter!$A$35:$C$64,2,0),"Nein"))</f>
        <v>2+3</v>
      </c>
      <c r="CA1371" s="52" t="n">
        <f aca="false">IF(BW1371=0,0,IF(N(S1371)&gt;0,S1371,IFERROR(VLOOKUP(D1371,Parameter!$A$35:$C$64,3,0)+0,0)))</f>
        <v>0</v>
      </c>
      <c r="CB1371" s="48" t="n">
        <f aca="false">IF(AA1371&lt;&gt;"",AA1371,Z1371)</f>
        <v>2</v>
      </c>
      <c r="CC1371" s="48" t="str">
        <f aca="false">IF(OR(CB1371=1,CB1371=2,CB1371=3),IF(Parameter!$E$27="Ja","LIFT",IF(CB1371=1,"L1","L23")),IF(CB1371="Aussen","Aussen","-"))</f>
        <v>LIFT</v>
      </c>
      <c r="CD1371" s="59" t="n">
        <f aca="false">IF(N(AB1371)&gt;0,AB1371,0)</f>
        <v>0</v>
      </c>
      <c r="CE1371" s="53" t="n">
        <f aca="false">IF(ISNUMBER(AE1371),1,0)</f>
        <v>0</v>
      </c>
      <c r="CF1371" s="50" t="n">
        <f aca="false">N(AE1371)</f>
        <v>0</v>
      </c>
      <c r="CG1371" s="50" t="n">
        <f aca="false">N(M1371)+N(N1371)</f>
        <v>11</v>
      </c>
      <c r="CH1371" s="50" t="n">
        <f aca="false">ROUNDUP(H1371/BV1371,0)</f>
        <v>1</v>
      </c>
      <c r="CI1371" s="50" t="n">
        <f aca="false">ROUNDUP(CF1371/BV1371,0)</f>
        <v>0</v>
      </c>
      <c r="CJ1371" s="53" t="n">
        <f aca="false">IF(BW1371=1,0,IFERROR(VLOOKUP(BU1371,'Gebinde-Kategorie'!$A$5:$N$45,5,0)+0,0))</f>
        <v>31</v>
      </c>
      <c r="CK1371" s="53" t="n">
        <f aca="false">IFERROR(IF(OR(CB1371=1,CB1371=2,CB1371=3),N(INDEX(Parameter!$I$5:$I$7,CB1371)),0),0)</f>
        <v>0</v>
      </c>
      <c r="CL1371" s="52" t="n">
        <f aca="false">IF(AND(Parameter!$B$21="Ja",ISNUMBER(W1371),N(X1371)&gt;0),IFERROR(N(INDEX(Parameter!$L$5:$L$7,W1371))*INDEX(Parameter!$E$5:$E$7,W1371)*X1371/SUMIFS($X$7:$X$1843,$W$7:$W$1843,W1371),0),0)</f>
        <v>0</v>
      </c>
    </row>
    <row r="1372" customFormat="false" ht="15" hidden="false" customHeight="false" outlineLevel="0" collapsed="false">
      <c r="A1372" s="48" t="s">
        <v>2420</v>
      </c>
      <c r="B1372" s="48" t="s">
        <v>2421</v>
      </c>
      <c r="C1372" s="48" t="s">
        <v>168</v>
      </c>
      <c r="D1372" s="48" t="s">
        <v>177</v>
      </c>
      <c r="E1372" s="48" t="s">
        <v>2422</v>
      </c>
      <c r="F1372" s="48" t="s">
        <v>222</v>
      </c>
      <c r="G1372" s="49" t="n">
        <v>3599.65</v>
      </c>
      <c r="H1372" s="50" t="n">
        <f aca="false">MAX(0,IF(AND(Parameter!$B$21="Ja",ISNUMBER(Y1372)),Y1372,IF(Parameter!$B$20="Jahresanfang 2025 + Export",BO1372+BN1372,BN1372)))</f>
        <v>6</v>
      </c>
      <c r="I1372" s="50" t="n">
        <f aca="false">H1372*G1372</f>
        <v>21597.9</v>
      </c>
      <c r="J1372" s="50" t="n">
        <f aca="false">BQ1372*Parameter!$B$18</f>
        <v>13</v>
      </c>
      <c r="K1372" s="51" t="n">
        <v>8</v>
      </c>
      <c r="L1372" s="52" t="n">
        <v>1.625</v>
      </c>
      <c r="M1372" s="50" t="n">
        <v>0</v>
      </c>
      <c r="N1372" s="50" t="n">
        <v>1</v>
      </c>
      <c r="O1372" s="53" t="n">
        <v>60</v>
      </c>
      <c r="P1372" s="48" t="s">
        <v>172</v>
      </c>
      <c r="Q1372" s="50"/>
      <c r="R1372" s="53" t="n">
        <f aca="false">IF(BW1372=1,0,IFERROR(VLOOKUP(BU1372,'Gebinde-Kategorie'!$A$5:$N$45,13,0)+0,0))</f>
        <v>12</v>
      </c>
      <c r="S1372" s="54"/>
      <c r="T1372" s="55" t="s">
        <v>183</v>
      </c>
      <c r="U1372" s="55"/>
      <c r="V1372" s="55"/>
      <c r="W1372" s="48"/>
      <c r="X1372" s="50"/>
      <c r="Y1372" s="50"/>
      <c r="Z1372" s="48" t="str">
        <f aca="false">IF(A1372="","",IF(AND(Parameter!$B$21="Ja",ISNUMBER(W1372)),W1372,IF(BZ1372="2+3",IF(ISNUMBER(SEARCH("grosser Artikel",BR1372)),2,IFERROR(VLOOKUP(BU1372,Parameter!$F$35:$G$64,2,0),2)),IF(OR(BZ1372="Nein",BZ1372=""),"-",BZ1372))))</f>
        <v>-</v>
      </c>
      <c r="AA1372" s="55"/>
      <c r="AB1372" s="56"/>
      <c r="AC1372" s="50" t="n">
        <f aca="false">AT1372</f>
        <v>12</v>
      </c>
      <c r="AD1372" s="50" t="n">
        <f aca="false">MAX(AT1372,H1372)</f>
        <v>12</v>
      </c>
      <c r="AE1372" s="57"/>
      <c r="AF1372" s="50" t="n">
        <f aca="false">IF(LEFT(Cockpit!$C$5,1)="A",H1372,IF(CE1372=1,CF1372,IF(LEFT(Cockpit!$C$5,1)="B",AK1372,MAX(AK1372,H1372))))</f>
        <v>6</v>
      </c>
      <c r="AG1372" s="50" t="n">
        <f aca="false">IF(BW1372=1,0,ROUNDUP(AF1372/BV1372,0))</f>
        <v>1</v>
      </c>
      <c r="AH1372" s="52" t="n">
        <f aca="false">IF(CL1372&gt;0,CL1372*MAX(1,AF1372/X1372),IF(BW1372=1,IF(AF1372&lt;=0,0,CA1372*MAX(1,IF(H1372&gt;0,AF1372/H1372,1))),IF(R1372&gt;0,AG1372/R1372,0))/MAX(0.1,N(Parameter!$M$21)))</f>
        <v>0.0833333333333333</v>
      </c>
      <c r="AI1372" s="50" t="n">
        <f aca="false">AH1372*BY1372</f>
        <v>12.0833333333333</v>
      </c>
      <c r="AJ1372" s="50" t="n">
        <f aca="false">AF1372*G1372</f>
        <v>21597.9</v>
      </c>
      <c r="AK1372" s="50" t="n">
        <f aca="false">ROUNDUP(MAX(J1372/IF(CD1372&gt;0,CD1372,MAX(0.1,N(Cockpit!$C$6))),CG1372)/BV1372,0)*BV1372</f>
        <v>12</v>
      </c>
      <c r="AL1372" s="51" t="n">
        <f aca="false">IF(AI1372&gt;0,J1372/AI1372,-1)</f>
        <v>1.07586206896552</v>
      </c>
      <c r="AM1372" s="51" t="str">
        <f aca="false">IF(AND(OR(CC1372="L1",CC1372="L23",CC1372="LIFT"),AI1372&gt;0),SUMIFS($AI$7:$AI$1843,$CC$7:$CC$1843,CC1372,$AL$7:$AL$1843,"&gt;"&amp;AL1372)+SUMIFS($AI$7:$AI$1843,$CC$7:$CC$1843,CC1372,$AL$7:$AL$1843,AL1372,$BT$7:$BT$1843,"&lt;="&amp;BT1372),"")</f>
        <v/>
      </c>
      <c r="AN1372" s="58" t="n">
        <f aca="false">IF(AM1372="",0,MAX(0,MIN(1,(IF(CC1372="L1",Parameter!$H$5,IF(CC1372="L23",Parameter!$H$6+Parameter!$H$7,Parameter!$H$5+Parameter!$H$6+Parameter!$H$7))-(AM1372-AI1372))/AI1372)))</f>
        <v>0</v>
      </c>
      <c r="AO1372" s="50" t="n">
        <f aca="false">IF(LEFT(Cockpit!$I$5,1)="A",H1372,IF(CE1372=1,CF1372,IF(LEFT(Cockpit!$I$5,1)="B",AT1372,MAX(AT1372,H1372))))</f>
        <v>12</v>
      </c>
      <c r="AP1372" s="50" t="n">
        <f aca="false">IF(BW1372=1,0,ROUNDUP(AO1372/BV1372,0))</f>
        <v>2</v>
      </c>
      <c r="AQ1372" s="52" t="n">
        <f aca="false">IF(CL1372&gt;0,CL1372*MAX(1,AO1372/X1372),IF(BW1372=1,IF(AO1372&lt;=0,0,CA1372*MAX(1,IF(H1372&gt;0,AO1372/H1372,1))),IF(R1372&gt;0,AP1372/R1372,0))/MAX(0.1,N(Parameter!$M$21)))</f>
        <v>0.166666666666667</v>
      </c>
      <c r="AR1372" s="50" t="n">
        <f aca="false">AQ1372*BY1372</f>
        <v>24.1666666666667</v>
      </c>
      <c r="AS1372" s="50" t="n">
        <f aca="false">AO1372*G1372</f>
        <v>43195.8</v>
      </c>
      <c r="AT1372" s="50" t="n">
        <f aca="false">ROUNDUP(MAX(J1372/IF(CD1372&gt;0,CD1372,MAX(0.1,N(Cockpit!$I$6))),CG1372)/BV1372,0)*BV1372</f>
        <v>12</v>
      </c>
      <c r="AU1372" s="51" t="n">
        <f aca="false">IF(AR1372&gt;0,J1372/AR1372,-1)</f>
        <v>0.537931034482759</v>
      </c>
      <c r="AV1372" s="51" t="str">
        <f aca="false">IF(AND(OR(CC1372="L1",CC1372="L23",CC1372="LIFT"),AR1372&gt;0),SUMIFS($AR$7:$AR$1843,$CC$7:$CC$1843,CC1372,$AU$7:$AU$1843,"&gt;"&amp;AU1372)+SUMIFS($AR$7:$AR$1843,$CC$7:$CC$1843,CC1372,$AU$7:$AU$1843,AU1372,$BT$7:$BT$1843,"&lt;="&amp;BT1372),"")</f>
        <v/>
      </c>
      <c r="AW1372" s="58" t="n">
        <f aca="false">IF(AV1372="",0,MAX(0,MIN(1,(IF(CC1372="L1",Parameter!$H$5,IF(CC1372="L23",Parameter!$H$6+Parameter!$H$7,Parameter!$H$5+Parameter!$H$6+Parameter!$H$7))-(AV1372-AR1372))/AR1372)))</f>
        <v>0</v>
      </c>
      <c r="AX1372" s="50" t="n">
        <f aca="false">IF(LEFT(Cockpit!$O$5,1)="A",H1372,IF(CE1372=1,CF1372,IF(LEFT(Cockpit!$O$5,1)="B",BC1372,MAX(BC1372,H1372))))</f>
        <v>6</v>
      </c>
      <c r="AY1372" s="50" t="n">
        <f aca="false">IF(BW1372=1,0,ROUNDUP(AX1372/BV1372,0))</f>
        <v>1</v>
      </c>
      <c r="AZ1372" s="52" t="n">
        <f aca="false">IF(CL1372&gt;0,CL1372*MAX(1,AX1372/X1372),IF(BW1372=1,IF(AX1372&lt;=0,0,CA1372*MAX(1,IF(H1372&gt;0,AX1372/H1372,1))),IF(R1372&gt;0,AY1372/R1372,0))/MAX(0.1,N(Parameter!$M$21)))</f>
        <v>0.0833333333333333</v>
      </c>
      <c r="BA1372" s="50" t="n">
        <f aca="false">AZ1372*BY1372</f>
        <v>12.0833333333333</v>
      </c>
      <c r="BB1372" s="50" t="n">
        <f aca="false">AX1372*G1372</f>
        <v>21597.9</v>
      </c>
      <c r="BC1372" s="50" t="n">
        <f aca="false">ROUNDUP(MAX(J1372/IF(CD1372&gt;0,CD1372,MAX(0.1,N(Cockpit!$O$6))),CG1372)/BV1372,0)*BV1372</f>
        <v>6</v>
      </c>
      <c r="BD1372" s="51" t="n">
        <f aca="false">IF(BA1372&gt;0,J1372/BA1372,-1)</f>
        <v>1.07586206896552</v>
      </c>
      <c r="BE1372" s="51" t="str">
        <f aca="false">IF(AND(OR(CC1372="L1",CC1372="L23",CC1372="LIFT"),BA1372&gt;0),SUMIFS($BA$7:$BA$1843,$CC$7:$CC$1843,CC1372,$BD$7:$BD$1843,"&gt;"&amp;BD1372)+SUMIFS($BA$7:$BA$1843,$CC$7:$CC$1843,CC1372,$BD$7:$BD$1843,BD1372,$BT$7:$BT$1843,"&lt;="&amp;BT1372),"")</f>
        <v/>
      </c>
      <c r="BF1372" s="58" t="n">
        <f aca="false">IF(BE1372="",0,MAX(0,MIN(1,(IF(CC1372="L1",Parameter!$H$5,IF(CC1372="L23",Parameter!$H$6+Parameter!$H$7,Parameter!$H$5+Parameter!$H$6+Parameter!$H$7))-(BE1372-BA1372))/BA1372)))</f>
        <v>0</v>
      </c>
      <c r="BG1372" s="48" t="str">
        <f aca="false">IF(AI1372&lt;=0,"",IF(CC1372="Aussen","Aussenlager",IF(CC1372="-","Nicht im Lift",IF(AN1372&gt;=1,"Lift",IF(AN1372&lt;=0,"Aussenlager","teilweise")))))</f>
        <v>Nicht im Lift</v>
      </c>
      <c r="BH1372" s="48" t="str">
        <f aca="false">IF(AR1372&lt;=0,"",IF(CC1372="Aussen","Aussenlager",IF(CC1372="-","Nicht im Lift",IF(AW1372&gt;=1,"Lift",IF(AW1372&lt;=0,"Aussenlager","teilweise")))))</f>
        <v>Nicht im Lift</v>
      </c>
      <c r="BI1372" s="48" t="str">
        <f aca="false">IF(BA1372&lt;=0,"",IF(CC1372="Aussen","Aussenlager",IF(CC1372="-","Nicht im Lift",IF(BF1372&gt;=1,"Lift",IF(BF1372&lt;=0,"Aussenlager","teilweise")))))</f>
        <v>Nicht im Lift</v>
      </c>
      <c r="BJ1372" s="48" t="str">
        <f aca="false">IF(A1372="","",IF(BS1372=1,"Neu; ","")&amp;IF(AND(BS1372=0,BN1372&lt;0),"negativer Bestand (Export "&amp;BN1372&amp;"); ","")&amp;IF(J1372&lt;=0,"Kein Verbrauch; ","")&amp;IF(CL1372&gt;0,"Lift "&amp;W1372&amp;" lt. Liftbericht (Fach "&amp;X1372&amp;" Stk); ",IF(BX1372=1,"Gebinde geschätzt ("&amp;T1372&amp;"); ",IF(BW1372=1,"Lose – Tablare geschätzt; ","")))&amp;IF(H1372&gt;AT1372,"Überbestand "&amp;ROUND(H1372-AT1372,0)&amp;" Stk / CHF "&amp;ROUND((H1372-AT1372)*G1372,0)&amp;"; ","")&amp;IF(AND(CE1372=1,CF1372&lt;CG1372),"MAX &lt; MB+LG; ","")&amp;IF(AND(CK1372&gt;0,CJ1372*10&gt;CK1372),"zu hoch für Tablar; ","")&amp;IF(AND(BS1372=0,OR(CE1372=1,AA1372&lt;&gt;"",U1372&lt;&gt;"",V1372&lt;&gt;"",AB1372&lt;&gt;"")),"manuell übersteuert; ","")&amp;IF(AND(BW1372=0,R1372=0),"Gebinde unbekannt / Stellmass fehlt; ","")&amp;IF(AND(BW1372=0,N(V1372)&lt;=0,N(Q1372)&lt;=0),"Menge pro Gebinde fehlt (Ist = 1 Gebinde); ","")&amp;BR1372)</f>
        <v>negativer Bestand (Export -2); Gebinde geschätzt (Mittel); Menge pro Gebinde fehlt (Ist = 1 Gebinde); </v>
      </c>
      <c r="BK1372" s="48"/>
      <c r="BL1372" s="48"/>
      <c r="BM1372" s="55"/>
      <c r="BN1372" s="50" t="n">
        <v>-2</v>
      </c>
      <c r="BO1372" s="50" t="n">
        <v>8</v>
      </c>
      <c r="BP1372" s="49" t="n">
        <v>-2698.84000000002</v>
      </c>
      <c r="BQ1372" s="50" t="n">
        <v>13</v>
      </c>
      <c r="BR1372" s="48"/>
      <c r="BS1372" s="53" t="n">
        <v>0</v>
      </c>
      <c r="BT1372" s="53" t="n">
        <v>1372</v>
      </c>
      <c r="BU1372" s="48" t="str">
        <f aca="false">IF(U1372&lt;&gt;"",UPPER(TRIM(U1372)),IF(BX1372=1,UPPER(VLOOKUP(T1372,Parameter!$I$27:$K$29,2,0)),IF(P1372="","LOSE",P1372)))</f>
        <v>S61</v>
      </c>
      <c r="BV1372" s="50" t="n">
        <f aca="false">IF(BU1372="LOSE",1,IF(N(V1372)&gt;0,V1372,IF(BX1372=1,MAX(1,N(VLOOKUP(T1372,Parameter!$I$27:$K$29,3,0)),H1372,N(N1372)),IF(N(Q1372)&gt;0,Q1372,MAX(1,H1372)))))</f>
        <v>6</v>
      </c>
      <c r="BW1372" s="53" t="n">
        <f aca="false">IF(BU1372="LOSE",1,0)</f>
        <v>0</v>
      </c>
      <c r="BX1372" s="53" t="n">
        <f aca="false">IF(AND(U1372="",OR(P1372="",P1372="LOSE"),T1372&lt;&gt;"",N(S1372)&lt;=0,ISNUMBER(MATCH(T1372,Parameter!$I$27:$I$29,0))),1,0)</f>
        <v>1</v>
      </c>
      <c r="BY1372" s="53" t="n">
        <f aca="false">IF(CL1372&gt;0,INDEX(Parameter!$H$5:$H$7,W1372)/INDEX(Parameter!$E$5:$E$7,W1372),IF(AND(BW1372=0,N(IFERROR(VLOOKUP(BU1372,'Gebinde-Kategorie'!$A$5:$N$45,14,0),0))&gt;0),VLOOKUP(BU1372,'Gebinde-Kategorie'!$A$5:$N$45,14,0)*10+Parameter!$M$23,Parameter!$M$24))</f>
        <v>145</v>
      </c>
      <c r="BZ1372" s="48" t="str">
        <f aca="false">IF(AND(Parameter!$B$19="Ja",E1372&lt;&gt;"",ISNUMBER(MATCH(E1372,Parameter!$I$35:$I$52,0))),VLOOKUP(E1372,Parameter!$I$35:$J$52,2,0),IFERROR(VLOOKUP(D1372,Parameter!$A$35:$C$64,2,0),"Nein"))</f>
        <v>Nein</v>
      </c>
      <c r="CA1372" s="52" t="n">
        <f aca="false">IF(BW1372=0,0,IF(N(S1372)&gt;0,S1372,IFERROR(VLOOKUP(D1372,Parameter!$A$35:$C$64,3,0)+0,0)))</f>
        <v>0</v>
      </c>
      <c r="CB1372" s="48" t="str">
        <f aca="false">IF(AA1372&lt;&gt;"",AA1372,Z1372)</f>
        <v>-</v>
      </c>
      <c r="CC1372" s="48" t="str">
        <f aca="false">IF(OR(CB1372=1,CB1372=2,CB1372=3),IF(Parameter!$E$27="Ja","LIFT",IF(CB1372=1,"L1","L23")),IF(CB1372="Aussen","Aussen","-"))</f>
        <v>-</v>
      </c>
      <c r="CD1372" s="59" t="n">
        <f aca="false">IF(N(AB1372)&gt;0,AB1372,0)</f>
        <v>0</v>
      </c>
      <c r="CE1372" s="53" t="n">
        <f aca="false">IF(ISNUMBER(AE1372),1,0)</f>
        <v>0</v>
      </c>
      <c r="CF1372" s="50" t="n">
        <f aca="false">N(AE1372)</f>
        <v>0</v>
      </c>
      <c r="CG1372" s="50" t="n">
        <f aca="false">N(M1372)+N(N1372)</f>
        <v>1</v>
      </c>
      <c r="CH1372" s="50" t="n">
        <f aca="false">ROUNDUP(H1372/BV1372,0)</f>
        <v>1</v>
      </c>
      <c r="CI1372" s="50" t="n">
        <f aca="false">ROUNDUP(CF1372/BV1372,0)</f>
        <v>0</v>
      </c>
      <c r="CJ1372" s="53" t="n">
        <f aca="false">IF(BW1372=1,0,IFERROR(VLOOKUP(BU1372,'Gebinde-Kategorie'!$A$5:$N$45,5,0)+0,0))</f>
        <v>11</v>
      </c>
      <c r="CK1372" s="53" t="n">
        <f aca="false">IFERROR(IF(OR(CB1372=1,CB1372=2,CB1372=3),N(INDEX(Parameter!$I$5:$I$7,CB1372)),0),0)</f>
        <v>0</v>
      </c>
      <c r="CL1372" s="52" t="n">
        <f aca="false">IF(AND(Parameter!$B$21="Ja",ISNUMBER(W1372),N(X1372)&gt;0),IFERROR(N(INDEX(Parameter!$L$5:$L$7,W1372))*INDEX(Parameter!$E$5:$E$7,W1372)*X1372/SUMIFS($X$7:$X$1843,$W$7:$W$1843,W1372),0),0)</f>
        <v>0</v>
      </c>
    </row>
    <row r="1373" customFormat="false" ht="15" hidden="false" customHeight="false" outlineLevel="0" collapsed="false">
      <c r="A1373" s="48" t="s">
        <v>2423</v>
      </c>
      <c r="B1373" s="48" t="s">
        <v>2424</v>
      </c>
      <c r="C1373" s="48" t="s">
        <v>168</v>
      </c>
      <c r="D1373" s="48" t="s">
        <v>188</v>
      </c>
      <c r="E1373" s="48" t="s">
        <v>189</v>
      </c>
      <c r="F1373" s="48" t="s">
        <v>222</v>
      </c>
      <c r="G1373" s="49" t="n">
        <v>208.24</v>
      </c>
      <c r="H1373" s="50" t="n">
        <f aca="false">MAX(0,IF(AND(Parameter!$B$21="Ja",ISNUMBER(Y1373)),Y1373,IF(Parameter!$B$20="Jahresanfang 2025 + Export",BO1373+BN1373,BN1373)))</f>
        <v>1</v>
      </c>
      <c r="I1373" s="50" t="n">
        <f aca="false">H1373*G1373</f>
        <v>208.24</v>
      </c>
      <c r="J1373" s="50" t="n">
        <f aca="false">BQ1373*Parameter!$B$18</f>
        <v>6</v>
      </c>
      <c r="K1373" s="51" t="n">
        <v>10</v>
      </c>
      <c r="L1373" s="52" t="n">
        <v>0.6</v>
      </c>
      <c r="M1373" s="50" t="n">
        <v>0</v>
      </c>
      <c r="N1373" s="50" t="n">
        <v>5</v>
      </c>
      <c r="O1373" s="53" t="n">
        <v>21</v>
      </c>
      <c r="P1373" s="48" t="s">
        <v>480</v>
      </c>
      <c r="Q1373" s="50" t="n">
        <v>17</v>
      </c>
      <c r="R1373" s="53" t="n">
        <f aca="false">IF(BW1373=1,0,IFERROR(VLOOKUP(BU1373,'Gebinde-Kategorie'!$A$5:$N$45,13,0)+0,0))</f>
        <v>52</v>
      </c>
      <c r="S1373" s="54"/>
      <c r="T1373" s="55"/>
      <c r="U1373" s="55"/>
      <c r="V1373" s="55"/>
      <c r="W1373" s="48"/>
      <c r="X1373" s="50"/>
      <c r="Y1373" s="50"/>
      <c r="Z1373" s="48" t="n">
        <f aca="false">IF(A1373="","",IF(AND(Parameter!$B$21="Ja",ISNUMBER(W1373)),W1373,IF(BZ1373="2+3",IF(ISNUMBER(SEARCH("grosser Artikel",BR1373)),2,IFERROR(VLOOKUP(BU1373,Parameter!$F$35:$G$64,2,0),2)),IF(OR(BZ1373="Nein",BZ1373=""),"-",BZ1373))))</f>
        <v>3</v>
      </c>
      <c r="AA1373" s="55"/>
      <c r="AB1373" s="56"/>
      <c r="AC1373" s="50" t="n">
        <f aca="false">AT1373</f>
        <v>17</v>
      </c>
      <c r="AD1373" s="50" t="n">
        <f aca="false">MAX(AT1373,H1373)</f>
        <v>17</v>
      </c>
      <c r="AE1373" s="57"/>
      <c r="AF1373" s="50" t="n">
        <f aca="false">IF(LEFT(Cockpit!$C$5,1)="A",H1373,IF(CE1373=1,CF1373,IF(LEFT(Cockpit!$C$5,1)="B",AK1373,MAX(AK1373,H1373))))</f>
        <v>1</v>
      </c>
      <c r="AG1373" s="50" t="n">
        <f aca="false">IF(BW1373=1,0,ROUNDUP(AF1373/BV1373,0))</f>
        <v>1</v>
      </c>
      <c r="AH1373" s="52" t="n">
        <f aca="false">IF(CL1373&gt;0,CL1373*MAX(1,AF1373/X1373),IF(BW1373=1,IF(AF1373&lt;=0,0,CA1373*MAX(1,IF(H1373&gt;0,AF1373/H1373,1))),IF(R1373&gt;0,AG1373/R1373,0))/MAX(0.1,N(Parameter!$M$21)))</f>
        <v>0.0192307692307692</v>
      </c>
      <c r="AI1373" s="50" t="n">
        <f aca="false">AH1373*BY1373</f>
        <v>2.98076923076923</v>
      </c>
      <c r="AJ1373" s="50" t="n">
        <f aca="false">AF1373*G1373</f>
        <v>208.24</v>
      </c>
      <c r="AK1373" s="50" t="n">
        <f aca="false">ROUNDUP(MAX(J1373/IF(CD1373&gt;0,CD1373,MAX(0.1,N(Cockpit!$C$6))),CG1373)/BV1373,0)*BV1373</f>
        <v>17</v>
      </c>
      <c r="AL1373" s="51" t="n">
        <f aca="false">IF(AI1373&gt;0,J1373/AI1373,-1)</f>
        <v>2.01290322580645</v>
      </c>
      <c r="AM1373" s="51" t="n">
        <f aca="false">IF(AND(OR(CC1373="L1",CC1373="L23",CC1373="LIFT"),AI1373&gt;0),SUMIFS($AI$7:$AI$1843,$CC$7:$CC$1843,CC1373,$AL$7:$AL$1843,"&gt;"&amp;AL1373)+SUMIFS($AI$7:$AI$1843,$CC$7:$CC$1843,CC1373,$AL$7:$AL$1843,AL1373,$BT$7:$BT$1843,"&lt;="&amp;BT1373),"")</f>
        <v>5831.0902014652</v>
      </c>
      <c r="AN1373" s="58" t="n">
        <f aca="false">IF(AM1373="",0,MAX(0,MIN(1,(IF(CC1373="L1",Parameter!$H$5,IF(CC1373="L23",Parameter!$H$6+Parameter!$H$7,Parameter!$H$5+Parameter!$H$6+Parameter!$H$7))-(AM1373-AI1373))/AI1373)))</f>
        <v>1</v>
      </c>
      <c r="AO1373" s="50" t="n">
        <f aca="false">IF(LEFT(Cockpit!$I$5,1)="A",H1373,IF(CE1373=1,CF1373,IF(LEFT(Cockpit!$I$5,1)="B",AT1373,MAX(AT1373,H1373))))</f>
        <v>17</v>
      </c>
      <c r="AP1373" s="50" t="n">
        <f aca="false">IF(BW1373=1,0,ROUNDUP(AO1373/BV1373,0))</f>
        <v>1</v>
      </c>
      <c r="AQ1373" s="52" t="n">
        <f aca="false">IF(CL1373&gt;0,CL1373*MAX(1,AO1373/X1373),IF(BW1373=1,IF(AO1373&lt;=0,0,CA1373*MAX(1,IF(H1373&gt;0,AO1373/H1373,1))),IF(R1373&gt;0,AP1373/R1373,0))/MAX(0.1,N(Parameter!$M$21)))</f>
        <v>0.0192307692307692</v>
      </c>
      <c r="AR1373" s="50" t="n">
        <f aca="false">AQ1373*BY1373</f>
        <v>2.98076923076923</v>
      </c>
      <c r="AS1373" s="50" t="n">
        <f aca="false">AO1373*G1373</f>
        <v>3540.08</v>
      </c>
      <c r="AT1373" s="50" t="n">
        <f aca="false">ROUNDUP(MAX(J1373/IF(CD1373&gt;0,CD1373,MAX(0.1,N(Cockpit!$I$6))),CG1373)/BV1373,0)*BV1373</f>
        <v>17</v>
      </c>
      <c r="AU1373" s="51" t="n">
        <f aca="false">IF(AR1373&gt;0,J1373/AR1373,-1)</f>
        <v>2.01290322580645</v>
      </c>
      <c r="AV1373" s="51" t="n">
        <f aca="false">IF(AND(OR(CC1373="L1",CC1373="L23",CC1373="LIFT"),AR1373&gt;0),SUMIFS($AR$7:$AR$1843,$CC$7:$CC$1843,CC1373,$AU$7:$AU$1843,"&gt;"&amp;AU1373)+SUMIFS($AR$7:$AR$1843,$CC$7:$CC$1843,CC1373,$AU$7:$AU$1843,AU1373,$BT$7:$BT$1843,"&lt;="&amp;BT1373),"")</f>
        <v>7740.78250915751</v>
      </c>
      <c r="AW1373" s="58" t="n">
        <f aca="false">IF(AV1373="",0,MAX(0,MIN(1,(IF(CC1373="L1",Parameter!$H$5,IF(CC1373="L23",Parameter!$H$6+Parameter!$H$7,Parameter!$H$5+Parameter!$H$6+Parameter!$H$7))-(AV1373-AR1373))/AR1373)))</f>
        <v>1</v>
      </c>
      <c r="AX1373" s="50" t="n">
        <f aca="false">IF(LEFT(Cockpit!$O$5,1)="A",H1373,IF(CE1373=1,CF1373,IF(LEFT(Cockpit!$O$5,1)="B",BC1373,MAX(BC1373,H1373))))</f>
        <v>17</v>
      </c>
      <c r="AY1373" s="50" t="n">
        <f aca="false">IF(BW1373=1,0,ROUNDUP(AX1373/BV1373,0))</f>
        <v>1</v>
      </c>
      <c r="AZ1373" s="52" t="n">
        <f aca="false">IF(CL1373&gt;0,CL1373*MAX(1,AX1373/X1373),IF(BW1373=1,IF(AX1373&lt;=0,0,CA1373*MAX(1,IF(H1373&gt;0,AX1373/H1373,1))),IF(R1373&gt;0,AY1373/R1373,0))/MAX(0.1,N(Parameter!$M$21)))</f>
        <v>0.0192307692307692</v>
      </c>
      <c r="BA1373" s="50" t="n">
        <f aca="false">AZ1373*BY1373</f>
        <v>2.98076923076923</v>
      </c>
      <c r="BB1373" s="50" t="n">
        <f aca="false">AX1373*G1373</f>
        <v>3540.08</v>
      </c>
      <c r="BC1373" s="50" t="n">
        <f aca="false">ROUNDUP(MAX(J1373/IF(CD1373&gt;0,CD1373,MAX(0.1,N(Cockpit!$O$6))),CG1373)/BV1373,0)*BV1373</f>
        <v>17</v>
      </c>
      <c r="BD1373" s="51" t="n">
        <f aca="false">IF(BA1373&gt;0,J1373/BA1373,-1)</f>
        <v>2.01290322580645</v>
      </c>
      <c r="BE1373" s="51" t="n">
        <f aca="false">IF(AND(OR(CC1373="L1",CC1373="L23",CC1373="LIFT"),BA1373&gt;0),SUMIFS($BA$7:$BA$1843,$CC$7:$CC$1843,CC1373,$BD$7:$BD$1843,"&gt;"&amp;BD1373)+SUMIFS($BA$7:$BA$1843,$CC$7:$CC$1843,CC1373,$BD$7:$BD$1843,BD1373,$BT$7:$BT$1843,"&lt;="&amp;BT1373),"")</f>
        <v>7639.77289377289</v>
      </c>
      <c r="BF1373" s="58" t="n">
        <f aca="false">IF(BE1373="",0,MAX(0,MIN(1,(IF(CC1373="L1",Parameter!$H$5,IF(CC1373="L23",Parameter!$H$6+Parameter!$H$7,Parameter!$H$5+Parameter!$H$6+Parameter!$H$7))-(BE1373-BA1373))/BA1373)))</f>
        <v>1</v>
      </c>
      <c r="BG1373" s="48" t="str">
        <f aca="false">IF(AI1373&lt;=0,"",IF(CC1373="Aussen","Aussenlager",IF(CC1373="-","Nicht im Lift",IF(AN1373&gt;=1,"Lift",IF(AN1373&lt;=0,"Aussenlager","teilweise")))))</f>
        <v>Lift</v>
      </c>
      <c r="BH1373" s="48" t="str">
        <f aca="false">IF(AR1373&lt;=0,"",IF(CC1373="Aussen","Aussenlager",IF(CC1373="-","Nicht im Lift",IF(AW1373&gt;=1,"Lift",IF(AW1373&lt;=0,"Aussenlager","teilweise")))))</f>
        <v>Lift</v>
      </c>
      <c r="BI1373" s="48" t="str">
        <f aca="false">IF(BA1373&lt;=0,"",IF(CC1373="Aussen","Aussenlager",IF(CC1373="-","Nicht im Lift",IF(BF1373&gt;=1,"Lift",IF(BF1373&lt;=0,"Aussenlager","teilweise")))))</f>
        <v>Lift</v>
      </c>
      <c r="BJ1373" s="48" t="str">
        <f aca="false">IF(A1373="","",IF(BS1373=1,"Neu; ","")&amp;IF(AND(BS1373=0,BN1373&lt;0),"negativer Bestand (Export "&amp;BN1373&amp;"); ","")&amp;IF(J1373&lt;=0,"Kein Verbrauch; ","")&amp;IF(CL1373&gt;0,"Lift "&amp;W1373&amp;" lt. Liftbericht (Fach "&amp;X1373&amp;" Stk); ",IF(BX1373=1,"Gebinde geschätzt ("&amp;T1373&amp;"); ",IF(BW1373=1,"Lose – Tablare geschätzt; ","")))&amp;IF(H1373&gt;AT1373,"Überbestand "&amp;ROUND(H1373-AT1373,0)&amp;" Stk / CHF "&amp;ROUND((H1373-AT1373)*G1373,0)&amp;"; ","")&amp;IF(AND(CE1373=1,CF1373&lt;CG1373),"MAX &lt; MB+LG; ","")&amp;IF(AND(CK1373&gt;0,CJ1373*10&gt;CK1373),"zu hoch für Tablar; ","")&amp;IF(AND(BS1373=0,OR(CE1373=1,AA1373&lt;&gt;"",U1373&lt;&gt;"",V1373&lt;&gt;"",AB1373&lt;&gt;"")),"manuell übersteuert; ","")&amp;IF(AND(BW1373=0,R1373=0),"Gebinde unbekannt / Stellmass fehlt; ","")&amp;IF(AND(BW1373=0,N(V1373)&lt;=0,N(Q1373)&lt;=0),"Menge pro Gebinde fehlt (Ist = 1 Gebinde); ","")&amp;BR1373)</f>
        <v>negativer Bestand (Export -13); </v>
      </c>
      <c r="BK1373" s="48"/>
      <c r="BL1373" s="48"/>
      <c r="BM1373" s="55"/>
      <c r="BN1373" s="50" t="n">
        <v>-13</v>
      </c>
      <c r="BO1373" s="50" t="n">
        <v>14</v>
      </c>
      <c r="BP1373" s="49" t="n">
        <v>-2707.12</v>
      </c>
      <c r="BQ1373" s="50" t="n">
        <v>6</v>
      </c>
      <c r="BR1373" s="48"/>
      <c r="BS1373" s="53" t="n">
        <v>0</v>
      </c>
      <c r="BT1373" s="53" t="n">
        <v>1373</v>
      </c>
      <c r="BU1373" s="48" t="str">
        <f aca="false">IF(U1373&lt;&gt;"",UPPER(TRIM(U1373)),IF(BX1373=1,UPPER(VLOOKUP(T1373,Parameter!$I$27:$K$29,2,0)),IF(P1373="","LOSE",P1373)))</f>
        <v>S33</v>
      </c>
      <c r="BV1373" s="50" t="n">
        <f aca="false">IF(BU1373="LOSE",1,IF(N(V1373)&gt;0,V1373,IF(BX1373=1,MAX(1,N(VLOOKUP(T1373,Parameter!$I$27:$K$29,3,0)),H1373,N(N1373)),IF(N(Q1373)&gt;0,Q1373,MAX(1,H1373)))))</f>
        <v>17</v>
      </c>
      <c r="BW1373" s="53" t="n">
        <f aca="false">IF(BU1373="LOSE",1,0)</f>
        <v>0</v>
      </c>
      <c r="BX1373" s="53" t="n">
        <f aca="false">IF(AND(U1373="",OR(P1373="",P1373="LOSE"),T1373&lt;&gt;"",N(S1373)&lt;=0,ISNUMBER(MATCH(T1373,Parameter!$I$27:$I$29,0))),1,0)</f>
        <v>0</v>
      </c>
      <c r="BY1373" s="53" t="n">
        <f aca="false">IF(CL1373&gt;0,INDEX(Parameter!$H$5:$H$7,W1373)/INDEX(Parameter!$E$5:$E$7,W1373),IF(AND(BW1373=0,N(IFERROR(VLOOKUP(BU1373,'Gebinde-Kategorie'!$A$5:$N$45,14,0),0))&gt;0),VLOOKUP(BU1373,'Gebinde-Kategorie'!$A$5:$N$45,14,0)*10+Parameter!$M$23,Parameter!$M$24))</f>
        <v>155</v>
      </c>
      <c r="BZ1373" s="48" t="str">
        <f aca="false">IF(AND(Parameter!$B$19="Ja",E1373&lt;&gt;"",ISNUMBER(MATCH(E1373,Parameter!$I$35:$I$52,0))),VLOOKUP(E1373,Parameter!$I$35:$J$52,2,0),IFERROR(VLOOKUP(D1373,Parameter!$A$35:$C$64,2,0),"Nein"))</f>
        <v>2+3</v>
      </c>
      <c r="CA1373" s="52" t="n">
        <f aca="false">IF(BW1373=0,0,IF(N(S1373)&gt;0,S1373,IFERROR(VLOOKUP(D1373,Parameter!$A$35:$C$64,3,0)+0,0)))</f>
        <v>0</v>
      </c>
      <c r="CB1373" s="48" t="n">
        <f aca="false">IF(AA1373&lt;&gt;"",AA1373,Z1373)</f>
        <v>3</v>
      </c>
      <c r="CC1373" s="48" t="str">
        <f aca="false">IF(OR(CB1373=1,CB1373=2,CB1373=3),IF(Parameter!$E$27="Ja","LIFT",IF(CB1373=1,"L1","L23")),IF(CB1373="Aussen","Aussen","-"))</f>
        <v>LIFT</v>
      </c>
      <c r="CD1373" s="59" t="n">
        <f aca="false">IF(N(AB1373)&gt;0,AB1373,0)</f>
        <v>0</v>
      </c>
      <c r="CE1373" s="53" t="n">
        <f aca="false">IF(ISNUMBER(AE1373),1,0)</f>
        <v>0</v>
      </c>
      <c r="CF1373" s="50" t="n">
        <f aca="false">N(AE1373)</f>
        <v>0</v>
      </c>
      <c r="CG1373" s="50" t="n">
        <f aca="false">N(M1373)+N(N1373)</f>
        <v>5</v>
      </c>
      <c r="CH1373" s="50" t="n">
        <f aca="false">ROUNDUP(H1373/BV1373,0)</f>
        <v>1</v>
      </c>
      <c r="CI1373" s="50" t="n">
        <f aca="false">ROUNDUP(CF1373/BV1373,0)</f>
        <v>0</v>
      </c>
      <c r="CJ1373" s="53" t="n">
        <f aca="false">IF(BW1373=1,0,IFERROR(VLOOKUP(BU1373,'Gebinde-Kategorie'!$A$5:$N$45,5,0)+0,0))</f>
        <v>8</v>
      </c>
      <c r="CK1373" s="53" t="n">
        <f aca="false">IFERROR(IF(OR(CB1373=1,CB1373=2,CB1373=3),N(INDEX(Parameter!$I$5:$I$7,CB1373)),0),0)</f>
        <v>0</v>
      </c>
      <c r="CL1373" s="52" t="n">
        <f aca="false">IF(AND(Parameter!$B$21="Ja",ISNUMBER(W1373),N(X1373)&gt;0),IFERROR(N(INDEX(Parameter!$L$5:$L$7,W1373))*INDEX(Parameter!$E$5:$E$7,W1373)*X1373/SUMIFS($X$7:$X$1843,$W$7:$W$1843,W1373),0),0)</f>
        <v>0</v>
      </c>
    </row>
    <row r="1374" customFormat="false" ht="15" hidden="false" customHeight="false" outlineLevel="0" collapsed="false">
      <c r="A1374" s="48" t="s">
        <v>2425</v>
      </c>
      <c r="B1374" s="48" t="s">
        <v>2426</v>
      </c>
      <c r="C1374" s="48" t="s">
        <v>168</v>
      </c>
      <c r="D1374" s="48" t="s">
        <v>177</v>
      </c>
      <c r="E1374" s="48" t="s">
        <v>170</v>
      </c>
      <c r="F1374" s="48" t="s">
        <v>222</v>
      </c>
      <c r="G1374" s="49" t="n">
        <v>1780.49</v>
      </c>
      <c r="H1374" s="50" t="n">
        <f aca="false">MAX(0,IF(AND(Parameter!$B$21="Ja",ISNUMBER(Y1374)),Y1374,IF(Parameter!$B$20="Jahresanfang 2025 + Export",BO1374+BN1374,BN1374)))</f>
        <v>10</v>
      </c>
      <c r="I1374" s="50" t="n">
        <f aca="false">H1374*G1374</f>
        <v>17804.9</v>
      </c>
      <c r="J1374" s="50" t="n">
        <f aca="false">BQ1374*Parameter!$B$18</f>
        <v>87</v>
      </c>
      <c r="K1374" s="51" t="n">
        <v>11</v>
      </c>
      <c r="L1374" s="52" t="n">
        <v>7.90909090909091</v>
      </c>
      <c r="M1374" s="50" t="n">
        <v>5</v>
      </c>
      <c r="N1374" s="50" t="n">
        <v>15</v>
      </c>
      <c r="O1374" s="53" t="n">
        <v>21</v>
      </c>
      <c r="P1374" s="48" t="s">
        <v>178</v>
      </c>
      <c r="Q1374" s="50" t="n">
        <v>8</v>
      </c>
      <c r="R1374" s="53" t="n">
        <f aca="false">IF(BW1374=1,0,IFERROR(VLOOKUP(BU1374,'Gebinde-Kategorie'!$A$5:$N$45,13,0)+0,0))</f>
        <v>6</v>
      </c>
      <c r="S1374" s="54"/>
      <c r="T1374" s="55"/>
      <c r="U1374" s="55"/>
      <c r="V1374" s="55"/>
      <c r="W1374" s="48"/>
      <c r="X1374" s="50"/>
      <c r="Y1374" s="50"/>
      <c r="Z1374" s="48" t="n">
        <f aca="false">IF(A1374="","",IF(AND(Parameter!$B$21="Ja",ISNUMBER(W1374)),W1374,IF(BZ1374="2+3",IF(ISNUMBER(SEARCH("grosser Artikel",BR1374)),2,IFERROR(VLOOKUP(BU1374,Parameter!$F$35:$G$64,2,0),2)),IF(OR(BZ1374="Nein",BZ1374=""),"-",BZ1374))))</f>
        <v>1</v>
      </c>
      <c r="AA1374" s="55"/>
      <c r="AB1374" s="56"/>
      <c r="AC1374" s="50" t="n">
        <f aca="false">AT1374</f>
        <v>48</v>
      </c>
      <c r="AD1374" s="50" t="n">
        <f aca="false">MAX(AT1374,H1374)</f>
        <v>48</v>
      </c>
      <c r="AE1374" s="57"/>
      <c r="AF1374" s="50" t="n">
        <f aca="false">IF(LEFT(Cockpit!$C$5,1)="A",H1374,IF(CE1374=1,CF1374,IF(LEFT(Cockpit!$C$5,1)="B",AK1374,MAX(AK1374,H1374))))</f>
        <v>10</v>
      </c>
      <c r="AG1374" s="50" t="n">
        <f aca="false">IF(BW1374=1,0,ROUNDUP(AF1374/BV1374,0))</f>
        <v>2</v>
      </c>
      <c r="AH1374" s="52" t="n">
        <f aca="false">IF(CL1374&gt;0,CL1374*MAX(1,AF1374/X1374),IF(BW1374=1,IF(AF1374&lt;=0,0,CA1374*MAX(1,IF(H1374&gt;0,AF1374/H1374,1))),IF(R1374&gt;0,AG1374/R1374,0))/MAX(0.1,N(Parameter!$M$21)))</f>
        <v>0.333333333333333</v>
      </c>
      <c r="AI1374" s="50" t="n">
        <f aca="false">AH1374*BY1374</f>
        <v>78.3333333333333</v>
      </c>
      <c r="AJ1374" s="50" t="n">
        <f aca="false">AF1374*G1374</f>
        <v>17804.9</v>
      </c>
      <c r="AK1374" s="50" t="n">
        <f aca="false">ROUNDUP(MAX(J1374/IF(CD1374&gt;0,CD1374,MAX(0.1,N(Cockpit!$C$6))),CG1374)/BV1374,0)*BV1374</f>
        <v>48</v>
      </c>
      <c r="AL1374" s="51" t="n">
        <f aca="false">IF(AI1374&gt;0,J1374/AI1374,-1)</f>
        <v>1.11063829787234</v>
      </c>
      <c r="AM1374" s="51" t="n">
        <f aca="false">IF(AND(OR(CC1374="L1",CC1374="L23",CC1374="LIFT"),AI1374&gt;0),SUMIFS($AI$7:$AI$1843,$CC$7:$CC$1843,CC1374,$AL$7:$AL$1843,"&gt;"&amp;AL1374)+SUMIFS($AI$7:$AI$1843,$CC$7:$CC$1843,CC1374,$AL$7:$AL$1843,AL1374,$BT$7:$BT$1843,"&lt;="&amp;BT1374),"")</f>
        <v>6842.04532967033</v>
      </c>
      <c r="AN1374" s="58" t="n">
        <f aca="false">IF(AM1374="",0,MAX(0,MIN(1,(IF(CC1374="L1",Parameter!$H$5,IF(CC1374="L23",Parameter!$H$6+Parameter!$H$7,Parameter!$H$5+Parameter!$H$6+Parameter!$H$7))-(AM1374-AI1374))/AI1374)))</f>
        <v>1</v>
      </c>
      <c r="AO1374" s="50" t="n">
        <f aca="false">IF(LEFT(Cockpit!$I$5,1)="A",H1374,IF(CE1374=1,CF1374,IF(LEFT(Cockpit!$I$5,1)="B",AT1374,MAX(AT1374,H1374))))</f>
        <v>48</v>
      </c>
      <c r="AP1374" s="50" t="n">
        <f aca="false">IF(BW1374=1,0,ROUNDUP(AO1374/BV1374,0))</f>
        <v>6</v>
      </c>
      <c r="AQ1374" s="52" t="n">
        <f aca="false">IF(CL1374&gt;0,CL1374*MAX(1,AO1374/X1374),IF(BW1374=1,IF(AO1374&lt;=0,0,CA1374*MAX(1,IF(H1374&gt;0,AO1374/H1374,1))),IF(R1374&gt;0,AP1374/R1374,0))/MAX(0.1,N(Parameter!$M$21)))</f>
        <v>1</v>
      </c>
      <c r="AR1374" s="50" t="n">
        <f aca="false">AQ1374*BY1374</f>
        <v>235</v>
      </c>
      <c r="AS1374" s="50" t="n">
        <f aca="false">AO1374*G1374</f>
        <v>85463.52</v>
      </c>
      <c r="AT1374" s="50" t="n">
        <f aca="false">ROUNDUP(MAX(J1374/IF(CD1374&gt;0,CD1374,MAX(0.1,N(Cockpit!$I$6))),CG1374)/BV1374,0)*BV1374</f>
        <v>48</v>
      </c>
      <c r="AU1374" s="51" t="n">
        <f aca="false">IF(AR1374&gt;0,J1374/AR1374,-1)</f>
        <v>0.370212765957447</v>
      </c>
      <c r="AV1374" s="51" t="n">
        <f aca="false">IF(AND(OR(CC1374="L1",CC1374="L23",CC1374="LIFT"),AR1374&gt;0),SUMIFS($AR$7:$AR$1843,$CC$7:$CC$1843,CC1374,$AU$7:$AU$1843,"&gt;"&amp;AU1374)+SUMIFS($AR$7:$AR$1843,$CC$7:$CC$1843,CC1374,$AU$7:$AU$1843,AU1374,$BT$7:$BT$1843,"&lt;="&amp;BT1374),"")</f>
        <v>15654.6982600733</v>
      </c>
      <c r="AW1374" s="58" t="n">
        <f aca="false">IF(AV1374="",0,MAX(0,MIN(1,(IF(CC1374="L1",Parameter!$H$5,IF(CC1374="L23",Parameter!$H$6+Parameter!$H$7,Parameter!$H$5+Parameter!$H$6+Parameter!$H$7))-(AV1374-AR1374))/AR1374)))</f>
        <v>1</v>
      </c>
      <c r="AX1374" s="50" t="n">
        <f aca="false">IF(LEFT(Cockpit!$O$5,1)="A",H1374,IF(CE1374=1,CF1374,IF(LEFT(Cockpit!$O$5,1)="B",BC1374,MAX(BC1374,H1374))))</f>
        <v>32</v>
      </c>
      <c r="AY1374" s="50" t="n">
        <f aca="false">IF(BW1374=1,0,ROUNDUP(AX1374/BV1374,0))</f>
        <v>4</v>
      </c>
      <c r="AZ1374" s="52" t="n">
        <f aca="false">IF(CL1374&gt;0,CL1374*MAX(1,AX1374/X1374),IF(BW1374=1,IF(AX1374&lt;=0,0,CA1374*MAX(1,IF(H1374&gt;0,AX1374/H1374,1))),IF(R1374&gt;0,AY1374/R1374,0))/MAX(0.1,N(Parameter!$M$21)))</f>
        <v>0.666666666666667</v>
      </c>
      <c r="BA1374" s="50" t="n">
        <f aca="false">AZ1374*BY1374</f>
        <v>156.666666666667</v>
      </c>
      <c r="BB1374" s="50" t="n">
        <f aca="false">AX1374*G1374</f>
        <v>56975.68</v>
      </c>
      <c r="BC1374" s="50" t="n">
        <f aca="false">ROUNDUP(MAX(J1374/IF(CD1374&gt;0,CD1374,MAX(0.1,N(Cockpit!$O$6))),CG1374)/BV1374,0)*BV1374</f>
        <v>32</v>
      </c>
      <c r="BD1374" s="51" t="n">
        <f aca="false">IF(BA1374&gt;0,J1374/BA1374,-1)</f>
        <v>0.55531914893617</v>
      </c>
      <c r="BE1374" s="51" t="n">
        <f aca="false">IF(AND(OR(CC1374="L1",CC1374="L23",CC1374="LIFT"),BA1374&gt;0),SUMIFS($BA$7:$BA$1843,$CC$7:$CC$1843,CC1374,$BD$7:$BD$1843,"&gt;"&amp;BD1374)+SUMIFS($BA$7:$BA$1843,$CC$7:$CC$1843,CC1374,$BD$7:$BD$1843,BD1374,$BT$7:$BT$1843,"&lt;="&amp;BT1374),"")</f>
        <v>12547.4010989011</v>
      </c>
      <c r="BF1374" s="58" t="n">
        <f aca="false">IF(BE1374="",0,MAX(0,MIN(1,(IF(CC1374="L1",Parameter!$H$5,IF(CC1374="L23",Parameter!$H$6+Parameter!$H$7,Parameter!$H$5+Parameter!$H$6+Parameter!$H$7))-(BE1374-BA1374))/BA1374)))</f>
        <v>1</v>
      </c>
      <c r="BG1374" s="48" t="str">
        <f aca="false">IF(AI1374&lt;=0,"",IF(CC1374="Aussen","Aussenlager",IF(CC1374="-","Nicht im Lift",IF(AN1374&gt;=1,"Lift",IF(AN1374&lt;=0,"Aussenlager","teilweise")))))</f>
        <v>Lift</v>
      </c>
      <c r="BH1374" s="48" t="str">
        <f aca="false">IF(AR1374&lt;=0,"",IF(CC1374="Aussen","Aussenlager",IF(CC1374="-","Nicht im Lift",IF(AW1374&gt;=1,"Lift",IF(AW1374&lt;=0,"Aussenlager","teilweise")))))</f>
        <v>Lift</v>
      </c>
      <c r="BI1374" s="48" t="str">
        <f aca="false">IF(BA1374&lt;=0,"",IF(CC1374="Aussen","Aussenlager",IF(CC1374="-","Nicht im Lift",IF(BF1374&gt;=1,"Lift",IF(BF1374&lt;=0,"Aussenlager","teilweise")))))</f>
        <v>Lift</v>
      </c>
      <c r="BJ1374" s="48" t="str">
        <f aca="false">IF(A1374="","",IF(BS1374=1,"Neu; ","")&amp;IF(AND(BS1374=0,BN1374&lt;0),"negativer Bestand (Export "&amp;BN1374&amp;"); ","")&amp;IF(J1374&lt;=0,"Kein Verbrauch; ","")&amp;IF(CL1374&gt;0,"Lift "&amp;W1374&amp;" lt. Liftbericht (Fach "&amp;X1374&amp;" Stk); ",IF(BX1374=1,"Gebinde geschätzt ("&amp;T1374&amp;"); ",IF(BW1374=1,"Lose – Tablare geschätzt; ","")))&amp;IF(H1374&gt;AT1374,"Überbestand "&amp;ROUND(H1374-AT1374,0)&amp;" Stk / CHF "&amp;ROUND((H1374-AT1374)*G1374,0)&amp;"; ","")&amp;IF(AND(CE1374=1,CF1374&lt;CG1374),"MAX &lt; MB+LG; ","")&amp;IF(AND(CK1374&gt;0,CJ1374*10&gt;CK1374),"zu hoch für Tablar; ","")&amp;IF(AND(BS1374=0,OR(CE1374=1,AA1374&lt;&gt;"",U1374&lt;&gt;"",V1374&lt;&gt;"",AB1374&lt;&gt;"")),"manuell übersteuert; ","")&amp;IF(AND(BW1374=0,R1374=0),"Gebinde unbekannt / Stellmass fehlt; ","")&amp;IF(AND(BW1374=0,N(V1374)&lt;=0,N(Q1374)&lt;=0),"Menge pro Gebinde fehlt (Ist = 1 Gebinde); ","")&amp;BR1374)</f>
        <v/>
      </c>
      <c r="BK1374" s="48"/>
      <c r="BL1374" s="48"/>
      <c r="BM1374" s="55"/>
      <c r="BN1374" s="50" t="n">
        <v>0</v>
      </c>
      <c r="BO1374" s="50" t="n">
        <v>10</v>
      </c>
      <c r="BP1374" s="49" t="n">
        <v>-2746.34999999998</v>
      </c>
      <c r="BQ1374" s="50" t="n">
        <v>87</v>
      </c>
      <c r="BR1374" s="48"/>
      <c r="BS1374" s="53" t="n">
        <v>0</v>
      </c>
      <c r="BT1374" s="53" t="n">
        <v>1374</v>
      </c>
      <c r="BU1374" s="48" t="str">
        <f aca="false">IF(U1374&lt;&gt;"",UPPER(TRIM(U1374)),IF(BX1374=1,UPPER(VLOOKUP(T1374,Parameter!$I$27:$K$29,2,0)),IF(P1374="","LOSE",P1374)))</f>
        <v>S71</v>
      </c>
      <c r="BV1374" s="50" t="n">
        <f aca="false">IF(BU1374="LOSE",1,IF(N(V1374)&gt;0,V1374,IF(BX1374=1,MAX(1,N(VLOOKUP(T1374,Parameter!$I$27:$K$29,3,0)),H1374,N(N1374)),IF(N(Q1374)&gt;0,Q1374,MAX(1,H1374)))))</f>
        <v>8</v>
      </c>
      <c r="BW1374" s="53" t="n">
        <f aca="false">IF(BU1374="LOSE",1,0)</f>
        <v>0</v>
      </c>
      <c r="BX1374" s="53" t="n">
        <f aca="false">IF(AND(U1374="",OR(P1374="",P1374="LOSE"),T1374&lt;&gt;"",N(S1374)&lt;=0,ISNUMBER(MATCH(T1374,Parameter!$I$27:$I$29,0))),1,0)</f>
        <v>0</v>
      </c>
      <c r="BY1374" s="53" t="n">
        <f aca="false">IF(CL1374&gt;0,INDEX(Parameter!$H$5:$H$7,W1374)/INDEX(Parameter!$E$5:$E$7,W1374),IF(AND(BW1374=0,N(IFERROR(VLOOKUP(BU1374,'Gebinde-Kategorie'!$A$5:$N$45,14,0),0))&gt;0),VLOOKUP(BU1374,'Gebinde-Kategorie'!$A$5:$N$45,14,0)*10+Parameter!$M$23,Parameter!$M$24))</f>
        <v>235</v>
      </c>
      <c r="BZ1374" s="48" t="n">
        <f aca="false">IF(AND(Parameter!$B$19="Ja",E1374&lt;&gt;"",ISNUMBER(MATCH(E1374,Parameter!$I$35:$I$52,0))),VLOOKUP(E1374,Parameter!$I$35:$J$52,2,0),IFERROR(VLOOKUP(D1374,Parameter!$A$35:$C$64,2,0),"Nein"))</f>
        <v>1</v>
      </c>
      <c r="CA1374" s="52" t="n">
        <f aca="false">IF(BW1374=0,0,IF(N(S1374)&gt;0,S1374,IFERROR(VLOOKUP(D1374,Parameter!$A$35:$C$64,3,0)+0,0)))</f>
        <v>0</v>
      </c>
      <c r="CB1374" s="48" t="n">
        <f aca="false">IF(AA1374&lt;&gt;"",AA1374,Z1374)</f>
        <v>1</v>
      </c>
      <c r="CC1374" s="48" t="str">
        <f aca="false">IF(OR(CB1374=1,CB1374=2,CB1374=3),IF(Parameter!$E$27="Ja","LIFT",IF(CB1374=1,"L1","L23")),IF(CB1374="Aussen","Aussen","-"))</f>
        <v>LIFT</v>
      </c>
      <c r="CD1374" s="59" t="n">
        <f aca="false">IF(N(AB1374)&gt;0,AB1374,0)</f>
        <v>0</v>
      </c>
      <c r="CE1374" s="53" t="n">
        <f aca="false">IF(ISNUMBER(AE1374),1,0)</f>
        <v>0</v>
      </c>
      <c r="CF1374" s="50" t="n">
        <f aca="false">N(AE1374)</f>
        <v>0</v>
      </c>
      <c r="CG1374" s="50" t="n">
        <f aca="false">N(M1374)+N(N1374)</f>
        <v>20</v>
      </c>
      <c r="CH1374" s="50" t="n">
        <f aca="false">ROUNDUP(H1374/BV1374,0)</f>
        <v>2</v>
      </c>
      <c r="CI1374" s="50" t="n">
        <f aca="false">ROUNDUP(CF1374/BV1374,0)</f>
        <v>0</v>
      </c>
      <c r="CJ1374" s="53" t="n">
        <f aca="false">IF(BW1374=1,0,IFERROR(VLOOKUP(BU1374,'Gebinde-Kategorie'!$A$5:$N$45,5,0)+0,0))</f>
        <v>20</v>
      </c>
      <c r="CK1374" s="53" t="n">
        <f aca="false">IFERROR(IF(OR(CB1374=1,CB1374=2,CB1374=3),N(INDEX(Parameter!$I$5:$I$7,CB1374)),0),0)</f>
        <v>0</v>
      </c>
      <c r="CL1374" s="52" t="n">
        <f aca="false">IF(AND(Parameter!$B$21="Ja",ISNUMBER(W1374),N(X1374)&gt;0),IFERROR(N(INDEX(Parameter!$L$5:$L$7,W1374))*INDEX(Parameter!$E$5:$E$7,W1374)*X1374/SUMIFS($X$7:$X$1843,$W$7:$W$1843,W1374),0),0)</f>
        <v>0</v>
      </c>
    </row>
    <row r="1375" customFormat="false" ht="15" hidden="false" customHeight="false" outlineLevel="0" collapsed="false">
      <c r="A1375" s="48" t="s">
        <v>2427</v>
      </c>
      <c r="B1375" s="48" t="s">
        <v>2428</v>
      </c>
      <c r="C1375" s="48" t="s">
        <v>168</v>
      </c>
      <c r="D1375" s="48" t="s">
        <v>169</v>
      </c>
      <c r="E1375" s="48"/>
      <c r="F1375" s="48" t="s">
        <v>222</v>
      </c>
      <c r="G1375" s="49" t="n">
        <v>1385.5</v>
      </c>
      <c r="H1375" s="50" t="n">
        <f aca="false">MAX(0,IF(AND(Parameter!$B$21="Ja",ISNUMBER(Y1375)),Y1375,IF(Parameter!$B$20="Jahresanfang 2025 + Export",BO1375+BN1375,BN1375)))</f>
        <v>1</v>
      </c>
      <c r="I1375" s="50" t="n">
        <f aca="false">H1375*G1375</f>
        <v>1385.5</v>
      </c>
      <c r="J1375" s="50" t="n">
        <f aca="false">BQ1375*Parameter!$B$18</f>
        <v>1</v>
      </c>
      <c r="K1375" s="51" t="n">
        <v>2.5</v>
      </c>
      <c r="L1375" s="52" t="n">
        <v>0.4</v>
      </c>
      <c r="M1375" s="50" t="n">
        <v>0</v>
      </c>
      <c r="N1375" s="50" t="n">
        <v>1</v>
      </c>
      <c r="O1375" s="53" t="n">
        <v>14</v>
      </c>
      <c r="P1375" s="48" t="s">
        <v>172</v>
      </c>
      <c r="Q1375" s="50"/>
      <c r="R1375" s="53" t="n">
        <f aca="false">IF(BW1375=1,0,IFERROR(VLOOKUP(BU1375,'Gebinde-Kategorie'!$A$5:$N$45,13,0)+0,0))</f>
        <v>0</v>
      </c>
      <c r="S1375" s="54"/>
      <c r="T1375" s="55"/>
      <c r="U1375" s="55"/>
      <c r="V1375" s="55"/>
      <c r="W1375" s="48" t="n">
        <v>1</v>
      </c>
      <c r="X1375" s="50" t="n">
        <v>2</v>
      </c>
      <c r="Y1375" s="50" t="n">
        <v>1</v>
      </c>
      <c r="Z1375" s="48" t="n">
        <f aca="false">IF(A1375="","",IF(AND(Parameter!$B$21="Ja",ISNUMBER(W1375)),W1375,IF(BZ1375="2+3",IF(ISNUMBER(SEARCH("grosser Artikel",BR1375)),2,IFERROR(VLOOKUP(BU1375,Parameter!$F$35:$G$64,2,0),2)),IF(OR(BZ1375="Nein",BZ1375=""),"-",BZ1375))))</f>
        <v>1</v>
      </c>
      <c r="AA1375" s="55"/>
      <c r="AB1375" s="56"/>
      <c r="AC1375" s="50" t="n">
        <f aca="false">AT1375</f>
        <v>1</v>
      </c>
      <c r="AD1375" s="50" t="n">
        <f aca="false">MAX(AT1375,H1375)</f>
        <v>1</v>
      </c>
      <c r="AE1375" s="57"/>
      <c r="AF1375" s="50" t="n">
        <f aca="false">IF(LEFT(Cockpit!$C$5,1)="A",H1375,IF(CE1375=1,CF1375,IF(LEFT(Cockpit!$C$5,1)="B",AK1375,MAX(AK1375,H1375))))</f>
        <v>1</v>
      </c>
      <c r="AG1375" s="50" t="n">
        <f aca="false">IF(BW1375=1,0,ROUNDUP(AF1375/BV1375,0))</f>
        <v>0</v>
      </c>
      <c r="AH1375" s="52" t="n">
        <f aca="false">IF(CL1375&gt;0,CL1375*MAX(1,AF1375/X1375),IF(BW1375=1,IF(AF1375&lt;=0,0,CA1375*MAX(1,IF(H1375&gt;0,AF1375/H1375,1))),IF(R1375&gt;0,AG1375/R1375,0))/MAX(0.1,N(Parameter!$M$21)))</f>
        <v>0.160075329566855</v>
      </c>
      <c r="AI1375" s="50" t="n">
        <f aca="false">AH1375*BY1375</f>
        <v>38.0979284369115</v>
      </c>
      <c r="AJ1375" s="50" t="n">
        <f aca="false">AF1375*G1375</f>
        <v>1385.5</v>
      </c>
      <c r="AK1375" s="50" t="n">
        <f aca="false">ROUNDUP(MAX(J1375/IF(CD1375&gt;0,CD1375,MAX(0.1,N(Cockpit!$C$6))),CG1375)/BV1375,0)*BV1375</f>
        <v>1</v>
      </c>
      <c r="AL1375" s="51" t="n">
        <f aca="false">IF(AI1375&gt;0,J1375/AI1375,-1)</f>
        <v>0.0262481463173505</v>
      </c>
      <c r="AM1375" s="51" t="n">
        <f aca="false">IF(AND(OR(CC1375="L1",CC1375="L23",CC1375="LIFT"),AI1375&gt;0),SUMIFS($AI$7:$AI$1843,$CC$7:$CC$1843,CC1375,$AL$7:$AL$1843,"&gt;"&amp;AL1375)+SUMIFS($AI$7:$AI$1843,$CC$7:$CC$1843,CC1375,$AL$7:$AL$1843,AL1375,$BT$7:$BT$1843,"&lt;="&amp;BT1375),"")</f>
        <v>21729.6104048964</v>
      </c>
      <c r="AN1375" s="58" t="n">
        <f aca="false">IF(AM1375="",0,MAX(0,MIN(1,(IF(CC1375="L1",Parameter!$H$5,IF(CC1375="L23",Parameter!$H$6+Parameter!$H$7,Parameter!$H$5+Parameter!$H$6+Parameter!$H$7))-(AM1375-AI1375))/AI1375)))</f>
        <v>1</v>
      </c>
      <c r="AO1375" s="50" t="n">
        <f aca="false">IF(LEFT(Cockpit!$I$5,1)="A",H1375,IF(CE1375=1,CF1375,IF(LEFT(Cockpit!$I$5,1)="B",AT1375,MAX(AT1375,H1375))))</f>
        <v>1</v>
      </c>
      <c r="AP1375" s="50" t="n">
        <f aca="false">IF(BW1375=1,0,ROUNDUP(AO1375/BV1375,0))</f>
        <v>0</v>
      </c>
      <c r="AQ1375" s="52" t="n">
        <f aca="false">IF(CL1375&gt;0,CL1375*MAX(1,AO1375/X1375),IF(BW1375=1,IF(AO1375&lt;=0,0,CA1375*MAX(1,IF(H1375&gt;0,AO1375/H1375,1))),IF(R1375&gt;0,AP1375/R1375,0))/MAX(0.1,N(Parameter!$M$21)))</f>
        <v>0.160075329566855</v>
      </c>
      <c r="AR1375" s="50" t="n">
        <f aca="false">AQ1375*BY1375</f>
        <v>38.0979284369115</v>
      </c>
      <c r="AS1375" s="50" t="n">
        <f aca="false">AO1375*G1375</f>
        <v>1385.5</v>
      </c>
      <c r="AT1375" s="50" t="n">
        <f aca="false">ROUNDUP(MAX(J1375/IF(CD1375&gt;0,CD1375,MAX(0.1,N(Cockpit!$I$6))),CG1375)/BV1375,0)*BV1375</f>
        <v>1</v>
      </c>
      <c r="AU1375" s="51" t="n">
        <f aca="false">IF(AR1375&gt;0,J1375/AR1375,-1)</f>
        <v>0.0262481463173505</v>
      </c>
      <c r="AV1375" s="51" t="n">
        <f aca="false">IF(AND(OR(CC1375="L1",CC1375="L23",CC1375="LIFT"),AR1375&gt;0),SUMIFS($AR$7:$AR$1843,$CC$7:$CC$1843,CC1375,$AU$7:$AU$1843,"&gt;"&amp;AU1375)+SUMIFS($AR$7:$AR$1843,$CC$7:$CC$1843,CC1375,$AU$7:$AU$1843,AU1375,$BT$7:$BT$1843,"&lt;="&amp;BT1375),"")</f>
        <v>32466.5013270628</v>
      </c>
      <c r="AW1375" s="58" t="n">
        <f aca="false">IF(AV1375="",0,MAX(0,MIN(1,(IF(CC1375="L1",Parameter!$H$5,IF(CC1375="L23",Parameter!$H$6+Parameter!$H$7,Parameter!$H$5+Parameter!$H$6+Parameter!$H$7))-(AV1375-AR1375))/AR1375)))</f>
        <v>1</v>
      </c>
      <c r="AX1375" s="50" t="n">
        <f aca="false">IF(LEFT(Cockpit!$O$5,1)="A",H1375,IF(CE1375=1,CF1375,IF(LEFT(Cockpit!$O$5,1)="B",BC1375,MAX(BC1375,H1375))))</f>
        <v>1</v>
      </c>
      <c r="AY1375" s="50" t="n">
        <f aca="false">IF(BW1375=1,0,ROUNDUP(AX1375/BV1375,0))</f>
        <v>0</v>
      </c>
      <c r="AZ1375" s="52" t="n">
        <f aca="false">IF(CL1375&gt;0,CL1375*MAX(1,AX1375/X1375),IF(BW1375=1,IF(AX1375&lt;=0,0,CA1375*MAX(1,IF(H1375&gt;0,AX1375/H1375,1))),IF(R1375&gt;0,AY1375/R1375,0))/MAX(0.1,N(Parameter!$M$21)))</f>
        <v>0.160075329566855</v>
      </c>
      <c r="BA1375" s="50" t="n">
        <f aca="false">AZ1375*BY1375</f>
        <v>38.0979284369115</v>
      </c>
      <c r="BB1375" s="50" t="n">
        <f aca="false">AX1375*G1375</f>
        <v>1385.5</v>
      </c>
      <c r="BC1375" s="50" t="n">
        <f aca="false">ROUNDUP(MAX(J1375/IF(CD1375&gt;0,CD1375,MAX(0.1,N(Cockpit!$O$6))),CG1375)/BV1375,0)*BV1375</f>
        <v>1</v>
      </c>
      <c r="BD1375" s="51" t="n">
        <f aca="false">IF(BA1375&gt;0,J1375/BA1375,-1)</f>
        <v>0.0262481463173505</v>
      </c>
      <c r="BE1375" s="51" t="n">
        <f aca="false">IF(AND(OR(CC1375="L1",CC1375="L23",CC1375="LIFT"),BA1375&gt;0),SUMIFS($BA$7:$BA$1843,$CC$7:$CC$1843,CC1375,$BD$7:$BD$1843,"&gt;"&amp;BD1375)+SUMIFS($BA$7:$BA$1843,$CC$7:$CC$1843,CC1375,$BD$7:$BD$1843,BD1375,$BT$7:$BT$1843,"&lt;="&amp;BT1375),"")</f>
        <v>29141.5133689286</v>
      </c>
      <c r="BF1375" s="58" t="n">
        <f aca="false">IF(BE1375="",0,MAX(0,MIN(1,(IF(CC1375="L1",Parameter!$H$5,IF(CC1375="L23",Parameter!$H$6+Parameter!$H$7,Parameter!$H$5+Parameter!$H$6+Parameter!$H$7))-(BE1375-BA1375))/BA1375)))</f>
        <v>1</v>
      </c>
      <c r="BG1375" s="48" t="str">
        <f aca="false">IF(AI1375&lt;=0,"",IF(CC1375="Aussen","Aussenlager",IF(CC1375="-","Nicht im Lift",IF(AN1375&gt;=1,"Lift",IF(AN1375&lt;=0,"Aussenlager","teilweise")))))</f>
        <v>Lift</v>
      </c>
      <c r="BH1375" s="48" t="str">
        <f aca="false">IF(AR1375&lt;=0,"",IF(CC1375="Aussen","Aussenlager",IF(CC1375="-","Nicht im Lift",IF(AW1375&gt;=1,"Lift",IF(AW1375&lt;=0,"Aussenlager","teilweise")))))</f>
        <v>Lift</v>
      </c>
      <c r="BI1375" s="48" t="str">
        <f aca="false">IF(BA1375&lt;=0,"",IF(CC1375="Aussen","Aussenlager",IF(CC1375="-","Nicht im Lift",IF(BF1375&gt;=1,"Lift",IF(BF1375&lt;=0,"Aussenlager","teilweise")))))</f>
        <v>Lift</v>
      </c>
      <c r="BJ1375" s="48" t="str">
        <f aca="false">IF(A1375="","",IF(BS1375=1,"Neu; ","")&amp;IF(AND(BS1375=0,BN1375&lt;0),"negativer Bestand (Export "&amp;BN1375&amp;"); ","")&amp;IF(J1375&lt;=0,"Kein Verbrauch; ","")&amp;IF(CL1375&gt;0,"Lift "&amp;W1375&amp;" lt. Liftbericht (Fach "&amp;X1375&amp;" Stk); ",IF(BX1375=1,"Gebinde geschätzt ("&amp;T1375&amp;"); ",IF(BW1375=1,"Lose – Tablare geschätzt; ","")))&amp;IF(H1375&gt;AT1375,"Überbestand "&amp;ROUND(H1375-AT1375,0)&amp;" Stk / CHF "&amp;ROUND((H1375-AT1375)*G1375,0)&amp;"; ","")&amp;IF(AND(CE1375=1,CF1375&lt;CG1375),"MAX &lt; MB+LG; ","")&amp;IF(AND(CK1375&gt;0,CJ1375*10&gt;CK1375),"zu hoch für Tablar; ","")&amp;IF(AND(BS1375=0,OR(CE1375=1,AA1375&lt;&gt;"",U1375&lt;&gt;"",V1375&lt;&gt;"",AB1375&lt;&gt;"")),"manuell übersteuert; ","")&amp;IF(AND(BW1375=0,R1375=0),"Gebinde unbekannt / Stellmass fehlt; ","")&amp;IF(AND(BW1375=0,N(V1375)&lt;=0,N(Q1375)&lt;=0),"Menge pro Gebinde fehlt (Ist = 1 Gebinde); ","")&amp;BR1375)</f>
        <v>negativer Bestand (Export -2); Lift 1 lt. Liftbericht (Fach 2 Stk); </v>
      </c>
      <c r="BK1375" s="48"/>
      <c r="BL1375" s="48"/>
      <c r="BM1375" s="55"/>
      <c r="BN1375" s="50" t="n">
        <v>-2</v>
      </c>
      <c r="BO1375" s="50" t="n">
        <v>3</v>
      </c>
      <c r="BP1375" s="49" t="n">
        <v>-2771</v>
      </c>
      <c r="BQ1375" s="50" t="n">
        <v>1</v>
      </c>
      <c r="BR1375" s="48"/>
      <c r="BS1375" s="53" t="n">
        <v>0</v>
      </c>
      <c r="BT1375" s="53" t="n">
        <v>1375</v>
      </c>
      <c r="BU1375" s="48" t="str">
        <f aca="false">IF(U1375&lt;&gt;"",UPPER(TRIM(U1375)),IF(BX1375=1,UPPER(VLOOKUP(T1375,Parameter!$I$27:$K$29,2,0)),IF(P1375="","LOSE",P1375)))</f>
        <v>LOSE</v>
      </c>
      <c r="BV1375" s="50" t="n">
        <f aca="false">IF(BU1375="LOSE",1,IF(N(V1375)&gt;0,V1375,IF(BX1375=1,MAX(1,N(VLOOKUP(T1375,Parameter!$I$27:$K$29,3,0)),H1375,N(N1375)),IF(N(Q1375)&gt;0,Q1375,MAX(1,H1375)))))</f>
        <v>1</v>
      </c>
      <c r="BW1375" s="53" t="n">
        <f aca="false">IF(BU1375="LOSE",1,0)</f>
        <v>1</v>
      </c>
      <c r="BX1375" s="53" t="n">
        <f aca="false">IF(AND(U1375="",OR(P1375="",P1375="LOSE"),T1375&lt;&gt;"",N(S1375)&lt;=0,ISNUMBER(MATCH(T1375,Parameter!$I$27:$I$29,0))),1,0)</f>
        <v>0</v>
      </c>
      <c r="BY1375" s="53" t="n">
        <f aca="false">IF(CL1375&gt;0,INDEX(Parameter!$H$5:$H$7,W1375)/INDEX(Parameter!$E$5:$E$7,W1375),IF(AND(BW1375=0,N(IFERROR(VLOOKUP(BU1375,'Gebinde-Kategorie'!$A$5:$N$45,14,0),0))&gt;0),VLOOKUP(BU1375,'Gebinde-Kategorie'!$A$5:$N$45,14,0)*10+Parameter!$M$23,Parameter!$M$24))</f>
        <v>238</v>
      </c>
      <c r="BZ1375" s="48" t="n">
        <f aca="false">IF(AND(Parameter!$B$19="Ja",E1375&lt;&gt;"",ISNUMBER(MATCH(E1375,Parameter!$I$35:$I$52,0))),VLOOKUP(E1375,Parameter!$I$35:$J$52,2,0),IFERROR(VLOOKUP(D1375,Parameter!$A$35:$C$64,2,0),"Nein"))</f>
        <v>1</v>
      </c>
      <c r="CA1375" s="52" t="n">
        <f aca="false">IF(BW1375=0,0,IF(N(S1375)&gt;0,S1375,IFERROR(VLOOKUP(D1375,Parameter!$A$35:$C$64,3,0)+0,0)))</f>
        <v>1</v>
      </c>
      <c r="CB1375" s="48" t="n">
        <f aca="false">IF(AA1375&lt;&gt;"",AA1375,Z1375)</f>
        <v>1</v>
      </c>
      <c r="CC1375" s="48" t="str">
        <f aca="false">IF(OR(CB1375=1,CB1375=2,CB1375=3),IF(Parameter!$E$27="Ja","LIFT",IF(CB1375=1,"L1","L23")),IF(CB1375="Aussen","Aussen","-"))</f>
        <v>LIFT</v>
      </c>
      <c r="CD1375" s="59" t="n">
        <f aca="false">IF(N(AB1375)&gt;0,AB1375,0)</f>
        <v>0</v>
      </c>
      <c r="CE1375" s="53" t="n">
        <f aca="false">IF(ISNUMBER(AE1375),1,0)</f>
        <v>0</v>
      </c>
      <c r="CF1375" s="50" t="n">
        <f aca="false">N(AE1375)</f>
        <v>0</v>
      </c>
      <c r="CG1375" s="50" t="n">
        <f aca="false">N(M1375)+N(N1375)</f>
        <v>1</v>
      </c>
      <c r="CH1375" s="50" t="n">
        <f aca="false">ROUNDUP(H1375/BV1375,0)</f>
        <v>1</v>
      </c>
      <c r="CI1375" s="50" t="n">
        <f aca="false">ROUNDUP(CF1375/BV1375,0)</f>
        <v>0</v>
      </c>
      <c r="CJ1375" s="53" t="n">
        <f aca="false">IF(BW1375=1,0,IFERROR(VLOOKUP(BU1375,'Gebinde-Kategorie'!$A$5:$N$45,5,0)+0,0))</f>
        <v>0</v>
      </c>
      <c r="CK1375" s="53" t="n">
        <f aca="false">IFERROR(IF(OR(CB1375=1,CB1375=2,CB1375=3),N(INDEX(Parameter!$I$5:$I$7,CB1375)),0),0)</f>
        <v>0</v>
      </c>
      <c r="CL1375" s="52" t="n">
        <f aca="false">IF(AND(Parameter!$B$21="Ja",ISNUMBER(W1375),N(X1375)&gt;0),IFERROR(N(INDEX(Parameter!$L$5:$L$7,W1375))*INDEX(Parameter!$E$5:$E$7,W1375)*X1375/SUMIFS($X$7:$X$1843,$W$7:$W$1843,W1375),0),0)</f>
        <v>0.160075329566855</v>
      </c>
    </row>
    <row r="1376" customFormat="false" ht="15" hidden="false" customHeight="false" outlineLevel="0" collapsed="false">
      <c r="A1376" s="48" t="s">
        <v>2429</v>
      </c>
      <c r="B1376" s="48" t="s">
        <v>2430</v>
      </c>
      <c r="C1376" s="48" t="s">
        <v>168</v>
      </c>
      <c r="D1376" s="48" t="s">
        <v>177</v>
      </c>
      <c r="E1376" s="48" t="s">
        <v>170</v>
      </c>
      <c r="F1376" s="48" t="s">
        <v>222</v>
      </c>
      <c r="G1376" s="49" t="n">
        <v>91.4</v>
      </c>
      <c r="H1376" s="50" t="n">
        <f aca="false">MAX(0,IF(AND(Parameter!$B$21="Ja",ISNUMBER(Y1376)),Y1376,IF(Parameter!$B$20="Jahresanfang 2025 + Export",BO1376+BN1376,BN1376)))</f>
        <v>21</v>
      </c>
      <c r="I1376" s="50" t="n">
        <f aca="false">H1376*G1376</f>
        <v>1919.4</v>
      </c>
      <c r="J1376" s="50" t="n">
        <f aca="false">BQ1376*Parameter!$B$18</f>
        <v>145</v>
      </c>
      <c r="K1376" s="51" t="n">
        <v>42</v>
      </c>
      <c r="L1376" s="52" t="n">
        <v>3.45238095238095</v>
      </c>
      <c r="M1376" s="50" t="n">
        <v>8</v>
      </c>
      <c r="N1376" s="50" t="n">
        <v>50</v>
      </c>
      <c r="O1376" s="53" t="n">
        <v>21</v>
      </c>
      <c r="P1376" s="48" t="s">
        <v>178</v>
      </c>
      <c r="Q1376" s="50" t="n">
        <v>80</v>
      </c>
      <c r="R1376" s="53" t="n">
        <f aca="false">IF(BW1376=1,0,IFERROR(VLOOKUP(BU1376,'Gebinde-Kategorie'!$A$5:$N$45,13,0)+0,0))</f>
        <v>6</v>
      </c>
      <c r="S1376" s="54"/>
      <c r="T1376" s="55"/>
      <c r="U1376" s="55"/>
      <c r="V1376" s="55"/>
      <c r="W1376" s="48"/>
      <c r="X1376" s="50"/>
      <c r="Y1376" s="50"/>
      <c r="Z1376" s="48" t="n">
        <f aca="false">IF(A1376="","",IF(AND(Parameter!$B$21="Ja",ISNUMBER(W1376)),W1376,IF(BZ1376="2+3",IF(ISNUMBER(SEARCH("grosser Artikel",BR1376)),2,IFERROR(VLOOKUP(BU1376,Parameter!$F$35:$G$64,2,0),2)),IF(OR(BZ1376="Nein",BZ1376=""),"-",BZ1376))))</f>
        <v>1</v>
      </c>
      <c r="AA1376" s="55"/>
      <c r="AB1376" s="56"/>
      <c r="AC1376" s="50" t="n">
        <f aca="false">AT1376</f>
        <v>80</v>
      </c>
      <c r="AD1376" s="50" t="n">
        <f aca="false">MAX(AT1376,H1376)</f>
        <v>80</v>
      </c>
      <c r="AE1376" s="57"/>
      <c r="AF1376" s="50" t="n">
        <f aca="false">IF(LEFT(Cockpit!$C$5,1)="A",H1376,IF(CE1376=1,CF1376,IF(LEFT(Cockpit!$C$5,1)="B",AK1376,MAX(AK1376,H1376))))</f>
        <v>21</v>
      </c>
      <c r="AG1376" s="50" t="n">
        <f aca="false">IF(BW1376=1,0,ROUNDUP(AF1376/BV1376,0))</f>
        <v>1</v>
      </c>
      <c r="AH1376" s="52" t="n">
        <f aca="false">IF(CL1376&gt;0,CL1376*MAX(1,AF1376/X1376),IF(BW1376=1,IF(AF1376&lt;=0,0,CA1376*MAX(1,IF(H1376&gt;0,AF1376/H1376,1))),IF(R1376&gt;0,AG1376/R1376,0))/MAX(0.1,N(Parameter!$M$21)))</f>
        <v>0.166666666666667</v>
      </c>
      <c r="AI1376" s="50" t="n">
        <f aca="false">AH1376*BY1376</f>
        <v>39.1666666666667</v>
      </c>
      <c r="AJ1376" s="50" t="n">
        <f aca="false">AF1376*G1376</f>
        <v>1919.4</v>
      </c>
      <c r="AK1376" s="50" t="n">
        <f aca="false">ROUNDUP(MAX(J1376/IF(CD1376&gt;0,CD1376,MAX(0.1,N(Cockpit!$C$6))),CG1376)/BV1376,0)*BV1376</f>
        <v>80</v>
      </c>
      <c r="AL1376" s="51" t="n">
        <f aca="false">IF(AI1376&gt;0,J1376/AI1376,-1)</f>
        <v>3.70212765957447</v>
      </c>
      <c r="AM1376" s="51" t="n">
        <f aca="false">IF(AND(OR(CC1376="L1",CC1376="L23",CC1376="LIFT"),AI1376&gt;0),SUMIFS($AI$7:$AI$1843,$CC$7:$CC$1843,CC1376,$AL$7:$AL$1843,"&gt;"&amp;AL1376)+SUMIFS($AI$7:$AI$1843,$CC$7:$CC$1843,CC1376,$AL$7:$AL$1843,AL1376,$BT$7:$BT$1843,"&lt;="&amp;BT1376),"")</f>
        <v>4766.8141025641</v>
      </c>
      <c r="AN1376" s="58" t="n">
        <f aca="false">IF(AM1376="",0,MAX(0,MIN(1,(IF(CC1376="L1",Parameter!$H$5,IF(CC1376="L23",Parameter!$H$6+Parameter!$H$7,Parameter!$H$5+Parameter!$H$6+Parameter!$H$7))-(AM1376-AI1376))/AI1376)))</f>
        <v>1</v>
      </c>
      <c r="AO1376" s="50" t="n">
        <f aca="false">IF(LEFT(Cockpit!$I$5,1)="A",H1376,IF(CE1376=1,CF1376,IF(LEFT(Cockpit!$I$5,1)="B",AT1376,MAX(AT1376,H1376))))</f>
        <v>80</v>
      </c>
      <c r="AP1376" s="50" t="n">
        <f aca="false">IF(BW1376=1,0,ROUNDUP(AO1376/BV1376,0))</f>
        <v>1</v>
      </c>
      <c r="AQ1376" s="52" t="n">
        <f aca="false">IF(CL1376&gt;0,CL1376*MAX(1,AO1376/X1376),IF(BW1376=1,IF(AO1376&lt;=0,0,CA1376*MAX(1,IF(H1376&gt;0,AO1376/H1376,1))),IF(R1376&gt;0,AP1376/R1376,0))/MAX(0.1,N(Parameter!$M$21)))</f>
        <v>0.166666666666667</v>
      </c>
      <c r="AR1376" s="50" t="n">
        <f aca="false">AQ1376*BY1376</f>
        <v>39.1666666666667</v>
      </c>
      <c r="AS1376" s="50" t="n">
        <f aca="false">AO1376*G1376</f>
        <v>7312</v>
      </c>
      <c r="AT1376" s="50" t="n">
        <f aca="false">ROUNDUP(MAX(J1376/IF(CD1376&gt;0,CD1376,MAX(0.1,N(Cockpit!$I$6))),CG1376)/BV1376,0)*BV1376</f>
        <v>80</v>
      </c>
      <c r="AU1376" s="51" t="n">
        <f aca="false">IF(AR1376&gt;0,J1376/AR1376,-1)</f>
        <v>3.70212765957447</v>
      </c>
      <c r="AV1376" s="51" t="n">
        <f aca="false">IF(AND(OR(CC1376="L1",CC1376="L23",CC1376="LIFT"),AR1376&gt;0),SUMIFS($AR$7:$AR$1843,$CC$7:$CC$1843,CC1376,$AU$7:$AU$1843,"&gt;"&amp;AU1376)+SUMIFS($AR$7:$AR$1843,$CC$7:$CC$1843,CC1376,$AU$7:$AU$1843,AU1376,$BT$7:$BT$1843,"&lt;="&amp;BT1376),"")</f>
        <v>5938.90613553114</v>
      </c>
      <c r="AW1376" s="58" t="n">
        <f aca="false">IF(AV1376="",0,MAX(0,MIN(1,(IF(CC1376="L1",Parameter!$H$5,IF(CC1376="L23",Parameter!$H$6+Parameter!$H$7,Parameter!$H$5+Parameter!$H$6+Parameter!$H$7))-(AV1376-AR1376))/AR1376)))</f>
        <v>1</v>
      </c>
      <c r="AX1376" s="50" t="n">
        <f aca="false">IF(LEFT(Cockpit!$O$5,1)="A",H1376,IF(CE1376=1,CF1376,IF(LEFT(Cockpit!$O$5,1)="B",BC1376,MAX(BC1376,H1376))))</f>
        <v>80</v>
      </c>
      <c r="AY1376" s="50" t="n">
        <f aca="false">IF(BW1376=1,0,ROUNDUP(AX1376/BV1376,0))</f>
        <v>1</v>
      </c>
      <c r="AZ1376" s="52" t="n">
        <f aca="false">IF(CL1376&gt;0,CL1376*MAX(1,AX1376/X1376),IF(BW1376=1,IF(AX1376&lt;=0,0,CA1376*MAX(1,IF(H1376&gt;0,AX1376/H1376,1))),IF(R1376&gt;0,AY1376/R1376,0))/MAX(0.1,N(Parameter!$M$21)))</f>
        <v>0.166666666666667</v>
      </c>
      <c r="BA1376" s="50" t="n">
        <f aca="false">AZ1376*BY1376</f>
        <v>39.1666666666667</v>
      </c>
      <c r="BB1376" s="50" t="n">
        <f aca="false">AX1376*G1376</f>
        <v>7312</v>
      </c>
      <c r="BC1376" s="50" t="n">
        <f aca="false">ROUNDUP(MAX(J1376/IF(CD1376&gt;0,CD1376,MAX(0.1,N(Cockpit!$O$6))),CG1376)/BV1376,0)*BV1376</f>
        <v>80</v>
      </c>
      <c r="BD1376" s="51" t="n">
        <f aca="false">IF(BA1376&gt;0,J1376/BA1376,-1)</f>
        <v>3.70212765957447</v>
      </c>
      <c r="BE1376" s="51" t="n">
        <f aca="false">IF(AND(OR(CC1376="L1",CC1376="L23",CC1376="LIFT"),BA1376&gt;0),SUMIFS($BA$7:$BA$1843,$CC$7:$CC$1843,CC1376,$BD$7:$BD$1843,"&gt;"&amp;BD1376)+SUMIFS($BA$7:$BA$1843,$CC$7:$CC$1843,CC1376,$BD$7:$BD$1843,BD1376,$BT$7:$BT$1843,"&lt;="&amp;BT1376),"")</f>
        <v>5840.49267399267</v>
      </c>
      <c r="BF1376" s="58" t="n">
        <f aca="false">IF(BE1376="",0,MAX(0,MIN(1,(IF(CC1376="L1",Parameter!$H$5,IF(CC1376="L23",Parameter!$H$6+Parameter!$H$7,Parameter!$H$5+Parameter!$H$6+Parameter!$H$7))-(BE1376-BA1376))/BA1376)))</f>
        <v>1</v>
      </c>
      <c r="BG1376" s="48" t="str">
        <f aca="false">IF(AI1376&lt;=0,"",IF(CC1376="Aussen","Aussenlager",IF(CC1376="-","Nicht im Lift",IF(AN1376&gt;=1,"Lift",IF(AN1376&lt;=0,"Aussenlager","teilweise")))))</f>
        <v>Lift</v>
      </c>
      <c r="BH1376" s="48" t="str">
        <f aca="false">IF(AR1376&lt;=0,"",IF(CC1376="Aussen","Aussenlager",IF(CC1376="-","Nicht im Lift",IF(AW1376&gt;=1,"Lift",IF(AW1376&lt;=0,"Aussenlager","teilweise")))))</f>
        <v>Lift</v>
      </c>
      <c r="BI1376" s="48" t="str">
        <f aca="false">IF(BA1376&lt;=0,"",IF(CC1376="Aussen","Aussenlager",IF(CC1376="-","Nicht im Lift",IF(BF1376&gt;=1,"Lift",IF(BF1376&lt;=0,"Aussenlager","teilweise")))))</f>
        <v>Lift</v>
      </c>
      <c r="BJ1376" s="48" t="str">
        <f aca="false">IF(A1376="","",IF(BS1376=1,"Neu; ","")&amp;IF(AND(BS1376=0,BN1376&lt;0),"negativer Bestand (Export "&amp;BN1376&amp;"); ","")&amp;IF(J1376&lt;=0,"Kein Verbrauch; ","")&amp;IF(CL1376&gt;0,"Lift "&amp;W1376&amp;" lt. Liftbericht (Fach "&amp;X1376&amp;" Stk); ",IF(BX1376=1,"Gebinde geschätzt ("&amp;T1376&amp;"); ",IF(BW1376=1,"Lose – Tablare geschätzt; ","")))&amp;IF(H1376&gt;AT1376,"Überbestand "&amp;ROUND(H1376-AT1376,0)&amp;" Stk / CHF "&amp;ROUND((H1376-AT1376)*G1376,0)&amp;"; ","")&amp;IF(AND(CE1376=1,CF1376&lt;CG1376),"MAX &lt; MB+LG; ","")&amp;IF(AND(CK1376&gt;0,CJ1376*10&gt;CK1376),"zu hoch für Tablar; ","")&amp;IF(AND(BS1376=0,OR(CE1376=1,AA1376&lt;&gt;"",U1376&lt;&gt;"",V1376&lt;&gt;"",AB1376&lt;&gt;"")),"manuell übersteuert; ","")&amp;IF(AND(BW1376=0,R1376=0),"Gebinde unbekannt / Stellmass fehlt; ","")&amp;IF(AND(BW1376=0,N(V1376)&lt;=0,N(Q1376)&lt;=0),"Menge pro Gebinde fehlt (Ist = 1 Gebinde); ","")&amp;BR1376)</f>
        <v>negativer Bestand (Export -19); </v>
      </c>
      <c r="BK1376" s="48"/>
      <c r="BL1376" s="48"/>
      <c r="BM1376" s="55"/>
      <c r="BN1376" s="50" t="n">
        <v>-19</v>
      </c>
      <c r="BO1376" s="50" t="n">
        <v>40</v>
      </c>
      <c r="BP1376" s="49" t="n">
        <v>-2789.00000000001</v>
      </c>
      <c r="BQ1376" s="50" t="n">
        <v>145</v>
      </c>
      <c r="BR1376" s="48"/>
      <c r="BS1376" s="53" t="n">
        <v>0</v>
      </c>
      <c r="BT1376" s="53" t="n">
        <v>1376</v>
      </c>
      <c r="BU1376" s="48" t="str">
        <f aca="false">IF(U1376&lt;&gt;"",UPPER(TRIM(U1376)),IF(BX1376=1,UPPER(VLOOKUP(T1376,Parameter!$I$27:$K$29,2,0)),IF(P1376="","LOSE",P1376)))</f>
        <v>S71</v>
      </c>
      <c r="BV1376" s="50" t="n">
        <f aca="false">IF(BU1376="LOSE",1,IF(N(V1376)&gt;0,V1376,IF(BX1376=1,MAX(1,N(VLOOKUP(T1376,Parameter!$I$27:$K$29,3,0)),H1376,N(N1376)),IF(N(Q1376)&gt;0,Q1376,MAX(1,H1376)))))</f>
        <v>80</v>
      </c>
      <c r="BW1376" s="53" t="n">
        <f aca="false">IF(BU1376="LOSE",1,0)</f>
        <v>0</v>
      </c>
      <c r="BX1376" s="53" t="n">
        <f aca="false">IF(AND(U1376="",OR(P1376="",P1376="LOSE"),T1376&lt;&gt;"",N(S1376)&lt;=0,ISNUMBER(MATCH(T1376,Parameter!$I$27:$I$29,0))),1,0)</f>
        <v>0</v>
      </c>
      <c r="BY1376" s="53" t="n">
        <f aca="false">IF(CL1376&gt;0,INDEX(Parameter!$H$5:$H$7,W1376)/INDEX(Parameter!$E$5:$E$7,W1376),IF(AND(BW1376=0,N(IFERROR(VLOOKUP(BU1376,'Gebinde-Kategorie'!$A$5:$N$45,14,0),0))&gt;0),VLOOKUP(BU1376,'Gebinde-Kategorie'!$A$5:$N$45,14,0)*10+Parameter!$M$23,Parameter!$M$24))</f>
        <v>235</v>
      </c>
      <c r="BZ1376" s="48" t="n">
        <f aca="false">IF(AND(Parameter!$B$19="Ja",E1376&lt;&gt;"",ISNUMBER(MATCH(E1376,Parameter!$I$35:$I$52,0))),VLOOKUP(E1376,Parameter!$I$35:$J$52,2,0),IFERROR(VLOOKUP(D1376,Parameter!$A$35:$C$64,2,0),"Nein"))</f>
        <v>1</v>
      </c>
      <c r="CA1376" s="52" t="n">
        <f aca="false">IF(BW1376=0,0,IF(N(S1376)&gt;0,S1376,IFERROR(VLOOKUP(D1376,Parameter!$A$35:$C$64,3,0)+0,0)))</f>
        <v>0</v>
      </c>
      <c r="CB1376" s="48" t="n">
        <f aca="false">IF(AA1376&lt;&gt;"",AA1376,Z1376)</f>
        <v>1</v>
      </c>
      <c r="CC1376" s="48" t="str">
        <f aca="false">IF(OR(CB1376=1,CB1376=2,CB1376=3),IF(Parameter!$E$27="Ja","LIFT",IF(CB1376=1,"L1","L23")),IF(CB1376="Aussen","Aussen","-"))</f>
        <v>LIFT</v>
      </c>
      <c r="CD1376" s="59" t="n">
        <f aca="false">IF(N(AB1376)&gt;0,AB1376,0)</f>
        <v>0</v>
      </c>
      <c r="CE1376" s="53" t="n">
        <f aca="false">IF(ISNUMBER(AE1376),1,0)</f>
        <v>0</v>
      </c>
      <c r="CF1376" s="50" t="n">
        <f aca="false">N(AE1376)</f>
        <v>0</v>
      </c>
      <c r="CG1376" s="50" t="n">
        <f aca="false">N(M1376)+N(N1376)</f>
        <v>58</v>
      </c>
      <c r="CH1376" s="50" t="n">
        <f aca="false">ROUNDUP(H1376/BV1376,0)</f>
        <v>1</v>
      </c>
      <c r="CI1376" s="50" t="n">
        <f aca="false">ROUNDUP(CF1376/BV1376,0)</f>
        <v>0</v>
      </c>
      <c r="CJ1376" s="53" t="n">
        <f aca="false">IF(BW1376=1,0,IFERROR(VLOOKUP(BU1376,'Gebinde-Kategorie'!$A$5:$N$45,5,0)+0,0))</f>
        <v>20</v>
      </c>
      <c r="CK1376" s="53" t="n">
        <f aca="false">IFERROR(IF(OR(CB1376=1,CB1376=2,CB1376=3),N(INDEX(Parameter!$I$5:$I$7,CB1376)),0),0)</f>
        <v>0</v>
      </c>
      <c r="CL1376" s="52" t="n">
        <f aca="false">IF(AND(Parameter!$B$21="Ja",ISNUMBER(W1376),N(X1376)&gt;0),IFERROR(N(INDEX(Parameter!$L$5:$L$7,W1376))*INDEX(Parameter!$E$5:$E$7,W1376)*X1376/SUMIFS($X$7:$X$1843,$W$7:$W$1843,W1376),0),0)</f>
        <v>0</v>
      </c>
    </row>
    <row r="1377" customFormat="false" ht="15" hidden="false" customHeight="false" outlineLevel="0" collapsed="false">
      <c r="A1377" s="48" t="s">
        <v>2431</v>
      </c>
      <c r="B1377" s="48" t="s">
        <v>2362</v>
      </c>
      <c r="C1377" s="48" t="s">
        <v>168</v>
      </c>
      <c r="D1377" s="48" t="s">
        <v>357</v>
      </c>
      <c r="E1377" s="48"/>
      <c r="F1377" s="48" t="s">
        <v>222</v>
      </c>
      <c r="G1377" s="49" t="n">
        <v>1410.11</v>
      </c>
      <c r="H1377" s="50" t="n">
        <f aca="false">MAX(0,IF(AND(Parameter!$B$21="Ja",ISNUMBER(Y1377)),Y1377,IF(Parameter!$B$20="Jahresanfang 2025 + Export",BO1377+BN1377,BN1377)))</f>
        <v>0</v>
      </c>
      <c r="I1377" s="50" t="n">
        <f aca="false">H1377*G1377</f>
        <v>0</v>
      </c>
      <c r="J1377" s="50" t="n">
        <f aca="false">BQ1377*Parameter!$B$18</f>
        <v>0</v>
      </c>
      <c r="K1377" s="51" t="n">
        <v>1</v>
      </c>
      <c r="L1377" s="52" t="n">
        <v>0</v>
      </c>
      <c r="M1377" s="50" t="n">
        <v>0</v>
      </c>
      <c r="N1377" s="50" t="n">
        <v>1</v>
      </c>
      <c r="O1377" s="53" t="n">
        <v>0</v>
      </c>
      <c r="P1377" s="48" t="s">
        <v>172</v>
      </c>
      <c r="Q1377" s="50"/>
      <c r="R1377" s="53" t="n">
        <f aca="false">IF(BW1377=1,0,IFERROR(VLOOKUP(BU1377,'Gebinde-Kategorie'!$A$5:$N$45,13,0)+0,0))</f>
        <v>0</v>
      </c>
      <c r="S1377" s="54"/>
      <c r="T1377" s="55"/>
      <c r="U1377" s="55"/>
      <c r="V1377" s="55"/>
      <c r="W1377" s="48"/>
      <c r="X1377" s="50"/>
      <c r="Y1377" s="50"/>
      <c r="Z1377" s="48" t="str">
        <f aca="false">IF(A1377="","",IF(AND(Parameter!$B$21="Ja",ISNUMBER(W1377)),W1377,IF(BZ1377="2+3",IF(ISNUMBER(SEARCH("grosser Artikel",BR1377)),2,IFERROR(VLOOKUP(BU1377,Parameter!$F$35:$G$64,2,0),2)),IF(OR(BZ1377="Nein",BZ1377=""),"-",BZ1377))))</f>
        <v>-</v>
      </c>
      <c r="AA1377" s="55"/>
      <c r="AB1377" s="56"/>
      <c r="AC1377" s="50" t="n">
        <f aca="false">AT1377</f>
        <v>1</v>
      </c>
      <c r="AD1377" s="50" t="n">
        <f aca="false">MAX(AT1377,H1377)</f>
        <v>1</v>
      </c>
      <c r="AE1377" s="57"/>
      <c r="AF1377" s="50" t="n">
        <f aca="false">IF(LEFT(Cockpit!$C$5,1)="A",H1377,IF(CE1377=1,CF1377,IF(LEFT(Cockpit!$C$5,1)="B",AK1377,MAX(AK1377,H1377))))</f>
        <v>0</v>
      </c>
      <c r="AG1377" s="50" t="n">
        <f aca="false">IF(BW1377=1,0,ROUNDUP(AF1377/BV1377,0))</f>
        <v>0</v>
      </c>
      <c r="AH1377" s="52" t="n">
        <f aca="false">IF(CL1377&gt;0,CL1377*MAX(1,AF1377/X1377),IF(BW1377=1,IF(AF1377&lt;=0,0,CA1377*MAX(1,IF(H1377&gt;0,AF1377/H1377,1))),IF(R1377&gt;0,AG1377/R1377,0))/MAX(0.1,N(Parameter!$M$21)))</f>
        <v>0</v>
      </c>
      <c r="AI1377" s="50" t="n">
        <f aca="false">AH1377*BY1377</f>
        <v>0</v>
      </c>
      <c r="AJ1377" s="50" t="n">
        <f aca="false">AF1377*G1377</f>
        <v>0</v>
      </c>
      <c r="AK1377" s="50" t="n">
        <f aca="false">ROUNDUP(MAX(J1377/IF(CD1377&gt;0,CD1377,MAX(0.1,N(Cockpit!$C$6))),CG1377)/BV1377,0)*BV1377</f>
        <v>1</v>
      </c>
      <c r="AL1377" s="51" t="n">
        <f aca="false">IF(AI1377&gt;0,J1377/AI1377,-1)</f>
        <v>-1</v>
      </c>
      <c r="AM1377" s="51" t="str">
        <f aca="false">IF(AND(OR(CC1377="L1",CC1377="L23",CC1377="LIFT"),AI1377&gt;0),SUMIFS($AI$7:$AI$1843,$CC$7:$CC$1843,CC1377,$AL$7:$AL$1843,"&gt;"&amp;AL1377)+SUMIFS($AI$7:$AI$1843,$CC$7:$CC$1843,CC1377,$AL$7:$AL$1843,AL1377,$BT$7:$BT$1843,"&lt;="&amp;BT1377),"")</f>
        <v/>
      </c>
      <c r="AN1377" s="58" t="n">
        <f aca="false">IF(AM1377="",0,MAX(0,MIN(1,(IF(CC1377="L1",Parameter!$H$5,IF(CC1377="L23",Parameter!$H$6+Parameter!$H$7,Parameter!$H$5+Parameter!$H$6+Parameter!$H$7))-(AM1377-AI1377))/AI1377)))</f>
        <v>0</v>
      </c>
      <c r="AO1377" s="50" t="n">
        <f aca="false">IF(LEFT(Cockpit!$I$5,1)="A",H1377,IF(CE1377=1,CF1377,IF(LEFT(Cockpit!$I$5,1)="B",AT1377,MAX(AT1377,H1377))))</f>
        <v>1</v>
      </c>
      <c r="AP1377" s="50" t="n">
        <f aca="false">IF(BW1377=1,0,ROUNDUP(AO1377/BV1377,0))</f>
        <v>0</v>
      </c>
      <c r="AQ1377" s="52" t="n">
        <f aca="false">IF(CL1377&gt;0,CL1377*MAX(1,AO1377/X1377),IF(BW1377=1,IF(AO1377&lt;=0,0,CA1377*MAX(1,IF(H1377&gt;0,AO1377/H1377,1))),IF(R1377&gt;0,AP1377/R1377,0))/MAX(0.1,N(Parameter!$M$21)))</f>
        <v>0.15</v>
      </c>
      <c r="AR1377" s="50" t="n">
        <f aca="false">AQ1377*BY1377</f>
        <v>35.25</v>
      </c>
      <c r="AS1377" s="50" t="n">
        <f aca="false">AO1377*G1377</f>
        <v>1410.11</v>
      </c>
      <c r="AT1377" s="50" t="n">
        <f aca="false">ROUNDUP(MAX(J1377/IF(CD1377&gt;0,CD1377,MAX(0.1,N(Cockpit!$I$6))),CG1377)/BV1377,0)*BV1377</f>
        <v>1</v>
      </c>
      <c r="AU1377" s="51" t="n">
        <f aca="false">IF(AR1377&gt;0,J1377/AR1377,-1)</f>
        <v>0</v>
      </c>
      <c r="AV1377" s="51" t="str">
        <f aca="false">IF(AND(OR(CC1377="L1",CC1377="L23",CC1377="LIFT"),AR1377&gt;0),SUMIFS($AR$7:$AR$1843,$CC$7:$CC$1843,CC1377,$AU$7:$AU$1843,"&gt;"&amp;AU1377)+SUMIFS($AR$7:$AR$1843,$CC$7:$CC$1843,CC1377,$AU$7:$AU$1843,AU1377,$BT$7:$BT$1843,"&lt;="&amp;BT1377),"")</f>
        <v/>
      </c>
      <c r="AW1377" s="58" t="n">
        <f aca="false">IF(AV1377="",0,MAX(0,MIN(1,(IF(CC1377="L1",Parameter!$H$5,IF(CC1377="L23",Parameter!$H$6+Parameter!$H$7,Parameter!$H$5+Parameter!$H$6+Parameter!$H$7))-(AV1377-AR1377))/AR1377)))</f>
        <v>0</v>
      </c>
      <c r="AX1377" s="50" t="n">
        <f aca="false">IF(LEFT(Cockpit!$O$5,1)="A",H1377,IF(CE1377=1,CF1377,IF(LEFT(Cockpit!$O$5,1)="B",BC1377,MAX(BC1377,H1377))))</f>
        <v>1</v>
      </c>
      <c r="AY1377" s="50" t="n">
        <f aca="false">IF(BW1377=1,0,ROUNDUP(AX1377/BV1377,0))</f>
        <v>0</v>
      </c>
      <c r="AZ1377" s="52" t="n">
        <f aca="false">IF(CL1377&gt;0,CL1377*MAX(1,AX1377/X1377),IF(BW1377=1,IF(AX1377&lt;=0,0,CA1377*MAX(1,IF(H1377&gt;0,AX1377/H1377,1))),IF(R1377&gt;0,AY1377/R1377,0))/MAX(0.1,N(Parameter!$M$21)))</f>
        <v>0.15</v>
      </c>
      <c r="BA1377" s="50" t="n">
        <f aca="false">AZ1377*BY1377</f>
        <v>35.25</v>
      </c>
      <c r="BB1377" s="50" t="n">
        <f aca="false">AX1377*G1377</f>
        <v>1410.11</v>
      </c>
      <c r="BC1377" s="50" t="n">
        <f aca="false">ROUNDUP(MAX(J1377/IF(CD1377&gt;0,CD1377,MAX(0.1,N(Cockpit!$O$6))),CG1377)/BV1377,0)*BV1377</f>
        <v>1</v>
      </c>
      <c r="BD1377" s="51" t="n">
        <f aca="false">IF(BA1377&gt;0,J1377/BA1377,-1)</f>
        <v>0</v>
      </c>
      <c r="BE1377" s="51" t="str">
        <f aca="false">IF(AND(OR(CC1377="L1",CC1377="L23",CC1377="LIFT"),BA1377&gt;0),SUMIFS($BA$7:$BA$1843,$CC$7:$CC$1843,CC1377,$BD$7:$BD$1843,"&gt;"&amp;BD1377)+SUMIFS($BA$7:$BA$1843,$CC$7:$CC$1843,CC1377,$BD$7:$BD$1843,BD1377,$BT$7:$BT$1843,"&lt;="&amp;BT1377),"")</f>
        <v/>
      </c>
      <c r="BF1377" s="58" t="n">
        <f aca="false">IF(BE1377="",0,MAX(0,MIN(1,(IF(CC1377="L1",Parameter!$H$5,IF(CC1377="L23",Parameter!$H$6+Parameter!$H$7,Parameter!$H$5+Parameter!$H$6+Parameter!$H$7))-(BE1377-BA1377))/BA1377)))</f>
        <v>0</v>
      </c>
      <c r="BG1377" s="48" t="str">
        <f aca="false">IF(AI1377&lt;=0,"",IF(CC1377="Aussen","Aussenlager",IF(CC1377="-","Nicht im Lift",IF(AN1377&gt;=1,"Lift",IF(AN1377&lt;=0,"Aussenlager","teilweise")))))</f>
        <v/>
      </c>
      <c r="BH1377" s="48" t="str">
        <f aca="false">IF(AR1377&lt;=0,"",IF(CC1377="Aussen","Aussenlager",IF(CC1377="-","Nicht im Lift",IF(AW1377&gt;=1,"Lift",IF(AW1377&lt;=0,"Aussenlager","teilweise")))))</f>
        <v>Nicht im Lift</v>
      </c>
      <c r="BI1377" s="48" t="str">
        <f aca="false">IF(BA1377&lt;=0,"",IF(CC1377="Aussen","Aussenlager",IF(CC1377="-","Nicht im Lift",IF(BF1377&gt;=1,"Lift",IF(BF1377&lt;=0,"Aussenlager","teilweise")))))</f>
        <v>Nicht im Lift</v>
      </c>
      <c r="BJ1377" s="48" t="str">
        <f aca="false">IF(A1377="","",IF(BS1377=1,"Neu; ","")&amp;IF(AND(BS1377=0,BN1377&lt;0),"negativer Bestand (Export "&amp;BN1377&amp;"); ","")&amp;IF(J1377&lt;=0,"Kein Verbrauch; ","")&amp;IF(CL1377&gt;0,"Lift "&amp;W1377&amp;" lt. Liftbericht (Fach "&amp;X1377&amp;" Stk); ",IF(BX1377=1,"Gebinde geschätzt ("&amp;T1377&amp;"); ",IF(BW1377=1,"Lose – Tablare geschätzt; ","")))&amp;IF(H1377&gt;AT1377,"Überbestand "&amp;ROUND(H1377-AT1377,0)&amp;" Stk / CHF "&amp;ROUND((H1377-AT1377)*G1377,0)&amp;"; ","")&amp;IF(AND(CE1377=1,CF1377&lt;CG1377),"MAX &lt; MB+LG; ","")&amp;IF(AND(CK1377&gt;0,CJ1377*10&gt;CK1377),"zu hoch für Tablar; ","")&amp;IF(AND(BS1377=0,OR(CE1377=1,AA1377&lt;&gt;"",U1377&lt;&gt;"",V1377&lt;&gt;"",AB1377&lt;&gt;"")),"manuell übersteuert; ","")&amp;IF(AND(BW1377=0,R1377=0),"Gebinde unbekannt / Stellmass fehlt; ","")&amp;IF(AND(BW1377=0,N(V1377)&lt;=0,N(Q1377)&lt;=0),"Menge pro Gebinde fehlt (Ist = 1 Gebinde); ","")&amp;BR1377)</f>
        <v>negativer Bestand (Export -2); Kein Verbrauch; Lose – Tablare geschätzt; </v>
      </c>
      <c r="BK1377" s="48"/>
      <c r="BL1377" s="48"/>
      <c r="BM1377" s="55"/>
      <c r="BN1377" s="50" t="n">
        <v>-2</v>
      </c>
      <c r="BO1377" s="50" t="n">
        <v>2</v>
      </c>
      <c r="BP1377" s="49" t="n">
        <v>-2820.22</v>
      </c>
      <c r="BQ1377" s="50" t="n">
        <v>0</v>
      </c>
      <c r="BR1377" s="48"/>
      <c r="BS1377" s="53" t="n">
        <v>0</v>
      </c>
      <c r="BT1377" s="53" t="n">
        <v>1377</v>
      </c>
      <c r="BU1377" s="48" t="str">
        <f aca="false">IF(U1377&lt;&gt;"",UPPER(TRIM(U1377)),IF(BX1377=1,UPPER(VLOOKUP(T1377,Parameter!$I$27:$K$29,2,0)),IF(P1377="","LOSE",P1377)))</f>
        <v>LOSE</v>
      </c>
      <c r="BV1377" s="50" t="n">
        <f aca="false">IF(BU1377="LOSE",1,IF(N(V1377)&gt;0,V1377,IF(BX1377=1,MAX(1,N(VLOOKUP(T1377,Parameter!$I$27:$K$29,3,0)),H1377,N(N1377)),IF(N(Q1377)&gt;0,Q1377,MAX(1,H1377)))))</f>
        <v>1</v>
      </c>
      <c r="BW1377" s="53" t="n">
        <f aca="false">IF(BU1377="LOSE",1,0)</f>
        <v>1</v>
      </c>
      <c r="BX1377" s="53" t="n">
        <f aca="false">IF(AND(U1377="",OR(P1377="",P1377="LOSE"),T1377&lt;&gt;"",N(S1377)&lt;=0,ISNUMBER(MATCH(T1377,Parameter!$I$27:$I$29,0))),1,0)</f>
        <v>0</v>
      </c>
      <c r="BY1377" s="53" t="n">
        <f aca="false">IF(CL1377&gt;0,INDEX(Parameter!$H$5:$H$7,W1377)/INDEX(Parameter!$E$5:$E$7,W1377),IF(AND(BW1377=0,N(IFERROR(VLOOKUP(BU1377,'Gebinde-Kategorie'!$A$5:$N$45,14,0),0))&gt;0),VLOOKUP(BU1377,'Gebinde-Kategorie'!$A$5:$N$45,14,0)*10+Parameter!$M$23,Parameter!$M$24))</f>
        <v>235</v>
      </c>
      <c r="BZ1377" s="48" t="str">
        <f aca="false">IF(AND(Parameter!$B$19="Ja",E1377&lt;&gt;"",ISNUMBER(MATCH(E1377,Parameter!$I$35:$I$52,0))),VLOOKUP(E1377,Parameter!$I$35:$J$52,2,0),IFERROR(VLOOKUP(D1377,Parameter!$A$35:$C$64,2,0),"Nein"))</f>
        <v>Nein</v>
      </c>
      <c r="CA1377" s="52" t="n">
        <f aca="false">IF(BW1377=0,0,IF(N(S1377)&gt;0,S1377,IFERROR(VLOOKUP(D1377,Parameter!$A$35:$C$64,3,0)+0,0)))</f>
        <v>0.15</v>
      </c>
      <c r="CB1377" s="48" t="str">
        <f aca="false">IF(AA1377&lt;&gt;"",AA1377,Z1377)</f>
        <v>-</v>
      </c>
      <c r="CC1377" s="48" t="str">
        <f aca="false">IF(OR(CB1377=1,CB1377=2,CB1377=3),IF(Parameter!$E$27="Ja","LIFT",IF(CB1377=1,"L1","L23")),IF(CB1377="Aussen","Aussen","-"))</f>
        <v>-</v>
      </c>
      <c r="CD1377" s="59" t="n">
        <f aca="false">IF(N(AB1377)&gt;0,AB1377,0)</f>
        <v>0</v>
      </c>
      <c r="CE1377" s="53" t="n">
        <f aca="false">IF(ISNUMBER(AE1377),1,0)</f>
        <v>0</v>
      </c>
      <c r="CF1377" s="50" t="n">
        <f aca="false">N(AE1377)</f>
        <v>0</v>
      </c>
      <c r="CG1377" s="50" t="n">
        <f aca="false">N(M1377)+N(N1377)</f>
        <v>1</v>
      </c>
      <c r="CH1377" s="50" t="n">
        <f aca="false">ROUNDUP(H1377/BV1377,0)</f>
        <v>0</v>
      </c>
      <c r="CI1377" s="50" t="n">
        <f aca="false">ROUNDUP(CF1377/BV1377,0)</f>
        <v>0</v>
      </c>
      <c r="CJ1377" s="53" t="n">
        <f aca="false">IF(BW1377=1,0,IFERROR(VLOOKUP(BU1377,'Gebinde-Kategorie'!$A$5:$N$45,5,0)+0,0))</f>
        <v>0</v>
      </c>
      <c r="CK1377" s="53" t="n">
        <f aca="false">IFERROR(IF(OR(CB1377=1,CB1377=2,CB1377=3),N(INDEX(Parameter!$I$5:$I$7,CB1377)),0),0)</f>
        <v>0</v>
      </c>
      <c r="CL1377" s="52" t="n">
        <f aca="false">IF(AND(Parameter!$B$21="Ja",ISNUMBER(W1377),N(X1377)&gt;0),IFERROR(N(INDEX(Parameter!$L$5:$L$7,W1377))*INDEX(Parameter!$E$5:$E$7,W1377)*X1377/SUMIFS($X$7:$X$1843,$W$7:$W$1843,W1377),0),0)</f>
        <v>0</v>
      </c>
    </row>
    <row r="1378" customFormat="false" ht="15" hidden="false" customHeight="false" outlineLevel="0" collapsed="false">
      <c r="A1378" s="48" t="s">
        <v>2432</v>
      </c>
      <c r="B1378" s="48" t="s">
        <v>362</v>
      </c>
      <c r="C1378" s="48" t="s">
        <v>168</v>
      </c>
      <c r="D1378" s="48" t="s">
        <v>177</v>
      </c>
      <c r="E1378" s="48" t="s">
        <v>189</v>
      </c>
      <c r="F1378" s="48" t="s">
        <v>222</v>
      </c>
      <c r="G1378" s="49" t="n">
        <v>119.51</v>
      </c>
      <c r="H1378" s="50" t="n">
        <f aca="false">MAX(0,IF(AND(Parameter!$B$21="Ja",ISNUMBER(Y1378)),Y1378,IF(Parameter!$B$20="Jahresanfang 2025 + Export",BO1378+BN1378,BN1378)))</f>
        <v>20</v>
      </c>
      <c r="I1378" s="50" t="n">
        <f aca="false">H1378*G1378</f>
        <v>2390.2</v>
      </c>
      <c r="J1378" s="50" t="n">
        <f aca="false">BQ1378*Parameter!$B$18</f>
        <v>19</v>
      </c>
      <c r="K1378" s="51" t="n">
        <v>47.5</v>
      </c>
      <c r="L1378" s="52" t="n">
        <v>0.4</v>
      </c>
      <c r="M1378" s="50" t="n">
        <v>2</v>
      </c>
      <c r="N1378" s="50" t="n">
        <v>30</v>
      </c>
      <c r="O1378" s="53" t="n">
        <v>49</v>
      </c>
      <c r="P1378" s="48" t="s">
        <v>178</v>
      </c>
      <c r="Q1378" s="50" t="n">
        <v>14</v>
      </c>
      <c r="R1378" s="53" t="n">
        <f aca="false">IF(BW1378=1,0,IFERROR(VLOOKUP(BU1378,'Gebinde-Kategorie'!$A$5:$N$45,13,0)+0,0))</f>
        <v>6</v>
      </c>
      <c r="S1378" s="54"/>
      <c r="T1378" s="55"/>
      <c r="U1378" s="55"/>
      <c r="V1378" s="55"/>
      <c r="W1378" s="48"/>
      <c r="X1378" s="50"/>
      <c r="Y1378" s="50"/>
      <c r="Z1378" s="48" t="n">
        <f aca="false">IF(A1378="","",IF(AND(Parameter!$B$21="Ja",ISNUMBER(W1378)),W1378,IF(BZ1378="2+3",IF(ISNUMBER(SEARCH("grosser Artikel",BR1378)),2,IFERROR(VLOOKUP(BU1378,Parameter!$F$35:$G$64,2,0),2)),IF(OR(BZ1378="Nein",BZ1378=""),"-",BZ1378))))</f>
        <v>2</v>
      </c>
      <c r="AA1378" s="55"/>
      <c r="AB1378" s="56"/>
      <c r="AC1378" s="50" t="n">
        <f aca="false">AT1378</f>
        <v>42</v>
      </c>
      <c r="AD1378" s="50" t="n">
        <f aca="false">MAX(AT1378,H1378)</f>
        <v>42</v>
      </c>
      <c r="AE1378" s="57"/>
      <c r="AF1378" s="50" t="n">
        <f aca="false">IF(LEFT(Cockpit!$C$5,1)="A",H1378,IF(CE1378=1,CF1378,IF(LEFT(Cockpit!$C$5,1)="B",AK1378,MAX(AK1378,H1378))))</f>
        <v>20</v>
      </c>
      <c r="AG1378" s="50" t="n">
        <f aca="false">IF(BW1378=1,0,ROUNDUP(AF1378/BV1378,0))</f>
        <v>2</v>
      </c>
      <c r="AH1378" s="52" t="n">
        <f aca="false">IF(CL1378&gt;0,CL1378*MAX(1,AF1378/X1378),IF(BW1378=1,IF(AF1378&lt;=0,0,CA1378*MAX(1,IF(H1378&gt;0,AF1378/H1378,1))),IF(R1378&gt;0,AG1378/R1378,0))/MAX(0.1,N(Parameter!$M$21)))</f>
        <v>0.333333333333333</v>
      </c>
      <c r="AI1378" s="50" t="n">
        <f aca="false">AH1378*BY1378</f>
        <v>78.3333333333333</v>
      </c>
      <c r="AJ1378" s="50" t="n">
        <f aca="false">AF1378*G1378</f>
        <v>2390.2</v>
      </c>
      <c r="AK1378" s="50" t="n">
        <f aca="false">ROUNDUP(MAX(J1378/IF(CD1378&gt;0,CD1378,MAX(0.1,N(Cockpit!$C$6))),CG1378)/BV1378,0)*BV1378</f>
        <v>42</v>
      </c>
      <c r="AL1378" s="51" t="n">
        <f aca="false">IF(AI1378&gt;0,J1378/AI1378,-1)</f>
        <v>0.242553191489362</v>
      </c>
      <c r="AM1378" s="51" t="n">
        <f aca="false">IF(AND(OR(CC1378="L1",CC1378="L23",CC1378="LIFT"),AI1378&gt;0),SUMIFS($AI$7:$AI$1843,$CC$7:$CC$1843,CC1378,$AL$7:$AL$1843,"&gt;"&amp;AL1378)+SUMIFS($AI$7:$AI$1843,$CC$7:$CC$1843,CC1378,$AL$7:$AL$1843,AL1378,$BT$7:$BT$1843,"&lt;="&amp;BT1378),"")</f>
        <v>11991.5202629292</v>
      </c>
      <c r="AN1378" s="58" t="n">
        <f aca="false">IF(AM1378="",0,MAX(0,MIN(1,(IF(CC1378="L1",Parameter!$H$5,IF(CC1378="L23",Parameter!$H$6+Parameter!$H$7,Parameter!$H$5+Parameter!$H$6+Parameter!$H$7))-(AM1378-AI1378))/AI1378)))</f>
        <v>1</v>
      </c>
      <c r="AO1378" s="50" t="n">
        <f aca="false">IF(LEFT(Cockpit!$I$5,1)="A",H1378,IF(CE1378=1,CF1378,IF(LEFT(Cockpit!$I$5,1)="B",AT1378,MAX(AT1378,H1378))))</f>
        <v>42</v>
      </c>
      <c r="AP1378" s="50" t="n">
        <f aca="false">IF(BW1378=1,0,ROUNDUP(AO1378/BV1378,0))</f>
        <v>3</v>
      </c>
      <c r="AQ1378" s="52" t="n">
        <f aca="false">IF(CL1378&gt;0,CL1378*MAX(1,AO1378/X1378),IF(BW1378=1,IF(AO1378&lt;=0,0,CA1378*MAX(1,IF(H1378&gt;0,AO1378/H1378,1))),IF(R1378&gt;0,AP1378/R1378,0))/MAX(0.1,N(Parameter!$M$21)))</f>
        <v>0.5</v>
      </c>
      <c r="AR1378" s="50" t="n">
        <f aca="false">AQ1378*BY1378</f>
        <v>117.5</v>
      </c>
      <c r="AS1378" s="50" t="n">
        <f aca="false">AO1378*G1378</f>
        <v>5019.42</v>
      </c>
      <c r="AT1378" s="50" t="n">
        <f aca="false">ROUNDUP(MAX(J1378/IF(CD1378&gt;0,CD1378,MAX(0.1,N(Cockpit!$I$6))),CG1378)/BV1378,0)*BV1378</f>
        <v>42</v>
      </c>
      <c r="AU1378" s="51" t="n">
        <f aca="false">IF(AR1378&gt;0,J1378/AR1378,-1)</f>
        <v>0.161702127659574</v>
      </c>
      <c r="AV1378" s="51" t="n">
        <f aca="false">IF(AND(OR(CC1378="L1",CC1378="L23",CC1378="LIFT"),AR1378&gt;0),SUMIFS($AR$7:$AR$1843,$CC$7:$CC$1843,CC1378,$AU$7:$AU$1843,"&gt;"&amp;AU1378)+SUMIFS($AR$7:$AR$1843,$CC$7:$CC$1843,CC1378,$AU$7:$AU$1843,AU1378,$BT$7:$BT$1843,"&lt;="&amp;BT1378),"")</f>
        <v>19588.5645604396</v>
      </c>
      <c r="AW1378" s="58" t="n">
        <f aca="false">IF(AV1378="",0,MAX(0,MIN(1,(IF(CC1378="L1",Parameter!$H$5,IF(CC1378="L23",Parameter!$H$6+Parameter!$H$7,Parameter!$H$5+Parameter!$H$6+Parameter!$H$7))-(AV1378-AR1378))/AR1378)))</f>
        <v>1</v>
      </c>
      <c r="AX1378" s="50" t="n">
        <f aca="false">IF(LEFT(Cockpit!$O$5,1)="A",H1378,IF(CE1378=1,CF1378,IF(LEFT(Cockpit!$O$5,1)="B",BC1378,MAX(BC1378,H1378))))</f>
        <v>42</v>
      </c>
      <c r="AY1378" s="50" t="n">
        <f aca="false">IF(BW1378=1,0,ROUNDUP(AX1378/BV1378,0))</f>
        <v>3</v>
      </c>
      <c r="AZ1378" s="52" t="n">
        <f aca="false">IF(CL1378&gt;0,CL1378*MAX(1,AX1378/X1378),IF(BW1378=1,IF(AX1378&lt;=0,0,CA1378*MAX(1,IF(H1378&gt;0,AX1378/H1378,1))),IF(R1378&gt;0,AY1378/R1378,0))/MAX(0.1,N(Parameter!$M$21)))</f>
        <v>0.5</v>
      </c>
      <c r="BA1378" s="50" t="n">
        <f aca="false">AZ1378*BY1378</f>
        <v>117.5</v>
      </c>
      <c r="BB1378" s="50" t="n">
        <f aca="false">AX1378*G1378</f>
        <v>5019.42</v>
      </c>
      <c r="BC1378" s="50" t="n">
        <f aca="false">ROUNDUP(MAX(J1378/IF(CD1378&gt;0,CD1378,MAX(0.1,N(Cockpit!$O$6))),CG1378)/BV1378,0)*BV1378</f>
        <v>42</v>
      </c>
      <c r="BD1378" s="51" t="n">
        <f aca="false">IF(BA1378&gt;0,J1378/BA1378,-1)</f>
        <v>0.161702127659574</v>
      </c>
      <c r="BE1378" s="51" t="n">
        <f aca="false">IF(AND(OR(CC1378="L1",CC1378="L23",CC1378="LIFT"),BA1378&gt;0),SUMIFS($BA$7:$BA$1843,$CC$7:$CC$1843,CC1378,$BD$7:$BD$1843,"&gt;"&amp;BD1378)+SUMIFS($BA$7:$BA$1843,$CC$7:$CC$1843,CC1378,$BD$7:$BD$1843,BD1378,$BT$7:$BT$1843,"&lt;="&amp;BT1378),"")</f>
        <v>17614.6382783883</v>
      </c>
      <c r="BF1378" s="58" t="n">
        <f aca="false">IF(BE1378="",0,MAX(0,MIN(1,(IF(CC1378="L1",Parameter!$H$5,IF(CC1378="L23",Parameter!$H$6+Parameter!$H$7,Parameter!$H$5+Parameter!$H$6+Parameter!$H$7))-(BE1378-BA1378))/BA1378)))</f>
        <v>1</v>
      </c>
      <c r="BG1378" s="48" t="str">
        <f aca="false">IF(AI1378&lt;=0,"",IF(CC1378="Aussen","Aussenlager",IF(CC1378="-","Nicht im Lift",IF(AN1378&gt;=1,"Lift",IF(AN1378&lt;=0,"Aussenlager","teilweise")))))</f>
        <v>Lift</v>
      </c>
      <c r="BH1378" s="48" t="str">
        <f aca="false">IF(AR1378&lt;=0,"",IF(CC1378="Aussen","Aussenlager",IF(CC1378="-","Nicht im Lift",IF(AW1378&gt;=1,"Lift",IF(AW1378&lt;=0,"Aussenlager","teilweise")))))</f>
        <v>Lift</v>
      </c>
      <c r="BI1378" s="48" t="str">
        <f aca="false">IF(BA1378&lt;=0,"",IF(CC1378="Aussen","Aussenlager",IF(CC1378="-","Nicht im Lift",IF(BF1378&gt;=1,"Lift",IF(BF1378&lt;=0,"Aussenlager","teilweise")))))</f>
        <v>Lift</v>
      </c>
      <c r="BJ1378" s="48" t="str">
        <f aca="false">IF(A1378="","",IF(BS1378=1,"Neu; ","")&amp;IF(AND(BS1378=0,BN1378&lt;0),"negativer Bestand (Export "&amp;BN1378&amp;"); ","")&amp;IF(J1378&lt;=0,"Kein Verbrauch; ","")&amp;IF(CL1378&gt;0,"Lift "&amp;W1378&amp;" lt. Liftbericht (Fach "&amp;X1378&amp;" Stk); ",IF(BX1378=1,"Gebinde geschätzt ("&amp;T1378&amp;"); ",IF(BW1378=1,"Lose – Tablare geschätzt; ","")))&amp;IF(H1378&gt;AT1378,"Überbestand "&amp;ROUND(H1378-AT1378,0)&amp;" Stk / CHF "&amp;ROUND((H1378-AT1378)*G1378,0)&amp;"; ","")&amp;IF(AND(CE1378=1,CF1378&lt;CG1378),"MAX &lt; MB+LG; ","")&amp;IF(AND(CK1378&gt;0,CJ1378*10&gt;CK1378),"zu hoch für Tablar; ","")&amp;IF(AND(BS1378=0,OR(CE1378=1,AA1378&lt;&gt;"",U1378&lt;&gt;"",V1378&lt;&gt;"",AB1378&lt;&gt;"")),"manuell übersteuert; ","")&amp;IF(AND(BW1378=0,R1378=0),"Gebinde unbekannt / Stellmass fehlt; ","")&amp;IF(AND(BW1378=0,N(V1378)&lt;=0,N(Q1378)&lt;=0),"Menge pro Gebinde fehlt (Ist = 1 Gebinde); ","")&amp;BR1378)</f>
        <v>negativer Bestand (Export -24); grosser Artikel &amp; nicht im KTL</v>
      </c>
      <c r="BK1378" s="48"/>
      <c r="BL1378" s="48"/>
      <c r="BM1378" s="55"/>
      <c r="BN1378" s="50" t="n">
        <v>-24</v>
      </c>
      <c r="BO1378" s="50" t="n">
        <v>44</v>
      </c>
      <c r="BP1378" s="49" t="n">
        <v>-2826.44</v>
      </c>
      <c r="BQ1378" s="50" t="n">
        <v>19</v>
      </c>
      <c r="BR1378" s="48" t="s">
        <v>265</v>
      </c>
      <c r="BS1378" s="53" t="n">
        <v>0</v>
      </c>
      <c r="BT1378" s="53" t="n">
        <v>1378</v>
      </c>
      <c r="BU1378" s="48" t="str">
        <f aca="false">IF(U1378&lt;&gt;"",UPPER(TRIM(U1378)),IF(BX1378=1,UPPER(VLOOKUP(T1378,Parameter!$I$27:$K$29,2,0)),IF(P1378="","LOSE",P1378)))</f>
        <v>S71</v>
      </c>
      <c r="BV1378" s="50" t="n">
        <f aca="false">IF(BU1378="LOSE",1,IF(N(V1378)&gt;0,V1378,IF(BX1378=1,MAX(1,N(VLOOKUP(T1378,Parameter!$I$27:$K$29,3,0)),H1378,N(N1378)),IF(N(Q1378)&gt;0,Q1378,MAX(1,H1378)))))</f>
        <v>14</v>
      </c>
      <c r="BW1378" s="53" t="n">
        <f aca="false">IF(BU1378="LOSE",1,0)</f>
        <v>0</v>
      </c>
      <c r="BX1378" s="53" t="n">
        <f aca="false">IF(AND(U1378="",OR(P1378="",P1378="LOSE"),T1378&lt;&gt;"",N(S1378)&lt;=0,ISNUMBER(MATCH(T1378,Parameter!$I$27:$I$29,0))),1,0)</f>
        <v>0</v>
      </c>
      <c r="BY1378" s="53" t="n">
        <f aca="false">IF(CL1378&gt;0,INDEX(Parameter!$H$5:$H$7,W1378)/INDEX(Parameter!$E$5:$E$7,W1378),IF(AND(BW1378=0,N(IFERROR(VLOOKUP(BU1378,'Gebinde-Kategorie'!$A$5:$N$45,14,0),0))&gt;0),VLOOKUP(BU1378,'Gebinde-Kategorie'!$A$5:$N$45,14,0)*10+Parameter!$M$23,Parameter!$M$24))</f>
        <v>235</v>
      </c>
      <c r="BZ1378" s="48" t="str">
        <f aca="false">IF(AND(Parameter!$B$19="Ja",E1378&lt;&gt;"",ISNUMBER(MATCH(E1378,Parameter!$I$35:$I$52,0))),VLOOKUP(E1378,Parameter!$I$35:$J$52,2,0),IFERROR(VLOOKUP(D1378,Parameter!$A$35:$C$64,2,0),"Nein"))</f>
        <v>2+3</v>
      </c>
      <c r="CA1378" s="52" t="n">
        <f aca="false">IF(BW1378=0,0,IF(N(S1378)&gt;0,S1378,IFERROR(VLOOKUP(D1378,Parameter!$A$35:$C$64,3,0)+0,0)))</f>
        <v>0</v>
      </c>
      <c r="CB1378" s="48" t="n">
        <f aca="false">IF(AA1378&lt;&gt;"",AA1378,Z1378)</f>
        <v>2</v>
      </c>
      <c r="CC1378" s="48" t="str">
        <f aca="false">IF(OR(CB1378=1,CB1378=2,CB1378=3),IF(Parameter!$E$27="Ja","LIFT",IF(CB1378=1,"L1","L23")),IF(CB1378="Aussen","Aussen","-"))</f>
        <v>LIFT</v>
      </c>
      <c r="CD1378" s="59" t="n">
        <f aca="false">IF(N(AB1378)&gt;0,AB1378,0)</f>
        <v>0</v>
      </c>
      <c r="CE1378" s="53" t="n">
        <f aca="false">IF(ISNUMBER(AE1378),1,0)</f>
        <v>0</v>
      </c>
      <c r="CF1378" s="50" t="n">
        <f aca="false">N(AE1378)</f>
        <v>0</v>
      </c>
      <c r="CG1378" s="50" t="n">
        <f aca="false">N(M1378)+N(N1378)</f>
        <v>32</v>
      </c>
      <c r="CH1378" s="50" t="n">
        <f aca="false">ROUNDUP(H1378/BV1378,0)</f>
        <v>2</v>
      </c>
      <c r="CI1378" s="50" t="n">
        <f aca="false">ROUNDUP(CF1378/BV1378,0)</f>
        <v>0</v>
      </c>
      <c r="CJ1378" s="53" t="n">
        <f aca="false">IF(BW1378=1,0,IFERROR(VLOOKUP(BU1378,'Gebinde-Kategorie'!$A$5:$N$45,5,0)+0,0))</f>
        <v>20</v>
      </c>
      <c r="CK1378" s="53" t="n">
        <f aca="false">IFERROR(IF(OR(CB1378=1,CB1378=2,CB1378=3),N(INDEX(Parameter!$I$5:$I$7,CB1378)),0),0)</f>
        <v>0</v>
      </c>
      <c r="CL1378" s="52" t="n">
        <f aca="false">IF(AND(Parameter!$B$21="Ja",ISNUMBER(W1378),N(X1378)&gt;0),IFERROR(N(INDEX(Parameter!$L$5:$L$7,W1378))*INDEX(Parameter!$E$5:$E$7,W1378)*X1378/SUMIFS($X$7:$X$1843,$W$7:$W$1843,W1378),0),0)</f>
        <v>0</v>
      </c>
    </row>
    <row r="1379" customFormat="false" ht="15" hidden="false" customHeight="false" outlineLevel="0" collapsed="false">
      <c r="A1379" s="48" t="s">
        <v>2433</v>
      </c>
      <c r="B1379" s="48" t="s">
        <v>305</v>
      </c>
      <c r="C1379" s="48" t="s">
        <v>168</v>
      </c>
      <c r="D1379" s="48" t="s">
        <v>188</v>
      </c>
      <c r="E1379" s="48" t="s">
        <v>189</v>
      </c>
      <c r="F1379" s="48" t="s">
        <v>222</v>
      </c>
      <c r="G1379" s="49" t="n">
        <v>319</v>
      </c>
      <c r="H1379" s="50" t="n">
        <f aca="false">MAX(0,IF(AND(Parameter!$B$21="Ja",ISNUMBER(Y1379)),Y1379,IF(Parameter!$B$20="Jahresanfang 2025 + Export",BO1379+BN1379,BN1379)))</f>
        <v>7</v>
      </c>
      <c r="I1379" s="50" t="n">
        <f aca="false">H1379*G1379</f>
        <v>2233</v>
      </c>
      <c r="J1379" s="50" t="n">
        <f aca="false">BQ1379*Parameter!$B$18</f>
        <v>14</v>
      </c>
      <c r="K1379" s="51" t="n">
        <v>12.5</v>
      </c>
      <c r="L1379" s="52" t="n">
        <v>1.12</v>
      </c>
      <c r="M1379" s="50" t="n">
        <v>1</v>
      </c>
      <c r="N1379" s="50" t="n">
        <v>10</v>
      </c>
      <c r="O1379" s="53" t="n">
        <v>31</v>
      </c>
      <c r="P1379" s="48" t="s">
        <v>237</v>
      </c>
      <c r="Q1379" s="50" t="n">
        <v>28</v>
      </c>
      <c r="R1379" s="53" t="n">
        <f aca="false">IF(BW1379=1,0,IFERROR(VLOOKUP(BU1379,'Gebinde-Kategorie'!$A$5:$N$45,13,0)+0,0))</f>
        <v>26</v>
      </c>
      <c r="S1379" s="54"/>
      <c r="T1379" s="55"/>
      <c r="U1379" s="55"/>
      <c r="V1379" s="55"/>
      <c r="W1379" s="48"/>
      <c r="X1379" s="50"/>
      <c r="Y1379" s="50"/>
      <c r="Z1379" s="48" t="n">
        <f aca="false">IF(A1379="","",IF(AND(Parameter!$B$21="Ja",ISNUMBER(W1379)),W1379,IF(BZ1379="2+3",IF(ISNUMBER(SEARCH("grosser Artikel",BR1379)),2,IFERROR(VLOOKUP(BU1379,Parameter!$F$35:$G$64,2,0),2)),IF(OR(BZ1379="Nein",BZ1379=""),"-",BZ1379))))</f>
        <v>3</v>
      </c>
      <c r="AA1379" s="55"/>
      <c r="AB1379" s="56"/>
      <c r="AC1379" s="50" t="n">
        <f aca="false">AT1379</f>
        <v>28</v>
      </c>
      <c r="AD1379" s="50" t="n">
        <f aca="false">MAX(AT1379,H1379)</f>
        <v>28</v>
      </c>
      <c r="AE1379" s="57"/>
      <c r="AF1379" s="50" t="n">
        <f aca="false">IF(LEFT(Cockpit!$C$5,1)="A",H1379,IF(CE1379=1,CF1379,IF(LEFT(Cockpit!$C$5,1)="B",AK1379,MAX(AK1379,H1379))))</f>
        <v>7</v>
      </c>
      <c r="AG1379" s="50" t="n">
        <f aca="false">IF(BW1379=1,0,ROUNDUP(AF1379/BV1379,0))</f>
        <v>1</v>
      </c>
      <c r="AH1379" s="52" t="n">
        <f aca="false">IF(CL1379&gt;0,CL1379*MAX(1,AF1379/X1379),IF(BW1379=1,IF(AF1379&lt;=0,0,CA1379*MAX(1,IF(H1379&gt;0,AF1379/H1379,1))),IF(R1379&gt;0,AG1379/R1379,0))/MAX(0.1,N(Parameter!$M$21)))</f>
        <v>0.0384615384615385</v>
      </c>
      <c r="AI1379" s="50" t="n">
        <f aca="false">AH1379*BY1379</f>
        <v>9.42307692307692</v>
      </c>
      <c r="AJ1379" s="50" t="n">
        <f aca="false">AF1379*G1379</f>
        <v>2233</v>
      </c>
      <c r="AK1379" s="50" t="n">
        <f aca="false">ROUNDUP(MAX(J1379/IF(CD1379&gt;0,CD1379,MAX(0.1,N(Cockpit!$C$6))),CG1379)/BV1379,0)*BV1379</f>
        <v>28</v>
      </c>
      <c r="AL1379" s="51" t="n">
        <f aca="false">IF(AI1379&gt;0,J1379/AI1379,-1)</f>
        <v>1.48571428571429</v>
      </c>
      <c r="AM1379" s="51" t="n">
        <f aca="false">IF(AND(OR(CC1379="L1",CC1379="L23",CC1379="LIFT"),AI1379&gt;0),SUMIFS($AI$7:$AI$1843,$CC$7:$CC$1843,CC1379,$AL$7:$AL$1843,"&gt;"&amp;AL1379)+SUMIFS($AI$7:$AI$1843,$CC$7:$CC$1843,CC1379,$AL$7:$AL$1843,AL1379,$BT$7:$BT$1843,"&lt;="&amp;BT1379),"")</f>
        <v>6250.12225274725</v>
      </c>
      <c r="AN1379" s="58" t="n">
        <f aca="false">IF(AM1379="",0,MAX(0,MIN(1,(IF(CC1379="L1",Parameter!$H$5,IF(CC1379="L23",Parameter!$H$6+Parameter!$H$7,Parameter!$H$5+Parameter!$H$6+Parameter!$H$7))-(AM1379-AI1379))/AI1379)))</f>
        <v>1</v>
      </c>
      <c r="AO1379" s="50" t="n">
        <f aca="false">IF(LEFT(Cockpit!$I$5,1)="A",H1379,IF(CE1379=1,CF1379,IF(LEFT(Cockpit!$I$5,1)="B",AT1379,MAX(AT1379,H1379))))</f>
        <v>28</v>
      </c>
      <c r="AP1379" s="50" t="n">
        <f aca="false">IF(BW1379=1,0,ROUNDUP(AO1379/BV1379,0))</f>
        <v>1</v>
      </c>
      <c r="AQ1379" s="52" t="n">
        <f aca="false">IF(CL1379&gt;0,CL1379*MAX(1,AO1379/X1379),IF(BW1379=1,IF(AO1379&lt;=0,0,CA1379*MAX(1,IF(H1379&gt;0,AO1379/H1379,1))),IF(R1379&gt;0,AP1379/R1379,0))/MAX(0.1,N(Parameter!$M$21)))</f>
        <v>0.0384615384615385</v>
      </c>
      <c r="AR1379" s="50" t="n">
        <f aca="false">AQ1379*BY1379</f>
        <v>9.42307692307692</v>
      </c>
      <c r="AS1379" s="50" t="n">
        <f aca="false">AO1379*G1379</f>
        <v>8932</v>
      </c>
      <c r="AT1379" s="50" t="n">
        <f aca="false">ROUNDUP(MAX(J1379/IF(CD1379&gt;0,CD1379,MAX(0.1,N(Cockpit!$I$6))),CG1379)/BV1379,0)*BV1379</f>
        <v>28</v>
      </c>
      <c r="AU1379" s="51" t="n">
        <f aca="false">IF(AR1379&gt;0,J1379/AR1379,-1)</f>
        <v>1.48571428571429</v>
      </c>
      <c r="AV1379" s="51" t="n">
        <f aca="false">IF(AND(OR(CC1379="L1",CC1379="L23",CC1379="LIFT"),AR1379&gt;0),SUMIFS($AR$7:$AR$1843,$CC$7:$CC$1843,CC1379,$AU$7:$AU$1843,"&gt;"&amp;AU1379)+SUMIFS($AR$7:$AR$1843,$CC$7:$CC$1843,CC1379,$AU$7:$AU$1843,AU1379,$BT$7:$BT$1843,"&lt;="&amp;BT1379),"")</f>
        <v>8424.93681318681</v>
      </c>
      <c r="AW1379" s="58" t="n">
        <f aca="false">IF(AV1379="",0,MAX(0,MIN(1,(IF(CC1379="L1",Parameter!$H$5,IF(CC1379="L23",Parameter!$H$6+Parameter!$H$7,Parameter!$H$5+Parameter!$H$6+Parameter!$H$7))-(AV1379-AR1379))/AR1379)))</f>
        <v>1</v>
      </c>
      <c r="AX1379" s="50" t="n">
        <f aca="false">IF(LEFT(Cockpit!$O$5,1)="A",H1379,IF(CE1379=1,CF1379,IF(LEFT(Cockpit!$O$5,1)="B",BC1379,MAX(BC1379,H1379))))</f>
        <v>28</v>
      </c>
      <c r="AY1379" s="50" t="n">
        <f aca="false">IF(BW1379=1,0,ROUNDUP(AX1379/BV1379,0))</f>
        <v>1</v>
      </c>
      <c r="AZ1379" s="52" t="n">
        <f aca="false">IF(CL1379&gt;0,CL1379*MAX(1,AX1379/X1379),IF(BW1379=1,IF(AX1379&lt;=0,0,CA1379*MAX(1,IF(H1379&gt;0,AX1379/H1379,1))),IF(R1379&gt;0,AY1379/R1379,0))/MAX(0.1,N(Parameter!$M$21)))</f>
        <v>0.0384615384615385</v>
      </c>
      <c r="BA1379" s="50" t="n">
        <f aca="false">AZ1379*BY1379</f>
        <v>9.42307692307692</v>
      </c>
      <c r="BB1379" s="50" t="n">
        <f aca="false">AX1379*G1379</f>
        <v>8932</v>
      </c>
      <c r="BC1379" s="50" t="n">
        <f aca="false">ROUNDUP(MAX(J1379/IF(CD1379&gt;0,CD1379,MAX(0.1,N(Cockpit!$O$6))),CG1379)/BV1379,0)*BV1379</f>
        <v>28</v>
      </c>
      <c r="BD1379" s="51" t="n">
        <f aca="false">IF(BA1379&gt;0,J1379/BA1379,-1)</f>
        <v>1.48571428571429</v>
      </c>
      <c r="BE1379" s="51" t="n">
        <f aca="false">IF(AND(OR(CC1379="L1",CC1379="L23",CC1379="LIFT"),BA1379&gt;0),SUMIFS($BA$7:$BA$1843,$CC$7:$CC$1843,CC1379,$BD$7:$BD$1843,"&gt;"&amp;BD1379)+SUMIFS($BA$7:$BA$1843,$CC$7:$CC$1843,CC1379,$BD$7:$BD$1843,BD1379,$BT$7:$BT$1843,"&lt;="&amp;BT1379),"")</f>
        <v>8417.6771978022</v>
      </c>
      <c r="BF1379" s="58" t="n">
        <f aca="false">IF(BE1379="",0,MAX(0,MIN(1,(IF(CC1379="L1",Parameter!$H$5,IF(CC1379="L23",Parameter!$H$6+Parameter!$H$7,Parameter!$H$5+Parameter!$H$6+Parameter!$H$7))-(BE1379-BA1379))/BA1379)))</f>
        <v>1</v>
      </c>
      <c r="BG1379" s="48" t="str">
        <f aca="false">IF(AI1379&lt;=0,"",IF(CC1379="Aussen","Aussenlager",IF(CC1379="-","Nicht im Lift",IF(AN1379&gt;=1,"Lift",IF(AN1379&lt;=0,"Aussenlager","teilweise")))))</f>
        <v>Lift</v>
      </c>
      <c r="BH1379" s="48" t="str">
        <f aca="false">IF(AR1379&lt;=0,"",IF(CC1379="Aussen","Aussenlager",IF(CC1379="-","Nicht im Lift",IF(AW1379&gt;=1,"Lift",IF(AW1379&lt;=0,"Aussenlager","teilweise")))))</f>
        <v>Lift</v>
      </c>
      <c r="BI1379" s="48" t="str">
        <f aca="false">IF(BA1379&lt;=0,"",IF(CC1379="Aussen","Aussenlager",IF(CC1379="-","Nicht im Lift",IF(BF1379&gt;=1,"Lift",IF(BF1379&lt;=0,"Aussenlager","teilweise")))))</f>
        <v>Lift</v>
      </c>
      <c r="BJ1379" s="48" t="str">
        <f aca="false">IF(A1379="","",IF(BS1379=1,"Neu; ","")&amp;IF(AND(BS1379=0,BN1379&lt;0),"negativer Bestand (Export "&amp;BN1379&amp;"); ","")&amp;IF(J1379&lt;=0,"Kein Verbrauch; ","")&amp;IF(CL1379&gt;0,"Lift "&amp;W1379&amp;" lt. Liftbericht (Fach "&amp;X1379&amp;" Stk); ",IF(BX1379=1,"Gebinde geschätzt ("&amp;T1379&amp;"); ",IF(BW1379=1,"Lose – Tablare geschätzt; ","")))&amp;IF(H1379&gt;AT1379,"Überbestand "&amp;ROUND(H1379-AT1379,0)&amp;" Stk / CHF "&amp;ROUND((H1379-AT1379)*G1379,0)&amp;"; ","")&amp;IF(AND(CE1379=1,CF1379&lt;CG1379),"MAX &lt; MB+LG; ","")&amp;IF(AND(CK1379&gt;0,CJ1379*10&gt;CK1379),"zu hoch für Tablar; ","")&amp;IF(AND(BS1379=0,OR(CE1379=1,AA1379&lt;&gt;"",U1379&lt;&gt;"",V1379&lt;&gt;"",AB1379&lt;&gt;"")),"manuell übersteuert; ","")&amp;IF(AND(BW1379=0,R1379=0),"Gebinde unbekannt / Stellmass fehlt; ","")&amp;IF(AND(BW1379=0,N(V1379)&lt;=0,N(Q1379)&lt;=0),"Menge pro Gebinde fehlt (Ist = 1 Gebinde); ","")&amp;BR1379)</f>
        <v>negativer Bestand (Export -9); Überbestand</v>
      </c>
      <c r="BK1379" s="48"/>
      <c r="BL1379" s="48"/>
      <c r="BM1379" s="55"/>
      <c r="BN1379" s="50" t="n">
        <v>-9</v>
      </c>
      <c r="BO1379" s="50" t="n">
        <v>16</v>
      </c>
      <c r="BP1379" s="49" t="n">
        <v>-2871</v>
      </c>
      <c r="BQ1379" s="50" t="n">
        <v>14</v>
      </c>
      <c r="BR1379" s="48" t="s">
        <v>396</v>
      </c>
      <c r="BS1379" s="53" t="n">
        <v>0</v>
      </c>
      <c r="BT1379" s="53" t="n">
        <v>1379</v>
      </c>
      <c r="BU1379" s="48" t="str">
        <f aca="false">IF(U1379&lt;&gt;"",UPPER(TRIM(U1379)),IF(BX1379=1,UPPER(VLOOKUP(T1379,Parameter!$I$27:$K$29,2,0)),IF(P1379="","LOSE",P1379)))</f>
        <v>S52</v>
      </c>
      <c r="BV1379" s="50" t="n">
        <f aca="false">IF(BU1379="LOSE",1,IF(N(V1379)&gt;0,V1379,IF(BX1379=1,MAX(1,N(VLOOKUP(T1379,Parameter!$I$27:$K$29,3,0)),H1379,N(N1379)),IF(N(Q1379)&gt;0,Q1379,MAX(1,H1379)))))</f>
        <v>28</v>
      </c>
      <c r="BW1379" s="53" t="n">
        <f aca="false">IF(BU1379="LOSE",1,0)</f>
        <v>0</v>
      </c>
      <c r="BX1379" s="53" t="n">
        <f aca="false">IF(AND(U1379="",OR(P1379="",P1379="LOSE"),T1379&lt;&gt;"",N(S1379)&lt;=0,ISNUMBER(MATCH(T1379,Parameter!$I$27:$I$29,0))),1,0)</f>
        <v>0</v>
      </c>
      <c r="BY1379" s="53" t="n">
        <f aca="false">IF(CL1379&gt;0,INDEX(Parameter!$H$5:$H$7,W1379)/INDEX(Parameter!$E$5:$E$7,W1379),IF(AND(BW1379=0,N(IFERROR(VLOOKUP(BU1379,'Gebinde-Kategorie'!$A$5:$N$45,14,0),0))&gt;0),VLOOKUP(BU1379,'Gebinde-Kategorie'!$A$5:$N$45,14,0)*10+Parameter!$M$23,Parameter!$M$24))</f>
        <v>245</v>
      </c>
      <c r="BZ1379" s="48" t="str">
        <f aca="false">IF(AND(Parameter!$B$19="Ja",E1379&lt;&gt;"",ISNUMBER(MATCH(E1379,Parameter!$I$35:$I$52,0))),VLOOKUP(E1379,Parameter!$I$35:$J$52,2,0),IFERROR(VLOOKUP(D1379,Parameter!$A$35:$C$64,2,0),"Nein"))</f>
        <v>2+3</v>
      </c>
      <c r="CA1379" s="52" t="n">
        <f aca="false">IF(BW1379=0,0,IF(N(S1379)&gt;0,S1379,IFERROR(VLOOKUP(D1379,Parameter!$A$35:$C$64,3,0)+0,0)))</f>
        <v>0</v>
      </c>
      <c r="CB1379" s="48" t="n">
        <f aca="false">IF(AA1379&lt;&gt;"",AA1379,Z1379)</f>
        <v>3</v>
      </c>
      <c r="CC1379" s="48" t="str">
        <f aca="false">IF(OR(CB1379=1,CB1379=2,CB1379=3),IF(Parameter!$E$27="Ja","LIFT",IF(CB1379=1,"L1","L23")),IF(CB1379="Aussen","Aussen","-"))</f>
        <v>LIFT</v>
      </c>
      <c r="CD1379" s="59" t="n">
        <f aca="false">IF(N(AB1379)&gt;0,AB1379,0)</f>
        <v>0</v>
      </c>
      <c r="CE1379" s="53" t="n">
        <f aca="false">IF(ISNUMBER(AE1379),1,0)</f>
        <v>0</v>
      </c>
      <c r="CF1379" s="50" t="n">
        <f aca="false">N(AE1379)</f>
        <v>0</v>
      </c>
      <c r="CG1379" s="50" t="n">
        <f aca="false">N(M1379)+N(N1379)</f>
        <v>11</v>
      </c>
      <c r="CH1379" s="50" t="n">
        <f aca="false">ROUNDUP(H1379/BV1379,0)</f>
        <v>1</v>
      </c>
      <c r="CI1379" s="50" t="n">
        <f aca="false">ROUNDUP(CF1379/BV1379,0)</f>
        <v>0</v>
      </c>
      <c r="CJ1379" s="53" t="n">
        <f aca="false">IF(BW1379=1,0,IFERROR(VLOOKUP(BU1379,'Gebinde-Kategorie'!$A$5:$N$45,5,0)+0,0))</f>
        <v>21</v>
      </c>
      <c r="CK1379" s="53" t="n">
        <f aca="false">IFERROR(IF(OR(CB1379=1,CB1379=2,CB1379=3),N(INDEX(Parameter!$I$5:$I$7,CB1379)),0),0)</f>
        <v>0</v>
      </c>
      <c r="CL1379" s="52" t="n">
        <f aca="false">IF(AND(Parameter!$B$21="Ja",ISNUMBER(W1379),N(X1379)&gt;0),IFERROR(N(INDEX(Parameter!$L$5:$L$7,W1379))*INDEX(Parameter!$E$5:$E$7,W1379)*X1379/SUMIFS($X$7:$X$1843,$W$7:$W$1843,W1379),0),0)</f>
        <v>0</v>
      </c>
    </row>
    <row r="1380" customFormat="false" ht="15" hidden="false" customHeight="false" outlineLevel="0" collapsed="false">
      <c r="A1380" s="48" t="s">
        <v>2434</v>
      </c>
      <c r="B1380" s="48" t="s">
        <v>2283</v>
      </c>
      <c r="C1380" s="48" t="s">
        <v>168</v>
      </c>
      <c r="D1380" s="48" t="s">
        <v>177</v>
      </c>
      <c r="E1380" s="48" t="s">
        <v>189</v>
      </c>
      <c r="F1380" s="48" t="s">
        <v>222</v>
      </c>
      <c r="G1380" s="49" t="n">
        <v>164.4</v>
      </c>
      <c r="H1380" s="50" t="n">
        <f aca="false">MAX(0,IF(AND(Parameter!$B$21="Ja",ISNUMBER(Y1380)),Y1380,IF(Parameter!$B$20="Jahresanfang 2025 + Export",BO1380+BN1380,BN1380)))</f>
        <v>13</v>
      </c>
      <c r="I1380" s="50" t="n">
        <f aca="false">H1380*G1380</f>
        <v>2137.2</v>
      </c>
      <c r="J1380" s="50" t="n">
        <f aca="false">BQ1380*Parameter!$B$18</f>
        <v>31</v>
      </c>
      <c r="K1380" s="51" t="n">
        <v>29</v>
      </c>
      <c r="L1380" s="52" t="n">
        <v>1.06896551724138</v>
      </c>
      <c r="M1380" s="50" t="n">
        <v>5</v>
      </c>
      <c r="N1380" s="50" t="n">
        <v>20</v>
      </c>
      <c r="O1380" s="53" t="n">
        <v>49</v>
      </c>
      <c r="P1380" s="48" t="s">
        <v>230</v>
      </c>
      <c r="Q1380" s="50" t="n">
        <v>14</v>
      </c>
      <c r="R1380" s="53" t="n">
        <f aca="false">IF(BW1380=1,0,IFERROR(VLOOKUP(BU1380,'Gebinde-Kategorie'!$A$5:$N$45,13,0)+0,0))</f>
        <v>12</v>
      </c>
      <c r="S1380" s="54"/>
      <c r="T1380" s="55"/>
      <c r="U1380" s="55"/>
      <c r="V1380" s="55"/>
      <c r="W1380" s="48"/>
      <c r="X1380" s="50"/>
      <c r="Y1380" s="50"/>
      <c r="Z1380" s="48" t="n">
        <f aca="false">IF(A1380="","",IF(AND(Parameter!$B$21="Ja",ISNUMBER(W1380)),W1380,IF(BZ1380="2+3",IF(ISNUMBER(SEARCH("grosser Artikel",BR1380)),2,IFERROR(VLOOKUP(BU1380,Parameter!$F$35:$G$64,2,0),2)),IF(OR(BZ1380="Nein",BZ1380=""),"-",BZ1380))))</f>
        <v>2</v>
      </c>
      <c r="AA1380" s="55"/>
      <c r="AB1380" s="56"/>
      <c r="AC1380" s="50" t="n">
        <f aca="false">AT1380</f>
        <v>28</v>
      </c>
      <c r="AD1380" s="50" t="n">
        <f aca="false">MAX(AT1380,H1380)</f>
        <v>28</v>
      </c>
      <c r="AE1380" s="57"/>
      <c r="AF1380" s="50" t="n">
        <f aca="false">IF(LEFT(Cockpit!$C$5,1)="A",H1380,IF(CE1380=1,CF1380,IF(LEFT(Cockpit!$C$5,1)="B",AK1380,MAX(AK1380,H1380))))</f>
        <v>13</v>
      </c>
      <c r="AG1380" s="50" t="n">
        <f aca="false">IF(BW1380=1,0,ROUNDUP(AF1380/BV1380,0))</f>
        <v>1</v>
      </c>
      <c r="AH1380" s="52" t="n">
        <f aca="false">IF(CL1380&gt;0,CL1380*MAX(1,AF1380/X1380),IF(BW1380=1,IF(AF1380&lt;=0,0,CA1380*MAX(1,IF(H1380&gt;0,AF1380/H1380,1))),IF(R1380&gt;0,AG1380/R1380,0))/MAX(0.1,N(Parameter!$M$21)))</f>
        <v>0.0833333333333333</v>
      </c>
      <c r="AI1380" s="50" t="n">
        <f aca="false">AH1380*BY1380</f>
        <v>28.75</v>
      </c>
      <c r="AJ1380" s="50" t="n">
        <f aca="false">AF1380*G1380</f>
        <v>2137.2</v>
      </c>
      <c r="AK1380" s="50" t="n">
        <f aca="false">ROUNDUP(MAX(J1380/IF(CD1380&gt;0,CD1380,MAX(0.1,N(Cockpit!$C$6))),CG1380)/BV1380,0)*BV1380</f>
        <v>28</v>
      </c>
      <c r="AL1380" s="51" t="n">
        <f aca="false">IF(AI1380&gt;0,J1380/AI1380,-1)</f>
        <v>1.07826086956522</v>
      </c>
      <c r="AM1380" s="51" t="n">
        <f aca="false">IF(AND(OR(CC1380="L1",CC1380="L23",CC1380="LIFT"),AI1380&gt;0),SUMIFS($AI$7:$AI$1843,$CC$7:$CC$1843,CC1380,$AL$7:$AL$1843,"&gt;"&amp;AL1380)+SUMIFS($AI$7:$AI$1843,$CC$7:$CC$1843,CC1380,$AL$7:$AL$1843,AL1380,$BT$7:$BT$1843,"&lt;="&amp;BT1380),"")</f>
        <v>6882.71840659341</v>
      </c>
      <c r="AN1380" s="58" t="n">
        <f aca="false">IF(AM1380="",0,MAX(0,MIN(1,(IF(CC1380="L1",Parameter!$H$5,IF(CC1380="L23",Parameter!$H$6+Parameter!$H$7,Parameter!$H$5+Parameter!$H$6+Parameter!$H$7))-(AM1380-AI1380))/AI1380)))</f>
        <v>1</v>
      </c>
      <c r="AO1380" s="50" t="n">
        <f aca="false">IF(LEFT(Cockpit!$I$5,1)="A",H1380,IF(CE1380=1,CF1380,IF(LEFT(Cockpit!$I$5,1)="B",AT1380,MAX(AT1380,H1380))))</f>
        <v>28</v>
      </c>
      <c r="AP1380" s="50" t="n">
        <f aca="false">IF(BW1380=1,0,ROUNDUP(AO1380/BV1380,0))</f>
        <v>2</v>
      </c>
      <c r="AQ1380" s="52" t="n">
        <f aca="false">IF(CL1380&gt;0,CL1380*MAX(1,AO1380/X1380),IF(BW1380=1,IF(AO1380&lt;=0,0,CA1380*MAX(1,IF(H1380&gt;0,AO1380/H1380,1))),IF(R1380&gt;0,AP1380/R1380,0))/MAX(0.1,N(Parameter!$M$21)))</f>
        <v>0.166666666666667</v>
      </c>
      <c r="AR1380" s="50" t="n">
        <f aca="false">AQ1380*BY1380</f>
        <v>57.5</v>
      </c>
      <c r="AS1380" s="50" t="n">
        <f aca="false">AO1380*G1380</f>
        <v>4603.2</v>
      </c>
      <c r="AT1380" s="50" t="n">
        <f aca="false">ROUNDUP(MAX(J1380/IF(CD1380&gt;0,CD1380,MAX(0.1,N(Cockpit!$I$6))),CG1380)/BV1380,0)*BV1380</f>
        <v>28</v>
      </c>
      <c r="AU1380" s="51" t="n">
        <f aca="false">IF(AR1380&gt;0,J1380/AR1380,-1)</f>
        <v>0.539130434782609</v>
      </c>
      <c r="AV1380" s="51" t="n">
        <f aca="false">IF(AND(OR(CC1380="L1",CC1380="L23",CC1380="LIFT"),AR1380&gt;0),SUMIFS($AR$7:$AR$1843,$CC$7:$CC$1843,CC1380,$AU$7:$AU$1843,"&gt;"&amp;AU1380)+SUMIFS($AR$7:$AR$1843,$CC$7:$CC$1843,CC1380,$AU$7:$AU$1843,AU1380,$BT$7:$BT$1843,"&lt;="&amp;BT1380),"")</f>
        <v>13883.4107142857</v>
      </c>
      <c r="AW1380" s="58" t="n">
        <f aca="false">IF(AV1380="",0,MAX(0,MIN(1,(IF(CC1380="L1",Parameter!$H$5,IF(CC1380="L23",Parameter!$H$6+Parameter!$H$7,Parameter!$H$5+Parameter!$H$6+Parameter!$H$7))-(AV1380-AR1380))/AR1380)))</f>
        <v>1</v>
      </c>
      <c r="AX1380" s="50" t="n">
        <f aca="false">IF(LEFT(Cockpit!$O$5,1)="A",H1380,IF(CE1380=1,CF1380,IF(LEFT(Cockpit!$O$5,1)="B",BC1380,MAX(BC1380,H1380))))</f>
        <v>28</v>
      </c>
      <c r="AY1380" s="50" t="n">
        <f aca="false">IF(BW1380=1,0,ROUNDUP(AX1380/BV1380,0))</f>
        <v>2</v>
      </c>
      <c r="AZ1380" s="52" t="n">
        <f aca="false">IF(CL1380&gt;0,CL1380*MAX(1,AX1380/X1380),IF(BW1380=1,IF(AX1380&lt;=0,0,CA1380*MAX(1,IF(H1380&gt;0,AX1380/H1380,1))),IF(R1380&gt;0,AY1380/R1380,0))/MAX(0.1,N(Parameter!$M$21)))</f>
        <v>0.166666666666667</v>
      </c>
      <c r="BA1380" s="50" t="n">
        <f aca="false">AZ1380*BY1380</f>
        <v>57.5</v>
      </c>
      <c r="BB1380" s="50" t="n">
        <f aca="false">AX1380*G1380</f>
        <v>4603.2</v>
      </c>
      <c r="BC1380" s="50" t="n">
        <f aca="false">ROUNDUP(MAX(J1380/IF(CD1380&gt;0,CD1380,MAX(0.1,N(Cockpit!$O$6))),CG1380)/BV1380,0)*BV1380</f>
        <v>28</v>
      </c>
      <c r="BD1380" s="51" t="n">
        <f aca="false">IF(BA1380&gt;0,J1380/BA1380,-1)</f>
        <v>0.539130434782609</v>
      </c>
      <c r="BE1380" s="51" t="n">
        <f aca="false">IF(AND(OR(CC1380="L1",CC1380="L23",CC1380="LIFT"),BA1380&gt;0),SUMIFS($BA$7:$BA$1843,$CC$7:$CC$1843,CC1380,$BD$7:$BD$1843,"&gt;"&amp;BD1380)+SUMIFS($BA$7:$BA$1843,$CC$7:$CC$1843,CC1380,$BD$7:$BD$1843,BD1380,$BT$7:$BT$1843,"&lt;="&amp;BT1380),"")</f>
        <v>12879.0677655678</v>
      </c>
      <c r="BF1380" s="58" t="n">
        <f aca="false">IF(BE1380="",0,MAX(0,MIN(1,(IF(CC1380="L1",Parameter!$H$5,IF(CC1380="L23",Parameter!$H$6+Parameter!$H$7,Parameter!$H$5+Parameter!$H$6+Parameter!$H$7))-(BE1380-BA1380))/BA1380)))</f>
        <v>1</v>
      </c>
      <c r="BG1380" s="48" t="str">
        <f aca="false">IF(AI1380&lt;=0,"",IF(CC1380="Aussen","Aussenlager",IF(CC1380="-","Nicht im Lift",IF(AN1380&gt;=1,"Lift",IF(AN1380&lt;=0,"Aussenlager","teilweise")))))</f>
        <v>Lift</v>
      </c>
      <c r="BH1380" s="48" t="str">
        <f aca="false">IF(AR1380&lt;=0,"",IF(CC1380="Aussen","Aussenlager",IF(CC1380="-","Nicht im Lift",IF(AW1380&gt;=1,"Lift",IF(AW1380&lt;=0,"Aussenlager","teilweise")))))</f>
        <v>Lift</v>
      </c>
      <c r="BI1380" s="48" t="str">
        <f aca="false">IF(BA1380&lt;=0,"",IF(CC1380="Aussen","Aussenlager",IF(CC1380="-","Nicht im Lift",IF(BF1380&gt;=1,"Lift",IF(BF1380&lt;=0,"Aussenlager","teilweise")))))</f>
        <v>Lift</v>
      </c>
      <c r="BJ1380" s="48" t="str">
        <f aca="false">IF(A1380="","",IF(BS1380=1,"Neu; ","")&amp;IF(AND(BS1380=0,BN1380&lt;0),"negativer Bestand (Export "&amp;BN1380&amp;"); ","")&amp;IF(J1380&lt;=0,"Kein Verbrauch; ","")&amp;IF(CL1380&gt;0,"Lift "&amp;W1380&amp;" lt. Liftbericht (Fach "&amp;X1380&amp;" Stk); ",IF(BX1380=1,"Gebinde geschätzt ("&amp;T1380&amp;"); ",IF(BW1380=1,"Lose – Tablare geschätzt; ","")))&amp;IF(H1380&gt;AT1380,"Überbestand "&amp;ROUND(H1380-AT1380,0)&amp;" Stk / CHF "&amp;ROUND((H1380-AT1380)*G1380,0)&amp;"; ","")&amp;IF(AND(CE1380=1,CF1380&lt;CG1380),"MAX &lt; MB+LG; ","")&amp;IF(AND(CK1380&gt;0,CJ1380*10&gt;CK1380),"zu hoch für Tablar; ","")&amp;IF(AND(BS1380=0,OR(CE1380=1,AA1380&lt;&gt;"",U1380&lt;&gt;"",V1380&lt;&gt;"",AB1380&lt;&gt;"")),"manuell übersteuert; ","")&amp;IF(AND(BW1380=0,R1380=0),"Gebinde unbekannt / Stellmass fehlt; ","")&amp;IF(AND(BW1380=0,N(V1380)&lt;=0,N(Q1380)&lt;=0),"Menge pro Gebinde fehlt (Ist = 1 Gebinde); ","")&amp;BR1380)</f>
        <v>negativer Bestand (Export -19); Neu</v>
      </c>
      <c r="BK1380" s="48"/>
      <c r="BL1380" s="48"/>
      <c r="BM1380" s="55"/>
      <c r="BN1380" s="50" t="n">
        <v>-19</v>
      </c>
      <c r="BO1380" s="50" t="n">
        <v>32</v>
      </c>
      <c r="BP1380" s="49" t="n">
        <v>-2923.6</v>
      </c>
      <c r="BQ1380" s="50" t="n">
        <v>31</v>
      </c>
      <c r="BR1380" s="48" t="s">
        <v>630</v>
      </c>
      <c r="BS1380" s="53" t="n">
        <v>0</v>
      </c>
      <c r="BT1380" s="53" t="n">
        <v>1380</v>
      </c>
      <c r="BU1380" s="48" t="str">
        <f aca="false">IF(U1380&lt;&gt;"",UPPER(TRIM(U1380)),IF(BX1380=1,UPPER(VLOOKUP(T1380,Parameter!$I$27:$K$29,2,0)),IF(P1380="","LOSE",P1380)))</f>
        <v>S63</v>
      </c>
      <c r="BV1380" s="50" t="n">
        <f aca="false">IF(BU1380="LOSE",1,IF(N(V1380)&gt;0,V1380,IF(BX1380=1,MAX(1,N(VLOOKUP(T1380,Parameter!$I$27:$K$29,3,0)),H1380,N(N1380)),IF(N(Q1380)&gt;0,Q1380,MAX(1,H1380)))))</f>
        <v>14</v>
      </c>
      <c r="BW1380" s="53" t="n">
        <f aca="false">IF(BU1380="LOSE",1,0)</f>
        <v>0</v>
      </c>
      <c r="BX1380" s="53" t="n">
        <f aca="false">IF(AND(U1380="",OR(P1380="",P1380="LOSE"),T1380&lt;&gt;"",N(S1380)&lt;=0,ISNUMBER(MATCH(T1380,Parameter!$I$27:$I$29,0))),1,0)</f>
        <v>0</v>
      </c>
      <c r="BY1380" s="53" t="n">
        <f aca="false">IF(CL1380&gt;0,INDEX(Parameter!$H$5:$H$7,W1380)/INDEX(Parameter!$E$5:$E$7,W1380),IF(AND(BW1380=0,N(IFERROR(VLOOKUP(BU1380,'Gebinde-Kategorie'!$A$5:$N$45,14,0),0))&gt;0),VLOOKUP(BU1380,'Gebinde-Kategorie'!$A$5:$N$45,14,0)*10+Parameter!$M$23,Parameter!$M$24))</f>
        <v>345</v>
      </c>
      <c r="BZ1380" s="48" t="str">
        <f aca="false">IF(AND(Parameter!$B$19="Ja",E1380&lt;&gt;"",ISNUMBER(MATCH(E1380,Parameter!$I$35:$I$52,0))),VLOOKUP(E1380,Parameter!$I$35:$J$52,2,0),IFERROR(VLOOKUP(D1380,Parameter!$A$35:$C$64,2,0),"Nein"))</f>
        <v>2+3</v>
      </c>
      <c r="CA1380" s="52" t="n">
        <f aca="false">IF(BW1380=0,0,IF(N(S1380)&gt;0,S1380,IFERROR(VLOOKUP(D1380,Parameter!$A$35:$C$64,3,0)+0,0)))</f>
        <v>0</v>
      </c>
      <c r="CB1380" s="48" t="n">
        <f aca="false">IF(AA1380&lt;&gt;"",AA1380,Z1380)</f>
        <v>2</v>
      </c>
      <c r="CC1380" s="48" t="str">
        <f aca="false">IF(OR(CB1380=1,CB1380=2,CB1380=3),IF(Parameter!$E$27="Ja","LIFT",IF(CB1380=1,"L1","L23")),IF(CB1380="Aussen","Aussen","-"))</f>
        <v>LIFT</v>
      </c>
      <c r="CD1380" s="59" t="n">
        <f aca="false">IF(N(AB1380)&gt;0,AB1380,0)</f>
        <v>0</v>
      </c>
      <c r="CE1380" s="53" t="n">
        <f aca="false">IF(ISNUMBER(AE1380),1,0)</f>
        <v>0</v>
      </c>
      <c r="CF1380" s="50" t="n">
        <f aca="false">N(AE1380)</f>
        <v>0</v>
      </c>
      <c r="CG1380" s="50" t="n">
        <f aca="false">N(M1380)+N(N1380)</f>
        <v>25</v>
      </c>
      <c r="CH1380" s="50" t="n">
        <f aca="false">ROUNDUP(H1380/BV1380,0)</f>
        <v>1</v>
      </c>
      <c r="CI1380" s="50" t="n">
        <f aca="false">ROUNDUP(CF1380/BV1380,0)</f>
        <v>0</v>
      </c>
      <c r="CJ1380" s="53" t="n">
        <f aca="false">IF(BW1380=1,0,IFERROR(VLOOKUP(BU1380,'Gebinde-Kategorie'!$A$5:$N$45,5,0)+0,0))</f>
        <v>31</v>
      </c>
      <c r="CK1380" s="53" t="n">
        <f aca="false">IFERROR(IF(OR(CB1380=1,CB1380=2,CB1380=3),N(INDEX(Parameter!$I$5:$I$7,CB1380)),0),0)</f>
        <v>0</v>
      </c>
      <c r="CL1380" s="52" t="n">
        <f aca="false">IF(AND(Parameter!$B$21="Ja",ISNUMBER(W1380),N(X1380)&gt;0),IFERROR(N(INDEX(Parameter!$L$5:$L$7,W1380))*INDEX(Parameter!$E$5:$E$7,W1380)*X1380/SUMIFS($X$7:$X$1843,$W$7:$W$1843,W1380),0),0)</f>
        <v>0</v>
      </c>
    </row>
    <row r="1381" customFormat="false" ht="15" hidden="false" customHeight="false" outlineLevel="0" collapsed="false">
      <c r="A1381" s="48" t="s">
        <v>2435</v>
      </c>
      <c r="B1381" s="48" t="s">
        <v>1043</v>
      </c>
      <c r="C1381" s="48" t="s">
        <v>171</v>
      </c>
      <c r="D1381" s="48" t="s">
        <v>188</v>
      </c>
      <c r="E1381" s="48" t="s">
        <v>189</v>
      </c>
      <c r="F1381" s="48" t="s">
        <v>222</v>
      </c>
      <c r="G1381" s="49" t="n">
        <v>40.61</v>
      </c>
      <c r="H1381" s="50" t="n">
        <f aca="false">MAX(0,IF(AND(Parameter!$B$21="Ja",ISNUMBER(Y1381)),Y1381,IF(Parameter!$B$20="Jahresanfang 2025 + Export",BO1381+BN1381,BN1381)))</f>
        <v>20</v>
      </c>
      <c r="I1381" s="50" t="n">
        <f aca="false">H1381*G1381</f>
        <v>812.2</v>
      </c>
      <c r="J1381" s="50" t="n">
        <f aca="false">BQ1381*Parameter!$B$18</f>
        <v>88</v>
      </c>
      <c r="K1381" s="51" t="n">
        <v>56</v>
      </c>
      <c r="L1381" s="52" t="n">
        <v>1.57142857142857</v>
      </c>
      <c r="M1381" s="50" t="n">
        <v>0</v>
      </c>
      <c r="N1381" s="50" t="n">
        <v>75</v>
      </c>
      <c r="O1381" s="53" t="n">
        <v>21</v>
      </c>
      <c r="P1381" s="48" t="s">
        <v>230</v>
      </c>
      <c r="Q1381" s="50" t="n">
        <v>130</v>
      </c>
      <c r="R1381" s="53" t="n">
        <f aca="false">IF(BW1381=1,0,IFERROR(VLOOKUP(BU1381,'Gebinde-Kategorie'!$A$5:$N$45,13,0)+0,0))</f>
        <v>12</v>
      </c>
      <c r="S1381" s="54"/>
      <c r="T1381" s="55"/>
      <c r="U1381" s="55"/>
      <c r="V1381" s="55"/>
      <c r="W1381" s="48"/>
      <c r="X1381" s="50"/>
      <c r="Y1381" s="50"/>
      <c r="Z1381" s="48" t="n">
        <f aca="false">IF(A1381="","",IF(AND(Parameter!$B$21="Ja",ISNUMBER(W1381)),W1381,IF(BZ1381="2+3",IF(ISNUMBER(SEARCH("grosser Artikel",BR1381)),2,IFERROR(VLOOKUP(BU1381,Parameter!$F$35:$G$64,2,0),2)),IF(OR(BZ1381="Nein",BZ1381=""),"-",BZ1381))))</f>
        <v>2</v>
      </c>
      <c r="AA1381" s="55"/>
      <c r="AB1381" s="56"/>
      <c r="AC1381" s="50" t="n">
        <f aca="false">AT1381</f>
        <v>130</v>
      </c>
      <c r="AD1381" s="50" t="n">
        <f aca="false">MAX(AT1381,H1381)</f>
        <v>130</v>
      </c>
      <c r="AE1381" s="57"/>
      <c r="AF1381" s="50" t="n">
        <f aca="false">IF(LEFT(Cockpit!$C$5,1)="A",H1381,IF(CE1381=1,CF1381,IF(LEFT(Cockpit!$C$5,1)="B",AK1381,MAX(AK1381,H1381))))</f>
        <v>20</v>
      </c>
      <c r="AG1381" s="50" t="n">
        <f aca="false">IF(BW1381=1,0,ROUNDUP(AF1381/BV1381,0))</f>
        <v>1</v>
      </c>
      <c r="AH1381" s="52" t="n">
        <f aca="false">IF(CL1381&gt;0,CL1381*MAX(1,AF1381/X1381),IF(BW1381=1,IF(AF1381&lt;=0,0,CA1381*MAX(1,IF(H1381&gt;0,AF1381/H1381,1))),IF(R1381&gt;0,AG1381/R1381,0))/MAX(0.1,N(Parameter!$M$21)))</f>
        <v>0.0833333333333333</v>
      </c>
      <c r="AI1381" s="50" t="n">
        <f aca="false">AH1381*BY1381</f>
        <v>28.75</v>
      </c>
      <c r="AJ1381" s="50" t="n">
        <f aca="false">AF1381*G1381</f>
        <v>812.2</v>
      </c>
      <c r="AK1381" s="50" t="n">
        <f aca="false">ROUNDUP(MAX(J1381/IF(CD1381&gt;0,CD1381,MAX(0.1,N(Cockpit!$C$6))),CG1381)/BV1381,0)*BV1381</f>
        <v>130</v>
      </c>
      <c r="AL1381" s="51" t="n">
        <f aca="false">IF(AI1381&gt;0,J1381/AI1381,-1)</f>
        <v>3.06086956521739</v>
      </c>
      <c r="AM1381" s="51" t="n">
        <f aca="false">IF(AND(OR(CC1381="L1",CC1381="L23",CC1381="LIFT"),AI1381&gt;0),SUMIFS($AI$7:$AI$1843,$CC$7:$CC$1843,CC1381,$AL$7:$AL$1843,"&gt;"&amp;AL1381)+SUMIFS($AI$7:$AI$1843,$CC$7:$CC$1843,CC1381,$AL$7:$AL$1843,AL1381,$BT$7:$BT$1843,"&lt;="&amp;BT1381),"")</f>
        <v>5069.83470695971</v>
      </c>
      <c r="AN1381" s="58" t="n">
        <f aca="false">IF(AM1381="",0,MAX(0,MIN(1,(IF(CC1381="L1",Parameter!$H$5,IF(CC1381="L23",Parameter!$H$6+Parameter!$H$7,Parameter!$H$5+Parameter!$H$6+Parameter!$H$7))-(AM1381-AI1381))/AI1381)))</f>
        <v>1</v>
      </c>
      <c r="AO1381" s="50" t="n">
        <f aca="false">IF(LEFT(Cockpit!$I$5,1)="A",H1381,IF(CE1381=1,CF1381,IF(LEFT(Cockpit!$I$5,1)="B",AT1381,MAX(AT1381,H1381))))</f>
        <v>130</v>
      </c>
      <c r="AP1381" s="50" t="n">
        <f aca="false">IF(BW1381=1,0,ROUNDUP(AO1381/BV1381,0))</f>
        <v>1</v>
      </c>
      <c r="AQ1381" s="52" t="n">
        <f aca="false">IF(CL1381&gt;0,CL1381*MAX(1,AO1381/X1381),IF(BW1381=1,IF(AO1381&lt;=0,0,CA1381*MAX(1,IF(H1381&gt;0,AO1381/H1381,1))),IF(R1381&gt;0,AP1381/R1381,0))/MAX(0.1,N(Parameter!$M$21)))</f>
        <v>0.0833333333333333</v>
      </c>
      <c r="AR1381" s="50" t="n">
        <f aca="false">AQ1381*BY1381</f>
        <v>28.75</v>
      </c>
      <c r="AS1381" s="50" t="n">
        <f aca="false">AO1381*G1381</f>
        <v>5279.3</v>
      </c>
      <c r="AT1381" s="50" t="n">
        <f aca="false">ROUNDUP(MAX(J1381/IF(CD1381&gt;0,CD1381,MAX(0.1,N(Cockpit!$I$6))),CG1381)/BV1381,0)*BV1381</f>
        <v>130</v>
      </c>
      <c r="AU1381" s="51" t="n">
        <f aca="false">IF(AR1381&gt;0,J1381/AR1381,-1)</f>
        <v>3.06086956521739</v>
      </c>
      <c r="AV1381" s="51" t="n">
        <f aca="false">IF(AND(OR(CC1381="L1",CC1381="L23",CC1381="LIFT"),AR1381&gt;0),SUMIFS($AR$7:$AR$1843,$CC$7:$CC$1843,CC1381,$AU$7:$AU$1843,"&gt;"&amp;AU1381)+SUMIFS($AR$7:$AR$1843,$CC$7:$CC$1843,CC1381,$AU$7:$AU$1843,AU1381,$BT$7:$BT$1843,"&lt;="&amp;BT1381),"")</f>
        <v>6258.32509157509</v>
      </c>
      <c r="AW1381" s="58" t="n">
        <f aca="false">IF(AV1381="",0,MAX(0,MIN(1,(IF(CC1381="L1",Parameter!$H$5,IF(CC1381="L23",Parameter!$H$6+Parameter!$H$7,Parameter!$H$5+Parameter!$H$6+Parameter!$H$7))-(AV1381-AR1381))/AR1381)))</f>
        <v>1</v>
      </c>
      <c r="AX1381" s="50" t="n">
        <f aca="false">IF(LEFT(Cockpit!$O$5,1)="A",H1381,IF(CE1381=1,CF1381,IF(LEFT(Cockpit!$O$5,1)="B",BC1381,MAX(BC1381,H1381))))</f>
        <v>130</v>
      </c>
      <c r="AY1381" s="50" t="n">
        <f aca="false">IF(BW1381=1,0,ROUNDUP(AX1381/BV1381,0))</f>
        <v>1</v>
      </c>
      <c r="AZ1381" s="52" t="n">
        <f aca="false">IF(CL1381&gt;0,CL1381*MAX(1,AX1381/X1381),IF(BW1381=1,IF(AX1381&lt;=0,0,CA1381*MAX(1,IF(H1381&gt;0,AX1381/H1381,1))),IF(R1381&gt;0,AY1381/R1381,0))/MAX(0.1,N(Parameter!$M$21)))</f>
        <v>0.0833333333333333</v>
      </c>
      <c r="BA1381" s="50" t="n">
        <f aca="false">AZ1381*BY1381</f>
        <v>28.75</v>
      </c>
      <c r="BB1381" s="50" t="n">
        <f aca="false">AX1381*G1381</f>
        <v>5279.3</v>
      </c>
      <c r="BC1381" s="50" t="n">
        <f aca="false">ROUNDUP(MAX(J1381/IF(CD1381&gt;0,CD1381,MAX(0.1,N(Cockpit!$O$6))),CG1381)/BV1381,0)*BV1381</f>
        <v>130</v>
      </c>
      <c r="BD1381" s="51" t="n">
        <f aca="false">IF(BA1381&gt;0,J1381/BA1381,-1)</f>
        <v>3.06086956521739</v>
      </c>
      <c r="BE1381" s="51" t="n">
        <f aca="false">IF(AND(OR(CC1381="L1",CC1381="L23",CC1381="LIFT"),BA1381&gt;0),SUMIFS($BA$7:$BA$1843,$CC$7:$CC$1843,CC1381,$BD$7:$BD$1843,"&gt;"&amp;BD1381)+SUMIFS($BA$7:$BA$1843,$CC$7:$CC$1843,CC1381,$BD$7:$BD$1843,BD1381,$BT$7:$BT$1843,"&lt;="&amp;BT1381),"")</f>
        <v>6246.16163003663</v>
      </c>
      <c r="BF1381" s="58" t="n">
        <f aca="false">IF(BE1381="",0,MAX(0,MIN(1,(IF(CC1381="L1",Parameter!$H$5,IF(CC1381="L23",Parameter!$H$6+Parameter!$H$7,Parameter!$H$5+Parameter!$H$6+Parameter!$H$7))-(BE1381-BA1381))/BA1381)))</f>
        <v>1</v>
      </c>
      <c r="BG1381" s="48" t="str">
        <f aca="false">IF(AI1381&lt;=0,"",IF(CC1381="Aussen","Aussenlager",IF(CC1381="-","Nicht im Lift",IF(AN1381&gt;=1,"Lift",IF(AN1381&lt;=0,"Aussenlager","teilweise")))))</f>
        <v>Lift</v>
      </c>
      <c r="BH1381" s="48" t="str">
        <f aca="false">IF(AR1381&lt;=0,"",IF(CC1381="Aussen","Aussenlager",IF(CC1381="-","Nicht im Lift",IF(AW1381&gt;=1,"Lift",IF(AW1381&lt;=0,"Aussenlager","teilweise")))))</f>
        <v>Lift</v>
      </c>
      <c r="BI1381" s="48" t="str">
        <f aca="false">IF(BA1381&lt;=0,"",IF(CC1381="Aussen","Aussenlager",IF(CC1381="-","Nicht im Lift",IF(BF1381&gt;=1,"Lift",IF(BF1381&lt;=0,"Aussenlager","teilweise")))))</f>
        <v>Lift</v>
      </c>
      <c r="BJ1381" s="48" t="str">
        <f aca="false">IF(A1381="","",IF(BS1381=1,"Neu; ","")&amp;IF(AND(BS1381=0,BN1381&lt;0),"negativer Bestand (Export "&amp;BN1381&amp;"); ","")&amp;IF(J1381&lt;=0,"Kein Verbrauch; ","")&amp;IF(CL1381&gt;0,"Lift "&amp;W1381&amp;" lt. Liftbericht (Fach "&amp;X1381&amp;" Stk); ",IF(BX1381=1,"Gebinde geschätzt ("&amp;T1381&amp;"); ",IF(BW1381=1,"Lose – Tablare geschätzt; ","")))&amp;IF(H1381&gt;AT1381,"Überbestand "&amp;ROUND(H1381-AT1381,0)&amp;" Stk / CHF "&amp;ROUND((H1381-AT1381)*G1381,0)&amp;"; ","")&amp;IF(AND(CE1381=1,CF1381&lt;CG1381),"MAX &lt; MB+LG; ","")&amp;IF(AND(CK1381&gt;0,CJ1381*10&gt;CK1381),"zu hoch für Tablar; ","")&amp;IF(AND(BS1381=0,OR(CE1381=1,AA1381&lt;&gt;"",U1381&lt;&gt;"",V1381&lt;&gt;"",AB1381&lt;&gt;"")),"manuell übersteuert; ","")&amp;IF(AND(BW1381=0,R1381=0),"Gebinde unbekannt / Stellmass fehlt; ","")&amp;IF(AND(BW1381=0,N(V1381)&lt;=0,N(Q1381)&lt;=0),"Menge pro Gebinde fehlt (Ist = 1 Gebinde); ","")&amp;BR1381)</f>
        <v>negativer Bestand (Export -72); </v>
      </c>
      <c r="BK1381" s="48"/>
      <c r="BL1381" s="48"/>
      <c r="BM1381" s="55"/>
      <c r="BN1381" s="50" t="n">
        <v>-72</v>
      </c>
      <c r="BO1381" s="50" t="n">
        <v>92</v>
      </c>
      <c r="BP1381" s="49" t="n">
        <v>-2923.92</v>
      </c>
      <c r="BQ1381" s="50" t="n">
        <v>88</v>
      </c>
      <c r="BR1381" s="48"/>
      <c r="BS1381" s="53" t="n">
        <v>0</v>
      </c>
      <c r="BT1381" s="53" t="n">
        <v>1381</v>
      </c>
      <c r="BU1381" s="48" t="str">
        <f aca="false">IF(U1381&lt;&gt;"",UPPER(TRIM(U1381)),IF(BX1381=1,UPPER(VLOOKUP(T1381,Parameter!$I$27:$K$29,2,0)),IF(P1381="","LOSE",P1381)))</f>
        <v>S63</v>
      </c>
      <c r="BV1381" s="50" t="n">
        <f aca="false">IF(BU1381="LOSE",1,IF(N(V1381)&gt;0,V1381,IF(BX1381=1,MAX(1,N(VLOOKUP(T1381,Parameter!$I$27:$K$29,3,0)),H1381,N(N1381)),IF(N(Q1381)&gt;0,Q1381,MAX(1,H1381)))))</f>
        <v>130</v>
      </c>
      <c r="BW1381" s="53" t="n">
        <f aca="false">IF(BU1381="LOSE",1,0)</f>
        <v>0</v>
      </c>
      <c r="BX1381" s="53" t="n">
        <f aca="false">IF(AND(U1381="",OR(P1381="",P1381="LOSE"),T1381&lt;&gt;"",N(S1381)&lt;=0,ISNUMBER(MATCH(T1381,Parameter!$I$27:$I$29,0))),1,0)</f>
        <v>0</v>
      </c>
      <c r="BY1381" s="53" t="n">
        <f aca="false">IF(CL1381&gt;0,INDEX(Parameter!$H$5:$H$7,W1381)/INDEX(Parameter!$E$5:$E$7,W1381),IF(AND(BW1381=0,N(IFERROR(VLOOKUP(BU1381,'Gebinde-Kategorie'!$A$5:$N$45,14,0),0))&gt;0),VLOOKUP(BU1381,'Gebinde-Kategorie'!$A$5:$N$45,14,0)*10+Parameter!$M$23,Parameter!$M$24))</f>
        <v>345</v>
      </c>
      <c r="BZ1381" s="48" t="str">
        <f aca="false">IF(AND(Parameter!$B$19="Ja",E1381&lt;&gt;"",ISNUMBER(MATCH(E1381,Parameter!$I$35:$I$52,0))),VLOOKUP(E1381,Parameter!$I$35:$J$52,2,0),IFERROR(VLOOKUP(D1381,Parameter!$A$35:$C$64,2,0),"Nein"))</f>
        <v>2+3</v>
      </c>
      <c r="CA1381" s="52" t="n">
        <f aca="false">IF(BW1381=0,0,IF(N(S1381)&gt;0,S1381,IFERROR(VLOOKUP(D1381,Parameter!$A$35:$C$64,3,0)+0,0)))</f>
        <v>0</v>
      </c>
      <c r="CB1381" s="48" t="n">
        <f aca="false">IF(AA1381&lt;&gt;"",AA1381,Z1381)</f>
        <v>2</v>
      </c>
      <c r="CC1381" s="48" t="str">
        <f aca="false">IF(OR(CB1381=1,CB1381=2,CB1381=3),IF(Parameter!$E$27="Ja","LIFT",IF(CB1381=1,"L1","L23")),IF(CB1381="Aussen","Aussen","-"))</f>
        <v>LIFT</v>
      </c>
      <c r="CD1381" s="59" t="n">
        <f aca="false">IF(N(AB1381)&gt;0,AB1381,0)</f>
        <v>0</v>
      </c>
      <c r="CE1381" s="53" t="n">
        <f aca="false">IF(ISNUMBER(AE1381),1,0)</f>
        <v>0</v>
      </c>
      <c r="CF1381" s="50" t="n">
        <f aca="false">N(AE1381)</f>
        <v>0</v>
      </c>
      <c r="CG1381" s="50" t="n">
        <f aca="false">N(M1381)+N(N1381)</f>
        <v>75</v>
      </c>
      <c r="CH1381" s="50" t="n">
        <f aca="false">ROUNDUP(H1381/BV1381,0)</f>
        <v>1</v>
      </c>
      <c r="CI1381" s="50" t="n">
        <f aca="false">ROUNDUP(CF1381/BV1381,0)</f>
        <v>0</v>
      </c>
      <c r="CJ1381" s="53" t="n">
        <f aca="false">IF(BW1381=1,0,IFERROR(VLOOKUP(BU1381,'Gebinde-Kategorie'!$A$5:$N$45,5,0)+0,0))</f>
        <v>31</v>
      </c>
      <c r="CK1381" s="53" t="n">
        <f aca="false">IFERROR(IF(OR(CB1381=1,CB1381=2,CB1381=3),N(INDEX(Parameter!$I$5:$I$7,CB1381)),0),0)</f>
        <v>0</v>
      </c>
      <c r="CL1381" s="52" t="n">
        <f aca="false">IF(AND(Parameter!$B$21="Ja",ISNUMBER(W1381),N(X1381)&gt;0),IFERROR(N(INDEX(Parameter!$L$5:$L$7,W1381))*INDEX(Parameter!$E$5:$E$7,W1381)*X1381/SUMIFS($X$7:$X$1843,$W$7:$W$1843,W1381),0),0)</f>
        <v>0</v>
      </c>
    </row>
    <row r="1382" customFormat="false" ht="15" hidden="false" customHeight="false" outlineLevel="0" collapsed="false">
      <c r="A1382" s="48" t="s">
        <v>2436</v>
      </c>
      <c r="B1382" s="48" t="s">
        <v>417</v>
      </c>
      <c r="C1382" s="48" t="s">
        <v>168</v>
      </c>
      <c r="D1382" s="48" t="s">
        <v>177</v>
      </c>
      <c r="E1382" s="48"/>
      <c r="F1382" s="48" t="s">
        <v>222</v>
      </c>
      <c r="G1382" s="49" t="n">
        <v>199.67</v>
      </c>
      <c r="H1382" s="50" t="n">
        <f aca="false">MAX(0,IF(AND(Parameter!$B$21="Ja",ISNUMBER(Y1382)),Y1382,IF(Parameter!$B$20="Jahresanfang 2025 + Export",BO1382+BN1382,BN1382)))</f>
        <v>0</v>
      </c>
      <c r="I1382" s="50" t="n">
        <f aca="false">H1382*G1382</f>
        <v>0</v>
      </c>
      <c r="J1382" s="50" t="n">
        <f aca="false">BQ1382*Parameter!$B$18</f>
        <v>33</v>
      </c>
      <c r="K1382" s="51" t="n">
        <v>8</v>
      </c>
      <c r="L1382" s="52" t="n">
        <v>4.125</v>
      </c>
      <c r="M1382" s="50" t="n">
        <v>0</v>
      </c>
      <c r="N1382" s="50" t="n">
        <v>15</v>
      </c>
      <c r="O1382" s="53" t="n">
        <v>14</v>
      </c>
      <c r="P1382" s="48" t="s">
        <v>237</v>
      </c>
      <c r="Q1382" s="50" t="n">
        <v>6</v>
      </c>
      <c r="R1382" s="53" t="n">
        <f aca="false">IF(BW1382=1,0,IFERROR(VLOOKUP(BU1382,'Gebinde-Kategorie'!$A$5:$N$45,13,0)+0,0))</f>
        <v>26</v>
      </c>
      <c r="S1382" s="54"/>
      <c r="T1382" s="55"/>
      <c r="U1382" s="55"/>
      <c r="V1382" s="55"/>
      <c r="W1382" s="48"/>
      <c r="X1382" s="50"/>
      <c r="Y1382" s="50"/>
      <c r="Z1382" s="48" t="n">
        <f aca="false">IF(A1382="","",IF(AND(Parameter!$B$21="Ja",ISNUMBER(W1382)),W1382,IF(BZ1382="2+3",IF(ISNUMBER(SEARCH("grosser Artikel",BR1382)),2,IFERROR(VLOOKUP(BU1382,Parameter!$F$35:$G$64,2,0),2)),IF(OR(BZ1382="Nein",BZ1382=""),"-",BZ1382))))</f>
        <v>3</v>
      </c>
      <c r="AA1382" s="55"/>
      <c r="AB1382" s="56"/>
      <c r="AC1382" s="50" t="n">
        <f aca="false">AT1382</f>
        <v>18</v>
      </c>
      <c r="AD1382" s="50" t="n">
        <f aca="false">MAX(AT1382,H1382)</f>
        <v>18</v>
      </c>
      <c r="AE1382" s="57"/>
      <c r="AF1382" s="50" t="n">
        <f aca="false">IF(LEFT(Cockpit!$C$5,1)="A",H1382,IF(CE1382=1,CF1382,IF(LEFT(Cockpit!$C$5,1)="B",AK1382,MAX(AK1382,H1382))))</f>
        <v>0</v>
      </c>
      <c r="AG1382" s="50" t="n">
        <f aca="false">IF(BW1382=1,0,ROUNDUP(AF1382/BV1382,0))</f>
        <v>0</v>
      </c>
      <c r="AH1382" s="52" t="n">
        <f aca="false">IF(CL1382&gt;0,CL1382*MAX(1,AF1382/X1382),IF(BW1382=1,IF(AF1382&lt;=0,0,CA1382*MAX(1,IF(H1382&gt;0,AF1382/H1382,1))),IF(R1382&gt;0,AG1382/R1382,0))/MAX(0.1,N(Parameter!$M$21)))</f>
        <v>0</v>
      </c>
      <c r="AI1382" s="50" t="n">
        <f aca="false">AH1382*BY1382</f>
        <v>0</v>
      </c>
      <c r="AJ1382" s="50" t="n">
        <f aca="false">AF1382*G1382</f>
        <v>0</v>
      </c>
      <c r="AK1382" s="50" t="n">
        <f aca="false">ROUNDUP(MAX(J1382/IF(CD1382&gt;0,CD1382,MAX(0.1,N(Cockpit!$C$6))),CG1382)/BV1382,0)*BV1382</f>
        <v>18</v>
      </c>
      <c r="AL1382" s="51" t="n">
        <f aca="false">IF(AI1382&gt;0,J1382/AI1382,-1)</f>
        <v>-1</v>
      </c>
      <c r="AM1382" s="51" t="str">
        <f aca="false">IF(AND(OR(CC1382="L1",CC1382="L23",CC1382="LIFT"),AI1382&gt;0),SUMIFS($AI$7:$AI$1843,$CC$7:$CC$1843,CC1382,$AL$7:$AL$1843,"&gt;"&amp;AL1382)+SUMIFS($AI$7:$AI$1843,$CC$7:$CC$1843,CC1382,$AL$7:$AL$1843,AL1382,$BT$7:$BT$1843,"&lt;="&amp;BT1382),"")</f>
        <v/>
      </c>
      <c r="AN1382" s="58" t="n">
        <f aca="false">IF(AM1382="",0,MAX(0,MIN(1,(IF(CC1382="L1",Parameter!$H$5,IF(CC1382="L23",Parameter!$H$6+Parameter!$H$7,Parameter!$H$5+Parameter!$H$6+Parameter!$H$7))-(AM1382-AI1382))/AI1382)))</f>
        <v>0</v>
      </c>
      <c r="AO1382" s="50" t="n">
        <f aca="false">IF(LEFT(Cockpit!$I$5,1)="A",H1382,IF(CE1382=1,CF1382,IF(LEFT(Cockpit!$I$5,1)="B",AT1382,MAX(AT1382,H1382))))</f>
        <v>18</v>
      </c>
      <c r="AP1382" s="50" t="n">
        <f aca="false">IF(BW1382=1,0,ROUNDUP(AO1382/BV1382,0))</f>
        <v>3</v>
      </c>
      <c r="AQ1382" s="52" t="n">
        <f aca="false">IF(CL1382&gt;0,CL1382*MAX(1,AO1382/X1382),IF(BW1382=1,IF(AO1382&lt;=0,0,CA1382*MAX(1,IF(H1382&gt;0,AO1382/H1382,1))),IF(R1382&gt;0,AP1382/R1382,0))/MAX(0.1,N(Parameter!$M$21)))</f>
        <v>0.115384615384615</v>
      </c>
      <c r="AR1382" s="50" t="n">
        <f aca="false">AQ1382*BY1382</f>
        <v>28.2692307692308</v>
      </c>
      <c r="AS1382" s="50" t="n">
        <f aca="false">AO1382*G1382</f>
        <v>3594.06</v>
      </c>
      <c r="AT1382" s="50" t="n">
        <f aca="false">ROUNDUP(MAX(J1382/IF(CD1382&gt;0,CD1382,MAX(0.1,N(Cockpit!$I$6))),CG1382)/BV1382,0)*BV1382</f>
        <v>18</v>
      </c>
      <c r="AU1382" s="51" t="n">
        <f aca="false">IF(AR1382&gt;0,J1382/AR1382,-1)</f>
        <v>1.16734693877551</v>
      </c>
      <c r="AV1382" s="51" t="n">
        <f aca="false">IF(AND(OR(CC1382="L1",CC1382="L23",CC1382="LIFT"),AR1382&gt;0),SUMIFS($AR$7:$AR$1843,$CC$7:$CC$1843,CC1382,$AU$7:$AU$1843,"&gt;"&amp;AU1382)+SUMIFS($AR$7:$AR$1843,$CC$7:$CC$1843,CC1382,$AU$7:$AU$1843,AU1382,$BT$7:$BT$1843,"&lt;="&amp;BT1382),"")</f>
        <v>9873.52655677656</v>
      </c>
      <c r="AW1382" s="58" t="n">
        <f aca="false">IF(AV1382="",0,MAX(0,MIN(1,(IF(CC1382="L1",Parameter!$H$5,IF(CC1382="L23",Parameter!$H$6+Parameter!$H$7,Parameter!$H$5+Parameter!$H$6+Parameter!$H$7))-(AV1382-AR1382))/AR1382)))</f>
        <v>1</v>
      </c>
      <c r="AX1382" s="50" t="n">
        <f aca="false">IF(LEFT(Cockpit!$O$5,1)="A",H1382,IF(CE1382=1,CF1382,IF(LEFT(Cockpit!$O$5,1)="B",BC1382,MAX(BC1382,H1382))))</f>
        <v>18</v>
      </c>
      <c r="AY1382" s="50" t="n">
        <f aca="false">IF(BW1382=1,0,ROUNDUP(AX1382/BV1382,0))</f>
        <v>3</v>
      </c>
      <c r="AZ1382" s="52" t="n">
        <f aca="false">IF(CL1382&gt;0,CL1382*MAX(1,AX1382/X1382),IF(BW1382=1,IF(AX1382&lt;=0,0,CA1382*MAX(1,IF(H1382&gt;0,AX1382/H1382,1))),IF(R1382&gt;0,AY1382/R1382,0))/MAX(0.1,N(Parameter!$M$21)))</f>
        <v>0.115384615384615</v>
      </c>
      <c r="BA1382" s="50" t="n">
        <f aca="false">AZ1382*BY1382</f>
        <v>28.2692307692308</v>
      </c>
      <c r="BB1382" s="50" t="n">
        <f aca="false">AX1382*G1382</f>
        <v>3594.06</v>
      </c>
      <c r="BC1382" s="50" t="n">
        <f aca="false">ROUNDUP(MAX(J1382/IF(CD1382&gt;0,CD1382,MAX(0.1,N(Cockpit!$O$6))),CG1382)/BV1382,0)*BV1382</f>
        <v>18</v>
      </c>
      <c r="BD1382" s="51" t="n">
        <f aca="false">IF(BA1382&gt;0,J1382/BA1382,-1)</f>
        <v>1.16734693877551</v>
      </c>
      <c r="BE1382" s="51" t="n">
        <f aca="false">IF(AND(OR(CC1382="L1",CC1382="L23",CC1382="LIFT"),BA1382&gt;0),SUMIFS($BA$7:$BA$1843,$CC$7:$CC$1843,CC1382,$BD$7:$BD$1843,"&gt;"&amp;BD1382)+SUMIFS($BA$7:$BA$1843,$CC$7:$CC$1843,CC1382,$BD$7:$BD$1843,BD1382,$BT$7:$BT$1843,"&lt;="&amp;BT1382),"")</f>
        <v>8884.18360805861</v>
      </c>
      <c r="BF1382" s="58" t="n">
        <f aca="false">IF(BE1382="",0,MAX(0,MIN(1,(IF(CC1382="L1",Parameter!$H$5,IF(CC1382="L23",Parameter!$H$6+Parameter!$H$7,Parameter!$H$5+Parameter!$H$6+Parameter!$H$7))-(BE1382-BA1382))/BA1382)))</f>
        <v>1</v>
      </c>
      <c r="BG1382" s="48" t="str">
        <f aca="false">IF(AI1382&lt;=0,"",IF(CC1382="Aussen","Aussenlager",IF(CC1382="-","Nicht im Lift",IF(AN1382&gt;=1,"Lift",IF(AN1382&lt;=0,"Aussenlager","teilweise")))))</f>
        <v/>
      </c>
      <c r="BH1382" s="48" t="str">
        <f aca="false">IF(AR1382&lt;=0,"",IF(CC1382="Aussen","Aussenlager",IF(CC1382="-","Nicht im Lift",IF(AW1382&gt;=1,"Lift",IF(AW1382&lt;=0,"Aussenlager","teilweise")))))</f>
        <v>Lift</v>
      </c>
      <c r="BI1382" s="48" t="str">
        <f aca="false">IF(BA1382&lt;=0,"",IF(CC1382="Aussen","Aussenlager",IF(CC1382="-","Nicht im Lift",IF(BF1382&gt;=1,"Lift",IF(BF1382&lt;=0,"Aussenlager","teilweise")))))</f>
        <v>Lift</v>
      </c>
      <c r="BJ1382" s="48" t="str">
        <f aca="false">IF(A1382="","",IF(BS1382=1,"Neu; ","")&amp;IF(AND(BS1382=0,BN1382&lt;0),"negativer Bestand (Export "&amp;BN1382&amp;"); ","")&amp;IF(J1382&lt;=0,"Kein Verbrauch; ","")&amp;IF(CL1382&gt;0,"Lift "&amp;W1382&amp;" lt. Liftbericht (Fach "&amp;X1382&amp;" Stk); ",IF(BX1382=1,"Gebinde geschätzt ("&amp;T1382&amp;"); ",IF(BW1382=1,"Lose – Tablare geschätzt; ","")))&amp;IF(H1382&gt;AT1382,"Überbestand "&amp;ROUND(H1382-AT1382,0)&amp;" Stk / CHF "&amp;ROUND((H1382-AT1382)*G1382,0)&amp;"; ","")&amp;IF(AND(CE1382=1,CF1382&lt;CG1382),"MAX &lt; MB+LG; ","")&amp;IF(AND(CK1382&gt;0,CJ1382*10&gt;CK1382),"zu hoch für Tablar; ","")&amp;IF(AND(BS1382=0,OR(CE1382=1,AA1382&lt;&gt;"",U1382&lt;&gt;"",V1382&lt;&gt;"",AB1382&lt;&gt;"")),"manuell übersteuert; ","")&amp;IF(AND(BW1382=0,R1382=0),"Gebinde unbekannt / Stellmass fehlt; ","")&amp;IF(AND(BW1382=0,N(V1382)&lt;=0,N(Q1382)&lt;=0),"Menge pro Gebinde fehlt (Ist = 1 Gebinde); ","")&amp;BR1382)</f>
        <v>negativer Bestand (Export -16); </v>
      </c>
      <c r="BK1382" s="48"/>
      <c r="BL1382" s="48"/>
      <c r="BM1382" s="55"/>
      <c r="BN1382" s="50" t="n">
        <v>-16</v>
      </c>
      <c r="BO1382" s="50" t="n">
        <v>16</v>
      </c>
      <c r="BP1382" s="49" t="n">
        <v>-3000</v>
      </c>
      <c r="BQ1382" s="50" t="n">
        <v>33</v>
      </c>
      <c r="BR1382" s="48"/>
      <c r="BS1382" s="53" t="n">
        <v>0</v>
      </c>
      <c r="BT1382" s="53" t="n">
        <v>1382</v>
      </c>
      <c r="BU1382" s="48" t="str">
        <f aca="false">IF(U1382&lt;&gt;"",UPPER(TRIM(U1382)),IF(BX1382=1,UPPER(VLOOKUP(T1382,Parameter!$I$27:$K$29,2,0)),IF(P1382="","LOSE",P1382)))</f>
        <v>S52</v>
      </c>
      <c r="BV1382" s="50" t="n">
        <f aca="false">IF(BU1382="LOSE",1,IF(N(V1382)&gt;0,V1382,IF(BX1382=1,MAX(1,N(VLOOKUP(T1382,Parameter!$I$27:$K$29,3,0)),H1382,N(N1382)),IF(N(Q1382)&gt;0,Q1382,MAX(1,H1382)))))</f>
        <v>6</v>
      </c>
      <c r="BW1382" s="53" t="n">
        <f aca="false">IF(BU1382="LOSE",1,0)</f>
        <v>0</v>
      </c>
      <c r="BX1382" s="53" t="n">
        <f aca="false">IF(AND(U1382="",OR(P1382="",P1382="LOSE"),T1382&lt;&gt;"",N(S1382)&lt;=0,ISNUMBER(MATCH(T1382,Parameter!$I$27:$I$29,0))),1,0)</f>
        <v>0</v>
      </c>
      <c r="BY1382" s="53" t="n">
        <f aca="false">IF(CL1382&gt;0,INDEX(Parameter!$H$5:$H$7,W1382)/INDEX(Parameter!$E$5:$E$7,W1382),IF(AND(BW1382=0,N(IFERROR(VLOOKUP(BU1382,'Gebinde-Kategorie'!$A$5:$N$45,14,0),0))&gt;0),VLOOKUP(BU1382,'Gebinde-Kategorie'!$A$5:$N$45,14,0)*10+Parameter!$M$23,Parameter!$M$24))</f>
        <v>245</v>
      </c>
      <c r="BZ1382" s="48" t="str">
        <f aca="false">IF(AND(Parameter!$B$19="Ja",E1382&lt;&gt;"",ISNUMBER(MATCH(E1382,Parameter!$I$35:$I$52,0))),VLOOKUP(E1382,Parameter!$I$35:$J$52,2,0),IFERROR(VLOOKUP(D1382,Parameter!$A$35:$C$64,2,0),"Nein"))</f>
        <v>2+3</v>
      </c>
      <c r="CA1382" s="52" t="n">
        <f aca="false">IF(BW1382=0,0,IF(N(S1382)&gt;0,S1382,IFERROR(VLOOKUP(D1382,Parameter!$A$35:$C$64,3,0)+0,0)))</f>
        <v>0</v>
      </c>
      <c r="CB1382" s="48" t="n">
        <f aca="false">IF(AA1382&lt;&gt;"",AA1382,Z1382)</f>
        <v>3</v>
      </c>
      <c r="CC1382" s="48" t="str">
        <f aca="false">IF(OR(CB1382=1,CB1382=2,CB1382=3),IF(Parameter!$E$27="Ja","LIFT",IF(CB1382=1,"L1","L23")),IF(CB1382="Aussen","Aussen","-"))</f>
        <v>LIFT</v>
      </c>
      <c r="CD1382" s="59" t="n">
        <f aca="false">IF(N(AB1382)&gt;0,AB1382,0)</f>
        <v>0</v>
      </c>
      <c r="CE1382" s="53" t="n">
        <f aca="false">IF(ISNUMBER(AE1382),1,0)</f>
        <v>0</v>
      </c>
      <c r="CF1382" s="50" t="n">
        <f aca="false">N(AE1382)</f>
        <v>0</v>
      </c>
      <c r="CG1382" s="50" t="n">
        <f aca="false">N(M1382)+N(N1382)</f>
        <v>15</v>
      </c>
      <c r="CH1382" s="50" t="n">
        <f aca="false">ROUNDUP(H1382/BV1382,0)</f>
        <v>0</v>
      </c>
      <c r="CI1382" s="50" t="n">
        <f aca="false">ROUNDUP(CF1382/BV1382,0)</f>
        <v>0</v>
      </c>
      <c r="CJ1382" s="53" t="n">
        <f aca="false">IF(BW1382=1,0,IFERROR(VLOOKUP(BU1382,'Gebinde-Kategorie'!$A$5:$N$45,5,0)+0,0))</f>
        <v>21</v>
      </c>
      <c r="CK1382" s="53" t="n">
        <f aca="false">IFERROR(IF(OR(CB1382=1,CB1382=2,CB1382=3),N(INDEX(Parameter!$I$5:$I$7,CB1382)),0),0)</f>
        <v>0</v>
      </c>
      <c r="CL1382" s="52" t="n">
        <f aca="false">IF(AND(Parameter!$B$21="Ja",ISNUMBER(W1382),N(X1382)&gt;0),IFERROR(N(INDEX(Parameter!$L$5:$L$7,W1382))*INDEX(Parameter!$E$5:$E$7,W1382)*X1382/SUMIFS($X$7:$X$1843,$W$7:$W$1843,W1382),0),0)</f>
        <v>0</v>
      </c>
    </row>
    <row r="1383" customFormat="false" ht="15" hidden="false" customHeight="false" outlineLevel="0" collapsed="false">
      <c r="A1383" s="48" t="s">
        <v>2437</v>
      </c>
      <c r="B1383" s="48" t="s">
        <v>409</v>
      </c>
      <c r="C1383" s="48" t="s">
        <v>168</v>
      </c>
      <c r="D1383" s="48" t="s">
        <v>177</v>
      </c>
      <c r="E1383" s="48" t="s">
        <v>189</v>
      </c>
      <c r="F1383" s="48" t="s">
        <v>222</v>
      </c>
      <c r="G1383" s="49" t="n">
        <v>2.62</v>
      </c>
      <c r="H1383" s="50" t="n">
        <f aca="false">MAX(0,IF(AND(Parameter!$B$21="Ja",ISNUMBER(Y1383)),Y1383,IF(Parameter!$B$20="Jahresanfang 2025 + Export",BO1383+BN1383,BN1383)))</f>
        <v>1453</v>
      </c>
      <c r="I1383" s="50" t="n">
        <f aca="false">H1383*G1383</f>
        <v>3806.86</v>
      </c>
      <c r="J1383" s="50" t="n">
        <f aca="false">BQ1383*Parameter!$B$18</f>
        <v>2095</v>
      </c>
      <c r="K1383" s="51" t="n">
        <v>1741</v>
      </c>
      <c r="L1383" s="52" t="n">
        <v>1.20333141872487</v>
      </c>
      <c r="M1383" s="50" t="n">
        <v>122</v>
      </c>
      <c r="N1383" s="50" t="n">
        <v>400</v>
      </c>
      <c r="O1383" s="53" t="n">
        <v>21</v>
      </c>
      <c r="P1383" s="48" t="s">
        <v>178</v>
      </c>
      <c r="Q1383" s="50" t="n">
        <v>576</v>
      </c>
      <c r="R1383" s="53" t="n">
        <f aca="false">IF(BW1383=1,0,IFERROR(VLOOKUP(BU1383,'Gebinde-Kategorie'!$A$5:$N$45,13,0)+0,0))</f>
        <v>6</v>
      </c>
      <c r="S1383" s="54"/>
      <c r="T1383" s="55"/>
      <c r="U1383" s="55"/>
      <c r="V1383" s="55"/>
      <c r="W1383" s="48"/>
      <c r="X1383" s="50"/>
      <c r="Y1383" s="50"/>
      <c r="Z1383" s="48" t="n">
        <f aca="false">IF(A1383="","",IF(AND(Parameter!$B$21="Ja",ISNUMBER(W1383)),W1383,IF(BZ1383="2+3",IF(ISNUMBER(SEARCH("grosser Artikel",BR1383)),2,IFERROR(VLOOKUP(BU1383,Parameter!$F$35:$G$64,2,0),2)),IF(OR(BZ1383="Nein",BZ1383=""),"-",BZ1383))))</f>
        <v>2</v>
      </c>
      <c r="AA1383" s="55"/>
      <c r="AB1383" s="56"/>
      <c r="AC1383" s="50" t="n">
        <f aca="false">AT1383</f>
        <v>1152</v>
      </c>
      <c r="AD1383" s="50" t="n">
        <f aca="false">MAX(AT1383,H1383)</f>
        <v>1453</v>
      </c>
      <c r="AE1383" s="57"/>
      <c r="AF1383" s="50" t="n">
        <f aca="false">IF(LEFT(Cockpit!$C$5,1)="A",H1383,IF(CE1383=1,CF1383,IF(LEFT(Cockpit!$C$5,1)="B",AK1383,MAX(AK1383,H1383))))</f>
        <v>1453</v>
      </c>
      <c r="AG1383" s="50" t="n">
        <f aca="false">IF(BW1383=1,0,ROUNDUP(AF1383/BV1383,0))</f>
        <v>3</v>
      </c>
      <c r="AH1383" s="52" t="n">
        <f aca="false">IF(CL1383&gt;0,CL1383*MAX(1,AF1383/X1383),IF(BW1383=1,IF(AF1383&lt;=0,0,CA1383*MAX(1,IF(H1383&gt;0,AF1383/H1383,1))),IF(R1383&gt;0,AG1383/R1383,0))/MAX(0.1,N(Parameter!$M$21)))</f>
        <v>0.5</v>
      </c>
      <c r="AI1383" s="50" t="n">
        <f aca="false">AH1383*BY1383</f>
        <v>117.5</v>
      </c>
      <c r="AJ1383" s="50" t="n">
        <f aca="false">AF1383*G1383</f>
        <v>3806.86</v>
      </c>
      <c r="AK1383" s="50" t="n">
        <f aca="false">ROUNDUP(MAX(J1383/IF(CD1383&gt;0,CD1383,MAX(0.1,N(Cockpit!$C$6))),CG1383)/BV1383,0)*BV1383</f>
        <v>1152</v>
      </c>
      <c r="AL1383" s="51" t="n">
        <f aca="false">IF(AI1383&gt;0,J1383/AI1383,-1)</f>
        <v>17.8297872340426</v>
      </c>
      <c r="AM1383" s="51" t="n">
        <f aca="false">IF(AND(OR(CC1383="L1",CC1383="L23",CC1383="LIFT"),AI1383&gt;0),SUMIFS($AI$7:$AI$1843,$CC$7:$CC$1843,CC1383,$AL$7:$AL$1843,"&gt;"&amp;AL1383)+SUMIFS($AI$7:$AI$1843,$CC$7:$CC$1843,CC1383,$AL$7:$AL$1843,AL1383,$BT$7:$BT$1843,"&lt;="&amp;BT1383),"")</f>
        <v>1889.42902930403</v>
      </c>
      <c r="AN1383" s="58" t="n">
        <f aca="false">IF(AM1383="",0,MAX(0,MIN(1,(IF(CC1383="L1",Parameter!$H$5,IF(CC1383="L23",Parameter!$H$6+Parameter!$H$7,Parameter!$H$5+Parameter!$H$6+Parameter!$H$7))-(AM1383-AI1383))/AI1383)))</f>
        <v>1</v>
      </c>
      <c r="AO1383" s="50" t="n">
        <f aca="false">IF(LEFT(Cockpit!$I$5,1)="A",H1383,IF(CE1383=1,CF1383,IF(LEFT(Cockpit!$I$5,1)="B",AT1383,MAX(AT1383,H1383))))</f>
        <v>1453</v>
      </c>
      <c r="AP1383" s="50" t="n">
        <f aca="false">IF(BW1383=1,0,ROUNDUP(AO1383/BV1383,0))</f>
        <v>3</v>
      </c>
      <c r="AQ1383" s="52" t="n">
        <f aca="false">IF(CL1383&gt;0,CL1383*MAX(1,AO1383/X1383),IF(BW1383=1,IF(AO1383&lt;=0,0,CA1383*MAX(1,IF(H1383&gt;0,AO1383/H1383,1))),IF(R1383&gt;0,AP1383/R1383,0))/MAX(0.1,N(Parameter!$M$21)))</f>
        <v>0.5</v>
      </c>
      <c r="AR1383" s="50" t="n">
        <f aca="false">AQ1383*BY1383</f>
        <v>117.5</v>
      </c>
      <c r="AS1383" s="50" t="n">
        <f aca="false">AO1383*G1383</f>
        <v>3806.86</v>
      </c>
      <c r="AT1383" s="50" t="n">
        <f aca="false">ROUNDUP(MAX(J1383/IF(CD1383&gt;0,CD1383,MAX(0.1,N(Cockpit!$I$6))),CG1383)/BV1383,0)*BV1383</f>
        <v>1152</v>
      </c>
      <c r="AU1383" s="51" t="n">
        <f aca="false">IF(AR1383&gt;0,J1383/AR1383,-1)</f>
        <v>17.8297872340426</v>
      </c>
      <c r="AV1383" s="51" t="n">
        <f aca="false">IF(AND(OR(CC1383="L1",CC1383="L23",CC1383="LIFT"),AR1383&gt;0),SUMIFS($AR$7:$AR$1843,$CC$7:$CC$1843,CC1383,$AU$7:$AU$1843,"&gt;"&amp;AU1383)+SUMIFS($AR$7:$AR$1843,$CC$7:$CC$1843,CC1383,$AU$7:$AU$1843,AU1383,$BT$7:$BT$1843,"&lt;="&amp;BT1383),"")</f>
        <v>2792.45970695971</v>
      </c>
      <c r="AW1383" s="58" t="n">
        <f aca="false">IF(AV1383="",0,MAX(0,MIN(1,(IF(CC1383="L1",Parameter!$H$5,IF(CC1383="L23",Parameter!$H$6+Parameter!$H$7,Parameter!$H$5+Parameter!$H$6+Parameter!$H$7))-(AV1383-AR1383))/AR1383)))</f>
        <v>1</v>
      </c>
      <c r="AX1383" s="50" t="n">
        <f aca="false">IF(LEFT(Cockpit!$O$5,1)="A",H1383,IF(CE1383=1,CF1383,IF(LEFT(Cockpit!$O$5,1)="B",BC1383,MAX(BC1383,H1383))))</f>
        <v>1453</v>
      </c>
      <c r="AY1383" s="50" t="n">
        <f aca="false">IF(BW1383=1,0,ROUNDUP(AX1383/BV1383,0))</f>
        <v>3</v>
      </c>
      <c r="AZ1383" s="52" t="n">
        <f aca="false">IF(CL1383&gt;0,CL1383*MAX(1,AX1383/X1383),IF(BW1383=1,IF(AX1383&lt;=0,0,CA1383*MAX(1,IF(H1383&gt;0,AX1383/H1383,1))),IF(R1383&gt;0,AY1383/R1383,0))/MAX(0.1,N(Parameter!$M$21)))</f>
        <v>0.5</v>
      </c>
      <c r="BA1383" s="50" t="n">
        <f aca="false">AZ1383*BY1383</f>
        <v>117.5</v>
      </c>
      <c r="BB1383" s="50" t="n">
        <f aca="false">AX1383*G1383</f>
        <v>3806.86</v>
      </c>
      <c r="BC1383" s="50" t="n">
        <f aca="false">ROUNDUP(MAX(J1383/IF(CD1383&gt;0,CD1383,MAX(0.1,N(Cockpit!$O$6))),CG1383)/BV1383,0)*BV1383</f>
        <v>1152</v>
      </c>
      <c r="BD1383" s="51" t="n">
        <f aca="false">IF(BA1383&gt;0,J1383/BA1383,-1)</f>
        <v>17.8297872340426</v>
      </c>
      <c r="BE1383" s="51" t="n">
        <f aca="false">IF(AND(OR(CC1383="L1",CC1383="L23",CC1383="LIFT"),BA1383&gt;0),SUMIFS($BA$7:$BA$1843,$CC$7:$CC$1843,CC1383,$BD$7:$BD$1843,"&gt;"&amp;BD1383)+SUMIFS($BA$7:$BA$1843,$CC$7:$CC$1843,CC1383,$BD$7:$BD$1843,BD1383,$BT$7:$BT$1843,"&lt;="&amp;BT1383),"")</f>
        <v>2611.89880952381</v>
      </c>
      <c r="BF1383" s="58" t="n">
        <f aca="false">IF(BE1383="",0,MAX(0,MIN(1,(IF(CC1383="L1",Parameter!$H$5,IF(CC1383="L23",Parameter!$H$6+Parameter!$H$7,Parameter!$H$5+Parameter!$H$6+Parameter!$H$7))-(BE1383-BA1383))/BA1383)))</f>
        <v>1</v>
      </c>
      <c r="BG1383" s="48" t="str">
        <f aca="false">IF(AI1383&lt;=0,"",IF(CC1383="Aussen","Aussenlager",IF(CC1383="-","Nicht im Lift",IF(AN1383&gt;=1,"Lift",IF(AN1383&lt;=0,"Aussenlager","teilweise")))))</f>
        <v>Lift</v>
      </c>
      <c r="BH1383" s="48" t="str">
        <f aca="false">IF(AR1383&lt;=0,"",IF(CC1383="Aussen","Aussenlager",IF(CC1383="-","Nicht im Lift",IF(AW1383&gt;=1,"Lift",IF(AW1383&lt;=0,"Aussenlager","teilweise")))))</f>
        <v>Lift</v>
      </c>
      <c r="BI1383" s="48" t="str">
        <f aca="false">IF(BA1383&lt;=0,"",IF(CC1383="Aussen","Aussenlager",IF(CC1383="-","Nicht im Lift",IF(BF1383&gt;=1,"Lift",IF(BF1383&lt;=0,"Aussenlager","teilweise")))))</f>
        <v>Lift</v>
      </c>
      <c r="BJ1383" s="48" t="str">
        <f aca="false">IF(A1383="","",IF(BS1383=1,"Neu; ","")&amp;IF(AND(BS1383=0,BN1383&lt;0),"negativer Bestand (Export "&amp;BN1383&amp;"); ","")&amp;IF(J1383&lt;=0,"Kein Verbrauch; ","")&amp;IF(CL1383&gt;0,"Lift "&amp;W1383&amp;" lt. Liftbericht (Fach "&amp;X1383&amp;" Stk); ",IF(BX1383=1,"Gebinde geschätzt ("&amp;T1383&amp;"); ",IF(BW1383=1,"Lose – Tablare geschätzt; ","")))&amp;IF(H1383&gt;AT1383,"Überbestand "&amp;ROUND(H1383-AT1383,0)&amp;" Stk / CHF "&amp;ROUND((H1383-AT1383)*G1383,0)&amp;"; ","")&amp;IF(AND(CE1383=1,CF1383&lt;CG1383),"MAX &lt; MB+LG; ","")&amp;IF(AND(CK1383&gt;0,CJ1383*10&gt;CK1383),"zu hoch für Tablar; ","")&amp;IF(AND(BS1383=0,OR(CE1383=1,AA1383&lt;&gt;"",U1383&lt;&gt;"",V1383&lt;&gt;"",AB1383&lt;&gt;"")),"manuell übersteuert; ","")&amp;IF(AND(BW1383=0,R1383=0),"Gebinde unbekannt / Stellmass fehlt; ","")&amp;IF(AND(BW1383=0,N(V1383)&lt;=0,N(Q1383)&lt;=0),"Menge pro Gebinde fehlt (Ist = 1 Gebinde); ","")&amp;BR1383)</f>
        <v>negativer Bestand (Export -1145); Überbestand 301 Stk / CHF 789; grosse  Artikelmenge</v>
      </c>
      <c r="BK1383" s="48"/>
      <c r="BL1383" s="48"/>
      <c r="BM1383" s="55"/>
      <c r="BN1383" s="50" t="n">
        <v>-1145</v>
      </c>
      <c r="BO1383" s="50" t="n">
        <v>2598</v>
      </c>
      <c r="BP1383" s="49" t="n">
        <v>-3025.76</v>
      </c>
      <c r="BQ1383" s="50" t="n">
        <v>2095</v>
      </c>
      <c r="BR1383" s="48" t="s">
        <v>1611</v>
      </c>
      <c r="BS1383" s="53" t="n">
        <v>0</v>
      </c>
      <c r="BT1383" s="53" t="n">
        <v>1383</v>
      </c>
      <c r="BU1383" s="48" t="str">
        <f aca="false">IF(U1383&lt;&gt;"",UPPER(TRIM(U1383)),IF(BX1383=1,UPPER(VLOOKUP(T1383,Parameter!$I$27:$K$29,2,0)),IF(P1383="","LOSE",P1383)))</f>
        <v>S71</v>
      </c>
      <c r="BV1383" s="50" t="n">
        <f aca="false">IF(BU1383="LOSE",1,IF(N(V1383)&gt;0,V1383,IF(BX1383=1,MAX(1,N(VLOOKUP(T1383,Parameter!$I$27:$K$29,3,0)),H1383,N(N1383)),IF(N(Q1383)&gt;0,Q1383,MAX(1,H1383)))))</f>
        <v>576</v>
      </c>
      <c r="BW1383" s="53" t="n">
        <f aca="false">IF(BU1383="LOSE",1,0)</f>
        <v>0</v>
      </c>
      <c r="BX1383" s="53" t="n">
        <f aca="false">IF(AND(U1383="",OR(P1383="",P1383="LOSE"),T1383&lt;&gt;"",N(S1383)&lt;=0,ISNUMBER(MATCH(T1383,Parameter!$I$27:$I$29,0))),1,0)</f>
        <v>0</v>
      </c>
      <c r="BY1383" s="53" t="n">
        <f aca="false">IF(CL1383&gt;0,INDEX(Parameter!$H$5:$H$7,W1383)/INDEX(Parameter!$E$5:$E$7,W1383),IF(AND(BW1383=0,N(IFERROR(VLOOKUP(BU1383,'Gebinde-Kategorie'!$A$5:$N$45,14,0),0))&gt;0),VLOOKUP(BU1383,'Gebinde-Kategorie'!$A$5:$N$45,14,0)*10+Parameter!$M$23,Parameter!$M$24))</f>
        <v>235</v>
      </c>
      <c r="BZ1383" s="48" t="str">
        <f aca="false">IF(AND(Parameter!$B$19="Ja",E1383&lt;&gt;"",ISNUMBER(MATCH(E1383,Parameter!$I$35:$I$52,0))),VLOOKUP(E1383,Parameter!$I$35:$J$52,2,0),IFERROR(VLOOKUP(D1383,Parameter!$A$35:$C$64,2,0),"Nein"))</f>
        <v>2+3</v>
      </c>
      <c r="CA1383" s="52" t="n">
        <f aca="false">IF(BW1383=0,0,IF(N(S1383)&gt;0,S1383,IFERROR(VLOOKUP(D1383,Parameter!$A$35:$C$64,3,0)+0,0)))</f>
        <v>0</v>
      </c>
      <c r="CB1383" s="48" t="n">
        <f aca="false">IF(AA1383&lt;&gt;"",AA1383,Z1383)</f>
        <v>2</v>
      </c>
      <c r="CC1383" s="48" t="str">
        <f aca="false">IF(OR(CB1383=1,CB1383=2,CB1383=3),IF(Parameter!$E$27="Ja","LIFT",IF(CB1383=1,"L1","L23")),IF(CB1383="Aussen","Aussen","-"))</f>
        <v>LIFT</v>
      </c>
      <c r="CD1383" s="59" t="n">
        <f aca="false">IF(N(AB1383)&gt;0,AB1383,0)</f>
        <v>0</v>
      </c>
      <c r="CE1383" s="53" t="n">
        <f aca="false">IF(ISNUMBER(AE1383),1,0)</f>
        <v>0</v>
      </c>
      <c r="CF1383" s="50" t="n">
        <f aca="false">N(AE1383)</f>
        <v>0</v>
      </c>
      <c r="CG1383" s="50" t="n">
        <f aca="false">N(M1383)+N(N1383)</f>
        <v>522</v>
      </c>
      <c r="CH1383" s="50" t="n">
        <f aca="false">ROUNDUP(H1383/BV1383,0)</f>
        <v>3</v>
      </c>
      <c r="CI1383" s="50" t="n">
        <f aca="false">ROUNDUP(CF1383/BV1383,0)</f>
        <v>0</v>
      </c>
      <c r="CJ1383" s="53" t="n">
        <f aca="false">IF(BW1383=1,0,IFERROR(VLOOKUP(BU1383,'Gebinde-Kategorie'!$A$5:$N$45,5,0)+0,0))</f>
        <v>20</v>
      </c>
      <c r="CK1383" s="53" t="n">
        <f aca="false">IFERROR(IF(OR(CB1383=1,CB1383=2,CB1383=3),N(INDEX(Parameter!$I$5:$I$7,CB1383)),0),0)</f>
        <v>0</v>
      </c>
      <c r="CL1383" s="52" t="n">
        <f aca="false">IF(AND(Parameter!$B$21="Ja",ISNUMBER(W1383),N(X1383)&gt;0),IFERROR(N(INDEX(Parameter!$L$5:$L$7,W1383))*INDEX(Parameter!$E$5:$E$7,W1383)*X1383/SUMIFS($X$7:$X$1843,$W$7:$W$1843,W1383),0),0)</f>
        <v>0</v>
      </c>
    </row>
    <row r="1384" customFormat="false" ht="15" hidden="false" customHeight="false" outlineLevel="0" collapsed="false">
      <c r="A1384" s="48" t="s">
        <v>2438</v>
      </c>
      <c r="B1384" s="48" t="s">
        <v>2439</v>
      </c>
      <c r="C1384" s="48" t="s">
        <v>168</v>
      </c>
      <c r="D1384" s="48" t="s">
        <v>188</v>
      </c>
      <c r="E1384" s="48" t="s">
        <v>189</v>
      </c>
      <c r="F1384" s="48" t="s">
        <v>222</v>
      </c>
      <c r="G1384" s="49" t="n">
        <v>112.86</v>
      </c>
      <c r="H1384" s="50" t="n">
        <f aca="false">MAX(0,IF(AND(Parameter!$B$21="Ja",ISNUMBER(Y1384)),Y1384,IF(Parameter!$B$20="Jahresanfang 2025 + Export",BO1384+BN1384,BN1384)))</f>
        <v>125</v>
      </c>
      <c r="I1384" s="50" t="n">
        <f aca="false">H1384*G1384</f>
        <v>14107.5</v>
      </c>
      <c r="J1384" s="50" t="n">
        <f aca="false">BQ1384*Parameter!$B$18</f>
        <v>528</v>
      </c>
      <c r="K1384" s="51" t="n">
        <v>137</v>
      </c>
      <c r="L1384" s="52" t="n">
        <v>3.85401459854015</v>
      </c>
      <c r="M1384" s="50" t="n">
        <v>30</v>
      </c>
      <c r="N1384" s="50" t="n">
        <v>100</v>
      </c>
      <c r="O1384" s="53" t="n">
        <v>21</v>
      </c>
      <c r="P1384" s="48" t="s">
        <v>306</v>
      </c>
      <c r="Q1384" s="50" t="n">
        <v>761</v>
      </c>
      <c r="R1384" s="53" t="n">
        <f aca="false">IF(BW1384=1,0,IFERROR(VLOOKUP(BU1384,'Gebinde-Kategorie'!$A$5:$N$45,13,0)+0,0))</f>
        <v>26</v>
      </c>
      <c r="S1384" s="54"/>
      <c r="T1384" s="55"/>
      <c r="U1384" s="55"/>
      <c r="V1384" s="55"/>
      <c r="W1384" s="48"/>
      <c r="X1384" s="50"/>
      <c r="Y1384" s="50"/>
      <c r="Z1384" s="48" t="n">
        <f aca="false">IF(A1384="","",IF(AND(Parameter!$B$21="Ja",ISNUMBER(W1384)),W1384,IF(BZ1384="2+3",IF(ISNUMBER(SEARCH("grosser Artikel",BR1384)),2,IFERROR(VLOOKUP(BU1384,Parameter!$F$35:$G$64,2,0),2)),IF(OR(BZ1384="Nein",BZ1384=""),"-",BZ1384))))</f>
        <v>3</v>
      </c>
      <c r="AA1384" s="55"/>
      <c r="AB1384" s="56"/>
      <c r="AC1384" s="50" t="n">
        <f aca="false">AT1384</f>
        <v>761</v>
      </c>
      <c r="AD1384" s="50" t="n">
        <f aca="false">MAX(AT1384,H1384)</f>
        <v>761</v>
      </c>
      <c r="AE1384" s="57"/>
      <c r="AF1384" s="50" t="n">
        <f aca="false">IF(LEFT(Cockpit!$C$5,1)="A",H1384,IF(CE1384=1,CF1384,IF(LEFT(Cockpit!$C$5,1)="B",AK1384,MAX(AK1384,H1384))))</f>
        <v>125</v>
      </c>
      <c r="AG1384" s="50" t="n">
        <f aca="false">IF(BW1384=1,0,ROUNDUP(AF1384/BV1384,0))</f>
        <v>1</v>
      </c>
      <c r="AH1384" s="52" t="n">
        <f aca="false">IF(CL1384&gt;0,CL1384*MAX(1,AF1384/X1384),IF(BW1384=1,IF(AF1384&lt;=0,0,CA1384*MAX(1,IF(H1384&gt;0,AF1384/H1384,1))),IF(R1384&gt;0,AG1384/R1384,0))/MAX(0.1,N(Parameter!$M$21)))</f>
        <v>0.0384615384615385</v>
      </c>
      <c r="AI1384" s="50" t="n">
        <f aca="false">AH1384*BY1384</f>
        <v>5.96153846153846</v>
      </c>
      <c r="AJ1384" s="50" t="n">
        <f aca="false">AF1384*G1384</f>
        <v>14107.5</v>
      </c>
      <c r="AK1384" s="50" t="n">
        <f aca="false">ROUNDUP(MAX(J1384/IF(CD1384&gt;0,CD1384,MAX(0.1,N(Cockpit!$C$6))),CG1384)/BV1384,0)*BV1384</f>
        <v>761</v>
      </c>
      <c r="AL1384" s="51" t="n">
        <f aca="false">IF(AI1384&gt;0,J1384/AI1384,-1)</f>
        <v>88.5677419354839</v>
      </c>
      <c r="AM1384" s="51" t="n">
        <f aca="false">IF(AND(OR(CC1384="L1",CC1384="L23",CC1384="LIFT"),AI1384&gt;0),SUMIFS($AI$7:$AI$1843,$CC$7:$CC$1843,CC1384,$AL$7:$AL$1843,"&gt;"&amp;AL1384)+SUMIFS($AI$7:$AI$1843,$CC$7:$CC$1843,CC1384,$AL$7:$AL$1843,AL1384,$BT$7:$BT$1843,"&lt;="&amp;BT1384),"")</f>
        <v>827.93543956044</v>
      </c>
      <c r="AN1384" s="58" t="n">
        <f aca="false">IF(AM1384="",0,MAX(0,MIN(1,(IF(CC1384="L1",Parameter!$H$5,IF(CC1384="L23",Parameter!$H$6+Parameter!$H$7,Parameter!$H$5+Parameter!$H$6+Parameter!$H$7))-(AM1384-AI1384))/AI1384)))</f>
        <v>1</v>
      </c>
      <c r="AO1384" s="50" t="n">
        <f aca="false">IF(LEFT(Cockpit!$I$5,1)="A",H1384,IF(CE1384=1,CF1384,IF(LEFT(Cockpit!$I$5,1)="B",AT1384,MAX(AT1384,H1384))))</f>
        <v>761</v>
      </c>
      <c r="AP1384" s="50" t="n">
        <f aca="false">IF(BW1384=1,0,ROUNDUP(AO1384/BV1384,0))</f>
        <v>1</v>
      </c>
      <c r="AQ1384" s="52" t="n">
        <f aca="false">IF(CL1384&gt;0,CL1384*MAX(1,AO1384/X1384),IF(BW1384=1,IF(AO1384&lt;=0,0,CA1384*MAX(1,IF(H1384&gt;0,AO1384/H1384,1))),IF(R1384&gt;0,AP1384/R1384,0))/MAX(0.1,N(Parameter!$M$21)))</f>
        <v>0.0384615384615385</v>
      </c>
      <c r="AR1384" s="50" t="n">
        <f aca="false">AQ1384*BY1384</f>
        <v>5.96153846153846</v>
      </c>
      <c r="AS1384" s="50" t="n">
        <f aca="false">AO1384*G1384</f>
        <v>85886.46</v>
      </c>
      <c r="AT1384" s="50" t="n">
        <f aca="false">ROUNDUP(MAX(J1384/IF(CD1384&gt;0,CD1384,MAX(0.1,N(Cockpit!$I$6))),CG1384)/BV1384,0)*BV1384</f>
        <v>761</v>
      </c>
      <c r="AU1384" s="51" t="n">
        <f aca="false">IF(AR1384&gt;0,J1384/AR1384,-1)</f>
        <v>88.5677419354839</v>
      </c>
      <c r="AV1384" s="51" t="n">
        <f aca="false">IF(AND(OR(CC1384="L1",CC1384="L23",CC1384="LIFT"),AR1384&gt;0),SUMIFS($AR$7:$AR$1843,$CC$7:$CC$1843,CC1384,$AU$7:$AU$1843,"&gt;"&amp;AU1384)+SUMIFS($AR$7:$AR$1843,$CC$7:$CC$1843,CC1384,$AU$7:$AU$1843,AU1384,$BT$7:$BT$1843,"&lt;="&amp;BT1384),"")</f>
        <v>932.854853479854</v>
      </c>
      <c r="AW1384" s="58" t="n">
        <f aca="false">IF(AV1384="",0,MAX(0,MIN(1,(IF(CC1384="L1",Parameter!$H$5,IF(CC1384="L23",Parameter!$H$6+Parameter!$H$7,Parameter!$H$5+Parameter!$H$6+Parameter!$H$7))-(AV1384-AR1384))/AR1384)))</f>
        <v>1</v>
      </c>
      <c r="AX1384" s="50" t="n">
        <f aca="false">IF(LEFT(Cockpit!$O$5,1)="A",H1384,IF(CE1384=1,CF1384,IF(LEFT(Cockpit!$O$5,1)="B",BC1384,MAX(BC1384,H1384))))</f>
        <v>761</v>
      </c>
      <c r="AY1384" s="50" t="n">
        <f aca="false">IF(BW1384=1,0,ROUNDUP(AX1384/BV1384,0))</f>
        <v>1</v>
      </c>
      <c r="AZ1384" s="52" t="n">
        <f aca="false">IF(CL1384&gt;0,CL1384*MAX(1,AX1384/X1384),IF(BW1384=1,IF(AX1384&lt;=0,0,CA1384*MAX(1,IF(H1384&gt;0,AX1384/H1384,1))),IF(R1384&gt;0,AY1384/R1384,0))/MAX(0.1,N(Parameter!$M$21)))</f>
        <v>0.0384615384615385</v>
      </c>
      <c r="BA1384" s="50" t="n">
        <f aca="false">AZ1384*BY1384</f>
        <v>5.96153846153846</v>
      </c>
      <c r="BB1384" s="50" t="n">
        <f aca="false">AX1384*G1384</f>
        <v>85886.46</v>
      </c>
      <c r="BC1384" s="50" t="n">
        <f aca="false">ROUNDUP(MAX(J1384/IF(CD1384&gt;0,CD1384,MAX(0.1,N(Cockpit!$O$6))),CG1384)/BV1384,0)*BV1384</f>
        <v>761</v>
      </c>
      <c r="BD1384" s="51" t="n">
        <f aca="false">IF(BA1384&gt;0,J1384/BA1384,-1)</f>
        <v>88.5677419354839</v>
      </c>
      <c r="BE1384" s="51" t="n">
        <f aca="false">IF(AND(OR(CC1384="L1",CC1384="L23",CC1384="LIFT"),BA1384&gt;0),SUMIFS($BA$7:$BA$1843,$CC$7:$CC$1843,CC1384,$BD$7:$BD$1843,"&gt;"&amp;BD1384)+SUMIFS($BA$7:$BA$1843,$CC$7:$CC$1843,CC1384,$BD$7:$BD$1843,BD1384,$BT$7:$BT$1843,"&lt;="&amp;BT1384),"")</f>
        <v>1040.27472527473</v>
      </c>
      <c r="BF1384" s="58" t="n">
        <f aca="false">IF(BE1384="",0,MAX(0,MIN(1,(IF(CC1384="L1",Parameter!$H$5,IF(CC1384="L23",Parameter!$H$6+Parameter!$H$7,Parameter!$H$5+Parameter!$H$6+Parameter!$H$7))-(BE1384-BA1384))/BA1384)))</f>
        <v>1</v>
      </c>
      <c r="BG1384" s="48" t="str">
        <f aca="false">IF(AI1384&lt;=0,"",IF(CC1384="Aussen","Aussenlager",IF(CC1384="-","Nicht im Lift",IF(AN1384&gt;=1,"Lift",IF(AN1384&lt;=0,"Aussenlager","teilweise")))))</f>
        <v>Lift</v>
      </c>
      <c r="BH1384" s="48" t="str">
        <f aca="false">IF(AR1384&lt;=0,"",IF(CC1384="Aussen","Aussenlager",IF(CC1384="-","Nicht im Lift",IF(AW1384&gt;=1,"Lift",IF(AW1384&lt;=0,"Aussenlager","teilweise")))))</f>
        <v>Lift</v>
      </c>
      <c r="BI1384" s="48" t="str">
        <f aca="false">IF(BA1384&lt;=0,"",IF(CC1384="Aussen","Aussenlager",IF(CC1384="-","Nicht im Lift",IF(BF1384&gt;=1,"Lift",IF(BF1384&lt;=0,"Aussenlager","teilweise")))))</f>
        <v>Lift</v>
      </c>
      <c r="BJ1384" s="48" t="str">
        <f aca="false">IF(A1384="","",IF(BS1384=1,"Neu; ","")&amp;IF(AND(BS1384=0,BN1384&lt;0),"negativer Bestand (Export "&amp;BN1384&amp;"); ","")&amp;IF(J1384&lt;=0,"Kein Verbrauch; ","")&amp;IF(CL1384&gt;0,"Lift "&amp;W1384&amp;" lt. Liftbericht (Fach "&amp;X1384&amp;" Stk); ",IF(BX1384=1,"Gebinde geschätzt ("&amp;T1384&amp;"); ",IF(BW1384=1,"Lose – Tablare geschätzt; ","")))&amp;IF(H1384&gt;AT1384,"Überbestand "&amp;ROUND(H1384-AT1384,0)&amp;" Stk / CHF "&amp;ROUND((H1384-AT1384)*G1384,0)&amp;"; ","")&amp;IF(AND(CE1384=1,CF1384&lt;CG1384),"MAX &lt; MB+LG; ","")&amp;IF(AND(CK1384&gt;0,CJ1384*10&gt;CK1384),"zu hoch für Tablar; ","")&amp;IF(AND(BS1384=0,OR(CE1384=1,AA1384&lt;&gt;"",U1384&lt;&gt;"",V1384&lt;&gt;"",AB1384&lt;&gt;"")),"manuell übersteuert; ","")&amp;IF(AND(BW1384=0,R1384=0),"Gebinde unbekannt / Stellmass fehlt; ","")&amp;IF(AND(BW1384=0,N(V1384)&lt;=0,N(Q1384)&lt;=0),"Menge pro Gebinde fehlt (Ist = 1 Gebinde); ","")&amp;BR1384)</f>
        <v>negativer Bestand (Export -28); </v>
      </c>
      <c r="BK1384" s="48"/>
      <c r="BL1384" s="48"/>
      <c r="BM1384" s="55"/>
      <c r="BN1384" s="50" t="n">
        <v>-28</v>
      </c>
      <c r="BO1384" s="50" t="n">
        <v>153</v>
      </c>
      <c r="BP1384" s="49" t="n">
        <v>-3172.77000000002</v>
      </c>
      <c r="BQ1384" s="50" t="n">
        <v>528</v>
      </c>
      <c r="BR1384" s="48"/>
      <c r="BS1384" s="53" t="n">
        <v>0</v>
      </c>
      <c r="BT1384" s="53" t="n">
        <v>1384</v>
      </c>
      <c r="BU1384" s="48" t="str">
        <f aca="false">IF(U1384&lt;&gt;"",UPPER(TRIM(U1384)),IF(BX1384=1,UPPER(VLOOKUP(T1384,Parameter!$I$27:$K$29,2,0)),IF(P1384="","LOSE",P1384)))</f>
        <v>S51</v>
      </c>
      <c r="BV1384" s="50" t="n">
        <f aca="false">IF(BU1384="LOSE",1,IF(N(V1384)&gt;0,V1384,IF(BX1384=1,MAX(1,N(VLOOKUP(T1384,Parameter!$I$27:$K$29,3,0)),H1384,N(N1384)),IF(N(Q1384)&gt;0,Q1384,MAX(1,H1384)))))</f>
        <v>761</v>
      </c>
      <c r="BW1384" s="53" t="n">
        <f aca="false">IF(BU1384="LOSE",1,0)</f>
        <v>0</v>
      </c>
      <c r="BX1384" s="53" t="n">
        <f aca="false">IF(AND(U1384="",OR(P1384="",P1384="LOSE"),T1384&lt;&gt;"",N(S1384)&lt;=0,ISNUMBER(MATCH(T1384,Parameter!$I$27:$I$29,0))),1,0)</f>
        <v>0</v>
      </c>
      <c r="BY1384" s="53" t="n">
        <f aca="false">IF(CL1384&gt;0,INDEX(Parameter!$H$5:$H$7,W1384)/INDEX(Parameter!$E$5:$E$7,W1384),IF(AND(BW1384=0,N(IFERROR(VLOOKUP(BU1384,'Gebinde-Kategorie'!$A$5:$N$45,14,0),0))&gt;0),VLOOKUP(BU1384,'Gebinde-Kategorie'!$A$5:$N$45,14,0)*10+Parameter!$M$23,Parameter!$M$24))</f>
        <v>155</v>
      </c>
      <c r="BZ1384" s="48" t="str">
        <f aca="false">IF(AND(Parameter!$B$19="Ja",E1384&lt;&gt;"",ISNUMBER(MATCH(E1384,Parameter!$I$35:$I$52,0))),VLOOKUP(E1384,Parameter!$I$35:$J$52,2,0),IFERROR(VLOOKUP(D1384,Parameter!$A$35:$C$64,2,0),"Nein"))</f>
        <v>2+3</v>
      </c>
      <c r="CA1384" s="52" t="n">
        <f aca="false">IF(BW1384=0,0,IF(N(S1384)&gt;0,S1384,IFERROR(VLOOKUP(D1384,Parameter!$A$35:$C$64,3,0)+0,0)))</f>
        <v>0</v>
      </c>
      <c r="CB1384" s="48" t="n">
        <f aca="false">IF(AA1384&lt;&gt;"",AA1384,Z1384)</f>
        <v>3</v>
      </c>
      <c r="CC1384" s="48" t="str">
        <f aca="false">IF(OR(CB1384=1,CB1384=2,CB1384=3),IF(Parameter!$E$27="Ja","LIFT",IF(CB1384=1,"L1","L23")),IF(CB1384="Aussen","Aussen","-"))</f>
        <v>LIFT</v>
      </c>
      <c r="CD1384" s="59" t="n">
        <f aca="false">IF(N(AB1384)&gt;0,AB1384,0)</f>
        <v>0</v>
      </c>
      <c r="CE1384" s="53" t="n">
        <f aca="false">IF(ISNUMBER(AE1384),1,0)</f>
        <v>0</v>
      </c>
      <c r="CF1384" s="50" t="n">
        <f aca="false">N(AE1384)</f>
        <v>0</v>
      </c>
      <c r="CG1384" s="50" t="n">
        <f aca="false">N(M1384)+N(N1384)</f>
        <v>130</v>
      </c>
      <c r="CH1384" s="50" t="n">
        <f aca="false">ROUNDUP(H1384/BV1384,0)</f>
        <v>1</v>
      </c>
      <c r="CI1384" s="50" t="n">
        <f aca="false">ROUNDUP(CF1384/BV1384,0)</f>
        <v>0</v>
      </c>
      <c r="CJ1384" s="53" t="n">
        <f aca="false">IF(BW1384=1,0,IFERROR(VLOOKUP(BU1384,'Gebinde-Kategorie'!$A$5:$N$45,5,0)+0,0))</f>
        <v>11</v>
      </c>
      <c r="CK1384" s="53" t="n">
        <f aca="false">IFERROR(IF(OR(CB1384=1,CB1384=2,CB1384=3),N(INDEX(Parameter!$I$5:$I$7,CB1384)),0),0)</f>
        <v>0</v>
      </c>
      <c r="CL1384" s="52" t="n">
        <f aca="false">IF(AND(Parameter!$B$21="Ja",ISNUMBER(W1384),N(X1384)&gt;0),IFERROR(N(INDEX(Parameter!$L$5:$L$7,W1384))*INDEX(Parameter!$E$5:$E$7,W1384)*X1384/SUMIFS($X$7:$X$1843,$W$7:$W$1843,W1384),0),0)</f>
        <v>0</v>
      </c>
    </row>
    <row r="1385" customFormat="false" ht="15" hidden="false" customHeight="false" outlineLevel="0" collapsed="false">
      <c r="A1385" s="48" t="s">
        <v>2440</v>
      </c>
      <c r="B1385" s="48" t="s">
        <v>2441</v>
      </c>
      <c r="C1385" s="48" t="s">
        <v>168</v>
      </c>
      <c r="D1385" s="48" t="s">
        <v>188</v>
      </c>
      <c r="E1385" s="48" t="s">
        <v>189</v>
      </c>
      <c r="F1385" s="48" t="s">
        <v>222</v>
      </c>
      <c r="G1385" s="49" t="n">
        <v>1587.24</v>
      </c>
      <c r="H1385" s="50" t="n">
        <f aca="false">MAX(0,IF(AND(Parameter!$B$21="Ja",ISNUMBER(Y1385)),Y1385,IF(Parameter!$B$20="Jahresanfang 2025 + Export",BO1385+BN1385,BN1385)))</f>
        <v>3</v>
      </c>
      <c r="I1385" s="50" t="n">
        <f aca="false">H1385*G1385</f>
        <v>4761.72</v>
      </c>
      <c r="J1385" s="50" t="n">
        <f aca="false">BQ1385*Parameter!$B$18</f>
        <v>1</v>
      </c>
      <c r="K1385" s="51" t="n">
        <v>4.5</v>
      </c>
      <c r="L1385" s="52" t="n">
        <v>0.222222222222222</v>
      </c>
      <c r="M1385" s="50" t="n">
        <v>0</v>
      </c>
      <c r="N1385" s="50" t="n">
        <v>1</v>
      </c>
      <c r="O1385" s="53" t="n">
        <v>28</v>
      </c>
      <c r="P1385" s="48" t="s">
        <v>230</v>
      </c>
      <c r="Q1385" s="50" t="n">
        <v>3</v>
      </c>
      <c r="R1385" s="53" t="n">
        <f aca="false">IF(BW1385=1,0,IFERROR(VLOOKUP(BU1385,'Gebinde-Kategorie'!$A$5:$N$45,13,0)+0,0))</f>
        <v>12</v>
      </c>
      <c r="S1385" s="54"/>
      <c r="T1385" s="55"/>
      <c r="U1385" s="55"/>
      <c r="V1385" s="55"/>
      <c r="W1385" s="48"/>
      <c r="X1385" s="50"/>
      <c r="Y1385" s="50"/>
      <c r="Z1385" s="48" t="n">
        <f aca="false">IF(A1385="","",IF(AND(Parameter!$B$21="Ja",ISNUMBER(W1385)),W1385,IF(BZ1385="2+3",IF(ISNUMBER(SEARCH("grosser Artikel",BR1385)),2,IFERROR(VLOOKUP(BU1385,Parameter!$F$35:$G$64,2,0),2)),IF(OR(BZ1385="Nein",BZ1385=""),"-",BZ1385))))</f>
        <v>2</v>
      </c>
      <c r="AA1385" s="55"/>
      <c r="AB1385" s="56"/>
      <c r="AC1385" s="50" t="n">
        <f aca="false">AT1385</f>
        <v>3</v>
      </c>
      <c r="AD1385" s="50" t="n">
        <f aca="false">MAX(AT1385,H1385)</f>
        <v>3</v>
      </c>
      <c r="AE1385" s="57"/>
      <c r="AF1385" s="50" t="n">
        <f aca="false">IF(LEFT(Cockpit!$C$5,1)="A",H1385,IF(CE1385=1,CF1385,IF(LEFT(Cockpit!$C$5,1)="B",AK1385,MAX(AK1385,H1385))))</f>
        <v>3</v>
      </c>
      <c r="AG1385" s="50" t="n">
        <f aca="false">IF(BW1385=1,0,ROUNDUP(AF1385/BV1385,0))</f>
        <v>1</v>
      </c>
      <c r="AH1385" s="52" t="n">
        <f aca="false">IF(CL1385&gt;0,CL1385*MAX(1,AF1385/X1385),IF(BW1385=1,IF(AF1385&lt;=0,0,CA1385*MAX(1,IF(H1385&gt;0,AF1385/H1385,1))),IF(R1385&gt;0,AG1385/R1385,0))/MAX(0.1,N(Parameter!$M$21)))</f>
        <v>0.0833333333333333</v>
      </c>
      <c r="AI1385" s="50" t="n">
        <f aca="false">AH1385*BY1385</f>
        <v>28.75</v>
      </c>
      <c r="AJ1385" s="50" t="n">
        <f aca="false">AF1385*G1385</f>
        <v>4761.72</v>
      </c>
      <c r="AK1385" s="50" t="n">
        <f aca="false">ROUNDUP(MAX(J1385/IF(CD1385&gt;0,CD1385,MAX(0.1,N(Cockpit!$C$6))),CG1385)/BV1385,0)*BV1385</f>
        <v>3</v>
      </c>
      <c r="AL1385" s="51" t="n">
        <f aca="false">IF(AI1385&gt;0,J1385/AI1385,-1)</f>
        <v>0.0347826086956522</v>
      </c>
      <c r="AM1385" s="51" t="n">
        <f aca="false">IF(AND(OR(CC1385="L1",CC1385="L23",CC1385="LIFT"),AI1385&gt;0),SUMIFS($AI$7:$AI$1843,$CC$7:$CC$1843,CC1385,$AL$7:$AL$1843,"&gt;"&amp;AL1385)+SUMIFS($AI$7:$AI$1843,$CC$7:$CC$1843,CC1385,$AL$7:$AL$1843,AL1385,$BT$7:$BT$1843,"&lt;="&amp;BT1385),"")</f>
        <v>19981.1209800087</v>
      </c>
      <c r="AN1385" s="58" t="n">
        <f aca="false">IF(AM1385="",0,MAX(0,MIN(1,(IF(CC1385="L1",Parameter!$H$5,IF(CC1385="L23",Parameter!$H$6+Parameter!$H$7,Parameter!$H$5+Parameter!$H$6+Parameter!$H$7))-(AM1385-AI1385))/AI1385)))</f>
        <v>1</v>
      </c>
      <c r="AO1385" s="50" t="n">
        <f aca="false">IF(LEFT(Cockpit!$I$5,1)="A",H1385,IF(CE1385=1,CF1385,IF(LEFT(Cockpit!$I$5,1)="B",AT1385,MAX(AT1385,H1385))))</f>
        <v>3</v>
      </c>
      <c r="AP1385" s="50" t="n">
        <f aca="false">IF(BW1385=1,0,ROUNDUP(AO1385/BV1385,0))</f>
        <v>1</v>
      </c>
      <c r="AQ1385" s="52" t="n">
        <f aca="false">IF(CL1385&gt;0,CL1385*MAX(1,AO1385/X1385),IF(BW1385=1,IF(AO1385&lt;=0,0,CA1385*MAX(1,IF(H1385&gt;0,AO1385/H1385,1))),IF(R1385&gt;0,AP1385/R1385,0))/MAX(0.1,N(Parameter!$M$21)))</f>
        <v>0.0833333333333333</v>
      </c>
      <c r="AR1385" s="50" t="n">
        <f aca="false">AQ1385*BY1385</f>
        <v>28.75</v>
      </c>
      <c r="AS1385" s="50" t="n">
        <f aca="false">AO1385*G1385</f>
        <v>4761.72</v>
      </c>
      <c r="AT1385" s="50" t="n">
        <f aca="false">ROUNDUP(MAX(J1385/IF(CD1385&gt;0,CD1385,MAX(0.1,N(Cockpit!$I$6))),CG1385)/BV1385,0)*BV1385</f>
        <v>3</v>
      </c>
      <c r="AU1385" s="51" t="n">
        <f aca="false">IF(AR1385&gt;0,J1385/AR1385,-1)</f>
        <v>0.0347826086956522</v>
      </c>
      <c r="AV1385" s="51" t="n">
        <f aca="false">IF(AND(OR(CC1385="L1",CC1385="L23",CC1385="LIFT"),AR1385&gt;0),SUMIFS($AR$7:$AR$1843,$CC$7:$CC$1843,CC1385,$AU$7:$AU$1843,"&gt;"&amp;AU1385)+SUMIFS($AR$7:$AR$1843,$CC$7:$CC$1843,CC1385,$AU$7:$AU$1843,AU1385,$BT$7:$BT$1843,"&lt;="&amp;BT1385),"")</f>
        <v>30815.9285688417</v>
      </c>
      <c r="AW1385" s="58" t="n">
        <f aca="false">IF(AV1385="",0,MAX(0,MIN(1,(IF(CC1385="L1",Parameter!$H$5,IF(CC1385="L23",Parameter!$H$6+Parameter!$H$7,Parameter!$H$5+Parameter!$H$6+Parameter!$H$7))-(AV1385-AR1385))/AR1385)))</f>
        <v>1</v>
      </c>
      <c r="AX1385" s="50" t="n">
        <f aca="false">IF(LEFT(Cockpit!$O$5,1)="A",H1385,IF(CE1385=1,CF1385,IF(LEFT(Cockpit!$O$5,1)="B",BC1385,MAX(BC1385,H1385))))</f>
        <v>3</v>
      </c>
      <c r="AY1385" s="50" t="n">
        <f aca="false">IF(BW1385=1,0,ROUNDUP(AX1385/BV1385,0))</f>
        <v>1</v>
      </c>
      <c r="AZ1385" s="52" t="n">
        <f aca="false">IF(CL1385&gt;0,CL1385*MAX(1,AX1385/X1385),IF(BW1385=1,IF(AX1385&lt;=0,0,CA1385*MAX(1,IF(H1385&gt;0,AX1385/H1385,1))),IF(R1385&gt;0,AY1385/R1385,0))/MAX(0.1,N(Parameter!$M$21)))</f>
        <v>0.0833333333333333</v>
      </c>
      <c r="BA1385" s="50" t="n">
        <f aca="false">AZ1385*BY1385</f>
        <v>28.75</v>
      </c>
      <c r="BB1385" s="50" t="n">
        <f aca="false">AX1385*G1385</f>
        <v>4761.72</v>
      </c>
      <c r="BC1385" s="50" t="n">
        <f aca="false">ROUNDUP(MAX(J1385/IF(CD1385&gt;0,CD1385,MAX(0.1,N(Cockpit!$O$6))),CG1385)/BV1385,0)*BV1385</f>
        <v>3</v>
      </c>
      <c r="BD1385" s="51" t="n">
        <f aca="false">IF(BA1385&gt;0,J1385/BA1385,-1)</f>
        <v>0.0347826086956522</v>
      </c>
      <c r="BE1385" s="51" t="n">
        <f aca="false">IF(AND(OR(CC1385="L1",CC1385="L23",CC1385="LIFT"),BA1385&gt;0),SUMIFS($BA$7:$BA$1843,$CC$7:$CC$1843,CC1385,$BD$7:$BD$1843,"&gt;"&amp;BD1385)+SUMIFS($BA$7:$BA$1843,$CC$7:$CC$1843,CC1385,$BD$7:$BD$1843,BD1385,$BT$7:$BT$1843,"&lt;="&amp;BT1385),"")</f>
        <v>27490.9406107076</v>
      </c>
      <c r="BF1385" s="58" t="n">
        <f aca="false">IF(BE1385="",0,MAX(0,MIN(1,(IF(CC1385="L1",Parameter!$H$5,IF(CC1385="L23",Parameter!$H$6+Parameter!$H$7,Parameter!$H$5+Parameter!$H$6+Parameter!$H$7))-(BE1385-BA1385))/BA1385)))</f>
        <v>1</v>
      </c>
      <c r="BG1385" s="48" t="str">
        <f aca="false">IF(AI1385&lt;=0,"",IF(CC1385="Aussen","Aussenlager",IF(CC1385="-","Nicht im Lift",IF(AN1385&gt;=1,"Lift",IF(AN1385&lt;=0,"Aussenlager","teilweise")))))</f>
        <v>Lift</v>
      </c>
      <c r="BH1385" s="48" t="str">
        <f aca="false">IF(AR1385&lt;=0,"",IF(CC1385="Aussen","Aussenlager",IF(CC1385="-","Nicht im Lift",IF(AW1385&gt;=1,"Lift",IF(AW1385&lt;=0,"Aussenlager","teilweise")))))</f>
        <v>Lift</v>
      </c>
      <c r="BI1385" s="48" t="str">
        <f aca="false">IF(BA1385&lt;=0,"",IF(CC1385="Aussen","Aussenlager",IF(CC1385="-","Nicht im Lift",IF(BF1385&gt;=1,"Lift",IF(BF1385&lt;=0,"Aussenlager","teilweise")))))</f>
        <v>Lift</v>
      </c>
      <c r="BJ1385" s="48" t="str">
        <f aca="false">IF(A1385="","",IF(BS1385=1,"Neu; ","")&amp;IF(AND(BS1385=0,BN1385&lt;0),"negativer Bestand (Export "&amp;BN1385&amp;"); ","")&amp;IF(J1385&lt;=0,"Kein Verbrauch; ","")&amp;IF(CL1385&gt;0,"Lift "&amp;W1385&amp;" lt. Liftbericht (Fach "&amp;X1385&amp;" Stk); ",IF(BX1385=1,"Gebinde geschätzt ("&amp;T1385&amp;"); ",IF(BW1385=1,"Lose – Tablare geschätzt; ","")))&amp;IF(H1385&gt;AT1385,"Überbestand "&amp;ROUND(H1385-AT1385,0)&amp;" Stk / CHF "&amp;ROUND((H1385-AT1385)*G1385,0)&amp;"; ","")&amp;IF(AND(CE1385=1,CF1385&lt;CG1385),"MAX &lt; MB+LG; ","")&amp;IF(AND(CK1385&gt;0,CJ1385*10&gt;CK1385),"zu hoch für Tablar; ","")&amp;IF(AND(BS1385=0,OR(CE1385=1,AA1385&lt;&gt;"",U1385&lt;&gt;"",V1385&lt;&gt;"",AB1385&lt;&gt;"")),"manuell übersteuert; ","")&amp;IF(AND(BW1385=0,R1385=0),"Gebinde unbekannt / Stellmass fehlt; ","")&amp;IF(AND(BW1385=0,N(V1385)&lt;=0,N(Q1385)&lt;=0),"Menge pro Gebinde fehlt (Ist = 1 Gebinde); ","")&amp;BR1385)</f>
        <v>negativer Bestand (Export -2); </v>
      </c>
      <c r="BK1385" s="48"/>
      <c r="BL1385" s="48"/>
      <c r="BM1385" s="55"/>
      <c r="BN1385" s="50" t="n">
        <v>-2</v>
      </c>
      <c r="BO1385" s="50" t="n">
        <v>5</v>
      </c>
      <c r="BP1385" s="49" t="n">
        <v>-3174.48</v>
      </c>
      <c r="BQ1385" s="50" t="n">
        <v>1</v>
      </c>
      <c r="BR1385" s="48"/>
      <c r="BS1385" s="53" t="n">
        <v>0</v>
      </c>
      <c r="BT1385" s="53" t="n">
        <v>1385</v>
      </c>
      <c r="BU1385" s="48" t="str">
        <f aca="false">IF(U1385&lt;&gt;"",UPPER(TRIM(U1385)),IF(BX1385=1,UPPER(VLOOKUP(T1385,Parameter!$I$27:$K$29,2,0)),IF(P1385="","LOSE",P1385)))</f>
        <v>S63</v>
      </c>
      <c r="BV1385" s="50" t="n">
        <f aca="false">IF(BU1385="LOSE",1,IF(N(V1385)&gt;0,V1385,IF(BX1385=1,MAX(1,N(VLOOKUP(T1385,Parameter!$I$27:$K$29,3,0)),H1385,N(N1385)),IF(N(Q1385)&gt;0,Q1385,MAX(1,H1385)))))</f>
        <v>3</v>
      </c>
      <c r="BW1385" s="53" t="n">
        <f aca="false">IF(BU1385="LOSE",1,0)</f>
        <v>0</v>
      </c>
      <c r="BX1385" s="53" t="n">
        <f aca="false">IF(AND(U1385="",OR(P1385="",P1385="LOSE"),T1385&lt;&gt;"",N(S1385)&lt;=0,ISNUMBER(MATCH(T1385,Parameter!$I$27:$I$29,0))),1,0)</f>
        <v>0</v>
      </c>
      <c r="BY1385" s="53" t="n">
        <f aca="false">IF(CL1385&gt;0,INDEX(Parameter!$H$5:$H$7,W1385)/INDEX(Parameter!$E$5:$E$7,W1385),IF(AND(BW1385=0,N(IFERROR(VLOOKUP(BU1385,'Gebinde-Kategorie'!$A$5:$N$45,14,0),0))&gt;0),VLOOKUP(BU1385,'Gebinde-Kategorie'!$A$5:$N$45,14,0)*10+Parameter!$M$23,Parameter!$M$24))</f>
        <v>345</v>
      </c>
      <c r="BZ1385" s="48" t="str">
        <f aca="false">IF(AND(Parameter!$B$19="Ja",E1385&lt;&gt;"",ISNUMBER(MATCH(E1385,Parameter!$I$35:$I$52,0))),VLOOKUP(E1385,Parameter!$I$35:$J$52,2,0),IFERROR(VLOOKUP(D1385,Parameter!$A$35:$C$64,2,0),"Nein"))</f>
        <v>2+3</v>
      </c>
      <c r="CA1385" s="52" t="n">
        <f aca="false">IF(BW1385=0,0,IF(N(S1385)&gt;0,S1385,IFERROR(VLOOKUP(D1385,Parameter!$A$35:$C$64,3,0)+0,0)))</f>
        <v>0</v>
      </c>
      <c r="CB1385" s="48" t="n">
        <f aca="false">IF(AA1385&lt;&gt;"",AA1385,Z1385)</f>
        <v>2</v>
      </c>
      <c r="CC1385" s="48" t="str">
        <f aca="false">IF(OR(CB1385=1,CB1385=2,CB1385=3),IF(Parameter!$E$27="Ja","LIFT",IF(CB1385=1,"L1","L23")),IF(CB1385="Aussen","Aussen","-"))</f>
        <v>LIFT</v>
      </c>
      <c r="CD1385" s="59" t="n">
        <f aca="false">IF(N(AB1385)&gt;0,AB1385,0)</f>
        <v>0</v>
      </c>
      <c r="CE1385" s="53" t="n">
        <f aca="false">IF(ISNUMBER(AE1385),1,0)</f>
        <v>0</v>
      </c>
      <c r="CF1385" s="50" t="n">
        <f aca="false">N(AE1385)</f>
        <v>0</v>
      </c>
      <c r="CG1385" s="50" t="n">
        <f aca="false">N(M1385)+N(N1385)</f>
        <v>1</v>
      </c>
      <c r="CH1385" s="50" t="n">
        <f aca="false">ROUNDUP(H1385/BV1385,0)</f>
        <v>1</v>
      </c>
      <c r="CI1385" s="50" t="n">
        <f aca="false">ROUNDUP(CF1385/BV1385,0)</f>
        <v>0</v>
      </c>
      <c r="CJ1385" s="53" t="n">
        <f aca="false">IF(BW1385=1,0,IFERROR(VLOOKUP(BU1385,'Gebinde-Kategorie'!$A$5:$N$45,5,0)+0,0))</f>
        <v>31</v>
      </c>
      <c r="CK1385" s="53" t="n">
        <f aca="false">IFERROR(IF(OR(CB1385=1,CB1385=2,CB1385=3),N(INDEX(Parameter!$I$5:$I$7,CB1385)),0),0)</f>
        <v>0</v>
      </c>
      <c r="CL1385" s="52" t="n">
        <f aca="false">IF(AND(Parameter!$B$21="Ja",ISNUMBER(W1385),N(X1385)&gt;0),IFERROR(N(INDEX(Parameter!$L$5:$L$7,W1385))*INDEX(Parameter!$E$5:$E$7,W1385)*X1385/SUMIFS($X$7:$X$1843,$W$7:$W$1843,W1385),0),0)</f>
        <v>0</v>
      </c>
    </row>
    <row r="1386" customFormat="false" ht="15" hidden="false" customHeight="false" outlineLevel="0" collapsed="false">
      <c r="A1386" s="48" t="s">
        <v>2442</v>
      </c>
      <c r="B1386" s="48" t="s">
        <v>2362</v>
      </c>
      <c r="C1386" s="48" t="s">
        <v>460</v>
      </c>
      <c r="D1386" s="48" t="s">
        <v>357</v>
      </c>
      <c r="E1386" s="48"/>
      <c r="F1386" s="48" t="s">
        <v>222</v>
      </c>
      <c r="G1386" s="49" t="n">
        <v>1598.96</v>
      </c>
      <c r="H1386" s="50" t="n">
        <f aca="false">MAX(0,IF(AND(Parameter!$B$21="Ja",ISNUMBER(Y1386)),Y1386,IF(Parameter!$B$20="Jahresanfang 2025 + Export",BO1386+BN1386,BN1386)))</f>
        <v>0</v>
      </c>
      <c r="I1386" s="50" t="n">
        <f aca="false">H1386*G1386</f>
        <v>0</v>
      </c>
      <c r="J1386" s="50" t="n">
        <f aca="false">BQ1386*Parameter!$B$18</f>
        <v>0</v>
      </c>
      <c r="K1386" s="51" t="n">
        <v>1</v>
      </c>
      <c r="L1386" s="52" t="n">
        <v>0</v>
      </c>
      <c r="M1386" s="50" t="n">
        <v>0</v>
      </c>
      <c r="N1386" s="50" t="n">
        <v>1</v>
      </c>
      <c r="O1386" s="53" t="n">
        <v>0</v>
      </c>
      <c r="P1386" s="48" t="s">
        <v>172</v>
      </c>
      <c r="Q1386" s="50"/>
      <c r="R1386" s="53" t="n">
        <f aca="false">IF(BW1386=1,0,IFERROR(VLOOKUP(BU1386,'Gebinde-Kategorie'!$A$5:$N$45,13,0)+0,0))</f>
        <v>0</v>
      </c>
      <c r="S1386" s="54"/>
      <c r="T1386" s="55"/>
      <c r="U1386" s="55"/>
      <c r="V1386" s="55"/>
      <c r="W1386" s="48"/>
      <c r="X1386" s="50"/>
      <c r="Y1386" s="50"/>
      <c r="Z1386" s="48" t="str">
        <f aca="false">IF(A1386="","",IF(AND(Parameter!$B$21="Ja",ISNUMBER(W1386)),W1386,IF(BZ1386="2+3",IF(ISNUMBER(SEARCH("grosser Artikel",BR1386)),2,IFERROR(VLOOKUP(BU1386,Parameter!$F$35:$G$64,2,0),2)),IF(OR(BZ1386="Nein",BZ1386=""),"-",BZ1386))))</f>
        <v>-</v>
      </c>
      <c r="AA1386" s="55"/>
      <c r="AB1386" s="56"/>
      <c r="AC1386" s="50" t="n">
        <f aca="false">AT1386</f>
        <v>1</v>
      </c>
      <c r="AD1386" s="50" t="n">
        <f aca="false">MAX(AT1386,H1386)</f>
        <v>1</v>
      </c>
      <c r="AE1386" s="57"/>
      <c r="AF1386" s="50" t="n">
        <f aca="false">IF(LEFT(Cockpit!$C$5,1)="A",H1386,IF(CE1386=1,CF1386,IF(LEFT(Cockpit!$C$5,1)="B",AK1386,MAX(AK1386,H1386))))</f>
        <v>0</v>
      </c>
      <c r="AG1386" s="50" t="n">
        <f aca="false">IF(BW1386=1,0,ROUNDUP(AF1386/BV1386,0))</f>
        <v>0</v>
      </c>
      <c r="AH1386" s="52" t="n">
        <f aca="false">IF(CL1386&gt;0,CL1386*MAX(1,AF1386/X1386),IF(BW1386=1,IF(AF1386&lt;=0,0,CA1386*MAX(1,IF(H1386&gt;0,AF1386/H1386,1))),IF(R1386&gt;0,AG1386/R1386,0))/MAX(0.1,N(Parameter!$M$21)))</f>
        <v>0</v>
      </c>
      <c r="AI1386" s="50" t="n">
        <f aca="false">AH1386*BY1386</f>
        <v>0</v>
      </c>
      <c r="AJ1386" s="50" t="n">
        <f aca="false">AF1386*G1386</f>
        <v>0</v>
      </c>
      <c r="AK1386" s="50" t="n">
        <f aca="false">ROUNDUP(MAX(J1386/IF(CD1386&gt;0,CD1386,MAX(0.1,N(Cockpit!$C$6))),CG1386)/BV1386,0)*BV1386</f>
        <v>1</v>
      </c>
      <c r="AL1386" s="51" t="n">
        <f aca="false">IF(AI1386&gt;0,J1386/AI1386,-1)</f>
        <v>-1</v>
      </c>
      <c r="AM1386" s="51" t="str">
        <f aca="false">IF(AND(OR(CC1386="L1",CC1386="L23",CC1386="LIFT"),AI1386&gt;0),SUMIFS($AI$7:$AI$1843,$CC$7:$CC$1843,CC1386,$AL$7:$AL$1843,"&gt;"&amp;AL1386)+SUMIFS($AI$7:$AI$1843,$CC$7:$CC$1843,CC1386,$AL$7:$AL$1843,AL1386,$BT$7:$BT$1843,"&lt;="&amp;BT1386),"")</f>
        <v/>
      </c>
      <c r="AN1386" s="58" t="n">
        <f aca="false">IF(AM1386="",0,MAX(0,MIN(1,(IF(CC1386="L1",Parameter!$H$5,IF(CC1386="L23",Parameter!$H$6+Parameter!$H$7,Parameter!$H$5+Parameter!$H$6+Parameter!$H$7))-(AM1386-AI1386))/AI1386)))</f>
        <v>0</v>
      </c>
      <c r="AO1386" s="50" t="n">
        <f aca="false">IF(LEFT(Cockpit!$I$5,1)="A",H1386,IF(CE1386=1,CF1386,IF(LEFT(Cockpit!$I$5,1)="B",AT1386,MAX(AT1386,H1386))))</f>
        <v>1</v>
      </c>
      <c r="AP1386" s="50" t="n">
        <f aca="false">IF(BW1386=1,0,ROUNDUP(AO1386/BV1386,0))</f>
        <v>0</v>
      </c>
      <c r="AQ1386" s="52" t="n">
        <f aca="false">IF(CL1386&gt;0,CL1386*MAX(1,AO1386/X1386),IF(BW1386=1,IF(AO1386&lt;=0,0,CA1386*MAX(1,IF(H1386&gt;0,AO1386/H1386,1))),IF(R1386&gt;0,AP1386/R1386,0))/MAX(0.1,N(Parameter!$M$21)))</f>
        <v>0.15</v>
      </c>
      <c r="AR1386" s="50" t="n">
        <f aca="false">AQ1386*BY1386</f>
        <v>35.25</v>
      </c>
      <c r="AS1386" s="50" t="n">
        <f aca="false">AO1386*G1386</f>
        <v>1598.96</v>
      </c>
      <c r="AT1386" s="50" t="n">
        <f aca="false">ROUNDUP(MAX(J1386/IF(CD1386&gt;0,CD1386,MAX(0.1,N(Cockpit!$I$6))),CG1386)/BV1386,0)*BV1386</f>
        <v>1</v>
      </c>
      <c r="AU1386" s="51" t="n">
        <f aca="false">IF(AR1386&gt;0,J1386/AR1386,-1)</f>
        <v>0</v>
      </c>
      <c r="AV1386" s="51" t="str">
        <f aca="false">IF(AND(OR(CC1386="L1",CC1386="L23",CC1386="LIFT"),AR1386&gt;0),SUMIFS($AR$7:$AR$1843,$CC$7:$CC$1843,CC1386,$AU$7:$AU$1843,"&gt;"&amp;AU1386)+SUMIFS($AR$7:$AR$1843,$CC$7:$CC$1843,CC1386,$AU$7:$AU$1843,AU1386,$BT$7:$BT$1843,"&lt;="&amp;BT1386),"")</f>
        <v/>
      </c>
      <c r="AW1386" s="58" t="n">
        <f aca="false">IF(AV1386="",0,MAX(0,MIN(1,(IF(CC1386="L1",Parameter!$H$5,IF(CC1386="L23",Parameter!$H$6+Parameter!$H$7,Parameter!$H$5+Parameter!$H$6+Parameter!$H$7))-(AV1386-AR1386))/AR1386)))</f>
        <v>0</v>
      </c>
      <c r="AX1386" s="50" t="n">
        <f aca="false">IF(LEFT(Cockpit!$O$5,1)="A",H1386,IF(CE1386=1,CF1386,IF(LEFT(Cockpit!$O$5,1)="B",BC1386,MAX(BC1386,H1386))))</f>
        <v>1</v>
      </c>
      <c r="AY1386" s="50" t="n">
        <f aca="false">IF(BW1386=1,0,ROUNDUP(AX1386/BV1386,0))</f>
        <v>0</v>
      </c>
      <c r="AZ1386" s="52" t="n">
        <f aca="false">IF(CL1386&gt;0,CL1386*MAX(1,AX1386/X1386),IF(BW1386=1,IF(AX1386&lt;=0,0,CA1386*MAX(1,IF(H1386&gt;0,AX1386/H1386,1))),IF(R1386&gt;0,AY1386/R1386,0))/MAX(0.1,N(Parameter!$M$21)))</f>
        <v>0.15</v>
      </c>
      <c r="BA1386" s="50" t="n">
        <f aca="false">AZ1386*BY1386</f>
        <v>35.25</v>
      </c>
      <c r="BB1386" s="50" t="n">
        <f aca="false">AX1386*G1386</f>
        <v>1598.96</v>
      </c>
      <c r="BC1386" s="50" t="n">
        <f aca="false">ROUNDUP(MAX(J1386/IF(CD1386&gt;0,CD1386,MAX(0.1,N(Cockpit!$O$6))),CG1386)/BV1386,0)*BV1386</f>
        <v>1</v>
      </c>
      <c r="BD1386" s="51" t="n">
        <f aca="false">IF(BA1386&gt;0,J1386/BA1386,-1)</f>
        <v>0</v>
      </c>
      <c r="BE1386" s="51" t="str">
        <f aca="false">IF(AND(OR(CC1386="L1",CC1386="L23",CC1386="LIFT"),BA1386&gt;0),SUMIFS($BA$7:$BA$1843,$CC$7:$CC$1843,CC1386,$BD$7:$BD$1843,"&gt;"&amp;BD1386)+SUMIFS($BA$7:$BA$1843,$CC$7:$CC$1843,CC1386,$BD$7:$BD$1843,BD1386,$BT$7:$BT$1843,"&lt;="&amp;BT1386),"")</f>
        <v/>
      </c>
      <c r="BF1386" s="58" t="n">
        <f aca="false">IF(BE1386="",0,MAX(0,MIN(1,(IF(CC1386="L1",Parameter!$H$5,IF(CC1386="L23",Parameter!$H$6+Parameter!$H$7,Parameter!$H$5+Parameter!$H$6+Parameter!$H$7))-(BE1386-BA1386))/BA1386)))</f>
        <v>0</v>
      </c>
      <c r="BG1386" s="48" t="str">
        <f aca="false">IF(AI1386&lt;=0,"",IF(CC1386="Aussen","Aussenlager",IF(CC1386="-","Nicht im Lift",IF(AN1386&gt;=1,"Lift",IF(AN1386&lt;=0,"Aussenlager","teilweise")))))</f>
        <v/>
      </c>
      <c r="BH1386" s="48" t="str">
        <f aca="false">IF(AR1386&lt;=0,"",IF(CC1386="Aussen","Aussenlager",IF(CC1386="-","Nicht im Lift",IF(AW1386&gt;=1,"Lift",IF(AW1386&lt;=0,"Aussenlager","teilweise")))))</f>
        <v>Nicht im Lift</v>
      </c>
      <c r="BI1386" s="48" t="str">
        <f aca="false">IF(BA1386&lt;=0,"",IF(CC1386="Aussen","Aussenlager",IF(CC1386="-","Nicht im Lift",IF(BF1386&gt;=1,"Lift",IF(BF1386&lt;=0,"Aussenlager","teilweise")))))</f>
        <v>Nicht im Lift</v>
      </c>
      <c r="BJ1386" s="48" t="str">
        <f aca="false">IF(A1386="","",IF(BS1386=1,"Neu; ","")&amp;IF(AND(BS1386=0,BN1386&lt;0),"negativer Bestand (Export "&amp;BN1386&amp;"); ","")&amp;IF(J1386&lt;=0,"Kein Verbrauch; ","")&amp;IF(CL1386&gt;0,"Lift "&amp;W1386&amp;" lt. Liftbericht (Fach "&amp;X1386&amp;" Stk); ",IF(BX1386=1,"Gebinde geschätzt ("&amp;T1386&amp;"); ",IF(BW1386=1,"Lose – Tablare geschätzt; ","")))&amp;IF(H1386&gt;AT1386,"Überbestand "&amp;ROUND(H1386-AT1386,0)&amp;" Stk / CHF "&amp;ROUND((H1386-AT1386)*G1386,0)&amp;"; ","")&amp;IF(AND(CE1386=1,CF1386&lt;CG1386),"MAX &lt; MB+LG; ","")&amp;IF(AND(CK1386&gt;0,CJ1386*10&gt;CK1386),"zu hoch für Tablar; ","")&amp;IF(AND(BS1386=0,OR(CE1386=1,AA1386&lt;&gt;"",U1386&lt;&gt;"",V1386&lt;&gt;"",AB1386&lt;&gt;"")),"manuell übersteuert; ","")&amp;IF(AND(BW1386=0,R1386=0),"Gebinde unbekannt / Stellmass fehlt; ","")&amp;IF(AND(BW1386=0,N(V1386)&lt;=0,N(Q1386)&lt;=0),"Menge pro Gebinde fehlt (Ist = 1 Gebinde); ","")&amp;BR1386)</f>
        <v>negativer Bestand (Export -2); Kein Verbrauch; Lose – Tablare geschätzt; </v>
      </c>
      <c r="BK1386" s="48"/>
      <c r="BL1386" s="48"/>
      <c r="BM1386" s="55"/>
      <c r="BN1386" s="50" t="n">
        <v>-2</v>
      </c>
      <c r="BO1386" s="50" t="n">
        <v>2</v>
      </c>
      <c r="BP1386" s="49" t="n">
        <v>-3197.92</v>
      </c>
      <c r="BQ1386" s="50" t="n">
        <v>0</v>
      </c>
      <c r="BR1386" s="48"/>
      <c r="BS1386" s="53" t="n">
        <v>0</v>
      </c>
      <c r="BT1386" s="53" t="n">
        <v>1386</v>
      </c>
      <c r="BU1386" s="48" t="str">
        <f aca="false">IF(U1386&lt;&gt;"",UPPER(TRIM(U1386)),IF(BX1386=1,UPPER(VLOOKUP(T1386,Parameter!$I$27:$K$29,2,0)),IF(P1386="","LOSE",P1386)))</f>
        <v>LOSE</v>
      </c>
      <c r="BV1386" s="50" t="n">
        <f aca="false">IF(BU1386="LOSE",1,IF(N(V1386)&gt;0,V1386,IF(BX1386=1,MAX(1,N(VLOOKUP(T1386,Parameter!$I$27:$K$29,3,0)),H1386,N(N1386)),IF(N(Q1386)&gt;0,Q1386,MAX(1,H1386)))))</f>
        <v>1</v>
      </c>
      <c r="BW1386" s="53" t="n">
        <f aca="false">IF(BU1386="LOSE",1,0)</f>
        <v>1</v>
      </c>
      <c r="BX1386" s="53" t="n">
        <f aca="false">IF(AND(U1386="",OR(P1386="",P1386="LOSE"),T1386&lt;&gt;"",N(S1386)&lt;=0,ISNUMBER(MATCH(T1386,Parameter!$I$27:$I$29,0))),1,0)</f>
        <v>0</v>
      </c>
      <c r="BY1386" s="53" t="n">
        <f aca="false">IF(CL1386&gt;0,INDEX(Parameter!$H$5:$H$7,W1386)/INDEX(Parameter!$E$5:$E$7,W1386),IF(AND(BW1386=0,N(IFERROR(VLOOKUP(BU1386,'Gebinde-Kategorie'!$A$5:$N$45,14,0),0))&gt;0),VLOOKUP(BU1386,'Gebinde-Kategorie'!$A$5:$N$45,14,0)*10+Parameter!$M$23,Parameter!$M$24))</f>
        <v>235</v>
      </c>
      <c r="BZ1386" s="48" t="str">
        <f aca="false">IF(AND(Parameter!$B$19="Ja",E1386&lt;&gt;"",ISNUMBER(MATCH(E1386,Parameter!$I$35:$I$52,0))),VLOOKUP(E1386,Parameter!$I$35:$J$52,2,0),IFERROR(VLOOKUP(D1386,Parameter!$A$35:$C$64,2,0),"Nein"))</f>
        <v>Nein</v>
      </c>
      <c r="CA1386" s="52" t="n">
        <f aca="false">IF(BW1386=0,0,IF(N(S1386)&gt;0,S1386,IFERROR(VLOOKUP(D1386,Parameter!$A$35:$C$64,3,0)+0,0)))</f>
        <v>0.15</v>
      </c>
      <c r="CB1386" s="48" t="str">
        <f aca="false">IF(AA1386&lt;&gt;"",AA1386,Z1386)</f>
        <v>-</v>
      </c>
      <c r="CC1386" s="48" t="str">
        <f aca="false">IF(OR(CB1386=1,CB1386=2,CB1386=3),IF(Parameter!$E$27="Ja","LIFT",IF(CB1386=1,"L1","L23")),IF(CB1386="Aussen","Aussen","-"))</f>
        <v>-</v>
      </c>
      <c r="CD1386" s="59" t="n">
        <f aca="false">IF(N(AB1386)&gt;0,AB1386,0)</f>
        <v>0</v>
      </c>
      <c r="CE1386" s="53" t="n">
        <f aca="false">IF(ISNUMBER(AE1386),1,0)</f>
        <v>0</v>
      </c>
      <c r="CF1386" s="50" t="n">
        <f aca="false">N(AE1386)</f>
        <v>0</v>
      </c>
      <c r="CG1386" s="50" t="n">
        <f aca="false">N(M1386)+N(N1386)</f>
        <v>1</v>
      </c>
      <c r="CH1386" s="50" t="n">
        <f aca="false">ROUNDUP(H1386/BV1386,0)</f>
        <v>0</v>
      </c>
      <c r="CI1386" s="50" t="n">
        <f aca="false">ROUNDUP(CF1386/BV1386,0)</f>
        <v>0</v>
      </c>
      <c r="CJ1386" s="53" t="n">
        <f aca="false">IF(BW1386=1,0,IFERROR(VLOOKUP(BU1386,'Gebinde-Kategorie'!$A$5:$N$45,5,0)+0,0))</f>
        <v>0</v>
      </c>
      <c r="CK1386" s="53" t="n">
        <f aca="false">IFERROR(IF(OR(CB1386=1,CB1386=2,CB1386=3),N(INDEX(Parameter!$I$5:$I$7,CB1386)),0),0)</f>
        <v>0</v>
      </c>
      <c r="CL1386" s="52" t="n">
        <f aca="false">IF(AND(Parameter!$B$21="Ja",ISNUMBER(W1386),N(X1386)&gt;0),IFERROR(N(INDEX(Parameter!$L$5:$L$7,W1386))*INDEX(Parameter!$E$5:$E$7,W1386)*X1386/SUMIFS($X$7:$X$1843,$W$7:$W$1843,W1386),0),0)</f>
        <v>0</v>
      </c>
    </row>
    <row r="1387" customFormat="false" ht="15" hidden="false" customHeight="false" outlineLevel="0" collapsed="false">
      <c r="A1387" s="48" t="s">
        <v>2443</v>
      </c>
      <c r="B1387" s="48" t="s">
        <v>2444</v>
      </c>
      <c r="C1387" s="48" t="s">
        <v>168</v>
      </c>
      <c r="D1387" s="48" t="s">
        <v>177</v>
      </c>
      <c r="E1387" s="48" t="s">
        <v>177</v>
      </c>
      <c r="F1387" s="48" t="s">
        <v>222</v>
      </c>
      <c r="G1387" s="49" t="n">
        <v>570</v>
      </c>
      <c r="H1387" s="50" t="n">
        <f aca="false">MAX(0,IF(AND(Parameter!$B$21="Ja",ISNUMBER(Y1387)),Y1387,IF(Parameter!$B$20="Jahresanfang 2025 + Export",BO1387+BN1387,BN1387)))</f>
        <v>2</v>
      </c>
      <c r="I1387" s="50" t="n">
        <f aca="false">H1387*G1387</f>
        <v>1140</v>
      </c>
      <c r="J1387" s="50" t="n">
        <f aca="false">BQ1387*Parameter!$B$18</f>
        <v>8</v>
      </c>
      <c r="K1387" s="51" t="n">
        <v>6.5</v>
      </c>
      <c r="L1387" s="52" t="n">
        <v>1.23076923076923</v>
      </c>
      <c r="M1387" s="50" t="n">
        <v>0</v>
      </c>
      <c r="N1387" s="50" t="n">
        <v>1</v>
      </c>
      <c r="O1387" s="53" t="n">
        <v>35</v>
      </c>
      <c r="P1387" s="48" t="s">
        <v>352</v>
      </c>
      <c r="Q1387" s="50" t="n">
        <v>4</v>
      </c>
      <c r="R1387" s="53" t="n">
        <f aca="false">IF(BW1387=1,0,IFERROR(VLOOKUP(BU1387,'Gebinde-Kategorie'!$A$5:$N$45,13,0)+0,0))</f>
        <v>4</v>
      </c>
      <c r="S1387" s="54"/>
      <c r="T1387" s="55"/>
      <c r="U1387" s="55"/>
      <c r="V1387" s="55"/>
      <c r="W1387" s="48"/>
      <c r="X1387" s="50"/>
      <c r="Y1387" s="50"/>
      <c r="Z1387" s="48" t="str">
        <f aca="false">IF(A1387="","",IF(AND(Parameter!$B$21="Ja",ISNUMBER(W1387)),W1387,IF(BZ1387="2+3",IF(ISNUMBER(SEARCH("grosser Artikel",BR1387)),2,IFERROR(VLOOKUP(BU1387,Parameter!$F$35:$G$64,2,0),2)),IF(OR(BZ1387="Nein",BZ1387=""),"-",BZ1387))))</f>
        <v>-</v>
      </c>
      <c r="AA1387" s="55"/>
      <c r="AB1387" s="56"/>
      <c r="AC1387" s="50" t="n">
        <f aca="false">AT1387</f>
        <v>4</v>
      </c>
      <c r="AD1387" s="50" t="n">
        <f aca="false">MAX(AT1387,H1387)</f>
        <v>4</v>
      </c>
      <c r="AE1387" s="57"/>
      <c r="AF1387" s="50" t="n">
        <f aca="false">IF(LEFT(Cockpit!$C$5,1)="A",H1387,IF(CE1387=1,CF1387,IF(LEFT(Cockpit!$C$5,1)="B",AK1387,MAX(AK1387,H1387))))</f>
        <v>2</v>
      </c>
      <c r="AG1387" s="50" t="n">
        <f aca="false">IF(BW1387=1,0,ROUNDUP(AF1387/BV1387,0))</f>
        <v>1</v>
      </c>
      <c r="AH1387" s="52" t="n">
        <f aca="false">IF(CL1387&gt;0,CL1387*MAX(1,AF1387/X1387),IF(BW1387=1,IF(AF1387&lt;=0,0,CA1387*MAX(1,IF(H1387&gt;0,AF1387/H1387,1))),IF(R1387&gt;0,AG1387/R1387,0))/MAX(0.1,N(Parameter!$M$21)))</f>
        <v>0.25</v>
      </c>
      <c r="AI1387" s="50" t="n">
        <f aca="false">AH1387*BY1387</f>
        <v>108.75</v>
      </c>
      <c r="AJ1387" s="50" t="n">
        <f aca="false">AF1387*G1387</f>
        <v>1140</v>
      </c>
      <c r="AK1387" s="50" t="n">
        <f aca="false">ROUNDUP(MAX(J1387/IF(CD1387&gt;0,CD1387,MAX(0.1,N(Cockpit!$C$6))),CG1387)/BV1387,0)*BV1387</f>
        <v>4</v>
      </c>
      <c r="AL1387" s="51" t="n">
        <f aca="false">IF(AI1387&gt;0,J1387/AI1387,-1)</f>
        <v>0.0735632183908046</v>
      </c>
      <c r="AM1387" s="51" t="str">
        <f aca="false">IF(AND(OR(CC1387="L1",CC1387="L23",CC1387="LIFT"),AI1387&gt;0),SUMIFS($AI$7:$AI$1843,$CC$7:$CC$1843,CC1387,$AL$7:$AL$1843,"&gt;"&amp;AL1387)+SUMIFS($AI$7:$AI$1843,$CC$7:$CC$1843,CC1387,$AL$7:$AL$1843,AL1387,$BT$7:$BT$1843,"&lt;="&amp;BT1387),"")</f>
        <v/>
      </c>
      <c r="AN1387" s="58" t="n">
        <f aca="false">IF(AM1387="",0,MAX(0,MIN(1,(IF(CC1387="L1",Parameter!$H$5,IF(CC1387="L23",Parameter!$H$6+Parameter!$H$7,Parameter!$H$5+Parameter!$H$6+Parameter!$H$7))-(AM1387-AI1387))/AI1387)))</f>
        <v>0</v>
      </c>
      <c r="AO1387" s="50" t="n">
        <f aca="false">IF(LEFT(Cockpit!$I$5,1)="A",H1387,IF(CE1387=1,CF1387,IF(LEFT(Cockpit!$I$5,1)="B",AT1387,MAX(AT1387,H1387))))</f>
        <v>4</v>
      </c>
      <c r="AP1387" s="50" t="n">
        <f aca="false">IF(BW1387=1,0,ROUNDUP(AO1387/BV1387,0))</f>
        <v>1</v>
      </c>
      <c r="AQ1387" s="52" t="n">
        <f aca="false">IF(CL1387&gt;0,CL1387*MAX(1,AO1387/X1387),IF(BW1387=1,IF(AO1387&lt;=0,0,CA1387*MAX(1,IF(H1387&gt;0,AO1387/H1387,1))),IF(R1387&gt;0,AP1387/R1387,0))/MAX(0.1,N(Parameter!$M$21)))</f>
        <v>0.25</v>
      </c>
      <c r="AR1387" s="50" t="n">
        <f aca="false">AQ1387*BY1387</f>
        <v>108.75</v>
      </c>
      <c r="AS1387" s="50" t="n">
        <f aca="false">AO1387*G1387</f>
        <v>2280</v>
      </c>
      <c r="AT1387" s="50" t="n">
        <f aca="false">ROUNDUP(MAX(J1387/IF(CD1387&gt;0,CD1387,MAX(0.1,N(Cockpit!$I$6))),CG1387)/BV1387,0)*BV1387</f>
        <v>4</v>
      </c>
      <c r="AU1387" s="51" t="n">
        <f aca="false">IF(AR1387&gt;0,J1387/AR1387,-1)</f>
        <v>0.0735632183908046</v>
      </c>
      <c r="AV1387" s="51" t="str">
        <f aca="false">IF(AND(OR(CC1387="L1",CC1387="L23",CC1387="LIFT"),AR1387&gt;0),SUMIFS($AR$7:$AR$1843,$CC$7:$CC$1843,CC1387,$AU$7:$AU$1843,"&gt;"&amp;AU1387)+SUMIFS($AR$7:$AR$1843,$CC$7:$CC$1843,CC1387,$AU$7:$AU$1843,AU1387,$BT$7:$BT$1843,"&lt;="&amp;BT1387),"")</f>
        <v/>
      </c>
      <c r="AW1387" s="58" t="n">
        <f aca="false">IF(AV1387="",0,MAX(0,MIN(1,(IF(CC1387="L1",Parameter!$H$5,IF(CC1387="L23",Parameter!$H$6+Parameter!$H$7,Parameter!$H$5+Parameter!$H$6+Parameter!$H$7))-(AV1387-AR1387))/AR1387)))</f>
        <v>0</v>
      </c>
      <c r="AX1387" s="50" t="n">
        <f aca="false">IF(LEFT(Cockpit!$O$5,1)="A",H1387,IF(CE1387=1,CF1387,IF(LEFT(Cockpit!$O$5,1)="B",BC1387,MAX(BC1387,H1387))))</f>
        <v>4</v>
      </c>
      <c r="AY1387" s="50" t="n">
        <f aca="false">IF(BW1387=1,0,ROUNDUP(AX1387/BV1387,0))</f>
        <v>1</v>
      </c>
      <c r="AZ1387" s="52" t="n">
        <f aca="false">IF(CL1387&gt;0,CL1387*MAX(1,AX1387/X1387),IF(BW1387=1,IF(AX1387&lt;=0,0,CA1387*MAX(1,IF(H1387&gt;0,AX1387/H1387,1))),IF(R1387&gt;0,AY1387/R1387,0))/MAX(0.1,N(Parameter!$M$21)))</f>
        <v>0.25</v>
      </c>
      <c r="BA1387" s="50" t="n">
        <f aca="false">AZ1387*BY1387</f>
        <v>108.75</v>
      </c>
      <c r="BB1387" s="50" t="n">
        <f aca="false">AX1387*G1387</f>
        <v>2280</v>
      </c>
      <c r="BC1387" s="50" t="n">
        <f aca="false">ROUNDUP(MAX(J1387/IF(CD1387&gt;0,CD1387,MAX(0.1,N(Cockpit!$O$6))),CG1387)/BV1387,0)*BV1387</f>
        <v>4</v>
      </c>
      <c r="BD1387" s="51" t="n">
        <f aca="false">IF(BA1387&gt;0,J1387/BA1387,-1)</f>
        <v>0.0735632183908046</v>
      </c>
      <c r="BE1387" s="51" t="str">
        <f aca="false">IF(AND(OR(CC1387="L1",CC1387="L23",CC1387="LIFT"),BA1387&gt;0),SUMIFS($BA$7:$BA$1843,$CC$7:$CC$1843,CC1387,$BD$7:$BD$1843,"&gt;"&amp;BD1387)+SUMIFS($BA$7:$BA$1843,$CC$7:$CC$1843,CC1387,$BD$7:$BD$1843,BD1387,$BT$7:$BT$1843,"&lt;="&amp;BT1387),"")</f>
        <v/>
      </c>
      <c r="BF1387" s="58" t="n">
        <f aca="false">IF(BE1387="",0,MAX(0,MIN(1,(IF(CC1387="L1",Parameter!$H$5,IF(CC1387="L23",Parameter!$H$6+Parameter!$H$7,Parameter!$H$5+Parameter!$H$6+Parameter!$H$7))-(BE1387-BA1387))/BA1387)))</f>
        <v>0</v>
      </c>
      <c r="BG1387" s="48" t="str">
        <f aca="false">IF(AI1387&lt;=0,"",IF(CC1387="Aussen","Aussenlager",IF(CC1387="-","Nicht im Lift",IF(AN1387&gt;=1,"Lift",IF(AN1387&lt;=0,"Aussenlager","teilweise")))))</f>
        <v>Nicht im Lift</v>
      </c>
      <c r="BH1387" s="48" t="str">
        <f aca="false">IF(AR1387&lt;=0,"",IF(CC1387="Aussen","Aussenlager",IF(CC1387="-","Nicht im Lift",IF(AW1387&gt;=1,"Lift",IF(AW1387&lt;=0,"Aussenlager","teilweise")))))</f>
        <v>Nicht im Lift</v>
      </c>
      <c r="BI1387" s="48" t="str">
        <f aca="false">IF(BA1387&lt;=0,"",IF(CC1387="Aussen","Aussenlager",IF(CC1387="-","Nicht im Lift",IF(BF1387&gt;=1,"Lift",IF(BF1387&lt;=0,"Aussenlager","teilweise")))))</f>
        <v>Nicht im Lift</v>
      </c>
      <c r="BJ1387" s="48" t="str">
        <f aca="false">IF(A1387="","",IF(BS1387=1,"Neu; ","")&amp;IF(AND(BS1387=0,BN1387&lt;0),"negativer Bestand (Export "&amp;BN1387&amp;"); ","")&amp;IF(J1387&lt;=0,"Kein Verbrauch; ","")&amp;IF(CL1387&gt;0,"Lift "&amp;W1387&amp;" lt. Liftbericht (Fach "&amp;X1387&amp;" Stk); ",IF(BX1387=1,"Gebinde geschätzt ("&amp;T1387&amp;"); ",IF(BW1387=1,"Lose – Tablare geschätzt; ","")))&amp;IF(H1387&gt;AT1387,"Überbestand "&amp;ROUND(H1387-AT1387,0)&amp;" Stk / CHF "&amp;ROUND((H1387-AT1387)*G1387,0)&amp;"; ","")&amp;IF(AND(CE1387=1,CF1387&lt;CG1387),"MAX &lt; MB+LG; ","")&amp;IF(AND(CK1387&gt;0,CJ1387*10&gt;CK1387),"zu hoch für Tablar; ","")&amp;IF(AND(BS1387=0,OR(CE1387=1,AA1387&lt;&gt;"",U1387&lt;&gt;"",V1387&lt;&gt;"",AB1387&lt;&gt;"")),"manuell übersteuert; ","")&amp;IF(AND(BW1387=0,R1387=0),"Gebinde unbekannt / Stellmass fehlt; ","")&amp;IF(AND(BW1387=0,N(V1387)&lt;=0,N(Q1387)&lt;=0),"Menge pro Gebinde fehlt (Ist = 1 Gebinde); ","")&amp;BR1387)</f>
        <v>negativer Bestand (Export -9); Neu</v>
      </c>
      <c r="BK1387" s="48"/>
      <c r="BL1387" s="48"/>
      <c r="BM1387" s="55"/>
      <c r="BN1387" s="50" t="n">
        <v>-9</v>
      </c>
      <c r="BO1387" s="50" t="n">
        <v>11</v>
      </c>
      <c r="BP1387" s="49" t="n">
        <v>-3208.63</v>
      </c>
      <c r="BQ1387" s="50" t="n">
        <v>8</v>
      </c>
      <c r="BR1387" s="48" t="s">
        <v>630</v>
      </c>
      <c r="BS1387" s="53" t="n">
        <v>0</v>
      </c>
      <c r="BT1387" s="53" t="n">
        <v>1387</v>
      </c>
      <c r="BU1387" s="48" t="str">
        <f aca="false">IF(U1387&lt;&gt;"",UPPER(TRIM(U1387)),IF(BX1387=1,UPPER(VLOOKUP(T1387,Parameter!$I$27:$K$29,2,0)),IF(P1387="","LOSE",P1387)))</f>
        <v>S82</v>
      </c>
      <c r="BV1387" s="50" t="n">
        <f aca="false">IF(BU1387="LOSE",1,IF(N(V1387)&gt;0,V1387,IF(BX1387=1,MAX(1,N(VLOOKUP(T1387,Parameter!$I$27:$K$29,3,0)),H1387,N(N1387)),IF(N(Q1387)&gt;0,Q1387,MAX(1,H1387)))))</f>
        <v>4</v>
      </c>
      <c r="BW1387" s="53" t="n">
        <f aca="false">IF(BU1387="LOSE",1,0)</f>
        <v>0</v>
      </c>
      <c r="BX1387" s="53" t="n">
        <f aca="false">IF(AND(U1387="",OR(P1387="",P1387="LOSE"),T1387&lt;&gt;"",N(S1387)&lt;=0,ISNUMBER(MATCH(T1387,Parameter!$I$27:$I$29,0))),1,0)</f>
        <v>0</v>
      </c>
      <c r="BY1387" s="53" t="n">
        <f aca="false">IF(CL1387&gt;0,INDEX(Parameter!$H$5:$H$7,W1387)/INDEX(Parameter!$E$5:$E$7,W1387),IF(AND(BW1387=0,N(IFERROR(VLOOKUP(BU1387,'Gebinde-Kategorie'!$A$5:$N$45,14,0),0))&gt;0),VLOOKUP(BU1387,'Gebinde-Kategorie'!$A$5:$N$45,14,0)*10+Parameter!$M$23,Parameter!$M$24))</f>
        <v>435</v>
      </c>
      <c r="BZ1387" s="48" t="str">
        <f aca="false">IF(AND(Parameter!$B$19="Ja",E1387&lt;&gt;"",ISNUMBER(MATCH(E1387,Parameter!$I$35:$I$52,0))),VLOOKUP(E1387,Parameter!$I$35:$J$52,2,0),IFERROR(VLOOKUP(D1387,Parameter!$A$35:$C$64,2,0),"Nein"))</f>
        <v>Nein</v>
      </c>
      <c r="CA1387" s="52" t="n">
        <f aca="false">IF(BW1387=0,0,IF(N(S1387)&gt;0,S1387,IFERROR(VLOOKUP(D1387,Parameter!$A$35:$C$64,3,0)+0,0)))</f>
        <v>0</v>
      </c>
      <c r="CB1387" s="48" t="str">
        <f aca="false">IF(AA1387&lt;&gt;"",AA1387,Z1387)</f>
        <v>-</v>
      </c>
      <c r="CC1387" s="48" t="str">
        <f aca="false">IF(OR(CB1387=1,CB1387=2,CB1387=3),IF(Parameter!$E$27="Ja","LIFT",IF(CB1387=1,"L1","L23")),IF(CB1387="Aussen","Aussen","-"))</f>
        <v>-</v>
      </c>
      <c r="CD1387" s="59" t="n">
        <f aca="false">IF(N(AB1387)&gt;0,AB1387,0)</f>
        <v>0</v>
      </c>
      <c r="CE1387" s="53" t="n">
        <f aca="false">IF(ISNUMBER(AE1387),1,0)</f>
        <v>0</v>
      </c>
      <c r="CF1387" s="50" t="n">
        <f aca="false">N(AE1387)</f>
        <v>0</v>
      </c>
      <c r="CG1387" s="50" t="n">
        <f aca="false">N(M1387)+N(N1387)</f>
        <v>1</v>
      </c>
      <c r="CH1387" s="50" t="n">
        <f aca="false">ROUNDUP(H1387/BV1387,0)</f>
        <v>1</v>
      </c>
      <c r="CI1387" s="50" t="n">
        <f aca="false">ROUNDUP(CF1387/BV1387,0)</f>
        <v>0</v>
      </c>
      <c r="CJ1387" s="53" t="n">
        <f aca="false">IF(BW1387=1,0,IFERROR(VLOOKUP(BU1387,'Gebinde-Kategorie'!$A$5:$N$45,5,0)+0,0))</f>
        <v>40</v>
      </c>
      <c r="CK1387" s="53" t="n">
        <f aca="false">IFERROR(IF(OR(CB1387=1,CB1387=2,CB1387=3),N(INDEX(Parameter!$I$5:$I$7,CB1387)),0),0)</f>
        <v>0</v>
      </c>
      <c r="CL1387" s="52" t="n">
        <f aca="false">IF(AND(Parameter!$B$21="Ja",ISNUMBER(W1387),N(X1387)&gt;0),IFERROR(N(INDEX(Parameter!$L$5:$L$7,W1387))*INDEX(Parameter!$E$5:$E$7,W1387)*X1387/SUMIFS($X$7:$X$1843,$W$7:$W$1843,W1387),0),0)</f>
        <v>0</v>
      </c>
    </row>
    <row r="1388" customFormat="false" ht="15" hidden="false" customHeight="false" outlineLevel="0" collapsed="false">
      <c r="A1388" s="48" t="s">
        <v>2445</v>
      </c>
      <c r="B1388" s="48" t="s">
        <v>2446</v>
      </c>
      <c r="C1388" s="48" t="s">
        <v>168</v>
      </c>
      <c r="D1388" s="48" t="s">
        <v>188</v>
      </c>
      <c r="E1388" s="48" t="s">
        <v>189</v>
      </c>
      <c r="F1388" s="48" t="s">
        <v>222</v>
      </c>
      <c r="G1388" s="49" t="n">
        <v>365.34</v>
      </c>
      <c r="H1388" s="50" t="n">
        <f aca="false">MAX(0,IF(AND(Parameter!$B$21="Ja",ISNUMBER(Y1388)),Y1388,IF(Parameter!$B$20="Jahresanfang 2025 + Export",BO1388+BN1388,BN1388)))</f>
        <v>15</v>
      </c>
      <c r="I1388" s="50" t="n">
        <f aca="false">H1388*G1388</f>
        <v>5480.1</v>
      </c>
      <c r="J1388" s="50" t="n">
        <f aca="false">BQ1388*Parameter!$B$18</f>
        <v>20</v>
      </c>
      <c r="K1388" s="51" t="n">
        <v>20</v>
      </c>
      <c r="L1388" s="52" t="n">
        <v>1</v>
      </c>
      <c r="M1388" s="50" t="n">
        <v>1</v>
      </c>
      <c r="N1388" s="50" t="n">
        <v>10</v>
      </c>
      <c r="O1388" s="53" t="n">
        <v>21</v>
      </c>
      <c r="P1388" s="48" t="s">
        <v>237</v>
      </c>
      <c r="Q1388" s="50" t="n">
        <v>11</v>
      </c>
      <c r="R1388" s="53" t="n">
        <f aca="false">IF(BW1388=1,0,IFERROR(VLOOKUP(BU1388,'Gebinde-Kategorie'!$A$5:$N$45,13,0)+0,0))</f>
        <v>26</v>
      </c>
      <c r="S1388" s="54"/>
      <c r="T1388" s="55"/>
      <c r="U1388" s="55"/>
      <c r="V1388" s="55"/>
      <c r="W1388" s="48"/>
      <c r="X1388" s="50"/>
      <c r="Y1388" s="50"/>
      <c r="Z1388" s="48" t="n">
        <f aca="false">IF(A1388="","",IF(AND(Parameter!$B$21="Ja",ISNUMBER(W1388)),W1388,IF(BZ1388="2+3",IF(ISNUMBER(SEARCH("grosser Artikel",BR1388)),2,IFERROR(VLOOKUP(BU1388,Parameter!$F$35:$G$64,2,0),2)),IF(OR(BZ1388="Nein",BZ1388=""),"-",BZ1388))))</f>
        <v>3</v>
      </c>
      <c r="AA1388" s="55"/>
      <c r="AB1388" s="56"/>
      <c r="AC1388" s="50" t="n">
        <f aca="false">AT1388</f>
        <v>11</v>
      </c>
      <c r="AD1388" s="50" t="n">
        <f aca="false">MAX(AT1388,H1388)</f>
        <v>15</v>
      </c>
      <c r="AE1388" s="57"/>
      <c r="AF1388" s="50" t="n">
        <f aca="false">IF(LEFT(Cockpit!$C$5,1)="A",H1388,IF(CE1388=1,CF1388,IF(LEFT(Cockpit!$C$5,1)="B",AK1388,MAX(AK1388,H1388))))</f>
        <v>15</v>
      </c>
      <c r="AG1388" s="50" t="n">
        <f aca="false">IF(BW1388=1,0,ROUNDUP(AF1388/BV1388,0))</f>
        <v>2</v>
      </c>
      <c r="AH1388" s="52" t="n">
        <f aca="false">IF(CL1388&gt;0,CL1388*MAX(1,AF1388/X1388),IF(BW1388=1,IF(AF1388&lt;=0,0,CA1388*MAX(1,IF(H1388&gt;0,AF1388/H1388,1))),IF(R1388&gt;0,AG1388/R1388,0))/MAX(0.1,N(Parameter!$M$21)))</f>
        <v>0.0769230769230769</v>
      </c>
      <c r="AI1388" s="50" t="n">
        <f aca="false">AH1388*BY1388</f>
        <v>18.8461538461538</v>
      </c>
      <c r="AJ1388" s="50" t="n">
        <f aca="false">AF1388*G1388</f>
        <v>5480.1</v>
      </c>
      <c r="AK1388" s="50" t="n">
        <f aca="false">ROUNDUP(MAX(J1388/IF(CD1388&gt;0,CD1388,MAX(0.1,N(Cockpit!$C$6))),CG1388)/BV1388,0)*BV1388</f>
        <v>11</v>
      </c>
      <c r="AL1388" s="51" t="n">
        <f aca="false">IF(AI1388&gt;0,J1388/AI1388,-1)</f>
        <v>1.06122448979592</v>
      </c>
      <c r="AM1388" s="51" t="n">
        <f aca="false">IF(AND(OR(CC1388="L1",CC1388="L23",CC1388="LIFT"),AI1388&gt;0),SUMIFS($AI$7:$AI$1843,$CC$7:$CC$1843,CC1388,$AL$7:$AL$1843,"&gt;"&amp;AL1388)+SUMIFS($AI$7:$AI$1843,$CC$7:$CC$1843,CC1388,$AL$7:$AL$1843,AL1388,$BT$7:$BT$1843,"&lt;="&amp;BT1388),"")</f>
        <v>6931.4043040293</v>
      </c>
      <c r="AN1388" s="58" t="n">
        <f aca="false">IF(AM1388="",0,MAX(0,MIN(1,(IF(CC1388="L1",Parameter!$H$5,IF(CC1388="L23",Parameter!$H$6+Parameter!$H$7,Parameter!$H$5+Parameter!$H$6+Parameter!$H$7))-(AM1388-AI1388))/AI1388)))</f>
        <v>1</v>
      </c>
      <c r="AO1388" s="50" t="n">
        <f aca="false">IF(LEFT(Cockpit!$I$5,1)="A",H1388,IF(CE1388=1,CF1388,IF(LEFT(Cockpit!$I$5,1)="B",AT1388,MAX(AT1388,H1388))))</f>
        <v>15</v>
      </c>
      <c r="AP1388" s="50" t="n">
        <f aca="false">IF(BW1388=1,0,ROUNDUP(AO1388/BV1388,0))</f>
        <v>2</v>
      </c>
      <c r="AQ1388" s="52" t="n">
        <f aca="false">IF(CL1388&gt;0,CL1388*MAX(1,AO1388/X1388),IF(BW1388=1,IF(AO1388&lt;=0,0,CA1388*MAX(1,IF(H1388&gt;0,AO1388/H1388,1))),IF(R1388&gt;0,AP1388/R1388,0))/MAX(0.1,N(Parameter!$M$21)))</f>
        <v>0.0769230769230769</v>
      </c>
      <c r="AR1388" s="50" t="n">
        <f aca="false">AQ1388*BY1388</f>
        <v>18.8461538461538</v>
      </c>
      <c r="AS1388" s="50" t="n">
        <f aca="false">AO1388*G1388</f>
        <v>5480.1</v>
      </c>
      <c r="AT1388" s="50" t="n">
        <f aca="false">ROUNDUP(MAX(J1388/IF(CD1388&gt;0,CD1388,MAX(0.1,N(Cockpit!$I$6))),CG1388)/BV1388,0)*BV1388</f>
        <v>11</v>
      </c>
      <c r="AU1388" s="51" t="n">
        <f aca="false">IF(AR1388&gt;0,J1388/AR1388,-1)</f>
        <v>1.06122448979592</v>
      </c>
      <c r="AV1388" s="51" t="n">
        <f aca="false">IF(AND(OR(CC1388="L1",CC1388="L23",CC1388="LIFT"),AR1388&gt;0),SUMIFS($AR$7:$AR$1843,$CC$7:$CC$1843,CC1388,$AU$7:$AU$1843,"&gt;"&amp;AU1388)+SUMIFS($AR$7:$AR$1843,$CC$7:$CC$1843,CC1388,$AU$7:$AU$1843,AU1388,$BT$7:$BT$1843,"&lt;="&amp;BT1388),"")</f>
        <v>9991.41117216117</v>
      </c>
      <c r="AW1388" s="58" t="n">
        <f aca="false">IF(AV1388="",0,MAX(0,MIN(1,(IF(CC1388="L1",Parameter!$H$5,IF(CC1388="L23",Parameter!$H$6+Parameter!$H$7,Parameter!$H$5+Parameter!$H$6+Parameter!$H$7))-(AV1388-AR1388))/AR1388)))</f>
        <v>1</v>
      </c>
      <c r="AX1388" s="50" t="n">
        <f aca="false">IF(LEFT(Cockpit!$O$5,1)="A",H1388,IF(CE1388=1,CF1388,IF(LEFT(Cockpit!$O$5,1)="B",BC1388,MAX(BC1388,H1388))))</f>
        <v>15</v>
      </c>
      <c r="AY1388" s="50" t="n">
        <f aca="false">IF(BW1388=1,0,ROUNDUP(AX1388/BV1388,0))</f>
        <v>2</v>
      </c>
      <c r="AZ1388" s="52" t="n">
        <f aca="false">IF(CL1388&gt;0,CL1388*MAX(1,AX1388/X1388),IF(BW1388=1,IF(AX1388&lt;=0,0,CA1388*MAX(1,IF(H1388&gt;0,AX1388/H1388,1))),IF(R1388&gt;0,AY1388/R1388,0))/MAX(0.1,N(Parameter!$M$21)))</f>
        <v>0.0769230769230769</v>
      </c>
      <c r="BA1388" s="50" t="n">
        <f aca="false">AZ1388*BY1388</f>
        <v>18.8461538461538</v>
      </c>
      <c r="BB1388" s="50" t="n">
        <f aca="false">AX1388*G1388</f>
        <v>5480.1</v>
      </c>
      <c r="BC1388" s="50" t="n">
        <f aca="false">ROUNDUP(MAX(J1388/IF(CD1388&gt;0,CD1388,MAX(0.1,N(Cockpit!$O$6))),CG1388)/BV1388,0)*BV1388</f>
        <v>11</v>
      </c>
      <c r="BD1388" s="51" t="n">
        <f aca="false">IF(BA1388&gt;0,J1388/BA1388,-1)</f>
        <v>1.06122448979592</v>
      </c>
      <c r="BE1388" s="51" t="n">
        <f aca="false">IF(AND(OR(CC1388="L1",CC1388="L23",CC1388="LIFT"),BA1388&gt;0),SUMIFS($BA$7:$BA$1843,$CC$7:$CC$1843,CC1388,$BD$7:$BD$1843,"&gt;"&amp;BD1388)+SUMIFS($BA$7:$BA$1843,$CC$7:$CC$1843,CC1388,$BD$7:$BD$1843,BD1388,$BT$7:$BT$1843,"&lt;="&amp;BT1388),"")</f>
        <v>9002.06822344322</v>
      </c>
      <c r="BF1388" s="58" t="n">
        <f aca="false">IF(BE1388="",0,MAX(0,MIN(1,(IF(CC1388="L1",Parameter!$H$5,IF(CC1388="L23",Parameter!$H$6+Parameter!$H$7,Parameter!$H$5+Parameter!$H$6+Parameter!$H$7))-(BE1388-BA1388))/BA1388)))</f>
        <v>1</v>
      </c>
      <c r="BG1388" s="48" t="str">
        <f aca="false">IF(AI1388&lt;=0,"",IF(CC1388="Aussen","Aussenlager",IF(CC1388="-","Nicht im Lift",IF(AN1388&gt;=1,"Lift",IF(AN1388&lt;=0,"Aussenlager","teilweise")))))</f>
        <v>Lift</v>
      </c>
      <c r="BH1388" s="48" t="str">
        <f aca="false">IF(AR1388&lt;=0,"",IF(CC1388="Aussen","Aussenlager",IF(CC1388="-","Nicht im Lift",IF(AW1388&gt;=1,"Lift",IF(AW1388&lt;=0,"Aussenlager","teilweise")))))</f>
        <v>Lift</v>
      </c>
      <c r="BI1388" s="48" t="str">
        <f aca="false">IF(BA1388&lt;=0,"",IF(CC1388="Aussen","Aussenlager",IF(CC1388="-","Nicht im Lift",IF(BF1388&gt;=1,"Lift",IF(BF1388&lt;=0,"Aussenlager","teilweise")))))</f>
        <v>Lift</v>
      </c>
      <c r="BJ1388" s="48" t="str">
        <f aca="false">IF(A1388="","",IF(BS1388=1,"Neu; ","")&amp;IF(AND(BS1388=0,BN1388&lt;0),"negativer Bestand (Export "&amp;BN1388&amp;"); ","")&amp;IF(J1388&lt;=0,"Kein Verbrauch; ","")&amp;IF(CL1388&gt;0,"Lift "&amp;W1388&amp;" lt. Liftbericht (Fach "&amp;X1388&amp;" Stk); ",IF(BX1388=1,"Gebinde geschätzt ("&amp;T1388&amp;"); ",IF(BW1388=1,"Lose – Tablare geschätzt; ","")))&amp;IF(H1388&gt;AT1388,"Überbestand "&amp;ROUND(H1388-AT1388,0)&amp;" Stk / CHF "&amp;ROUND((H1388-AT1388)*G1388,0)&amp;"; ","")&amp;IF(AND(CE1388=1,CF1388&lt;CG1388),"MAX &lt; MB+LG; ","")&amp;IF(AND(CK1388&gt;0,CJ1388*10&gt;CK1388),"zu hoch für Tablar; ","")&amp;IF(AND(BS1388=0,OR(CE1388=1,AA1388&lt;&gt;"",U1388&lt;&gt;"",V1388&lt;&gt;"",AB1388&lt;&gt;"")),"manuell übersteuert; ","")&amp;IF(AND(BW1388=0,R1388=0),"Gebinde unbekannt / Stellmass fehlt; ","")&amp;IF(AND(BW1388=0,N(V1388)&lt;=0,N(Q1388)&lt;=0),"Menge pro Gebinde fehlt (Ist = 1 Gebinde); ","")&amp;BR1388)</f>
        <v>negativer Bestand (Export -10); Überbestand 4 Stk / CHF 1461; </v>
      </c>
      <c r="BK1388" s="48"/>
      <c r="BL1388" s="48"/>
      <c r="BM1388" s="55"/>
      <c r="BN1388" s="50" t="n">
        <v>-10</v>
      </c>
      <c r="BO1388" s="50" t="n">
        <v>25</v>
      </c>
      <c r="BP1388" s="49" t="n">
        <v>-3373.26</v>
      </c>
      <c r="BQ1388" s="50" t="n">
        <v>20</v>
      </c>
      <c r="BR1388" s="48"/>
      <c r="BS1388" s="53" t="n">
        <v>0</v>
      </c>
      <c r="BT1388" s="53" t="n">
        <v>1388</v>
      </c>
      <c r="BU1388" s="48" t="str">
        <f aca="false">IF(U1388&lt;&gt;"",UPPER(TRIM(U1388)),IF(BX1388=1,UPPER(VLOOKUP(T1388,Parameter!$I$27:$K$29,2,0)),IF(P1388="","LOSE",P1388)))</f>
        <v>S52</v>
      </c>
      <c r="BV1388" s="50" t="n">
        <f aca="false">IF(BU1388="LOSE",1,IF(N(V1388)&gt;0,V1388,IF(BX1388=1,MAX(1,N(VLOOKUP(T1388,Parameter!$I$27:$K$29,3,0)),H1388,N(N1388)),IF(N(Q1388)&gt;0,Q1388,MAX(1,H1388)))))</f>
        <v>11</v>
      </c>
      <c r="BW1388" s="53" t="n">
        <f aca="false">IF(BU1388="LOSE",1,0)</f>
        <v>0</v>
      </c>
      <c r="BX1388" s="53" t="n">
        <f aca="false">IF(AND(U1388="",OR(P1388="",P1388="LOSE"),T1388&lt;&gt;"",N(S1388)&lt;=0,ISNUMBER(MATCH(T1388,Parameter!$I$27:$I$29,0))),1,0)</f>
        <v>0</v>
      </c>
      <c r="BY1388" s="53" t="n">
        <f aca="false">IF(CL1388&gt;0,INDEX(Parameter!$H$5:$H$7,W1388)/INDEX(Parameter!$E$5:$E$7,W1388),IF(AND(BW1388=0,N(IFERROR(VLOOKUP(BU1388,'Gebinde-Kategorie'!$A$5:$N$45,14,0),0))&gt;0),VLOOKUP(BU1388,'Gebinde-Kategorie'!$A$5:$N$45,14,0)*10+Parameter!$M$23,Parameter!$M$24))</f>
        <v>245</v>
      </c>
      <c r="BZ1388" s="48" t="str">
        <f aca="false">IF(AND(Parameter!$B$19="Ja",E1388&lt;&gt;"",ISNUMBER(MATCH(E1388,Parameter!$I$35:$I$52,0))),VLOOKUP(E1388,Parameter!$I$35:$J$52,2,0),IFERROR(VLOOKUP(D1388,Parameter!$A$35:$C$64,2,0),"Nein"))</f>
        <v>2+3</v>
      </c>
      <c r="CA1388" s="52" t="n">
        <f aca="false">IF(BW1388=0,0,IF(N(S1388)&gt;0,S1388,IFERROR(VLOOKUP(D1388,Parameter!$A$35:$C$64,3,0)+0,0)))</f>
        <v>0</v>
      </c>
      <c r="CB1388" s="48" t="n">
        <f aca="false">IF(AA1388&lt;&gt;"",AA1388,Z1388)</f>
        <v>3</v>
      </c>
      <c r="CC1388" s="48" t="str">
        <f aca="false">IF(OR(CB1388=1,CB1388=2,CB1388=3),IF(Parameter!$E$27="Ja","LIFT",IF(CB1388=1,"L1","L23")),IF(CB1388="Aussen","Aussen","-"))</f>
        <v>LIFT</v>
      </c>
      <c r="CD1388" s="59" t="n">
        <f aca="false">IF(N(AB1388)&gt;0,AB1388,0)</f>
        <v>0</v>
      </c>
      <c r="CE1388" s="53" t="n">
        <f aca="false">IF(ISNUMBER(AE1388),1,0)</f>
        <v>0</v>
      </c>
      <c r="CF1388" s="50" t="n">
        <f aca="false">N(AE1388)</f>
        <v>0</v>
      </c>
      <c r="CG1388" s="50" t="n">
        <f aca="false">N(M1388)+N(N1388)</f>
        <v>11</v>
      </c>
      <c r="CH1388" s="50" t="n">
        <f aca="false">ROUNDUP(H1388/BV1388,0)</f>
        <v>2</v>
      </c>
      <c r="CI1388" s="50" t="n">
        <f aca="false">ROUNDUP(CF1388/BV1388,0)</f>
        <v>0</v>
      </c>
      <c r="CJ1388" s="53" t="n">
        <f aca="false">IF(BW1388=1,0,IFERROR(VLOOKUP(BU1388,'Gebinde-Kategorie'!$A$5:$N$45,5,0)+0,0))</f>
        <v>21</v>
      </c>
      <c r="CK1388" s="53" t="n">
        <f aca="false">IFERROR(IF(OR(CB1388=1,CB1388=2,CB1388=3),N(INDEX(Parameter!$I$5:$I$7,CB1388)),0),0)</f>
        <v>0</v>
      </c>
      <c r="CL1388" s="52" t="n">
        <f aca="false">IF(AND(Parameter!$B$21="Ja",ISNUMBER(W1388),N(X1388)&gt;0),IFERROR(N(INDEX(Parameter!$L$5:$L$7,W1388))*INDEX(Parameter!$E$5:$E$7,W1388)*X1388/SUMIFS($X$7:$X$1843,$W$7:$W$1843,W1388),0),0)</f>
        <v>0</v>
      </c>
    </row>
    <row r="1389" customFormat="false" ht="15" hidden="false" customHeight="false" outlineLevel="0" collapsed="false">
      <c r="A1389" s="48" t="s">
        <v>2447</v>
      </c>
      <c r="B1389" s="48" t="s">
        <v>2407</v>
      </c>
      <c r="C1389" s="48" t="s">
        <v>168</v>
      </c>
      <c r="D1389" s="48" t="s">
        <v>177</v>
      </c>
      <c r="E1389" s="48" t="s">
        <v>189</v>
      </c>
      <c r="F1389" s="48" t="s">
        <v>222</v>
      </c>
      <c r="G1389" s="49" t="n">
        <v>202.04</v>
      </c>
      <c r="H1389" s="50" t="n">
        <f aca="false">MAX(0,IF(AND(Parameter!$B$21="Ja",ISNUMBER(Y1389)),Y1389,IF(Parameter!$B$20="Jahresanfang 2025 + Export",BO1389+BN1389,BN1389)))</f>
        <v>8</v>
      </c>
      <c r="I1389" s="50" t="n">
        <f aca="false">H1389*G1389</f>
        <v>1616.32</v>
      </c>
      <c r="J1389" s="50" t="n">
        <f aca="false">BQ1389*Parameter!$B$18</f>
        <v>18</v>
      </c>
      <c r="K1389" s="51" t="n">
        <v>29.5</v>
      </c>
      <c r="L1389" s="52" t="n">
        <v>0.610169491525424</v>
      </c>
      <c r="M1389" s="50" t="n">
        <v>2</v>
      </c>
      <c r="N1389" s="50" t="n">
        <v>15</v>
      </c>
      <c r="O1389" s="53" t="n">
        <v>44</v>
      </c>
      <c r="P1389" s="48" t="s">
        <v>178</v>
      </c>
      <c r="Q1389" s="50" t="n">
        <v>15</v>
      </c>
      <c r="R1389" s="53" t="n">
        <f aca="false">IF(BW1389=1,0,IFERROR(VLOOKUP(BU1389,'Gebinde-Kategorie'!$A$5:$N$45,13,0)+0,0))</f>
        <v>6</v>
      </c>
      <c r="S1389" s="54"/>
      <c r="T1389" s="55"/>
      <c r="U1389" s="55"/>
      <c r="V1389" s="55"/>
      <c r="W1389" s="48"/>
      <c r="X1389" s="50"/>
      <c r="Y1389" s="50"/>
      <c r="Z1389" s="48" t="n">
        <f aca="false">IF(A1389="","",IF(AND(Parameter!$B$21="Ja",ISNUMBER(W1389)),W1389,IF(BZ1389="2+3",IF(ISNUMBER(SEARCH("grosser Artikel",BR1389)),2,IFERROR(VLOOKUP(BU1389,Parameter!$F$35:$G$64,2,0),2)),IF(OR(BZ1389="Nein",BZ1389=""),"-",BZ1389))))</f>
        <v>2</v>
      </c>
      <c r="AA1389" s="55"/>
      <c r="AB1389" s="56"/>
      <c r="AC1389" s="50" t="n">
        <f aca="false">AT1389</f>
        <v>30</v>
      </c>
      <c r="AD1389" s="50" t="n">
        <f aca="false">MAX(AT1389,H1389)</f>
        <v>30</v>
      </c>
      <c r="AE1389" s="57"/>
      <c r="AF1389" s="50" t="n">
        <f aca="false">IF(LEFT(Cockpit!$C$5,1)="A",H1389,IF(CE1389=1,CF1389,IF(LEFT(Cockpit!$C$5,1)="B",AK1389,MAX(AK1389,H1389))))</f>
        <v>8</v>
      </c>
      <c r="AG1389" s="50" t="n">
        <f aca="false">IF(BW1389=1,0,ROUNDUP(AF1389/BV1389,0))</f>
        <v>1</v>
      </c>
      <c r="AH1389" s="52" t="n">
        <f aca="false">IF(CL1389&gt;0,CL1389*MAX(1,AF1389/X1389),IF(BW1389=1,IF(AF1389&lt;=0,0,CA1389*MAX(1,IF(H1389&gt;0,AF1389/H1389,1))),IF(R1389&gt;0,AG1389/R1389,0))/MAX(0.1,N(Parameter!$M$21)))</f>
        <v>0.166666666666667</v>
      </c>
      <c r="AI1389" s="50" t="n">
        <f aca="false">AH1389*BY1389</f>
        <v>39.1666666666667</v>
      </c>
      <c r="AJ1389" s="50" t="n">
        <f aca="false">AF1389*G1389</f>
        <v>1616.32</v>
      </c>
      <c r="AK1389" s="50" t="n">
        <f aca="false">ROUNDUP(MAX(J1389/IF(CD1389&gt;0,CD1389,MAX(0.1,N(Cockpit!$C$6))),CG1389)/BV1389,0)*BV1389</f>
        <v>30</v>
      </c>
      <c r="AL1389" s="51" t="n">
        <f aca="false">IF(AI1389&gt;0,J1389/AI1389,-1)</f>
        <v>0.459574468085106</v>
      </c>
      <c r="AM1389" s="51" t="n">
        <f aca="false">IF(AND(OR(CC1389="L1",CC1389="L23",CC1389="LIFT"),AI1389&gt;0),SUMIFS($AI$7:$AI$1843,$CC$7:$CC$1843,CC1389,$AL$7:$AL$1843,"&gt;"&amp;AL1389)+SUMIFS($AI$7:$AI$1843,$CC$7:$CC$1843,CC1389,$AL$7:$AL$1843,AL1389,$BT$7:$BT$1843,"&lt;="&amp;BT1389),"")</f>
        <v>9856.84383601333</v>
      </c>
      <c r="AN1389" s="58" t="n">
        <f aca="false">IF(AM1389="",0,MAX(0,MIN(1,(IF(CC1389="L1",Parameter!$H$5,IF(CC1389="L23",Parameter!$H$6+Parameter!$H$7,Parameter!$H$5+Parameter!$H$6+Parameter!$H$7))-(AM1389-AI1389))/AI1389)))</f>
        <v>1</v>
      </c>
      <c r="AO1389" s="50" t="n">
        <f aca="false">IF(LEFT(Cockpit!$I$5,1)="A",H1389,IF(CE1389=1,CF1389,IF(LEFT(Cockpit!$I$5,1)="B",AT1389,MAX(AT1389,H1389))))</f>
        <v>30</v>
      </c>
      <c r="AP1389" s="50" t="n">
        <f aca="false">IF(BW1389=1,0,ROUNDUP(AO1389/BV1389,0))</f>
        <v>2</v>
      </c>
      <c r="AQ1389" s="52" t="n">
        <f aca="false">IF(CL1389&gt;0,CL1389*MAX(1,AO1389/X1389),IF(BW1389=1,IF(AO1389&lt;=0,0,CA1389*MAX(1,IF(H1389&gt;0,AO1389/H1389,1))),IF(R1389&gt;0,AP1389/R1389,0))/MAX(0.1,N(Parameter!$M$21)))</f>
        <v>0.333333333333333</v>
      </c>
      <c r="AR1389" s="50" t="n">
        <f aca="false">AQ1389*BY1389</f>
        <v>78.3333333333333</v>
      </c>
      <c r="AS1389" s="50" t="n">
        <f aca="false">AO1389*G1389</f>
        <v>6061.2</v>
      </c>
      <c r="AT1389" s="50" t="n">
        <f aca="false">ROUNDUP(MAX(J1389/IF(CD1389&gt;0,CD1389,MAX(0.1,N(Cockpit!$I$6))),CG1389)/BV1389,0)*BV1389</f>
        <v>30</v>
      </c>
      <c r="AU1389" s="51" t="n">
        <f aca="false">IF(AR1389&gt;0,J1389/AR1389,-1)</f>
        <v>0.229787234042553</v>
      </c>
      <c r="AV1389" s="51" t="n">
        <f aca="false">IF(AND(OR(CC1389="L1",CC1389="L23",CC1389="LIFT"),AR1389&gt;0),SUMIFS($AR$7:$AR$1843,$CC$7:$CC$1843,CC1389,$AU$7:$AU$1843,"&gt;"&amp;AU1389)+SUMIFS($AR$7:$AR$1843,$CC$7:$CC$1843,CC1389,$AU$7:$AU$1843,AU1389,$BT$7:$BT$1843,"&lt;="&amp;BT1389),"")</f>
        <v>18231.2248168498</v>
      </c>
      <c r="AW1389" s="58" t="n">
        <f aca="false">IF(AV1389="",0,MAX(0,MIN(1,(IF(CC1389="L1",Parameter!$H$5,IF(CC1389="L23",Parameter!$H$6+Parameter!$H$7,Parameter!$H$5+Parameter!$H$6+Parameter!$H$7))-(AV1389-AR1389))/AR1389)))</f>
        <v>1</v>
      </c>
      <c r="AX1389" s="50" t="n">
        <f aca="false">IF(LEFT(Cockpit!$O$5,1)="A",H1389,IF(CE1389=1,CF1389,IF(LEFT(Cockpit!$O$5,1)="B",BC1389,MAX(BC1389,H1389))))</f>
        <v>30</v>
      </c>
      <c r="AY1389" s="50" t="n">
        <f aca="false">IF(BW1389=1,0,ROUNDUP(AX1389/BV1389,0))</f>
        <v>2</v>
      </c>
      <c r="AZ1389" s="52" t="n">
        <f aca="false">IF(CL1389&gt;0,CL1389*MAX(1,AX1389/X1389),IF(BW1389=1,IF(AX1389&lt;=0,0,CA1389*MAX(1,IF(H1389&gt;0,AX1389/H1389,1))),IF(R1389&gt;0,AY1389/R1389,0))/MAX(0.1,N(Parameter!$M$21)))</f>
        <v>0.333333333333333</v>
      </c>
      <c r="BA1389" s="50" t="n">
        <f aca="false">AZ1389*BY1389</f>
        <v>78.3333333333333</v>
      </c>
      <c r="BB1389" s="50" t="n">
        <f aca="false">AX1389*G1389</f>
        <v>6061.2</v>
      </c>
      <c r="BC1389" s="50" t="n">
        <f aca="false">ROUNDUP(MAX(J1389/IF(CD1389&gt;0,CD1389,MAX(0.1,N(Cockpit!$O$6))),CG1389)/BV1389,0)*BV1389</f>
        <v>30</v>
      </c>
      <c r="BD1389" s="51" t="n">
        <f aca="false">IF(BA1389&gt;0,J1389/BA1389,-1)</f>
        <v>0.229787234042553</v>
      </c>
      <c r="BE1389" s="51" t="n">
        <f aca="false">IF(AND(OR(CC1389="L1",CC1389="L23",CC1389="LIFT"),BA1389&gt;0),SUMIFS($BA$7:$BA$1843,$CC$7:$CC$1843,CC1389,$BD$7:$BD$1843,"&gt;"&amp;BD1389)+SUMIFS($BA$7:$BA$1843,$CC$7:$CC$1843,CC1389,$BD$7:$BD$1843,BD1389,$BT$7:$BT$1843,"&lt;="&amp;BT1389),"")</f>
        <v>16883.9652014652</v>
      </c>
      <c r="BF1389" s="58" t="n">
        <f aca="false">IF(BE1389="",0,MAX(0,MIN(1,(IF(CC1389="L1",Parameter!$H$5,IF(CC1389="L23",Parameter!$H$6+Parameter!$H$7,Parameter!$H$5+Parameter!$H$6+Parameter!$H$7))-(BE1389-BA1389))/BA1389)))</f>
        <v>1</v>
      </c>
      <c r="BG1389" s="48" t="str">
        <f aca="false">IF(AI1389&lt;=0,"",IF(CC1389="Aussen","Aussenlager",IF(CC1389="-","Nicht im Lift",IF(AN1389&gt;=1,"Lift",IF(AN1389&lt;=0,"Aussenlager","teilweise")))))</f>
        <v>Lift</v>
      </c>
      <c r="BH1389" s="48" t="str">
        <f aca="false">IF(AR1389&lt;=0,"",IF(CC1389="Aussen","Aussenlager",IF(CC1389="-","Nicht im Lift",IF(AW1389&gt;=1,"Lift",IF(AW1389&lt;=0,"Aussenlager","teilweise")))))</f>
        <v>Lift</v>
      </c>
      <c r="BI1389" s="48" t="str">
        <f aca="false">IF(BA1389&lt;=0,"",IF(CC1389="Aussen","Aussenlager",IF(CC1389="-","Nicht im Lift",IF(BF1389&gt;=1,"Lift",IF(BF1389&lt;=0,"Aussenlager","teilweise")))))</f>
        <v>Lift</v>
      </c>
      <c r="BJ1389" s="48" t="str">
        <f aca="false">IF(A1389="","",IF(BS1389=1,"Neu; ","")&amp;IF(AND(BS1389=0,BN1389&lt;0),"negativer Bestand (Export "&amp;BN1389&amp;"); ","")&amp;IF(J1389&lt;=0,"Kein Verbrauch; ","")&amp;IF(CL1389&gt;0,"Lift "&amp;W1389&amp;" lt. Liftbericht (Fach "&amp;X1389&amp;" Stk); ",IF(BX1389=1,"Gebinde geschätzt ("&amp;T1389&amp;"); ",IF(BW1389=1,"Lose – Tablare geschätzt; ","")))&amp;IF(H1389&gt;AT1389,"Überbestand "&amp;ROUND(H1389-AT1389,0)&amp;" Stk / CHF "&amp;ROUND((H1389-AT1389)*G1389,0)&amp;"; ","")&amp;IF(AND(CE1389=1,CF1389&lt;CG1389),"MAX &lt; MB+LG; ","")&amp;IF(AND(CK1389&gt;0,CJ1389*10&gt;CK1389),"zu hoch für Tablar; ","")&amp;IF(AND(BS1389=0,OR(CE1389=1,AA1389&lt;&gt;"",U1389&lt;&gt;"",V1389&lt;&gt;"",AB1389&lt;&gt;"")),"manuell übersteuert; ","")&amp;IF(AND(BW1389=0,R1389=0),"Gebinde unbekannt / Stellmass fehlt; ","")&amp;IF(AND(BW1389=0,N(V1389)&lt;=0,N(Q1389)&lt;=0),"Menge pro Gebinde fehlt (Ist = 1 Gebinde); ","")&amp;BR1389)</f>
        <v>negativer Bestand (Export -20); grosser Artikel &amp; nicht im KTL</v>
      </c>
      <c r="BK1389" s="48"/>
      <c r="BL1389" s="48"/>
      <c r="BM1389" s="55"/>
      <c r="BN1389" s="50" t="n">
        <v>-20</v>
      </c>
      <c r="BO1389" s="50" t="n">
        <v>28</v>
      </c>
      <c r="BP1389" s="49" t="n">
        <v>-3384.2</v>
      </c>
      <c r="BQ1389" s="50" t="n">
        <v>18</v>
      </c>
      <c r="BR1389" s="48" t="s">
        <v>265</v>
      </c>
      <c r="BS1389" s="53" t="n">
        <v>0</v>
      </c>
      <c r="BT1389" s="53" t="n">
        <v>1389</v>
      </c>
      <c r="BU1389" s="48" t="str">
        <f aca="false">IF(U1389&lt;&gt;"",UPPER(TRIM(U1389)),IF(BX1389=1,UPPER(VLOOKUP(T1389,Parameter!$I$27:$K$29,2,0)),IF(P1389="","LOSE",P1389)))</f>
        <v>S71</v>
      </c>
      <c r="BV1389" s="50" t="n">
        <f aca="false">IF(BU1389="LOSE",1,IF(N(V1389)&gt;0,V1389,IF(BX1389=1,MAX(1,N(VLOOKUP(T1389,Parameter!$I$27:$K$29,3,0)),H1389,N(N1389)),IF(N(Q1389)&gt;0,Q1389,MAX(1,H1389)))))</f>
        <v>15</v>
      </c>
      <c r="BW1389" s="53" t="n">
        <f aca="false">IF(BU1389="LOSE",1,0)</f>
        <v>0</v>
      </c>
      <c r="BX1389" s="53" t="n">
        <f aca="false">IF(AND(U1389="",OR(P1389="",P1389="LOSE"),T1389&lt;&gt;"",N(S1389)&lt;=0,ISNUMBER(MATCH(T1389,Parameter!$I$27:$I$29,0))),1,0)</f>
        <v>0</v>
      </c>
      <c r="BY1389" s="53" t="n">
        <f aca="false">IF(CL1389&gt;0,INDEX(Parameter!$H$5:$H$7,W1389)/INDEX(Parameter!$E$5:$E$7,W1389),IF(AND(BW1389=0,N(IFERROR(VLOOKUP(BU1389,'Gebinde-Kategorie'!$A$5:$N$45,14,0),0))&gt;0),VLOOKUP(BU1389,'Gebinde-Kategorie'!$A$5:$N$45,14,0)*10+Parameter!$M$23,Parameter!$M$24))</f>
        <v>235</v>
      </c>
      <c r="BZ1389" s="48" t="str">
        <f aca="false">IF(AND(Parameter!$B$19="Ja",E1389&lt;&gt;"",ISNUMBER(MATCH(E1389,Parameter!$I$35:$I$52,0))),VLOOKUP(E1389,Parameter!$I$35:$J$52,2,0),IFERROR(VLOOKUP(D1389,Parameter!$A$35:$C$64,2,0),"Nein"))</f>
        <v>2+3</v>
      </c>
      <c r="CA1389" s="52" t="n">
        <f aca="false">IF(BW1389=0,0,IF(N(S1389)&gt;0,S1389,IFERROR(VLOOKUP(D1389,Parameter!$A$35:$C$64,3,0)+0,0)))</f>
        <v>0</v>
      </c>
      <c r="CB1389" s="48" t="n">
        <f aca="false">IF(AA1389&lt;&gt;"",AA1389,Z1389)</f>
        <v>2</v>
      </c>
      <c r="CC1389" s="48" t="str">
        <f aca="false">IF(OR(CB1389=1,CB1389=2,CB1389=3),IF(Parameter!$E$27="Ja","LIFT",IF(CB1389=1,"L1","L23")),IF(CB1389="Aussen","Aussen","-"))</f>
        <v>LIFT</v>
      </c>
      <c r="CD1389" s="59" t="n">
        <f aca="false">IF(N(AB1389)&gt;0,AB1389,0)</f>
        <v>0</v>
      </c>
      <c r="CE1389" s="53" t="n">
        <f aca="false">IF(ISNUMBER(AE1389),1,0)</f>
        <v>0</v>
      </c>
      <c r="CF1389" s="50" t="n">
        <f aca="false">N(AE1389)</f>
        <v>0</v>
      </c>
      <c r="CG1389" s="50" t="n">
        <f aca="false">N(M1389)+N(N1389)</f>
        <v>17</v>
      </c>
      <c r="CH1389" s="50" t="n">
        <f aca="false">ROUNDUP(H1389/BV1389,0)</f>
        <v>1</v>
      </c>
      <c r="CI1389" s="50" t="n">
        <f aca="false">ROUNDUP(CF1389/BV1389,0)</f>
        <v>0</v>
      </c>
      <c r="CJ1389" s="53" t="n">
        <f aca="false">IF(BW1389=1,0,IFERROR(VLOOKUP(BU1389,'Gebinde-Kategorie'!$A$5:$N$45,5,0)+0,0))</f>
        <v>20</v>
      </c>
      <c r="CK1389" s="53" t="n">
        <f aca="false">IFERROR(IF(OR(CB1389=1,CB1389=2,CB1389=3),N(INDEX(Parameter!$I$5:$I$7,CB1389)),0),0)</f>
        <v>0</v>
      </c>
      <c r="CL1389" s="52" t="n">
        <f aca="false">IF(AND(Parameter!$B$21="Ja",ISNUMBER(W1389),N(X1389)&gt;0),IFERROR(N(INDEX(Parameter!$L$5:$L$7,W1389))*INDEX(Parameter!$E$5:$E$7,W1389)*X1389/SUMIFS($X$7:$X$1843,$W$7:$W$1843,W1389),0),0)</f>
        <v>0</v>
      </c>
    </row>
    <row r="1390" customFormat="false" ht="15" hidden="false" customHeight="false" outlineLevel="0" collapsed="false">
      <c r="A1390" s="48" t="s">
        <v>2448</v>
      </c>
      <c r="B1390" s="48" t="s">
        <v>449</v>
      </c>
      <c r="C1390" s="48" t="s">
        <v>168</v>
      </c>
      <c r="D1390" s="48" t="s">
        <v>177</v>
      </c>
      <c r="E1390" s="48" t="s">
        <v>189</v>
      </c>
      <c r="F1390" s="48" t="s">
        <v>222</v>
      </c>
      <c r="G1390" s="49" t="n">
        <v>162.98</v>
      </c>
      <c r="H1390" s="50" t="n">
        <f aca="false">MAX(0,IF(AND(Parameter!$B$21="Ja",ISNUMBER(Y1390)),Y1390,IF(Parameter!$B$20="Jahresanfang 2025 + Export",BO1390+BN1390,BN1390)))</f>
        <v>7</v>
      </c>
      <c r="I1390" s="50" t="n">
        <f aca="false">H1390*G1390</f>
        <v>1140.86</v>
      </c>
      <c r="J1390" s="50" t="n">
        <f aca="false">BQ1390*Parameter!$B$18</f>
        <v>32</v>
      </c>
      <c r="K1390" s="51" t="n">
        <v>28.5</v>
      </c>
      <c r="L1390" s="52" t="n">
        <v>1.12280701754386</v>
      </c>
      <c r="M1390" s="50" t="n">
        <v>4</v>
      </c>
      <c r="N1390" s="50" t="n">
        <v>20</v>
      </c>
      <c r="O1390" s="53" t="n">
        <v>40</v>
      </c>
      <c r="P1390" s="48" t="s">
        <v>227</v>
      </c>
      <c r="Q1390" s="50" t="n">
        <v>17</v>
      </c>
      <c r="R1390" s="53" t="n">
        <f aca="false">IF(BW1390=1,0,IFERROR(VLOOKUP(BU1390,'Gebinde-Kategorie'!$A$5:$N$45,13,0)+0,0))</f>
        <v>4</v>
      </c>
      <c r="S1390" s="54"/>
      <c r="T1390" s="55"/>
      <c r="U1390" s="55"/>
      <c r="V1390" s="55"/>
      <c r="W1390" s="48"/>
      <c r="X1390" s="50"/>
      <c r="Y1390" s="50"/>
      <c r="Z1390" s="48" t="n">
        <f aca="false">IF(A1390="","",IF(AND(Parameter!$B$21="Ja",ISNUMBER(W1390)),W1390,IF(BZ1390="2+3",IF(ISNUMBER(SEARCH("grosser Artikel",BR1390)),2,IFERROR(VLOOKUP(BU1390,Parameter!$F$35:$G$64,2,0),2)),IF(OR(BZ1390="Nein",BZ1390=""),"-",BZ1390))))</f>
        <v>2</v>
      </c>
      <c r="AA1390" s="55"/>
      <c r="AB1390" s="56"/>
      <c r="AC1390" s="50" t="n">
        <f aca="false">AT1390</f>
        <v>34</v>
      </c>
      <c r="AD1390" s="50" t="n">
        <f aca="false">MAX(AT1390,H1390)</f>
        <v>34</v>
      </c>
      <c r="AE1390" s="57"/>
      <c r="AF1390" s="50" t="n">
        <f aca="false">IF(LEFT(Cockpit!$C$5,1)="A",H1390,IF(CE1390=1,CF1390,IF(LEFT(Cockpit!$C$5,1)="B",AK1390,MAX(AK1390,H1390))))</f>
        <v>7</v>
      </c>
      <c r="AG1390" s="50" t="n">
        <f aca="false">IF(BW1390=1,0,ROUNDUP(AF1390/BV1390,0))</f>
        <v>1</v>
      </c>
      <c r="AH1390" s="52" t="n">
        <f aca="false">IF(CL1390&gt;0,CL1390*MAX(1,AF1390/X1390),IF(BW1390=1,IF(AF1390&lt;=0,0,CA1390*MAX(1,IF(H1390&gt;0,AF1390/H1390,1))),IF(R1390&gt;0,AG1390/R1390,0))/MAX(0.1,N(Parameter!$M$21)))</f>
        <v>0.25</v>
      </c>
      <c r="AI1390" s="50" t="n">
        <f aca="false">AH1390*BY1390</f>
        <v>58.75</v>
      </c>
      <c r="AJ1390" s="50" t="n">
        <f aca="false">AF1390*G1390</f>
        <v>1140.86</v>
      </c>
      <c r="AK1390" s="50" t="n">
        <f aca="false">ROUNDUP(MAX(J1390/IF(CD1390&gt;0,CD1390,MAX(0.1,N(Cockpit!$C$6))),CG1390)/BV1390,0)*BV1390</f>
        <v>34</v>
      </c>
      <c r="AL1390" s="51" t="n">
        <f aca="false">IF(AI1390&gt;0,J1390/AI1390,-1)</f>
        <v>0.54468085106383</v>
      </c>
      <c r="AM1390" s="51" t="n">
        <f aca="false">IF(AND(OR(CC1390="L1",CC1390="L23",CC1390="LIFT"),AI1390&gt;0),SUMIFS($AI$7:$AI$1843,$CC$7:$CC$1843,CC1390,$AL$7:$AL$1843,"&gt;"&amp;AL1390)+SUMIFS($AI$7:$AI$1843,$CC$7:$CC$1843,CC1390,$AL$7:$AL$1843,AL1390,$BT$7:$BT$1843,"&lt;="&amp;BT1390),"")</f>
        <v>9440.62588729538</v>
      </c>
      <c r="AN1390" s="58" t="n">
        <f aca="false">IF(AM1390="",0,MAX(0,MIN(1,(IF(CC1390="L1",Parameter!$H$5,IF(CC1390="L23",Parameter!$H$6+Parameter!$H$7,Parameter!$H$5+Parameter!$H$6+Parameter!$H$7))-(AM1390-AI1390))/AI1390)))</f>
        <v>1</v>
      </c>
      <c r="AO1390" s="50" t="n">
        <f aca="false">IF(LEFT(Cockpit!$I$5,1)="A",H1390,IF(CE1390=1,CF1390,IF(LEFT(Cockpit!$I$5,1)="B",AT1390,MAX(AT1390,H1390))))</f>
        <v>34</v>
      </c>
      <c r="AP1390" s="50" t="n">
        <f aca="false">IF(BW1390=1,0,ROUNDUP(AO1390/BV1390,0))</f>
        <v>2</v>
      </c>
      <c r="AQ1390" s="52" t="n">
        <f aca="false">IF(CL1390&gt;0,CL1390*MAX(1,AO1390/X1390),IF(BW1390=1,IF(AO1390&lt;=0,0,CA1390*MAX(1,IF(H1390&gt;0,AO1390/H1390,1))),IF(R1390&gt;0,AP1390/R1390,0))/MAX(0.1,N(Parameter!$M$21)))</f>
        <v>0.5</v>
      </c>
      <c r="AR1390" s="50" t="n">
        <f aca="false">AQ1390*BY1390</f>
        <v>117.5</v>
      </c>
      <c r="AS1390" s="50" t="n">
        <f aca="false">AO1390*G1390</f>
        <v>5541.32</v>
      </c>
      <c r="AT1390" s="50" t="n">
        <f aca="false">ROUNDUP(MAX(J1390/IF(CD1390&gt;0,CD1390,MAX(0.1,N(Cockpit!$I$6))),CG1390)/BV1390,0)*BV1390</f>
        <v>34</v>
      </c>
      <c r="AU1390" s="51" t="n">
        <f aca="false">IF(AR1390&gt;0,J1390/AR1390,-1)</f>
        <v>0.272340425531915</v>
      </c>
      <c r="AV1390" s="51" t="n">
        <f aca="false">IF(AND(OR(CC1390="L1",CC1390="L23",CC1390="LIFT"),AR1390&gt;0),SUMIFS($AR$7:$AR$1843,$CC$7:$CC$1843,CC1390,$AU$7:$AU$1843,"&gt;"&amp;AU1390)+SUMIFS($AR$7:$AR$1843,$CC$7:$CC$1843,CC1390,$AU$7:$AU$1843,AU1390,$BT$7:$BT$1843,"&lt;="&amp;BT1390),"")</f>
        <v>17249.3017399267</v>
      </c>
      <c r="AW1390" s="58" t="n">
        <f aca="false">IF(AV1390="",0,MAX(0,MIN(1,(IF(CC1390="L1",Parameter!$H$5,IF(CC1390="L23",Parameter!$H$6+Parameter!$H$7,Parameter!$H$5+Parameter!$H$6+Parameter!$H$7))-(AV1390-AR1390))/AR1390)))</f>
        <v>1</v>
      </c>
      <c r="AX1390" s="50" t="n">
        <f aca="false">IF(LEFT(Cockpit!$O$5,1)="A",H1390,IF(CE1390=1,CF1390,IF(LEFT(Cockpit!$O$5,1)="B",BC1390,MAX(BC1390,H1390))))</f>
        <v>34</v>
      </c>
      <c r="AY1390" s="50" t="n">
        <f aca="false">IF(BW1390=1,0,ROUNDUP(AX1390/BV1390,0))</f>
        <v>2</v>
      </c>
      <c r="AZ1390" s="52" t="n">
        <f aca="false">IF(CL1390&gt;0,CL1390*MAX(1,AX1390/X1390),IF(BW1390=1,IF(AX1390&lt;=0,0,CA1390*MAX(1,IF(H1390&gt;0,AX1390/H1390,1))),IF(R1390&gt;0,AY1390/R1390,0))/MAX(0.1,N(Parameter!$M$21)))</f>
        <v>0.5</v>
      </c>
      <c r="BA1390" s="50" t="n">
        <f aca="false">AZ1390*BY1390</f>
        <v>117.5</v>
      </c>
      <c r="BB1390" s="50" t="n">
        <f aca="false">AX1390*G1390</f>
        <v>5541.32</v>
      </c>
      <c r="BC1390" s="50" t="n">
        <f aca="false">ROUNDUP(MAX(J1390/IF(CD1390&gt;0,CD1390,MAX(0.1,N(Cockpit!$O$6))),CG1390)/BV1390,0)*BV1390</f>
        <v>34</v>
      </c>
      <c r="BD1390" s="51" t="n">
        <f aca="false">IF(BA1390&gt;0,J1390/BA1390,-1)</f>
        <v>0.272340425531915</v>
      </c>
      <c r="BE1390" s="51" t="n">
        <f aca="false">IF(AND(OR(CC1390="L1",CC1390="L23",CC1390="LIFT"),BA1390&gt;0),SUMIFS($BA$7:$BA$1843,$CC$7:$CC$1843,CC1390,$BD$7:$BD$1843,"&gt;"&amp;BD1390)+SUMIFS($BA$7:$BA$1843,$CC$7:$CC$1843,CC1390,$BD$7:$BD$1843,BD1390,$BT$7:$BT$1843,"&lt;="&amp;BT1390),"")</f>
        <v>16195.7921245421</v>
      </c>
      <c r="BF1390" s="58" t="n">
        <f aca="false">IF(BE1390="",0,MAX(0,MIN(1,(IF(CC1390="L1",Parameter!$H$5,IF(CC1390="L23",Parameter!$H$6+Parameter!$H$7,Parameter!$H$5+Parameter!$H$6+Parameter!$H$7))-(BE1390-BA1390))/BA1390)))</f>
        <v>1</v>
      </c>
      <c r="BG1390" s="48" t="str">
        <f aca="false">IF(AI1390&lt;=0,"",IF(CC1390="Aussen","Aussenlager",IF(CC1390="-","Nicht im Lift",IF(AN1390&gt;=1,"Lift",IF(AN1390&lt;=0,"Aussenlager","teilweise")))))</f>
        <v>Lift</v>
      </c>
      <c r="BH1390" s="48" t="str">
        <f aca="false">IF(AR1390&lt;=0,"",IF(CC1390="Aussen","Aussenlager",IF(CC1390="-","Nicht im Lift",IF(AW1390&gt;=1,"Lift",IF(AW1390&lt;=0,"Aussenlager","teilweise")))))</f>
        <v>Lift</v>
      </c>
      <c r="BI1390" s="48" t="str">
        <f aca="false">IF(BA1390&lt;=0,"",IF(CC1390="Aussen","Aussenlager",IF(CC1390="-","Nicht im Lift",IF(BF1390&gt;=1,"Lift",IF(BF1390&lt;=0,"Aussenlager","teilweise")))))</f>
        <v>Lift</v>
      </c>
      <c r="BJ1390" s="48" t="str">
        <f aca="false">IF(A1390="","",IF(BS1390=1,"Neu; ","")&amp;IF(AND(BS1390=0,BN1390&lt;0),"negativer Bestand (Export "&amp;BN1390&amp;"); ","")&amp;IF(J1390&lt;=0,"Kein Verbrauch; ","")&amp;IF(CL1390&gt;0,"Lift "&amp;W1390&amp;" lt. Liftbericht (Fach "&amp;X1390&amp;" Stk); ",IF(BX1390=1,"Gebinde geschätzt ("&amp;T1390&amp;"); ",IF(BW1390=1,"Lose – Tablare geschätzt; ","")))&amp;IF(H1390&gt;AT1390,"Überbestand "&amp;ROUND(H1390-AT1390,0)&amp;" Stk / CHF "&amp;ROUND((H1390-AT1390)*G1390,0)&amp;"; ","")&amp;IF(AND(CE1390=1,CF1390&lt;CG1390),"MAX &lt; MB+LG; ","")&amp;IF(AND(CK1390&gt;0,CJ1390*10&gt;CK1390),"zu hoch für Tablar; ","")&amp;IF(AND(BS1390=0,OR(CE1390=1,AA1390&lt;&gt;"",U1390&lt;&gt;"",V1390&lt;&gt;"",AB1390&lt;&gt;"")),"manuell übersteuert; ","")&amp;IF(AND(BW1390=0,R1390=0),"Gebinde unbekannt / Stellmass fehlt; ","")&amp;IF(AND(BW1390=0,N(V1390)&lt;=0,N(Q1390)&lt;=0),"Menge pro Gebinde fehlt (Ist = 1 Gebinde); ","")&amp;BR1390)</f>
        <v>negativer Bestand (Export -22); grosser Artikel &amp; nicht im KTL</v>
      </c>
      <c r="BK1390" s="48"/>
      <c r="BL1390" s="48"/>
      <c r="BM1390" s="55"/>
      <c r="BN1390" s="50" t="n">
        <v>-22</v>
      </c>
      <c r="BO1390" s="50" t="n">
        <v>29</v>
      </c>
      <c r="BP1390" s="49" t="n">
        <v>-3422.29</v>
      </c>
      <c r="BQ1390" s="50" t="n">
        <v>32</v>
      </c>
      <c r="BR1390" s="48" t="s">
        <v>265</v>
      </c>
      <c r="BS1390" s="53" t="n">
        <v>0</v>
      </c>
      <c r="BT1390" s="53" t="n">
        <v>1390</v>
      </c>
      <c r="BU1390" s="48" t="str">
        <f aca="false">IF(U1390&lt;&gt;"",UPPER(TRIM(U1390)),IF(BX1390=1,UPPER(VLOOKUP(T1390,Parameter!$I$27:$K$29,2,0)),IF(P1390="","LOSE",P1390)))</f>
        <v>S81</v>
      </c>
      <c r="BV1390" s="50" t="n">
        <f aca="false">IF(BU1390="LOSE",1,IF(N(V1390)&gt;0,V1390,IF(BX1390=1,MAX(1,N(VLOOKUP(T1390,Parameter!$I$27:$K$29,3,0)),H1390,N(N1390)),IF(N(Q1390)&gt;0,Q1390,MAX(1,H1390)))))</f>
        <v>17</v>
      </c>
      <c r="BW1390" s="53" t="n">
        <f aca="false">IF(BU1390="LOSE",1,0)</f>
        <v>0</v>
      </c>
      <c r="BX1390" s="53" t="n">
        <f aca="false">IF(AND(U1390="",OR(P1390="",P1390="LOSE"),T1390&lt;&gt;"",N(S1390)&lt;=0,ISNUMBER(MATCH(T1390,Parameter!$I$27:$I$29,0))),1,0)</f>
        <v>0</v>
      </c>
      <c r="BY1390" s="53" t="n">
        <f aca="false">IF(CL1390&gt;0,INDEX(Parameter!$H$5:$H$7,W1390)/INDEX(Parameter!$E$5:$E$7,W1390),IF(AND(BW1390=0,N(IFERROR(VLOOKUP(BU1390,'Gebinde-Kategorie'!$A$5:$N$45,14,0),0))&gt;0),VLOOKUP(BU1390,'Gebinde-Kategorie'!$A$5:$N$45,14,0)*10+Parameter!$M$23,Parameter!$M$24))</f>
        <v>235</v>
      </c>
      <c r="BZ1390" s="48" t="str">
        <f aca="false">IF(AND(Parameter!$B$19="Ja",E1390&lt;&gt;"",ISNUMBER(MATCH(E1390,Parameter!$I$35:$I$52,0))),VLOOKUP(E1390,Parameter!$I$35:$J$52,2,0),IFERROR(VLOOKUP(D1390,Parameter!$A$35:$C$64,2,0),"Nein"))</f>
        <v>2+3</v>
      </c>
      <c r="CA1390" s="52" t="n">
        <f aca="false">IF(BW1390=0,0,IF(N(S1390)&gt;0,S1390,IFERROR(VLOOKUP(D1390,Parameter!$A$35:$C$64,3,0)+0,0)))</f>
        <v>0</v>
      </c>
      <c r="CB1390" s="48" t="n">
        <f aca="false">IF(AA1390&lt;&gt;"",AA1390,Z1390)</f>
        <v>2</v>
      </c>
      <c r="CC1390" s="48" t="str">
        <f aca="false">IF(OR(CB1390=1,CB1390=2,CB1390=3),IF(Parameter!$E$27="Ja","LIFT",IF(CB1390=1,"L1","L23")),IF(CB1390="Aussen","Aussen","-"))</f>
        <v>LIFT</v>
      </c>
      <c r="CD1390" s="59" t="n">
        <f aca="false">IF(N(AB1390)&gt;0,AB1390,0)</f>
        <v>0</v>
      </c>
      <c r="CE1390" s="53" t="n">
        <f aca="false">IF(ISNUMBER(AE1390),1,0)</f>
        <v>0</v>
      </c>
      <c r="CF1390" s="50" t="n">
        <f aca="false">N(AE1390)</f>
        <v>0</v>
      </c>
      <c r="CG1390" s="50" t="n">
        <f aca="false">N(M1390)+N(N1390)</f>
        <v>24</v>
      </c>
      <c r="CH1390" s="50" t="n">
        <f aca="false">ROUNDUP(H1390/BV1390,0)</f>
        <v>1</v>
      </c>
      <c r="CI1390" s="50" t="n">
        <f aca="false">ROUNDUP(CF1390/BV1390,0)</f>
        <v>0</v>
      </c>
      <c r="CJ1390" s="53" t="n">
        <f aca="false">IF(BW1390=1,0,IFERROR(VLOOKUP(BU1390,'Gebinde-Kategorie'!$A$5:$N$45,5,0)+0,0))</f>
        <v>20</v>
      </c>
      <c r="CK1390" s="53" t="n">
        <f aca="false">IFERROR(IF(OR(CB1390=1,CB1390=2,CB1390=3),N(INDEX(Parameter!$I$5:$I$7,CB1390)),0),0)</f>
        <v>0</v>
      </c>
      <c r="CL1390" s="52" t="n">
        <f aca="false">IF(AND(Parameter!$B$21="Ja",ISNUMBER(W1390),N(X1390)&gt;0),IFERROR(N(INDEX(Parameter!$L$5:$L$7,W1390))*INDEX(Parameter!$E$5:$E$7,W1390)*X1390/SUMIFS($X$7:$X$1843,$W$7:$W$1843,W1390),0),0)</f>
        <v>0</v>
      </c>
    </row>
    <row r="1391" customFormat="false" ht="15" hidden="false" customHeight="false" outlineLevel="0" collapsed="false">
      <c r="A1391" s="48" t="s">
        <v>2449</v>
      </c>
      <c r="B1391" s="48" t="s">
        <v>2450</v>
      </c>
      <c r="C1391" s="48" t="s">
        <v>460</v>
      </c>
      <c r="D1391" s="48" t="s">
        <v>177</v>
      </c>
      <c r="E1391" s="48"/>
      <c r="F1391" s="48" t="s">
        <v>222</v>
      </c>
      <c r="G1391" s="49" t="n">
        <v>699.72</v>
      </c>
      <c r="H1391" s="50" t="n">
        <f aca="false">MAX(0,IF(AND(Parameter!$B$21="Ja",ISNUMBER(Y1391)),Y1391,IF(Parameter!$B$20="Jahresanfang 2025 + Export",BO1391+BN1391,BN1391)))</f>
        <v>0</v>
      </c>
      <c r="I1391" s="50" t="n">
        <f aca="false">H1391*G1391</f>
        <v>0</v>
      </c>
      <c r="J1391" s="50" t="n">
        <f aca="false">BQ1391*Parameter!$B$18</f>
        <v>17</v>
      </c>
      <c r="K1391" s="51" t="n">
        <v>5</v>
      </c>
      <c r="L1391" s="52" t="n">
        <v>3.4</v>
      </c>
      <c r="M1391" s="50" t="n">
        <v>0</v>
      </c>
      <c r="N1391" s="50" t="n">
        <v>5</v>
      </c>
      <c r="O1391" s="53" t="n">
        <v>63</v>
      </c>
      <c r="P1391" s="48" t="s">
        <v>172</v>
      </c>
      <c r="Q1391" s="50"/>
      <c r="R1391" s="53" t="n">
        <f aca="false">IF(BW1391=1,0,IFERROR(VLOOKUP(BU1391,'Gebinde-Kategorie'!$A$5:$N$45,13,0)+0,0))</f>
        <v>12</v>
      </c>
      <c r="S1391" s="54"/>
      <c r="T1391" s="55" t="s">
        <v>183</v>
      </c>
      <c r="U1391" s="55"/>
      <c r="V1391" s="55"/>
      <c r="W1391" s="48"/>
      <c r="X1391" s="50"/>
      <c r="Y1391" s="50"/>
      <c r="Z1391" s="48" t="n">
        <f aca="false">IF(A1391="","",IF(AND(Parameter!$B$21="Ja",ISNUMBER(W1391)),W1391,IF(BZ1391="2+3",IF(ISNUMBER(SEARCH("grosser Artikel",BR1391)),2,IFERROR(VLOOKUP(BU1391,Parameter!$F$35:$G$64,2,0),2)),IF(OR(BZ1391="Nein",BZ1391=""),"-",BZ1391))))</f>
        <v>2</v>
      </c>
      <c r="AA1391" s="55"/>
      <c r="AB1391" s="56"/>
      <c r="AC1391" s="50" t="n">
        <f aca="false">AT1391</f>
        <v>10</v>
      </c>
      <c r="AD1391" s="50" t="n">
        <f aca="false">MAX(AT1391,H1391)</f>
        <v>10</v>
      </c>
      <c r="AE1391" s="57"/>
      <c r="AF1391" s="50" t="n">
        <f aca="false">IF(LEFT(Cockpit!$C$5,1)="A",H1391,IF(CE1391=1,CF1391,IF(LEFT(Cockpit!$C$5,1)="B",AK1391,MAX(AK1391,H1391))))</f>
        <v>0</v>
      </c>
      <c r="AG1391" s="50" t="n">
        <f aca="false">IF(BW1391=1,0,ROUNDUP(AF1391/BV1391,0))</f>
        <v>0</v>
      </c>
      <c r="AH1391" s="52" t="n">
        <f aca="false">IF(CL1391&gt;0,CL1391*MAX(1,AF1391/X1391),IF(BW1391=1,IF(AF1391&lt;=0,0,CA1391*MAX(1,IF(H1391&gt;0,AF1391/H1391,1))),IF(R1391&gt;0,AG1391/R1391,0))/MAX(0.1,N(Parameter!$M$21)))</f>
        <v>0</v>
      </c>
      <c r="AI1391" s="50" t="n">
        <f aca="false">AH1391*BY1391</f>
        <v>0</v>
      </c>
      <c r="AJ1391" s="50" t="n">
        <f aca="false">AF1391*G1391</f>
        <v>0</v>
      </c>
      <c r="AK1391" s="50" t="n">
        <f aca="false">ROUNDUP(MAX(J1391/IF(CD1391&gt;0,CD1391,MAX(0.1,N(Cockpit!$C$6))),CG1391)/BV1391,0)*BV1391</f>
        <v>10</v>
      </c>
      <c r="AL1391" s="51" t="n">
        <f aca="false">IF(AI1391&gt;0,J1391/AI1391,-1)</f>
        <v>-1</v>
      </c>
      <c r="AM1391" s="51" t="str">
        <f aca="false">IF(AND(OR(CC1391="L1",CC1391="L23",CC1391="LIFT"),AI1391&gt;0),SUMIFS($AI$7:$AI$1843,$CC$7:$CC$1843,CC1391,$AL$7:$AL$1843,"&gt;"&amp;AL1391)+SUMIFS($AI$7:$AI$1843,$CC$7:$CC$1843,CC1391,$AL$7:$AL$1843,AL1391,$BT$7:$BT$1843,"&lt;="&amp;BT1391),"")</f>
        <v/>
      </c>
      <c r="AN1391" s="58" t="n">
        <f aca="false">IF(AM1391="",0,MAX(0,MIN(1,(IF(CC1391="L1",Parameter!$H$5,IF(CC1391="L23",Parameter!$H$6+Parameter!$H$7,Parameter!$H$5+Parameter!$H$6+Parameter!$H$7))-(AM1391-AI1391))/AI1391)))</f>
        <v>0</v>
      </c>
      <c r="AO1391" s="50" t="n">
        <f aca="false">IF(LEFT(Cockpit!$I$5,1)="A",H1391,IF(CE1391=1,CF1391,IF(LEFT(Cockpit!$I$5,1)="B",AT1391,MAX(AT1391,H1391))))</f>
        <v>10</v>
      </c>
      <c r="AP1391" s="50" t="n">
        <f aca="false">IF(BW1391=1,0,ROUNDUP(AO1391/BV1391,0))</f>
        <v>2</v>
      </c>
      <c r="AQ1391" s="52" t="n">
        <f aca="false">IF(CL1391&gt;0,CL1391*MAX(1,AO1391/X1391),IF(BW1391=1,IF(AO1391&lt;=0,0,CA1391*MAX(1,IF(H1391&gt;0,AO1391/H1391,1))),IF(R1391&gt;0,AP1391/R1391,0))/MAX(0.1,N(Parameter!$M$21)))</f>
        <v>0.166666666666667</v>
      </c>
      <c r="AR1391" s="50" t="n">
        <f aca="false">AQ1391*BY1391</f>
        <v>24.1666666666667</v>
      </c>
      <c r="AS1391" s="50" t="n">
        <f aca="false">AO1391*G1391</f>
        <v>6997.2</v>
      </c>
      <c r="AT1391" s="50" t="n">
        <f aca="false">ROUNDUP(MAX(J1391/IF(CD1391&gt;0,CD1391,MAX(0.1,N(Cockpit!$I$6))),CG1391)/BV1391,0)*BV1391</f>
        <v>10</v>
      </c>
      <c r="AU1391" s="51" t="n">
        <f aca="false">IF(AR1391&gt;0,J1391/AR1391,-1)</f>
        <v>0.703448275862069</v>
      </c>
      <c r="AV1391" s="51" t="n">
        <f aca="false">IF(AND(OR(CC1391="L1",CC1391="L23",CC1391="LIFT"),AR1391&gt;0),SUMIFS($AR$7:$AR$1843,$CC$7:$CC$1843,CC1391,$AU$7:$AU$1843,"&gt;"&amp;AU1391)+SUMIFS($AR$7:$AR$1843,$CC$7:$CC$1843,CC1391,$AU$7:$AU$1843,AU1391,$BT$7:$BT$1843,"&lt;="&amp;BT1391),"")</f>
        <v>11580.6382783883</v>
      </c>
      <c r="AW1391" s="58" t="n">
        <f aca="false">IF(AV1391="",0,MAX(0,MIN(1,(IF(CC1391="L1",Parameter!$H$5,IF(CC1391="L23",Parameter!$H$6+Parameter!$H$7,Parameter!$H$5+Parameter!$H$6+Parameter!$H$7))-(AV1391-AR1391))/AR1391)))</f>
        <v>1</v>
      </c>
      <c r="AX1391" s="50" t="n">
        <f aca="false">IF(LEFT(Cockpit!$O$5,1)="A",H1391,IF(CE1391=1,CF1391,IF(LEFT(Cockpit!$O$5,1)="B",BC1391,MAX(BC1391,H1391))))</f>
        <v>10</v>
      </c>
      <c r="AY1391" s="50" t="n">
        <f aca="false">IF(BW1391=1,0,ROUNDUP(AX1391/BV1391,0))</f>
        <v>2</v>
      </c>
      <c r="AZ1391" s="52" t="n">
        <f aca="false">IF(CL1391&gt;0,CL1391*MAX(1,AX1391/X1391),IF(BW1391=1,IF(AX1391&lt;=0,0,CA1391*MAX(1,IF(H1391&gt;0,AX1391/H1391,1))),IF(R1391&gt;0,AY1391/R1391,0))/MAX(0.1,N(Parameter!$M$21)))</f>
        <v>0.166666666666667</v>
      </c>
      <c r="BA1391" s="50" t="n">
        <f aca="false">AZ1391*BY1391</f>
        <v>24.1666666666667</v>
      </c>
      <c r="BB1391" s="50" t="n">
        <f aca="false">AX1391*G1391</f>
        <v>6997.2</v>
      </c>
      <c r="BC1391" s="50" t="n">
        <f aca="false">ROUNDUP(MAX(J1391/IF(CD1391&gt;0,CD1391,MAX(0.1,N(Cockpit!$O$6))),CG1391)/BV1391,0)*BV1391</f>
        <v>10</v>
      </c>
      <c r="BD1391" s="51" t="n">
        <f aca="false">IF(BA1391&gt;0,J1391/BA1391,-1)</f>
        <v>0.703448275862069</v>
      </c>
      <c r="BE1391" s="51" t="n">
        <f aca="false">IF(AND(OR(CC1391="L1",CC1391="L23",CC1391="LIFT"),BA1391&gt;0),SUMIFS($BA$7:$BA$1843,$CC$7:$CC$1843,CC1391,$BD$7:$BD$1843,"&gt;"&amp;BD1391)+SUMIFS($BA$7:$BA$1843,$CC$7:$CC$1843,CC1391,$BD$7:$BD$1843,BD1391,$BT$7:$BT$1843,"&lt;="&amp;BT1391),"")</f>
        <v>11180.461996337</v>
      </c>
      <c r="BF1391" s="58" t="n">
        <f aca="false">IF(BE1391="",0,MAX(0,MIN(1,(IF(CC1391="L1",Parameter!$H$5,IF(CC1391="L23",Parameter!$H$6+Parameter!$H$7,Parameter!$H$5+Parameter!$H$6+Parameter!$H$7))-(BE1391-BA1391))/BA1391)))</f>
        <v>1</v>
      </c>
      <c r="BG1391" s="48" t="str">
        <f aca="false">IF(AI1391&lt;=0,"",IF(CC1391="Aussen","Aussenlager",IF(CC1391="-","Nicht im Lift",IF(AN1391&gt;=1,"Lift",IF(AN1391&lt;=0,"Aussenlager","teilweise")))))</f>
        <v/>
      </c>
      <c r="BH1391" s="48" t="str">
        <f aca="false">IF(AR1391&lt;=0,"",IF(CC1391="Aussen","Aussenlager",IF(CC1391="-","Nicht im Lift",IF(AW1391&gt;=1,"Lift",IF(AW1391&lt;=0,"Aussenlager","teilweise")))))</f>
        <v>Lift</v>
      </c>
      <c r="BI1391" s="48" t="str">
        <f aca="false">IF(BA1391&lt;=0,"",IF(CC1391="Aussen","Aussenlager",IF(CC1391="-","Nicht im Lift",IF(BF1391&gt;=1,"Lift",IF(BF1391&lt;=0,"Aussenlager","teilweise")))))</f>
        <v>Lift</v>
      </c>
      <c r="BJ1391" s="48" t="str">
        <f aca="false">IF(A1391="","",IF(BS1391=1,"Neu; ","")&amp;IF(AND(BS1391=0,BN1391&lt;0),"negativer Bestand (Export "&amp;BN1391&amp;"); ","")&amp;IF(J1391&lt;=0,"Kein Verbrauch; ","")&amp;IF(CL1391&gt;0,"Lift "&amp;W1391&amp;" lt. Liftbericht (Fach "&amp;X1391&amp;" Stk); ",IF(BX1391=1,"Gebinde geschätzt ("&amp;T1391&amp;"); ",IF(BW1391=1,"Lose – Tablare geschätzt; ","")))&amp;IF(H1391&gt;AT1391,"Überbestand "&amp;ROUND(H1391-AT1391,0)&amp;" Stk / CHF "&amp;ROUND((H1391-AT1391)*G1391,0)&amp;"; ","")&amp;IF(AND(CE1391=1,CF1391&lt;CG1391),"MAX &lt; MB+LG; ","")&amp;IF(AND(CK1391&gt;0,CJ1391*10&gt;CK1391),"zu hoch für Tablar; ","")&amp;IF(AND(BS1391=0,OR(CE1391=1,AA1391&lt;&gt;"",U1391&lt;&gt;"",V1391&lt;&gt;"",AB1391&lt;&gt;"")),"manuell übersteuert; ","")&amp;IF(AND(BW1391=0,R1391=0),"Gebinde unbekannt / Stellmass fehlt; ","")&amp;IF(AND(BW1391=0,N(V1391)&lt;=0,N(Q1391)&lt;=0),"Menge pro Gebinde fehlt (Ist = 1 Gebinde); ","")&amp;BR1391)</f>
        <v>negativer Bestand (Export -5); Gebinde geschätzt (Mittel); Menge pro Gebinde fehlt (Ist = 1 Gebinde); </v>
      </c>
      <c r="BK1391" s="48"/>
      <c r="BL1391" s="48"/>
      <c r="BM1391" s="55"/>
      <c r="BN1391" s="50" t="n">
        <v>-5</v>
      </c>
      <c r="BO1391" s="50" t="n">
        <v>5</v>
      </c>
      <c r="BP1391" s="49" t="n">
        <v>-3532</v>
      </c>
      <c r="BQ1391" s="50" t="n">
        <v>17</v>
      </c>
      <c r="BR1391" s="48"/>
      <c r="BS1391" s="53" t="n">
        <v>0</v>
      </c>
      <c r="BT1391" s="53" t="n">
        <v>1391</v>
      </c>
      <c r="BU1391" s="48" t="str">
        <f aca="false">IF(U1391&lt;&gt;"",UPPER(TRIM(U1391)),IF(BX1391=1,UPPER(VLOOKUP(T1391,Parameter!$I$27:$K$29,2,0)),IF(P1391="","LOSE",P1391)))</f>
        <v>S61</v>
      </c>
      <c r="BV1391" s="50" t="n">
        <f aca="false">IF(BU1391="LOSE",1,IF(N(V1391)&gt;0,V1391,IF(BX1391=1,MAX(1,N(VLOOKUP(T1391,Parameter!$I$27:$K$29,3,0)),H1391,N(N1391)),IF(N(Q1391)&gt;0,Q1391,MAX(1,H1391)))))</f>
        <v>5</v>
      </c>
      <c r="BW1391" s="53" t="n">
        <f aca="false">IF(BU1391="LOSE",1,0)</f>
        <v>0</v>
      </c>
      <c r="BX1391" s="53" t="n">
        <f aca="false">IF(AND(U1391="",OR(P1391="",P1391="LOSE"),T1391&lt;&gt;"",N(S1391)&lt;=0,ISNUMBER(MATCH(T1391,Parameter!$I$27:$I$29,0))),1,0)</f>
        <v>1</v>
      </c>
      <c r="BY1391" s="53" t="n">
        <f aca="false">IF(CL1391&gt;0,INDEX(Parameter!$H$5:$H$7,W1391)/INDEX(Parameter!$E$5:$E$7,W1391),IF(AND(BW1391=0,N(IFERROR(VLOOKUP(BU1391,'Gebinde-Kategorie'!$A$5:$N$45,14,0),0))&gt;0),VLOOKUP(BU1391,'Gebinde-Kategorie'!$A$5:$N$45,14,0)*10+Parameter!$M$23,Parameter!$M$24))</f>
        <v>145</v>
      </c>
      <c r="BZ1391" s="48" t="str">
        <f aca="false">IF(AND(Parameter!$B$19="Ja",E1391&lt;&gt;"",ISNUMBER(MATCH(E1391,Parameter!$I$35:$I$52,0))),VLOOKUP(E1391,Parameter!$I$35:$J$52,2,0),IFERROR(VLOOKUP(D1391,Parameter!$A$35:$C$64,2,0),"Nein"))</f>
        <v>2+3</v>
      </c>
      <c r="CA1391" s="52" t="n">
        <f aca="false">IF(BW1391=0,0,IF(N(S1391)&gt;0,S1391,IFERROR(VLOOKUP(D1391,Parameter!$A$35:$C$64,3,0)+0,0)))</f>
        <v>0</v>
      </c>
      <c r="CB1391" s="48" t="n">
        <f aca="false">IF(AA1391&lt;&gt;"",AA1391,Z1391)</f>
        <v>2</v>
      </c>
      <c r="CC1391" s="48" t="str">
        <f aca="false">IF(OR(CB1391=1,CB1391=2,CB1391=3),IF(Parameter!$E$27="Ja","LIFT",IF(CB1391=1,"L1","L23")),IF(CB1391="Aussen","Aussen","-"))</f>
        <v>LIFT</v>
      </c>
      <c r="CD1391" s="59" t="n">
        <f aca="false">IF(N(AB1391)&gt;0,AB1391,0)</f>
        <v>0</v>
      </c>
      <c r="CE1391" s="53" t="n">
        <f aca="false">IF(ISNUMBER(AE1391),1,0)</f>
        <v>0</v>
      </c>
      <c r="CF1391" s="50" t="n">
        <f aca="false">N(AE1391)</f>
        <v>0</v>
      </c>
      <c r="CG1391" s="50" t="n">
        <f aca="false">N(M1391)+N(N1391)</f>
        <v>5</v>
      </c>
      <c r="CH1391" s="50" t="n">
        <f aca="false">ROUNDUP(H1391/BV1391,0)</f>
        <v>0</v>
      </c>
      <c r="CI1391" s="50" t="n">
        <f aca="false">ROUNDUP(CF1391/BV1391,0)</f>
        <v>0</v>
      </c>
      <c r="CJ1391" s="53" t="n">
        <f aca="false">IF(BW1391=1,0,IFERROR(VLOOKUP(BU1391,'Gebinde-Kategorie'!$A$5:$N$45,5,0)+0,0))</f>
        <v>11</v>
      </c>
      <c r="CK1391" s="53" t="n">
        <f aca="false">IFERROR(IF(OR(CB1391=1,CB1391=2,CB1391=3),N(INDEX(Parameter!$I$5:$I$7,CB1391)),0),0)</f>
        <v>0</v>
      </c>
      <c r="CL1391" s="52" t="n">
        <f aca="false">IF(AND(Parameter!$B$21="Ja",ISNUMBER(W1391),N(X1391)&gt;0),IFERROR(N(INDEX(Parameter!$L$5:$L$7,W1391))*INDEX(Parameter!$E$5:$E$7,W1391)*X1391/SUMIFS($X$7:$X$1843,$W$7:$W$1843,W1391),0),0)</f>
        <v>0</v>
      </c>
    </row>
    <row r="1392" customFormat="false" ht="15" hidden="false" customHeight="false" outlineLevel="0" collapsed="false">
      <c r="A1392" s="48" t="s">
        <v>2451</v>
      </c>
      <c r="B1392" s="48" t="s">
        <v>2009</v>
      </c>
      <c r="C1392" s="48" t="s">
        <v>168</v>
      </c>
      <c r="D1392" s="48" t="s">
        <v>188</v>
      </c>
      <c r="E1392" s="48"/>
      <c r="F1392" s="48" t="s">
        <v>222</v>
      </c>
      <c r="G1392" s="49" t="n">
        <v>101.57</v>
      </c>
      <c r="H1392" s="50" t="n">
        <f aca="false">MAX(0,IF(AND(Parameter!$B$21="Ja",ISNUMBER(Y1392)),Y1392,IF(Parameter!$B$20="Jahresanfang 2025 + Export",BO1392+BN1392,BN1392)))</f>
        <v>16</v>
      </c>
      <c r="I1392" s="50" t="n">
        <f aca="false">H1392*G1392</f>
        <v>1625.12</v>
      </c>
      <c r="J1392" s="50" t="n">
        <f aca="false">BQ1392*Parameter!$B$18</f>
        <v>2</v>
      </c>
      <c r="K1392" s="51" t="n">
        <v>54</v>
      </c>
      <c r="L1392" s="52" t="n">
        <v>0.037037037037037</v>
      </c>
      <c r="M1392" s="50" t="n">
        <v>0</v>
      </c>
      <c r="N1392" s="50" t="n">
        <v>1</v>
      </c>
      <c r="O1392" s="53" t="n">
        <v>63</v>
      </c>
      <c r="P1392" s="48" t="s">
        <v>237</v>
      </c>
      <c r="Q1392" s="50" t="n">
        <v>40</v>
      </c>
      <c r="R1392" s="53" t="n">
        <f aca="false">IF(BW1392=1,0,IFERROR(VLOOKUP(BU1392,'Gebinde-Kategorie'!$A$5:$N$45,13,0)+0,0))</f>
        <v>26</v>
      </c>
      <c r="S1392" s="54"/>
      <c r="T1392" s="55"/>
      <c r="U1392" s="55"/>
      <c r="V1392" s="55"/>
      <c r="W1392" s="48"/>
      <c r="X1392" s="50"/>
      <c r="Y1392" s="50"/>
      <c r="Z1392" s="48" t="n">
        <f aca="false">IF(A1392="","",IF(AND(Parameter!$B$21="Ja",ISNUMBER(W1392)),W1392,IF(BZ1392="2+3",IF(ISNUMBER(SEARCH("grosser Artikel",BR1392)),2,IFERROR(VLOOKUP(BU1392,Parameter!$F$35:$G$64,2,0),2)),IF(OR(BZ1392="Nein",BZ1392=""),"-",BZ1392))))</f>
        <v>3</v>
      </c>
      <c r="AA1392" s="55"/>
      <c r="AB1392" s="56"/>
      <c r="AC1392" s="50" t="n">
        <f aca="false">AT1392</f>
        <v>40</v>
      </c>
      <c r="AD1392" s="50" t="n">
        <f aca="false">MAX(AT1392,H1392)</f>
        <v>40</v>
      </c>
      <c r="AE1392" s="57"/>
      <c r="AF1392" s="50" t="n">
        <f aca="false">IF(LEFT(Cockpit!$C$5,1)="A",H1392,IF(CE1392=1,CF1392,IF(LEFT(Cockpit!$C$5,1)="B",AK1392,MAX(AK1392,H1392))))</f>
        <v>16</v>
      </c>
      <c r="AG1392" s="50" t="n">
        <f aca="false">IF(BW1392=1,0,ROUNDUP(AF1392/BV1392,0))</f>
        <v>1</v>
      </c>
      <c r="AH1392" s="52" t="n">
        <f aca="false">IF(CL1392&gt;0,CL1392*MAX(1,AF1392/X1392),IF(BW1392=1,IF(AF1392&lt;=0,0,CA1392*MAX(1,IF(H1392&gt;0,AF1392/H1392,1))),IF(R1392&gt;0,AG1392/R1392,0))/MAX(0.1,N(Parameter!$M$21)))</f>
        <v>0.0384615384615385</v>
      </c>
      <c r="AI1392" s="50" t="n">
        <f aca="false">AH1392*BY1392</f>
        <v>9.42307692307692</v>
      </c>
      <c r="AJ1392" s="50" t="n">
        <f aca="false">AF1392*G1392</f>
        <v>1625.12</v>
      </c>
      <c r="AK1392" s="50" t="n">
        <f aca="false">ROUNDUP(MAX(J1392/IF(CD1392&gt;0,CD1392,MAX(0.1,N(Cockpit!$C$6))),CG1392)/BV1392,0)*BV1392</f>
        <v>40</v>
      </c>
      <c r="AL1392" s="51" t="n">
        <f aca="false">IF(AI1392&gt;0,J1392/AI1392,-1)</f>
        <v>0.212244897959184</v>
      </c>
      <c r="AM1392" s="51" t="n">
        <f aca="false">IF(AND(OR(CC1392="L1",CC1392="L23",CC1392="LIFT"),AI1392&gt;0),SUMIFS($AI$7:$AI$1843,$CC$7:$CC$1843,CC1392,$AL$7:$AL$1843,"&gt;"&amp;AL1392)+SUMIFS($AI$7:$AI$1843,$CC$7:$CC$1843,CC1392,$AL$7:$AL$1843,AL1392,$BT$7:$BT$1843,"&lt;="&amp;BT1392),"")</f>
        <v>12401.8170541793</v>
      </c>
      <c r="AN1392" s="58" t="n">
        <f aca="false">IF(AM1392="",0,MAX(0,MIN(1,(IF(CC1392="L1",Parameter!$H$5,IF(CC1392="L23",Parameter!$H$6+Parameter!$H$7,Parameter!$H$5+Parameter!$H$6+Parameter!$H$7))-(AM1392-AI1392))/AI1392)))</f>
        <v>1</v>
      </c>
      <c r="AO1392" s="50" t="n">
        <f aca="false">IF(LEFT(Cockpit!$I$5,1)="A",H1392,IF(CE1392=1,CF1392,IF(LEFT(Cockpit!$I$5,1)="B",AT1392,MAX(AT1392,H1392))))</f>
        <v>40</v>
      </c>
      <c r="AP1392" s="50" t="n">
        <f aca="false">IF(BW1392=1,0,ROUNDUP(AO1392/BV1392,0))</f>
        <v>1</v>
      </c>
      <c r="AQ1392" s="52" t="n">
        <f aca="false">IF(CL1392&gt;0,CL1392*MAX(1,AO1392/X1392),IF(BW1392=1,IF(AO1392&lt;=0,0,CA1392*MAX(1,IF(H1392&gt;0,AO1392/H1392,1))),IF(R1392&gt;0,AP1392/R1392,0))/MAX(0.1,N(Parameter!$M$21)))</f>
        <v>0.0384615384615385</v>
      </c>
      <c r="AR1392" s="50" t="n">
        <f aca="false">AQ1392*BY1392</f>
        <v>9.42307692307692</v>
      </c>
      <c r="AS1392" s="50" t="n">
        <f aca="false">AO1392*G1392</f>
        <v>4062.8</v>
      </c>
      <c r="AT1392" s="50" t="n">
        <f aca="false">ROUNDUP(MAX(J1392/IF(CD1392&gt;0,CD1392,MAX(0.1,N(Cockpit!$I$6))),CG1392)/BV1392,0)*BV1392</f>
        <v>40</v>
      </c>
      <c r="AU1392" s="51" t="n">
        <f aca="false">IF(AR1392&gt;0,J1392/AR1392,-1)</f>
        <v>0.212244897959184</v>
      </c>
      <c r="AV1392" s="51" t="n">
        <f aca="false">IF(AND(OR(CC1392="L1",CC1392="L23",CC1392="LIFT"),AR1392&gt;0),SUMIFS($AR$7:$AR$1843,$CC$7:$CC$1843,CC1392,$AU$7:$AU$1843,"&gt;"&amp;AU1392)+SUMIFS($AR$7:$AR$1843,$CC$7:$CC$1843,CC1392,$AU$7:$AU$1843,AU1392,$BT$7:$BT$1843,"&lt;="&amp;BT1392),"")</f>
        <v>18315.5517399267</v>
      </c>
      <c r="AW1392" s="58" t="n">
        <f aca="false">IF(AV1392="",0,MAX(0,MIN(1,(IF(CC1392="L1",Parameter!$H$5,IF(CC1392="L23",Parameter!$H$6+Parameter!$H$7,Parameter!$H$5+Parameter!$H$6+Parameter!$H$7))-(AV1392-AR1392))/AR1392)))</f>
        <v>1</v>
      </c>
      <c r="AX1392" s="50" t="n">
        <f aca="false">IF(LEFT(Cockpit!$O$5,1)="A",H1392,IF(CE1392=1,CF1392,IF(LEFT(Cockpit!$O$5,1)="B",BC1392,MAX(BC1392,H1392))))</f>
        <v>40</v>
      </c>
      <c r="AY1392" s="50" t="n">
        <f aca="false">IF(BW1392=1,0,ROUNDUP(AX1392/BV1392,0))</f>
        <v>1</v>
      </c>
      <c r="AZ1392" s="52" t="n">
        <f aca="false">IF(CL1392&gt;0,CL1392*MAX(1,AX1392/X1392),IF(BW1392=1,IF(AX1392&lt;=0,0,CA1392*MAX(1,IF(H1392&gt;0,AX1392/H1392,1))),IF(R1392&gt;0,AY1392/R1392,0))/MAX(0.1,N(Parameter!$M$21)))</f>
        <v>0.0384615384615385</v>
      </c>
      <c r="BA1392" s="50" t="n">
        <f aca="false">AZ1392*BY1392</f>
        <v>9.42307692307692</v>
      </c>
      <c r="BB1392" s="50" t="n">
        <f aca="false">AX1392*G1392</f>
        <v>4062.8</v>
      </c>
      <c r="BC1392" s="50" t="n">
        <f aca="false">ROUNDUP(MAX(J1392/IF(CD1392&gt;0,CD1392,MAX(0.1,N(Cockpit!$O$6))),CG1392)/BV1392,0)*BV1392</f>
        <v>40</v>
      </c>
      <c r="BD1392" s="51" t="n">
        <f aca="false">IF(BA1392&gt;0,J1392/BA1392,-1)</f>
        <v>0.212244897959184</v>
      </c>
      <c r="BE1392" s="51" t="n">
        <f aca="false">IF(AND(OR(CC1392="L1",CC1392="L23",CC1392="LIFT"),BA1392&gt;0),SUMIFS($BA$7:$BA$1843,$CC$7:$CC$1843,CC1392,$BD$7:$BD$1843,"&gt;"&amp;BD1392)+SUMIFS($BA$7:$BA$1843,$CC$7:$CC$1843,CC1392,$BD$7:$BD$1843,BD1392,$BT$7:$BT$1843,"&lt;="&amp;BT1392),"")</f>
        <v>16968.2921245421</v>
      </c>
      <c r="BF1392" s="58" t="n">
        <f aca="false">IF(BE1392="",0,MAX(0,MIN(1,(IF(CC1392="L1",Parameter!$H$5,IF(CC1392="L23",Parameter!$H$6+Parameter!$H$7,Parameter!$H$5+Parameter!$H$6+Parameter!$H$7))-(BE1392-BA1392))/BA1392)))</f>
        <v>1</v>
      </c>
      <c r="BG1392" s="48" t="str">
        <f aca="false">IF(AI1392&lt;=0,"",IF(CC1392="Aussen","Aussenlager",IF(CC1392="-","Nicht im Lift",IF(AN1392&gt;=1,"Lift",IF(AN1392&lt;=0,"Aussenlager","teilweise")))))</f>
        <v>Lift</v>
      </c>
      <c r="BH1392" s="48" t="str">
        <f aca="false">IF(AR1392&lt;=0,"",IF(CC1392="Aussen","Aussenlager",IF(CC1392="-","Nicht im Lift",IF(AW1392&gt;=1,"Lift",IF(AW1392&lt;=0,"Aussenlager","teilweise")))))</f>
        <v>Lift</v>
      </c>
      <c r="BI1392" s="48" t="str">
        <f aca="false">IF(BA1392&lt;=0,"",IF(CC1392="Aussen","Aussenlager",IF(CC1392="-","Nicht im Lift",IF(BF1392&gt;=1,"Lift",IF(BF1392&lt;=0,"Aussenlager","teilweise")))))</f>
        <v>Lift</v>
      </c>
      <c r="BJ1392" s="48" t="str">
        <f aca="false">IF(A1392="","",IF(BS1392=1,"Neu; ","")&amp;IF(AND(BS1392=0,BN1392&lt;0),"negativer Bestand (Export "&amp;BN1392&amp;"); ","")&amp;IF(J1392&lt;=0,"Kein Verbrauch; ","")&amp;IF(CL1392&gt;0,"Lift "&amp;W1392&amp;" lt. Liftbericht (Fach "&amp;X1392&amp;" Stk); ",IF(BX1392=1,"Gebinde geschätzt ("&amp;T1392&amp;"); ",IF(BW1392=1,"Lose – Tablare geschätzt; ","")))&amp;IF(H1392&gt;AT1392,"Überbestand "&amp;ROUND(H1392-AT1392,0)&amp;" Stk / CHF "&amp;ROUND((H1392-AT1392)*G1392,0)&amp;"; ","")&amp;IF(AND(CE1392=1,CF1392&lt;CG1392),"MAX &lt; MB+LG; ","")&amp;IF(AND(CK1392&gt;0,CJ1392*10&gt;CK1392),"zu hoch für Tablar; ","")&amp;IF(AND(BS1392=0,OR(CE1392=1,AA1392&lt;&gt;"",U1392&lt;&gt;"",V1392&lt;&gt;"",AB1392&lt;&gt;"")),"manuell übersteuert; ","")&amp;IF(AND(BW1392=0,R1392=0),"Gebinde unbekannt / Stellmass fehlt; ","")&amp;IF(AND(BW1392=0,N(V1392)&lt;=0,N(Q1392)&lt;=0),"Menge pro Gebinde fehlt (Ist = 1 Gebinde); ","")&amp;BR1392)</f>
        <v>negativer Bestand (Export -35); i.o</v>
      </c>
      <c r="BK1392" s="48"/>
      <c r="BL1392" s="48"/>
      <c r="BM1392" s="55"/>
      <c r="BN1392" s="50" t="n">
        <v>-35</v>
      </c>
      <c r="BO1392" s="50" t="n">
        <v>51</v>
      </c>
      <c r="BP1392" s="49" t="n">
        <v>-3554.95</v>
      </c>
      <c r="BQ1392" s="50" t="n">
        <v>2</v>
      </c>
      <c r="BR1392" s="48" t="s">
        <v>540</v>
      </c>
      <c r="BS1392" s="53" t="n">
        <v>0</v>
      </c>
      <c r="BT1392" s="53" t="n">
        <v>1392</v>
      </c>
      <c r="BU1392" s="48" t="str">
        <f aca="false">IF(U1392&lt;&gt;"",UPPER(TRIM(U1392)),IF(BX1392=1,UPPER(VLOOKUP(T1392,Parameter!$I$27:$K$29,2,0)),IF(P1392="","LOSE",P1392)))</f>
        <v>S52</v>
      </c>
      <c r="BV1392" s="50" t="n">
        <f aca="false">IF(BU1392="LOSE",1,IF(N(V1392)&gt;0,V1392,IF(BX1392=1,MAX(1,N(VLOOKUP(T1392,Parameter!$I$27:$K$29,3,0)),H1392,N(N1392)),IF(N(Q1392)&gt;0,Q1392,MAX(1,H1392)))))</f>
        <v>40</v>
      </c>
      <c r="BW1392" s="53" t="n">
        <f aca="false">IF(BU1392="LOSE",1,0)</f>
        <v>0</v>
      </c>
      <c r="BX1392" s="53" t="n">
        <f aca="false">IF(AND(U1392="",OR(P1392="",P1392="LOSE"),T1392&lt;&gt;"",N(S1392)&lt;=0,ISNUMBER(MATCH(T1392,Parameter!$I$27:$I$29,0))),1,0)</f>
        <v>0</v>
      </c>
      <c r="BY1392" s="53" t="n">
        <f aca="false">IF(CL1392&gt;0,INDEX(Parameter!$H$5:$H$7,W1392)/INDEX(Parameter!$E$5:$E$7,W1392),IF(AND(BW1392=0,N(IFERROR(VLOOKUP(BU1392,'Gebinde-Kategorie'!$A$5:$N$45,14,0),0))&gt;0),VLOOKUP(BU1392,'Gebinde-Kategorie'!$A$5:$N$45,14,0)*10+Parameter!$M$23,Parameter!$M$24))</f>
        <v>245</v>
      </c>
      <c r="BZ1392" s="48" t="str">
        <f aca="false">IF(AND(Parameter!$B$19="Ja",E1392&lt;&gt;"",ISNUMBER(MATCH(E1392,Parameter!$I$35:$I$52,0))),VLOOKUP(E1392,Parameter!$I$35:$J$52,2,0),IFERROR(VLOOKUP(D1392,Parameter!$A$35:$C$64,2,0),"Nein"))</f>
        <v>2+3</v>
      </c>
      <c r="CA1392" s="52" t="n">
        <f aca="false">IF(BW1392=0,0,IF(N(S1392)&gt;0,S1392,IFERROR(VLOOKUP(D1392,Parameter!$A$35:$C$64,3,0)+0,0)))</f>
        <v>0</v>
      </c>
      <c r="CB1392" s="48" t="n">
        <f aca="false">IF(AA1392&lt;&gt;"",AA1392,Z1392)</f>
        <v>3</v>
      </c>
      <c r="CC1392" s="48" t="str">
        <f aca="false">IF(OR(CB1392=1,CB1392=2,CB1392=3),IF(Parameter!$E$27="Ja","LIFT",IF(CB1392=1,"L1","L23")),IF(CB1392="Aussen","Aussen","-"))</f>
        <v>LIFT</v>
      </c>
      <c r="CD1392" s="59" t="n">
        <f aca="false">IF(N(AB1392)&gt;0,AB1392,0)</f>
        <v>0</v>
      </c>
      <c r="CE1392" s="53" t="n">
        <f aca="false">IF(ISNUMBER(AE1392),1,0)</f>
        <v>0</v>
      </c>
      <c r="CF1392" s="50" t="n">
        <f aca="false">N(AE1392)</f>
        <v>0</v>
      </c>
      <c r="CG1392" s="50" t="n">
        <f aca="false">N(M1392)+N(N1392)</f>
        <v>1</v>
      </c>
      <c r="CH1392" s="50" t="n">
        <f aca="false">ROUNDUP(H1392/BV1392,0)</f>
        <v>1</v>
      </c>
      <c r="CI1392" s="50" t="n">
        <f aca="false">ROUNDUP(CF1392/BV1392,0)</f>
        <v>0</v>
      </c>
      <c r="CJ1392" s="53" t="n">
        <f aca="false">IF(BW1392=1,0,IFERROR(VLOOKUP(BU1392,'Gebinde-Kategorie'!$A$5:$N$45,5,0)+0,0))</f>
        <v>21</v>
      </c>
      <c r="CK1392" s="53" t="n">
        <f aca="false">IFERROR(IF(OR(CB1392=1,CB1392=2,CB1392=3),N(INDEX(Parameter!$I$5:$I$7,CB1392)),0),0)</f>
        <v>0</v>
      </c>
      <c r="CL1392" s="52" t="n">
        <f aca="false">IF(AND(Parameter!$B$21="Ja",ISNUMBER(W1392),N(X1392)&gt;0),IFERROR(N(INDEX(Parameter!$L$5:$L$7,W1392))*INDEX(Parameter!$E$5:$E$7,W1392)*X1392/SUMIFS($X$7:$X$1843,$W$7:$W$1843,W1392),0),0)</f>
        <v>0</v>
      </c>
    </row>
    <row r="1393" customFormat="false" ht="15" hidden="false" customHeight="false" outlineLevel="0" collapsed="false">
      <c r="A1393" s="48" t="s">
        <v>2452</v>
      </c>
      <c r="B1393" s="48" t="s">
        <v>2453</v>
      </c>
      <c r="C1393" s="48" t="s">
        <v>460</v>
      </c>
      <c r="D1393" s="48" t="s">
        <v>188</v>
      </c>
      <c r="E1393" s="48"/>
      <c r="F1393" s="48" t="s">
        <v>222</v>
      </c>
      <c r="G1393" s="49" t="n">
        <v>1.7</v>
      </c>
      <c r="H1393" s="50" t="n">
        <f aca="false">MAX(0,IF(AND(Parameter!$B$21="Ja",ISNUMBER(Y1393)),Y1393,IF(Parameter!$B$20="Jahresanfang 2025 + Export",BO1393+BN1393,BN1393)))</f>
        <v>2096</v>
      </c>
      <c r="I1393" s="50" t="n">
        <f aca="false">H1393*G1393</f>
        <v>3563.2</v>
      </c>
      <c r="J1393" s="50" t="n">
        <f aca="false">BQ1393*Parameter!$B$18</f>
        <v>2096</v>
      </c>
      <c r="K1393" s="51" t="n">
        <v>2096</v>
      </c>
      <c r="L1393" s="52" t="n">
        <v>1</v>
      </c>
      <c r="M1393" s="50" t="n">
        <v>244</v>
      </c>
      <c r="N1393" s="50" t="n">
        <v>2095</v>
      </c>
      <c r="O1393" s="53" t="n">
        <v>42</v>
      </c>
      <c r="P1393" s="48" t="s">
        <v>172</v>
      </c>
      <c r="Q1393" s="50"/>
      <c r="R1393" s="53" t="n">
        <f aca="false">IF(BW1393=1,0,IFERROR(VLOOKUP(BU1393,'Gebinde-Kategorie'!$A$5:$N$45,13,0)+0,0))</f>
        <v>26</v>
      </c>
      <c r="S1393" s="54"/>
      <c r="T1393" s="55" t="s">
        <v>279</v>
      </c>
      <c r="U1393" s="55"/>
      <c r="V1393" s="55"/>
      <c r="W1393" s="48"/>
      <c r="X1393" s="50"/>
      <c r="Y1393" s="50"/>
      <c r="Z1393" s="48" t="n">
        <f aca="false">IF(A1393="","",IF(AND(Parameter!$B$21="Ja",ISNUMBER(W1393)),W1393,IF(BZ1393="2+3",IF(ISNUMBER(SEARCH("grosser Artikel",BR1393)),2,IFERROR(VLOOKUP(BU1393,Parameter!$F$35:$G$64,2,0),2)),IF(OR(BZ1393="Nein",BZ1393=""),"-",BZ1393))))</f>
        <v>3</v>
      </c>
      <c r="AA1393" s="55"/>
      <c r="AB1393" s="56"/>
      <c r="AC1393" s="50" t="n">
        <f aca="false">AT1393</f>
        <v>4192</v>
      </c>
      <c r="AD1393" s="50" t="n">
        <f aca="false">MAX(AT1393,H1393)</f>
        <v>4192</v>
      </c>
      <c r="AE1393" s="57"/>
      <c r="AF1393" s="50" t="n">
        <f aca="false">IF(LEFT(Cockpit!$C$5,1)="A",H1393,IF(CE1393=1,CF1393,IF(LEFT(Cockpit!$C$5,1)="B",AK1393,MAX(AK1393,H1393))))</f>
        <v>2096</v>
      </c>
      <c r="AG1393" s="50" t="n">
        <f aca="false">IF(BW1393=1,0,ROUNDUP(AF1393/BV1393,0))</f>
        <v>1</v>
      </c>
      <c r="AH1393" s="52" t="n">
        <f aca="false">IF(CL1393&gt;0,CL1393*MAX(1,AF1393/X1393),IF(BW1393=1,IF(AF1393&lt;=0,0,CA1393*MAX(1,IF(H1393&gt;0,AF1393/H1393,1))),IF(R1393&gt;0,AG1393/R1393,0))/MAX(0.1,N(Parameter!$M$21)))</f>
        <v>0.0384615384615385</v>
      </c>
      <c r="AI1393" s="50" t="n">
        <f aca="false">AH1393*BY1393</f>
        <v>5.96153846153846</v>
      </c>
      <c r="AJ1393" s="50" t="n">
        <f aca="false">AF1393*G1393</f>
        <v>3563.2</v>
      </c>
      <c r="AK1393" s="50" t="n">
        <f aca="false">ROUNDUP(MAX(J1393/IF(CD1393&gt;0,CD1393,MAX(0.1,N(Cockpit!$C$6))),CG1393)/BV1393,0)*BV1393</f>
        <v>4192</v>
      </c>
      <c r="AL1393" s="51" t="n">
        <f aca="false">IF(AI1393&gt;0,J1393/AI1393,-1)</f>
        <v>351.587096774194</v>
      </c>
      <c r="AM1393" s="51" t="n">
        <f aca="false">IF(AND(OR(CC1393="L1",CC1393="L23",CC1393="LIFT"),AI1393&gt;0),SUMIFS($AI$7:$AI$1843,$CC$7:$CC$1843,CC1393,$AL$7:$AL$1843,"&gt;"&amp;AL1393)+SUMIFS($AI$7:$AI$1843,$CC$7:$CC$1843,CC1393,$AL$7:$AL$1843,AL1393,$BT$7:$BT$1843,"&lt;="&amp;BT1393),"")</f>
        <v>225.324175824176</v>
      </c>
      <c r="AN1393" s="58" t="n">
        <f aca="false">IF(AM1393="",0,MAX(0,MIN(1,(IF(CC1393="L1",Parameter!$H$5,IF(CC1393="L23",Parameter!$H$6+Parameter!$H$7,Parameter!$H$5+Parameter!$H$6+Parameter!$H$7))-(AM1393-AI1393))/AI1393)))</f>
        <v>1</v>
      </c>
      <c r="AO1393" s="50" t="n">
        <f aca="false">IF(LEFT(Cockpit!$I$5,1)="A",H1393,IF(CE1393=1,CF1393,IF(LEFT(Cockpit!$I$5,1)="B",AT1393,MAX(AT1393,H1393))))</f>
        <v>4192</v>
      </c>
      <c r="AP1393" s="50" t="n">
        <f aca="false">IF(BW1393=1,0,ROUNDUP(AO1393/BV1393,0))</f>
        <v>2</v>
      </c>
      <c r="AQ1393" s="52" t="n">
        <f aca="false">IF(CL1393&gt;0,CL1393*MAX(1,AO1393/X1393),IF(BW1393=1,IF(AO1393&lt;=0,0,CA1393*MAX(1,IF(H1393&gt;0,AO1393/H1393,1))),IF(R1393&gt;0,AP1393/R1393,0))/MAX(0.1,N(Parameter!$M$21)))</f>
        <v>0.0769230769230769</v>
      </c>
      <c r="AR1393" s="50" t="n">
        <f aca="false">AQ1393*BY1393</f>
        <v>11.9230769230769</v>
      </c>
      <c r="AS1393" s="50" t="n">
        <f aca="false">AO1393*G1393</f>
        <v>7126.4</v>
      </c>
      <c r="AT1393" s="50" t="n">
        <f aca="false">ROUNDUP(MAX(J1393/IF(CD1393&gt;0,CD1393,MAX(0.1,N(Cockpit!$I$6))),CG1393)/BV1393,0)*BV1393</f>
        <v>4192</v>
      </c>
      <c r="AU1393" s="51" t="n">
        <f aca="false">IF(AR1393&gt;0,J1393/AR1393,-1)</f>
        <v>175.793548387097</v>
      </c>
      <c r="AV1393" s="51" t="n">
        <f aca="false">IF(AND(OR(CC1393="L1",CC1393="L23",CC1393="LIFT"),AR1393&gt;0),SUMIFS($AR$7:$AR$1843,$CC$7:$CC$1843,CC1393,$AU$7:$AU$1843,"&gt;"&amp;AU1393)+SUMIFS($AR$7:$AR$1843,$CC$7:$CC$1843,CC1393,$AU$7:$AU$1843,AU1393,$BT$7:$BT$1843,"&lt;="&amp;BT1393),"")</f>
        <v>467.14880952381</v>
      </c>
      <c r="AW1393" s="58" t="n">
        <f aca="false">IF(AV1393="",0,MAX(0,MIN(1,(IF(CC1393="L1",Parameter!$H$5,IF(CC1393="L23",Parameter!$H$6+Parameter!$H$7,Parameter!$H$5+Parameter!$H$6+Parameter!$H$7))-(AV1393-AR1393))/AR1393)))</f>
        <v>1</v>
      </c>
      <c r="AX1393" s="50" t="n">
        <f aca="false">IF(LEFT(Cockpit!$O$5,1)="A",H1393,IF(CE1393=1,CF1393,IF(LEFT(Cockpit!$O$5,1)="B",BC1393,MAX(BC1393,H1393))))</f>
        <v>4192</v>
      </c>
      <c r="AY1393" s="50" t="n">
        <f aca="false">IF(BW1393=1,0,ROUNDUP(AX1393/BV1393,0))</f>
        <v>2</v>
      </c>
      <c r="AZ1393" s="52" t="n">
        <f aca="false">IF(CL1393&gt;0,CL1393*MAX(1,AX1393/X1393),IF(BW1393=1,IF(AX1393&lt;=0,0,CA1393*MAX(1,IF(H1393&gt;0,AX1393/H1393,1))),IF(R1393&gt;0,AY1393/R1393,0))/MAX(0.1,N(Parameter!$M$21)))</f>
        <v>0.0769230769230769</v>
      </c>
      <c r="BA1393" s="50" t="n">
        <f aca="false">AZ1393*BY1393</f>
        <v>11.9230769230769</v>
      </c>
      <c r="BB1393" s="50" t="n">
        <f aca="false">AX1393*G1393</f>
        <v>7126.4</v>
      </c>
      <c r="BC1393" s="50" t="n">
        <f aca="false">ROUNDUP(MAX(J1393/IF(CD1393&gt;0,CD1393,MAX(0.1,N(Cockpit!$O$6))),CG1393)/BV1393,0)*BV1393</f>
        <v>4192</v>
      </c>
      <c r="BD1393" s="51" t="n">
        <f aca="false">IF(BA1393&gt;0,J1393/BA1393,-1)</f>
        <v>175.793548387097</v>
      </c>
      <c r="BE1393" s="51" t="n">
        <f aca="false">IF(AND(OR(CC1393="L1",CC1393="L23",CC1393="LIFT"),BA1393&gt;0),SUMIFS($BA$7:$BA$1843,$CC$7:$CC$1843,CC1393,$BD$7:$BD$1843,"&gt;"&amp;BD1393)+SUMIFS($BA$7:$BA$1843,$CC$7:$CC$1843,CC1393,$BD$7:$BD$1843,BD1393,$BT$7:$BT$1843,"&lt;="&amp;BT1393),"")</f>
        <v>529.087912087912</v>
      </c>
      <c r="BF1393" s="58" t="n">
        <f aca="false">IF(BE1393="",0,MAX(0,MIN(1,(IF(CC1393="L1",Parameter!$H$5,IF(CC1393="L23",Parameter!$H$6+Parameter!$H$7,Parameter!$H$5+Parameter!$H$6+Parameter!$H$7))-(BE1393-BA1393))/BA1393)))</f>
        <v>1</v>
      </c>
      <c r="BG1393" s="48" t="str">
        <f aca="false">IF(AI1393&lt;=0,"",IF(CC1393="Aussen","Aussenlager",IF(CC1393="-","Nicht im Lift",IF(AN1393&gt;=1,"Lift",IF(AN1393&lt;=0,"Aussenlager","teilweise")))))</f>
        <v>Lift</v>
      </c>
      <c r="BH1393" s="48" t="str">
        <f aca="false">IF(AR1393&lt;=0,"",IF(CC1393="Aussen","Aussenlager",IF(CC1393="-","Nicht im Lift",IF(AW1393&gt;=1,"Lift",IF(AW1393&lt;=0,"Aussenlager","teilweise")))))</f>
        <v>Lift</v>
      </c>
      <c r="BI1393" s="48" t="str">
        <f aca="false">IF(BA1393&lt;=0,"",IF(CC1393="Aussen","Aussenlager",IF(CC1393="-","Nicht im Lift",IF(BF1393&gt;=1,"Lift",IF(BF1393&lt;=0,"Aussenlager","teilweise")))))</f>
        <v>Lift</v>
      </c>
      <c r="BJ1393" s="48" t="str">
        <f aca="false">IF(A1393="","",IF(BS1393=1,"Neu; ","")&amp;IF(AND(BS1393=0,BN1393&lt;0),"negativer Bestand (Export "&amp;BN1393&amp;"); ","")&amp;IF(J1393&lt;=0,"Kein Verbrauch; ","")&amp;IF(CL1393&gt;0,"Lift "&amp;W1393&amp;" lt. Liftbericht (Fach "&amp;X1393&amp;" Stk); ",IF(BX1393=1,"Gebinde geschätzt ("&amp;T1393&amp;"); ",IF(BW1393=1,"Lose – Tablare geschätzt; ","")))&amp;IF(H1393&gt;AT1393,"Überbestand "&amp;ROUND(H1393-AT1393,0)&amp;" Stk / CHF "&amp;ROUND((H1393-AT1393)*G1393,0)&amp;"; ","")&amp;IF(AND(CE1393=1,CF1393&lt;CG1393),"MAX &lt; MB+LG; ","")&amp;IF(AND(CK1393&gt;0,CJ1393*10&gt;CK1393),"zu hoch für Tablar; ","")&amp;IF(AND(BS1393=0,OR(CE1393=1,AA1393&lt;&gt;"",U1393&lt;&gt;"",V1393&lt;&gt;"",AB1393&lt;&gt;"")),"manuell übersteuert; ","")&amp;IF(AND(BW1393=0,R1393=0),"Gebinde unbekannt / Stellmass fehlt; ","")&amp;IF(AND(BW1393=0,N(V1393)&lt;=0,N(Q1393)&lt;=0),"Menge pro Gebinde fehlt (Ist = 1 Gebinde); ","")&amp;BR1393)</f>
        <v>negativer Bestand (Export -2096); Gebinde geschätzt (Klein); Menge pro Gebinde fehlt (Ist = 1 Gebinde); </v>
      </c>
      <c r="BK1393" s="48"/>
      <c r="BL1393" s="48"/>
      <c r="BM1393" s="55"/>
      <c r="BN1393" s="50" t="n">
        <v>-2096</v>
      </c>
      <c r="BO1393" s="50" t="n">
        <v>4192</v>
      </c>
      <c r="BP1393" s="49" t="n">
        <v>-3563.2</v>
      </c>
      <c r="BQ1393" s="50" t="n">
        <v>2096</v>
      </c>
      <c r="BR1393" s="48"/>
      <c r="BS1393" s="53" t="n">
        <v>0</v>
      </c>
      <c r="BT1393" s="53" t="n">
        <v>1393</v>
      </c>
      <c r="BU1393" s="48" t="str">
        <f aca="false">IF(U1393&lt;&gt;"",UPPER(TRIM(U1393)),IF(BX1393=1,UPPER(VLOOKUP(T1393,Parameter!$I$27:$K$29,2,0)),IF(P1393="","LOSE",P1393)))</f>
        <v>S51</v>
      </c>
      <c r="BV1393" s="50" t="n">
        <f aca="false">IF(BU1393="LOSE",1,IF(N(V1393)&gt;0,V1393,IF(BX1393=1,MAX(1,N(VLOOKUP(T1393,Parameter!$I$27:$K$29,3,0)),H1393,N(N1393)),IF(N(Q1393)&gt;0,Q1393,MAX(1,H1393)))))</f>
        <v>2096</v>
      </c>
      <c r="BW1393" s="53" t="n">
        <f aca="false">IF(BU1393="LOSE",1,0)</f>
        <v>0</v>
      </c>
      <c r="BX1393" s="53" t="n">
        <f aca="false">IF(AND(U1393="",OR(P1393="",P1393="LOSE"),T1393&lt;&gt;"",N(S1393)&lt;=0,ISNUMBER(MATCH(T1393,Parameter!$I$27:$I$29,0))),1,0)</f>
        <v>1</v>
      </c>
      <c r="BY1393" s="53" t="n">
        <f aca="false">IF(CL1393&gt;0,INDEX(Parameter!$H$5:$H$7,W1393)/INDEX(Parameter!$E$5:$E$7,W1393),IF(AND(BW1393=0,N(IFERROR(VLOOKUP(BU1393,'Gebinde-Kategorie'!$A$5:$N$45,14,0),0))&gt;0),VLOOKUP(BU1393,'Gebinde-Kategorie'!$A$5:$N$45,14,0)*10+Parameter!$M$23,Parameter!$M$24))</f>
        <v>155</v>
      </c>
      <c r="BZ1393" s="48" t="str">
        <f aca="false">IF(AND(Parameter!$B$19="Ja",E1393&lt;&gt;"",ISNUMBER(MATCH(E1393,Parameter!$I$35:$I$52,0))),VLOOKUP(E1393,Parameter!$I$35:$J$52,2,0),IFERROR(VLOOKUP(D1393,Parameter!$A$35:$C$64,2,0),"Nein"))</f>
        <v>2+3</v>
      </c>
      <c r="CA1393" s="52" t="n">
        <f aca="false">IF(BW1393=0,0,IF(N(S1393)&gt;0,S1393,IFERROR(VLOOKUP(D1393,Parameter!$A$35:$C$64,3,0)+0,0)))</f>
        <v>0</v>
      </c>
      <c r="CB1393" s="48" t="n">
        <f aca="false">IF(AA1393&lt;&gt;"",AA1393,Z1393)</f>
        <v>3</v>
      </c>
      <c r="CC1393" s="48" t="str">
        <f aca="false">IF(OR(CB1393=1,CB1393=2,CB1393=3),IF(Parameter!$E$27="Ja","LIFT",IF(CB1393=1,"L1","L23")),IF(CB1393="Aussen","Aussen","-"))</f>
        <v>LIFT</v>
      </c>
      <c r="CD1393" s="59" t="n">
        <f aca="false">IF(N(AB1393)&gt;0,AB1393,0)</f>
        <v>0</v>
      </c>
      <c r="CE1393" s="53" t="n">
        <f aca="false">IF(ISNUMBER(AE1393),1,0)</f>
        <v>0</v>
      </c>
      <c r="CF1393" s="50" t="n">
        <f aca="false">N(AE1393)</f>
        <v>0</v>
      </c>
      <c r="CG1393" s="50" t="n">
        <f aca="false">N(M1393)+N(N1393)</f>
        <v>2339</v>
      </c>
      <c r="CH1393" s="50" t="n">
        <f aca="false">ROUNDUP(H1393/BV1393,0)</f>
        <v>1</v>
      </c>
      <c r="CI1393" s="50" t="n">
        <f aca="false">ROUNDUP(CF1393/BV1393,0)</f>
        <v>0</v>
      </c>
      <c r="CJ1393" s="53" t="n">
        <f aca="false">IF(BW1393=1,0,IFERROR(VLOOKUP(BU1393,'Gebinde-Kategorie'!$A$5:$N$45,5,0)+0,0))</f>
        <v>11</v>
      </c>
      <c r="CK1393" s="53" t="n">
        <f aca="false">IFERROR(IF(OR(CB1393=1,CB1393=2,CB1393=3),N(INDEX(Parameter!$I$5:$I$7,CB1393)),0),0)</f>
        <v>0</v>
      </c>
      <c r="CL1393" s="52" t="n">
        <f aca="false">IF(AND(Parameter!$B$21="Ja",ISNUMBER(W1393),N(X1393)&gt;0),IFERROR(N(INDEX(Parameter!$L$5:$L$7,W1393))*INDEX(Parameter!$E$5:$E$7,W1393)*X1393/SUMIFS($X$7:$X$1843,$W$7:$W$1843,W1393),0),0)</f>
        <v>0</v>
      </c>
    </row>
    <row r="1394" customFormat="false" ht="15" hidden="false" customHeight="false" outlineLevel="0" collapsed="false">
      <c r="A1394" s="48" t="s">
        <v>2454</v>
      </c>
      <c r="B1394" s="48" t="s">
        <v>2455</v>
      </c>
      <c r="C1394" s="48" t="s">
        <v>168</v>
      </c>
      <c r="D1394" s="48" t="s">
        <v>177</v>
      </c>
      <c r="E1394" s="48" t="s">
        <v>189</v>
      </c>
      <c r="F1394" s="48" t="s">
        <v>222</v>
      </c>
      <c r="G1394" s="49" t="n">
        <v>603.8</v>
      </c>
      <c r="H1394" s="50" t="n">
        <f aca="false">MAX(0,IF(AND(Parameter!$B$21="Ja",ISNUMBER(Y1394)),Y1394,IF(Parameter!$B$20="Jahresanfang 2025 + Export",BO1394+BN1394,BN1394)))</f>
        <v>3</v>
      </c>
      <c r="I1394" s="50" t="n">
        <f aca="false">H1394*G1394</f>
        <v>1811.4</v>
      </c>
      <c r="J1394" s="50" t="n">
        <f aca="false">BQ1394*Parameter!$B$18</f>
        <v>9</v>
      </c>
      <c r="K1394" s="51" t="n">
        <v>8.5</v>
      </c>
      <c r="L1394" s="52" t="n">
        <v>1.05882352941177</v>
      </c>
      <c r="M1394" s="50" t="n">
        <v>1</v>
      </c>
      <c r="N1394" s="50" t="n">
        <v>5</v>
      </c>
      <c r="O1394" s="53" t="n">
        <v>28</v>
      </c>
      <c r="P1394" s="48" t="s">
        <v>178</v>
      </c>
      <c r="Q1394" s="50" t="n">
        <v>4</v>
      </c>
      <c r="R1394" s="53" t="n">
        <f aca="false">IF(BW1394=1,0,IFERROR(VLOOKUP(BU1394,'Gebinde-Kategorie'!$A$5:$N$45,13,0)+0,0))</f>
        <v>6</v>
      </c>
      <c r="S1394" s="54"/>
      <c r="T1394" s="55"/>
      <c r="U1394" s="55"/>
      <c r="V1394" s="55"/>
      <c r="W1394" s="48"/>
      <c r="X1394" s="50"/>
      <c r="Y1394" s="50"/>
      <c r="Z1394" s="48" t="n">
        <f aca="false">IF(A1394="","",IF(AND(Parameter!$B$21="Ja",ISNUMBER(W1394)),W1394,IF(BZ1394="2+3",IF(ISNUMBER(SEARCH("grosser Artikel",BR1394)),2,IFERROR(VLOOKUP(BU1394,Parameter!$F$35:$G$64,2,0),2)),IF(OR(BZ1394="Nein",BZ1394=""),"-",BZ1394))))</f>
        <v>2</v>
      </c>
      <c r="AA1394" s="55"/>
      <c r="AB1394" s="56"/>
      <c r="AC1394" s="50" t="n">
        <f aca="false">AT1394</f>
        <v>8</v>
      </c>
      <c r="AD1394" s="50" t="n">
        <f aca="false">MAX(AT1394,H1394)</f>
        <v>8</v>
      </c>
      <c r="AE1394" s="57"/>
      <c r="AF1394" s="50" t="n">
        <f aca="false">IF(LEFT(Cockpit!$C$5,1)="A",H1394,IF(CE1394=1,CF1394,IF(LEFT(Cockpit!$C$5,1)="B",AK1394,MAX(AK1394,H1394))))</f>
        <v>3</v>
      </c>
      <c r="AG1394" s="50" t="n">
        <f aca="false">IF(BW1394=1,0,ROUNDUP(AF1394/BV1394,0))</f>
        <v>1</v>
      </c>
      <c r="AH1394" s="52" t="n">
        <f aca="false">IF(CL1394&gt;0,CL1394*MAX(1,AF1394/X1394),IF(BW1394=1,IF(AF1394&lt;=0,0,CA1394*MAX(1,IF(H1394&gt;0,AF1394/H1394,1))),IF(R1394&gt;0,AG1394/R1394,0))/MAX(0.1,N(Parameter!$M$21)))</f>
        <v>0.166666666666667</v>
      </c>
      <c r="AI1394" s="50" t="n">
        <f aca="false">AH1394*BY1394</f>
        <v>39.1666666666667</v>
      </c>
      <c r="AJ1394" s="50" t="n">
        <f aca="false">AF1394*G1394</f>
        <v>1811.4</v>
      </c>
      <c r="AK1394" s="50" t="n">
        <f aca="false">ROUNDUP(MAX(J1394/IF(CD1394&gt;0,CD1394,MAX(0.1,N(Cockpit!$C$6))),CG1394)/BV1394,0)*BV1394</f>
        <v>8</v>
      </c>
      <c r="AL1394" s="51" t="n">
        <f aca="false">IF(AI1394&gt;0,J1394/AI1394,-1)</f>
        <v>0.229787234042553</v>
      </c>
      <c r="AM1394" s="51" t="n">
        <f aca="false">IF(AND(OR(CC1394="L1",CC1394="L23",CC1394="LIFT"),AI1394&gt;0),SUMIFS($AI$7:$AI$1843,$CC$7:$CC$1843,CC1394,$AL$7:$AL$1843,"&gt;"&amp;AL1394)+SUMIFS($AI$7:$AI$1843,$CC$7:$CC$1843,CC1394,$AL$7:$AL$1843,AL1394,$BT$7:$BT$1843,"&lt;="&amp;BT1394),"")</f>
        <v>12069.8535962625</v>
      </c>
      <c r="AN1394" s="58" t="n">
        <f aca="false">IF(AM1394="",0,MAX(0,MIN(1,(IF(CC1394="L1",Parameter!$H$5,IF(CC1394="L23",Parameter!$H$6+Parameter!$H$7,Parameter!$H$5+Parameter!$H$6+Parameter!$H$7))-(AM1394-AI1394))/AI1394)))</f>
        <v>1</v>
      </c>
      <c r="AO1394" s="50" t="n">
        <f aca="false">IF(LEFT(Cockpit!$I$5,1)="A",H1394,IF(CE1394=1,CF1394,IF(LEFT(Cockpit!$I$5,1)="B",AT1394,MAX(AT1394,H1394))))</f>
        <v>8</v>
      </c>
      <c r="AP1394" s="50" t="n">
        <f aca="false">IF(BW1394=1,0,ROUNDUP(AO1394/BV1394,0))</f>
        <v>2</v>
      </c>
      <c r="AQ1394" s="52" t="n">
        <f aca="false">IF(CL1394&gt;0,CL1394*MAX(1,AO1394/X1394),IF(BW1394=1,IF(AO1394&lt;=0,0,CA1394*MAX(1,IF(H1394&gt;0,AO1394/H1394,1))),IF(R1394&gt;0,AP1394/R1394,0))/MAX(0.1,N(Parameter!$M$21)))</f>
        <v>0.333333333333333</v>
      </c>
      <c r="AR1394" s="50" t="n">
        <f aca="false">AQ1394*BY1394</f>
        <v>78.3333333333333</v>
      </c>
      <c r="AS1394" s="50" t="n">
        <f aca="false">AO1394*G1394</f>
        <v>4830.4</v>
      </c>
      <c r="AT1394" s="50" t="n">
        <f aca="false">ROUNDUP(MAX(J1394/IF(CD1394&gt;0,CD1394,MAX(0.1,N(Cockpit!$I$6))),CG1394)/BV1394,0)*BV1394</f>
        <v>8</v>
      </c>
      <c r="AU1394" s="51" t="n">
        <f aca="false">IF(AR1394&gt;0,J1394/AR1394,-1)</f>
        <v>0.114893617021277</v>
      </c>
      <c r="AV1394" s="51" t="n">
        <f aca="false">IF(AND(OR(CC1394="L1",CC1394="L23",CC1394="LIFT"),AR1394&gt;0),SUMIFS($AR$7:$AR$1843,$CC$7:$CC$1843,CC1394,$AU$7:$AU$1843,"&gt;"&amp;AU1394)+SUMIFS($AR$7:$AR$1843,$CC$7:$CC$1843,CC1394,$AU$7:$AU$1843,AU1394,$BT$7:$BT$1843,"&lt;="&amp;BT1394),"")</f>
        <v>20349.4299450549</v>
      </c>
      <c r="AW1394" s="58" t="n">
        <f aca="false">IF(AV1394="",0,MAX(0,MIN(1,(IF(CC1394="L1",Parameter!$H$5,IF(CC1394="L23",Parameter!$H$6+Parameter!$H$7,Parameter!$H$5+Parameter!$H$6+Parameter!$H$7))-(AV1394-AR1394))/AR1394)))</f>
        <v>1</v>
      </c>
      <c r="AX1394" s="50" t="n">
        <f aca="false">IF(LEFT(Cockpit!$O$5,1)="A",H1394,IF(CE1394=1,CF1394,IF(LEFT(Cockpit!$O$5,1)="B",BC1394,MAX(BC1394,H1394))))</f>
        <v>8</v>
      </c>
      <c r="AY1394" s="50" t="n">
        <f aca="false">IF(BW1394=1,0,ROUNDUP(AX1394/BV1394,0))</f>
        <v>2</v>
      </c>
      <c r="AZ1394" s="52" t="n">
        <f aca="false">IF(CL1394&gt;0,CL1394*MAX(1,AX1394/X1394),IF(BW1394=1,IF(AX1394&lt;=0,0,CA1394*MAX(1,IF(H1394&gt;0,AX1394/H1394,1))),IF(R1394&gt;0,AY1394/R1394,0))/MAX(0.1,N(Parameter!$M$21)))</f>
        <v>0.333333333333333</v>
      </c>
      <c r="BA1394" s="50" t="n">
        <f aca="false">AZ1394*BY1394</f>
        <v>78.3333333333333</v>
      </c>
      <c r="BB1394" s="50" t="n">
        <f aca="false">AX1394*G1394</f>
        <v>4830.4</v>
      </c>
      <c r="BC1394" s="50" t="n">
        <f aca="false">ROUNDUP(MAX(J1394/IF(CD1394&gt;0,CD1394,MAX(0.1,N(Cockpit!$O$6))),CG1394)/BV1394,0)*BV1394</f>
        <v>8</v>
      </c>
      <c r="BD1394" s="51" t="n">
        <f aca="false">IF(BA1394&gt;0,J1394/BA1394,-1)</f>
        <v>0.114893617021277</v>
      </c>
      <c r="BE1394" s="51" t="n">
        <f aca="false">IF(AND(OR(CC1394="L1",CC1394="L23",CC1394="LIFT"),BA1394&gt;0),SUMIFS($BA$7:$BA$1843,$CC$7:$CC$1843,CC1394,$BD$7:$BD$1843,"&gt;"&amp;BD1394)+SUMIFS($BA$7:$BA$1843,$CC$7:$CC$1843,CC1394,$BD$7:$BD$1843,BD1394,$BT$7:$BT$1843,"&lt;="&amp;BT1394),"")</f>
        <v>20437.6011206308</v>
      </c>
      <c r="BF1394" s="58" t="n">
        <f aca="false">IF(BE1394="",0,MAX(0,MIN(1,(IF(CC1394="L1",Parameter!$H$5,IF(CC1394="L23",Parameter!$H$6+Parameter!$H$7,Parameter!$H$5+Parameter!$H$6+Parameter!$H$7))-(BE1394-BA1394))/BA1394)))</f>
        <v>1</v>
      </c>
      <c r="BG1394" s="48" t="str">
        <f aca="false">IF(AI1394&lt;=0,"",IF(CC1394="Aussen","Aussenlager",IF(CC1394="-","Nicht im Lift",IF(AN1394&gt;=1,"Lift",IF(AN1394&lt;=0,"Aussenlager","teilweise")))))</f>
        <v>Lift</v>
      </c>
      <c r="BH1394" s="48" t="str">
        <f aca="false">IF(AR1394&lt;=0,"",IF(CC1394="Aussen","Aussenlager",IF(CC1394="-","Nicht im Lift",IF(AW1394&gt;=1,"Lift",IF(AW1394&lt;=0,"Aussenlager","teilweise")))))</f>
        <v>Lift</v>
      </c>
      <c r="BI1394" s="48" t="str">
        <f aca="false">IF(BA1394&lt;=0,"",IF(CC1394="Aussen","Aussenlager",IF(CC1394="-","Nicht im Lift",IF(BF1394&gt;=1,"Lift",IF(BF1394&lt;=0,"Aussenlager","teilweise")))))</f>
        <v>Lift</v>
      </c>
      <c r="BJ1394" s="48" t="str">
        <f aca="false">IF(A1394="","",IF(BS1394=1,"Neu; ","")&amp;IF(AND(BS1394=0,BN1394&lt;0),"negativer Bestand (Export "&amp;BN1394&amp;"); ","")&amp;IF(J1394&lt;=0,"Kein Verbrauch; ","")&amp;IF(CL1394&gt;0,"Lift "&amp;W1394&amp;" lt. Liftbericht (Fach "&amp;X1394&amp;" Stk); ",IF(BX1394=1,"Gebinde geschätzt ("&amp;T1394&amp;"); ",IF(BW1394=1,"Lose – Tablare geschätzt; ","")))&amp;IF(H1394&gt;AT1394,"Überbestand "&amp;ROUND(H1394-AT1394,0)&amp;" Stk / CHF "&amp;ROUND((H1394-AT1394)*G1394,0)&amp;"; ","")&amp;IF(AND(CE1394=1,CF1394&lt;CG1394),"MAX &lt; MB+LG; ","")&amp;IF(AND(CK1394&gt;0,CJ1394*10&gt;CK1394),"zu hoch für Tablar; ","")&amp;IF(AND(BS1394=0,OR(CE1394=1,AA1394&lt;&gt;"",U1394&lt;&gt;"",V1394&lt;&gt;"",AB1394&lt;&gt;"")),"manuell übersteuert; ","")&amp;IF(AND(BW1394=0,R1394=0),"Gebinde unbekannt / Stellmass fehlt; ","")&amp;IF(AND(BW1394=0,N(V1394)&lt;=0,N(Q1394)&lt;=0),"Menge pro Gebinde fehlt (Ist = 1 Gebinde); ","")&amp;BR1394)</f>
        <v>negativer Bestand (Export -6); nicht im KTL vorhanden</v>
      </c>
      <c r="BK1394" s="48"/>
      <c r="BL1394" s="48"/>
      <c r="BM1394" s="55"/>
      <c r="BN1394" s="50" t="n">
        <v>-6</v>
      </c>
      <c r="BO1394" s="50" t="n">
        <v>9</v>
      </c>
      <c r="BP1394" s="49" t="n">
        <v>-3619.38</v>
      </c>
      <c r="BQ1394" s="50" t="n">
        <v>9</v>
      </c>
      <c r="BR1394" s="48" t="s">
        <v>234</v>
      </c>
      <c r="BS1394" s="53" t="n">
        <v>0</v>
      </c>
      <c r="BT1394" s="53" t="n">
        <v>1394</v>
      </c>
      <c r="BU1394" s="48" t="str">
        <f aca="false">IF(U1394&lt;&gt;"",UPPER(TRIM(U1394)),IF(BX1394=1,UPPER(VLOOKUP(T1394,Parameter!$I$27:$K$29,2,0)),IF(P1394="","LOSE",P1394)))</f>
        <v>S71</v>
      </c>
      <c r="BV1394" s="50" t="n">
        <f aca="false">IF(BU1394="LOSE",1,IF(N(V1394)&gt;0,V1394,IF(BX1394=1,MAX(1,N(VLOOKUP(T1394,Parameter!$I$27:$K$29,3,0)),H1394,N(N1394)),IF(N(Q1394)&gt;0,Q1394,MAX(1,H1394)))))</f>
        <v>4</v>
      </c>
      <c r="BW1394" s="53" t="n">
        <f aca="false">IF(BU1394="LOSE",1,0)</f>
        <v>0</v>
      </c>
      <c r="BX1394" s="53" t="n">
        <f aca="false">IF(AND(U1394="",OR(P1394="",P1394="LOSE"),T1394&lt;&gt;"",N(S1394)&lt;=0,ISNUMBER(MATCH(T1394,Parameter!$I$27:$I$29,0))),1,0)</f>
        <v>0</v>
      </c>
      <c r="BY1394" s="53" t="n">
        <f aca="false">IF(CL1394&gt;0,INDEX(Parameter!$H$5:$H$7,W1394)/INDEX(Parameter!$E$5:$E$7,W1394),IF(AND(BW1394=0,N(IFERROR(VLOOKUP(BU1394,'Gebinde-Kategorie'!$A$5:$N$45,14,0),0))&gt;0),VLOOKUP(BU1394,'Gebinde-Kategorie'!$A$5:$N$45,14,0)*10+Parameter!$M$23,Parameter!$M$24))</f>
        <v>235</v>
      </c>
      <c r="BZ1394" s="48" t="str">
        <f aca="false">IF(AND(Parameter!$B$19="Ja",E1394&lt;&gt;"",ISNUMBER(MATCH(E1394,Parameter!$I$35:$I$52,0))),VLOOKUP(E1394,Parameter!$I$35:$J$52,2,0),IFERROR(VLOOKUP(D1394,Parameter!$A$35:$C$64,2,0),"Nein"))</f>
        <v>2+3</v>
      </c>
      <c r="CA1394" s="52" t="n">
        <f aca="false">IF(BW1394=0,0,IF(N(S1394)&gt;0,S1394,IFERROR(VLOOKUP(D1394,Parameter!$A$35:$C$64,3,0)+0,0)))</f>
        <v>0</v>
      </c>
      <c r="CB1394" s="48" t="n">
        <f aca="false">IF(AA1394&lt;&gt;"",AA1394,Z1394)</f>
        <v>2</v>
      </c>
      <c r="CC1394" s="48" t="str">
        <f aca="false">IF(OR(CB1394=1,CB1394=2,CB1394=3),IF(Parameter!$E$27="Ja","LIFT",IF(CB1394=1,"L1","L23")),IF(CB1394="Aussen","Aussen","-"))</f>
        <v>LIFT</v>
      </c>
      <c r="CD1394" s="59" t="n">
        <f aca="false">IF(N(AB1394)&gt;0,AB1394,0)</f>
        <v>0</v>
      </c>
      <c r="CE1394" s="53" t="n">
        <f aca="false">IF(ISNUMBER(AE1394),1,0)</f>
        <v>0</v>
      </c>
      <c r="CF1394" s="50" t="n">
        <f aca="false">N(AE1394)</f>
        <v>0</v>
      </c>
      <c r="CG1394" s="50" t="n">
        <f aca="false">N(M1394)+N(N1394)</f>
        <v>6</v>
      </c>
      <c r="CH1394" s="50" t="n">
        <f aca="false">ROUNDUP(H1394/BV1394,0)</f>
        <v>1</v>
      </c>
      <c r="CI1394" s="50" t="n">
        <f aca="false">ROUNDUP(CF1394/BV1394,0)</f>
        <v>0</v>
      </c>
      <c r="CJ1394" s="53" t="n">
        <f aca="false">IF(BW1394=1,0,IFERROR(VLOOKUP(BU1394,'Gebinde-Kategorie'!$A$5:$N$45,5,0)+0,0))</f>
        <v>20</v>
      </c>
      <c r="CK1394" s="53" t="n">
        <f aca="false">IFERROR(IF(OR(CB1394=1,CB1394=2,CB1394=3),N(INDEX(Parameter!$I$5:$I$7,CB1394)),0),0)</f>
        <v>0</v>
      </c>
      <c r="CL1394" s="52" t="n">
        <f aca="false">IF(AND(Parameter!$B$21="Ja",ISNUMBER(W1394),N(X1394)&gt;0),IFERROR(N(INDEX(Parameter!$L$5:$L$7,W1394))*INDEX(Parameter!$E$5:$E$7,W1394)*X1394/SUMIFS($X$7:$X$1843,$W$7:$W$1843,W1394),0),0)</f>
        <v>0</v>
      </c>
    </row>
    <row r="1395" customFormat="false" ht="15" hidden="false" customHeight="false" outlineLevel="0" collapsed="false">
      <c r="A1395" s="48" t="s">
        <v>2456</v>
      </c>
      <c r="B1395" s="48" t="s">
        <v>2457</v>
      </c>
      <c r="C1395" s="48" t="s">
        <v>168</v>
      </c>
      <c r="D1395" s="48" t="s">
        <v>188</v>
      </c>
      <c r="E1395" s="48"/>
      <c r="F1395" s="48" t="s">
        <v>222</v>
      </c>
      <c r="G1395" s="49" t="n">
        <v>92.69</v>
      </c>
      <c r="H1395" s="50" t="n">
        <f aca="false">MAX(0,IF(AND(Parameter!$B$21="Ja",ISNUMBER(Y1395)),Y1395,IF(Parameter!$B$20="Jahresanfang 2025 + Export",BO1395+BN1395,BN1395)))</f>
        <v>35</v>
      </c>
      <c r="I1395" s="50" t="n">
        <f aca="false">H1395*G1395</f>
        <v>3244.15</v>
      </c>
      <c r="J1395" s="50" t="n">
        <f aca="false">BQ1395*Parameter!$B$18</f>
        <v>2</v>
      </c>
      <c r="K1395" s="51" t="n">
        <v>76</v>
      </c>
      <c r="L1395" s="52" t="n">
        <v>0.0263157894736842</v>
      </c>
      <c r="M1395" s="50" t="n">
        <v>0</v>
      </c>
      <c r="N1395" s="50" t="n">
        <v>1</v>
      </c>
      <c r="O1395" s="53" t="n">
        <v>28</v>
      </c>
      <c r="P1395" s="48" t="s">
        <v>306</v>
      </c>
      <c r="Q1395" s="50" t="n">
        <v>60</v>
      </c>
      <c r="R1395" s="53" t="n">
        <f aca="false">IF(BW1395=1,0,IFERROR(VLOOKUP(BU1395,'Gebinde-Kategorie'!$A$5:$N$45,13,0)+0,0))</f>
        <v>26</v>
      </c>
      <c r="S1395" s="54"/>
      <c r="T1395" s="55"/>
      <c r="U1395" s="55"/>
      <c r="V1395" s="55"/>
      <c r="W1395" s="48"/>
      <c r="X1395" s="50"/>
      <c r="Y1395" s="50"/>
      <c r="Z1395" s="48" t="n">
        <f aca="false">IF(A1395="","",IF(AND(Parameter!$B$21="Ja",ISNUMBER(W1395)),W1395,IF(BZ1395="2+3",IF(ISNUMBER(SEARCH("grosser Artikel",BR1395)),2,IFERROR(VLOOKUP(BU1395,Parameter!$F$35:$G$64,2,0),2)),IF(OR(BZ1395="Nein",BZ1395=""),"-",BZ1395))))</f>
        <v>3</v>
      </c>
      <c r="AA1395" s="55"/>
      <c r="AB1395" s="56"/>
      <c r="AC1395" s="50" t="n">
        <f aca="false">AT1395</f>
        <v>60</v>
      </c>
      <c r="AD1395" s="50" t="n">
        <f aca="false">MAX(AT1395,H1395)</f>
        <v>60</v>
      </c>
      <c r="AE1395" s="57"/>
      <c r="AF1395" s="50" t="n">
        <f aca="false">IF(LEFT(Cockpit!$C$5,1)="A",H1395,IF(CE1395=1,CF1395,IF(LEFT(Cockpit!$C$5,1)="B",AK1395,MAX(AK1395,H1395))))</f>
        <v>35</v>
      </c>
      <c r="AG1395" s="50" t="n">
        <f aca="false">IF(BW1395=1,0,ROUNDUP(AF1395/BV1395,0))</f>
        <v>1</v>
      </c>
      <c r="AH1395" s="52" t="n">
        <f aca="false">IF(CL1395&gt;0,CL1395*MAX(1,AF1395/X1395),IF(BW1395=1,IF(AF1395&lt;=0,0,CA1395*MAX(1,IF(H1395&gt;0,AF1395/H1395,1))),IF(R1395&gt;0,AG1395/R1395,0))/MAX(0.1,N(Parameter!$M$21)))</f>
        <v>0.0384615384615385</v>
      </c>
      <c r="AI1395" s="50" t="n">
        <f aca="false">AH1395*BY1395</f>
        <v>5.96153846153846</v>
      </c>
      <c r="AJ1395" s="50" t="n">
        <f aca="false">AF1395*G1395</f>
        <v>3244.15</v>
      </c>
      <c r="AK1395" s="50" t="n">
        <f aca="false">ROUNDUP(MAX(J1395/IF(CD1395&gt;0,CD1395,MAX(0.1,N(Cockpit!$C$6))),CG1395)/BV1395,0)*BV1395</f>
        <v>60</v>
      </c>
      <c r="AL1395" s="51" t="n">
        <f aca="false">IF(AI1395&gt;0,J1395/AI1395,-1)</f>
        <v>0.335483870967742</v>
      </c>
      <c r="AM1395" s="51" t="n">
        <f aca="false">IF(AND(OR(CC1395="L1",CC1395="L23",CC1395="LIFT"),AI1395&gt;0),SUMIFS($AI$7:$AI$1843,$CC$7:$CC$1843,CC1395,$AL$7:$AL$1843,"&gt;"&amp;AL1395)+SUMIFS($AI$7:$AI$1843,$CC$7:$CC$1843,CC1395,$AL$7:$AL$1843,AL1395,$BT$7:$BT$1843,"&lt;="&amp;BT1395),"")</f>
        <v>11248.6155010244</v>
      </c>
      <c r="AN1395" s="58" t="n">
        <f aca="false">IF(AM1395="",0,MAX(0,MIN(1,(IF(CC1395="L1",Parameter!$H$5,IF(CC1395="L23",Parameter!$H$6+Parameter!$H$7,Parameter!$H$5+Parameter!$H$6+Parameter!$H$7))-(AM1395-AI1395))/AI1395)))</f>
        <v>1</v>
      </c>
      <c r="AO1395" s="50" t="n">
        <f aca="false">IF(LEFT(Cockpit!$I$5,1)="A",H1395,IF(CE1395=1,CF1395,IF(LEFT(Cockpit!$I$5,1)="B",AT1395,MAX(AT1395,H1395))))</f>
        <v>60</v>
      </c>
      <c r="AP1395" s="50" t="n">
        <f aca="false">IF(BW1395=1,0,ROUNDUP(AO1395/BV1395,0))</f>
        <v>1</v>
      </c>
      <c r="AQ1395" s="52" t="n">
        <f aca="false">IF(CL1395&gt;0,CL1395*MAX(1,AO1395/X1395),IF(BW1395=1,IF(AO1395&lt;=0,0,CA1395*MAX(1,IF(H1395&gt;0,AO1395/H1395,1))),IF(R1395&gt;0,AP1395/R1395,0))/MAX(0.1,N(Parameter!$M$21)))</f>
        <v>0.0384615384615385</v>
      </c>
      <c r="AR1395" s="50" t="n">
        <f aca="false">AQ1395*BY1395</f>
        <v>5.96153846153846</v>
      </c>
      <c r="AS1395" s="50" t="n">
        <f aca="false">AO1395*G1395</f>
        <v>5561.4</v>
      </c>
      <c r="AT1395" s="50" t="n">
        <f aca="false">ROUNDUP(MAX(J1395/IF(CD1395&gt;0,CD1395,MAX(0.1,N(Cockpit!$I$6))),CG1395)/BV1395,0)*BV1395</f>
        <v>60</v>
      </c>
      <c r="AU1395" s="51" t="n">
        <f aca="false">IF(AR1395&gt;0,J1395/AR1395,-1)</f>
        <v>0.335483870967742</v>
      </c>
      <c r="AV1395" s="51" t="n">
        <f aca="false">IF(AND(OR(CC1395="L1",CC1395="L23",CC1395="LIFT"),AR1395&gt;0),SUMIFS($AR$7:$AR$1843,$CC$7:$CC$1843,CC1395,$AU$7:$AU$1843,"&gt;"&amp;AU1395)+SUMIFS($AR$7:$AR$1843,$CC$7:$CC$1843,CC1395,$AU$7:$AU$1843,AU1395,$BT$7:$BT$1843,"&lt;="&amp;BT1395),"")</f>
        <v>16374.3136446886</v>
      </c>
      <c r="AW1395" s="58" t="n">
        <f aca="false">IF(AV1395="",0,MAX(0,MIN(1,(IF(CC1395="L1",Parameter!$H$5,IF(CC1395="L23",Parameter!$H$6+Parameter!$H$7,Parameter!$H$5+Parameter!$H$6+Parameter!$H$7))-(AV1395-AR1395))/AR1395)))</f>
        <v>1</v>
      </c>
      <c r="AX1395" s="50" t="n">
        <f aca="false">IF(LEFT(Cockpit!$O$5,1)="A",H1395,IF(CE1395=1,CF1395,IF(LEFT(Cockpit!$O$5,1)="B",BC1395,MAX(BC1395,H1395))))</f>
        <v>60</v>
      </c>
      <c r="AY1395" s="50" t="n">
        <f aca="false">IF(BW1395=1,0,ROUNDUP(AX1395/BV1395,0))</f>
        <v>1</v>
      </c>
      <c r="AZ1395" s="52" t="n">
        <f aca="false">IF(CL1395&gt;0,CL1395*MAX(1,AX1395/X1395),IF(BW1395=1,IF(AX1395&lt;=0,0,CA1395*MAX(1,IF(H1395&gt;0,AX1395/H1395,1))),IF(R1395&gt;0,AY1395/R1395,0))/MAX(0.1,N(Parameter!$M$21)))</f>
        <v>0.0384615384615385</v>
      </c>
      <c r="BA1395" s="50" t="n">
        <f aca="false">AZ1395*BY1395</f>
        <v>5.96153846153846</v>
      </c>
      <c r="BB1395" s="50" t="n">
        <f aca="false">AX1395*G1395</f>
        <v>5561.4</v>
      </c>
      <c r="BC1395" s="50" t="n">
        <f aca="false">ROUNDUP(MAX(J1395/IF(CD1395&gt;0,CD1395,MAX(0.1,N(Cockpit!$O$6))),CG1395)/BV1395,0)*BV1395</f>
        <v>60</v>
      </c>
      <c r="BD1395" s="51" t="n">
        <f aca="false">IF(BA1395&gt;0,J1395/BA1395,-1)</f>
        <v>0.335483870967742</v>
      </c>
      <c r="BE1395" s="51" t="n">
        <f aca="false">IF(AND(OR(CC1395="L1",CC1395="L23",CC1395="LIFT"),BA1395&gt;0),SUMIFS($BA$7:$BA$1843,$CC$7:$CC$1843,CC1395,$BD$7:$BD$1843,"&gt;"&amp;BD1395)+SUMIFS($BA$7:$BA$1843,$CC$7:$CC$1843,CC1395,$BD$7:$BD$1843,BD1395,$BT$7:$BT$1843,"&lt;="&amp;BT1395),"")</f>
        <v>15124.9706959707</v>
      </c>
      <c r="BF1395" s="58" t="n">
        <f aca="false">IF(BE1395="",0,MAX(0,MIN(1,(IF(CC1395="L1",Parameter!$H$5,IF(CC1395="L23",Parameter!$H$6+Parameter!$H$7,Parameter!$H$5+Parameter!$H$6+Parameter!$H$7))-(BE1395-BA1395))/BA1395)))</f>
        <v>1</v>
      </c>
      <c r="BG1395" s="48" t="str">
        <f aca="false">IF(AI1395&lt;=0,"",IF(CC1395="Aussen","Aussenlager",IF(CC1395="-","Nicht im Lift",IF(AN1395&gt;=1,"Lift",IF(AN1395&lt;=0,"Aussenlager","teilweise")))))</f>
        <v>Lift</v>
      </c>
      <c r="BH1395" s="48" t="str">
        <f aca="false">IF(AR1395&lt;=0,"",IF(CC1395="Aussen","Aussenlager",IF(CC1395="-","Nicht im Lift",IF(AW1395&gt;=1,"Lift",IF(AW1395&lt;=0,"Aussenlager","teilweise")))))</f>
        <v>Lift</v>
      </c>
      <c r="BI1395" s="48" t="str">
        <f aca="false">IF(BA1395&lt;=0,"",IF(CC1395="Aussen","Aussenlager",IF(CC1395="-","Nicht im Lift",IF(BF1395&gt;=1,"Lift",IF(BF1395&lt;=0,"Aussenlager","teilweise")))))</f>
        <v>Lift</v>
      </c>
      <c r="BJ1395" s="48" t="str">
        <f aca="false">IF(A1395="","",IF(BS1395=1,"Neu; ","")&amp;IF(AND(BS1395=0,BN1395&lt;0),"negativer Bestand (Export "&amp;BN1395&amp;"); ","")&amp;IF(J1395&lt;=0,"Kein Verbrauch; ","")&amp;IF(CL1395&gt;0,"Lift "&amp;W1395&amp;" lt. Liftbericht (Fach "&amp;X1395&amp;" Stk); ",IF(BX1395=1,"Gebinde geschätzt ("&amp;T1395&amp;"); ",IF(BW1395=1,"Lose – Tablare geschätzt; ","")))&amp;IF(H1395&gt;AT1395,"Überbestand "&amp;ROUND(H1395-AT1395,0)&amp;" Stk / CHF "&amp;ROUND((H1395-AT1395)*G1395,0)&amp;"; ","")&amp;IF(AND(CE1395=1,CF1395&lt;CG1395),"MAX &lt; MB+LG; ","")&amp;IF(AND(CK1395&gt;0,CJ1395*10&gt;CK1395),"zu hoch für Tablar; ","")&amp;IF(AND(BS1395=0,OR(CE1395=1,AA1395&lt;&gt;"",U1395&lt;&gt;"",V1395&lt;&gt;"",AB1395&lt;&gt;"")),"manuell übersteuert; ","")&amp;IF(AND(BW1395=0,R1395=0),"Gebinde unbekannt / Stellmass fehlt; ","")&amp;IF(AND(BW1395=0,N(V1395)&lt;=0,N(Q1395)&lt;=0),"Menge pro Gebinde fehlt (Ist = 1 Gebinde); ","")&amp;BR1395)</f>
        <v>negativer Bestand (Export -41); </v>
      </c>
      <c r="BK1395" s="48"/>
      <c r="BL1395" s="48"/>
      <c r="BM1395" s="55"/>
      <c r="BN1395" s="50" t="n">
        <v>-41</v>
      </c>
      <c r="BO1395" s="50" t="n">
        <v>76</v>
      </c>
      <c r="BP1395" s="49" t="n">
        <v>-3800.29</v>
      </c>
      <c r="BQ1395" s="50" t="n">
        <v>2</v>
      </c>
      <c r="BR1395" s="48"/>
      <c r="BS1395" s="53" t="n">
        <v>0</v>
      </c>
      <c r="BT1395" s="53" t="n">
        <v>1395</v>
      </c>
      <c r="BU1395" s="48" t="str">
        <f aca="false">IF(U1395&lt;&gt;"",UPPER(TRIM(U1395)),IF(BX1395=1,UPPER(VLOOKUP(T1395,Parameter!$I$27:$K$29,2,0)),IF(P1395="","LOSE",P1395)))</f>
        <v>S51</v>
      </c>
      <c r="BV1395" s="50" t="n">
        <f aca="false">IF(BU1395="LOSE",1,IF(N(V1395)&gt;0,V1395,IF(BX1395=1,MAX(1,N(VLOOKUP(T1395,Parameter!$I$27:$K$29,3,0)),H1395,N(N1395)),IF(N(Q1395)&gt;0,Q1395,MAX(1,H1395)))))</f>
        <v>60</v>
      </c>
      <c r="BW1395" s="53" t="n">
        <f aca="false">IF(BU1395="LOSE",1,0)</f>
        <v>0</v>
      </c>
      <c r="BX1395" s="53" t="n">
        <f aca="false">IF(AND(U1395="",OR(P1395="",P1395="LOSE"),T1395&lt;&gt;"",N(S1395)&lt;=0,ISNUMBER(MATCH(T1395,Parameter!$I$27:$I$29,0))),1,0)</f>
        <v>0</v>
      </c>
      <c r="BY1395" s="53" t="n">
        <f aca="false">IF(CL1395&gt;0,INDEX(Parameter!$H$5:$H$7,W1395)/INDEX(Parameter!$E$5:$E$7,W1395),IF(AND(BW1395=0,N(IFERROR(VLOOKUP(BU1395,'Gebinde-Kategorie'!$A$5:$N$45,14,0),0))&gt;0),VLOOKUP(BU1395,'Gebinde-Kategorie'!$A$5:$N$45,14,0)*10+Parameter!$M$23,Parameter!$M$24))</f>
        <v>155</v>
      </c>
      <c r="BZ1395" s="48" t="str">
        <f aca="false">IF(AND(Parameter!$B$19="Ja",E1395&lt;&gt;"",ISNUMBER(MATCH(E1395,Parameter!$I$35:$I$52,0))),VLOOKUP(E1395,Parameter!$I$35:$J$52,2,0),IFERROR(VLOOKUP(D1395,Parameter!$A$35:$C$64,2,0),"Nein"))</f>
        <v>2+3</v>
      </c>
      <c r="CA1395" s="52" t="n">
        <f aca="false">IF(BW1395=0,0,IF(N(S1395)&gt;0,S1395,IFERROR(VLOOKUP(D1395,Parameter!$A$35:$C$64,3,0)+0,0)))</f>
        <v>0</v>
      </c>
      <c r="CB1395" s="48" t="n">
        <f aca="false">IF(AA1395&lt;&gt;"",AA1395,Z1395)</f>
        <v>3</v>
      </c>
      <c r="CC1395" s="48" t="str">
        <f aca="false">IF(OR(CB1395=1,CB1395=2,CB1395=3),IF(Parameter!$E$27="Ja","LIFT",IF(CB1395=1,"L1","L23")),IF(CB1395="Aussen","Aussen","-"))</f>
        <v>LIFT</v>
      </c>
      <c r="CD1395" s="59" t="n">
        <f aca="false">IF(N(AB1395)&gt;0,AB1395,0)</f>
        <v>0</v>
      </c>
      <c r="CE1395" s="53" t="n">
        <f aca="false">IF(ISNUMBER(AE1395),1,0)</f>
        <v>0</v>
      </c>
      <c r="CF1395" s="50" t="n">
        <f aca="false">N(AE1395)</f>
        <v>0</v>
      </c>
      <c r="CG1395" s="50" t="n">
        <f aca="false">N(M1395)+N(N1395)</f>
        <v>1</v>
      </c>
      <c r="CH1395" s="50" t="n">
        <f aca="false">ROUNDUP(H1395/BV1395,0)</f>
        <v>1</v>
      </c>
      <c r="CI1395" s="50" t="n">
        <f aca="false">ROUNDUP(CF1395/BV1395,0)</f>
        <v>0</v>
      </c>
      <c r="CJ1395" s="53" t="n">
        <f aca="false">IF(BW1395=1,0,IFERROR(VLOOKUP(BU1395,'Gebinde-Kategorie'!$A$5:$N$45,5,0)+0,0))</f>
        <v>11</v>
      </c>
      <c r="CK1395" s="53" t="n">
        <f aca="false">IFERROR(IF(OR(CB1395=1,CB1395=2,CB1395=3),N(INDEX(Parameter!$I$5:$I$7,CB1395)),0),0)</f>
        <v>0</v>
      </c>
      <c r="CL1395" s="52" t="n">
        <f aca="false">IF(AND(Parameter!$B$21="Ja",ISNUMBER(W1395),N(X1395)&gt;0),IFERROR(N(INDEX(Parameter!$L$5:$L$7,W1395))*INDEX(Parameter!$E$5:$E$7,W1395)*X1395/SUMIFS($X$7:$X$1843,$W$7:$W$1843,W1395),0),0)</f>
        <v>0</v>
      </c>
    </row>
    <row r="1396" customFormat="false" ht="15" hidden="false" customHeight="false" outlineLevel="0" collapsed="false">
      <c r="A1396" s="48" t="s">
        <v>2458</v>
      </c>
      <c r="B1396" s="48" t="s">
        <v>2459</v>
      </c>
      <c r="C1396" s="48" t="s">
        <v>168</v>
      </c>
      <c r="D1396" s="48" t="s">
        <v>177</v>
      </c>
      <c r="E1396" s="48"/>
      <c r="F1396" s="48" t="s">
        <v>222</v>
      </c>
      <c r="G1396" s="49" t="n">
        <v>785</v>
      </c>
      <c r="H1396" s="50" t="n">
        <f aca="false">MAX(0,IF(AND(Parameter!$B$21="Ja",ISNUMBER(Y1396)),Y1396,IF(Parameter!$B$20="Jahresanfang 2025 + Export",BO1396+BN1396,BN1396)))</f>
        <v>2</v>
      </c>
      <c r="I1396" s="50" t="n">
        <f aca="false">H1396*G1396</f>
        <v>1570</v>
      </c>
      <c r="J1396" s="50" t="n">
        <f aca="false">BQ1396*Parameter!$B$18</f>
        <v>3</v>
      </c>
      <c r="K1396" s="51" t="n">
        <v>4.5</v>
      </c>
      <c r="L1396" s="52" t="n">
        <v>0.666666666666667</v>
      </c>
      <c r="M1396" s="50" t="n">
        <v>1</v>
      </c>
      <c r="N1396" s="50" t="n">
        <v>5</v>
      </c>
      <c r="O1396" s="53" t="n">
        <v>140</v>
      </c>
      <c r="P1396" s="48" t="s">
        <v>227</v>
      </c>
      <c r="Q1396" s="50" t="n">
        <v>2</v>
      </c>
      <c r="R1396" s="53" t="n">
        <f aca="false">IF(BW1396=1,0,IFERROR(VLOOKUP(BU1396,'Gebinde-Kategorie'!$A$5:$N$45,13,0)+0,0))</f>
        <v>4</v>
      </c>
      <c r="S1396" s="54"/>
      <c r="T1396" s="55"/>
      <c r="U1396" s="55"/>
      <c r="V1396" s="55"/>
      <c r="W1396" s="48"/>
      <c r="X1396" s="50"/>
      <c r="Y1396" s="50"/>
      <c r="Z1396" s="48" t="n">
        <f aca="false">IF(A1396="","",IF(AND(Parameter!$B$21="Ja",ISNUMBER(W1396)),W1396,IF(BZ1396="2+3",IF(ISNUMBER(SEARCH("grosser Artikel",BR1396)),2,IFERROR(VLOOKUP(BU1396,Parameter!$F$35:$G$64,2,0),2)),IF(OR(BZ1396="Nein",BZ1396=""),"-",BZ1396))))</f>
        <v>2</v>
      </c>
      <c r="AA1396" s="55"/>
      <c r="AB1396" s="56"/>
      <c r="AC1396" s="50" t="n">
        <f aca="false">AT1396</f>
        <v>6</v>
      </c>
      <c r="AD1396" s="50" t="n">
        <f aca="false">MAX(AT1396,H1396)</f>
        <v>6</v>
      </c>
      <c r="AE1396" s="57"/>
      <c r="AF1396" s="50" t="n">
        <f aca="false">IF(LEFT(Cockpit!$C$5,1)="A",H1396,IF(CE1396=1,CF1396,IF(LEFT(Cockpit!$C$5,1)="B",AK1396,MAX(AK1396,H1396))))</f>
        <v>2</v>
      </c>
      <c r="AG1396" s="50" t="n">
        <f aca="false">IF(BW1396=1,0,ROUNDUP(AF1396/BV1396,0))</f>
        <v>1</v>
      </c>
      <c r="AH1396" s="52" t="n">
        <f aca="false">IF(CL1396&gt;0,CL1396*MAX(1,AF1396/X1396),IF(BW1396=1,IF(AF1396&lt;=0,0,CA1396*MAX(1,IF(H1396&gt;0,AF1396/H1396,1))),IF(R1396&gt;0,AG1396/R1396,0))/MAX(0.1,N(Parameter!$M$21)))</f>
        <v>0.25</v>
      </c>
      <c r="AI1396" s="50" t="n">
        <f aca="false">AH1396*BY1396</f>
        <v>58.75</v>
      </c>
      <c r="AJ1396" s="50" t="n">
        <f aca="false">AF1396*G1396</f>
        <v>1570</v>
      </c>
      <c r="AK1396" s="50" t="n">
        <f aca="false">ROUNDUP(MAX(J1396/IF(CD1396&gt;0,CD1396,MAX(0.1,N(Cockpit!$C$6))),CG1396)/BV1396,0)*BV1396</f>
        <v>6</v>
      </c>
      <c r="AL1396" s="51" t="n">
        <f aca="false">IF(AI1396&gt;0,J1396/AI1396,-1)</f>
        <v>0.051063829787234</v>
      </c>
      <c r="AM1396" s="51" t="n">
        <f aca="false">IF(AND(OR(CC1396="L1",CC1396="L23",CC1396="LIFT"),AI1396&gt;0),SUMIFS($AI$7:$AI$1843,$CC$7:$CC$1843,CC1396,$AL$7:$AL$1843,"&gt;"&amp;AL1396)+SUMIFS($AI$7:$AI$1843,$CC$7:$CC$1843,CC1396,$AL$7:$AL$1843,AL1396,$BT$7:$BT$1843,"&lt;="&amp;BT1396),"")</f>
        <v>19278.6457880632</v>
      </c>
      <c r="AN1396" s="58" t="n">
        <f aca="false">IF(AM1396="",0,MAX(0,MIN(1,(IF(CC1396="L1",Parameter!$H$5,IF(CC1396="L23",Parameter!$H$6+Parameter!$H$7,Parameter!$H$5+Parameter!$H$6+Parameter!$H$7))-(AM1396-AI1396))/AI1396)))</f>
        <v>1</v>
      </c>
      <c r="AO1396" s="50" t="n">
        <f aca="false">IF(LEFT(Cockpit!$I$5,1)="A",H1396,IF(CE1396=1,CF1396,IF(LEFT(Cockpit!$I$5,1)="B",AT1396,MAX(AT1396,H1396))))</f>
        <v>6</v>
      </c>
      <c r="AP1396" s="50" t="n">
        <f aca="false">IF(BW1396=1,0,ROUNDUP(AO1396/BV1396,0))</f>
        <v>3</v>
      </c>
      <c r="AQ1396" s="52" t="n">
        <f aca="false">IF(CL1396&gt;0,CL1396*MAX(1,AO1396/X1396),IF(BW1396=1,IF(AO1396&lt;=0,0,CA1396*MAX(1,IF(H1396&gt;0,AO1396/H1396,1))),IF(R1396&gt;0,AP1396/R1396,0))/MAX(0.1,N(Parameter!$M$21)))</f>
        <v>0.75</v>
      </c>
      <c r="AR1396" s="50" t="n">
        <f aca="false">AQ1396*BY1396</f>
        <v>176.25</v>
      </c>
      <c r="AS1396" s="50" t="n">
        <f aca="false">AO1396*G1396</f>
        <v>4710</v>
      </c>
      <c r="AT1396" s="50" t="n">
        <f aca="false">ROUNDUP(MAX(J1396/IF(CD1396&gt;0,CD1396,MAX(0.1,N(Cockpit!$I$6))),CG1396)/BV1396,0)*BV1396</f>
        <v>6</v>
      </c>
      <c r="AU1396" s="51" t="n">
        <f aca="false">IF(AR1396&gt;0,J1396/AR1396,-1)</f>
        <v>0.0170212765957447</v>
      </c>
      <c r="AV1396" s="51" t="n">
        <f aca="false">IF(AND(OR(CC1396="L1",CC1396="L23",CC1396="LIFT"),AR1396&gt;0),SUMIFS($AR$7:$AR$1843,$CC$7:$CC$1843,CC1396,$AU$7:$AU$1843,"&gt;"&amp;AU1396)+SUMIFS($AR$7:$AR$1843,$CC$7:$CC$1843,CC1396,$AU$7:$AU$1843,AU1396,$BT$7:$BT$1843,"&lt;="&amp;BT1396),"")</f>
        <v>34758.1013560357</v>
      </c>
      <c r="AW1396" s="58" t="n">
        <f aca="false">IF(AV1396="",0,MAX(0,MIN(1,(IF(CC1396="L1",Parameter!$H$5,IF(CC1396="L23",Parameter!$H$6+Parameter!$H$7,Parameter!$H$5+Parameter!$H$6+Parameter!$H$7))-(AV1396-AR1396))/AR1396)))</f>
        <v>1</v>
      </c>
      <c r="AX1396" s="50" t="n">
        <f aca="false">IF(LEFT(Cockpit!$O$5,1)="A",H1396,IF(CE1396=1,CF1396,IF(LEFT(Cockpit!$O$5,1)="B",BC1396,MAX(BC1396,H1396))))</f>
        <v>6</v>
      </c>
      <c r="AY1396" s="50" t="n">
        <f aca="false">IF(BW1396=1,0,ROUNDUP(AX1396/BV1396,0))</f>
        <v>3</v>
      </c>
      <c r="AZ1396" s="52" t="n">
        <f aca="false">IF(CL1396&gt;0,CL1396*MAX(1,AX1396/X1396),IF(BW1396=1,IF(AX1396&lt;=0,0,CA1396*MAX(1,IF(H1396&gt;0,AX1396/H1396,1))),IF(R1396&gt;0,AY1396/R1396,0))/MAX(0.1,N(Parameter!$M$21)))</f>
        <v>0.75</v>
      </c>
      <c r="BA1396" s="50" t="n">
        <f aca="false">AZ1396*BY1396</f>
        <v>176.25</v>
      </c>
      <c r="BB1396" s="50" t="n">
        <f aca="false">AX1396*G1396</f>
        <v>4710</v>
      </c>
      <c r="BC1396" s="50" t="n">
        <f aca="false">ROUNDUP(MAX(J1396/IF(CD1396&gt;0,CD1396,MAX(0.1,N(Cockpit!$O$6))),CG1396)/BV1396,0)*BV1396</f>
        <v>6</v>
      </c>
      <c r="BD1396" s="51" t="n">
        <f aca="false">IF(BA1396&gt;0,J1396/BA1396,-1)</f>
        <v>0.0170212765957447</v>
      </c>
      <c r="BE1396" s="51" t="n">
        <f aca="false">IF(AND(OR(CC1396="L1",CC1396="L23",CC1396="LIFT"),BA1396&gt;0),SUMIFS($BA$7:$BA$1843,$CC$7:$CC$1843,CC1396,$BD$7:$BD$1843,"&gt;"&amp;BD1396)+SUMIFS($BA$7:$BA$1843,$CC$7:$CC$1843,CC1396,$BD$7:$BD$1843,BD1396,$BT$7:$BT$1843,"&lt;="&amp;BT1396),"")</f>
        <v>31433.1133979015</v>
      </c>
      <c r="BF1396" s="58" t="n">
        <f aca="false">IF(BE1396="",0,MAX(0,MIN(1,(IF(CC1396="L1",Parameter!$H$5,IF(CC1396="L23",Parameter!$H$6+Parameter!$H$7,Parameter!$H$5+Parameter!$H$6+Parameter!$H$7))-(BE1396-BA1396))/BA1396)))</f>
        <v>1</v>
      </c>
      <c r="BG1396" s="48" t="str">
        <f aca="false">IF(AI1396&lt;=0,"",IF(CC1396="Aussen","Aussenlager",IF(CC1396="-","Nicht im Lift",IF(AN1396&gt;=1,"Lift",IF(AN1396&lt;=0,"Aussenlager","teilweise")))))</f>
        <v>Lift</v>
      </c>
      <c r="BH1396" s="48" t="str">
        <f aca="false">IF(AR1396&lt;=0,"",IF(CC1396="Aussen","Aussenlager",IF(CC1396="-","Nicht im Lift",IF(AW1396&gt;=1,"Lift",IF(AW1396&lt;=0,"Aussenlager","teilweise")))))</f>
        <v>Lift</v>
      </c>
      <c r="BI1396" s="48" t="str">
        <f aca="false">IF(BA1396&lt;=0,"",IF(CC1396="Aussen","Aussenlager",IF(CC1396="-","Nicht im Lift",IF(BF1396&gt;=1,"Lift",IF(BF1396&lt;=0,"Aussenlager","teilweise")))))</f>
        <v>Lift</v>
      </c>
      <c r="BJ1396" s="48" t="str">
        <f aca="false">IF(A1396="","",IF(BS1396=1,"Neu; ","")&amp;IF(AND(BS1396=0,BN1396&lt;0),"negativer Bestand (Export "&amp;BN1396&amp;"); ","")&amp;IF(J1396&lt;=0,"Kein Verbrauch; ","")&amp;IF(CL1396&gt;0,"Lift "&amp;W1396&amp;" lt. Liftbericht (Fach "&amp;X1396&amp;" Stk); ",IF(BX1396=1,"Gebinde geschätzt ("&amp;T1396&amp;"); ",IF(BW1396=1,"Lose – Tablare geschätzt; ","")))&amp;IF(H1396&gt;AT1396,"Überbestand "&amp;ROUND(H1396-AT1396,0)&amp;" Stk / CHF "&amp;ROUND((H1396-AT1396)*G1396,0)&amp;"; ","")&amp;IF(AND(CE1396=1,CF1396&lt;CG1396),"MAX &lt; MB+LG; ","")&amp;IF(AND(CK1396&gt;0,CJ1396*10&gt;CK1396),"zu hoch für Tablar; ","")&amp;IF(AND(BS1396=0,OR(CE1396=1,AA1396&lt;&gt;"",U1396&lt;&gt;"",V1396&lt;&gt;"",AB1396&lt;&gt;"")),"manuell übersteuert; ","")&amp;IF(AND(BW1396=0,R1396=0),"Gebinde unbekannt / Stellmass fehlt; ","")&amp;IF(AND(BW1396=0,N(V1396)&lt;=0,N(Q1396)&lt;=0),"Menge pro Gebinde fehlt (Ist = 1 Gebinde); ","")&amp;BR1396)</f>
        <v>negativer Bestand (Export -5); Neuer Art.</v>
      </c>
      <c r="BK1396" s="48"/>
      <c r="BL1396" s="48"/>
      <c r="BM1396" s="55"/>
      <c r="BN1396" s="50" t="n">
        <v>-5</v>
      </c>
      <c r="BO1396" s="50" t="n">
        <v>7</v>
      </c>
      <c r="BP1396" s="49" t="n">
        <v>-3925</v>
      </c>
      <c r="BQ1396" s="50" t="n">
        <v>3</v>
      </c>
      <c r="BR1396" s="48" t="s">
        <v>516</v>
      </c>
      <c r="BS1396" s="53" t="n">
        <v>0</v>
      </c>
      <c r="BT1396" s="53" t="n">
        <v>1396</v>
      </c>
      <c r="BU1396" s="48" t="str">
        <f aca="false">IF(U1396&lt;&gt;"",UPPER(TRIM(U1396)),IF(BX1396=1,UPPER(VLOOKUP(T1396,Parameter!$I$27:$K$29,2,0)),IF(P1396="","LOSE",P1396)))</f>
        <v>S81</v>
      </c>
      <c r="BV1396" s="50" t="n">
        <f aca="false">IF(BU1396="LOSE",1,IF(N(V1396)&gt;0,V1396,IF(BX1396=1,MAX(1,N(VLOOKUP(T1396,Parameter!$I$27:$K$29,3,0)),H1396,N(N1396)),IF(N(Q1396)&gt;0,Q1396,MAX(1,H1396)))))</f>
        <v>2</v>
      </c>
      <c r="BW1396" s="53" t="n">
        <f aca="false">IF(BU1396="LOSE",1,0)</f>
        <v>0</v>
      </c>
      <c r="BX1396" s="53" t="n">
        <f aca="false">IF(AND(U1396="",OR(P1396="",P1396="LOSE"),T1396&lt;&gt;"",N(S1396)&lt;=0,ISNUMBER(MATCH(T1396,Parameter!$I$27:$I$29,0))),1,0)</f>
        <v>0</v>
      </c>
      <c r="BY1396" s="53" t="n">
        <f aca="false">IF(CL1396&gt;0,INDEX(Parameter!$H$5:$H$7,W1396)/INDEX(Parameter!$E$5:$E$7,W1396),IF(AND(BW1396=0,N(IFERROR(VLOOKUP(BU1396,'Gebinde-Kategorie'!$A$5:$N$45,14,0),0))&gt;0),VLOOKUP(BU1396,'Gebinde-Kategorie'!$A$5:$N$45,14,0)*10+Parameter!$M$23,Parameter!$M$24))</f>
        <v>235</v>
      </c>
      <c r="BZ1396" s="48" t="str">
        <f aca="false">IF(AND(Parameter!$B$19="Ja",E1396&lt;&gt;"",ISNUMBER(MATCH(E1396,Parameter!$I$35:$I$52,0))),VLOOKUP(E1396,Parameter!$I$35:$J$52,2,0),IFERROR(VLOOKUP(D1396,Parameter!$A$35:$C$64,2,0),"Nein"))</f>
        <v>2+3</v>
      </c>
      <c r="CA1396" s="52" t="n">
        <f aca="false">IF(BW1396=0,0,IF(N(S1396)&gt;0,S1396,IFERROR(VLOOKUP(D1396,Parameter!$A$35:$C$64,3,0)+0,0)))</f>
        <v>0</v>
      </c>
      <c r="CB1396" s="48" t="n">
        <f aca="false">IF(AA1396&lt;&gt;"",AA1396,Z1396)</f>
        <v>2</v>
      </c>
      <c r="CC1396" s="48" t="str">
        <f aca="false">IF(OR(CB1396=1,CB1396=2,CB1396=3),IF(Parameter!$E$27="Ja","LIFT",IF(CB1396=1,"L1","L23")),IF(CB1396="Aussen","Aussen","-"))</f>
        <v>LIFT</v>
      </c>
      <c r="CD1396" s="59" t="n">
        <f aca="false">IF(N(AB1396)&gt;0,AB1396,0)</f>
        <v>0</v>
      </c>
      <c r="CE1396" s="53" t="n">
        <f aca="false">IF(ISNUMBER(AE1396),1,0)</f>
        <v>0</v>
      </c>
      <c r="CF1396" s="50" t="n">
        <f aca="false">N(AE1396)</f>
        <v>0</v>
      </c>
      <c r="CG1396" s="50" t="n">
        <f aca="false">N(M1396)+N(N1396)</f>
        <v>6</v>
      </c>
      <c r="CH1396" s="50" t="n">
        <f aca="false">ROUNDUP(H1396/BV1396,0)</f>
        <v>1</v>
      </c>
      <c r="CI1396" s="50" t="n">
        <f aca="false">ROUNDUP(CF1396/BV1396,0)</f>
        <v>0</v>
      </c>
      <c r="CJ1396" s="53" t="n">
        <f aca="false">IF(BW1396=1,0,IFERROR(VLOOKUP(BU1396,'Gebinde-Kategorie'!$A$5:$N$45,5,0)+0,0))</f>
        <v>20</v>
      </c>
      <c r="CK1396" s="53" t="n">
        <f aca="false">IFERROR(IF(OR(CB1396=1,CB1396=2,CB1396=3),N(INDEX(Parameter!$I$5:$I$7,CB1396)),0),0)</f>
        <v>0</v>
      </c>
      <c r="CL1396" s="52" t="n">
        <f aca="false">IF(AND(Parameter!$B$21="Ja",ISNUMBER(W1396),N(X1396)&gt;0),IFERROR(N(INDEX(Parameter!$L$5:$L$7,W1396))*INDEX(Parameter!$E$5:$E$7,W1396)*X1396/SUMIFS($X$7:$X$1843,$W$7:$W$1843,W1396),0),0)</f>
        <v>0</v>
      </c>
    </row>
    <row r="1397" customFormat="false" ht="15" hidden="false" customHeight="false" outlineLevel="0" collapsed="false">
      <c r="A1397" s="48" t="s">
        <v>2460</v>
      </c>
      <c r="B1397" s="48" t="s">
        <v>257</v>
      </c>
      <c r="C1397" s="48" t="s">
        <v>171</v>
      </c>
      <c r="D1397" s="48" t="s">
        <v>169</v>
      </c>
      <c r="E1397" s="48" t="s">
        <v>170</v>
      </c>
      <c r="F1397" s="48" t="s">
        <v>222</v>
      </c>
      <c r="G1397" s="49" t="n">
        <v>1489.2</v>
      </c>
      <c r="H1397" s="50" t="n">
        <f aca="false">MAX(0,IF(AND(Parameter!$B$21="Ja",ISNUMBER(Y1397)),Y1397,IF(Parameter!$B$20="Jahresanfang 2025 + Export",BO1397+BN1397,BN1397)))</f>
        <v>0</v>
      </c>
      <c r="I1397" s="50" t="n">
        <f aca="false">H1397*G1397</f>
        <v>0</v>
      </c>
      <c r="J1397" s="50" t="n">
        <f aca="false">BQ1397*Parameter!$B$18</f>
        <v>15</v>
      </c>
      <c r="K1397" s="51" t="n">
        <v>4.5</v>
      </c>
      <c r="L1397" s="52" t="n">
        <v>3.33333333333333</v>
      </c>
      <c r="M1397" s="50" t="n">
        <v>0</v>
      </c>
      <c r="N1397" s="50" t="n">
        <v>5</v>
      </c>
      <c r="O1397" s="53" t="n">
        <v>21</v>
      </c>
      <c r="P1397" s="48" t="s">
        <v>172</v>
      </c>
      <c r="Q1397" s="50"/>
      <c r="R1397" s="53" t="n">
        <f aca="false">IF(BW1397=1,0,IFERROR(VLOOKUP(BU1397,'Gebinde-Kategorie'!$A$5:$N$45,13,0)+0,0))</f>
        <v>0</v>
      </c>
      <c r="S1397" s="54"/>
      <c r="T1397" s="55"/>
      <c r="U1397" s="55"/>
      <c r="V1397" s="55"/>
      <c r="W1397" s="48" t="n">
        <v>1</v>
      </c>
      <c r="X1397" s="50" t="n">
        <v>6</v>
      </c>
      <c r="Y1397" s="50" t="n">
        <v>0</v>
      </c>
      <c r="Z1397" s="48" t="n">
        <f aca="false">IF(A1397="","",IF(AND(Parameter!$B$21="Ja",ISNUMBER(W1397)),W1397,IF(BZ1397="2+3",IF(ISNUMBER(SEARCH("grosser Artikel",BR1397)),2,IFERROR(VLOOKUP(BU1397,Parameter!$F$35:$G$64,2,0),2)),IF(OR(BZ1397="Nein",BZ1397=""),"-",BZ1397))))</f>
        <v>1</v>
      </c>
      <c r="AA1397" s="55"/>
      <c r="AB1397" s="56"/>
      <c r="AC1397" s="50" t="n">
        <f aca="false">AT1397</f>
        <v>8</v>
      </c>
      <c r="AD1397" s="50" t="n">
        <f aca="false">MAX(AT1397,H1397)</f>
        <v>8</v>
      </c>
      <c r="AE1397" s="57"/>
      <c r="AF1397" s="50" t="n">
        <f aca="false">IF(LEFT(Cockpit!$C$5,1)="A",H1397,IF(CE1397=1,CF1397,IF(LEFT(Cockpit!$C$5,1)="B",AK1397,MAX(AK1397,H1397))))</f>
        <v>0</v>
      </c>
      <c r="AG1397" s="50" t="n">
        <f aca="false">IF(BW1397=1,0,ROUNDUP(AF1397/BV1397,0))</f>
        <v>0</v>
      </c>
      <c r="AH1397" s="52" t="n">
        <f aca="false">IF(CL1397&gt;0,CL1397*MAX(1,AF1397/X1397),IF(BW1397=1,IF(AF1397&lt;=0,0,CA1397*MAX(1,IF(H1397&gt;0,AF1397/H1397,1))),IF(R1397&gt;0,AG1397/R1397,0))/MAX(0.1,N(Parameter!$M$21)))</f>
        <v>0.480225988700565</v>
      </c>
      <c r="AI1397" s="50" t="n">
        <f aca="false">AH1397*BY1397</f>
        <v>114.293785310734</v>
      </c>
      <c r="AJ1397" s="50" t="n">
        <f aca="false">AF1397*G1397</f>
        <v>0</v>
      </c>
      <c r="AK1397" s="50" t="n">
        <f aca="false">ROUNDUP(MAX(J1397/IF(CD1397&gt;0,CD1397,MAX(0.1,N(Cockpit!$C$6))),CG1397)/BV1397,0)*BV1397</f>
        <v>8</v>
      </c>
      <c r="AL1397" s="51" t="n">
        <f aca="false">IF(AI1397&gt;0,J1397/AI1397,-1)</f>
        <v>0.131240731586752</v>
      </c>
      <c r="AM1397" s="51" t="n">
        <f aca="false">IF(AND(OR(CC1397="L1",CC1397="L23",CC1397="LIFT"),AI1397&gt;0),SUMIFS($AI$7:$AI$1843,$CC$7:$CC$1843,CC1397,$AL$7:$AL$1843,"&gt;"&amp;AL1397)+SUMIFS($AI$7:$AI$1843,$CC$7:$CC$1843,CC1397,$AL$7:$AL$1843,AL1397,$BT$7:$BT$1843,"&lt;="&amp;BT1397),"")</f>
        <v>13862.4636933217</v>
      </c>
      <c r="AN1397" s="58" t="n">
        <f aca="false">IF(AM1397="",0,MAX(0,MIN(1,(IF(CC1397="L1",Parameter!$H$5,IF(CC1397="L23",Parameter!$H$6+Parameter!$H$7,Parameter!$H$5+Parameter!$H$6+Parameter!$H$7))-(AM1397-AI1397))/AI1397)))</f>
        <v>1</v>
      </c>
      <c r="AO1397" s="50" t="n">
        <f aca="false">IF(LEFT(Cockpit!$I$5,1)="A",H1397,IF(CE1397=1,CF1397,IF(LEFT(Cockpit!$I$5,1)="B",AT1397,MAX(AT1397,H1397))))</f>
        <v>8</v>
      </c>
      <c r="AP1397" s="50" t="n">
        <f aca="false">IF(BW1397=1,0,ROUNDUP(AO1397/BV1397,0))</f>
        <v>0</v>
      </c>
      <c r="AQ1397" s="52" t="n">
        <f aca="false">IF(CL1397&gt;0,CL1397*MAX(1,AO1397/X1397),IF(BW1397=1,IF(AO1397&lt;=0,0,CA1397*MAX(1,IF(H1397&gt;0,AO1397/H1397,1))),IF(R1397&gt;0,AP1397/R1397,0))/MAX(0.1,N(Parameter!$M$21)))</f>
        <v>0.64030131826742</v>
      </c>
      <c r="AR1397" s="50" t="n">
        <f aca="false">AQ1397*BY1397</f>
        <v>152.391713747646</v>
      </c>
      <c r="AS1397" s="50" t="n">
        <f aca="false">AO1397*G1397</f>
        <v>11913.6</v>
      </c>
      <c r="AT1397" s="50" t="n">
        <f aca="false">ROUNDUP(MAX(J1397/IF(CD1397&gt;0,CD1397,MAX(0.1,N(Cockpit!$I$6))),CG1397)/BV1397,0)*BV1397</f>
        <v>8</v>
      </c>
      <c r="AU1397" s="51" t="n">
        <f aca="false">IF(AR1397&gt;0,J1397/AR1397,-1)</f>
        <v>0.0984305486900643</v>
      </c>
      <c r="AV1397" s="51" t="n">
        <f aca="false">IF(AND(OR(CC1397="L1",CC1397="L23",CC1397="LIFT"),AR1397&gt;0),SUMIFS($AR$7:$AR$1843,$CC$7:$CC$1843,CC1397,$AU$7:$AU$1843,"&gt;"&amp;AU1397)+SUMIFS($AR$7:$AR$1843,$CC$7:$CC$1843,CC1397,$AU$7:$AU$1843,AU1397,$BT$7:$BT$1843,"&lt;="&amp;BT1397),"")</f>
        <v>24337.4826033195</v>
      </c>
      <c r="AW1397" s="58" t="n">
        <f aca="false">IF(AV1397="",0,MAX(0,MIN(1,(IF(CC1397="L1",Parameter!$H$5,IF(CC1397="L23",Parameter!$H$6+Parameter!$H$7,Parameter!$H$5+Parameter!$H$6+Parameter!$H$7))-(AV1397-AR1397))/AR1397)))</f>
        <v>1</v>
      </c>
      <c r="AX1397" s="50" t="n">
        <f aca="false">IF(LEFT(Cockpit!$O$5,1)="A",H1397,IF(CE1397=1,CF1397,IF(LEFT(Cockpit!$O$5,1)="B",BC1397,MAX(BC1397,H1397))))</f>
        <v>5</v>
      </c>
      <c r="AY1397" s="50" t="n">
        <f aca="false">IF(BW1397=1,0,ROUNDUP(AX1397/BV1397,0))</f>
        <v>0</v>
      </c>
      <c r="AZ1397" s="52" t="n">
        <f aca="false">IF(CL1397&gt;0,CL1397*MAX(1,AX1397/X1397),IF(BW1397=1,IF(AX1397&lt;=0,0,CA1397*MAX(1,IF(H1397&gt;0,AX1397/H1397,1))),IF(R1397&gt;0,AY1397/R1397,0))/MAX(0.1,N(Parameter!$M$21)))</f>
        <v>0.480225988700565</v>
      </c>
      <c r="BA1397" s="50" t="n">
        <f aca="false">AZ1397*BY1397</f>
        <v>114.293785310734</v>
      </c>
      <c r="BB1397" s="50" t="n">
        <f aca="false">AX1397*G1397</f>
        <v>7446</v>
      </c>
      <c r="BC1397" s="50" t="n">
        <f aca="false">ROUNDUP(MAX(J1397/IF(CD1397&gt;0,CD1397,MAX(0.1,N(Cockpit!$O$6))),CG1397)/BV1397,0)*BV1397</f>
        <v>5</v>
      </c>
      <c r="BD1397" s="51" t="n">
        <f aca="false">IF(BA1397&gt;0,J1397/BA1397,-1)</f>
        <v>0.131240731586752</v>
      </c>
      <c r="BE1397" s="51" t="n">
        <f aca="false">IF(AND(OR(CC1397="L1",CC1397="L23",CC1397="LIFT"),BA1397&gt;0),SUMIFS($BA$7:$BA$1843,$CC$7:$CC$1843,CC1397,$BD$7:$BD$1843,"&gt;"&amp;BD1397)+SUMIFS($BA$7:$BA$1843,$CC$7:$CC$1843,CC1397,$BD$7:$BD$1843,BD1397,$BT$7:$BT$1843,"&lt;="&amp;BT1397),"")</f>
        <v>19703.8134558474</v>
      </c>
      <c r="BF1397" s="58" t="n">
        <f aca="false">IF(BE1397="",0,MAX(0,MIN(1,(IF(CC1397="L1",Parameter!$H$5,IF(CC1397="L23",Parameter!$H$6+Parameter!$H$7,Parameter!$H$5+Parameter!$H$6+Parameter!$H$7))-(BE1397-BA1397))/BA1397)))</f>
        <v>1</v>
      </c>
      <c r="BG1397" s="48" t="str">
        <f aca="false">IF(AI1397&lt;=0,"",IF(CC1397="Aussen","Aussenlager",IF(CC1397="-","Nicht im Lift",IF(AN1397&gt;=1,"Lift",IF(AN1397&lt;=0,"Aussenlager","teilweise")))))</f>
        <v>Lift</v>
      </c>
      <c r="BH1397" s="48" t="str">
        <f aca="false">IF(AR1397&lt;=0,"",IF(CC1397="Aussen","Aussenlager",IF(CC1397="-","Nicht im Lift",IF(AW1397&gt;=1,"Lift",IF(AW1397&lt;=0,"Aussenlager","teilweise")))))</f>
        <v>Lift</v>
      </c>
      <c r="BI1397" s="48" t="str">
        <f aca="false">IF(BA1397&lt;=0,"",IF(CC1397="Aussen","Aussenlager",IF(CC1397="-","Nicht im Lift",IF(BF1397&gt;=1,"Lift",IF(BF1397&lt;=0,"Aussenlager","teilweise")))))</f>
        <v>Lift</v>
      </c>
      <c r="BJ1397" s="48" t="str">
        <f aca="false">IF(A1397="","",IF(BS1397=1,"Neu; ","")&amp;IF(AND(BS1397=0,BN1397&lt;0),"negativer Bestand (Export "&amp;BN1397&amp;"); ","")&amp;IF(J1397&lt;=0,"Kein Verbrauch; ","")&amp;IF(CL1397&gt;0,"Lift "&amp;W1397&amp;" lt. Liftbericht (Fach "&amp;X1397&amp;" Stk); ",IF(BX1397=1,"Gebinde geschätzt ("&amp;T1397&amp;"); ",IF(BW1397=1,"Lose – Tablare geschätzt; ","")))&amp;IF(H1397&gt;AT1397,"Überbestand "&amp;ROUND(H1397-AT1397,0)&amp;" Stk / CHF "&amp;ROUND((H1397-AT1397)*G1397,0)&amp;"; ","")&amp;IF(AND(CE1397=1,CF1397&lt;CG1397),"MAX &lt; MB+LG; ","")&amp;IF(AND(CK1397&gt;0,CJ1397*10&gt;CK1397),"zu hoch für Tablar; ","")&amp;IF(AND(BS1397=0,OR(CE1397=1,AA1397&lt;&gt;"",U1397&lt;&gt;"",V1397&lt;&gt;"",AB1397&lt;&gt;"")),"manuell übersteuert; ","")&amp;IF(AND(BW1397=0,R1397=0),"Gebinde unbekannt / Stellmass fehlt; ","")&amp;IF(AND(BW1397=0,N(V1397)&lt;=0,N(Q1397)&lt;=0),"Menge pro Gebinde fehlt (Ist = 1 Gebinde); ","")&amp;BR1397)</f>
        <v>negativer Bestand (Export -3); Lift 1 lt. Liftbericht (Fach 6 Stk); </v>
      </c>
      <c r="BK1397" s="48"/>
      <c r="BL1397" s="48"/>
      <c r="BM1397" s="55"/>
      <c r="BN1397" s="50" t="n">
        <v>-3</v>
      </c>
      <c r="BO1397" s="50" t="n">
        <v>3</v>
      </c>
      <c r="BP1397" s="49" t="n">
        <v>-3942.66</v>
      </c>
      <c r="BQ1397" s="50" t="n">
        <v>15</v>
      </c>
      <c r="BR1397" s="48"/>
      <c r="BS1397" s="53" t="n">
        <v>0</v>
      </c>
      <c r="BT1397" s="53" t="n">
        <v>1397</v>
      </c>
      <c r="BU1397" s="48" t="str">
        <f aca="false">IF(U1397&lt;&gt;"",UPPER(TRIM(U1397)),IF(BX1397=1,UPPER(VLOOKUP(T1397,Parameter!$I$27:$K$29,2,0)),IF(P1397="","LOSE",P1397)))</f>
        <v>LOSE</v>
      </c>
      <c r="BV1397" s="50" t="n">
        <f aca="false">IF(BU1397="LOSE",1,IF(N(V1397)&gt;0,V1397,IF(BX1397=1,MAX(1,N(VLOOKUP(T1397,Parameter!$I$27:$K$29,3,0)),H1397,N(N1397)),IF(N(Q1397)&gt;0,Q1397,MAX(1,H1397)))))</f>
        <v>1</v>
      </c>
      <c r="BW1397" s="53" t="n">
        <f aca="false">IF(BU1397="LOSE",1,0)</f>
        <v>1</v>
      </c>
      <c r="BX1397" s="53" t="n">
        <f aca="false">IF(AND(U1397="",OR(P1397="",P1397="LOSE"),T1397&lt;&gt;"",N(S1397)&lt;=0,ISNUMBER(MATCH(T1397,Parameter!$I$27:$I$29,0))),1,0)</f>
        <v>0</v>
      </c>
      <c r="BY1397" s="53" t="n">
        <f aca="false">IF(CL1397&gt;0,INDEX(Parameter!$H$5:$H$7,W1397)/INDEX(Parameter!$E$5:$E$7,W1397),IF(AND(BW1397=0,N(IFERROR(VLOOKUP(BU1397,'Gebinde-Kategorie'!$A$5:$N$45,14,0),0))&gt;0),VLOOKUP(BU1397,'Gebinde-Kategorie'!$A$5:$N$45,14,0)*10+Parameter!$M$23,Parameter!$M$24))</f>
        <v>238</v>
      </c>
      <c r="BZ1397" s="48" t="n">
        <f aca="false">IF(AND(Parameter!$B$19="Ja",E1397&lt;&gt;"",ISNUMBER(MATCH(E1397,Parameter!$I$35:$I$52,0))),VLOOKUP(E1397,Parameter!$I$35:$J$52,2,0),IFERROR(VLOOKUP(D1397,Parameter!$A$35:$C$64,2,0),"Nein"))</f>
        <v>1</v>
      </c>
      <c r="CA1397" s="52" t="n">
        <f aca="false">IF(BW1397=0,0,IF(N(S1397)&gt;0,S1397,IFERROR(VLOOKUP(D1397,Parameter!$A$35:$C$64,3,0)+0,0)))</f>
        <v>1</v>
      </c>
      <c r="CB1397" s="48" t="n">
        <f aca="false">IF(AA1397&lt;&gt;"",AA1397,Z1397)</f>
        <v>1</v>
      </c>
      <c r="CC1397" s="48" t="str">
        <f aca="false">IF(OR(CB1397=1,CB1397=2,CB1397=3),IF(Parameter!$E$27="Ja","LIFT",IF(CB1397=1,"L1","L23")),IF(CB1397="Aussen","Aussen","-"))</f>
        <v>LIFT</v>
      </c>
      <c r="CD1397" s="59" t="n">
        <f aca="false">IF(N(AB1397)&gt;0,AB1397,0)</f>
        <v>0</v>
      </c>
      <c r="CE1397" s="53" t="n">
        <f aca="false">IF(ISNUMBER(AE1397),1,0)</f>
        <v>0</v>
      </c>
      <c r="CF1397" s="50" t="n">
        <f aca="false">N(AE1397)</f>
        <v>0</v>
      </c>
      <c r="CG1397" s="50" t="n">
        <f aca="false">N(M1397)+N(N1397)</f>
        <v>5</v>
      </c>
      <c r="CH1397" s="50" t="n">
        <f aca="false">ROUNDUP(H1397/BV1397,0)</f>
        <v>0</v>
      </c>
      <c r="CI1397" s="50" t="n">
        <f aca="false">ROUNDUP(CF1397/BV1397,0)</f>
        <v>0</v>
      </c>
      <c r="CJ1397" s="53" t="n">
        <f aca="false">IF(BW1397=1,0,IFERROR(VLOOKUP(BU1397,'Gebinde-Kategorie'!$A$5:$N$45,5,0)+0,0))</f>
        <v>0</v>
      </c>
      <c r="CK1397" s="53" t="n">
        <f aca="false">IFERROR(IF(OR(CB1397=1,CB1397=2,CB1397=3),N(INDEX(Parameter!$I$5:$I$7,CB1397)),0),0)</f>
        <v>0</v>
      </c>
      <c r="CL1397" s="52" t="n">
        <f aca="false">IF(AND(Parameter!$B$21="Ja",ISNUMBER(W1397),N(X1397)&gt;0),IFERROR(N(INDEX(Parameter!$L$5:$L$7,W1397))*INDEX(Parameter!$E$5:$E$7,W1397)*X1397/SUMIFS($X$7:$X$1843,$W$7:$W$1843,W1397),0),0)</f>
        <v>0.480225988700565</v>
      </c>
    </row>
    <row r="1398" customFormat="false" ht="15" hidden="false" customHeight="false" outlineLevel="0" collapsed="false">
      <c r="A1398" s="48" t="s">
        <v>2461</v>
      </c>
      <c r="B1398" s="48" t="s">
        <v>2462</v>
      </c>
      <c r="C1398" s="48" t="s">
        <v>168</v>
      </c>
      <c r="D1398" s="48" t="s">
        <v>177</v>
      </c>
      <c r="E1398" s="48" t="s">
        <v>170</v>
      </c>
      <c r="F1398" s="48" t="s">
        <v>222</v>
      </c>
      <c r="G1398" s="49" t="n">
        <v>1024.61</v>
      </c>
      <c r="H1398" s="50" t="n">
        <f aca="false">MAX(0,IF(AND(Parameter!$B$21="Ja",ISNUMBER(Y1398)),Y1398,IF(Parameter!$B$20="Jahresanfang 2025 + Export",BO1398+BN1398,BN1398)))</f>
        <v>17</v>
      </c>
      <c r="I1398" s="50" t="n">
        <f aca="false">H1398*G1398</f>
        <v>17418.37</v>
      </c>
      <c r="J1398" s="50" t="n">
        <f aca="false">BQ1398*Parameter!$B$18</f>
        <v>160</v>
      </c>
      <c r="K1398" s="51" t="n">
        <v>23</v>
      </c>
      <c r="L1398" s="52" t="n">
        <v>6.95652173913044</v>
      </c>
      <c r="M1398" s="50" t="n">
        <v>9</v>
      </c>
      <c r="N1398" s="50" t="n">
        <v>16</v>
      </c>
      <c r="O1398" s="53" t="n">
        <v>21</v>
      </c>
      <c r="P1398" s="48" t="s">
        <v>178</v>
      </c>
      <c r="Q1398" s="50" t="n">
        <v>36</v>
      </c>
      <c r="R1398" s="53" t="n">
        <f aca="false">IF(BW1398=1,0,IFERROR(VLOOKUP(BU1398,'Gebinde-Kategorie'!$A$5:$N$45,13,0)+0,0))</f>
        <v>6</v>
      </c>
      <c r="S1398" s="54"/>
      <c r="T1398" s="55"/>
      <c r="U1398" s="55"/>
      <c r="V1398" s="55"/>
      <c r="W1398" s="48"/>
      <c r="X1398" s="50"/>
      <c r="Y1398" s="50"/>
      <c r="Z1398" s="48" t="n">
        <f aca="false">IF(A1398="","",IF(AND(Parameter!$B$21="Ja",ISNUMBER(W1398)),W1398,IF(BZ1398="2+3",IF(ISNUMBER(SEARCH("grosser Artikel",BR1398)),2,IFERROR(VLOOKUP(BU1398,Parameter!$F$35:$G$64,2,0),2)),IF(OR(BZ1398="Nein",BZ1398=""),"-",BZ1398))))</f>
        <v>1</v>
      </c>
      <c r="AA1398" s="55"/>
      <c r="AB1398" s="56"/>
      <c r="AC1398" s="50" t="n">
        <f aca="false">AT1398</f>
        <v>108</v>
      </c>
      <c r="AD1398" s="50" t="n">
        <f aca="false">MAX(AT1398,H1398)</f>
        <v>108</v>
      </c>
      <c r="AE1398" s="57"/>
      <c r="AF1398" s="50" t="n">
        <f aca="false">IF(LEFT(Cockpit!$C$5,1)="A",H1398,IF(CE1398=1,CF1398,IF(LEFT(Cockpit!$C$5,1)="B",AK1398,MAX(AK1398,H1398))))</f>
        <v>17</v>
      </c>
      <c r="AG1398" s="50" t="n">
        <f aca="false">IF(BW1398=1,0,ROUNDUP(AF1398/BV1398,0))</f>
        <v>1</v>
      </c>
      <c r="AH1398" s="52" t="n">
        <f aca="false">IF(CL1398&gt;0,CL1398*MAX(1,AF1398/X1398),IF(BW1398=1,IF(AF1398&lt;=0,0,CA1398*MAX(1,IF(H1398&gt;0,AF1398/H1398,1))),IF(R1398&gt;0,AG1398/R1398,0))/MAX(0.1,N(Parameter!$M$21)))</f>
        <v>0.166666666666667</v>
      </c>
      <c r="AI1398" s="50" t="n">
        <f aca="false">AH1398*BY1398</f>
        <v>39.1666666666667</v>
      </c>
      <c r="AJ1398" s="50" t="n">
        <f aca="false">AF1398*G1398</f>
        <v>17418.37</v>
      </c>
      <c r="AK1398" s="50" t="n">
        <f aca="false">ROUNDUP(MAX(J1398/IF(CD1398&gt;0,CD1398,MAX(0.1,N(Cockpit!$C$6))),CG1398)/BV1398,0)*BV1398</f>
        <v>108</v>
      </c>
      <c r="AL1398" s="51" t="n">
        <f aca="false">IF(AI1398&gt;0,J1398/AI1398,-1)</f>
        <v>4.08510638297872</v>
      </c>
      <c r="AM1398" s="51" t="n">
        <f aca="false">IF(AND(OR(CC1398="L1",CC1398="L23",CC1398="LIFT"),AI1398&gt;0),SUMIFS($AI$7:$AI$1843,$CC$7:$CC$1843,CC1398,$AL$7:$AL$1843,"&gt;"&amp;AL1398)+SUMIFS($AI$7:$AI$1843,$CC$7:$CC$1843,CC1398,$AL$7:$AL$1843,AL1398,$BT$7:$BT$1843,"&lt;="&amp;BT1398),"")</f>
        <v>4237.66346153846</v>
      </c>
      <c r="AN1398" s="58" t="n">
        <f aca="false">IF(AM1398="",0,MAX(0,MIN(1,(IF(CC1398="L1",Parameter!$H$5,IF(CC1398="L23",Parameter!$H$6+Parameter!$H$7,Parameter!$H$5+Parameter!$H$6+Parameter!$H$7))-(AM1398-AI1398))/AI1398)))</f>
        <v>1</v>
      </c>
      <c r="AO1398" s="50" t="n">
        <f aca="false">IF(LEFT(Cockpit!$I$5,1)="A",H1398,IF(CE1398=1,CF1398,IF(LEFT(Cockpit!$I$5,1)="B",AT1398,MAX(AT1398,H1398))))</f>
        <v>108</v>
      </c>
      <c r="AP1398" s="50" t="n">
        <f aca="false">IF(BW1398=1,0,ROUNDUP(AO1398/BV1398,0))</f>
        <v>3</v>
      </c>
      <c r="AQ1398" s="52" t="n">
        <f aca="false">IF(CL1398&gt;0,CL1398*MAX(1,AO1398/X1398),IF(BW1398=1,IF(AO1398&lt;=0,0,CA1398*MAX(1,IF(H1398&gt;0,AO1398/H1398,1))),IF(R1398&gt;0,AP1398/R1398,0))/MAX(0.1,N(Parameter!$M$21)))</f>
        <v>0.5</v>
      </c>
      <c r="AR1398" s="50" t="n">
        <f aca="false">AQ1398*BY1398</f>
        <v>117.5</v>
      </c>
      <c r="AS1398" s="50" t="n">
        <f aca="false">AO1398*G1398</f>
        <v>110657.88</v>
      </c>
      <c r="AT1398" s="50" t="n">
        <f aca="false">ROUNDUP(MAX(J1398/IF(CD1398&gt;0,CD1398,MAX(0.1,N(Cockpit!$I$6))),CG1398)/BV1398,0)*BV1398</f>
        <v>108</v>
      </c>
      <c r="AU1398" s="51" t="n">
        <f aca="false">IF(AR1398&gt;0,J1398/AR1398,-1)</f>
        <v>1.36170212765957</v>
      </c>
      <c r="AV1398" s="51" t="n">
        <f aca="false">IF(AND(OR(CC1398="L1",CC1398="L23",CC1398="LIFT"),AR1398&gt;0),SUMIFS($AR$7:$AR$1843,$CC$7:$CC$1843,CC1398,$AU$7:$AU$1843,"&gt;"&amp;AU1398)+SUMIFS($AR$7:$AR$1843,$CC$7:$CC$1843,CC1398,$AU$7:$AU$1843,AU1398,$BT$7:$BT$1843,"&lt;="&amp;BT1398),"")</f>
        <v>9377.78937728938</v>
      </c>
      <c r="AW1398" s="58" t="n">
        <f aca="false">IF(AV1398="",0,MAX(0,MIN(1,(IF(CC1398="L1",Parameter!$H$5,IF(CC1398="L23",Parameter!$H$6+Parameter!$H$7,Parameter!$H$5+Parameter!$H$6+Parameter!$H$7))-(AV1398-AR1398))/AR1398)))</f>
        <v>1</v>
      </c>
      <c r="AX1398" s="50" t="n">
        <f aca="false">IF(LEFT(Cockpit!$O$5,1)="A",H1398,IF(CE1398=1,CF1398,IF(LEFT(Cockpit!$O$5,1)="B",BC1398,MAX(BC1398,H1398))))</f>
        <v>72</v>
      </c>
      <c r="AY1398" s="50" t="n">
        <f aca="false">IF(BW1398=1,0,ROUNDUP(AX1398/BV1398,0))</f>
        <v>2</v>
      </c>
      <c r="AZ1398" s="52" t="n">
        <f aca="false">IF(CL1398&gt;0,CL1398*MAX(1,AX1398/X1398),IF(BW1398=1,IF(AX1398&lt;=0,0,CA1398*MAX(1,IF(H1398&gt;0,AX1398/H1398,1))),IF(R1398&gt;0,AY1398/R1398,0))/MAX(0.1,N(Parameter!$M$21)))</f>
        <v>0.333333333333333</v>
      </c>
      <c r="BA1398" s="50" t="n">
        <f aca="false">AZ1398*BY1398</f>
        <v>78.3333333333333</v>
      </c>
      <c r="BB1398" s="50" t="n">
        <f aca="false">AX1398*G1398</f>
        <v>73771.92</v>
      </c>
      <c r="BC1398" s="50" t="n">
        <f aca="false">ROUNDUP(MAX(J1398/IF(CD1398&gt;0,CD1398,MAX(0.1,N(Cockpit!$O$6))),CG1398)/BV1398,0)*BV1398</f>
        <v>72</v>
      </c>
      <c r="BD1398" s="51" t="n">
        <f aca="false">IF(BA1398&gt;0,J1398/BA1398,-1)</f>
        <v>2.04255319148936</v>
      </c>
      <c r="BE1398" s="51" t="n">
        <f aca="false">IF(AND(OR(CC1398="L1",CC1398="L23",CC1398="LIFT"),BA1398&gt;0),SUMIFS($BA$7:$BA$1843,$CC$7:$CC$1843,CC1398,$BD$7:$BD$1843,"&gt;"&amp;BD1398)+SUMIFS($BA$7:$BA$1843,$CC$7:$CC$1843,CC1398,$BD$7:$BD$1843,BD1398,$BT$7:$BT$1843,"&lt;="&amp;BT1398),"")</f>
        <v>7520.22161172161</v>
      </c>
      <c r="BF1398" s="58" t="n">
        <f aca="false">IF(BE1398="",0,MAX(0,MIN(1,(IF(CC1398="L1",Parameter!$H$5,IF(CC1398="L23",Parameter!$H$6+Parameter!$H$7,Parameter!$H$5+Parameter!$H$6+Parameter!$H$7))-(BE1398-BA1398))/BA1398)))</f>
        <v>1</v>
      </c>
      <c r="BG1398" s="48" t="str">
        <f aca="false">IF(AI1398&lt;=0,"",IF(CC1398="Aussen","Aussenlager",IF(CC1398="-","Nicht im Lift",IF(AN1398&gt;=1,"Lift",IF(AN1398&lt;=0,"Aussenlager","teilweise")))))</f>
        <v>Lift</v>
      </c>
      <c r="BH1398" s="48" t="str">
        <f aca="false">IF(AR1398&lt;=0,"",IF(CC1398="Aussen","Aussenlager",IF(CC1398="-","Nicht im Lift",IF(AW1398&gt;=1,"Lift",IF(AW1398&lt;=0,"Aussenlager","teilweise")))))</f>
        <v>Lift</v>
      </c>
      <c r="BI1398" s="48" t="str">
        <f aca="false">IF(BA1398&lt;=0,"",IF(CC1398="Aussen","Aussenlager",IF(CC1398="-","Nicht im Lift",IF(BF1398&gt;=1,"Lift",IF(BF1398&lt;=0,"Aussenlager","teilweise")))))</f>
        <v>Lift</v>
      </c>
      <c r="BJ1398" s="48" t="str">
        <f aca="false">IF(A1398="","",IF(BS1398=1,"Neu; ","")&amp;IF(AND(BS1398=0,BN1398&lt;0),"negativer Bestand (Export "&amp;BN1398&amp;"); ","")&amp;IF(J1398&lt;=0,"Kein Verbrauch; ","")&amp;IF(CL1398&gt;0,"Lift "&amp;W1398&amp;" lt. Liftbericht (Fach "&amp;X1398&amp;" Stk); ",IF(BX1398=1,"Gebinde geschätzt ("&amp;T1398&amp;"); ",IF(BW1398=1,"Lose – Tablare geschätzt; ","")))&amp;IF(H1398&gt;AT1398,"Überbestand "&amp;ROUND(H1398-AT1398,0)&amp;" Stk / CHF "&amp;ROUND((H1398-AT1398)*G1398,0)&amp;"; ","")&amp;IF(AND(CE1398=1,CF1398&lt;CG1398),"MAX &lt; MB+LG; ","")&amp;IF(AND(CK1398&gt;0,CJ1398*10&gt;CK1398),"zu hoch für Tablar; ","")&amp;IF(AND(BS1398=0,OR(CE1398=1,AA1398&lt;&gt;"",U1398&lt;&gt;"",V1398&lt;&gt;"",AB1398&lt;&gt;"")),"manuell übersteuert; ","")&amp;IF(AND(BW1398=0,R1398=0),"Gebinde unbekannt / Stellmass fehlt; ","")&amp;IF(AND(BW1398=0,N(V1398)&lt;=0,N(Q1398)&lt;=0),"Menge pro Gebinde fehlt (Ist = 1 Gebinde); ","")&amp;BR1398)</f>
        <v>negativer Bestand (Export -6); </v>
      </c>
      <c r="BK1398" s="48"/>
      <c r="BL1398" s="48"/>
      <c r="BM1398" s="55"/>
      <c r="BN1398" s="50" t="n">
        <v>-6</v>
      </c>
      <c r="BO1398" s="50" t="n">
        <v>23</v>
      </c>
      <c r="BP1398" s="49" t="n">
        <v>-4018.54999999997</v>
      </c>
      <c r="BQ1398" s="50" t="n">
        <v>160</v>
      </c>
      <c r="BR1398" s="48"/>
      <c r="BS1398" s="53" t="n">
        <v>0</v>
      </c>
      <c r="BT1398" s="53" t="n">
        <v>1398</v>
      </c>
      <c r="BU1398" s="48" t="str">
        <f aca="false">IF(U1398&lt;&gt;"",UPPER(TRIM(U1398)),IF(BX1398=1,UPPER(VLOOKUP(T1398,Parameter!$I$27:$K$29,2,0)),IF(P1398="","LOSE",P1398)))</f>
        <v>S71</v>
      </c>
      <c r="BV1398" s="50" t="n">
        <f aca="false">IF(BU1398="LOSE",1,IF(N(V1398)&gt;0,V1398,IF(BX1398=1,MAX(1,N(VLOOKUP(T1398,Parameter!$I$27:$K$29,3,0)),H1398,N(N1398)),IF(N(Q1398)&gt;0,Q1398,MAX(1,H1398)))))</f>
        <v>36</v>
      </c>
      <c r="BW1398" s="53" t="n">
        <f aca="false">IF(BU1398="LOSE",1,0)</f>
        <v>0</v>
      </c>
      <c r="BX1398" s="53" t="n">
        <f aca="false">IF(AND(U1398="",OR(P1398="",P1398="LOSE"),T1398&lt;&gt;"",N(S1398)&lt;=0,ISNUMBER(MATCH(T1398,Parameter!$I$27:$I$29,0))),1,0)</f>
        <v>0</v>
      </c>
      <c r="BY1398" s="53" t="n">
        <f aca="false">IF(CL1398&gt;0,INDEX(Parameter!$H$5:$H$7,W1398)/INDEX(Parameter!$E$5:$E$7,W1398),IF(AND(BW1398=0,N(IFERROR(VLOOKUP(BU1398,'Gebinde-Kategorie'!$A$5:$N$45,14,0),0))&gt;0),VLOOKUP(BU1398,'Gebinde-Kategorie'!$A$5:$N$45,14,0)*10+Parameter!$M$23,Parameter!$M$24))</f>
        <v>235</v>
      </c>
      <c r="BZ1398" s="48" t="n">
        <f aca="false">IF(AND(Parameter!$B$19="Ja",E1398&lt;&gt;"",ISNUMBER(MATCH(E1398,Parameter!$I$35:$I$52,0))),VLOOKUP(E1398,Parameter!$I$35:$J$52,2,0),IFERROR(VLOOKUP(D1398,Parameter!$A$35:$C$64,2,0),"Nein"))</f>
        <v>1</v>
      </c>
      <c r="CA1398" s="52" t="n">
        <f aca="false">IF(BW1398=0,0,IF(N(S1398)&gt;0,S1398,IFERROR(VLOOKUP(D1398,Parameter!$A$35:$C$64,3,0)+0,0)))</f>
        <v>0</v>
      </c>
      <c r="CB1398" s="48" t="n">
        <f aca="false">IF(AA1398&lt;&gt;"",AA1398,Z1398)</f>
        <v>1</v>
      </c>
      <c r="CC1398" s="48" t="str">
        <f aca="false">IF(OR(CB1398=1,CB1398=2,CB1398=3),IF(Parameter!$E$27="Ja","LIFT",IF(CB1398=1,"L1","L23")),IF(CB1398="Aussen","Aussen","-"))</f>
        <v>LIFT</v>
      </c>
      <c r="CD1398" s="59" t="n">
        <f aca="false">IF(N(AB1398)&gt;0,AB1398,0)</f>
        <v>0</v>
      </c>
      <c r="CE1398" s="53" t="n">
        <f aca="false">IF(ISNUMBER(AE1398),1,0)</f>
        <v>0</v>
      </c>
      <c r="CF1398" s="50" t="n">
        <f aca="false">N(AE1398)</f>
        <v>0</v>
      </c>
      <c r="CG1398" s="50" t="n">
        <f aca="false">N(M1398)+N(N1398)</f>
        <v>25</v>
      </c>
      <c r="CH1398" s="50" t="n">
        <f aca="false">ROUNDUP(H1398/BV1398,0)</f>
        <v>1</v>
      </c>
      <c r="CI1398" s="50" t="n">
        <f aca="false">ROUNDUP(CF1398/BV1398,0)</f>
        <v>0</v>
      </c>
      <c r="CJ1398" s="53" t="n">
        <f aca="false">IF(BW1398=1,0,IFERROR(VLOOKUP(BU1398,'Gebinde-Kategorie'!$A$5:$N$45,5,0)+0,0))</f>
        <v>20</v>
      </c>
      <c r="CK1398" s="53" t="n">
        <f aca="false">IFERROR(IF(OR(CB1398=1,CB1398=2,CB1398=3),N(INDEX(Parameter!$I$5:$I$7,CB1398)),0),0)</f>
        <v>0</v>
      </c>
      <c r="CL1398" s="52" t="n">
        <f aca="false">IF(AND(Parameter!$B$21="Ja",ISNUMBER(W1398),N(X1398)&gt;0),IFERROR(N(INDEX(Parameter!$L$5:$L$7,W1398))*INDEX(Parameter!$E$5:$E$7,W1398)*X1398/SUMIFS($X$7:$X$1843,$W$7:$W$1843,W1398),0),0)</f>
        <v>0</v>
      </c>
    </row>
    <row r="1399" customFormat="false" ht="15" hidden="false" customHeight="false" outlineLevel="0" collapsed="false">
      <c r="A1399" s="48" t="s">
        <v>2463</v>
      </c>
      <c r="B1399" s="48" t="s">
        <v>2464</v>
      </c>
      <c r="C1399" s="48" t="s">
        <v>168</v>
      </c>
      <c r="D1399" s="48" t="s">
        <v>177</v>
      </c>
      <c r="E1399" s="48"/>
      <c r="F1399" s="48" t="s">
        <v>222</v>
      </c>
      <c r="G1399" s="49" t="n">
        <v>2012.56</v>
      </c>
      <c r="H1399" s="50" t="n">
        <f aca="false">MAX(0,IF(AND(Parameter!$B$21="Ja",ISNUMBER(Y1399)),Y1399,IF(Parameter!$B$20="Jahresanfang 2025 + Export",BO1399+BN1399,BN1399)))</f>
        <v>14</v>
      </c>
      <c r="I1399" s="50" t="n">
        <f aca="false">H1399*G1399</f>
        <v>28175.84</v>
      </c>
      <c r="J1399" s="50" t="n">
        <f aca="false">BQ1399*Parameter!$B$18</f>
        <v>1</v>
      </c>
      <c r="K1399" s="51" t="n">
        <v>15.5</v>
      </c>
      <c r="L1399" s="52" t="n">
        <v>0.0645161290322581</v>
      </c>
      <c r="M1399" s="50" t="n">
        <v>0</v>
      </c>
      <c r="N1399" s="50" t="n">
        <v>1</v>
      </c>
      <c r="O1399" s="53" t="n">
        <v>112</v>
      </c>
      <c r="P1399" s="48" t="s">
        <v>178</v>
      </c>
      <c r="Q1399" s="50" t="n">
        <v>14</v>
      </c>
      <c r="R1399" s="53" t="n">
        <f aca="false">IF(BW1399=1,0,IFERROR(VLOOKUP(BU1399,'Gebinde-Kategorie'!$A$5:$N$45,13,0)+0,0))</f>
        <v>6</v>
      </c>
      <c r="S1399" s="54"/>
      <c r="T1399" s="55"/>
      <c r="U1399" s="55"/>
      <c r="V1399" s="55"/>
      <c r="W1399" s="48"/>
      <c r="X1399" s="50"/>
      <c r="Y1399" s="50"/>
      <c r="Z1399" s="48" t="n">
        <f aca="false">IF(A1399="","",IF(AND(Parameter!$B$21="Ja",ISNUMBER(W1399)),W1399,IF(BZ1399="2+3",IF(ISNUMBER(SEARCH("grosser Artikel",BR1399)),2,IFERROR(VLOOKUP(BU1399,Parameter!$F$35:$G$64,2,0),2)),IF(OR(BZ1399="Nein",BZ1399=""),"-",BZ1399))))</f>
        <v>2</v>
      </c>
      <c r="AA1399" s="55"/>
      <c r="AB1399" s="56"/>
      <c r="AC1399" s="50" t="n">
        <f aca="false">AT1399</f>
        <v>14</v>
      </c>
      <c r="AD1399" s="50" t="n">
        <f aca="false">MAX(AT1399,H1399)</f>
        <v>14</v>
      </c>
      <c r="AE1399" s="57"/>
      <c r="AF1399" s="50" t="n">
        <f aca="false">IF(LEFT(Cockpit!$C$5,1)="A",H1399,IF(CE1399=1,CF1399,IF(LEFT(Cockpit!$C$5,1)="B",AK1399,MAX(AK1399,H1399))))</f>
        <v>14</v>
      </c>
      <c r="AG1399" s="50" t="n">
        <f aca="false">IF(BW1399=1,0,ROUNDUP(AF1399/BV1399,0))</f>
        <v>1</v>
      </c>
      <c r="AH1399" s="52" t="n">
        <f aca="false">IF(CL1399&gt;0,CL1399*MAX(1,AF1399/X1399),IF(BW1399=1,IF(AF1399&lt;=0,0,CA1399*MAX(1,IF(H1399&gt;0,AF1399/H1399,1))),IF(R1399&gt;0,AG1399/R1399,0))/MAX(0.1,N(Parameter!$M$21)))</f>
        <v>0.166666666666667</v>
      </c>
      <c r="AI1399" s="50" t="n">
        <f aca="false">AH1399*BY1399</f>
        <v>39.1666666666667</v>
      </c>
      <c r="AJ1399" s="50" t="n">
        <f aca="false">AF1399*G1399</f>
        <v>28175.84</v>
      </c>
      <c r="AK1399" s="50" t="n">
        <f aca="false">ROUNDUP(MAX(J1399/IF(CD1399&gt;0,CD1399,MAX(0.1,N(Cockpit!$C$6))),CG1399)/BV1399,0)*BV1399</f>
        <v>14</v>
      </c>
      <c r="AL1399" s="51" t="n">
        <f aca="false">IF(AI1399&gt;0,J1399/AI1399,-1)</f>
        <v>0.025531914893617</v>
      </c>
      <c r="AM1399" s="51" t="n">
        <f aca="false">IF(AND(OR(CC1399="L1",CC1399="L23",CC1399="LIFT"),AI1399&gt;0),SUMIFS($AI$7:$AI$1843,$CC$7:$CC$1843,CC1399,$AL$7:$AL$1843,"&gt;"&amp;AL1399)+SUMIFS($AI$7:$AI$1843,$CC$7:$CC$1843,CC1399,$AL$7:$AL$1843,AL1399,$BT$7:$BT$1843,"&lt;="&amp;BT1399),"")</f>
        <v>22003.7770715631</v>
      </c>
      <c r="AN1399" s="58" t="n">
        <f aca="false">IF(AM1399="",0,MAX(0,MIN(1,(IF(CC1399="L1",Parameter!$H$5,IF(CC1399="L23",Parameter!$H$6+Parameter!$H$7,Parameter!$H$5+Parameter!$H$6+Parameter!$H$7))-(AM1399-AI1399))/AI1399)))</f>
        <v>1</v>
      </c>
      <c r="AO1399" s="50" t="n">
        <f aca="false">IF(LEFT(Cockpit!$I$5,1)="A",H1399,IF(CE1399=1,CF1399,IF(LEFT(Cockpit!$I$5,1)="B",AT1399,MAX(AT1399,H1399))))</f>
        <v>14</v>
      </c>
      <c r="AP1399" s="50" t="n">
        <f aca="false">IF(BW1399=1,0,ROUNDUP(AO1399/BV1399,0))</f>
        <v>1</v>
      </c>
      <c r="AQ1399" s="52" t="n">
        <f aca="false">IF(CL1399&gt;0,CL1399*MAX(1,AO1399/X1399),IF(BW1399=1,IF(AO1399&lt;=0,0,CA1399*MAX(1,IF(H1399&gt;0,AO1399/H1399,1))),IF(R1399&gt;0,AP1399/R1399,0))/MAX(0.1,N(Parameter!$M$21)))</f>
        <v>0.166666666666667</v>
      </c>
      <c r="AR1399" s="50" t="n">
        <f aca="false">AQ1399*BY1399</f>
        <v>39.1666666666667</v>
      </c>
      <c r="AS1399" s="50" t="n">
        <f aca="false">AO1399*G1399</f>
        <v>28175.84</v>
      </c>
      <c r="AT1399" s="50" t="n">
        <f aca="false">ROUNDUP(MAX(J1399/IF(CD1399&gt;0,CD1399,MAX(0.1,N(Cockpit!$I$6))),CG1399)/BV1399,0)*BV1399</f>
        <v>14</v>
      </c>
      <c r="AU1399" s="51" t="n">
        <f aca="false">IF(AR1399&gt;0,J1399/AR1399,-1)</f>
        <v>0.025531914893617</v>
      </c>
      <c r="AV1399" s="51" t="n">
        <f aca="false">IF(AND(OR(CC1399="L1",CC1399="L23",CC1399="LIFT"),AR1399&gt;0),SUMIFS($AR$7:$AR$1843,$CC$7:$CC$1843,CC1399,$AU$7:$AU$1843,"&gt;"&amp;AU1399)+SUMIFS($AR$7:$AR$1843,$CC$7:$CC$1843,CC1399,$AU$7:$AU$1843,AU1399,$BT$7:$BT$1843,"&lt;="&amp;BT1399),"")</f>
        <v>32936.5013270628</v>
      </c>
      <c r="AW1399" s="58" t="n">
        <f aca="false">IF(AV1399="",0,MAX(0,MIN(1,(IF(CC1399="L1",Parameter!$H$5,IF(CC1399="L23",Parameter!$H$6+Parameter!$H$7,Parameter!$H$5+Parameter!$H$6+Parameter!$H$7))-(AV1399-AR1399))/AR1399)))</f>
        <v>1</v>
      </c>
      <c r="AX1399" s="50" t="n">
        <f aca="false">IF(LEFT(Cockpit!$O$5,1)="A",H1399,IF(CE1399=1,CF1399,IF(LEFT(Cockpit!$O$5,1)="B",BC1399,MAX(BC1399,H1399))))</f>
        <v>14</v>
      </c>
      <c r="AY1399" s="50" t="n">
        <f aca="false">IF(BW1399=1,0,ROUNDUP(AX1399/BV1399,0))</f>
        <v>1</v>
      </c>
      <c r="AZ1399" s="52" t="n">
        <f aca="false">IF(CL1399&gt;0,CL1399*MAX(1,AX1399/X1399),IF(BW1399=1,IF(AX1399&lt;=0,0,CA1399*MAX(1,IF(H1399&gt;0,AX1399/H1399,1))),IF(R1399&gt;0,AY1399/R1399,0))/MAX(0.1,N(Parameter!$M$21)))</f>
        <v>0.166666666666667</v>
      </c>
      <c r="BA1399" s="50" t="n">
        <f aca="false">AZ1399*BY1399</f>
        <v>39.1666666666667</v>
      </c>
      <c r="BB1399" s="50" t="n">
        <f aca="false">AX1399*G1399</f>
        <v>28175.84</v>
      </c>
      <c r="BC1399" s="50" t="n">
        <f aca="false">ROUNDUP(MAX(J1399/IF(CD1399&gt;0,CD1399,MAX(0.1,N(Cockpit!$O$6))),CG1399)/BV1399,0)*BV1399</f>
        <v>14</v>
      </c>
      <c r="BD1399" s="51" t="n">
        <f aca="false">IF(BA1399&gt;0,J1399/BA1399,-1)</f>
        <v>0.025531914893617</v>
      </c>
      <c r="BE1399" s="51" t="n">
        <f aca="false">IF(AND(OR(CC1399="L1",CC1399="L23",CC1399="LIFT"),BA1399&gt;0),SUMIFS($BA$7:$BA$1843,$CC$7:$CC$1843,CC1399,$BD$7:$BD$1843,"&gt;"&amp;BD1399)+SUMIFS($BA$7:$BA$1843,$CC$7:$CC$1843,CC1399,$BD$7:$BD$1843,BD1399,$BT$7:$BT$1843,"&lt;="&amp;BT1399),"")</f>
        <v>29611.5133689286</v>
      </c>
      <c r="BF1399" s="58" t="n">
        <f aca="false">IF(BE1399="",0,MAX(0,MIN(1,(IF(CC1399="L1",Parameter!$H$5,IF(CC1399="L23",Parameter!$H$6+Parameter!$H$7,Parameter!$H$5+Parameter!$H$6+Parameter!$H$7))-(BE1399-BA1399))/BA1399)))</f>
        <v>1</v>
      </c>
      <c r="BG1399" s="48" t="str">
        <f aca="false">IF(AI1399&lt;=0,"",IF(CC1399="Aussen","Aussenlager",IF(CC1399="-","Nicht im Lift",IF(AN1399&gt;=1,"Lift",IF(AN1399&lt;=0,"Aussenlager","teilweise")))))</f>
        <v>Lift</v>
      </c>
      <c r="BH1399" s="48" t="str">
        <f aca="false">IF(AR1399&lt;=0,"",IF(CC1399="Aussen","Aussenlager",IF(CC1399="-","Nicht im Lift",IF(AW1399&gt;=1,"Lift",IF(AW1399&lt;=0,"Aussenlager","teilweise")))))</f>
        <v>Lift</v>
      </c>
      <c r="BI1399" s="48" t="str">
        <f aca="false">IF(BA1399&lt;=0,"",IF(CC1399="Aussen","Aussenlager",IF(CC1399="-","Nicht im Lift",IF(BF1399&gt;=1,"Lift",IF(BF1399&lt;=0,"Aussenlager","teilweise")))))</f>
        <v>Lift</v>
      </c>
      <c r="BJ1399" s="48" t="str">
        <f aca="false">IF(A1399="","",IF(BS1399=1,"Neu; ","")&amp;IF(AND(BS1399=0,BN1399&lt;0),"negativer Bestand (Export "&amp;BN1399&amp;"); ","")&amp;IF(J1399&lt;=0,"Kein Verbrauch; ","")&amp;IF(CL1399&gt;0,"Lift "&amp;W1399&amp;" lt. Liftbericht (Fach "&amp;X1399&amp;" Stk); ",IF(BX1399=1,"Gebinde geschätzt ("&amp;T1399&amp;"); ",IF(BW1399=1,"Lose – Tablare geschätzt; ","")))&amp;IF(H1399&gt;AT1399,"Überbestand "&amp;ROUND(H1399-AT1399,0)&amp;" Stk / CHF "&amp;ROUND((H1399-AT1399)*G1399,0)&amp;"; ","")&amp;IF(AND(CE1399=1,CF1399&lt;CG1399),"MAX &lt; MB+LG; ","")&amp;IF(AND(CK1399&gt;0,CJ1399*10&gt;CK1399),"zu hoch für Tablar; ","")&amp;IF(AND(BS1399=0,OR(CE1399=1,AA1399&lt;&gt;"",U1399&lt;&gt;"",V1399&lt;&gt;"",AB1399&lt;&gt;"")),"manuell übersteuert; ","")&amp;IF(AND(BW1399=0,R1399=0),"Gebinde unbekannt / Stellmass fehlt; ","")&amp;IF(AND(BW1399=0,N(V1399)&lt;=0,N(Q1399)&lt;=0),"Menge pro Gebinde fehlt (Ist = 1 Gebinde); ","")&amp;BR1399)</f>
        <v>negativer Bestand (Export -2); </v>
      </c>
      <c r="BK1399" s="48"/>
      <c r="BL1399" s="48"/>
      <c r="BM1399" s="55"/>
      <c r="BN1399" s="50" t="n">
        <v>-2</v>
      </c>
      <c r="BO1399" s="50" t="n">
        <v>16</v>
      </c>
      <c r="BP1399" s="49" t="n">
        <v>-4025.12</v>
      </c>
      <c r="BQ1399" s="50" t="n">
        <v>1</v>
      </c>
      <c r="BR1399" s="48"/>
      <c r="BS1399" s="53" t="n">
        <v>0</v>
      </c>
      <c r="BT1399" s="53" t="n">
        <v>1399</v>
      </c>
      <c r="BU1399" s="48" t="str">
        <f aca="false">IF(U1399&lt;&gt;"",UPPER(TRIM(U1399)),IF(BX1399=1,UPPER(VLOOKUP(T1399,Parameter!$I$27:$K$29,2,0)),IF(P1399="","LOSE",P1399)))</f>
        <v>S71</v>
      </c>
      <c r="BV1399" s="50" t="n">
        <f aca="false">IF(BU1399="LOSE",1,IF(N(V1399)&gt;0,V1399,IF(BX1399=1,MAX(1,N(VLOOKUP(T1399,Parameter!$I$27:$K$29,3,0)),H1399,N(N1399)),IF(N(Q1399)&gt;0,Q1399,MAX(1,H1399)))))</f>
        <v>14</v>
      </c>
      <c r="BW1399" s="53" t="n">
        <f aca="false">IF(BU1399="LOSE",1,0)</f>
        <v>0</v>
      </c>
      <c r="BX1399" s="53" t="n">
        <f aca="false">IF(AND(U1399="",OR(P1399="",P1399="LOSE"),T1399&lt;&gt;"",N(S1399)&lt;=0,ISNUMBER(MATCH(T1399,Parameter!$I$27:$I$29,0))),1,0)</f>
        <v>0</v>
      </c>
      <c r="BY1399" s="53" t="n">
        <f aca="false">IF(CL1399&gt;0,INDEX(Parameter!$H$5:$H$7,W1399)/INDEX(Parameter!$E$5:$E$7,W1399),IF(AND(BW1399=0,N(IFERROR(VLOOKUP(BU1399,'Gebinde-Kategorie'!$A$5:$N$45,14,0),0))&gt;0),VLOOKUP(BU1399,'Gebinde-Kategorie'!$A$5:$N$45,14,0)*10+Parameter!$M$23,Parameter!$M$24))</f>
        <v>235</v>
      </c>
      <c r="BZ1399" s="48" t="str">
        <f aca="false">IF(AND(Parameter!$B$19="Ja",E1399&lt;&gt;"",ISNUMBER(MATCH(E1399,Parameter!$I$35:$I$52,0))),VLOOKUP(E1399,Parameter!$I$35:$J$52,2,0),IFERROR(VLOOKUP(D1399,Parameter!$A$35:$C$64,2,0),"Nein"))</f>
        <v>2+3</v>
      </c>
      <c r="CA1399" s="52" t="n">
        <f aca="false">IF(BW1399=0,0,IF(N(S1399)&gt;0,S1399,IFERROR(VLOOKUP(D1399,Parameter!$A$35:$C$64,3,0)+0,0)))</f>
        <v>0</v>
      </c>
      <c r="CB1399" s="48" t="n">
        <f aca="false">IF(AA1399&lt;&gt;"",AA1399,Z1399)</f>
        <v>2</v>
      </c>
      <c r="CC1399" s="48" t="str">
        <f aca="false">IF(OR(CB1399=1,CB1399=2,CB1399=3),IF(Parameter!$E$27="Ja","LIFT",IF(CB1399=1,"L1","L23")),IF(CB1399="Aussen","Aussen","-"))</f>
        <v>LIFT</v>
      </c>
      <c r="CD1399" s="59" t="n">
        <f aca="false">IF(N(AB1399)&gt;0,AB1399,0)</f>
        <v>0</v>
      </c>
      <c r="CE1399" s="53" t="n">
        <f aca="false">IF(ISNUMBER(AE1399),1,0)</f>
        <v>0</v>
      </c>
      <c r="CF1399" s="50" t="n">
        <f aca="false">N(AE1399)</f>
        <v>0</v>
      </c>
      <c r="CG1399" s="50" t="n">
        <f aca="false">N(M1399)+N(N1399)</f>
        <v>1</v>
      </c>
      <c r="CH1399" s="50" t="n">
        <f aca="false">ROUNDUP(H1399/BV1399,0)</f>
        <v>1</v>
      </c>
      <c r="CI1399" s="50" t="n">
        <f aca="false">ROUNDUP(CF1399/BV1399,0)</f>
        <v>0</v>
      </c>
      <c r="CJ1399" s="53" t="n">
        <f aca="false">IF(BW1399=1,0,IFERROR(VLOOKUP(BU1399,'Gebinde-Kategorie'!$A$5:$N$45,5,0)+0,0))</f>
        <v>20</v>
      </c>
      <c r="CK1399" s="53" t="n">
        <f aca="false">IFERROR(IF(OR(CB1399=1,CB1399=2,CB1399=3),N(INDEX(Parameter!$I$5:$I$7,CB1399)),0),0)</f>
        <v>0</v>
      </c>
      <c r="CL1399" s="52" t="n">
        <f aca="false">IF(AND(Parameter!$B$21="Ja",ISNUMBER(W1399),N(X1399)&gt;0),IFERROR(N(INDEX(Parameter!$L$5:$L$7,W1399))*INDEX(Parameter!$E$5:$E$7,W1399)*X1399/SUMIFS($X$7:$X$1843,$W$7:$W$1843,W1399),0),0)</f>
        <v>0</v>
      </c>
    </row>
    <row r="1400" customFormat="false" ht="15" hidden="false" customHeight="false" outlineLevel="0" collapsed="false">
      <c r="A1400" s="48" t="s">
        <v>2465</v>
      </c>
      <c r="B1400" s="48" t="s">
        <v>435</v>
      </c>
      <c r="C1400" s="48" t="s">
        <v>168</v>
      </c>
      <c r="D1400" s="48" t="s">
        <v>188</v>
      </c>
      <c r="E1400" s="48" t="s">
        <v>189</v>
      </c>
      <c r="F1400" s="48" t="s">
        <v>222</v>
      </c>
      <c r="G1400" s="49" t="n">
        <v>374.8</v>
      </c>
      <c r="H1400" s="50" t="n">
        <f aca="false">MAX(0,IF(AND(Parameter!$B$21="Ja",ISNUMBER(Y1400)),Y1400,IF(Parameter!$B$20="Jahresanfang 2025 + Export",BO1400+BN1400,BN1400)))</f>
        <v>0</v>
      </c>
      <c r="I1400" s="50" t="n">
        <f aca="false">H1400*G1400</f>
        <v>0</v>
      </c>
      <c r="J1400" s="50" t="n">
        <f aca="false">BQ1400*Parameter!$B$18</f>
        <v>0</v>
      </c>
      <c r="K1400" s="51" t="n">
        <v>11</v>
      </c>
      <c r="L1400" s="52" t="n">
        <v>0</v>
      </c>
      <c r="M1400" s="50" t="n">
        <v>0</v>
      </c>
      <c r="N1400" s="50" t="n">
        <v>1</v>
      </c>
      <c r="O1400" s="53" t="n">
        <v>56</v>
      </c>
      <c r="P1400" s="48" t="s">
        <v>237</v>
      </c>
      <c r="Q1400" s="50" t="n">
        <v>10</v>
      </c>
      <c r="R1400" s="53" t="n">
        <f aca="false">IF(BW1400=1,0,IFERROR(VLOOKUP(BU1400,'Gebinde-Kategorie'!$A$5:$N$45,13,0)+0,0))</f>
        <v>26</v>
      </c>
      <c r="S1400" s="54"/>
      <c r="T1400" s="55"/>
      <c r="U1400" s="55"/>
      <c r="V1400" s="55"/>
      <c r="W1400" s="48"/>
      <c r="X1400" s="50"/>
      <c r="Y1400" s="50"/>
      <c r="Z1400" s="48" t="n">
        <f aca="false">IF(A1400="","",IF(AND(Parameter!$B$21="Ja",ISNUMBER(W1400)),W1400,IF(BZ1400="2+3",IF(ISNUMBER(SEARCH("grosser Artikel",BR1400)),2,IFERROR(VLOOKUP(BU1400,Parameter!$F$35:$G$64,2,0),2)),IF(OR(BZ1400="Nein",BZ1400=""),"-",BZ1400))))</f>
        <v>3</v>
      </c>
      <c r="AA1400" s="55"/>
      <c r="AB1400" s="56"/>
      <c r="AC1400" s="50" t="n">
        <f aca="false">AT1400</f>
        <v>10</v>
      </c>
      <c r="AD1400" s="50" t="n">
        <f aca="false">MAX(AT1400,H1400)</f>
        <v>10</v>
      </c>
      <c r="AE1400" s="57"/>
      <c r="AF1400" s="50" t="n">
        <f aca="false">IF(LEFT(Cockpit!$C$5,1)="A",H1400,IF(CE1400=1,CF1400,IF(LEFT(Cockpit!$C$5,1)="B",AK1400,MAX(AK1400,H1400))))</f>
        <v>0</v>
      </c>
      <c r="AG1400" s="50" t="n">
        <f aca="false">IF(BW1400=1,0,ROUNDUP(AF1400/BV1400,0))</f>
        <v>0</v>
      </c>
      <c r="AH1400" s="52" t="n">
        <f aca="false">IF(CL1400&gt;0,CL1400*MAX(1,AF1400/X1400),IF(BW1400=1,IF(AF1400&lt;=0,0,CA1400*MAX(1,IF(H1400&gt;0,AF1400/H1400,1))),IF(R1400&gt;0,AG1400/R1400,0))/MAX(0.1,N(Parameter!$M$21)))</f>
        <v>0</v>
      </c>
      <c r="AI1400" s="50" t="n">
        <f aca="false">AH1400*BY1400</f>
        <v>0</v>
      </c>
      <c r="AJ1400" s="50" t="n">
        <f aca="false">AF1400*G1400</f>
        <v>0</v>
      </c>
      <c r="AK1400" s="50" t="n">
        <f aca="false">ROUNDUP(MAX(J1400/IF(CD1400&gt;0,CD1400,MAX(0.1,N(Cockpit!$C$6))),CG1400)/BV1400,0)*BV1400</f>
        <v>10</v>
      </c>
      <c r="AL1400" s="51" t="n">
        <f aca="false">IF(AI1400&gt;0,J1400/AI1400,-1)</f>
        <v>-1</v>
      </c>
      <c r="AM1400" s="51" t="str">
        <f aca="false">IF(AND(OR(CC1400="L1",CC1400="L23",CC1400="LIFT"),AI1400&gt;0),SUMIFS($AI$7:$AI$1843,$CC$7:$CC$1843,CC1400,$AL$7:$AL$1843,"&gt;"&amp;AL1400)+SUMIFS($AI$7:$AI$1843,$CC$7:$CC$1843,CC1400,$AL$7:$AL$1843,AL1400,$BT$7:$BT$1843,"&lt;="&amp;BT1400),"")</f>
        <v/>
      </c>
      <c r="AN1400" s="58" t="n">
        <f aca="false">IF(AM1400="",0,MAX(0,MIN(1,(IF(CC1400="L1",Parameter!$H$5,IF(CC1400="L23",Parameter!$H$6+Parameter!$H$7,Parameter!$H$5+Parameter!$H$6+Parameter!$H$7))-(AM1400-AI1400))/AI1400)))</f>
        <v>0</v>
      </c>
      <c r="AO1400" s="50" t="n">
        <f aca="false">IF(LEFT(Cockpit!$I$5,1)="A",H1400,IF(CE1400=1,CF1400,IF(LEFT(Cockpit!$I$5,1)="B",AT1400,MAX(AT1400,H1400))))</f>
        <v>10</v>
      </c>
      <c r="AP1400" s="50" t="n">
        <f aca="false">IF(BW1400=1,0,ROUNDUP(AO1400/BV1400,0))</f>
        <v>1</v>
      </c>
      <c r="AQ1400" s="52" t="n">
        <f aca="false">IF(CL1400&gt;0,CL1400*MAX(1,AO1400/X1400),IF(BW1400=1,IF(AO1400&lt;=0,0,CA1400*MAX(1,IF(H1400&gt;0,AO1400/H1400,1))),IF(R1400&gt;0,AP1400/R1400,0))/MAX(0.1,N(Parameter!$M$21)))</f>
        <v>0.0384615384615385</v>
      </c>
      <c r="AR1400" s="50" t="n">
        <f aca="false">AQ1400*BY1400</f>
        <v>9.42307692307692</v>
      </c>
      <c r="AS1400" s="50" t="n">
        <f aca="false">AO1400*G1400</f>
        <v>3748</v>
      </c>
      <c r="AT1400" s="50" t="n">
        <f aca="false">ROUNDUP(MAX(J1400/IF(CD1400&gt;0,CD1400,MAX(0.1,N(Cockpit!$I$6))),CG1400)/BV1400,0)*BV1400</f>
        <v>10</v>
      </c>
      <c r="AU1400" s="51" t="n">
        <f aca="false">IF(AR1400&gt;0,J1400/AR1400,-1)</f>
        <v>0</v>
      </c>
      <c r="AV1400" s="51" t="n">
        <f aca="false">IF(AND(OR(CC1400="L1",CC1400="L23",CC1400="LIFT"),AR1400&gt;0),SUMIFS($AR$7:$AR$1843,$CC$7:$CC$1843,CC1400,$AU$7:$AU$1843,"&gt;"&amp;AU1400)+SUMIFS($AR$7:$AR$1843,$CC$7:$CC$1843,CC1400,$AU$7:$AU$1843,AU1400,$BT$7:$BT$1843,"&lt;="&amp;BT1400),"")</f>
        <v>41908.8174603175</v>
      </c>
      <c r="AW1400" s="58" t="n">
        <f aca="false">IF(AV1400="",0,MAX(0,MIN(1,(IF(CC1400="L1",Parameter!$H$5,IF(CC1400="L23",Parameter!$H$6+Parameter!$H$7,Parameter!$H$5+Parameter!$H$6+Parameter!$H$7))-(AV1400-AR1400))/AR1400)))</f>
        <v>0</v>
      </c>
      <c r="AX1400" s="50" t="n">
        <f aca="false">IF(LEFT(Cockpit!$O$5,1)="A",H1400,IF(CE1400=1,CF1400,IF(LEFT(Cockpit!$O$5,1)="B",BC1400,MAX(BC1400,H1400))))</f>
        <v>10</v>
      </c>
      <c r="AY1400" s="50" t="n">
        <f aca="false">IF(BW1400=1,0,ROUNDUP(AX1400/BV1400,0))</f>
        <v>1</v>
      </c>
      <c r="AZ1400" s="52" t="n">
        <f aca="false">IF(CL1400&gt;0,CL1400*MAX(1,AX1400/X1400),IF(BW1400=1,IF(AX1400&lt;=0,0,CA1400*MAX(1,IF(H1400&gt;0,AX1400/H1400,1))),IF(R1400&gt;0,AY1400/R1400,0))/MAX(0.1,N(Parameter!$M$21)))</f>
        <v>0.0384615384615385</v>
      </c>
      <c r="BA1400" s="50" t="n">
        <f aca="false">AZ1400*BY1400</f>
        <v>9.42307692307692</v>
      </c>
      <c r="BB1400" s="50" t="n">
        <f aca="false">AX1400*G1400</f>
        <v>3748</v>
      </c>
      <c r="BC1400" s="50" t="n">
        <f aca="false">ROUNDUP(MAX(J1400/IF(CD1400&gt;0,CD1400,MAX(0.1,N(Cockpit!$O$6))),CG1400)/BV1400,0)*BV1400</f>
        <v>10</v>
      </c>
      <c r="BD1400" s="51" t="n">
        <f aca="false">IF(BA1400&gt;0,J1400/BA1400,-1)</f>
        <v>0</v>
      </c>
      <c r="BE1400" s="51" t="n">
        <f aca="false">IF(AND(OR(CC1400="L1",CC1400="L23",CC1400="LIFT"),BA1400&gt;0),SUMIFS($BA$7:$BA$1843,$CC$7:$CC$1843,CC1400,$BD$7:$BD$1843,"&gt;"&amp;BD1400)+SUMIFS($BA$7:$BA$1843,$CC$7:$CC$1843,CC1400,$BD$7:$BD$1843,BD1400,$BT$7:$BT$1843,"&lt;="&amp;BT1400),"")</f>
        <v>38583.8295021833</v>
      </c>
      <c r="BF1400" s="58" t="n">
        <f aca="false">IF(BE1400="",0,MAX(0,MIN(1,(IF(CC1400="L1",Parameter!$H$5,IF(CC1400="L23",Parameter!$H$6+Parameter!$H$7,Parameter!$H$5+Parameter!$H$6+Parameter!$H$7))-(BE1400-BA1400))/BA1400)))</f>
        <v>0</v>
      </c>
      <c r="BG1400" s="48" t="str">
        <f aca="false">IF(AI1400&lt;=0,"",IF(CC1400="Aussen","Aussenlager",IF(CC1400="-","Nicht im Lift",IF(AN1400&gt;=1,"Lift",IF(AN1400&lt;=0,"Aussenlager","teilweise")))))</f>
        <v/>
      </c>
      <c r="BH1400" s="48" t="str">
        <f aca="false">IF(AR1400&lt;=0,"",IF(CC1400="Aussen","Aussenlager",IF(CC1400="-","Nicht im Lift",IF(AW1400&gt;=1,"Lift",IF(AW1400&lt;=0,"Aussenlager","teilweise")))))</f>
        <v>Aussenlager</v>
      </c>
      <c r="BI1400" s="48" t="str">
        <f aca="false">IF(BA1400&lt;=0,"",IF(CC1400="Aussen","Aussenlager",IF(CC1400="-","Nicht im Lift",IF(BF1400&gt;=1,"Lift",IF(BF1400&lt;=0,"Aussenlager","teilweise")))))</f>
        <v>Aussenlager</v>
      </c>
      <c r="BJ1400" s="48" t="str">
        <f aca="false">IF(A1400="","",IF(BS1400=1,"Neu; ","")&amp;IF(AND(BS1400=0,BN1400&lt;0),"negativer Bestand (Export "&amp;BN1400&amp;"); ","")&amp;IF(J1400&lt;=0,"Kein Verbrauch; ","")&amp;IF(CL1400&gt;0,"Lift "&amp;W1400&amp;" lt. Liftbericht (Fach "&amp;X1400&amp;" Stk); ",IF(BX1400=1,"Gebinde geschätzt ("&amp;T1400&amp;"); ",IF(BW1400=1,"Lose – Tablare geschätzt; ","")))&amp;IF(H1400&gt;AT1400,"Überbestand "&amp;ROUND(H1400-AT1400,0)&amp;" Stk / CHF "&amp;ROUND((H1400-AT1400)*G1400,0)&amp;"; ","")&amp;IF(AND(CE1400=1,CF1400&lt;CG1400),"MAX &lt; MB+LG; ","")&amp;IF(AND(CK1400&gt;0,CJ1400*10&gt;CK1400),"zu hoch für Tablar; ","")&amp;IF(AND(BS1400=0,OR(CE1400=1,AA1400&lt;&gt;"",U1400&lt;&gt;"",V1400&lt;&gt;"",AB1400&lt;&gt;"")),"manuell übersteuert; ","")&amp;IF(AND(BW1400=0,R1400=0),"Gebinde unbekannt / Stellmass fehlt; ","")&amp;IF(AND(BW1400=0,N(V1400)&lt;=0,N(Q1400)&lt;=0),"Menge pro Gebinde fehlt (Ist = 1 Gebinde); ","")&amp;BR1400)</f>
        <v>negativer Bestand (Export -11); Kein Verbrauch; </v>
      </c>
      <c r="BK1400" s="48"/>
      <c r="BL1400" s="48"/>
      <c r="BM1400" s="55"/>
      <c r="BN1400" s="50" t="n">
        <v>-11</v>
      </c>
      <c r="BO1400" s="50" t="n">
        <v>11</v>
      </c>
      <c r="BP1400" s="49" t="n">
        <v>-4122.8</v>
      </c>
      <c r="BQ1400" s="50" t="n">
        <v>0</v>
      </c>
      <c r="BR1400" s="48"/>
      <c r="BS1400" s="53" t="n">
        <v>0</v>
      </c>
      <c r="BT1400" s="53" t="n">
        <v>1400</v>
      </c>
      <c r="BU1400" s="48" t="str">
        <f aca="false">IF(U1400&lt;&gt;"",UPPER(TRIM(U1400)),IF(BX1400=1,UPPER(VLOOKUP(T1400,Parameter!$I$27:$K$29,2,0)),IF(P1400="","LOSE",P1400)))</f>
        <v>S52</v>
      </c>
      <c r="BV1400" s="50" t="n">
        <f aca="false">IF(BU1400="LOSE",1,IF(N(V1400)&gt;0,V1400,IF(BX1400=1,MAX(1,N(VLOOKUP(T1400,Parameter!$I$27:$K$29,3,0)),H1400,N(N1400)),IF(N(Q1400)&gt;0,Q1400,MAX(1,H1400)))))</f>
        <v>10</v>
      </c>
      <c r="BW1400" s="53" t="n">
        <f aca="false">IF(BU1400="LOSE",1,0)</f>
        <v>0</v>
      </c>
      <c r="BX1400" s="53" t="n">
        <f aca="false">IF(AND(U1400="",OR(P1400="",P1400="LOSE"),T1400&lt;&gt;"",N(S1400)&lt;=0,ISNUMBER(MATCH(T1400,Parameter!$I$27:$I$29,0))),1,0)</f>
        <v>0</v>
      </c>
      <c r="BY1400" s="53" t="n">
        <f aca="false">IF(CL1400&gt;0,INDEX(Parameter!$H$5:$H$7,W1400)/INDEX(Parameter!$E$5:$E$7,W1400),IF(AND(BW1400=0,N(IFERROR(VLOOKUP(BU1400,'Gebinde-Kategorie'!$A$5:$N$45,14,0),0))&gt;0),VLOOKUP(BU1400,'Gebinde-Kategorie'!$A$5:$N$45,14,0)*10+Parameter!$M$23,Parameter!$M$24))</f>
        <v>245</v>
      </c>
      <c r="BZ1400" s="48" t="str">
        <f aca="false">IF(AND(Parameter!$B$19="Ja",E1400&lt;&gt;"",ISNUMBER(MATCH(E1400,Parameter!$I$35:$I$52,0))),VLOOKUP(E1400,Parameter!$I$35:$J$52,2,0),IFERROR(VLOOKUP(D1400,Parameter!$A$35:$C$64,2,0),"Nein"))</f>
        <v>2+3</v>
      </c>
      <c r="CA1400" s="52" t="n">
        <f aca="false">IF(BW1400=0,0,IF(N(S1400)&gt;0,S1400,IFERROR(VLOOKUP(D1400,Parameter!$A$35:$C$64,3,0)+0,0)))</f>
        <v>0</v>
      </c>
      <c r="CB1400" s="48" t="n">
        <f aca="false">IF(AA1400&lt;&gt;"",AA1400,Z1400)</f>
        <v>3</v>
      </c>
      <c r="CC1400" s="48" t="str">
        <f aca="false">IF(OR(CB1400=1,CB1400=2,CB1400=3),IF(Parameter!$E$27="Ja","LIFT",IF(CB1400=1,"L1","L23")),IF(CB1400="Aussen","Aussen","-"))</f>
        <v>LIFT</v>
      </c>
      <c r="CD1400" s="59" t="n">
        <f aca="false">IF(N(AB1400)&gt;0,AB1400,0)</f>
        <v>0</v>
      </c>
      <c r="CE1400" s="53" t="n">
        <f aca="false">IF(ISNUMBER(AE1400),1,0)</f>
        <v>0</v>
      </c>
      <c r="CF1400" s="50" t="n">
        <f aca="false">N(AE1400)</f>
        <v>0</v>
      </c>
      <c r="CG1400" s="50" t="n">
        <f aca="false">N(M1400)+N(N1400)</f>
        <v>1</v>
      </c>
      <c r="CH1400" s="50" t="n">
        <f aca="false">ROUNDUP(H1400/BV1400,0)</f>
        <v>0</v>
      </c>
      <c r="CI1400" s="50" t="n">
        <f aca="false">ROUNDUP(CF1400/BV1400,0)</f>
        <v>0</v>
      </c>
      <c r="CJ1400" s="53" t="n">
        <f aca="false">IF(BW1400=1,0,IFERROR(VLOOKUP(BU1400,'Gebinde-Kategorie'!$A$5:$N$45,5,0)+0,0))</f>
        <v>21</v>
      </c>
      <c r="CK1400" s="53" t="n">
        <f aca="false">IFERROR(IF(OR(CB1400=1,CB1400=2,CB1400=3),N(INDEX(Parameter!$I$5:$I$7,CB1400)),0),0)</f>
        <v>0</v>
      </c>
      <c r="CL1400" s="52" t="n">
        <f aca="false">IF(AND(Parameter!$B$21="Ja",ISNUMBER(W1400),N(X1400)&gt;0),IFERROR(N(INDEX(Parameter!$L$5:$L$7,W1400))*INDEX(Parameter!$E$5:$E$7,W1400)*X1400/SUMIFS($X$7:$X$1843,$W$7:$W$1843,W1400),0),0)</f>
        <v>0</v>
      </c>
    </row>
    <row r="1401" customFormat="false" ht="15" hidden="false" customHeight="false" outlineLevel="0" collapsed="false">
      <c r="A1401" s="48" t="s">
        <v>2466</v>
      </c>
      <c r="B1401" s="48" t="s">
        <v>435</v>
      </c>
      <c r="C1401" s="48" t="s">
        <v>168</v>
      </c>
      <c r="D1401" s="48" t="s">
        <v>188</v>
      </c>
      <c r="E1401" s="48" t="s">
        <v>189</v>
      </c>
      <c r="F1401" s="48" t="s">
        <v>222</v>
      </c>
      <c r="G1401" s="49" t="n">
        <v>208.55</v>
      </c>
      <c r="H1401" s="50" t="n">
        <f aca="false">MAX(0,IF(AND(Parameter!$B$21="Ja",ISNUMBER(Y1401)),Y1401,IF(Parameter!$B$20="Jahresanfang 2025 + Export",BO1401+BN1401,BN1401)))</f>
        <v>47</v>
      </c>
      <c r="I1401" s="50" t="n">
        <f aca="false">H1401*G1401</f>
        <v>9801.85</v>
      </c>
      <c r="J1401" s="50" t="n">
        <f aca="false">BQ1401*Parameter!$B$18</f>
        <v>164</v>
      </c>
      <c r="K1401" s="51" t="n">
        <v>49</v>
      </c>
      <c r="L1401" s="52" t="n">
        <v>3.3469387755102</v>
      </c>
      <c r="M1401" s="50" t="n">
        <v>10</v>
      </c>
      <c r="N1401" s="50" t="n">
        <v>40</v>
      </c>
      <c r="O1401" s="53" t="n">
        <v>21</v>
      </c>
      <c r="P1401" s="48" t="s">
        <v>230</v>
      </c>
      <c r="Q1401" s="50" t="n">
        <v>55</v>
      </c>
      <c r="R1401" s="53" t="n">
        <f aca="false">IF(BW1401=1,0,IFERROR(VLOOKUP(BU1401,'Gebinde-Kategorie'!$A$5:$N$45,13,0)+0,0))</f>
        <v>12</v>
      </c>
      <c r="S1401" s="54"/>
      <c r="T1401" s="55"/>
      <c r="U1401" s="55"/>
      <c r="V1401" s="55"/>
      <c r="W1401" s="48"/>
      <c r="X1401" s="50"/>
      <c r="Y1401" s="50"/>
      <c r="Z1401" s="48" t="n">
        <f aca="false">IF(A1401="","",IF(AND(Parameter!$B$21="Ja",ISNUMBER(W1401)),W1401,IF(BZ1401="2+3",IF(ISNUMBER(SEARCH("grosser Artikel",BR1401)),2,IFERROR(VLOOKUP(BU1401,Parameter!$F$35:$G$64,2,0),2)),IF(OR(BZ1401="Nein",BZ1401=""),"-",BZ1401))))</f>
        <v>2</v>
      </c>
      <c r="AA1401" s="55"/>
      <c r="AB1401" s="56"/>
      <c r="AC1401" s="50" t="n">
        <f aca="false">AT1401</f>
        <v>110</v>
      </c>
      <c r="AD1401" s="50" t="n">
        <f aca="false">MAX(AT1401,H1401)</f>
        <v>110</v>
      </c>
      <c r="AE1401" s="57"/>
      <c r="AF1401" s="50" t="n">
        <f aca="false">IF(LEFT(Cockpit!$C$5,1)="A",H1401,IF(CE1401=1,CF1401,IF(LEFT(Cockpit!$C$5,1)="B",AK1401,MAX(AK1401,H1401))))</f>
        <v>47</v>
      </c>
      <c r="AG1401" s="50" t="n">
        <f aca="false">IF(BW1401=1,0,ROUNDUP(AF1401/BV1401,0))</f>
        <v>1</v>
      </c>
      <c r="AH1401" s="52" t="n">
        <f aca="false">IF(CL1401&gt;0,CL1401*MAX(1,AF1401/X1401),IF(BW1401=1,IF(AF1401&lt;=0,0,CA1401*MAX(1,IF(H1401&gt;0,AF1401/H1401,1))),IF(R1401&gt;0,AG1401/R1401,0))/MAX(0.1,N(Parameter!$M$21)))</f>
        <v>0.0833333333333333</v>
      </c>
      <c r="AI1401" s="50" t="n">
        <f aca="false">AH1401*BY1401</f>
        <v>28.75</v>
      </c>
      <c r="AJ1401" s="50" t="n">
        <f aca="false">AF1401*G1401</f>
        <v>9801.85</v>
      </c>
      <c r="AK1401" s="50" t="n">
        <f aca="false">ROUNDUP(MAX(J1401/IF(CD1401&gt;0,CD1401,MAX(0.1,N(Cockpit!$C$6))),CG1401)/BV1401,0)*BV1401</f>
        <v>110</v>
      </c>
      <c r="AL1401" s="51" t="n">
        <f aca="false">IF(AI1401&gt;0,J1401/AI1401,-1)</f>
        <v>5.70434782608696</v>
      </c>
      <c r="AM1401" s="51" t="n">
        <f aca="false">IF(AND(OR(CC1401="L1",CC1401="L23",CC1401="LIFT"),AI1401&gt;0),SUMIFS($AI$7:$AI$1843,$CC$7:$CC$1843,CC1401,$AL$7:$AL$1843,"&gt;"&amp;AL1401)+SUMIFS($AI$7:$AI$1843,$CC$7:$CC$1843,CC1401,$AL$7:$AL$1843,AL1401,$BT$7:$BT$1843,"&lt;="&amp;BT1401),"")</f>
        <v>3593.39148351648</v>
      </c>
      <c r="AN1401" s="58" t="n">
        <f aca="false">IF(AM1401="",0,MAX(0,MIN(1,(IF(CC1401="L1",Parameter!$H$5,IF(CC1401="L23",Parameter!$H$6+Parameter!$H$7,Parameter!$H$5+Parameter!$H$6+Parameter!$H$7))-(AM1401-AI1401))/AI1401)))</f>
        <v>1</v>
      </c>
      <c r="AO1401" s="50" t="n">
        <f aca="false">IF(LEFT(Cockpit!$I$5,1)="A",H1401,IF(CE1401=1,CF1401,IF(LEFT(Cockpit!$I$5,1)="B",AT1401,MAX(AT1401,H1401))))</f>
        <v>110</v>
      </c>
      <c r="AP1401" s="50" t="n">
        <f aca="false">IF(BW1401=1,0,ROUNDUP(AO1401/BV1401,0))</f>
        <v>2</v>
      </c>
      <c r="AQ1401" s="52" t="n">
        <f aca="false">IF(CL1401&gt;0,CL1401*MAX(1,AO1401/X1401),IF(BW1401=1,IF(AO1401&lt;=0,0,CA1401*MAX(1,IF(H1401&gt;0,AO1401/H1401,1))),IF(R1401&gt;0,AP1401/R1401,0))/MAX(0.1,N(Parameter!$M$21)))</f>
        <v>0.166666666666667</v>
      </c>
      <c r="AR1401" s="50" t="n">
        <f aca="false">AQ1401*BY1401</f>
        <v>57.5</v>
      </c>
      <c r="AS1401" s="50" t="n">
        <f aca="false">AO1401*G1401</f>
        <v>22940.5</v>
      </c>
      <c r="AT1401" s="50" t="n">
        <f aca="false">ROUNDUP(MAX(J1401/IF(CD1401&gt;0,CD1401,MAX(0.1,N(Cockpit!$I$6))),CG1401)/BV1401,0)*BV1401</f>
        <v>110</v>
      </c>
      <c r="AU1401" s="51" t="n">
        <f aca="false">IF(AR1401&gt;0,J1401/AR1401,-1)</f>
        <v>2.85217391304348</v>
      </c>
      <c r="AV1401" s="51" t="n">
        <f aca="false">IF(AND(OR(CC1401="L1",CC1401="L23",CC1401="LIFT"),AR1401&gt;0),SUMIFS($AR$7:$AR$1843,$CC$7:$CC$1843,CC1401,$AU$7:$AU$1843,"&gt;"&amp;AU1401)+SUMIFS($AR$7:$AR$1843,$CC$7:$CC$1843,CC1401,$AU$7:$AU$1843,AU1401,$BT$7:$BT$1843,"&lt;="&amp;BT1401),"")</f>
        <v>6453.6456043956</v>
      </c>
      <c r="AW1401" s="58" t="n">
        <f aca="false">IF(AV1401="",0,MAX(0,MIN(1,(IF(CC1401="L1",Parameter!$H$5,IF(CC1401="L23",Parameter!$H$6+Parameter!$H$7,Parameter!$H$5+Parameter!$H$6+Parameter!$H$7))-(AV1401-AR1401))/AR1401)))</f>
        <v>1</v>
      </c>
      <c r="AX1401" s="50" t="n">
        <f aca="false">IF(LEFT(Cockpit!$O$5,1)="A",H1401,IF(CE1401=1,CF1401,IF(LEFT(Cockpit!$O$5,1)="B",BC1401,MAX(BC1401,H1401))))</f>
        <v>55</v>
      </c>
      <c r="AY1401" s="50" t="n">
        <f aca="false">IF(BW1401=1,0,ROUNDUP(AX1401/BV1401,0))</f>
        <v>1</v>
      </c>
      <c r="AZ1401" s="52" t="n">
        <f aca="false">IF(CL1401&gt;0,CL1401*MAX(1,AX1401/X1401),IF(BW1401=1,IF(AX1401&lt;=0,0,CA1401*MAX(1,IF(H1401&gt;0,AX1401/H1401,1))),IF(R1401&gt;0,AY1401/R1401,0))/MAX(0.1,N(Parameter!$M$21)))</f>
        <v>0.0833333333333333</v>
      </c>
      <c r="BA1401" s="50" t="n">
        <f aca="false">AZ1401*BY1401</f>
        <v>28.75</v>
      </c>
      <c r="BB1401" s="50" t="n">
        <f aca="false">AX1401*G1401</f>
        <v>11470.25</v>
      </c>
      <c r="BC1401" s="50" t="n">
        <f aca="false">ROUNDUP(MAX(J1401/IF(CD1401&gt;0,CD1401,MAX(0.1,N(Cockpit!$O$6))),CG1401)/BV1401,0)*BV1401</f>
        <v>55</v>
      </c>
      <c r="BD1401" s="51" t="n">
        <f aca="false">IF(BA1401&gt;0,J1401/BA1401,-1)</f>
        <v>5.70434782608696</v>
      </c>
      <c r="BE1401" s="51" t="n">
        <f aca="false">IF(AND(OR(CC1401="L1",CC1401="L23",CC1401="LIFT"),BA1401&gt;0),SUMIFS($BA$7:$BA$1843,$CC$7:$CC$1843,CC1401,$BD$7:$BD$1843,"&gt;"&amp;BD1401)+SUMIFS($BA$7:$BA$1843,$CC$7:$CC$1843,CC1401,$BD$7:$BD$1843,BD1401,$BT$7:$BT$1843,"&lt;="&amp;BT1401),"")</f>
        <v>4484.00091575092</v>
      </c>
      <c r="BF1401" s="58" t="n">
        <f aca="false">IF(BE1401="",0,MAX(0,MIN(1,(IF(CC1401="L1",Parameter!$H$5,IF(CC1401="L23",Parameter!$H$6+Parameter!$H$7,Parameter!$H$5+Parameter!$H$6+Parameter!$H$7))-(BE1401-BA1401))/BA1401)))</f>
        <v>1</v>
      </c>
      <c r="BG1401" s="48" t="str">
        <f aca="false">IF(AI1401&lt;=0,"",IF(CC1401="Aussen","Aussenlager",IF(CC1401="-","Nicht im Lift",IF(AN1401&gt;=1,"Lift",IF(AN1401&lt;=0,"Aussenlager","teilweise")))))</f>
        <v>Lift</v>
      </c>
      <c r="BH1401" s="48" t="str">
        <f aca="false">IF(AR1401&lt;=0,"",IF(CC1401="Aussen","Aussenlager",IF(CC1401="-","Nicht im Lift",IF(AW1401&gt;=1,"Lift",IF(AW1401&lt;=0,"Aussenlager","teilweise")))))</f>
        <v>Lift</v>
      </c>
      <c r="BI1401" s="48" t="str">
        <f aca="false">IF(BA1401&lt;=0,"",IF(CC1401="Aussen","Aussenlager",IF(CC1401="-","Nicht im Lift",IF(BF1401&gt;=1,"Lift",IF(BF1401&lt;=0,"Aussenlager","teilweise")))))</f>
        <v>Lift</v>
      </c>
      <c r="BJ1401" s="48" t="str">
        <f aca="false">IF(A1401="","",IF(BS1401=1,"Neu; ","")&amp;IF(AND(BS1401=0,BN1401&lt;0),"negativer Bestand (Export "&amp;BN1401&amp;"); ","")&amp;IF(J1401&lt;=0,"Kein Verbrauch; ","")&amp;IF(CL1401&gt;0,"Lift "&amp;W1401&amp;" lt. Liftbericht (Fach "&amp;X1401&amp;" Stk); ",IF(BX1401=1,"Gebinde geschätzt ("&amp;T1401&amp;"); ",IF(BW1401=1,"Lose – Tablare geschätzt; ","")))&amp;IF(H1401&gt;AT1401,"Überbestand "&amp;ROUND(H1401-AT1401,0)&amp;" Stk / CHF "&amp;ROUND((H1401-AT1401)*G1401,0)&amp;"; ","")&amp;IF(AND(CE1401=1,CF1401&lt;CG1401),"MAX &lt; MB+LG; ","")&amp;IF(AND(CK1401&gt;0,CJ1401*10&gt;CK1401),"zu hoch für Tablar; ","")&amp;IF(AND(BS1401=0,OR(CE1401=1,AA1401&lt;&gt;"",U1401&lt;&gt;"",V1401&lt;&gt;"",AB1401&lt;&gt;"")),"manuell übersteuert; ","")&amp;IF(AND(BW1401=0,R1401=0),"Gebinde unbekannt / Stellmass fehlt; ","")&amp;IF(AND(BW1401=0,N(V1401)&lt;=0,N(Q1401)&lt;=0),"Menge pro Gebinde fehlt (Ist = 1 Gebinde); ","")&amp;BR1401)</f>
        <v>negativer Bestand (Export -14); </v>
      </c>
      <c r="BK1401" s="48"/>
      <c r="BL1401" s="48"/>
      <c r="BM1401" s="55"/>
      <c r="BN1401" s="50" t="n">
        <v>-14</v>
      </c>
      <c r="BO1401" s="50" t="n">
        <v>61</v>
      </c>
      <c r="BP1401" s="49" t="n">
        <v>-4139.70000000001</v>
      </c>
      <c r="BQ1401" s="50" t="n">
        <v>164</v>
      </c>
      <c r="BR1401" s="48"/>
      <c r="BS1401" s="53" t="n">
        <v>0</v>
      </c>
      <c r="BT1401" s="53" t="n">
        <v>1401</v>
      </c>
      <c r="BU1401" s="48" t="str">
        <f aca="false">IF(U1401&lt;&gt;"",UPPER(TRIM(U1401)),IF(BX1401=1,UPPER(VLOOKUP(T1401,Parameter!$I$27:$K$29,2,0)),IF(P1401="","LOSE",P1401)))</f>
        <v>S63</v>
      </c>
      <c r="BV1401" s="50" t="n">
        <f aca="false">IF(BU1401="LOSE",1,IF(N(V1401)&gt;0,V1401,IF(BX1401=1,MAX(1,N(VLOOKUP(T1401,Parameter!$I$27:$K$29,3,0)),H1401,N(N1401)),IF(N(Q1401)&gt;0,Q1401,MAX(1,H1401)))))</f>
        <v>55</v>
      </c>
      <c r="BW1401" s="53" t="n">
        <f aca="false">IF(BU1401="LOSE",1,0)</f>
        <v>0</v>
      </c>
      <c r="BX1401" s="53" t="n">
        <f aca="false">IF(AND(U1401="",OR(P1401="",P1401="LOSE"),T1401&lt;&gt;"",N(S1401)&lt;=0,ISNUMBER(MATCH(T1401,Parameter!$I$27:$I$29,0))),1,0)</f>
        <v>0</v>
      </c>
      <c r="BY1401" s="53" t="n">
        <f aca="false">IF(CL1401&gt;0,INDEX(Parameter!$H$5:$H$7,W1401)/INDEX(Parameter!$E$5:$E$7,W1401),IF(AND(BW1401=0,N(IFERROR(VLOOKUP(BU1401,'Gebinde-Kategorie'!$A$5:$N$45,14,0),0))&gt;0),VLOOKUP(BU1401,'Gebinde-Kategorie'!$A$5:$N$45,14,0)*10+Parameter!$M$23,Parameter!$M$24))</f>
        <v>345</v>
      </c>
      <c r="BZ1401" s="48" t="str">
        <f aca="false">IF(AND(Parameter!$B$19="Ja",E1401&lt;&gt;"",ISNUMBER(MATCH(E1401,Parameter!$I$35:$I$52,0))),VLOOKUP(E1401,Parameter!$I$35:$J$52,2,0),IFERROR(VLOOKUP(D1401,Parameter!$A$35:$C$64,2,0),"Nein"))</f>
        <v>2+3</v>
      </c>
      <c r="CA1401" s="52" t="n">
        <f aca="false">IF(BW1401=0,0,IF(N(S1401)&gt;0,S1401,IFERROR(VLOOKUP(D1401,Parameter!$A$35:$C$64,3,0)+0,0)))</f>
        <v>0</v>
      </c>
      <c r="CB1401" s="48" t="n">
        <f aca="false">IF(AA1401&lt;&gt;"",AA1401,Z1401)</f>
        <v>2</v>
      </c>
      <c r="CC1401" s="48" t="str">
        <f aca="false">IF(OR(CB1401=1,CB1401=2,CB1401=3),IF(Parameter!$E$27="Ja","LIFT",IF(CB1401=1,"L1","L23")),IF(CB1401="Aussen","Aussen","-"))</f>
        <v>LIFT</v>
      </c>
      <c r="CD1401" s="59" t="n">
        <f aca="false">IF(N(AB1401)&gt;0,AB1401,0)</f>
        <v>0</v>
      </c>
      <c r="CE1401" s="53" t="n">
        <f aca="false">IF(ISNUMBER(AE1401),1,0)</f>
        <v>0</v>
      </c>
      <c r="CF1401" s="50" t="n">
        <f aca="false">N(AE1401)</f>
        <v>0</v>
      </c>
      <c r="CG1401" s="50" t="n">
        <f aca="false">N(M1401)+N(N1401)</f>
        <v>50</v>
      </c>
      <c r="CH1401" s="50" t="n">
        <f aca="false">ROUNDUP(H1401/BV1401,0)</f>
        <v>1</v>
      </c>
      <c r="CI1401" s="50" t="n">
        <f aca="false">ROUNDUP(CF1401/BV1401,0)</f>
        <v>0</v>
      </c>
      <c r="CJ1401" s="53" t="n">
        <f aca="false">IF(BW1401=1,0,IFERROR(VLOOKUP(BU1401,'Gebinde-Kategorie'!$A$5:$N$45,5,0)+0,0))</f>
        <v>31</v>
      </c>
      <c r="CK1401" s="53" t="n">
        <f aca="false">IFERROR(IF(OR(CB1401=1,CB1401=2,CB1401=3),N(INDEX(Parameter!$I$5:$I$7,CB1401)),0),0)</f>
        <v>0</v>
      </c>
      <c r="CL1401" s="52" t="n">
        <f aca="false">IF(AND(Parameter!$B$21="Ja",ISNUMBER(W1401),N(X1401)&gt;0),IFERROR(N(INDEX(Parameter!$L$5:$L$7,W1401))*INDEX(Parameter!$E$5:$E$7,W1401)*X1401/SUMIFS($X$7:$X$1843,$W$7:$W$1843,W1401),0),0)</f>
        <v>0</v>
      </c>
    </row>
    <row r="1402" customFormat="false" ht="15" hidden="false" customHeight="false" outlineLevel="0" collapsed="false">
      <c r="A1402" s="48" t="s">
        <v>2467</v>
      </c>
      <c r="B1402" s="48" t="s">
        <v>2468</v>
      </c>
      <c r="C1402" s="48" t="s">
        <v>168</v>
      </c>
      <c r="D1402" s="48" t="s">
        <v>188</v>
      </c>
      <c r="E1402" s="48" t="s">
        <v>189</v>
      </c>
      <c r="F1402" s="48" t="s">
        <v>222</v>
      </c>
      <c r="G1402" s="49" t="n">
        <v>94.26</v>
      </c>
      <c r="H1402" s="50" t="n">
        <f aca="false">MAX(0,IF(AND(Parameter!$B$21="Ja",ISNUMBER(Y1402)),Y1402,IF(Parameter!$B$20="Jahresanfang 2025 + Export",BO1402+BN1402,BN1402)))</f>
        <v>11</v>
      </c>
      <c r="I1402" s="50" t="n">
        <f aca="false">H1402*G1402</f>
        <v>1036.86</v>
      </c>
      <c r="J1402" s="50" t="n">
        <f aca="false">BQ1402*Parameter!$B$18</f>
        <v>2</v>
      </c>
      <c r="K1402" s="51" t="n">
        <v>53.5</v>
      </c>
      <c r="L1402" s="52" t="n">
        <v>0.0373831775700935</v>
      </c>
      <c r="M1402" s="50" t="n">
        <v>0</v>
      </c>
      <c r="N1402" s="50" t="n">
        <v>1</v>
      </c>
      <c r="O1402" s="53" t="n">
        <v>28</v>
      </c>
      <c r="P1402" s="48" t="s">
        <v>190</v>
      </c>
      <c r="Q1402" s="50" t="n">
        <v>35</v>
      </c>
      <c r="R1402" s="53" t="n">
        <f aca="false">IF(BW1402=1,0,IFERROR(VLOOKUP(BU1402,'Gebinde-Kategorie'!$A$5:$N$45,13,0)+0,0))</f>
        <v>12</v>
      </c>
      <c r="S1402" s="54"/>
      <c r="T1402" s="55"/>
      <c r="U1402" s="55"/>
      <c r="V1402" s="55"/>
      <c r="W1402" s="48"/>
      <c r="X1402" s="50"/>
      <c r="Y1402" s="50"/>
      <c r="Z1402" s="48" t="n">
        <f aca="false">IF(A1402="","",IF(AND(Parameter!$B$21="Ja",ISNUMBER(W1402)),W1402,IF(BZ1402="2+3",IF(ISNUMBER(SEARCH("grosser Artikel",BR1402)),2,IFERROR(VLOOKUP(BU1402,Parameter!$F$35:$G$64,2,0),2)),IF(OR(BZ1402="Nein",BZ1402=""),"-",BZ1402))))</f>
        <v>2</v>
      </c>
      <c r="AA1402" s="55"/>
      <c r="AB1402" s="56"/>
      <c r="AC1402" s="50" t="n">
        <f aca="false">AT1402</f>
        <v>35</v>
      </c>
      <c r="AD1402" s="50" t="n">
        <f aca="false">MAX(AT1402,H1402)</f>
        <v>35</v>
      </c>
      <c r="AE1402" s="57"/>
      <c r="AF1402" s="50" t="n">
        <f aca="false">IF(LEFT(Cockpit!$C$5,1)="A",H1402,IF(CE1402=1,CF1402,IF(LEFT(Cockpit!$C$5,1)="B",AK1402,MAX(AK1402,H1402))))</f>
        <v>11</v>
      </c>
      <c r="AG1402" s="50" t="n">
        <f aca="false">IF(BW1402=1,0,ROUNDUP(AF1402/BV1402,0))</f>
        <v>1</v>
      </c>
      <c r="AH1402" s="52" t="n">
        <f aca="false">IF(CL1402&gt;0,CL1402*MAX(1,AF1402/X1402),IF(BW1402=1,IF(AF1402&lt;=0,0,CA1402*MAX(1,IF(H1402&gt;0,AF1402/H1402,1))),IF(R1402&gt;0,AG1402/R1402,0))/MAX(0.1,N(Parameter!$M$21)))</f>
        <v>0.0833333333333333</v>
      </c>
      <c r="AI1402" s="50" t="n">
        <f aca="false">AH1402*BY1402</f>
        <v>12.0833333333333</v>
      </c>
      <c r="AJ1402" s="50" t="n">
        <f aca="false">AF1402*G1402</f>
        <v>1036.86</v>
      </c>
      <c r="AK1402" s="50" t="n">
        <f aca="false">ROUNDUP(MAX(J1402/IF(CD1402&gt;0,CD1402,MAX(0.1,N(Cockpit!$C$6))),CG1402)/BV1402,0)*BV1402</f>
        <v>35</v>
      </c>
      <c r="AL1402" s="51" t="n">
        <f aca="false">IF(AI1402&gt;0,J1402/AI1402,-1)</f>
        <v>0.16551724137931</v>
      </c>
      <c r="AM1402" s="51" t="n">
        <f aca="false">IF(AND(OR(CC1402="L1",CC1402="L23",CC1402="LIFT"),AI1402&gt;0),SUMIFS($AI$7:$AI$1843,$CC$7:$CC$1843,CC1402,$AL$7:$AL$1843,"&gt;"&amp;AL1402)+SUMIFS($AI$7:$AI$1843,$CC$7:$CC$1843,CC1402,$AL$7:$AL$1843,AL1402,$BT$7:$BT$1843,"&lt;="&amp;BT1402),"")</f>
        <v>12865.8234644358</v>
      </c>
      <c r="AN1402" s="58" t="n">
        <f aca="false">IF(AM1402="",0,MAX(0,MIN(1,(IF(CC1402="L1",Parameter!$H$5,IF(CC1402="L23",Parameter!$H$6+Parameter!$H$7,Parameter!$H$5+Parameter!$H$6+Parameter!$H$7))-(AM1402-AI1402))/AI1402)))</f>
        <v>1</v>
      </c>
      <c r="AO1402" s="50" t="n">
        <f aca="false">IF(LEFT(Cockpit!$I$5,1)="A",H1402,IF(CE1402=1,CF1402,IF(LEFT(Cockpit!$I$5,1)="B",AT1402,MAX(AT1402,H1402))))</f>
        <v>35</v>
      </c>
      <c r="AP1402" s="50" t="n">
        <f aca="false">IF(BW1402=1,0,ROUNDUP(AO1402/BV1402,0))</f>
        <v>1</v>
      </c>
      <c r="AQ1402" s="52" t="n">
        <f aca="false">IF(CL1402&gt;0,CL1402*MAX(1,AO1402/X1402),IF(BW1402=1,IF(AO1402&lt;=0,0,CA1402*MAX(1,IF(H1402&gt;0,AO1402/H1402,1))),IF(R1402&gt;0,AP1402/R1402,0))/MAX(0.1,N(Parameter!$M$21)))</f>
        <v>0.0833333333333333</v>
      </c>
      <c r="AR1402" s="50" t="n">
        <f aca="false">AQ1402*BY1402</f>
        <v>12.0833333333333</v>
      </c>
      <c r="AS1402" s="50" t="n">
        <f aca="false">AO1402*G1402</f>
        <v>3299.1</v>
      </c>
      <c r="AT1402" s="50" t="n">
        <f aca="false">ROUNDUP(MAX(J1402/IF(CD1402&gt;0,CD1402,MAX(0.1,N(Cockpit!$I$6))),CG1402)/BV1402,0)*BV1402</f>
        <v>35</v>
      </c>
      <c r="AU1402" s="51" t="n">
        <f aca="false">IF(AR1402&gt;0,J1402/AR1402,-1)</f>
        <v>0.16551724137931</v>
      </c>
      <c r="AV1402" s="51" t="n">
        <f aca="false">IF(AND(OR(CC1402="L1",CC1402="L23",CC1402="LIFT"),AR1402&gt;0),SUMIFS($AR$7:$AR$1843,$CC$7:$CC$1843,CC1402,$AU$7:$AU$1843,"&gt;"&amp;AU1402)+SUMIFS($AR$7:$AR$1843,$CC$7:$CC$1843,CC1402,$AU$7:$AU$1843,AU1402,$BT$7:$BT$1843,"&lt;="&amp;BT1402),"")</f>
        <v>19471.0645604396</v>
      </c>
      <c r="AW1402" s="58" t="n">
        <f aca="false">IF(AV1402="",0,MAX(0,MIN(1,(IF(CC1402="L1",Parameter!$H$5,IF(CC1402="L23",Parameter!$H$6+Parameter!$H$7,Parameter!$H$5+Parameter!$H$6+Parameter!$H$7))-(AV1402-AR1402))/AR1402)))</f>
        <v>1</v>
      </c>
      <c r="AX1402" s="50" t="n">
        <f aca="false">IF(LEFT(Cockpit!$O$5,1)="A",H1402,IF(CE1402=1,CF1402,IF(LEFT(Cockpit!$O$5,1)="B",BC1402,MAX(BC1402,H1402))))</f>
        <v>35</v>
      </c>
      <c r="AY1402" s="50" t="n">
        <f aca="false">IF(BW1402=1,0,ROUNDUP(AX1402/BV1402,0))</f>
        <v>1</v>
      </c>
      <c r="AZ1402" s="52" t="n">
        <f aca="false">IF(CL1402&gt;0,CL1402*MAX(1,AX1402/X1402),IF(BW1402=1,IF(AX1402&lt;=0,0,CA1402*MAX(1,IF(H1402&gt;0,AX1402/H1402,1))),IF(R1402&gt;0,AY1402/R1402,0))/MAX(0.1,N(Parameter!$M$21)))</f>
        <v>0.0833333333333333</v>
      </c>
      <c r="BA1402" s="50" t="n">
        <f aca="false">AZ1402*BY1402</f>
        <v>12.0833333333333</v>
      </c>
      <c r="BB1402" s="50" t="n">
        <f aca="false">AX1402*G1402</f>
        <v>3299.1</v>
      </c>
      <c r="BC1402" s="50" t="n">
        <f aca="false">ROUNDUP(MAX(J1402/IF(CD1402&gt;0,CD1402,MAX(0.1,N(Cockpit!$O$6))),CG1402)/BV1402,0)*BV1402</f>
        <v>35</v>
      </c>
      <c r="BD1402" s="51" t="n">
        <f aca="false">IF(BA1402&gt;0,J1402/BA1402,-1)</f>
        <v>0.16551724137931</v>
      </c>
      <c r="BE1402" s="51" t="n">
        <f aca="false">IF(AND(OR(CC1402="L1",CC1402="L23",CC1402="LIFT"),BA1402&gt;0),SUMIFS($BA$7:$BA$1843,$CC$7:$CC$1843,CC1402,$BD$7:$BD$1843,"&gt;"&amp;BD1402)+SUMIFS($BA$7:$BA$1843,$CC$7:$CC$1843,CC1402,$BD$7:$BD$1843,BD1402,$BT$7:$BT$1843,"&lt;="&amp;BT1402),"")</f>
        <v>17497.1382783883</v>
      </c>
      <c r="BF1402" s="58" t="n">
        <f aca="false">IF(BE1402="",0,MAX(0,MIN(1,(IF(CC1402="L1",Parameter!$H$5,IF(CC1402="L23",Parameter!$H$6+Parameter!$H$7,Parameter!$H$5+Parameter!$H$6+Parameter!$H$7))-(BE1402-BA1402))/BA1402)))</f>
        <v>1</v>
      </c>
      <c r="BG1402" s="48" t="str">
        <f aca="false">IF(AI1402&lt;=0,"",IF(CC1402="Aussen","Aussenlager",IF(CC1402="-","Nicht im Lift",IF(AN1402&gt;=1,"Lift",IF(AN1402&lt;=0,"Aussenlager","teilweise")))))</f>
        <v>Lift</v>
      </c>
      <c r="BH1402" s="48" t="str">
        <f aca="false">IF(AR1402&lt;=0,"",IF(CC1402="Aussen","Aussenlager",IF(CC1402="-","Nicht im Lift",IF(AW1402&gt;=1,"Lift",IF(AW1402&lt;=0,"Aussenlager","teilweise")))))</f>
        <v>Lift</v>
      </c>
      <c r="BI1402" s="48" t="str">
        <f aca="false">IF(BA1402&lt;=0,"",IF(CC1402="Aussen","Aussenlager",IF(CC1402="-","Nicht im Lift",IF(BF1402&gt;=1,"Lift",IF(BF1402&lt;=0,"Aussenlager","teilweise")))))</f>
        <v>Lift</v>
      </c>
      <c r="BJ1402" s="48" t="str">
        <f aca="false">IF(A1402="","",IF(BS1402=1,"Neu; ","")&amp;IF(AND(BS1402=0,BN1402&lt;0),"negativer Bestand (Export "&amp;BN1402&amp;"); ","")&amp;IF(J1402&lt;=0,"Kein Verbrauch; ","")&amp;IF(CL1402&gt;0,"Lift "&amp;W1402&amp;" lt. Liftbericht (Fach "&amp;X1402&amp;" Stk); ",IF(BX1402=1,"Gebinde geschätzt ("&amp;T1402&amp;"); ",IF(BW1402=1,"Lose – Tablare geschätzt; ","")))&amp;IF(H1402&gt;AT1402,"Überbestand "&amp;ROUND(H1402-AT1402,0)&amp;" Stk / CHF "&amp;ROUND((H1402-AT1402)*G1402,0)&amp;"; ","")&amp;IF(AND(CE1402=1,CF1402&lt;CG1402),"MAX &lt; MB+LG; ","")&amp;IF(AND(CK1402&gt;0,CJ1402*10&gt;CK1402),"zu hoch für Tablar; ","")&amp;IF(AND(BS1402=0,OR(CE1402=1,AA1402&lt;&gt;"",U1402&lt;&gt;"",V1402&lt;&gt;"",AB1402&lt;&gt;"")),"manuell übersteuert; ","")&amp;IF(AND(BW1402=0,R1402=0),"Gebinde unbekannt / Stellmass fehlt; ","")&amp;IF(AND(BW1402=0,N(V1402)&lt;=0,N(Q1402)&lt;=0),"Menge pro Gebinde fehlt (Ist = 1 Gebinde); ","")&amp;BR1402)</f>
        <v>negativer Bestand (Export -44); </v>
      </c>
      <c r="BK1402" s="48"/>
      <c r="BL1402" s="48"/>
      <c r="BM1402" s="55"/>
      <c r="BN1402" s="50" t="n">
        <v>-44</v>
      </c>
      <c r="BO1402" s="50" t="n">
        <v>55</v>
      </c>
      <c r="BP1402" s="49" t="n">
        <v>-4147.44</v>
      </c>
      <c r="BQ1402" s="50" t="n">
        <v>2</v>
      </c>
      <c r="BR1402" s="48"/>
      <c r="BS1402" s="53" t="n">
        <v>0</v>
      </c>
      <c r="BT1402" s="53" t="n">
        <v>1402</v>
      </c>
      <c r="BU1402" s="48" t="str">
        <f aca="false">IF(U1402&lt;&gt;"",UPPER(TRIM(U1402)),IF(BX1402=1,UPPER(VLOOKUP(T1402,Parameter!$I$27:$K$29,2,0)),IF(P1402="","LOSE",P1402)))</f>
        <v>S61</v>
      </c>
      <c r="BV1402" s="50" t="n">
        <f aca="false">IF(BU1402="LOSE",1,IF(N(V1402)&gt;0,V1402,IF(BX1402=1,MAX(1,N(VLOOKUP(T1402,Parameter!$I$27:$K$29,3,0)),H1402,N(N1402)),IF(N(Q1402)&gt;0,Q1402,MAX(1,H1402)))))</f>
        <v>35</v>
      </c>
      <c r="BW1402" s="53" t="n">
        <f aca="false">IF(BU1402="LOSE",1,0)</f>
        <v>0</v>
      </c>
      <c r="BX1402" s="53" t="n">
        <f aca="false">IF(AND(U1402="",OR(P1402="",P1402="LOSE"),T1402&lt;&gt;"",N(S1402)&lt;=0,ISNUMBER(MATCH(T1402,Parameter!$I$27:$I$29,0))),1,0)</f>
        <v>0</v>
      </c>
      <c r="BY1402" s="53" t="n">
        <f aca="false">IF(CL1402&gt;0,INDEX(Parameter!$H$5:$H$7,W1402)/INDEX(Parameter!$E$5:$E$7,W1402),IF(AND(BW1402=0,N(IFERROR(VLOOKUP(BU1402,'Gebinde-Kategorie'!$A$5:$N$45,14,0),0))&gt;0),VLOOKUP(BU1402,'Gebinde-Kategorie'!$A$5:$N$45,14,0)*10+Parameter!$M$23,Parameter!$M$24))</f>
        <v>145</v>
      </c>
      <c r="BZ1402" s="48" t="str">
        <f aca="false">IF(AND(Parameter!$B$19="Ja",E1402&lt;&gt;"",ISNUMBER(MATCH(E1402,Parameter!$I$35:$I$52,0))),VLOOKUP(E1402,Parameter!$I$35:$J$52,2,0),IFERROR(VLOOKUP(D1402,Parameter!$A$35:$C$64,2,0),"Nein"))</f>
        <v>2+3</v>
      </c>
      <c r="CA1402" s="52" t="n">
        <f aca="false">IF(BW1402=0,0,IF(N(S1402)&gt;0,S1402,IFERROR(VLOOKUP(D1402,Parameter!$A$35:$C$64,3,0)+0,0)))</f>
        <v>0</v>
      </c>
      <c r="CB1402" s="48" t="n">
        <f aca="false">IF(AA1402&lt;&gt;"",AA1402,Z1402)</f>
        <v>2</v>
      </c>
      <c r="CC1402" s="48" t="str">
        <f aca="false">IF(OR(CB1402=1,CB1402=2,CB1402=3),IF(Parameter!$E$27="Ja","LIFT",IF(CB1402=1,"L1","L23")),IF(CB1402="Aussen","Aussen","-"))</f>
        <v>LIFT</v>
      </c>
      <c r="CD1402" s="59" t="n">
        <f aca="false">IF(N(AB1402)&gt;0,AB1402,0)</f>
        <v>0</v>
      </c>
      <c r="CE1402" s="53" t="n">
        <f aca="false">IF(ISNUMBER(AE1402),1,0)</f>
        <v>0</v>
      </c>
      <c r="CF1402" s="50" t="n">
        <f aca="false">N(AE1402)</f>
        <v>0</v>
      </c>
      <c r="CG1402" s="50" t="n">
        <f aca="false">N(M1402)+N(N1402)</f>
        <v>1</v>
      </c>
      <c r="CH1402" s="50" t="n">
        <f aca="false">ROUNDUP(H1402/BV1402,0)</f>
        <v>1</v>
      </c>
      <c r="CI1402" s="50" t="n">
        <f aca="false">ROUNDUP(CF1402/BV1402,0)</f>
        <v>0</v>
      </c>
      <c r="CJ1402" s="53" t="n">
        <f aca="false">IF(BW1402=1,0,IFERROR(VLOOKUP(BU1402,'Gebinde-Kategorie'!$A$5:$N$45,5,0)+0,0))</f>
        <v>11</v>
      </c>
      <c r="CK1402" s="53" t="n">
        <f aca="false">IFERROR(IF(OR(CB1402=1,CB1402=2,CB1402=3),N(INDEX(Parameter!$I$5:$I$7,CB1402)),0),0)</f>
        <v>0</v>
      </c>
      <c r="CL1402" s="52" t="n">
        <f aca="false">IF(AND(Parameter!$B$21="Ja",ISNUMBER(W1402),N(X1402)&gt;0),IFERROR(N(INDEX(Parameter!$L$5:$L$7,W1402))*INDEX(Parameter!$E$5:$E$7,W1402)*X1402/SUMIFS($X$7:$X$1843,$W$7:$W$1843,W1402),0),0)</f>
        <v>0</v>
      </c>
    </row>
    <row r="1403" customFormat="false" ht="15" hidden="false" customHeight="false" outlineLevel="0" collapsed="false">
      <c r="A1403" s="48" t="s">
        <v>2469</v>
      </c>
      <c r="B1403" s="48" t="s">
        <v>409</v>
      </c>
      <c r="C1403" s="48" t="s">
        <v>168</v>
      </c>
      <c r="D1403" s="48" t="s">
        <v>188</v>
      </c>
      <c r="E1403" s="48"/>
      <c r="F1403" s="48" t="s">
        <v>222</v>
      </c>
      <c r="G1403" s="49" t="n">
        <v>3.25</v>
      </c>
      <c r="H1403" s="50" t="n">
        <f aca="false">MAX(0,IF(AND(Parameter!$B$21="Ja",ISNUMBER(Y1403)),Y1403,IF(Parameter!$B$20="Jahresanfang 2025 + Export",BO1403+BN1403,BN1403)))</f>
        <v>151</v>
      </c>
      <c r="I1403" s="50" t="n">
        <f aca="false">H1403*G1403</f>
        <v>490.75</v>
      </c>
      <c r="J1403" s="50" t="n">
        <f aca="false">BQ1403*Parameter!$B$18</f>
        <v>966</v>
      </c>
      <c r="K1403" s="51" t="n">
        <v>1023.5</v>
      </c>
      <c r="L1403" s="52" t="n">
        <v>0.943820224719101</v>
      </c>
      <c r="M1403" s="50" t="n">
        <v>60</v>
      </c>
      <c r="N1403" s="50" t="n">
        <v>1500</v>
      </c>
      <c r="O1403" s="53" t="n">
        <v>56</v>
      </c>
      <c r="P1403" s="48" t="s">
        <v>172</v>
      </c>
      <c r="Q1403" s="50"/>
      <c r="R1403" s="53" t="n">
        <f aca="false">IF(BW1403=1,0,IFERROR(VLOOKUP(BU1403,'Gebinde-Kategorie'!$A$5:$N$45,13,0)+0,0))</f>
        <v>26</v>
      </c>
      <c r="S1403" s="54"/>
      <c r="T1403" s="55" t="s">
        <v>279</v>
      </c>
      <c r="U1403" s="55"/>
      <c r="V1403" s="55"/>
      <c r="W1403" s="48"/>
      <c r="X1403" s="50"/>
      <c r="Y1403" s="50"/>
      <c r="Z1403" s="48" t="n">
        <f aca="false">IF(A1403="","",IF(AND(Parameter!$B$21="Ja",ISNUMBER(W1403)),W1403,IF(BZ1403="2+3",IF(ISNUMBER(SEARCH("grosser Artikel",BR1403)),2,IFERROR(VLOOKUP(BU1403,Parameter!$F$35:$G$64,2,0),2)),IF(OR(BZ1403="Nein",BZ1403=""),"-",BZ1403))))</f>
        <v>3</v>
      </c>
      <c r="AA1403" s="55"/>
      <c r="AB1403" s="56"/>
      <c r="AC1403" s="50" t="n">
        <f aca="false">AT1403</f>
        <v>3000</v>
      </c>
      <c r="AD1403" s="50" t="n">
        <f aca="false">MAX(AT1403,H1403)</f>
        <v>3000</v>
      </c>
      <c r="AE1403" s="57"/>
      <c r="AF1403" s="50" t="n">
        <f aca="false">IF(LEFT(Cockpit!$C$5,1)="A",H1403,IF(CE1403=1,CF1403,IF(LEFT(Cockpit!$C$5,1)="B",AK1403,MAX(AK1403,H1403))))</f>
        <v>151</v>
      </c>
      <c r="AG1403" s="50" t="n">
        <f aca="false">IF(BW1403=1,0,ROUNDUP(AF1403/BV1403,0))</f>
        <v>1</v>
      </c>
      <c r="AH1403" s="52" t="n">
        <f aca="false">IF(CL1403&gt;0,CL1403*MAX(1,AF1403/X1403),IF(BW1403=1,IF(AF1403&lt;=0,0,CA1403*MAX(1,IF(H1403&gt;0,AF1403/H1403,1))),IF(R1403&gt;0,AG1403/R1403,0))/MAX(0.1,N(Parameter!$M$21)))</f>
        <v>0.0384615384615385</v>
      </c>
      <c r="AI1403" s="50" t="n">
        <f aca="false">AH1403*BY1403</f>
        <v>5.96153846153846</v>
      </c>
      <c r="AJ1403" s="50" t="n">
        <f aca="false">AF1403*G1403</f>
        <v>490.75</v>
      </c>
      <c r="AK1403" s="50" t="n">
        <f aca="false">ROUNDUP(MAX(J1403/IF(CD1403&gt;0,CD1403,MAX(0.1,N(Cockpit!$C$6))),CG1403)/BV1403,0)*BV1403</f>
        <v>3000</v>
      </c>
      <c r="AL1403" s="51" t="n">
        <f aca="false">IF(AI1403&gt;0,J1403/AI1403,-1)</f>
        <v>162.038709677419</v>
      </c>
      <c r="AM1403" s="51" t="n">
        <f aca="false">IF(AND(OR(CC1403="L1",CC1403="L23",CC1403="LIFT"),AI1403&gt;0),SUMIFS($AI$7:$AI$1843,$CC$7:$CC$1843,CC1403,$AL$7:$AL$1843,"&gt;"&amp;AL1403)+SUMIFS($AI$7:$AI$1843,$CC$7:$CC$1843,CC1403,$AL$7:$AL$1843,AL1403,$BT$7:$BT$1843,"&lt;="&amp;BT1403),"")</f>
        <v>420.30815018315</v>
      </c>
      <c r="AN1403" s="58" t="n">
        <f aca="false">IF(AM1403="",0,MAX(0,MIN(1,(IF(CC1403="L1",Parameter!$H$5,IF(CC1403="L23",Parameter!$H$6+Parameter!$H$7,Parameter!$H$5+Parameter!$H$6+Parameter!$H$7))-(AM1403-AI1403))/AI1403)))</f>
        <v>1</v>
      </c>
      <c r="AO1403" s="50" t="n">
        <f aca="false">IF(LEFT(Cockpit!$I$5,1)="A",H1403,IF(CE1403=1,CF1403,IF(LEFT(Cockpit!$I$5,1)="B",AT1403,MAX(AT1403,H1403))))</f>
        <v>3000</v>
      </c>
      <c r="AP1403" s="50" t="n">
        <f aca="false">IF(BW1403=1,0,ROUNDUP(AO1403/BV1403,0))</f>
        <v>2</v>
      </c>
      <c r="AQ1403" s="52" t="n">
        <f aca="false">IF(CL1403&gt;0,CL1403*MAX(1,AO1403/X1403),IF(BW1403=1,IF(AO1403&lt;=0,0,CA1403*MAX(1,IF(H1403&gt;0,AO1403/H1403,1))),IF(R1403&gt;0,AP1403/R1403,0))/MAX(0.1,N(Parameter!$M$21)))</f>
        <v>0.0769230769230769</v>
      </c>
      <c r="AR1403" s="50" t="n">
        <f aca="false">AQ1403*BY1403</f>
        <v>11.9230769230769</v>
      </c>
      <c r="AS1403" s="50" t="n">
        <f aca="false">AO1403*G1403</f>
        <v>9750</v>
      </c>
      <c r="AT1403" s="50" t="n">
        <f aca="false">ROUNDUP(MAX(J1403/IF(CD1403&gt;0,CD1403,MAX(0.1,N(Cockpit!$I$6))),CG1403)/BV1403,0)*BV1403</f>
        <v>3000</v>
      </c>
      <c r="AU1403" s="51" t="n">
        <f aca="false">IF(AR1403&gt;0,J1403/AR1403,-1)</f>
        <v>81.0193548387097</v>
      </c>
      <c r="AV1403" s="51" t="n">
        <f aca="false">IF(AND(OR(CC1403="L1",CC1403="L23",CC1403="LIFT"),AR1403&gt;0),SUMIFS($AR$7:$AR$1843,$CC$7:$CC$1843,CC1403,$AU$7:$AU$1843,"&gt;"&amp;AU1403)+SUMIFS($AR$7:$AR$1843,$CC$7:$CC$1843,CC1403,$AU$7:$AU$1843,AU1403,$BT$7:$BT$1843,"&lt;="&amp;BT1403),"")</f>
        <v>966.324633699634</v>
      </c>
      <c r="AW1403" s="58" t="n">
        <f aca="false">IF(AV1403="",0,MAX(0,MIN(1,(IF(CC1403="L1",Parameter!$H$5,IF(CC1403="L23",Parameter!$H$6+Parameter!$H$7,Parameter!$H$5+Parameter!$H$6+Parameter!$H$7))-(AV1403-AR1403))/AR1403)))</f>
        <v>1</v>
      </c>
      <c r="AX1403" s="50" t="n">
        <f aca="false">IF(LEFT(Cockpit!$O$5,1)="A",H1403,IF(CE1403=1,CF1403,IF(LEFT(Cockpit!$O$5,1)="B",BC1403,MAX(BC1403,H1403))))</f>
        <v>3000</v>
      </c>
      <c r="AY1403" s="50" t="n">
        <f aca="false">IF(BW1403=1,0,ROUNDUP(AX1403/BV1403,0))</f>
        <v>2</v>
      </c>
      <c r="AZ1403" s="52" t="n">
        <f aca="false">IF(CL1403&gt;0,CL1403*MAX(1,AX1403/X1403),IF(BW1403=1,IF(AX1403&lt;=0,0,CA1403*MAX(1,IF(H1403&gt;0,AX1403/H1403,1))),IF(R1403&gt;0,AY1403/R1403,0))/MAX(0.1,N(Parameter!$M$21)))</f>
        <v>0.0769230769230769</v>
      </c>
      <c r="BA1403" s="50" t="n">
        <f aca="false">AZ1403*BY1403</f>
        <v>11.9230769230769</v>
      </c>
      <c r="BB1403" s="50" t="n">
        <f aca="false">AX1403*G1403</f>
        <v>9750</v>
      </c>
      <c r="BC1403" s="50" t="n">
        <f aca="false">ROUNDUP(MAX(J1403/IF(CD1403&gt;0,CD1403,MAX(0.1,N(Cockpit!$O$6))),CG1403)/BV1403,0)*BV1403</f>
        <v>3000</v>
      </c>
      <c r="BD1403" s="51" t="n">
        <f aca="false">IF(BA1403&gt;0,J1403/BA1403,-1)</f>
        <v>81.0193548387097</v>
      </c>
      <c r="BE1403" s="51" t="n">
        <f aca="false">IF(AND(OR(CC1403="L1",CC1403="L23",CC1403="LIFT"),BA1403&gt;0),SUMIFS($BA$7:$BA$1843,$CC$7:$CC$1843,CC1403,$BD$7:$BD$1843,"&gt;"&amp;BD1403)+SUMIFS($BA$7:$BA$1843,$CC$7:$CC$1843,CC1403,$BD$7:$BD$1843,BD1403,$BT$7:$BT$1843,"&lt;="&amp;BT1403),"")</f>
        <v>1073.74450549451</v>
      </c>
      <c r="BF1403" s="58" t="n">
        <f aca="false">IF(BE1403="",0,MAX(0,MIN(1,(IF(CC1403="L1",Parameter!$H$5,IF(CC1403="L23",Parameter!$H$6+Parameter!$H$7,Parameter!$H$5+Parameter!$H$6+Parameter!$H$7))-(BE1403-BA1403))/BA1403)))</f>
        <v>1</v>
      </c>
      <c r="BG1403" s="48" t="str">
        <f aca="false">IF(AI1403&lt;=0,"",IF(CC1403="Aussen","Aussenlager",IF(CC1403="-","Nicht im Lift",IF(AN1403&gt;=1,"Lift",IF(AN1403&lt;=0,"Aussenlager","teilweise")))))</f>
        <v>Lift</v>
      </c>
      <c r="BH1403" s="48" t="str">
        <f aca="false">IF(AR1403&lt;=0,"",IF(CC1403="Aussen","Aussenlager",IF(CC1403="-","Nicht im Lift",IF(AW1403&gt;=1,"Lift",IF(AW1403&lt;=0,"Aussenlager","teilweise")))))</f>
        <v>Lift</v>
      </c>
      <c r="BI1403" s="48" t="str">
        <f aca="false">IF(BA1403&lt;=0,"",IF(CC1403="Aussen","Aussenlager",IF(CC1403="-","Nicht im Lift",IF(BF1403&gt;=1,"Lift",IF(BF1403&lt;=0,"Aussenlager","teilweise")))))</f>
        <v>Lift</v>
      </c>
      <c r="BJ1403" s="48" t="str">
        <f aca="false">IF(A1403="","",IF(BS1403=1,"Neu; ","")&amp;IF(AND(BS1403=0,BN1403&lt;0),"negativer Bestand (Export "&amp;BN1403&amp;"); ","")&amp;IF(J1403&lt;=0,"Kein Verbrauch; ","")&amp;IF(CL1403&gt;0,"Lift "&amp;W1403&amp;" lt. Liftbericht (Fach "&amp;X1403&amp;" Stk); ",IF(BX1403=1,"Gebinde geschätzt ("&amp;T1403&amp;"); ",IF(BW1403=1,"Lose – Tablare geschätzt; ","")))&amp;IF(H1403&gt;AT1403,"Überbestand "&amp;ROUND(H1403-AT1403,0)&amp;" Stk / CHF "&amp;ROUND((H1403-AT1403)*G1403,0)&amp;"; ","")&amp;IF(AND(CE1403=1,CF1403&lt;CG1403),"MAX &lt; MB+LG; ","")&amp;IF(AND(CK1403&gt;0,CJ1403*10&gt;CK1403),"zu hoch für Tablar; ","")&amp;IF(AND(BS1403=0,OR(CE1403=1,AA1403&lt;&gt;"",U1403&lt;&gt;"",V1403&lt;&gt;"",AB1403&lt;&gt;"")),"manuell übersteuert; ","")&amp;IF(AND(BW1403=0,R1403=0),"Gebinde unbekannt / Stellmass fehlt; ","")&amp;IF(AND(BW1403=0,N(V1403)&lt;=0,N(Q1403)&lt;=0),"Menge pro Gebinde fehlt (Ist = 1 Gebinde); ","")&amp;BR1403)</f>
        <v>negativer Bestand (Export -1346); Gebinde geschätzt (Klein); Menge pro Gebinde fehlt (Ist = 1 Gebinde); </v>
      </c>
      <c r="BK1403" s="48"/>
      <c r="BL1403" s="48"/>
      <c r="BM1403" s="55"/>
      <c r="BN1403" s="50" t="n">
        <v>-1346</v>
      </c>
      <c r="BO1403" s="50" t="n">
        <v>1497</v>
      </c>
      <c r="BP1403" s="49" t="n">
        <v>-4225.2</v>
      </c>
      <c r="BQ1403" s="50" t="n">
        <v>966</v>
      </c>
      <c r="BR1403" s="48"/>
      <c r="BS1403" s="53" t="n">
        <v>0</v>
      </c>
      <c r="BT1403" s="53" t="n">
        <v>1403</v>
      </c>
      <c r="BU1403" s="48" t="str">
        <f aca="false">IF(U1403&lt;&gt;"",UPPER(TRIM(U1403)),IF(BX1403=1,UPPER(VLOOKUP(T1403,Parameter!$I$27:$K$29,2,0)),IF(P1403="","LOSE",P1403)))</f>
        <v>S51</v>
      </c>
      <c r="BV1403" s="50" t="n">
        <f aca="false">IF(BU1403="LOSE",1,IF(N(V1403)&gt;0,V1403,IF(BX1403=1,MAX(1,N(VLOOKUP(T1403,Parameter!$I$27:$K$29,3,0)),H1403,N(N1403)),IF(N(Q1403)&gt;0,Q1403,MAX(1,H1403)))))</f>
        <v>1500</v>
      </c>
      <c r="BW1403" s="53" t="n">
        <f aca="false">IF(BU1403="LOSE",1,0)</f>
        <v>0</v>
      </c>
      <c r="BX1403" s="53" t="n">
        <f aca="false">IF(AND(U1403="",OR(P1403="",P1403="LOSE"),T1403&lt;&gt;"",N(S1403)&lt;=0,ISNUMBER(MATCH(T1403,Parameter!$I$27:$I$29,0))),1,0)</f>
        <v>1</v>
      </c>
      <c r="BY1403" s="53" t="n">
        <f aca="false">IF(CL1403&gt;0,INDEX(Parameter!$H$5:$H$7,W1403)/INDEX(Parameter!$E$5:$E$7,W1403),IF(AND(BW1403=0,N(IFERROR(VLOOKUP(BU1403,'Gebinde-Kategorie'!$A$5:$N$45,14,0),0))&gt;0),VLOOKUP(BU1403,'Gebinde-Kategorie'!$A$5:$N$45,14,0)*10+Parameter!$M$23,Parameter!$M$24))</f>
        <v>155</v>
      </c>
      <c r="BZ1403" s="48" t="str">
        <f aca="false">IF(AND(Parameter!$B$19="Ja",E1403&lt;&gt;"",ISNUMBER(MATCH(E1403,Parameter!$I$35:$I$52,0))),VLOOKUP(E1403,Parameter!$I$35:$J$52,2,0),IFERROR(VLOOKUP(D1403,Parameter!$A$35:$C$64,2,0),"Nein"))</f>
        <v>2+3</v>
      </c>
      <c r="CA1403" s="52" t="n">
        <f aca="false">IF(BW1403=0,0,IF(N(S1403)&gt;0,S1403,IFERROR(VLOOKUP(D1403,Parameter!$A$35:$C$64,3,0)+0,0)))</f>
        <v>0</v>
      </c>
      <c r="CB1403" s="48" t="n">
        <f aca="false">IF(AA1403&lt;&gt;"",AA1403,Z1403)</f>
        <v>3</v>
      </c>
      <c r="CC1403" s="48" t="str">
        <f aca="false">IF(OR(CB1403=1,CB1403=2,CB1403=3),IF(Parameter!$E$27="Ja","LIFT",IF(CB1403=1,"L1","L23")),IF(CB1403="Aussen","Aussen","-"))</f>
        <v>LIFT</v>
      </c>
      <c r="CD1403" s="59" t="n">
        <f aca="false">IF(N(AB1403)&gt;0,AB1403,0)</f>
        <v>0</v>
      </c>
      <c r="CE1403" s="53" t="n">
        <f aca="false">IF(ISNUMBER(AE1403),1,0)</f>
        <v>0</v>
      </c>
      <c r="CF1403" s="50" t="n">
        <f aca="false">N(AE1403)</f>
        <v>0</v>
      </c>
      <c r="CG1403" s="50" t="n">
        <f aca="false">N(M1403)+N(N1403)</f>
        <v>1560</v>
      </c>
      <c r="CH1403" s="50" t="n">
        <f aca="false">ROUNDUP(H1403/BV1403,0)</f>
        <v>1</v>
      </c>
      <c r="CI1403" s="50" t="n">
        <f aca="false">ROUNDUP(CF1403/BV1403,0)</f>
        <v>0</v>
      </c>
      <c r="CJ1403" s="53" t="n">
        <f aca="false">IF(BW1403=1,0,IFERROR(VLOOKUP(BU1403,'Gebinde-Kategorie'!$A$5:$N$45,5,0)+0,0))</f>
        <v>11</v>
      </c>
      <c r="CK1403" s="53" t="n">
        <f aca="false">IFERROR(IF(OR(CB1403=1,CB1403=2,CB1403=3),N(INDEX(Parameter!$I$5:$I$7,CB1403)),0),0)</f>
        <v>0</v>
      </c>
      <c r="CL1403" s="52" t="n">
        <f aca="false">IF(AND(Parameter!$B$21="Ja",ISNUMBER(W1403),N(X1403)&gt;0),IFERROR(N(INDEX(Parameter!$L$5:$L$7,W1403))*INDEX(Parameter!$E$5:$E$7,W1403)*X1403/SUMIFS($X$7:$X$1843,$W$7:$W$1843,W1403),0),0)</f>
        <v>0</v>
      </c>
    </row>
    <row r="1404" customFormat="false" ht="15" hidden="false" customHeight="false" outlineLevel="0" collapsed="false">
      <c r="A1404" s="48" t="s">
        <v>2470</v>
      </c>
      <c r="B1404" s="48" t="s">
        <v>818</v>
      </c>
      <c r="C1404" s="48" t="s">
        <v>168</v>
      </c>
      <c r="D1404" s="48" t="s">
        <v>188</v>
      </c>
      <c r="E1404" s="48" t="s">
        <v>189</v>
      </c>
      <c r="F1404" s="48" t="s">
        <v>222</v>
      </c>
      <c r="G1404" s="49" t="n">
        <v>120.36</v>
      </c>
      <c r="H1404" s="50" t="n">
        <f aca="false">MAX(0,IF(AND(Parameter!$B$21="Ja",ISNUMBER(Y1404)),Y1404,IF(Parameter!$B$20="Jahresanfang 2025 + Export",BO1404+BN1404,BN1404)))</f>
        <v>102</v>
      </c>
      <c r="I1404" s="50" t="n">
        <f aca="false">H1404*G1404</f>
        <v>12276.72</v>
      </c>
      <c r="J1404" s="50" t="n">
        <f aca="false">BQ1404*Parameter!$B$18</f>
        <v>21</v>
      </c>
      <c r="K1404" s="51" t="n">
        <v>127.5</v>
      </c>
      <c r="L1404" s="52" t="n">
        <v>0.164705882352941</v>
      </c>
      <c r="M1404" s="50" t="n">
        <v>7</v>
      </c>
      <c r="N1404" s="50" t="n">
        <v>20</v>
      </c>
      <c r="O1404" s="53" t="n">
        <v>126</v>
      </c>
      <c r="P1404" s="48" t="s">
        <v>332</v>
      </c>
      <c r="Q1404" s="50" t="n">
        <v>90</v>
      </c>
      <c r="R1404" s="53" t="n">
        <f aca="false">IF(BW1404=1,0,IFERROR(VLOOKUP(BU1404,'Gebinde-Kategorie'!$A$5:$N$45,13,0)+0,0))</f>
        <v>52</v>
      </c>
      <c r="S1404" s="54"/>
      <c r="T1404" s="55"/>
      <c r="U1404" s="55"/>
      <c r="V1404" s="55"/>
      <c r="W1404" s="48"/>
      <c r="X1404" s="50"/>
      <c r="Y1404" s="50"/>
      <c r="Z1404" s="48" t="n">
        <f aca="false">IF(A1404="","",IF(AND(Parameter!$B$21="Ja",ISNUMBER(W1404)),W1404,IF(BZ1404="2+3",IF(ISNUMBER(SEARCH("grosser Artikel",BR1404)),2,IFERROR(VLOOKUP(BU1404,Parameter!$F$35:$G$64,2,0),2)),IF(OR(BZ1404="Nein",BZ1404=""),"-",BZ1404))))</f>
        <v>3</v>
      </c>
      <c r="AA1404" s="55"/>
      <c r="AB1404" s="56"/>
      <c r="AC1404" s="50" t="n">
        <f aca="false">AT1404</f>
        <v>90</v>
      </c>
      <c r="AD1404" s="50" t="n">
        <f aca="false">MAX(AT1404,H1404)</f>
        <v>102</v>
      </c>
      <c r="AE1404" s="57"/>
      <c r="AF1404" s="50" t="n">
        <f aca="false">IF(LEFT(Cockpit!$C$5,1)="A",H1404,IF(CE1404=1,CF1404,IF(LEFT(Cockpit!$C$5,1)="B",AK1404,MAX(AK1404,H1404))))</f>
        <v>102</v>
      </c>
      <c r="AG1404" s="50" t="n">
        <f aca="false">IF(BW1404=1,0,ROUNDUP(AF1404/BV1404,0))</f>
        <v>2</v>
      </c>
      <c r="AH1404" s="52" t="n">
        <f aca="false">IF(CL1404&gt;0,CL1404*MAX(1,AF1404/X1404),IF(BW1404=1,IF(AF1404&lt;=0,0,CA1404*MAX(1,IF(H1404&gt;0,AF1404/H1404,1))),IF(R1404&gt;0,AG1404/R1404,0))/MAX(0.1,N(Parameter!$M$21)))</f>
        <v>0.0384615384615385</v>
      </c>
      <c r="AI1404" s="50" t="n">
        <f aca="false">AH1404*BY1404</f>
        <v>5.96153846153846</v>
      </c>
      <c r="AJ1404" s="50" t="n">
        <f aca="false">AF1404*G1404</f>
        <v>12276.72</v>
      </c>
      <c r="AK1404" s="50" t="n">
        <f aca="false">ROUNDUP(MAX(J1404/IF(CD1404&gt;0,CD1404,MAX(0.1,N(Cockpit!$C$6))),CG1404)/BV1404,0)*BV1404</f>
        <v>90</v>
      </c>
      <c r="AL1404" s="51" t="n">
        <f aca="false">IF(AI1404&gt;0,J1404/AI1404,-1)</f>
        <v>3.52258064516129</v>
      </c>
      <c r="AM1404" s="51" t="n">
        <f aca="false">IF(AND(OR(CC1404="L1",CC1404="L23",CC1404="LIFT"),AI1404&gt;0),SUMIFS($AI$7:$AI$1843,$CC$7:$CC$1843,CC1404,$AL$7:$AL$1843,"&gt;"&amp;AL1404)+SUMIFS($AI$7:$AI$1843,$CC$7:$CC$1843,CC1404,$AL$7:$AL$1843,AL1404,$BT$7:$BT$1843,"&lt;="&amp;BT1404),"")</f>
        <v>4900.44368131868</v>
      </c>
      <c r="AN1404" s="58" t="n">
        <f aca="false">IF(AM1404="",0,MAX(0,MIN(1,(IF(CC1404="L1",Parameter!$H$5,IF(CC1404="L23",Parameter!$H$6+Parameter!$H$7,Parameter!$H$5+Parameter!$H$6+Parameter!$H$7))-(AM1404-AI1404))/AI1404)))</f>
        <v>1</v>
      </c>
      <c r="AO1404" s="50" t="n">
        <f aca="false">IF(LEFT(Cockpit!$I$5,1)="A",H1404,IF(CE1404=1,CF1404,IF(LEFT(Cockpit!$I$5,1)="B",AT1404,MAX(AT1404,H1404))))</f>
        <v>102</v>
      </c>
      <c r="AP1404" s="50" t="n">
        <f aca="false">IF(BW1404=1,0,ROUNDUP(AO1404/BV1404,0))</f>
        <v>2</v>
      </c>
      <c r="AQ1404" s="52" t="n">
        <f aca="false">IF(CL1404&gt;0,CL1404*MAX(1,AO1404/X1404),IF(BW1404=1,IF(AO1404&lt;=0,0,CA1404*MAX(1,IF(H1404&gt;0,AO1404/H1404,1))),IF(R1404&gt;0,AP1404/R1404,0))/MAX(0.1,N(Parameter!$M$21)))</f>
        <v>0.0384615384615385</v>
      </c>
      <c r="AR1404" s="50" t="n">
        <f aca="false">AQ1404*BY1404</f>
        <v>5.96153846153846</v>
      </c>
      <c r="AS1404" s="50" t="n">
        <f aca="false">AO1404*G1404</f>
        <v>12276.72</v>
      </c>
      <c r="AT1404" s="50" t="n">
        <f aca="false">ROUNDUP(MAX(J1404/IF(CD1404&gt;0,CD1404,MAX(0.1,N(Cockpit!$I$6))),CG1404)/BV1404,0)*BV1404</f>
        <v>90</v>
      </c>
      <c r="AU1404" s="51" t="n">
        <f aca="false">IF(AR1404&gt;0,J1404/AR1404,-1)</f>
        <v>3.52258064516129</v>
      </c>
      <c r="AV1404" s="51" t="n">
        <f aca="false">IF(AND(OR(CC1404="L1",CC1404="L23",CC1404="LIFT"),AR1404&gt;0),SUMIFS($AR$7:$AR$1843,$CC$7:$CC$1843,CC1404,$AU$7:$AU$1843,"&gt;"&amp;AU1404)+SUMIFS($AR$7:$AR$1843,$CC$7:$CC$1843,CC1404,$AU$7:$AU$1843,AU1404,$BT$7:$BT$1843,"&lt;="&amp;BT1404),"")</f>
        <v>5999.22252747253</v>
      </c>
      <c r="AW1404" s="58" t="n">
        <f aca="false">IF(AV1404="",0,MAX(0,MIN(1,(IF(CC1404="L1",Parameter!$H$5,IF(CC1404="L23",Parameter!$H$6+Parameter!$H$7,Parameter!$H$5+Parameter!$H$6+Parameter!$H$7))-(AV1404-AR1404))/AR1404)))</f>
        <v>1</v>
      </c>
      <c r="AX1404" s="50" t="n">
        <f aca="false">IF(LEFT(Cockpit!$O$5,1)="A",H1404,IF(CE1404=1,CF1404,IF(LEFT(Cockpit!$O$5,1)="B",BC1404,MAX(BC1404,H1404))))</f>
        <v>102</v>
      </c>
      <c r="AY1404" s="50" t="n">
        <f aca="false">IF(BW1404=1,0,ROUNDUP(AX1404/BV1404,0))</f>
        <v>2</v>
      </c>
      <c r="AZ1404" s="52" t="n">
        <f aca="false">IF(CL1404&gt;0,CL1404*MAX(1,AX1404/X1404),IF(BW1404=1,IF(AX1404&lt;=0,0,CA1404*MAX(1,IF(H1404&gt;0,AX1404/H1404,1))),IF(R1404&gt;0,AY1404/R1404,0))/MAX(0.1,N(Parameter!$M$21)))</f>
        <v>0.0384615384615385</v>
      </c>
      <c r="BA1404" s="50" t="n">
        <f aca="false">AZ1404*BY1404</f>
        <v>5.96153846153846</v>
      </c>
      <c r="BB1404" s="50" t="n">
        <f aca="false">AX1404*G1404</f>
        <v>12276.72</v>
      </c>
      <c r="BC1404" s="50" t="n">
        <f aca="false">ROUNDUP(MAX(J1404/IF(CD1404&gt;0,CD1404,MAX(0.1,N(Cockpit!$O$6))),CG1404)/BV1404,0)*BV1404</f>
        <v>90</v>
      </c>
      <c r="BD1404" s="51" t="n">
        <f aca="false">IF(BA1404&gt;0,J1404/BA1404,-1)</f>
        <v>3.52258064516129</v>
      </c>
      <c r="BE1404" s="51" t="n">
        <f aca="false">IF(AND(OR(CC1404="L1",CC1404="L23",CC1404="LIFT"),BA1404&gt;0),SUMIFS($BA$7:$BA$1843,$CC$7:$CC$1843,CC1404,$BD$7:$BD$1843,"&gt;"&amp;BD1404)+SUMIFS($BA$7:$BA$1843,$CC$7:$CC$1843,CC1404,$BD$7:$BD$1843,BD1404,$BT$7:$BT$1843,"&lt;="&amp;BT1404),"")</f>
        <v>5900.80906593407</v>
      </c>
      <c r="BF1404" s="58" t="n">
        <f aca="false">IF(BE1404="",0,MAX(0,MIN(1,(IF(CC1404="L1",Parameter!$H$5,IF(CC1404="L23",Parameter!$H$6+Parameter!$H$7,Parameter!$H$5+Parameter!$H$6+Parameter!$H$7))-(BE1404-BA1404))/BA1404)))</f>
        <v>1</v>
      </c>
      <c r="BG1404" s="48" t="str">
        <f aca="false">IF(AI1404&lt;=0,"",IF(CC1404="Aussen","Aussenlager",IF(CC1404="-","Nicht im Lift",IF(AN1404&gt;=1,"Lift",IF(AN1404&lt;=0,"Aussenlager","teilweise")))))</f>
        <v>Lift</v>
      </c>
      <c r="BH1404" s="48" t="str">
        <f aca="false">IF(AR1404&lt;=0,"",IF(CC1404="Aussen","Aussenlager",IF(CC1404="-","Nicht im Lift",IF(AW1404&gt;=1,"Lift",IF(AW1404&lt;=0,"Aussenlager","teilweise")))))</f>
        <v>Lift</v>
      </c>
      <c r="BI1404" s="48" t="str">
        <f aca="false">IF(BA1404&lt;=0,"",IF(CC1404="Aussen","Aussenlager",IF(CC1404="-","Nicht im Lift",IF(BF1404&gt;=1,"Lift",IF(BF1404&lt;=0,"Aussenlager","teilweise")))))</f>
        <v>Lift</v>
      </c>
      <c r="BJ1404" s="48" t="str">
        <f aca="false">IF(A1404="","",IF(BS1404=1,"Neu; ","")&amp;IF(AND(BS1404=0,BN1404&lt;0),"negativer Bestand (Export "&amp;BN1404&amp;"); ","")&amp;IF(J1404&lt;=0,"Kein Verbrauch; ","")&amp;IF(CL1404&gt;0,"Lift "&amp;W1404&amp;" lt. Liftbericht (Fach "&amp;X1404&amp;" Stk); ",IF(BX1404=1,"Gebinde geschätzt ("&amp;T1404&amp;"); ",IF(BW1404=1,"Lose – Tablare geschätzt; ","")))&amp;IF(H1404&gt;AT1404,"Überbestand "&amp;ROUND(H1404-AT1404,0)&amp;" Stk / CHF "&amp;ROUND((H1404-AT1404)*G1404,0)&amp;"; ","")&amp;IF(AND(CE1404=1,CF1404&lt;CG1404),"MAX &lt; MB+LG; ","")&amp;IF(AND(CK1404&gt;0,CJ1404*10&gt;CK1404),"zu hoch für Tablar; ","")&amp;IF(AND(BS1404=0,OR(CE1404=1,AA1404&lt;&gt;"",U1404&lt;&gt;"",V1404&lt;&gt;"",AB1404&lt;&gt;"")),"manuell übersteuert; ","")&amp;IF(AND(BW1404=0,R1404=0),"Gebinde unbekannt / Stellmass fehlt; ","")&amp;IF(AND(BW1404=0,N(V1404)&lt;=0,N(Q1404)&lt;=0),"Menge pro Gebinde fehlt (Ist = 1 Gebinde); ","")&amp;BR1404)</f>
        <v>negativer Bestand (Export -36); Überbestand 12 Stk / CHF 1444; </v>
      </c>
      <c r="BK1404" s="48"/>
      <c r="BL1404" s="48"/>
      <c r="BM1404" s="55"/>
      <c r="BN1404" s="50" t="n">
        <v>-36</v>
      </c>
      <c r="BO1404" s="50" t="n">
        <v>138</v>
      </c>
      <c r="BP1404" s="49" t="n">
        <v>-4332.96</v>
      </c>
      <c r="BQ1404" s="50" t="n">
        <v>21</v>
      </c>
      <c r="BR1404" s="48"/>
      <c r="BS1404" s="53" t="n">
        <v>0</v>
      </c>
      <c r="BT1404" s="53" t="n">
        <v>1404</v>
      </c>
      <c r="BU1404" s="48" t="str">
        <f aca="false">IF(U1404&lt;&gt;"",UPPER(TRIM(U1404)),IF(BX1404=1,UPPER(VLOOKUP(T1404,Parameter!$I$27:$K$29,2,0)),IF(P1404="","LOSE",P1404)))</f>
        <v>S41</v>
      </c>
      <c r="BV1404" s="50" t="n">
        <f aca="false">IF(BU1404="LOSE",1,IF(N(V1404)&gt;0,V1404,IF(BX1404=1,MAX(1,N(VLOOKUP(T1404,Parameter!$I$27:$K$29,3,0)),H1404,N(N1404)),IF(N(Q1404)&gt;0,Q1404,MAX(1,H1404)))))</f>
        <v>90</v>
      </c>
      <c r="BW1404" s="53" t="n">
        <f aca="false">IF(BU1404="LOSE",1,0)</f>
        <v>0</v>
      </c>
      <c r="BX1404" s="53" t="n">
        <f aca="false">IF(AND(U1404="",OR(P1404="",P1404="LOSE"),T1404&lt;&gt;"",N(S1404)&lt;=0,ISNUMBER(MATCH(T1404,Parameter!$I$27:$I$29,0))),1,0)</f>
        <v>0</v>
      </c>
      <c r="BY1404" s="53" t="n">
        <f aca="false">IF(CL1404&gt;0,INDEX(Parameter!$H$5:$H$7,W1404)/INDEX(Parameter!$E$5:$E$7,W1404),IF(AND(BW1404=0,N(IFERROR(VLOOKUP(BU1404,'Gebinde-Kategorie'!$A$5:$N$45,14,0),0))&gt;0),VLOOKUP(BU1404,'Gebinde-Kategorie'!$A$5:$N$45,14,0)*10+Parameter!$M$23,Parameter!$M$24))</f>
        <v>155</v>
      </c>
      <c r="BZ1404" s="48" t="str">
        <f aca="false">IF(AND(Parameter!$B$19="Ja",E1404&lt;&gt;"",ISNUMBER(MATCH(E1404,Parameter!$I$35:$I$52,0))),VLOOKUP(E1404,Parameter!$I$35:$J$52,2,0),IFERROR(VLOOKUP(D1404,Parameter!$A$35:$C$64,2,0),"Nein"))</f>
        <v>2+3</v>
      </c>
      <c r="CA1404" s="52" t="n">
        <f aca="false">IF(BW1404=0,0,IF(N(S1404)&gt;0,S1404,IFERROR(VLOOKUP(D1404,Parameter!$A$35:$C$64,3,0)+0,0)))</f>
        <v>0</v>
      </c>
      <c r="CB1404" s="48" t="n">
        <f aca="false">IF(AA1404&lt;&gt;"",AA1404,Z1404)</f>
        <v>3</v>
      </c>
      <c r="CC1404" s="48" t="str">
        <f aca="false">IF(OR(CB1404=1,CB1404=2,CB1404=3),IF(Parameter!$E$27="Ja","LIFT",IF(CB1404=1,"L1","L23")),IF(CB1404="Aussen","Aussen","-"))</f>
        <v>LIFT</v>
      </c>
      <c r="CD1404" s="59" t="n">
        <f aca="false">IF(N(AB1404)&gt;0,AB1404,0)</f>
        <v>0</v>
      </c>
      <c r="CE1404" s="53" t="n">
        <f aca="false">IF(ISNUMBER(AE1404),1,0)</f>
        <v>0</v>
      </c>
      <c r="CF1404" s="50" t="n">
        <f aca="false">N(AE1404)</f>
        <v>0</v>
      </c>
      <c r="CG1404" s="50" t="n">
        <f aca="false">N(M1404)+N(N1404)</f>
        <v>27</v>
      </c>
      <c r="CH1404" s="50" t="n">
        <f aca="false">ROUNDUP(H1404/BV1404,0)</f>
        <v>2</v>
      </c>
      <c r="CI1404" s="50" t="n">
        <f aca="false">ROUNDUP(CF1404/BV1404,0)</f>
        <v>0</v>
      </c>
      <c r="CJ1404" s="53" t="n">
        <f aca="false">IF(BW1404=1,0,IFERROR(VLOOKUP(BU1404,'Gebinde-Kategorie'!$A$5:$N$45,5,0)+0,0))</f>
        <v>11</v>
      </c>
      <c r="CK1404" s="53" t="n">
        <f aca="false">IFERROR(IF(OR(CB1404=1,CB1404=2,CB1404=3),N(INDEX(Parameter!$I$5:$I$7,CB1404)),0),0)</f>
        <v>0</v>
      </c>
      <c r="CL1404" s="52" t="n">
        <f aca="false">IF(AND(Parameter!$B$21="Ja",ISNUMBER(W1404),N(X1404)&gt;0),IFERROR(N(INDEX(Parameter!$L$5:$L$7,W1404))*INDEX(Parameter!$E$5:$E$7,W1404)*X1404/SUMIFS($X$7:$X$1843,$W$7:$W$1843,W1404),0),0)</f>
        <v>0</v>
      </c>
    </row>
    <row r="1405" customFormat="false" ht="15" hidden="false" customHeight="false" outlineLevel="0" collapsed="false">
      <c r="A1405" s="48" t="s">
        <v>2471</v>
      </c>
      <c r="B1405" s="48" t="s">
        <v>2472</v>
      </c>
      <c r="C1405" s="48" t="s">
        <v>168</v>
      </c>
      <c r="D1405" s="48" t="s">
        <v>188</v>
      </c>
      <c r="E1405" s="48" t="s">
        <v>189</v>
      </c>
      <c r="F1405" s="48" t="s">
        <v>222</v>
      </c>
      <c r="G1405" s="49" t="n">
        <v>32.26</v>
      </c>
      <c r="H1405" s="50" t="n">
        <f aca="false">MAX(0,IF(AND(Parameter!$B$21="Ja",ISNUMBER(Y1405)),Y1405,IF(Parameter!$B$20="Jahresanfang 2025 + Export",BO1405+BN1405,BN1405)))</f>
        <v>109</v>
      </c>
      <c r="I1405" s="50" t="n">
        <f aca="false">H1405*G1405</f>
        <v>3516.34</v>
      </c>
      <c r="J1405" s="50" t="n">
        <f aca="false">BQ1405*Parameter!$B$18</f>
        <v>893</v>
      </c>
      <c r="K1405" s="51" t="n">
        <v>193.5</v>
      </c>
      <c r="L1405" s="52" t="n">
        <v>4.61498708010336</v>
      </c>
      <c r="M1405" s="50" t="n">
        <v>52</v>
      </c>
      <c r="N1405" s="50" t="n">
        <v>300</v>
      </c>
      <c r="O1405" s="53" t="n">
        <v>21</v>
      </c>
      <c r="P1405" s="48" t="s">
        <v>237</v>
      </c>
      <c r="Q1405" s="50" t="n">
        <v>301</v>
      </c>
      <c r="R1405" s="53" t="n">
        <f aca="false">IF(BW1405=1,0,IFERROR(VLOOKUP(BU1405,'Gebinde-Kategorie'!$A$5:$N$45,13,0)+0,0))</f>
        <v>26</v>
      </c>
      <c r="S1405" s="54"/>
      <c r="T1405" s="55"/>
      <c r="U1405" s="55"/>
      <c r="V1405" s="55"/>
      <c r="W1405" s="48"/>
      <c r="X1405" s="50"/>
      <c r="Y1405" s="50"/>
      <c r="Z1405" s="48" t="n">
        <f aca="false">IF(A1405="","",IF(AND(Parameter!$B$21="Ja",ISNUMBER(W1405)),W1405,IF(BZ1405="2+3",IF(ISNUMBER(SEARCH("grosser Artikel",BR1405)),2,IFERROR(VLOOKUP(BU1405,Parameter!$F$35:$G$64,2,0),2)),IF(OR(BZ1405="Nein",BZ1405=""),"-",BZ1405))))</f>
        <v>3</v>
      </c>
      <c r="AA1405" s="55"/>
      <c r="AB1405" s="56"/>
      <c r="AC1405" s="50" t="n">
        <f aca="false">AT1405</f>
        <v>602</v>
      </c>
      <c r="AD1405" s="50" t="n">
        <f aca="false">MAX(AT1405,H1405)</f>
        <v>602</v>
      </c>
      <c r="AE1405" s="57"/>
      <c r="AF1405" s="50" t="n">
        <f aca="false">IF(LEFT(Cockpit!$C$5,1)="A",H1405,IF(CE1405=1,CF1405,IF(LEFT(Cockpit!$C$5,1)="B",AK1405,MAX(AK1405,H1405))))</f>
        <v>109</v>
      </c>
      <c r="AG1405" s="50" t="n">
        <f aca="false">IF(BW1405=1,0,ROUNDUP(AF1405/BV1405,0))</f>
        <v>1</v>
      </c>
      <c r="AH1405" s="52" t="n">
        <f aca="false">IF(CL1405&gt;0,CL1405*MAX(1,AF1405/X1405),IF(BW1405=1,IF(AF1405&lt;=0,0,CA1405*MAX(1,IF(H1405&gt;0,AF1405/H1405,1))),IF(R1405&gt;0,AG1405/R1405,0))/MAX(0.1,N(Parameter!$M$21)))</f>
        <v>0.0384615384615385</v>
      </c>
      <c r="AI1405" s="50" t="n">
        <f aca="false">AH1405*BY1405</f>
        <v>9.42307692307692</v>
      </c>
      <c r="AJ1405" s="50" t="n">
        <f aca="false">AF1405*G1405</f>
        <v>3516.34</v>
      </c>
      <c r="AK1405" s="50" t="n">
        <f aca="false">ROUNDUP(MAX(J1405/IF(CD1405&gt;0,CD1405,MAX(0.1,N(Cockpit!$C$6))),CG1405)/BV1405,0)*BV1405</f>
        <v>602</v>
      </c>
      <c r="AL1405" s="51" t="n">
        <f aca="false">IF(AI1405&gt;0,J1405/AI1405,-1)</f>
        <v>94.7673469387755</v>
      </c>
      <c r="AM1405" s="51" t="n">
        <f aca="false">IF(AND(OR(CC1405="L1",CC1405="L23",CC1405="LIFT"),AI1405&gt;0),SUMIFS($AI$7:$AI$1843,$CC$7:$CC$1843,CC1405,$AL$7:$AL$1843,"&gt;"&amp;AL1405)+SUMIFS($AI$7:$AI$1843,$CC$7:$CC$1843,CC1405,$AL$7:$AL$1843,AL1405,$BT$7:$BT$1843,"&lt;="&amp;BT1405),"")</f>
        <v>817.502747252747</v>
      </c>
      <c r="AN1405" s="58" t="n">
        <f aca="false">IF(AM1405="",0,MAX(0,MIN(1,(IF(CC1405="L1",Parameter!$H$5,IF(CC1405="L23",Parameter!$H$6+Parameter!$H$7,Parameter!$H$5+Parameter!$H$6+Parameter!$H$7))-(AM1405-AI1405))/AI1405)))</f>
        <v>1</v>
      </c>
      <c r="AO1405" s="50" t="n">
        <f aca="false">IF(LEFT(Cockpit!$I$5,1)="A",H1405,IF(CE1405=1,CF1405,IF(LEFT(Cockpit!$I$5,1)="B",AT1405,MAX(AT1405,H1405))))</f>
        <v>602</v>
      </c>
      <c r="AP1405" s="50" t="n">
        <f aca="false">IF(BW1405=1,0,ROUNDUP(AO1405/BV1405,0))</f>
        <v>2</v>
      </c>
      <c r="AQ1405" s="52" t="n">
        <f aca="false">IF(CL1405&gt;0,CL1405*MAX(1,AO1405/X1405),IF(BW1405=1,IF(AO1405&lt;=0,0,CA1405*MAX(1,IF(H1405&gt;0,AO1405/H1405,1))),IF(R1405&gt;0,AP1405/R1405,0))/MAX(0.1,N(Parameter!$M$21)))</f>
        <v>0.0769230769230769</v>
      </c>
      <c r="AR1405" s="50" t="n">
        <f aca="false">AQ1405*BY1405</f>
        <v>18.8461538461538</v>
      </c>
      <c r="AS1405" s="50" t="n">
        <f aca="false">AO1405*G1405</f>
        <v>19420.52</v>
      </c>
      <c r="AT1405" s="50" t="n">
        <f aca="false">ROUNDUP(MAX(J1405/IF(CD1405&gt;0,CD1405,MAX(0.1,N(Cockpit!$I$6))),CG1405)/BV1405,0)*BV1405</f>
        <v>602</v>
      </c>
      <c r="AU1405" s="51" t="n">
        <f aca="false">IF(AR1405&gt;0,J1405/AR1405,-1)</f>
        <v>47.3836734693878</v>
      </c>
      <c r="AV1405" s="51" t="n">
        <f aca="false">IF(AND(OR(CC1405="L1",CC1405="L23",CC1405="LIFT"),AR1405&gt;0),SUMIFS($AR$7:$AR$1843,$CC$7:$CC$1843,CC1405,$AU$7:$AU$1843,"&gt;"&amp;AU1405)+SUMIFS($AR$7:$AR$1843,$CC$7:$CC$1843,CC1405,$AU$7:$AU$1843,AU1405,$BT$7:$BT$1843,"&lt;="&amp;BT1405),"")</f>
        <v>1629.09157509158</v>
      </c>
      <c r="AW1405" s="58" t="n">
        <f aca="false">IF(AV1405="",0,MAX(0,MIN(1,(IF(CC1405="L1",Parameter!$H$5,IF(CC1405="L23",Parameter!$H$6+Parameter!$H$7,Parameter!$H$5+Parameter!$H$6+Parameter!$H$7))-(AV1405-AR1405))/AR1405)))</f>
        <v>1</v>
      </c>
      <c r="AX1405" s="50" t="n">
        <f aca="false">IF(LEFT(Cockpit!$O$5,1)="A",H1405,IF(CE1405=1,CF1405,IF(LEFT(Cockpit!$O$5,1)="B",BC1405,MAX(BC1405,H1405))))</f>
        <v>602</v>
      </c>
      <c r="AY1405" s="50" t="n">
        <f aca="false">IF(BW1405=1,0,ROUNDUP(AX1405/BV1405,0))</f>
        <v>2</v>
      </c>
      <c r="AZ1405" s="52" t="n">
        <f aca="false">IF(CL1405&gt;0,CL1405*MAX(1,AX1405/X1405),IF(BW1405=1,IF(AX1405&lt;=0,0,CA1405*MAX(1,IF(H1405&gt;0,AX1405/H1405,1))),IF(R1405&gt;0,AY1405/R1405,0))/MAX(0.1,N(Parameter!$M$21)))</f>
        <v>0.0769230769230769</v>
      </c>
      <c r="BA1405" s="50" t="n">
        <f aca="false">AZ1405*BY1405</f>
        <v>18.8461538461538</v>
      </c>
      <c r="BB1405" s="50" t="n">
        <f aca="false">AX1405*G1405</f>
        <v>19420.52</v>
      </c>
      <c r="BC1405" s="50" t="n">
        <f aca="false">ROUNDUP(MAX(J1405/IF(CD1405&gt;0,CD1405,MAX(0.1,N(Cockpit!$O$6))),CG1405)/BV1405,0)*BV1405</f>
        <v>602</v>
      </c>
      <c r="BD1405" s="51" t="n">
        <f aca="false">IF(BA1405&gt;0,J1405/BA1405,-1)</f>
        <v>47.3836734693878</v>
      </c>
      <c r="BE1405" s="51" t="n">
        <f aca="false">IF(AND(OR(CC1405="L1",CC1405="L23",CC1405="LIFT"),BA1405&gt;0),SUMIFS($BA$7:$BA$1843,$CC$7:$CC$1843,CC1405,$BD$7:$BD$1843,"&gt;"&amp;BD1405)+SUMIFS($BA$7:$BA$1843,$CC$7:$CC$1843,CC1405,$BD$7:$BD$1843,BD1405,$BT$7:$BT$1843,"&lt;="&amp;BT1405),"")</f>
        <v>1494.01144688645</v>
      </c>
      <c r="BF1405" s="58" t="n">
        <f aca="false">IF(BE1405="",0,MAX(0,MIN(1,(IF(CC1405="L1",Parameter!$H$5,IF(CC1405="L23",Parameter!$H$6+Parameter!$H$7,Parameter!$H$5+Parameter!$H$6+Parameter!$H$7))-(BE1405-BA1405))/BA1405)))</f>
        <v>1</v>
      </c>
      <c r="BG1405" s="48" t="str">
        <f aca="false">IF(AI1405&lt;=0,"",IF(CC1405="Aussen","Aussenlager",IF(CC1405="-","Nicht im Lift",IF(AN1405&gt;=1,"Lift",IF(AN1405&lt;=0,"Aussenlager","teilweise")))))</f>
        <v>Lift</v>
      </c>
      <c r="BH1405" s="48" t="str">
        <f aca="false">IF(AR1405&lt;=0,"",IF(CC1405="Aussen","Aussenlager",IF(CC1405="-","Nicht im Lift",IF(AW1405&gt;=1,"Lift",IF(AW1405&lt;=0,"Aussenlager","teilweise")))))</f>
        <v>Lift</v>
      </c>
      <c r="BI1405" s="48" t="str">
        <f aca="false">IF(BA1405&lt;=0,"",IF(CC1405="Aussen","Aussenlager",IF(CC1405="-","Nicht im Lift",IF(BF1405&gt;=1,"Lift",IF(BF1405&lt;=0,"Aussenlager","teilweise")))))</f>
        <v>Lift</v>
      </c>
      <c r="BJ1405" s="48" t="str">
        <f aca="false">IF(A1405="","",IF(BS1405=1,"Neu; ","")&amp;IF(AND(BS1405=0,BN1405&lt;0),"negativer Bestand (Export "&amp;BN1405&amp;"); ","")&amp;IF(J1405&lt;=0,"Kein Verbrauch; ","")&amp;IF(CL1405&gt;0,"Lift "&amp;W1405&amp;" lt. Liftbericht (Fach "&amp;X1405&amp;" Stk); ",IF(BX1405=1,"Gebinde geschätzt ("&amp;T1405&amp;"); ",IF(BW1405=1,"Lose – Tablare geschätzt; ","")))&amp;IF(H1405&gt;AT1405,"Überbestand "&amp;ROUND(H1405-AT1405,0)&amp;" Stk / CHF "&amp;ROUND((H1405-AT1405)*G1405,0)&amp;"; ","")&amp;IF(AND(CE1405=1,CF1405&lt;CG1405),"MAX &lt; MB+LG; ","")&amp;IF(AND(CK1405&gt;0,CJ1405*10&gt;CK1405),"zu hoch für Tablar; ","")&amp;IF(AND(BS1405=0,OR(CE1405=1,AA1405&lt;&gt;"",U1405&lt;&gt;"",V1405&lt;&gt;"",AB1405&lt;&gt;"")),"manuell übersteuert; ","")&amp;IF(AND(BW1405=0,R1405=0),"Gebinde unbekannt / Stellmass fehlt; ","")&amp;IF(AND(BW1405=0,N(V1405)&lt;=0,N(Q1405)&lt;=0),"Menge pro Gebinde fehlt (Ist = 1 Gebinde); ","")&amp;BR1405)</f>
        <v>negativer Bestand (Export -138); </v>
      </c>
      <c r="BK1405" s="48"/>
      <c r="BL1405" s="48"/>
      <c r="BM1405" s="55"/>
      <c r="BN1405" s="50" t="n">
        <v>-138</v>
      </c>
      <c r="BO1405" s="50" t="n">
        <v>247</v>
      </c>
      <c r="BP1405" s="49" t="n">
        <v>-4334.27999999999</v>
      </c>
      <c r="BQ1405" s="50" t="n">
        <v>893</v>
      </c>
      <c r="BR1405" s="48"/>
      <c r="BS1405" s="53" t="n">
        <v>0</v>
      </c>
      <c r="BT1405" s="53" t="n">
        <v>1405</v>
      </c>
      <c r="BU1405" s="48" t="str">
        <f aca="false">IF(U1405&lt;&gt;"",UPPER(TRIM(U1405)),IF(BX1405=1,UPPER(VLOOKUP(T1405,Parameter!$I$27:$K$29,2,0)),IF(P1405="","LOSE",P1405)))</f>
        <v>S52</v>
      </c>
      <c r="BV1405" s="50" t="n">
        <f aca="false">IF(BU1405="LOSE",1,IF(N(V1405)&gt;0,V1405,IF(BX1405=1,MAX(1,N(VLOOKUP(T1405,Parameter!$I$27:$K$29,3,0)),H1405,N(N1405)),IF(N(Q1405)&gt;0,Q1405,MAX(1,H1405)))))</f>
        <v>301</v>
      </c>
      <c r="BW1405" s="53" t="n">
        <f aca="false">IF(BU1405="LOSE",1,0)</f>
        <v>0</v>
      </c>
      <c r="BX1405" s="53" t="n">
        <f aca="false">IF(AND(U1405="",OR(P1405="",P1405="LOSE"),T1405&lt;&gt;"",N(S1405)&lt;=0,ISNUMBER(MATCH(T1405,Parameter!$I$27:$I$29,0))),1,0)</f>
        <v>0</v>
      </c>
      <c r="BY1405" s="53" t="n">
        <f aca="false">IF(CL1405&gt;0,INDEX(Parameter!$H$5:$H$7,W1405)/INDEX(Parameter!$E$5:$E$7,W1405),IF(AND(BW1405=0,N(IFERROR(VLOOKUP(BU1405,'Gebinde-Kategorie'!$A$5:$N$45,14,0),0))&gt;0),VLOOKUP(BU1405,'Gebinde-Kategorie'!$A$5:$N$45,14,0)*10+Parameter!$M$23,Parameter!$M$24))</f>
        <v>245</v>
      </c>
      <c r="BZ1405" s="48" t="str">
        <f aca="false">IF(AND(Parameter!$B$19="Ja",E1405&lt;&gt;"",ISNUMBER(MATCH(E1405,Parameter!$I$35:$I$52,0))),VLOOKUP(E1405,Parameter!$I$35:$J$52,2,0),IFERROR(VLOOKUP(D1405,Parameter!$A$35:$C$64,2,0),"Nein"))</f>
        <v>2+3</v>
      </c>
      <c r="CA1405" s="52" t="n">
        <f aca="false">IF(BW1405=0,0,IF(N(S1405)&gt;0,S1405,IFERROR(VLOOKUP(D1405,Parameter!$A$35:$C$64,3,0)+0,0)))</f>
        <v>0</v>
      </c>
      <c r="CB1405" s="48" t="n">
        <f aca="false">IF(AA1405&lt;&gt;"",AA1405,Z1405)</f>
        <v>3</v>
      </c>
      <c r="CC1405" s="48" t="str">
        <f aca="false">IF(OR(CB1405=1,CB1405=2,CB1405=3),IF(Parameter!$E$27="Ja","LIFT",IF(CB1405=1,"L1","L23")),IF(CB1405="Aussen","Aussen","-"))</f>
        <v>LIFT</v>
      </c>
      <c r="CD1405" s="59" t="n">
        <f aca="false">IF(N(AB1405)&gt;0,AB1405,0)</f>
        <v>0</v>
      </c>
      <c r="CE1405" s="53" t="n">
        <f aca="false">IF(ISNUMBER(AE1405),1,0)</f>
        <v>0</v>
      </c>
      <c r="CF1405" s="50" t="n">
        <f aca="false">N(AE1405)</f>
        <v>0</v>
      </c>
      <c r="CG1405" s="50" t="n">
        <f aca="false">N(M1405)+N(N1405)</f>
        <v>352</v>
      </c>
      <c r="CH1405" s="50" t="n">
        <f aca="false">ROUNDUP(H1405/BV1405,0)</f>
        <v>1</v>
      </c>
      <c r="CI1405" s="50" t="n">
        <f aca="false">ROUNDUP(CF1405/BV1405,0)</f>
        <v>0</v>
      </c>
      <c r="CJ1405" s="53" t="n">
        <f aca="false">IF(BW1405=1,0,IFERROR(VLOOKUP(BU1405,'Gebinde-Kategorie'!$A$5:$N$45,5,0)+0,0))</f>
        <v>21</v>
      </c>
      <c r="CK1405" s="53" t="n">
        <f aca="false">IFERROR(IF(OR(CB1405=1,CB1405=2,CB1405=3),N(INDEX(Parameter!$I$5:$I$7,CB1405)),0),0)</f>
        <v>0</v>
      </c>
      <c r="CL1405" s="52" t="n">
        <f aca="false">IF(AND(Parameter!$B$21="Ja",ISNUMBER(W1405),N(X1405)&gt;0),IFERROR(N(INDEX(Parameter!$L$5:$L$7,W1405))*INDEX(Parameter!$E$5:$E$7,W1405)*X1405/SUMIFS($X$7:$X$1843,$W$7:$W$1843,W1405),0),0)</f>
        <v>0</v>
      </c>
    </row>
    <row r="1406" customFormat="false" ht="15" hidden="false" customHeight="false" outlineLevel="0" collapsed="false">
      <c r="A1406" s="48" t="s">
        <v>2473</v>
      </c>
      <c r="B1406" s="48" t="s">
        <v>2474</v>
      </c>
      <c r="C1406" s="48" t="s">
        <v>168</v>
      </c>
      <c r="D1406" s="48" t="s">
        <v>177</v>
      </c>
      <c r="E1406" s="48" t="s">
        <v>170</v>
      </c>
      <c r="F1406" s="48" t="s">
        <v>222</v>
      </c>
      <c r="G1406" s="49" t="n">
        <v>1473.76</v>
      </c>
      <c r="H1406" s="50" t="n">
        <f aca="false">MAX(0,IF(AND(Parameter!$B$21="Ja",ISNUMBER(Y1406)),Y1406,IF(Parameter!$B$20="Jahresanfang 2025 + Export",BO1406+BN1406,BN1406)))</f>
        <v>10</v>
      </c>
      <c r="I1406" s="50" t="n">
        <f aca="false">H1406*G1406</f>
        <v>14737.6</v>
      </c>
      <c r="J1406" s="50" t="n">
        <f aca="false">BQ1406*Parameter!$B$18</f>
        <v>2</v>
      </c>
      <c r="K1406" s="51" t="n">
        <v>12</v>
      </c>
      <c r="L1406" s="52" t="n">
        <v>0.166666666666667</v>
      </c>
      <c r="M1406" s="50" t="n">
        <v>0</v>
      </c>
      <c r="N1406" s="50" t="n">
        <v>1</v>
      </c>
      <c r="O1406" s="53" t="n">
        <v>112</v>
      </c>
      <c r="P1406" s="48" t="s">
        <v>178</v>
      </c>
      <c r="Q1406" s="50" t="n">
        <v>10</v>
      </c>
      <c r="R1406" s="53" t="n">
        <f aca="false">IF(BW1406=1,0,IFERROR(VLOOKUP(BU1406,'Gebinde-Kategorie'!$A$5:$N$45,13,0)+0,0))</f>
        <v>6</v>
      </c>
      <c r="S1406" s="54"/>
      <c r="T1406" s="55"/>
      <c r="U1406" s="55"/>
      <c r="V1406" s="55"/>
      <c r="W1406" s="48"/>
      <c r="X1406" s="50"/>
      <c r="Y1406" s="50"/>
      <c r="Z1406" s="48" t="n">
        <f aca="false">IF(A1406="","",IF(AND(Parameter!$B$21="Ja",ISNUMBER(W1406)),W1406,IF(BZ1406="2+3",IF(ISNUMBER(SEARCH("grosser Artikel",BR1406)),2,IFERROR(VLOOKUP(BU1406,Parameter!$F$35:$G$64,2,0),2)),IF(OR(BZ1406="Nein",BZ1406=""),"-",BZ1406))))</f>
        <v>1</v>
      </c>
      <c r="AA1406" s="55"/>
      <c r="AB1406" s="56"/>
      <c r="AC1406" s="50" t="n">
        <f aca="false">AT1406</f>
        <v>10</v>
      </c>
      <c r="AD1406" s="50" t="n">
        <f aca="false">MAX(AT1406,H1406)</f>
        <v>10</v>
      </c>
      <c r="AE1406" s="57"/>
      <c r="AF1406" s="50" t="n">
        <f aca="false">IF(LEFT(Cockpit!$C$5,1)="A",H1406,IF(CE1406=1,CF1406,IF(LEFT(Cockpit!$C$5,1)="B",AK1406,MAX(AK1406,H1406))))</f>
        <v>10</v>
      </c>
      <c r="AG1406" s="50" t="n">
        <f aca="false">IF(BW1406=1,0,ROUNDUP(AF1406/BV1406,0))</f>
        <v>1</v>
      </c>
      <c r="AH1406" s="52" t="n">
        <f aca="false">IF(CL1406&gt;0,CL1406*MAX(1,AF1406/X1406),IF(BW1406=1,IF(AF1406&lt;=0,0,CA1406*MAX(1,IF(H1406&gt;0,AF1406/H1406,1))),IF(R1406&gt;0,AG1406/R1406,0))/MAX(0.1,N(Parameter!$M$21)))</f>
        <v>0.166666666666667</v>
      </c>
      <c r="AI1406" s="50" t="n">
        <f aca="false">AH1406*BY1406</f>
        <v>39.1666666666667</v>
      </c>
      <c r="AJ1406" s="50" t="n">
        <f aca="false">AF1406*G1406</f>
        <v>14737.6</v>
      </c>
      <c r="AK1406" s="50" t="n">
        <f aca="false">ROUNDUP(MAX(J1406/IF(CD1406&gt;0,CD1406,MAX(0.1,N(Cockpit!$C$6))),CG1406)/BV1406,0)*BV1406</f>
        <v>10</v>
      </c>
      <c r="AL1406" s="51" t="n">
        <f aca="false">IF(AI1406&gt;0,J1406/AI1406,-1)</f>
        <v>0.0510638297872341</v>
      </c>
      <c r="AM1406" s="51" t="n">
        <f aca="false">IF(AND(OR(CC1406="L1",CC1406="L23",CC1406="LIFT"),AI1406&gt;0),SUMIFS($AI$7:$AI$1843,$CC$7:$CC$1843,CC1406,$AL$7:$AL$1843,"&gt;"&amp;AL1406)+SUMIFS($AI$7:$AI$1843,$CC$7:$CC$1843,CC1406,$AL$7:$AL$1843,AL1406,$BT$7:$BT$1843,"&lt;="&amp;BT1406),"")</f>
        <v>19317.8124547298</v>
      </c>
      <c r="AN1406" s="58" t="n">
        <f aca="false">IF(AM1406="",0,MAX(0,MIN(1,(IF(CC1406="L1",Parameter!$H$5,IF(CC1406="L23",Parameter!$H$6+Parameter!$H$7,Parameter!$H$5+Parameter!$H$6+Parameter!$H$7))-(AM1406-AI1406))/AI1406)))</f>
        <v>1</v>
      </c>
      <c r="AO1406" s="50" t="n">
        <f aca="false">IF(LEFT(Cockpit!$I$5,1)="A",H1406,IF(CE1406=1,CF1406,IF(LEFT(Cockpit!$I$5,1)="B",AT1406,MAX(AT1406,H1406))))</f>
        <v>10</v>
      </c>
      <c r="AP1406" s="50" t="n">
        <f aca="false">IF(BW1406=1,0,ROUNDUP(AO1406/BV1406,0))</f>
        <v>1</v>
      </c>
      <c r="AQ1406" s="52" t="n">
        <f aca="false">IF(CL1406&gt;0,CL1406*MAX(1,AO1406/X1406),IF(BW1406=1,IF(AO1406&lt;=0,0,CA1406*MAX(1,IF(H1406&gt;0,AO1406/H1406,1))),IF(R1406&gt;0,AP1406/R1406,0))/MAX(0.1,N(Parameter!$M$21)))</f>
        <v>0.166666666666667</v>
      </c>
      <c r="AR1406" s="50" t="n">
        <f aca="false">AQ1406*BY1406</f>
        <v>39.1666666666667</v>
      </c>
      <c r="AS1406" s="50" t="n">
        <f aca="false">AO1406*G1406</f>
        <v>14737.6</v>
      </c>
      <c r="AT1406" s="50" t="n">
        <f aca="false">ROUNDUP(MAX(J1406/IF(CD1406&gt;0,CD1406,MAX(0.1,N(Cockpit!$I$6))),CG1406)/BV1406,0)*BV1406</f>
        <v>10</v>
      </c>
      <c r="AU1406" s="51" t="n">
        <f aca="false">IF(AR1406&gt;0,J1406/AR1406,-1)</f>
        <v>0.0510638297872341</v>
      </c>
      <c r="AV1406" s="51" t="n">
        <f aca="false">IF(AND(OR(CC1406="L1",CC1406="L23",CC1406="LIFT"),AR1406&gt;0),SUMIFS($AR$7:$AR$1843,$CC$7:$CC$1843,CC1406,$AU$7:$AU$1843,"&gt;"&amp;AU1406)+SUMIFS($AR$7:$AR$1843,$CC$7:$CC$1843,CC1406,$AU$7:$AU$1843,AU1406,$BT$7:$BT$1843,"&lt;="&amp;BT1406),"")</f>
        <v>30152.6200435628</v>
      </c>
      <c r="AW1406" s="58" t="n">
        <f aca="false">IF(AV1406="",0,MAX(0,MIN(1,(IF(CC1406="L1",Parameter!$H$5,IF(CC1406="L23",Parameter!$H$6+Parameter!$H$7,Parameter!$H$5+Parameter!$H$6+Parameter!$H$7))-(AV1406-AR1406))/AR1406)))</f>
        <v>1</v>
      </c>
      <c r="AX1406" s="50" t="n">
        <f aca="false">IF(LEFT(Cockpit!$O$5,1)="A",H1406,IF(CE1406=1,CF1406,IF(LEFT(Cockpit!$O$5,1)="B",BC1406,MAX(BC1406,H1406))))</f>
        <v>10</v>
      </c>
      <c r="AY1406" s="50" t="n">
        <f aca="false">IF(BW1406=1,0,ROUNDUP(AX1406/BV1406,0))</f>
        <v>1</v>
      </c>
      <c r="AZ1406" s="52" t="n">
        <f aca="false">IF(CL1406&gt;0,CL1406*MAX(1,AX1406/X1406),IF(BW1406=1,IF(AX1406&lt;=0,0,CA1406*MAX(1,IF(H1406&gt;0,AX1406/H1406,1))),IF(R1406&gt;0,AY1406/R1406,0))/MAX(0.1,N(Parameter!$M$21)))</f>
        <v>0.166666666666667</v>
      </c>
      <c r="BA1406" s="50" t="n">
        <f aca="false">AZ1406*BY1406</f>
        <v>39.1666666666667</v>
      </c>
      <c r="BB1406" s="50" t="n">
        <f aca="false">AX1406*G1406</f>
        <v>14737.6</v>
      </c>
      <c r="BC1406" s="50" t="n">
        <f aca="false">ROUNDUP(MAX(J1406/IF(CD1406&gt;0,CD1406,MAX(0.1,N(Cockpit!$O$6))),CG1406)/BV1406,0)*BV1406</f>
        <v>10</v>
      </c>
      <c r="BD1406" s="51" t="n">
        <f aca="false">IF(BA1406&gt;0,J1406/BA1406,-1)</f>
        <v>0.0510638297872341</v>
      </c>
      <c r="BE1406" s="51" t="n">
        <f aca="false">IF(AND(OR(CC1406="L1",CC1406="L23",CC1406="LIFT"),BA1406&gt;0),SUMIFS($BA$7:$BA$1843,$CC$7:$CC$1843,CC1406,$BD$7:$BD$1843,"&gt;"&amp;BD1406)+SUMIFS($BA$7:$BA$1843,$CC$7:$CC$1843,CC1406,$BD$7:$BD$1843,BD1406,$BT$7:$BT$1843,"&lt;="&amp;BT1406),"")</f>
        <v>26827.6320854287</v>
      </c>
      <c r="BF1406" s="58" t="n">
        <f aca="false">IF(BE1406="",0,MAX(0,MIN(1,(IF(CC1406="L1",Parameter!$H$5,IF(CC1406="L23",Parameter!$H$6+Parameter!$H$7,Parameter!$H$5+Parameter!$H$6+Parameter!$H$7))-(BE1406-BA1406))/BA1406)))</f>
        <v>1</v>
      </c>
      <c r="BG1406" s="48" t="str">
        <f aca="false">IF(AI1406&lt;=0,"",IF(CC1406="Aussen","Aussenlager",IF(CC1406="-","Nicht im Lift",IF(AN1406&gt;=1,"Lift",IF(AN1406&lt;=0,"Aussenlager","teilweise")))))</f>
        <v>Lift</v>
      </c>
      <c r="BH1406" s="48" t="str">
        <f aca="false">IF(AR1406&lt;=0,"",IF(CC1406="Aussen","Aussenlager",IF(CC1406="-","Nicht im Lift",IF(AW1406&gt;=1,"Lift",IF(AW1406&lt;=0,"Aussenlager","teilweise")))))</f>
        <v>Lift</v>
      </c>
      <c r="BI1406" s="48" t="str">
        <f aca="false">IF(BA1406&lt;=0,"",IF(CC1406="Aussen","Aussenlager",IF(CC1406="-","Nicht im Lift",IF(BF1406&gt;=1,"Lift",IF(BF1406&lt;=0,"Aussenlager","teilweise")))))</f>
        <v>Lift</v>
      </c>
      <c r="BJ1406" s="48" t="str">
        <f aca="false">IF(A1406="","",IF(BS1406=1,"Neu; ","")&amp;IF(AND(BS1406=0,BN1406&lt;0),"negativer Bestand (Export "&amp;BN1406&amp;"); ","")&amp;IF(J1406&lt;=0,"Kein Verbrauch; ","")&amp;IF(CL1406&gt;0,"Lift "&amp;W1406&amp;" lt. Liftbericht (Fach "&amp;X1406&amp;" Stk); ",IF(BX1406=1,"Gebinde geschätzt ("&amp;T1406&amp;"); ",IF(BW1406=1,"Lose – Tablare geschätzt; ","")))&amp;IF(H1406&gt;AT1406,"Überbestand "&amp;ROUND(H1406-AT1406,0)&amp;" Stk / CHF "&amp;ROUND((H1406-AT1406)*G1406,0)&amp;"; ","")&amp;IF(AND(CE1406=1,CF1406&lt;CG1406),"MAX &lt; MB+LG; ","")&amp;IF(AND(CK1406&gt;0,CJ1406*10&gt;CK1406),"zu hoch für Tablar; ","")&amp;IF(AND(BS1406=0,OR(CE1406=1,AA1406&lt;&gt;"",U1406&lt;&gt;"",V1406&lt;&gt;"",AB1406&lt;&gt;"")),"manuell übersteuert; ","")&amp;IF(AND(BW1406=0,R1406=0),"Gebinde unbekannt / Stellmass fehlt; ","")&amp;IF(AND(BW1406=0,N(V1406)&lt;=0,N(Q1406)&lt;=0),"Menge pro Gebinde fehlt (Ist = 1 Gebinde); ","")&amp;BR1406)</f>
        <v>negativer Bestand (Export -3); Twin</v>
      </c>
      <c r="BK1406" s="48"/>
      <c r="BL1406" s="48"/>
      <c r="BM1406" s="55"/>
      <c r="BN1406" s="50" t="n">
        <v>-3</v>
      </c>
      <c r="BO1406" s="50" t="n">
        <v>13</v>
      </c>
      <c r="BP1406" s="49" t="n">
        <v>-4421.28</v>
      </c>
      <c r="BQ1406" s="50" t="n">
        <v>2</v>
      </c>
      <c r="BR1406" s="48" t="s">
        <v>218</v>
      </c>
      <c r="BS1406" s="53" t="n">
        <v>0</v>
      </c>
      <c r="BT1406" s="53" t="n">
        <v>1406</v>
      </c>
      <c r="BU1406" s="48" t="str">
        <f aca="false">IF(U1406&lt;&gt;"",UPPER(TRIM(U1406)),IF(BX1406=1,UPPER(VLOOKUP(T1406,Parameter!$I$27:$K$29,2,0)),IF(P1406="","LOSE",P1406)))</f>
        <v>S71</v>
      </c>
      <c r="BV1406" s="50" t="n">
        <f aca="false">IF(BU1406="LOSE",1,IF(N(V1406)&gt;0,V1406,IF(BX1406=1,MAX(1,N(VLOOKUP(T1406,Parameter!$I$27:$K$29,3,0)),H1406,N(N1406)),IF(N(Q1406)&gt;0,Q1406,MAX(1,H1406)))))</f>
        <v>10</v>
      </c>
      <c r="BW1406" s="53" t="n">
        <f aca="false">IF(BU1406="LOSE",1,0)</f>
        <v>0</v>
      </c>
      <c r="BX1406" s="53" t="n">
        <f aca="false">IF(AND(U1406="",OR(P1406="",P1406="LOSE"),T1406&lt;&gt;"",N(S1406)&lt;=0,ISNUMBER(MATCH(T1406,Parameter!$I$27:$I$29,0))),1,0)</f>
        <v>0</v>
      </c>
      <c r="BY1406" s="53" t="n">
        <f aca="false">IF(CL1406&gt;0,INDEX(Parameter!$H$5:$H$7,W1406)/INDEX(Parameter!$E$5:$E$7,W1406),IF(AND(BW1406=0,N(IFERROR(VLOOKUP(BU1406,'Gebinde-Kategorie'!$A$5:$N$45,14,0),0))&gt;0),VLOOKUP(BU1406,'Gebinde-Kategorie'!$A$5:$N$45,14,0)*10+Parameter!$M$23,Parameter!$M$24))</f>
        <v>235</v>
      </c>
      <c r="BZ1406" s="48" t="n">
        <f aca="false">IF(AND(Parameter!$B$19="Ja",E1406&lt;&gt;"",ISNUMBER(MATCH(E1406,Parameter!$I$35:$I$52,0))),VLOOKUP(E1406,Parameter!$I$35:$J$52,2,0),IFERROR(VLOOKUP(D1406,Parameter!$A$35:$C$64,2,0),"Nein"))</f>
        <v>1</v>
      </c>
      <c r="CA1406" s="52" t="n">
        <f aca="false">IF(BW1406=0,0,IF(N(S1406)&gt;0,S1406,IFERROR(VLOOKUP(D1406,Parameter!$A$35:$C$64,3,0)+0,0)))</f>
        <v>0</v>
      </c>
      <c r="CB1406" s="48" t="n">
        <f aca="false">IF(AA1406&lt;&gt;"",AA1406,Z1406)</f>
        <v>1</v>
      </c>
      <c r="CC1406" s="48" t="str">
        <f aca="false">IF(OR(CB1406=1,CB1406=2,CB1406=3),IF(Parameter!$E$27="Ja","LIFT",IF(CB1406=1,"L1","L23")),IF(CB1406="Aussen","Aussen","-"))</f>
        <v>LIFT</v>
      </c>
      <c r="CD1406" s="59" t="n">
        <f aca="false">IF(N(AB1406)&gt;0,AB1406,0)</f>
        <v>0</v>
      </c>
      <c r="CE1406" s="53" t="n">
        <f aca="false">IF(ISNUMBER(AE1406),1,0)</f>
        <v>0</v>
      </c>
      <c r="CF1406" s="50" t="n">
        <f aca="false">N(AE1406)</f>
        <v>0</v>
      </c>
      <c r="CG1406" s="50" t="n">
        <f aca="false">N(M1406)+N(N1406)</f>
        <v>1</v>
      </c>
      <c r="CH1406" s="50" t="n">
        <f aca="false">ROUNDUP(H1406/BV1406,0)</f>
        <v>1</v>
      </c>
      <c r="CI1406" s="50" t="n">
        <f aca="false">ROUNDUP(CF1406/BV1406,0)</f>
        <v>0</v>
      </c>
      <c r="CJ1406" s="53" t="n">
        <f aca="false">IF(BW1406=1,0,IFERROR(VLOOKUP(BU1406,'Gebinde-Kategorie'!$A$5:$N$45,5,0)+0,0))</f>
        <v>20</v>
      </c>
      <c r="CK1406" s="53" t="n">
        <f aca="false">IFERROR(IF(OR(CB1406=1,CB1406=2,CB1406=3),N(INDEX(Parameter!$I$5:$I$7,CB1406)),0),0)</f>
        <v>0</v>
      </c>
      <c r="CL1406" s="52" t="n">
        <f aca="false">IF(AND(Parameter!$B$21="Ja",ISNUMBER(W1406),N(X1406)&gt;0),IFERROR(N(INDEX(Parameter!$L$5:$L$7,W1406))*INDEX(Parameter!$E$5:$E$7,W1406)*X1406/SUMIFS($X$7:$X$1843,$W$7:$W$1843,W1406),0),0)</f>
        <v>0</v>
      </c>
    </row>
    <row r="1407" customFormat="false" ht="15" hidden="false" customHeight="false" outlineLevel="0" collapsed="false">
      <c r="A1407" s="48" t="s">
        <v>2475</v>
      </c>
      <c r="B1407" s="48" t="s">
        <v>294</v>
      </c>
      <c r="C1407" s="48" t="s">
        <v>168</v>
      </c>
      <c r="D1407" s="48" t="s">
        <v>177</v>
      </c>
      <c r="E1407" s="48" t="s">
        <v>177</v>
      </c>
      <c r="F1407" s="48" t="s">
        <v>222</v>
      </c>
      <c r="G1407" s="49" t="n">
        <v>119.13</v>
      </c>
      <c r="H1407" s="50" t="n">
        <f aca="false">MAX(0,IF(AND(Parameter!$B$21="Ja",ISNUMBER(Y1407)),Y1407,IF(Parameter!$B$20="Jahresanfang 2025 + Export",BO1407+BN1407,BN1407)))</f>
        <v>28</v>
      </c>
      <c r="I1407" s="50" t="n">
        <f aca="false">H1407*G1407</f>
        <v>3335.64</v>
      </c>
      <c r="J1407" s="50" t="n">
        <f aca="false">BQ1407*Parameter!$B$18</f>
        <v>20</v>
      </c>
      <c r="K1407" s="51" t="n">
        <v>63</v>
      </c>
      <c r="L1407" s="52" t="n">
        <v>0.317460317460317</v>
      </c>
      <c r="M1407" s="50" t="n">
        <v>3</v>
      </c>
      <c r="N1407" s="50" t="n">
        <v>20</v>
      </c>
      <c r="O1407" s="53" t="n">
        <v>56</v>
      </c>
      <c r="P1407" s="48" t="s">
        <v>227</v>
      </c>
      <c r="Q1407" s="50" t="n">
        <v>50</v>
      </c>
      <c r="R1407" s="53" t="n">
        <f aca="false">IF(BW1407=1,0,IFERROR(VLOOKUP(BU1407,'Gebinde-Kategorie'!$A$5:$N$45,13,0)+0,0))</f>
        <v>4</v>
      </c>
      <c r="S1407" s="54"/>
      <c r="T1407" s="55"/>
      <c r="U1407" s="55"/>
      <c r="V1407" s="55"/>
      <c r="W1407" s="48"/>
      <c r="X1407" s="50"/>
      <c r="Y1407" s="50"/>
      <c r="Z1407" s="48" t="str">
        <f aca="false">IF(A1407="","",IF(AND(Parameter!$B$21="Ja",ISNUMBER(W1407)),W1407,IF(BZ1407="2+3",IF(ISNUMBER(SEARCH("grosser Artikel",BR1407)),2,IFERROR(VLOOKUP(BU1407,Parameter!$F$35:$G$64,2,0),2)),IF(OR(BZ1407="Nein",BZ1407=""),"-",BZ1407))))</f>
        <v>-</v>
      </c>
      <c r="AA1407" s="55"/>
      <c r="AB1407" s="56"/>
      <c r="AC1407" s="50" t="n">
        <f aca="false">AT1407</f>
        <v>50</v>
      </c>
      <c r="AD1407" s="50" t="n">
        <f aca="false">MAX(AT1407,H1407)</f>
        <v>50</v>
      </c>
      <c r="AE1407" s="57"/>
      <c r="AF1407" s="50" t="n">
        <f aca="false">IF(LEFT(Cockpit!$C$5,1)="A",H1407,IF(CE1407=1,CF1407,IF(LEFT(Cockpit!$C$5,1)="B",AK1407,MAX(AK1407,H1407))))</f>
        <v>28</v>
      </c>
      <c r="AG1407" s="50" t="n">
        <f aca="false">IF(BW1407=1,0,ROUNDUP(AF1407/BV1407,0))</f>
        <v>1</v>
      </c>
      <c r="AH1407" s="52" t="n">
        <f aca="false">IF(CL1407&gt;0,CL1407*MAX(1,AF1407/X1407),IF(BW1407=1,IF(AF1407&lt;=0,0,CA1407*MAX(1,IF(H1407&gt;0,AF1407/H1407,1))),IF(R1407&gt;0,AG1407/R1407,0))/MAX(0.1,N(Parameter!$M$21)))</f>
        <v>0.25</v>
      </c>
      <c r="AI1407" s="50" t="n">
        <f aca="false">AH1407*BY1407</f>
        <v>58.75</v>
      </c>
      <c r="AJ1407" s="50" t="n">
        <f aca="false">AF1407*G1407</f>
        <v>3335.64</v>
      </c>
      <c r="AK1407" s="50" t="n">
        <f aca="false">ROUNDUP(MAX(J1407/IF(CD1407&gt;0,CD1407,MAX(0.1,N(Cockpit!$C$6))),CG1407)/BV1407,0)*BV1407</f>
        <v>50</v>
      </c>
      <c r="AL1407" s="51" t="n">
        <f aca="false">IF(AI1407&gt;0,J1407/AI1407,-1)</f>
        <v>0.340425531914894</v>
      </c>
      <c r="AM1407" s="51" t="str">
        <f aca="false">IF(AND(OR(CC1407="L1",CC1407="L23",CC1407="LIFT"),AI1407&gt;0),SUMIFS($AI$7:$AI$1843,$CC$7:$CC$1843,CC1407,$AL$7:$AL$1843,"&gt;"&amp;AL1407)+SUMIFS($AI$7:$AI$1843,$CC$7:$CC$1843,CC1407,$AL$7:$AL$1843,AL1407,$BT$7:$BT$1843,"&lt;="&amp;BT1407),"")</f>
        <v/>
      </c>
      <c r="AN1407" s="58" t="n">
        <f aca="false">IF(AM1407="",0,MAX(0,MIN(1,(IF(CC1407="L1",Parameter!$H$5,IF(CC1407="L23",Parameter!$H$6+Parameter!$H$7,Parameter!$H$5+Parameter!$H$6+Parameter!$H$7))-(AM1407-AI1407))/AI1407)))</f>
        <v>0</v>
      </c>
      <c r="AO1407" s="50" t="n">
        <f aca="false">IF(LEFT(Cockpit!$I$5,1)="A",H1407,IF(CE1407=1,CF1407,IF(LEFT(Cockpit!$I$5,1)="B",AT1407,MAX(AT1407,H1407))))</f>
        <v>50</v>
      </c>
      <c r="AP1407" s="50" t="n">
        <f aca="false">IF(BW1407=1,0,ROUNDUP(AO1407/BV1407,0))</f>
        <v>1</v>
      </c>
      <c r="AQ1407" s="52" t="n">
        <f aca="false">IF(CL1407&gt;0,CL1407*MAX(1,AO1407/X1407),IF(BW1407=1,IF(AO1407&lt;=0,0,CA1407*MAX(1,IF(H1407&gt;0,AO1407/H1407,1))),IF(R1407&gt;0,AP1407/R1407,0))/MAX(0.1,N(Parameter!$M$21)))</f>
        <v>0.25</v>
      </c>
      <c r="AR1407" s="50" t="n">
        <f aca="false">AQ1407*BY1407</f>
        <v>58.75</v>
      </c>
      <c r="AS1407" s="50" t="n">
        <f aca="false">AO1407*G1407</f>
        <v>5956.5</v>
      </c>
      <c r="AT1407" s="50" t="n">
        <f aca="false">ROUNDUP(MAX(J1407/IF(CD1407&gt;0,CD1407,MAX(0.1,N(Cockpit!$I$6))),CG1407)/BV1407,0)*BV1407</f>
        <v>50</v>
      </c>
      <c r="AU1407" s="51" t="n">
        <f aca="false">IF(AR1407&gt;0,J1407/AR1407,-1)</f>
        <v>0.340425531914894</v>
      </c>
      <c r="AV1407" s="51" t="str">
        <f aca="false">IF(AND(OR(CC1407="L1",CC1407="L23",CC1407="LIFT"),AR1407&gt;0),SUMIFS($AR$7:$AR$1843,$CC$7:$CC$1843,CC1407,$AU$7:$AU$1843,"&gt;"&amp;AU1407)+SUMIFS($AR$7:$AR$1843,$CC$7:$CC$1843,CC1407,$AU$7:$AU$1843,AU1407,$BT$7:$BT$1843,"&lt;="&amp;BT1407),"")</f>
        <v/>
      </c>
      <c r="AW1407" s="58" t="n">
        <f aca="false">IF(AV1407="",0,MAX(0,MIN(1,(IF(CC1407="L1",Parameter!$H$5,IF(CC1407="L23",Parameter!$H$6+Parameter!$H$7,Parameter!$H$5+Parameter!$H$6+Parameter!$H$7))-(AV1407-AR1407))/AR1407)))</f>
        <v>0</v>
      </c>
      <c r="AX1407" s="50" t="n">
        <f aca="false">IF(LEFT(Cockpit!$O$5,1)="A",H1407,IF(CE1407=1,CF1407,IF(LEFT(Cockpit!$O$5,1)="B",BC1407,MAX(BC1407,H1407))))</f>
        <v>50</v>
      </c>
      <c r="AY1407" s="50" t="n">
        <f aca="false">IF(BW1407=1,0,ROUNDUP(AX1407/BV1407,0))</f>
        <v>1</v>
      </c>
      <c r="AZ1407" s="52" t="n">
        <f aca="false">IF(CL1407&gt;0,CL1407*MAX(1,AX1407/X1407),IF(BW1407=1,IF(AX1407&lt;=0,0,CA1407*MAX(1,IF(H1407&gt;0,AX1407/H1407,1))),IF(R1407&gt;0,AY1407/R1407,0))/MAX(0.1,N(Parameter!$M$21)))</f>
        <v>0.25</v>
      </c>
      <c r="BA1407" s="50" t="n">
        <f aca="false">AZ1407*BY1407</f>
        <v>58.75</v>
      </c>
      <c r="BB1407" s="50" t="n">
        <f aca="false">AX1407*G1407</f>
        <v>5956.5</v>
      </c>
      <c r="BC1407" s="50" t="n">
        <f aca="false">ROUNDUP(MAX(J1407/IF(CD1407&gt;0,CD1407,MAX(0.1,N(Cockpit!$O$6))),CG1407)/BV1407,0)*BV1407</f>
        <v>50</v>
      </c>
      <c r="BD1407" s="51" t="n">
        <f aca="false">IF(BA1407&gt;0,J1407/BA1407,-1)</f>
        <v>0.340425531914894</v>
      </c>
      <c r="BE1407" s="51" t="str">
        <f aca="false">IF(AND(OR(CC1407="L1",CC1407="L23",CC1407="LIFT"),BA1407&gt;0),SUMIFS($BA$7:$BA$1843,$CC$7:$CC$1843,CC1407,$BD$7:$BD$1843,"&gt;"&amp;BD1407)+SUMIFS($BA$7:$BA$1843,$CC$7:$CC$1843,CC1407,$BD$7:$BD$1843,BD1407,$BT$7:$BT$1843,"&lt;="&amp;BT1407),"")</f>
        <v/>
      </c>
      <c r="BF1407" s="58" t="n">
        <f aca="false">IF(BE1407="",0,MAX(0,MIN(1,(IF(CC1407="L1",Parameter!$H$5,IF(CC1407="L23",Parameter!$H$6+Parameter!$H$7,Parameter!$H$5+Parameter!$H$6+Parameter!$H$7))-(BE1407-BA1407))/BA1407)))</f>
        <v>0</v>
      </c>
      <c r="BG1407" s="48" t="str">
        <f aca="false">IF(AI1407&lt;=0,"",IF(CC1407="Aussen","Aussenlager",IF(CC1407="-","Nicht im Lift",IF(AN1407&gt;=1,"Lift",IF(AN1407&lt;=0,"Aussenlager","teilweise")))))</f>
        <v>Nicht im Lift</v>
      </c>
      <c r="BH1407" s="48" t="str">
        <f aca="false">IF(AR1407&lt;=0,"",IF(CC1407="Aussen","Aussenlager",IF(CC1407="-","Nicht im Lift",IF(AW1407&gt;=1,"Lift",IF(AW1407&lt;=0,"Aussenlager","teilweise")))))</f>
        <v>Nicht im Lift</v>
      </c>
      <c r="BI1407" s="48" t="str">
        <f aca="false">IF(BA1407&lt;=0,"",IF(CC1407="Aussen","Aussenlager",IF(CC1407="-","Nicht im Lift",IF(BF1407&gt;=1,"Lift",IF(BF1407&lt;=0,"Aussenlager","teilweise")))))</f>
        <v>Nicht im Lift</v>
      </c>
      <c r="BJ1407" s="48" t="str">
        <f aca="false">IF(A1407="","",IF(BS1407=1,"Neu; ","")&amp;IF(AND(BS1407=0,BN1407&lt;0),"negativer Bestand (Export "&amp;BN1407&amp;"); ","")&amp;IF(J1407&lt;=0,"Kein Verbrauch; ","")&amp;IF(CL1407&gt;0,"Lift "&amp;W1407&amp;" lt. Liftbericht (Fach "&amp;X1407&amp;" Stk); ",IF(BX1407=1,"Gebinde geschätzt ("&amp;T1407&amp;"); ",IF(BW1407=1,"Lose – Tablare geschätzt; ","")))&amp;IF(H1407&gt;AT1407,"Überbestand "&amp;ROUND(H1407-AT1407,0)&amp;" Stk / CHF "&amp;ROUND((H1407-AT1407)*G1407,0)&amp;"; ","")&amp;IF(AND(CE1407=1,CF1407&lt;CG1407),"MAX &lt; MB+LG; ","")&amp;IF(AND(CK1407&gt;0,CJ1407*10&gt;CK1407),"zu hoch für Tablar; ","")&amp;IF(AND(BS1407=0,OR(CE1407=1,AA1407&lt;&gt;"",U1407&lt;&gt;"",V1407&lt;&gt;"",AB1407&lt;&gt;"")),"manuell übersteuert; ","")&amp;IF(AND(BW1407=0,R1407=0),"Gebinde unbekannt / Stellmass fehlt; ","")&amp;IF(AND(BW1407=0,N(V1407)&lt;=0,N(Q1407)&lt;=0),"Menge pro Gebinde fehlt (Ist = 1 Gebinde); ","")&amp;BR1407)</f>
        <v>negativer Bestand (Export -40); Neu</v>
      </c>
      <c r="BK1407" s="48"/>
      <c r="BL1407" s="48"/>
      <c r="BM1407" s="55"/>
      <c r="BN1407" s="50" t="n">
        <v>-40</v>
      </c>
      <c r="BO1407" s="50" t="n">
        <v>68</v>
      </c>
      <c r="BP1407" s="49" t="n">
        <v>-4765.2</v>
      </c>
      <c r="BQ1407" s="50" t="n">
        <v>20</v>
      </c>
      <c r="BR1407" s="48" t="s">
        <v>630</v>
      </c>
      <c r="BS1407" s="53" t="n">
        <v>0</v>
      </c>
      <c r="BT1407" s="53" t="n">
        <v>1407</v>
      </c>
      <c r="BU1407" s="48" t="str">
        <f aca="false">IF(U1407&lt;&gt;"",UPPER(TRIM(U1407)),IF(BX1407=1,UPPER(VLOOKUP(T1407,Parameter!$I$27:$K$29,2,0)),IF(P1407="","LOSE",P1407)))</f>
        <v>S81</v>
      </c>
      <c r="BV1407" s="50" t="n">
        <f aca="false">IF(BU1407="LOSE",1,IF(N(V1407)&gt;0,V1407,IF(BX1407=1,MAX(1,N(VLOOKUP(T1407,Parameter!$I$27:$K$29,3,0)),H1407,N(N1407)),IF(N(Q1407)&gt;0,Q1407,MAX(1,H1407)))))</f>
        <v>50</v>
      </c>
      <c r="BW1407" s="53" t="n">
        <f aca="false">IF(BU1407="LOSE",1,0)</f>
        <v>0</v>
      </c>
      <c r="BX1407" s="53" t="n">
        <f aca="false">IF(AND(U1407="",OR(P1407="",P1407="LOSE"),T1407&lt;&gt;"",N(S1407)&lt;=0,ISNUMBER(MATCH(T1407,Parameter!$I$27:$I$29,0))),1,0)</f>
        <v>0</v>
      </c>
      <c r="BY1407" s="53" t="n">
        <f aca="false">IF(CL1407&gt;0,INDEX(Parameter!$H$5:$H$7,W1407)/INDEX(Parameter!$E$5:$E$7,W1407),IF(AND(BW1407=0,N(IFERROR(VLOOKUP(BU1407,'Gebinde-Kategorie'!$A$5:$N$45,14,0),0))&gt;0),VLOOKUP(BU1407,'Gebinde-Kategorie'!$A$5:$N$45,14,0)*10+Parameter!$M$23,Parameter!$M$24))</f>
        <v>235</v>
      </c>
      <c r="BZ1407" s="48" t="str">
        <f aca="false">IF(AND(Parameter!$B$19="Ja",E1407&lt;&gt;"",ISNUMBER(MATCH(E1407,Parameter!$I$35:$I$52,0))),VLOOKUP(E1407,Parameter!$I$35:$J$52,2,0),IFERROR(VLOOKUP(D1407,Parameter!$A$35:$C$64,2,0),"Nein"))</f>
        <v>Nein</v>
      </c>
      <c r="CA1407" s="52" t="n">
        <f aca="false">IF(BW1407=0,0,IF(N(S1407)&gt;0,S1407,IFERROR(VLOOKUP(D1407,Parameter!$A$35:$C$64,3,0)+0,0)))</f>
        <v>0</v>
      </c>
      <c r="CB1407" s="48" t="str">
        <f aca="false">IF(AA1407&lt;&gt;"",AA1407,Z1407)</f>
        <v>-</v>
      </c>
      <c r="CC1407" s="48" t="str">
        <f aca="false">IF(OR(CB1407=1,CB1407=2,CB1407=3),IF(Parameter!$E$27="Ja","LIFT",IF(CB1407=1,"L1","L23")),IF(CB1407="Aussen","Aussen","-"))</f>
        <v>-</v>
      </c>
      <c r="CD1407" s="59" t="n">
        <f aca="false">IF(N(AB1407)&gt;0,AB1407,0)</f>
        <v>0</v>
      </c>
      <c r="CE1407" s="53" t="n">
        <f aca="false">IF(ISNUMBER(AE1407),1,0)</f>
        <v>0</v>
      </c>
      <c r="CF1407" s="50" t="n">
        <f aca="false">N(AE1407)</f>
        <v>0</v>
      </c>
      <c r="CG1407" s="50" t="n">
        <f aca="false">N(M1407)+N(N1407)</f>
        <v>23</v>
      </c>
      <c r="CH1407" s="50" t="n">
        <f aca="false">ROUNDUP(H1407/BV1407,0)</f>
        <v>1</v>
      </c>
      <c r="CI1407" s="50" t="n">
        <f aca="false">ROUNDUP(CF1407/BV1407,0)</f>
        <v>0</v>
      </c>
      <c r="CJ1407" s="53" t="n">
        <f aca="false">IF(BW1407=1,0,IFERROR(VLOOKUP(BU1407,'Gebinde-Kategorie'!$A$5:$N$45,5,0)+0,0))</f>
        <v>20</v>
      </c>
      <c r="CK1407" s="53" t="n">
        <f aca="false">IFERROR(IF(OR(CB1407=1,CB1407=2,CB1407=3),N(INDEX(Parameter!$I$5:$I$7,CB1407)),0),0)</f>
        <v>0</v>
      </c>
      <c r="CL1407" s="52" t="n">
        <f aca="false">IF(AND(Parameter!$B$21="Ja",ISNUMBER(W1407),N(X1407)&gt;0),IFERROR(N(INDEX(Parameter!$L$5:$L$7,W1407))*INDEX(Parameter!$E$5:$E$7,W1407)*X1407/SUMIFS($X$7:$X$1843,$W$7:$W$1843,W1407),0),0)</f>
        <v>0</v>
      </c>
    </row>
    <row r="1408" customFormat="false" ht="15" hidden="false" customHeight="false" outlineLevel="0" collapsed="false">
      <c r="A1408" s="48" t="s">
        <v>2476</v>
      </c>
      <c r="B1408" s="48" t="s">
        <v>2477</v>
      </c>
      <c r="C1408" s="48" t="s">
        <v>168</v>
      </c>
      <c r="D1408" s="48" t="s">
        <v>357</v>
      </c>
      <c r="E1408" s="48" t="s">
        <v>2252</v>
      </c>
      <c r="F1408" s="48" t="s">
        <v>222</v>
      </c>
      <c r="G1408" s="49" t="n">
        <v>2426.28</v>
      </c>
      <c r="H1408" s="50" t="n">
        <f aca="false">MAX(0,IF(AND(Parameter!$B$21="Ja",ISNUMBER(Y1408)),Y1408,IF(Parameter!$B$20="Jahresanfang 2025 + Export",BO1408+BN1408,BN1408)))</f>
        <v>0</v>
      </c>
      <c r="I1408" s="50" t="n">
        <f aca="false">H1408*G1408</f>
        <v>0</v>
      </c>
      <c r="J1408" s="50" t="n">
        <f aca="false">BQ1408*Parameter!$B$18</f>
        <v>0</v>
      </c>
      <c r="K1408" s="51" t="n">
        <v>1</v>
      </c>
      <c r="L1408" s="52" t="n">
        <v>0</v>
      </c>
      <c r="M1408" s="50" t="n">
        <v>0</v>
      </c>
      <c r="N1408" s="50" t="n">
        <v>1</v>
      </c>
      <c r="O1408" s="53" t="n">
        <v>90</v>
      </c>
      <c r="P1408" s="48" t="s">
        <v>172</v>
      </c>
      <c r="Q1408" s="50"/>
      <c r="R1408" s="53" t="n">
        <f aca="false">IF(BW1408=1,0,IFERROR(VLOOKUP(BU1408,'Gebinde-Kategorie'!$A$5:$N$45,13,0)+0,0))</f>
        <v>0</v>
      </c>
      <c r="S1408" s="54"/>
      <c r="T1408" s="55"/>
      <c r="U1408" s="55"/>
      <c r="V1408" s="55"/>
      <c r="W1408" s="48"/>
      <c r="X1408" s="50"/>
      <c r="Y1408" s="50"/>
      <c r="Z1408" s="48" t="str">
        <f aca="false">IF(A1408="","",IF(AND(Parameter!$B$21="Ja",ISNUMBER(W1408)),W1408,IF(BZ1408="2+3",IF(ISNUMBER(SEARCH("grosser Artikel",BR1408)),2,IFERROR(VLOOKUP(BU1408,Parameter!$F$35:$G$64,2,0),2)),IF(OR(BZ1408="Nein",BZ1408=""),"-",BZ1408))))</f>
        <v>-</v>
      </c>
      <c r="AA1408" s="55"/>
      <c r="AB1408" s="56"/>
      <c r="AC1408" s="50" t="n">
        <f aca="false">AT1408</f>
        <v>1</v>
      </c>
      <c r="AD1408" s="50" t="n">
        <f aca="false">MAX(AT1408,H1408)</f>
        <v>1</v>
      </c>
      <c r="AE1408" s="57"/>
      <c r="AF1408" s="50" t="n">
        <f aca="false">IF(LEFT(Cockpit!$C$5,1)="A",H1408,IF(CE1408=1,CF1408,IF(LEFT(Cockpit!$C$5,1)="B",AK1408,MAX(AK1408,H1408))))</f>
        <v>0</v>
      </c>
      <c r="AG1408" s="50" t="n">
        <f aca="false">IF(BW1408=1,0,ROUNDUP(AF1408/BV1408,0))</f>
        <v>0</v>
      </c>
      <c r="AH1408" s="52" t="n">
        <f aca="false">IF(CL1408&gt;0,CL1408*MAX(1,AF1408/X1408),IF(BW1408=1,IF(AF1408&lt;=0,0,CA1408*MAX(1,IF(H1408&gt;0,AF1408/H1408,1))),IF(R1408&gt;0,AG1408/R1408,0))/MAX(0.1,N(Parameter!$M$21)))</f>
        <v>0</v>
      </c>
      <c r="AI1408" s="50" t="n">
        <f aca="false">AH1408*BY1408</f>
        <v>0</v>
      </c>
      <c r="AJ1408" s="50" t="n">
        <f aca="false">AF1408*G1408</f>
        <v>0</v>
      </c>
      <c r="AK1408" s="50" t="n">
        <f aca="false">ROUNDUP(MAX(J1408/IF(CD1408&gt;0,CD1408,MAX(0.1,N(Cockpit!$C$6))),CG1408)/BV1408,0)*BV1408</f>
        <v>1</v>
      </c>
      <c r="AL1408" s="51" t="n">
        <f aca="false">IF(AI1408&gt;0,J1408/AI1408,-1)</f>
        <v>-1</v>
      </c>
      <c r="AM1408" s="51" t="str">
        <f aca="false">IF(AND(OR(CC1408="L1",CC1408="L23",CC1408="LIFT"),AI1408&gt;0),SUMIFS($AI$7:$AI$1843,$CC$7:$CC$1843,CC1408,$AL$7:$AL$1843,"&gt;"&amp;AL1408)+SUMIFS($AI$7:$AI$1843,$CC$7:$CC$1843,CC1408,$AL$7:$AL$1843,AL1408,$BT$7:$BT$1843,"&lt;="&amp;BT1408),"")</f>
        <v/>
      </c>
      <c r="AN1408" s="58" t="n">
        <f aca="false">IF(AM1408="",0,MAX(0,MIN(1,(IF(CC1408="L1",Parameter!$H$5,IF(CC1408="L23",Parameter!$H$6+Parameter!$H$7,Parameter!$H$5+Parameter!$H$6+Parameter!$H$7))-(AM1408-AI1408))/AI1408)))</f>
        <v>0</v>
      </c>
      <c r="AO1408" s="50" t="n">
        <f aca="false">IF(LEFT(Cockpit!$I$5,1)="A",H1408,IF(CE1408=1,CF1408,IF(LEFT(Cockpit!$I$5,1)="B",AT1408,MAX(AT1408,H1408))))</f>
        <v>1</v>
      </c>
      <c r="AP1408" s="50" t="n">
        <f aca="false">IF(BW1408=1,0,ROUNDUP(AO1408/BV1408,0))</f>
        <v>0</v>
      </c>
      <c r="AQ1408" s="52" t="n">
        <f aca="false">IF(CL1408&gt;0,CL1408*MAX(1,AO1408/X1408),IF(BW1408=1,IF(AO1408&lt;=0,0,CA1408*MAX(1,IF(H1408&gt;0,AO1408/H1408,1))),IF(R1408&gt;0,AP1408/R1408,0))/MAX(0.1,N(Parameter!$M$21)))</f>
        <v>0.15</v>
      </c>
      <c r="AR1408" s="50" t="n">
        <f aca="false">AQ1408*BY1408</f>
        <v>35.25</v>
      </c>
      <c r="AS1408" s="50" t="n">
        <f aca="false">AO1408*G1408</f>
        <v>2426.28</v>
      </c>
      <c r="AT1408" s="50" t="n">
        <f aca="false">ROUNDUP(MAX(J1408/IF(CD1408&gt;0,CD1408,MAX(0.1,N(Cockpit!$I$6))),CG1408)/BV1408,0)*BV1408</f>
        <v>1</v>
      </c>
      <c r="AU1408" s="51" t="n">
        <f aca="false">IF(AR1408&gt;0,J1408/AR1408,-1)</f>
        <v>0</v>
      </c>
      <c r="AV1408" s="51" t="str">
        <f aca="false">IF(AND(OR(CC1408="L1",CC1408="L23",CC1408="LIFT"),AR1408&gt;0),SUMIFS($AR$7:$AR$1843,$CC$7:$CC$1843,CC1408,$AU$7:$AU$1843,"&gt;"&amp;AU1408)+SUMIFS($AR$7:$AR$1843,$CC$7:$CC$1843,CC1408,$AU$7:$AU$1843,AU1408,$BT$7:$BT$1843,"&lt;="&amp;BT1408),"")</f>
        <v/>
      </c>
      <c r="AW1408" s="58" t="n">
        <f aca="false">IF(AV1408="",0,MAX(0,MIN(1,(IF(CC1408="L1",Parameter!$H$5,IF(CC1408="L23",Parameter!$H$6+Parameter!$H$7,Parameter!$H$5+Parameter!$H$6+Parameter!$H$7))-(AV1408-AR1408))/AR1408)))</f>
        <v>0</v>
      </c>
      <c r="AX1408" s="50" t="n">
        <f aca="false">IF(LEFT(Cockpit!$O$5,1)="A",H1408,IF(CE1408=1,CF1408,IF(LEFT(Cockpit!$O$5,1)="B",BC1408,MAX(BC1408,H1408))))</f>
        <v>1</v>
      </c>
      <c r="AY1408" s="50" t="n">
        <f aca="false">IF(BW1408=1,0,ROUNDUP(AX1408/BV1408,0))</f>
        <v>0</v>
      </c>
      <c r="AZ1408" s="52" t="n">
        <f aca="false">IF(CL1408&gt;0,CL1408*MAX(1,AX1408/X1408),IF(BW1408=1,IF(AX1408&lt;=0,0,CA1408*MAX(1,IF(H1408&gt;0,AX1408/H1408,1))),IF(R1408&gt;0,AY1408/R1408,0))/MAX(0.1,N(Parameter!$M$21)))</f>
        <v>0.15</v>
      </c>
      <c r="BA1408" s="50" t="n">
        <f aca="false">AZ1408*BY1408</f>
        <v>35.25</v>
      </c>
      <c r="BB1408" s="50" t="n">
        <f aca="false">AX1408*G1408</f>
        <v>2426.28</v>
      </c>
      <c r="BC1408" s="50" t="n">
        <f aca="false">ROUNDUP(MAX(J1408/IF(CD1408&gt;0,CD1408,MAX(0.1,N(Cockpit!$O$6))),CG1408)/BV1408,0)*BV1408</f>
        <v>1</v>
      </c>
      <c r="BD1408" s="51" t="n">
        <f aca="false">IF(BA1408&gt;0,J1408/BA1408,-1)</f>
        <v>0</v>
      </c>
      <c r="BE1408" s="51" t="str">
        <f aca="false">IF(AND(OR(CC1408="L1",CC1408="L23",CC1408="LIFT"),BA1408&gt;0),SUMIFS($BA$7:$BA$1843,$CC$7:$CC$1843,CC1408,$BD$7:$BD$1843,"&gt;"&amp;BD1408)+SUMIFS($BA$7:$BA$1843,$CC$7:$CC$1843,CC1408,$BD$7:$BD$1843,BD1408,$BT$7:$BT$1843,"&lt;="&amp;BT1408),"")</f>
        <v/>
      </c>
      <c r="BF1408" s="58" t="n">
        <f aca="false">IF(BE1408="",0,MAX(0,MIN(1,(IF(CC1408="L1",Parameter!$H$5,IF(CC1408="L23",Parameter!$H$6+Parameter!$H$7,Parameter!$H$5+Parameter!$H$6+Parameter!$H$7))-(BE1408-BA1408))/BA1408)))</f>
        <v>0</v>
      </c>
      <c r="BG1408" s="48" t="str">
        <f aca="false">IF(AI1408&lt;=0,"",IF(CC1408="Aussen","Aussenlager",IF(CC1408="-","Nicht im Lift",IF(AN1408&gt;=1,"Lift",IF(AN1408&lt;=0,"Aussenlager","teilweise")))))</f>
        <v/>
      </c>
      <c r="BH1408" s="48" t="str">
        <f aca="false">IF(AR1408&lt;=0,"",IF(CC1408="Aussen","Aussenlager",IF(CC1408="-","Nicht im Lift",IF(AW1408&gt;=1,"Lift",IF(AW1408&lt;=0,"Aussenlager","teilweise")))))</f>
        <v>Nicht im Lift</v>
      </c>
      <c r="BI1408" s="48" t="str">
        <f aca="false">IF(BA1408&lt;=0,"",IF(CC1408="Aussen","Aussenlager",IF(CC1408="-","Nicht im Lift",IF(BF1408&gt;=1,"Lift",IF(BF1408&lt;=0,"Aussenlager","teilweise")))))</f>
        <v>Nicht im Lift</v>
      </c>
      <c r="BJ1408" s="48" t="str">
        <f aca="false">IF(A1408="","",IF(BS1408=1,"Neu; ","")&amp;IF(AND(BS1408=0,BN1408&lt;0),"negativer Bestand (Export "&amp;BN1408&amp;"); ","")&amp;IF(J1408&lt;=0,"Kein Verbrauch; ","")&amp;IF(CL1408&gt;0,"Lift "&amp;W1408&amp;" lt. Liftbericht (Fach "&amp;X1408&amp;" Stk); ",IF(BX1408=1,"Gebinde geschätzt ("&amp;T1408&amp;"); ",IF(BW1408=1,"Lose – Tablare geschätzt; ","")))&amp;IF(H1408&gt;AT1408,"Überbestand "&amp;ROUND(H1408-AT1408,0)&amp;" Stk / CHF "&amp;ROUND((H1408-AT1408)*G1408,0)&amp;"; ","")&amp;IF(AND(CE1408=1,CF1408&lt;CG1408),"MAX &lt; MB+LG; ","")&amp;IF(AND(CK1408&gt;0,CJ1408*10&gt;CK1408),"zu hoch für Tablar; ","")&amp;IF(AND(BS1408=0,OR(CE1408=1,AA1408&lt;&gt;"",U1408&lt;&gt;"",V1408&lt;&gt;"",AB1408&lt;&gt;"")),"manuell übersteuert; ","")&amp;IF(AND(BW1408=0,R1408=0),"Gebinde unbekannt / Stellmass fehlt; ","")&amp;IF(AND(BW1408=0,N(V1408)&lt;=0,N(Q1408)&lt;=0),"Menge pro Gebinde fehlt (Ist = 1 Gebinde); ","")&amp;BR1408)</f>
        <v>negativer Bestand (Export -2); Kein Verbrauch; Lose – Tablare geschätzt; </v>
      </c>
      <c r="BK1408" s="48"/>
      <c r="BL1408" s="48"/>
      <c r="BM1408" s="55"/>
      <c r="BN1408" s="50" t="n">
        <v>-2</v>
      </c>
      <c r="BO1408" s="50" t="n">
        <v>2</v>
      </c>
      <c r="BP1408" s="49" t="n">
        <v>-4852.56</v>
      </c>
      <c r="BQ1408" s="50" t="n">
        <v>0</v>
      </c>
      <c r="BR1408" s="48"/>
      <c r="BS1408" s="53" t="n">
        <v>0</v>
      </c>
      <c r="BT1408" s="53" t="n">
        <v>1408</v>
      </c>
      <c r="BU1408" s="48" t="str">
        <f aca="false">IF(U1408&lt;&gt;"",UPPER(TRIM(U1408)),IF(BX1408=1,UPPER(VLOOKUP(T1408,Parameter!$I$27:$K$29,2,0)),IF(P1408="","LOSE",P1408)))</f>
        <v>LOSE</v>
      </c>
      <c r="BV1408" s="50" t="n">
        <f aca="false">IF(BU1408="LOSE",1,IF(N(V1408)&gt;0,V1408,IF(BX1408=1,MAX(1,N(VLOOKUP(T1408,Parameter!$I$27:$K$29,3,0)),H1408,N(N1408)),IF(N(Q1408)&gt;0,Q1408,MAX(1,H1408)))))</f>
        <v>1</v>
      </c>
      <c r="BW1408" s="53" t="n">
        <f aca="false">IF(BU1408="LOSE",1,0)</f>
        <v>1</v>
      </c>
      <c r="BX1408" s="53" t="n">
        <f aca="false">IF(AND(U1408="",OR(P1408="",P1408="LOSE"),T1408&lt;&gt;"",N(S1408)&lt;=0,ISNUMBER(MATCH(T1408,Parameter!$I$27:$I$29,0))),1,0)</f>
        <v>0</v>
      </c>
      <c r="BY1408" s="53" t="n">
        <f aca="false">IF(CL1408&gt;0,INDEX(Parameter!$H$5:$H$7,W1408)/INDEX(Parameter!$E$5:$E$7,W1408),IF(AND(BW1408=0,N(IFERROR(VLOOKUP(BU1408,'Gebinde-Kategorie'!$A$5:$N$45,14,0),0))&gt;0),VLOOKUP(BU1408,'Gebinde-Kategorie'!$A$5:$N$45,14,0)*10+Parameter!$M$23,Parameter!$M$24))</f>
        <v>235</v>
      </c>
      <c r="BZ1408" s="48" t="str">
        <f aca="false">IF(AND(Parameter!$B$19="Ja",E1408&lt;&gt;"",ISNUMBER(MATCH(E1408,Parameter!$I$35:$I$52,0))),VLOOKUP(E1408,Parameter!$I$35:$J$52,2,0),IFERROR(VLOOKUP(D1408,Parameter!$A$35:$C$64,2,0),"Nein"))</f>
        <v>Nein</v>
      </c>
      <c r="CA1408" s="52" t="n">
        <f aca="false">IF(BW1408=0,0,IF(N(S1408)&gt;0,S1408,IFERROR(VLOOKUP(D1408,Parameter!$A$35:$C$64,3,0)+0,0)))</f>
        <v>0.15</v>
      </c>
      <c r="CB1408" s="48" t="str">
        <f aca="false">IF(AA1408&lt;&gt;"",AA1408,Z1408)</f>
        <v>-</v>
      </c>
      <c r="CC1408" s="48" t="str">
        <f aca="false">IF(OR(CB1408=1,CB1408=2,CB1408=3),IF(Parameter!$E$27="Ja","LIFT",IF(CB1408=1,"L1","L23")),IF(CB1408="Aussen","Aussen","-"))</f>
        <v>-</v>
      </c>
      <c r="CD1408" s="59" t="n">
        <f aca="false">IF(N(AB1408)&gt;0,AB1408,0)</f>
        <v>0</v>
      </c>
      <c r="CE1408" s="53" t="n">
        <f aca="false">IF(ISNUMBER(AE1408),1,0)</f>
        <v>0</v>
      </c>
      <c r="CF1408" s="50" t="n">
        <f aca="false">N(AE1408)</f>
        <v>0</v>
      </c>
      <c r="CG1408" s="50" t="n">
        <f aca="false">N(M1408)+N(N1408)</f>
        <v>1</v>
      </c>
      <c r="CH1408" s="50" t="n">
        <f aca="false">ROUNDUP(H1408/BV1408,0)</f>
        <v>0</v>
      </c>
      <c r="CI1408" s="50" t="n">
        <f aca="false">ROUNDUP(CF1408/BV1408,0)</f>
        <v>0</v>
      </c>
      <c r="CJ1408" s="53" t="n">
        <f aca="false">IF(BW1408=1,0,IFERROR(VLOOKUP(BU1408,'Gebinde-Kategorie'!$A$5:$N$45,5,0)+0,0))</f>
        <v>0</v>
      </c>
      <c r="CK1408" s="53" t="n">
        <f aca="false">IFERROR(IF(OR(CB1408=1,CB1408=2,CB1408=3),N(INDEX(Parameter!$I$5:$I$7,CB1408)),0),0)</f>
        <v>0</v>
      </c>
      <c r="CL1408" s="52" t="n">
        <f aca="false">IF(AND(Parameter!$B$21="Ja",ISNUMBER(W1408),N(X1408)&gt;0),IFERROR(N(INDEX(Parameter!$L$5:$L$7,W1408))*INDEX(Parameter!$E$5:$E$7,W1408)*X1408/SUMIFS($X$7:$X$1843,$W$7:$W$1843,W1408),0),0)</f>
        <v>0</v>
      </c>
    </row>
    <row r="1409" customFormat="false" ht="15" hidden="false" customHeight="false" outlineLevel="0" collapsed="false">
      <c r="A1409" s="48" t="s">
        <v>2478</v>
      </c>
      <c r="B1409" s="48" t="s">
        <v>343</v>
      </c>
      <c r="C1409" s="48" t="s">
        <v>460</v>
      </c>
      <c r="D1409" s="48" t="s">
        <v>177</v>
      </c>
      <c r="E1409" s="48" t="s">
        <v>170</v>
      </c>
      <c r="F1409" s="48" t="s">
        <v>222</v>
      </c>
      <c r="G1409" s="49" t="n">
        <v>377.8</v>
      </c>
      <c r="H1409" s="50" t="n">
        <f aca="false">MAX(0,IF(AND(Parameter!$B$21="Ja",ISNUMBER(Y1409)),Y1409,IF(Parameter!$B$20="Jahresanfang 2025 + Export",BO1409+BN1409,BN1409)))</f>
        <v>0</v>
      </c>
      <c r="I1409" s="50" t="n">
        <f aca="false">H1409*G1409</f>
        <v>0</v>
      </c>
      <c r="J1409" s="50" t="n">
        <f aca="false">BQ1409*Parameter!$B$18</f>
        <v>13</v>
      </c>
      <c r="K1409" s="51" t="n">
        <v>6.5</v>
      </c>
      <c r="L1409" s="52" t="n">
        <v>2</v>
      </c>
      <c r="M1409" s="50" t="n">
        <v>1</v>
      </c>
      <c r="N1409" s="50" t="n">
        <v>15</v>
      </c>
      <c r="O1409" s="53" t="n">
        <v>35</v>
      </c>
      <c r="P1409" s="48" t="s">
        <v>172</v>
      </c>
      <c r="Q1409" s="50"/>
      <c r="R1409" s="53" t="n">
        <f aca="false">IF(BW1409=1,0,IFERROR(VLOOKUP(BU1409,'Gebinde-Kategorie'!$A$5:$N$45,13,0)+0,0))</f>
        <v>26</v>
      </c>
      <c r="S1409" s="54"/>
      <c r="T1409" s="55" t="s">
        <v>279</v>
      </c>
      <c r="U1409" s="55"/>
      <c r="V1409" s="55"/>
      <c r="W1409" s="48"/>
      <c r="X1409" s="50"/>
      <c r="Y1409" s="50"/>
      <c r="Z1409" s="48" t="n">
        <f aca="false">IF(A1409="","",IF(AND(Parameter!$B$21="Ja",ISNUMBER(W1409)),W1409,IF(BZ1409="2+3",IF(ISNUMBER(SEARCH("grosser Artikel",BR1409)),2,IFERROR(VLOOKUP(BU1409,Parameter!$F$35:$G$64,2,0),2)),IF(OR(BZ1409="Nein",BZ1409=""),"-",BZ1409))))</f>
        <v>1</v>
      </c>
      <c r="AA1409" s="55"/>
      <c r="AB1409" s="56"/>
      <c r="AC1409" s="50" t="n">
        <f aca="false">AT1409</f>
        <v>20</v>
      </c>
      <c r="AD1409" s="50" t="n">
        <f aca="false">MAX(AT1409,H1409)</f>
        <v>20</v>
      </c>
      <c r="AE1409" s="57"/>
      <c r="AF1409" s="50" t="n">
        <f aca="false">IF(LEFT(Cockpit!$C$5,1)="A",H1409,IF(CE1409=1,CF1409,IF(LEFT(Cockpit!$C$5,1)="B",AK1409,MAX(AK1409,H1409))))</f>
        <v>0</v>
      </c>
      <c r="AG1409" s="50" t="n">
        <f aca="false">IF(BW1409=1,0,ROUNDUP(AF1409/BV1409,0))</f>
        <v>0</v>
      </c>
      <c r="AH1409" s="52" t="n">
        <f aca="false">IF(CL1409&gt;0,CL1409*MAX(1,AF1409/X1409),IF(BW1409=1,IF(AF1409&lt;=0,0,CA1409*MAX(1,IF(H1409&gt;0,AF1409/H1409,1))),IF(R1409&gt;0,AG1409/R1409,0))/MAX(0.1,N(Parameter!$M$21)))</f>
        <v>0</v>
      </c>
      <c r="AI1409" s="50" t="n">
        <f aca="false">AH1409*BY1409</f>
        <v>0</v>
      </c>
      <c r="AJ1409" s="50" t="n">
        <f aca="false">AF1409*G1409</f>
        <v>0</v>
      </c>
      <c r="AK1409" s="50" t="n">
        <f aca="false">ROUNDUP(MAX(J1409/IF(CD1409&gt;0,CD1409,MAX(0.1,N(Cockpit!$C$6))),CG1409)/BV1409,0)*BV1409</f>
        <v>20</v>
      </c>
      <c r="AL1409" s="51" t="n">
        <f aca="false">IF(AI1409&gt;0,J1409/AI1409,-1)</f>
        <v>-1</v>
      </c>
      <c r="AM1409" s="51" t="str">
        <f aca="false">IF(AND(OR(CC1409="L1",CC1409="L23",CC1409="LIFT"),AI1409&gt;0),SUMIFS($AI$7:$AI$1843,$CC$7:$CC$1843,CC1409,$AL$7:$AL$1843,"&gt;"&amp;AL1409)+SUMIFS($AI$7:$AI$1843,$CC$7:$CC$1843,CC1409,$AL$7:$AL$1843,AL1409,$BT$7:$BT$1843,"&lt;="&amp;BT1409),"")</f>
        <v/>
      </c>
      <c r="AN1409" s="58" t="n">
        <f aca="false">IF(AM1409="",0,MAX(0,MIN(1,(IF(CC1409="L1",Parameter!$H$5,IF(CC1409="L23",Parameter!$H$6+Parameter!$H$7,Parameter!$H$5+Parameter!$H$6+Parameter!$H$7))-(AM1409-AI1409))/AI1409)))</f>
        <v>0</v>
      </c>
      <c r="AO1409" s="50" t="n">
        <f aca="false">IF(LEFT(Cockpit!$I$5,1)="A",H1409,IF(CE1409=1,CF1409,IF(LEFT(Cockpit!$I$5,1)="B",AT1409,MAX(AT1409,H1409))))</f>
        <v>20</v>
      </c>
      <c r="AP1409" s="50" t="n">
        <f aca="false">IF(BW1409=1,0,ROUNDUP(AO1409/BV1409,0))</f>
        <v>1</v>
      </c>
      <c r="AQ1409" s="52" t="n">
        <f aca="false">IF(CL1409&gt;0,CL1409*MAX(1,AO1409/X1409),IF(BW1409=1,IF(AO1409&lt;=0,0,CA1409*MAX(1,IF(H1409&gt;0,AO1409/H1409,1))),IF(R1409&gt;0,AP1409/R1409,0))/MAX(0.1,N(Parameter!$M$21)))</f>
        <v>0.0384615384615385</v>
      </c>
      <c r="AR1409" s="50" t="n">
        <f aca="false">AQ1409*BY1409</f>
        <v>5.96153846153846</v>
      </c>
      <c r="AS1409" s="50" t="n">
        <f aca="false">AO1409*G1409</f>
        <v>7556</v>
      </c>
      <c r="AT1409" s="50" t="n">
        <f aca="false">ROUNDUP(MAX(J1409/IF(CD1409&gt;0,CD1409,MAX(0.1,N(Cockpit!$I$6))),CG1409)/BV1409,0)*BV1409</f>
        <v>20</v>
      </c>
      <c r="AU1409" s="51" t="n">
        <f aca="false">IF(AR1409&gt;0,J1409/AR1409,-1)</f>
        <v>2.18064516129032</v>
      </c>
      <c r="AV1409" s="51" t="n">
        <f aca="false">IF(AND(OR(CC1409="L1",CC1409="L23",CC1409="LIFT"),AR1409&gt;0),SUMIFS($AR$7:$AR$1843,$CC$7:$CC$1843,CC1409,$AU$7:$AU$1843,"&gt;"&amp;AU1409)+SUMIFS($AR$7:$AR$1843,$CC$7:$CC$1843,CC1409,$AU$7:$AU$1843,AU1409,$BT$7:$BT$1843,"&lt;="&amp;BT1409),"")</f>
        <v>7344.59661172161</v>
      </c>
      <c r="AW1409" s="58" t="n">
        <f aca="false">IF(AV1409="",0,MAX(0,MIN(1,(IF(CC1409="L1",Parameter!$H$5,IF(CC1409="L23",Parameter!$H$6+Parameter!$H$7,Parameter!$H$5+Parameter!$H$6+Parameter!$H$7))-(AV1409-AR1409))/AR1409)))</f>
        <v>1</v>
      </c>
      <c r="AX1409" s="50" t="n">
        <f aca="false">IF(LEFT(Cockpit!$O$5,1)="A",H1409,IF(CE1409=1,CF1409,IF(LEFT(Cockpit!$O$5,1)="B",BC1409,MAX(BC1409,H1409))))</f>
        <v>20</v>
      </c>
      <c r="AY1409" s="50" t="n">
        <f aca="false">IF(BW1409=1,0,ROUNDUP(AX1409/BV1409,0))</f>
        <v>1</v>
      </c>
      <c r="AZ1409" s="52" t="n">
        <f aca="false">IF(CL1409&gt;0,CL1409*MAX(1,AX1409/X1409),IF(BW1409=1,IF(AX1409&lt;=0,0,CA1409*MAX(1,IF(H1409&gt;0,AX1409/H1409,1))),IF(R1409&gt;0,AY1409/R1409,0))/MAX(0.1,N(Parameter!$M$21)))</f>
        <v>0.0384615384615385</v>
      </c>
      <c r="BA1409" s="50" t="n">
        <f aca="false">AZ1409*BY1409</f>
        <v>5.96153846153846</v>
      </c>
      <c r="BB1409" s="50" t="n">
        <f aca="false">AX1409*G1409</f>
        <v>7556</v>
      </c>
      <c r="BC1409" s="50" t="n">
        <f aca="false">ROUNDUP(MAX(J1409/IF(CD1409&gt;0,CD1409,MAX(0.1,N(Cockpit!$O$6))),CG1409)/BV1409,0)*BV1409</f>
        <v>20</v>
      </c>
      <c r="BD1409" s="51" t="n">
        <f aca="false">IF(BA1409&gt;0,J1409/BA1409,-1)</f>
        <v>2.18064516129032</v>
      </c>
      <c r="BE1409" s="51" t="n">
        <f aca="false">IF(AND(OR(CC1409="L1",CC1409="L23",CC1409="LIFT"),BA1409&gt;0),SUMIFS($BA$7:$BA$1843,$CC$7:$CC$1843,CC1409,$BD$7:$BD$1843,"&gt;"&amp;BD1409)+SUMIFS($BA$7:$BA$1843,$CC$7:$CC$1843,CC1409,$BD$7:$BD$1843,BD1409,$BT$7:$BT$1843,"&lt;="&amp;BT1409),"")</f>
        <v>6917.336996337</v>
      </c>
      <c r="BF1409" s="58" t="n">
        <f aca="false">IF(BE1409="",0,MAX(0,MIN(1,(IF(CC1409="L1",Parameter!$H$5,IF(CC1409="L23",Parameter!$H$6+Parameter!$H$7,Parameter!$H$5+Parameter!$H$6+Parameter!$H$7))-(BE1409-BA1409))/BA1409)))</f>
        <v>1</v>
      </c>
      <c r="BG1409" s="48" t="str">
        <f aca="false">IF(AI1409&lt;=0,"",IF(CC1409="Aussen","Aussenlager",IF(CC1409="-","Nicht im Lift",IF(AN1409&gt;=1,"Lift",IF(AN1409&lt;=0,"Aussenlager","teilweise")))))</f>
        <v/>
      </c>
      <c r="BH1409" s="48" t="str">
        <f aca="false">IF(AR1409&lt;=0,"",IF(CC1409="Aussen","Aussenlager",IF(CC1409="-","Nicht im Lift",IF(AW1409&gt;=1,"Lift",IF(AW1409&lt;=0,"Aussenlager","teilweise")))))</f>
        <v>Lift</v>
      </c>
      <c r="BI1409" s="48" t="str">
        <f aca="false">IF(BA1409&lt;=0,"",IF(CC1409="Aussen","Aussenlager",IF(CC1409="-","Nicht im Lift",IF(BF1409&gt;=1,"Lift",IF(BF1409&lt;=0,"Aussenlager","teilweise")))))</f>
        <v>Lift</v>
      </c>
      <c r="BJ1409" s="48" t="str">
        <f aca="false">IF(A1409="","",IF(BS1409=1,"Neu; ","")&amp;IF(AND(BS1409=0,BN1409&lt;0),"negativer Bestand (Export "&amp;BN1409&amp;"); ","")&amp;IF(J1409&lt;=0,"Kein Verbrauch; ","")&amp;IF(CL1409&gt;0,"Lift "&amp;W1409&amp;" lt. Liftbericht (Fach "&amp;X1409&amp;" Stk); ",IF(BX1409=1,"Gebinde geschätzt ("&amp;T1409&amp;"); ",IF(BW1409=1,"Lose – Tablare geschätzt; ","")))&amp;IF(H1409&gt;AT1409,"Überbestand "&amp;ROUND(H1409-AT1409,0)&amp;" Stk / CHF "&amp;ROUND((H1409-AT1409)*G1409,0)&amp;"; ","")&amp;IF(AND(CE1409=1,CF1409&lt;CG1409),"MAX &lt; MB+LG; ","")&amp;IF(AND(CK1409&gt;0,CJ1409*10&gt;CK1409),"zu hoch für Tablar; ","")&amp;IF(AND(BS1409=0,OR(CE1409=1,AA1409&lt;&gt;"",U1409&lt;&gt;"",V1409&lt;&gt;"",AB1409&lt;&gt;"")),"manuell übersteuert; ","")&amp;IF(AND(BW1409=0,R1409=0),"Gebinde unbekannt / Stellmass fehlt; ","")&amp;IF(AND(BW1409=0,N(V1409)&lt;=0,N(Q1409)&lt;=0),"Menge pro Gebinde fehlt (Ist = 1 Gebinde); ","")&amp;BR1409)</f>
        <v>negativer Bestand (Export -13); Gebinde geschätzt (Klein); Menge pro Gebinde fehlt (Ist = 1 Gebinde); Neu</v>
      </c>
      <c r="BK1409" s="48"/>
      <c r="BL1409" s="48"/>
      <c r="BM1409" s="55"/>
      <c r="BN1409" s="50" t="n">
        <v>-13</v>
      </c>
      <c r="BO1409" s="50" t="n">
        <v>13</v>
      </c>
      <c r="BP1409" s="49" t="n">
        <v>-4911.4</v>
      </c>
      <c r="BQ1409" s="50" t="n">
        <v>13</v>
      </c>
      <c r="BR1409" s="48" t="s">
        <v>630</v>
      </c>
      <c r="BS1409" s="53" t="n">
        <v>0</v>
      </c>
      <c r="BT1409" s="53" t="n">
        <v>1409</v>
      </c>
      <c r="BU1409" s="48" t="str">
        <f aca="false">IF(U1409&lt;&gt;"",UPPER(TRIM(U1409)),IF(BX1409=1,UPPER(VLOOKUP(T1409,Parameter!$I$27:$K$29,2,0)),IF(P1409="","LOSE",P1409)))</f>
        <v>S51</v>
      </c>
      <c r="BV1409" s="50" t="n">
        <f aca="false">IF(BU1409="LOSE",1,IF(N(V1409)&gt;0,V1409,IF(BX1409=1,MAX(1,N(VLOOKUP(T1409,Parameter!$I$27:$K$29,3,0)),H1409,N(N1409)),IF(N(Q1409)&gt;0,Q1409,MAX(1,H1409)))))</f>
        <v>20</v>
      </c>
      <c r="BW1409" s="53" t="n">
        <f aca="false">IF(BU1409="LOSE",1,0)</f>
        <v>0</v>
      </c>
      <c r="BX1409" s="53" t="n">
        <f aca="false">IF(AND(U1409="",OR(P1409="",P1409="LOSE"),T1409&lt;&gt;"",N(S1409)&lt;=0,ISNUMBER(MATCH(T1409,Parameter!$I$27:$I$29,0))),1,0)</f>
        <v>1</v>
      </c>
      <c r="BY1409" s="53" t="n">
        <f aca="false">IF(CL1409&gt;0,INDEX(Parameter!$H$5:$H$7,W1409)/INDEX(Parameter!$E$5:$E$7,W1409),IF(AND(BW1409=0,N(IFERROR(VLOOKUP(BU1409,'Gebinde-Kategorie'!$A$5:$N$45,14,0),0))&gt;0),VLOOKUP(BU1409,'Gebinde-Kategorie'!$A$5:$N$45,14,0)*10+Parameter!$M$23,Parameter!$M$24))</f>
        <v>155</v>
      </c>
      <c r="BZ1409" s="48" t="n">
        <f aca="false">IF(AND(Parameter!$B$19="Ja",E1409&lt;&gt;"",ISNUMBER(MATCH(E1409,Parameter!$I$35:$I$52,0))),VLOOKUP(E1409,Parameter!$I$35:$J$52,2,0),IFERROR(VLOOKUP(D1409,Parameter!$A$35:$C$64,2,0),"Nein"))</f>
        <v>1</v>
      </c>
      <c r="CA1409" s="52" t="n">
        <f aca="false">IF(BW1409=0,0,IF(N(S1409)&gt;0,S1409,IFERROR(VLOOKUP(D1409,Parameter!$A$35:$C$64,3,0)+0,0)))</f>
        <v>0</v>
      </c>
      <c r="CB1409" s="48" t="n">
        <f aca="false">IF(AA1409&lt;&gt;"",AA1409,Z1409)</f>
        <v>1</v>
      </c>
      <c r="CC1409" s="48" t="str">
        <f aca="false">IF(OR(CB1409=1,CB1409=2,CB1409=3),IF(Parameter!$E$27="Ja","LIFT",IF(CB1409=1,"L1","L23")),IF(CB1409="Aussen","Aussen","-"))</f>
        <v>LIFT</v>
      </c>
      <c r="CD1409" s="59" t="n">
        <f aca="false">IF(N(AB1409)&gt;0,AB1409,0)</f>
        <v>0</v>
      </c>
      <c r="CE1409" s="53" t="n">
        <f aca="false">IF(ISNUMBER(AE1409),1,0)</f>
        <v>0</v>
      </c>
      <c r="CF1409" s="50" t="n">
        <f aca="false">N(AE1409)</f>
        <v>0</v>
      </c>
      <c r="CG1409" s="50" t="n">
        <f aca="false">N(M1409)+N(N1409)</f>
        <v>16</v>
      </c>
      <c r="CH1409" s="50" t="n">
        <f aca="false">ROUNDUP(H1409/BV1409,0)</f>
        <v>0</v>
      </c>
      <c r="CI1409" s="50" t="n">
        <f aca="false">ROUNDUP(CF1409/BV1409,0)</f>
        <v>0</v>
      </c>
      <c r="CJ1409" s="53" t="n">
        <f aca="false">IF(BW1409=1,0,IFERROR(VLOOKUP(BU1409,'Gebinde-Kategorie'!$A$5:$N$45,5,0)+0,0))</f>
        <v>11</v>
      </c>
      <c r="CK1409" s="53" t="n">
        <f aca="false">IFERROR(IF(OR(CB1409=1,CB1409=2,CB1409=3),N(INDEX(Parameter!$I$5:$I$7,CB1409)),0),0)</f>
        <v>0</v>
      </c>
      <c r="CL1409" s="52" t="n">
        <f aca="false">IF(AND(Parameter!$B$21="Ja",ISNUMBER(W1409),N(X1409)&gt;0),IFERROR(N(INDEX(Parameter!$L$5:$L$7,W1409))*INDEX(Parameter!$E$5:$E$7,W1409)*X1409/SUMIFS($X$7:$X$1843,$W$7:$W$1843,W1409),0),0)</f>
        <v>0</v>
      </c>
    </row>
    <row r="1410" customFormat="false" ht="15" hidden="false" customHeight="false" outlineLevel="0" collapsed="false">
      <c r="A1410" s="48" t="s">
        <v>2479</v>
      </c>
      <c r="B1410" s="48" t="s">
        <v>2480</v>
      </c>
      <c r="C1410" s="48" t="s">
        <v>168</v>
      </c>
      <c r="D1410" s="48" t="s">
        <v>188</v>
      </c>
      <c r="E1410" s="48" t="s">
        <v>189</v>
      </c>
      <c r="F1410" s="48" t="s">
        <v>222</v>
      </c>
      <c r="G1410" s="49" t="n">
        <v>249</v>
      </c>
      <c r="H1410" s="50" t="n">
        <f aca="false">MAX(0,IF(AND(Parameter!$B$21="Ja",ISNUMBER(Y1410)),Y1410,IF(Parameter!$B$20="Jahresanfang 2025 + Export",BO1410+BN1410,BN1410)))</f>
        <v>21</v>
      </c>
      <c r="I1410" s="50" t="n">
        <f aca="false">H1410*G1410</f>
        <v>5229</v>
      </c>
      <c r="J1410" s="50" t="n">
        <f aca="false">BQ1410*Parameter!$B$18</f>
        <v>225</v>
      </c>
      <c r="K1410" s="51" t="n">
        <v>53</v>
      </c>
      <c r="L1410" s="52" t="n">
        <v>4.24528301886793</v>
      </c>
      <c r="M1410" s="50" t="n">
        <v>13</v>
      </c>
      <c r="N1410" s="50" t="n">
        <v>25</v>
      </c>
      <c r="O1410" s="53" t="n">
        <v>21</v>
      </c>
      <c r="P1410" s="48" t="s">
        <v>237</v>
      </c>
      <c r="Q1410" s="50" t="n">
        <v>88</v>
      </c>
      <c r="R1410" s="53" t="n">
        <f aca="false">IF(BW1410=1,0,IFERROR(VLOOKUP(BU1410,'Gebinde-Kategorie'!$A$5:$N$45,13,0)+0,0))</f>
        <v>26</v>
      </c>
      <c r="S1410" s="54"/>
      <c r="T1410" s="55"/>
      <c r="U1410" s="55"/>
      <c r="V1410" s="55"/>
      <c r="W1410" s="48"/>
      <c r="X1410" s="50"/>
      <c r="Y1410" s="50"/>
      <c r="Z1410" s="48" t="n">
        <f aca="false">IF(A1410="","",IF(AND(Parameter!$B$21="Ja",ISNUMBER(W1410)),W1410,IF(BZ1410="2+3",IF(ISNUMBER(SEARCH("grosser Artikel",BR1410)),2,IFERROR(VLOOKUP(BU1410,Parameter!$F$35:$G$64,2,0),2)),IF(OR(BZ1410="Nein",BZ1410=""),"-",BZ1410))))</f>
        <v>3</v>
      </c>
      <c r="AA1410" s="55"/>
      <c r="AB1410" s="56"/>
      <c r="AC1410" s="50" t="n">
        <f aca="false">AT1410</f>
        <v>176</v>
      </c>
      <c r="AD1410" s="50" t="n">
        <f aca="false">MAX(AT1410,H1410)</f>
        <v>176</v>
      </c>
      <c r="AE1410" s="57"/>
      <c r="AF1410" s="50" t="n">
        <f aca="false">IF(LEFT(Cockpit!$C$5,1)="A",H1410,IF(CE1410=1,CF1410,IF(LEFT(Cockpit!$C$5,1)="B",AK1410,MAX(AK1410,H1410))))</f>
        <v>21</v>
      </c>
      <c r="AG1410" s="50" t="n">
        <f aca="false">IF(BW1410=1,0,ROUNDUP(AF1410/BV1410,0))</f>
        <v>1</v>
      </c>
      <c r="AH1410" s="52" t="n">
        <f aca="false">IF(CL1410&gt;0,CL1410*MAX(1,AF1410/X1410),IF(BW1410=1,IF(AF1410&lt;=0,0,CA1410*MAX(1,IF(H1410&gt;0,AF1410/H1410,1))),IF(R1410&gt;0,AG1410/R1410,0))/MAX(0.1,N(Parameter!$M$21)))</f>
        <v>0.0384615384615385</v>
      </c>
      <c r="AI1410" s="50" t="n">
        <f aca="false">AH1410*BY1410</f>
        <v>9.42307692307692</v>
      </c>
      <c r="AJ1410" s="50" t="n">
        <f aca="false">AF1410*G1410</f>
        <v>5229</v>
      </c>
      <c r="AK1410" s="50" t="n">
        <f aca="false">ROUNDUP(MAX(J1410/IF(CD1410&gt;0,CD1410,MAX(0.1,N(Cockpit!$C$6))),CG1410)/BV1410,0)*BV1410</f>
        <v>176</v>
      </c>
      <c r="AL1410" s="51" t="n">
        <f aca="false">IF(AI1410&gt;0,J1410/AI1410,-1)</f>
        <v>23.8775510204082</v>
      </c>
      <c r="AM1410" s="51" t="n">
        <f aca="false">IF(AND(OR(CC1410="L1",CC1410="L23",CC1410="LIFT"),AI1410&gt;0),SUMIFS($AI$7:$AI$1843,$CC$7:$CC$1843,CC1410,$AL$7:$AL$1843,"&gt;"&amp;AL1410)+SUMIFS($AI$7:$AI$1843,$CC$7:$CC$1843,CC1410,$AL$7:$AL$1843,AL1410,$BT$7:$BT$1843,"&lt;="&amp;BT1410),"")</f>
        <v>1559.50228937729</v>
      </c>
      <c r="AN1410" s="58" t="n">
        <f aca="false">IF(AM1410="",0,MAX(0,MIN(1,(IF(CC1410="L1",Parameter!$H$5,IF(CC1410="L23",Parameter!$H$6+Parameter!$H$7,Parameter!$H$5+Parameter!$H$6+Parameter!$H$7))-(AM1410-AI1410))/AI1410)))</f>
        <v>1</v>
      </c>
      <c r="AO1410" s="50" t="n">
        <f aca="false">IF(LEFT(Cockpit!$I$5,1)="A",H1410,IF(CE1410=1,CF1410,IF(LEFT(Cockpit!$I$5,1)="B",AT1410,MAX(AT1410,H1410))))</f>
        <v>176</v>
      </c>
      <c r="AP1410" s="50" t="n">
        <f aca="false">IF(BW1410=1,0,ROUNDUP(AO1410/BV1410,0))</f>
        <v>2</v>
      </c>
      <c r="AQ1410" s="52" t="n">
        <f aca="false">IF(CL1410&gt;0,CL1410*MAX(1,AO1410/X1410),IF(BW1410=1,IF(AO1410&lt;=0,0,CA1410*MAX(1,IF(H1410&gt;0,AO1410/H1410,1))),IF(R1410&gt;0,AP1410/R1410,0))/MAX(0.1,N(Parameter!$M$21)))</f>
        <v>0.0769230769230769</v>
      </c>
      <c r="AR1410" s="50" t="n">
        <f aca="false">AQ1410*BY1410</f>
        <v>18.8461538461538</v>
      </c>
      <c r="AS1410" s="50" t="n">
        <f aca="false">AO1410*G1410</f>
        <v>43824</v>
      </c>
      <c r="AT1410" s="50" t="n">
        <f aca="false">ROUNDUP(MAX(J1410/IF(CD1410&gt;0,CD1410,MAX(0.1,N(Cockpit!$I$6))),CG1410)/BV1410,0)*BV1410</f>
        <v>176</v>
      </c>
      <c r="AU1410" s="51" t="n">
        <f aca="false">IF(AR1410&gt;0,J1410/AR1410,-1)</f>
        <v>11.9387755102041</v>
      </c>
      <c r="AV1410" s="51" t="n">
        <f aca="false">IF(AND(OR(CC1410="L1",CC1410="L23",CC1410="LIFT"),AR1410&gt;0),SUMIFS($AR$7:$AR$1843,$CC$7:$CC$1843,CC1410,$AU$7:$AU$1843,"&gt;"&amp;AU1410)+SUMIFS($AR$7:$AR$1843,$CC$7:$CC$1843,CC1410,$AU$7:$AU$1843,AU1410,$BT$7:$BT$1843,"&lt;="&amp;BT1410),"")</f>
        <v>3669.32554945055</v>
      </c>
      <c r="AW1410" s="58" t="n">
        <f aca="false">IF(AV1410="",0,MAX(0,MIN(1,(IF(CC1410="L1",Parameter!$H$5,IF(CC1410="L23",Parameter!$H$6+Parameter!$H$7,Parameter!$H$5+Parameter!$H$6+Parameter!$H$7))-(AV1410-AR1410))/AR1410)))</f>
        <v>1</v>
      </c>
      <c r="AX1410" s="50" t="n">
        <f aca="false">IF(LEFT(Cockpit!$O$5,1)="A",H1410,IF(CE1410=1,CF1410,IF(LEFT(Cockpit!$O$5,1)="B",BC1410,MAX(BC1410,H1410))))</f>
        <v>88</v>
      </c>
      <c r="AY1410" s="50" t="n">
        <f aca="false">IF(BW1410=1,0,ROUNDUP(AX1410/BV1410,0))</f>
        <v>1</v>
      </c>
      <c r="AZ1410" s="52" t="n">
        <f aca="false">IF(CL1410&gt;0,CL1410*MAX(1,AX1410/X1410),IF(BW1410=1,IF(AX1410&lt;=0,0,CA1410*MAX(1,IF(H1410&gt;0,AX1410/H1410,1))),IF(R1410&gt;0,AY1410/R1410,0))/MAX(0.1,N(Parameter!$M$21)))</f>
        <v>0.0384615384615385</v>
      </c>
      <c r="BA1410" s="50" t="n">
        <f aca="false">AZ1410*BY1410</f>
        <v>9.42307692307692</v>
      </c>
      <c r="BB1410" s="50" t="n">
        <f aca="false">AX1410*G1410</f>
        <v>21912</v>
      </c>
      <c r="BC1410" s="50" t="n">
        <f aca="false">ROUNDUP(MAX(J1410/IF(CD1410&gt;0,CD1410,MAX(0.1,N(Cockpit!$O$6))),CG1410)/BV1410,0)*BV1410</f>
        <v>88</v>
      </c>
      <c r="BD1410" s="51" t="n">
        <f aca="false">IF(BA1410&gt;0,J1410/BA1410,-1)</f>
        <v>23.8775510204082</v>
      </c>
      <c r="BE1410" s="51" t="n">
        <f aca="false">IF(AND(OR(CC1410="L1",CC1410="L23",CC1410="LIFT"),BA1410&gt;0),SUMIFS($BA$7:$BA$1843,$CC$7:$CC$1843,CC1410,$BD$7:$BD$1843,"&gt;"&amp;BD1410)+SUMIFS($BA$7:$BA$1843,$CC$7:$CC$1843,CC1410,$BD$7:$BD$1843,BD1410,$BT$7:$BT$1843,"&lt;="&amp;BT1410),"")</f>
        <v>2292.18177655678</v>
      </c>
      <c r="BF1410" s="58" t="n">
        <f aca="false">IF(BE1410="",0,MAX(0,MIN(1,(IF(CC1410="L1",Parameter!$H$5,IF(CC1410="L23",Parameter!$H$6+Parameter!$H$7,Parameter!$H$5+Parameter!$H$6+Parameter!$H$7))-(BE1410-BA1410))/BA1410)))</f>
        <v>1</v>
      </c>
      <c r="BG1410" s="48" t="str">
        <f aca="false">IF(AI1410&lt;=0,"",IF(CC1410="Aussen","Aussenlager",IF(CC1410="-","Nicht im Lift",IF(AN1410&gt;=1,"Lift",IF(AN1410&lt;=0,"Aussenlager","teilweise")))))</f>
        <v>Lift</v>
      </c>
      <c r="BH1410" s="48" t="str">
        <f aca="false">IF(AR1410&lt;=0,"",IF(CC1410="Aussen","Aussenlager",IF(CC1410="-","Nicht im Lift",IF(AW1410&gt;=1,"Lift",IF(AW1410&lt;=0,"Aussenlager","teilweise")))))</f>
        <v>Lift</v>
      </c>
      <c r="BI1410" s="48" t="str">
        <f aca="false">IF(BA1410&lt;=0,"",IF(CC1410="Aussen","Aussenlager",IF(CC1410="-","Nicht im Lift",IF(BF1410&gt;=1,"Lift",IF(BF1410&lt;=0,"Aussenlager","teilweise")))))</f>
        <v>Lift</v>
      </c>
      <c r="BJ1410" s="48" t="str">
        <f aca="false">IF(A1410="","",IF(BS1410=1,"Neu; ","")&amp;IF(AND(BS1410=0,BN1410&lt;0),"negativer Bestand (Export "&amp;BN1410&amp;"); ","")&amp;IF(J1410&lt;=0,"Kein Verbrauch; ","")&amp;IF(CL1410&gt;0,"Lift "&amp;W1410&amp;" lt. Liftbericht (Fach "&amp;X1410&amp;" Stk); ",IF(BX1410=1,"Gebinde geschätzt ("&amp;T1410&amp;"); ",IF(BW1410=1,"Lose – Tablare geschätzt; ","")))&amp;IF(H1410&gt;AT1410,"Überbestand "&amp;ROUND(H1410-AT1410,0)&amp;" Stk / CHF "&amp;ROUND((H1410-AT1410)*G1410,0)&amp;"; ","")&amp;IF(AND(CE1410=1,CF1410&lt;CG1410),"MAX &lt; MB+LG; ","")&amp;IF(AND(CK1410&gt;0,CJ1410*10&gt;CK1410),"zu hoch für Tablar; ","")&amp;IF(AND(BS1410=0,OR(CE1410=1,AA1410&lt;&gt;"",U1410&lt;&gt;"",V1410&lt;&gt;"",AB1410&lt;&gt;"")),"manuell übersteuert; ","")&amp;IF(AND(BW1410=0,R1410=0),"Gebinde unbekannt / Stellmass fehlt; ","")&amp;IF(AND(BW1410=0,N(V1410)&lt;=0,N(Q1410)&lt;=0),"Menge pro Gebinde fehlt (Ist = 1 Gebinde); ","")&amp;BR1410)</f>
        <v>negativer Bestand (Export -22); </v>
      </c>
      <c r="BK1410" s="48"/>
      <c r="BL1410" s="48"/>
      <c r="BM1410" s="55"/>
      <c r="BN1410" s="50" t="n">
        <v>-22</v>
      </c>
      <c r="BO1410" s="50" t="n">
        <v>43</v>
      </c>
      <c r="BP1410" s="49" t="n">
        <v>-4958.52999999999</v>
      </c>
      <c r="BQ1410" s="50" t="n">
        <v>225</v>
      </c>
      <c r="BR1410" s="48"/>
      <c r="BS1410" s="53" t="n">
        <v>0</v>
      </c>
      <c r="BT1410" s="53" t="n">
        <v>1410</v>
      </c>
      <c r="BU1410" s="48" t="str">
        <f aca="false">IF(U1410&lt;&gt;"",UPPER(TRIM(U1410)),IF(BX1410=1,UPPER(VLOOKUP(T1410,Parameter!$I$27:$K$29,2,0)),IF(P1410="","LOSE",P1410)))</f>
        <v>S52</v>
      </c>
      <c r="BV1410" s="50" t="n">
        <f aca="false">IF(BU1410="LOSE",1,IF(N(V1410)&gt;0,V1410,IF(BX1410=1,MAX(1,N(VLOOKUP(T1410,Parameter!$I$27:$K$29,3,0)),H1410,N(N1410)),IF(N(Q1410)&gt;0,Q1410,MAX(1,H1410)))))</f>
        <v>88</v>
      </c>
      <c r="BW1410" s="53" t="n">
        <f aca="false">IF(BU1410="LOSE",1,0)</f>
        <v>0</v>
      </c>
      <c r="BX1410" s="53" t="n">
        <f aca="false">IF(AND(U1410="",OR(P1410="",P1410="LOSE"),T1410&lt;&gt;"",N(S1410)&lt;=0,ISNUMBER(MATCH(T1410,Parameter!$I$27:$I$29,0))),1,0)</f>
        <v>0</v>
      </c>
      <c r="BY1410" s="53" t="n">
        <f aca="false">IF(CL1410&gt;0,INDEX(Parameter!$H$5:$H$7,W1410)/INDEX(Parameter!$E$5:$E$7,W1410),IF(AND(BW1410=0,N(IFERROR(VLOOKUP(BU1410,'Gebinde-Kategorie'!$A$5:$N$45,14,0),0))&gt;0),VLOOKUP(BU1410,'Gebinde-Kategorie'!$A$5:$N$45,14,0)*10+Parameter!$M$23,Parameter!$M$24))</f>
        <v>245</v>
      </c>
      <c r="BZ1410" s="48" t="str">
        <f aca="false">IF(AND(Parameter!$B$19="Ja",E1410&lt;&gt;"",ISNUMBER(MATCH(E1410,Parameter!$I$35:$I$52,0))),VLOOKUP(E1410,Parameter!$I$35:$J$52,2,0),IFERROR(VLOOKUP(D1410,Parameter!$A$35:$C$64,2,0),"Nein"))</f>
        <v>2+3</v>
      </c>
      <c r="CA1410" s="52" t="n">
        <f aca="false">IF(BW1410=0,0,IF(N(S1410)&gt;0,S1410,IFERROR(VLOOKUP(D1410,Parameter!$A$35:$C$64,3,0)+0,0)))</f>
        <v>0</v>
      </c>
      <c r="CB1410" s="48" t="n">
        <f aca="false">IF(AA1410&lt;&gt;"",AA1410,Z1410)</f>
        <v>3</v>
      </c>
      <c r="CC1410" s="48" t="str">
        <f aca="false">IF(OR(CB1410=1,CB1410=2,CB1410=3),IF(Parameter!$E$27="Ja","LIFT",IF(CB1410=1,"L1","L23")),IF(CB1410="Aussen","Aussen","-"))</f>
        <v>LIFT</v>
      </c>
      <c r="CD1410" s="59" t="n">
        <f aca="false">IF(N(AB1410)&gt;0,AB1410,0)</f>
        <v>0</v>
      </c>
      <c r="CE1410" s="53" t="n">
        <f aca="false">IF(ISNUMBER(AE1410),1,0)</f>
        <v>0</v>
      </c>
      <c r="CF1410" s="50" t="n">
        <f aca="false">N(AE1410)</f>
        <v>0</v>
      </c>
      <c r="CG1410" s="50" t="n">
        <f aca="false">N(M1410)+N(N1410)</f>
        <v>38</v>
      </c>
      <c r="CH1410" s="50" t="n">
        <f aca="false">ROUNDUP(H1410/BV1410,0)</f>
        <v>1</v>
      </c>
      <c r="CI1410" s="50" t="n">
        <f aca="false">ROUNDUP(CF1410/BV1410,0)</f>
        <v>0</v>
      </c>
      <c r="CJ1410" s="53" t="n">
        <f aca="false">IF(BW1410=1,0,IFERROR(VLOOKUP(BU1410,'Gebinde-Kategorie'!$A$5:$N$45,5,0)+0,0))</f>
        <v>21</v>
      </c>
      <c r="CK1410" s="53" t="n">
        <f aca="false">IFERROR(IF(OR(CB1410=1,CB1410=2,CB1410=3),N(INDEX(Parameter!$I$5:$I$7,CB1410)),0),0)</f>
        <v>0</v>
      </c>
      <c r="CL1410" s="52" t="n">
        <f aca="false">IF(AND(Parameter!$B$21="Ja",ISNUMBER(W1410),N(X1410)&gt;0),IFERROR(N(INDEX(Parameter!$L$5:$L$7,W1410))*INDEX(Parameter!$E$5:$E$7,W1410)*X1410/SUMIFS($X$7:$X$1843,$W$7:$W$1843,W1410),0),0)</f>
        <v>0</v>
      </c>
    </row>
    <row r="1411" customFormat="false" ht="15" hidden="false" customHeight="false" outlineLevel="0" collapsed="false">
      <c r="A1411" s="48" t="s">
        <v>2481</v>
      </c>
      <c r="B1411" s="48" t="s">
        <v>2482</v>
      </c>
      <c r="C1411" s="48" t="s">
        <v>168</v>
      </c>
      <c r="D1411" s="48" t="s">
        <v>177</v>
      </c>
      <c r="E1411" s="48" t="s">
        <v>170</v>
      </c>
      <c r="F1411" s="48" t="s">
        <v>222</v>
      </c>
      <c r="G1411" s="49" t="n">
        <v>136.16</v>
      </c>
      <c r="H1411" s="50" t="n">
        <f aca="false">MAX(0,IF(AND(Parameter!$B$21="Ja",ISNUMBER(Y1411)),Y1411,IF(Parameter!$B$20="Jahresanfang 2025 + Export",BO1411+BN1411,BN1411)))</f>
        <v>27</v>
      </c>
      <c r="I1411" s="50" t="n">
        <f aca="false">H1411*G1411</f>
        <v>3676.32</v>
      </c>
      <c r="J1411" s="50" t="n">
        <f aca="false">BQ1411*Parameter!$B$18</f>
        <v>88</v>
      </c>
      <c r="K1411" s="51" t="n">
        <v>41.5</v>
      </c>
      <c r="L1411" s="52" t="n">
        <v>2.12048192771084</v>
      </c>
      <c r="M1411" s="50" t="n">
        <v>20</v>
      </c>
      <c r="N1411" s="50" t="n">
        <v>30</v>
      </c>
      <c r="O1411" s="53" t="n">
        <v>70</v>
      </c>
      <c r="P1411" s="48" t="s">
        <v>178</v>
      </c>
      <c r="Q1411" s="50" t="n">
        <v>80</v>
      </c>
      <c r="R1411" s="53" t="n">
        <f aca="false">IF(BW1411=1,0,IFERROR(VLOOKUP(BU1411,'Gebinde-Kategorie'!$A$5:$N$45,13,0)+0,0))</f>
        <v>6</v>
      </c>
      <c r="S1411" s="54"/>
      <c r="T1411" s="55"/>
      <c r="U1411" s="55"/>
      <c r="V1411" s="55"/>
      <c r="W1411" s="48"/>
      <c r="X1411" s="50"/>
      <c r="Y1411" s="50"/>
      <c r="Z1411" s="48" t="n">
        <f aca="false">IF(A1411="","",IF(AND(Parameter!$B$21="Ja",ISNUMBER(W1411)),W1411,IF(BZ1411="2+3",IF(ISNUMBER(SEARCH("grosser Artikel",BR1411)),2,IFERROR(VLOOKUP(BU1411,Parameter!$F$35:$G$64,2,0),2)),IF(OR(BZ1411="Nein",BZ1411=""),"-",BZ1411))))</f>
        <v>1</v>
      </c>
      <c r="AA1411" s="55"/>
      <c r="AB1411" s="56"/>
      <c r="AC1411" s="50" t="n">
        <f aca="false">AT1411</f>
        <v>80</v>
      </c>
      <c r="AD1411" s="50" t="n">
        <f aca="false">MAX(AT1411,H1411)</f>
        <v>80</v>
      </c>
      <c r="AE1411" s="57"/>
      <c r="AF1411" s="50" t="n">
        <f aca="false">IF(LEFT(Cockpit!$C$5,1)="A",H1411,IF(CE1411=1,CF1411,IF(LEFT(Cockpit!$C$5,1)="B",AK1411,MAX(AK1411,H1411))))</f>
        <v>27</v>
      </c>
      <c r="AG1411" s="50" t="n">
        <f aca="false">IF(BW1411=1,0,ROUNDUP(AF1411/BV1411,0))</f>
        <v>1</v>
      </c>
      <c r="AH1411" s="52" t="n">
        <f aca="false">IF(CL1411&gt;0,CL1411*MAX(1,AF1411/X1411),IF(BW1411=1,IF(AF1411&lt;=0,0,CA1411*MAX(1,IF(H1411&gt;0,AF1411/H1411,1))),IF(R1411&gt;0,AG1411/R1411,0))/MAX(0.1,N(Parameter!$M$21)))</f>
        <v>0.166666666666667</v>
      </c>
      <c r="AI1411" s="50" t="n">
        <f aca="false">AH1411*BY1411</f>
        <v>39.1666666666667</v>
      </c>
      <c r="AJ1411" s="50" t="n">
        <f aca="false">AF1411*G1411</f>
        <v>3676.32</v>
      </c>
      <c r="AK1411" s="50" t="n">
        <f aca="false">ROUNDUP(MAX(J1411/IF(CD1411&gt;0,CD1411,MAX(0.1,N(Cockpit!$C$6))),CG1411)/BV1411,0)*BV1411</f>
        <v>80</v>
      </c>
      <c r="AL1411" s="51" t="n">
        <f aca="false">IF(AI1411&gt;0,J1411/AI1411,-1)</f>
        <v>2.2468085106383</v>
      </c>
      <c r="AM1411" s="51" t="n">
        <f aca="false">IF(AND(OR(CC1411="L1",CC1411="L23",CC1411="LIFT"),AI1411&gt;0),SUMIFS($AI$7:$AI$1843,$CC$7:$CC$1843,CC1411,$AL$7:$AL$1843,"&gt;"&amp;AL1411)+SUMIFS($AI$7:$AI$1843,$CC$7:$CC$1843,CC1411,$AL$7:$AL$1843,AL1411,$BT$7:$BT$1843,"&lt;="&amp;BT1411),"")</f>
        <v>5682.30815018315</v>
      </c>
      <c r="AN1411" s="58" t="n">
        <f aca="false">IF(AM1411="",0,MAX(0,MIN(1,(IF(CC1411="L1",Parameter!$H$5,IF(CC1411="L23",Parameter!$H$6+Parameter!$H$7,Parameter!$H$5+Parameter!$H$6+Parameter!$H$7))-(AM1411-AI1411))/AI1411)))</f>
        <v>1</v>
      </c>
      <c r="AO1411" s="50" t="n">
        <f aca="false">IF(LEFT(Cockpit!$I$5,1)="A",H1411,IF(CE1411=1,CF1411,IF(LEFT(Cockpit!$I$5,1)="B",AT1411,MAX(AT1411,H1411))))</f>
        <v>80</v>
      </c>
      <c r="AP1411" s="50" t="n">
        <f aca="false">IF(BW1411=1,0,ROUNDUP(AO1411/BV1411,0))</f>
        <v>1</v>
      </c>
      <c r="AQ1411" s="52" t="n">
        <f aca="false">IF(CL1411&gt;0,CL1411*MAX(1,AO1411/X1411),IF(BW1411=1,IF(AO1411&lt;=0,0,CA1411*MAX(1,IF(H1411&gt;0,AO1411/H1411,1))),IF(R1411&gt;0,AP1411/R1411,0))/MAX(0.1,N(Parameter!$M$21)))</f>
        <v>0.166666666666667</v>
      </c>
      <c r="AR1411" s="50" t="n">
        <f aca="false">AQ1411*BY1411</f>
        <v>39.1666666666667</v>
      </c>
      <c r="AS1411" s="50" t="n">
        <f aca="false">AO1411*G1411</f>
        <v>10892.8</v>
      </c>
      <c r="AT1411" s="50" t="n">
        <f aca="false">ROUNDUP(MAX(J1411/IF(CD1411&gt;0,CD1411,MAX(0.1,N(Cockpit!$I$6))),CG1411)/BV1411,0)*BV1411</f>
        <v>80</v>
      </c>
      <c r="AU1411" s="51" t="n">
        <f aca="false">IF(AR1411&gt;0,J1411/AR1411,-1)</f>
        <v>2.2468085106383</v>
      </c>
      <c r="AV1411" s="51" t="n">
        <f aca="false">IF(AND(OR(CC1411="L1",CC1411="L23",CC1411="LIFT"),AR1411&gt;0),SUMIFS($AR$7:$AR$1843,$CC$7:$CC$1843,CC1411,$AU$7:$AU$1843,"&gt;"&amp;AU1411)+SUMIFS($AR$7:$AR$1843,$CC$7:$CC$1843,CC1411,$AU$7:$AU$1843,AU1411,$BT$7:$BT$1843,"&lt;="&amp;BT1411),"")</f>
        <v>7246.42353479854</v>
      </c>
      <c r="AW1411" s="58" t="n">
        <f aca="false">IF(AV1411="",0,MAX(0,MIN(1,(IF(CC1411="L1",Parameter!$H$5,IF(CC1411="L23",Parameter!$H$6+Parameter!$H$7,Parameter!$H$5+Parameter!$H$6+Parameter!$H$7))-(AV1411-AR1411))/AR1411)))</f>
        <v>1</v>
      </c>
      <c r="AX1411" s="50" t="n">
        <f aca="false">IF(LEFT(Cockpit!$O$5,1)="A",H1411,IF(CE1411=1,CF1411,IF(LEFT(Cockpit!$O$5,1)="B",BC1411,MAX(BC1411,H1411))))</f>
        <v>80</v>
      </c>
      <c r="AY1411" s="50" t="n">
        <f aca="false">IF(BW1411=1,0,ROUNDUP(AX1411/BV1411,0))</f>
        <v>1</v>
      </c>
      <c r="AZ1411" s="52" t="n">
        <f aca="false">IF(CL1411&gt;0,CL1411*MAX(1,AX1411/X1411),IF(BW1411=1,IF(AX1411&lt;=0,0,CA1411*MAX(1,IF(H1411&gt;0,AX1411/H1411,1))),IF(R1411&gt;0,AY1411/R1411,0))/MAX(0.1,N(Parameter!$M$21)))</f>
        <v>0.166666666666667</v>
      </c>
      <c r="BA1411" s="50" t="n">
        <f aca="false">AZ1411*BY1411</f>
        <v>39.1666666666667</v>
      </c>
      <c r="BB1411" s="50" t="n">
        <f aca="false">AX1411*G1411</f>
        <v>10892.8</v>
      </c>
      <c r="BC1411" s="50" t="n">
        <f aca="false">ROUNDUP(MAX(J1411/IF(CD1411&gt;0,CD1411,MAX(0.1,N(Cockpit!$O$6))),CG1411)/BV1411,0)*BV1411</f>
        <v>80</v>
      </c>
      <c r="BD1411" s="51" t="n">
        <f aca="false">IF(BA1411&gt;0,J1411/BA1411,-1)</f>
        <v>2.2468085106383</v>
      </c>
      <c r="BE1411" s="51" t="n">
        <f aca="false">IF(AND(OR(CC1411="L1",CC1411="L23",CC1411="LIFT"),BA1411&gt;0),SUMIFS($BA$7:$BA$1843,$CC$7:$CC$1843,CC1411,$BD$7:$BD$1843,"&gt;"&amp;BD1411)+SUMIFS($BA$7:$BA$1843,$CC$7:$CC$1843,CC1411,$BD$7:$BD$1843,BD1411,$BT$7:$BT$1843,"&lt;="&amp;BT1411),"")</f>
        <v>6819.16391941392</v>
      </c>
      <c r="BF1411" s="58" t="n">
        <f aca="false">IF(BE1411="",0,MAX(0,MIN(1,(IF(CC1411="L1",Parameter!$H$5,IF(CC1411="L23",Parameter!$H$6+Parameter!$H$7,Parameter!$H$5+Parameter!$H$6+Parameter!$H$7))-(BE1411-BA1411))/BA1411)))</f>
        <v>1</v>
      </c>
      <c r="BG1411" s="48" t="str">
        <f aca="false">IF(AI1411&lt;=0,"",IF(CC1411="Aussen","Aussenlager",IF(CC1411="-","Nicht im Lift",IF(AN1411&gt;=1,"Lift",IF(AN1411&lt;=0,"Aussenlager","teilweise")))))</f>
        <v>Lift</v>
      </c>
      <c r="BH1411" s="48" t="str">
        <f aca="false">IF(AR1411&lt;=0,"",IF(CC1411="Aussen","Aussenlager",IF(CC1411="-","Nicht im Lift",IF(AW1411&gt;=1,"Lift",IF(AW1411&lt;=0,"Aussenlager","teilweise")))))</f>
        <v>Lift</v>
      </c>
      <c r="BI1411" s="48" t="str">
        <f aca="false">IF(BA1411&lt;=0,"",IF(CC1411="Aussen","Aussenlager",IF(CC1411="-","Nicht im Lift",IF(BF1411&gt;=1,"Lift",IF(BF1411&lt;=0,"Aussenlager","teilweise")))))</f>
        <v>Lift</v>
      </c>
      <c r="BJ1411" s="48" t="str">
        <f aca="false">IF(A1411="","",IF(BS1411=1,"Neu; ","")&amp;IF(AND(BS1411=0,BN1411&lt;0),"negativer Bestand (Export "&amp;BN1411&amp;"); ","")&amp;IF(J1411&lt;=0,"Kein Verbrauch; ","")&amp;IF(CL1411&gt;0,"Lift "&amp;W1411&amp;" lt. Liftbericht (Fach "&amp;X1411&amp;" Stk); ",IF(BX1411=1,"Gebinde geschätzt ("&amp;T1411&amp;"); ",IF(BW1411=1,"Lose – Tablare geschätzt; ","")))&amp;IF(H1411&gt;AT1411,"Überbestand "&amp;ROUND(H1411-AT1411,0)&amp;" Stk / CHF "&amp;ROUND((H1411-AT1411)*G1411,0)&amp;"; ","")&amp;IF(AND(CE1411=1,CF1411&lt;CG1411),"MAX &lt; MB+LG; ","")&amp;IF(AND(CK1411&gt;0,CJ1411*10&gt;CK1411),"zu hoch für Tablar; ","")&amp;IF(AND(BS1411=0,OR(CE1411=1,AA1411&lt;&gt;"",U1411&lt;&gt;"",V1411&lt;&gt;"",AB1411&lt;&gt;"")),"manuell übersteuert; ","")&amp;IF(AND(BW1411=0,R1411=0),"Gebinde unbekannt / Stellmass fehlt; ","")&amp;IF(AND(BW1411=0,N(V1411)&lt;=0,N(Q1411)&lt;=0),"Menge pro Gebinde fehlt (Ist = 1 Gebinde); ","")&amp;BR1411)</f>
        <v>negativer Bestand (Export -33); </v>
      </c>
      <c r="BK1411" s="48"/>
      <c r="BL1411" s="48"/>
      <c r="BM1411" s="55"/>
      <c r="BN1411" s="50" t="n">
        <v>-33</v>
      </c>
      <c r="BO1411" s="50" t="n">
        <v>60</v>
      </c>
      <c r="BP1411" s="49" t="n">
        <v>-5029.08</v>
      </c>
      <c r="BQ1411" s="50" t="n">
        <v>88</v>
      </c>
      <c r="BR1411" s="48"/>
      <c r="BS1411" s="53" t="n">
        <v>0</v>
      </c>
      <c r="BT1411" s="53" t="n">
        <v>1411</v>
      </c>
      <c r="BU1411" s="48" t="str">
        <f aca="false">IF(U1411&lt;&gt;"",UPPER(TRIM(U1411)),IF(BX1411=1,UPPER(VLOOKUP(T1411,Parameter!$I$27:$K$29,2,0)),IF(P1411="","LOSE",P1411)))</f>
        <v>S71</v>
      </c>
      <c r="BV1411" s="50" t="n">
        <f aca="false">IF(BU1411="LOSE",1,IF(N(V1411)&gt;0,V1411,IF(BX1411=1,MAX(1,N(VLOOKUP(T1411,Parameter!$I$27:$K$29,3,0)),H1411,N(N1411)),IF(N(Q1411)&gt;0,Q1411,MAX(1,H1411)))))</f>
        <v>80</v>
      </c>
      <c r="BW1411" s="53" t="n">
        <f aca="false">IF(BU1411="LOSE",1,0)</f>
        <v>0</v>
      </c>
      <c r="BX1411" s="53" t="n">
        <f aca="false">IF(AND(U1411="",OR(P1411="",P1411="LOSE"),T1411&lt;&gt;"",N(S1411)&lt;=0,ISNUMBER(MATCH(T1411,Parameter!$I$27:$I$29,0))),1,0)</f>
        <v>0</v>
      </c>
      <c r="BY1411" s="53" t="n">
        <f aca="false">IF(CL1411&gt;0,INDEX(Parameter!$H$5:$H$7,W1411)/INDEX(Parameter!$E$5:$E$7,W1411),IF(AND(BW1411=0,N(IFERROR(VLOOKUP(BU1411,'Gebinde-Kategorie'!$A$5:$N$45,14,0),0))&gt;0),VLOOKUP(BU1411,'Gebinde-Kategorie'!$A$5:$N$45,14,0)*10+Parameter!$M$23,Parameter!$M$24))</f>
        <v>235</v>
      </c>
      <c r="BZ1411" s="48" t="n">
        <f aca="false">IF(AND(Parameter!$B$19="Ja",E1411&lt;&gt;"",ISNUMBER(MATCH(E1411,Parameter!$I$35:$I$52,0))),VLOOKUP(E1411,Parameter!$I$35:$J$52,2,0),IFERROR(VLOOKUP(D1411,Parameter!$A$35:$C$64,2,0),"Nein"))</f>
        <v>1</v>
      </c>
      <c r="CA1411" s="52" t="n">
        <f aca="false">IF(BW1411=0,0,IF(N(S1411)&gt;0,S1411,IFERROR(VLOOKUP(D1411,Parameter!$A$35:$C$64,3,0)+0,0)))</f>
        <v>0</v>
      </c>
      <c r="CB1411" s="48" t="n">
        <f aca="false">IF(AA1411&lt;&gt;"",AA1411,Z1411)</f>
        <v>1</v>
      </c>
      <c r="CC1411" s="48" t="str">
        <f aca="false">IF(OR(CB1411=1,CB1411=2,CB1411=3),IF(Parameter!$E$27="Ja","LIFT",IF(CB1411=1,"L1","L23")),IF(CB1411="Aussen","Aussen","-"))</f>
        <v>LIFT</v>
      </c>
      <c r="CD1411" s="59" t="n">
        <f aca="false">IF(N(AB1411)&gt;0,AB1411,0)</f>
        <v>0</v>
      </c>
      <c r="CE1411" s="53" t="n">
        <f aca="false">IF(ISNUMBER(AE1411),1,0)</f>
        <v>0</v>
      </c>
      <c r="CF1411" s="50" t="n">
        <f aca="false">N(AE1411)</f>
        <v>0</v>
      </c>
      <c r="CG1411" s="50" t="n">
        <f aca="false">N(M1411)+N(N1411)</f>
        <v>50</v>
      </c>
      <c r="CH1411" s="50" t="n">
        <f aca="false">ROUNDUP(H1411/BV1411,0)</f>
        <v>1</v>
      </c>
      <c r="CI1411" s="50" t="n">
        <f aca="false">ROUNDUP(CF1411/BV1411,0)</f>
        <v>0</v>
      </c>
      <c r="CJ1411" s="53" t="n">
        <f aca="false">IF(BW1411=1,0,IFERROR(VLOOKUP(BU1411,'Gebinde-Kategorie'!$A$5:$N$45,5,0)+0,0))</f>
        <v>20</v>
      </c>
      <c r="CK1411" s="53" t="n">
        <f aca="false">IFERROR(IF(OR(CB1411=1,CB1411=2,CB1411=3),N(INDEX(Parameter!$I$5:$I$7,CB1411)),0),0)</f>
        <v>0</v>
      </c>
      <c r="CL1411" s="52" t="n">
        <f aca="false">IF(AND(Parameter!$B$21="Ja",ISNUMBER(W1411),N(X1411)&gt;0),IFERROR(N(INDEX(Parameter!$L$5:$L$7,W1411))*INDEX(Parameter!$E$5:$E$7,W1411)*X1411/SUMIFS($X$7:$X$1843,$W$7:$W$1843,W1411),0),0)</f>
        <v>0</v>
      </c>
    </row>
    <row r="1412" customFormat="false" ht="15" hidden="false" customHeight="false" outlineLevel="0" collapsed="false">
      <c r="A1412" s="48" t="s">
        <v>2483</v>
      </c>
      <c r="B1412" s="48" t="s">
        <v>2484</v>
      </c>
      <c r="C1412" s="48" t="s">
        <v>168</v>
      </c>
      <c r="D1412" s="48" t="s">
        <v>357</v>
      </c>
      <c r="E1412" s="48"/>
      <c r="F1412" s="48" t="s">
        <v>222</v>
      </c>
      <c r="G1412" s="49" t="n">
        <v>5062.98</v>
      </c>
      <c r="H1412" s="50" t="n">
        <f aca="false">MAX(0,IF(AND(Parameter!$B$21="Ja",ISNUMBER(Y1412)),Y1412,IF(Parameter!$B$20="Jahresanfang 2025 + Export",BO1412+BN1412,BN1412)))</f>
        <v>0</v>
      </c>
      <c r="I1412" s="50" t="n">
        <f aca="false">H1412*G1412</f>
        <v>0</v>
      </c>
      <c r="J1412" s="50" t="n">
        <f aca="false">BQ1412*Parameter!$B$18</f>
        <v>1</v>
      </c>
      <c r="K1412" s="51" t="n">
        <v>0.5</v>
      </c>
      <c r="L1412" s="52" t="n">
        <v>2</v>
      </c>
      <c r="M1412" s="50" t="n">
        <v>0</v>
      </c>
      <c r="N1412" s="50" t="n">
        <v>1</v>
      </c>
      <c r="O1412" s="53" t="n">
        <v>0</v>
      </c>
      <c r="P1412" s="48" t="s">
        <v>172</v>
      </c>
      <c r="Q1412" s="50"/>
      <c r="R1412" s="53" t="n">
        <f aca="false">IF(BW1412=1,0,IFERROR(VLOOKUP(BU1412,'Gebinde-Kategorie'!$A$5:$N$45,13,0)+0,0))</f>
        <v>0</v>
      </c>
      <c r="S1412" s="54"/>
      <c r="T1412" s="55"/>
      <c r="U1412" s="55"/>
      <c r="V1412" s="55"/>
      <c r="W1412" s="48"/>
      <c r="X1412" s="50"/>
      <c r="Y1412" s="50"/>
      <c r="Z1412" s="48" t="str">
        <f aca="false">IF(A1412="","",IF(AND(Parameter!$B$21="Ja",ISNUMBER(W1412)),W1412,IF(BZ1412="2+3",IF(ISNUMBER(SEARCH("grosser Artikel",BR1412)),2,IFERROR(VLOOKUP(BU1412,Parameter!$F$35:$G$64,2,0),2)),IF(OR(BZ1412="Nein",BZ1412=""),"-",BZ1412))))</f>
        <v>-</v>
      </c>
      <c r="AA1412" s="55"/>
      <c r="AB1412" s="56"/>
      <c r="AC1412" s="50" t="n">
        <f aca="false">AT1412</f>
        <v>1</v>
      </c>
      <c r="AD1412" s="50" t="n">
        <f aca="false">MAX(AT1412,H1412)</f>
        <v>1</v>
      </c>
      <c r="AE1412" s="57"/>
      <c r="AF1412" s="50" t="n">
        <f aca="false">IF(LEFT(Cockpit!$C$5,1)="A",H1412,IF(CE1412=1,CF1412,IF(LEFT(Cockpit!$C$5,1)="B",AK1412,MAX(AK1412,H1412))))</f>
        <v>0</v>
      </c>
      <c r="AG1412" s="50" t="n">
        <f aca="false">IF(BW1412=1,0,ROUNDUP(AF1412/BV1412,0))</f>
        <v>0</v>
      </c>
      <c r="AH1412" s="52" t="n">
        <f aca="false">IF(CL1412&gt;0,CL1412*MAX(1,AF1412/X1412),IF(BW1412=1,IF(AF1412&lt;=0,0,CA1412*MAX(1,IF(H1412&gt;0,AF1412/H1412,1))),IF(R1412&gt;0,AG1412/R1412,0))/MAX(0.1,N(Parameter!$M$21)))</f>
        <v>0</v>
      </c>
      <c r="AI1412" s="50" t="n">
        <f aca="false">AH1412*BY1412</f>
        <v>0</v>
      </c>
      <c r="AJ1412" s="50" t="n">
        <f aca="false">AF1412*G1412</f>
        <v>0</v>
      </c>
      <c r="AK1412" s="50" t="n">
        <f aca="false">ROUNDUP(MAX(J1412/IF(CD1412&gt;0,CD1412,MAX(0.1,N(Cockpit!$C$6))),CG1412)/BV1412,0)*BV1412</f>
        <v>1</v>
      </c>
      <c r="AL1412" s="51" t="n">
        <f aca="false">IF(AI1412&gt;0,J1412/AI1412,-1)</f>
        <v>-1</v>
      </c>
      <c r="AM1412" s="51" t="str">
        <f aca="false">IF(AND(OR(CC1412="L1",CC1412="L23",CC1412="LIFT"),AI1412&gt;0),SUMIFS($AI$7:$AI$1843,$CC$7:$CC$1843,CC1412,$AL$7:$AL$1843,"&gt;"&amp;AL1412)+SUMIFS($AI$7:$AI$1843,$CC$7:$CC$1843,CC1412,$AL$7:$AL$1843,AL1412,$BT$7:$BT$1843,"&lt;="&amp;BT1412),"")</f>
        <v/>
      </c>
      <c r="AN1412" s="58" t="n">
        <f aca="false">IF(AM1412="",0,MAX(0,MIN(1,(IF(CC1412="L1",Parameter!$H$5,IF(CC1412="L23",Parameter!$H$6+Parameter!$H$7,Parameter!$H$5+Parameter!$H$6+Parameter!$H$7))-(AM1412-AI1412))/AI1412)))</f>
        <v>0</v>
      </c>
      <c r="AO1412" s="50" t="n">
        <f aca="false">IF(LEFT(Cockpit!$I$5,1)="A",H1412,IF(CE1412=1,CF1412,IF(LEFT(Cockpit!$I$5,1)="B",AT1412,MAX(AT1412,H1412))))</f>
        <v>1</v>
      </c>
      <c r="AP1412" s="50" t="n">
        <f aca="false">IF(BW1412=1,0,ROUNDUP(AO1412/BV1412,0))</f>
        <v>0</v>
      </c>
      <c r="AQ1412" s="52" t="n">
        <f aca="false">IF(CL1412&gt;0,CL1412*MAX(1,AO1412/X1412),IF(BW1412=1,IF(AO1412&lt;=0,0,CA1412*MAX(1,IF(H1412&gt;0,AO1412/H1412,1))),IF(R1412&gt;0,AP1412/R1412,0))/MAX(0.1,N(Parameter!$M$21)))</f>
        <v>0.15</v>
      </c>
      <c r="AR1412" s="50" t="n">
        <f aca="false">AQ1412*BY1412</f>
        <v>35.25</v>
      </c>
      <c r="AS1412" s="50" t="n">
        <f aca="false">AO1412*G1412</f>
        <v>5062.98</v>
      </c>
      <c r="AT1412" s="50" t="n">
        <f aca="false">ROUNDUP(MAX(J1412/IF(CD1412&gt;0,CD1412,MAX(0.1,N(Cockpit!$I$6))),CG1412)/BV1412,0)*BV1412</f>
        <v>1</v>
      </c>
      <c r="AU1412" s="51" t="n">
        <f aca="false">IF(AR1412&gt;0,J1412/AR1412,-1)</f>
        <v>0.0283687943262411</v>
      </c>
      <c r="AV1412" s="51" t="str">
        <f aca="false">IF(AND(OR(CC1412="L1",CC1412="L23",CC1412="LIFT"),AR1412&gt;0),SUMIFS($AR$7:$AR$1843,$CC$7:$CC$1843,CC1412,$AU$7:$AU$1843,"&gt;"&amp;AU1412)+SUMIFS($AR$7:$AR$1843,$CC$7:$CC$1843,CC1412,$AU$7:$AU$1843,AU1412,$BT$7:$BT$1843,"&lt;="&amp;BT1412),"")</f>
        <v/>
      </c>
      <c r="AW1412" s="58" t="n">
        <f aca="false">IF(AV1412="",0,MAX(0,MIN(1,(IF(CC1412="L1",Parameter!$H$5,IF(CC1412="L23",Parameter!$H$6+Parameter!$H$7,Parameter!$H$5+Parameter!$H$6+Parameter!$H$7))-(AV1412-AR1412))/AR1412)))</f>
        <v>0</v>
      </c>
      <c r="AX1412" s="50" t="n">
        <f aca="false">IF(LEFT(Cockpit!$O$5,1)="A",H1412,IF(CE1412=1,CF1412,IF(LEFT(Cockpit!$O$5,1)="B",BC1412,MAX(BC1412,H1412))))</f>
        <v>1</v>
      </c>
      <c r="AY1412" s="50" t="n">
        <f aca="false">IF(BW1412=1,0,ROUNDUP(AX1412/BV1412,0))</f>
        <v>0</v>
      </c>
      <c r="AZ1412" s="52" t="n">
        <f aca="false">IF(CL1412&gt;0,CL1412*MAX(1,AX1412/X1412),IF(BW1412=1,IF(AX1412&lt;=0,0,CA1412*MAX(1,IF(H1412&gt;0,AX1412/H1412,1))),IF(R1412&gt;0,AY1412/R1412,0))/MAX(0.1,N(Parameter!$M$21)))</f>
        <v>0.15</v>
      </c>
      <c r="BA1412" s="50" t="n">
        <f aca="false">AZ1412*BY1412</f>
        <v>35.25</v>
      </c>
      <c r="BB1412" s="50" t="n">
        <f aca="false">AX1412*G1412</f>
        <v>5062.98</v>
      </c>
      <c r="BC1412" s="50" t="n">
        <f aca="false">ROUNDUP(MAX(J1412/IF(CD1412&gt;0,CD1412,MAX(0.1,N(Cockpit!$O$6))),CG1412)/BV1412,0)*BV1412</f>
        <v>1</v>
      </c>
      <c r="BD1412" s="51" t="n">
        <f aca="false">IF(BA1412&gt;0,J1412/BA1412,-1)</f>
        <v>0.0283687943262411</v>
      </c>
      <c r="BE1412" s="51" t="str">
        <f aca="false">IF(AND(OR(CC1412="L1",CC1412="L23",CC1412="LIFT"),BA1412&gt;0),SUMIFS($BA$7:$BA$1843,$CC$7:$CC$1843,CC1412,$BD$7:$BD$1843,"&gt;"&amp;BD1412)+SUMIFS($BA$7:$BA$1843,$CC$7:$CC$1843,CC1412,$BD$7:$BD$1843,BD1412,$BT$7:$BT$1843,"&lt;="&amp;BT1412),"")</f>
        <v/>
      </c>
      <c r="BF1412" s="58" t="n">
        <f aca="false">IF(BE1412="",0,MAX(0,MIN(1,(IF(CC1412="L1",Parameter!$H$5,IF(CC1412="L23",Parameter!$H$6+Parameter!$H$7,Parameter!$H$5+Parameter!$H$6+Parameter!$H$7))-(BE1412-BA1412))/BA1412)))</f>
        <v>0</v>
      </c>
      <c r="BG1412" s="48" t="str">
        <f aca="false">IF(AI1412&lt;=0,"",IF(CC1412="Aussen","Aussenlager",IF(CC1412="-","Nicht im Lift",IF(AN1412&gt;=1,"Lift",IF(AN1412&lt;=0,"Aussenlager","teilweise")))))</f>
        <v/>
      </c>
      <c r="BH1412" s="48" t="str">
        <f aca="false">IF(AR1412&lt;=0,"",IF(CC1412="Aussen","Aussenlager",IF(CC1412="-","Nicht im Lift",IF(AW1412&gt;=1,"Lift",IF(AW1412&lt;=0,"Aussenlager","teilweise")))))</f>
        <v>Nicht im Lift</v>
      </c>
      <c r="BI1412" s="48" t="str">
        <f aca="false">IF(BA1412&lt;=0,"",IF(CC1412="Aussen","Aussenlager",IF(CC1412="-","Nicht im Lift",IF(BF1412&gt;=1,"Lift",IF(BF1412&lt;=0,"Aussenlager","teilweise")))))</f>
        <v>Nicht im Lift</v>
      </c>
      <c r="BJ1412" s="48" t="str">
        <f aca="false">IF(A1412="","",IF(BS1412=1,"Neu; ","")&amp;IF(AND(BS1412=0,BN1412&lt;0),"negativer Bestand (Export "&amp;BN1412&amp;"); ","")&amp;IF(J1412&lt;=0,"Kein Verbrauch; ","")&amp;IF(CL1412&gt;0,"Lift "&amp;W1412&amp;" lt. Liftbericht (Fach "&amp;X1412&amp;" Stk); ",IF(BX1412=1,"Gebinde geschätzt ("&amp;T1412&amp;"); ",IF(BW1412=1,"Lose – Tablare geschätzt; ","")))&amp;IF(H1412&gt;AT1412,"Überbestand "&amp;ROUND(H1412-AT1412,0)&amp;" Stk / CHF "&amp;ROUND((H1412-AT1412)*G1412,0)&amp;"; ","")&amp;IF(AND(CE1412=1,CF1412&lt;CG1412),"MAX &lt; MB+LG; ","")&amp;IF(AND(CK1412&gt;0,CJ1412*10&gt;CK1412),"zu hoch für Tablar; ","")&amp;IF(AND(BS1412=0,OR(CE1412=1,AA1412&lt;&gt;"",U1412&lt;&gt;"",V1412&lt;&gt;"",AB1412&lt;&gt;"")),"manuell übersteuert; ","")&amp;IF(AND(BW1412=0,R1412=0),"Gebinde unbekannt / Stellmass fehlt; ","")&amp;IF(AND(BW1412=0,N(V1412)&lt;=0,N(Q1412)&lt;=0),"Menge pro Gebinde fehlt (Ist = 1 Gebinde); ","")&amp;BR1412)</f>
        <v>negativer Bestand (Export -1); Lose – Tablare geschätzt; </v>
      </c>
      <c r="BK1412" s="48"/>
      <c r="BL1412" s="48"/>
      <c r="BM1412" s="55"/>
      <c r="BN1412" s="50" t="n">
        <v>-1</v>
      </c>
      <c r="BO1412" s="50" t="n">
        <v>1</v>
      </c>
      <c r="BP1412" s="49" t="n">
        <v>-5062.98</v>
      </c>
      <c r="BQ1412" s="50" t="n">
        <v>1</v>
      </c>
      <c r="BR1412" s="48"/>
      <c r="BS1412" s="53" t="n">
        <v>0</v>
      </c>
      <c r="BT1412" s="53" t="n">
        <v>1412</v>
      </c>
      <c r="BU1412" s="48" t="str">
        <f aca="false">IF(U1412&lt;&gt;"",UPPER(TRIM(U1412)),IF(BX1412=1,UPPER(VLOOKUP(T1412,Parameter!$I$27:$K$29,2,0)),IF(P1412="","LOSE",P1412)))</f>
        <v>LOSE</v>
      </c>
      <c r="BV1412" s="50" t="n">
        <f aca="false">IF(BU1412="LOSE",1,IF(N(V1412)&gt;0,V1412,IF(BX1412=1,MAX(1,N(VLOOKUP(T1412,Parameter!$I$27:$K$29,3,0)),H1412,N(N1412)),IF(N(Q1412)&gt;0,Q1412,MAX(1,H1412)))))</f>
        <v>1</v>
      </c>
      <c r="BW1412" s="53" t="n">
        <f aca="false">IF(BU1412="LOSE",1,0)</f>
        <v>1</v>
      </c>
      <c r="BX1412" s="53" t="n">
        <f aca="false">IF(AND(U1412="",OR(P1412="",P1412="LOSE"),T1412&lt;&gt;"",N(S1412)&lt;=0,ISNUMBER(MATCH(T1412,Parameter!$I$27:$I$29,0))),1,0)</f>
        <v>0</v>
      </c>
      <c r="BY1412" s="53" t="n">
        <f aca="false">IF(CL1412&gt;0,INDEX(Parameter!$H$5:$H$7,W1412)/INDEX(Parameter!$E$5:$E$7,W1412),IF(AND(BW1412=0,N(IFERROR(VLOOKUP(BU1412,'Gebinde-Kategorie'!$A$5:$N$45,14,0),0))&gt;0),VLOOKUP(BU1412,'Gebinde-Kategorie'!$A$5:$N$45,14,0)*10+Parameter!$M$23,Parameter!$M$24))</f>
        <v>235</v>
      </c>
      <c r="BZ1412" s="48" t="str">
        <f aca="false">IF(AND(Parameter!$B$19="Ja",E1412&lt;&gt;"",ISNUMBER(MATCH(E1412,Parameter!$I$35:$I$52,0))),VLOOKUP(E1412,Parameter!$I$35:$J$52,2,0),IFERROR(VLOOKUP(D1412,Parameter!$A$35:$C$64,2,0),"Nein"))</f>
        <v>Nein</v>
      </c>
      <c r="CA1412" s="52" t="n">
        <f aca="false">IF(BW1412=0,0,IF(N(S1412)&gt;0,S1412,IFERROR(VLOOKUP(D1412,Parameter!$A$35:$C$64,3,0)+0,0)))</f>
        <v>0.15</v>
      </c>
      <c r="CB1412" s="48" t="str">
        <f aca="false">IF(AA1412&lt;&gt;"",AA1412,Z1412)</f>
        <v>-</v>
      </c>
      <c r="CC1412" s="48" t="str">
        <f aca="false">IF(OR(CB1412=1,CB1412=2,CB1412=3),IF(Parameter!$E$27="Ja","LIFT",IF(CB1412=1,"L1","L23")),IF(CB1412="Aussen","Aussen","-"))</f>
        <v>-</v>
      </c>
      <c r="CD1412" s="59" t="n">
        <f aca="false">IF(N(AB1412)&gt;0,AB1412,0)</f>
        <v>0</v>
      </c>
      <c r="CE1412" s="53" t="n">
        <f aca="false">IF(ISNUMBER(AE1412),1,0)</f>
        <v>0</v>
      </c>
      <c r="CF1412" s="50" t="n">
        <f aca="false">N(AE1412)</f>
        <v>0</v>
      </c>
      <c r="CG1412" s="50" t="n">
        <f aca="false">N(M1412)+N(N1412)</f>
        <v>1</v>
      </c>
      <c r="CH1412" s="50" t="n">
        <f aca="false">ROUNDUP(H1412/BV1412,0)</f>
        <v>0</v>
      </c>
      <c r="CI1412" s="50" t="n">
        <f aca="false">ROUNDUP(CF1412/BV1412,0)</f>
        <v>0</v>
      </c>
      <c r="CJ1412" s="53" t="n">
        <f aca="false">IF(BW1412=1,0,IFERROR(VLOOKUP(BU1412,'Gebinde-Kategorie'!$A$5:$N$45,5,0)+0,0))</f>
        <v>0</v>
      </c>
      <c r="CK1412" s="53" t="n">
        <f aca="false">IFERROR(IF(OR(CB1412=1,CB1412=2,CB1412=3),N(INDEX(Parameter!$I$5:$I$7,CB1412)),0),0)</f>
        <v>0</v>
      </c>
      <c r="CL1412" s="52" t="n">
        <f aca="false">IF(AND(Parameter!$B$21="Ja",ISNUMBER(W1412),N(X1412)&gt;0),IFERROR(N(INDEX(Parameter!$L$5:$L$7,W1412))*INDEX(Parameter!$E$5:$E$7,W1412)*X1412/SUMIFS($X$7:$X$1843,$W$7:$W$1843,W1412),0),0)</f>
        <v>0</v>
      </c>
    </row>
    <row r="1413" customFormat="false" ht="15" hidden="false" customHeight="false" outlineLevel="0" collapsed="false">
      <c r="A1413" s="48" t="s">
        <v>2485</v>
      </c>
      <c r="B1413" s="48" t="s">
        <v>2486</v>
      </c>
      <c r="C1413" s="48" t="s">
        <v>168</v>
      </c>
      <c r="D1413" s="48" t="s">
        <v>188</v>
      </c>
      <c r="E1413" s="48" t="s">
        <v>189</v>
      </c>
      <c r="F1413" s="48" t="s">
        <v>222</v>
      </c>
      <c r="G1413" s="49" t="n">
        <v>88.93</v>
      </c>
      <c r="H1413" s="50" t="n">
        <f aca="false">MAX(0,IF(AND(Parameter!$B$21="Ja",ISNUMBER(Y1413)),Y1413,IF(Parameter!$B$20="Jahresanfang 2025 + Export",BO1413+BN1413,BN1413)))</f>
        <v>40</v>
      </c>
      <c r="I1413" s="50" t="n">
        <f aca="false">H1413*G1413</f>
        <v>3557.2</v>
      </c>
      <c r="J1413" s="50" t="n">
        <f aca="false">BQ1413*Parameter!$B$18</f>
        <v>129</v>
      </c>
      <c r="K1413" s="51" t="n">
        <v>42.5</v>
      </c>
      <c r="L1413" s="52" t="n">
        <v>3.03529411764706</v>
      </c>
      <c r="M1413" s="50" t="n">
        <v>7</v>
      </c>
      <c r="N1413" s="50" t="n">
        <v>25</v>
      </c>
      <c r="O1413" s="53" t="n">
        <v>21</v>
      </c>
      <c r="P1413" s="48" t="s">
        <v>297</v>
      </c>
      <c r="Q1413" s="50" t="n">
        <v>40</v>
      </c>
      <c r="R1413" s="53" t="n">
        <f aca="false">IF(BW1413=1,0,IFERROR(VLOOKUP(BU1413,'Gebinde-Kategorie'!$A$5:$N$45,13,0)+0,0))</f>
        <v>12</v>
      </c>
      <c r="S1413" s="54"/>
      <c r="T1413" s="55"/>
      <c r="U1413" s="55"/>
      <c r="V1413" s="55"/>
      <c r="W1413" s="48"/>
      <c r="X1413" s="50"/>
      <c r="Y1413" s="50"/>
      <c r="Z1413" s="48" t="n">
        <f aca="false">IF(A1413="","",IF(AND(Parameter!$B$21="Ja",ISNUMBER(W1413)),W1413,IF(BZ1413="2+3",IF(ISNUMBER(SEARCH("grosser Artikel",BR1413)),2,IFERROR(VLOOKUP(BU1413,Parameter!$F$35:$G$64,2,0),2)),IF(OR(BZ1413="Nein",BZ1413=""),"-",BZ1413))))</f>
        <v>2</v>
      </c>
      <c r="AA1413" s="55"/>
      <c r="AB1413" s="56"/>
      <c r="AC1413" s="50" t="n">
        <f aca="false">AT1413</f>
        <v>80</v>
      </c>
      <c r="AD1413" s="50" t="n">
        <f aca="false">MAX(AT1413,H1413)</f>
        <v>80</v>
      </c>
      <c r="AE1413" s="57"/>
      <c r="AF1413" s="50" t="n">
        <f aca="false">IF(LEFT(Cockpit!$C$5,1)="A",H1413,IF(CE1413=1,CF1413,IF(LEFT(Cockpit!$C$5,1)="B",AK1413,MAX(AK1413,H1413))))</f>
        <v>40</v>
      </c>
      <c r="AG1413" s="50" t="n">
        <f aca="false">IF(BW1413=1,0,ROUNDUP(AF1413/BV1413,0))</f>
        <v>1</v>
      </c>
      <c r="AH1413" s="52" t="n">
        <f aca="false">IF(CL1413&gt;0,CL1413*MAX(1,AF1413/X1413),IF(BW1413=1,IF(AF1413&lt;=0,0,CA1413*MAX(1,IF(H1413&gt;0,AF1413/H1413,1))),IF(R1413&gt;0,AG1413/R1413,0))/MAX(0.1,N(Parameter!$M$21)))</f>
        <v>0.0833333333333333</v>
      </c>
      <c r="AI1413" s="50" t="n">
        <f aca="false">AH1413*BY1413</f>
        <v>20.4166666666667</v>
      </c>
      <c r="AJ1413" s="50" t="n">
        <f aca="false">AF1413*G1413</f>
        <v>3557.2</v>
      </c>
      <c r="AK1413" s="50" t="n">
        <f aca="false">ROUNDUP(MAX(J1413/IF(CD1413&gt;0,CD1413,MAX(0.1,N(Cockpit!$C$6))),CG1413)/BV1413,0)*BV1413</f>
        <v>80</v>
      </c>
      <c r="AL1413" s="51" t="n">
        <f aca="false">IF(AI1413&gt;0,J1413/AI1413,-1)</f>
        <v>6.31836734693878</v>
      </c>
      <c r="AM1413" s="51" t="n">
        <f aca="false">IF(AND(OR(CC1413="L1",CC1413="L23",CC1413="LIFT"),AI1413&gt;0),SUMIFS($AI$7:$AI$1843,$CC$7:$CC$1843,CC1413,$AL$7:$AL$1843,"&gt;"&amp;AL1413)+SUMIFS($AI$7:$AI$1843,$CC$7:$CC$1843,CC1413,$AL$7:$AL$1843,AL1413,$BT$7:$BT$1843,"&lt;="&amp;BT1413),"")</f>
        <v>3472.20558608059</v>
      </c>
      <c r="AN1413" s="58" t="n">
        <f aca="false">IF(AM1413="",0,MAX(0,MIN(1,(IF(CC1413="L1",Parameter!$H$5,IF(CC1413="L23",Parameter!$H$6+Parameter!$H$7,Parameter!$H$5+Parameter!$H$6+Parameter!$H$7))-(AM1413-AI1413))/AI1413)))</f>
        <v>1</v>
      </c>
      <c r="AO1413" s="50" t="n">
        <f aca="false">IF(LEFT(Cockpit!$I$5,1)="A",H1413,IF(CE1413=1,CF1413,IF(LEFT(Cockpit!$I$5,1)="B",AT1413,MAX(AT1413,H1413))))</f>
        <v>80</v>
      </c>
      <c r="AP1413" s="50" t="n">
        <f aca="false">IF(BW1413=1,0,ROUNDUP(AO1413/BV1413,0))</f>
        <v>2</v>
      </c>
      <c r="AQ1413" s="52" t="n">
        <f aca="false">IF(CL1413&gt;0,CL1413*MAX(1,AO1413/X1413),IF(BW1413=1,IF(AO1413&lt;=0,0,CA1413*MAX(1,IF(H1413&gt;0,AO1413/H1413,1))),IF(R1413&gt;0,AP1413/R1413,0))/MAX(0.1,N(Parameter!$M$21)))</f>
        <v>0.166666666666667</v>
      </c>
      <c r="AR1413" s="50" t="n">
        <f aca="false">AQ1413*BY1413</f>
        <v>40.8333333333333</v>
      </c>
      <c r="AS1413" s="50" t="n">
        <f aca="false">AO1413*G1413</f>
        <v>7114.4</v>
      </c>
      <c r="AT1413" s="50" t="n">
        <f aca="false">ROUNDUP(MAX(J1413/IF(CD1413&gt;0,CD1413,MAX(0.1,N(Cockpit!$I$6))),CG1413)/BV1413,0)*BV1413</f>
        <v>80</v>
      </c>
      <c r="AU1413" s="51" t="n">
        <f aca="false">IF(AR1413&gt;0,J1413/AR1413,-1)</f>
        <v>3.15918367346939</v>
      </c>
      <c r="AV1413" s="51" t="n">
        <f aca="false">IF(AND(OR(CC1413="L1",CC1413="L23",CC1413="LIFT"),AR1413&gt;0),SUMIFS($AR$7:$AR$1843,$CC$7:$CC$1843,CC1413,$AU$7:$AU$1843,"&gt;"&amp;AU1413)+SUMIFS($AR$7:$AR$1843,$CC$7:$CC$1843,CC1413,$AU$7:$AU$1843,AU1413,$BT$7:$BT$1843,"&lt;="&amp;BT1413),"")</f>
        <v>6191.88278388278</v>
      </c>
      <c r="AW1413" s="58" t="n">
        <f aca="false">IF(AV1413="",0,MAX(0,MIN(1,(IF(CC1413="L1",Parameter!$H$5,IF(CC1413="L23",Parameter!$H$6+Parameter!$H$7,Parameter!$H$5+Parameter!$H$6+Parameter!$H$7))-(AV1413-AR1413))/AR1413)))</f>
        <v>1</v>
      </c>
      <c r="AX1413" s="50" t="n">
        <f aca="false">IF(LEFT(Cockpit!$O$5,1)="A",H1413,IF(CE1413=1,CF1413,IF(LEFT(Cockpit!$O$5,1)="B",BC1413,MAX(BC1413,H1413))))</f>
        <v>80</v>
      </c>
      <c r="AY1413" s="50" t="n">
        <f aca="false">IF(BW1413=1,0,ROUNDUP(AX1413/BV1413,0))</f>
        <v>2</v>
      </c>
      <c r="AZ1413" s="52" t="n">
        <f aca="false">IF(CL1413&gt;0,CL1413*MAX(1,AX1413/X1413),IF(BW1413=1,IF(AX1413&lt;=0,0,CA1413*MAX(1,IF(H1413&gt;0,AX1413/H1413,1))),IF(R1413&gt;0,AY1413/R1413,0))/MAX(0.1,N(Parameter!$M$21)))</f>
        <v>0.166666666666667</v>
      </c>
      <c r="BA1413" s="50" t="n">
        <f aca="false">AZ1413*BY1413</f>
        <v>40.8333333333333</v>
      </c>
      <c r="BB1413" s="50" t="n">
        <f aca="false">AX1413*G1413</f>
        <v>7114.4</v>
      </c>
      <c r="BC1413" s="50" t="n">
        <f aca="false">ROUNDUP(MAX(J1413/IF(CD1413&gt;0,CD1413,MAX(0.1,N(Cockpit!$O$6))),CG1413)/BV1413,0)*BV1413</f>
        <v>80</v>
      </c>
      <c r="BD1413" s="51" t="n">
        <f aca="false">IF(BA1413&gt;0,J1413/BA1413,-1)</f>
        <v>3.15918367346939</v>
      </c>
      <c r="BE1413" s="51" t="n">
        <f aca="false">IF(AND(OR(CC1413="L1",CC1413="L23",CC1413="LIFT"),BA1413&gt;0),SUMIFS($BA$7:$BA$1843,$CC$7:$CC$1843,CC1413,$BD$7:$BD$1843,"&gt;"&amp;BD1413)+SUMIFS($BA$7:$BA$1843,$CC$7:$CC$1843,CC1413,$BD$7:$BD$1843,BD1413,$BT$7:$BT$1843,"&lt;="&amp;BT1413),"")</f>
        <v>6179.71932234432</v>
      </c>
      <c r="BF1413" s="58" t="n">
        <f aca="false">IF(BE1413="",0,MAX(0,MIN(1,(IF(CC1413="L1",Parameter!$H$5,IF(CC1413="L23",Parameter!$H$6+Parameter!$H$7,Parameter!$H$5+Parameter!$H$6+Parameter!$H$7))-(BE1413-BA1413))/BA1413)))</f>
        <v>1</v>
      </c>
      <c r="BG1413" s="48" t="str">
        <f aca="false">IF(AI1413&lt;=0,"",IF(CC1413="Aussen","Aussenlager",IF(CC1413="-","Nicht im Lift",IF(AN1413&gt;=1,"Lift",IF(AN1413&lt;=0,"Aussenlager","teilweise")))))</f>
        <v>Lift</v>
      </c>
      <c r="BH1413" s="48" t="str">
        <f aca="false">IF(AR1413&lt;=0,"",IF(CC1413="Aussen","Aussenlager",IF(CC1413="-","Nicht im Lift",IF(AW1413&gt;=1,"Lift",IF(AW1413&lt;=0,"Aussenlager","teilweise")))))</f>
        <v>Lift</v>
      </c>
      <c r="BI1413" s="48" t="str">
        <f aca="false">IF(BA1413&lt;=0,"",IF(CC1413="Aussen","Aussenlager",IF(CC1413="-","Nicht im Lift",IF(BF1413&gt;=1,"Lift",IF(BF1413&lt;=0,"Aussenlager","teilweise")))))</f>
        <v>Lift</v>
      </c>
      <c r="BJ1413" s="48" t="str">
        <f aca="false">IF(A1413="","",IF(BS1413=1,"Neu; ","")&amp;IF(AND(BS1413=0,BN1413&lt;0),"negativer Bestand (Export "&amp;BN1413&amp;"); ","")&amp;IF(J1413&lt;=0,"Kein Verbrauch; ","")&amp;IF(CL1413&gt;0,"Lift "&amp;W1413&amp;" lt. Liftbericht (Fach "&amp;X1413&amp;" Stk); ",IF(BX1413=1,"Gebinde geschätzt ("&amp;T1413&amp;"); ",IF(BW1413=1,"Lose – Tablare geschätzt; ","")))&amp;IF(H1413&gt;AT1413,"Überbestand "&amp;ROUND(H1413-AT1413,0)&amp;" Stk / CHF "&amp;ROUND((H1413-AT1413)*G1413,0)&amp;"; ","")&amp;IF(AND(CE1413=1,CF1413&lt;CG1413),"MAX &lt; MB+LG; ","")&amp;IF(AND(CK1413&gt;0,CJ1413*10&gt;CK1413),"zu hoch für Tablar; ","")&amp;IF(AND(BS1413=0,OR(CE1413=1,AA1413&lt;&gt;"",U1413&lt;&gt;"",V1413&lt;&gt;"",AB1413&lt;&gt;"")),"manuell übersteuert; ","")&amp;IF(AND(BW1413=0,R1413=0),"Gebinde unbekannt / Stellmass fehlt; ","")&amp;IF(AND(BW1413=0,N(V1413)&lt;=0,N(Q1413)&lt;=0),"Menge pro Gebinde fehlt (Ist = 1 Gebinde); ","")&amp;BR1413)</f>
        <v>negativer Bestand (Export -21); </v>
      </c>
      <c r="BK1413" s="48"/>
      <c r="BL1413" s="48"/>
      <c r="BM1413" s="55"/>
      <c r="BN1413" s="50" t="n">
        <v>-21</v>
      </c>
      <c r="BO1413" s="50" t="n">
        <v>61</v>
      </c>
      <c r="BP1413" s="49" t="n">
        <v>-5101.75</v>
      </c>
      <c r="BQ1413" s="50" t="n">
        <v>129</v>
      </c>
      <c r="BR1413" s="48"/>
      <c r="BS1413" s="53" t="n">
        <v>0</v>
      </c>
      <c r="BT1413" s="53" t="n">
        <v>1413</v>
      </c>
      <c r="BU1413" s="48" t="str">
        <f aca="false">IF(U1413&lt;&gt;"",UPPER(TRIM(U1413)),IF(BX1413=1,UPPER(VLOOKUP(T1413,Parameter!$I$27:$K$29,2,0)),IF(P1413="","LOSE",P1413)))</f>
        <v>S62</v>
      </c>
      <c r="BV1413" s="50" t="n">
        <f aca="false">IF(BU1413="LOSE",1,IF(N(V1413)&gt;0,V1413,IF(BX1413=1,MAX(1,N(VLOOKUP(T1413,Parameter!$I$27:$K$29,3,0)),H1413,N(N1413)),IF(N(Q1413)&gt;0,Q1413,MAX(1,H1413)))))</f>
        <v>40</v>
      </c>
      <c r="BW1413" s="53" t="n">
        <f aca="false">IF(BU1413="LOSE",1,0)</f>
        <v>0</v>
      </c>
      <c r="BX1413" s="53" t="n">
        <f aca="false">IF(AND(U1413="",OR(P1413="",P1413="LOSE"),T1413&lt;&gt;"",N(S1413)&lt;=0,ISNUMBER(MATCH(T1413,Parameter!$I$27:$I$29,0))),1,0)</f>
        <v>0</v>
      </c>
      <c r="BY1413" s="53" t="n">
        <f aca="false">IF(CL1413&gt;0,INDEX(Parameter!$H$5:$H$7,W1413)/INDEX(Parameter!$E$5:$E$7,W1413),IF(AND(BW1413=0,N(IFERROR(VLOOKUP(BU1413,'Gebinde-Kategorie'!$A$5:$N$45,14,0),0))&gt;0),VLOOKUP(BU1413,'Gebinde-Kategorie'!$A$5:$N$45,14,0)*10+Parameter!$M$23,Parameter!$M$24))</f>
        <v>245</v>
      </c>
      <c r="BZ1413" s="48" t="str">
        <f aca="false">IF(AND(Parameter!$B$19="Ja",E1413&lt;&gt;"",ISNUMBER(MATCH(E1413,Parameter!$I$35:$I$52,0))),VLOOKUP(E1413,Parameter!$I$35:$J$52,2,0),IFERROR(VLOOKUP(D1413,Parameter!$A$35:$C$64,2,0),"Nein"))</f>
        <v>2+3</v>
      </c>
      <c r="CA1413" s="52" t="n">
        <f aca="false">IF(BW1413=0,0,IF(N(S1413)&gt;0,S1413,IFERROR(VLOOKUP(D1413,Parameter!$A$35:$C$64,3,0)+0,0)))</f>
        <v>0</v>
      </c>
      <c r="CB1413" s="48" t="n">
        <f aca="false">IF(AA1413&lt;&gt;"",AA1413,Z1413)</f>
        <v>2</v>
      </c>
      <c r="CC1413" s="48" t="str">
        <f aca="false">IF(OR(CB1413=1,CB1413=2,CB1413=3),IF(Parameter!$E$27="Ja","LIFT",IF(CB1413=1,"L1","L23")),IF(CB1413="Aussen","Aussen","-"))</f>
        <v>LIFT</v>
      </c>
      <c r="CD1413" s="59" t="n">
        <f aca="false">IF(N(AB1413)&gt;0,AB1413,0)</f>
        <v>0</v>
      </c>
      <c r="CE1413" s="53" t="n">
        <f aca="false">IF(ISNUMBER(AE1413),1,0)</f>
        <v>0</v>
      </c>
      <c r="CF1413" s="50" t="n">
        <f aca="false">N(AE1413)</f>
        <v>0</v>
      </c>
      <c r="CG1413" s="50" t="n">
        <f aca="false">N(M1413)+N(N1413)</f>
        <v>32</v>
      </c>
      <c r="CH1413" s="50" t="n">
        <f aca="false">ROUNDUP(H1413/BV1413,0)</f>
        <v>1</v>
      </c>
      <c r="CI1413" s="50" t="n">
        <f aca="false">ROUNDUP(CF1413/BV1413,0)</f>
        <v>0</v>
      </c>
      <c r="CJ1413" s="53" t="n">
        <f aca="false">IF(BW1413=1,0,IFERROR(VLOOKUP(BU1413,'Gebinde-Kategorie'!$A$5:$N$45,5,0)+0,0))</f>
        <v>21</v>
      </c>
      <c r="CK1413" s="53" t="n">
        <f aca="false">IFERROR(IF(OR(CB1413=1,CB1413=2,CB1413=3),N(INDEX(Parameter!$I$5:$I$7,CB1413)),0),0)</f>
        <v>0</v>
      </c>
      <c r="CL1413" s="52" t="n">
        <f aca="false">IF(AND(Parameter!$B$21="Ja",ISNUMBER(W1413),N(X1413)&gt;0),IFERROR(N(INDEX(Parameter!$L$5:$L$7,W1413))*INDEX(Parameter!$E$5:$E$7,W1413)*X1413/SUMIFS($X$7:$X$1843,$W$7:$W$1843,W1413),0),0)</f>
        <v>0</v>
      </c>
    </row>
    <row r="1414" customFormat="false" ht="15" hidden="false" customHeight="false" outlineLevel="0" collapsed="false">
      <c r="A1414" s="48" t="s">
        <v>2487</v>
      </c>
      <c r="B1414" s="48" t="s">
        <v>409</v>
      </c>
      <c r="C1414" s="48" t="s">
        <v>460</v>
      </c>
      <c r="D1414" s="48" t="s">
        <v>177</v>
      </c>
      <c r="E1414" s="48"/>
      <c r="F1414" s="48" t="s">
        <v>222</v>
      </c>
      <c r="G1414" s="49" t="n">
        <v>5.15</v>
      </c>
      <c r="H1414" s="50" t="n">
        <f aca="false">MAX(0,IF(AND(Parameter!$B$21="Ja",ISNUMBER(Y1414)),Y1414,IF(Parameter!$B$20="Jahresanfang 2025 + Export",BO1414+BN1414,BN1414)))</f>
        <v>1000</v>
      </c>
      <c r="I1414" s="50" t="n">
        <f aca="false">H1414*G1414</f>
        <v>5150</v>
      </c>
      <c r="J1414" s="50" t="n">
        <f aca="false">BQ1414*Parameter!$B$18</f>
        <v>0</v>
      </c>
      <c r="K1414" s="51" t="n">
        <v>1000</v>
      </c>
      <c r="L1414" s="52" t="n">
        <v>0</v>
      </c>
      <c r="M1414" s="50" t="n">
        <v>58</v>
      </c>
      <c r="N1414" s="50" t="n">
        <v>700</v>
      </c>
      <c r="O1414" s="53" t="n">
        <v>21</v>
      </c>
      <c r="P1414" s="48" t="s">
        <v>172</v>
      </c>
      <c r="Q1414" s="50"/>
      <c r="R1414" s="53" t="n">
        <f aca="false">IF(BW1414=1,0,IFERROR(VLOOKUP(BU1414,'Gebinde-Kategorie'!$A$5:$N$45,13,0)+0,0))</f>
        <v>26</v>
      </c>
      <c r="S1414" s="54"/>
      <c r="T1414" s="55" t="s">
        <v>279</v>
      </c>
      <c r="U1414" s="55"/>
      <c r="V1414" s="55"/>
      <c r="W1414" s="48"/>
      <c r="X1414" s="50"/>
      <c r="Y1414" s="50"/>
      <c r="Z1414" s="48" t="n">
        <f aca="false">IF(A1414="","",IF(AND(Parameter!$B$21="Ja",ISNUMBER(W1414)),W1414,IF(BZ1414="2+3",IF(ISNUMBER(SEARCH("grosser Artikel",BR1414)),2,IFERROR(VLOOKUP(BU1414,Parameter!$F$35:$G$64,2,0),2)),IF(OR(BZ1414="Nein",BZ1414=""),"-",BZ1414))))</f>
        <v>3</v>
      </c>
      <c r="AA1414" s="55"/>
      <c r="AB1414" s="56"/>
      <c r="AC1414" s="50" t="n">
        <f aca="false">AT1414</f>
        <v>1000</v>
      </c>
      <c r="AD1414" s="50" t="n">
        <f aca="false">MAX(AT1414,H1414)</f>
        <v>1000</v>
      </c>
      <c r="AE1414" s="57"/>
      <c r="AF1414" s="50" t="n">
        <f aca="false">IF(LEFT(Cockpit!$C$5,1)="A",H1414,IF(CE1414=1,CF1414,IF(LEFT(Cockpit!$C$5,1)="B",AK1414,MAX(AK1414,H1414))))</f>
        <v>1000</v>
      </c>
      <c r="AG1414" s="50" t="n">
        <f aca="false">IF(BW1414=1,0,ROUNDUP(AF1414/BV1414,0))</f>
        <v>1</v>
      </c>
      <c r="AH1414" s="52" t="n">
        <f aca="false">IF(CL1414&gt;0,CL1414*MAX(1,AF1414/X1414),IF(BW1414=1,IF(AF1414&lt;=0,0,CA1414*MAX(1,IF(H1414&gt;0,AF1414/H1414,1))),IF(R1414&gt;0,AG1414/R1414,0))/MAX(0.1,N(Parameter!$M$21)))</f>
        <v>0.0384615384615385</v>
      </c>
      <c r="AI1414" s="50" t="n">
        <f aca="false">AH1414*BY1414</f>
        <v>5.96153846153846</v>
      </c>
      <c r="AJ1414" s="50" t="n">
        <f aca="false">AF1414*G1414</f>
        <v>5150</v>
      </c>
      <c r="AK1414" s="50" t="n">
        <f aca="false">ROUNDUP(MAX(J1414/IF(CD1414&gt;0,CD1414,MAX(0.1,N(Cockpit!$C$6))),CG1414)/BV1414,0)*BV1414</f>
        <v>1000</v>
      </c>
      <c r="AL1414" s="51" t="n">
        <f aca="false">IF(AI1414&gt;0,J1414/AI1414,-1)</f>
        <v>0</v>
      </c>
      <c r="AM1414" s="51" t="n">
        <f aca="false">IF(AND(OR(CC1414="L1",CC1414="L23",CC1414="LIFT"),AI1414&gt;0),SUMIFS($AI$7:$AI$1843,$CC$7:$CC$1843,CC1414,$AL$7:$AL$1843,"&gt;"&amp;AL1414)+SUMIFS($AI$7:$AI$1843,$CC$7:$CC$1843,CC1414,$AL$7:$AL$1843,AL1414,$BT$7:$BT$1843,"&lt;="&amp;BT1414),"")</f>
        <v>29696.1669796776</v>
      </c>
      <c r="AN1414" s="58" t="n">
        <f aca="false">IF(AM1414="",0,MAX(0,MIN(1,(IF(CC1414="L1",Parameter!$H$5,IF(CC1414="L23",Parameter!$H$6+Parameter!$H$7,Parameter!$H$5+Parameter!$H$6+Parameter!$H$7))-(AM1414-AI1414))/AI1414)))</f>
        <v>1</v>
      </c>
      <c r="AO1414" s="50" t="n">
        <f aca="false">IF(LEFT(Cockpit!$I$5,1)="A",H1414,IF(CE1414=1,CF1414,IF(LEFT(Cockpit!$I$5,1)="B",AT1414,MAX(AT1414,H1414))))</f>
        <v>1000</v>
      </c>
      <c r="AP1414" s="50" t="n">
        <f aca="false">IF(BW1414=1,0,ROUNDUP(AO1414/BV1414,0))</f>
        <v>1</v>
      </c>
      <c r="AQ1414" s="52" t="n">
        <f aca="false">IF(CL1414&gt;0,CL1414*MAX(1,AO1414/X1414),IF(BW1414=1,IF(AO1414&lt;=0,0,CA1414*MAX(1,IF(H1414&gt;0,AO1414/H1414,1))),IF(R1414&gt;0,AP1414/R1414,0))/MAX(0.1,N(Parameter!$M$21)))</f>
        <v>0.0384615384615385</v>
      </c>
      <c r="AR1414" s="50" t="n">
        <f aca="false">AQ1414*BY1414</f>
        <v>5.96153846153846</v>
      </c>
      <c r="AS1414" s="50" t="n">
        <f aca="false">AO1414*G1414</f>
        <v>5150</v>
      </c>
      <c r="AT1414" s="50" t="n">
        <f aca="false">ROUNDUP(MAX(J1414/IF(CD1414&gt;0,CD1414,MAX(0.1,N(Cockpit!$I$6))),CG1414)/BV1414,0)*BV1414</f>
        <v>1000</v>
      </c>
      <c r="AU1414" s="51" t="n">
        <f aca="false">IF(AR1414&gt;0,J1414/AR1414,-1)</f>
        <v>0</v>
      </c>
      <c r="AV1414" s="51" t="n">
        <f aca="false">IF(AND(OR(CC1414="L1",CC1414="L23",CC1414="LIFT"),AR1414&gt;0),SUMIFS($AR$7:$AR$1843,$CC$7:$CC$1843,CC1414,$AU$7:$AU$1843,"&gt;"&amp;AU1414)+SUMIFS($AR$7:$AR$1843,$CC$7:$CC$1843,CC1414,$AU$7:$AU$1843,AU1414,$BT$7:$BT$1843,"&lt;="&amp;BT1414),"")</f>
        <v>41914.778998779</v>
      </c>
      <c r="AW1414" s="58" t="n">
        <f aca="false">IF(AV1414="",0,MAX(0,MIN(1,(IF(CC1414="L1",Parameter!$H$5,IF(CC1414="L23",Parameter!$H$6+Parameter!$H$7,Parameter!$H$5+Parameter!$H$6+Parameter!$H$7))-(AV1414-AR1414))/AR1414)))</f>
        <v>0</v>
      </c>
      <c r="AX1414" s="50" t="n">
        <f aca="false">IF(LEFT(Cockpit!$O$5,1)="A",H1414,IF(CE1414=1,CF1414,IF(LEFT(Cockpit!$O$5,1)="B",BC1414,MAX(BC1414,H1414))))</f>
        <v>1000</v>
      </c>
      <c r="AY1414" s="50" t="n">
        <f aca="false">IF(BW1414=1,0,ROUNDUP(AX1414/BV1414,0))</f>
        <v>1</v>
      </c>
      <c r="AZ1414" s="52" t="n">
        <f aca="false">IF(CL1414&gt;0,CL1414*MAX(1,AX1414/X1414),IF(BW1414=1,IF(AX1414&lt;=0,0,CA1414*MAX(1,IF(H1414&gt;0,AX1414/H1414,1))),IF(R1414&gt;0,AY1414/R1414,0))/MAX(0.1,N(Parameter!$M$21)))</f>
        <v>0.0384615384615385</v>
      </c>
      <c r="BA1414" s="50" t="n">
        <f aca="false">AZ1414*BY1414</f>
        <v>5.96153846153846</v>
      </c>
      <c r="BB1414" s="50" t="n">
        <f aca="false">AX1414*G1414</f>
        <v>5150</v>
      </c>
      <c r="BC1414" s="50" t="n">
        <f aca="false">ROUNDUP(MAX(J1414/IF(CD1414&gt;0,CD1414,MAX(0.1,N(Cockpit!$O$6))),CG1414)/BV1414,0)*BV1414</f>
        <v>1000</v>
      </c>
      <c r="BD1414" s="51" t="n">
        <f aca="false">IF(BA1414&gt;0,J1414/BA1414,-1)</f>
        <v>0</v>
      </c>
      <c r="BE1414" s="51" t="n">
        <f aca="false">IF(AND(OR(CC1414="L1",CC1414="L23",CC1414="LIFT"),BA1414&gt;0),SUMIFS($BA$7:$BA$1843,$CC$7:$CC$1843,CC1414,$BD$7:$BD$1843,"&gt;"&amp;BD1414)+SUMIFS($BA$7:$BA$1843,$CC$7:$CC$1843,CC1414,$BD$7:$BD$1843,BD1414,$BT$7:$BT$1843,"&lt;="&amp;BT1414),"")</f>
        <v>38589.7910406449</v>
      </c>
      <c r="BF1414" s="58" t="n">
        <f aca="false">IF(BE1414="",0,MAX(0,MIN(1,(IF(CC1414="L1",Parameter!$H$5,IF(CC1414="L23",Parameter!$H$6+Parameter!$H$7,Parameter!$H$5+Parameter!$H$6+Parameter!$H$7))-(BE1414-BA1414))/BA1414)))</f>
        <v>0</v>
      </c>
      <c r="BG1414" s="48" t="str">
        <f aca="false">IF(AI1414&lt;=0,"",IF(CC1414="Aussen","Aussenlager",IF(CC1414="-","Nicht im Lift",IF(AN1414&gt;=1,"Lift",IF(AN1414&lt;=0,"Aussenlager","teilweise")))))</f>
        <v>Lift</v>
      </c>
      <c r="BH1414" s="48" t="str">
        <f aca="false">IF(AR1414&lt;=0,"",IF(CC1414="Aussen","Aussenlager",IF(CC1414="-","Nicht im Lift",IF(AW1414&gt;=1,"Lift",IF(AW1414&lt;=0,"Aussenlager","teilweise")))))</f>
        <v>Aussenlager</v>
      </c>
      <c r="BI1414" s="48" t="str">
        <f aca="false">IF(BA1414&lt;=0,"",IF(CC1414="Aussen","Aussenlager",IF(CC1414="-","Nicht im Lift",IF(BF1414&gt;=1,"Lift",IF(BF1414&lt;=0,"Aussenlager","teilweise")))))</f>
        <v>Aussenlager</v>
      </c>
      <c r="BJ1414" s="48" t="str">
        <f aca="false">IF(A1414="","",IF(BS1414=1,"Neu; ","")&amp;IF(AND(BS1414=0,BN1414&lt;0),"negativer Bestand (Export "&amp;BN1414&amp;"); ","")&amp;IF(J1414&lt;=0,"Kein Verbrauch; ","")&amp;IF(CL1414&gt;0,"Lift "&amp;W1414&amp;" lt. Liftbericht (Fach "&amp;X1414&amp;" Stk); ",IF(BX1414=1,"Gebinde geschätzt ("&amp;T1414&amp;"); ",IF(BW1414=1,"Lose – Tablare geschätzt; ","")))&amp;IF(H1414&gt;AT1414,"Überbestand "&amp;ROUND(H1414-AT1414,0)&amp;" Stk / CHF "&amp;ROUND((H1414-AT1414)*G1414,0)&amp;"; ","")&amp;IF(AND(CE1414=1,CF1414&lt;CG1414),"MAX &lt; MB+LG; ","")&amp;IF(AND(CK1414&gt;0,CJ1414*10&gt;CK1414),"zu hoch für Tablar; ","")&amp;IF(AND(BS1414=0,OR(CE1414=1,AA1414&lt;&gt;"",U1414&lt;&gt;"",V1414&lt;&gt;"",AB1414&lt;&gt;"")),"manuell übersteuert; ","")&amp;IF(AND(BW1414=0,R1414=0),"Gebinde unbekannt / Stellmass fehlt; ","")&amp;IF(AND(BW1414=0,N(V1414)&lt;=0,N(Q1414)&lt;=0),"Menge pro Gebinde fehlt (Ist = 1 Gebinde); ","")&amp;BR1414)</f>
        <v>negativer Bestand (Export -1000); Kein Verbrauch; Gebinde geschätzt (Klein); Menge pro Gebinde fehlt (Ist = 1 Gebinde); </v>
      </c>
      <c r="BK1414" s="48"/>
      <c r="BL1414" s="48"/>
      <c r="BM1414" s="55"/>
      <c r="BN1414" s="50" t="n">
        <v>-1000</v>
      </c>
      <c r="BO1414" s="50" t="n">
        <v>2000</v>
      </c>
      <c r="BP1414" s="49" t="n">
        <v>-5150</v>
      </c>
      <c r="BQ1414" s="50" t="n">
        <v>0</v>
      </c>
      <c r="BR1414" s="48"/>
      <c r="BS1414" s="53" t="n">
        <v>0</v>
      </c>
      <c r="BT1414" s="53" t="n">
        <v>1414</v>
      </c>
      <c r="BU1414" s="48" t="str">
        <f aca="false">IF(U1414&lt;&gt;"",UPPER(TRIM(U1414)),IF(BX1414=1,UPPER(VLOOKUP(T1414,Parameter!$I$27:$K$29,2,0)),IF(P1414="","LOSE",P1414)))</f>
        <v>S51</v>
      </c>
      <c r="BV1414" s="50" t="n">
        <f aca="false">IF(BU1414="LOSE",1,IF(N(V1414)&gt;0,V1414,IF(BX1414=1,MAX(1,N(VLOOKUP(T1414,Parameter!$I$27:$K$29,3,0)),H1414,N(N1414)),IF(N(Q1414)&gt;0,Q1414,MAX(1,H1414)))))</f>
        <v>1000</v>
      </c>
      <c r="BW1414" s="53" t="n">
        <f aca="false">IF(BU1414="LOSE",1,0)</f>
        <v>0</v>
      </c>
      <c r="BX1414" s="53" t="n">
        <f aca="false">IF(AND(U1414="",OR(P1414="",P1414="LOSE"),T1414&lt;&gt;"",N(S1414)&lt;=0,ISNUMBER(MATCH(T1414,Parameter!$I$27:$I$29,0))),1,0)</f>
        <v>1</v>
      </c>
      <c r="BY1414" s="53" t="n">
        <f aca="false">IF(CL1414&gt;0,INDEX(Parameter!$H$5:$H$7,W1414)/INDEX(Parameter!$E$5:$E$7,W1414),IF(AND(BW1414=0,N(IFERROR(VLOOKUP(BU1414,'Gebinde-Kategorie'!$A$5:$N$45,14,0),0))&gt;0),VLOOKUP(BU1414,'Gebinde-Kategorie'!$A$5:$N$45,14,0)*10+Parameter!$M$23,Parameter!$M$24))</f>
        <v>155</v>
      </c>
      <c r="BZ1414" s="48" t="str">
        <f aca="false">IF(AND(Parameter!$B$19="Ja",E1414&lt;&gt;"",ISNUMBER(MATCH(E1414,Parameter!$I$35:$I$52,0))),VLOOKUP(E1414,Parameter!$I$35:$J$52,2,0),IFERROR(VLOOKUP(D1414,Parameter!$A$35:$C$64,2,0),"Nein"))</f>
        <v>2+3</v>
      </c>
      <c r="CA1414" s="52" t="n">
        <f aca="false">IF(BW1414=0,0,IF(N(S1414)&gt;0,S1414,IFERROR(VLOOKUP(D1414,Parameter!$A$35:$C$64,3,0)+0,0)))</f>
        <v>0</v>
      </c>
      <c r="CB1414" s="48" t="n">
        <f aca="false">IF(AA1414&lt;&gt;"",AA1414,Z1414)</f>
        <v>3</v>
      </c>
      <c r="CC1414" s="48" t="str">
        <f aca="false">IF(OR(CB1414=1,CB1414=2,CB1414=3),IF(Parameter!$E$27="Ja","LIFT",IF(CB1414=1,"L1","L23")),IF(CB1414="Aussen","Aussen","-"))</f>
        <v>LIFT</v>
      </c>
      <c r="CD1414" s="59" t="n">
        <f aca="false">IF(N(AB1414)&gt;0,AB1414,0)</f>
        <v>0</v>
      </c>
      <c r="CE1414" s="53" t="n">
        <f aca="false">IF(ISNUMBER(AE1414),1,0)</f>
        <v>0</v>
      </c>
      <c r="CF1414" s="50" t="n">
        <f aca="false">N(AE1414)</f>
        <v>0</v>
      </c>
      <c r="CG1414" s="50" t="n">
        <f aca="false">N(M1414)+N(N1414)</f>
        <v>758</v>
      </c>
      <c r="CH1414" s="50" t="n">
        <f aca="false">ROUNDUP(H1414/BV1414,0)</f>
        <v>1</v>
      </c>
      <c r="CI1414" s="50" t="n">
        <f aca="false">ROUNDUP(CF1414/BV1414,0)</f>
        <v>0</v>
      </c>
      <c r="CJ1414" s="53" t="n">
        <f aca="false">IF(BW1414=1,0,IFERROR(VLOOKUP(BU1414,'Gebinde-Kategorie'!$A$5:$N$45,5,0)+0,0))</f>
        <v>11</v>
      </c>
      <c r="CK1414" s="53" t="n">
        <f aca="false">IFERROR(IF(OR(CB1414=1,CB1414=2,CB1414=3),N(INDEX(Parameter!$I$5:$I$7,CB1414)),0),0)</f>
        <v>0</v>
      </c>
      <c r="CL1414" s="52" t="n">
        <f aca="false">IF(AND(Parameter!$B$21="Ja",ISNUMBER(W1414),N(X1414)&gt;0),IFERROR(N(INDEX(Parameter!$L$5:$L$7,W1414))*INDEX(Parameter!$E$5:$E$7,W1414)*X1414/SUMIFS($X$7:$X$1843,$W$7:$W$1843,W1414),0),0)</f>
        <v>0</v>
      </c>
    </row>
    <row r="1415" customFormat="false" ht="15" hidden="false" customHeight="false" outlineLevel="0" collapsed="false">
      <c r="A1415" s="48" t="s">
        <v>2488</v>
      </c>
      <c r="B1415" s="48" t="s">
        <v>2388</v>
      </c>
      <c r="C1415" s="48" t="s">
        <v>168</v>
      </c>
      <c r="D1415" s="48" t="s">
        <v>169</v>
      </c>
      <c r="E1415" s="48"/>
      <c r="F1415" s="48" t="s">
        <v>222</v>
      </c>
      <c r="G1415" s="49" t="n">
        <v>2594.36</v>
      </c>
      <c r="H1415" s="50" t="n">
        <f aca="false">MAX(0,IF(AND(Parameter!$B$21="Ja",ISNUMBER(Y1415)),Y1415,IF(Parameter!$B$20="Jahresanfang 2025 + Export",BO1415+BN1415,BN1415)))</f>
        <v>6</v>
      </c>
      <c r="I1415" s="50" t="n">
        <f aca="false">H1415*G1415</f>
        <v>15566.16</v>
      </c>
      <c r="J1415" s="50" t="n">
        <f aca="false">BQ1415*Parameter!$B$18</f>
        <v>2</v>
      </c>
      <c r="K1415" s="51" t="n">
        <v>7</v>
      </c>
      <c r="L1415" s="52" t="n">
        <v>0.285714285714286</v>
      </c>
      <c r="M1415" s="50" t="n">
        <v>1</v>
      </c>
      <c r="N1415" s="50" t="n">
        <v>5</v>
      </c>
      <c r="O1415" s="53" t="n">
        <v>88</v>
      </c>
      <c r="P1415" s="48" t="s">
        <v>172</v>
      </c>
      <c r="Q1415" s="50"/>
      <c r="R1415" s="53" t="n">
        <f aca="false">IF(BW1415=1,0,IFERROR(VLOOKUP(BU1415,'Gebinde-Kategorie'!$A$5:$N$45,13,0)+0,0))</f>
        <v>0</v>
      </c>
      <c r="S1415" s="54"/>
      <c r="T1415" s="55"/>
      <c r="U1415" s="55"/>
      <c r="V1415" s="55"/>
      <c r="W1415" s="48" t="n">
        <v>1</v>
      </c>
      <c r="X1415" s="50" t="n">
        <v>6</v>
      </c>
      <c r="Y1415" s="50" t="n">
        <v>6</v>
      </c>
      <c r="Z1415" s="48" t="n">
        <f aca="false">IF(A1415="","",IF(AND(Parameter!$B$21="Ja",ISNUMBER(W1415)),W1415,IF(BZ1415="2+3",IF(ISNUMBER(SEARCH("grosser Artikel",BR1415)),2,IFERROR(VLOOKUP(BU1415,Parameter!$F$35:$G$64,2,0),2)),IF(OR(BZ1415="Nein",BZ1415=""),"-",BZ1415))))</f>
        <v>1</v>
      </c>
      <c r="AA1415" s="55"/>
      <c r="AB1415" s="56"/>
      <c r="AC1415" s="50" t="n">
        <f aca="false">AT1415</f>
        <v>6</v>
      </c>
      <c r="AD1415" s="50" t="n">
        <f aca="false">MAX(AT1415,H1415)</f>
        <v>6</v>
      </c>
      <c r="AE1415" s="57"/>
      <c r="AF1415" s="50" t="n">
        <f aca="false">IF(LEFT(Cockpit!$C$5,1)="A",H1415,IF(CE1415=1,CF1415,IF(LEFT(Cockpit!$C$5,1)="B",AK1415,MAX(AK1415,H1415))))</f>
        <v>6</v>
      </c>
      <c r="AG1415" s="50" t="n">
        <f aca="false">IF(BW1415=1,0,ROUNDUP(AF1415/BV1415,0))</f>
        <v>0</v>
      </c>
      <c r="AH1415" s="52" t="n">
        <f aca="false">IF(CL1415&gt;0,CL1415*MAX(1,AF1415/X1415),IF(BW1415=1,IF(AF1415&lt;=0,0,CA1415*MAX(1,IF(H1415&gt;0,AF1415/H1415,1))),IF(R1415&gt;0,AG1415/R1415,0))/MAX(0.1,N(Parameter!$M$21)))</f>
        <v>0.480225988700565</v>
      </c>
      <c r="AI1415" s="50" t="n">
        <f aca="false">AH1415*BY1415</f>
        <v>114.293785310734</v>
      </c>
      <c r="AJ1415" s="50" t="n">
        <f aca="false">AF1415*G1415</f>
        <v>15566.16</v>
      </c>
      <c r="AK1415" s="50" t="n">
        <f aca="false">ROUNDUP(MAX(J1415/IF(CD1415&gt;0,CD1415,MAX(0.1,N(Cockpit!$C$6))),CG1415)/BV1415,0)*BV1415</f>
        <v>6</v>
      </c>
      <c r="AL1415" s="51" t="n">
        <f aca="false">IF(AI1415&gt;0,J1415/AI1415,-1)</f>
        <v>0.017498764211567</v>
      </c>
      <c r="AM1415" s="51" t="n">
        <f aca="false">IF(AND(OR(CC1415="L1",CC1415="L23",CC1415="LIFT"),AI1415&gt;0),SUMIFS($AI$7:$AI$1843,$CC$7:$CC$1843,CC1415,$AL$7:$AL$1843,"&gt;"&amp;AL1415)+SUMIFS($AI$7:$AI$1843,$CC$7:$CC$1843,CC1415,$AL$7:$AL$1843,AL1415,$BT$7:$BT$1843,"&lt;="&amp;BT1415),"")</f>
        <v>23530.0239931914</v>
      </c>
      <c r="AN1415" s="58" t="n">
        <f aca="false">IF(AM1415="",0,MAX(0,MIN(1,(IF(CC1415="L1",Parameter!$H$5,IF(CC1415="L23",Parameter!$H$6+Parameter!$H$7,Parameter!$H$5+Parameter!$H$6+Parameter!$H$7))-(AM1415-AI1415))/AI1415)))</f>
        <v>1</v>
      </c>
      <c r="AO1415" s="50" t="n">
        <f aca="false">IF(LEFT(Cockpit!$I$5,1)="A",H1415,IF(CE1415=1,CF1415,IF(LEFT(Cockpit!$I$5,1)="B",AT1415,MAX(AT1415,H1415))))</f>
        <v>6</v>
      </c>
      <c r="AP1415" s="50" t="n">
        <f aca="false">IF(BW1415=1,0,ROUNDUP(AO1415/BV1415,0))</f>
        <v>0</v>
      </c>
      <c r="AQ1415" s="52" t="n">
        <f aca="false">IF(CL1415&gt;0,CL1415*MAX(1,AO1415/X1415),IF(BW1415=1,IF(AO1415&lt;=0,0,CA1415*MAX(1,IF(H1415&gt;0,AO1415/H1415,1))),IF(R1415&gt;0,AP1415/R1415,0))/MAX(0.1,N(Parameter!$M$21)))</f>
        <v>0.480225988700565</v>
      </c>
      <c r="AR1415" s="50" t="n">
        <f aca="false">AQ1415*BY1415</f>
        <v>114.293785310734</v>
      </c>
      <c r="AS1415" s="50" t="n">
        <f aca="false">AO1415*G1415</f>
        <v>15566.16</v>
      </c>
      <c r="AT1415" s="50" t="n">
        <f aca="false">ROUNDUP(MAX(J1415/IF(CD1415&gt;0,CD1415,MAX(0.1,N(Cockpit!$I$6))),CG1415)/BV1415,0)*BV1415</f>
        <v>6</v>
      </c>
      <c r="AU1415" s="51" t="n">
        <f aca="false">IF(AR1415&gt;0,J1415/AR1415,-1)</f>
        <v>0.017498764211567</v>
      </c>
      <c r="AV1415" s="51" t="n">
        <f aca="false">IF(AND(OR(CC1415="L1",CC1415="L23",CC1415="LIFT"),AR1415&gt;0),SUMIFS($AR$7:$AR$1843,$CC$7:$CC$1843,CC1415,$AU$7:$AU$1843,"&gt;"&amp;AU1415)+SUMIFS($AR$7:$AR$1843,$CC$7:$CC$1843,CC1415,$AU$7:$AU$1843,AU1415,$BT$7:$BT$1843,"&lt;="&amp;BT1415),"")</f>
        <v>34348.4544633803</v>
      </c>
      <c r="AW1415" s="58" t="n">
        <f aca="false">IF(AV1415="",0,MAX(0,MIN(1,(IF(CC1415="L1",Parameter!$H$5,IF(CC1415="L23",Parameter!$H$6+Parameter!$H$7,Parameter!$H$5+Parameter!$H$6+Parameter!$H$7))-(AV1415-AR1415))/AR1415)))</f>
        <v>1</v>
      </c>
      <c r="AX1415" s="50" t="n">
        <f aca="false">IF(LEFT(Cockpit!$O$5,1)="A",H1415,IF(CE1415=1,CF1415,IF(LEFT(Cockpit!$O$5,1)="B",BC1415,MAX(BC1415,H1415))))</f>
        <v>6</v>
      </c>
      <c r="AY1415" s="50" t="n">
        <f aca="false">IF(BW1415=1,0,ROUNDUP(AX1415/BV1415,0))</f>
        <v>0</v>
      </c>
      <c r="AZ1415" s="52" t="n">
        <f aca="false">IF(CL1415&gt;0,CL1415*MAX(1,AX1415/X1415),IF(BW1415=1,IF(AX1415&lt;=0,0,CA1415*MAX(1,IF(H1415&gt;0,AX1415/H1415,1))),IF(R1415&gt;0,AY1415/R1415,0))/MAX(0.1,N(Parameter!$M$21)))</f>
        <v>0.480225988700565</v>
      </c>
      <c r="BA1415" s="50" t="n">
        <f aca="false">AZ1415*BY1415</f>
        <v>114.293785310734</v>
      </c>
      <c r="BB1415" s="50" t="n">
        <f aca="false">AX1415*G1415</f>
        <v>15566.16</v>
      </c>
      <c r="BC1415" s="50" t="n">
        <f aca="false">ROUNDUP(MAX(J1415/IF(CD1415&gt;0,CD1415,MAX(0.1,N(Cockpit!$O$6))),CG1415)/BV1415,0)*BV1415</f>
        <v>6</v>
      </c>
      <c r="BD1415" s="51" t="n">
        <f aca="false">IF(BA1415&gt;0,J1415/BA1415,-1)</f>
        <v>0.017498764211567</v>
      </c>
      <c r="BE1415" s="51" t="n">
        <f aca="false">IF(AND(OR(CC1415="L1",CC1415="L23",CC1415="LIFT"),BA1415&gt;0),SUMIFS($BA$7:$BA$1843,$CC$7:$CC$1843,CC1415,$BD$7:$BD$1843,"&gt;"&amp;BD1415)+SUMIFS($BA$7:$BA$1843,$CC$7:$CC$1843,CC1415,$BD$7:$BD$1843,BD1415,$BT$7:$BT$1843,"&lt;="&amp;BT1415),"")</f>
        <v>31023.4665052462</v>
      </c>
      <c r="BF1415" s="58" t="n">
        <f aca="false">IF(BE1415="",0,MAX(0,MIN(1,(IF(CC1415="L1",Parameter!$H$5,IF(CC1415="L23",Parameter!$H$6+Parameter!$H$7,Parameter!$H$5+Parameter!$H$6+Parameter!$H$7))-(BE1415-BA1415))/BA1415)))</f>
        <v>1</v>
      </c>
      <c r="BG1415" s="48" t="str">
        <f aca="false">IF(AI1415&lt;=0,"",IF(CC1415="Aussen","Aussenlager",IF(CC1415="-","Nicht im Lift",IF(AN1415&gt;=1,"Lift",IF(AN1415&lt;=0,"Aussenlager","teilweise")))))</f>
        <v>Lift</v>
      </c>
      <c r="BH1415" s="48" t="str">
        <f aca="false">IF(AR1415&lt;=0,"",IF(CC1415="Aussen","Aussenlager",IF(CC1415="-","Nicht im Lift",IF(AW1415&gt;=1,"Lift",IF(AW1415&lt;=0,"Aussenlager","teilweise")))))</f>
        <v>Lift</v>
      </c>
      <c r="BI1415" s="48" t="str">
        <f aca="false">IF(BA1415&lt;=0,"",IF(CC1415="Aussen","Aussenlager",IF(CC1415="-","Nicht im Lift",IF(BF1415&gt;=1,"Lift",IF(BF1415&lt;=0,"Aussenlager","teilweise")))))</f>
        <v>Lift</v>
      </c>
      <c r="BJ1415" s="48" t="str">
        <f aca="false">IF(A1415="","",IF(BS1415=1,"Neu; ","")&amp;IF(AND(BS1415=0,BN1415&lt;0),"negativer Bestand (Export "&amp;BN1415&amp;"); ","")&amp;IF(J1415&lt;=0,"Kein Verbrauch; ","")&amp;IF(CL1415&gt;0,"Lift "&amp;W1415&amp;" lt. Liftbericht (Fach "&amp;X1415&amp;" Stk); ",IF(BX1415=1,"Gebinde geschätzt ("&amp;T1415&amp;"); ",IF(BW1415=1,"Lose – Tablare geschätzt; ","")))&amp;IF(H1415&gt;AT1415,"Überbestand "&amp;ROUND(H1415-AT1415,0)&amp;" Stk / CHF "&amp;ROUND((H1415-AT1415)*G1415,0)&amp;"; ","")&amp;IF(AND(CE1415=1,CF1415&lt;CG1415),"MAX &lt; MB+LG; ","")&amp;IF(AND(CK1415&gt;0,CJ1415*10&gt;CK1415),"zu hoch für Tablar; ","")&amp;IF(AND(BS1415=0,OR(CE1415=1,AA1415&lt;&gt;"",U1415&lt;&gt;"",V1415&lt;&gt;"",AB1415&lt;&gt;"")),"manuell übersteuert; ","")&amp;IF(AND(BW1415=0,R1415=0),"Gebinde unbekannt / Stellmass fehlt; ","")&amp;IF(AND(BW1415=0,N(V1415)&lt;=0,N(Q1415)&lt;=0),"Menge pro Gebinde fehlt (Ist = 1 Gebinde); ","")&amp;BR1415)</f>
        <v>negativer Bestand (Export -2); Lift 1 lt. Liftbericht (Fach 6 Stk); </v>
      </c>
      <c r="BK1415" s="48"/>
      <c r="BL1415" s="48"/>
      <c r="BM1415" s="55"/>
      <c r="BN1415" s="50" t="n">
        <v>-2</v>
      </c>
      <c r="BO1415" s="50" t="n">
        <v>8</v>
      </c>
      <c r="BP1415" s="49" t="n">
        <v>-5188.72</v>
      </c>
      <c r="BQ1415" s="50" t="n">
        <v>2</v>
      </c>
      <c r="BR1415" s="48"/>
      <c r="BS1415" s="53" t="n">
        <v>0</v>
      </c>
      <c r="BT1415" s="53" t="n">
        <v>1415</v>
      </c>
      <c r="BU1415" s="48" t="str">
        <f aca="false">IF(U1415&lt;&gt;"",UPPER(TRIM(U1415)),IF(BX1415=1,UPPER(VLOOKUP(T1415,Parameter!$I$27:$K$29,2,0)),IF(P1415="","LOSE",P1415)))</f>
        <v>LOSE</v>
      </c>
      <c r="BV1415" s="50" t="n">
        <f aca="false">IF(BU1415="LOSE",1,IF(N(V1415)&gt;0,V1415,IF(BX1415=1,MAX(1,N(VLOOKUP(T1415,Parameter!$I$27:$K$29,3,0)),H1415,N(N1415)),IF(N(Q1415)&gt;0,Q1415,MAX(1,H1415)))))</f>
        <v>1</v>
      </c>
      <c r="BW1415" s="53" t="n">
        <f aca="false">IF(BU1415="LOSE",1,0)</f>
        <v>1</v>
      </c>
      <c r="BX1415" s="53" t="n">
        <f aca="false">IF(AND(U1415="",OR(P1415="",P1415="LOSE"),T1415&lt;&gt;"",N(S1415)&lt;=0,ISNUMBER(MATCH(T1415,Parameter!$I$27:$I$29,0))),1,0)</f>
        <v>0</v>
      </c>
      <c r="BY1415" s="53" t="n">
        <f aca="false">IF(CL1415&gt;0,INDEX(Parameter!$H$5:$H$7,W1415)/INDEX(Parameter!$E$5:$E$7,W1415),IF(AND(BW1415=0,N(IFERROR(VLOOKUP(BU1415,'Gebinde-Kategorie'!$A$5:$N$45,14,0),0))&gt;0),VLOOKUP(BU1415,'Gebinde-Kategorie'!$A$5:$N$45,14,0)*10+Parameter!$M$23,Parameter!$M$24))</f>
        <v>238</v>
      </c>
      <c r="BZ1415" s="48" t="n">
        <f aca="false">IF(AND(Parameter!$B$19="Ja",E1415&lt;&gt;"",ISNUMBER(MATCH(E1415,Parameter!$I$35:$I$52,0))),VLOOKUP(E1415,Parameter!$I$35:$J$52,2,0),IFERROR(VLOOKUP(D1415,Parameter!$A$35:$C$64,2,0),"Nein"))</f>
        <v>1</v>
      </c>
      <c r="CA1415" s="52" t="n">
        <f aca="false">IF(BW1415=0,0,IF(N(S1415)&gt;0,S1415,IFERROR(VLOOKUP(D1415,Parameter!$A$35:$C$64,3,0)+0,0)))</f>
        <v>1</v>
      </c>
      <c r="CB1415" s="48" t="n">
        <f aca="false">IF(AA1415&lt;&gt;"",AA1415,Z1415)</f>
        <v>1</v>
      </c>
      <c r="CC1415" s="48" t="str">
        <f aca="false">IF(OR(CB1415=1,CB1415=2,CB1415=3),IF(Parameter!$E$27="Ja","LIFT",IF(CB1415=1,"L1","L23")),IF(CB1415="Aussen","Aussen","-"))</f>
        <v>LIFT</v>
      </c>
      <c r="CD1415" s="59" t="n">
        <f aca="false">IF(N(AB1415)&gt;0,AB1415,0)</f>
        <v>0</v>
      </c>
      <c r="CE1415" s="53" t="n">
        <f aca="false">IF(ISNUMBER(AE1415),1,0)</f>
        <v>0</v>
      </c>
      <c r="CF1415" s="50" t="n">
        <f aca="false">N(AE1415)</f>
        <v>0</v>
      </c>
      <c r="CG1415" s="50" t="n">
        <f aca="false">N(M1415)+N(N1415)</f>
        <v>6</v>
      </c>
      <c r="CH1415" s="50" t="n">
        <f aca="false">ROUNDUP(H1415/BV1415,0)</f>
        <v>6</v>
      </c>
      <c r="CI1415" s="50" t="n">
        <f aca="false">ROUNDUP(CF1415/BV1415,0)</f>
        <v>0</v>
      </c>
      <c r="CJ1415" s="53" t="n">
        <f aca="false">IF(BW1415=1,0,IFERROR(VLOOKUP(BU1415,'Gebinde-Kategorie'!$A$5:$N$45,5,0)+0,0))</f>
        <v>0</v>
      </c>
      <c r="CK1415" s="53" t="n">
        <f aca="false">IFERROR(IF(OR(CB1415=1,CB1415=2,CB1415=3),N(INDEX(Parameter!$I$5:$I$7,CB1415)),0),0)</f>
        <v>0</v>
      </c>
      <c r="CL1415" s="52" t="n">
        <f aca="false">IF(AND(Parameter!$B$21="Ja",ISNUMBER(W1415),N(X1415)&gt;0),IFERROR(N(INDEX(Parameter!$L$5:$L$7,W1415))*INDEX(Parameter!$E$5:$E$7,W1415)*X1415/SUMIFS($X$7:$X$1843,$W$7:$W$1843,W1415),0),0)</f>
        <v>0.480225988700565</v>
      </c>
    </row>
    <row r="1416" customFormat="false" ht="15" hidden="false" customHeight="false" outlineLevel="0" collapsed="false">
      <c r="A1416" s="48" t="s">
        <v>2489</v>
      </c>
      <c r="B1416" s="48" t="s">
        <v>2441</v>
      </c>
      <c r="C1416" s="48" t="s">
        <v>460</v>
      </c>
      <c r="D1416" s="48" t="s">
        <v>188</v>
      </c>
      <c r="E1416" s="48" t="s">
        <v>189</v>
      </c>
      <c r="F1416" s="48" t="s">
        <v>222</v>
      </c>
      <c r="G1416" s="49" t="n">
        <v>655.07</v>
      </c>
      <c r="H1416" s="50" t="n">
        <f aca="false">MAX(0,IF(AND(Parameter!$B$21="Ja",ISNUMBER(Y1416)),Y1416,IF(Parameter!$B$20="Jahresanfang 2025 + Export",BO1416+BN1416,BN1416)))</f>
        <v>0</v>
      </c>
      <c r="I1416" s="50" t="n">
        <f aca="false">H1416*G1416</f>
        <v>0</v>
      </c>
      <c r="J1416" s="50" t="n">
        <f aca="false">BQ1416*Parameter!$B$18</f>
        <v>5</v>
      </c>
      <c r="K1416" s="51" t="n">
        <v>4</v>
      </c>
      <c r="L1416" s="52" t="n">
        <v>1.25</v>
      </c>
      <c r="M1416" s="50" t="n">
        <v>0</v>
      </c>
      <c r="N1416" s="50" t="n">
        <v>5</v>
      </c>
      <c r="O1416" s="53" t="n">
        <v>35</v>
      </c>
      <c r="P1416" s="48" t="s">
        <v>230</v>
      </c>
      <c r="Q1416" s="50" t="n">
        <v>11</v>
      </c>
      <c r="R1416" s="53" t="n">
        <f aca="false">IF(BW1416=1,0,IFERROR(VLOOKUP(BU1416,'Gebinde-Kategorie'!$A$5:$N$45,13,0)+0,0))</f>
        <v>12</v>
      </c>
      <c r="S1416" s="54"/>
      <c r="T1416" s="55"/>
      <c r="U1416" s="55"/>
      <c r="V1416" s="55"/>
      <c r="W1416" s="48"/>
      <c r="X1416" s="50"/>
      <c r="Y1416" s="50"/>
      <c r="Z1416" s="48" t="n">
        <f aca="false">IF(A1416="","",IF(AND(Parameter!$B$21="Ja",ISNUMBER(W1416)),W1416,IF(BZ1416="2+3",IF(ISNUMBER(SEARCH("grosser Artikel",BR1416)),2,IFERROR(VLOOKUP(BU1416,Parameter!$F$35:$G$64,2,0),2)),IF(OR(BZ1416="Nein",BZ1416=""),"-",BZ1416))))</f>
        <v>2</v>
      </c>
      <c r="AA1416" s="55"/>
      <c r="AB1416" s="56"/>
      <c r="AC1416" s="50" t="n">
        <f aca="false">AT1416</f>
        <v>11</v>
      </c>
      <c r="AD1416" s="50" t="n">
        <f aca="false">MAX(AT1416,H1416)</f>
        <v>11</v>
      </c>
      <c r="AE1416" s="57"/>
      <c r="AF1416" s="50" t="n">
        <f aca="false">IF(LEFT(Cockpit!$C$5,1)="A",H1416,IF(CE1416=1,CF1416,IF(LEFT(Cockpit!$C$5,1)="B",AK1416,MAX(AK1416,H1416))))</f>
        <v>0</v>
      </c>
      <c r="AG1416" s="50" t="n">
        <f aca="false">IF(BW1416=1,0,ROUNDUP(AF1416/BV1416,0))</f>
        <v>0</v>
      </c>
      <c r="AH1416" s="52" t="n">
        <f aca="false">IF(CL1416&gt;0,CL1416*MAX(1,AF1416/X1416),IF(BW1416=1,IF(AF1416&lt;=0,0,CA1416*MAX(1,IF(H1416&gt;0,AF1416/H1416,1))),IF(R1416&gt;0,AG1416/R1416,0))/MAX(0.1,N(Parameter!$M$21)))</f>
        <v>0</v>
      </c>
      <c r="AI1416" s="50" t="n">
        <f aca="false">AH1416*BY1416</f>
        <v>0</v>
      </c>
      <c r="AJ1416" s="50" t="n">
        <f aca="false">AF1416*G1416</f>
        <v>0</v>
      </c>
      <c r="AK1416" s="50" t="n">
        <f aca="false">ROUNDUP(MAX(J1416/IF(CD1416&gt;0,CD1416,MAX(0.1,N(Cockpit!$C$6))),CG1416)/BV1416,0)*BV1416</f>
        <v>11</v>
      </c>
      <c r="AL1416" s="51" t="n">
        <f aca="false">IF(AI1416&gt;0,J1416/AI1416,-1)</f>
        <v>-1</v>
      </c>
      <c r="AM1416" s="51" t="str">
        <f aca="false">IF(AND(OR(CC1416="L1",CC1416="L23",CC1416="LIFT"),AI1416&gt;0),SUMIFS($AI$7:$AI$1843,$CC$7:$CC$1843,CC1416,$AL$7:$AL$1843,"&gt;"&amp;AL1416)+SUMIFS($AI$7:$AI$1843,$CC$7:$CC$1843,CC1416,$AL$7:$AL$1843,AL1416,$BT$7:$BT$1843,"&lt;="&amp;BT1416),"")</f>
        <v/>
      </c>
      <c r="AN1416" s="58" t="n">
        <f aca="false">IF(AM1416="",0,MAX(0,MIN(1,(IF(CC1416="L1",Parameter!$H$5,IF(CC1416="L23",Parameter!$H$6+Parameter!$H$7,Parameter!$H$5+Parameter!$H$6+Parameter!$H$7))-(AM1416-AI1416))/AI1416)))</f>
        <v>0</v>
      </c>
      <c r="AO1416" s="50" t="n">
        <f aca="false">IF(LEFT(Cockpit!$I$5,1)="A",H1416,IF(CE1416=1,CF1416,IF(LEFT(Cockpit!$I$5,1)="B",AT1416,MAX(AT1416,H1416))))</f>
        <v>11</v>
      </c>
      <c r="AP1416" s="50" t="n">
        <f aca="false">IF(BW1416=1,0,ROUNDUP(AO1416/BV1416,0))</f>
        <v>1</v>
      </c>
      <c r="AQ1416" s="52" t="n">
        <f aca="false">IF(CL1416&gt;0,CL1416*MAX(1,AO1416/X1416),IF(BW1416=1,IF(AO1416&lt;=0,0,CA1416*MAX(1,IF(H1416&gt;0,AO1416/H1416,1))),IF(R1416&gt;0,AP1416/R1416,0))/MAX(0.1,N(Parameter!$M$21)))</f>
        <v>0.0833333333333333</v>
      </c>
      <c r="AR1416" s="50" t="n">
        <f aca="false">AQ1416*BY1416</f>
        <v>28.75</v>
      </c>
      <c r="AS1416" s="50" t="n">
        <f aca="false">AO1416*G1416</f>
        <v>7205.77</v>
      </c>
      <c r="AT1416" s="50" t="n">
        <f aca="false">ROUNDUP(MAX(J1416/IF(CD1416&gt;0,CD1416,MAX(0.1,N(Cockpit!$I$6))),CG1416)/BV1416,0)*BV1416</f>
        <v>11</v>
      </c>
      <c r="AU1416" s="51" t="n">
        <f aca="false">IF(AR1416&gt;0,J1416/AR1416,-1)</f>
        <v>0.173913043478261</v>
      </c>
      <c r="AV1416" s="51" t="n">
        <f aca="false">IF(AND(OR(CC1416="L1",CC1416="L23",CC1416="LIFT"),AR1416&gt;0),SUMIFS($AR$7:$AR$1843,$CC$7:$CC$1843,CC1416,$AU$7:$AU$1843,"&gt;"&amp;AU1416)+SUMIFS($AR$7:$AR$1843,$CC$7:$CC$1843,CC1416,$AU$7:$AU$1843,AU1416,$BT$7:$BT$1843,"&lt;="&amp;BT1416),"")</f>
        <v>19190.1350732601</v>
      </c>
      <c r="AW1416" s="58" t="n">
        <f aca="false">IF(AV1416="",0,MAX(0,MIN(1,(IF(CC1416="L1",Parameter!$H$5,IF(CC1416="L23",Parameter!$H$6+Parameter!$H$7,Parameter!$H$5+Parameter!$H$6+Parameter!$H$7))-(AV1416-AR1416))/AR1416)))</f>
        <v>1</v>
      </c>
      <c r="AX1416" s="50" t="n">
        <f aca="false">IF(LEFT(Cockpit!$O$5,1)="A",H1416,IF(CE1416=1,CF1416,IF(LEFT(Cockpit!$O$5,1)="B",BC1416,MAX(BC1416,H1416))))</f>
        <v>11</v>
      </c>
      <c r="AY1416" s="50" t="n">
        <f aca="false">IF(BW1416=1,0,ROUNDUP(AX1416/BV1416,0))</f>
        <v>1</v>
      </c>
      <c r="AZ1416" s="52" t="n">
        <f aca="false">IF(CL1416&gt;0,CL1416*MAX(1,AX1416/X1416),IF(BW1416=1,IF(AX1416&lt;=0,0,CA1416*MAX(1,IF(H1416&gt;0,AX1416/H1416,1))),IF(R1416&gt;0,AY1416/R1416,0))/MAX(0.1,N(Parameter!$M$21)))</f>
        <v>0.0833333333333333</v>
      </c>
      <c r="BA1416" s="50" t="n">
        <f aca="false">AZ1416*BY1416</f>
        <v>28.75</v>
      </c>
      <c r="BB1416" s="50" t="n">
        <f aca="false">AX1416*G1416</f>
        <v>7205.77</v>
      </c>
      <c r="BC1416" s="50" t="n">
        <f aca="false">ROUNDUP(MAX(J1416/IF(CD1416&gt;0,CD1416,MAX(0.1,N(Cockpit!$O$6))),CG1416)/BV1416,0)*BV1416</f>
        <v>11</v>
      </c>
      <c r="BD1416" s="51" t="n">
        <f aca="false">IF(BA1416&gt;0,J1416/BA1416,-1)</f>
        <v>0.173913043478261</v>
      </c>
      <c r="BE1416" s="51" t="n">
        <f aca="false">IF(AND(OR(CC1416="L1",CC1416="L23",CC1416="LIFT"),BA1416&gt;0),SUMIFS($BA$7:$BA$1843,$CC$7:$CC$1843,CC1416,$BD$7:$BD$1843,"&gt;"&amp;BD1416)+SUMIFS($BA$7:$BA$1843,$CC$7:$CC$1843,CC1416,$BD$7:$BD$1843,BD1416,$BT$7:$BT$1843,"&lt;="&amp;BT1416),"")</f>
        <v>17216.2087912088</v>
      </c>
      <c r="BF1416" s="58" t="n">
        <f aca="false">IF(BE1416="",0,MAX(0,MIN(1,(IF(CC1416="L1",Parameter!$H$5,IF(CC1416="L23",Parameter!$H$6+Parameter!$H$7,Parameter!$H$5+Parameter!$H$6+Parameter!$H$7))-(BE1416-BA1416))/BA1416)))</f>
        <v>1</v>
      </c>
      <c r="BG1416" s="48" t="str">
        <f aca="false">IF(AI1416&lt;=0,"",IF(CC1416="Aussen","Aussenlager",IF(CC1416="-","Nicht im Lift",IF(AN1416&gt;=1,"Lift",IF(AN1416&lt;=0,"Aussenlager","teilweise")))))</f>
        <v/>
      </c>
      <c r="BH1416" s="48" t="str">
        <f aca="false">IF(AR1416&lt;=0,"",IF(CC1416="Aussen","Aussenlager",IF(CC1416="-","Nicht im Lift",IF(AW1416&gt;=1,"Lift",IF(AW1416&lt;=0,"Aussenlager","teilweise")))))</f>
        <v>Lift</v>
      </c>
      <c r="BI1416" s="48" t="str">
        <f aca="false">IF(BA1416&lt;=0,"",IF(CC1416="Aussen","Aussenlager",IF(CC1416="-","Nicht im Lift",IF(BF1416&gt;=1,"Lift",IF(BF1416&lt;=0,"Aussenlager","teilweise")))))</f>
        <v>Lift</v>
      </c>
      <c r="BJ1416" s="48" t="str">
        <f aca="false">IF(A1416="","",IF(BS1416=1,"Neu; ","")&amp;IF(AND(BS1416=0,BN1416&lt;0),"negativer Bestand (Export "&amp;BN1416&amp;"); ","")&amp;IF(J1416&lt;=0,"Kein Verbrauch; ","")&amp;IF(CL1416&gt;0,"Lift "&amp;W1416&amp;" lt. Liftbericht (Fach "&amp;X1416&amp;" Stk); ",IF(BX1416=1,"Gebinde geschätzt ("&amp;T1416&amp;"); ",IF(BW1416=1,"Lose – Tablare geschätzt; ","")))&amp;IF(H1416&gt;AT1416,"Überbestand "&amp;ROUND(H1416-AT1416,0)&amp;" Stk / CHF "&amp;ROUND((H1416-AT1416)*G1416,0)&amp;"; ","")&amp;IF(AND(CE1416=1,CF1416&lt;CG1416),"MAX &lt; MB+LG; ","")&amp;IF(AND(CK1416&gt;0,CJ1416*10&gt;CK1416),"zu hoch für Tablar; ","")&amp;IF(AND(BS1416=0,OR(CE1416=1,AA1416&lt;&gt;"",U1416&lt;&gt;"",V1416&lt;&gt;"",AB1416&lt;&gt;"")),"manuell übersteuert; ","")&amp;IF(AND(BW1416=0,R1416=0),"Gebinde unbekannt / Stellmass fehlt; ","")&amp;IF(AND(BW1416=0,N(V1416)&lt;=0,N(Q1416)&lt;=0),"Menge pro Gebinde fehlt (Ist = 1 Gebinde); ","")&amp;BR1416)</f>
        <v>negativer Bestand (Export -8); </v>
      </c>
      <c r="BK1416" s="48"/>
      <c r="BL1416" s="48"/>
      <c r="BM1416" s="55"/>
      <c r="BN1416" s="50" t="n">
        <v>-8</v>
      </c>
      <c r="BO1416" s="50" t="n">
        <v>8</v>
      </c>
      <c r="BP1416" s="49" t="n">
        <v>-5240.56</v>
      </c>
      <c r="BQ1416" s="50" t="n">
        <v>5</v>
      </c>
      <c r="BR1416" s="48"/>
      <c r="BS1416" s="53" t="n">
        <v>0</v>
      </c>
      <c r="BT1416" s="53" t="n">
        <v>1416</v>
      </c>
      <c r="BU1416" s="48" t="str">
        <f aca="false">IF(U1416&lt;&gt;"",UPPER(TRIM(U1416)),IF(BX1416=1,UPPER(VLOOKUP(T1416,Parameter!$I$27:$K$29,2,0)),IF(P1416="","LOSE",P1416)))</f>
        <v>S63</v>
      </c>
      <c r="BV1416" s="50" t="n">
        <f aca="false">IF(BU1416="LOSE",1,IF(N(V1416)&gt;0,V1416,IF(BX1416=1,MAX(1,N(VLOOKUP(T1416,Parameter!$I$27:$K$29,3,0)),H1416,N(N1416)),IF(N(Q1416)&gt;0,Q1416,MAX(1,H1416)))))</f>
        <v>11</v>
      </c>
      <c r="BW1416" s="53" t="n">
        <f aca="false">IF(BU1416="LOSE",1,0)</f>
        <v>0</v>
      </c>
      <c r="BX1416" s="53" t="n">
        <f aca="false">IF(AND(U1416="",OR(P1416="",P1416="LOSE"),T1416&lt;&gt;"",N(S1416)&lt;=0,ISNUMBER(MATCH(T1416,Parameter!$I$27:$I$29,0))),1,0)</f>
        <v>0</v>
      </c>
      <c r="BY1416" s="53" t="n">
        <f aca="false">IF(CL1416&gt;0,INDEX(Parameter!$H$5:$H$7,W1416)/INDEX(Parameter!$E$5:$E$7,W1416),IF(AND(BW1416=0,N(IFERROR(VLOOKUP(BU1416,'Gebinde-Kategorie'!$A$5:$N$45,14,0),0))&gt;0),VLOOKUP(BU1416,'Gebinde-Kategorie'!$A$5:$N$45,14,0)*10+Parameter!$M$23,Parameter!$M$24))</f>
        <v>345</v>
      </c>
      <c r="BZ1416" s="48" t="str">
        <f aca="false">IF(AND(Parameter!$B$19="Ja",E1416&lt;&gt;"",ISNUMBER(MATCH(E1416,Parameter!$I$35:$I$52,0))),VLOOKUP(E1416,Parameter!$I$35:$J$52,2,0),IFERROR(VLOOKUP(D1416,Parameter!$A$35:$C$64,2,0),"Nein"))</f>
        <v>2+3</v>
      </c>
      <c r="CA1416" s="52" t="n">
        <f aca="false">IF(BW1416=0,0,IF(N(S1416)&gt;0,S1416,IFERROR(VLOOKUP(D1416,Parameter!$A$35:$C$64,3,0)+0,0)))</f>
        <v>0</v>
      </c>
      <c r="CB1416" s="48" t="n">
        <f aca="false">IF(AA1416&lt;&gt;"",AA1416,Z1416)</f>
        <v>2</v>
      </c>
      <c r="CC1416" s="48" t="str">
        <f aca="false">IF(OR(CB1416=1,CB1416=2,CB1416=3),IF(Parameter!$E$27="Ja","LIFT",IF(CB1416=1,"L1","L23")),IF(CB1416="Aussen","Aussen","-"))</f>
        <v>LIFT</v>
      </c>
      <c r="CD1416" s="59" t="n">
        <f aca="false">IF(N(AB1416)&gt;0,AB1416,0)</f>
        <v>0</v>
      </c>
      <c r="CE1416" s="53" t="n">
        <f aca="false">IF(ISNUMBER(AE1416),1,0)</f>
        <v>0</v>
      </c>
      <c r="CF1416" s="50" t="n">
        <f aca="false">N(AE1416)</f>
        <v>0</v>
      </c>
      <c r="CG1416" s="50" t="n">
        <f aca="false">N(M1416)+N(N1416)</f>
        <v>5</v>
      </c>
      <c r="CH1416" s="50" t="n">
        <f aca="false">ROUNDUP(H1416/BV1416,0)</f>
        <v>0</v>
      </c>
      <c r="CI1416" s="50" t="n">
        <f aca="false">ROUNDUP(CF1416/BV1416,0)</f>
        <v>0</v>
      </c>
      <c r="CJ1416" s="53" t="n">
        <f aca="false">IF(BW1416=1,0,IFERROR(VLOOKUP(BU1416,'Gebinde-Kategorie'!$A$5:$N$45,5,0)+0,0))</f>
        <v>31</v>
      </c>
      <c r="CK1416" s="53" t="n">
        <f aca="false">IFERROR(IF(OR(CB1416=1,CB1416=2,CB1416=3),N(INDEX(Parameter!$I$5:$I$7,CB1416)),0),0)</f>
        <v>0</v>
      </c>
      <c r="CL1416" s="52" t="n">
        <f aca="false">IF(AND(Parameter!$B$21="Ja",ISNUMBER(W1416),N(X1416)&gt;0),IFERROR(N(INDEX(Parameter!$L$5:$L$7,W1416))*INDEX(Parameter!$E$5:$E$7,W1416)*X1416/SUMIFS($X$7:$X$1843,$W$7:$W$1843,W1416),0),0)</f>
        <v>0</v>
      </c>
    </row>
    <row r="1417" customFormat="false" ht="15" hidden="false" customHeight="false" outlineLevel="0" collapsed="false">
      <c r="A1417" s="48" t="s">
        <v>2490</v>
      </c>
      <c r="B1417" s="48" t="s">
        <v>2491</v>
      </c>
      <c r="C1417" s="48" t="s">
        <v>171</v>
      </c>
      <c r="D1417" s="48" t="s">
        <v>177</v>
      </c>
      <c r="E1417" s="48"/>
      <c r="F1417" s="48" t="s">
        <v>222</v>
      </c>
      <c r="G1417" s="49" t="n">
        <v>34.75</v>
      </c>
      <c r="H1417" s="50" t="n">
        <f aca="false">MAX(0,IF(AND(Parameter!$B$21="Ja",ISNUMBER(Y1417)),Y1417,IF(Parameter!$B$20="Jahresanfang 2025 + Export",BO1417+BN1417,BN1417)))</f>
        <v>47</v>
      </c>
      <c r="I1417" s="50" t="n">
        <f aca="false">H1417*G1417</f>
        <v>1633.25</v>
      </c>
      <c r="J1417" s="50" t="n">
        <f aca="false">BQ1417*Parameter!$B$18</f>
        <v>185</v>
      </c>
      <c r="K1417" s="51" t="n">
        <v>117.5</v>
      </c>
      <c r="L1417" s="52" t="n">
        <v>1.57446808510638</v>
      </c>
      <c r="M1417" s="50" t="n">
        <v>0</v>
      </c>
      <c r="N1417" s="50" t="n">
        <v>1</v>
      </c>
      <c r="O1417" s="53" t="n">
        <v>56</v>
      </c>
      <c r="P1417" s="48" t="s">
        <v>172</v>
      </c>
      <c r="Q1417" s="50"/>
      <c r="R1417" s="53" t="n">
        <f aca="false">IF(BW1417=1,0,IFERROR(VLOOKUP(BU1417,'Gebinde-Kategorie'!$A$5:$N$45,13,0)+0,0))</f>
        <v>26</v>
      </c>
      <c r="S1417" s="54"/>
      <c r="T1417" s="55" t="s">
        <v>279</v>
      </c>
      <c r="U1417" s="55"/>
      <c r="V1417" s="55"/>
      <c r="W1417" s="48"/>
      <c r="X1417" s="50"/>
      <c r="Y1417" s="50"/>
      <c r="Z1417" s="48" t="n">
        <f aca="false">IF(A1417="","",IF(AND(Parameter!$B$21="Ja",ISNUMBER(W1417)),W1417,IF(BZ1417="2+3",IF(ISNUMBER(SEARCH("grosser Artikel",BR1417)),2,IFERROR(VLOOKUP(BU1417,Parameter!$F$35:$G$64,2,0),2)),IF(OR(BZ1417="Nein",BZ1417=""),"-",BZ1417))))</f>
        <v>3</v>
      </c>
      <c r="AA1417" s="55"/>
      <c r="AB1417" s="56"/>
      <c r="AC1417" s="50" t="n">
        <f aca="false">AT1417</f>
        <v>94</v>
      </c>
      <c r="AD1417" s="50" t="n">
        <f aca="false">MAX(AT1417,H1417)</f>
        <v>94</v>
      </c>
      <c r="AE1417" s="57"/>
      <c r="AF1417" s="50" t="n">
        <f aca="false">IF(LEFT(Cockpit!$C$5,1)="A",H1417,IF(CE1417=1,CF1417,IF(LEFT(Cockpit!$C$5,1)="B",AK1417,MAX(AK1417,H1417))))</f>
        <v>47</v>
      </c>
      <c r="AG1417" s="50" t="n">
        <f aca="false">IF(BW1417=1,0,ROUNDUP(AF1417/BV1417,0))</f>
        <v>1</v>
      </c>
      <c r="AH1417" s="52" t="n">
        <f aca="false">IF(CL1417&gt;0,CL1417*MAX(1,AF1417/X1417),IF(BW1417=1,IF(AF1417&lt;=0,0,CA1417*MAX(1,IF(H1417&gt;0,AF1417/H1417,1))),IF(R1417&gt;0,AG1417/R1417,0))/MAX(0.1,N(Parameter!$M$21)))</f>
        <v>0.0384615384615385</v>
      </c>
      <c r="AI1417" s="50" t="n">
        <f aca="false">AH1417*BY1417</f>
        <v>5.96153846153846</v>
      </c>
      <c r="AJ1417" s="50" t="n">
        <f aca="false">AF1417*G1417</f>
        <v>1633.25</v>
      </c>
      <c r="AK1417" s="50" t="n">
        <f aca="false">ROUNDUP(MAX(J1417/IF(CD1417&gt;0,CD1417,MAX(0.1,N(Cockpit!$C$6))),CG1417)/BV1417,0)*BV1417</f>
        <v>94</v>
      </c>
      <c r="AL1417" s="51" t="n">
        <f aca="false">IF(AI1417&gt;0,J1417/AI1417,-1)</f>
        <v>31.0322580645161</v>
      </c>
      <c r="AM1417" s="51" t="n">
        <f aca="false">IF(AND(OR(CC1417="L1",CC1417="L23",CC1417="LIFT"),AI1417&gt;0),SUMIFS($AI$7:$AI$1843,$CC$7:$CC$1843,CC1417,$AL$7:$AL$1843,"&gt;"&amp;AL1417)+SUMIFS($AI$7:$AI$1843,$CC$7:$CC$1843,CC1417,$AL$7:$AL$1843,AL1417,$BT$7:$BT$1843,"&lt;="&amp;BT1417),"")</f>
        <v>1393.92857142857</v>
      </c>
      <c r="AN1417" s="58" t="n">
        <f aca="false">IF(AM1417="",0,MAX(0,MIN(1,(IF(CC1417="L1",Parameter!$H$5,IF(CC1417="L23",Parameter!$H$6+Parameter!$H$7,Parameter!$H$5+Parameter!$H$6+Parameter!$H$7))-(AM1417-AI1417))/AI1417)))</f>
        <v>1</v>
      </c>
      <c r="AO1417" s="50" t="n">
        <f aca="false">IF(LEFT(Cockpit!$I$5,1)="A",H1417,IF(CE1417=1,CF1417,IF(LEFT(Cockpit!$I$5,1)="B",AT1417,MAX(AT1417,H1417))))</f>
        <v>94</v>
      </c>
      <c r="AP1417" s="50" t="n">
        <f aca="false">IF(BW1417=1,0,ROUNDUP(AO1417/BV1417,0))</f>
        <v>2</v>
      </c>
      <c r="AQ1417" s="52" t="n">
        <f aca="false">IF(CL1417&gt;0,CL1417*MAX(1,AO1417/X1417),IF(BW1417=1,IF(AO1417&lt;=0,0,CA1417*MAX(1,IF(H1417&gt;0,AO1417/H1417,1))),IF(R1417&gt;0,AP1417/R1417,0))/MAX(0.1,N(Parameter!$M$21)))</f>
        <v>0.0769230769230769</v>
      </c>
      <c r="AR1417" s="50" t="n">
        <f aca="false">AQ1417*BY1417</f>
        <v>11.9230769230769</v>
      </c>
      <c r="AS1417" s="50" t="n">
        <f aca="false">AO1417*G1417</f>
        <v>3266.5</v>
      </c>
      <c r="AT1417" s="50" t="n">
        <f aca="false">ROUNDUP(MAX(J1417/IF(CD1417&gt;0,CD1417,MAX(0.1,N(Cockpit!$I$6))),CG1417)/BV1417,0)*BV1417</f>
        <v>94</v>
      </c>
      <c r="AU1417" s="51" t="n">
        <f aca="false">IF(AR1417&gt;0,J1417/AR1417,-1)</f>
        <v>15.5161290322581</v>
      </c>
      <c r="AV1417" s="51" t="n">
        <f aca="false">IF(AND(OR(CC1417="L1",CC1417="L23",CC1417="LIFT"),AR1417&gt;0),SUMIFS($AR$7:$AR$1843,$CC$7:$CC$1843,CC1417,$AU$7:$AU$1843,"&gt;"&amp;AU1417)+SUMIFS($AR$7:$AR$1843,$CC$7:$CC$1843,CC1417,$AU$7:$AU$1843,AU1417,$BT$7:$BT$1843,"&lt;="&amp;BT1417),"")</f>
        <v>3243.71840659341</v>
      </c>
      <c r="AW1417" s="58" t="n">
        <f aca="false">IF(AV1417="",0,MAX(0,MIN(1,(IF(CC1417="L1",Parameter!$H$5,IF(CC1417="L23",Parameter!$H$6+Parameter!$H$7,Parameter!$H$5+Parameter!$H$6+Parameter!$H$7))-(AV1417-AR1417))/AR1417)))</f>
        <v>1</v>
      </c>
      <c r="AX1417" s="50" t="n">
        <f aca="false">IF(LEFT(Cockpit!$O$5,1)="A",H1417,IF(CE1417=1,CF1417,IF(LEFT(Cockpit!$O$5,1)="B",BC1417,MAX(BC1417,H1417))))</f>
        <v>94</v>
      </c>
      <c r="AY1417" s="50" t="n">
        <f aca="false">IF(BW1417=1,0,ROUNDUP(AX1417/BV1417,0))</f>
        <v>2</v>
      </c>
      <c r="AZ1417" s="52" t="n">
        <f aca="false">IF(CL1417&gt;0,CL1417*MAX(1,AX1417/X1417),IF(BW1417=1,IF(AX1417&lt;=0,0,CA1417*MAX(1,IF(H1417&gt;0,AX1417/H1417,1))),IF(R1417&gt;0,AY1417/R1417,0))/MAX(0.1,N(Parameter!$M$21)))</f>
        <v>0.0769230769230769</v>
      </c>
      <c r="BA1417" s="50" t="n">
        <f aca="false">AZ1417*BY1417</f>
        <v>11.9230769230769</v>
      </c>
      <c r="BB1417" s="50" t="n">
        <f aca="false">AX1417*G1417</f>
        <v>3266.5</v>
      </c>
      <c r="BC1417" s="50" t="n">
        <f aca="false">ROUNDUP(MAX(J1417/IF(CD1417&gt;0,CD1417,MAX(0.1,N(Cockpit!$O$6))),CG1417)/BV1417,0)*BV1417</f>
        <v>94</v>
      </c>
      <c r="BD1417" s="51" t="n">
        <f aca="false">IF(BA1417&gt;0,J1417/BA1417,-1)</f>
        <v>15.5161290322581</v>
      </c>
      <c r="BE1417" s="51" t="n">
        <f aca="false">IF(AND(OR(CC1417="L1",CC1417="L23",CC1417="LIFT"),BA1417&gt;0),SUMIFS($BA$7:$BA$1843,$CC$7:$CC$1843,CC1417,$BD$7:$BD$1843,"&gt;"&amp;BD1417)+SUMIFS($BA$7:$BA$1843,$CC$7:$CC$1843,CC1417,$BD$7:$BD$1843,BD1417,$BT$7:$BT$1843,"&lt;="&amp;BT1417),"")</f>
        <v>2918.15750915751</v>
      </c>
      <c r="BF1417" s="58" t="n">
        <f aca="false">IF(BE1417="",0,MAX(0,MIN(1,(IF(CC1417="L1",Parameter!$H$5,IF(CC1417="L23",Parameter!$H$6+Parameter!$H$7,Parameter!$H$5+Parameter!$H$6+Parameter!$H$7))-(BE1417-BA1417))/BA1417)))</f>
        <v>1</v>
      </c>
      <c r="BG1417" s="48" t="str">
        <f aca="false">IF(AI1417&lt;=0,"",IF(CC1417="Aussen","Aussenlager",IF(CC1417="-","Nicht im Lift",IF(AN1417&gt;=1,"Lift",IF(AN1417&lt;=0,"Aussenlager","teilweise")))))</f>
        <v>Lift</v>
      </c>
      <c r="BH1417" s="48" t="str">
        <f aca="false">IF(AR1417&lt;=0,"",IF(CC1417="Aussen","Aussenlager",IF(CC1417="-","Nicht im Lift",IF(AW1417&gt;=1,"Lift",IF(AW1417&lt;=0,"Aussenlager","teilweise")))))</f>
        <v>Lift</v>
      </c>
      <c r="BI1417" s="48" t="str">
        <f aca="false">IF(BA1417&lt;=0,"",IF(CC1417="Aussen","Aussenlager",IF(CC1417="-","Nicht im Lift",IF(BF1417&gt;=1,"Lift",IF(BF1417&lt;=0,"Aussenlager","teilweise")))))</f>
        <v>Lift</v>
      </c>
      <c r="BJ1417" s="48" t="str">
        <f aca="false">IF(A1417="","",IF(BS1417=1,"Neu; ","")&amp;IF(AND(BS1417=0,BN1417&lt;0),"negativer Bestand (Export "&amp;BN1417&amp;"); ","")&amp;IF(J1417&lt;=0,"Kein Verbrauch; ","")&amp;IF(CL1417&gt;0,"Lift "&amp;W1417&amp;" lt. Liftbericht (Fach "&amp;X1417&amp;" Stk); ",IF(BX1417=1,"Gebinde geschätzt ("&amp;T1417&amp;"); ",IF(BW1417=1,"Lose – Tablare geschätzt; ","")))&amp;IF(H1417&gt;AT1417,"Überbestand "&amp;ROUND(H1417-AT1417,0)&amp;" Stk / CHF "&amp;ROUND((H1417-AT1417)*G1417,0)&amp;"; ","")&amp;IF(AND(CE1417=1,CF1417&lt;CG1417),"MAX &lt; MB+LG; ","")&amp;IF(AND(CK1417&gt;0,CJ1417*10&gt;CK1417),"zu hoch für Tablar; ","")&amp;IF(AND(BS1417=0,OR(CE1417=1,AA1417&lt;&gt;"",U1417&lt;&gt;"",V1417&lt;&gt;"",AB1417&lt;&gt;"")),"manuell übersteuert; ","")&amp;IF(AND(BW1417=0,R1417=0),"Gebinde unbekannt / Stellmass fehlt; ","")&amp;IF(AND(BW1417=0,N(V1417)&lt;=0,N(Q1417)&lt;=0),"Menge pro Gebinde fehlt (Ist = 1 Gebinde); ","")&amp;BR1417)</f>
        <v>negativer Bestand (Export -151); Gebinde geschätzt (Klein); Menge pro Gebinde fehlt (Ist = 1 Gebinde); </v>
      </c>
      <c r="BK1417" s="48"/>
      <c r="BL1417" s="48"/>
      <c r="BM1417" s="55"/>
      <c r="BN1417" s="50" t="n">
        <v>-151</v>
      </c>
      <c r="BO1417" s="50" t="n">
        <v>198</v>
      </c>
      <c r="BP1417" s="49" t="n">
        <v>-5247.25</v>
      </c>
      <c r="BQ1417" s="50" t="n">
        <v>185</v>
      </c>
      <c r="BR1417" s="48"/>
      <c r="BS1417" s="53" t="n">
        <v>0</v>
      </c>
      <c r="BT1417" s="53" t="n">
        <v>1417</v>
      </c>
      <c r="BU1417" s="48" t="str">
        <f aca="false">IF(U1417&lt;&gt;"",UPPER(TRIM(U1417)),IF(BX1417=1,UPPER(VLOOKUP(T1417,Parameter!$I$27:$K$29,2,0)),IF(P1417="","LOSE",P1417)))</f>
        <v>S51</v>
      </c>
      <c r="BV1417" s="50" t="n">
        <f aca="false">IF(BU1417="LOSE",1,IF(N(V1417)&gt;0,V1417,IF(BX1417=1,MAX(1,N(VLOOKUP(T1417,Parameter!$I$27:$K$29,3,0)),H1417,N(N1417)),IF(N(Q1417)&gt;0,Q1417,MAX(1,H1417)))))</f>
        <v>47</v>
      </c>
      <c r="BW1417" s="53" t="n">
        <f aca="false">IF(BU1417="LOSE",1,0)</f>
        <v>0</v>
      </c>
      <c r="BX1417" s="53" t="n">
        <f aca="false">IF(AND(U1417="",OR(P1417="",P1417="LOSE"),T1417&lt;&gt;"",N(S1417)&lt;=0,ISNUMBER(MATCH(T1417,Parameter!$I$27:$I$29,0))),1,0)</f>
        <v>1</v>
      </c>
      <c r="BY1417" s="53" t="n">
        <f aca="false">IF(CL1417&gt;0,INDEX(Parameter!$H$5:$H$7,W1417)/INDEX(Parameter!$E$5:$E$7,W1417),IF(AND(BW1417=0,N(IFERROR(VLOOKUP(BU1417,'Gebinde-Kategorie'!$A$5:$N$45,14,0),0))&gt;0),VLOOKUP(BU1417,'Gebinde-Kategorie'!$A$5:$N$45,14,0)*10+Parameter!$M$23,Parameter!$M$24))</f>
        <v>155</v>
      </c>
      <c r="BZ1417" s="48" t="str">
        <f aca="false">IF(AND(Parameter!$B$19="Ja",E1417&lt;&gt;"",ISNUMBER(MATCH(E1417,Parameter!$I$35:$I$52,0))),VLOOKUP(E1417,Parameter!$I$35:$J$52,2,0),IFERROR(VLOOKUP(D1417,Parameter!$A$35:$C$64,2,0),"Nein"))</f>
        <v>2+3</v>
      </c>
      <c r="CA1417" s="52" t="n">
        <f aca="false">IF(BW1417=0,0,IF(N(S1417)&gt;0,S1417,IFERROR(VLOOKUP(D1417,Parameter!$A$35:$C$64,3,0)+0,0)))</f>
        <v>0</v>
      </c>
      <c r="CB1417" s="48" t="n">
        <f aca="false">IF(AA1417&lt;&gt;"",AA1417,Z1417)</f>
        <v>3</v>
      </c>
      <c r="CC1417" s="48" t="str">
        <f aca="false">IF(OR(CB1417=1,CB1417=2,CB1417=3),IF(Parameter!$E$27="Ja","LIFT",IF(CB1417=1,"L1","L23")),IF(CB1417="Aussen","Aussen","-"))</f>
        <v>LIFT</v>
      </c>
      <c r="CD1417" s="59" t="n">
        <f aca="false">IF(N(AB1417)&gt;0,AB1417,0)</f>
        <v>0</v>
      </c>
      <c r="CE1417" s="53" t="n">
        <f aca="false">IF(ISNUMBER(AE1417),1,0)</f>
        <v>0</v>
      </c>
      <c r="CF1417" s="50" t="n">
        <f aca="false">N(AE1417)</f>
        <v>0</v>
      </c>
      <c r="CG1417" s="50" t="n">
        <f aca="false">N(M1417)+N(N1417)</f>
        <v>1</v>
      </c>
      <c r="CH1417" s="50" t="n">
        <f aca="false">ROUNDUP(H1417/BV1417,0)</f>
        <v>1</v>
      </c>
      <c r="CI1417" s="50" t="n">
        <f aca="false">ROUNDUP(CF1417/BV1417,0)</f>
        <v>0</v>
      </c>
      <c r="CJ1417" s="53" t="n">
        <f aca="false">IF(BW1417=1,0,IFERROR(VLOOKUP(BU1417,'Gebinde-Kategorie'!$A$5:$N$45,5,0)+0,0))</f>
        <v>11</v>
      </c>
      <c r="CK1417" s="53" t="n">
        <f aca="false">IFERROR(IF(OR(CB1417=1,CB1417=2,CB1417=3),N(INDEX(Parameter!$I$5:$I$7,CB1417)),0),0)</f>
        <v>0</v>
      </c>
      <c r="CL1417" s="52" t="n">
        <f aca="false">IF(AND(Parameter!$B$21="Ja",ISNUMBER(W1417),N(X1417)&gt;0),IFERROR(N(INDEX(Parameter!$L$5:$L$7,W1417))*INDEX(Parameter!$E$5:$E$7,W1417)*X1417/SUMIFS($X$7:$X$1843,$W$7:$W$1843,W1417),0),0)</f>
        <v>0</v>
      </c>
    </row>
    <row r="1418" customFormat="false" ht="15" hidden="false" customHeight="false" outlineLevel="0" collapsed="false">
      <c r="A1418" s="48" t="s">
        <v>2492</v>
      </c>
      <c r="B1418" s="48" t="s">
        <v>2493</v>
      </c>
      <c r="C1418" s="48" t="s">
        <v>168</v>
      </c>
      <c r="D1418" s="48" t="s">
        <v>177</v>
      </c>
      <c r="E1418" s="48" t="s">
        <v>170</v>
      </c>
      <c r="F1418" s="48" t="s">
        <v>222</v>
      </c>
      <c r="G1418" s="49" t="n">
        <v>505.01</v>
      </c>
      <c r="H1418" s="50" t="n">
        <f aca="false">MAX(0,IF(AND(Parameter!$B$21="Ja",ISNUMBER(Y1418)),Y1418,IF(Parameter!$B$20="Jahresanfang 2025 + Export",BO1418+BN1418,BN1418)))</f>
        <v>13</v>
      </c>
      <c r="I1418" s="50" t="n">
        <f aca="false">H1418*G1418</f>
        <v>6565.13</v>
      </c>
      <c r="J1418" s="50" t="n">
        <f aca="false">BQ1418*Parameter!$B$18</f>
        <v>33</v>
      </c>
      <c r="K1418" s="51" t="n">
        <v>27.5</v>
      </c>
      <c r="L1418" s="52" t="n">
        <v>1.2</v>
      </c>
      <c r="M1418" s="50" t="n">
        <v>5</v>
      </c>
      <c r="N1418" s="50" t="n">
        <v>10</v>
      </c>
      <c r="O1418" s="53" t="n">
        <v>98</v>
      </c>
      <c r="P1418" s="48" t="s">
        <v>178</v>
      </c>
      <c r="Q1418" s="50" t="n">
        <v>18</v>
      </c>
      <c r="R1418" s="53" t="n">
        <f aca="false">IF(BW1418=1,0,IFERROR(VLOOKUP(BU1418,'Gebinde-Kategorie'!$A$5:$N$45,13,0)+0,0))</f>
        <v>6</v>
      </c>
      <c r="S1418" s="54"/>
      <c r="T1418" s="55"/>
      <c r="U1418" s="55"/>
      <c r="V1418" s="55"/>
      <c r="W1418" s="48"/>
      <c r="X1418" s="50"/>
      <c r="Y1418" s="50"/>
      <c r="Z1418" s="48" t="n">
        <f aca="false">IF(A1418="","",IF(AND(Parameter!$B$21="Ja",ISNUMBER(W1418)),W1418,IF(BZ1418="2+3",IF(ISNUMBER(SEARCH("grosser Artikel",BR1418)),2,IFERROR(VLOOKUP(BU1418,Parameter!$F$35:$G$64,2,0),2)),IF(OR(BZ1418="Nein",BZ1418=""),"-",BZ1418))))</f>
        <v>1</v>
      </c>
      <c r="AA1418" s="55"/>
      <c r="AB1418" s="56"/>
      <c r="AC1418" s="50" t="n">
        <f aca="false">AT1418</f>
        <v>18</v>
      </c>
      <c r="AD1418" s="50" t="n">
        <f aca="false">MAX(AT1418,H1418)</f>
        <v>18</v>
      </c>
      <c r="AE1418" s="57"/>
      <c r="AF1418" s="50" t="n">
        <f aca="false">IF(LEFT(Cockpit!$C$5,1)="A",H1418,IF(CE1418=1,CF1418,IF(LEFT(Cockpit!$C$5,1)="B",AK1418,MAX(AK1418,H1418))))</f>
        <v>13</v>
      </c>
      <c r="AG1418" s="50" t="n">
        <f aca="false">IF(BW1418=1,0,ROUNDUP(AF1418/BV1418,0))</f>
        <v>1</v>
      </c>
      <c r="AH1418" s="52" t="n">
        <f aca="false">IF(CL1418&gt;0,CL1418*MAX(1,AF1418/X1418),IF(BW1418=1,IF(AF1418&lt;=0,0,CA1418*MAX(1,IF(H1418&gt;0,AF1418/H1418,1))),IF(R1418&gt;0,AG1418/R1418,0))/MAX(0.1,N(Parameter!$M$21)))</f>
        <v>0.166666666666667</v>
      </c>
      <c r="AI1418" s="50" t="n">
        <f aca="false">AH1418*BY1418</f>
        <v>39.1666666666667</v>
      </c>
      <c r="AJ1418" s="50" t="n">
        <f aca="false">AF1418*G1418</f>
        <v>6565.13</v>
      </c>
      <c r="AK1418" s="50" t="n">
        <f aca="false">ROUNDUP(MAX(J1418/IF(CD1418&gt;0,CD1418,MAX(0.1,N(Cockpit!$C$6))),CG1418)/BV1418,0)*BV1418</f>
        <v>18</v>
      </c>
      <c r="AL1418" s="51" t="n">
        <f aca="false">IF(AI1418&gt;0,J1418/AI1418,-1)</f>
        <v>0.842553191489362</v>
      </c>
      <c r="AM1418" s="51" t="n">
        <f aca="false">IF(AND(OR(CC1418="L1",CC1418="L23",CC1418="LIFT"),AI1418&gt;0),SUMIFS($AI$7:$AI$1843,$CC$7:$CC$1843,CC1418,$AL$7:$AL$1843,"&gt;"&amp;AL1418)+SUMIFS($AI$7:$AI$1843,$CC$7:$CC$1843,CC1418,$AL$7:$AL$1843,AL1418,$BT$7:$BT$1843,"&lt;="&amp;BT1418),"")</f>
        <v>7872.77884615385</v>
      </c>
      <c r="AN1418" s="58" t="n">
        <f aca="false">IF(AM1418="",0,MAX(0,MIN(1,(IF(CC1418="L1",Parameter!$H$5,IF(CC1418="L23",Parameter!$H$6+Parameter!$H$7,Parameter!$H$5+Parameter!$H$6+Parameter!$H$7))-(AM1418-AI1418))/AI1418)))</f>
        <v>1</v>
      </c>
      <c r="AO1418" s="50" t="n">
        <f aca="false">IF(LEFT(Cockpit!$I$5,1)="A",H1418,IF(CE1418=1,CF1418,IF(LEFT(Cockpit!$I$5,1)="B",AT1418,MAX(AT1418,H1418))))</f>
        <v>18</v>
      </c>
      <c r="AP1418" s="50" t="n">
        <f aca="false">IF(BW1418=1,0,ROUNDUP(AO1418/BV1418,0))</f>
        <v>1</v>
      </c>
      <c r="AQ1418" s="52" t="n">
        <f aca="false">IF(CL1418&gt;0,CL1418*MAX(1,AO1418/X1418),IF(BW1418=1,IF(AO1418&lt;=0,0,CA1418*MAX(1,IF(H1418&gt;0,AO1418/H1418,1))),IF(R1418&gt;0,AP1418/R1418,0))/MAX(0.1,N(Parameter!$M$21)))</f>
        <v>0.166666666666667</v>
      </c>
      <c r="AR1418" s="50" t="n">
        <f aca="false">AQ1418*BY1418</f>
        <v>39.1666666666667</v>
      </c>
      <c r="AS1418" s="50" t="n">
        <f aca="false">AO1418*G1418</f>
        <v>9090.18</v>
      </c>
      <c r="AT1418" s="50" t="n">
        <f aca="false">ROUNDUP(MAX(J1418/IF(CD1418&gt;0,CD1418,MAX(0.1,N(Cockpit!$I$6))),CG1418)/BV1418,0)*BV1418</f>
        <v>18</v>
      </c>
      <c r="AU1418" s="51" t="n">
        <f aca="false">IF(AR1418&gt;0,J1418/AR1418,-1)</f>
        <v>0.842553191489362</v>
      </c>
      <c r="AV1418" s="51" t="n">
        <f aca="false">IF(AND(OR(CC1418="L1",CC1418="L23",CC1418="LIFT"),AR1418&gt;0),SUMIFS($AR$7:$AR$1843,$CC$7:$CC$1843,CC1418,$AU$7:$AU$1843,"&gt;"&amp;AU1418)+SUMIFS($AR$7:$AR$1843,$CC$7:$CC$1843,CC1418,$AU$7:$AU$1843,AU1418,$BT$7:$BT$1843,"&lt;="&amp;BT1418),"")</f>
        <v>11243.2023809524</v>
      </c>
      <c r="AW1418" s="58" t="n">
        <f aca="false">IF(AV1418="",0,MAX(0,MIN(1,(IF(CC1418="L1",Parameter!$H$5,IF(CC1418="L23",Parameter!$H$6+Parameter!$H$7,Parameter!$H$5+Parameter!$H$6+Parameter!$H$7))-(AV1418-AR1418))/AR1418)))</f>
        <v>1</v>
      </c>
      <c r="AX1418" s="50" t="n">
        <f aca="false">IF(LEFT(Cockpit!$O$5,1)="A",H1418,IF(CE1418=1,CF1418,IF(LEFT(Cockpit!$O$5,1)="B",BC1418,MAX(BC1418,H1418))))</f>
        <v>18</v>
      </c>
      <c r="AY1418" s="50" t="n">
        <f aca="false">IF(BW1418=1,0,ROUNDUP(AX1418/BV1418,0))</f>
        <v>1</v>
      </c>
      <c r="AZ1418" s="52" t="n">
        <f aca="false">IF(CL1418&gt;0,CL1418*MAX(1,AX1418/X1418),IF(BW1418=1,IF(AX1418&lt;=0,0,CA1418*MAX(1,IF(H1418&gt;0,AX1418/H1418,1))),IF(R1418&gt;0,AY1418/R1418,0))/MAX(0.1,N(Parameter!$M$21)))</f>
        <v>0.166666666666667</v>
      </c>
      <c r="BA1418" s="50" t="n">
        <f aca="false">AZ1418*BY1418</f>
        <v>39.1666666666667</v>
      </c>
      <c r="BB1418" s="50" t="n">
        <f aca="false">AX1418*G1418</f>
        <v>9090.18</v>
      </c>
      <c r="BC1418" s="50" t="n">
        <f aca="false">ROUNDUP(MAX(J1418/IF(CD1418&gt;0,CD1418,MAX(0.1,N(Cockpit!$O$6))),CG1418)/BV1418,0)*BV1418</f>
        <v>18</v>
      </c>
      <c r="BD1418" s="51" t="n">
        <f aca="false">IF(BA1418&gt;0,J1418/BA1418,-1)</f>
        <v>0.842553191489362</v>
      </c>
      <c r="BE1418" s="51" t="n">
        <f aca="false">IF(AND(OR(CC1418="L1",CC1418="L23",CC1418="LIFT"),BA1418&gt;0),SUMIFS($BA$7:$BA$1843,$CC$7:$CC$1843,CC1418,$BD$7:$BD$1843,"&gt;"&amp;BD1418)+SUMIFS($BA$7:$BA$1843,$CC$7:$CC$1843,CC1418,$BD$7:$BD$1843,BD1418,$BT$7:$BT$1843,"&lt;="&amp;BT1418),"")</f>
        <v>10338.8594322344</v>
      </c>
      <c r="BF1418" s="58" t="n">
        <f aca="false">IF(BE1418="",0,MAX(0,MIN(1,(IF(CC1418="L1",Parameter!$H$5,IF(CC1418="L23",Parameter!$H$6+Parameter!$H$7,Parameter!$H$5+Parameter!$H$6+Parameter!$H$7))-(BE1418-BA1418))/BA1418)))</f>
        <v>1</v>
      </c>
      <c r="BG1418" s="48" t="str">
        <f aca="false">IF(AI1418&lt;=0,"",IF(CC1418="Aussen","Aussenlager",IF(CC1418="-","Nicht im Lift",IF(AN1418&gt;=1,"Lift",IF(AN1418&lt;=0,"Aussenlager","teilweise")))))</f>
        <v>Lift</v>
      </c>
      <c r="BH1418" s="48" t="str">
        <f aca="false">IF(AR1418&lt;=0,"",IF(CC1418="Aussen","Aussenlager",IF(CC1418="-","Nicht im Lift",IF(AW1418&gt;=1,"Lift",IF(AW1418&lt;=0,"Aussenlager","teilweise")))))</f>
        <v>Lift</v>
      </c>
      <c r="BI1418" s="48" t="str">
        <f aca="false">IF(BA1418&lt;=0,"",IF(CC1418="Aussen","Aussenlager",IF(CC1418="-","Nicht im Lift",IF(BF1418&gt;=1,"Lift",IF(BF1418&lt;=0,"Aussenlager","teilweise")))))</f>
        <v>Lift</v>
      </c>
      <c r="BJ1418" s="48" t="str">
        <f aca="false">IF(A1418="","",IF(BS1418=1,"Neu; ","")&amp;IF(AND(BS1418=0,BN1418&lt;0),"negativer Bestand (Export "&amp;BN1418&amp;"); ","")&amp;IF(J1418&lt;=0,"Kein Verbrauch; ","")&amp;IF(CL1418&gt;0,"Lift "&amp;W1418&amp;" lt. Liftbericht (Fach "&amp;X1418&amp;" Stk); ",IF(BX1418=1,"Gebinde geschätzt ("&amp;T1418&amp;"); ",IF(BW1418=1,"Lose – Tablare geschätzt; ","")))&amp;IF(H1418&gt;AT1418,"Überbestand "&amp;ROUND(H1418-AT1418,0)&amp;" Stk / CHF "&amp;ROUND((H1418-AT1418)*G1418,0)&amp;"; ","")&amp;IF(AND(CE1418=1,CF1418&lt;CG1418),"MAX &lt; MB+LG; ","")&amp;IF(AND(CK1418&gt;0,CJ1418*10&gt;CK1418),"zu hoch für Tablar; ","")&amp;IF(AND(BS1418=0,OR(CE1418=1,AA1418&lt;&gt;"",U1418&lt;&gt;"",V1418&lt;&gt;"",AB1418&lt;&gt;"")),"manuell übersteuert; ","")&amp;IF(AND(BW1418=0,R1418=0),"Gebinde unbekannt / Stellmass fehlt; ","")&amp;IF(AND(BW1418=0,N(V1418)&lt;=0,N(Q1418)&lt;=0),"Menge pro Gebinde fehlt (Ist = 1 Gebinde); ","")&amp;BR1418)</f>
        <v>negativer Bestand (Export -15); </v>
      </c>
      <c r="BK1418" s="48"/>
      <c r="BL1418" s="48"/>
      <c r="BM1418" s="55"/>
      <c r="BN1418" s="50" t="n">
        <v>-15</v>
      </c>
      <c r="BO1418" s="50" t="n">
        <v>28</v>
      </c>
      <c r="BP1418" s="49" t="n">
        <v>-5279.71</v>
      </c>
      <c r="BQ1418" s="50" t="n">
        <v>33</v>
      </c>
      <c r="BR1418" s="48"/>
      <c r="BS1418" s="53" t="n">
        <v>0</v>
      </c>
      <c r="BT1418" s="53" t="n">
        <v>1418</v>
      </c>
      <c r="BU1418" s="48" t="str">
        <f aca="false">IF(U1418&lt;&gt;"",UPPER(TRIM(U1418)),IF(BX1418=1,UPPER(VLOOKUP(T1418,Parameter!$I$27:$K$29,2,0)),IF(P1418="","LOSE",P1418)))</f>
        <v>S71</v>
      </c>
      <c r="BV1418" s="50" t="n">
        <f aca="false">IF(BU1418="LOSE",1,IF(N(V1418)&gt;0,V1418,IF(BX1418=1,MAX(1,N(VLOOKUP(T1418,Parameter!$I$27:$K$29,3,0)),H1418,N(N1418)),IF(N(Q1418)&gt;0,Q1418,MAX(1,H1418)))))</f>
        <v>18</v>
      </c>
      <c r="BW1418" s="53" t="n">
        <f aca="false">IF(BU1418="LOSE",1,0)</f>
        <v>0</v>
      </c>
      <c r="BX1418" s="53" t="n">
        <f aca="false">IF(AND(U1418="",OR(P1418="",P1418="LOSE"),T1418&lt;&gt;"",N(S1418)&lt;=0,ISNUMBER(MATCH(T1418,Parameter!$I$27:$I$29,0))),1,0)</f>
        <v>0</v>
      </c>
      <c r="BY1418" s="53" t="n">
        <f aca="false">IF(CL1418&gt;0,INDEX(Parameter!$H$5:$H$7,W1418)/INDEX(Parameter!$E$5:$E$7,W1418),IF(AND(BW1418=0,N(IFERROR(VLOOKUP(BU1418,'Gebinde-Kategorie'!$A$5:$N$45,14,0),0))&gt;0),VLOOKUP(BU1418,'Gebinde-Kategorie'!$A$5:$N$45,14,0)*10+Parameter!$M$23,Parameter!$M$24))</f>
        <v>235</v>
      </c>
      <c r="BZ1418" s="48" t="n">
        <f aca="false">IF(AND(Parameter!$B$19="Ja",E1418&lt;&gt;"",ISNUMBER(MATCH(E1418,Parameter!$I$35:$I$52,0))),VLOOKUP(E1418,Parameter!$I$35:$J$52,2,0),IFERROR(VLOOKUP(D1418,Parameter!$A$35:$C$64,2,0),"Nein"))</f>
        <v>1</v>
      </c>
      <c r="CA1418" s="52" t="n">
        <f aca="false">IF(BW1418=0,0,IF(N(S1418)&gt;0,S1418,IFERROR(VLOOKUP(D1418,Parameter!$A$35:$C$64,3,0)+0,0)))</f>
        <v>0</v>
      </c>
      <c r="CB1418" s="48" t="n">
        <f aca="false">IF(AA1418&lt;&gt;"",AA1418,Z1418)</f>
        <v>1</v>
      </c>
      <c r="CC1418" s="48" t="str">
        <f aca="false">IF(OR(CB1418=1,CB1418=2,CB1418=3),IF(Parameter!$E$27="Ja","LIFT",IF(CB1418=1,"L1","L23")),IF(CB1418="Aussen","Aussen","-"))</f>
        <v>LIFT</v>
      </c>
      <c r="CD1418" s="59" t="n">
        <f aca="false">IF(N(AB1418)&gt;0,AB1418,0)</f>
        <v>0</v>
      </c>
      <c r="CE1418" s="53" t="n">
        <f aca="false">IF(ISNUMBER(AE1418),1,0)</f>
        <v>0</v>
      </c>
      <c r="CF1418" s="50" t="n">
        <f aca="false">N(AE1418)</f>
        <v>0</v>
      </c>
      <c r="CG1418" s="50" t="n">
        <f aca="false">N(M1418)+N(N1418)</f>
        <v>15</v>
      </c>
      <c r="CH1418" s="50" t="n">
        <f aca="false">ROUNDUP(H1418/BV1418,0)</f>
        <v>1</v>
      </c>
      <c r="CI1418" s="50" t="n">
        <f aca="false">ROUNDUP(CF1418/BV1418,0)</f>
        <v>0</v>
      </c>
      <c r="CJ1418" s="53" t="n">
        <f aca="false">IF(BW1418=1,0,IFERROR(VLOOKUP(BU1418,'Gebinde-Kategorie'!$A$5:$N$45,5,0)+0,0))</f>
        <v>20</v>
      </c>
      <c r="CK1418" s="53" t="n">
        <f aca="false">IFERROR(IF(OR(CB1418=1,CB1418=2,CB1418=3),N(INDEX(Parameter!$I$5:$I$7,CB1418)),0),0)</f>
        <v>0</v>
      </c>
      <c r="CL1418" s="52" t="n">
        <f aca="false">IF(AND(Parameter!$B$21="Ja",ISNUMBER(W1418),N(X1418)&gt;0),IFERROR(N(INDEX(Parameter!$L$5:$L$7,W1418))*INDEX(Parameter!$E$5:$E$7,W1418)*X1418/SUMIFS($X$7:$X$1843,$W$7:$W$1843,W1418),0),0)</f>
        <v>0</v>
      </c>
    </row>
    <row r="1419" customFormat="false" ht="15" hidden="false" customHeight="false" outlineLevel="0" collapsed="false">
      <c r="A1419" s="48" t="s">
        <v>2494</v>
      </c>
      <c r="B1419" s="48" t="s">
        <v>2495</v>
      </c>
      <c r="C1419" s="48" t="s">
        <v>168</v>
      </c>
      <c r="D1419" s="48" t="s">
        <v>999</v>
      </c>
      <c r="E1419" s="48"/>
      <c r="F1419" s="48" t="s">
        <v>222</v>
      </c>
      <c r="G1419" s="49" t="n">
        <v>609.56</v>
      </c>
      <c r="H1419" s="50" t="n">
        <f aca="false">MAX(0,IF(AND(Parameter!$B$21="Ja",ISNUMBER(Y1419)),Y1419,IF(Parameter!$B$20="Jahresanfang 2025 + Export",BO1419+BN1419,BN1419)))</f>
        <v>0</v>
      </c>
      <c r="I1419" s="50" t="n">
        <f aca="false">H1419*G1419</f>
        <v>0</v>
      </c>
      <c r="J1419" s="50" t="n">
        <f aca="false">BQ1419*Parameter!$B$18</f>
        <v>3</v>
      </c>
      <c r="K1419" s="51" t="n">
        <v>13</v>
      </c>
      <c r="L1419" s="52" t="n">
        <v>0.230769230769231</v>
      </c>
      <c r="M1419" s="50" t="n">
        <v>0</v>
      </c>
      <c r="N1419" s="50" t="n">
        <v>1</v>
      </c>
      <c r="O1419" s="53" t="n">
        <v>14</v>
      </c>
      <c r="P1419" s="48" t="s">
        <v>172</v>
      </c>
      <c r="Q1419" s="50"/>
      <c r="R1419" s="53" t="n">
        <f aca="false">IF(BW1419=1,0,IFERROR(VLOOKUP(BU1419,'Gebinde-Kategorie'!$A$5:$N$45,13,0)+0,0))</f>
        <v>0</v>
      </c>
      <c r="S1419" s="54"/>
      <c r="T1419" s="55"/>
      <c r="U1419" s="55"/>
      <c r="V1419" s="55"/>
      <c r="W1419" s="48"/>
      <c r="X1419" s="50"/>
      <c r="Y1419" s="50"/>
      <c r="Z1419" s="48" t="str">
        <f aca="false">IF(A1419="","",IF(AND(Parameter!$B$21="Ja",ISNUMBER(W1419)),W1419,IF(BZ1419="2+3",IF(ISNUMBER(SEARCH("grosser Artikel",BR1419)),2,IFERROR(VLOOKUP(BU1419,Parameter!$F$35:$G$64,2,0),2)),IF(OR(BZ1419="Nein",BZ1419=""),"-",BZ1419))))</f>
        <v>-</v>
      </c>
      <c r="AA1419" s="55"/>
      <c r="AB1419" s="56"/>
      <c r="AC1419" s="50" t="n">
        <f aca="false">AT1419</f>
        <v>2</v>
      </c>
      <c r="AD1419" s="50" t="n">
        <f aca="false">MAX(AT1419,H1419)</f>
        <v>2</v>
      </c>
      <c r="AE1419" s="57"/>
      <c r="AF1419" s="50" t="n">
        <f aca="false">IF(LEFT(Cockpit!$C$5,1)="A",H1419,IF(CE1419=1,CF1419,IF(LEFT(Cockpit!$C$5,1)="B",AK1419,MAX(AK1419,H1419))))</f>
        <v>0</v>
      </c>
      <c r="AG1419" s="50" t="n">
        <f aca="false">IF(BW1419=1,0,ROUNDUP(AF1419/BV1419,0))</f>
        <v>0</v>
      </c>
      <c r="AH1419" s="52" t="n">
        <f aca="false">IF(CL1419&gt;0,CL1419*MAX(1,AF1419/X1419),IF(BW1419=1,IF(AF1419&lt;=0,0,CA1419*MAX(1,IF(H1419&gt;0,AF1419/H1419,1))),IF(R1419&gt;0,AG1419/R1419,0))/MAX(0.1,N(Parameter!$M$21)))</f>
        <v>0</v>
      </c>
      <c r="AI1419" s="50" t="n">
        <f aca="false">AH1419*BY1419</f>
        <v>0</v>
      </c>
      <c r="AJ1419" s="50" t="n">
        <f aca="false">AF1419*G1419</f>
        <v>0</v>
      </c>
      <c r="AK1419" s="50" t="n">
        <f aca="false">ROUNDUP(MAX(J1419/IF(CD1419&gt;0,CD1419,MAX(0.1,N(Cockpit!$C$6))),CG1419)/BV1419,0)*BV1419</f>
        <v>2</v>
      </c>
      <c r="AL1419" s="51" t="n">
        <f aca="false">IF(AI1419&gt;0,J1419/AI1419,-1)</f>
        <v>-1</v>
      </c>
      <c r="AM1419" s="51" t="str">
        <f aca="false">IF(AND(OR(CC1419="L1",CC1419="L23",CC1419="LIFT"),AI1419&gt;0),SUMIFS($AI$7:$AI$1843,$CC$7:$CC$1843,CC1419,$AL$7:$AL$1843,"&gt;"&amp;AL1419)+SUMIFS($AI$7:$AI$1843,$CC$7:$CC$1843,CC1419,$AL$7:$AL$1843,AL1419,$BT$7:$BT$1843,"&lt;="&amp;BT1419),"")</f>
        <v/>
      </c>
      <c r="AN1419" s="58" t="n">
        <f aca="false">IF(AM1419="",0,MAX(0,MIN(1,(IF(CC1419="L1",Parameter!$H$5,IF(CC1419="L23",Parameter!$H$6+Parameter!$H$7,Parameter!$H$5+Parameter!$H$6+Parameter!$H$7))-(AM1419-AI1419))/AI1419)))</f>
        <v>0</v>
      </c>
      <c r="AO1419" s="50" t="n">
        <f aca="false">IF(LEFT(Cockpit!$I$5,1)="A",H1419,IF(CE1419=1,CF1419,IF(LEFT(Cockpit!$I$5,1)="B",AT1419,MAX(AT1419,H1419))))</f>
        <v>2</v>
      </c>
      <c r="AP1419" s="50" t="n">
        <f aca="false">IF(BW1419=1,0,ROUNDUP(AO1419/BV1419,0))</f>
        <v>0</v>
      </c>
      <c r="AQ1419" s="52" t="n">
        <f aca="false">IF(CL1419&gt;0,CL1419*MAX(1,AO1419/X1419),IF(BW1419=1,IF(AO1419&lt;=0,0,CA1419*MAX(1,IF(H1419&gt;0,AO1419/H1419,1))),IF(R1419&gt;0,AP1419/R1419,0))/MAX(0.1,N(Parameter!$M$21)))</f>
        <v>0.15</v>
      </c>
      <c r="AR1419" s="50" t="n">
        <f aca="false">AQ1419*BY1419</f>
        <v>35.25</v>
      </c>
      <c r="AS1419" s="50" t="n">
        <f aca="false">AO1419*G1419</f>
        <v>1219.12</v>
      </c>
      <c r="AT1419" s="50" t="n">
        <f aca="false">ROUNDUP(MAX(J1419/IF(CD1419&gt;0,CD1419,MAX(0.1,N(Cockpit!$I$6))),CG1419)/BV1419,0)*BV1419</f>
        <v>2</v>
      </c>
      <c r="AU1419" s="51" t="n">
        <f aca="false">IF(AR1419&gt;0,J1419/AR1419,-1)</f>
        <v>0.0851063829787234</v>
      </c>
      <c r="AV1419" s="51" t="str">
        <f aca="false">IF(AND(OR(CC1419="L1",CC1419="L23",CC1419="LIFT"),AR1419&gt;0),SUMIFS($AR$7:$AR$1843,$CC$7:$CC$1843,CC1419,$AU$7:$AU$1843,"&gt;"&amp;AU1419)+SUMIFS($AR$7:$AR$1843,$CC$7:$CC$1843,CC1419,$AU$7:$AU$1843,AU1419,$BT$7:$BT$1843,"&lt;="&amp;BT1419),"")</f>
        <v/>
      </c>
      <c r="AW1419" s="58" t="n">
        <f aca="false">IF(AV1419="",0,MAX(0,MIN(1,(IF(CC1419="L1",Parameter!$H$5,IF(CC1419="L23",Parameter!$H$6+Parameter!$H$7,Parameter!$H$5+Parameter!$H$6+Parameter!$H$7))-(AV1419-AR1419))/AR1419)))</f>
        <v>0</v>
      </c>
      <c r="AX1419" s="50" t="n">
        <f aca="false">IF(LEFT(Cockpit!$O$5,1)="A",H1419,IF(CE1419=1,CF1419,IF(LEFT(Cockpit!$O$5,1)="B",BC1419,MAX(BC1419,H1419))))</f>
        <v>1</v>
      </c>
      <c r="AY1419" s="50" t="n">
        <f aca="false">IF(BW1419=1,0,ROUNDUP(AX1419/BV1419,0))</f>
        <v>0</v>
      </c>
      <c r="AZ1419" s="52" t="n">
        <f aca="false">IF(CL1419&gt;0,CL1419*MAX(1,AX1419/X1419),IF(BW1419=1,IF(AX1419&lt;=0,0,CA1419*MAX(1,IF(H1419&gt;0,AX1419/H1419,1))),IF(R1419&gt;0,AY1419/R1419,0))/MAX(0.1,N(Parameter!$M$21)))</f>
        <v>0.15</v>
      </c>
      <c r="BA1419" s="50" t="n">
        <f aca="false">AZ1419*BY1419</f>
        <v>35.25</v>
      </c>
      <c r="BB1419" s="50" t="n">
        <f aca="false">AX1419*G1419</f>
        <v>609.56</v>
      </c>
      <c r="BC1419" s="50" t="n">
        <f aca="false">ROUNDUP(MAX(J1419/IF(CD1419&gt;0,CD1419,MAX(0.1,N(Cockpit!$O$6))),CG1419)/BV1419,0)*BV1419</f>
        <v>1</v>
      </c>
      <c r="BD1419" s="51" t="n">
        <f aca="false">IF(BA1419&gt;0,J1419/BA1419,-1)</f>
        <v>0.0851063829787234</v>
      </c>
      <c r="BE1419" s="51" t="str">
        <f aca="false">IF(AND(OR(CC1419="L1",CC1419="L23",CC1419="LIFT"),BA1419&gt;0),SUMIFS($BA$7:$BA$1843,$CC$7:$CC$1843,CC1419,$BD$7:$BD$1843,"&gt;"&amp;BD1419)+SUMIFS($BA$7:$BA$1843,$CC$7:$CC$1843,CC1419,$BD$7:$BD$1843,BD1419,$BT$7:$BT$1843,"&lt;="&amp;BT1419),"")</f>
        <v/>
      </c>
      <c r="BF1419" s="58" t="n">
        <f aca="false">IF(BE1419="",0,MAX(0,MIN(1,(IF(CC1419="L1",Parameter!$H$5,IF(CC1419="L23",Parameter!$H$6+Parameter!$H$7,Parameter!$H$5+Parameter!$H$6+Parameter!$H$7))-(BE1419-BA1419))/BA1419)))</f>
        <v>0</v>
      </c>
      <c r="BG1419" s="48" t="str">
        <f aca="false">IF(AI1419&lt;=0,"",IF(CC1419="Aussen","Aussenlager",IF(CC1419="-","Nicht im Lift",IF(AN1419&gt;=1,"Lift",IF(AN1419&lt;=0,"Aussenlager","teilweise")))))</f>
        <v/>
      </c>
      <c r="BH1419" s="48" t="str">
        <f aca="false">IF(AR1419&lt;=0,"",IF(CC1419="Aussen","Aussenlager",IF(CC1419="-","Nicht im Lift",IF(AW1419&gt;=1,"Lift",IF(AW1419&lt;=0,"Aussenlager","teilweise")))))</f>
        <v>Nicht im Lift</v>
      </c>
      <c r="BI1419" s="48" t="str">
        <f aca="false">IF(BA1419&lt;=0,"",IF(CC1419="Aussen","Aussenlager",IF(CC1419="-","Nicht im Lift",IF(BF1419&gt;=1,"Lift",IF(BF1419&lt;=0,"Aussenlager","teilweise")))))</f>
        <v>Nicht im Lift</v>
      </c>
      <c r="BJ1419" s="48" t="str">
        <f aca="false">IF(A1419="","",IF(BS1419=1,"Neu; ","")&amp;IF(AND(BS1419=0,BN1419&lt;0),"negativer Bestand (Export "&amp;BN1419&amp;"); ","")&amp;IF(J1419&lt;=0,"Kein Verbrauch; ","")&amp;IF(CL1419&gt;0,"Lift "&amp;W1419&amp;" lt. Liftbericht (Fach "&amp;X1419&amp;" Stk); ",IF(BX1419=1,"Gebinde geschätzt ("&amp;T1419&amp;"); ",IF(BW1419=1,"Lose – Tablare geschätzt; ","")))&amp;IF(H1419&gt;AT1419,"Überbestand "&amp;ROUND(H1419-AT1419,0)&amp;" Stk / CHF "&amp;ROUND((H1419-AT1419)*G1419,0)&amp;"; ","")&amp;IF(AND(CE1419=1,CF1419&lt;CG1419),"MAX &lt; MB+LG; ","")&amp;IF(AND(CK1419&gt;0,CJ1419*10&gt;CK1419),"zu hoch für Tablar; ","")&amp;IF(AND(BS1419=0,OR(CE1419=1,AA1419&lt;&gt;"",U1419&lt;&gt;"",V1419&lt;&gt;"",AB1419&lt;&gt;"")),"manuell übersteuert; ","")&amp;IF(AND(BW1419=0,R1419=0),"Gebinde unbekannt / Stellmass fehlt; ","")&amp;IF(AND(BW1419=0,N(V1419)&lt;=0,N(Q1419)&lt;=0),"Menge pro Gebinde fehlt (Ist = 1 Gebinde); ","")&amp;BR1419)</f>
        <v>negativer Bestand (Export -17); Lose – Tablare geschätzt; </v>
      </c>
      <c r="BK1419" s="48"/>
      <c r="BL1419" s="48"/>
      <c r="BM1419" s="55"/>
      <c r="BN1419" s="50" t="n">
        <v>-17</v>
      </c>
      <c r="BO1419" s="50" t="n">
        <v>17</v>
      </c>
      <c r="BP1419" s="49" t="n">
        <v>-5283.94</v>
      </c>
      <c r="BQ1419" s="50" t="n">
        <v>3</v>
      </c>
      <c r="BR1419" s="48"/>
      <c r="BS1419" s="53" t="n">
        <v>0</v>
      </c>
      <c r="BT1419" s="53" t="n">
        <v>1419</v>
      </c>
      <c r="BU1419" s="48" t="str">
        <f aca="false">IF(U1419&lt;&gt;"",UPPER(TRIM(U1419)),IF(BX1419=1,UPPER(VLOOKUP(T1419,Parameter!$I$27:$K$29,2,0)),IF(P1419="","LOSE",P1419)))</f>
        <v>LOSE</v>
      </c>
      <c r="BV1419" s="50" t="n">
        <f aca="false">IF(BU1419="LOSE",1,IF(N(V1419)&gt;0,V1419,IF(BX1419=1,MAX(1,N(VLOOKUP(T1419,Parameter!$I$27:$K$29,3,0)),H1419,N(N1419)),IF(N(Q1419)&gt;0,Q1419,MAX(1,H1419)))))</f>
        <v>1</v>
      </c>
      <c r="BW1419" s="53" t="n">
        <f aca="false">IF(BU1419="LOSE",1,0)</f>
        <v>1</v>
      </c>
      <c r="BX1419" s="53" t="n">
        <f aca="false">IF(AND(U1419="",OR(P1419="",P1419="LOSE"),T1419&lt;&gt;"",N(S1419)&lt;=0,ISNUMBER(MATCH(T1419,Parameter!$I$27:$I$29,0))),1,0)</f>
        <v>0</v>
      </c>
      <c r="BY1419" s="53" t="n">
        <f aca="false">IF(CL1419&gt;0,INDEX(Parameter!$H$5:$H$7,W1419)/INDEX(Parameter!$E$5:$E$7,W1419),IF(AND(BW1419=0,N(IFERROR(VLOOKUP(BU1419,'Gebinde-Kategorie'!$A$5:$N$45,14,0),0))&gt;0),VLOOKUP(BU1419,'Gebinde-Kategorie'!$A$5:$N$45,14,0)*10+Parameter!$M$23,Parameter!$M$24))</f>
        <v>235</v>
      </c>
      <c r="BZ1419" s="48" t="str">
        <f aca="false">IF(AND(Parameter!$B$19="Ja",E1419&lt;&gt;"",ISNUMBER(MATCH(E1419,Parameter!$I$35:$I$52,0))),VLOOKUP(E1419,Parameter!$I$35:$J$52,2,0),IFERROR(VLOOKUP(D1419,Parameter!$A$35:$C$64,2,0),"Nein"))</f>
        <v>Nein</v>
      </c>
      <c r="CA1419" s="52" t="n">
        <f aca="false">IF(BW1419=0,0,IF(N(S1419)&gt;0,S1419,IFERROR(VLOOKUP(D1419,Parameter!$A$35:$C$64,3,0)+0,0)))</f>
        <v>0.15</v>
      </c>
      <c r="CB1419" s="48" t="str">
        <f aca="false">IF(AA1419&lt;&gt;"",AA1419,Z1419)</f>
        <v>-</v>
      </c>
      <c r="CC1419" s="48" t="str">
        <f aca="false">IF(OR(CB1419=1,CB1419=2,CB1419=3),IF(Parameter!$E$27="Ja","LIFT",IF(CB1419=1,"L1","L23")),IF(CB1419="Aussen","Aussen","-"))</f>
        <v>-</v>
      </c>
      <c r="CD1419" s="59" t="n">
        <f aca="false">IF(N(AB1419)&gt;0,AB1419,0)</f>
        <v>0</v>
      </c>
      <c r="CE1419" s="53" t="n">
        <f aca="false">IF(ISNUMBER(AE1419),1,0)</f>
        <v>0</v>
      </c>
      <c r="CF1419" s="50" t="n">
        <f aca="false">N(AE1419)</f>
        <v>0</v>
      </c>
      <c r="CG1419" s="50" t="n">
        <f aca="false">N(M1419)+N(N1419)</f>
        <v>1</v>
      </c>
      <c r="CH1419" s="50" t="n">
        <f aca="false">ROUNDUP(H1419/BV1419,0)</f>
        <v>0</v>
      </c>
      <c r="CI1419" s="50" t="n">
        <f aca="false">ROUNDUP(CF1419/BV1419,0)</f>
        <v>0</v>
      </c>
      <c r="CJ1419" s="53" t="n">
        <f aca="false">IF(BW1419=1,0,IFERROR(VLOOKUP(BU1419,'Gebinde-Kategorie'!$A$5:$N$45,5,0)+0,0))</f>
        <v>0</v>
      </c>
      <c r="CK1419" s="53" t="n">
        <f aca="false">IFERROR(IF(OR(CB1419=1,CB1419=2,CB1419=3),N(INDEX(Parameter!$I$5:$I$7,CB1419)),0),0)</f>
        <v>0</v>
      </c>
      <c r="CL1419" s="52" t="n">
        <f aca="false">IF(AND(Parameter!$B$21="Ja",ISNUMBER(W1419),N(X1419)&gt;0),IFERROR(N(INDEX(Parameter!$L$5:$L$7,W1419))*INDEX(Parameter!$E$5:$E$7,W1419)*X1419/SUMIFS($X$7:$X$1843,$W$7:$W$1843,W1419),0),0)</f>
        <v>0</v>
      </c>
    </row>
    <row r="1420" customFormat="false" ht="15" hidden="false" customHeight="false" outlineLevel="0" collapsed="false">
      <c r="A1420" s="48" t="s">
        <v>2496</v>
      </c>
      <c r="B1420" s="48" t="s">
        <v>2497</v>
      </c>
      <c r="C1420" s="48" t="s">
        <v>168</v>
      </c>
      <c r="D1420" s="48" t="s">
        <v>188</v>
      </c>
      <c r="E1420" s="48" t="s">
        <v>189</v>
      </c>
      <c r="F1420" s="48" t="s">
        <v>222</v>
      </c>
      <c r="G1420" s="49" t="n">
        <v>126.08</v>
      </c>
      <c r="H1420" s="50" t="n">
        <f aca="false">MAX(0,IF(AND(Parameter!$B$21="Ja",ISNUMBER(Y1420)),Y1420,IF(Parameter!$B$20="Jahresanfang 2025 + Export",BO1420+BN1420,BN1420)))</f>
        <v>12</v>
      </c>
      <c r="I1420" s="50" t="n">
        <f aca="false">H1420*G1420</f>
        <v>1512.96</v>
      </c>
      <c r="J1420" s="50" t="n">
        <f aca="false">BQ1420*Parameter!$B$18</f>
        <v>2</v>
      </c>
      <c r="K1420" s="51" t="n">
        <v>54</v>
      </c>
      <c r="L1420" s="52" t="n">
        <v>0.037037037037037</v>
      </c>
      <c r="M1420" s="50" t="n">
        <v>0</v>
      </c>
      <c r="N1420" s="50" t="n">
        <v>1</v>
      </c>
      <c r="O1420" s="53" t="n">
        <v>28</v>
      </c>
      <c r="P1420" s="48" t="s">
        <v>480</v>
      </c>
      <c r="Q1420" s="50" t="n">
        <v>5</v>
      </c>
      <c r="R1420" s="53" t="n">
        <f aca="false">IF(BW1420=1,0,IFERROR(VLOOKUP(BU1420,'Gebinde-Kategorie'!$A$5:$N$45,13,0)+0,0))</f>
        <v>52</v>
      </c>
      <c r="S1420" s="54"/>
      <c r="T1420" s="55"/>
      <c r="U1420" s="55"/>
      <c r="V1420" s="55"/>
      <c r="W1420" s="48"/>
      <c r="X1420" s="50"/>
      <c r="Y1420" s="50"/>
      <c r="Z1420" s="48" t="n">
        <f aca="false">IF(A1420="","",IF(AND(Parameter!$B$21="Ja",ISNUMBER(W1420)),W1420,IF(BZ1420="2+3",IF(ISNUMBER(SEARCH("grosser Artikel",BR1420)),2,IFERROR(VLOOKUP(BU1420,Parameter!$F$35:$G$64,2,0),2)),IF(OR(BZ1420="Nein",BZ1420=""),"-",BZ1420))))</f>
        <v>3</v>
      </c>
      <c r="AA1420" s="55"/>
      <c r="AB1420" s="56"/>
      <c r="AC1420" s="50" t="n">
        <f aca="false">AT1420</f>
        <v>5</v>
      </c>
      <c r="AD1420" s="50" t="n">
        <f aca="false">MAX(AT1420,H1420)</f>
        <v>12</v>
      </c>
      <c r="AE1420" s="57"/>
      <c r="AF1420" s="50" t="n">
        <f aca="false">IF(LEFT(Cockpit!$C$5,1)="A",H1420,IF(CE1420=1,CF1420,IF(LEFT(Cockpit!$C$5,1)="B",AK1420,MAX(AK1420,H1420))))</f>
        <v>12</v>
      </c>
      <c r="AG1420" s="50" t="n">
        <f aca="false">IF(BW1420=1,0,ROUNDUP(AF1420/BV1420,0))</f>
        <v>3</v>
      </c>
      <c r="AH1420" s="52" t="n">
        <f aca="false">IF(CL1420&gt;0,CL1420*MAX(1,AF1420/X1420),IF(BW1420=1,IF(AF1420&lt;=0,0,CA1420*MAX(1,IF(H1420&gt;0,AF1420/H1420,1))),IF(R1420&gt;0,AG1420/R1420,0))/MAX(0.1,N(Parameter!$M$21)))</f>
        <v>0.0576923076923077</v>
      </c>
      <c r="AI1420" s="50" t="n">
        <f aca="false">AH1420*BY1420</f>
        <v>8.94230769230769</v>
      </c>
      <c r="AJ1420" s="50" t="n">
        <f aca="false">AF1420*G1420</f>
        <v>1512.96</v>
      </c>
      <c r="AK1420" s="50" t="n">
        <f aca="false">ROUNDUP(MAX(J1420/IF(CD1420&gt;0,CD1420,MAX(0.1,N(Cockpit!$C$6))),CG1420)/BV1420,0)*BV1420</f>
        <v>5</v>
      </c>
      <c r="AL1420" s="51" t="n">
        <f aca="false">IF(AI1420&gt;0,J1420/AI1420,-1)</f>
        <v>0.223655913978495</v>
      </c>
      <c r="AM1420" s="51" t="n">
        <f aca="false">IF(AND(OR(CC1420="L1",CC1420="L23",CC1420="LIFT"),AI1420&gt;0),SUMIFS($AI$7:$AI$1843,$CC$7:$CC$1843,CC1420,$AL$7:$AL$1843,"&gt;"&amp;AL1420)+SUMIFS($AI$7:$AI$1843,$CC$7:$CC$1843,CC1420,$AL$7:$AL$1843,AL1420,$BT$7:$BT$1843,"&lt;="&amp;BT1420),"")</f>
        <v>12078.7959039548</v>
      </c>
      <c r="AN1420" s="58" t="n">
        <f aca="false">IF(AM1420="",0,MAX(0,MIN(1,(IF(CC1420="L1",Parameter!$H$5,IF(CC1420="L23",Parameter!$H$6+Parameter!$H$7,Parameter!$H$5+Parameter!$H$6+Parameter!$H$7))-(AM1420-AI1420))/AI1420)))</f>
        <v>1</v>
      </c>
      <c r="AO1420" s="50" t="n">
        <f aca="false">IF(LEFT(Cockpit!$I$5,1)="A",H1420,IF(CE1420=1,CF1420,IF(LEFT(Cockpit!$I$5,1)="B",AT1420,MAX(AT1420,H1420))))</f>
        <v>12</v>
      </c>
      <c r="AP1420" s="50" t="n">
        <f aca="false">IF(BW1420=1,0,ROUNDUP(AO1420/BV1420,0))</f>
        <v>3</v>
      </c>
      <c r="AQ1420" s="52" t="n">
        <f aca="false">IF(CL1420&gt;0,CL1420*MAX(1,AO1420/X1420),IF(BW1420=1,IF(AO1420&lt;=0,0,CA1420*MAX(1,IF(H1420&gt;0,AO1420/H1420,1))),IF(R1420&gt;0,AP1420/R1420,0))/MAX(0.1,N(Parameter!$M$21)))</f>
        <v>0.0576923076923077</v>
      </c>
      <c r="AR1420" s="50" t="n">
        <f aca="false">AQ1420*BY1420</f>
        <v>8.94230769230769</v>
      </c>
      <c r="AS1420" s="50" t="n">
        <f aca="false">AO1420*G1420</f>
        <v>1512.96</v>
      </c>
      <c r="AT1420" s="50" t="n">
        <f aca="false">ROUNDUP(MAX(J1420/IF(CD1420&gt;0,CD1420,MAX(0.1,N(Cockpit!$I$6))),CG1420)/BV1420,0)*BV1420</f>
        <v>5</v>
      </c>
      <c r="AU1420" s="51" t="n">
        <f aca="false">IF(AR1420&gt;0,J1420/AR1420,-1)</f>
        <v>0.223655913978495</v>
      </c>
      <c r="AV1420" s="51" t="n">
        <f aca="false">IF(AND(OR(CC1420="L1",CC1420="L23",CC1420="LIFT"),AR1420&gt;0),SUMIFS($AR$7:$AR$1843,$CC$7:$CC$1843,CC1420,$AU$7:$AU$1843,"&gt;"&amp;AU1420)+SUMIFS($AR$7:$AR$1843,$CC$7:$CC$1843,CC1420,$AU$7:$AU$1843,AU1420,$BT$7:$BT$1843,"&lt;="&amp;BT1420),"")</f>
        <v>18240.1671245421</v>
      </c>
      <c r="AW1420" s="58" t="n">
        <f aca="false">IF(AV1420="",0,MAX(0,MIN(1,(IF(CC1420="L1",Parameter!$H$5,IF(CC1420="L23",Parameter!$H$6+Parameter!$H$7,Parameter!$H$5+Parameter!$H$6+Parameter!$H$7))-(AV1420-AR1420))/AR1420)))</f>
        <v>1</v>
      </c>
      <c r="AX1420" s="50" t="n">
        <f aca="false">IF(LEFT(Cockpit!$O$5,1)="A",H1420,IF(CE1420=1,CF1420,IF(LEFT(Cockpit!$O$5,1)="B",BC1420,MAX(BC1420,H1420))))</f>
        <v>12</v>
      </c>
      <c r="AY1420" s="50" t="n">
        <f aca="false">IF(BW1420=1,0,ROUNDUP(AX1420/BV1420,0))</f>
        <v>3</v>
      </c>
      <c r="AZ1420" s="52" t="n">
        <f aca="false">IF(CL1420&gt;0,CL1420*MAX(1,AX1420/X1420),IF(BW1420=1,IF(AX1420&lt;=0,0,CA1420*MAX(1,IF(H1420&gt;0,AX1420/H1420,1))),IF(R1420&gt;0,AY1420/R1420,0))/MAX(0.1,N(Parameter!$M$21)))</f>
        <v>0.0576923076923077</v>
      </c>
      <c r="BA1420" s="50" t="n">
        <f aca="false">AZ1420*BY1420</f>
        <v>8.94230769230769</v>
      </c>
      <c r="BB1420" s="50" t="n">
        <f aca="false">AX1420*G1420</f>
        <v>1512.96</v>
      </c>
      <c r="BC1420" s="50" t="n">
        <f aca="false">ROUNDUP(MAX(J1420/IF(CD1420&gt;0,CD1420,MAX(0.1,N(Cockpit!$O$6))),CG1420)/BV1420,0)*BV1420</f>
        <v>5</v>
      </c>
      <c r="BD1420" s="51" t="n">
        <f aca="false">IF(BA1420&gt;0,J1420/BA1420,-1)</f>
        <v>0.223655913978495</v>
      </c>
      <c r="BE1420" s="51" t="n">
        <f aca="false">IF(AND(OR(CC1420="L1",CC1420="L23",CC1420="LIFT"),BA1420&gt;0),SUMIFS($BA$7:$BA$1843,$CC$7:$CC$1843,CC1420,$BD$7:$BD$1843,"&gt;"&amp;BD1420)+SUMIFS($BA$7:$BA$1843,$CC$7:$CC$1843,CC1420,$BD$7:$BD$1843,BD1420,$BT$7:$BT$1843,"&lt;="&amp;BT1420),"")</f>
        <v>16892.9075091575</v>
      </c>
      <c r="BF1420" s="58" t="n">
        <f aca="false">IF(BE1420="",0,MAX(0,MIN(1,(IF(CC1420="L1",Parameter!$H$5,IF(CC1420="L23",Parameter!$H$6+Parameter!$H$7,Parameter!$H$5+Parameter!$H$6+Parameter!$H$7))-(BE1420-BA1420))/BA1420)))</f>
        <v>1</v>
      </c>
      <c r="BG1420" s="48" t="str">
        <f aca="false">IF(AI1420&lt;=0,"",IF(CC1420="Aussen","Aussenlager",IF(CC1420="-","Nicht im Lift",IF(AN1420&gt;=1,"Lift",IF(AN1420&lt;=0,"Aussenlager","teilweise")))))</f>
        <v>Lift</v>
      </c>
      <c r="BH1420" s="48" t="str">
        <f aca="false">IF(AR1420&lt;=0,"",IF(CC1420="Aussen","Aussenlager",IF(CC1420="-","Nicht im Lift",IF(AW1420&gt;=1,"Lift",IF(AW1420&lt;=0,"Aussenlager","teilweise")))))</f>
        <v>Lift</v>
      </c>
      <c r="BI1420" s="48" t="str">
        <f aca="false">IF(BA1420&lt;=0,"",IF(CC1420="Aussen","Aussenlager",IF(CC1420="-","Nicht im Lift",IF(BF1420&gt;=1,"Lift",IF(BF1420&lt;=0,"Aussenlager","teilweise")))))</f>
        <v>Lift</v>
      </c>
      <c r="BJ1420" s="48" t="str">
        <f aca="false">IF(A1420="","",IF(BS1420=1,"Neu; ","")&amp;IF(AND(BS1420=0,BN1420&lt;0),"negativer Bestand (Export "&amp;BN1420&amp;"); ","")&amp;IF(J1420&lt;=0,"Kein Verbrauch; ","")&amp;IF(CL1420&gt;0,"Lift "&amp;W1420&amp;" lt. Liftbericht (Fach "&amp;X1420&amp;" Stk); ",IF(BX1420=1,"Gebinde geschätzt ("&amp;T1420&amp;"); ",IF(BW1420=1,"Lose – Tablare geschätzt; ","")))&amp;IF(H1420&gt;AT1420,"Überbestand "&amp;ROUND(H1420-AT1420,0)&amp;" Stk / CHF "&amp;ROUND((H1420-AT1420)*G1420,0)&amp;"; ","")&amp;IF(AND(CE1420=1,CF1420&lt;CG1420),"MAX &lt; MB+LG; ","")&amp;IF(AND(CK1420&gt;0,CJ1420*10&gt;CK1420),"zu hoch für Tablar; ","")&amp;IF(AND(BS1420=0,OR(CE1420=1,AA1420&lt;&gt;"",U1420&lt;&gt;"",V1420&lt;&gt;"",AB1420&lt;&gt;"")),"manuell übersteuert; ","")&amp;IF(AND(BW1420=0,R1420=0),"Gebinde unbekannt / Stellmass fehlt; ","")&amp;IF(AND(BW1420=0,N(V1420)&lt;=0,N(Q1420)&lt;=0),"Menge pro Gebinde fehlt (Ist = 1 Gebinde); ","")&amp;BR1420)</f>
        <v>negativer Bestand (Export -43); Überbestand 7 Stk / CHF 883; </v>
      </c>
      <c r="BK1420" s="48"/>
      <c r="BL1420" s="48"/>
      <c r="BM1420" s="55"/>
      <c r="BN1420" s="50" t="n">
        <v>-43</v>
      </c>
      <c r="BO1420" s="50" t="n">
        <v>55</v>
      </c>
      <c r="BP1420" s="49" t="n">
        <v>-5421.44</v>
      </c>
      <c r="BQ1420" s="50" t="n">
        <v>2</v>
      </c>
      <c r="BR1420" s="48"/>
      <c r="BS1420" s="53" t="n">
        <v>0</v>
      </c>
      <c r="BT1420" s="53" t="n">
        <v>1420</v>
      </c>
      <c r="BU1420" s="48" t="str">
        <f aca="false">IF(U1420&lt;&gt;"",UPPER(TRIM(U1420)),IF(BX1420=1,UPPER(VLOOKUP(T1420,Parameter!$I$27:$K$29,2,0)),IF(P1420="","LOSE",P1420)))</f>
        <v>S33</v>
      </c>
      <c r="BV1420" s="50" t="n">
        <f aca="false">IF(BU1420="LOSE",1,IF(N(V1420)&gt;0,V1420,IF(BX1420=1,MAX(1,N(VLOOKUP(T1420,Parameter!$I$27:$K$29,3,0)),H1420,N(N1420)),IF(N(Q1420)&gt;0,Q1420,MAX(1,H1420)))))</f>
        <v>5</v>
      </c>
      <c r="BW1420" s="53" t="n">
        <f aca="false">IF(BU1420="LOSE",1,0)</f>
        <v>0</v>
      </c>
      <c r="BX1420" s="53" t="n">
        <f aca="false">IF(AND(U1420="",OR(P1420="",P1420="LOSE"),T1420&lt;&gt;"",N(S1420)&lt;=0,ISNUMBER(MATCH(T1420,Parameter!$I$27:$I$29,0))),1,0)</f>
        <v>0</v>
      </c>
      <c r="BY1420" s="53" t="n">
        <f aca="false">IF(CL1420&gt;0,INDEX(Parameter!$H$5:$H$7,W1420)/INDEX(Parameter!$E$5:$E$7,W1420),IF(AND(BW1420=0,N(IFERROR(VLOOKUP(BU1420,'Gebinde-Kategorie'!$A$5:$N$45,14,0),0))&gt;0),VLOOKUP(BU1420,'Gebinde-Kategorie'!$A$5:$N$45,14,0)*10+Parameter!$M$23,Parameter!$M$24))</f>
        <v>155</v>
      </c>
      <c r="BZ1420" s="48" t="str">
        <f aca="false">IF(AND(Parameter!$B$19="Ja",E1420&lt;&gt;"",ISNUMBER(MATCH(E1420,Parameter!$I$35:$I$52,0))),VLOOKUP(E1420,Parameter!$I$35:$J$52,2,0),IFERROR(VLOOKUP(D1420,Parameter!$A$35:$C$64,2,0),"Nein"))</f>
        <v>2+3</v>
      </c>
      <c r="CA1420" s="52" t="n">
        <f aca="false">IF(BW1420=0,0,IF(N(S1420)&gt;0,S1420,IFERROR(VLOOKUP(D1420,Parameter!$A$35:$C$64,3,0)+0,0)))</f>
        <v>0</v>
      </c>
      <c r="CB1420" s="48" t="n">
        <f aca="false">IF(AA1420&lt;&gt;"",AA1420,Z1420)</f>
        <v>3</v>
      </c>
      <c r="CC1420" s="48" t="str">
        <f aca="false">IF(OR(CB1420=1,CB1420=2,CB1420=3),IF(Parameter!$E$27="Ja","LIFT",IF(CB1420=1,"L1","L23")),IF(CB1420="Aussen","Aussen","-"))</f>
        <v>LIFT</v>
      </c>
      <c r="CD1420" s="59" t="n">
        <f aca="false">IF(N(AB1420)&gt;0,AB1420,0)</f>
        <v>0</v>
      </c>
      <c r="CE1420" s="53" t="n">
        <f aca="false">IF(ISNUMBER(AE1420),1,0)</f>
        <v>0</v>
      </c>
      <c r="CF1420" s="50" t="n">
        <f aca="false">N(AE1420)</f>
        <v>0</v>
      </c>
      <c r="CG1420" s="50" t="n">
        <f aca="false">N(M1420)+N(N1420)</f>
        <v>1</v>
      </c>
      <c r="CH1420" s="50" t="n">
        <f aca="false">ROUNDUP(H1420/BV1420,0)</f>
        <v>3</v>
      </c>
      <c r="CI1420" s="50" t="n">
        <f aca="false">ROUNDUP(CF1420/BV1420,0)</f>
        <v>0</v>
      </c>
      <c r="CJ1420" s="53" t="n">
        <f aca="false">IF(BW1420=1,0,IFERROR(VLOOKUP(BU1420,'Gebinde-Kategorie'!$A$5:$N$45,5,0)+0,0))</f>
        <v>8</v>
      </c>
      <c r="CK1420" s="53" t="n">
        <f aca="false">IFERROR(IF(OR(CB1420=1,CB1420=2,CB1420=3),N(INDEX(Parameter!$I$5:$I$7,CB1420)),0),0)</f>
        <v>0</v>
      </c>
      <c r="CL1420" s="52" t="n">
        <f aca="false">IF(AND(Parameter!$B$21="Ja",ISNUMBER(W1420),N(X1420)&gt;0),IFERROR(N(INDEX(Parameter!$L$5:$L$7,W1420))*INDEX(Parameter!$E$5:$E$7,W1420)*X1420/SUMIFS($X$7:$X$1843,$W$7:$W$1843,W1420),0),0)</f>
        <v>0</v>
      </c>
    </row>
    <row r="1421" customFormat="false" ht="15" hidden="false" customHeight="false" outlineLevel="0" collapsed="false">
      <c r="A1421" s="48" t="s">
        <v>2498</v>
      </c>
      <c r="B1421" s="48" t="s">
        <v>2499</v>
      </c>
      <c r="C1421" s="48" t="s">
        <v>168</v>
      </c>
      <c r="D1421" s="48" t="s">
        <v>177</v>
      </c>
      <c r="E1421" s="48" t="s">
        <v>189</v>
      </c>
      <c r="F1421" s="48" t="s">
        <v>222</v>
      </c>
      <c r="G1421" s="49" t="n">
        <v>699.44</v>
      </c>
      <c r="H1421" s="50" t="n">
        <f aca="false">MAX(0,IF(AND(Parameter!$B$21="Ja",ISNUMBER(Y1421)),Y1421,IF(Parameter!$B$20="Jahresanfang 2025 + Export",BO1421+BN1421,BN1421)))</f>
        <v>7</v>
      </c>
      <c r="I1421" s="50" t="n">
        <f aca="false">H1421*G1421</f>
        <v>4896.08</v>
      </c>
      <c r="J1421" s="50" t="n">
        <f aca="false">BQ1421*Parameter!$B$18</f>
        <v>8</v>
      </c>
      <c r="K1421" s="51" t="n">
        <v>13.5</v>
      </c>
      <c r="L1421" s="52" t="n">
        <v>0.592592592592593</v>
      </c>
      <c r="M1421" s="50" t="n">
        <v>1</v>
      </c>
      <c r="N1421" s="50" t="n">
        <v>5</v>
      </c>
      <c r="O1421" s="53" t="n">
        <v>49</v>
      </c>
      <c r="P1421" s="48" t="s">
        <v>230</v>
      </c>
      <c r="Q1421" s="50" t="n">
        <v>7</v>
      </c>
      <c r="R1421" s="53" t="n">
        <f aca="false">IF(BW1421=1,0,IFERROR(VLOOKUP(BU1421,'Gebinde-Kategorie'!$A$5:$N$45,13,0)+0,0))</f>
        <v>12</v>
      </c>
      <c r="S1421" s="54"/>
      <c r="T1421" s="55"/>
      <c r="U1421" s="55"/>
      <c r="V1421" s="55"/>
      <c r="W1421" s="48"/>
      <c r="X1421" s="50"/>
      <c r="Y1421" s="50"/>
      <c r="Z1421" s="48" t="n">
        <f aca="false">IF(A1421="","",IF(AND(Parameter!$B$21="Ja",ISNUMBER(W1421)),W1421,IF(BZ1421="2+3",IF(ISNUMBER(SEARCH("grosser Artikel",BR1421)),2,IFERROR(VLOOKUP(BU1421,Parameter!$F$35:$G$64,2,0),2)),IF(OR(BZ1421="Nein",BZ1421=""),"-",BZ1421))))</f>
        <v>2</v>
      </c>
      <c r="AA1421" s="55"/>
      <c r="AB1421" s="56"/>
      <c r="AC1421" s="50" t="n">
        <f aca="false">AT1421</f>
        <v>7</v>
      </c>
      <c r="AD1421" s="50" t="n">
        <f aca="false">MAX(AT1421,H1421)</f>
        <v>7</v>
      </c>
      <c r="AE1421" s="57"/>
      <c r="AF1421" s="50" t="n">
        <f aca="false">IF(LEFT(Cockpit!$C$5,1)="A",H1421,IF(CE1421=1,CF1421,IF(LEFT(Cockpit!$C$5,1)="B",AK1421,MAX(AK1421,H1421))))</f>
        <v>7</v>
      </c>
      <c r="AG1421" s="50" t="n">
        <f aca="false">IF(BW1421=1,0,ROUNDUP(AF1421/BV1421,0))</f>
        <v>1</v>
      </c>
      <c r="AH1421" s="52" t="n">
        <f aca="false">IF(CL1421&gt;0,CL1421*MAX(1,AF1421/X1421),IF(BW1421=1,IF(AF1421&lt;=0,0,CA1421*MAX(1,IF(H1421&gt;0,AF1421/H1421,1))),IF(R1421&gt;0,AG1421/R1421,0))/MAX(0.1,N(Parameter!$M$21)))</f>
        <v>0.0833333333333333</v>
      </c>
      <c r="AI1421" s="50" t="n">
        <f aca="false">AH1421*BY1421</f>
        <v>28.75</v>
      </c>
      <c r="AJ1421" s="50" t="n">
        <f aca="false">AF1421*G1421</f>
        <v>4896.08</v>
      </c>
      <c r="AK1421" s="50" t="n">
        <f aca="false">ROUNDUP(MAX(J1421/IF(CD1421&gt;0,CD1421,MAX(0.1,N(Cockpit!$C$6))),CG1421)/BV1421,0)*BV1421</f>
        <v>7</v>
      </c>
      <c r="AL1421" s="51" t="n">
        <f aca="false">IF(AI1421&gt;0,J1421/AI1421,-1)</f>
        <v>0.278260869565217</v>
      </c>
      <c r="AM1421" s="51" t="n">
        <f aca="false">IF(AND(OR(CC1421="L1",CC1421="L23",CC1421="LIFT"),AI1421&gt;0),SUMIFS($AI$7:$AI$1843,$CC$7:$CC$1843,CC1421,$AL$7:$AL$1843,"&gt;"&amp;AL1421)+SUMIFS($AI$7:$AI$1843,$CC$7:$CC$1843,CC1421,$AL$7:$AL$1843,AL1421,$BT$7:$BT$1843,"&lt;="&amp;BT1421),"")</f>
        <v>11649.0202629292</v>
      </c>
      <c r="AN1421" s="58" t="n">
        <f aca="false">IF(AM1421="",0,MAX(0,MIN(1,(IF(CC1421="L1",Parameter!$H$5,IF(CC1421="L23",Parameter!$H$6+Parameter!$H$7,Parameter!$H$5+Parameter!$H$6+Parameter!$H$7))-(AM1421-AI1421))/AI1421)))</f>
        <v>1</v>
      </c>
      <c r="AO1421" s="50" t="n">
        <f aca="false">IF(LEFT(Cockpit!$I$5,1)="A",H1421,IF(CE1421=1,CF1421,IF(LEFT(Cockpit!$I$5,1)="B",AT1421,MAX(AT1421,H1421))))</f>
        <v>7</v>
      </c>
      <c r="AP1421" s="50" t="n">
        <f aca="false">IF(BW1421=1,0,ROUNDUP(AO1421/BV1421,0))</f>
        <v>1</v>
      </c>
      <c r="AQ1421" s="52" t="n">
        <f aca="false">IF(CL1421&gt;0,CL1421*MAX(1,AO1421/X1421),IF(BW1421=1,IF(AO1421&lt;=0,0,CA1421*MAX(1,IF(H1421&gt;0,AO1421/H1421,1))),IF(R1421&gt;0,AP1421/R1421,0))/MAX(0.1,N(Parameter!$M$21)))</f>
        <v>0.0833333333333333</v>
      </c>
      <c r="AR1421" s="50" t="n">
        <f aca="false">AQ1421*BY1421</f>
        <v>28.75</v>
      </c>
      <c r="AS1421" s="50" t="n">
        <f aca="false">AO1421*G1421</f>
        <v>4896.08</v>
      </c>
      <c r="AT1421" s="50" t="n">
        <f aca="false">ROUNDUP(MAX(J1421/IF(CD1421&gt;0,CD1421,MAX(0.1,N(Cockpit!$I$6))),CG1421)/BV1421,0)*BV1421</f>
        <v>7</v>
      </c>
      <c r="AU1421" s="51" t="n">
        <f aca="false">IF(AR1421&gt;0,J1421/AR1421,-1)</f>
        <v>0.278260869565217</v>
      </c>
      <c r="AV1421" s="51" t="n">
        <f aca="false">IF(AND(OR(CC1421="L1",CC1421="L23",CC1421="LIFT"),AR1421&gt;0),SUMIFS($AR$7:$AR$1843,$CC$7:$CC$1843,CC1421,$AU$7:$AU$1843,"&gt;"&amp;AU1421)+SUMIFS($AR$7:$AR$1843,$CC$7:$CC$1843,CC1421,$AU$7:$AU$1843,AU1421,$BT$7:$BT$1843,"&lt;="&amp;BT1421),"")</f>
        <v>17073.0517399267</v>
      </c>
      <c r="AW1421" s="58" t="n">
        <f aca="false">IF(AV1421="",0,MAX(0,MIN(1,(IF(CC1421="L1",Parameter!$H$5,IF(CC1421="L23",Parameter!$H$6+Parameter!$H$7,Parameter!$H$5+Parameter!$H$6+Parameter!$H$7))-(AV1421-AR1421))/AR1421)))</f>
        <v>1</v>
      </c>
      <c r="AX1421" s="50" t="n">
        <f aca="false">IF(LEFT(Cockpit!$O$5,1)="A",H1421,IF(CE1421=1,CF1421,IF(LEFT(Cockpit!$O$5,1)="B",BC1421,MAX(BC1421,H1421))))</f>
        <v>7</v>
      </c>
      <c r="AY1421" s="50" t="n">
        <f aca="false">IF(BW1421=1,0,ROUNDUP(AX1421/BV1421,0))</f>
        <v>1</v>
      </c>
      <c r="AZ1421" s="52" t="n">
        <f aca="false">IF(CL1421&gt;0,CL1421*MAX(1,AX1421/X1421),IF(BW1421=1,IF(AX1421&lt;=0,0,CA1421*MAX(1,IF(H1421&gt;0,AX1421/H1421,1))),IF(R1421&gt;0,AY1421/R1421,0))/MAX(0.1,N(Parameter!$M$21)))</f>
        <v>0.0833333333333333</v>
      </c>
      <c r="BA1421" s="50" t="n">
        <f aca="false">AZ1421*BY1421</f>
        <v>28.75</v>
      </c>
      <c r="BB1421" s="50" t="n">
        <f aca="false">AX1421*G1421</f>
        <v>4896.08</v>
      </c>
      <c r="BC1421" s="50" t="n">
        <f aca="false">ROUNDUP(MAX(J1421/IF(CD1421&gt;0,CD1421,MAX(0.1,N(Cockpit!$O$6))),CG1421)/BV1421,0)*BV1421</f>
        <v>7</v>
      </c>
      <c r="BD1421" s="51" t="n">
        <f aca="false">IF(BA1421&gt;0,J1421/BA1421,-1)</f>
        <v>0.278260869565217</v>
      </c>
      <c r="BE1421" s="51" t="n">
        <f aca="false">IF(AND(OR(CC1421="L1",CC1421="L23",CC1421="LIFT"),BA1421&gt;0),SUMIFS($BA$7:$BA$1843,$CC$7:$CC$1843,CC1421,$BD$7:$BD$1843,"&gt;"&amp;BD1421)+SUMIFS($BA$7:$BA$1843,$CC$7:$CC$1843,CC1421,$BD$7:$BD$1843,BD1421,$BT$7:$BT$1843,"&lt;="&amp;BT1421),"")</f>
        <v>16019.5421245421</v>
      </c>
      <c r="BF1421" s="58" t="n">
        <f aca="false">IF(BE1421="",0,MAX(0,MIN(1,(IF(CC1421="L1",Parameter!$H$5,IF(CC1421="L23",Parameter!$H$6+Parameter!$H$7,Parameter!$H$5+Parameter!$H$6+Parameter!$H$7))-(BE1421-BA1421))/BA1421)))</f>
        <v>1</v>
      </c>
      <c r="BG1421" s="48" t="str">
        <f aca="false">IF(AI1421&lt;=0,"",IF(CC1421="Aussen","Aussenlager",IF(CC1421="-","Nicht im Lift",IF(AN1421&gt;=1,"Lift",IF(AN1421&lt;=0,"Aussenlager","teilweise")))))</f>
        <v>Lift</v>
      </c>
      <c r="BH1421" s="48" t="str">
        <f aca="false">IF(AR1421&lt;=0,"",IF(CC1421="Aussen","Aussenlager",IF(CC1421="-","Nicht im Lift",IF(AW1421&gt;=1,"Lift",IF(AW1421&lt;=0,"Aussenlager","teilweise")))))</f>
        <v>Lift</v>
      </c>
      <c r="BI1421" s="48" t="str">
        <f aca="false">IF(BA1421&lt;=0,"",IF(CC1421="Aussen","Aussenlager",IF(CC1421="-","Nicht im Lift",IF(BF1421&gt;=1,"Lift",IF(BF1421&lt;=0,"Aussenlager","teilweise")))))</f>
        <v>Lift</v>
      </c>
      <c r="BJ1421" s="48" t="str">
        <f aca="false">IF(A1421="","",IF(BS1421=1,"Neu; ","")&amp;IF(AND(BS1421=0,BN1421&lt;0),"negativer Bestand (Export "&amp;BN1421&amp;"); ","")&amp;IF(J1421&lt;=0,"Kein Verbrauch; ","")&amp;IF(CL1421&gt;0,"Lift "&amp;W1421&amp;" lt. Liftbericht (Fach "&amp;X1421&amp;" Stk); ",IF(BX1421=1,"Gebinde geschätzt ("&amp;T1421&amp;"); ",IF(BW1421=1,"Lose – Tablare geschätzt; ","")))&amp;IF(H1421&gt;AT1421,"Überbestand "&amp;ROUND(H1421-AT1421,0)&amp;" Stk / CHF "&amp;ROUND((H1421-AT1421)*G1421,0)&amp;"; ","")&amp;IF(AND(CE1421=1,CF1421&lt;CG1421),"MAX &lt; MB+LG; ","")&amp;IF(AND(CK1421&gt;0,CJ1421*10&gt;CK1421),"zu hoch für Tablar; ","")&amp;IF(AND(BS1421=0,OR(CE1421=1,AA1421&lt;&gt;"",U1421&lt;&gt;"",V1421&lt;&gt;"",AB1421&lt;&gt;"")),"manuell übersteuert; ","")&amp;IF(AND(BW1421=0,R1421=0),"Gebinde unbekannt / Stellmass fehlt; ","")&amp;IF(AND(BW1421=0,N(V1421)&lt;=0,N(Q1421)&lt;=0),"Menge pro Gebinde fehlt (Ist = 1 Gebinde); ","")&amp;BR1421)</f>
        <v>negativer Bestand (Export -9); B&amp;R</v>
      </c>
      <c r="BK1421" s="48"/>
      <c r="BL1421" s="48"/>
      <c r="BM1421" s="55"/>
      <c r="BN1421" s="50" t="n">
        <v>-9</v>
      </c>
      <c r="BO1421" s="50" t="n">
        <v>16</v>
      </c>
      <c r="BP1421" s="49" t="n">
        <v>-5673.52</v>
      </c>
      <c r="BQ1421" s="50" t="n">
        <v>8</v>
      </c>
      <c r="BR1421" s="48" t="s">
        <v>2221</v>
      </c>
      <c r="BS1421" s="53" t="n">
        <v>0</v>
      </c>
      <c r="BT1421" s="53" t="n">
        <v>1421</v>
      </c>
      <c r="BU1421" s="48" t="str">
        <f aca="false">IF(U1421&lt;&gt;"",UPPER(TRIM(U1421)),IF(BX1421=1,UPPER(VLOOKUP(T1421,Parameter!$I$27:$K$29,2,0)),IF(P1421="","LOSE",P1421)))</f>
        <v>S63</v>
      </c>
      <c r="BV1421" s="50" t="n">
        <f aca="false">IF(BU1421="LOSE",1,IF(N(V1421)&gt;0,V1421,IF(BX1421=1,MAX(1,N(VLOOKUP(T1421,Parameter!$I$27:$K$29,3,0)),H1421,N(N1421)),IF(N(Q1421)&gt;0,Q1421,MAX(1,H1421)))))</f>
        <v>7</v>
      </c>
      <c r="BW1421" s="53" t="n">
        <f aca="false">IF(BU1421="LOSE",1,0)</f>
        <v>0</v>
      </c>
      <c r="BX1421" s="53" t="n">
        <f aca="false">IF(AND(U1421="",OR(P1421="",P1421="LOSE"),T1421&lt;&gt;"",N(S1421)&lt;=0,ISNUMBER(MATCH(T1421,Parameter!$I$27:$I$29,0))),1,0)</f>
        <v>0</v>
      </c>
      <c r="BY1421" s="53" t="n">
        <f aca="false">IF(CL1421&gt;0,INDEX(Parameter!$H$5:$H$7,W1421)/INDEX(Parameter!$E$5:$E$7,W1421),IF(AND(BW1421=0,N(IFERROR(VLOOKUP(BU1421,'Gebinde-Kategorie'!$A$5:$N$45,14,0),0))&gt;0),VLOOKUP(BU1421,'Gebinde-Kategorie'!$A$5:$N$45,14,0)*10+Parameter!$M$23,Parameter!$M$24))</f>
        <v>345</v>
      </c>
      <c r="BZ1421" s="48" t="str">
        <f aca="false">IF(AND(Parameter!$B$19="Ja",E1421&lt;&gt;"",ISNUMBER(MATCH(E1421,Parameter!$I$35:$I$52,0))),VLOOKUP(E1421,Parameter!$I$35:$J$52,2,0),IFERROR(VLOOKUP(D1421,Parameter!$A$35:$C$64,2,0),"Nein"))</f>
        <v>2+3</v>
      </c>
      <c r="CA1421" s="52" t="n">
        <f aca="false">IF(BW1421=0,0,IF(N(S1421)&gt;0,S1421,IFERROR(VLOOKUP(D1421,Parameter!$A$35:$C$64,3,0)+0,0)))</f>
        <v>0</v>
      </c>
      <c r="CB1421" s="48" t="n">
        <f aca="false">IF(AA1421&lt;&gt;"",AA1421,Z1421)</f>
        <v>2</v>
      </c>
      <c r="CC1421" s="48" t="str">
        <f aca="false">IF(OR(CB1421=1,CB1421=2,CB1421=3),IF(Parameter!$E$27="Ja","LIFT",IF(CB1421=1,"L1","L23")),IF(CB1421="Aussen","Aussen","-"))</f>
        <v>LIFT</v>
      </c>
      <c r="CD1421" s="59" t="n">
        <f aca="false">IF(N(AB1421)&gt;0,AB1421,0)</f>
        <v>0</v>
      </c>
      <c r="CE1421" s="53" t="n">
        <f aca="false">IF(ISNUMBER(AE1421),1,0)</f>
        <v>0</v>
      </c>
      <c r="CF1421" s="50" t="n">
        <f aca="false">N(AE1421)</f>
        <v>0</v>
      </c>
      <c r="CG1421" s="50" t="n">
        <f aca="false">N(M1421)+N(N1421)</f>
        <v>6</v>
      </c>
      <c r="CH1421" s="50" t="n">
        <f aca="false">ROUNDUP(H1421/BV1421,0)</f>
        <v>1</v>
      </c>
      <c r="CI1421" s="50" t="n">
        <f aca="false">ROUNDUP(CF1421/BV1421,0)</f>
        <v>0</v>
      </c>
      <c r="CJ1421" s="53" t="n">
        <f aca="false">IF(BW1421=1,0,IFERROR(VLOOKUP(BU1421,'Gebinde-Kategorie'!$A$5:$N$45,5,0)+0,0))</f>
        <v>31</v>
      </c>
      <c r="CK1421" s="53" t="n">
        <f aca="false">IFERROR(IF(OR(CB1421=1,CB1421=2,CB1421=3),N(INDEX(Parameter!$I$5:$I$7,CB1421)),0),0)</f>
        <v>0</v>
      </c>
      <c r="CL1421" s="52" t="n">
        <f aca="false">IF(AND(Parameter!$B$21="Ja",ISNUMBER(W1421),N(X1421)&gt;0),IFERROR(N(INDEX(Parameter!$L$5:$L$7,W1421))*INDEX(Parameter!$E$5:$E$7,W1421)*X1421/SUMIFS($X$7:$X$1843,$W$7:$W$1843,W1421),0),0)</f>
        <v>0</v>
      </c>
    </row>
    <row r="1422" customFormat="false" ht="15" hidden="false" customHeight="false" outlineLevel="0" collapsed="false">
      <c r="A1422" s="48" t="s">
        <v>2500</v>
      </c>
      <c r="B1422" s="48" t="s">
        <v>2176</v>
      </c>
      <c r="C1422" s="48" t="s">
        <v>168</v>
      </c>
      <c r="D1422" s="48" t="s">
        <v>188</v>
      </c>
      <c r="E1422" s="48"/>
      <c r="F1422" s="48" t="s">
        <v>222</v>
      </c>
      <c r="G1422" s="49" t="n">
        <v>671.53</v>
      </c>
      <c r="H1422" s="50" t="n">
        <f aca="false">MAX(0,IF(AND(Parameter!$B$21="Ja",ISNUMBER(Y1422)),Y1422,IF(Parameter!$B$20="Jahresanfang 2025 + Export",BO1422+BN1422,BN1422)))</f>
        <v>7</v>
      </c>
      <c r="I1422" s="50" t="n">
        <f aca="false">H1422*G1422</f>
        <v>4700.71</v>
      </c>
      <c r="J1422" s="50" t="n">
        <f aca="false">BQ1422*Parameter!$B$18</f>
        <v>4</v>
      </c>
      <c r="K1422" s="51" t="n">
        <v>13</v>
      </c>
      <c r="L1422" s="52" t="n">
        <v>0.307692307692308</v>
      </c>
      <c r="M1422" s="50" t="n">
        <v>0</v>
      </c>
      <c r="N1422" s="50" t="n">
        <v>5</v>
      </c>
      <c r="O1422" s="53" t="n">
        <v>28</v>
      </c>
      <c r="P1422" s="48" t="s">
        <v>297</v>
      </c>
      <c r="Q1422" s="50" t="n">
        <v>8</v>
      </c>
      <c r="R1422" s="53" t="n">
        <f aca="false">IF(BW1422=1,0,IFERROR(VLOOKUP(BU1422,'Gebinde-Kategorie'!$A$5:$N$45,13,0)+0,0))</f>
        <v>12</v>
      </c>
      <c r="S1422" s="54"/>
      <c r="T1422" s="55"/>
      <c r="U1422" s="55"/>
      <c r="V1422" s="55"/>
      <c r="W1422" s="48"/>
      <c r="X1422" s="50"/>
      <c r="Y1422" s="50"/>
      <c r="Z1422" s="48" t="n">
        <f aca="false">IF(A1422="","",IF(AND(Parameter!$B$21="Ja",ISNUMBER(W1422)),W1422,IF(BZ1422="2+3",IF(ISNUMBER(SEARCH("grosser Artikel",BR1422)),2,IFERROR(VLOOKUP(BU1422,Parameter!$F$35:$G$64,2,0),2)),IF(OR(BZ1422="Nein",BZ1422=""),"-",BZ1422))))</f>
        <v>2</v>
      </c>
      <c r="AA1422" s="55"/>
      <c r="AB1422" s="56"/>
      <c r="AC1422" s="50" t="n">
        <f aca="false">AT1422</f>
        <v>8</v>
      </c>
      <c r="AD1422" s="50" t="n">
        <f aca="false">MAX(AT1422,H1422)</f>
        <v>8</v>
      </c>
      <c r="AE1422" s="57"/>
      <c r="AF1422" s="50" t="n">
        <f aca="false">IF(LEFT(Cockpit!$C$5,1)="A",H1422,IF(CE1422=1,CF1422,IF(LEFT(Cockpit!$C$5,1)="B",AK1422,MAX(AK1422,H1422))))</f>
        <v>7</v>
      </c>
      <c r="AG1422" s="50" t="n">
        <f aca="false">IF(BW1422=1,0,ROUNDUP(AF1422/BV1422,0))</f>
        <v>1</v>
      </c>
      <c r="AH1422" s="52" t="n">
        <f aca="false">IF(CL1422&gt;0,CL1422*MAX(1,AF1422/X1422),IF(BW1422=1,IF(AF1422&lt;=0,0,CA1422*MAX(1,IF(H1422&gt;0,AF1422/H1422,1))),IF(R1422&gt;0,AG1422/R1422,0))/MAX(0.1,N(Parameter!$M$21)))</f>
        <v>0.0833333333333333</v>
      </c>
      <c r="AI1422" s="50" t="n">
        <f aca="false">AH1422*BY1422</f>
        <v>20.4166666666667</v>
      </c>
      <c r="AJ1422" s="50" t="n">
        <f aca="false">AF1422*G1422</f>
        <v>4700.71</v>
      </c>
      <c r="AK1422" s="50" t="n">
        <f aca="false">ROUNDUP(MAX(J1422/IF(CD1422&gt;0,CD1422,MAX(0.1,N(Cockpit!$C$6))),CG1422)/BV1422,0)*BV1422</f>
        <v>8</v>
      </c>
      <c r="AL1422" s="51" t="n">
        <f aca="false">IF(AI1422&gt;0,J1422/AI1422,-1)</f>
        <v>0.195918367346939</v>
      </c>
      <c r="AM1422" s="51" t="n">
        <f aca="false">IF(AND(OR(CC1422="L1",CC1422="L23",CC1422="LIFT"),AI1422&gt;0),SUMIFS($AI$7:$AI$1843,$CC$7:$CC$1843,CC1422,$AL$7:$AL$1843,"&gt;"&amp;AL1422)+SUMIFS($AI$7:$AI$1843,$CC$7:$CC$1843,CC1422,$AL$7:$AL$1843,AL1422,$BT$7:$BT$1843,"&lt;="&amp;BT1422),"")</f>
        <v>12622.233720846</v>
      </c>
      <c r="AN1422" s="58" t="n">
        <f aca="false">IF(AM1422="",0,MAX(0,MIN(1,(IF(CC1422="L1",Parameter!$H$5,IF(CC1422="L23",Parameter!$H$6+Parameter!$H$7,Parameter!$H$5+Parameter!$H$6+Parameter!$H$7))-(AM1422-AI1422))/AI1422)))</f>
        <v>1</v>
      </c>
      <c r="AO1422" s="50" t="n">
        <f aca="false">IF(LEFT(Cockpit!$I$5,1)="A",H1422,IF(CE1422=1,CF1422,IF(LEFT(Cockpit!$I$5,1)="B",AT1422,MAX(AT1422,H1422))))</f>
        <v>8</v>
      </c>
      <c r="AP1422" s="50" t="n">
        <f aca="false">IF(BW1422=1,0,ROUNDUP(AO1422/BV1422,0))</f>
        <v>1</v>
      </c>
      <c r="AQ1422" s="52" t="n">
        <f aca="false">IF(CL1422&gt;0,CL1422*MAX(1,AO1422/X1422),IF(BW1422=1,IF(AO1422&lt;=0,0,CA1422*MAX(1,IF(H1422&gt;0,AO1422/H1422,1))),IF(R1422&gt;0,AP1422/R1422,0))/MAX(0.1,N(Parameter!$M$21)))</f>
        <v>0.0833333333333333</v>
      </c>
      <c r="AR1422" s="50" t="n">
        <f aca="false">AQ1422*BY1422</f>
        <v>20.4166666666667</v>
      </c>
      <c r="AS1422" s="50" t="n">
        <f aca="false">AO1422*G1422</f>
        <v>5372.24</v>
      </c>
      <c r="AT1422" s="50" t="n">
        <f aca="false">ROUNDUP(MAX(J1422/IF(CD1422&gt;0,CD1422,MAX(0.1,N(Cockpit!$I$6))),CG1422)/BV1422,0)*BV1422</f>
        <v>8</v>
      </c>
      <c r="AU1422" s="51" t="n">
        <f aca="false">IF(AR1422&gt;0,J1422/AR1422,-1)</f>
        <v>0.195918367346939</v>
      </c>
      <c r="AV1422" s="51" t="n">
        <f aca="false">IF(AND(OR(CC1422="L1",CC1422="L23",CC1422="LIFT"),AR1422&gt;0),SUMIFS($AR$7:$AR$1843,$CC$7:$CC$1843,CC1422,$AU$7:$AU$1843,"&gt;"&amp;AU1422)+SUMIFS($AR$7:$AR$1843,$CC$7:$CC$1843,CC1422,$AU$7:$AU$1843,AU1422,$BT$7:$BT$1843,"&lt;="&amp;BT1422),"")</f>
        <v>19103.8850732601</v>
      </c>
      <c r="AW1422" s="58" t="n">
        <f aca="false">IF(AV1422="",0,MAX(0,MIN(1,(IF(CC1422="L1",Parameter!$H$5,IF(CC1422="L23",Parameter!$H$6+Parameter!$H$7,Parameter!$H$5+Parameter!$H$6+Parameter!$H$7))-(AV1422-AR1422))/AR1422)))</f>
        <v>1</v>
      </c>
      <c r="AX1422" s="50" t="n">
        <f aca="false">IF(LEFT(Cockpit!$O$5,1)="A",H1422,IF(CE1422=1,CF1422,IF(LEFT(Cockpit!$O$5,1)="B",BC1422,MAX(BC1422,H1422))))</f>
        <v>8</v>
      </c>
      <c r="AY1422" s="50" t="n">
        <f aca="false">IF(BW1422=1,0,ROUNDUP(AX1422/BV1422,0))</f>
        <v>1</v>
      </c>
      <c r="AZ1422" s="52" t="n">
        <f aca="false">IF(CL1422&gt;0,CL1422*MAX(1,AX1422/X1422),IF(BW1422=1,IF(AX1422&lt;=0,0,CA1422*MAX(1,IF(H1422&gt;0,AX1422/H1422,1))),IF(R1422&gt;0,AY1422/R1422,0))/MAX(0.1,N(Parameter!$M$21)))</f>
        <v>0.0833333333333333</v>
      </c>
      <c r="BA1422" s="50" t="n">
        <f aca="false">AZ1422*BY1422</f>
        <v>20.4166666666667</v>
      </c>
      <c r="BB1422" s="50" t="n">
        <f aca="false">AX1422*G1422</f>
        <v>5372.24</v>
      </c>
      <c r="BC1422" s="50" t="n">
        <f aca="false">ROUNDUP(MAX(J1422/IF(CD1422&gt;0,CD1422,MAX(0.1,N(Cockpit!$O$6))),CG1422)/BV1422,0)*BV1422</f>
        <v>8</v>
      </c>
      <c r="BD1422" s="51" t="n">
        <f aca="false">IF(BA1422&gt;0,J1422/BA1422,-1)</f>
        <v>0.195918367346939</v>
      </c>
      <c r="BE1422" s="51" t="n">
        <f aca="false">IF(AND(OR(CC1422="L1",CC1422="L23",CC1422="LIFT"),BA1422&gt;0),SUMIFS($BA$7:$BA$1843,$CC$7:$CC$1843,CC1422,$BD$7:$BD$1843,"&gt;"&amp;BD1422)+SUMIFS($BA$7:$BA$1843,$CC$7:$CC$1843,CC1422,$BD$7:$BD$1843,BD1422,$BT$7:$BT$1843,"&lt;="&amp;BT1422),"")</f>
        <v>17129.9587912088</v>
      </c>
      <c r="BF1422" s="58" t="n">
        <f aca="false">IF(BE1422="",0,MAX(0,MIN(1,(IF(CC1422="L1",Parameter!$H$5,IF(CC1422="L23",Parameter!$H$6+Parameter!$H$7,Parameter!$H$5+Parameter!$H$6+Parameter!$H$7))-(BE1422-BA1422))/BA1422)))</f>
        <v>1</v>
      </c>
      <c r="BG1422" s="48" t="str">
        <f aca="false">IF(AI1422&lt;=0,"",IF(CC1422="Aussen","Aussenlager",IF(CC1422="-","Nicht im Lift",IF(AN1422&gt;=1,"Lift",IF(AN1422&lt;=0,"Aussenlager","teilweise")))))</f>
        <v>Lift</v>
      </c>
      <c r="BH1422" s="48" t="str">
        <f aca="false">IF(AR1422&lt;=0,"",IF(CC1422="Aussen","Aussenlager",IF(CC1422="-","Nicht im Lift",IF(AW1422&gt;=1,"Lift",IF(AW1422&lt;=0,"Aussenlager","teilweise")))))</f>
        <v>Lift</v>
      </c>
      <c r="BI1422" s="48" t="str">
        <f aca="false">IF(BA1422&lt;=0,"",IF(CC1422="Aussen","Aussenlager",IF(CC1422="-","Nicht im Lift",IF(BF1422&gt;=1,"Lift",IF(BF1422&lt;=0,"Aussenlager","teilweise")))))</f>
        <v>Lift</v>
      </c>
      <c r="BJ1422" s="48" t="str">
        <f aca="false">IF(A1422="","",IF(BS1422=1,"Neu; ","")&amp;IF(AND(BS1422=0,BN1422&lt;0),"negativer Bestand (Export "&amp;BN1422&amp;"); ","")&amp;IF(J1422&lt;=0,"Kein Verbrauch; ","")&amp;IF(CL1422&gt;0,"Lift "&amp;W1422&amp;" lt. Liftbericht (Fach "&amp;X1422&amp;" Stk); ",IF(BX1422=1,"Gebinde geschätzt ("&amp;T1422&amp;"); ",IF(BW1422=1,"Lose – Tablare geschätzt; ","")))&amp;IF(H1422&gt;AT1422,"Überbestand "&amp;ROUND(H1422-AT1422,0)&amp;" Stk / CHF "&amp;ROUND((H1422-AT1422)*G1422,0)&amp;"; ","")&amp;IF(AND(CE1422=1,CF1422&lt;CG1422),"MAX &lt; MB+LG; ","")&amp;IF(AND(CK1422&gt;0,CJ1422*10&gt;CK1422),"zu hoch für Tablar; ","")&amp;IF(AND(BS1422=0,OR(CE1422=1,AA1422&lt;&gt;"",U1422&lt;&gt;"",V1422&lt;&gt;"",AB1422&lt;&gt;"")),"manuell übersteuert; ","")&amp;IF(AND(BW1422=0,R1422=0),"Gebinde unbekannt / Stellmass fehlt; ","")&amp;IF(AND(BW1422=0,N(V1422)&lt;=0,N(Q1422)&lt;=0),"Menge pro Gebinde fehlt (Ist = 1 Gebinde); ","")&amp;BR1422)</f>
        <v>negativer Bestand (Export -9); </v>
      </c>
      <c r="BK1422" s="48"/>
      <c r="BL1422" s="48"/>
      <c r="BM1422" s="55"/>
      <c r="BN1422" s="50" t="n">
        <v>-9</v>
      </c>
      <c r="BO1422" s="50" t="n">
        <v>16</v>
      </c>
      <c r="BP1422" s="49" t="n">
        <v>-6043.77</v>
      </c>
      <c r="BQ1422" s="50" t="n">
        <v>4</v>
      </c>
      <c r="BR1422" s="48"/>
      <c r="BS1422" s="53" t="n">
        <v>0</v>
      </c>
      <c r="BT1422" s="53" t="n">
        <v>1422</v>
      </c>
      <c r="BU1422" s="48" t="str">
        <f aca="false">IF(U1422&lt;&gt;"",UPPER(TRIM(U1422)),IF(BX1422=1,UPPER(VLOOKUP(T1422,Parameter!$I$27:$K$29,2,0)),IF(P1422="","LOSE",P1422)))</f>
        <v>S62</v>
      </c>
      <c r="BV1422" s="50" t="n">
        <f aca="false">IF(BU1422="LOSE",1,IF(N(V1422)&gt;0,V1422,IF(BX1422=1,MAX(1,N(VLOOKUP(T1422,Parameter!$I$27:$K$29,3,0)),H1422,N(N1422)),IF(N(Q1422)&gt;0,Q1422,MAX(1,H1422)))))</f>
        <v>8</v>
      </c>
      <c r="BW1422" s="53" t="n">
        <f aca="false">IF(BU1422="LOSE",1,0)</f>
        <v>0</v>
      </c>
      <c r="BX1422" s="53" t="n">
        <f aca="false">IF(AND(U1422="",OR(P1422="",P1422="LOSE"),T1422&lt;&gt;"",N(S1422)&lt;=0,ISNUMBER(MATCH(T1422,Parameter!$I$27:$I$29,0))),1,0)</f>
        <v>0</v>
      </c>
      <c r="BY1422" s="53" t="n">
        <f aca="false">IF(CL1422&gt;0,INDEX(Parameter!$H$5:$H$7,W1422)/INDEX(Parameter!$E$5:$E$7,W1422),IF(AND(BW1422=0,N(IFERROR(VLOOKUP(BU1422,'Gebinde-Kategorie'!$A$5:$N$45,14,0),0))&gt;0),VLOOKUP(BU1422,'Gebinde-Kategorie'!$A$5:$N$45,14,0)*10+Parameter!$M$23,Parameter!$M$24))</f>
        <v>245</v>
      </c>
      <c r="BZ1422" s="48" t="str">
        <f aca="false">IF(AND(Parameter!$B$19="Ja",E1422&lt;&gt;"",ISNUMBER(MATCH(E1422,Parameter!$I$35:$I$52,0))),VLOOKUP(E1422,Parameter!$I$35:$J$52,2,0),IFERROR(VLOOKUP(D1422,Parameter!$A$35:$C$64,2,0),"Nein"))</f>
        <v>2+3</v>
      </c>
      <c r="CA1422" s="52" t="n">
        <f aca="false">IF(BW1422=0,0,IF(N(S1422)&gt;0,S1422,IFERROR(VLOOKUP(D1422,Parameter!$A$35:$C$64,3,0)+0,0)))</f>
        <v>0</v>
      </c>
      <c r="CB1422" s="48" t="n">
        <f aca="false">IF(AA1422&lt;&gt;"",AA1422,Z1422)</f>
        <v>2</v>
      </c>
      <c r="CC1422" s="48" t="str">
        <f aca="false">IF(OR(CB1422=1,CB1422=2,CB1422=3),IF(Parameter!$E$27="Ja","LIFT",IF(CB1422=1,"L1","L23")),IF(CB1422="Aussen","Aussen","-"))</f>
        <v>LIFT</v>
      </c>
      <c r="CD1422" s="59" t="n">
        <f aca="false">IF(N(AB1422)&gt;0,AB1422,0)</f>
        <v>0</v>
      </c>
      <c r="CE1422" s="53" t="n">
        <f aca="false">IF(ISNUMBER(AE1422),1,0)</f>
        <v>0</v>
      </c>
      <c r="CF1422" s="50" t="n">
        <f aca="false">N(AE1422)</f>
        <v>0</v>
      </c>
      <c r="CG1422" s="50" t="n">
        <f aca="false">N(M1422)+N(N1422)</f>
        <v>5</v>
      </c>
      <c r="CH1422" s="50" t="n">
        <f aca="false">ROUNDUP(H1422/BV1422,0)</f>
        <v>1</v>
      </c>
      <c r="CI1422" s="50" t="n">
        <f aca="false">ROUNDUP(CF1422/BV1422,0)</f>
        <v>0</v>
      </c>
      <c r="CJ1422" s="53" t="n">
        <f aca="false">IF(BW1422=1,0,IFERROR(VLOOKUP(BU1422,'Gebinde-Kategorie'!$A$5:$N$45,5,0)+0,0))</f>
        <v>21</v>
      </c>
      <c r="CK1422" s="53" t="n">
        <f aca="false">IFERROR(IF(OR(CB1422=1,CB1422=2,CB1422=3),N(INDEX(Parameter!$I$5:$I$7,CB1422)),0),0)</f>
        <v>0</v>
      </c>
      <c r="CL1422" s="52" t="n">
        <f aca="false">IF(AND(Parameter!$B$21="Ja",ISNUMBER(W1422),N(X1422)&gt;0),IFERROR(N(INDEX(Parameter!$L$5:$L$7,W1422))*INDEX(Parameter!$E$5:$E$7,W1422)*X1422/SUMIFS($X$7:$X$1843,$W$7:$W$1843,W1422),0),0)</f>
        <v>0</v>
      </c>
    </row>
    <row r="1423" customFormat="false" ht="15" hidden="false" customHeight="false" outlineLevel="0" collapsed="false">
      <c r="A1423" s="48" t="s">
        <v>2501</v>
      </c>
      <c r="B1423" s="48" t="s">
        <v>257</v>
      </c>
      <c r="C1423" s="48" t="s">
        <v>168</v>
      </c>
      <c r="D1423" s="48" t="s">
        <v>177</v>
      </c>
      <c r="E1423" s="48" t="s">
        <v>170</v>
      </c>
      <c r="F1423" s="48" t="s">
        <v>222</v>
      </c>
      <c r="G1423" s="49" t="n">
        <v>1464.77</v>
      </c>
      <c r="H1423" s="50" t="n">
        <f aca="false">MAX(0,IF(AND(Parameter!$B$21="Ja",ISNUMBER(Y1423)),Y1423,IF(Parameter!$B$20="Jahresanfang 2025 + Export",BO1423+BN1423,BN1423)))</f>
        <v>7</v>
      </c>
      <c r="I1423" s="50" t="n">
        <f aca="false">H1423*G1423</f>
        <v>10253.39</v>
      </c>
      <c r="J1423" s="50" t="n">
        <f aca="false">BQ1423*Parameter!$B$18</f>
        <v>16</v>
      </c>
      <c r="K1423" s="51" t="n">
        <v>8</v>
      </c>
      <c r="L1423" s="52" t="n">
        <v>2</v>
      </c>
      <c r="M1423" s="50" t="n">
        <v>3</v>
      </c>
      <c r="N1423" s="50" t="n">
        <v>5</v>
      </c>
      <c r="O1423" s="53" t="n">
        <v>70</v>
      </c>
      <c r="P1423" s="48" t="s">
        <v>172</v>
      </c>
      <c r="Q1423" s="50"/>
      <c r="R1423" s="53" t="n">
        <f aca="false">IF(BW1423=1,0,IFERROR(VLOOKUP(BU1423,'Gebinde-Kategorie'!$A$5:$N$45,13,0)+0,0))</f>
        <v>0</v>
      </c>
      <c r="S1423" s="54"/>
      <c r="T1423" s="55"/>
      <c r="U1423" s="55"/>
      <c r="V1423" s="55"/>
      <c r="W1423" s="48" t="n">
        <v>1</v>
      </c>
      <c r="X1423" s="50" t="n">
        <v>10</v>
      </c>
      <c r="Y1423" s="50" t="n">
        <v>7</v>
      </c>
      <c r="Z1423" s="48" t="n">
        <f aca="false">IF(A1423="","",IF(AND(Parameter!$B$21="Ja",ISNUMBER(W1423)),W1423,IF(BZ1423="2+3",IF(ISNUMBER(SEARCH("grosser Artikel",BR1423)),2,IFERROR(VLOOKUP(BU1423,Parameter!$F$35:$G$64,2,0),2)),IF(OR(BZ1423="Nein",BZ1423=""),"-",BZ1423))))</f>
        <v>1</v>
      </c>
      <c r="AA1423" s="55"/>
      <c r="AB1423" s="56"/>
      <c r="AC1423" s="50" t="n">
        <f aca="false">AT1423</f>
        <v>8</v>
      </c>
      <c r="AD1423" s="50" t="n">
        <f aca="false">MAX(AT1423,H1423)</f>
        <v>8</v>
      </c>
      <c r="AE1423" s="57"/>
      <c r="AF1423" s="50" t="n">
        <f aca="false">IF(LEFT(Cockpit!$C$5,1)="A",H1423,IF(CE1423=1,CF1423,IF(LEFT(Cockpit!$C$5,1)="B",AK1423,MAX(AK1423,H1423))))</f>
        <v>7</v>
      </c>
      <c r="AG1423" s="50" t="n">
        <f aca="false">IF(BW1423=1,0,ROUNDUP(AF1423/BV1423,0))</f>
        <v>0</v>
      </c>
      <c r="AH1423" s="52" t="n">
        <f aca="false">IF(CL1423&gt;0,CL1423*MAX(1,AF1423/X1423),IF(BW1423=1,IF(AF1423&lt;=0,0,CA1423*MAX(1,IF(H1423&gt;0,AF1423/H1423,1))),IF(R1423&gt;0,AG1423/R1423,0))/MAX(0.1,N(Parameter!$M$21)))</f>
        <v>0.800376647834275</v>
      </c>
      <c r="AI1423" s="50" t="n">
        <f aca="false">AH1423*BY1423</f>
        <v>190.489642184557</v>
      </c>
      <c r="AJ1423" s="50" t="n">
        <f aca="false">AF1423*G1423</f>
        <v>10253.39</v>
      </c>
      <c r="AK1423" s="50" t="n">
        <f aca="false">ROUNDUP(MAX(J1423/IF(CD1423&gt;0,CD1423,MAX(0.1,N(Cockpit!$C$6))),CG1423)/BV1423,0)*BV1423</f>
        <v>8</v>
      </c>
      <c r="AL1423" s="51" t="n">
        <f aca="false">IF(AI1423&gt;0,J1423/AI1423,-1)</f>
        <v>0.0839940682155215</v>
      </c>
      <c r="AM1423" s="51" t="n">
        <f aca="false">IF(AND(OR(CC1423="L1",CC1423="L23",CC1423="LIFT"),AI1423&gt;0),SUMIFS($AI$7:$AI$1843,$CC$7:$CC$1843,CC1423,$AL$7:$AL$1843,"&gt;"&amp;AL1423)+SUMIFS($AI$7:$AI$1843,$CC$7:$CC$1843,CC1423,$AL$7:$AL$1843,AL1423,$BT$7:$BT$1843,"&lt;="&amp;BT1423),"")</f>
        <v>16638.4471425467</v>
      </c>
      <c r="AN1423" s="58" t="n">
        <f aca="false">IF(AM1423="",0,MAX(0,MIN(1,(IF(CC1423="L1",Parameter!$H$5,IF(CC1423="L23",Parameter!$H$6+Parameter!$H$7,Parameter!$H$5+Parameter!$H$6+Parameter!$H$7))-(AM1423-AI1423))/AI1423)))</f>
        <v>1</v>
      </c>
      <c r="AO1423" s="50" t="n">
        <f aca="false">IF(LEFT(Cockpit!$I$5,1)="A",H1423,IF(CE1423=1,CF1423,IF(LEFT(Cockpit!$I$5,1)="B",AT1423,MAX(AT1423,H1423))))</f>
        <v>8</v>
      </c>
      <c r="AP1423" s="50" t="n">
        <f aca="false">IF(BW1423=1,0,ROUNDUP(AO1423/BV1423,0))</f>
        <v>0</v>
      </c>
      <c r="AQ1423" s="52" t="n">
        <f aca="false">IF(CL1423&gt;0,CL1423*MAX(1,AO1423/X1423),IF(BW1423=1,IF(AO1423&lt;=0,0,CA1423*MAX(1,IF(H1423&gt;0,AO1423/H1423,1))),IF(R1423&gt;0,AP1423/R1423,0))/MAX(0.1,N(Parameter!$M$21)))</f>
        <v>0.800376647834275</v>
      </c>
      <c r="AR1423" s="50" t="n">
        <f aca="false">AQ1423*BY1423</f>
        <v>190.489642184557</v>
      </c>
      <c r="AS1423" s="50" t="n">
        <f aca="false">AO1423*G1423</f>
        <v>11718.16</v>
      </c>
      <c r="AT1423" s="50" t="n">
        <f aca="false">ROUNDUP(MAX(J1423/IF(CD1423&gt;0,CD1423,MAX(0.1,N(Cockpit!$I$6))),CG1423)/BV1423,0)*BV1423</f>
        <v>8</v>
      </c>
      <c r="AU1423" s="51" t="n">
        <f aca="false">IF(AR1423&gt;0,J1423/AR1423,-1)</f>
        <v>0.0839940682155215</v>
      </c>
      <c r="AV1423" s="51" t="n">
        <f aca="false">IF(AND(OR(CC1423="L1",CC1423="L23",CC1423="LIFT"),AR1423&gt;0),SUMIFS($AR$7:$AR$1843,$CC$7:$CC$1843,CC1423,$AU$7:$AU$1843,"&gt;"&amp;AU1423)+SUMIFS($AR$7:$AR$1843,$CC$7:$CC$1843,CC1423,$AU$7:$AU$1843,AU1423,$BT$7:$BT$1843,"&lt;="&amp;BT1423),"")</f>
        <v>25110.4275185737</v>
      </c>
      <c r="AW1423" s="58" t="n">
        <f aca="false">IF(AV1423="",0,MAX(0,MIN(1,(IF(CC1423="L1",Parameter!$H$5,IF(CC1423="L23",Parameter!$H$6+Parameter!$H$7,Parameter!$H$5+Parameter!$H$6+Parameter!$H$7))-(AV1423-AR1423))/AR1423)))</f>
        <v>1</v>
      </c>
      <c r="AX1423" s="50" t="n">
        <f aca="false">IF(LEFT(Cockpit!$O$5,1)="A",H1423,IF(CE1423=1,CF1423,IF(LEFT(Cockpit!$O$5,1)="B",BC1423,MAX(BC1423,H1423))))</f>
        <v>8</v>
      </c>
      <c r="AY1423" s="50" t="n">
        <f aca="false">IF(BW1423=1,0,ROUNDUP(AX1423/BV1423,0))</f>
        <v>0</v>
      </c>
      <c r="AZ1423" s="52" t="n">
        <f aca="false">IF(CL1423&gt;0,CL1423*MAX(1,AX1423/X1423),IF(BW1423=1,IF(AX1423&lt;=0,0,CA1423*MAX(1,IF(H1423&gt;0,AX1423/H1423,1))),IF(R1423&gt;0,AY1423/R1423,0))/MAX(0.1,N(Parameter!$M$21)))</f>
        <v>0.800376647834275</v>
      </c>
      <c r="BA1423" s="50" t="n">
        <f aca="false">AZ1423*BY1423</f>
        <v>190.489642184557</v>
      </c>
      <c r="BB1423" s="50" t="n">
        <f aca="false">AX1423*G1423</f>
        <v>11718.16</v>
      </c>
      <c r="BC1423" s="50" t="n">
        <f aca="false">ROUNDUP(MAX(J1423/IF(CD1423&gt;0,CD1423,MAX(0.1,N(Cockpit!$O$6))),CG1423)/BV1423,0)*BV1423</f>
        <v>8</v>
      </c>
      <c r="BD1423" s="51" t="n">
        <f aca="false">IF(BA1423&gt;0,J1423/BA1423,-1)</f>
        <v>0.0839940682155215</v>
      </c>
      <c r="BE1423" s="51" t="n">
        <f aca="false">IF(AND(OR(CC1423="L1",CC1423="L23",CC1423="LIFT"),BA1423&gt;0),SUMIFS($BA$7:$BA$1843,$CC$7:$CC$1843,CC1423,$BD$7:$BD$1843,"&gt;"&amp;BD1423)+SUMIFS($BA$7:$BA$1843,$CC$7:$CC$1843,CC1423,$BD$7:$BD$1843,BD1423,$BT$7:$BT$1843,"&lt;="&amp;BT1423),"")</f>
        <v>23312.9395604396</v>
      </c>
      <c r="BF1423" s="58" t="n">
        <f aca="false">IF(BE1423="",0,MAX(0,MIN(1,(IF(CC1423="L1",Parameter!$H$5,IF(CC1423="L23",Parameter!$H$6+Parameter!$H$7,Parameter!$H$5+Parameter!$H$6+Parameter!$H$7))-(BE1423-BA1423))/BA1423)))</f>
        <v>1</v>
      </c>
      <c r="BG1423" s="48" t="str">
        <f aca="false">IF(AI1423&lt;=0,"",IF(CC1423="Aussen","Aussenlager",IF(CC1423="-","Nicht im Lift",IF(AN1423&gt;=1,"Lift",IF(AN1423&lt;=0,"Aussenlager","teilweise")))))</f>
        <v>Lift</v>
      </c>
      <c r="BH1423" s="48" t="str">
        <f aca="false">IF(AR1423&lt;=0,"",IF(CC1423="Aussen","Aussenlager",IF(CC1423="-","Nicht im Lift",IF(AW1423&gt;=1,"Lift",IF(AW1423&lt;=0,"Aussenlager","teilweise")))))</f>
        <v>Lift</v>
      </c>
      <c r="BI1423" s="48" t="str">
        <f aca="false">IF(BA1423&lt;=0,"",IF(CC1423="Aussen","Aussenlager",IF(CC1423="-","Nicht im Lift",IF(BF1423&gt;=1,"Lift",IF(BF1423&lt;=0,"Aussenlager","teilweise")))))</f>
        <v>Lift</v>
      </c>
      <c r="BJ1423" s="48" t="str">
        <f aca="false">IF(A1423="","",IF(BS1423=1,"Neu; ","")&amp;IF(AND(BS1423=0,BN1423&lt;0),"negativer Bestand (Export "&amp;BN1423&amp;"); ","")&amp;IF(J1423&lt;=0,"Kein Verbrauch; ","")&amp;IF(CL1423&gt;0,"Lift "&amp;W1423&amp;" lt. Liftbericht (Fach "&amp;X1423&amp;" Stk); ",IF(BX1423=1,"Gebinde geschätzt ("&amp;T1423&amp;"); ",IF(BW1423=1,"Lose – Tablare geschätzt; ","")))&amp;IF(H1423&gt;AT1423,"Überbestand "&amp;ROUND(H1423-AT1423,0)&amp;" Stk / CHF "&amp;ROUND((H1423-AT1423)*G1423,0)&amp;"; ","")&amp;IF(AND(CE1423=1,CF1423&lt;CG1423),"MAX &lt; MB+LG; ","")&amp;IF(AND(CK1423&gt;0,CJ1423*10&gt;CK1423),"zu hoch für Tablar; ","")&amp;IF(AND(BS1423=0,OR(CE1423=1,AA1423&lt;&gt;"",U1423&lt;&gt;"",V1423&lt;&gt;"",AB1423&lt;&gt;"")),"manuell übersteuert; ","")&amp;IF(AND(BW1423=0,R1423=0),"Gebinde unbekannt / Stellmass fehlt; ","")&amp;IF(AND(BW1423=0,N(V1423)&lt;=0,N(Q1423)&lt;=0),"Menge pro Gebinde fehlt (Ist = 1 Gebinde); ","")&amp;BR1423)</f>
        <v>negativer Bestand (Export -5); Lift 1 lt. Liftbericht (Fach 10 Stk); </v>
      </c>
      <c r="BK1423" s="48"/>
      <c r="BL1423" s="48"/>
      <c r="BM1423" s="55"/>
      <c r="BN1423" s="50" t="n">
        <v>-5</v>
      </c>
      <c r="BO1423" s="50" t="n">
        <v>12</v>
      </c>
      <c r="BP1423" s="49" t="n">
        <v>-6065.88999999999</v>
      </c>
      <c r="BQ1423" s="50" t="n">
        <v>16</v>
      </c>
      <c r="BR1423" s="48"/>
      <c r="BS1423" s="53" t="n">
        <v>0</v>
      </c>
      <c r="BT1423" s="53" t="n">
        <v>1423</v>
      </c>
      <c r="BU1423" s="48" t="str">
        <f aca="false">IF(U1423&lt;&gt;"",UPPER(TRIM(U1423)),IF(BX1423=1,UPPER(VLOOKUP(T1423,Parameter!$I$27:$K$29,2,0)),IF(P1423="","LOSE",P1423)))</f>
        <v>LOSE</v>
      </c>
      <c r="BV1423" s="50" t="n">
        <f aca="false">IF(BU1423="LOSE",1,IF(N(V1423)&gt;0,V1423,IF(BX1423=1,MAX(1,N(VLOOKUP(T1423,Parameter!$I$27:$K$29,3,0)),H1423,N(N1423)),IF(N(Q1423)&gt;0,Q1423,MAX(1,H1423)))))</f>
        <v>1</v>
      </c>
      <c r="BW1423" s="53" t="n">
        <f aca="false">IF(BU1423="LOSE",1,0)</f>
        <v>1</v>
      </c>
      <c r="BX1423" s="53" t="n">
        <f aca="false">IF(AND(U1423="",OR(P1423="",P1423="LOSE"),T1423&lt;&gt;"",N(S1423)&lt;=0,ISNUMBER(MATCH(T1423,Parameter!$I$27:$I$29,0))),1,0)</f>
        <v>0</v>
      </c>
      <c r="BY1423" s="53" t="n">
        <f aca="false">IF(CL1423&gt;0,INDEX(Parameter!$H$5:$H$7,W1423)/INDEX(Parameter!$E$5:$E$7,W1423),IF(AND(BW1423=0,N(IFERROR(VLOOKUP(BU1423,'Gebinde-Kategorie'!$A$5:$N$45,14,0),0))&gt;0),VLOOKUP(BU1423,'Gebinde-Kategorie'!$A$5:$N$45,14,0)*10+Parameter!$M$23,Parameter!$M$24))</f>
        <v>238</v>
      </c>
      <c r="BZ1423" s="48" t="n">
        <f aca="false">IF(AND(Parameter!$B$19="Ja",E1423&lt;&gt;"",ISNUMBER(MATCH(E1423,Parameter!$I$35:$I$52,0))),VLOOKUP(E1423,Parameter!$I$35:$J$52,2,0),IFERROR(VLOOKUP(D1423,Parameter!$A$35:$C$64,2,0),"Nein"))</f>
        <v>1</v>
      </c>
      <c r="CA1423" s="52" t="n">
        <f aca="false">IF(BW1423=0,0,IF(N(S1423)&gt;0,S1423,IFERROR(VLOOKUP(D1423,Parameter!$A$35:$C$64,3,0)+0,0)))</f>
        <v>0.15</v>
      </c>
      <c r="CB1423" s="48" t="n">
        <f aca="false">IF(AA1423&lt;&gt;"",AA1423,Z1423)</f>
        <v>1</v>
      </c>
      <c r="CC1423" s="48" t="str">
        <f aca="false">IF(OR(CB1423=1,CB1423=2,CB1423=3),IF(Parameter!$E$27="Ja","LIFT",IF(CB1423=1,"L1","L23")),IF(CB1423="Aussen","Aussen","-"))</f>
        <v>LIFT</v>
      </c>
      <c r="CD1423" s="59" t="n">
        <f aca="false">IF(N(AB1423)&gt;0,AB1423,0)</f>
        <v>0</v>
      </c>
      <c r="CE1423" s="53" t="n">
        <f aca="false">IF(ISNUMBER(AE1423),1,0)</f>
        <v>0</v>
      </c>
      <c r="CF1423" s="50" t="n">
        <f aca="false">N(AE1423)</f>
        <v>0</v>
      </c>
      <c r="CG1423" s="50" t="n">
        <f aca="false">N(M1423)+N(N1423)</f>
        <v>8</v>
      </c>
      <c r="CH1423" s="50" t="n">
        <f aca="false">ROUNDUP(H1423/BV1423,0)</f>
        <v>7</v>
      </c>
      <c r="CI1423" s="50" t="n">
        <f aca="false">ROUNDUP(CF1423/BV1423,0)</f>
        <v>0</v>
      </c>
      <c r="CJ1423" s="53" t="n">
        <f aca="false">IF(BW1423=1,0,IFERROR(VLOOKUP(BU1423,'Gebinde-Kategorie'!$A$5:$N$45,5,0)+0,0))</f>
        <v>0</v>
      </c>
      <c r="CK1423" s="53" t="n">
        <f aca="false">IFERROR(IF(OR(CB1423=1,CB1423=2,CB1423=3),N(INDEX(Parameter!$I$5:$I$7,CB1423)),0),0)</f>
        <v>0</v>
      </c>
      <c r="CL1423" s="52" t="n">
        <f aca="false">IF(AND(Parameter!$B$21="Ja",ISNUMBER(W1423),N(X1423)&gt;0),IFERROR(N(INDEX(Parameter!$L$5:$L$7,W1423))*INDEX(Parameter!$E$5:$E$7,W1423)*X1423/SUMIFS($X$7:$X$1843,$W$7:$W$1843,W1423),0),0)</f>
        <v>0.800376647834275</v>
      </c>
    </row>
    <row r="1424" customFormat="false" ht="15" hidden="false" customHeight="false" outlineLevel="0" collapsed="false">
      <c r="A1424" s="48" t="s">
        <v>2502</v>
      </c>
      <c r="B1424" s="48" t="s">
        <v>2503</v>
      </c>
      <c r="C1424" s="48" t="s">
        <v>168</v>
      </c>
      <c r="D1424" s="48" t="s">
        <v>169</v>
      </c>
      <c r="E1424" s="48"/>
      <c r="F1424" s="48" t="s">
        <v>222</v>
      </c>
      <c r="G1424" s="49" t="n">
        <v>2751.82</v>
      </c>
      <c r="H1424" s="50" t="n">
        <f aca="false">MAX(0,IF(AND(Parameter!$B$21="Ja",ISNUMBER(Y1424)),Y1424,IF(Parameter!$B$20="Jahresanfang 2025 + Export",BO1424+BN1424,BN1424)))</f>
        <v>0</v>
      </c>
      <c r="I1424" s="50" t="n">
        <f aca="false">H1424*G1424</f>
        <v>0</v>
      </c>
      <c r="J1424" s="50" t="n">
        <f aca="false">BQ1424*Parameter!$B$18</f>
        <v>19</v>
      </c>
      <c r="K1424" s="51" t="n">
        <v>9.5</v>
      </c>
      <c r="L1424" s="52" t="n">
        <v>2</v>
      </c>
      <c r="M1424" s="50" t="n">
        <v>5</v>
      </c>
      <c r="N1424" s="50" t="n">
        <v>5</v>
      </c>
      <c r="O1424" s="53" t="n">
        <v>74</v>
      </c>
      <c r="P1424" s="48" t="s">
        <v>172</v>
      </c>
      <c r="Q1424" s="50"/>
      <c r="R1424" s="53" t="n">
        <f aca="false">IF(BW1424=1,0,IFERROR(VLOOKUP(BU1424,'Gebinde-Kategorie'!$A$5:$N$45,13,0)+0,0))</f>
        <v>0</v>
      </c>
      <c r="S1424" s="54"/>
      <c r="T1424" s="55"/>
      <c r="U1424" s="55"/>
      <c r="V1424" s="55"/>
      <c r="W1424" s="48" t="n">
        <v>1</v>
      </c>
      <c r="X1424" s="50" t="n">
        <v>11</v>
      </c>
      <c r="Y1424" s="50" t="n">
        <v>0</v>
      </c>
      <c r="Z1424" s="48" t="n">
        <f aca="false">IF(A1424="","",IF(AND(Parameter!$B$21="Ja",ISNUMBER(W1424)),W1424,IF(BZ1424="2+3",IF(ISNUMBER(SEARCH("grosser Artikel",BR1424)),2,IFERROR(VLOOKUP(BU1424,Parameter!$F$35:$G$64,2,0),2)),IF(OR(BZ1424="Nein",BZ1424=""),"-",BZ1424))))</f>
        <v>1</v>
      </c>
      <c r="AA1424" s="55"/>
      <c r="AB1424" s="56"/>
      <c r="AC1424" s="50" t="n">
        <f aca="false">AT1424</f>
        <v>10</v>
      </c>
      <c r="AD1424" s="50" t="n">
        <f aca="false">MAX(AT1424,H1424)</f>
        <v>10</v>
      </c>
      <c r="AE1424" s="57"/>
      <c r="AF1424" s="50" t="n">
        <f aca="false">IF(LEFT(Cockpit!$C$5,1)="A",H1424,IF(CE1424=1,CF1424,IF(LEFT(Cockpit!$C$5,1)="B",AK1424,MAX(AK1424,H1424))))</f>
        <v>0</v>
      </c>
      <c r="AG1424" s="50" t="n">
        <f aca="false">IF(BW1424=1,0,ROUNDUP(AF1424/BV1424,0))</f>
        <v>0</v>
      </c>
      <c r="AH1424" s="52" t="n">
        <f aca="false">IF(CL1424&gt;0,CL1424*MAX(1,AF1424/X1424),IF(BW1424=1,IF(AF1424&lt;=0,0,CA1424*MAX(1,IF(H1424&gt;0,AF1424/H1424,1))),IF(R1424&gt;0,AG1424/R1424,0))/MAX(0.1,N(Parameter!$M$21)))</f>
        <v>0.880414312617702</v>
      </c>
      <c r="AI1424" s="50" t="n">
        <f aca="false">AH1424*BY1424</f>
        <v>209.538606403013</v>
      </c>
      <c r="AJ1424" s="50" t="n">
        <f aca="false">AF1424*G1424</f>
        <v>0</v>
      </c>
      <c r="AK1424" s="50" t="n">
        <f aca="false">ROUNDUP(MAX(J1424/IF(CD1424&gt;0,CD1424,MAX(0.1,N(Cockpit!$C$6))),CG1424)/BV1424,0)*BV1424</f>
        <v>10</v>
      </c>
      <c r="AL1424" s="51" t="n">
        <f aca="false">IF(AI1424&gt;0,J1424/AI1424,-1)</f>
        <v>0.0906754145508471</v>
      </c>
      <c r="AM1424" s="51" t="n">
        <f aca="false">IF(AND(OR(CC1424="L1",CC1424="L23",CC1424="LIFT"),AI1424&gt;0),SUMIFS($AI$7:$AI$1843,$CC$7:$CC$1843,CC1424,$AL$7:$AL$1843,"&gt;"&amp;AL1424)+SUMIFS($AI$7:$AI$1843,$CC$7:$CC$1843,CC1424,$AL$7:$AL$1843,AL1424,$BT$7:$BT$1843,"&lt;="&amp;BT1424),"")</f>
        <v>16389.2075003622</v>
      </c>
      <c r="AN1424" s="58" t="n">
        <f aca="false">IF(AM1424="",0,MAX(0,MIN(1,(IF(CC1424="L1",Parameter!$H$5,IF(CC1424="L23",Parameter!$H$6+Parameter!$H$7,Parameter!$H$5+Parameter!$H$6+Parameter!$H$7))-(AM1424-AI1424))/AI1424)))</f>
        <v>1</v>
      </c>
      <c r="AO1424" s="50" t="n">
        <f aca="false">IF(LEFT(Cockpit!$I$5,1)="A",H1424,IF(CE1424=1,CF1424,IF(LEFT(Cockpit!$I$5,1)="B",AT1424,MAX(AT1424,H1424))))</f>
        <v>10</v>
      </c>
      <c r="AP1424" s="50" t="n">
        <f aca="false">IF(BW1424=1,0,ROUNDUP(AO1424/BV1424,0))</f>
        <v>0</v>
      </c>
      <c r="AQ1424" s="52" t="n">
        <f aca="false">IF(CL1424&gt;0,CL1424*MAX(1,AO1424/X1424),IF(BW1424=1,IF(AO1424&lt;=0,0,CA1424*MAX(1,IF(H1424&gt;0,AO1424/H1424,1))),IF(R1424&gt;0,AP1424/R1424,0))/MAX(0.1,N(Parameter!$M$21)))</f>
        <v>0.880414312617702</v>
      </c>
      <c r="AR1424" s="50" t="n">
        <f aca="false">AQ1424*BY1424</f>
        <v>209.538606403013</v>
      </c>
      <c r="AS1424" s="50" t="n">
        <f aca="false">AO1424*G1424</f>
        <v>27518.2</v>
      </c>
      <c r="AT1424" s="50" t="n">
        <f aca="false">ROUNDUP(MAX(J1424/IF(CD1424&gt;0,CD1424,MAX(0.1,N(Cockpit!$I$6))),CG1424)/BV1424,0)*BV1424</f>
        <v>10</v>
      </c>
      <c r="AU1424" s="51" t="n">
        <f aca="false">IF(AR1424&gt;0,J1424/AR1424,-1)</f>
        <v>0.0906754145508471</v>
      </c>
      <c r="AV1424" s="51" t="n">
        <f aca="false">IF(AND(OR(CC1424="L1",CC1424="L23",CC1424="LIFT"),AR1424&gt;0),SUMIFS($AR$7:$AR$1843,$CC$7:$CC$1843,CC1424,$AU$7:$AU$1843,"&gt;"&amp;AU1424)+SUMIFS($AR$7:$AR$1843,$CC$7:$CC$1843,CC1424,$AU$7:$AU$1843,AU1424,$BT$7:$BT$1843,"&lt;="&amp;BT1424),"")</f>
        <v>24567.4378763891</v>
      </c>
      <c r="AW1424" s="58" t="n">
        <f aca="false">IF(AV1424="",0,MAX(0,MIN(1,(IF(CC1424="L1",Parameter!$H$5,IF(CC1424="L23",Parameter!$H$6+Parameter!$H$7,Parameter!$H$5+Parameter!$H$6+Parameter!$H$7))-(AV1424-AR1424))/AR1424)))</f>
        <v>1</v>
      </c>
      <c r="AX1424" s="50" t="n">
        <f aca="false">IF(LEFT(Cockpit!$O$5,1)="A",H1424,IF(CE1424=1,CF1424,IF(LEFT(Cockpit!$O$5,1)="B",BC1424,MAX(BC1424,H1424))))</f>
        <v>10</v>
      </c>
      <c r="AY1424" s="50" t="n">
        <f aca="false">IF(BW1424=1,0,ROUNDUP(AX1424/BV1424,0))</f>
        <v>0</v>
      </c>
      <c r="AZ1424" s="52" t="n">
        <f aca="false">IF(CL1424&gt;0,CL1424*MAX(1,AX1424/X1424),IF(BW1424=1,IF(AX1424&lt;=0,0,CA1424*MAX(1,IF(H1424&gt;0,AX1424/H1424,1))),IF(R1424&gt;0,AY1424/R1424,0))/MAX(0.1,N(Parameter!$M$21)))</f>
        <v>0.880414312617702</v>
      </c>
      <c r="BA1424" s="50" t="n">
        <f aca="false">AZ1424*BY1424</f>
        <v>209.538606403013</v>
      </c>
      <c r="BB1424" s="50" t="n">
        <f aca="false">AX1424*G1424</f>
        <v>27518.2</v>
      </c>
      <c r="BC1424" s="50" t="n">
        <f aca="false">ROUNDUP(MAX(J1424/IF(CD1424&gt;0,CD1424,MAX(0.1,N(Cockpit!$O$6))),CG1424)/BV1424,0)*BV1424</f>
        <v>10</v>
      </c>
      <c r="BD1424" s="51" t="n">
        <f aca="false">IF(BA1424&gt;0,J1424/BA1424,-1)</f>
        <v>0.0906754145508471</v>
      </c>
      <c r="BE1424" s="51" t="n">
        <f aca="false">IF(AND(OR(CC1424="L1",CC1424="L23",CC1424="LIFT"),BA1424&gt;0),SUMIFS($BA$7:$BA$1843,$CC$7:$CC$1843,CC1424,$BD$7:$BD$1843,"&gt;"&amp;BD1424)+SUMIFS($BA$7:$BA$1843,$CC$7:$CC$1843,CC1424,$BD$7:$BD$1843,BD1424,$BT$7:$BT$1843,"&lt;="&amp;BT1424),"")</f>
        <v>23063.699918255</v>
      </c>
      <c r="BF1424" s="58" t="n">
        <f aca="false">IF(BE1424="",0,MAX(0,MIN(1,(IF(CC1424="L1",Parameter!$H$5,IF(CC1424="L23",Parameter!$H$6+Parameter!$H$7,Parameter!$H$5+Parameter!$H$6+Parameter!$H$7))-(BE1424-BA1424))/BA1424)))</f>
        <v>1</v>
      </c>
      <c r="BG1424" s="48" t="str">
        <f aca="false">IF(AI1424&lt;=0,"",IF(CC1424="Aussen","Aussenlager",IF(CC1424="-","Nicht im Lift",IF(AN1424&gt;=1,"Lift",IF(AN1424&lt;=0,"Aussenlager","teilweise")))))</f>
        <v>Lift</v>
      </c>
      <c r="BH1424" s="48" t="str">
        <f aca="false">IF(AR1424&lt;=0,"",IF(CC1424="Aussen","Aussenlager",IF(CC1424="-","Nicht im Lift",IF(AW1424&gt;=1,"Lift",IF(AW1424&lt;=0,"Aussenlager","teilweise")))))</f>
        <v>Lift</v>
      </c>
      <c r="BI1424" s="48" t="str">
        <f aca="false">IF(BA1424&lt;=0,"",IF(CC1424="Aussen","Aussenlager",IF(CC1424="-","Nicht im Lift",IF(BF1424&gt;=1,"Lift",IF(BF1424&lt;=0,"Aussenlager","teilweise")))))</f>
        <v>Lift</v>
      </c>
      <c r="BJ1424" s="48" t="str">
        <f aca="false">IF(A1424="","",IF(BS1424=1,"Neu; ","")&amp;IF(AND(BS1424=0,BN1424&lt;0),"negativer Bestand (Export "&amp;BN1424&amp;"); ","")&amp;IF(J1424&lt;=0,"Kein Verbrauch; ","")&amp;IF(CL1424&gt;0,"Lift "&amp;W1424&amp;" lt. Liftbericht (Fach "&amp;X1424&amp;" Stk); ",IF(BX1424=1,"Gebinde geschätzt ("&amp;T1424&amp;"); ",IF(BW1424=1,"Lose – Tablare geschätzt; ","")))&amp;IF(H1424&gt;AT1424,"Überbestand "&amp;ROUND(H1424-AT1424,0)&amp;" Stk / CHF "&amp;ROUND((H1424-AT1424)*G1424,0)&amp;"; ","")&amp;IF(AND(CE1424=1,CF1424&lt;CG1424),"MAX &lt; MB+LG; ","")&amp;IF(AND(CK1424&gt;0,CJ1424*10&gt;CK1424),"zu hoch für Tablar; ","")&amp;IF(AND(BS1424=0,OR(CE1424=1,AA1424&lt;&gt;"",U1424&lt;&gt;"",V1424&lt;&gt;"",AB1424&lt;&gt;"")),"manuell übersteuert; ","")&amp;IF(AND(BW1424=0,R1424=0),"Gebinde unbekannt / Stellmass fehlt; ","")&amp;IF(AND(BW1424=0,N(V1424)&lt;=0,N(Q1424)&lt;=0),"Menge pro Gebinde fehlt (Ist = 1 Gebinde); ","")&amp;BR1424)</f>
        <v>negativer Bestand (Export -4); Lift 1 lt. Liftbericht (Fach 11 Stk); </v>
      </c>
      <c r="BK1424" s="48"/>
      <c r="BL1424" s="48"/>
      <c r="BM1424" s="55"/>
      <c r="BN1424" s="50" t="n">
        <v>-4</v>
      </c>
      <c r="BO1424" s="50" t="n">
        <v>7</v>
      </c>
      <c r="BP1424" s="49" t="n">
        <v>-6384.13</v>
      </c>
      <c r="BQ1424" s="50" t="n">
        <v>19</v>
      </c>
      <c r="BR1424" s="48"/>
      <c r="BS1424" s="53" t="n">
        <v>0</v>
      </c>
      <c r="BT1424" s="53" t="n">
        <v>1424</v>
      </c>
      <c r="BU1424" s="48" t="str">
        <f aca="false">IF(U1424&lt;&gt;"",UPPER(TRIM(U1424)),IF(BX1424=1,UPPER(VLOOKUP(T1424,Parameter!$I$27:$K$29,2,0)),IF(P1424="","LOSE",P1424)))</f>
        <v>LOSE</v>
      </c>
      <c r="BV1424" s="50" t="n">
        <f aca="false">IF(BU1424="LOSE",1,IF(N(V1424)&gt;0,V1424,IF(BX1424=1,MAX(1,N(VLOOKUP(T1424,Parameter!$I$27:$K$29,3,0)),H1424,N(N1424)),IF(N(Q1424)&gt;0,Q1424,MAX(1,H1424)))))</f>
        <v>1</v>
      </c>
      <c r="BW1424" s="53" t="n">
        <f aca="false">IF(BU1424="LOSE",1,0)</f>
        <v>1</v>
      </c>
      <c r="BX1424" s="53" t="n">
        <f aca="false">IF(AND(U1424="",OR(P1424="",P1424="LOSE"),T1424&lt;&gt;"",N(S1424)&lt;=0,ISNUMBER(MATCH(T1424,Parameter!$I$27:$I$29,0))),1,0)</f>
        <v>0</v>
      </c>
      <c r="BY1424" s="53" t="n">
        <f aca="false">IF(CL1424&gt;0,INDEX(Parameter!$H$5:$H$7,W1424)/INDEX(Parameter!$E$5:$E$7,W1424),IF(AND(BW1424=0,N(IFERROR(VLOOKUP(BU1424,'Gebinde-Kategorie'!$A$5:$N$45,14,0),0))&gt;0),VLOOKUP(BU1424,'Gebinde-Kategorie'!$A$5:$N$45,14,0)*10+Parameter!$M$23,Parameter!$M$24))</f>
        <v>238</v>
      </c>
      <c r="BZ1424" s="48" t="n">
        <f aca="false">IF(AND(Parameter!$B$19="Ja",E1424&lt;&gt;"",ISNUMBER(MATCH(E1424,Parameter!$I$35:$I$52,0))),VLOOKUP(E1424,Parameter!$I$35:$J$52,2,0),IFERROR(VLOOKUP(D1424,Parameter!$A$35:$C$64,2,0),"Nein"))</f>
        <v>1</v>
      </c>
      <c r="CA1424" s="52" t="n">
        <f aca="false">IF(BW1424=0,0,IF(N(S1424)&gt;0,S1424,IFERROR(VLOOKUP(D1424,Parameter!$A$35:$C$64,3,0)+0,0)))</f>
        <v>1</v>
      </c>
      <c r="CB1424" s="48" t="n">
        <f aca="false">IF(AA1424&lt;&gt;"",AA1424,Z1424)</f>
        <v>1</v>
      </c>
      <c r="CC1424" s="48" t="str">
        <f aca="false">IF(OR(CB1424=1,CB1424=2,CB1424=3),IF(Parameter!$E$27="Ja","LIFT",IF(CB1424=1,"L1","L23")),IF(CB1424="Aussen","Aussen","-"))</f>
        <v>LIFT</v>
      </c>
      <c r="CD1424" s="59" t="n">
        <f aca="false">IF(N(AB1424)&gt;0,AB1424,0)</f>
        <v>0</v>
      </c>
      <c r="CE1424" s="53" t="n">
        <f aca="false">IF(ISNUMBER(AE1424),1,0)</f>
        <v>0</v>
      </c>
      <c r="CF1424" s="50" t="n">
        <f aca="false">N(AE1424)</f>
        <v>0</v>
      </c>
      <c r="CG1424" s="50" t="n">
        <f aca="false">N(M1424)+N(N1424)</f>
        <v>10</v>
      </c>
      <c r="CH1424" s="50" t="n">
        <f aca="false">ROUNDUP(H1424/BV1424,0)</f>
        <v>0</v>
      </c>
      <c r="CI1424" s="50" t="n">
        <f aca="false">ROUNDUP(CF1424/BV1424,0)</f>
        <v>0</v>
      </c>
      <c r="CJ1424" s="53" t="n">
        <f aca="false">IF(BW1424=1,0,IFERROR(VLOOKUP(BU1424,'Gebinde-Kategorie'!$A$5:$N$45,5,0)+0,0))</f>
        <v>0</v>
      </c>
      <c r="CK1424" s="53" t="n">
        <f aca="false">IFERROR(IF(OR(CB1424=1,CB1424=2,CB1424=3),N(INDEX(Parameter!$I$5:$I$7,CB1424)),0),0)</f>
        <v>0</v>
      </c>
      <c r="CL1424" s="52" t="n">
        <f aca="false">IF(AND(Parameter!$B$21="Ja",ISNUMBER(W1424),N(X1424)&gt;0),IFERROR(N(INDEX(Parameter!$L$5:$L$7,W1424))*INDEX(Parameter!$E$5:$E$7,W1424)*X1424/SUMIFS($X$7:$X$1843,$W$7:$W$1843,W1424),0),0)</f>
        <v>0.880414312617702</v>
      </c>
    </row>
    <row r="1425" customFormat="false" ht="15" hidden="false" customHeight="false" outlineLevel="0" collapsed="false">
      <c r="A1425" s="48" t="s">
        <v>2504</v>
      </c>
      <c r="B1425" s="48" t="s">
        <v>1918</v>
      </c>
      <c r="C1425" s="48" t="s">
        <v>460</v>
      </c>
      <c r="D1425" s="48" t="s">
        <v>188</v>
      </c>
      <c r="E1425" s="48"/>
      <c r="F1425" s="48" t="s">
        <v>222</v>
      </c>
      <c r="G1425" s="49" t="n">
        <v>639.83</v>
      </c>
      <c r="H1425" s="50" t="n">
        <f aca="false">MAX(0,IF(AND(Parameter!$B$21="Ja",ISNUMBER(Y1425)),Y1425,IF(Parameter!$B$20="Jahresanfang 2025 + Export",BO1425+BN1425,BN1425)))</f>
        <v>10</v>
      </c>
      <c r="I1425" s="50" t="n">
        <f aca="false">H1425*G1425</f>
        <v>6398.3</v>
      </c>
      <c r="J1425" s="50" t="n">
        <f aca="false">BQ1425*Parameter!$B$18</f>
        <v>10</v>
      </c>
      <c r="K1425" s="51" t="n">
        <v>10</v>
      </c>
      <c r="L1425" s="52" t="n">
        <v>1</v>
      </c>
      <c r="M1425" s="50" t="n">
        <v>1</v>
      </c>
      <c r="N1425" s="50" t="n">
        <v>10</v>
      </c>
      <c r="O1425" s="53" t="n">
        <v>56</v>
      </c>
      <c r="P1425" s="48" t="s">
        <v>172</v>
      </c>
      <c r="Q1425" s="50"/>
      <c r="R1425" s="53" t="n">
        <f aca="false">IF(BW1425=1,0,IFERROR(VLOOKUP(BU1425,'Gebinde-Kategorie'!$A$5:$N$45,13,0)+0,0))</f>
        <v>12</v>
      </c>
      <c r="S1425" s="54"/>
      <c r="T1425" s="55" t="s">
        <v>183</v>
      </c>
      <c r="U1425" s="55"/>
      <c r="V1425" s="55"/>
      <c r="W1425" s="48"/>
      <c r="X1425" s="50"/>
      <c r="Y1425" s="50"/>
      <c r="Z1425" s="48" t="n">
        <f aca="false">IF(A1425="","",IF(AND(Parameter!$B$21="Ja",ISNUMBER(W1425)),W1425,IF(BZ1425="2+3",IF(ISNUMBER(SEARCH("grosser Artikel",BR1425)),2,IFERROR(VLOOKUP(BU1425,Parameter!$F$35:$G$64,2,0),2)),IF(OR(BZ1425="Nein",BZ1425=""),"-",BZ1425))))</f>
        <v>2</v>
      </c>
      <c r="AA1425" s="55"/>
      <c r="AB1425" s="56"/>
      <c r="AC1425" s="50" t="n">
        <f aca="false">AT1425</f>
        <v>20</v>
      </c>
      <c r="AD1425" s="50" t="n">
        <f aca="false">MAX(AT1425,H1425)</f>
        <v>20</v>
      </c>
      <c r="AE1425" s="57"/>
      <c r="AF1425" s="50" t="n">
        <f aca="false">IF(LEFT(Cockpit!$C$5,1)="A",H1425,IF(CE1425=1,CF1425,IF(LEFT(Cockpit!$C$5,1)="B",AK1425,MAX(AK1425,H1425))))</f>
        <v>10</v>
      </c>
      <c r="AG1425" s="50" t="n">
        <f aca="false">IF(BW1425=1,0,ROUNDUP(AF1425/BV1425,0))</f>
        <v>1</v>
      </c>
      <c r="AH1425" s="52" t="n">
        <f aca="false">IF(CL1425&gt;0,CL1425*MAX(1,AF1425/X1425),IF(BW1425=1,IF(AF1425&lt;=0,0,CA1425*MAX(1,IF(H1425&gt;0,AF1425/H1425,1))),IF(R1425&gt;0,AG1425/R1425,0))/MAX(0.1,N(Parameter!$M$21)))</f>
        <v>0.0833333333333333</v>
      </c>
      <c r="AI1425" s="50" t="n">
        <f aca="false">AH1425*BY1425</f>
        <v>12.0833333333333</v>
      </c>
      <c r="AJ1425" s="50" t="n">
        <f aca="false">AF1425*G1425</f>
        <v>6398.3</v>
      </c>
      <c r="AK1425" s="50" t="n">
        <f aca="false">ROUNDUP(MAX(J1425/IF(CD1425&gt;0,CD1425,MAX(0.1,N(Cockpit!$C$6))),CG1425)/BV1425,0)*BV1425</f>
        <v>20</v>
      </c>
      <c r="AL1425" s="51" t="n">
        <f aca="false">IF(AI1425&gt;0,J1425/AI1425,-1)</f>
        <v>0.827586206896552</v>
      </c>
      <c r="AM1425" s="51" t="n">
        <f aca="false">IF(AND(OR(CC1425="L1",CC1425="L23",CC1425="LIFT"),AI1425&gt;0),SUMIFS($AI$7:$AI$1843,$CC$7:$CC$1843,CC1425,$AL$7:$AL$1843,"&gt;"&amp;AL1425)+SUMIFS($AI$7:$AI$1843,$CC$7:$CC$1843,CC1425,$AL$7:$AL$1843,AL1425,$BT$7:$BT$1843,"&lt;="&amp;BT1425),"")</f>
        <v>7978.29166666667</v>
      </c>
      <c r="AN1425" s="58" t="n">
        <f aca="false">IF(AM1425="",0,MAX(0,MIN(1,(IF(CC1425="L1",Parameter!$H$5,IF(CC1425="L23",Parameter!$H$6+Parameter!$H$7,Parameter!$H$5+Parameter!$H$6+Parameter!$H$7))-(AM1425-AI1425))/AI1425)))</f>
        <v>1</v>
      </c>
      <c r="AO1425" s="50" t="n">
        <f aca="false">IF(LEFT(Cockpit!$I$5,1)="A",H1425,IF(CE1425=1,CF1425,IF(LEFT(Cockpit!$I$5,1)="B",AT1425,MAX(AT1425,H1425))))</f>
        <v>20</v>
      </c>
      <c r="AP1425" s="50" t="n">
        <f aca="false">IF(BW1425=1,0,ROUNDUP(AO1425/BV1425,0))</f>
        <v>2</v>
      </c>
      <c r="AQ1425" s="52" t="n">
        <f aca="false">IF(CL1425&gt;0,CL1425*MAX(1,AO1425/X1425),IF(BW1425=1,IF(AO1425&lt;=0,0,CA1425*MAX(1,IF(H1425&gt;0,AO1425/H1425,1))),IF(R1425&gt;0,AP1425/R1425,0))/MAX(0.1,N(Parameter!$M$21)))</f>
        <v>0.166666666666667</v>
      </c>
      <c r="AR1425" s="50" t="n">
        <f aca="false">AQ1425*BY1425</f>
        <v>24.1666666666667</v>
      </c>
      <c r="AS1425" s="50" t="n">
        <f aca="false">AO1425*G1425</f>
        <v>12796.6</v>
      </c>
      <c r="AT1425" s="50" t="n">
        <f aca="false">ROUNDUP(MAX(J1425/IF(CD1425&gt;0,CD1425,MAX(0.1,N(Cockpit!$I$6))),CG1425)/BV1425,0)*BV1425</f>
        <v>20</v>
      </c>
      <c r="AU1425" s="51" t="n">
        <f aca="false">IF(AR1425&gt;0,J1425/AR1425,-1)</f>
        <v>0.413793103448276</v>
      </c>
      <c r="AV1425" s="51" t="n">
        <f aca="false">IF(AND(OR(CC1425="L1",CC1425="L23",CC1425="LIFT"),AR1425&gt;0),SUMIFS($AR$7:$AR$1843,$CC$7:$CC$1843,CC1425,$AU$7:$AU$1843,"&gt;"&amp;AU1425)+SUMIFS($AR$7:$AR$1843,$CC$7:$CC$1843,CC1425,$AU$7:$AU$1843,AU1425,$BT$7:$BT$1843,"&lt;="&amp;BT1425),"")</f>
        <v>15014.4258241758</v>
      </c>
      <c r="AW1425" s="58" t="n">
        <f aca="false">IF(AV1425="",0,MAX(0,MIN(1,(IF(CC1425="L1",Parameter!$H$5,IF(CC1425="L23",Parameter!$H$6+Parameter!$H$7,Parameter!$H$5+Parameter!$H$6+Parameter!$H$7))-(AV1425-AR1425))/AR1425)))</f>
        <v>1</v>
      </c>
      <c r="AX1425" s="50" t="n">
        <f aca="false">IF(LEFT(Cockpit!$O$5,1)="A",H1425,IF(CE1425=1,CF1425,IF(LEFT(Cockpit!$O$5,1)="B",BC1425,MAX(BC1425,H1425))))</f>
        <v>20</v>
      </c>
      <c r="AY1425" s="50" t="n">
        <f aca="false">IF(BW1425=1,0,ROUNDUP(AX1425/BV1425,0))</f>
        <v>2</v>
      </c>
      <c r="AZ1425" s="52" t="n">
        <f aca="false">IF(CL1425&gt;0,CL1425*MAX(1,AX1425/X1425),IF(BW1425=1,IF(AX1425&lt;=0,0,CA1425*MAX(1,IF(H1425&gt;0,AX1425/H1425,1))),IF(R1425&gt;0,AY1425/R1425,0))/MAX(0.1,N(Parameter!$M$21)))</f>
        <v>0.166666666666667</v>
      </c>
      <c r="BA1425" s="50" t="n">
        <f aca="false">AZ1425*BY1425</f>
        <v>24.1666666666667</v>
      </c>
      <c r="BB1425" s="50" t="n">
        <f aca="false">AX1425*G1425</f>
        <v>12796.6</v>
      </c>
      <c r="BC1425" s="50" t="n">
        <f aca="false">ROUNDUP(MAX(J1425/IF(CD1425&gt;0,CD1425,MAX(0.1,N(Cockpit!$O$6))),CG1425)/BV1425,0)*BV1425</f>
        <v>20</v>
      </c>
      <c r="BD1425" s="51" t="n">
        <f aca="false">IF(BA1425&gt;0,J1425/BA1425,-1)</f>
        <v>0.413793103448276</v>
      </c>
      <c r="BE1425" s="51" t="n">
        <f aca="false">IF(AND(OR(CC1425="L1",CC1425="L23",CC1425="LIFT"),BA1425&gt;0),SUMIFS($BA$7:$BA$1843,$CC$7:$CC$1843,CC1425,$BD$7:$BD$1843,"&gt;"&amp;BD1425)+SUMIFS($BA$7:$BA$1843,$CC$7:$CC$1843,CC1425,$BD$7:$BD$1843,BD1425,$BT$7:$BT$1843,"&lt;="&amp;BT1425),"")</f>
        <v>13647.5828754579</v>
      </c>
      <c r="BF1425" s="58" t="n">
        <f aca="false">IF(BE1425="",0,MAX(0,MIN(1,(IF(CC1425="L1",Parameter!$H$5,IF(CC1425="L23",Parameter!$H$6+Parameter!$H$7,Parameter!$H$5+Parameter!$H$6+Parameter!$H$7))-(BE1425-BA1425))/BA1425)))</f>
        <v>1</v>
      </c>
      <c r="BG1425" s="48" t="str">
        <f aca="false">IF(AI1425&lt;=0,"",IF(CC1425="Aussen","Aussenlager",IF(CC1425="-","Nicht im Lift",IF(AN1425&gt;=1,"Lift",IF(AN1425&lt;=0,"Aussenlager","teilweise")))))</f>
        <v>Lift</v>
      </c>
      <c r="BH1425" s="48" t="str">
        <f aca="false">IF(AR1425&lt;=0,"",IF(CC1425="Aussen","Aussenlager",IF(CC1425="-","Nicht im Lift",IF(AW1425&gt;=1,"Lift",IF(AW1425&lt;=0,"Aussenlager","teilweise")))))</f>
        <v>Lift</v>
      </c>
      <c r="BI1425" s="48" t="str">
        <f aca="false">IF(BA1425&lt;=0,"",IF(CC1425="Aussen","Aussenlager",IF(CC1425="-","Nicht im Lift",IF(BF1425&gt;=1,"Lift",IF(BF1425&lt;=0,"Aussenlager","teilweise")))))</f>
        <v>Lift</v>
      </c>
      <c r="BJ1425" s="48" t="str">
        <f aca="false">IF(A1425="","",IF(BS1425=1,"Neu; ","")&amp;IF(AND(BS1425=0,BN1425&lt;0),"negativer Bestand (Export "&amp;BN1425&amp;"); ","")&amp;IF(J1425&lt;=0,"Kein Verbrauch; ","")&amp;IF(CL1425&gt;0,"Lift "&amp;W1425&amp;" lt. Liftbericht (Fach "&amp;X1425&amp;" Stk); ",IF(BX1425=1,"Gebinde geschätzt ("&amp;T1425&amp;"); ",IF(BW1425=1,"Lose – Tablare geschätzt; ","")))&amp;IF(H1425&gt;AT1425,"Überbestand "&amp;ROUND(H1425-AT1425,0)&amp;" Stk / CHF "&amp;ROUND((H1425-AT1425)*G1425,0)&amp;"; ","")&amp;IF(AND(CE1425=1,CF1425&lt;CG1425),"MAX &lt; MB+LG; ","")&amp;IF(AND(CK1425&gt;0,CJ1425*10&gt;CK1425),"zu hoch für Tablar; ","")&amp;IF(AND(BS1425=0,OR(CE1425=1,AA1425&lt;&gt;"",U1425&lt;&gt;"",V1425&lt;&gt;"",AB1425&lt;&gt;"")),"manuell übersteuert; ","")&amp;IF(AND(BW1425=0,R1425=0),"Gebinde unbekannt / Stellmass fehlt; ","")&amp;IF(AND(BW1425=0,N(V1425)&lt;=0,N(Q1425)&lt;=0),"Menge pro Gebinde fehlt (Ist = 1 Gebinde); ","")&amp;BR1425)</f>
        <v>negativer Bestand (Export -10); Gebinde geschätzt (Mittel); Menge pro Gebinde fehlt (Ist = 1 Gebinde); </v>
      </c>
      <c r="BK1425" s="48"/>
      <c r="BL1425" s="48"/>
      <c r="BM1425" s="55"/>
      <c r="BN1425" s="50" t="n">
        <v>-10</v>
      </c>
      <c r="BO1425" s="50" t="n">
        <v>20</v>
      </c>
      <c r="BP1425" s="49" t="n">
        <v>-6398.3</v>
      </c>
      <c r="BQ1425" s="50" t="n">
        <v>10</v>
      </c>
      <c r="BR1425" s="48"/>
      <c r="BS1425" s="53" t="n">
        <v>0</v>
      </c>
      <c r="BT1425" s="53" t="n">
        <v>1425</v>
      </c>
      <c r="BU1425" s="48" t="str">
        <f aca="false">IF(U1425&lt;&gt;"",UPPER(TRIM(U1425)),IF(BX1425=1,UPPER(VLOOKUP(T1425,Parameter!$I$27:$K$29,2,0)),IF(P1425="","LOSE",P1425)))</f>
        <v>S61</v>
      </c>
      <c r="BV1425" s="50" t="n">
        <f aca="false">IF(BU1425="LOSE",1,IF(N(V1425)&gt;0,V1425,IF(BX1425=1,MAX(1,N(VLOOKUP(T1425,Parameter!$I$27:$K$29,3,0)),H1425,N(N1425)),IF(N(Q1425)&gt;0,Q1425,MAX(1,H1425)))))</f>
        <v>10</v>
      </c>
      <c r="BW1425" s="53" t="n">
        <f aca="false">IF(BU1425="LOSE",1,0)</f>
        <v>0</v>
      </c>
      <c r="BX1425" s="53" t="n">
        <f aca="false">IF(AND(U1425="",OR(P1425="",P1425="LOSE"),T1425&lt;&gt;"",N(S1425)&lt;=0,ISNUMBER(MATCH(T1425,Parameter!$I$27:$I$29,0))),1,0)</f>
        <v>1</v>
      </c>
      <c r="BY1425" s="53" t="n">
        <f aca="false">IF(CL1425&gt;0,INDEX(Parameter!$H$5:$H$7,W1425)/INDEX(Parameter!$E$5:$E$7,W1425),IF(AND(BW1425=0,N(IFERROR(VLOOKUP(BU1425,'Gebinde-Kategorie'!$A$5:$N$45,14,0),0))&gt;0),VLOOKUP(BU1425,'Gebinde-Kategorie'!$A$5:$N$45,14,0)*10+Parameter!$M$23,Parameter!$M$24))</f>
        <v>145</v>
      </c>
      <c r="BZ1425" s="48" t="str">
        <f aca="false">IF(AND(Parameter!$B$19="Ja",E1425&lt;&gt;"",ISNUMBER(MATCH(E1425,Parameter!$I$35:$I$52,0))),VLOOKUP(E1425,Parameter!$I$35:$J$52,2,0),IFERROR(VLOOKUP(D1425,Parameter!$A$35:$C$64,2,0),"Nein"))</f>
        <v>2+3</v>
      </c>
      <c r="CA1425" s="52" t="n">
        <f aca="false">IF(BW1425=0,0,IF(N(S1425)&gt;0,S1425,IFERROR(VLOOKUP(D1425,Parameter!$A$35:$C$64,3,0)+0,0)))</f>
        <v>0</v>
      </c>
      <c r="CB1425" s="48" t="n">
        <f aca="false">IF(AA1425&lt;&gt;"",AA1425,Z1425)</f>
        <v>2</v>
      </c>
      <c r="CC1425" s="48" t="str">
        <f aca="false">IF(OR(CB1425=1,CB1425=2,CB1425=3),IF(Parameter!$E$27="Ja","LIFT",IF(CB1425=1,"L1","L23")),IF(CB1425="Aussen","Aussen","-"))</f>
        <v>LIFT</v>
      </c>
      <c r="CD1425" s="59" t="n">
        <f aca="false">IF(N(AB1425)&gt;0,AB1425,0)</f>
        <v>0</v>
      </c>
      <c r="CE1425" s="53" t="n">
        <f aca="false">IF(ISNUMBER(AE1425),1,0)</f>
        <v>0</v>
      </c>
      <c r="CF1425" s="50" t="n">
        <f aca="false">N(AE1425)</f>
        <v>0</v>
      </c>
      <c r="CG1425" s="50" t="n">
        <f aca="false">N(M1425)+N(N1425)</f>
        <v>11</v>
      </c>
      <c r="CH1425" s="50" t="n">
        <f aca="false">ROUNDUP(H1425/BV1425,0)</f>
        <v>1</v>
      </c>
      <c r="CI1425" s="50" t="n">
        <f aca="false">ROUNDUP(CF1425/BV1425,0)</f>
        <v>0</v>
      </c>
      <c r="CJ1425" s="53" t="n">
        <f aca="false">IF(BW1425=1,0,IFERROR(VLOOKUP(BU1425,'Gebinde-Kategorie'!$A$5:$N$45,5,0)+0,0))</f>
        <v>11</v>
      </c>
      <c r="CK1425" s="53" t="n">
        <f aca="false">IFERROR(IF(OR(CB1425=1,CB1425=2,CB1425=3),N(INDEX(Parameter!$I$5:$I$7,CB1425)),0),0)</f>
        <v>0</v>
      </c>
      <c r="CL1425" s="52" t="n">
        <f aca="false">IF(AND(Parameter!$B$21="Ja",ISNUMBER(W1425),N(X1425)&gt;0),IFERROR(N(INDEX(Parameter!$L$5:$L$7,W1425))*INDEX(Parameter!$E$5:$E$7,W1425)*X1425/SUMIFS($X$7:$X$1843,$W$7:$W$1843,W1425),0),0)</f>
        <v>0</v>
      </c>
    </row>
    <row r="1426" customFormat="false" ht="15" hidden="false" customHeight="false" outlineLevel="0" collapsed="false">
      <c r="A1426" s="48" t="s">
        <v>2505</v>
      </c>
      <c r="B1426" s="48" t="s">
        <v>2506</v>
      </c>
      <c r="C1426" s="48" t="s">
        <v>460</v>
      </c>
      <c r="D1426" s="48" t="s">
        <v>177</v>
      </c>
      <c r="E1426" s="48"/>
      <c r="F1426" s="48" t="s">
        <v>222</v>
      </c>
      <c r="G1426" s="49" t="n">
        <v>518.83</v>
      </c>
      <c r="H1426" s="50" t="n">
        <f aca="false">MAX(0,IF(AND(Parameter!$B$21="Ja",ISNUMBER(Y1426)),Y1426,IF(Parameter!$B$20="Jahresanfang 2025 + Export",BO1426+BN1426,BN1426)))</f>
        <v>0</v>
      </c>
      <c r="I1426" s="50" t="n">
        <f aca="false">H1426*G1426</f>
        <v>0</v>
      </c>
      <c r="J1426" s="50" t="n">
        <f aca="false">BQ1426*Parameter!$B$18</f>
        <v>50</v>
      </c>
      <c r="K1426" s="51" t="n">
        <v>13</v>
      </c>
      <c r="L1426" s="52" t="n">
        <v>3.84615384615385</v>
      </c>
      <c r="M1426" s="50" t="n">
        <v>0</v>
      </c>
      <c r="N1426" s="50" t="n">
        <v>4</v>
      </c>
      <c r="O1426" s="53" t="n">
        <v>63</v>
      </c>
      <c r="P1426" s="48" t="s">
        <v>172</v>
      </c>
      <c r="Q1426" s="50"/>
      <c r="R1426" s="53" t="n">
        <f aca="false">IF(BW1426=1,0,IFERROR(VLOOKUP(BU1426,'Gebinde-Kategorie'!$A$5:$N$45,13,0)+0,0))</f>
        <v>12</v>
      </c>
      <c r="S1426" s="54"/>
      <c r="T1426" s="55" t="s">
        <v>183</v>
      </c>
      <c r="U1426" s="55"/>
      <c r="V1426" s="55"/>
      <c r="W1426" s="48"/>
      <c r="X1426" s="50"/>
      <c r="Y1426" s="50"/>
      <c r="Z1426" s="48" t="n">
        <f aca="false">IF(A1426="","",IF(AND(Parameter!$B$21="Ja",ISNUMBER(W1426)),W1426,IF(BZ1426="2+3",IF(ISNUMBER(SEARCH("grosser Artikel",BR1426)),2,IFERROR(VLOOKUP(BU1426,Parameter!$F$35:$G$64,2,0),2)),IF(OR(BZ1426="Nein",BZ1426=""),"-",BZ1426))))</f>
        <v>2</v>
      </c>
      <c r="AA1426" s="55"/>
      <c r="AB1426" s="56"/>
      <c r="AC1426" s="50" t="n">
        <f aca="false">AT1426</f>
        <v>28</v>
      </c>
      <c r="AD1426" s="50" t="n">
        <f aca="false">MAX(AT1426,H1426)</f>
        <v>28</v>
      </c>
      <c r="AE1426" s="57"/>
      <c r="AF1426" s="50" t="n">
        <f aca="false">IF(LEFT(Cockpit!$C$5,1)="A",H1426,IF(CE1426=1,CF1426,IF(LEFT(Cockpit!$C$5,1)="B",AK1426,MAX(AK1426,H1426))))</f>
        <v>0</v>
      </c>
      <c r="AG1426" s="50" t="n">
        <f aca="false">IF(BW1426=1,0,ROUNDUP(AF1426/BV1426,0))</f>
        <v>0</v>
      </c>
      <c r="AH1426" s="52" t="n">
        <f aca="false">IF(CL1426&gt;0,CL1426*MAX(1,AF1426/X1426),IF(BW1426=1,IF(AF1426&lt;=0,0,CA1426*MAX(1,IF(H1426&gt;0,AF1426/H1426,1))),IF(R1426&gt;0,AG1426/R1426,0))/MAX(0.1,N(Parameter!$M$21)))</f>
        <v>0</v>
      </c>
      <c r="AI1426" s="50" t="n">
        <f aca="false">AH1426*BY1426</f>
        <v>0</v>
      </c>
      <c r="AJ1426" s="50" t="n">
        <f aca="false">AF1426*G1426</f>
        <v>0</v>
      </c>
      <c r="AK1426" s="50" t="n">
        <f aca="false">ROUNDUP(MAX(J1426/IF(CD1426&gt;0,CD1426,MAX(0.1,N(Cockpit!$C$6))),CG1426)/BV1426,0)*BV1426</f>
        <v>28</v>
      </c>
      <c r="AL1426" s="51" t="n">
        <f aca="false">IF(AI1426&gt;0,J1426/AI1426,-1)</f>
        <v>-1</v>
      </c>
      <c r="AM1426" s="51" t="str">
        <f aca="false">IF(AND(OR(CC1426="L1",CC1426="L23",CC1426="LIFT"),AI1426&gt;0),SUMIFS($AI$7:$AI$1843,$CC$7:$CC$1843,CC1426,$AL$7:$AL$1843,"&gt;"&amp;AL1426)+SUMIFS($AI$7:$AI$1843,$CC$7:$CC$1843,CC1426,$AL$7:$AL$1843,AL1426,$BT$7:$BT$1843,"&lt;="&amp;BT1426),"")</f>
        <v/>
      </c>
      <c r="AN1426" s="58" t="n">
        <f aca="false">IF(AM1426="",0,MAX(0,MIN(1,(IF(CC1426="L1",Parameter!$H$5,IF(CC1426="L23",Parameter!$H$6+Parameter!$H$7,Parameter!$H$5+Parameter!$H$6+Parameter!$H$7))-(AM1426-AI1426))/AI1426)))</f>
        <v>0</v>
      </c>
      <c r="AO1426" s="50" t="n">
        <f aca="false">IF(LEFT(Cockpit!$I$5,1)="A",H1426,IF(CE1426=1,CF1426,IF(LEFT(Cockpit!$I$5,1)="B",AT1426,MAX(AT1426,H1426))))</f>
        <v>28</v>
      </c>
      <c r="AP1426" s="50" t="n">
        <f aca="false">IF(BW1426=1,0,ROUNDUP(AO1426/BV1426,0))</f>
        <v>7</v>
      </c>
      <c r="AQ1426" s="52" t="n">
        <f aca="false">IF(CL1426&gt;0,CL1426*MAX(1,AO1426/X1426),IF(BW1426=1,IF(AO1426&lt;=0,0,CA1426*MAX(1,IF(H1426&gt;0,AO1426/H1426,1))),IF(R1426&gt;0,AP1426/R1426,0))/MAX(0.1,N(Parameter!$M$21)))</f>
        <v>0.583333333333333</v>
      </c>
      <c r="AR1426" s="50" t="n">
        <f aca="false">AQ1426*BY1426</f>
        <v>84.5833333333333</v>
      </c>
      <c r="AS1426" s="50" t="n">
        <f aca="false">AO1426*G1426</f>
        <v>14527.24</v>
      </c>
      <c r="AT1426" s="50" t="n">
        <f aca="false">ROUNDUP(MAX(J1426/IF(CD1426&gt;0,CD1426,MAX(0.1,N(Cockpit!$I$6))),CG1426)/BV1426,0)*BV1426</f>
        <v>28</v>
      </c>
      <c r="AU1426" s="51" t="n">
        <f aca="false">IF(AR1426&gt;0,J1426/AR1426,-1)</f>
        <v>0.591133004926108</v>
      </c>
      <c r="AV1426" s="51" t="n">
        <f aca="false">IF(AND(OR(CC1426="L1",CC1426="L23",CC1426="LIFT"),AR1426&gt;0),SUMIFS($AR$7:$AR$1843,$CC$7:$CC$1843,CC1426,$AU$7:$AU$1843,"&gt;"&amp;AU1426)+SUMIFS($AR$7:$AR$1843,$CC$7:$CC$1843,CC1426,$AU$7:$AU$1843,AU1426,$BT$7:$BT$1843,"&lt;="&amp;BT1426),"")</f>
        <v>12850.6543040293</v>
      </c>
      <c r="AW1426" s="58" t="n">
        <f aca="false">IF(AV1426="",0,MAX(0,MIN(1,(IF(CC1426="L1",Parameter!$H$5,IF(CC1426="L23",Parameter!$H$6+Parameter!$H$7,Parameter!$H$5+Parameter!$H$6+Parameter!$H$7))-(AV1426-AR1426))/AR1426)))</f>
        <v>1</v>
      </c>
      <c r="AX1426" s="50" t="n">
        <f aca="false">IF(LEFT(Cockpit!$O$5,1)="A",H1426,IF(CE1426=1,CF1426,IF(LEFT(Cockpit!$O$5,1)="B",BC1426,MAX(BC1426,H1426))))</f>
        <v>20</v>
      </c>
      <c r="AY1426" s="50" t="n">
        <f aca="false">IF(BW1426=1,0,ROUNDUP(AX1426/BV1426,0))</f>
        <v>5</v>
      </c>
      <c r="AZ1426" s="52" t="n">
        <f aca="false">IF(CL1426&gt;0,CL1426*MAX(1,AX1426/X1426),IF(BW1426=1,IF(AX1426&lt;=0,0,CA1426*MAX(1,IF(H1426&gt;0,AX1426/H1426,1))),IF(R1426&gt;0,AY1426/R1426,0))/MAX(0.1,N(Parameter!$M$21)))</f>
        <v>0.416666666666667</v>
      </c>
      <c r="BA1426" s="50" t="n">
        <f aca="false">AZ1426*BY1426</f>
        <v>60.4166666666667</v>
      </c>
      <c r="BB1426" s="50" t="n">
        <f aca="false">AX1426*G1426</f>
        <v>10376.6</v>
      </c>
      <c r="BC1426" s="50" t="n">
        <f aca="false">ROUNDUP(MAX(J1426/IF(CD1426&gt;0,CD1426,MAX(0.1,N(Cockpit!$O$6))),CG1426)/BV1426,0)*BV1426</f>
        <v>20</v>
      </c>
      <c r="BD1426" s="51" t="n">
        <f aca="false">IF(BA1426&gt;0,J1426/BA1426,-1)</f>
        <v>0.827586206896552</v>
      </c>
      <c r="BE1426" s="51" t="n">
        <f aca="false">IF(AND(OR(CC1426="L1",CC1426="L23",CC1426="LIFT"),BA1426&gt;0),SUMIFS($BA$7:$BA$1843,$CC$7:$CC$1843,CC1426,$BD$7:$BD$1843,"&gt;"&amp;BD1426)+SUMIFS($BA$7:$BA$1843,$CC$7:$CC$1843,CC1426,$BD$7:$BD$1843,BD1426,$BT$7:$BT$1843,"&lt;="&amp;BT1426),"")</f>
        <v>10547.0004578755</v>
      </c>
      <c r="BF1426" s="58" t="n">
        <f aca="false">IF(BE1426="",0,MAX(0,MIN(1,(IF(CC1426="L1",Parameter!$H$5,IF(CC1426="L23",Parameter!$H$6+Parameter!$H$7,Parameter!$H$5+Parameter!$H$6+Parameter!$H$7))-(BE1426-BA1426))/BA1426)))</f>
        <v>1</v>
      </c>
      <c r="BG1426" s="48" t="str">
        <f aca="false">IF(AI1426&lt;=0,"",IF(CC1426="Aussen","Aussenlager",IF(CC1426="-","Nicht im Lift",IF(AN1426&gt;=1,"Lift",IF(AN1426&lt;=0,"Aussenlager","teilweise")))))</f>
        <v/>
      </c>
      <c r="BH1426" s="48" t="str">
        <f aca="false">IF(AR1426&lt;=0,"",IF(CC1426="Aussen","Aussenlager",IF(CC1426="-","Nicht im Lift",IF(AW1426&gt;=1,"Lift",IF(AW1426&lt;=0,"Aussenlager","teilweise")))))</f>
        <v>Lift</v>
      </c>
      <c r="BI1426" s="48" t="str">
        <f aca="false">IF(BA1426&lt;=0,"",IF(CC1426="Aussen","Aussenlager",IF(CC1426="-","Nicht im Lift",IF(BF1426&gt;=1,"Lift",IF(BF1426&lt;=0,"Aussenlager","teilweise")))))</f>
        <v>Lift</v>
      </c>
      <c r="BJ1426" s="48" t="str">
        <f aca="false">IF(A1426="","",IF(BS1426=1,"Neu; ","")&amp;IF(AND(BS1426=0,BN1426&lt;0),"negativer Bestand (Export "&amp;BN1426&amp;"); ","")&amp;IF(J1426&lt;=0,"Kein Verbrauch; ","")&amp;IF(CL1426&gt;0,"Lift "&amp;W1426&amp;" lt. Liftbericht (Fach "&amp;X1426&amp;" Stk); ",IF(BX1426=1,"Gebinde geschätzt ("&amp;T1426&amp;"); ",IF(BW1426=1,"Lose – Tablare geschätzt; ","")))&amp;IF(H1426&gt;AT1426,"Überbestand "&amp;ROUND(H1426-AT1426,0)&amp;" Stk / CHF "&amp;ROUND((H1426-AT1426)*G1426,0)&amp;"; ","")&amp;IF(AND(CE1426=1,CF1426&lt;CG1426),"MAX &lt; MB+LG; ","")&amp;IF(AND(CK1426&gt;0,CJ1426*10&gt;CK1426),"zu hoch für Tablar; ","")&amp;IF(AND(BS1426=0,OR(CE1426=1,AA1426&lt;&gt;"",U1426&lt;&gt;"",V1426&lt;&gt;"",AB1426&lt;&gt;"")),"manuell übersteuert; ","")&amp;IF(AND(BW1426=0,R1426=0),"Gebinde unbekannt / Stellmass fehlt; ","")&amp;IF(AND(BW1426=0,N(V1426)&lt;=0,N(Q1426)&lt;=0),"Menge pro Gebinde fehlt (Ist = 1 Gebinde); ","")&amp;BR1426)</f>
        <v>negativer Bestand (Export -12); Gebinde geschätzt (Mittel); Menge pro Gebinde fehlt (Ist = 1 Gebinde); </v>
      </c>
      <c r="BK1426" s="48"/>
      <c r="BL1426" s="48"/>
      <c r="BM1426" s="55"/>
      <c r="BN1426" s="50" t="n">
        <v>-12</v>
      </c>
      <c r="BO1426" s="50" t="n">
        <v>12</v>
      </c>
      <c r="BP1426" s="49" t="n">
        <v>-6584.28</v>
      </c>
      <c r="BQ1426" s="50" t="n">
        <v>50</v>
      </c>
      <c r="BR1426" s="48"/>
      <c r="BS1426" s="53" t="n">
        <v>0</v>
      </c>
      <c r="BT1426" s="53" t="n">
        <v>1426</v>
      </c>
      <c r="BU1426" s="48" t="str">
        <f aca="false">IF(U1426&lt;&gt;"",UPPER(TRIM(U1426)),IF(BX1426=1,UPPER(VLOOKUP(T1426,Parameter!$I$27:$K$29,2,0)),IF(P1426="","LOSE",P1426)))</f>
        <v>S61</v>
      </c>
      <c r="BV1426" s="50" t="n">
        <f aca="false">IF(BU1426="LOSE",1,IF(N(V1426)&gt;0,V1426,IF(BX1426=1,MAX(1,N(VLOOKUP(T1426,Parameter!$I$27:$K$29,3,0)),H1426,N(N1426)),IF(N(Q1426)&gt;0,Q1426,MAX(1,H1426)))))</f>
        <v>4</v>
      </c>
      <c r="BW1426" s="53" t="n">
        <f aca="false">IF(BU1426="LOSE",1,0)</f>
        <v>0</v>
      </c>
      <c r="BX1426" s="53" t="n">
        <f aca="false">IF(AND(U1426="",OR(P1426="",P1426="LOSE"),T1426&lt;&gt;"",N(S1426)&lt;=0,ISNUMBER(MATCH(T1426,Parameter!$I$27:$I$29,0))),1,0)</f>
        <v>1</v>
      </c>
      <c r="BY1426" s="53" t="n">
        <f aca="false">IF(CL1426&gt;0,INDEX(Parameter!$H$5:$H$7,W1426)/INDEX(Parameter!$E$5:$E$7,W1426),IF(AND(BW1426=0,N(IFERROR(VLOOKUP(BU1426,'Gebinde-Kategorie'!$A$5:$N$45,14,0),0))&gt;0),VLOOKUP(BU1426,'Gebinde-Kategorie'!$A$5:$N$45,14,0)*10+Parameter!$M$23,Parameter!$M$24))</f>
        <v>145</v>
      </c>
      <c r="BZ1426" s="48" t="str">
        <f aca="false">IF(AND(Parameter!$B$19="Ja",E1426&lt;&gt;"",ISNUMBER(MATCH(E1426,Parameter!$I$35:$I$52,0))),VLOOKUP(E1426,Parameter!$I$35:$J$52,2,0),IFERROR(VLOOKUP(D1426,Parameter!$A$35:$C$64,2,0),"Nein"))</f>
        <v>2+3</v>
      </c>
      <c r="CA1426" s="52" t="n">
        <f aca="false">IF(BW1426=0,0,IF(N(S1426)&gt;0,S1426,IFERROR(VLOOKUP(D1426,Parameter!$A$35:$C$64,3,0)+0,0)))</f>
        <v>0</v>
      </c>
      <c r="CB1426" s="48" t="n">
        <f aca="false">IF(AA1426&lt;&gt;"",AA1426,Z1426)</f>
        <v>2</v>
      </c>
      <c r="CC1426" s="48" t="str">
        <f aca="false">IF(OR(CB1426=1,CB1426=2,CB1426=3),IF(Parameter!$E$27="Ja","LIFT",IF(CB1426=1,"L1","L23")),IF(CB1426="Aussen","Aussen","-"))</f>
        <v>LIFT</v>
      </c>
      <c r="CD1426" s="59" t="n">
        <f aca="false">IF(N(AB1426)&gt;0,AB1426,0)</f>
        <v>0</v>
      </c>
      <c r="CE1426" s="53" t="n">
        <f aca="false">IF(ISNUMBER(AE1426),1,0)</f>
        <v>0</v>
      </c>
      <c r="CF1426" s="50" t="n">
        <f aca="false">N(AE1426)</f>
        <v>0</v>
      </c>
      <c r="CG1426" s="50" t="n">
        <f aca="false">N(M1426)+N(N1426)</f>
        <v>4</v>
      </c>
      <c r="CH1426" s="50" t="n">
        <f aca="false">ROUNDUP(H1426/BV1426,0)</f>
        <v>0</v>
      </c>
      <c r="CI1426" s="50" t="n">
        <f aca="false">ROUNDUP(CF1426/BV1426,0)</f>
        <v>0</v>
      </c>
      <c r="CJ1426" s="53" t="n">
        <f aca="false">IF(BW1426=1,0,IFERROR(VLOOKUP(BU1426,'Gebinde-Kategorie'!$A$5:$N$45,5,0)+0,0))</f>
        <v>11</v>
      </c>
      <c r="CK1426" s="53" t="n">
        <f aca="false">IFERROR(IF(OR(CB1426=1,CB1426=2,CB1426=3),N(INDEX(Parameter!$I$5:$I$7,CB1426)),0),0)</f>
        <v>0</v>
      </c>
      <c r="CL1426" s="52" t="n">
        <f aca="false">IF(AND(Parameter!$B$21="Ja",ISNUMBER(W1426),N(X1426)&gt;0),IFERROR(N(INDEX(Parameter!$L$5:$L$7,W1426))*INDEX(Parameter!$E$5:$E$7,W1426)*X1426/SUMIFS($X$7:$X$1843,$W$7:$W$1843,W1426),0),0)</f>
        <v>0</v>
      </c>
    </row>
    <row r="1427" customFormat="false" ht="15" hidden="false" customHeight="false" outlineLevel="0" collapsed="false">
      <c r="A1427" s="48" t="s">
        <v>2507</v>
      </c>
      <c r="B1427" s="48" t="s">
        <v>2472</v>
      </c>
      <c r="C1427" s="48" t="s">
        <v>168</v>
      </c>
      <c r="D1427" s="48" t="s">
        <v>188</v>
      </c>
      <c r="E1427" s="48" t="s">
        <v>189</v>
      </c>
      <c r="F1427" s="48" t="s">
        <v>222</v>
      </c>
      <c r="G1427" s="49" t="n">
        <v>24.77</v>
      </c>
      <c r="H1427" s="50" t="n">
        <f aca="false">MAX(0,IF(AND(Parameter!$B$21="Ja",ISNUMBER(Y1427)),Y1427,IF(Parameter!$B$20="Jahresanfang 2025 + Export",BO1427+BN1427,BN1427)))</f>
        <v>152</v>
      </c>
      <c r="I1427" s="50" t="n">
        <f aca="false">H1427*G1427</f>
        <v>3765.04</v>
      </c>
      <c r="J1427" s="50" t="n">
        <f aca="false">BQ1427*Parameter!$B$18</f>
        <v>1802</v>
      </c>
      <c r="K1427" s="51" t="n">
        <v>434.5</v>
      </c>
      <c r="L1427" s="52" t="n">
        <v>4.14729574223245</v>
      </c>
      <c r="M1427" s="50" t="n">
        <v>105</v>
      </c>
      <c r="N1427" s="50" t="n">
        <v>300</v>
      </c>
      <c r="O1427" s="53" t="n">
        <v>21</v>
      </c>
      <c r="P1427" s="48" t="s">
        <v>237</v>
      </c>
      <c r="Q1427" s="50" t="n">
        <v>200</v>
      </c>
      <c r="R1427" s="53" t="n">
        <f aca="false">IF(BW1427=1,0,IFERROR(VLOOKUP(BU1427,'Gebinde-Kategorie'!$A$5:$N$45,13,0)+0,0))</f>
        <v>26</v>
      </c>
      <c r="S1427" s="54"/>
      <c r="T1427" s="55"/>
      <c r="U1427" s="55"/>
      <c r="V1427" s="55"/>
      <c r="W1427" s="48"/>
      <c r="X1427" s="50"/>
      <c r="Y1427" s="50"/>
      <c r="Z1427" s="48" t="n">
        <f aca="false">IF(A1427="","",IF(AND(Parameter!$B$21="Ja",ISNUMBER(W1427)),W1427,IF(BZ1427="2+3",IF(ISNUMBER(SEARCH("grosser Artikel",BR1427)),2,IFERROR(VLOOKUP(BU1427,Parameter!$F$35:$G$64,2,0),2)),IF(OR(BZ1427="Nein",BZ1427=""),"-",BZ1427))))</f>
        <v>3</v>
      </c>
      <c r="AA1427" s="55"/>
      <c r="AB1427" s="56"/>
      <c r="AC1427" s="50" t="n">
        <f aca="false">AT1427</f>
        <v>1000</v>
      </c>
      <c r="AD1427" s="50" t="n">
        <f aca="false">MAX(AT1427,H1427)</f>
        <v>1000</v>
      </c>
      <c r="AE1427" s="57"/>
      <c r="AF1427" s="50" t="n">
        <f aca="false">IF(LEFT(Cockpit!$C$5,1)="A",H1427,IF(CE1427=1,CF1427,IF(LEFT(Cockpit!$C$5,1)="B",AK1427,MAX(AK1427,H1427))))</f>
        <v>152</v>
      </c>
      <c r="AG1427" s="50" t="n">
        <f aca="false">IF(BW1427=1,0,ROUNDUP(AF1427/BV1427,0))</f>
        <v>1</v>
      </c>
      <c r="AH1427" s="52" t="n">
        <f aca="false">IF(CL1427&gt;0,CL1427*MAX(1,AF1427/X1427),IF(BW1427=1,IF(AF1427&lt;=0,0,CA1427*MAX(1,IF(H1427&gt;0,AF1427/H1427,1))),IF(R1427&gt;0,AG1427/R1427,0))/MAX(0.1,N(Parameter!$M$21)))</f>
        <v>0.0384615384615385</v>
      </c>
      <c r="AI1427" s="50" t="n">
        <f aca="false">AH1427*BY1427</f>
        <v>9.42307692307692</v>
      </c>
      <c r="AJ1427" s="50" t="n">
        <f aca="false">AF1427*G1427</f>
        <v>3765.04</v>
      </c>
      <c r="AK1427" s="50" t="n">
        <f aca="false">ROUNDUP(MAX(J1427/IF(CD1427&gt;0,CD1427,MAX(0.1,N(Cockpit!$C$6))),CG1427)/BV1427,0)*BV1427</f>
        <v>1000</v>
      </c>
      <c r="AL1427" s="51" t="n">
        <f aca="false">IF(AI1427&gt;0,J1427/AI1427,-1)</f>
        <v>191.232653061224</v>
      </c>
      <c r="AM1427" s="51" t="n">
        <f aca="false">IF(AND(OR(CC1427="L1",CC1427="L23",CC1427="LIFT"),AI1427&gt;0),SUMIFS($AI$7:$AI$1843,$CC$7:$CC$1843,CC1427,$AL$7:$AL$1843,"&gt;"&amp;AL1427)+SUMIFS($AI$7:$AI$1843,$CC$7:$CC$1843,CC1427,$AL$7:$AL$1843,AL1427,$BT$7:$BT$1843,"&lt;="&amp;BT1427),"")</f>
        <v>364.312271062271</v>
      </c>
      <c r="AN1427" s="58" t="n">
        <f aca="false">IF(AM1427="",0,MAX(0,MIN(1,(IF(CC1427="L1",Parameter!$H$5,IF(CC1427="L23",Parameter!$H$6+Parameter!$H$7,Parameter!$H$5+Parameter!$H$6+Parameter!$H$7))-(AM1427-AI1427))/AI1427)))</f>
        <v>1</v>
      </c>
      <c r="AO1427" s="50" t="n">
        <f aca="false">IF(LEFT(Cockpit!$I$5,1)="A",H1427,IF(CE1427=1,CF1427,IF(LEFT(Cockpit!$I$5,1)="B",AT1427,MAX(AT1427,H1427))))</f>
        <v>1000</v>
      </c>
      <c r="AP1427" s="50" t="n">
        <f aca="false">IF(BW1427=1,0,ROUNDUP(AO1427/BV1427,0))</f>
        <v>5</v>
      </c>
      <c r="AQ1427" s="52" t="n">
        <f aca="false">IF(CL1427&gt;0,CL1427*MAX(1,AO1427/X1427),IF(BW1427=1,IF(AO1427&lt;=0,0,CA1427*MAX(1,IF(H1427&gt;0,AO1427/H1427,1))),IF(R1427&gt;0,AP1427/R1427,0))/MAX(0.1,N(Parameter!$M$21)))</f>
        <v>0.192307692307692</v>
      </c>
      <c r="AR1427" s="50" t="n">
        <f aca="false">AQ1427*BY1427</f>
        <v>47.1153846153846</v>
      </c>
      <c r="AS1427" s="50" t="n">
        <f aca="false">AO1427*G1427</f>
        <v>24770</v>
      </c>
      <c r="AT1427" s="50" t="n">
        <f aca="false">ROUNDUP(MAX(J1427/IF(CD1427&gt;0,CD1427,MAX(0.1,N(Cockpit!$I$6))),CG1427)/BV1427,0)*BV1427</f>
        <v>1000</v>
      </c>
      <c r="AU1427" s="51" t="n">
        <f aca="false">IF(AR1427&gt;0,J1427/AR1427,-1)</f>
        <v>38.2465306122449</v>
      </c>
      <c r="AV1427" s="51" t="n">
        <f aca="false">IF(AND(OR(CC1427="L1",CC1427="L23",CC1427="LIFT"),AR1427&gt;0),SUMIFS($AR$7:$AR$1843,$CC$7:$CC$1843,CC1427,$AU$7:$AU$1843,"&gt;"&amp;AU1427)+SUMIFS($AR$7:$AR$1843,$CC$7:$CC$1843,CC1427,$AU$7:$AU$1843,AU1427,$BT$7:$BT$1843,"&lt;="&amp;BT1427),"")</f>
        <v>1770.92994505495</v>
      </c>
      <c r="AW1427" s="58" t="n">
        <f aca="false">IF(AV1427="",0,MAX(0,MIN(1,(IF(CC1427="L1",Parameter!$H$5,IF(CC1427="L23",Parameter!$H$6+Parameter!$H$7,Parameter!$H$5+Parameter!$H$6+Parameter!$H$7))-(AV1427-AR1427))/AR1427)))</f>
        <v>1</v>
      </c>
      <c r="AX1427" s="50" t="n">
        <f aca="false">IF(LEFT(Cockpit!$O$5,1)="A",H1427,IF(CE1427=1,CF1427,IF(LEFT(Cockpit!$O$5,1)="B",BC1427,MAX(BC1427,H1427))))</f>
        <v>800</v>
      </c>
      <c r="AY1427" s="50" t="n">
        <f aca="false">IF(BW1427=1,0,ROUNDUP(AX1427/BV1427,0))</f>
        <v>4</v>
      </c>
      <c r="AZ1427" s="52" t="n">
        <f aca="false">IF(CL1427&gt;0,CL1427*MAX(1,AX1427/X1427),IF(BW1427=1,IF(AX1427&lt;=0,0,CA1427*MAX(1,IF(H1427&gt;0,AX1427/H1427,1))),IF(R1427&gt;0,AY1427/R1427,0))/MAX(0.1,N(Parameter!$M$21)))</f>
        <v>0.153846153846154</v>
      </c>
      <c r="BA1427" s="50" t="n">
        <f aca="false">AZ1427*BY1427</f>
        <v>37.6923076923077</v>
      </c>
      <c r="BB1427" s="50" t="n">
        <f aca="false">AX1427*G1427</f>
        <v>19816</v>
      </c>
      <c r="BC1427" s="50" t="n">
        <f aca="false">ROUNDUP(MAX(J1427/IF(CD1427&gt;0,CD1427,MAX(0.1,N(Cockpit!$O$6))),CG1427)/BV1427,0)*BV1427</f>
        <v>800</v>
      </c>
      <c r="BD1427" s="51" t="n">
        <f aca="false">IF(BA1427&gt;0,J1427/BA1427,-1)</f>
        <v>47.8081632653061</v>
      </c>
      <c r="BE1427" s="51" t="n">
        <f aca="false">IF(AND(OR(CC1427="L1",CC1427="L23",CC1427="LIFT"),BA1427&gt;0),SUMIFS($BA$7:$BA$1843,$CC$7:$CC$1843,CC1427,$BD$7:$BD$1843,"&gt;"&amp;BD1427)+SUMIFS($BA$7:$BA$1843,$CC$7:$CC$1843,CC1427,$BD$7:$BD$1843,BD1427,$BT$7:$BT$1843,"&lt;="&amp;BT1427),"")</f>
        <v>1475.16529304029</v>
      </c>
      <c r="BF1427" s="58" t="n">
        <f aca="false">IF(BE1427="",0,MAX(0,MIN(1,(IF(CC1427="L1",Parameter!$H$5,IF(CC1427="L23",Parameter!$H$6+Parameter!$H$7,Parameter!$H$5+Parameter!$H$6+Parameter!$H$7))-(BE1427-BA1427))/BA1427)))</f>
        <v>1</v>
      </c>
      <c r="BG1427" s="48" t="str">
        <f aca="false">IF(AI1427&lt;=0,"",IF(CC1427="Aussen","Aussenlager",IF(CC1427="-","Nicht im Lift",IF(AN1427&gt;=1,"Lift",IF(AN1427&lt;=0,"Aussenlager","teilweise")))))</f>
        <v>Lift</v>
      </c>
      <c r="BH1427" s="48" t="str">
        <f aca="false">IF(AR1427&lt;=0,"",IF(CC1427="Aussen","Aussenlager",IF(CC1427="-","Nicht im Lift",IF(AW1427&gt;=1,"Lift",IF(AW1427&lt;=0,"Aussenlager","teilweise")))))</f>
        <v>Lift</v>
      </c>
      <c r="BI1427" s="48" t="str">
        <f aca="false">IF(BA1427&lt;=0,"",IF(CC1427="Aussen","Aussenlager",IF(CC1427="-","Nicht im Lift",IF(BF1427&gt;=1,"Lift",IF(BF1427&lt;=0,"Aussenlager","teilweise")))))</f>
        <v>Lift</v>
      </c>
      <c r="BJ1427" s="48" t="str">
        <f aca="false">IF(A1427="","",IF(BS1427=1,"Neu; ","")&amp;IF(AND(BS1427=0,BN1427&lt;0),"negativer Bestand (Export "&amp;BN1427&amp;"); ","")&amp;IF(J1427&lt;=0,"Kein Verbrauch; ","")&amp;IF(CL1427&gt;0,"Lift "&amp;W1427&amp;" lt. Liftbericht (Fach "&amp;X1427&amp;" Stk); ",IF(BX1427=1,"Gebinde geschätzt ("&amp;T1427&amp;"); ",IF(BW1427=1,"Lose – Tablare geschätzt; ","")))&amp;IF(H1427&gt;AT1427,"Überbestand "&amp;ROUND(H1427-AT1427,0)&amp;" Stk / CHF "&amp;ROUND((H1427-AT1427)*G1427,0)&amp;"; ","")&amp;IF(AND(CE1427=1,CF1427&lt;CG1427),"MAX &lt; MB+LG; ","")&amp;IF(AND(CK1427&gt;0,CJ1427*10&gt;CK1427),"zu hoch für Tablar; ","")&amp;IF(AND(BS1427=0,OR(CE1427=1,AA1427&lt;&gt;"",U1427&lt;&gt;"",V1427&lt;&gt;"",AB1427&lt;&gt;"")),"manuell übersteuert; ","")&amp;IF(AND(BW1427=0,R1427=0),"Gebinde unbekannt / Stellmass fehlt; ","")&amp;IF(AND(BW1427=0,N(V1427)&lt;=0,N(Q1427)&lt;=0),"Menge pro Gebinde fehlt (Ist = 1 Gebinde); ","")&amp;BR1427)</f>
        <v>negativer Bestand (Export -213); </v>
      </c>
      <c r="BK1427" s="48"/>
      <c r="BL1427" s="48"/>
      <c r="BM1427" s="55"/>
      <c r="BN1427" s="50" t="n">
        <v>-213</v>
      </c>
      <c r="BO1427" s="50" t="n">
        <v>365</v>
      </c>
      <c r="BP1427" s="49" t="n">
        <v>-6658.63999999999</v>
      </c>
      <c r="BQ1427" s="50" t="n">
        <v>1802</v>
      </c>
      <c r="BR1427" s="48"/>
      <c r="BS1427" s="53" t="n">
        <v>0</v>
      </c>
      <c r="BT1427" s="53" t="n">
        <v>1427</v>
      </c>
      <c r="BU1427" s="48" t="str">
        <f aca="false">IF(U1427&lt;&gt;"",UPPER(TRIM(U1427)),IF(BX1427=1,UPPER(VLOOKUP(T1427,Parameter!$I$27:$K$29,2,0)),IF(P1427="","LOSE",P1427)))</f>
        <v>S52</v>
      </c>
      <c r="BV1427" s="50" t="n">
        <f aca="false">IF(BU1427="LOSE",1,IF(N(V1427)&gt;0,V1427,IF(BX1427=1,MAX(1,N(VLOOKUP(T1427,Parameter!$I$27:$K$29,3,0)),H1427,N(N1427)),IF(N(Q1427)&gt;0,Q1427,MAX(1,H1427)))))</f>
        <v>200</v>
      </c>
      <c r="BW1427" s="53" t="n">
        <f aca="false">IF(BU1427="LOSE",1,0)</f>
        <v>0</v>
      </c>
      <c r="BX1427" s="53" t="n">
        <f aca="false">IF(AND(U1427="",OR(P1427="",P1427="LOSE"),T1427&lt;&gt;"",N(S1427)&lt;=0,ISNUMBER(MATCH(T1427,Parameter!$I$27:$I$29,0))),1,0)</f>
        <v>0</v>
      </c>
      <c r="BY1427" s="53" t="n">
        <f aca="false">IF(CL1427&gt;0,INDEX(Parameter!$H$5:$H$7,W1427)/INDEX(Parameter!$E$5:$E$7,W1427),IF(AND(BW1427=0,N(IFERROR(VLOOKUP(BU1427,'Gebinde-Kategorie'!$A$5:$N$45,14,0),0))&gt;0),VLOOKUP(BU1427,'Gebinde-Kategorie'!$A$5:$N$45,14,0)*10+Parameter!$M$23,Parameter!$M$24))</f>
        <v>245</v>
      </c>
      <c r="BZ1427" s="48" t="str">
        <f aca="false">IF(AND(Parameter!$B$19="Ja",E1427&lt;&gt;"",ISNUMBER(MATCH(E1427,Parameter!$I$35:$I$52,0))),VLOOKUP(E1427,Parameter!$I$35:$J$52,2,0),IFERROR(VLOOKUP(D1427,Parameter!$A$35:$C$64,2,0),"Nein"))</f>
        <v>2+3</v>
      </c>
      <c r="CA1427" s="52" t="n">
        <f aca="false">IF(BW1427=0,0,IF(N(S1427)&gt;0,S1427,IFERROR(VLOOKUP(D1427,Parameter!$A$35:$C$64,3,0)+0,0)))</f>
        <v>0</v>
      </c>
      <c r="CB1427" s="48" t="n">
        <f aca="false">IF(AA1427&lt;&gt;"",AA1427,Z1427)</f>
        <v>3</v>
      </c>
      <c r="CC1427" s="48" t="str">
        <f aca="false">IF(OR(CB1427=1,CB1427=2,CB1427=3),IF(Parameter!$E$27="Ja","LIFT",IF(CB1427=1,"L1","L23")),IF(CB1427="Aussen","Aussen","-"))</f>
        <v>LIFT</v>
      </c>
      <c r="CD1427" s="59" t="n">
        <f aca="false">IF(N(AB1427)&gt;0,AB1427,0)</f>
        <v>0</v>
      </c>
      <c r="CE1427" s="53" t="n">
        <f aca="false">IF(ISNUMBER(AE1427),1,0)</f>
        <v>0</v>
      </c>
      <c r="CF1427" s="50" t="n">
        <f aca="false">N(AE1427)</f>
        <v>0</v>
      </c>
      <c r="CG1427" s="50" t="n">
        <f aca="false">N(M1427)+N(N1427)</f>
        <v>405</v>
      </c>
      <c r="CH1427" s="50" t="n">
        <f aca="false">ROUNDUP(H1427/BV1427,0)</f>
        <v>1</v>
      </c>
      <c r="CI1427" s="50" t="n">
        <f aca="false">ROUNDUP(CF1427/BV1427,0)</f>
        <v>0</v>
      </c>
      <c r="CJ1427" s="53" t="n">
        <f aca="false">IF(BW1427=1,0,IFERROR(VLOOKUP(BU1427,'Gebinde-Kategorie'!$A$5:$N$45,5,0)+0,0))</f>
        <v>21</v>
      </c>
      <c r="CK1427" s="53" t="n">
        <f aca="false">IFERROR(IF(OR(CB1427=1,CB1427=2,CB1427=3),N(INDEX(Parameter!$I$5:$I$7,CB1427)),0),0)</f>
        <v>0</v>
      </c>
      <c r="CL1427" s="52" t="n">
        <f aca="false">IF(AND(Parameter!$B$21="Ja",ISNUMBER(W1427),N(X1427)&gt;0),IFERROR(N(INDEX(Parameter!$L$5:$L$7,W1427))*INDEX(Parameter!$E$5:$E$7,W1427)*X1427/SUMIFS($X$7:$X$1843,$W$7:$W$1843,W1427),0),0)</f>
        <v>0</v>
      </c>
    </row>
    <row r="1428" customFormat="false" ht="15" hidden="false" customHeight="false" outlineLevel="0" collapsed="false">
      <c r="A1428" s="48" t="s">
        <v>2508</v>
      </c>
      <c r="B1428" s="48" t="s">
        <v>2486</v>
      </c>
      <c r="C1428" s="48" t="s">
        <v>168</v>
      </c>
      <c r="D1428" s="48" t="s">
        <v>188</v>
      </c>
      <c r="E1428" s="48" t="s">
        <v>189</v>
      </c>
      <c r="F1428" s="48" t="s">
        <v>222</v>
      </c>
      <c r="G1428" s="49" t="n">
        <v>95.42</v>
      </c>
      <c r="H1428" s="50" t="n">
        <f aca="false">MAX(0,IF(AND(Parameter!$B$21="Ja",ISNUMBER(Y1428)),Y1428,IF(Parameter!$B$20="Jahresanfang 2025 + Export",BO1428+BN1428,BN1428)))</f>
        <v>38</v>
      </c>
      <c r="I1428" s="50" t="n">
        <f aca="false">H1428*G1428</f>
        <v>3625.96</v>
      </c>
      <c r="J1428" s="50" t="n">
        <f aca="false">BQ1428*Parameter!$B$18</f>
        <v>145</v>
      </c>
      <c r="K1428" s="51" t="n">
        <v>46</v>
      </c>
      <c r="L1428" s="52" t="n">
        <v>3.15217391304348</v>
      </c>
      <c r="M1428" s="50" t="n">
        <v>8</v>
      </c>
      <c r="N1428" s="50" t="n">
        <v>25</v>
      </c>
      <c r="O1428" s="53" t="n">
        <v>21</v>
      </c>
      <c r="P1428" s="48" t="s">
        <v>297</v>
      </c>
      <c r="Q1428" s="50" t="n">
        <v>76</v>
      </c>
      <c r="R1428" s="53" t="n">
        <f aca="false">IF(BW1428=1,0,IFERROR(VLOOKUP(BU1428,'Gebinde-Kategorie'!$A$5:$N$45,13,0)+0,0))</f>
        <v>12</v>
      </c>
      <c r="S1428" s="54"/>
      <c r="T1428" s="55"/>
      <c r="U1428" s="55"/>
      <c r="V1428" s="55"/>
      <c r="W1428" s="48"/>
      <c r="X1428" s="50"/>
      <c r="Y1428" s="50"/>
      <c r="Z1428" s="48" t="n">
        <f aca="false">IF(A1428="","",IF(AND(Parameter!$B$21="Ja",ISNUMBER(W1428)),W1428,IF(BZ1428="2+3",IF(ISNUMBER(SEARCH("grosser Artikel",BR1428)),2,IFERROR(VLOOKUP(BU1428,Parameter!$F$35:$G$64,2,0),2)),IF(OR(BZ1428="Nein",BZ1428=""),"-",BZ1428))))</f>
        <v>2</v>
      </c>
      <c r="AA1428" s="55"/>
      <c r="AB1428" s="56"/>
      <c r="AC1428" s="50" t="n">
        <f aca="false">AT1428</f>
        <v>76</v>
      </c>
      <c r="AD1428" s="50" t="n">
        <f aca="false">MAX(AT1428,H1428)</f>
        <v>76</v>
      </c>
      <c r="AE1428" s="57"/>
      <c r="AF1428" s="50" t="n">
        <f aca="false">IF(LEFT(Cockpit!$C$5,1)="A",H1428,IF(CE1428=1,CF1428,IF(LEFT(Cockpit!$C$5,1)="B",AK1428,MAX(AK1428,H1428))))</f>
        <v>38</v>
      </c>
      <c r="AG1428" s="50" t="n">
        <f aca="false">IF(BW1428=1,0,ROUNDUP(AF1428/BV1428,0))</f>
        <v>1</v>
      </c>
      <c r="AH1428" s="52" t="n">
        <f aca="false">IF(CL1428&gt;0,CL1428*MAX(1,AF1428/X1428),IF(BW1428=1,IF(AF1428&lt;=0,0,CA1428*MAX(1,IF(H1428&gt;0,AF1428/H1428,1))),IF(R1428&gt;0,AG1428/R1428,0))/MAX(0.1,N(Parameter!$M$21)))</f>
        <v>0.0833333333333333</v>
      </c>
      <c r="AI1428" s="50" t="n">
        <f aca="false">AH1428*BY1428</f>
        <v>20.4166666666667</v>
      </c>
      <c r="AJ1428" s="50" t="n">
        <f aca="false">AF1428*G1428</f>
        <v>3625.96</v>
      </c>
      <c r="AK1428" s="50" t="n">
        <f aca="false">ROUNDUP(MAX(J1428/IF(CD1428&gt;0,CD1428,MAX(0.1,N(Cockpit!$C$6))),CG1428)/BV1428,0)*BV1428</f>
        <v>76</v>
      </c>
      <c r="AL1428" s="51" t="n">
        <f aca="false">IF(AI1428&gt;0,J1428/AI1428,-1)</f>
        <v>7.10204081632653</v>
      </c>
      <c r="AM1428" s="51" t="n">
        <f aca="false">IF(AND(OR(CC1428="L1",CC1428="L23",CC1428="LIFT"),AI1428&gt;0),SUMIFS($AI$7:$AI$1843,$CC$7:$CC$1843,CC1428,$AL$7:$AL$1843,"&gt;"&amp;AL1428)+SUMIFS($AI$7:$AI$1843,$CC$7:$CC$1843,CC1428,$AL$7:$AL$1843,AL1428,$BT$7:$BT$1843,"&lt;="&amp;BT1428),"")</f>
        <v>3184.17536630037</v>
      </c>
      <c r="AN1428" s="58" t="n">
        <f aca="false">IF(AM1428="",0,MAX(0,MIN(1,(IF(CC1428="L1",Parameter!$H$5,IF(CC1428="L23",Parameter!$H$6+Parameter!$H$7,Parameter!$H$5+Parameter!$H$6+Parameter!$H$7))-(AM1428-AI1428))/AI1428)))</f>
        <v>1</v>
      </c>
      <c r="AO1428" s="50" t="n">
        <f aca="false">IF(LEFT(Cockpit!$I$5,1)="A",H1428,IF(CE1428=1,CF1428,IF(LEFT(Cockpit!$I$5,1)="B",AT1428,MAX(AT1428,H1428))))</f>
        <v>76</v>
      </c>
      <c r="AP1428" s="50" t="n">
        <f aca="false">IF(BW1428=1,0,ROUNDUP(AO1428/BV1428,0))</f>
        <v>1</v>
      </c>
      <c r="AQ1428" s="52" t="n">
        <f aca="false">IF(CL1428&gt;0,CL1428*MAX(1,AO1428/X1428),IF(BW1428=1,IF(AO1428&lt;=0,0,CA1428*MAX(1,IF(H1428&gt;0,AO1428/H1428,1))),IF(R1428&gt;0,AP1428/R1428,0))/MAX(0.1,N(Parameter!$M$21)))</f>
        <v>0.0833333333333333</v>
      </c>
      <c r="AR1428" s="50" t="n">
        <f aca="false">AQ1428*BY1428</f>
        <v>20.4166666666667</v>
      </c>
      <c r="AS1428" s="50" t="n">
        <f aca="false">AO1428*G1428</f>
        <v>7251.92</v>
      </c>
      <c r="AT1428" s="50" t="n">
        <f aca="false">ROUNDUP(MAX(J1428/IF(CD1428&gt;0,CD1428,MAX(0.1,N(Cockpit!$I$6))),CG1428)/BV1428,0)*BV1428</f>
        <v>76</v>
      </c>
      <c r="AU1428" s="51" t="n">
        <f aca="false">IF(AR1428&gt;0,J1428/AR1428,-1)</f>
        <v>7.10204081632653</v>
      </c>
      <c r="AV1428" s="51" t="n">
        <f aca="false">IF(AND(OR(CC1428="L1",CC1428="L23",CC1428="LIFT"),AR1428&gt;0),SUMIFS($AR$7:$AR$1843,$CC$7:$CC$1843,CC1428,$AU$7:$AU$1843,"&gt;"&amp;AU1428)+SUMIFS($AR$7:$AR$1843,$CC$7:$CC$1843,CC1428,$AU$7:$AU$1843,AU1428,$BT$7:$BT$1843,"&lt;="&amp;BT1428),"")</f>
        <v>4366.52884615385</v>
      </c>
      <c r="AW1428" s="58" t="n">
        <f aca="false">IF(AV1428="",0,MAX(0,MIN(1,(IF(CC1428="L1",Parameter!$H$5,IF(CC1428="L23",Parameter!$H$6+Parameter!$H$7,Parameter!$H$5+Parameter!$H$6+Parameter!$H$7))-(AV1428-AR1428))/AR1428)))</f>
        <v>1</v>
      </c>
      <c r="AX1428" s="50" t="n">
        <f aca="false">IF(LEFT(Cockpit!$O$5,1)="A",H1428,IF(CE1428=1,CF1428,IF(LEFT(Cockpit!$O$5,1)="B",BC1428,MAX(BC1428,H1428))))</f>
        <v>76</v>
      </c>
      <c r="AY1428" s="50" t="n">
        <f aca="false">IF(BW1428=1,0,ROUNDUP(AX1428/BV1428,0))</f>
        <v>1</v>
      </c>
      <c r="AZ1428" s="52" t="n">
        <f aca="false">IF(CL1428&gt;0,CL1428*MAX(1,AX1428/X1428),IF(BW1428=1,IF(AX1428&lt;=0,0,CA1428*MAX(1,IF(H1428&gt;0,AX1428/H1428,1))),IF(R1428&gt;0,AY1428/R1428,0))/MAX(0.1,N(Parameter!$M$21)))</f>
        <v>0.0833333333333333</v>
      </c>
      <c r="BA1428" s="50" t="n">
        <f aca="false">AZ1428*BY1428</f>
        <v>20.4166666666667</v>
      </c>
      <c r="BB1428" s="50" t="n">
        <f aca="false">AX1428*G1428</f>
        <v>7251.92</v>
      </c>
      <c r="BC1428" s="50" t="n">
        <f aca="false">ROUNDUP(MAX(J1428/IF(CD1428&gt;0,CD1428,MAX(0.1,N(Cockpit!$O$6))),CG1428)/BV1428,0)*BV1428</f>
        <v>76</v>
      </c>
      <c r="BD1428" s="51" t="n">
        <f aca="false">IF(BA1428&gt;0,J1428/BA1428,-1)</f>
        <v>7.10204081632653</v>
      </c>
      <c r="BE1428" s="51" t="n">
        <f aca="false">IF(AND(OR(CC1428="L1",CC1428="L23",CC1428="LIFT"),BA1428&gt;0),SUMIFS($BA$7:$BA$1843,$CC$7:$CC$1843,CC1428,$BD$7:$BD$1843,"&gt;"&amp;BD1428)+SUMIFS($BA$7:$BA$1843,$CC$7:$CC$1843,CC1428,$BD$7:$BD$1843,BD1428,$BT$7:$BT$1843,"&lt;="&amp;BT1428),"")</f>
        <v>4109.49358974359</v>
      </c>
      <c r="BF1428" s="58" t="n">
        <f aca="false">IF(BE1428="",0,MAX(0,MIN(1,(IF(CC1428="L1",Parameter!$H$5,IF(CC1428="L23",Parameter!$H$6+Parameter!$H$7,Parameter!$H$5+Parameter!$H$6+Parameter!$H$7))-(BE1428-BA1428))/BA1428)))</f>
        <v>1</v>
      </c>
      <c r="BG1428" s="48" t="str">
        <f aca="false">IF(AI1428&lt;=0,"",IF(CC1428="Aussen","Aussenlager",IF(CC1428="-","Nicht im Lift",IF(AN1428&gt;=1,"Lift",IF(AN1428&lt;=0,"Aussenlager","teilweise")))))</f>
        <v>Lift</v>
      </c>
      <c r="BH1428" s="48" t="str">
        <f aca="false">IF(AR1428&lt;=0,"",IF(CC1428="Aussen","Aussenlager",IF(CC1428="-","Nicht im Lift",IF(AW1428&gt;=1,"Lift",IF(AW1428&lt;=0,"Aussenlager","teilweise")))))</f>
        <v>Lift</v>
      </c>
      <c r="BI1428" s="48" t="str">
        <f aca="false">IF(BA1428&lt;=0,"",IF(CC1428="Aussen","Aussenlager",IF(CC1428="-","Nicht im Lift",IF(BF1428&gt;=1,"Lift",IF(BF1428&lt;=0,"Aussenlager","teilweise")))))</f>
        <v>Lift</v>
      </c>
      <c r="BJ1428" s="48" t="str">
        <f aca="false">IF(A1428="","",IF(BS1428=1,"Neu; ","")&amp;IF(AND(BS1428=0,BN1428&lt;0),"negativer Bestand (Export "&amp;BN1428&amp;"); ","")&amp;IF(J1428&lt;=0,"Kein Verbrauch; ","")&amp;IF(CL1428&gt;0,"Lift "&amp;W1428&amp;" lt. Liftbericht (Fach "&amp;X1428&amp;" Stk); ",IF(BX1428=1,"Gebinde geschätzt ("&amp;T1428&amp;"); ",IF(BW1428=1,"Lose – Tablare geschätzt; ","")))&amp;IF(H1428&gt;AT1428,"Überbestand "&amp;ROUND(H1428-AT1428,0)&amp;" Stk / CHF "&amp;ROUND((H1428-AT1428)*G1428,0)&amp;"; ","")&amp;IF(AND(CE1428=1,CF1428&lt;CG1428),"MAX &lt; MB+LG; ","")&amp;IF(AND(CK1428&gt;0,CJ1428*10&gt;CK1428),"zu hoch für Tablar; ","")&amp;IF(AND(BS1428=0,OR(CE1428=1,AA1428&lt;&gt;"",U1428&lt;&gt;"",V1428&lt;&gt;"",AB1428&lt;&gt;"")),"manuell übersteuert; ","")&amp;IF(AND(BW1428=0,R1428=0),"Gebinde unbekannt / Stellmass fehlt; ","")&amp;IF(AND(BW1428=0,N(V1428)&lt;=0,N(Q1428)&lt;=0),"Menge pro Gebinde fehlt (Ist = 1 Gebinde); ","")&amp;BR1428)</f>
        <v>negativer Bestand (Export -31); </v>
      </c>
      <c r="BK1428" s="48"/>
      <c r="BL1428" s="48"/>
      <c r="BM1428" s="55"/>
      <c r="BN1428" s="50" t="n">
        <v>-31</v>
      </c>
      <c r="BO1428" s="50" t="n">
        <v>69</v>
      </c>
      <c r="BP1428" s="49" t="n">
        <v>-6670.22000000001</v>
      </c>
      <c r="BQ1428" s="50" t="n">
        <v>145</v>
      </c>
      <c r="BR1428" s="48"/>
      <c r="BS1428" s="53" t="n">
        <v>0</v>
      </c>
      <c r="BT1428" s="53" t="n">
        <v>1428</v>
      </c>
      <c r="BU1428" s="48" t="str">
        <f aca="false">IF(U1428&lt;&gt;"",UPPER(TRIM(U1428)),IF(BX1428=1,UPPER(VLOOKUP(T1428,Parameter!$I$27:$K$29,2,0)),IF(P1428="","LOSE",P1428)))</f>
        <v>S62</v>
      </c>
      <c r="BV1428" s="50" t="n">
        <f aca="false">IF(BU1428="LOSE",1,IF(N(V1428)&gt;0,V1428,IF(BX1428=1,MAX(1,N(VLOOKUP(T1428,Parameter!$I$27:$K$29,3,0)),H1428,N(N1428)),IF(N(Q1428)&gt;0,Q1428,MAX(1,H1428)))))</f>
        <v>76</v>
      </c>
      <c r="BW1428" s="53" t="n">
        <f aca="false">IF(BU1428="LOSE",1,0)</f>
        <v>0</v>
      </c>
      <c r="BX1428" s="53" t="n">
        <f aca="false">IF(AND(U1428="",OR(P1428="",P1428="LOSE"),T1428&lt;&gt;"",N(S1428)&lt;=0,ISNUMBER(MATCH(T1428,Parameter!$I$27:$I$29,0))),1,0)</f>
        <v>0</v>
      </c>
      <c r="BY1428" s="53" t="n">
        <f aca="false">IF(CL1428&gt;0,INDEX(Parameter!$H$5:$H$7,W1428)/INDEX(Parameter!$E$5:$E$7,W1428),IF(AND(BW1428=0,N(IFERROR(VLOOKUP(BU1428,'Gebinde-Kategorie'!$A$5:$N$45,14,0),0))&gt;0),VLOOKUP(BU1428,'Gebinde-Kategorie'!$A$5:$N$45,14,0)*10+Parameter!$M$23,Parameter!$M$24))</f>
        <v>245</v>
      </c>
      <c r="BZ1428" s="48" t="str">
        <f aca="false">IF(AND(Parameter!$B$19="Ja",E1428&lt;&gt;"",ISNUMBER(MATCH(E1428,Parameter!$I$35:$I$52,0))),VLOOKUP(E1428,Parameter!$I$35:$J$52,2,0),IFERROR(VLOOKUP(D1428,Parameter!$A$35:$C$64,2,0),"Nein"))</f>
        <v>2+3</v>
      </c>
      <c r="CA1428" s="52" t="n">
        <f aca="false">IF(BW1428=0,0,IF(N(S1428)&gt;0,S1428,IFERROR(VLOOKUP(D1428,Parameter!$A$35:$C$64,3,0)+0,0)))</f>
        <v>0</v>
      </c>
      <c r="CB1428" s="48" t="n">
        <f aca="false">IF(AA1428&lt;&gt;"",AA1428,Z1428)</f>
        <v>2</v>
      </c>
      <c r="CC1428" s="48" t="str">
        <f aca="false">IF(OR(CB1428=1,CB1428=2,CB1428=3),IF(Parameter!$E$27="Ja","LIFT",IF(CB1428=1,"L1","L23")),IF(CB1428="Aussen","Aussen","-"))</f>
        <v>LIFT</v>
      </c>
      <c r="CD1428" s="59" t="n">
        <f aca="false">IF(N(AB1428)&gt;0,AB1428,0)</f>
        <v>0</v>
      </c>
      <c r="CE1428" s="53" t="n">
        <f aca="false">IF(ISNUMBER(AE1428),1,0)</f>
        <v>0</v>
      </c>
      <c r="CF1428" s="50" t="n">
        <f aca="false">N(AE1428)</f>
        <v>0</v>
      </c>
      <c r="CG1428" s="50" t="n">
        <f aca="false">N(M1428)+N(N1428)</f>
        <v>33</v>
      </c>
      <c r="CH1428" s="50" t="n">
        <f aca="false">ROUNDUP(H1428/BV1428,0)</f>
        <v>1</v>
      </c>
      <c r="CI1428" s="50" t="n">
        <f aca="false">ROUNDUP(CF1428/BV1428,0)</f>
        <v>0</v>
      </c>
      <c r="CJ1428" s="53" t="n">
        <f aca="false">IF(BW1428=1,0,IFERROR(VLOOKUP(BU1428,'Gebinde-Kategorie'!$A$5:$N$45,5,0)+0,0))</f>
        <v>21</v>
      </c>
      <c r="CK1428" s="53" t="n">
        <f aca="false">IFERROR(IF(OR(CB1428=1,CB1428=2,CB1428=3),N(INDEX(Parameter!$I$5:$I$7,CB1428)),0),0)</f>
        <v>0</v>
      </c>
      <c r="CL1428" s="52" t="n">
        <f aca="false">IF(AND(Parameter!$B$21="Ja",ISNUMBER(W1428),N(X1428)&gt;0),IFERROR(N(INDEX(Parameter!$L$5:$L$7,W1428))*INDEX(Parameter!$E$5:$E$7,W1428)*X1428/SUMIFS($X$7:$X$1843,$W$7:$W$1843,W1428),0),0)</f>
        <v>0</v>
      </c>
    </row>
    <row r="1429" customFormat="false" ht="15" hidden="false" customHeight="false" outlineLevel="0" collapsed="false">
      <c r="A1429" s="48" t="s">
        <v>2509</v>
      </c>
      <c r="B1429" s="48" t="s">
        <v>2115</v>
      </c>
      <c r="C1429" s="48" t="s">
        <v>168</v>
      </c>
      <c r="D1429" s="48" t="s">
        <v>177</v>
      </c>
      <c r="E1429" s="48" t="s">
        <v>189</v>
      </c>
      <c r="F1429" s="48" t="s">
        <v>222</v>
      </c>
      <c r="G1429" s="49" t="n">
        <v>353.57</v>
      </c>
      <c r="H1429" s="50" t="n">
        <f aca="false">MAX(0,IF(AND(Parameter!$B$21="Ja",ISNUMBER(Y1429)),Y1429,IF(Parameter!$B$20="Jahresanfang 2025 + Export",BO1429+BN1429,BN1429)))</f>
        <v>23</v>
      </c>
      <c r="I1429" s="50" t="n">
        <f aca="false">H1429*G1429</f>
        <v>8132.11</v>
      </c>
      <c r="J1429" s="50" t="n">
        <f aca="false">BQ1429*Parameter!$B$18</f>
        <v>14</v>
      </c>
      <c r="K1429" s="51" t="n">
        <v>35</v>
      </c>
      <c r="L1429" s="52" t="n">
        <v>0.4</v>
      </c>
      <c r="M1429" s="50" t="n">
        <v>1</v>
      </c>
      <c r="N1429" s="50" t="n">
        <v>10</v>
      </c>
      <c r="O1429" s="53" t="n">
        <v>35</v>
      </c>
      <c r="P1429" s="48" t="s">
        <v>178</v>
      </c>
      <c r="Q1429" s="50" t="n">
        <v>36</v>
      </c>
      <c r="R1429" s="53" t="n">
        <f aca="false">IF(BW1429=1,0,IFERROR(VLOOKUP(BU1429,'Gebinde-Kategorie'!$A$5:$N$45,13,0)+0,0))</f>
        <v>6</v>
      </c>
      <c r="S1429" s="54"/>
      <c r="T1429" s="55"/>
      <c r="U1429" s="55"/>
      <c r="V1429" s="55"/>
      <c r="W1429" s="48"/>
      <c r="X1429" s="50"/>
      <c r="Y1429" s="50"/>
      <c r="Z1429" s="48" t="n">
        <f aca="false">IF(A1429="","",IF(AND(Parameter!$B$21="Ja",ISNUMBER(W1429)),W1429,IF(BZ1429="2+3",IF(ISNUMBER(SEARCH("grosser Artikel",BR1429)),2,IFERROR(VLOOKUP(BU1429,Parameter!$F$35:$G$64,2,0),2)),IF(OR(BZ1429="Nein",BZ1429=""),"-",BZ1429))))</f>
        <v>2</v>
      </c>
      <c r="AA1429" s="55"/>
      <c r="AB1429" s="56"/>
      <c r="AC1429" s="50" t="n">
        <f aca="false">AT1429</f>
        <v>36</v>
      </c>
      <c r="AD1429" s="50" t="n">
        <f aca="false">MAX(AT1429,H1429)</f>
        <v>36</v>
      </c>
      <c r="AE1429" s="57"/>
      <c r="AF1429" s="50" t="n">
        <f aca="false">IF(LEFT(Cockpit!$C$5,1)="A",H1429,IF(CE1429=1,CF1429,IF(LEFT(Cockpit!$C$5,1)="B",AK1429,MAX(AK1429,H1429))))</f>
        <v>23</v>
      </c>
      <c r="AG1429" s="50" t="n">
        <f aca="false">IF(BW1429=1,0,ROUNDUP(AF1429/BV1429,0))</f>
        <v>1</v>
      </c>
      <c r="AH1429" s="52" t="n">
        <f aca="false">IF(CL1429&gt;0,CL1429*MAX(1,AF1429/X1429),IF(BW1429=1,IF(AF1429&lt;=0,0,CA1429*MAX(1,IF(H1429&gt;0,AF1429/H1429,1))),IF(R1429&gt;0,AG1429/R1429,0))/MAX(0.1,N(Parameter!$M$21)))</f>
        <v>0.166666666666667</v>
      </c>
      <c r="AI1429" s="50" t="n">
        <f aca="false">AH1429*BY1429</f>
        <v>39.1666666666667</v>
      </c>
      <c r="AJ1429" s="50" t="n">
        <f aca="false">AF1429*G1429</f>
        <v>8132.11</v>
      </c>
      <c r="AK1429" s="50" t="n">
        <f aca="false">ROUNDUP(MAX(J1429/IF(CD1429&gt;0,CD1429,MAX(0.1,N(Cockpit!$C$6))),CG1429)/BV1429,0)*BV1429</f>
        <v>36</v>
      </c>
      <c r="AL1429" s="51" t="n">
        <f aca="false">IF(AI1429&gt;0,J1429/AI1429,-1)</f>
        <v>0.357446808510638</v>
      </c>
      <c r="AM1429" s="51" t="n">
        <f aca="false">IF(AND(OR(CC1429="L1",CC1429="L23",CC1429="LIFT"),AI1429&gt;0),SUMIFS($AI$7:$AI$1843,$CC$7:$CC$1843,CC1429,$AL$7:$AL$1843,"&gt;"&amp;AL1429)+SUMIFS($AI$7:$AI$1843,$CC$7:$CC$1843,CC1429,$AL$7:$AL$1843,AL1429,$BT$7:$BT$1843,"&lt;="&amp;BT1429),"")</f>
        <v>10717.2499715445</v>
      </c>
      <c r="AN1429" s="58" t="n">
        <f aca="false">IF(AM1429="",0,MAX(0,MIN(1,(IF(CC1429="L1",Parameter!$H$5,IF(CC1429="L23",Parameter!$H$6+Parameter!$H$7,Parameter!$H$5+Parameter!$H$6+Parameter!$H$7))-(AM1429-AI1429))/AI1429)))</f>
        <v>1</v>
      </c>
      <c r="AO1429" s="50" t="n">
        <f aca="false">IF(LEFT(Cockpit!$I$5,1)="A",H1429,IF(CE1429=1,CF1429,IF(LEFT(Cockpit!$I$5,1)="B",AT1429,MAX(AT1429,H1429))))</f>
        <v>36</v>
      </c>
      <c r="AP1429" s="50" t="n">
        <f aca="false">IF(BW1429=1,0,ROUNDUP(AO1429/BV1429,0))</f>
        <v>1</v>
      </c>
      <c r="AQ1429" s="52" t="n">
        <f aca="false">IF(CL1429&gt;0,CL1429*MAX(1,AO1429/X1429),IF(BW1429=1,IF(AO1429&lt;=0,0,CA1429*MAX(1,IF(H1429&gt;0,AO1429/H1429,1))),IF(R1429&gt;0,AP1429/R1429,0))/MAX(0.1,N(Parameter!$M$21)))</f>
        <v>0.166666666666667</v>
      </c>
      <c r="AR1429" s="50" t="n">
        <f aca="false">AQ1429*BY1429</f>
        <v>39.1666666666667</v>
      </c>
      <c r="AS1429" s="50" t="n">
        <f aca="false">AO1429*G1429</f>
        <v>12728.52</v>
      </c>
      <c r="AT1429" s="50" t="n">
        <f aca="false">ROUNDUP(MAX(J1429/IF(CD1429&gt;0,CD1429,MAX(0.1,N(Cockpit!$I$6))),CG1429)/BV1429,0)*BV1429</f>
        <v>36</v>
      </c>
      <c r="AU1429" s="51" t="n">
        <f aca="false">IF(AR1429&gt;0,J1429/AR1429,-1)</f>
        <v>0.357446808510638</v>
      </c>
      <c r="AV1429" s="51" t="n">
        <f aca="false">IF(AND(OR(CC1429="L1",CC1429="L23",CC1429="LIFT"),AR1429&gt;0),SUMIFS($AR$7:$AR$1843,$CC$7:$CC$1843,CC1429,$AU$7:$AU$1843,"&gt;"&amp;AU1429)+SUMIFS($AR$7:$AR$1843,$CC$7:$CC$1843,CC1429,$AU$7:$AU$1843,AU1429,$BT$7:$BT$1843,"&lt;="&amp;BT1429),"")</f>
        <v>15990.9482600733</v>
      </c>
      <c r="AW1429" s="58" t="n">
        <f aca="false">IF(AV1429="",0,MAX(0,MIN(1,(IF(CC1429="L1",Parameter!$H$5,IF(CC1429="L23",Parameter!$H$6+Parameter!$H$7,Parameter!$H$5+Parameter!$H$6+Parameter!$H$7))-(AV1429-AR1429))/AR1429)))</f>
        <v>1</v>
      </c>
      <c r="AX1429" s="50" t="n">
        <f aca="false">IF(LEFT(Cockpit!$O$5,1)="A",H1429,IF(CE1429=1,CF1429,IF(LEFT(Cockpit!$O$5,1)="B",BC1429,MAX(BC1429,H1429))))</f>
        <v>36</v>
      </c>
      <c r="AY1429" s="50" t="n">
        <f aca="false">IF(BW1429=1,0,ROUNDUP(AX1429/BV1429,0))</f>
        <v>1</v>
      </c>
      <c r="AZ1429" s="52" t="n">
        <f aca="false">IF(CL1429&gt;0,CL1429*MAX(1,AX1429/X1429),IF(BW1429=1,IF(AX1429&lt;=0,0,CA1429*MAX(1,IF(H1429&gt;0,AX1429/H1429,1))),IF(R1429&gt;0,AY1429/R1429,0))/MAX(0.1,N(Parameter!$M$21)))</f>
        <v>0.166666666666667</v>
      </c>
      <c r="BA1429" s="50" t="n">
        <f aca="false">AZ1429*BY1429</f>
        <v>39.1666666666667</v>
      </c>
      <c r="BB1429" s="50" t="n">
        <f aca="false">AX1429*G1429</f>
        <v>12728.52</v>
      </c>
      <c r="BC1429" s="50" t="n">
        <f aca="false">ROUNDUP(MAX(J1429/IF(CD1429&gt;0,CD1429,MAX(0.1,N(Cockpit!$O$6))),CG1429)/BV1429,0)*BV1429</f>
        <v>36</v>
      </c>
      <c r="BD1429" s="51" t="n">
        <f aca="false">IF(BA1429&gt;0,J1429/BA1429,-1)</f>
        <v>0.357446808510638</v>
      </c>
      <c r="BE1429" s="51" t="n">
        <f aca="false">IF(AND(OR(CC1429="L1",CC1429="L23",CC1429="LIFT"),BA1429&gt;0),SUMIFS($BA$7:$BA$1843,$CC$7:$CC$1843,CC1429,$BD$7:$BD$1843,"&gt;"&amp;BD1429)+SUMIFS($BA$7:$BA$1843,$CC$7:$CC$1843,CC1429,$BD$7:$BD$1843,BD1429,$BT$7:$BT$1843,"&lt;="&amp;BT1429),"")</f>
        <v>14741.6053113553</v>
      </c>
      <c r="BF1429" s="58" t="n">
        <f aca="false">IF(BE1429="",0,MAX(0,MIN(1,(IF(CC1429="L1",Parameter!$H$5,IF(CC1429="L23",Parameter!$H$6+Parameter!$H$7,Parameter!$H$5+Parameter!$H$6+Parameter!$H$7))-(BE1429-BA1429))/BA1429)))</f>
        <v>1</v>
      </c>
      <c r="BG1429" s="48" t="str">
        <f aca="false">IF(AI1429&lt;=0,"",IF(CC1429="Aussen","Aussenlager",IF(CC1429="-","Nicht im Lift",IF(AN1429&gt;=1,"Lift",IF(AN1429&lt;=0,"Aussenlager","teilweise")))))</f>
        <v>Lift</v>
      </c>
      <c r="BH1429" s="48" t="str">
        <f aca="false">IF(AR1429&lt;=0,"",IF(CC1429="Aussen","Aussenlager",IF(CC1429="-","Nicht im Lift",IF(AW1429&gt;=1,"Lift",IF(AW1429&lt;=0,"Aussenlager","teilweise")))))</f>
        <v>Lift</v>
      </c>
      <c r="BI1429" s="48" t="str">
        <f aca="false">IF(BA1429&lt;=0,"",IF(CC1429="Aussen","Aussenlager",IF(CC1429="-","Nicht im Lift",IF(BF1429&gt;=1,"Lift",IF(BF1429&lt;=0,"Aussenlager","teilweise")))))</f>
        <v>Lift</v>
      </c>
      <c r="BJ1429" s="48" t="str">
        <f aca="false">IF(A1429="","",IF(BS1429=1,"Neu; ","")&amp;IF(AND(BS1429=0,BN1429&lt;0),"negativer Bestand (Export "&amp;BN1429&amp;"); ","")&amp;IF(J1429&lt;=0,"Kein Verbrauch; ","")&amp;IF(CL1429&gt;0,"Lift "&amp;W1429&amp;" lt. Liftbericht (Fach "&amp;X1429&amp;" Stk); ",IF(BX1429=1,"Gebinde geschätzt ("&amp;T1429&amp;"); ",IF(BW1429=1,"Lose – Tablare geschätzt; ","")))&amp;IF(H1429&gt;AT1429,"Überbestand "&amp;ROUND(H1429-AT1429,0)&amp;" Stk / CHF "&amp;ROUND((H1429-AT1429)*G1429,0)&amp;"; ","")&amp;IF(AND(CE1429=1,CF1429&lt;CG1429),"MAX &lt; MB+LG; ","")&amp;IF(AND(CK1429&gt;0,CJ1429*10&gt;CK1429),"zu hoch für Tablar; ","")&amp;IF(AND(BS1429=0,OR(CE1429=1,AA1429&lt;&gt;"",U1429&lt;&gt;"",V1429&lt;&gt;"",AB1429&lt;&gt;"")),"manuell übersteuert; ","")&amp;IF(AND(BW1429=0,R1429=0),"Gebinde unbekannt / Stellmass fehlt; ","")&amp;IF(AND(BW1429=0,N(V1429)&lt;=0,N(Q1429)&lt;=0),"Menge pro Gebinde fehlt (Ist = 1 Gebinde); ","")&amp;BR1429)</f>
        <v>negativer Bestand (Export -19); Neu; grosser Artikel &amp; nicht im KTL</v>
      </c>
      <c r="BK1429" s="48"/>
      <c r="BL1429" s="48"/>
      <c r="BM1429" s="55"/>
      <c r="BN1429" s="50" t="n">
        <v>-19</v>
      </c>
      <c r="BO1429" s="50" t="n">
        <v>42</v>
      </c>
      <c r="BP1429" s="49" t="n">
        <v>-6717.83</v>
      </c>
      <c r="BQ1429" s="50" t="n">
        <v>14</v>
      </c>
      <c r="BR1429" s="48" t="s">
        <v>2074</v>
      </c>
      <c r="BS1429" s="53" t="n">
        <v>0</v>
      </c>
      <c r="BT1429" s="53" t="n">
        <v>1429</v>
      </c>
      <c r="BU1429" s="48" t="str">
        <f aca="false">IF(U1429&lt;&gt;"",UPPER(TRIM(U1429)),IF(BX1429=1,UPPER(VLOOKUP(T1429,Parameter!$I$27:$K$29,2,0)),IF(P1429="","LOSE",P1429)))</f>
        <v>S71</v>
      </c>
      <c r="BV1429" s="50" t="n">
        <f aca="false">IF(BU1429="LOSE",1,IF(N(V1429)&gt;0,V1429,IF(BX1429=1,MAX(1,N(VLOOKUP(T1429,Parameter!$I$27:$K$29,3,0)),H1429,N(N1429)),IF(N(Q1429)&gt;0,Q1429,MAX(1,H1429)))))</f>
        <v>36</v>
      </c>
      <c r="BW1429" s="53" t="n">
        <f aca="false">IF(BU1429="LOSE",1,0)</f>
        <v>0</v>
      </c>
      <c r="BX1429" s="53" t="n">
        <f aca="false">IF(AND(U1429="",OR(P1429="",P1429="LOSE"),T1429&lt;&gt;"",N(S1429)&lt;=0,ISNUMBER(MATCH(T1429,Parameter!$I$27:$I$29,0))),1,0)</f>
        <v>0</v>
      </c>
      <c r="BY1429" s="53" t="n">
        <f aca="false">IF(CL1429&gt;0,INDEX(Parameter!$H$5:$H$7,W1429)/INDEX(Parameter!$E$5:$E$7,W1429),IF(AND(BW1429=0,N(IFERROR(VLOOKUP(BU1429,'Gebinde-Kategorie'!$A$5:$N$45,14,0),0))&gt;0),VLOOKUP(BU1429,'Gebinde-Kategorie'!$A$5:$N$45,14,0)*10+Parameter!$M$23,Parameter!$M$24))</f>
        <v>235</v>
      </c>
      <c r="BZ1429" s="48" t="str">
        <f aca="false">IF(AND(Parameter!$B$19="Ja",E1429&lt;&gt;"",ISNUMBER(MATCH(E1429,Parameter!$I$35:$I$52,0))),VLOOKUP(E1429,Parameter!$I$35:$J$52,2,0),IFERROR(VLOOKUP(D1429,Parameter!$A$35:$C$64,2,0),"Nein"))</f>
        <v>2+3</v>
      </c>
      <c r="CA1429" s="52" t="n">
        <f aca="false">IF(BW1429=0,0,IF(N(S1429)&gt;0,S1429,IFERROR(VLOOKUP(D1429,Parameter!$A$35:$C$64,3,0)+0,0)))</f>
        <v>0</v>
      </c>
      <c r="CB1429" s="48" t="n">
        <f aca="false">IF(AA1429&lt;&gt;"",AA1429,Z1429)</f>
        <v>2</v>
      </c>
      <c r="CC1429" s="48" t="str">
        <f aca="false">IF(OR(CB1429=1,CB1429=2,CB1429=3),IF(Parameter!$E$27="Ja","LIFT",IF(CB1429=1,"L1","L23")),IF(CB1429="Aussen","Aussen","-"))</f>
        <v>LIFT</v>
      </c>
      <c r="CD1429" s="59" t="n">
        <f aca="false">IF(N(AB1429)&gt;0,AB1429,0)</f>
        <v>0</v>
      </c>
      <c r="CE1429" s="53" t="n">
        <f aca="false">IF(ISNUMBER(AE1429),1,0)</f>
        <v>0</v>
      </c>
      <c r="CF1429" s="50" t="n">
        <f aca="false">N(AE1429)</f>
        <v>0</v>
      </c>
      <c r="CG1429" s="50" t="n">
        <f aca="false">N(M1429)+N(N1429)</f>
        <v>11</v>
      </c>
      <c r="CH1429" s="50" t="n">
        <f aca="false">ROUNDUP(H1429/BV1429,0)</f>
        <v>1</v>
      </c>
      <c r="CI1429" s="50" t="n">
        <f aca="false">ROUNDUP(CF1429/BV1429,0)</f>
        <v>0</v>
      </c>
      <c r="CJ1429" s="53" t="n">
        <f aca="false">IF(BW1429=1,0,IFERROR(VLOOKUP(BU1429,'Gebinde-Kategorie'!$A$5:$N$45,5,0)+0,0))</f>
        <v>20</v>
      </c>
      <c r="CK1429" s="53" t="n">
        <f aca="false">IFERROR(IF(OR(CB1429=1,CB1429=2,CB1429=3),N(INDEX(Parameter!$I$5:$I$7,CB1429)),0),0)</f>
        <v>0</v>
      </c>
      <c r="CL1429" s="52" t="n">
        <f aca="false">IF(AND(Parameter!$B$21="Ja",ISNUMBER(W1429),N(X1429)&gt;0),IFERROR(N(INDEX(Parameter!$L$5:$L$7,W1429))*INDEX(Parameter!$E$5:$E$7,W1429)*X1429/SUMIFS($X$7:$X$1843,$W$7:$W$1843,W1429),0),0)</f>
        <v>0</v>
      </c>
    </row>
    <row r="1430" customFormat="false" ht="15" hidden="false" customHeight="false" outlineLevel="0" collapsed="false">
      <c r="A1430" s="48" t="s">
        <v>2510</v>
      </c>
      <c r="B1430" s="48" t="s">
        <v>2511</v>
      </c>
      <c r="C1430" s="48" t="s">
        <v>168</v>
      </c>
      <c r="D1430" s="48" t="s">
        <v>188</v>
      </c>
      <c r="E1430" s="48" t="s">
        <v>189</v>
      </c>
      <c r="F1430" s="48" t="s">
        <v>222</v>
      </c>
      <c r="G1430" s="49" t="n">
        <v>116.4</v>
      </c>
      <c r="H1430" s="50" t="n">
        <f aca="false">MAX(0,IF(AND(Parameter!$B$21="Ja",ISNUMBER(Y1430)),Y1430,IF(Parameter!$B$20="Jahresanfang 2025 + Export",BO1430+BN1430,BN1430)))</f>
        <v>58</v>
      </c>
      <c r="I1430" s="50" t="n">
        <f aca="false">H1430*G1430</f>
        <v>6751.2</v>
      </c>
      <c r="J1430" s="50" t="n">
        <f aca="false">BQ1430*Parameter!$B$18</f>
        <v>10</v>
      </c>
      <c r="K1430" s="51" t="n">
        <v>111</v>
      </c>
      <c r="L1430" s="52" t="n">
        <v>0.0900900900900901</v>
      </c>
      <c r="M1430" s="50" t="n">
        <v>0</v>
      </c>
      <c r="N1430" s="50" t="n">
        <v>10</v>
      </c>
      <c r="O1430" s="53" t="n">
        <v>28</v>
      </c>
      <c r="P1430" s="48" t="s">
        <v>297</v>
      </c>
      <c r="Q1430" s="50" t="n">
        <v>80</v>
      </c>
      <c r="R1430" s="53" t="n">
        <f aca="false">IF(BW1430=1,0,IFERROR(VLOOKUP(BU1430,'Gebinde-Kategorie'!$A$5:$N$45,13,0)+0,0))</f>
        <v>12</v>
      </c>
      <c r="S1430" s="54"/>
      <c r="T1430" s="55"/>
      <c r="U1430" s="55"/>
      <c r="V1430" s="55"/>
      <c r="W1430" s="48"/>
      <c r="X1430" s="50"/>
      <c r="Y1430" s="50"/>
      <c r="Z1430" s="48" t="n">
        <f aca="false">IF(A1430="","",IF(AND(Parameter!$B$21="Ja",ISNUMBER(W1430)),W1430,IF(BZ1430="2+3",IF(ISNUMBER(SEARCH("grosser Artikel",BR1430)),2,IFERROR(VLOOKUP(BU1430,Parameter!$F$35:$G$64,2,0),2)),IF(OR(BZ1430="Nein",BZ1430=""),"-",BZ1430))))</f>
        <v>2</v>
      </c>
      <c r="AA1430" s="55"/>
      <c r="AB1430" s="56"/>
      <c r="AC1430" s="50" t="n">
        <f aca="false">AT1430</f>
        <v>80</v>
      </c>
      <c r="AD1430" s="50" t="n">
        <f aca="false">MAX(AT1430,H1430)</f>
        <v>80</v>
      </c>
      <c r="AE1430" s="57"/>
      <c r="AF1430" s="50" t="n">
        <f aca="false">IF(LEFT(Cockpit!$C$5,1)="A",H1430,IF(CE1430=1,CF1430,IF(LEFT(Cockpit!$C$5,1)="B",AK1430,MAX(AK1430,H1430))))</f>
        <v>58</v>
      </c>
      <c r="AG1430" s="50" t="n">
        <f aca="false">IF(BW1430=1,0,ROUNDUP(AF1430/BV1430,0))</f>
        <v>1</v>
      </c>
      <c r="AH1430" s="52" t="n">
        <f aca="false">IF(CL1430&gt;0,CL1430*MAX(1,AF1430/X1430),IF(BW1430=1,IF(AF1430&lt;=0,0,CA1430*MAX(1,IF(H1430&gt;0,AF1430/H1430,1))),IF(R1430&gt;0,AG1430/R1430,0))/MAX(0.1,N(Parameter!$M$21)))</f>
        <v>0.0833333333333333</v>
      </c>
      <c r="AI1430" s="50" t="n">
        <f aca="false">AH1430*BY1430</f>
        <v>20.4166666666667</v>
      </c>
      <c r="AJ1430" s="50" t="n">
        <f aca="false">AF1430*G1430</f>
        <v>6751.2</v>
      </c>
      <c r="AK1430" s="50" t="n">
        <f aca="false">ROUNDUP(MAX(J1430/IF(CD1430&gt;0,CD1430,MAX(0.1,N(Cockpit!$C$6))),CG1430)/BV1430,0)*BV1430</f>
        <v>80</v>
      </c>
      <c r="AL1430" s="51" t="n">
        <f aca="false">IF(AI1430&gt;0,J1430/AI1430,-1)</f>
        <v>0.489795918367347</v>
      </c>
      <c r="AM1430" s="51" t="n">
        <f aca="false">IF(AND(OR(CC1430="L1",CC1430="L23",CC1430="LIFT"),AI1430&gt;0),SUMIFS($AI$7:$AI$1843,$CC$7:$CC$1843,CC1430,$AL$7:$AL$1843,"&gt;"&amp;AL1430)+SUMIFS($AI$7:$AI$1843,$CC$7:$CC$1843,CC1430,$AL$7:$AL$1843,AL1430,$BT$7:$BT$1843,"&lt;="&amp;BT1430),"")</f>
        <v>9642.67716934666</v>
      </c>
      <c r="AN1430" s="58" t="n">
        <f aca="false">IF(AM1430="",0,MAX(0,MIN(1,(IF(CC1430="L1",Parameter!$H$5,IF(CC1430="L23",Parameter!$H$6+Parameter!$H$7,Parameter!$H$5+Parameter!$H$6+Parameter!$H$7))-(AM1430-AI1430))/AI1430)))</f>
        <v>1</v>
      </c>
      <c r="AO1430" s="50" t="n">
        <f aca="false">IF(LEFT(Cockpit!$I$5,1)="A",H1430,IF(CE1430=1,CF1430,IF(LEFT(Cockpit!$I$5,1)="B",AT1430,MAX(AT1430,H1430))))</f>
        <v>80</v>
      </c>
      <c r="AP1430" s="50" t="n">
        <f aca="false">IF(BW1430=1,0,ROUNDUP(AO1430/BV1430,0))</f>
        <v>1</v>
      </c>
      <c r="AQ1430" s="52" t="n">
        <f aca="false">IF(CL1430&gt;0,CL1430*MAX(1,AO1430/X1430),IF(BW1430=1,IF(AO1430&lt;=0,0,CA1430*MAX(1,IF(H1430&gt;0,AO1430/H1430,1))),IF(R1430&gt;0,AP1430/R1430,0))/MAX(0.1,N(Parameter!$M$21)))</f>
        <v>0.0833333333333333</v>
      </c>
      <c r="AR1430" s="50" t="n">
        <f aca="false">AQ1430*BY1430</f>
        <v>20.4166666666667</v>
      </c>
      <c r="AS1430" s="50" t="n">
        <f aca="false">AO1430*G1430</f>
        <v>9312</v>
      </c>
      <c r="AT1430" s="50" t="n">
        <f aca="false">ROUNDUP(MAX(J1430/IF(CD1430&gt;0,CD1430,MAX(0.1,N(Cockpit!$I$6))),CG1430)/BV1430,0)*BV1430</f>
        <v>80</v>
      </c>
      <c r="AU1430" s="51" t="n">
        <f aca="false">IF(AR1430&gt;0,J1430/AR1430,-1)</f>
        <v>0.489795918367347</v>
      </c>
      <c r="AV1430" s="51" t="n">
        <f aca="false">IF(AND(OR(CC1430="L1",CC1430="L23",CC1430="LIFT"),AR1430&gt;0),SUMIFS($AR$7:$AR$1843,$CC$7:$CC$1843,CC1430,$AU$7:$AU$1843,"&gt;"&amp;AU1430)+SUMIFS($AR$7:$AR$1843,$CC$7:$CC$1843,CC1430,$AU$7:$AU$1843,AU1430,$BT$7:$BT$1843,"&lt;="&amp;BT1430),"")</f>
        <v>14291.8402014652</v>
      </c>
      <c r="AW1430" s="58" t="n">
        <f aca="false">IF(AV1430="",0,MAX(0,MIN(1,(IF(CC1430="L1",Parameter!$H$5,IF(CC1430="L23",Parameter!$H$6+Parameter!$H$7,Parameter!$H$5+Parameter!$H$6+Parameter!$H$7))-(AV1430-AR1430))/AR1430)))</f>
        <v>1</v>
      </c>
      <c r="AX1430" s="50" t="n">
        <f aca="false">IF(LEFT(Cockpit!$O$5,1)="A",H1430,IF(CE1430=1,CF1430,IF(LEFT(Cockpit!$O$5,1)="B",BC1430,MAX(BC1430,H1430))))</f>
        <v>80</v>
      </c>
      <c r="AY1430" s="50" t="n">
        <f aca="false">IF(BW1430=1,0,ROUNDUP(AX1430/BV1430,0))</f>
        <v>1</v>
      </c>
      <c r="AZ1430" s="52" t="n">
        <f aca="false">IF(CL1430&gt;0,CL1430*MAX(1,AX1430/X1430),IF(BW1430=1,IF(AX1430&lt;=0,0,CA1430*MAX(1,IF(H1430&gt;0,AX1430/H1430,1))),IF(R1430&gt;0,AY1430/R1430,0))/MAX(0.1,N(Parameter!$M$21)))</f>
        <v>0.0833333333333333</v>
      </c>
      <c r="BA1430" s="50" t="n">
        <f aca="false">AZ1430*BY1430</f>
        <v>20.4166666666667</v>
      </c>
      <c r="BB1430" s="50" t="n">
        <f aca="false">AX1430*G1430</f>
        <v>9312</v>
      </c>
      <c r="BC1430" s="50" t="n">
        <f aca="false">ROUNDUP(MAX(J1430/IF(CD1430&gt;0,CD1430,MAX(0.1,N(Cockpit!$O$6))),CG1430)/BV1430,0)*BV1430</f>
        <v>80</v>
      </c>
      <c r="BD1430" s="51" t="n">
        <f aca="false">IF(BA1430&gt;0,J1430/BA1430,-1)</f>
        <v>0.489795918367347</v>
      </c>
      <c r="BE1430" s="51" t="n">
        <f aca="false">IF(AND(OR(CC1430="L1",CC1430="L23",CC1430="LIFT"),BA1430&gt;0),SUMIFS($BA$7:$BA$1843,$CC$7:$CC$1843,CC1430,$BD$7:$BD$1843,"&gt;"&amp;BD1430)+SUMIFS($BA$7:$BA$1843,$CC$7:$CC$1843,CC1430,$BD$7:$BD$1843,BD1430,$BT$7:$BT$1843,"&lt;="&amp;BT1430),"")</f>
        <v>13287.4972527473</v>
      </c>
      <c r="BF1430" s="58" t="n">
        <f aca="false">IF(BE1430="",0,MAX(0,MIN(1,(IF(CC1430="L1",Parameter!$H$5,IF(CC1430="L23",Parameter!$H$6+Parameter!$H$7,Parameter!$H$5+Parameter!$H$6+Parameter!$H$7))-(BE1430-BA1430))/BA1430)))</f>
        <v>1</v>
      </c>
      <c r="BG1430" s="48" t="str">
        <f aca="false">IF(AI1430&lt;=0,"",IF(CC1430="Aussen","Aussenlager",IF(CC1430="-","Nicht im Lift",IF(AN1430&gt;=1,"Lift",IF(AN1430&lt;=0,"Aussenlager","teilweise")))))</f>
        <v>Lift</v>
      </c>
      <c r="BH1430" s="48" t="str">
        <f aca="false">IF(AR1430&lt;=0,"",IF(CC1430="Aussen","Aussenlager",IF(CC1430="-","Nicht im Lift",IF(AW1430&gt;=1,"Lift",IF(AW1430&lt;=0,"Aussenlager","teilweise")))))</f>
        <v>Lift</v>
      </c>
      <c r="BI1430" s="48" t="str">
        <f aca="false">IF(BA1430&lt;=0,"",IF(CC1430="Aussen","Aussenlager",IF(CC1430="-","Nicht im Lift",IF(BF1430&gt;=1,"Lift",IF(BF1430&lt;=0,"Aussenlager","teilweise")))))</f>
        <v>Lift</v>
      </c>
      <c r="BJ1430" s="48" t="str">
        <f aca="false">IF(A1430="","",IF(BS1430=1,"Neu; ","")&amp;IF(AND(BS1430=0,BN1430&lt;0),"negativer Bestand (Export "&amp;BN1430&amp;"); ","")&amp;IF(J1430&lt;=0,"Kein Verbrauch; ","")&amp;IF(CL1430&gt;0,"Lift "&amp;W1430&amp;" lt. Liftbericht (Fach "&amp;X1430&amp;" Stk); ",IF(BX1430=1,"Gebinde geschätzt ("&amp;T1430&amp;"); ",IF(BW1430=1,"Lose – Tablare geschätzt; ","")))&amp;IF(H1430&gt;AT1430,"Überbestand "&amp;ROUND(H1430-AT1430,0)&amp;" Stk / CHF "&amp;ROUND((H1430-AT1430)*G1430,0)&amp;"; ","")&amp;IF(AND(CE1430=1,CF1430&lt;CG1430),"MAX &lt; MB+LG; ","")&amp;IF(AND(CK1430&gt;0,CJ1430*10&gt;CK1430),"zu hoch für Tablar; ","")&amp;IF(AND(BS1430=0,OR(CE1430=1,AA1430&lt;&gt;"",U1430&lt;&gt;"",V1430&lt;&gt;"",AB1430&lt;&gt;"")),"manuell übersteuert; ","")&amp;IF(AND(BW1430=0,R1430=0),"Gebinde unbekannt / Stellmass fehlt; ","")&amp;IF(AND(BW1430=0,N(V1430)&lt;=0,N(Q1430)&lt;=0),"Menge pro Gebinde fehlt (Ist = 1 Gebinde); ","")&amp;BR1430)</f>
        <v>negativer Bestand (Export -58); </v>
      </c>
      <c r="BK1430" s="48"/>
      <c r="BL1430" s="48"/>
      <c r="BM1430" s="55"/>
      <c r="BN1430" s="50" t="n">
        <v>-58</v>
      </c>
      <c r="BO1430" s="50" t="n">
        <v>116</v>
      </c>
      <c r="BP1430" s="49" t="n">
        <v>-6751.2</v>
      </c>
      <c r="BQ1430" s="50" t="n">
        <v>10</v>
      </c>
      <c r="BR1430" s="48"/>
      <c r="BS1430" s="53" t="n">
        <v>0</v>
      </c>
      <c r="BT1430" s="53" t="n">
        <v>1430</v>
      </c>
      <c r="BU1430" s="48" t="str">
        <f aca="false">IF(U1430&lt;&gt;"",UPPER(TRIM(U1430)),IF(BX1430=1,UPPER(VLOOKUP(T1430,Parameter!$I$27:$K$29,2,0)),IF(P1430="","LOSE",P1430)))</f>
        <v>S62</v>
      </c>
      <c r="BV1430" s="50" t="n">
        <f aca="false">IF(BU1430="LOSE",1,IF(N(V1430)&gt;0,V1430,IF(BX1430=1,MAX(1,N(VLOOKUP(T1430,Parameter!$I$27:$K$29,3,0)),H1430,N(N1430)),IF(N(Q1430)&gt;0,Q1430,MAX(1,H1430)))))</f>
        <v>80</v>
      </c>
      <c r="BW1430" s="53" t="n">
        <f aca="false">IF(BU1430="LOSE",1,0)</f>
        <v>0</v>
      </c>
      <c r="BX1430" s="53" t="n">
        <f aca="false">IF(AND(U1430="",OR(P1430="",P1430="LOSE"),T1430&lt;&gt;"",N(S1430)&lt;=0,ISNUMBER(MATCH(T1430,Parameter!$I$27:$I$29,0))),1,0)</f>
        <v>0</v>
      </c>
      <c r="BY1430" s="53" t="n">
        <f aca="false">IF(CL1430&gt;0,INDEX(Parameter!$H$5:$H$7,W1430)/INDEX(Parameter!$E$5:$E$7,W1430),IF(AND(BW1430=0,N(IFERROR(VLOOKUP(BU1430,'Gebinde-Kategorie'!$A$5:$N$45,14,0),0))&gt;0),VLOOKUP(BU1430,'Gebinde-Kategorie'!$A$5:$N$45,14,0)*10+Parameter!$M$23,Parameter!$M$24))</f>
        <v>245</v>
      </c>
      <c r="BZ1430" s="48" t="str">
        <f aca="false">IF(AND(Parameter!$B$19="Ja",E1430&lt;&gt;"",ISNUMBER(MATCH(E1430,Parameter!$I$35:$I$52,0))),VLOOKUP(E1430,Parameter!$I$35:$J$52,2,0),IFERROR(VLOOKUP(D1430,Parameter!$A$35:$C$64,2,0),"Nein"))</f>
        <v>2+3</v>
      </c>
      <c r="CA1430" s="52" t="n">
        <f aca="false">IF(BW1430=0,0,IF(N(S1430)&gt;0,S1430,IFERROR(VLOOKUP(D1430,Parameter!$A$35:$C$64,3,0)+0,0)))</f>
        <v>0</v>
      </c>
      <c r="CB1430" s="48" t="n">
        <f aca="false">IF(AA1430&lt;&gt;"",AA1430,Z1430)</f>
        <v>2</v>
      </c>
      <c r="CC1430" s="48" t="str">
        <f aca="false">IF(OR(CB1430=1,CB1430=2,CB1430=3),IF(Parameter!$E$27="Ja","LIFT",IF(CB1430=1,"L1","L23")),IF(CB1430="Aussen","Aussen","-"))</f>
        <v>LIFT</v>
      </c>
      <c r="CD1430" s="59" t="n">
        <f aca="false">IF(N(AB1430)&gt;0,AB1430,0)</f>
        <v>0</v>
      </c>
      <c r="CE1430" s="53" t="n">
        <f aca="false">IF(ISNUMBER(AE1430),1,0)</f>
        <v>0</v>
      </c>
      <c r="CF1430" s="50" t="n">
        <f aca="false">N(AE1430)</f>
        <v>0</v>
      </c>
      <c r="CG1430" s="50" t="n">
        <f aca="false">N(M1430)+N(N1430)</f>
        <v>10</v>
      </c>
      <c r="CH1430" s="50" t="n">
        <f aca="false">ROUNDUP(H1430/BV1430,0)</f>
        <v>1</v>
      </c>
      <c r="CI1430" s="50" t="n">
        <f aca="false">ROUNDUP(CF1430/BV1430,0)</f>
        <v>0</v>
      </c>
      <c r="CJ1430" s="53" t="n">
        <f aca="false">IF(BW1430=1,0,IFERROR(VLOOKUP(BU1430,'Gebinde-Kategorie'!$A$5:$N$45,5,0)+0,0))</f>
        <v>21</v>
      </c>
      <c r="CK1430" s="53" t="n">
        <f aca="false">IFERROR(IF(OR(CB1430=1,CB1430=2,CB1430=3),N(INDEX(Parameter!$I$5:$I$7,CB1430)),0),0)</f>
        <v>0</v>
      </c>
      <c r="CL1430" s="52" t="n">
        <f aca="false">IF(AND(Parameter!$B$21="Ja",ISNUMBER(W1430),N(X1430)&gt;0),IFERROR(N(INDEX(Parameter!$L$5:$L$7,W1430))*INDEX(Parameter!$E$5:$E$7,W1430)*X1430/SUMIFS($X$7:$X$1843,$W$7:$W$1843,W1430),0),0)</f>
        <v>0</v>
      </c>
    </row>
    <row r="1431" customFormat="false" ht="15" hidden="false" customHeight="false" outlineLevel="0" collapsed="false">
      <c r="A1431" s="48" t="s">
        <v>2512</v>
      </c>
      <c r="B1431" s="48" t="s">
        <v>792</v>
      </c>
      <c r="C1431" s="48" t="s">
        <v>168</v>
      </c>
      <c r="D1431" s="48" t="s">
        <v>177</v>
      </c>
      <c r="E1431" s="48" t="s">
        <v>189</v>
      </c>
      <c r="F1431" s="48" t="s">
        <v>222</v>
      </c>
      <c r="G1431" s="49" t="n">
        <v>285.45</v>
      </c>
      <c r="H1431" s="50" t="n">
        <f aca="false">MAX(0,IF(AND(Parameter!$B$21="Ja",ISNUMBER(Y1431)),Y1431,IF(Parameter!$B$20="Jahresanfang 2025 + Export",BO1431+BN1431,BN1431)))</f>
        <v>52</v>
      </c>
      <c r="I1431" s="50" t="n">
        <f aca="false">H1431*G1431</f>
        <v>14843.4</v>
      </c>
      <c r="J1431" s="50" t="n">
        <f aca="false">BQ1431*Parameter!$B$18</f>
        <v>310</v>
      </c>
      <c r="K1431" s="51" t="n">
        <v>64</v>
      </c>
      <c r="L1431" s="52" t="n">
        <v>4.84375</v>
      </c>
      <c r="M1431" s="50" t="n">
        <v>18</v>
      </c>
      <c r="N1431" s="50" t="n">
        <v>60</v>
      </c>
      <c r="O1431" s="53" t="n">
        <v>21</v>
      </c>
      <c r="P1431" s="48" t="s">
        <v>178</v>
      </c>
      <c r="Q1431" s="50" t="n">
        <v>112</v>
      </c>
      <c r="R1431" s="53" t="n">
        <f aca="false">IF(BW1431=1,0,IFERROR(VLOOKUP(BU1431,'Gebinde-Kategorie'!$A$5:$N$45,13,0)+0,0))</f>
        <v>6</v>
      </c>
      <c r="S1431" s="54"/>
      <c r="T1431" s="55"/>
      <c r="U1431" s="55"/>
      <c r="V1431" s="55"/>
      <c r="W1431" s="48"/>
      <c r="X1431" s="50"/>
      <c r="Y1431" s="50"/>
      <c r="Z1431" s="48" t="n">
        <f aca="false">IF(A1431="","",IF(AND(Parameter!$B$21="Ja",ISNUMBER(W1431)),W1431,IF(BZ1431="2+3",IF(ISNUMBER(SEARCH("grosser Artikel",BR1431)),2,IFERROR(VLOOKUP(BU1431,Parameter!$F$35:$G$64,2,0),2)),IF(OR(BZ1431="Nein",BZ1431=""),"-",BZ1431))))</f>
        <v>2</v>
      </c>
      <c r="AA1431" s="55"/>
      <c r="AB1431" s="56"/>
      <c r="AC1431" s="50" t="n">
        <f aca="false">AT1431</f>
        <v>224</v>
      </c>
      <c r="AD1431" s="50" t="n">
        <f aca="false">MAX(AT1431,H1431)</f>
        <v>224</v>
      </c>
      <c r="AE1431" s="57"/>
      <c r="AF1431" s="50" t="n">
        <f aca="false">IF(LEFT(Cockpit!$C$5,1)="A",H1431,IF(CE1431=1,CF1431,IF(LEFT(Cockpit!$C$5,1)="B",AK1431,MAX(AK1431,H1431))))</f>
        <v>52</v>
      </c>
      <c r="AG1431" s="50" t="n">
        <f aca="false">IF(BW1431=1,0,ROUNDUP(AF1431/BV1431,0))</f>
        <v>1</v>
      </c>
      <c r="AH1431" s="52" t="n">
        <f aca="false">IF(CL1431&gt;0,CL1431*MAX(1,AF1431/X1431),IF(BW1431=1,IF(AF1431&lt;=0,0,CA1431*MAX(1,IF(H1431&gt;0,AF1431/H1431,1))),IF(R1431&gt;0,AG1431/R1431,0))/MAX(0.1,N(Parameter!$M$21)))</f>
        <v>0.166666666666667</v>
      </c>
      <c r="AI1431" s="50" t="n">
        <f aca="false">AH1431*BY1431</f>
        <v>39.1666666666667</v>
      </c>
      <c r="AJ1431" s="50" t="n">
        <f aca="false">AF1431*G1431</f>
        <v>14843.4</v>
      </c>
      <c r="AK1431" s="50" t="n">
        <f aca="false">ROUNDUP(MAX(J1431/IF(CD1431&gt;0,CD1431,MAX(0.1,N(Cockpit!$C$6))),CG1431)/BV1431,0)*BV1431</f>
        <v>224</v>
      </c>
      <c r="AL1431" s="51" t="n">
        <f aca="false">IF(AI1431&gt;0,J1431/AI1431,-1)</f>
        <v>7.91489361702128</v>
      </c>
      <c r="AM1431" s="51" t="n">
        <f aca="false">IF(AND(OR(CC1431="L1",CC1431="L23",CC1431="LIFT"),AI1431&gt;0),SUMIFS($AI$7:$AI$1843,$CC$7:$CC$1843,CC1431,$AL$7:$AL$1843,"&gt;"&amp;AL1431)+SUMIFS($AI$7:$AI$1843,$CC$7:$CC$1843,CC1431,$AL$7:$AL$1843,AL1431,$BT$7:$BT$1843,"&lt;="&amp;BT1431),"")</f>
        <v>3088.76923076923</v>
      </c>
      <c r="AN1431" s="58" t="n">
        <f aca="false">IF(AM1431="",0,MAX(0,MIN(1,(IF(CC1431="L1",Parameter!$H$5,IF(CC1431="L23",Parameter!$H$6+Parameter!$H$7,Parameter!$H$5+Parameter!$H$6+Parameter!$H$7))-(AM1431-AI1431))/AI1431)))</f>
        <v>1</v>
      </c>
      <c r="AO1431" s="50" t="n">
        <f aca="false">IF(LEFT(Cockpit!$I$5,1)="A",H1431,IF(CE1431=1,CF1431,IF(LEFT(Cockpit!$I$5,1)="B",AT1431,MAX(AT1431,H1431))))</f>
        <v>224</v>
      </c>
      <c r="AP1431" s="50" t="n">
        <f aca="false">IF(BW1431=1,0,ROUNDUP(AO1431/BV1431,0))</f>
        <v>2</v>
      </c>
      <c r="AQ1431" s="52" t="n">
        <f aca="false">IF(CL1431&gt;0,CL1431*MAX(1,AO1431/X1431),IF(BW1431=1,IF(AO1431&lt;=0,0,CA1431*MAX(1,IF(H1431&gt;0,AO1431/H1431,1))),IF(R1431&gt;0,AP1431/R1431,0))/MAX(0.1,N(Parameter!$M$21)))</f>
        <v>0.333333333333333</v>
      </c>
      <c r="AR1431" s="50" t="n">
        <f aca="false">AQ1431*BY1431</f>
        <v>78.3333333333333</v>
      </c>
      <c r="AS1431" s="50" t="n">
        <f aca="false">AO1431*G1431</f>
        <v>63940.8</v>
      </c>
      <c r="AT1431" s="50" t="n">
        <f aca="false">ROUNDUP(MAX(J1431/IF(CD1431&gt;0,CD1431,MAX(0.1,N(Cockpit!$I$6))),CG1431)/BV1431,0)*BV1431</f>
        <v>224</v>
      </c>
      <c r="AU1431" s="51" t="n">
        <f aca="false">IF(AR1431&gt;0,J1431/AR1431,-1)</f>
        <v>3.95744680851064</v>
      </c>
      <c r="AV1431" s="51" t="n">
        <f aca="false">IF(AND(OR(CC1431="L1",CC1431="L23",CC1431="LIFT"),AR1431&gt;0),SUMIFS($AR$7:$AR$1843,$CC$7:$CC$1843,CC1431,$AU$7:$AU$1843,"&gt;"&amp;AU1431)+SUMIFS($AR$7:$AR$1843,$CC$7:$CC$1843,CC1431,$AU$7:$AU$1843,AU1431,$BT$7:$BT$1843,"&lt;="&amp;BT1431),"")</f>
        <v>5707.88049450549</v>
      </c>
      <c r="AW1431" s="58" t="n">
        <f aca="false">IF(AV1431="",0,MAX(0,MIN(1,(IF(CC1431="L1",Parameter!$H$5,IF(CC1431="L23",Parameter!$H$6+Parameter!$H$7,Parameter!$H$5+Parameter!$H$6+Parameter!$H$7))-(AV1431-AR1431))/AR1431)))</f>
        <v>1</v>
      </c>
      <c r="AX1431" s="50" t="n">
        <f aca="false">IF(LEFT(Cockpit!$O$5,1)="A",H1431,IF(CE1431=1,CF1431,IF(LEFT(Cockpit!$O$5,1)="B",BC1431,MAX(BC1431,H1431))))</f>
        <v>112</v>
      </c>
      <c r="AY1431" s="50" t="n">
        <f aca="false">IF(BW1431=1,0,ROUNDUP(AX1431/BV1431,0))</f>
        <v>1</v>
      </c>
      <c r="AZ1431" s="52" t="n">
        <f aca="false">IF(CL1431&gt;0,CL1431*MAX(1,AX1431/X1431),IF(BW1431=1,IF(AX1431&lt;=0,0,CA1431*MAX(1,IF(H1431&gt;0,AX1431/H1431,1))),IF(R1431&gt;0,AY1431/R1431,0))/MAX(0.1,N(Parameter!$M$21)))</f>
        <v>0.166666666666667</v>
      </c>
      <c r="BA1431" s="50" t="n">
        <f aca="false">AZ1431*BY1431</f>
        <v>39.1666666666667</v>
      </c>
      <c r="BB1431" s="50" t="n">
        <f aca="false">AX1431*G1431</f>
        <v>31970.4</v>
      </c>
      <c r="BC1431" s="50" t="n">
        <f aca="false">ROUNDUP(MAX(J1431/IF(CD1431&gt;0,CD1431,MAX(0.1,N(Cockpit!$O$6))),CG1431)/BV1431,0)*BV1431</f>
        <v>112</v>
      </c>
      <c r="BD1431" s="51" t="n">
        <f aca="false">IF(BA1431&gt;0,J1431/BA1431,-1)</f>
        <v>7.91489361702128</v>
      </c>
      <c r="BE1431" s="51" t="n">
        <f aca="false">IF(AND(OR(CC1431="L1",CC1431="L23",CC1431="LIFT"),BA1431&gt;0),SUMIFS($BA$7:$BA$1843,$CC$7:$CC$1843,CC1431,$BD$7:$BD$1843,"&gt;"&amp;BD1431)+SUMIFS($BA$7:$BA$1843,$CC$7:$CC$1843,CC1431,$BD$7:$BD$1843,BD1431,$BT$7:$BT$1843,"&lt;="&amp;BT1431),"")</f>
        <v>3982.95970695971</v>
      </c>
      <c r="BF1431" s="58" t="n">
        <f aca="false">IF(BE1431="",0,MAX(0,MIN(1,(IF(CC1431="L1",Parameter!$H$5,IF(CC1431="L23",Parameter!$H$6+Parameter!$H$7,Parameter!$H$5+Parameter!$H$6+Parameter!$H$7))-(BE1431-BA1431))/BA1431)))</f>
        <v>1</v>
      </c>
      <c r="BG1431" s="48" t="str">
        <f aca="false">IF(AI1431&lt;=0,"",IF(CC1431="Aussen","Aussenlager",IF(CC1431="-","Nicht im Lift",IF(AN1431&gt;=1,"Lift",IF(AN1431&lt;=0,"Aussenlager","teilweise")))))</f>
        <v>Lift</v>
      </c>
      <c r="BH1431" s="48" t="str">
        <f aca="false">IF(AR1431&lt;=0,"",IF(CC1431="Aussen","Aussenlager",IF(CC1431="-","Nicht im Lift",IF(AW1431&gt;=1,"Lift",IF(AW1431&lt;=0,"Aussenlager","teilweise")))))</f>
        <v>Lift</v>
      </c>
      <c r="BI1431" s="48" t="str">
        <f aca="false">IF(BA1431&lt;=0,"",IF(CC1431="Aussen","Aussenlager",IF(CC1431="-","Nicht im Lift",IF(BF1431&gt;=1,"Lift",IF(BF1431&lt;=0,"Aussenlager","teilweise")))))</f>
        <v>Lift</v>
      </c>
      <c r="BJ1431" s="48" t="str">
        <f aca="false">IF(A1431="","",IF(BS1431=1,"Neu; ","")&amp;IF(AND(BS1431=0,BN1431&lt;0),"negativer Bestand (Export "&amp;BN1431&amp;"); ","")&amp;IF(J1431&lt;=0,"Kein Verbrauch; ","")&amp;IF(CL1431&gt;0,"Lift "&amp;W1431&amp;" lt. Liftbericht (Fach "&amp;X1431&amp;" Stk); ",IF(BX1431=1,"Gebinde geschätzt ("&amp;T1431&amp;"); ",IF(BW1431=1,"Lose – Tablare geschätzt; ","")))&amp;IF(H1431&gt;AT1431,"Überbestand "&amp;ROUND(H1431-AT1431,0)&amp;" Stk / CHF "&amp;ROUND((H1431-AT1431)*G1431,0)&amp;"; ","")&amp;IF(AND(CE1431=1,CF1431&lt;CG1431),"MAX &lt; MB+LG; ","")&amp;IF(AND(CK1431&gt;0,CJ1431*10&gt;CK1431),"zu hoch für Tablar; ","")&amp;IF(AND(BS1431=0,OR(CE1431=1,AA1431&lt;&gt;"",U1431&lt;&gt;"",V1431&lt;&gt;"",AB1431&lt;&gt;"")),"manuell übersteuert; ","")&amp;IF(AND(BW1431=0,R1431=0),"Gebinde unbekannt / Stellmass fehlt; ","")&amp;IF(AND(BW1431=0,N(V1431)&lt;=0,N(Q1431)&lt;=0),"Menge pro Gebinde fehlt (Ist = 1 Gebinde); ","")&amp;BR1431)</f>
        <v>negativer Bestand (Export -14); grosser Artikel &amp; nicht im KTL</v>
      </c>
      <c r="BK1431" s="48"/>
      <c r="BL1431" s="48"/>
      <c r="BM1431" s="55"/>
      <c r="BN1431" s="50" t="n">
        <v>-14</v>
      </c>
      <c r="BO1431" s="50" t="n">
        <v>66</v>
      </c>
      <c r="BP1431" s="49" t="n">
        <v>-6931.97999999999</v>
      </c>
      <c r="BQ1431" s="50" t="n">
        <v>310</v>
      </c>
      <c r="BR1431" s="48" t="s">
        <v>265</v>
      </c>
      <c r="BS1431" s="53" t="n">
        <v>0</v>
      </c>
      <c r="BT1431" s="53" t="n">
        <v>1431</v>
      </c>
      <c r="BU1431" s="48" t="str">
        <f aca="false">IF(U1431&lt;&gt;"",UPPER(TRIM(U1431)),IF(BX1431=1,UPPER(VLOOKUP(T1431,Parameter!$I$27:$K$29,2,0)),IF(P1431="","LOSE",P1431)))</f>
        <v>S71</v>
      </c>
      <c r="BV1431" s="50" t="n">
        <f aca="false">IF(BU1431="LOSE",1,IF(N(V1431)&gt;0,V1431,IF(BX1431=1,MAX(1,N(VLOOKUP(T1431,Parameter!$I$27:$K$29,3,0)),H1431,N(N1431)),IF(N(Q1431)&gt;0,Q1431,MAX(1,H1431)))))</f>
        <v>112</v>
      </c>
      <c r="BW1431" s="53" t="n">
        <f aca="false">IF(BU1431="LOSE",1,0)</f>
        <v>0</v>
      </c>
      <c r="BX1431" s="53" t="n">
        <f aca="false">IF(AND(U1431="",OR(P1431="",P1431="LOSE"),T1431&lt;&gt;"",N(S1431)&lt;=0,ISNUMBER(MATCH(T1431,Parameter!$I$27:$I$29,0))),1,0)</f>
        <v>0</v>
      </c>
      <c r="BY1431" s="53" t="n">
        <f aca="false">IF(CL1431&gt;0,INDEX(Parameter!$H$5:$H$7,W1431)/INDEX(Parameter!$E$5:$E$7,W1431),IF(AND(BW1431=0,N(IFERROR(VLOOKUP(BU1431,'Gebinde-Kategorie'!$A$5:$N$45,14,0),0))&gt;0),VLOOKUP(BU1431,'Gebinde-Kategorie'!$A$5:$N$45,14,0)*10+Parameter!$M$23,Parameter!$M$24))</f>
        <v>235</v>
      </c>
      <c r="BZ1431" s="48" t="str">
        <f aca="false">IF(AND(Parameter!$B$19="Ja",E1431&lt;&gt;"",ISNUMBER(MATCH(E1431,Parameter!$I$35:$I$52,0))),VLOOKUP(E1431,Parameter!$I$35:$J$52,2,0),IFERROR(VLOOKUP(D1431,Parameter!$A$35:$C$64,2,0),"Nein"))</f>
        <v>2+3</v>
      </c>
      <c r="CA1431" s="52" t="n">
        <f aca="false">IF(BW1431=0,0,IF(N(S1431)&gt;0,S1431,IFERROR(VLOOKUP(D1431,Parameter!$A$35:$C$64,3,0)+0,0)))</f>
        <v>0</v>
      </c>
      <c r="CB1431" s="48" t="n">
        <f aca="false">IF(AA1431&lt;&gt;"",AA1431,Z1431)</f>
        <v>2</v>
      </c>
      <c r="CC1431" s="48" t="str">
        <f aca="false">IF(OR(CB1431=1,CB1431=2,CB1431=3),IF(Parameter!$E$27="Ja","LIFT",IF(CB1431=1,"L1","L23")),IF(CB1431="Aussen","Aussen","-"))</f>
        <v>LIFT</v>
      </c>
      <c r="CD1431" s="59" t="n">
        <f aca="false">IF(N(AB1431)&gt;0,AB1431,0)</f>
        <v>0</v>
      </c>
      <c r="CE1431" s="53" t="n">
        <f aca="false">IF(ISNUMBER(AE1431),1,0)</f>
        <v>0</v>
      </c>
      <c r="CF1431" s="50" t="n">
        <f aca="false">N(AE1431)</f>
        <v>0</v>
      </c>
      <c r="CG1431" s="50" t="n">
        <f aca="false">N(M1431)+N(N1431)</f>
        <v>78</v>
      </c>
      <c r="CH1431" s="50" t="n">
        <f aca="false">ROUNDUP(H1431/BV1431,0)</f>
        <v>1</v>
      </c>
      <c r="CI1431" s="50" t="n">
        <f aca="false">ROUNDUP(CF1431/BV1431,0)</f>
        <v>0</v>
      </c>
      <c r="CJ1431" s="53" t="n">
        <f aca="false">IF(BW1431=1,0,IFERROR(VLOOKUP(BU1431,'Gebinde-Kategorie'!$A$5:$N$45,5,0)+0,0))</f>
        <v>20</v>
      </c>
      <c r="CK1431" s="53" t="n">
        <f aca="false">IFERROR(IF(OR(CB1431=1,CB1431=2,CB1431=3),N(INDEX(Parameter!$I$5:$I$7,CB1431)),0),0)</f>
        <v>0</v>
      </c>
      <c r="CL1431" s="52" t="n">
        <f aca="false">IF(AND(Parameter!$B$21="Ja",ISNUMBER(W1431),N(X1431)&gt;0),IFERROR(N(INDEX(Parameter!$L$5:$L$7,W1431))*INDEX(Parameter!$E$5:$E$7,W1431)*X1431/SUMIFS($X$7:$X$1843,$W$7:$W$1843,W1431),0),0)</f>
        <v>0</v>
      </c>
    </row>
    <row r="1432" customFormat="false" ht="15" hidden="false" customHeight="false" outlineLevel="0" collapsed="false">
      <c r="A1432" s="48" t="s">
        <v>2513</v>
      </c>
      <c r="B1432" s="48" t="s">
        <v>167</v>
      </c>
      <c r="C1432" s="48" t="s">
        <v>168</v>
      </c>
      <c r="D1432" s="48" t="s">
        <v>169</v>
      </c>
      <c r="E1432" s="48" t="s">
        <v>170</v>
      </c>
      <c r="F1432" s="48" t="s">
        <v>222</v>
      </c>
      <c r="G1432" s="49" t="n">
        <v>2330</v>
      </c>
      <c r="H1432" s="50" t="n">
        <f aca="false">MAX(0,IF(AND(Parameter!$B$21="Ja",ISNUMBER(Y1432)),Y1432,IF(Parameter!$B$20="Jahresanfang 2025 + Export",BO1432+BN1432,BN1432)))</f>
        <v>1</v>
      </c>
      <c r="I1432" s="50" t="n">
        <f aca="false">H1432*G1432</f>
        <v>2330</v>
      </c>
      <c r="J1432" s="50" t="n">
        <f aca="false">BQ1432*Parameter!$B$18</f>
        <v>1</v>
      </c>
      <c r="K1432" s="51" t="n">
        <v>3.5</v>
      </c>
      <c r="L1432" s="52" t="n">
        <v>0.285714285714286</v>
      </c>
      <c r="M1432" s="50" t="n">
        <v>0</v>
      </c>
      <c r="N1432" s="50" t="n">
        <v>1</v>
      </c>
      <c r="O1432" s="53" t="n">
        <v>58</v>
      </c>
      <c r="P1432" s="48" t="s">
        <v>172</v>
      </c>
      <c r="Q1432" s="50"/>
      <c r="R1432" s="53" t="n">
        <f aca="false">IF(BW1432=1,0,IFERROR(VLOOKUP(BU1432,'Gebinde-Kategorie'!$A$5:$N$45,13,0)+0,0))</f>
        <v>0</v>
      </c>
      <c r="S1432" s="54"/>
      <c r="T1432" s="55"/>
      <c r="U1432" s="55"/>
      <c r="V1432" s="55"/>
      <c r="W1432" s="48" t="n">
        <v>1</v>
      </c>
      <c r="X1432" s="50" t="n">
        <v>3</v>
      </c>
      <c r="Y1432" s="50" t="n">
        <v>1</v>
      </c>
      <c r="Z1432" s="48" t="n">
        <f aca="false">IF(A1432="","",IF(AND(Parameter!$B$21="Ja",ISNUMBER(W1432)),W1432,IF(BZ1432="2+3",IF(ISNUMBER(SEARCH("grosser Artikel",BR1432)),2,IFERROR(VLOOKUP(BU1432,Parameter!$F$35:$G$64,2,0),2)),IF(OR(BZ1432="Nein",BZ1432=""),"-",BZ1432))))</f>
        <v>1</v>
      </c>
      <c r="AA1432" s="55"/>
      <c r="AB1432" s="56"/>
      <c r="AC1432" s="50" t="n">
        <f aca="false">AT1432</f>
        <v>1</v>
      </c>
      <c r="AD1432" s="50" t="n">
        <f aca="false">MAX(AT1432,H1432)</f>
        <v>1</v>
      </c>
      <c r="AE1432" s="57"/>
      <c r="AF1432" s="50" t="n">
        <f aca="false">IF(LEFT(Cockpit!$C$5,1)="A",H1432,IF(CE1432=1,CF1432,IF(LEFT(Cockpit!$C$5,1)="B",AK1432,MAX(AK1432,H1432))))</f>
        <v>1</v>
      </c>
      <c r="AG1432" s="50" t="n">
        <f aca="false">IF(BW1432=1,0,ROUNDUP(AF1432/BV1432,0))</f>
        <v>0</v>
      </c>
      <c r="AH1432" s="52" t="n">
        <f aca="false">IF(CL1432&gt;0,CL1432*MAX(1,AF1432/X1432),IF(BW1432=1,IF(AF1432&lt;=0,0,CA1432*MAX(1,IF(H1432&gt;0,AF1432/H1432,1))),IF(R1432&gt;0,AG1432/R1432,0))/MAX(0.1,N(Parameter!$M$21)))</f>
        <v>0.240112994350283</v>
      </c>
      <c r="AI1432" s="50" t="n">
        <f aca="false">AH1432*BY1432</f>
        <v>57.1468926553672</v>
      </c>
      <c r="AJ1432" s="50" t="n">
        <f aca="false">AF1432*G1432</f>
        <v>2330</v>
      </c>
      <c r="AK1432" s="50" t="n">
        <f aca="false">ROUNDUP(MAX(J1432/IF(CD1432&gt;0,CD1432,MAX(0.1,N(Cockpit!$C$6))),CG1432)/BV1432,0)*BV1432</f>
        <v>1</v>
      </c>
      <c r="AL1432" s="51" t="n">
        <f aca="false">IF(AI1432&gt;0,J1432/AI1432,-1)</f>
        <v>0.017498764211567</v>
      </c>
      <c r="AM1432" s="51" t="n">
        <f aca="false">IF(AND(OR(CC1432="L1",CC1432="L23",CC1432="LIFT"),AI1432&gt;0),SUMIFS($AI$7:$AI$1843,$CC$7:$CC$1843,CC1432,$AL$7:$AL$1843,"&gt;"&amp;AL1432)+SUMIFS($AI$7:$AI$1843,$CC$7:$CC$1843,CC1432,$AL$7:$AL$1843,AL1432,$BT$7:$BT$1843,"&lt;="&amp;BT1432),"")</f>
        <v>23587.1708858467</v>
      </c>
      <c r="AN1432" s="58" t="n">
        <f aca="false">IF(AM1432="",0,MAX(0,MIN(1,(IF(CC1432="L1",Parameter!$H$5,IF(CC1432="L23",Parameter!$H$6+Parameter!$H$7,Parameter!$H$5+Parameter!$H$6+Parameter!$H$7))-(AM1432-AI1432))/AI1432)))</f>
        <v>1</v>
      </c>
      <c r="AO1432" s="50" t="n">
        <f aca="false">IF(LEFT(Cockpit!$I$5,1)="A",H1432,IF(CE1432=1,CF1432,IF(LEFT(Cockpit!$I$5,1)="B",AT1432,MAX(AT1432,H1432))))</f>
        <v>1</v>
      </c>
      <c r="AP1432" s="50" t="n">
        <f aca="false">IF(BW1432=1,0,ROUNDUP(AO1432/BV1432,0))</f>
        <v>0</v>
      </c>
      <c r="AQ1432" s="52" t="n">
        <f aca="false">IF(CL1432&gt;0,CL1432*MAX(1,AO1432/X1432),IF(BW1432=1,IF(AO1432&lt;=0,0,CA1432*MAX(1,IF(H1432&gt;0,AO1432/H1432,1))),IF(R1432&gt;0,AP1432/R1432,0))/MAX(0.1,N(Parameter!$M$21)))</f>
        <v>0.240112994350283</v>
      </c>
      <c r="AR1432" s="50" t="n">
        <f aca="false">AQ1432*BY1432</f>
        <v>57.1468926553672</v>
      </c>
      <c r="AS1432" s="50" t="n">
        <f aca="false">AO1432*G1432</f>
        <v>2330</v>
      </c>
      <c r="AT1432" s="50" t="n">
        <f aca="false">ROUNDUP(MAX(J1432/IF(CD1432&gt;0,CD1432,MAX(0.1,N(Cockpit!$I$6))),CG1432)/BV1432,0)*BV1432</f>
        <v>1</v>
      </c>
      <c r="AU1432" s="51" t="n">
        <f aca="false">IF(AR1432&gt;0,J1432/AR1432,-1)</f>
        <v>0.017498764211567</v>
      </c>
      <c r="AV1432" s="51" t="n">
        <f aca="false">IF(AND(OR(CC1432="L1",CC1432="L23",CC1432="LIFT"),AR1432&gt;0),SUMIFS($AR$7:$AR$1843,$CC$7:$CC$1843,CC1432,$AU$7:$AU$1843,"&gt;"&amp;AU1432)+SUMIFS($AR$7:$AR$1843,$CC$7:$CC$1843,CC1432,$AU$7:$AU$1843,AU1432,$BT$7:$BT$1843,"&lt;="&amp;BT1432),"")</f>
        <v>34405.6013560357</v>
      </c>
      <c r="AW1432" s="58" t="n">
        <f aca="false">IF(AV1432="",0,MAX(0,MIN(1,(IF(CC1432="L1",Parameter!$H$5,IF(CC1432="L23",Parameter!$H$6+Parameter!$H$7,Parameter!$H$5+Parameter!$H$6+Parameter!$H$7))-(AV1432-AR1432))/AR1432)))</f>
        <v>1</v>
      </c>
      <c r="AX1432" s="50" t="n">
        <f aca="false">IF(LEFT(Cockpit!$O$5,1)="A",H1432,IF(CE1432=1,CF1432,IF(LEFT(Cockpit!$O$5,1)="B",BC1432,MAX(BC1432,H1432))))</f>
        <v>1</v>
      </c>
      <c r="AY1432" s="50" t="n">
        <f aca="false">IF(BW1432=1,0,ROUNDUP(AX1432/BV1432,0))</f>
        <v>0</v>
      </c>
      <c r="AZ1432" s="52" t="n">
        <f aca="false">IF(CL1432&gt;0,CL1432*MAX(1,AX1432/X1432),IF(BW1432=1,IF(AX1432&lt;=0,0,CA1432*MAX(1,IF(H1432&gt;0,AX1432/H1432,1))),IF(R1432&gt;0,AY1432/R1432,0))/MAX(0.1,N(Parameter!$M$21)))</f>
        <v>0.240112994350283</v>
      </c>
      <c r="BA1432" s="50" t="n">
        <f aca="false">AZ1432*BY1432</f>
        <v>57.1468926553672</v>
      </c>
      <c r="BB1432" s="50" t="n">
        <f aca="false">AX1432*G1432</f>
        <v>2330</v>
      </c>
      <c r="BC1432" s="50" t="n">
        <f aca="false">ROUNDUP(MAX(J1432/IF(CD1432&gt;0,CD1432,MAX(0.1,N(Cockpit!$O$6))),CG1432)/BV1432,0)*BV1432</f>
        <v>1</v>
      </c>
      <c r="BD1432" s="51" t="n">
        <f aca="false">IF(BA1432&gt;0,J1432/BA1432,-1)</f>
        <v>0.017498764211567</v>
      </c>
      <c r="BE1432" s="51" t="n">
        <f aca="false">IF(AND(OR(CC1432="L1",CC1432="L23",CC1432="LIFT"),BA1432&gt;0),SUMIFS($BA$7:$BA$1843,$CC$7:$CC$1843,CC1432,$BD$7:$BD$1843,"&gt;"&amp;BD1432)+SUMIFS($BA$7:$BA$1843,$CC$7:$CC$1843,CC1432,$BD$7:$BD$1843,BD1432,$BT$7:$BT$1843,"&lt;="&amp;BT1432),"")</f>
        <v>31080.6133979015</v>
      </c>
      <c r="BF1432" s="58" t="n">
        <f aca="false">IF(BE1432="",0,MAX(0,MIN(1,(IF(CC1432="L1",Parameter!$H$5,IF(CC1432="L23",Parameter!$H$6+Parameter!$H$7,Parameter!$H$5+Parameter!$H$6+Parameter!$H$7))-(BE1432-BA1432))/BA1432)))</f>
        <v>1</v>
      </c>
      <c r="BG1432" s="48" t="str">
        <f aca="false">IF(AI1432&lt;=0,"",IF(CC1432="Aussen","Aussenlager",IF(CC1432="-","Nicht im Lift",IF(AN1432&gt;=1,"Lift",IF(AN1432&lt;=0,"Aussenlager","teilweise")))))</f>
        <v>Lift</v>
      </c>
      <c r="BH1432" s="48" t="str">
        <f aca="false">IF(AR1432&lt;=0,"",IF(CC1432="Aussen","Aussenlager",IF(CC1432="-","Nicht im Lift",IF(AW1432&gt;=1,"Lift",IF(AW1432&lt;=0,"Aussenlager","teilweise")))))</f>
        <v>Lift</v>
      </c>
      <c r="BI1432" s="48" t="str">
        <f aca="false">IF(BA1432&lt;=0,"",IF(CC1432="Aussen","Aussenlager",IF(CC1432="-","Nicht im Lift",IF(BF1432&gt;=1,"Lift",IF(BF1432&lt;=0,"Aussenlager","teilweise")))))</f>
        <v>Lift</v>
      </c>
      <c r="BJ1432" s="48" t="str">
        <f aca="false">IF(A1432="","",IF(BS1432=1,"Neu; ","")&amp;IF(AND(BS1432=0,BN1432&lt;0),"negativer Bestand (Export "&amp;BN1432&amp;"); ","")&amp;IF(J1432&lt;=0,"Kein Verbrauch; ","")&amp;IF(CL1432&gt;0,"Lift "&amp;W1432&amp;" lt. Liftbericht (Fach "&amp;X1432&amp;" Stk); ",IF(BX1432=1,"Gebinde geschätzt ("&amp;T1432&amp;"); ",IF(BW1432=1,"Lose – Tablare geschätzt; ","")))&amp;IF(H1432&gt;AT1432,"Überbestand "&amp;ROUND(H1432-AT1432,0)&amp;" Stk / CHF "&amp;ROUND((H1432-AT1432)*G1432,0)&amp;"; ","")&amp;IF(AND(CE1432=1,CF1432&lt;CG1432),"MAX &lt; MB+LG; ","")&amp;IF(AND(CK1432&gt;0,CJ1432*10&gt;CK1432),"zu hoch für Tablar; ","")&amp;IF(AND(BS1432=0,OR(CE1432=1,AA1432&lt;&gt;"",U1432&lt;&gt;"",V1432&lt;&gt;"",AB1432&lt;&gt;"")),"manuell übersteuert; ","")&amp;IF(AND(BW1432=0,R1432=0),"Gebinde unbekannt / Stellmass fehlt; ","")&amp;IF(AND(BW1432=0,N(V1432)&lt;=0,N(Q1432)&lt;=0),"Menge pro Gebinde fehlt (Ist = 1 Gebinde); ","")&amp;BR1432)</f>
        <v>negativer Bestand (Export -3); Lift 1 lt. Liftbericht (Fach 3 Stk); Überbestand</v>
      </c>
      <c r="BK1432" s="48"/>
      <c r="BL1432" s="48"/>
      <c r="BM1432" s="55"/>
      <c r="BN1432" s="50" t="n">
        <v>-3</v>
      </c>
      <c r="BO1432" s="50" t="n">
        <v>4</v>
      </c>
      <c r="BP1432" s="49" t="n">
        <v>-6990</v>
      </c>
      <c r="BQ1432" s="50" t="n">
        <v>1</v>
      </c>
      <c r="BR1432" s="48" t="s">
        <v>396</v>
      </c>
      <c r="BS1432" s="53" t="n">
        <v>0</v>
      </c>
      <c r="BT1432" s="53" t="n">
        <v>1432</v>
      </c>
      <c r="BU1432" s="48" t="str">
        <f aca="false">IF(U1432&lt;&gt;"",UPPER(TRIM(U1432)),IF(BX1432=1,UPPER(VLOOKUP(T1432,Parameter!$I$27:$K$29,2,0)),IF(P1432="","LOSE",P1432)))</f>
        <v>LOSE</v>
      </c>
      <c r="BV1432" s="50" t="n">
        <f aca="false">IF(BU1432="LOSE",1,IF(N(V1432)&gt;0,V1432,IF(BX1432=1,MAX(1,N(VLOOKUP(T1432,Parameter!$I$27:$K$29,3,0)),H1432,N(N1432)),IF(N(Q1432)&gt;0,Q1432,MAX(1,H1432)))))</f>
        <v>1</v>
      </c>
      <c r="BW1432" s="53" t="n">
        <f aca="false">IF(BU1432="LOSE",1,0)</f>
        <v>1</v>
      </c>
      <c r="BX1432" s="53" t="n">
        <f aca="false">IF(AND(U1432="",OR(P1432="",P1432="LOSE"),T1432&lt;&gt;"",N(S1432)&lt;=0,ISNUMBER(MATCH(T1432,Parameter!$I$27:$I$29,0))),1,0)</f>
        <v>0</v>
      </c>
      <c r="BY1432" s="53" t="n">
        <f aca="false">IF(CL1432&gt;0,INDEX(Parameter!$H$5:$H$7,W1432)/INDEX(Parameter!$E$5:$E$7,W1432),IF(AND(BW1432=0,N(IFERROR(VLOOKUP(BU1432,'Gebinde-Kategorie'!$A$5:$N$45,14,0),0))&gt;0),VLOOKUP(BU1432,'Gebinde-Kategorie'!$A$5:$N$45,14,0)*10+Parameter!$M$23,Parameter!$M$24))</f>
        <v>238</v>
      </c>
      <c r="BZ1432" s="48" t="n">
        <f aca="false">IF(AND(Parameter!$B$19="Ja",E1432&lt;&gt;"",ISNUMBER(MATCH(E1432,Parameter!$I$35:$I$52,0))),VLOOKUP(E1432,Parameter!$I$35:$J$52,2,0),IFERROR(VLOOKUP(D1432,Parameter!$A$35:$C$64,2,0),"Nein"))</f>
        <v>1</v>
      </c>
      <c r="CA1432" s="52" t="n">
        <f aca="false">IF(BW1432=0,0,IF(N(S1432)&gt;0,S1432,IFERROR(VLOOKUP(D1432,Parameter!$A$35:$C$64,3,0)+0,0)))</f>
        <v>1</v>
      </c>
      <c r="CB1432" s="48" t="n">
        <f aca="false">IF(AA1432&lt;&gt;"",AA1432,Z1432)</f>
        <v>1</v>
      </c>
      <c r="CC1432" s="48" t="str">
        <f aca="false">IF(OR(CB1432=1,CB1432=2,CB1432=3),IF(Parameter!$E$27="Ja","LIFT",IF(CB1432=1,"L1","L23")),IF(CB1432="Aussen","Aussen","-"))</f>
        <v>LIFT</v>
      </c>
      <c r="CD1432" s="59" t="n">
        <f aca="false">IF(N(AB1432)&gt;0,AB1432,0)</f>
        <v>0</v>
      </c>
      <c r="CE1432" s="53" t="n">
        <f aca="false">IF(ISNUMBER(AE1432),1,0)</f>
        <v>0</v>
      </c>
      <c r="CF1432" s="50" t="n">
        <f aca="false">N(AE1432)</f>
        <v>0</v>
      </c>
      <c r="CG1432" s="50" t="n">
        <f aca="false">N(M1432)+N(N1432)</f>
        <v>1</v>
      </c>
      <c r="CH1432" s="50" t="n">
        <f aca="false">ROUNDUP(H1432/BV1432,0)</f>
        <v>1</v>
      </c>
      <c r="CI1432" s="50" t="n">
        <f aca="false">ROUNDUP(CF1432/BV1432,0)</f>
        <v>0</v>
      </c>
      <c r="CJ1432" s="53" t="n">
        <f aca="false">IF(BW1432=1,0,IFERROR(VLOOKUP(BU1432,'Gebinde-Kategorie'!$A$5:$N$45,5,0)+0,0))</f>
        <v>0</v>
      </c>
      <c r="CK1432" s="53" t="n">
        <f aca="false">IFERROR(IF(OR(CB1432=1,CB1432=2,CB1432=3),N(INDEX(Parameter!$I$5:$I$7,CB1432)),0),0)</f>
        <v>0</v>
      </c>
      <c r="CL1432" s="52" t="n">
        <f aca="false">IF(AND(Parameter!$B$21="Ja",ISNUMBER(W1432),N(X1432)&gt;0),IFERROR(N(INDEX(Parameter!$L$5:$L$7,W1432))*INDEX(Parameter!$E$5:$E$7,W1432)*X1432/SUMIFS($X$7:$X$1843,$W$7:$W$1843,W1432),0),0)</f>
        <v>0.240112994350283</v>
      </c>
    </row>
    <row r="1433" customFormat="false" ht="15" hidden="false" customHeight="false" outlineLevel="0" collapsed="false">
      <c r="A1433" s="48" t="s">
        <v>2514</v>
      </c>
      <c r="B1433" s="48" t="s">
        <v>2515</v>
      </c>
      <c r="C1433" s="48" t="s">
        <v>168</v>
      </c>
      <c r="D1433" s="48" t="s">
        <v>357</v>
      </c>
      <c r="E1433" s="48"/>
      <c r="F1433" s="48" t="s">
        <v>222</v>
      </c>
      <c r="G1433" s="49" t="n">
        <v>3532.08</v>
      </c>
      <c r="H1433" s="50" t="n">
        <f aca="false">MAX(0,IF(AND(Parameter!$B$21="Ja",ISNUMBER(Y1433)),Y1433,IF(Parameter!$B$20="Jahresanfang 2025 + Export",BO1433+BN1433,BN1433)))</f>
        <v>0</v>
      </c>
      <c r="I1433" s="50" t="n">
        <f aca="false">H1433*G1433</f>
        <v>0</v>
      </c>
      <c r="J1433" s="50" t="n">
        <f aca="false">BQ1433*Parameter!$B$18</f>
        <v>0</v>
      </c>
      <c r="K1433" s="51" t="n">
        <v>1</v>
      </c>
      <c r="L1433" s="52" t="n">
        <v>0</v>
      </c>
      <c r="M1433" s="50" t="n">
        <v>0</v>
      </c>
      <c r="N1433" s="50" t="n">
        <v>1</v>
      </c>
      <c r="O1433" s="53" t="n">
        <v>90</v>
      </c>
      <c r="P1433" s="48" t="s">
        <v>172</v>
      </c>
      <c r="Q1433" s="50"/>
      <c r="R1433" s="53" t="n">
        <f aca="false">IF(BW1433=1,0,IFERROR(VLOOKUP(BU1433,'Gebinde-Kategorie'!$A$5:$N$45,13,0)+0,0))</f>
        <v>0</v>
      </c>
      <c r="S1433" s="54"/>
      <c r="T1433" s="55"/>
      <c r="U1433" s="55"/>
      <c r="V1433" s="55"/>
      <c r="W1433" s="48"/>
      <c r="X1433" s="50"/>
      <c r="Y1433" s="50"/>
      <c r="Z1433" s="48" t="str">
        <f aca="false">IF(A1433="","",IF(AND(Parameter!$B$21="Ja",ISNUMBER(W1433)),W1433,IF(BZ1433="2+3",IF(ISNUMBER(SEARCH("grosser Artikel",BR1433)),2,IFERROR(VLOOKUP(BU1433,Parameter!$F$35:$G$64,2,0),2)),IF(OR(BZ1433="Nein",BZ1433=""),"-",BZ1433))))</f>
        <v>-</v>
      </c>
      <c r="AA1433" s="55"/>
      <c r="AB1433" s="56"/>
      <c r="AC1433" s="50" t="n">
        <f aca="false">AT1433</f>
        <v>1</v>
      </c>
      <c r="AD1433" s="50" t="n">
        <f aca="false">MAX(AT1433,H1433)</f>
        <v>1</v>
      </c>
      <c r="AE1433" s="57"/>
      <c r="AF1433" s="50" t="n">
        <f aca="false">IF(LEFT(Cockpit!$C$5,1)="A",H1433,IF(CE1433=1,CF1433,IF(LEFT(Cockpit!$C$5,1)="B",AK1433,MAX(AK1433,H1433))))</f>
        <v>0</v>
      </c>
      <c r="AG1433" s="50" t="n">
        <f aca="false">IF(BW1433=1,0,ROUNDUP(AF1433/BV1433,0))</f>
        <v>0</v>
      </c>
      <c r="AH1433" s="52" t="n">
        <f aca="false">IF(CL1433&gt;0,CL1433*MAX(1,AF1433/X1433),IF(BW1433=1,IF(AF1433&lt;=0,0,CA1433*MAX(1,IF(H1433&gt;0,AF1433/H1433,1))),IF(R1433&gt;0,AG1433/R1433,0))/MAX(0.1,N(Parameter!$M$21)))</f>
        <v>0</v>
      </c>
      <c r="AI1433" s="50" t="n">
        <f aca="false">AH1433*BY1433</f>
        <v>0</v>
      </c>
      <c r="AJ1433" s="50" t="n">
        <f aca="false">AF1433*G1433</f>
        <v>0</v>
      </c>
      <c r="AK1433" s="50" t="n">
        <f aca="false">ROUNDUP(MAX(J1433/IF(CD1433&gt;0,CD1433,MAX(0.1,N(Cockpit!$C$6))),CG1433)/BV1433,0)*BV1433</f>
        <v>1</v>
      </c>
      <c r="AL1433" s="51" t="n">
        <f aca="false">IF(AI1433&gt;0,J1433/AI1433,-1)</f>
        <v>-1</v>
      </c>
      <c r="AM1433" s="51" t="str">
        <f aca="false">IF(AND(OR(CC1433="L1",CC1433="L23",CC1433="LIFT"),AI1433&gt;0),SUMIFS($AI$7:$AI$1843,$CC$7:$CC$1843,CC1433,$AL$7:$AL$1843,"&gt;"&amp;AL1433)+SUMIFS($AI$7:$AI$1843,$CC$7:$CC$1843,CC1433,$AL$7:$AL$1843,AL1433,$BT$7:$BT$1843,"&lt;="&amp;BT1433),"")</f>
        <v/>
      </c>
      <c r="AN1433" s="58" t="n">
        <f aca="false">IF(AM1433="",0,MAX(0,MIN(1,(IF(CC1433="L1",Parameter!$H$5,IF(CC1433="L23",Parameter!$H$6+Parameter!$H$7,Parameter!$H$5+Parameter!$H$6+Parameter!$H$7))-(AM1433-AI1433))/AI1433)))</f>
        <v>0</v>
      </c>
      <c r="AO1433" s="50" t="n">
        <f aca="false">IF(LEFT(Cockpit!$I$5,1)="A",H1433,IF(CE1433=1,CF1433,IF(LEFT(Cockpit!$I$5,1)="B",AT1433,MAX(AT1433,H1433))))</f>
        <v>1</v>
      </c>
      <c r="AP1433" s="50" t="n">
        <f aca="false">IF(BW1433=1,0,ROUNDUP(AO1433/BV1433,0))</f>
        <v>0</v>
      </c>
      <c r="AQ1433" s="52" t="n">
        <f aca="false">IF(CL1433&gt;0,CL1433*MAX(1,AO1433/X1433),IF(BW1433=1,IF(AO1433&lt;=0,0,CA1433*MAX(1,IF(H1433&gt;0,AO1433/H1433,1))),IF(R1433&gt;0,AP1433/R1433,0))/MAX(0.1,N(Parameter!$M$21)))</f>
        <v>0.15</v>
      </c>
      <c r="AR1433" s="50" t="n">
        <f aca="false">AQ1433*BY1433</f>
        <v>35.25</v>
      </c>
      <c r="AS1433" s="50" t="n">
        <f aca="false">AO1433*G1433</f>
        <v>3532.08</v>
      </c>
      <c r="AT1433" s="50" t="n">
        <f aca="false">ROUNDUP(MAX(J1433/IF(CD1433&gt;0,CD1433,MAX(0.1,N(Cockpit!$I$6))),CG1433)/BV1433,0)*BV1433</f>
        <v>1</v>
      </c>
      <c r="AU1433" s="51" t="n">
        <f aca="false">IF(AR1433&gt;0,J1433/AR1433,-1)</f>
        <v>0</v>
      </c>
      <c r="AV1433" s="51" t="str">
        <f aca="false">IF(AND(OR(CC1433="L1",CC1433="L23",CC1433="LIFT"),AR1433&gt;0),SUMIFS($AR$7:$AR$1843,$CC$7:$CC$1843,CC1433,$AU$7:$AU$1843,"&gt;"&amp;AU1433)+SUMIFS($AR$7:$AR$1843,$CC$7:$CC$1843,CC1433,$AU$7:$AU$1843,AU1433,$BT$7:$BT$1843,"&lt;="&amp;BT1433),"")</f>
        <v/>
      </c>
      <c r="AW1433" s="58" t="n">
        <f aca="false">IF(AV1433="",0,MAX(0,MIN(1,(IF(CC1433="L1",Parameter!$H$5,IF(CC1433="L23",Parameter!$H$6+Parameter!$H$7,Parameter!$H$5+Parameter!$H$6+Parameter!$H$7))-(AV1433-AR1433))/AR1433)))</f>
        <v>0</v>
      </c>
      <c r="AX1433" s="50" t="n">
        <f aca="false">IF(LEFT(Cockpit!$O$5,1)="A",H1433,IF(CE1433=1,CF1433,IF(LEFT(Cockpit!$O$5,1)="B",BC1433,MAX(BC1433,H1433))))</f>
        <v>1</v>
      </c>
      <c r="AY1433" s="50" t="n">
        <f aca="false">IF(BW1433=1,0,ROUNDUP(AX1433/BV1433,0))</f>
        <v>0</v>
      </c>
      <c r="AZ1433" s="52" t="n">
        <f aca="false">IF(CL1433&gt;0,CL1433*MAX(1,AX1433/X1433),IF(BW1433=1,IF(AX1433&lt;=0,0,CA1433*MAX(1,IF(H1433&gt;0,AX1433/H1433,1))),IF(R1433&gt;0,AY1433/R1433,0))/MAX(0.1,N(Parameter!$M$21)))</f>
        <v>0.15</v>
      </c>
      <c r="BA1433" s="50" t="n">
        <f aca="false">AZ1433*BY1433</f>
        <v>35.25</v>
      </c>
      <c r="BB1433" s="50" t="n">
        <f aca="false">AX1433*G1433</f>
        <v>3532.08</v>
      </c>
      <c r="BC1433" s="50" t="n">
        <f aca="false">ROUNDUP(MAX(J1433/IF(CD1433&gt;0,CD1433,MAX(0.1,N(Cockpit!$O$6))),CG1433)/BV1433,0)*BV1433</f>
        <v>1</v>
      </c>
      <c r="BD1433" s="51" t="n">
        <f aca="false">IF(BA1433&gt;0,J1433/BA1433,-1)</f>
        <v>0</v>
      </c>
      <c r="BE1433" s="51" t="str">
        <f aca="false">IF(AND(OR(CC1433="L1",CC1433="L23",CC1433="LIFT"),BA1433&gt;0),SUMIFS($BA$7:$BA$1843,$CC$7:$CC$1843,CC1433,$BD$7:$BD$1843,"&gt;"&amp;BD1433)+SUMIFS($BA$7:$BA$1843,$CC$7:$CC$1843,CC1433,$BD$7:$BD$1843,BD1433,$BT$7:$BT$1843,"&lt;="&amp;BT1433),"")</f>
        <v/>
      </c>
      <c r="BF1433" s="58" t="n">
        <f aca="false">IF(BE1433="",0,MAX(0,MIN(1,(IF(CC1433="L1",Parameter!$H$5,IF(CC1433="L23",Parameter!$H$6+Parameter!$H$7,Parameter!$H$5+Parameter!$H$6+Parameter!$H$7))-(BE1433-BA1433))/BA1433)))</f>
        <v>0</v>
      </c>
      <c r="BG1433" s="48" t="str">
        <f aca="false">IF(AI1433&lt;=0,"",IF(CC1433="Aussen","Aussenlager",IF(CC1433="-","Nicht im Lift",IF(AN1433&gt;=1,"Lift",IF(AN1433&lt;=0,"Aussenlager","teilweise")))))</f>
        <v/>
      </c>
      <c r="BH1433" s="48" t="str">
        <f aca="false">IF(AR1433&lt;=0,"",IF(CC1433="Aussen","Aussenlager",IF(CC1433="-","Nicht im Lift",IF(AW1433&gt;=1,"Lift",IF(AW1433&lt;=0,"Aussenlager","teilweise")))))</f>
        <v>Nicht im Lift</v>
      </c>
      <c r="BI1433" s="48" t="str">
        <f aca="false">IF(BA1433&lt;=0,"",IF(CC1433="Aussen","Aussenlager",IF(CC1433="-","Nicht im Lift",IF(BF1433&gt;=1,"Lift",IF(BF1433&lt;=0,"Aussenlager","teilweise")))))</f>
        <v>Nicht im Lift</v>
      </c>
      <c r="BJ1433" s="48" t="str">
        <f aca="false">IF(A1433="","",IF(BS1433=1,"Neu; ","")&amp;IF(AND(BS1433=0,BN1433&lt;0),"negativer Bestand (Export "&amp;BN1433&amp;"); ","")&amp;IF(J1433&lt;=0,"Kein Verbrauch; ","")&amp;IF(CL1433&gt;0,"Lift "&amp;W1433&amp;" lt. Liftbericht (Fach "&amp;X1433&amp;" Stk); ",IF(BX1433=1,"Gebinde geschätzt ("&amp;T1433&amp;"); ",IF(BW1433=1,"Lose – Tablare geschätzt; ","")))&amp;IF(H1433&gt;AT1433,"Überbestand "&amp;ROUND(H1433-AT1433,0)&amp;" Stk / CHF "&amp;ROUND((H1433-AT1433)*G1433,0)&amp;"; ","")&amp;IF(AND(CE1433=1,CF1433&lt;CG1433),"MAX &lt; MB+LG; ","")&amp;IF(AND(CK1433&gt;0,CJ1433*10&gt;CK1433),"zu hoch für Tablar; ","")&amp;IF(AND(BS1433=0,OR(CE1433=1,AA1433&lt;&gt;"",U1433&lt;&gt;"",V1433&lt;&gt;"",AB1433&lt;&gt;"")),"manuell übersteuert; ","")&amp;IF(AND(BW1433=0,R1433=0),"Gebinde unbekannt / Stellmass fehlt; ","")&amp;IF(AND(BW1433=0,N(V1433)&lt;=0,N(Q1433)&lt;=0),"Menge pro Gebinde fehlt (Ist = 1 Gebinde); ","")&amp;BR1433)</f>
        <v>negativer Bestand (Export -2); Kein Verbrauch; Lose – Tablare geschätzt; </v>
      </c>
      <c r="BK1433" s="48"/>
      <c r="BL1433" s="48"/>
      <c r="BM1433" s="55"/>
      <c r="BN1433" s="50" t="n">
        <v>-2</v>
      </c>
      <c r="BO1433" s="50" t="n">
        <v>2</v>
      </c>
      <c r="BP1433" s="49" t="n">
        <v>-7064.16</v>
      </c>
      <c r="BQ1433" s="50" t="n">
        <v>0</v>
      </c>
      <c r="BR1433" s="48"/>
      <c r="BS1433" s="53" t="n">
        <v>0</v>
      </c>
      <c r="BT1433" s="53" t="n">
        <v>1433</v>
      </c>
      <c r="BU1433" s="48" t="str">
        <f aca="false">IF(U1433&lt;&gt;"",UPPER(TRIM(U1433)),IF(BX1433=1,UPPER(VLOOKUP(T1433,Parameter!$I$27:$K$29,2,0)),IF(P1433="","LOSE",P1433)))</f>
        <v>LOSE</v>
      </c>
      <c r="BV1433" s="50" t="n">
        <f aca="false">IF(BU1433="LOSE",1,IF(N(V1433)&gt;0,V1433,IF(BX1433=1,MAX(1,N(VLOOKUP(T1433,Parameter!$I$27:$K$29,3,0)),H1433,N(N1433)),IF(N(Q1433)&gt;0,Q1433,MAX(1,H1433)))))</f>
        <v>1</v>
      </c>
      <c r="BW1433" s="53" t="n">
        <f aca="false">IF(BU1433="LOSE",1,0)</f>
        <v>1</v>
      </c>
      <c r="BX1433" s="53" t="n">
        <f aca="false">IF(AND(U1433="",OR(P1433="",P1433="LOSE"),T1433&lt;&gt;"",N(S1433)&lt;=0,ISNUMBER(MATCH(T1433,Parameter!$I$27:$I$29,0))),1,0)</f>
        <v>0</v>
      </c>
      <c r="BY1433" s="53" t="n">
        <f aca="false">IF(CL1433&gt;0,INDEX(Parameter!$H$5:$H$7,W1433)/INDEX(Parameter!$E$5:$E$7,W1433),IF(AND(BW1433=0,N(IFERROR(VLOOKUP(BU1433,'Gebinde-Kategorie'!$A$5:$N$45,14,0),0))&gt;0),VLOOKUP(BU1433,'Gebinde-Kategorie'!$A$5:$N$45,14,0)*10+Parameter!$M$23,Parameter!$M$24))</f>
        <v>235</v>
      </c>
      <c r="BZ1433" s="48" t="str">
        <f aca="false">IF(AND(Parameter!$B$19="Ja",E1433&lt;&gt;"",ISNUMBER(MATCH(E1433,Parameter!$I$35:$I$52,0))),VLOOKUP(E1433,Parameter!$I$35:$J$52,2,0),IFERROR(VLOOKUP(D1433,Parameter!$A$35:$C$64,2,0),"Nein"))</f>
        <v>Nein</v>
      </c>
      <c r="CA1433" s="52" t="n">
        <f aca="false">IF(BW1433=0,0,IF(N(S1433)&gt;0,S1433,IFERROR(VLOOKUP(D1433,Parameter!$A$35:$C$64,3,0)+0,0)))</f>
        <v>0.15</v>
      </c>
      <c r="CB1433" s="48" t="str">
        <f aca="false">IF(AA1433&lt;&gt;"",AA1433,Z1433)</f>
        <v>-</v>
      </c>
      <c r="CC1433" s="48" t="str">
        <f aca="false">IF(OR(CB1433=1,CB1433=2,CB1433=3),IF(Parameter!$E$27="Ja","LIFT",IF(CB1433=1,"L1","L23")),IF(CB1433="Aussen","Aussen","-"))</f>
        <v>-</v>
      </c>
      <c r="CD1433" s="59" t="n">
        <f aca="false">IF(N(AB1433)&gt;0,AB1433,0)</f>
        <v>0</v>
      </c>
      <c r="CE1433" s="53" t="n">
        <f aca="false">IF(ISNUMBER(AE1433),1,0)</f>
        <v>0</v>
      </c>
      <c r="CF1433" s="50" t="n">
        <f aca="false">N(AE1433)</f>
        <v>0</v>
      </c>
      <c r="CG1433" s="50" t="n">
        <f aca="false">N(M1433)+N(N1433)</f>
        <v>1</v>
      </c>
      <c r="CH1433" s="50" t="n">
        <f aca="false">ROUNDUP(H1433/BV1433,0)</f>
        <v>0</v>
      </c>
      <c r="CI1433" s="50" t="n">
        <f aca="false">ROUNDUP(CF1433/BV1433,0)</f>
        <v>0</v>
      </c>
      <c r="CJ1433" s="53" t="n">
        <f aca="false">IF(BW1433=1,0,IFERROR(VLOOKUP(BU1433,'Gebinde-Kategorie'!$A$5:$N$45,5,0)+0,0))</f>
        <v>0</v>
      </c>
      <c r="CK1433" s="53" t="n">
        <f aca="false">IFERROR(IF(OR(CB1433=1,CB1433=2,CB1433=3),N(INDEX(Parameter!$I$5:$I$7,CB1433)),0),0)</f>
        <v>0</v>
      </c>
      <c r="CL1433" s="52" t="n">
        <f aca="false">IF(AND(Parameter!$B$21="Ja",ISNUMBER(W1433),N(X1433)&gt;0),IFERROR(N(INDEX(Parameter!$L$5:$L$7,W1433))*INDEX(Parameter!$E$5:$E$7,W1433)*X1433/SUMIFS($X$7:$X$1843,$W$7:$W$1843,W1433),0),0)</f>
        <v>0</v>
      </c>
    </row>
    <row r="1434" customFormat="false" ht="15" hidden="false" customHeight="false" outlineLevel="0" collapsed="false">
      <c r="A1434" s="48" t="s">
        <v>2516</v>
      </c>
      <c r="B1434" s="48" t="s">
        <v>2154</v>
      </c>
      <c r="C1434" s="48" t="s">
        <v>460</v>
      </c>
      <c r="D1434" s="48" t="s">
        <v>177</v>
      </c>
      <c r="E1434" s="48" t="s">
        <v>177</v>
      </c>
      <c r="F1434" s="48" t="s">
        <v>222</v>
      </c>
      <c r="G1434" s="49" t="n">
        <v>358.12</v>
      </c>
      <c r="H1434" s="50" t="n">
        <f aca="false">MAX(0,IF(AND(Parameter!$B$21="Ja",ISNUMBER(Y1434)),Y1434,IF(Parameter!$B$20="Jahresanfang 2025 + Export",BO1434+BN1434,BN1434)))</f>
        <v>0</v>
      </c>
      <c r="I1434" s="50" t="n">
        <f aca="false">H1434*G1434</f>
        <v>0</v>
      </c>
      <c r="J1434" s="50" t="n">
        <f aca="false">BQ1434*Parameter!$B$18</f>
        <v>0</v>
      </c>
      <c r="K1434" s="51" t="n">
        <v>20</v>
      </c>
      <c r="L1434" s="52" t="n">
        <v>0</v>
      </c>
      <c r="M1434" s="50" t="n">
        <v>0</v>
      </c>
      <c r="N1434" s="50" t="n">
        <v>1</v>
      </c>
      <c r="O1434" s="53" t="n">
        <v>77</v>
      </c>
      <c r="P1434" s="48" t="s">
        <v>172</v>
      </c>
      <c r="Q1434" s="50"/>
      <c r="R1434" s="53" t="n">
        <f aca="false">IF(BW1434=1,0,IFERROR(VLOOKUP(BU1434,'Gebinde-Kategorie'!$A$5:$N$45,13,0)+0,0))</f>
        <v>12</v>
      </c>
      <c r="S1434" s="54"/>
      <c r="T1434" s="55" t="s">
        <v>183</v>
      </c>
      <c r="U1434" s="55"/>
      <c r="V1434" s="55"/>
      <c r="W1434" s="48"/>
      <c r="X1434" s="50"/>
      <c r="Y1434" s="50"/>
      <c r="Z1434" s="48" t="str">
        <f aca="false">IF(A1434="","",IF(AND(Parameter!$B$21="Ja",ISNUMBER(W1434)),W1434,IF(BZ1434="2+3",IF(ISNUMBER(SEARCH("grosser Artikel",BR1434)),2,IFERROR(VLOOKUP(BU1434,Parameter!$F$35:$G$64,2,0),2)),IF(OR(BZ1434="Nein",BZ1434=""),"-",BZ1434))))</f>
        <v>-</v>
      </c>
      <c r="AA1434" s="55"/>
      <c r="AB1434" s="56"/>
      <c r="AC1434" s="50" t="n">
        <f aca="false">AT1434</f>
        <v>4</v>
      </c>
      <c r="AD1434" s="50" t="n">
        <f aca="false">MAX(AT1434,H1434)</f>
        <v>4</v>
      </c>
      <c r="AE1434" s="57"/>
      <c r="AF1434" s="50" t="n">
        <f aca="false">IF(LEFT(Cockpit!$C$5,1)="A",H1434,IF(CE1434=1,CF1434,IF(LEFT(Cockpit!$C$5,1)="B",AK1434,MAX(AK1434,H1434))))</f>
        <v>0</v>
      </c>
      <c r="AG1434" s="50" t="n">
        <f aca="false">IF(BW1434=1,0,ROUNDUP(AF1434/BV1434,0))</f>
        <v>0</v>
      </c>
      <c r="AH1434" s="52" t="n">
        <f aca="false">IF(CL1434&gt;0,CL1434*MAX(1,AF1434/X1434),IF(BW1434=1,IF(AF1434&lt;=0,0,CA1434*MAX(1,IF(H1434&gt;0,AF1434/H1434,1))),IF(R1434&gt;0,AG1434/R1434,0))/MAX(0.1,N(Parameter!$M$21)))</f>
        <v>0</v>
      </c>
      <c r="AI1434" s="50" t="n">
        <f aca="false">AH1434*BY1434</f>
        <v>0</v>
      </c>
      <c r="AJ1434" s="50" t="n">
        <f aca="false">AF1434*G1434</f>
        <v>0</v>
      </c>
      <c r="AK1434" s="50" t="n">
        <f aca="false">ROUNDUP(MAX(J1434/IF(CD1434&gt;0,CD1434,MAX(0.1,N(Cockpit!$C$6))),CG1434)/BV1434,0)*BV1434</f>
        <v>4</v>
      </c>
      <c r="AL1434" s="51" t="n">
        <f aca="false">IF(AI1434&gt;0,J1434/AI1434,-1)</f>
        <v>-1</v>
      </c>
      <c r="AM1434" s="51" t="str">
        <f aca="false">IF(AND(OR(CC1434="L1",CC1434="L23",CC1434="LIFT"),AI1434&gt;0),SUMIFS($AI$7:$AI$1843,$CC$7:$CC$1843,CC1434,$AL$7:$AL$1843,"&gt;"&amp;AL1434)+SUMIFS($AI$7:$AI$1843,$CC$7:$CC$1843,CC1434,$AL$7:$AL$1843,AL1434,$BT$7:$BT$1843,"&lt;="&amp;BT1434),"")</f>
        <v/>
      </c>
      <c r="AN1434" s="58" t="n">
        <f aca="false">IF(AM1434="",0,MAX(0,MIN(1,(IF(CC1434="L1",Parameter!$H$5,IF(CC1434="L23",Parameter!$H$6+Parameter!$H$7,Parameter!$H$5+Parameter!$H$6+Parameter!$H$7))-(AM1434-AI1434))/AI1434)))</f>
        <v>0</v>
      </c>
      <c r="AO1434" s="50" t="n">
        <f aca="false">IF(LEFT(Cockpit!$I$5,1)="A",H1434,IF(CE1434=1,CF1434,IF(LEFT(Cockpit!$I$5,1)="B",AT1434,MAX(AT1434,H1434))))</f>
        <v>4</v>
      </c>
      <c r="AP1434" s="50" t="n">
        <f aca="false">IF(BW1434=1,0,ROUNDUP(AO1434/BV1434,0))</f>
        <v>1</v>
      </c>
      <c r="AQ1434" s="52" t="n">
        <f aca="false">IF(CL1434&gt;0,CL1434*MAX(1,AO1434/X1434),IF(BW1434=1,IF(AO1434&lt;=0,0,CA1434*MAX(1,IF(H1434&gt;0,AO1434/H1434,1))),IF(R1434&gt;0,AP1434/R1434,0))/MAX(0.1,N(Parameter!$M$21)))</f>
        <v>0.0833333333333333</v>
      </c>
      <c r="AR1434" s="50" t="n">
        <f aca="false">AQ1434*BY1434</f>
        <v>12.0833333333333</v>
      </c>
      <c r="AS1434" s="50" t="n">
        <f aca="false">AO1434*G1434</f>
        <v>1432.48</v>
      </c>
      <c r="AT1434" s="50" t="n">
        <f aca="false">ROUNDUP(MAX(J1434/IF(CD1434&gt;0,CD1434,MAX(0.1,N(Cockpit!$I$6))),CG1434)/BV1434,0)*BV1434</f>
        <v>4</v>
      </c>
      <c r="AU1434" s="51" t="n">
        <f aca="false">IF(AR1434&gt;0,J1434/AR1434,-1)</f>
        <v>0</v>
      </c>
      <c r="AV1434" s="51" t="str">
        <f aca="false">IF(AND(OR(CC1434="L1",CC1434="L23",CC1434="LIFT"),AR1434&gt;0),SUMIFS($AR$7:$AR$1843,$CC$7:$CC$1843,CC1434,$AU$7:$AU$1843,"&gt;"&amp;AU1434)+SUMIFS($AR$7:$AR$1843,$CC$7:$CC$1843,CC1434,$AU$7:$AU$1843,AU1434,$BT$7:$BT$1843,"&lt;="&amp;BT1434),"")</f>
        <v/>
      </c>
      <c r="AW1434" s="58" t="n">
        <f aca="false">IF(AV1434="",0,MAX(0,MIN(1,(IF(CC1434="L1",Parameter!$H$5,IF(CC1434="L23",Parameter!$H$6+Parameter!$H$7,Parameter!$H$5+Parameter!$H$6+Parameter!$H$7))-(AV1434-AR1434))/AR1434)))</f>
        <v>0</v>
      </c>
      <c r="AX1434" s="50" t="n">
        <f aca="false">IF(LEFT(Cockpit!$O$5,1)="A",H1434,IF(CE1434=1,CF1434,IF(LEFT(Cockpit!$O$5,1)="B",BC1434,MAX(BC1434,H1434))))</f>
        <v>4</v>
      </c>
      <c r="AY1434" s="50" t="n">
        <f aca="false">IF(BW1434=1,0,ROUNDUP(AX1434/BV1434,0))</f>
        <v>1</v>
      </c>
      <c r="AZ1434" s="52" t="n">
        <f aca="false">IF(CL1434&gt;0,CL1434*MAX(1,AX1434/X1434),IF(BW1434=1,IF(AX1434&lt;=0,0,CA1434*MAX(1,IF(H1434&gt;0,AX1434/H1434,1))),IF(R1434&gt;0,AY1434/R1434,0))/MAX(0.1,N(Parameter!$M$21)))</f>
        <v>0.0833333333333333</v>
      </c>
      <c r="BA1434" s="50" t="n">
        <f aca="false">AZ1434*BY1434</f>
        <v>12.0833333333333</v>
      </c>
      <c r="BB1434" s="50" t="n">
        <f aca="false">AX1434*G1434</f>
        <v>1432.48</v>
      </c>
      <c r="BC1434" s="50" t="n">
        <f aca="false">ROUNDUP(MAX(J1434/IF(CD1434&gt;0,CD1434,MAX(0.1,N(Cockpit!$O$6))),CG1434)/BV1434,0)*BV1434</f>
        <v>4</v>
      </c>
      <c r="BD1434" s="51" t="n">
        <f aca="false">IF(BA1434&gt;0,J1434/BA1434,-1)</f>
        <v>0</v>
      </c>
      <c r="BE1434" s="51" t="str">
        <f aca="false">IF(AND(OR(CC1434="L1",CC1434="L23",CC1434="LIFT"),BA1434&gt;0),SUMIFS($BA$7:$BA$1843,$CC$7:$CC$1843,CC1434,$BD$7:$BD$1843,"&gt;"&amp;BD1434)+SUMIFS($BA$7:$BA$1843,$CC$7:$CC$1843,CC1434,$BD$7:$BD$1843,BD1434,$BT$7:$BT$1843,"&lt;="&amp;BT1434),"")</f>
        <v/>
      </c>
      <c r="BF1434" s="58" t="n">
        <f aca="false">IF(BE1434="",0,MAX(0,MIN(1,(IF(CC1434="L1",Parameter!$H$5,IF(CC1434="L23",Parameter!$H$6+Parameter!$H$7,Parameter!$H$5+Parameter!$H$6+Parameter!$H$7))-(BE1434-BA1434))/BA1434)))</f>
        <v>0</v>
      </c>
      <c r="BG1434" s="48" t="str">
        <f aca="false">IF(AI1434&lt;=0,"",IF(CC1434="Aussen","Aussenlager",IF(CC1434="-","Nicht im Lift",IF(AN1434&gt;=1,"Lift",IF(AN1434&lt;=0,"Aussenlager","teilweise")))))</f>
        <v/>
      </c>
      <c r="BH1434" s="48" t="str">
        <f aca="false">IF(AR1434&lt;=0,"",IF(CC1434="Aussen","Aussenlager",IF(CC1434="-","Nicht im Lift",IF(AW1434&gt;=1,"Lift",IF(AW1434&lt;=0,"Aussenlager","teilweise")))))</f>
        <v>Nicht im Lift</v>
      </c>
      <c r="BI1434" s="48" t="str">
        <f aca="false">IF(BA1434&lt;=0,"",IF(CC1434="Aussen","Aussenlager",IF(CC1434="-","Nicht im Lift",IF(BF1434&gt;=1,"Lift",IF(BF1434&lt;=0,"Aussenlager","teilweise")))))</f>
        <v>Nicht im Lift</v>
      </c>
      <c r="BJ1434" s="48" t="str">
        <f aca="false">IF(A1434="","",IF(BS1434=1,"Neu; ","")&amp;IF(AND(BS1434=0,BN1434&lt;0),"negativer Bestand (Export "&amp;BN1434&amp;"); ","")&amp;IF(J1434&lt;=0,"Kein Verbrauch; ","")&amp;IF(CL1434&gt;0,"Lift "&amp;W1434&amp;" lt. Liftbericht (Fach "&amp;X1434&amp;" Stk); ",IF(BX1434=1,"Gebinde geschätzt ("&amp;T1434&amp;"); ",IF(BW1434=1,"Lose – Tablare geschätzt; ","")))&amp;IF(H1434&gt;AT1434,"Überbestand "&amp;ROUND(H1434-AT1434,0)&amp;" Stk / CHF "&amp;ROUND((H1434-AT1434)*G1434,0)&amp;"; ","")&amp;IF(AND(CE1434=1,CF1434&lt;CG1434),"MAX &lt; MB+LG; ","")&amp;IF(AND(CK1434&gt;0,CJ1434*10&gt;CK1434),"zu hoch für Tablar; ","")&amp;IF(AND(BS1434=0,OR(CE1434=1,AA1434&lt;&gt;"",U1434&lt;&gt;"",V1434&lt;&gt;"",AB1434&lt;&gt;"")),"manuell übersteuert; ","")&amp;IF(AND(BW1434=0,R1434=0),"Gebinde unbekannt / Stellmass fehlt; ","")&amp;IF(AND(BW1434=0,N(V1434)&lt;=0,N(Q1434)&lt;=0),"Menge pro Gebinde fehlt (Ist = 1 Gebinde); ","")&amp;BR1434)</f>
        <v>negativer Bestand (Export -20); Kein Verbrauch; Gebinde geschätzt (Mittel); Menge pro Gebinde fehlt (Ist = 1 Gebinde); </v>
      </c>
      <c r="BK1434" s="48"/>
      <c r="BL1434" s="48"/>
      <c r="BM1434" s="55"/>
      <c r="BN1434" s="50" t="n">
        <v>-20</v>
      </c>
      <c r="BO1434" s="50" t="n">
        <v>20</v>
      </c>
      <c r="BP1434" s="49" t="n">
        <v>-7162.4</v>
      </c>
      <c r="BQ1434" s="50" t="n">
        <v>0</v>
      </c>
      <c r="BR1434" s="48"/>
      <c r="BS1434" s="53" t="n">
        <v>0</v>
      </c>
      <c r="BT1434" s="53" t="n">
        <v>1434</v>
      </c>
      <c r="BU1434" s="48" t="str">
        <f aca="false">IF(U1434&lt;&gt;"",UPPER(TRIM(U1434)),IF(BX1434=1,UPPER(VLOOKUP(T1434,Parameter!$I$27:$K$29,2,0)),IF(P1434="","LOSE",P1434)))</f>
        <v>S61</v>
      </c>
      <c r="BV1434" s="50" t="n">
        <f aca="false">IF(BU1434="LOSE",1,IF(N(V1434)&gt;0,V1434,IF(BX1434=1,MAX(1,N(VLOOKUP(T1434,Parameter!$I$27:$K$29,3,0)),H1434,N(N1434)),IF(N(Q1434)&gt;0,Q1434,MAX(1,H1434)))))</f>
        <v>4</v>
      </c>
      <c r="BW1434" s="53" t="n">
        <f aca="false">IF(BU1434="LOSE",1,0)</f>
        <v>0</v>
      </c>
      <c r="BX1434" s="53" t="n">
        <f aca="false">IF(AND(U1434="",OR(P1434="",P1434="LOSE"),T1434&lt;&gt;"",N(S1434)&lt;=0,ISNUMBER(MATCH(T1434,Parameter!$I$27:$I$29,0))),1,0)</f>
        <v>1</v>
      </c>
      <c r="BY1434" s="53" t="n">
        <f aca="false">IF(CL1434&gt;0,INDEX(Parameter!$H$5:$H$7,W1434)/INDEX(Parameter!$E$5:$E$7,W1434),IF(AND(BW1434=0,N(IFERROR(VLOOKUP(BU1434,'Gebinde-Kategorie'!$A$5:$N$45,14,0),0))&gt;0),VLOOKUP(BU1434,'Gebinde-Kategorie'!$A$5:$N$45,14,0)*10+Parameter!$M$23,Parameter!$M$24))</f>
        <v>145</v>
      </c>
      <c r="BZ1434" s="48" t="str">
        <f aca="false">IF(AND(Parameter!$B$19="Ja",E1434&lt;&gt;"",ISNUMBER(MATCH(E1434,Parameter!$I$35:$I$52,0))),VLOOKUP(E1434,Parameter!$I$35:$J$52,2,0),IFERROR(VLOOKUP(D1434,Parameter!$A$35:$C$64,2,0),"Nein"))</f>
        <v>Nein</v>
      </c>
      <c r="CA1434" s="52" t="n">
        <f aca="false">IF(BW1434=0,0,IF(N(S1434)&gt;0,S1434,IFERROR(VLOOKUP(D1434,Parameter!$A$35:$C$64,3,0)+0,0)))</f>
        <v>0</v>
      </c>
      <c r="CB1434" s="48" t="str">
        <f aca="false">IF(AA1434&lt;&gt;"",AA1434,Z1434)</f>
        <v>-</v>
      </c>
      <c r="CC1434" s="48" t="str">
        <f aca="false">IF(OR(CB1434=1,CB1434=2,CB1434=3),IF(Parameter!$E$27="Ja","LIFT",IF(CB1434=1,"L1","L23")),IF(CB1434="Aussen","Aussen","-"))</f>
        <v>-</v>
      </c>
      <c r="CD1434" s="59" t="n">
        <f aca="false">IF(N(AB1434)&gt;0,AB1434,0)</f>
        <v>0</v>
      </c>
      <c r="CE1434" s="53" t="n">
        <f aca="false">IF(ISNUMBER(AE1434),1,0)</f>
        <v>0</v>
      </c>
      <c r="CF1434" s="50" t="n">
        <f aca="false">N(AE1434)</f>
        <v>0</v>
      </c>
      <c r="CG1434" s="50" t="n">
        <f aca="false">N(M1434)+N(N1434)</f>
        <v>1</v>
      </c>
      <c r="CH1434" s="50" t="n">
        <f aca="false">ROUNDUP(H1434/BV1434,0)</f>
        <v>0</v>
      </c>
      <c r="CI1434" s="50" t="n">
        <f aca="false">ROUNDUP(CF1434/BV1434,0)</f>
        <v>0</v>
      </c>
      <c r="CJ1434" s="53" t="n">
        <f aca="false">IF(BW1434=1,0,IFERROR(VLOOKUP(BU1434,'Gebinde-Kategorie'!$A$5:$N$45,5,0)+0,0))</f>
        <v>11</v>
      </c>
      <c r="CK1434" s="53" t="n">
        <f aca="false">IFERROR(IF(OR(CB1434=1,CB1434=2,CB1434=3),N(INDEX(Parameter!$I$5:$I$7,CB1434)),0),0)</f>
        <v>0</v>
      </c>
      <c r="CL1434" s="52" t="n">
        <f aca="false">IF(AND(Parameter!$B$21="Ja",ISNUMBER(W1434),N(X1434)&gt;0),IFERROR(N(INDEX(Parameter!$L$5:$L$7,W1434))*INDEX(Parameter!$E$5:$E$7,W1434)*X1434/SUMIFS($X$7:$X$1843,$W$7:$W$1843,W1434),0),0)</f>
        <v>0</v>
      </c>
    </row>
    <row r="1435" customFormat="false" ht="15" hidden="false" customHeight="false" outlineLevel="0" collapsed="false">
      <c r="A1435" s="48" t="s">
        <v>2517</v>
      </c>
      <c r="B1435" s="48" t="s">
        <v>2518</v>
      </c>
      <c r="C1435" s="48" t="s">
        <v>460</v>
      </c>
      <c r="D1435" s="48" t="s">
        <v>177</v>
      </c>
      <c r="E1435" s="48"/>
      <c r="F1435" s="48" t="s">
        <v>222</v>
      </c>
      <c r="G1435" s="49" t="n">
        <v>700.22</v>
      </c>
      <c r="H1435" s="50" t="n">
        <f aca="false">MAX(0,IF(AND(Parameter!$B$21="Ja",ISNUMBER(Y1435)),Y1435,IF(Parameter!$B$20="Jahresanfang 2025 + Export",BO1435+BN1435,BN1435)))</f>
        <v>0</v>
      </c>
      <c r="I1435" s="50" t="n">
        <f aca="false">H1435*G1435</f>
        <v>0</v>
      </c>
      <c r="J1435" s="50" t="n">
        <f aca="false">BQ1435*Parameter!$B$18</f>
        <v>21</v>
      </c>
      <c r="K1435" s="51" t="n">
        <v>12.5</v>
      </c>
      <c r="L1435" s="52" t="n">
        <v>1.68</v>
      </c>
      <c r="M1435" s="50" t="n">
        <v>0</v>
      </c>
      <c r="N1435" s="50" t="n">
        <v>10</v>
      </c>
      <c r="O1435" s="53" t="n">
        <v>63</v>
      </c>
      <c r="P1435" s="48" t="s">
        <v>172</v>
      </c>
      <c r="Q1435" s="50"/>
      <c r="R1435" s="53" t="n">
        <f aca="false">IF(BW1435=1,0,IFERROR(VLOOKUP(BU1435,'Gebinde-Kategorie'!$A$5:$N$45,13,0)+0,0))</f>
        <v>12</v>
      </c>
      <c r="S1435" s="54"/>
      <c r="T1435" s="55" t="s">
        <v>183</v>
      </c>
      <c r="U1435" s="55"/>
      <c r="V1435" s="55"/>
      <c r="W1435" s="48"/>
      <c r="X1435" s="50"/>
      <c r="Y1435" s="50"/>
      <c r="Z1435" s="48" t="n">
        <f aca="false">IF(A1435="","",IF(AND(Parameter!$B$21="Ja",ISNUMBER(W1435)),W1435,IF(BZ1435="2+3",IF(ISNUMBER(SEARCH("grosser Artikel",BR1435)),2,IFERROR(VLOOKUP(BU1435,Parameter!$F$35:$G$64,2,0),2)),IF(OR(BZ1435="Nein",BZ1435=""),"-",BZ1435))))</f>
        <v>2</v>
      </c>
      <c r="AA1435" s="55"/>
      <c r="AB1435" s="56"/>
      <c r="AC1435" s="50" t="n">
        <f aca="false">AT1435</f>
        <v>20</v>
      </c>
      <c r="AD1435" s="50" t="n">
        <f aca="false">MAX(AT1435,H1435)</f>
        <v>20</v>
      </c>
      <c r="AE1435" s="57"/>
      <c r="AF1435" s="50" t="n">
        <f aca="false">IF(LEFT(Cockpit!$C$5,1)="A",H1435,IF(CE1435=1,CF1435,IF(LEFT(Cockpit!$C$5,1)="B",AK1435,MAX(AK1435,H1435))))</f>
        <v>0</v>
      </c>
      <c r="AG1435" s="50" t="n">
        <f aca="false">IF(BW1435=1,0,ROUNDUP(AF1435/BV1435,0))</f>
        <v>0</v>
      </c>
      <c r="AH1435" s="52" t="n">
        <f aca="false">IF(CL1435&gt;0,CL1435*MAX(1,AF1435/X1435),IF(BW1435=1,IF(AF1435&lt;=0,0,CA1435*MAX(1,IF(H1435&gt;0,AF1435/H1435,1))),IF(R1435&gt;0,AG1435/R1435,0))/MAX(0.1,N(Parameter!$M$21)))</f>
        <v>0</v>
      </c>
      <c r="AI1435" s="50" t="n">
        <f aca="false">AH1435*BY1435</f>
        <v>0</v>
      </c>
      <c r="AJ1435" s="50" t="n">
        <f aca="false">AF1435*G1435</f>
        <v>0</v>
      </c>
      <c r="AK1435" s="50" t="n">
        <f aca="false">ROUNDUP(MAX(J1435/IF(CD1435&gt;0,CD1435,MAX(0.1,N(Cockpit!$C$6))),CG1435)/BV1435,0)*BV1435</f>
        <v>20</v>
      </c>
      <c r="AL1435" s="51" t="n">
        <f aca="false">IF(AI1435&gt;0,J1435/AI1435,-1)</f>
        <v>-1</v>
      </c>
      <c r="AM1435" s="51" t="str">
        <f aca="false">IF(AND(OR(CC1435="L1",CC1435="L23",CC1435="LIFT"),AI1435&gt;0),SUMIFS($AI$7:$AI$1843,$CC$7:$CC$1843,CC1435,$AL$7:$AL$1843,"&gt;"&amp;AL1435)+SUMIFS($AI$7:$AI$1843,$CC$7:$CC$1843,CC1435,$AL$7:$AL$1843,AL1435,$BT$7:$BT$1843,"&lt;="&amp;BT1435),"")</f>
        <v/>
      </c>
      <c r="AN1435" s="58" t="n">
        <f aca="false">IF(AM1435="",0,MAX(0,MIN(1,(IF(CC1435="L1",Parameter!$H$5,IF(CC1435="L23",Parameter!$H$6+Parameter!$H$7,Parameter!$H$5+Parameter!$H$6+Parameter!$H$7))-(AM1435-AI1435))/AI1435)))</f>
        <v>0</v>
      </c>
      <c r="AO1435" s="50" t="n">
        <f aca="false">IF(LEFT(Cockpit!$I$5,1)="A",H1435,IF(CE1435=1,CF1435,IF(LEFT(Cockpit!$I$5,1)="B",AT1435,MAX(AT1435,H1435))))</f>
        <v>20</v>
      </c>
      <c r="AP1435" s="50" t="n">
        <f aca="false">IF(BW1435=1,0,ROUNDUP(AO1435/BV1435,0))</f>
        <v>2</v>
      </c>
      <c r="AQ1435" s="52" t="n">
        <f aca="false">IF(CL1435&gt;0,CL1435*MAX(1,AO1435/X1435),IF(BW1435=1,IF(AO1435&lt;=0,0,CA1435*MAX(1,IF(H1435&gt;0,AO1435/H1435,1))),IF(R1435&gt;0,AP1435/R1435,0))/MAX(0.1,N(Parameter!$M$21)))</f>
        <v>0.166666666666667</v>
      </c>
      <c r="AR1435" s="50" t="n">
        <f aca="false">AQ1435*BY1435</f>
        <v>24.1666666666667</v>
      </c>
      <c r="AS1435" s="50" t="n">
        <f aca="false">AO1435*G1435</f>
        <v>14004.4</v>
      </c>
      <c r="AT1435" s="50" t="n">
        <f aca="false">ROUNDUP(MAX(J1435/IF(CD1435&gt;0,CD1435,MAX(0.1,N(Cockpit!$I$6))),CG1435)/BV1435,0)*BV1435</f>
        <v>20</v>
      </c>
      <c r="AU1435" s="51" t="n">
        <f aca="false">IF(AR1435&gt;0,J1435/AR1435,-1)</f>
        <v>0.868965517241379</v>
      </c>
      <c r="AV1435" s="51" t="n">
        <f aca="false">IF(AND(OR(CC1435="L1",CC1435="L23",CC1435="LIFT"),AR1435&gt;0),SUMIFS($AR$7:$AR$1843,$CC$7:$CC$1843,CC1435,$AU$7:$AU$1843,"&gt;"&amp;AU1435)+SUMIFS($AR$7:$AR$1843,$CC$7:$CC$1843,CC1435,$AU$7:$AU$1843,AU1435,$BT$7:$BT$1843,"&lt;="&amp;BT1435),"")</f>
        <v>11103.2664835165</v>
      </c>
      <c r="AW1435" s="58" t="n">
        <f aca="false">IF(AV1435="",0,MAX(0,MIN(1,(IF(CC1435="L1",Parameter!$H$5,IF(CC1435="L23",Parameter!$H$6+Parameter!$H$7,Parameter!$H$5+Parameter!$H$6+Parameter!$H$7))-(AV1435-AR1435))/AR1435)))</f>
        <v>1</v>
      </c>
      <c r="AX1435" s="50" t="n">
        <f aca="false">IF(LEFT(Cockpit!$O$5,1)="A",H1435,IF(CE1435=1,CF1435,IF(LEFT(Cockpit!$O$5,1)="B",BC1435,MAX(BC1435,H1435))))</f>
        <v>10</v>
      </c>
      <c r="AY1435" s="50" t="n">
        <f aca="false">IF(BW1435=1,0,ROUNDUP(AX1435/BV1435,0))</f>
        <v>1</v>
      </c>
      <c r="AZ1435" s="52" t="n">
        <f aca="false">IF(CL1435&gt;0,CL1435*MAX(1,AX1435/X1435),IF(BW1435=1,IF(AX1435&lt;=0,0,CA1435*MAX(1,IF(H1435&gt;0,AX1435/H1435,1))),IF(R1435&gt;0,AY1435/R1435,0))/MAX(0.1,N(Parameter!$M$21)))</f>
        <v>0.0833333333333333</v>
      </c>
      <c r="BA1435" s="50" t="n">
        <f aca="false">AZ1435*BY1435</f>
        <v>12.0833333333333</v>
      </c>
      <c r="BB1435" s="50" t="n">
        <f aca="false">AX1435*G1435</f>
        <v>7002.2</v>
      </c>
      <c r="BC1435" s="50" t="n">
        <f aca="false">ROUNDUP(MAX(J1435/IF(CD1435&gt;0,CD1435,MAX(0.1,N(Cockpit!$O$6))),CG1435)/BV1435,0)*BV1435</f>
        <v>10</v>
      </c>
      <c r="BD1435" s="51" t="n">
        <f aca="false">IF(BA1435&gt;0,J1435/BA1435,-1)</f>
        <v>1.73793103448276</v>
      </c>
      <c r="BE1435" s="51" t="n">
        <f aca="false">IF(AND(OR(CC1435="L1",CC1435="L23",CC1435="LIFT"),BA1435&gt;0),SUMIFS($BA$7:$BA$1843,$CC$7:$CC$1843,CC1435,$BD$7:$BD$1843,"&gt;"&amp;BD1435)+SUMIFS($BA$7:$BA$1843,$CC$7:$CC$1843,CC1435,$BD$7:$BD$1843,BD1435,$BT$7:$BT$1843,"&lt;="&amp;BT1435),"")</f>
        <v>8053.67078754579</v>
      </c>
      <c r="BF1435" s="58" t="n">
        <f aca="false">IF(BE1435="",0,MAX(0,MIN(1,(IF(CC1435="L1",Parameter!$H$5,IF(CC1435="L23",Parameter!$H$6+Parameter!$H$7,Parameter!$H$5+Parameter!$H$6+Parameter!$H$7))-(BE1435-BA1435))/BA1435)))</f>
        <v>1</v>
      </c>
      <c r="BG1435" s="48" t="str">
        <f aca="false">IF(AI1435&lt;=0,"",IF(CC1435="Aussen","Aussenlager",IF(CC1435="-","Nicht im Lift",IF(AN1435&gt;=1,"Lift",IF(AN1435&lt;=0,"Aussenlager","teilweise")))))</f>
        <v/>
      </c>
      <c r="BH1435" s="48" t="str">
        <f aca="false">IF(AR1435&lt;=0,"",IF(CC1435="Aussen","Aussenlager",IF(CC1435="-","Nicht im Lift",IF(AW1435&gt;=1,"Lift",IF(AW1435&lt;=0,"Aussenlager","teilweise")))))</f>
        <v>Lift</v>
      </c>
      <c r="BI1435" s="48" t="str">
        <f aca="false">IF(BA1435&lt;=0,"",IF(CC1435="Aussen","Aussenlager",IF(CC1435="-","Nicht im Lift",IF(BF1435&gt;=1,"Lift",IF(BF1435&lt;=0,"Aussenlager","teilweise")))))</f>
        <v>Lift</v>
      </c>
      <c r="BJ1435" s="48" t="str">
        <f aca="false">IF(A1435="","",IF(BS1435=1,"Neu; ","")&amp;IF(AND(BS1435=0,BN1435&lt;0),"negativer Bestand (Export "&amp;BN1435&amp;"); ","")&amp;IF(J1435&lt;=0,"Kein Verbrauch; ","")&amp;IF(CL1435&gt;0,"Lift "&amp;W1435&amp;" lt. Liftbericht (Fach "&amp;X1435&amp;" Stk); ",IF(BX1435=1,"Gebinde geschätzt ("&amp;T1435&amp;"); ",IF(BW1435=1,"Lose – Tablare geschätzt; ","")))&amp;IF(H1435&gt;AT1435,"Überbestand "&amp;ROUND(H1435-AT1435,0)&amp;" Stk / CHF "&amp;ROUND((H1435-AT1435)*G1435,0)&amp;"; ","")&amp;IF(AND(CE1435=1,CF1435&lt;CG1435),"MAX &lt; MB+LG; ","")&amp;IF(AND(CK1435&gt;0,CJ1435*10&gt;CK1435),"zu hoch für Tablar; ","")&amp;IF(AND(BS1435=0,OR(CE1435=1,AA1435&lt;&gt;"",U1435&lt;&gt;"",V1435&lt;&gt;"",AB1435&lt;&gt;"")),"manuell übersteuert; ","")&amp;IF(AND(BW1435=0,R1435=0),"Gebinde unbekannt / Stellmass fehlt; ","")&amp;IF(AND(BW1435=0,N(V1435)&lt;=0,N(Q1435)&lt;=0),"Menge pro Gebinde fehlt (Ist = 1 Gebinde); ","")&amp;BR1435)</f>
        <v>negativer Bestand (Export -11); Gebinde geschätzt (Mittel); Menge pro Gebinde fehlt (Ist = 1 Gebinde); </v>
      </c>
      <c r="BK1435" s="48"/>
      <c r="BL1435" s="48"/>
      <c r="BM1435" s="55"/>
      <c r="BN1435" s="50" t="n">
        <v>-11</v>
      </c>
      <c r="BO1435" s="50" t="n">
        <v>11</v>
      </c>
      <c r="BP1435" s="49" t="n">
        <v>-7934.19</v>
      </c>
      <c r="BQ1435" s="50" t="n">
        <v>21</v>
      </c>
      <c r="BR1435" s="48"/>
      <c r="BS1435" s="53" t="n">
        <v>0</v>
      </c>
      <c r="BT1435" s="53" t="n">
        <v>1435</v>
      </c>
      <c r="BU1435" s="48" t="str">
        <f aca="false">IF(U1435&lt;&gt;"",UPPER(TRIM(U1435)),IF(BX1435=1,UPPER(VLOOKUP(T1435,Parameter!$I$27:$K$29,2,0)),IF(P1435="","LOSE",P1435)))</f>
        <v>S61</v>
      </c>
      <c r="BV1435" s="50" t="n">
        <f aca="false">IF(BU1435="LOSE",1,IF(N(V1435)&gt;0,V1435,IF(BX1435=1,MAX(1,N(VLOOKUP(T1435,Parameter!$I$27:$K$29,3,0)),H1435,N(N1435)),IF(N(Q1435)&gt;0,Q1435,MAX(1,H1435)))))</f>
        <v>10</v>
      </c>
      <c r="BW1435" s="53" t="n">
        <f aca="false">IF(BU1435="LOSE",1,0)</f>
        <v>0</v>
      </c>
      <c r="BX1435" s="53" t="n">
        <f aca="false">IF(AND(U1435="",OR(P1435="",P1435="LOSE"),T1435&lt;&gt;"",N(S1435)&lt;=0,ISNUMBER(MATCH(T1435,Parameter!$I$27:$I$29,0))),1,0)</f>
        <v>1</v>
      </c>
      <c r="BY1435" s="53" t="n">
        <f aca="false">IF(CL1435&gt;0,INDEX(Parameter!$H$5:$H$7,W1435)/INDEX(Parameter!$E$5:$E$7,W1435),IF(AND(BW1435=0,N(IFERROR(VLOOKUP(BU1435,'Gebinde-Kategorie'!$A$5:$N$45,14,0),0))&gt;0),VLOOKUP(BU1435,'Gebinde-Kategorie'!$A$5:$N$45,14,0)*10+Parameter!$M$23,Parameter!$M$24))</f>
        <v>145</v>
      </c>
      <c r="BZ1435" s="48" t="str">
        <f aca="false">IF(AND(Parameter!$B$19="Ja",E1435&lt;&gt;"",ISNUMBER(MATCH(E1435,Parameter!$I$35:$I$52,0))),VLOOKUP(E1435,Parameter!$I$35:$J$52,2,0),IFERROR(VLOOKUP(D1435,Parameter!$A$35:$C$64,2,0),"Nein"))</f>
        <v>2+3</v>
      </c>
      <c r="CA1435" s="52" t="n">
        <f aca="false">IF(BW1435=0,0,IF(N(S1435)&gt;0,S1435,IFERROR(VLOOKUP(D1435,Parameter!$A$35:$C$64,3,0)+0,0)))</f>
        <v>0</v>
      </c>
      <c r="CB1435" s="48" t="n">
        <f aca="false">IF(AA1435&lt;&gt;"",AA1435,Z1435)</f>
        <v>2</v>
      </c>
      <c r="CC1435" s="48" t="str">
        <f aca="false">IF(OR(CB1435=1,CB1435=2,CB1435=3),IF(Parameter!$E$27="Ja","LIFT",IF(CB1435=1,"L1","L23")),IF(CB1435="Aussen","Aussen","-"))</f>
        <v>LIFT</v>
      </c>
      <c r="CD1435" s="59" t="n">
        <f aca="false">IF(N(AB1435)&gt;0,AB1435,0)</f>
        <v>0</v>
      </c>
      <c r="CE1435" s="53" t="n">
        <f aca="false">IF(ISNUMBER(AE1435),1,0)</f>
        <v>0</v>
      </c>
      <c r="CF1435" s="50" t="n">
        <f aca="false">N(AE1435)</f>
        <v>0</v>
      </c>
      <c r="CG1435" s="50" t="n">
        <f aca="false">N(M1435)+N(N1435)</f>
        <v>10</v>
      </c>
      <c r="CH1435" s="50" t="n">
        <f aca="false">ROUNDUP(H1435/BV1435,0)</f>
        <v>0</v>
      </c>
      <c r="CI1435" s="50" t="n">
        <f aca="false">ROUNDUP(CF1435/BV1435,0)</f>
        <v>0</v>
      </c>
      <c r="CJ1435" s="53" t="n">
        <f aca="false">IF(BW1435=1,0,IFERROR(VLOOKUP(BU1435,'Gebinde-Kategorie'!$A$5:$N$45,5,0)+0,0))</f>
        <v>11</v>
      </c>
      <c r="CK1435" s="53" t="n">
        <f aca="false">IFERROR(IF(OR(CB1435=1,CB1435=2,CB1435=3),N(INDEX(Parameter!$I$5:$I$7,CB1435)),0),0)</f>
        <v>0</v>
      </c>
      <c r="CL1435" s="52" t="n">
        <f aca="false">IF(AND(Parameter!$B$21="Ja",ISNUMBER(W1435),N(X1435)&gt;0),IFERROR(N(INDEX(Parameter!$L$5:$L$7,W1435))*INDEX(Parameter!$E$5:$E$7,W1435)*X1435/SUMIFS($X$7:$X$1843,$W$7:$W$1843,W1435),0),0)</f>
        <v>0</v>
      </c>
    </row>
    <row r="1436" customFormat="false" ht="15" hidden="false" customHeight="false" outlineLevel="0" collapsed="false">
      <c r="A1436" s="48" t="s">
        <v>2519</v>
      </c>
      <c r="B1436" s="48" t="s">
        <v>2520</v>
      </c>
      <c r="C1436" s="48" t="s">
        <v>168</v>
      </c>
      <c r="D1436" s="48" t="s">
        <v>177</v>
      </c>
      <c r="E1436" s="48"/>
      <c r="F1436" s="48" t="s">
        <v>222</v>
      </c>
      <c r="G1436" s="49" t="n">
        <v>338.86</v>
      </c>
      <c r="H1436" s="50" t="n">
        <f aca="false">MAX(0,IF(AND(Parameter!$B$21="Ja",ISNUMBER(Y1436)),Y1436,IF(Parameter!$B$20="Jahresanfang 2025 + Export",BO1436+BN1436,BN1436)))</f>
        <v>15</v>
      </c>
      <c r="I1436" s="50" t="n">
        <f aca="false">H1436*G1436</f>
        <v>5082.9</v>
      </c>
      <c r="J1436" s="50" t="n">
        <f aca="false">BQ1436*Parameter!$B$18</f>
        <v>36</v>
      </c>
      <c r="K1436" s="51" t="n">
        <v>27</v>
      </c>
      <c r="L1436" s="52" t="n">
        <v>1.33333333333333</v>
      </c>
      <c r="M1436" s="50" t="n">
        <v>2</v>
      </c>
      <c r="N1436" s="50" t="n">
        <v>15</v>
      </c>
      <c r="O1436" s="53" t="n">
        <v>21</v>
      </c>
      <c r="P1436" s="48" t="s">
        <v>178</v>
      </c>
      <c r="Q1436" s="50" t="n">
        <v>18</v>
      </c>
      <c r="R1436" s="53" t="n">
        <f aca="false">IF(BW1436=1,0,IFERROR(VLOOKUP(BU1436,'Gebinde-Kategorie'!$A$5:$N$45,13,0)+0,0))</f>
        <v>6</v>
      </c>
      <c r="S1436" s="54"/>
      <c r="T1436" s="55"/>
      <c r="U1436" s="55"/>
      <c r="V1436" s="55"/>
      <c r="W1436" s="48"/>
      <c r="X1436" s="50"/>
      <c r="Y1436" s="50"/>
      <c r="Z1436" s="48" t="n">
        <f aca="false">IF(A1436="","",IF(AND(Parameter!$B$21="Ja",ISNUMBER(W1436)),W1436,IF(BZ1436="2+3",IF(ISNUMBER(SEARCH("grosser Artikel",BR1436)),2,IFERROR(VLOOKUP(BU1436,Parameter!$F$35:$G$64,2,0),2)),IF(OR(BZ1436="Nein",BZ1436=""),"-",BZ1436))))</f>
        <v>2</v>
      </c>
      <c r="AA1436" s="55"/>
      <c r="AB1436" s="56"/>
      <c r="AC1436" s="50" t="n">
        <f aca="false">AT1436</f>
        <v>18</v>
      </c>
      <c r="AD1436" s="50" t="n">
        <f aca="false">MAX(AT1436,H1436)</f>
        <v>18</v>
      </c>
      <c r="AE1436" s="57"/>
      <c r="AF1436" s="50" t="n">
        <f aca="false">IF(LEFT(Cockpit!$C$5,1)="A",H1436,IF(CE1436=1,CF1436,IF(LEFT(Cockpit!$C$5,1)="B",AK1436,MAX(AK1436,H1436))))</f>
        <v>15</v>
      </c>
      <c r="AG1436" s="50" t="n">
        <f aca="false">IF(BW1436=1,0,ROUNDUP(AF1436/BV1436,0))</f>
        <v>1</v>
      </c>
      <c r="AH1436" s="52" t="n">
        <f aca="false">IF(CL1436&gt;0,CL1436*MAX(1,AF1436/X1436),IF(BW1436=1,IF(AF1436&lt;=0,0,CA1436*MAX(1,IF(H1436&gt;0,AF1436/H1436,1))),IF(R1436&gt;0,AG1436/R1436,0))/MAX(0.1,N(Parameter!$M$21)))</f>
        <v>0.166666666666667</v>
      </c>
      <c r="AI1436" s="50" t="n">
        <f aca="false">AH1436*BY1436</f>
        <v>39.1666666666667</v>
      </c>
      <c r="AJ1436" s="50" t="n">
        <f aca="false">AF1436*G1436</f>
        <v>5082.9</v>
      </c>
      <c r="AK1436" s="50" t="n">
        <f aca="false">ROUNDUP(MAX(J1436/IF(CD1436&gt;0,CD1436,MAX(0.1,N(Cockpit!$C$6))),CG1436)/BV1436,0)*BV1436</f>
        <v>18</v>
      </c>
      <c r="AL1436" s="51" t="n">
        <f aca="false">IF(AI1436&gt;0,J1436/AI1436,-1)</f>
        <v>0.919148936170213</v>
      </c>
      <c r="AM1436" s="51" t="n">
        <f aca="false">IF(AND(OR(CC1436="L1",CC1436="L23",CC1436="LIFT"),AI1436&gt;0),SUMIFS($AI$7:$AI$1843,$CC$7:$CC$1843,CC1436,$AL$7:$AL$1843,"&gt;"&amp;AL1436)+SUMIFS($AI$7:$AI$1843,$CC$7:$CC$1843,CC1436,$AL$7:$AL$1843,AL1436,$BT$7:$BT$1843,"&lt;="&amp;BT1436),"")</f>
        <v>7394.70558608059</v>
      </c>
      <c r="AN1436" s="58" t="n">
        <f aca="false">IF(AM1436="",0,MAX(0,MIN(1,(IF(CC1436="L1",Parameter!$H$5,IF(CC1436="L23",Parameter!$H$6+Parameter!$H$7,Parameter!$H$5+Parameter!$H$6+Parameter!$H$7))-(AM1436-AI1436))/AI1436)))</f>
        <v>1</v>
      </c>
      <c r="AO1436" s="50" t="n">
        <f aca="false">IF(LEFT(Cockpit!$I$5,1)="A",H1436,IF(CE1436=1,CF1436,IF(LEFT(Cockpit!$I$5,1)="B",AT1436,MAX(AT1436,H1436))))</f>
        <v>18</v>
      </c>
      <c r="AP1436" s="50" t="n">
        <f aca="false">IF(BW1436=1,0,ROUNDUP(AO1436/BV1436,0))</f>
        <v>1</v>
      </c>
      <c r="AQ1436" s="52" t="n">
        <f aca="false">IF(CL1436&gt;0,CL1436*MAX(1,AO1436/X1436),IF(BW1436=1,IF(AO1436&lt;=0,0,CA1436*MAX(1,IF(H1436&gt;0,AO1436/H1436,1))),IF(R1436&gt;0,AP1436/R1436,0))/MAX(0.1,N(Parameter!$M$21)))</f>
        <v>0.166666666666667</v>
      </c>
      <c r="AR1436" s="50" t="n">
        <f aca="false">AQ1436*BY1436</f>
        <v>39.1666666666667</v>
      </c>
      <c r="AS1436" s="50" t="n">
        <f aca="false">AO1436*G1436</f>
        <v>6099.48</v>
      </c>
      <c r="AT1436" s="50" t="n">
        <f aca="false">ROUNDUP(MAX(J1436/IF(CD1436&gt;0,CD1436,MAX(0.1,N(Cockpit!$I$6))),CG1436)/BV1436,0)*BV1436</f>
        <v>18</v>
      </c>
      <c r="AU1436" s="51" t="n">
        <f aca="false">IF(AR1436&gt;0,J1436/AR1436,-1)</f>
        <v>0.919148936170213</v>
      </c>
      <c r="AV1436" s="51" t="n">
        <f aca="false">IF(AND(OR(CC1436="L1",CC1436="L23",CC1436="LIFT"),AR1436&gt;0),SUMIFS($AR$7:$AR$1843,$CC$7:$CC$1843,CC1436,$AU$7:$AU$1843,"&gt;"&amp;AU1436)+SUMIFS($AR$7:$AR$1843,$CC$7:$CC$1843,CC1436,$AU$7:$AU$1843,AU1436,$BT$7:$BT$1843,"&lt;="&amp;BT1436),"")</f>
        <v>10530.1291208791</v>
      </c>
      <c r="AW1436" s="58" t="n">
        <f aca="false">IF(AV1436="",0,MAX(0,MIN(1,(IF(CC1436="L1",Parameter!$H$5,IF(CC1436="L23",Parameter!$H$6+Parameter!$H$7,Parameter!$H$5+Parameter!$H$6+Parameter!$H$7))-(AV1436-AR1436))/AR1436)))</f>
        <v>1</v>
      </c>
      <c r="AX1436" s="50" t="n">
        <f aca="false">IF(LEFT(Cockpit!$O$5,1)="A",H1436,IF(CE1436=1,CF1436,IF(LEFT(Cockpit!$O$5,1)="B",BC1436,MAX(BC1436,H1436))))</f>
        <v>18</v>
      </c>
      <c r="AY1436" s="50" t="n">
        <f aca="false">IF(BW1436=1,0,ROUNDUP(AX1436/BV1436,0))</f>
        <v>1</v>
      </c>
      <c r="AZ1436" s="52" t="n">
        <f aca="false">IF(CL1436&gt;0,CL1436*MAX(1,AX1436/X1436),IF(BW1436=1,IF(AX1436&lt;=0,0,CA1436*MAX(1,IF(H1436&gt;0,AX1436/H1436,1))),IF(R1436&gt;0,AY1436/R1436,0))/MAX(0.1,N(Parameter!$M$21)))</f>
        <v>0.166666666666667</v>
      </c>
      <c r="BA1436" s="50" t="n">
        <f aca="false">AZ1436*BY1436</f>
        <v>39.1666666666667</v>
      </c>
      <c r="BB1436" s="50" t="n">
        <f aca="false">AX1436*G1436</f>
        <v>6099.48</v>
      </c>
      <c r="BC1436" s="50" t="n">
        <f aca="false">ROUNDUP(MAX(J1436/IF(CD1436&gt;0,CD1436,MAX(0.1,N(Cockpit!$O$6))),CG1436)/BV1436,0)*BV1436</f>
        <v>18</v>
      </c>
      <c r="BD1436" s="51" t="n">
        <f aca="false">IF(BA1436&gt;0,J1436/BA1436,-1)</f>
        <v>0.919148936170213</v>
      </c>
      <c r="BE1436" s="51" t="n">
        <f aca="false">IF(AND(OR(CC1436="L1",CC1436="L23",CC1436="LIFT"),BA1436&gt;0),SUMIFS($BA$7:$BA$1843,$CC$7:$CC$1843,CC1436,$BD$7:$BD$1843,"&gt;"&amp;BD1436)+SUMIFS($BA$7:$BA$1843,$CC$7:$CC$1843,CC1436,$BD$7:$BD$1843,BD1436,$BT$7:$BT$1843,"&lt;="&amp;BT1436),"")</f>
        <v>9788.28617216117</v>
      </c>
      <c r="BF1436" s="58" t="n">
        <f aca="false">IF(BE1436="",0,MAX(0,MIN(1,(IF(CC1436="L1",Parameter!$H$5,IF(CC1436="L23",Parameter!$H$6+Parameter!$H$7,Parameter!$H$5+Parameter!$H$6+Parameter!$H$7))-(BE1436-BA1436))/BA1436)))</f>
        <v>1</v>
      </c>
      <c r="BG1436" s="48" t="str">
        <f aca="false">IF(AI1436&lt;=0,"",IF(CC1436="Aussen","Aussenlager",IF(CC1436="-","Nicht im Lift",IF(AN1436&gt;=1,"Lift",IF(AN1436&lt;=0,"Aussenlager","teilweise")))))</f>
        <v>Lift</v>
      </c>
      <c r="BH1436" s="48" t="str">
        <f aca="false">IF(AR1436&lt;=0,"",IF(CC1436="Aussen","Aussenlager",IF(CC1436="-","Nicht im Lift",IF(AW1436&gt;=1,"Lift",IF(AW1436&lt;=0,"Aussenlager","teilweise")))))</f>
        <v>Lift</v>
      </c>
      <c r="BI1436" s="48" t="str">
        <f aca="false">IF(BA1436&lt;=0,"",IF(CC1436="Aussen","Aussenlager",IF(CC1436="-","Nicht im Lift",IF(BF1436&gt;=1,"Lift",IF(BF1436&lt;=0,"Aussenlager","teilweise")))))</f>
        <v>Lift</v>
      </c>
      <c r="BJ1436" s="48" t="str">
        <f aca="false">IF(A1436="","",IF(BS1436=1,"Neu; ","")&amp;IF(AND(BS1436=0,BN1436&lt;0),"negativer Bestand (Export "&amp;BN1436&amp;"); ","")&amp;IF(J1436&lt;=0,"Kein Verbrauch; ","")&amp;IF(CL1436&gt;0,"Lift "&amp;W1436&amp;" lt. Liftbericht (Fach "&amp;X1436&amp;" Stk); ",IF(BX1436=1,"Gebinde geschätzt ("&amp;T1436&amp;"); ",IF(BW1436=1,"Lose – Tablare geschätzt; ","")))&amp;IF(H1436&gt;AT1436,"Überbestand "&amp;ROUND(H1436-AT1436,0)&amp;" Stk / CHF "&amp;ROUND((H1436-AT1436)*G1436,0)&amp;"; ","")&amp;IF(AND(CE1436=1,CF1436&lt;CG1436),"MAX &lt; MB+LG; ","")&amp;IF(AND(CK1436&gt;0,CJ1436*10&gt;CK1436),"zu hoch für Tablar; ","")&amp;IF(AND(BS1436=0,OR(CE1436=1,AA1436&lt;&gt;"",U1436&lt;&gt;"",V1436&lt;&gt;"",AB1436&lt;&gt;"")),"manuell übersteuert; ","")&amp;IF(AND(BW1436=0,R1436=0),"Gebinde unbekannt / Stellmass fehlt; ","")&amp;IF(AND(BW1436=0,N(V1436)&lt;=0,N(Q1436)&lt;=0),"Menge pro Gebinde fehlt (Ist = 1 Gebinde); ","")&amp;BR1436)</f>
        <v>negativer Bestand (Export -22); </v>
      </c>
      <c r="BK1436" s="48"/>
      <c r="BL1436" s="48"/>
      <c r="BM1436" s="55"/>
      <c r="BN1436" s="50" t="n">
        <v>-22</v>
      </c>
      <c r="BO1436" s="50" t="n">
        <v>37</v>
      </c>
      <c r="BP1436" s="49" t="n">
        <v>-8095.76</v>
      </c>
      <c r="BQ1436" s="50" t="n">
        <v>36</v>
      </c>
      <c r="BR1436" s="48"/>
      <c r="BS1436" s="53" t="n">
        <v>0</v>
      </c>
      <c r="BT1436" s="53" t="n">
        <v>1436</v>
      </c>
      <c r="BU1436" s="48" t="str">
        <f aca="false">IF(U1436&lt;&gt;"",UPPER(TRIM(U1436)),IF(BX1436=1,UPPER(VLOOKUP(T1436,Parameter!$I$27:$K$29,2,0)),IF(P1436="","LOSE",P1436)))</f>
        <v>S71</v>
      </c>
      <c r="BV1436" s="50" t="n">
        <f aca="false">IF(BU1436="LOSE",1,IF(N(V1436)&gt;0,V1436,IF(BX1436=1,MAX(1,N(VLOOKUP(T1436,Parameter!$I$27:$K$29,3,0)),H1436,N(N1436)),IF(N(Q1436)&gt;0,Q1436,MAX(1,H1436)))))</f>
        <v>18</v>
      </c>
      <c r="BW1436" s="53" t="n">
        <f aca="false">IF(BU1436="LOSE",1,0)</f>
        <v>0</v>
      </c>
      <c r="BX1436" s="53" t="n">
        <f aca="false">IF(AND(U1436="",OR(P1436="",P1436="LOSE"),T1436&lt;&gt;"",N(S1436)&lt;=0,ISNUMBER(MATCH(T1436,Parameter!$I$27:$I$29,0))),1,0)</f>
        <v>0</v>
      </c>
      <c r="BY1436" s="53" t="n">
        <f aca="false">IF(CL1436&gt;0,INDEX(Parameter!$H$5:$H$7,W1436)/INDEX(Parameter!$E$5:$E$7,W1436),IF(AND(BW1436=0,N(IFERROR(VLOOKUP(BU1436,'Gebinde-Kategorie'!$A$5:$N$45,14,0),0))&gt;0),VLOOKUP(BU1436,'Gebinde-Kategorie'!$A$5:$N$45,14,0)*10+Parameter!$M$23,Parameter!$M$24))</f>
        <v>235</v>
      </c>
      <c r="BZ1436" s="48" t="str">
        <f aca="false">IF(AND(Parameter!$B$19="Ja",E1436&lt;&gt;"",ISNUMBER(MATCH(E1436,Parameter!$I$35:$I$52,0))),VLOOKUP(E1436,Parameter!$I$35:$J$52,2,0),IFERROR(VLOOKUP(D1436,Parameter!$A$35:$C$64,2,0),"Nein"))</f>
        <v>2+3</v>
      </c>
      <c r="CA1436" s="52" t="n">
        <f aca="false">IF(BW1436=0,0,IF(N(S1436)&gt;0,S1436,IFERROR(VLOOKUP(D1436,Parameter!$A$35:$C$64,3,0)+0,0)))</f>
        <v>0</v>
      </c>
      <c r="CB1436" s="48" t="n">
        <f aca="false">IF(AA1436&lt;&gt;"",AA1436,Z1436)</f>
        <v>2</v>
      </c>
      <c r="CC1436" s="48" t="str">
        <f aca="false">IF(OR(CB1436=1,CB1436=2,CB1436=3),IF(Parameter!$E$27="Ja","LIFT",IF(CB1436=1,"L1","L23")),IF(CB1436="Aussen","Aussen","-"))</f>
        <v>LIFT</v>
      </c>
      <c r="CD1436" s="59" t="n">
        <f aca="false">IF(N(AB1436)&gt;0,AB1436,0)</f>
        <v>0</v>
      </c>
      <c r="CE1436" s="53" t="n">
        <f aca="false">IF(ISNUMBER(AE1436),1,0)</f>
        <v>0</v>
      </c>
      <c r="CF1436" s="50" t="n">
        <f aca="false">N(AE1436)</f>
        <v>0</v>
      </c>
      <c r="CG1436" s="50" t="n">
        <f aca="false">N(M1436)+N(N1436)</f>
        <v>17</v>
      </c>
      <c r="CH1436" s="50" t="n">
        <f aca="false">ROUNDUP(H1436/BV1436,0)</f>
        <v>1</v>
      </c>
      <c r="CI1436" s="50" t="n">
        <f aca="false">ROUNDUP(CF1436/BV1436,0)</f>
        <v>0</v>
      </c>
      <c r="CJ1436" s="53" t="n">
        <f aca="false">IF(BW1436=1,0,IFERROR(VLOOKUP(BU1436,'Gebinde-Kategorie'!$A$5:$N$45,5,0)+0,0))</f>
        <v>20</v>
      </c>
      <c r="CK1436" s="53" t="n">
        <f aca="false">IFERROR(IF(OR(CB1436=1,CB1436=2,CB1436=3),N(INDEX(Parameter!$I$5:$I$7,CB1436)),0),0)</f>
        <v>0</v>
      </c>
      <c r="CL1436" s="52" t="n">
        <f aca="false">IF(AND(Parameter!$B$21="Ja",ISNUMBER(W1436),N(X1436)&gt;0),IFERROR(N(INDEX(Parameter!$L$5:$L$7,W1436))*INDEX(Parameter!$E$5:$E$7,W1436)*X1436/SUMIFS($X$7:$X$1843,$W$7:$W$1843,W1436),0),0)</f>
        <v>0</v>
      </c>
    </row>
    <row r="1437" customFormat="false" ht="15" hidden="false" customHeight="false" outlineLevel="0" collapsed="false">
      <c r="A1437" s="48" t="s">
        <v>2521</v>
      </c>
      <c r="B1437" s="48" t="s">
        <v>2522</v>
      </c>
      <c r="C1437" s="48" t="s">
        <v>168</v>
      </c>
      <c r="D1437" s="48" t="s">
        <v>177</v>
      </c>
      <c r="E1437" s="48" t="s">
        <v>170</v>
      </c>
      <c r="F1437" s="48" t="s">
        <v>222</v>
      </c>
      <c r="G1437" s="49" t="n">
        <v>559.54</v>
      </c>
      <c r="H1437" s="50" t="n">
        <f aca="false">MAX(0,IF(AND(Parameter!$B$21="Ja",ISNUMBER(Y1437)),Y1437,IF(Parameter!$B$20="Jahresanfang 2025 + Export",BO1437+BN1437,BN1437)))</f>
        <v>13</v>
      </c>
      <c r="I1437" s="50" t="n">
        <f aca="false">H1437*G1437</f>
        <v>7274.02</v>
      </c>
      <c r="J1437" s="50" t="n">
        <f aca="false">BQ1437*Parameter!$B$18</f>
        <v>29</v>
      </c>
      <c r="K1437" s="51" t="n">
        <v>37.5</v>
      </c>
      <c r="L1437" s="52" t="n">
        <v>0.773333333333333</v>
      </c>
      <c r="M1437" s="50" t="n">
        <v>1</v>
      </c>
      <c r="N1437" s="50" t="n">
        <v>20</v>
      </c>
      <c r="O1437" s="53" t="n">
        <v>21</v>
      </c>
      <c r="P1437" s="48" t="s">
        <v>178</v>
      </c>
      <c r="Q1437" s="50" t="n">
        <v>12</v>
      </c>
      <c r="R1437" s="53" t="n">
        <f aca="false">IF(BW1437=1,0,IFERROR(VLOOKUP(BU1437,'Gebinde-Kategorie'!$A$5:$N$45,13,0)+0,0))</f>
        <v>6</v>
      </c>
      <c r="S1437" s="54"/>
      <c r="T1437" s="55"/>
      <c r="U1437" s="55"/>
      <c r="V1437" s="55"/>
      <c r="W1437" s="48"/>
      <c r="X1437" s="50"/>
      <c r="Y1437" s="50"/>
      <c r="Z1437" s="48" t="n">
        <f aca="false">IF(A1437="","",IF(AND(Parameter!$B$21="Ja",ISNUMBER(W1437)),W1437,IF(BZ1437="2+3",IF(ISNUMBER(SEARCH("grosser Artikel",BR1437)),2,IFERROR(VLOOKUP(BU1437,Parameter!$F$35:$G$64,2,0),2)),IF(OR(BZ1437="Nein",BZ1437=""),"-",BZ1437))))</f>
        <v>1</v>
      </c>
      <c r="AA1437" s="55"/>
      <c r="AB1437" s="56"/>
      <c r="AC1437" s="50" t="n">
        <f aca="false">AT1437</f>
        <v>24</v>
      </c>
      <c r="AD1437" s="50" t="n">
        <f aca="false">MAX(AT1437,H1437)</f>
        <v>24</v>
      </c>
      <c r="AE1437" s="57"/>
      <c r="AF1437" s="50" t="n">
        <f aca="false">IF(LEFT(Cockpit!$C$5,1)="A",H1437,IF(CE1437=1,CF1437,IF(LEFT(Cockpit!$C$5,1)="B",AK1437,MAX(AK1437,H1437))))</f>
        <v>13</v>
      </c>
      <c r="AG1437" s="50" t="n">
        <f aca="false">IF(BW1437=1,0,ROUNDUP(AF1437/BV1437,0))</f>
        <v>2</v>
      </c>
      <c r="AH1437" s="52" t="n">
        <f aca="false">IF(CL1437&gt;0,CL1437*MAX(1,AF1437/X1437),IF(BW1437=1,IF(AF1437&lt;=0,0,CA1437*MAX(1,IF(H1437&gt;0,AF1437/H1437,1))),IF(R1437&gt;0,AG1437/R1437,0))/MAX(0.1,N(Parameter!$M$21)))</f>
        <v>0.333333333333333</v>
      </c>
      <c r="AI1437" s="50" t="n">
        <f aca="false">AH1437*BY1437</f>
        <v>78.3333333333333</v>
      </c>
      <c r="AJ1437" s="50" t="n">
        <f aca="false">AF1437*G1437</f>
        <v>7274.02</v>
      </c>
      <c r="AK1437" s="50" t="n">
        <f aca="false">ROUNDUP(MAX(J1437/IF(CD1437&gt;0,CD1437,MAX(0.1,N(Cockpit!$C$6))),CG1437)/BV1437,0)*BV1437</f>
        <v>24</v>
      </c>
      <c r="AL1437" s="51" t="n">
        <f aca="false">IF(AI1437&gt;0,J1437/AI1437,-1)</f>
        <v>0.370212765957447</v>
      </c>
      <c r="AM1437" s="51" t="n">
        <f aca="false">IF(AND(OR(CC1437="L1",CC1437="L23",CC1437="LIFT"),AI1437&gt;0),SUMIFS($AI$7:$AI$1843,$CC$7:$CC$1843,CC1437,$AL$7:$AL$1843,"&gt;"&amp;AL1437)+SUMIFS($AI$7:$AI$1843,$CC$7:$CC$1843,CC1437,$AL$7:$AL$1843,AL1437,$BT$7:$BT$1843,"&lt;="&amp;BT1437),"")</f>
        <v>10459.3333048778</v>
      </c>
      <c r="AN1437" s="58" t="n">
        <f aca="false">IF(AM1437="",0,MAX(0,MIN(1,(IF(CC1437="L1",Parameter!$H$5,IF(CC1437="L23",Parameter!$H$6+Parameter!$H$7,Parameter!$H$5+Parameter!$H$6+Parameter!$H$7))-(AM1437-AI1437))/AI1437)))</f>
        <v>1</v>
      </c>
      <c r="AO1437" s="50" t="n">
        <f aca="false">IF(LEFT(Cockpit!$I$5,1)="A",H1437,IF(CE1437=1,CF1437,IF(LEFT(Cockpit!$I$5,1)="B",AT1437,MAX(AT1437,H1437))))</f>
        <v>24</v>
      </c>
      <c r="AP1437" s="50" t="n">
        <f aca="false">IF(BW1437=1,0,ROUNDUP(AO1437/BV1437,0))</f>
        <v>2</v>
      </c>
      <c r="AQ1437" s="52" t="n">
        <f aca="false">IF(CL1437&gt;0,CL1437*MAX(1,AO1437/X1437),IF(BW1437=1,IF(AO1437&lt;=0,0,CA1437*MAX(1,IF(H1437&gt;0,AO1437/H1437,1))),IF(R1437&gt;0,AP1437/R1437,0))/MAX(0.1,N(Parameter!$M$21)))</f>
        <v>0.333333333333333</v>
      </c>
      <c r="AR1437" s="50" t="n">
        <f aca="false">AQ1437*BY1437</f>
        <v>78.3333333333333</v>
      </c>
      <c r="AS1437" s="50" t="n">
        <f aca="false">AO1437*G1437</f>
        <v>13428.96</v>
      </c>
      <c r="AT1437" s="50" t="n">
        <f aca="false">ROUNDUP(MAX(J1437/IF(CD1437&gt;0,CD1437,MAX(0.1,N(Cockpit!$I$6))),CG1437)/BV1437,0)*BV1437</f>
        <v>24</v>
      </c>
      <c r="AU1437" s="51" t="n">
        <f aca="false">IF(AR1437&gt;0,J1437/AR1437,-1)</f>
        <v>0.370212765957447</v>
      </c>
      <c r="AV1437" s="51" t="n">
        <f aca="false">IF(AND(OR(CC1437="L1",CC1437="L23",CC1437="LIFT"),AR1437&gt;0),SUMIFS($AR$7:$AR$1843,$CC$7:$CC$1843,CC1437,$AU$7:$AU$1843,"&gt;"&amp;AU1437)+SUMIFS($AR$7:$AR$1843,$CC$7:$CC$1843,CC1437,$AU$7:$AU$1843,AU1437,$BT$7:$BT$1843,"&lt;="&amp;BT1437),"")</f>
        <v>15733.0315934066</v>
      </c>
      <c r="AW1437" s="58" t="n">
        <f aca="false">IF(AV1437="",0,MAX(0,MIN(1,(IF(CC1437="L1",Parameter!$H$5,IF(CC1437="L23",Parameter!$H$6+Parameter!$H$7,Parameter!$H$5+Parameter!$H$6+Parameter!$H$7))-(AV1437-AR1437))/AR1437)))</f>
        <v>1</v>
      </c>
      <c r="AX1437" s="50" t="n">
        <f aca="false">IF(LEFT(Cockpit!$O$5,1)="A",H1437,IF(CE1437=1,CF1437,IF(LEFT(Cockpit!$O$5,1)="B",BC1437,MAX(BC1437,H1437))))</f>
        <v>24</v>
      </c>
      <c r="AY1437" s="50" t="n">
        <f aca="false">IF(BW1437=1,0,ROUNDUP(AX1437/BV1437,0))</f>
        <v>2</v>
      </c>
      <c r="AZ1437" s="52" t="n">
        <f aca="false">IF(CL1437&gt;0,CL1437*MAX(1,AX1437/X1437),IF(BW1437=1,IF(AX1437&lt;=0,0,CA1437*MAX(1,IF(H1437&gt;0,AX1437/H1437,1))),IF(R1437&gt;0,AY1437/R1437,0))/MAX(0.1,N(Parameter!$M$21)))</f>
        <v>0.333333333333333</v>
      </c>
      <c r="BA1437" s="50" t="n">
        <f aca="false">AZ1437*BY1437</f>
        <v>78.3333333333333</v>
      </c>
      <c r="BB1437" s="50" t="n">
        <f aca="false">AX1437*G1437</f>
        <v>13428.96</v>
      </c>
      <c r="BC1437" s="50" t="n">
        <f aca="false">ROUNDUP(MAX(J1437/IF(CD1437&gt;0,CD1437,MAX(0.1,N(Cockpit!$O$6))),CG1437)/BV1437,0)*BV1437</f>
        <v>24</v>
      </c>
      <c r="BD1437" s="51" t="n">
        <f aca="false">IF(BA1437&gt;0,J1437/BA1437,-1)</f>
        <v>0.370212765957447</v>
      </c>
      <c r="BE1437" s="51" t="n">
        <f aca="false">IF(AND(OR(CC1437="L1",CC1437="L23",CC1437="LIFT"),BA1437&gt;0),SUMIFS($BA$7:$BA$1843,$CC$7:$CC$1843,CC1437,$BD$7:$BD$1843,"&gt;"&amp;BD1437)+SUMIFS($BA$7:$BA$1843,$CC$7:$CC$1843,CC1437,$BD$7:$BD$1843,BD1437,$BT$7:$BT$1843,"&lt;="&amp;BT1437),"")</f>
        <v>14483.6886446886</v>
      </c>
      <c r="BF1437" s="58" t="n">
        <f aca="false">IF(BE1437="",0,MAX(0,MIN(1,(IF(CC1437="L1",Parameter!$H$5,IF(CC1437="L23",Parameter!$H$6+Parameter!$H$7,Parameter!$H$5+Parameter!$H$6+Parameter!$H$7))-(BE1437-BA1437))/BA1437)))</f>
        <v>1</v>
      </c>
      <c r="BG1437" s="48" t="str">
        <f aca="false">IF(AI1437&lt;=0,"",IF(CC1437="Aussen","Aussenlager",IF(CC1437="-","Nicht im Lift",IF(AN1437&gt;=1,"Lift",IF(AN1437&lt;=0,"Aussenlager","teilweise")))))</f>
        <v>Lift</v>
      </c>
      <c r="BH1437" s="48" t="str">
        <f aca="false">IF(AR1437&lt;=0,"",IF(CC1437="Aussen","Aussenlager",IF(CC1437="-","Nicht im Lift",IF(AW1437&gt;=1,"Lift",IF(AW1437&lt;=0,"Aussenlager","teilweise")))))</f>
        <v>Lift</v>
      </c>
      <c r="BI1437" s="48" t="str">
        <f aca="false">IF(BA1437&lt;=0,"",IF(CC1437="Aussen","Aussenlager",IF(CC1437="-","Nicht im Lift",IF(BF1437&gt;=1,"Lift",IF(BF1437&lt;=0,"Aussenlager","teilweise")))))</f>
        <v>Lift</v>
      </c>
      <c r="BJ1437" s="48" t="str">
        <f aca="false">IF(A1437="","",IF(BS1437=1,"Neu; ","")&amp;IF(AND(BS1437=0,BN1437&lt;0),"negativer Bestand (Export "&amp;BN1437&amp;"); ","")&amp;IF(J1437&lt;=0,"Kein Verbrauch; ","")&amp;IF(CL1437&gt;0,"Lift "&amp;W1437&amp;" lt. Liftbericht (Fach "&amp;X1437&amp;" Stk); ",IF(BX1437=1,"Gebinde geschätzt ("&amp;T1437&amp;"); ",IF(BW1437=1,"Lose – Tablare geschätzt; ","")))&amp;IF(H1437&gt;AT1437,"Überbestand "&amp;ROUND(H1437-AT1437,0)&amp;" Stk / CHF "&amp;ROUND((H1437-AT1437)*G1437,0)&amp;"; ","")&amp;IF(AND(CE1437=1,CF1437&lt;CG1437),"MAX &lt; MB+LG; ","")&amp;IF(AND(CK1437&gt;0,CJ1437*10&gt;CK1437),"zu hoch für Tablar; ","")&amp;IF(AND(BS1437=0,OR(CE1437=1,AA1437&lt;&gt;"",U1437&lt;&gt;"",V1437&lt;&gt;"",AB1437&lt;&gt;"")),"manuell übersteuert; ","")&amp;IF(AND(BW1437=0,R1437=0),"Gebinde unbekannt / Stellmass fehlt; ","")&amp;IF(AND(BW1437=0,N(V1437)&lt;=0,N(Q1437)&lt;=0),"Menge pro Gebinde fehlt (Ist = 1 Gebinde); ","")&amp;BR1437)</f>
        <v>negativer Bestand (Export -19); </v>
      </c>
      <c r="BK1437" s="48"/>
      <c r="BL1437" s="48"/>
      <c r="BM1437" s="55"/>
      <c r="BN1437" s="50" t="n">
        <v>-19</v>
      </c>
      <c r="BO1437" s="50" t="n">
        <v>32</v>
      </c>
      <c r="BP1437" s="49" t="n">
        <v>-8101.02</v>
      </c>
      <c r="BQ1437" s="50" t="n">
        <v>29</v>
      </c>
      <c r="BR1437" s="48"/>
      <c r="BS1437" s="53" t="n">
        <v>0</v>
      </c>
      <c r="BT1437" s="53" t="n">
        <v>1437</v>
      </c>
      <c r="BU1437" s="48" t="str">
        <f aca="false">IF(U1437&lt;&gt;"",UPPER(TRIM(U1437)),IF(BX1437=1,UPPER(VLOOKUP(T1437,Parameter!$I$27:$K$29,2,0)),IF(P1437="","LOSE",P1437)))</f>
        <v>S71</v>
      </c>
      <c r="BV1437" s="50" t="n">
        <f aca="false">IF(BU1437="LOSE",1,IF(N(V1437)&gt;0,V1437,IF(BX1437=1,MAX(1,N(VLOOKUP(T1437,Parameter!$I$27:$K$29,3,0)),H1437,N(N1437)),IF(N(Q1437)&gt;0,Q1437,MAX(1,H1437)))))</f>
        <v>12</v>
      </c>
      <c r="BW1437" s="53" t="n">
        <f aca="false">IF(BU1437="LOSE",1,0)</f>
        <v>0</v>
      </c>
      <c r="BX1437" s="53" t="n">
        <f aca="false">IF(AND(U1437="",OR(P1437="",P1437="LOSE"),T1437&lt;&gt;"",N(S1437)&lt;=0,ISNUMBER(MATCH(T1437,Parameter!$I$27:$I$29,0))),1,0)</f>
        <v>0</v>
      </c>
      <c r="BY1437" s="53" t="n">
        <f aca="false">IF(CL1437&gt;0,INDEX(Parameter!$H$5:$H$7,W1437)/INDEX(Parameter!$E$5:$E$7,W1437),IF(AND(BW1437=0,N(IFERROR(VLOOKUP(BU1437,'Gebinde-Kategorie'!$A$5:$N$45,14,0),0))&gt;0),VLOOKUP(BU1437,'Gebinde-Kategorie'!$A$5:$N$45,14,0)*10+Parameter!$M$23,Parameter!$M$24))</f>
        <v>235</v>
      </c>
      <c r="BZ1437" s="48" t="n">
        <f aca="false">IF(AND(Parameter!$B$19="Ja",E1437&lt;&gt;"",ISNUMBER(MATCH(E1437,Parameter!$I$35:$I$52,0))),VLOOKUP(E1437,Parameter!$I$35:$J$52,2,0),IFERROR(VLOOKUP(D1437,Parameter!$A$35:$C$64,2,0),"Nein"))</f>
        <v>1</v>
      </c>
      <c r="CA1437" s="52" t="n">
        <f aca="false">IF(BW1437=0,0,IF(N(S1437)&gt;0,S1437,IFERROR(VLOOKUP(D1437,Parameter!$A$35:$C$64,3,0)+0,0)))</f>
        <v>0</v>
      </c>
      <c r="CB1437" s="48" t="n">
        <f aca="false">IF(AA1437&lt;&gt;"",AA1437,Z1437)</f>
        <v>1</v>
      </c>
      <c r="CC1437" s="48" t="str">
        <f aca="false">IF(OR(CB1437=1,CB1437=2,CB1437=3),IF(Parameter!$E$27="Ja","LIFT",IF(CB1437=1,"L1","L23")),IF(CB1437="Aussen","Aussen","-"))</f>
        <v>LIFT</v>
      </c>
      <c r="CD1437" s="59" t="n">
        <f aca="false">IF(N(AB1437)&gt;0,AB1437,0)</f>
        <v>0</v>
      </c>
      <c r="CE1437" s="53" t="n">
        <f aca="false">IF(ISNUMBER(AE1437),1,0)</f>
        <v>0</v>
      </c>
      <c r="CF1437" s="50" t="n">
        <f aca="false">N(AE1437)</f>
        <v>0</v>
      </c>
      <c r="CG1437" s="50" t="n">
        <f aca="false">N(M1437)+N(N1437)</f>
        <v>21</v>
      </c>
      <c r="CH1437" s="50" t="n">
        <f aca="false">ROUNDUP(H1437/BV1437,0)</f>
        <v>2</v>
      </c>
      <c r="CI1437" s="50" t="n">
        <f aca="false">ROUNDUP(CF1437/BV1437,0)</f>
        <v>0</v>
      </c>
      <c r="CJ1437" s="53" t="n">
        <f aca="false">IF(BW1437=1,0,IFERROR(VLOOKUP(BU1437,'Gebinde-Kategorie'!$A$5:$N$45,5,0)+0,0))</f>
        <v>20</v>
      </c>
      <c r="CK1437" s="53" t="n">
        <f aca="false">IFERROR(IF(OR(CB1437=1,CB1437=2,CB1437=3),N(INDEX(Parameter!$I$5:$I$7,CB1437)),0),0)</f>
        <v>0</v>
      </c>
      <c r="CL1437" s="52" t="n">
        <f aca="false">IF(AND(Parameter!$B$21="Ja",ISNUMBER(W1437),N(X1437)&gt;0),IFERROR(N(INDEX(Parameter!$L$5:$L$7,W1437))*INDEX(Parameter!$E$5:$E$7,W1437)*X1437/SUMIFS($X$7:$X$1843,$W$7:$W$1843,W1437),0),0)</f>
        <v>0</v>
      </c>
    </row>
    <row r="1438" customFormat="false" ht="15" hidden="false" customHeight="false" outlineLevel="0" collapsed="false">
      <c r="A1438" s="48" t="s">
        <v>2523</v>
      </c>
      <c r="B1438" s="48" t="s">
        <v>2524</v>
      </c>
      <c r="C1438" s="48" t="s">
        <v>168</v>
      </c>
      <c r="D1438" s="48" t="s">
        <v>177</v>
      </c>
      <c r="E1438" s="48" t="s">
        <v>170</v>
      </c>
      <c r="F1438" s="48" t="s">
        <v>222</v>
      </c>
      <c r="G1438" s="49" t="n">
        <v>154.27</v>
      </c>
      <c r="H1438" s="50" t="n">
        <f aca="false">MAX(0,IF(AND(Parameter!$B$21="Ja",ISNUMBER(Y1438)),Y1438,IF(Parameter!$B$20="Jahresanfang 2025 + Export",BO1438+BN1438,BN1438)))</f>
        <v>60</v>
      </c>
      <c r="I1438" s="50" t="n">
        <f aca="false">H1438*G1438</f>
        <v>9256.2</v>
      </c>
      <c r="J1438" s="50" t="n">
        <f aca="false">BQ1438*Parameter!$B$18</f>
        <v>222</v>
      </c>
      <c r="K1438" s="51" t="n">
        <v>124.5</v>
      </c>
      <c r="L1438" s="52" t="n">
        <v>1.78313253012048</v>
      </c>
      <c r="M1438" s="50" t="n">
        <v>22</v>
      </c>
      <c r="N1438" s="50" t="n">
        <v>65</v>
      </c>
      <c r="O1438" s="53" t="n">
        <v>84</v>
      </c>
      <c r="P1438" s="48" t="s">
        <v>178</v>
      </c>
      <c r="Q1438" s="50" t="n">
        <v>80</v>
      </c>
      <c r="R1438" s="53" t="n">
        <f aca="false">IF(BW1438=1,0,IFERROR(VLOOKUP(BU1438,'Gebinde-Kategorie'!$A$5:$N$45,13,0)+0,0))</f>
        <v>6</v>
      </c>
      <c r="S1438" s="54"/>
      <c r="T1438" s="55"/>
      <c r="U1438" s="55"/>
      <c r="V1438" s="55"/>
      <c r="W1438" s="48"/>
      <c r="X1438" s="50"/>
      <c r="Y1438" s="50"/>
      <c r="Z1438" s="48" t="n">
        <f aca="false">IF(A1438="","",IF(AND(Parameter!$B$21="Ja",ISNUMBER(W1438)),W1438,IF(BZ1438="2+3",IF(ISNUMBER(SEARCH("grosser Artikel",BR1438)),2,IFERROR(VLOOKUP(BU1438,Parameter!$F$35:$G$64,2,0),2)),IF(OR(BZ1438="Nein",BZ1438=""),"-",BZ1438))))</f>
        <v>1</v>
      </c>
      <c r="AA1438" s="55"/>
      <c r="AB1438" s="56"/>
      <c r="AC1438" s="50" t="n">
        <f aca="false">AT1438</f>
        <v>160</v>
      </c>
      <c r="AD1438" s="50" t="n">
        <f aca="false">MAX(AT1438,H1438)</f>
        <v>160</v>
      </c>
      <c r="AE1438" s="57"/>
      <c r="AF1438" s="50" t="n">
        <f aca="false">IF(LEFT(Cockpit!$C$5,1)="A",H1438,IF(CE1438=1,CF1438,IF(LEFT(Cockpit!$C$5,1)="B",AK1438,MAX(AK1438,H1438))))</f>
        <v>60</v>
      </c>
      <c r="AG1438" s="50" t="n">
        <f aca="false">IF(BW1438=1,0,ROUNDUP(AF1438/BV1438,0))</f>
        <v>1</v>
      </c>
      <c r="AH1438" s="52" t="n">
        <f aca="false">IF(CL1438&gt;0,CL1438*MAX(1,AF1438/X1438),IF(BW1438=1,IF(AF1438&lt;=0,0,CA1438*MAX(1,IF(H1438&gt;0,AF1438/H1438,1))),IF(R1438&gt;0,AG1438/R1438,0))/MAX(0.1,N(Parameter!$M$21)))</f>
        <v>0.166666666666667</v>
      </c>
      <c r="AI1438" s="50" t="n">
        <f aca="false">AH1438*BY1438</f>
        <v>39.1666666666667</v>
      </c>
      <c r="AJ1438" s="50" t="n">
        <f aca="false">AF1438*G1438</f>
        <v>9256.2</v>
      </c>
      <c r="AK1438" s="50" t="n">
        <f aca="false">ROUNDUP(MAX(J1438/IF(CD1438&gt;0,CD1438,MAX(0.1,N(Cockpit!$C$6))),CG1438)/BV1438,0)*BV1438</f>
        <v>160</v>
      </c>
      <c r="AL1438" s="51" t="n">
        <f aca="false">IF(AI1438&gt;0,J1438/AI1438,-1)</f>
        <v>5.66808510638298</v>
      </c>
      <c r="AM1438" s="51" t="n">
        <f aca="false">IF(AND(OR(CC1438="L1",CC1438="L23",CC1438="LIFT"),AI1438&gt;0),SUMIFS($AI$7:$AI$1843,$CC$7:$CC$1843,CC1438,$AL$7:$AL$1843,"&gt;"&amp;AL1438)+SUMIFS($AI$7:$AI$1843,$CC$7:$CC$1843,CC1438,$AL$7:$AL$1843,AL1438,$BT$7:$BT$1843,"&lt;="&amp;BT1438),"")</f>
        <v>3660.82738095238</v>
      </c>
      <c r="AN1438" s="58" t="n">
        <f aca="false">IF(AM1438="",0,MAX(0,MIN(1,(IF(CC1438="L1",Parameter!$H$5,IF(CC1438="L23",Parameter!$H$6+Parameter!$H$7,Parameter!$H$5+Parameter!$H$6+Parameter!$H$7))-(AM1438-AI1438))/AI1438)))</f>
        <v>1</v>
      </c>
      <c r="AO1438" s="50" t="n">
        <f aca="false">IF(LEFT(Cockpit!$I$5,1)="A",H1438,IF(CE1438=1,CF1438,IF(LEFT(Cockpit!$I$5,1)="B",AT1438,MAX(AT1438,H1438))))</f>
        <v>160</v>
      </c>
      <c r="AP1438" s="50" t="n">
        <f aca="false">IF(BW1438=1,0,ROUNDUP(AO1438/BV1438,0))</f>
        <v>2</v>
      </c>
      <c r="AQ1438" s="52" t="n">
        <f aca="false">IF(CL1438&gt;0,CL1438*MAX(1,AO1438/X1438),IF(BW1438=1,IF(AO1438&lt;=0,0,CA1438*MAX(1,IF(H1438&gt;0,AO1438/H1438,1))),IF(R1438&gt;0,AP1438/R1438,0))/MAX(0.1,N(Parameter!$M$21)))</f>
        <v>0.333333333333333</v>
      </c>
      <c r="AR1438" s="50" t="n">
        <f aca="false">AQ1438*BY1438</f>
        <v>78.3333333333333</v>
      </c>
      <c r="AS1438" s="50" t="n">
        <f aca="false">AO1438*G1438</f>
        <v>24683.2</v>
      </c>
      <c r="AT1438" s="50" t="n">
        <f aca="false">ROUNDUP(MAX(J1438/IF(CD1438&gt;0,CD1438,MAX(0.1,N(Cockpit!$I$6))),CG1438)/BV1438,0)*BV1438</f>
        <v>160</v>
      </c>
      <c r="AU1438" s="51" t="n">
        <f aca="false">IF(AR1438&gt;0,J1438/AR1438,-1)</f>
        <v>2.83404255319149</v>
      </c>
      <c r="AV1438" s="51" t="n">
        <f aca="false">IF(AND(OR(CC1438="L1",CC1438="L23",CC1438="LIFT"),AR1438&gt;0),SUMIFS($AR$7:$AR$1843,$CC$7:$CC$1843,CC1438,$AU$7:$AU$1843,"&gt;"&amp;AU1438)+SUMIFS($AR$7:$AR$1843,$CC$7:$CC$1843,CC1438,$AU$7:$AU$1843,AU1438,$BT$7:$BT$1843,"&lt;="&amp;BT1438),"")</f>
        <v>6688.6456043956</v>
      </c>
      <c r="AW1438" s="58" t="n">
        <f aca="false">IF(AV1438="",0,MAX(0,MIN(1,(IF(CC1438="L1",Parameter!$H$5,IF(CC1438="L23",Parameter!$H$6+Parameter!$H$7,Parameter!$H$5+Parameter!$H$6+Parameter!$H$7))-(AV1438-AR1438))/AR1438)))</f>
        <v>1</v>
      </c>
      <c r="AX1438" s="50" t="n">
        <f aca="false">IF(LEFT(Cockpit!$O$5,1)="A",H1438,IF(CE1438=1,CF1438,IF(LEFT(Cockpit!$O$5,1)="B",BC1438,MAX(BC1438,H1438))))</f>
        <v>160</v>
      </c>
      <c r="AY1438" s="50" t="n">
        <f aca="false">IF(BW1438=1,0,ROUNDUP(AX1438/BV1438,0))</f>
        <v>2</v>
      </c>
      <c r="AZ1438" s="52" t="n">
        <f aca="false">IF(CL1438&gt;0,CL1438*MAX(1,AX1438/X1438),IF(BW1438=1,IF(AX1438&lt;=0,0,CA1438*MAX(1,IF(H1438&gt;0,AX1438/H1438,1))),IF(R1438&gt;0,AY1438/R1438,0))/MAX(0.1,N(Parameter!$M$21)))</f>
        <v>0.333333333333333</v>
      </c>
      <c r="BA1438" s="50" t="n">
        <f aca="false">AZ1438*BY1438</f>
        <v>78.3333333333333</v>
      </c>
      <c r="BB1438" s="50" t="n">
        <f aca="false">AX1438*G1438</f>
        <v>24683.2</v>
      </c>
      <c r="BC1438" s="50" t="n">
        <f aca="false">ROUNDUP(MAX(J1438/IF(CD1438&gt;0,CD1438,MAX(0.1,N(Cockpit!$O$6))),CG1438)/BV1438,0)*BV1438</f>
        <v>160</v>
      </c>
      <c r="BD1438" s="51" t="n">
        <f aca="false">IF(BA1438&gt;0,J1438/BA1438,-1)</f>
        <v>2.83404255319149</v>
      </c>
      <c r="BE1438" s="51" t="n">
        <f aca="false">IF(AND(OR(CC1438="L1",CC1438="L23",CC1438="LIFT"),BA1438&gt;0),SUMIFS($BA$7:$BA$1843,$CC$7:$CC$1843,CC1438,$BD$7:$BD$1843,"&gt;"&amp;BD1438)+SUMIFS($BA$7:$BA$1843,$CC$7:$CC$1843,CC1438,$BD$7:$BD$1843,BD1438,$BT$7:$BT$1843,"&lt;="&amp;BT1438),"")</f>
        <v>6471.80265567766</v>
      </c>
      <c r="BF1438" s="58" t="n">
        <f aca="false">IF(BE1438="",0,MAX(0,MIN(1,(IF(CC1438="L1",Parameter!$H$5,IF(CC1438="L23",Parameter!$H$6+Parameter!$H$7,Parameter!$H$5+Parameter!$H$6+Parameter!$H$7))-(BE1438-BA1438))/BA1438)))</f>
        <v>1</v>
      </c>
      <c r="BG1438" s="48" t="str">
        <f aca="false">IF(AI1438&lt;=0,"",IF(CC1438="Aussen","Aussenlager",IF(CC1438="-","Nicht im Lift",IF(AN1438&gt;=1,"Lift",IF(AN1438&lt;=0,"Aussenlager","teilweise")))))</f>
        <v>Lift</v>
      </c>
      <c r="BH1438" s="48" t="str">
        <f aca="false">IF(AR1438&lt;=0,"",IF(CC1438="Aussen","Aussenlager",IF(CC1438="-","Nicht im Lift",IF(AW1438&gt;=1,"Lift",IF(AW1438&lt;=0,"Aussenlager","teilweise")))))</f>
        <v>Lift</v>
      </c>
      <c r="BI1438" s="48" t="str">
        <f aca="false">IF(BA1438&lt;=0,"",IF(CC1438="Aussen","Aussenlager",IF(CC1438="-","Nicht im Lift",IF(BF1438&gt;=1,"Lift",IF(BF1438&lt;=0,"Aussenlager","teilweise")))))</f>
        <v>Lift</v>
      </c>
      <c r="BJ1438" s="48" t="str">
        <f aca="false">IF(A1438="","",IF(BS1438=1,"Neu; ","")&amp;IF(AND(BS1438=0,BN1438&lt;0),"negativer Bestand (Export "&amp;BN1438&amp;"); ","")&amp;IF(J1438&lt;=0,"Kein Verbrauch; ","")&amp;IF(CL1438&gt;0,"Lift "&amp;W1438&amp;" lt. Liftbericht (Fach "&amp;X1438&amp;" Stk); ",IF(BX1438=1,"Gebinde geschätzt ("&amp;T1438&amp;"); ",IF(BW1438=1,"Lose – Tablare geschätzt; ","")))&amp;IF(H1438&gt;AT1438,"Überbestand "&amp;ROUND(H1438-AT1438,0)&amp;" Stk / CHF "&amp;ROUND((H1438-AT1438)*G1438,0)&amp;"; ","")&amp;IF(AND(CE1438=1,CF1438&lt;CG1438),"MAX &lt; MB+LG; ","")&amp;IF(AND(CK1438&gt;0,CJ1438*10&gt;CK1438),"zu hoch für Tablar; ","")&amp;IF(AND(BS1438=0,OR(CE1438=1,AA1438&lt;&gt;"",U1438&lt;&gt;"",V1438&lt;&gt;"",AB1438&lt;&gt;"")),"manuell übersteuert; ","")&amp;IF(AND(BW1438=0,R1438=0),"Gebinde unbekannt / Stellmass fehlt; ","")&amp;IF(AND(BW1438=0,N(V1438)&lt;=0,N(Q1438)&lt;=0),"Menge pro Gebinde fehlt (Ist = 1 Gebinde); ","")&amp;BR1438)</f>
        <v>negativer Bestand (Export -50); </v>
      </c>
      <c r="BK1438" s="48"/>
      <c r="BL1438" s="48"/>
      <c r="BM1438" s="55"/>
      <c r="BN1438" s="50" t="n">
        <v>-50</v>
      </c>
      <c r="BO1438" s="50" t="n">
        <v>110</v>
      </c>
      <c r="BP1438" s="49" t="n">
        <v>-8512.09999999997</v>
      </c>
      <c r="BQ1438" s="50" t="n">
        <v>222</v>
      </c>
      <c r="BR1438" s="48"/>
      <c r="BS1438" s="53" t="n">
        <v>0</v>
      </c>
      <c r="BT1438" s="53" t="n">
        <v>1438</v>
      </c>
      <c r="BU1438" s="48" t="str">
        <f aca="false">IF(U1438&lt;&gt;"",UPPER(TRIM(U1438)),IF(BX1438=1,UPPER(VLOOKUP(T1438,Parameter!$I$27:$K$29,2,0)),IF(P1438="","LOSE",P1438)))</f>
        <v>S71</v>
      </c>
      <c r="BV1438" s="50" t="n">
        <f aca="false">IF(BU1438="LOSE",1,IF(N(V1438)&gt;0,V1438,IF(BX1438=1,MAX(1,N(VLOOKUP(T1438,Parameter!$I$27:$K$29,3,0)),H1438,N(N1438)),IF(N(Q1438)&gt;0,Q1438,MAX(1,H1438)))))</f>
        <v>80</v>
      </c>
      <c r="BW1438" s="53" t="n">
        <f aca="false">IF(BU1438="LOSE",1,0)</f>
        <v>0</v>
      </c>
      <c r="BX1438" s="53" t="n">
        <f aca="false">IF(AND(U1438="",OR(P1438="",P1438="LOSE"),T1438&lt;&gt;"",N(S1438)&lt;=0,ISNUMBER(MATCH(T1438,Parameter!$I$27:$I$29,0))),1,0)</f>
        <v>0</v>
      </c>
      <c r="BY1438" s="53" t="n">
        <f aca="false">IF(CL1438&gt;0,INDEX(Parameter!$H$5:$H$7,W1438)/INDEX(Parameter!$E$5:$E$7,W1438),IF(AND(BW1438=0,N(IFERROR(VLOOKUP(BU1438,'Gebinde-Kategorie'!$A$5:$N$45,14,0),0))&gt;0),VLOOKUP(BU1438,'Gebinde-Kategorie'!$A$5:$N$45,14,0)*10+Parameter!$M$23,Parameter!$M$24))</f>
        <v>235</v>
      </c>
      <c r="BZ1438" s="48" t="n">
        <f aca="false">IF(AND(Parameter!$B$19="Ja",E1438&lt;&gt;"",ISNUMBER(MATCH(E1438,Parameter!$I$35:$I$52,0))),VLOOKUP(E1438,Parameter!$I$35:$J$52,2,0),IFERROR(VLOOKUP(D1438,Parameter!$A$35:$C$64,2,0),"Nein"))</f>
        <v>1</v>
      </c>
      <c r="CA1438" s="52" t="n">
        <f aca="false">IF(BW1438=0,0,IF(N(S1438)&gt;0,S1438,IFERROR(VLOOKUP(D1438,Parameter!$A$35:$C$64,3,0)+0,0)))</f>
        <v>0</v>
      </c>
      <c r="CB1438" s="48" t="n">
        <f aca="false">IF(AA1438&lt;&gt;"",AA1438,Z1438)</f>
        <v>1</v>
      </c>
      <c r="CC1438" s="48" t="str">
        <f aca="false">IF(OR(CB1438=1,CB1438=2,CB1438=3),IF(Parameter!$E$27="Ja","LIFT",IF(CB1438=1,"L1","L23")),IF(CB1438="Aussen","Aussen","-"))</f>
        <v>LIFT</v>
      </c>
      <c r="CD1438" s="59" t="n">
        <f aca="false">IF(N(AB1438)&gt;0,AB1438,0)</f>
        <v>0</v>
      </c>
      <c r="CE1438" s="53" t="n">
        <f aca="false">IF(ISNUMBER(AE1438),1,0)</f>
        <v>0</v>
      </c>
      <c r="CF1438" s="50" t="n">
        <f aca="false">N(AE1438)</f>
        <v>0</v>
      </c>
      <c r="CG1438" s="50" t="n">
        <f aca="false">N(M1438)+N(N1438)</f>
        <v>87</v>
      </c>
      <c r="CH1438" s="50" t="n">
        <f aca="false">ROUNDUP(H1438/BV1438,0)</f>
        <v>1</v>
      </c>
      <c r="CI1438" s="50" t="n">
        <f aca="false">ROUNDUP(CF1438/BV1438,0)</f>
        <v>0</v>
      </c>
      <c r="CJ1438" s="53" t="n">
        <f aca="false">IF(BW1438=1,0,IFERROR(VLOOKUP(BU1438,'Gebinde-Kategorie'!$A$5:$N$45,5,0)+0,0))</f>
        <v>20</v>
      </c>
      <c r="CK1438" s="53" t="n">
        <f aca="false">IFERROR(IF(OR(CB1438=1,CB1438=2,CB1438=3),N(INDEX(Parameter!$I$5:$I$7,CB1438)),0),0)</f>
        <v>0</v>
      </c>
      <c r="CL1438" s="52" t="n">
        <f aca="false">IF(AND(Parameter!$B$21="Ja",ISNUMBER(W1438),N(X1438)&gt;0),IFERROR(N(INDEX(Parameter!$L$5:$L$7,W1438))*INDEX(Parameter!$E$5:$E$7,W1438)*X1438/SUMIFS($X$7:$X$1843,$W$7:$W$1843,W1438),0),0)</f>
        <v>0</v>
      </c>
    </row>
    <row r="1439" customFormat="false" ht="15" hidden="false" customHeight="false" outlineLevel="0" collapsed="false">
      <c r="A1439" s="48" t="s">
        <v>2525</v>
      </c>
      <c r="B1439" s="48" t="s">
        <v>449</v>
      </c>
      <c r="C1439" s="48" t="s">
        <v>168</v>
      </c>
      <c r="D1439" s="48" t="s">
        <v>177</v>
      </c>
      <c r="E1439" s="48" t="s">
        <v>177</v>
      </c>
      <c r="F1439" s="48" t="s">
        <v>222</v>
      </c>
      <c r="G1439" s="49" t="n">
        <v>157.67</v>
      </c>
      <c r="H1439" s="50" t="n">
        <f aca="false">MAX(0,IF(AND(Parameter!$B$21="Ja",ISNUMBER(Y1439)),Y1439,IF(Parameter!$B$20="Jahresanfang 2025 + Export",BO1439+BN1439,BN1439)))</f>
        <v>12</v>
      </c>
      <c r="I1439" s="50" t="n">
        <f aca="false">H1439*G1439</f>
        <v>1892.04</v>
      </c>
      <c r="J1439" s="50" t="n">
        <f aca="false">BQ1439*Parameter!$B$18</f>
        <v>86</v>
      </c>
      <c r="K1439" s="51" t="n">
        <v>55.5</v>
      </c>
      <c r="L1439" s="52" t="n">
        <v>1.54954954954955</v>
      </c>
      <c r="M1439" s="50" t="n">
        <v>5</v>
      </c>
      <c r="N1439" s="50" t="n">
        <v>25</v>
      </c>
      <c r="O1439" s="53" t="n">
        <v>21</v>
      </c>
      <c r="P1439" s="48" t="s">
        <v>352</v>
      </c>
      <c r="Q1439" s="50" t="n">
        <v>22</v>
      </c>
      <c r="R1439" s="53" t="n">
        <f aca="false">IF(BW1439=1,0,IFERROR(VLOOKUP(BU1439,'Gebinde-Kategorie'!$A$5:$N$45,13,0)+0,0))</f>
        <v>4</v>
      </c>
      <c r="S1439" s="54"/>
      <c r="T1439" s="55"/>
      <c r="U1439" s="55"/>
      <c r="V1439" s="55"/>
      <c r="W1439" s="48"/>
      <c r="X1439" s="50"/>
      <c r="Y1439" s="50"/>
      <c r="Z1439" s="48" t="str">
        <f aca="false">IF(A1439="","",IF(AND(Parameter!$B$21="Ja",ISNUMBER(W1439)),W1439,IF(BZ1439="2+3",IF(ISNUMBER(SEARCH("grosser Artikel",BR1439)),2,IFERROR(VLOOKUP(BU1439,Parameter!$F$35:$G$64,2,0),2)),IF(OR(BZ1439="Nein",BZ1439=""),"-",BZ1439))))</f>
        <v>-</v>
      </c>
      <c r="AA1439" s="55"/>
      <c r="AB1439" s="56"/>
      <c r="AC1439" s="50" t="n">
        <f aca="false">AT1439</f>
        <v>44</v>
      </c>
      <c r="AD1439" s="50" t="n">
        <f aca="false">MAX(AT1439,H1439)</f>
        <v>44</v>
      </c>
      <c r="AE1439" s="57"/>
      <c r="AF1439" s="50" t="n">
        <f aca="false">IF(LEFT(Cockpit!$C$5,1)="A",H1439,IF(CE1439=1,CF1439,IF(LEFT(Cockpit!$C$5,1)="B",AK1439,MAX(AK1439,H1439))))</f>
        <v>12</v>
      </c>
      <c r="AG1439" s="50" t="n">
        <f aca="false">IF(BW1439=1,0,ROUNDUP(AF1439/BV1439,0))</f>
        <v>1</v>
      </c>
      <c r="AH1439" s="52" t="n">
        <f aca="false">IF(CL1439&gt;0,CL1439*MAX(1,AF1439/X1439),IF(BW1439=1,IF(AF1439&lt;=0,0,CA1439*MAX(1,IF(H1439&gt;0,AF1439/H1439,1))),IF(R1439&gt;0,AG1439/R1439,0))/MAX(0.1,N(Parameter!$M$21)))</f>
        <v>0.25</v>
      </c>
      <c r="AI1439" s="50" t="n">
        <f aca="false">AH1439*BY1439</f>
        <v>108.75</v>
      </c>
      <c r="AJ1439" s="50" t="n">
        <f aca="false">AF1439*G1439</f>
        <v>1892.04</v>
      </c>
      <c r="AK1439" s="50" t="n">
        <f aca="false">ROUNDUP(MAX(J1439/IF(CD1439&gt;0,CD1439,MAX(0.1,N(Cockpit!$C$6))),CG1439)/BV1439,0)*BV1439</f>
        <v>44</v>
      </c>
      <c r="AL1439" s="51" t="n">
        <f aca="false">IF(AI1439&gt;0,J1439/AI1439,-1)</f>
        <v>0.790804597701149</v>
      </c>
      <c r="AM1439" s="51" t="str">
        <f aca="false">IF(AND(OR(CC1439="L1",CC1439="L23",CC1439="LIFT"),AI1439&gt;0),SUMIFS($AI$7:$AI$1843,$CC$7:$CC$1843,CC1439,$AL$7:$AL$1843,"&gt;"&amp;AL1439)+SUMIFS($AI$7:$AI$1843,$CC$7:$CC$1843,CC1439,$AL$7:$AL$1843,AL1439,$BT$7:$BT$1843,"&lt;="&amp;BT1439),"")</f>
        <v/>
      </c>
      <c r="AN1439" s="58" t="n">
        <f aca="false">IF(AM1439="",0,MAX(0,MIN(1,(IF(CC1439="L1",Parameter!$H$5,IF(CC1439="L23",Parameter!$H$6+Parameter!$H$7,Parameter!$H$5+Parameter!$H$6+Parameter!$H$7))-(AM1439-AI1439))/AI1439)))</f>
        <v>0</v>
      </c>
      <c r="AO1439" s="50" t="n">
        <f aca="false">IF(LEFT(Cockpit!$I$5,1)="A",H1439,IF(CE1439=1,CF1439,IF(LEFT(Cockpit!$I$5,1)="B",AT1439,MAX(AT1439,H1439))))</f>
        <v>44</v>
      </c>
      <c r="AP1439" s="50" t="n">
        <f aca="false">IF(BW1439=1,0,ROUNDUP(AO1439/BV1439,0))</f>
        <v>2</v>
      </c>
      <c r="AQ1439" s="52" t="n">
        <f aca="false">IF(CL1439&gt;0,CL1439*MAX(1,AO1439/X1439),IF(BW1439=1,IF(AO1439&lt;=0,0,CA1439*MAX(1,IF(H1439&gt;0,AO1439/H1439,1))),IF(R1439&gt;0,AP1439/R1439,0))/MAX(0.1,N(Parameter!$M$21)))</f>
        <v>0.5</v>
      </c>
      <c r="AR1439" s="50" t="n">
        <f aca="false">AQ1439*BY1439</f>
        <v>217.5</v>
      </c>
      <c r="AS1439" s="50" t="n">
        <f aca="false">AO1439*G1439</f>
        <v>6937.48</v>
      </c>
      <c r="AT1439" s="50" t="n">
        <f aca="false">ROUNDUP(MAX(J1439/IF(CD1439&gt;0,CD1439,MAX(0.1,N(Cockpit!$I$6))),CG1439)/BV1439,0)*BV1439</f>
        <v>44</v>
      </c>
      <c r="AU1439" s="51" t="n">
        <f aca="false">IF(AR1439&gt;0,J1439/AR1439,-1)</f>
        <v>0.395402298850575</v>
      </c>
      <c r="AV1439" s="51" t="str">
        <f aca="false">IF(AND(OR(CC1439="L1",CC1439="L23",CC1439="LIFT"),AR1439&gt;0),SUMIFS($AR$7:$AR$1843,$CC$7:$CC$1843,CC1439,$AU$7:$AU$1843,"&gt;"&amp;AU1439)+SUMIFS($AR$7:$AR$1843,$CC$7:$CC$1843,CC1439,$AU$7:$AU$1843,AU1439,$BT$7:$BT$1843,"&lt;="&amp;BT1439),"")</f>
        <v/>
      </c>
      <c r="AW1439" s="58" t="n">
        <f aca="false">IF(AV1439="",0,MAX(0,MIN(1,(IF(CC1439="L1",Parameter!$H$5,IF(CC1439="L23",Parameter!$H$6+Parameter!$H$7,Parameter!$H$5+Parameter!$H$6+Parameter!$H$7))-(AV1439-AR1439))/AR1439)))</f>
        <v>0</v>
      </c>
      <c r="AX1439" s="50" t="n">
        <f aca="false">IF(LEFT(Cockpit!$O$5,1)="A",H1439,IF(CE1439=1,CF1439,IF(LEFT(Cockpit!$O$5,1)="B",BC1439,MAX(BC1439,H1439))))</f>
        <v>44</v>
      </c>
      <c r="AY1439" s="50" t="n">
        <f aca="false">IF(BW1439=1,0,ROUNDUP(AX1439/BV1439,0))</f>
        <v>2</v>
      </c>
      <c r="AZ1439" s="52" t="n">
        <f aca="false">IF(CL1439&gt;0,CL1439*MAX(1,AX1439/X1439),IF(BW1439=1,IF(AX1439&lt;=0,0,CA1439*MAX(1,IF(H1439&gt;0,AX1439/H1439,1))),IF(R1439&gt;0,AY1439/R1439,0))/MAX(0.1,N(Parameter!$M$21)))</f>
        <v>0.5</v>
      </c>
      <c r="BA1439" s="50" t="n">
        <f aca="false">AZ1439*BY1439</f>
        <v>217.5</v>
      </c>
      <c r="BB1439" s="50" t="n">
        <f aca="false">AX1439*G1439</f>
        <v>6937.48</v>
      </c>
      <c r="BC1439" s="50" t="n">
        <f aca="false">ROUNDUP(MAX(J1439/IF(CD1439&gt;0,CD1439,MAX(0.1,N(Cockpit!$O$6))),CG1439)/BV1439,0)*BV1439</f>
        <v>44</v>
      </c>
      <c r="BD1439" s="51" t="n">
        <f aca="false">IF(BA1439&gt;0,J1439/BA1439,-1)</f>
        <v>0.395402298850575</v>
      </c>
      <c r="BE1439" s="51" t="str">
        <f aca="false">IF(AND(OR(CC1439="L1",CC1439="L23",CC1439="LIFT"),BA1439&gt;0),SUMIFS($BA$7:$BA$1843,$CC$7:$CC$1843,CC1439,$BD$7:$BD$1843,"&gt;"&amp;BD1439)+SUMIFS($BA$7:$BA$1843,$CC$7:$CC$1843,CC1439,$BD$7:$BD$1843,BD1439,$BT$7:$BT$1843,"&lt;="&amp;BT1439),"")</f>
        <v/>
      </c>
      <c r="BF1439" s="58" t="n">
        <f aca="false">IF(BE1439="",0,MAX(0,MIN(1,(IF(CC1439="L1",Parameter!$H$5,IF(CC1439="L23",Parameter!$H$6+Parameter!$H$7,Parameter!$H$5+Parameter!$H$6+Parameter!$H$7))-(BE1439-BA1439))/BA1439)))</f>
        <v>0</v>
      </c>
      <c r="BG1439" s="48" t="str">
        <f aca="false">IF(AI1439&lt;=0,"",IF(CC1439="Aussen","Aussenlager",IF(CC1439="-","Nicht im Lift",IF(AN1439&gt;=1,"Lift",IF(AN1439&lt;=0,"Aussenlager","teilweise")))))</f>
        <v>Nicht im Lift</v>
      </c>
      <c r="BH1439" s="48" t="str">
        <f aca="false">IF(AR1439&lt;=0,"",IF(CC1439="Aussen","Aussenlager",IF(CC1439="-","Nicht im Lift",IF(AW1439&gt;=1,"Lift",IF(AW1439&lt;=0,"Aussenlager","teilweise")))))</f>
        <v>Nicht im Lift</v>
      </c>
      <c r="BI1439" s="48" t="str">
        <f aca="false">IF(BA1439&lt;=0,"",IF(CC1439="Aussen","Aussenlager",IF(CC1439="-","Nicht im Lift",IF(BF1439&gt;=1,"Lift",IF(BF1439&lt;=0,"Aussenlager","teilweise")))))</f>
        <v>Nicht im Lift</v>
      </c>
      <c r="BJ1439" s="48" t="str">
        <f aca="false">IF(A1439="","",IF(BS1439=1,"Neu; ","")&amp;IF(AND(BS1439=0,BN1439&lt;0),"negativer Bestand (Export "&amp;BN1439&amp;"); ","")&amp;IF(J1439&lt;=0,"Kein Verbrauch; ","")&amp;IF(CL1439&gt;0,"Lift "&amp;W1439&amp;" lt. Liftbericht (Fach "&amp;X1439&amp;" Stk); ",IF(BX1439=1,"Gebinde geschätzt ("&amp;T1439&amp;"); ",IF(BW1439=1,"Lose – Tablare geschätzt; ","")))&amp;IF(H1439&gt;AT1439,"Überbestand "&amp;ROUND(H1439-AT1439,0)&amp;" Stk / CHF "&amp;ROUND((H1439-AT1439)*G1439,0)&amp;"; ","")&amp;IF(AND(CE1439=1,CF1439&lt;CG1439),"MAX &lt; MB+LG; ","")&amp;IF(AND(CK1439&gt;0,CJ1439*10&gt;CK1439),"zu hoch für Tablar; ","")&amp;IF(AND(BS1439=0,OR(CE1439=1,AA1439&lt;&gt;"",U1439&lt;&gt;"",V1439&lt;&gt;"",AB1439&lt;&gt;"")),"manuell übersteuert; ","")&amp;IF(AND(BW1439=0,R1439=0),"Gebinde unbekannt / Stellmass fehlt; ","")&amp;IF(AND(BW1439=0,N(V1439)&lt;=0,N(Q1439)&lt;=0),"Menge pro Gebinde fehlt (Ist = 1 Gebinde); ","")&amp;BR1439)</f>
        <v>negativer Bestand (Export -56); </v>
      </c>
      <c r="BK1439" s="48"/>
      <c r="BL1439" s="48"/>
      <c r="BM1439" s="55"/>
      <c r="BN1439" s="50" t="n">
        <v>-56</v>
      </c>
      <c r="BO1439" s="50" t="n">
        <v>68</v>
      </c>
      <c r="BP1439" s="49" t="n">
        <v>-8826.12</v>
      </c>
      <c r="BQ1439" s="50" t="n">
        <v>86</v>
      </c>
      <c r="BR1439" s="48"/>
      <c r="BS1439" s="53" t="n">
        <v>0</v>
      </c>
      <c r="BT1439" s="53" t="n">
        <v>1439</v>
      </c>
      <c r="BU1439" s="48" t="str">
        <f aca="false">IF(U1439&lt;&gt;"",UPPER(TRIM(U1439)),IF(BX1439=1,UPPER(VLOOKUP(T1439,Parameter!$I$27:$K$29,2,0)),IF(P1439="","LOSE",P1439)))</f>
        <v>S82</v>
      </c>
      <c r="BV1439" s="50" t="n">
        <f aca="false">IF(BU1439="LOSE",1,IF(N(V1439)&gt;0,V1439,IF(BX1439=1,MAX(1,N(VLOOKUP(T1439,Parameter!$I$27:$K$29,3,0)),H1439,N(N1439)),IF(N(Q1439)&gt;0,Q1439,MAX(1,H1439)))))</f>
        <v>22</v>
      </c>
      <c r="BW1439" s="53" t="n">
        <f aca="false">IF(BU1439="LOSE",1,0)</f>
        <v>0</v>
      </c>
      <c r="BX1439" s="53" t="n">
        <f aca="false">IF(AND(U1439="",OR(P1439="",P1439="LOSE"),T1439&lt;&gt;"",N(S1439)&lt;=0,ISNUMBER(MATCH(T1439,Parameter!$I$27:$I$29,0))),1,0)</f>
        <v>0</v>
      </c>
      <c r="BY1439" s="53" t="n">
        <f aca="false">IF(CL1439&gt;0,INDEX(Parameter!$H$5:$H$7,W1439)/INDEX(Parameter!$E$5:$E$7,W1439),IF(AND(BW1439=0,N(IFERROR(VLOOKUP(BU1439,'Gebinde-Kategorie'!$A$5:$N$45,14,0),0))&gt;0),VLOOKUP(BU1439,'Gebinde-Kategorie'!$A$5:$N$45,14,0)*10+Parameter!$M$23,Parameter!$M$24))</f>
        <v>435</v>
      </c>
      <c r="BZ1439" s="48" t="str">
        <f aca="false">IF(AND(Parameter!$B$19="Ja",E1439&lt;&gt;"",ISNUMBER(MATCH(E1439,Parameter!$I$35:$I$52,0))),VLOOKUP(E1439,Parameter!$I$35:$J$52,2,0),IFERROR(VLOOKUP(D1439,Parameter!$A$35:$C$64,2,0),"Nein"))</f>
        <v>Nein</v>
      </c>
      <c r="CA1439" s="52" t="n">
        <f aca="false">IF(BW1439=0,0,IF(N(S1439)&gt;0,S1439,IFERROR(VLOOKUP(D1439,Parameter!$A$35:$C$64,3,0)+0,0)))</f>
        <v>0</v>
      </c>
      <c r="CB1439" s="48" t="str">
        <f aca="false">IF(AA1439&lt;&gt;"",AA1439,Z1439)</f>
        <v>-</v>
      </c>
      <c r="CC1439" s="48" t="str">
        <f aca="false">IF(OR(CB1439=1,CB1439=2,CB1439=3),IF(Parameter!$E$27="Ja","LIFT",IF(CB1439=1,"L1","L23")),IF(CB1439="Aussen","Aussen","-"))</f>
        <v>-</v>
      </c>
      <c r="CD1439" s="59" t="n">
        <f aca="false">IF(N(AB1439)&gt;0,AB1439,0)</f>
        <v>0</v>
      </c>
      <c r="CE1439" s="53" t="n">
        <f aca="false">IF(ISNUMBER(AE1439),1,0)</f>
        <v>0</v>
      </c>
      <c r="CF1439" s="50" t="n">
        <f aca="false">N(AE1439)</f>
        <v>0</v>
      </c>
      <c r="CG1439" s="50" t="n">
        <f aca="false">N(M1439)+N(N1439)</f>
        <v>30</v>
      </c>
      <c r="CH1439" s="50" t="n">
        <f aca="false">ROUNDUP(H1439/BV1439,0)</f>
        <v>1</v>
      </c>
      <c r="CI1439" s="50" t="n">
        <f aca="false">ROUNDUP(CF1439/BV1439,0)</f>
        <v>0</v>
      </c>
      <c r="CJ1439" s="53" t="n">
        <f aca="false">IF(BW1439=1,0,IFERROR(VLOOKUP(BU1439,'Gebinde-Kategorie'!$A$5:$N$45,5,0)+0,0))</f>
        <v>40</v>
      </c>
      <c r="CK1439" s="53" t="n">
        <f aca="false">IFERROR(IF(OR(CB1439=1,CB1439=2,CB1439=3),N(INDEX(Parameter!$I$5:$I$7,CB1439)),0),0)</f>
        <v>0</v>
      </c>
      <c r="CL1439" s="52" t="n">
        <f aca="false">IF(AND(Parameter!$B$21="Ja",ISNUMBER(W1439),N(X1439)&gt;0),IFERROR(N(INDEX(Parameter!$L$5:$L$7,W1439))*INDEX(Parameter!$E$5:$E$7,W1439)*X1439/SUMIFS($X$7:$X$1843,$W$7:$W$1843,W1439),0),0)</f>
        <v>0</v>
      </c>
    </row>
    <row r="1440" customFormat="false" ht="15" hidden="false" customHeight="false" outlineLevel="0" collapsed="false">
      <c r="A1440" s="48" t="s">
        <v>2526</v>
      </c>
      <c r="B1440" s="48" t="s">
        <v>2527</v>
      </c>
      <c r="C1440" s="48" t="s">
        <v>168</v>
      </c>
      <c r="D1440" s="48" t="s">
        <v>357</v>
      </c>
      <c r="E1440" s="48"/>
      <c r="F1440" s="48"/>
      <c r="G1440" s="49" t="n">
        <v>4421.95</v>
      </c>
      <c r="H1440" s="50" t="n">
        <f aca="false">MAX(0,IF(AND(Parameter!$B$21="Ja",ISNUMBER(Y1440)),Y1440,IF(Parameter!$B$20="Jahresanfang 2025 + Export",BO1440+BN1440,BN1440)))</f>
        <v>0</v>
      </c>
      <c r="I1440" s="50" t="n">
        <f aca="false">H1440*G1440</f>
        <v>0</v>
      </c>
      <c r="J1440" s="50" t="n">
        <f aca="false">BQ1440*Parameter!$B$18</f>
        <v>2</v>
      </c>
      <c r="K1440" s="51"/>
      <c r="L1440" s="52"/>
      <c r="M1440" s="50" t="n">
        <v>0</v>
      </c>
      <c r="N1440" s="50" t="n">
        <v>1</v>
      </c>
      <c r="O1440" s="53"/>
      <c r="P1440" s="48" t="s">
        <v>172</v>
      </c>
      <c r="Q1440" s="50"/>
      <c r="R1440" s="53" t="n">
        <f aca="false">IF(BW1440=1,0,IFERROR(VLOOKUP(BU1440,'Gebinde-Kategorie'!$A$5:$N$45,13,0)+0,0))</f>
        <v>0</v>
      </c>
      <c r="S1440" s="54"/>
      <c r="T1440" s="55"/>
      <c r="U1440" s="55"/>
      <c r="V1440" s="55"/>
      <c r="W1440" s="48"/>
      <c r="X1440" s="50"/>
      <c r="Y1440" s="50"/>
      <c r="Z1440" s="48" t="str">
        <f aca="false">IF(A1440="","",IF(AND(Parameter!$B$21="Ja",ISNUMBER(W1440)),W1440,IF(BZ1440="2+3",IF(ISNUMBER(SEARCH("grosser Artikel",BR1440)),2,IFERROR(VLOOKUP(BU1440,Parameter!$F$35:$G$64,2,0),2)),IF(OR(BZ1440="Nein",BZ1440=""),"-",BZ1440))))</f>
        <v>-</v>
      </c>
      <c r="AA1440" s="55"/>
      <c r="AB1440" s="56"/>
      <c r="AC1440" s="50" t="n">
        <f aca="false">AT1440</f>
        <v>1</v>
      </c>
      <c r="AD1440" s="50" t="n">
        <f aca="false">MAX(AT1440,H1440)</f>
        <v>1</v>
      </c>
      <c r="AE1440" s="57"/>
      <c r="AF1440" s="50" t="n">
        <f aca="false">IF(LEFT(Cockpit!$C$5,1)="A",H1440,IF(CE1440=1,CF1440,IF(LEFT(Cockpit!$C$5,1)="B",AK1440,MAX(AK1440,H1440))))</f>
        <v>0</v>
      </c>
      <c r="AG1440" s="50" t="n">
        <f aca="false">IF(BW1440=1,0,ROUNDUP(AF1440/BV1440,0))</f>
        <v>0</v>
      </c>
      <c r="AH1440" s="52" t="n">
        <f aca="false">IF(CL1440&gt;0,CL1440*MAX(1,AF1440/X1440),IF(BW1440=1,IF(AF1440&lt;=0,0,CA1440*MAX(1,IF(H1440&gt;0,AF1440/H1440,1))),IF(R1440&gt;0,AG1440/R1440,0))/MAX(0.1,N(Parameter!$M$21)))</f>
        <v>0</v>
      </c>
      <c r="AI1440" s="50" t="n">
        <f aca="false">AH1440*BY1440</f>
        <v>0</v>
      </c>
      <c r="AJ1440" s="50" t="n">
        <f aca="false">AF1440*G1440</f>
        <v>0</v>
      </c>
      <c r="AK1440" s="50" t="n">
        <f aca="false">ROUNDUP(MAX(J1440/IF(CD1440&gt;0,CD1440,MAX(0.1,N(Cockpit!$C$6))),CG1440)/BV1440,0)*BV1440</f>
        <v>1</v>
      </c>
      <c r="AL1440" s="51" t="n">
        <f aca="false">IF(AI1440&gt;0,J1440/AI1440,-1)</f>
        <v>-1</v>
      </c>
      <c r="AM1440" s="51" t="str">
        <f aca="false">IF(AND(OR(CC1440="L1",CC1440="L23",CC1440="LIFT"),AI1440&gt;0),SUMIFS($AI$7:$AI$1843,$CC$7:$CC$1843,CC1440,$AL$7:$AL$1843,"&gt;"&amp;AL1440)+SUMIFS($AI$7:$AI$1843,$CC$7:$CC$1843,CC1440,$AL$7:$AL$1843,AL1440,$BT$7:$BT$1843,"&lt;="&amp;BT1440),"")</f>
        <v/>
      </c>
      <c r="AN1440" s="58" t="n">
        <f aca="false">IF(AM1440="",0,MAX(0,MIN(1,(IF(CC1440="L1",Parameter!$H$5,IF(CC1440="L23",Parameter!$H$6+Parameter!$H$7,Parameter!$H$5+Parameter!$H$6+Parameter!$H$7))-(AM1440-AI1440))/AI1440)))</f>
        <v>0</v>
      </c>
      <c r="AO1440" s="50" t="n">
        <f aca="false">IF(LEFT(Cockpit!$I$5,1)="A",H1440,IF(CE1440=1,CF1440,IF(LEFT(Cockpit!$I$5,1)="B",AT1440,MAX(AT1440,H1440))))</f>
        <v>1</v>
      </c>
      <c r="AP1440" s="50" t="n">
        <f aca="false">IF(BW1440=1,0,ROUNDUP(AO1440/BV1440,0))</f>
        <v>0</v>
      </c>
      <c r="AQ1440" s="52" t="n">
        <f aca="false">IF(CL1440&gt;0,CL1440*MAX(1,AO1440/X1440),IF(BW1440=1,IF(AO1440&lt;=0,0,CA1440*MAX(1,IF(H1440&gt;0,AO1440/H1440,1))),IF(R1440&gt;0,AP1440/R1440,0))/MAX(0.1,N(Parameter!$M$21)))</f>
        <v>0.15</v>
      </c>
      <c r="AR1440" s="50" t="n">
        <f aca="false">AQ1440*BY1440</f>
        <v>35.25</v>
      </c>
      <c r="AS1440" s="50" t="n">
        <f aca="false">AO1440*G1440</f>
        <v>4421.95</v>
      </c>
      <c r="AT1440" s="50" t="n">
        <f aca="false">ROUNDUP(MAX(J1440/IF(CD1440&gt;0,CD1440,MAX(0.1,N(Cockpit!$I$6))),CG1440)/BV1440,0)*BV1440</f>
        <v>1</v>
      </c>
      <c r="AU1440" s="51" t="n">
        <f aca="false">IF(AR1440&gt;0,J1440/AR1440,-1)</f>
        <v>0.0567375886524823</v>
      </c>
      <c r="AV1440" s="51" t="str">
        <f aca="false">IF(AND(OR(CC1440="L1",CC1440="L23",CC1440="LIFT"),AR1440&gt;0),SUMIFS($AR$7:$AR$1843,$CC$7:$CC$1843,CC1440,$AU$7:$AU$1843,"&gt;"&amp;AU1440)+SUMIFS($AR$7:$AR$1843,$CC$7:$CC$1843,CC1440,$AU$7:$AU$1843,AU1440,$BT$7:$BT$1843,"&lt;="&amp;BT1440),"")</f>
        <v/>
      </c>
      <c r="AW1440" s="58" t="n">
        <f aca="false">IF(AV1440="",0,MAX(0,MIN(1,(IF(CC1440="L1",Parameter!$H$5,IF(CC1440="L23",Parameter!$H$6+Parameter!$H$7,Parameter!$H$5+Parameter!$H$6+Parameter!$H$7))-(AV1440-AR1440))/AR1440)))</f>
        <v>0</v>
      </c>
      <c r="AX1440" s="50" t="n">
        <f aca="false">IF(LEFT(Cockpit!$O$5,1)="A",H1440,IF(CE1440=1,CF1440,IF(LEFT(Cockpit!$O$5,1)="B",BC1440,MAX(BC1440,H1440))))</f>
        <v>1</v>
      </c>
      <c r="AY1440" s="50" t="n">
        <f aca="false">IF(BW1440=1,0,ROUNDUP(AX1440/BV1440,0))</f>
        <v>0</v>
      </c>
      <c r="AZ1440" s="52" t="n">
        <f aca="false">IF(CL1440&gt;0,CL1440*MAX(1,AX1440/X1440),IF(BW1440=1,IF(AX1440&lt;=0,0,CA1440*MAX(1,IF(H1440&gt;0,AX1440/H1440,1))),IF(R1440&gt;0,AY1440/R1440,0))/MAX(0.1,N(Parameter!$M$21)))</f>
        <v>0.15</v>
      </c>
      <c r="BA1440" s="50" t="n">
        <f aca="false">AZ1440*BY1440</f>
        <v>35.25</v>
      </c>
      <c r="BB1440" s="50" t="n">
        <f aca="false">AX1440*G1440</f>
        <v>4421.95</v>
      </c>
      <c r="BC1440" s="50" t="n">
        <f aca="false">ROUNDUP(MAX(J1440/IF(CD1440&gt;0,CD1440,MAX(0.1,N(Cockpit!$O$6))),CG1440)/BV1440,0)*BV1440</f>
        <v>1</v>
      </c>
      <c r="BD1440" s="51" t="n">
        <f aca="false">IF(BA1440&gt;0,J1440/BA1440,-1)</f>
        <v>0.0567375886524823</v>
      </c>
      <c r="BE1440" s="51" t="str">
        <f aca="false">IF(AND(OR(CC1440="L1",CC1440="L23",CC1440="LIFT"),BA1440&gt;0),SUMIFS($BA$7:$BA$1843,$CC$7:$CC$1843,CC1440,$BD$7:$BD$1843,"&gt;"&amp;BD1440)+SUMIFS($BA$7:$BA$1843,$CC$7:$CC$1843,CC1440,$BD$7:$BD$1843,BD1440,$BT$7:$BT$1843,"&lt;="&amp;BT1440),"")</f>
        <v/>
      </c>
      <c r="BF1440" s="58" t="n">
        <f aca="false">IF(BE1440="",0,MAX(0,MIN(1,(IF(CC1440="L1",Parameter!$H$5,IF(CC1440="L23",Parameter!$H$6+Parameter!$H$7,Parameter!$H$5+Parameter!$H$6+Parameter!$H$7))-(BE1440-BA1440))/BA1440)))</f>
        <v>0</v>
      </c>
      <c r="BG1440" s="48" t="str">
        <f aca="false">IF(AI1440&lt;=0,"",IF(CC1440="Aussen","Aussenlager",IF(CC1440="-","Nicht im Lift",IF(AN1440&gt;=1,"Lift",IF(AN1440&lt;=0,"Aussenlager","teilweise")))))</f>
        <v/>
      </c>
      <c r="BH1440" s="48" t="str">
        <f aca="false">IF(AR1440&lt;=0,"",IF(CC1440="Aussen","Aussenlager",IF(CC1440="-","Nicht im Lift",IF(AW1440&gt;=1,"Lift",IF(AW1440&lt;=0,"Aussenlager","teilweise")))))</f>
        <v>Nicht im Lift</v>
      </c>
      <c r="BI1440" s="48" t="str">
        <f aca="false">IF(BA1440&lt;=0,"",IF(CC1440="Aussen","Aussenlager",IF(CC1440="-","Nicht im Lift",IF(BF1440&gt;=1,"Lift",IF(BF1440&lt;=0,"Aussenlager","teilweise")))))</f>
        <v>Nicht im Lift</v>
      </c>
      <c r="BJ1440" s="48" t="str">
        <f aca="false">IF(A1440="","",IF(BS1440=1,"Neu; ","")&amp;IF(AND(BS1440=0,BN1440&lt;0),"negativer Bestand (Export "&amp;BN1440&amp;"); ","")&amp;IF(J1440&lt;=0,"Kein Verbrauch; ","")&amp;IF(CL1440&gt;0,"Lift "&amp;W1440&amp;" lt. Liftbericht (Fach "&amp;X1440&amp;" Stk); ",IF(BX1440=1,"Gebinde geschätzt ("&amp;T1440&amp;"); ",IF(BW1440=1,"Lose – Tablare geschätzt; ","")))&amp;IF(H1440&gt;AT1440,"Überbestand "&amp;ROUND(H1440-AT1440,0)&amp;" Stk / CHF "&amp;ROUND((H1440-AT1440)*G1440,0)&amp;"; ","")&amp;IF(AND(CE1440=1,CF1440&lt;CG1440),"MAX &lt; MB+LG; ","")&amp;IF(AND(CK1440&gt;0,CJ1440*10&gt;CK1440),"zu hoch für Tablar; ","")&amp;IF(AND(BS1440=0,OR(CE1440=1,AA1440&lt;&gt;"",U1440&lt;&gt;"",V1440&lt;&gt;"",AB1440&lt;&gt;"")),"manuell übersteuert; ","")&amp;IF(AND(BW1440=0,R1440=0),"Gebinde unbekannt / Stellmass fehlt; ","")&amp;IF(AND(BW1440=0,N(V1440)&lt;=0,N(Q1440)&lt;=0),"Menge pro Gebinde fehlt (Ist = 1 Gebinde); ","")&amp;BR1440)</f>
        <v>negativer Bestand (Export -2); Lose – Tablare geschätzt; </v>
      </c>
      <c r="BK1440" s="48"/>
      <c r="BL1440" s="48"/>
      <c r="BM1440" s="55"/>
      <c r="BN1440" s="50" t="n">
        <v>-2</v>
      </c>
      <c r="BO1440" s="50" t="n">
        <v>0</v>
      </c>
      <c r="BP1440" s="49" t="n">
        <v>-8843.9</v>
      </c>
      <c r="BQ1440" s="50" t="n">
        <v>2</v>
      </c>
      <c r="BR1440" s="48"/>
      <c r="BS1440" s="53" t="n">
        <v>0</v>
      </c>
      <c r="BT1440" s="53" t="n">
        <v>1440</v>
      </c>
      <c r="BU1440" s="48" t="str">
        <f aca="false">IF(U1440&lt;&gt;"",UPPER(TRIM(U1440)),IF(BX1440=1,UPPER(VLOOKUP(T1440,Parameter!$I$27:$K$29,2,0)),IF(P1440="","LOSE",P1440)))</f>
        <v>LOSE</v>
      </c>
      <c r="BV1440" s="50" t="n">
        <f aca="false">IF(BU1440="LOSE",1,IF(N(V1440)&gt;0,V1440,IF(BX1440=1,MAX(1,N(VLOOKUP(T1440,Parameter!$I$27:$K$29,3,0)),H1440,N(N1440)),IF(N(Q1440)&gt;0,Q1440,MAX(1,H1440)))))</f>
        <v>1</v>
      </c>
      <c r="BW1440" s="53" t="n">
        <f aca="false">IF(BU1440="LOSE",1,0)</f>
        <v>1</v>
      </c>
      <c r="BX1440" s="53" t="n">
        <f aca="false">IF(AND(U1440="",OR(P1440="",P1440="LOSE"),T1440&lt;&gt;"",N(S1440)&lt;=0,ISNUMBER(MATCH(T1440,Parameter!$I$27:$I$29,0))),1,0)</f>
        <v>0</v>
      </c>
      <c r="BY1440" s="53" t="n">
        <f aca="false">IF(CL1440&gt;0,INDEX(Parameter!$H$5:$H$7,W1440)/INDEX(Parameter!$E$5:$E$7,W1440),IF(AND(BW1440=0,N(IFERROR(VLOOKUP(BU1440,'Gebinde-Kategorie'!$A$5:$N$45,14,0),0))&gt;0),VLOOKUP(BU1440,'Gebinde-Kategorie'!$A$5:$N$45,14,0)*10+Parameter!$M$23,Parameter!$M$24))</f>
        <v>235</v>
      </c>
      <c r="BZ1440" s="48" t="str">
        <f aca="false">IF(AND(Parameter!$B$19="Ja",E1440&lt;&gt;"",ISNUMBER(MATCH(E1440,Parameter!$I$35:$I$52,0))),VLOOKUP(E1440,Parameter!$I$35:$J$52,2,0),IFERROR(VLOOKUP(D1440,Parameter!$A$35:$C$64,2,0),"Nein"))</f>
        <v>Nein</v>
      </c>
      <c r="CA1440" s="52" t="n">
        <f aca="false">IF(BW1440=0,0,IF(N(S1440)&gt;0,S1440,IFERROR(VLOOKUP(D1440,Parameter!$A$35:$C$64,3,0)+0,0)))</f>
        <v>0.15</v>
      </c>
      <c r="CB1440" s="48" t="str">
        <f aca="false">IF(AA1440&lt;&gt;"",AA1440,Z1440)</f>
        <v>-</v>
      </c>
      <c r="CC1440" s="48" t="str">
        <f aca="false">IF(OR(CB1440=1,CB1440=2,CB1440=3),IF(Parameter!$E$27="Ja","LIFT",IF(CB1440=1,"L1","L23")),IF(CB1440="Aussen","Aussen","-"))</f>
        <v>-</v>
      </c>
      <c r="CD1440" s="59" t="n">
        <f aca="false">IF(N(AB1440)&gt;0,AB1440,0)</f>
        <v>0</v>
      </c>
      <c r="CE1440" s="53" t="n">
        <f aca="false">IF(ISNUMBER(AE1440),1,0)</f>
        <v>0</v>
      </c>
      <c r="CF1440" s="50" t="n">
        <f aca="false">N(AE1440)</f>
        <v>0</v>
      </c>
      <c r="CG1440" s="50" t="n">
        <f aca="false">N(M1440)+N(N1440)</f>
        <v>1</v>
      </c>
      <c r="CH1440" s="50" t="n">
        <f aca="false">ROUNDUP(H1440/BV1440,0)</f>
        <v>0</v>
      </c>
      <c r="CI1440" s="50" t="n">
        <f aca="false">ROUNDUP(CF1440/BV1440,0)</f>
        <v>0</v>
      </c>
      <c r="CJ1440" s="53" t="n">
        <f aca="false">IF(BW1440=1,0,IFERROR(VLOOKUP(BU1440,'Gebinde-Kategorie'!$A$5:$N$45,5,0)+0,0))</f>
        <v>0</v>
      </c>
      <c r="CK1440" s="53" t="n">
        <f aca="false">IFERROR(IF(OR(CB1440=1,CB1440=2,CB1440=3),N(INDEX(Parameter!$I$5:$I$7,CB1440)),0),0)</f>
        <v>0</v>
      </c>
      <c r="CL1440" s="52" t="n">
        <f aca="false">IF(AND(Parameter!$B$21="Ja",ISNUMBER(W1440),N(X1440)&gt;0),IFERROR(N(INDEX(Parameter!$L$5:$L$7,W1440))*INDEX(Parameter!$E$5:$E$7,W1440)*X1440/SUMIFS($X$7:$X$1843,$W$7:$W$1843,W1440),0),0)</f>
        <v>0</v>
      </c>
    </row>
    <row r="1441" customFormat="false" ht="15" hidden="false" customHeight="false" outlineLevel="0" collapsed="false">
      <c r="A1441" s="48" t="s">
        <v>2528</v>
      </c>
      <c r="B1441" s="48" t="s">
        <v>2529</v>
      </c>
      <c r="C1441" s="48" t="s">
        <v>168</v>
      </c>
      <c r="D1441" s="48" t="s">
        <v>177</v>
      </c>
      <c r="E1441" s="48" t="s">
        <v>189</v>
      </c>
      <c r="F1441" s="48"/>
      <c r="G1441" s="49" t="n">
        <v>234.8</v>
      </c>
      <c r="H1441" s="50" t="n">
        <f aca="false">MAX(0,IF(AND(Parameter!$B$21="Ja",ISNUMBER(Y1441)),Y1441,IF(Parameter!$B$20="Jahresanfang 2025 + Export",BO1441+BN1441,BN1441)))</f>
        <v>0</v>
      </c>
      <c r="I1441" s="50" t="n">
        <f aca="false">H1441*G1441</f>
        <v>0</v>
      </c>
      <c r="J1441" s="50" t="n">
        <f aca="false">BQ1441*Parameter!$B$18</f>
        <v>207</v>
      </c>
      <c r="K1441" s="51"/>
      <c r="L1441" s="52"/>
      <c r="M1441" s="50" t="n">
        <v>12</v>
      </c>
      <c r="N1441" s="50" t="n">
        <v>80</v>
      </c>
      <c r="O1441" s="53"/>
      <c r="P1441" s="48" t="s">
        <v>178</v>
      </c>
      <c r="Q1441" s="50" t="n">
        <v>20</v>
      </c>
      <c r="R1441" s="53" t="n">
        <f aca="false">IF(BW1441=1,0,IFERROR(VLOOKUP(BU1441,'Gebinde-Kategorie'!$A$5:$N$45,13,0)+0,0))</f>
        <v>6</v>
      </c>
      <c r="S1441" s="54"/>
      <c r="T1441" s="55"/>
      <c r="U1441" s="55"/>
      <c r="V1441" s="55"/>
      <c r="W1441" s="48"/>
      <c r="X1441" s="50"/>
      <c r="Y1441" s="50"/>
      <c r="Z1441" s="48" t="n">
        <f aca="false">IF(A1441="","",IF(AND(Parameter!$B$21="Ja",ISNUMBER(W1441)),W1441,IF(BZ1441="2+3",IF(ISNUMBER(SEARCH("grosser Artikel",BR1441)),2,IFERROR(VLOOKUP(BU1441,Parameter!$F$35:$G$64,2,0),2)),IF(OR(BZ1441="Nein",BZ1441=""),"-",BZ1441))))</f>
        <v>2</v>
      </c>
      <c r="AA1441" s="55"/>
      <c r="AB1441" s="56"/>
      <c r="AC1441" s="50" t="n">
        <f aca="false">AT1441</f>
        <v>120</v>
      </c>
      <c r="AD1441" s="50" t="n">
        <f aca="false">MAX(AT1441,H1441)</f>
        <v>120</v>
      </c>
      <c r="AE1441" s="57"/>
      <c r="AF1441" s="50" t="n">
        <f aca="false">IF(LEFT(Cockpit!$C$5,1)="A",H1441,IF(CE1441=1,CF1441,IF(LEFT(Cockpit!$C$5,1)="B",AK1441,MAX(AK1441,H1441))))</f>
        <v>0</v>
      </c>
      <c r="AG1441" s="50" t="n">
        <f aca="false">IF(BW1441=1,0,ROUNDUP(AF1441/BV1441,0))</f>
        <v>0</v>
      </c>
      <c r="AH1441" s="52" t="n">
        <f aca="false">IF(CL1441&gt;0,CL1441*MAX(1,AF1441/X1441),IF(BW1441=1,IF(AF1441&lt;=0,0,CA1441*MAX(1,IF(H1441&gt;0,AF1441/H1441,1))),IF(R1441&gt;0,AG1441/R1441,0))/MAX(0.1,N(Parameter!$M$21)))</f>
        <v>0</v>
      </c>
      <c r="AI1441" s="50" t="n">
        <f aca="false">AH1441*BY1441</f>
        <v>0</v>
      </c>
      <c r="AJ1441" s="50" t="n">
        <f aca="false">AF1441*G1441</f>
        <v>0</v>
      </c>
      <c r="AK1441" s="50" t="n">
        <f aca="false">ROUNDUP(MAX(J1441/IF(CD1441&gt;0,CD1441,MAX(0.1,N(Cockpit!$C$6))),CG1441)/BV1441,0)*BV1441</f>
        <v>120</v>
      </c>
      <c r="AL1441" s="51" t="n">
        <f aca="false">IF(AI1441&gt;0,J1441/AI1441,-1)</f>
        <v>-1</v>
      </c>
      <c r="AM1441" s="51" t="str">
        <f aca="false">IF(AND(OR(CC1441="L1",CC1441="L23",CC1441="LIFT"),AI1441&gt;0),SUMIFS($AI$7:$AI$1843,$CC$7:$CC$1843,CC1441,$AL$7:$AL$1843,"&gt;"&amp;AL1441)+SUMIFS($AI$7:$AI$1843,$CC$7:$CC$1843,CC1441,$AL$7:$AL$1843,AL1441,$BT$7:$BT$1843,"&lt;="&amp;BT1441),"")</f>
        <v/>
      </c>
      <c r="AN1441" s="58" t="n">
        <f aca="false">IF(AM1441="",0,MAX(0,MIN(1,(IF(CC1441="L1",Parameter!$H$5,IF(CC1441="L23",Parameter!$H$6+Parameter!$H$7,Parameter!$H$5+Parameter!$H$6+Parameter!$H$7))-(AM1441-AI1441))/AI1441)))</f>
        <v>0</v>
      </c>
      <c r="AO1441" s="50" t="n">
        <f aca="false">IF(LEFT(Cockpit!$I$5,1)="A",H1441,IF(CE1441=1,CF1441,IF(LEFT(Cockpit!$I$5,1)="B",AT1441,MAX(AT1441,H1441))))</f>
        <v>120</v>
      </c>
      <c r="AP1441" s="50" t="n">
        <f aca="false">IF(BW1441=1,0,ROUNDUP(AO1441/BV1441,0))</f>
        <v>6</v>
      </c>
      <c r="AQ1441" s="52" t="n">
        <f aca="false">IF(CL1441&gt;0,CL1441*MAX(1,AO1441/X1441),IF(BW1441=1,IF(AO1441&lt;=0,0,CA1441*MAX(1,IF(H1441&gt;0,AO1441/H1441,1))),IF(R1441&gt;0,AP1441/R1441,0))/MAX(0.1,N(Parameter!$M$21)))</f>
        <v>1</v>
      </c>
      <c r="AR1441" s="50" t="n">
        <f aca="false">AQ1441*BY1441</f>
        <v>235</v>
      </c>
      <c r="AS1441" s="50" t="n">
        <f aca="false">AO1441*G1441</f>
        <v>28176</v>
      </c>
      <c r="AT1441" s="50" t="n">
        <f aca="false">ROUNDUP(MAX(J1441/IF(CD1441&gt;0,CD1441,MAX(0.1,N(Cockpit!$I$6))),CG1441)/BV1441,0)*BV1441</f>
        <v>120</v>
      </c>
      <c r="AU1441" s="51" t="n">
        <f aca="false">IF(AR1441&gt;0,J1441/AR1441,-1)</f>
        <v>0.880851063829787</v>
      </c>
      <c r="AV1441" s="51" t="n">
        <f aca="false">IF(AND(OR(CC1441="L1",CC1441="L23",CC1441="LIFT"),AR1441&gt;0),SUMIFS($AR$7:$AR$1843,$CC$7:$CC$1843,CC1441,$AU$7:$AU$1843,"&gt;"&amp;AU1441)+SUMIFS($AR$7:$AR$1843,$CC$7:$CC$1843,CC1441,$AU$7:$AU$1843,AU1441,$BT$7:$BT$1843,"&lt;="&amp;BT1441),"")</f>
        <v>11076.119047619</v>
      </c>
      <c r="AW1441" s="58" t="n">
        <f aca="false">IF(AV1441="",0,MAX(0,MIN(1,(IF(CC1441="L1",Parameter!$H$5,IF(CC1441="L23",Parameter!$H$6+Parameter!$H$7,Parameter!$H$5+Parameter!$H$6+Parameter!$H$7))-(AV1441-AR1441))/AR1441)))</f>
        <v>1</v>
      </c>
      <c r="AX1441" s="50" t="n">
        <f aca="false">IF(LEFT(Cockpit!$O$5,1)="A",H1441,IF(CE1441=1,CF1441,IF(LEFT(Cockpit!$O$5,1)="B",BC1441,MAX(BC1441,H1441))))</f>
        <v>100</v>
      </c>
      <c r="AY1441" s="50" t="n">
        <f aca="false">IF(BW1441=1,0,ROUNDUP(AX1441/BV1441,0))</f>
        <v>5</v>
      </c>
      <c r="AZ1441" s="52" t="n">
        <f aca="false">IF(CL1441&gt;0,CL1441*MAX(1,AX1441/X1441),IF(BW1441=1,IF(AX1441&lt;=0,0,CA1441*MAX(1,IF(H1441&gt;0,AX1441/H1441,1))),IF(R1441&gt;0,AY1441/R1441,0))/MAX(0.1,N(Parameter!$M$21)))</f>
        <v>0.833333333333333</v>
      </c>
      <c r="BA1441" s="50" t="n">
        <f aca="false">AZ1441*BY1441</f>
        <v>195.833333333333</v>
      </c>
      <c r="BB1441" s="50" t="n">
        <f aca="false">AX1441*G1441</f>
        <v>23480</v>
      </c>
      <c r="BC1441" s="50" t="n">
        <f aca="false">ROUNDUP(MAX(J1441/IF(CD1441&gt;0,CD1441,MAX(0.1,N(Cockpit!$O$6))),CG1441)/BV1441,0)*BV1441</f>
        <v>100</v>
      </c>
      <c r="BD1441" s="51" t="n">
        <f aca="false">IF(BA1441&gt;0,J1441/BA1441,-1)</f>
        <v>1.05702127659574</v>
      </c>
      <c r="BE1441" s="51" t="n">
        <f aca="false">IF(AND(OR(CC1441="L1",CC1441="L23",CC1441="LIFT"),BA1441&gt;0),SUMIFS($BA$7:$BA$1843,$CC$7:$CC$1843,CC1441,$BD$7:$BD$1843,"&gt;"&amp;BD1441)+SUMIFS($BA$7:$BA$1843,$CC$7:$CC$1843,CC1441,$BD$7:$BD$1843,BD1441,$BT$7:$BT$1843,"&lt;="&amp;BT1441),"")</f>
        <v>9393.73489010989</v>
      </c>
      <c r="BF1441" s="58" t="n">
        <f aca="false">IF(BE1441="",0,MAX(0,MIN(1,(IF(CC1441="L1",Parameter!$H$5,IF(CC1441="L23",Parameter!$H$6+Parameter!$H$7,Parameter!$H$5+Parameter!$H$6+Parameter!$H$7))-(BE1441-BA1441))/BA1441)))</f>
        <v>1</v>
      </c>
      <c r="BG1441" s="48" t="str">
        <f aca="false">IF(AI1441&lt;=0,"",IF(CC1441="Aussen","Aussenlager",IF(CC1441="-","Nicht im Lift",IF(AN1441&gt;=1,"Lift",IF(AN1441&lt;=0,"Aussenlager","teilweise")))))</f>
        <v/>
      </c>
      <c r="BH1441" s="48" t="str">
        <f aca="false">IF(AR1441&lt;=0,"",IF(CC1441="Aussen","Aussenlager",IF(CC1441="-","Nicht im Lift",IF(AW1441&gt;=1,"Lift",IF(AW1441&lt;=0,"Aussenlager","teilweise")))))</f>
        <v>Lift</v>
      </c>
      <c r="BI1441" s="48" t="str">
        <f aca="false">IF(BA1441&lt;=0,"",IF(CC1441="Aussen","Aussenlager",IF(CC1441="-","Nicht im Lift",IF(BF1441&gt;=1,"Lift",IF(BF1441&lt;=0,"Aussenlager","teilweise")))))</f>
        <v>Lift</v>
      </c>
      <c r="BJ1441" s="48" t="str">
        <f aca="false">IF(A1441="","",IF(BS1441=1,"Neu; ","")&amp;IF(AND(BS1441=0,BN1441&lt;0),"negativer Bestand (Export "&amp;BN1441&amp;"); ","")&amp;IF(J1441&lt;=0,"Kein Verbrauch; ","")&amp;IF(CL1441&gt;0,"Lift "&amp;W1441&amp;" lt. Liftbericht (Fach "&amp;X1441&amp;" Stk); ",IF(BX1441=1,"Gebinde geschätzt ("&amp;T1441&amp;"); ",IF(BW1441=1,"Lose – Tablare geschätzt; ","")))&amp;IF(H1441&gt;AT1441,"Überbestand "&amp;ROUND(H1441-AT1441,0)&amp;" Stk / CHF "&amp;ROUND((H1441-AT1441)*G1441,0)&amp;"; ","")&amp;IF(AND(CE1441=1,CF1441&lt;CG1441),"MAX &lt; MB+LG; ","")&amp;IF(AND(CK1441&gt;0,CJ1441*10&gt;CK1441),"zu hoch für Tablar; ","")&amp;IF(AND(BS1441=0,OR(CE1441=1,AA1441&lt;&gt;"",U1441&lt;&gt;"",V1441&lt;&gt;"",AB1441&lt;&gt;"")),"manuell übersteuert; ","")&amp;IF(AND(BW1441=0,R1441=0),"Gebinde unbekannt / Stellmass fehlt; ","")&amp;IF(AND(BW1441=0,N(V1441)&lt;=0,N(Q1441)&lt;=0),"Menge pro Gebinde fehlt (Ist = 1 Gebinde); ","")&amp;BR1441)</f>
        <v>negativer Bestand (Export -43); grosser Artikel &amp; nicht im KTL</v>
      </c>
      <c r="BK1441" s="48"/>
      <c r="BL1441" s="48"/>
      <c r="BM1441" s="55"/>
      <c r="BN1441" s="50" t="n">
        <v>-43</v>
      </c>
      <c r="BO1441" s="50" t="n">
        <v>0</v>
      </c>
      <c r="BP1441" s="49" t="n">
        <v>-8983.15</v>
      </c>
      <c r="BQ1441" s="50" t="n">
        <v>207</v>
      </c>
      <c r="BR1441" s="48" t="s">
        <v>265</v>
      </c>
      <c r="BS1441" s="53" t="n">
        <v>0</v>
      </c>
      <c r="BT1441" s="53" t="n">
        <v>1441</v>
      </c>
      <c r="BU1441" s="48" t="str">
        <f aca="false">IF(U1441&lt;&gt;"",UPPER(TRIM(U1441)),IF(BX1441=1,UPPER(VLOOKUP(T1441,Parameter!$I$27:$K$29,2,0)),IF(P1441="","LOSE",P1441)))</f>
        <v>S71</v>
      </c>
      <c r="BV1441" s="50" t="n">
        <f aca="false">IF(BU1441="LOSE",1,IF(N(V1441)&gt;0,V1441,IF(BX1441=1,MAX(1,N(VLOOKUP(T1441,Parameter!$I$27:$K$29,3,0)),H1441,N(N1441)),IF(N(Q1441)&gt;0,Q1441,MAX(1,H1441)))))</f>
        <v>20</v>
      </c>
      <c r="BW1441" s="53" t="n">
        <f aca="false">IF(BU1441="LOSE",1,0)</f>
        <v>0</v>
      </c>
      <c r="BX1441" s="53" t="n">
        <f aca="false">IF(AND(U1441="",OR(P1441="",P1441="LOSE"),T1441&lt;&gt;"",N(S1441)&lt;=0,ISNUMBER(MATCH(T1441,Parameter!$I$27:$I$29,0))),1,0)</f>
        <v>0</v>
      </c>
      <c r="BY1441" s="53" t="n">
        <f aca="false">IF(CL1441&gt;0,INDEX(Parameter!$H$5:$H$7,W1441)/INDEX(Parameter!$E$5:$E$7,W1441),IF(AND(BW1441=0,N(IFERROR(VLOOKUP(BU1441,'Gebinde-Kategorie'!$A$5:$N$45,14,0),0))&gt;0),VLOOKUP(BU1441,'Gebinde-Kategorie'!$A$5:$N$45,14,0)*10+Parameter!$M$23,Parameter!$M$24))</f>
        <v>235</v>
      </c>
      <c r="BZ1441" s="48" t="str">
        <f aca="false">IF(AND(Parameter!$B$19="Ja",E1441&lt;&gt;"",ISNUMBER(MATCH(E1441,Parameter!$I$35:$I$52,0))),VLOOKUP(E1441,Parameter!$I$35:$J$52,2,0),IFERROR(VLOOKUP(D1441,Parameter!$A$35:$C$64,2,0),"Nein"))</f>
        <v>2+3</v>
      </c>
      <c r="CA1441" s="52" t="n">
        <f aca="false">IF(BW1441=0,0,IF(N(S1441)&gt;0,S1441,IFERROR(VLOOKUP(D1441,Parameter!$A$35:$C$64,3,0)+0,0)))</f>
        <v>0</v>
      </c>
      <c r="CB1441" s="48" t="n">
        <f aca="false">IF(AA1441&lt;&gt;"",AA1441,Z1441)</f>
        <v>2</v>
      </c>
      <c r="CC1441" s="48" t="str">
        <f aca="false">IF(OR(CB1441=1,CB1441=2,CB1441=3),IF(Parameter!$E$27="Ja","LIFT",IF(CB1441=1,"L1","L23")),IF(CB1441="Aussen","Aussen","-"))</f>
        <v>LIFT</v>
      </c>
      <c r="CD1441" s="59" t="n">
        <f aca="false">IF(N(AB1441)&gt;0,AB1441,0)</f>
        <v>0</v>
      </c>
      <c r="CE1441" s="53" t="n">
        <f aca="false">IF(ISNUMBER(AE1441),1,0)</f>
        <v>0</v>
      </c>
      <c r="CF1441" s="50" t="n">
        <f aca="false">N(AE1441)</f>
        <v>0</v>
      </c>
      <c r="CG1441" s="50" t="n">
        <f aca="false">N(M1441)+N(N1441)</f>
        <v>92</v>
      </c>
      <c r="CH1441" s="50" t="n">
        <f aca="false">ROUNDUP(H1441/BV1441,0)</f>
        <v>0</v>
      </c>
      <c r="CI1441" s="50" t="n">
        <f aca="false">ROUNDUP(CF1441/BV1441,0)</f>
        <v>0</v>
      </c>
      <c r="CJ1441" s="53" t="n">
        <f aca="false">IF(BW1441=1,0,IFERROR(VLOOKUP(BU1441,'Gebinde-Kategorie'!$A$5:$N$45,5,0)+0,0))</f>
        <v>20</v>
      </c>
      <c r="CK1441" s="53" t="n">
        <f aca="false">IFERROR(IF(OR(CB1441=1,CB1441=2,CB1441=3),N(INDEX(Parameter!$I$5:$I$7,CB1441)),0),0)</f>
        <v>0</v>
      </c>
      <c r="CL1441" s="52" t="n">
        <f aca="false">IF(AND(Parameter!$B$21="Ja",ISNUMBER(W1441),N(X1441)&gt;0),IFERROR(N(INDEX(Parameter!$L$5:$L$7,W1441))*INDEX(Parameter!$E$5:$E$7,W1441)*X1441/SUMIFS($X$7:$X$1843,$W$7:$W$1843,W1441),0),0)</f>
        <v>0</v>
      </c>
    </row>
    <row r="1442" customFormat="false" ht="15" hidden="false" customHeight="false" outlineLevel="0" collapsed="false">
      <c r="A1442" s="48" t="s">
        <v>2530</v>
      </c>
      <c r="B1442" s="48" t="s">
        <v>2531</v>
      </c>
      <c r="C1442" s="48" t="s">
        <v>171</v>
      </c>
      <c r="D1442" s="48" t="s">
        <v>169</v>
      </c>
      <c r="E1442" s="48"/>
      <c r="F1442" s="48"/>
      <c r="G1442" s="49" t="n">
        <v>1549.14</v>
      </c>
      <c r="H1442" s="50" t="n">
        <f aca="false">MAX(0,IF(AND(Parameter!$B$21="Ja",ISNUMBER(Y1442)),Y1442,IF(Parameter!$B$20="Jahresanfang 2025 + Export",BO1442+BN1442,BN1442)))</f>
        <v>8</v>
      </c>
      <c r="I1442" s="50" t="n">
        <f aca="false">H1442*G1442</f>
        <v>12393.12</v>
      </c>
      <c r="J1442" s="50" t="n">
        <f aca="false">BQ1442*Parameter!$B$18</f>
        <v>13</v>
      </c>
      <c r="K1442" s="51"/>
      <c r="L1442" s="52"/>
      <c r="M1442" s="50" t="n">
        <v>3</v>
      </c>
      <c r="N1442" s="50" t="n">
        <v>3</v>
      </c>
      <c r="O1442" s="53"/>
      <c r="P1442" s="48" t="s">
        <v>172</v>
      </c>
      <c r="Q1442" s="50"/>
      <c r="R1442" s="53" t="n">
        <f aca="false">IF(BW1442=1,0,IFERROR(VLOOKUP(BU1442,'Gebinde-Kategorie'!$A$5:$N$45,13,0)+0,0))</f>
        <v>0</v>
      </c>
      <c r="S1442" s="54"/>
      <c r="T1442" s="55"/>
      <c r="U1442" s="55"/>
      <c r="V1442" s="55"/>
      <c r="W1442" s="48" t="n">
        <v>1</v>
      </c>
      <c r="X1442" s="50" t="n">
        <v>20</v>
      </c>
      <c r="Y1442" s="50" t="n">
        <v>8</v>
      </c>
      <c r="Z1442" s="48" t="n">
        <f aca="false">IF(A1442="","",IF(AND(Parameter!$B$21="Ja",ISNUMBER(W1442)),W1442,IF(BZ1442="2+3",IF(ISNUMBER(SEARCH("grosser Artikel",BR1442)),2,IFERROR(VLOOKUP(BU1442,Parameter!$F$35:$G$64,2,0),2)),IF(OR(BZ1442="Nein",BZ1442=""),"-",BZ1442))))</f>
        <v>1</v>
      </c>
      <c r="AA1442" s="55"/>
      <c r="AB1442" s="56"/>
      <c r="AC1442" s="50" t="n">
        <f aca="false">AT1442</f>
        <v>7</v>
      </c>
      <c r="AD1442" s="50" t="n">
        <f aca="false">MAX(AT1442,H1442)</f>
        <v>8</v>
      </c>
      <c r="AE1442" s="57"/>
      <c r="AF1442" s="50" t="n">
        <f aca="false">IF(LEFT(Cockpit!$C$5,1)="A",H1442,IF(CE1442=1,CF1442,IF(LEFT(Cockpit!$C$5,1)="B",AK1442,MAX(AK1442,H1442))))</f>
        <v>8</v>
      </c>
      <c r="AG1442" s="50" t="n">
        <f aca="false">IF(BW1442=1,0,ROUNDUP(AF1442/BV1442,0))</f>
        <v>0</v>
      </c>
      <c r="AH1442" s="52" t="n">
        <f aca="false">IF(CL1442&gt;0,CL1442*MAX(1,AF1442/X1442),IF(BW1442=1,IF(AF1442&lt;=0,0,CA1442*MAX(1,IF(H1442&gt;0,AF1442/H1442,1))),IF(R1442&gt;0,AG1442/R1442,0))/MAX(0.1,N(Parameter!$M$21)))</f>
        <v>1.60075329566855</v>
      </c>
      <c r="AI1442" s="50" t="n">
        <f aca="false">AH1442*BY1442</f>
        <v>380.979284369115</v>
      </c>
      <c r="AJ1442" s="50" t="n">
        <f aca="false">AF1442*G1442</f>
        <v>12393.12</v>
      </c>
      <c r="AK1442" s="50" t="n">
        <f aca="false">ROUNDUP(MAX(J1442/IF(CD1442&gt;0,CD1442,MAX(0.1,N(Cockpit!$C$6))),CG1442)/BV1442,0)*BV1442</f>
        <v>7</v>
      </c>
      <c r="AL1442" s="51" t="n">
        <f aca="false">IF(AI1442&gt;0,J1442/AI1442,-1)</f>
        <v>0.0341225902125556</v>
      </c>
      <c r="AM1442" s="51" t="n">
        <f aca="false">IF(AND(OR(CC1442="L1",CC1442="L23",CC1442="LIFT"),AI1442&gt;0),SUMIFS($AI$7:$AI$1843,$CC$7:$CC$1843,CC1442,$AL$7:$AL$1843,"&gt;"&amp;AL1442)+SUMIFS($AI$7:$AI$1843,$CC$7:$CC$1843,CC1442,$AL$7:$AL$1843,AL1442,$BT$7:$BT$1843,"&lt;="&amp;BT1442),"")</f>
        <v>20362.1002643778</v>
      </c>
      <c r="AN1442" s="58" t="n">
        <f aca="false">IF(AM1442="",0,MAX(0,MIN(1,(IF(CC1442="L1",Parameter!$H$5,IF(CC1442="L23",Parameter!$H$6+Parameter!$H$7,Parameter!$H$5+Parameter!$H$6+Parameter!$H$7))-(AM1442-AI1442))/AI1442)))</f>
        <v>1</v>
      </c>
      <c r="AO1442" s="50" t="n">
        <f aca="false">IF(LEFT(Cockpit!$I$5,1)="A",H1442,IF(CE1442=1,CF1442,IF(LEFT(Cockpit!$I$5,1)="B",AT1442,MAX(AT1442,H1442))))</f>
        <v>8</v>
      </c>
      <c r="AP1442" s="50" t="n">
        <f aca="false">IF(BW1442=1,0,ROUNDUP(AO1442/BV1442,0))</f>
        <v>0</v>
      </c>
      <c r="AQ1442" s="52" t="n">
        <f aca="false">IF(CL1442&gt;0,CL1442*MAX(1,AO1442/X1442),IF(BW1442=1,IF(AO1442&lt;=0,0,CA1442*MAX(1,IF(H1442&gt;0,AO1442/H1442,1))),IF(R1442&gt;0,AP1442/R1442,0))/MAX(0.1,N(Parameter!$M$21)))</f>
        <v>1.60075329566855</v>
      </c>
      <c r="AR1442" s="50" t="n">
        <f aca="false">AQ1442*BY1442</f>
        <v>380.979284369115</v>
      </c>
      <c r="AS1442" s="50" t="n">
        <f aca="false">AO1442*G1442</f>
        <v>12393.12</v>
      </c>
      <c r="AT1442" s="50" t="n">
        <f aca="false">ROUNDUP(MAX(J1442/IF(CD1442&gt;0,CD1442,MAX(0.1,N(Cockpit!$I$6))),CG1442)/BV1442,0)*BV1442</f>
        <v>7</v>
      </c>
      <c r="AU1442" s="51" t="n">
        <f aca="false">IF(AR1442&gt;0,J1442/AR1442,-1)</f>
        <v>0.0341225902125556</v>
      </c>
      <c r="AV1442" s="51" t="n">
        <f aca="false">IF(AND(OR(CC1442="L1",CC1442="L23",CC1442="LIFT"),AR1442&gt;0),SUMIFS($AR$7:$AR$1843,$CC$7:$CC$1843,CC1442,$AU$7:$AU$1843,"&gt;"&amp;AU1442)+SUMIFS($AR$7:$AR$1843,$CC$7:$CC$1843,CC1442,$AU$7:$AU$1843,AU1442,$BT$7:$BT$1843,"&lt;="&amp;BT1442),"")</f>
        <v>31196.9078532108</v>
      </c>
      <c r="AW1442" s="58" t="n">
        <f aca="false">IF(AV1442="",0,MAX(0,MIN(1,(IF(CC1442="L1",Parameter!$H$5,IF(CC1442="L23",Parameter!$H$6+Parameter!$H$7,Parameter!$H$5+Parameter!$H$6+Parameter!$H$7))-(AV1442-AR1442))/AR1442)))</f>
        <v>1</v>
      </c>
      <c r="AX1442" s="50" t="n">
        <f aca="false">IF(LEFT(Cockpit!$O$5,1)="A",H1442,IF(CE1442=1,CF1442,IF(LEFT(Cockpit!$O$5,1)="B",BC1442,MAX(BC1442,H1442))))</f>
        <v>8</v>
      </c>
      <c r="AY1442" s="50" t="n">
        <f aca="false">IF(BW1442=1,0,ROUNDUP(AX1442/BV1442,0))</f>
        <v>0</v>
      </c>
      <c r="AZ1442" s="52" t="n">
        <f aca="false">IF(CL1442&gt;0,CL1442*MAX(1,AX1442/X1442),IF(BW1442=1,IF(AX1442&lt;=0,0,CA1442*MAX(1,IF(H1442&gt;0,AX1442/H1442,1))),IF(R1442&gt;0,AY1442/R1442,0))/MAX(0.1,N(Parameter!$M$21)))</f>
        <v>1.60075329566855</v>
      </c>
      <c r="BA1442" s="50" t="n">
        <f aca="false">AZ1442*BY1442</f>
        <v>380.979284369115</v>
      </c>
      <c r="BB1442" s="50" t="n">
        <f aca="false">AX1442*G1442</f>
        <v>12393.12</v>
      </c>
      <c r="BC1442" s="50" t="n">
        <f aca="false">ROUNDUP(MAX(J1442/IF(CD1442&gt;0,CD1442,MAX(0.1,N(Cockpit!$O$6))),CG1442)/BV1442,0)*BV1442</f>
        <v>6</v>
      </c>
      <c r="BD1442" s="51" t="n">
        <f aca="false">IF(BA1442&gt;0,J1442/BA1442,-1)</f>
        <v>0.0341225902125556</v>
      </c>
      <c r="BE1442" s="51" t="n">
        <f aca="false">IF(AND(OR(CC1442="L1",CC1442="L23",CC1442="LIFT"),BA1442&gt;0),SUMIFS($BA$7:$BA$1843,$CC$7:$CC$1843,CC1442,$BD$7:$BD$1843,"&gt;"&amp;BD1442)+SUMIFS($BA$7:$BA$1843,$CC$7:$CC$1843,CC1442,$BD$7:$BD$1843,BD1442,$BT$7:$BT$1843,"&lt;="&amp;BT1442),"")</f>
        <v>27871.9198950767</v>
      </c>
      <c r="BF1442" s="58" t="n">
        <f aca="false">IF(BE1442="",0,MAX(0,MIN(1,(IF(CC1442="L1",Parameter!$H$5,IF(CC1442="L23",Parameter!$H$6+Parameter!$H$7,Parameter!$H$5+Parameter!$H$6+Parameter!$H$7))-(BE1442-BA1442))/BA1442)))</f>
        <v>1</v>
      </c>
      <c r="BG1442" s="48" t="str">
        <f aca="false">IF(AI1442&lt;=0,"",IF(CC1442="Aussen","Aussenlager",IF(CC1442="-","Nicht im Lift",IF(AN1442&gt;=1,"Lift",IF(AN1442&lt;=0,"Aussenlager","teilweise")))))</f>
        <v>Lift</v>
      </c>
      <c r="BH1442" s="48" t="str">
        <f aca="false">IF(AR1442&lt;=0,"",IF(CC1442="Aussen","Aussenlager",IF(CC1442="-","Nicht im Lift",IF(AW1442&gt;=1,"Lift",IF(AW1442&lt;=0,"Aussenlager","teilweise")))))</f>
        <v>Lift</v>
      </c>
      <c r="BI1442" s="48" t="str">
        <f aca="false">IF(BA1442&lt;=0,"",IF(CC1442="Aussen","Aussenlager",IF(CC1442="-","Nicht im Lift",IF(BF1442&gt;=1,"Lift",IF(BF1442&lt;=0,"Aussenlager","teilweise")))))</f>
        <v>Lift</v>
      </c>
      <c r="BJ1442" s="48" t="str">
        <f aca="false">IF(A1442="","",IF(BS1442=1,"Neu; ","")&amp;IF(AND(BS1442=0,BN1442&lt;0),"negativer Bestand (Export "&amp;BN1442&amp;"); ","")&amp;IF(J1442&lt;=0,"Kein Verbrauch; ","")&amp;IF(CL1442&gt;0,"Lift "&amp;W1442&amp;" lt. Liftbericht (Fach "&amp;X1442&amp;" Stk); ",IF(BX1442=1,"Gebinde geschätzt ("&amp;T1442&amp;"); ",IF(BW1442=1,"Lose – Tablare geschätzt; ","")))&amp;IF(H1442&gt;AT1442,"Überbestand "&amp;ROUND(H1442-AT1442,0)&amp;" Stk / CHF "&amp;ROUND((H1442-AT1442)*G1442,0)&amp;"; ","")&amp;IF(AND(CE1442=1,CF1442&lt;CG1442),"MAX &lt; MB+LG; ","")&amp;IF(AND(CK1442&gt;0,CJ1442*10&gt;CK1442),"zu hoch für Tablar; ","")&amp;IF(AND(BS1442=0,OR(CE1442=1,AA1442&lt;&gt;"",U1442&lt;&gt;"",V1442&lt;&gt;"",AB1442&lt;&gt;"")),"manuell übersteuert; ","")&amp;IF(AND(BW1442=0,R1442=0),"Gebinde unbekannt / Stellmass fehlt; ","")&amp;IF(AND(BW1442=0,N(V1442)&lt;=0,N(Q1442)&lt;=0),"Menge pro Gebinde fehlt (Ist = 1 Gebinde); ","")&amp;BR1442)</f>
        <v>negativer Bestand (Export -6); Lift 1 lt. Liftbericht (Fach 20 Stk); Überbestand 1 Stk / CHF 1549; </v>
      </c>
      <c r="BK1442" s="48"/>
      <c r="BL1442" s="48"/>
      <c r="BM1442" s="55"/>
      <c r="BN1442" s="50" t="n">
        <v>-6</v>
      </c>
      <c r="BO1442" s="50" t="n">
        <v>0</v>
      </c>
      <c r="BP1442" s="49" t="n">
        <v>-9049.02</v>
      </c>
      <c r="BQ1442" s="50" t="n">
        <v>13</v>
      </c>
      <c r="BR1442" s="48"/>
      <c r="BS1442" s="53" t="n">
        <v>0</v>
      </c>
      <c r="BT1442" s="53" t="n">
        <v>1442</v>
      </c>
      <c r="BU1442" s="48" t="str">
        <f aca="false">IF(U1442&lt;&gt;"",UPPER(TRIM(U1442)),IF(BX1442=1,UPPER(VLOOKUP(T1442,Parameter!$I$27:$K$29,2,0)),IF(P1442="","LOSE",P1442)))</f>
        <v>LOSE</v>
      </c>
      <c r="BV1442" s="50" t="n">
        <f aca="false">IF(BU1442="LOSE",1,IF(N(V1442)&gt;0,V1442,IF(BX1442=1,MAX(1,N(VLOOKUP(T1442,Parameter!$I$27:$K$29,3,0)),H1442,N(N1442)),IF(N(Q1442)&gt;0,Q1442,MAX(1,H1442)))))</f>
        <v>1</v>
      </c>
      <c r="BW1442" s="53" t="n">
        <f aca="false">IF(BU1442="LOSE",1,0)</f>
        <v>1</v>
      </c>
      <c r="BX1442" s="53" t="n">
        <f aca="false">IF(AND(U1442="",OR(P1442="",P1442="LOSE"),T1442&lt;&gt;"",N(S1442)&lt;=0,ISNUMBER(MATCH(T1442,Parameter!$I$27:$I$29,0))),1,0)</f>
        <v>0</v>
      </c>
      <c r="BY1442" s="53" t="n">
        <f aca="false">IF(CL1442&gt;0,INDEX(Parameter!$H$5:$H$7,W1442)/INDEX(Parameter!$E$5:$E$7,W1442),IF(AND(BW1442=0,N(IFERROR(VLOOKUP(BU1442,'Gebinde-Kategorie'!$A$5:$N$45,14,0),0))&gt;0),VLOOKUP(BU1442,'Gebinde-Kategorie'!$A$5:$N$45,14,0)*10+Parameter!$M$23,Parameter!$M$24))</f>
        <v>238</v>
      </c>
      <c r="BZ1442" s="48" t="n">
        <f aca="false">IF(AND(Parameter!$B$19="Ja",E1442&lt;&gt;"",ISNUMBER(MATCH(E1442,Parameter!$I$35:$I$52,0))),VLOOKUP(E1442,Parameter!$I$35:$J$52,2,0),IFERROR(VLOOKUP(D1442,Parameter!$A$35:$C$64,2,0),"Nein"))</f>
        <v>1</v>
      </c>
      <c r="CA1442" s="52" t="n">
        <f aca="false">IF(BW1442=0,0,IF(N(S1442)&gt;0,S1442,IFERROR(VLOOKUP(D1442,Parameter!$A$35:$C$64,3,0)+0,0)))</f>
        <v>1</v>
      </c>
      <c r="CB1442" s="48" t="n">
        <f aca="false">IF(AA1442&lt;&gt;"",AA1442,Z1442)</f>
        <v>1</v>
      </c>
      <c r="CC1442" s="48" t="str">
        <f aca="false">IF(OR(CB1442=1,CB1442=2,CB1442=3),IF(Parameter!$E$27="Ja","LIFT",IF(CB1442=1,"L1","L23")),IF(CB1442="Aussen","Aussen","-"))</f>
        <v>LIFT</v>
      </c>
      <c r="CD1442" s="59" t="n">
        <f aca="false">IF(N(AB1442)&gt;0,AB1442,0)</f>
        <v>0</v>
      </c>
      <c r="CE1442" s="53" t="n">
        <f aca="false">IF(ISNUMBER(AE1442),1,0)</f>
        <v>0</v>
      </c>
      <c r="CF1442" s="50" t="n">
        <f aca="false">N(AE1442)</f>
        <v>0</v>
      </c>
      <c r="CG1442" s="50" t="n">
        <f aca="false">N(M1442)+N(N1442)</f>
        <v>6</v>
      </c>
      <c r="CH1442" s="50" t="n">
        <f aca="false">ROUNDUP(H1442/BV1442,0)</f>
        <v>8</v>
      </c>
      <c r="CI1442" s="50" t="n">
        <f aca="false">ROUNDUP(CF1442/BV1442,0)</f>
        <v>0</v>
      </c>
      <c r="CJ1442" s="53" t="n">
        <f aca="false">IF(BW1442=1,0,IFERROR(VLOOKUP(BU1442,'Gebinde-Kategorie'!$A$5:$N$45,5,0)+0,0))</f>
        <v>0</v>
      </c>
      <c r="CK1442" s="53" t="n">
        <f aca="false">IFERROR(IF(OR(CB1442=1,CB1442=2,CB1442=3),N(INDEX(Parameter!$I$5:$I$7,CB1442)),0),0)</f>
        <v>0</v>
      </c>
      <c r="CL1442" s="52" t="n">
        <f aca="false">IF(AND(Parameter!$B$21="Ja",ISNUMBER(W1442),N(X1442)&gt;0),IFERROR(N(INDEX(Parameter!$L$5:$L$7,W1442))*INDEX(Parameter!$E$5:$E$7,W1442)*X1442/SUMIFS($X$7:$X$1843,$W$7:$W$1843,W1442),0),0)</f>
        <v>1.60075329566855</v>
      </c>
    </row>
    <row r="1443" customFormat="false" ht="15" hidden="false" customHeight="false" outlineLevel="0" collapsed="false">
      <c r="A1443" s="48" t="s">
        <v>2532</v>
      </c>
      <c r="B1443" s="48" t="s">
        <v>435</v>
      </c>
      <c r="C1443" s="48" t="s">
        <v>460</v>
      </c>
      <c r="D1443" s="48" t="s">
        <v>177</v>
      </c>
      <c r="E1443" s="48"/>
      <c r="F1443" s="48"/>
      <c r="G1443" s="49" t="n">
        <v>77.09</v>
      </c>
      <c r="H1443" s="50" t="n">
        <f aca="false">MAX(0,IF(AND(Parameter!$B$21="Ja",ISNUMBER(Y1443)),Y1443,IF(Parameter!$B$20="Jahresanfang 2025 + Export",BO1443+BN1443,BN1443)))</f>
        <v>0</v>
      </c>
      <c r="I1443" s="50" t="n">
        <f aca="false">H1443*G1443</f>
        <v>0</v>
      </c>
      <c r="J1443" s="50" t="n">
        <f aca="false">BQ1443*Parameter!$B$18</f>
        <v>53</v>
      </c>
      <c r="K1443" s="51"/>
      <c r="L1443" s="52"/>
      <c r="M1443" s="50" t="n">
        <v>0</v>
      </c>
      <c r="N1443" s="50" t="n">
        <v>1</v>
      </c>
      <c r="O1443" s="53"/>
      <c r="P1443" s="48" t="s">
        <v>172</v>
      </c>
      <c r="Q1443" s="50"/>
      <c r="R1443" s="53" t="n">
        <f aca="false">IF(BW1443=1,0,IFERROR(VLOOKUP(BU1443,'Gebinde-Kategorie'!$A$5:$N$45,13,0)+0,0))</f>
        <v>12</v>
      </c>
      <c r="S1443" s="54"/>
      <c r="T1443" s="55" t="s">
        <v>183</v>
      </c>
      <c r="U1443" s="55"/>
      <c r="V1443" s="55"/>
      <c r="W1443" s="48"/>
      <c r="X1443" s="50"/>
      <c r="Y1443" s="50"/>
      <c r="Z1443" s="48" t="n">
        <f aca="false">IF(A1443="","",IF(AND(Parameter!$B$21="Ja",ISNUMBER(W1443)),W1443,IF(BZ1443="2+3",IF(ISNUMBER(SEARCH("grosser Artikel",BR1443)),2,IFERROR(VLOOKUP(BU1443,Parameter!$F$35:$G$64,2,0),2)),IF(OR(BZ1443="Nein",BZ1443=""),"-",BZ1443))))</f>
        <v>2</v>
      </c>
      <c r="AA1443" s="55"/>
      <c r="AB1443" s="56"/>
      <c r="AC1443" s="50" t="n">
        <f aca="false">AT1443</f>
        <v>28</v>
      </c>
      <c r="AD1443" s="50" t="n">
        <f aca="false">MAX(AT1443,H1443)</f>
        <v>28</v>
      </c>
      <c r="AE1443" s="57"/>
      <c r="AF1443" s="50" t="n">
        <f aca="false">IF(LEFT(Cockpit!$C$5,1)="A",H1443,IF(CE1443=1,CF1443,IF(LEFT(Cockpit!$C$5,1)="B",AK1443,MAX(AK1443,H1443))))</f>
        <v>0</v>
      </c>
      <c r="AG1443" s="50" t="n">
        <f aca="false">IF(BW1443=1,0,ROUNDUP(AF1443/BV1443,0))</f>
        <v>0</v>
      </c>
      <c r="AH1443" s="52" t="n">
        <f aca="false">IF(CL1443&gt;0,CL1443*MAX(1,AF1443/X1443),IF(BW1443=1,IF(AF1443&lt;=0,0,CA1443*MAX(1,IF(H1443&gt;0,AF1443/H1443,1))),IF(R1443&gt;0,AG1443/R1443,0))/MAX(0.1,N(Parameter!$M$21)))</f>
        <v>0</v>
      </c>
      <c r="AI1443" s="50" t="n">
        <f aca="false">AH1443*BY1443</f>
        <v>0</v>
      </c>
      <c r="AJ1443" s="50" t="n">
        <f aca="false">AF1443*G1443</f>
        <v>0</v>
      </c>
      <c r="AK1443" s="50" t="n">
        <f aca="false">ROUNDUP(MAX(J1443/IF(CD1443&gt;0,CD1443,MAX(0.1,N(Cockpit!$C$6))),CG1443)/BV1443,0)*BV1443</f>
        <v>28</v>
      </c>
      <c r="AL1443" s="51" t="n">
        <f aca="false">IF(AI1443&gt;0,J1443/AI1443,-1)</f>
        <v>-1</v>
      </c>
      <c r="AM1443" s="51" t="str">
        <f aca="false">IF(AND(OR(CC1443="L1",CC1443="L23",CC1443="LIFT"),AI1443&gt;0),SUMIFS($AI$7:$AI$1843,$CC$7:$CC$1843,CC1443,$AL$7:$AL$1843,"&gt;"&amp;AL1443)+SUMIFS($AI$7:$AI$1843,$CC$7:$CC$1843,CC1443,$AL$7:$AL$1843,AL1443,$BT$7:$BT$1843,"&lt;="&amp;BT1443),"")</f>
        <v/>
      </c>
      <c r="AN1443" s="58" t="n">
        <f aca="false">IF(AM1443="",0,MAX(0,MIN(1,(IF(CC1443="L1",Parameter!$H$5,IF(CC1443="L23",Parameter!$H$6+Parameter!$H$7,Parameter!$H$5+Parameter!$H$6+Parameter!$H$7))-(AM1443-AI1443))/AI1443)))</f>
        <v>0</v>
      </c>
      <c r="AO1443" s="50" t="n">
        <f aca="false">IF(LEFT(Cockpit!$I$5,1)="A",H1443,IF(CE1443=1,CF1443,IF(LEFT(Cockpit!$I$5,1)="B",AT1443,MAX(AT1443,H1443))))</f>
        <v>28</v>
      </c>
      <c r="AP1443" s="50" t="n">
        <f aca="false">IF(BW1443=1,0,ROUNDUP(AO1443/BV1443,0))</f>
        <v>7</v>
      </c>
      <c r="AQ1443" s="52" t="n">
        <f aca="false">IF(CL1443&gt;0,CL1443*MAX(1,AO1443/X1443),IF(BW1443=1,IF(AO1443&lt;=0,0,CA1443*MAX(1,IF(H1443&gt;0,AO1443/H1443,1))),IF(R1443&gt;0,AP1443/R1443,0))/MAX(0.1,N(Parameter!$M$21)))</f>
        <v>0.583333333333333</v>
      </c>
      <c r="AR1443" s="50" t="n">
        <f aca="false">AQ1443*BY1443</f>
        <v>84.5833333333333</v>
      </c>
      <c r="AS1443" s="50" t="n">
        <f aca="false">AO1443*G1443</f>
        <v>2158.52</v>
      </c>
      <c r="AT1443" s="50" t="n">
        <f aca="false">ROUNDUP(MAX(J1443/IF(CD1443&gt;0,CD1443,MAX(0.1,N(Cockpit!$I$6))),CG1443)/BV1443,0)*BV1443</f>
        <v>28</v>
      </c>
      <c r="AU1443" s="51" t="n">
        <f aca="false">IF(AR1443&gt;0,J1443/AR1443,-1)</f>
        <v>0.626600985221675</v>
      </c>
      <c r="AV1443" s="51" t="n">
        <f aca="false">IF(AND(OR(CC1443="L1",CC1443="L23",CC1443="LIFT"),AR1443&gt;0),SUMIFS($AR$7:$AR$1843,$CC$7:$CC$1843,CC1443,$AU$7:$AU$1843,"&gt;"&amp;AU1443)+SUMIFS($AR$7:$AR$1843,$CC$7:$CC$1843,CC1443,$AU$7:$AU$1843,AU1443,$BT$7:$BT$1843,"&lt;="&amp;BT1443),"")</f>
        <v>12441.9043040293</v>
      </c>
      <c r="AW1443" s="58" t="n">
        <f aca="false">IF(AV1443="",0,MAX(0,MIN(1,(IF(CC1443="L1",Parameter!$H$5,IF(CC1443="L23",Parameter!$H$6+Parameter!$H$7,Parameter!$H$5+Parameter!$H$6+Parameter!$H$7))-(AV1443-AR1443))/AR1443)))</f>
        <v>1</v>
      </c>
      <c r="AX1443" s="50" t="n">
        <f aca="false">IF(LEFT(Cockpit!$O$5,1)="A",H1443,IF(CE1443=1,CF1443,IF(LEFT(Cockpit!$O$5,1)="B",BC1443,MAX(BC1443,H1443))))</f>
        <v>20</v>
      </c>
      <c r="AY1443" s="50" t="n">
        <f aca="false">IF(BW1443=1,0,ROUNDUP(AX1443/BV1443,0))</f>
        <v>5</v>
      </c>
      <c r="AZ1443" s="52" t="n">
        <f aca="false">IF(CL1443&gt;0,CL1443*MAX(1,AX1443/X1443),IF(BW1443=1,IF(AX1443&lt;=0,0,CA1443*MAX(1,IF(H1443&gt;0,AX1443/H1443,1))),IF(R1443&gt;0,AY1443/R1443,0))/MAX(0.1,N(Parameter!$M$21)))</f>
        <v>0.416666666666667</v>
      </c>
      <c r="BA1443" s="50" t="n">
        <f aca="false">AZ1443*BY1443</f>
        <v>60.4166666666667</v>
      </c>
      <c r="BB1443" s="50" t="n">
        <f aca="false">AX1443*G1443</f>
        <v>1541.8</v>
      </c>
      <c r="BC1443" s="50" t="n">
        <f aca="false">ROUNDUP(MAX(J1443/IF(CD1443&gt;0,CD1443,MAX(0.1,N(Cockpit!$O$6))),CG1443)/BV1443,0)*BV1443</f>
        <v>20</v>
      </c>
      <c r="BD1443" s="51" t="n">
        <f aca="false">IF(BA1443&gt;0,J1443/BA1443,-1)</f>
        <v>0.877241379310345</v>
      </c>
      <c r="BE1443" s="51" t="n">
        <f aca="false">IF(AND(OR(CC1443="L1",CC1443="L23",CC1443="LIFT"),BA1443&gt;0),SUMIFS($BA$7:$BA$1843,$CC$7:$CC$1843,CC1443,$BD$7:$BD$1843,"&gt;"&amp;BD1443)+SUMIFS($BA$7:$BA$1843,$CC$7:$CC$1843,CC1443,$BD$7:$BD$1843,BD1443,$BT$7:$BT$1843,"&lt;="&amp;BT1443),"")</f>
        <v>10159.6927655678</v>
      </c>
      <c r="BF1443" s="58" t="n">
        <f aca="false">IF(BE1443="",0,MAX(0,MIN(1,(IF(CC1443="L1",Parameter!$H$5,IF(CC1443="L23",Parameter!$H$6+Parameter!$H$7,Parameter!$H$5+Parameter!$H$6+Parameter!$H$7))-(BE1443-BA1443))/BA1443)))</f>
        <v>1</v>
      </c>
      <c r="BG1443" s="48" t="str">
        <f aca="false">IF(AI1443&lt;=0,"",IF(CC1443="Aussen","Aussenlager",IF(CC1443="-","Nicht im Lift",IF(AN1443&gt;=1,"Lift",IF(AN1443&lt;=0,"Aussenlager","teilweise")))))</f>
        <v/>
      </c>
      <c r="BH1443" s="48" t="str">
        <f aca="false">IF(AR1443&lt;=0,"",IF(CC1443="Aussen","Aussenlager",IF(CC1443="-","Nicht im Lift",IF(AW1443&gt;=1,"Lift",IF(AW1443&lt;=0,"Aussenlager","teilweise")))))</f>
        <v>Lift</v>
      </c>
      <c r="BI1443" s="48" t="str">
        <f aca="false">IF(BA1443&lt;=0,"",IF(CC1443="Aussen","Aussenlager",IF(CC1443="-","Nicht im Lift",IF(BF1443&gt;=1,"Lift",IF(BF1443&lt;=0,"Aussenlager","teilweise")))))</f>
        <v>Lift</v>
      </c>
      <c r="BJ1443" s="48" t="str">
        <f aca="false">IF(A1443="","",IF(BS1443=1,"Neu; ","")&amp;IF(AND(BS1443=0,BN1443&lt;0),"negativer Bestand (Export "&amp;BN1443&amp;"); ","")&amp;IF(J1443&lt;=0,"Kein Verbrauch; ","")&amp;IF(CL1443&gt;0,"Lift "&amp;W1443&amp;" lt. Liftbericht (Fach "&amp;X1443&amp;" Stk); ",IF(BX1443=1,"Gebinde geschätzt ("&amp;T1443&amp;"); ",IF(BW1443=1,"Lose – Tablare geschätzt; ","")))&amp;IF(H1443&gt;AT1443,"Überbestand "&amp;ROUND(H1443-AT1443,0)&amp;" Stk / CHF "&amp;ROUND((H1443-AT1443)*G1443,0)&amp;"; ","")&amp;IF(AND(CE1443=1,CF1443&lt;CG1443),"MAX &lt; MB+LG; ","")&amp;IF(AND(CK1443&gt;0,CJ1443*10&gt;CK1443),"zu hoch für Tablar; ","")&amp;IF(AND(BS1443=0,OR(CE1443=1,AA1443&lt;&gt;"",U1443&lt;&gt;"",V1443&lt;&gt;"",AB1443&lt;&gt;"")),"manuell übersteuert; ","")&amp;IF(AND(BW1443=0,R1443=0),"Gebinde unbekannt / Stellmass fehlt; ","")&amp;IF(AND(BW1443=0,N(V1443)&lt;=0,N(Q1443)&lt;=0),"Menge pro Gebinde fehlt (Ist = 1 Gebinde); ","")&amp;BR1443)</f>
        <v>negativer Bestand (Export -124); Gebinde geschätzt (Mittel); Menge pro Gebinde fehlt (Ist = 1 Gebinde); </v>
      </c>
      <c r="BK1443" s="48"/>
      <c r="BL1443" s="48"/>
      <c r="BM1443" s="55"/>
      <c r="BN1443" s="50" t="n">
        <v>-124</v>
      </c>
      <c r="BO1443" s="50" t="n">
        <v>0</v>
      </c>
      <c r="BP1443" s="49" t="n">
        <v>-9566.6</v>
      </c>
      <c r="BQ1443" s="50" t="n">
        <v>53</v>
      </c>
      <c r="BR1443" s="48"/>
      <c r="BS1443" s="53" t="n">
        <v>0</v>
      </c>
      <c r="BT1443" s="53" t="n">
        <v>1443</v>
      </c>
      <c r="BU1443" s="48" t="str">
        <f aca="false">IF(U1443&lt;&gt;"",UPPER(TRIM(U1443)),IF(BX1443=1,UPPER(VLOOKUP(T1443,Parameter!$I$27:$K$29,2,0)),IF(P1443="","LOSE",P1443)))</f>
        <v>S61</v>
      </c>
      <c r="BV1443" s="50" t="n">
        <f aca="false">IF(BU1443="LOSE",1,IF(N(V1443)&gt;0,V1443,IF(BX1443=1,MAX(1,N(VLOOKUP(T1443,Parameter!$I$27:$K$29,3,0)),H1443,N(N1443)),IF(N(Q1443)&gt;0,Q1443,MAX(1,H1443)))))</f>
        <v>4</v>
      </c>
      <c r="BW1443" s="53" t="n">
        <f aca="false">IF(BU1443="LOSE",1,0)</f>
        <v>0</v>
      </c>
      <c r="BX1443" s="53" t="n">
        <f aca="false">IF(AND(U1443="",OR(P1443="",P1443="LOSE"),T1443&lt;&gt;"",N(S1443)&lt;=0,ISNUMBER(MATCH(T1443,Parameter!$I$27:$I$29,0))),1,0)</f>
        <v>1</v>
      </c>
      <c r="BY1443" s="53" t="n">
        <f aca="false">IF(CL1443&gt;0,INDEX(Parameter!$H$5:$H$7,W1443)/INDEX(Parameter!$E$5:$E$7,W1443),IF(AND(BW1443=0,N(IFERROR(VLOOKUP(BU1443,'Gebinde-Kategorie'!$A$5:$N$45,14,0),0))&gt;0),VLOOKUP(BU1443,'Gebinde-Kategorie'!$A$5:$N$45,14,0)*10+Parameter!$M$23,Parameter!$M$24))</f>
        <v>145</v>
      </c>
      <c r="BZ1443" s="48" t="str">
        <f aca="false">IF(AND(Parameter!$B$19="Ja",E1443&lt;&gt;"",ISNUMBER(MATCH(E1443,Parameter!$I$35:$I$52,0))),VLOOKUP(E1443,Parameter!$I$35:$J$52,2,0),IFERROR(VLOOKUP(D1443,Parameter!$A$35:$C$64,2,0),"Nein"))</f>
        <v>2+3</v>
      </c>
      <c r="CA1443" s="52" t="n">
        <f aca="false">IF(BW1443=0,0,IF(N(S1443)&gt;0,S1443,IFERROR(VLOOKUP(D1443,Parameter!$A$35:$C$64,3,0)+0,0)))</f>
        <v>0</v>
      </c>
      <c r="CB1443" s="48" t="n">
        <f aca="false">IF(AA1443&lt;&gt;"",AA1443,Z1443)</f>
        <v>2</v>
      </c>
      <c r="CC1443" s="48" t="str">
        <f aca="false">IF(OR(CB1443=1,CB1443=2,CB1443=3),IF(Parameter!$E$27="Ja","LIFT",IF(CB1443=1,"L1","L23")),IF(CB1443="Aussen","Aussen","-"))</f>
        <v>LIFT</v>
      </c>
      <c r="CD1443" s="59" t="n">
        <f aca="false">IF(N(AB1443)&gt;0,AB1443,0)</f>
        <v>0</v>
      </c>
      <c r="CE1443" s="53" t="n">
        <f aca="false">IF(ISNUMBER(AE1443),1,0)</f>
        <v>0</v>
      </c>
      <c r="CF1443" s="50" t="n">
        <f aca="false">N(AE1443)</f>
        <v>0</v>
      </c>
      <c r="CG1443" s="50" t="n">
        <f aca="false">N(M1443)+N(N1443)</f>
        <v>1</v>
      </c>
      <c r="CH1443" s="50" t="n">
        <f aca="false">ROUNDUP(H1443/BV1443,0)</f>
        <v>0</v>
      </c>
      <c r="CI1443" s="50" t="n">
        <f aca="false">ROUNDUP(CF1443/BV1443,0)</f>
        <v>0</v>
      </c>
      <c r="CJ1443" s="53" t="n">
        <f aca="false">IF(BW1443=1,0,IFERROR(VLOOKUP(BU1443,'Gebinde-Kategorie'!$A$5:$N$45,5,0)+0,0))</f>
        <v>11</v>
      </c>
      <c r="CK1443" s="53" t="n">
        <f aca="false">IFERROR(IF(OR(CB1443=1,CB1443=2,CB1443=3),N(INDEX(Parameter!$I$5:$I$7,CB1443)),0),0)</f>
        <v>0</v>
      </c>
      <c r="CL1443" s="52" t="n">
        <f aca="false">IF(AND(Parameter!$B$21="Ja",ISNUMBER(W1443),N(X1443)&gt;0),IFERROR(N(INDEX(Parameter!$L$5:$L$7,W1443))*INDEX(Parameter!$E$5:$E$7,W1443)*X1443/SUMIFS($X$7:$X$1843,$W$7:$W$1843,W1443),0),0)</f>
        <v>0</v>
      </c>
    </row>
    <row r="1444" customFormat="false" ht="15" hidden="false" customHeight="false" outlineLevel="0" collapsed="false">
      <c r="A1444" s="48" t="s">
        <v>2533</v>
      </c>
      <c r="B1444" s="48" t="s">
        <v>2534</v>
      </c>
      <c r="C1444" s="48" t="s">
        <v>168</v>
      </c>
      <c r="D1444" s="48" t="s">
        <v>177</v>
      </c>
      <c r="E1444" s="48" t="s">
        <v>170</v>
      </c>
      <c r="F1444" s="48"/>
      <c r="G1444" s="49" t="n">
        <v>1459.89</v>
      </c>
      <c r="H1444" s="50" t="n">
        <f aca="false">MAX(0,IF(AND(Parameter!$B$21="Ja",ISNUMBER(Y1444)),Y1444,IF(Parameter!$B$20="Jahresanfang 2025 + Export",BO1444+BN1444,BN1444)))</f>
        <v>0</v>
      </c>
      <c r="I1444" s="50" t="n">
        <f aca="false">H1444*G1444</f>
        <v>0</v>
      </c>
      <c r="J1444" s="50" t="n">
        <f aca="false">BQ1444*Parameter!$B$18</f>
        <v>125</v>
      </c>
      <c r="K1444" s="51"/>
      <c r="L1444" s="52"/>
      <c r="M1444" s="50" t="n">
        <v>7</v>
      </c>
      <c r="N1444" s="50" t="n">
        <v>20</v>
      </c>
      <c r="O1444" s="53"/>
      <c r="P1444" s="48" t="s">
        <v>178</v>
      </c>
      <c r="Q1444" s="50" t="n">
        <v>4</v>
      </c>
      <c r="R1444" s="53" t="n">
        <f aca="false">IF(BW1444=1,0,IFERROR(VLOOKUP(BU1444,'Gebinde-Kategorie'!$A$5:$N$45,13,0)+0,0))</f>
        <v>6</v>
      </c>
      <c r="S1444" s="54"/>
      <c r="T1444" s="55"/>
      <c r="U1444" s="55"/>
      <c r="V1444" s="55"/>
      <c r="W1444" s="48"/>
      <c r="X1444" s="50"/>
      <c r="Y1444" s="50"/>
      <c r="Z1444" s="48" t="n">
        <f aca="false">IF(A1444="","",IF(AND(Parameter!$B$21="Ja",ISNUMBER(W1444)),W1444,IF(BZ1444="2+3",IF(ISNUMBER(SEARCH("grosser Artikel",BR1444)),2,IFERROR(VLOOKUP(BU1444,Parameter!$F$35:$G$64,2,0),2)),IF(OR(BZ1444="Nein",BZ1444=""),"-",BZ1444))))</f>
        <v>1</v>
      </c>
      <c r="AA1444" s="55"/>
      <c r="AB1444" s="56"/>
      <c r="AC1444" s="50" t="n">
        <f aca="false">AT1444</f>
        <v>64</v>
      </c>
      <c r="AD1444" s="50" t="n">
        <f aca="false">MAX(AT1444,H1444)</f>
        <v>64</v>
      </c>
      <c r="AE1444" s="57"/>
      <c r="AF1444" s="50" t="n">
        <f aca="false">IF(LEFT(Cockpit!$C$5,1)="A",H1444,IF(CE1444=1,CF1444,IF(LEFT(Cockpit!$C$5,1)="B",AK1444,MAX(AK1444,H1444))))</f>
        <v>0</v>
      </c>
      <c r="AG1444" s="50" t="n">
        <f aca="false">IF(BW1444=1,0,ROUNDUP(AF1444/BV1444,0))</f>
        <v>0</v>
      </c>
      <c r="AH1444" s="52" t="n">
        <f aca="false">IF(CL1444&gt;0,CL1444*MAX(1,AF1444/X1444),IF(BW1444=1,IF(AF1444&lt;=0,0,CA1444*MAX(1,IF(H1444&gt;0,AF1444/H1444,1))),IF(R1444&gt;0,AG1444/R1444,0))/MAX(0.1,N(Parameter!$M$21)))</f>
        <v>0</v>
      </c>
      <c r="AI1444" s="50" t="n">
        <f aca="false">AH1444*BY1444</f>
        <v>0</v>
      </c>
      <c r="AJ1444" s="50" t="n">
        <f aca="false">AF1444*G1444</f>
        <v>0</v>
      </c>
      <c r="AK1444" s="50" t="n">
        <f aca="false">ROUNDUP(MAX(J1444/IF(CD1444&gt;0,CD1444,MAX(0.1,N(Cockpit!$C$6))),CG1444)/BV1444,0)*BV1444</f>
        <v>64</v>
      </c>
      <c r="AL1444" s="51" t="n">
        <f aca="false">IF(AI1444&gt;0,J1444/AI1444,-1)</f>
        <v>-1</v>
      </c>
      <c r="AM1444" s="51" t="str">
        <f aca="false">IF(AND(OR(CC1444="L1",CC1444="L23",CC1444="LIFT"),AI1444&gt;0),SUMIFS($AI$7:$AI$1843,$CC$7:$CC$1843,CC1444,$AL$7:$AL$1843,"&gt;"&amp;AL1444)+SUMIFS($AI$7:$AI$1843,$CC$7:$CC$1843,CC1444,$AL$7:$AL$1843,AL1444,$BT$7:$BT$1843,"&lt;="&amp;BT1444),"")</f>
        <v/>
      </c>
      <c r="AN1444" s="58" t="n">
        <f aca="false">IF(AM1444="",0,MAX(0,MIN(1,(IF(CC1444="L1",Parameter!$H$5,IF(CC1444="L23",Parameter!$H$6+Parameter!$H$7,Parameter!$H$5+Parameter!$H$6+Parameter!$H$7))-(AM1444-AI1444))/AI1444)))</f>
        <v>0</v>
      </c>
      <c r="AO1444" s="50" t="n">
        <f aca="false">IF(LEFT(Cockpit!$I$5,1)="A",H1444,IF(CE1444=1,CF1444,IF(LEFT(Cockpit!$I$5,1)="B",AT1444,MAX(AT1444,H1444))))</f>
        <v>64</v>
      </c>
      <c r="AP1444" s="50" t="n">
        <f aca="false">IF(BW1444=1,0,ROUNDUP(AO1444/BV1444,0))</f>
        <v>16</v>
      </c>
      <c r="AQ1444" s="52" t="n">
        <f aca="false">IF(CL1444&gt;0,CL1444*MAX(1,AO1444/X1444),IF(BW1444=1,IF(AO1444&lt;=0,0,CA1444*MAX(1,IF(H1444&gt;0,AO1444/H1444,1))),IF(R1444&gt;0,AP1444/R1444,0))/MAX(0.1,N(Parameter!$M$21)))</f>
        <v>2.66666666666667</v>
      </c>
      <c r="AR1444" s="50" t="n">
        <f aca="false">AQ1444*BY1444</f>
        <v>626.666666666667</v>
      </c>
      <c r="AS1444" s="50" t="n">
        <f aca="false">AO1444*G1444</f>
        <v>93432.96</v>
      </c>
      <c r="AT1444" s="50" t="n">
        <f aca="false">ROUNDUP(MAX(J1444/IF(CD1444&gt;0,CD1444,MAX(0.1,N(Cockpit!$I$6))),CG1444)/BV1444,0)*BV1444</f>
        <v>64</v>
      </c>
      <c r="AU1444" s="51" t="n">
        <f aca="false">IF(AR1444&gt;0,J1444/AR1444,-1)</f>
        <v>0.199468085106383</v>
      </c>
      <c r="AV1444" s="51" t="n">
        <f aca="false">IF(AND(OR(CC1444="L1",CC1444="L23",CC1444="LIFT"),AR1444&gt;0),SUMIFS($AR$7:$AR$1843,$CC$7:$CC$1843,CC1444,$AU$7:$AU$1843,"&gt;"&amp;AU1444)+SUMIFS($AR$7:$AR$1843,$CC$7:$CC$1843,CC1444,$AU$7:$AU$1843,AU1444,$BT$7:$BT$1843,"&lt;="&amp;BT1444),"")</f>
        <v>18981.3850732601</v>
      </c>
      <c r="AW1444" s="58" t="n">
        <f aca="false">IF(AV1444="",0,MAX(0,MIN(1,(IF(CC1444="L1",Parameter!$H$5,IF(CC1444="L23",Parameter!$H$6+Parameter!$H$7,Parameter!$H$5+Parameter!$H$6+Parameter!$H$7))-(AV1444-AR1444))/AR1444)))</f>
        <v>1</v>
      </c>
      <c r="AX1444" s="50" t="n">
        <f aca="false">IF(LEFT(Cockpit!$O$5,1)="A",H1444,IF(CE1444=1,CF1444,IF(LEFT(Cockpit!$O$5,1)="B",BC1444,MAX(BC1444,H1444))))</f>
        <v>44</v>
      </c>
      <c r="AY1444" s="50" t="n">
        <f aca="false">IF(BW1444=1,0,ROUNDUP(AX1444/BV1444,0))</f>
        <v>11</v>
      </c>
      <c r="AZ1444" s="52" t="n">
        <f aca="false">IF(CL1444&gt;0,CL1444*MAX(1,AX1444/X1444),IF(BW1444=1,IF(AX1444&lt;=0,0,CA1444*MAX(1,IF(H1444&gt;0,AX1444/H1444,1))),IF(R1444&gt;0,AY1444/R1444,0))/MAX(0.1,N(Parameter!$M$21)))</f>
        <v>1.83333333333333</v>
      </c>
      <c r="BA1444" s="50" t="n">
        <f aca="false">AZ1444*BY1444</f>
        <v>430.833333333333</v>
      </c>
      <c r="BB1444" s="50" t="n">
        <f aca="false">AX1444*G1444</f>
        <v>64235.16</v>
      </c>
      <c r="BC1444" s="50" t="n">
        <f aca="false">ROUNDUP(MAX(J1444/IF(CD1444&gt;0,CD1444,MAX(0.1,N(Cockpit!$O$6))),CG1444)/BV1444,0)*BV1444</f>
        <v>44</v>
      </c>
      <c r="BD1444" s="51" t="n">
        <f aca="false">IF(BA1444&gt;0,J1444/BA1444,-1)</f>
        <v>0.290135396518375</v>
      </c>
      <c r="BE1444" s="51" t="n">
        <f aca="false">IF(AND(OR(CC1444="L1",CC1444="L23",CC1444="LIFT"),BA1444&gt;0),SUMIFS($BA$7:$BA$1843,$CC$7:$CC$1843,CC1444,$BD$7:$BD$1843,"&gt;"&amp;BD1444)+SUMIFS($BA$7:$BA$1843,$CC$7:$CC$1843,CC1444,$BD$7:$BD$1843,BD1444,$BT$7:$BT$1843,"&lt;="&amp;BT1444),"")</f>
        <v>15818.2921245421</v>
      </c>
      <c r="BF1444" s="58" t="n">
        <f aca="false">IF(BE1444="",0,MAX(0,MIN(1,(IF(CC1444="L1",Parameter!$H$5,IF(CC1444="L23",Parameter!$H$6+Parameter!$H$7,Parameter!$H$5+Parameter!$H$6+Parameter!$H$7))-(BE1444-BA1444))/BA1444)))</f>
        <v>1</v>
      </c>
      <c r="BG1444" s="48" t="str">
        <f aca="false">IF(AI1444&lt;=0,"",IF(CC1444="Aussen","Aussenlager",IF(CC1444="-","Nicht im Lift",IF(AN1444&gt;=1,"Lift",IF(AN1444&lt;=0,"Aussenlager","teilweise")))))</f>
        <v/>
      </c>
      <c r="BH1444" s="48" t="str">
        <f aca="false">IF(AR1444&lt;=0,"",IF(CC1444="Aussen","Aussenlager",IF(CC1444="-","Nicht im Lift",IF(AW1444&gt;=1,"Lift",IF(AW1444&lt;=0,"Aussenlager","teilweise")))))</f>
        <v>Lift</v>
      </c>
      <c r="BI1444" s="48" t="str">
        <f aca="false">IF(BA1444&lt;=0,"",IF(CC1444="Aussen","Aussenlager",IF(CC1444="-","Nicht im Lift",IF(BF1444&gt;=1,"Lift",IF(BF1444&lt;=0,"Aussenlager","teilweise")))))</f>
        <v>Lift</v>
      </c>
      <c r="BJ1444" s="48" t="str">
        <f aca="false">IF(A1444="","",IF(BS1444=1,"Neu; ","")&amp;IF(AND(BS1444=0,BN1444&lt;0),"negativer Bestand (Export "&amp;BN1444&amp;"); ","")&amp;IF(J1444&lt;=0,"Kein Verbrauch; ","")&amp;IF(CL1444&gt;0,"Lift "&amp;W1444&amp;" lt. Liftbericht (Fach "&amp;X1444&amp;" Stk); ",IF(BX1444=1,"Gebinde geschätzt ("&amp;T1444&amp;"); ",IF(BW1444=1,"Lose – Tablare geschätzt; ","")))&amp;IF(H1444&gt;AT1444,"Überbestand "&amp;ROUND(H1444-AT1444,0)&amp;" Stk / CHF "&amp;ROUND((H1444-AT1444)*G1444,0)&amp;"; ","")&amp;IF(AND(CE1444=1,CF1444&lt;CG1444),"MAX &lt; MB+LG; ","")&amp;IF(AND(CK1444&gt;0,CJ1444*10&gt;CK1444),"zu hoch für Tablar; ","")&amp;IF(AND(BS1444=0,OR(CE1444=1,AA1444&lt;&gt;"",U1444&lt;&gt;"",V1444&lt;&gt;"",AB1444&lt;&gt;"")),"manuell übersteuert; ","")&amp;IF(AND(BW1444=0,R1444=0),"Gebinde unbekannt / Stellmass fehlt; ","")&amp;IF(AND(BW1444=0,N(V1444)&lt;=0,N(Q1444)&lt;=0),"Menge pro Gebinde fehlt (Ist = 1 Gebinde); ","")&amp;BR1444)</f>
        <v>negativer Bestand (Export -7); </v>
      </c>
      <c r="BK1444" s="48"/>
      <c r="BL1444" s="48"/>
      <c r="BM1444" s="55"/>
      <c r="BN1444" s="50" t="n">
        <v>-7</v>
      </c>
      <c r="BO1444" s="50" t="n">
        <v>0</v>
      </c>
      <c r="BP1444" s="49" t="n">
        <v>-9808.88999999994</v>
      </c>
      <c r="BQ1444" s="50" t="n">
        <v>125</v>
      </c>
      <c r="BR1444" s="48"/>
      <c r="BS1444" s="53" t="n">
        <v>0</v>
      </c>
      <c r="BT1444" s="53" t="n">
        <v>1444</v>
      </c>
      <c r="BU1444" s="48" t="str">
        <f aca="false">IF(U1444&lt;&gt;"",UPPER(TRIM(U1444)),IF(BX1444=1,UPPER(VLOOKUP(T1444,Parameter!$I$27:$K$29,2,0)),IF(P1444="","LOSE",P1444)))</f>
        <v>S71</v>
      </c>
      <c r="BV1444" s="50" t="n">
        <f aca="false">IF(BU1444="LOSE",1,IF(N(V1444)&gt;0,V1444,IF(BX1444=1,MAX(1,N(VLOOKUP(T1444,Parameter!$I$27:$K$29,3,0)),H1444,N(N1444)),IF(N(Q1444)&gt;0,Q1444,MAX(1,H1444)))))</f>
        <v>4</v>
      </c>
      <c r="BW1444" s="53" t="n">
        <f aca="false">IF(BU1444="LOSE",1,0)</f>
        <v>0</v>
      </c>
      <c r="BX1444" s="53" t="n">
        <f aca="false">IF(AND(U1444="",OR(P1444="",P1444="LOSE"),T1444&lt;&gt;"",N(S1444)&lt;=0,ISNUMBER(MATCH(T1444,Parameter!$I$27:$I$29,0))),1,0)</f>
        <v>0</v>
      </c>
      <c r="BY1444" s="53" t="n">
        <f aca="false">IF(CL1444&gt;0,INDEX(Parameter!$H$5:$H$7,W1444)/INDEX(Parameter!$E$5:$E$7,W1444),IF(AND(BW1444=0,N(IFERROR(VLOOKUP(BU1444,'Gebinde-Kategorie'!$A$5:$N$45,14,0),0))&gt;0),VLOOKUP(BU1444,'Gebinde-Kategorie'!$A$5:$N$45,14,0)*10+Parameter!$M$23,Parameter!$M$24))</f>
        <v>235</v>
      </c>
      <c r="BZ1444" s="48" t="n">
        <f aca="false">IF(AND(Parameter!$B$19="Ja",E1444&lt;&gt;"",ISNUMBER(MATCH(E1444,Parameter!$I$35:$I$52,0))),VLOOKUP(E1444,Parameter!$I$35:$J$52,2,0),IFERROR(VLOOKUP(D1444,Parameter!$A$35:$C$64,2,0),"Nein"))</f>
        <v>1</v>
      </c>
      <c r="CA1444" s="52" t="n">
        <f aca="false">IF(BW1444=0,0,IF(N(S1444)&gt;0,S1444,IFERROR(VLOOKUP(D1444,Parameter!$A$35:$C$64,3,0)+0,0)))</f>
        <v>0</v>
      </c>
      <c r="CB1444" s="48" t="n">
        <f aca="false">IF(AA1444&lt;&gt;"",AA1444,Z1444)</f>
        <v>1</v>
      </c>
      <c r="CC1444" s="48" t="str">
        <f aca="false">IF(OR(CB1444=1,CB1444=2,CB1444=3),IF(Parameter!$E$27="Ja","LIFT",IF(CB1444=1,"L1","L23")),IF(CB1444="Aussen","Aussen","-"))</f>
        <v>LIFT</v>
      </c>
      <c r="CD1444" s="59" t="n">
        <f aca="false">IF(N(AB1444)&gt;0,AB1444,0)</f>
        <v>0</v>
      </c>
      <c r="CE1444" s="53" t="n">
        <f aca="false">IF(ISNUMBER(AE1444),1,0)</f>
        <v>0</v>
      </c>
      <c r="CF1444" s="50" t="n">
        <f aca="false">N(AE1444)</f>
        <v>0</v>
      </c>
      <c r="CG1444" s="50" t="n">
        <f aca="false">N(M1444)+N(N1444)</f>
        <v>27</v>
      </c>
      <c r="CH1444" s="50" t="n">
        <f aca="false">ROUNDUP(H1444/BV1444,0)</f>
        <v>0</v>
      </c>
      <c r="CI1444" s="50" t="n">
        <f aca="false">ROUNDUP(CF1444/BV1444,0)</f>
        <v>0</v>
      </c>
      <c r="CJ1444" s="53" t="n">
        <f aca="false">IF(BW1444=1,0,IFERROR(VLOOKUP(BU1444,'Gebinde-Kategorie'!$A$5:$N$45,5,0)+0,0))</f>
        <v>20</v>
      </c>
      <c r="CK1444" s="53" t="n">
        <f aca="false">IFERROR(IF(OR(CB1444=1,CB1444=2,CB1444=3),N(INDEX(Parameter!$I$5:$I$7,CB1444)),0),0)</f>
        <v>0</v>
      </c>
      <c r="CL1444" s="52" t="n">
        <f aca="false">IF(AND(Parameter!$B$21="Ja",ISNUMBER(W1444),N(X1444)&gt;0),IFERROR(N(INDEX(Parameter!$L$5:$L$7,W1444))*INDEX(Parameter!$E$5:$E$7,W1444)*X1444/SUMIFS($X$7:$X$1843,$W$7:$W$1843,W1444),0),0)</f>
        <v>0</v>
      </c>
    </row>
    <row r="1445" customFormat="false" ht="15" hidden="false" customHeight="false" outlineLevel="0" collapsed="false">
      <c r="A1445" s="48" t="s">
        <v>2535</v>
      </c>
      <c r="B1445" s="48" t="s">
        <v>2536</v>
      </c>
      <c r="C1445" s="48" t="s">
        <v>460</v>
      </c>
      <c r="D1445" s="48" t="s">
        <v>177</v>
      </c>
      <c r="E1445" s="48" t="s">
        <v>177</v>
      </c>
      <c r="F1445" s="48"/>
      <c r="G1445" s="49" t="n">
        <v>3326.28</v>
      </c>
      <c r="H1445" s="50" t="n">
        <f aca="false">MAX(0,IF(AND(Parameter!$B$21="Ja",ISNUMBER(Y1445)),Y1445,IF(Parameter!$B$20="Jahresanfang 2025 + Export",BO1445+BN1445,BN1445)))</f>
        <v>0</v>
      </c>
      <c r="I1445" s="50" t="n">
        <f aca="false">H1445*G1445</f>
        <v>0</v>
      </c>
      <c r="J1445" s="50" t="n">
        <f aca="false">BQ1445*Parameter!$B$18</f>
        <v>0</v>
      </c>
      <c r="K1445" s="51"/>
      <c r="L1445" s="52"/>
      <c r="M1445" s="50" t="n">
        <v>0</v>
      </c>
      <c r="N1445" s="50" t="n">
        <v>1</v>
      </c>
      <c r="O1445" s="53"/>
      <c r="P1445" s="48" t="s">
        <v>172</v>
      </c>
      <c r="Q1445" s="50"/>
      <c r="R1445" s="53" t="n">
        <f aca="false">IF(BW1445=1,0,IFERROR(VLOOKUP(BU1445,'Gebinde-Kategorie'!$A$5:$N$45,13,0)+0,0))</f>
        <v>12</v>
      </c>
      <c r="S1445" s="54"/>
      <c r="T1445" s="55" t="s">
        <v>183</v>
      </c>
      <c r="U1445" s="55"/>
      <c r="V1445" s="55"/>
      <c r="W1445" s="48"/>
      <c r="X1445" s="50"/>
      <c r="Y1445" s="50"/>
      <c r="Z1445" s="48" t="str">
        <f aca="false">IF(A1445="","",IF(AND(Parameter!$B$21="Ja",ISNUMBER(W1445)),W1445,IF(BZ1445="2+3",IF(ISNUMBER(SEARCH("grosser Artikel",BR1445)),2,IFERROR(VLOOKUP(BU1445,Parameter!$F$35:$G$64,2,0),2)),IF(OR(BZ1445="Nein",BZ1445=""),"-",BZ1445))))</f>
        <v>-</v>
      </c>
      <c r="AA1445" s="55"/>
      <c r="AB1445" s="56"/>
      <c r="AC1445" s="50" t="n">
        <f aca="false">AT1445</f>
        <v>4</v>
      </c>
      <c r="AD1445" s="50" t="n">
        <f aca="false">MAX(AT1445,H1445)</f>
        <v>4</v>
      </c>
      <c r="AE1445" s="57"/>
      <c r="AF1445" s="50" t="n">
        <f aca="false">IF(LEFT(Cockpit!$C$5,1)="A",H1445,IF(CE1445=1,CF1445,IF(LEFT(Cockpit!$C$5,1)="B",AK1445,MAX(AK1445,H1445))))</f>
        <v>0</v>
      </c>
      <c r="AG1445" s="50" t="n">
        <f aca="false">IF(BW1445=1,0,ROUNDUP(AF1445/BV1445,0))</f>
        <v>0</v>
      </c>
      <c r="AH1445" s="52" t="n">
        <f aca="false">IF(CL1445&gt;0,CL1445*MAX(1,AF1445/X1445),IF(BW1445=1,IF(AF1445&lt;=0,0,CA1445*MAX(1,IF(H1445&gt;0,AF1445/H1445,1))),IF(R1445&gt;0,AG1445/R1445,0))/MAX(0.1,N(Parameter!$M$21)))</f>
        <v>0</v>
      </c>
      <c r="AI1445" s="50" t="n">
        <f aca="false">AH1445*BY1445</f>
        <v>0</v>
      </c>
      <c r="AJ1445" s="50" t="n">
        <f aca="false">AF1445*G1445</f>
        <v>0</v>
      </c>
      <c r="AK1445" s="50" t="n">
        <f aca="false">ROUNDUP(MAX(J1445/IF(CD1445&gt;0,CD1445,MAX(0.1,N(Cockpit!$C$6))),CG1445)/BV1445,0)*BV1445</f>
        <v>4</v>
      </c>
      <c r="AL1445" s="51" t="n">
        <f aca="false">IF(AI1445&gt;0,J1445/AI1445,-1)</f>
        <v>-1</v>
      </c>
      <c r="AM1445" s="51" t="str">
        <f aca="false">IF(AND(OR(CC1445="L1",CC1445="L23",CC1445="LIFT"),AI1445&gt;0),SUMIFS($AI$7:$AI$1843,$CC$7:$CC$1843,CC1445,$AL$7:$AL$1843,"&gt;"&amp;AL1445)+SUMIFS($AI$7:$AI$1843,$CC$7:$CC$1843,CC1445,$AL$7:$AL$1843,AL1445,$BT$7:$BT$1843,"&lt;="&amp;BT1445),"")</f>
        <v/>
      </c>
      <c r="AN1445" s="58" t="n">
        <f aca="false">IF(AM1445="",0,MAX(0,MIN(1,(IF(CC1445="L1",Parameter!$H$5,IF(CC1445="L23",Parameter!$H$6+Parameter!$H$7,Parameter!$H$5+Parameter!$H$6+Parameter!$H$7))-(AM1445-AI1445))/AI1445)))</f>
        <v>0</v>
      </c>
      <c r="AO1445" s="50" t="n">
        <f aca="false">IF(LEFT(Cockpit!$I$5,1)="A",H1445,IF(CE1445=1,CF1445,IF(LEFT(Cockpit!$I$5,1)="B",AT1445,MAX(AT1445,H1445))))</f>
        <v>4</v>
      </c>
      <c r="AP1445" s="50" t="n">
        <f aca="false">IF(BW1445=1,0,ROUNDUP(AO1445/BV1445,0))</f>
        <v>1</v>
      </c>
      <c r="AQ1445" s="52" t="n">
        <f aca="false">IF(CL1445&gt;0,CL1445*MAX(1,AO1445/X1445),IF(BW1445=1,IF(AO1445&lt;=0,0,CA1445*MAX(1,IF(H1445&gt;0,AO1445/H1445,1))),IF(R1445&gt;0,AP1445/R1445,0))/MAX(0.1,N(Parameter!$M$21)))</f>
        <v>0.0833333333333333</v>
      </c>
      <c r="AR1445" s="50" t="n">
        <f aca="false">AQ1445*BY1445</f>
        <v>12.0833333333333</v>
      </c>
      <c r="AS1445" s="50" t="n">
        <f aca="false">AO1445*G1445</f>
        <v>13305.12</v>
      </c>
      <c r="AT1445" s="50" t="n">
        <f aca="false">ROUNDUP(MAX(J1445/IF(CD1445&gt;0,CD1445,MAX(0.1,N(Cockpit!$I$6))),CG1445)/BV1445,0)*BV1445</f>
        <v>4</v>
      </c>
      <c r="AU1445" s="51" t="n">
        <f aca="false">IF(AR1445&gt;0,J1445/AR1445,-1)</f>
        <v>0</v>
      </c>
      <c r="AV1445" s="51" t="str">
        <f aca="false">IF(AND(OR(CC1445="L1",CC1445="L23",CC1445="LIFT"),AR1445&gt;0),SUMIFS($AR$7:$AR$1843,$CC$7:$CC$1843,CC1445,$AU$7:$AU$1843,"&gt;"&amp;AU1445)+SUMIFS($AR$7:$AR$1843,$CC$7:$CC$1843,CC1445,$AU$7:$AU$1843,AU1445,$BT$7:$BT$1843,"&lt;="&amp;BT1445),"")</f>
        <v/>
      </c>
      <c r="AW1445" s="58" t="n">
        <f aca="false">IF(AV1445="",0,MAX(0,MIN(1,(IF(CC1445="L1",Parameter!$H$5,IF(CC1445="L23",Parameter!$H$6+Parameter!$H$7,Parameter!$H$5+Parameter!$H$6+Parameter!$H$7))-(AV1445-AR1445))/AR1445)))</f>
        <v>0</v>
      </c>
      <c r="AX1445" s="50" t="n">
        <f aca="false">IF(LEFT(Cockpit!$O$5,1)="A",H1445,IF(CE1445=1,CF1445,IF(LEFT(Cockpit!$O$5,1)="B",BC1445,MAX(BC1445,H1445))))</f>
        <v>4</v>
      </c>
      <c r="AY1445" s="50" t="n">
        <f aca="false">IF(BW1445=1,0,ROUNDUP(AX1445/BV1445,0))</f>
        <v>1</v>
      </c>
      <c r="AZ1445" s="52" t="n">
        <f aca="false">IF(CL1445&gt;0,CL1445*MAX(1,AX1445/X1445),IF(BW1445=1,IF(AX1445&lt;=0,0,CA1445*MAX(1,IF(H1445&gt;0,AX1445/H1445,1))),IF(R1445&gt;0,AY1445/R1445,0))/MAX(0.1,N(Parameter!$M$21)))</f>
        <v>0.0833333333333333</v>
      </c>
      <c r="BA1445" s="50" t="n">
        <f aca="false">AZ1445*BY1445</f>
        <v>12.0833333333333</v>
      </c>
      <c r="BB1445" s="50" t="n">
        <f aca="false">AX1445*G1445</f>
        <v>13305.12</v>
      </c>
      <c r="BC1445" s="50" t="n">
        <f aca="false">ROUNDUP(MAX(J1445/IF(CD1445&gt;0,CD1445,MAX(0.1,N(Cockpit!$O$6))),CG1445)/BV1445,0)*BV1445</f>
        <v>4</v>
      </c>
      <c r="BD1445" s="51" t="n">
        <f aca="false">IF(BA1445&gt;0,J1445/BA1445,-1)</f>
        <v>0</v>
      </c>
      <c r="BE1445" s="51" t="str">
        <f aca="false">IF(AND(OR(CC1445="L1",CC1445="L23",CC1445="LIFT"),BA1445&gt;0),SUMIFS($BA$7:$BA$1843,$CC$7:$CC$1843,CC1445,$BD$7:$BD$1843,"&gt;"&amp;BD1445)+SUMIFS($BA$7:$BA$1843,$CC$7:$CC$1843,CC1445,$BD$7:$BD$1843,BD1445,$BT$7:$BT$1843,"&lt;="&amp;BT1445),"")</f>
        <v/>
      </c>
      <c r="BF1445" s="58" t="n">
        <f aca="false">IF(BE1445="",0,MAX(0,MIN(1,(IF(CC1445="L1",Parameter!$H$5,IF(CC1445="L23",Parameter!$H$6+Parameter!$H$7,Parameter!$H$5+Parameter!$H$6+Parameter!$H$7))-(BE1445-BA1445))/BA1445)))</f>
        <v>0</v>
      </c>
      <c r="BG1445" s="48" t="str">
        <f aca="false">IF(AI1445&lt;=0,"",IF(CC1445="Aussen","Aussenlager",IF(CC1445="-","Nicht im Lift",IF(AN1445&gt;=1,"Lift",IF(AN1445&lt;=0,"Aussenlager","teilweise")))))</f>
        <v/>
      </c>
      <c r="BH1445" s="48" t="str">
        <f aca="false">IF(AR1445&lt;=0,"",IF(CC1445="Aussen","Aussenlager",IF(CC1445="-","Nicht im Lift",IF(AW1445&gt;=1,"Lift",IF(AW1445&lt;=0,"Aussenlager","teilweise")))))</f>
        <v>Nicht im Lift</v>
      </c>
      <c r="BI1445" s="48" t="str">
        <f aca="false">IF(BA1445&lt;=0,"",IF(CC1445="Aussen","Aussenlager",IF(CC1445="-","Nicht im Lift",IF(BF1445&gt;=1,"Lift",IF(BF1445&lt;=0,"Aussenlager","teilweise")))))</f>
        <v>Nicht im Lift</v>
      </c>
      <c r="BJ1445" s="48" t="str">
        <f aca="false">IF(A1445="","",IF(BS1445=1,"Neu; ","")&amp;IF(AND(BS1445=0,BN1445&lt;0),"negativer Bestand (Export "&amp;BN1445&amp;"); ","")&amp;IF(J1445&lt;=0,"Kein Verbrauch; ","")&amp;IF(CL1445&gt;0,"Lift "&amp;W1445&amp;" lt. Liftbericht (Fach "&amp;X1445&amp;" Stk); ",IF(BX1445=1,"Gebinde geschätzt ("&amp;T1445&amp;"); ",IF(BW1445=1,"Lose – Tablare geschätzt; ","")))&amp;IF(H1445&gt;AT1445,"Überbestand "&amp;ROUND(H1445-AT1445,0)&amp;" Stk / CHF "&amp;ROUND((H1445-AT1445)*G1445,0)&amp;"; ","")&amp;IF(AND(CE1445=1,CF1445&lt;CG1445),"MAX &lt; MB+LG; ","")&amp;IF(AND(CK1445&gt;0,CJ1445*10&gt;CK1445),"zu hoch für Tablar; ","")&amp;IF(AND(BS1445=0,OR(CE1445=1,AA1445&lt;&gt;"",U1445&lt;&gt;"",V1445&lt;&gt;"",AB1445&lt;&gt;"")),"manuell übersteuert; ","")&amp;IF(AND(BW1445=0,R1445=0),"Gebinde unbekannt / Stellmass fehlt; ","")&amp;IF(AND(BW1445=0,N(V1445)&lt;=0,N(Q1445)&lt;=0),"Menge pro Gebinde fehlt (Ist = 1 Gebinde); ","")&amp;BR1445)</f>
        <v>negativer Bestand (Export -3); Kein Verbrauch; Gebinde geschätzt (Mittel); Menge pro Gebinde fehlt (Ist = 1 Gebinde); </v>
      </c>
      <c r="BK1445" s="48"/>
      <c r="BL1445" s="48"/>
      <c r="BM1445" s="55"/>
      <c r="BN1445" s="50" t="n">
        <v>-3</v>
      </c>
      <c r="BO1445" s="50" t="n">
        <v>0</v>
      </c>
      <c r="BP1445" s="49" t="n">
        <v>-9978.84</v>
      </c>
      <c r="BQ1445" s="50" t="n">
        <v>0</v>
      </c>
      <c r="BR1445" s="48"/>
      <c r="BS1445" s="53" t="n">
        <v>0</v>
      </c>
      <c r="BT1445" s="53" t="n">
        <v>1445</v>
      </c>
      <c r="BU1445" s="48" t="str">
        <f aca="false">IF(U1445&lt;&gt;"",UPPER(TRIM(U1445)),IF(BX1445=1,UPPER(VLOOKUP(T1445,Parameter!$I$27:$K$29,2,0)),IF(P1445="","LOSE",P1445)))</f>
        <v>S61</v>
      </c>
      <c r="BV1445" s="50" t="n">
        <f aca="false">IF(BU1445="LOSE",1,IF(N(V1445)&gt;0,V1445,IF(BX1445=1,MAX(1,N(VLOOKUP(T1445,Parameter!$I$27:$K$29,3,0)),H1445,N(N1445)),IF(N(Q1445)&gt;0,Q1445,MAX(1,H1445)))))</f>
        <v>4</v>
      </c>
      <c r="BW1445" s="53" t="n">
        <f aca="false">IF(BU1445="LOSE",1,0)</f>
        <v>0</v>
      </c>
      <c r="BX1445" s="53" t="n">
        <f aca="false">IF(AND(U1445="",OR(P1445="",P1445="LOSE"),T1445&lt;&gt;"",N(S1445)&lt;=0,ISNUMBER(MATCH(T1445,Parameter!$I$27:$I$29,0))),1,0)</f>
        <v>1</v>
      </c>
      <c r="BY1445" s="53" t="n">
        <f aca="false">IF(CL1445&gt;0,INDEX(Parameter!$H$5:$H$7,W1445)/INDEX(Parameter!$E$5:$E$7,W1445),IF(AND(BW1445=0,N(IFERROR(VLOOKUP(BU1445,'Gebinde-Kategorie'!$A$5:$N$45,14,0),0))&gt;0),VLOOKUP(BU1445,'Gebinde-Kategorie'!$A$5:$N$45,14,0)*10+Parameter!$M$23,Parameter!$M$24))</f>
        <v>145</v>
      </c>
      <c r="BZ1445" s="48" t="str">
        <f aca="false">IF(AND(Parameter!$B$19="Ja",E1445&lt;&gt;"",ISNUMBER(MATCH(E1445,Parameter!$I$35:$I$52,0))),VLOOKUP(E1445,Parameter!$I$35:$J$52,2,0),IFERROR(VLOOKUP(D1445,Parameter!$A$35:$C$64,2,0),"Nein"))</f>
        <v>Nein</v>
      </c>
      <c r="CA1445" s="52" t="n">
        <f aca="false">IF(BW1445=0,0,IF(N(S1445)&gt;0,S1445,IFERROR(VLOOKUP(D1445,Parameter!$A$35:$C$64,3,0)+0,0)))</f>
        <v>0</v>
      </c>
      <c r="CB1445" s="48" t="str">
        <f aca="false">IF(AA1445&lt;&gt;"",AA1445,Z1445)</f>
        <v>-</v>
      </c>
      <c r="CC1445" s="48" t="str">
        <f aca="false">IF(OR(CB1445=1,CB1445=2,CB1445=3),IF(Parameter!$E$27="Ja","LIFT",IF(CB1445=1,"L1","L23")),IF(CB1445="Aussen","Aussen","-"))</f>
        <v>-</v>
      </c>
      <c r="CD1445" s="59" t="n">
        <f aca="false">IF(N(AB1445)&gt;0,AB1445,0)</f>
        <v>0</v>
      </c>
      <c r="CE1445" s="53" t="n">
        <f aca="false">IF(ISNUMBER(AE1445),1,0)</f>
        <v>0</v>
      </c>
      <c r="CF1445" s="50" t="n">
        <f aca="false">N(AE1445)</f>
        <v>0</v>
      </c>
      <c r="CG1445" s="50" t="n">
        <f aca="false">N(M1445)+N(N1445)</f>
        <v>1</v>
      </c>
      <c r="CH1445" s="50" t="n">
        <f aca="false">ROUNDUP(H1445/BV1445,0)</f>
        <v>0</v>
      </c>
      <c r="CI1445" s="50" t="n">
        <f aca="false">ROUNDUP(CF1445/BV1445,0)</f>
        <v>0</v>
      </c>
      <c r="CJ1445" s="53" t="n">
        <f aca="false">IF(BW1445=1,0,IFERROR(VLOOKUP(BU1445,'Gebinde-Kategorie'!$A$5:$N$45,5,0)+0,0))</f>
        <v>11</v>
      </c>
      <c r="CK1445" s="53" t="n">
        <f aca="false">IFERROR(IF(OR(CB1445=1,CB1445=2,CB1445=3),N(INDEX(Parameter!$I$5:$I$7,CB1445)),0),0)</f>
        <v>0</v>
      </c>
      <c r="CL1445" s="52" t="n">
        <f aca="false">IF(AND(Parameter!$B$21="Ja",ISNUMBER(W1445),N(X1445)&gt;0),IFERROR(N(INDEX(Parameter!$L$5:$L$7,W1445))*INDEX(Parameter!$E$5:$E$7,W1445)*X1445/SUMIFS($X$7:$X$1843,$W$7:$W$1843,W1445),0),0)</f>
        <v>0</v>
      </c>
    </row>
    <row r="1446" customFormat="false" ht="15" hidden="false" customHeight="false" outlineLevel="0" collapsed="false">
      <c r="A1446" s="48" t="s">
        <v>2537</v>
      </c>
      <c r="B1446" s="48" t="s">
        <v>429</v>
      </c>
      <c r="C1446" s="48" t="s">
        <v>168</v>
      </c>
      <c r="D1446" s="48" t="s">
        <v>188</v>
      </c>
      <c r="E1446" s="48"/>
      <c r="F1446" s="48"/>
      <c r="G1446" s="49" t="n">
        <v>52.49</v>
      </c>
      <c r="H1446" s="50" t="n">
        <f aca="false">MAX(0,IF(AND(Parameter!$B$21="Ja",ISNUMBER(Y1446)),Y1446,IF(Parameter!$B$20="Jahresanfang 2025 + Export",BO1446+BN1446,BN1446)))</f>
        <v>0</v>
      </c>
      <c r="I1446" s="50" t="n">
        <f aca="false">H1446*G1446</f>
        <v>0</v>
      </c>
      <c r="J1446" s="50" t="n">
        <f aca="false">BQ1446*Parameter!$B$18</f>
        <v>859</v>
      </c>
      <c r="K1446" s="51"/>
      <c r="L1446" s="52"/>
      <c r="M1446" s="50" t="n">
        <v>50</v>
      </c>
      <c r="N1446" s="50" t="n">
        <v>100</v>
      </c>
      <c r="O1446" s="53"/>
      <c r="P1446" s="48" t="s">
        <v>297</v>
      </c>
      <c r="Q1446" s="50" t="n">
        <v>430</v>
      </c>
      <c r="R1446" s="53" t="n">
        <f aca="false">IF(BW1446=1,0,IFERROR(VLOOKUP(BU1446,'Gebinde-Kategorie'!$A$5:$N$45,13,0)+0,0))</f>
        <v>12</v>
      </c>
      <c r="S1446" s="54"/>
      <c r="T1446" s="55"/>
      <c r="U1446" s="55"/>
      <c r="V1446" s="55"/>
      <c r="W1446" s="48"/>
      <c r="X1446" s="50"/>
      <c r="Y1446" s="50"/>
      <c r="Z1446" s="48" t="n">
        <f aca="false">IF(A1446="","",IF(AND(Parameter!$B$21="Ja",ISNUMBER(W1446)),W1446,IF(BZ1446="2+3",IF(ISNUMBER(SEARCH("grosser Artikel",BR1446)),2,IFERROR(VLOOKUP(BU1446,Parameter!$F$35:$G$64,2,0),2)),IF(OR(BZ1446="Nein",BZ1446=""),"-",BZ1446))))</f>
        <v>2</v>
      </c>
      <c r="AA1446" s="55"/>
      <c r="AB1446" s="56"/>
      <c r="AC1446" s="50" t="n">
        <f aca="false">AT1446</f>
        <v>430</v>
      </c>
      <c r="AD1446" s="50" t="n">
        <f aca="false">MAX(AT1446,H1446)</f>
        <v>430</v>
      </c>
      <c r="AE1446" s="57"/>
      <c r="AF1446" s="50" t="n">
        <f aca="false">IF(LEFT(Cockpit!$C$5,1)="A",H1446,IF(CE1446=1,CF1446,IF(LEFT(Cockpit!$C$5,1)="B",AK1446,MAX(AK1446,H1446))))</f>
        <v>0</v>
      </c>
      <c r="AG1446" s="50" t="n">
        <f aca="false">IF(BW1446=1,0,ROUNDUP(AF1446/BV1446,0))</f>
        <v>0</v>
      </c>
      <c r="AH1446" s="52" t="n">
        <f aca="false">IF(CL1446&gt;0,CL1446*MAX(1,AF1446/X1446),IF(BW1446=1,IF(AF1446&lt;=0,0,CA1446*MAX(1,IF(H1446&gt;0,AF1446/H1446,1))),IF(R1446&gt;0,AG1446/R1446,0))/MAX(0.1,N(Parameter!$M$21)))</f>
        <v>0</v>
      </c>
      <c r="AI1446" s="50" t="n">
        <f aca="false">AH1446*BY1446</f>
        <v>0</v>
      </c>
      <c r="AJ1446" s="50" t="n">
        <f aca="false">AF1446*G1446</f>
        <v>0</v>
      </c>
      <c r="AK1446" s="50" t="n">
        <f aca="false">ROUNDUP(MAX(J1446/IF(CD1446&gt;0,CD1446,MAX(0.1,N(Cockpit!$C$6))),CG1446)/BV1446,0)*BV1446</f>
        <v>430</v>
      </c>
      <c r="AL1446" s="51" t="n">
        <f aca="false">IF(AI1446&gt;0,J1446/AI1446,-1)</f>
        <v>-1</v>
      </c>
      <c r="AM1446" s="51" t="str">
        <f aca="false">IF(AND(OR(CC1446="L1",CC1446="L23",CC1446="LIFT"),AI1446&gt;0),SUMIFS($AI$7:$AI$1843,$CC$7:$CC$1843,CC1446,$AL$7:$AL$1843,"&gt;"&amp;AL1446)+SUMIFS($AI$7:$AI$1843,$CC$7:$CC$1843,CC1446,$AL$7:$AL$1843,AL1446,$BT$7:$BT$1843,"&lt;="&amp;BT1446),"")</f>
        <v/>
      </c>
      <c r="AN1446" s="58" t="n">
        <f aca="false">IF(AM1446="",0,MAX(0,MIN(1,(IF(CC1446="L1",Parameter!$H$5,IF(CC1446="L23",Parameter!$H$6+Parameter!$H$7,Parameter!$H$5+Parameter!$H$6+Parameter!$H$7))-(AM1446-AI1446))/AI1446)))</f>
        <v>0</v>
      </c>
      <c r="AO1446" s="50" t="n">
        <f aca="false">IF(LEFT(Cockpit!$I$5,1)="A",H1446,IF(CE1446=1,CF1446,IF(LEFT(Cockpit!$I$5,1)="B",AT1446,MAX(AT1446,H1446))))</f>
        <v>430</v>
      </c>
      <c r="AP1446" s="50" t="n">
        <f aca="false">IF(BW1446=1,0,ROUNDUP(AO1446/BV1446,0))</f>
        <v>1</v>
      </c>
      <c r="AQ1446" s="52" t="n">
        <f aca="false">IF(CL1446&gt;0,CL1446*MAX(1,AO1446/X1446),IF(BW1446=1,IF(AO1446&lt;=0,0,CA1446*MAX(1,IF(H1446&gt;0,AO1446/H1446,1))),IF(R1446&gt;0,AP1446/R1446,0))/MAX(0.1,N(Parameter!$M$21)))</f>
        <v>0.0833333333333333</v>
      </c>
      <c r="AR1446" s="50" t="n">
        <f aca="false">AQ1446*BY1446</f>
        <v>20.4166666666667</v>
      </c>
      <c r="AS1446" s="50" t="n">
        <f aca="false">AO1446*G1446</f>
        <v>22570.7</v>
      </c>
      <c r="AT1446" s="50" t="n">
        <f aca="false">ROUNDUP(MAX(J1446/IF(CD1446&gt;0,CD1446,MAX(0.1,N(Cockpit!$I$6))),CG1446)/BV1446,0)*BV1446</f>
        <v>430</v>
      </c>
      <c r="AU1446" s="51" t="n">
        <f aca="false">IF(AR1446&gt;0,J1446/AR1446,-1)</f>
        <v>42.0734693877551</v>
      </c>
      <c r="AV1446" s="51" t="n">
        <f aca="false">IF(AND(OR(CC1446="L1",CC1446="L23",CC1446="LIFT"),AR1446&gt;0),SUMIFS($AR$7:$AR$1843,$CC$7:$CC$1843,CC1446,$AU$7:$AU$1843,"&gt;"&amp;AU1446)+SUMIFS($AR$7:$AR$1843,$CC$7:$CC$1843,CC1446,$AU$7:$AU$1843,AU1446,$BT$7:$BT$1843,"&lt;="&amp;BT1446),"")</f>
        <v>1691.0260989011</v>
      </c>
      <c r="AW1446" s="58" t="n">
        <f aca="false">IF(AV1446="",0,MAX(0,MIN(1,(IF(CC1446="L1",Parameter!$H$5,IF(CC1446="L23",Parameter!$H$6+Parameter!$H$7,Parameter!$H$5+Parameter!$H$6+Parameter!$H$7))-(AV1446-AR1446))/AR1446)))</f>
        <v>1</v>
      </c>
      <c r="AX1446" s="50" t="n">
        <f aca="false">IF(LEFT(Cockpit!$O$5,1)="A",H1446,IF(CE1446=1,CF1446,IF(LEFT(Cockpit!$O$5,1)="B",BC1446,MAX(BC1446,H1446))))</f>
        <v>430</v>
      </c>
      <c r="AY1446" s="50" t="n">
        <f aca="false">IF(BW1446=1,0,ROUNDUP(AX1446/BV1446,0))</f>
        <v>1</v>
      </c>
      <c r="AZ1446" s="52" t="n">
        <f aca="false">IF(CL1446&gt;0,CL1446*MAX(1,AX1446/X1446),IF(BW1446=1,IF(AX1446&lt;=0,0,CA1446*MAX(1,IF(H1446&gt;0,AX1446/H1446,1))),IF(R1446&gt;0,AY1446/R1446,0))/MAX(0.1,N(Parameter!$M$21)))</f>
        <v>0.0833333333333333</v>
      </c>
      <c r="BA1446" s="50" t="n">
        <f aca="false">AZ1446*BY1446</f>
        <v>20.4166666666667</v>
      </c>
      <c r="BB1446" s="50" t="n">
        <f aca="false">AX1446*G1446</f>
        <v>22570.7</v>
      </c>
      <c r="BC1446" s="50" t="n">
        <f aca="false">ROUNDUP(MAX(J1446/IF(CD1446&gt;0,CD1446,MAX(0.1,N(Cockpit!$O$6))),CG1446)/BV1446,0)*BV1446</f>
        <v>430</v>
      </c>
      <c r="BD1446" s="51" t="n">
        <f aca="false">IF(BA1446&gt;0,J1446/BA1446,-1)</f>
        <v>42.0734693877551</v>
      </c>
      <c r="BE1446" s="51" t="n">
        <f aca="false">IF(AND(OR(CC1446="L1",CC1446="L23",CC1446="LIFT"),BA1446&gt;0),SUMIFS($BA$7:$BA$1843,$CC$7:$CC$1843,CC1446,$BD$7:$BD$1843,"&gt;"&amp;BD1446)+SUMIFS($BA$7:$BA$1843,$CC$7:$CC$1843,CC1446,$BD$7:$BD$1843,BD1446,$BT$7:$BT$1843,"&lt;="&amp;BT1446),"")</f>
        <v>1555.94597069597</v>
      </c>
      <c r="BF1446" s="58" t="n">
        <f aca="false">IF(BE1446="",0,MAX(0,MIN(1,(IF(CC1446="L1",Parameter!$H$5,IF(CC1446="L23",Parameter!$H$6+Parameter!$H$7,Parameter!$H$5+Parameter!$H$6+Parameter!$H$7))-(BE1446-BA1446))/BA1446)))</f>
        <v>1</v>
      </c>
      <c r="BG1446" s="48" t="str">
        <f aca="false">IF(AI1446&lt;=0,"",IF(CC1446="Aussen","Aussenlager",IF(CC1446="-","Nicht im Lift",IF(AN1446&gt;=1,"Lift",IF(AN1446&lt;=0,"Aussenlager","teilweise")))))</f>
        <v/>
      </c>
      <c r="BH1446" s="48" t="str">
        <f aca="false">IF(AR1446&lt;=0,"",IF(CC1446="Aussen","Aussenlager",IF(CC1446="-","Nicht im Lift",IF(AW1446&gt;=1,"Lift",IF(AW1446&lt;=0,"Aussenlager","teilweise")))))</f>
        <v>Lift</v>
      </c>
      <c r="BI1446" s="48" t="str">
        <f aca="false">IF(BA1446&lt;=0,"",IF(CC1446="Aussen","Aussenlager",IF(CC1446="-","Nicht im Lift",IF(BF1446&gt;=1,"Lift",IF(BF1446&lt;=0,"Aussenlager","teilweise")))))</f>
        <v>Lift</v>
      </c>
      <c r="BJ1446" s="48" t="str">
        <f aca="false">IF(A1446="","",IF(BS1446=1,"Neu; ","")&amp;IF(AND(BS1446=0,BN1446&lt;0),"negativer Bestand (Export "&amp;BN1446&amp;"); ","")&amp;IF(J1446&lt;=0,"Kein Verbrauch; ","")&amp;IF(CL1446&gt;0,"Lift "&amp;W1446&amp;" lt. Liftbericht (Fach "&amp;X1446&amp;" Stk); ",IF(BX1446=1,"Gebinde geschätzt ("&amp;T1446&amp;"); ",IF(BW1446=1,"Lose – Tablare geschätzt; ","")))&amp;IF(H1446&gt;AT1446,"Überbestand "&amp;ROUND(H1446-AT1446,0)&amp;" Stk / CHF "&amp;ROUND((H1446-AT1446)*G1446,0)&amp;"; ","")&amp;IF(AND(CE1446=1,CF1446&lt;CG1446),"MAX &lt; MB+LG; ","")&amp;IF(AND(CK1446&gt;0,CJ1446*10&gt;CK1446),"zu hoch für Tablar; ","")&amp;IF(AND(BS1446=0,OR(CE1446=1,AA1446&lt;&gt;"",U1446&lt;&gt;"",V1446&lt;&gt;"",AB1446&lt;&gt;"")),"manuell übersteuert; ","")&amp;IF(AND(BW1446=0,R1446=0),"Gebinde unbekannt / Stellmass fehlt; ","")&amp;IF(AND(BW1446=0,N(V1446)&lt;=0,N(Q1446)&lt;=0),"Menge pro Gebinde fehlt (Ist = 1 Gebinde); ","")&amp;BR1446)</f>
        <v>negativer Bestand (Export -228); Neuer Art.</v>
      </c>
      <c r="BK1446" s="48"/>
      <c r="BL1446" s="48"/>
      <c r="BM1446" s="55"/>
      <c r="BN1446" s="50" t="n">
        <v>-228</v>
      </c>
      <c r="BO1446" s="50" t="n">
        <v>0</v>
      </c>
      <c r="BP1446" s="49" t="n">
        <v>-10655.48</v>
      </c>
      <c r="BQ1446" s="50" t="n">
        <v>859</v>
      </c>
      <c r="BR1446" s="48" t="s">
        <v>516</v>
      </c>
      <c r="BS1446" s="53" t="n">
        <v>0</v>
      </c>
      <c r="BT1446" s="53" t="n">
        <v>1446</v>
      </c>
      <c r="BU1446" s="48" t="str">
        <f aca="false">IF(U1446&lt;&gt;"",UPPER(TRIM(U1446)),IF(BX1446=1,UPPER(VLOOKUP(T1446,Parameter!$I$27:$K$29,2,0)),IF(P1446="","LOSE",P1446)))</f>
        <v>S62</v>
      </c>
      <c r="BV1446" s="50" t="n">
        <f aca="false">IF(BU1446="LOSE",1,IF(N(V1446)&gt;0,V1446,IF(BX1446=1,MAX(1,N(VLOOKUP(T1446,Parameter!$I$27:$K$29,3,0)),H1446,N(N1446)),IF(N(Q1446)&gt;0,Q1446,MAX(1,H1446)))))</f>
        <v>430</v>
      </c>
      <c r="BW1446" s="53" t="n">
        <f aca="false">IF(BU1446="LOSE",1,0)</f>
        <v>0</v>
      </c>
      <c r="BX1446" s="53" t="n">
        <f aca="false">IF(AND(U1446="",OR(P1446="",P1446="LOSE"),T1446&lt;&gt;"",N(S1446)&lt;=0,ISNUMBER(MATCH(T1446,Parameter!$I$27:$I$29,0))),1,0)</f>
        <v>0</v>
      </c>
      <c r="BY1446" s="53" t="n">
        <f aca="false">IF(CL1446&gt;0,INDEX(Parameter!$H$5:$H$7,W1446)/INDEX(Parameter!$E$5:$E$7,W1446),IF(AND(BW1446=0,N(IFERROR(VLOOKUP(BU1446,'Gebinde-Kategorie'!$A$5:$N$45,14,0),0))&gt;0),VLOOKUP(BU1446,'Gebinde-Kategorie'!$A$5:$N$45,14,0)*10+Parameter!$M$23,Parameter!$M$24))</f>
        <v>245</v>
      </c>
      <c r="BZ1446" s="48" t="str">
        <f aca="false">IF(AND(Parameter!$B$19="Ja",E1446&lt;&gt;"",ISNUMBER(MATCH(E1446,Parameter!$I$35:$I$52,0))),VLOOKUP(E1446,Parameter!$I$35:$J$52,2,0),IFERROR(VLOOKUP(D1446,Parameter!$A$35:$C$64,2,0),"Nein"))</f>
        <v>2+3</v>
      </c>
      <c r="CA1446" s="52" t="n">
        <f aca="false">IF(BW1446=0,0,IF(N(S1446)&gt;0,S1446,IFERROR(VLOOKUP(D1446,Parameter!$A$35:$C$64,3,0)+0,0)))</f>
        <v>0</v>
      </c>
      <c r="CB1446" s="48" t="n">
        <f aca="false">IF(AA1446&lt;&gt;"",AA1446,Z1446)</f>
        <v>2</v>
      </c>
      <c r="CC1446" s="48" t="str">
        <f aca="false">IF(OR(CB1446=1,CB1446=2,CB1446=3),IF(Parameter!$E$27="Ja","LIFT",IF(CB1446=1,"L1","L23")),IF(CB1446="Aussen","Aussen","-"))</f>
        <v>LIFT</v>
      </c>
      <c r="CD1446" s="59" t="n">
        <f aca="false">IF(N(AB1446)&gt;0,AB1446,0)</f>
        <v>0</v>
      </c>
      <c r="CE1446" s="53" t="n">
        <f aca="false">IF(ISNUMBER(AE1446),1,0)</f>
        <v>0</v>
      </c>
      <c r="CF1446" s="50" t="n">
        <f aca="false">N(AE1446)</f>
        <v>0</v>
      </c>
      <c r="CG1446" s="50" t="n">
        <f aca="false">N(M1446)+N(N1446)</f>
        <v>150</v>
      </c>
      <c r="CH1446" s="50" t="n">
        <f aca="false">ROUNDUP(H1446/BV1446,0)</f>
        <v>0</v>
      </c>
      <c r="CI1446" s="50" t="n">
        <f aca="false">ROUNDUP(CF1446/BV1446,0)</f>
        <v>0</v>
      </c>
      <c r="CJ1446" s="53" t="n">
        <f aca="false">IF(BW1446=1,0,IFERROR(VLOOKUP(BU1446,'Gebinde-Kategorie'!$A$5:$N$45,5,0)+0,0))</f>
        <v>21</v>
      </c>
      <c r="CK1446" s="53" t="n">
        <f aca="false">IFERROR(IF(OR(CB1446=1,CB1446=2,CB1446=3),N(INDEX(Parameter!$I$5:$I$7,CB1446)),0),0)</f>
        <v>0</v>
      </c>
      <c r="CL1446" s="52" t="n">
        <f aca="false">IF(AND(Parameter!$B$21="Ja",ISNUMBER(W1446),N(X1446)&gt;0),IFERROR(N(INDEX(Parameter!$L$5:$L$7,W1446))*INDEX(Parameter!$E$5:$E$7,W1446)*X1446/SUMIFS($X$7:$X$1843,$W$7:$W$1843,W1446),0),0)</f>
        <v>0</v>
      </c>
    </row>
    <row r="1447" customFormat="false" ht="15" hidden="false" customHeight="false" outlineLevel="0" collapsed="false">
      <c r="A1447" s="48" t="s">
        <v>2538</v>
      </c>
      <c r="B1447" s="48" t="s">
        <v>2539</v>
      </c>
      <c r="C1447" s="48" t="s">
        <v>168</v>
      </c>
      <c r="D1447" s="48" t="s">
        <v>188</v>
      </c>
      <c r="E1447" s="48" t="s">
        <v>189</v>
      </c>
      <c r="F1447" s="48"/>
      <c r="G1447" s="49" t="n">
        <v>315</v>
      </c>
      <c r="H1447" s="50" t="n">
        <f aca="false">MAX(0,IF(AND(Parameter!$B$21="Ja",ISNUMBER(Y1447)),Y1447,IF(Parameter!$B$20="Jahresanfang 2025 + Export",BO1447+BN1447,BN1447)))</f>
        <v>0</v>
      </c>
      <c r="I1447" s="50" t="n">
        <f aca="false">H1447*G1447</f>
        <v>0</v>
      </c>
      <c r="J1447" s="50" t="n">
        <f aca="false">BQ1447*Parameter!$B$18</f>
        <v>37</v>
      </c>
      <c r="K1447" s="51"/>
      <c r="L1447" s="52"/>
      <c r="M1447" s="50" t="n">
        <v>5</v>
      </c>
      <c r="N1447" s="50" t="n">
        <v>1</v>
      </c>
      <c r="O1447" s="53"/>
      <c r="P1447" s="48" t="s">
        <v>237</v>
      </c>
      <c r="Q1447" s="50" t="n">
        <v>50</v>
      </c>
      <c r="R1447" s="53" t="n">
        <f aca="false">IF(BW1447=1,0,IFERROR(VLOOKUP(BU1447,'Gebinde-Kategorie'!$A$5:$N$45,13,0)+0,0))</f>
        <v>26</v>
      </c>
      <c r="S1447" s="54"/>
      <c r="T1447" s="55"/>
      <c r="U1447" s="55"/>
      <c r="V1447" s="55"/>
      <c r="W1447" s="48"/>
      <c r="X1447" s="50"/>
      <c r="Y1447" s="50"/>
      <c r="Z1447" s="48" t="n">
        <f aca="false">IF(A1447="","",IF(AND(Parameter!$B$21="Ja",ISNUMBER(W1447)),W1447,IF(BZ1447="2+3",IF(ISNUMBER(SEARCH("grosser Artikel",BR1447)),2,IFERROR(VLOOKUP(BU1447,Parameter!$F$35:$G$64,2,0),2)),IF(OR(BZ1447="Nein",BZ1447=""),"-",BZ1447))))</f>
        <v>3</v>
      </c>
      <c r="AA1447" s="55"/>
      <c r="AB1447" s="56"/>
      <c r="AC1447" s="50" t="n">
        <f aca="false">AT1447</f>
        <v>50</v>
      </c>
      <c r="AD1447" s="50" t="n">
        <f aca="false">MAX(AT1447,H1447)</f>
        <v>50</v>
      </c>
      <c r="AE1447" s="57"/>
      <c r="AF1447" s="50" t="n">
        <f aca="false">IF(LEFT(Cockpit!$C$5,1)="A",H1447,IF(CE1447=1,CF1447,IF(LEFT(Cockpit!$C$5,1)="B",AK1447,MAX(AK1447,H1447))))</f>
        <v>0</v>
      </c>
      <c r="AG1447" s="50" t="n">
        <f aca="false">IF(BW1447=1,0,ROUNDUP(AF1447/BV1447,0))</f>
        <v>0</v>
      </c>
      <c r="AH1447" s="52" t="n">
        <f aca="false">IF(CL1447&gt;0,CL1447*MAX(1,AF1447/X1447),IF(BW1447=1,IF(AF1447&lt;=0,0,CA1447*MAX(1,IF(H1447&gt;0,AF1447/H1447,1))),IF(R1447&gt;0,AG1447/R1447,0))/MAX(0.1,N(Parameter!$M$21)))</f>
        <v>0</v>
      </c>
      <c r="AI1447" s="50" t="n">
        <f aca="false">AH1447*BY1447</f>
        <v>0</v>
      </c>
      <c r="AJ1447" s="50" t="n">
        <f aca="false">AF1447*G1447</f>
        <v>0</v>
      </c>
      <c r="AK1447" s="50" t="n">
        <f aca="false">ROUNDUP(MAX(J1447/IF(CD1447&gt;0,CD1447,MAX(0.1,N(Cockpit!$C$6))),CG1447)/BV1447,0)*BV1447</f>
        <v>50</v>
      </c>
      <c r="AL1447" s="51" t="n">
        <f aca="false">IF(AI1447&gt;0,J1447/AI1447,-1)</f>
        <v>-1</v>
      </c>
      <c r="AM1447" s="51" t="str">
        <f aca="false">IF(AND(OR(CC1447="L1",CC1447="L23",CC1447="LIFT"),AI1447&gt;0),SUMIFS($AI$7:$AI$1843,$CC$7:$CC$1843,CC1447,$AL$7:$AL$1843,"&gt;"&amp;AL1447)+SUMIFS($AI$7:$AI$1843,$CC$7:$CC$1843,CC1447,$AL$7:$AL$1843,AL1447,$BT$7:$BT$1843,"&lt;="&amp;BT1447),"")</f>
        <v/>
      </c>
      <c r="AN1447" s="58" t="n">
        <f aca="false">IF(AM1447="",0,MAX(0,MIN(1,(IF(CC1447="L1",Parameter!$H$5,IF(CC1447="L23",Parameter!$H$6+Parameter!$H$7,Parameter!$H$5+Parameter!$H$6+Parameter!$H$7))-(AM1447-AI1447))/AI1447)))</f>
        <v>0</v>
      </c>
      <c r="AO1447" s="50" t="n">
        <f aca="false">IF(LEFT(Cockpit!$I$5,1)="A",H1447,IF(CE1447=1,CF1447,IF(LEFT(Cockpit!$I$5,1)="B",AT1447,MAX(AT1447,H1447))))</f>
        <v>50</v>
      </c>
      <c r="AP1447" s="50" t="n">
        <f aca="false">IF(BW1447=1,0,ROUNDUP(AO1447/BV1447,0))</f>
        <v>1</v>
      </c>
      <c r="AQ1447" s="52" t="n">
        <f aca="false">IF(CL1447&gt;0,CL1447*MAX(1,AO1447/X1447),IF(BW1447=1,IF(AO1447&lt;=0,0,CA1447*MAX(1,IF(H1447&gt;0,AO1447/H1447,1))),IF(R1447&gt;0,AP1447/R1447,0))/MAX(0.1,N(Parameter!$M$21)))</f>
        <v>0.0384615384615385</v>
      </c>
      <c r="AR1447" s="50" t="n">
        <f aca="false">AQ1447*BY1447</f>
        <v>9.42307692307692</v>
      </c>
      <c r="AS1447" s="50" t="n">
        <f aca="false">AO1447*G1447</f>
        <v>15750</v>
      </c>
      <c r="AT1447" s="50" t="n">
        <f aca="false">ROUNDUP(MAX(J1447/IF(CD1447&gt;0,CD1447,MAX(0.1,N(Cockpit!$I$6))),CG1447)/BV1447,0)*BV1447</f>
        <v>50</v>
      </c>
      <c r="AU1447" s="51" t="n">
        <f aca="false">IF(AR1447&gt;0,J1447/AR1447,-1)</f>
        <v>3.9265306122449</v>
      </c>
      <c r="AV1447" s="51" t="n">
        <f aca="false">IF(AND(OR(CC1447="L1",CC1447="L23",CC1447="LIFT"),AR1447&gt;0),SUMIFS($AR$7:$AR$1843,$CC$7:$CC$1843,CC1447,$AU$7:$AU$1843,"&gt;"&amp;AU1447)+SUMIFS($AR$7:$AR$1843,$CC$7:$CC$1843,CC1447,$AU$7:$AU$1843,AU1447,$BT$7:$BT$1843,"&lt;="&amp;BT1447),"")</f>
        <v>5736.14972527473</v>
      </c>
      <c r="AW1447" s="58" t="n">
        <f aca="false">IF(AV1447="",0,MAX(0,MIN(1,(IF(CC1447="L1",Parameter!$H$5,IF(CC1447="L23",Parameter!$H$6+Parameter!$H$7,Parameter!$H$5+Parameter!$H$6+Parameter!$H$7))-(AV1447-AR1447))/AR1447)))</f>
        <v>1</v>
      </c>
      <c r="AX1447" s="50" t="n">
        <f aca="false">IF(LEFT(Cockpit!$O$5,1)="A",H1447,IF(CE1447=1,CF1447,IF(LEFT(Cockpit!$O$5,1)="B",BC1447,MAX(BC1447,H1447))))</f>
        <v>50</v>
      </c>
      <c r="AY1447" s="50" t="n">
        <f aca="false">IF(BW1447=1,0,ROUNDUP(AX1447/BV1447,0))</f>
        <v>1</v>
      </c>
      <c r="AZ1447" s="52" t="n">
        <f aca="false">IF(CL1447&gt;0,CL1447*MAX(1,AX1447/X1447),IF(BW1447=1,IF(AX1447&lt;=0,0,CA1447*MAX(1,IF(H1447&gt;0,AX1447/H1447,1))),IF(R1447&gt;0,AY1447/R1447,0))/MAX(0.1,N(Parameter!$M$21)))</f>
        <v>0.0384615384615385</v>
      </c>
      <c r="BA1447" s="50" t="n">
        <f aca="false">AZ1447*BY1447</f>
        <v>9.42307692307692</v>
      </c>
      <c r="BB1447" s="50" t="n">
        <f aca="false">AX1447*G1447</f>
        <v>15750</v>
      </c>
      <c r="BC1447" s="50" t="n">
        <f aca="false">ROUNDUP(MAX(J1447/IF(CD1447&gt;0,CD1447,MAX(0.1,N(Cockpit!$O$6))),CG1447)/BV1447,0)*BV1447</f>
        <v>50</v>
      </c>
      <c r="BD1447" s="51" t="n">
        <f aca="false">IF(BA1447&gt;0,J1447/BA1447,-1)</f>
        <v>3.9265306122449</v>
      </c>
      <c r="BE1447" s="51" t="n">
        <f aca="false">IF(AND(OR(CC1447="L1",CC1447="L23",CC1447="LIFT"),BA1447&gt;0),SUMIFS($BA$7:$BA$1843,$CC$7:$CC$1843,CC1447,$BD$7:$BD$1843,"&gt;"&amp;BD1447)+SUMIFS($BA$7:$BA$1843,$CC$7:$CC$1843,CC1447,$BD$7:$BD$1843,BD1447,$BT$7:$BT$1843,"&lt;="&amp;BT1447),"")</f>
        <v>5384.85164835165</v>
      </c>
      <c r="BF1447" s="58" t="n">
        <f aca="false">IF(BE1447="",0,MAX(0,MIN(1,(IF(CC1447="L1",Parameter!$H$5,IF(CC1447="L23",Parameter!$H$6+Parameter!$H$7,Parameter!$H$5+Parameter!$H$6+Parameter!$H$7))-(BE1447-BA1447))/BA1447)))</f>
        <v>1</v>
      </c>
      <c r="BG1447" s="48" t="str">
        <f aca="false">IF(AI1447&lt;=0,"",IF(CC1447="Aussen","Aussenlager",IF(CC1447="-","Nicht im Lift",IF(AN1447&gt;=1,"Lift",IF(AN1447&lt;=0,"Aussenlager","teilweise")))))</f>
        <v/>
      </c>
      <c r="BH1447" s="48" t="str">
        <f aca="false">IF(AR1447&lt;=0,"",IF(CC1447="Aussen","Aussenlager",IF(CC1447="-","Nicht im Lift",IF(AW1447&gt;=1,"Lift",IF(AW1447&lt;=0,"Aussenlager","teilweise")))))</f>
        <v>Lift</v>
      </c>
      <c r="BI1447" s="48" t="str">
        <f aca="false">IF(BA1447&lt;=0,"",IF(CC1447="Aussen","Aussenlager",IF(CC1447="-","Nicht im Lift",IF(BF1447&gt;=1,"Lift",IF(BF1447&lt;=0,"Aussenlager","teilweise")))))</f>
        <v>Lift</v>
      </c>
      <c r="BJ1447" s="48" t="str">
        <f aca="false">IF(A1447="","",IF(BS1447=1,"Neu; ","")&amp;IF(AND(BS1447=0,BN1447&lt;0),"negativer Bestand (Export "&amp;BN1447&amp;"); ","")&amp;IF(J1447&lt;=0,"Kein Verbrauch; ","")&amp;IF(CL1447&gt;0,"Lift "&amp;W1447&amp;" lt. Liftbericht (Fach "&amp;X1447&amp;" Stk); ",IF(BX1447=1,"Gebinde geschätzt ("&amp;T1447&amp;"); ",IF(BW1447=1,"Lose – Tablare geschätzt; ","")))&amp;IF(H1447&gt;AT1447,"Überbestand "&amp;ROUND(H1447-AT1447,0)&amp;" Stk / CHF "&amp;ROUND((H1447-AT1447)*G1447,0)&amp;"; ","")&amp;IF(AND(CE1447=1,CF1447&lt;CG1447),"MAX &lt; MB+LG; ","")&amp;IF(AND(CK1447&gt;0,CJ1447*10&gt;CK1447),"zu hoch für Tablar; ","")&amp;IF(AND(BS1447=0,OR(CE1447=1,AA1447&lt;&gt;"",U1447&lt;&gt;"",V1447&lt;&gt;"",AB1447&lt;&gt;"")),"manuell übersteuert; ","")&amp;IF(AND(BW1447=0,R1447=0),"Gebinde unbekannt / Stellmass fehlt; ","")&amp;IF(AND(BW1447=0,N(V1447)&lt;=0,N(Q1447)&lt;=0),"Menge pro Gebinde fehlt (Ist = 1 Gebinde); ","")&amp;BR1447)</f>
        <v>negativer Bestand (Export -37); </v>
      </c>
      <c r="BK1447" s="48"/>
      <c r="BL1447" s="48"/>
      <c r="BM1447" s="55"/>
      <c r="BN1447" s="50" t="n">
        <v>-37</v>
      </c>
      <c r="BO1447" s="50" t="n">
        <v>0</v>
      </c>
      <c r="BP1447" s="49" t="n">
        <v>-11655</v>
      </c>
      <c r="BQ1447" s="50" t="n">
        <v>37</v>
      </c>
      <c r="BR1447" s="48"/>
      <c r="BS1447" s="53" t="n">
        <v>0</v>
      </c>
      <c r="BT1447" s="53" t="n">
        <v>1447</v>
      </c>
      <c r="BU1447" s="48" t="str">
        <f aca="false">IF(U1447&lt;&gt;"",UPPER(TRIM(U1447)),IF(BX1447=1,UPPER(VLOOKUP(T1447,Parameter!$I$27:$K$29,2,0)),IF(P1447="","LOSE",P1447)))</f>
        <v>S52</v>
      </c>
      <c r="BV1447" s="50" t="n">
        <f aca="false">IF(BU1447="LOSE",1,IF(N(V1447)&gt;0,V1447,IF(BX1447=1,MAX(1,N(VLOOKUP(T1447,Parameter!$I$27:$K$29,3,0)),H1447,N(N1447)),IF(N(Q1447)&gt;0,Q1447,MAX(1,H1447)))))</f>
        <v>50</v>
      </c>
      <c r="BW1447" s="53" t="n">
        <f aca="false">IF(BU1447="LOSE",1,0)</f>
        <v>0</v>
      </c>
      <c r="BX1447" s="53" t="n">
        <f aca="false">IF(AND(U1447="",OR(P1447="",P1447="LOSE"),T1447&lt;&gt;"",N(S1447)&lt;=0,ISNUMBER(MATCH(T1447,Parameter!$I$27:$I$29,0))),1,0)</f>
        <v>0</v>
      </c>
      <c r="BY1447" s="53" t="n">
        <f aca="false">IF(CL1447&gt;0,INDEX(Parameter!$H$5:$H$7,W1447)/INDEX(Parameter!$E$5:$E$7,W1447),IF(AND(BW1447=0,N(IFERROR(VLOOKUP(BU1447,'Gebinde-Kategorie'!$A$5:$N$45,14,0),0))&gt;0),VLOOKUP(BU1447,'Gebinde-Kategorie'!$A$5:$N$45,14,0)*10+Parameter!$M$23,Parameter!$M$24))</f>
        <v>245</v>
      </c>
      <c r="BZ1447" s="48" t="str">
        <f aca="false">IF(AND(Parameter!$B$19="Ja",E1447&lt;&gt;"",ISNUMBER(MATCH(E1447,Parameter!$I$35:$I$52,0))),VLOOKUP(E1447,Parameter!$I$35:$J$52,2,0),IFERROR(VLOOKUP(D1447,Parameter!$A$35:$C$64,2,0),"Nein"))</f>
        <v>2+3</v>
      </c>
      <c r="CA1447" s="52" t="n">
        <f aca="false">IF(BW1447=0,0,IF(N(S1447)&gt;0,S1447,IFERROR(VLOOKUP(D1447,Parameter!$A$35:$C$64,3,0)+0,0)))</f>
        <v>0</v>
      </c>
      <c r="CB1447" s="48" t="n">
        <f aca="false">IF(AA1447&lt;&gt;"",AA1447,Z1447)</f>
        <v>3</v>
      </c>
      <c r="CC1447" s="48" t="str">
        <f aca="false">IF(OR(CB1447=1,CB1447=2,CB1447=3),IF(Parameter!$E$27="Ja","LIFT",IF(CB1447=1,"L1","L23")),IF(CB1447="Aussen","Aussen","-"))</f>
        <v>LIFT</v>
      </c>
      <c r="CD1447" s="59" t="n">
        <f aca="false">IF(N(AB1447)&gt;0,AB1447,0)</f>
        <v>0</v>
      </c>
      <c r="CE1447" s="53" t="n">
        <f aca="false">IF(ISNUMBER(AE1447),1,0)</f>
        <v>0</v>
      </c>
      <c r="CF1447" s="50" t="n">
        <f aca="false">N(AE1447)</f>
        <v>0</v>
      </c>
      <c r="CG1447" s="50" t="n">
        <f aca="false">N(M1447)+N(N1447)</f>
        <v>6</v>
      </c>
      <c r="CH1447" s="50" t="n">
        <f aca="false">ROUNDUP(H1447/BV1447,0)</f>
        <v>0</v>
      </c>
      <c r="CI1447" s="50" t="n">
        <f aca="false">ROUNDUP(CF1447/BV1447,0)</f>
        <v>0</v>
      </c>
      <c r="CJ1447" s="53" t="n">
        <f aca="false">IF(BW1447=1,0,IFERROR(VLOOKUP(BU1447,'Gebinde-Kategorie'!$A$5:$N$45,5,0)+0,0))</f>
        <v>21</v>
      </c>
      <c r="CK1447" s="53" t="n">
        <f aca="false">IFERROR(IF(OR(CB1447=1,CB1447=2,CB1447=3),N(INDEX(Parameter!$I$5:$I$7,CB1447)),0),0)</f>
        <v>0</v>
      </c>
      <c r="CL1447" s="52" t="n">
        <f aca="false">IF(AND(Parameter!$B$21="Ja",ISNUMBER(W1447),N(X1447)&gt;0),IFERROR(N(INDEX(Parameter!$L$5:$L$7,W1447))*INDEX(Parameter!$E$5:$E$7,W1447)*X1447/SUMIFS($X$7:$X$1843,$W$7:$W$1843,W1447),0),0)</f>
        <v>0</v>
      </c>
    </row>
    <row r="1448" customFormat="false" ht="15" hidden="false" customHeight="false" outlineLevel="0" collapsed="false">
      <c r="A1448" s="48" t="s">
        <v>2540</v>
      </c>
      <c r="B1448" s="48" t="s">
        <v>409</v>
      </c>
      <c r="C1448" s="48" t="s">
        <v>168</v>
      </c>
      <c r="D1448" s="48" t="s">
        <v>188</v>
      </c>
      <c r="E1448" s="48" t="s">
        <v>189</v>
      </c>
      <c r="F1448" s="48"/>
      <c r="G1448" s="49" t="n">
        <v>3.25</v>
      </c>
      <c r="H1448" s="50" t="n">
        <f aca="false">MAX(0,IF(AND(Parameter!$B$21="Ja",ISNUMBER(Y1448)),Y1448,IF(Parameter!$B$20="Jahresanfang 2025 + Export",BO1448+BN1448,BN1448)))</f>
        <v>0</v>
      </c>
      <c r="I1448" s="50" t="n">
        <f aca="false">H1448*G1448</f>
        <v>0</v>
      </c>
      <c r="J1448" s="50" t="n">
        <f aca="false">BQ1448*Parameter!$B$18</f>
        <v>2410</v>
      </c>
      <c r="K1448" s="51"/>
      <c r="L1448" s="52"/>
      <c r="M1448" s="50" t="n">
        <v>150</v>
      </c>
      <c r="N1448" s="50" t="n">
        <v>500</v>
      </c>
      <c r="O1448" s="53"/>
      <c r="P1448" s="48" t="s">
        <v>263</v>
      </c>
      <c r="Q1448" s="50" t="n">
        <v>1200</v>
      </c>
      <c r="R1448" s="53" t="n">
        <f aca="false">IF(BW1448=1,0,IFERROR(VLOOKUP(BU1448,'Gebinde-Kategorie'!$A$5:$N$45,13,0)+0,0))</f>
        <v>6</v>
      </c>
      <c r="S1448" s="54"/>
      <c r="T1448" s="55"/>
      <c r="U1448" s="55"/>
      <c r="V1448" s="55"/>
      <c r="W1448" s="48"/>
      <c r="X1448" s="50"/>
      <c r="Y1448" s="50"/>
      <c r="Z1448" s="48" t="n">
        <f aca="false">IF(A1448="","",IF(AND(Parameter!$B$21="Ja",ISNUMBER(W1448)),W1448,IF(BZ1448="2+3",IF(ISNUMBER(SEARCH("grosser Artikel",BR1448)),2,IFERROR(VLOOKUP(BU1448,Parameter!$F$35:$G$64,2,0),2)),IF(OR(BZ1448="Nein",BZ1448=""),"-",BZ1448))))</f>
        <v>2</v>
      </c>
      <c r="AA1448" s="55"/>
      <c r="AB1448" s="56"/>
      <c r="AC1448" s="50" t="n">
        <f aca="false">AT1448</f>
        <v>2400</v>
      </c>
      <c r="AD1448" s="50" t="n">
        <f aca="false">MAX(AT1448,H1448)</f>
        <v>2400</v>
      </c>
      <c r="AE1448" s="57"/>
      <c r="AF1448" s="50" t="n">
        <f aca="false">IF(LEFT(Cockpit!$C$5,1)="A",H1448,IF(CE1448=1,CF1448,IF(LEFT(Cockpit!$C$5,1)="B",AK1448,MAX(AK1448,H1448))))</f>
        <v>0</v>
      </c>
      <c r="AG1448" s="50" t="n">
        <f aca="false">IF(BW1448=1,0,ROUNDUP(AF1448/BV1448,0))</f>
        <v>0</v>
      </c>
      <c r="AH1448" s="52" t="n">
        <f aca="false">IF(CL1448&gt;0,CL1448*MAX(1,AF1448/X1448),IF(BW1448=1,IF(AF1448&lt;=0,0,CA1448*MAX(1,IF(H1448&gt;0,AF1448/H1448,1))),IF(R1448&gt;0,AG1448/R1448,0))/MAX(0.1,N(Parameter!$M$21)))</f>
        <v>0</v>
      </c>
      <c r="AI1448" s="50" t="n">
        <f aca="false">AH1448*BY1448</f>
        <v>0</v>
      </c>
      <c r="AJ1448" s="50" t="n">
        <f aca="false">AF1448*G1448</f>
        <v>0</v>
      </c>
      <c r="AK1448" s="50" t="n">
        <f aca="false">ROUNDUP(MAX(J1448/IF(CD1448&gt;0,CD1448,MAX(0.1,N(Cockpit!$C$6))),CG1448)/BV1448,0)*BV1448</f>
        <v>2400</v>
      </c>
      <c r="AL1448" s="51" t="n">
        <f aca="false">IF(AI1448&gt;0,J1448/AI1448,-1)</f>
        <v>-1</v>
      </c>
      <c r="AM1448" s="51" t="str">
        <f aca="false">IF(AND(OR(CC1448="L1",CC1448="L23",CC1448="LIFT"),AI1448&gt;0),SUMIFS($AI$7:$AI$1843,$CC$7:$CC$1843,CC1448,$AL$7:$AL$1843,"&gt;"&amp;AL1448)+SUMIFS($AI$7:$AI$1843,$CC$7:$CC$1843,CC1448,$AL$7:$AL$1843,AL1448,$BT$7:$BT$1843,"&lt;="&amp;BT1448),"")</f>
        <v/>
      </c>
      <c r="AN1448" s="58" t="n">
        <f aca="false">IF(AM1448="",0,MAX(0,MIN(1,(IF(CC1448="L1",Parameter!$H$5,IF(CC1448="L23",Parameter!$H$6+Parameter!$H$7,Parameter!$H$5+Parameter!$H$6+Parameter!$H$7))-(AM1448-AI1448))/AI1448)))</f>
        <v>0</v>
      </c>
      <c r="AO1448" s="50" t="n">
        <f aca="false">IF(LEFT(Cockpit!$I$5,1)="A",H1448,IF(CE1448=1,CF1448,IF(LEFT(Cockpit!$I$5,1)="B",AT1448,MAX(AT1448,H1448))))</f>
        <v>2400</v>
      </c>
      <c r="AP1448" s="50" t="n">
        <f aca="false">IF(BW1448=1,0,ROUNDUP(AO1448/BV1448,0))</f>
        <v>2</v>
      </c>
      <c r="AQ1448" s="52" t="n">
        <f aca="false">IF(CL1448&gt;0,CL1448*MAX(1,AO1448/X1448),IF(BW1448=1,IF(AO1448&lt;=0,0,CA1448*MAX(1,IF(H1448&gt;0,AO1448/H1448,1))),IF(R1448&gt;0,AP1448/R1448,0))/MAX(0.1,N(Parameter!$M$21)))</f>
        <v>0.333333333333333</v>
      </c>
      <c r="AR1448" s="50" t="n">
        <f aca="false">AQ1448*BY1448</f>
        <v>145</v>
      </c>
      <c r="AS1448" s="50" t="n">
        <f aca="false">AO1448*G1448</f>
        <v>7800</v>
      </c>
      <c r="AT1448" s="50" t="n">
        <f aca="false">ROUNDUP(MAX(J1448/IF(CD1448&gt;0,CD1448,MAX(0.1,N(Cockpit!$I$6))),CG1448)/BV1448,0)*BV1448</f>
        <v>2400</v>
      </c>
      <c r="AU1448" s="51" t="n">
        <f aca="false">IF(AR1448&gt;0,J1448/AR1448,-1)</f>
        <v>16.6206896551724</v>
      </c>
      <c r="AV1448" s="51" t="n">
        <f aca="false">IF(AND(OR(CC1448="L1",CC1448="L23",CC1448="LIFT"),AR1448&gt;0),SUMIFS($AR$7:$AR$1843,$CC$7:$CC$1843,CC1448,$AU$7:$AU$1843,"&gt;"&amp;AU1448)+SUMIFS($AR$7:$AR$1843,$CC$7:$CC$1843,CC1448,$AU$7:$AU$1843,AU1448,$BT$7:$BT$1843,"&lt;="&amp;BT1448),"")</f>
        <v>3085.60073260073</v>
      </c>
      <c r="AW1448" s="58" t="n">
        <f aca="false">IF(AV1448="",0,MAX(0,MIN(1,(IF(CC1448="L1",Parameter!$H$5,IF(CC1448="L23",Parameter!$H$6+Parameter!$H$7,Parameter!$H$5+Parameter!$H$6+Parameter!$H$7))-(AV1448-AR1448))/AR1448)))</f>
        <v>1</v>
      </c>
      <c r="AX1448" s="50" t="n">
        <f aca="false">IF(LEFT(Cockpit!$O$5,1)="A",H1448,IF(CE1448=1,CF1448,IF(LEFT(Cockpit!$O$5,1)="B",BC1448,MAX(BC1448,H1448))))</f>
        <v>1200</v>
      </c>
      <c r="AY1448" s="50" t="n">
        <f aca="false">IF(BW1448=1,0,ROUNDUP(AX1448/BV1448,0))</f>
        <v>1</v>
      </c>
      <c r="AZ1448" s="52" t="n">
        <f aca="false">IF(CL1448&gt;0,CL1448*MAX(1,AX1448/X1448),IF(BW1448=1,IF(AX1448&lt;=0,0,CA1448*MAX(1,IF(H1448&gt;0,AX1448/H1448,1))),IF(R1448&gt;0,AY1448/R1448,0))/MAX(0.1,N(Parameter!$M$21)))</f>
        <v>0.166666666666667</v>
      </c>
      <c r="BA1448" s="50" t="n">
        <f aca="false">AZ1448*BY1448</f>
        <v>72.5</v>
      </c>
      <c r="BB1448" s="50" t="n">
        <f aca="false">AX1448*G1448</f>
        <v>3900</v>
      </c>
      <c r="BC1448" s="50" t="n">
        <f aca="false">ROUNDUP(MAX(J1448/IF(CD1448&gt;0,CD1448,MAX(0.1,N(Cockpit!$O$6))),CG1448)/BV1448,0)*BV1448</f>
        <v>1200</v>
      </c>
      <c r="BD1448" s="51" t="n">
        <f aca="false">IF(BA1448&gt;0,J1448/BA1448,-1)</f>
        <v>33.2413793103448</v>
      </c>
      <c r="BE1448" s="51" t="n">
        <f aca="false">IF(AND(OR(CC1448="L1",CC1448="L23",CC1448="LIFT"),BA1448&gt;0),SUMIFS($BA$7:$BA$1843,$CC$7:$CC$1843,CC1448,$BD$7:$BD$1843,"&gt;"&amp;BD1448)+SUMIFS($BA$7:$BA$1843,$CC$7:$CC$1843,CC1448,$BD$7:$BD$1843,BD1448,$BT$7:$BT$1843,"&lt;="&amp;BT1448),"")</f>
        <v>1744.8663003663</v>
      </c>
      <c r="BF1448" s="58" t="n">
        <f aca="false">IF(BE1448="",0,MAX(0,MIN(1,(IF(CC1448="L1",Parameter!$H$5,IF(CC1448="L23",Parameter!$H$6+Parameter!$H$7,Parameter!$H$5+Parameter!$H$6+Parameter!$H$7))-(BE1448-BA1448))/BA1448)))</f>
        <v>1</v>
      </c>
      <c r="BG1448" s="48" t="str">
        <f aca="false">IF(AI1448&lt;=0,"",IF(CC1448="Aussen","Aussenlager",IF(CC1448="-","Nicht im Lift",IF(AN1448&gt;=1,"Lift",IF(AN1448&lt;=0,"Aussenlager","teilweise")))))</f>
        <v/>
      </c>
      <c r="BH1448" s="48" t="str">
        <f aca="false">IF(AR1448&lt;=0,"",IF(CC1448="Aussen","Aussenlager",IF(CC1448="-","Nicht im Lift",IF(AW1448&gt;=1,"Lift",IF(AW1448&lt;=0,"Aussenlager","teilweise")))))</f>
        <v>Lift</v>
      </c>
      <c r="BI1448" s="48" t="str">
        <f aca="false">IF(BA1448&lt;=0,"",IF(CC1448="Aussen","Aussenlager",IF(CC1448="-","Nicht im Lift",IF(BF1448&gt;=1,"Lift",IF(BF1448&lt;=0,"Aussenlager","teilweise")))))</f>
        <v>Lift</v>
      </c>
      <c r="BJ1448" s="48" t="str">
        <f aca="false">IF(A1448="","",IF(BS1448=1,"Neu; ","")&amp;IF(AND(BS1448=0,BN1448&lt;0),"negativer Bestand (Export "&amp;BN1448&amp;"); ","")&amp;IF(J1448&lt;=0,"Kein Verbrauch; ","")&amp;IF(CL1448&gt;0,"Lift "&amp;W1448&amp;" lt. Liftbericht (Fach "&amp;X1448&amp;" Stk); ",IF(BX1448=1,"Gebinde geschätzt ("&amp;T1448&amp;"); ",IF(BW1448=1,"Lose – Tablare geschätzt; ","")))&amp;IF(H1448&gt;AT1448,"Überbestand "&amp;ROUND(H1448-AT1448,0)&amp;" Stk / CHF "&amp;ROUND((H1448-AT1448)*G1448,0)&amp;"; ","")&amp;IF(AND(CE1448=1,CF1448&lt;CG1448),"MAX &lt; MB+LG; ","")&amp;IF(AND(CK1448&gt;0,CJ1448*10&gt;CK1448),"zu hoch für Tablar; ","")&amp;IF(AND(BS1448=0,OR(CE1448=1,AA1448&lt;&gt;"",U1448&lt;&gt;"",V1448&lt;&gt;"",AB1448&lt;&gt;"")),"manuell übersteuert; ","")&amp;IF(AND(BW1448=0,R1448=0),"Gebinde unbekannt / Stellmass fehlt; ","")&amp;IF(AND(BW1448=0,N(V1448)&lt;=0,N(Q1448)&lt;=0),"Menge pro Gebinde fehlt (Ist = 1 Gebinde); ","")&amp;BR1448)</f>
        <v>negativer Bestand (Export -3665); grosse  Artikelmenge</v>
      </c>
      <c r="BK1448" s="48"/>
      <c r="BL1448" s="48"/>
      <c r="BM1448" s="55"/>
      <c r="BN1448" s="50" t="n">
        <v>-3665</v>
      </c>
      <c r="BO1448" s="50" t="n">
        <v>0</v>
      </c>
      <c r="BP1448" s="49" t="n">
        <v>-11911.25</v>
      </c>
      <c r="BQ1448" s="50" t="n">
        <v>2410</v>
      </c>
      <c r="BR1448" s="48" t="s">
        <v>1611</v>
      </c>
      <c r="BS1448" s="53" t="n">
        <v>0</v>
      </c>
      <c r="BT1448" s="53" t="n">
        <v>1448</v>
      </c>
      <c r="BU1448" s="48" t="str">
        <f aca="false">IF(U1448&lt;&gt;"",UPPER(TRIM(U1448)),IF(BX1448=1,UPPER(VLOOKUP(T1448,Parameter!$I$27:$K$29,2,0)),IF(P1448="","LOSE",P1448)))</f>
        <v>S72</v>
      </c>
      <c r="BV1448" s="50" t="n">
        <f aca="false">IF(BU1448="LOSE",1,IF(N(V1448)&gt;0,V1448,IF(BX1448=1,MAX(1,N(VLOOKUP(T1448,Parameter!$I$27:$K$29,3,0)),H1448,N(N1448)),IF(N(Q1448)&gt;0,Q1448,MAX(1,H1448)))))</f>
        <v>1200</v>
      </c>
      <c r="BW1448" s="53" t="n">
        <f aca="false">IF(BU1448="LOSE",1,0)</f>
        <v>0</v>
      </c>
      <c r="BX1448" s="53" t="n">
        <f aca="false">IF(AND(U1448="",OR(P1448="",P1448="LOSE"),T1448&lt;&gt;"",N(S1448)&lt;=0,ISNUMBER(MATCH(T1448,Parameter!$I$27:$I$29,0))),1,0)</f>
        <v>0</v>
      </c>
      <c r="BY1448" s="53" t="n">
        <f aca="false">IF(CL1448&gt;0,INDEX(Parameter!$H$5:$H$7,W1448)/INDEX(Parameter!$E$5:$E$7,W1448),IF(AND(BW1448=0,N(IFERROR(VLOOKUP(BU1448,'Gebinde-Kategorie'!$A$5:$N$45,14,0),0))&gt;0),VLOOKUP(BU1448,'Gebinde-Kategorie'!$A$5:$N$45,14,0)*10+Parameter!$M$23,Parameter!$M$24))</f>
        <v>435</v>
      </c>
      <c r="BZ1448" s="48" t="str">
        <f aca="false">IF(AND(Parameter!$B$19="Ja",E1448&lt;&gt;"",ISNUMBER(MATCH(E1448,Parameter!$I$35:$I$52,0))),VLOOKUP(E1448,Parameter!$I$35:$J$52,2,0),IFERROR(VLOOKUP(D1448,Parameter!$A$35:$C$64,2,0),"Nein"))</f>
        <v>2+3</v>
      </c>
      <c r="CA1448" s="52" t="n">
        <f aca="false">IF(BW1448=0,0,IF(N(S1448)&gt;0,S1448,IFERROR(VLOOKUP(D1448,Parameter!$A$35:$C$64,3,0)+0,0)))</f>
        <v>0</v>
      </c>
      <c r="CB1448" s="48" t="n">
        <f aca="false">IF(AA1448&lt;&gt;"",AA1448,Z1448)</f>
        <v>2</v>
      </c>
      <c r="CC1448" s="48" t="str">
        <f aca="false">IF(OR(CB1448=1,CB1448=2,CB1448=3),IF(Parameter!$E$27="Ja","LIFT",IF(CB1448=1,"L1","L23")),IF(CB1448="Aussen","Aussen","-"))</f>
        <v>LIFT</v>
      </c>
      <c r="CD1448" s="59" t="n">
        <f aca="false">IF(N(AB1448)&gt;0,AB1448,0)</f>
        <v>0</v>
      </c>
      <c r="CE1448" s="53" t="n">
        <f aca="false">IF(ISNUMBER(AE1448),1,0)</f>
        <v>0</v>
      </c>
      <c r="CF1448" s="50" t="n">
        <f aca="false">N(AE1448)</f>
        <v>0</v>
      </c>
      <c r="CG1448" s="50" t="n">
        <f aca="false">N(M1448)+N(N1448)</f>
        <v>650</v>
      </c>
      <c r="CH1448" s="50" t="n">
        <f aca="false">ROUNDUP(H1448/BV1448,0)</f>
        <v>0</v>
      </c>
      <c r="CI1448" s="50" t="n">
        <f aca="false">ROUNDUP(CF1448/BV1448,0)</f>
        <v>0</v>
      </c>
      <c r="CJ1448" s="53" t="n">
        <f aca="false">IF(BW1448=1,0,IFERROR(VLOOKUP(BU1448,'Gebinde-Kategorie'!$A$5:$N$45,5,0)+0,0))</f>
        <v>40</v>
      </c>
      <c r="CK1448" s="53" t="n">
        <f aca="false">IFERROR(IF(OR(CB1448=1,CB1448=2,CB1448=3),N(INDEX(Parameter!$I$5:$I$7,CB1448)),0),0)</f>
        <v>0</v>
      </c>
      <c r="CL1448" s="52" t="n">
        <f aca="false">IF(AND(Parameter!$B$21="Ja",ISNUMBER(W1448),N(X1448)&gt;0),IFERROR(N(INDEX(Parameter!$L$5:$L$7,W1448))*INDEX(Parameter!$E$5:$E$7,W1448)*X1448/SUMIFS($X$7:$X$1843,$W$7:$W$1843,W1448),0),0)</f>
        <v>0</v>
      </c>
    </row>
    <row r="1449" customFormat="false" ht="15" hidden="false" customHeight="false" outlineLevel="0" collapsed="false">
      <c r="A1449" s="48" t="s">
        <v>2541</v>
      </c>
      <c r="B1449" s="48" t="s">
        <v>2388</v>
      </c>
      <c r="C1449" s="48" t="s">
        <v>168</v>
      </c>
      <c r="D1449" s="48" t="s">
        <v>169</v>
      </c>
      <c r="E1449" s="48" t="s">
        <v>170</v>
      </c>
      <c r="F1449" s="48"/>
      <c r="G1449" s="49" t="n">
        <v>2608.01</v>
      </c>
      <c r="H1449" s="50" t="n">
        <f aca="false">MAX(0,IF(AND(Parameter!$B$21="Ja",ISNUMBER(Y1449)),Y1449,IF(Parameter!$B$20="Jahresanfang 2025 + Export",BO1449+BN1449,BN1449)))</f>
        <v>6</v>
      </c>
      <c r="I1449" s="50" t="n">
        <f aca="false">H1449*G1449</f>
        <v>15648.06</v>
      </c>
      <c r="J1449" s="50" t="n">
        <f aca="false">BQ1449*Parameter!$B$18</f>
        <v>30</v>
      </c>
      <c r="K1449" s="51"/>
      <c r="L1449" s="52"/>
      <c r="M1449" s="50" t="n">
        <v>1</v>
      </c>
      <c r="N1449" s="50" t="n">
        <v>5</v>
      </c>
      <c r="O1449" s="53"/>
      <c r="P1449" s="48" t="s">
        <v>172</v>
      </c>
      <c r="Q1449" s="50"/>
      <c r="R1449" s="53" t="n">
        <f aca="false">IF(BW1449=1,0,IFERROR(VLOOKUP(BU1449,'Gebinde-Kategorie'!$A$5:$N$45,13,0)+0,0))</f>
        <v>0</v>
      </c>
      <c r="S1449" s="54"/>
      <c r="T1449" s="55"/>
      <c r="U1449" s="55"/>
      <c r="V1449" s="55"/>
      <c r="W1449" s="48" t="n">
        <v>1</v>
      </c>
      <c r="X1449" s="50" t="n">
        <v>13</v>
      </c>
      <c r="Y1449" s="50" t="n">
        <v>6</v>
      </c>
      <c r="Z1449" s="48" t="n">
        <f aca="false">IF(A1449="","",IF(AND(Parameter!$B$21="Ja",ISNUMBER(W1449)),W1449,IF(BZ1449="2+3",IF(ISNUMBER(SEARCH("grosser Artikel",BR1449)),2,IFERROR(VLOOKUP(BU1449,Parameter!$F$35:$G$64,2,0),2)),IF(OR(BZ1449="Nein",BZ1449=""),"-",BZ1449))))</f>
        <v>1</v>
      </c>
      <c r="AA1449" s="55"/>
      <c r="AB1449" s="56"/>
      <c r="AC1449" s="50" t="n">
        <f aca="false">AT1449</f>
        <v>15</v>
      </c>
      <c r="AD1449" s="50" t="n">
        <f aca="false">MAX(AT1449,H1449)</f>
        <v>15</v>
      </c>
      <c r="AE1449" s="57"/>
      <c r="AF1449" s="50" t="n">
        <f aca="false">IF(LEFT(Cockpit!$C$5,1)="A",H1449,IF(CE1449=1,CF1449,IF(LEFT(Cockpit!$C$5,1)="B",AK1449,MAX(AK1449,H1449))))</f>
        <v>6</v>
      </c>
      <c r="AG1449" s="50" t="n">
        <f aca="false">IF(BW1449=1,0,ROUNDUP(AF1449/BV1449,0))</f>
        <v>0</v>
      </c>
      <c r="AH1449" s="52" t="n">
        <f aca="false">IF(CL1449&gt;0,CL1449*MAX(1,AF1449/X1449),IF(BW1449=1,IF(AF1449&lt;=0,0,CA1449*MAX(1,IF(H1449&gt;0,AF1449/H1449,1))),IF(R1449&gt;0,AG1449/R1449,0))/MAX(0.1,N(Parameter!$M$21)))</f>
        <v>1.04048964218456</v>
      </c>
      <c r="AI1449" s="50" t="n">
        <f aca="false">AH1449*BY1449</f>
        <v>247.636534839925</v>
      </c>
      <c r="AJ1449" s="50" t="n">
        <f aca="false">AF1449*G1449</f>
        <v>15648.06</v>
      </c>
      <c r="AK1449" s="50" t="n">
        <f aca="false">ROUNDUP(MAX(J1449/IF(CD1449&gt;0,CD1449,MAX(0.1,N(Cockpit!$C$6))),CG1449)/BV1449,0)*BV1449</f>
        <v>15</v>
      </c>
      <c r="AL1449" s="51" t="n">
        <f aca="false">IF(AI1449&gt;0,J1449/AI1449,-1)</f>
        <v>0.121145290695464</v>
      </c>
      <c r="AM1449" s="51" t="n">
        <f aca="false">IF(AND(OR(CC1449="L1",CC1449="L23",CC1449="LIFT"),AI1449&gt;0),SUMIFS($AI$7:$AI$1843,$CC$7:$CC$1843,CC1449,$AL$7:$AL$1843,"&gt;"&amp;AL1449)+SUMIFS($AI$7:$AI$1843,$CC$7:$CC$1843,CC1449,$AL$7:$AL$1843,AL1449,$BT$7:$BT$1843,"&lt;="&amp;BT1449),"")</f>
        <v>14363.9232036796</v>
      </c>
      <c r="AN1449" s="58" t="n">
        <f aca="false">IF(AM1449="",0,MAX(0,MIN(1,(IF(CC1449="L1",Parameter!$H$5,IF(CC1449="L23",Parameter!$H$6+Parameter!$H$7,Parameter!$H$5+Parameter!$H$6+Parameter!$H$7))-(AM1449-AI1449))/AI1449)))</f>
        <v>1</v>
      </c>
      <c r="AO1449" s="50" t="n">
        <f aca="false">IF(LEFT(Cockpit!$I$5,1)="A",H1449,IF(CE1449=1,CF1449,IF(LEFT(Cockpit!$I$5,1)="B",AT1449,MAX(AT1449,H1449))))</f>
        <v>15</v>
      </c>
      <c r="AP1449" s="50" t="n">
        <f aca="false">IF(BW1449=1,0,ROUNDUP(AO1449/BV1449,0))</f>
        <v>0</v>
      </c>
      <c r="AQ1449" s="52" t="n">
        <f aca="false">IF(CL1449&gt;0,CL1449*MAX(1,AO1449/X1449),IF(BW1449=1,IF(AO1449&lt;=0,0,CA1449*MAX(1,IF(H1449&gt;0,AO1449/H1449,1))),IF(R1449&gt;0,AP1449/R1449,0))/MAX(0.1,N(Parameter!$M$21)))</f>
        <v>1.20056497175141</v>
      </c>
      <c r="AR1449" s="50" t="n">
        <f aca="false">AQ1449*BY1449</f>
        <v>285.734463276836</v>
      </c>
      <c r="AS1449" s="50" t="n">
        <f aca="false">AO1449*G1449</f>
        <v>39120.15</v>
      </c>
      <c r="AT1449" s="50" t="n">
        <f aca="false">ROUNDUP(MAX(J1449/IF(CD1449&gt;0,CD1449,MAX(0.1,N(Cockpit!$I$6))),CG1449)/BV1449,0)*BV1449</f>
        <v>15</v>
      </c>
      <c r="AU1449" s="51" t="n">
        <f aca="false">IF(AR1449&gt;0,J1449/AR1449,-1)</f>
        <v>0.104992585269402</v>
      </c>
      <c r="AV1449" s="51" t="n">
        <f aca="false">IF(AND(OR(CC1449="L1",CC1449="L23",CC1449="LIFT"),AR1449&gt;0),SUMIFS($AR$7:$AR$1843,$CC$7:$CC$1843,CC1449,$AU$7:$AU$1843,"&gt;"&amp;AU1449)+SUMIFS($AR$7:$AR$1843,$CC$7:$CC$1843,CC1449,$AU$7:$AU$1843,AU1449,$BT$7:$BT$1843,"&lt;="&amp;BT1449),"")</f>
        <v>21273.0004940916</v>
      </c>
      <c r="AW1449" s="58" t="n">
        <f aca="false">IF(AV1449="",0,MAX(0,MIN(1,(IF(CC1449="L1",Parameter!$H$5,IF(CC1449="L23",Parameter!$H$6+Parameter!$H$7,Parameter!$H$5+Parameter!$H$6+Parameter!$H$7))-(AV1449-AR1449))/AR1449)))</f>
        <v>1</v>
      </c>
      <c r="AX1449" s="50" t="n">
        <f aca="false">IF(LEFT(Cockpit!$O$5,1)="A",H1449,IF(CE1449=1,CF1449,IF(LEFT(Cockpit!$O$5,1)="B",BC1449,MAX(BC1449,H1449))))</f>
        <v>10</v>
      </c>
      <c r="AY1449" s="50" t="n">
        <f aca="false">IF(BW1449=1,0,ROUNDUP(AX1449/BV1449,0))</f>
        <v>0</v>
      </c>
      <c r="AZ1449" s="52" t="n">
        <f aca="false">IF(CL1449&gt;0,CL1449*MAX(1,AX1449/X1449),IF(BW1449=1,IF(AX1449&lt;=0,0,CA1449*MAX(1,IF(H1449&gt;0,AX1449/H1449,1))),IF(R1449&gt;0,AY1449/R1449,0))/MAX(0.1,N(Parameter!$M$21)))</f>
        <v>1.04048964218456</v>
      </c>
      <c r="BA1449" s="50" t="n">
        <f aca="false">AZ1449*BY1449</f>
        <v>247.636534839925</v>
      </c>
      <c r="BB1449" s="50" t="n">
        <f aca="false">AX1449*G1449</f>
        <v>26080.1</v>
      </c>
      <c r="BC1449" s="50" t="n">
        <f aca="false">ROUNDUP(MAX(J1449/IF(CD1449&gt;0,CD1449,MAX(0.1,N(Cockpit!$O$6))),CG1449)/BV1449,0)*BV1449</f>
        <v>10</v>
      </c>
      <c r="BD1449" s="51" t="n">
        <f aca="false">IF(BA1449&gt;0,J1449/BA1449,-1)</f>
        <v>0.121145290695464</v>
      </c>
      <c r="BE1449" s="51" t="n">
        <f aca="false">IF(AND(OR(CC1449="L1",CC1449="L23",CC1449="LIFT"),BA1449&gt;0),SUMIFS($BA$7:$BA$1843,$CC$7:$CC$1843,CC1449,$BD$7:$BD$1843,"&gt;"&amp;BD1449)+SUMIFS($BA$7:$BA$1843,$CC$7:$CC$1843,CC1449,$BD$7:$BD$1843,BD1449,$BT$7:$BT$1843,"&lt;="&amp;BT1449),"")</f>
        <v>20300.5177872974</v>
      </c>
      <c r="BF1449" s="58" t="n">
        <f aca="false">IF(BE1449="",0,MAX(0,MIN(1,(IF(CC1449="L1",Parameter!$H$5,IF(CC1449="L23",Parameter!$H$6+Parameter!$H$7,Parameter!$H$5+Parameter!$H$6+Parameter!$H$7))-(BE1449-BA1449))/BA1449)))</f>
        <v>1</v>
      </c>
      <c r="BG1449" s="48" t="str">
        <f aca="false">IF(AI1449&lt;=0,"",IF(CC1449="Aussen","Aussenlager",IF(CC1449="-","Nicht im Lift",IF(AN1449&gt;=1,"Lift",IF(AN1449&lt;=0,"Aussenlager","teilweise")))))</f>
        <v>Lift</v>
      </c>
      <c r="BH1449" s="48" t="str">
        <f aca="false">IF(AR1449&lt;=0,"",IF(CC1449="Aussen","Aussenlager",IF(CC1449="-","Nicht im Lift",IF(AW1449&gt;=1,"Lift",IF(AW1449&lt;=0,"Aussenlager","teilweise")))))</f>
        <v>Lift</v>
      </c>
      <c r="BI1449" s="48" t="str">
        <f aca="false">IF(BA1449&lt;=0,"",IF(CC1449="Aussen","Aussenlager",IF(CC1449="-","Nicht im Lift",IF(BF1449&gt;=1,"Lift",IF(BF1449&lt;=0,"Aussenlager","teilweise")))))</f>
        <v>Lift</v>
      </c>
      <c r="BJ1449" s="48" t="str">
        <f aca="false">IF(A1449="","",IF(BS1449=1,"Neu; ","")&amp;IF(AND(BS1449=0,BN1449&lt;0),"negativer Bestand (Export "&amp;BN1449&amp;"); ","")&amp;IF(J1449&lt;=0,"Kein Verbrauch; ","")&amp;IF(CL1449&gt;0,"Lift "&amp;W1449&amp;" lt. Liftbericht (Fach "&amp;X1449&amp;" Stk); ",IF(BX1449=1,"Gebinde geschätzt ("&amp;T1449&amp;"); ",IF(BW1449=1,"Lose – Tablare geschätzt; ","")))&amp;IF(H1449&gt;AT1449,"Überbestand "&amp;ROUND(H1449-AT1449,0)&amp;" Stk / CHF "&amp;ROUND((H1449-AT1449)*G1449,0)&amp;"; ","")&amp;IF(AND(CE1449=1,CF1449&lt;CG1449),"MAX &lt; MB+LG; ","")&amp;IF(AND(CK1449&gt;0,CJ1449*10&gt;CK1449),"zu hoch für Tablar; ","")&amp;IF(AND(BS1449=0,OR(CE1449=1,AA1449&lt;&gt;"",U1449&lt;&gt;"",V1449&lt;&gt;"",AB1449&lt;&gt;"")),"manuell übersteuert; ","")&amp;IF(AND(BW1449=0,R1449=0),"Gebinde unbekannt / Stellmass fehlt; ","")&amp;IF(AND(BW1449=0,N(V1449)&lt;=0,N(Q1449)&lt;=0),"Menge pro Gebinde fehlt (Ist = 1 Gebinde); ","")&amp;BR1449)</f>
        <v>negativer Bestand (Export -3); Lift 1 lt. Liftbericht (Fach 13 Stk); </v>
      </c>
      <c r="BK1449" s="48"/>
      <c r="BL1449" s="48"/>
      <c r="BM1449" s="55"/>
      <c r="BN1449" s="50" t="n">
        <v>-3</v>
      </c>
      <c r="BO1449" s="50" t="n">
        <v>0</v>
      </c>
      <c r="BP1449" s="49" t="n">
        <v>-12165.3900000001</v>
      </c>
      <c r="BQ1449" s="50" t="n">
        <v>30</v>
      </c>
      <c r="BR1449" s="48"/>
      <c r="BS1449" s="53" t="n">
        <v>0</v>
      </c>
      <c r="BT1449" s="53" t="n">
        <v>1449</v>
      </c>
      <c r="BU1449" s="48" t="str">
        <f aca="false">IF(U1449&lt;&gt;"",UPPER(TRIM(U1449)),IF(BX1449=1,UPPER(VLOOKUP(T1449,Parameter!$I$27:$K$29,2,0)),IF(P1449="","LOSE",P1449)))</f>
        <v>LOSE</v>
      </c>
      <c r="BV1449" s="50" t="n">
        <f aca="false">IF(BU1449="LOSE",1,IF(N(V1449)&gt;0,V1449,IF(BX1449=1,MAX(1,N(VLOOKUP(T1449,Parameter!$I$27:$K$29,3,0)),H1449,N(N1449)),IF(N(Q1449)&gt;0,Q1449,MAX(1,H1449)))))</f>
        <v>1</v>
      </c>
      <c r="BW1449" s="53" t="n">
        <f aca="false">IF(BU1449="LOSE",1,0)</f>
        <v>1</v>
      </c>
      <c r="BX1449" s="53" t="n">
        <f aca="false">IF(AND(U1449="",OR(P1449="",P1449="LOSE"),T1449&lt;&gt;"",N(S1449)&lt;=0,ISNUMBER(MATCH(T1449,Parameter!$I$27:$I$29,0))),1,0)</f>
        <v>0</v>
      </c>
      <c r="BY1449" s="53" t="n">
        <f aca="false">IF(CL1449&gt;0,INDEX(Parameter!$H$5:$H$7,W1449)/INDEX(Parameter!$E$5:$E$7,W1449),IF(AND(BW1449=0,N(IFERROR(VLOOKUP(BU1449,'Gebinde-Kategorie'!$A$5:$N$45,14,0),0))&gt;0),VLOOKUP(BU1449,'Gebinde-Kategorie'!$A$5:$N$45,14,0)*10+Parameter!$M$23,Parameter!$M$24))</f>
        <v>238</v>
      </c>
      <c r="BZ1449" s="48" t="n">
        <f aca="false">IF(AND(Parameter!$B$19="Ja",E1449&lt;&gt;"",ISNUMBER(MATCH(E1449,Parameter!$I$35:$I$52,0))),VLOOKUP(E1449,Parameter!$I$35:$J$52,2,0),IFERROR(VLOOKUP(D1449,Parameter!$A$35:$C$64,2,0),"Nein"))</f>
        <v>1</v>
      </c>
      <c r="CA1449" s="52" t="n">
        <f aca="false">IF(BW1449=0,0,IF(N(S1449)&gt;0,S1449,IFERROR(VLOOKUP(D1449,Parameter!$A$35:$C$64,3,0)+0,0)))</f>
        <v>1</v>
      </c>
      <c r="CB1449" s="48" t="n">
        <f aca="false">IF(AA1449&lt;&gt;"",AA1449,Z1449)</f>
        <v>1</v>
      </c>
      <c r="CC1449" s="48" t="str">
        <f aca="false">IF(OR(CB1449=1,CB1449=2,CB1449=3),IF(Parameter!$E$27="Ja","LIFT",IF(CB1449=1,"L1","L23")),IF(CB1449="Aussen","Aussen","-"))</f>
        <v>LIFT</v>
      </c>
      <c r="CD1449" s="59" t="n">
        <f aca="false">IF(N(AB1449)&gt;0,AB1449,0)</f>
        <v>0</v>
      </c>
      <c r="CE1449" s="53" t="n">
        <f aca="false">IF(ISNUMBER(AE1449),1,0)</f>
        <v>0</v>
      </c>
      <c r="CF1449" s="50" t="n">
        <f aca="false">N(AE1449)</f>
        <v>0</v>
      </c>
      <c r="CG1449" s="50" t="n">
        <f aca="false">N(M1449)+N(N1449)</f>
        <v>6</v>
      </c>
      <c r="CH1449" s="50" t="n">
        <f aca="false">ROUNDUP(H1449/BV1449,0)</f>
        <v>6</v>
      </c>
      <c r="CI1449" s="50" t="n">
        <f aca="false">ROUNDUP(CF1449/BV1449,0)</f>
        <v>0</v>
      </c>
      <c r="CJ1449" s="53" t="n">
        <f aca="false">IF(BW1449=1,0,IFERROR(VLOOKUP(BU1449,'Gebinde-Kategorie'!$A$5:$N$45,5,0)+0,0))</f>
        <v>0</v>
      </c>
      <c r="CK1449" s="53" t="n">
        <f aca="false">IFERROR(IF(OR(CB1449=1,CB1449=2,CB1449=3),N(INDEX(Parameter!$I$5:$I$7,CB1449)),0),0)</f>
        <v>0</v>
      </c>
      <c r="CL1449" s="52" t="n">
        <f aca="false">IF(AND(Parameter!$B$21="Ja",ISNUMBER(W1449),N(X1449)&gt;0),IFERROR(N(INDEX(Parameter!$L$5:$L$7,W1449))*INDEX(Parameter!$E$5:$E$7,W1449)*X1449/SUMIFS($X$7:$X$1843,$W$7:$W$1843,W1449),0),0)</f>
        <v>1.04048964218456</v>
      </c>
    </row>
    <row r="1450" customFormat="false" ht="15" hidden="false" customHeight="false" outlineLevel="0" collapsed="false">
      <c r="A1450" s="48" t="s">
        <v>2542</v>
      </c>
      <c r="B1450" s="48" t="s">
        <v>435</v>
      </c>
      <c r="C1450" s="48" t="s">
        <v>168</v>
      </c>
      <c r="D1450" s="48" t="s">
        <v>188</v>
      </c>
      <c r="E1450" s="48" t="s">
        <v>189</v>
      </c>
      <c r="F1450" s="48"/>
      <c r="G1450" s="49" t="n">
        <v>456.15</v>
      </c>
      <c r="H1450" s="50" t="n">
        <f aca="false">MAX(0,IF(AND(Parameter!$B$21="Ja",ISNUMBER(Y1450)),Y1450,IF(Parameter!$B$20="Jahresanfang 2025 + Export",BO1450+BN1450,BN1450)))</f>
        <v>0</v>
      </c>
      <c r="I1450" s="50" t="n">
        <f aca="false">H1450*G1450</f>
        <v>0</v>
      </c>
      <c r="J1450" s="50" t="n">
        <f aca="false">BQ1450*Parameter!$B$18</f>
        <v>9</v>
      </c>
      <c r="K1450" s="51"/>
      <c r="L1450" s="52"/>
      <c r="M1450" s="50" t="n">
        <v>1</v>
      </c>
      <c r="N1450" s="50" t="n">
        <v>20</v>
      </c>
      <c r="O1450" s="53"/>
      <c r="P1450" s="48" t="s">
        <v>237</v>
      </c>
      <c r="Q1450" s="50" t="n">
        <v>24</v>
      </c>
      <c r="R1450" s="53" t="n">
        <f aca="false">IF(BW1450=1,0,IFERROR(VLOOKUP(BU1450,'Gebinde-Kategorie'!$A$5:$N$45,13,0)+0,0))</f>
        <v>26</v>
      </c>
      <c r="S1450" s="54"/>
      <c r="T1450" s="55"/>
      <c r="U1450" s="55"/>
      <c r="V1450" s="55"/>
      <c r="W1450" s="48"/>
      <c r="X1450" s="50"/>
      <c r="Y1450" s="50"/>
      <c r="Z1450" s="48" t="n">
        <f aca="false">IF(A1450="","",IF(AND(Parameter!$B$21="Ja",ISNUMBER(W1450)),W1450,IF(BZ1450="2+3",IF(ISNUMBER(SEARCH("grosser Artikel",BR1450)),2,IFERROR(VLOOKUP(BU1450,Parameter!$F$35:$G$64,2,0),2)),IF(OR(BZ1450="Nein",BZ1450=""),"-",BZ1450))))</f>
        <v>3</v>
      </c>
      <c r="AA1450" s="55"/>
      <c r="AB1450" s="56"/>
      <c r="AC1450" s="50" t="n">
        <f aca="false">AT1450</f>
        <v>24</v>
      </c>
      <c r="AD1450" s="50" t="n">
        <f aca="false">MAX(AT1450,H1450)</f>
        <v>24</v>
      </c>
      <c r="AE1450" s="57"/>
      <c r="AF1450" s="50" t="n">
        <f aca="false">IF(LEFT(Cockpit!$C$5,1)="A",H1450,IF(CE1450=1,CF1450,IF(LEFT(Cockpit!$C$5,1)="B",AK1450,MAX(AK1450,H1450))))</f>
        <v>0</v>
      </c>
      <c r="AG1450" s="50" t="n">
        <f aca="false">IF(BW1450=1,0,ROUNDUP(AF1450/BV1450,0))</f>
        <v>0</v>
      </c>
      <c r="AH1450" s="52" t="n">
        <f aca="false">IF(CL1450&gt;0,CL1450*MAX(1,AF1450/X1450),IF(BW1450=1,IF(AF1450&lt;=0,0,CA1450*MAX(1,IF(H1450&gt;0,AF1450/H1450,1))),IF(R1450&gt;0,AG1450/R1450,0))/MAX(0.1,N(Parameter!$M$21)))</f>
        <v>0</v>
      </c>
      <c r="AI1450" s="50" t="n">
        <f aca="false">AH1450*BY1450</f>
        <v>0</v>
      </c>
      <c r="AJ1450" s="50" t="n">
        <f aca="false">AF1450*G1450</f>
        <v>0</v>
      </c>
      <c r="AK1450" s="50" t="n">
        <f aca="false">ROUNDUP(MAX(J1450/IF(CD1450&gt;0,CD1450,MAX(0.1,N(Cockpit!$C$6))),CG1450)/BV1450,0)*BV1450</f>
        <v>24</v>
      </c>
      <c r="AL1450" s="51" t="n">
        <f aca="false">IF(AI1450&gt;0,J1450/AI1450,-1)</f>
        <v>-1</v>
      </c>
      <c r="AM1450" s="51" t="str">
        <f aca="false">IF(AND(OR(CC1450="L1",CC1450="L23",CC1450="LIFT"),AI1450&gt;0),SUMIFS($AI$7:$AI$1843,$CC$7:$CC$1843,CC1450,$AL$7:$AL$1843,"&gt;"&amp;AL1450)+SUMIFS($AI$7:$AI$1843,$CC$7:$CC$1843,CC1450,$AL$7:$AL$1843,AL1450,$BT$7:$BT$1843,"&lt;="&amp;BT1450),"")</f>
        <v/>
      </c>
      <c r="AN1450" s="58" t="n">
        <f aca="false">IF(AM1450="",0,MAX(0,MIN(1,(IF(CC1450="L1",Parameter!$H$5,IF(CC1450="L23",Parameter!$H$6+Parameter!$H$7,Parameter!$H$5+Parameter!$H$6+Parameter!$H$7))-(AM1450-AI1450))/AI1450)))</f>
        <v>0</v>
      </c>
      <c r="AO1450" s="50" t="n">
        <f aca="false">IF(LEFT(Cockpit!$I$5,1)="A",H1450,IF(CE1450=1,CF1450,IF(LEFT(Cockpit!$I$5,1)="B",AT1450,MAX(AT1450,H1450))))</f>
        <v>24</v>
      </c>
      <c r="AP1450" s="50" t="n">
        <f aca="false">IF(BW1450=1,0,ROUNDUP(AO1450/BV1450,0))</f>
        <v>1</v>
      </c>
      <c r="AQ1450" s="52" t="n">
        <f aca="false">IF(CL1450&gt;0,CL1450*MAX(1,AO1450/X1450),IF(BW1450=1,IF(AO1450&lt;=0,0,CA1450*MAX(1,IF(H1450&gt;0,AO1450/H1450,1))),IF(R1450&gt;0,AP1450/R1450,0))/MAX(0.1,N(Parameter!$M$21)))</f>
        <v>0.0384615384615385</v>
      </c>
      <c r="AR1450" s="50" t="n">
        <f aca="false">AQ1450*BY1450</f>
        <v>9.42307692307692</v>
      </c>
      <c r="AS1450" s="50" t="n">
        <f aca="false">AO1450*G1450</f>
        <v>10947.6</v>
      </c>
      <c r="AT1450" s="50" t="n">
        <f aca="false">ROUNDUP(MAX(J1450/IF(CD1450&gt;0,CD1450,MAX(0.1,N(Cockpit!$I$6))),CG1450)/BV1450,0)*BV1450</f>
        <v>24</v>
      </c>
      <c r="AU1450" s="51" t="n">
        <f aca="false">IF(AR1450&gt;0,J1450/AR1450,-1)</f>
        <v>0.955102040816327</v>
      </c>
      <c r="AV1450" s="51" t="n">
        <f aca="false">IF(AND(OR(CC1450="L1",CC1450="L23",CC1450="LIFT"),AR1450&gt;0),SUMIFS($AR$7:$AR$1843,$CC$7:$CC$1843,CC1450,$AU$7:$AU$1843,"&gt;"&amp;AU1450)+SUMIFS($AR$7:$AR$1843,$CC$7:$CC$1843,CC1450,$AU$7:$AU$1843,AU1450,$BT$7:$BT$1843,"&lt;="&amp;BT1450),"")</f>
        <v>10265.3214285714</v>
      </c>
      <c r="AW1450" s="58" t="n">
        <f aca="false">IF(AV1450="",0,MAX(0,MIN(1,(IF(CC1450="L1",Parameter!$H$5,IF(CC1450="L23",Parameter!$H$6+Parameter!$H$7,Parameter!$H$5+Parameter!$H$6+Parameter!$H$7))-(AV1450-AR1450))/AR1450)))</f>
        <v>1</v>
      </c>
      <c r="AX1450" s="50" t="n">
        <f aca="false">IF(LEFT(Cockpit!$O$5,1)="A",H1450,IF(CE1450=1,CF1450,IF(LEFT(Cockpit!$O$5,1)="B",BC1450,MAX(BC1450,H1450))))</f>
        <v>24</v>
      </c>
      <c r="AY1450" s="50" t="n">
        <f aca="false">IF(BW1450=1,0,ROUNDUP(AX1450/BV1450,0))</f>
        <v>1</v>
      </c>
      <c r="AZ1450" s="52" t="n">
        <f aca="false">IF(CL1450&gt;0,CL1450*MAX(1,AX1450/X1450),IF(BW1450=1,IF(AX1450&lt;=0,0,CA1450*MAX(1,IF(H1450&gt;0,AX1450/H1450,1))),IF(R1450&gt;0,AY1450/R1450,0))/MAX(0.1,N(Parameter!$M$21)))</f>
        <v>0.0384615384615385</v>
      </c>
      <c r="BA1450" s="50" t="n">
        <f aca="false">AZ1450*BY1450</f>
        <v>9.42307692307692</v>
      </c>
      <c r="BB1450" s="50" t="n">
        <f aca="false">AX1450*G1450</f>
        <v>10947.6</v>
      </c>
      <c r="BC1450" s="50" t="n">
        <f aca="false">ROUNDUP(MAX(J1450/IF(CD1450&gt;0,CD1450,MAX(0.1,N(Cockpit!$O$6))),CG1450)/BV1450,0)*BV1450</f>
        <v>24</v>
      </c>
      <c r="BD1450" s="51" t="n">
        <f aca="false">IF(BA1450&gt;0,J1450/BA1450,-1)</f>
        <v>0.955102040816327</v>
      </c>
      <c r="BE1450" s="51" t="n">
        <f aca="false">IF(AND(OR(CC1450="L1",CC1450="L23",CC1450="LIFT"),BA1450&gt;0),SUMIFS($BA$7:$BA$1843,$CC$7:$CC$1843,CC1450,$BD$7:$BD$1843,"&gt;"&amp;BD1450)+SUMIFS($BA$7:$BA$1843,$CC$7:$CC$1843,CC1450,$BD$7:$BD$1843,BD1450,$BT$7:$BT$1843,"&lt;="&amp;BT1450),"")</f>
        <v>9354.31181318681</v>
      </c>
      <c r="BF1450" s="58" t="n">
        <f aca="false">IF(BE1450="",0,MAX(0,MIN(1,(IF(CC1450="L1",Parameter!$H$5,IF(CC1450="L23",Parameter!$H$6+Parameter!$H$7,Parameter!$H$5+Parameter!$H$6+Parameter!$H$7))-(BE1450-BA1450))/BA1450)))</f>
        <v>1</v>
      </c>
      <c r="BG1450" s="48" t="str">
        <f aca="false">IF(AI1450&lt;=0,"",IF(CC1450="Aussen","Aussenlager",IF(CC1450="-","Nicht im Lift",IF(AN1450&gt;=1,"Lift",IF(AN1450&lt;=0,"Aussenlager","teilweise")))))</f>
        <v/>
      </c>
      <c r="BH1450" s="48" t="str">
        <f aca="false">IF(AR1450&lt;=0,"",IF(CC1450="Aussen","Aussenlager",IF(CC1450="-","Nicht im Lift",IF(AW1450&gt;=1,"Lift",IF(AW1450&lt;=0,"Aussenlager","teilweise")))))</f>
        <v>Lift</v>
      </c>
      <c r="BI1450" s="48" t="str">
        <f aca="false">IF(BA1450&lt;=0,"",IF(CC1450="Aussen","Aussenlager",IF(CC1450="-","Nicht im Lift",IF(BF1450&gt;=1,"Lift",IF(BF1450&lt;=0,"Aussenlager","teilweise")))))</f>
        <v>Lift</v>
      </c>
      <c r="BJ1450" s="48" t="str">
        <f aca="false">IF(A1450="","",IF(BS1450=1,"Neu; ","")&amp;IF(AND(BS1450=0,BN1450&lt;0),"negativer Bestand (Export "&amp;BN1450&amp;"); ","")&amp;IF(J1450&lt;=0,"Kein Verbrauch; ","")&amp;IF(CL1450&gt;0,"Lift "&amp;W1450&amp;" lt. Liftbericht (Fach "&amp;X1450&amp;" Stk); ",IF(BX1450=1,"Gebinde geschätzt ("&amp;T1450&amp;"); ",IF(BW1450=1,"Lose – Tablare geschätzt; ","")))&amp;IF(H1450&gt;AT1450,"Überbestand "&amp;ROUND(H1450-AT1450,0)&amp;" Stk / CHF "&amp;ROUND((H1450-AT1450)*G1450,0)&amp;"; ","")&amp;IF(AND(CE1450=1,CF1450&lt;CG1450),"MAX &lt; MB+LG; ","")&amp;IF(AND(CK1450&gt;0,CJ1450*10&gt;CK1450),"zu hoch für Tablar; ","")&amp;IF(AND(BS1450=0,OR(CE1450=1,AA1450&lt;&gt;"",U1450&lt;&gt;"",V1450&lt;&gt;"",AB1450&lt;&gt;"")),"manuell übersteuert; ","")&amp;IF(AND(BW1450=0,R1450=0),"Gebinde unbekannt / Stellmass fehlt; ","")&amp;IF(AND(BW1450=0,N(V1450)&lt;=0,N(Q1450)&lt;=0),"Menge pro Gebinde fehlt (Ist = 1 Gebinde); ","")&amp;BR1450)</f>
        <v>negativer Bestand (Export -33); twin</v>
      </c>
      <c r="BK1450" s="48"/>
      <c r="BL1450" s="48"/>
      <c r="BM1450" s="55"/>
      <c r="BN1450" s="50" t="n">
        <v>-33</v>
      </c>
      <c r="BO1450" s="50" t="n">
        <v>0</v>
      </c>
      <c r="BP1450" s="49" t="n">
        <v>-12841.95</v>
      </c>
      <c r="BQ1450" s="50" t="n">
        <v>9</v>
      </c>
      <c r="BR1450" s="48" t="s">
        <v>1745</v>
      </c>
      <c r="BS1450" s="53" t="n">
        <v>0</v>
      </c>
      <c r="BT1450" s="53" t="n">
        <v>1450</v>
      </c>
      <c r="BU1450" s="48" t="str">
        <f aca="false">IF(U1450&lt;&gt;"",UPPER(TRIM(U1450)),IF(BX1450=1,UPPER(VLOOKUP(T1450,Parameter!$I$27:$K$29,2,0)),IF(P1450="","LOSE",P1450)))</f>
        <v>S52</v>
      </c>
      <c r="BV1450" s="50" t="n">
        <f aca="false">IF(BU1450="LOSE",1,IF(N(V1450)&gt;0,V1450,IF(BX1450=1,MAX(1,N(VLOOKUP(T1450,Parameter!$I$27:$K$29,3,0)),H1450,N(N1450)),IF(N(Q1450)&gt;0,Q1450,MAX(1,H1450)))))</f>
        <v>24</v>
      </c>
      <c r="BW1450" s="53" t="n">
        <f aca="false">IF(BU1450="LOSE",1,0)</f>
        <v>0</v>
      </c>
      <c r="BX1450" s="53" t="n">
        <f aca="false">IF(AND(U1450="",OR(P1450="",P1450="LOSE"),T1450&lt;&gt;"",N(S1450)&lt;=0,ISNUMBER(MATCH(T1450,Parameter!$I$27:$I$29,0))),1,0)</f>
        <v>0</v>
      </c>
      <c r="BY1450" s="53" t="n">
        <f aca="false">IF(CL1450&gt;0,INDEX(Parameter!$H$5:$H$7,W1450)/INDEX(Parameter!$E$5:$E$7,W1450),IF(AND(BW1450=0,N(IFERROR(VLOOKUP(BU1450,'Gebinde-Kategorie'!$A$5:$N$45,14,0),0))&gt;0),VLOOKUP(BU1450,'Gebinde-Kategorie'!$A$5:$N$45,14,0)*10+Parameter!$M$23,Parameter!$M$24))</f>
        <v>245</v>
      </c>
      <c r="BZ1450" s="48" t="str">
        <f aca="false">IF(AND(Parameter!$B$19="Ja",E1450&lt;&gt;"",ISNUMBER(MATCH(E1450,Parameter!$I$35:$I$52,0))),VLOOKUP(E1450,Parameter!$I$35:$J$52,2,0),IFERROR(VLOOKUP(D1450,Parameter!$A$35:$C$64,2,0),"Nein"))</f>
        <v>2+3</v>
      </c>
      <c r="CA1450" s="52" t="n">
        <f aca="false">IF(BW1450=0,0,IF(N(S1450)&gt;0,S1450,IFERROR(VLOOKUP(D1450,Parameter!$A$35:$C$64,3,0)+0,0)))</f>
        <v>0</v>
      </c>
      <c r="CB1450" s="48" t="n">
        <f aca="false">IF(AA1450&lt;&gt;"",AA1450,Z1450)</f>
        <v>3</v>
      </c>
      <c r="CC1450" s="48" t="str">
        <f aca="false">IF(OR(CB1450=1,CB1450=2,CB1450=3),IF(Parameter!$E$27="Ja","LIFT",IF(CB1450=1,"L1","L23")),IF(CB1450="Aussen","Aussen","-"))</f>
        <v>LIFT</v>
      </c>
      <c r="CD1450" s="59" t="n">
        <f aca="false">IF(N(AB1450)&gt;0,AB1450,0)</f>
        <v>0</v>
      </c>
      <c r="CE1450" s="53" t="n">
        <f aca="false">IF(ISNUMBER(AE1450),1,0)</f>
        <v>0</v>
      </c>
      <c r="CF1450" s="50" t="n">
        <f aca="false">N(AE1450)</f>
        <v>0</v>
      </c>
      <c r="CG1450" s="50" t="n">
        <f aca="false">N(M1450)+N(N1450)</f>
        <v>21</v>
      </c>
      <c r="CH1450" s="50" t="n">
        <f aca="false">ROUNDUP(H1450/BV1450,0)</f>
        <v>0</v>
      </c>
      <c r="CI1450" s="50" t="n">
        <f aca="false">ROUNDUP(CF1450/BV1450,0)</f>
        <v>0</v>
      </c>
      <c r="CJ1450" s="53" t="n">
        <f aca="false">IF(BW1450=1,0,IFERROR(VLOOKUP(BU1450,'Gebinde-Kategorie'!$A$5:$N$45,5,0)+0,0))</f>
        <v>21</v>
      </c>
      <c r="CK1450" s="53" t="n">
        <f aca="false">IFERROR(IF(OR(CB1450=1,CB1450=2,CB1450=3),N(INDEX(Parameter!$I$5:$I$7,CB1450)),0),0)</f>
        <v>0</v>
      </c>
      <c r="CL1450" s="52" t="n">
        <f aca="false">IF(AND(Parameter!$B$21="Ja",ISNUMBER(W1450),N(X1450)&gt;0),IFERROR(N(INDEX(Parameter!$L$5:$L$7,W1450))*INDEX(Parameter!$E$5:$E$7,W1450)*X1450/SUMIFS($X$7:$X$1843,$W$7:$W$1843,W1450),0),0)</f>
        <v>0</v>
      </c>
    </row>
    <row r="1451" customFormat="false" ht="15" hidden="false" customHeight="false" outlineLevel="0" collapsed="false">
      <c r="A1451" s="48" t="s">
        <v>2543</v>
      </c>
      <c r="B1451" s="48" t="s">
        <v>2544</v>
      </c>
      <c r="C1451" s="48" t="s">
        <v>168</v>
      </c>
      <c r="D1451" s="48" t="s">
        <v>177</v>
      </c>
      <c r="E1451" s="48" t="s">
        <v>189</v>
      </c>
      <c r="F1451" s="48"/>
      <c r="G1451" s="49" t="n">
        <v>216.49</v>
      </c>
      <c r="H1451" s="50" t="n">
        <f aca="false">MAX(0,IF(AND(Parameter!$B$21="Ja",ISNUMBER(Y1451)),Y1451,IF(Parameter!$B$20="Jahresanfang 2025 + Export",BO1451+BN1451,BN1451)))</f>
        <v>0</v>
      </c>
      <c r="I1451" s="50" t="n">
        <f aca="false">H1451*G1451</f>
        <v>0</v>
      </c>
      <c r="J1451" s="50" t="n">
        <f aca="false">BQ1451*Parameter!$B$18</f>
        <v>849</v>
      </c>
      <c r="K1451" s="51"/>
      <c r="L1451" s="52"/>
      <c r="M1451" s="50" t="n">
        <v>49</v>
      </c>
      <c r="N1451" s="50" t="n">
        <v>90</v>
      </c>
      <c r="O1451" s="53"/>
      <c r="P1451" s="48" t="s">
        <v>178</v>
      </c>
      <c r="Q1451" s="50" t="n">
        <v>30</v>
      </c>
      <c r="R1451" s="53" t="n">
        <f aca="false">IF(BW1451=1,0,IFERROR(VLOOKUP(BU1451,'Gebinde-Kategorie'!$A$5:$N$45,13,0)+0,0))</f>
        <v>6</v>
      </c>
      <c r="S1451" s="54"/>
      <c r="T1451" s="55"/>
      <c r="U1451" s="55"/>
      <c r="V1451" s="55"/>
      <c r="W1451" s="48"/>
      <c r="X1451" s="50"/>
      <c r="Y1451" s="50"/>
      <c r="Z1451" s="48" t="n">
        <f aca="false">IF(A1451="","",IF(AND(Parameter!$B$21="Ja",ISNUMBER(W1451)),W1451,IF(BZ1451="2+3",IF(ISNUMBER(SEARCH("grosser Artikel",BR1451)),2,IFERROR(VLOOKUP(BU1451,Parameter!$F$35:$G$64,2,0),2)),IF(OR(BZ1451="Nein",BZ1451=""),"-",BZ1451))))</f>
        <v>2</v>
      </c>
      <c r="AA1451" s="55"/>
      <c r="AB1451" s="56"/>
      <c r="AC1451" s="50" t="n">
        <f aca="false">AT1451</f>
        <v>450</v>
      </c>
      <c r="AD1451" s="50" t="n">
        <f aca="false">MAX(AT1451,H1451)</f>
        <v>450</v>
      </c>
      <c r="AE1451" s="57"/>
      <c r="AF1451" s="50" t="n">
        <f aca="false">IF(LEFT(Cockpit!$C$5,1)="A",H1451,IF(CE1451=1,CF1451,IF(LEFT(Cockpit!$C$5,1)="B",AK1451,MAX(AK1451,H1451))))</f>
        <v>0</v>
      </c>
      <c r="AG1451" s="50" t="n">
        <f aca="false">IF(BW1451=1,0,ROUNDUP(AF1451/BV1451,0))</f>
        <v>0</v>
      </c>
      <c r="AH1451" s="52" t="n">
        <f aca="false">IF(CL1451&gt;0,CL1451*MAX(1,AF1451/X1451),IF(BW1451=1,IF(AF1451&lt;=0,0,CA1451*MAX(1,IF(H1451&gt;0,AF1451/H1451,1))),IF(R1451&gt;0,AG1451/R1451,0))/MAX(0.1,N(Parameter!$M$21)))</f>
        <v>0</v>
      </c>
      <c r="AI1451" s="50" t="n">
        <f aca="false">AH1451*BY1451</f>
        <v>0</v>
      </c>
      <c r="AJ1451" s="50" t="n">
        <f aca="false">AF1451*G1451</f>
        <v>0</v>
      </c>
      <c r="AK1451" s="50" t="n">
        <f aca="false">ROUNDUP(MAX(J1451/IF(CD1451&gt;0,CD1451,MAX(0.1,N(Cockpit!$C$6))),CG1451)/BV1451,0)*BV1451</f>
        <v>450</v>
      </c>
      <c r="AL1451" s="51" t="n">
        <f aca="false">IF(AI1451&gt;0,J1451/AI1451,-1)</f>
        <v>-1</v>
      </c>
      <c r="AM1451" s="51" t="str">
        <f aca="false">IF(AND(OR(CC1451="L1",CC1451="L23",CC1451="LIFT"),AI1451&gt;0),SUMIFS($AI$7:$AI$1843,$CC$7:$CC$1843,CC1451,$AL$7:$AL$1843,"&gt;"&amp;AL1451)+SUMIFS($AI$7:$AI$1843,$CC$7:$CC$1843,CC1451,$AL$7:$AL$1843,AL1451,$BT$7:$BT$1843,"&lt;="&amp;BT1451),"")</f>
        <v/>
      </c>
      <c r="AN1451" s="58" t="n">
        <f aca="false">IF(AM1451="",0,MAX(0,MIN(1,(IF(CC1451="L1",Parameter!$H$5,IF(CC1451="L23",Parameter!$H$6+Parameter!$H$7,Parameter!$H$5+Parameter!$H$6+Parameter!$H$7))-(AM1451-AI1451))/AI1451)))</f>
        <v>0</v>
      </c>
      <c r="AO1451" s="50" t="n">
        <f aca="false">IF(LEFT(Cockpit!$I$5,1)="A",H1451,IF(CE1451=1,CF1451,IF(LEFT(Cockpit!$I$5,1)="B",AT1451,MAX(AT1451,H1451))))</f>
        <v>450</v>
      </c>
      <c r="AP1451" s="50" t="n">
        <f aca="false">IF(BW1451=1,0,ROUNDUP(AO1451/BV1451,0))</f>
        <v>15</v>
      </c>
      <c r="AQ1451" s="52" t="n">
        <f aca="false">IF(CL1451&gt;0,CL1451*MAX(1,AO1451/X1451),IF(BW1451=1,IF(AO1451&lt;=0,0,CA1451*MAX(1,IF(H1451&gt;0,AO1451/H1451,1))),IF(R1451&gt;0,AP1451/R1451,0))/MAX(0.1,N(Parameter!$M$21)))</f>
        <v>2.5</v>
      </c>
      <c r="AR1451" s="50" t="n">
        <f aca="false">AQ1451*BY1451</f>
        <v>587.5</v>
      </c>
      <c r="AS1451" s="50" t="n">
        <f aca="false">AO1451*G1451</f>
        <v>97420.5</v>
      </c>
      <c r="AT1451" s="50" t="n">
        <f aca="false">ROUNDUP(MAX(J1451/IF(CD1451&gt;0,CD1451,MAX(0.1,N(Cockpit!$I$6))),CG1451)/BV1451,0)*BV1451</f>
        <v>450</v>
      </c>
      <c r="AU1451" s="51" t="n">
        <f aca="false">IF(AR1451&gt;0,J1451/AR1451,-1)</f>
        <v>1.44510638297872</v>
      </c>
      <c r="AV1451" s="51" t="n">
        <f aca="false">IF(AND(OR(CC1451="L1",CC1451="L23",CC1451="LIFT"),AR1451&gt;0),SUMIFS($AR$7:$AR$1843,$CC$7:$CC$1843,CC1451,$AU$7:$AU$1843,"&gt;"&amp;AU1451)+SUMIFS($AR$7:$AR$1843,$CC$7:$CC$1843,CC1451,$AU$7:$AU$1843,AU1451,$BT$7:$BT$1843,"&lt;="&amp;BT1451),"")</f>
        <v>9114.52014652015</v>
      </c>
      <c r="AW1451" s="58" t="n">
        <f aca="false">IF(AV1451="",0,MAX(0,MIN(1,(IF(CC1451="L1",Parameter!$H$5,IF(CC1451="L23",Parameter!$H$6+Parameter!$H$7,Parameter!$H$5+Parameter!$H$6+Parameter!$H$7))-(AV1451-AR1451))/AR1451)))</f>
        <v>1</v>
      </c>
      <c r="AX1451" s="50" t="n">
        <f aca="false">IF(LEFT(Cockpit!$O$5,1)="A",H1451,IF(CE1451=1,CF1451,IF(LEFT(Cockpit!$O$5,1)="B",BC1451,MAX(BC1451,H1451))))</f>
        <v>300</v>
      </c>
      <c r="AY1451" s="50" t="n">
        <f aca="false">IF(BW1451=1,0,ROUNDUP(AX1451/BV1451,0))</f>
        <v>10</v>
      </c>
      <c r="AZ1451" s="52" t="n">
        <f aca="false">IF(CL1451&gt;0,CL1451*MAX(1,AX1451/X1451),IF(BW1451=1,IF(AX1451&lt;=0,0,CA1451*MAX(1,IF(H1451&gt;0,AX1451/H1451,1))),IF(R1451&gt;0,AY1451/R1451,0))/MAX(0.1,N(Parameter!$M$21)))</f>
        <v>1.66666666666667</v>
      </c>
      <c r="BA1451" s="50" t="n">
        <f aca="false">AZ1451*BY1451</f>
        <v>391.666666666667</v>
      </c>
      <c r="BB1451" s="50" t="n">
        <f aca="false">AX1451*G1451</f>
        <v>64947</v>
      </c>
      <c r="BC1451" s="50" t="n">
        <f aca="false">ROUNDUP(MAX(J1451/IF(CD1451&gt;0,CD1451,MAX(0.1,N(Cockpit!$O$6))),CG1451)/BV1451,0)*BV1451</f>
        <v>300</v>
      </c>
      <c r="BD1451" s="51" t="n">
        <f aca="false">IF(BA1451&gt;0,J1451/BA1451,-1)</f>
        <v>2.16765957446809</v>
      </c>
      <c r="BE1451" s="51" t="n">
        <f aca="false">IF(AND(OR(CC1451="L1",CC1451="L23",CC1451="LIFT"),BA1451&gt;0),SUMIFS($BA$7:$BA$1843,$CC$7:$CC$1843,CC1451,$BD$7:$BD$1843,"&gt;"&amp;BD1451)+SUMIFS($BA$7:$BA$1843,$CC$7:$CC$1843,CC1451,$BD$7:$BD$1843,BD1451,$BT$7:$BT$1843,"&lt;="&amp;BT1451),"")</f>
        <v>7395.25366300366</v>
      </c>
      <c r="BF1451" s="58" t="n">
        <f aca="false">IF(BE1451="",0,MAX(0,MIN(1,(IF(CC1451="L1",Parameter!$H$5,IF(CC1451="L23",Parameter!$H$6+Parameter!$H$7,Parameter!$H$5+Parameter!$H$6+Parameter!$H$7))-(BE1451-BA1451))/BA1451)))</f>
        <v>1</v>
      </c>
      <c r="BG1451" s="48" t="str">
        <f aca="false">IF(AI1451&lt;=0,"",IF(CC1451="Aussen","Aussenlager",IF(CC1451="-","Nicht im Lift",IF(AN1451&gt;=1,"Lift",IF(AN1451&lt;=0,"Aussenlager","teilweise")))))</f>
        <v/>
      </c>
      <c r="BH1451" s="48" t="str">
        <f aca="false">IF(AR1451&lt;=0,"",IF(CC1451="Aussen","Aussenlager",IF(CC1451="-","Nicht im Lift",IF(AW1451&gt;=1,"Lift",IF(AW1451&lt;=0,"Aussenlager","teilweise")))))</f>
        <v>Lift</v>
      </c>
      <c r="BI1451" s="48" t="str">
        <f aca="false">IF(BA1451&lt;=0,"",IF(CC1451="Aussen","Aussenlager",IF(CC1451="-","Nicht im Lift",IF(BF1451&gt;=1,"Lift",IF(BF1451&lt;=0,"Aussenlager","teilweise")))))</f>
        <v>Lift</v>
      </c>
      <c r="BJ1451" s="48" t="str">
        <f aca="false">IF(A1451="","",IF(BS1451=1,"Neu; ","")&amp;IF(AND(BS1451=0,BN1451&lt;0),"negativer Bestand (Export "&amp;BN1451&amp;"); ","")&amp;IF(J1451&lt;=0,"Kein Verbrauch; ","")&amp;IF(CL1451&gt;0,"Lift "&amp;W1451&amp;" lt. Liftbericht (Fach "&amp;X1451&amp;" Stk); ",IF(BX1451=1,"Gebinde geschätzt ("&amp;T1451&amp;"); ",IF(BW1451=1,"Lose – Tablare geschätzt; ","")))&amp;IF(H1451&gt;AT1451,"Überbestand "&amp;ROUND(H1451-AT1451,0)&amp;" Stk / CHF "&amp;ROUND((H1451-AT1451)*G1451,0)&amp;"; ","")&amp;IF(AND(CE1451=1,CF1451&lt;CG1451),"MAX &lt; MB+LG; ","")&amp;IF(AND(CK1451&gt;0,CJ1451*10&gt;CK1451),"zu hoch für Tablar; ","")&amp;IF(AND(BS1451=0,OR(CE1451=1,AA1451&lt;&gt;"",U1451&lt;&gt;"",V1451&lt;&gt;"",AB1451&lt;&gt;"")),"manuell übersteuert; ","")&amp;IF(AND(BW1451=0,R1451=0),"Gebinde unbekannt / Stellmass fehlt; ","")&amp;IF(AND(BW1451=0,N(V1451)&lt;=0,N(Q1451)&lt;=0),"Menge pro Gebinde fehlt (Ist = 1 Gebinde); ","")&amp;BR1451)</f>
        <v>negativer Bestand (Export -57); grosser Artikel &amp; nicht im KTL</v>
      </c>
      <c r="BK1451" s="48"/>
      <c r="BL1451" s="48"/>
      <c r="BM1451" s="55"/>
      <c r="BN1451" s="50" t="n">
        <v>-57</v>
      </c>
      <c r="BO1451" s="50" t="n">
        <v>0</v>
      </c>
      <c r="BP1451" s="49" t="n">
        <v>-12923.04</v>
      </c>
      <c r="BQ1451" s="50" t="n">
        <v>849</v>
      </c>
      <c r="BR1451" s="48" t="s">
        <v>265</v>
      </c>
      <c r="BS1451" s="53" t="n">
        <v>0</v>
      </c>
      <c r="BT1451" s="53" t="n">
        <v>1451</v>
      </c>
      <c r="BU1451" s="48" t="str">
        <f aca="false">IF(U1451&lt;&gt;"",UPPER(TRIM(U1451)),IF(BX1451=1,UPPER(VLOOKUP(T1451,Parameter!$I$27:$K$29,2,0)),IF(P1451="","LOSE",P1451)))</f>
        <v>S71</v>
      </c>
      <c r="BV1451" s="50" t="n">
        <f aca="false">IF(BU1451="LOSE",1,IF(N(V1451)&gt;0,V1451,IF(BX1451=1,MAX(1,N(VLOOKUP(T1451,Parameter!$I$27:$K$29,3,0)),H1451,N(N1451)),IF(N(Q1451)&gt;0,Q1451,MAX(1,H1451)))))</f>
        <v>30</v>
      </c>
      <c r="BW1451" s="53" t="n">
        <f aca="false">IF(BU1451="LOSE",1,0)</f>
        <v>0</v>
      </c>
      <c r="BX1451" s="53" t="n">
        <f aca="false">IF(AND(U1451="",OR(P1451="",P1451="LOSE"),T1451&lt;&gt;"",N(S1451)&lt;=0,ISNUMBER(MATCH(T1451,Parameter!$I$27:$I$29,0))),1,0)</f>
        <v>0</v>
      </c>
      <c r="BY1451" s="53" t="n">
        <f aca="false">IF(CL1451&gt;0,INDEX(Parameter!$H$5:$H$7,W1451)/INDEX(Parameter!$E$5:$E$7,W1451),IF(AND(BW1451=0,N(IFERROR(VLOOKUP(BU1451,'Gebinde-Kategorie'!$A$5:$N$45,14,0),0))&gt;0),VLOOKUP(BU1451,'Gebinde-Kategorie'!$A$5:$N$45,14,0)*10+Parameter!$M$23,Parameter!$M$24))</f>
        <v>235</v>
      </c>
      <c r="BZ1451" s="48" t="str">
        <f aca="false">IF(AND(Parameter!$B$19="Ja",E1451&lt;&gt;"",ISNUMBER(MATCH(E1451,Parameter!$I$35:$I$52,0))),VLOOKUP(E1451,Parameter!$I$35:$J$52,2,0),IFERROR(VLOOKUP(D1451,Parameter!$A$35:$C$64,2,0),"Nein"))</f>
        <v>2+3</v>
      </c>
      <c r="CA1451" s="52" t="n">
        <f aca="false">IF(BW1451=0,0,IF(N(S1451)&gt;0,S1451,IFERROR(VLOOKUP(D1451,Parameter!$A$35:$C$64,3,0)+0,0)))</f>
        <v>0</v>
      </c>
      <c r="CB1451" s="48" t="n">
        <f aca="false">IF(AA1451&lt;&gt;"",AA1451,Z1451)</f>
        <v>2</v>
      </c>
      <c r="CC1451" s="48" t="str">
        <f aca="false">IF(OR(CB1451=1,CB1451=2,CB1451=3),IF(Parameter!$E$27="Ja","LIFT",IF(CB1451=1,"L1","L23")),IF(CB1451="Aussen","Aussen","-"))</f>
        <v>LIFT</v>
      </c>
      <c r="CD1451" s="59" t="n">
        <f aca="false">IF(N(AB1451)&gt;0,AB1451,0)</f>
        <v>0</v>
      </c>
      <c r="CE1451" s="53" t="n">
        <f aca="false">IF(ISNUMBER(AE1451),1,0)</f>
        <v>0</v>
      </c>
      <c r="CF1451" s="50" t="n">
        <f aca="false">N(AE1451)</f>
        <v>0</v>
      </c>
      <c r="CG1451" s="50" t="n">
        <f aca="false">N(M1451)+N(N1451)</f>
        <v>139</v>
      </c>
      <c r="CH1451" s="50" t="n">
        <f aca="false">ROUNDUP(H1451/BV1451,0)</f>
        <v>0</v>
      </c>
      <c r="CI1451" s="50" t="n">
        <f aca="false">ROUNDUP(CF1451/BV1451,0)</f>
        <v>0</v>
      </c>
      <c r="CJ1451" s="53" t="n">
        <f aca="false">IF(BW1451=1,0,IFERROR(VLOOKUP(BU1451,'Gebinde-Kategorie'!$A$5:$N$45,5,0)+0,0))</f>
        <v>20</v>
      </c>
      <c r="CK1451" s="53" t="n">
        <f aca="false">IFERROR(IF(OR(CB1451=1,CB1451=2,CB1451=3),N(INDEX(Parameter!$I$5:$I$7,CB1451)),0),0)</f>
        <v>0</v>
      </c>
      <c r="CL1451" s="52" t="n">
        <f aca="false">IF(AND(Parameter!$B$21="Ja",ISNUMBER(W1451),N(X1451)&gt;0),IFERROR(N(INDEX(Parameter!$L$5:$L$7,W1451))*INDEX(Parameter!$E$5:$E$7,W1451)*X1451/SUMIFS($X$7:$X$1843,$W$7:$W$1843,W1451),0),0)</f>
        <v>0</v>
      </c>
    </row>
    <row r="1452" customFormat="false" ht="15" hidden="false" customHeight="false" outlineLevel="0" collapsed="false">
      <c r="A1452" s="48" t="s">
        <v>2545</v>
      </c>
      <c r="B1452" s="48" t="s">
        <v>343</v>
      </c>
      <c r="C1452" s="48" t="s">
        <v>168</v>
      </c>
      <c r="D1452" s="48" t="s">
        <v>177</v>
      </c>
      <c r="E1452" s="48" t="s">
        <v>170</v>
      </c>
      <c r="F1452" s="48"/>
      <c r="G1452" s="49" t="n">
        <v>457</v>
      </c>
      <c r="H1452" s="50" t="n">
        <f aca="false">MAX(0,IF(AND(Parameter!$B$21="Ja",ISNUMBER(Y1452)),Y1452,IF(Parameter!$B$20="Jahresanfang 2025 + Export",BO1452+BN1452,BN1452)))</f>
        <v>0</v>
      </c>
      <c r="I1452" s="50" t="n">
        <f aca="false">H1452*G1452</f>
        <v>0</v>
      </c>
      <c r="J1452" s="50" t="n">
        <f aca="false">BQ1452*Parameter!$B$18</f>
        <v>0</v>
      </c>
      <c r="K1452" s="51"/>
      <c r="L1452" s="52"/>
      <c r="M1452" s="50" t="n">
        <v>0</v>
      </c>
      <c r="N1452" s="50" t="n">
        <v>1</v>
      </c>
      <c r="O1452" s="53"/>
      <c r="P1452" s="48" t="s">
        <v>178</v>
      </c>
      <c r="Q1452" s="50" t="n">
        <v>4</v>
      </c>
      <c r="R1452" s="53" t="n">
        <f aca="false">IF(BW1452=1,0,IFERROR(VLOOKUP(BU1452,'Gebinde-Kategorie'!$A$5:$N$45,13,0)+0,0))</f>
        <v>6</v>
      </c>
      <c r="S1452" s="54"/>
      <c r="T1452" s="55"/>
      <c r="U1452" s="55"/>
      <c r="V1452" s="55"/>
      <c r="W1452" s="48"/>
      <c r="X1452" s="50"/>
      <c r="Y1452" s="50"/>
      <c r="Z1452" s="48" t="n">
        <f aca="false">IF(A1452="","",IF(AND(Parameter!$B$21="Ja",ISNUMBER(W1452)),W1452,IF(BZ1452="2+3",IF(ISNUMBER(SEARCH("grosser Artikel",BR1452)),2,IFERROR(VLOOKUP(BU1452,Parameter!$F$35:$G$64,2,0),2)),IF(OR(BZ1452="Nein",BZ1452=""),"-",BZ1452))))</f>
        <v>1</v>
      </c>
      <c r="AA1452" s="55"/>
      <c r="AB1452" s="56"/>
      <c r="AC1452" s="50" t="n">
        <f aca="false">AT1452</f>
        <v>4</v>
      </c>
      <c r="AD1452" s="50" t="n">
        <f aca="false">MAX(AT1452,H1452)</f>
        <v>4</v>
      </c>
      <c r="AE1452" s="57"/>
      <c r="AF1452" s="50" t="n">
        <f aca="false">IF(LEFT(Cockpit!$C$5,1)="A",H1452,IF(CE1452=1,CF1452,IF(LEFT(Cockpit!$C$5,1)="B",AK1452,MAX(AK1452,H1452))))</f>
        <v>0</v>
      </c>
      <c r="AG1452" s="50" t="n">
        <f aca="false">IF(BW1452=1,0,ROUNDUP(AF1452/BV1452,0))</f>
        <v>0</v>
      </c>
      <c r="AH1452" s="52" t="n">
        <f aca="false">IF(CL1452&gt;0,CL1452*MAX(1,AF1452/X1452),IF(BW1452=1,IF(AF1452&lt;=0,0,CA1452*MAX(1,IF(H1452&gt;0,AF1452/H1452,1))),IF(R1452&gt;0,AG1452/R1452,0))/MAX(0.1,N(Parameter!$M$21)))</f>
        <v>0</v>
      </c>
      <c r="AI1452" s="50" t="n">
        <f aca="false">AH1452*BY1452</f>
        <v>0</v>
      </c>
      <c r="AJ1452" s="50" t="n">
        <f aca="false">AF1452*G1452</f>
        <v>0</v>
      </c>
      <c r="AK1452" s="50" t="n">
        <f aca="false">ROUNDUP(MAX(J1452/IF(CD1452&gt;0,CD1452,MAX(0.1,N(Cockpit!$C$6))),CG1452)/BV1452,0)*BV1452</f>
        <v>4</v>
      </c>
      <c r="AL1452" s="51" t="n">
        <f aca="false">IF(AI1452&gt;0,J1452/AI1452,-1)</f>
        <v>-1</v>
      </c>
      <c r="AM1452" s="51" t="str">
        <f aca="false">IF(AND(OR(CC1452="L1",CC1452="L23",CC1452="LIFT"),AI1452&gt;0),SUMIFS($AI$7:$AI$1843,$CC$7:$CC$1843,CC1452,$AL$7:$AL$1843,"&gt;"&amp;AL1452)+SUMIFS($AI$7:$AI$1843,$CC$7:$CC$1843,CC1452,$AL$7:$AL$1843,AL1452,$BT$7:$BT$1843,"&lt;="&amp;BT1452),"")</f>
        <v/>
      </c>
      <c r="AN1452" s="58" t="n">
        <f aca="false">IF(AM1452="",0,MAX(0,MIN(1,(IF(CC1452="L1",Parameter!$H$5,IF(CC1452="L23",Parameter!$H$6+Parameter!$H$7,Parameter!$H$5+Parameter!$H$6+Parameter!$H$7))-(AM1452-AI1452))/AI1452)))</f>
        <v>0</v>
      </c>
      <c r="AO1452" s="50" t="n">
        <f aca="false">IF(LEFT(Cockpit!$I$5,1)="A",H1452,IF(CE1452=1,CF1452,IF(LEFT(Cockpit!$I$5,1)="B",AT1452,MAX(AT1452,H1452))))</f>
        <v>4</v>
      </c>
      <c r="AP1452" s="50" t="n">
        <f aca="false">IF(BW1452=1,0,ROUNDUP(AO1452/BV1452,0))</f>
        <v>1</v>
      </c>
      <c r="AQ1452" s="52" t="n">
        <f aca="false">IF(CL1452&gt;0,CL1452*MAX(1,AO1452/X1452),IF(BW1452=1,IF(AO1452&lt;=0,0,CA1452*MAX(1,IF(H1452&gt;0,AO1452/H1452,1))),IF(R1452&gt;0,AP1452/R1452,0))/MAX(0.1,N(Parameter!$M$21)))</f>
        <v>0.166666666666667</v>
      </c>
      <c r="AR1452" s="50" t="n">
        <f aca="false">AQ1452*BY1452</f>
        <v>39.1666666666667</v>
      </c>
      <c r="AS1452" s="50" t="n">
        <f aca="false">AO1452*G1452</f>
        <v>1828</v>
      </c>
      <c r="AT1452" s="50" t="n">
        <f aca="false">ROUNDUP(MAX(J1452/IF(CD1452&gt;0,CD1452,MAX(0.1,N(Cockpit!$I$6))),CG1452)/BV1452,0)*BV1452</f>
        <v>4</v>
      </c>
      <c r="AU1452" s="51" t="n">
        <f aca="false">IF(AR1452&gt;0,J1452/AR1452,-1)</f>
        <v>0</v>
      </c>
      <c r="AV1452" s="51" t="n">
        <f aca="false">IF(AND(OR(CC1452="L1",CC1452="L23",CC1452="LIFT"),AR1452&gt;0),SUMIFS($AR$7:$AR$1843,$CC$7:$CC$1843,CC1452,$AU$7:$AU$1843,"&gt;"&amp;AU1452)+SUMIFS($AR$7:$AR$1843,$CC$7:$CC$1843,CC1452,$AU$7:$AU$1843,AU1452,$BT$7:$BT$1843,"&lt;="&amp;BT1452),"")</f>
        <v>41953.9456654457</v>
      </c>
      <c r="AW1452" s="58" t="n">
        <f aca="false">IF(AV1452="",0,MAX(0,MIN(1,(IF(CC1452="L1",Parameter!$H$5,IF(CC1452="L23",Parameter!$H$6+Parameter!$H$7,Parameter!$H$5+Parameter!$H$6+Parameter!$H$7))-(AV1452-AR1452))/AR1452)))</f>
        <v>0</v>
      </c>
      <c r="AX1452" s="50" t="n">
        <f aca="false">IF(LEFT(Cockpit!$O$5,1)="A",H1452,IF(CE1452=1,CF1452,IF(LEFT(Cockpit!$O$5,1)="B",BC1452,MAX(BC1452,H1452))))</f>
        <v>4</v>
      </c>
      <c r="AY1452" s="50" t="n">
        <f aca="false">IF(BW1452=1,0,ROUNDUP(AX1452/BV1452,0))</f>
        <v>1</v>
      </c>
      <c r="AZ1452" s="52" t="n">
        <f aca="false">IF(CL1452&gt;0,CL1452*MAX(1,AX1452/X1452),IF(BW1452=1,IF(AX1452&lt;=0,0,CA1452*MAX(1,IF(H1452&gt;0,AX1452/H1452,1))),IF(R1452&gt;0,AY1452/R1452,0))/MAX(0.1,N(Parameter!$M$21)))</f>
        <v>0.166666666666667</v>
      </c>
      <c r="BA1452" s="50" t="n">
        <f aca="false">AZ1452*BY1452</f>
        <v>39.1666666666667</v>
      </c>
      <c r="BB1452" s="50" t="n">
        <f aca="false">AX1452*G1452</f>
        <v>1828</v>
      </c>
      <c r="BC1452" s="50" t="n">
        <f aca="false">ROUNDUP(MAX(J1452/IF(CD1452&gt;0,CD1452,MAX(0.1,N(Cockpit!$O$6))),CG1452)/BV1452,0)*BV1452</f>
        <v>4</v>
      </c>
      <c r="BD1452" s="51" t="n">
        <f aca="false">IF(BA1452&gt;0,J1452/BA1452,-1)</f>
        <v>0</v>
      </c>
      <c r="BE1452" s="51" t="n">
        <f aca="false">IF(AND(OR(CC1452="L1",CC1452="L23",CC1452="LIFT"),BA1452&gt;0),SUMIFS($BA$7:$BA$1843,$CC$7:$CC$1843,CC1452,$BD$7:$BD$1843,"&gt;"&amp;BD1452)+SUMIFS($BA$7:$BA$1843,$CC$7:$CC$1843,CC1452,$BD$7:$BD$1843,BD1452,$BT$7:$BT$1843,"&lt;="&amp;BT1452),"")</f>
        <v>38628.9577073115</v>
      </c>
      <c r="BF1452" s="58" t="n">
        <f aca="false">IF(BE1452="",0,MAX(0,MIN(1,(IF(CC1452="L1",Parameter!$H$5,IF(CC1452="L23",Parameter!$H$6+Parameter!$H$7,Parameter!$H$5+Parameter!$H$6+Parameter!$H$7))-(BE1452-BA1452))/BA1452)))</f>
        <v>0</v>
      </c>
      <c r="BG1452" s="48" t="str">
        <f aca="false">IF(AI1452&lt;=0,"",IF(CC1452="Aussen","Aussenlager",IF(CC1452="-","Nicht im Lift",IF(AN1452&gt;=1,"Lift",IF(AN1452&lt;=0,"Aussenlager","teilweise")))))</f>
        <v/>
      </c>
      <c r="BH1452" s="48" t="str">
        <f aca="false">IF(AR1452&lt;=0,"",IF(CC1452="Aussen","Aussenlager",IF(CC1452="-","Nicht im Lift",IF(AW1452&gt;=1,"Lift",IF(AW1452&lt;=0,"Aussenlager","teilweise")))))</f>
        <v>Aussenlager</v>
      </c>
      <c r="BI1452" s="48" t="str">
        <f aca="false">IF(BA1452&lt;=0,"",IF(CC1452="Aussen","Aussenlager",IF(CC1452="-","Nicht im Lift",IF(BF1452&gt;=1,"Lift",IF(BF1452&lt;=0,"Aussenlager","teilweise")))))</f>
        <v>Aussenlager</v>
      </c>
      <c r="BJ1452" s="48" t="str">
        <f aca="false">IF(A1452="","",IF(BS1452=1,"Neu; ","")&amp;IF(AND(BS1452=0,BN1452&lt;0),"negativer Bestand (Export "&amp;BN1452&amp;"); ","")&amp;IF(J1452&lt;=0,"Kein Verbrauch; ","")&amp;IF(CL1452&gt;0,"Lift "&amp;W1452&amp;" lt. Liftbericht (Fach "&amp;X1452&amp;" Stk); ",IF(BX1452=1,"Gebinde geschätzt ("&amp;T1452&amp;"); ",IF(BW1452=1,"Lose – Tablare geschätzt; ","")))&amp;IF(H1452&gt;AT1452,"Überbestand "&amp;ROUND(H1452-AT1452,0)&amp;" Stk / CHF "&amp;ROUND((H1452-AT1452)*G1452,0)&amp;"; ","")&amp;IF(AND(CE1452=1,CF1452&lt;CG1452),"MAX &lt; MB+LG; ","")&amp;IF(AND(CK1452&gt;0,CJ1452*10&gt;CK1452),"zu hoch für Tablar; ","")&amp;IF(AND(BS1452=0,OR(CE1452=1,AA1452&lt;&gt;"",U1452&lt;&gt;"",V1452&lt;&gt;"",AB1452&lt;&gt;"")),"manuell übersteuert; ","")&amp;IF(AND(BW1452=0,R1452=0),"Gebinde unbekannt / Stellmass fehlt; ","")&amp;IF(AND(BW1452=0,N(V1452)&lt;=0,N(Q1452)&lt;=0),"Menge pro Gebinde fehlt (Ist = 1 Gebinde); ","")&amp;BR1452)</f>
        <v>negativer Bestand (Export -29); Kein Verbrauch; </v>
      </c>
      <c r="BK1452" s="48"/>
      <c r="BL1452" s="48"/>
      <c r="BM1452" s="55"/>
      <c r="BN1452" s="50" t="n">
        <v>-29</v>
      </c>
      <c r="BO1452" s="50" t="n">
        <v>0</v>
      </c>
      <c r="BP1452" s="49" t="n">
        <v>-13253</v>
      </c>
      <c r="BQ1452" s="50" t="n">
        <v>0</v>
      </c>
      <c r="BR1452" s="48"/>
      <c r="BS1452" s="53" t="n">
        <v>0</v>
      </c>
      <c r="BT1452" s="53" t="n">
        <v>1452</v>
      </c>
      <c r="BU1452" s="48" t="str">
        <f aca="false">IF(U1452&lt;&gt;"",UPPER(TRIM(U1452)),IF(BX1452=1,UPPER(VLOOKUP(T1452,Parameter!$I$27:$K$29,2,0)),IF(P1452="","LOSE",P1452)))</f>
        <v>S71</v>
      </c>
      <c r="BV1452" s="50" t="n">
        <f aca="false">IF(BU1452="LOSE",1,IF(N(V1452)&gt;0,V1452,IF(BX1452=1,MAX(1,N(VLOOKUP(T1452,Parameter!$I$27:$K$29,3,0)),H1452,N(N1452)),IF(N(Q1452)&gt;0,Q1452,MAX(1,H1452)))))</f>
        <v>4</v>
      </c>
      <c r="BW1452" s="53" t="n">
        <f aca="false">IF(BU1452="LOSE",1,0)</f>
        <v>0</v>
      </c>
      <c r="BX1452" s="53" t="n">
        <f aca="false">IF(AND(U1452="",OR(P1452="",P1452="LOSE"),T1452&lt;&gt;"",N(S1452)&lt;=0,ISNUMBER(MATCH(T1452,Parameter!$I$27:$I$29,0))),1,0)</f>
        <v>0</v>
      </c>
      <c r="BY1452" s="53" t="n">
        <f aca="false">IF(CL1452&gt;0,INDEX(Parameter!$H$5:$H$7,W1452)/INDEX(Parameter!$E$5:$E$7,W1452),IF(AND(BW1452=0,N(IFERROR(VLOOKUP(BU1452,'Gebinde-Kategorie'!$A$5:$N$45,14,0),0))&gt;0),VLOOKUP(BU1452,'Gebinde-Kategorie'!$A$5:$N$45,14,0)*10+Parameter!$M$23,Parameter!$M$24))</f>
        <v>235</v>
      </c>
      <c r="BZ1452" s="48" t="n">
        <f aca="false">IF(AND(Parameter!$B$19="Ja",E1452&lt;&gt;"",ISNUMBER(MATCH(E1452,Parameter!$I$35:$I$52,0))),VLOOKUP(E1452,Parameter!$I$35:$J$52,2,0),IFERROR(VLOOKUP(D1452,Parameter!$A$35:$C$64,2,0),"Nein"))</f>
        <v>1</v>
      </c>
      <c r="CA1452" s="52" t="n">
        <f aca="false">IF(BW1452=0,0,IF(N(S1452)&gt;0,S1452,IFERROR(VLOOKUP(D1452,Parameter!$A$35:$C$64,3,0)+0,0)))</f>
        <v>0</v>
      </c>
      <c r="CB1452" s="48" t="n">
        <f aca="false">IF(AA1452&lt;&gt;"",AA1452,Z1452)</f>
        <v>1</v>
      </c>
      <c r="CC1452" s="48" t="str">
        <f aca="false">IF(OR(CB1452=1,CB1452=2,CB1452=3),IF(Parameter!$E$27="Ja","LIFT",IF(CB1452=1,"L1","L23")),IF(CB1452="Aussen","Aussen","-"))</f>
        <v>LIFT</v>
      </c>
      <c r="CD1452" s="59" t="n">
        <f aca="false">IF(N(AB1452)&gt;0,AB1452,0)</f>
        <v>0</v>
      </c>
      <c r="CE1452" s="53" t="n">
        <f aca="false">IF(ISNUMBER(AE1452),1,0)</f>
        <v>0</v>
      </c>
      <c r="CF1452" s="50" t="n">
        <f aca="false">N(AE1452)</f>
        <v>0</v>
      </c>
      <c r="CG1452" s="50" t="n">
        <f aca="false">N(M1452)+N(N1452)</f>
        <v>1</v>
      </c>
      <c r="CH1452" s="50" t="n">
        <f aca="false">ROUNDUP(H1452/BV1452,0)</f>
        <v>0</v>
      </c>
      <c r="CI1452" s="50" t="n">
        <f aca="false">ROUNDUP(CF1452/BV1452,0)</f>
        <v>0</v>
      </c>
      <c r="CJ1452" s="53" t="n">
        <f aca="false">IF(BW1452=1,0,IFERROR(VLOOKUP(BU1452,'Gebinde-Kategorie'!$A$5:$N$45,5,0)+0,0))</f>
        <v>20</v>
      </c>
      <c r="CK1452" s="53" t="n">
        <f aca="false">IFERROR(IF(OR(CB1452=1,CB1452=2,CB1452=3),N(INDEX(Parameter!$I$5:$I$7,CB1452)),0),0)</f>
        <v>0</v>
      </c>
      <c r="CL1452" s="52" t="n">
        <f aca="false">IF(AND(Parameter!$B$21="Ja",ISNUMBER(W1452),N(X1452)&gt;0),IFERROR(N(INDEX(Parameter!$L$5:$L$7,W1452))*INDEX(Parameter!$E$5:$E$7,W1452)*X1452/SUMIFS($X$7:$X$1843,$W$7:$W$1843,W1452),0),0)</f>
        <v>0</v>
      </c>
    </row>
    <row r="1453" customFormat="false" ht="15" hidden="false" customHeight="false" outlineLevel="0" collapsed="false">
      <c r="A1453" s="48" t="s">
        <v>2546</v>
      </c>
      <c r="B1453" s="48" t="s">
        <v>2176</v>
      </c>
      <c r="C1453" s="48" t="s">
        <v>168</v>
      </c>
      <c r="D1453" s="48" t="s">
        <v>188</v>
      </c>
      <c r="E1453" s="48"/>
      <c r="F1453" s="48"/>
      <c r="G1453" s="49" t="n">
        <v>1521.29</v>
      </c>
      <c r="H1453" s="50" t="n">
        <f aca="false">MAX(0,IF(AND(Parameter!$B$21="Ja",ISNUMBER(Y1453)),Y1453,IF(Parameter!$B$20="Jahresanfang 2025 + Export",BO1453+BN1453,BN1453)))</f>
        <v>0</v>
      </c>
      <c r="I1453" s="50" t="n">
        <f aca="false">H1453*G1453</f>
        <v>0</v>
      </c>
      <c r="J1453" s="50" t="n">
        <f aca="false">BQ1453*Parameter!$B$18</f>
        <v>0</v>
      </c>
      <c r="K1453" s="51"/>
      <c r="L1453" s="52"/>
      <c r="M1453" s="50" t="n">
        <v>0</v>
      </c>
      <c r="N1453" s="50" t="n">
        <v>1</v>
      </c>
      <c r="O1453" s="53"/>
      <c r="P1453" s="48" t="s">
        <v>172</v>
      </c>
      <c r="Q1453" s="50"/>
      <c r="R1453" s="53" t="n">
        <f aca="false">IF(BW1453=1,0,IFERROR(VLOOKUP(BU1453,'Gebinde-Kategorie'!$A$5:$N$45,13,0)+0,0))</f>
        <v>12</v>
      </c>
      <c r="S1453" s="54"/>
      <c r="T1453" s="55" t="s">
        <v>183</v>
      </c>
      <c r="U1453" s="55"/>
      <c r="V1453" s="55"/>
      <c r="W1453" s="48"/>
      <c r="X1453" s="50"/>
      <c r="Y1453" s="50"/>
      <c r="Z1453" s="48" t="n">
        <f aca="false">IF(A1453="","",IF(AND(Parameter!$B$21="Ja",ISNUMBER(W1453)),W1453,IF(BZ1453="2+3",IF(ISNUMBER(SEARCH("grosser Artikel",BR1453)),2,IFERROR(VLOOKUP(BU1453,Parameter!$F$35:$G$64,2,0),2)),IF(OR(BZ1453="Nein",BZ1453=""),"-",BZ1453))))</f>
        <v>2</v>
      </c>
      <c r="AA1453" s="55"/>
      <c r="AB1453" s="56"/>
      <c r="AC1453" s="50" t="n">
        <f aca="false">AT1453</f>
        <v>4</v>
      </c>
      <c r="AD1453" s="50" t="n">
        <f aca="false">MAX(AT1453,H1453)</f>
        <v>4</v>
      </c>
      <c r="AE1453" s="57"/>
      <c r="AF1453" s="50" t="n">
        <f aca="false">IF(LEFT(Cockpit!$C$5,1)="A",H1453,IF(CE1453=1,CF1453,IF(LEFT(Cockpit!$C$5,1)="B",AK1453,MAX(AK1453,H1453))))</f>
        <v>0</v>
      </c>
      <c r="AG1453" s="50" t="n">
        <f aca="false">IF(BW1453=1,0,ROUNDUP(AF1453/BV1453,0))</f>
        <v>0</v>
      </c>
      <c r="AH1453" s="52" t="n">
        <f aca="false">IF(CL1453&gt;0,CL1453*MAX(1,AF1453/X1453),IF(BW1453=1,IF(AF1453&lt;=0,0,CA1453*MAX(1,IF(H1453&gt;0,AF1453/H1453,1))),IF(R1453&gt;0,AG1453/R1453,0))/MAX(0.1,N(Parameter!$M$21)))</f>
        <v>0</v>
      </c>
      <c r="AI1453" s="50" t="n">
        <f aca="false">AH1453*BY1453</f>
        <v>0</v>
      </c>
      <c r="AJ1453" s="50" t="n">
        <f aca="false">AF1453*G1453</f>
        <v>0</v>
      </c>
      <c r="AK1453" s="50" t="n">
        <f aca="false">ROUNDUP(MAX(J1453/IF(CD1453&gt;0,CD1453,MAX(0.1,N(Cockpit!$C$6))),CG1453)/BV1453,0)*BV1453</f>
        <v>4</v>
      </c>
      <c r="AL1453" s="51" t="n">
        <f aca="false">IF(AI1453&gt;0,J1453/AI1453,-1)</f>
        <v>-1</v>
      </c>
      <c r="AM1453" s="51" t="str">
        <f aca="false">IF(AND(OR(CC1453="L1",CC1453="L23",CC1453="LIFT"),AI1453&gt;0),SUMIFS($AI$7:$AI$1843,$CC$7:$CC$1843,CC1453,$AL$7:$AL$1843,"&gt;"&amp;AL1453)+SUMIFS($AI$7:$AI$1843,$CC$7:$CC$1843,CC1453,$AL$7:$AL$1843,AL1453,$BT$7:$BT$1843,"&lt;="&amp;BT1453),"")</f>
        <v/>
      </c>
      <c r="AN1453" s="58" t="n">
        <f aca="false">IF(AM1453="",0,MAX(0,MIN(1,(IF(CC1453="L1",Parameter!$H$5,IF(CC1453="L23",Parameter!$H$6+Parameter!$H$7,Parameter!$H$5+Parameter!$H$6+Parameter!$H$7))-(AM1453-AI1453))/AI1453)))</f>
        <v>0</v>
      </c>
      <c r="AO1453" s="50" t="n">
        <f aca="false">IF(LEFT(Cockpit!$I$5,1)="A",H1453,IF(CE1453=1,CF1453,IF(LEFT(Cockpit!$I$5,1)="B",AT1453,MAX(AT1453,H1453))))</f>
        <v>4</v>
      </c>
      <c r="AP1453" s="50" t="n">
        <f aca="false">IF(BW1453=1,0,ROUNDUP(AO1453/BV1453,0))</f>
        <v>1</v>
      </c>
      <c r="AQ1453" s="52" t="n">
        <f aca="false">IF(CL1453&gt;0,CL1453*MAX(1,AO1453/X1453),IF(BW1453=1,IF(AO1453&lt;=0,0,CA1453*MAX(1,IF(H1453&gt;0,AO1453/H1453,1))),IF(R1453&gt;0,AP1453/R1453,0))/MAX(0.1,N(Parameter!$M$21)))</f>
        <v>0.0833333333333333</v>
      </c>
      <c r="AR1453" s="50" t="n">
        <f aca="false">AQ1453*BY1453</f>
        <v>12.0833333333333</v>
      </c>
      <c r="AS1453" s="50" t="n">
        <f aca="false">AO1453*G1453</f>
        <v>6085.16</v>
      </c>
      <c r="AT1453" s="50" t="n">
        <f aca="false">ROUNDUP(MAX(J1453/IF(CD1453&gt;0,CD1453,MAX(0.1,N(Cockpit!$I$6))),CG1453)/BV1453,0)*BV1453</f>
        <v>4</v>
      </c>
      <c r="AU1453" s="51" t="n">
        <f aca="false">IF(AR1453&gt;0,J1453/AR1453,-1)</f>
        <v>0</v>
      </c>
      <c r="AV1453" s="51" t="n">
        <f aca="false">IF(AND(OR(CC1453="L1",CC1453="L23",CC1453="LIFT"),AR1453&gt;0),SUMIFS($AR$7:$AR$1843,$CC$7:$CC$1843,CC1453,$AU$7:$AU$1843,"&gt;"&amp;AU1453)+SUMIFS($AR$7:$AR$1843,$CC$7:$CC$1843,CC1453,$AU$7:$AU$1843,AU1453,$BT$7:$BT$1843,"&lt;="&amp;BT1453),"")</f>
        <v>41966.028998779</v>
      </c>
      <c r="AW1453" s="58" t="n">
        <f aca="false">IF(AV1453="",0,MAX(0,MIN(1,(IF(CC1453="L1",Parameter!$H$5,IF(CC1453="L23",Parameter!$H$6+Parameter!$H$7,Parameter!$H$5+Parameter!$H$6+Parameter!$H$7))-(AV1453-AR1453))/AR1453)))</f>
        <v>0</v>
      </c>
      <c r="AX1453" s="50" t="n">
        <f aca="false">IF(LEFT(Cockpit!$O$5,1)="A",H1453,IF(CE1453=1,CF1453,IF(LEFT(Cockpit!$O$5,1)="B",BC1453,MAX(BC1453,H1453))))</f>
        <v>4</v>
      </c>
      <c r="AY1453" s="50" t="n">
        <f aca="false">IF(BW1453=1,0,ROUNDUP(AX1453/BV1453,0))</f>
        <v>1</v>
      </c>
      <c r="AZ1453" s="52" t="n">
        <f aca="false">IF(CL1453&gt;0,CL1453*MAX(1,AX1453/X1453),IF(BW1453=1,IF(AX1453&lt;=0,0,CA1453*MAX(1,IF(H1453&gt;0,AX1453/H1453,1))),IF(R1453&gt;0,AY1453/R1453,0))/MAX(0.1,N(Parameter!$M$21)))</f>
        <v>0.0833333333333333</v>
      </c>
      <c r="BA1453" s="50" t="n">
        <f aca="false">AZ1453*BY1453</f>
        <v>12.0833333333333</v>
      </c>
      <c r="BB1453" s="50" t="n">
        <f aca="false">AX1453*G1453</f>
        <v>6085.16</v>
      </c>
      <c r="BC1453" s="50" t="n">
        <f aca="false">ROUNDUP(MAX(J1453/IF(CD1453&gt;0,CD1453,MAX(0.1,N(Cockpit!$O$6))),CG1453)/BV1453,0)*BV1453</f>
        <v>4</v>
      </c>
      <c r="BD1453" s="51" t="n">
        <f aca="false">IF(BA1453&gt;0,J1453/BA1453,-1)</f>
        <v>0</v>
      </c>
      <c r="BE1453" s="51" t="n">
        <f aca="false">IF(AND(OR(CC1453="L1",CC1453="L23",CC1453="LIFT"),BA1453&gt;0),SUMIFS($BA$7:$BA$1843,$CC$7:$CC$1843,CC1453,$BD$7:$BD$1843,"&gt;"&amp;BD1453)+SUMIFS($BA$7:$BA$1843,$CC$7:$CC$1843,CC1453,$BD$7:$BD$1843,BD1453,$BT$7:$BT$1843,"&lt;="&amp;BT1453),"")</f>
        <v>38641.0410406449</v>
      </c>
      <c r="BF1453" s="58" t="n">
        <f aca="false">IF(BE1453="",0,MAX(0,MIN(1,(IF(CC1453="L1",Parameter!$H$5,IF(CC1453="L23",Parameter!$H$6+Parameter!$H$7,Parameter!$H$5+Parameter!$H$6+Parameter!$H$7))-(BE1453-BA1453))/BA1453)))</f>
        <v>0</v>
      </c>
      <c r="BG1453" s="48" t="str">
        <f aca="false">IF(AI1453&lt;=0,"",IF(CC1453="Aussen","Aussenlager",IF(CC1453="-","Nicht im Lift",IF(AN1453&gt;=1,"Lift",IF(AN1453&lt;=0,"Aussenlager","teilweise")))))</f>
        <v/>
      </c>
      <c r="BH1453" s="48" t="str">
        <f aca="false">IF(AR1453&lt;=0,"",IF(CC1453="Aussen","Aussenlager",IF(CC1453="-","Nicht im Lift",IF(AW1453&gt;=1,"Lift",IF(AW1453&lt;=0,"Aussenlager","teilweise")))))</f>
        <v>Aussenlager</v>
      </c>
      <c r="BI1453" s="48" t="str">
        <f aca="false">IF(BA1453&lt;=0,"",IF(CC1453="Aussen","Aussenlager",IF(CC1453="-","Nicht im Lift",IF(BF1453&gt;=1,"Lift",IF(BF1453&lt;=0,"Aussenlager","teilweise")))))</f>
        <v>Aussenlager</v>
      </c>
      <c r="BJ1453" s="48" t="str">
        <f aca="false">IF(A1453="","",IF(BS1453=1,"Neu; ","")&amp;IF(AND(BS1453=0,BN1453&lt;0),"negativer Bestand (Export "&amp;BN1453&amp;"); ","")&amp;IF(J1453&lt;=0,"Kein Verbrauch; ","")&amp;IF(CL1453&gt;0,"Lift "&amp;W1453&amp;" lt. Liftbericht (Fach "&amp;X1453&amp;" Stk); ",IF(BX1453=1,"Gebinde geschätzt ("&amp;T1453&amp;"); ",IF(BW1453=1,"Lose – Tablare geschätzt; ","")))&amp;IF(H1453&gt;AT1453,"Überbestand "&amp;ROUND(H1453-AT1453,0)&amp;" Stk / CHF "&amp;ROUND((H1453-AT1453)*G1453,0)&amp;"; ","")&amp;IF(AND(CE1453=1,CF1453&lt;CG1453),"MAX &lt; MB+LG; ","")&amp;IF(AND(CK1453&gt;0,CJ1453*10&gt;CK1453),"zu hoch für Tablar; ","")&amp;IF(AND(BS1453=0,OR(CE1453=1,AA1453&lt;&gt;"",U1453&lt;&gt;"",V1453&lt;&gt;"",AB1453&lt;&gt;"")),"manuell übersteuert; ","")&amp;IF(AND(BW1453=0,R1453=0),"Gebinde unbekannt / Stellmass fehlt; ","")&amp;IF(AND(BW1453=0,N(V1453)&lt;=0,N(Q1453)&lt;=0),"Menge pro Gebinde fehlt (Ist = 1 Gebinde); ","")&amp;BR1453)</f>
        <v>negativer Bestand (Export -9); Kein Verbrauch; Gebinde geschätzt (Mittel); Menge pro Gebinde fehlt (Ist = 1 Gebinde); </v>
      </c>
      <c r="BK1453" s="48"/>
      <c r="BL1453" s="48"/>
      <c r="BM1453" s="55"/>
      <c r="BN1453" s="50" t="n">
        <v>-9</v>
      </c>
      <c r="BO1453" s="50" t="n">
        <v>0</v>
      </c>
      <c r="BP1453" s="49" t="n">
        <v>-13691.61</v>
      </c>
      <c r="BQ1453" s="50" t="n">
        <v>0</v>
      </c>
      <c r="BR1453" s="48"/>
      <c r="BS1453" s="53" t="n">
        <v>0</v>
      </c>
      <c r="BT1453" s="53" t="n">
        <v>1453</v>
      </c>
      <c r="BU1453" s="48" t="str">
        <f aca="false">IF(U1453&lt;&gt;"",UPPER(TRIM(U1453)),IF(BX1453=1,UPPER(VLOOKUP(T1453,Parameter!$I$27:$K$29,2,0)),IF(P1453="","LOSE",P1453)))</f>
        <v>S61</v>
      </c>
      <c r="BV1453" s="50" t="n">
        <f aca="false">IF(BU1453="LOSE",1,IF(N(V1453)&gt;0,V1453,IF(BX1453=1,MAX(1,N(VLOOKUP(T1453,Parameter!$I$27:$K$29,3,0)),H1453,N(N1453)),IF(N(Q1453)&gt;0,Q1453,MAX(1,H1453)))))</f>
        <v>4</v>
      </c>
      <c r="BW1453" s="53" t="n">
        <f aca="false">IF(BU1453="LOSE",1,0)</f>
        <v>0</v>
      </c>
      <c r="BX1453" s="53" t="n">
        <f aca="false">IF(AND(U1453="",OR(P1453="",P1453="LOSE"),T1453&lt;&gt;"",N(S1453)&lt;=0,ISNUMBER(MATCH(T1453,Parameter!$I$27:$I$29,0))),1,0)</f>
        <v>1</v>
      </c>
      <c r="BY1453" s="53" t="n">
        <f aca="false">IF(CL1453&gt;0,INDEX(Parameter!$H$5:$H$7,W1453)/INDEX(Parameter!$E$5:$E$7,W1453),IF(AND(BW1453=0,N(IFERROR(VLOOKUP(BU1453,'Gebinde-Kategorie'!$A$5:$N$45,14,0),0))&gt;0),VLOOKUP(BU1453,'Gebinde-Kategorie'!$A$5:$N$45,14,0)*10+Parameter!$M$23,Parameter!$M$24))</f>
        <v>145</v>
      </c>
      <c r="BZ1453" s="48" t="str">
        <f aca="false">IF(AND(Parameter!$B$19="Ja",E1453&lt;&gt;"",ISNUMBER(MATCH(E1453,Parameter!$I$35:$I$52,0))),VLOOKUP(E1453,Parameter!$I$35:$J$52,2,0),IFERROR(VLOOKUP(D1453,Parameter!$A$35:$C$64,2,0),"Nein"))</f>
        <v>2+3</v>
      </c>
      <c r="CA1453" s="52" t="n">
        <f aca="false">IF(BW1453=0,0,IF(N(S1453)&gt;0,S1453,IFERROR(VLOOKUP(D1453,Parameter!$A$35:$C$64,3,0)+0,0)))</f>
        <v>0</v>
      </c>
      <c r="CB1453" s="48" t="n">
        <f aca="false">IF(AA1453&lt;&gt;"",AA1453,Z1453)</f>
        <v>2</v>
      </c>
      <c r="CC1453" s="48" t="str">
        <f aca="false">IF(OR(CB1453=1,CB1453=2,CB1453=3),IF(Parameter!$E$27="Ja","LIFT",IF(CB1453=1,"L1","L23")),IF(CB1453="Aussen","Aussen","-"))</f>
        <v>LIFT</v>
      </c>
      <c r="CD1453" s="59" t="n">
        <f aca="false">IF(N(AB1453)&gt;0,AB1453,0)</f>
        <v>0</v>
      </c>
      <c r="CE1453" s="53" t="n">
        <f aca="false">IF(ISNUMBER(AE1453),1,0)</f>
        <v>0</v>
      </c>
      <c r="CF1453" s="50" t="n">
        <f aca="false">N(AE1453)</f>
        <v>0</v>
      </c>
      <c r="CG1453" s="50" t="n">
        <f aca="false">N(M1453)+N(N1453)</f>
        <v>1</v>
      </c>
      <c r="CH1453" s="50" t="n">
        <f aca="false">ROUNDUP(H1453/BV1453,0)</f>
        <v>0</v>
      </c>
      <c r="CI1453" s="50" t="n">
        <f aca="false">ROUNDUP(CF1453/BV1453,0)</f>
        <v>0</v>
      </c>
      <c r="CJ1453" s="53" t="n">
        <f aca="false">IF(BW1453=1,0,IFERROR(VLOOKUP(BU1453,'Gebinde-Kategorie'!$A$5:$N$45,5,0)+0,0))</f>
        <v>11</v>
      </c>
      <c r="CK1453" s="53" t="n">
        <f aca="false">IFERROR(IF(OR(CB1453=1,CB1453=2,CB1453=3),N(INDEX(Parameter!$I$5:$I$7,CB1453)),0),0)</f>
        <v>0</v>
      </c>
      <c r="CL1453" s="52" t="n">
        <f aca="false">IF(AND(Parameter!$B$21="Ja",ISNUMBER(W1453),N(X1453)&gt;0),IFERROR(N(INDEX(Parameter!$L$5:$L$7,W1453))*INDEX(Parameter!$E$5:$E$7,W1453)*X1453/SUMIFS($X$7:$X$1843,$W$7:$W$1843,W1453),0),0)</f>
        <v>0</v>
      </c>
    </row>
    <row r="1454" customFormat="false" ht="15" hidden="false" customHeight="false" outlineLevel="0" collapsed="false">
      <c r="A1454" s="48" t="s">
        <v>2547</v>
      </c>
      <c r="B1454" s="48" t="s">
        <v>2223</v>
      </c>
      <c r="C1454" s="48" t="s">
        <v>168</v>
      </c>
      <c r="D1454" s="48" t="s">
        <v>188</v>
      </c>
      <c r="E1454" s="48" t="s">
        <v>189</v>
      </c>
      <c r="F1454" s="48"/>
      <c r="G1454" s="49" t="n">
        <v>167.8</v>
      </c>
      <c r="H1454" s="50" t="n">
        <f aca="false">MAX(0,IF(AND(Parameter!$B$21="Ja",ISNUMBER(Y1454)),Y1454,IF(Parameter!$B$20="Jahresanfang 2025 + Export",BO1454+BN1454,BN1454)))</f>
        <v>0</v>
      </c>
      <c r="I1454" s="50" t="n">
        <f aca="false">H1454*G1454</f>
        <v>0</v>
      </c>
      <c r="J1454" s="50" t="n">
        <f aca="false">BQ1454*Parameter!$B$18</f>
        <v>4</v>
      </c>
      <c r="K1454" s="51"/>
      <c r="L1454" s="52"/>
      <c r="M1454" s="50" t="n">
        <v>0</v>
      </c>
      <c r="N1454" s="50" t="n">
        <v>5</v>
      </c>
      <c r="O1454" s="53"/>
      <c r="P1454" s="48" t="s">
        <v>306</v>
      </c>
      <c r="Q1454" s="50" t="n">
        <v>10</v>
      </c>
      <c r="R1454" s="53" t="n">
        <f aca="false">IF(BW1454=1,0,IFERROR(VLOOKUP(BU1454,'Gebinde-Kategorie'!$A$5:$N$45,13,0)+0,0))</f>
        <v>26</v>
      </c>
      <c r="S1454" s="54"/>
      <c r="T1454" s="55"/>
      <c r="U1454" s="55"/>
      <c r="V1454" s="55"/>
      <c r="W1454" s="48"/>
      <c r="X1454" s="50"/>
      <c r="Y1454" s="50"/>
      <c r="Z1454" s="48" t="n">
        <f aca="false">IF(A1454="","",IF(AND(Parameter!$B$21="Ja",ISNUMBER(W1454)),W1454,IF(BZ1454="2+3",IF(ISNUMBER(SEARCH("grosser Artikel",BR1454)),2,IFERROR(VLOOKUP(BU1454,Parameter!$F$35:$G$64,2,0),2)),IF(OR(BZ1454="Nein",BZ1454=""),"-",BZ1454))))</f>
        <v>3</v>
      </c>
      <c r="AA1454" s="55"/>
      <c r="AB1454" s="56"/>
      <c r="AC1454" s="50" t="n">
        <f aca="false">AT1454</f>
        <v>10</v>
      </c>
      <c r="AD1454" s="50" t="n">
        <f aca="false">MAX(AT1454,H1454)</f>
        <v>10</v>
      </c>
      <c r="AE1454" s="57"/>
      <c r="AF1454" s="50" t="n">
        <f aca="false">IF(LEFT(Cockpit!$C$5,1)="A",H1454,IF(CE1454=1,CF1454,IF(LEFT(Cockpit!$C$5,1)="B",AK1454,MAX(AK1454,H1454))))</f>
        <v>0</v>
      </c>
      <c r="AG1454" s="50" t="n">
        <f aca="false">IF(BW1454=1,0,ROUNDUP(AF1454/BV1454,0))</f>
        <v>0</v>
      </c>
      <c r="AH1454" s="52" t="n">
        <f aca="false">IF(CL1454&gt;0,CL1454*MAX(1,AF1454/X1454),IF(BW1454=1,IF(AF1454&lt;=0,0,CA1454*MAX(1,IF(H1454&gt;0,AF1454/H1454,1))),IF(R1454&gt;0,AG1454/R1454,0))/MAX(0.1,N(Parameter!$M$21)))</f>
        <v>0</v>
      </c>
      <c r="AI1454" s="50" t="n">
        <f aca="false">AH1454*BY1454</f>
        <v>0</v>
      </c>
      <c r="AJ1454" s="50" t="n">
        <f aca="false">AF1454*G1454</f>
        <v>0</v>
      </c>
      <c r="AK1454" s="50" t="n">
        <f aca="false">ROUNDUP(MAX(J1454/IF(CD1454&gt;0,CD1454,MAX(0.1,N(Cockpit!$C$6))),CG1454)/BV1454,0)*BV1454</f>
        <v>10</v>
      </c>
      <c r="AL1454" s="51" t="n">
        <f aca="false">IF(AI1454&gt;0,J1454/AI1454,-1)</f>
        <v>-1</v>
      </c>
      <c r="AM1454" s="51" t="str">
        <f aca="false">IF(AND(OR(CC1454="L1",CC1454="L23",CC1454="LIFT"),AI1454&gt;0),SUMIFS($AI$7:$AI$1843,$CC$7:$CC$1843,CC1454,$AL$7:$AL$1843,"&gt;"&amp;AL1454)+SUMIFS($AI$7:$AI$1843,$CC$7:$CC$1843,CC1454,$AL$7:$AL$1843,AL1454,$BT$7:$BT$1843,"&lt;="&amp;BT1454),"")</f>
        <v/>
      </c>
      <c r="AN1454" s="58" t="n">
        <f aca="false">IF(AM1454="",0,MAX(0,MIN(1,(IF(CC1454="L1",Parameter!$H$5,IF(CC1454="L23",Parameter!$H$6+Parameter!$H$7,Parameter!$H$5+Parameter!$H$6+Parameter!$H$7))-(AM1454-AI1454))/AI1454)))</f>
        <v>0</v>
      </c>
      <c r="AO1454" s="50" t="n">
        <f aca="false">IF(LEFT(Cockpit!$I$5,1)="A",H1454,IF(CE1454=1,CF1454,IF(LEFT(Cockpit!$I$5,1)="B",AT1454,MAX(AT1454,H1454))))</f>
        <v>10</v>
      </c>
      <c r="AP1454" s="50" t="n">
        <f aca="false">IF(BW1454=1,0,ROUNDUP(AO1454/BV1454,0))</f>
        <v>1</v>
      </c>
      <c r="AQ1454" s="52" t="n">
        <f aca="false">IF(CL1454&gt;0,CL1454*MAX(1,AO1454/X1454),IF(BW1454=1,IF(AO1454&lt;=0,0,CA1454*MAX(1,IF(H1454&gt;0,AO1454/H1454,1))),IF(R1454&gt;0,AP1454/R1454,0))/MAX(0.1,N(Parameter!$M$21)))</f>
        <v>0.0384615384615385</v>
      </c>
      <c r="AR1454" s="50" t="n">
        <f aca="false">AQ1454*BY1454</f>
        <v>5.96153846153846</v>
      </c>
      <c r="AS1454" s="50" t="n">
        <f aca="false">AO1454*G1454</f>
        <v>1678</v>
      </c>
      <c r="AT1454" s="50" t="n">
        <f aca="false">ROUNDUP(MAX(J1454/IF(CD1454&gt;0,CD1454,MAX(0.1,N(Cockpit!$I$6))),CG1454)/BV1454,0)*BV1454</f>
        <v>10</v>
      </c>
      <c r="AU1454" s="51" t="n">
        <f aca="false">IF(AR1454&gt;0,J1454/AR1454,-1)</f>
        <v>0.670967741935484</v>
      </c>
      <c r="AV1454" s="51" t="n">
        <f aca="false">IF(AND(OR(CC1454="L1",CC1454="L23",CC1454="LIFT"),AR1454&gt;0),SUMIFS($AR$7:$AR$1843,$CC$7:$CC$1843,CC1454,$AU$7:$AU$1843,"&gt;"&amp;AU1454)+SUMIFS($AR$7:$AR$1843,$CC$7:$CC$1843,CC1454,$AU$7:$AU$1843,AU1454,$BT$7:$BT$1843,"&lt;="&amp;BT1454),"")</f>
        <v>11801.4555860806</v>
      </c>
      <c r="AW1454" s="58" t="n">
        <f aca="false">IF(AV1454="",0,MAX(0,MIN(1,(IF(CC1454="L1",Parameter!$H$5,IF(CC1454="L23",Parameter!$H$6+Parameter!$H$7,Parameter!$H$5+Parameter!$H$6+Parameter!$H$7))-(AV1454-AR1454))/AR1454)))</f>
        <v>1</v>
      </c>
      <c r="AX1454" s="50" t="n">
        <f aca="false">IF(LEFT(Cockpit!$O$5,1)="A",H1454,IF(CE1454=1,CF1454,IF(LEFT(Cockpit!$O$5,1)="B",BC1454,MAX(BC1454,H1454))))</f>
        <v>10</v>
      </c>
      <c r="AY1454" s="50" t="n">
        <f aca="false">IF(BW1454=1,0,ROUNDUP(AX1454/BV1454,0))</f>
        <v>1</v>
      </c>
      <c r="AZ1454" s="52" t="n">
        <f aca="false">IF(CL1454&gt;0,CL1454*MAX(1,AX1454/X1454),IF(BW1454=1,IF(AX1454&lt;=0,0,CA1454*MAX(1,IF(H1454&gt;0,AX1454/H1454,1))),IF(R1454&gt;0,AY1454/R1454,0))/MAX(0.1,N(Parameter!$M$21)))</f>
        <v>0.0384615384615385</v>
      </c>
      <c r="BA1454" s="50" t="n">
        <f aca="false">AZ1454*BY1454</f>
        <v>5.96153846153846</v>
      </c>
      <c r="BB1454" s="50" t="n">
        <f aca="false">AX1454*G1454</f>
        <v>1678</v>
      </c>
      <c r="BC1454" s="50" t="n">
        <f aca="false">ROUNDUP(MAX(J1454/IF(CD1454&gt;0,CD1454,MAX(0.1,N(Cockpit!$O$6))),CG1454)/BV1454,0)*BV1454</f>
        <v>10</v>
      </c>
      <c r="BD1454" s="51" t="n">
        <f aca="false">IF(BA1454&gt;0,J1454/BA1454,-1)</f>
        <v>0.670967741935484</v>
      </c>
      <c r="BE1454" s="51" t="n">
        <f aca="false">IF(AND(OR(CC1454="L1",CC1454="L23",CC1454="LIFT"),BA1454&gt;0),SUMIFS($BA$7:$BA$1843,$CC$7:$CC$1843,CC1454,$BD$7:$BD$1843,"&gt;"&amp;BD1454)+SUMIFS($BA$7:$BA$1843,$CC$7:$CC$1843,CC1454,$BD$7:$BD$1843,BD1454,$BT$7:$BT$1843,"&lt;="&amp;BT1454),"")</f>
        <v>11401.2793040293</v>
      </c>
      <c r="BF1454" s="58" t="n">
        <f aca="false">IF(BE1454="",0,MAX(0,MIN(1,(IF(CC1454="L1",Parameter!$H$5,IF(CC1454="L23",Parameter!$H$6+Parameter!$H$7,Parameter!$H$5+Parameter!$H$6+Parameter!$H$7))-(BE1454-BA1454))/BA1454)))</f>
        <v>1</v>
      </c>
      <c r="BG1454" s="48" t="str">
        <f aca="false">IF(AI1454&lt;=0,"",IF(CC1454="Aussen","Aussenlager",IF(CC1454="-","Nicht im Lift",IF(AN1454&gt;=1,"Lift",IF(AN1454&lt;=0,"Aussenlager","teilweise")))))</f>
        <v/>
      </c>
      <c r="BH1454" s="48" t="str">
        <f aca="false">IF(AR1454&lt;=0,"",IF(CC1454="Aussen","Aussenlager",IF(CC1454="-","Nicht im Lift",IF(AW1454&gt;=1,"Lift",IF(AW1454&lt;=0,"Aussenlager","teilweise")))))</f>
        <v>Lift</v>
      </c>
      <c r="BI1454" s="48" t="str">
        <f aca="false">IF(BA1454&lt;=0,"",IF(CC1454="Aussen","Aussenlager",IF(CC1454="-","Nicht im Lift",IF(BF1454&gt;=1,"Lift",IF(BF1454&lt;=0,"Aussenlager","teilweise")))))</f>
        <v>Lift</v>
      </c>
      <c r="BJ1454" s="48" t="str">
        <f aca="false">IF(A1454="","",IF(BS1454=1,"Neu; ","")&amp;IF(AND(BS1454=0,BN1454&lt;0),"negativer Bestand (Export "&amp;BN1454&amp;"); ","")&amp;IF(J1454&lt;=0,"Kein Verbrauch; ","")&amp;IF(CL1454&gt;0,"Lift "&amp;W1454&amp;" lt. Liftbericht (Fach "&amp;X1454&amp;" Stk); ",IF(BX1454=1,"Gebinde geschätzt ("&amp;T1454&amp;"); ",IF(BW1454=1,"Lose – Tablare geschätzt; ","")))&amp;IF(H1454&gt;AT1454,"Überbestand "&amp;ROUND(H1454-AT1454,0)&amp;" Stk / CHF "&amp;ROUND((H1454-AT1454)*G1454,0)&amp;"; ","")&amp;IF(AND(CE1454=1,CF1454&lt;CG1454),"MAX &lt; MB+LG; ","")&amp;IF(AND(CK1454&gt;0,CJ1454*10&gt;CK1454),"zu hoch für Tablar; ","")&amp;IF(AND(BS1454=0,OR(CE1454=1,AA1454&lt;&gt;"",U1454&lt;&gt;"",V1454&lt;&gt;"",AB1454&lt;&gt;"")),"manuell übersteuert; ","")&amp;IF(AND(BW1454=0,R1454=0),"Gebinde unbekannt / Stellmass fehlt; ","")&amp;IF(AND(BW1454=0,N(V1454)&lt;=0,N(Q1454)&lt;=0),"Menge pro Gebinde fehlt (Ist = 1 Gebinde); ","")&amp;BR1454)</f>
        <v>negativer Bestand (Export -89); Neu</v>
      </c>
      <c r="BK1454" s="48"/>
      <c r="BL1454" s="48"/>
      <c r="BM1454" s="55"/>
      <c r="BN1454" s="50" t="n">
        <v>-89</v>
      </c>
      <c r="BO1454" s="50" t="n">
        <v>0</v>
      </c>
      <c r="BP1454" s="49" t="n">
        <v>-14934.2</v>
      </c>
      <c r="BQ1454" s="50" t="n">
        <v>4</v>
      </c>
      <c r="BR1454" s="48" t="s">
        <v>630</v>
      </c>
      <c r="BS1454" s="53" t="n">
        <v>0</v>
      </c>
      <c r="BT1454" s="53" t="n">
        <v>1454</v>
      </c>
      <c r="BU1454" s="48" t="str">
        <f aca="false">IF(U1454&lt;&gt;"",UPPER(TRIM(U1454)),IF(BX1454=1,UPPER(VLOOKUP(T1454,Parameter!$I$27:$K$29,2,0)),IF(P1454="","LOSE",P1454)))</f>
        <v>S51</v>
      </c>
      <c r="BV1454" s="50" t="n">
        <f aca="false">IF(BU1454="LOSE",1,IF(N(V1454)&gt;0,V1454,IF(BX1454=1,MAX(1,N(VLOOKUP(T1454,Parameter!$I$27:$K$29,3,0)),H1454,N(N1454)),IF(N(Q1454)&gt;0,Q1454,MAX(1,H1454)))))</f>
        <v>10</v>
      </c>
      <c r="BW1454" s="53" t="n">
        <f aca="false">IF(BU1454="LOSE",1,0)</f>
        <v>0</v>
      </c>
      <c r="BX1454" s="53" t="n">
        <f aca="false">IF(AND(U1454="",OR(P1454="",P1454="LOSE"),T1454&lt;&gt;"",N(S1454)&lt;=0,ISNUMBER(MATCH(T1454,Parameter!$I$27:$I$29,0))),1,0)</f>
        <v>0</v>
      </c>
      <c r="BY1454" s="53" t="n">
        <f aca="false">IF(CL1454&gt;0,INDEX(Parameter!$H$5:$H$7,W1454)/INDEX(Parameter!$E$5:$E$7,W1454),IF(AND(BW1454=0,N(IFERROR(VLOOKUP(BU1454,'Gebinde-Kategorie'!$A$5:$N$45,14,0),0))&gt;0),VLOOKUP(BU1454,'Gebinde-Kategorie'!$A$5:$N$45,14,0)*10+Parameter!$M$23,Parameter!$M$24))</f>
        <v>155</v>
      </c>
      <c r="BZ1454" s="48" t="str">
        <f aca="false">IF(AND(Parameter!$B$19="Ja",E1454&lt;&gt;"",ISNUMBER(MATCH(E1454,Parameter!$I$35:$I$52,0))),VLOOKUP(E1454,Parameter!$I$35:$J$52,2,0),IFERROR(VLOOKUP(D1454,Parameter!$A$35:$C$64,2,0),"Nein"))</f>
        <v>2+3</v>
      </c>
      <c r="CA1454" s="52" t="n">
        <f aca="false">IF(BW1454=0,0,IF(N(S1454)&gt;0,S1454,IFERROR(VLOOKUP(D1454,Parameter!$A$35:$C$64,3,0)+0,0)))</f>
        <v>0</v>
      </c>
      <c r="CB1454" s="48" t="n">
        <f aca="false">IF(AA1454&lt;&gt;"",AA1454,Z1454)</f>
        <v>3</v>
      </c>
      <c r="CC1454" s="48" t="str">
        <f aca="false">IF(OR(CB1454=1,CB1454=2,CB1454=3),IF(Parameter!$E$27="Ja","LIFT",IF(CB1454=1,"L1","L23")),IF(CB1454="Aussen","Aussen","-"))</f>
        <v>LIFT</v>
      </c>
      <c r="CD1454" s="59" t="n">
        <f aca="false">IF(N(AB1454)&gt;0,AB1454,0)</f>
        <v>0</v>
      </c>
      <c r="CE1454" s="53" t="n">
        <f aca="false">IF(ISNUMBER(AE1454),1,0)</f>
        <v>0</v>
      </c>
      <c r="CF1454" s="50" t="n">
        <f aca="false">N(AE1454)</f>
        <v>0</v>
      </c>
      <c r="CG1454" s="50" t="n">
        <f aca="false">N(M1454)+N(N1454)</f>
        <v>5</v>
      </c>
      <c r="CH1454" s="50" t="n">
        <f aca="false">ROUNDUP(H1454/BV1454,0)</f>
        <v>0</v>
      </c>
      <c r="CI1454" s="50" t="n">
        <f aca="false">ROUNDUP(CF1454/BV1454,0)</f>
        <v>0</v>
      </c>
      <c r="CJ1454" s="53" t="n">
        <f aca="false">IF(BW1454=1,0,IFERROR(VLOOKUP(BU1454,'Gebinde-Kategorie'!$A$5:$N$45,5,0)+0,0))</f>
        <v>11</v>
      </c>
      <c r="CK1454" s="53" t="n">
        <f aca="false">IFERROR(IF(OR(CB1454=1,CB1454=2,CB1454=3),N(INDEX(Parameter!$I$5:$I$7,CB1454)),0),0)</f>
        <v>0</v>
      </c>
      <c r="CL1454" s="52" t="n">
        <f aca="false">IF(AND(Parameter!$B$21="Ja",ISNUMBER(W1454),N(X1454)&gt;0),IFERROR(N(INDEX(Parameter!$L$5:$L$7,W1454))*INDEX(Parameter!$E$5:$E$7,W1454)*X1454/SUMIFS($X$7:$X$1843,$W$7:$W$1843,W1454),0),0)</f>
        <v>0</v>
      </c>
    </row>
    <row r="1455" customFormat="false" ht="15" hidden="false" customHeight="false" outlineLevel="0" collapsed="false">
      <c r="A1455" s="48" t="s">
        <v>2548</v>
      </c>
      <c r="B1455" s="48" t="s">
        <v>2549</v>
      </c>
      <c r="C1455" s="48" t="s">
        <v>171</v>
      </c>
      <c r="D1455" s="48" t="s">
        <v>1392</v>
      </c>
      <c r="E1455" s="48" t="s">
        <v>1483</v>
      </c>
      <c r="F1455" s="48"/>
      <c r="G1455" s="49" t="n">
        <v>3762.62</v>
      </c>
      <c r="H1455" s="50" t="n">
        <f aca="false">MAX(0,IF(AND(Parameter!$B$21="Ja",ISNUMBER(Y1455)),Y1455,IF(Parameter!$B$20="Jahresanfang 2025 + Export",BO1455+BN1455,BN1455)))</f>
        <v>0</v>
      </c>
      <c r="I1455" s="50" t="n">
        <f aca="false">H1455*G1455</f>
        <v>0</v>
      </c>
      <c r="J1455" s="50" t="n">
        <f aca="false">BQ1455*Parameter!$B$18</f>
        <v>20</v>
      </c>
      <c r="K1455" s="51"/>
      <c r="L1455" s="52"/>
      <c r="M1455" s="50" t="n">
        <v>0</v>
      </c>
      <c r="N1455" s="50" t="n">
        <v>1</v>
      </c>
      <c r="O1455" s="53"/>
      <c r="P1455" s="48" t="s">
        <v>172</v>
      </c>
      <c r="Q1455" s="50"/>
      <c r="R1455" s="53" t="n">
        <f aca="false">IF(BW1455=1,0,IFERROR(VLOOKUP(BU1455,'Gebinde-Kategorie'!$A$5:$N$45,13,0)+0,0))</f>
        <v>0</v>
      </c>
      <c r="S1455" s="54"/>
      <c r="T1455" s="55"/>
      <c r="U1455" s="55"/>
      <c r="V1455" s="55"/>
      <c r="W1455" s="48"/>
      <c r="X1455" s="50"/>
      <c r="Y1455" s="50"/>
      <c r="Z1455" s="48" t="str">
        <f aca="false">IF(A1455="","",IF(AND(Parameter!$B$21="Ja",ISNUMBER(W1455)),W1455,IF(BZ1455="2+3",IF(ISNUMBER(SEARCH("grosser Artikel",BR1455)),2,IFERROR(VLOOKUP(BU1455,Parameter!$F$35:$G$64,2,0),2)),IF(OR(BZ1455="Nein",BZ1455=""),"-",BZ1455))))</f>
        <v>-</v>
      </c>
      <c r="AA1455" s="55"/>
      <c r="AB1455" s="56"/>
      <c r="AC1455" s="50" t="n">
        <f aca="false">AT1455</f>
        <v>10</v>
      </c>
      <c r="AD1455" s="50" t="n">
        <f aca="false">MAX(AT1455,H1455)</f>
        <v>10</v>
      </c>
      <c r="AE1455" s="57"/>
      <c r="AF1455" s="50" t="n">
        <f aca="false">IF(LEFT(Cockpit!$C$5,1)="A",H1455,IF(CE1455=1,CF1455,IF(LEFT(Cockpit!$C$5,1)="B",AK1455,MAX(AK1455,H1455))))</f>
        <v>0</v>
      </c>
      <c r="AG1455" s="50" t="n">
        <f aca="false">IF(BW1455=1,0,ROUNDUP(AF1455/BV1455,0))</f>
        <v>0</v>
      </c>
      <c r="AH1455" s="52" t="n">
        <f aca="false">IF(CL1455&gt;0,CL1455*MAX(1,AF1455/X1455),IF(BW1455=1,IF(AF1455&lt;=0,0,CA1455*MAX(1,IF(H1455&gt;0,AF1455/H1455,1))),IF(R1455&gt;0,AG1455/R1455,0))/MAX(0.1,N(Parameter!$M$21)))</f>
        <v>0</v>
      </c>
      <c r="AI1455" s="50" t="n">
        <f aca="false">AH1455*BY1455</f>
        <v>0</v>
      </c>
      <c r="AJ1455" s="50" t="n">
        <f aca="false">AF1455*G1455</f>
        <v>0</v>
      </c>
      <c r="AK1455" s="50" t="n">
        <f aca="false">ROUNDUP(MAX(J1455/IF(CD1455&gt;0,CD1455,MAX(0.1,N(Cockpit!$C$6))),CG1455)/BV1455,0)*BV1455</f>
        <v>10</v>
      </c>
      <c r="AL1455" s="51" t="n">
        <f aca="false">IF(AI1455&gt;0,J1455/AI1455,-1)</f>
        <v>-1</v>
      </c>
      <c r="AM1455" s="51" t="str">
        <f aca="false">IF(AND(OR(CC1455="L1",CC1455="L23",CC1455="LIFT"),AI1455&gt;0),SUMIFS($AI$7:$AI$1843,$CC$7:$CC$1843,CC1455,$AL$7:$AL$1843,"&gt;"&amp;AL1455)+SUMIFS($AI$7:$AI$1843,$CC$7:$CC$1843,CC1455,$AL$7:$AL$1843,AL1455,$BT$7:$BT$1843,"&lt;="&amp;BT1455),"")</f>
        <v/>
      </c>
      <c r="AN1455" s="58" t="n">
        <f aca="false">IF(AM1455="",0,MAX(0,MIN(1,(IF(CC1455="L1",Parameter!$H$5,IF(CC1455="L23",Parameter!$H$6+Parameter!$H$7,Parameter!$H$5+Parameter!$H$6+Parameter!$H$7))-(AM1455-AI1455))/AI1455)))</f>
        <v>0</v>
      </c>
      <c r="AO1455" s="50" t="n">
        <f aca="false">IF(LEFT(Cockpit!$I$5,1)="A",H1455,IF(CE1455=1,CF1455,IF(LEFT(Cockpit!$I$5,1)="B",AT1455,MAX(AT1455,H1455))))</f>
        <v>10</v>
      </c>
      <c r="AP1455" s="50" t="n">
        <f aca="false">IF(BW1455=1,0,ROUNDUP(AO1455/BV1455,0))</f>
        <v>0</v>
      </c>
      <c r="AQ1455" s="52" t="n">
        <f aca="false">IF(CL1455&gt;0,CL1455*MAX(1,AO1455/X1455),IF(BW1455=1,IF(AO1455&lt;=0,0,CA1455*MAX(1,IF(H1455&gt;0,AO1455/H1455,1))),IF(R1455&gt;0,AP1455/R1455,0))/MAX(0.1,N(Parameter!$M$21)))</f>
        <v>0.15</v>
      </c>
      <c r="AR1455" s="50" t="n">
        <f aca="false">AQ1455*BY1455</f>
        <v>35.25</v>
      </c>
      <c r="AS1455" s="50" t="n">
        <f aca="false">AO1455*G1455</f>
        <v>37626.2</v>
      </c>
      <c r="AT1455" s="50" t="n">
        <f aca="false">ROUNDUP(MAX(J1455/IF(CD1455&gt;0,CD1455,MAX(0.1,N(Cockpit!$I$6))),CG1455)/BV1455,0)*BV1455</f>
        <v>10</v>
      </c>
      <c r="AU1455" s="51" t="n">
        <f aca="false">IF(AR1455&gt;0,J1455/AR1455,-1)</f>
        <v>0.567375886524823</v>
      </c>
      <c r="AV1455" s="51" t="str">
        <f aca="false">IF(AND(OR(CC1455="L1",CC1455="L23",CC1455="LIFT"),AR1455&gt;0),SUMIFS($AR$7:$AR$1843,$CC$7:$CC$1843,CC1455,$AU$7:$AU$1843,"&gt;"&amp;AU1455)+SUMIFS($AR$7:$AR$1843,$CC$7:$CC$1843,CC1455,$AU$7:$AU$1843,AU1455,$BT$7:$BT$1843,"&lt;="&amp;BT1455),"")</f>
        <v/>
      </c>
      <c r="AW1455" s="58" t="n">
        <f aca="false">IF(AV1455="",0,MAX(0,MIN(1,(IF(CC1455="L1",Parameter!$H$5,IF(CC1455="L23",Parameter!$H$6+Parameter!$H$7,Parameter!$H$5+Parameter!$H$6+Parameter!$H$7))-(AV1455-AR1455))/AR1455)))</f>
        <v>0</v>
      </c>
      <c r="AX1455" s="50" t="n">
        <f aca="false">IF(LEFT(Cockpit!$O$5,1)="A",H1455,IF(CE1455=1,CF1455,IF(LEFT(Cockpit!$O$5,1)="B",BC1455,MAX(BC1455,H1455))))</f>
        <v>7</v>
      </c>
      <c r="AY1455" s="50" t="n">
        <f aca="false">IF(BW1455=1,0,ROUNDUP(AX1455/BV1455,0))</f>
        <v>0</v>
      </c>
      <c r="AZ1455" s="52" t="n">
        <f aca="false">IF(CL1455&gt;0,CL1455*MAX(1,AX1455/X1455),IF(BW1455=1,IF(AX1455&lt;=0,0,CA1455*MAX(1,IF(H1455&gt;0,AX1455/H1455,1))),IF(R1455&gt;0,AY1455/R1455,0))/MAX(0.1,N(Parameter!$M$21)))</f>
        <v>0.15</v>
      </c>
      <c r="BA1455" s="50" t="n">
        <f aca="false">AZ1455*BY1455</f>
        <v>35.25</v>
      </c>
      <c r="BB1455" s="50" t="n">
        <f aca="false">AX1455*G1455</f>
        <v>26338.34</v>
      </c>
      <c r="BC1455" s="50" t="n">
        <f aca="false">ROUNDUP(MAX(J1455/IF(CD1455&gt;0,CD1455,MAX(0.1,N(Cockpit!$O$6))),CG1455)/BV1455,0)*BV1455</f>
        <v>7</v>
      </c>
      <c r="BD1455" s="51" t="n">
        <f aca="false">IF(BA1455&gt;0,J1455/BA1455,-1)</f>
        <v>0.567375886524823</v>
      </c>
      <c r="BE1455" s="51" t="str">
        <f aca="false">IF(AND(OR(CC1455="L1",CC1455="L23",CC1455="LIFT"),BA1455&gt;0),SUMIFS($BA$7:$BA$1843,$CC$7:$CC$1843,CC1455,$BD$7:$BD$1843,"&gt;"&amp;BD1455)+SUMIFS($BA$7:$BA$1843,$CC$7:$CC$1843,CC1455,$BD$7:$BD$1843,BD1455,$BT$7:$BT$1843,"&lt;="&amp;BT1455),"")</f>
        <v/>
      </c>
      <c r="BF1455" s="58" t="n">
        <f aca="false">IF(BE1455="",0,MAX(0,MIN(1,(IF(CC1455="L1",Parameter!$H$5,IF(CC1455="L23",Parameter!$H$6+Parameter!$H$7,Parameter!$H$5+Parameter!$H$6+Parameter!$H$7))-(BE1455-BA1455))/BA1455)))</f>
        <v>0</v>
      </c>
      <c r="BG1455" s="48" t="str">
        <f aca="false">IF(AI1455&lt;=0,"",IF(CC1455="Aussen","Aussenlager",IF(CC1455="-","Nicht im Lift",IF(AN1455&gt;=1,"Lift",IF(AN1455&lt;=0,"Aussenlager","teilweise")))))</f>
        <v/>
      </c>
      <c r="BH1455" s="48" t="str">
        <f aca="false">IF(AR1455&lt;=0,"",IF(CC1455="Aussen","Aussenlager",IF(CC1455="-","Nicht im Lift",IF(AW1455&gt;=1,"Lift",IF(AW1455&lt;=0,"Aussenlager","teilweise")))))</f>
        <v>Nicht im Lift</v>
      </c>
      <c r="BI1455" s="48" t="str">
        <f aca="false">IF(BA1455&lt;=0,"",IF(CC1455="Aussen","Aussenlager",IF(CC1455="-","Nicht im Lift",IF(BF1455&gt;=1,"Lift",IF(BF1455&lt;=0,"Aussenlager","teilweise")))))</f>
        <v>Nicht im Lift</v>
      </c>
      <c r="BJ1455" s="48" t="str">
        <f aca="false">IF(A1455="","",IF(BS1455=1,"Neu; ","")&amp;IF(AND(BS1455=0,BN1455&lt;0),"negativer Bestand (Export "&amp;BN1455&amp;"); ","")&amp;IF(J1455&lt;=0,"Kein Verbrauch; ","")&amp;IF(CL1455&gt;0,"Lift "&amp;W1455&amp;" lt. Liftbericht (Fach "&amp;X1455&amp;" Stk); ",IF(BX1455=1,"Gebinde geschätzt ("&amp;T1455&amp;"); ",IF(BW1455=1,"Lose – Tablare geschätzt; ","")))&amp;IF(H1455&gt;AT1455,"Überbestand "&amp;ROUND(H1455-AT1455,0)&amp;" Stk / CHF "&amp;ROUND((H1455-AT1455)*G1455,0)&amp;"; ","")&amp;IF(AND(CE1455=1,CF1455&lt;CG1455),"MAX &lt; MB+LG; ","")&amp;IF(AND(CK1455&gt;0,CJ1455*10&gt;CK1455),"zu hoch für Tablar; ","")&amp;IF(AND(BS1455=0,OR(CE1455=1,AA1455&lt;&gt;"",U1455&lt;&gt;"",V1455&lt;&gt;"",AB1455&lt;&gt;"")),"manuell übersteuert; ","")&amp;IF(AND(BW1455=0,R1455=0),"Gebinde unbekannt / Stellmass fehlt; ","")&amp;IF(AND(BW1455=0,N(V1455)&lt;=0,N(Q1455)&lt;=0),"Menge pro Gebinde fehlt (Ist = 1 Gebinde); ","")&amp;BR1455)</f>
        <v>negativer Bestand (Export -4); Lose – Tablare geschätzt; </v>
      </c>
      <c r="BK1455" s="48"/>
      <c r="BL1455" s="48"/>
      <c r="BM1455" s="55"/>
      <c r="BN1455" s="50" t="n">
        <v>-4</v>
      </c>
      <c r="BO1455" s="50" t="n">
        <v>0</v>
      </c>
      <c r="BP1455" s="49" t="n">
        <v>-15318.52</v>
      </c>
      <c r="BQ1455" s="50" t="n">
        <v>20</v>
      </c>
      <c r="BR1455" s="48"/>
      <c r="BS1455" s="53" t="n">
        <v>0</v>
      </c>
      <c r="BT1455" s="53" t="n">
        <v>1455</v>
      </c>
      <c r="BU1455" s="48" t="str">
        <f aca="false">IF(U1455&lt;&gt;"",UPPER(TRIM(U1455)),IF(BX1455=1,UPPER(VLOOKUP(T1455,Parameter!$I$27:$K$29,2,0)),IF(P1455="","LOSE",P1455)))</f>
        <v>LOSE</v>
      </c>
      <c r="BV1455" s="50" t="n">
        <f aca="false">IF(BU1455="LOSE",1,IF(N(V1455)&gt;0,V1455,IF(BX1455=1,MAX(1,N(VLOOKUP(T1455,Parameter!$I$27:$K$29,3,0)),H1455,N(N1455)),IF(N(Q1455)&gt;0,Q1455,MAX(1,H1455)))))</f>
        <v>1</v>
      </c>
      <c r="BW1455" s="53" t="n">
        <f aca="false">IF(BU1455="LOSE",1,0)</f>
        <v>1</v>
      </c>
      <c r="BX1455" s="53" t="n">
        <f aca="false">IF(AND(U1455="",OR(P1455="",P1455="LOSE"),T1455&lt;&gt;"",N(S1455)&lt;=0,ISNUMBER(MATCH(T1455,Parameter!$I$27:$I$29,0))),1,0)</f>
        <v>0</v>
      </c>
      <c r="BY1455" s="53" t="n">
        <f aca="false">IF(CL1455&gt;0,INDEX(Parameter!$H$5:$H$7,W1455)/INDEX(Parameter!$E$5:$E$7,W1455),IF(AND(BW1455=0,N(IFERROR(VLOOKUP(BU1455,'Gebinde-Kategorie'!$A$5:$N$45,14,0),0))&gt;0),VLOOKUP(BU1455,'Gebinde-Kategorie'!$A$5:$N$45,14,0)*10+Parameter!$M$23,Parameter!$M$24))</f>
        <v>235</v>
      </c>
      <c r="BZ1455" s="48" t="str">
        <f aca="false">IF(AND(Parameter!$B$19="Ja",E1455&lt;&gt;"",ISNUMBER(MATCH(E1455,Parameter!$I$35:$I$52,0))),VLOOKUP(E1455,Parameter!$I$35:$J$52,2,0),IFERROR(VLOOKUP(D1455,Parameter!$A$35:$C$64,2,0),"Nein"))</f>
        <v>Nein</v>
      </c>
      <c r="CA1455" s="52" t="n">
        <f aca="false">IF(BW1455=0,0,IF(N(S1455)&gt;0,S1455,IFERROR(VLOOKUP(D1455,Parameter!$A$35:$C$64,3,0)+0,0)))</f>
        <v>0.15</v>
      </c>
      <c r="CB1455" s="48" t="str">
        <f aca="false">IF(AA1455&lt;&gt;"",AA1455,Z1455)</f>
        <v>-</v>
      </c>
      <c r="CC1455" s="48" t="str">
        <f aca="false">IF(OR(CB1455=1,CB1455=2,CB1455=3),IF(Parameter!$E$27="Ja","LIFT",IF(CB1455=1,"L1","L23")),IF(CB1455="Aussen","Aussen","-"))</f>
        <v>-</v>
      </c>
      <c r="CD1455" s="59" t="n">
        <f aca="false">IF(N(AB1455)&gt;0,AB1455,0)</f>
        <v>0</v>
      </c>
      <c r="CE1455" s="53" t="n">
        <f aca="false">IF(ISNUMBER(AE1455),1,0)</f>
        <v>0</v>
      </c>
      <c r="CF1455" s="50" t="n">
        <f aca="false">N(AE1455)</f>
        <v>0</v>
      </c>
      <c r="CG1455" s="50" t="n">
        <f aca="false">N(M1455)+N(N1455)</f>
        <v>1</v>
      </c>
      <c r="CH1455" s="50" t="n">
        <f aca="false">ROUNDUP(H1455/BV1455,0)</f>
        <v>0</v>
      </c>
      <c r="CI1455" s="50" t="n">
        <f aca="false">ROUNDUP(CF1455/BV1455,0)</f>
        <v>0</v>
      </c>
      <c r="CJ1455" s="53" t="n">
        <f aca="false">IF(BW1455=1,0,IFERROR(VLOOKUP(BU1455,'Gebinde-Kategorie'!$A$5:$N$45,5,0)+0,0))</f>
        <v>0</v>
      </c>
      <c r="CK1455" s="53" t="n">
        <f aca="false">IFERROR(IF(OR(CB1455=1,CB1455=2,CB1455=3),N(INDEX(Parameter!$I$5:$I$7,CB1455)),0),0)</f>
        <v>0</v>
      </c>
      <c r="CL1455" s="52" t="n">
        <f aca="false">IF(AND(Parameter!$B$21="Ja",ISNUMBER(W1455),N(X1455)&gt;0),IFERROR(N(INDEX(Parameter!$L$5:$L$7,W1455))*INDEX(Parameter!$E$5:$E$7,W1455)*X1455/SUMIFS($X$7:$X$1843,$W$7:$W$1843,W1455),0),0)</f>
        <v>0</v>
      </c>
    </row>
    <row r="1456" customFormat="false" ht="15" hidden="false" customHeight="false" outlineLevel="0" collapsed="false">
      <c r="A1456" s="48" t="s">
        <v>2550</v>
      </c>
      <c r="B1456" s="48" t="s">
        <v>2551</v>
      </c>
      <c r="C1456" s="48" t="s">
        <v>168</v>
      </c>
      <c r="D1456" s="48" t="s">
        <v>169</v>
      </c>
      <c r="E1456" s="48"/>
      <c r="F1456" s="48"/>
      <c r="G1456" s="49" t="n">
        <v>2011.57</v>
      </c>
      <c r="H1456" s="50" t="n">
        <f aca="false">MAX(0,IF(AND(Parameter!$B$21="Ja",ISNUMBER(Y1456)),Y1456,IF(Parameter!$B$20="Jahresanfang 2025 + Export",BO1456+BN1456,BN1456)))</f>
        <v>9</v>
      </c>
      <c r="I1456" s="50" t="n">
        <f aca="false">H1456*G1456</f>
        <v>18104.13</v>
      </c>
      <c r="J1456" s="50" t="n">
        <f aca="false">BQ1456*Parameter!$B$18</f>
        <v>12</v>
      </c>
      <c r="K1456" s="51"/>
      <c r="L1456" s="52"/>
      <c r="M1456" s="50" t="n">
        <v>2</v>
      </c>
      <c r="N1456" s="50" t="n">
        <v>3</v>
      </c>
      <c r="O1456" s="53"/>
      <c r="P1456" s="48" t="s">
        <v>172</v>
      </c>
      <c r="Q1456" s="50"/>
      <c r="R1456" s="53" t="n">
        <f aca="false">IF(BW1456=1,0,IFERROR(VLOOKUP(BU1456,'Gebinde-Kategorie'!$A$5:$N$45,13,0)+0,0))</f>
        <v>0</v>
      </c>
      <c r="S1456" s="54"/>
      <c r="T1456" s="55"/>
      <c r="U1456" s="55"/>
      <c r="V1456" s="55"/>
      <c r="W1456" s="48" t="n">
        <v>1</v>
      </c>
      <c r="X1456" s="50" t="n">
        <v>29</v>
      </c>
      <c r="Y1456" s="50" t="n">
        <v>9</v>
      </c>
      <c r="Z1456" s="48" t="n">
        <f aca="false">IF(A1456="","",IF(AND(Parameter!$B$21="Ja",ISNUMBER(W1456)),W1456,IF(BZ1456="2+3",IF(ISNUMBER(SEARCH("grosser Artikel",BR1456)),2,IFERROR(VLOOKUP(BU1456,Parameter!$F$35:$G$64,2,0),2)),IF(OR(BZ1456="Nein",BZ1456=""),"-",BZ1456))))</f>
        <v>1</v>
      </c>
      <c r="AA1456" s="55"/>
      <c r="AB1456" s="56"/>
      <c r="AC1456" s="50" t="n">
        <f aca="false">AT1456</f>
        <v>6</v>
      </c>
      <c r="AD1456" s="50" t="n">
        <f aca="false">MAX(AT1456,H1456)</f>
        <v>9</v>
      </c>
      <c r="AE1456" s="57"/>
      <c r="AF1456" s="50" t="n">
        <f aca="false">IF(LEFT(Cockpit!$C$5,1)="A",H1456,IF(CE1456=1,CF1456,IF(LEFT(Cockpit!$C$5,1)="B",AK1456,MAX(AK1456,H1456))))</f>
        <v>9</v>
      </c>
      <c r="AG1456" s="50" t="n">
        <f aca="false">IF(BW1456=1,0,ROUNDUP(AF1456/BV1456,0))</f>
        <v>0</v>
      </c>
      <c r="AH1456" s="52" t="n">
        <f aca="false">IF(CL1456&gt;0,CL1456*MAX(1,AF1456/X1456),IF(BW1456=1,IF(AF1456&lt;=0,0,CA1456*MAX(1,IF(H1456&gt;0,AF1456/H1456,1))),IF(R1456&gt;0,AG1456/R1456,0))/MAX(0.1,N(Parameter!$M$21)))</f>
        <v>2.3210922787194</v>
      </c>
      <c r="AI1456" s="50" t="n">
        <f aca="false">AH1456*BY1456</f>
        <v>552.419962335217</v>
      </c>
      <c r="AJ1456" s="50" t="n">
        <f aca="false">AF1456*G1456</f>
        <v>18104.13</v>
      </c>
      <c r="AK1456" s="50" t="n">
        <f aca="false">ROUNDUP(MAX(J1456/IF(CD1456&gt;0,CD1456,MAX(0.1,N(Cockpit!$C$6))),CG1456)/BV1456,0)*BV1456</f>
        <v>6</v>
      </c>
      <c r="AL1456" s="51" t="n">
        <f aca="false">IF(AI1456&gt;0,J1456/AI1456,-1)</f>
        <v>0.0217226038488418</v>
      </c>
      <c r="AM1456" s="51" t="n">
        <f aca="false">IF(AND(OR(CC1456="L1",CC1456="L23",CC1456="LIFT"),AI1456&gt;0),SUMIFS($AI$7:$AI$1843,$CC$7:$CC$1843,CC1456,$AL$7:$AL$1843,"&gt;"&amp;AL1456)+SUMIFS($AI$7:$AI$1843,$CC$7:$CC$1843,CC1456,$AL$7:$AL$1843,AL1456,$BT$7:$BT$1843,"&lt;="&amp;BT1456),"")</f>
        <v>23263.7441148776</v>
      </c>
      <c r="AN1456" s="58" t="n">
        <f aca="false">IF(AM1456="",0,MAX(0,MIN(1,(IF(CC1456="L1",Parameter!$H$5,IF(CC1456="L23",Parameter!$H$6+Parameter!$H$7,Parameter!$H$5+Parameter!$H$6+Parameter!$H$7))-(AM1456-AI1456))/AI1456)))</f>
        <v>1</v>
      </c>
      <c r="AO1456" s="50" t="n">
        <f aca="false">IF(LEFT(Cockpit!$I$5,1)="A",H1456,IF(CE1456=1,CF1456,IF(LEFT(Cockpit!$I$5,1)="B",AT1456,MAX(AT1456,H1456))))</f>
        <v>9</v>
      </c>
      <c r="AP1456" s="50" t="n">
        <f aca="false">IF(BW1456=1,0,ROUNDUP(AO1456/BV1456,0))</f>
        <v>0</v>
      </c>
      <c r="AQ1456" s="52" t="n">
        <f aca="false">IF(CL1456&gt;0,CL1456*MAX(1,AO1456/X1456),IF(BW1456=1,IF(AO1456&lt;=0,0,CA1456*MAX(1,IF(H1456&gt;0,AO1456/H1456,1))),IF(R1456&gt;0,AP1456/R1456,0))/MAX(0.1,N(Parameter!$M$21)))</f>
        <v>2.3210922787194</v>
      </c>
      <c r="AR1456" s="50" t="n">
        <f aca="false">AQ1456*BY1456</f>
        <v>552.419962335217</v>
      </c>
      <c r="AS1456" s="50" t="n">
        <f aca="false">AO1456*G1456</f>
        <v>18104.13</v>
      </c>
      <c r="AT1456" s="50" t="n">
        <f aca="false">ROUNDUP(MAX(J1456/IF(CD1456&gt;0,CD1456,MAX(0.1,N(Cockpit!$I$6))),CG1456)/BV1456,0)*BV1456</f>
        <v>6</v>
      </c>
      <c r="AU1456" s="51" t="n">
        <f aca="false">IF(AR1456&gt;0,J1456/AR1456,-1)</f>
        <v>0.0217226038488418</v>
      </c>
      <c r="AV1456" s="51" t="n">
        <f aca="false">IF(AND(OR(CC1456="L1",CC1456="L23",CC1456="LIFT"),AR1456&gt;0),SUMIFS($AR$7:$AR$1843,$CC$7:$CC$1843,CC1456,$AU$7:$AU$1843,"&gt;"&amp;AU1456)+SUMIFS($AR$7:$AR$1843,$CC$7:$CC$1843,CC1456,$AU$7:$AU$1843,AU1456,$BT$7:$BT$1843,"&lt;="&amp;BT1456),"")</f>
        <v>34196.4683703773</v>
      </c>
      <c r="AW1456" s="58" t="n">
        <f aca="false">IF(AV1456="",0,MAX(0,MIN(1,(IF(CC1456="L1",Parameter!$H$5,IF(CC1456="L23",Parameter!$H$6+Parameter!$H$7,Parameter!$H$5+Parameter!$H$6+Parameter!$H$7))-(AV1456-AR1456))/AR1456)))</f>
        <v>1</v>
      </c>
      <c r="AX1456" s="50" t="n">
        <f aca="false">IF(LEFT(Cockpit!$O$5,1)="A",H1456,IF(CE1456=1,CF1456,IF(LEFT(Cockpit!$O$5,1)="B",BC1456,MAX(BC1456,H1456))))</f>
        <v>9</v>
      </c>
      <c r="AY1456" s="50" t="n">
        <f aca="false">IF(BW1456=1,0,ROUNDUP(AX1456/BV1456,0))</f>
        <v>0</v>
      </c>
      <c r="AZ1456" s="52" t="n">
        <f aca="false">IF(CL1456&gt;0,CL1456*MAX(1,AX1456/X1456),IF(BW1456=1,IF(AX1456&lt;=0,0,CA1456*MAX(1,IF(H1456&gt;0,AX1456/H1456,1))),IF(R1456&gt;0,AY1456/R1456,0))/MAX(0.1,N(Parameter!$M$21)))</f>
        <v>2.3210922787194</v>
      </c>
      <c r="BA1456" s="50" t="n">
        <f aca="false">AZ1456*BY1456</f>
        <v>552.419962335217</v>
      </c>
      <c r="BB1456" s="50" t="n">
        <f aca="false">AX1456*G1456</f>
        <v>18104.13</v>
      </c>
      <c r="BC1456" s="50" t="n">
        <f aca="false">ROUNDUP(MAX(J1456/IF(CD1456&gt;0,CD1456,MAX(0.1,N(Cockpit!$O$6))),CG1456)/BV1456,0)*BV1456</f>
        <v>5</v>
      </c>
      <c r="BD1456" s="51" t="n">
        <f aca="false">IF(BA1456&gt;0,J1456/BA1456,-1)</f>
        <v>0.0217226038488418</v>
      </c>
      <c r="BE1456" s="51" t="n">
        <f aca="false">IF(AND(OR(CC1456="L1",CC1456="L23",CC1456="LIFT"),BA1456&gt;0),SUMIFS($BA$7:$BA$1843,$CC$7:$CC$1843,CC1456,$BD$7:$BD$1843,"&gt;"&amp;BD1456)+SUMIFS($BA$7:$BA$1843,$CC$7:$CC$1843,CC1456,$BD$7:$BD$1843,BD1456,$BT$7:$BT$1843,"&lt;="&amp;BT1456),"")</f>
        <v>30871.4804122431</v>
      </c>
      <c r="BF1456" s="58" t="n">
        <f aca="false">IF(BE1456="",0,MAX(0,MIN(1,(IF(CC1456="L1",Parameter!$H$5,IF(CC1456="L23",Parameter!$H$6+Parameter!$H$7,Parameter!$H$5+Parameter!$H$6+Parameter!$H$7))-(BE1456-BA1456))/BA1456)))</f>
        <v>1</v>
      </c>
      <c r="BG1456" s="48" t="str">
        <f aca="false">IF(AI1456&lt;=0,"",IF(CC1456="Aussen","Aussenlager",IF(CC1456="-","Nicht im Lift",IF(AN1456&gt;=1,"Lift",IF(AN1456&lt;=0,"Aussenlager","teilweise")))))</f>
        <v>Lift</v>
      </c>
      <c r="BH1456" s="48" t="str">
        <f aca="false">IF(AR1456&lt;=0,"",IF(CC1456="Aussen","Aussenlager",IF(CC1456="-","Nicht im Lift",IF(AW1456&gt;=1,"Lift",IF(AW1456&lt;=0,"Aussenlager","teilweise")))))</f>
        <v>Lift</v>
      </c>
      <c r="BI1456" s="48" t="str">
        <f aca="false">IF(BA1456&lt;=0,"",IF(CC1456="Aussen","Aussenlager",IF(CC1456="-","Nicht im Lift",IF(BF1456&gt;=1,"Lift",IF(BF1456&lt;=0,"Aussenlager","teilweise")))))</f>
        <v>Lift</v>
      </c>
      <c r="BJ1456" s="48" t="str">
        <f aca="false">IF(A1456="","",IF(BS1456=1,"Neu; ","")&amp;IF(AND(BS1456=0,BN1456&lt;0),"negativer Bestand (Export "&amp;BN1456&amp;"); ","")&amp;IF(J1456&lt;=0,"Kein Verbrauch; ","")&amp;IF(CL1456&gt;0,"Lift "&amp;W1456&amp;" lt. Liftbericht (Fach "&amp;X1456&amp;" Stk); ",IF(BX1456=1,"Gebinde geschätzt ("&amp;T1456&amp;"); ",IF(BW1456=1,"Lose – Tablare geschätzt; ","")))&amp;IF(H1456&gt;AT1456,"Überbestand "&amp;ROUND(H1456-AT1456,0)&amp;" Stk / CHF "&amp;ROUND((H1456-AT1456)*G1456,0)&amp;"; ","")&amp;IF(AND(CE1456=1,CF1456&lt;CG1456),"MAX &lt; MB+LG; ","")&amp;IF(AND(CK1456&gt;0,CJ1456*10&gt;CK1456),"zu hoch für Tablar; ","")&amp;IF(AND(BS1456=0,OR(CE1456=1,AA1456&lt;&gt;"",U1456&lt;&gt;"",V1456&lt;&gt;"",AB1456&lt;&gt;"")),"manuell übersteuert; ","")&amp;IF(AND(BW1456=0,R1456=0),"Gebinde unbekannt / Stellmass fehlt; ","")&amp;IF(AND(BW1456=0,N(V1456)&lt;=0,N(Q1456)&lt;=0),"Menge pro Gebinde fehlt (Ist = 1 Gebinde); ","")&amp;BR1456)</f>
        <v>negativer Bestand (Export -8); Lift 1 lt. Liftbericht (Fach 29 Stk); Überbestand 3 Stk / CHF 6035; </v>
      </c>
      <c r="BK1456" s="48"/>
      <c r="BL1456" s="48"/>
      <c r="BM1456" s="55"/>
      <c r="BN1456" s="50" t="n">
        <v>-8</v>
      </c>
      <c r="BO1456" s="50" t="n">
        <v>0</v>
      </c>
      <c r="BP1456" s="49" t="n">
        <v>-15753.9</v>
      </c>
      <c r="BQ1456" s="50" t="n">
        <v>12</v>
      </c>
      <c r="BR1456" s="48"/>
      <c r="BS1456" s="53" t="n">
        <v>0</v>
      </c>
      <c r="BT1456" s="53" t="n">
        <v>1456</v>
      </c>
      <c r="BU1456" s="48" t="str">
        <f aca="false">IF(U1456&lt;&gt;"",UPPER(TRIM(U1456)),IF(BX1456=1,UPPER(VLOOKUP(T1456,Parameter!$I$27:$K$29,2,0)),IF(P1456="","LOSE",P1456)))</f>
        <v>LOSE</v>
      </c>
      <c r="BV1456" s="50" t="n">
        <f aca="false">IF(BU1456="LOSE",1,IF(N(V1456)&gt;0,V1456,IF(BX1456=1,MAX(1,N(VLOOKUP(T1456,Parameter!$I$27:$K$29,3,0)),H1456,N(N1456)),IF(N(Q1456)&gt;0,Q1456,MAX(1,H1456)))))</f>
        <v>1</v>
      </c>
      <c r="BW1456" s="53" t="n">
        <f aca="false">IF(BU1456="LOSE",1,0)</f>
        <v>1</v>
      </c>
      <c r="BX1456" s="53" t="n">
        <f aca="false">IF(AND(U1456="",OR(P1456="",P1456="LOSE"),T1456&lt;&gt;"",N(S1456)&lt;=0,ISNUMBER(MATCH(T1456,Parameter!$I$27:$I$29,0))),1,0)</f>
        <v>0</v>
      </c>
      <c r="BY1456" s="53" t="n">
        <f aca="false">IF(CL1456&gt;0,INDEX(Parameter!$H$5:$H$7,W1456)/INDEX(Parameter!$E$5:$E$7,W1456),IF(AND(BW1456=0,N(IFERROR(VLOOKUP(BU1456,'Gebinde-Kategorie'!$A$5:$N$45,14,0),0))&gt;0),VLOOKUP(BU1456,'Gebinde-Kategorie'!$A$5:$N$45,14,0)*10+Parameter!$M$23,Parameter!$M$24))</f>
        <v>238</v>
      </c>
      <c r="BZ1456" s="48" t="n">
        <f aca="false">IF(AND(Parameter!$B$19="Ja",E1456&lt;&gt;"",ISNUMBER(MATCH(E1456,Parameter!$I$35:$I$52,0))),VLOOKUP(E1456,Parameter!$I$35:$J$52,2,0),IFERROR(VLOOKUP(D1456,Parameter!$A$35:$C$64,2,0),"Nein"))</f>
        <v>1</v>
      </c>
      <c r="CA1456" s="52" t="n">
        <f aca="false">IF(BW1456=0,0,IF(N(S1456)&gt;0,S1456,IFERROR(VLOOKUP(D1456,Parameter!$A$35:$C$64,3,0)+0,0)))</f>
        <v>1</v>
      </c>
      <c r="CB1456" s="48" t="n">
        <f aca="false">IF(AA1456&lt;&gt;"",AA1456,Z1456)</f>
        <v>1</v>
      </c>
      <c r="CC1456" s="48" t="str">
        <f aca="false">IF(OR(CB1456=1,CB1456=2,CB1456=3),IF(Parameter!$E$27="Ja","LIFT",IF(CB1456=1,"L1","L23")),IF(CB1456="Aussen","Aussen","-"))</f>
        <v>LIFT</v>
      </c>
      <c r="CD1456" s="59" t="n">
        <f aca="false">IF(N(AB1456)&gt;0,AB1456,0)</f>
        <v>0</v>
      </c>
      <c r="CE1456" s="53" t="n">
        <f aca="false">IF(ISNUMBER(AE1456),1,0)</f>
        <v>0</v>
      </c>
      <c r="CF1456" s="50" t="n">
        <f aca="false">N(AE1456)</f>
        <v>0</v>
      </c>
      <c r="CG1456" s="50" t="n">
        <f aca="false">N(M1456)+N(N1456)</f>
        <v>5</v>
      </c>
      <c r="CH1456" s="50" t="n">
        <f aca="false">ROUNDUP(H1456/BV1456,0)</f>
        <v>9</v>
      </c>
      <c r="CI1456" s="50" t="n">
        <f aca="false">ROUNDUP(CF1456/BV1456,0)</f>
        <v>0</v>
      </c>
      <c r="CJ1456" s="53" t="n">
        <f aca="false">IF(BW1456=1,0,IFERROR(VLOOKUP(BU1456,'Gebinde-Kategorie'!$A$5:$N$45,5,0)+0,0))</f>
        <v>0</v>
      </c>
      <c r="CK1456" s="53" t="n">
        <f aca="false">IFERROR(IF(OR(CB1456=1,CB1456=2,CB1456=3),N(INDEX(Parameter!$I$5:$I$7,CB1456)),0),0)</f>
        <v>0</v>
      </c>
      <c r="CL1456" s="52" t="n">
        <f aca="false">IF(AND(Parameter!$B$21="Ja",ISNUMBER(W1456),N(X1456)&gt;0),IFERROR(N(INDEX(Parameter!$L$5:$L$7,W1456))*INDEX(Parameter!$E$5:$E$7,W1456)*X1456/SUMIFS($X$7:$X$1843,$W$7:$W$1843,W1456),0),0)</f>
        <v>2.3210922787194</v>
      </c>
    </row>
    <row r="1457" customFormat="false" ht="15" hidden="false" customHeight="false" outlineLevel="0" collapsed="false">
      <c r="A1457" s="48" t="s">
        <v>2552</v>
      </c>
      <c r="B1457" s="48" t="s">
        <v>185</v>
      </c>
      <c r="C1457" s="48" t="s">
        <v>460</v>
      </c>
      <c r="D1457" s="48" t="s">
        <v>177</v>
      </c>
      <c r="E1457" s="48" t="s">
        <v>189</v>
      </c>
      <c r="F1457" s="48"/>
      <c r="G1457" s="49" t="n">
        <v>5331</v>
      </c>
      <c r="H1457" s="50" t="n">
        <f aca="false">MAX(0,IF(AND(Parameter!$B$21="Ja",ISNUMBER(Y1457)),Y1457,IF(Parameter!$B$20="Jahresanfang 2025 + Export",BO1457+BN1457,BN1457)))</f>
        <v>0</v>
      </c>
      <c r="I1457" s="50" t="n">
        <f aca="false">H1457*G1457</f>
        <v>0</v>
      </c>
      <c r="J1457" s="50" t="n">
        <f aca="false">BQ1457*Parameter!$B$18</f>
        <v>5</v>
      </c>
      <c r="K1457" s="51"/>
      <c r="L1457" s="52"/>
      <c r="M1457" s="50" t="n">
        <v>0</v>
      </c>
      <c r="N1457" s="50" t="n">
        <v>1</v>
      </c>
      <c r="O1457" s="53"/>
      <c r="P1457" s="48" t="s">
        <v>172</v>
      </c>
      <c r="Q1457" s="50"/>
      <c r="R1457" s="53" t="n">
        <f aca="false">IF(BW1457=1,0,IFERROR(VLOOKUP(BU1457,'Gebinde-Kategorie'!$A$5:$N$45,13,0)+0,0))</f>
        <v>12</v>
      </c>
      <c r="S1457" s="54"/>
      <c r="T1457" s="55" t="s">
        <v>183</v>
      </c>
      <c r="U1457" s="55"/>
      <c r="V1457" s="55"/>
      <c r="W1457" s="48"/>
      <c r="X1457" s="50"/>
      <c r="Y1457" s="50"/>
      <c r="Z1457" s="48" t="n">
        <f aca="false">IF(A1457="","",IF(AND(Parameter!$B$21="Ja",ISNUMBER(W1457)),W1457,IF(BZ1457="2+3",IF(ISNUMBER(SEARCH("grosser Artikel",BR1457)),2,IFERROR(VLOOKUP(BU1457,Parameter!$F$35:$G$64,2,0),2)),IF(OR(BZ1457="Nein",BZ1457=""),"-",BZ1457))))</f>
        <v>2</v>
      </c>
      <c r="AA1457" s="55"/>
      <c r="AB1457" s="56"/>
      <c r="AC1457" s="50" t="n">
        <f aca="false">AT1457</f>
        <v>4</v>
      </c>
      <c r="AD1457" s="50" t="n">
        <f aca="false">MAX(AT1457,H1457)</f>
        <v>4</v>
      </c>
      <c r="AE1457" s="57"/>
      <c r="AF1457" s="50" t="n">
        <f aca="false">IF(LEFT(Cockpit!$C$5,1)="A",H1457,IF(CE1457=1,CF1457,IF(LEFT(Cockpit!$C$5,1)="B",AK1457,MAX(AK1457,H1457))))</f>
        <v>0</v>
      </c>
      <c r="AG1457" s="50" t="n">
        <f aca="false">IF(BW1457=1,0,ROUNDUP(AF1457/BV1457,0))</f>
        <v>0</v>
      </c>
      <c r="AH1457" s="52" t="n">
        <f aca="false">IF(CL1457&gt;0,CL1457*MAX(1,AF1457/X1457),IF(BW1457=1,IF(AF1457&lt;=0,0,CA1457*MAX(1,IF(H1457&gt;0,AF1457/H1457,1))),IF(R1457&gt;0,AG1457/R1457,0))/MAX(0.1,N(Parameter!$M$21)))</f>
        <v>0</v>
      </c>
      <c r="AI1457" s="50" t="n">
        <f aca="false">AH1457*BY1457</f>
        <v>0</v>
      </c>
      <c r="AJ1457" s="50" t="n">
        <f aca="false">AF1457*G1457</f>
        <v>0</v>
      </c>
      <c r="AK1457" s="50" t="n">
        <f aca="false">ROUNDUP(MAX(J1457/IF(CD1457&gt;0,CD1457,MAX(0.1,N(Cockpit!$C$6))),CG1457)/BV1457,0)*BV1457</f>
        <v>4</v>
      </c>
      <c r="AL1457" s="51" t="n">
        <f aca="false">IF(AI1457&gt;0,J1457/AI1457,-1)</f>
        <v>-1</v>
      </c>
      <c r="AM1457" s="51" t="str">
        <f aca="false">IF(AND(OR(CC1457="L1",CC1457="L23",CC1457="LIFT"),AI1457&gt;0),SUMIFS($AI$7:$AI$1843,$CC$7:$CC$1843,CC1457,$AL$7:$AL$1843,"&gt;"&amp;AL1457)+SUMIFS($AI$7:$AI$1843,$CC$7:$CC$1843,CC1457,$AL$7:$AL$1843,AL1457,$BT$7:$BT$1843,"&lt;="&amp;BT1457),"")</f>
        <v/>
      </c>
      <c r="AN1457" s="58" t="n">
        <f aca="false">IF(AM1457="",0,MAX(0,MIN(1,(IF(CC1457="L1",Parameter!$H$5,IF(CC1457="L23",Parameter!$H$6+Parameter!$H$7,Parameter!$H$5+Parameter!$H$6+Parameter!$H$7))-(AM1457-AI1457))/AI1457)))</f>
        <v>0</v>
      </c>
      <c r="AO1457" s="50" t="n">
        <f aca="false">IF(LEFT(Cockpit!$I$5,1)="A",H1457,IF(CE1457=1,CF1457,IF(LEFT(Cockpit!$I$5,1)="B",AT1457,MAX(AT1457,H1457))))</f>
        <v>4</v>
      </c>
      <c r="AP1457" s="50" t="n">
        <f aca="false">IF(BW1457=1,0,ROUNDUP(AO1457/BV1457,0))</f>
        <v>1</v>
      </c>
      <c r="AQ1457" s="52" t="n">
        <f aca="false">IF(CL1457&gt;0,CL1457*MAX(1,AO1457/X1457),IF(BW1457=1,IF(AO1457&lt;=0,0,CA1457*MAX(1,IF(H1457&gt;0,AO1457/H1457,1))),IF(R1457&gt;0,AP1457/R1457,0))/MAX(0.1,N(Parameter!$M$21)))</f>
        <v>0.0833333333333333</v>
      </c>
      <c r="AR1457" s="50" t="n">
        <f aca="false">AQ1457*BY1457</f>
        <v>12.0833333333333</v>
      </c>
      <c r="AS1457" s="50" t="n">
        <f aca="false">AO1457*G1457</f>
        <v>21324</v>
      </c>
      <c r="AT1457" s="50" t="n">
        <f aca="false">ROUNDUP(MAX(J1457/IF(CD1457&gt;0,CD1457,MAX(0.1,N(Cockpit!$I$6))),CG1457)/BV1457,0)*BV1457</f>
        <v>4</v>
      </c>
      <c r="AU1457" s="51" t="n">
        <f aca="false">IF(AR1457&gt;0,J1457/AR1457,-1)</f>
        <v>0.413793103448276</v>
      </c>
      <c r="AV1457" s="51" t="n">
        <f aca="false">IF(AND(OR(CC1457="L1",CC1457="L23",CC1457="LIFT"),AR1457&gt;0),SUMIFS($AR$7:$AR$1843,$CC$7:$CC$1843,CC1457,$AU$7:$AU$1843,"&gt;"&amp;AU1457)+SUMIFS($AR$7:$AR$1843,$CC$7:$CC$1843,CC1457,$AU$7:$AU$1843,AU1457,$BT$7:$BT$1843,"&lt;="&amp;BT1457),"")</f>
        <v>15026.5091575092</v>
      </c>
      <c r="AW1457" s="58" t="n">
        <f aca="false">IF(AV1457="",0,MAX(0,MIN(1,(IF(CC1457="L1",Parameter!$H$5,IF(CC1457="L23",Parameter!$H$6+Parameter!$H$7,Parameter!$H$5+Parameter!$H$6+Parameter!$H$7))-(AV1457-AR1457))/AR1457)))</f>
        <v>1</v>
      </c>
      <c r="AX1457" s="50" t="n">
        <f aca="false">IF(LEFT(Cockpit!$O$5,1)="A",H1457,IF(CE1457=1,CF1457,IF(LEFT(Cockpit!$O$5,1)="B",BC1457,MAX(BC1457,H1457))))</f>
        <v>4</v>
      </c>
      <c r="AY1457" s="50" t="n">
        <f aca="false">IF(BW1457=1,0,ROUNDUP(AX1457/BV1457,0))</f>
        <v>1</v>
      </c>
      <c r="AZ1457" s="52" t="n">
        <f aca="false">IF(CL1457&gt;0,CL1457*MAX(1,AX1457/X1457),IF(BW1457=1,IF(AX1457&lt;=0,0,CA1457*MAX(1,IF(H1457&gt;0,AX1457/H1457,1))),IF(R1457&gt;0,AY1457/R1457,0))/MAX(0.1,N(Parameter!$M$21)))</f>
        <v>0.0833333333333333</v>
      </c>
      <c r="BA1457" s="50" t="n">
        <f aca="false">AZ1457*BY1457</f>
        <v>12.0833333333333</v>
      </c>
      <c r="BB1457" s="50" t="n">
        <f aca="false">AX1457*G1457</f>
        <v>21324</v>
      </c>
      <c r="BC1457" s="50" t="n">
        <f aca="false">ROUNDUP(MAX(J1457/IF(CD1457&gt;0,CD1457,MAX(0.1,N(Cockpit!$O$6))),CG1457)/BV1457,0)*BV1457</f>
        <v>4</v>
      </c>
      <c r="BD1457" s="51" t="n">
        <f aca="false">IF(BA1457&gt;0,J1457/BA1457,-1)</f>
        <v>0.413793103448276</v>
      </c>
      <c r="BE1457" s="51" t="n">
        <f aca="false">IF(AND(OR(CC1457="L1",CC1457="L23",CC1457="LIFT"),BA1457&gt;0),SUMIFS($BA$7:$BA$1843,$CC$7:$CC$1843,CC1457,$BD$7:$BD$1843,"&gt;"&amp;BD1457)+SUMIFS($BA$7:$BA$1843,$CC$7:$CC$1843,CC1457,$BD$7:$BD$1843,BD1457,$BT$7:$BT$1843,"&lt;="&amp;BT1457),"")</f>
        <v>13659.6662087912</v>
      </c>
      <c r="BF1457" s="58" t="n">
        <f aca="false">IF(BE1457="",0,MAX(0,MIN(1,(IF(CC1457="L1",Parameter!$H$5,IF(CC1457="L23",Parameter!$H$6+Parameter!$H$7,Parameter!$H$5+Parameter!$H$6+Parameter!$H$7))-(BE1457-BA1457))/BA1457)))</f>
        <v>1</v>
      </c>
      <c r="BG1457" s="48" t="str">
        <f aca="false">IF(AI1457&lt;=0,"",IF(CC1457="Aussen","Aussenlager",IF(CC1457="-","Nicht im Lift",IF(AN1457&gt;=1,"Lift",IF(AN1457&lt;=0,"Aussenlager","teilweise")))))</f>
        <v/>
      </c>
      <c r="BH1457" s="48" t="str">
        <f aca="false">IF(AR1457&lt;=0,"",IF(CC1457="Aussen","Aussenlager",IF(CC1457="-","Nicht im Lift",IF(AW1457&gt;=1,"Lift",IF(AW1457&lt;=0,"Aussenlager","teilweise")))))</f>
        <v>Lift</v>
      </c>
      <c r="BI1457" s="48" t="str">
        <f aca="false">IF(BA1457&lt;=0,"",IF(CC1457="Aussen","Aussenlager",IF(CC1457="-","Nicht im Lift",IF(BF1457&gt;=1,"Lift",IF(BF1457&lt;=0,"Aussenlager","teilweise")))))</f>
        <v>Lift</v>
      </c>
      <c r="BJ1457" s="48" t="str">
        <f aca="false">IF(A1457="","",IF(BS1457=1,"Neu; ","")&amp;IF(AND(BS1457=0,BN1457&lt;0),"negativer Bestand (Export "&amp;BN1457&amp;"); ","")&amp;IF(J1457&lt;=0,"Kein Verbrauch; ","")&amp;IF(CL1457&gt;0,"Lift "&amp;W1457&amp;" lt. Liftbericht (Fach "&amp;X1457&amp;" Stk); ",IF(BX1457=1,"Gebinde geschätzt ("&amp;T1457&amp;"); ",IF(BW1457=1,"Lose – Tablare geschätzt; ","")))&amp;IF(H1457&gt;AT1457,"Überbestand "&amp;ROUND(H1457-AT1457,0)&amp;" Stk / CHF "&amp;ROUND((H1457-AT1457)*G1457,0)&amp;"; ","")&amp;IF(AND(CE1457=1,CF1457&lt;CG1457),"MAX &lt; MB+LG; ","")&amp;IF(AND(CK1457&gt;0,CJ1457*10&gt;CK1457),"zu hoch für Tablar; ","")&amp;IF(AND(BS1457=0,OR(CE1457=1,AA1457&lt;&gt;"",U1457&lt;&gt;"",V1457&lt;&gt;"",AB1457&lt;&gt;"")),"manuell übersteuert; ","")&amp;IF(AND(BW1457=0,R1457=0),"Gebinde unbekannt / Stellmass fehlt; ","")&amp;IF(AND(BW1457=0,N(V1457)&lt;=0,N(Q1457)&lt;=0),"Menge pro Gebinde fehlt (Ist = 1 Gebinde); ","")&amp;BR1457)</f>
        <v>negativer Bestand (Export -3); Gebinde geschätzt (Mittel); Menge pro Gebinde fehlt (Ist = 1 Gebinde); grosser Artikel &amp; nicht im KTL</v>
      </c>
      <c r="BK1457" s="48"/>
      <c r="BL1457" s="48"/>
      <c r="BM1457" s="55"/>
      <c r="BN1457" s="50" t="n">
        <v>-3</v>
      </c>
      <c r="BO1457" s="50" t="n">
        <v>0</v>
      </c>
      <c r="BP1457" s="49" t="n">
        <v>-15993</v>
      </c>
      <c r="BQ1457" s="50" t="n">
        <v>5</v>
      </c>
      <c r="BR1457" s="48" t="s">
        <v>265</v>
      </c>
      <c r="BS1457" s="53" t="n">
        <v>0</v>
      </c>
      <c r="BT1457" s="53" t="n">
        <v>1457</v>
      </c>
      <c r="BU1457" s="48" t="str">
        <f aca="false">IF(U1457&lt;&gt;"",UPPER(TRIM(U1457)),IF(BX1457=1,UPPER(VLOOKUP(T1457,Parameter!$I$27:$K$29,2,0)),IF(P1457="","LOSE",P1457)))</f>
        <v>S61</v>
      </c>
      <c r="BV1457" s="50" t="n">
        <f aca="false">IF(BU1457="LOSE",1,IF(N(V1457)&gt;0,V1457,IF(BX1457=1,MAX(1,N(VLOOKUP(T1457,Parameter!$I$27:$K$29,3,0)),H1457,N(N1457)),IF(N(Q1457)&gt;0,Q1457,MAX(1,H1457)))))</f>
        <v>4</v>
      </c>
      <c r="BW1457" s="53" t="n">
        <f aca="false">IF(BU1457="LOSE",1,0)</f>
        <v>0</v>
      </c>
      <c r="BX1457" s="53" t="n">
        <f aca="false">IF(AND(U1457="",OR(P1457="",P1457="LOSE"),T1457&lt;&gt;"",N(S1457)&lt;=0,ISNUMBER(MATCH(T1457,Parameter!$I$27:$I$29,0))),1,0)</f>
        <v>1</v>
      </c>
      <c r="BY1457" s="53" t="n">
        <f aca="false">IF(CL1457&gt;0,INDEX(Parameter!$H$5:$H$7,W1457)/INDEX(Parameter!$E$5:$E$7,W1457),IF(AND(BW1457=0,N(IFERROR(VLOOKUP(BU1457,'Gebinde-Kategorie'!$A$5:$N$45,14,0),0))&gt;0),VLOOKUP(BU1457,'Gebinde-Kategorie'!$A$5:$N$45,14,0)*10+Parameter!$M$23,Parameter!$M$24))</f>
        <v>145</v>
      </c>
      <c r="BZ1457" s="48" t="str">
        <f aca="false">IF(AND(Parameter!$B$19="Ja",E1457&lt;&gt;"",ISNUMBER(MATCH(E1457,Parameter!$I$35:$I$52,0))),VLOOKUP(E1457,Parameter!$I$35:$J$52,2,0),IFERROR(VLOOKUP(D1457,Parameter!$A$35:$C$64,2,0),"Nein"))</f>
        <v>2+3</v>
      </c>
      <c r="CA1457" s="52" t="n">
        <f aca="false">IF(BW1457=0,0,IF(N(S1457)&gt;0,S1457,IFERROR(VLOOKUP(D1457,Parameter!$A$35:$C$64,3,0)+0,0)))</f>
        <v>0</v>
      </c>
      <c r="CB1457" s="48" t="n">
        <f aca="false">IF(AA1457&lt;&gt;"",AA1457,Z1457)</f>
        <v>2</v>
      </c>
      <c r="CC1457" s="48" t="str">
        <f aca="false">IF(OR(CB1457=1,CB1457=2,CB1457=3),IF(Parameter!$E$27="Ja","LIFT",IF(CB1457=1,"L1","L23")),IF(CB1457="Aussen","Aussen","-"))</f>
        <v>LIFT</v>
      </c>
      <c r="CD1457" s="59" t="n">
        <f aca="false">IF(N(AB1457)&gt;0,AB1457,0)</f>
        <v>0</v>
      </c>
      <c r="CE1457" s="53" t="n">
        <f aca="false">IF(ISNUMBER(AE1457),1,0)</f>
        <v>0</v>
      </c>
      <c r="CF1457" s="50" t="n">
        <f aca="false">N(AE1457)</f>
        <v>0</v>
      </c>
      <c r="CG1457" s="50" t="n">
        <f aca="false">N(M1457)+N(N1457)</f>
        <v>1</v>
      </c>
      <c r="CH1457" s="50" t="n">
        <f aca="false">ROUNDUP(H1457/BV1457,0)</f>
        <v>0</v>
      </c>
      <c r="CI1457" s="50" t="n">
        <f aca="false">ROUNDUP(CF1457/BV1457,0)</f>
        <v>0</v>
      </c>
      <c r="CJ1457" s="53" t="n">
        <f aca="false">IF(BW1457=1,0,IFERROR(VLOOKUP(BU1457,'Gebinde-Kategorie'!$A$5:$N$45,5,0)+0,0))</f>
        <v>11</v>
      </c>
      <c r="CK1457" s="53" t="n">
        <f aca="false">IFERROR(IF(OR(CB1457=1,CB1457=2,CB1457=3),N(INDEX(Parameter!$I$5:$I$7,CB1457)),0),0)</f>
        <v>0</v>
      </c>
      <c r="CL1457" s="52" t="n">
        <f aca="false">IF(AND(Parameter!$B$21="Ja",ISNUMBER(W1457),N(X1457)&gt;0),IFERROR(N(INDEX(Parameter!$L$5:$L$7,W1457))*INDEX(Parameter!$E$5:$E$7,W1457)*X1457/SUMIFS($X$7:$X$1843,$W$7:$W$1843,W1457),0),0)</f>
        <v>0</v>
      </c>
    </row>
    <row r="1458" customFormat="false" ht="15" hidden="false" customHeight="false" outlineLevel="0" collapsed="false">
      <c r="A1458" s="48" t="s">
        <v>2553</v>
      </c>
      <c r="B1458" s="48" t="s">
        <v>2554</v>
      </c>
      <c r="C1458" s="48" t="s">
        <v>168</v>
      </c>
      <c r="D1458" s="48" t="s">
        <v>177</v>
      </c>
      <c r="E1458" s="48" t="s">
        <v>170</v>
      </c>
      <c r="F1458" s="48"/>
      <c r="G1458" s="49" t="n">
        <v>1180.4</v>
      </c>
      <c r="H1458" s="50" t="n">
        <f aca="false">MAX(0,IF(AND(Parameter!$B$21="Ja",ISNUMBER(Y1458)),Y1458,IF(Parameter!$B$20="Jahresanfang 2025 + Export",BO1458+BN1458,BN1458)))</f>
        <v>0</v>
      </c>
      <c r="I1458" s="50" t="n">
        <f aca="false">H1458*G1458</f>
        <v>0</v>
      </c>
      <c r="J1458" s="50" t="n">
        <f aca="false">BQ1458*Parameter!$B$18</f>
        <v>55</v>
      </c>
      <c r="K1458" s="51"/>
      <c r="L1458" s="52"/>
      <c r="M1458" s="50" t="n">
        <v>3</v>
      </c>
      <c r="N1458" s="50" t="n">
        <v>15</v>
      </c>
      <c r="O1458" s="53"/>
      <c r="P1458" s="48" t="s">
        <v>172</v>
      </c>
      <c r="Q1458" s="50"/>
      <c r="R1458" s="53" t="n">
        <f aca="false">IF(BW1458=1,0,IFERROR(VLOOKUP(BU1458,'Gebinde-Kategorie'!$A$5:$N$45,13,0)+0,0))</f>
        <v>12</v>
      </c>
      <c r="S1458" s="54"/>
      <c r="T1458" s="55" t="s">
        <v>183</v>
      </c>
      <c r="U1458" s="55"/>
      <c r="V1458" s="55"/>
      <c r="W1458" s="48"/>
      <c r="X1458" s="50"/>
      <c r="Y1458" s="50"/>
      <c r="Z1458" s="48" t="n">
        <f aca="false">IF(A1458="","",IF(AND(Parameter!$B$21="Ja",ISNUMBER(W1458)),W1458,IF(BZ1458="2+3",IF(ISNUMBER(SEARCH("grosser Artikel",BR1458)),2,IFERROR(VLOOKUP(BU1458,Parameter!$F$35:$G$64,2,0),2)),IF(OR(BZ1458="Nein",BZ1458=""),"-",BZ1458))))</f>
        <v>1</v>
      </c>
      <c r="AA1458" s="55"/>
      <c r="AB1458" s="56"/>
      <c r="AC1458" s="50" t="n">
        <f aca="false">AT1458</f>
        <v>30</v>
      </c>
      <c r="AD1458" s="50" t="n">
        <f aca="false">MAX(AT1458,H1458)</f>
        <v>30</v>
      </c>
      <c r="AE1458" s="57"/>
      <c r="AF1458" s="50" t="n">
        <f aca="false">IF(LEFT(Cockpit!$C$5,1)="A",H1458,IF(CE1458=1,CF1458,IF(LEFT(Cockpit!$C$5,1)="B",AK1458,MAX(AK1458,H1458))))</f>
        <v>0</v>
      </c>
      <c r="AG1458" s="50" t="n">
        <f aca="false">IF(BW1458=1,0,ROUNDUP(AF1458/BV1458,0))</f>
        <v>0</v>
      </c>
      <c r="AH1458" s="52" t="n">
        <f aca="false">IF(CL1458&gt;0,CL1458*MAX(1,AF1458/X1458),IF(BW1458=1,IF(AF1458&lt;=0,0,CA1458*MAX(1,IF(H1458&gt;0,AF1458/H1458,1))),IF(R1458&gt;0,AG1458/R1458,0))/MAX(0.1,N(Parameter!$M$21)))</f>
        <v>0</v>
      </c>
      <c r="AI1458" s="50" t="n">
        <f aca="false">AH1458*BY1458</f>
        <v>0</v>
      </c>
      <c r="AJ1458" s="50" t="n">
        <f aca="false">AF1458*G1458</f>
        <v>0</v>
      </c>
      <c r="AK1458" s="50" t="n">
        <f aca="false">ROUNDUP(MAX(J1458/IF(CD1458&gt;0,CD1458,MAX(0.1,N(Cockpit!$C$6))),CG1458)/BV1458,0)*BV1458</f>
        <v>30</v>
      </c>
      <c r="AL1458" s="51" t="n">
        <f aca="false">IF(AI1458&gt;0,J1458/AI1458,-1)</f>
        <v>-1</v>
      </c>
      <c r="AM1458" s="51" t="str">
        <f aca="false">IF(AND(OR(CC1458="L1",CC1458="L23",CC1458="LIFT"),AI1458&gt;0),SUMIFS($AI$7:$AI$1843,$CC$7:$CC$1843,CC1458,$AL$7:$AL$1843,"&gt;"&amp;AL1458)+SUMIFS($AI$7:$AI$1843,$CC$7:$CC$1843,CC1458,$AL$7:$AL$1843,AL1458,$BT$7:$BT$1843,"&lt;="&amp;BT1458),"")</f>
        <v/>
      </c>
      <c r="AN1458" s="58" t="n">
        <f aca="false">IF(AM1458="",0,MAX(0,MIN(1,(IF(CC1458="L1",Parameter!$H$5,IF(CC1458="L23",Parameter!$H$6+Parameter!$H$7,Parameter!$H$5+Parameter!$H$6+Parameter!$H$7))-(AM1458-AI1458))/AI1458)))</f>
        <v>0</v>
      </c>
      <c r="AO1458" s="50" t="n">
        <f aca="false">IF(LEFT(Cockpit!$I$5,1)="A",H1458,IF(CE1458=1,CF1458,IF(LEFT(Cockpit!$I$5,1)="B",AT1458,MAX(AT1458,H1458))))</f>
        <v>30</v>
      </c>
      <c r="AP1458" s="50" t="n">
        <f aca="false">IF(BW1458=1,0,ROUNDUP(AO1458/BV1458,0))</f>
        <v>2</v>
      </c>
      <c r="AQ1458" s="52" t="n">
        <f aca="false">IF(CL1458&gt;0,CL1458*MAX(1,AO1458/X1458),IF(BW1458=1,IF(AO1458&lt;=0,0,CA1458*MAX(1,IF(H1458&gt;0,AO1458/H1458,1))),IF(R1458&gt;0,AP1458/R1458,0))/MAX(0.1,N(Parameter!$M$21)))</f>
        <v>0.166666666666667</v>
      </c>
      <c r="AR1458" s="50" t="n">
        <f aca="false">AQ1458*BY1458</f>
        <v>24.1666666666667</v>
      </c>
      <c r="AS1458" s="50" t="n">
        <f aca="false">AO1458*G1458</f>
        <v>35412</v>
      </c>
      <c r="AT1458" s="50" t="n">
        <f aca="false">ROUNDUP(MAX(J1458/IF(CD1458&gt;0,CD1458,MAX(0.1,N(Cockpit!$I$6))),CG1458)/BV1458,0)*BV1458</f>
        <v>30</v>
      </c>
      <c r="AU1458" s="51" t="n">
        <f aca="false">IF(AR1458&gt;0,J1458/AR1458,-1)</f>
        <v>2.27586206896552</v>
      </c>
      <c r="AV1458" s="51" t="n">
        <f aca="false">IF(AND(OR(CC1458="L1",CC1458="L23",CC1458="LIFT"),AR1458&gt;0),SUMIFS($AR$7:$AR$1843,$CC$7:$CC$1843,CC1458,$AU$7:$AU$1843,"&gt;"&amp;AU1458)+SUMIFS($AR$7:$AR$1843,$CC$7:$CC$1843,CC1458,$AU$7:$AU$1843,AU1458,$BT$7:$BT$1843,"&lt;="&amp;BT1458),"")</f>
        <v>7207.25686813187</v>
      </c>
      <c r="AW1458" s="58" t="n">
        <f aca="false">IF(AV1458="",0,MAX(0,MIN(1,(IF(CC1458="L1",Parameter!$H$5,IF(CC1458="L23",Parameter!$H$6+Parameter!$H$7,Parameter!$H$5+Parameter!$H$6+Parameter!$H$7))-(AV1458-AR1458))/AR1458)))</f>
        <v>1</v>
      </c>
      <c r="AX1458" s="50" t="n">
        <f aca="false">IF(LEFT(Cockpit!$O$5,1)="A",H1458,IF(CE1458=1,CF1458,IF(LEFT(Cockpit!$O$5,1)="B",BC1458,MAX(BC1458,H1458))))</f>
        <v>30</v>
      </c>
      <c r="AY1458" s="50" t="n">
        <f aca="false">IF(BW1458=1,0,ROUNDUP(AX1458/BV1458,0))</f>
        <v>2</v>
      </c>
      <c r="AZ1458" s="52" t="n">
        <f aca="false">IF(CL1458&gt;0,CL1458*MAX(1,AX1458/X1458),IF(BW1458=1,IF(AX1458&lt;=0,0,CA1458*MAX(1,IF(H1458&gt;0,AX1458/H1458,1))),IF(R1458&gt;0,AY1458/R1458,0))/MAX(0.1,N(Parameter!$M$21)))</f>
        <v>0.166666666666667</v>
      </c>
      <c r="BA1458" s="50" t="n">
        <f aca="false">AZ1458*BY1458</f>
        <v>24.1666666666667</v>
      </c>
      <c r="BB1458" s="50" t="n">
        <f aca="false">AX1458*G1458</f>
        <v>35412</v>
      </c>
      <c r="BC1458" s="50" t="n">
        <f aca="false">ROUNDUP(MAX(J1458/IF(CD1458&gt;0,CD1458,MAX(0.1,N(Cockpit!$O$6))),CG1458)/BV1458,0)*BV1458</f>
        <v>30</v>
      </c>
      <c r="BD1458" s="51" t="n">
        <f aca="false">IF(BA1458&gt;0,J1458/BA1458,-1)</f>
        <v>2.27586206896552</v>
      </c>
      <c r="BE1458" s="51" t="n">
        <f aca="false">IF(AND(OR(CC1458="L1",CC1458="L23",CC1458="LIFT"),BA1458&gt;0),SUMIFS($BA$7:$BA$1843,$CC$7:$CC$1843,CC1458,$BD$7:$BD$1843,"&gt;"&amp;BD1458)+SUMIFS($BA$7:$BA$1843,$CC$7:$CC$1843,CC1458,$BD$7:$BD$1843,BD1458,$BT$7:$BT$1843,"&lt;="&amp;BT1458),"")</f>
        <v>6779.99725274725</v>
      </c>
      <c r="BF1458" s="58" t="n">
        <f aca="false">IF(BE1458="",0,MAX(0,MIN(1,(IF(CC1458="L1",Parameter!$H$5,IF(CC1458="L23",Parameter!$H$6+Parameter!$H$7,Parameter!$H$5+Parameter!$H$6+Parameter!$H$7))-(BE1458-BA1458))/BA1458)))</f>
        <v>1</v>
      </c>
      <c r="BG1458" s="48" t="str">
        <f aca="false">IF(AI1458&lt;=0,"",IF(CC1458="Aussen","Aussenlager",IF(CC1458="-","Nicht im Lift",IF(AN1458&gt;=1,"Lift",IF(AN1458&lt;=0,"Aussenlager","teilweise")))))</f>
        <v/>
      </c>
      <c r="BH1458" s="48" t="str">
        <f aca="false">IF(AR1458&lt;=0,"",IF(CC1458="Aussen","Aussenlager",IF(CC1458="-","Nicht im Lift",IF(AW1458&gt;=1,"Lift",IF(AW1458&lt;=0,"Aussenlager","teilweise")))))</f>
        <v>Lift</v>
      </c>
      <c r="BI1458" s="48" t="str">
        <f aca="false">IF(BA1458&lt;=0,"",IF(CC1458="Aussen","Aussenlager",IF(CC1458="-","Nicht im Lift",IF(BF1458&gt;=1,"Lift",IF(BF1458&lt;=0,"Aussenlager","teilweise")))))</f>
        <v>Lift</v>
      </c>
      <c r="BJ1458" s="48" t="str">
        <f aca="false">IF(A1458="","",IF(BS1458=1,"Neu; ","")&amp;IF(AND(BS1458=0,BN1458&lt;0),"negativer Bestand (Export "&amp;BN1458&amp;"); ","")&amp;IF(J1458&lt;=0,"Kein Verbrauch; ","")&amp;IF(CL1458&gt;0,"Lift "&amp;W1458&amp;" lt. Liftbericht (Fach "&amp;X1458&amp;" Stk); ",IF(BX1458=1,"Gebinde geschätzt ("&amp;T1458&amp;"); ",IF(BW1458=1,"Lose – Tablare geschätzt; ","")))&amp;IF(H1458&gt;AT1458,"Überbestand "&amp;ROUND(H1458-AT1458,0)&amp;" Stk / CHF "&amp;ROUND((H1458-AT1458)*G1458,0)&amp;"; ","")&amp;IF(AND(CE1458=1,CF1458&lt;CG1458),"MAX &lt; MB+LG; ","")&amp;IF(AND(CK1458&gt;0,CJ1458*10&gt;CK1458),"zu hoch für Tablar; ","")&amp;IF(AND(BS1458=0,OR(CE1458=1,AA1458&lt;&gt;"",U1458&lt;&gt;"",V1458&lt;&gt;"",AB1458&lt;&gt;"")),"manuell übersteuert; ","")&amp;IF(AND(BW1458=0,R1458=0),"Gebinde unbekannt / Stellmass fehlt; ","")&amp;IF(AND(BW1458=0,N(V1458)&lt;=0,N(Q1458)&lt;=0),"Menge pro Gebinde fehlt (Ist = 1 Gebinde); ","")&amp;BR1458)</f>
        <v>negativer Bestand (Export -13); Gebinde geschätzt (Mittel); Menge pro Gebinde fehlt (Ist = 1 Gebinde); </v>
      </c>
      <c r="BK1458" s="48"/>
      <c r="BL1458" s="48"/>
      <c r="BM1458" s="55"/>
      <c r="BN1458" s="50" t="n">
        <v>-13</v>
      </c>
      <c r="BO1458" s="50" t="n">
        <v>0</v>
      </c>
      <c r="BP1458" s="49" t="n">
        <v>-18093.29</v>
      </c>
      <c r="BQ1458" s="50" t="n">
        <v>55</v>
      </c>
      <c r="BR1458" s="48"/>
      <c r="BS1458" s="53" t="n">
        <v>0</v>
      </c>
      <c r="BT1458" s="53" t="n">
        <v>1458</v>
      </c>
      <c r="BU1458" s="48" t="str">
        <f aca="false">IF(U1458&lt;&gt;"",UPPER(TRIM(U1458)),IF(BX1458=1,UPPER(VLOOKUP(T1458,Parameter!$I$27:$K$29,2,0)),IF(P1458="","LOSE",P1458)))</f>
        <v>S61</v>
      </c>
      <c r="BV1458" s="50" t="n">
        <f aca="false">IF(BU1458="LOSE",1,IF(N(V1458)&gt;0,V1458,IF(BX1458=1,MAX(1,N(VLOOKUP(T1458,Parameter!$I$27:$K$29,3,0)),H1458,N(N1458)),IF(N(Q1458)&gt;0,Q1458,MAX(1,H1458)))))</f>
        <v>15</v>
      </c>
      <c r="BW1458" s="53" t="n">
        <f aca="false">IF(BU1458="LOSE",1,0)</f>
        <v>0</v>
      </c>
      <c r="BX1458" s="53" t="n">
        <f aca="false">IF(AND(U1458="",OR(P1458="",P1458="LOSE"),T1458&lt;&gt;"",N(S1458)&lt;=0,ISNUMBER(MATCH(T1458,Parameter!$I$27:$I$29,0))),1,0)</f>
        <v>1</v>
      </c>
      <c r="BY1458" s="53" t="n">
        <f aca="false">IF(CL1458&gt;0,INDEX(Parameter!$H$5:$H$7,W1458)/INDEX(Parameter!$E$5:$E$7,W1458),IF(AND(BW1458=0,N(IFERROR(VLOOKUP(BU1458,'Gebinde-Kategorie'!$A$5:$N$45,14,0),0))&gt;0),VLOOKUP(BU1458,'Gebinde-Kategorie'!$A$5:$N$45,14,0)*10+Parameter!$M$23,Parameter!$M$24))</f>
        <v>145</v>
      </c>
      <c r="BZ1458" s="48" t="n">
        <f aca="false">IF(AND(Parameter!$B$19="Ja",E1458&lt;&gt;"",ISNUMBER(MATCH(E1458,Parameter!$I$35:$I$52,0))),VLOOKUP(E1458,Parameter!$I$35:$J$52,2,0),IFERROR(VLOOKUP(D1458,Parameter!$A$35:$C$64,2,0),"Nein"))</f>
        <v>1</v>
      </c>
      <c r="CA1458" s="52" t="n">
        <f aca="false">IF(BW1458=0,0,IF(N(S1458)&gt;0,S1458,IFERROR(VLOOKUP(D1458,Parameter!$A$35:$C$64,3,0)+0,0)))</f>
        <v>0</v>
      </c>
      <c r="CB1458" s="48" t="n">
        <f aca="false">IF(AA1458&lt;&gt;"",AA1458,Z1458)</f>
        <v>1</v>
      </c>
      <c r="CC1458" s="48" t="str">
        <f aca="false">IF(OR(CB1458=1,CB1458=2,CB1458=3),IF(Parameter!$E$27="Ja","LIFT",IF(CB1458=1,"L1","L23")),IF(CB1458="Aussen","Aussen","-"))</f>
        <v>LIFT</v>
      </c>
      <c r="CD1458" s="59" t="n">
        <f aca="false">IF(N(AB1458)&gt;0,AB1458,0)</f>
        <v>0</v>
      </c>
      <c r="CE1458" s="53" t="n">
        <f aca="false">IF(ISNUMBER(AE1458),1,0)</f>
        <v>0</v>
      </c>
      <c r="CF1458" s="50" t="n">
        <f aca="false">N(AE1458)</f>
        <v>0</v>
      </c>
      <c r="CG1458" s="50" t="n">
        <f aca="false">N(M1458)+N(N1458)</f>
        <v>18</v>
      </c>
      <c r="CH1458" s="50" t="n">
        <f aca="false">ROUNDUP(H1458/BV1458,0)</f>
        <v>0</v>
      </c>
      <c r="CI1458" s="50" t="n">
        <f aca="false">ROUNDUP(CF1458/BV1458,0)</f>
        <v>0</v>
      </c>
      <c r="CJ1458" s="53" t="n">
        <f aca="false">IF(BW1458=1,0,IFERROR(VLOOKUP(BU1458,'Gebinde-Kategorie'!$A$5:$N$45,5,0)+0,0))</f>
        <v>11</v>
      </c>
      <c r="CK1458" s="53" t="n">
        <f aca="false">IFERROR(IF(OR(CB1458=1,CB1458=2,CB1458=3),N(INDEX(Parameter!$I$5:$I$7,CB1458)),0),0)</f>
        <v>0</v>
      </c>
      <c r="CL1458" s="52" t="n">
        <f aca="false">IF(AND(Parameter!$B$21="Ja",ISNUMBER(W1458),N(X1458)&gt;0),IFERROR(N(INDEX(Parameter!$L$5:$L$7,W1458))*INDEX(Parameter!$E$5:$E$7,W1458)*X1458/SUMIFS($X$7:$X$1843,$W$7:$W$1843,W1458),0),0)</f>
        <v>0</v>
      </c>
    </row>
    <row r="1459" customFormat="false" ht="15" hidden="false" customHeight="false" outlineLevel="0" collapsed="false">
      <c r="A1459" s="48" t="s">
        <v>2555</v>
      </c>
      <c r="B1459" s="48" t="s">
        <v>2556</v>
      </c>
      <c r="C1459" s="48" t="s">
        <v>168</v>
      </c>
      <c r="D1459" s="48" t="s">
        <v>177</v>
      </c>
      <c r="E1459" s="48" t="s">
        <v>170</v>
      </c>
      <c r="F1459" s="48"/>
      <c r="G1459" s="49" t="n">
        <v>286.19</v>
      </c>
      <c r="H1459" s="50" t="n">
        <f aca="false">MAX(0,IF(AND(Parameter!$B$21="Ja",ISNUMBER(Y1459)),Y1459,IF(Parameter!$B$20="Jahresanfang 2025 + Export",BO1459+BN1459,BN1459)))</f>
        <v>0</v>
      </c>
      <c r="I1459" s="50" t="n">
        <f aca="false">H1459*G1459</f>
        <v>0</v>
      </c>
      <c r="J1459" s="50" t="n">
        <f aca="false">BQ1459*Parameter!$B$18</f>
        <v>44</v>
      </c>
      <c r="K1459" s="51"/>
      <c r="L1459" s="52"/>
      <c r="M1459" s="50" t="n">
        <v>2</v>
      </c>
      <c r="N1459" s="50" t="n">
        <v>35</v>
      </c>
      <c r="O1459" s="53"/>
      <c r="P1459" s="48" t="s">
        <v>178</v>
      </c>
      <c r="Q1459" s="50" t="n">
        <v>36</v>
      </c>
      <c r="R1459" s="53" t="n">
        <f aca="false">IF(BW1459=1,0,IFERROR(VLOOKUP(BU1459,'Gebinde-Kategorie'!$A$5:$N$45,13,0)+0,0))</f>
        <v>6</v>
      </c>
      <c r="S1459" s="54"/>
      <c r="T1459" s="55"/>
      <c r="U1459" s="55"/>
      <c r="V1459" s="55"/>
      <c r="W1459" s="48"/>
      <c r="X1459" s="50"/>
      <c r="Y1459" s="50"/>
      <c r="Z1459" s="48" t="n">
        <f aca="false">IF(A1459="","",IF(AND(Parameter!$B$21="Ja",ISNUMBER(W1459)),W1459,IF(BZ1459="2+3",IF(ISNUMBER(SEARCH("grosser Artikel",BR1459)),2,IFERROR(VLOOKUP(BU1459,Parameter!$F$35:$G$64,2,0),2)),IF(OR(BZ1459="Nein",BZ1459=""),"-",BZ1459))))</f>
        <v>1</v>
      </c>
      <c r="AA1459" s="55"/>
      <c r="AB1459" s="56"/>
      <c r="AC1459" s="50" t="n">
        <f aca="false">AT1459</f>
        <v>72</v>
      </c>
      <c r="AD1459" s="50" t="n">
        <f aca="false">MAX(AT1459,H1459)</f>
        <v>72</v>
      </c>
      <c r="AE1459" s="57"/>
      <c r="AF1459" s="50" t="n">
        <f aca="false">IF(LEFT(Cockpit!$C$5,1)="A",H1459,IF(CE1459=1,CF1459,IF(LEFT(Cockpit!$C$5,1)="B",AK1459,MAX(AK1459,H1459))))</f>
        <v>0</v>
      </c>
      <c r="AG1459" s="50" t="n">
        <f aca="false">IF(BW1459=1,0,ROUNDUP(AF1459/BV1459,0))</f>
        <v>0</v>
      </c>
      <c r="AH1459" s="52" t="n">
        <f aca="false">IF(CL1459&gt;0,CL1459*MAX(1,AF1459/X1459),IF(BW1459=1,IF(AF1459&lt;=0,0,CA1459*MAX(1,IF(H1459&gt;0,AF1459/H1459,1))),IF(R1459&gt;0,AG1459/R1459,0))/MAX(0.1,N(Parameter!$M$21)))</f>
        <v>0</v>
      </c>
      <c r="AI1459" s="50" t="n">
        <f aca="false">AH1459*BY1459</f>
        <v>0</v>
      </c>
      <c r="AJ1459" s="50" t="n">
        <f aca="false">AF1459*G1459</f>
        <v>0</v>
      </c>
      <c r="AK1459" s="50" t="n">
        <f aca="false">ROUNDUP(MAX(J1459/IF(CD1459&gt;0,CD1459,MAX(0.1,N(Cockpit!$C$6))),CG1459)/BV1459,0)*BV1459</f>
        <v>72</v>
      </c>
      <c r="AL1459" s="51" t="n">
        <f aca="false">IF(AI1459&gt;0,J1459/AI1459,-1)</f>
        <v>-1</v>
      </c>
      <c r="AM1459" s="51" t="str">
        <f aca="false">IF(AND(OR(CC1459="L1",CC1459="L23",CC1459="LIFT"),AI1459&gt;0),SUMIFS($AI$7:$AI$1843,$CC$7:$CC$1843,CC1459,$AL$7:$AL$1843,"&gt;"&amp;AL1459)+SUMIFS($AI$7:$AI$1843,$CC$7:$CC$1843,CC1459,$AL$7:$AL$1843,AL1459,$BT$7:$BT$1843,"&lt;="&amp;BT1459),"")</f>
        <v/>
      </c>
      <c r="AN1459" s="58" t="n">
        <f aca="false">IF(AM1459="",0,MAX(0,MIN(1,(IF(CC1459="L1",Parameter!$H$5,IF(CC1459="L23",Parameter!$H$6+Parameter!$H$7,Parameter!$H$5+Parameter!$H$6+Parameter!$H$7))-(AM1459-AI1459))/AI1459)))</f>
        <v>0</v>
      </c>
      <c r="AO1459" s="50" t="n">
        <f aca="false">IF(LEFT(Cockpit!$I$5,1)="A",H1459,IF(CE1459=1,CF1459,IF(LEFT(Cockpit!$I$5,1)="B",AT1459,MAX(AT1459,H1459))))</f>
        <v>72</v>
      </c>
      <c r="AP1459" s="50" t="n">
        <f aca="false">IF(BW1459=1,0,ROUNDUP(AO1459/BV1459,0))</f>
        <v>2</v>
      </c>
      <c r="AQ1459" s="52" t="n">
        <f aca="false">IF(CL1459&gt;0,CL1459*MAX(1,AO1459/X1459),IF(BW1459=1,IF(AO1459&lt;=0,0,CA1459*MAX(1,IF(H1459&gt;0,AO1459/H1459,1))),IF(R1459&gt;0,AP1459/R1459,0))/MAX(0.1,N(Parameter!$M$21)))</f>
        <v>0.333333333333333</v>
      </c>
      <c r="AR1459" s="50" t="n">
        <f aca="false">AQ1459*BY1459</f>
        <v>78.3333333333333</v>
      </c>
      <c r="AS1459" s="50" t="n">
        <f aca="false">AO1459*G1459</f>
        <v>20605.68</v>
      </c>
      <c r="AT1459" s="50" t="n">
        <f aca="false">ROUNDUP(MAX(J1459/IF(CD1459&gt;0,CD1459,MAX(0.1,N(Cockpit!$I$6))),CG1459)/BV1459,0)*BV1459</f>
        <v>72</v>
      </c>
      <c r="AU1459" s="51" t="n">
        <f aca="false">IF(AR1459&gt;0,J1459/AR1459,-1)</f>
        <v>0.561702127659575</v>
      </c>
      <c r="AV1459" s="51" t="n">
        <f aca="false">IF(AND(OR(CC1459="L1",CC1459="L23",CC1459="LIFT"),AR1459&gt;0),SUMIFS($AR$7:$AR$1843,$CC$7:$CC$1843,CC1459,$AU$7:$AU$1843,"&gt;"&amp;AU1459)+SUMIFS($AR$7:$AR$1843,$CC$7:$CC$1843,CC1459,$AU$7:$AU$1843,AU1459,$BT$7:$BT$1843,"&lt;="&amp;BT1459),"")</f>
        <v>13551.744047619</v>
      </c>
      <c r="AW1459" s="58" t="n">
        <f aca="false">IF(AV1459="",0,MAX(0,MIN(1,(IF(CC1459="L1",Parameter!$H$5,IF(CC1459="L23",Parameter!$H$6+Parameter!$H$7,Parameter!$H$5+Parameter!$H$6+Parameter!$H$7))-(AV1459-AR1459))/AR1459)))</f>
        <v>1</v>
      </c>
      <c r="AX1459" s="50" t="n">
        <f aca="false">IF(LEFT(Cockpit!$O$5,1)="A",H1459,IF(CE1459=1,CF1459,IF(LEFT(Cockpit!$O$5,1)="B",BC1459,MAX(BC1459,H1459))))</f>
        <v>72</v>
      </c>
      <c r="AY1459" s="50" t="n">
        <f aca="false">IF(BW1459=1,0,ROUNDUP(AX1459/BV1459,0))</f>
        <v>2</v>
      </c>
      <c r="AZ1459" s="52" t="n">
        <f aca="false">IF(CL1459&gt;0,CL1459*MAX(1,AX1459/X1459),IF(BW1459=1,IF(AX1459&lt;=0,0,CA1459*MAX(1,IF(H1459&gt;0,AX1459/H1459,1))),IF(R1459&gt;0,AY1459/R1459,0))/MAX(0.1,N(Parameter!$M$21)))</f>
        <v>0.333333333333333</v>
      </c>
      <c r="BA1459" s="50" t="n">
        <f aca="false">AZ1459*BY1459</f>
        <v>78.3333333333333</v>
      </c>
      <c r="BB1459" s="50" t="n">
        <f aca="false">AX1459*G1459</f>
        <v>20605.68</v>
      </c>
      <c r="BC1459" s="50" t="n">
        <f aca="false">ROUNDUP(MAX(J1459/IF(CD1459&gt;0,CD1459,MAX(0.1,N(Cockpit!$O$6))),CG1459)/BV1459,0)*BV1459</f>
        <v>72</v>
      </c>
      <c r="BD1459" s="51" t="n">
        <f aca="false">IF(BA1459&gt;0,J1459/BA1459,-1)</f>
        <v>0.561702127659575</v>
      </c>
      <c r="BE1459" s="51" t="n">
        <f aca="false">IF(AND(OR(CC1459="L1",CC1459="L23",CC1459="LIFT"),BA1459&gt;0),SUMIFS($BA$7:$BA$1843,$CC$7:$CC$1843,CC1459,$BD$7:$BD$1843,"&gt;"&amp;BD1459)+SUMIFS($BA$7:$BA$1843,$CC$7:$CC$1843,CC1459,$BD$7:$BD$1843,BD1459,$BT$7:$BT$1843,"&lt;="&amp;BT1459),"")</f>
        <v>12390.7344322344</v>
      </c>
      <c r="BF1459" s="58" t="n">
        <f aca="false">IF(BE1459="",0,MAX(0,MIN(1,(IF(CC1459="L1",Parameter!$H$5,IF(CC1459="L23",Parameter!$H$6+Parameter!$H$7,Parameter!$H$5+Parameter!$H$6+Parameter!$H$7))-(BE1459-BA1459))/BA1459)))</f>
        <v>1</v>
      </c>
      <c r="BG1459" s="48" t="str">
        <f aca="false">IF(AI1459&lt;=0,"",IF(CC1459="Aussen","Aussenlager",IF(CC1459="-","Nicht im Lift",IF(AN1459&gt;=1,"Lift",IF(AN1459&lt;=0,"Aussenlager","teilweise")))))</f>
        <v/>
      </c>
      <c r="BH1459" s="48" t="str">
        <f aca="false">IF(AR1459&lt;=0,"",IF(CC1459="Aussen","Aussenlager",IF(CC1459="-","Nicht im Lift",IF(AW1459&gt;=1,"Lift",IF(AW1459&lt;=0,"Aussenlager","teilweise")))))</f>
        <v>Lift</v>
      </c>
      <c r="BI1459" s="48" t="str">
        <f aca="false">IF(BA1459&lt;=0,"",IF(CC1459="Aussen","Aussenlager",IF(CC1459="-","Nicht im Lift",IF(BF1459&gt;=1,"Lift",IF(BF1459&lt;=0,"Aussenlager","teilweise")))))</f>
        <v>Lift</v>
      </c>
      <c r="BJ1459" s="48" t="str">
        <f aca="false">IF(A1459="","",IF(BS1459=1,"Neu; ","")&amp;IF(AND(BS1459=0,BN1459&lt;0),"negativer Bestand (Export "&amp;BN1459&amp;"); ","")&amp;IF(J1459&lt;=0,"Kein Verbrauch; ","")&amp;IF(CL1459&gt;0,"Lift "&amp;W1459&amp;" lt. Liftbericht (Fach "&amp;X1459&amp;" Stk); ",IF(BX1459=1,"Gebinde geschätzt ("&amp;T1459&amp;"); ",IF(BW1459=1,"Lose – Tablare geschätzt; ","")))&amp;IF(H1459&gt;AT1459,"Überbestand "&amp;ROUND(H1459-AT1459,0)&amp;" Stk / CHF "&amp;ROUND((H1459-AT1459)*G1459,0)&amp;"; ","")&amp;IF(AND(CE1459=1,CF1459&lt;CG1459),"MAX &lt; MB+LG; ","")&amp;IF(AND(CK1459&gt;0,CJ1459*10&gt;CK1459),"zu hoch für Tablar; ","")&amp;IF(AND(BS1459=0,OR(CE1459=1,AA1459&lt;&gt;"",U1459&lt;&gt;"",V1459&lt;&gt;"",AB1459&lt;&gt;"")),"manuell übersteuert; ","")&amp;IF(AND(BW1459=0,R1459=0),"Gebinde unbekannt / Stellmass fehlt; ","")&amp;IF(AND(BW1459=0,N(V1459)&lt;=0,N(Q1459)&lt;=0),"Menge pro Gebinde fehlt (Ist = 1 Gebinde); ","")&amp;BR1459)</f>
        <v>negativer Bestand (Export -61); Neu</v>
      </c>
      <c r="BK1459" s="48"/>
      <c r="BL1459" s="48"/>
      <c r="BM1459" s="55"/>
      <c r="BN1459" s="50" t="n">
        <v>-61</v>
      </c>
      <c r="BO1459" s="50" t="n">
        <v>0</v>
      </c>
      <c r="BP1459" s="49" t="n">
        <v>-18618.23</v>
      </c>
      <c r="BQ1459" s="50" t="n">
        <v>44</v>
      </c>
      <c r="BR1459" s="48" t="s">
        <v>630</v>
      </c>
      <c r="BS1459" s="53" t="n">
        <v>0</v>
      </c>
      <c r="BT1459" s="53" t="n">
        <v>1459</v>
      </c>
      <c r="BU1459" s="48" t="str">
        <f aca="false">IF(U1459&lt;&gt;"",UPPER(TRIM(U1459)),IF(BX1459=1,UPPER(VLOOKUP(T1459,Parameter!$I$27:$K$29,2,0)),IF(P1459="","LOSE",P1459)))</f>
        <v>S71</v>
      </c>
      <c r="BV1459" s="50" t="n">
        <f aca="false">IF(BU1459="LOSE",1,IF(N(V1459)&gt;0,V1459,IF(BX1459=1,MAX(1,N(VLOOKUP(T1459,Parameter!$I$27:$K$29,3,0)),H1459,N(N1459)),IF(N(Q1459)&gt;0,Q1459,MAX(1,H1459)))))</f>
        <v>36</v>
      </c>
      <c r="BW1459" s="53" t="n">
        <f aca="false">IF(BU1459="LOSE",1,0)</f>
        <v>0</v>
      </c>
      <c r="BX1459" s="53" t="n">
        <f aca="false">IF(AND(U1459="",OR(P1459="",P1459="LOSE"),T1459&lt;&gt;"",N(S1459)&lt;=0,ISNUMBER(MATCH(T1459,Parameter!$I$27:$I$29,0))),1,0)</f>
        <v>0</v>
      </c>
      <c r="BY1459" s="53" t="n">
        <f aca="false">IF(CL1459&gt;0,INDEX(Parameter!$H$5:$H$7,W1459)/INDEX(Parameter!$E$5:$E$7,W1459),IF(AND(BW1459=0,N(IFERROR(VLOOKUP(BU1459,'Gebinde-Kategorie'!$A$5:$N$45,14,0),0))&gt;0),VLOOKUP(BU1459,'Gebinde-Kategorie'!$A$5:$N$45,14,0)*10+Parameter!$M$23,Parameter!$M$24))</f>
        <v>235</v>
      </c>
      <c r="BZ1459" s="48" t="n">
        <f aca="false">IF(AND(Parameter!$B$19="Ja",E1459&lt;&gt;"",ISNUMBER(MATCH(E1459,Parameter!$I$35:$I$52,0))),VLOOKUP(E1459,Parameter!$I$35:$J$52,2,0),IFERROR(VLOOKUP(D1459,Parameter!$A$35:$C$64,2,0),"Nein"))</f>
        <v>1</v>
      </c>
      <c r="CA1459" s="52" t="n">
        <f aca="false">IF(BW1459=0,0,IF(N(S1459)&gt;0,S1459,IFERROR(VLOOKUP(D1459,Parameter!$A$35:$C$64,3,0)+0,0)))</f>
        <v>0</v>
      </c>
      <c r="CB1459" s="48" t="n">
        <f aca="false">IF(AA1459&lt;&gt;"",AA1459,Z1459)</f>
        <v>1</v>
      </c>
      <c r="CC1459" s="48" t="str">
        <f aca="false">IF(OR(CB1459=1,CB1459=2,CB1459=3),IF(Parameter!$E$27="Ja","LIFT",IF(CB1459=1,"L1","L23")),IF(CB1459="Aussen","Aussen","-"))</f>
        <v>LIFT</v>
      </c>
      <c r="CD1459" s="59" t="n">
        <f aca="false">IF(N(AB1459)&gt;0,AB1459,0)</f>
        <v>0</v>
      </c>
      <c r="CE1459" s="53" t="n">
        <f aca="false">IF(ISNUMBER(AE1459),1,0)</f>
        <v>0</v>
      </c>
      <c r="CF1459" s="50" t="n">
        <f aca="false">N(AE1459)</f>
        <v>0</v>
      </c>
      <c r="CG1459" s="50" t="n">
        <f aca="false">N(M1459)+N(N1459)</f>
        <v>37</v>
      </c>
      <c r="CH1459" s="50" t="n">
        <f aca="false">ROUNDUP(H1459/BV1459,0)</f>
        <v>0</v>
      </c>
      <c r="CI1459" s="50" t="n">
        <f aca="false">ROUNDUP(CF1459/BV1459,0)</f>
        <v>0</v>
      </c>
      <c r="CJ1459" s="53" t="n">
        <f aca="false">IF(BW1459=1,0,IFERROR(VLOOKUP(BU1459,'Gebinde-Kategorie'!$A$5:$N$45,5,0)+0,0))</f>
        <v>20</v>
      </c>
      <c r="CK1459" s="53" t="n">
        <f aca="false">IFERROR(IF(OR(CB1459=1,CB1459=2,CB1459=3),N(INDEX(Parameter!$I$5:$I$7,CB1459)),0),0)</f>
        <v>0</v>
      </c>
      <c r="CL1459" s="52" t="n">
        <f aca="false">IF(AND(Parameter!$B$21="Ja",ISNUMBER(W1459),N(X1459)&gt;0),IFERROR(N(INDEX(Parameter!$L$5:$L$7,W1459))*INDEX(Parameter!$E$5:$E$7,W1459)*X1459/SUMIFS($X$7:$X$1843,$W$7:$W$1843,W1459),0),0)</f>
        <v>0</v>
      </c>
    </row>
    <row r="1460" customFormat="false" ht="15" hidden="false" customHeight="false" outlineLevel="0" collapsed="false">
      <c r="A1460" s="48" t="s">
        <v>2557</v>
      </c>
      <c r="B1460" s="48" t="s">
        <v>409</v>
      </c>
      <c r="C1460" s="48" t="s">
        <v>460</v>
      </c>
      <c r="D1460" s="48" t="s">
        <v>177</v>
      </c>
      <c r="E1460" s="48"/>
      <c r="F1460" s="48"/>
      <c r="G1460" s="49" t="n">
        <v>5.53</v>
      </c>
      <c r="H1460" s="50" t="n">
        <f aca="false">MAX(0,IF(AND(Parameter!$B$21="Ja",ISNUMBER(Y1460)),Y1460,IF(Parameter!$B$20="Jahresanfang 2025 + Export",BO1460+BN1460,BN1460)))</f>
        <v>0</v>
      </c>
      <c r="I1460" s="50" t="n">
        <f aca="false">H1460*G1460</f>
        <v>0</v>
      </c>
      <c r="J1460" s="50" t="n">
        <f aca="false">BQ1460*Parameter!$B$18</f>
        <v>3500</v>
      </c>
      <c r="K1460" s="51"/>
      <c r="L1460" s="52"/>
      <c r="M1460" s="50" t="n">
        <v>2041</v>
      </c>
      <c r="N1460" s="50" t="n">
        <v>1265</v>
      </c>
      <c r="O1460" s="53"/>
      <c r="P1460" s="48" t="s">
        <v>172</v>
      </c>
      <c r="Q1460" s="50"/>
      <c r="R1460" s="53" t="n">
        <f aca="false">IF(BW1460=1,0,IFERROR(VLOOKUP(BU1460,'Gebinde-Kategorie'!$A$5:$N$45,13,0)+0,0))</f>
        <v>26</v>
      </c>
      <c r="S1460" s="54"/>
      <c r="T1460" s="55" t="s">
        <v>279</v>
      </c>
      <c r="U1460" s="55"/>
      <c r="V1460" s="55"/>
      <c r="W1460" s="48"/>
      <c r="X1460" s="50"/>
      <c r="Y1460" s="50"/>
      <c r="Z1460" s="48" t="n">
        <f aca="false">IF(A1460="","",IF(AND(Parameter!$B$21="Ja",ISNUMBER(W1460)),W1460,IF(BZ1460="2+3",IF(ISNUMBER(SEARCH("grosser Artikel",BR1460)),2,IFERROR(VLOOKUP(BU1460,Parameter!$F$35:$G$64,2,0),2)),IF(OR(BZ1460="Nein",BZ1460=""),"-",BZ1460))))</f>
        <v>3</v>
      </c>
      <c r="AA1460" s="55"/>
      <c r="AB1460" s="56"/>
      <c r="AC1460" s="50" t="n">
        <f aca="false">AT1460</f>
        <v>3795</v>
      </c>
      <c r="AD1460" s="50" t="n">
        <f aca="false">MAX(AT1460,H1460)</f>
        <v>3795</v>
      </c>
      <c r="AE1460" s="57"/>
      <c r="AF1460" s="50" t="n">
        <f aca="false">IF(LEFT(Cockpit!$C$5,1)="A",H1460,IF(CE1460=1,CF1460,IF(LEFT(Cockpit!$C$5,1)="B",AK1460,MAX(AK1460,H1460))))</f>
        <v>0</v>
      </c>
      <c r="AG1460" s="50" t="n">
        <f aca="false">IF(BW1460=1,0,ROUNDUP(AF1460/BV1460,0))</f>
        <v>0</v>
      </c>
      <c r="AH1460" s="52" t="n">
        <f aca="false">IF(CL1460&gt;0,CL1460*MAX(1,AF1460/X1460),IF(BW1460=1,IF(AF1460&lt;=0,0,CA1460*MAX(1,IF(H1460&gt;0,AF1460/H1460,1))),IF(R1460&gt;0,AG1460/R1460,0))/MAX(0.1,N(Parameter!$M$21)))</f>
        <v>0</v>
      </c>
      <c r="AI1460" s="50" t="n">
        <f aca="false">AH1460*BY1460</f>
        <v>0</v>
      </c>
      <c r="AJ1460" s="50" t="n">
        <f aca="false">AF1460*G1460</f>
        <v>0</v>
      </c>
      <c r="AK1460" s="50" t="n">
        <f aca="false">ROUNDUP(MAX(J1460/IF(CD1460&gt;0,CD1460,MAX(0.1,N(Cockpit!$C$6))),CG1460)/BV1460,0)*BV1460</f>
        <v>3795</v>
      </c>
      <c r="AL1460" s="51" t="n">
        <f aca="false">IF(AI1460&gt;0,J1460/AI1460,-1)</f>
        <v>-1</v>
      </c>
      <c r="AM1460" s="51" t="str">
        <f aca="false">IF(AND(OR(CC1460="L1",CC1460="L23",CC1460="LIFT"),AI1460&gt;0),SUMIFS($AI$7:$AI$1843,$CC$7:$CC$1843,CC1460,$AL$7:$AL$1843,"&gt;"&amp;AL1460)+SUMIFS($AI$7:$AI$1843,$CC$7:$CC$1843,CC1460,$AL$7:$AL$1843,AL1460,$BT$7:$BT$1843,"&lt;="&amp;BT1460),"")</f>
        <v/>
      </c>
      <c r="AN1460" s="58" t="n">
        <f aca="false">IF(AM1460="",0,MAX(0,MIN(1,(IF(CC1460="L1",Parameter!$H$5,IF(CC1460="L23",Parameter!$H$6+Parameter!$H$7,Parameter!$H$5+Parameter!$H$6+Parameter!$H$7))-(AM1460-AI1460))/AI1460)))</f>
        <v>0</v>
      </c>
      <c r="AO1460" s="50" t="n">
        <f aca="false">IF(LEFT(Cockpit!$I$5,1)="A",H1460,IF(CE1460=1,CF1460,IF(LEFT(Cockpit!$I$5,1)="B",AT1460,MAX(AT1460,H1460))))</f>
        <v>3795</v>
      </c>
      <c r="AP1460" s="50" t="n">
        <f aca="false">IF(BW1460=1,0,ROUNDUP(AO1460/BV1460,0))</f>
        <v>3</v>
      </c>
      <c r="AQ1460" s="52" t="n">
        <f aca="false">IF(CL1460&gt;0,CL1460*MAX(1,AO1460/X1460),IF(BW1460=1,IF(AO1460&lt;=0,0,CA1460*MAX(1,IF(H1460&gt;0,AO1460/H1460,1))),IF(R1460&gt;0,AP1460/R1460,0))/MAX(0.1,N(Parameter!$M$21)))</f>
        <v>0.115384615384615</v>
      </c>
      <c r="AR1460" s="50" t="n">
        <f aca="false">AQ1460*BY1460</f>
        <v>17.8846153846154</v>
      </c>
      <c r="AS1460" s="50" t="n">
        <f aca="false">AO1460*G1460</f>
        <v>20986.35</v>
      </c>
      <c r="AT1460" s="50" t="n">
        <f aca="false">ROUNDUP(MAX(J1460/IF(CD1460&gt;0,CD1460,MAX(0.1,N(Cockpit!$I$6))),CG1460)/BV1460,0)*BV1460</f>
        <v>3795</v>
      </c>
      <c r="AU1460" s="51" t="n">
        <f aca="false">IF(AR1460&gt;0,J1460/AR1460,-1)</f>
        <v>195.698924731183</v>
      </c>
      <c r="AV1460" s="51" t="n">
        <f aca="false">IF(AND(OR(CC1460="L1",CC1460="L23",CC1460="LIFT"),AR1460&gt;0),SUMIFS($AR$7:$AR$1843,$CC$7:$CC$1843,CC1460,$AU$7:$AU$1843,"&gt;"&amp;AU1460)+SUMIFS($AR$7:$AR$1843,$CC$7:$CC$1843,CC1460,$AU$7:$AU$1843,AU1460,$BT$7:$BT$1843,"&lt;="&amp;BT1460),"")</f>
        <v>387.507326007326</v>
      </c>
      <c r="AW1460" s="58" t="n">
        <f aca="false">IF(AV1460="",0,MAX(0,MIN(1,(IF(CC1460="L1",Parameter!$H$5,IF(CC1460="L23",Parameter!$H$6+Parameter!$H$7,Parameter!$H$5+Parameter!$H$6+Parameter!$H$7))-(AV1460-AR1460))/AR1460)))</f>
        <v>1</v>
      </c>
      <c r="AX1460" s="50" t="n">
        <f aca="false">IF(LEFT(Cockpit!$O$5,1)="A",H1460,IF(CE1460=1,CF1460,IF(LEFT(Cockpit!$O$5,1)="B",BC1460,MAX(BC1460,H1460))))</f>
        <v>3795</v>
      </c>
      <c r="AY1460" s="50" t="n">
        <f aca="false">IF(BW1460=1,0,ROUNDUP(AX1460/BV1460,0))</f>
        <v>3</v>
      </c>
      <c r="AZ1460" s="52" t="n">
        <f aca="false">IF(CL1460&gt;0,CL1460*MAX(1,AX1460/X1460),IF(BW1460=1,IF(AX1460&lt;=0,0,CA1460*MAX(1,IF(H1460&gt;0,AX1460/H1460,1))),IF(R1460&gt;0,AY1460/R1460,0))/MAX(0.1,N(Parameter!$M$21)))</f>
        <v>0.115384615384615</v>
      </c>
      <c r="BA1460" s="50" t="n">
        <f aca="false">AZ1460*BY1460</f>
        <v>17.8846153846154</v>
      </c>
      <c r="BB1460" s="50" t="n">
        <f aca="false">AX1460*G1460</f>
        <v>20986.35</v>
      </c>
      <c r="BC1460" s="50" t="n">
        <f aca="false">ROUNDUP(MAX(J1460/IF(CD1460&gt;0,CD1460,MAX(0.1,N(Cockpit!$O$6))),CG1460)/BV1460,0)*BV1460</f>
        <v>3795</v>
      </c>
      <c r="BD1460" s="51" t="n">
        <f aca="false">IF(BA1460&gt;0,J1460/BA1460,-1)</f>
        <v>195.698924731183</v>
      </c>
      <c r="BE1460" s="51" t="n">
        <f aca="false">IF(AND(OR(CC1460="L1",CC1460="L23",CC1460="LIFT"),BA1460&gt;0),SUMIFS($BA$7:$BA$1843,$CC$7:$CC$1843,CC1460,$BD$7:$BD$1843,"&gt;"&amp;BD1460)+SUMIFS($BA$7:$BA$1843,$CC$7:$CC$1843,CC1460,$BD$7:$BD$1843,BD1460,$BT$7:$BT$1843,"&lt;="&amp;BT1460),"")</f>
        <v>455.407967032967</v>
      </c>
      <c r="BF1460" s="58" t="n">
        <f aca="false">IF(BE1460="",0,MAX(0,MIN(1,(IF(CC1460="L1",Parameter!$H$5,IF(CC1460="L23",Parameter!$H$6+Parameter!$H$7,Parameter!$H$5+Parameter!$H$6+Parameter!$H$7))-(BE1460-BA1460))/BA1460)))</f>
        <v>1</v>
      </c>
      <c r="BG1460" s="48" t="str">
        <f aca="false">IF(AI1460&lt;=0,"",IF(CC1460="Aussen","Aussenlager",IF(CC1460="-","Nicht im Lift",IF(AN1460&gt;=1,"Lift",IF(AN1460&lt;=0,"Aussenlager","teilweise")))))</f>
        <v/>
      </c>
      <c r="BH1460" s="48" t="str">
        <f aca="false">IF(AR1460&lt;=0,"",IF(CC1460="Aussen","Aussenlager",IF(CC1460="-","Nicht im Lift",IF(AW1460&gt;=1,"Lift",IF(AW1460&lt;=0,"Aussenlager","teilweise")))))</f>
        <v>Lift</v>
      </c>
      <c r="BI1460" s="48" t="str">
        <f aca="false">IF(BA1460&lt;=0,"",IF(CC1460="Aussen","Aussenlager",IF(CC1460="-","Nicht im Lift",IF(BF1460&gt;=1,"Lift",IF(BF1460&lt;=0,"Aussenlager","teilweise")))))</f>
        <v>Lift</v>
      </c>
      <c r="BJ1460" s="48" t="str">
        <f aca="false">IF(A1460="","",IF(BS1460=1,"Neu; ","")&amp;IF(AND(BS1460=0,BN1460&lt;0),"negativer Bestand (Export "&amp;BN1460&amp;"); ","")&amp;IF(J1460&lt;=0,"Kein Verbrauch; ","")&amp;IF(CL1460&gt;0,"Lift "&amp;W1460&amp;" lt. Liftbericht (Fach "&amp;X1460&amp;" Stk); ",IF(BX1460=1,"Gebinde geschätzt ("&amp;T1460&amp;"); ",IF(BW1460=1,"Lose – Tablare geschätzt; ","")))&amp;IF(H1460&gt;AT1460,"Überbestand "&amp;ROUND(H1460-AT1460,0)&amp;" Stk / CHF "&amp;ROUND((H1460-AT1460)*G1460,0)&amp;"; ","")&amp;IF(AND(CE1460=1,CF1460&lt;CG1460),"MAX &lt; MB+LG; ","")&amp;IF(AND(CK1460&gt;0,CJ1460*10&gt;CK1460),"zu hoch für Tablar; ","")&amp;IF(AND(BS1460=0,OR(CE1460=1,AA1460&lt;&gt;"",U1460&lt;&gt;"",V1460&lt;&gt;"",AB1460&lt;&gt;"")),"manuell übersteuert; ","")&amp;IF(AND(BW1460=0,R1460=0),"Gebinde unbekannt / Stellmass fehlt; ","")&amp;IF(AND(BW1460=0,N(V1460)&lt;=0,N(Q1460)&lt;=0),"Menge pro Gebinde fehlt (Ist = 1 Gebinde); ","")&amp;BR1460)</f>
        <v>negativer Bestand (Export -3500); Gebinde geschätzt (Klein); Menge pro Gebinde fehlt (Ist = 1 Gebinde); </v>
      </c>
      <c r="BK1460" s="48"/>
      <c r="BL1460" s="48"/>
      <c r="BM1460" s="55"/>
      <c r="BN1460" s="50" t="n">
        <v>-3500</v>
      </c>
      <c r="BO1460" s="50" t="n">
        <v>0</v>
      </c>
      <c r="BP1460" s="49" t="n">
        <v>-19355</v>
      </c>
      <c r="BQ1460" s="50" t="n">
        <v>3500</v>
      </c>
      <c r="BR1460" s="48"/>
      <c r="BS1460" s="53" t="n">
        <v>0</v>
      </c>
      <c r="BT1460" s="53" t="n">
        <v>1460</v>
      </c>
      <c r="BU1460" s="48" t="str">
        <f aca="false">IF(U1460&lt;&gt;"",UPPER(TRIM(U1460)),IF(BX1460=1,UPPER(VLOOKUP(T1460,Parameter!$I$27:$K$29,2,0)),IF(P1460="","LOSE",P1460)))</f>
        <v>S51</v>
      </c>
      <c r="BV1460" s="50" t="n">
        <f aca="false">IF(BU1460="LOSE",1,IF(N(V1460)&gt;0,V1460,IF(BX1460=1,MAX(1,N(VLOOKUP(T1460,Parameter!$I$27:$K$29,3,0)),H1460,N(N1460)),IF(N(Q1460)&gt;0,Q1460,MAX(1,H1460)))))</f>
        <v>1265</v>
      </c>
      <c r="BW1460" s="53" t="n">
        <f aca="false">IF(BU1460="LOSE",1,0)</f>
        <v>0</v>
      </c>
      <c r="BX1460" s="53" t="n">
        <f aca="false">IF(AND(U1460="",OR(P1460="",P1460="LOSE"),T1460&lt;&gt;"",N(S1460)&lt;=0,ISNUMBER(MATCH(T1460,Parameter!$I$27:$I$29,0))),1,0)</f>
        <v>1</v>
      </c>
      <c r="BY1460" s="53" t="n">
        <f aca="false">IF(CL1460&gt;0,INDEX(Parameter!$H$5:$H$7,W1460)/INDEX(Parameter!$E$5:$E$7,W1460),IF(AND(BW1460=0,N(IFERROR(VLOOKUP(BU1460,'Gebinde-Kategorie'!$A$5:$N$45,14,0),0))&gt;0),VLOOKUP(BU1460,'Gebinde-Kategorie'!$A$5:$N$45,14,0)*10+Parameter!$M$23,Parameter!$M$24))</f>
        <v>155</v>
      </c>
      <c r="BZ1460" s="48" t="str">
        <f aca="false">IF(AND(Parameter!$B$19="Ja",E1460&lt;&gt;"",ISNUMBER(MATCH(E1460,Parameter!$I$35:$I$52,0))),VLOOKUP(E1460,Parameter!$I$35:$J$52,2,0),IFERROR(VLOOKUP(D1460,Parameter!$A$35:$C$64,2,0),"Nein"))</f>
        <v>2+3</v>
      </c>
      <c r="CA1460" s="52" t="n">
        <f aca="false">IF(BW1460=0,0,IF(N(S1460)&gt;0,S1460,IFERROR(VLOOKUP(D1460,Parameter!$A$35:$C$64,3,0)+0,0)))</f>
        <v>0</v>
      </c>
      <c r="CB1460" s="48" t="n">
        <f aca="false">IF(AA1460&lt;&gt;"",AA1460,Z1460)</f>
        <v>3</v>
      </c>
      <c r="CC1460" s="48" t="str">
        <f aca="false">IF(OR(CB1460=1,CB1460=2,CB1460=3),IF(Parameter!$E$27="Ja","LIFT",IF(CB1460=1,"L1","L23")),IF(CB1460="Aussen","Aussen","-"))</f>
        <v>LIFT</v>
      </c>
      <c r="CD1460" s="59" t="n">
        <f aca="false">IF(N(AB1460)&gt;0,AB1460,0)</f>
        <v>0</v>
      </c>
      <c r="CE1460" s="53" t="n">
        <f aca="false">IF(ISNUMBER(AE1460),1,0)</f>
        <v>0</v>
      </c>
      <c r="CF1460" s="50" t="n">
        <f aca="false">N(AE1460)</f>
        <v>0</v>
      </c>
      <c r="CG1460" s="50" t="n">
        <f aca="false">N(M1460)+N(N1460)</f>
        <v>3306</v>
      </c>
      <c r="CH1460" s="50" t="n">
        <f aca="false">ROUNDUP(H1460/BV1460,0)</f>
        <v>0</v>
      </c>
      <c r="CI1460" s="50" t="n">
        <f aca="false">ROUNDUP(CF1460/BV1460,0)</f>
        <v>0</v>
      </c>
      <c r="CJ1460" s="53" t="n">
        <f aca="false">IF(BW1460=1,0,IFERROR(VLOOKUP(BU1460,'Gebinde-Kategorie'!$A$5:$N$45,5,0)+0,0))</f>
        <v>11</v>
      </c>
      <c r="CK1460" s="53" t="n">
        <f aca="false">IFERROR(IF(OR(CB1460=1,CB1460=2,CB1460=3),N(INDEX(Parameter!$I$5:$I$7,CB1460)),0),0)</f>
        <v>0</v>
      </c>
      <c r="CL1460" s="52" t="n">
        <f aca="false">IF(AND(Parameter!$B$21="Ja",ISNUMBER(W1460),N(X1460)&gt;0),IFERROR(N(INDEX(Parameter!$L$5:$L$7,W1460))*INDEX(Parameter!$E$5:$E$7,W1460)*X1460/SUMIFS($X$7:$X$1843,$W$7:$W$1843,W1460),0),0)</f>
        <v>0</v>
      </c>
    </row>
    <row r="1461" customFormat="false" ht="15" hidden="false" customHeight="false" outlineLevel="0" collapsed="false">
      <c r="A1461" s="48" t="s">
        <v>2558</v>
      </c>
      <c r="B1461" s="48" t="s">
        <v>2559</v>
      </c>
      <c r="C1461" s="48" t="s">
        <v>460</v>
      </c>
      <c r="D1461" s="48" t="s">
        <v>177</v>
      </c>
      <c r="E1461" s="48"/>
      <c r="F1461" s="48"/>
      <c r="G1461" s="49" t="n">
        <v>513.92</v>
      </c>
      <c r="H1461" s="50" t="n">
        <f aca="false">MAX(0,IF(AND(Parameter!$B$21="Ja",ISNUMBER(Y1461)),Y1461,IF(Parameter!$B$20="Jahresanfang 2025 + Export",BO1461+BN1461,BN1461)))</f>
        <v>0</v>
      </c>
      <c r="I1461" s="50" t="n">
        <f aca="false">H1461*G1461</f>
        <v>0</v>
      </c>
      <c r="J1461" s="50" t="n">
        <f aca="false">BQ1461*Parameter!$B$18</f>
        <v>135</v>
      </c>
      <c r="K1461" s="51"/>
      <c r="L1461" s="52"/>
      <c r="M1461" s="50" t="n">
        <v>0</v>
      </c>
      <c r="N1461" s="50" t="n">
        <v>4</v>
      </c>
      <c r="O1461" s="53"/>
      <c r="P1461" s="48" t="s">
        <v>172</v>
      </c>
      <c r="Q1461" s="50"/>
      <c r="R1461" s="53" t="n">
        <f aca="false">IF(BW1461=1,0,IFERROR(VLOOKUP(BU1461,'Gebinde-Kategorie'!$A$5:$N$45,13,0)+0,0))</f>
        <v>12</v>
      </c>
      <c r="S1461" s="54"/>
      <c r="T1461" s="55" t="s">
        <v>183</v>
      </c>
      <c r="U1461" s="55"/>
      <c r="V1461" s="55"/>
      <c r="W1461" s="48"/>
      <c r="X1461" s="50"/>
      <c r="Y1461" s="50"/>
      <c r="Z1461" s="48" t="n">
        <f aca="false">IF(A1461="","",IF(AND(Parameter!$B$21="Ja",ISNUMBER(W1461)),W1461,IF(BZ1461="2+3",IF(ISNUMBER(SEARCH("grosser Artikel",BR1461)),2,IFERROR(VLOOKUP(BU1461,Parameter!$F$35:$G$64,2,0),2)),IF(OR(BZ1461="Nein",BZ1461=""),"-",BZ1461))))</f>
        <v>2</v>
      </c>
      <c r="AA1461" s="55"/>
      <c r="AB1461" s="56"/>
      <c r="AC1461" s="50" t="n">
        <f aca="false">AT1461</f>
        <v>68</v>
      </c>
      <c r="AD1461" s="50" t="n">
        <f aca="false">MAX(AT1461,H1461)</f>
        <v>68</v>
      </c>
      <c r="AE1461" s="57"/>
      <c r="AF1461" s="50" t="n">
        <f aca="false">IF(LEFT(Cockpit!$C$5,1)="A",H1461,IF(CE1461=1,CF1461,IF(LEFT(Cockpit!$C$5,1)="B",AK1461,MAX(AK1461,H1461))))</f>
        <v>0</v>
      </c>
      <c r="AG1461" s="50" t="n">
        <f aca="false">IF(BW1461=1,0,ROUNDUP(AF1461/BV1461,0))</f>
        <v>0</v>
      </c>
      <c r="AH1461" s="52" t="n">
        <f aca="false">IF(CL1461&gt;0,CL1461*MAX(1,AF1461/X1461),IF(BW1461=1,IF(AF1461&lt;=0,0,CA1461*MAX(1,IF(H1461&gt;0,AF1461/H1461,1))),IF(R1461&gt;0,AG1461/R1461,0))/MAX(0.1,N(Parameter!$M$21)))</f>
        <v>0</v>
      </c>
      <c r="AI1461" s="50" t="n">
        <f aca="false">AH1461*BY1461</f>
        <v>0</v>
      </c>
      <c r="AJ1461" s="50" t="n">
        <f aca="false">AF1461*G1461</f>
        <v>0</v>
      </c>
      <c r="AK1461" s="50" t="n">
        <f aca="false">ROUNDUP(MAX(J1461/IF(CD1461&gt;0,CD1461,MAX(0.1,N(Cockpit!$C$6))),CG1461)/BV1461,0)*BV1461</f>
        <v>68</v>
      </c>
      <c r="AL1461" s="51" t="n">
        <f aca="false">IF(AI1461&gt;0,J1461/AI1461,-1)</f>
        <v>-1</v>
      </c>
      <c r="AM1461" s="51" t="str">
        <f aca="false">IF(AND(OR(CC1461="L1",CC1461="L23",CC1461="LIFT"),AI1461&gt;0),SUMIFS($AI$7:$AI$1843,$CC$7:$CC$1843,CC1461,$AL$7:$AL$1843,"&gt;"&amp;AL1461)+SUMIFS($AI$7:$AI$1843,$CC$7:$CC$1843,CC1461,$AL$7:$AL$1843,AL1461,$BT$7:$BT$1843,"&lt;="&amp;BT1461),"")</f>
        <v/>
      </c>
      <c r="AN1461" s="58" t="n">
        <f aca="false">IF(AM1461="",0,MAX(0,MIN(1,(IF(CC1461="L1",Parameter!$H$5,IF(CC1461="L23",Parameter!$H$6+Parameter!$H$7,Parameter!$H$5+Parameter!$H$6+Parameter!$H$7))-(AM1461-AI1461))/AI1461)))</f>
        <v>0</v>
      </c>
      <c r="AO1461" s="50" t="n">
        <f aca="false">IF(LEFT(Cockpit!$I$5,1)="A",H1461,IF(CE1461=1,CF1461,IF(LEFT(Cockpit!$I$5,1)="B",AT1461,MAX(AT1461,H1461))))</f>
        <v>68</v>
      </c>
      <c r="AP1461" s="50" t="n">
        <f aca="false">IF(BW1461=1,0,ROUNDUP(AO1461/BV1461,0))</f>
        <v>17</v>
      </c>
      <c r="AQ1461" s="52" t="n">
        <f aca="false">IF(CL1461&gt;0,CL1461*MAX(1,AO1461/X1461),IF(BW1461=1,IF(AO1461&lt;=0,0,CA1461*MAX(1,IF(H1461&gt;0,AO1461/H1461,1))),IF(R1461&gt;0,AP1461/R1461,0))/MAX(0.1,N(Parameter!$M$21)))</f>
        <v>1.41666666666667</v>
      </c>
      <c r="AR1461" s="50" t="n">
        <f aca="false">AQ1461*BY1461</f>
        <v>205.416666666667</v>
      </c>
      <c r="AS1461" s="50" t="n">
        <f aca="false">AO1461*G1461</f>
        <v>34946.56</v>
      </c>
      <c r="AT1461" s="50" t="n">
        <f aca="false">ROUNDUP(MAX(J1461/IF(CD1461&gt;0,CD1461,MAX(0.1,N(Cockpit!$I$6))),CG1461)/BV1461,0)*BV1461</f>
        <v>68</v>
      </c>
      <c r="AU1461" s="51" t="n">
        <f aca="false">IF(AR1461&gt;0,J1461/AR1461,-1)</f>
        <v>0.657200811359026</v>
      </c>
      <c r="AV1461" s="51" t="n">
        <f aca="false">IF(AND(OR(CC1461="L1",CC1461="L23",CC1461="LIFT"),AR1461&gt;0),SUMIFS($AR$7:$AR$1843,$CC$7:$CC$1843,CC1461,$AU$7:$AU$1843,"&gt;"&amp;AU1461)+SUMIFS($AR$7:$AR$1843,$CC$7:$CC$1843,CC1461,$AU$7:$AU$1843,AU1461,$BT$7:$BT$1843,"&lt;="&amp;BT1461),"")</f>
        <v>12147.2889194139</v>
      </c>
      <c r="AW1461" s="58" t="n">
        <f aca="false">IF(AV1461="",0,MAX(0,MIN(1,(IF(CC1461="L1",Parameter!$H$5,IF(CC1461="L23",Parameter!$H$6+Parameter!$H$7,Parameter!$H$5+Parameter!$H$6+Parameter!$H$7))-(AV1461-AR1461))/AR1461)))</f>
        <v>1</v>
      </c>
      <c r="AX1461" s="50" t="n">
        <f aca="false">IF(LEFT(Cockpit!$O$5,1)="A",H1461,IF(CE1461=1,CF1461,IF(LEFT(Cockpit!$O$5,1)="B",BC1461,MAX(BC1461,H1461))))</f>
        <v>48</v>
      </c>
      <c r="AY1461" s="50" t="n">
        <f aca="false">IF(BW1461=1,0,ROUNDUP(AX1461/BV1461,0))</f>
        <v>12</v>
      </c>
      <c r="AZ1461" s="52" t="n">
        <f aca="false">IF(CL1461&gt;0,CL1461*MAX(1,AX1461/X1461),IF(BW1461=1,IF(AX1461&lt;=0,0,CA1461*MAX(1,IF(H1461&gt;0,AX1461/H1461,1))),IF(R1461&gt;0,AY1461/R1461,0))/MAX(0.1,N(Parameter!$M$21)))</f>
        <v>1</v>
      </c>
      <c r="BA1461" s="50" t="n">
        <f aca="false">AZ1461*BY1461</f>
        <v>145</v>
      </c>
      <c r="BB1461" s="50" t="n">
        <f aca="false">AX1461*G1461</f>
        <v>24668.16</v>
      </c>
      <c r="BC1461" s="50" t="n">
        <f aca="false">ROUNDUP(MAX(J1461/IF(CD1461&gt;0,CD1461,MAX(0.1,N(Cockpit!$O$6))),CG1461)/BV1461,0)*BV1461</f>
        <v>48</v>
      </c>
      <c r="BD1461" s="51" t="n">
        <f aca="false">IF(BA1461&gt;0,J1461/BA1461,-1)</f>
        <v>0.931034482758621</v>
      </c>
      <c r="BE1461" s="51" t="n">
        <f aca="false">IF(AND(OR(CC1461="L1",CC1461="L23",CC1461="LIFT"),BA1461&gt;0),SUMIFS($BA$7:$BA$1843,$CC$7:$CC$1843,CC1461,$BD$7:$BD$1843,"&gt;"&amp;BD1461)+SUMIFS($BA$7:$BA$1843,$CC$7:$CC$1843,CC1461,$BD$7:$BD$1843,BD1461,$BT$7:$BT$1843,"&lt;="&amp;BT1461),"")</f>
        <v>9667.45283882784</v>
      </c>
      <c r="BF1461" s="58" t="n">
        <f aca="false">IF(BE1461="",0,MAX(0,MIN(1,(IF(CC1461="L1",Parameter!$H$5,IF(CC1461="L23",Parameter!$H$6+Parameter!$H$7,Parameter!$H$5+Parameter!$H$6+Parameter!$H$7))-(BE1461-BA1461))/BA1461)))</f>
        <v>1</v>
      </c>
      <c r="BG1461" s="48" t="str">
        <f aca="false">IF(AI1461&lt;=0,"",IF(CC1461="Aussen","Aussenlager",IF(CC1461="-","Nicht im Lift",IF(AN1461&gt;=1,"Lift",IF(AN1461&lt;=0,"Aussenlager","teilweise")))))</f>
        <v/>
      </c>
      <c r="BH1461" s="48" t="str">
        <f aca="false">IF(AR1461&lt;=0,"",IF(CC1461="Aussen","Aussenlager",IF(CC1461="-","Nicht im Lift",IF(AW1461&gt;=1,"Lift",IF(AW1461&lt;=0,"Aussenlager","teilweise")))))</f>
        <v>Lift</v>
      </c>
      <c r="BI1461" s="48" t="str">
        <f aca="false">IF(BA1461&lt;=0,"",IF(CC1461="Aussen","Aussenlager",IF(CC1461="-","Nicht im Lift",IF(BF1461&gt;=1,"Lift",IF(BF1461&lt;=0,"Aussenlager","teilweise")))))</f>
        <v>Lift</v>
      </c>
      <c r="BJ1461" s="48" t="str">
        <f aca="false">IF(A1461="","",IF(BS1461=1,"Neu; ","")&amp;IF(AND(BS1461=0,BN1461&lt;0),"negativer Bestand (Export "&amp;BN1461&amp;"); ","")&amp;IF(J1461&lt;=0,"Kein Verbrauch; ","")&amp;IF(CL1461&gt;0,"Lift "&amp;W1461&amp;" lt. Liftbericht (Fach "&amp;X1461&amp;" Stk); ",IF(BX1461=1,"Gebinde geschätzt ("&amp;T1461&amp;"); ",IF(BW1461=1,"Lose – Tablare geschätzt; ","")))&amp;IF(H1461&gt;AT1461,"Überbestand "&amp;ROUND(H1461-AT1461,0)&amp;" Stk / CHF "&amp;ROUND((H1461-AT1461)*G1461,0)&amp;"; ","")&amp;IF(AND(CE1461=1,CF1461&lt;CG1461),"MAX &lt; MB+LG; ","")&amp;IF(AND(CK1461&gt;0,CJ1461*10&gt;CK1461),"zu hoch für Tablar; ","")&amp;IF(AND(BS1461=0,OR(CE1461=1,AA1461&lt;&gt;"",U1461&lt;&gt;"",V1461&lt;&gt;"",AB1461&lt;&gt;"")),"manuell übersteuert; ","")&amp;IF(AND(BW1461=0,R1461=0),"Gebinde unbekannt / Stellmass fehlt; ","")&amp;IF(AND(BW1461=0,N(V1461)&lt;=0,N(Q1461)&lt;=0),"Menge pro Gebinde fehlt (Ist = 1 Gebinde); ","")&amp;BR1461)</f>
        <v>negativer Bestand (Export -40); Gebinde geschätzt (Mittel); Menge pro Gebinde fehlt (Ist = 1 Gebinde); </v>
      </c>
      <c r="BK1461" s="48"/>
      <c r="BL1461" s="48"/>
      <c r="BM1461" s="55"/>
      <c r="BN1461" s="50" t="n">
        <v>-40</v>
      </c>
      <c r="BO1461" s="50" t="n">
        <v>0</v>
      </c>
      <c r="BP1461" s="49" t="n">
        <v>-21904</v>
      </c>
      <c r="BQ1461" s="50" t="n">
        <v>135</v>
      </c>
      <c r="BR1461" s="48"/>
      <c r="BS1461" s="53" t="n">
        <v>0</v>
      </c>
      <c r="BT1461" s="53" t="n">
        <v>1461</v>
      </c>
      <c r="BU1461" s="48" t="str">
        <f aca="false">IF(U1461&lt;&gt;"",UPPER(TRIM(U1461)),IF(BX1461=1,UPPER(VLOOKUP(T1461,Parameter!$I$27:$K$29,2,0)),IF(P1461="","LOSE",P1461)))</f>
        <v>S61</v>
      </c>
      <c r="BV1461" s="50" t="n">
        <f aca="false">IF(BU1461="LOSE",1,IF(N(V1461)&gt;0,V1461,IF(BX1461=1,MAX(1,N(VLOOKUP(T1461,Parameter!$I$27:$K$29,3,0)),H1461,N(N1461)),IF(N(Q1461)&gt;0,Q1461,MAX(1,H1461)))))</f>
        <v>4</v>
      </c>
      <c r="BW1461" s="53" t="n">
        <f aca="false">IF(BU1461="LOSE",1,0)</f>
        <v>0</v>
      </c>
      <c r="BX1461" s="53" t="n">
        <f aca="false">IF(AND(U1461="",OR(P1461="",P1461="LOSE"),T1461&lt;&gt;"",N(S1461)&lt;=0,ISNUMBER(MATCH(T1461,Parameter!$I$27:$I$29,0))),1,0)</f>
        <v>1</v>
      </c>
      <c r="BY1461" s="53" t="n">
        <f aca="false">IF(CL1461&gt;0,INDEX(Parameter!$H$5:$H$7,W1461)/INDEX(Parameter!$E$5:$E$7,W1461),IF(AND(BW1461=0,N(IFERROR(VLOOKUP(BU1461,'Gebinde-Kategorie'!$A$5:$N$45,14,0),0))&gt;0),VLOOKUP(BU1461,'Gebinde-Kategorie'!$A$5:$N$45,14,0)*10+Parameter!$M$23,Parameter!$M$24))</f>
        <v>145</v>
      </c>
      <c r="BZ1461" s="48" t="str">
        <f aca="false">IF(AND(Parameter!$B$19="Ja",E1461&lt;&gt;"",ISNUMBER(MATCH(E1461,Parameter!$I$35:$I$52,0))),VLOOKUP(E1461,Parameter!$I$35:$J$52,2,0),IFERROR(VLOOKUP(D1461,Parameter!$A$35:$C$64,2,0),"Nein"))</f>
        <v>2+3</v>
      </c>
      <c r="CA1461" s="52" t="n">
        <f aca="false">IF(BW1461=0,0,IF(N(S1461)&gt;0,S1461,IFERROR(VLOOKUP(D1461,Parameter!$A$35:$C$64,3,0)+0,0)))</f>
        <v>0</v>
      </c>
      <c r="CB1461" s="48" t="n">
        <f aca="false">IF(AA1461&lt;&gt;"",AA1461,Z1461)</f>
        <v>2</v>
      </c>
      <c r="CC1461" s="48" t="str">
        <f aca="false">IF(OR(CB1461=1,CB1461=2,CB1461=3),IF(Parameter!$E$27="Ja","LIFT",IF(CB1461=1,"L1","L23")),IF(CB1461="Aussen","Aussen","-"))</f>
        <v>LIFT</v>
      </c>
      <c r="CD1461" s="59" t="n">
        <f aca="false">IF(N(AB1461)&gt;0,AB1461,0)</f>
        <v>0</v>
      </c>
      <c r="CE1461" s="53" t="n">
        <f aca="false">IF(ISNUMBER(AE1461),1,0)</f>
        <v>0</v>
      </c>
      <c r="CF1461" s="50" t="n">
        <f aca="false">N(AE1461)</f>
        <v>0</v>
      </c>
      <c r="CG1461" s="50" t="n">
        <f aca="false">N(M1461)+N(N1461)</f>
        <v>4</v>
      </c>
      <c r="CH1461" s="50" t="n">
        <f aca="false">ROUNDUP(H1461/BV1461,0)</f>
        <v>0</v>
      </c>
      <c r="CI1461" s="50" t="n">
        <f aca="false">ROUNDUP(CF1461/BV1461,0)</f>
        <v>0</v>
      </c>
      <c r="CJ1461" s="53" t="n">
        <f aca="false">IF(BW1461=1,0,IFERROR(VLOOKUP(BU1461,'Gebinde-Kategorie'!$A$5:$N$45,5,0)+0,0))</f>
        <v>11</v>
      </c>
      <c r="CK1461" s="53" t="n">
        <f aca="false">IFERROR(IF(OR(CB1461=1,CB1461=2,CB1461=3),N(INDEX(Parameter!$I$5:$I$7,CB1461)),0),0)</f>
        <v>0</v>
      </c>
      <c r="CL1461" s="52" t="n">
        <f aca="false">IF(AND(Parameter!$B$21="Ja",ISNUMBER(W1461),N(X1461)&gt;0),IFERROR(N(INDEX(Parameter!$L$5:$L$7,W1461))*INDEX(Parameter!$E$5:$E$7,W1461)*X1461/SUMIFS($X$7:$X$1843,$W$7:$W$1843,W1461),0),0)</f>
        <v>0</v>
      </c>
    </row>
    <row r="1462" customFormat="false" ht="15" hidden="false" customHeight="false" outlineLevel="0" collapsed="false">
      <c r="A1462" s="48" t="s">
        <v>2560</v>
      </c>
      <c r="B1462" s="48" t="s">
        <v>2388</v>
      </c>
      <c r="C1462" s="48" t="s">
        <v>168</v>
      </c>
      <c r="D1462" s="48" t="s">
        <v>169</v>
      </c>
      <c r="E1462" s="48" t="s">
        <v>170</v>
      </c>
      <c r="F1462" s="48"/>
      <c r="G1462" s="49" t="n">
        <v>2045.23</v>
      </c>
      <c r="H1462" s="50" t="n">
        <f aca="false">MAX(0,IF(AND(Parameter!$B$21="Ja",ISNUMBER(Y1462)),Y1462,IF(Parameter!$B$20="Jahresanfang 2025 + Export",BO1462+BN1462,BN1462)))</f>
        <v>10</v>
      </c>
      <c r="I1462" s="50" t="n">
        <f aca="false">H1462*G1462</f>
        <v>20452.3</v>
      </c>
      <c r="J1462" s="50" t="n">
        <f aca="false">BQ1462*Parameter!$B$18</f>
        <v>55</v>
      </c>
      <c r="K1462" s="51"/>
      <c r="L1462" s="52"/>
      <c r="M1462" s="50" t="n">
        <v>2</v>
      </c>
      <c r="N1462" s="50" t="n">
        <v>10</v>
      </c>
      <c r="O1462" s="53"/>
      <c r="P1462" s="48" t="s">
        <v>172</v>
      </c>
      <c r="Q1462" s="50"/>
      <c r="R1462" s="53" t="n">
        <f aca="false">IF(BW1462=1,0,IFERROR(VLOOKUP(BU1462,'Gebinde-Kategorie'!$A$5:$N$45,13,0)+0,0))</f>
        <v>0</v>
      </c>
      <c r="S1462" s="54"/>
      <c r="T1462" s="55"/>
      <c r="U1462" s="55"/>
      <c r="V1462" s="55"/>
      <c r="W1462" s="48" t="n">
        <v>1</v>
      </c>
      <c r="X1462" s="50" t="n">
        <v>13</v>
      </c>
      <c r="Y1462" s="50" t="n">
        <v>10</v>
      </c>
      <c r="Z1462" s="48" t="n">
        <f aca="false">IF(A1462="","",IF(AND(Parameter!$B$21="Ja",ISNUMBER(W1462)),W1462,IF(BZ1462="2+3",IF(ISNUMBER(SEARCH("grosser Artikel",BR1462)),2,IFERROR(VLOOKUP(BU1462,Parameter!$F$35:$G$64,2,0),2)),IF(OR(BZ1462="Nein",BZ1462=""),"-",BZ1462))))</f>
        <v>1</v>
      </c>
      <c r="AA1462" s="55"/>
      <c r="AB1462" s="56"/>
      <c r="AC1462" s="50" t="n">
        <f aca="false">AT1462</f>
        <v>28</v>
      </c>
      <c r="AD1462" s="50" t="n">
        <f aca="false">MAX(AT1462,H1462)</f>
        <v>28</v>
      </c>
      <c r="AE1462" s="57"/>
      <c r="AF1462" s="50" t="n">
        <f aca="false">IF(LEFT(Cockpit!$C$5,1)="A",H1462,IF(CE1462=1,CF1462,IF(LEFT(Cockpit!$C$5,1)="B",AK1462,MAX(AK1462,H1462))))</f>
        <v>10</v>
      </c>
      <c r="AG1462" s="50" t="n">
        <f aca="false">IF(BW1462=1,0,ROUNDUP(AF1462/BV1462,0))</f>
        <v>0</v>
      </c>
      <c r="AH1462" s="52" t="n">
        <f aca="false">IF(CL1462&gt;0,CL1462*MAX(1,AF1462/X1462),IF(BW1462=1,IF(AF1462&lt;=0,0,CA1462*MAX(1,IF(H1462&gt;0,AF1462/H1462,1))),IF(R1462&gt;0,AG1462/R1462,0))/MAX(0.1,N(Parameter!$M$21)))</f>
        <v>1.04048964218456</v>
      </c>
      <c r="AI1462" s="50" t="n">
        <f aca="false">AH1462*BY1462</f>
        <v>247.636534839925</v>
      </c>
      <c r="AJ1462" s="50" t="n">
        <f aca="false">AF1462*G1462</f>
        <v>20452.3</v>
      </c>
      <c r="AK1462" s="50" t="n">
        <f aca="false">ROUNDUP(MAX(J1462/IF(CD1462&gt;0,CD1462,MAX(0.1,N(Cockpit!$C$6))),CG1462)/BV1462,0)*BV1462</f>
        <v>28</v>
      </c>
      <c r="AL1462" s="51" t="n">
        <f aca="false">IF(AI1462&gt;0,J1462/AI1462,-1)</f>
        <v>0.22209969960835</v>
      </c>
      <c r="AM1462" s="51" t="n">
        <f aca="false">IF(AND(OR(CC1462="L1",CC1462="L23",CC1462="LIFT"),AI1462&gt;0),SUMIFS($AI$7:$AI$1843,$CC$7:$CC$1843,CC1462,$AL$7:$AL$1843,"&gt;"&amp;AL1462)+SUMIFS($AI$7:$AI$1843,$CC$7:$CC$1843,CC1462,$AL$7:$AL$1843,AL1462,$BT$7:$BT$1843,"&lt;="&amp;BT1462),"")</f>
        <v>12326.4324387947</v>
      </c>
      <c r="AN1462" s="58" t="n">
        <f aca="false">IF(AM1462="",0,MAX(0,MIN(1,(IF(CC1462="L1",Parameter!$H$5,IF(CC1462="L23",Parameter!$H$6+Parameter!$H$7,Parameter!$H$5+Parameter!$H$6+Parameter!$H$7))-(AM1462-AI1462))/AI1462)))</f>
        <v>1</v>
      </c>
      <c r="AO1462" s="50" t="n">
        <f aca="false">IF(LEFT(Cockpit!$I$5,1)="A",H1462,IF(CE1462=1,CF1462,IF(LEFT(Cockpit!$I$5,1)="B",AT1462,MAX(AT1462,H1462))))</f>
        <v>28</v>
      </c>
      <c r="AP1462" s="50" t="n">
        <f aca="false">IF(BW1462=1,0,ROUNDUP(AO1462/BV1462,0))</f>
        <v>0</v>
      </c>
      <c r="AQ1462" s="52" t="n">
        <f aca="false">IF(CL1462&gt;0,CL1462*MAX(1,AO1462/X1462),IF(BW1462=1,IF(AO1462&lt;=0,0,CA1462*MAX(1,IF(H1462&gt;0,AO1462/H1462,1))),IF(R1462&gt;0,AP1462/R1462,0))/MAX(0.1,N(Parameter!$M$21)))</f>
        <v>2.24105461393597</v>
      </c>
      <c r="AR1462" s="50" t="n">
        <f aca="false">AQ1462*BY1462</f>
        <v>533.370998116761</v>
      </c>
      <c r="AS1462" s="50" t="n">
        <f aca="false">AO1462*G1462</f>
        <v>57266.44</v>
      </c>
      <c r="AT1462" s="50" t="n">
        <f aca="false">ROUNDUP(MAX(J1462/IF(CD1462&gt;0,CD1462,MAX(0.1,N(Cockpit!$I$6))),CG1462)/BV1462,0)*BV1462</f>
        <v>28</v>
      </c>
      <c r="AU1462" s="51" t="n">
        <f aca="false">IF(AR1462&gt;0,J1462/AR1462,-1)</f>
        <v>0.103117717675305</v>
      </c>
      <c r="AV1462" s="51" t="n">
        <f aca="false">IF(AND(OR(CC1462="L1",CC1462="L23",CC1462="LIFT"),AR1462&gt;0),SUMIFS($AR$7:$AR$1843,$CC$7:$CC$1843,CC1462,$AU$7:$AU$1843,"&gt;"&amp;AU1462)+SUMIFS($AR$7:$AR$1843,$CC$7:$CC$1843,CC1462,$AU$7:$AU$1843,AU1462,$BT$7:$BT$1843,"&lt;="&amp;BT1462),"")</f>
        <v>24120.997198423</v>
      </c>
      <c r="AW1462" s="58" t="n">
        <f aca="false">IF(AV1462="",0,MAX(0,MIN(1,(IF(CC1462="L1",Parameter!$H$5,IF(CC1462="L23",Parameter!$H$6+Parameter!$H$7,Parameter!$H$5+Parameter!$H$6+Parameter!$H$7))-(AV1462-AR1462))/AR1462)))</f>
        <v>1</v>
      </c>
      <c r="AX1462" s="50" t="n">
        <f aca="false">IF(LEFT(Cockpit!$O$5,1)="A",H1462,IF(CE1462=1,CF1462,IF(LEFT(Cockpit!$O$5,1)="B",BC1462,MAX(BC1462,H1462))))</f>
        <v>19</v>
      </c>
      <c r="AY1462" s="50" t="n">
        <f aca="false">IF(BW1462=1,0,ROUNDUP(AX1462/BV1462,0))</f>
        <v>0</v>
      </c>
      <c r="AZ1462" s="52" t="n">
        <f aca="false">IF(CL1462&gt;0,CL1462*MAX(1,AX1462/X1462),IF(BW1462=1,IF(AX1462&lt;=0,0,CA1462*MAX(1,IF(H1462&gt;0,AX1462/H1462,1))),IF(R1462&gt;0,AY1462/R1462,0))/MAX(0.1,N(Parameter!$M$21)))</f>
        <v>1.52071563088512</v>
      </c>
      <c r="BA1462" s="50" t="n">
        <f aca="false">AZ1462*BY1462</f>
        <v>361.930320150659</v>
      </c>
      <c r="BB1462" s="50" t="n">
        <f aca="false">AX1462*G1462</f>
        <v>38859.37</v>
      </c>
      <c r="BC1462" s="50" t="n">
        <f aca="false">ROUNDUP(MAX(J1462/IF(CD1462&gt;0,CD1462,MAX(0.1,N(Cockpit!$O$6))),CG1462)/BV1462,0)*BV1462</f>
        <v>19</v>
      </c>
      <c r="BD1462" s="51" t="n">
        <f aca="false">IF(BA1462&gt;0,J1462/BA1462,-1)</f>
        <v>0.151962952363608</v>
      </c>
      <c r="BE1462" s="51" t="n">
        <f aca="false">IF(AND(OR(CC1462="L1",CC1462="L23",CC1462="LIFT"),BA1462&gt;0),SUMIFS($BA$7:$BA$1843,$CC$7:$CC$1843,CC1462,$BD$7:$BD$1843,"&gt;"&amp;BD1462)+SUMIFS($BA$7:$BA$1843,$CC$7:$CC$1843,CC1462,$BD$7:$BD$1843,BD1462,$BT$7:$BT$1843,"&lt;="&amp;BT1462),"")</f>
        <v>18687.589893628</v>
      </c>
      <c r="BF1462" s="58" t="n">
        <f aca="false">IF(BE1462="",0,MAX(0,MIN(1,(IF(CC1462="L1",Parameter!$H$5,IF(CC1462="L23",Parameter!$H$6+Parameter!$H$7,Parameter!$H$5+Parameter!$H$6+Parameter!$H$7))-(BE1462-BA1462))/BA1462)))</f>
        <v>1</v>
      </c>
      <c r="BG1462" s="48" t="str">
        <f aca="false">IF(AI1462&lt;=0,"",IF(CC1462="Aussen","Aussenlager",IF(CC1462="-","Nicht im Lift",IF(AN1462&gt;=1,"Lift",IF(AN1462&lt;=0,"Aussenlager","teilweise")))))</f>
        <v>Lift</v>
      </c>
      <c r="BH1462" s="48" t="str">
        <f aca="false">IF(AR1462&lt;=0,"",IF(CC1462="Aussen","Aussenlager",IF(CC1462="-","Nicht im Lift",IF(AW1462&gt;=1,"Lift",IF(AW1462&lt;=0,"Aussenlager","teilweise")))))</f>
        <v>Lift</v>
      </c>
      <c r="BI1462" s="48" t="str">
        <f aca="false">IF(BA1462&lt;=0,"",IF(CC1462="Aussen","Aussenlager",IF(CC1462="-","Nicht im Lift",IF(BF1462&gt;=1,"Lift",IF(BF1462&lt;=0,"Aussenlager","teilweise")))))</f>
        <v>Lift</v>
      </c>
      <c r="BJ1462" s="48" t="str">
        <f aca="false">IF(A1462="","",IF(BS1462=1,"Neu; ","")&amp;IF(AND(BS1462=0,BN1462&lt;0),"negativer Bestand (Export "&amp;BN1462&amp;"); ","")&amp;IF(J1462&lt;=0,"Kein Verbrauch; ","")&amp;IF(CL1462&gt;0,"Lift "&amp;W1462&amp;" lt. Liftbericht (Fach "&amp;X1462&amp;" Stk); ",IF(BX1462=1,"Gebinde geschätzt ("&amp;T1462&amp;"); ",IF(BW1462=1,"Lose – Tablare geschätzt; ","")))&amp;IF(H1462&gt;AT1462,"Überbestand "&amp;ROUND(H1462-AT1462,0)&amp;" Stk / CHF "&amp;ROUND((H1462-AT1462)*G1462,0)&amp;"; ","")&amp;IF(AND(CE1462=1,CF1462&lt;CG1462),"MAX &lt; MB+LG; ","")&amp;IF(AND(CK1462&gt;0,CJ1462*10&gt;CK1462),"zu hoch für Tablar; ","")&amp;IF(AND(BS1462=0,OR(CE1462=1,AA1462&lt;&gt;"",U1462&lt;&gt;"",V1462&lt;&gt;"",AB1462&lt;&gt;"")),"manuell übersteuert; ","")&amp;IF(AND(BW1462=0,R1462=0),"Gebinde unbekannt / Stellmass fehlt; ","")&amp;IF(AND(BW1462=0,N(V1462)&lt;=0,N(Q1462)&lt;=0),"Menge pro Gebinde fehlt (Ist = 1 Gebinde); ","")&amp;BR1462)</f>
        <v>negativer Bestand (Export -24); Lift 1 lt. Liftbericht (Fach 13 Stk); Standartdüse</v>
      </c>
      <c r="BK1462" s="48"/>
      <c r="BL1462" s="48"/>
      <c r="BM1462" s="55"/>
      <c r="BN1462" s="50" t="n">
        <v>-24</v>
      </c>
      <c r="BO1462" s="50" t="n">
        <v>0</v>
      </c>
      <c r="BP1462" s="49" t="n">
        <v>-22105.84</v>
      </c>
      <c r="BQ1462" s="50" t="n">
        <v>55</v>
      </c>
      <c r="BR1462" s="48" t="s">
        <v>2402</v>
      </c>
      <c r="BS1462" s="53" t="n">
        <v>0</v>
      </c>
      <c r="BT1462" s="53" t="n">
        <v>1462</v>
      </c>
      <c r="BU1462" s="48" t="str">
        <f aca="false">IF(U1462&lt;&gt;"",UPPER(TRIM(U1462)),IF(BX1462=1,UPPER(VLOOKUP(T1462,Parameter!$I$27:$K$29,2,0)),IF(P1462="","LOSE",P1462)))</f>
        <v>LOSE</v>
      </c>
      <c r="BV1462" s="50" t="n">
        <f aca="false">IF(BU1462="LOSE",1,IF(N(V1462)&gt;0,V1462,IF(BX1462=1,MAX(1,N(VLOOKUP(T1462,Parameter!$I$27:$K$29,3,0)),H1462,N(N1462)),IF(N(Q1462)&gt;0,Q1462,MAX(1,H1462)))))</f>
        <v>1</v>
      </c>
      <c r="BW1462" s="53" t="n">
        <f aca="false">IF(BU1462="LOSE",1,0)</f>
        <v>1</v>
      </c>
      <c r="BX1462" s="53" t="n">
        <f aca="false">IF(AND(U1462="",OR(P1462="",P1462="LOSE"),T1462&lt;&gt;"",N(S1462)&lt;=0,ISNUMBER(MATCH(T1462,Parameter!$I$27:$I$29,0))),1,0)</f>
        <v>0</v>
      </c>
      <c r="BY1462" s="53" t="n">
        <f aca="false">IF(CL1462&gt;0,INDEX(Parameter!$H$5:$H$7,W1462)/INDEX(Parameter!$E$5:$E$7,W1462),IF(AND(BW1462=0,N(IFERROR(VLOOKUP(BU1462,'Gebinde-Kategorie'!$A$5:$N$45,14,0),0))&gt;0),VLOOKUP(BU1462,'Gebinde-Kategorie'!$A$5:$N$45,14,0)*10+Parameter!$M$23,Parameter!$M$24))</f>
        <v>238</v>
      </c>
      <c r="BZ1462" s="48" t="n">
        <f aca="false">IF(AND(Parameter!$B$19="Ja",E1462&lt;&gt;"",ISNUMBER(MATCH(E1462,Parameter!$I$35:$I$52,0))),VLOOKUP(E1462,Parameter!$I$35:$J$52,2,0),IFERROR(VLOOKUP(D1462,Parameter!$A$35:$C$64,2,0),"Nein"))</f>
        <v>1</v>
      </c>
      <c r="CA1462" s="52" t="n">
        <f aca="false">IF(BW1462=0,0,IF(N(S1462)&gt;0,S1462,IFERROR(VLOOKUP(D1462,Parameter!$A$35:$C$64,3,0)+0,0)))</f>
        <v>1</v>
      </c>
      <c r="CB1462" s="48" t="n">
        <f aca="false">IF(AA1462&lt;&gt;"",AA1462,Z1462)</f>
        <v>1</v>
      </c>
      <c r="CC1462" s="48" t="str">
        <f aca="false">IF(OR(CB1462=1,CB1462=2,CB1462=3),IF(Parameter!$E$27="Ja","LIFT",IF(CB1462=1,"L1","L23")),IF(CB1462="Aussen","Aussen","-"))</f>
        <v>LIFT</v>
      </c>
      <c r="CD1462" s="59" t="n">
        <f aca="false">IF(N(AB1462)&gt;0,AB1462,0)</f>
        <v>0</v>
      </c>
      <c r="CE1462" s="53" t="n">
        <f aca="false">IF(ISNUMBER(AE1462),1,0)</f>
        <v>0</v>
      </c>
      <c r="CF1462" s="50" t="n">
        <f aca="false">N(AE1462)</f>
        <v>0</v>
      </c>
      <c r="CG1462" s="50" t="n">
        <f aca="false">N(M1462)+N(N1462)</f>
        <v>12</v>
      </c>
      <c r="CH1462" s="50" t="n">
        <f aca="false">ROUNDUP(H1462/BV1462,0)</f>
        <v>10</v>
      </c>
      <c r="CI1462" s="50" t="n">
        <f aca="false">ROUNDUP(CF1462/BV1462,0)</f>
        <v>0</v>
      </c>
      <c r="CJ1462" s="53" t="n">
        <f aca="false">IF(BW1462=1,0,IFERROR(VLOOKUP(BU1462,'Gebinde-Kategorie'!$A$5:$N$45,5,0)+0,0))</f>
        <v>0</v>
      </c>
      <c r="CK1462" s="53" t="n">
        <f aca="false">IFERROR(IF(OR(CB1462=1,CB1462=2,CB1462=3),N(INDEX(Parameter!$I$5:$I$7,CB1462)),0),0)</f>
        <v>0</v>
      </c>
      <c r="CL1462" s="52" t="n">
        <f aca="false">IF(AND(Parameter!$B$21="Ja",ISNUMBER(W1462),N(X1462)&gt;0),IFERROR(N(INDEX(Parameter!$L$5:$L$7,W1462))*INDEX(Parameter!$E$5:$E$7,W1462)*X1462/SUMIFS($X$7:$X$1843,$W$7:$W$1843,W1462),0),0)</f>
        <v>1.04048964218456</v>
      </c>
    </row>
    <row r="1463" customFormat="false" ht="15" hidden="false" customHeight="false" outlineLevel="0" collapsed="false">
      <c r="A1463" s="48" t="s">
        <v>2561</v>
      </c>
      <c r="B1463" s="48" t="s">
        <v>2562</v>
      </c>
      <c r="C1463" s="48" t="s">
        <v>171</v>
      </c>
      <c r="D1463" s="48" t="s">
        <v>1392</v>
      </c>
      <c r="E1463" s="48"/>
      <c r="F1463" s="48"/>
      <c r="G1463" s="49" t="n">
        <v>4524.05</v>
      </c>
      <c r="H1463" s="50" t="n">
        <f aca="false">MAX(0,IF(AND(Parameter!$B$21="Ja",ISNUMBER(Y1463)),Y1463,IF(Parameter!$B$20="Jahresanfang 2025 + Export",BO1463+BN1463,BN1463)))</f>
        <v>0</v>
      </c>
      <c r="I1463" s="50" t="n">
        <f aca="false">H1463*G1463</f>
        <v>0</v>
      </c>
      <c r="J1463" s="50" t="n">
        <f aca="false">BQ1463*Parameter!$B$18</f>
        <v>16</v>
      </c>
      <c r="K1463" s="51"/>
      <c r="L1463" s="52"/>
      <c r="M1463" s="50" t="n">
        <v>0</v>
      </c>
      <c r="N1463" s="50" t="n">
        <v>1</v>
      </c>
      <c r="O1463" s="53"/>
      <c r="P1463" s="48" t="s">
        <v>172</v>
      </c>
      <c r="Q1463" s="50"/>
      <c r="R1463" s="53" t="n">
        <f aca="false">IF(BW1463=1,0,IFERROR(VLOOKUP(BU1463,'Gebinde-Kategorie'!$A$5:$N$45,13,0)+0,0))</f>
        <v>0</v>
      </c>
      <c r="S1463" s="54"/>
      <c r="T1463" s="55"/>
      <c r="U1463" s="55"/>
      <c r="V1463" s="55"/>
      <c r="W1463" s="48"/>
      <c r="X1463" s="50"/>
      <c r="Y1463" s="50"/>
      <c r="Z1463" s="48" t="str">
        <f aca="false">IF(A1463="","",IF(AND(Parameter!$B$21="Ja",ISNUMBER(W1463)),W1463,IF(BZ1463="2+3",IF(ISNUMBER(SEARCH("grosser Artikel",BR1463)),2,IFERROR(VLOOKUP(BU1463,Parameter!$F$35:$G$64,2,0),2)),IF(OR(BZ1463="Nein",BZ1463=""),"-",BZ1463))))</f>
        <v>-</v>
      </c>
      <c r="AA1463" s="55"/>
      <c r="AB1463" s="56"/>
      <c r="AC1463" s="50" t="n">
        <f aca="false">AT1463</f>
        <v>8</v>
      </c>
      <c r="AD1463" s="50" t="n">
        <f aca="false">MAX(AT1463,H1463)</f>
        <v>8</v>
      </c>
      <c r="AE1463" s="57"/>
      <c r="AF1463" s="50" t="n">
        <f aca="false">IF(LEFT(Cockpit!$C$5,1)="A",H1463,IF(CE1463=1,CF1463,IF(LEFT(Cockpit!$C$5,1)="B",AK1463,MAX(AK1463,H1463))))</f>
        <v>0</v>
      </c>
      <c r="AG1463" s="50" t="n">
        <f aca="false">IF(BW1463=1,0,ROUNDUP(AF1463/BV1463,0))</f>
        <v>0</v>
      </c>
      <c r="AH1463" s="52" t="n">
        <f aca="false">IF(CL1463&gt;0,CL1463*MAX(1,AF1463/X1463),IF(BW1463=1,IF(AF1463&lt;=0,0,CA1463*MAX(1,IF(H1463&gt;0,AF1463/H1463,1))),IF(R1463&gt;0,AG1463/R1463,0))/MAX(0.1,N(Parameter!$M$21)))</f>
        <v>0</v>
      </c>
      <c r="AI1463" s="50" t="n">
        <f aca="false">AH1463*BY1463</f>
        <v>0</v>
      </c>
      <c r="AJ1463" s="50" t="n">
        <f aca="false">AF1463*G1463</f>
        <v>0</v>
      </c>
      <c r="AK1463" s="50" t="n">
        <f aca="false">ROUNDUP(MAX(J1463/IF(CD1463&gt;0,CD1463,MAX(0.1,N(Cockpit!$C$6))),CG1463)/BV1463,0)*BV1463</f>
        <v>8</v>
      </c>
      <c r="AL1463" s="51" t="n">
        <f aca="false">IF(AI1463&gt;0,J1463/AI1463,-1)</f>
        <v>-1</v>
      </c>
      <c r="AM1463" s="51" t="str">
        <f aca="false">IF(AND(OR(CC1463="L1",CC1463="L23",CC1463="LIFT"),AI1463&gt;0),SUMIFS($AI$7:$AI$1843,$CC$7:$CC$1843,CC1463,$AL$7:$AL$1843,"&gt;"&amp;AL1463)+SUMIFS($AI$7:$AI$1843,$CC$7:$CC$1843,CC1463,$AL$7:$AL$1843,AL1463,$BT$7:$BT$1843,"&lt;="&amp;BT1463),"")</f>
        <v/>
      </c>
      <c r="AN1463" s="58" t="n">
        <f aca="false">IF(AM1463="",0,MAX(0,MIN(1,(IF(CC1463="L1",Parameter!$H$5,IF(CC1463="L23",Parameter!$H$6+Parameter!$H$7,Parameter!$H$5+Parameter!$H$6+Parameter!$H$7))-(AM1463-AI1463))/AI1463)))</f>
        <v>0</v>
      </c>
      <c r="AO1463" s="50" t="n">
        <f aca="false">IF(LEFT(Cockpit!$I$5,1)="A",H1463,IF(CE1463=1,CF1463,IF(LEFT(Cockpit!$I$5,1)="B",AT1463,MAX(AT1463,H1463))))</f>
        <v>8</v>
      </c>
      <c r="AP1463" s="50" t="n">
        <f aca="false">IF(BW1463=1,0,ROUNDUP(AO1463/BV1463,0))</f>
        <v>0</v>
      </c>
      <c r="AQ1463" s="52" t="n">
        <f aca="false">IF(CL1463&gt;0,CL1463*MAX(1,AO1463/X1463),IF(BW1463=1,IF(AO1463&lt;=0,0,CA1463*MAX(1,IF(H1463&gt;0,AO1463/H1463,1))),IF(R1463&gt;0,AP1463/R1463,0))/MAX(0.1,N(Parameter!$M$21)))</f>
        <v>0.15</v>
      </c>
      <c r="AR1463" s="50" t="n">
        <f aca="false">AQ1463*BY1463</f>
        <v>35.25</v>
      </c>
      <c r="AS1463" s="50" t="n">
        <f aca="false">AO1463*G1463</f>
        <v>36192.4</v>
      </c>
      <c r="AT1463" s="50" t="n">
        <f aca="false">ROUNDUP(MAX(J1463/IF(CD1463&gt;0,CD1463,MAX(0.1,N(Cockpit!$I$6))),CG1463)/BV1463,0)*BV1463</f>
        <v>8</v>
      </c>
      <c r="AU1463" s="51" t="n">
        <f aca="false">IF(AR1463&gt;0,J1463/AR1463,-1)</f>
        <v>0.453900709219858</v>
      </c>
      <c r="AV1463" s="51" t="str">
        <f aca="false">IF(AND(OR(CC1463="L1",CC1463="L23",CC1463="LIFT"),AR1463&gt;0),SUMIFS($AR$7:$AR$1843,$CC$7:$CC$1843,CC1463,$AU$7:$AU$1843,"&gt;"&amp;AU1463)+SUMIFS($AR$7:$AR$1843,$CC$7:$CC$1843,CC1463,$AU$7:$AU$1843,AU1463,$BT$7:$BT$1843,"&lt;="&amp;BT1463),"")</f>
        <v/>
      </c>
      <c r="AW1463" s="58" t="n">
        <f aca="false">IF(AV1463="",0,MAX(0,MIN(1,(IF(CC1463="L1",Parameter!$H$5,IF(CC1463="L23",Parameter!$H$6+Parameter!$H$7,Parameter!$H$5+Parameter!$H$6+Parameter!$H$7))-(AV1463-AR1463))/AR1463)))</f>
        <v>0</v>
      </c>
      <c r="AX1463" s="50" t="n">
        <f aca="false">IF(LEFT(Cockpit!$O$5,1)="A",H1463,IF(CE1463=1,CF1463,IF(LEFT(Cockpit!$O$5,1)="B",BC1463,MAX(BC1463,H1463))))</f>
        <v>6</v>
      </c>
      <c r="AY1463" s="50" t="n">
        <f aca="false">IF(BW1463=1,0,ROUNDUP(AX1463/BV1463,0))</f>
        <v>0</v>
      </c>
      <c r="AZ1463" s="52" t="n">
        <f aca="false">IF(CL1463&gt;0,CL1463*MAX(1,AX1463/X1463),IF(BW1463=1,IF(AX1463&lt;=0,0,CA1463*MAX(1,IF(H1463&gt;0,AX1463/H1463,1))),IF(R1463&gt;0,AY1463/R1463,0))/MAX(0.1,N(Parameter!$M$21)))</f>
        <v>0.15</v>
      </c>
      <c r="BA1463" s="50" t="n">
        <f aca="false">AZ1463*BY1463</f>
        <v>35.25</v>
      </c>
      <c r="BB1463" s="50" t="n">
        <f aca="false">AX1463*G1463</f>
        <v>27144.3</v>
      </c>
      <c r="BC1463" s="50" t="n">
        <f aca="false">ROUNDUP(MAX(J1463/IF(CD1463&gt;0,CD1463,MAX(0.1,N(Cockpit!$O$6))),CG1463)/BV1463,0)*BV1463</f>
        <v>6</v>
      </c>
      <c r="BD1463" s="51" t="n">
        <f aca="false">IF(BA1463&gt;0,J1463/BA1463,-1)</f>
        <v>0.453900709219858</v>
      </c>
      <c r="BE1463" s="51" t="str">
        <f aca="false">IF(AND(OR(CC1463="L1",CC1463="L23",CC1463="LIFT"),BA1463&gt;0),SUMIFS($BA$7:$BA$1843,$CC$7:$CC$1843,CC1463,$BD$7:$BD$1843,"&gt;"&amp;BD1463)+SUMIFS($BA$7:$BA$1843,$CC$7:$CC$1843,CC1463,$BD$7:$BD$1843,BD1463,$BT$7:$BT$1843,"&lt;="&amp;BT1463),"")</f>
        <v/>
      </c>
      <c r="BF1463" s="58" t="n">
        <f aca="false">IF(BE1463="",0,MAX(0,MIN(1,(IF(CC1463="L1",Parameter!$H$5,IF(CC1463="L23",Parameter!$H$6+Parameter!$H$7,Parameter!$H$5+Parameter!$H$6+Parameter!$H$7))-(BE1463-BA1463))/BA1463)))</f>
        <v>0</v>
      </c>
      <c r="BG1463" s="48" t="str">
        <f aca="false">IF(AI1463&lt;=0,"",IF(CC1463="Aussen","Aussenlager",IF(CC1463="-","Nicht im Lift",IF(AN1463&gt;=1,"Lift",IF(AN1463&lt;=0,"Aussenlager","teilweise")))))</f>
        <v/>
      </c>
      <c r="BH1463" s="48" t="str">
        <f aca="false">IF(AR1463&lt;=0,"",IF(CC1463="Aussen","Aussenlager",IF(CC1463="-","Nicht im Lift",IF(AW1463&gt;=1,"Lift",IF(AW1463&lt;=0,"Aussenlager","teilweise")))))</f>
        <v>Nicht im Lift</v>
      </c>
      <c r="BI1463" s="48" t="str">
        <f aca="false">IF(BA1463&lt;=0,"",IF(CC1463="Aussen","Aussenlager",IF(CC1463="-","Nicht im Lift",IF(BF1463&gt;=1,"Lift",IF(BF1463&lt;=0,"Aussenlager","teilweise")))))</f>
        <v>Nicht im Lift</v>
      </c>
      <c r="BJ1463" s="48" t="str">
        <f aca="false">IF(A1463="","",IF(BS1463=1,"Neu; ","")&amp;IF(AND(BS1463=0,BN1463&lt;0),"negativer Bestand (Export "&amp;BN1463&amp;"); ","")&amp;IF(J1463&lt;=0,"Kein Verbrauch; ","")&amp;IF(CL1463&gt;0,"Lift "&amp;W1463&amp;" lt. Liftbericht (Fach "&amp;X1463&amp;" Stk); ",IF(BX1463=1,"Gebinde geschätzt ("&amp;T1463&amp;"); ",IF(BW1463=1,"Lose – Tablare geschätzt; ","")))&amp;IF(H1463&gt;AT1463,"Überbestand "&amp;ROUND(H1463-AT1463,0)&amp;" Stk / CHF "&amp;ROUND((H1463-AT1463)*G1463,0)&amp;"; ","")&amp;IF(AND(CE1463=1,CF1463&lt;CG1463),"MAX &lt; MB+LG; ","")&amp;IF(AND(CK1463&gt;0,CJ1463*10&gt;CK1463),"zu hoch für Tablar; ","")&amp;IF(AND(BS1463=0,OR(CE1463=1,AA1463&lt;&gt;"",U1463&lt;&gt;"",V1463&lt;&gt;"",AB1463&lt;&gt;"")),"manuell übersteuert; ","")&amp;IF(AND(BW1463=0,R1463=0),"Gebinde unbekannt / Stellmass fehlt; ","")&amp;IF(AND(BW1463=0,N(V1463)&lt;=0,N(Q1463)&lt;=0),"Menge pro Gebinde fehlt (Ist = 1 Gebinde); ","")&amp;BR1463)</f>
        <v>negativer Bestand (Export -6); Lose – Tablare geschätzt; Neuer Art.</v>
      </c>
      <c r="BK1463" s="48"/>
      <c r="BL1463" s="48"/>
      <c r="BM1463" s="55"/>
      <c r="BN1463" s="50" t="n">
        <v>-6</v>
      </c>
      <c r="BO1463" s="50" t="n">
        <v>0</v>
      </c>
      <c r="BP1463" s="49" t="n">
        <v>-26487.18</v>
      </c>
      <c r="BQ1463" s="50" t="n">
        <v>16</v>
      </c>
      <c r="BR1463" s="48" t="s">
        <v>516</v>
      </c>
      <c r="BS1463" s="53" t="n">
        <v>0</v>
      </c>
      <c r="BT1463" s="53" t="n">
        <v>1463</v>
      </c>
      <c r="BU1463" s="48" t="str">
        <f aca="false">IF(U1463&lt;&gt;"",UPPER(TRIM(U1463)),IF(BX1463=1,UPPER(VLOOKUP(T1463,Parameter!$I$27:$K$29,2,0)),IF(P1463="","LOSE",P1463)))</f>
        <v>LOSE</v>
      </c>
      <c r="BV1463" s="50" t="n">
        <f aca="false">IF(BU1463="LOSE",1,IF(N(V1463)&gt;0,V1463,IF(BX1463=1,MAX(1,N(VLOOKUP(T1463,Parameter!$I$27:$K$29,3,0)),H1463,N(N1463)),IF(N(Q1463)&gt;0,Q1463,MAX(1,H1463)))))</f>
        <v>1</v>
      </c>
      <c r="BW1463" s="53" t="n">
        <f aca="false">IF(BU1463="LOSE",1,0)</f>
        <v>1</v>
      </c>
      <c r="BX1463" s="53" t="n">
        <f aca="false">IF(AND(U1463="",OR(P1463="",P1463="LOSE"),T1463&lt;&gt;"",N(S1463)&lt;=0,ISNUMBER(MATCH(T1463,Parameter!$I$27:$I$29,0))),1,0)</f>
        <v>0</v>
      </c>
      <c r="BY1463" s="53" t="n">
        <f aca="false">IF(CL1463&gt;0,INDEX(Parameter!$H$5:$H$7,W1463)/INDEX(Parameter!$E$5:$E$7,W1463),IF(AND(BW1463=0,N(IFERROR(VLOOKUP(BU1463,'Gebinde-Kategorie'!$A$5:$N$45,14,0),0))&gt;0),VLOOKUP(BU1463,'Gebinde-Kategorie'!$A$5:$N$45,14,0)*10+Parameter!$M$23,Parameter!$M$24))</f>
        <v>235</v>
      </c>
      <c r="BZ1463" s="48" t="str">
        <f aca="false">IF(AND(Parameter!$B$19="Ja",E1463&lt;&gt;"",ISNUMBER(MATCH(E1463,Parameter!$I$35:$I$52,0))),VLOOKUP(E1463,Parameter!$I$35:$J$52,2,0),IFERROR(VLOOKUP(D1463,Parameter!$A$35:$C$64,2,0),"Nein"))</f>
        <v>Nein</v>
      </c>
      <c r="CA1463" s="52" t="n">
        <f aca="false">IF(BW1463=0,0,IF(N(S1463)&gt;0,S1463,IFERROR(VLOOKUP(D1463,Parameter!$A$35:$C$64,3,0)+0,0)))</f>
        <v>0.15</v>
      </c>
      <c r="CB1463" s="48" t="str">
        <f aca="false">IF(AA1463&lt;&gt;"",AA1463,Z1463)</f>
        <v>-</v>
      </c>
      <c r="CC1463" s="48" t="str">
        <f aca="false">IF(OR(CB1463=1,CB1463=2,CB1463=3),IF(Parameter!$E$27="Ja","LIFT",IF(CB1463=1,"L1","L23")),IF(CB1463="Aussen","Aussen","-"))</f>
        <v>-</v>
      </c>
      <c r="CD1463" s="59" t="n">
        <f aca="false">IF(N(AB1463)&gt;0,AB1463,0)</f>
        <v>0</v>
      </c>
      <c r="CE1463" s="53" t="n">
        <f aca="false">IF(ISNUMBER(AE1463),1,0)</f>
        <v>0</v>
      </c>
      <c r="CF1463" s="50" t="n">
        <f aca="false">N(AE1463)</f>
        <v>0</v>
      </c>
      <c r="CG1463" s="50" t="n">
        <f aca="false">N(M1463)+N(N1463)</f>
        <v>1</v>
      </c>
      <c r="CH1463" s="50" t="n">
        <f aca="false">ROUNDUP(H1463/BV1463,0)</f>
        <v>0</v>
      </c>
      <c r="CI1463" s="50" t="n">
        <f aca="false">ROUNDUP(CF1463/BV1463,0)</f>
        <v>0</v>
      </c>
      <c r="CJ1463" s="53" t="n">
        <f aca="false">IF(BW1463=1,0,IFERROR(VLOOKUP(BU1463,'Gebinde-Kategorie'!$A$5:$N$45,5,0)+0,0))</f>
        <v>0</v>
      </c>
      <c r="CK1463" s="53" t="n">
        <f aca="false">IFERROR(IF(OR(CB1463=1,CB1463=2,CB1463=3),N(INDEX(Parameter!$I$5:$I$7,CB1463)),0),0)</f>
        <v>0</v>
      </c>
      <c r="CL1463" s="52" t="n">
        <f aca="false">IF(AND(Parameter!$B$21="Ja",ISNUMBER(W1463),N(X1463)&gt;0),IFERROR(N(INDEX(Parameter!$L$5:$L$7,W1463))*INDEX(Parameter!$E$5:$E$7,W1463)*X1463/SUMIFS($X$7:$X$1843,$W$7:$W$1843,W1463),0),0)</f>
        <v>0</v>
      </c>
    </row>
    <row r="1464" customFormat="false" ht="15" hidden="false" customHeight="false" outlineLevel="0" collapsed="false">
      <c r="A1464" s="48" t="s">
        <v>2563</v>
      </c>
      <c r="B1464" s="48" t="s">
        <v>409</v>
      </c>
      <c r="C1464" s="48" t="s">
        <v>460</v>
      </c>
      <c r="D1464" s="48" t="s">
        <v>177</v>
      </c>
      <c r="E1464" s="48"/>
      <c r="F1464" s="48"/>
      <c r="G1464" s="49" t="n">
        <v>7.96</v>
      </c>
      <c r="H1464" s="50" t="n">
        <f aca="false">MAX(0,IF(AND(Parameter!$B$21="Ja",ISNUMBER(Y1464)),Y1464,IF(Parameter!$B$20="Jahresanfang 2025 + Export",BO1464+BN1464,BN1464)))</f>
        <v>0</v>
      </c>
      <c r="I1464" s="50" t="n">
        <f aca="false">H1464*G1464</f>
        <v>0</v>
      </c>
      <c r="J1464" s="50" t="n">
        <f aca="false">BQ1464*Parameter!$B$18</f>
        <v>6500</v>
      </c>
      <c r="K1464" s="51"/>
      <c r="L1464" s="52"/>
      <c r="M1464" s="50" t="n">
        <v>379</v>
      </c>
      <c r="N1464" s="50" t="n">
        <v>1435</v>
      </c>
      <c r="O1464" s="53"/>
      <c r="P1464" s="48" t="s">
        <v>172</v>
      </c>
      <c r="Q1464" s="50"/>
      <c r="R1464" s="53" t="n">
        <f aca="false">IF(BW1464=1,0,IFERROR(VLOOKUP(BU1464,'Gebinde-Kategorie'!$A$5:$N$45,13,0)+0,0))</f>
        <v>26</v>
      </c>
      <c r="S1464" s="54"/>
      <c r="T1464" s="55" t="s">
        <v>279</v>
      </c>
      <c r="U1464" s="55"/>
      <c r="V1464" s="55"/>
      <c r="W1464" s="48"/>
      <c r="X1464" s="50"/>
      <c r="Y1464" s="50"/>
      <c r="Z1464" s="48" t="n">
        <f aca="false">IF(A1464="","",IF(AND(Parameter!$B$21="Ja",ISNUMBER(W1464)),W1464,IF(BZ1464="2+3",IF(ISNUMBER(SEARCH("grosser Artikel",BR1464)),2,IFERROR(VLOOKUP(BU1464,Parameter!$F$35:$G$64,2,0),2)),IF(OR(BZ1464="Nein",BZ1464=""),"-",BZ1464))))</f>
        <v>3</v>
      </c>
      <c r="AA1464" s="55"/>
      <c r="AB1464" s="56"/>
      <c r="AC1464" s="50" t="n">
        <f aca="false">AT1464</f>
        <v>4305</v>
      </c>
      <c r="AD1464" s="50" t="n">
        <f aca="false">MAX(AT1464,H1464)</f>
        <v>4305</v>
      </c>
      <c r="AE1464" s="57"/>
      <c r="AF1464" s="50" t="n">
        <f aca="false">IF(LEFT(Cockpit!$C$5,1)="A",H1464,IF(CE1464=1,CF1464,IF(LEFT(Cockpit!$C$5,1)="B",AK1464,MAX(AK1464,H1464))))</f>
        <v>0</v>
      </c>
      <c r="AG1464" s="50" t="n">
        <f aca="false">IF(BW1464=1,0,ROUNDUP(AF1464/BV1464,0))</f>
        <v>0</v>
      </c>
      <c r="AH1464" s="52" t="n">
        <f aca="false">IF(CL1464&gt;0,CL1464*MAX(1,AF1464/X1464),IF(BW1464=1,IF(AF1464&lt;=0,0,CA1464*MAX(1,IF(H1464&gt;0,AF1464/H1464,1))),IF(R1464&gt;0,AG1464/R1464,0))/MAX(0.1,N(Parameter!$M$21)))</f>
        <v>0</v>
      </c>
      <c r="AI1464" s="50" t="n">
        <f aca="false">AH1464*BY1464</f>
        <v>0</v>
      </c>
      <c r="AJ1464" s="50" t="n">
        <f aca="false">AF1464*G1464</f>
        <v>0</v>
      </c>
      <c r="AK1464" s="50" t="n">
        <f aca="false">ROUNDUP(MAX(J1464/IF(CD1464&gt;0,CD1464,MAX(0.1,N(Cockpit!$C$6))),CG1464)/BV1464,0)*BV1464</f>
        <v>4305</v>
      </c>
      <c r="AL1464" s="51" t="n">
        <f aca="false">IF(AI1464&gt;0,J1464/AI1464,-1)</f>
        <v>-1</v>
      </c>
      <c r="AM1464" s="51" t="str">
        <f aca="false">IF(AND(OR(CC1464="L1",CC1464="L23",CC1464="LIFT"),AI1464&gt;0),SUMIFS($AI$7:$AI$1843,$CC$7:$CC$1843,CC1464,$AL$7:$AL$1843,"&gt;"&amp;AL1464)+SUMIFS($AI$7:$AI$1843,$CC$7:$CC$1843,CC1464,$AL$7:$AL$1843,AL1464,$BT$7:$BT$1843,"&lt;="&amp;BT1464),"")</f>
        <v/>
      </c>
      <c r="AN1464" s="58" t="n">
        <f aca="false">IF(AM1464="",0,MAX(0,MIN(1,(IF(CC1464="L1",Parameter!$H$5,IF(CC1464="L23",Parameter!$H$6+Parameter!$H$7,Parameter!$H$5+Parameter!$H$6+Parameter!$H$7))-(AM1464-AI1464))/AI1464)))</f>
        <v>0</v>
      </c>
      <c r="AO1464" s="50" t="n">
        <f aca="false">IF(LEFT(Cockpit!$I$5,1)="A",H1464,IF(CE1464=1,CF1464,IF(LEFT(Cockpit!$I$5,1)="B",AT1464,MAX(AT1464,H1464))))</f>
        <v>4305</v>
      </c>
      <c r="AP1464" s="50" t="n">
        <f aca="false">IF(BW1464=1,0,ROUNDUP(AO1464/BV1464,0))</f>
        <v>3</v>
      </c>
      <c r="AQ1464" s="52" t="n">
        <f aca="false">IF(CL1464&gt;0,CL1464*MAX(1,AO1464/X1464),IF(BW1464=1,IF(AO1464&lt;=0,0,CA1464*MAX(1,IF(H1464&gt;0,AO1464/H1464,1))),IF(R1464&gt;0,AP1464/R1464,0))/MAX(0.1,N(Parameter!$M$21)))</f>
        <v>0.115384615384615</v>
      </c>
      <c r="AR1464" s="50" t="n">
        <f aca="false">AQ1464*BY1464</f>
        <v>17.8846153846154</v>
      </c>
      <c r="AS1464" s="50" t="n">
        <f aca="false">AO1464*G1464</f>
        <v>34267.8</v>
      </c>
      <c r="AT1464" s="50" t="n">
        <f aca="false">ROUNDUP(MAX(J1464/IF(CD1464&gt;0,CD1464,MAX(0.1,N(Cockpit!$I$6))),CG1464)/BV1464,0)*BV1464</f>
        <v>4305</v>
      </c>
      <c r="AU1464" s="51" t="n">
        <f aca="false">IF(AR1464&gt;0,J1464/AR1464,-1)</f>
        <v>363.440860215054</v>
      </c>
      <c r="AV1464" s="51" t="n">
        <f aca="false">IF(AND(OR(CC1464="L1",CC1464="L23",CC1464="LIFT"),AR1464&gt;0),SUMIFS($AR$7:$AR$1843,$CC$7:$CC$1843,CC1464,$AU$7:$AU$1843,"&gt;"&amp;AU1464)+SUMIFS($AR$7:$AR$1843,$CC$7:$CC$1843,CC1464,$AU$7:$AU$1843,AU1464,$BT$7:$BT$1843,"&lt;="&amp;BT1464),"")</f>
        <v>139.271062271062</v>
      </c>
      <c r="AW1464" s="58" t="n">
        <f aca="false">IF(AV1464="",0,MAX(0,MIN(1,(IF(CC1464="L1",Parameter!$H$5,IF(CC1464="L23",Parameter!$H$6+Parameter!$H$7,Parameter!$H$5+Parameter!$H$6+Parameter!$H$7))-(AV1464-AR1464))/AR1464)))</f>
        <v>1</v>
      </c>
      <c r="AX1464" s="50" t="n">
        <f aca="false">IF(LEFT(Cockpit!$O$5,1)="A",H1464,IF(CE1464=1,CF1464,IF(LEFT(Cockpit!$O$5,1)="B",BC1464,MAX(BC1464,H1464))))</f>
        <v>2870</v>
      </c>
      <c r="AY1464" s="50" t="n">
        <f aca="false">IF(BW1464=1,0,ROUNDUP(AX1464/BV1464,0))</f>
        <v>2</v>
      </c>
      <c r="AZ1464" s="52" t="n">
        <f aca="false">IF(CL1464&gt;0,CL1464*MAX(1,AX1464/X1464),IF(BW1464=1,IF(AX1464&lt;=0,0,CA1464*MAX(1,IF(H1464&gt;0,AX1464/H1464,1))),IF(R1464&gt;0,AY1464/R1464,0))/MAX(0.1,N(Parameter!$M$21)))</f>
        <v>0.0769230769230769</v>
      </c>
      <c r="BA1464" s="50" t="n">
        <f aca="false">AZ1464*BY1464</f>
        <v>11.9230769230769</v>
      </c>
      <c r="BB1464" s="50" t="n">
        <f aca="false">AX1464*G1464</f>
        <v>22845.2</v>
      </c>
      <c r="BC1464" s="50" t="n">
        <f aca="false">ROUNDUP(MAX(J1464/IF(CD1464&gt;0,CD1464,MAX(0.1,N(Cockpit!$O$6))),CG1464)/BV1464,0)*BV1464</f>
        <v>2870</v>
      </c>
      <c r="BD1464" s="51" t="n">
        <f aca="false">IF(BA1464&gt;0,J1464/BA1464,-1)</f>
        <v>545.161290322581</v>
      </c>
      <c r="BE1464" s="51" t="n">
        <f aca="false">IF(AND(OR(CC1464="L1",CC1464="L23",CC1464="LIFT"),BA1464&gt;0),SUMIFS($BA$7:$BA$1843,$CC$7:$CC$1843,CC1464,$BD$7:$BD$1843,"&gt;"&amp;BD1464)+SUMIFS($BA$7:$BA$1843,$CC$7:$CC$1843,CC1464,$BD$7:$BD$1843,BD1464,$BT$7:$BT$1843,"&lt;="&amp;BT1464),"")</f>
        <v>91.3035714285714</v>
      </c>
      <c r="BF1464" s="58" t="n">
        <f aca="false">IF(BE1464="",0,MAX(0,MIN(1,(IF(CC1464="L1",Parameter!$H$5,IF(CC1464="L23",Parameter!$H$6+Parameter!$H$7,Parameter!$H$5+Parameter!$H$6+Parameter!$H$7))-(BE1464-BA1464))/BA1464)))</f>
        <v>1</v>
      </c>
      <c r="BG1464" s="48" t="str">
        <f aca="false">IF(AI1464&lt;=0,"",IF(CC1464="Aussen","Aussenlager",IF(CC1464="-","Nicht im Lift",IF(AN1464&gt;=1,"Lift",IF(AN1464&lt;=0,"Aussenlager","teilweise")))))</f>
        <v/>
      </c>
      <c r="BH1464" s="48" t="str">
        <f aca="false">IF(AR1464&lt;=0,"",IF(CC1464="Aussen","Aussenlager",IF(CC1464="-","Nicht im Lift",IF(AW1464&gt;=1,"Lift",IF(AW1464&lt;=0,"Aussenlager","teilweise")))))</f>
        <v>Lift</v>
      </c>
      <c r="BI1464" s="48" t="str">
        <f aca="false">IF(BA1464&lt;=0,"",IF(CC1464="Aussen","Aussenlager",IF(CC1464="-","Nicht im Lift",IF(BF1464&gt;=1,"Lift",IF(BF1464&lt;=0,"Aussenlager","teilweise")))))</f>
        <v>Lift</v>
      </c>
      <c r="BJ1464" s="48" t="str">
        <f aca="false">IF(A1464="","",IF(BS1464=1,"Neu; ","")&amp;IF(AND(BS1464=0,BN1464&lt;0),"negativer Bestand (Export "&amp;BN1464&amp;"); ","")&amp;IF(J1464&lt;=0,"Kein Verbrauch; ","")&amp;IF(CL1464&gt;0,"Lift "&amp;W1464&amp;" lt. Liftbericht (Fach "&amp;X1464&amp;" Stk); ",IF(BX1464=1,"Gebinde geschätzt ("&amp;T1464&amp;"); ",IF(BW1464=1,"Lose – Tablare geschätzt; ","")))&amp;IF(H1464&gt;AT1464,"Überbestand "&amp;ROUND(H1464-AT1464,0)&amp;" Stk / CHF "&amp;ROUND((H1464-AT1464)*G1464,0)&amp;"; ","")&amp;IF(AND(CE1464=1,CF1464&lt;CG1464),"MAX &lt; MB+LG; ","")&amp;IF(AND(CK1464&gt;0,CJ1464*10&gt;CK1464),"zu hoch für Tablar; ","")&amp;IF(AND(BS1464=0,OR(CE1464=1,AA1464&lt;&gt;"",U1464&lt;&gt;"",V1464&lt;&gt;"",AB1464&lt;&gt;"")),"manuell übersteuert; ","")&amp;IF(AND(BW1464=0,R1464=0),"Gebinde unbekannt / Stellmass fehlt; ","")&amp;IF(AND(BW1464=0,N(V1464)&lt;=0,N(Q1464)&lt;=0),"Menge pro Gebinde fehlt (Ist = 1 Gebinde); ","")&amp;BR1464)</f>
        <v>negativer Bestand (Export -3000); Gebinde geschätzt (Klein); Menge pro Gebinde fehlt (Ist = 1 Gebinde); </v>
      </c>
      <c r="BK1464" s="48"/>
      <c r="BL1464" s="48"/>
      <c r="BM1464" s="55"/>
      <c r="BN1464" s="50" t="n">
        <v>-3000</v>
      </c>
      <c r="BO1464" s="50" t="n">
        <v>0</v>
      </c>
      <c r="BP1464" s="49" t="n">
        <v>-26550</v>
      </c>
      <c r="BQ1464" s="50" t="n">
        <v>6500</v>
      </c>
      <c r="BR1464" s="48"/>
      <c r="BS1464" s="53" t="n">
        <v>0</v>
      </c>
      <c r="BT1464" s="53" t="n">
        <v>1464</v>
      </c>
      <c r="BU1464" s="48" t="str">
        <f aca="false">IF(U1464&lt;&gt;"",UPPER(TRIM(U1464)),IF(BX1464=1,UPPER(VLOOKUP(T1464,Parameter!$I$27:$K$29,2,0)),IF(P1464="","LOSE",P1464)))</f>
        <v>S51</v>
      </c>
      <c r="BV1464" s="50" t="n">
        <f aca="false">IF(BU1464="LOSE",1,IF(N(V1464)&gt;0,V1464,IF(BX1464=1,MAX(1,N(VLOOKUP(T1464,Parameter!$I$27:$K$29,3,0)),H1464,N(N1464)),IF(N(Q1464)&gt;0,Q1464,MAX(1,H1464)))))</f>
        <v>1435</v>
      </c>
      <c r="BW1464" s="53" t="n">
        <f aca="false">IF(BU1464="LOSE",1,0)</f>
        <v>0</v>
      </c>
      <c r="BX1464" s="53" t="n">
        <f aca="false">IF(AND(U1464="",OR(P1464="",P1464="LOSE"),T1464&lt;&gt;"",N(S1464)&lt;=0,ISNUMBER(MATCH(T1464,Parameter!$I$27:$I$29,0))),1,0)</f>
        <v>1</v>
      </c>
      <c r="BY1464" s="53" t="n">
        <f aca="false">IF(CL1464&gt;0,INDEX(Parameter!$H$5:$H$7,W1464)/INDEX(Parameter!$E$5:$E$7,W1464),IF(AND(BW1464=0,N(IFERROR(VLOOKUP(BU1464,'Gebinde-Kategorie'!$A$5:$N$45,14,0),0))&gt;0),VLOOKUP(BU1464,'Gebinde-Kategorie'!$A$5:$N$45,14,0)*10+Parameter!$M$23,Parameter!$M$24))</f>
        <v>155</v>
      </c>
      <c r="BZ1464" s="48" t="str">
        <f aca="false">IF(AND(Parameter!$B$19="Ja",E1464&lt;&gt;"",ISNUMBER(MATCH(E1464,Parameter!$I$35:$I$52,0))),VLOOKUP(E1464,Parameter!$I$35:$J$52,2,0),IFERROR(VLOOKUP(D1464,Parameter!$A$35:$C$64,2,0),"Nein"))</f>
        <v>2+3</v>
      </c>
      <c r="CA1464" s="52" t="n">
        <f aca="false">IF(BW1464=0,0,IF(N(S1464)&gt;0,S1464,IFERROR(VLOOKUP(D1464,Parameter!$A$35:$C$64,3,0)+0,0)))</f>
        <v>0</v>
      </c>
      <c r="CB1464" s="48" t="n">
        <f aca="false">IF(AA1464&lt;&gt;"",AA1464,Z1464)</f>
        <v>3</v>
      </c>
      <c r="CC1464" s="48" t="str">
        <f aca="false">IF(OR(CB1464=1,CB1464=2,CB1464=3),IF(Parameter!$E$27="Ja","LIFT",IF(CB1464=1,"L1","L23")),IF(CB1464="Aussen","Aussen","-"))</f>
        <v>LIFT</v>
      </c>
      <c r="CD1464" s="59" t="n">
        <f aca="false">IF(N(AB1464)&gt;0,AB1464,0)</f>
        <v>0</v>
      </c>
      <c r="CE1464" s="53" t="n">
        <f aca="false">IF(ISNUMBER(AE1464),1,0)</f>
        <v>0</v>
      </c>
      <c r="CF1464" s="50" t="n">
        <f aca="false">N(AE1464)</f>
        <v>0</v>
      </c>
      <c r="CG1464" s="50" t="n">
        <f aca="false">N(M1464)+N(N1464)</f>
        <v>1814</v>
      </c>
      <c r="CH1464" s="50" t="n">
        <f aca="false">ROUNDUP(H1464/BV1464,0)</f>
        <v>0</v>
      </c>
      <c r="CI1464" s="50" t="n">
        <f aca="false">ROUNDUP(CF1464/BV1464,0)</f>
        <v>0</v>
      </c>
      <c r="CJ1464" s="53" t="n">
        <f aca="false">IF(BW1464=1,0,IFERROR(VLOOKUP(BU1464,'Gebinde-Kategorie'!$A$5:$N$45,5,0)+0,0))</f>
        <v>11</v>
      </c>
      <c r="CK1464" s="53" t="n">
        <f aca="false">IFERROR(IF(OR(CB1464=1,CB1464=2,CB1464=3),N(INDEX(Parameter!$I$5:$I$7,CB1464)),0),0)</f>
        <v>0</v>
      </c>
      <c r="CL1464" s="52" t="n">
        <f aca="false">IF(AND(Parameter!$B$21="Ja",ISNUMBER(W1464),N(X1464)&gt;0),IFERROR(N(INDEX(Parameter!$L$5:$L$7,W1464))*INDEX(Parameter!$E$5:$E$7,W1464)*X1464/SUMIFS($X$7:$X$1843,$W$7:$W$1843,W1464),0),0)</f>
        <v>0</v>
      </c>
    </row>
    <row r="1465" customFormat="false" ht="15" hidden="false" customHeight="false" outlineLevel="0" collapsed="false">
      <c r="A1465" s="48" t="s">
        <v>2564</v>
      </c>
      <c r="B1465" s="48" t="s">
        <v>167</v>
      </c>
      <c r="C1465" s="48" t="s">
        <v>168</v>
      </c>
      <c r="D1465" s="48" t="s">
        <v>169</v>
      </c>
      <c r="E1465" s="48" t="s">
        <v>170</v>
      </c>
      <c r="F1465" s="48"/>
      <c r="G1465" s="49" t="n">
        <v>4042.46</v>
      </c>
      <c r="H1465" s="50" t="n">
        <f aca="false">MAX(0,IF(AND(Parameter!$B$21="Ja",ISNUMBER(Y1465)),Y1465,IF(Parameter!$B$20="Jahresanfang 2025 + Export",BO1465+BN1465,BN1465)))</f>
        <v>8</v>
      </c>
      <c r="I1465" s="50" t="n">
        <f aca="false">H1465*G1465</f>
        <v>32339.68</v>
      </c>
      <c r="J1465" s="50" t="n">
        <f aca="false">BQ1465*Parameter!$B$18</f>
        <v>71</v>
      </c>
      <c r="K1465" s="51"/>
      <c r="L1465" s="52"/>
      <c r="M1465" s="50" t="n">
        <v>4</v>
      </c>
      <c r="N1465" s="50" t="n">
        <v>8</v>
      </c>
      <c r="O1465" s="53"/>
      <c r="P1465" s="48" t="s">
        <v>172</v>
      </c>
      <c r="Q1465" s="50"/>
      <c r="R1465" s="53" t="n">
        <f aca="false">IF(BW1465=1,0,IFERROR(VLOOKUP(BU1465,'Gebinde-Kategorie'!$A$5:$N$45,13,0)+0,0))</f>
        <v>0</v>
      </c>
      <c r="S1465" s="54"/>
      <c r="T1465" s="55"/>
      <c r="U1465" s="55"/>
      <c r="V1465" s="55"/>
      <c r="W1465" s="48" t="n">
        <v>1</v>
      </c>
      <c r="X1465" s="50" t="n">
        <v>11</v>
      </c>
      <c r="Y1465" s="50" t="n">
        <v>8</v>
      </c>
      <c r="Z1465" s="48" t="n">
        <f aca="false">IF(A1465="","",IF(AND(Parameter!$B$21="Ja",ISNUMBER(W1465)),W1465,IF(BZ1465="2+3",IF(ISNUMBER(SEARCH("grosser Artikel",BR1465)),2,IFERROR(VLOOKUP(BU1465,Parameter!$F$35:$G$64,2,0),2)),IF(OR(BZ1465="Nein",BZ1465=""),"-",BZ1465))))</f>
        <v>1</v>
      </c>
      <c r="AA1465" s="55"/>
      <c r="AB1465" s="56"/>
      <c r="AC1465" s="50" t="n">
        <f aca="false">AT1465</f>
        <v>36</v>
      </c>
      <c r="AD1465" s="50" t="n">
        <f aca="false">MAX(AT1465,H1465)</f>
        <v>36</v>
      </c>
      <c r="AE1465" s="57"/>
      <c r="AF1465" s="50" t="n">
        <f aca="false">IF(LEFT(Cockpit!$C$5,1)="A",H1465,IF(CE1465=1,CF1465,IF(LEFT(Cockpit!$C$5,1)="B",AK1465,MAX(AK1465,H1465))))</f>
        <v>8</v>
      </c>
      <c r="AG1465" s="50" t="n">
        <f aca="false">IF(BW1465=1,0,ROUNDUP(AF1465/BV1465,0))</f>
        <v>0</v>
      </c>
      <c r="AH1465" s="52" t="n">
        <f aca="false">IF(CL1465&gt;0,CL1465*MAX(1,AF1465/X1465),IF(BW1465=1,IF(AF1465&lt;=0,0,CA1465*MAX(1,IF(H1465&gt;0,AF1465/H1465,1))),IF(R1465&gt;0,AG1465/R1465,0))/MAX(0.1,N(Parameter!$M$21)))</f>
        <v>0.880414312617702</v>
      </c>
      <c r="AI1465" s="50" t="n">
        <f aca="false">AH1465*BY1465</f>
        <v>209.538606403013</v>
      </c>
      <c r="AJ1465" s="50" t="n">
        <f aca="false">AF1465*G1465</f>
        <v>32339.68</v>
      </c>
      <c r="AK1465" s="50" t="n">
        <f aca="false">ROUNDUP(MAX(J1465/IF(CD1465&gt;0,CD1465,MAX(0.1,N(Cockpit!$C$6))),CG1465)/BV1465,0)*BV1465</f>
        <v>36</v>
      </c>
      <c r="AL1465" s="51" t="n">
        <f aca="false">IF(AI1465&gt;0,J1465/AI1465,-1)</f>
        <v>0.338839707005797</v>
      </c>
      <c r="AM1465" s="51" t="n">
        <f aca="false">IF(AND(OR(CC1465="L1",CC1465="L23",CC1465="LIFT"),AI1465&gt;0),SUMIFS($AI$7:$AI$1843,$CC$7:$CC$1843,CC1465,$AL$7:$AL$1843,"&gt;"&amp;AL1465)+SUMIFS($AI$7:$AI$1843,$CC$7:$CC$1843,CC1465,$AL$7:$AL$1843,AL1465,$BT$7:$BT$1843,"&lt;="&amp;BT1465),"")</f>
        <v>11144.2885779475</v>
      </c>
      <c r="AN1465" s="58" t="n">
        <f aca="false">IF(AM1465="",0,MAX(0,MIN(1,(IF(CC1465="L1",Parameter!$H$5,IF(CC1465="L23",Parameter!$H$6+Parameter!$H$7,Parameter!$H$5+Parameter!$H$6+Parameter!$H$7))-(AM1465-AI1465))/AI1465)))</f>
        <v>1</v>
      </c>
      <c r="AO1465" s="50" t="n">
        <f aca="false">IF(LEFT(Cockpit!$I$5,1)="A",H1465,IF(CE1465=1,CF1465,IF(LEFT(Cockpit!$I$5,1)="B",AT1465,MAX(AT1465,H1465))))</f>
        <v>36</v>
      </c>
      <c r="AP1465" s="50" t="n">
        <f aca="false">IF(BW1465=1,0,ROUNDUP(AO1465/BV1465,0))</f>
        <v>0</v>
      </c>
      <c r="AQ1465" s="52" t="n">
        <f aca="false">IF(CL1465&gt;0,CL1465*MAX(1,AO1465/X1465),IF(BW1465=1,IF(AO1465&lt;=0,0,CA1465*MAX(1,IF(H1465&gt;0,AO1465/H1465,1))),IF(R1465&gt;0,AP1465/R1465,0))/MAX(0.1,N(Parameter!$M$21)))</f>
        <v>2.88135593220339</v>
      </c>
      <c r="AR1465" s="50" t="n">
        <f aca="false">AQ1465*BY1465</f>
        <v>685.762711864407</v>
      </c>
      <c r="AS1465" s="50" t="n">
        <f aca="false">AO1465*G1465</f>
        <v>145528.56</v>
      </c>
      <c r="AT1465" s="50" t="n">
        <f aca="false">ROUNDUP(MAX(J1465/IF(CD1465&gt;0,CD1465,MAX(0.1,N(Cockpit!$I$6))),CG1465)/BV1465,0)*BV1465</f>
        <v>36</v>
      </c>
      <c r="AU1465" s="51" t="n">
        <f aca="false">IF(AR1465&gt;0,J1465/AR1465,-1)</f>
        <v>0.103534354918438</v>
      </c>
      <c r="AV1465" s="51" t="n">
        <f aca="false">IF(AND(OR(CC1465="L1",CC1465="L23",CC1465="LIFT"),AR1465&gt;0),SUMIFS($AR$7:$AR$1843,$CC$7:$CC$1843,CC1465,$AU$7:$AU$1843,"&gt;"&amp;AU1465)+SUMIFS($AR$7:$AR$1843,$CC$7:$CC$1843,CC1465,$AU$7:$AU$1843,AU1465,$BT$7:$BT$1843,"&lt;="&amp;BT1465),"")</f>
        <v>21987.513205956</v>
      </c>
      <c r="AW1465" s="58" t="n">
        <f aca="false">IF(AV1465="",0,MAX(0,MIN(1,(IF(CC1465="L1",Parameter!$H$5,IF(CC1465="L23",Parameter!$H$6+Parameter!$H$7,Parameter!$H$5+Parameter!$H$6+Parameter!$H$7))-(AV1465-AR1465))/AR1465)))</f>
        <v>1</v>
      </c>
      <c r="AX1465" s="50" t="n">
        <f aca="false">IF(LEFT(Cockpit!$O$5,1)="A",H1465,IF(CE1465=1,CF1465,IF(LEFT(Cockpit!$O$5,1)="B",BC1465,MAX(BC1465,H1465))))</f>
        <v>24</v>
      </c>
      <c r="AY1465" s="50" t="n">
        <f aca="false">IF(BW1465=1,0,ROUNDUP(AX1465/BV1465,0))</f>
        <v>0</v>
      </c>
      <c r="AZ1465" s="52" t="n">
        <f aca="false">IF(CL1465&gt;0,CL1465*MAX(1,AX1465/X1465),IF(BW1465=1,IF(AX1465&lt;=0,0,CA1465*MAX(1,IF(H1465&gt;0,AX1465/H1465,1))),IF(R1465&gt;0,AY1465/R1465,0))/MAX(0.1,N(Parameter!$M$21)))</f>
        <v>1.92090395480226</v>
      </c>
      <c r="BA1465" s="50" t="n">
        <f aca="false">AZ1465*BY1465</f>
        <v>457.175141242938</v>
      </c>
      <c r="BB1465" s="50" t="n">
        <f aca="false">AX1465*G1465</f>
        <v>97019.04</v>
      </c>
      <c r="BC1465" s="50" t="n">
        <f aca="false">ROUNDUP(MAX(J1465/IF(CD1465&gt;0,CD1465,MAX(0.1,N(Cockpit!$O$6))),CG1465)/BV1465,0)*BV1465</f>
        <v>24</v>
      </c>
      <c r="BD1465" s="51" t="n">
        <f aca="false">IF(BA1465&gt;0,J1465/BA1465,-1)</f>
        <v>0.155301532377657</v>
      </c>
      <c r="BE1465" s="51" t="n">
        <f aca="false">IF(AND(OR(CC1465="L1",CC1465="L23",CC1465="LIFT"),BA1465&gt;0),SUMIFS($BA$7:$BA$1843,$CC$7:$CC$1843,CC1465,$BD$7:$BD$1843,"&gt;"&amp;BD1465)+SUMIFS($BA$7:$BA$1843,$CC$7:$CC$1843,CC1465,$BD$7:$BD$1843,BD1465,$BT$7:$BT$1843,"&lt;="&amp;BT1465),"")</f>
        <v>18247.326240144</v>
      </c>
      <c r="BF1465" s="58" t="n">
        <f aca="false">IF(BE1465="",0,MAX(0,MIN(1,(IF(CC1465="L1",Parameter!$H$5,IF(CC1465="L23",Parameter!$H$6+Parameter!$H$7,Parameter!$H$5+Parameter!$H$6+Parameter!$H$7))-(BE1465-BA1465))/BA1465)))</f>
        <v>1</v>
      </c>
      <c r="BG1465" s="48" t="str">
        <f aca="false">IF(AI1465&lt;=0,"",IF(CC1465="Aussen","Aussenlager",IF(CC1465="-","Nicht im Lift",IF(AN1465&gt;=1,"Lift",IF(AN1465&lt;=0,"Aussenlager","teilweise")))))</f>
        <v>Lift</v>
      </c>
      <c r="BH1465" s="48" t="str">
        <f aca="false">IF(AR1465&lt;=0,"",IF(CC1465="Aussen","Aussenlager",IF(CC1465="-","Nicht im Lift",IF(AW1465&gt;=1,"Lift",IF(AW1465&lt;=0,"Aussenlager","teilweise")))))</f>
        <v>Lift</v>
      </c>
      <c r="BI1465" s="48" t="str">
        <f aca="false">IF(BA1465&lt;=0,"",IF(CC1465="Aussen","Aussenlager",IF(CC1465="-","Nicht im Lift",IF(BF1465&gt;=1,"Lift",IF(BF1465&lt;=0,"Aussenlager","teilweise")))))</f>
        <v>Lift</v>
      </c>
      <c r="BJ1465" s="48" t="str">
        <f aca="false">IF(A1465="","",IF(BS1465=1,"Neu; ","")&amp;IF(AND(BS1465=0,BN1465&lt;0),"negativer Bestand (Export "&amp;BN1465&amp;"); ","")&amp;IF(J1465&lt;=0,"Kein Verbrauch; ","")&amp;IF(CL1465&gt;0,"Lift "&amp;W1465&amp;" lt. Liftbericht (Fach "&amp;X1465&amp;" Stk); ",IF(BX1465=1,"Gebinde geschätzt ("&amp;T1465&amp;"); ",IF(BW1465=1,"Lose – Tablare geschätzt; ","")))&amp;IF(H1465&gt;AT1465,"Überbestand "&amp;ROUND(H1465-AT1465,0)&amp;" Stk / CHF "&amp;ROUND((H1465-AT1465)*G1465,0)&amp;"; ","")&amp;IF(AND(CE1465=1,CF1465&lt;CG1465),"MAX &lt; MB+LG; ","")&amp;IF(AND(CK1465&gt;0,CJ1465*10&gt;CK1465),"zu hoch für Tablar; ","")&amp;IF(AND(BS1465=0,OR(CE1465=1,AA1465&lt;&gt;"",U1465&lt;&gt;"",V1465&lt;&gt;"",AB1465&lt;&gt;"")),"manuell übersteuert; ","")&amp;IF(AND(BW1465=0,R1465=0),"Gebinde unbekannt / Stellmass fehlt; ","")&amp;IF(AND(BW1465=0,N(V1465)&lt;=0,N(Q1465)&lt;=0),"Menge pro Gebinde fehlt (Ist = 1 Gebinde); ","")&amp;BR1465)</f>
        <v>negativer Bestand (Export -4); Lift 1 lt. Liftbericht (Fach 11 Stk); </v>
      </c>
      <c r="BK1465" s="48"/>
      <c r="BL1465" s="48"/>
      <c r="BM1465" s="55"/>
      <c r="BN1465" s="50" t="n">
        <v>-4</v>
      </c>
      <c r="BO1465" s="50" t="n">
        <v>0</v>
      </c>
      <c r="BP1465" s="49" t="n">
        <v>-28135.8199999999</v>
      </c>
      <c r="BQ1465" s="50" t="n">
        <v>71</v>
      </c>
      <c r="BR1465" s="48"/>
      <c r="BS1465" s="53" t="n">
        <v>0</v>
      </c>
      <c r="BT1465" s="53" t="n">
        <v>1465</v>
      </c>
      <c r="BU1465" s="48" t="str">
        <f aca="false">IF(U1465&lt;&gt;"",UPPER(TRIM(U1465)),IF(BX1465=1,UPPER(VLOOKUP(T1465,Parameter!$I$27:$K$29,2,0)),IF(P1465="","LOSE",P1465)))</f>
        <v>LOSE</v>
      </c>
      <c r="BV1465" s="50" t="n">
        <f aca="false">IF(BU1465="LOSE",1,IF(N(V1465)&gt;0,V1465,IF(BX1465=1,MAX(1,N(VLOOKUP(T1465,Parameter!$I$27:$K$29,3,0)),H1465,N(N1465)),IF(N(Q1465)&gt;0,Q1465,MAX(1,H1465)))))</f>
        <v>1</v>
      </c>
      <c r="BW1465" s="53" t="n">
        <f aca="false">IF(BU1465="LOSE",1,0)</f>
        <v>1</v>
      </c>
      <c r="BX1465" s="53" t="n">
        <f aca="false">IF(AND(U1465="",OR(P1465="",P1465="LOSE"),T1465&lt;&gt;"",N(S1465)&lt;=0,ISNUMBER(MATCH(T1465,Parameter!$I$27:$I$29,0))),1,0)</f>
        <v>0</v>
      </c>
      <c r="BY1465" s="53" t="n">
        <f aca="false">IF(CL1465&gt;0,INDEX(Parameter!$H$5:$H$7,W1465)/INDEX(Parameter!$E$5:$E$7,W1465),IF(AND(BW1465=0,N(IFERROR(VLOOKUP(BU1465,'Gebinde-Kategorie'!$A$5:$N$45,14,0),0))&gt;0),VLOOKUP(BU1465,'Gebinde-Kategorie'!$A$5:$N$45,14,0)*10+Parameter!$M$23,Parameter!$M$24))</f>
        <v>238</v>
      </c>
      <c r="BZ1465" s="48" t="n">
        <f aca="false">IF(AND(Parameter!$B$19="Ja",E1465&lt;&gt;"",ISNUMBER(MATCH(E1465,Parameter!$I$35:$I$52,0))),VLOOKUP(E1465,Parameter!$I$35:$J$52,2,0),IFERROR(VLOOKUP(D1465,Parameter!$A$35:$C$64,2,0),"Nein"))</f>
        <v>1</v>
      </c>
      <c r="CA1465" s="52" t="n">
        <f aca="false">IF(BW1465=0,0,IF(N(S1465)&gt;0,S1465,IFERROR(VLOOKUP(D1465,Parameter!$A$35:$C$64,3,0)+0,0)))</f>
        <v>1</v>
      </c>
      <c r="CB1465" s="48" t="n">
        <f aca="false">IF(AA1465&lt;&gt;"",AA1465,Z1465)</f>
        <v>1</v>
      </c>
      <c r="CC1465" s="48" t="str">
        <f aca="false">IF(OR(CB1465=1,CB1465=2,CB1465=3),IF(Parameter!$E$27="Ja","LIFT",IF(CB1465=1,"L1","L23")),IF(CB1465="Aussen","Aussen","-"))</f>
        <v>LIFT</v>
      </c>
      <c r="CD1465" s="59" t="n">
        <f aca="false">IF(N(AB1465)&gt;0,AB1465,0)</f>
        <v>0</v>
      </c>
      <c r="CE1465" s="53" t="n">
        <f aca="false">IF(ISNUMBER(AE1465),1,0)</f>
        <v>0</v>
      </c>
      <c r="CF1465" s="50" t="n">
        <f aca="false">N(AE1465)</f>
        <v>0</v>
      </c>
      <c r="CG1465" s="50" t="n">
        <f aca="false">N(M1465)+N(N1465)</f>
        <v>12</v>
      </c>
      <c r="CH1465" s="50" t="n">
        <f aca="false">ROUNDUP(H1465/BV1465,0)</f>
        <v>8</v>
      </c>
      <c r="CI1465" s="50" t="n">
        <f aca="false">ROUNDUP(CF1465/BV1465,0)</f>
        <v>0</v>
      </c>
      <c r="CJ1465" s="53" t="n">
        <f aca="false">IF(BW1465=1,0,IFERROR(VLOOKUP(BU1465,'Gebinde-Kategorie'!$A$5:$N$45,5,0)+0,0))</f>
        <v>0</v>
      </c>
      <c r="CK1465" s="53" t="n">
        <f aca="false">IFERROR(IF(OR(CB1465=1,CB1465=2,CB1465=3),N(INDEX(Parameter!$I$5:$I$7,CB1465)),0),0)</f>
        <v>0</v>
      </c>
      <c r="CL1465" s="52" t="n">
        <f aca="false">IF(AND(Parameter!$B$21="Ja",ISNUMBER(W1465),N(X1465)&gt;0),IFERROR(N(INDEX(Parameter!$L$5:$L$7,W1465))*INDEX(Parameter!$E$5:$E$7,W1465)*X1465/SUMIFS($X$7:$X$1843,$W$7:$W$1843,W1465),0),0)</f>
        <v>0.880414312617702</v>
      </c>
    </row>
    <row r="1466" customFormat="false" ht="15" hidden="false" customHeight="false" outlineLevel="0" collapsed="false">
      <c r="A1466" s="48" t="s">
        <v>2565</v>
      </c>
      <c r="B1466" s="48" t="s">
        <v>185</v>
      </c>
      <c r="C1466" s="48" t="s">
        <v>460</v>
      </c>
      <c r="D1466" s="48" t="s">
        <v>177</v>
      </c>
      <c r="E1466" s="48" t="s">
        <v>170</v>
      </c>
      <c r="F1466" s="48"/>
      <c r="G1466" s="49" t="n">
        <v>4933</v>
      </c>
      <c r="H1466" s="50" t="n">
        <f aca="false">MAX(0,IF(AND(Parameter!$B$21="Ja",ISNUMBER(Y1466)),Y1466,IF(Parameter!$B$20="Jahresanfang 2025 + Export",BO1466+BN1466,BN1466)))</f>
        <v>0</v>
      </c>
      <c r="I1466" s="50" t="n">
        <f aca="false">H1466*G1466</f>
        <v>0</v>
      </c>
      <c r="J1466" s="50" t="n">
        <f aca="false">BQ1466*Parameter!$B$18</f>
        <v>23</v>
      </c>
      <c r="K1466" s="51"/>
      <c r="L1466" s="52"/>
      <c r="M1466" s="50" t="n">
        <v>0</v>
      </c>
      <c r="N1466" s="50" t="n">
        <v>3</v>
      </c>
      <c r="O1466" s="53"/>
      <c r="P1466" s="48" t="s">
        <v>172</v>
      </c>
      <c r="Q1466" s="50"/>
      <c r="R1466" s="53" t="n">
        <f aca="false">IF(BW1466=1,0,IFERROR(VLOOKUP(BU1466,'Gebinde-Kategorie'!$A$5:$N$45,13,0)+0,0))</f>
        <v>12</v>
      </c>
      <c r="S1466" s="54"/>
      <c r="T1466" s="55" t="s">
        <v>183</v>
      </c>
      <c r="U1466" s="55"/>
      <c r="V1466" s="55"/>
      <c r="W1466" s="48"/>
      <c r="X1466" s="50"/>
      <c r="Y1466" s="50"/>
      <c r="Z1466" s="48" t="n">
        <f aca="false">IF(A1466="","",IF(AND(Parameter!$B$21="Ja",ISNUMBER(W1466)),W1466,IF(BZ1466="2+3",IF(ISNUMBER(SEARCH("grosser Artikel",BR1466)),2,IFERROR(VLOOKUP(BU1466,Parameter!$F$35:$G$64,2,0),2)),IF(OR(BZ1466="Nein",BZ1466=""),"-",BZ1466))))</f>
        <v>1</v>
      </c>
      <c r="AA1466" s="55"/>
      <c r="AB1466" s="56"/>
      <c r="AC1466" s="50" t="n">
        <f aca="false">AT1466</f>
        <v>12</v>
      </c>
      <c r="AD1466" s="50" t="n">
        <f aca="false">MAX(AT1466,H1466)</f>
        <v>12</v>
      </c>
      <c r="AE1466" s="57"/>
      <c r="AF1466" s="50" t="n">
        <f aca="false">IF(LEFT(Cockpit!$C$5,1)="A",H1466,IF(CE1466=1,CF1466,IF(LEFT(Cockpit!$C$5,1)="B",AK1466,MAX(AK1466,H1466))))</f>
        <v>0</v>
      </c>
      <c r="AG1466" s="50" t="n">
        <f aca="false">IF(BW1466=1,0,ROUNDUP(AF1466/BV1466,0))</f>
        <v>0</v>
      </c>
      <c r="AH1466" s="52" t="n">
        <f aca="false">IF(CL1466&gt;0,CL1466*MAX(1,AF1466/X1466),IF(BW1466=1,IF(AF1466&lt;=0,0,CA1466*MAX(1,IF(H1466&gt;0,AF1466/H1466,1))),IF(R1466&gt;0,AG1466/R1466,0))/MAX(0.1,N(Parameter!$M$21)))</f>
        <v>0</v>
      </c>
      <c r="AI1466" s="50" t="n">
        <f aca="false">AH1466*BY1466</f>
        <v>0</v>
      </c>
      <c r="AJ1466" s="50" t="n">
        <f aca="false">AF1466*G1466</f>
        <v>0</v>
      </c>
      <c r="AK1466" s="50" t="n">
        <f aca="false">ROUNDUP(MAX(J1466/IF(CD1466&gt;0,CD1466,MAX(0.1,N(Cockpit!$C$6))),CG1466)/BV1466,0)*BV1466</f>
        <v>12</v>
      </c>
      <c r="AL1466" s="51" t="n">
        <f aca="false">IF(AI1466&gt;0,J1466/AI1466,-1)</f>
        <v>-1</v>
      </c>
      <c r="AM1466" s="51" t="str">
        <f aca="false">IF(AND(OR(CC1466="L1",CC1466="L23",CC1466="LIFT"),AI1466&gt;0),SUMIFS($AI$7:$AI$1843,$CC$7:$CC$1843,CC1466,$AL$7:$AL$1843,"&gt;"&amp;AL1466)+SUMIFS($AI$7:$AI$1843,$CC$7:$CC$1843,CC1466,$AL$7:$AL$1843,AL1466,$BT$7:$BT$1843,"&lt;="&amp;BT1466),"")</f>
        <v/>
      </c>
      <c r="AN1466" s="58" t="n">
        <f aca="false">IF(AM1466="",0,MAX(0,MIN(1,(IF(CC1466="L1",Parameter!$H$5,IF(CC1466="L23",Parameter!$H$6+Parameter!$H$7,Parameter!$H$5+Parameter!$H$6+Parameter!$H$7))-(AM1466-AI1466))/AI1466)))</f>
        <v>0</v>
      </c>
      <c r="AO1466" s="50" t="n">
        <f aca="false">IF(LEFT(Cockpit!$I$5,1)="A",H1466,IF(CE1466=1,CF1466,IF(LEFT(Cockpit!$I$5,1)="B",AT1466,MAX(AT1466,H1466))))</f>
        <v>12</v>
      </c>
      <c r="AP1466" s="50" t="n">
        <f aca="false">IF(BW1466=1,0,ROUNDUP(AO1466/BV1466,0))</f>
        <v>3</v>
      </c>
      <c r="AQ1466" s="52" t="n">
        <f aca="false">IF(CL1466&gt;0,CL1466*MAX(1,AO1466/X1466),IF(BW1466=1,IF(AO1466&lt;=0,0,CA1466*MAX(1,IF(H1466&gt;0,AO1466/H1466,1))),IF(R1466&gt;0,AP1466/R1466,0))/MAX(0.1,N(Parameter!$M$21)))</f>
        <v>0.25</v>
      </c>
      <c r="AR1466" s="50" t="n">
        <f aca="false">AQ1466*BY1466</f>
        <v>36.25</v>
      </c>
      <c r="AS1466" s="50" t="n">
        <f aca="false">AO1466*G1466</f>
        <v>59196</v>
      </c>
      <c r="AT1466" s="50" t="n">
        <f aca="false">ROUNDUP(MAX(J1466/IF(CD1466&gt;0,CD1466,MAX(0.1,N(Cockpit!$I$6))),CG1466)/BV1466,0)*BV1466</f>
        <v>12</v>
      </c>
      <c r="AU1466" s="51" t="n">
        <f aca="false">IF(AR1466&gt;0,J1466/AR1466,-1)</f>
        <v>0.63448275862069</v>
      </c>
      <c r="AV1466" s="51" t="n">
        <f aca="false">IF(AND(OR(CC1466="L1",CC1466="L23",CC1466="LIFT"),AR1466&gt;0),SUMIFS($AR$7:$AR$1843,$CC$7:$CC$1843,CC1466,$AU$7:$AU$1843,"&gt;"&amp;AU1466)+SUMIFS($AR$7:$AR$1843,$CC$7:$CC$1843,CC1466,$AU$7:$AU$1843,AU1466,$BT$7:$BT$1843,"&lt;="&amp;BT1466),"")</f>
        <v>12357.320970696</v>
      </c>
      <c r="AW1466" s="58" t="n">
        <f aca="false">IF(AV1466="",0,MAX(0,MIN(1,(IF(CC1466="L1",Parameter!$H$5,IF(CC1466="L23",Parameter!$H$6+Parameter!$H$7,Parameter!$H$5+Parameter!$H$6+Parameter!$H$7))-(AV1466-AR1466))/AR1466)))</f>
        <v>1</v>
      </c>
      <c r="AX1466" s="50" t="n">
        <f aca="false">IF(LEFT(Cockpit!$O$5,1)="A",H1466,IF(CE1466=1,CF1466,IF(LEFT(Cockpit!$O$5,1)="B",BC1466,MAX(BC1466,H1466))))</f>
        <v>8</v>
      </c>
      <c r="AY1466" s="50" t="n">
        <f aca="false">IF(BW1466=1,0,ROUNDUP(AX1466/BV1466,0))</f>
        <v>2</v>
      </c>
      <c r="AZ1466" s="52" t="n">
        <f aca="false">IF(CL1466&gt;0,CL1466*MAX(1,AX1466/X1466),IF(BW1466=1,IF(AX1466&lt;=0,0,CA1466*MAX(1,IF(H1466&gt;0,AX1466/H1466,1))),IF(R1466&gt;0,AY1466/R1466,0))/MAX(0.1,N(Parameter!$M$21)))</f>
        <v>0.166666666666667</v>
      </c>
      <c r="BA1466" s="50" t="n">
        <f aca="false">AZ1466*BY1466</f>
        <v>24.1666666666667</v>
      </c>
      <c r="BB1466" s="50" t="n">
        <f aca="false">AX1466*G1466</f>
        <v>39464</v>
      </c>
      <c r="BC1466" s="50" t="n">
        <f aca="false">ROUNDUP(MAX(J1466/IF(CD1466&gt;0,CD1466,MAX(0.1,N(Cockpit!$O$6))),CG1466)/BV1466,0)*BV1466</f>
        <v>8</v>
      </c>
      <c r="BD1466" s="51" t="n">
        <f aca="false">IF(BA1466&gt;0,J1466/BA1466,-1)</f>
        <v>0.951724137931035</v>
      </c>
      <c r="BE1466" s="51" t="n">
        <f aca="false">IF(AND(OR(CC1466="L1",CC1466="L23",CC1466="LIFT"),BA1466&gt;0),SUMIFS($BA$7:$BA$1843,$CC$7:$CC$1843,CC1466,$BD$7:$BD$1843,"&gt;"&amp;BD1466)+SUMIFS($BA$7:$BA$1843,$CC$7:$CC$1843,CC1466,$BD$7:$BD$1843,BD1466,$BT$7:$BT$1843,"&lt;="&amp;BT1466),"")</f>
        <v>9402.64514652015</v>
      </c>
      <c r="BF1466" s="58" t="n">
        <f aca="false">IF(BE1466="",0,MAX(0,MIN(1,(IF(CC1466="L1",Parameter!$H$5,IF(CC1466="L23",Parameter!$H$6+Parameter!$H$7,Parameter!$H$5+Parameter!$H$6+Parameter!$H$7))-(BE1466-BA1466))/BA1466)))</f>
        <v>1</v>
      </c>
      <c r="BG1466" s="48" t="str">
        <f aca="false">IF(AI1466&lt;=0,"",IF(CC1466="Aussen","Aussenlager",IF(CC1466="-","Nicht im Lift",IF(AN1466&gt;=1,"Lift",IF(AN1466&lt;=0,"Aussenlager","teilweise")))))</f>
        <v/>
      </c>
      <c r="BH1466" s="48" t="str">
        <f aca="false">IF(AR1466&lt;=0,"",IF(CC1466="Aussen","Aussenlager",IF(CC1466="-","Nicht im Lift",IF(AW1466&gt;=1,"Lift",IF(AW1466&lt;=0,"Aussenlager","teilweise")))))</f>
        <v>Lift</v>
      </c>
      <c r="BI1466" s="48" t="str">
        <f aca="false">IF(BA1466&lt;=0,"",IF(CC1466="Aussen","Aussenlager",IF(CC1466="-","Nicht im Lift",IF(BF1466&gt;=1,"Lift",IF(BF1466&lt;=0,"Aussenlager","teilweise")))))</f>
        <v>Lift</v>
      </c>
      <c r="BJ1466" s="48" t="str">
        <f aca="false">IF(A1466="","",IF(BS1466=1,"Neu; ","")&amp;IF(AND(BS1466=0,BN1466&lt;0),"negativer Bestand (Export "&amp;BN1466&amp;"); ","")&amp;IF(J1466&lt;=0,"Kein Verbrauch; ","")&amp;IF(CL1466&gt;0,"Lift "&amp;W1466&amp;" lt. Liftbericht (Fach "&amp;X1466&amp;" Stk); ",IF(BX1466=1,"Gebinde geschätzt ("&amp;T1466&amp;"); ",IF(BW1466=1,"Lose – Tablare geschätzt; ","")))&amp;IF(H1466&gt;AT1466,"Überbestand "&amp;ROUND(H1466-AT1466,0)&amp;" Stk / CHF "&amp;ROUND((H1466-AT1466)*G1466,0)&amp;"; ","")&amp;IF(AND(CE1466=1,CF1466&lt;CG1466),"MAX &lt; MB+LG; ","")&amp;IF(AND(CK1466&gt;0,CJ1466*10&gt;CK1466),"zu hoch für Tablar; ","")&amp;IF(AND(BS1466=0,OR(CE1466=1,AA1466&lt;&gt;"",U1466&lt;&gt;"",V1466&lt;&gt;"",AB1466&lt;&gt;"")),"manuell übersteuert; ","")&amp;IF(AND(BW1466=0,R1466=0),"Gebinde unbekannt / Stellmass fehlt; ","")&amp;IF(AND(BW1466=0,N(V1466)&lt;=0,N(Q1466)&lt;=0),"Menge pro Gebinde fehlt (Ist = 1 Gebinde); ","")&amp;BR1466)</f>
        <v>negativer Bestand (Export -6); Gebinde geschätzt (Mittel); Menge pro Gebinde fehlt (Ist = 1 Gebinde); </v>
      </c>
      <c r="BK1466" s="48"/>
      <c r="BL1466" s="48"/>
      <c r="BM1466" s="55"/>
      <c r="BN1466" s="50" t="n">
        <v>-6</v>
      </c>
      <c r="BO1466" s="50" t="n">
        <v>0</v>
      </c>
      <c r="BP1466" s="49" t="n">
        <v>-29571.19</v>
      </c>
      <c r="BQ1466" s="50" t="n">
        <v>23</v>
      </c>
      <c r="BR1466" s="48"/>
      <c r="BS1466" s="53" t="n">
        <v>0</v>
      </c>
      <c r="BT1466" s="53" t="n">
        <v>1466</v>
      </c>
      <c r="BU1466" s="48" t="str">
        <f aca="false">IF(U1466&lt;&gt;"",UPPER(TRIM(U1466)),IF(BX1466=1,UPPER(VLOOKUP(T1466,Parameter!$I$27:$K$29,2,0)),IF(P1466="","LOSE",P1466)))</f>
        <v>S61</v>
      </c>
      <c r="BV1466" s="50" t="n">
        <f aca="false">IF(BU1466="LOSE",1,IF(N(V1466)&gt;0,V1466,IF(BX1466=1,MAX(1,N(VLOOKUP(T1466,Parameter!$I$27:$K$29,3,0)),H1466,N(N1466)),IF(N(Q1466)&gt;0,Q1466,MAX(1,H1466)))))</f>
        <v>4</v>
      </c>
      <c r="BW1466" s="53" t="n">
        <f aca="false">IF(BU1466="LOSE",1,0)</f>
        <v>0</v>
      </c>
      <c r="BX1466" s="53" t="n">
        <f aca="false">IF(AND(U1466="",OR(P1466="",P1466="LOSE"),T1466&lt;&gt;"",N(S1466)&lt;=0,ISNUMBER(MATCH(T1466,Parameter!$I$27:$I$29,0))),1,0)</f>
        <v>1</v>
      </c>
      <c r="BY1466" s="53" t="n">
        <f aca="false">IF(CL1466&gt;0,INDEX(Parameter!$H$5:$H$7,W1466)/INDEX(Parameter!$E$5:$E$7,W1466),IF(AND(BW1466=0,N(IFERROR(VLOOKUP(BU1466,'Gebinde-Kategorie'!$A$5:$N$45,14,0),0))&gt;0),VLOOKUP(BU1466,'Gebinde-Kategorie'!$A$5:$N$45,14,0)*10+Parameter!$M$23,Parameter!$M$24))</f>
        <v>145</v>
      </c>
      <c r="BZ1466" s="48" t="n">
        <f aca="false">IF(AND(Parameter!$B$19="Ja",E1466&lt;&gt;"",ISNUMBER(MATCH(E1466,Parameter!$I$35:$I$52,0))),VLOOKUP(E1466,Parameter!$I$35:$J$52,2,0),IFERROR(VLOOKUP(D1466,Parameter!$A$35:$C$64,2,0),"Nein"))</f>
        <v>1</v>
      </c>
      <c r="CA1466" s="52" t="n">
        <f aca="false">IF(BW1466=0,0,IF(N(S1466)&gt;0,S1466,IFERROR(VLOOKUP(D1466,Parameter!$A$35:$C$64,3,0)+0,0)))</f>
        <v>0</v>
      </c>
      <c r="CB1466" s="48" t="n">
        <f aca="false">IF(AA1466&lt;&gt;"",AA1466,Z1466)</f>
        <v>1</v>
      </c>
      <c r="CC1466" s="48" t="str">
        <f aca="false">IF(OR(CB1466=1,CB1466=2,CB1466=3),IF(Parameter!$E$27="Ja","LIFT",IF(CB1466=1,"L1","L23")),IF(CB1466="Aussen","Aussen","-"))</f>
        <v>LIFT</v>
      </c>
      <c r="CD1466" s="59" t="n">
        <f aca="false">IF(N(AB1466)&gt;0,AB1466,0)</f>
        <v>0</v>
      </c>
      <c r="CE1466" s="53" t="n">
        <f aca="false">IF(ISNUMBER(AE1466),1,0)</f>
        <v>0</v>
      </c>
      <c r="CF1466" s="50" t="n">
        <f aca="false">N(AE1466)</f>
        <v>0</v>
      </c>
      <c r="CG1466" s="50" t="n">
        <f aca="false">N(M1466)+N(N1466)</f>
        <v>3</v>
      </c>
      <c r="CH1466" s="50" t="n">
        <f aca="false">ROUNDUP(H1466/BV1466,0)</f>
        <v>0</v>
      </c>
      <c r="CI1466" s="50" t="n">
        <f aca="false">ROUNDUP(CF1466/BV1466,0)</f>
        <v>0</v>
      </c>
      <c r="CJ1466" s="53" t="n">
        <f aca="false">IF(BW1466=1,0,IFERROR(VLOOKUP(BU1466,'Gebinde-Kategorie'!$A$5:$N$45,5,0)+0,0))</f>
        <v>11</v>
      </c>
      <c r="CK1466" s="53" t="n">
        <f aca="false">IFERROR(IF(OR(CB1466=1,CB1466=2,CB1466=3),N(INDEX(Parameter!$I$5:$I$7,CB1466)),0),0)</f>
        <v>0</v>
      </c>
      <c r="CL1466" s="52" t="n">
        <f aca="false">IF(AND(Parameter!$B$21="Ja",ISNUMBER(W1466),N(X1466)&gt;0),IFERROR(N(INDEX(Parameter!$L$5:$L$7,W1466))*INDEX(Parameter!$E$5:$E$7,W1466)*X1466/SUMIFS($X$7:$X$1843,$W$7:$W$1843,W1466),0),0)</f>
        <v>0</v>
      </c>
    </row>
    <row r="1467" customFormat="false" ht="15" hidden="false" customHeight="false" outlineLevel="0" collapsed="false">
      <c r="A1467" s="48" t="s">
        <v>2566</v>
      </c>
      <c r="B1467" s="48" t="s">
        <v>2567</v>
      </c>
      <c r="C1467" s="48" t="s">
        <v>168</v>
      </c>
      <c r="D1467" s="48" t="s">
        <v>188</v>
      </c>
      <c r="E1467" s="48"/>
      <c r="F1467" s="48"/>
      <c r="G1467" s="49" t="n">
        <v>388.42</v>
      </c>
      <c r="H1467" s="50" t="n">
        <f aca="false">MAX(0,IF(AND(Parameter!$B$21="Ja",ISNUMBER(Y1467)),Y1467,IF(Parameter!$B$20="Jahresanfang 2025 + Export",BO1467+BN1467,BN1467)))</f>
        <v>0</v>
      </c>
      <c r="I1467" s="50" t="n">
        <f aca="false">H1467*G1467</f>
        <v>0</v>
      </c>
      <c r="J1467" s="50" t="n">
        <f aca="false">BQ1467*Parameter!$B$18</f>
        <v>185</v>
      </c>
      <c r="K1467" s="51"/>
      <c r="L1467" s="52"/>
      <c r="M1467" s="50" t="n">
        <v>0</v>
      </c>
      <c r="N1467" s="50" t="n">
        <v>35</v>
      </c>
      <c r="O1467" s="53"/>
      <c r="P1467" s="48" t="s">
        <v>237</v>
      </c>
      <c r="Q1467" s="50" t="n">
        <v>60</v>
      </c>
      <c r="R1467" s="53" t="n">
        <f aca="false">IF(BW1467=1,0,IFERROR(VLOOKUP(BU1467,'Gebinde-Kategorie'!$A$5:$N$45,13,0)+0,0))</f>
        <v>26</v>
      </c>
      <c r="S1467" s="54"/>
      <c r="T1467" s="55"/>
      <c r="U1467" s="55"/>
      <c r="V1467" s="55"/>
      <c r="W1467" s="48"/>
      <c r="X1467" s="50"/>
      <c r="Y1467" s="50"/>
      <c r="Z1467" s="48" t="n">
        <f aca="false">IF(A1467="","",IF(AND(Parameter!$B$21="Ja",ISNUMBER(W1467)),W1467,IF(BZ1467="2+3",IF(ISNUMBER(SEARCH("grosser Artikel",BR1467)),2,IFERROR(VLOOKUP(BU1467,Parameter!$F$35:$G$64,2,0),2)),IF(OR(BZ1467="Nein",BZ1467=""),"-",BZ1467))))</f>
        <v>3</v>
      </c>
      <c r="AA1467" s="55"/>
      <c r="AB1467" s="56"/>
      <c r="AC1467" s="50" t="n">
        <f aca="false">AT1467</f>
        <v>120</v>
      </c>
      <c r="AD1467" s="50" t="n">
        <f aca="false">MAX(AT1467,H1467)</f>
        <v>120</v>
      </c>
      <c r="AE1467" s="57"/>
      <c r="AF1467" s="50" t="n">
        <f aca="false">IF(LEFT(Cockpit!$C$5,1)="A",H1467,IF(CE1467=1,CF1467,IF(LEFT(Cockpit!$C$5,1)="B",AK1467,MAX(AK1467,H1467))))</f>
        <v>0</v>
      </c>
      <c r="AG1467" s="50" t="n">
        <f aca="false">IF(BW1467=1,0,ROUNDUP(AF1467/BV1467,0))</f>
        <v>0</v>
      </c>
      <c r="AH1467" s="52" t="n">
        <f aca="false">IF(CL1467&gt;0,CL1467*MAX(1,AF1467/X1467),IF(BW1467=1,IF(AF1467&lt;=0,0,CA1467*MAX(1,IF(H1467&gt;0,AF1467/H1467,1))),IF(R1467&gt;0,AG1467/R1467,0))/MAX(0.1,N(Parameter!$M$21)))</f>
        <v>0</v>
      </c>
      <c r="AI1467" s="50" t="n">
        <f aca="false">AH1467*BY1467</f>
        <v>0</v>
      </c>
      <c r="AJ1467" s="50" t="n">
        <f aca="false">AF1467*G1467</f>
        <v>0</v>
      </c>
      <c r="AK1467" s="50" t="n">
        <f aca="false">ROUNDUP(MAX(J1467/IF(CD1467&gt;0,CD1467,MAX(0.1,N(Cockpit!$C$6))),CG1467)/BV1467,0)*BV1467</f>
        <v>120</v>
      </c>
      <c r="AL1467" s="51" t="n">
        <f aca="false">IF(AI1467&gt;0,J1467/AI1467,-1)</f>
        <v>-1</v>
      </c>
      <c r="AM1467" s="51" t="str">
        <f aca="false">IF(AND(OR(CC1467="L1",CC1467="L23",CC1467="LIFT"),AI1467&gt;0),SUMIFS($AI$7:$AI$1843,$CC$7:$CC$1843,CC1467,$AL$7:$AL$1843,"&gt;"&amp;AL1467)+SUMIFS($AI$7:$AI$1843,$CC$7:$CC$1843,CC1467,$AL$7:$AL$1843,AL1467,$BT$7:$BT$1843,"&lt;="&amp;BT1467),"")</f>
        <v/>
      </c>
      <c r="AN1467" s="58" t="n">
        <f aca="false">IF(AM1467="",0,MAX(0,MIN(1,(IF(CC1467="L1",Parameter!$H$5,IF(CC1467="L23",Parameter!$H$6+Parameter!$H$7,Parameter!$H$5+Parameter!$H$6+Parameter!$H$7))-(AM1467-AI1467))/AI1467)))</f>
        <v>0</v>
      </c>
      <c r="AO1467" s="50" t="n">
        <f aca="false">IF(LEFT(Cockpit!$I$5,1)="A",H1467,IF(CE1467=1,CF1467,IF(LEFT(Cockpit!$I$5,1)="B",AT1467,MAX(AT1467,H1467))))</f>
        <v>120</v>
      </c>
      <c r="AP1467" s="50" t="n">
        <f aca="false">IF(BW1467=1,0,ROUNDUP(AO1467/BV1467,0))</f>
        <v>2</v>
      </c>
      <c r="AQ1467" s="52" t="n">
        <f aca="false">IF(CL1467&gt;0,CL1467*MAX(1,AO1467/X1467),IF(BW1467=1,IF(AO1467&lt;=0,0,CA1467*MAX(1,IF(H1467&gt;0,AO1467/H1467,1))),IF(R1467&gt;0,AP1467/R1467,0))/MAX(0.1,N(Parameter!$M$21)))</f>
        <v>0.0769230769230769</v>
      </c>
      <c r="AR1467" s="50" t="n">
        <f aca="false">AQ1467*BY1467</f>
        <v>18.8461538461538</v>
      </c>
      <c r="AS1467" s="50" t="n">
        <f aca="false">AO1467*G1467</f>
        <v>46610.4</v>
      </c>
      <c r="AT1467" s="50" t="n">
        <f aca="false">ROUNDUP(MAX(J1467/IF(CD1467&gt;0,CD1467,MAX(0.1,N(Cockpit!$I$6))),CG1467)/BV1467,0)*BV1467</f>
        <v>120</v>
      </c>
      <c r="AU1467" s="51" t="n">
        <f aca="false">IF(AR1467&gt;0,J1467/AR1467,-1)</f>
        <v>9.81632653061224</v>
      </c>
      <c r="AV1467" s="51" t="n">
        <f aca="false">IF(AND(OR(CC1467="L1",CC1467="L23",CC1467="LIFT"),AR1467&gt;0),SUMIFS($AR$7:$AR$1843,$CC$7:$CC$1843,CC1467,$AU$7:$AU$1843,"&gt;"&amp;AU1467)+SUMIFS($AR$7:$AR$1843,$CC$7:$CC$1843,CC1467,$AU$7:$AU$1843,AU1467,$BT$7:$BT$1843,"&lt;="&amp;BT1467),"")</f>
        <v>4049.9532967033</v>
      </c>
      <c r="AW1467" s="58" t="n">
        <f aca="false">IF(AV1467="",0,MAX(0,MIN(1,(IF(CC1467="L1",Parameter!$H$5,IF(CC1467="L23",Parameter!$H$6+Parameter!$H$7,Parameter!$H$5+Parameter!$H$6+Parameter!$H$7))-(AV1467-AR1467))/AR1467)))</f>
        <v>1</v>
      </c>
      <c r="AX1467" s="50" t="n">
        <f aca="false">IF(LEFT(Cockpit!$O$5,1)="A",H1467,IF(CE1467=1,CF1467,IF(LEFT(Cockpit!$O$5,1)="B",BC1467,MAX(BC1467,H1467))))</f>
        <v>120</v>
      </c>
      <c r="AY1467" s="50" t="n">
        <f aca="false">IF(BW1467=1,0,ROUNDUP(AX1467/BV1467,0))</f>
        <v>2</v>
      </c>
      <c r="AZ1467" s="52" t="n">
        <f aca="false">IF(CL1467&gt;0,CL1467*MAX(1,AX1467/X1467),IF(BW1467=1,IF(AX1467&lt;=0,0,CA1467*MAX(1,IF(H1467&gt;0,AX1467/H1467,1))),IF(R1467&gt;0,AY1467/R1467,0))/MAX(0.1,N(Parameter!$M$21)))</f>
        <v>0.0769230769230769</v>
      </c>
      <c r="BA1467" s="50" t="n">
        <f aca="false">AZ1467*BY1467</f>
        <v>18.8461538461538</v>
      </c>
      <c r="BB1467" s="50" t="n">
        <f aca="false">AX1467*G1467</f>
        <v>46610.4</v>
      </c>
      <c r="BC1467" s="50" t="n">
        <f aca="false">ROUNDUP(MAX(J1467/IF(CD1467&gt;0,CD1467,MAX(0.1,N(Cockpit!$O$6))),CG1467)/BV1467,0)*BV1467</f>
        <v>120</v>
      </c>
      <c r="BD1467" s="51" t="n">
        <f aca="false">IF(BA1467&gt;0,J1467/BA1467,-1)</f>
        <v>9.81632653061224</v>
      </c>
      <c r="BE1467" s="51" t="n">
        <f aca="false">IF(AND(OR(CC1467="L1",CC1467="L23",CC1467="LIFT"),BA1467&gt;0),SUMIFS($BA$7:$BA$1843,$CC$7:$CC$1843,CC1467,$BD$7:$BD$1843,"&gt;"&amp;BD1467)+SUMIFS($BA$7:$BA$1843,$CC$7:$CC$1843,CC1467,$BD$7:$BD$1843,BD1467,$BT$7:$BT$1843,"&lt;="&amp;BT1467),"")</f>
        <v>3708.0782967033</v>
      </c>
      <c r="BF1467" s="58" t="n">
        <f aca="false">IF(BE1467="",0,MAX(0,MIN(1,(IF(CC1467="L1",Parameter!$H$5,IF(CC1467="L23",Parameter!$H$6+Parameter!$H$7,Parameter!$H$5+Parameter!$H$6+Parameter!$H$7))-(BE1467-BA1467))/BA1467)))</f>
        <v>1</v>
      </c>
      <c r="BG1467" s="48" t="str">
        <f aca="false">IF(AI1467&lt;=0,"",IF(CC1467="Aussen","Aussenlager",IF(CC1467="-","Nicht im Lift",IF(AN1467&gt;=1,"Lift",IF(AN1467&lt;=0,"Aussenlager","teilweise")))))</f>
        <v/>
      </c>
      <c r="BH1467" s="48" t="str">
        <f aca="false">IF(AR1467&lt;=0,"",IF(CC1467="Aussen","Aussenlager",IF(CC1467="-","Nicht im Lift",IF(AW1467&gt;=1,"Lift",IF(AW1467&lt;=0,"Aussenlager","teilweise")))))</f>
        <v>Lift</v>
      </c>
      <c r="BI1467" s="48" t="str">
        <f aca="false">IF(BA1467&lt;=0,"",IF(CC1467="Aussen","Aussenlager",IF(CC1467="-","Nicht im Lift",IF(BF1467&gt;=1,"Lift",IF(BF1467&lt;=0,"Aussenlager","teilweise")))))</f>
        <v>Lift</v>
      </c>
      <c r="BJ1467" s="48" t="str">
        <f aca="false">IF(A1467="","",IF(BS1467=1,"Neu; ","")&amp;IF(AND(BS1467=0,BN1467&lt;0),"negativer Bestand (Export "&amp;BN1467&amp;"); ","")&amp;IF(J1467&lt;=0,"Kein Verbrauch; ","")&amp;IF(CL1467&gt;0,"Lift "&amp;W1467&amp;" lt. Liftbericht (Fach "&amp;X1467&amp;" Stk); ",IF(BX1467=1,"Gebinde geschätzt ("&amp;T1467&amp;"); ",IF(BW1467=1,"Lose – Tablare geschätzt; ","")))&amp;IF(H1467&gt;AT1467,"Überbestand "&amp;ROUND(H1467-AT1467,0)&amp;" Stk / CHF "&amp;ROUND((H1467-AT1467)*G1467,0)&amp;"; ","")&amp;IF(AND(CE1467=1,CF1467&lt;CG1467),"MAX &lt; MB+LG; ","")&amp;IF(AND(CK1467&gt;0,CJ1467*10&gt;CK1467),"zu hoch für Tablar; ","")&amp;IF(AND(BS1467=0,OR(CE1467=1,AA1467&lt;&gt;"",U1467&lt;&gt;"",V1467&lt;&gt;"",AB1467&lt;&gt;"")),"manuell übersteuert; ","")&amp;IF(AND(BW1467=0,R1467=0),"Gebinde unbekannt / Stellmass fehlt; ","")&amp;IF(AND(BW1467=0,N(V1467)&lt;=0,N(Q1467)&lt;=0),"Menge pro Gebinde fehlt (Ist = 1 Gebinde); ","")&amp;BR1467)</f>
        <v>negativer Bestand (Export -86); </v>
      </c>
      <c r="BK1467" s="48"/>
      <c r="BL1467" s="48"/>
      <c r="BM1467" s="55"/>
      <c r="BN1467" s="50" t="n">
        <v>-86</v>
      </c>
      <c r="BO1467" s="50" t="n">
        <v>0</v>
      </c>
      <c r="BP1467" s="49" t="n">
        <v>-33137.78</v>
      </c>
      <c r="BQ1467" s="50" t="n">
        <v>185</v>
      </c>
      <c r="BR1467" s="48"/>
      <c r="BS1467" s="53" t="n">
        <v>0</v>
      </c>
      <c r="BT1467" s="53" t="n">
        <v>1467</v>
      </c>
      <c r="BU1467" s="48" t="str">
        <f aca="false">IF(U1467&lt;&gt;"",UPPER(TRIM(U1467)),IF(BX1467=1,UPPER(VLOOKUP(T1467,Parameter!$I$27:$K$29,2,0)),IF(P1467="","LOSE",P1467)))</f>
        <v>S52</v>
      </c>
      <c r="BV1467" s="50" t="n">
        <f aca="false">IF(BU1467="LOSE",1,IF(N(V1467)&gt;0,V1467,IF(BX1467=1,MAX(1,N(VLOOKUP(T1467,Parameter!$I$27:$K$29,3,0)),H1467,N(N1467)),IF(N(Q1467)&gt;0,Q1467,MAX(1,H1467)))))</f>
        <v>60</v>
      </c>
      <c r="BW1467" s="53" t="n">
        <f aca="false">IF(BU1467="LOSE",1,0)</f>
        <v>0</v>
      </c>
      <c r="BX1467" s="53" t="n">
        <f aca="false">IF(AND(U1467="",OR(P1467="",P1467="LOSE"),T1467&lt;&gt;"",N(S1467)&lt;=0,ISNUMBER(MATCH(T1467,Parameter!$I$27:$I$29,0))),1,0)</f>
        <v>0</v>
      </c>
      <c r="BY1467" s="53" t="n">
        <f aca="false">IF(CL1467&gt;0,INDEX(Parameter!$H$5:$H$7,W1467)/INDEX(Parameter!$E$5:$E$7,W1467),IF(AND(BW1467=0,N(IFERROR(VLOOKUP(BU1467,'Gebinde-Kategorie'!$A$5:$N$45,14,0),0))&gt;0),VLOOKUP(BU1467,'Gebinde-Kategorie'!$A$5:$N$45,14,0)*10+Parameter!$M$23,Parameter!$M$24))</f>
        <v>245</v>
      </c>
      <c r="BZ1467" s="48" t="str">
        <f aca="false">IF(AND(Parameter!$B$19="Ja",E1467&lt;&gt;"",ISNUMBER(MATCH(E1467,Parameter!$I$35:$I$52,0))),VLOOKUP(E1467,Parameter!$I$35:$J$52,2,0),IFERROR(VLOOKUP(D1467,Parameter!$A$35:$C$64,2,0),"Nein"))</f>
        <v>2+3</v>
      </c>
      <c r="CA1467" s="52" t="n">
        <f aca="false">IF(BW1467=0,0,IF(N(S1467)&gt;0,S1467,IFERROR(VLOOKUP(D1467,Parameter!$A$35:$C$64,3,0)+0,0)))</f>
        <v>0</v>
      </c>
      <c r="CB1467" s="48" t="n">
        <f aca="false">IF(AA1467&lt;&gt;"",AA1467,Z1467)</f>
        <v>3</v>
      </c>
      <c r="CC1467" s="48" t="str">
        <f aca="false">IF(OR(CB1467=1,CB1467=2,CB1467=3),IF(Parameter!$E$27="Ja","LIFT",IF(CB1467=1,"L1","L23")),IF(CB1467="Aussen","Aussen","-"))</f>
        <v>LIFT</v>
      </c>
      <c r="CD1467" s="59" t="n">
        <f aca="false">IF(N(AB1467)&gt;0,AB1467,0)</f>
        <v>0</v>
      </c>
      <c r="CE1467" s="53" t="n">
        <f aca="false">IF(ISNUMBER(AE1467),1,0)</f>
        <v>0</v>
      </c>
      <c r="CF1467" s="50" t="n">
        <f aca="false">N(AE1467)</f>
        <v>0</v>
      </c>
      <c r="CG1467" s="50" t="n">
        <f aca="false">N(M1467)+N(N1467)</f>
        <v>35</v>
      </c>
      <c r="CH1467" s="50" t="n">
        <f aca="false">ROUNDUP(H1467/BV1467,0)</f>
        <v>0</v>
      </c>
      <c r="CI1467" s="50" t="n">
        <f aca="false">ROUNDUP(CF1467/BV1467,0)</f>
        <v>0</v>
      </c>
      <c r="CJ1467" s="53" t="n">
        <f aca="false">IF(BW1467=1,0,IFERROR(VLOOKUP(BU1467,'Gebinde-Kategorie'!$A$5:$N$45,5,0)+0,0))</f>
        <v>21</v>
      </c>
      <c r="CK1467" s="53" t="n">
        <f aca="false">IFERROR(IF(OR(CB1467=1,CB1467=2,CB1467=3),N(INDEX(Parameter!$I$5:$I$7,CB1467)),0),0)</f>
        <v>0</v>
      </c>
      <c r="CL1467" s="52" t="n">
        <f aca="false">IF(AND(Parameter!$B$21="Ja",ISNUMBER(W1467),N(X1467)&gt;0),IFERROR(N(INDEX(Parameter!$L$5:$L$7,W1467))*INDEX(Parameter!$E$5:$E$7,W1467)*X1467/SUMIFS($X$7:$X$1843,$W$7:$W$1843,W1467),0),0)</f>
        <v>0</v>
      </c>
    </row>
    <row r="1468" customFormat="false" ht="15" hidden="false" customHeight="false" outlineLevel="0" collapsed="false">
      <c r="A1468" s="48" t="s">
        <v>2568</v>
      </c>
      <c r="B1468" s="48" t="s">
        <v>200</v>
      </c>
      <c r="C1468" s="48" t="s">
        <v>460</v>
      </c>
      <c r="D1468" s="48" t="s">
        <v>177</v>
      </c>
      <c r="E1468" s="48" t="s">
        <v>170</v>
      </c>
      <c r="F1468" s="48"/>
      <c r="G1468" s="49" t="n">
        <v>5022.3</v>
      </c>
      <c r="H1468" s="50" t="n">
        <f aca="false">MAX(0,IF(AND(Parameter!$B$21="Ja",ISNUMBER(Y1468)),Y1468,IF(Parameter!$B$20="Jahresanfang 2025 + Export",BO1468+BN1468,BN1468)))</f>
        <v>0</v>
      </c>
      <c r="I1468" s="50" t="n">
        <f aca="false">H1468*G1468</f>
        <v>0</v>
      </c>
      <c r="J1468" s="50" t="n">
        <f aca="false">BQ1468*Parameter!$B$18</f>
        <v>13</v>
      </c>
      <c r="K1468" s="51"/>
      <c r="L1468" s="52"/>
      <c r="M1468" s="50" t="n">
        <v>0</v>
      </c>
      <c r="N1468" s="50" t="n">
        <v>1</v>
      </c>
      <c r="O1468" s="53"/>
      <c r="P1468" s="48" t="s">
        <v>172</v>
      </c>
      <c r="Q1468" s="50"/>
      <c r="R1468" s="53" t="n">
        <f aca="false">IF(BW1468=1,0,IFERROR(VLOOKUP(BU1468,'Gebinde-Kategorie'!$A$5:$N$45,13,0)+0,0))</f>
        <v>12</v>
      </c>
      <c r="S1468" s="54"/>
      <c r="T1468" s="55" t="s">
        <v>183</v>
      </c>
      <c r="U1468" s="55"/>
      <c r="V1468" s="55"/>
      <c r="W1468" s="48"/>
      <c r="X1468" s="50"/>
      <c r="Y1468" s="50"/>
      <c r="Z1468" s="48" t="n">
        <f aca="false">IF(A1468="","",IF(AND(Parameter!$B$21="Ja",ISNUMBER(W1468)),W1468,IF(BZ1468="2+3",IF(ISNUMBER(SEARCH("grosser Artikel",BR1468)),2,IFERROR(VLOOKUP(BU1468,Parameter!$F$35:$G$64,2,0),2)),IF(OR(BZ1468="Nein",BZ1468=""),"-",BZ1468))))</f>
        <v>1</v>
      </c>
      <c r="AA1468" s="55"/>
      <c r="AB1468" s="56"/>
      <c r="AC1468" s="50" t="n">
        <f aca="false">AT1468</f>
        <v>8</v>
      </c>
      <c r="AD1468" s="50" t="n">
        <f aca="false">MAX(AT1468,H1468)</f>
        <v>8</v>
      </c>
      <c r="AE1468" s="57"/>
      <c r="AF1468" s="50" t="n">
        <f aca="false">IF(LEFT(Cockpit!$C$5,1)="A",H1468,IF(CE1468=1,CF1468,IF(LEFT(Cockpit!$C$5,1)="B",AK1468,MAX(AK1468,H1468))))</f>
        <v>0</v>
      </c>
      <c r="AG1468" s="50" t="n">
        <f aca="false">IF(BW1468=1,0,ROUNDUP(AF1468/BV1468,0))</f>
        <v>0</v>
      </c>
      <c r="AH1468" s="52" t="n">
        <f aca="false">IF(CL1468&gt;0,CL1468*MAX(1,AF1468/X1468),IF(BW1468=1,IF(AF1468&lt;=0,0,CA1468*MAX(1,IF(H1468&gt;0,AF1468/H1468,1))),IF(R1468&gt;0,AG1468/R1468,0))/MAX(0.1,N(Parameter!$M$21)))</f>
        <v>0</v>
      </c>
      <c r="AI1468" s="50" t="n">
        <f aca="false">AH1468*BY1468</f>
        <v>0</v>
      </c>
      <c r="AJ1468" s="50" t="n">
        <f aca="false">AF1468*G1468</f>
        <v>0</v>
      </c>
      <c r="AK1468" s="50" t="n">
        <f aca="false">ROUNDUP(MAX(J1468/IF(CD1468&gt;0,CD1468,MAX(0.1,N(Cockpit!$C$6))),CG1468)/BV1468,0)*BV1468</f>
        <v>8</v>
      </c>
      <c r="AL1468" s="51" t="n">
        <f aca="false">IF(AI1468&gt;0,J1468/AI1468,-1)</f>
        <v>-1</v>
      </c>
      <c r="AM1468" s="51" t="str">
        <f aca="false">IF(AND(OR(CC1468="L1",CC1468="L23",CC1468="LIFT"),AI1468&gt;0),SUMIFS($AI$7:$AI$1843,$CC$7:$CC$1843,CC1468,$AL$7:$AL$1843,"&gt;"&amp;AL1468)+SUMIFS($AI$7:$AI$1843,$CC$7:$CC$1843,CC1468,$AL$7:$AL$1843,AL1468,$BT$7:$BT$1843,"&lt;="&amp;BT1468),"")</f>
        <v/>
      </c>
      <c r="AN1468" s="58" t="n">
        <f aca="false">IF(AM1468="",0,MAX(0,MIN(1,(IF(CC1468="L1",Parameter!$H$5,IF(CC1468="L23",Parameter!$H$6+Parameter!$H$7,Parameter!$H$5+Parameter!$H$6+Parameter!$H$7))-(AM1468-AI1468))/AI1468)))</f>
        <v>0</v>
      </c>
      <c r="AO1468" s="50" t="n">
        <f aca="false">IF(LEFT(Cockpit!$I$5,1)="A",H1468,IF(CE1468=1,CF1468,IF(LEFT(Cockpit!$I$5,1)="B",AT1468,MAX(AT1468,H1468))))</f>
        <v>8</v>
      </c>
      <c r="AP1468" s="50" t="n">
        <f aca="false">IF(BW1468=1,0,ROUNDUP(AO1468/BV1468,0))</f>
        <v>2</v>
      </c>
      <c r="AQ1468" s="52" t="n">
        <f aca="false">IF(CL1468&gt;0,CL1468*MAX(1,AO1468/X1468),IF(BW1468=1,IF(AO1468&lt;=0,0,CA1468*MAX(1,IF(H1468&gt;0,AO1468/H1468,1))),IF(R1468&gt;0,AP1468/R1468,0))/MAX(0.1,N(Parameter!$M$21)))</f>
        <v>0.166666666666667</v>
      </c>
      <c r="AR1468" s="50" t="n">
        <f aca="false">AQ1468*BY1468</f>
        <v>24.1666666666667</v>
      </c>
      <c r="AS1468" s="50" t="n">
        <f aca="false">AO1468*G1468</f>
        <v>40178.4</v>
      </c>
      <c r="AT1468" s="50" t="n">
        <f aca="false">ROUNDUP(MAX(J1468/IF(CD1468&gt;0,CD1468,MAX(0.1,N(Cockpit!$I$6))),CG1468)/BV1468,0)*BV1468</f>
        <v>8</v>
      </c>
      <c r="AU1468" s="51" t="n">
        <f aca="false">IF(AR1468&gt;0,J1468/AR1468,-1)</f>
        <v>0.537931034482759</v>
      </c>
      <c r="AV1468" s="51" t="n">
        <f aca="false">IF(AND(OR(CC1468="L1",CC1468="L23",CC1468="LIFT"),AR1468&gt;0),SUMIFS($AR$7:$AR$1843,$CC$7:$CC$1843,CC1468,$AU$7:$AU$1843,"&gt;"&amp;AU1468)+SUMIFS($AR$7:$AR$1843,$CC$7:$CC$1843,CC1468,$AU$7:$AU$1843,AU1468,$BT$7:$BT$1843,"&lt;="&amp;BT1468),"")</f>
        <v>13927.994047619</v>
      </c>
      <c r="AW1468" s="58" t="n">
        <f aca="false">IF(AV1468="",0,MAX(0,MIN(1,(IF(CC1468="L1",Parameter!$H$5,IF(CC1468="L23",Parameter!$H$6+Parameter!$H$7,Parameter!$H$5+Parameter!$H$6+Parameter!$H$7))-(AV1468-AR1468))/AR1468)))</f>
        <v>1</v>
      </c>
      <c r="AX1468" s="50" t="n">
        <f aca="false">IF(LEFT(Cockpit!$O$5,1)="A",H1468,IF(CE1468=1,CF1468,IF(LEFT(Cockpit!$O$5,1)="B",BC1468,MAX(BC1468,H1468))))</f>
        <v>8</v>
      </c>
      <c r="AY1468" s="50" t="n">
        <f aca="false">IF(BW1468=1,0,ROUNDUP(AX1468/BV1468,0))</f>
        <v>2</v>
      </c>
      <c r="AZ1468" s="52" t="n">
        <f aca="false">IF(CL1468&gt;0,CL1468*MAX(1,AX1468/X1468),IF(BW1468=1,IF(AX1468&lt;=0,0,CA1468*MAX(1,IF(H1468&gt;0,AX1468/H1468,1))),IF(R1468&gt;0,AY1468/R1468,0))/MAX(0.1,N(Parameter!$M$21)))</f>
        <v>0.166666666666667</v>
      </c>
      <c r="BA1468" s="50" t="n">
        <f aca="false">AZ1468*BY1468</f>
        <v>24.1666666666667</v>
      </c>
      <c r="BB1468" s="50" t="n">
        <f aca="false">AX1468*G1468</f>
        <v>40178.4</v>
      </c>
      <c r="BC1468" s="50" t="n">
        <f aca="false">ROUNDUP(MAX(J1468/IF(CD1468&gt;0,CD1468,MAX(0.1,N(Cockpit!$O$6))),CG1468)/BV1468,0)*BV1468</f>
        <v>8</v>
      </c>
      <c r="BD1468" s="51" t="n">
        <f aca="false">IF(BA1468&gt;0,J1468/BA1468,-1)</f>
        <v>0.537931034482759</v>
      </c>
      <c r="BE1468" s="51" t="n">
        <f aca="false">IF(AND(OR(CC1468="L1",CC1468="L23",CC1468="LIFT"),BA1468&gt;0),SUMIFS($BA$7:$BA$1843,$CC$7:$CC$1843,CC1468,$BD$7:$BD$1843,"&gt;"&amp;BD1468)+SUMIFS($BA$7:$BA$1843,$CC$7:$CC$1843,CC1468,$BD$7:$BD$1843,BD1468,$BT$7:$BT$1843,"&lt;="&amp;BT1468),"")</f>
        <v>12923.6510989011</v>
      </c>
      <c r="BF1468" s="58" t="n">
        <f aca="false">IF(BE1468="",0,MAX(0,MIN(1,(IF(CC1468="L1",Parameter!$H$5,IF(CC1468="L23",Parameter!$H$6+Parameter!$H$7,Parameter!$H$5+Parameter!$H$6+Parameter!$H$7))-(BE1468-BA1468))/BA1468)))</f>
        <v>1</v>
      </c>
      <c r="BG1468" s="48" t="str">
        <f aca="false">IF(AI1468&lt;=0,"",IF(CC1468="Aussen","Aussenlager",IF(CC1468="-","Nicht im Lift",IF(AN1468&gt;=1,"Lift",IF(AN1468&lt;=0,"Aussenlager","teilweise")))))</f>
        <v/>
      </c>
      <c r="BH1468" s="48" t="str">
        <f aca="false">IF(AR1468&lt;=0,"",IF(CC1468="Aussen","Aussenlager",IF(CC1468="-","Nicht im Lift",IF(AW1468&gt;=1,"Lift",IF(AW1468&lt;=0,"Aussenlager","teilweise")))))</f>
        <v>Lift</v>
      </c>
      <c r="BI1468" s="48" t="str">
        <f aca="false">IF(BA1468&lt;=0,"",IF(CC1468="Aussen","Aussenlager",IF(CC1468="-","Nicht im Lift",IF(BF1468&gt;=1,"Lift",IF(BF1468&lt;=0,"Aussenlager","teilweise")))))</f>
        <v>Lift</v>
      </c>
      <c r="BJ1468" s="48" t="str">
        <f aca="false">IF(A1468="","",IF(BS1468=1,"Neu; ","")&amp;IF(AND(BS1468=0,BN1468&lt;0),"negativer Bestand (Export "&amp;BN1468&amp;"); ","")&amp;IF(J1468&lt;=0,"Kein Verbrauch; ","")&amp;IF(CL1468&gt;0,"Lift "&amp;W1468&amp;" lt. Liftbericht (Fach "&amp;X1468&amp;" Stk); ",IF(BX1468=1,"Gebinde geschätzt ("&amp;T1468&amp;"); ",IF(BW1468=1,"Lose – Tablare geschätzt; ","")))&amp;IF(H1468&gt;AT1468,"Überbestand "&amp;ROUND(H1468-AT1468,0)&amp;" Stk / CHF "&amp;ROUND((H1468-AT1468)*G1468,0)&amp;"; ","")&amp;IF(AND(CE1468=1,CF1468&lt;CG1468),"MAX &lt; MB+LG; ","")&amp;IF(AND(CK1468&gt;0,CJ1468*10&gt;CK1468),"zu hoch für Tablar; ","")&amp;IF(AND(BS1468=0,OR(CE1468=1,AA1468&lt;&gt;"",U1468&lt;&gt;"",V1468&lt;&gt;"",AB1468&lt;&gt;"")),"manuell übersteuert; ","")&amp;IF(AND(BW1468=0,R1468=0),"Gebinde unbekannt / Stellmass fehlt; ","")&amp;IF(AND(BW1468=0,N(V1468)&lt;=0,N(Q1468)&lt;=0),"Menge pro Gebinde fehlt (Ist = 1 Gebinde); ","")&amp;BR1468)</f>
        <v>negativer Bestand (Export -13); Gebinde geschätzt (Mittel); Menge pro Gebinde fehlt (Ist = 1 Gebinde); </v>
      </c>
      <c r="BK1468" s="48"/>
      <c r="BL1468" s="48"/>
      <c r="BM1468" s="55"/>
      <c r="BN1468" s="50" t="n">
        <v>-13</v>
      </c>
      <c r="BO1468" s="50" t="n">
        <v>0</v>
      </c>
      <c r="BP1468" s="49" t="n">
        <v>-64779</v>
      </c>
      <c r="BQ1468" s="50" t="n">
        <v>13</v>
      </c>
      <c r="BR1468" s="48"/>
      <c r="BS1468" s="53" t="n">
        <v>0</v>
      </c>
      <c r="BT1468" s="53" t="n">
        <v>1468</v>
      </c>
      <c r="BU1468" s="48" t="str">
        <f aca="false">IF(U1468&lt;&gt;"",UPPER(TRIM(U1468)),IF(BX1468=1,UPPER(VLOOKUP(T1468,Parameter!$I$27:$K$29,2,0)),IF(P1468="","LOSE",P1468)))</f>
        <v>S61</v>
      </c>
      <c r="BV1468" s="50" t="n">
        <f aca="false">IF(BU1468="LOSE",1,IF(N(V1468)&gt;0,V1468,IF(BX1468=1,MAX(1,N(VLOOKUP(T1468,Parameter!$I$27:$K$29,3,0)),H1468,N(N1468)),IF(N(Q1468)&gt;0,Q1468,MAX(1,H1468)))))</f>
        <v>4</v>
      </c>
      <c r="BW1468" s="53" t="n">
        <f aca="false">IF(BU1468="LOSE",1,0)</f>
        <v>0</v>
      </c>
      <c r="BX1468" s="53" t="n">
        <f aca="false">IF(AND(U1468="",OR(P1468="",P1468="LOSE"),T1468&lt;&gt;"",N(S1468)&lt;=0,ISNUMBER(MATCH(T1468,Parameter!$I$27:$I$29,0))),1,0)</f>
        <v>1</v>
      </c>
      <c r="BY1468" s="53" t="n">
        <f aca="false">IF(CL1468&gt;0,INDEX(Parameter!$H$5:$H$7,W1468)/INDEX(Parameter!$E$5:$E$7,W1468),IF(AND(BW1468=0,N(IFERROR(VLOOKUP(BU1468,'Gebinde-Kategorie'!$A$5:$N$45,14,0),0))&gt;0),VLOOKUP(BU1468,'Gebinde-Kategorie'!$A$5:$N$45,14,0)*10+Parameter!$M$23,Parameter!$M$24))</f>
        <v>145</v>
      </c>
      <c r="BZ1468" s="48" t="n">
        <f aca="false">IF(AND(Parameter!$B$19="Ja",E1468&lt;&gt;"",ISNUMBER(MATCH(E1468,Parameter!$I$35:$I$52,0))),VLOOKUP(E1468,Parameter!$I$35:$J$52,2,0),IFERROR(VLOOKUP(D1468,Parameter!$A$35:$C$64,2,0),"Nein"))</f>
        <v>1</v>
      </c>
      <c r="CA1468" s="52" t="n">
        <f aca="false">IF(BW1468=0,0,IF(N(S1468)&gt;0,S1468,IFERROR(VLOOKUP(D1468,Parameter!$A$35:$C$64,3,0)+0,0)))</f>
        <v>0</v>
      </c>
      <c r="CB1468" s="48" t="n">
        <f aca="false">IF(AA1468&lt;&gt;"",AA1468,Z1468)</f>
        <v>1</v>
      </c>
      <c r="CC1468" s="48" t="str">
        <f aca="false">IF(OR(CB1468=1,CB1468=2,CB1468=3),IF(Parameter!$E$27="Ja","LIFT",IF(CB1468=1,"L1","L23")),IF(CB1468="Aussen","Aussen","-"))</f>
        <v>LIFT</v>
      </c>
      <c r="CD1468" s="59" t="n">
        <f aca="false">IF(N(AB1468)&gt;0,AB1468,0)</f>
        <v>0</v>
      </c>
      <c r="CE1468" s="53" t="n">
        <f aca="false">IF(ISNUMBER(AE1468),1,0)</f>
        <v>0</v>
      </c>
      <c r="CF1468" s="50" t="n">
        <f aca="false">N(AE1468)</f>
        <v>0</v>
      </c>
      <c r="CG1468" s="50" t="n">
        <f aca="false">N(M1468)+N(N1468)</f>
        <v>1</v>
      </c>
      <c r="CH1468" s="50" t="n">
        <f aca="false">ROUNDUP(H1468/BV1468,0)</f>
        <v>0</v>
      </c>
      <c r="CI1468" s="50" t="n">
        <f aca="false">ROUNDUP(CF1468/BV1468,0)</f>
        <v>0</v>
      </c>
      <c r="CJ1468" s="53" t="n">
        <f aca="false">IF(BW1468=1,0,IFERROR(VLOOKUP(BU1468,'Gebinde-Kategorie'!$A$5:$N$45,5,0)+0,0))</f>
        <v>11</v>
      </c>
      <c r="CK1468" s="53" t="n">
        <f aca="false">IFERROR(IF(OR(CB1468=1,CB1468=2,CB1468=3),N(INDEX(Parameter!$I$5:$I$7,CB1468)),0),0)</f>
        <v>0</v>
      </c>
      <c r="CL1468" s="52" t="n">
        <f aca="false">IF(AND(Parameter!$B$21="Ja",ISNUMBER(W1468),N(X1468)&gt;0),IFERROR(N(INDEX(Parameter!$L$5:$L$7,W1468))*INDEX(Parameter!$E$5:$E$7,W1468)*X1468/SUMIFS($X$7:$X$1843,$W$7:$W$1843,W1468),0),0)</f>
        <v>0</v>
      </c>
    </row>
    <row r="1469" customFormat="false" ht="15" hidden="false" customHeight="false" outlineLevel="0" collapsed="false">
      <c r="A1469" s="48" t="s">
        <v>2569</v>
      </c>
      <c r="B1469" s="48" t="s">
        <v>1387</v>
      </c>
      <c r="C1469" s="48" t="s">
        <v>168</v>
      </c>
      <c r="D1469" s="48" t="s">
        <v>177</v>
      </c>
      <c r="E1469" s="48" t="s">
        <v>2422</v>
      </c>
      <c r="F1469" s="48"/>
      <c r="G1469" s="49" t="n">
        <v>11412.99</v>
      </c>
      <c r="H1469" s="50" t="n">
        <f aca="false">MAX(0,IF(AND(Parameter!$B$21="Ja",ISNUMBER(Y1469)),Y1469,IF(Parameter!$B$20="Jahresanfang 2025 + Export",BO1469+BN1469,BN1469)))</f>
        <v>0</v>
      </c>
      <c r="I1469" s="50" t="n">
        <f aca="false">H1469*G1469</f>
        <v>0</v>
      </c>
      <c r="J1469" s="50" t="n">
        <f aca="false">BQ1469*Parameter!$B$18</f>
        <v>12</v>
      </c>
      <c r="K1469" s="51"/>
      <c r="L1469" s="52"/>
      <c r="M1469" s="50" t="n">
        <v>2</v>
      </c>
      <c r="N1469" s="50" t="n">
        <v>1</v>
      </c>
      <c r="O1469" s="53"/>
      <c r="P1469" s="48" t="s">
        <v>172</v>
      </c>
      <c r="Q1469" s="50"/>
      <c r="R1469" s="53" t="n">
        <f aca="false">IF(BW1469=1,0,IFERROR(VLOOKUP(BU1469,'Gebinde-Kategorie'!$A$5:$N$45,13,0)+0,0))</f>
        <v>4</v>
      </c>
      <c r="S1469" s="54"/>
      <c r="T1469" s="55" t="s">
        <v>193</v>
      </c>
      <c r="U1469" s="55"/>
      <c r="V1469" s="55"/>
      <c r="W1469" s="48"/>
      <c r="X1469" s="50"/>
      <c r="Y1469" s="50"/>
      <c r="Z1469" s="48" t="str">
        <f aca="false">IF(A1469="","",IF(AND(Parameter!$B$21="Ja",ISNUMBER(W1469)),W1469,IF(BZ1469="2+3",IF(ISNUMBER(SEARCH("grosser Artikel",BR1469)),2,IFERROR(VLOOKUP(BU1469,Parameter!$F$35:$G$64,2,0),2)),IF(OR(BZ1469="Nein",BZ1469=""),"-",BZ1469))))</f>
        <v>-</v>
      </c>
      <c r="AA1469" s="55"/>
      <c r="AB1469" s="56"/>
      <c r="AC1469" s="50" t="n">
        <f aca="false">AT1469</f>
        <v>6</v>
      </c>
      <c r="AD1469" s="50" t="n">
        <f aca="false">MAX(AT1469,H1469)</f>
        <v>6</v>
      </c>
      <c r="AE1469" s="57"/>
      <c r="AF1469" s="50" t="n">
        <f aca="false">IF(LEFT(Cockpit!$C$5,1)="A",H1469,IF(CE1469=1,CF1469,IF(LEFT(Cockpit!$C$5,1)="B",AK1469,MAX(AK1469,H1469))))</f>
        <v>0</v>
      </c>
      <c r="AG1469" s="50" t="n">
        <f aca="false">IF(BW1469=1,0,ROUNDUP(AF1469/BV1469,0))</f>
        <v>0</v>
      </c>
      <c r="AH1469" s="52" t="n">
        <f aca="false">IF(CL1469&gt;0,CL1469*MAX(1,AF1469/X1469),IF(BW1469=1,IF(AF1469&lt;=0,0,CA1469*MAX(1,IF(H1469&gt;0,AF1469/H1469,1))),IF(R1469&gt;0,AG1469/R1469,0))/MAX(0.1,N(Parameter!$M$21)))</f>
        <v>0</v>
      </c>
      <c r="AI1469" s="50" t="n">
        <f aca="false">AH1469*BY1469</f>
        <v>0</v>
      </c>
      <c r="AJ1469" s="50" t="n">
        <f aca="false">AF1469*G1469</f>
        <v>0</v>
      </c>
      <c r="AK1469" s="50" t="n">
        <f aca="false">ROUNDUP(MAX(J1469/IF(CD1469&gt;0,CD1469,MAX(0.1,N(Cockpit!$C$6))),CG1469)/BV1469,0)*BV1469</f>
        <v>6</v>
      </c>
      <c r="AL1469" s="51" t="n">
        <f aca="false">IF(AI1469&gt;0,J1469/AI1469,-1)</f>
        <v>-1</v>
      </c>
      <c r="AM1469" s="51" t="str">
        <f aca="false">IF(AND(OR(CC1469="L1",CC1469="L23",CC1469="LIFT"),AI1469&gt;0),SUMIFS($AI$7:$AI$1843,$CC$7:$CC$1843,CC1469,$AL$7:$AL$1843,"&gt;"&amp;AL1469)+SUMIFS($AI$7:$AI$1843,$CC$7:$CC$1843,CC1469,$AL$7:$AL$1843,AL1469,$BT$7:$BT$1843,"&lt;="&amp;BT1469),"")</f>
        <v/>
      </c>
      <c r="AN1469" s="58" t="n">
        <f aca="false">IF(AM1469="",0,MAX(0,MIN(1,(IF(CC1469="L1",Parameter!$H$5,IF(CC1469="L23",Parameter!$H$6+Parameter!$H$7,Parameter!$H$5+Parameter!$H$6+Parameter!$H$7))-(AM1469-AI1469))/AI1469)))</f>
        <v>0</v>
      </c>
      <c r="AO1469" s="50" t="n">
        <f aca="false">IF(LEFT(Cockpit!$I$5,1)="A",H1469,IF(CE1469=1,CF1469,IF(LEFT(Cockpit!$I$5,1)="B",AT1469,MAX(AT1469,H1469))))</f>
        <v>6</v>
      </c>
      <c r="AP1469" s="50" t="n">
        <f aca="false">IF(BW1469=1,0,ROUNDUP(AO1469/BV1469,0))</f>
        <v>3</v>
      </c>
      <c r="AQ1469" s="52" t="n">
        <f aca="false">IF(CL1469&gt;0,CL1469*MAX(1,AO1469/X1469),IF(BW1469=1,IF(AO1469&lt;=0,0,CA1469*MAX(1,IF(H1469&gt;0,AO1469/H1469,1))),IF(R1469&gt;0,AP1469/R1469,0))/MAX(0.1,N(Parameter!$M$21)))</f>
        <v>0.75</v>
      </c>
      <c r="AR1469" s="50" t="n">
        <f aca="false">AQ1469*BY1469</f>
        <v>176.25</v>
      </c>
      <c r="AS1469" s="50" t="n">
        <f aca="false">AO1469*G1469</f>
        <v>68477.94</v>
      </c>
      <c r="AT1469" s="50" t="n">
        <f aca="false">ROUNDUP(MAX(J1469/IF(CD1469&gt;0,CD1469,MAX(0.1,N(Cockpit!$I$6))),CG1469)/BV1469,0)*BV1469</f>
        <v>6</v>
      </c>
      <c r="AU1469" s="51" t="n">
        <f aca="false">IF(AR1469&gt;0,J1469/AR1469,-1)</f>
        <v>0.0680851063829787</v>
      </c>
      <c r="AV1469" s="51" t="str">
        <f aca="false">IF(AND(OR(CC1469="L1",CC1469="L23",CC1469="LIFT"),AR1469&gt;0),SUMIFS($AR$7:$AR$1843,$CC$7:$CC$1843,CC1469,$AU$7:$AU$1843,"&gt;"&amp;AU1469)+SUMIFS($AR$7:$AR$1843,$CC$7:$CC$1843,CC1469,$AU$7:$AU$1843,AU1469,$BT$7:$BT$1843,"&lt;="&amp;BT1469),"")</f>
        <v/>
      </c>
      <c r="AW1469" s="58" t="n">
        <f aca="false">IF(AV1469="",0,MAX(0,MIN(1,(IF(CC1469="L1",Parameter!$H$5,IF(CC1469="L23",Parameter!$H$6+Parameter!$H$7,Parameter!$H$5+Parameter!$H$6+Parameter!$H$7))-(AV1469-AR1469))/AR1469)))</f>
        <v>0</v>
      </c>
      <c r="AX1469" s="50" t="n">
        <f aca="false">IF(LEFT(Cockpit!$O$5,1)="A",H1469,IF(CE1469=1,CF1469,IF(LEFT(Cockpit!$O$5,1)="B",BC1469,MAX(BC1469,H1469))))</f>
        <v>4</v>
      </c>
      <c r="AY1469" s="50" t="n">
        <f aca="false">IF(BW1469=1,0,ROUNDUP(AX1469/BV1469,0))</f>
        <v>2</v>
      </c>
      <c r="AZ1469" s="52" t="n">
        <f aca="false">IF(CL1469&gt;0,CL1469*MAX(1,AX1469/X1469),IF(BW1469=1,IF(AX1469&lt;=0,0,CA1469*MAX(1,IF(H1469&gt;0,AX1469/H1469,1))),IF(R1469&gt;0,AY1469/R1469,0))/MAX(0.1,N(Parameter!$M$21)))</f>
        <v>0.5</v>
      </c>
      <c r="BA1469" s="50" t="n">
        <f aca="false">AZ1469*BY1469</f>
        <v>117.5</v>
      </c>
      <c r="BB1469" s="50" t="n">
        <f aca="false">AX1469*G1469</f>
        <v>45651.96</v>
      </c>
      <c r="BC1469" s="50" t="n">
        <f aca="false">ROUNDUP(MAX(J1469/IF(CD1469&gt;0,CD1469,MAX(0.1,N(Cockpit!$O$6))),CG1469)/BV1469,0)*BV1469</f>
        <v>4</v>
      </c>
      <c r="BD1469" s="51" t="n">
        <f aca="false">IF(BA1469&gt;0,J1469/BA1469,-1)</f>
        <v>0.102127659574468</v>
      </c>
      <c r="BE1469" s="51" t="str">
        <f aca="false">IF(AND(OR(CC1469="L1",CC1469="L23",CC1469="LIFT"),BA1469&gt;0),SUMIFS($BA$7:$BA$1843,$CC$7:$CC$1843,CC1469,$BD$7:$BD$1843,"&gt;"&amp;BD1469)+SUMIFS($BA$7:$BA$1843,$CC$7:$CC$1843,CC1469,$BD$7:$BD$1843,BD1469,$BT$7:$BT$1843,"&lt;="&amp;BT1469),"")</f>
        <v/>
      </c>
      <c r="BF1469" s="58" t="n">
        <f aca="false">IF(BE1469="",0,MAX(0,MIN(1,(IF(CC1469="L1",Parameter!$H$5,IF(CC1469="L23",Parameter!$H$6+Parameter!$H$7,Parameter!$H$5+Parameter!$H$6+Parameter!$H$7))-(BE1469-BA1469))/BA1469)))</f>
        <v>0</v>
      </c>
      <c r="BG1469" s="48" t="str">
        <f aca="false">IF(AI1469&lt;=0,"",IF(CC1469="Aussen","Aussenlager",IF(CC1469="-","Nicht im Lift",IF(AN1469&gt;=1,"Lift",IF(AN1469&lt;=0,"Aussenlager","teilweise")))))</f>
        <v/>
      </c>
      <c r="BH1469" s="48" t="str">
        <f aca="false">IF(AR1469&lt;=0,"",IF(CC1469="Aussen","Aussenlager",IF(CC1469="-","Nicht im Lift",IF(AW1469&gt;=1,"Lift",IF(AW1469&lt;=0,"Aussenlager","teilweise")))))</f>
        <v>Nicht im Lift</v>
      </c>
      <c r="BI1469" s="48" t="str">
        <f aca="false">IF(BA1469&lt;=0,"",IF(CC1469="Aussen","Aussenlager",IF(CC1469="-","Nicht im Lift",IF(BF1469&gt;=1,"Lift",IF(BF1469&lt;=0,"Aussenlager","teilweise")))))</f>
        <v>Nicht im Lift</v>
      </c>
      <c r="BJ1469" s="48" t="str">
        <f aca="false">IF(A1469="","",IF(BS1469=1,"Neu; ","")&amp;IF(AND(BS1469=0,BN1469&lt;0),"negativer Bestand (Export "&amp;BN1469&amp;"); ","")&amp;IF(J1469&lt;=0,"Kein Verbrauch; ","")&amp;IF(CL1469&gt;0,"Lift "&amp;W1469&amp;" lt. Liftbericht (Fach "&amp;X1469&amp;" Stk); ",IF(BX1469=1,"Gebinde geschätzt ("&amp;T1469&amp;"); ",IF(BW1469=1,"Lose – Tablare geschätzt; ","")))&amp;IF(H1469&gt;AT1469,"Überbestand "&amp;ROUND(H1469-AT1469,0)&amp;" Stk / CHF "&amp;ROUND((H1469-AT1469)*G1469,0)&amp;"; ","")&amp;IF(AND(CE1469=1,CF1469&lt;CG1469),"MAX &lt; MB+LG; ","")&amp;IF(AND(CK1469&gt;0,CJ1469*10&gt;CK1469),"zu hoch für Tablar; ","")&amp;IF(AND(BS1469=0,OR(CE1469=1,AA1469&lt;&gt;"",U1469&lt;&gt;"",V1469&lt;&gt;"",AB1469&lt;&gt;"")),"manuell übersteuert; ","")&amp;IF(AND(BW1469=0,R1469=0),"Gebinde unbekannt / Stellmass fehlt; ","")&amp;IF(AND(BW1469=0,N(V1469)&lt;=0,N(Q1469)&lt;=0),"Menge pro Gebinde fehlt (Ist = 1 Gebinde); ","")&amp;BR1469)</f>
        <v>negativer Bestand (Export -7); Gebinde geschätzt (Gross); Menge pro Gebinde fehlt (Ist = 1 Gebinde); </v>
      </c>
      <c r="BK1469" s="48"/>
      <c r="BL1469" s="48"/>
      <c r="BM1469" s="55"/>
      <c r="BN1469" s="50" t="n">
        <v>-7</v>
      </c>
      <c r="BO1469" s="50" t="n">
        <v>0</v>
      </c>
      <c r="BP1469" s="49" t="n">
        <v>-66765.84</v>
      </c>
      <c r="BQ1469" s="50" t="n">
        <v>12</v>
      </c>
      <c r="BR1469" s="48"/>
      <c r="BS1469" s="53" t="n">
        <v>0</v>
      </c>
      <c r="BT1469" s="53" t="n">
        <v>1469</v>
      </c>
      <c r="BU1469" s="48" t="str">
        <f aca="false">IF(U1469&lt;&gt;"",UPPER(TRIM(U1469)),IF(BX1469=1,UPPER(VLOOKUP(T1469,Parameter!$I$27:$K$29,2,0)),IF(P1469="","LOSE",P1469)))</f>
        <v>S81</v>
      </c>
      <c r="BV1469" s="50" t="n">
        <f aca="false">IF(BU1469="LOSE",1,IF(N(V1469)&gt;0,V1469,IF(BX1469=1,MAX(1,N(VLOOKUP(T1469,Parameter!$I$27:$K$29,3,0)),H1469,N(N1469)),IF(N(Q1469)&gt;0,Q1469,MAX(1,H1469)))))</f>
        <v>2</v>
      </c>
      <c r="BW1469" s="53" t="n">
        <f aca="false">IF(BU1469="LOSE",1,0)</f>
        <v>0</v>
      </c>
      <c r="BX1469" s="53" t="n">
        <f aca="false">IF(AND(U1469="",OR(P1469="",P1469="LOSE"),T1469&lt;&gt;"",N(S1469)&lt;=0,ISNUMBER(MATCH(T1469,Parameter!$I$27:$I$29,0))),1,0)</f>
        <v>1</v>
      </c>
      <c r="BY1469" s="53" t="n">
        <f aca="false">IF(CL1469&gt;0,INDEX(Parameter!$H$5:$H$7,W1469)/INDEX(Parameter!$E$5:$E$7,W1469),IF(AND(BW1469=0,N(IFERROR(VLOOKUP(BU1469,'Gebinde-Kategorie'!$A$5:$N$45,14,0),0))&gt;0),VLOOKUP(BU1469,'Gebinde-Kategorie'!$A$5:$N$45,14,0)*10+Parameter!$M$23,Parameter!$M$24))</f>
        <v>235</v>
      </c>
      <c r="BZ1469" s="48" t="str">
        <f aca="false">IF(AND(Parameter!$B$19="Ja",E1469&lt;&gt;"",ISNUMBER(MATCH(E1469,Parameter!$I$35:$I$52,0))),VLOOKUP(E1469,Parameter!$I$35:$J$52,2,0),IFERROR(VLOOKUP(D1469,Parameter!$A$35:$C$64,2,0),"Nein"))</f>
        <v>Nein</v>
      </c>
      <c r="CA1469" s="52" t="n">
        <f aca="false">IF(BW1469=0,0,IF(N(S1469)&gt;0,S1469,IFERROR(VLOOKUP(D1469,Parameter!$A$35:$C$64,3,0)+0,0)))</f>
        <v>0</v>
      </c>
      <c r="CB1469" s="48" t="str">
        <f aca="false">IF(AA1469&lt;&gt;"",AA1469,Z1469)</f>
        <v>-</v>
      </c>
      <c r="CC1469" s="48" t="str">
        <f aca="false">IF(OR(CB1469=1,CB1469=2,CB1469=3),IF(Parameter!$E$27="Ja","LIFT",IF(CB1469=1,"L1","L23")),IF(CB1469="Aussen","Aussen","-"))</f>
        <v>-</v>
      </c>
      <c r="CD1469" s="59" t="n">
        <f aca="false">IF(N(AB1469)&gt;0,AB1469,0)</f>
        <v>0</v>
      </c>
      <c r="CE1469" s="53" t="n">
        <f aca="false">IF(ISNUMBER(AE1469),1,0)</f>
        <v>0</v>
      </c>
      <c r="CF1469" s="50" t="n">
        <f aca="false">N(AE1469)</f>
        <v>0</v>
      </c>
      <c r="CG1469" s="50" t="n">
        <f aca="false">N(M1469)+N(N1469)</f>
        <v>3</v>
      </c>
      <c r="CH1469" s="50" t="n">
        <f aca="false">ROUNDUP(H1469/BV1469,0)</f>
        <v>0</v>
      </c>
      <c r="CI1469" s="50" t="n">
        <f aca="false">ROUNDUP(CF1469/BV1469,0)</f>
        <v>0</v>
      </c>
      <c r="CJ1469" s="53" t="n">
        <f aca="false">IF(BW1469=1,0,IFERROR(VLOOKUP(BU1469,'Gebinde-Kategorie'!$A$5:$N$45,5,0)+0,0))</f>
        <v>20</v>
      </c>
      <c r="CK1469" s="53" t="n">
        <f aca="false">IFERROR(IF(OR(CB1469=1,CB1469=2,CB1469=3),N(INDEX(Parameter!$I$5:$I$7,CB1469)),0),0)</f>
        <v>0</v>
      </c>
      <c r="CL1469" s="52" t="n">
        <f aca="false">IF(AND(Parameter!$B$21="Ja",ISNUMBER(W1469),N(X1469)&gt;0),IFERROR(N(INDEX(Parameter!$L$5:$L$7,W1469))*INDEX(Parameter!$E$5:$E$7,W1469)*X1469/SUMIFS($X$7:$X$1843,$W$7:$W$1843,W1469),0),0)</f>
        <v>0</v>
      </c>
    </row>
    <row r="1470" customFormat="false" ht="15" hidden="false" customHeight="false" outlineLevel="0" collapsed="false">
      <c r="A1470" s="48" t="s">
        <v>2570</v>
      </c>
      <c r="B1470" s="48" t="s">
        <v>200</v>
      </c>
      <c r="C1470" s="48" t="s">
        <v>460</v>
      </c>
      <c r="D1470" s="48" t="s">
        <v>177</v>
      </c>
      <c r="E1470" s="48" t="s">
        <v>170</v>
      </c>
      <c r="F1470" s="48"/>
      <c r="G1470" s="49" t="n">
        <v>4545.65</v>
      </c>
      <c r="H1470" s="50" t="n">
        <f aca="false">MAX(0,IF(AND(Parameter!$B$21="Ja",ISNUMBER(Y1470)),Y1470,IF(Parameter!$B$20="Jahresanfang 2025 + Export",BO1470+BN1470,BN1470)))</f>
        <v>0</v>
      </c>
      <c r="I1470" s="50" t="n">
        <f aca="false">H1470*G1470</f>
        <v>0</v>
      </c>
      <c r="J1470" s="50" t="n">
        <f aca="false">BQ1470*Parameter!$B$18</f>
        <v>49</v>
      </c>
      <c r="K1470" s="51"/>
      <c r="L1470" s="52"/>
      <c r="M1470" s="50" t="n">
        <v>0</v>
      </c>
      <c r="N1470" s="50" t="n">
        <v>3</v>
      </c>
      <c r="O1470" s="53"/>
      <c r="P1470" s="48" t="s">
        <v>172</v>
      </c>
      <c r="Q1470" s="50"/>
      <c r="R1470" s="53" t="n">
        <f aca="false">IF(BW1470=1,0,IFERROR(VLOOKUP(BU1470,'Gebinde-Kategorie'!$A$5:$N$45,13,0)+0,0))</f>
        <v>12</v>
      </c>
      <c r="S1470" s="54"/>
      <c r="T1470" s="55" t="s">
        <v>183</v>
      </c>
      <c r="U1470" s="55"/>
      <c r="V1470" s="55"/>
      <c r="W1470" s="48"/>
      <c r="X1470" s="50"/>
      <c r="Y1470" s="50"/>
      <c r="Z1470" s="48" t="n">
        <f aca="false">IF(A1470="","",IF(AND(Parameter!$B$21="Ja",ISNUMBER(W1470)),W1470,IF(BZ1470="2+3",IF(ISNUMBER(SEARCH("grosser Artikel",BR1470)),2,IFERROR(VLOOKUP(BU1470,Parameter!$F$35:$G$64,2,0),2)),IF(OR(BZ1470="Nein",BZ1470=""),"-",BZ1470))))</f>
        <v>1</v>
      </c>
      <c r="AA1470" s="55"/>
      <c r="AB1470" s="56"/>
      <c r="AC1470" s="50" t="n">
        <f aca="false">AT1470</f>
        <v>28</v>
      </c>
      <c r="AD1470" s="50" t="n">
        <f aca="false">MAX(AT1470,H1470)</f>
        <v>28</v>
      </c>
      <c r="AE1470" s="57"/>
      <c r="AF1470" s="50" t="n">
        <f aca="false">IF(LEFT(Cockpit!$C$5,1)="A",H1470,IF(CE1470=1,CF1470,IF(LEFT(Cockpit!$C$5,1)="B",AK1470,MAX(AK1470,H1470))))</f>
        <v>0</v>
      </c>
      <c r="AG1470" s="50" t="n">
        <f aca="false">IF(BW1470=1,0,ROUNDUP(AF1470/BV1470,0))</f>
        <v>0</v>
      </c>
      <c r="AH1470" s="52" t="n">
        <f aca="false">IF(CL1470&gt;0,CL1470*MAX(1,AF1470/X1470),IF(BW1470=1,IF(AF1470&lt;=0,0,CA1470*MAX(1,IF(H1470&gt;0,AF1470/H1470,1))),IF(R1470&gt;0,AG1470/R1470,0))/MAX(0.1,N(Parameter!$M$21)))</f>
        <v>0</v>
      </c>
      <c r="AI1470" s="50" t="n">
        <f aca="false">AH1470*BY1470</f>
        <v>0</v>
      </c>
      <c r="AJ1470" s="50" t="n">
        <f aca="false">AF1470*G1470</f>
        <v>0</v>
      </c>
      <c r="AK1470" s="50" t="n">
        <f aca="false">ROUNDUP(MAX(J1470/IF(CD1470&gt;0,CD1470,MAX(0.1,N(Cockpit!$C$6))),CG1470)/BV1470,0)*BV1470</f>
        <v>28</v>
      </c>
      <c r="AL1470" s="51" t="n">
        <f aca="false">IF(AI1470&gt;0,J1470/AI1470,-1)</f>
        <v>-1</v>
      </c>
      <c r="AM1470" s="51" t="str">
        <f aca="false">IF(AND(OR(CC1470="L1",CC1470="L23",CC1470="LIFT"),AI1470&gt;0),SUMIFS($AI$7:$AI$1843,$CC$7:$CC$1843,CC1470,$AL$7:$AL$1843,"&gt;"&amp;AL1470)+SUMIFS($AI$7:$AI$1843,$CC$7:$CC$1843,CC1470,$AL$7:$AL$1843,AL1470,$BT$7:$BT$1843,"&lt;="&amp;BT1470),"")</f>
        <v/>
      </c>
      <c r="AN1470" s="58" t="n">
        <f aca="false">IF(AM1470="",0,MAX(0,MIN(1,(IF(CC1470="L1",Parameter!$H$5,IF(CC1470="L23",Parameter!$H$6+Parameter!$H$7,Parameter!$H$5+Parameter!$H$6+Parameter!$H$7))-(AM1470-AI1470))/AI1470)))</f>
        <v>0</v>
      </c>
      <c r="AO1470" s="50" t="n">
        <f aca="false">IF(LEFT(Cockpit!$I$5,1)="A",H1470,IF(CE1470=1,CF1470,IF(LEFT(Cockpit!$I$5,1)="B",AT1470,MAX(AT1470,H1470))))</f>
        <v>28</v>
      </c>
      <c r="AP1470" s="50" t="n">
        <f aca="false">IF(BW1470=1,0,ROUNDUP(AO1470/BV1470,0))</f>
        <v>7</v>
      </c>
      <c r="AQ1470" s="52" t="n">
        <f aca="false">IF(CL1470&gt;0,CL1470*MAX(1,AO1470/X1470),IF(BW1470=1,IF(AO1470&lt;=0,0,CA1470*MAX(1,IF(H1470&gt;0,AO1470/H1470,1))),IF(R1470&gt;0,AP1470/R1470,0))/MAX(0.1,N(Parameter!$M$21)))</f>
        <v>0.583333333333333</v>
      </c>
      <c r="AR1470" s="50" t="n">
        <f aca="false">AQ1470*BY1470</f>
        <v>84.5833333333333</v>
      </c>
      <c r="AS1470" s="50" t="n">
        <f aca="false">AO1470*G1470</f>
        <v>127278.2</v>
      </c>
      <c r="AT1470" s="50" t="n">
        <f aca="false">ROUNDUP(MAX(J1470/IF(CD1470&gt;0,CD1470,MAX(0.1,N(Cockpit!$I$6))),CG1470)/BV1470,0)*BV1470</f>
        <v>28</v>
      </c>
      <c r="AU1470" s="51" t="n">
        <f aca="false">IF(AR1470&gt;0,J1470/AR1470,-1)</f>
        <v>0.579310344827586</v>
      </c>
      <c r="AV1470" s="51" t="n">
        <f aca="false">IF(AND(OR(CC1470="L1",CC1470="L23",CC1470="LIFT"),AR1470&gt;0),SUMIFS($AR$7:$AR$1843,$CC$7:$CC$1843,CC1470,$AU$7:$AU$1843,"&gt;"&amp;AU1470)+SUMIFS($AR$7:$AR$1843,$CC$7:$CC$1843,CC1470,$AU$7:$AU$1843,AU1470,$BT$7:$BT$1843,"&lt;="&amp;BT1470),"")</f>
        <v>13057.994047619</v>
      </c>
      <c r="AW1470" s="58" t="n">
        <f aca="false">IF(AV1470="",0,MAX(0,MIN(1,(IF(CC1470="L1",Parameter!$H$5,IF(CC1470="L23",Parameter!$H$6+Parameter!$H$7,Parameter!$H$5+Parameter!$H$6+Parameter!$H$7))-(AV1470-AR1470))/AR1470)))</f>
        <v>1</v>
      </c>
      <c r="AX1470" s="50" t="n">
        <f aca="false">IF(LEFT(Cockpit!$O$5,1)="A",H1470,IF(CE1470=1,CF1470,IF(LEFT(Cockpit!$O$5,1)="B",BC1470,MAX(BC1470,H1470))))</f>
        <v>20</v>
      </c>
      <c r="AY1470" s="50" t="n">
        <f aca="false">IF(BW1470=1,0,ROUNDUP(AX1470/BV1470,0))</f>
        <v>5</v>
      </c>
      <c r="AZ1470" s="52" t="n">
        <f aca="false">IF(CL1470&gt;0,CL1470*MAX(1,AX1470/X1470),IF(BW1470=1,IF(AX1470&lt;=0,0,CA1470*MAX(1,IF(H1470&gt;0,AX1470/H1470,1))),IF(R1470&gt;0,AY1470/R1470,0))/MAX(0.1,N(Parameter!$M$21)))</f>
        <v>0.416666666666667</v>
      </c>
      <c r="BA1470" s="50" t="n">
        <f aca="false">AZ1470*BY1470</f>
        <v>60.4166666666667</v>
      </c>
      <c r="BB1470" s="50" t="n">
        <f aca="false">AX1470*G1470</f>
        <v>90913</v>
      </c>
      <c r="BC1470" s="50" t="n">
        <f aca="false">ROUNDUP(MAX(J1470/IF(CD1470&gt;0,CD1470,MAX(0.1,N(Cockpit!$O$6))),CG1470)/BV1470,0)*BV1470</f>
        <v>20</v>
      </c>
      <c r="BD1470" s="51" t="n">
        <f aca="false">IF(BA1470&gt;0,J1470/BA1470,-1)</f>
        <v>0.811034482758621</v>
      </c>
      <c r="BE1470" s="51" t="n">
        <f aca="false">IF(AND(OR(CC1470="L1",CC1470="L23",CC1470="LIFT"),BA1470&gt;0),SUMIFS($BA$7:$BA$1843,$CC$7:$CC$1843,CC1470,$BD$7:$BD$1843,"&gt;"&amp;BD1470)+SUMIFS($BA$7:$BA$1843,$CC$7:$CC$1843,CC1470,$BD$7:$BD$1843,BD1470,$BT$7:$BT$1843,"&lt;="&amp;BT1470),"")</f>
        <v>10864.0837912088</v>
      </c>
      <c r="BF1470" s="58" t="n">
        <f aca="false">IF(BE1470="",0,MAX(0,MIN(1,(IF(CC1470="L1",Parameter!$H$5,IF(CC1470="L23",Parameter!$H$6+Parameter!$H$7,Parameter!$H$5+Parameter!$H$6+Parameter!$H$7))-(BE1470-BA1470))/BA1470)))</f>
        <v>1</v>
      </c>
      <c r="BG1470" s="48" t="str">
        <f aca="false">IF(AI1470&lt;=0,"",IF(CC1470="Aussen","Aussenlager",IF(CC1470="-","Nicht im Lift",IF(AN1470&gt;=1,"Lift",IF(AN1470&lt;=0,"Aussenlager","teilweise")))))</f>
        <v/>
      </c>
      <c r="BH1470" s="48" t="str">
        <f aca="false">IF(AR1470&lt;=0,"",IF(CC1470="Aussen","Aussenlager",IF(CC1470="-","Nicht im Lift",IF(AW1470&gt;=1,"Lift",IF(AW1470&lt;=0,"Aussenlager","teilweise")))))</f>
        <v>Lift</v>
      </c>
      <c r="BI1470" s="48" t="str">
        <f aca="false">IF(BA1470&lt;=0,"",IF(CC1470="Aussen","Aussenlager",IF(CC1470="-","Nicht im Lift",IF(BF1470&gt;=1,"Lift",IF(BF1470&lt;=0,"Aussenlager","teilweise")))))</f>
        <v>Lift</v>
      </c>
      <c r="BJ1470" s="48" t="str">
        <f aca="false">IF(A1470="","",IF(BS1470=1,"Neu; ","")&amp;IF(AND(BS1470=0,BN1470&lt;0),"negativer Bestand (Export "&amp;BN1470&amp;"); ","")&amp;IF(J1470&lt;=0,"Kein Verbrauch; ","")&amp;IF(CL1470&gt;0,"Lift "&amp;W1470&amp;" lt. Liftbericht (Fach "&amp;X1470&amp;" Stk); ",IF(BX1470=1,"Gebinde geschätzt ("&amp;T1470&amp;"); ",IF(BW1470=1,"Lose – Tablare geschätzt; ","")))&amp;IF(H1470&gt;AT1470,"Überbestand "&amp;ROUND(H1470-AT1470,0)&amp;" Stk / CHF "&amp;ROUND((H1470-AT1470)*G1470,0)&amp;"; ","")&amp;IF(AND(CE1470=1,CF1470&lt;CG1470),"MAX &lt; MB+LG; ","")&amp;IF(AND(CK1470&gt;0,CJ1470*10&gt;CK1470),"zu hoch für Tablar; ","")&amp;IF(AND(BS1470=0,OR(CE1470=1,AA1470&lt;&gt;"",U1470&lt;&gt;"",V1470&lt;&gt;"",AB1470&lt;&gt;"")),"manuell übersteuert; ","")&amp;IF(AND(BW1470=0,R1470=0),"Gebinde unbekannt / Stellmass fehlt; ","")&amp;IF(AND(BW1470=0,N(V1470)&lt;=0,N(Q1470)&lt;=0),"Menge pro Gebinde fehlt (Ist = 1 Gebinde); ","")&amp;BR1470)</f>
        <v>negativer Bestand (Export -21); Gebinde geschätzt (Mittel); Menge pro Gebinde fehlt (Ist = 1 Gebinde); </v>
      </c>
      <c r="BK1470" s="48"/>
      <c r="BL1470" s="48"/>
      <c r="BM1470" s="55"/>
      <c r="BN1470" s="50" t="n">
        <v>-21</v>
      </c>
      <c r="BO1470" s="50" t="n">
        <v>0</v>
      </c>
      <c r="BP1470" s="49" t="n">
        <v>-95302.94</v>
      </c>
      <c r="BQ1470" s="50" t="n">
        <v>49</v>
      </c>
      <c r="BR1470" s="48"/>
      <c r="BS1470" s="53" t="n">
        <v>0</v>
      </c>
      <c r="BT1470" s="53" t="n">
        <v>1470</v>
      </c>
      <c r="BU1470" s="48" t="str">
        <f aca="false">IF(U1470&lt;&gt;"",UPPER(TRIM(U1470)),IF(BX1470=1,UPPER(VLOOKUP(T1470,Parameter!$I$27:$K$29,2,0)),IF(P1470="","LOSE",P1470)))</f>
        <v>S61</v>
      </c>
      <c r="BV1470" s="50" t="n">
        <f aca="false">IF(BU1470="LOSE",1,IF(N(V1470)&gt;0,V1470,IF(BX1470=1,MAX(1,N(VLOOKUP(T1470,Parameter!$I$27:$K$29,3,0)),H1470,N(N1470)),IF(N(Q1470)&gt;0,Q1470,MAX(1,H1470)))))</f>
        <v>4</v>
      </c>
      <c r="BW1470" s="53" t="n">
        <f aca="false">IF(BU1470="LOSE",1,0)</f>
        <v>0</v>
      </c>
      <c r="BX1470" s="53" t="n">
        <f aca="false">IF(AND(U1470="",OR(P1470="",P1470="LOSE"),T1470&lt;&gt;"",N(S1470)&lt;=0,ISNUMBER(MATCH(T1470,Parameter!$I$27:$I$29,0))),1,0)</f>
        <v>1</v>
      </c>
      <c r="BY1470" s="53" t="n">
        <f aca="false">IF(CL1470&gt;0,INDEX(Parameter!$H$5:$H$7,W1470)/INDEX(Parameter!$E$5:$E$7,W1470),IF(AND(BW1470=0,N(IFERROR(VLOOKUP(BU1470,'Gebinde-Kategorie'!$A$5:$N$45,14,0),0))&gt;0),VLOOKUP(BU1470,'Gebinde-Kategorie'!$A$5:$N$45,14,0)*10+Parameter!$M$23,Parameter!$M$24))</f>
        <v>145</v>
      </c>
      <c r="BZ1470" s="48" t="n">
        <f aca="false">IF(AND(Parameter!$B$19="Ja",E1470&lt;&gt;"",ISNUMBER(MATCH(E1470,Parameter!$I$35:$I$52,0))),VLOOKUP(E1470,Parameter!$I$35:$J$52,2,0),IFERROR(VLOOKUP(D1470,Parameter!$A$35:$C$64,2,0),"Nein"))</f>
        <v>1</v>
      </c>
      <c r="CA1470" s="52" t="n">
        <f aca="false">IF(BW1470=0,0,IF(N(S1470)&gt;0,S1470,IFERROR(VLOOKUP(D1470,Parameter!$A$35:$C$64,3,0)+0,0)))</f>
        <v>0</v>
      </c>
      <c r="CB1470" s="48" t="n">
        <f aca="false">IF(AA1470&lt;&gt;"",AA1470,Z1470)</f>
        <v>1</v>
      </c>
      <c r="CC1470" s="48" t="str">
        <f aca="false">IF(OR(CB1470=1,CB1470=2,CB1470=3),IF(Parameter!$E$27="Ja","LIFT",IF(CB1470=1,"L1","L23")),IF(CB1470="Aussen","Aussen","-"))</f>
        <v>LIFT</v>
      </c>
      <c r="CD1470" s="59" t="n">
        <f aca="false">IF(N(AB1470)&gt;0,AB1470,0)</f>
        <v>0</v>
      </c>
      <c r="CE1470" s="53" t="n">
        <f aca="false">IF(ISNUMBER(AE1470),1,0)</f>
        <v>0</v>
      </c>
      <c r="CF1470" s="50" t="n">
        <f aca="false">N(AE1470)</f>
        <v>0</v>
      </c>
      <c r="CG1470" s="50" t="n">
        <f aca="false">N(M1470)+N(N1470)</f>
        <v>3</v>
      </c>
      <c r="CH1470" s="50" t="n">
        <f aca="false">ROUNDUP(H1470/BV1470,0)</f>
        <v>0</v>
      </c>
      <c r="CI1470" s="50" t="n">
        <f aca="false">ROUNDUP(CF1470/BV1470,0)</f>
        <v>0</v>
      </c>
      <c r="CJ1470" s="53" t="n">
        <f aca="false">IF(BW1470=1,0,IFERROR(VLOOKUP(BU1470,'Gebinde-Kategorie'!$A$5:$N$45,5,0)+0,0))</f>
        <v>11</v>
      </c>
      <c r="CK1470" s="53" t="n">
        <f aca="false">IFERROR(IF(OR(CB1470=1,CB1470=2,CB1470=3),N(INDEX(Parameter!$I$5:$I$7,CB1470)),0),0)</f>
        <v>0</v>
      </c>
      <c r="CL1470" s="52" t="n">
        <f aca="false">IF(AND(Parameter!$B$21="Ja",ISNUMBER(W1470),N(X1470)&gt;0),IFERROR(N(INDEX(Parameter!$L$5:$L$7,W1470))*INDEX(Parameter!$E$5:$E$7,W1470)*X1470/SUMIFS($X$7:$X$1843,$W$7:$W$1843,W1470),0),0)</f>
        <v>0</v>
      </c>
    </row>
    <row r="1471" customFormat="false" ht="15" hidden="false" customHeight="false" outlineLevel="0" collapsed="false">
      <c r="A1471" s="48" t="s">
        <v>2571</v>
      </c>
      <c r="B1471" s="48" t="s">
        <v>2572</v>
      </c>
      <c r="C1471" s="48" t="s">
        <v>168</v>
      </c>
      <c r="D1471" s="48" t="s">
        <v>188</v>
      </c>
      <c r="E1471" s="48" t="s">
        <v>189</v>
      </c>
      <c r="F1471" s="48"/>
      <c r="G1471" s="49" t="n">
        <v>6.47</v>
      </c>
      <c r="H1471" s="50" t="n">
        <f aca="false">MAX(0,IF(AND(Parameter!$B$21="Ja",ISNUMBER(Y1471)),Y1471,IF(Parameter!$B$20="Jahresanfang 2025 + Export",BO1471+BN1471,BN1471)))</f>
        <v>34</v>
      </c>
      <c r="I1471" s="50" t="n">
        <f aca="false">H1471*G1471</f>
        <v>219.98</v>
      </c>
      <c r="J1471" s="50" t="n">
        <f aca="false">BQ1471*Parameter!$B$18</f>
        <v>0</v>
      </c>
      <c r="K1471" s="51"/>
      <c r="L1471" s="52"/>
      <c r="M1471" s="50" t="n">
        <v>0</v>
      </c>
      <c r="N1471" s="50" t="n">
        <v>50</v>
      </c>
      <c r="O1471" s="53" t="n">
        <v>21</v>
      </c>
      <c r="P1471" s="48" t="s">
        <v>306</v>
      </c>
      <c r="Q1471" s="50" t="n">
        <v>34</v>
      </c>
      <c r="R1471" s="53" t="n">
        <f aca="false">IF(BW1471=1,0,IFERROR(VLOOKUP(BU1471,'Gebinde-Kategorie'!$A$5:$N$45,13,0)+0,0))</f>
        <v>26</v>
      </c>
      <c r="S1471" s="54"/>
      <c r="T1471" s="55"/>
      <c r="U1471" s="55"/>
      <c r="V1471" s="55"/>
      <c r="W1471" s="48"/>
      <c r="X1471" s="50"/>
      <c r="Y1471" s="50"/>
      <c r="Z1471" s="48" t="n">
        <f aca="false">IF(A1471="","",IF(AND(Parameter!$B$21="Ja",ISNUMBER(W1471)),W1471,IF(BZ1471="2+3",IF(ISNUMBER(SEARCH("grosser Artikel",BR1471)),2,IFERROR(VLOOKUP(BU1471,Parameter!$F$35:$G$64,2,0),2)),IF(OR(BZ1471="Nein",BZ1471=""),"-",BZ1471))))</f>
        <v>3</v>
      </c>
      <c r="AA1471" s="55"/>
      <c r="AB1471" s="56"/>
      <c r="AC1471" s="50" t="n">
        <f aca="false">AT1471</f>
        <v>68</v>
      </c>
      <c r="AD1471" s="50" t="n">
        <f aca="false">MAX(AT1471,H1471)</f>
        <v>68</v>
      </c>
      <c r="AE1471" s="57"/>
      <c r="AF1471" s="50" t="n">
        <f aca="false">IF(LEFT(Cockpit!$C$5,1)="A",H1471,IF(CE1471=1,CF1471,IF(LEFT(Cockpit!$C$5,1)="B",AK1471,MAX(AK1471,H1471))))</f>
        <v>34</v>
      </c>
      <c r="AG1471" s="50" t="n">
        <f aca="false">IF(BW1471=1,0,ROUNDUP(AF1471/BV1471,0))</f>
        <v>1</v>
      </c>
      <c r="AH1471" s="52" t="n">
        <f aca="false">IF(CL1471&gt;0,CL1471*MAX(1,AF1471/X1471),IF(BW1471=1,IF(AF1471&lt;=0,0,CA1471*MAX(1,IF(H1471&gt;0,AF1471/H1471,1))),IF(R1471&gt;0,AG1471/R1471,0))/MAX(0.1,N(Parameter!$M$21)))</f>
        <v>0.0384615384615385</v>
      </c>
      <c r="AI1471" s="50" t="n">
        <f aca="false">AH1471*BY1471</f>
        <v>5.96153846153846</v>
      </c>
      <c r="AJ1471" s="50" t="n">
        <f aca="false">AF1471*G1471</f>
        <v>219.98</v>
      </c>
      <c r="AK1471" s="50" t="n">
        <f aca="false">ROUNDUP(MAX(J1471/IF(CD1471&gt;0,CD1471,MAX(0.1,N(Cockpit!$C$6))),CG1471)/BV1471,0)*BV1471</f>
        <v>68</v>
      </c>
      <c r="AL1471" s="51" t="n">
        <f aca="false">IF(AI1471&gt;0,J1471/AI1471,-1)</f>
        <v>0</v>
      </c>
      <c r="AM1471" s="51" t="n">
        <f aca="false">IF(AND(OR(CC1471="L1",CC1471="L23",CC1471="LIFT"),AI1471&gt;0),SUMIFS($AI$7:$AI$1843,$CC$7:$CC$1843,CC1471,$AL$7:$AL$1843,"&gt;"&amp;AL1471)+SUMIFS($AI$7:$AI$1843,$CC$7:$CC$1843,CC1471,$AL$7:$AL$1843,AL1471,$BT$7:$BT$1843,"&lt;="&amp;BT1471),"")</f>
        <v>29702.1285181391</v>
      </c>
      <c r="AN1471" s="58" t="n">
        <f aca="false">IF(AM1471="",0,MAX(0,MIN(1,(IF(CC1471="L1",Parameter!$H$5,IF(CC1471="L23",Parameter!$H$6+Parameter!$H$7,Parameter!$H$5+Parameter!$H$6+Parameter!$H$7))-(AM1471-AI1471))/AI1471)))</f>
        <v>1</v>
      </c>
      <c r="AO1471" s="50" t="n">
        <f aca="false">IF(LEFT(Cockpit!$I$5,1)="A",H1471,IF(CE1471=1,CF1471,IF(LEFT(Cockpit!$I$5,1)="B",AT1471,MAX(AT1471,H1471))))</f>
        <v>68</v>
      </c>
      <c r="AP1471" s="50" t="n">
        <f aca="false">IF(BW1471=1,0,ROUNDUP(AO1471/BV1471,0))</f>
        <v>2</v>
      </c>
      <c r="AQ1471" s="52" t="n">
        <f aca="false">IF(CL1471&gt;0,CL1471*MAX(1,AO1471/X1471),IF(BW1471=1,IF(AO1471&lt;=0,0,CA1471*MAX(1,IF(H1471&gt;0,AO1471/H1471,1))),IF(R1471&gt;0,AP1471/R1471,0))/MAX(0.1,N(Parameter!$M$21)))</f>
        <v>0.0769230769230769</v>
      </c>
      <c r="AR1471" s="50" t="n">
        <f aca="false">AQ1471*BY1471</f>
        <v>11.9230769230769</v>
      </c>
      <c r="AS1471" s="50" t="n">
        <f aca="false">AO1471*G1471</f>
        <v>439.96</v>
      </c>
      <c r="AT1471" s="50" t="n">
        <f aca="false">ROUNDUP(MAX(J1471/IF(CD1471&gt;0,CD1471,MAX(0.1,N(Cockpit!$I$6))),CG1471)/BV1471,0)*BV1471</f>
        <v>68</v>
      </c>
      <c r="AU1471" s="51" t="n">
        <f aca="false">IF(AR1471&gt;0,J1471/AR1471,-1)</f>
        <v>0</v>
      </c>
      <c r="AV1471" s="51" t="n">
        <f aca="false">IF(AND(OR(CC1471="L1",CC1471="L23",CC1471="LIFT"),AR1471&gt;0),SUMIFS($AR$7:$AR$1843,$CC$7:$CC$1843,CC1471,$AU$7:$AU$1843,"&gt;"&amp;AU1471)+SUMIFS($AR$7:$AR$1843,$CC$7:$CC$1843,CC1471,$AU$7:$AU$1843,AU1471,$BT$7:$BT$1843,"&lt;="&amp;BT1471),"")</f>
        <v>41977.9520757021</v>
      </c>
      <c r="AW1471" s="58" t="n">
        <f aca="false">IF(AV1471="",0,MAX(0,MIN(1,(IF(CC1471="L1",Parameter!$H$5,IF(CC1471="L23",Parameter!$H$6+Parameter!$H$7,Parameter!$H$5+Parameter!$H$6+Parameter!$H$7))-(AV1471-AR1471))/AR1471)))</f>
        <v>0</v>
      </c>
      <c r="AX1471" s="50" t="n">
        <f aca="false">IF(LEFT(Cockpit!$O$5,1)="A",H1471,IF(CE1471=1,CF1471,IF(LEFT(Cockpit!$O$5,1)="B",BC1471,MAX(BC1471,H1471))))</f>
        <v>68</v>
      </c>
      <c r="AY1471" s="50" t="n">
        <f aca="false">IF(BW1471=1,0,ROUNDUP(AX1471/BV1471,0))</f>
        <v>2</v>
      </c>
      <c r="AZ1471" s="52" t="n">
        <f aca="false">IF(CL1471&gt;0,CL1471*MAX(1,AX1471/X1471),IF(BW1471=1,IF(AX1471&lt;=0,0,CA1471*MAX(1,IF(H1471&gt;0,AX1471/H1471,1))),IF(R1471&gt;0,AY1471/R1471,0))/MAX(0.1,N(Parameter!$M$21)))</f>
        <v>0.0769230769230769</v>
      </c>
      <c r="BA1471" s="50" t="n">
        <f aca="false">AZ1471*BY1471</f>
        <v>11.9230769230769</v>
      </c>
      <c r="BB1471" s="50" t="n">
        <f aca="false">AX1471*G1471</f>
        <v>439.96</v>
      </c>
      <c r="BC1471" s="50" t="n">
        <f aca="false">ROUNDUP(MAX(J1471/IF(CD1471&gt;0,CD1471,MAX(0.1,N(Cockpit!$O$6))),CG1471)/BV1471,0)*BV1471</f>
        <v>68</v>
      </c>
      <c r="BD1471" s="51" t="n">
        <f aca="false">IF(BA1471&gt;0,J1471/BA1471,-1)</f>
        <v>0</v>
      </c>
      <c r="BE1471" s="51" t="n">
        <f aca="false">IF(AND(OR(CC1471="L1",CC1471="L23",CC1471="LIFT"),BA1471&gt;0),SUMIFS($BA$7:$BA$1843,$CC$7:$CC$1843,CC1471,$BD$7:$BD$1843,"&gt;"&amp;BD1471)+SUMIFS($BA$7:$BA$1843,$CC$7:$CC$1843,CC1471,$BD$7:$BD$1843,BD1471,$BT$7:$BT$1843,"&lt;="&amp;BT1471),"")</f>
        <v>38652.9641175679</v>
      </c>
      <c r="BF1471" s="58" t="n">
        <f aca="false">IF(BE1471="",0,MAX(0,MIN(1,(IF(CC1471="L1",Parameter!$H$5,IF(CC1471="L23",Parameter!$H$6+Parameter!$H$7,Parameter!$H$5+Parameter!$H$6+Parameter!$H$7))-(BE1471-BA1471))/BA1471)))</f>
        <v>0</v>
      </c>
      <c r="BG1471" s="48" t="str">
        <f aca="false">IF(AI1471&lt;=0,"",IF(CC1471="Aussen","Aussenlager",IF(CC1471="-","Nicht im Lift",IF(AN1471&gt;=1,"Lift",IF(AN1471&lt;=0,"Aussenlager","teilweise")))))</f>
        <v>Lift</v>
      </c>
      <c r="BH1471" s="48" t="str">
        <f aca="false">IF(AR1471&lt;=0,"",IF(CC1471="Aussen","Aussenlager",IF(CC1471="-","Nicht im Lift",IF(AW1471&gt;=1,"Lift",IF(AW1471&lt;=0,"Aussenlager","teilweise")))))</f>
        <v>Aussenlager</v>
      </c>
      <c r="BI1471" s="48" t="str">
        <f aca="false">IF(BA1471&lt;=0,"",IF(CC1471="Aussen","Aussenlager",IF(CC1471="-","Nicht im Lift",IF(BF1471&gt;=1,"Lift",IF(BF1471&lt;=0,"Aussenlager","teilweise")))))</f>
        <v>Aussenlager</v>
      </c>
      <c r="BJ1471" s="48" t="str">
        <f aca="false">IF(A1471="","",IF(BS1471=1,"Neu; ","")&amp;IF(AND(BS1471=0,BN1471&lt;0),"negativer Bestand (Export "&amp;BN1471&amp;"); ","")&amp;IF(J1471&lt;=0,"Kein Verbrauch; ","")&amp;IF(CL1471&gt;0,"Lift "&amp;W1471&amp;" lt. Liftbericht (Fach "&amp;X1471&amp;" Stk); ",IF(BX1471=1,"Gebinde geschätzt ("&amp;T1471&amp;"); ",IF(BW1471=1,"Lose – Tablare geschätzt; ","")))&amp;IF(H1471&gt;AT1471,"Überbestand "&amp;ROUND(H1471-AT1471,0)&amp;" Stk / CHF "&amp;ROUND((H1471-AT1471)*G1471,0)&amp;"; ","")&amp;IF(AND(CE1471=1,CF1471&lt;CG1471),"MAX &lt; MB+LG; ","")&amp;IF(AND(CK1471&gt;0,CJ1471*10&gt;CK1471),"zu hoch für Tablar; ","")&amp;IF(AND(BS1471=0,OR(CE1471=1,AA1471&lt;&gt;"",U1471&lt;&gt;"",V1471&lt;&gt;"",AB1471&lt;&gt;"")),"manuell übersteuert; ","")&amp;IF(AND(BW1471=0,R1471=0),"Gebinde unbekannt / Stellmass fehlt; ","")&amp;IF(AND(BW1471=0,N(V1471)&lt;=0,N(Q1471)&lt;=0),"Menge pro Gebinde fehlt (Ist = 1 Gebinde); ","")&amp;BR1471)</f>
        <v>Kein Verbrauch; nur im Artikelstamm (Bestand 23.06.2026); Verb.Lager</v>
      </c>
      <c r="BK1471" s="48"/>
      <c r="BL1471" s="48"/>
      <c r="BM1471" s="55"/>
      <c r="BN1471" s="50" t="n">
        <v>34</v>
      </c>
      <c r="BO1471" s="50" t="n">
        <v>0</v>
      </c>
      <c r="BP1471" s="49" t="n">
        <v>0</v>
      </c>
      <c r="BQ1471" s="50" t="n">
        <v>0</v>
      </c>
      <c r="BR1471" s="48" t="s">
        <v>2573</v>
      </c>
      <c r="BS1471" s="53" t="n">
        <v>0</v>
      </c>
      <c r="BT1471" s="53" t="n">
        <v>1471</v>
      </c>
      <c r="BU1471" s="48" t="str">
        <f aca="false">IF(U1471&lt;&gt;"",UPPER(TRIM(U1471)),IF(BX1471=1,UPPER(VLOOKUP(T1471,Parameter!$I$27:$K$29,2,0)),IF(P1471="","LOSE",P1471)))</f>
        <v>S51</v>
      </c>
      <c r="BV1471" s="50" t="n">
        <f aca="false">IF(BU1471="LOSE",1,IF(N(V1471)&gt;0,V1471,IF(BX1471=1,MAX(1,N(VLOOKUP(T1471,Parameter!$I$27:$K$29,3,0)),H1471,N(N1471)),IF(N(Q1471)&gt;0,Q1471,MAX(1,H1471)))))</f>
        <v>34</v>
      </c>
      <c r="BW1471" s="53" t="n">
        <f aca="false">IF(BU1471="LOSE",1,0)</f>
        <v>0</v>
      </c>
      <c r="BX1471" s="53" t="n">
        <f aca="false">IF(AND(U1471="",OR(P1471="",P1471="LOSE"),T1471&lt;&gt;"",N(S1471)&lt;=0,ISNUMBER(MATCH(T1471,Parameter!$I$27:$I$29,0))),1,0)</f>
        <v>0</v>
      </c>
      <c r="BY1471" s="53" t="n">
        <f aca="false">IF(CL1471&gt;0,INDEX(Parameter!$H$5:$H$7,W1471)/INDEX(Parameter!$E$5:$E$7,W1471),IF(AND(BW1471=0,N(IFERROR(VLOOKUP(BU1471,'Gebinde-Kategorie'!$A$5:$N$45,14,0),0))&gt;0),VLOOKUP(BU1471,'Gebinde-Kategorie'!$A$5:$N$45,14,0)*10+Parameter!$M$23,Parameter!$M$24))</f>
        <v>155</v>
      </c>
      <c r="BZ1471" s="48" t="str">
        <f aca="false">IF(AND(Parameter!$B$19="Ja",E1471&lt;&gt;"",ISNUMBER(MATCH(E1471,Parameter!$I$35:$I$52,0))),VLOOKUP(E1471,Parameter!$I$35:$J$52,2,0),IFERROR(VLOOKUP(D1471,Parameter!$A$35:$C$64,2,0),"Nein"))</f>
        <v>2+3</v>
      </c>
      <c r="CA1471" s="52" t="n">
        <f aca="false">IF(BW1471=0,0,IF(N(S1471)&gt;0,S1471,IFERROR(VLOOKUP(D1471,Parameter!$A$35:$C$64,3,0)+0,0)))</f>
        <v>0</v>
      </c>
      <c r="CB1471" s="48" t="n">
        <f aca="false">IF(AA1471&lt;&gt;"",AA1471,Z1471)</f>
        <v>3</v>
      </c>
      <c r="CC1471" s="48" t="str">
        <f aca="false">IF(OR(CB1471=1,CB1471=2,CB1471=3),IF(Parameter!$E$27="Ja","LIFT",IF(CB1471=1,"L1","L23")),IF(CB1471="Aussen","Aussen","-"))</f>
        <v>LIFT</v>
      </c>
      <c r="CD1471" s="59" t="n">
        <f aca="false">IF(N(AB1471)&gt;0,AB1471,0)</f>
        <v>0</v>
      </c>
      <c r="CE1471" s="53" t="n">
        <f aca="false">IF(ISNUMBER(AE1471),1,0)</f>
        <v>0</v>
      </c>
      <c r="CF1471" s="50" t="n">
        <f aca="false">N(AE1471)</f>
        <v>0</v>
      </c>
      <c r="CG1471" s="50" t="n">
        <f aca="false">N(M1471)+N(N1471)</f>
        <v>50</v>
      </c>
      <c r="CH1471" s="50" t="n">
        <f aca="false">ROUNDUP(H1471/BV1471,0)</f>
        <v>1</v>
      </c>
      <c r="CI1471" s="50" t="n">
        <f aca="false">ROUNDUP(CF1471/BV1471,0)</f>
        <v>0</v>
      </c>
      <c r="CJ1471" s="53" t="n">
        <f aca="false">IF(BW1471=1,0,IFERROR(VLOOKUP(BU1471,'Gebinde-Kategorie'!$A$5:$N$45,5,0)+0,0))</f>
        <v>11</v>
      </c>
      <c r="CK1471" s="53" t="n">
        <f aca="false">IFERROR(IF(OR(CB1471=1,CB1471=2,CB1471=3),N(INDEX(Parameter!$I$5:$I$7,CB1471)),0),0)</f>
        <v>0</v>
      </c>
      <c r="CL1471" s="52" t="n">
        <f aca="false">IF(AND(Parameter!$B$21="Ja",ISNUMBER(W1471),N(X1471)&gt;0),IFERROR(N(INDEX(Parameter!$L$5:$L$7,W1471))*INDEX(Parameter!$E$5:$E$7,W1471)*X1471/SUMIFS($X$7:$X$1843,$W$7:$W$1843,W1471),0),0)</f>
        <v>0</v>
      </c>
    </row>
    <row r="1472" customFormat="false" ht="15" hidden="false" customHeight="false" outlineLevel="0" collapsed="false">
      <c r="A1472" s="48" t="s">
        <v>2574</v>
      </c>
      <c r="B1472" s="48" t="s">
        <v>2575</v>
      </c>
      <c r="C1472" s="48" t="s">
        <v>168</v>
      </c>
      <c r="D1472" s="48" t="s">
        <v>188</v>
      </c>
      <c r="E1472" s="48" t="s">
        <v>189</v>
      </c>
      <c r="F1472" s="48"/>
      <c r="G1472" s="49" t="n">
        <v>150.1</v>
      </c>
      <c r="H1472" s="50" t="n">
        <f aca="false">MAX(0,IF(AND(Parameter!$B$21="Ja",ISNUMBER(Y1472)),Y1472,IF(Parameter!$B$20="Jahresanfang 2025 + Export",BO1472+BN1472,BN1472)))</f>
        <v>13</v>
      </c>
      <c r="I1472" s="50" t="n">
        <f aca="false">H1472*G1472</f>
        <v>1951.3</v>
      </c>
      <c r="J1472" s="50" t="n">
        <f aca="false">BQ1472*Parameter!$B$18</f>
        <v>0</v>
      </c>
      <c r="K1472" s="51"/>
      <c r="L1472" s="52"/>
      <c r="M1472" s="50" t="n">
        <v>0</v>
      </c>
      <c r="N1472" s="50" t="n">
        <v>1</v>
      </c>
      <c r="O1472" s="53" t="n">
        <v>21</v>
      </c>
      <c r="P1472" s="48" t="s">
        <v>332</v>
      </c>
      <c r="Q1472" s="50" t="n">
        <v>13</v>
      </c>
      <c r="R1472" s="53" t="n">
        <f aca="false">IF(BW1472=1,0,IFERROR(VLOOKUP(BU1472,'Gebinde-Kategorie'!$A$5:$N$45,13,0)+0,0))</f>
        <v>52</v>
      </c>
      <c r="S1472" s="54"/>
      <c r="T1472" s="55"/>
      <c r="U1472" s="55"/>
      <c r="V1472" s="55"/>
      <c r="W1472" s="48"/>
      <c r="X1472" s="50"/>
      <c r="Y1472" s="50"/>
      <c r="Z1472" s="48" t="n">
        <f aca="false">IF(A1472="","",IF(AND(Parameter!$B$21="Ja",ISNUMBER(W1472)),W1472,IF(BZ1472="2+3",IF(ISNUMBER(SEARCH("grosser Artikel",BR1472)),2,IFERROR(VLOOKUP(BU1472,Parameter!$F$35:$G$64,2,0),2)),IF(OR(BZ1472="Nein",BZ1472=""),"-",BZ1472))))</f>
        <v>3</v>
      </c>
      <c r="AA1472" s="55"/>
      <c r="AB1472" s="56"/>
      <c r="AC1472" s="50" t="n">
        <f aca="false">AT1472</f>
        <v>13</v>
      </c>
      <c r="AD1472" s="50" t="n">
        <f aca="false">MAX(AT1472,H1472)</f>
        <v>13</v>
      </c>
      <c r="AE1472" s="57"/>
      <c r="AF1472" s="50" t="n">
        <f aca="false">IF(LEFT(Cockpit!$C$5,1)="A",H1472,IF(CE1472=1,CF1472,IF(LEFT(Cockpit!$C$5,1)="B",AK1472,MAX(AK1472,H1472))))</f>
        <v>13</v>
      </c>
      <c r="AG1472" s="50" t="n">
        <f aca="false">IF(BW1472=1,0,ROUNDUP(AF1472/BV1472,0))</f>
        <v>1</v>
      </c>
      <c r="AH1472" s="52" t="n">
        <f aca="false">IF(CL1472&gt;0,CL1472*MAX(1,AF1472/X1472),IF(BW1472=1,IF(AF1472&lt;=0,0,CA1472*MAX(1,IF(H1472&gt;0,AF1472/H1472,1))),IF(R1472&gt;0,AG1472/R1472,0))/MAX(0.1,N(Parameter!$M$21)))</f>
        <v>0.0192307692307692</v>
      </c>
      <c r="AI1472" s="50" t="n">
        <f aca="false">AH1472*BY1472</f>
        <v>2.98076923076923</v>
      </c>
      <c r="AJ1472" s="50" t="n">
        <f aca="false">AF1472*G1472</f>
        <v>1951.3</v>
      </c>
      <c r="AK1472" s="50" t="n">
        <f aca="false">ROUNDUP(MAX(J1472/IF(CD1472&gt;0,CD1472,MAX(0.1,N(Cockpit!$C$6))),CG1472)/BV1472,0)*BV1472</f>
        <v>13</v>
      </c>
      <c r="AL1472" s="51" t="n">
        <f aca="false">IF(AI1472&gt;0,J1472/AI1472,-1)</f>
        <v>0</v>
      </c>
      <c r="AM1472" s="51" t="n">
        <f aca="false">IF(AND(OR(CC1472="L1",CC1472="L23",CC1472="LIFT"),AI1472&gt;0),SUMIFS($AI$7:$AI$1843,$CC$7:$CC$1843,CC1472,$AL$7:$AL$1843,"&gt;"&amp;AL1472)+SUMIFS($AI$7:$AI$1843,$CC$7:$CC$1843,CC1472,$AL$7:$AL$1843,AL1472,$BT$7:$BT$1843,"&lt;="&amp;BT1472),"")</f>
        <v>29705.1092873699</v>
      </c>
      <c r="AN1472" s="58" t="n">
        <f aca="false">IF(AM1472="",0,MAX(0,MIN(1,(IF(CC1472="L1",Parameter!$H$5,IF(CC1472="L23",Parameter!$H$6+Parameter!$H$7,Parameter!$H$5+Parameter!$H$6+Parameter!$H$7))-(AM1472-AI1472))/AI1472)))</f>
        <v>1</v>
      </c>
      <c r="AO1472" s="50" t="n">
        <f aca="false">IF(LEFT(Cockpit!$I$5,1)="A",H1472,IF(CE1472=1,CF1472,IF(LEFT(Cockpit!$I$5,1)="B",AT1472,MAX(AT1472,H1472))))</f>
        <v>13</v>
      </c>
      <c r="AP1472" s="50" t="n">
        <f aca="false">IF(BW1472=1,0,ROUNDUP(AO1472/BV1472,0))</f>
        <v>1</v>
      </c>
      <c r="AQ1472" s="52" t="n">
        <f aca="false">IF(CL1472&gt;0,CL1472*MAX(1,AO1472/X1472),IF(BW1472=1,IF(AO1472&lt;=0,0,CA1472*MAX(1,IF(H1472&gt;0,AO1472/H1472,1))),IF(R1472&gt;0,AP1472/R1472,0))/MAX(0.1,N(Parameter!$M$21)))</f>
        <v>0.0192307692307692</v>
      </c>
      <c r="AR1472" s="50" t="n">
        <f aca="false">AQ1472*BY1472</f>
        <v>2.98076923076923</v>
      </c>
      <c r="AS1472" s="50" t="n">
        <f aca="false">AO1472*G1472</f>
        <v>1951.3</v>
      </c>
      <c r="AT1472" s="50" t="n">
        <f aca="false">ROUNDUP(MAX(J1472/IF(CD1472&gt;0,CD1472,MAX(0.1,N(Cockpit!$I$6))),CG1472)/BV1472,0)*BV1472</f>
        <v>13</v>
      </c>
      <c r="AU1472" s="51" t="n">
        <f aca="false">IF(AR1472&gt;0,J1472/AR1472,-1)</f>
        <v>0</v>
      </c>
      <c r="AV1472" s="51" t="n">
        <f aca="false">IF(AND(OR(CC1472="L1",CC1472="L23",CC1472="LIFT"),AR1472&gt;0),SUMIFS($AR$7:$AR$1843,$CC$7:$CC$1843,CC1472,$AU$7:$AU$1843,"&gt;"&amp;AU1472)+SUMIFS($AR$7:$AR$1843,$CC$7:$CC$1843,CC1472,$AU$7:$AU$1843,AU1472,$BT$7:$BT$1843,"&lt;="&amp;BT1472),"")</f>
        <v>41980.9328449328</v>
      </c>
      <c r="AW1472" s="58" t="n">
        <f aca="false">IF(AV1472="",0,MAX(0,MIN(1,(IF(CC1472="L1",Parameter!$H$5,IF(CC1472="L23",Parameter!$H$6+Parameter!$H$7,Parameter!$H$5+Parameter!$H$6+Parameter!$H$7))-(AV1472-AR1472))/AR1472)))</f>
        <v>0</v>
      </c>
      <c r="AX1472" s="50" t="n">
        <f aca="false">IF(LEFT(Cockpit!$O$5,1)="A",H1472,IF(CE1472=1,CF1472,IF(LEFT(Cockpit!$O$5,1)="B",BC1472,MAX(BC1472,H1472))))</f>
        <v>13</v>
      </c>
      <c r="AY1472" s="50" t="n">
        <f aca="false">IF(BW1472=1,0,ROUNDUP(AX1472/BV1472,0))</f>
        <v>1</v>
      </c>
      <c r="AZ1472" s="52" t="n">
        <f aca="false">IF(CL1472&gt;0,CL1472*MAX(1,AX1472/X1472),IF(BW1472=1,IF(AX1472&lt;=0,0,CA1472*MAX(1,IF(H1472&gt;0,AX1472/H1472,1))),IF(R1472&gt;0,AY1472/R1472,0))/MAX(0.1,N(Parameter!$M$21)))</f>
        <v>0.0192307692307692</v>
      </c>
      <c r="BA1472" s="50" t="n">
        <f aca="false">AZ1472*BY1472</f>
        <v>2.98076923076923</v>
      </c>
      <c r="BB1472" s="50" t="n">
        <f aca="false">AX1472*G1472</f>
        <v>1951.3</v>
      </c>
      <c r="BC1472" s="50" t="n">
        <f aca="false">ROUNDUP(MAX(J1472/IF(CD1472&gt;0,CD1472,MAX(0.1,N(Cockpit!$O$6))),CG1472)/BV1472,0)*BV1472</f>
        <v>13</v>
      </c>
      <c r="BD1472" s="51" t="n">
        <f aca="false">IF(BA1472&gt;0,J1472/BA1472,-1)</f>
        <v>0</v>
      </c>
      <c r="BE1472" s="51" t="n">
        <f aca="false">IF(AND(OR(CC1472="L1",CC1472="L23",CC1472="LIFT"),BA1472&gt;0),SUMIFS($BA$7:$BA$1843,$CC$7:$CC$1843,CC1472,$BD$7:$BD$1843,"&gt;"&amp;BD1472)+SUMIFS($BA$7:$BA$1843,$CC$7:$CC$1843,CC1472,$BD$7:$BD$1843,BD1472,$BT$7:$BT$1843,"&lt;="&amp;BT1472),"")</f>
        <v>38655.9448867987</v>
      </c>
      <c r="BF1472" s="58" t="n">
        <f aca="false">IF(BE1472="",0,MAX(0,MIN(1,(IF(CC1472="L1",Parameter!$H$5,IF(CC1472="L23",Parameter!$H$6+Parameter!$H$7,Parameter!$H$5+Parameter!$H$6+Parameter!$H$7))-(BE1472-BA1472))/BA1472)))</f>
        <v>0</v>
      </c>
      <c r="BG1472" s="48" t="str">
        <f aca="false">IF(AI1472&lt;=0,"",IF(CC1472="Aussen","Aussenlager",IF(CC1472="-","Nicht im Lift",IF(AN1472&gt;=1,"Lift",IF(AN1472&lt;=0,"Aussenlager","teilweise")))))</f>
        <v>Lift</v>
      </c>
      <c r="BH1472" s="48" t="str">
        <f aca="false">IF(AR1472&lt;=0,"",IF(CC1472="Aussen","Aussenlager",IF(CC1472="-","Nicht im Lift",IF(AW1472&gt;=1,"Lift",IF(AW1472&lt;=0,"Aussenlager","teilweise")))))</f>
        <v>Aussenlager</v>
      </c>
      <c r="BI1472" s="48" t="str">
        <f aca="false">IF(BA1472&lt;=0,"",IF(CC1472="Aussen","Aussenlager",IF(CC1472="-","Nicht im Lift",IF(BF1472&gt;=1,"Lift",IF(BF1472&lt;=0,"Aussenlager","teilweise")))))</f>
        <v>Aussenlager</v>
      </c>
      <c r="BJ1472" s="48" t="str">
        <f aca="false">IF(A1472="","",IF(BS1472=1,"Neu; ","")&amp;IF(AND(BS1472=0,BN1472&lt;0),"negativer Bestand (Export "&amp;BN1472&amp;"); ","")&amp;IF(J1472&lt;=0,"Kein Verbrauch; ","")&amp;IF(CL1472&gt;0,"Lift "&amp;W1472&amp;" lt. Liftbericht (Fach "&amp;X1472&amp;" Stk); ",IF(BX1472=1,"Gebinde geschätzt ("&amp;T1472&amp;"); ",IF(BW1472=1,"Lose – Tablare geschätzt; ","")))&amp;IF(H1472&gt;AT1472,"Überbestand "&amp;ROUND(H1472-AT1472,0)&amp;" Stk / CHF "&amp;ROUND((H1472-AT1472)*G1472,0)&amp;"; ","")&amp;IF(AND(CE1472=1,CF1472&lt;CG1472),"MAX &lt; MB+LG; ","")&amp;IF(AND(CK1472&gt;0,CJ1472*10&gt;CK1472),"zu hoch für Tablar; ","")&amp;IF(AND(BS1472=0,OR(CE1472=1,AA1472&lt;&gt;"",U1472&lt;&gt;"",V1472&lt;&gt;"",AB1472&lt;&gt;"")),"manuell übersteuert; ","")&amp;IF(AND(BW1472=0,R1472=0),"Gebinde unbekannt / Stellmass fehlt; ","")&amp;IF(AND(BW1472=0,N(V1472)&lt;=0,N(Q1472)&lt;=0),"Menge pro Gebinde fehlt (Ist = 1 Gebinde); ","")&amp;BR1472)</f>
        <v>Kein Verbrauch; nur im Artikelstamm (Bestand 23.06.2026); Überbestand</v>
      </c>
      <c r="BK1472" s="48"/>
      <c r="BL1472" s="48"/>
      <c r="BM1472" s="55"/>
      <c r="BN1472" s="50" t="n">
        <v>13</v>
      </c>
      <c r="BO1472" s="50" t="n">
        <v>0</v>
      </c>
      <c r="BP1472" s="49" t="n">
        <v>0</v>
      </c>
      <c r="BQ1472" s="50" t="n">
        <v>0</v>
      </c>
      <c r="BR1472" s="48" t="s">
        <v>2576</v>
      </c>
      <c r="BS1472" s="53" t="n">
        <v>0</v>
      </c>
      <c r="BT1472" s="53" t="n">
        <v>1472</v>
      </c>
      <c r="BU1472" s="48" t="str">
        <f aca="false">IF(U1472&lt;&gt;"",UPPER(TRIM(U1472)),IF(BX1472=1,UPPER(VLOOKUP(T1472,Parameter!$I$27:$K$29,2,0)),IF(P1472="","LOSE",P1472)))</f>
        <v>S41</v>
      </c>
      <c r="BV1472" s="50" t="n">
        <f aca="false">IF(BU1472="LOSE",1,IF(N(V1472)&gt;0,V1472,IF(BX1472=1,MAX(1,N(VLOOKUP(T1472,Parameter!$I$27:$K$29,3,0)),H1472,N(N1472)),IF(N(Q1472)&gt;0,Q1472,MAX(1,H1472)))))</f>
        <v>13</v>
      </c>
      <c r="BW1472" s="53" t="n">
        <f aca="false">IF(BU1472="LOSE",1,0)</f>
        <v>0</v>
      </c>
      <c r="BX1472" s="53" t="n">
        <f aca="false">IF(AND(U1472="",OR(P1472="",P1472="LOSE"),T1472&lt;&gt;"",N(S1472)&lt;=0,ISNUMBER(MATCH(T1472,Parameter!$I$27:$I$29,0))),1,0)</f>
        <v>0</v>
      </c>
      <c r="BY1472" s="53" t="n">
        <f aca="false">IF(CL1472&gt;0,INDEX(Parameter!$H$5:$H$7,W1472)/INDEX(Parameter!$E$5:$E$7,W1472),IF(AND(BW1472=0,N(IFERROR(VLOOKUP(BU1472,'Gebinde-Kategorie'!$A$5:$N$45,14,0),0))&gt;0),VLOOKUP(BU1472,'Gebinde-Kategorie'!$A$5:$N$45,14,0)*10+Parameter!$M$23,Parameter!$M$24))</f>
        <v>155</v>
      </c>
      <c r="BZ1472" s="48" t="str">
        <f aca="false">IF(AND(Parameter!$B$19="Ja",E1472&lt;&gt;"",ISNUMBER(MATCH(E1472,Parameter!$I$35:$I$52,0))),VLOOKUP(E1472,Parameter!$I$35:$J$52,2,0),IFERROR(VLOOKUP(D1472,Parameter!$A$35:$C$64,2,0),"Nein"))</f>
        <v>2+3</v>
      </c>
      <c r="CA1472" s="52" t="n">
        <f aca="false">IF(BW1472=0,0,IF(N(S1472)&gt;0,S1472,IFERROR(VLOOKUP(D1472,Parameter!$A$35:$C$64,3,0)+0,0)))</f>
        <v>0</v>
      </c>
      <c r="CB1472" s="48" t="n">
        <f aca="false">IF(AA1472&lt;&gt;"",AA1472,Z1472)</f>
        <v>3</v>
      </c>
      <c r="CC1472" s="48" t="str">
        <f aca="false">IF(OR(CB1472=1,CB1472=2,CB1472=3),IF(Parameter!$E$27="Ja","LIFT",IF(CB1472=1,"L1","L23")),IF(CB1472="Aussen","Aussen","-"))</f>
        <v>LIFT</v>
      </c>
      <c r="CD1472" s="59" t="n">
        <f aca="false">IF(N(AB1472)&gt;0,AB1472,0)</f>
        <v>0</v>
      </c>
      <c r="CE1472" s="53" t="n">
        <f aca="false">IF(ISNUMBER(AE1472),1,0)</f>
        <v>0</v>
      </c>
      <c r="CF1472" s="50" t="n">
        <f aca="false">N(AE1472)</f>
        <v>0</v>
      </c>
      <c r="CG1472" s="50" t="n">
        <f aca="false">N(M1472)+N(N1472)</f>
        <v>1</v>
      </c>
      <c r="CH1472" s="50" t="n">
        <f aca="false">ROUNDUP(H1472/BV1472,0)</f>
        <v>1</v>
      </c>
      <c r="CI1472" s="50" t="n">
        <f aca="false">ROUNDUP(CF1472/BV1472,0)</f>
        <v>0</v>
      </c>
      <c r="CJ1472" s="53" t="n">
        <f aca="false">IF(BW1472=1,0,IFERROR(VLOOKUP(BU1472,'Gebinde-Kategorie'!$A$5:$N$45,5,0)+0,0))</f>
        <v>11</v>
      </c>
      <c r="CK1472" s="53" t="n">
        <f aca="false">IFERROR(IF(OR(CB1472=1,CB1472=2,CB1472=3),N(INDEX(Parameter!$I$5:$I$7,CB1472)),0),0)</f>
        <v>0</v>
      </c>
      <c r="CL1472" s="52" t="n">
        <f aca="false">IF(AND(Parameter!$B$21="Ja",ISNUMBER(W1472),N(X1472)&gt;0),IFERROR(N(INDEX(Parameter!$L$5:$L$7,W1472))*INDEX(Parameter!$E$5:$E$7,W1472)*X1472/SUMIFS($X$7:$X$1843,$W$7:$W$1843,W1472),0),0)</f>
        <v>0</v>
      </c>
    </row>
    <row r="1473" customFormat="false" ht="15" hidden="false" customHeight="false" outlineLevel="0" collapsed="false">
      <c r="A1473" s="48" t="s">
        <v>2577</v>
      </c>
      <c r="B1473" s="48" t="s">
        <v>2578</v>
      </c>
      <c r="C1473" s="48" t="s">
        <v>171</v>
      </c>
      <c r="D1473" s="48" t="s">
        <v>188</v>
      </c>
      <c r="E1473" s="48" t="s">
        <v>189</v>
      </c>
      <c r="F1473" s="48"/>
      <c r="G1473" s="49" t="n">
        <v>15.99</v>
      </c>
      <c r="H1473" s="50" t="n">
        <f aca="false">MAX(0,IF(AND(Parameter!$B$21="Ja",ISNUMBER(Y1473)),Y1473,IF(Parameter!$B$20="Jahresanfang 2025 + Export",BO1473+BN1473,BN1473)))</f>
        <v>9</v>
      </c>
      <c r="I1473" s="50" t="n">
        <f aca="false">H1473*G1473</f>
        <v>143.91</v>
      </c>
      <c r="J1473" s="50" t="n">
        <f aca="false">BQ1473*Parameter!$B$18</f>
        <v>0</v>
      </c>
      <c r="K1473" s="51"/>
      <c r="L1473" s="52"/>
      <c r="M1473" s="50" t="n">
        <v>0</v>
      </c>
      <c r="N1473" s="50" t="n">
        <v>20</v>
      </c>
      <c r="O1473" s="53" t="n">
        <v>14</v>
      </c>
      <c r="P1473" s="48" t="s">
        <v>480</v>
      </c>
      <c r="Q1473" s="50" t="n">
        <v>9</v>
      </c>
      <c r="R1473" s="53" t="n">
        <f aca="false">IF(BW1473=1,0,IFERROR(VLOOKUP(BU1473,'Gebinde-Kategorie'!$A$5:$N$45,13,0)+0,0))</f>
        <v>52</v>
      </c>
      <c r="S1473" s="54"/>
      <c r="T1473" s="55"/>
      <c r="U1473" s="55"/>
      <c r="V1473" s="55"/>
      <c r="W1473" s="48"/>
      <c r="X1473" s="50"/>
      <c r="Y1473" s="50"/>
      <c r="Z1473" s="48" t="n">
        <f aca="false">IF(A1473="","",IF(AND(Parameter!$B$21="Ja",ISNUMBER(W1473)),W1473,IF(BZ1473="2+3",IF(ISNUMBER(SEARCH("grosser Artikel",BR1473)),2,IFERROR(VLOOKUP(BU1473,Parameter!$F$35:$G$64,2,0),2)),IF(OR(BZ1473="Nein",BZ1473=""),"-",BZ1473))))</f>
        <v>3</v>
      </c>
      <c r="AA1473" s="55"/>
      <c r="AB1473" s="56"/>
      <c r="AC1473" s="50" t="n">
        <f aca="false">AT1473</f>
        <v>27</v>
      </c>
      <c r="AD1473" s="50" t="n">
        <f aca="false">MAX(AT1473,H1473)</f>
        <v>27</v>
      </c>
      <c r="AE1473" s="57"/>
      <c r="AF1473" s="50" t="n">
        <f aca="false">IF(LEFT(Cockpit!$C$5,1)="A",H1473,IF(CE1473=1,CF1473,IF(LEFT(Cockpit!$C$5,1)="B",AK1473,MAX(AK1473,H1473))))</f>
        <v>9</v>
      </c>
      <c r="AG1473" s="50" t="n">
        <f aca="false">IF(BW1473=1,0,ROUNDUP(AF1473/BV1473,0))</f>
        <v>1</v>
      </c>
      <c r="AH1473" s="52" t="n">
        <f aca="false">IF(CL1473&gt;0,CL1473*MAX(1,AF1473/X1473),IF(BW1473=1,IF(AF1473&lt;=0,0,CA1473*MAX(1,IF(H1473&gt;0,AF1473/H1473,1))),IF(R1473&gt;0,AG1473/R1473,0))/MAX(0.1,N(Parameter!$M$21)))</f>
        <v>0.0192307692307692</v>
      </c>
      <c r="AI1473" s="50" t="n">
        <f aca="false">AH1473*BY1473</f>
        <v>2.98076923076923</v>
      </c>
      <c r="AJ1473" s="50" t="n">
        <f aca="false">AF1473*G1473</f>
        <v>143.91</v>
      </c>
      <c r="AK1473" s="50" t="n">
        <f aca="false">ROUNDUP(MAX(J1473/IF(CD1473&gt;0,CD1473,MAX(0.1,N(Cockpit!$C$6))),CG1473)/BV1473,0)*BV1473</f>
        <v>27</v>
      </c>
      <c r="AL1473" s="51" t="n">
        <f aca="false">IF(AI1473&gt;0,J1473/AI1473,-1)</f>
        <v>0</v>
      </c>
      <c r="AM1473" s="51" t="n">
        <f aca="false">IF(AND(OR(CC1473="L1",CC1473="L23",CC1473="LIFT"),AI1473&gt;0),SUMIFS($AI$7:$AI$1843,$CC$7:$CC$1843,CC1473,$AL$7:$AL$1843,"&gt;"&amp;AL1473)+SUMIFS($AI$7:$AI$1843,$CC$7:$CC$1843,CC1473,$AL$7:$AL$1843,AL1473,$BT$7:$BT$1843,"&lt;="&amp;BT1473),"")</f>
        <v>29708.0900566007</v>
      </c>
      <c r="AN1473" s="58" t="n">
        <f aca="false">IF(AM1473="",0,MAX(0,MIN(1,(IF(CC1473="L1",Parameter!$H$5,IF(CC1473="L23",Parameter!$H$6+Parameter!$H$7,Parameter!$H$5+Parameter!$H$6+Parameter!$H$7))-(AM1473-AI1473))/AI1473)))</f>
        <v>1</v>
      </c>
      <c r="AO1473" s="50" t="n">
        <f aca="false">IF(LEFT(Cockpit!$I$5,1)="A",H1473,IF(CE1473=1,CF1473,IF(LEFT(Cockpit!$I$5,1)="B",AT1473,MAX(AT1473,H1473))))</f>
        <v>27</v>
      </c>
      <c r="AP1473" s="50" t="n">
        <f aca="false">IF(BW1473=1,0,ROUNDUP(AO1473/BV1473,0))</f>
        <v>3</v>
      </c>
      <c r="AQ1473" s="52" t="n">
        <f aca="false">IF(CL1473&gt;0,CL1473*MAX(1,AO1473/X1473),IF(BW1473=1,IF(AO1473&lt;=0,0,CA1473*MAX(1,IF(H1473&gt;0,AO1473/H1473,1))),IF(R1473&gt;0,AP1473/R1473,0))/MAX(0.1,N(Parameter!$M$21)))</f>
        <v>0.0576923076923077</v>
      </c>
      <c r="AR1473" s="50" t="n">
        <f aca="false">AQ1473*BY1473</f>
        <v>8.94230769230769</v>
      </c>
      <c r="AS1473" s="50" t="n">
        <f aca="false">AO1473*G1473</f>
        <v>431.73</v>
      </c>
      <c r="AT1473" s="50" t="n">
        <f aca="false">ROUNDUP(MAX(J1473/IF(CD1473&gt;0,CD1473,MAX(0.1,N(Cockpit!$I$6))),CG1473)/BV1473,0)*BV1473</f>
        <v>27</v>
      </c>
      <c r="AU1473" s="51" t="n">
        <f aca="false">IF(AR1473&gt;0,J1473/AR1473,-1)</f>
        <v>0</v>
      </c>
      <c r="AV1473" s="51" t="n">
        <f aca="false">IF(AND(OR(CC1473="L1",CC1473="L23",CC1473="LIFT"),AR1473&gt;0),SUMIFS($AR$7:$AR$1843,$CC$7:$CC$1843,CC1473,$AU$7:$AU$1843,"&gt;"&amp;AU1473)+SUMIFS($AR$7:$AR$1843,$CC$7:$CC$1843,CC1473,$AU$7:$AU$1843,AU1473,$BT$7:$BT$1843,"&lt;="&amp;BT1473),"")</f>
        <v>41989.8751526252</v>
      </c>
      <c r="AW1473" s="58" t="n">
        <f aca="false">IF(AV1473="",0,MAX(0,MIN(1,(IF(CC1473="L1",Parameter!$H$5,IF(CC1473="L23",Parameter!$H$6+Parameter!$H$7,Parameter!$H$5+Parameter!$H$6+Parameter!$H$7))-(AV1473-AR1473))/AR1473)))</f>
        <v>0</v>
      </c>
      <c r="AX1473" s="50" t="n">
        <f aca="false">IF(LEFT(Cockpit!$O$5,1)="A",H1473,IF(CE1473=1,CF1473,IF(LEFT(Cockpit!$O$5,1)="B",BC1473,MAX(BC1473,H1473))))</f>
        <v>27</v>
      </c>
      <c r="AY1473" s="50" t="n">
        <f aca="false">IF(BW1473=1,0,ROUNDUP(AX1473/BV1473,0))</f>
        <v>3</v>
      </c>
      <c r="AZ1473" s="52" t="n">
        <f aca="false">IF(CL1473&gt;0,CL1473*MAX(1,AX1473/X1473),IF(BW1473=1,IF(AX1473&lt;=0,0,CA1473*MAX(1,IF(H1473&gt;0,AX1473/H1473,1))),IF(R1473&gt;0,AY1473/R1473,0))/MAX(0.1,N(Parameter!$M$21)))</f>
        <v>0.0576923076923077</v>
      </c>
      <c r="BA1473" s="50" t="n">
        <f aca="false">AZ1473*BY1473</f>
        <v>8.94230769230769</v>
      </c>
      <c r="BB1473" s="50" t="n">
        <f aca="false">AX1473*G1473</f>
        <v>431.73</v>
      </c>
      <c r="BC1473" s="50" t="n">
        <f aca="false">ROUNDUP(MAX(J1473/IF(CD1473&gt;0,CD1473,MAX(0.1,N(Cockpit!$O$6))),CG1473)/BV1473,0)*BV1473</f>
        <v>27</v>
      </c>
      <c r="BD1473" s="51" t="n">
        <f aca="false">IF(BA1473&gt;0,J1473/BA1473,-1)</f>
        <v>0</v>
      </c>
      <c r="BE1473" s="51" t="n">
        <f aca="false">IF(AND(OR(CC1473="L1",CC1473="L23",CC1473="LIFT"),BA1473&gt;0),SUMIFS($BA$7:$BA$1843,$CC$7:$CC$1843,CC1473,$BD$7:$BD$1843,"&gt;"&amp;BD1473)+SUMIFS($BA$7:$BA$1843,$CC$7:$CC$1843,CC1473,$BD$7:$BD$1843,BD1473,$BT$7:$BT$1843,"&lt;="&amp;BT1473),"")</f>
        <v>38664.887194491</v>
      </c>
      <c r="BF1473" s="58" t="n">
        <f aca="false">IF(BE1473="",0,MAX(0,MIN(1,(IF(CC1473="L1",Parameter!$H$5,IF(CC1473="L23",Parameter!$H$6+Parameter!$H$7,Parameter!$H$5+Parameter!$H$6+Parameter!$H$7))-(BE1473-BA1473))/BA1473)))</f>
        <v>0</v>
      </c>
      <c r="BG1473" s="48" t="str">
        <f aca="false">IF(AI1473&lt;=0,"",IF(CC1473="Aussen","Aussenlager",IF(CC1473="-","Nicht im Lift",IF(AN1473&gt;=1,"Lift",IF(AN1473&lt;=0,"Aussenlager","teilweise")))))</f>
        <v>Lift</v>
      </c>
      <c r="BH1473" s="48" t="str">
        <f aca="false">IF(AR1473&lt;=0,"",IF(CC1473="Aussen","Aussenlager",IF(CC1473="-","Nicht im Lift",IF(AW1473&gt;=1,"Lift",IF(AW1473&lt;=0,"Aussenlager","teilweise")))))</f>
        <v>Aussenlager</v>
      </c>
      <c r="BI1473" s="48" t="str">
        <f aca="false">IF(BA1473&lt;=0,"",IF(CC1473="Aussen","Aussenlager",IF(CC1473="-","Nicht im Lift",IF(BF1473&gt;=1,"Lift",IF(BF1473&lt;=0,"Aussenlager","teilweise")))))</f>
        <v>Aussenlager</v>
      </c>
      <c r="BJ1473" s="48" t="str">
        <f aca="false">IF(A1473="","",IF(BS1473=1,"Neu; ","")&amp;IF(AND(BS1473=0,BN1473&lt;0),"negativer Bestand (Export "&amp;BN1473&amp;"); ","")&amp;IF(J1473&lt;=0,"Kein Verbrauch; ","")&amp;IF(CL1473&gt;0,"Lift "&amp;W1473&amp;" lt. Liftbericht (Fach "&amp;X1473&amp;" Stk); ",IF(BX1473=1,"Gebinde geschätzt ("&amp;T1473&amp;"); ",IF(BW1473=1,"Lose – Tablare geschätzt; ","")))&amp;IF(H1473&gt;AT1473,"Überbestand "&amp;ROUND(H1473-AT1473,0)&amp;" Stk / CHF "&amp;ROUND((H1473-AT1473)*G1473,0)&amp;"; ","")&amp;IF(AND(CE1473=1,CF1473&lt;CG1473),"MAX &lt; MB+LG; ","")&amp;IF(AND(CK1473&gt;0,CJ1473*10&gt;CK1473),"zu hoch für Tablar; ","")&amp;IF(AND(BS1473=0,OR(CE1473=1,AA1473&lt;&gt;"",U1473&lt;&gt;"",V1473&lt;&gt;"",AB1473&lt;&gt;"")),"manuell übersteuert; ","")&amp;IF(AND(BW1473=0,R1473=0),"Gebinde unbekannt / Stellmass fehlt; ","")&amp;IF(AND(BW1473=0,N(V1473)&lt;=0,N(Q1473)&lt;=0),"Menge pro Gebinde fehlt (Ist = 1 Gebinde); ","")&amp;BR1473)</f>
        <v>Kein Verbrauch; nur im Artikelstamm (Bestand 23.06.2026)</v>
      </c>
      <c r="BK1473" s="48"/>
      <c r="BL1473" s="48"/>
      <c r="BM1473" s="55"/>
      <c r="BN1473" s="50" t="n">
        <v>9</v>
      </c>
      <c r="BO1473" s="50" t="n">
        <v>0</v>
      </c>
      <c r="BP1473" s="49" t="n">
        <v>0</v>
      </c>
      <c r="BQ1473" s="50" t="n">
        <v>0</v>
      </c>
      <c r="BR1473" s="48" t="s">
        <v>2579</v>
      </c>
      <c r="BS1473" s="53" t="n">
        <v>0</v>
      </c>
      <c r="BT1473" s="53" t="n">
        <v>1473</v>
      </c>
      <c r="BU1473" s="48" t="str">
        <f aca="false">IF(U1473&lt;&gt;"",UPPER(TRIM(U1473)),IF(BX1473=1,UPPER(VLOOKUP(T1473,Parameter!$I$27:$K$29,2,0)),IF(P1473="","LOSE",P1473)))</f>
        <v>S33</v>
      </c>
      <c r="BV1473" s="50" t="n">
        <f aca="false">IF(BU1473="LOSE",1,IF(N(V1473)&gt;0,V1473,IF(BX1473=1,MAX(1,N(VLOOKUP(T1473,Parameter!$I$27:$K$29,3,0)),H1473,N(N1473)),IF(N(Q1473)&gt;0,Q1473,MAX(1,H1473)))))</f>
        <v>9</v>
      </c>
      <c r="BW1473" s="53" t="n">
        <f aca="false">IF(BU1473="LOSE",1,0)</f>
        <v>0</v>
      </c>
      <c r="BX1473" s="53" t="n">
        <f aca="false">IF(AND(U1473="",OR(P1473="",P1473="LOSE"),T1473&lt;&gt;"",N(S1473)&lt;=0,ISNUMBER(MATCH(T1473,Parameter!$I$27:$I$29,0))),1,0)</f>
        <v>0</v>
      </c>
      <c r="BY1473" s="53" t="n">
        <f aca="false">IF(CL1473&gt;0,INDEX(Parameter!$H$5:$H$7,W1473)/INDEX(Parameter!$E$5:$E$7,W1473),IF(AND(BW1473=0,N(IFERROR(VLOOKUP(BU1473,'Gebinde-Kategorie'!$A$5:$N$45,14,0),0))&gt;0),VLOOKUP(BU1473,'Gebinde-Kategorie'!$A$5:$N$45,14,0)*10+Parameter!$M$23,Parameter!$M$24))</f>
        <v>155</v>
      </c>
      <c r="BZ1473" s="48" t="str">
        <f aca="false">IF(AND(Parameter!$B$19="Ja",E1473&lt;&gt;"",ISNUMBER(MATCH(E1473,Parameter!$I$35:$I$52,0))),VLOOKUP(E1473,Parameter!$I$35:$J$52,2,0),IFERROR(VLOOKUP(D1473,Parameter!$A$35:$C$64,2,0),"Nein"))</f>
        <v>2+3</v>
      </c>
      <c r="CA1473" s="52" t="n">
        <f aca="false">IF(BW1473=0,0,IF(N(S1473)&gt;0,S1473,IFERROR(VLOOKUP(D1473,Parameter!$A$35:$C$64,3,0)+0,0)))</f>
        <v>0</v>
      </c>
      <c r="CB1473" s="48" t="n">
        <f aca="false">IF(AA1473&lt;&gt;"",AA1473,Z1473)</f>
        <v>3</v>
      </c>
      <c r="CC1473" s="48" t="str">
        <f aca="false">IF(OR(CB1473=1,CB1473=2,CB1473=3),IF(Parameter!$E$27="Ja","LIFT",IF(CB1473=1,"L1","L23")),IF(CB1473="Aussen","Aussen","-"))</f>
        <v>LIFT</v>
      </c>
      <c r="CD1473" s="59" t="n">
        <f aca="false">IF(N(AB1473)&gt;0,AB1473,0)</f>
        <v>0</v>
      </c>
      <c r="CE1473" s="53" t="n">
        <f aca="false">IF(ISNUMBER(AE1473),1,0)</f>
        <v>0</v>
      </c>
      <c r="CF1473" s="50" t="n">
        <f aca="false">N(AE1473)</f>
        <v>0</v>
      </c>
      <c r="CG1473" s="50" t="n">
        <f aca="false">N(M1473)+N(N1473)</f>
        <v>20</v>
      </c>
      <c r="CH1473" s="50" t="n">
        <f aca="false">ROUNDUP(H1473/BV1473,0)</f>
        <v>1</v>
      </c>
      <c r="CI1473" s="50" t="n">
        <f aca="false">ROUNDUP(CF1473/BV1473,0)</f>
        <v>0</v>
      </c>
      <c r="CJ1473" s="53" t="n">
        <f aca="false">IF(BW1473=1,0,IFERROR(VLOOKUP(BU1473,'Gebinde-Kategorie'!$A$5:$N$45,5,0)+0,0))</f>
        <v>8</v>
      </c>
      <c r="CK1473" s="53" t="n">
        <f aca="false">IFERROR(IF(OR(CB1473=1,CB1473=2,CB1473=3),N(INDEX(Parameter!$I$5:$I$7,CB1473)),0),0)</f>
        <v>0</v>
      </c>
      <c r="CL1473" s="52" t="n">
        <f aca="false">IF(AND(Parameter!$B$21="Ja",ISNUMBER(W1473),N(X1473)&gt;0),IFERROR(N(INDEX(Parameter!$L$5:$L$7,W1473))*INDEX(Parameter!$E$5:$E$7,W1473)*X1473/SUMIFS($X$7:$X$1843,$W$7:$W$1843,W1473),0),0)</f>
        <v>0</v>
      </c>
    </row>
    <row r="1474" customFormat="false" ht="15" hidden="false" customHeight="false" outlineLevel="0" collapsed="false">
      <c r="A1474" s="48" t="s">
        <v>2580</v>
      </c>
      <c r="B1474" s="48" t="s">
        <v>2581</v>
      </c>
      <c r="C1474" s="48" t="s">
        <v>168</v>
      </c>
      <c r="D1474" s="48" t="s">
        <v>188</v>
      </c>
      <c r="E1474" s="48" t="s">
        <v>189</v>
      </c>
      <c r="F1474" s="48"/>
      <c r="G1474" s="49" t="n">
        <v>57.38</v>
      </c>
      <c r="H1474" s="50" t="n">
        <f aca="false">MAX(0,IF(AND(Parameter!$B$21="Ja",ISNUMBER(Y1474)),Y1474,IF(Parameter!$B$20="Jahresanfang 2025 + Export",BO1474+BN1474,BN1474)))</f>
        <v>4</v>
      </c>
      <c r="I1474" s="50" t="n">
        <f aca="false">H1474*G1474</f>
        <v>229.52</v>
      </c>
      <c r="J1474" s="50" t="n">
        <f aca="false">BQ1474*Parameter!$B$18</f>
        <v>0</v>
      </c>
      <c r="K1474" s="51"/>
      <c r="L1474" s="52"/>
      <c r="M1474" s="50" t="n">
        <v>0</v>
      </c>
      <c r="N1474" s="50" t="n">
        <v>10</v>
      </c>
      <c r="O1474" s="53" t="n">
        <v>14</v>
      </c>
      <c r="P1474" s="48" t="s">
        <v>430</v>
      </c>
      <c r="Q1474" s="50" t="n">
        <v>6</v>
      </c>
      <c r="R1474" s="53" t="n">
        <f aca="false">IF(BW1474=1,0,IFERROR(VLOOKUP(BU1474,'Gebinde-Kategorie'!$A$5:$N$45,13,0)+0,0))</f>
        <v>140</v>
      </c>
      <c r="S1474" s="54"/>
      <c r="T1474" s="55"/>
      <c r="U1474" s="55"/>
      <c r="V1474" s="55"/>
      <c r="W1474" s="48"/>
      <c r="X1474" s="50"/>
      <c r="Y1474" s="50"/>
      <c r="Z1474" s="48" t="n">
        <f aca="false">IF(A1474="","",IF(AND(Parameter!$B$21="Ja",ISNUMBER(W1474)),W1474,IF(BZ1474="2+3",IF(ISNUMBER(SEARCH("grosser Artikel",BR1474)),2,IFERROR(VLOOKUP(BU1474,Parameter!$F$35:$G$64,2,0),2)),IF(OR(BZ1474="Nein",BZ1474=""),"-",BZ1474))))</f>
        <v>3</v>
      </c>
      <c r="AA1474" s="55"/>
      <c r="AB1474" s="56"/>
      <c r="AC1474" s="50" t="n">
        <f aca="false">AT1474</f>
        <v>12</v>
      </c>
      <c r="AD1474" s="50" t="n">
        <f aca="false">MAX(AT1474,H1474)</f>
        <v>12</v>
      </c>
      <c r="AE1474" s="57"/>
      <c r="AF1474" s="50" t="n">
        <f aca="false">IF(LEFT(Cockpit!$C$5,1)="A",H1474,IF(CE1474=1,CF1474,IF(LEFT(Cockpit!$C$5,1)="B",AK1474,MAX(AK1474,H1474))))</f>
        <v>4</v>
      </c>
      <c r="AG1474" s="50" t="n">
        <f aca="false">IF(BW1474=1,0,ROUNDUP(AF1474/BV1474,0))</f>
        <v>1</v>
      </c>
      <c r="AH1474" s="52" t="n">
        <f aca="false">IF(CL1474&gt;0,CL1474*MAX(1,AF1474/X1474),IF(BW1474=1,IF(AF1474&lt;=0,0,CA1474*MAX(1,IF(H1474&gt;0,AF1474/H1474,1))),IF(R1474&gt;0,AG1474/R1474,0))/MAX(0.1,N(Parameter!$M$21)))</f>
        <v>0.00714285714285714</v>
      </c>
      <c r="AI1474" s="50" t="n">
        <f aca="false">AH1474*BY1474</f>
        <v>1.10714285714286</v>
      </c>
      <c r="AJ1474" s="50" t="n">
        <f aca="false">AF1474*G1474</f>
        <v>229.52</v>
      </c>
      <c r="AK1474" s="50" t="n">
        <f aca="false">ROUNDUP(MAX(J1474/IF(CD1474&gt;0,CD1474,MAX(0.1,N(Cockpit!$C$6))),CG1474)/BV1474,0)*BV1474</f>
        <v>12</v>
      </c>
      <c r="AL1474" s="51" t="n">
        <f aca="false">IF(AI1474&gt;0,J1474/AI1474,-1)</f>
        <v>0</v>
      </c>
      <c r="AM1474" s="51" t="n">
        <f aca="false">IF(AND(OR(CC1474="L1",CC1474="L23",CC1474="LIFT"),AI1474&gt;0),SUMIFS($AI$7:$AI$1843,$CC$7:$CC$1843,CC1474,$AL$7:$AL$1843,"&gt;"&amp;AL1474)+SUMIFS($AI$7:$AI$1843,$CC$7:$CC$1843,CC1474,$AL$7:$AL$1843,AL1474,$BT$7:$BT$1843,"&lt;="&amp;BT1474),"")</f>
        <v>29709.1971994578</v>
      </c>
      <c r="AN1474" s="58" t="n">
        <f aca="false">IF(AM1474="",0,MAX(0,MIN(1,(IF(CC1474="L1",Parameter!$H$5,IF(CC1474="L23",Parameter!$H$6+Parameter!$H$7,Parameter!$H$5+Parameter!$H$6+Parameter!$H$7))-(AM1474-AI1474))/AI1474)))</f>
        <v>1</v>
      </c>
      <c r="AO1474" s="50" t="n">
        <f aca="false">IF(LEFT(Cockpit!$I$5,1)="A",H1474,IF(CE1474=1,CF1474,IF(LEFT(Cockpit!$I$5,1)="B",AT1474,MAX(AT1474,H1474))))</f>
        <v>12</v>
      </c>
      <c r="AP1474" s="50" t="n">
        <f aca="false">IF(BW1474=1,0,ROUNDUP(AO1474/BV1474,0))</f>
        <v>2</v>
      </c>
      <c r="AQ1474" s="52" t="n">
        <f aca="false">IF(CL1474&gt;0,CL1474*MAX(1,AO1474/X1474),IF(BW1474=1,IF(AO1474&lt;=0,0,CA1474*MAX(1,IF(H1474&gt;0,AO1474/H1474,1))),IF(R1474&gt;0,AP1474/R1474,0))/MAX(0.1,N(Parameter!$M$21)))</f>
        <v>0.0142857142857143</v>
      </c>
      <c r="AR1474" s="50" t="n">
        <f aca="false">AQ1474*BY1474</f>
        <v>2.21428571428571</v>
      </c>
      <c r="AS1474" s="50" t="n">
        <f aca="false">AO1474*G1474</f>
        <v>688.56</v>
      </c>
      <c r="AT1474" s="50" t="n">
        <f aca="false">ROUNDUP(MAX(J1474/IF(CD1474&gt;0,CD1474,MAX(0.1,N(Cockpit!$I$6))),CG1474)/BV1474,0)*BV1474</f>
        <v>12</v>
      </c>
      <c r="AU1474" s="51" t="n">
        <f aca="false">IF(AR1474&gt;0,J1474/AR1474,-1)</f>
        <v>0</v>
      </c>
      <c r="AV1474" s="51" t="n">
        <f aca="false">IF(AND(OR(CC1474="L1",CC1474="L23",CC1474="LIFT"),AR1474&gt;0),SUMIFS($AR$7:$AR$1843,$CC$7:$CC$1843,CC1474,$AU$7:$AU$1843,"&gt;"&amp;AU1474)+SUMIFS($AR$7:$AR$1843,$CC$7:$CC$1843,CC1474,$AU$7:$AU$1843,AU1474,$BT$7:$BT$1843,"&lt;="&amp;BT1474),"")</f>
        <v>41992.0894383394</v>
      </c>
      <c r="AW1474" s="58" t="n">
        <f aca="false">IF(AV1474="",0,MAX(0,MIN(1,(IF(CC1474="L1",Parameter!$H$5,IF(CC1474="L23",Parameter!$H$6+Parameter!$H$7,Parameter!$H$5+Parameter!$H$6+Parameter!$H$7))-(AV1474-AR1474))/AR1474)))</f>
        <v>0</v>
      </c>
      <c r="AX1474" s="50" t="n">
        <f aca="false">IF(LEFT(Cockpit!$O$5,1)="A",H1474,IF(CE1474=1,CF1474,IF(LEFT(Cockpit!$O$5,1)="B",BC1474,MAX(BC1474,H1474))))</f>
        <v>12</v>
      </c>
      <c r="AY1474" s="50" t="n">
        <f aca="false">IF(BW1474=1,0,ROUNDUP(AX1474/BV1474,0))</f>
        <v>2</v>
      </c>
      <c r="AZ1474" s="52" t="n">
        <f aca="false">IF(CL1474&gt;0,CL1474*MAX(1,AX1474/X1474),IF(BW1474=1,IF(AX1474&lt;=0,0,CA1474*MAX(1,IF(H1474&gt;0,AX1474/H1474,1))),IF(R1474&gt;0,AY1474/R1474,0))/MAX(0.1,N(Parameter!$M$21)))</f>
        <v>0.0142857142857143</v>
      </c>
      <c r="BA1474" s="50" t="n">
        <f aca="false">AZ1474*BY1474</f>
        <v>2.21428571428571</v>
      </c>
      <c r="BB1474" s="50" t="n">
        <f aca="false">AX1474*G1474</f>
        <v>688.56</v>
      </c>
      <c r="BC1474" s="50" t="n">
        <f aca="false">ROUNDUP(MAX(J1474/IF(CD1474&gt;0,CD1474,MAX(0.1,N(Cockpit!$O$6))),CG1474)/BV1474,0)*BV1474</f>
        <v>12</v>
      </c>
      <c r="BD1474" s="51" t="n">
        <f aca="false">IF(BA1474&gt;0,J1474/BA1474,-1)</f>
        <v>0</v>
      </c>
      <c r="BE1474" s="51" t="n">
        <f aca="false">IF(AND(OR(CC1474="L1",CC1474="L23",CC1474="LIFT"),BA1474&gt;0),SUMIFS($BA$7:$BA$1843,$CC$7:$CC$1843,CC1474,$BD$7:$BD$1843,"&gt;"&amp;BD1474)+SUMIFS($BA$7:$BA$1843,$CC$7:$CC$1843,CC1474,$BD$7:$BD$1843,BD1474,$BT$7:$BT$1843,"&lt;="&amp;BT1474),"")</f>
        <v>38667.1014802053</v>
      </c>
      <c r="BF1474" s="58" t="n">
        <f aca="false">IF(BE1474="",0,MAX(0,MIN(1,(IF(CC1474="L1",Parameter!$H$5,IF(CC1474="L23",Parameter!$H$6+Parameter!$H$7,Parameter!$H$5+Parameter!$H$6+Parameter!$H$7))-(BE1474-BA1474))/BA1474)))</f>
        <v>0</v>
      </c>
      <c r="BG1474" s="48" t="str">
        <f aca="false">IF(AI1474&lt;=0,"",IF(CC1474="Aussen","Aussenlager",IF(CC1474="-","Nicht im Lift",IF(AN1474&gt;=1,"Lift",IF(AN1474&lt;=0,"Aussenlager","teilweise")))))</f>
        <v>Lift</v>
      </c>
      <c r="BH1474" s="48" t="str">
        <f aca="false">IF(AR1474&lt;=0,"",IF(CC1474="Aussen","Aussenlager",IF(CC1474="-","Nicht im Lift",IF(AW1474&gt;=1,"Lift",IF(AW1474&lt;=0,"Aussenlager","teilweise")))))</f>
        <v>Aussenlager</v>
      </c>
      <c r="BI1474" s="48" t="str">
        <f aca="false">IF(BA1474&lt;=0,"",IF(CC1474="Aussen","Aussenlager",IF(CC1474="-","Nicht im Lift",IF(BF1474&gt;=1,"Lift",IF(BF1474&lt;=0,"Aussenlager","teilweise")))))</f>
        <v>Aussenlager</v>
      </c>
      <c r="BJ1474" s="48" t="str">
        <f aca="false">IF(A1474="","",IF(BS1474=1,"Neu; ","")&amp;IF(AND(BS1474=0,BN1474&lt;0),"negativer Bestand (Export "&amp;BN1474&amp;"); ","")&amp;IF(J1474&lt;=0,"Kein Verbrauch; ","")&amp;IF(CL1474&gt;0,"Lift "&amp;W1474&amp;" lt. Liftbericht (Fach "&amp;X1474&amp;" Stk); ",IF(BX1474=1,"Gebinde geschätzt ("&amp;T1474&amp;"); ",IF(BW1474=1,"Lose – Tablare geschätzt; ","")))&amp;IF(H1474&gt;AT1474,"Überbestand "&amp;ROUND(H1474-AT1474,0)&amp;" Stk / CHF "&amp;ROUND((H1474-AT1474)*G1474,0)&amp;"; ","")&amp;IF(AND(CE1474=1,CF1474&lt;CG1474),"MAX &lt; MB+LG; ","")&amp;IF(AND(CK1474&gt;0,CJ1474*10&gt;CK1474),"zu hoch für Tablar; ","")&amp;IF(AND(BS1474=0,OR(CE1474=1,AA1474&lt;&gt;"",U1474&lt;&gt;"",V1474&lt;&gt;"",AB1474&lt;&gt;"")),"manuell übersteuert; ","")&amp;IF(AND(BW1474=0,R1474=0),"Gebinde unbekannt / Stellmass fehlt; ","")&amp;IF(AND(BW1474=0,N(V1474)&lt;=0,N(Q1474)&lt;=0),"Menge pro Gebinde fehlt (Ist = 1 Gebinde); ","")&amp;BR1474)</f>
        <v>Kein Verbrauch; nur im Artikelstamm (Bestand 23.06.2026); Verb.Lager</v>
      </c>
      <c r="BK1474" s="48"/>
      <c r="BL1474" s="48"/>
      <c r="BM1474" s="55"/>
      <c r="BN1474" s="50" t="n">
        <v>4</v>
      </c>
      <c r="BO1474" s="50" t="n">
        <v>0</v>
      </c>
      <c r="BP1474" s="49" t="n">
        <v>0</v>
      </c>
      <c r="BQ1474" s="50" t="n">
        <v>0</v>
      </c>
      <c r="BR1474" s="48" t="s">
        <v>2573</v>
      </c>
      <c r="BS1474" s="53" t="n">
        <v>0</v>
      </c>
      <c r="BT1474" s="53" t="n">
        <v>1474</v>
      </c>
      <c r="BU1474" s="48" t="str">
        <f aca="false">IF(U1474&lt;&gt;"",UPPER(TRIM(U1474)),IF(BX1474=1,UPPER(VLOOKUP(T1474,Parameter!$I$27:$K$29,2,0)),IF(P1474="","LOSE",P1474)))</f>
        <v>S22</v>
      </c>
      <c r="BV1474" s="50" t="n">
        <f aca="false">IF(BU1474="LOSE",1,IF(N(V1474)&gt;0,V1474,IF(BX1474=1,MAX(1,N(VLOOKUP(T1474,Parameter!$I$27:$K$29,3,0)),H1474,N(N1474)),IF(N(Q1474)&gt;0,Q1474,MAX(1,H1474)))))</f>
        <v>6</v>
      </c>
      <c r="BW1474" s="53" t="n">
        <f aca="false">IF(BU1474="LOSE",1,0)</f>
        <v>0</v>
      </c>
      <c r="BX1474" s="53" t="n">
        <f aca="false">IF(AND(U1474="",OR(P1474="",P1474="LOSE"),T1474&lt;&gt;"",N(S1474)&lt;=0,ISNUMBER(MATCH(T1474,Parameter!$I$27:$I$29,0))),1,0)</f>
        <v>0</v>
      </c>
      <c r="BY1474" s="53" t="n">
        <f aca="false">IF(CL1474&gt;0,INDEX(Parameter!$H$5:$H$7,W1474)/INDEX(Parameter!$E$5:$E$7,W1474),IF(AND(BW1474=0,N(IFERROR(VLOOKUP(BU1474,'Gebinde-Kategorie'!$A$5:$N$45,14,0),0))&gt;0),VLOOKUP(BU1474,'Gebinde-Kategorie'!$A$5:$N$45,14,0)*10+Parameter!$M$23,Parameter!$M$24))</f>
        <v>155</v>
      </c>
      <c r="BZ1474" s="48" t="str">
        <f aca="false">IF(AND(Parameter!$B$19="Ja",E1474&lt;&gt;"",ISNUMBER(MATCH(E1474,Parameter!$I$35:$I$52,0))),VLOOKUP(E1474,Parameter!$I$35:$J$52,2,0),IFERROR(VLOOKUP(D1474,Parameter!$A$35:$C$64,2,0),"Nein"))</f>
        <v>2+3</v>
      </c>
      <c r="CA1474" s="52" t="n">
        <f aca="false">IF(BW1474=0,0,IF(N(S1474)&gt;0,S1474,IFERROR(VLOOKUP(D1474,Parameter!$A$35:$C$64,3,0)+0,0)))</f>
        <v>0</v>
      </c>
      <c r="CB1474" s="48" t="n">
        <f aca="false">IF(AA1474&lt;&gt;"",AA1474,Z1474)</f>
        <v>3</v>
      </c>
      <c r="CC1474" s="48" t="str">
        <f aca="false">IF(OR(CB1474=1,CB1474=2,CB1474=3),IF(Parameter!$E$27="Ja","LIFT",IF(CB1474=1,"L1","L23")),IF(CB1474="Aussen","Aussen","-"))</f>
        <v>LIFT</v>
      </c>
      <c r="CD1474" s="59" t="n">
        <f aca="false">IF(N(AB1474)&gt;0,AB1474,0)</f>
        <v>0</v>
      </c>
      <c r="CE1474" s="53" t="n">
        <f aca="false">IF(ISNUMBER(AE1474),1,0)</f>
        <v>0</v>
      </c>
      <c r="CF1474" s="50" t="n">
        <f aca="false">N(AE1474)</f>
        <v>0</v>
      </c>
      <c r="CG1474" s="50" t="n">
        <f aca="false">N(M1474)+N(N1474)</f>
        <v>10</v>
      </c>
      <c r="CH1474" s="50" t="n">
        <f aca="false">ROUNDUP(H1474/BV1474,0)</f>
        <v>1</v>
      </c>
      <c r="CI1474" s="50" t="n">
        <f aca="false">ROUNDUP(CF1474/BV1474,0)</f>
        <v>0</v>
      </c>
      <c r="CJ1474" s="53" t="n">
        <f aca="false">IF(BW1474=1,0,IFERROR(VLOOKUP(BU1474,'Gebinde-Kategorie'!$A$5:$N$45,5,0)+0,0))</f>
        <v>8</v>
      </c>
      <c r="CK1474" s="53" t="n">
        <f aca="false">IFERROR(IF(OR(CB1474=1,CB1474=2,CB1474=3),N(INDEX(Parameter!$I$5:$I$7,CB1474)),0),0)</f>
        <v>0</v>
      </c>
      <c r="CL1474" s="52" t="n">
        <f aca="false">IF(AND(Parameter!$B$21="Ja",ISNUMBER(W1474),N(X1474)&gt;0),IFERROR(N(INDEX(Parameter!$L$5:$L$7,W1474))*INDEX(Parameter!$E$5:$E$7,W1474)*X1474/SUMIFS($X$7:$X$1843,$W$7:$W$1843,W1474),0),0)</f>
        <v>0</v>
      </c>
    </row>
    <row r="1475" customFormat="false" ht="15" hidden="false" customHeight="false" outlineLevel="0" collapsed="false">
      <c r="A1475" s="48" t="s">
        <v>2582</v>
      </c>
      <c r="B1475" s="48" t="s">
        <v>2583</v>
      </c>
      <c r="C1475" s="48" t="s">
        <v>168</v>
      </c>
      <c r="D1475" s="48" t="s">
        <v>188</v>
      </c>
      <c r="E1475" s="48" t="s">
        <v>189</v>
      </c>
      <c r="F1475" s="48"/>
      <c r="G1475" s="49" t="n">
        <v>70.21</v>
      </c>
      <c r="H1475" s="50" t="n">
        <f aca="false">MAX(0,IF(AND(Parameter!$B$21="Ja",ISNUMBER(Y1475)),Y1475,IF(Parameter!$B$20="Jahresanfang 2025 + Export",BO1475+BN1475,BN1475)))</f>
        <v>4</v>
      </c>
      <c r="I1475" s="50" t="n">
        <f aca="false">H1475*G1475</f>
        <v>280.84</v>
      </c>
      <c r="J1475" s="50" t="n">
        <f aca="false">BQ1475*Parameter!$B$18</f>
        <v>0</v>
      </c>
      <c r="K1475" s="51"/>
      <c r="L1475" s="52"/>
      <c r="M1475" s="50" t="n">
        <v>0</v>
      </c>
      <c r="N1475" s="50" t="n">
        <v>5</v>
      </c>
      <c r="O1475" s="53" t="n">
        <v>14</v>
      </c>
      <c r="P1475" s="48" t="s">
        <v>332</v>
      </c>
      <c r="Q1475" s="50" t="n">
        <v>4</v>
      </c>
      <c r="R1475" s="53" t="n">
        <f aca="false">IF(BW1475=1,0,IFERROR(VLOOKUP(BU1475,'Gebinde-Kategorie'!$A$5:$N$45,13,0)+0,0))</f>
        <v>52</v>
      </c>
      <c r="S1475" s="54"/>
      <c r="T1475" s="55"/>
      <c r="U1475" s="55"/>
      <c r="V1475" s="55"/>
      <c r="W1475" s="48"/>
      <c r="X1475" s="50"/>
      <c r="Y1475" s="50"/>
      <c r="Z1475" s="48" t="n">
        <f aca="false">IF(A1475="","",IF(AND(Parameter!$B$21="Ja",ISNUMBER(W1475)),W1475,IF(BZ1475="2+3",IF(ISNUMBER(SEARCH("grosser Artikel",BR1475)),2,IFERROR(VLOOKUP(BU1475,Parameter!$F$35:$G$64,2,0),2)),IF(OR(BZ1475="Nein",BZ1475=""),"-",BZ1475))))</f>
        <v>3</v>
      </c>
      <c r="AA1475" s="55"/>
      <c r="AB1475" s="56"/>
      <c r="AC1475" s="50" t="n">
        <f aca="false">AT1475</f>
        <v>8</v>
      </c>
      <c r="AD1475" s="50" t="n">
        <f aca="false">MAX(AT1475,H1475)</f>
        <v>8</v>
      </c>
      <c r="AE1475" s="57"/>
      <c r="AF1475" s="50" t="n">
        <f aca="false">IF(LEFT(Cockpit!$C$5,1)="A",H1475,IF(CE1475=1,CF1475,IF(LEFT(Cockpit!$C$5,1)="B",AK1475,MAX(AK1475,H1475))))</f>
        <v>4</v>
      </c>
      <c r="AG1475" s="50" t="n">
        <f aca="false">IF(BW1475=1,0,ROUNDUP(AF1475/BV1475,0))</f>
        <v>1</v>
      </c>
      <c r="AH1475" s="52" t="n">
        <f aca="false">IF(CL1475&gt;0,CL1475*MAX(1,AF1475/X1475),IF(BW1475=1,IF(AF1475&lt;=0,0,CA1475*MAX(1,IF(H1475&gt;0,AF1475/H1475,1))),IF(R1475&gt;0,AG1475/R1475,0))/MAX(0.1,N(Parameter!$M$21)))</f>
        <v>0.0192307692307692</v>
      </c>
      <c r="AI1475" s="50" t="n">
        <f aca="false">AH1475*BY1475</f>
        <v>2.98076923076923</v>
      </c>
      <c r="AJ1475" s="50" t="n">
        <f aca="false">AF1475*G1475</f>
        <v>280.84</v>
      </c>
      <c r="AK1475" s="50" t="n">
        <f aca="false">ROUNDUP(MAX(J1475/IF(CD1475&gt;0,CD1475,MAX(0.1,N(Cockpit!$C$6))),CG1475)/BV1475,0)*BV1475</f>
        <v>8</v>
      </c>
      <c r="AL1475" s="51" t="n">
        <f aca="false">IF(AI1475&gt;0,J1475/AI1475,-1)</f>
        <v>0</v>
      </c>
      <c r="AM1475" s="51" t="n">
        <f aca="false">IF(AND(OR(CC1475="L1",CC1475="L23",CC1475="LIFT"),AI1475&gt;0),SUMIFS($AI$7:$AI$1843,$CC$7:$CC$1843,CC1475,$AL$7:$AL$1843,"&gt;"&amp;AL1475)+SUMIFS($AI$7:$AI$1843,$CC$7:$CC$1843,CC1475,$AL$7:$AL$1843,AL1475,$BT$7:$BT$1843,"&lt;="&amp;BT1475),"")</f>
        <v>29712.1779686886</v>
      </c>
      <c r="AN1475" s="58" t="n">
        <f aca="false">IF(AM1475="",0,MAX(0,MIN(1,(IF(CC1475="L1",Parameter!$H$5,IF(CC1475="L23",Parameter!$H$6+Parameter!$H$7,Parameter!$H$5+Parameter!$H$6+Parameter!$H$7))-(AM1475-AI1475))/AI1475)))</f>
        <v>1</v>
      </c>
      <c r="AO1475" s="50" t="n">
        <f aca="false">IF(LEFT(Cockpit!$I$5,1)="A",H1475,IF(CE1475=1,CF1475,IF(LEFT(Cockpit!$I$5,1)="B",AT1475,MAX(AT1475,H1475))))</f>
        <v>8</v>
      </c>
      <c r="AP1475" s="50" t="n">
        <f aca="false">IF(BW1475=1,0,ROUNDUP(AO1475/BV1475,0))</f>
        <v>2</v>
      </c>
      <c r="AQ1475" s="52" t="n">
        <f aca="false">IF(CL1475&gt;0,CL1475*MAX(1,AO1475/X1475),IF(BW1475=1,IF(AO1475&lt;=0,0,CA1475*MAX(1,IF(H1475&gt;0,AO1475/H1475,1))),IF(R1475&gt;0,AP1475/R1475,0))/MAX(0.1,N(Parameter!$M$21)))</f>
        <v>0.0384615384615385</v>
      </c>
      <c r="AR1475" s="50" t="n">
        <f aca="false">AQ1475*BY1475</f>
        <v>5.96153846153846</v>
      </c>
      <c r="AS1475" s="50" t="n">
        <f aca="false">AO1475*G1475</f>
        <v>561.68</v>
      </c>
      <c r="AT1475" s="50" t="n">
        <f aca="false">ROUNDUP(MAX(J1475/IF(CD1475&gt;0,CD1475,MAX(0.1,N(Cockpit!$I$6))),CG1475)/BV1475,0)*BV1475</f>
        <v>8</v>
      </c>
      <c r="AU1475" s="51" t="n">
        <f aca="false">IF(AR1475&gt;0,J1475/AR1475,-1)</f>
        <v>0</v>
      </c>
      <c r="AV1475" s="51" t="n">
        <f aca="false">IF(AND(OR(CC1475="L1",CC1475="L23",CC1475="LIFT"),AR1475&gt;0),SUMIFS($AR$7:$AR$1843,$CC$7:$CC$1843,CC1475,$AU$7:$AU$1843,"&gt;"&amp;AU1475)+SUMIFS($AR$7:$AR$1843,$CC$7:$CC$1843,CC1475,$AU$7:$AU$1843,AU1475,$BT$7:$BT$1843,"&lt;="&amp;BT1475),"")</f>
        <v>41998.050976801</v>
      </c>
      <c r="AW1475" s="58" t="n">
        <f aca="false">IF(AV1475="",0,MAX(0,MIN(1,(IF(CC1475="L1",Parameter!$H$5,IF(CC1475="L23",Parameter!$H$6+Parameter!$H$7,Parameter!$H$5+Parameter!$H$6+Parameter!$H$7))-(AV1475-AR1475))/AR1475)))</f>
        <v>0</v>
      </c>
      <c r="AX1475" s="50" t="n">
        <f aca="false">IF(LEFT(Cockpit!$O$5,1)="A",H1475,IF(CE1475=1,CF1475,IF(LEFT(Cockpit!$O$5,1)="B",BC1475,MAX(BC1475,H1475))))</f>
        <v>8</v>
      </c>
      <c r="AY1475" s="50" t="n">
        <f aca="false">IF(BW1475=1,0,ROUNDUP(AX1475/BV1475,0))</f>
        <v>2</v>
      </c>
      <c r="AZ1475" s="52" t="n">
        <f aca="false">IF(CL1475&gt;0,CL1475*MAX(1,AX1475/X1475),IF(BW1475=1,IF(AX1475&lt;=0,0,CA1475*MAX(1,IF(H1475&gt;0,AX1475/H1475,1))),IF(R1475&gt;0,AY1475/R1475,0))/MAX(0.1,N(Parameter!$M$21)))</f>
        <v>0.0384615384615385</v>
      </c>
      <c r="BA1475" s="50" t="n">
        <f aca="false">AZ1475*BY1475</f>
        <v>5.96153846153846</v>
      </c>
      <c r="BB1475" s="50" t="n">
        <f aca="false">AX1475*G1475</f>
        <v>561.68</v>
      </c>
      <c r="BC1475" s="50" t="n">
        <f aca="false">ROUNDUP(MAX(J1475/IF(CD1475&gt;0,CD1475,MAX(0.1,N(Cockpit!$O$6))),CG1475)/BV1475,0)*BV1475</f>
        <v>8</v>
      </c>
      <c r="BD1475" s="51" t="n">
        <f aca="false">IF(BA1475&gt;0,J1475/BA1475,-1)</f>
        <v>0</v>
      </c>
      <c r="BE1475" s="51" t="n">
        <f aca="false">IF(AND(OR(CC1475="L1",CC1475="L23",CC1475="LIFT"),BA1475&gt;0),SUMIFS($BA$7:$BA$1843,$CC$7:$CC$1843,CC1475,$BD$7:$BD$1843,"&gt;"&amp;BD1475)+SUMIFS($BA$7:$BA$1843,$CC$7:$CC$1843,CC1475,$BD$7:$BD$1843,BD1475,$BT$7:$BT$1843,"&lt;="&amp;BT1475),"")</f>
        <v>38673.0630186668</v>
      </c>
      <c r="BF1475" s="58" t="n">
        <f aca="false">IF(BE1475="",0,MAX(0,MIN(1,(IF(CC1475="L1",Parameter!$H$5,IF(CC1475="L23",Parameter!$H$6+Parameter!$H$7,Parameter!$H$5+Parameter!$H$6+Parameter!$H$7))-(BE1475-BA1475))/BA1475)))</f>
        <v>0</v>
      </c>
      <c r="BG1475" s="48" t="str">
        <f aca="false">IF(AI1475&lt;=0,"",IF(CC1475="Aussen","Aussenlager",IF(CC1475="-","Nicht im Lift",IF(AN1475&gt;=1,"Lift",IF(AN1475&lt;=0,"Aussenlager","teilweise")))))</f>
        <v>Lift</v>
      </c>
      <c r="BH1475" s="48" t="str">
        <f aca="false">IF(AR1475&lt;=0,"",IF(CC1475="Aussen","Aussenlager",IF(CC1475="-","Nicht im Lift",IF(AW1475&gt;=1,"Lift",IF(AW1475&lt;=0,"Aussenlager","teilweise")))))</f>
        <v>Aussenlager</v>
      </c>
      <c r="BI1475" s="48" t="str">
        <f aca="false">IF(BA1475&lt;=0,"",IF(CC1475="Aussen","Aussenlager",IF(CC1475="-","Nicht im Lift",IF(BF1475&gt;=1,"Lift",IF(BF1475&lt;=0,"Aussenlager","teilweise")))))</f>
        <v>Aussenlager</v>
      </c>
      <c r="BJ1475" s="48" t="str">
        <f aca="false">IF(A1475="","",IF(BS1475=1,"Neu; ","")&amp;IF(AND(BS1475=0,BN1475&lt;0),"negativer Bestand (Export "&amp;BN1475&amp;"); ","")&amp;IF(J1475&lt;=0,"Kein Verbrauch; ","")&amp;IF(CL1475&gt;0,"Lift "&amp;W1475&amp;" lt. Liftbericht (Fach "&amp;X1475&amp;" Stk); ",IF(BX1475=1,"Gebinde geschätzt ("&amp;T1475&amp;"); ",IF(BW1475=1,"Lose – Tablare geschätzt; ","")))&amp;IF(H1475&gt;AT1475,"Überbestand "&amp;ROUND(H1475-AT1475,0)&amp;" Stk / CHF "&amp;ROUND((H1475-AT1475)*G1475,0)&amp;"; ","")&amp;IF(AND(CE1475=1,CF1475&lt;CG1475),"MAX &lt; MB+LG; ","")&amp;IF(AND(CK1475&gt;0,CJ1475*10&gt;CK1475),"zu hoch für Tablar; ","")&amp;IF(AND(BS1475=0,OR(CE1475=1,AA1475&lt;&gt;"",U1475&lt;&gt;"",V1475&lt;&gt;"",AB1475&lt;&gt;"")),"manuell übersteuert; ","")&amp;IF(AND(BW1475=0,R1475=0),"Gebinde unbekannt / Stellmass fehlt; ","")&amp;IF(AND(BW1475=0,N(V1475)&lt;=0,N(Q1475)&lt;=0),"Menge pro Gebinde fehlt (Ist = 1 Gebinde); ","")&amp;BR1475)</f>
        <v>Kein Verbrauch; nur im Artikelstamm (Bestand 23.06.2026)</v>
      </c>
      <c r="BK1475" s="48"/>
      <c r="BL1475" s="48"/>
      <c r="BM1475" s="55"/>
      <c r="BN1475" s="50" t="n">
        <v>4</v>
      </c>
      <c r="BO1475" s="50" t="n">
        <v>0</v>
      </c>
      <c r="BP1475" s="49" t="n">
        <v>0</v>
      </c>
      <c r="BQ1475" s="50" t="n">
        <v>0</v>
      </c>
      <c r="BR1475" s="48" t="s">
        <v>2579</v>
      </c>
      <c r="BS1475" s="53" t="n">
        <v>0</v>
      </c>
      <c r="BT1475" s="53" t="n">
        <v>1475</v>
      </c>
      <c r="BU1475" s="48" t="str">
        <f aca="false">IF(U1475&lt;&gt;"",UPPER(TRIM(U1475)),IF(BX1475=1,UPPER(VLOOKUP(T1475,Parameter!$I$27:$K$29,2,0)),IF(P1475="","LOSE",P1475)))</f>
        <v>S41</v>
      </c>
      <c r="BV1475" s="50" t="n">
        <f aca="false">IF(BU1475="LOSE",1,IF(N(V1475)&gt;0,V1475,IF(BX1475=1,MAX(1,N(VLOOKUP(T1475,Parameter!$I$27:$K$29,3,0)),H1475,N(N1475)),IF(N(Q1475)&gt;0,Q1475,MAX(1,H1475)))))</f>
        <v>4</v>
      </c>
      <c r="BW1475" s="53" t="n">
        <f aca="false">IF(BU1475="LOSE",1,0)</f>
        <v>0</v>
      </c>
      <c r="BX1475" s="53" t="n">
        <f aca="false">IF(AND(U1475="",OR(P1475="",P1475="LOSE"),T1475&lt;&gt;"",N(S1475)&lt;=0,ISNUMBER(MATCH(T1475,Parameter!$I$27:$I$29,0))),1,0)</f>
        <v>0</v>
      </c>
      <c r="BY1475" s="53" t="n">
        <f aca="false">IF(CL1475&gt;0,INDEX(Parameter!$H$5:$H$7,W1475)/INDEX(Parameter!$E$5:$E$7,W1475),IF(AND(BW1475=0,N(IFERROR(VLOOKUP(BU1475,'Gebinde-Kategorie'!$A$5:$N$45,14,0),0))&gt;0),VLOOKUP(BU1475,'Gebinde-Kategorie'!$A$5:$N$45,14,0)*10+Parameter!$M$23,Parameter!$M$24))</f>
        <v>155</v>
      </c>
      <c r="BZ1475" s="48" t="str">
        <f aca="false">IF(AND(Parameter!$B$19="Ja",E1475&lt;&gt;"",ISNUMBER(MATCH(E1475,Parameter!$I$35:$I$52,0))),VLOOKUP(E1475,Parameter!$I$35:$J$52,2,0),IFERROR(VLOOKUP(D1475,Parameter!$A$35:$C$64,2,0),"Nein"))</f>
        <v>2+3</v>
      </c>
      <c r="CA1475" s="52" t="n">
        <f aca="false">IF(BW1475=0,0,IF(N(S1475)&gt;0,S1475,IFERROR(VLOOKUP(D1475,Parameter!$A$35:$C$64,3,0)+0,0)))</f>
        <v>0</v>
      </c>
      <c r="CB1475" s="48" t="n">
        <f aca="false">IF(AA1475&lt;&gt;"",AA1475,Z1475)</f>
        <v>3</v>
      </c>
      <c r="CC1475" s="48" t="str">
        <f aca="false">IF(OR(CB1475=1,CB1475=2,CB1475=3),IF(Parameter!$E$27="Ja","LIFT",IF(CB1475=1,"L1","L23")),IF(CB1475="Aussen","Aussen","-"))</f>
        <v>LIFT</v>
      </c>
      <c r="CD1475" s="59" t="n">
        <f aca="false">IF(N(AB1475)&gt;0,AB1475,0)</f>
        <v>0</v>
      </c>
      <c r="CE1475" s="53" t="n">
        <f aca="false">IF(ISNUMBER(AE1475),1,0)</f>
        <v>0</v>
      </c>
      <c r="CF1475" s="50" t="n">
        <f aca="false">N(AE1475)</f>
        <v>0</v>
      </c>
      <c r="CG1475" s="50" t="n">
        <f aca="false">N(M1475)+N(N1475)</f>
        <v>5</v>
      </c>
      <c r="CH1475" s="50" t="n">
        <f aca="false">ROUNDUP(H1475/BV1475,0)</f>
        <v>1</v>
      </c>
      <c r="CI1475" s="50" t="n">
        <f aca="false">ROUNDUP(CF1475/BV1475,0)</f>
        <v>0</v>
      </c>
      <c r="CJ1475" s="53" t="n">
        <f aca="false">IF(BW1475=1,0,IFERROR(VLOOKUP(BU1475,'Gebinde-Kategorie'!$A$5:$N$45,5,0)+0,0))</f>
        <v>11</v>
      </c>
      <c r="CK1475" s="53" t="n">
        <f aca="false">IFERROR(IF(OR(CB1475=1,CB1475=2,CB1475=3),N(INDEX(Parameter!$I$5:$I$7,CB1475)),0),0)</f>
        <v>0</v>
      </c>
      <c r="CL1475" s="52" t="n">
        <f aca="false">IF(AND(Parameter!$B$21="Ja",ISNUMBER(W1475),N(X1475)&gt;0),IFERROR(N(INDEX(Parameter!$L$5:$L$7,W1475))*INDEX(Parameter!$E$5:$E$7,W1475)*X1475/SUMIFS($X$7:$X$1843,$W$7:$W$1843,W1475),0),0)</f>
        <v>0</v>
      </c>
    </row>
    <row r="1476" customFormat="false" ht="15" hidden="false" customHeight="false" outlineLevel="0" collapsed="false">
      <c r="A1476" s="48" t="s">
        <v>2584</v>
      </c>
      <c r="B1476" s="48" t="s">
        <v>2585</v>
      </c>
      <c r="C1476" s="48" t="s">
        <v>168</v>
      </c>
      <c r="D1476" s="48" t="s">
        <v>188</v>
      </c>
      <c r="E1476" s="48" t="s">
        <v>189</v>
      </c>
      <c r="F1476" s="48"/>
      <c r="G1476" s="49" t="n">
        <v>33.07</v>
      </c>
      <c r="H1476" s="50" t="n">
        <f aca="false">MAX(0,IF(AND(Parameter!$B$21="Ja",ISNUMBER(Y1476)),Y1476,IF(Parameter!$B$20="Jahresanfang 2025 + Export",BO1476+BN1476,BN1476)))</f>
        <v>7</v>
      </c>
      <c r="I1476" s="50" t="n">
        <f aca="false">H1476*G1476</f>
        <v>231.49</v>
      </c>
      <c r="J1476" s="50" t="n">
        <f aca="false">BQ1476*Parameter!$B$18</f>
        <v>0</v>
      </c>
      <c r="K1476" s="51"/>
      <c r="L1476" s="52"/>
      <c r="M1476" s="50" t="n">
        <v>0</v>
      </c>
      <c r="N1476" s="50" t="n">
        <v>5</v>
      </c>
      <c r="O1476" s="53" t="n">
        <v>14</v>
      </c>
      <c r="P1476" s="48" t="s">
        <v>306</v>
      </c>
      <c r="Q1476" s="50" t="n">
        <v>8</v>
      </c>
      <c r="R1476" s="53" t="n">
        <f aca="false">IF(BW1476=1,0,IFERROR(VLOOKUP(BU1476,'Gebinde-Kategorie'!$A$5:$N$45,13,0)+0,0))</f>
        <v>26</v>
      </c>
      <c r="S1476" s="54"/>
      <c r="T1476" s="55"/>
      <c r="U1476" s="55"/>
      <c r="V1476" s="55"/>
      <c r="W1476" s="48"/>
      <c r="X1476" s="50"/>
      <c r="Y1476" s="50"/>
      <c r="Z1476" s="48" t="n">
        <f aca="false">IF(A1476="","",IF(AND(Parameter!$B$21="Ja",ISNUMBER(W1476)),W1476,IF(BZ1476="2+3",IF(ISNUMBER(SEARCH("grosser Artikel",BR1476)),2,IFERROR(VLOOKUP(BU1476,Parameter!$F$35:$G$64,2,0),2)),IF(OR(BZ1476="Nein",BZ1476=""),"-",BZ1476))))</f>
        <v>3</v>
      </c>
      <c r="AA1476" s="55"/>
      <c r="AB1476" s="56"/>
      <c r="AC1476" s="50" t="n">
        <f aca="false">AT1476</f>
        <v>8</v>
      </c>
      <c r="AD1476" s="50" t="n">
        <f aca="false">MAX(AT1476,H1476)</f>
        <v>8</v>
      </c>
      <c r="AE1476" s="57"/>
      <c r="AF1476" s="50" t="n">
        <f aca="false">IF(LEFT(Cockpit!$C$5,1)="A",H1476,IF(CE1476=1,CF1476,IF(LEFT(Cockpit!$C$5,1)="B",AK1476,MAX(AK1476,H1476))))</f>
        <v>7</v>
      </c>
      <c r="AG1476" s="50" t="n">
        <f aca="false">IF(BW1476=1,0,ROUNDUP(AF1476/BV1476,0))</f>
        <v>1</v>
      </c>
      <c r="AH1476" s="52" t="n">
        <f aca="false">IF(CL1476&gt;0,CL1476*MAX(1,AF1476/X1476),IF(BW1476=1,IF(AF1476&lt;=0,0,CA1476*MAX(1,IF(H1476&gt;0,AF1476/H1476,1))),IF(R1476&gt;0,AG1476/R1476,0))/MAX(0.1,N(Parameter!$M$21)))</f>
        <v>0.0384615384615385</v>
      </c>
      <c r="AI1476" s="50" t="n">
        <f aca="false">AH1476*BY1476</f>
        <v>5.96153846153846</v>
      </c>
      <c r="AJ1476" s="50" t="n">
        <f aca="false">AF1476*G1476</f>
        <v>231.49</v>
      </c>
      <c r="AK1476" s="50" t="n">
        <f aca="false">ROUNDUP(MAX(J1476/IF(CD1476&gt;0,CD1476,MAX(0.1,N(Cockpit!$C$6))),CG1476)/BV1476,0)*BV1476</f>
        <v>8</v>
      </c>
      <c r="AL1476" s="51" t="n">
        <f aca="false">IF(AI1476&gt;0,J1476/AI1476,-1)</f>
        <v>0</v>
      </c>
      <c r="AM1476" s="51" t="n">
        <f aca="false">IF(AND(OR(CC1476="L1",CC1476="L23",CC1476="LIFT"),AI1476&gt;0),SUMIFS($AI$7:$AI$1843,$CC$7:$CC$1843,CC1476,$AL$7:$AL$1843,"&gt;"&amp;AL1476)+SUMIFS($AI$7:$AI$1843,$CC$7:$CC$1843,CC1476,$AL$7:$AL$1843,AL1476,$BT$7:$BT$1843,"&lt;="&amp;BT1476),"")</f>
        <v>29718.1395071501</v>
      </c>
      <c r="AN1476" s="58" t="n">
        <f aca="false">IF(AM1476="",0,MAX(0,MIN(1,(IF(CC1476="L1",Parameter!$H$5,IF(CC1476="L23",Parameter!$H$6+Parameter!$H$7,Parameter!$H$5+Parameter!$H$6+Parameter!$H$7))-(AM1476-AI1476))/AI1476)))</f>
        <v>1</v>
      </c>
      <c r="AO1476" s="50" t="n">
        <f aca="false">IF(LEFT(Cockpit!$I$5,1)="A",H1476,IF(CE1476=1,CF1476,IF(LEFT(Cockpit!$I$5,1)="B",AT1476,MAX(AT1476,H1476))))</f>
        <v>8</v>
      </c>
      <c r="AP1476" s="50" t="n">
        <f aca="false">IF(BW1476=1,0,ROUNDUP(AO1476/BV1476,0))</f>
        <v>1</v>
      </c>
      <c r="AQ1476" s="52" t="n">
        <f aca="false">IF(CL1476&gt;0,CL1476*MAX(1,AO1476/X1476),IF(BW1476=1,IF(AO1476&lt;=0,0,CA1476*MAX(1,IF(H1476&gt;0,AO1476/H1476,1))),IF(R1476&gt;0,AP1476/R1476,0))/MAX(0.1,N(Parameter!$M$21)))</f>
        <v>0.0384615384615385</v>
      </c>
      <c r="AR1476" s="50" t="n">
        <f aca="false">AQ1476*BY1476</f>
        <v>5.96153846153846</v>
      </c>
      <c r="AS1476" s="50" t="n">
        <f aca="false">AO1476*G1476</f>
        <v>264.56</v>
      </c>
      <c r="AT1476" s="50" t="n">
        <f aca="false">ROUNDUP(MAX(J1476/IF(CD1476&gt;0,CD1476,MAX(0.1,N(Cockpit!$I$6))),CG1476)/BV1476,0)*BV1476</f>
        <v>8</v>
      </c>
      <c r="AU1476" s="51" t="n">
        <f aca="false">IF(AR1476&gt;0,J1476/AR1476,-1)</f>
        <v>0</v>
      </c>
      <c r="AV1476" s="51" t="n">
        <f aca="false">IF(AND(OR(CC1476="L1",CC1476="L23",CC1476="LIFT"),AR1476&gt;0),SUMIFS($AR$7:$AR$1843,$CC$7:$CC$1843,CC1476,$AU$7:$AU$1843,"&gt;"&amp;AU1476)+SUMIFS($AR$7:$AR$1843,$CC$7:$CC$1843,CC1476,$AU$7:$AU$1843,AU1476,$BT$7:$BT$1843,"&lt;="&amp;BT1476),"")</f>
        <v>42004.0125152625</v>
      </c>
      <c r="AW1476" s="58" t="n">
        <f aca="false">IF(AV1476="",0,MAX(0,MIN(1,(IF(CC1476="L1",Parameter!$H$5,IF(CC1476="L23",Parameter!$H$6+Parameter!$H$7,Parameter!$H$5+Parameter!$H$6+Parameter!$H$7))-(AV1476-AR1476))/AR1476)))</f>
        <v>0</v>
      </c>
      <c r="AX1476" s="50" t="n">
        <f aca="false">IF(LEFT(Cockpit!$O$5,1)="A",H1476,IF(CE1476=1,CF1476,IF(LEFT(Cockpit!$O$5,1)="B",BC1476,MAX(BC1476,H1476))))</f>
        <v>8</v>
      </c>
      <c r="AY1476" s="50" t="n">
        <f aca="false">IF(BW1476=1,0,ROUNDUP(AX1476/BV1476,0))</f>
        <v>1</v>
      </c>
      <c r="AZ1476" s="52" t="n">
        <f aca="false">IF(CL1476&gt;0,CL1476*MAX(1,AX1476/X1476),IF(BW1476=1,IF(AX1476&lt;=0,0,CA1476*MAX(1,IF(H1476&gt;0,AX1476/H1476,1))),IF(R1476&gt;0,AY1476/R1476,0))/MAX(0.1,N(Parameter!$M$21)))</f>
        <v>0.0384615384615385</v>
      </c>
      <c r="BA1476" s="50" t="n">
        <f aca="false">AZ1476*BY1476</f>
        <v>5.96153846153846</v>
      </c>
      <c r="BB1476" s="50" t="n">
        <f aca="false">AX1476*G1476</f>
        <v>264.56</v>
      </c>
      <c r="BC1476" s="50" t="n">
        <f aca="false">ROUNDUP(MAX(J1476/IF(CD1476&gt;0,CD1476,MAX(0.1,N(Cockpit!$O$6))),CG1476)/BV1476,0)*BV1476</f>
        <v>8</v>
      </c>
      <c r="BD1476" s="51" t="n">
        <f aca="false">IF(BA1476&gt;0,J1476/BA1476,-1)</f>
        <v>0</v>
      </c>
      <c r="BE1476" s="51" t="n">
        <f aca="false">IF(AND(OR(CC1476="L1",CC1476="L23",CC1476="LIFT"),BA1476&gt;0),SUMIFS($BA$7:$BA$1843,$CC$7:$CC$1843,CC1476,$BD$7:$BD$1843,"&gt;"&amp;BD1476)+SUMIFS($BA$7:$BA$1843,$CC$7:$CC$1843,CC1476,$BD$7:$BD$1843,BD1476,$BT$7:$BT$1843,"&lt;="&amp;BT1476),"")</f>
        <v>38679.0245571284</v>
      </c>
      <c r="BF1476" s="58" t="n">
        <f aca="false">IF(BE1476="",0,MAX(0,MIN(1,(IF(CC1476="L1",Parameter!$H$5,IF(CC1476="L23",Parameter!$H$6+Parameter!$H$7,Parameter!$H$5+Parameter!$H$6+Parameter!$H$7))-(BE1476-BA1476))/BA1476)))</f>
        <v>0</v>
      </c>
      <c r="BG1476" s="48" t="str">
        <f aca="false">IF(AI1476&lt;=0,"",IF(CC1476="Aussen","Aussenlager",IF(CC1476="-","Nicht im Lift",IF(AN1476&gt;=1,"Lift",IF(AN1476&lt;=0,"Aussenlager","teilweise")))))</f>
        <v>Lift</v>
      </c>
      <c r="BH1476" s="48" t="str">
        <f aca="false">IF(AR1476&lt;=0,"",IF(CC1476="Aussen","Aussenlager",IF(CC1476="-","Nicht im Lift",IF(AW1476&gt;=1,"Lift",IF(AW1476&lt;=0,"Aussenlager","teilweise")))))</f>
        <v>Aussenlager</v>
      </c>
      <c r="BI1476" s="48" t="str">
        <f aca="false">IF(BA1476&lt;=0,"",IF(CC1476="Aussen","Aussenlager",IF(CC1476="-","Nicht im Lift",IF(BF1476&gt;=1,"Lift",IF(BF1476&lt;=0,"Aussenlager","teilweise")))))</f>
        <v>Aussenlager</v>
      </c>
      <c r="BJ1476" s="48" t="str">
        <f aca="false">IF(A1476="","",IF(BS1476=1,"Neu; ","")&amp;IF(AND(BS1476=0,BN1476&lt;0),"negativer Bestand (Export "&amp;BN1476&amp;"); ","")&amp;IF(J1476&lt;=0,"Kein Verbrauch; ","")&amp;IF(CL1476&gt;0,"Lift "&amp;W1476&amp;" lt. Liftbericht (Fach "&amp;X1476&amp;" Stk); ",IF(BX1476=1,"Gebinde geschätzt ("&amp;T1476&amp;"); ",IF(BW1476=1,"Lose – Tablare geschätzt; ","")))&amp;IF(H1476&gt;AT1476,"Überbestand "&amp;ROUND(H1476-AT1476,0)&amp;" Stk / CHF "&amp;ROUND((H1476-AT1476)*G1476,0)&amp;"; ","")&amp;IF(AND(CE1476=1,CF1476&lt;CG1476),"MAX &lt; MB+LG; ","")&amp;IF(AND(CK1476&gt;0,CJ1476*10&gt;CK1476),"zu hoch für Tablar; ","")&amp;IF(AND(BS1476=0,OR(CE1476=1,AA1476&lt;&gt;"",U1476&lt;&gt;"",V1476&lt;&gt;"",AB1476&lt;&gt;"")),"manuell übersteuert; ","")&amp;IF(AND(BW1476=0,R1476=0),"Gebinde unbekannt / Stellmass fehlt; ","")&amp;IF(AND(BW1476=0,N(V1476)&lt;=0,N(Q1476)&lt;=0),"Menge pro Gebinde fehlt (Ist = 1 Gebinde); ","")&amp;BR1476)</f>
        <v>Kein Verbrauch; nur im Artikelstamm (Bestand 23.06.2026)</v>
      </c>
      <c r="BK1476" s="48"/>
      <c r="BL1476" s="48"/>
      <c r="BM1476" s="55"/>
      <c r="BN1476" s="50" t="n">
        <v>7</v>
      </c>
      <c r="BO1476" s="50" t="n">
        <v>0</v>
      </c>
      <c r="BP1476" s="49" t="n">
        <v>0</v>
      </c>
      <c r="BQ1476" s="50" t="n">
        <v>0</v>
      </c>
      <c r="BR1476" s="48" t="s">
        <v>2579</v>
      </c>
      <c r="BS1476" s="53" t="n">
        <v>0</v>
      </c>
      <c r="BT1476" s="53" t="n">
        <v>1476</v>
      </c>
      <c r="BU1476" s="48" t="str">
        <f aca="false">IF(U1476&lt;&gt;"",UPPER(TRIM(U1476)),IF(BX1476=1,UPPER(VLOOKUP(T1476,Parameter!$I$27:$K$29,2,0)),IF(P1476="","LOSE",P1476)))</f>
        <v>S51</v>
      </c>
      <c r="BV1476" s="50" t="n">
        <f aca="false">IF(BU1476="LOSE",1,IF(N(V1476)&gt;0,V1476,IF(BX1476=1,MAX(1,N(VLOOKUP(T1476,Parameter!$I$27:$K$29,3,0)),H1476,N(N1476)),IF(N(Q1476)&gt;0,Q1476,MAX(1,H1476)))))</f>
        <v>8</v>
      </c>
      <c r="BW1476" s="53" t="n">
        <f aca="false">IF(BU1476="LOSE",1,0)</f>
        <v>0</v>
      </c>
      <c r="BX1476" s="53" t="n">
        <f aca="false">IF(AND(U1476="",OR(P1476="",P1476="LOSE"),T1476&lt;&gt;"",N(S1476)&lt;=0,ISNUMBER(MATCH(T1476,Parameter!$I$27:$I$29,0))),1,0)</f>
        <v>0</v>
      </c>
      <c r="BY1476" s="53" t="n">
        <f aca="false">IF(CL1476&gt;0,INDEX(Parameter!$H$5:$H$7,W1476)/INDEX(Parameter!$E$5:$E$7,W1476),IF(AND(BW1476=0,N(IFERROR(VLOOKUP(BU1476,'Gebinde-Kategorie'!$A$5:$N$45,14,0),0))&gt;0),VLOOKUP(BU1476,'Gebinde-Kategorie'!$A$5:$N$45,14,0)*10+Parameter!$M$23,Parameter!$M$24))</f>
        <v>155</v>
      </c>
      <c r="BZ1476" s="48" t="str">
        <f aca="false">IF(AND(Parameter!$B$19="Ja",E1476&lt;&gt;"",ISNUMBER(MATCH(E1476,Parameter!$I$35:$I$52,0))),VLOOKUP(E1476,Parameter!$I$35:$J$52,2,0),IFERROR(VLOOKUP(D1476,Parameter!$A$35:$C$64,2,0),"Nein"))</f>
        <v>2+3</v>
      </c>
      <c r="CA1476" s="52" t="n">
        <f aca="false">IF(BW1476=0,0,IF(N(S1476)&gt;0,S1476,IFERROR(VLOOKUP(D1476,Parameter!$A$35:$C$64,3,0)+0,0)))</f>
        <v>0</v>
      </c>
      <c r="CB1476" s="48" t="n">
        <f aca="false">IF(AA1476&lt;&gt;"",AA1476,Z1476)</f>
        <v>3</v>
      </c>
      <c r="CC1476" s="48" t="str">
        <f aca="false">IF(OR(CB1476=1,CB1476=2,CB1476=3),IF(Parameter!$E$27="Ja","LIFT",IF(CB1476=1,"L1","L23")),IF(CB1476="Aussen","Aussen","-"))</f>
        <v>LIFT</v>
      </c>
      <c r="CD1476" s="59" t="n">
        <f aca="false">IF(N(AB1476)&gt;0,AB1476,0)</f>
        <v>0</v>
      </c>
      <c r="CE1476" s="53" t="n">
        <f aca="false">IF(ISNUMBER(AE1476),1,0)</f>
        <v>0</v>
      </c>
      <c r="CF1476" s="50" t="n">
        <f aca="false">N(AE1476)</f>
        <v>0</v>
      </c>
      <c r="CG1476" s="50" t="n">
        <f aca="false">N(M1476)+N(N1476)</f>
        <v>5</v>
      </c>
      <c r="CH1476" s="50" t="n">
        <f aca="false">ROUNDUP(H1476/BV1476,0)</f>
        <v>1</v>
      </c>
      <c r="CI1476" s="50" t="n">
        <f aca="false">ROUNDUP(CF1476/BV1476,0)</f>
        <v>0</v>
      </c>
      <c r="CJ1476" s="53" t="n">
        <f aca="false">IF(BW1476=1,0,IFERROR(VLOOKUP(BU1476,'Gebinde-Kategorie'!$A$5:$N$45,5,0)+0,0))</f>
        <v>11</v>
      </c>
      <c r="CK1476" s="53" t="n">
        <f aca="false">IFERROR(IF(OR(CB1476=1,CB1476=2,CB1476=3),N(INDEX(Parameter!$I$5:$I$7,CB1476)),0),0)</f>
        <v>0</v>
      </c>
      <c r="CL1476" s="52" t="n">
        <f aca="false">IF(AND(Parameter!$B$21="Ja",ISNUMBER(W1476),N(X1476)&gt;0),IFERROR(N(INDEX(Parameter!$L$5:$L$7,W1476))*INDEX(Parameter!$E$5:$E$7,W1476)*X1476/SUMIFS($X$7:$X$1843,$W$7:$W$1843,W1476),0),0)</f>
        <v>0</v>
      </c>
    </row>
    <row r="1477" customFormat="false" ht="15" hidden="false" customHeight="false" outlineLevel="0" collapsed="false">
      <c r="A1477" s="48" t="s">
        <v>2586</v>
      </c>
      <c r="B1477" s="48" t="s">
        <v>2587</v>
      </c>
      <c r="C1477" s="48" t="s">
        <v>168</v>
      </c>
      <c r="D1477" s="48" t="s">
        <v>188</v>
      </c>
      <c r="E1477" s="48" t="s">
        <v>189</v>
      </c>
      <c r="F1477" s="48"/>
      <c r="G1477" s="49" t="n">
        <v>158.01</v>
      </c>
      <c r="H1477" s="50" t="n">
        <f aca="false">MAX(0,IF(AND(Parameter!$B$21="Ja",ISNUMBER(Y1477)),Y1477,IF(Parameter!$B$20="Jahresanfang 2025 + Export",BO1477+BN1477,BN1477)))</f>
        <v>6</v>
      </c>
      <c r="I1477" s="50" t="n">
        <f aca="false">H1477*G1477</f>
        <v>948.06</v>
      </c>
      <c r="J1477" s="50" t="n">
        <f aca="false">BQ1477*Parameter!$B$18</f>
        <v>0</v>
      </c>
      <c r="K1477" s="51"/>
      <c r="L1477" s="52"/>
      <c r="M1477" s="50" t="n">
        <v>0</v>
      </c>
      <c r="N1477" s="50" t="n">
        <v>2</v>
      </c>
      <c r="O1477" s="53" t="n">
        <v>14</v>
      </c>
      <c r="P1477" s="48" t="s">
        <v>306</v>
      </c>
      <c r="Q1477" s="50" t="n">
        <v>6</v>
      </c>
      <c r="R1477" s="53" t="n">
        <f aca="false">IF(BW1477=1,0,IFERROR(VLOOKUP(BU1477,'Gebinde-Kategorie'!$A$5:$N$45,13,0)+0,0))</f>
        <v>26</v>
      </c>
      <c r="S1477" s="54"/>
      <c r="T1477" s="55"/>
      <c r="U1477" s="55"/>
      <c r="V1477" s="55"/>
      <c r="W1477" s="48"/>
      <c r="X1477" s="50"/>
      <c r="Y1477" s="50"/>
      <c r="Z1477" s="48" t="n">
        <f aca="false">IF(A1477="","",IF(AND(Parameter!$B$21="Ja",ISNUMBER(W1477)),W1477,IF(BZ1477="2+3",IF(ISNUMBER(SEARCH("grosser Artikel",BR1477)),2,IFERROR(VLOOKUP(BU1477,Parameter!$F$35:$G$64,2,0),2)),IF(OR(BZ1477="Nein",BZ1477=""),"-",BZ1477))))</f>
        <v>3</v>
      </c>
      <c r="AA1477" s="55"/>
      <c r="AB1477" s="56"/>
      <c r="AC1477" s="50" t="n">
        <f aca="false">AT1477</f>
        <v>6</v>
      </c>
      <c r="AD1477" s="50" t="n">
        <f aca="false">MAX(AT1477,H1477)</f>
        <v>6</v>
      </c>
      <c r="AE1477" s="57"/>
      <c r="AF1477" s="50" t="n">
        <f aca="false">IF(LEFT(Cockpit!$C$5,1)="A",H1477,IF(CE1477=1,CF1477,IF(LEFT(Cockpit!$C$5,1)="B",AK1477,MAX(AK1477,H1477))))</f>
        <v>6</v>
      </c>
      <c r="AG1477" s="50" t="n">
        <f aca="false">IF(BW1477=1,0,ROUNDUP(AF1477/BV1477,0))</f>
        <v>1</v>
      </c>
      <c r="AH1477" s="52" t="n">
        <f aca="false">IF(CL1477&gt;0,CL1477*MAX(1,AF1477/X1477),IF(BW1477=1,IF(AF1477&lt;=0,0,CA1477*MAX(1,IF(H1477&gt;0,AF1477/H1477,1))),IF(R1477&gt;0,AG1477/R1477,0))/MAX(0.1,N(Parameter!$M$21)))</f>
        <v>0.0384615384615385</v>
      </c>
      <c r="AI1477" s="50" t="n">
        <f aca="false">AH1477*BY1477</f>
        <v>5.96153846153846</v>
      </c>
      <c r="AJ1477" s="50" t="n">
        <f aca="false">AF1477*G1477</f>
        <v>948.06</v>
      </c>
      <c r="AK1477" s="50" t="n">
        <f aca="false">ROUNDUP(MAX(J1477/IF(CD1477&gt;0,CD1477,MAX(0.1,N(Cockpit!$C$6))),CG1477)/BV1477,0)*BV1477</f>
        <v>6</v>
      </c>
      <c r="AL1477" s="51" t="n">
        <f aca="false">IF(AI1477&gt;0,J1477/AI1477,-1)</f>
        <v>0</v>
      </c>
      <c r="AM1477" s="51" t="n">
        <f aca="false">IF(AND(OR(CC1477="L1",CC1477="L23",CC1477="LIFT"),AI1477&gt;0),SUMIFS($AI$7:$AI$1843,$CC$7:$CC$1843,CC1477,$AL$7:$AL$1843,"&gt;"&amp;AL1477)+SUMIFS($AI$7:$AI$1843,$CC$7:$CC$1843,CC1477,$AL$7:$AL$1843,AL1477,$BT$7:$BT$1843,"&lt;="&amp;BT1477),"")</f>
        <v>29724.1010456116</v>
      </c>
      <c r="AN1477" s="58" t="n">
        <f aca="false">IF(AM1477="",0,MAX(0,MIN(1,(IF(CC1477="L1",Parameter!$H$5,IF(CC1477="L23",Parameter!$H$6+Parameter!$H$7,Parameter!$H$5+Parameter!$H$6+Parameter!$H$7))-(AM1477-AI1477))/AI1477)))</f>
        <v>1</v>
      </c>
      <c r="AO1477" s="50" t="n">
        <f aca="false">IF(LEFT(Cockpit!$I$5,1)="A",H1477,IF(CE1477=1,CF1477,IF(LEFT(Cockpit!$I$5,1)="B",AT1477,MAX(AT1477,H1477))))</f>
        <v>6</v>
      </c>
      <c r="AP1477" s="50" t="n">
        <f aca="false">IF(BW1477=1,0,ROUNDUP(AO1477/BV1477,0))</f>
        <v>1</v>
      </c>
      <c r="AQ1477" s="52" t="n">
        <f aca="false">IF(CL1477&gt;0,CL1477*MAX(1,AO1477/X1477),IF(BW1477=1,IF(AO1477&lt;=0,0,CA1477*MAX(1,IF(H1477&gt;0,AO1477/H1477,1))),IF(R1477&gt;0,AP1477/R1477,0))/MAX(0.1,N(Parameter!$M$21)))</f>
        <v>0.0384615384615385</v>
      </c>
      <c r="AR1477" s="50" t="n">
        <f aca="false">AQ1477*BY1477</f>
        <v>5.96153846153846</v>
      </c>
      <c r="AS1477" s="50" t="n">
        <f aca="false">AO1477*G1477</f>
        <v>948.06</v>
      </c>
      <c r="AT1477" s="50" t="n">
        <f aca="false">ROUNDUP(MAX(J1477/IF(CD1477&gt;0,CD1477,MAX(0.1,N(Cockpit!$I$6))),CG1477)/BV1477,0)*BV1477</f>
        <v>6</v>
      </c>
      <c r="AU1477" s="51" t="n">
        <f aca="false">IF(AR1477&gt;0,J1477/AR1477,-1)</f>
        <v>0</v>
      </c>
      <c r="AV1477" s="51" t="n">
        <f aca="false">IF(AND(OR(CC1477="L1",CC1477="L23",CC1477="LIFT"),AR1477&gt;0),SUMIFS($AR$7:$AR$1843,$CC$7:$CC$1843,CC1477,$AU$7:$AU$1843,"&gt;"&amp;AU1477)+SUMIFS($AR$7:$AR$1843,$CC$7:$CC$1843,CC1477,$AU$7:$AU$1843,AU1477,$BT$7:$BT$1843,"&lt;="&amp;BT1477),"")</f>
        <v>42009.9740537241</v>
      </c>
      <c r="AW1477" s="58" t="n">
        <f aca="false">IF(AV1477="",0,MAX(0,MIN(1,(IF(CC1477="L1",Parameter!$H$5,IF(CC1477="L23",Parameter!$H$6+Parameter!$H$7,Parameter!$H$5+Parameter!$H$6+Parameter!$H$7))-(AV1477-AR1477))/AR1477)))</f>
        <v>0</v>
      </c>
      <c r="AX1477" s="50" t="n">
        <f aca="false">IF(LEFT(Cockpit!$O$5,1)="A",H1477,IF(CE1477=1,CF1477,IF(LEFT(Cockpit!$O$5,1)="B",BC1477,MAX(BC1477,H1477))))</f>
        <v>6</v>
      </c>
      <c r="AY1477" s="50" t="n">
        <f aca="false">IF(BW1477=1,0,ROUNDUP(AX1477/BV1477,0))</f>
        <v>1</v>
      </c>
      <c r="AZ1477" s="52" t="n">
        <f aca="false">IF(CL1477&gt;0,CL1477*MAX(1,AX1477/X1477),IF(BW1477=1,IF(AX1477&lt;=0,0,CA1477*MAX(1,IF(H1477&gt;0,AX1477/H1477,1))),IF(R1477&gt;0,AY1477/R1477,0))/MAX(0.1,N(Parameter!$M$21)))</f>
        <v>0.0384615384615385</v>
      </c>
      <c r="BA1477" s="50" t="n">
        <f aca="false">AZ1477*BY1477</f>
        <v>5.96153846153846</v>
      </c>
      <c r="BB1477" s="50" t="n">
        <f aca="false">AX1477*G1477</f>
        <v>948.06</v>
      </c>
      <c r="BC1477" s="50" t="n">
        <f aca="false">ROUNDUP(MAX(J1477/IF(CD1477&gt;0,CD1477,MAX(0.1,N(Cockpit!$O$6))),CG1477)/BV1477,0)*BV1477</f>
        <v>6</v>
      </c>
      <c r="BD1477" s="51" t="n">
        <f aca="false">IF(BA1477&gt;0,J1477/BA1477,-1)</f>
        <v>0</v>
      </c>
      <c r="BE1477" s="51" t="n">
        <f aca="false">IF(AND(OR(CC1477="L1",CC1477="L23",CC1477="LIFT"),BA1477&gt;0),SUMIFS($BA$7:$BA$1843,$CC$7:$CC$1843,CC1477,$BD$7:$BD$1843,"&gt;"&amp;BD1477)+SUMIFS($BA$7:$BA$1843,$CC$7:$CC$1843,CC1477,$BD$7:$BD$1843,BD1477,$BT$7:$BT$1843,"&lt;="&amp;BT1477),"")</f>
        <v>38684.9860955899</v>
      </c>
      <c r="BF1477" s="58" t="n">
        <f aca="false">IF(BE1477="",0,MAX(0,MIN(1,(IF(CC1477="L1",Parameter!$H$5,IF(CC1477="L23",Parameter!$H$6+Parameter!$H$7,Parameter!$H$5+Parameter!$H$6+Parameter!$H$7))-(BE1477-BA1477))/BA1477)))</f>
        <v>0</v>
      </c>
      <c r="BG1477" s="48" t="str">
        <f aca="false">IF(AI1477&lt;=0,"",IF(CC1477="Aussen","Aussenlager",IF(CC1477="-","Nicht im Lift",IF(AN1477&gt;=1,"Lift",IF(AN1477&lt;=0,"Aussenlager","teilweise")))))</f>
        <v>Lift</v>
      </c>
      <c r="BH1477" s="48" t="str">
        <f aca="false">IF(AR1477&lt;=0,"",IF(CC1477="Aussen","Aussenlager",IF(CC1477="-","Nicht im Lift",IF(AW1477&gt;=1,"Lift",IF(AW1477&lt;=0,"Aussenlager","teilweise")))))</f>
        <v>Aussenlager</v>
      </c>
      <c r="BI1477" s="48" t="str">
        <f aca="false">IF(BA1477&lt;=0,"",IF(CC1477="Aussen","Aussenlager",IF(CC1477="-","Nicht im Lift",IF(BF1477&gt;=1,"Lift",IF(BF1477&lt;=0,"Aussenlager","teilweise")))))</f>
        <v>Aussenlager</v>
      </c>
      <c r="BJ1477" s="48" t="str">
        <f aca="false">IF(A1477="","",IF(BS1477=1,"Neu; ","")&amp;IF(AND(BS1477=0,BN1477&lt;0),"negativer Bestand (Export "&amp;BN1477&amp;"); ","")&amp;IF(J1477&lt;=0,"Kein Verbrauch; ","")&amp;IF(CL1477&gt;0,"Lift "&amp;W1477&amp;" lt. Liftbericht (Fach "&amp;X1477&amp;" Stk); ",IF(BX1477=1,"Gebinde geschätzt ("&amp;T1477&amp;"); ",IF(BW1477=1,"Lose – Tablare geschätzt; ","")))&amp;IF(H1477&gt;AT1477,"Überbestand "&amp;ROUND(H1477-AT1477,0)&amp;" Stk / CHF "&amp;ROUND((H1477-AT1477)*G1477,0)&amp;"; ","")&amp;IF(AND(CE1477=1,CF1477&lt;CG1477),"MAX &lt; MB+LG; ","")&amp;IF(AND(CK1477&gt;0,CJ1477*10&gt;CK1477),"zu hoch für Tablar; ","")&amp;IF(AND(BS1477=0,OR(CE1477=1,AA1477&lt;&gt;"",U1477&lt;&gt;"",V1477&lt;&gt;"",AB1477&lt;&gt;"")),"manuell übersteuert; ","")&amp;IF(AND(BW1477=0,R1477=0),"Gebinde unbekannt / Stellmass fehlt; ","")&amp;IF(AND(BW1477=0,N(V1477)&lt;=0,N(Q1477)&lt;=0),"Menge pro Gebinde fehlt (Ist = 1 Gebinde); ","")&amp;BR1477)</f>
        <v>Kein Verbrauch; nur im Artikelstamm (Bestand 23.06.2026)</v>
      </c>
      <c r="BK1477" s="48"/>
      <c r="BL1477" s="48"/>
      <c r="BM1477" s="55"/>
      <c r="BN1477" s="50" t="n">
        <v>6</v>
      </c>
      <c r="BO1477" s="50" t="n">
        <v>0</v>
      </c>
      <c r="BP1477" s="49" t="n">
        <v>0</v>
      </c>
      <c r="BQ1477" s="50" t="n">
        <v>0</v>
      </c>
      <c r="BR1477" s="48" t="s">
        <v>2579</v>
      </c>
      <c r="BS1477" s="53" t="n">
        <v>0</v>
      </c>
      <c r="BT1477" s="53" t="n">
        <v>1477</v>
      </c>
      <c r="BU1477" s="48" t="str">
        <f aca="false">IF(U1477&lt;&gt;"",UPPER(TRIM(U1477)),IF(BX1477=1,UPPER(VLOOKUP(T1477,Parameter!$I$27:$K$29,2,0)),IF(P1477="","LOSE",P1477)))</f>
        <v>S51</v>
      </c>
      <c r="BV1477" s="50" t="n">
        <f aca="false">IF(BU1477="LOSE",1,IF(N(V1477)&gt;0,V1477,IF(BX1477=1,MAX(1,N(VLOOKUP(T1477,Parameter!$I$27:$K$29,3,0)),H1477,N(N1477)),IF(N(Q1477)&gt;0,Q1477,MAX(1,H1477)))))</f>
        <v>6</v>
      </c>
      <c r="BW1477" s="53" t="n">
        <f aca="false">IF(BU1477="LOSE",1,0)</f>
        <v>0</v>
      </c>
      <c r="BX1477" s="53" t="n">
        <f aca="false">IF(AND(U1477="",OR(P1477="",P1477="LOSE"),T1477&lt;&gt;"",N(S1477)&lt;=0,ISNUMBER(MATCH(T1477,Parameter!$I$27:$I$29,0))),1,0)</f>
        <v>0</v>
      </c>
      <c r="BY1477" s="53" t="n">
        <f aca="false">IF(CL1477&gt;0,INDEX(Parameter!$H$5:$H$7,W1477)/INDEX(Parameter!$E$5:$E$7,W1477),IF(AND(BW1477=0,N(IFERROR(VLOOKUP(BU1477,'Gebinde-Kategorie'!$A$5:$N$45,14,0),0))&gt;0),VLOOKUP(BU1477,'Gebinde-Kategorie'!$A$5:$N$45,14,0)*10+Parameter!$M$23,Parameter!$M$24))</f>
        <v>155</v>
      </c>
      <c r="BZ1477" s="48" t="str">
        <f aca="false">IF(AND(Parameter!$B$19="Ja",E1477&lt;&gt;"",ISNUMBER(MATCH(E1477,Parameter!$I$35:$I$52,0))),VLOOKUP(E1477,Parameter!$I$35:$J$52,2,0),IFERROR(VLOOKUP(D1477,Parameter!$A$35:$C$64,2,0),"Nein"))</f>
        <v>2+3</v>
      </c>
      <c r="CA1477" s="52" t="n">
        <f aca="false">IF(BW1477=0,0,IF(N(S1477)&gt;0,S1477,IFERROR(VLOOKUP(D1477,Parameter!$A$35:$C$64,3,0)+0,0)))</f>
        <v>0</v>
      </c>
      <c r="CB1477" s="48" t="n">
        <f aca="false">IF(AA1477&lt;&gt;"",AA1477,Z1477)</f>
        <v>3</v>
      </c>
      <c r="CC1477" s="48" t="str">
        <f aca="false">IF(OR(CB1477=1,CB1477=2,CB1477=3),IF(Parameter!$E$27="Ja","LIFT",IF(CB1477=1,"L1","L23")),IF(CB1477="Aussen","Aussen","-"))</f>
        <v>LIFT</v>
      </c>
      <c r="CD1477" s="59" t="n">
        <f aca="false">IF(N(AB1477)&gt;0,AB1477,0)</f>
        <v>0</v>
      </c>
      <c r="CE1477" s="53" t="n">
        <f aca="false">IF(ISNUMBER(AE1477),1,0)</f>
        <v>0</v>
      </c>
      <c r="CF1477" s="50" t="n">
        <f aca="false">N(AE1477)</f>
        <v>0</v>
      </c>
      <c r="CG1477" s="50" t="n">
        <f aca="false">N(M1477)+N(N1477)</f>
        <v>2</v>
      </c>
      <c r="CH1477" s="50" t="n">
        <f aca="false">ROUNDUP(H1477/BV1477,0)</f>
        <v>1</v>
      </c>
      <c r="CI1477" s="50" t="n">
        <f aca="false">ROUNDUP(CF1477/BV1477,0)</f>
        <v>0</v>
      </c>
      <c r="CJ1477" s="53" t="n">
        <f aca="false">IF(BW1477=1,0,IFERROR(VLOOKUP(BU1477,'Gebinde-Kategorie'!$A$5:$N$45,5,0)+0,0))</f>
        <v>11</v>
      </c>
      <c r="CK1477" s="53" t="n">
        <f aca="false">IFERROR(IF(OR(CB1477=1,CB1477=2,CB1477=3),N(INDEX(Parameter!$I$5:$I$7,CB1477)),0),0)</f>
        <v>0</v>
      </c>
      <c r="CL1477" s="52" t="n">
        <f aca="false">IF(AND(Parameter!$B$21="Ja",ISNUMBER(W1477),N(X1477)&gt;0),IFERROR(N(INDEX(Parameter!$L$5:$L$7,W1477))*INDEX(Parameter!$E$5:$E$7,W1477)*X1477/SUMIFS($X$7:$X$1843,$W$7:$W$1843,W1477),0),0)</f>
        <v>0</v>
      </c>
    </row>
    <row r="1478" customFormat="false" ht="15" hidden="false" customHeight="false" outlineLevel="0" collapsed="false">
      <c r="A1478" s="48" t="s">
        <v>2588</v>
      </c>
      <c r="B1478" s="48" t="s">
        <v>2589</v>
      </c>
      <c r="C1478" s="48" t="s">
        <v>168</v>
      </c>
      <c r="D1478" s="48" t="s">
        <v>188</v>
      </c>
      <c r="E1478" s="48" t="s">
        <v>189</v>
      </c>
      <c r="F1478" s="48"/>
      <c r="G1478" s="49" t="n">
        <v>11.85</v>
      </c>
      <c r="H1478" s="50" t="n">
        <f aca="false">MAX(0,IF(AND(Parameter!$B$21="Ja",ISNUMBER(Y1478)),Y1478,IF(Parameter!$B$20="Jahresanfang 2025 + Export",BO1478+BN1478,BN1478)))</f>
        <v>6</v>
      </c>
      <c r="I1478" s="50" t="n">
        <f aca="false">H1478*G1478</f>
        <v>71.1</v>
      </c>
      <c r="J1478" s="50" t="n">
        <f aca="false">BQ1478*Parameter!$B$18</f>
        <v>0</v>
      </c>
      <c r="K1478" s="51"/>
      <c r="L1478" s="52"/>
      <c r="M1478" s="50" t="n">
        <v>0</v>
      </c>
      <c r="N1478" s="50" t="n">
        <v>5</v>
      </c>
      <c r="O1478" s="53" t="n">
        <v>56</v>
      </c>
      <c r="P1478" s="48" t="s">
        <v>430</v>
      </c>
      <c r="Q1478" s="50" t="n">
        <v>6</v>
      </c>
      <c r="R1478" s="53" t="n">
        <f aca="false">IF(BW1478=1,0,IFERROR(VLOOKUP(BU1478,'Gebinde-Kategorie'!$A$5:$N$45,13,0)+0,0))</f>
        <v>140</v>
      </c>
      <c r="S1478" s="54"/>
      <c r="T1478" s="55"/>
      <c r="U1478" s="55"/>
      <c r="V1478" s="55"/>
      <c r="W1478" s="48"/>
      <c r="X1478" s="50"/>
      <c r="Y1478" s="50"/>
      <c r="Z1478" s="48" t="n">
        <f aca="false">IF(A1478="","",IF(AND(Parameter!$B$21="Ja",ISNUMBER(W1478)),W1478,IF(BZ1478="2+3",IF(ISNUMBER(SEARCH("grosser Artikel",BR1478)),2,IFERROR(VLOOKUP(BU1478,Parameter!$F$35:$G$64,2,0),2)),IF(OR(BZ1478="Nein",BZ1478=""),"-",BZ1478))))</f>
        <v>3</v>
      </c>
      <c r="AA1478" s="55"/>
      <c r="AB1478" s="56"/>
      <c r="AC1478" s="50" t="n">
        <f aca="false">AT1478</f>
        <v>6</v>
      </c>
      <c r="AD1478" s="50" t="n">
        <f aca="false">MAX(AT1478,H1478)</f>
        <v>6</v>
      </c>
      <c r="AE1478" s="57"/>
      <c r="AF1478" s="50" t="n">
        <f aca="false">IF(LEFT(Cockpit!$C$5,1)="A",H1478,IF(CE1478=1,CF1478,IF(LEFT(Cockpit!$C$5,1)="B",AK1478,MAX(AK1478,H1478))))</f>
        <v>6</v>
      </c>
      <c r="AG1478" s="50" t="n">
        <f aca="false">IF(BW1478=1,0,ROUNDUP(AF1478/BV1478,0))</f>
        <v>1</v>
      </c>
      <c r="AH1478" s="52" t="n">
        <f aca="false">IF(CL1478&gt;0,CL1478*MAX(1,AF1478/X1478),IF(BW1478=1,IF(AF1478&lt;=0,0,CA1478*MAX(1,IF(H1478&gt;0,AF1478/H1478,1))),IF(R1478&gt;0,AG1478/R1478,0))/MAX(0.1,N(Parameter!$M$21)))</f>
        <v>0.00714285714285714</v>
      </c>
      <c r="AI1478" s="50" t="n">
        <f aca="false">AH1478*BY1478</f>
        <v>1.10714285714286</v>
      </c>
      <c r="AJ1478" s="50" t="n">
        <f aca="false">AF1478*G1478</f>
        <v>71.1</v>
      </c>
      <c r="AK1478" s="50" t="n">
        <f aca="false">ROUNDUP(MAX(J1478/IF(CD1478&gt;0,CD1478,MAX(0.1,N(Cockpit!$C$6))),CG1478)/BV1478,0)*BV1478</f>
        <v>6</v>
      </c>
      <c r="AL1478" s="51" t="n">
        <f aca="false">IF(AI1478&gt;0,J1478/AI1478,-1)</f>
        <v>0</v>
      </c>
      <c r="AM1478" s="51" t="n">
        <f aca="false">IF(AND(OR(CC1478="L1",CC1478="L23",CC1478="LIFT"),AI1478&gt;0),SUMIFS($AI$7:$AI$1843,$CC$7:$CC$1843,CC1478,$AL$7:$AL$1843,"&gt;"&amp;AL1478)+SUMIFS($AI$7:$AI$1843,$CC$7:$CC$1843,CC1478,$AL$7:$AL$1843,AL1478,$BT$7:$BT$1843,"&lt;="&amp;BT1478),"")</f>
        <v>29725.2081884688</v>
      </c>
      <c r="AN1478" s="58" t="n">
        <f aca="false">IF(AM1478="",0,MAX(0,MIN(1,(IF(CC1478="L1",Parameter!$H$5,IF(CC1478="L23",Parameter!$H$6+Parameter!$H$7,Parameter!$H$5+Parameter!$H$6+Parameter!$H$7))-(AM1478-AI1478))/AI1478)))</f>
        <v>1</v>
      </c>
      <c r="AO1478" s="50" t="n">
        <f aca="false">IF(LEFT(Cockpit!$I$5,1)="A",H1478,IF(CE1478=1,CF1478,IF(LEFT(Cockpit!$I$5,1)="B",AT1478,MAX(AT1478,H1478))))</f>
        <v>6</v>
      </c>
      <c r="AP1478" s="50" t="n">
        <f aca="false">IF(BW1478=1,0,ROUNDUP(AO1478/BV1478,0))</f>
        <v>1</v>
      </c>
      <c r="AQ1478" s="52" t="n">
        <f aca="false">IF(CL1478&gt;0,CL1478*MAX(1,AO1478/X1478),IF(BW1478=1,IF(AO1478&lt;=0,0,CA1478*MAX(1,IF(H1478&gt;0,AO1478/H1478,1))),IF(R1478&gt;0,AP1478/R1478,0))/MAX(0.1,N(Parameter!$M$21)))</f>
        <v>0.00714285714285714</v>
      </c>
      <c r="AR1478" s="50" t="n">
        <f aca="false">AQ1478*BY1478</f>
        <v>1.10714285714286</v>
      </c>
      <c r="AS1478" s="50" t="n">
        <f aca="false">AO1478*G1478</f>
        <v>71.1</v>
      </c>
      <c r="AT1478" s="50" t="n">
        <f aca="false">ROUNDUP(MAX(J1478/IF(CD1478&gt;0,CD1478,MAX(0.1,N(Cockpit!$I$6))),CG1478)/BV1478,0)*BV1478</f>
        <v>6</v>
      </c>
      <c r="AU1478" s="51" t="n">
        <f aca="false">IF(AR1478&gt;0,J1478/AR1478,-1)</f>
        <v>0</v>
      </c>
      <c r="AV1478" s="51" t="n">
        <f aca="false">IF(AND(OR(CC1478="L1",CC1478="L23",CC1478="LIFT"),AR1478&gt;0),SUMIFS($AR$7:$AR$1843,$CC$7:$CC$1843,CC1478,$AU$7:$AU$1843,"&gt;"&amp;AU1478)+SUMIFS($AR$7:$AR$1843,$CC$7:$CC$1843,CC1478,$AU$7:$AU$1843,AU1478,$BT$7:$BT$1843,"&lt;="&amp;BT1478),"")</f>
        <v>42011.0811965812</v>
      </c>
      <c r="AW1478" s="58" t="n">
        <f aca="false">IF(AV1478="",0,MAX(0,MIN(1,(IF(CC1478="L1",Parameter!$H$5,IF(CC1478="L23",Parameter!$H$6+Parameter!$H$7,Parameter!$H$5+Parameter!$H$6+Parameter!$H$7))-(AV1478-AR1478))/AR1478)))</f>
        <v>0</v>
      </c>
      <c r="AX1478" s="50" t="n">
        <f aca="false">IF(LEFT(Cockpit!$O$5,1)="A",H1478,IF(CE1478=1,CF1478,IF(LEFT(Cockpit!$O$5,1)="B",BC1478,MAX(BC1478,H1478))))</f>
        <v>6</v>
      </c>
      <c r="AY1478" s="50" t="n">
        <f aca="false">IF(BW1478=1,0,ROUNDUP(AX1478/BV1478,0))</f>
        <v>1</v>
      </c>
      <c r="AZ1478" s="52" t="n">
        <f aca="false">IF(CL1478&gt;0,CL1478*MAX(1,AX1478/X1478),IF(BW1478=1,IF(AX1478&lt;=0,0,CA1478*MAX(1,IF(H1478&gt;0,AX1478/H1478,1))),IF(R1478&gt;0,AY1478/R1478,0))/MAX(0.1,N(Parameter!$M$21)))</f>
        <v>0.00714285714285714</v>
      </c>
      <c r="BA1478" s="50" t="n">
        <f aca="false">AZ1478*BY1478</f>
        <v>1.10714285714286</v>
      </c>
      <c r="BB1478" s="50" t="n">
        <f aca="false">AX1478*G1478</f>
        <v>71.1</v>
      </c>
      <c r="BC1478" s="50" t="n">
        <f aca="false">ROUNDUP(MAX(J1478/IF(CD1478&gt;0,CD1478,MAX(0.1,N(Cockpit!$O$6))),CG1478)/BV1478,0)*BV1478</f>
        <v>6</v>
      </c>
      <c r="BD1478" s="51" t="n">
        <f aca="false">IF(BA1478&gt;0,J1478/BA1478,-1)</f>
        <v>0</v>
      </c>
      <c r="BE1478" s="51" t="n">
        <f aca="false">IF(AND(OR(CC1478="L1",CC1478="L23",CC1478="LIFT"),BA1478&gt;0),SUMIFS($BA$7:$BA$1843,$CC$7:$CC$1843,CC1478,$BD$7:$BD$1843,"&gt;"&amp;BD1478)+SUMIFS($BA$7:$BA$1843,$CC$7:$CC$1843,CC1478,$BD$7:$BD$1843,BD1478,$BT$7:$BT$1843,"&lt;="&amp;BT1478),"")</f>
        <v>38686.0932384471</v>
      </c>
      <c r="BF1478" s="58" t="n">
        <f aca="false">IF(BE1478="",0,MAX(0,MIN(1,(IF(CC1478="L1",Parameter!$H$5,IF(CC1478="L23",Parameter!$H$6+Parameter!$H$7,Parameter!$H$5+Parameter!$H$6+Parameter!$H$7))-(BE1478-BA1478))/BA1478)))</f>
        <v>0</v>
      </c>
      <c r="BG1478" s="48" t="str">
        <f aca="false">IF(AI1478&lt;=0,"",IF(CC1478="Aussen","Aussenlager",IF(CC1478="-","Nicht im Lift",IF(AN1478&gt;=1,"Lift",IF(AN1478&lt;=0,"Aussenlager","teilweise")))))</f>
        <v>Lift</v>
      </c>
      <c r="BH1478" s="48" t="str">
        <f aca="false">IF(AR1478&lt;=0,"",IF(CC1478="Aussen","Aussenlager",IF(CC1478="-","Nicht im Lift",IF(AW1478&gt;=1,"Lift",IF(AW1478&lt;=0,"Aussenlager","teilweise")))))</f>
        <v>Aussenlager</v>
      </c>
      <c r="BI1478" s="48" t="str">
        <f aca="false">IF(BA1478&lt;=0,"",IF(CC1478="Aussen","Aussenlager",IF(CC1478="-","Nicht im Lift",IF(BF1478&gt;=1,"Lift",IF(BF1478&lt;=0,"Aussenlager","teilweise")))))</f>
        <v>Aussenlager</v>
      </c>
      <c r="BJ1478" s="48" t="str">
        <f aca="false">IF(A1478="","",IF(BS1478=1,"Neu; ","")&amp;IF(AND(BS1478=0,BN1478&lt;0),"negativer Bestand (Export "&amp;BN1478&amp;"); ","")&amp;IF(J1478&lt;=0,"Kein Verbrauch; ","")&amp;IF(CL1478&gt;0,"Lift "&amp;W1478&amp;" lt. Liftbericht (Fach "&amp;X1478&amp;" Stk); ",IF(BX1478=1,"Gebinde geschätzt ("&amp;T1478&amp;"); ",IF(BW1478=1,"Lose – Tablare geschätzt; ","")))&amp;IF(H1478&gt;AT1478,"Überbestand "&amp;ROUND(H1478-AT1478,0)&amp;" Stk / CHF "&amp;ROUND((H1478-AT1478)*G1478,0)&amp;"; ","")&amp;IF(AND(CE1478=1,CF1478&lt;CG1478),"MAX &lt; MB+LG; ","")&amp;IF(AND(CK1478&gt;0,CJ1478*10&gt;CK1478),"zu hoch für Tablar; ","")&amp;IF(AND(BS1478=0,OR(CE1478=1,AA1478&lt;&gt;"",U1478&lt;&gt;"",V1478&lt;&gt;"",AB1478&lt;&gt;"")),"manuell übersteuert; ","")&amp;IF(AND(BW1478=0,R1478=0),"Gebinde unbekannt / Stellmass fehlt; ","")&amp;IF(AND(BW1478=0,N(V1478)&lt;=0,N(Q1478)&lt;=0),"Menge pro Gebinde fehlt (Ist = 1 Gebinde); ","")&amp;BR1478)</f>
        <v>Kein Verbrauch; nur im Artikelstamm (Bestand 23.06.2026)</v>
      </c>
      <c r="BK1478" s="48"/>
      <c r="BL1478" s="48"/>
      <c r="BM1478" s="55"/>
      <c r="BN1478" s="50" t="n">
        <v>6</v>
      </c>
      <c r="BO1478" s="50" t="n">
        <v>0</v>
      </c>
      <c r="BP1478" s="49" t="n">
        <v>0</v>
      </c>
      <c r="BQ1478" s="50" t="n">
        <v>0</v>
      </c>
      <c r="BR1478" s="48" t="s">
        <v>2579</v>
      </c>
      <c r="BS1478" s="53" t="n">
        <v>0</v>
      </c>
      <c r="BT1478" s="53" t="n">
        <v>1478</v>
      </c>
      <c r="BU1478" s="48" t="str">
        <f aca="false">IF(U1478&lt;&gt;"",UPPER(TRIM(U1478)),IF(BX1478=1,UPPER(VLOOKUP(T1478,Parameter!$I$27:$K$29,2,0)),IF(P1478="","LOSE",P1478)))</f>
        <v>S22</v>
      </c>
      <c r="BV1478" s="50" t="n">
        <f aca="false">IF(BU1478="LOSE",1,IF(N(V1478)&gt;0,V1478,IF(BX1478=1,MAX(1,N(VLOOKUP(T1478,Parameter!$I$27:$K$29,3,0)),H1478,N(N1478)),IF(N(Q1478)&gt;0,Q1478,MAX(1,H1478)))))</f>
        <v>6</v>
      </c>
      <c r="BW1478" s="53" t="n">
        <f aca="false">IF(BU1478="LOSE",1,0)</f>
        <v>0</v>
      </c>
      <c r="BX1478" s="53" t="n">
        <f aca="false">IF(AND(U1478="",OR(P1478="",P1478="LOSE"),T1478&lt;&gt;"",N(S1478)&lt;=0,ISNUMBER(MATCH(T1478,Parameter!$I$27:$I$29,0))),1,0)</f>
        <v>0</v>
      </c>
      <c r="BY1478" s="53" t="n">
        <f aca="false">IF(CL1478&gt;0,INDEX(Parameter!$H$5:$H$7,W1478)/INDEX(Parameter!$E$5:$E$7,W1478),IF(AND(BW1478=0,N(IFERROR(VLOOKUP(BU1478,'Gebinde-Kategorie'!$A$5:$N$45,14,0),0))&gt;0),VLOOKUP(BU1478,'Gebinde-Kategorie'!$A$5:$N$45,14,0)*10+Parameter!$M$23,Parameter!$M$24))</f>
        <v>155</v>
      </c>
      <c r="BZ1478" s="48" t="str">
        <f aca="false">IF(AND(Parameter!$B$19="Ja",E1478&lt;&gt;"",ISNUMBER(MATCH(E1478,Parameter!$I$35:$I$52,0))),VLOOKUP(E1478,Parameter!$I$35:$J$52,2,0),IFERROR(VLOOKUP(D1478,Parameter!$A$35:$C$64,2,0),"Nein"))</f>
        <v>2+3</v>
      </c>
      <c r="CA1478" s="52" t="n">
        <f aca="false">IF(BW1478=0,0,IF(N(S1478)&gt;0,S1478,IFERROR(VLOOKUP(D1478,Parameter!$A$35:$C$64,3,0)+0,0)))</f>
        <v>0</v>
      </c>
      <c r="CB1478" s="48" t="n">
        <f aca="false">IF(AA1478&lt;&gt;"",AA1478,Z1478)</f>
        <v>3</v>
      </c>
      <c r="CC1478" s="48" t="str">
        <f aca="false">IF(OR(CB1478=1,CB1478=2,CB1478=3),IF(Parameter!$E$27="Ja","LIFT",IF(CB1478=1,"L1","L23")),IF(CB1478="Aussen","Aussen","-"))</f>
        <v>LIFT</v>
      </c>
      <c r="CD1478" s="59" t="n">
        <f aca="false">IF(N(AB1478)&gt;0,AB1478,0)</f>
        <v>0</v>
      </c>
      <c r="CE1478" s="53" t="n">
        <f aca="false">IF(ISNUMBER(AE1478),1,0)</f>
        <v>0</v>
      </c>
      <c r="CF1478" s="50" t="n">
        <f aca="false">N(AE1478)</f>
        <v>0</v>
      </c>
      <c r="CG1478" s="50" t="n">
        <f aca="false">N(M1478)+N(N1478)</f>
        <v>5</v>
      </c>
      <c r="CH1478" s="50" t="n">
        <f aca="false">ROUNDUP(H1478/BV1478,0)</f>
        <v>1</v>
      </c>
      <c r="CI1478" s="50" t="n">
        <f aca="false">ROUNDUP(CF1478/BV1478,0)</f>
        <v>0</v>
      </c>
      <c r="CJ1478" s="53" t="n">
        <f aca="false">IF(BW1478=1,0,IFERROR(VLOOKUP(BU1478,'Gebinde-Kategorie'!$A$5:$N$45,5,0)+0,0))</f>
        <v>8</v>
      </c>
      <c r="CK1478" s="53" t="n">
        <f aca="false">IFERROR(IF(OR(CB1478=1,CB1478=2,CB1478=3),N(INDEX(Parameter!$I$5:$I$7,CB1478)),0),0)</f>
        <v>0</v>
      </c>
      <c r="CL1478" s="52" t="n">
        <f aca="false">IF(AND(Parameter!$B$21="Ja",ISNUMBER(W1478),N(X1478)&gt;0),IFERROR(N(INDEX(Parameter!$L$5:$L$7,W1478))*INDEX(Parameter!$E$5:$E$7,W1478)*X1478/SUMIFS($X$7:$X$1843,$W$7:$W$1843,W1478),0),0)</f>
        <v>0</v>
      </c>
    </row>
    <row r="1479" customFormat="false" ht="15" hidden="false" customHeight="false" outlineLevel="0" collapsed="false">
      <c r="A1479" s="48" t="s">
        <v>2590</v>
      </c>
      <c r="B1479" s="48" t="s">
        <v>2591</v>
      </c>
      <c r="C1479" s="48" t="s">
        <v>168</v>
      </c>
      <c r="D1479" s="48" t="s">
        <v>188</v>
      </c>
      <c r="E1479" s="48" t="s">
        <v>189</v>
      </c>
      <c r="F1479" s="48"/>
      <c r="G1479" s="49" t="n">
        <v>8.4</v>
      </c>
      <c r="H1479" s="50" t="n">
        <f aca="false">MAX(0,IF(AND(Parameter!$B$21="Ja",ISNUMBER(Y1479)),Y1479,IF(Parameter!$B$20="Jahresanfang 2025 + Export",BO1479+BN1479,BN1479)))</f>
        <v>9</v>
      </c>
      <c r="I1479" s="50" t="n">
        <f aca="false">H1479*G1479</f>
        <v>75.6</v>
      </c>
      <c r="J1479" s="50" t="n">
        <f aca="false">BQ1479*Parameter!$B$18</f>
        <v>0</v>
      </c>
      <c r="K1479" s="51"/>
      <c r="L1479" s="52"/>
      <c r="M1479" s="50" t="n">
        <v>0</v>
      </c>
      <c r="N1479" s="50" t="n">
        <v>6</v>
      </c>
      <c r="O1479" s="53" t="n">
        <v>35</v>
      </c>
      <c r="P1479" s="48" t="s">
        <v>430</v>
      </c>
      <c r="Q1479" s="50" t="n">
        <v>9</v>
      </c>
      <c r="R1479" s="53" t="n">
        <f aca="false">IF(BW1479=1,0,IFERROR(VLOOKUP(BU1479,'Gebinde-Kategorie'!$A$5:$N$45,13,0)+0,0))</f>
        <v>140</v>
      </c>
      <c r="S1479" s="54"/>
      <c r="T1479" s="55"/>
      <c r="U1479" s="55"/>
      <c r="V1479" s="55"/>
      <c r="W1479" s="48"/>
      <c r="X1479" s="50"/>
      <c r="Y1479" s="50"/>
      <c r="Z1479" s="48" t="n">
        <f aca="false">IF(A1479="","",IF(AND(Parameter!$B$21="Ja",ISNUMBER(W1479)),W1479,IF(BZ1479="2+3",IF(ISNUMBER(SEARCH("grosser Artikel",BR1479)),2,IFERROR(VLOOKUP(BU1479,Parameter!$F$35:$G$64,2,0),2)),IF(OR(BZ1479="Nein",BZ1479=""),"-",BZ1479))))</f>
        <v>3</v>
      </c>
      <c r="AA1479" s="55"/>
      <c r="AB1479" s="56"/>
      <c r="AC1479" s="50" t="n">
        <f aca="false">AT1479</f>
        <v>9</v>
      </c>
      <c r="AD1479" s="50" t="n">
        <f aca="false">MAX(AT1479,H1479)</f>
        <v>9</v>
      </c>
      <c r="AE1479" s="57"/>
      <c r="AF1479" s="50" t="n">
        <f aca="false">IF(LEFT(Cockpit!$C$5,1)="A",H1479,IF(CE1479=1,CF1479,IF(LEFT(Cockpit!$C$5,1)="B",AK1479,MAX(AK1479,H1479))))</f>
        <v>9</v>
      </c>
      <c r="AG1479" s="50" t="n">
        <f aca="false">IF(BW1479=1,0,ROUNDUP(AF1479/BV1479,0))</f>
        <v>1</v>
      </c>
      <c r="AH1479" s="52" t="n">
        <f aca="false">IF(CL1479&gt;0,CL1479*MAX(1,AF1479/X1479),IF(BW1479=1,IF(AF1479&lt;=0,0,CA1479*MAX(1,IF(H1479&gt;0,AF1479/H1479,1))),IF(R1479&gt;0,AG1479/R1479,0))/MAX(0.1,N(Parameter!$M$21)))</f>
        <v>0.00714285714285714</v>
      </c>
      <c r="AI1479" s="50" t="n">
        <f aca="false">AH1479*BY1479</f>
        <v>1.10714285714286</v>
      </c>
      <c r="AJ1479" s="50" t="n">
        <f aca="false">AF1479*G1479</f>
        <v>75.6</v>
      </c>
      <c r="AK1479" s="50" t="n">
        <f aca="false">ROUNDUP(MAX(J1479/IF(CD1479&gt;0,CD1479,MAX(0.1,N(Cockpit!$C$6))),CG1479)/BV1479,0)*BV1479</f>
        <v>9</v>
      </c>
      <c r="AL1479" s="51" t="n">
        <f aca="false">IF(AI1479&gt;0,J1479/AI1479,-1)</f>
        <v>0</v>
      </c>
      <c r="AM1479" s="51" t="n">
        <f aca="false">IF(AND(OR(CC1479="L1",CC1479="L23",CC1479="LIFT"),AI1479&gt;0),SUMIFS($AI$7:$AI$1843,$CC$7:$CC$1843,CC1479,$AL$7:$AL$1843,"&gt;"&amp;AL1479)+SUMIFS($AI$7:$AI$1843,$CC$7:$CC$1843,CC1479,$AL$7:$AL$1843,AL1479,$BT$7:$BT$1843,"&lt;="&amp;BT1479),"")</f>
        <v>29726.3153313259</v>
      </c>
      <c r="AN1479" s="58" t="n">
        <f aca="false">IF(AM1479="",0,MAX(0,MIN(1,(IF(CC1479="L1",Parameter!$H$5,IF(CC1479="L23",Parameter!$H$6+Parameter!$H$7,Parameter!$H$5+Parameter!$H$6+Parameter!$H$7))-(AM1479-AI1479))/AI1479)))</f>
        <v>1</v>
      </c>
      <c r="AO1479" s="50" t="n">
        <f aca="false">IF(LEFT(Cockpit!$I$5,1)="A",H1479,IF(CE1479=1,CF1479,IF(LEFT(Cockpit!$I$5,1)="B",AT1479,MAX(AT1479,H1479))))</f>
        <v>9</v>
      </c>
      <c r="AP1479" s="50" t="n">
        <f aca="false">IF(BW1479=1,0,ROUNDUP(AO1479/BV1479,0))</f>
        <v>1</v>
      </c>
      <c r="AQ1479" s="52" t="n">
        <f aca="false">IF(CL1479&gt;0,CL1479*MAX(1,AO1479/X1479),IF(BW1479=1,IF(AO1479&lt;=0,0,CA1479*MAX(1,IF(H1479&gt;0,AO1479/H1479,1))),IF(R1479&gt;0,AP1479/R1479,0))/MAX(0.1,N(Parameter!$M$21)))</f>
        <v>0.00714285714285714</v>
      </c>
      <c r="AR1479" s="50" t="n">
        <f aca="false">AQ1479*BY1479</f>
        <v>1.10714285714286</v>
      </c>
      <c r="AS1479" s="50" t="n">
        <f aca="false">AO1479*G1479</f>
        <v>75.6</v>
      </c>
      <c r="AT1479" s="50" t="n">
        <f aca="false">ROUNDUP(MAX(J1479/IF(CD1479&gt;0,CD1479,MAX(0.1,N(Cockpit!$I$6))),CG1479)/BV1479,0)*BV1479</f>
        <v>9</v>
      </c>
      <c r="AU1479" s="51" t="n">
        <f aca="false">IF(AR1479&gt;0,J1479/AR1479,-1)</f>
        <v>0</v>
      </c>
      <c r="AV1479" s="51" t="n">
        <f aca="false">IF(AND(OR(CC1479="L1",CC1479="L23",CC1479="LIFT"),AR1479&gt;0),SUMIFS($AR$7:$AR$1843,$CC$7:$CC$1843,CC1479,$AU$7:$AU$1843,"&gt;"&amp;AU1479)+SUMIFS($AR$7:$AR$1843,$CC$7:$CC$1843,CC1479,$AU$7:$AU$1843,AU1479,$BT$7:$BT$1843,"&lt;="&amp;BT1479),"")</f>
        <v>42012.1883394383</v>
      </c>
      <c r="AW1479" s="58" t="n">
        <f aca="false">IF(AV1479="",0,MAX(0,MIN(1,(IF(CC1479="L1",Parameter!$H$5,IF(CC1479="L23",Parameter!$H$6+Parameter!$H$7,Parameter!$H$5+Parameter!$H$6+Parameter!$H$7))-(AV1479-AR1479))/AR1479)))</f>
        <v>0</v>
      </c>
      <c r="AX1479" s="50" t="n">
        <f aca="false">IF(LEFT(Cockpit!$O$5,1)="A",H1479,IF(CE1479=1,CF1479,IF(LEFT(Cockpit!$O$5,1)="B",BC1479,MAX(BC1479,H1479))))</f>
        <v>9</v>
      </c>
      <c r="AY1479" s="50" t="n">
        <f aca="false">IF(BW1479=1,0,ROUNDUP(AX1479/BV1479,0))</f>
        <v>1</v>
      </c>
      <c r="AZ1479" s="52" t="n">
        <f aca="false">IF(CL1479&gt;0,CL1479*MAX(1,AX1479/X1479),IF(BW1479=1,IF(AX1479&lt;=0,0,CA1479*MAX(1,IF(H1479&gt;0,AX1479/H1479,1))),IF(R1479&gt;0,AY1479/R1479,0))/MAX(0.1,N(Parameter!$M$21)))</f>
        <v>0.00714285714285714</v>
      </c>
      <c r="BA1479" s="50" t="n">
        <f aca="false">AZ1479*BY1479</f>
        <v>1.10714285714286</v>
      </c>
      <c r="BB1479" s="50" t="n">
        <f aca="false">AX1479*G1479</f>
        <v>75.6</v>
      </c>
      <c r="BC1479" s="50" t="n">
        <f aca="false">ROUNDUP(MAX(J1479/IF(CD1479&gt;0,CD1479,MAX(0.1,N(Cockpit!$O$6))),CG1479)/BV1479,0)*BV1479</f>
        <v>9</v>
      </c>
      <c r="BD1479" s="51" t="n">
        <f aca="false">IF(BA1479&gt;0,J1479/BA1479,-1)</f>
        <v>0</v>
      </c>
      <c r="BE1479" s="51" t="n">
        <f aca="false">IF(AND(OR(CC1479="L1",CC1479="L23",CC1479="LIFT"),BA1479&gt;0),SUMIFS($BA$7:$BA$1843,$CC$7:$CC$1843,CC1479,$BD$7:$BD$1843,"&gt;"&amp;BD1479)+SUMIFS($BA$7:$BA$1843,$CC$7:$CC$1843,CC1479,$BD$7:$BD$1843,BD1479,$BT$7:$BT$1843,"&lt;="&amp;BT1479),"")</f>
        <v>38687.2003813042</v>
      </c>
      <c r="BF1479" s="58" t="n">
        <f aca="false">IF(BE1479="",0,MAX(0,MIN(1,(IF(CC1479="L1",Parameter!$H$5,IF(CC1479="L23",Parameter!$H$6+Parameter!$H$7,Parameter!$H$5+Parameter!$H$6+Parameter!$H$7))-(BE1479-BA1479))/BA1479)))</f>
        <v>0</v>
      </c>
      <c r="BG1479" s="48" t="str">
        <f aca="false">IF(AI1479&lt;=0,"",IF(CC1479="Aussen","Aussenlager",IF(CC1479="-","Nicht im Lift",IF(AN1479&gt;=1,"Lift",IF(AN1479&lt;=0,"Aussenlager","teilweise")))))</f>
        <v>Lift</v>
      </c>
      <c r="BH1479" s="48" t="str">
        <f aca="false">IF(AR1479&lt;=0,"",IF(CC1479="Aussen","Aussenlager",IF(CC1479="-","Nicht im Lift",IF(AW1479&gt;=1,"Lift",IF(AW1479&lt;=0,"Aussenlager","teilweise")))))</f>
        <v>Aussenlager</v>
      </c>
      <c r="BI1479" s="48" t="str">
        <f aca="false">IF(BA1479&lt;=0,"",IF(CC1479="Aussen","Aussenlager",IF(CC1479="-","Nicht im Lift",IF(BF1479&gt;=1,"Lift",IF(BF1479&lt;=0,"Aussenlager","teilweise")))))</f>
        <v>Aussenlager</v>
      </c>
      <c r="BJ1479" s="48" t="str">
        <f aca="false">IF(A1479="","",IF(BS1479=1,"Neu; ","")&amp;IF(AND(BS1479=0,BN1479&lt;0),"negativer Bestand (Export "&amp;BN1479&amp;"); ","")&amp;IF(J1479&lt;=0,"Kein Verbrauch; ","")&amp;IF(CL1479&gt;0,"Lift "&amp;W1479&amp;" lt. Liftbericht (Fach "&amp;X1479&amp;" Stk); ",IF(BX1479=1,"Gebinde geschätzt ("&amp;T1479&amp;"); ",IF(BW1479=1,"Lose – Tablare geschätzt; ","")))&amp;IF(H1479&gt;AT1479,"Überbestand "&amp;ROUND(H1479-AT1479,0)&amp;" Stk / CHF "&amp;ROUND((H1479-AT1479)*G1479,0)&amp;"; ","")&amp;IF(AND(CE1479=1,CF1479&lt;CG1479),"MAX &lt; MB+LG; ","")&amp;IF(AND(CK1479&gt;0,CJ1479*10&gt;CK1479),"zu hoch für Tablar; ","")&amp;IF(AND(BS1479=0,OR(CE1479=1,AA1479&lt;&gt;"",U1479&lt;&gt;"",V1479&lt;&gt;"",AB1479&lt;&gt;"")),"manuell übersteuert; ","")&amp;IF(AND(BW1479=0,R1479=0),"Gebinde unbekannt / Stellmass fehlt; ","")&amp;IF(AND(BW1479=0,N(V1479)&lt;=0,N(Q1479)&lt;=0),"Menge pro Gebinde fehlt (Ist = 1 Gebinde); ","")&amp;BR1479)</f>
        <v>Kein Verbrauch; nur im Artikelstamm (Bestand 23.06.2026)</v>
      </c>
      <c r="BK1479" s="48"/>
      <c r="BL1479" s="48"/>
      <c r="BM1479" s="55"/>
      <c r="BN1479" s="50" t="n">
        <v>9</v>
      </c>
      <c r="BO1479" s="50" t="n">
        <v>0</v>
      </c>
      <c r="BP1479" s="49" t="n">
        <v>0</v>
      </c>
      <c r="BQ1479" s="50" t="n">
        <v>0</v>
      </c>
      <c r="BR1479" s="48" t="s">
        <v>2579</v>
      </c>
      <c r="BS1479" s="53" t="n">
        <v>0</v>
      </c>
      <c r="BT1479" s="53" t="n">
        <v>1479</v>
      </c>
      <c r="BU1479" s="48" t="str">
        <f aca="false">IF(U1479&lt;&gt;"",UPPER(TRIM(U1479)),IF(BX1479=1,UPPER(VLOOKUP(T1479,Parameter!$I$27:$K$29,2,0)),IF(P1479="","LOSE",P1479)))</f>
        <v>S22</v>
      </c>
      <c r="BV1479" s="50" t="n">
        <f aca="false">IF(BU1479="LOSE",1,IF(N(V1479)&gt;0,V1479,IF(BX1479=1,MAX(1,N(VLOOKUP(T1479,Parameter!$I$27:$K$29,3,0)),H1479,N(N1479)),IF(N(Q1479)&gt;0,Q1479,MAX(1,H1479)))))</f>
        <v>9</v>
      </c>
      <c r="BW1479" s="53" t="n">
        <f aca="false">IF(BU1479="LOSE",1,0)</f>
        <v>0</v>
      </c>
      <c r="BX1479" s="53" t="n">
        <f aca="false">IF(AND(U1479="",OR(P1479="",P1479="LOSE"),T1479&lt;&gt;"",N(S1479)&lt;=0,ISNUMBER(MATCH(T1479,Parameter!$I$27:$I$29,0))),1,0)</f>
        <v>0</v>
      </c>
      <c r="BY1479" s="53" t="n">
        <f aca="false">IF(CL1479&gt;0,INDEX(Parameter!$H$5:$H$7,W1479)/INDEX(Parameter!$E$5:$E$7,W1479),IF(AND(BW1479=0,N(IFERROR(VLOOKUP(BU1479,'Gebinde-Kategorie'!$A$5:$N$45,14,0),0))&gt;0),VLOOKUP(BU1479,'Gebinde-Kategorie'!$A$5:$N$45,14,0)*10+Parameter!$M$23,Parameter!$M$24))</f>
        <v>155</v>
      </c>
      <c r="BZ1479" s="48" t="str">
        <f aca="false">IF(AND(Parameter!$B$19="Ja",E1479&lt;&gt;"",ISNUMBER(MATCH(E1479,Parameter!$I$35:$I$52,0))),VLOOKUP(E1479,Parameter!$I$35:$J$52,2,0),IFERROR(VLOOKUP(D1479,Parameter!$A$35:$C$64,2,0),"Nein"))</f>
        <v>2+3</v>
      </c>
      <c r="CA1479" s="52" t="n">
        <f aca="false">IF(BW1479=0,0,IF(N(S1479)&gt;0,S1479,IFERROR(VLOOKUP(D1479,Parameter!$A$35:$C$64,3,0)+0,0)))</f>
        <v>0</v>
      </c>
      <c r="CB1479" s="48" t="n">
        <f aca="false">IF(AA1479&lt;&gt;"",AA1479,Z1479)</f>
        <v>3</v>
      </c>
      <c r="CC1479" s="48" t="str">
        <f aca="false">IF(OR(CB1479=1,CB1479=2,CB1479=3),IF(Parameter!$E$27="Ja","LIFT",IF(CB1479=1,"L1","L23")),IF(CB1479="Aussen","Aussen","-"))</f>
        <v>LIFT</v>
      </c>
      <c r="CD1479" s="59" t="n">
        <f aca="false">IF(N(AB1479)&gt;0,AB1479,0)</f>
        <v>0</v>
      </c>
      <c r="CE1479" s="53" t="n">
        <f aca="false">IF(ISNUMBER(AE1479),1,0)</f>
        <v>0</v>
      </c>
      <c r="CF1479" s="50" t="n">
        <f aca="false">N(AE1479)</f>
        <v>0</v>
      </c>
      <c r="CG1479" s="50" t="n">
        <f aca="false">N(M1479)+N(N1479)</f>
        <v>6</v>
      </c>
      <c r="CH1479" s="50" t="n">
        <f aca="false">ROUNDUP(H1479/BV1479,0)</f>
        <v>1</v>
      </c>
      <c r="CI1479" s="50" t="n">
        <f aca="false">ROUNDUP(CF1479/BV1479,0)</f>
        <v>0</v>
      </c>
      <c r="CJ1479" s="53" t="n">
        <f aca="false">IF(BW1479=1,0,IFERROR(VLOOKUP(BU1479,'Gebinde-Kategorie'!$A$5:$N$45,5,0)+0,0))</f>
        <v>8</v>
      </c>
      <c r="CK1479" s="53" t="n">
        <f aca="false">IFERROR(IF(OR(CB1479=1,CB1479=2,CB1479=3),N(INDEX(Parameter!$I$5:$I$7,CB1479)),0),0)</f>
        <v>0</v>
      </c>
      <c r="CL1479" s="52" t="n">
        <f aca="false">IF(AND(Parameter!$B$21="Ja",ISNUMBER(W1479),N(X1479)&gt;0),IFERROR(N(INDEX(Parameter!$L$5:$L$7,W1479))*INDEX(Parameter!$E$5:$E$7,W1479)*X1479/SUMIFS($X$7:$X$1843,$W$7:$W$1843,W1479),0),0)</f>
        <v>0</v>
      </c>
    </row>
    <row r="1480" customFormat="false" ht="15" hidden="false" customHeight="false" outlineLevel="0" collapsed="false">
      <c r="A1480" s="48" t="s">
        <v>2592</v>
      </c>
      <c r="B1480" s="48" t="s">
        <v>2593</v>
      </c>
      <c r="C1480" s="48" t="s">
        <v>168</v>
      </c>
      <c r="D1480" s="48" t="s">
        <v>188</v>
      </c>
      <c r="E1480" s="48" t="s">
        <v>189</v>
      </c>
      <c r="F1480" s="48"/>
      <c r="G1480" s="49" t="n">
        <v>186.49</v>
      </c>
      <c r="H1480" s="50" t="n">
        <f aca="false">MAX(0,IF(AND(Parameter!$B$21="Ja",ISNUMBER(Y1480)),Y1480,IF(Parameter!$B$20="Jahresanfang 2025 + Export",BO1480+BN1480,BN1480)))</f>
        <v>3</v>
      </c>
      <c r="I1480" s="50" t="n">
        <f aca="false">H1480*G1480</f>
        <v>559.47</v>
      </c>
      <c r="J1480" s="50" t="n">
        <f aca="false">BQ1480*Parameter!$B$18</f>
        <v>0</v>
      </c>
      <c r="K1480" s="51"/>
      <c r="L1480" s="52"/>
      <c r="M1480" s="50" t="n">
        <v>0</v>
      </c>
      <c r="N1480" s="50" t="n">
        <v>3</v>
      </c>
      <c r="O1480" s="53" t="n">
        <v>0</v>
      </c>
      <c r="P1480" s="48" t="s">
        <v>237</v>
      </c>
      <c r="Q1480" s="50" t="n">
        <v>3</v>
      </c>
      <c r="R1480" s="53" t="n">
        <f aca="false">IF(BW1480=1,0,IFERROR(VLOOKUP(BU1480,'Gebinde-Kategorie'!$A$5:$N$45,13,0)+0,0))</f>
        <v>26</v>
      </c>
      <c r="S1480" s="54"/>
      <c r="T1480" s="55"/>
      <c r="U1480" s="55"/>
      <c r="V1480" s="55"/>
      <c r="W1480" s="48"/>
      <c r="X1480" s="50"/>
      <c r="Y1480" s="50"/>
      <c r="Z1480" s="48" t="n">
        <f aca="false">IF(A1480="","",IF(AND(Parameter!$B$21="Ja",ISNUMBER(W1480)),W1480,IF(BZ1480="2+3",IF(ISNUMBER(SEARCH("grosser Artikel",BR1480)),2,IFERROR(VLOOKUP(BU1480,Parameter!$F$35:$G$64,2,0),2)),IF(OR(BZ1480="Nein",BZ1480=""),"-",BZ1480))))</f>
        <v>3</v>
      </c>
      <c r="AA1480" s="55"/>
      <c r="AB1480" s="56"/>
      <c r="AC1480" s="50" t="n">
        <f aca="false">AT1480</f>
        <v>3</v>
      </c>
      <c r="AD1480" s="50" t="n">
        <f aca="false">MAX(AT1480,H1480)</f>
        <v>3</v>
      </c>
      <c r="AE1480" s="57"/>
      <c r="AF1480" s="50" t="n">
        <f aca="false">IF(LEFT(Cockpit!$C$5,1)="A",H1480,IF(CE1480=1,CF1480,IF(LEFT(Cockpit!$C$5,1)="B",AK1480,MAX(AK1480,H1480))))</f>
        <v>3</v>
      </c>
      <c r="AG1480" s="50" t="n">
        <f aca="false">IF(BW1480=1,0,ROUNDUP(AF1480/BV1480,0))</f>
        <v>1</v>
      </c>
      <c r="AH1480" s="52" t="n">
        <f aca="false">IF(CL1480&gt;0,CL1480*MAX(1,AF1480/X1480),IF(BW1480=1,IF(AF1480&lt;=0,0,CA1480*MAX(1,IF(H1480&gt;0,AF1480/H1480,1))),IF(R1480&gt;0,AG1480/R1480,0))/MAX(0.1,N(Parameter!$M$21)))</f>
        <v>0.0384615384615385</v>
      </c>
      <c r="AI1480" s="50" t="n">
        <f aca="false">AH1480*BY1480</f>
        <v>9.42307692307692</v>
      </c>
      <c r="AJ1480" s="50" t="n">
        <f aca="false">AF1480*G1480</f>
        <v>559.47</v>
      </c>
      <c r="AK1480" s="50" t="n">
        <f aca="false">ROUNDUP(MAX(J1480/IF(CD1480&gt;0,CD1480,MAX(0.1,N(Cockpit!$C$6))),CG1480)/BV1480,0)*BV1480</f>
        <v>3</v>
      </c>
      <c r="AL1480" s="51" t="n">
        <f aca="false">IF(AI1480&gt;0,J1480/AI1480,-1)</f>
        <v>0</v>
      </c>
      <c r="AM1480" s="51" t="n">
        <f aca="false">IF(AND(OR(CC1480="L1",CC1480="L23",CC1480="LIFT"),AI1480&gt;0),SUMIFS($AI$7:$AI$1843,$CC$7:$CC$1843,CC1480,$AL$7:$AL$1843,"&gt;"&amp;AL1480)+SUMIFS($AI$7:$AI$1843,$CC$7:$CC$1843,CC1480,$AL$7:$AL$1843,AL1480,$BT$7:$BT$1843,"&lt;="&amp;BT1480),"")</f>
        <v>29735.738408249</v>
      </c>
      <c r="AN1480" s="58" t="n">
        <f aca="false">IF(AM1480="",0,MAX(0,MIN(1,(IF(CC1480="L1",Parameter!$H$5,IF(CC1480="L23",Parameter!$H$6+Parameter!$H$7,Parameter!$H$5+Parameter!$H$6+Parameter!$H$7))-(AM1480-AI1480))/AI1480)))</f>
        <v>1</v>
      </c>
      <c r="AO1480" s="50" t="n">
        <f aca="false">IF(LEFT(Cockpit!$I$5,1)="A",H1480,IF(CE1480=1,CF1480,IF(LEFT(Cockpit!$I$5,1)="B",AT1480,MAX(AT1480,H1480))))</f>
        <v>3</v>
      </c>
      <c r="AP1480" s="50" t="n">
        <f aca="false">IF(BW1480=1,0,ROUNDUP(AO1480/BV1480,0))</f>
        <v>1</v>
      </c>
      <c r="AQ1480" s="52" t="n">
        <f aca="false">IF(CL1480&gt;0,CL1480*MAX(1,AO1480/X1480),IF(BW1480=1,IF(AO1480&lt;=0,0,CA1480*MAX(1,IF(H1480&gt;0,AO1480/H1480,1))),IF(R1480&gt;0,AP1480/R1480,0))/MAX(0.1,N(Parameter!$M$21)))</f>
        <v>0.0384615384615385</v>
      </c>
      <c r="AR1480" s="50" t="n">
        <f aca="false">AQ1480*BY1480</f>
        <v>9.42307692307692</v>
      </c>
      <c r="AS1480" s="50" t="n">
        <f aca="false">AO1480*G1480</f>
        <v>559.47</v>
      </c>
      <c r="AT1480" s="50" t="n">
        <f aca="false">ROUNDUP(MAX(J1480/IF(CD1480&gt;0,CD1480,MAX(0.1,N(Cockpit!$I$6))),CG1480)/BV1480,0)*BV1480</f>
        <v>3</v>
      </c>
      <c r="AU1480" s="51" t="n">
        <f aca="false">IF(AR1480&gt;0,J1480/AR1480,-1)</f>
        <v>0</v>
      </c>
      <c r="AV1480" s="51" t="n">
        <f aca="false">IF(AND(OR(CC1480="L1",CC1480="L23",CC1480="LIFT"),AR1480&gt;0),SUMIFS($AR$7:$AR$1843,$CC$7:$CC$1843,CC1480,$AU$7:$AU$1843,"&gt;"&amp;AU1480)+SUMIFS($AR$7:$AR$1843,$CC$7:$CC$1843,CC1480,$AU$7:$AU$1843,AU1480,$BT$7:$BT$1843,"&lt;="&amp;BT1480),"")</f>
        <v>42021.6114163614</v>
      </c>
      <c r="AW1480" s="58" t="n">
        <f aca="false">IF(AV1480="",0,MAX(0,MIN(1,(IF(CC1480="L1",Parameter!$H$5,IF(CC1480="L23",Parameter!$H$6+Parameter!$H$7,Parameter!$H$5+Parameter!$H$6+Parameter!$H$7))-(AV1480-AR1480))/AR1480)))</f>
        <v>0</v>
      </c>
      <c r="AX1480" s="50" t="n">
        <f aca="false">IF(LEFT(Cockpit!$O$5,1)="A",H1480,IF(CE1480=1,CF1480,IF(LEFT(Cockpit!$O$5,1)="B",BC1480,MAX(BC1480,H1480))))</f>
        <v>3</v>
      </c>
      <c r="AY1480" s="50" t="n">
        <f aca="false">IF(BW1480=1,0,ROUNDUP(AX1480/BV1480,0))</f>
        <v>1</v>
      </c>
      <c r="AZ1480" s="52" t="n">
        <f aca="false">IF(CL1480&gt;0,CL1480*MAX(1,AX1480/X1480),IF(BW1480=1,IF(AX1480&lt;=0,0,CA1480*MAX(1,IF(H1480&gt;0,AX1480/H1480,1))),IF(R1480&gt;0,AY1480/R1480,0))/MAX(0.1,N(Parameter!$M$21)))</f>
        <v>0.0384615384615385</v>
      </c>
      <c r="BA1480" s="50" t="n">
        <f aca="false">AZ1480*BY1480</f>
        <v>9.42307692307692</v>
      </c>
      <c r="BB1480" s="50" t="n">
        <f aca="false">AX1480*G1480</f>
        <v>559.47</v>
      </c>
      <c r="BC1480" s="50" t="n">
        <f aca="false">ROUNDUP(MAX(J1480/IF(CD1480&gt;0,CD1480,MAX(0.1,N(Cockpit!$O$6))),CG1480)/BV1480,0)*BV1480</f>
        <v>3</v>
      </c>
      <c r="BD1480" s="51" t="n">
        <f aca="false">IF(BA1480&gt;0,J1480/BA1480,-1)</f>
        <v>0</v>
      </c>
      <c r="BE1480" s="51" t="n">
        <f aca="false">IF(AND(OR(CC1480="L1",CC1480="L23",CC1480="LIFT"),BA1480&gt;0),SUMIFS($BA$7:$BA$1843,$CC$7:$CC$1843,CC1480,$BD$7:$BD$1843,"&gt;"&amp;BD1480)+SUMIFS($BA$7:$BA$1843,$CC$7:$CC$1843,CC1480,$BD$7:$BD$1843,BD1480,$BT$7:$BT$1843,"&lt;="&amp;BT1480),"")</f>
        <v>38696.6234582273</v>
      </c>
      <c r="BF1480" s="58" t="n">
        <f aca="false">IF(BE1480="",0,MAX(0,MIN(1,(IF(CC1480="L1",Parameter!$H$5,IF(CC1480="L23",Parameter!$H$6+Parameter!$H$7,Parameter!$H$5+Parameter!$H$6+Parameter!$H$7))-(BE1480-BA1480))/BA1480)))</f>
        <v>0</v>
      </c>
      <c r="BG1480" s="48" t="str">
        <f aca="false">IF(AI1480&lt;=0,"",IF(CC1480="Aussen","Aussenlager",IF(CC1480="-","Nicht im Lift",IF(AN1480&gt;=1,"Lift",IF(AN1480&lt;=0,"Aussenlager","teilweise")))))</f>
        <v>Lift</v>
      </c>
      <c r="BH1480" s="48" t="str">
        <f aca="false">IF(AR1480&lt;=0,"",IF(CC1480="Aussen","Aussenlager",IF(CC1480="-","Nicht im Lift",IF(AW1480&gt;=1,"Lift",IF(AW1480&lt;=0,"Aussenlager","teilweise")))))</f>
        <v>Aussenlager</v>
      </c>
      <c r="BI1480" s="48" t="str">
        <f aca="false">IF(BA1480&lt;=0,"",IF(CC1480="Aussen","Aussenlager",IF(CC1480="-","Nicht im Lift",IF(BF1480&gt;=1,"Lift",IF(BF1480&lt;=0,"Aussenlager","teilweise")))))</f>
        <v>Aussenlager</v>
      </c>
      <c r="BJ1480" s="48" t="str">
        <f aca="false">IF(A1480="","",IF(BS1480=1,"Neu; ","")&amp;IF(AND(BS1480=0,BN1480&lt;0),"negativer Bestand (Export "&amp;BN1480&amp;"); ","")&amp;IF(J1480&lt;=0,"Kein Verbrauch; ","")&amp;IF(CL1480&gt;0,"Lift "&amp;W1480&amp;" lt. Liftbericht (Fach "&amp;X1480&amp;" Stk); ",IF(BX1480=1,"Gebinde geschätzt ("&amp;T1480&amp;"); ",IF(BW1480=1,"Lose – Tablare geschätzt; ","")))&amp;IF(H1480&gt;AT1480,"Überbestand "&amp;ROUND(H1480-AT1480,0)&amp;" Stk / CHF "&amp;ROUND((H1480-AT1480)*G1480,0)&amp;"; ","")&amp;IF(AND(CE1480=1,CF1480&lt;CG1480),"MAX &lt; MB+LG; ","")&amp;IF(AND(CK1480&gt;0,CJ1480*10&gt;CK1480),"zu hoch für Tablar; ","")&amp;IF(AND(BS1480=0,OR(CE1480=1,AA1480&lt;&gt;"",U1480&lt;&gt;"",V1480&lt;&gt;"",AB1480&lt;&gt;"")),"manuell übersteuert; ","")&amp;IF(AND(BW1480=0,R1480=0),"Gebinde unbekannt / Stellmass fehlt; ","")&amp;IF(AND(BW1480=0,N(V1480)&lt;=0,N(Q1480)&lt;=0),"Menge pro Gebinde fehlt (Ist = 1 Gebinde); ","")&amp;BR1480)</f>
        <v>Kein Verbrauch; nur im Artikelstamm (Bestand 23.06.2026)</v>
      </c>
      <c r="BK1480" s="48"/>
      <c r="BL1480" s="48"/>
      <c r="BM1480" s="55"/>
      <c r="BN1480" s="50" t="n">
        <v>3</v>
      </c>
      <c r="BO1480" s="50" t="n">
        <v>0</v>
      </c>
      <c r="BP1480" s="49" t="n">
        <v>0</v>
      </c>
      <c r="BQ1480" s="50" t="n">
        <v>0</v>
      </c>
      <c r="BR1480" s="48" t="s">
        <v>2579</v>
      </c>
      <c r="BS1480" s="53" t="n">
        <v>0</v>
      </c>
      <c r="BT1480" s="53" t="n">
        <v>1480</v>
      </c>
      <c r="BU1480" s="48" t="str">
        <f aca="false">IF(U1480&lt;&gt;"",UPPER(TRIM(U1480)),IF(BX1480=1,UPPER(VLOOKUP(T1480,Parameter!$I$27:$K$29,2,0)),IF(P1480="","LOSE",P1480)))</f>
        <v>S52</v>
      </c>
      <c r="BV1480" s="50" t="n">
        <f aca="false">IF(BU1480="LOSE",1,IF(N(V1480)&gt;0,V1480,IF(BX1480=1,MAX(1,N(VLOOKUP(T1480,Parameter!$I$27:$K$29,3,0)),H1480,N(N1480)),IF(N(Q1480)&gt;0,Q1480,MAX(1,H1480)))))</f>
        <v>3</v>
      </c>
      <c r="BW1480" s="53" t="n">
        <f aca="false">IF(BU1480="LOSE",1,0)</f>
        <v>0</v>
      </c>
      <c r="BX1480" s="53" t="n">
        <f aca="false">IF(AND(U1480="",OR(P1480="",P1480="LOSE"),T1480&lt;&gt;"",N(S1480)&lt;=0,ISNUMBER(MATCH(T1480,Parameter!$I$27:$I$29,0))),1,0)</f>
        <v>0</v>
      </c>
      <c r="BY1480" s="53" t="n">
        <f aca="false">IF(CL1480&gt;0,INDEX(Parameter!$H$5:$H$7,W1480)/INDEX(Parameter!$E$5:$E$7,W1480),IF(AND(BW1480=0,N(IFERROR(VLOOKUP(BU1480,'Gebinde-Kategorie'!$A$5:$N$45,14,0),0))&gt;0),VLOOKUP(BU1480,'Gebinde-Kategorie'!$A$5:$N$45,14,0)*10+Parameter!$M$23,Parameter!$M$24))</f>
        <v>245</v>
      </c>
      <c r="BZ1480" s="48" t="str">
        <f aca="false">IF(AND(Parameter!$B$19="Ja",E1480&lt;&gt;"",ISNUMBER(MATCH(E1480,Parameter!$I$35:$I$52,0))),VLOOKUP(E1480,Parameter!$I$35:$J$52,2,0),IFERROR(VLOOKUP(D1480,Parameter!$A$35:$C$64,2,0),"Nein"))</f>
        <v>2+3</v>
      </c>
      <c r="CA1480" s="52" t="n">
        <f aca="false">IF(BW1480=0,0,IF(N(S1480)&gt;0,S1480,IFERROR(VLOOKUP(D1480,Parameter!$A$35:$C$64,3,0)+0,0)))</f>
        <v>0</v>
      </c>
      <c r="CB1480" s="48" t="n">
        <f aca="false">IF(AA1480&lt;&gt;"",AA1480,Z1480)</f>
        <v>3</v>
      </c>
      <c r="CC1480" s="48" t="str">
        <f aca="false">IF(OR(CB1480=1,CB1480=2,CB1480=3),IF(Parameter!$E$27="Ja","LIFT",IF(CB1480=1,"L1","L23")),IF(CB1480="Aussen","Aussen","-"))</f>
        <v>LIFT</v>
      </c>
      <c r="CD1480" s="59" t="n">
        <f aca="false">IF(N(AB1480)&gt;0,AB1480,0)</f>
        <v>0</v>
      </c>
      <c r="CE1480" s="53" t="n">
        <f aca="false">IF(ISNUMBER(AE1480),1,0)</f>
        <v>0</v>
      </c>
      <c r="CF1480" s="50" t="n">
        <f aca="false">N(AE1480)</f>
        <v>0</v>
      </c>
      <c r="CG1480" s="50" t="n">
        <f aca="false">N(M1480)+N(N1480)</f>
        <v>3</v>
      </c>
      <c r="CH1480" s="50" t="n">
        <f aca="false">ROUNDUP(H1480/BV1480,0)</f>
        <v>1</v>
      </c>
      <c r="CI1480" s="50" t="n">
        <f aca="false">ROUNDUP(CF1480/BV1480,0)</f>
        <v>0</v>
      </c>
      <c r="CJ1480" s="53" t="n">
        <f aca="false">IF(BW1480=1,0,IFERROR(VLOOKUP(BU1480,'Gebinde-Kategorie'!$A$5:$N$45,5,0)+0,0))</f>
        <v>21</v>
      </c>
      <c r="CK1480" s="53" t="n">
        <f aca="false">IFERROR(IF(OR(CB1480=1,CB1480=2,CB1480=3),N(INDEX(Parameter!$I$5:$I$7,CB1480)),0),0)</f>
        <v>0</v>
      </c>
      <c r="CL1480" s="52" t="n">
        <f aca="false">IF(AND(Parameter!$B$21="Ja",ISNUMBER(W1480),N(X1480)&gt;0),IFERROR(N(INDEX(Parameter!$L$5:$L$7,W1480))*INDEX(Parameter!$E$5:$E$7,W1480)*X1480/SUMIFS($X$7:$X$1843,$W$7:$W$1843,W1480),0),0)</f>
        <v>0</v>
      </c>
    </row>
    <row r="1481" customFormat="false" ht="15" hidden="false" customHeight="false" outlineLevel="0" collapsed="false">
      <c r="A1481" s="48" t="s">
        <v>2594</v>
      </c>
      <c r="B1481" s="48" t="s">
        <v>1138</v>
      </c>
      <c r="C1481" s="48" t="s">
        <v>168</v>
      </c>
      <c r="D1481" s="48" t="s">
        <v>188</v>
      </c>
      <c r="E1481" s="48" t="s">
        <v>189</v>
      </c>
      <c r="F1481" s="48"/>
      <c r="G1481" s="49" t="n">
        <v>93.6</v>
      </c>
      <c r="H1481" s="50" t="n">
        <f aca="false">MAX(0,IF(AND(Parameter!$B$21="Ja",ISNUMBER(Y1481)),Y1481,IF(Parameter!$B$20="Jahresanfang 2025 + Export",BO1481+BN1481,BN1481)))</f>
        <v>3</v>
      </c>
      <c r="I1481" s="50" t="n">
        <f aca="false">H1481*G1481</f>
        <v>280.8</v>
      </c>
      <c r="J1481" s="50" t="n">
        <f aca="false">BQ1481*Parameter!$B$18</f>
        <v>0</v>
      </c>
      <c r="K1481" s="51"/>
      <c r="L1481" s="52"/>
      <c r="M1481" s="50" t="n">
        <v>0</v>
      </c>
      <c r="N1481" s="50" t="n">
        <v>6</v>
      </c>
      <c r="O1481" s="53" t="n">
        <v>0</v>
      </c>
      <c r="P1481" s="48" t="s">
        <v>306</v>
      </c>
      <c r="Q1481" s="50" t="n">
        <v>3</v>
      </c>
      <c r="R1481" s="53" t="n">
        <f aca="false">IF(BW1481=1,0,IFERROR(VLOOKUP(BU1481,'Gebinde-Kategorie'!$A$5:$N$45,13,0)+0,0))</f>
        <v>26</v>
      </c>
      <c r="S1481" s="54"/>
      <c r="T1481" s="55"/>
      <c r="U1481" s="55"/>
      <c r="V1481" s="55"/>
      <c r="W1481" s="48"/>
      <c r="X1481" s="50"/>
      <c r="Y1481" s="50"/>
      <c r="Z1481" s="48" t="n">
        <f aca="false">IF(A1481="","",IF(AND(Parameter!$B$21="Ja",ISNUMBER(W1481)),W1481,IF(BZ1481="2+3",IF(ISNUMBER(SEARCH("grosser Artikel",BR1481)),2,IFERROR(VLOOKUP(BU1481,Parameter!$F$35:$G$64,2,0),2)),IF(OR(BZ1481="Nein",BZ1481=""),"-",BZ1481))))</f>
        <v>3</v>
      </c>
      <c r="AA1481" s="55"/>
      <c r="AB1481" s="56"/>
      <c r="AC1481" s="50" t="n">
        <f aca="false">AT1481</f>
        <v>6</v>
      </c>
      <c r="AD1481" s="50" t="n">
        <f aca="false">MAX(AT1481,H1481)</f>
        <v>6</v>
      </c>
      <c r="AE1481" s="57"/>
      <c r="AF1481" s="50" t="n">
        <f aca="false">IF(LEFT(Cockpit!$C$5,1)="A",H1481,IF(CE1481=1,CF1481,IF(LEFT(Cockpit!$C$5,1)="B",AK1481,MAX(AK1481,H1481))))</f>
        <v>3</v>
      </c>
      <c r="AG1481" s="50" t="n">
        <f aca="false">IF(BW1481=1,0,ROUNDUP(AF1481/BV1481,0))</f>
        <v>1</v>
      </c>
      <c r="AH1481" s="52" t="n">
        <f aca="false">IF(CL1481&gt;0,CL1481*MAX(1,AF1481/X1481),IF(BW1481=1,IF(AF1481&lt;=0,0,CA1481*MAX(1,IF(H1481&gt;0,AF1481/H1481,1))),IF(R1481&gt;0,AG1481/R1481,0))/MAX(0.1,N(Parameter!$M$21)))</f>
        <v>0.0384615384615385</v>
      </c>
      <c r="AI1481" s="50" t="n">
        <f aca="false">AH1481*BY1481</f>
        <v>5.96153846153846</v>
      </c>
      <c r="AJ1481" s="50" t="n">
        <f aca="false">AF1481*G1481</f>
        <v>280.8</v>
      </c>
      <c r="AK1481" s="50" t="n">
        <f aca="false">ROUNDUP(MAX(J1481/IF(CD1481&gt;0,CD1481,MAX(0.1,N(Cockpit!$C$6))),CG1481)/BV1481,0)*BV1481</f>
        <v>6</v>
      </c>
      <c r="AL1481" s="51" t="n">
        <f aca="false">IF(AI1481&gt;0,J1481/AI1481,-1)</f>
        <v>0</v>
      </c>
      <c r="AM1481" s="51" t="n">
        <f aca="false">IF(AND(OR(CC1481="L1",CC1481="L23",CC1481="LIFT"),AI1481&gt;0),SUMIFS($AI$7:$AI$1843,$CC$7:$CC$1843,CC1481,$AL$7:$AL$1843,"&gt;"&amp;AL1481)+SUMIFS($AI$7:$AI$1843,$CC$7:$CC$1843,CC1481,$AL$7:$AL$1843,AL1481,$BT$7:$BT$1843,"&lt;="&amp;BT1481),"")</f>
        <v>29741.6999467105</v>
      </c>
      <c r="AN1481" s="58" t="n">
        <f aca="false">IF(AM1481="",0,MAX(0,MIN(1,(IF(CC1481="L1",Parameter!$H$5,IF(CC1481="L23",Parameter!$H$6+Parameter!$H$7,Parameter!$H$5+Parameter!$H$6+Parameter!$H$7))-(AM1481-AI1481))/AI1481)))</f>
        <v>1</v>
      </c>
      <c r="AO1481" s="50" t="n">
        <f aca="false">IF(LEFT(Cockpit!$I$5,1)="A",H1481,IF(CE1481=1,CF1481,IF(LEFT(Cockpit!$I$5,1)="B",AT1481,MAX(AT1481,H1481))))</f>
        <v>6</v>
      </c>
      <c r="AP1481" s="50" t="n">
        <f aca="false">IF(BW1481=1,0,ROUNDUP(AO1481/BV1481,0))</f>
        <v>2</v>
      </c>
      <c r="AQ1481" s="52" t="n">
        <f aca="false">IF(CL1481&gt;0,CL1481*MAX(1,AO1481/X1481),IF(BW1481=1,IF(AO1481&lt;=0,0,CA1481*MAX(1,IF(H1481&gt;0,AO1481/H1481,1))),IF(R1481&gt;0,AP1481/R1481,0))/MAX(0.1,N(Parameter!$M$21)))</f>
        <v>0.0769230769230769</v>
      </c>
      <c r="AR1481" s="50" t="n">
        <f aca="false">AQ1481*BY1481</f>
        <v>11.9230769230769</v>
      </c>
      <c r="AS1481" s="50" t="n">
        <f aca="false">AO1481*G1481</f>
        <v>561.6</v>
      </c>
      <c r="AT1481" s="50" t="n">
        <f aca="false">ROUNDUP(MAX(J1481/IF(CD1481&gt;0,CD1481,MAX(0.1,N(Cockpit!$I$6))),CG1481)/BV1481,0)*BV1481</f>
        <v>6</v>
      </c>
      <c r="AU1481" s="51" t="n">
        <f aca="false">IF(AR1481&gt;0,J1481/AR1481,-1)</f>
        <v>0</v>
      </c>
      <c r="AV1481" s="51" t="n">
        <f aca="false">IF(AND(OR(CC1481="L1",CC1481="L23",CC1481="LIFT"),AR1481&gt;0),SUMIFS($AR$7:$AR$1843,$CC$7:$CC$1843,CC1481,$AU$7:$AU$1843,"&gt;"&amp;AU1481)+SUMIFS($AR$7:$AR$1843,$CC$7:$CC$1843,CC1481,$AU$7:$AU$1843,AU1481,$BT$7:$BT$1843,"&lt;="&amp;BT1481),"")</f>
        <v>42033.5344932845</v>
      </c>
      <c r="AW1481" s="58" t="n">
        <f aca="false">IF(AV1481="",0,MAX(0,MIN(1,(IF(CC1481="L1",Parameter!$H$5,IF(CC1481="L23",Parameter!$H$6+Parameter!$H$7,Parameter!$H$5+Parameter!$H$6+Parameter!$H$7))-(AV1481-AR1481))/AR1481)))</f>
        <v>0</v>
      </c>
      <c r="AX1481" s="50" t="n">
        <f aca="false">IF(LEFT(Cockpit!$O$5,1)="A",H1481,IF(CE1481=1,CF1481,IF(LEFT(Cockpit!$O$5,1)="B",BC1481,MAX(BC1481,H1481))))</f>
        <v>6</v>
      </c>
      <c r="AY1481" s="50" t="n">
        <f aca="false">IF(BW1481=1,0,ROUNDUP(AX1481/BV1481,0))</f>
        <v>2</v>
      </c>
      <c r="AZ1481" s="52" t="n">
        <f aca="false">IF(CL1481&gt;0,CL1481*MAX(1,AX1481/X1481),IF(BW1481=1,IF(AX1481&lt;=0,0,CA1481*MAX(1,IF(H1481&gt;0,AX1481/H1481,1))),IF(R1481&gt;0,AY1481/R1481,0))/MAX(0.1,N(Parameter!$M$21)))</f>
        <v>0.0769230769230769</v>
      </c>
      <c r="BA1481" s="50" t="n">
        <f aca="false">AZ1481*BY1481</f>
        <v>11.9230769230769</v>
      </c>
      <c r="BB1481" s="50" t="n">
        <f aca="false">AX1481*G1481</f>
        <v>561.6</v>
      </c>
      <c r="BC1481" s="50" t="n">
        <f aca="false">ROUNDUP(MAX(J1481/IF(CD1481&gt;0,CD1481,MAX(0.1,N(Cockpit!$O$6))),CG1481)/BV1481,0)*BV1481</f>
        <v>6</v>
      </c>
      <c r="BD1481" s="51" t="n">
        <f aca="false">IF(BA1481&gt;0,J1481/BA1481,-1)</f>
        <v>0</v>
      </c>
      <c r="BE1481" s="51" t="n">
        <f aca="false">IF(AND(OR(CC1481="L1",CC1481="L23",CC1481="LIFT"),BA1481&gt;0),SUMIFS($BA$7:$BA$1843,$CC$7:$CC$1843,CC1481,$BD$7:$BD$1843,"&gt;"&amp;BD1481)+SUMIFS($BA$7:$BA$1843,$CC$7:$CC$1843,CC1481,$BD$7:$BD$1843,BD1481,$BT$7:$BT$1843,"&lt;="&amp;BT1481),"")</f>
        <v>38708.5465351504</v>
      </c>
      <c r="BF1481" s="58" t="n">
        <f aca="false">IF(BE1481="",0,MAX(0,MIN(1,(IF(CC1481="L1",Parameter!$H$5,IF(CC1481="L23",Parameter!$H$6+Parameter!$H$7,Parameter!$H$5+Parameter!$H$6+Parameter!$H$7))-(BE1481-BA1481))/BA1481)))</f>
        <v>0</v>
      </c>
      <c r="BG1481" s="48" t="str">
        <f aca="false">IF(AI1481&lt;=0,"",IF(CC1481="Aussen","Aussenlager",IF(CC1481="-","Nicht im Lift",IF(AN1481&gt;=1,"Lift",IF(AN1481&lt;=0,"Aussenlager","teilweise")))))</f>
        <v>Lift</v>
      </c>
      <c r="BH1481" s="48" t="str">
        <f aca="false">IF(AR1481&lt;=0,"",IF(CC1481="Aussen","Aussenlager",IF(CC1481="-","Nicht im Lift",IF(AW1481&gt;=1,"Lift",IF(AW1481&lt;=0,"Aussenlager","teilweise")))))</f>
        <v>Aussenlager</v>
      </c>
      <c r="BI1481" s="48" t="str">
        <f aca="false">IF(BA1481&lt;=0,"",IF(CC1481="Aussen","Aussenlager",IF(CC1481="-","Nicht im Lift",IF(BF1481&gt;=1,"Lift",IF(BF1481&lt;=0,"Aussenlager","teilweise")))))</f>
        <v>Aussenlager</v>
      </c>
      <c r="BJ1481" s="48" t="str">
        <f aca="false">IF(A1481="","",IF(BS1481=1,"Neu; ","")&amp;IF(AND(BS1481=0,BN1481&lt;0),"negativer Bestand (Export "&amp;BN1481&amp;"); ","")&amp;IF(J1481&lt;=0,"Kein Verbrauch; ","")&amp;IF(CL1481&gt;0,"Lift "&amp;W1481&amp;" lt. Liftbericht (Fach "&amp;X1481&amp;" Stk); ",IF(BX1481=1,"Gebinde geschätzt ("&amp;T1481&amp;"); ",IF(BW1481=1,"Lose – Tablare geschätzt; ","")))&amp;IF(H1481&gt;AT1481,"Überbestand "&amp;ROUND(H1481-AT1481,0)&amp;" Stk / CHF "&amp;ROUND((H1481-AT1481)*G1481,0)&amp;"; ","")&amp;IF(AND(CE1481=1,CF1481&lt;CG1481),"MAX &lt; MB+LG; ","")&amp;IF(AND(CK1481&gt;0,CJ1481*10&gt;CK1481),"zu hoch für Tablar; ","")&amp;IF(AND(BS1481=0,OR(CE1481=1,AA1481&lt;&gt;"",U1481&lt;&gt;"",V1481&lt;&gt;"",AB1481&lt;&gt;"")),"manuell übersteuert; ","")&amp;IF(AND(BW1481=0,R1481=0),"Gebinde unbekannt / Stellmass fehlt; ","")&amp;IF(AND(BW1481=0,N(V1481)&lt;=0,N(Q1481)&lt;=0),"Menge pro Gebinde fehlt (Ist = 1 Gebinde); ","")&amp;BR1481)</f>
        <v>Kein Verbrauch; nur im Artikelstamm (Bestand 23.06.2026)</v>
      </c>
      <c r="BK1481" s="48"/>
      <c r="BL1481" s="48"/>
      <c r="BM1481" s="55"/>
      <c r="BN1481" s="50" t="n">
        <v>3</v>
      </c>
      <c r="BO1481" s="50" t="n">
        <v>0</v>
      </c>
      <c r="BP1481" s="49" t="n">
        <v>0</v>
      </c>
      <c r="BQ1481" s="50" t="n">
        <v>0</v>
      </c>
      <c r="BR1481" s="48" t="s">
        <v>2579</v>
      </c>
      <c r="BS1481" s="53" t="n">
        <v>0</v>
      </c>
      <c r="BT1481" s="53" t="n">
        <v>1481</v>
      </c>
      <c r="BU1481" s="48" t="str">
        <f aca="false">IF(U1481&lt;&gt;"",UPPER(TRIM(U1481)),IF(BX1481=1,UPPER(VLOOKUP(T1481,Parameter!$I$27:$K$29,2,0)),IF(P1481="","LOSE",P1481)))</f>
        <v>S51</v>
      </c>
      <c r="BV1481" s="50" t="n">
        <f aca="false">IF(BU1481="LOSE",1,IF(N(V1481)&gt;0,V1481,IF(BX1481=1,MAX(1,N(VLOOKUP(T1481,Parameter!$I$27:$K$29,3,0)),H1481,N(N1481)),IF(N(Q1481)&gt;0,Q1481,MAX(1,H1481)))))</f>
        <v>3</v>
      </c>
      <c r="BW1481" s="53" t="n">
        <f aca="false">IF(BU1481="LOSE",1,0)</f>
        <v>0</v>
      </c>
      <c r="BX1481" s="53" t="n">
        <f aca="false">IF(AND(U1481="",OR(P1481="",P1481="LOSE"),T1481&lt;&gt;"",N(S1481)&lt;=0,ISNUMBER(MATCH(T1481,Parameter!$I$27:$I$29,0))),1,0)</f>
        <v>0</v>
      </c>
      <c r="BY1481" s="53" t="n">
        <f aca="false">IF(CL1481&gt;0,INDEX(Parameter!$H$5:$H$7,W1481)/INDEX(Parameter!$E$5:$E$7,W1481),IF(AND(BW1481=0,N(IFERROR(VLOOKUP(BU1481,'Gebinde-Kategorie'!$A$5:$N$45,14,0),0))&gt;0),VLOOKUP(BU1481,'Gebinde-Kategorie'!$A$5:$N$45,14,0)*10+Parameter!$M$23,Parameter!$M$24))</f>
        <v>155</v>
      </c>
      <c r="BZ1481" s="48" t="str">
        <f aca="false">IF(AND(Parameter!$B$19="Ja",E1481&lt;&gt;"",ISNUMBER(MATCH(E1481,Parameter!$I$35:$I$52,0))),VLOOKUP(E1481,Parameter!$I$35:$J$52,2,0),IFERROR(VLOOKUP(D1481,Parameter!$A$35:$C$64,2,0),"Nein"))</f>
        <v>2+3</v>
      </c>
      <c r="CA1481" s="52" t="n">
        <f aca="false">IF(BW1481=0,0,IF(N(S1481)&gt;0,S1481,IFERROR(VLOOKUP(D1481,Parameter!$A$35:$C$64,3,0)+0,0)))</f>
        <v>0</v>
      </c>
      <c r="CB1481" s="48" t="n">
        <f aca="false">IF(AA1481&lt;&gt;"",AA1481,Z1481)</f>
        <v>3</v>
      </c>
      <c r="CC1481" s="48" t="str">
        <f aca="false">IF(OR(CB1481=1,CB1481=2,CB1481=3),IF(Parameter!$E$27="Ja","LIFT",IF(CB1481=1,"L1","L23")),IF(CB1481="Aussen","Aussen","-"))</f>
        <v>LIFT</v>
      </c>
      <c r="CD1481" s="59" t="n">
        <f aca="false">IF(N(AB1481)&gt;0,AB1481,0)</f>
        <v>0</v>
      </c>
      <c r="CE1481" s="53" t="n">
        <f aca="false">IF(ISNUMBER(AE1481),1,0)</f>
        <v>0</v>
      </c>
      <c r="CF1481" s="50" t="n">
        <f aca="false">N(AE1481)</f>
        <v>0</v>
      </c>
      <c r="CG1481" s="50" t="n">
        <f aca="false">N(M1481)+N(N1481)</f>
        <v>6</v>
      </c>
      <c r="CH1481" s="50" t="n">
        <f aca="false">ROUNDUP(H1481/BV1481,0)</f>
        <v>1</v>
      </c>
      <c r="CI1481" s="50" t="n">
        <f aca="false">ROUNDUP(CF1481/BV1481,0)</f>
        <v>0</v>
      </c>
      <c r="CJ1481" s="53" t="n">
        <f aca="false">IF(BW1481=1,0,IFERROR(VLOOKUP(BU1481,'Gebinde-Kategorie'!$A$5:$N$45,5,0)+0,0))</f>
        <v>11</v>
      </c>
      <c r="CK1481" s="53" t="n">
        <f aca="false">IFERROR(IF(OR(CB1481=1,CB1481=2,CB1481=3),N(INDEX(Parameter!$I$5:$I$7,CB1481)),0),0)</f>
        <v>0</v>
      </c>
      <c r="CL1481" s="52" t="n">
        <f aca="false">IF(AND(Parameter!$B$21="Ja",ISNUMBER(W1481),N(X1481)&gt;0),IFERROR(N(INDEX(Parameter!$L$5:$L$7,W1481))*INDEX(Parameter!$E$5:$E$7,W1481)*X1481/SUMIFS($X$7:$X$1843,$W$7:$W$1843,W1481),0),0)</f>
        <v>0</v>
      </c>
    </row>
    <row r="1482" customFormat="false" ht="15" hidden="false" customHeight="false" outlineLevel="0" collapsed="false">
      <c r="A1482" s="48" t="s">
        <v>2595</v>
      </c>
      <c r="B1482" s="48" t="s">
        <v>2596</v>
      </c>
      <c r="C1482" s="48" t="s">
        <v>168</v>
      </c>
      <c r="D1482" s="48" t="s">
        <v>188</v>
      </c>
      <c r="E1482" s="48" t="s">
        <v>189</v>
      </c>
      <c r="F1482" s="48"/>
      <c r="G1482" s="49" t="n">
        <v>46.18</v>
      </c>
      <c r="H1482" s="50" t="n">
        <f aca="false">MAX(0,IF(AND(Parameter!$B$21="Ja",ISNUMBER(Y1482)),Y1482,IF(Parameter!$B$20="Jahresanfang 2025 + Export",BO1482+BN1482,BN1482)))</f>
        <v>20</v>
      </c>
      <c r="I1482" s="50" t="n">
        <f aca="false">H1482*G1482</f>
        <v>923.6</v>
      </c>
      <c r="J1482" s="50" t="n">
        <f aca="false">BQ1482*Parameter!$B$18</f>
        <v>0</v>
      </c>
      <c r="K1482" s="51"/>
      <c r="L1482" s="52"/>
      <c r="M1482" s="50" t="n">
        <v>0</v>
      </c>
      <c r="N1482" s="50" t="n">
        <v>4</v>
      </c>
      <c r="O1482" s="53" t="n">
        <v>56</v>
      </c>
      <c r="P1482" s="48" t="s">
        <v>306</v>
      </c>
      <c r="Q1482" s="50" t="n">
        <v>20</v>
      </c>
      <c r="R1482" s="53" t="n">
        <f aca="false">IF(BW1482=1,0,IFERROR(VLOOKUP(BU1482,'Gebinde-Kategorie'!$A$5:$N$45,13,0)+0,0))</f>
        <v>26</v>
      </c>
      <c r="S1482" s="54"/>
      <c r="T1482" s="55"/>
      <c r="U1482" s="55"/>
      <c r="V1482" s="55"/>
      <c r="W1482" s="48"/>
      <c r="X1482" s="50"/>
      <c r="Y1482" s="50"/>
      <c r="Z1482" s="48" t="n">
        <f aca="false">IF(A1482="","",IF(AND(Parameter!$B$21="Ja",ISNUMBER(W1482)),W1482,IF(BZ1482="2+3",IF(ISNUMBER(SEARCH("grosser Artikel",BR1482)),2,IFERROR(VLOOKUP(BU1482,Parameter!$F$35:$G$64,2,0),2)),IF(OR(BZ1482="Nein",BZ1482=""),"-",BZ1482))))</f>
        <v>3</v>
      </c>
      <c r="AA1482" s="55"/>
      <c r="AB1482" s="56"/>
      <c r="AC1482" s="50" t="n">
        <f aca="false">AT1482</f>
        <v>20</v>
      </c>
      <c r="AD1482" s="50" t="n">
        <f aca="false">MAX(AT1482,H1482)</f>
        <v>20</v>
      </c>
      <c r="AE1482" s="57"/>
      <c r="AF1482" s="50" t="n">
        <f aca="false">IF(LEFT(Cockpit!$C$5,1)="A",H1482,IF(CE1482=1,CF1482,IF(LEFT(Cockpit!$C$5,1)="B",AK1482,MAX(AK1482,H1482))))</f>
        <v>20</v>
      </c>
      <c r="AG1482" s="50" t="n">
        <f aca="false">IF(BW1482=1,0,ROUNDUP(AF1482/BV1482,0))</f>
        <v>1</v>
      </c>
      <c r="AH1482" s="52" t="n">
        <f aca="false">IF(CL1482&gt;0,CL1482*MAX(1,AF1482/X1482),IF(BW1482=1,IF(AF1482&lt;=0,0,CA1482*MAX(1,IF(H1482&gt;0,AF1482/H1482,1))),IF(R1482&gt;0,AG1482/R1482,0))/MAX(0.1,N(Parameter!$M$21)))</f>
        <v>0.0384615384615385</v>
      </c>
      <c r="AI1482" s="50" t="n">
        <f aca="false">AH1482*BY1482</f>
        <v>5.96153846153846</v>
      </c>
      <c r="AJ1482" s="50" t="n">
        <f aca="false">AF1482*G1482</f>
        <v>923.6</v>
      </c>
      <c r="AK1482" s="50" t="n">
        <f aca="false">ROUNDUP(MAX(J1482/IF(CD1482&gt;0,CD1482,MAX(0.1,N(Cockpit!$C$6))),CG1482)/BV1482,0)*BV1482</f>
        <v>20</v>
      </c>
      <c r="AL1482" s="51" t="n">
        <f aca="false">IF(AI1482&gt;0,J1482/AI1482,-1)</f>
        <v>0</v>
      </c>
      <c r="AM1482" s="51" t="n">
        <f aca="false">IF(AND(OR(CC1482="L1",CC1482="L23",CC1482="LIFT"),AI1482&gt;0),SUMIFS($AI$7:$AI$1843,$CC$7:$CC$1843,CC1482,$AL$7:$AL$1843,"&gt;"&amp;AL1482)+SUMIFS($AI$7:$AI$1843,$CC$7:$CC$1843,CC1482,$AL$7:$AL$1843,AL1482,$BT$7:$BT$1843,"&lt;="&amp;BT1482),"")</f>
        <v>29747.6614851721</v>
      </c>
      <c r="AN1482" s="58" t="n">
        <f aca="false">IF(AM1482="",0,MAX(0,MIN(1,(IF(CC1482="L1",Parameter!$H$5,IF(CC1482="L23",Parameter!$H$6+Parameter!$H$7,Parameter!$H$5+Parameter!$H$6+Parameter!$H$7))-(AM1482-AI1482))/AI1482)))</f>
        <v>1</v>
      </c>
      <c r="AO1482" s="50" t="n">
        <f aca="false">IF(LEFT(Cockpit!$I$5,1)="A",H1482,IF(CE1482=1,CF1482,IF(LEFT(Cockpit!$I$5,1)="B",AT1482,MAX(AT1482,H1482))))</f>
        <v>20</v>
      </c>
      <c r="AP1482" s="50" t="n">
        <f aca="false">IF(BW1482=1,0,ROUNDUP(AO1482/BV1482,0))</f>
        <v>1</v>
      </c>
      <c r="AQ1482" s="52" t="n">
        <f aca="false">IF(CL1482&gt;0,CL1482*MAX(1,AO1482/X1482),IF(BW1482=1,IF(AO1482&lt;=0,0,CA1482*MAX(1,IF(H1482&gt;0,AO1482/H1482,1))),IF(R1482&gt;0,AP1482/R1482,0))/MAX(0.1,N(Parameter!$M$21)))</f>
        <v>0.0384615384615385</v>
      </c>
      <c r="AR1482" s="50" t="n">
        <f aca="false">AQ1482*BY1482</f>
        <v>5.96153846153846</v>
      </c>
      <c r="AS1482" s="50" t="n">
        <f aca="false">AO1482*G1482</f>
        <v>923.6</v>
      </c>
      <c r="AT1482" s="50" t="n">
        <f aca="false">ROUNDUP(MAX(J1482/IF(CD1482&gt;0,CD1482,MAX(0.1,N(Cockpit!$I$6))),CG1482)/BV1482,0)*BV1482</f>
        <v>20</v>
      </c>
      <c r="AU1482" s="51" t="n">
        <f aca="false">IF(AR1482&gt;0,J1482/AR1482,-1)</f>
        <v>0</v>
      </c>
      <c r="AV1482" s="51" t="n">
        <f aca="false">IF(AND(OR(CC1482="L1",CC1482="L23",CC1482="LIFT"),AR1482&gt;0),SUMIFS($AR$7:$AR$1843,$CC$7:$CC$1843,CC1482,$AU$7:$AU$1843,"&gt;"&amp;AU1482)+SUMIFS($AR$7:$AR$1843,$CC$7:$CC$1843,CC1482,$AU$7:$AU$1843,AU1482,$BT$7:$BT$1843,"&lt;="&amp;BT1482),"")</f>
        <v>42039.496031746</v>
      </c>
      <c r="AW1482" s="58" t="n">
        <f aca="false">IF(AV1482="",0,MAX(0,MIN(1,(IF(CC1482="L1",Parameter!$H$5,IF(CC1482="L23",Parameter!$H$6+Parameter!$H$7,Parameter!$H$5+Parameter!$H$6+Parameter!$H$7))-(AV1482-AR1482))/AR1482)))</f>
        <v>0</v>
      </c>
      <c r="AX1482" s="50" t="n">
        <f aca="false">IF(LEFT(Cockpit!$O$5,1)="A",H1482,IF(CE1482=1,CF1482,IF(LEFT(Cockpit!$O$5,1)="B",BC1482,MAX(BC1482,H1482))))</f>
        <v>20</v>
      </c>
      <c r="AY1482" s="50" t="n">
        <f aca="false">IF(BW1482=1,0,ROUNDUP(AX1482/BV1482,0))</f>
        <v>1</v>
      </c>
      <c r="AZ1482" s="52" t="n">
        <f aca="false">IF(CL1482&gt;0,CL1482*MAX(1,AX1482/X1482),IF(BW1482=1,IF(AX1482&lt;=0,0,CA1482*MAX(1,IF(H1482&gt;0,AX1482/H1482,1))),IF(R1482&gt;0,AY1482/R1482,0))/MAX(0.1,N(Parameter!$M$21)))</f>
        <v>0.0384615384615385</v>
      </c>
      <c r="BA1482" s="50" t="n">
        <f aca="false">AZ1482*BY1482</f>
        <v>5.96153846153846</v>
      </c>
      <c r="BB1482" s="50" t="n">
        <f aca="false">AX1482*G1482</f>
        <v>923.6</v>
      </c>
      <c r="BC1482" s="50" t="n">
        <f aca="false">ROUNDUP(MAX(J1482/IF(CD1482&gt;0,CD1482,MAX(0.1,N(Cockpit!$O$6))),CG1482)/BV1482,0)*BV1482</f>
        <v>20</v>
      </c>
      <c r="BD1482" s="51" t="n">
        <f aca="false">IF(BA1482&gt;0,J1482/BA1482,-1)</f>
        <v>0</v>
      </c>
      <c r="BE1482" s="51" t="n">
        <f aca="false">IF(AND(OR(CC1482="L1",CC1482="L23",CC1482="LIFT"),BA1482&gt;0),SUMIFS($BA$7:$BA$1843,$CC$7:$CC$1843,CC1482,$BD$7:$BD$1843,"&gt;"&amp;BD1482)+SUMIFS($BA$7:$BA$1843,$CC$7:$CC$1843,CC1482,$BD$7:$BD$1843,BD1482,$BT$7:$BT$1843,"&lt;="&amp;BT1482),"")</f>
        <v>38714.5080736119</v>
      </c>
      <c r="BF1482" s="58" t="n">
        <f aca="false">IF(BE1482="",0,MAX(0,MIN(1,(IF(CC1482="L1",Parameter!$H$5,IF(CC1482="L23",Parameter!$H$6+Parameter!$H$7,Parameter!$H$5+Parameter!$H$6+Parameter!$H$7))-(BE1482-BA1482))/BA1482)))</f>
        <v>0</v>
      </c>
      <c r="BG1482" s="48" t="str">
        <f aca="false">IF(AI1482&lt;=0,"",IF(CC1482="Aussen","Aussenlager",IF(CC1482="-","Nicht im Lift",IF(AN1482&gt;=1,"Lift",IF(AN1482&lt;=0,"Aussenlager","teilweise")))))</f>
        <v>Lift</v>
      </c>
      <c r="BH1482" s="48" t="str">
        <f aca="false">IF(AR1482&lt;=0,"",IF(CC1482="Aussen","Aussenlager",IF(CC1482="-","Nicht im Lift",IF(AW1482&gt;=1,"Lift",IF(AW1482&lt;=0,"Aussenlager","teilweise")))))</f>
        <v>Aussenlager</v>
      </c>
      <c r="BI1482" s="48" t="str">
        <f aca="false">IF(BA1482&lt;=0,"",IF(CC1482="Aussen","Aussenlager",IF(CC1482="-","Nicht im Lift",IF(BF1482&gt;=1,"Lift",IF(BF1482&lt;=0,"Aussenlager","teilweise")))))</f>
        <v>Aussenlager</v>
      </c>
      <c r="BJ1482" s="48" t="str">
        <f aca="false">IF(A1482="","",IF(BS1482=1,"Neu; ","")&amp;IF(AND(BS1482=0,BN1482&lt;0),"negativer Bestand (Export "&amp;BN1482&amp;"); ","")&amp;IF(J1482&lt;=0,"Kein Verbrauch; ","")&amp;IF(CL1482&gt;0,"Lift "&amp;W1482&amp;" lt. Liftbericht (Fach "&amp;X1482&amp;" Stk); ",IF(BX1482=1,"Gebinde geschätzt ("&amp;T1482&amp;"); ",IF(BW1482=1,"Lose – Tablare geschätzt; ","")))&amp;IF(H1482&gt;AT1482,"Überbestand "&amp;ROUND(H1482-AT1482,0)&amp;" Stk / CHF "&amp;ROUND((H1482-AT1482)*G1482,0)&amp;"; ","")&amp;IF(AND(CE1482=1,CF1482&lt;CG1482),"MAX &lt; MB+LG; ","")&amp;IF(AND(CK1482&gt;0,CJ1482*10&gt;CK1482),"zu hoch für Tablar; ","")&amp;IF(AND(BS1482=0,OR(CE1482=1,AA1482&lt;&gt;"",U1482&lt;&gt;"",V1482&lt;&gt;"",AB1482&lt;&gt;"")),"manuell übersteuert; ","")&amp;IF(AND(BW1482=0,R1482=0),"Gebinde unbekannt / Stellmass fehlt; ","")&amp;IF(AND(BW1482=0,N(V1482)&lt;=0,N(Q1482)&lt;=0),"Menge pro Gebinde fehlt (Ist = 1 Gebinde); ","")&amp;BR1482)</f>
        <v>Kein Verbrauch; nur im Artikelstamm (Bestand 23.06.2026)</v>
      </c>
      <c r="BK1482" s="48"/>
      <c r="BL1482" s="48"/>
      <c r="BM1482" s="55"/>
      <c r="BN1482" s="50" t="n">
        <v>20</v>
      </c>
      <c r="BO1482" s="50" t="n">
        <v>0</v>
      </c>
      <c r="BP1482" s="49" t="n">
        <v>0</v>
      </c>
      <c r="BQ1482" s="50" t="n">
        <v>0</v>
      </c>
      <c r="BR1482" s="48" t="s">
        <v>2579</v>
      </c>
      <c r="BS1482" s="53" t="n">
        <v>0</v>
      </c>
      <c r="BT1482" s="53" t="n">
        <v>1482</v>
      </c>
      <c r="BU1482" s="48" t="str">
        <f aca="false">IF(U1482&lt;&gt;"",UPPER(TRIM(U1482)),IF(BX1482=1,UPPER(VLOOKUP(T1482,Parameter!$I$27:$K$29,2,0)),IF(P1482="","LOSE",P1482)))</f>
        <v>S51</v>
      </c>
      <c r="BV1482" s="50" t="n">
        <f aca="false">IF(BU1482="LOSE",1,IF(N(V1482)&gt;0,V1482,IF(BX1482=1,MAX(1,N(VLOOKUP(T1482,Parameter!$I$27:$K$29,3,0)),H1482,N(N1482)),IF(N(Q1482)&gt;0,Q1482,MAX(1,H1482)))))</f>
        <v>20</v>
      </c>
      <c r="BW1482" s="53" t="n">
        <f aca="false">IF(BU1482="LOSE",1,0)</f>
        <v>0</v>
      </c>
      <c r="BX1482" s="53" t="n">
        <f aca="false">IF(AND(U1482="",OR(P1482="",P1482="LOSE"),T1482&lt;&gt;"",N(S1482)&lt;=0,ISNUMBER(MATCH(T1482,Parameter!$I$27:$I$29,0))),1,0)</f>
        <v>0</v>
      </c>
      <c r="BY1482" s="53" t="n">
        <f aca="false">IF(CL1482&gt;0,INDEX(Parameter!$H$5:$H$7,W1482)/INDEX(Parameter!$E$5:$E$7,W1482),IF(AND(BW1482=0,N(IFERROR(VLOOKUP(BU1482,'Gebinde-Kategorie'!$A$5:$N$45,14,0),0))&gt;0),VLOOKUP(BU1482,'Gebinde-Kategorie'!$A$5:$N$45,14,0)*10+Parameter!$M$23,Parameter!$M$24))</f>
        <v>155</v>
      </c>
      <c r="BZ1482" s="48" t="str">
        <f aca="false">IF(AND(Parameter!$B$19="Ja",E1482&lt;&gt;"",ISNUMBER(MATCH(E1482,Parameter!$I$35:$I$52,0))),VLOOKUP(E1482,Parameter!$I$35:$J$52,2,0),IFERROR(VLOOKUP(D1482,Parameter!$A$35:$C$64,2,0),"Nein"))</f>
        <v>2+3</v>
      </c>
      <c r="CA1482" s="52" t="n">
        <f aca="false">IF(BW1482=0,0,IF(N(S1482)&gt;0,S1482,IFERROR(VLOOKUP(D1482,Parameter!$A$35:$C$64,3,0)+0,0)))</f>
        <v>0</v>
      </c>
      <c r="CB1482" s="48" t="n">
        <f aca="false">IF(AA1482&lt;&gt;"",AA1482,Z1482)</f>
        <v>3</v>
      </c>
      <c r="CC1482" s="48" t="str">
        <f aca="false">IF(OR(CB1482=1,CB1482=2,CB1482=3),IF(Parameter!$E$27="Ja","LIFT",IF(CB1482=1,"L1","L23")),IF(CB1482="Aussen","Aussen","-"))</f>
        <v>LIFT</v>
      </c>
      <c r="CD1482" s="59" t="n">
        <f aca="false">IF(N(AB1482)&gt;0,AB1482,0)</f>
        <v>0</v>
      </c>
      <c r="CE1482" s="53" t="n">
        <f aca="false">IF(ISNUMBER(AE1482),1,0)</f>
        <v>0</v>
      </c>
      <c r="CF1482" s="50" t="n">
        <f aca="false">N(AE1482)</f>
        <v>0</v>
      </c>
      <c r="CG1482" s="50" t="n">
        <f aca="false">N(M1482)+N(N1482)</f>
        <v>4</v>
      </c>
      <c r="CH1482" s="50" t="n">
        <f aca="false">ROUNDUP(H1482/BV1482,0)</f>
        <v>1</v>
      </c>
      <c r="CI1482" s="50" t="n">
        <f aca="false">ROUNDUP(CF1482/BV1482,0)</f>
        <v>0</v>
      </c>
      <c r="CJ1482" s="53" t="n">
        <f aca="false">IF(BW1482=1,0,IFERROR(VLOOKUP(BU1482,'Gebinde-Kategorie'!$A$5:$N$45,5,0)+0,0))</f>
        <v>11</v>
      </c>
      <c r="CK1482" s="53" t="n">
        <f aca="false">IFERROR(IF(OR(CB1482=1,CB1482=2,CB1482=3),N(INDEX(Parameter!$I$5:$I$7,CB1482)),0),0)</f>
        <v>0</v>
      </c>
      <c r="CL1482" s="52" t="n">
        <f aca="false">IF(AND(Parameter!$B$21="Ja",ISNUMBER(W1482),N(X1482)&gt;0),IFERROR(N(INDEX(Parameter!$L$5:$L$7,W1482))*INDEX(Parameter!$E$5:$E$7,W1482)*X1482/SUMIFS($X$7:$X$1843,$W$7:$W$1843,W1482),0),0)</f>
        <v>0</v>
      </c>
    </row>
    <row r="1483" customFormat="false" ht="15" hidden="false" customHeight="false" outlineLevel="0" collapsed="false">
      <c r="A1483" s="48" t="s">
        <v>2597</v>
      </c>
      <c r="B1483" s="48" t="s">
        <v>2598</v>
      </c>
      <c r="C1483" s="48" t="s">
        <v>168</v>
      </c>
      <c r="D1483" s="48" t="s">
        <v>188</v>
      </c>
      <c r="E1483" s="48" t="s">
        <v>189</v>
      </c>
      <c r="F1483" s="48"/>
      <c r="G1483" s="49" t="n">
        <v>23.89</v>
      </c>
      <c r="H1483" s="50" t="n">
        <f aca="false">MAX(0,IF(AND(Parameter!$B$21="Ja",ISNUMBER(Y1483)),Y1483,IF(Parameter!$B$20="Jahresanfang 2025 + Export",BO1483+BN1483,BN1483)))</f>
        <v>6</v>
      </c>
      <c r="I1483" s="50" t="n">
        <f aca="false">H1483*G1483</f>
        <v>143.34</v>
      </c>
      <c r="J1483" s="50" t="n">
        <f aca="false">BQ1483*Parameter!$B$18</f>
        <v>0</v>
      </c>
      <c r="K1483" s="51"/>
      <c r="L1483" s="52"/>
      <c r="M1483" s="50" t="n">
        <v>0</v>
      </c>
      <c r="N1483" s="50" t="n">
        <v>5</v>
      </c>
      <c r="O1483" s="53" t="n">
        <v>28</v>
      </c>
      <c r="P1483" s="48" t="s">
        <v>425</v>
      </c>
      <c r="Q1483" s="50" t="n">
        <v>6</v>
      </c>
      <c r="R1483" s="53" t="n">
        <f aca="false">IF(BW1483=1,0,IFERROR(VLOOKUP(BU1483,'Gebinde-Kategorie'!$A$5:$N$45,13,0)+0,0))</f>
        <v>104</v>
      </c>
      <c r="S1483" s="54"/>
      <c r="T1483" s="55"/>
      <c r="U1483" s="55"/>
      <c r="V1483" s="55"/>
      <c r="W1483" s="48"/>
      <c r="X1483" s="50"/>
      <c r="Y1483" s="50"/>
      <c r="Z1483" s="48" t="n">
        <f aca="false">IF(A1483="","",IF(AND(Parameter!$B$21="Ja",ISNUMBER(W1483)),W1483,IF(BZ1483="2+3",IF(ISNUMBER(SEARCH("grosser Artikel",BR1483)),2,IFERROR(VLOOKUP(BU1483,Parameter!$F$35:$G$64,2,0),2)),IF(OR(BZ1483="Nein",BZ1483=""),"-",BZ1483))))</f>
        <v>3</v>
      </c>
      <c r="AA1483" s="55"/>
      <c r="AB1483" s="56"/>
      <c r="AC1483" s="50" t="n">
        <f aca="false">AT1483</f>
        <v>6</v>
      </c>
      <c r="AD1483" s="50" t="n">
        <f aca="false">MAX(AT1483,H1483)</f>
        <v>6</v>
      </c>
      <c r="AE1483" s="57"/>
      <c r="AF1483" s="50" t="n">
        <f aca="false">IF(LEFT(Cockpit!$C$5,1)="A",H1483,IF(CE1483=1,CF1483,IF(LEFT(Cockpit!$C$5,1)="B",AK1483,MAX(AK1483,H1483))))</f>
        <v>6</v>
      </c>
      <c r="AG1483" s="50" t="n">
        <f aca="false">IF(BW1483=1,0,ROUNDUP(AF1483/BV1483,0))</f>
        <v>1</v>
      </c>
      <c r="AH1483" s="52" t="n">
        <f aca="false">IF(CL1483&gt;0,CL1483*MAX(1,AF1483/X1483),IF(BW1483=1,IF(AF1483&lt;=0,0,CA1483*MAX(1,IF(H1483&gt;0,AF1483/H1483,1))),IF(R1483&gt;0,AG1483/R1483,0))/MAX(0.1,N(Parameter!$M$21)))</f>
        <v>0.00961538461538462</v>
      </c>
      <c r="AI1483" s="50" t="n">
        <f aca="false">AH1483*BY1483</f>
        <v>1.49038461538462</v>
      </c>
      <c r="AJ1483" s="50" t="n">
        <f aca="false">AF1483*G1483</f>
        <v>143.34</v>
      </c>
      <c r="AK1483" s="50" t="n">
        <f aca="false">ROUNDUP(MAX(J1483/IF(CD1483&gt;0,CD1483,MAX(0.1,N(Cockpit!$C$6))),CG1483)/BV1483,0)*BV1483</f>
        <v>6</v>
      </c>
      <c r="AL1483" s="51" t="n">
        <f aca="false">IF(AI1483&gt;0,J1483/AI1483,-1)</f>
        <v>0</v>
      </c>
      <c r="AM1483" s="51" t="n">
        <f aca="false">IF(AND(OR(CC1483="L1",CC1483="L23",CC1483="LIFT"),AI1483&gt;0),SUMIFS($AI$7:$AI$1843,$CC$7:$CC$1843,CC1483,$AL$7:$AL$1843,"&gt;"&amp;AL1483)+SUMIFS($AI$7:$AI$1843,$CC$7:$CC$1843,CC1483,$AL$7:$AL$1843,AL1483,$BT$7:$BT$1843,"&lt;="&amp;BT1483),"")</f>
        <v>29749.1518697875</v>
      </c>
      <c r="AN1483" s="58" t="n">
        <f aca="false">IF(AM1483="",0,MAX(0,MIN(1,(IF(CC1483="L1",Parameter!$H$5,IF(CC1483="L23",Parameter!$H$6+Parameter!$H$7,Parameter!$H$5+Parameter!$H$6+Parameter!$H$7))-(AM1483-AI1483))/AI1483)))</f>
        <v>1</v>
      </c>
      <c r="AO1483" s="50" t="n">
        <f aca="false">IF(LEFT(Cockpit!$I$5,1)="A",H1483,IF(CE1483=1,CF1483,IF(LEFT(Cockpit!$I$5,1)="B",AT1483,MAX(AT1483,H1483))))</f>
        <v>6</v>
      </c>
      <c r="AP1483" s="50" t="n">
        <f aca="false">IF(BW1483=1,0,ROUNDUP(AO1483/BV1483,0))</f>
        <v>1</v>
      </c>
      <c r="AQ1483" s="52" t="n">
        <f aca="false">IF(CL1483&gt;0,CL1483*MAX(1,AO1483/X1483),IF(BW1483=1,IF(AO1483&lt;=0,0,CA1483*MAX(1,IF(H1483&gt;0,AO1483/H1483,1))),IF(R1483&gt;0,AP1483/R1483,0))/MAX(0.1,N(Parameter!$M$21)))</f>
        <v>0.00961538461538462</v>
      </c>
      <c r="AR1483" s="50" t="n">
        <f aca="false">AQ1483*BY1483</f>
        <v>1.49038461538462</v>
      </c>
      <c r="AS1483" s="50" t="n">
        <f aca="false">AO1483*G1483</f>
        <v>143.34</v>
      </c>
      <c r="AT1483" s="50" t="n">
        <f aca="false">ROUNDUP(MAX(J1483/IF(CD1483&gt;0,CD1483,MAX(0.1,N(Cockpit!$I$6))),CG1483)/BV1483,0)*BV1483</f>
        <v>6</v>
      </c>
      <c r="AU1483" s="51" t="n">
        <f aca="false">IF(AR1483&gt;0,J1483/AR1483,-1)</f>
        <v>0</v>
      </c>
      <c r="AV1483" s="51" t="n">
        <f aca="false">IF(AND(OR(CC1483="L1",CC1483="L23",CC1483="LIFT"),AR1483&gt;0),SUMIFS($AR$7:$AR$1843,$CC$7:$CC$1843,CC1483,$AU$7:$AU$1843,"&gt;"&amp;AU1483)+SUMIFS($AR$7:$AR$1843,$CC$7:$CC$1843,CC1483,$AU$7:$AU$1843,AU1483,$BT$7:$BT$1843,"&lt;="&amp;BT1483),"")</f>
        <v>42040.9864163614</v>
      </c>
      <c r="AW1483" s="58" t="n">
        <f aca="false">IF(AV1483="",0,MAX(0,MIN(1,(IF(CC1483="L1",Parameter!$H$5,IF(CC1483="L23",Parameter!$H$6+Parameter!$H$7,Parameter!$H$5+Parameter!$H$6+Parameter!$H$7))-(AV1483-AR1483))/AR1483)))</f>
        <v>0</v>
      </c>
      <c r="AX1483" s="50" t="n">
        <f aca="false">IF(LEFT(Cockpit!$O$5,1)="A",H1483,IF(CE1483=1,CF1483,IF(LEFT(Cockpit!$O$5,1)="B",BC1483,MAX(BC1483,H1483))))</f>
        <v>6</v>
      </c>
      <c r="AY1483" s="50" t="n">
        <f aca="false">IF(BW1483=1,0,ROUNDUP(AX1483/BV1483,0))</f>
        <v>1</v>
      </c>
      <c r="AZ1483" s="52" t="n">
        <f aca="false">IF(CL1483&gt;0,CL1483*MAX(1,AX1483/X1483),IF(BW1483=1,IF(AX1483&lt;=0,0,CA1483*MAX(1,IF(H1483&gt;0,AX1483/H1483,1))),IF(R1483&gt;0,AY1483/R1483,0))/MAX(0.1,N(Parameter!$M$21)))</f>
        <v>0.00961538461538462</v>
      </c>
      <c r="BA1483" s="50" t="n">
        <f aca="false">AZ1483*BY1483</f>
        <v>1.49038461538462</v>
      </c>
      <c r="BB1483" s="50" t="n">
        <f aca="false">AX1483*G1483</f>
        <v>143.34</v>
      </c>
      <c r="BC1483" s="50" t="n">
        <f aca="false">ROUNDUP(MAX(J1483/IF(CD1483&gt;0,CD1483,MAX(0.1,N(Cockpit!$O$6))),CG1483)/BV1483,0)*BV1483</f>
        <v>6</v>
      </c>
      <c r="BD1483" s="51" t="n">
        <f aca="false">IF(BA1483&gt;0,J1483/BA1483,-1)</f>
        <v>0</v>
      </c>
      <c r="BE1483" s="51" t="n">
        <f aca="false">IF(AND(OR(CC1483="L1",CC1483="L23",CC1483="LIFT"),BA1483&gt;0),SUMIFS($BA$7:$BA$1843,$CC$7:$CC$1843,CC1483,$BD$7:$BD$1843,"&gt;"&amp;BD1483)+SUMIFS($BA$7:$BA$1843,$CC$7:$CC$1843,CC1483,$BD$7:$BD$1843,BD1483,$BT$7:$BT$1843,"&lt;="&amp;BT1483),"")</f>
        <v>38715.9984582273</v>
      </c>
      <c r="BF1483" s="58" t="n">
        <f aca="false">IF(BE1483="",0,MAX(0,MIN(1,(IF(CC1483="L1",Parameter!$H$5,IF(CC1483="L23",Parameter!$H$6+Parameter!$H$7,Parameter!$H$5+Parameter!$H$6+Parameter!$H$7))-(BE1483-BA1483))/BA1483)))</f>
        <v>0</v>
      </c>
      <c r="BG1483" s="48" t="str">
        <f aca="false">IF(AI1483&lt;=0,"",IF(CC1483="Aussen","Aussenlager",IF(CC1483="-","Nicht im Lift",IF(AN1483&gt;=1,"Lift",IF(AN1483&lt;=0,"Aussenlager","teilweise")))))</f>
        <v>Lift</v>
      </c>
      <c r="BH1483" s="48" t="str">
        <f aca="false">IF(AR1483&lt;=0,"",IF(CC1483="Aussen","Aussenlager",IF(CC1483="-","Nicht im Lift",IF(AW1483&gt;=1,"Lift",IF(AW1483&lt;=0,"Aussenlager","teilweise")))))</f>
        <v>Aussenlager</v>
      </c>
      <c r="BI1483" s="48" t="str">
        <f aca="false">IF(BA1483&lt;=0,"",IF(CC1483="Aussen","Aussenlager",IF(CC1483="-","Nicht im Lift",IF(BF1483&gt;=1,"Lift",IF(BF1483&lt;=0,"Aussenlager","teilweise")))))</f>
        <v>Aussenlager</v>
      </c>
      <c r="BJ1483" s="48" t="str">
        <f aca="false">IF(A1483="","",IF(BS1483=1,"Neu; ","")&amp;IF(AND(BS1483=0,BN1483&lt;0),"negativer Bestand (Export "&amp;BN1483&amp;"); ","")&amp;IF(J1483&lt;=0,"Kein Verbrauch; ","")&amp;IF(CL1483&gt;0,"Lift "&amp;W1483&amp;" lt. Liftbericht (Fach "&amp;X1483&amp;" Stk); ",IF(BX1483=1,"Gebinde geschätzt ("&amp;T1483&amp;"); ",IF(BW1483=1,"Lose – Tablare geschätzt; ","")))&amp;IF(H1483&gt;AT1483,"Überbestand "&amp;ROUND(H1483-AT1483,0)&amp;" Stk / CHF "&amp;ROUND((H1483-AT1483)*G1483,0)&amp;"; ","")&amp;IF(AND(CE1483=1,CF1483&lt;CG1483),"MAX &lt; MB+LG; ","")&amp;IF(AND(CK1483&gt;0,CJ1483*10&gt;CK1483),"zu hoch für Tablar; ","")&amp;IF(AND(BS1483=0,OR(CE1483=1,AA1483&lt;&gt;"",U1483&lt;&gt;"",V1483&lt;&gt;"",AB1483&lt;&gt;"")),"manuell übersteuert; ","")&amp;IF(AND(BW1483=0,R1483=0),"Gebinde unbekannt / Stellmass fehlt; ","")&amp;IF(AND(BW1483=0,N(V1483)&lt;=0,N(Q1483)&lt;=0),"Menge pro Gebinde fehlt (Ist = 1 Gebinde); ","")&amp;BR1483)</f>
        <v>Kein Verbrauch; nur im Artikelstamm (Bestand 23.06.2026)</v>
      </c>
      <c r="BK1483" s="48"/>
      <c r="BL1483" s="48"/>
      <c r="BM1483" s="55"/>
      <c r="BN1483" s="50" t="n">
        <v>6</v>
      </c>
      <c r="BO1483" s="50" t="n">
        <v>0</v>
      </c>
      <c r="BP1483" s="49" t="n">
        <v>0</v>
      </c>
      <c r="BQ1483" s="50" t="n">
        <v>0</v>
      </c>
      <c r="BR1483" s="48" t="s">
        <v>2579</v>
      </c>
      <c r="BS1483" s="53" t="n">
        <v>0</v>
      </c>
      <c r="BT1483" s="53" t="n">
        <v>1483</v>
      </c>
      <c r="BU1483" s="48" t="str">
        <f aca="false">IF(U1483&lt;&gt;"",UPPER(TRIM(U1483)),IF(BX1483=1,UPPER(VLOOKUP(T1483,Parameter!$I$27:$K$29,2,0)),IF(P1483="","LOSE",P1483)))</f>
        <v>S32</v>
      </c>
      <c r="BV1483" s="50" t="n">
        <f aca="false">IF(BU1483="LOSE",1,IF(N(V1483)&gt;0,V1483,IF(BX1483=1,MAX(1,N(VLOOKUP(T1483,Parameter!$I$27:$K$29,3,0)),H1483,N(N1483)),IF(N(Q1483)&gt;0,Q1483,MAX(1,H1483)))))</f>
        <v>6</v>
      </c>
      <c r="BW1483" s="53" t="n">
        <f aca="false">IF(BU1483="LOSE",1,0)</f>
        <v>0</v>
      </c>
      <c r="BX1483" s="53" t="n">
        <f aca="false">IF(AND(U1483="",OR(P1483="",P1483="LOSE"),T1483&lt;&gt;"",N(S1483)&lt;=0,ISNUMBER(MATCH(T1483,Parameter!$I$27:$I$29,0))),1,0)</f>
        <v>0</v>
      </c>
      <c r="BY1483" s="53" t="n">
        <f aca="false">IF(CL1483&gt;0,INDEX(Parameter!$H$5:$H$7,W1483)/INDEX(Parameter!$E$5:$E$7,W1483),IF(AND(BW1483=0,N(IFERROR(VLOOKUP(BU1483,'Gebinde-Kategorie'!$A$5:$N$45,14,0),0))&gt;0),VLOOKUP(BU1483,'Gebinde-Kategorie'!$A$5:$N$45,14,0)*10+Parameter!$M$23,Parameter!$M$24))</f>
        <v>155</v>
      </c>
      <c r="BZ1483" s="48" t="str">
        <f aca="false">IF(AND(Parameter!$B$19="Ja",E1483&lt;&gt;"",ISNUMBER(MATCH(E1483,Parameter!$I$35:$I$52,0))),VLOOKUP(E1483,Parameter!$I$35:$J$52,2,0),IFERROR(VLOOKUP(D1483,Parameter!$A$35:$C$64,2,0),"Nein"))</f>
        <v>2+3</v>
      </c>
      <c r="CA1483" s="52" t="n">
        <f aca="false">IF(BW1483=0,0,IF(N(S1483)&gt;0,S1483,IFERROR(VLOOKUP(D1483,Parameter!$A$35:$C$64,3,0)+0,0)))</f>
        <v>0</v>
      </c>
      <c r="CB1483" s="48" t="n">
        <f aca="false">IF(AA1483&lt;&gt;"",AA1483,Z1483)</f>
        <v>3</v>
      </c>
      <c r="CC1483" s="48" t="str">
        <f aca="false">IF(OR(CB1483=1,CB1483=2,CB1483=3),IF(Parameter!$E$27="Ja","LIFT",IF(CB1483=1,"L1","L23")),IF(CB1483="Aussen","Aussen","-"))</f>
        <v>LIFT</v>
      </c>
      <c r="CD1483" s="59" t="n">
        <f aca="false">IF(N(AB1483)&gt;0,AB1483,0)</f>
        <v>0</v>
      </c>
      <c r="CE1483" s="53" t="n">
        <f aca="false">IF(ISNUMBER(AE1483),1,0)</f>
        <v>0</v>
      </c>
      <c r="CF1483" s="50" t="n">
        <f aca="false">N(AE1483)</f>
        <v>0</v>
      </c>
      <c r="CG1483" s="50" t="n">
        <f aca="false">N(M1483)+N(N1483)</f>
        <v>5</v>
      </c>
      <c r="CH1483" s="50" t="n">
        <f aca="false">ROUNDUP(H1483/BV1483,0)</f>
        <v>1</v>
      </c>
      <c r="CI1483" s="50" t="n">
        <f aca="false">ROUNDUP(CF1483/BV1483,0)</f>
        <v>0</v>
      </c>
      <c r="CJ1483" s="53" t="n">
        <f aca="false">IF(BW1483=1,0,IFERROR(VLOOKUP(BU1483,'Gebinde-Kategorie'!$A$5:$N$45,5,0)+0,0))</f>
        <v>8</v>
      </c>
      <c r="CK1483" s="53" t="n">
        <f aca="false">IFERROR(IF(OR(CB1483=1,CB1483=2,CB1483=3),N(INDEX(Parameter!$I$5:$I$7,CB1483)),0),0)</f>
        <v>0</v>
      </c>
      <c r="CL1483" s="52" t="n">
        <f aca="false">IF(AND(Parameter!$B$21="Ja",ISNUMBER(W1483),N(X1483)&gt;0),IFERROR(N(INDEX(Parameter!$L$5:$L$7,W1483))*INDEX(Parameter!$E$5:$E$7,W1483)*X1483/SUMIFS($X$7:$X$1843,$W$7:$W$1843,W1483),0),0)</f>
        <v>0</v>
      </c>
    </row>
    <row r="1484" customFormat="false" ht="15" hidden="false" customHeight="false" outlineLevel="0" collapsed="false">
      <c r="A1484" s="48" t="s">
        <v>2599</v>
      </c>
      <c r="B1484" s="48" t="s">
        <v>2600</v>
      </c>
      <c r="C1484" s="48" t="s">
        <v>168</v>
      </c>
      <c r="D1484" s="48" t="s">
        <v>188</v>
      </c>
      <c r="E1484" s="48" t="s">
        <v>189</v>
      </c>
      <c r="F1484" s="48"/>
      <c r="G1484" s="49" t="n">
        <v>8.7</v>
      </c>
      <c r="H1484" s="50" t="n">
        <f aca="false">MAX(0,IF(AND(Parameter!$B$21="Ja",ISNUMBER(Y1484)),Y1484,IF(Parameter!$B$20="Jahresanfang 2025 + Export",BO1484+BN1484,BN1484)))</f>
        <v>20</v>
      </c>
      <c r="I1484" s="50" t="n">
        <f aca="false">H1484*G1484</f>
        <v>174</v>
      </c>
      <c r="J1484" s="50" t="n">
        <f aca="false">BQ1484*Parameter!$B$18</f>
        <v>0</v>
      </c>
      <c r="K1484" s="51"/>
      <c r="L1484" s="52"/>
      <c r="M1484" s="50" t="n">
        <v>0</v>
      </c>
      <c r="N1484" s="50" t="n">
        <v>10</v>
      </c>
      <c r="O1484" s="53" t="n">
        <v>0</v>
      </c>
      <c r="P1484" s="48" t="s">
        <v>430</v>
      </c>
      <c r="Q1484" s="50" t="n">
        <v>20</v>
      </c>
      <c r="R1484" s="53" t="n">
        <f aca="false">IF(BW1484=1,0,IFERROR(VLOOKUP(BU1484,'Gebinde-Kategorie'!$A$5:$N$45,13,0)+0,0))</f>
        <v>140</v>
      </c>
      <c r="S1484" s="54"/>
      <c r="T1484" s="55"/>
      <c r="U1484" s="55"/>
      <c r="V1484" s="55"/>
      <c r="W1484" s="48"/>
      <c r="X1484" s="50"/>
      <c r="Y1484" s="50"/>
      <c r="Z1484" s="48" t="n">
        <f aca="false">IF(A1484="","",IF(AND(Parameter!$B$21="Ja",ISNUMBER(W1484)),W1484,IF(BZ1484="2+3",IF(ISNUMBER(SEARCH("grosser Artikel",BR1484)),2,IFERROR(VLOOKUP(BU1484,Parameter!$F$35:$G$64,2,0),2)),IF(OR(BZ1484="Nein",BZ1484=""),"-",BZ1484))))</f>
        <v>3</v>
      </c>
      <c r="AA1484" s="55"/>
      <c r="AB1484" s="56"/>
      <c r="AC1484" s="50" t="n">
        <f aca="false">AT1484</f>
        <v>20</v>
      </c>
      <c r="AD1484" s="50" t="n">
        <f aca="false">MAX(AT1484,H1484)</f>
        <v>20</v>
      </c>
      <c r="AE1484" s="57"/>
      <c r="AF1484" s="50" t="n">
        <f aca="false">IF(LEFT(Cockpit!$C$5,1)="A",H1484,IF(CE1484=1,CF1484,IF(LEFT(Cockpit!$C$5,1)="B",AK1484,MAX(AK1484,H1484))))</f>
        <v>20</v>
      </c>
      <c r="AG1484" s="50" t="n">
        <f aca="false">IF(BW1484=1,0,ROUNDUP(AF1484/BV1484,0))</f>
        <v>1</v>
      </c>
      <c r="AH1484" s="52" t="n">
        <f aca="false">IF(CL1484&gt;0,CL1484*MAX(1,AF1484/X1484),IF(BW1484=1,IF(AF1484&lt;=0,0,CA1484*MAX(1,IF(H1484&gt;0,AF1484/H1484,1))),IF(R1484&gt;0,AG1484/R1484,0))/MAX(0.1,N(Parameter!$M$21)))</f>
        <v>0.00714285714285714</v>
      </c>
      <c r="AI1484" s="50" t="n">
        <f aca="false">AH1484*BY1484</f>
        <v>1.10714285714286</v>
      </c>
      <c r="AJ1484" s="50" t="n">
        <f aca="false">AF1484*G1484</f>
        <v>174</v>
      </c>
      <c r="AK1484" s="50" t="n">
        <f aca="false">ROUNDUP(MAX(J1484/IF(CD1484&gt;0,CD1484,MAX(0.1,N(Cockpit!$C$6))),CG1484)/BV1484,0)*BV1484</f>
        <v>20</v>
      </c>
      <c r="AL1484" s="51" t="n">
        <f aca="false">IF(AI1484&gt;0,J1484/AI1484,-1)</f>
        <v>0</v>
      </c>
      <c r="AM1484" s="51" t="n">
        <f aca="false">IF(AND(OR(CC1484="L1",CC1484="L23",CC1484="LIFT"),AI1484&gt;0),SUMIFS($AI$7:$AI$1843,$CC$7:$CC$1843,CC1484,$AL$7:$AL$1843,"&gt;"&amp;AL1484)+SUMIFS($AI$7:$AI$1843,$CC$7:$CC$1843,CC1484,$AL$7:$AL$1843,AL1484,$BT$7:$BT$1843,"&lt;="&amp;BT1484),"")</f>
        <v>29750.2590126446</v>
      </c>
      <c r="AN1484" s="58" t="n">
        <f aca="false">IF(AM1484="",0,MAX(0,MIN(1,(IF(CC1484="L1",Parameter!$H$5,IF(CC1484="L23",Parameter!$H$6+Parameter!$H$7,Parameter!$H$5+Parameter!$H$6+Parameter!$H$7))-(AM1484-AI1484))/AI1484)))</f>
        <v>1</v>
      </c>
      <c r="AO1484" s="50" t="n">
        <f aca="false">IF(LEFT(Cockpit!$I$5,1)="A",H1484,IF(CE1484=1,CF1484,IF(LEFT(Cockpit!$I$5,1)="B",AT1484,MAX(AT1484,H1484))))</f>
        <v>20</v>
      </c>
      <c r="AP1484" s="50" t="n">
        <f aca="false">IF(BW1484=1,0,ROUNDUP(AO1484/BV1484,0))</f>
        <v>1</v>
      </c>
      <c r="AQ1484" s="52" t="n">
        <f aca="false">IF(CL1484&gt;0,CL1484*MAX(1,AO1484/X1484),IF(BW1484=1,IF(AO1484&lt;=0,0,CA1484*MAX(1,IF(H1484&gt;0,AO1484/H1484,1))),IF(R1484&gt;0,AP1484/R1484,0))/MAX(0.1,N(Parameter!$M$21)))</f>
        <v>0.00714285714285714</v>
      </c>
      <c r="AR1484" s="50" t="n">
        <f aca="false">AQ1484*BY1484</f>
        <v>1.10714285714286</v>
      </c>
      <c r="AS1484" s="50" t="n">
        <f aca="false">AO1484*G1484</f>
        <v>174</v>
      </c>
      <c r="AT1484" s="50" t="n">
        <f aca="false">ROUNDUP(MAX(J1484/IF(CD1484&gt;0,CD1484,MAX(0.1,N(Cockpit!$I$6))),CG1484)/BV1484,0)*BV1484</f>
        <v>20</v>
      </c>
      <c r="AU1484" s="51" t="n">
        <f aca="false">IF(AR1484&gt;0,J1484/AR1484,-1)</f>
        <v>0</v>
      </c>
      <c r="AV1484" s="51" t="n">
        <f aca="false">IF(AND(OR(CC1484="L1",CC1484="L23",CC1484="LIFT"),AR1484&gt;0),SUMIFS($AR$7:$AR$1843,$CC$7:$CC$1843,CC1484,$AU$7:$AU$1843,"&gt;"&amp;AU1484)+SUMIFS($AR$7:$AR$1843,$CC$7:$CC$1843,CC1484,$AU$7:$AU$1843,AU1484,$BT$7:$BT$1843,"&lt;="&amp;BT1484),"")</f>
        <v>42042.0935592186</v>
      </c>
      <c r="AW1484" s="58" t="n">
        <f aca="false">IF(AV1484="",0,MAX(0,MIN(1,(IF(CC1484="L1",Parameter!$H$5,IF(CC1484="L23",Parameter!$H$6+Parameter!$H$7,Parameter!$H$5+Parameter!$H$6+Parameter!$H$7))-(AV1484-AR1484))/AR1484)))</f>
        <v>0</v>
      </c>
      <c r="AX1484" s="50" t="n">
        <f aca="false">IF(LEFT(Cockpit!$O$5,1)="A",H1484,IF(CE1484=1,CF1484,IF(LEFT(Cockpit!$O$5,1)="B",BC1484,MAX(BC1484,H1484))))</f>
        <v>20</v>
      </c>
      <c r="AY1484" s="50" t="n">
        <f aca="false">IF(BW1484=1,0,ROUNDUP(AX1484/BV1484,0))</f>
        <v>1</v>
      </c>
      <c r="AZ1484" s="52" t="n">
        <f aca="false">IF(CL1484&gt;0,CL1484*MAX(1,AX1484/X1484),IF(BW1484=1,IF(AX1484&lt;=0,0,CA1484*MAX(1,IF(H1484&gt;0,AX1484/H1484,1))),IF(R1484&gt;0,AY1484/R1484,0))/MAX(0.1,N(Parameter!$M$21)))</f>
        <v>0.00714285714285714</v>
      </c>
      <c r="BA1484" s="50" t="n">
        <f aca="false">AZ1484*BY1484</f>
        <v>1.10714285714286</v>
      </c>
      <c r="BB1484" s="50" t="n">
        <f aca="false">AX1484*G1484</f>
        <v>174</v>
      </c>
      <c r="BC1484" s="50" t="n">
        <f aca="false">ROUNDUP(MAX(J1484/IF(CD1484&gt;0,CD1484,MAX(0.1,N(Cockpit!$O$6))),CG1484)/BV1484,0)*BV1484</f>
        <v>20</v>
      </c>
      <c r="BD1484" s="51" t="n">
        <f aca="false">IF(BA1484&gt;0,J1484/BA1484,-1)</f>
        <v>0</v>
      </c>
      <c r="BE1484" s="51" t="n">
        <f aca="false">IF(AND(OR(CC1484="L1",CC1484="L23",CC1484="LIFT"),BA1484&gt;0),SUMIFS($BA$7:$BA$1843,$CC$7:$CC$1843,CC1484,$BD$7:$BD$1843,"&gt;"&amp;BD1484)+SUMIFS($BA$7:$BA$1843,$CC$7:$CC$1843,CC1484,$BD$7:$BD$1843,BD1484,$BT$7:$BT$1843,"&lt;="&amp;BT1484),"")</f>
        <v>38717.1056010844</v>
      </c>
      <c r="BF1484" s="58" t="n">
        <f aca="false">IF(BE1484="",0,MAX(0,MIN(1,(IF(CC1484="L1",Parameter!$H$5,IF(CC1484="L23",Parameter!$H$6+Parameter!$H$7,Parameter!$H$5+Parameter!$H$6+Parameter!$H$7))-(BE1484-BA1484))/BA1484)))</f>
        <v>0</v>
      </c>
      <c r="BG1484" s="48" t="str">
        <f aca="false">IF(AI1484&lt;=0,"",IF(CC1484="Aussen","Aussenlager",IF(CC1484="-","Nicht im Lift",IF(AN1484&gt;=1,"Lift",IF(AN1484&lt;=0,"Aussenlager","teilweise")))))</f>
        <v>Lift</v>
      </c>
      <c r="BH1484" s="48" t="str">
        <f aca="false">IF(AR1484&lt;=0,"",IF(CC1484="Aussen","Aussenlager",IF(CC1484="-","Nicht im Lift",IF(AW1484&gt;=1,"Lift",IF(AW1484&lt;=0,"Aussenlager","teilweise")))))</f>
        <v>Aussenlager</v>
      </c>
      <c r="BI1484" s="48" t="str">
        <f aca="false">IF(BA1484&lt;=0,"",IF(CC1484="Aussen","Aussenlager",IF(CC1484="-","Nicht im Lift",IF(BF1484&gt;=1,"Lift",IF(BF1484&lt;=0,"Aussenlager","teilweise")))))</f>
        <v>Aussenlager</v>
      </c>
      <c r="BJ1484" s="48" t="str">
        <f aca="false">IF(A1484="","",IF(BS1484=1,"Neu; ","")&amp;IF(AND(BS1484=0,BN1484&lt;0),"negativer Bestand (Export "&amp;BN1484&amp;"); ","")&amp;IF(J1484&lt;=0,"Kein Verbrauch; ","")&amp;IF(CL1484&gt;0,"Lift "&amp;W1484&amp;" lt. Liftbericht (Fach "&amp;X1484&amp;" Stk); ",IF(BX1484=1,"Gebinde geschätzt ("&amp;T1484&amp;"); ",IF(BW1484=1,"Lose – Tablare geschätzt; ","")))&amp;IF(H1484&gt;AT1484,"Überbestand "&amp;ROUND(H1484-AT1484,0)&amp;" Stk / CHF "&amp;ROUND((H1484-AT1484)*G1484,0)&amp;"; ","")&amp;IF(AND(CE1484=1,CF1484&lt;CG1484),"MAX &lt; MB+LG; ","")&amp;IF(AND(CK1484&gt;0,CJ1484*10&gt;CK1484),"zu hoch für Tablar; ","")&amp;IF(AND(BS1484=0,OR(CE1484=1,AA1484&lt;&gt;"",U1484&lt;&gt;"",V1484&lt;&gt;"",AB1484&lt;&gt;"")),"manuell übersteuert; ","")&amp;IF(AND(BW1484=0,R1484=0),"Gebinde unbekannt / Stellmass fehlt; ","")&amp;IF(AND(BW1484=0,N(V1484)&lt;=0,N(Q1484)&lt;=0),"Menge pro Gebinde fehlt (Ist = 1 Gebinde); ","")&amp;BR1484)</f>
        <v>Kein Verbrauch; nur im Artikelstamm (Bestand 23.06.2026)</v>
      </c>
      <c r="BK1484" s="48"/>
      <c r="BL1484" s="48"/>
      <c r="BM1484" s="55"/>
      <c r="BN1484" s="50" t="n">
        <v>20</v>
      </c>
      <c r="BO1484" s="50" t="n">
        <v>0</v>
      </c>
      <c r="BP1484" s="49" t="n">
        <v>0</v>
      </c>
      <c r="BQ1484" s="50" t="n">
        <v>0</v>
      </c>
      <c r="BR1484" s="48" t="s">
        <v>2579</v>
      </c>
      <c r="BS1484" s="53" t="n">
        <v>0</v>
      </c>
      <c r="BT1484" s="53" t="n">
        <v>1484</v>
      </c>
      <c r="BU1484" s="48" t="str">
        <f aca="false">IF(U1484&lt;&gt;"",UPPER(TRIM(U1484)),IF(BX1484=1,UPPER(VLOOKUP(T1484,Parameter!$I$27:$K$29,2,0)),IF(P1484="","LOSE",P1484)))</f>
        <v>S22</v>
      </c>
      <c r="BV1484" s="50" t="n">
        <f aca="false">IF(BU1484="LOSE",1,IF(N(V1484)&gt;0,V1484,IF(BX1484=1,MAX(1,N(VLOOKUP(T1484,Parameter!$I$27:$K$29,3,0)),H1484,N(N1484)),IF(N(Q1484)&gt;0,Q1484,MAX(1,H1484)))))</f>
        <v>20</v>
      </c>
      <c r="BW1484" s="53" t="n">
        <f aca="false">IF(BU1484="LOSE",1,0)</f>
        <v>0</v>
      </c>
      <c r="BX1484" s="53" t="n">
        <f aca="false">IF(AND(U1484="",OR(P1484="",P1484="LOSE"),T1484&lt;&gt;"",N(S1484)&lt;=0,ISNUMBER(MATCH(T1484,Parameter!$I$27:$I$29,0))),1,0)</f>
        <v>0</v>
      </c>
      <c r="BY1484" s="53" t="n">
        <f aca="false">IF(CL1484&gt;0,INDEX(Parameter!$H$5:$H$7,W1484)/INDEX(Parameter!$E$5:$E$7,W1484),IF(AND(BW1484=0,N(IFERROR(VLOOKUP(BU1484,'Gebinde-Kategorie'!$A$5:$N$45,14,0),0))&gt;0),VLOOKUP(BU1484,'Gebinde-Kategorie'!$A$5:$N$45,14,0)*10+Parameter!$M$23,Parameter!$M$24))</f>
        <v>155</v>
      </c>
      <c r="BZ1484" s="48" t="str">
        <f aca="false">IF(AND(Parameter!$B$19="Ja",E1484&lt;&gt;"",ISNUMBER(MATCH(E1484,Parameter!$I$35:$I$52,0))),VLOOKUP(E1484,Parameter!$I$35:$J$52,2,0),IFERROR(VLOOKUP(D1484,Parameter!$A$35:$C$64,2,0),"Nein"))</f>
        <v>2+3</v>
      </c>
      <c r="CA1484" s="52" t="n">
        <f aca="false">IF(BW1484=0,0,IF(N(S1484)&gt;0,S1484,IFERROR(VLOOKUP(D1484,Parameter!$A$35:$C$64,3,0)+0,0)))</f>
        <v>0</v>
      </c>
      <c r="CB1484" s="48" t="n">
        <f aca="false">IF(AA1484&lt;&gt;"",AA1484,Z1484)</f>
        <v>3</v>
      </c>
      <c r="CC1484" s="48" t="str">
        <f aca="false">IF(OR(CB1484=1,CB1484=2,CB1484=3),IF(Parameter!$E$27="Ja","LIFT",IF(CB1484=1,"L1","L23")),IF(CB1484="Aussen","Aussen","-"))</f>
        <v>LIFT</v>
      </c>
      <c r="CD1484" s="59" t="n">
        <f aca="false">IF(N(AB1484)&gt;0,AB1484,0)</f>
        <v>0</v>
      </c>
      <c r="CE1484" s="53" t="n">
        <f aca="false">IF(ISNUMBER(AE1484),1,0)</f>
        <v>0</v>
      </c>
      <c r="CF1484" s="50" t="n">
        <f aca="false">N(AE1484)</f>
        <v>0</v>
      </c>
      <c r="CG1484" s="50" t="n">
        <f aca="false">N(M1484)+N(N1484)</f>
        <v>10</v>
      </c>
      <c r="CH1484" s="50" t="n">
        <f aca="false">ROUNDUP(H1484/BV1484,0)</f>
        <v>1</v>
      </c>
      <c r="CI1484" s="50" t="n">
        <f aca="false">ROUNDUP(CF1484/BV1484,0)</f>
        <v>0</v>
      </c>
      <c r="CJ1484" s="53" t="n">
        <f aca="false">IF(BW1484=1,0,IFERROR(VLOOKUP(BU1484,'Gebinde-Kategorie'!$A$5:$N$45,5,0)+0,0))</f>
        <v>8</v>
      </c>
      <c r="CK1484" s="53" t="n">
        <f aca="false">IFERROR(IF(OR(CB1484=1,CB1484=2,CB1484=3),N(INDEX(Parameter!$I$5:$I$7,CB1484)),0),0)</f>
        <v>0</v>
      </c>
      <c r="CL1484" s="52" t="n">
        <f aca="false">IF(AND(Parameter!$B$21="Ja",ISNUMBER(W1484),N(X1484)&gt;0),IFERROR(N(INDEX(Parameter!$L$5:$L$7,W1484))*INDEX(Parameter!$E$5:$E$7,W1484)*X1484/SUMIFS($X$7:$X$1843,$W$7:$W$1843,W1484),0),0)</f>
        <v>0</v>
      </c>
    </row>
    <row r="1485" customFormat="false" ht="15" hidden="false" customHeight="false" outlineLevel="0" collapsed="false">
      <c r="A1485" s="48" t="s">
        <v>2601</v>
      </c>
      <c r="B1485" s="48" t="s">
        <v>2133</v>
      </c>
      <c r="C1485" s="48" t="s">
        <v>168</v>
      </c>
      <c r="D1485" s="48" t="s">
        <v>188</v>
      </c>
      <c r="E1485" s="48" t="s">
        <v>189</v>
      </c>
      <c r="F1485" s="48"/>
      <c r="G1485" s="49" t="n">
        <v>172.47</v>
      </c>
      <c r="H1485" s="50" t="n">
        <f aca="false">MAX(0,IF(AND(Parameter!$B$21="Ja",ISNUMBER(Y1485)),Y1485,IF(Parameter!$B$20="Jahresanfang 2025 + Export",BO1485+BN1485,BN1485)))</f>
        <v>12</v>
      </c>
      <c r="I1485" s="50" t="n">
        <f aca="false">H1485*G1485</f>
        <v>2069.64</v>
      </c>
      <c r="J1485" s="50" t="n">
        <f aca="false">BQ1485*Parameter!$B$18</f>
        <v>0</v>
      </c>
      <c r="K1485" s="51"/>
      <c r="L1485" s="52"/>
      <c r="M1485" s="50" t="n">
        <v>0</v>
      </c>
      <c r="N1485" s="50" t="n">
        <v>4</v>
      </c>
      <c r="O1485" s="53" t="n">
        <v>70</v>
      </c>
      <c r="P1485" s="48" t="s">
        <v>306</v>
      </c>
      <c r="Q1485" s="50" t="n">
        <v>12</v>
      </c>
      <c r="R1485" s="53" t="n">
        <f aca="false">IF(BW1485=1,0,IFERROR(VLOOKUP(BU1485,'Gebinde-Kategorie'!$A$5:$N$45,13,0)+0,0))</f>
        <v>26</v>
      </c>
      <c r="S1485" s="54"/>
      <c r="T1485" s="55"/>
      <c r="U1485" s="55"/>
      <c r="V1485" s="55"/>
      <c r="W1485" s="48"/>
      <c r="X1485" s="50"/>
      <c r="Y1485" s="50"/>
      <c r="Z1485" s="48" t="n">
        <f aca="false">IF(A1485="","",IF(AND(Parameter!$B$21="Ja",ISNUMBER(W1485)),W1485,IF(BZ1485="2+3",IF(ISNUMBER(SEARCH("grosser Artikel",BR1485)),2,IFERROR(VLOOKUP(BU1485,Parameter!$F$35:$G$64,2,0),2)),IF(OR(BZ1485="Nein",BZ1485=""),"-",BZ1485))))</f>
        <v>3</v>
      </c>
      <c r="AA1485" s="55"/>
      <c r="AB1485" s="56"/>
      <c r="AC1485" s="50" t="n">
        <f aca="false">AT1485</f>
        <v>12</v>
      </c>
      <c r="AD1485" s="50" t="n">
        <f aca="false">MAX(AT1485,H1485)</f>
        <v>12</v>
      </c>
      <c r="AE1485" s="57"/>
      <c r="AF1485" s="50" t="n">
        <f aca="false">IF(LEFT(Cockpit!$C$5,1)="A",H1485,IF(CE1485=1,CF1485,IF(LEFT(Cockpit!$C$5,1)="B",AK1485,MAX(AK1485,H1485))))</f>
        <v>12</v>
      </c>
      <c r="AG1485" s="50" t="n">
        <f aca="false">IF(BW1485=1,0,ROUNDUP(AF1485/BV1485,0))</f>
        <v>1</v>
      </c>
      <c r="AH1485" s="52" t="n">
        <f aca="false">IF(CL1485&gt;0,CL1485*MAX(1,AF1485/X1485),IF(BW1485=1,IF(AF1485&lt;=0,0,CA1485*MAX(1,IF(H1485&gt;0,AF1485/H1485,1))),IF(R1485&gt;0,AG1485/R1485,0))/MAX(0.1,N(Parameter!$M$21)))</f>
        <v>0.0384615384615385</v>
      </c>
      <c r="AI1485" s="50" t="n">
        <f aca="false">AH1485*BY1485</f>
        <v>5.96153846153846</v>
      </c>
      <c r="AJ1485" s="50" t="n">
        <f aca="false">AF1485*G1485</f>
        <v>2069.64</v>
      </c>
      <c r="AK1485" s="50" t="n">
        <f aca="false">ROUNDUP(MAX(J1485/IF(CD1485&gt;0,CD1485,MAX(0.1,N(Cockpit!$C$6))),CG1485)/BV1485,0)*BV1485</f>
        <v>12</v>
      </c>
      <c r="AL1485" s="51" t="n">
        <f aca="false">IF(AI1485&gt;0,J1485/AI1485,-1)</f>
        <v>0</v>
      </c>
      <c r="AM1485" s="51" t="n">
        <f aca="false">IF(AND(OR(CC1485="L1",CC1485="L23",CC1485="LIFT"),AI1485&gt;0),SUMIFS($AI$7:$AI$1843,$CC$7:$CC$1843,CC1485,$AL$7:$AL$1843,"&gt;"&amp;AL1485)+SUMIFS($AI$7:$AI$1843,$CC$7:$CC$1843,CC1485,$AL$7:$AL$1843,AL1485,$BT$7:$BT$1843,"&lt;="&amp;BT1485),"")</f>
        <v>29756.2205511061</v>
      </c>
      <c r="AN1485" s="58" t="n">
        <f aca="false">IF(AM1485="",0,MAX(0,MIN(1,(IF(CC1485="L1",Parameter!$H$5,IF(CC1485="L23",Parameter!$H$6+Parameter!$H$7,Parameter!$H$5+Parameter!$H$6+Parameter!$H$7))-(AM1485-AI1485))/AI1485)))</f>
        <v>1</v>
      </c>
      <c r="AO1485" s="50" t="n">
        <f aca="false">IF(LEFT(Cockpit!$I$5,1)="A",H1485,IF(CE1485=1,CF1485,IF(LEFT(Cockpit!$I$5,1)="B",AT1485,MAX(AT1485,H1485))))</f>
        <v>12</v>
      </c>
      <c r="AP1485" s="50" t="n">
        <f aca="false">IF(BW1485=1,0,ROUNDUP(AO1485/BV1485,0))</f>
        <v>1</v>
      </c>
      <c r="AQ1485" s="52" t="n">
        <f aca="false">IF(CL1485&gt;0,CL1485*MAX(1,AO1485/X1485),IF(BW1485=1,IF(AO1485&lt;=0,0,CA1485*MAX(1,IF(H1485&gt;0,AO1485/H1485,1))),IF(R1485&gt;0,AP1485/R1485,0))/MAX(0.1,N(Parameter!$M$21)))</f>
        <v>0.0384615384615385</v>
      </c>
      <c r="AR1485" s="50" t="n">
        <f aca="false">AQ1485*BY1485</f>
        <v>5.96153846153846</v>
      </c>
      <c r="AS1485" s="50" t="n">
        <f aca="false">AO1485*G1485</f>
        <v>2069.64</v>
      </c>
      <c r="AT1485" s="50" t="n">
        <f aca="false">ROUNDUP(MAX(J1485/IF(CD1485&gt;0,CD1485,MAX(0.1,N(Cockpit!$I$6))),CG1485)/BV1485,0)*BV1485</f>
        <v>12</v>
      </c>
      <c r="AU1485" s="51" t="n">
        <f aca="false">IF(AR1485&gt;0,J1485/AR1485,-1)</f>
        <v>0</v>
      </c>
      <c r="AV1485" s="51" t="n">
        <f aca="false">IF(AND(OR(CC1485="L1",CC1485="L23",CC1485="LIFT"),AR1485&gt;0),SUMIFS($AR$7:$AR$1843,$CC$7:$CC$1843,CC1485,$AU$7:$AU$1843,"&gt;"&amp;AU1485)+SUMIFS($AR$7:$AR$1843,$CC$7:$CC$1843,CC1485,$AU$7:$AU$1843,AU1485,$BT$7:$BT$1843,"&lt;="&amp;BT1485),"")</f>
        <v>42048.0550976801</v>
      </c>
      <c r="AW1485" s="58" t="n">
        <f aca="false">IF(AV1485="",0,MAX(0,MIN(1,(IF(CC1485="L1",Parameter!$H$5,IF(CC1485="L23",Parameter!$H$6+Parameter!$H$7,Parameter!$H$5+Parameter!$H$6+Parameter!$H$7))-(AV1485-AR1485))/AR1485)))</f>
        <v>0</v>
      </c>
      <c r="AX1485" s="50" t="n">
        <f aca="false">IF(LEFT(Cockpit!$O$5,1)="A",H1485,IF(CE1485=1,CF1485,IF(LEFT(Cockpit!$O$5,1)="B",BC1485,MAX(BC1485,H1485))))</f>
        <v>12</v>
      </c>
      <c r="AY1485" s="50" t="n">
        <f aca="false">IF(BW1485=1,0,ROUNDUP(AX1485/BV1485,0))</f>
        <v>1</v>
      </c>
      <c r="AZ1485" s="52" t="n">
        <f aca="false">IF(CL1485&gt;0,CL1485*MAX(1,AX1485/X1485),IF(BW1485=1,IF(AX1485&lt;=0,0,CA1485*MAX(1,IF(H1485&gt;0,AX1485/H1485,1))),IF(R1485&gt;0,AY1485/R1485,0))/MAX(0.1,N(Parameter!$M$21)))</f>
        <v>0.0384615384615385</v>
      </c>
      <c r="BA1485" s="50" t="n">
        <f aca="false">AZ1485*BY1485</f>
        <v>5.96153846153846</v>
      </c>
      <c r="BB1485" s="50" t="n">
        <f aca="false">AX1485*G1485</f>
        <v>2069.64</v>
      </c>
      <c r="BC1485" s="50" t="n">
        <f aca="false">ROUNDUP(MAX(J1485/IF(CD1485&gt;0,CD1485,MAX(0.1,N(Cockpit!$O$6))),CG1485)/BV1485,0)*BV1485</f>
        <v>12</v>
      </c>
      <c r="BD1485" s="51" t="n">
        <f aca="false">IF(BA1485&gt;0,J1485/BA1485,-1)</f>
        <v>0</v>
      </c>
      <c r="BE1485" s="51" t="n">
        <f aca="false">IF(AND(OR(CC1485="L1",CC1485="L23",CC1485="LIFT"),BA1485&gt;0),SUMIFS($BA$7:$BA$1843,$CC$7:$CC$1843,CC1485,$BD$7:$BD$1843,"&gt;"&amp;BD1485)+SUMIFS($BA$7:$BA$1843,$CC$7:$CC$1843,CC1485,$BD$7:$BD$1843,BD1485,$BT$7:$BT$1843,"&lt;="&amp;BT1485),"")</f>
        <v>38723.067139546</v>
      </c>
      <c r="BF1485" s="58" t="n">
        <f aca="false">IF(BE1485="",0,MAX(0,MIN(1,(IF(CC1485="L1",Parameter!$H$5,IF(CC1485="L23",Parameter!$H$6+Parameter!$H$7,Parameter!$H$5+Parameter!$H$6+Parameter!$H$7))-(BE1485-BA1485))/BA1485)))</f>
        <v>0</v>
      </c>
      <c r="BG1485" s="48" t="str">
        <f aca="false">IF(AI1485&lt;=0,"",IF(CC1485="Aussen","Aussenlager",IF(CC1485="-","Nicht im Lift",IF(AN1485&gt;=1,"Lift",IF(AN1485&lt;=0,"Aussenlager","teilweise")))))</f>
        <v>Lift</v>
      </c>
      <c r="BH1485" s="48" t="str">
        <f aca="false">IF(AR1485&lt;=0,"",IF(CC1485="Aussen","Aussenlager",IF(CC1485="-","Nicht im Lift",IF(AW1485&gt;=1,"Lift",IF(AW1485&lt;=0,"Aussenlager","teilweise")))))</f>
        <v>Aussenlager</v>
      </c>
      <c r="BI1485" s="48" t="str">
        <f aca="false">IF(BA1485&lt;=0,"",IF(CC1485="Aussen","Aussenlager",IF(CC1485="-","Nicht im Lift",IF(BF1485&gt;=1,"Lift",IF(BF1485&lt;=0,"Aussenlager","teilweise")))))</f>
        <v>Aussenlager</v>
      </c>
      <c r="BJ1485" s="48" t="str">
        <f aca="false">IF(A1485="","",IF(BS1485=1,"Neu; ","")&amp;IF(AND(BS1485=0,BN1485&lt;0),"negativer Bestand (Export "&amp;BN1485&amp;"); ","")&amp;IF(J1485&lt;=0,"Kein Verbrauch; ","")&amp;IF(CL1485&gt;0,"Lift "&amp;W1485&amp;" lt. Liftbericht (Fach "&amp;X1485&amp;" Stk); ",IF(BX1485=1,"Gebinde geschätzt ("&amp;T1485&amp;"); ",IF(BW1485=1,"Lose – Tablare geschätzt; ","")))&amp;IF(H1485&gt;AT1485,"Überbestand "&amp;ROUND(H1485-AT1485,0)&amp;" Stk / CHF "&amp;ROUND((H1485-AT1485)*G1485,0)&amp;"; ","")&amp;IF(AND(CE1485=1,CF1485&lt;CG1485),"MAX &lt; MB+LG; ","")&amp;IF(AND(CK1485&gt;0,CJ1485*10&gt;CK1485),"zu hoch für Tablar; ","")&amp;IF(AND(BS1485=0,OR(CE1485=1,AA1485&lt;&gt;"",U1485&lt;&gt;"",V1485&lt;&gt;"",AB1485&lt;&gt;"")),"manuell übersteuert; ","")&amp;IF(AND(BW1485=0,R1485=0),"Gebinde unbekannt / Stellmass fehlt; ","")&amp;IF(AND(BW1485=0,N(V1485)&lt;=0,N(Q1485)&lt;=0),"Menge pro Gebinde fehlt (Ist = 1 Gebinde); ","")&amp;BR1485)</f>
        <v>Kein Verbrauch; nur im Artikelstamm (Bestand 23.06.2026)</v>
      </c>
      <c r="BK1485" s="48"/>
      <c r="BL1485" s="48"/>
      <c r="BM1485" s="55"/>
      <c r="BN1485" s="50" t="n">
        <v>12</v>
      </c>
      <c r="BO1485" s="50" t="n">
        <v>0</v>
      </c>
      <c r="BP1485" s="49" t="n">
        <v>0</v>
      </c>
      <c r="BQ1485" s="50" t="n">
        <v>0</v>
      </c>
      <c r="BR1485" s="48" t="s">
        <v>2579</v>
      </c>
      <c r="BS1485" s="53" t="n">
        <v>0</v>
      </c>
      <c r="BT1485" s="53" t="n">
        <v>1485</v>
      </c>
      <c r="BU1485" s="48" t="str">
        <f aca="false">IF(U1485&lt;&gt;"",UPPER(TRIM(U1485)),IF(BX1485=1,UPPER(VLOOKUP(T1485,Parameter!$I$27:$K$29,2,0)),IF(P1485="","LOSE",P1485)))</f>
        <v>S51</v>
      </c>
      <c r="BV1485" s="50" t="n">
        <f aca="false">IF(BU1485="LOSE",1,IF(N(V1485)&gt;0,V1485,IF(BX1485=1,MAX(1,N(VLOOKUP(T1485,Parameter!$I$27:$K$29,3,0)),H1485,N(N1485)),IF(N(Q1485)&gt;0,Q1485,MAX(1,H1485)))))</f>
        <v>12</v>
      </c>
      <c r="BW1485" s="53" t="n">
        <f aca="false">IF(BU1485="LOSE",1,0)</f>
        <v>0</v>
      </c>
      <c r="BX1485" s="53" t="n">
        <f aca="false">IF(AND(U1485="",OR(P1485="",P1485="LOSE"),T1485&lt;&gt;"",N(S1485)&lt;=0,ISNUMBER(MATCH(T1485,Parameter!$I$27:$I$29,0))),1,0)</f>
        <v>0</v>
      </c>
      <c r="BY1485" s="53" t="n">
        <f aca="false">IF(CL1485&gt;0,INDEX(Parameter!$H$5:$H$7,W1485)/INDEX(Parameter!$E$5:$E$7,W1485),IF(AND(BW1485=0,N(IFERROR(VLOOKUP(BU1485,'Gebinde-Kategorie'!$A$5:$N$45,14,0),0))&gt;0),VLOOKUP(BU1485,'Gebinde-Kategorie'!$A$5:$N$45,14,0)*10+Parameter!$M$23,Parameter!$M$24))</f>
        <v>155</v>
      </c>
      <c r="BZ1485" s="48" t="str">
        <f aca="false">IF(AND(Parameter!$B$19="Ja",E1485&lt;&gt;"",ISNUMBER(MATCH(E1485,Parameter!$I$35:$I$52,0))),VLOOKUP(E1485,Parameter!$I$35:$J$52,2,0),IFERROR(VLOOKUP(D1485,Parameter!$A$35:$C$64,2,0),"Nein"))</f>
        <v>2+3</v>
      </c>
      <c r="CA1485" s="52" t="n">
        <f aca="false">IF(BW1485=0,0,IF(N(S1485)&gt;0,S1485,IFERROR(VLOOKUP(D1485,Parameter!$A$35:$C$64,3,0)+0,0)))</f>
        <v>0</v>
      </c>
      <c r="CB1485" s="48" t="n">
        <f aca="false">IF(AA1485&lt;&gt;"",AA1485,Z1485)</f>
        <v>3</v>
      </c>
      <c r="CC1485" s="48" t="str">
        <f aca="false">IF(OR(CB1485=1,CB1485=2,CB1485=3),IF(Parameter!$E$27="Ja","LIFT",IF(CB1485=1,"L1","L23")),IF(CB1485="Aussen","Aussen","-"))</f>
        <v>LIFT</v>
      </c>
      <c r="CD1485" s="59" t="n">
        <f aca="false">IF(N(AB1485)&gt;0,AB1485,0)</f>
        <v>0</v>
      </c>
      <c r="CE1485" s="53" t="n">
        <f aca="false">IF(ISNUMBER(AE1485),1,0)</f>
        <v>0</v>
      </c>
      <c r="CF1485" s="50" t="n">
        <f aca="false">N(AE1485)</f>
        <v>0</v>
      </c>
      <c r="CG1485" s="50" t="n">
        <f aca="false">N(M1485)+N(N1485)</f>
        <v>4</v>
      </c>
      <c r="CH1485" s="50" t="n">
        <f aca="false">ROUNDUP(H1485/BV1485,0)</f>
        <v>1</v>
      </c>
      <c r="CI1485" s="50" t="n">
        <f aca="false">ROUNDUP(CF1485/BV1485,0)</f>
        <v>0</v>
      </c>
      <c r="CJ1485" s="53" t="n">
        <f aca="false">IF(BW1485=1,0,IFERROR(VLOOKUP(BU1485,'Gebinde-Kategorie'!$A$5:$N$45,5,0)+0,0))</f>
        <v>11</v>
      </c>
      <c r="CK1485" s="53" t="n">
        <f aca="false">IFERROR(IF(OR(CB1485=1,CB1485=2,CB1485=3),N(INDEX(Parameter!$I$5:$I$7,CB1485)),0),0)</f>
        <v>0</v>
      </c>
      <c r="CL1485" s="52" t="n">
        <f aca="false">IF(AND(Parameter!$B$21="Ja",ISNUMBER(W1485),N(X1485)&gt;0),IFERROR(N(INDEX(Parameter!$L$5:$L$7,W1485))*INDEX(Parameter!$E$5:$E$7,W1485)*X1485/SUMIFS($X$7:$X$1843,$W$7:$W$1843,W1485),0),0)</f>
        <v>0</v>
      </c>
    </row>
    <row r="1486" customFormat="false" ht="15" hidden="false" customHeight="false" outlineLevel="0" collapsed="false">
      <c r="A1486" s="48" t="s">
        <v>2602</v>
      </c>
      <c r="B1486" s="48" t="s">
        <v>2603</v>
      </c>
      <c r="C1486" s="48" t="s">
        <v>168</v>
      </c>
      <c r="D1486" s="48" t="s">
        <v>188</v>
      </c>
      <c r="E1486" s="48" t="s">
        <v>189</v>
      </c>
      <c r="F1486" s="48"/>
      <c r="G1486" s="49" t="n">
        <v>78.1</v>
      </c>
      <c r="H1486" s="50" t="n">
        <f aca="false">MAX(0,IF(AND(Parameter!$B$21="Ja",ISNUMBER(Y1486)),Y1486,IF(Parameter!$B$20="Jahresanfang 2025 + Export",BO1486+BN1486,BN1486)))</f>
        <v>2</v>
      </c>
      <c r="I1486" s="50" t="n">
        <f aca="false">H1486*G1486</f>
        <v>156.2</v>
      </c>
      <c r="J1486" s="50" t="n">
        <f aca="false">BQ1486*Parameter!$B$18</f>
        <v>0</v>
      </c>
      <c r="K1486" s="51"/>
      <c r="L1486" s="52"/>
      <c r="M1486" s="50" t="n">
        <v>0</v>
      </c>
      <c r="N1486" s="50" t="n">
        <v>1</v>
      </c>
      <c r="O1486" s="53" t="n">
        <v>21</v>
      </c>
      <c r="P1486" s="48" t="s">
        <v>430</v>
      </c>
      <c r="Q1486" s="50" t="n">
        <v>2</v>
      </c>
      <c r="R1486" s="53" t="n">
        <f aca="false">IF(BW1486=1,0,IFERROR(VLOOKUP(BU1486,'Gebinde-Kategorie'!$A$5:$N$45,13,0)+0,0))</f>
        <v>140</v>
      </c>
      <c r="S1486" s="54"/>
      <c r="T1486" s="55"/>
      <c r="U1486" s="55"/>
      <c r="V1486" s="55"/>
      <c r="W1486" s="48"/>
      <c r="X1486" s="50"/>
      <c r="Y1486" s="50"/>
      <c r="Z1486" s="48" t="n">
        <f aca="false">IF(A1486="","",IF(AND(Parameter!$B$21="Ja",ISNUMBER(W1486)),W1486,IF(BZ1486="2+3",IF(ISNUMBER(SEARCH("grosser Artikel",BR1486)),2,IFERROR(VLOOKUP(BU1486,Parameter!$F$35:$G$64,2,0),2)),IF(OR(BZ1486="Nein",BZ1486=""),"-",BZ1486))))</f>
        <v>3</v>
      </c>
      <c r="AA1486" s="55"/>
      <c r="AB1486" s="56"/>
      <c r="AC1486" s="50" t="n">
        <f aca="false">AT1486</f>
        <v>2</v>
      </c>
      <c r="AD1486" s="50" t="n">
        <f aca="false">MAX(AT1486,H1486)</f>
        <v>2</v>
      </c>
      <c r="AE1486" s="57"/>
      <c r="AF1486" s="50" t="n">
        <f aca="false">IF(LEFT(Cockpit!$C$5,1)="A",H1486,IF(CE1486=1,CF1486,IF(LEFT(Cockpit!$C$5,1)="B",AK1486,MAX(AK1486,H1486))))</f>
        <v>2</v>
      </c>
      <c r="AG1486" s="50" t="n">
        <f aca="false">IF(BW1486=1,0,ROUNDUP(AF1486/BV1486,0))</f>
        <v>1</v>
      </c>
      <c r="AH1486" s="52" t="n">
        <f aca="false">IF(CL1486&gt;0,CL1486*MAX(1,AF1486/X1486),IF(BW1486=1,IF(AF1486&lt;=0,0,CA1486*MAX(1,IF(H1486&gt;0,AF1486/H1486,1))),IF(R1486&gt;0,AG1486/R1486,0))/MAX(0.1,N(Parameter!$M$21)))</f>
        <v>0.00714285714285714</v>
      </c>
      <c r="AI1486" s="50" t="n">
        <f aca="false">AH1486*BY1486</f>
        <v>1.10714285714286</v>
      </c>
      <c r="AJ1486" s="50" t="n">
        <f aca="false">AF1486*G1486</f>
        <v>156.2</v>
      </c>
      <c r="AK1486" s="50" t="n">
        <f aca="false">ROUNDUP(MAX(J1486/IF(CD1486&gt;0,CD1486,MAX(0.1,N(Cockpit!$C$6))),CG1486)/BV1486,0)*BV1486</f>
        <v>2</v>
      </c>
      <c r="AL1486" s="51" t="n">
        <f aca="false">IF(AI1486&gt;0,J1486/AI1486,-1)</f>
        <v>0</v>
      </c>
      <c r="AM1486" s="51" t="n">
        <f aca="false">IF(AND(OR(CC1486="L1",CC1486="L23",CC1486="LIFT"),AI1486&gt;0),SUMIFS($AI$7:$AI$1843,$CC$7:$CC$1843,CC1486,$AL$7:$AL$1843,"&gt;"&amp;AL1486)+SUMIFS($AI$7:$AI$1843,$CC$7:$CC$1843,CC1486,$AL$7:$AL$1843,AL1486,$BT$7:$BT$1843,"&lt;="&amp;BT1486),"")</f>
        <v>29757.3276939633</v>
      </c>
      <c r="AN1486" s="58" t="n">
        <f aca="false">IF(AM1486="",0,MAX(0,MIN(1,(IF(CC1486="L1",Parameter!$H$5,IF(CC1486="L23",Parameter!$H$6+Parameter!$H$7,Parameter!$H$5+Parameter!$H$6+Parameter!$H$7))-(AM1486-AI1486))/AI1486)))</f>
        <v>1</v>
      </c>
      <c r="AO1486" s="50" t="n">
        <f aca="false">IF(LEFT(Cockpit!$I$5,1)="A",H1486,IF(CE1486=1,CF1486,IF(LEFT(Cockpit!$I$5,1)="B",AT1486,MAX(AT1486,H1486))))</f>
        <v>2</v>
      </c>
      <c r="AP1486" s="50" t="n">
        <f aca="false">IF(BW1486=1,0,ROUNDUP(AO1486/BV1486,0))</f>
        <v>1</v>
      </c>
      <c r="AQ1486" s="52" t="n">
        <f aca="false">IF(CL1486&gt;0,CL1486*MAX(1,AO1486/X1486),IF(BW1486=1,IF(AO1486&lt;=0,0,CA1486*MAX(1,IF(H1486&gt;0,AO1486/H1486,1))),IF(R1486&gt;0,AP1486/R1486,0))/MAX(0.1,N(Parameter!$M$21)))</f>
        <v>0.00714285714285714</v>
      </c>
      <c r="AR1486" s="50" t="n">
        <f aca="false">AQ1486*BY1486</f>
        <v>1.10714285714286</v>
      </c>
      <c r="AS1486" s="50" t="n">
        <f aca="false">AO1486*G1486</f>
        <v>156.2</v>
      </c>
      <c r="AT1486" s="50" t="n">
        <f aca="false">ROUNDUP(MAX(J1486/IF(CD1486&gt;0,CD1486,MAX(0.1,N(Cockpit!$I$6))),CG1486)/BV1486,0)*BV1486</f>
        <v>2</v>
      </c>
      <c r="AU1486" s="51" t="n">
        <f aca="false">IF(AR1486&gt;0,J1486/AR1486,-1)</f>
        <v>0</v>
      </c>
      <c r="AV1486" s="51" t="n">
        <f aca="false">IF(AND(OR(CC1486="L1",CC1486="L23",CC1486="LIFT"),AR1486&gt;0),SUMIFS($AR$7:$AR$1843,$CC$7:$CC$1843,CC1486,$AU$7:$AU$1843,"&gt;"&amp;AU1486)+SUMIFS($AR$7:$AR$1843,$CC$7:$CC$1843,CC1486,$AU$7:$AU$1843,AU1486,$BT$7:$BT$1843,"&lt;="&amp;BT1486),"")</f>
        <v>42049.1622405373</v>
      </c>
      <c r="AW1486" s="58" t="n">
        <f aca="false">IF(AV1486="",0,MAX(0,MIN(1,(IF(CC1486="L1",Parameter!$H$5,IF(CC1486="L23",Parameter!$H$6+Parameter!$H$7,Parameter!$H$5+Parameter!$H$6+Parameter!$H$7))-(AV1486-AR1486))/AR1486)))</f>
        <v>0</v>
      </c>
      <c r="AX1486" s="50" t="n">
        <f aca="false">IF(LEFT(Cockpit!$O$5,1)="A",H1486,IF(CE1486=1,CF1486,IF(LEFT(Cockpit!$O$5,1)="B",BC1486,MAX(BC1486,H1486))))</f>
        <v>2</v>
      </c>
      <c r="AY1486" s="50" t="n">
        <f aca="false">IF(BW1486=1,0,ROUNDUP(AX1486/BV1486,0))</f>
        <v>1</v>
      </c>
      <c r="AZ1486" s="52" t="n">
        <f aca="false">IF(CL1486&gt;0,CL1486*MAX(1,AX1486/X1486),IF(BW1486=1,IF(AX1486&lt;=0,0,CA1486*MAX(1,IF(H1486&gt;0,AX1486/H1486,1))),IF(R1486&gt;0,AY1486/R1486,0))/MAX(0.1,N(Parameter!$M$21)))</f>
        <v>0.00714285714285714</v>
      </c>
      <c r="BA1486" s="50" t="n">
        <f aca="false">AZ1486*BY1486</f>
        <v>1.10714285714286</v>
      </c>
      <c r="BB1486" s="50" t="n">
        <f aca="false">AX1486*G1486</f>
        <v>156.2</v>
      </c>
      <c r="BC1486" s="50" t="n">
        <f aca="false">ROUNDUP(MAX(J1486/IF(CD1486&gt;0,CD1486,MAX(0.1,N(Cockpit!$O$6))),CG1486)/BV1486,0)*BV1486</f>
        <v>2</v>
      </c>
      <c r="BD1486" s="51" t="n">
        <f aca="false">IF(BA1486&gt;0,J1486/BA1486,-1)</f>
        <v>0</v>
      </c>
      <c r="BE1486" s="51" t="n">
        <f aca="false">IF(AND(OR(CC1486="L1",CC1486="L23",CC1486="LIFT"),BA1486&gt;0),SUMIFS($BA$7:$BA$1843,$CC$7:$CC$1843,CC1486,$BD$7:$BD$1843,"&gt;"&amp;BD1486)+SUMIFS($BA$7:$BA$1843,$CC$7:$CC$1843,CC1486,$BD$7:$BD$1843,BD1486,$BT$7:$BT$1843,"&lt;="&amp;BT1486),"")</f>
        <v>38724.1742824031</v>
      </c>
      <c r="BF1486" s="58" t="n">
        <f aca="false">IF(BE1486="",0,MAX(0,MIN(1,(IF(CC1486="L1",Parameter!$H$5,IF(CC1486="L23",Parameter!$H$6+Parameter!$H$7,Parameter!$H$5+Parameter!$H$6+Parameter!$H$7))-(BE1486-BA1486))/BA1486)))</f>
        <v>0</v>
      </c>
      <c r="BG1486" s="48" t="str">
        <f aca="false">IF(AI1486&lt;=0,"",IF(CC1486="Aussen","Aussenlager",IF(CC1486="-","Nicht im Lift",IF(AN1486&gt;=1,"Lift",IF(AN1486&lt;=0,"Aussenlager","teilweise")))))</f>
        <v>Lift</v>
      </c>
      <c r="BH1486" s="48" t="str">
        <f aca="false">IF(AR1486&lt;=0,"",IF(CC1486="Aussen","Aussenlager",IF(CC1486="-","Nicht im Lift",IF(AW1486&gt;=1,"Lift",IF(AW1486&lt;=0,"Aussenlager","teilweise")))))</f>
        <v>Aussenlager</v>
      </c>
      <c r="BI1486" s="48" t="str">
        <f aca="false">IF(BA1486&lt;=0,"",IF(CC1486="Aussen","Aussenlager",IF(CC1486="-","Nicht im Lift",IF(BF1486&gt;=1,"Lift",IF(BF1486&lt;=0,"Aussenlager","teilweise")))))</f>
        <v>Aussenlager</v>
      </c>
      <c r="BJ1486" s="48" t="str">
        <f aca="false">IF(A1486="","",IF(BS1486=1,"Neu; ","")&amp;IF(AND(BS1486=0,BN1486&lt;0),"negativer Bestand (Export "&amp;BN1486&amp;"); ","")&amp;IF(J1486&lt;=0,"Kein Verbrauch; ","")&amp;IF(CL1486&gt;0,"Lift "&amp;W1486&amp;" lt. Liftbericht (Fach "&amp;X1486&amp;" Stk); ",IF(BX1486=1,"Gebinde geschätzt ("&amp;T1486&amp;"); ",IF(BW1486=1,"Lose – Tablare geschätzt; ","")))&amp;IF(H1486&gt;AT1486,"Überbestand "&amp;ROUND(H1486-AT1486,0)&amp;" Stk / CHF "&amp;ROUND((H1486-AT1486)*G1486,0)&amp;"; ","")&amp;IF(AND(CE1486=1,CF1486&lt;CG1486),"MAX &lt; MB+LG; ","")&amp;IF(AND(CK1486&gt;0,CJ1486*10&gt;CK1486),"zu hoch für Tablar; ","")&amp;IF(AND(BS1486=0,OR(CE1486=1,AA1486&lt;&gt;"",U1486&lt;&gt;"",V1486&lt;&gt;"",AB1486&lt;&gt;"")),"manuell übersteuert; ","")&amp;IF(AND(BW1486=0,R1486=0),"Gebinde unbekannt / Stellmass fehlt; ","")&amp;IF(AND(BW1486=0,N(V1486)&lt;=0,N(Q1486)&lt;=0),"Menge pro Gebinde fehlt (Ist = 1 Gebinde); ","")&amp;BR1486)</f>
        <v>Kein Verbrauch; nur im Artikelstamm (Bestand 23.06.2026)</v>
      </c>
      <c r="BK1486" s="48"/>
      <c r="BL1486" s="48"/>
      <c r="BM1486" s="55"/>
      <c r="BN1486" s="50" t="n">
        <v>2</v>
      </c>
      <c r="BO1486" s="50" t="n">
        <v>0</v>
      </c>
      <c r="BP1486" s="49" t="n">
        <v>0</v>
      </c>
      <c r="BQ1486" s="50" t="n">
        <v>0</v>
      </c>
      <c r="BR1486" s="48" t="s">
        <v>2579</v>
      </c>
      <c r="BS1486" s="53" t="n">
        <v>0</v>
      </c>
      <c r="BT1486" s="53" t="n">
        <v>1486</v>
      </c>
      <c r="BU1486" s="48" t="str">
        <f aca="false">IF(U1486&lt;&gt;"",UPPER(TRIM(U1486)),IF(BX1486=1,UPPER(VLOOKUP(T1486,Parameter!$I$27:$K$29,2,0)),IF(P1486="","LOSE",P1486)))</f>
        <v>S22</v>
      </c>
      <c r="BV1486" s="50" t="n">
        <f aca="false">IF(BU1486="LOSE",1,IF(N(V1486)&gt;0,V1486,IF(BX1486=1,MAX(1,N(VLOOKUP(T1486,Parameter!$I$27:$K$29,3,0)),H1486,N(N1486)),IF(N(Q1486)&gt;0,Q1486,MAX(1,H1486)))))</f>
        <v>2</v>
      </c>
      <c r="BW1486" s="53" t="n">
        <f aca="false">IF(BU1486="LOSE",1,0)</f>
        <v>0</v>
      </c>
      <c r="BX1486" s="53" t="n">
        <f aca="false">IF(AND(U1486="",OR(P1486="",P1486="LOSE"),T1486&lt;&gt;"",N(S1486)&lt;=0,ISNUMBER(MATCH(T1486,Parameter!$I$27:$I$29,0))),1,0)</f>
        <v>0</v>
      </c>
      <c r="BY1486" s="53" t="n">
        <f aca="false">IF(CL1486&gt;0,INDEX(Parameter!$H$5:$H$7,W1486)/INDEX(Parameter!$E$5:$E$7,W1486),IF(AND(BW1486=0,N(IFERROR(VLOOKUP(BU1486,'Gebinde-Kategorie'!$A$5:$N$45,14,0),0))&gt;0),VLOOKUP(BU1486,'Gebinde-Kategorie'!$A$5:$N$45,14,0)*10+Parameter!$M$23,Parameter!$M$24))</f>
        <v>155</v>
      </c>
      <c r="BZ1486" s="48" t="str">
        <f aca="false">IF(AND(Parameter!$B$19="Ja",E1486&lt;&gt;"",ISNUMBER(MATCH(E1486,Parameter!$I$35:$I$52,0))),VLOOKUP(E1486,Parameter!$I$35:$J$52,2,0),IFERROR(VLOOKUP(D1486,Parameter!$A$35:$C$64,2,0),"Nein"))</f>
        <v>2+3</v>
      </c>
      <c r="CA1486" s="52" t="n">
        <f aca="false">IF(BW1486=0,0,IF(N(S1486)&gt;0,S1486,IFERROR(VLOOKUP(D1486,Parameter!$A$35:$C$64,3,0)+0,0)))</f>
        <v>0</v>
      </c>
      <c r="CB1486" s="48" t="n">
        <f aca="false">IF(AA1486&lt;&gt;"",AA1486,Z1486)</f>
        <v>3</v>
      </c>
      <c r="CC1486" s="48" t="str">
        <f aca="false">IF(OR(CB1486=1,CB1486=2,CB1486=3),IF(Parameter!$E$27="Ja","LIFT",IF(CB1486=1,"L1","L23")),IF(CB1486="Aussen","Aussen","-"))</f>
        <v>LIFT</v>
      </c>
      <c r="CD1486" s="59" t="n">
        <f aca="false">IF(N(AB1486)&gt;0,AB1486,0)</f>
        <v>0</v>
      </c>
      <c r="CE1486" s="53" t="n">
        <f aca="false">IF(ISNUMBER(AE1486),1,0)</f>
        <v>0</v>
      </c>
      <c r="CF1486" s="50" t="n">
        <f aca="false">N(AE1486)</f>
        <v>0</v>
      </c>
      <c r="CG1486" s="50" t="n">
        <f aca="false">N(M1486)+N(N1486)</f>
        <v>1</v>
      </c>
      <c r="CH1486" s="50" t="n">
        <f aca="false">ROUNDUP(H1486/BV1486,0)</f>
        <v>1</v>
      </c>
      <c r="CI1486" s="50" t="n">
        <f aca="false">ROUNDUP(CF1486/BV1486,0)</f>
        <v>0</v>
      </c>
      <c r="CJ1486" s="53" t="n">
        <f aca="false">IF(BW1486=1,0,IFERROR(VLOOKUP(BU1486,'Gebinde-Kategorie'!$A$5:$N$45,5,0)+0,0))</f>
        <v>8</v>
      </c>
      <c r="CK1486" s="53" t="n">
        <f aca="false">IFERROR(IF(OR(CB1486=1,CB1486=2,CB1486=3),N(INDEX(Parameter!$I$5:$I$7,CB1486)),0),0)</f>
        <v>0</v>
      </c>
      <c r="CL1486" s="52" t="n">
        <f aca="false">IF(AND(Parameter!$B$21="Ja",ISNUMBER(W1486),N(X1486)&gt;0),IFERROR(N(INDEX(Parameter!$L$5:$L$7,W1486))*INDEX(Parameter!$E$5:$E$7,W1486)*X1486/SUMIFS($X$7:$X$1843,$W$7:$W$1843,W1486),0),0)</f>
        <v>0</v>
      </c>
    </row>
    <row r="1487" customFormat="false" ht="15" hidden="false" customHeight="false" outlineLevel="0" collapsed="false">
      <c r="A1487" s="48" t="s">
        <v>2604</v>
      </c>
      <c r="B1487" s="48" t="s">
        <v>1737</v>
      </c>
      <c r="C1487" s="48" t="s">
        <v>168</v>
      </c>
      <c r="D1487" s="48" t="s">
        <v>188</v>
      </c>
      <c r="E1487" s="48" t="s">
        <v>189</v>
      </c>
      <c r="F1487" s="48"/>
      <c r="G1487" s="49" t="n">
        <v>16.36</v>
      </c>
      <c r="H1487" s="50" t="n">
        <f aca="false">MAX(0,IF(AND(Parameter!$B$21="Ja",ISNUMBER(Y1487)),Y1487,IF(Parameter!$B$20="Jahresanfang 2025 + Export",BO1487+BN1487,BN1487)))</f>
        <v>7</v>
      </c>
      <c r="I1487" s="50" t="n">
        <f aca="false">H1487*G1487</f>
        <v>114.52</v>
      </c>
      <c r="J1487" s="50" t="n">
        <f aca="false">BQ1487*Parameter!$B$18</f>
        <v>0</v>
      </c>
      <c r="K1487" s="51"/>
      <c r="L1487" s="52"/>
      <c r="M1487" s="50" t="n">
        <v>0</v>
      </c>
      <c r="N1487" s="50" t="n">
        <v>5</v>
      </c>
      <c r="O1487" s="53" t="n">
        <v>28</v>
      </c>
      <c r="P1487" s="48" t="s">
        <v>425</v>
      </c>
      <c r="Q1487" s="50" t="n">
        <v>7</v>
      </c>
      <c r="R1487" s="53" t="n">
        <f aca="false">IF(BW1487=1,0,IFERROR(VLOOKUP(BU1487,'Gebinde-Kategorie'!$A$5:$N$45,13,0)+0,0))</f>
        <v>104</v>
      </c>
      <c r="S1487" s="54"/>
      <c r="T1487" s="55"/>
      <c r="U1487" s="55"/>
      <c r="V1487" s="55"/>
      <c r="W1487" s="48"/>
      <c r="X1487" s="50"/>
      <c r="Y1487" s="50"/>
      <c r="Z1487" s="48" t="n">
        <f aca="false">IF(A1487="","",IF(AND(Parameter!$B$21="Ja",ISNUMBER(W1487)),W1487,IF(BZ1487="2+3",IF(ISNUMBER(SEARCH("grosser Artikel",BR1487)),2,IFERROR(VLOOKUP(BU1487,Parameter!$F$35:$G$64,2,0),2)),IF(OR(BZ1487="Nein",BZ1487=""),"-",BZ1487))))</f>
        <v>3</v>
      </c>
      <c r="AA1487" s="55"/>
      <c r="AB1487" s="56"/>
      <c r="AC1487" s="50" t="n">
        <f aca="false">AT1487</f>
        <v>7</v>
      </c>
      <c r="AD1487" s="50" t="n">
        <f aca="false">MAX(AT1487,H1487)</f>
        <v>7</v>
      </c>
      <c r="AE1487" s="57"/>
      <c r="AF1487" s="50" t="n">
        <f aca="false">IF(LEFT(Cockpit!$C$5,1)="A",H1487,IF(CE1487=1,CF1487,IF(LEFT(Cockpit!$C$5,1)="B",AK1487,MAX(AK1487,H1487))))</f>
        <v>7</v>
      </c>
      <c r="AG1487" s="50" t="n">
        <f aca="false">IF(BW1487=1,0,ROUNDUP(AF1487/BV1487,0))</f>
        <v>1</v>
      </c>
      <c r="AH1487" s="52" t="n">
        <f aca="false">IF(CL1487&gt;0,CL1487*MAX(1,AF1487/X1487),IF(BW1487=1,IF(AF1487&lt;=0,0,CA1487*MAX(1,IF(H1487&gt;0,AF1487/H1487,1))),IF(R1487&gt;0,AG1487/R1487,0))/MAX(0.1,N(Parameter!$M$21)))</f>
        <v>0.00961538461538462</v>
      </c>
      <c r="AI1487" s="50" t="n">
        <f aca="false">AH1487*BY1487</f>
        <v>1.49038461538462</v>
      </c>
      <c r="AJ1487" s="50" t="n">
        <f aca="false">AF1487*G1487</f>
        <v>114.52</v>
      </c>
      <c r="AK1487" s="50" t="n">
        <f aca="false">ROUNDUP(MAX(J1487/IF(CD1487&gt;0,CD1487,MAX(0.1,N(Cockpit!$C$6))),CG1487)/BV1487,0)*BV1487</f>
        <v>7</v>
      </c>
      <c r="AL1487" s="51" t="n">
        <f aca="false">IF(AI1487&gt;0,J1487/AI1487,-1)</f>
        <v>0</v>
      </c>
      <c r="AM1487" s="51" t="n">
        <f aca="false">IF(AND(OR(CC1487="L1",CC1487="L23",CC1487="LIFT"),AI1487&gt;0),SUMIFS($AI$7:$AI$1843,$CC$7:$CC$1843,CC1487,$AL$7:$AL$1843,"&gt;"&amp;AL1487)+SUMIFS($AI$7:$AI$1843,$CC$7:$CC$1843,CC1487,$AL$7:$AL$1843,AL1487,$BT$7:$BT$1843,"&lt;="&amp;BT1487),"")</f>
        <v>29758.8180785787</v>
      </c>
      <c r="AN1487" s="58" t="n">
        <f aca="false">IF(AM1487="",0,MAX(0,MIN(1,(IF(CC1487="L1",Parameter!$H$5,IF(CC1487="L23",Parameter!$H$6+Parameter!$H$7,Parameter!$H$5+Parameter!$H$6+Parameter!$H$7))-(AM1487-AI1487))/AI1487)))</f>
        <v>1</v>
      </c>
      <c r="AO1487" s="50" t="n">
        <f aca="false">IF(LEFT(Cockpit!$I$5,1)="A",H1487,IF(CE1487=1,CF1487,IF(LEFT(Cockpit!$I$5,1)="B",AT1487,MAX(AT1487,H1487))))</f>
        <v>7</v>
      </c>
      <c r="AP1487" s="50" t="n">
        <f aca="false">IF(BW1487=1,0,ROUNDUP(AO1487/BV1487,0))</f>
        <v>1</v>
      </c>
      <c r="AQ1487" s="52" t="n">
        <f aca="false">IF(CL1487&gt;0,CL1487*MAX(1,AO1487/X1487),IF(BW1487=1,IF(AO1487&lt;=0,0,CA1487*MAX(1,IF(H1487&gt;0,AO1487/H1487,1))),IF(R1487&gt;0,AP1487/R1487,0))/MAX(0.1,N(Parameter!$M$21)))</f>
        <v>0.00961538461538462</v>
      </c>
      <c r="AR1487" s="50" t="n">
        <f aca="false">AQ1487*BY1487</f>
        <v>1.49038461538462</v>
      </c>
      <c r="AS1487" s="50" t="n">
        <f aca="false">AO1487*G1487</f>
        <v>114.52</v>
      </c>
      <c r="AT1487" s="50" t="n">
        <f aca="false">ROUNDUP(MAX(J1487/IF(CD1487&gt;0,CD1487,MAX(0.1,N(Cockpit!$I$6))),CG1487)/BV1487,0)*BV1487</f>
        <v>7</v>
      </c>
      <c r="AU1487" s="51" t="n">
        <f aca="false">IF(AR1487&gt;0,J1487/AR1487,-1)</f>
        <v>0</v>
      </c>
      <c r="AV1487" s="51" t="n">
        <f aca="false">IF(AND(OR(CC1487="L1",CC1487="L23",CC1487="LIFT"),AR1487&gt;0),SUMIFS($AR$7:$AR$1843,$CC$7:$CC$1843,CC1487,$AU$7:$AU$1843,"&gt;"&amp;AU1487)+SUMIFS($AR$7:$AR$1843,$CC$7:$CC$1843,CC1487,$AU$7:$AU$1843,AU1487,$BT$7:$BT$1843,"&lt;="&amp;BT1487),"")</f>
        <v>42050.6526251526</v>
      </c>
      <c r="AW1487" s="58" t="n">
        <f aca="false">IF(AV1487="",0,MAX(0,MIN(1,(IF(CC1487="L1",Parameter!$H$5,IF(CC1487="L23",Parameter!$H$6+Parameter!$H$7,Parameter!$H$5+Parameter!$H$6+Parameter!$H$7))-(AV1487-AR1487))/AR1487)))</f>
        <v>0</v>
      </c>
      <c r="AX1487" s="50" t="n">
        <f aca="false">IF(LEFT(Cockpit!$O$5,1)="A",H1487,IF(CE1487=1,CF1487,IF(LEFT(Cockpit!$O$5,1)="B",BC1487,MAX(BC1487,H1487))))</f>
        <v>7</v>
      </c>
      <c r="AY1487" s="50" t="n">
        <f aca="false">IF(BW1487=1,0,ROUNDUP(AX1487/BV1487,0))</f>
        <v>1</v>
      </c>
      <c r="AZ1487" s="52" t="n">
        <f aca="false">IF(CL1487&gt;0,CL1487*MAX(1,AX1487/X1487),IF(BW1487=1,IF(AX1487&lt;=0,0,CA1487*MAX(1,IF(H1487&gt;0,AX1487/H1487,1))),IF(R1487&gt;0,AY1487/R1487,0))/MAX(0.1,N(Parameter!$M$21)))</f>
        <v>0.00961538461538462</v>
      </c>
      <c r="BA1487" s="50" t="n">
        <f aca="false">AZ1487*BY1487</f>
        <v>1.49038461538462</v>
      </c>
      <c r="BB1487" s="50" t="n">
        <f aca="false">AX1487*G1487</f>
        <v>114.52</v>
      </c>
      <c r="BC1487" s="50" t="n">
        <f aca="false">ROUNDUP(MAX(J1487/IF(CD1487&gt;0,CD1487,MAX(0.1,N(Cockpit!$O$6))),CG1487)/BV1487,0)*BV1487</f>
        <v>7</v>
      </c>
      <c r="BD1487" s="51" t="n">
        <f aca="false">IF(BA1487&gt;0,J1487/BA1487,-1)</f>
        <v>0</v>
      </c>
      <c r="BE1487" s="51" t="n">
        <f aca="false">IF(AND(OR(CC1487="L1",CC1487="L23",CC1487="LIFT"),BA1487&gt;0),SUMIFS($BA$7:$BA$1843,$CC$7:$CC$1843,CC1487,$BD$7:$BD$1843,"&gt;"&amp;BD1487)+SUMIFS($BA$7:$BA$1843,$CC$7:$CC$1843,CC1487,$BD$7:$BD$1843,BD1487,$BT$7:$BT$1843,"&lt;="&amp;BT1487),"")</f>
        <v>38725.6646670185</v>
      </c>
      <c r="BF1487" s="58" t="n">
        <f aca="false">IF(BE1487="",0,MAX(0,MIN(1,(IF(CC1487="L1",Parameter!$H$5,IF(CC1487="L23",Parameter!$H$6+Parameter!$H$7,Parameter!$H$5+Parameter!$H$6+Parameter!$H$7))-(BE1487-BA1487))/BA1487)))</f>
        <v>0</v>
      </c>
      <c r="BG1487" s="48" t="str">
        <f aca="false">IF(AI1487&lt;=0,"",IF(CC1487="Aussen","Aussenlager",IF(CC1487="-","Nicht im Lift",IF(AN1487&gt;=1,"Lift",IF(AN1487&lt;=0,"Aussenlager","teilweise")))))</f>
        <v>Lift</v>
      </c>
      <c r="BH1487" s="48" t="str">
        <f aca="false">IF(AR1487&lt;=0,"",IF(CC1487="Aussen","Aussenlager",IF(CC1487="-","Nicht im Lift",IF(AW1487&gt;=1,"Lift",IF(AW1487&lt;=0,"Aussenlager","teilweise")))))</f>
        <v>Aussenlager</v>
      </c>
      <c r="BI1487" s="48" t="str">
        <f aca="false">IF(BA1487&lt;=0,"",IF(CC1487="Aussen","Aussenlager",IF(CC1487="-","Nicht im Lift",IF(BF1487&gt;=1,"Lift",IF(BF1487&lt;=0,"Aussenlager","teilweise")))))</f>
        <v>Aussenlager</v>
      </c>
      <c r="BJ1487" s="48" t="str">
        <f aca="false">IF(A1487="","",IF(BS1487=1,"Neu; ","")&amp;IF(AND(BS1487=0,BN1487&lt;0),"negativer Bestand (Export "&amp;BN1487&amp;"); ","")&amp;IF(J1487&lt;=0,"Kein Verbrauch; ","")&amp;IF(CL1487&gt;0,"Lift "&amp;W1487&amp;" lt. Liftbericht (Fach "&amp;X1487&amp;" Stk); ",IF(BX1487=1,"Gebinde geschätzt ("&amp;T1487&amp;"); ",IF(BW1487=1,"Lose – Tablare geschätzt; ","")))&amp;IF(H1487&gt;AT1487,"Überbestand "&amp;ROUND(H1487-AT1487,0)&amp;" Stk / CHF "&amp;ROUND((H1487-AT1487)*G1487,0)&amp;"; ","")&amp;IF(AND(CE1487=1,CF1487&lt;CG1487),"MAX &lt; MB+LG; ","")&amp;IF(AND(CK1487&gt;0,CJ1487*10&gt;CK1487),"zu hoch für Tablar; ","")&amp;IF(AND(BS1487=0,OR(CE1487=1,AA1487&lt;&gt;"",U1487&lt;&gt;"",V1487&lt;&gt;"",AB1487&lt;&gt;"")),"manuell übersteuert; ","")&amp;IF(AND(BW1487=0,R1487=0),"Gebinde unbekannt / Stellmass fehlt; ","")&amp;IF(AND(BW1487=0,N(V1487)&lt;=0,N(Q1487)&lt;=0),"Menge pro Gebinde fehlt (Ist = 1 Gebinde); ","")&amp;BR1487)</f>
        <v>Kein Verbrauch; nur im Artikelstamm (Bestand 23.06.2026); Verb.Lager</v>
      </c>
      <c r="BK1487" s="48"/>
      <c r="BL1487" s="48"/>
      <c r="BM1487" s="55"/>
      <c r="BN1487" s="50" t="n">
        <v>7</v>
      </c>
      <c r="BO1487" s="50" t="n">
        <v>0</v>
      </c>
      <c r="BP1487" s="49" t="n">
        <v>0</v>
      </c>
      <c r="BQ1487" s="50" t="n">
        <v>0</v>
      </c>
      <c r="BR1487" s="48" t="s">
        <v>2573</v>
      </c>
      <c r="BS1487" s="53" t="n">
        <v>0</v>
      </c>
      <c r="BT1487" s="53" t="n">
        <v>1487</v>
      </c>
      <c r="BU1487" s="48" t="str">
        <f aca="false">IF(U1487&lt;&gt;"",UPPER(TRIM(U1487)),IF(BX1487=1,UPPER(VLOOKUP(T1487,Parameter!$I$27:$K$29,2,0)),IF(P1487="","LOSE",P1487)))</f>
        <v>S32</v>
      </c>
      <c r="BV1487" s="50" t="n">
        <f aca="false">IF(BU1487="LOSE",1,IF(N(V1487)&gt;0,V1487,IF(BX1487=1,MAX(1,N(VLOOKUP(T1487,Parameter!$I$27:$K$29,3,0)),H1487,N(N1487)),IF(N(Q1487)&gt;0,Q1487,MAX(1,H1487)))))</f>
        <v>7</v>
      </c>
      <c r="BW1487" s="53" t="n">
        <f aca="false">IF(BU1487="LOSE",1,0)</f>
        <v>0</v>
      </c>
      <c r="BX1487" s="53" t="n">
        <f aca="false">IF(AND(U1487="",OR(P1487="",P1487="LOSE"),T1487&lt;&gt;"",N(S1487)&lt;=0,ISNUMBER(MATCH(T1487,Parameter!$I$27:$I$29,0))),1,0)</f>
        <v>0</v>
      </c>
      <c r="BY1487" s="53" t="n">
        <f aca="false">IF(CL1487&gt;0,INDEX(Parameter!$H$5:$H$7,W1487)/INDEX(Parameter!$E$5:$E$7,W1487),IF(AND(BW1487=0,N(IFERROR(VLOOKUP(BU1487,'Gebinde-Kategorie'!$A$5:$N$45,14,0),0))&gt;0),VLOOKUP(BU1487,'Gebinde-Kategorie'!$A$5:$N$45,14,0)*10+Parameter!$M$23,Parameter!$M$24))</f>
        <v>155</v>
      </c>
      <c r="BZ1487" s="48" t="str">
        <f aca="false">IF(AND(Parameter!$B$19="Ja",E1487&lt;&gt;"",ISNUMBER(MATCH(E1487,Parameter!$I$35:$I$52,0))),VLOOKUP(E1487,Parameter!$I$35:$J$52,2,0),IFERROR(VLOOKUP(D1487,Parameter!$A$35:$C$64,2,0),"Nein"))</f>
        <v>2+3</v>
      </c>
      <c r="CA1487" s="52" t="n">
        <f aca="false">IF(BW1487=0,0,IF(N(S1487)&gt;0,S1487,IFERROR(VLOOKUP(D1487,Parameter!$A$35:$C$64,3,0)+0,0)))</f>
        <v>0</v>
      </c>
      <c r="CB1487" s="48" t="n">
        <f aca="false">IF(AA1487&lt;&gt;"",AA1487,Z1487)</f>
        <v>3</v>
      </c>
      <c r="CC1487" s="48" t="str">
        <f aca="false">IF(OR(CB1487=1,CB1487=2,CB1487=3),IF(Parameter!$E$27="Ja","LIFT",IF(CB1487=1,"L1","L23")),IF(CB1487="Aussen","Aussen","-"))</f>
        <v>LIFT</v>
      </c>
      <c r="CD1487" s="59" t="n">
        <f aca="false">IF(N(AB1487)&gt;0,AB1487,0)</f>
        <v>0</v>
      </c>
      <c r="CE1487" s="53" t="n">
        <f aca="false">IF(ISNUMBER(AE1487),1,0)</f>
        <v>0</v>
      </c>
      <c r="CF1487" s="50" t="n">
        <f aca="false">N(AE1487)</f>
        <v>0</v>
      </c>
      <c r="CG1487" s="50" t="n">
        <f aca="false">N(M1487)+N(N1487)</f>
        <v>5</v>
      </c>
      <c r="CH1487" s="50" t="n">
        <f aca="false">ROUNDUP(H1487/BV1487,0)</f>
        <v>1</v>
      </c>
      <c r="CI1487" s="50" t="n">
        <f aca="false">ROUNDUP(CF1487/BV1487,0)</f>
        <v>0</v>
      </c>
      <c r="CJ1487" s="53" t="n">
        <f aca="false">IF(BW1487=1,0,IFERROR(VLOOKUP(BU1487,'Gebinde-Kategorie'!$A$5:$N$45,5,0)+0,0))</f>
        <v>8</v>
      </c>
      <c r="CK1487" s="53" t="n">
        <f aca="false">IFERROR(IF(OR(CB1487=1,CB1487=2,CB1487=3),N(INDEX(Parameter!$I$5:$I$7,CB1487)),0),0)</f>
        <v>0</v>
      </c>
      <c r="CL1487" s="52" t="n">
        <f aca="false">IF(AND(Parameter!$B$21="Ja",ISNUMBER(W1487),N(X1487)&gt;0),IFERROR(N(INDEX(Parameter!$L$5:$L$7,W1487))*INDEX(Parameter!$E$5:$E$7,W1487)*X1487/SUMIFS($X$7:$X$1843,$W$7:$W$1843,W1487),0),0)</f>
        <v>0</v>
      </c>
    </row>
    <row r="1488" customFormat="false" ht="15" hidden="false" customHeight="false" outlineLevel="0" collapsed="false">
      <c r="A1488" s="48" t="s">
        <v>2605</v>
      </c>
      <c r="B1488" s="48" t="s">
        <v>409</v>
      </c>
      <c r="C1488" s="48" t="s">
        <v>168</v>
      </c>
      <c r="D1488" s="48" t="s">
        <v>188</v>
      </c>
      <c r="E1488" s="48" t="s">
        <v>189</v>
      </c>
      <c r="F1488" s="48"/>
      <c r="G1488" s="49" t="n">
        <v>2.8</v>
      </c>
      <c r="H1488" s="50" t="n">
        <f aca="false">MAX(0,IF(AND(Parameter!$B$21="Ja",ISNUMBER(Y1488)),Y1488,IF(Parameter!$B$20="Jahresanfang 2025 + Export",BO1488+BN1488,BN1488)))</f>
        <v>102</v>
      </c>
      <c r="I1488" s="50" t="n">
        <f aca="false">H1488*G1488</f>
        <v>285.6</v>
      </c>
      <c r="J1488" s="50" t="n">
        <f aca="false">BQ1488*Parameter!$B$18</f>
        <v>0</v>
      </c>
      <c r="K1488" s="51"/>
      <c r="L1488" s="52"/>
      <c r="M1488" s="50" t="n">
        <v>0</v>
      </c>
      <c r="N1488" s="50" t="n">
        <v>100</v>
      </c>
      <c r="O1488" s="53" t="n">
        <v>21</v>
      </c>
      <c r="P1488" s="48" t="s">
        <v>306</v>
      </c>
      <c r="Q1488" s="50" t="n">
        <v>102</v>
      </c>
      <c r="R1488" s="53" t="n">
        <f aca="false">IF(BW1488=1,0,IFERROR(VLOOKUP(BU1488,'Gebinde-Kategorie'!$A$5:$N$45,13,0)+0,0))</f>
        <v>26</v>
      </c>
      <c r="S1488" s="54"/>
      <c r="T1488" s="55"/>
      <c r="U1488" s="55"/>
      <c r="V1488" s="55"/>
      <c r="W1488" s="48"/>
      <c r="X1488" s="50"/>
      <c r="Y1488" s="50"/>
      <c r="Z1488" s="48" t="n">
        <f aca="false">IF(A1488="","",IF(AND(Parameter!$B$21="Ja",ISNUMBER(W1488)),W1488,IF(BZ1488="2+3",IF(ISNUMBER(SEARCH("grosser Artikel",BR1488)),2,IFERROR(VLOOKUP(BU1488,Parameter!$F$35:$G$64,2,0),2)),IF(OR(BZ1488="Nein",BZ1488=""),"-",BZ1488))))</f>
        <v>3</v>
      </c>
      <c r="AA1488" s="55"/>
      <c r="AB1488" s="56"/>
      <c r="AC1488" s="50" t="n">
        <f aca="false">AT1488</f>
        <v>102</v>
      </c>
      <c r="AD1488" s="50" t="n">
        <f aca="false">MAX(AT1488,H1488)</f>
        <v>102</v>
      </c>
      <c r="AE1488" s="57"/>
      <c r="AF1488" s="50" t="n">
        <f aca="false">IF(LEFT(Cockpit!$C$5,1)="A",H1488,IF(CE1488=1,CF1488,IF(LEFT(Cockpit!$C$5,1)="B",AK1488,MAX(AK1488,H1488))))</f>
        <v>102</v>
      </c>
      <c r="AG1488" s="50" t="n">
        <f aca="false">IF(BW1488=1,0,ROUNDUP(AF1488/BV1488,0))</f>
        <v>1</v>
      </c>
      <c r="AH1488" s="52" t="n">
        <f aca="false">IF(CL1488&gt;0,CL1488*MAX(1,AF1488/X1488),IF(BW1488=1,IF(AF1488&lt;=0,0,CA1488*MAX(1,IF(H1488&gt;0,AF1488/H1488,1))),IF(R1488&gt;0,AG1488/R1488,0))/MAX(0.1,N(Parameter!$M$21)))</f>
        <v>0.0384615384615385</v>
      </c>
      <c r="AI1488" s="50" t="n">
        <f aca="false">AH1488*BY1488</f>
        <v>5.96153846153846</v>
      </c>
      <c r="AJ1488" s="50" t="n">
        <f aca="false">AF1488*G1488</f>
        <v>285.6</v>
      </c>
      <c r="AK1488" s="50" t="n">
        <f aca="false">ROUNDUP(MAX(J1488/IF(CD1488&gt;0,CD1488,MAX(0.1,N(Cockpit!$C$6))),CG1488)/BV1488,0)*BV1488</f>
        <v>102</v>
      </c>
      <c r="AL1488" s="51" t="n">
        <f aca="false">IF(AI1488&gt;0,J1488/AI1488,-1)</f>
        <v>0</v>
      </c>
      <c r="AM1488" s="51" t="n">
        <f aca="false">IF(AND(OR(CC1488="L1",CC1488="L23",CC1488="LIFT"),AI1488&gt;0),SUMIFS($AI$7:$AI$1843,$CC$7:$CC$1843,CC1488,$AL$7:$AL$1843,"&gt;"&amp;AL1488)+SUMIFS($AI$7:$AI$1843,$CC$7:$CC$1843,CC1488,$AL$7:$AL$1843,AL1488,$BT$7:$BT$1843,"&lt;="&amp;BT1488),"")</f>
        <v>29764.7796170402</v>
      </c>
      <c r="AN1488" s="58" t="n">
        <f aca="false">IF(AM1488="",0,MAX(0,MIN(1,(IF(CC1488="L1",Parameter!$H$5,IF(CC1488="L23",Parameter!$H$6+Parameter!$H$7,Parameter!$H$5+Parameter!$H$6+Parameter!$H$7))-(AM1488-AI1488))/AI1488)))</f>
        <v>1</v>
      </c>
      <c r="AO1488" s="50" t="n">
        <f aca="false">IF(LEFT(Cockpit!$I$5,1)="A",H1488,IF(CE1488=1,CF1488,IF(LEFT(Cockpit!$I$5,1)="B",AT1488,MAX(AT1488,H1488))))</f>
        <v>102</v>
      </c>
      <c r="AP1488" s="50" t="n">
        <f aca="false">IF(BW1488=1,0,ROUNDUP(AO1488/BV1488,0))</f>
        <v>1</v>
      </c>
      <c r="AQ1488" s="52" t="n">
        <f aca="false">IF(CL1488&gt;0,CL1488*MAX(1,AO1488/X1488),IF(BW1488=1,IF(AO1488&lt;=0,0,CA1488*MAX(1,IF(H1488&gt;0,AO1488/H1488,1))),IF(R1488&gt;0,AP1488/R1488,0))/MAX(0.1,N(Parameter!$M$21)))</f>
        <v>0.0384615384615385</v>
      </c>
      <c r="AR1488" s="50" t="n">
        <f aca="false">AQ1488*BY1488</f>
        <v>5.96153846153846</v>
      </c>
      <c r="AS1488" s="50" t="n">
        <f aca="false">AO1488*G1488</f>
        <v>285.6</v>
      </c>
      <c r="AT1488" s="50" t="n">
        <f aca="false">ROUNDUP(MAX(J1488/IF(CD1488&gt;0,CD1488,MAX(0.1,N(Cockpit!$I$6))),CG1488)/BV1488,0)*BV1488</f>
        <v>102</v>
      </c>
      <c r="AU1488" s="51" t="n">
        <f aca="false">IF(AR1488&gt;0,J1488/AR1488,-1)</f>
        <v>0</v>
      </c>
      <c r="AV1488" s="51" t="n">
        <f aca="false">IF(AND(OR(CC1488="L1",CC1488="L23",CC1488="LIFT"),AR1488&gt;0),SUMIFS($AR$7:$AR$1843,$CC$7:$CC$1843,CC1488,$AU$7:$AU$1843,"&gt;"&amp;AU1488)+SUMIFS($AR$7:$AR$1843,$CC$7:$CC$1843,CC1488,$AU$7:$AU$1843,AU1488,$BT$7:$BT$1843,"&lt;="&amp;BT1488),"")</f>
        <v>42056.6141636142</v>
      </c>
      <c r="AW1488" s="58" t="n">
        <f aca="false">IF(AV1488="",0,MAX(0,MIN(1,(IF(CC1488="L1",Parameter!$H$5,IF(CC1488="L23",Parameter!$H$6+Parameter!$H$7,Parameter!$H$5+Parameter!$H$6+Parameter!$H$7))-(AV1488-AR1488))/AR1488)))</f>
        <v>0</v>
      </c>
      <c r="AX1488" s="50" t="n">
        <f aca="false">IF(LEFT(Cockpit!$O$5,1)="A",H1488,IF(CE1488=1,CF1488,IF(LEFT(Cockpit!$O$5,1)="B",BC1488,MAX(BC1488,H1488))))</f>
        <v>102</v>
      </c>
      <c r="AY1488" s="50" t="n">
        <f aca="false">IF(BW1488=1,0,ROUNDUP(AX1488/BV1488,0))</f>
        <v>1</v>
      </c>
      <c r="AZ1488" s="52" t="n">
        <f aca="false">IF(CL1488&gt;0,CL1488*MAX(1,AX1488/X1488),IF(BW1488=1,IF(AX1488&lt;=0,0,CA1488*MAX(1,IF(H1488&gt;0,AX1488/H1488,1))),IF(R1488&gt;0,AY1488/R1488,0))/MAX(0.1,N(Parameter!$M$21)))</f>
        <v>0.0384615384615385</v>
      </c>
      <c r="BA1488" s="50" t="n">
        <f aca="false">AZ1488*BY1488</f>
        <v>5.96153846153846</v>
      </c>
      <c r="BB1488" s="50" t="n">
        <f aca="false">AX1488*G1488</f>
        <v>285.6</v>
      </c>
      <c r="BC1488" s="50" t="n">
        <f aca="false">ROUNDUP(MAX(J1488/IF(CD1488&gt;0,CD1488,MAX(0.1,N(Cockpit!$O$6))),CG1488)/BV1488,0)*BV1488</f>
        <v>102</v>
      </c>
      <c r="BD1488" s="51" t="n">
        <f aca="false">IF(BA1488&gt;0,J1488/BA1488,-1)</f>
        <v>0</v>
      </c>
      <c r="BE1488" s="51" t="n">
        <f aca="false">IF(AND(OR(CC1488="L1",CC1488="L23",CC1488="LIFT"),BA1488&gt;0),SUMIFS($BA$7:$BA$1843,$CC$7:$CC$1843,CC1488,$BD$7:$BD$1843,"&gt;"&amp;BD1488)+SUMIFS($BA$7:$BA$1843,$CC$7:$CC$1843,CC1488,$BD$7:$BD$1843,BD1488,$BT$7:$BT$1843,"&lt;="&amp;BT1488),"")</f>
        <v>38731.62620548</v>
      </c>
      <c r="BF1488" s="58" t="n">
        <f aca="false">IF(BE1488="",0,MAX(0,MIN(1,(IF(CC1488="L1",Parameter!$H$5,IF(CC1488="L23",Parameter!$H$6+Parameter!$H$7,Parameter!$H$5+Parameter!$H$6+Parameter!$H$7))-(BE1488-BA1488))/BA1488)))</f>
        <v>0</v>
      </c>
      <c r="BG1488" s="48" t="str">
        <f aca="false">IF(AI1488&lt;=0,"",IF(CC1488="Aussen","Aussenlager",IF(CC1488="-","Nicht im Lift",IF(AN1488&gt;=1,"Lift",IF(AN1488&lt;=0,"Aussenlager","teilweise")))))</f>
        <v>Lift</v>
      </c>
      <c r="BH1488" s="48" t="str">
        <f aca="false">IF(AR1488&lt;=0,"",IF(CC1488="Aussen","Aussenlager",IF(CC1488="-","Nicht im Lift",IF(AW1488&gt;=1,"Lift",IF(AW1488&lt;=0,"Aussenlager","teilweise")))))</f>
        <v>Aussenlager</v>
      </c>
      <c r="BI1488" s="48" t="str">
        <f aca="false">IF(BA1488&lt;=0,"",IF(CC1488="Aussen","Aussenlager",IF(CC1488="-","Nicht im Lift",IF(BF1488&gt;=1,"Lift",IF(BF1488&lt;=0,"Aussenlager","teilweise")))))</f>
        <v>Aussenlager</v>
      </c>
      <c r="BJ1488" s="48" t="str">
        <f aca="false">IF(A1488="","",IF(BS1488=1,"Neu; ","")&amp;IF(AND(BS1488=0,BN1488&lt;0),"negativer Bestand (Export "&amp;BN1488&amp;"); ","")&amp;IF(J1488&lt;=0,"Kein Verbrauch; ","")&amp;IF(CL1488&gt;0,"Lift "&amp;W1488&amp;" lt. Liftbericht (Fach "&amp;X1488&amp;" Stk); ",IF(BX1488=1,"Gebinde geschätzt ("&amp;T1488&amp;"); ",IF(BW1488=1,"Lose – Tablare geschätzt; ","")))&amp;IF(H1488&gt;AT1488,"Überbestand "&amp;ROUND(H1488-AT1488,0)&amp;" Stk / CHF "&amp;ROUND((H1488-AT1488)*G1488,0)&amp;"; ","")&amp;IF(AND(CE1488=1,CF1488&lt;CG1488),"MAX &lt; MB+LG; ","")&amp;IF(AND(CK1488&gt;0,CJ1488*10&gt;CK1488),"zu hoch für Tablar; ","")&amp;IF(AND(BS1488=0,OR(CE1488=1,AA1488&lt;&gt;"",U1488&lt;&gt;"",V1488&lt;&gt;"",AB1488&lt;&gt;"")),"manuell übersteuert; ","")&amp;IF(AND(BW1488=0,R1488=0),"Gebinde unbekannt / Stellmass fehlt; ","")&amp;IF(AND(BW1488=0,N(V1488)&lt;=0,N(Q1488)&lt;=0),"Menge pro Gebinde fehlt (Ist = 1 Gebinde); ","")&amp;BR1488)</f>
        <v>Kein Verbrauch; nur im Artikelstamm (Bestand 23.06.2026)</v>
      </c>
      <c r="BK1488" s="48"/>
      <c r="BL1488" s="48"/>
      <c r="BM1488" s="55"/>
      <c r="BN1488" s="50" t="n">
        <v>102</v>
      </c>
      <c r="BO1488" s="50" t="n">
        <v>0</v>
      </c>
      <c r="BP1488" s="49" t="n">
        <v>0</v>
      </c>
      <c r="BQ1488" s="50" t="n">
        <v>0</v>
      </c>
      <c r="BR1488" s="48" t="s">
        <v>2579</v>
      </c>
      <c r="BS1488" s="53" t="n">
        <v>0</v>
      </c>
      <c r="BT1488" s="53" t="n">
        <v>1488</v>
      </c>
      <c r="BU1488" s="48" t="str">
        <f aca="false">IF(U1488&lt;&gt;"",UPPER(TRIM(U1488)),IF(BX1488=1,UPPER(VLOOKUP(T1488,Parameter!$I$27:$K$29,2,0)),IF(P1488="","LOSE",P1488)))</f>
        <v>S51</v>
      </c>
      <c r="BV1488" s="50" t="n">
        <f aca="false">IF(BU1488="LOSE",1,IF(N(V1488)&gt;0,V1488,IF(BX1488=1,MAX(1,N(VLOOKUP(T1488,Parameter!$I$27:$K$29,3,0)),H1488,N(N1488)),IF(N(Q1488)&gt;0,Q1488,MAX(1,H1488)))))</f>
        <v>102</v>
      </c>
      <c r="BW1488" s="53" t="n">
        <f aca="false">IF(BU1488="LOSE",1,0)</f>
        <v>0</v>
      </c>
      <c r="BX1488" s="53" t="n">
        <f aca="false">IF(AND(U1488="",OR(P1488="",P1488="LOSE"),T1488&lt;&gt;"",N(S1488)&lt;=0,ISNUMBER(MATCH(T1488,Parameter!$I$27:$I$29,0))),1,0)</f>
        <v>0</v>
      </c>
      <c r="BY1488" s="53" t="n">
        <f aca="false">IF(CL1488&gt;0,INDEX(Parameter!$H$5:$H$7,W1488)/INDEX(Parameter!$E$5:$E$7,W1488),IF(AND(BW1488=0,N(IFERROR(VLOOKUP(BU1488,'Gebinde-Kategorie'!$A$5:$N$45,14,0),0))&gt;0),VLOOKUP(BU1488,'Gebinde-Kategorie'!$A$5:$N$45,14,0)*10+Parameter!$M$23,Parameter!$M$24))</f>
        <v>155</v>
      </c>
      <c r="BZ1488" s="48" t="str">
        <f aca="false">IF(AND(Parameter!$B$19="Ja",E1488&lt;&gt;"",ISNUMBER(MATCH(E1488,Parameter!$I$35:$I$52,0))),VLOOKUP(E1488,Parameter!$I$35:$J$52,2,0),IFERROR(VLOOKUP(D1488,Parameter!$A$35:$C$64,2,0),"Nein"))</f>
        <v>2+3</v>
      </c>
      <c r="CA1488" s="52" t="n">
        <f aca="false">IF(BW1488=0,0,IF(N(S1488)&gt;0,S1488,IFERROR(VLOOKUP(D1488,Parameter!$A$35:$C$64,3,0)+0,0)))</f>
        <v>0</v>
      </c>
      <c r="CB1488" s="48" t="n">
        <f aca="false">IF(AA1488&lt;&gt;"",AA1488,Z1488)</f>
        <v>3</v>
      </c>
      <c r="CC1488" s="48" t="str">
        <f aca="false">IF(OR(CB1488=1,CB1488=2,CB1488=3),IF(Parameter!$E$27="Ja","LIFT",IF(CB1488=1,"L1","L23")),IF(CB1488="Aussen","Aussen","-"))</f>
        <v>LIFT</v>
      </c>
      <c r="CD1488" s="59" t="n">
        <f aca="false">IF(N(AB1488)&gt;0,AB1488,0)</f>
        <v>0</v>
      </c>
      <c r="CE1488" s="53" t="n">
        <f aca="false">IF(ISNUMBER(AE1488),1,0)</f>
        <v>0</v>
      </c>
      <c r="CF1488" s="50" t="n">
        <f aca="false">N(AE1488)</f>
        <v>0</v>
      </c>
      <c r="CG1488" s="50" t="n">
        <f aca="false">N(M1488)+N(N1488)</f>
        <v>100</v>
      </c>
      <c r="CH1488" s="50" t="n">
        <f aca="false">ROUNDUP(H1488/BV1488,0)</f>
        <v>1</v>
      </c>
      <c r="CI1488" s="50" t="n">
        <f aca="false">ROUNDUP(CF1488/BV1488,0)</f>
        <v>0</v>
      </c>
      <c r="CJ1488" s="53" t="n">
        <f aca="false">IF(BW1488=1,0,IFERROR(VLOOKUP(BU1488,'Gebinde-Kategorie'!$A$5:$N$45,5,0)+0,0))</f>
        <v>11</v>
      </c>
      <c r="CK1488" s="53" t="n">
        <f aca="false">IFERROR(IF(OR(CB1488=1,CB1488=2,CB1488=3),N(INDEX(Parameter!$I$5:$I$7,CB1488)),0),0)</f>
        <v>0</v>
      </c>
      <c r="CL1488" s="52" t="n">
        <f aca="false">IF(AND(Parameter!$B$21="Ja",ISNUMBER(W1488),N(X1488)&gt;0),IFERROR(N(INDEX(Parameter!$L$5:$L$7,W1488))*INDEX(Parameter!$E$5:$E$7,W1488)*X1488/SUMIFS($X$7:$X$1843,$W$7:$W$1843,W1488),0),0)</f>
        <v>0</v>
      </c>
    </row>
    <row r="1489" customFormat="false" ht="15" hidden="false" customHeight="false" outlineLevel="0" collapsed="false">
      <c r="A1489" s="48" t="s">
        <v>2606</v>
      </c>
      <c r="B1489" s="48" t="s">
        <v>2607</v>
      </c>
      <c r="C1489" s="48" t="s">
        <v>168</v>
      </c>
      <c r="D1489" s="48" t="s">
        <v>188</v>
      </c>
      <c r="E1489" s="48" t="s">
        <v>189</v>
      </c>
      <c r="F1489" s="48"/>
      <c r="G1489" s="49" t="n">
        <v>84.57</v>
      </c>
      <c r="H1489" s="50" t="n">
        <f aca="false">MAX(0,IF(AND(Parameter!$B$21="Ja",ISNUMBER(Y1489)),Y1489,IF(Parameter!$B$20="Jahresanfang 2025 + Export",BO1489+BN1489,BN1489)))</f>
        <v>4</v>
      </c>
      <c r="I1489" s="50" t="n">
        <f aca="false">H1489*G1489</f>
        <v>338.28</v>
      </c>
      <c r="J1489" s="50" t="n">
        <f aca="false">BQ1489*Parameter!$B$18</f>
        <v>0</v>
      </c>
      <c r="K1489" s="51"/>
      <c r="L1489" s="52"/>
      <c r="M1489" s="50" t="n">
        <v>0</v>
      </c>
      <c r="N1489" s="50" t="n">
        <v>1</v>
      </c>
      <c r="O1489" s="53" t="n">
        <v>14</v>
      </c>
      <c r="P1489" s="48" t="s">
        <v>332</v>
      </c>
      <c r="Q1489" s="50" t="n">
        <v>4</v>
      </c>
      <c r="R1489" s="53" t="n">
        <f aca="false">IF(BW1489=1,0,IFERROR(VLOOKUP(BU1489,'Gebinde-Kategorie'!$A$5:$N$45,13,0)+0,0))</f>
        <v>52</v>
      </c>
      <c r="S1489" s="54"/>
      <c r="T1489" s="55"/>
      <c r="U1489" s="55"/>
      <c r="V1489" s="55"/>
      <c r="W1489" s="48"/>
      <c r="X1489" s="50"/>
      <c r="Y1489" s="50"/>
      <c r="Z1489" s="48" t="n">
        <f aca="false">IF(A1489="","",IF(AND(Parameter!$B$21="Ja",ISNUMBER(W1489)),W1489,IF(BZ1489="2+3",IF(ISNUMBER(SEARCH("grosser Artikel",BR1489)),2,IFERROR(VLOOKUP(BU1489,Parameter!$F$35:$G$64,2,0),2)),IF(OR(BZ1489="Nein",BZ1489=""),"-",BZ1489))))</f>
        <v>3</v>
      </c>
      <c r="AA1489" s="55"/>
      <c r="AB1489" s="56"/>
      <c r="AC1489" s="50" t="n">
        <f aca="false">AT1489</f>
        <v>4</v>
      </c>
      <c r="AD1489" s="50" t="n">
        <f aca="false">MAX(AT1489,H1489)</f>
        <v>4</v>
      </c>
      <c r="AE1489" s="57"/>
      <c r="AF1489" s="50" t="n">
        <f aca="false">IF(LEFT(Cockpit!$C$5,1)="A",H1489,IF(CE1489=1,CF1489,IF(LEFT(Cockpit!$C$5,1)="B",AK1489,MAX(AK1489,H1489))))</f>
        <v>4</v>
      </c>
      <c r="AG1489" s="50" t="n">
        <f aca="false">IF(BW1489=1,0,ROUNDUP(AF1489/BV1489,0))</f>
        <v>1</v>
      </c>
      <c r="AH1489" s="52" t="n">
        <f aca="false">IF(CL1489&gt;0,CL1489*MAX(1,AF1489/X1489),IF(BW1489=1,IF(AF1489&lt;=0,0,CA1489*MAX(1,IF(H1489&gt;0,AF1489/H1489,1))),IF(R1489&gt;0,AG1489/R1489,0))/MAX(0.1,N(Parameter!$M$21)))</f>
        <v>0.0192307692307692</v>
      </c>
      <c r="AI1489" s="50" t="n">
        <f aca="false">AH1489*BY1489</f>
        <v>2.98076923076923</v>
      </c>
      <c r="AJ1489" s="50" t="n">
        <f aca="false">AF1489*G1489</f>
        <v>338.28</v>
      </c>
      <c r="AK1489" s="50" t="n">
        <f aca="false">ROUNDUP(MAX(J1489/IF(CD1489&gt;0,CD1489,MAX(0.1,N(Cockpit!$C$6))),CG1489)/BV1489,0)*BV1489</f>
        <v>4</v>
      </c>
      <c r="AL1489" s="51" t="n">
        <f aca="false">IF(AI1489&gt;0,J1489/AI1489,-1)</f>
        <v>0</v>
      </c>
      <c r="AM1489" s="51" t="n">
        <f aca="false">IF(AND(OR(CC1489="L1",CC1489="L23",CC1489="LIFT"),AI1489&gt;0),SUMIFS($AI$7:$AI$1843,$CC$7:$CC$1843,CC1489,$AL$7:$AL$1843,"&gt;"&amp;AL1489)+SUMIFS($AI$7:$AI$1843,$CC$7:$CC$1843,CC1489,$AL$7:$AL$1843,AL1489,$BT$7:$BT$1843,"&lt;="&amp;BT1489),"")</f>
        <v>29767.760386271</v>
      </c>
      <c r="AN1489" s="58" t="n">
        <f aca="false">IF(AM1489="",0,MAX(0,MIN(1,(IF(CC1489="L1",Parameter!$H$5,IF(CC1489="L23",Parameter!$H$6+Parameter!$H$7,Parameter!$H$5+Parameter!$H$6+Parameter!$H$7))-(AM1489-AI1489))/AI1489)))</f>
        <v>1</v>
      </c>
      <c r="AO1489" s="50" t="n">
        <f aca="false">IF(LEFT(Cockpit!$I$5,1)="A",H1489,IF(CE1489=1,CF1489,IF(LEFT(Cockpit!$I$5,1)="B",AT1489,MAX(AT1489,H1489))))</f>
        <v>4</v>
      </c>
      <c r="AP1489" s="50" t="n">
        <f aca="false">IF(BW1489=1,0,ROUNDUP(AO1489/BV1489,0))</f>
        <v>1</v>
      </c>
      <c r="AQ1489" s="52" t="n">
        <f aca="false">IF(CL1489&gt;0,CL1489*MAX(1,AO1489/X1489),IF(BW1489=1,IF(AO1489&lt;=0,0,CA1489*MAX(1,IF(H1489&gt;0,AO1489/H1489,1))),IF(R1489&gt;0,AP1489/R1489,0))/MAX(0.1,N(Parameter!$M$21)))</f>
        <v>0.0192307692307692</v>
      </c>
      <c r="AR1489" s="50" t="n">
        <f aca="false">AQ1489*BY1489</f>
        <v>2.98076923076923</v>
      </c>
      <c r="AS1489" s="50" t="n">
        <f aca="false">AO1489*G1489</f>
        <v>338.28</v>
      </c>
      <c r="AT1489" s="50" t="n">
        <f aca="false">ROUNDUP(MAX(J1489/IF(CD1489&gt;0,CD1489,MAX(0.1,N(Cockpit!$I$6))),CG1489)/BV1489,0)*BV1489</f>
        <v>4</v>
      </c>
      <c r="AU1489" s="51" t="n">
        <f aca="false">IF(AR1489&gt;0,J1489/AR1489,-1)</f>
        <v>0</v>
      </c>
      <c r="AV1489" s="51" t="n">
        <f aca="false">IF(AND(OR(CC1489="L1",CC1489="L23",CC1489="LIFT"),AR1489&gt;0),SUMIFS($AR$7:$AR$1843,$CC$7:$CC$1843,CC1489,$AU$7:$AU$1843,"&gt;"&amp;AU1489)+SUMIFS($AR$7:$AR$1843,$CC$7:$CC$1843,CC1489,$AU$7:$AU$1843,AU1489,$BT$7:$BT$1843,"&lt;="&amp;BT1489),"")</f>
        <v>42059.5949328449</v>
      </c>
      <c r="AW1489" s="58" t="n">
        <f aca="false">IF(AV1489="",0,MAX(0,MIN(1,(IF(CC1489="L1",Parameter!$H$5,IF(CC1489="L23",Parameter!$H$6+Parameter!$H$7,Parameter!$H$5+Parameter!$H$6+Parameter!$H$7))-(AV1489-AR1489))/AR1489)))</f>
        <v>0</v>
      </c>
      <c r="AX1489" s="50" t="n">
        <f aca="false">IF(LEFT(Cockpit!$O$5,1)="A",H1489,IF(CE1489=1,CF1489,IF(LEFT(Cockpit!$O$5,1)="B",BC1489,MAX(BC1489,H1489))))</f>
        <v>4</v>
      </c>
      <c r="AY1489" s="50" t="n">
        <f aca="false">IF(BW1489=1,0,ROUNDUP(AX1489/BV1489,0))</f>
        <v>1</v>
      </c>
      <c r="AZ1489" s="52" t="n">
        <f aca="false">IF(CL1489&gt;0,CL1489*MAX(1,AX1489/X1489),IF(BW1489=1,IF(AX1489&lt;=0,0,CA1489*MAX(1,IF(H1489&gt;0,AX1489/H1489,1))),IF(R1489&gt;0,AY1489/R1489,0))/MAX(0.1,N(Parameter!$M$21)))</f>
        <v>0.0192307692307692</v>
      </c>
      <c r="BA1489" s="50" t="n">
        <f aca="false">AZ1489*BY1489</f>
        <v>2.98076923076923</v>
      </c>
      <c r="BB1489" s="50" t="n">
        <f aca="false">AX1489*G1489</f>
        <v>338.28</v>
      </c>
      <c r="BC1489" s="50" t="n">
        <f aca="false">ROUNDUP(MAX(J1489/IF(CD1489&gt;0,CD1489,MAX(0.1,N(Cockpit!$O$6))),CG1489)/BV1489,0)*BV1489</f>
        <v>4</v>
      </c>
      <c r="BD1489" s="51" t="n">
        <f aca="false">IF(BA1489&gt;0,J1489/BA1489,-1)</f>
        <v>0</v>
      </c>
      <c r="BE1489" s="51" t="n">
        <f aca="false">IF(AND(OR(CC1489="L1",CC1489="L23",CC1489="LIFT"),BA1489&gt;0),SUMIFS($BA$7:$BA$1843,$CC$7:$CC$1843,CC1489,$BD$7:$BD$1843,"&gt;"&amp;BD1489)+SUMIFS($BA$7:$BA$1843,$CC$7:$CC$1843,CC1489,$BD$7:$BD$1843,BD1489,$BT$7:$BT$1843,"&lt;="&amp;BT1489),"")</f>
        <v>38734.6069747108</v>
      </c>
      <c r="BF1489" s="58" t="n">
        <f aca="false">IF(BE1489="",0,MAX(0,MIN(1,(IF(CC1489="L1",Parameter!$H$5,IF(CC1489="L23",Parameter!$H$6+Parameter!$H$7,Parameter!$H$5+Parameter!$H$6+Parameter!$H$7))-(BE1489-BA1489))/BA1489)))</f>
        <v>0</v>
      </c>
      <c r="BG1489" s="48" t="str">
        <f aca="false">IF(AI1489&lt;=0,"",IF(CC1489="Aussen","Aussenlager",IF(CC1489="-","Nicht im Lift",IF(AN1489&gt;=1,"Lift",IF(AN1489&lt;=0,"Aussenlager","teilweise")))))</f>
        <v>Lift</v>
      </c>
      <c r="BH1489" s="48" t="str">
        <f aca="false">IF(AR1489&lt;=0,"",IF(CC1489="Aussen","Aussenlager",IF(CC1489="-","Nicht im Lift",IF(AW1489&gt;=1,"Lift",IF(AW1489&lt;=0,"Aussenlager","teilweise")))))</f>
        <v>Aussenlager</v>
      </c>
      <c r="BI1489" s="48" t="str">
        <f aca="false">IF(BA1489&lt;=0,"",IF(CC1489="Aussen","Aussenlager",IF(CC1489="-","Nicht im Lift",IF(BF1489&gt;=1,"Lift",IF(BF1489&lt;=0,"Aussenlager","teilweise")))))</f>
        <v>Aussenlager</v>
      </c>
      <c r="BJ1489" s="48" t="str">
        <f aca="false">IF(A1489="","",IF(BS1489=1,"Neu; ","")&amp;IF(AND(BS1489=0,BN1489&lt;0),"negativer Bestand (Export "&amp;BN1489&amp;"); ","")&amp;IF(J1489&lt;=0,"Kein Verbrauch; ","")&amp;IF(CL1489&gt;0,"Lift "&amp;W1489&amp;" lt. Liftbericht (Fach "&amp;X1489&amp;" Stk); ",IF(BX1489=1,"Gebinde geschätzt ("&amp;T1489&amp;"); ",IF(BW1489=1,"Lose – Tablare geschätzt; ","")))&amp;IF(H1489&gt;AT1489,"Überbestand "&amp;ROUND(H1489-AT1489,0)&amp;" Stk / CHF "&amp;ROUND((H1489-AT1489)*G1489,0)&amp;"; ","")&amp;IF(AND(CE1489=1,CF1489&lt;CG1489),"MAX &lt; MB+LG; ","")&amp;IF(AND(CK1489&gt;0,CJ1489*10&gt;CK1489),"zu hoch für Tablar; ","")&amp;IF(AND(BS1489=0,OR(CE1489=1,AA1489&lt;&gt;"",U1489&lt;&gt;"",V1489&lt;&gt;"",AB1489&lt;&gt;"")),"manuell übersteuert; ","")&amp;IF(AND(BW1489=0,R1489=0),"Gebinde unbekannt / Stellmass fehlt; ","")&amp;IF(AND(BW1489=0,N(V1489)&lt;=0,N(Q1489)&lt;=0),"Menge pro Gebinde fehlt (Ist = 1 Gebinde); ","")&amp;BR1489)</f>
        <v>Kein Verbrauch; nur im Artikelstamm (Bestand 23.06.2026)</v>
      </c>
      <c r="BK1489" s="48"/>
      <c r="BL1489" s="48"/>
      <c r="BM1489" s="55"/>
      <c r="BN1489" s="50" t="n">
        <v>4</v>
      </c>
      <c r="BO1489" s="50" t="n">
        <v>0</v>
      </c>
      <c r="BP1489" s="49" t="n">
        <v>0</v>
      </c>
      <c r="BQ1489" s="50" t="n">
        <v>0</v>
      </c>
      <c r="BR1489" s="48" t="s">
        <v>2579</v>
      </c>
      <c r="BS1489" s="53" t="n">
        <v>0</v>
      </c>
      <c r="BT1489" s="53" t="n">
        <v>1489</v>
      </c>
      <c r="BU1489" s="48" t="str">
        <f aca="false">IF(U1489&lt;&gt;"",UPPER(TRIM(U1489)),IF(BX1489=1,UPPER(VLOOKUP(T1489,Parameter!$I$27:$K$29,2,0)),IF(P1489="","LOSE",P1489)))</f>
        <v>S41</v>
      </c>
      <c r="BV1489" s="50" t="n">
        <f aca="false">IF(BU1489="LOSE",1,IF(N(V1489)&gt;0,V1489,IF(BX1489=1,MAX(1,N(VLOOKUP(T1489,Parameter!$I$27:$K$29,3,0)),H1489,N(N1489)),IF(N(Q1489)&gt;0,Q1489,MAX(1,H1489)))))</f>
        <v>4</v>
      </c>
      <c r="BW1489" s="53" t="n">
        <f aca="false">IF(BU1489="LOSE",1,0)</f>
        <v>0</v>
      </c>
      <c r="BX1489" s="53" t="n">
        <f aca="false">IF(AND(U1489="",OR(P1489="",P1489="LOSE"),T1489&lt;&gt;"",N(S1489)&lt;=0,ISNUMBER(MATCH(T1489,Parameter!$I$27:$I$29,0))),1,0)</f>
        <v>0</v>
      </c>
      <c r="BY1489" s="53" t="n">
        <f aca="false">IF(CL1489&gt;0,INDEX(Parameter!$H$5:$H$7,W1489)/INDEX(Parameter!$E$5:$E$7,W1489),IF(AND(BW1489=0,N(IFERROR(VLOOKUP(BU1489,'Gebinde-Kategorie'!$A$5:$N$45,14,0),0))&gt;0),VLOOKUP(BU1489,'Gebinde-Kategorie'!$A$5:$N$45,14,0)*10+Parameter!$M$23,Parameter!$M$24))</f>
        <v>155</v>
      </c>
      <c r="BZ1489" s="48" t="str">
        <f aca="false">IF(AND(Parameter!$B$19="Ja",E1489&lt;&gt;"",ISNUMBER(MATCH(E1489,Parameter!$I$35:$I$52,0))),VLOOKUP(E1489,Parameter!$I$35:$J$52,2,0),IFERROR(VLOOKUP(D1489,Parameter!$A$35:$C$64,2,0),"Nein"))</f>
        <v>2+3</v>
      </c>
      <c r="CA1489" s="52" t="n">
        <f aca="false">IF(BW1489=0,0,IF(N(S1489)&gt;0,S1489,IFERROR(VLOOKUP(D1489,Parameter!$A$35:$C$64,3,0)+0,0)))</f>
        <v>0</v>
      </c>
      <c r="CB1489" s="48" t="n">
        <f aca="false">IF(AA1489&lt;&gt;"",AA1489,Z1489)</f>
        <v>3</v>
      </c>
      <c r="CC1489" s="48" t="str">
        <f aca="false">IF(OR(CB1489=1,CB1489=2,CB1489=3),IF(Parameter!$E$27="Ja","LIFT",IF(CB1489=1,"L1","L23")),IF(CB1489="Aussen","Aussen","-"))</f>
        <v>LIFT</v>
      </c>
      <c r="CD1489" s="59" t="n">
        <f aca="false">IF(N(AB1489)&gt;0,AB1489,0)</f>
        <v>0</v>
      </c>
      <c r="CE1489" s="53" t="n">
        <f aca="false">IF(ISNUMBER(AE1489),1,0)</f>
        <v>0</v>
      </c>
      <c r="CF1489" s="50" t="n">
        <f aca="false">N(AE1489)</f>
        <v>0</v>
      </c>
      <c r="CG1489" s="50" t="n">
        <f aca="false">N(M1489)+N(N1489)</f>
        <v>1</v>
      </c>
      <c r="CH1489" s="50" t="n">
        <f aca="false">ROUNDUP(H1489/BV1489,0)</f>
        <v>1</v>
      </c>
      <c r="CI1489" s="50" t="n">
        <f aca="false">ROUNDUP(CF1489/BV1489,0)</f>
        <v>0</v>
      </c>
      <c r="CJ1489" s="53" t="n">
        <f aca="false">IF(BW1489=1,0,IFERROR(VLOOKUP(BU1489,'Gebinde-Kategorie'!$A$5:$N$45,5,0)+0,0))</f>
        <v>11</v>
      </c>
      <c r="CK1489" s="53" t="n">
        <f aca="false">IFERROR(IF(OR(CB1489=1,CB1489=2,CB1489=3),N(INDEX(Parameter!$I$5:$I$7,CB1489)),0),0)</f>
        <v>0</v>
      </c>
      <c r="CL1489" s="52" t="n">
        <f aca="false">IF(AND(Parameter!$B$21="Ja",ISNUMBER(W1489),N(X1489)&gt;0),IFERROR(N(INDEX(Parameter!$L$5:$L$7,W1489))*INDEX(Parameter!$E$5:$E$7,W1489)*X1489/SUMIFS($X$7:$X$1843,$W$7:$W$1843,W1489),0),0)</f>
        <v>0</v>
      </c>
    </row>
    <row r="1490" customFormat="false" ht="15" hidden="false" customHeight="false" outlineLevel="0" collapsed="false">
      <c r="A1490" s="48" t="s">
        <v>2608</v>
      </c>
      <c r="B1490" s="48" t="s">
        <v>2609</v>
      </c>
      <c r="C1490" s="48" t="s">
        <v>168</v>
      </c>
      <c r="D1490" s="48" t="s">
        <v>188</v>
      </c>
      <c r="E1490" s="48" t="s">
        <v>189</v>
      </c>
      <c r="F1490" s="48"/>
      <c r="G1490" s="49" t="n">
        <v>3.88</v>
      </c>
      <c r="H1490" s="50" t="n">
        <f aca="false">MAX(0,IF(AND(Parameter!$B$21="Ja",ISNUMBER(Y1490)),Y1490,IF(Parameter!$B$20="Jahresanfang 2025 + Export",BO1490+BN1490,BN1490)))</f>
        <v>34</v>
      </c>
      <c r="I1490" s="50" t="n">
        <f aca="false">H1490*G1490</f>
        <v>131.92</v>
      </c>
      <c r="J1490" s="50" t="n">
        <f aca="false">BQ1490*Parameter!$B$18</f>
        <v>0</v>
      </c>
      <c r="K1490" s="51"/>
      <c r="L1490" s="52"/>
      <c r="M1490" s="50" t="n">
        <v>0</v>
      </c>
      <c r="N1490" s="50" t="n">
        <v>10</v>
      </c>
      <c r="O1490" s="53" t="n">
        <v>28</v>
      </c>
      <c r="P1490" s="48" t="s">
        <v>480</v>
      </c>
      <c r="Q1490" s="50" t="n">
        <v>34</v>
      </c>
      <c r="R1490" s="53" t="n">
        <f aca="false">IF(BW1490=1,0,IFERROR(VLOOKUP(BU1490,'Gebinde-Kategorie'!$A$5:$N$45,13,0)+0,0))</f>
        <v>52</v>
      </c>
      <c r="S1490" s="54"/>
      <c r="T1490" s="55"/>
      <c r="U1490" s="55"/>
      <c r="V1490" s="55"/>
      <c r="W1490" s="48"/>
      <c r="X1490" s="50"/>
      <c r="Y1490" s="50"/>
      <c r="Z1490" s="48" t="n">
        <f aca="false">IF(A1490="","",IF(AND(Parameter!$B$21="Ja",ISNUMBER(W1490)),W1490,IF(BZ1490="2+3",IF(ISNUMBER(SEARCH("grosser Artikel",BR1490)),2,IFERROR(VLOOKUP(BU1490,Parameter!$F$35:$G$64,2,0),2)),IF(OR(BZ1490="Nein",BZ1490=""),"-",BZ1490))))</f>
        <v>3</v>
      </c>
      <c r="AA1490" s="55"/>
      <c r="AB1490" s="56"/>
      <c r="AC1490" s="50" t="n">
        <f aca="false">AT1490</f>
        <v>34</v>
      </c>
      <c r="AD1490" s="50" t="n">
        <f aca="false">MAX(AT1490,H1490)</f>
        <v>34</v>
      </c>
      <c r="AE1490" s="57"/>
      <c r="AF1490" s="50" t="n">
        <f aca="false">IF(LEFT(Cockpit!$C$5,1)="A",H1490,IF(CE1490=1,CF1490,IF(LEFT(Cockpit!$C$5,1)="B",AK1490,MAX(AK1490,H1490))))</f>
        <v>34</v>
      </c>
      <c r="AG1490" s="50" t="n">
        <f aca="false">IF(BW1490=1,0,ROUNDUP(AF1490/BV1490,0))</f>
        <v>1</v>
      </c>
      <c r="AH1490" s="52" t="n">
        <f aca="false">IF(CL1490&gt;0,CL1490*MAX(1,AF1490/X1490),IF(BW1490=1,IF(AF1490&lt;=0,0,CA1490*MAX(1,IF(H1490&gt;0,AF1490/H1490,1))),IF(R1490&gt;0,AG1490/R1490,0))/MAX(0.1,N(Parameter!$M$21)))</f>
        <v>0.0192307692307692</v>
      </c>
      <c r="AI1490" s="50" t="n">
        <f aca="false">AH1490*BY1490</f>
        <v>2.98076923076923</v>
      </c>
      <c r="AJ1490" s="50" t="n">
        <f aca="false">AF1490*G1490</f>
        <v>131.92</v>
      </c>
      <c r="AK1490" s="50" t="n">
        <f aca="false">ROUNDUP(MAX(J1490/IF(CD1490&gt;0,CD1490,MAX(0.1,N(Cockpit!$C$6))),CG1490)/BV1490,0)*BV1490</f>
        <v>34</v>
      </c>
      <c r="AL1490" s="51" t="n">
        <f aca="false">IF(AI1490&gt;0,J1490/AI1490,-1)</f>
        <v>0</v>
      </c>
      <c r="AM1490" s="51" t="n">
        <f aca="false">IF(AND(OR(CC1490="L1",CC1490="L23",CC1490="LIFT"),AI1490&gt;0),SUMIFS($AI$7:$AI$1843,$CC$7:$CC$1843,CC1490,$AL$7:$AL$1843,"&gt;"&amp;AL1490)+SUMIFS($AI$7:$AI$1843,$CC$7:$CC$1843,CC1490,$AL$7:$AL$1843,AL1490,$BT$7:$BT$1843,"&lt;="&amp;BT1490),"")</f>
        <v>29770.7411555017</v>
      </c>
      <c r="AN1490" s="58" t="n">
        <f aca="false">IF(AM1490="",0,MAX(0,MIN(1,(IF(CC1490="L1",Parameter!$H$5,IF(CC1490="L23",Parameter!$H$6+Parameter!$H$7,Parameter!$H$5+Parameter!$H$6+Parameter!$H$7))-(AM1490-AI1490))/AI1490)))</f>
        <v>1</v>
      </c>
      <c r="AO1490" s="50" t="n">
        <f aca="false">IF(LEFT(Cockpit!$I$5,1)="A",H1490,IF(CE1490=1,CF1490,IF(LEFT(Cockpit!$I$5,1)="B",AT1490,MAX(AT1490,H1490))))</f>
        <v>34</v>
      </c>
      <c r="AP1490" s="50" t="n">
        <f aca="false">IF(BW1490=1,0,ROUNDUP(AO1490/BV1490,0))</f>
        <v>1</v>
      </c>
      <c r="AQ1490" s="52" t="n">
        <f aca="false">IF(CL1490&gt;0,CL1490*MAX(1,AO1490/X1490),IF(BW1490=1,IF(AO1490&lt;=0,0,CA1490*MAX(1,IF(H1490&gt;0,AO1490/H1490,1))),IF(R1490&gt;0,AP1490/R1490,0))/MAX(0.1,N(Parameter!$M$21)))</f>
        <v>0.0192307692307692</v>
      </c>
      <c r="AR1490" s="50" t="n">
        <f aca="false">AQ1490*BY1490</f>
        <v>2.98076923076923</v>
      </c>
      <c r="AS1490" s="50" t="n">
        <f aca="false">AO1490*G1490</f>
        <v>131.92</v>
      </c>
      <c r="AT1490" s="50" t="n">
        <f aca="false">ROUNDUP(MAX(J1490/IF(CD1490&gt;0,CD1490,MAX(0.1,N(Cockpit!$I$6))),CG1490)/BV1490,0)*BV1490</f>
        <v>34</v>
      </c>
      <c r="AU1490" s="51" t="n">
        <f aca="false">IF(AR1490&gt;0,J1490/AR1490,-1)</f>
        <v>0</v>
      </c>
      <c r="AV1490" s="51" t="n">
        <f aca="false">IF(AND(OR(CC1490="L1",CC1490="L23",CC1490="LIFT"),AR1490&gt;0),SUMIFS($AR$7:$AR$1843,$CC$7:$CC$1843,CC1490,$AU$7:$AU$1843,"&gt;"&amp;AU1490)+SUMIFS($AR$7:$AR$1843,$CC$7:$CC$1843,CC1490,$AU$7:$AU$1843,AU1490,$BT$7:$BT$1843,"&lt;="&amp;BT1490),"")</f>
        <v>42062.5757020757</v>
      </c>
      <c r="AW1490" s="58" t="n">
        <f aca="false">IF(AV1490="",0,MAX(0,MIN(1,(IF(CC1490="L1",Parameter!$H$5,IF(CC1490="L23",Parameter!$H$6+Parameter!$H$7,Parameter!$H$5+Parameter!$H$6+Parameter!$H$7))-(AV1490-AR1490))/AR1490)))</f>
        <v>0</v>
      </c>
      <c r="AX1490" s="50" t="n">
        <f aca="false">IF(LEFT(Cockpit!$O$5,1)="A",H1490,IF(CE1490=1,CF1490,IF(LEFT(Cockpit!$O$5,1)="B",BC1490,MAX(BC1490,H1490))))</f>
        <v>34</v>
      </c>
      <c r="AY1490" s="50" t="n">
        <f aca="false">IF(BW1490=1,0,ROUNDUP(AX1490/BV1490,0))</f>
        <v>1</v>
      </c>
      <c r="AZ1490" s="52" t="n">
        <f aca="false">IF(CL1490&gt;0,CL1490*MAX(1,AX1490/X1490),IF(BW1490=1,IF(AX1490&lt;=0,0,CA1490*MAX(1,IF(H1490&gt;0,AX1490/H1490,1))),IF(R1490&gt;0,AY1490/R1490,0))/MAX(0.1,N(Parameter!$M$21)))</f>
        <v>0.0192307692307692</v>
      </c>
      <c r="BA1490" s="50" t="n">
        <f aca="false">AZ1490*BY1490</f>
        <v>2.98076923076923</v>
      </c>
      <c r="BB1490" s="50" t="n">
        <f aca="false">AX1490*G1490</f>
        <v>131.92</v>
      </c>
      <c r="BC1490" s="50" t="n">
        <f aca="false">ROUNDUP(MAX(J1490/IF(CD1490&gt;0,CD1490,MAX(0.1,N(Cockpit!$O$6))),CG1490)/BV1490,0)*BV1490</f>
        <v>34</v>
      </c>
      <c r="BD1490" s="51" t="n">
        <f aca="false">IF(BA1490&gt;0,J1490/BA1490,-1)</f>
        <v>0</v>
      </c>
      <c r="BE1490" s="51" t="n">
        <f aca="false">IF(AND(OR(CC1490="L1",CC1490="L23",CC1490="LIFT"),BA1490&gt;0),SUMIFS($BA$7:$BA$1843,$CC$7:$CC$1843,CC1490,$BD$7:$BD$1843,"&gt;"&amp;BD1490)+SUMIFS($BA$7:$BA$1843,$CC$7:$CC$1843,CC1490,$BD$7:$BD$1843,BD1490,$BT$7:$BT$1843,"&lt;="&amp;BT1490),"")</f>
        <v>38737.5877439416</v>
      </c>
      <c r="BF1490" s="58" t="n">
        <f aca="false">IF(BE1490="",0,MAX(0,MIN(1,(IF(CC1490="L1",Parameter!$H$5,IF(CC1490="L23",Parameter!$H$6+Parameter!$H$7,Parameter!$H$5+Parameter!$H$6+Parameter!$H$7))-(BE1490-BA1490))/BA1490)))</f>
        <v>0</v>
      </c>
      <c r="BG1490" s="48" t="str">
        <f aca="false">IF(AI1490&lt;=0,"",IF(CC1490="Aussen","Aussenlager",IF(CC1490="-","Nicht im Lift",IF(AN1490&gt;=1,"Lift",IF(AN1490&lt;=0,"Aussenlager","teilweise")))))</f>
        <v>Lift</v>
      </c>
      <c r="BH1490" s="48" t="str">
        <f aca="false">IF(AR1490&lt;=0,"",IF(CC1490="Aussen","Aussenlager",IF(CC1490="-","Nicht im Lift",IF(AW1490&gt;=1,"Lift",IF(AW1490&lt;=0,"Aussenlager","teilweise")))))</f>
        <v>Aussenlager</v>
      </c>
      <c r="BI1490" s="48" t="str">
        <f aca="false">IF(BA1490&lt;=0,"",IF(CC1490="Aussen","Aussenlager",IF(CC1490="-","Nicht im Lift",IF(BF1490&gt;=1,"Lift",IF(BF1490&lt;=0,"Aussenlager","teilweise")))))</f>
        <v>Aussenlager</v>
      </c>
      <c r="BJ1490" s="48" t="str">
        <f aca="false">IF(A1490="","",IF(BS1490=1,"Neu; ","")&amp;IF(AND(BS1490=0,BN1490&lt;0),"negativer Bestand (Export "&amp;BN1490&amp;"); ","")&amp;IF(J1490&lt;=0,"Kein Verbrauch; ","")&amp;IF(CL1490&gt;0,"Lift "&amp;W1490&amp;" lt. Liftbericht (Fach "&amp;X1490&amp;" Stk); ",IF(BX1490=1,"Gebinde geschätzt ("&amp;T1490&amp;"); ",IF(BW1490=1,"Lose – Tablare geschätzt; ","")))&amp;IF(H1490&gt;AT1490,"Überbestand "&amp;ROUND(H1490-AT1490,0)&amp;" Stk / CHF "&amp;ROUND((H1490-AT1490)*G1490,0)&amp;"; ","")&amp;IF(AND(CE1490=1,CF1490&lt;CG1490),"MAX &lt; MB+LG; ","")&amp;IF(AND(CK1490&gt;0,CJ1490*10&gt;CK1490),"zu hoch für Tablar; ","")&amp;IF(AND(BS1490=0,OR(CE1490=1,AA1490&lt;&gt;"",U1490&lt;&gt;"",V1490&lt;&gt;"",AB1490&lt;&gt;"")),"manuell übersteuert; ","")&amp;IF(AND(BW1490=0,R1490=0),"Gebinde unbekannt / Stellmass fehlt; ","")&amp;IF(AND(BW1490=0,N(V1490)&lt;=0,N(Q1490)&lt;=0),"Menge pro Gebinde fehlt (Ist = 1 Gebinde); ","")&amp;BR1490)</f>
        <v>Kein Verbrauch; nur im Artikelstamm (Bestand 23.06.2026)</v>
      </c>
      <c r="BK1490" s="48"/>
      <c r="BL1490" s="48"/>
      <c r="BM1490" s="55"/>
      <c r="BN1490" s="50" t="n">
        <v>34</v>
      </c>
      <c r="BO1490" s="50" t="n">
        <v>0</v>
      </c>
      <c r="BP1490" s="49" t="n">
        <v>0</v>
      </c>
      <c r="BQ1490" s="50" t="n">
        <v>0</v>
      </c>
      <c r="BR1490" s="48" t="s">
        <v>2579</v>
      </c>
      <c r="BS1490" s="53" t="n">
        <v>0</v>
      </c>
      <c r="BT1490" s="53" t="n">
        <v>1490</v>
      </c>
      <c r="BU1490" s="48" t="str">
        <f aca="false">IF(U1490&lt;&gt;"",UPPER(TRIM(U1490)),IF(BX1490=1,UPPER(VLOOKUP(T1490,Parameter!$I$27:$K$29,2,0)),IF(P1490="","LOSE",P1490)))</f>
        <v>S33</v>
      </c>
      <c r="BV1490" s="50" t="n">
        <f aca="false">IF(BU1490="LOSE",1,IF(N(V1490)&gt;0,V1490,IF(BX1490=1,MAX(1,N(VLOOKUP(T1490,Parameter!$I$27:$K$29,3,0)),H1490,N(N1490)),IF(N(Q1490)&gt;0,Q1490,MAX(1,H1490)))))</f>
        <v>34</v>
      </c>
      <c r="BW1490" s="53" t="n">
        <f aca="false">IF(BU1490="LOSE",1,0)</f>
        <v>0</v>
      </c>
      <c r="BX1490" s="53" t="n">
        <f aca="false">IF(AND(U1490="",OR(P1490="",P1490="LOSE"),T1490&lt;&gt;"",N(S1490)&lt;=0,ISNUMBER(MATCH(T1490,Parameter!$I$27:$I$29,0))),1,0)</f>
        <v>0</v>
      </c>
      <c r="BY1490" s="53" t="n">
        <f aca="false">IF(CL1490&gt;0,INDEX(Parameter!$H$5:$H$7,W1490)/INDEX(Parameter!$E$5:$E$7,W1490),IF(AND(BW1490=0,N(IFERROR(VLOOKUP(BU1490,'Gebinde-Kategorie'!$A$5:$N$45,14,0),0))&gt;0),VLOOKUP(BU1490,'Gebinde-Kategorie'!$A$5:$N$45,14,0)*10+Parameter!$M$23,Parameter!$M$24))</f>
        <v>155</v>
      </c>
      <c r="BZ1490" s="48" t="str">
        <f aca="false">IF(AND(Parameter!$B$19="Ja",E1490&lt;&gt;"",ISNUMBER(MATCH(E1490,Parameter!$I$35:$I$52,0))),VLOOKUP(E1490,Parameter!$I$35:$J$52,2,0),IFERROR(VLOOKUP(D1490,Parameter!$A$35:$C$64,2,0),"Nein"))</f>
        <v>2+3</v>
      </c>
      <c r="CA1490" s="52" t="n">
        <f aca="false">IF(BW1490=0,0,IF(N(S1490)&gt;0,S1490,IFERROR(VLOOKUP(D1490,Parameter!$A$35:$C$64,3,0)+0,0)))</f>
        <v>0</v>
      </c>
      <c r="CB1490" s="48" t="n">
        <f aca="false">IF(AA1490&lt;&gt;"",AA1490,Z1490)</f>
        <v>3</v>
      </c>
      <c r="CC1490" s="48" t="str">
        <f aca="false">IF(OR(CB1490=1,CB1490=2,CB1490=3),IF(Parameter!$E$27="Ja","LIFT",IF(CB1490=1,"L1","L23")),IF(CB1490="Aussen","Aussen","-"))</f>
        <v>LIFT</v>
      </c>
      <c r="CD1490" s="59" t="n">
        <f aca="false">IF(N(AB1490)&gt;0,AB1490,0)</f>
        <v>0</v>
      </c>
      <c r="CE1490" s="53" t="n">
        <f aca="false">IF(ISNUMBER(AE1490),1,0)</f>
        <v>0</v>
      </c>
      <c r="CF1490" s="50" t="n">
        <f aca="false">N(AE1490)</f>
        <v>0</v>
      </c>
      <c r="CG1490" s="50" t="n">
        <f aca="false">N(M1490)+N(N1490)</f>
        <v>10</v>
      </c>
      <c r="CH1490" s="50" t="n">
        <f aca="false">ROUNDUP(H1490/BV1490,0)</f>
        <v>1</v>
      </c>
      <c r="CI1490" s="50" t="n">
        <f aca="false">ROUNDUP(CF1490/BV1490,0)</f>
        <v>0</v>
      </c>
      <c r="CJ1490" s="53" t="n">
        <f aca="false">IF(BW1490=1,0,IFERROR(VLOOKUP(BU1490,'Gebinde-Kategorie'!$A$5:$N$45,5,0)+0,0))</f>
        <v>8</v>
      </c>
      <c r="CK1490" s="53" t="n">
        <f aca="false">IFERROR(IF(OR(CB1490=1,CB1490=2,CB1490=3),N(INDEX(Parameter!$I$5:$I$7,CB1490)),0),0)</f>
        <v>0</v>
      </c>
      <c r="CL1490" s="52" t="n">
        <f aca="false">IF(AND(Parameter!$B$21="Ja",ISNUMBER(W1490),N(X1490)&gt;0),IFERROR(N(INDEX(Parameter!$L$5:$L$7,W1490))*INDEX(Parameter!$E$5:$E$7,W1490)*X1490/SUMIFS($X$7:$X$1843,$W$7:$W$1843,W1490),0),0)</f>
        <v>0</v>
      </c>
    </row>
    <row r="1491" customFormat="false" ht="15" hidden="false" customHeight="false" outlineLevel="0" collapsed="false">
      <c r="A1491" s="48" t="s">
        <v>2610</v>
      </c>
      <c r="B1491" s="48" t="s">
        <v>2611</v>
      </c>
      <c r="C1491" s="48" t="s">
        <v>168</v>
      </c>
      <c r="D1491" s="48" t="s">
        <v>188</v>
      </c>
      <c r="E1491" s="48" t="s">
        <v>189</v>
      </c>
      <c r="F1491" s="48"/>
      <c r="G1491" s="49" t="n">
        <v>96.34</v>
      </c>
      <c r="H1491" s="50" t="n">
        <f aca="false">MAX(0,IF(AND(Parameter!$B$21="Ja",ISNUMBER(Y1491)),Y1491,IF(Parameter!$B$20="Jahresanfang 2025 + Export",BO1491+BN1491,BN1491)))</f>
        <v>8</v>
      </c>
      <c r="I1491" s="50" t="n">
        <f aca="false">H1491*G1491</f>
        <v>770.72</v>
      </c>
      <c r="J1491" s="50" t="n">
        <f aca="false">BQ1491*Parameter!$B$18</f>
        <v>0</v>
      </c>
      <c r="K1491" s="51"/>
      <c r="L1491" s="52"/>
      <c r="M1491" s="50" t="n">
        <v>0</v>
      </c>
      <c r="N1491" s="50" t="n">
        <v>5</v>
      </c>
      <c r="O1491" s="53" t="n">
        <v>168</v>
      </c>
      <c r="P1491" s="48" t="s">
        <v>306</v>
      </c>
      <c r="Q1491" s="50" t="n">
        <v>8</v>
      </c>
      <c r="R1491" s="53" t="n">
        <f aca="false">IF(BW1491=1,0,IFERROR(VLOOKUP(BU1491,'Gebinde-Kategorie'!$A$5:$N$45,13,0)+0,0))</f>
        <v>26</v>
      </c>
      <c r="S1491" s="54"/>
      <c r="T1491" s="55"/>
      <c r="U1491" s="55"/>
      <c r="V1491" s="55"/>
      <c r="W1491" s="48"/>
      <c r="X1491" s="50"/>
      <c r="Y1491" s="50"/>
      <c r="Z1491" s="48" t="n">
        <f aca="false">IF(A1491="","",IF(AND(Parameter!$B$21="Ja",ISNUMBER(W1491)),W1491,IF(BZ1491="2+3",IF(ISNUMBER(SEARCH("grosser Artikel",BR1491)),2,IFERROR(VLOOKUP(BU1491,Parameter!$F$35:$G$64,2,0),2)),IF(OR(BZ1491="Nein",BZ1491=""),"-",BZ1491))))</f>
        <v>3</v>
      </c>
      <c r="AA1491" s="55"/>
      <c r="AB1491" s="56"/>
      <c r="AC1491" s="50" t="n">
        <f aca="false">AT1491</f>
        <v>8</v>
      </c>
      <c r="AD1491" s="50" t="n">
        <f aca="false">MAX(AT1491,H1491)</f>
        <v>8</v>
      </c>
      <c r="AE1491" s="57"/>
      <c r="AF1491" s="50" t="n">
        <f aca="false">IF(LEFT(Cockpit!$C$5,1)="A",H1491,IF(CE1491=1,CF1491,IF(LEFT(Cockpit!$C$5,1)="B",AK1491,MAX(AK1491,H1491))))</f>
        <v>8</v>
      </c>
      <c r="AG1491" s="50" t="n">
        <f aca="false">IF(BW1491=1,0,ROUNDUP(AF1491/BV1491,0))</f>
        <v>1</v>
      </c>
      <c r="AH1491" s="52" t="n">
        <f aca="false">IF(CL1491&gt;0,CL1491*MAX(1,AF1491/X1491),IF(BW1491=1,IF(AF1491&lt;=0,0,CA1491*MAX(1,IF(H1491&gt;0,AF1491/H1491,1))),IF(R1491&gt;0,AG1491/R1491,0))/MAX(0.1,N(Parameter!$M$21)))</f>
        <v>0.0384615384615385</v>
      </c>
      <c r="AI1491" s="50" t="n">
        <f aca="false">AH1491*BY1491</f>
        <v>5.96153846153846</v>
      </c>
      <c r="AJ1491" s="50" t="n">
        <f aca="false">AF1491*G1491</f>
        <v>770.72</v>
      </c>
      <c r="AK1491" s="50" t="n">
        <f aca="false">ROUNDUP(MAX(J1491/IF(CD1491&gt;0,CD1491,MAX(0.1,N(Cockpit!$C$6))),CG1491)/BV1491,0)*BV1491</f>
        <v>8</v>
      </c>
      <c r="AL1491" s="51" t="n">
        <f aca="false">IF(AI1491&gt;0,J1491/AI1491,-1)</f>
        <v>0</v>
      </c>
      <c r="AM1491" s="51" t="n">
        <f aca="false">IF(AND(OR(CC1491="L1",CC1491="L23",CC1491="LIFT"),AI1491&gt;0),SUMIFS($AI$7:$AI$1843,$CC$7:$CC$1843,CC1491,$AL$7:$AL$1843,"&gt;"&amp;AL1491)+SUMIFS($AI$7:$AI$1843,$CC$7:$CC$1843,CC1491,$AL$7:$AL$1843,AL1491,$BT$7:$BT$1843,"&lt;="&amp;BT1491),"")</f>
        <v>29776.7026939633</v>
      </c>
      <c r="AN1491" s="58" t="n">
        <f aca="false">IF(AM1491="",0,MAX(0,MIN(1,(IF(CC1491="L1",Parameter!$H$5,IF(CC1491="L23",Parameter!$H$6+Parameter!$H$7,Parameter!$H$5+Parameter!$H$6+Parameter!$H$7))-(AM1491-AI1491))/AI1491)))</f>
        <v>1</v>
      </c>
      <c r="AO1491" s="50" t="n">
        <f aca="false">IF(LEFT(Cockpit!$I$5,1)="A",H1491,IF(CE1491=1,CF1491,IF(LEFT(Cockpit!$I$5,1)="B",AT1491,MAX(AT1491,H1491))))</f>
        <v>8</v>
      </c>
      <c r="AP1491" s="50" t="n">
        <f aca="false">IF(BW1491=1,0,ROUNDUP(AO1491/BV1491,0))</f>
        <v>1</v>
      </c>
      <c r="AQ1491" s="52" t="n">
        <f aca="false">IF(CL1491&gt;0,CL1491*MAX(1,AO1491/X1491),IF(BW1491=1,IF(AO1491&lt;=0,0,CA1491*MAX(1,IF(H1491&gt;0,AO1491/H1491,1))),IF(R1491&gt;0,AP1491/R1491,0))/MAX(0.1,N(Parameter!$M$21)))</f>
        <v>0.0384615384615385</v>
      </c>
      <c r="AR1491" s="50" t="n">
        <f aca="false">AQ1491*BY1491</f>
        <v>5.96153846153846</v>
      </c>
      <c r="AS1491" s="50" t="n">
        <f aca="false">AO1491*G1491</f>
        <v>770.72</v>
      </c>
      <c r="AT1491" s="50" t="n">
        <f aca="false">ROUNDUP(MAX(J1491/IF(CD1491&gt;0,CD1491,MAX(0.1,N(Cockpit!$I$6))),CG1491)/BV1491,0)*BV1491</f>
        <v>8</v>
      </c>
      <c r="AU1491" s="51" t="n">
        <f aca="false">IF(AR1491&gt;0,J1491/AR1491,-1)</f>
        <v>0</v>
      </c>
      <c r="AV1491" s="51" t="n">
        <f aca="false">IF(AND(OR(CC1491="L1",CC1491="L23",CC1491="LIFT"),AR1491&gt;0),SUMIFS($AR$7:$AR$1843,$CC$7:$CC$1843,CC1491,$AU$7:$AU$1843,"&gt;"&amp;AU1491)+SUMIFS($AR$7:$AR$1843,$CC$7:$CC$1843,CC1491,$AU$7:$AU$1843,AU1491,$BT$7:$BT$1843,"&lt;="&amp;BT1491),"")</f>
        <v>42068.5372405373</v>
      </c>
      <c r="AW1491" s="58" t="n">
        <f aca="false">IF(AV1491="",0,MAX(0,MIN(1,(IF(CC1491="L1",Parameter!$H$5,IF(CC1491="L23",Parameter!$H$6+Parameter!$H$7,Parameter!$H$5+Parameter!$H$6+Parameter!$H$7))-(AV1491-AR1491))/AR1491)))</f>
        <v>0</v>
      </c>
      <c r="AX1491" s="50" t="n">
        <f aca="false">IF(LEFT(Cockpit!$O$5,1)="A",H1491,IF(CE1491=1,CF1491,IF(LEFT(Cockpit!$O$5,1)="B",BC1491,MAX(BC1491,H1491))))</f>
        <v>8</v>
      </c>
      <c r="AY1491" s="50" t="n">
        <f aca="false">IF(BW1491=1,0,ROUNDUP(AX1491/BV1491,0))</f>
        <v>1</v>
      </c>
      <c r="AZ1491" s="52" t="n">
        <f aca="false">IF(CL1491&gt;0,CL1491*MAX(1,AX1491/X1491),IF(BW1491=1,IF(AX1491&lt;=0,0,CA1491*MAX(1,IF(H1491&gt;0,AX1491/H1491,1))),IF(R1491&gt;0,AY1491/R1491,0))/MAX(0.1,N(Parameter!$M$21)))</f>
        <v>0.0384615384615385</v>
      </c>
      <c r="BA1491" s="50" t="n">
        <f aca="false">AZ1491*BY1491</f>
        <v>5.96153846153846</v>
      </c>
      <c r="BB1491" s="50" t="n">
        <f aca="false">AX1491*G1491</f>
        <v>770.72</v>
      </c>
      <c r="BC1491" s="50" t="n">
        <f aca="false">ROUNDUP(MAX(J1491/IF(CD1491&gt;0,CD1491,MAX(0.1,N(Cockpit!$O$6))),CG1491)/BV1491,0)*BV1491</f>
        <v>8</v>
      </c>
      <c r="BD1491" s="51" t="n">
        <f aca="false">IF(BA1491&gt;0,J1491/BA1491,-1)</f>
        <v>0</v>
      </c>
      <c r="BE1491" s="51" t="n">
        <f aca="false">IF(AND(OR(CC1491="L1",CC1491="L23",CC1491="LIFT"),BA1491&gt;0),SUMIFS($BA$7:$BA$1843,$CC$7:$CC$1843,CC1491,$BD$7:$BD$1843,"&gt;"&amp;BD1491)+SUMIFS($BA$7:$BA$1843,$CC$7:$CC$1843,CC1491,$BD$7:$BD$1843,BD1491,$BT$7:$BT$1843,"&lt;="&amp;BT1491),"")</f>
        <v>38743.5492824031</v>
      </c>
      <c r="BF1491" s="58" t="n">
        <f aca="false">IF(BE1491="",0,MAX(0,MIN(1,(IF(CC1491="L1",Parameter!$H$5,IF(CC1491="L23",Parameter!$H$6+Parameter!$H$7,Parameter!$H$5+Parameter!$H$6+Parameter!$H$7))-(BE1491-BA1491))/BA1491)))</f>
        <v>0</v>
      </c>
      <c r="BG1491" s="48" t="str">
        <f aca="false">IF(AI1491&lt;=0,"",IF(CC1491="Aussen","Aussenlager",IF(CC1491="-","Nicht im Lift",IF(AN1491&gt;=1,"Lift",IF(AN1491&lt;=0,"Aussenlager","teilweise")))))</f>
        <v>Lift</v>
      </c>
      <c r="BH1491" s="48" t="str">
        <f aca="false">IF(AR1491&lt;=0,"",IF(CC1491="Aussen","Aussenlager",IF(CC1491="-","Nicht im Lift",IF(AW1491&gt;=1,"Lift",IF(AW1491&lt;=0,"Aussenlager","teilweise")))))</f>
        <v>Aussenlager</v>
      </c>
      <c r="BI1491" s="48" t="str">
        <f aca="false">IF(BA1491&lt;=0,"",IF(CC1491="Aussen","Aussenlager",IF(CC1491="-","Nicht im Lift",IF(BF1491&gt;=1,"Lift",IF(BF1491&lt;=0,"Aussenlager","teilweise")))))</f>
        <v>Aussenlager</v>
      </c>
      <c r="BJ1491" s="48" t="str">
        <f aca="false">IF(A1491="","",IF(BS1491=1,"Neu; ","")&amp;IF(AND(BS1491=0,BN1491&lt;0),"negativer Bestand (Export "&amp;BN1491&amp;"); ","")&amp;IF(J1491&lt;=0,"Kein Verbrauch; ","")&amp;IF(CL1491&gt;0,"Lift "&amp;W1491&amp;" lt. Liftbericht (Fach "&amp;X1491&amp;" Stk); ",IF(BX1491=1,"Gebinde geschätzt ("&amp;T1491&amp;"); ",IF(BW1491=1,"Lose – Tablare geschätzt; ","")))&amp;IF(H1491&gt;AT1491,"Überbestand "&amp;ROUND(H1491-AT1491,0)&amp;" Stk / CHF "&amp;ROUND((H1491-AT1491)*G1491,0)&amp;"; ","")&amp;IF(AND(CE1491=1,CF1491&lt;CG1491),"MAX &lt; MB+LG; ","")&amp;IF(AND(CK1491&gt;0,CJ1491*10&gt;CK1491),"zu hoch für Tablar; ","")&amp;IF(AND(BS1491=0,OR(CE1491=1,AA1491&lt;&gt;"",U1491&lt;&gt;"",V1491&lt;&gt;"",AB1491&lt;&gt;"")),"manuell übersteuert; ","")&amp;IF(AND(BW1491=0,R1491=0),"Gebinde unbekannt / Stellmass fehlt; ","")&amp;IF(AND(BW1491=0,N(V1491)&lt;=0,N(Q1491)&lt;=0),"Menge pro Gebinde fehlt (Ist = 1 Gebinde); ","")&amp;BR1491)</f>
        <v>Kein Verbrauch; nur im Artikelstamm (Bestand 23.06.2026)</v>
      </c>
      <c r="BK1491" s="48"/>
      <c r="BL1491" s="48"/>
      <c r="BM1491" s="55"/>
      <c r="BN1491" s="50" t="n">
        <v>8</v>
      </c>
      <c r="BO1491" s="50" t="n">
        <v>0</v>
      </c>
      <c r="BP1491" s="49" t="n">
        <v>0</v>
      </c>
      <c r="BQ1491" s="50" t="n">
        <v>0</v>
      </c>
      <c r="BR1491" s="48" t="s">
        <v>2579</v>
      </c>
      <c r="BS1491" s="53" t="n">
        <v>0</v>
      </c>
      <c r="BT1491" s="53" t="n">
        <v>1491</v>
      </c>
      <c r="BU1491" s="48" t="str">
        <f aca="false">IF(U1491&lt;&gt;"",UPPER(TRIM(U1491)),IF(BX1491=1,UPPER(VLOOKUP(T1491,Parameter!$I$27:$K$29,2,0)),IF(P1491="","LOSE",P1491)))</f>
        <v>S51</v>
      </c>
      <c r="BV1491" s="50" t="n">
        <f aca="false">IF(BU1491="LOSE",1,IF(N(V1491)&gt;0,V1491,IF(BX1491=1,MAX(1,N(VLOOKUP(T1491,Parameter!$I$27:$K$29,3,0)),H1491,N(N1491)),IF(N(Q1491)&gt;0,Q1491,MAX(1,H1491)))))</f>
        <v>8</v>
      </c>
      <c r="BW1491" s="53" t="n">
        <f aca="false">IF(BU1491="LOSE",1,0)</f>
        <v>0</v>
      </c>
      <c r="BX1491" s="53" t="n">
        <f aca="false">IF(AND(U1491="",OR(P1491="",P1491="LOSE"),T1491&lt;&gt;"",N(S1491)&lt;=0,ISNUMBER(MATCH(T1491,Parameter!$I$27:$I$29,0))),1,0)</f>
        <v>0</v>
      </c>
      <c r="BY1491" s="53" t="n">
        <f aca="false">IF(CL1491&gt;0,INDEX(Parameter!$H$5:$H$7,W1491)/INDEX(Parameter!$E$5:$E$7,W1491),IF(AND(BW1491=0,N(IFERROR(VLOOKUP(BU1491,'Gebinde-Kategorie'!$A$5:$N$45,14,0),0))&gt;0),VLOOKUP(BU1491,'Gebinde-Kategorie'!$A$5:$N$45,14,0)*10+Parameter!$M$23,Parameter!$M$24))</f>
        <v>155</v>
      </c>
      <c r="BZ1491" s="48" t="str">
        <f aca="false">IF(AND(Parameter!$B$19="Ja",E1491&lt;&gt;"",ISNUMBER(MATCH(E1491,Parameter!$I$35:$I$52,0))),VLOOKUP(E1491,Parameter!$I$35:$J$52,2,0),IFERROR(VLOOKUP(D1491,Parameter!$A$35:$C$64,2,0),"Nein"))</f>
        <v>2+3</v>
      </c>
      <c r="CA1491" s="52" t="n">
        <f aca="false">IF(BW1491=0,0,IF(N(S1491)&gt;0,S1491,IFERROR(VLOOKUP(D1491,Parameter!$A$35:$C$64,3,0)+0,0)))</f>
        <v>0</v>
      </c>
      <c r="CB1491" s="48" t="n">
        <f aca="false">IF(AA1491&lt;&gt;"",AA1491,Z1491)</f>
        <v>3</v>
      </c>
      <c r="CC1491" s="48" t="str">
        <f aca="false">IF(OR(CB1491=1,CB1491=2,CB1491=3),IF(Parameter!$E$27="Ja","LIFT",IF(CB1491=1,"L1","L23")),IF(CB1491="Aussen","Aussen","-"))</f>
        <v>LIFT</v>
      </c>
      <c r="CD1491" s="59" t="n">
        <f aca="false">IF(N(AB1491)&gt;0,AB1491,0)</f>
        <v>0</v>
      </c>
      <c r="CE1491" s="53" t="n">
        <f aca="false">IF(ISNUMBER(AE1491),1,0)</f>
        <v>0</v>
      </c>
      <c r="CF1491" s="50" t="n">
        <f aca="false">N(AE1491)</f>
        <v>0</v>
      </c>
      <c r="CG1491" s="50" t="n">
        <f aca="false">N(M1491)+N(N1491)</f>
        <v>5</v>
      </c>
      <c r="CH1491" s="50" t="n">
        <f aca="false">ROUNDUP(H1491/BV1491,0)</f>
        <v>1</v>
      </c>
      <c r="CI1491" s="50" t="n">
        <f aca="false">ROUNDUP(CF1491/BV1491,0)</f>
        <v>0</v>
      </c>
      <c r="CJ1491" s="53" t="n">
        <f aca="false">IF(BW1491=1,0,IFERROR(VLOOKUP(BU1491,'Gebinde-Kategorie'!$A$5:$N$45,5,0)+0,0))</f>
        <v>11</v>
      </c>
      <c r="CK1491" s="53" t="n">
        <f aca="false">IFERROR(IF(OR(CB1491=1,CB1491=2,CB1491=3),N(INDEX(Parameter!$I$5:$I$7,CB1491)),0),0)</f>
        <v>0</v>
      </c>
      <c r="CL1491" s="52" t="n">
        <f aca="false">IF(AND(Parameter!$B$21="Ja",ISNUMBER(W1491),N(X1491)&gt;0),IFERROR(N(INDEX(Parameter!$L$5:$L$7,W1491))*INDEX(Parameter!$E$5:$E$7,W1491)*X1491/SUMIFS($X$7:$X$1843,$W$7:$W$1843,W1491),0),0)</f>
        <v>0</v>
      </c>
    </row>
    <row r="1492" customFormat="false" ht="15" hidden="false" customHeight="false" outlineLevel="0" collapsed="false">
      <c r="A1492" s="48" t="s">
        <v>2612</v>
      </c>
      <c r="B1492" s="48" t="s">
        <v>1868</v>
      </c>
      <c r="C1492" s="48" t="s">
        <v>168</v>
      </c>
      <c r="D1492" s="48" t="s">
        <v>177</v>
      </c>
      <c r="E1492" s="48" t="s">
        <v>189</v>
      </c>
      <c r="F1492" s="48"/>
      <c r="G1492" s="49" t="n">
        <v>27.41</v>
      </c>
      <c r="H1492" s="50" t="n">
        <f aca="false">MAX(0,IF(AND(Parameter!$B$21="Ja",ISNUMBER(Y1492)),Y1492,IF(Parameter!$B$20="Jahresanfang 2025 + Export",BO1492+BN1492,BN1492)))</f>
        <v>10</v>
      </c>
      <c r="I1492" s="50" t="n">
        <f aca="false">H1492*G1492</f>
        <v>274.1</v>
      </c>
      <c r="J1492" s="50" t="n">
        <f aca="false">BQ1492*Parameter!$B$18</f>
        <v>0</v>
      </c>
      <c r="K1492" s="51"/>
      <c r="L1492" s="52"/>
      <c r="M1492" s="50" t="n">
        <v>0</v>
      </c>
      <c r="N1492" s="50" t="n">
        <v>1</v>
      </c>
      <c r="O1492" s="53" t="n">
        <v>0</v>
      </c>
      <c r="P1492" s="48" t="s">
        <v>297</v>
      </c>
      <c r="Q1492" s="50" t="n">
        <v>10</v>
      </c>
      <c r="R1492" s="53" t="n">
        <f aca="false">IF(BW1492=1,0,IFERROR(VLOOKUP(BU1492,'Gebinde-Kategorie'!$A$5:$N$45,13,0)+0,0))</f>
        <v>12</v>
      </c>
      <c r="S1492" s="54"/>
      <c r="T1492" s="55"/>
      <c r="U1492" s="55"/>
      <c r="V1492" s="55"/>
      <c r="W1492" s="48"/>
      <c r="X1492" s="50"/>
      <c r="Y1492" s="50"/>
      <c r="Z1492" s="48" t="n">
        <f aca="false">IF(A1492="","",IF(AND(Parameter!$B$21="Ja",ISNUMBER(W1492)),W1492,IF(BZ1492="2+3",IF(ISNUMBER(SEARCH("grosser Artikel",BR1492)),2,IFERROR(VLOOKUP(BU1492,Parameter!$F$35:$G$64,2,0),2)),IF(OR(BZ1492="Nein",BZ1492=""),"-",BZ1492))))</f>
        <v>2</v>
      </c>
      <c r="AA1492" s="55"/>
      <c r="AB1492" s="56"/>
      <c r="AC1492" s="50" t="n">
        <f aca="false">AT1492</f>
        <v>10</v>
      </c>
      <c r="AD1492" s="50" t="n">
        <f aca="false">MAX(AT1492,H1492)</f>
        <v>10</v>
      </c>
      <c r="AE1492" s="57"/>
      <c r="AF1492" s="50" t="n">
        <f aca="false">IF(LEFT(Cockpit!$C$5,1)="A",H1492,IF(CE1492=1,CF1492,IF(LEFT(Cockpit!$C$5,1)="B",AK1492,MAX(AK1492,H1492))))</f>
        <v>10</v>
      </c>
      <c r="AG1492" s="50" t="n">
        <f aca="false">IF(BW1492=1,0,ROUNDUP(AF1492/BV1492,0))</f>
        <v>1</v>
      </c>
      <c r="AH1492" s="52" t="n">
        <f aca="false">IF(CL1492&gt;0,CL1492*MAX(1,AF1492/X1492),IF(BW1492=1,IF(AF1492&lt;=0,0,CA1492*MAX(1,IF(H1492&gt;0,AF1492/H1492,1))),IF(R1492&gt;0,AG1492/R1492,0))/MAX(0.1,N(Parameter!$M$21)))</f>
        <v>0.0833333333333333</v>
      </c>
      <c r="AI1492" s="50" t="n">
        <f aca="false">AH1492*BY1492</f>
        <v>20.4166666666667</v>
      </c>
      <c r="AJ1492" s="50" t="n">
        <f aca="false">AF1492*G1492</f>
        <v>274.1</v>
      </c>
      <c r="AK1492" s="50" t="n">
        <f aca="false">ROUNDUP(MAX(J1492/IF(CD1492&gt;0,CD1492,MAX(0.1,N(Cockpit!$C$6))),CG1492)/BV1492,0)*BV1492</f>
        <v>10</v>
      </c>
      <c r="AL1492" s="51" t="n">
        <f aca="false">IF(AI1492&gt;0,J1492/AI1492,-1)</f>
        <v>0</v>
      </c>
      <c r="AM1492" s="51" t="n">
        <f aca="false">IF(AND(OR(CC1492="L1",CC1492="L23",CC1492="LIFT"),AI1492&gt;0),SUMIFS($AI$7:$AI$1843,$CC$7:$CC$1843,CC1492,$AL$7:$AL$1843,"&gt;"&amp;AL1492)+SUMIFS($AI$7:$AI$1843,$CC$7:$CC$1843,CC1492,$AL$7:$AL$1843,AL1492,$BT$7:$BT$1843,"&lt;="&amp;BT1492),"")</f>
        <v>29797.11936063</v>
      </c>
      <c r="AN1492" s="58" t="n">
        <f aca="false">IF(AM1492="",0,MAX(0,MIN(1,(IF(CC1492="L1",Parameter!$H$5,IF(CC1492="L23",Parameter!$H$6+Parameter!$H$7,Parameter!$H$5+Parameter!$H$6+Parameter!$H$7))-(AM1492-AI1492))/AI1492)))</f>
        <v>1</v>
      </c>
      <c r="AO1492" s="50" t="n">
        <f aca="false">IF(LEFT(Cockpit!$I$5,1)="A",H1492,IF(CE1492=1,CF1492,IF(LEFT(Cockpit!$I$5,1)="B",AT1492,MAX(AT1492,H1492))))</f>
        <v>10</v>
      </c>
      <c r="AP1492" s="50" t="n">
        <f aca="false">IF(BW1492=1,0,ROUNDUP(AO1492/BV1492,0))</f>
        <v>1</v>
      </c>
      <c r="AQ1492" s="52" t="n">
        <f aca="false">IF(CL1492&gt;0,CL1492*MAX(1,AO1492/X1492),IF(BW1492=1,IF(AO1492&lt;=0,0,CA1492*MAX(1,IF(H1492&gt;0,AO1492/H1492,1))),IF(R1492&gt;0,AP1492/R1492,0))/MAX(0.1,N(Parameter!$M$21)))</f>
        <v>0.0833333333333333</v>
      </c>
      <c r="AR1492" s="50" t="n">
        <f aca="false">AQ1492*BY1492</f>
        <v>20.4166666666667</v>
      </c>
      <c r="AS1492" s="50" t="n">
        <f aca="false">AO1492*G1492</f>
        <v>274.1</v>
      </c>
      <c r="AT1492" s="50" t="n">
        <f aca="false">ROUNDUP(MAX(J1492/IF(CD1492&gt;0,CD1492,MAX(0.1,N(Cockpit!$I$6))),CG1492)/BV1492,0)*BV1492</f>
        <v>10</v>
      </c>
      <c r="AU1492" s="51" t="n">
        <f aca="false">IF(AR1492&gt;0,J1492/AR1492,-1)</f>
        <v>0</v>
      </c>
      <c r="AV1492" s="51" t="n">
        <f aca="false">IF(AND(OR(CC1492="L1",CC1492="L23",CC1492="LIFT"),AR1492&gt;0),SUMIFS($AR$7:$AR$1843,$CC$7:$CC$1843,CC1492,$AU$7:$AU$1843,"&gt;"&amp;AU1492)+SUMIFS($AR$7:$AR$1843,$CC$7:$CC$1843,CC1492,$AU$7:$AU$1843,AU1492,$BT$7:$BT$1843,"&lt;="&amp;BT1492),"")</f>
        <v>42088.9539072039</v>
      </c>
      <c r="AW1492" s="58" t="n">
        <f aca="false">IF(AV1492="",0,MAX(0,MIN(1,(IF(CC1492="L1",Parameter!$H$5,IF(CC1492="L23",Parameter!$H$6+Parameter!$H$7,Parameter!$H$5+Parameter!$H$6+Parameter!$H$7))-(AV1492-AR1492))/AR1492)))</f>
        <v>0</v>
      </c>
      <c r="AX1492" s="50" t="n">
        <f aca="false">IF(LEFT(Cockpit!$O$5,1)="A",H1492,IF(CE1492=1,CF1492,IF(LEFT(Cockpit!$O$5,1)="B",BC1492,MAX(BC1492,H1492))))</f>
        <v>10</v>
      </c>
      <c r="AY1492" s="50" t="n">
        <f aca="false">IF(BW1492=1,0,ROUNDUP(AX1492/BV1492,0))</f>
        <v>1</v>
      </c>
      <c r="AZ1492" s="52" t="n">
        <f aca="false">IF(CL1492&gt;0,CL1492*MAX(1,AX1492/X1492),IF(BW1492=1,IF(AX1492&lt;=0,0,CA1492*MAX(1,IF(H1492&gt;0,AX1492/H1492,1))),IF(R1492&gt;0,AY1492/R1492,0))/MAX(0.1,N(Parameter!$M$21)))</f>
        <v>0.0833333333333333</v>
      </c>
      <c r="BA1492" s="50" t="n">
        <f aca="false">AZ1492*BY1492</f>
        <v>20.4166666666667</v>
      </c>
      <c r="BB1492" s="50" t="n">
        <f aca="false">AX1492*G1492</f>
        <v>274.1</v>
      </c>
      <c r="BC1492" s="50" t="n">
        <f aca="false">ROUNDUP(MAX(J1492/IF(CD1492&gt;0,CD1492,MAX(0.1,N(Cockpit!$O$6))),CG1492)/BV1492,0)*BV1492</f>
        <v>10</v>
      </c>
      <c r="BD1492" s="51" t="n">
        <f aca="false">IF(BA1492&gt;0,J1492/BA1492,-1)</f>
        <v>0</v>
      </c>
      <c r="BE1492" s="51" t="n">
        <f aca="false">IF(AND(OR(CC1492="L1",CC1492="L23",CC1492="LIFT"),BA1492&gt;0),SUMIFS($BA$7:$BA$1843,$CC$7:$CC$1843,CC1492,$BD$7:$BD$1843,"&gt;"&amp;BD1492)+SUMIFS($BA$7:$BA$1843,$CC$7:$CC$1843,CC1492,$BD$7:$BD$1843,BD1492,$BT$7:$BT$1843,"&lt;="&amp;BT1492),"")</f>
        <v>38763.9659490698</v>
      </c>
      <c r="BF1492" s="58" t="n">
        <f aca="false">IF(BE1492="",0,MAX(0,MIN(1,(IF(CC1492="L1",Parameter!$H$5,IF(CC1492="L23",Parameter!$H$6+Parameter!$H$7,Parameter!$H$5+Parameter!$H$6+Parameter!$H$7))-(BE1492-BA1492))/BA1492)))</f>
        <v>0</v>
      </c>
      <c r="BG1492" s="48" t="str">
        <f aca="false">IF(AI1492&lt;=0,"",IF(CC1492="Aussen","Aussenlager",IF(CC1492="-","Nicht im Lift",IF(AN1492&gt;=1,"Lift",IF(AN1492&lt;=0,"Aussenlager","teilweise")))))</f>
        <v>Lift</v>
      </c>
      <c r="BH1492" s="48" t="str">
        <f aca="false">IF(AR1492&lt;=0,"",IF(CC1492="Aussen","Aussenlager",IF(CC1492="-","Nicht im Lift",IF(AW1492&gt;=1,"Lift",IF(AW1492&lt;=0,"Aussenlager","teilweise")))))</f>
        <v>Aussenlager</v>
      </c>
      <c r="BI1492" s="48" t="str">
        <f aca="false">IF(BA1492&lt;=0,"",IF(CC1492="Aussen","Aussenlager",IF(CC1492="-","Nicht im Lift",IF(BF1492&gt;=1,"Lift",IF(BF1492&lt;=0,"Aussenlager","teilweise")))))</f>
        <v>Aussenlager</v>
      </c>
      <c r="BJ1492" s="48" t="str">
        <f aca="false">IF(A1492="","",IF(BS1492=1,"Neu; ","")&amp;IF(AND(BS1492=0,BN1492&lt;0),"negativer Bestand (Export "&amp;BN1492&amp;"); ","")&amp;IF(J1492&lt;=0,"Kein Verbrauch; ","")&amp;IF(CL1492&gt;0,"Lift "&amp;W1492&amp;" lt. Liftbericht (Fach "&amp;X1492&amp;" Stk); ",IF(BX1492=1,"Gebinde geschätzt ("&amp;T1492&amp;"); ",IF(BW1492=1,"Lose – Tablare geschätzt; ","")))&amp;IF(H1492&gt;AT1492,"Überbestand "&amp;ROUND(H1492-AT1492,0)&amp;" Stk / CHF "&amp;ROUND((H1492-AT1492)*G1492,0)&amp;"; ","")&amp;IF(AND(CE1492=1,CF1492&lt;CG1492),"MAX &lt; MB+LG; ","")&amp;IF(AND(CK1492&gt;0,CJ1492*10&gt;CK1492),"zu hoch für Tablar; ","")&amp;IF(AND(BS1492=0,OR(CE1492=1,AA1492&lt;&gt;"",U1492&lt;&gt;"",V1492&lt;&gt;"",AB1492&lt;&gt;"")),"manuell übersteuert; ","")&amp;IF(AND(BW1492=0,R1492=0),"Gebinde unbekannt / Stellmass fehlt; ","")&amp;IF(AND(BW1492=0,N(V1492)&lt;=0,N(Q1492)&lt;=0),"Menge pro Gebinde fehlt (Ist = 1 Gebinde); ","")&amp;BR1492)</f>
        <v>Kein Verbrauch; nur im Artikelstamm (Bestand 23.06.2026)</v>
      </c>
      <c r="BK1492" s="48"/>
      <c r="BL1492" s="48"/>
      <c r="BM1492" s="55"/>
      <c r="BN1492" s="50" t="n">
        <v>10</v>
      </c>
      <c r="BO1492" s="50" t="n">
        <v>0</v>
      </c>
      <c r="BP1492" s="49" t="n">
        <v>0</v>
      </c>
      <c r="BQ1492" s="50" t="n">
        <v>0</v>
      </c>
      <c r="BR1492" s="48" t="s">
        <v>2579</v>
      </c>
      <c r="BS1492" s="53" t="n">
        <v>0</v>
      </c>
      <c r="BT1492" s="53" t="n">
        <v>1492</v>
      </c>
      <c r="BU1492" s="48" t="str">
        <f aca="false">IF(U1492&lt;&gt;"",UPPER(TRIM(U1492)),IF(BX1492=1,UPPER(VLOOKUP(T1492,Parameter!$I$27:$K$29,2,0)),IF(P1492="","LOSE",P1492)))</f>
        <v>S62</v>
      </c>
      <c r="BV1492" s="50" t="n">
        <f aca="false">IF(BU1492="LOSE",1,IF(N(V1492)&gt;0,V1492,IF(BX1492=1,MAX(1,N(VLOOKUP(T1492,Parameter!$I$27:$K$29,3,0)),H1492,N(N1492)),IF(N(Q1492)&gt;0,Q1492,MAX(1,H1492)))))</f>
        <v>10</v>
      </c>
      <c r="BW1492" s="53" t="n">
        <f aca="false">IF(BU1492="LOSE",1,0)</f>
        <v>0</v>
      </c>
      <c r="BX1492" s="53" t="n">
        <f aca="false">IF(AND(U1492="",OR(P1492="",P1492="LOSE"),T1492&lt;&gt;"",N(S1492)&lt;=0,ISNUMBER(MATCH(T1492,Parameter!$I$27:$I$29,0))),1,0)</f>
        <v>0</v>
      </c>
      <c r="BY1492" s="53" t="n">
        <f aca="false">IF(CL1492&gt;0,INDEX(Parameter!$H$5:$H$7,W1492)/INDEX(Parameter!$E$5:$E$7,W1492),IF(AND(BW1492=0,N(IFERROR(VLOOKUP(BU1492,'Gebinde-Kategorie'!$A$5:$N$45,14,0),0))&gt;0),VLOOKUP(BU1492,'Gebinde-Kategorie'!$A$5:$N$45,14,0)*10+Parameter!$M$23,Parameter!$M$24))</f>
        <v>245</v>
      </c>
      <c r="BZ1492" s="48" t="str">
        <f aca="false">IF(AND(Parameter!$B$19="Ja",E1492&lt;&gt;"",ISNUMBER(MATCH(E1492,Parameter!$I$35:$I$52,0))),VLOOKUP(E1492,Parameter!$I$35:$J$52,2,0),IFERROR(VLOOKUP(D1492,Parameter!$A$35:$C$64,2,0),"Nein"))</f>
        <v>2+3</v>
      </c>
      <c r="CA1492" s="52" t="n">
        <f aca="false">IF(BW1492=0,0,IF(N(S1492)&gt;0,S1492,IFERROR(VLOOKUP(D1492,Parameter!$A$35:$C$64,3,0)+0,0)))</f>
        <v>0</v>
      </c>
      <c r="CB1492" s="48" t="n">
        <f aca="false">IF(AA1492&lt;&gt;"",AA1492,Z1492)</f>
        <v>2</v>
      </c>
      <c r="CC1492" s="48" t="str">
        <f aca="false">IF(OR(CB1492=1,CB1492=2,CB1492=3),IF(Parameter!$E$27="Ja","LIFT",IF(CB1492=1,"L1","L23")),IF(CB1492="Aussen","Aussen","-"))</f>
        <v>LIFT</v>
      </c>
      <c r="CD1492" s="59" t="n">
        <f aca="false">IF(N(AB1492)&gt;0,AB1492,0)</f>
        <v>0</v>
      </c>
      <c r="CE1492" s="53" t="n">
        <f aca="false">IF(ISNUMBER(AE1492),1,0)</f>
        <v>0</v>
      </c>
      <c r="CF1492" s="50" t="n">
        <f aca="false">N(AE1492)</f>
        <v>0</v>
      </c>
      <c r="CG1492" s="50" t="n">
        <f aca="false">N(M1492)+N(N1492)</f>
        <v>1</v>
      </c>
      <c r="CH1492" s="50" t="n">
        <f aca="false">ROUNDUP(H1492/BV1492,0)</f>
        <v>1</v>
      </c>
      <c r="CI1492" s="50" t="n">
        <f aca="false">ROUNDUP(CF1492/BV1492,0)</f>
        <v>0</v>
      </c>
      <c r="CJ1492" s="53" t="n">
        <f aca="false">IF(BW1492=1,0,IFERROR(VLOOKUP(BU1492,'Gebinde-Kategorie'!$A$5:$N$45,5,0)+0,0))</f>
        <v>21</v>
      </c>
      <c r="CK1492" s="53" t="n">
        <f aca="false">IFERROR(IF(OR(CB1492=1,CB1492=2,CB1492=3),N(INDEX(Parameter!$I$5:$I$7,CB1492)),0),0)</f>
        <v>0</v>
      </c>
      <c r="CL1492" s="52" t="n">
        <f aca="false">IF(AND(Parameter!$B$21="Ja",ISNUMBER(W1492),N(X1492)&gt;0),IFERROR(N(INDEX(Parameter!$L$5:$L$7,W1492))*INDEX(Parameter!$E$5:$E$7,W1492)*X1492/SUMIFS($X$7:$X$1843,$W$7:$W$1843,W1492),0),0)</f>
        <v>0</v>
      </c>
    </row>
    <row r="1493" customFormat="false" ht="15" hidden="false" customHeight="false" outlineLevel="0" collapsed="false">
      <c r="A1493" s="48" t="s">
        <v>2613</v>
      </c>
      <c r="B1493" s="48" t="s">
        <v>2614</v>
      </c>
      <c r="C1493" s="48" t="s">
        <v>168</v>
      </c>
      <c r="D1493" s="48" t="s">
        <v>177</v>
      </c>
      <c r="E1493" s="48" t="s">
        <v>189</v>
      </c>
      <c r="F1493" s="48"/>
      <c r="G1493" s="49" t="n">
        <v>11.83</v>
      </c>
      <c r="H1493" s="50" t="n">
        <f aca="false">MAX(0,IF(AND(Parameter!$B$21="Ja",ISNUMBER(Y1493)),Y1493,IF(Parameter!$B$20="Jahresanfang 2025 + Export",BO1493+BN1493,BN1493)))</f>
        <v>14</v>
      </c>
      <c r="I1493" s="50" t="n">
        <f aca="false">H1493*G1493</f>
        <v>165.62</v>
      </c>
      <c r="J1493" s="50" t="n">
        <f aca="false">BQ1493*Parameter!$B$18</f>
        <v>0</v>
      </c>
      <c r="K1493" s="51"/>
      <c r="L1493" s="52"/>
      <c r="M1493" s="50" t="n">
        <v>0</v>
      </c>
      <c r="N1493" s="50" t="n">
        <v>2</v>
      </c>
      <c r="O1493" s="53" t="n">
        <v>0</v>
      </c>
      <c r="P1493" s="48" t="s">
        <v>237</v>
      </c>
      <c r="Q1493" s="50" t="n">
        <v>14</v>
      </c>
      <c r="R1493" s="53" t="n">
        <f aca="false">IF(BW1493=1,0,IFERROR(VLOOKUP(BU1493,'Gebinde-Kategorie'!$A$5:$N$45,13,0)+0,0))</f>
        <v>26</v>
      </c>
      <c r="S1493" s="54"/>
      <c r="T1493" s="55"/>
      <c r="U1493" s="55"/>
      <c r="V1493" s="55"/>
      <c r="W1493" s="48"/>
      <c r="X1493" s="50"/>
      <c r="Y1493" s="50"/>
      <c r="Z1493" s="48" t="n">
        <f aca="false">IF(A1493="","",IF(AND(Parameter!$B$21="Ja",ISNUMBER(W1493)),W1493,IF(BZ1493="2+3",IF(ISNUMBER(SEARCH("grosser Artikel",BR1493)),2,IFERROR(VLOOKUP(BU1493,Parameter!$F$35:$G$64,2,0),2)),IF(OR(BZ1493="Nein",BZ1493=""),"-",BZ1493))))</f>
        <v>3</v>
      </c>
      <c r="AA1493" s="55"/>
      <c r="AB1493" s="56"/>
      <c r="AC1493" s="50" t="n">
        <f aca="false">AT1493</f>
        <v>14</v>
      </c>
      <c r="AD1493" s="50" t="n">
        <f aca="false">MAX(AT1493,H1493)</f>
        <v>14</v>
      </c>
      <c r="AE1493" s="57"/>
      <c r="AF1493" s="50" t="n">
        <f aca="false">IF(LEFT(Cockpit!$C$5,1)="A",H1493,IF(CE1493=1,CF1493,IF(LEFT(Cockpit!$C$5,1)="B",AK1493,MAX(AK1493,H1493))))</f>
        <v>14</v>
      </c>
      <c r="AG1493" s="50" t="n">
        <f aca="false">IF(BW1493=1,0,ROUNDUP(AF1493/BV1493,0))</f>
        <v>1</v>
      </c>
      <c r="AH1493" s="52" t="n">
        <f aca="false">IF(CL1493&gt;0,CL1493*MAX(1,AF1493/X1493),IF(BW1493=1,IF(AF1493&lt;=0,0,CA1493*MAX(1,IF(H1493&gt;0,AF1493/H1493,1))),IF(R1493&gt;0,AG1493/R1493,0))/MAX(0.1,N(Parameter!$M$21)))</f>
        <v>0.0384615384615385</v>
      </c>
      <c r="AI1493" s="50" t="n">
        <f aca="false">AH1493*BY1493</f>
        <v>9.42307692307692</v>
      </c>
      <c r="AJ1493" s="50" t="n">
        <f aca="false">AF1493*G1493</f>
        <v>165.62</v>
      </c>
      <c r="AK1493" s="50" t="n">
        <f aca="false">ROUNDUP(MAX(J1493/IF(CD1493&gt;0,CD1493,MAX(0.1,N(Cockpit!$C$6))),CG1493)/BV1493,0)*BV1493</f>
        <v>14</v>
      </c>
      <c r="AL1493" s="51" t="n">
        <f aca="false">IF(AI1493&gt;0,J1493/AI1493,-1)</f>
        <v>0</v>
      </c>
      <c r="AM1493" s="51" t="n">
        <f aca="false">IF(AND(OR(CC1493="L1",CC1493="L23",CC1493="LIFT"),AI1493&gt;0),SUMIFS($AI$7:$AI$1843,$CC$7:$CC$1843,CC1493,$AL$7:$AL$1843,"&gt;"&amp;AL1493)+SUMIFS($AI$7:$AI$1843,$CC$7:$CC$1843,CC1493,$AL$7:$AL$1843,AL1493,$BT$7:$BT$1843,"&lt;="&amp;BT1493),"")</f>
        <v>29806.542437553</v>
      </c>
      <c r="AN1493" s="58" t="n">
        <f aca="false">IF(AM1493="",0,MAX(0,MIN(1,(IF(CC1493="L1",Parameter!$H$5,IF(CC1493="L23",Parameter!$H$6+Parameter!$H$7,Parameter!$H$5+Parameter!$H$6+Parameter!$H$7))-(AM1493-AI1493))/AI1493)))</f>
        <v>1</v>
      </c>
      <c r="AO1493" s="50" t="n">
        <f aca="false">IF(LEFT(Cockpit!$I$5,1)="A",H1493,IF(CE1493=1,CF1493,IF(LEFT(Cockpit!$I$5,1)="B",AT1493,MAX(AT1493,H1493))))</f>
        <v>14</v>
      </c>
      <c r="AP1493" s="50" t="n">
        <f aca="false">IF(BW1493=1,0,ROUNDUP(AO1493/BV1493,0))</f>
        <v>1</v>
      </c>
      <c r="AQ1493" s="52" t="n">
        <f aca="false">IF(CL1493&gt;0,CL1493*MAX(1,AO1493/X1493),IF(BW1493=1,IF(AO1493&lt;=0,0,CA1493*MAX(1,IF(H1493&gt;0,AO1493/H1493,1))),IF(R1493&gt;0,AP1493/R1493,0))/MAX(0.1,N(Parameter!$M$21)))</f>
        <v>0.0384615384615385</v>
      </c>
      <c r="AR1493" s="50" t="n">
        <f aca="false">AQ1493*BY1493</f>
        <v>9.42307692307692</v>
      </c>
      <c r="AS1493" s="50" t="n">
        <f aca="false">AO1493*G1493</f>
        <v>165.62</v>
      </c>
      <c r="AT1493" s="50" t="n">
        <f aca="false">ROUNDUP(MAX(J1493/IF(CD1493&gt;0,CD1493,MAX(0.1,N(Cockpit!$I$6))),CG1493)/BV1493,0)*BV1493</f>
        <v>14</v>
      </c>
      <c r="AU1493" s="51" t="n">
        <f aca="false">IF(AR1493&gt;0,J1493/AR1493,-1)</f>
        <v>0</v>
      </c>
      <c r="AV1493" s="51" t="n">
        <f aca="false">IF(AND(OR(CC1493="L1",CC1493="L23",CC1493="LIFT"),AR1493&gt;0),SUMIFS($AR$7:$AR$1843,$CC$7:$CC$1843,CC1493,$AU$7:$AU$1843,"&gt;"&amp;AU1493)+SUMIFS($AR$7:$AR$1843,$CC$7:$CC$1843,CC1493,$AU$7:$AU$1843,AU1493,$BT$7:$BT$1843,"&lt;="&amp;BT1493),"")</f>
        <v>42098.376984127</v>
      </c>
      <c r="AW1493" s="58" t="n">
        <f aca="false">IF(AV1493="",0,MAX(0,MIN(1,(IF(CC1493="L1",Parameter!$H$5,IF(CC1493="L23",Parameter!$H$6+Parameter!$H$7,Parameter!$H$5+Parameter!$H$6+Parameter!$H$7))-(AV1493-AR1493))/AR1493)))</f>
        <v>0</v>
      </c>
      <c r="AX1493" s="50" t="n">
        <f aca="false">IF(LEFT(Cockpit!$O$5,1)="A",H1493,IF(CE1493=1,CF1493,IF(LEFT(Cockpit!$O$5,1)="B",BC1493,MAX(BC1493,H1493))))</f>
        <v>14</v>
      </c>
      <c r="AY1493" s="50" t="n">
        <f aca="false">IF(BW1493=1,0,ROUNDUP(AX1493/BV1493,0))</f>
        <v>1</v>
      </c>
      <c r="AZ1493" s="52" t="n">
        <f aca="false">IF(CL1493&gt;0,CL1493*MAX(1,AX1493/X1493),IF(BW1493=1,IF(AX1493&lt;=0,0,CA1493*MAX(1,IF(H1493&gt;0,AX1493/H1493,1))),IF(R1493&gt;0,AY1493/R1493,0))/MAX(0.1,N(Parameter!$M$21)))</f>
        <v>0.0384615384615385</v>
      </c>
      <c r="BA1493" s="50" t="n">
        <f aca="false">AZ1493*BY1493</f>
        <v>9.42307692307692</v>
      </c>
      <c r="BB1493" s="50" t="n">
        <f aca="false">AX1493*G1493</f>
        <v>165.62</v>
      </c>
      <c r="BC1493" s="50" t="n">
        <f aca="false">ROUNDUP(MAX(J1493/IF(CD1493&gt;0,CD1493,MAX(0.1,N(Cockpit!$O$6))),CG1493)/BV1493,0)*BV1493</f>
        <v>14</v>
      </c>
      <c r="BD1493" s="51" t="n">
        <f aca="false">IF(BA1493&gt;0,J1493/BA1493,-1)</f>
        <v>0</v>
      </c>
      <c r="BE1493" s="51" t="n">
        <f aca="false">IF(AND(OR(CC1493="L1",CC1493="L23",CC1493="LIFT"),BA1493&gt;0),SUMIFS($BA$7:$BA$1843,$CC$7:$CC$1843,CC1493,$BD$7:$BD$1843,"&gt;"&amp;BD1493)+SUMIFS($BA$7:$BA$1843,$CC$7:$CC$1843,CC1493,$BD$7:$BD$1843,BD1493,$BT$7:$BT$1843,"&lt;="&amp;BT1493),"")</f>
        <v>38773.3890259928</v>
      </c>
      <c r="BF1493" s="58" t="n">
        <f aca="false">IF(BE1493="",0,MAX(0,MIN(1,(IF(CC1493="L1",Parameter!$H$5,IF(CC1493="L23",Parameter!$H$6+Parameter!$H$7,Parameter!$H$5+Parameter!$H$6+Parameter!$H$7))-(BE1493-BA1493))/BA1493)))</f>
        <v>0</v>
      </c>
      <c r="BG1493" s="48" t="str">
        <f aca="false">IF(AI1493&lt;=0,"",IF(CC1493="Aussen","Aussenlager",IF(CC1493="-","Nicht im Lift",IF(AN1493&gt;=1,"Lift",IF(AN1493&lt;=0,"Aussenlager","teilweise")))))</f>
        <v>Lift</v>
      </c>
      <c r="BH1493" s="48" t="str">
        <f aca="false">IF(AR1493&lt;=0,"",IF(CC1493="Aussen","Aussenlager",IF(CC1493="-","Nicht im Lift",IF(AW1493&gt;=1,"Lift",IF(AW1493&lt;=0,"Aussenlager","teilweise")))))</f>
        <v>Aussenlager</v>
      </c>
      <c r="BI1493" s="48" t="str">
        <f aca="false">IF(BA1493&lt;=0,"",IF(CC1493="Aussen","Aussenlager",IF(CC1493="-","Nicht im Lift",IF(BF1493&gt;=1,"Lift",IF(BF1493&lt;=0,"Aussenlager","teilweise")))))</f>
        <v>Aussenlager</v>
      </c>
      <c r="BJ1493" s="48" t="str">
        <f aca="false">IF(A1493="","",IF(BS1493=1,"Neu; ","")&amp;IF(AND(BS1493=0,BN1493&lt;0),"negativer Bestand (Export "&amp;BN1493&amp;"); ","")&amp;IF(J1493&lt;=0,"Kein Verbrauch; ","")&amp;IF(CL1493&gt;0,"Lift "&amp;W1493&amp;" lt. Liftbericht (Fach "&amp;X1493&amp;" Stk); ",IF(BX1493=1,"Gebinde geschätzt ("&amp;T1493&amp;"); ",IF(BW1493=1,"Lose – Tablare geschätzt; ","")))&amp;IF(H1493&gt;AT1493,"Überbestand "&amp;ROUND(H1493-AT1493,0)&amp;" Stk / CHF "&amp;ROUND((H1493-AT1493)*G1493,0)&amp;"; ","")&amp;IF(AND(CE1493=1,CF1493&lt;CG1493),"MAX &lt; MB+LG; ","")&amp;IF(AND(CK1493&gt;0,CJ1493*10&gt;CK1493),"zu hoch für Tablar; ","")&amp;IF(AND(BS1493=0,OR(CE1493=1,AA1493&lt;&gt;"",U1493&lt;&gt;"",V1493&lt;&gt;"",AB1493&lt;&gt;"")),"manuell übersteuert; ","")&amp;IF(AND(BW1493=0,R1493=0),"Gebinde unbekannt / Stellmass fehlt; ","")&amp;IF(AND(BW1493=0,N(V1493)&lt;=0,N(Q1493)&lt;=0),"Menge pro Gebinde fehlt (Ist = 1 Gebinde); ","")&amp;BR1493)</f>
        <v>Kein Verbrauch; nur im Artikelstamm (Bestand 23.06.2026)</v>
      </c>
      <c r="BK1493" s="48"/>
      <c r="BL1493" s="48"/>
      <c r="BM1493" s="55"/>
      <c r="BN1493" s="50" t="n">
        <v>14</v>
      </c>
      <c r="BO1493" s="50" t="n">
        <v>0</v>
      </c>
      <c r="BP1493" s="49" t="n">
        <v>0</v>
      </c>
      <c r="BQ1493" s="50" t="n">
        <v>0</v>
      </c>
      <c r="BR1493" s="48" t="s">
        <v>2579</v>
      </c>
      <c r="BS1493" s="53" t="n">
        <v>0</v>
      </c>
      <c r="BT1493" s="53" t="n">
        <v>1493</v>
      </c>
      <c r="BU1493" s="48" t="str">
        <f aca="false">IF(U1493&lt;&gt;"",UPPER(TRIM(U1493)),IF(BX1493=1,UPPER(VLOOKUP(T1493,Parameter!$I$27:$K$29,2,0)),IF(P1493="","LOSE",P1493)))</f>
        <v>S52</v>
      </c>
      <c r="BV1493" s="50" t="n">
        <f aca="false">IF(BU1493="LOSE",1,IF(N(V1493)&gt;0,V1493,IF(BX1493=1,MAX(1,N(VLOOKUP(T1493,Parameter!$I$27:$K$29,3,0)),H1493,N(N1493)),IF(N(Q1493)&gt;0,Q1493,MAX(1,H1493)))))</f>
        <v>14</v>
      </c>
      <c r="BW1493" s="53" t="n">
        <f aca="false">IF(BU1493="LOSE",1,0)</f>
        <v>0</v>
      </c>
      <c r="BX1493" s="53" t="n">
        <f aca="false">IF(AND(U1493="",OR(P1493="",P1493="LOSE"),T1493&lt;&gt;"",N(S1493)&lt;=0,ISNUMBER(MATCH(T1493,Parameter!$I$27:$I$29,0))),1,0)</f>
        <v>0</v>
      </c>
      <c r="BY1493" s="53" t="n">
        <f aca="false">IF(CL1493&gt;0,INDEX(Parameter!$H$5:$H$7,W1493)/INDEX(Parameter!$E$5:$E$7,W1493),IF(AND(BW1493=0,N(IFERROR(VLOOKUP(BU1493,'Gebinde-Kategorie'!$A$5:$N$45,14,0),0))&gt;0),VLOOKUP(BU1493,'Gebinde-Kategorie'!$A$5:$N$45,14,0)*10+Parameter!$M$23,Parameter!$M$24))</f>
        <v>245</v>
      </c>
      <c r="BZ1493" s="48" t="str">
        <f aca="false">IF(AND(Parameter!$B$19="Ja",E1493&lt;&gt;"",ISNUMBER(MATCH(E1493,Parameter!$I$35:$I$52,0))),VLOOKUP(E1493,Parameter!$I$35:$J$52,2,0),IFERROR(VLOOKUP(D1493,Parameter!$A$35:$C$64,2,0),"Nein"))</f>
        <v>2+3</v>
      </c>
      <c r="CA1493" s="52" t="n">
        <f aca="false">IF(BW1493=0,0,IF(N(S1493)&gt;0,S1493,IFERROR(VLOOKUP(D1493,Parameter!$A$35:$C$64,3,0)+0,0)))</f>
        <v>0</v>
      </c>
      <c r="CB1493" s="48" t="n">
        <f aca="false">IF(AA1493&lt;&gt;"",AA1493,Z1493)</f>
        <v>3</v>
      </c>
      <c r="CC1493" s="48" t="str">
        <f aca="false">IF(OR(CB1493=1,CB1493=2,CB1493=3),IF(Parameter!$E$27="Ja","LIFT",IF(CB1493=1,"L1","L23")),IF(CB1493="Aussen","Aussen","-"))</f>
        <v>LIFT</v>
      </c>
      <c r="CD1493" s="59" t="n">
        <f aca="false">IF(N(AB1493)&gt;0,AB1493,0)</f>
        <v>0</v>
      </c>
      <c r="CE1493" s="53" t="n">
        <f aca="false">IF(ISNUMBER(AE1493),1,0)</f>
        <v>0</v>
      </c>
      <c r="CF1493" s="50" t="n">
        <f aca="false">N(AE1493)</f>
        <v>0</v>
      </c>
      <c r="CG1493" s="50" t="n">
        <f aca="false">N(M1493)+N(N1493)</f>
        <v>2</v>
      </c>
      <c r="CH1493" s="50" t="n">
        <f aca="false">ROUNDUP(H1493/BV1493,0)</f>
        <v>1</v>
      </c>
      <c r="CI1493" s="50" t="n">
        <f aca="false">ROUNDUP(CF1493/BV1493,0)</f>
        <v>0</v>
      </c>
      <c r="CJ1493" s="53" t="n">
        <f aca="false">IF(BW1493=1,0,IFERROR(VLOOKUP(BU1493,'Gebinde-Kategorie'!$A$5:$N$45,5,0)+0,0))</f>
        <v>21</v>
      </c>
      <c r="CK1493" s="53" t="n">
        <f aca="false">IFERROR(IF(OR(CB1493=1,CB1493=2,CB1493=3),N(INDEX(Parameter!$I$5:$I$7,CB1493)),0),0)</f>
        <v>0</v>
      </c>
      <c r="CL1493" s="52" t="n">
        <f aca="false">IF(AND(Parameter!$B$21="Ja",ISNUMBER(W1493),N(X1493)&gt;0),IFERROR(N(INDEX(Parameter!$L$5:$L$7,W1493))*INDEX(Parameter!$E$5:$E$7,W1493)*X1493/SUMIFS($X$7:$X$1843,$W$7:$W$1843,W1493),0),0)</f>
        <v>0</v>
      </c>
    </row>
    <row r="1494" customFormat="false" ht="15" hidden="false" customHeight="false" outlineLevel="0" collapsed="false">
      <c r="A1494" s="48" t="s">
        <v>2615</v>
      </c>
      <c r="B1494" s="48" t="s">
        <v>2614</v>
      </c>
      <c r="C1494" s="48" t="s">
        <v>168</v>
      </c>
      <c r="D1494" s="48" t="s">
        <v>177</v>
      </c>
      <c r="E1494" s="48" t="s">
        <v>189</v>
      </c>
      <c r="F1494" s="48"/>
      <c r="G1494" s="49" t="n">
        <v>13.79</v>
      </c>
      <c r="H1494" s="50" t="n">
        <f aca="false">MAX(0,IF(AND(Parameter!$B$21="Ja",ISNUMBER(Y1494)),Y1494,IF(Parameter!$B$20="Jahresanfang 2025 + Export",BO1494+BN1494,BN1494)))</f>
        <v>24</v>
      </c>
      <c r="I1494" s="50" t="n">
        <f aca="false">H1494*G1494</f>
        <v>330.96</v>
      </c>
      <c r="J1494" s="50" t="n">
        <f aca="false">BQ1494*Parameter!$B$18</f>
        <v>0</v>
      </c>
      <c r="K1494" s="51"/>
      <c r="L1494" s="52"/>
      <c r="M1494" s="50" t="n">
        <v>0</v>
      </c>
      <c r="N1494" s="50" t="n">
        <v>2</v>
      </c>
      <c r="O1494" s="53" t="n">
        <v>0</v>
      </c>
      <c r="P1494" s="48" t="s">
        <v>237</v>
      </c>
      <c r="Q1494" s="50" t="n">
        <v>24</v>
      </c>
      <c r="R1494" s="53" t="n">
        <f aca="false">IF(BW1494=1,0,IFERROR(VLOOKUP(BU1494,'Gebinde-Kategorie'!$A$5:$N$45,13,0)+0,0))</f>
        <v>26</v>
      </c>
      <c r="S1494" s="54"/>
      <c r="T1494" s="55"/>
      <c r="U1494" s="55"/>
      <c r="V1494" s="55"/>
      <c r="W1494" s="48"/>
      <c r="X1494" s="50"/>
      <c r="Y1494" s="50"/>
      <c r="Z1494" s="48" t="n">
        <f aca="false">IF(A1494="","",IF(AND(Parameter!$B$21="Ja",ISNUMBER(W1494)),W1494,IF(BZ1494="2+3",IF(ISNUMBER(SEARCH("grosser Artikel",BR1494)),2,IFERROR(VLOOKUP(BU1494,Parameter!$F$35:$G$64,2,0),2)),IF(OR(BZ1494="Nein",BZ1494=""),"-",BZ1494))))</f>
        <v>3</v>
      </c>
      <c r="AA1494" s="55"/>
      <c r="AB1494" s="56"/>
      <c r="AC1494" s="50" t="n">
        <f aca="false">AT1494</f>
        <v>24</v>
      </c>
      <c r="AD1494" s="50" t="n">
        <f aca="false">MAX(AT1494,H1494)</f>
        <v>24</v>
      </c>
      <c r="AE1494" s="57"/>
      <c r="AF1494" s="50" t="n">
        <f aca="false">IF(LEFT(Cockpit!$C$5,1)="A",H1494,IF(CE1494=1,CF1494,IF(LEFT(Cockpit!$C$5,1)="B",AK1494,MAX(AK1494,H1494))))</f>
        <v>24</v>
      </c>
      <c r="AG1494" s="50" t="n">
        <f aca="false">IF(BW1494=1,0,ROUNDUP(AF1494/BV1494,0))</f>
        <v>1</v>
      </c>
      <c r="AH1494" s="52" t="n">
        <f aca="false">IF(CL1494&gt;0,CL1494*MAX(1,AF1494/X1494),IF(BW1494=1,IF(AF1494&lt;=0,0,CA1494*MAX(1,IF(H1494&gt;0,AF1494/H1494,1))),IF(R1494&gt;0,AG1494/R1494,0))/MAX(0.1,N(Parameter!$M$21)))</f>
        <v>0.0384615384615385</v>
      </c>
      <c r="AI1494" s="50" t="n">
        <f aca="false">AH1494*BY1494</f>
        <v>9.42307692307692</v>
      </c>
      <c r="AJ1494" s="50" t="n">
        <f aca="false">AF1494*G1494</f>
        <v>330.96</v>
      </c>
      <c r="AK1494" s="50" t="n">
        <f aca="false">ROUNDUP(MAX(J1494/IF(CD1494&gt;0,CD1494,MAX(0.1,N(Cockpit!$C$6))),CG1494)/BV1494,0)*BV1494</f>
        <v>24</v>
      </c>
      <c r="AL1494" s="51" t="n">
        <f aca="false">IF(AI1494&gt;0,J1494/AI1494,-1)</f>
        <v>0</v>
      </c>
      <c r="AM1494" s="51" t="n">
        <f aca="false">IF(AND(OR(CC1494="L1",CC1494="L23",CC1494="LIFT"),AI1494&gt;0),SUMIFS($AI$7:$AI$1843,$CC$7:$CC$1843,CC1494,$AL$7:$AL$1843,"&gt;"&amp;AL1494)+SUMIFS($AI$7:$AI$1843,$CC$7:$CC$1843,CC1494,$AL$7:$AL$1843,AL1494,$BT$7:$BT$1843,"&lt;="&amp;BT1494),"")</f>
        <v>29815.9655144761</v>
      </c>
      <c r="AN1494" s="58" t="n">
        <f aca="false">IF(AM1494="",0,MAX(0,MIN(1,(IF(CC1494="L1",Parameter!$H$5,IF(CC1494="L23",Parameter!$H$6+Parameter!$H$7,Parameter!$H$5+Parameter!$H$6+Parameter!$H$7))-(AM1494-AI1494))/AI1494)))</f>
        <v>1</v>
      </c>
      <c r="AO1494" s="50" t="n">
        <f aca="false">IF(LEFT(Cockpit!$I$5,1)="A",H1494,IF(CE1494=1,CF1494,IF(LEFT(Cockpit!$I$5,1)="B",AT1494,MAX(AT1494,H1494))))</f>
        <v>24</v>
      </c>
      <c r="AP1494" s="50" t="n">
        <f aca="false">IF(BW1494=1,0,ROUNDUP(AO1494/BV1494,0))</f>
        <v>1</v>
      </c>
      <c r="AQ1494" s="52" t="n">
        <f aca="false">IF(CL1494&gt;0,CL1494*MAX(1,AO1494/X1494),IF(BW1494=1,IF(AO1494&lt;=0,0,CA1494*MAX(1,IF(H1494&gt;0,AO1494/H1494,1))),IF(R1494&gt;0,AP1494/R1494,0))/MAX(0.1,N(Parameter!$M$21)))</f>
        <v>0.0384615384615385</v>
      </c>
      <c r="AR1494" s="50" t="n">
        <f aca="false">AQ1494*BY1494</f>
        <v>9.42307692307692</v>
      </c>
      <c r="AS1494" s="50" t="n">
        <f aca="false">AO1494*G1494</f>
        <v>330.96</v>
      </c>
      <c r="AT1494" s="50" t="n">
        <f aca="false">ROUNDUP(MAX(J1494/IF(CD1494&gt;0,CD1494,MAX(0.1,N(Cockpit!$I$6))),CG1494)/BV1494,0)*BV1494</f>
        <v>24</v>
      </c>
      <c r="AU1494" s="51" t="n">
        <f aca="false">IF(AR1494&gt;0,J1494/AR1494,-1)</f>
        <v>0</v>
      </c>
      <c r="AV1494" s="51" t="n">
        <f aca="false">IF(AND(OR(CC1494="L1",CC1494="L23",CC1494="LIFT"),AR1494&gt;0),SUMIFS($AR$7:$AR$1843,$CC$7:$CC$1843,CC1494,$AU$7:$AU$1843,"&gt;"&amp;AU1494)+SUMIFS($AR$7:$AR$1843,$CC$7:$CC$1843,CC1494,$AU$7:$AU$1843,AU1494,$BT$7:$BT$1843,"&lt;="&amp;BT1494),"")</f>
        <v>42107.8000610501</v>
      </c>
      <c r="AW1494" s="58" t="n">
        <f aca="false">IF(AV1494="",0,MAX(0,MIN(1,(IF(CC1494="L1",Parameter!$H$5,IF(CC1494="L23",Parameter!$H$6+Parameter!$H$7,Parameter!$H$5+Parameter!$H$6+Parameter!$H$7))-(AV1494-AR1494))/AR1494)))</f>
        <v>0</v>
      </c>
      <c r="AX1494" s="50" t="n">
        <f aca="false">IF(LEFT(Cockpit!$O$5,1)="A",H1494,IF(CE1494=1,CF1494,IF(LEFT(Cockpit!$O$5,1)="B",BC1494,MAX(BC1494,H1494))))</f>
        <v>24</v>
      </c>
      <c r="AY1494" s="50" t="n">
        <f aca="false">IF(BW1494=1,0,ROUNDUP(AX1494/BV1494,0))</f>
        <v>1</v>
      </c>
      <c r="AZ1494" s="52" t="n">
        <f aca="false">IF(CL1494&gt;0,CL1494*MAX(1,AX1494/X1494),IF(BW1494=1,IF(AX1494&lt;=0,0,CA1494*MAX(1,IF(H1494&gt;0,AX1494/H1494,1))),IF(R1494&gt;0,AY1494/R1494,0))/MAX(0.1,N(Parameter!$M$21)))</f>
        <v>0.0384615384615385</v>
      </c>
      <c r="BA1494" s="50" t="n">
        <f aca="false">AZ1494*BY1494</f>
        <v>9.42307692307692</v>
      </c>
      <c r="BB1494" s="50" t="n">
        <f aca="false">AX1494*G1494</f>
        <v>330.96</v>
      </c>
      <c r="BC1494" s="50" t="n">
        <f aca="false">ROUNDUP(MAX(J1494/IF(CD1494&gt;0,CD1494,MAX(0.1,N(Cockpit!$O$6))),CG1494)/BV1494,0)*BV1494</f>
        <v>24</v>
      </c>
      <c r="BD1494" s="51" t="n">
        <f aca="false">IF(BA1494&gt;0,J1494/BA1494,-1)</f>
        <v>0</v>
      </c>
      <c r="BE1494" s="51" t="n">
        <f aca="false">IF(AND(OR(CC1494="L1",CC1494="L23",CC1494="LIFT"),BA1494&gt;0),SUMIFS($BA$7:$BA$1843,$CC$7:$CC$1843,CC1494,$BD$7:$BD$1843,"&gt;"&amp;BD1494)+SUMIFS($BA$7:$BA$1843,$CC$7:$CC$1843,CC1494,$BD$7:$BD$1843,BD1494,$BT$7:$BT$1843,"&lt;="&amp;BT1494),"")</f>
        <v>38782.8121029159</v>
      </c>
      <c r="BF1494" s="58" t="n">
        <f aca="false">IF(BE1494="",0,MAX(0,MIN(1,(IF(CC1494="L1",Parameter!$H$5,IF(CC1494="L23",Parameter!$H$6+Parameter!$H$7,Parameter!$H$5+Parameter!$H$6+Parameter!$H$7))-(BE1494-BA1494))/BA1494)))</f>
        <v>0</v>
      </c>
      <c r="BG1494" s="48" t="str">
        <f aca="false">IF(AI1494&lt;=0,"",IF(CC1494="Aussen","Aussenlager",IF(CC1494="-","Nicht im Lift",IF(AN1494&gt;=1,"Lift",IF(AN1494&lt;=0,"Aussenlager","teilweise")))))</f>
        <v>Lift</v>
      </c>
      <c r="BH1494" s="48" t="str">
        <f aca="false">IF(AR1494&lt;=0,"",IF(CC1494="Aussen","Aussenlager",IF(CC1494="-","Nicht im Lift",IF(AW1494&gt;=1,"Lift",IF(AW1494&lt;=0,"Aussenlager","teilweise")))))</f>
        <v>Aussenlager</v>
      </c>
      <c r="BI1494" s="48" t="str">
        <f aca="false">IF(BA1494&lt;=0,"",IF(CC1494="Aussen","Aussenlager",IF(CC1494="-","Nicht im Lift",IF(BF1494&gt;=1,"Lift",IF(BF1494&lt;=0,"Aussenlager","teilweise")))))</f>
        <v>Aussenlager</v>
      </c>
      <c r="BJ1494" s="48" t="str">
        <f aca="false">IF(A1494="","",IF(BS1494=1,"Neu; ","")&amp;IF(AND(BS1494=0,BN1494&lt;0),"negativer Bestand (Export "&amp;BN1494&amp;"); ","")&amp;IF(J1494&lt;=0,"Kein Verbrauch; ","")&amp;IF(CL1494&gt;0,"Lift "&amp;W1494&amp;" lt. Liftbericht (Fach "&amp;X1494&amp;" Stk); ",IF(BX1494=1,"Gebinde geschätzt ("&amp;T1494&amp;"); ",IF(BW1494=1,"Lose – Tablare geschätzt; ","")))&amp;IF(H1494&gt;AT1494,"Überbestand "&amp;ROUND(H1494-AT1494,0)&amp;" Stk / CHF "&amp;ROUND((H1494-AT1494)*G1494,0)&amp;"; ","")&amp;IF(AND(CE1494=1,CF1494&lt;CG1494),"MAX &lt; MB+LG; ","")&amp;IF(AND(CK1494&gt;0,CJ1494*10&gt;CK1494),"zu hoch für Tablar; ","")&amp;IF(AND(BS1494=0,OR(CE1494=1,AA1494&lt;&gt;"",U1494&lt;&gt;"",V1494&lt;&gt;"",AB1494&lt;&gt;"")),"manuell übersteuert; ","")&amp;IF(AND(BW1494=0,R1494=0),"Gebinde unbekannt / Stellmass fehlt; ","")&amp;IF(AND(BW1494=0,N(V1494)&lt;=0,N(Q1494)&lt;=0),"Menge pro Gebinde fehlt (Ist = 1 Gebinde); ","")&amp;BR1494)</f>
        <v>Kein Verbrauch; nur im Artikelstamm (Bestand 23.06.2026)</v>
      </c>
      <c r="BK1494" s="48"/>
      <c r="BL1494" s="48"/>
      <c r="BM1494" s="55"/>
      <c r="BN1494" s="50" t="n">
        <v>24</v>
      </c>
      <c r="BO1494" s="50" t="n">
        <v>0</v>
      </c>
      <c r="BP1494" s="49" t="n">
        <v>0</v>
      </c>
      <c r="BQ1494" s="50" t="n">
        <v>0</v>
      </c>
      <c r="BR1494" s="48" t="s">
        <v>2579</v>
      </c>
      <c r="BS1494" s="53" t="n">
        <v>0</v>
      </c>
      <c r="BT1494" s="53" t="n">
        <v>1494</v>
      </c>
      <c r="BU1494" s="48" t="str">
        <f aca="false">IF(U1494&lt;&gt;"",UPPER(TRIM(U1494)),IF(BX1494=1,UPPER(VLOOKUP(T1494,Parameter!$I$27:$K$29,2,0)),IF(P1494="","LOSE",P1494)))</f>
        <v>S52</v>
      </c>
      <c r="BV1494" s="50" t="n">
        <f aca="false">IF(BU1494="LOSE",1,IF(N(V1494)&gt;0,V1494,IF(BX1494=1,MAX(1,N(VLOOKUP(T1494,Parameter!$I$27:$K$29,3,0)),H1494,N(N1494)),IF(N(Q1494)&gt;0,Q1494,MAX(1,H1494)))))</f>
        <v>24</v>
      </c>
      <c r="BW1494" s="53" t="n">
        <f aca="false">IF(BU1494="LOSE",1,0)</f>
        <v>0</v>
      </c>
      <c r="BX1494" s="53" t="n">
        <f aca="false">IF(AND(U1494="",OR(P1494="",P1494="LOSE"),T1494&lt;&gt;"",N(S1494)&lt;=0,ISNUMBER(MATCH(T1494,Parameter!$I$27:$I$29,0))),1,0)</f>
        <v>0</v>
      </c>
      <c r="BY1494" s="53" t="n">
        <f aca="false">IF(CL1494&gt;0,INDEX(Parameter!$H$5:$H$7,W1494)/INDEX(Parameter!$E$5:$E$7,W1494),IF(AND(BW1494=0,N(IFERROR(VLOOKUP(BU1494,'Gebinde-Kategorie'!$A$5:$N$45,14,0),0))&gt;0),VLOOKUP(BU1494,'Gebinde-Kategorie'!$A$5:$N$45,14,0)*10+Parameter!$M$23,Parameter!$M$24))</f>
        <v>245</v>
      </c>
      <c r="BZ1494" s="48" t="str">
        <f aca="false">IF(AND(Parameter!$B$19="Ja",E1494&lt;&gt;"",ISNUMBER(MATCH(E1494,Parameter!$I$35:$I$52,0))),VLOOKUP(E1494,Parameter!$I$35:$J$52,2,0),IFERROR(VLOOKUP(D1494,Parameter!$A$35:$C$64,2,0),"Nein"))</f>
        <v>2+3</v>
      </c>
      <c r="CA1494" s="52" t="n">
        <f aca="false">IF(BW1494=0,0,IF(N(S1494)&gt;0,S1494,IFERROR(VLOOKUP(D1494,Parameter!$A$35:$C$64,3,0)+0,0)))</f>
        <v>0</v>
      </c>
      <c r="CB1494" s="48" t="n">
        <f aca="false">IF(AA1494&lt;&gt;"",AA1494,Z1494)</f>
        <v>3</v>
      </c>
      <c r="CC1494" s="48" t="str">
        <f aca="false">IF(OR(CB1494=1,CB1494=2,CB1494=3),IF(Parameter!$E$27="Ja","LIFT",IF(CB1494=1,"L1","L23")),IF(CB1494="Aussen","Aussen","-"))</f>
        <v>LIFT</v>
      </c>
      <c r="CD1494" s="59" t="n">
        <f aca="false">IF(N(AB1494)&gt;0,AB1494,0)</f>
        <v>0</v>
      </c>
      <c r="CE1494" s="53" t="n">
        <f aca="false">IF(ISNUMBER(AE1494),1,0)</f>
        <v>0</v>
      </c>
      <c r="CF1494" s="50" t="n">
        <f aca="false">N(AE1494)</f>
        <v>0</v>
      </c>
      <c r="CG1494" s="50" t="n">
        <f aca="false">N(M1494)+N(N1494)</f>
        <v>2</v>
      </c>
      <c r="CH1494" s="50" t="n">
        <f aca="false">ROUNDUP(H1494/BV1494,0)</f>
        <v>1</v>
      </c>
      <c r="CI1494" s="50" t="n">
        <f aca="false">ROUNDUP(CF1494/BV1494,0)</f>
        <v>0</v>
      </c>
      <c r="CJ1494" s="53" t="n">
        <f aca="false">IF(BW1494=1,0,IFERROR(VLOOKUP(BU1494,'Gebinde-Kategorie'!$A$5:$N$45,5,0)+0,0))</f>
        <v>21</v>
      </c>
      <c r="CK1494" s="53" t="n">
        <f aca="false">IFERROR(IF(OR(CB1494=1,CB1494=2,CB1494=3),N(INDEX(Parameter!$I$5:$I$7,CB1494)),0),0)</f>
        <v>0</v>
      </c>
      <c r="CL1494" s="52" t="n">
        <f aca="false">IF(AND(Parameter!$B$21="Ja",ISNUMBER(W1494),N(X1494)&gt;0),IFERROR(N(INDEX(Parameter!$L$5:$L$7,W1494))*INDEX(Parameter!$E$5:$E$7,W1494)*X1494/SUMIFS($X$7:$X$1843,$W$7:$W$1843,W1494),0),0)</f>
        <v>0</v>
      </c>
    </row>
    <row r="1495" customFormat="false" ht="15" hidden="false" customHeight="false" outlineLevel="0" collapsed="false">
      <c r="A1495" s="48" t="s">
        <v>2616</v>
      </c>
      <c r="B1495" s="48" t="s">
        <v>2617</v>
      </c>
      <c r="C1495" s="48" t="s">
        <v>168</v>
      </c>
      <c r="D1495" s="48" t="s">
        <v>188</v>
      </c>
      <c r="E1495" s="48" t="s">
        <v>189</v>
      </c>
      <c r="F1495" s="48"/>
      <c r="G1495" s="49" t="n">
        <v>5.3</v>
      </c>
      <c r="H1495" s="50" t="n">
        <f aca="false">MAX(0,IF(AND(Parameter!$B$21="Ja",ISNUMBER(Y1495)),Y1495,IF(Parameter!$B$20="Jahresanfang 2025 + Export",BO1495+BN1495,BN1495)))</f>
        <v>18</v>
      </c>
      <c r="I1495" s="50" t="n">
        <f aca="false">H1495*G1495</f>
        <v>95.4</v>
      </c>
      <c r="J1495" s="50" t="n">
        <f aca="false">BQ1495*Parameter!$B$18</f>
        <v>0</v>
      </c>
      <c r="K1495" s="51"/>
      <c r="L1495" s="52"/>
      <c r="M1495" s="50" t="n">
        <v>0</v>
      </c>
      <c r="N1495" s="50" t="n">
        <v>10</v>
      </c>
      <c r="O1495" s="53" t="n">
        <v>14</v>
      </c>
      <c r="P1495" s="48" t="s">
        <v>405</v>
      </c>
      <c r="Q1495" s="50" t="n">
        <v>18</v>
      </c>
      <c r="R1495" s="53" t="n">
        <f aca="false">IF(BW1495=1,0,IFERROR(VLOOKUP(BU1495,'Gebinde-Kategorie'!$A$5:$N$45,13,0)+0,0))</f>
        <v>280</v>
      </c>
      <c r="S1495" s="54"/>
      <c r="T1495" s="55"/>
      <c r="U1495" s="55"/>
      <c r="V1495" s="55"/>
      <c r="W1495" s="48"/>
      <c r="X1495" s="50"/>
      <c r="Y1495" s="50"/>
      <c r="Z1495" s="48" t="n">
        <f aca="false">IF(A1495="","",IF(AND(Parameter!$B$21="Ja",ISNUMBER(W1495)),W1495,IF(BZ1495="2+3",IF(ISNUMBER(SEARCH("grosser Artikel",BR1495)),2,IFERROR(VLOOKUP(BU1495,Parameter!$F$35:$G$64,2,0),2)),IF(OR(BZ1495="Nein",BZ1495=""),"-",BZ1495))))</f>
        <v>3</v>
      </c>
      <c r="AA1495" s="55"/>
      <c r="AB1495" s="56"/>
      <c r="AC1495" s="50" t="n">
        <f aca="false">AT1495</f>
        <v>18</v>
      </c>
      <c r="AD1495" s="50" t="n">
        <f aca="false">MAX(AT1495,H1495)</f>
        <v>18</v>
      </c>
      <c r="AE1495" s="57"/>
      <c r="AF1495" s="50" t="n">
        <f aca="false">IF(LEFT(Cockpit!$C$5,1)="A",H1495,IF(CE1495=1,CF1495,IF(LEFT(Cockpit!$C$5,1)="B",AK1495,MAX(AK1495,H1495))))</f>
        <v>18</v>
      </c>
      <c r="AG1495" s="50" t="n">
        <f aca="false">IF(BW1495=1,0,ROUNDUP(AF1495/BV1495,0))</f>
        <v>1</v>
      </c>
      <c r="AH1495" s="52" t="n">
        <f aca="false">IF(CL1495&gt;0,CL1495*MAX(1,AF1495/X1495),IF(BW1495=1,IF(AF1495&lt;=0,0,CA1495*MAX(1,IF(H1495&gt;0,AF1495/H1495,1))),IF(R1495&gt;0,AG1495/R1495,0))/MAX(0.1,N(Parameter!$M$21)))</f>
        <v>0.00357142857142857</v>
      </c>
      <c r="AI1495" s="50" t="n">
        <f aca="false">AH1495*BY1495</f>
        <v>0.553571428571429</v>
      </c>
      <c r="AJ1495" s="50" t="n">
        <f aca="false">AF1495*G1495</f>
        <v>95.4</v>
      </c>
      <c r="AK1495" s="50" t="n">
        <f aca="false">ROUNDUP(MAX(J1495/IF(CD1495&gt;0,CD1495,MAX(0.1,N(Cockpit!$C$6))),CG1495)/BV1495,0)*BV1495</f>
        <v>18</v>
      </c>
      <c r="AL1495" s="51" t="n">
        <f aca="false">IF(AI1495&gt;0,J1495/AI1495,-1)</f>
        <v>0</v>
      </c>
      <c r="AM1495" s="51" t="n">
        <f aca="false">IF(AND(OR(CC1495="L1",CC1495="L23",CC1495="LIFT"),AI1495&gt;0),SUMIFS($AI$7:$AI$1843,$CC$7:$CC$1843,CC1495,$AL$7:$AL$1843,"&gt;"&amp;AL1495)+SUMIFS($AI$7:$AI$1843,$CC$7:$CC$1843,CC1495,$AL$7:$AL$1843,AL1495,$BT$7:$BT$1843,"&lt;="&amp;BT1495),"")</f>
        <v>29816.5190859047</v>
      </c>
      <c r="AN1495" s="58" t="n">
        <f aca="false">IF(AM1495="",0,MAX(0,MIN(1,(IF(CC1495="L1",Parameter!$H$5,IF(CC1495="L23",Parameter!$H$6+Parameter!$H$7,Parameter!$H$5+Parameter!$H$6+Parameter!$H$7))-(AM1495-AI1495))/AI1495)))</f>
        <v>1</v>
      </c>
      <c r="AO1495" s="50" t="n">
        <f aca="false">IF(LEFT(Cockpit!$I$5,1)="A",H1495,IF(CE1495=1,CF1495,IF(LEFT(Cockpit!$I$5,1)="B",AT1495,MAX(AT1495,H1495))))</f>
        <v>18</v>
      </c>
      <c r="AP1495" s="50" t="n">
        <f aca="false">IF(BW1495=1,0,ROUNDUP(AO1495/BV1495,0))</f>
        <v>1</v>
      </c>
      <c r="AQ1495" s="52" t="n">
        <f aca="false">IF(CL1495&gt;0,CL1495*MAX(1,AO1495/X1495),IF(BW1495=1,IF(AO1495&lt;=0,0,CA1495*MAX(1,IF(H1495&gt;0,AO1495/H1495,1))),IF(R1495&gt;0,AP1495/R1495,0))/MAX(0.1,N(Parameter!$M$21)))</f>
        <v>0.00357142857142857</v>
      </c>
      <c r="AR1495" s="50" t="n">
        <f aca="false">AQ1495*BY1495</f>
        <v>0.553571428571429</v>
      </c>
      <c r="AS1495" s="50" t="n">
        <f aca="false">AO1495*G1495</f>
        <v>95.4</v>
      </c>
      <c r="AT1495" s="50" t="n">
        <f aca="false">ROUNDUP(MAX(J1495/IF(CD1495&gt;0,CD1495,MAX(0.1,N(Cockpit!$I$6))),CG1495)/BV1495,0)*BV1495</f>
        <v>18</v>
      </c>
      <c r="AU1495" s="51" t="n">
        <f aca="false">IF(AR1495&gt;0,J1495/AR1495,-1)</f>
        <v>0</v>
      </c>
      <c r="AV1495" s="51" t="n">
        <f aca="false">IF(AND(OR(CC1495="L1",CC1495="L23",CC1495="LIFT"),AR1495&gt;0),SUMIFS($AR$7:$AR$1843,$CC$7:$CC$1843,CC1495,$AU$7:$AU$1843,"&gt;"&amp;AU1495)+SUMIFS($AR$7:$AR$1843,$CC$7:$CC$1843,CC1495,$AU$7:$AU$1843,AU1495,$BT$7:$BT$1843,"&lt;="&amp;BT1495),"")</f>
        <v>42108.3536324786</v>
      </c>
      <c r="AW1495" s="58" t="n">
        <f aca="false">IF(AV1495="",0,MAX(0,MIN(1,(IF(CC1495="L1",Parameter!$H$5,IF(CC1495="L23",Parameter!$H$6+Parameter!$H$7,Parameter!$H$5+Parameter!$H$6+Parameter!$H$7))-(AV1495-AR1495))/AR1495)))</f>
        <v>0</v>
      </c>
      <c r="AX1495" s="50" t="n">
        <f aca="false">IF(LEFT(Cockpit!$O$5,1)="A",H1495,IF(CE1495=1,CF1495,IF(LEFT(Cockpit!$O$5,1)="B",BC1495,MAX(BC1495,H1495))))</f>
        <v>18</v>
      </c>
      <c r="AY1495" s="50" t="n">
        <f aca="false">IF(BW1495=1,0,ROUNDUP(AX1495/BV1495,0))</f>
        <v>1</v>
      </c>
      <c r="AZ1495" s="52" t="n">
        <f aca="false">IF(CL1495&gt;0,CL1495*MAX(1,AX1495/X1495),IF(BW1495=1,IF(AX1495&lt;=0,0,CA1495*MAX(1,IF(H1495&gt;0,AX1495/H1495,1))),IF(R1495&gt;0,AY1495/R1495,0))/MAX(0.1,N(Parameter!$M$21)))</f>
        <v>0.00357142857142857</v>
      </c>
      <c r="BA1495" s="50" t="n">
        <f aca="false">AZ1495*BY1495</f>
        <v>0.553571428571429</v>
      </c>
      <c r="BB1495" s="50" t="n">
        <f aca="false">AX1495*G1495</f>
        <v>95.4</v>
      </c>
      <c r="BC1495" s="50" t="n">
        <f aca="false">ROUNDUP(MAX(J1495/IF(CD1495&gt;0,CD1495,MAX(0.1,N(Cockpit!$O$6))),CG1495)/BV1495,0)*BV1495</f>
        <v>18</v>
      </c>
      <c r="BD1495" s="51" t="n">
        <f aca="false">IF(BA1495&gt;0,J1495/BA1495,-1)</f>
        <v>0</v>
      </c>
      <c r="BE1495" s="51" t="n">
        <f aca="false">IF(AND(OR(CC1495="L1",CC1495="L23",CC1495="LIFT"),BA1495&gt;0),SUMIFS($BA$7:$BA$1843,$CC$7:$CC$1843,CC1495,$BD$7:$BD$1843,"&gt;"&amp;BD1495)+SUMIFS($BA$7:$BA$1843,$CC$7:$CC$1843,CC1495,$BD$7:$BD$1843,BD1495,$BT$7:$BT$1843,"&lt;="&amp;BT1495),"")</f>
        <v>38783.3656743445</v>
      </c>
      <c r="BF1495" s="58" t="n">
        <f aca="false">IF(BE1495="",0,MAX(0,MIN(1,(IF(CC1495="L1",Parameter!$H$5,IF(CC1495="L23",Parameter!$H$6+Parameter!$H$7,Parameter!$H$5+Parameter!$H$6+Parameter!$H$7))-(BE1495-BA1495))/BA1495)))</f>
        <v>0</v>
      </c>
      <c r="BG1495" s="48" t="str">
        <f aca="false">IF(AI1495&lt;=0,"",IF(CC1495="Aussen","Aussenlager",IF(CC1495="-","Nicht im Lift",IF(AN1495&gt;=1,"Lift",IF(AN1495&lt;=0,"Aussenlager","teilweise")))))</f>
        <v>Lift</v>
      </c>
      <c r="BH1495" s="48" t="str">
        <f aca="false">IF(AR1495&lt;=0,"",IF(CC1495="Aussen","Aussenlager",IF(CC1495="-","Nicht im Lift",IF(AW1495&gt;=1,"Lift",IF(AW1495&lt;=0,"Aussenlager","teilweise")))))</f>
        <v>Aussenlager</v>
      </c>
      <c r="BI1495" s="48" t="str">
        <f aca="false">IF(BA1495&lt;=0,"",IF(CC1495="Aussen","Aussenlager",IF(CC1495="-","Nicht im Lift",IF(BF1495&gt;=1,"Lift",IF(BF1495&lt;=0,"Aussenlager","teilweise")))))</f>
        <v>Aussenlager</v>
      </c>
      <c r="BJ1495" s="48" t="str">
        <f aca="false">IF(A1495="","",IF(BS1495=1,"Neu; ","")&amp;IF(AND(BS1495=0,BN1495&lt;0),"negativer Bestand (Export "&amp;BN1495&amp;"); ","")&amp;IF(J1495&lt;=0,"Kein Verbrauch; ","")&amp;IF(CL1495&gt;0,"Lift "&amp;W1495&amp;" lt. Liftbericht (Fach "&amp;X1495&amp;" Stk); ",IF(BX1495=1,"Gebinde geschätzt ("&amp;T1495&amp;"); ",IF(BW1495=1,"Lose – Tablare geschätzt; ","")))&amp;IF(H1495&gt;AT1495,"Überbestand "&amp;ROUND(H1495-AT1495,0)&amp;" Stk / CHF "&amp;ROUND((H1495-AT1495)*G1495,0)&amp;"; ","")&amp;IF(AND(CE1495=1,CF1495&lt;CG1495),"MAX &lt; MB+LG; ","")&amp;IF(AND(CK1495&gt;0,CJ1495*10&gt;CK1495),"zu hoch für Tablar; ","")&amp;IF(AND(BS1495=0,OR(CE1495=1,AA1495&lt;&gt;"",U1495&lt;&gt;"",V1495&lt;&gt;"",AB1495&lt;&gt;"")),"manuell übersteuert; ","")&amp;IF(AND(BW1495=0,R1495=0),"Gebinde unbekannt / Stellmass fehlt; ","")&amp;IF(AND(BW1495=0,N(V1495)&lt;=0,N(Q1495)&lt;=0),"Menge pro Gebinde fehlt (Ist = 1 Gebinde); ","")&amp;BR1495)</f>
        <v>Kein Verbrauch; nur im Artikelstamm (Bestand 23.06.2026)</v>
      </c>
      <c r="BK1495" s="48"/>
      <c r="BL1495" s="48"/>
      <c r="BM1495" s="55"/>
      <c r="BN1495" s="50" t="n">
        <v>18</v>
      </c>
      <c r="BO1495" s="50" t="n">
        <v>0</v>
      </c>
      <c r="BP1495" s="49" t="n">
        <v>0</v>
      </c>
      <c r="BQ1495" s="50" t="n">
        <v>0</v>
      </c>
      <c r="BR1495" s="48" t="s">
        <v>2579</v>
      </c>
      <c r="BS1495" s="53" t="n">
        <v>0</v>
      </c>
      <c r="BT1495" s="53" t="n">
        <v>1495</v>
      </c>
      <c r="BU1495" s="48" t="str">
        <f aca="false">IF(U1495&lt;&gt;"",UPPER(TRIM(U1495)),IF(BX1495=1,UPPER(VLOOKUP(T1495,Parameter!$I$27:$K$29,2,0)),IF(P1495="","LOSE",P1495)))</f>
        <v>S21</v>
      </c>
      <c r="BV1495" s="50" t="n">
        <f aca="false">IF(BU1495="LOSE",1,IF(N(V1495)&gt;0,V1495,IF(BX1495=1,MAX(1,N(VLOOKUP(T1495,Parameter!$I$27:$K$29,3,0)),H1495,N(N1495)),IF(N(Q1495)&gt;0,Q1495,MAX(1,H1495)))))</f>
        <v>18</v>
      </c>
      <c r="BW1495" s="53" t="n">
        <f aca="false">IF(BU1495="LOSE",1,0)</f>
        <v>0</v>
      </c>
      <c r="BX1495" s="53" t="n">
        <f aca="false">IF(AND(U1495="",OR(P1495="",P1495="LOSE"),T1495&lt;&gt;"",N(S1495)&lt;=0,ISNUMBER(MATCH(T1495,Parameter!$I$27:$I$29,0))),1,0)</f>
        <v>0</v>
      </c>
      <c r="BY1495" s="53" t="n">
        <f aca="false">IF(CL1495&gt;0,INDEX(Parameter!$H$5:$H$7,W1495)/INDEX(Parameter!$E$5:$E$7,W1495),IF(AND(BW1495=0,N(IFERROR(VLOOKUP(BU1495,'Gebinde-Kategorie'!$A$5:$N$45,14,0),0))&gt;0),VLOOKUP(BU1495,'Gebinde-Kategorie'!$A$5:$N$45,14,0)*10+Parameter!$M$23,Parameter!$M$24))</f>
        <v>155</v>
      </c>
      <c r="BZ1495" s="48" t="str">
        <f aca="false">IF(AND(Parameter!$B$19="Ja",E1495&lt;&gt;"",ISNUMBER(MATCH(E1495,Parameter!$I$35:$I$52,0))),VLOOKUP(E1495,Parameter!$I$35:$J$52,2,0),IFERROR(VLOOKUP(D1495,Parameter!$A$35:$C$64,2,0),"Nein"))</f>
        <v>2+3</v>
      </c>
      <c r="CA1495" s="52" t="n">
        <f aca="false">IF(BW1495=0,0,IF(N(S1495)&gt;0,S1495,IFERROR(VLOOKUP(D1495,Parameter!$A$35:$C$64,3,0)+0,0)))</f>
        <v>0</v>
      </c>
      <c r="CB1495" s="48" t="n">
        <f aca="false">IF(AA1495&lt;&gt;"",AA1495,Z1495)</f>
        <v>3</v>
      </c>
      <c r="CC1495" s="48" t="str">
        <f aca="false">IF(OR(CB1495=1,CB1495=2,CB1495=3),IF(Parameter!$E$27="Ja","LIFT",IF(CB1495=1,"L1","L23")),IF(CB1495="Aussen","Aussen","-"))</f>
        <v>LIFT</v>
      </c>
      <c r="CD1495" s="59" t="n">
        <f aca="false">IF(N(AB1495)&gt;0,AB1495,0)</f>
        <v>0</v>
      </c>
      <c r="CE1495" s="53" t="n">
        <f aca="false">IF(ISNUMBER(AE1495),1,0)</f>
        <v>0</v>
      </c>
      <c r="CF1495" s="50" t="n">
        <f aca="false">N(AE1495)</f>
        <v>0</v>
      </c>
      <c r="CG1495" s="50" t="n">
        <f aca="false">N(M1495)+N(N1495)</f>
        <v>10</v>
      </c>
      <c r="CH1495" s="50" t="n">
        <f aca="false">ROUNDUP(H1495/BV1495,0)</f>
        <v>1</v>
      </c>
      <c r="CI1495" s="50" t="n">
        <f aca="false">ROUNDUP(CF1495/BV1495,0)</f>
        <v>0</v>
      </c>
      <c r="CJ1495" s="53" t="n">
        <f aca="false">IF(BW1495=1,0,IFERROR(VLOOKUP(BU1495,'Gebinde-Kategorie'!$A$5:$N$45,5,0)+0,0))</f>
        <v>8</v>
      </c>
      <c r="CK1495" s="53" t="n">
        <f aca="false">IFERROR(IF(OR(CB1495=1,CB1495=2,CB1495=3),N(INDEX(Parameter!$I$5:$I$7,CB1495)),0),0)</f>
        <v>0</v>
      </c>
      <c r="CL1495" s="52" t="n">
        <f aca="false">IF(AND(Parameter!$B$21="Ja",ISNUMBER(W1495),N(X1495)&gt;0),IFERROR(N(INDEX(Parameter!$L$5:$L$7,W1495))*INDEX(Parameter!$E$5:$E$7,W1495)*X1495/SUMIFS($X$7:$X$1843,$W$7:$W$1843,W1495),0),0)</f>
        <v>0</v>
      </c>
    </row>
    <row r="1496" customFormat="false" ht="15" hidden="false" customHeight="false" outlineLevel="0" collapsed="false">
      <c r="A1496" s="48" t="s">
        <v>2618</v>
      </c>
      <c r="B1496" s="48" t="s">
        <v>2619</v>
      </c>
      <c r="C1496" s="48" t="s">
        <v>168</v>
      </c>
      <c r="D1496" s="48" t="s">
        <v>188</v>
      </c>
      <c r="E1496" s="48" t="s">
        <v>189</v>
      </c>
      <c r="F1496" s="48"/>
      <c r="G1496" s="49" t="n">
        <v>1.94</v>
      </c>
      <c r="H1496" s="50" t="n">
        <f aca="false">MAX(0,IF(AND(Parameter!$B$21="Ja",ISNUMBER(Y1496)),Y1496,IF(Parameter!$B$20="Jahresanfang 2025 + Export",BO1496+BN1496,BN1496)))</f>
        <v>21</v>
      </c>
      <c r="I1496" s="50" t="n">
        <f aca="false">H1496*G1496</f>
        <v>40.74</v>
      </c>
      <c r="J1496" s="50" t="n">
        <f aca="false">BQ1496*Parameter!$B$18</f>
        <v>0</v>
      </c>
      <c r="K1496" s="51"/>
      <c r="L1496" s="52"/>
      <c r="M1496" s="50" t="n">
        <v>0</v>
      </c>
      <c r="N1496" s="50" t="n">
        <v>20</v>
      </c>
      <c r="O1496" s="53" t="n">
        <v>14</v>
      </c>
      <c r="P1496" s="48" t="s">
        <v>405</v>
      </c>
      <c r="Q1496" s="50" t="n">
        <v>21</v>
      </c>
      <c r="R1496" s="53" t="n">
        <f aca="false">IF(BW1496=1,0,IFERROR(VLOOKUP(BU1496,'Gebinde-Kategorie'!$A$5:$N$45,13,0)+0,0))</f>
        <v>280</v>
      </c>
      <c r="S1496" s="54"/>
      <c r="T1496" s="55"/>
      <c r="U1496" s="55"/>
      <c r="V1496" s="55"/>
      <c r="W1496" s="48"/>
      <c r="X1496" s="50"/>
      <c r="Y1496" s="50"/>
      <c r="Z1496" s="48" t="n">
        <f aca="false">IF(A1496="","",IF(AND(Parameter!$B$21="Ja",ISNUMBER(W1496)),W1496,IF(BZ1496="2+3",IF(ISNUMBER(SEARCH("grosser Artikel",BR1496)),2,IFERROR(VLOOKUP(BU1496,Parameter!$F$35:$G$64,2,0),2)),IF(OR(BZ1496="Nein",BZ1496=""),"-",BZ1496))))</f>
        <v>3</v>
      </c>
      <c r="AA1496" s="55"/>
      <c r="AB1496" s="56"/>
      <c r="AC1496" s="50" t="n">
        <f aca="false">AT1496</f>
        <v>21</v>
      </c>
      <c r="AD1496" s="50" t="n">
        <f aca="false">MAX(AT1496,H1496)</f>
        <v>21</v>
      </c>
      <c r="AE1496" s="57"/>
      <c r="AF1496" s="50" t="n">
        <f aca="false">IF(LEFT(Cockpit!$C$5,1)="A",H1496,IF(CE1496=1,CF1496,IF(LEFT(Cockpit!$C$5,1)="B",AK1496,MAX(AK1496,H1496))))</f>
        <v>21</v>
      </c>
      <c r="AG1496" s="50" t="n">
        <f aca="false">IF(BW1496=1,0,ROUNDUP(AF1496/BV1496,0))</f>
        <v>1</v>
      </c>
      <c r="AH1496" s="52" t="n">
        <f aca="false">IF(CL1496&gt;0,CL1496*MAX(1,AF1496/X1496),IF(BW1496=1,IF(AF1496&lt;=0,0,CA1496*MAX(1,IF(H1496&gt;0,AF1496/H1496,1))),IF(R1496&gt;0,AG1496/R1496,0))/MAX(0.1,N(Parameter!$M$21)))</f>
        <v>0.00357142857142857</v>
      </c>
      <c r="AI1496" s="50" t="n">
        <f aca="false">AH1496*BY1496</f>
        <v>0.553571428571429</v>
      </c>
      <c r="AJ1496" s="50" t="n">
        <f aca="false">AF1496*G1496</f>
        <v>40.74</v>
      </c>
      <c r="AK1496" s="50" t="n">
        <f aca="false">ROUNDUP(MAX(J1496/IF(CD1496&gt;0,CD1496,MAX(0.1,N(Cockpit!$C$6))),CG1496)/BV1496,0)*BV1496</f>
        <v>21</v>
      </c>
      <c r="AL1496" s="51" t="n">
        <f aca="false">IF(AI1496&gt;0,J1496/AI1496,-1)</f>
        <v>0</v>
      </c>
      <c r="AM1496" s="51" t="n">
        <f aca="false">IF(AND(OR(CC1496="L1",CC1496="L23",CC1496="LIFT"),AI1496&gt;0),SUMIFS($AI$7:$AI$1843,$CC$7:$CC$1843,CC1496,$AL$7:$AL$1843,"&gt;"&amp;AL1496)+SUMIFS($AI$7:$AI$1843,$CC$7:$CC$1843,CC1496,$AL$7:$AL$1843,AL1496,$BT$7:$BT$1843,"&lt;="&amp;BT1496),"")</f>
        <v>29817.0726573333</v>
      </c>
      <c r="AN1496" s="58" t="n">
        <f aca="false">IF(AM1496="",0,MAX(0,MIN(1,(IF(CC1496="L1",Parameter!$H$5,IF(CC1496="L23",Parameter!$H$6+Parameter!$H$7,Parameter!$H$5+Parameter!$H$6+Parameter!$H$7))-(AM1496-AI1496))/AI1496)))</f>
        <v>1</v>
      </c>
      <c r="AO1496" s="50" t="n">
        <f aca="false">IF(LEFT(Cockpit!$I$5,1)="A",H1496,IF(CE1496=1,CF1496,IF(LEFT(Cockpit!$I$5,1)="B",AT1496,MAX(AT1496,H1496))))</f>
        <v>21</v>
      </c>
      <c r="AP1496" s="50" t="n">
        <f aca="false">IF(BW1496=1,0,ROUNDUP(AO1496/BV1496,0))</f>
        <v>1</v>
      </c>
      <c r="AQ1496" s="52" t="n">
        <f aca="false">IF(CL1496&gt;0,CL1496*MAX(1,AO1496/X1496),IF(BW1496=1,IF(AO1496&lt;=0,0,CA1496*MAX(1,IF(H1496&gt;0,AO1496/H1496,1))),IF(R1496&gt;0,AP1496/R1496,0))/MAX(0.1,N(Parameter!$M$21)))</f>
        <v>0.00357142857142857</v>
      </c>
      <c r="AR1496" s="50" t="n">
        <f aca="false">AQ1496*BY1496</f>
        <v>0.553571428571429</v>
      </c>
      <c r="AS1496" s="50" t="n">
        <f aca="false">AO1496*G1496</f>
        <v>40.74</v>
      </c>
      <c r="AT1496" s="50" t="n">
        <f aca="false">ROUNDUP(MAX(J1496/IF(CD1496&gt;0,CD1496,MAX(0.1,N(Cockpit!$I$6))),CG1496)/BV1496,0)*BV1496</f>
        <v>21</v>
      </c>
      <c r="AU1496" s="51" t="n">
        <f aca="false">IF(AR1496&gt;0,J1496/AR1496,-1)</f>
        <v>0</v>
      </c>
      <c r="AV1496" s="51" t="n">
        <f aca="false">IF(AND(OR(CC1496="L1",CC1496="L23",CC1496="LIFT"),AR1496&gt;0),SUMIFS($AR$7:$AR$1843,$CC$7:$CC$1843,CC1496,$AU$7:$AU$1843,"&gt;"&amp;AU1496)+SUMIFS($AR$7:$AR$1843,$CC$7:$CC$1843,CC1496,$AU$7:$AU$1843,AU1496,$BT$7:$BT$1843,"&lt;="&amp;BT1496),"")</f>
        <v>42108.9072039072</v>
      </c>
      <c r="AW1496" s="58" t="n">
        <f aca="false">IF(AV1496="",0,MAX(0,MIN(1,(IF(CC1496="L1",Parameter!$H$5,IF(CC1496="L23",Parameter!$H$6+Parameter!$H$7,Parameter!$H$5+Parameter!$H$6+Parameter!$H$7))-(AV1496-AR1496))/AR1496)))</f>
        <v>0</v>
      </c>
      <c r="AX1496" s="50" t="n">
        <f aca="false">IF(LEFT(Cockpit!$O$5,1)="A",H1496,IF(CE1496=1,CF1496,IF(LEFT(Cockpit!$O$5,1)="B",BC1496,MAX(BC1496,H1496))))</f>
        <v>21</v>
      </c>
      <c r="AY1496" s="50" t="n">
        <f aca="false">IF(BW1496=1,0,ROUNDUP(AX1496/BV1496,0))</f>
        <v>1</v>
      </c>
      <c r="AZ1496" s="52" t="n">
        <f aca="false">IF(CL1496&gt;0,CL1496*MAX(1,AX1496/X1496),IF(BW1496=1,IF(AX1496&lt;=0,0,CA1496*MAX(1,IF(H1496&gt;0,AX1496/H1496,1))),IF(R1496&gt;0,AY1496/R1496,0))/MAX(0.1,N(Parameter!$M$21)))</f>
        <v>0.00357142857142857</v>
      </c>
      <c r="BA1496" s="50" t="n">
        <f aca="false">AZ1496*BY1496</f>
        <v>0.553571428571429</v>
      </c>
      <c r="BB1496" s="50" t="n">
        <f aca="false">AX1496*G1496</f>
        <v>40.74</v>
      </c>
      <c r="BC1496" s="50" t="n">
        <f aca="false">ROUNDUP(MAX(J1496/IF(CD1496&gt;0,CD1496,MAX(0.1,N(Cockpit!$O$6))),CG1496)/BV1496,0)*BV1496</f>
        <v>21</v>
      </c>
      <c r="BD1496" s="51" t="n">
        <f aca="false">IF(BA1496&gt;0,J1496/BA1496,-1)</f>
        <v>0</v>
      </c>
      <c r="BE1496" s="51" t="n">
        <f aca="false">IF(AND(OR(CC1496="L1",CC1496="L23",CC1496="LIFT"),BA1496&gt;0),SUMIFS($BA$7:$BA$1843,$CC$7:$CC$1843,CC1496,$BD$7:$BD$1843,"&gt;"&amp;BD1496)+SUMIFS($BA$7:$BA$1843,$CC$7:$CC$1843,CC1496,$BD$7:$BD$1843,BD1496,$BT$7:$BT$1843,"&lt;="&amp;BT1496),"")</f>
        <v>38783.9192457731</v>
      </c>
      <c r="BF1496" s="58" t="n">
        <f aca="false">IF(BE1496="",0,MAX(0,MIN(1,(IF(CC1496="L1",Parameter!$H$5,IF(CC1496="L23",Parameter!$H$6+Parameter!$H$7,Parameter!$H$5+Parameter!$H$6+Parameter!$H$7))-(BE1496-BA1496))/BA1496)))</f>
        <v>0</v>
      </c>
      <c r="BG1496" s="48" t="str">
        <f aca="false">IF(AI1496&lt;=0,"",IF(CC1496="Aussen","Aussenlager",IF(CC1496="-","Nicht im Lift",IF(AN1496&gt;=1,"Lift",IF(AN1496&lt;=0,"Aussenlager","teilweise")))))</f>
        <v>Lift</v>
      </c>
      <c r="BH1496" s="48" t="str">
        <f aca="false">IF(AR1496&lt;=0,"",IF(CC1496="Aussen","Aussenlager",IF(CC1496="-","Nicht im Lift",IF(AW1496&gt;=1,"Lift",IF(AW1496&lt;=0,"Aussenlager","teilweise")))))</f>
        <v>Aussenlager</v>
      </c>
      <c r="BI1496" s="48" t="str">
        <f aca="false">IF(BA1496&lt;=0,"",IF(CC1496="Aussen","Aussenlager",IF(CC1496="-","Nicht im Lift",IF(BF1496&gt;=1,"Lift",IF(BF1496&lt;=0,"Aussenlager","teilweise")))))</f>
        <v>Aussenlager</v>
      </c>
      <c r="BJ1496" s="48" t="str">
        <f aca="false">IF(A1496="","",IF(BS1496=1,"Neu; ","")&amp;IF(AND(BS1496=0,BN1496&lt;0),"negativer Bestand (Export "&amp;BN1496&amp;"); ","")&amp;IF(J1496&lt;=0,"Kein Verbrauch; ","")&amp;IF(CL1496&gt;0,"Lift "&amp;W1496&amp;" lt. Liftbericht (Fach "&amp;X1496&amp;" Stk); ",IF(BX1496=1,"Gebinde geschätzt ("&amp;T1496&amp;"); ",IF(BW1496=1,"Lose – Tablare geschätzt; ","")))&amp;IF(H1496&gt;AT1496,"Überbestand "&amp;ROUND(H1496-AT1496,0)&amp;" Stk / CHF "&amp;ROUND((H1496-AT1496)*G1496,0)&amp;"; ","")&amp;IF(AND(CE1496=1,CF1496&lt;CG1496),"MAX &lt; MB+LG; ","")&amp;IF(AND(CK1496&gt;0,CJ1496*10&gt;CK1496),"zu hoch für Tablar; ","")&amp;IF(AND(BS1496=0,OR(CE1496=1,AA1496&lt;&gt;"",U1496&lt;&gt;"",V1496&lt;&gt;"",AB1496&lt;&gt;"")),"manuell übersteuert; ","")&amp;IF(AND(BW1496=0,R1496=0),"Gebinde unbekannt / Stellmass fehlt; ","")&amp;IF(AND(BW1496=0,N(V1496)&lt;=0,N(Q1496)&lt;=0),"Menge pro Gebinde fehlt (Ist = 1 Gebinde); ","")&amp;BR1496)</f>
        <v>Kein Verbrauch; nur im Artikelstamm (Bestand 23.06.2026)</v>
      </c>
      <c r="BK1496" s="48"/>
      <c r="BL1496" s="48"/>
      <c r="BM1496" s="55"/>
      <c r="BN1496" s="50" t="n">
        <v>21</v>
      </c>
      <c r="BO1496" s="50" t="n">
        <v>0</v>
      </c>
      <c r="BP1496" s="49" t="n">
        <v>0</v>
      </c>
      <c r="BQ1496" s="50" t="n">
        <v>0</v>
      </c>
      <c r="BR1496" s="48" t="s">
        <v>2579</v>
      </c>
      <c r="BS1496" s="53" t="n">
        <v>0</v>
      </c>
      <c r="BT1496" s="53" t="n">
        <v>1496</v>
      </c>
      <c r="BU1496" s="48" t="str">
        <f aca="false">IF(U1496&lt;&gt;"",UPPER(TRIM(U1496)),IF(BX1496=1,UPPER(VLOOKUP(T1496,Parameter!$I$27:$K$29,2,0)),IF(P1496="","LOSE",P1496)))</f>
        <v>S21</v>
      </c>
      <c r="BV1496" s="50" t="n">
        <f aca="false">IF(BU1496="LOSE",1,IF(N(V1496)&gt;0,V1496,IF(BX1496=1,MAX(1,N(VLOOKUP(T1496,Parameter!$I$27:$K$29,3,0)),H1496,N(N1496)),IF(N(Q1496)&gt;0,Q1496,MAX(1,H1496)))))</f>
        <v>21</v>
      </c>
      <c r="BW1496" s="53" t="n">
        <f aca="false">IF(BU1496="LOSE",1,0)</f>
        <v>0</v>
      </c>
      <c r="BX1496" s="53" t="n">
        <f aca="false">IF(AND(U1496="",OR(P1496="",P1496="LOSE"),T1496&lt;&gt;"",N(S1496)&lt;=0,ISNUMBER(MATCH(T1496,Parameter!$I$27:$I$29,0))),1,0)</f>
        <v>0</v>
      </c>
      <c r="BY1496" s="53" t="n">
        <f aca="false">IF(CL1496&gt;0,INDEX(Parameter!$H$5:$H$7,W1496)/INDEX(Parameter!$E$5:$E$7,W1496),IF(AND(BW1496=0,N(IFERROR(VLOOKUP(BU1496,'Gebinde-Kategorie'!$A$5:$N$45,14,0),0))&gt;0),VLOOKUP(BU1496,'Gebinde-Kategorie'!$A$5:$N$45,14,0)*10+Parameter!$M$23,Parameter!$M$24))</f>
        <v>155</v>
      </c>
      <c r="BZ1496" s="48" t="str">
        <f aca="false">IF(AND(Parameter!$B$19="Ja",E1496&lt;&gt;"",ISNUMBER(MATCH(E1496,Parameter!$I$35:$I$52,0))),VLOOKUP(E1496,Parameter!$I$35:$J$52,2,0),IFERROR(VLOOKUP(D1496,Parameter!$A$35:$C$64,2,0),"Nein"))</f>
        <v>2+3</v>
      </c>
      <c r="CA1496" s="52" t="n">
        <f aca="false">IF(BW1496=0,0,IF(N(S1496)&gt;0,S1496,IFERROR(VLOOKUP(D1496,Parameter!$A$35:$C$64,3,0)+0,0)))</f>
        <v>0</v>
      </c>
      <c r="CB1496" s="48" t="n">
        <f aca="false">IF(AA1496&lt;&gt;"",AA1496,Z1496)</f>
        <v>3</v>
      </c>
      <c r="CC1496" s="48" t="str">
        <f aca="false">IF(OR(CB1496=1,CB1496=2,CB1496=3),IF(Parameter!$E$27="Ja","LIFT",IF(CB1496=1,"L1","L23")),IF(CB1496="Aussen","Aussen","-"))</f>
        <v>LIFT</v>
      </c>
      <c r="CD1496" s="59" t="n">
        <f aca="false">IF(N(AB1496)&gt;0,AB1496,0)</f>
        <v>0</v>
      </c>
      <c r="CE1496" s="53" t="n">
        <f aca="false">IF(ISNUMBER(AE1496),1,0)</f>
        <v>0</v>
      </c>
      <c r="CF1496" s="50" t="n">
        <f aca="false">N(AE1496)</f>
        <v>0</v>
      </c>
      <c r="CG1496" s="50" t="n">
        <f aca="false">N(M1496)+N(N1496)</f>
        <v>20</v>
      </c>
      <c r="CH1496" s="50" t="n">
        <f aca="false">ROUNDUP(H1496/BV1496,0)</f>
        <v>1</v>
      </c>
      <c r="CI1496" s="50" t="n">
        <f aca="false">ROUNDUP(CF1496/BV1496,0)</f>
        <v>0</v>
      </c>
      <c r="CJ1496" s="53" t="n">
        <f aca="false">IF(BW1496=1,0,IFERROR(VLOOKUP(BU1496,'Gebinde-Kategorie'!$A$5:$N$45,5,0)+0,0))</f>
        <v>8</v>
      </c>
      <c r="CK1496" s="53" t="n">
        <f aca="false">IFERROR(IF(OR(CB1496=1,CB1496=2,CB1496=3),N(INDEX(Parameter!$I$5:$I$7,CB1496)),0),0)</f>
        <v>0</v>
      </c>
      <c r="CL1496" s="52" t="n">
        <f aca="false">IF(AND(Parameter!$B$21="Ja",ISNUMBER(W1496),N(X1496)&gt;0),IFERROR(N(INDEX(Parameter!$L$5:$L$7,W1496))*INDEX(Parameter!$E$5:$E$7,W1496)*X1496/SUMIFS($X$7:$X$1843,$W$7:$W$1843,W1496),0),0)</f>
        <v>0</v>
      </c>
    </row>
    <row r="1497" customFormat="false" ht="15" hidden="false" customHeight="false" outlineLevel="0" collapsed="false">
      <c r="A1497" s="48" t="s">
        <v>2620</v>
      </c>
      <c r="B1497" s="48" t="s">
        <v>2621</v>
      </c>
      <c r="C1497" s="48" t="s">
        <v>168</v>
      </c>
      <c r="D1497" s="48" t="s">
        <v>188</v>
      </c>
      <c r="E1497" s="48" t="s">
        <v>189</v>
      </c>
      <c r="F1497" s="48"/>
      <c r="G1497" s="49" t="n">
        <v>9.06</v>
      </c>
      <c r="H1497" s="50" t="n">
        <f aca="false">MAX(0,IF(AND(Parameter!$B$21="Ja",ISNUMBER(Y1497)),Y1497,IF(Parameter!$B$20="Jahresanfang 2025 + Export",BO1497+BN1497,BN1497)))</f>
        <v>16</v>
      </c>
      <c r="I1497" s="50" t="n">
        <f aca="false">H1497*G1497</f>
        <v>144.96</v>
      </c>
      <c r="J1497" s="50" t="n">
        <f aca="false">BQ1497*Parameter!$B$18</f>
        <v>0</v>
      </c>
      <c r="K1497" s="51"/>
      <c r="L1497" s="52"/>
      <c r="M1497" s="50" t="n">
        <v>0</v>
      </c>
      <c r="N1497" s="50" t="n">
        <v>20</v>
      </c>
      <c r="O1497" s="53" t="n">
        <v>14</v>
      </c>
      <c r="P1497" s="48" t="s">
        <v>405</v>
      </c>
      <c r="Q1497" s="50" t="n">
        <v>16</v>
      </c>
      <c r="R1497" s="53" t="n">
        <f aca="false">IF(BW1497=1,0,IFERROR(VLOOKUP(BU1497,'Gebinde-Kategorie'!$A$5:$N$45,13,0)+0,0))</f>
        <v>280</v>
      </c>
      <c r="S1497" s="54"/>
      <c r="T1497" s="55"/>
      <c r="U1497" s="55"/>
      <c r="V1497" s="55"/>
      <c r="W1497" s="48"/>
      <c r="X1497" s="50"/>
      <c r="Y1497" s="50"/>
      <c r="Z1497" s="48" t="n">
        <f aca="false">IF(A1497="","",IF(AND(Parameter!$B$21="Ja",ISNUMBER(W1497)),W1497,IF(BZ1497="2+3",IF(ISNUMBER(SEARCH("grosser Artikel",BR1497)),2,IFERROR(VLOOKUP(BU1497,Parameter!$F$35:$G$64,2,0),2)),IF(OR(BZ1497="Nein",BZ1497=""),"-",BZ1497))))</f>
        <v>3</v>
      </c>
      <c r="AA1497" s="55"/>
      <c r="AB1497" s="56"/>
      <c r="AC1497" s="50" t="n">
        <f aca="false">AT1497</f>
        <v>32</v>
      </c>
      <c r="AD1497" s="50" t="n">
        <f aca="false">MAX(AT1497,H1497)</f>
        <v>32</v>
      </c>
      <c r="AE1497" s="57"/>
      <c r="AF1497" s="50" t="n">
        <f aca="false">IF(LEFT(Cockpit!$C$5,1)="A",H1497,IF(CE1497=1,CF1497,IF(LEFT(Cockpit!$C$5,1)="B",AK1497,MAX(AK1497,H1497))))</f>
        <v>16</v>
      </c>
      <c r="AG1497" s="50" t="n">
        <f aca="false">IF(BW1497=1,0,ROUNDUP(AF1497/BV1497,0))</f>
        <v>1</v>
      </c>
      <c r="AH1497" s="52" t="n">
        <f aca="false">IF(CL1497&gt;0,CL1497*MAX(1,AF1497/X1497),IF(BW1497=1,IF(AF1497&lt;=0,0,CA1497*MAX(1,IF(H1497&gt;0,AF1497/H1497,1))),IF(R1497&gt;0,AG1497/R1497,0))/MAX(0.1,N(Parameter!$M$21)))</f>
        <v>0.00357142857142857</v>
      </c>
      <c r="AI1497" s="50" t="n">
        <f aca="false">AH1497*BY1497</f>
        <v>0.553571428571429</v>
      </c>
      <c r="AJ1497" s="50" t="n">
        <f aca="false">AF1497*G1497</f>
        <v>144.96</v>
      </c>
      <c r="AK1497" s="50" t="n">
        <f aca="false">ROUNDUP(MAX(J1497/IF(CD1497&gt;0,CD1497,MAX(0.1,N(Cockpit!$C$6))),CG1497)/BV1497,0)*BV1497</f>
        <v>32</v>
      </c>
      <c r="AL1497" s="51" t="n">
        <f aca="false">IF(AI1497&gt;0,J1497/AI1497,-1)</f>
        <v>0</v>
      </c>
      <c r="AM1497" s="51" t="n">
        <f aca="false">IF(AND(OR(CC1497="L1",CC1497="L23",CC1497="LIFT"),AI1497&gt;0),SUMIFS($AI$7:$AI$1843,$CC$7:$CC$1843,CC1497,$AL$7:$AL$1843,"&gt;"&amp;AL1497)+SUMIFS($AI$7:$AI$1843,$CC$7:$CC$1843,CC1497,$AL$7:$AL$1843,AL1497,$BT$7:$BT$1843,"&lt;="&amp;BT1497),"")</f>
        <v>29817.6262287618</v>
      </c>
      <c r="AN1497" s="58" t="n">
        <f aca="false">IF(AM1497="",0,MAX(0,MIN(1,(IF(CC1497="L1",Parameter!$H$5,IF(CC1497="L23",Parameter!$H$6+Parameter!$H$7,Parameter!$H$5+Parameter!$H$6+Parameter!$H$7))-(AM1497-AI1497))/AI1497)))</f>
        <v>1</v>
      </c>
      <c r="AO1497" s="50" t="n">
        <f aca="false">IF(LEFT(Cockpit!$I$5,1)="A",H1497,IF(CE1497=1,CF1497,IF(LEFT(Cockpit!$I$5,1)="B",AT1497,MAX(AT1497,H1497))))</f>
        <v>32</v>
      </c>
      <c r="AP1497" s="50" t="n">
        <f aca="false">IF(BW1497=1,0,ROUNDUP(AO1497/BV1497,0))</f>
        <v>2</v>
      </c>
      <c r="AQ1497" s="52" t="n">
        <f aca="false">IF(CL1497&gt;0,CL1497*MAX(1,AO1497/X1497),IF(BW1497=1,IF(AO1497&lt;=0,0,CA1497*MAX(1,IF(H1497&gt;0,AO1497/H1497,1))),IF(R1497&gt;0,AP1497/R1497,0))/MAX(0.1,N(Parameter!$M$21)))</f>
        <v>0.00714285714285714</v>
      </c>
      <c r="AR1497" s="50" t="n">
        <f aca="false">AQ1497*BY1497</f>
        <v>1.10714285714286</v>
      </c>
      <c r="AS1497" s="50" t="n">
        <f aca="false">AO1497*G1497</f>
        <v>289.92</v>
      </c>
      <c r="AT1497" s="50" t="n">
        <f aca="false">ROUNDUP(MAX(J1497/IF(CD1497&gt;0,CD1497,MAX(0.1,N(Cockpit!$I$6))),CG1497)/BV1497,0)*BV1497</f>
        <v>32</v>
      </c>
      <c r="AU1497" s="51" t="n">
        <f aca="false">IF(AR1497&gt;0,J1497/AR1497,-1)</f>
        <v>0</v>
      </c>
      <c r="AV1497" s="51" t="n">
        <f aca="false">IF(AND(OR(CC1497="L1",CC1497="L23",CC1497="LIFT"),AR1497&gt;0),SUMIFS($AR$7:$AR$1843,$CC$7:$CC$1843,CC1497,$AU$7:$AU$1843,"&gt;"&amp;AU1497)+SUMIFS($AR$7:$AR$1843,$CC$7:$CC$1843,CC1497,$AU$7:$AU$1843,AU1497,$BT$7:$BT$1843,"&lt;="&amp;BT1497),"")</f>
        <v>42110.0143467644</v>
      </c>
      <c r="AW1497" s="58" t="n">
        <f aca="false">IF(AV1497="",0,MAX(0,MIN(1,(IF(CC1497="L1",Parameter!$H$5,IF(CC1497="L23",Parameter!$H$6+Parameter!$H$7,Parameter!$H$5+Parameter!$H$6+Parameter!$H$7))-(AV1497-AR1497))/AR1497)))</f>
        <v>0</v>
      </c>
      <c r="AX1497" s="50" t="n">
        <f aca="false">IF(LEFT(Cockpit!$O$5,1)="A",H1497,IF(CE1497=1,CF1497,IF(LEFT(Cockpit!$O$5,1)="B",BC1497,MAX(BC1497,H1497))))</f>
        <v>32</v>
      </c>
      <c r="AY1497" s="50" t="n">
        <f aca="false">IF(BW1497=1,0,ROUNDUP(AX1497/BV1497,0))</f>
        <v>2</v>
      </c>
      <c r="AZ1497" s="52" t="n">
        <f aca="false">IF(CL1497&gt;0,CL1497*MAX(1,AX1497/X1497),IF(BW1497=1,IF(AX1497&lt;=0,0,CA1497*MAX(1,IF(H1497&gt;0,AX1497/H1497,1))),IF(R1497&gt;0,AY1497/R1497,0))/MAX(0.1,N(Parameter!$M$21)))</f>
        <v>0.00714285714285714</v>
      </c>
      <c r="BA1497" s="50" t="n">
        <f aca="false">AZ1497*BY1497</f>
        <v>1.10714285714286</v>
      </c>
      <c r="BB1497" s="50" t="n">
        <f aca="false">AX1497*G1497</f>
        <v>289.92</v>
      </c>
      <c r="BC1497" s="50" t="n">
        <f aca="false">ROUNDUP(MAX(J1497/IF(CD1497&gt;0,CD1497,MAX(0.1,N(Cockpit!$O$6))),CG1497)/BV1497,0)*BV1497</f>
        <v>32</v>
      </c>
      <c r="BD1497" s="51" t="n">
        <f aca="false">IF(BA1497&gt;0,J1497/BA1497,-1)</f>
        <v>0</v>
      </c>
      <c r="BE1497" s="51" t="n">
        <f aca="false">IF(AND(OR(CC1497="L1",CC1497="L23",CC1497="LIFT"),BA1497&gt;0),SUMIFS($BA$7:$BA$1843,$CC$7:$CC$1843,CC1497,$BD$7:$BD$1843,"&gt;"&amp;BD1497)+SUMIFS($BA$7:$BA$1843,$CC$7:$CC$1843,CC1497,$BD$7:$BD$1843,BD1497,$BT$7:$BT$1843,"&lt;="&amp;BT1497),"")</f>
        <v>38785.0263886302</v>
      </c>
      <c r="BF1497" s="58" t="n">
        <f aca="false">IF(BE1497="",0,MAX(0,MIN(1,(IF(CC1497="L1",Parameter!$H$5,IF(CC1497="L23",Parameter!$H$6+Parameter!$H$7,Parameter!$H$5+Parameter!$H$6+Parameter!$H$7))-(BE1497-BA1497))/BA1497)))</f>
        <v>0</v>
      </c>
      <c r="BG1497" s="48" t="str">
        <f aca="false">IF(AI1497&lt;=0,"",IF(CC1497="Aussen","Aussenlager",IF(CC1497="-","Nicht im Lift",IF(AN1497&gt;=1,"Lift",IF(AN1497&lt;=0,"Aussenlager","teilweise")))))</f>
        <v>Lift</v>
      </c>
      <c r="BH1497" s="48" t="str">
        <f aca="false">IF(AR1497&lt;=0,"",IF(CC1497="Aussen","Aussenlager",IF(CC1497="-","Nicht im Lift",IF(AW1497&gt;=1,"Lift",IF(AW1497&lt;=0,"Aussenlager","teilweise")))))</f>
        <v>Aussenlager</v>
      </c>
      <c r="BI1497" s="48" t="str">
        <f aca="false">IF(BA1497&lt;=0,"",IF(CC1497="Aussen","Aussenlager",IF(CC1497="-","Nicht im Lift",IF(BF1497&gt;=1,"Lift",IF(BF1497&lt;=0,"Aussenlager","teilweise")))))</f>
        <v>Aussenlager</v>
      </c>
      <c r="BJ1497" s="48" t="str">
        <f aca="false">IF(A1497="","",IF(BS1497=1,"Neu; ","")&amp;IF(AND(BS1497=0,BN1497&lt;0),"negativer Bestand (Export "&amp;BN1497&amp;"); ","")&amp;IF(J1497&lt;=0,"Kein Verbrauch; ","")&amp;IF(CL1497&gt;0,"Lift "&amp;W1497&amp;" lt. Liftbericht (Fach "&amp;X1497&amp;" Stk); ",IF(BX1497=1,"Gebinde geschätzt ("&amp;T1497&amp;"); ",IF(BW1497=1,"Lose – Tablare geschätzt; ","")))&amp;IF(H1497&gt;AT1497,"Überbestand "&amp;ROUND(H1497-AT1497,0)&amp;" Stk / CHF "&amp;ROUND((H1497-AT1497)*G1497,0)&amp;"; ","")&amp;IF(AND(CE1497=1,CF1497&lt;CG1497),"MAX &lt; MB+LG; ","")&amp;IF(AND(CK1497&gt;0,CJ1497*10&gt;CK1497),"zu hoch für Tablar; ","")&amp;IF(AND(BS1497=0,OR(CE1497=1,AA1497&lt;&gt;"",U1497&lt;&gt;"",V1497&lt;&gt;"",AB1497&lt;&gt;"")),"manuell übersteuert; ","")&amp;IF(AND(BW1497=0,R1497=0),"Gebinde unbekannt / Stellmass fehlt; ","")&amp;IF(AND(BW1497=0,N(V1497)&lt;=0,N(Q1497)&lt;=0),"Menge pro Gebinde fehlt (Ist = 1 Gebinde); ","")&amp;BR1497)</f>
        <v>Kein Verbrauch; nur im Artikelstamm (Bestand 23.06.2026)</v>
      </c>
      <c r="BK1497" s="48"/>
      <c r="BL1497" s="48"/>
      <c r="BM1497" s="55"/>
      <c r="BN1497" s="50" t="n">
        <v>16</v>
      </c>
      <c r="BO1497" s="50" t="n">
        <v>0</v>
      </c>
      <c r="BP1497" s="49" t="n">
        <v>0</v>
      </c>
      <c r="BQ1497" s="50" t="n">
        <v>0</v>
      </c>
      <c r="BR1497" s="48" t="s">
        <v>2579</v>
      </c>
      <c r="BS1497" s="53" t="n">
        <v>0</v>
      </c>
      <c r="BT1497" s="53" t="n">
        <v>1497</v>
      </c>
      <c r="BU1497" s="48" t="str">
        <f aca="false">IF(U1497&lt;&gt;"",UPPER(TRIM(U1497)),IF(BX1497=1,UPPER(VLOOKUP(T1497,Parameter!$I$27:$K$29,2,0)),IF(P1497="","LOSE",P1497)))</f>
        <v>S21</v>
      </c>
      <c r="BV1497" s="50" t="n">
        <f aca="false">IF(BU1497="LOSE",1,IF(N(V1497)&gt;0,V1497,IF(BX1497=1,MAX(1,N(VLOOKUP(T1497,Parameter!$I$27:$K$29,3,0)),H1497,N(N1497)),IF(N(Q1497)&gt;0,Q1497,MAX(1,H1497)))))</f>
        <v>16</v>
      </c>
      <c r="BW1497" s="53" t="n">
        <f aca="false">IF(BU1497="LOSE",1,0)</f>
        <v>0</v>
      </c>
      <c r="BX1497" s="53" t="n">
        <f aca="false">IF(AND(U1497="",OR(P1497="",P1497="LOSE"),T1497&lt;&gt;"",N(S1497)&lt;=0,ISNUMBER(MATCH(T1497,Parameter!$I$27:$I$29,0))),1,0)</f>
        <v>0</v>
      </c>
      <c r="BY1497" s="53" t="n">
        <f aca="false">IF(CL1497&gt;0,INDEX(Parameter!$H$5:$H$7,W1497)/INDEX(Parameter!$E$5:$E$7,W1497),IF(AND(BW1497=0,N(IFERROR(VLOOKUP(BU1497,'Gebinde-Kategorie'!$A$5:$N$45,14,0),0))&gt;0),VLOOKUP(BU1497,'Gebinde-Kategorie'!$A$5:$N$45,14,0)*10+Parameter!$M$23,Parameter!$M$24))</f>
        <v>155</v>
      </c>
      <c r="BZ1497" s="48" t="str">
        <f aca="false">IF(AND(Parameter!$B$19="Ja",E1497&lt;&gt;"",ISNUMBER(MATCH(E1497,Parameter!$I$35:$I$52,0))),VLOOKUP(E1497,Parameter!$I$35:$J$52,2,0),IFERROR(VLOOKUP(D1497,Parameter!$A$35:$C$64,2,0),"Nein"))</f>
        <v>2+3</v>
      </c>
      <c r="CA1497" s="52" t="n">
        <f aca="false">IF(BW1497=0,0,IF(N(S1497)&gt;0,S1497,IFERROR(VLOOKUP(D1497,Parameter!$A$35:$C$64,3,0)+0,0)))</f>
        <v>0</v>
      </c>
      <c r="CB1497" s="48" t="n">
        <f aca="false">IF(AA1497&lt;&gt;"",AA1497,Z1497)</f>
        <v>3</v>
      </c>
      <c r="CC1497" s="48" t="str">
        <f aca="false">IF(OR(CB1497=1,CB1497=2,CB1497=3),IF(Parameter!$E$27="Ja","LIFT",IF(CB1497=1,"L1","L23")),IF(CB1497="Aussen","Aussen","-"))</f>
        <v>LIFT</v>
      </c>
      <c r="CD1497" s="59" t="n">
        <f aca="false">IF(N(AB1497)&gt;0,AB1497,0)</f>
        <v>0</v>
      </c>
      <c r="CE1497" s="53" t="n">
        <f aca="false">IF(ISNUMBER(AE1497),1,0)</f>
        <v>0</v>
      </c>
      <c r="CF1497" s="50" t="n">
        <f aca="false">N(AE1497)</f>
        <v>0</v>
      </c>
      <c r="CG1497" s="50" t="n">
        <f aca="false">N(M1497)+N(N1497)</f>
        <v>20</v>
      </c>
      <c r="CH1497" s="50" t="n">
        <f aca="false">ROUNDUP(H1497/BV1497,0)</f>
        <v>1</v>
      </c>
      <c r="CI1497" s="50" t="n">
        <f aca="false">ROUNDUP(CF1497/BV1497,0)</f>
        <v>0</v>
      </c>
      <c r="CJ1497" s="53" t="n">
        <f aca="false">IF(BW1497=1,0,IFERROR(VLOOKUP(BU1497,'Gebinde-Kategorie'!$A$5:$N$45,5,0)+0,0))</f>
        <v>8</v>
      </c>
      <c r="CK1497" s="53" t="n">
        <f aca="false">IFERROR(IF(OR(CB1497=1,CB1497=2,CB1497=3),N(INDEX(Parameter!$I$5:$I$7,CB1497)),0),0)</f>
        <v>0</v>
      </c>
      <c r="CL1497" s="52" t="n">
        <f aca="false">IF(AND(Parameter!$B$21="Ja",ISNUMBER(W1497),N(X1497)&gt;0),IFERROR(N(INDEX(Parameter!$L$5:$L$7,W1497))*INDEX(Parameter!$E$5:$E$7,W1497)*X1497/SUMIFS($X$7:$X$1843,$W$7:$W$1843,W1497),0),0)</f>
        <v>0</v>
      </c>
    </row>
    <row r="1498" customFormat="false" ht="15" hidden="false" customHeight="false" outlineLevel="0" collapsed="false">
      <c r="A1498" s="48" t="s">
        <v>2622</v>
      </c>
      <c r="B1498" s="48" t="s">
        <v>2623</v>
      </c>
      <c r="C1498" s="48" t="s">
        <v>168</v>
      </c>
      <c r="D1498" s="48" t="s">
        <v>188</v>
      </c>
      <c r="E1498" s="48" t="s">
        <v>189</v>
      </c>
      <c r="F1498" s="48"/>
      <c r="G1498" s="49" t="n">
        <v>5.21</v>
      </c>
      <c r="H1498" s="50" t="n">
        <f aca="false">MAX(0,IF(AND(Parameter!$B$21="Ja",ISNUMBER(Y1498)),Y1498,IF(Parameter!$B$20="Jahresanfang 2025 + Export",BO1498+BN1498,BN1498)))</f>
        <v>14</v>
      </c>
      <c r="I1498" s="50" t="n">
        <f aca="false">H1498*G1498</f>
        <v>72.94</v>
      </c>
      <c r="J1498" s="50" t="n">
        <f aca="false">BQ1498*Parameter!$B$18</f>
        <v>0</v>
      </c>
      <c r="K1498" s="51"/>
      <c r="L1498" s="52"/>
      <c r="M1498" s="50" t="n">
        <v>0</v>
      </c>
      <c r="N1498" s="50" t="n">
        <v>10</v>
      </c>
      <c r="O1498" s="53" t="n">
        <v>14</v>
      </c>
      <c r="P1498" s="48" t="s">
        <v>405</v>
      </c>
      <c r="Q1498" s="50" t="n">
        <v>14</v>
      </c>
      <c r="R1498" s="53" t="n">
        <f aca="false">IF(BW1498=1,0,IFERROR(VLOOKUP(BU1498,'Gebinde-Kategorie'!$A$5:$N$45,13,0)+0,0))</f>
        <v>280</v>
      </c>
      <c r="S1498" s="54"/>
      <c r="T1498" s="55"/>
      <c r="U1498" s="55"/>
      <c r="V1498" s="55"/>
      <c r="W1498" s="48"/>
      <c r="X1498" s="50"/>
      <c r="Y1498" s="50"/>
      <c r="Z1498" s="48" t="n">
        <f aca="false">IF(A1498="","",IF(AND(Parameter!$B$21="Ja",ISNUMBER(W1498)),W1498,IF(BZ1498="2+3",IF(ISNUMBER(SEARCH("grosser Artikel",BR1498)),2,IFERROR(VLOOKUP(BU1498,Parameter!$F$35:$G$64,2,0),2)),IF(OR(BZ1498="Nein",BZ1498=""),"-",BZ1498))))</f>
        <v>3</v>
      </c>
      <c r="AA1498" s="55"/>
      <c r="AB1498" s="56"/>
      <c r="AC1498" s="50" t="n">
        <f aca="false">AT1498</f>
        <v>14</v>
      </c>
      <c r="AD1498" s="50" t="n">
        <f aca="false">MAX(AT1498,H1498)</f>
        <v>14</v>
      </c>
      <c r="AE1498" s="57"/>
      <c r="AF1498" s="50" t="n">
        <f aca="false">IF(LEFT(Cockpit!$C$5,1)="A",H1498,IF(CE1498=1,CF1498,IF(LEFT(Cockpit!$C$5,1)="B",AK1498,MAX(AK1498,H1498))))</f>
        <v>14</v>
      </c>
      <c r="AG1498" s="50" t="n">
        <f aca="false">IF(BW1498=1,0,ROUNDUP(AF1498/BV1498,0))</f>
        <v>1</v>
      </c>
      <c r="AH1498" s="52" t="n">
        <f aca="false">IF(CL1498&gt;0,CL1498*MAX(1,AF1498/X1498),IF(BW1498=1,IF(AF1498&lt;=0,0,CA1498*MAX(1,IF(H1498&gt;0,AF1498/H1498,1))),IF(R1498&gt;0,AG1498/R1498,0))/MAX(0.1,N(Parameter!$M$21)))</f>
        <v>0.00357142857142857</v>
      </c>
      <c r="AI1498" s="50" t="n">
        <f aca="false">AH1498*BY1498</f>
        <v>0.553571428571429</v>
      </c>
      <c r="AJ1498" s="50" t="n">
        <f aca="false">AF1498*G1498</f>
        <v>72.94</v>
      </c>
      <c r="AK1498" s="50" t="n">
        <f aca="false">ROUNDUP(MAX(J1498/IF(CD1498&gt;0,CD1498,MAX(0.1,N(Cockpit!$C$6))),CG1498)/BV1498,0)*BV1498</f>
        <v>14</v>
      </c>
      <c r="AL1498" s="51" t="n">
        <f aca="false">IF(AI1498&gt;0,J1498/AI1498,-1)</f>
        <v>0</v>
      </c>
      <c r="AM1498" s="51" t="n">
        <f aca="false">IF(AND(OR(CC1498="L1",CC1498="L23",CC1498="LIFT"),AI1498&gt;0),SUMIFS($AI$7:$AI$1843,$CC$7:$CC$1843,CC1498,$AL$7:$AL$1843,"&gt;"&amp;AL1498)+SUMIFS($AI$7:$AI$1843,$CC$7:$CC$1843,CC1498,$AL$7:$AL$1843,AL1498,$BT$7:$BT$1843,"&lt;="&amp;BT1498),"")</f>
        <v>29818.1798001904</v>
      </c>
      <c r="AN1498" s="58" t="n">
        <f aca="false">IF(AM1498="",0,MAX(0,MIN(1,(IF(CC1498="L1",Parameter!$H$5,IF(CC1498="L23",Parameter!$H$6+Parameter!$H$7,Parameter!$H$5+Parameter!$H$6+Parameter!$H$7))-(AM1498-AI1498))/AI1498)))</f>
        <v>1</v>
      </c>
      <c r="AO1498" s="50" t="n">
        <f aca="false">IF(LEFT(Cockpit!$I$5,1)="A",H1498,IF(CE1498=1,CF1498,IF(LEFT(Cockpit!$I$5,1)="B",AT1498,MAX(AT1498,H1498))))</f>
        <v>14</v>
      </c>
      <c r="AP1498" s="50" t="n">
        <f aca="false">IF(BW1498=1,0,ROUNDUP(AO1498/BV1498,0))</f>
        <v>1</v>
      </c>
      <c r="AQ1498" s="52" t="n">
        <f aca="false">IF(CL1498&gt;0,CL1498*MAX(1,AO1498/X1498),IF(BW1498=1,IF(AO1498&lt;=0,0,CA1498*MAX(1,IF(H1498&gt;0,AO1498/H1498,1))),IF(R1498&gt;0,AP1498/R1498,0))/MAX(0.1,N(Parameter!$M$21)))</f>
        <v>0.00357142857142857</v>
      </c>
      <c r="AR1498" s="50" t="n">
        <f aca="false">AQ1498*BY1498</f>
        <v>0.553571428571429</v>
      </c>
      <c r="AS1498" s="50" t="n">
        <f aca="false">AO1498*G1498</f>
        <v>72.94</v>
      </c>
      <c r="AT1498" s="50" t="n">
        <f aca="false">ROUNDUP(MAX(J1498/IF(CD1498&gt;0,CD1498,MAX(0.1,N(Cockpit!$I$6))),CG1498)/BV1498,0)*BV1498</f>
        <v>14</v>
      </c>
      <c r="AU1498" s="51" t="n">
        <f aca="false">IF(AR1498&gt;0,J1498/AR1498,-1)</f>
        <v>0</v>
      </c>
      <c r="AV1498" s="51" t="n">
        <f aca="false">IF(AND(OR(CC1498="L1",CC1498="L23",CC1498="LIFT"),AR1498&gt;0),SUMIFS($AR$7:$AR$1843,$CC$7:$CC$1843,CC1498,$AU$7:$AU$1843,"&gt;"&amp;AU1498)+SUMIFS($AR$7:$AR$1843,$CC$7:$CC$1843,CC1498,$AU$7:$AU$1843,AU1498,$BT$7:$BT$1843,"&lt;="&amp;BT1498),"")</f>
        <v>42110.5679181929</v>
      </c>
      <c r="AW1498" s="58" t="n">
        <f aca="false">IF(AV1498="",0,MAX(0,MIN(1,(IF(CC1498="L1",Parameter!$H$5,IF(CC1498="L23",Parameter!$H$6+Parameter!$H$7,Parameter!$H$5+Parameter!$H$6+Parameter!$H$7))-(AV1498-AR1498))/AR1498)))</f>
        <v>0</v>
      </c>
      <c r="AX1498" s="50" t="n">
        <f aca="false">IF(LEFT(Cockpit!$O$5,1)="A",H1498,IF(CE1498=1,CF1498,IF(LEFT(Cockpit!$O$5,1)="B",BC1498,MAX(BC1498,H1498))))</f>
        <v>14</v>
      </c>
      <c r="AY1498" s="50" t="n">
        <f aca="false">IF(BW1498=1,0,ROUNDUP(AX1498/BV1498,0))</f>
        <v>1</v>
      </c>
      <c r="AZ1498" s="52" t="n">
        <f aca="false">IF(CL1498&gt;0,CL1498*MAX(1,AX1498/X1498),IF(BW1498=1,IF(AX1498&lt;=0,0,CA1498*MAX(1,IF(H1498&gt;0,AX1498/H1498,1))),IF(R1498&gt;0,AY1498/R1498,0))/MAX(0.1,N(Parameter!$M$21)))</f>
        <v>0.00357142857142857</v>
      </c>
      <c r="BA1498" s="50" t="n">
        <f aca="false">AZ1498*BY1498</f>
        <v>0.553571428571429</v>
      </c>
      <c r="BB1498" s="50" t="n">
        <f aca="false">AX1498*G1498</f>
        <v>72.94</v>
      </c>
      <c r="BC1498" s="50" t="n">
        <f aca="false">ROUNDUP(MAX(J1498/IF(CD1498&gt;0,CD1498,MAX(0.1,N(Cockpit!$O$6))),CG1498)/BV1498,0)*BV1498</f>
        <v>14</v>
      </c>
      <c r="BD1498" s="51" t="n">
        <f aca="false">IF(BA1498&gt;0,J1498/BA1498,-1)</f>
        <v>0</v>
      </c>
      <c r="BE1498" s="51" t="n">
        <f aca="false">IF(AND(OR(CC1498="L1",CC1498="L23",CC1498="LIFT"),BA1498&gt;0),SUMIFS($BA$7:$BA$1843,$CC$7:$CC$1843,CC1498,$BD$7:$BD$1843,"&gt;"&amp;BD1498)+SUMIFS($BA$7:$BA$1843,$CC$7:$CC$1843,CC1498,$BD$7:$BD$1843,BD1498,$BT$7:$BT$1843,"&lt;="&amp;BT1498),"")</f>
        <v>38785.5799600588</v>
      </c>
      <c r="BF1498" s="58" t="n">
        <f aca="false">IF(BE1498="",0,MAX(0,MIN(1,(IF(CC1498="L1",Parameter!$H$5,IF(CC1498="L23",Parameter!$H$6+Parameter!$H$7,Parameter!$H$5+Parameter!$H$6+Parameter!$H$7))-(BE1498-BA1498))/BA1498)))</f>
        <v>0</v>
      </c>
      <c r="BG1498" s="48" t="str">
        <f aca="false">IF(AI1498&lt;=0,"",IF(CC1498="Aussen","Aussenlager",IF(CC1498="-","Nicht im Lift",IF(AN1498&gt;=1,"Lift",IF(AN1498&lt;=0,"Aussenlager","teilweise")))))</f>
        <v>Lift</v>
      </c>
      <c r="BH1498" s="48" t="str">
        <f aca="false">IF(AR1498&lt;=0,"",IF(CC1498="Aussen","Aussenlager",IF(CC1498="-","Nicht im Lift",IF(AW1498&gt;=1,"Lift",IF(AW1498&lt;=0,"Aussenlager","teilweise")))))</f>
        <v>Aussenlager</v>
      </c>
      <c r="BI1498" s="48" t="str">
        <f aca="false">IF(BA1498&lt;=0,"",IF(CC1498="Aussen","Aussenlager",IF(CC1498="-","Nicht im Lift",IF(BF1498&gt;=1,"Lift",IF(BF1498&lt;=0,"Aussenlager","teilweise")))))</f>
        <v>Aussenlager</v>
      </c>
      <c r="BJ1498" s="48" t="str">
        <f aca="false">IF(A1498="","",IF(BS1498=1,"Neu; ","")&amp;IF(AND(BS1498=0,BN1498&lt;0),"negativer Bestand (Export "&amp;BN1498&amp;"); ","")&amp;IF(J1498&lt;=0,"Kein Verbrauch; ","")&amp;IF(CL1498&gt;0,"Lift "&amp;W1498&amp;" lt. Liftbericht (Fach "&amp;X1498&amp;" Stk); ",IF(BX1498=1,"Gebinde geschätzt ("&amp;T1498&amp;"); ",IF(BW1498=1,"Lose – Tablare geschätzt; ","")))&amp;IF(H1498&gt;AT1498,"Überbestand "&amp;ROUND(H1498-AT1498,0)&amp;" Stk / CHF "&amp;ROUND((H1498-AT1498)*G1498,0)&amp;"; ","")&amp;IF(AND(CE1498=1,CF1498&lt;CG1498),"MAX &lt; MB+LG; ","")&amp;IF(AND(CK1498&gt;0,CJ1498*10&gt;CK1498),"zu hoch für Tablar; ","")&amp;IF(AND(BS1498=0,OR(CE1498=1,AA1498&lt;&gt;"",U1498&lt;&gt;"",V1498&lt;&gt;"",AB1498&lt;&gt;"")),"manuell übersteuert; ","")&amp;IF(AND(BW1498=0,R1498=0),"Gebinde unbekannt / Stellmass fehlt; ","")&amp;IF(AND(BW1498=0,N(V1498)&lt;=0,N(Q1498)&lt;=0),"Menge pro Gebinde fehlt (Ist = 1 Gebinde); ","")&amp;BR1498)</f>
        <v>Kein Verbrauch; nur im Artikelstamm (Bestand 23.06.2026)</v>
      </c>
      <c r="BK1498" s="48"/>
      <c r="BL1498" s="48"/>
      <c r="BM1498" s="55"/>
      <c r="BN1498" s="50" t="n">
        <v>14</v>
      </c>
      <c r="BO1498" s="50" t="n">
        <v>0</v>
      </c>
      <c r="BP1498" s="49" t="n">
        <v>0</v>
      </c>
      <c r="BQ1498" s="50" t="n">
        <v>0</v>
      </c>
      <c r="BR1498" s="48" t="s">
        <v>2579</v>
      </c>
      <c r="BS1498" s="53" t="n">
        <v>0</v>
      </c>
      <c r="BT1498" s="53" t="n">
        <v>1498</v>
      </c>
      <c r="BU1498" s="48" t="str">
        <f aca="false">IF(U1498&lt;&gt;"",UPPER(TRIM(U1498)),IF(BX1498=1,UPPER(VLOOKUP(T1498,Parameter!$I$27:$K$29,2,0)),IF(P1498="","LOSE",P1498)))</f>
        <v>S21</v>
      </c>
      <c r="BV1498" s="50" t="n">
        <f aca="false">IF(BU1498="LOSE",1,IF(N(V1498)&gt;0,V1498,IF(BX1498=1,MAX(1,N(VLOOKUP(T1498,Parameter!$I$27:$K$29,3,0)),H1498,N(N1498)),IF(N(Q1498)&gt;0,Q1498,MAX(1,H1498)))))</f>
        <v>14</v>
      </c>
      <c r="BW1498" s="53" t="n">
        <f aca="false">IF(BU1498="LOSE",1,0)</f>
        <v>0</v>
      </c>
      <c r="BX1498" s="53" t="n">
        <f aca="false">IF(AND(U1498="",OR(P1498="",P1498="LOSE"),T1498&lt;&gt;"",N(S1498)&lt;=0,ISNUMBER(MATCH(T1498,Parameter!$I$27:$I$29,0))),1,0)</f>
        <v>0</v>
      </c>
      <c r="BY1498" s="53" t="n">
        <f aca="false">IF(CL1498&gt;0,INDEX(Parameter!$H$5:$H$7,W1498)/INDEX(Parameter!$E$5:$E$7,W1498),IF(AND(BW1498=0,N(IFERROR(VLOOKUP(BU1498,'Gebinde-Kategorie'!$A$5:$N$45,14,0),0))&gt;0),VLOOKUP(BU1498,'Gebinde-Kategorie'!$A$5:$N$45,14,0)*10+Parameter!$M$23,Parameter!$M$24))</f>
        <v>155</v>
      </c>
      <c r="BZ1498" s="48" t="str">
        <f aca="false">IF(AND(Parameter!$B$19="Ja",E1498&lt;&gt;"",ISNUMBER(MATCH(E1498,Parameter!$I$35:$I$52,0))),VLOOKUP(E1498,Parameter!$I$35:$J$52,2,0),IFERROR(VLOOKUP(D1498,Parameter!$A$35:$C$64,2,0),"Nein"))</f>
        <v>2+3</v>
      </c>
      <c r="CA1498" s="52" t="n">
        <f aca="false">IF(BW1498=0,0,IF(N(S1498)&gt;0,S1498,IFERROR(VLOOKUP(D1498,Parameter!$A$35:$C$64,3,0)+0,0)))</f>
        <v>0</v>
      </c>
      <c r="CB1498" s="48" t="n">
        <f aca="false">IF(AA1498&lt;&gt;"",AA1498,Z1498)</f>
        <v>3</v>
      </c>
      <c r="CC1498" s="48" t="str">
        <f aca="false">IF(OR(CB1498=1,CB1498=2,CB1498=3),IF(Parameter!$E$27="Ja","LIFT",IF(CB1498=1,"L1","L23")),IF(CB1498="Aussen","Aussen","-"))</f>
        <v>LIFT</v>
      </c>
      <c r="CD1498" s="59" t="n">
        <f aca="false">IF(N(AB1498)&gt;0,AB1498,0)</f>
        <v>0</v>
      </c>
      <c r="CE1498" s="53" t="n">
        <f aca="false">IF(ISNUMBER(AE1498),1,0)</f>
        <v>0</v>
      </c>
      <c r="CF1498" s="50" t="n">
        <f aca="false">N(AE1498)</f>
        <v>0</v>
      </c>
      <c r="CG1498" s="50" t="n">
        <f aca="false">N(M1498)+N(N1498)</f>
        <v>10</v>
      </c>
      <c r="CH1498" s="50" t="n">
        <f aca="false">ROUNDUP(H1498/BV1498,0)</f>
        <v>1</v>
      </c>
      <c r="CI1498" s="50" t="n">
        <f aca="false">ROUNDUP(CF1498/BV1498,0)</f>
        <v>0</v>
      </c>
      <c r="CJ1498" s="53" t="n">
        <f aca="false">IF(BW1498=1,0,IFERROR(VLOOKUP(BU1498,'Gebinde-Kategorie'!$A$5:$N$45,5,0)+0,0))</f>
        <v>8</v>
      </c>
      <c r="CK1498" s="53" t="n">
        <f aca="false">IFERROR(IF(OR(CB1498=1,CB1498=2,CB1498=3),N(INDEX(Parameter!$I$5:$I$7,CB1498)),0),0)</f>
        <v>0</v>
      </c>
      <c r="CL1498" s="52" t="n">
        <f aca="false">IF(AND(Parameter!$B$21="Ja",ISNUMBER(W1498),N(X1498)&gt;0),IFERROR(N(INDEX(Parameter!$L$5:$L$7,W1498))*INDEX(Parameter!$E$5:$E$7,W1498)*X1498/SUMIFS($X$7:$X$1843,$W$7:$W$1843,W1498),0),0)</f>
        <v>0</v>
      </c>
    </row>
    <row r="1499" customFormat="false" ht="15" hidden="false" customHeight="false" outlineLevel="0" collapsed="false">
      <c r="A1499" s="48" t="s">
        <v>2624</v>
      </c>
      <c r="B1499" s="48" t="s">
        <v>2625</v>
      </c>
      <c r="C1499" s="48" t="s">
        <v>168</v>
      </c>
      <c r="D1499" s="48" t="s">
        <v>177</v>
      </c>
      <c r="E1499" s="48" t="s">
        <v>189</v>
      </c>
      <c r="F1499" s="48"/>
      <c r="G1499" s="49" t="n">
        <v>4.7</v>
      </c>
      <c r="H1499" s="50" t="n">
        <f aca="false">MAX(0,IF(AND(Parameter!$B$21="Ja",ISNUMBER(Y1499)),Y1499,IF(Parameter!$B$20="Jahresanfang 2025 + Export",BO1499+BN1499,BN1499)))</f>
        <v>17</v>
      </c>
      <c r="I1499" s="50" t="n">
        <f aca="false">H1499*G1499</f>
        <v>79.9</v>
      </c>
      <c r="J1499" s="50" t="n">
        <f aca="false">BQ1499*Parameter!$B$18</f>
        <v>0</v>
      </c>
      <c r="K1499" s="51"/>
      <c r="L1499" s="52"/>
      <c r="M1499" s="50" t="n">
        <v>0</v>
      </c>
      <c r="N1499" s="50" t="n">
        <v>1</v>
      </c>
      <c r="O1499" s="53" t="n">
        <v>14</v>
      </c>
      <c r="P1499" s="48" t="s">
        <v>306</v>
      </c>
      <c r="Q1499" s="50" t="n">
        <v>17</v>
      </c>
      <c r="R1499" s="53" t="n">
        <f aca="false">IF(BW1499=1,0,IFERROR(VLOOKUP(BU1499,'Gebinde-Kategorie'!$A$5:$N$45,13,0)+0,0))</f>
        <v>26</v>
      </c>
      <c r="S1499" s="54"/>
      <c r="T1499" s="55"/>
      <c r="U1499" s="55"/>
      <c r="V1499" s="55"/>
      <c r="W1499" s="48"/>
      <c r="X1499" s="50"/>
      <c r="Y1499" s="50"/>
      <c r="Z1499" s="48" t="n">
        <f aca="false">IF(A1499="","",IF(AND(Parameter!$B$21="Ja",ISNUMBER(W1499)),W1499,IF(BZ1499="2+3",IF(ISNUMBER(SEARCH("grosser Artikel",BR1499)),2,IFERROR(VLOOKUP(BU1499,Parameter!$F$35:$G$64,2,0),2)),IF(OR(BZ1499="Nein",BZ1499=""),"-",BZ1499))))</f>
        <v>3</v>
      </c>
      <c r="AA1499" s="55"/>
      <c r="AB1499" s="56"/>
      <c r="AC1499" s="50" t="n">
        <f aca="false">AT1499</f>
        <v>17</v>
      </c>
      <c r="AD1499" s="50" t="n">
        <f aca="false">MAX(AT1499,H1499)</f>
        <v>17</v>
      </c>
      <c r="AE1499" s="57"/>
      <c r="AF1499" s="50" t="n">
        <f aca="false">IF(LEFT(Cockpit!$C$5,1)="A",H1499,IF(CE1499=1,CF1499,IF(LEFT(Cockpit!$C$5,1)="B",AK1499,MAX(AK1499,H1499))))</f>
        <v>17</v>
      </c>
      <c r="AG1499" s="50" t="n">
        <f aca="false">IF(BW1499=1,0,ROUNDUP(AF1499/BV1499,0))</f>
        <v>1</v>
      </c>
      <c r="AH1499" s="52" t="n">
        <f aca="false">IF(CL1499&gt;0,CL1499*MAX(1,AF1499/X1499),IF(BW1499=1,IF(AF1499&lt;=0,0,CA1499*MAX(1,IF(H1499&gt;0,AF1499/H1499,1))),IF(R1499&gt;0,AG1499/R1499,0))/MAX(0.1,N(Parameter!$M$21)))</f>
        <v>0.0384615384615385</v>
      </c>
      <c r="AI1499" s="50" t="n">
        <f aca="false">AH1499*BY1499</f>
        <v>5.96153846153846</v>
      </c>
      <c r="AJ1499" s="50" t="n">
        <f aca="false">AF1499*G1499</f>
        <v>79.9</v>
      </c>
      <c r="AK1499" s="50" t="n">
        <f aca="false">ROUNDUP(MAX(J1499/IF(CD1499&gt;0,CD1499,MAX(0.1,N(Cockpit!$C$6))),CG1499)/BV1499,0)*BV1499</f>
        <v>17</v>
      </c>
      <c r="AL1499" s="51" t="n">
        <f aca="false">IF(AI1499&gt;0,J1499/AI1499,-1)</f>
        <v>0</v>
      </c>
      <c r="AM1499" s="51" t="n">
        <f aca="false">IF(AND(OR(CC1499="L1",CC1499="L23",CC1499="LIFT"),AI1499&gt;0),SUMIFS($AI$7:$AI$1843,$CC$7:$CC$1843,CC1499,$AL$7:$AL$1843,"&gt;"&amp;AL1499)+SUMIFS($AI$7:$AI$1843,$CC$7:$CC$1843,CC1499,$AL$7:$AL$1843,AL1499,$BT$7:$BT$1843,"&lt;="&amp;BT1499),"")</f>
        <v>29824.1413386519</v>
      </c>
      <c r="AN1499" s="58" t="n">
        <f aca="false">IF(AM1499="",0,MAX(0,MIN(1,(IF(CC1499="L1",Parameter!$H$5,IF(CC1499="L23",Parameter!$H$6+Parameter!$H$7,Parameter!$H$5+Parameter!$H$6+Parameter!$H$7))-(AM1499-AI1499))/AI1499)))</f>
        <v>1</v>
      </c>
      <c r="AO1499" s="50" t="n">
        <f aca="false">IF(LEFT(Cockpit!$I$5,1)="A",H1499,IF(CE1499=1,CF1499,IF(LEFT(Cockpit!$I$5,1)="B",AT1499,MAX(AT1499,H1499))))</f>
        <v>17</v>
      </c>
      <c r="AP1499" s="50" t="n">
        <f aca="false">IF(BW1499=1,0,ROUNDUP(AO1499/BV1499,0))</f>
        <v>1</v>
      </c>
      <c r="AQ1499" s="52" t="n">
        <f aca="false">IF(CL1499&gt;0,CL1499*MAX(1,AO1499/X1499),IF(BW1499=1,IF(AO1499&lt;=0,0,CA1499*MAX(1,IF(H1499&gt;0,AO1499/H1499,1))),IF(R1499&gt;0,AP1499/R1499,0))/MAX(0.1,N(Parameter!$M$21)))</f>
        <v>0.0384615384615385</v>
      </c>
      <c r="AR1499" s="50" t="n">
        <f aca="false">AQ1499*BY1499</f>
        <v>5.96153846153846</v>
      </c>
      <c r="AS1499" s="50" t="n">
        <f aca="false">AO1499*G1499</f>
        <v>79.9</v>
      </c>
      <c r="AT1499" s="50" t="n">
        <f aca="false">ROUNDUP(MAX(J1499/IF(CD1499&gt;0,CD1499,MAX(0.1,N(Cockpit!$I$6))),CG1499)/BV1499,0)*BV1499</f>
        <v>17</v>
      </c>
      <c r="AU1499" s="51" t="n">
        <f aca="false">IF(AR1499&gt;0,J1499/AR1499,-1)</f>
        <v>0</v>
      </c>
      <c r="AV1499" s="51" t="n">
        <f aca="false">IF(AND(OR(CC1499="L1",CC1499="L23",CC1499="LIFT"),AR1499&gt;0),SUMIFS($AR$7:$AR$1843,$CC$7:$CC$1843,CC1499,$AU$7:$AU$1843,"&gt;"&amp;AU1499)+SUMIFS($AR$7:$AR$1843,$CC$7:$CC$1843,CC1499,$AU$7:$AU$1843,AU1499,$BT$7:$BT$1843,"&lt;="&amp;BT1499),"")</f>
        <v>42116.5294566545</v>
      </c>
      <c r="AW1499" s="58" t="n">
        <f aca="false">IF(AV1499="",0,MAX(0,MIN(1,(IF(CC1499="L1",Parameter!$H$5,IF(CC1499="L23",Parameter!$H$6+Parameter!$H$7,Parameter!$H$5+Parameter!$H$6+Parameter!$H$7))-(AV1499-AR1499))/AR1499)))</f>
        <v>0</v>
      </c>
      <c r="AX1499" s="50" t="n">
        <f aca="false">IF(LEFT(Cockpit!$O$5,1)="A",H1499,IF(CE1499=1,CF1499,IF(LEFT(Cockpit!$O$5,1)="B",BC1499,MAX(BC1499,H1499))))</f>
        <v>17</v>
      </c>
      <c r="AY1499" s="50" t="n">
        <f aca="false">IF(BW1499=1,0,ROUNDUP(AX1499/BV1499,0))</f>
        <v>1</v>
      </c>
      <c r="AZ1499" s="52" t="n">
        <f aca="false">IF(CL1499&gt;0,CL1499*MAX(1,AX1499/X1499),IF(BW1499=1,IF(AX1499&lt;=0,0,CA1499*MAX(1,IF(H1499&gt;0,AX1499/H1499,1))),IF(R1499&gt;0,AY1499/R1499,0))/MAX(0.1,N(Parameter!$M$21)))</f>
        <v>0.0384615384615385</v>
      </c>
      <c r="BA1499" s="50" t="n">
        <f aca="false">AZ1499*BY1499</f>
        <v>5.96153846153846</v>
      </c>
      <c r="BB1499" s="50" t="n">
        <f aca="false">AX1499*G1499</f>
        <v>79.9</v>
      </c>
      <c r="BC1499" s="50" t="n">
        <f aca="false">ROUNDUP(MAX(J1499/IF(CD1499&gt;0,CD1499,MAX(0.1,N(Cockpit!$O$6))),CG1499)/BV1499,0)*BV1499</f>
        <v>17</v>
      </c>
      <c r="BD1499" s="51" t="n">
        <f aca="false">IF(BA1499&gt;0,J1499/BA1499,-1)</f>
        <v>0</v>
      </c>
      <c r="BE1499" s="51" t="n">
        <f aca="false">IF(AND(OR(CC1499="L1",CC1499="L23",CC1499="LIFT"),BA1499&gt;0),SUMIFS($BA$7:$BA$1843,$CC$7:$CC$1843,CC1499,$BD$7:$BD$1843,"&gt;"&amp;BD1499)+SUMIFS($BA$7:$BA$1843,$CC$7:$CC$1843,CC1499,$BD$7:$BD$1843,BD1499,$BT$7:$BT$1843,"&lt;="&amp;BT1499),"")</f>
        <v>38791.5414985203</v>
      </c>
      <c r="BF1499" s="58" t="n">
        <f aca="false">IF(BE1499="",0,MAX(0,MIN(1,(IF(CC1499="L1",Parameter!$H$5,IF(CC1499="L23",Parameter!$H$6+Parameter!$H$7,Parameter!$H$5+Parameter!$H$6+Parameter!$H$7))-(BE1499-BA1499))/BA1499)))</f>
        <v>0</v>
      </c>
      <c r="BG1499" s="48" t="str">
        <f aca="false">IF(AI1499&lt;=0,"",IF(CC1499="Aussen","Aussenlager",IF(CC1499="-","Nicht im Lift",IF(AN1499&gt;=1,"Lift",IF(AN1499&lt;=0,"Aussenlager","teilweise")))))</f>
        <v>Lift</v>
      </c>
      <c r="BH1499" s="48" t="str">
        <f aca="false">IF(AR1499&lt;=0,"",IF(CC1499="Aussen","Aussenlager",IF(CC1499="-","Nicht im Lift",IF(AW1499&gt;=1,"Lift",IF(AW1499&lt;=0,"Aussenlager","teilweise")))))</f>
        <v>Aussenlager</v>
      </c>
      <c r="BI1499" s="48" t="str">
        <f aca="false">IF(BA1499&lt;=0,"",IF(CC1499="Aussen","Aussenlager",IF(CC1499="-","Nicht im Lift",IF(BF1499&gt;=1,"Lift",IF(BF1499&lt;=0,"Aussenlager","teilweise")))))</f>
        <v>Aussenlager</v>
      </c>
      <c r="BJ1499" s="48" t="str">
        <f aca="false">IF(A1499="","",IF(BS1499=1,"Neu; ","")&amp;IF(AND(BS1499=0,BN1499&lt;0),"negativer Bestand (Export "&amp;BN1499&amp;"); ","")&amp;IF(J1499&lt;=0,"Kein Verbrauch; ","")&amp;IF(CL1499&gt;0,"Lift "&amp;W1499&amp;" lt. Liftbericht (Fach "&amp;X1499&amp;" Stk); ",IF(BX1499=1,"Gebinde geschätzt ("&amp;T1499&amp;"); ",IF(BW1499=1,"Lose – Tablare geschätzt; ","")))&amp;IF(H1499&gt;AT1499,"Überbestand "&amp;ROUND(H1499-AT1499,0)&amp;" Stk / CHF "&amp;ROUND((H1499-AT1499)*G1499,0)&amp;"; ","")&amp;IF(AND(CE1499=1,CF1499&lt;CG1499),"MAX &lt; MB+LG; ","")&amp;IF(AND(CK1499&gt;0,CJ1499*10&gt;CK1499),"zu hoch für Tablar; ","")&amp;IF(AND(BS1499=0,OR(CE1499=1,AA1499&lt;&gt;"",U1499&lt;&gt;"",V1499&lt;&gt;"",AB1499&lt;&gt;"")),"manuell übersteuert; ","")&amp;IF(AND(BW1499=0,R1499=0),"Gebinde unbekannt / Stellmass fehlt; ","")&amp;IF(AND(BW1499=0,N(V1499)&lt;=0,N(Q1499)&lt;=0),"Menge pro Gebinde fehlt (Ist = 1 Gebinde); ","")&amp;BR1499)</f>
        <v>Kein Verbrauch; nur im Artikelstamm (Bestand 23.06.2026); Überbestand</v>
      </c>
      <c r="BK1499" s="48"/>
      <c r="BL1499" s="48"/>
      <c r="BM1499" s="55"/>
      <c r="BN1499" s="50" t="n">
        <v>17</v>
      </c>
      <c r="BO1499" s="50" t="n">
        <v>0</v>
      </c>
      <c r="BP1499" s="49" t="n">
        <v>0</v>
      </c>
      <c r="BQ1499" s="50" t="n">
        <v>0</v>
      </c>
      <c r="BR1499" s="48" t="s">
        <v>2576</v>
      </c>
      <c r="BS1499" s="53" t="n">
        <v>0</v>
      </c>
      <c r="BT1499" s="53" t="n">
        <v>1499</v>
      </c>
      <c r="BU1499" s="48" t="str">
        <f aca="false">IF(U1499&lt;&gt;"",UPPER(TRIM(U1499)),IF(BX1499=1,UPPER(VLOOKUP(T1499,Parameter!$I$27:$K$29,2,0)),IF(P1499="","LOSE",P1499)))</f>
        <v>S51</v>
      </c>
      <c r="BV1499" s="50" t="n">
        <f aca="false">IF(BU1499="LOSE",1,IF(N(V1499)&gt;0,V1499,IF(BX1499=1,MAX(1,N(VLOOKUP(T1499,Parameter!$I$27:$K$29,3,0)),H1499,N(N1499)),IF(N(Q1499)&gt;0,Q1499,MAX(1,H1499)))))</f>
        <v>17</v>
      </c>
      <c r="BW1499" s="53" t="n">
        <f aca="false">IF(BU1499="LOSE",1,0)</f>
        <v>0</v>
      </c>
      <c r="BX1499" s="53" t="n">
        <f aca="false">IF(AND(U1499="",OR(P1499="",P1499="LOSE"),T1499&lt;&gt;"",N(S1499)&lt;=0,ISNUMBER(MATCH(T1499,Parameter!$I$27:$I$29,0))),1,0)</f>
        <v>0</v>
      </c>
      <c r="BY1499" s="53" t="n">
        <f aca="false">IF(CL1499&gt;0,INDEX(Parameter!$H$5:$H$7,W1499)/INDEX(Parameter!$E$5:$E$7,W1499),IF(AND(BW1499=0,N(IFERROR(VLOOKUP(BU1499,'Gebinde-Kategorie'!$A$5:$N$45,14,0),0))&gt;0),VLOOKUP(BU1499,'Gebinde-Kategorie'!$A$5:$N$45,14,0)*10+Parameter!$M$23,Parameter!$M$24))</f>
        <v>155</v>
      </c>
      <c r="BZ1499" s="48" t="str">
        <f aca="false">IF(AND(Parameter!$B$19="Ja",E1499&lt;&gt;"",ISNUMBER(MATCH(E1499,Parameter!$I$35:$I$52,0))),VLOOKUP(E1499,Parameter!$I$35:$J$52,2,0),IFERROR(VLOOKUP(D1499,Parameter!$A$35:$C$64,2,0),"Nein"))</f>
        <v>2+3</v>
      </c>
      <c r="CA1499" s="52" t="n">
        <f aca="false">IF(BW1499=0,0,IF(N(S1499)&gt;0,S1499,IFERROR(VLOOKUP(D1499,Parameter!$A$35:$C$64,3,0)+0,0)))</f>
        <v>0</v>
      </c>
      <c r="CB1499" s="48" t="n">
        <f aca="false">IF(AA1499&lt;&gt;"",AA1499,Z1499)</f>
        <v>3</v>
      </c>
      <c r="CC1499" s="48" t="str">
        <f aca="false">IF(OR(CB1499=1,CB1499=2,CB1499=3),IF(Parameter!$E$27="Ja","LIFT",IF(CB1499=1,"L1","L23")),IF(CB1499="Aussen","Aussen","-"))</f>
        <v>LIFT</v>
      </c>
      <c r="CD1499" s="59" t="n">
        <f aca="false">IF(N(AB1499)&gt;0,AB1499,0)</f>
        <v>0</v>
      </c>
      <c r="CE1499" s="53" t="n">
        <f aca="false">IF(ISNUMBER(AE1499),1,0)</f>
        <v>0</v>
      </c>
      <c r="CF1499" s="50" t="n">
        <f aca="false">N(AE1499)</f>
        <v>0</v>
      </c>
      <c r="CG1499" s="50" t="n">
        <f aca="false">N(M1499)+N(N1499)</f>
        <v>1</v>
      </c>
      <c r="CH1499" s="50" t="n">
        <f aca="false">ROUNDUP(H1499/BV1499,0)</f>
        <v>1</v>
      </c>
      <c r="CI1499" s="50" t="n">
        <f aca="false">ROUNDUP(CF1499/BV1499,0)</f>
        <v>0</v>
      </c>
      <c r="CJ1499" s="53" t="n">
        <f aca="false">IF(BW1499=1,0,IFERROR(VLOOKUP(BU1499,'Gebinde-Kategorie'!$A$5:$N$45,5,0)+0,0))</f>
        <v>11</v>
      </c>
      <c r="CK1499" s="53" t="n">
        <f aca="false">IFERROR(IF(OR(CB1499=1,CB1499=2,CB1499=3),N(INDEX(Parameter!$I$5:$I$7,CB1499)),0),0)</f>
        <v>0</v>
      </c>
      <c r="CL1499" s="52" t="n">
        <f aca="false">IF(AND(Parameter!$B$21="Ja",ISNUMBER(W1499),N(X1499)&gt;0),IFERROR(N(INDEX(Parameter!$L$5:$L$7,W1499))*INDEX(Parameter!$E$5:$E$7,W1499)*X1499/SUMIFS($X$7:$X$1843,$W$7:$W$1843,W1499),0),0)</f>
        <v>0</v>
      </c>
    </row>
    <row r="1500" customFormat="false" ht="15" hidden="false" customHeight="false" outlineLevel="0" collapsed="false">
      <c r="A1500" s="48" t="s">
        <v>2626</v>
      </c>
      <c r="B1500" s="48" t="s">
        <v>2627</v>
      </c>
      <c r="C1500" s="48" t="s">
        <v>168</v>
      </c>
      <c r="D1500" s="48" t="s">
        <v>188</v>
      </c>
      <c r="E1500" s="48" t="s">
        <v>189</v>
      </c>
      <c r="F1500" s="48"/>
      <c r="G1500" s="49" t="n">
        <v>21.51</v>
      </c>
      <c r="H1500" s="50" t="n">
        <f aca="false">MAX(0,IF(AND(Parameter!$B$21="Ja",ISNUMBER(Y1500)),Y1500,IF(Parameter!$B$20="Jahresanfang 2025 + Export",BO1500+BN1500,BN1500)))</f>
        <v>6</v>
      </c>
      <c r="I1500" s="50" t="n">
        <f aca="false">H1500*G1500</f>
        <v>129.06</v>
      </c>
      <c r="J1500" s="50" t="n">
        <f aca="false">BQ1500*Parameter!$B$18</f>
        <v>0</v>
      </c>
      <c r="K1500" s="51"/>
      <c r="L1500" s="52"/>
      <c r="M1500" s="50" t="n">
        <v>0</v>
      </c>
      <c r="N1500" s="50" t="n">
        <v>1</v>
      </c>
      <c r="O1500" s="53" t="n">
        <v>14</v>
      </c>
      <c r="P1500" s="48" t="s">
        <v>237</v>
      </c>
      <c r="Q1500" s="50" t="n">
        <v>1</v>
      </c>
      <c r="R1500" s="53" t="n">
        <f aca="false">IF(BW1500=1,0,IFERROR(VLOOKUP(BU1500,'Gebinde-Kategorie'!$A$5:$N$45,13,0)+0,0))</f>
        <v>26</v>
      </c>
      <c r="S1500" s="54"/>
      <c r="T1500" s="55"/>
      <c r="U1500" s="55"/>
      <c r="V1500" s="55"/>
      <c r="W1500" s="48"/>
      <c r="X1500" s="50"/>
      <c r="Y1500" s="50"/>
      <c r="Z1500" s="48" t="n">
        <f aca="false">IF(A1500="","",IF(AND(Parameter!$B$21="Ja",ISNUMBER(W1500)),W1500,IF(BZ1500="2+3",IF(ISNUMBER(SEARCH("grosser Artikel",BR1500)),2,IFERROR(VLOOKUP(BU1500,Parameter!$F$35:$G$64,2,0),2)),IF(OR(BZ1500="Nein",BZ1500=""),"-",BZ1500))))</f>
        <v>3</v>
      </c>
      <c r="AA1500" s="55"/>
      <c r="AB1500" s="56"/>
      <c r="AC1500" s="50" t="n">
        <f aca="false">AT1500</f>
        <v>1</v>
      </c>
      <c r="AD1500" s="50" t="n">
        <f aca="false">MAX(AT1500,H1500)</f>
        <v>6</v>
      </c>
      <c r="AE1500" s="57"/>
      <c r="AF1500" s="50" t="n">
        <f aca="false">IF(LEFT(Cockpit!$C$5,1)="A",H1500,IF(CE1500=1,CF1500,IF(LEFT(Cockpit!$C$5,1)="B",AK1500,MAX(AK1500,H1500))))</f>
        <v>6</v>
      </c>
      <c r="AG1500" s="50" t="n">
        <f aca="false">IF(BW1500=1,0,ROUNDUP(AF1500/BV1500,0))</f>
        <v>6</v>
      </c>
      <c r="AH1500" s="52" t="n">
        <f aca="false">IF(CL1500&gt;0,CL1500*MAX(1,AF1500/X1500),IF(BW1500=1,IF(AF1500&lt;=0,0,CA1500*MAX(1,IF(H1500&gt;0,AF1500/H1500,1))),IF(R1500&gt;0,AG1500/R1500,0))/MAX(0.1,N(Parameter!$M$21)))</f>
        <v>0.230769230769231</v>
      </c>
      <c r="AI1500" s="50" t="n">
        <f aca="false">AH1500*BY1500</f>
        <v>56.5384615384615</v>
      </c>
      <c r="AJ1500" s="50" t="n">
        <f aca="false">AF1500*G1500</f>
        <v>129.06</v>
      </c>
      <c r="AK1500" s="50" t="n">
        <f aca="false">ROUNDUP(MAX(J1500/IF(CD1500&gt;0,CD1500,MAX(0.1,N(Cockpit!$C$6))),CG1500)/BV1500,0)*BV1500</f>
        <v>1</v>
      </c>
      <c r="AL1500" s="51" t="n">
        <f aca="false">IF(AI1500&gt;0,J1500/AI1500,-1)</f>
        <v>0</v>
      </c>
      <c r="AM1500" s="51" t="n">
        <f aca="false">IF(AND(OR(CC1500="L1",CC1500="L23",CC1500="LIFT"),AI1500&gt;0),SUMIFS($AI$7:$AI$1843,$CC$7:$CC$1843,CC1500,$AL$7:$AL$1843,"&gt;"&amp;AL1500)+SUMIFS($AI$7:$AI$1843,$CC$7:$CC$1843,CC1500,$AL$7:$AL$1843,AL1500,$BT$7:$BT$1843,"&lt;="&amp;BT1500),"")</f>
        <v>29880.6798001904</v>
      </c>
      <c r="AN1500" s="58" t="n">
        <f aca="false">IF(AM1500="",0,MAX(0,MIN(1,(IF(CC1500="L1",Parameter!$H$5,IF(CC1500="L23",Parameter!$H$6+Parameter!$H$7,Parameter!$H$5+Parameter!$H$6+Parameter!$H$7))-(AM1500-AI1500))/AI1500)))</f>
        <v>1</v>
      </c>
      <c r="AO1500" s="50" t="n">
        <f aca="false">IF(LEFT(Cockpit!$I$5,1)="A",H1500,IF(CE1500=1,CF1500,IF(LEFT(Cockpit!$I$5,1)="B",AT1500,MAX(AT1500,H1500))))</f>
        <v>6</v>
      </c>
      <c r="AP1500" s="50" t="n">
        <f aca="false">IF(BW1500=1,0,ROUNDUP(AO1500/BV1500,0))</f>
        <v>6</v>
      </c>
      <c r="AQ1500" s="52" t="n">
        <f aca="false">IF(CL1500&gt;0,CL1500*MAX(1,AO1500/X1500),IF(BW1500=1,IF(AO1500&lt;=0,0,CA1500*MAX(1,IF(H1500&gt;0,AO1500/H1500,1))),IF(R1500&gt;0,AP1500/R1500,0))/MAX(0.1,N(Parameter!$M$21)))</f>
        <v>0.230769230769231</v>
      </c>
      <c r="AR1500" s="50" t="n">
        <f aca="false">AQ1500*BY1500</f>
        <v>56.5384615384615</v>
      </c>
      <c r="AS1500" s="50" t="n">
        <f aca="false">AO1500*G1500</f>
        <v>129.06</v>
      </c>
      <c r="AT1500" s="50" t="n">
        <f aca="false">ROUNDUP(MAX(J1500/IF(CD1500&gt;0,CD1500,MAX(0.1,N(Cockpit!$I$6))),CG1500)/BV1500,0)*BV1500</f>
        <v>1</v>
      </c>
      <c r="AU1500" s="51" t="n">
        <f aca="false">IF(AR1500&gt;0,J1500/AR1500,-1)</f>
        <v>0</v>
      </c>
      <c r="AV1500" s="51" t="n">
        <f aca="false">IF(AND(OR(CC1500="L1",CC1500="L23",CC1500="LIFT"),AR1500&gt;0),SUMIFS($AR$7:$AR$1843,$CC$7:$CC$1843,CC1500,$AU$7:$AU$1843,"&gt;"&amp;AU1500)+SUMIFS($AR$7:$AR$1843,$CC$7:$CC$1843,CC1500,$AU$7:$AU$1843,AU1500,$BT$7:$BT$1843,"&lt;="&amp;BT1500),"")</f>
        <v>42173.0679181929</v>
      </c>
      <c r="AW1500" s="58" t="n">
        <f aca="false">IF(AV1500="",0,MAX(0,MIN(1,(IF(CC1500="L1",Parameter!$H$5,IF(CC1500="L23",Parameter!$H$6+Parameter!$H$7,Parameter!$H$5+Parameter!$H$6+Parameter!$H$7))-(AV1500-AR1500))/AR1500)))</f>
        <v>0</v>
      </c>
      <c r="AX1500" s="50" t="n">
        <f aca="false">IF(LEFT(Cockpit!$O$5,1)="A",H1500,IF(CE1500=1,CF1500,IF(LEFT(Cockpit!$O$5,1)="B",BC1500,MAX(BC1500,H1500))))</f>
        <v>6</v>
      </c>
      <c r="AY1500" s="50" t="n">
        <f aca="false">IF(BW1500=1,0,ROUNDUP(AX1500/BV1500,0))</f>
        <v>6</v>
      </c>
      <c r="AZ1500" s="52" t="n">
        <f aca="false">IF(CL1500&gt;0,CL1500*MAX(1,AX1500/X1500),IF(BW1500=1,IF(AX1500&lt;=0,0,CA1500*MAX(1,IF(H1500&gt;0,AX1500/H1500,1))),IF(R1500&gt;0,AY1500/R1500,0))/MAX(0.1,N(Parameter!$M$21)))</f>
        <v>0.230769230769231</v>
      </c>
      <c r="BA1500" s="50" t="n">
        <f aca="false">AZ1500*BY1500</f>
        <v>56.5384615384615</v>
      </c>
      <c r="BB1500" s="50" t="n">
        <f aca="false">AX1500*G1500</f>
        <v>129.06</v>
      </c>
      <c r="BC1500" s="50" t="n">
        <f aca="false">ROUNDUP(MAX(J1500/IF(CD1500&gt;0,CD1500,MAX(0.1,N(Cockpit!$O$6))),CG1500)/BV1500,0)*BV1500</f>
        <v>1</v>
      </c>
      <c r="BD1500" s="51" t="n">
        <f aca="false">IF(BA1500&gt;0,J1500/BA1500,-1)</f>
        <v>0</v>
      </c>
      <c r="BE1500" s="51" t="n">
        <f aca="false">IF(AND(OR(CC1500="L1",CC1500="L23",CC1500="LIFT"),BA1500&gt;0),SUMIFS($BA$7:$BA$1843,$CC$7:$CC$1843,CC1500,$BD$7:$BD$1843,"&gt;"&amp;BD1500)+SUMIFS($BA$7:$BA$1843,$CC$7:$CC$1843,CC1500,$BD$7:$BD$1843,BD1500,$BT$7:$BT$1843,"&lt;="&amp;BT1500),"")</f>
        <v>38848.0799600588</v>
      </c>
      <c r="BF1500" s="58" t="n">
        <f aca="false">IF(BE1500="",0,MAX(0,MIN(1,(IF(CC1500="L1",Parameter!$H$5,IF(CC1500="L23",Parameter!$H$6+Parameter!$H$7,Parameter!$H$5+Parameter!$H$6+Parameter!$H$7))-(BE1500-BA1500))/BA1500)))</f>
        <v>0</v>
      </c>
      <c r="BG1500" s="48" t="str">
        <f aca="false">IF(AI1500&lt;=0,"",IF(CC1500="Aussen","Aussenlager",IF(CC1500="-","Nicht im Lift",IF(AN1500&gt;=1,"Lift",IF(AN1500&lt;=0,"Aussenlager","teilweise")))))</f>
        <v>Lift</v>
      </c>
      <c r="BH1500" s="48" t="str">
        <f aca="false">IF(AR1500&lt;=0,"",IF(CC1500="Aussen","Aussenlager",IF(CC1500="-","Nicht im Lift",IF(AW1500&gt;=1,"Lift",IF(AW1500&lt;=0,"Aussenlager","teilweise")))))</f>
        <v>Aussenlager</v>
      </c>
      <c r="BI1500" s="48" t="str">
        <f aca="false">IF(BA1500&lt;=0,"",IF(CC1500="Aussen","Aussenlager",IF(CC1500="-","Nicht im Lift",IF(BF1500&gt;=1,"Lift",IF(BF1500&lt;=0,"Aussenlager","teilweise")))))</f>
        <v>Aussenlager</v>
      </c>
      <c r="BJ1500" s="48" t="str">
        <f aca="false">IF(A1500="","",IF(BS1500=1,"Neu; ","")&amp;IF(AND(BS1500=0,BN1500&lt;0),"negativer Bestand (Export "&amp;BN1500&amp;"); ","")&amp;IF(J1500&lt;=0,"Kein Verbrauch; ","")&amp;IF(CL1500&gt;0,"Lift "&amp;W1500&amp;" lt. Liftbericht (Fach "&amp;X1500&amp;" Stk); ",IF(BX1500=1,"Gebinde geschätzt ("&amp;T1500&amp;"); ",IF(BW1500=1,"Lose – Tablare geschätzt; ","")))&amp;IF(H1500&gt;AT1500,"Überbestand "&amp;ROUND(H1500-AT1500,0)&amp;" Stk / CHF "&amp;ROUND((H1500-AT1500)*G1500,0)&amp;"; ","")&amp;IF(AND(CE1500=1,CF1500&lt;CG1500),"MAX &lt; MB+LG; ","")&amp;IF(AND(CK1500&gt;0,CJ1500*10&gt;CK1500),"zu hoch für Tablar; ","")&amp;IF(AND(BS1500=0,OR(CE1500=1,AA1500&lt;&gt;"",U1500&lt;&gt;"",V1500&lt;&gt;"",AB1500&lt;&gt;"")),"manuell übersteuert; ","")&amp;IF(AND(BW1500=0,R1500=0),"Gebinde unbekannt / Stellmass fehlt; ","")&amp;IF(AND(BW1500=0,N(V1500)&lt;=0,N(Q1500)&lt;=0),"Menge pro Gebinde fehlt (Ist = 1 Gebinde); ","")&amp;BR1500)</f>
        <v>Kein Verbrauch; Überbestand 5 Stk / CHF 108; nur im Artikelstamm (Bestand 23.06.2026)</v>
      </c>
      <c r="BK1500" s="48"/>
      <c r="BL1500" s="48"/>
      <c r="BM1500" s="55"/>
      <c r="BN1500" s="50" t="n">
        <v>6</v>
      </c>
      <c r="BO1500" s="50" t="n">
        <v>0</v>
      </c>
      <c r="BP1500" s="49" t="n">
        <v>0</v>
      </c>
      <c r="BQ1500" s="50" t="n">
        <v>0</v>
      </c>
      <c r="BR1500" s="48" t="s">
        <v>2579</v>
      </c>
      <c r="BS1500" s="53" t="n">
        <v>0</v>
      </c>
      <c r="BT1500" s="53" t="n">
        <v>1500</v>
      </c>
      <c r="BU1500" s="48" t="str">
        <f aca="false">IF(U1500&lt;&gt;"",UPPER(TRIM(U1500)),IF(BX1500=1,UPPER(VLOOKUP(T1500,Parameter!$I$27:$K$29,2,0)),IF(P1500="","LOSE",P1500)))</f>
        <v>S52</v>
      </c>
      <c r="BV1500" s="50" t="n">
        <f aca="false">IF(BU1500="LOSE",1,IF(N(V1500)&gt;0,V1500,IF(BX1500=1,MAX(1,N(VLOOKUP(T1500,Parameter!$I$27:$K$29,3,0)),H1500,N(N1500)),IF(N(Q1500)&gt;0,Q1500,MAX(1,H1500)))))</f>
        <v>1</v>
      </c>
      <c r="BW1500" s="53" t="n">
        <f aca="false">IF(BU1500="LOSE",1,0)</f>
        <v>0</v>
      </c>
      <c r="BX1500" s="53" t="n">
        <f aca="false">IF(AND(U1500="",OR(P1500="",P1500="LOSE"),T1500&lt;&gt;"",N(S1500)&lt;=0,ISNUMBER(MATCH(T1500,Parameter!$I$27:$I$29,0))),1,0)</f>
        <v>0</v>
      </c>
      <c r="BY1500" s="53" t="n">
        <f aca="false">IF(CL1500&gt;0,INDEX(Parameter!$H$5:$H$7,W1500)/INDEX(Parameter!$E$5:$E$7,W1500),IF(AND(BW1500=0,N(IFERROR(VLOOKUP(BU1500,'Gebinde-Kategorie'!$A$5:$N$45,14,0),0))&gt;0),VLOOKUP(BU1500,'Gebinde-Kategorie'!$A$5:$N$45,14,0)*10+Parameter!$M$23,Parameter!$M$24))</f>
        <v>245</v>
      </c>
      <c r="BZ1500" s="48" t="str">
        <f aca="false">IF(AND(Parameter!$B$19="Ja",E1500&lt;&gt;"",ISNUMBER(MATCH(E1500,Parameter!$I$35:$I$52,0))),VLOOKUP(E1500,Parameter!$I$35:$J$52,2,0),IFERROR(VLOOKUP(D1500,Parameter!$A$35:$C$64,2,0),"Nein"))</f>
        <v>2+3</v>
      </c>
      <c r="CA1500" s="52" t="n">
        <f aca="false">IF(BW1500=0,0,IF(N(S1500)&gt;0,S1500,IFERROR(VLOOKUP(D1500,Parameter!$A$35:$C$64,3,0)+0,0)))</f>
        <v>0</v>
      </c>
      <c r="CB1500" s="48" t="n">
        <f aca="false">IF(AA1500&lt;&gt;"",AA1500,Z1500)</f>
        <v>3</v>
      </c>
      <c r="CC1500" s="48" t="str">
        <f aca="false">IF(OR(CB1500=1,CB1500=2,CB1500=3),IF(Parameter!$E$27="Ja","LIFT",IF(CB1500=1,"L1","L23")),IF(CB1500="Aussen","Aussen","-"))</f>
        <v>LIFT</v>
      </c>
      <c r="CD1500" s="59" t="n">
        <f aca="false">IF(N(AB1500)&gt;0,AB1500,0)</f>
        <v>0</v>
      </c>
      <c r="CE1500" s="53" t="n">
        <f aca="false">IF(ISNUMBER(AE1500),1,0)</f>
        <v>0</v>
      </c>
      <c r="CF1500" s="50" t="n">
        <f aca="false">N(AE1500)</f>
        <v>0</v>
      </c>
      <c r="CG1500" s="50" t="n">
        <f aca="false">N(M1500)+N(N1500)</f>
        <v>1</v>
      </c>
      <c r="CH1500" s="50" t="n">
        <f aca="false">ROUNDUP(H1500/BV1500,0)</f>
        <v>6</v>
      </c>
      <c r="CI1500" s="50" t="n">
        <f aca="false">ROUNDUP(CF1500/BV1500,0)</f>
        <v>0</v>
      </c>
      <c r="CJ1500" s="53" t="n">
        <f aca="false">IF(BW1500=1,0,IFERROR(VLOOKUP(BU1500,'Gebinde-Kategorie'!$A$5:$N$45,5,0)+0,0))</f>
        <v>21</v>
      </c>
      <c r="CK1500" s="53" t="n">
        <f aca="false">IFERROR(IF(OR(CB1500=1,CB1500=2,CB1500=3),N(INDEX(Parameter!$I$5:$I$7,CB1500)),0),0)</f>
        <v>0</v>
      </c>
      <c r="CL1500" s="52" t="n">
        <f aca="false">IF(AND(Parameter!$B$21="Ja",ISNUMBER(W1500),N(X1500)&gt;0),IFERROR(N(INDEX(Parameter!$L$5:$L$7,W1500))*INDEX(Parameter!$E$5:$E$7,W1500)*X1500/SUMIFS($X$7:$X$1843,$W$7:$W$1843,W1500),0),0)</f>
        <v>0</v>
      </c>
    </row>
    <row r="1501" customFormat="false" ht="15" hidden="false" customHeight="false" outlineLevel="0" collapsed="false">
      <c r="A1501" s="48" t="s">
        <v>2628</v>
      </c>
      <c r="B1501" s="48" t="s">
        <v>2629</v>
      </c>
      <c r="C1501" s="48" t="s">
        <v>168</v>
      </c>
      <c r="D1501" s="48" t="s">
        <v>188</v>
      </c>
      <c r="E1501" s="48" t="s">
        <v>189</v>
      </c>
      <c r="F1501" s="48"/>
      <c r="G1501" s="49" t="n">
        <v>97.63</v>
      </c>
      <c r="H1501" s="50" t="n">
        <f aca="false">MAX(0,IF(AND(Parameter!$B$21="Ja",ISNUMBER(Y1501)),Y1501,IF(Parameter!$B$20="Jahresanfang 2025 + Export",BO1501+BN1501,BN1501)))</f>
        <v>5</v>
      </c>
      <c r="I1501" s="50" t="n">
        <f aca="false">H1501*G1501</f>
        <v>488.15</v>
      </c>
      <c r="J1501" s="50" t="n">
        <f aca="false">BQ1501*Parameter!$B$18</f>
        <v>0</v>
      </c>
      <c r="K1501" s="51"/>
      <c r="L1501" s="52"/>
      <c r="M1501" s="50" t="n">
        <v>0</v>
      </c>
      <c r="N1501" s="50" t="n">
        <v>3</v>
      </c>
      <c r="O1501" s="53" t="n">
        <v>77</v>
      </c>
      <c r="P1501" s="48" t="s">
        <v>306</v>
      </c>
      <c r="Q1501" s="50" t="n">
        <v>5</v>
      </c>
      <c r="R1501" s="53" t="n">
        <f aca="false">IF(BW1501=1,0,IFERROR(VLOOKUP(BU1501,'Gebinde-Kategorie'!$A$5:$N$45,13,0)+0,0))</f>
        <v>26</v>
      </c>
      <c r="S1501" s="54"/>
      <c r="T1501" s="55"/>
      <c r="U1501" s="55"/>
      <c r="V1501" s="55"/>
      <c r="W1501" s="48"/>
      <c r="X1501" s="50"/>
      <c r="Y1501" s="50"/>
      <c r="Z1501" s="48" t="n">
        <f aca="false">IF(A1501="","",IF(AND(Parameter!$B$21="Ja",ISNUMBER(W1501)),W1501,IF(BZ1501="2+3",IF(ISNUMBER(SEARCH("grosser Artikel",BR1501)),2,IFERROR(VLOOKUP(BU1501,Parameter!$F$35:$G$64,2,0),2)),IF(OR(BZ1501="Nein",BZ1501=""),"-",BZ1501))))</f>
        <v>3</v>
      </c>
      <c r="AA1501" s="55"/>
      <c r="AB1501" s="56"/>
      <c r="AC1501" s="50" t="n">
        <f aca="false">AT1501</f>
        <v>5</v>
      </c>
      <c r="AD1501" s="50" t="n">
        <f aca="false">MAX(AT1501,H1501)</f>
        <v>5</v>
      </c>
      <c r="AE1501" s="57"/>
      <c r="AF1501" s="50" t="n">
        <f aca="false">IF(LEFT(Cockpit!$C$5,1)="A",H1501,IF(CE1501=1,CF1501,IF(LEFT(Cockpit!$C$5,1)="B",AK1501,MAX(AK1501,H1501))))</f>
        <v>5</v>
      </c>
      <c r="AG1501" s="50" t="n">
        <f aca="false">IF(BW1501=1,0,ROUNDUP(AF1501/BV1501,0))</f>
        <v>1</v>
      </c>
      <c r="AH1501" s="52" t="n">
        <f aca="false">IF(CL1501&gt;0,CL1501*MAX(1,AF1501/X1501),IF(BW1501=1,IF(AF1501&lt;=0,0,CA1501*MAX(1,IF(H1501&gt;0,AF1501/H1501,1))),IF(R1501&gt;0,AG1501/R1501,0))/MAX(0.1,N(Parameter!$M$21)))</f>
        <v>0.0384615384615385</v>
      </c>
      <c r="AI1501" s="50" t="n">
        <f aca="false">AH1501*BY1501</f>
        <v>5.96153846153846</v>
      </c>
      <c r="AJ1501" s="50" t="n">
        <f aca="false">AF1501*G1501</f>
        <v>488.15</v>
      </c>
      <c r="AK1501" s="50" t="n">
        <f aca="false">ROUNDUP(MAX(J1501/IF(CD1501&gt;0,CD1501,MAX(0.1,N(Cockpit!$C$6))),CG1501)/BV1501,0)*BV1501</f>
        <v>5</v>
      </c>
      <c r="AL1501" s="51" t="n">
        <f aca="false">IF(AI1501&gt;0,J1501/AI1501,-1)</f>
        <v>0</v>
      </c>
      <c r="AM1501" s="51" t="n">
        <f aca="false">IF(AND(OR(CC1501="L1",CC1501="L23",CC1501="LIFT"),AI1501&gt;0),SUMIFS($AI$7:$AI$1843,$CC$7:$CC$1843,CC1501,$AL$7:$AL$1843,"&gt;"&amp;AL1501)+SUMIFS($AI$7:$AI$1843,$CC$7:$CC$1843,CC1501,$AL$7:$AL$1843,AL1501,$BT$7:$BT$1843,"&lt;="&amp;BT1501),"")</f>
        <v>29886.6413386519</v>
      </c>
      <c r="AN1501" s="58" t="n">
        <f aca="false">IF(AM1501="",0,MAX(0,MIN(1,(IF(CC1501="L1",Parameter!$H$5,IF(CC1501="L23",Parameter!$H$6+Parameter!$H$7,Parameter!$H$5+Parameter!$H$6+Parameter!$H$7))-(AM1501-AI1501))/AI1501)))</f>
        <v>1</v>
      </c>
      <c r="AO1501" s="50" t="n">
        <f aca="false">IF(LEFT(Cockpit!$I$5,1)="A",H1501,IF(CE1501=1,CF1501,IF(LEFT(Cockpit!$I$5,1)="B",AT1501,MAX(AT1501,H1501))))</f>
        <v>5</v>
      </c>
      <c r="AP1501" s="50" t="n">
        <f aca="false">IF(BW1501=1,0,ROUNDUP(AO1501/BV1501,0))</f>
        <v>1</v>
      </c>
      <c r="AQ1501" s="52" t="n">
        <f aca="false">IF(CL1501&gt;0,CL1501*MAX(1,AO1501/X1501),IF(BW1501=1,IF(AO1501&lt;=0,0,CA1501*MAX(1,IF(H1501&gt;0,AO1501/H1501,1))),IF(R1501&gt;0,AP1501/R1501,0))/MAX(0.1,N(Parameter!$M$21)))</f>
        <v>0.0384615384615385</v>
      </c>
      <c r="AR1501" s="50" t="n">
        <f aca="false">AQ1501*BY1501</f>
        <v>5.96153846153846</v>
      </c>
      <c r="AS1501" s="50" t="n">
        <f aca="false">AO1501*G1501</f>
        <v>488.15</v>
      </c>
      <c r="AT1501" s="50" t="n">
        <f aca="false">ROUNDUP(MAX(J1501/IF(CD1501&gt;0,CD1501,MAX(0.1,N(Cockpit!$I$6))),CG1501)/BV1501,0)*BV1501</f>
        <v>5</v>
      </c>
      <c r="AU1501" s="51" t="n">
        <f aca="false">IF(AR1501&gt;0,J1501/AR1501,-1)</f>
        <v>0</v>
      </c>
      <c r="AV1501" s="51" t="n">
        <f aca="false">IF(AND(OR(CC1501="L1",CC1501="L23",CC1501="LIFT"),AR1501&gt;0),SUMIFS($AR$7:$AR$1843,$CC$7:$CC$1843,CC1501,$AU$7:$AU$1843,"&gt;"&amp;AU1501)+SUMIFS($AR$7:$AR$1843,$CC$7:$CC$1843,CC1501,$AU$7:$AU$1843,AU1501,$BT$7:$BT$1843,"&lt;="&amp;BT1501),"")</f>
        <v>42179.0294566545</v>
      </c>
      <c r="AW1501" s="58" t="n">
        <f aca="false">IF(AV1501="",0,MAX(0,MIN(1,(IF(CC1501="L1",Parameter!$H$5,IF(CC1501="L23",Parameter!$H$6+Parameter!$H$7,Parameter!$H$5+Parameter!$H$6+Parameter!$H$7))-(AV1501-AR1501))/AR1501)))</f>
        <v>0</v>
      </c>
      <c r="AX1501" s="50" t="n">
        <f aca="false">IF(LEFT(Cockpit!$O$5,1)="A",H1501,IF(CE1501=1,CF1501,IF(LEFT(Cockpit!$O$5,1)="B",BC1501,MAX(BC1501,H1501))))</f>
        <v>5</v>
      </c>
      <c r="AY1501" s="50" t="n">
        <f aca="false">IF(BW1501=1,0,ROUNDUP(AX1501/BV1501,0))</f>
        <v>1</v>
      </c>
      <c r="AZ1501" s="52" t="n">
        <f aca="false">IF(CL1501&gt;0,CL1501*MAX(1,AX1501/X1501),IF(BW1501=1,IF(AX1501&lt;=0,0,CA1501*MAX(1,IF(H1501&gt;0,AX1501/H1501,1))),IF(R1501&gt;0,AY1501/R1501,0))/MAX(0.1,N(Parameter!$M$21)))</f>
        <v>0.0384615384615385</v>
      </c>
      <c r="BA1501" s="50" t="n">
        <f aca="false">AZ1501*BY1501</f>
        <v>5.96153846153846</v>
      </c>
      <c r="BB1501" s="50" t="n">
        <f aca="false">AX1501*G1501</f>
        <v>488.15</v>
      </c>
      <c r="BC1501" s="50" t="n">
        <f aca="false">ROUNDUP(MAX(J1501/IF(CD1501&gt;0,CD1501,MAX(0.1,N(Cockpit!$O$6))),CG1501)/BV1501,0)*BV1501</f>
        <v>5</v>
      </c>
      <c r="BD1501" s="51" t="n">
        <f aca="false">IF(BA1501&gt;0,J1501/BA1501,-1)</f>
        <v>0</v>
      </c>
      <c r="BE1501" s="51" t="n">
        <f aca="false">IF(AND(OR(CC1501="L1",CC1501="L23",CC1501="LIFT"),BA1501&gt;0),SUMIFS($BA$7:$BA$1843,$CC$7:$CC$1843,CC1501,$BD$7:$BD$1843,"&gt;"&amp;BD1501)+SUMIFS($BA$7:$BA$1843,$CC$7:$CC$1843,CC1501,$BD$7:$BD$1843,BD1501,$BT$7:$BT$1843,"&lt;="&amp;BT1501),"")</f>
        <v>38854.0414985203</v>
      </c>
      <c r="BF1501" s="58" t="n">
        <f aca="false">IF(BE1501="",0,MAX(0,MIN(1,(IF(CC1501="L1",Parameter!$H$5,IF(CC1501="L23",Parameter!$H$6+Parameter!$H$7,Parameter!$H$5+Parameter!$H$6+Parameter!$H$7))-(BE1501-BA1501))/BA1501)))</f>
        <v>0</v>
      </c>
      <c r="BG1501" s="48" t="str">
        <f aca="false">IF(AI1501&lt;=0,"",IF(CC1501="Aussen","Aussenlager",IF(CC1501="-","Nicht im Lift",IF(AN1501&gt;=1,"Lift",IF(AN1501&lt;=0,"Aussenlager","teilweise")))))</f>
        <v>Lift</v>
      </c>
      <c r="BH1501" s="48" t="str">
        <f aca="false">IF(AR1501&lt;=0,"",IF(CC1501="Aussen","Aussenlager",IF(CC1501="-","Nicht im Lift",IF(AW1501&gt;=1,"Lift",IF(AW1501&lt;=0,"Aussenlager","teilweise")))))</f>
        <v>Aussenlager</v>
      </c>
      <c r="BI1501" s="48" t="str">
        <f aca="false">IF(BA1501&lt;=0,"",IF(CC1501="Aussen","Aussenlager",IF(CC1501="-","Nicht im Lift",IF(BF1501&gt;=1,"Lift",IF(BF1501&lt;=0,"Aussenlager","teilweise")))))</f>
        <v>Aussenlager</v>
      </c>
      <c r="BJ1501" s="48" t="str">
        <f aca="false">IF(A1501="","",IF(BS1501=1,"Neu; ","")&amp;IF(AND(BS1501=0,BN1501&lt;0),"negativer Bestand (Export "&amp;BN1501&amp;"); ","")&amp;IF(J1501&lt;=0,"Kein Verbrauch; ","")&amp;IF(CL1501&gt;0,"Lift "&amp;W1501&amp;" lt. Liftbericht (Fach "&amp;X1501&amp;" Stk); ",IF(BX1501=1,"Gebinde geschätzt ("&amp;T1501&amp;"); ",IF(BW1501=1,"Lose – Tablare geschätzt; ","")))&amp;IF(H1501&gt;AT1501,"Überbestand "&amp;ROUND(H1501-AT1501,0)&amp;" Stk / CHF "&amp;ROUND((H1501-AT1501)*G1501,0)&amp;"; ","")&amp;IF(AND(CE1501=1,CF1501&lt;CG1501),"MAX &lt; MB+LG; ","")&amp;IF(AND(CK1501&gt;0,CJ1501*10&gt;CK1501),"zu hoch für Tablar; ","")&amp;IF(AND(BS1501=0,OR(CE1501=1,AA1501&lt;&gt;"",U1501&lt;&gt;"",V1501&lt;&gt;"",AB1501&lt;&gt;"")),"manuell übersteuert; ","")&amp;IF(AND(BW1501=0,R1501=0),"Gebinde unbekannt / Stellmass fehlt; ","")&amp;IF(AND(BW1501=0,N(V1501)&lt;=0,N(Q1501)&lt;=0),"Menge pro Gebinde fehlt (Ist = 1 Gebinde); ","")&amp;BR1501)</f>
        <v>Kein Verbrauch; nur im Artikelstamm (Bestand 23.06.2026); Überbestand</v>
      </c>
      <c r="BK1501" s="48"/>
      <c r="BL1501" s="48"/>
      <c r="BM1501" s="55"/>
      <c r="BN1501" s="50" t="n">
        <v>5</v>
      </c>
      <c r="BO1501" s="50" t="n">
        <v>0</v>
      </c>
      <c r="BP1501" s="49" t="n">
        <v>0</v>
      </c>
      <c r="BQ1501" s="50" t="n">
        <v>0</v>
      </c>
      <c r="BR1501" s="48" t="s">
        <v>2576</v>
      </c>
      <c r="BS1501" s="53" t="n">
        <v>0</v>
      </c>
      <c r="BT1501" s="53" t="n">
        <v>1501</v>
      </c>
      <c r="BU1501" s="48" t="str">
        <f aca="false">IF(U1501&lt;&gt;"",UPPER(TRIM(U1501)),IF(BX1501=1,UPPER(VLOOKUP(T1501,Parameter!$I$27:$K$29,2,0)),IF(P1501="","LOSE",P1501)))</f>
        <v>S51</v>
      </c>
      <c r="BV1501" s="50" t="n">
        <f aca="false">IF(BU1501="LOSE",1,IF(N(V1501)&gt;0,V1501,IF(BX1501=1,MAX(1,N(VLOOKUP(T1501,Parameter!$I$27:$K$29,3,0)),H1501,N(N1501)),IF(N(Q1501)&gt;0,Q1501,MAX(1,H1501)))))</f>
        <v>5</v>
      </c>
      <c r="BW1501" s="53" t="n">
        <f aca="false">IF(BU1501="LOSE",1,0)</f>
        <v>0</v>
      </c>
      <c r="BX1501" s="53" t="n">
        <f aca="false">IF(AND(U1501="",OR(P1501="",P1501="LOSE"),T1501&lt;&gt;"",N(S1501)&lt;=0,ISNUMBER(MATCH(T1501,Parameter!$I$27:$I$29,0))),1,0)</f>
        <v>0</v>
      </c>
      <c r="BY1501" s="53" t="n">
        <f aca="false">IF(CL1501&gt;0,INDEX(Parameter!$H$5:$H$7,W1501)/INDEX(Parameter!$E$5:$E$7,W1501),IF(AND(BW1501=0,N(IFERROR(VLOOKUP(BU1501,'Gebinde-Kategorie'!$A$5:$N$45,14,0),0))&gt;0),VLOOKUP(BU1501,'Gebinde-Kategorie'!$A$5:$N$45,14,0)*10+Parameter!$M$23,Parameter!$M$24))</f>
        <v>155</v>
      </c>
      <c r="BZ1501" s="48" t="str">
        <f aca="false">IF(AND(Parameter!$B$19="Ja",E1501&lt;&gt;"",ISNUMBER(MATCH(E1501,Parameter!$I$35:$I$52,0))),VLOOKUP(E1501,Parameter!$I$35:$J$52,2,0),IFERROR(VLOOKUP(D1501,Parameter!$A$35:$C$64,2,0),"Nein"))</f>
        <v>2+3</v>
      </c>
      <c r="CA1501" s="52" t="n">
        <f aca="false">IF(BW1501=0,0,IF(N(S1501)&gt;0,S1501,IFERROR(VLOOKUP(D1501,Parameter!$A$35:$C$64,3,0)+0,0)))</f>
        <v>0</v>
      </c>
      <c r="CB1501" s="48" t="n">
        <f aca="false">IF(AA1501&lt;&gt;"",AA1501,Z1501)</f>
        <v>3</v>
      </c>
      <c r="CC1501" s="48" t="str">
        <f aca="false">IF(OR(CB1501=1,CB1501=2,CB1501=3),IF(Parameter!$E$27="Ja","LIFT",IF(CB1501=1,"L1","L23")),IF(CB1501="Aussen","Aussen","-"))</f>
        <v>LIFT</v>
      </c>
      <c r="CD1501" s="59" t="n">
        <f aca="false">IF(N(AB1501)&gt;0,AB1501,0)</f>
        <v>0</v>
      </c>
      <c r="CE1501" s="53" t="n">
        <f aca="false">IF(ISNUMBER(AE1501),1,0)</f>
        <v>0</v>
      </c>
      <c r="CF1501" s="50" t="n">
        <f aca="false">N(AE1501)</f>
        <v>0</v>
      </c>
      <c r="CG1501" s="50" t="n">
        <f aca="false">N(M1501)+N(N1501)</f>
        <v>3</v>
      </c>
      <c r="CH1501" s="50" t="n">
        <f aca="false">ROUNDUP(H1501/BV1501,0)</f>
        <v>1</v>
      </c>
      <c r="CI1501" s="50" t="n">
        <f aca="false">ROUNDUP(CF1501/BV1501,0)</f>
        <v>0</v>
      </c>
      <c r="CJ1501" s="53" t="n">
        <f aca="false">IF(BW1501=1,0,IFERROR(VLOOKUP(BU1501,'Gebinde-Kategorie'!$A$5:$N$45,5,0)+0,0))</f>
        <v>11</v>
      </c>
      <c r="CK1501" s="53" t="n">
        <f aca="false">IFERROR(IF(OR(CB1501=1,CB1501=2,CB1501=3),N(INDEX(Parameter!$I$5:$I$7,CB1501)),0),0)</f>
        <v>0</v>
      </c>
      <c r="CL1501" s="52" t="n">
        <f aca="false">IF(AND(Parameter!$B$21="Ja",ISNUMBER(W1501),N(X1501)&gt;0),IFERROR(N(INDEX(Parameter!$L$5:$L$7,W1501))*INDEX(Parameter!$E$5:$E$7,W1501)*X1501/SUMIFS($X$7:$X$1843,$W$7:$W$1843,W1501),0),0)</f>
        <v>0</v>
      </c>
    </row>
    <row r="1502" customFormat="false" ht="15" hidden="false" customHeight="false" outlineLevel="0" collapsed="false">
      <c r="A1502" s="48" t="s">
        <v>2630</v>
      </c>
      <c r="B1502" s="48" t="s">
        <v>2631</v>
      </c>
      <c r="C1502" s="48" t="s">
        <v>168</v>
      </c>
      <c r="D1502" s="48" t="s">
        <v>188</v>
      </c>
      <c r="E1502" s="48" t="s">
        <v>189</v>
      </c>
      <c r="F1502" s="48"/>
      <c r="G1502" s="49" t="n">
        <v>26.48</v>
      </c>
      <c r="H1502" s="50" t="n">
        <f aca="false">MAX(0,IF(AND(Parameter!$B$21="Ja",ISNUMBER(Y1502)),Y1502,IF(Parameter!$B$20="Jahresanfang 2025 + Export",BO1502+BN1502,BN1502)))</f>
        <v>8</v>
      </c>
      <c r="I1502" s="50" t="n">
        <f aca="false">H1502*G1502</f>
        <v>211.84</v>
      </c>
      <c r="J1502" s="50" t="n">
        <f aca="false">BQ1502*Parameter!$B$18</f>
        <v>0</v>
      </c>
      <c r="K1502" s="51"/>
      <c r="L1502" s="52"/>
      <c r="M1502" s="50" t="n">
        <v>0</v>
      </c>
      <c r="N1502" s="50" t="n">
        <v>1</v>
      </c>
      <c r="O1502" s="53" t="n">
        <v>0</v>
      </c>
      <c r="P1502" s="48" t="s">
        <v>480</v>
      </c>
      <c r="Q1502" s="50" t="n">
        <v>8</v>
      </c>
      <c r="R1502" s="53" t="n">
        <f aca="false">IF(BW1502=1,0,IFERROR(VLOOKUP(BU1502,'Gebinde-Kategorie'!$A$5:$N$45,13,0)+0,0))</f>
        <v>52</v>
      </c>
      <c r="S1502" s="54"/>
      <c r="T1502" s="55"/>
      <c r="U1502" s="55"/>
      <c r="V1502" s="55"/>
      <c r="W1502" s="48"/>
      <c r="X1502" s="50"/>
      <c r="Y1502" s="50"/>
      <c r="Z1502" s="48" t="n">
        <f aca="false">IF(A1502="","",IF(AND(Parameter!$B$21="Ja",ISNUMBER(W1502)),W1502,IF(BZ1502="2+3",IF(ISNUMBER(SEARCH("grosser Artikel",BR1502)),2,IFERROR(VLOOKUP(BU1502,Parameter!$F$35:$G$64,2,0),2)),IF(OR(BZ1502="Nein",BZ1502=""),"-",BZ1502))))</f>
        <v>3</v>
      </c>
      <c r="AA1502" s="55"/>
      <c r="AB1502" s="56"/>
      <c r="AC1502" s="50" t="n">
        <f aca="false">AT1502</f>
        <v>8</v>
      </c>
      <c r="AD1502" s="50" t="n">
        <f aca="false">MAX(AT1502,H1502)</f>
        <v>8</v>
      </c>
      <c r="AE1502" s="57"/>
      <c r="AF1502" s="50" t="n">
        <f aca="false">IF(LEFT(Cockpit!$C$5,1)="A",H1502,IF(CE1502=1,CF1502,IF(LEFT(Cockpit!$C$5,1)="B",AK1502,MAX(AK1502,H1502))))</f>
        <v>8</v>
      </c>
      <c r="AG1502" s="50" t="n">
        <f aca="false">IF(BW1502=1,0,ROUNDUP(AF1502/BV1502,0))</f>
        <v>1</v>
      </c>
      <c r="AH1502" s="52" t="n">
        <f aca="false">IF(CL1502&gt;0,CL1502*MAX(1,AF1502/X1502),IF(BW1502=1,IF(AF1502&lt;=0,0,CA1502*MAX(1,IF(H1502&gt;0,AF1502/H1502,1))),IF(R1502&gt;0,AG1502/R1502,0))/MAX(0.1,N(Parameter!$M$21)))</f>
        <v>0.0192307692307692</v>
      </c>
      <c r="AI1502" s="50" t="n">
        <f aca="false">AH1502*BY1502</f>
        <v>2.98076923076923</v>
      </c>
      <c r="AJ1502" s="50" t="n">
        <f aca="false">AF1502*G1502</f>
        <v>211.84</v>
      </c>
      <c r="AK1502" s="50" t="n">
        <f aca="false">ROUNDUP(MAX(J1502/IF(CD1502&gt;0,CD1502,MAX(0.1,N(Cockpit!$C$6))),CG1502)/BV1502,0)*BV1502</f>
        <v>8</v>
      </c>
      <c r="AL1502" s="51" t="n">
        <f aca="false">IF(AI1502&gt;0,J1502/AI1502,-1)</f>
        <v>0</v>
      </c>
      <c r="AM1502" s="51" t="n">
        <f aca="false">IF(AND(OR(CC1502="L1",CC1502="L23",CC1502="LIFT"),AI1502&gt;0),SUMIFS($AI$7:$AI$1843,$CC$7:$CC$1843,CC1502,$AL$7:$AL$1843,"&gt;"&amp;AL1502)+SUMIFS($AI$7:$AI$1843,$CC$7:$CC$1843,CC1502,$AL$7:$AL$1843,AL1502,$BT$7:$BT$1843,"&lt;="&amp;BT1502),"")</f>
        <v>29889.6221078827</v>
      </c>
      <c r="AN1502" s="58" t="n">
        <f aca="false">IF(AM1502="",0,MAX(0,MIN(1,(IF(CC1502="L1",Parameter!$H$5,IF(CC1502="L23",Parameter!$H$6+Parameter!$H$7,Parameter!$H$5+Parameter!$H$6+Parameter!$H$7))-(AM1502-AI1502))/AI1502)))</f>
        <v>1</v>
      </c>
      <c r="AO1502" s="50" t="n">
        <f aca="false">IF(LEFT(Cockpit!$I$5,1)="A",H1502,IF(CE1502=1,CF1502,IF(LEFT(Cockpit!$I$5,1)="B",AT1502,MAX(AT1502,H1502))))</f>
        <v>8</v>
      </c>
      <c r="AP1502" s="50" t="n">
        <f aca="false">IF(BW1502=1,0,ROUNDUP(AO1502/BV1502,0))</f>
        <v>1</v>
      </c>
      <c r="AQ1502" s="52" t="n">
        <f aca="false">IF(CL1502&gt;0,CL1502*MAX(1,AO1502/X1502),IF(BW1502=1,IF(AO1502&lt;=0,0,CA1502*MAX(1,IF(H1502&gt;0,AO1502/H1502,1))),IF(R1502&gt;0,AP1502/R1502,0))/MAX(0.1,N(Parameter!$M$21)))</f>
        <v>0.0192307692307692</v>
      </c>
      <c r="AR1502" s="50" t="n">
        <f aca="false">AQ1502*BY1502</f>
        <v>2.98076923076923</v>
      </c>
      <c r="AS1502" s="50" t="n">
        <f aca="false">AO1502*G1502</f>
        <v>211.84</v>
      </c>
      <c r="AT1502" s="50" t="n">
        <f aca="false">ROUNDUP(MAX(J1502/IF(CD1502&gt;0,CD1502,MAX(0.1,N(Cockpit!$I$6))),CG1502)/BV1502,0)*BV1502</f>
        <v>8</v>
      </c>
      <c r="AU1502" s="51" t="n">
        <f aca="false">IF(AR1502&gt;0,J1502/AR1502,-1)</f>
        <v>0</v>
      </c>
      <c r="AV1502" s="51" t="n">
        <f aca="false">IF(AND(OR(CC1502="L1",CC1502="L23",CC1502="LIFT"),AR1502&gt;0),SUMIFS($AR$7:$AR$1843,$CC$7:$CC$1843,CC1502,$AU$7:$AU$1843,"&gt;"&amp;AU1502)+SUMIFS($AR$7:$AR$1843,$CC$7:$CC$1843,CC1502,$AU$7:$AU$1843,AU1502,$BT$7:$BT$1843,"&lt;="&amp;BT1502),"")</f>
        <v>42182.0102258852</v>
      </c>
      <c r="AW1502" s="58" t="n">
        <f aca="false">IF(AV1502="",0,MAX(0,MIN(1,(IF(CC1502="L1",Parameter!$H$5,IF(CC1502="L23",Parameter!$H$6+Parameter!$H$7,Parameter!$H$5+Parameter!$H$6+Parameter!$H$7))-(AV1502-AR1502))/AR1502)))</f>
        <v>0</v>
      </c>
      <c r="AX1502" s="50" t="n">
        <f aca="false">IF(LEFT(Cockpit!$O$5,1)="A",H1502,IF(CE1502=1,CF1502,IF(LEFT(Cockpit!$O$5,1)="B",BC1502,MAX(BC1502,H1502))))</f>
        <v>8</v>
      </c>
      <c r="AY1502" s="50" t="n">
        <f aca="false">IF(BW1502=1,0,ROUNDUP(AX1502/BV1502,0))</f>
        <v>1</v>
      </c>
      <c r="AZ1502" s="52" t="n">
        <f aca="false">IF(CL1502&gt;0,CL1502*MAX(1,AX1502/X1502),IF(BW1502=1,IF(AX1502&lt;=0,0,CA1502*MAX(1,IF(H1502&gt;0,AX1502/H1502,1))),IF(R1502&gt;0,AY1502/R1502,0))/MAX(0.1,N(Parameter!$M$21)))</f>
        <v>0.0192307692307692</v>
      </c>
      <c r="BA1502" s="50" t="n">
        <f aca="false">AZ1502*BY1502</f>
        <v>2.98076923076923</v>
      </c>
      <c r="BB1502" s="50" t="n">
        <f aca="false">AX1502*G1502</f>
        <v>211.84</v>
      </c>
      <c r="BC1502" s="50" t="n">
        <f aca="false">ROUNDUP(MAX(J1502/IF(CD1502&gt;0,CD1502,MAX(0.1,N(Cockpit!$O$6))),CG1502)/BV1502,0)*BV1502</f>
        <v>8</v>
      </c>
      <c r="BD1502" s="51" t="n">
        <f aca="false">IF(BA1502&gt;0,J1502/BA1502,-1)</f>
        <v>0</v>
      </c>
      <c r="BE1502" s="51" t="n">
        <f aca="false">IF(AND(OR(CC1502="L1",CC1502="L23",CC1502="LIFT"),BA1502&gt;0),SUMIFS($BA$7:$BA$1843,$CC$7:$CC$1843,CC1502,$BD$7:$BD$1843,"&gt;"&amp;BD1502)+SUMIFS($BA$7:$BA$1843,$CC$7:$CC$1843,CC1502,$BD$7:$BD$1843,BD1502,$BT$7:$BT$1843,"&lt;="&amp;BT1502),"")</f>
        <v>38857.0222677511</v>
      </c>
      <c r="BF1502" s="58" t="n">
        <f aca="false">IF(BE1502="",0,MAX(0,MIN(1,(IF(CC1502="L1",Parameter!$H$5,IF(CC1502="L23",Parameter!$H$6+Parameter!$H$7,Parameter!$H$5+Parameter!$H$6+Parameter!$H$7))-(BE1502-BA1502))/BA1502)))</f>
        <v>0</v>
      </c>
      <c r="BG1502" s="48" t="str">
        <f aca="false">IF(AI1502&lt;=0,"",IF(CC1502="Aussen","Aussenlager",IF(CC1502="-","Nicht im Lift",IF(AN1502&gt;=1,"Lift",IF(AN1502&lt;=0,"Aussenlager","teilweise")))))</f>
        <v>Lift</v>
      </c>
      <c r="BH1502" s="48" t="str">
        <f aca="false">IF(AR1502&lt;=0,"",IF(CC1502="Aussen","Aussenlager",IF(CC1502="-","Nicht im Lift",IF(AW1502&gt;=1,"Lift",IF(AW1502&lt;=0,"Aussenlager","teilweise")))))</f>
        <v>Aussenlager</v>
      </c>
      <c r="BI1502" s="48" t="str">
        <f aca="false">IF(BA1502&lt;=0,"",IF(CC1502="Aussen","Aussenlager",IF(CC1502="-","Nicht im Lift",IF(BF1502&gt;=1,"Lift",IF(BF1502&lt;=0,"Aussenlager","teilweise")))))</f>
        <v>Aussenlager</v>
      </c>
      <c r="BJ1502" s="48" t="str">
        <f aca="false">IF(A1502="","",IF(BS1502=1,"Neu; ","")&amp;IF(AND(BS1502=0,BN1502&lt;0),"negativer Bestand (Export "&amp;BN1502&amp;"); ","")&amp;IF(J1502&lt;=0,"Kein Verbrauch; ","")&amp;IF(CL1502&gt;0,"Lift "&amp;W1502&amp;" lt. Liftbericht (Fach "&amp;X1502&amp;" Stk); ",IF(BX1502=1,"Gebinde geschätzt ("&amp;T1502&amp;"); ",IF(BW1502=1,"Lose – Tablare geschätzt; ","")))&amp;IF(H1502&gt;AT1502,"Überbestand "&amp;ROUND(H1502-AT1502,0)&amp;" Stk / CHF "&amp;ROUND((H1502-AT1502)*G1502,0)&amp;"; ","")&amp;IF(AND(CE1502=1,CF1502&lt;CG1502),"MAX &lt; MB+LG; ","")&amp;IF(AND(CK1502&gt;0,CJ1502*10&gt;CK1502),"zu hoch für Tablar; ","")&amp;IF(AND(BS1502=0,OR(CE1502=1,AA1502&lt;&gt;"",U1502&lt;&gt;"",V1502&lt;&gt;"",AB1502&lt;&gt;"")),"manuell übersteuert; ","")&amp;IF(AND(BW1502=0,R1502=0),"Gebinde unbekannt / Stellmass fehlt; ","")&amp;IF(AND(BW1502=0,N(V1502)&lt;=0,N(Q1502)&lt;=0),"Menge pro Gebinde fehlt (Ist = 1 Gebinde); ","")&amp;BR1502)</f>
        <v>Kein Verbrauch; nur im Artikelstamm (Bestand 23.06.2026)</v>
      </c>
      <c r="BK1502" s="48"/>
      <c r="BL1502" s="48"/>
      <c r="BM1502" s="55"/>
      <c r="BN1502" s="50" t="n">
        <v>8</v>
      </c>
      <c r="BO1502" s="50" t="n">
        <v>0</v>
      </c>
      <c r="BP1502" s="49" t="n">
        <v>0</v>
      </c>
      <c r="BQ1502" s="50" t="n">
        <v>0</v>
      </c>
      <c r="BR1502" s="48" t="s">
        <v>2579</v>
      </c>
      <c r="BS1502" s="53" t="n">
        <v>0</v>
      </c>
      <c r="BT1502" s="53" t="n">
        <v>1502</v>
      </c>
      <c r="BU1502" s="48" t="str">
        <f aca="false">IF(U1502&lt;&gt;"",UPPER(TRIM(U1502)),IF(BX1502=1,UPPER(VLOOKUP(T1502,Parameter!$I$27:$K$29,2,0)),IF(P1502="","LOSE",P1502)))</f>
        <v>S33</v>
      </c>
      <c r="BV1502" s="50" t="n">
        <f aca="false">IF(BU1502="LOSE",1,IF(N(V1502)&gt;0,V1502,IF(BX1502=1,MAX(1,N(VLOOKUP(T1502,Parameter!$I$27:$K$29,3,0)),H1502,N(N1502)),IF(N(Q1502)&gt;0,Q1502,MAX(1,H1502)))))</f>
        <v>8</v>
      </c>
      <c r="BW1502" s="53" t="n">
        <f aca="false">IF(BU1502="LOSE",1,0)</f>
        <v>0</v>
      </c>
      <c r="BX1502" s="53" t="n">
        <f aca="false">IF(AND(U1502="",OR(P1502="",P1502="LOSE"),T1502&lt;&gt;"",N(S1502)&lt;=0,ISNUMBER(MATCH(T1502,Parameter!$I$27:$I$29,0))),1,0)</f>
        <v>0</v>
      </c>
      <c r="BY1502" s="53" t="n">
        <f aca="false">IF(CL1502&gt;0,INDEX(Parameter!$H$5:$H$7,W1502)/INDEX(Parameter!$E$5:$E$7,W1502),IF(AND(BW1502=0,N(IFERROR(VLOOKUP(BU1502,'Gebinde-Kategorie'!$A$5:$N$45,14,0),0))&gt;0),VLOOKUP(BU1502,'Gebinde-Kategorie'!$A$5:$N$45,14,0)*10+Parameter!$M$23,Parameter!$M$24))</f>
        <v>155</v>
      </c>
      <c r="BZ1502" s="48" t="str">
        <f aca="false">IF(AND(Parameter!$B$19="Ja",E1502&lt;&gt;"",ISNUMBER(MATCH(E1502,Parameter!$I$35:$I$52,0))),VLOOKUP(E1502,Parameter!$I$35:$J$52,2,0),IFERROR(VLOOKUP(D1502,Parameter!$A$35:$C$64,2,0),"Nein"))</f>
        <v>2+3</v>
      </c>
      <c r="CA1502" s="52" t="n">
        <f aca="false">IF(BW1502=0,0,IF(N(S1502)&gt;0,S1502,IFERROR(VLOOKUP(D1502,Parameter!$A$35:$C$64,3,0)+0,0)))</f>
        <v>0</v>
      </c>
      <c r="CB1502" s="48" t="n">
        <f aca="false">IF(AA1502&lt;&gt;"",AA1502,Z1502)</f>
        <v>3</v>
      </c>
      <c r="CC1502" s="48" t="str">
        <f aca="false">IF(OR(CB1502=1,CB1502=2,CB1502=3),IF(Parameter!$E$27="Ja","LIFT",IF(CB1502=1,"L1","L23")),IF(CB1502="Aussen","Aussen","-"))</f>
        <v>LIFT</v>
      </c>
      <c r="CD1502" s="59" t="n">
        <f aca="false">IF(N(AB1502)&gt;0,AB1502,0)</f>
        <v>0</v>
      </c>
      <c r="CE1502" s="53" t="n">
        <f aca="false">IF(ISNUMBER(AE1502),1,0)</f>
        <v>0</v>
      </c>
      <c r="CF1502" s="50" t="n">
        <f aca="false">N(AE1502)</f>
        <v>0</v>
      </c>
      <c r="CG1502" s="50" t="n">
        <f aca="false">N(M1502)+N(N1502)</f>
        <v>1</v>
      </c>
      <c r="CH1502" s="50" t="n">
        <f aca="false">ROUNDUP(H1502/BV1502,0)</f>
        <v>1</v>
      </c>
      <c r="CI1502" s="50" t="n">
        <f aca="false">ROUNDUP(CF1502/BV1502,0)</f>
        <v>0</v>
      </c>
      <c r="CJ1502" s="53" t="n">
        <f aca="false">IF(BW1502=1,0,IFERROR(VLOOKUP(BU1502,'Gebinde-Kategorie'!$A$5:$N$45,5,0)+0,0))</f>
        <v>8</v>
      </c>
      <c r="CK1502" s="53" t="n">
        <f aca="false">IFERROR(IF(OR(CB1502=1,CB1502=2,CB1502=3),N(INDEX(Parameter!$I$5:$I$7,CB1502)),0),0)</f>
        <v>0</v>
      </c>
      <c r="CL1502" s="52" t="n">
        <f aca="false">IF(AND(Parameter!$B$21="Ja",ISNUMBER(W1502),N(X1502)&gt;0),IFERROR(N(INDEX(Parameter!$L$5:$L$7,W1502))*INDEX(Parameter!$E$5:$E$7,W1502)*X1502/SUMIFS($X$7:$X$1843,$W$7:$W$1843,W1502),0),0)</f>
        <v>0</v>
      </c>
    </row>
    <row r="1503" customFormat="false" ht="15" hidden="false" customHeight="false" outlineLevel="0" collapsed="false">
      <c r="A1503" s="48" t="s">
        <v>2632</v>
      </c>
      <c r="B1503" s="48" t="s">
        <v>2633</v>
      </c>
      <c r="C1503" s="48" t="s">
        <v>168</v>
      </c>
      <c r="D1503" s="48" t="s">
        <v>188</v>
      </c>
      <c r="E1503" s="48" t="s">
        <v>189</v>
      </c>
      <c r="F1503" s="48"/>
      <c r="G1503" s="49" t="n">
        <v>4.5</v>
      </c>
      <c r="H1503" s="50" t="n">
        <f aca="false">MAX(0,IF(AND(Parameter!$B$21="Ja",ISNUMBER(Y1503)),Y1503,IF(Parameter!$B$20="Jahresanfang 2025 + Export",BO1503+BN1503,BN1503)))</f>
        <v>11</v>
      </c>
      <c r="I1503" s="50" t="n">
        <f aca="false">H1503*G1503</f>
        <v>49.5</v>
      </c>
      <c r="J1503" s="50" t="n">
        <f aca="false">BQ1503*Parameter!$B$18</f>
        <v>0</v>
      </c>
      <c r="K1503" s="51"/>
      <c r="L1503" s="52"/>
      <c r="M1503" s="50" t="n">
        <v>0</v>
      </c>
      <c r="N1503" s="50" t="n">
        <v>10</v>
      </c>
      <c r="O1503" s="53" t="n">
        <v>14</v>
      </c>
      <c r="P1503" s="48" t="s">
        <v>405</v>
      </c>
      <c r="Q1503" s="50" t="n">
        <v>11</v>
      </c>
      <c r="R1503" s="53" t="n">
        <f aca="false">IF(BW1503=1,0,IFERROR(VLOOKUP(BU1503,'Gebinde-Kategorie'!$A$5:$N$45,13,0)+0,0))</f>
        <v>280</v>
      </c>
      <c r="S1503" s="54"/>
      <c r="T1503" s="55"/>
      <c r="U1503" s="55"/>
      <c r="V1503" s="55"/>
      <c r="W1503" s="48"/>
      <c r="X1503" s="50"/>
      <c r="Y1503" s="50"/>
      <c r="Z1503" s="48" t="n">
        <f aca="false">IF(A1503="","",IF(AND(Parameter!$B$21="Ja",ISNUMBER(W1503)),W1503,IF(BZ1503="2+3",IF(ISNUMBER(SEARCH("grosser Artikel",BR1503)),2,IFERROR(VLOOKUP(BU1503,Parameter!$F$35:$G$64,2,0),2)),IF(OR(BZ1503="Nein",BZ1503=""),"-",BZ1503))))</f>
        <v>3</v>
      </c>
      <c r="AA1503" s="55"/>
      <c r="AB1503" s="56"/>
      <c r="AC1503" s="50" t="n">
        <f aca="false">AT1503</f>
        <v>11</v>
      </c>
      <c r="AD1503" s="50" t="n">
        <f aca="false">MAX(AT1503,H1503)</f>
        <v>11</v>
      </c>
      <c r="AE1503" s="57"/>
      <c r="AF1503" s="50" t="n">
        <f aca="false">IF(LEFT(Cockpit!$C$5,1)="A",H1503,IF(CE1503=1,CF1503,IF(LEFT(Cockpit!$C$5,1)="B",AK1503,MAX(AK1503,H1503))))</f>
        <v>11</v>
      </c>
      <c r="AG1503" s="50" t="n">
        <f aca="false">IF(BW1503=1,0,ROUNDUP(AF1503/BV1503,0))</f>
        <v>1</v>
      </c>
      <c r="AH1503" s="52" t="n">
        <f aca="false">IF(CL1503&gt;0,CL1503*MAX(1,AF1503/X1503),IF(BW1503=1,IF(AF1503&lt;=0,0,CA1503*MAX(1,IF(H1503&gt;0,AF1503/H1503,1))),IF(R1503&gt;0,AG1503/R1503,0))/MAX(0.1,N(Parameter!$M$21)))</f>
        <v>0.00357142857142857</v>
      </c>
      <c r="AI1503" s="50" t="n">
        <f aca="false">AH1503*BY1503</f>
        <v>0.553571428571429</v>
      </c>
      <c r="AJ1503" s="50" t="n">
        <f aca="false">AF1503*G1503</f>
        <v>49.5</v>
      </c>
      <c r="AK1503" s="50" t="n">
        <f aca="false">ROUNDUP(MAX(J1503/IF(CD1503&gt;0,CD1503,MAX(0.1,N(Cockpit!$C$6))),CG1503)/BV1503,0)*BV1503</f>
        <v>11</v>
      </c>
      <c r="AL1503" s="51" t="n">
        <f aca="false">IF(AI1503&gt;0,J1503/AI1503,-1)</f>
        <v>0</v>
      </c>
      <c r="AM1503" s="51" t="n">
        <f aca="false">IF(AND(OR(CC1503="L1",CC1503="L23",CC1503="LIFT"),AI1503&gt;0),SUMIFS($AI$7:$AI$1843,$CC$7:$CC$1843,CC1503,$AL$7:$AL$1843,"&gt;"&amp;AL1503)+SUMIFS($AI$7:$AI$1843,$CC$7:$CC$1843,CC1503,$AL$7:$AL$1843,AL1503,$BT$7:$BT$1843,"&lt;="&amp;BT1503),"")</f>
        <v>29890.1756793113</v>
      </c>
      <c r="AN1503" s="58" t="n">
        <f aca="false">IF(AM1503="",0,MAX(0,MIN(1,(IF(CC1503="L1",Parameter!$H$5,IF(CC1503="L23",Parameter!$H$6+Parameter!$H$7,Parameter!$H$5+Parameter!$H$6+Parameter!$H$7))-(AM1503-AI1503))/AI1503)))</f>
        <v>1</v>
      </c>
      <c r="AO1503" s="50" t="n">
        <f aca="false">IF(LEFT(Cockpit!$I$5,1)="A",H1503,IF(CE1503=1,CF1503,IF(LEFT(Cockpit!$I$5,1)="B",AT1503,MAX(AT1503,H1503))))</f>
        <v>11</v>
      </c>
      <c r="AP1503" s="50" t="n">
        <f aca="false">IF(BW1503=1,0,ROUNDUP(AO1503/BV1503,0))</f>
        <v>1</v>
      </c>
      <c r="AQ1503" s="52" t="n">
        <f aca="false">IF(CL1503&gt;0,CL1503*MAX(1,AO1503/X1503),IF(BW1503=1,IF(AO1503&lt;=0,0,CA1503*MAX(1,IF(H1503&gt;0,AO1503/H1503,1))),IF(R1503&gt;0,AP1503/R1503,0))/MAX(0.1,N(Parameter!$M$21)))</f>
        <v>0.00357142857142857</v>
      </c>
      <c r="AR1503" s="50" t="n">
        <f aca="false">AQ1503*BY1503</f>
        <v>0.553571428571429</v>
      </c>
      <c r="AS1503" s="50" t="n">
        <f aca="false">AO1503*G1503</f>
        <v>49.5</v>
      </c>
      <c r="AT1503" s="50" t="n">
        <f aca="false">ROUNDUP(MAX(J1503/IF(CD1503&gt;0,CD1503,MAX(0.1,N(Cockpit!$I$6))),CG1503)/BV1503,0)*BV1503</f>
        <v>11</v>
      </c>
      <c r="AU1503" s="51" t="n">
        <f aca="false">IF(AR1503&gt;0,J1503/AR1503,-1)</f>
        <v>0</v>
      </c>
      <c r="AV1503" s="51" t="n">
        <f aca="false">IF(AND(OR(CC1503="L1",CC1503="L23",CC1503="LIFT"),AR1503&gt;0),SUMIFS($AR$7:$AR$1843,$CC$7:$CC$1843,CC1503,$AU$7:$AU$1843,"&gt;"&amp;AU1503)+SUMIFS($AR$7:$AR$1843,$CC$7:$CC$1843,CC1503,$AU$7:$AU$1843,AU1503,$BT$7:$BT$1843,"&lt;="&amp;BT1503),"")</f>
        <v>42182.5637973138</v>
      </c>
      <c r="AW1503" s="58" t="n">
        <f aca="false">IF(AV1503="",0,MAX(0,MIN(1,(IF(CC1503="L1",Parameter!$H$5,IF(CC1503="L23",Parameter!$H$6+Parameter!$H$7,Parameter!$H$5+Parameter!$H$6+Parameter!$H$7))-(AV1503-AR1503))/AR1503)))</f>
        <v>0</v>
      </c>
      <c r="AX1503" s="50" t="n">
        <f aca="false">IF(LEFT(Cockpit!$O$5,1)="A",H1503,IF(CE1503=1,CF1503,IF(LEFT(Cockpit!$O$5,1)="B",BC1503,MAX(BC1503,H1503))))</f>
        <v>11</v>
      </c>
      <c r="AY1503" s="50" t="n">
        <f aca="false">IF(BW1503=1,0,ROUNDUP(AX1503/BV1503,0))</f>
        <v>1</v>
      </c>
      <c r="AZ1503" s="52" t="n">
        <f aca="false">IF(CL1503&gt;0,CL1503*MAX(1,AX1503/X1503),IF(BW1503=1,IF(AX1503&lt;=0,0,CA1503*MAX(1,IF(H1503&gt;0,AX1503/H1503,1))),IF(R1503&gt;0,AY1503/R1503,0))/MAX(0.1,N(Parameter!$M$21)))</f>
        <v>0.00357142857142857</v>
      </c>
      <c r="BA1503" s="50" t="n">
        <f aca="false">AZ1503*BY1503</f>
        <v>0.553571428571429</v>
      </c>
      <c r="BB1503" s="50" t="n">
        <f aca="false">AX1503*G1503</f>
        <v>49.5</v>
      </c>
      <c r="BC1503" s="50" t="n">
        <f aca="false">ROUNDUP(MAX(J1503/IF(CD1503&gt;0,CD1503,MAX(0.1,N(Cockpit!$O$6))),CG1503)/BV1503,0)*BV1503</f>
        <v>11</v>
      </c>
      <c r="BD1503" s="51" t="n">
        <f aca="false">IF(BA1503&gt;0,J1503/BA1503,-1)</f>
        <v>0</v>
      </c>
      <c r="BE1503" s="51" t="n">
        <f aca="false">IF(AND(OR(CC1503="L1",CC1503="L23",CC1503="LIFT"),BA1503&gt;0),SUMIFS($BA$7:$BA$1843,$CC$7:$CC$1843,CC1503,$BD$7:$BD$1843,"&gt;"&amp;BD1503)+SUMIFS($BA$7:$BA$1843,$CC$7:$CC$1843,CC1503,$BD$7:$BD$1843,BD1503,$BT$7:$BT$1843,"&lt;="&amp;BT1503),"")</f>
        <v>38857.5758391797</v>
      </c>
      <c r="BF1503" s="58" t="n">
        <f aca="false">IF(BE1503="",0,MAX(0,MIN(1,(IF(CC1503="L1",Parameter!$H$5,IF(CC1503="L23",Parameter!$H$6+Parameter!$H$7,Parameter!$H$5+Parameter!$H$6+Parameter!$H$7))-(BE1503-BA1503))/BA1503)))</f>
        <v>0</v>
      </c>
      <c r="BG1503" s="48" t="str">
        <f aca="false">IF(AI1503&lt;=0,"",IF(CC1503="Aussen","Aussenlager",IF(CC1503="-","Nicht im Lift",IF(AN1503&gt;=1,"Lift",IF(AN1503&lt;=0,"Aussenlager","teilweise")))))</f>
        <v>Lift</v>
      </c>
      <c r="BH1503" s="48" t="str">
        <f aca="false">IF(AR1503&lt;=0,"",IF(CC1503="Aussen","Aussenlager",IF(CC1503="-","Nicht im Lift",IF(AW1503&gt;=1,"Lift",IF(AW1503&lt;=0,"Aussenlager","teilweise")))))</f>
        <v>Aussenlager</v>
      </c>
      <c r="BI1503" s="48" t="str">
        <f aca="false">IF(BA1503&lt;=0,"",IF(CC1503="Aussen","Aussenlager",IF(CC1503="-","Nicht im Lift",IF(BF1503&gt;=1,"Lift",IF(BF1503&lt;=0,"Aussenlager","teilweise")))))</f>
        <v>Aussenlager</v>
      </c>
      <c r="BJ1503" s="48" t="str">
        <f aca="false">IF(A1503="","",IF(BS1503=1,"Neu; ","")&amp;IF(AND(BS1503=0,BN1503&lt;0),"negativer Bestand (Export "&amp;BN1503&amp;"); ","")&amp;IF(J1503&lt;=0,"Kein Verbrauch; ","")&amp;IF(CL1503&gt;0,"Lift "&amp;W1503&amp;" lt. Liftbericht (Fach "&amp;X1503&amp;" Stk); ",IF(BX1503=1,"Gebinde geschätzt ("&amp;T1503&amp;"); ",IF(BW1503=1,"Lose – Tablare geschätzt; ","")))&amp;IF(H1503&gt;AT1503,"Überbestand "&amp;ROUND(H1503-AT1503,0)&amp;" Stk / CHF "&amp;ROUND((H1503-AT1503)*G1503,0)&amp;"; ","")&amp;IF(AND(CE1503=1,CF1503&lt;CG1503),"MAX &lt; MB+LG; ","")&amp;IF(AND(CK1503&gt;0,CJ1503*10&gt;CK1503),"zu hoch für Tablar; ","")&amp;IF(AND(BS1503=0,OR(CE1503=1,AA1503&lt;&gt;"",U1503&lt;&gt;"",V1503&lt;&gt;"",AB1503&lt;&gt;"")),"manuell übersteuert; ","")&amp;IF(AND(BW1503=0,R1503=0),"Gebinde unbekannt / Stellmass fehlt; ","")&amp;IF(AND(BW1503=0,N(V1503)&lt;=0,N(Q1503)&lt;=0),"Menge pro Gebinde fehlt (Ist = 1 Gebinde); ","")&amp;BR1503)</f>
        <v>Kein Verbrauch; nur im Artikelstamm (Bestand 23.06.2026)</v>
      </c>
      <c r="BK1503" s="48"/>
      <c r="BL1503" s="48"/>
      <c r="BM1503" s="55"/>
      <c r="BN1503" s="50" t="n">
        <v>11</v>
      </c>
      <c r="BO1503" s="50" t="n">
        <v>0</v>
      </c>
      <c r="BP1503" s="49" t="n">
        <v>0</v>
      </c>
      <c r="BQ1503" s="50" t="n">
        <v>0</v>
      </c>
      <c r="BR1503" s="48" t="s">
        <v>2579</v>
      </c>
      <c r="BS1503" s="53" t="n">
        <v>0</v>
      </c>
      <c r="BT1503" s="53" t="n">
        <v>1503</v>
      </c>
      <c r="BU1503" s="48" t="str">
        <f aca="false">IF(U1503&lt;&gt;"",UPPER(TRIM(U1503)),IF(BX1503=1,UPPER(VLOOKUP(T1503,Parameter!$I$27:$K$29,2,0)),IF(P1503="","LOSE",P1503)))</f>
        <v>S21</v>
      </c>
      <c r="BV1503" s="50" t="n">
        <f aca="false">IF(BU1503="LOSE",1,IF(N(V1503)&gt;0,V1503,IF(BX1503=1,MAX(1,N(VLOOKUP(T1503,Parameter!$I$27:$K$29,3,0)),H1503,N(N1503)),IF(N(Q1503)&gt;0,Q1503,MAX(1,H1503)))))</f>
        <v>11</v>
      </c>
      <c r="BW1503" s="53" t="n">
        <f aca="false">IF(BU1503="LOSE",1,0)</f>
        <v>0</v>
      </c>
      <c r="BX1503" s="53" t="n">
        <f aca="false">IF(AND(U1503="",OR(P1503="",P1503="LOSE"),T1503&lt;&gt;"",N(S1503)&lt;=0,ISNUMBER(MATCH(T1503,Parameter!$I$27:$I$29,0))),1,0)</f>
        <v>0</v>
      </c>
      <c r="BY1503" s="53" t="n">
        <f aca="false">IF(CL1503&gt;0,INDEX(Parameter!$H$5:$H$7,W1503)/INDEX(Parameter!$E$5:$E$7,W1503),IF(AND(BW1503=0,N(IFERROR(VLOOKUP(BU1503,'Gebinde-Kategorie'!$A$5:$N$45,14,0),0))&gt;0),VLOOKUP(BU1503,'Gebinde-Kategorie'!$A$5:$N$45,14,0)*10+Parameter!$M$23,Parameter!$M$24))</f>
        <v>155</v>
      </c>
      <c r="BZ1503" s="48" t="str">
        <f aca="false">IF(AND(Parameter!$B$19="Ja",E1503&lt;&gt;"",ISNUMBER(MATCH(E1503,Parameter!$I$35:$I$52,0))),VLOOKUP(E1503,Parameter!$I$35:$J$52,2,0),IFERROR(VLOOKUP(D1503,Parameter!$A$35:$C$64,2,0),"Nein"))</f>
        <v>2+3</v>
      </c>
      <c r="CA1503" s="52" t="n">
        <f aca="false">IF(BW1503=0,0,IF(N(S1503)&gt;0,S1503,IFERROR(VLOOKUP(D1503,Parameter!$A$35:$C$64,3,0)+0,0)))</f>
        <v>0</v>
      </c>
      <c r="CB1503" s="48" t="n">
        <f aca="false">IF(AA1503&lt;&gt;"",AA1503,Z1503)</f>
        <v>3</v>
      </c>
      <c r="CC1503" s="48" t="str">
        <f aca="false">IF(OR(CB1503=1,CB1503=2,CB1503=3),IF(Parameter!$E$27="Ja","LIFT",IF(CB1503=1,"L1","L23")),IF(CB1503="Aussen","Aussen","-"))</f>
        <v>LIFT</v>
      </c>
      <c r="CD1503" s="59" t="n">
        <f aca="false">IF(N(AB1503)&gt;0,AB1503,0)</f>
        <v>0</v>
      </c>
      <c r="CE1503" s="53" t="n">
        <f aca="false">IF(ISNUMBER(AE1503),1,0)</f>
        <v>0</v>
      </c>
      <c r="CF1503" s="50" t="n">
        <f aca="false">N(AE1503)</f>
        <v>0</v>
      </c>
      <c r="CG1503" s="50" t="n">
        <f aca="false">N(M1503)+N(N1503)</f>
        <v>10</v>
      </c>
      <c r="CH1503" s="50" t="n">
        <f aca="false">ROUNDUP(H1503/BV1503,0)</f>
        <v>1</v>
      </c>
      <c r="CI1503" s="50" t="n">
        <f aca="false">ROUNDUP(CF1503/BV1503,0)</f>
        <v>0</v>
      </c>
      <c r="CJ1503" s="53" t="n">
        <f aca="false">IF(BW1503=1,0,IFERROR(VLOOKUP(BU1503,'Gebinde-Kategorie'!$A$5:$N$45,5,0)+0,0))</f>
        <v>8</v>
      </c>
      <c r="CK1503" s="53" t="n">
        <f aca="false">IFERROR(IF(OR(CB1503=1,CB1503=2,CB1503=3),N(INDEX(Parameter!$I$5:$I$7,CB1503)),0),0)</f>
        <v>0</v>
      </c>
      <c r="CL1503" s="52" t="n">
        <f aca="false">IF(AND(Parameter!$B$21="Ja",ISNUMBER(W1503),N(X1503)&gt;0),IFERROR(N(INDEX(Parameter!$L$5:$L$7,W1503))*INDEX(Parameter!$E$5:$E$7,W1503)*X1503/SUMIFS($X$7:$X$1843,$W$7:$W$1843,W1503),0),0)</f>
        <v>0</v>
      </c>
    </row>
    <row r="1504" customFormat="false" ht="15" hidden="false" customHeight="false" outlineLevel="0" collapsed="false">
      <c r="A1504" s="48" t="s">
        <v>2634</v>
      </c>
      <c r="B1504" s="48" t="s">
        <v>2635</v>
      </c>
      <c r="C1504" s="48" t="s">
        <v>168</v>
      </c>
      <c r="D1504" s="48" t="s">
        <v>188</v>
      </c>
      <c r="E1504" s="48" t="s">
        <v>189</v>
      </c>
      <c r="F1504" s="48"/>
      <c r="G1504" s="49" t="n">
        <v>43.8</v>
      </c>
      <c r="H1504" s="50" t="n">
        <f aca="false">MAX(0,IF(AND(Parameter!$B$21="Ja",ISNUMBER(Y1504)),Y1504,IF(Parameter!$B$20="Jahresanfang 2025 + Export",BO1504+BN1504,BN1504)))</f>
        <v>10</v>
      </c>
      <c r="I1504" s="50" t="n">
        <f aca="false">H1504*G1504</f>
        <v>438</v>
      </c>
      <c r="J1504" s="50" t="n">
        <f aca="false">BQ1504*Parameter!$B$18</f>
        <v>0</v>
      </c>
      <c r="K1504" s="51"/>
      <c r="L1504" s="52"/>
      <c r="M1504" s="50" t="n">
        <v>0</v>
      </c>
      <c r="N1504" s="50" t="n">
        <v>10</v>
      </c>
      <c r="O1504" s="53" t="n">
        <v>14</v>
      </c>
      <c r="P1504" s="48" t="s">
        <v>480</v>
      </c>
      <c r="Q1504" s="50" t="n">
        <v>10</v>
      </c>
      <c r="R1504" s="53" t="n">
        <f aca="false">IF(BW1504=1,0,IFERROR(VLOOKUP(BU1504,'Gebinde-Kategorie'!$A$5:$N$45,13,0)+0,0))</f>
        <v>52</v>
      </c>
      <c r="S1504" s="54"/>
      <c r="T1504" s="55"/>
      <c r="U1504" s="55"/>
      <c r="V1504" s="55"/>
      <c r="W1504" s="48"/>
      <c r="X1504" s="50"/>
      <c r="Y1504" s="50"/>
      <c r="Z1504" s="48" t="n">
        <f aca="false">IF(A1504="","",IF(AND(Parameter!$B$21="Ja",ISNUMBER(W1504)),W1504,IF(BZ1504="2+3",IF(ISNUMBER(SEARCH("grosser Artikel",BR1504)),2,IFERROR(VLOOKUP(BU1504,Parameter!$F$35:$G$64,2,0),2)),IF(OR(BZ1504="Nein",BZ1504=""),"-",BZ1504))))</f>
        <v>3</v>
      </c>
      <c r="AA1504" s="55"/>
      <c r="AB1504" s="56"/>
      <c r="AC1504" s="50" t="n">
        <f aca="false">AT1504</f>
        <v>10</v>
      </c>
      <c r="AD1504" s="50" t="n">
        <f aca="false">MAX(AT1504,H1504)</f>
        <v>10</v>
      </c>
      <c r="AE1504" s="57"/>
      <c r="AF1504" s="50" t="n">
        <f aca="false">IF(LEFT(Cockpit!$C$5,1)="A",H1504,IF(CE1504=1,CF1504,IF(LEFT(Cockpit!$C$5,1)="B",AK1504,MAX(AK1504,H1504))))</f>
        <v>10</v>
      </c>
      <c r="AG1504" s="50" t="n">
        <f aca="false">IF(BW1504=1,0,ROUNDUP(AF1504/BV1504,0))</f>
        <v>1</v>
      </c>
      <c r="AH1504" s="52" t="n">
        <f aca="false">IF(CL1504&gt;0,CL1504*MAX(1,AF1504/X1504),IF(BW1504=1,IF(AF1504&lt;=0,0,CA1504*MAX(1,IF(H1504&gt;0,AF1504/H1504,1))),IF(R1504&gt;0,AG1504/R1504,0))/MAX(0.1,N(Parameter!$M$21)))</f>
        <v>0.0192307692307692</v>
      </c>
      <c r="AI1504" s="50" t="n">
        <f aca="false">AH1504*BY1504</f>
        <v>2.98076923076923</v>
      </c>
      <c r="AJ1504" s="50" t="n">
        <f aca="false">AF1504*G1504</f>
        <v>438</v>
      </c>
      <c r="AK1504" s="50" t="n">
        <f aca="false">ROUNDUP(MAX(J1504/IF(CD1504&gt;0,CD1504,MAX(0.1,N(Cockpit!$C$6))),CG1504)/BV1504,0)*BV1504</f>
        <v>10</v>
      </c>
      <c r="AL1504" s="51" t="n">
        <f aca="false">IF(AI1504&gt;0,J1504/AI1504,-1)</f>
        <v>0</v>
      </c>
      <c r="AM1504" s="51" t="n">
        <f aca="false">IF(AND(OR(CC1504="L1",CC1504="L23",CC1504="LIFT"),AI1504&gt;0),SUMIFS($AI$7:$AI$1843,$CC$7:$CC$1843,CC1504,$AL$7:$AL$1843,"&gt;"&amp;AL1504)+SUMIFS($AI$7:$AI$1843,$CC$7:$CC$1843,CC1504,$AL$7:$AL$1843,AL1504,$BT$7:$BT$1843,"&lt;="&amp;BT1504),"")</f>
        <v>29893.156448542</v>
      </c>
      <c r="AN1504" s="58" t="n">
        <f aca="false">IF(AM1504="",0,MAX(0,MIN(1,(IF(CC1504="L1",Parameter!$H$5,IF(CC1504="L23",Parameter!$H$6+Parameter!$H$7,Parameter!$H$5+Parameter!$H$6+Parameter!$H$7))-(AM1504-AI1504))/AI1504)))</f>
        <v>1</v>
      </c>
      <c r="AO1504" s="50" t="n">
        <f aca="false">IF(LEFT(Cockpit!$I$5,1)="A",H1504,IF(CE1504=1,CF1504,IF(LEFT(Cockpit!$I$5,1)="B",AT1504,MAX(AT1504,H1504))))</f>
        <v>10</v>
      </c>
      <c r="AP1504" s="50" t="n">
        <f aca="false">IF(BW1504=1,0,ROUNDUP(AO1504/BV1504,0))</f>
        <v>1</v>
      </c>
      <c r="AQ1504" s="52" t="n">
        <f aca="false">IF(CL1504&gt;0,CL1504*MAX(1,AO1504/X1504),IF(BW1504=1,IF(AO1504&lt;=0,0,CA1504*MAX(1,IF(H1504&gt;0,AO1504/H1504,1))),IF(R1504&gt;0,AP1504/R1504,0))/MAX(0.1,N(Parameter!$M$21)))</f>
        <v>0.0192307692307692</v>
      </c>
      <c r="AR1504" s="50" t="n">
        <f aca="false">AQ1504*BY1504</f>
        <v>2.98076923076923</v>
      </c>
      <c r="AS1504" s="50" t="n">
        <f aca="false">AO1504*G1504</f>
        <v>438</v>
      </c>
      <c r="AT1504" s="50" t="n">
        <f aca="false">ROUNDUP(MAX(J1504/IF(CD1504&gt;0,CD1504,MAX(0.1,N(Cockpit!$I$6))),CG1504)/BV1504,0)*BV1504</f>
        <v>10</v>
      </c>
      <c r="AU1504" s="51" t="n">
        <f aca="false">IF(AR1504&gt;0,J1504/AR1504,-1)</f>
        <v>0</v>
      </c>
      <c r="AV1504" s="51" t="n">
        <f aca="false">IF(AND(OR(CC1504="L1",CC1504="L23",CC1504="LIFT"),AR1504&gt;0),SUMIFS($AR$7:$AR$1843,$CC$7:$CC$1843,CC1504,$AU$7:$AU$1843,"&gt;"&amp;AU1504)+SUMIFS($AR$7:$AR$1843,$CC$7:$CC$1843,CC1504,$AU$7:$AU$1843,AU1504,$BT$7:$BT$1843,"&lt;="&amp;BT1504),"")</f>
        <v>42185.5445665446</v>
      </c>
      <c r="AW1504" s="58" t="n">
        <f aca="false">IF(AV1504="",0,MAX(0,MIN(1,(IF(CC1504="L1",Parameter!$H$5,IF(CC1504="L23",Parameter!$H$6+Parameter!$H$7,Parameter!$H$5+Parameter!$H$6+Parameter!$H$7))-(AV1504-AR1504))/AR1504)))</f>
        <v>0</v>
      </c>
      <c r="AX1504" s="50" t="n">
        <f aca="false">IF(LEFT(Cockpit!$O$5,1)="A",H1504,IF(CE1504=1,CF1504,IF(LEFT(Cockpit!$O$5,1)="B",BC1504,MAX(BC1504,H1504))))</f>
        <v>10</v>
      </c>
      <c r="AY1504" s="50" t="n">
        <f aca="false">IF(BW1504=1,0,ROUNDUP(AX1504/BV1504,0))</f>
        <v>1</v>
      </c>
      <c r="AZ1504" s="52" t="n">
        <f aca="false">IF(CL1504&gt;0,CL1504*MAX(1,AX1504/X1504),IF(BW1504=1,IF(AX1504&lt;=0,0,CA1504*MAX(1,IF(H1504&gt;0,AX1504/H1504,1))),IF(R1504&gt;0,AY1504/R1504,0))/MAX(0.1,N(Parameter!$M$21)))</f>
        <v>0.0192307692307692</v>
      </c>
      <c r="BA1504" s="50" t="n">
        <f aca="false">AZ1504*BY1504</f>
        <v>2.98076923076923</v>
      </c>
      <c r="BB1504" s="50" t="n">
        <f aca="false">AX1504*G1504</f>
        <v>438</v>
      </c>
      <c r="BC1504" s="50" t="n">
        <f aca="false">ROUNDUP(MAX(J1504/IF(CD1504&gt;0,CD1504,MAX(0.1,N(Cockpit!$O$6))),CG1504)/BV1504,0)*BV1504</f>
        <v>10</v>
      </c>
      <c r="BD1504" s="51" t="n">
        <f aca="false">IF(BA1504&gt;0,J1504/BA1504,-1)</f>
        <v>0</v>
      </c>
      <c r="BE1504" s="51" t="n">
        <f aca="false">IF(AND(OR(CC1504="L1",CC1504="L23",CC1504="LIFT"),BA1504&gt;0),SUMIFS($BA$7:$BA$1843,$CC$7:$CC$1843,CC1504,$BD$7:$BD$1843,"&gt;"&amp;BD1504)+SUMIFS($BA$7:$BA$1843,$CC$7:$CC$1843,CC1504,$BD$7:$BD$1843,BD1504,$BT$7:$BT$1843,"&lt;="&amp;BT1504),"")</f>
        <v>38860.5566084104</v>
      </c>
      <c r="BF1504" s="58" t="n">
        <f aca="false">IF(BE1504="",0,MAX(0,MIN(1,(IF(CC1504="L1",Parameter!$H$5,IF(CC1504="L23",Parameter!$H$6+Parameter!$H$7,Parameter!$H$5+Parameter!$H$6+Parameter!$H$7))-(BE1504-BA1504))/BA1504)))</f>
        <v>0</v>
      </c>
      <c r="BG1504" s="48" t="str">
        <f aca="false">IF(AI1504&lt;=0,"",IF(CC1504="Aussen","Aussenlager",IF(CC1504="-","Nicht im Lift",IF(AN1504&gt;=1,"Lift",IF(AN1504&lt;=0,"Aussenlager","teilweise")))))</f>
        <v>Lift</v>
      </c>
      <c r="BH1504" s="48" t="str">
        <f aca="false">IF(AR1504&lt;=0,"",IF(CC1504="Aussen","Aussenlager",IF(CC1504="-","Nicht im Lift",IF(AW1504&gt;=1,"Lift",IF(AW1504&lt;=0,"Aussenlager","teilweise")))))</f>
        <v>Aussenlager</v>
      </c>
      <c r="BI1504" s="48" t="str">
        <f aca="false">IF(BA1504&lt;=0,"",IF(CC1504="Aussen","Aussenlager",IF(CC1504="-","Nicht im Lift",IF(BF1504&gt;=1,"Lift",IF(BF1504&lt;=0,"Aussenlager","teilweise")))))</f>
        <v>Aussenlager</v>
      </c>
      <c r="BJ1504" s="48" t="str">
        <f aca="false">IF(A1504="","",IF(BS1504=1,"Neu; ","")&amp;IF(AND(BS1504=0,BN1504&lt;0),"negativer Bestand (Export "&amp;BN1504&amp;"); ","")&amp;IF(J1504&lt;=0,"Kein Verbrauch; ","")&amp;IF(CL1504&gt;0,"Lift "&amp;W1504&amp;" lt. Liftbericht (Fach "&amp;X1504&amp;" Stk); ",IF(BX1504=1,"Gebinde geschätzt ("&amp;T1504&amp;"); ",IF(BW1504=1,"Lose – Tablare geschätzt; ","")))&amp;IF(H1504&gt;AT1504,"Überbestand "&amp;ROUND(H1504-AT1504,0)&amp;" Stk / CHF "&amp;ROUND((H1504-AT1504)*G1504,0)&amp;"; ","")&amp;IF(AND(CE1504=1,CF1504&lt;CG1504),"MAX &lt; MB+LG; ","")&amp;IF(AND(CK1504&gt;0,CJ1504*10&gt;CK1504),"zu hoch für Tablar; ","")&amp;IF(AND(BS1504=0,OR(CE1504=1,AA1504&lt;&gt;"",U1504&lt;&gt;"",V1504&lt;&gt;"",AB1504&lt;&gt;"")),"manuell übersteuert; ","")&amp;IF(AND(BW1504=0,R1504=0),"Gebinde unbekannt / Stellmass fehlt; ","")&amp;IF(AND(BW1504=0,N(V1504)&lt;=0,N(Q1504)&lt;=0),"Menge pro Gebinde fehlt (Ist = 1 Gebinde); ","")&amp;BR1504)</f>
        <v>Kein Verbrauch; nur im Artikelstamm (Bestand 23.06.2026); Überbestand</v>
      </c>
      <c r="BK1504" s="48"/>
      <c r="BL1504" s="48"/>
      <c r="BM1504" s="55"/>
      <c r="BN1504" s="50" t="n">
        <v>10</v>
      </c>
      <c r="BO1504" s="50" t="n">
        <v>0</v>
      </c>
      <c r="BP1504" s="49" t="n">
        <v>0</v>
      </c>
      <c r="BQ1504" s="50" t="n">
        <v>0</v>
      </c>
      <c r="BR1504" s="48" t="s">
        <v>2576</v>
      </c>
      <c r="BS1504" s="53" t="n">
        <v>0</v>
      </c>
      <c r="BT1504" s="53" t="n">
        <v>1504</v>
      </c>
      <c r="BU1504" s="48" t="str">
        <f aca="false">IF(U1504&lt;&gt;"",UPPER(TRIM(U1504)),IF(BX1504=1,UPPER(VLOOKUP(T1504,Parameter!$I$27:$K$29,2,0)),IF(P1504="","LOSE",P1504)))</f>
        <v>S33</v>
      </c>
      <c r="BV1504" s="50" t="n">
        <f aca="false">IF(BU1504="LOSE",1,IF(N(V1504)&gt;0,V1504,IF(BX1504=1,MAX(1,N(VLOOKUP(T1504,Parameter!$I$27:$K$29,3,0)),H1504,N(N1504)),IF(N(Q1504)&gt;0,Q1504,MAX(1,H1504)))))</f>
        <v>10</v>
      </c>
      <c r="BW1504" s="53" t="n">
        <f aca="false">IF(BU1504="LOSE",1,0)</f>
        <v>0</v>
      </c>
      <c r="BX1504" s="53" t="n">
        <f aca="false">IF(AND(U1504="",OR(P1504="",P1504="LOSE"),T1504&lt;&gt;"",N(S1504)&lt;=0,ISNUMBER(MATCH(T1504,Parameter!$I$27:$I$29,0))),1,0)</f>
        <v>0</v>
      </c>
      <c r="BY1504" s="53" t="n">
        <f aca="false">IF(CL1504&gt;0,INDEX(Parameter!$H$5:$H$7,W1504)/INDEX(Parameter!$E$5:$E$7,W1504),IF(AND(BW1504=0,N(IFERROR(VLOOKUP(BU1504,'Gebinde-Kategorie'!$A$5:$N$45,14,0),0))&gt;0),VLOOKUP(BU1504,'Gebinde-Kategorie'!$A$5:$N$45,14,0)*10+Parameter!$M$23,Parameter!$M$24))</f>
        <v>155</v>
      </c>
      <c r="BZ1504" s="48" t="str">
        <f aca="false">IF(AND(Parameter!$B$19="Ja",E1504&lt;&gt;"",ISNUMBER(MATCH(E1504,Parameter!$I$35:$I$52,0))),VLOOKUP(E1504,Parameter!$I$35:$J$52,2,0),IFERROR(VLOOKUP(D1504,Parameter!$A$35:$C$64,2,0),"Nein"))</f>
        <v>2+3</v>
      </c>
      <c r="CA1504" s="52" t="n">
        <f aca="false">IF(BW1504=0,0,IF(N(S1504)&gt;0,S1504,IFERROR(VLOOKUP(D1504,Parameter!$A$35:$C$64,3,0)+0,0)))</f>
        <v>0</v>
      </c>
      <c r="CB1504" s="48" t="n">
        <f aca="false">IF(AA1504&lt;&gt;"",AA1504,Z1504)</f>
        <v>3</v>
      </c>
      <c r="CC1504" s="48" t="str">
        <f aca="false">IF(OR(CB1504=1,CB1504=2,CB1504=3),IF(Parameter!$E$27="Ja","LIFT",IF(CB1504=1,"L1","L23")),IF(CB1504="Aussen","Aussen","-"))</f>
        <v>LIFT</v>
      </c>
      <c r="CD1504" s="59" t="n">
        <f aca="false">IF(N(AB1504)&gt;0,AB1504,0)</f>
        <v>0</v>
      </c>
      <c r="CE1504" s="53" t="n">
        <f aca="false">IF(ISNUMBER(AE1504),1,0)</f>
        <v>0</v>
      </c>
      <c r="CF1504" s="50" t="n">
        <f aca="false">N(AE1504)</f>
        <v>0</v>
      </c>
      <c r="CG1504" s="50" t="n">
        <f aca="false">N(M1504)+N(N1504)</f>
        <v>10</v>
      </c>
      <c r="CH1504" s="50" t="n">
        <f aca="false">ROUNDUP(H1504/BV1504,0)</f>
        <v>1</v>
      </c>
      <c r="CI1504" s="50" t="n">
        <f aca="false">ROUNDUP(CF1504/BV1504,0)</f>
        <v>0</v>
      </c>
      <c r="CJ1504" s="53" t="n">
        <f aca="false">IF(BW1504=1,0,IFERROR(VLOOKUP(BU1504,'Gebinde-Kategorie'!$A$5:$N$45,5,0)+0,0))</f>
        <v>8</v>
      </c>
      <c r="CK1504" s="53" t="n">
        <f aca="false">IFERROR(IF(OR(CB1504=1,CB1504=2,CB1504=3),N(INDEX(Parameter!$I$5:$I$7,CB1504)),0),0)</f>
        <v>0</v>
      </c>
      <c r="CL1504" s="52" t="n">
        <f aca="false">IF(AND(Parameter!$B$21="Ja",ISNUMBER(W1504),N(X1504)&gt;0),IFERROR(N(INDEX(Parameter!$L$5:$L$7,W1504))*INDEX(Parameter!$E$5:$E$7,W1504)*X1504/SUMIFS($X$7:$X$1843,$W$7:$W$1843,W1504),0),0)</f>
        <v>0</v>
      </c>
    </row>
    <row r="1505" customFormat="false" ht="15" hidden="false" customHeight="false" outlineLevel="0" collapsed="false">
      <c r="A1505" s="48" t="s">
        <v>2636</v>
      </c>
      <c r="B1505" s="48" t="s">
        <v>1294</v>
      </c>
      <c r="C1505" s="48" t="s">
        <v>168</v>
      </c>
      <c r="D1505" s="48" t="s">
        <v>188</v>
      </c>
      <c r="E1505" s="48" t="s">
        <v>189</v>
      </c>
      <c r="F1505" s="48"/>
      <c r="G1505" s="49" t="n">
        <v>0.43</v>
      </c>
      <c r="H1505" s="50" t="n">
        <f aca="false">MAX(0,IF(AND(Parameter!$B$21="Ja",ISNUMBER(Y1505)),Y1505,IF(Parameter!$B$20="Jahresanfang 2025 + Export",BO1505+BN1505,BN1505)))</f>
        <v>643</v>
      </c>
      <c r="I1505" s="50" t="n">
        <f aca="false">H1505*G1505</f>
        <v>276.49</v>
      </c>
      <c r="J1505" s="50" t="n">
        <f aca="false">BQ1505*Parameter!$B$18</f>
        <v>0</v>
      </c>
      <c r="K1505" s="51"/>
      <c r="L1505" s="52"/>
      <c r="M1505" s="50" t="n">
        <v>0</v>
      </c>
      <c r="N1505" s="50" t="n">
        <v>500</v>
      </c>
      <c r="O1505" s="53" t="n">
        <v>21</v>
      </c>
      <c r="P1505" s="48" t="s">
        <v>306</v>
      </c>
      <c r="Q1505" s="50" t="n">
        <v>643</v>
      </c>
      <c r="R1505" s="53" t="n">
        <f aca="false">IF(BW1505=1,0,IFERROR(VLOOKUP(BU1505,'Gebinde-Kategorie'!$A$5:$N$45,13,0)+0,0))</f>
        <v>26</v>
      </c>
      <c r="S1505" s="54"/>
      <c r="T1505" s="55"/>
      <c r="U1505" s="55"/>
      <c r="V1505" s="55"/>
      <c r="W1505" s="48"/>
      <c r="X1505" s="50"/>
      <c r="Y1505" s="50"/>
      <c r="Z1505" s="48" t="n">
        <f aca="false">IF(A1505="","",IF(AND(Parameter!$B$21="Ja",ISNUMBER(W1505)),W1505,IF(BZ1505="2+3",IF(ISNUMBER(SEARCH("grosser Artikel",BR1505)),2,IFERROR(VLOOKUP(BU1505,Parameter!$F$35:$G$64,2,0),2)),IF(OR(BZ1505="Nein",BZ1505=""),"-",BZ1505))))</f>
        <v>3</v>
      </c>
      <c r="AA1505" s="55"/>
      <c r="AB1505" s="56"/>
      <c r="AC1505" s="50" t="n">
        <f aca="false">AT1505</f>
        <v>643</v>
      </c>
      <c r="AD1505" s="50" t="n">
        <f aca="false">MAX(AT1505,H1505)</f>
        <v>643</v>
      </c>
      <c r="AE1505" s="57"/>
      <c r="AF1505" s="50" t="n">
        <f aca="false">IF(LEFT(Cockpit!$C$5,1)="A",H1505,IF(CE1505=1,CF1505,IF(LEFT(Cockpit!$C$5,1)="B",AK1505,MAX(AK1505,H1505))))</f>
        <v>643</v>
      </c>
      <c r="AG1505" s="50" t="n">
        <f aca="false">IF(BW1505=1,0,ROUNDUP(AF1505/BV1505,0))</f>
        <v>1</v>
      </c>
      <c r="AH1505" s="52" t="n">
        <f aca="false">IF(CL1505&gt;0,CL1505*MAX(1,AF1505/X1505),IF(BW1505=1,IF(AF1505&lt;=0,0,CA1505*MAX(1,IF(H1505&gt;0,AF1505/H1505,1))),IF(R1505&gt;0,AG1505/R1505,0))/MAX(0.1,N(Parameter!$M$21)))</f>
        <v>0.0384615384615385</v>
      </c>
      <c r="AI1505" s="50" t="n">
        <f aca="false">AH1505*BY1505</f>
        <v>5.96153846153846</v>
      </c>
      <c r="AJ1505" s="50" t="n">
        <f aca="false">AF1505*G1505</f>
        <v>276.49</v>
      </c>
      <c r="AK1505" s="50" t="n">
        <f aca="false">ROUNDUP(MAX(J1505/IF(CD1505&gt;0,CD1505,MAX(0.1,N(Cockpit!$C$6))),CG1505)/BV1505,0)*BV1505</f>
        <v>643</v>
      </c>
      <c r="AL1505" s="51" t="n">
        <f aca="false">IF(AI1505&gt;0,J1505/AI1505,-1)</f>
        <v>0</v>
      </c>
      <c r="AM1505" s="51" t="n">
        <f aca="false">IF(AND(OR(CC1505="L1",CC1505="L23",CC1505="LIFT"),AI1505&gt;0),SUMIFS($AI$7:$AI$1843,$CC$7:$CC$1843,CC1505,$AL$7:$AL$1843,"&gt;"&amp;AL1505)+SUMIFS($AI$7:$AI$1843,$CC$7:$CC$1843,CC1505,$AL$7:$AL$1843,AL1505,$BT$7:$BT$1843,"&lt;="&amp;BT1505),"")</f>
        <v>29899.1179870036</v>
      </c>
      <c r="AN1505" s="58" t="n">
        <f aca="false">IF(AM1505="",0,MAX(0,MIN(1,(IF(CC1505="L1",Parameter!$H$5,IF(CC1505="L23",Parameter!$H$6+Parameter!$H$7,Parameter!$H$5+Parameter!$H$6+Parameter!$H$7))-(AM1505-AI1505))/AI1505)))</f>
        <v>1</v>
      </c>
      <c r="AO1505" s="50" t="n">
        <f aca="false">IF(LEFT(Cockpit!$I$5,1)="A",H1505,IF(CE1505=1,CF1505,IF(LEFT(Cockpit!$I$5,1)="B",AT1505,MAX(AT1505,H1505))))</f>
        <v>643</v>
      </c>
      <c r="AP1505" s="50" t="n">
        <f aca="false">IF(BW1505=1,0,ROUNDUP(AO1505/BV1505,0))</f>
        <v>1</v>
      </c>
      <c r="AQ1505" s="52" t="n">
        <f aca="false">IF(CL1505&gt;0,CL1505*MAX(1,AO1505/X1505),IF(BW1505=1,IF(AO1505&lt;=0,0,CA1505*MAX(1,IF(H1505&gt;0,AO1505/H1505,1))),IF(R1505&gt;0,AP1505/R1505,0))/MAX(0.1,N(Parameter!$M$21)))</f>
        <v>0.0384615384615385</v>
      </c>
      <c r="AR1505" s="50" t="n">
        <f aca="false">AQ1505*BY1505</f>
        <v>5.96153846153846</v>
      </c>
      <c r="AS1505" s="50" t="n">
        <f aca="false">AO1505*G1505</f>
        <v>276.49</v>
      </c>
      <c r="AT1505" s="50" t="n">
        <f aca="false">ROUNDUP(MAX(J1505/IF(CD1505&gt;0,CD1505,MAX(0.1,N(Cockpit!$I$6))),CG1505)/BV1505,0)*BV1505</f>
        <v>643</v>
      </c>
      <c r="AU1505" s="51" t="n">
        <f aca="false">IF(AR1505&gt;0,J1505/AR1505,-1)</f>
        <v>0</v>
      </c>
      <c r="AV1505" s="51" t="n">
        <f aca="false">IF(AND(OR(CC1505="L1",CC1505="L23",CC1505="LIFT"),AR1505&gt;0),SUMIFS($AR$7:$AR$1843,$CC$7:$CC$1843,CC1505,$AU$7:$AU$1843,"&gt;"&amp;AU1505)+SUMIFS($AR$7:$AR$1843,$CC$7:$CC$1843,CC1505,$AU$7:$AU$1843,AU1505,$BT$7:$BT$1843,"&lt;="&amp;BT1505),"")</f>
        <v>42191.5061050061</v>
      </c>
      <c r="AW1505" s="58" t="n">
        <f aca="false">IF(AV1505="",0,MAX(0,MIN(1,(IF(CC1505="L1",Parameter!$H$5,IF(CC1505="L23",Parameter!$H$6+Parameter!$H$7,Parameter!$H$5+Parameter!$H$6+Parameter!$H$7))-(AV1505-AR1505))/AR1505)))</f>
        <v>0</v>
      </c>
      <c r="AX1505" s="50" t="n">
        <f aca="false">IF(LEFT(Cockpit!$O$5,1)="A",H1505,IF(CE1505=1,CF1505,IF(LEFT(Cockpit!$O$5,1)="B",BC1505,MAX(BC1505,H1505))))</f>
        <v>643</v>
      </c>
      <c r="AY1505" s="50" t="n">
        <f aca="false">IF(BW1505=1,0,ROUNDUP(AX1505/BV1505,0))</f>
        <v>1</v>
      </c>
      <c r="AZ1505" s="52" t="n">
        <f aca="false">IF(CL1505&gt;0,CL1505*MAX(1,AX1505/X1505),IF(BW1505=1,IF(AX1505&lt;=0,0,CA1505*MAX(1,IF(H1505&gt;0,AX1505/H1505,1))),IF(R1505&gt;0,AY1505/R1505,0))/MAX(0.1,N(Parameter!$M$21)))</f>
        <v>0.0384615384615385</v>
      </c>
      <c r="BA1505" s="50" t="n">
        <f aca="false">AZ1505*BY1505</f>
        <v>5.96153846153846</v>
      </c>
      <c r="BB1505" s="50" t="n">
        <f aca="false">AX1505*G1505</f>
        <v>276.49</v>
      </c>
      <c r="BC1505" s="50" t="n">
        <f aca="false">ROUNDUP(MAX(J1505/IF(CD1505&gt;0,CD1505,MAX(0.1,N(Cockpit!$O$6))),CG1505)/BV1505,0)*BV1505</f>
        <v>643</v>
      </c>
      <c r="BD1505" s="51" t="n">
        <f aca="false">IF(BA1505&gt;0,J1505/BA1505,-1)</f>
        <v>0</v>
      </c>
      <c r="BE1505" s="51" t="n">
        <f aca="false">IF(AND(OR(CC1505="L1",CC1505="L23",CC1505="LIFT"),BA1505&gt;0),SUMIFS($BA$7:$BA$1843,$CC$7:$CC$1843,CC1505,$BD$7:$BD$1843,"&gt;"&amp;BD1505)+SUMIFS($BA$7:$BA$1843,$CC$7:$CC$1843,CC1505,$BD$7:$BD$1843,BD1505,$BT$7:$BT$1843,"&lt;="&amp;BT1505),"")</f>
        <v>38866.518146872</v>
      </c>
      <c r="BF1505" s="58" t="n">
        <f aca="false">IF(BE1505="",0,MAX(0,MIN(1,(IF(CC1505="L1",Parameter!$H$5,IF(CC1505="L23",Parameter!$H$6+Parameter!$H$7,Parameter!$H$5+Parameter!$H$6+Parameter!$H$7))-(BE1505-BA1505))/BA1505)))</f>
        <v>0</v>
      </c>
      <c r="BG1505" s="48" t="str">
        <f aca="false">IF(AI1505&lt;=0,"",IF(CC1505="Aussen","Aussenlager",IF(CC1505="-","Nicht im Lift",IF(AN1505&gt;=1,"Lift",IF(AN1505&lt;=0,"Aussenlager","teilweise")))))</f>
        <v>Lift</v>
      </c>
      <c r="BH1505" s="48" t="str">
        <f aca="false">IF(AR1505&lt;=0,"",IF(CC1505="Aussen","Aussenlager",IF(CC1505="-","Nicht im Lift",IF(AW1505&gt;=1,"Lift",IF(AW1505&lt;=0,"Aussenlager","teilweise")))))</f>
        <v>Aussenlager</v>
      </c>
      <c r="BI1505" s="48" t="str">
        <f aca="false">IF(BA1505&lt;=0,"",IF(CC1505="Aussen","Aussenlager",IF(CC1505="-","Nicht im Lift",IF(BF1505&gt;=1,"Lift",IF(BF1505&lt;=0,"Aussenlager","teilweise")))))</f>
        <v>Aussenlager</v>
      </c>
      <c r="BJ1505" s="48" t="str">
        <f aca="false">IF(A1505="","",IF(BS1505=1,"Neu; ","")&amp;IF(AND(BS1505=0,BN1505&lt;0),"negativer Bestand (Export "&amp;BN1505&amp;"); ","")&amp;IF(J1505&lt;=0,"Kein Verbrauch; ","")&amp;IF(CL1505&gt;0,"Lift "&amp;W1505&amp;" lt. Liftbericht (Fach "&amp;X1505&amp;" Stk); ",IF(BX1505=1,"Gebinde geschätzt ("&amp;T1505&amp;"); ",IF(BW1505=1,"Lose – Tablare geschätzt; ","")))&amp;IF(H1505&gt;AT1505,"Überbestand "&amp;ROUND(H1505-AT1505,0)&amp;" Stk / CHF "&amp;ROUND((H1505-AT1505)*G1505,0)&amp;"; ","")&amp;IF(AND(CE1505=1,CF1505&lt;CG1505),"MAX &lt; MB+LG; ","")&amp;IF(AND(CK1505&gt;0,CJ1505*10&gt;CK1505),"zu hoch für Tablar; ","")&amp;IF(AND(BS1505=0,OR(CE1505=1,AA1505&lt;&gt;"",U1505&lt;&gt;"",V1505&lt;&gt;"",AB1505&lt;&gt;"")),"manuell übersteuert; ","")&amp;IF(AND(BW1505=0,R1505=0),"Gebinde unbekannt / Stellmass fehlt; ","")&amp;IF(AND(BW1505=0,N(V1505)&lt;=0,N(Q1505)&lt;=0),"Menge pro Gebinde fehlt (Ist = 1 Gebinde); ","")&amp;BR1505)</f>
        <v>Kein Verbrauch; nur im Artikelstamm (Bestand 23.06.2026); Handlager</v>
      </c>
      <c r="BK1505" s="48"/>
      <c r="BL1505" s="48"/>
      <c r="BM1505" s="55"/>
      <c r="BN1505" s="50" t="n">
        <v>643</v>
      </c>
      <c r="BO1505" s="50" t="n">
        <v>0</v>
      </c>
      <c r="BP1505" s="49" t="n">
        <v>0</v>
      </c>
      <c r="BQ1505" s="50" t="n">
        <v>0</v>
      </c>
      <c r="BR1505" s="48" t="s">
        <v>2637</v>
      </c>
      <c r="BS1505" s="53" t="n">
        <v>0</v>
      </c>
      <c r="BT1505" s="53" t="n">
        <v>1505</v>
      </c>
      <c r="BU1505" s="48" t="str">
        <f aca="false">IF(U1505&lt;&gt;"",UPPER(TRIM(U1505)),IF(BX1505=1,UPPER(VLOOKUP(T1505,Parameter!$I$27:$K$29,2,0)),IF(P1505="","LOSE",P1505)))</f>
        <v>S51</v>
      </c>
      <c r="BV1505" s="50" t="n">
        <f aca="false">IF(BU1505="LOSE",1,IF(N(V1505)&gt;0,V1505,IF(BX1505=1,MAX(1,N(VLOOKUP(T1505,Parameter!$I$27:$K$29,3,0)),H1505,N(N1505)),IF(N(Q1505)&gt;0,Q1505,MAX(1,H1505)))))</f>
        <v>643</v>
      </c>
      <c r="BW1505" s="53" t="n">
        <f aca="false">IF(BU1505="LOSE",1,0)</f>
        <v>0</v>
      </c>
      <c r="BX1505" s="53" t="n">
        <f aca="false">IF(AND(U1505="",OR(P1505="",P1505="LOSE"),T1505&lt;&gt;"",N(S1505)&lt;=0,ISNUMBER(MATCH(T1505,Parameter!$I$27:$I$29,0))),1,0)</f>
        <v>0</v>
      </c>
      <c r="BY1505" s="53" t="n">
        <f aca="false">IF(CL1505&gt;0,INDEX(Parameter!$H$5:$H$7,W1505)/INDEX(Parameter!$E$5:$E$7,W1505),IF(AND(BW1505=0,N(IFERROR(VLOOKUP(BU1505,'Gebinde-Kategorie'!$A$5:$N$45,14,0),0))&gt;0),VLOOKUP(BU1505,'Gebinde-Kategorie'!$A$5:$N$45,14,0)*10+Parameter!$M$23,Parameter!$M$24))</f>
        <v>155</v>
      </c>
      <c r="BZ1505" s="48" t="str">
        <f aca="false">IF(AND(Parameter!$B$19="Ja",E1505&lt;&gt;"",ISNUMBER(MATCH(E1505,Parameter!$I$35:$I$52,0))),VLOOKUP(E1505,Parameter!$I$35:$J$52,2,0),IFERROR(VLOOKUP(D1505,Parameter!$A$35:$C$64,2,0),"Nein"))</f>
        <v>2+3</v>
      </c>
      <c r="CA1505" s="52" t="n">
        <f aca="false">IF(BW1505=0,0,IF(N(S1505)&gt;0,S1505,IFERROR(VLOOKUP(D1505,Parameter!$A$35:$C$64,3,0)+0,0)))</f>
        <v>0</v>
      </c>
      <c r="CB1505" s="48" t="n">
        <f aca="false">IF(AA1505&lt;&gt;"",AA1505,Z1505)</f>
        <v>3</v>
      </c>
      <c r="CC1505" s="48" t="str">
        <f aca="false">IF(OR(CB1505=1,CB1505=2,CB1505=3),IF(Parameter!$E$27="Ja","LIFT",IF(CB1505=1,"L1","L23")),IF(CB1505="Aussen","Aussen","-"))</f>
        <v>LIFT</v>
      </c>
      <c r="CD1505" s="59" t="n">
        <f aca="false">IF(N(AB1505)&gt;0,AB1505,0)</f>
        <v>0</v>
      </c>
      <c r="CE1505" s="53" t="n">
        <f aca="false">IF(ISNUMBER(AE1505),1,0)</f>
        <v>0</v>
      </c>
      <c r="CF1505" s="50" t="n">
        <f aca="false">N(AE1505)</f>
        <v>0</v>
      </c>
      <c r="CG1505" s="50" t="n">
        <f aca="false">N(M1505)+N(N1505)</f>
        <v>500</v>
      </c>
      <c r="CH1505" s="50" t="n">
        <f aca="false">ROUNDUP(H1505/BV1505,0)</f>
        <v>1</v>
      </c>
      <c r="CI1505" s="50" t="n">
        <f aca="false">ROUNDUP(CF1505/BV1505,0)</f>
        <v>0</v>
      </c>
      <c r="CJ1505" s="53" t="n">
        <f aca="false">IF(BW1505=1,0,IFERROR(VLOOKUP(BU1505,'Gebinde-Kategorie'!$A$5:$N$45,5,0)+0,0))</f>
        <v>11</v>
      </c>
      <c r="CK1505" s="53" t="n">
        <f aca="false">IFERROR(IF(OR(CB1505=1,CB1505=2,CB1505=3),N(INDEX(Parameter!$I$5:$I$7,CB1505)),0),0)</f>
        <v>0</v>
      </c>
      <c r="CL1505" s="52" t="n">
        <f aca="false">IF(AND(Parameter!$B$21="Ja",ISNUMBER(W1505),N(X1505)&gt;0),IFERROR(N(INDEX(Parameter!$L$5:$L$7,W1505))*INDEX(Parameter!$E$5:$E$7,W1505)*X1505/SUMIFS($X$7:$X$1843,$W$7:$W$1843,W1505),0),0)</f>
        <v>0</v>
      </c>
    </row>
    <row r="1506" customFormat="false" ht="15" hidden="false" customHeight="false" outlineLevel="0" collapsed="false">
      <c r="A1506" s="48" t="s">
        <v>2638</v>
      </c>
      <c r="B1506" s="48" t="s">
        <v>2639</v>
      </c>
      <c r="C1506" s="48" t="s">
        <v>168</v>
      </c>
      <c r="D1506" s="48" t="s">
        <v>188</v>
      </c>
      <c r="E1506" s="48" t="s">
        <v>189</v>
      </c>
      <c r="F1506" s="48"/>
      <c r="G1506" s="49" t="n">
        <v>333.8</v>
      </c>
      <c r="H1506" s="50" t="n">
        <f aca="false">MAX(0,IF(AND(Parameter!$B$21="Ja",ISNUMBER(Y1506)),Y1506,IF(Parameter!$B$20="Jahresanfang 2025 + Export",BO1506+BN1506,BN1506)))</f>
        <v>17</v>
      </c>
      <c r="I1506" s="50" t="n">
        <f aca="false">H1506*G1506</f>
        <v>5674.6</v>
      </c>
      <c r="J1506" s="50" t="n">
        <f aca="false">BQ1506*Parameter!$B$18</f>
        <v>0</v>
      </c>
      <c r="K1506" s="51"/>
      <c r="L1506" s="52"/>
      <c r="M1506" s="50" t="n">
        <v>0</v>
      </c>
      <c r="N1506" s="50" t="n">
        <v>10</v>
      </c>
      <c r="O1506" s="53" t="n">
        <v>28</v>
      </c>
      <c r="P1506" s="48" t="s">
        <v>237</v>
      </c>
      <c r="Q1506" s="50" t="n">
        <v>17</v>
      </c>
      <c r="R1506" s="53" t="n">
        <f aca="false">IF(BW1506=1,0,IFERROR(VLOOKUP(BU1506,'Gebinde-Kategorie'!$A$5:$N$45,13,0)+0,0))</f>
        <v>26</v>
      </c>
      <c r="S1506" s="54"/>
      <c r="T1506" s="55"/>
      <c r="U1506" s="55"/>
      <c r="V1506" s="55"/>
      <c r="W1506" s="48"/>
      <c r="X1506" s="50"/>
      <c r="Y1506" s="50"/>
      <c r="Z1506" s="48" t="n">
        <f aca="false">IF(A1506="","",IF(AND(Parameter!$B$21="Ja",ISNUMBER(W1506)),W1506,IF(BZ1506="2+3",IF(ISNUMBER(SEARCH("grosser Artikel",BR1506)),2,IFERROR(VLOOKUP(BU1506,Parameter!$F$35:$G$64,2,0),2)),IF(OR(BZ1506="Nein",BZ1506=""),"-",BZ1506))))</f>
        <v>3</v>
      </c>
      <c r="AA1506" s="55"/>
      <c r="AB1506" s="56"/>
      <c r="AC1506" s="50" t="n">
        <f aca="false">AT1506</f>
        <v>17</v>
      </c>
      <c r="AD1506" s="50" t="n">
        <f aca="false">MAX(AT1506,H1506)</f>
        <v>17</v>
      </c>
      <c r="AE1506" s="57"/>
      <c r="AF1506" s="50" t="n">
        <f aca="false">IF(LEFT(Cockpit!$C$5,1)="A",H1506,IF(CE1506=1,CF1506,IF(LEFT(Cockpit!$C$5,1)="B",AK1506,MAX(AK1506,H1506))))</f>
        <v>17</v>
      </c>
      <c r="AG1506" s="50" t="n">
        <f aca="false">IF(BW1506=1,0,ROUNDUP(AF1506/BV1506,0))</f>
        <v>1</v>
      </c>
      <c r="AH1506" s="52" t="n">
        <f aca="false">IF(CL1506&gt;0,CL1506*MAX(1,AF1506/X1506),IF(BW1506=1,IF(AF1506&lt;=0,0,CA1506*MAX(1,IF(H1506&gt;0,AF1506/H1506,1))),IF(R1506&gt;0,AG1506/R1506,0))/MAX(0.1,N(Parameter!$M$21)))</f>
        <v>0.0384615384615385</v>
      </c>
      <c r="AI1506" s="50" t="n">
        <f aca="false">AH1506*BY1506</f>
        <v>9.42307692307692</v>
      </c>
      <c r="AJ1506" s="50" t="n">
        <f aca="false">AF1506*G1506</f>
        <v>5674.6</v>
      </c>
      <c r="AK1506" s="50" t="n">
        <f aca="false">ROUNDUP(MAX(J1506/IF(CD1506&gt;0,CD1506,MAX(0.1,N(Cockpit!$C$6))),CG1506)/BV1506,0)*BV1506</f>
        <v>17</v>
      </c>
      <c r="AL1506" s="51" t="n">
        <f aca="false">IF(AI1506&gt;0,J1506/AI1506,-1)</f>
        <v>0</v>
      </c>
      <c r="AM1506" s="51" t="n">
        <f aca="false">IF(AND(OR(CC1506="L1",CC1506="L23",CC1506="LIFT"),AI1506&gt;0),SUMIFS($AI$7:$AI$1843,$CC$7:$CC$1843,CC1506,$AL$7:$AL$1843,"&gt;"&amp;AL1506)+SUMIFS($AI$7:$AI$1843,$CC$7:$CC$1843,CC1506,$AL$7:$AL$1843,AL1506,$BT$7:$BT$1843,"&lt;="&amp;BT1506),"")</f>
        <v>29908.5410639267</v>
      </c>
      <c r="AN1506" s="58" t="n">
        <f aca="false">IF(AM1506="",0,MAX(0,MIN(1,(IF(CC1506="L1",Parameter!$H$5,IF(CC1506="L23",Parameter!$H$6+Parameter!$H$7,Parameter!$H$5+Parameter!$H$6+Parameter!$H$7))-(AM1506-AI1506))/AI1506)))</f>
        <v>1</v>
      </c>
      <c r="AO1506" s="50" t="n">
        <f aca="false">IF(LEFT(Cockpit!$I$5,1)="A",H1506,IF(CE1506=1,CF1506,IF(LEFT(Cockpit!$I$5,1)="B",AT1506,MAX(AT1506,H1506))))</f>
        <v>17</v>
      </c>
      <c r="AP1506" s="50" t="n">
        <f aca="false">IF(BW1506=1,0,ROUNDUP(AO1506/BV1506,0))</f>
        <v>1</v>
      </c>
      <c r="AQ1506" s="52" t="n">
        <f aca="false">IF(CL1506&gt;0,CL1506*MAX(1,AO1506/X1506),IF(BW1506=1,IF(AO1506&lt;=0,0,CA1506*MAX(1,IF(H1506&gt;0,AO1506/H1506,1))),IF(R1506&gt;0,AP1506/R1506,0))/MAX(0.1,N(Parameter!$M$21)))</f>
        <v>0.0384615384615385</v>
      </c>
      <c r="AR1506" s="50" t="n">
        <f aca="false">AQ1506*BY1506</f>
        <v>9.42307692307692</v>
      </c>
      <c r="AS1506" s="50" t="n">
        <f aca="false">AO1506*G1506</f>
        <v>5674.6</v>
      </c>
      <c r="AT1506" s="50" t="n">
        <f aca="false">ROUNDUP(MAX(J1506/IF(CD1506&gt;0,CD1506,MAX(0.1,N(Cockpit!$I$6))),CG1506)/BV1506,0)*BV1506</f>
        <v>17</v>
      </c>
      <c r="AU1506" s="51" t="n">
        <f aca="false">IF(AR1506&gt;0,J1506/AR1506,-1)</f>
        <v>0</v>
      </c>
      <c r="AV1506" s="51" t="n">
        <f aca="false">IF(AND(OR(CC1506="L1",CC1506="L23",CC1506="LIFT"),AR1506&gt;0),SUMIFS($AR$7:$AR$1843,$CC$7:$CC$1843,CC1506,$AU$7:$AU$1843,"&gt;"&amp;AU1506)+SUMIFS($AR$7:$AR$1843,$CC$7:$CC$1843,CC1506,$AU$7:$AU$1843,AU1506,$BT$7:$BT$1843,"&lt;="&amp;BT1506),"")</f>
        <v>42200.9291819292</v>
      </c>
      <c r="AW1506" s="58" t="n">
        <f aca="false">IF(AV1506="",0,MAX(0,MIN(1,(IF(CC1506="L1",Parameter!$H$5,IF(CC1506="L23",Parameter!$H$6+Parameter!$H$7,Parameter!$H$5+Parameter!$H$6+Parameter!$H$7))-(AV1506-AR1506))/AR1506)))</f>
        <v>0</v>
      </c>
      <c r="AX1506" s="50" t="n">
        <f aca="false">IF(LEFT(Cockpit!$O$5,1)="A",H1506,IF(CE1506=1,CF1506,IF(LEFT(Cockpit!$O$5,1)="B",BC1506,MAX(BC1506,H1506))))</f>
        <v>17</v>
      </c>
      <c r="AY1506" s="50" t="n">
        <f aca="false">IF(BW1506=1,0,ROUNDUP(AX1506/BV1506,0))</f>
        <v>1</v>
      </c>
      <c r="AZ1506" s="52" t="n">
        <f aca="false">IF(CL1506&gt;0,CL1506*MAX(1,AX1506/X1506),IF(BW1506=1,IF(AX1506&lt;=0,0,CA1506*MAX(1,IF(H1506&gt;0,AX1506/H1506,1))),IF(R1506&gt;0,AY1506/R1506,0))/MAX(0.1,N(Parameter!$M$21)))</f>
        <v>0.0384615384615385</v>
      </c>
      <c r="BA1506" s="50" t="n">
        <f aca="false">AZ1506*BY1506</f>
        <v>9.42307692307692</v>
      </c>
      <c r="BB1506" s="50" t="n">
        <f aca="false">AX1506*G1506</f>
        <v>5674.6</v>
      </c>
      <c r="BC1506" s="50" t="n">
        <f aca="false">ROUNDUP(MAX(J1506/IF(CD1506&gt;0,CD1506,MAX(0.1,N(Cockpit!$O$6))),CG1506)/BV1506,0)*BV1506</f>
        <v>17</v>
      </c>
      <c r="BD1506" s="51" t="n">
        <f aca="false">IF(BA1506&gt;0,J1506/BA1506,-1)</f>
        <v>0</v>
      </c>
      <c r="BE1506" s="51" t="n">
        <f aca="false">IF(AND(OR(CC1506="L1",CC1506="L23",CC1506="LIFT"),BA1506&gt;0),SUMIFS($BA$7:$BA$1843,$CC$7:$CC$1843,CC1506,$BD$7:$BD$1843,"&gt;"&amp;BD1506)+SUMIFS($BA$7:$BA$1843,$CC$7:$CC$1843,CC1506,$BD$7:$BD$1843,BD1506,$BT$7:$BT$1843,"&lt;="&amp;BT1506),"")</f>
        <v>38875.941223795</v>
      </c>
      <c r="BF1506" s="58" t="n">
        <f aca="false">IF(BE1506="",0,MAX(0,MIN(1,(IF(CC1506="L1",Parameter!$H$5,IF(CC1506="L23",Parameter!$H$6+Parameter!$H$7,Parameter!$H$5+Parameter!$H$6+Parameter!$H$7))-(BE1506-BA1506))/BA1506)))</f>
        <v>0</v>
      </c>
      <c r="BG1506" s="48" t="str">
        <f aca="false">IF(AI1506&lt;=0,"",IF(CC1506="Aussen","Aussenlager",IF(CC1506="-","Nicht im Lift",IF(AN1506&gt;=1,"Lift",IF(AN1506&lt;=0,"Aussenlager","teilweise")))))</f>
        <v>Lift</v>
      </c>
      <c r="BH1506" s="48" t="str">
        <f aca="false">IF(AR1506&lt;=0,"",IF(CC1506="Aussen","Aussenlager",IF(CC1506="-","Nicht im Lift",IF(AW1506&gt;=1,"Lift",IF(AW1506&lt;=0,"Aussenlager","teilweise")))))</f>
        <v>Aussenlager</v>
      </c>
      <c r="BI1506" s="48" t="str">
        <f aca="false">IF(BA1506&lt;=0,"",IF(CC1506="Aussen","Aussenlager",IF(CC1506="-","Nicht im Lift",IF(BF1506&gt;=1,"Lift",IF(BF1506&lt;=0,"Aussenlager","teilweise")))))</f>
        <v>Aussenlager</v>
      </c>
      <c r="BJ1506" s="48" t="str">
        <f aca="false">IF(A1506="","",IF(BS1506=1,"Neu; ","")&amp;IF(AND(BS1506=0,BN1506&lt;0),"negativer Bestand (Export "&amp;BN1506&amp;"); ","")&amp;IF(J1506&lt;=0,"Kein Verbrauch; ","")&amp;IF(CL1506&gt;0,"Lift "&amp;W1506&amp;" lt. Liftbericht (Fach "&amp;X1506&amp;" Stk); ",IF(BX1506=1,"Gebinde geschätzt ("&amp;T1506&amp;"); ",IF(BW1506=1,"Lose – Tablare geschätzt; ","")))&amp;IF(H1506&gt;AT1506,"Überbestand "&amp;ROUND(H1506-AT1506,0)&amp;" Stk / CHF "&amp;ROUND((H1506-AT1506)*G1506,0)&amp;"; ","")&amp;IF(AND(CE1506=1,CF1506&lt;CG1506),"MAX &lt; MB+LG; ","")&amp;IF(AND(CK1506&gt;0,CJ1506*10&gt;CK1506),"zu hoch für Tablar; ","")&amp;IF(AND(BS1506=0,OR(CE1506=1,AA1506&lt;&gt;"",U1506&lt;&gt;"",V1506&lt;&gt;"",AB1506&lt;&gt;"")),"manuell übersteuert; ","")&amp;IF(AND(BW1506=0,R1506=0),"Gebinde unbekannt / Stellmass fehlt; ","")&amp;IF(AND(BW1506=0,N(V1506)&lt;=0,N(Q1506)&lt;=0),"Menge pro Gebinde fehlt (Ist = 1 Gebinde); ","")&amp;BR1506)</f>
        <v>Kein Verbrauch; nur im Artikelstamm (Bestand 23.06.2026)</v>
      </c>
      <c r="BK1506" s="48"/>
      <c r="BL1506" s="48"/>
      <c r="BM1506" s="55"/>
      <c r="BN1506" s="50" t="n">
        <v>17</v>
      </c>
      <c r="BO1506" s="50" t="n">
        <v>0</v>
      </c>
      <c r="BP1506" s="49" t="n">
        <v>0</v>
      </c>
      <c r="BQ1506" s="50" t="n">
        <v>0</v>
      </c>
      <c r="BR1506" s="48" t="s">
        <v>2579</v>
      </c>
      <c r="BS1506" s="53" t="n">
        <v>0</v>
      </c>
      <c r="BT1506" s="53" t="n">
        <v>1506</v>
      </c>
      <c r="BU1506" s="48" t="str">
        <f aca="false">IF(U1506&lt;&gt;"",UPPER(TRIM(U1506)),IF(BX1506=1,UPPER(VLOOKUP(T1506,Parameter!$I$27:$K$29,2,0)),IF(P1506="","LOSE",P1506)))</f>
        <v>S52</v>
      </c>
      <c r="BV1506" s="50" t="n">
        <f aca="false">IF(BU1506="LOSE",1,IF(N(V1506)&gt;0,V1506,IF(BX1506=1,MAX(1,N(VLOOKUP(T1506,Parameter!$I$27:$K$29,3,0)),H1506,N(N1506)),IF(N(Q1506)&gt;0,Q1506,MAX(1,H1506)))))</f>
        <v>17</v>
      </c>
      <c r="BW1506" s="53" t="n">
        <f aca="false">IF(BU1506="LOSE",1,0)</f>
        <v>0</v>
      </c>
      <c r="BX1506" s="53" t="n">
        <f aca="false">IF(AND(U1506="",OR(P1506="",P1506="LOSE"),T1506&lt;&gt;"",N(S1506)&lt;=0,ISNUMBER(MATCH(T1506,Parameter!$I$27:$I$29,0))),1,0)</f>
        <v>0</v>
      </c>
      <c r="BY1506" s="53" t="n">
        <f aca="false">IF(CL1506&gt;0,INDEX(Parameter!$H$5:$H$7,W1506)/INDEX(Parameter!$E$5:$E$7,W1506),IF(AND(BW1506=0,N(IFERROR(VLOOKUP(BU1506,'Gebinde-Kategorie'!$A$5:$N$45,14,0),0))&gt;0),VLOOKUP(BU1506,'Gebinde-Kategorie'!$A$5:$N$45,14,0)*10+Parameter!$M$23,Parameter!$M$24))</f>
        <v>245</v>
      </c>
      <c r="BZ1506" s="48" t="str">
        <f aca="false">IF(AND(Parameter!$B$19="Ja",E1506&lt;&gt;"",ISNUMBER(MATCH(E1506,Parameter!$I$35:$I$52,0))),VLOOKUP(E1506,Parameter!$I$35:$J$52,2,0),IFERROR(VLOOKUP(D1506,Parameter!$A$35:$C$64,2,0),"Nein"))</f>
        <v>2+3</v>
      </c>
      <c r="CA1506" s="52" t="n">
        <f aca="false">IF(BW1506=0,0,IF(N(S1506)&gt;0,S1506,IFERROR(VLOOKUP(D1506,Parameter!$A$35:$C$64,3,0)+0,0)))</f>
        <v>0</v>
      </c>
      <c r="CB1506" s="48" t="n">
        <f aca="false">IF(AA1506&lt;&gt;"",AA1506,Z1506)</f>
        <v>3</v>
      </c>
      <c r="CC1506" s="48" t="str">
        <f aca="false">IF(OR(CB1506=1,CB1506=2,CB1506=3),IF(Parameter!$E$27="Ja","LIFT",IF(CB1506=1,"L1","L23")),IF(CB1506="Aussen","Aussen","-"))</f>
        <v>LIFT</v>
      </c>
      <c r="CD1506" s="59" t="n">
        <f aca="false">IF(N(AB1506)&gt;0,AB1506,0)</f>
        <v>0</v>
      </c>
      <c r="CE1506" s="53" t="n">
        <f aca="false">IF(ISNUMBER(AE1506),1,0)</f>
        <v>0</v>
      </c>
      <c r="CF1506" s="50" t="n">
        <f aca="false">N(AE1506)</f>
        <v>0</v>
      </c>
      <c r="CG1506" s="50" t="n">
        <f aca="false">N(M1506)+N(N1506)</f>
        <v>10</v>
      </c>
      <c r="CH1506" s="50" t="n">
        <f aca="false">ROUNDUP(H1506/BV1506,0)</f>
        <v>1</v>
      </c>
      <c r="CI1506" s="50" t="n">
        <f aca="false">ROUNDUP(CF1506/BV1506,0)</f>
        <v>0</v>
      </c>
      <c r="CJ1506" s="53" t="n">
        <f aca="false">IF(BW1506=1,0,IFERROR(VLOOKUP(BU1506,'Gebinde-Kategorie'!$A$5:$N$45,5,0)+0,0))</f>
        <v>21</v>
      </c>
      <c r="CK1506" s="53" t="n">
        <f aca="false">IFERROR(IF(OR(CB1506=1,CB1506=2,CB1506=3),N(INDEX(Parameter!$I$5:$I$7,CB1506)),0),0)</f>
        <v>0</v>
      </c>
      <c r="CL1506" s="52" t="n">
        <f aca="false">IF(AND(Parameter!$B$21="Ja",ISNUMBER(W1506),N(X1506)&gt;0),IFERROR(N(INDEX(Parameter!$L$5:$L$7,W1506))*INDEX(Parameter!$E$5:$E$7,W1506)*X1506/SUMIFS($X$7:$X$1843,$W$7:$W$1843,W1506),0),0)</f>
        <v>0</v>
      </c>
    </row>
    <row r="1507" customFormat="false" ht="15" hidden="false" customHeight="false" outlineLevel="0" collapsed="false">
      <c r="A1507" s="48" t="s">
        <v>2640</v>
      </c>
      <c r="B1507" s="48" t="s">
        <v>1407</v>
      </c>
      <c r="C1507" s="48" t="s">
        <v>168</v>
      </c>
      <c r="D1507" s="48" t="s">
        <v>188</v>
      </c>
      <c r="E1507" s="48" t="s">
        <v>189</v>
      </c>
      <c r="F1507" s="48"/>
      <c r="G1507" s="49" t="n">
        <v>9.5</v>
      </c>
      <c r="H1507" s="50" t="n">
        <f aca="false">MAX(0,IF(AND(Parameter!$B$21="Ja",ISNUMBER(Y1507)),Y1507,IF(Parameter!$B$20="Jahresanfang 2025 + Export",BO1507+BN1507,BN1507)))</f>
        <v>21</v>
      </c>
      <c r="I1507" s="50" t="n">
        <f aca="false">H1507*G1507</f>
        <v>199.5</v>
      </c>
      <c r="J1507" s="50" t="n">
        <f aca="false">BQ1507*Parameter!$B$18</f>
        <v>0</v>
      </c>
      <c r="K1507" s="51"/>
      <c r="L1507" s="52"/>
      <c r="M1507" s="50" t="n">
        <v>0</v>
      </c>
      <c r="N1507" s="50" t="n">
        <v>20</v>
      </c>
      <c r="O1507" s="53" t="n">
        <v>21</v>
      </c>
      <c r="P1507" s="48" t="s">
        <v>332</v>
      </c>
      <c r="Q1507" s="50" t="n">
        <v>21</v>
      </c>
      <c r="R1507" s="53" t="n">
        <f aca="false">IF(BW1507=1,0,IFERROR(VLOOKUP(BU1507,'Gebinde-Kategorie'!$A$5:$N$45,13,0)+0,0))</f>
        <v>52</v>
      </c>
      <c r="S1507" s="54"/>
      <c r="T1507" s="55"/>
      <c r="U1507" s="55"/>
      <c r="V1507" s="55"/>
      <c r="W1507" s="48"/>
      <c r="X1507" s="50"/>
      <c r="Y1507" s="50"/>
      <c r="Z1507" s="48" t="n">
        <f aca="false">IF(A1507="","",IF(AND(Parameter!$B$21="Ja",ISNUMBER(W1507)),W1507,IF(BZ1507="2+3",IF(ISNUMBER(SEARCH("grosser Artikel",BR1507)),2,IFERROR(VLOOKUP(BU1507,Parameter!$F$35:$G$64,2,0),2)),IF(OR(BZ1507="Nein",BZ1507=""),"-",BZ1507))))</f>
        <v>3</v>
      </c>
      <c r="AA1507" s="55"/>
      <c r="AB1507" s="56"/>
      <c r="AC1507" s="50" t="n">
        <f aca="false">AT1507</f>
        <v>21</v>
      </c>
      <c r="AD1507" s="50" t="n">
        <f aca="false">MAX(AT1507,H1507)</f>
        <v>21</v>
      </c>
      <c r="AE1507" s="57"/>
      <c r="AF1507" s="50" t="n">
        <f aca="false">IF(LEFT(Cockpit!$C$5,1)="A",H1507,IF(CE1507=1,CF1507,IF(LEFT(Cockpit!$C$5,1)="B",AK1507,MAX(AK1507,H1507))))</f>
        <v>21</v>
      </c>
      <c r="AG1507" s="50" t="n">
        <f aca="false">IF(BW1507=1,0,ROUNDUP(AF1507/BV1507,0))</f>
        <v>1</v>
      </c>
      <c r="AH1507" s="52" t="n">
        <f aca="false">IF(CL1507&gt;0,CL1507*MAX(1,AF1507/X1507),IF(BW1507=1,IF(AF1507&lt;=0,0,CA1507*MAX(1,IF(H1507&gt;0,AF1507/H1507,1))),IF(R1507&gt;0,AG1507/R1507,0))/MAX(0.1,N(Parameter!$M$21)))</f>
        <v>0.0192307692307692</v>
      </c>
      <c r="AI1507" s="50" t="n">
        <f aca="false">AH1507*BY1507</f>
        <v>2.98076923076923</v>
      </c>
      <c r="AJ1507" s="50" t="n">
        <f aca="false">AF1507*G1507</f>
        <v>199.5</v>
      </c>
      <c r="AK1507" s="50" t="n">
        <f aca="false">ROUNDUP(MAX(J1507/IF(CD1507&gt;0,CD1507,MAX(0.1,N(Cockpit!$C$6))),CG1507)/BV1507,0)*BV1507</f>
        <v>21</v>
      </c>
      <c r="AL1507" s="51" t="n">
        <f aca="false">IF(AI1507&gt;0,J1507/AI1507,-1)</f>
        <v>0</v>
      </c>
      <c r="AM1507" s="51" t="n">
        <f aca="false">IF(AND(OR(CC1507="L1",CC1507="L23",CC1507="LIFT"),AI1507&gt;0),SUMIFS($AI$7:$AI$1843,$CC$7:$CC$1843,CC1507,$AL$7:$AL$1843,"&gt;"&amp;AL1507)+SUMIFS($AI$7:$AI$1843,$CC$7:$CC$1843,CC1507,$AL$7:$AL$1843,AL1507,$BT$7:$BT$1843,"&lt;="&amp;BT1507),"")</f>
        <v>29911.5218331574</v>
      </c>
      <c r="AN1507" s="58" t="n">
        <f aca="false">IF(AM1507="",0,MAX(0,MIN(1,(IF(CC1507="L1",Parameter!$H$5,IF(CC1507="L23",Parameter!$H$6+Parameter!$H$7,Parameter!$H$5+Parameter!$H$6+Parameter!$H$7))-(AM1507-AI1507))/AI1507)))</f>
        <v>1</v>
      </c>
      <c r="AO1507" s="50" t="n">
        <f aca="false">IF(LEFT(Cockpit!$I$5,1)="A",H1507,IF(CE1507=1,CF1507,IF(LEFT(Cockpit!$I$5,1)="B",AT1507,MAX(AT1507,H1507))))</f>
        <v>21</v>
      </c>
      <c r="AP1507" s="50" t="n">
        <f aca="false">IF(BW1507=1,0,ROUNDUP(AO1507/BV1507,0))</f>
        <v>1</v>
      </c>
      <c r="AQ1507" s="52" t="n">
        <f aca="false">IF(CL1507&gt;0,CL1507*MAX(1,AO1507/X1507),IF(BW1507=1,IF(AO1507&lt;=0,0,CA1507*MAX(1,IF(H1507&gt;0,AO1507/H1507,1))),IF(R1507&gt;0,AP1507/R1507,0))/MAX(0.1,N(Parameter!$M$21)))</f>
        <v>0.0192307692307692</v>
      </c>
      <c r="AR1507" s="50" t="n">
        <f aca="false">AQ1507*BY1507</f>
        <v>2.98076923076923</v>
      </c>
      <c r="AS1507" s="50" t="n">
        <f aca="false">AO1507*G1507</f>
        <v>199.5</v>
      </c>
      <c r="AT1507" s="50" t="n">
        <f aca="false">ROUNDUP(MAX(J1507/IF(CD1507&gt;0,CD1507,MAX(0.1,N(Cockpit!$I$6))),CG1507)/BV1507,0)*BV1507</f>
        <v>21</v>
      </c>
      <c r="AU1507" s="51" t="n">
        <f aca="false">IF(AR1507&gt;0,J1507/AR1507,-1)</f>
        <v>0</v>
      </c>
      <c r="AV1507" s="51" t="n">
        <f aca="false">IF(AND(OR(CC1507="L1",CC1507="L23",CC1507="LIFT"),AR1507&gt;0),SUMIFS($AR$7:$AR$1843,$CC$7:$CC$1843,CC1507,$AU$7:$AU$1843,"&gt;"&amp;AU1507)+SUMIFS($AR$7:$AR$1843,$CC$7:$CC$1843,CC1507,$AU$7:$AU$1843,AU1507,$BT$7:$BT$1843,"&lt;="&amp;BT1507),"")</f>
        <v>42203.90995116</v>
      </c>
      <c r="AW1507" s="58" t="n">
        <f aca="false">IF(AV1507="",0,MAX(0,MIN(1,(IF(CC1507="L1",Parameter!$H$5,IF(CC1507="L23",Parameter!$H$6+Parameter!$H$7,Parameter!$H$5+Parameter!$H$6+Parameter!$H$7))-(AV1507-AR1507))/AR1507)))</f>
        <v>0</v>
      </c>
      <c r="AX1507" s="50" t="n">
        <f aca="false">IF(LEFT(Cockpit!$O$5,1)="A",H1507,IF(CE1507=1,CF1507,IF(LEFT(Cockpit!$O$5,1)="B",BC1507,MAX(BC1507,H1507))))</f>
        <v>21</v>
      </c>
      <c r="AY1507" s="50" t="n">
        <f aca="false">IF(BW1507=1,0,ROUNDUP(AX1507/BV1507,0))</f>
        <v>1</v>
      </c>
      <c r="AZ1507" s="52" t="n">
        <f aca="false">IF(CL1507&gt;0,CL1507*MAX(1,AX1507/X1507),IF(BW1507=1,IF(AX1507&lt;=0,0,CA1507*MAX(1,IF(H1507&gt;0,AX1507/H1507,1))),IF(R1507&gt;0,AY1507/R1507,0))/MAX(0.1,N(Parameter!$M$21)))</f>
        <v>0.0192307692307692</v>
      </c>
      <c r="BA1507" s="50" t="n">
        <f aca="false">AZ1507*BY1507</f>
        <v>2.98076923076923</v>
      </c>
      <c r="BB1507" s="50" t="n">
        <f aca="false">AX1507*G1507</f>
        <v>199.5</v>
      </c>
      <c r="BC1507" s="50" t="n">
        <f aca="false">ROUNDUP(MAX(J1507/IF(CD1507&gt;0,CD1507,MAX(0.1,N(Cockpit!$O$6))),CG1507)/BV1507,0)*BV1507</f>
        <v>21</v>
      </c>
      <c r="BD1507" s="51" t="n">
        <f aca="false">IF(BA1507&gt;0,J1507/BA1507,-1)</f>
        <v>0</v>
      </c>
      <c r="BE1507" s="51" t="n">
        <f aca="false">IF(AND(OR(CC1507="L1",CC1507="L23",CC1507="LIFT"),BA1507&gt;0),SUMIFS($BA$7:$BA$1843,$CC$7:$CC$1843,CC1507,$BD$7:$BD$1843,"&gt;"&amp;BD1507)+SUMIFS($BA$7:$BA$1843,$CC$7:$CC$1843,CC1507,$BD$7:$BD$1843,BD1507,$BT$7:$BT$1843,"&lt;="&amp;BT1507),"")</f>
        <v>38878.9219930258</v>
      </c>
      <c r="BF1507" s="58" t="n">
        <f aca="false">IF(BE1507="",0,MAX(0,MIN(1,(IF(CC1507="L1",Parameter!$H$5,IF(CC1507="L23",Parameter!$H$6+Parameter!$H$7,Parameter!$H$5+Parameter!$H$6+Parameter!$H$7))-(BE1507-BA1507))/BA1507)))</f>
        <v>0</v>
      </c>
      <c r="BG1507" s="48" t="str">
        <f aca="false">IF(AI1507&lt;=0,"",IF(CC1507="Aussen","Aussenlager",IF(CC1507="-","Nicht im Lift",IF(AN1507&gt;=1,"Lift",IF(AN1507&lt;=0,"Aussenlager","teilweise")))))</f>
        <v>Lift</v>
      </c>
      <c r="BH1507" s="48" t="str">
        <f aca="false">IF(AR1507&lt;=0,"",IF(CC1507="Aussen","Aussenlager",IF(CC1507="-","Nicht im Lift",IF(AW1507&gt;=1,"Lift",IF(AW1507&lt;=0,"Aussenlager","teilweise")))))</f>
        <v>Aussenlager</v>
      </c>
      <c r="BI1507" s="48" t="str">
        <f aca="false">IF(BA1507&lt;=0,"",IF(CC1507="Aussen","Aussenlager",IF(CC1507="-","Nicht im Lift",IF(BF1507&gt;=1,"Lift",IF(BF1507&lt;=0,"Aussenlager","teilweise")))))</f>
        <v>Aussenlager</v>
      </c>
      <c r="BJ1507" s="48" t="str">
        <f aca="false">IF(A1507="","",IF(BS1507=1,"Neu; ","")&amp;IF(AND(BS1507=0,BN1507&lt;0),"negativer Bestand (Export "&amp;BN1507&amp;"); ","")&amp;IF(J1507&lt;=0,"Kein Verbrauch; ","")&amp;IF(CL1507&gt;0,"Lift "&amp;W1507&amp;" lt. Liftbericht (Fach "&amp;X1507&amp;" Stk); ",IF(BX1507=1,"Gebinde geschätzt ("&amp;T1507&amp;"); ",IF(BW1507=1,"Lose – Tablare geschätzt; ","")))&amp;IF(H1507&gt;AT1507,"Überbestand "&amp;ROUND(H1507-AT1507,0)&amp;" Stk / CHF "&amp;ROUND((H1507-AT1507)*G1507,0)&amp;"; ","")&amp;IF(AND(CE1507=1,CF1507&lt;CG1507),"MAX &lt; MB+LG; ","")&amp;IF(AND(CK1507&gt;0,CJ1507*10&gt;CK1507),"zu hoch für Tablar; ","")&amp;IF(AND(BS1507=0,OR(CE1507=1,AA1507&lt;&gt;"",U1507&lt;&gt;"",V1507&lt;&gt;"",AB1507&lt;&gt;"")),"manuell übersteuert; ","")&amp;IF(AND(BW1507=0,R1507=0),"Gebinde unbekannt / Stellmass fehlt; ","")&amp;IF(AND(BW1507=0,N(V1507)&lt;=0,N(Q1507)&lt;=0),"Menge pro Gebinde fehlt (Ist = 1 Gebinde); ","")&amp;BR1507)</f>
        <v>Kein Verbrauch; nur im Artikelstamm (Bestand 23.06.2026); Überbestand</v>
      </c>
      <c r="BK1507" s="48"/>
      <c r="BL1507" s="48"/>
      <c r="BM1507" s="55"/>
      <c r="BN1507" s="50" t="n">
        <v>21</v>
      </c>
      <c r="BO1507" s="50" t="n">
        <v>0</v>
      </c>
      <c r="BP1507" s="49" t="n">
        <v>0</v>
      </c>
      <c r="BQ1507" s="50" t="n">
        <v>0</v>
      </c>
      <c r="BR1507" s="48" t="s">
        <v>2576</v>
      </c>
      <c r="BS1507" s="53" t="n">
        <v>0</v>
      </c>
      <c r="BT1507" s="53" t="n">
        <v>1507</v>
      </c>
      <c r="BU1507" s="48" t="str">
        <f aca="false">IF(U1507&lt;&gt;"",UPPER(TRIM(U1507)),IF(BX1507=1,UPPER(VLOOKUP(T1507,Parameter!$I$27:$K$29,2,0)),IF(P1507="","LOSE",P1507)))</f>
        <v>S41</v>
      </c>
      <c r="BV1507" s="50" t="n">
        <f aca="false">IF(BU1507="LOSE",1,IF(N(V1507)&gt;0,V1507,IF(BX1507=1,MAX(1,N(VLOOKUP(T1507,Parameter!$I$27:$K$29,3,0)),H1507,N(N1507)),IF(N(Q1507)&gt;0,Q1507,MAX(1,H1507)))))</f>
        <v>21</v>
      </c>
      <c r="BW1507" s="53" t="n">
        <f aca="false">IF(BU1507="LOSE",1,0)</f>
        <v>0</v>
      </c>
      <c r="BX1507" s="53" t="n">
        <f aca="false">IF(AND(U1507="",OR(P1507="",P1507="LOSE"),T1507&lt;&gt;"",N(S1507)&lt;=0,ISNUMBER(MATCH(T1507,Parameter!$I$27:$I$29,0))),1,0)</f>
        <v>0</v>
      </c>
      <c r="BY1507" s="53" t="n">
        <f aca="false">IF(CL1507&gt;0,INDEX(Parameter!$H$5:$H$7,W1507)/INDEX(Parameter!$E$5:$E$7,W1507),IF(AND(BW1507=0,N(IFERROR(VLOOKUP(BU1507,'Gebinde-Kategorie'!$A$5:$N$45,14,0),0))&gt;0),VLOOKUP(BU1507,'Gebinde-Kategorie'!$A$5:$N$45,14,0)*10+Parameter!$M$23,Parameter!$M$24))</f>
        <v>155</v>
      </c>
      <c r="BZ1507" s="48" t="str">
        <f aca="false">IF(AND(Parameter!$B$19="Ja",E1507&lt;&gt;"",ISNUMBER(MATCH(E1507,Parameter!$I$35:$I$52,0))),VLOOKUP(E1507,Parameter!$I$35:$J$52,2,0),IFERROR(VLOOKUP(D1507,Parameter!$A$35:$C$64,2,0),"Nein"))</f>
        <v>2+3</v>
      </c>
      <c r="CA1507" s="52" t="n">
        <f aca="false">IF(BW1507=0,0,IF(N(S1507)&gt;0,S1507,IFERROR(VLOOKUP(D1507,Parameter!$A$35:$C$64,3,0)+0,0)))</f>
        <v>0</v>
      </c>
      <c r="CB1507" s="48" t="n">
        <f aca="false">IF(AA1507&lt;&gt;"",AA1507,Z1507)</f>
        <v>3</v>
      </c>
      <c r="CC1507" s="48" t="str">
        <f aca="false">IF(OR(CB1507=1,CB1507=2,CB1507=3),IF(Parameter!$E$27="Ja","LIFT",IF(CB1507=1,"L1","L23")),IF(CB1507="Aussen","Aussen","-"))</f>
        <v>LIFT</v>
      </c>
      <c r="CD1507" s="59" t="n">
        <f aca="false">IF(N(AB1507)&gt;0,AB1507,0)</f>
        <v>0</v>
      </c>
      <c r="CE1507" s="53" t="n">
        <f aca="false">IF(ISNUMBER(AE1507),1,0)</f>
        <v>0</v>
      </c>
      <c r="CF1507" s="50" t="n">
        <f aca="false">N(AE1507)</f>
        <v>0</v>
      </c>
      <c r="CG1507" s="50" t="n">
        <f aca="false">N(M1507)+N(N1507)</f>
        <v>20</v>
      </c>
      <c r="CH1507" s="50" t="n">
        <f aca="false">ROUNDUP(H1507/BV1507,0)</f>
        <v>1</v>
      </c>
      <c r="CI1507" s="50" t="n">
        <f aca="false">ROUNDUP(CF1507/BV1507,0)</f>
        <v>0</v>
      </c>
      <c r="CJ1507" s="53" t="n">
        <f aca="false">IF(BW1507=1,0,IFERROR(VLOOKUP(BU1507,'Gebinde-Kategorie'!$A$5:$N$45,5,0)+0,0))</f>
        <v>11</v>
      </c>
      <c r="CK1507" s="53" t="n">
        <f aca="false">IFERROR(IF(OR(CB1507=1,CB1507=2,CB1507=3),N(INDEX(Parameter!$I$5:$I$7,CB1507)),0),0)</f>
        <v>0</v>
      </c>
      <c r="CL1507" s="52" t="n">
        <f aca="false">IF(AND(Parameter!$B$21="Ja",ISNUMBER(W1507),N(X1507)&gt;0),IFERROR(N(INDEX(Parameter!$L$5:$L$7,W1507))*INDEX(Parameter!$E$5:$E$7,W1507)*X1507/SUMIFS($X$7:$X$1843,$W$7:$W$1843,W1507),0),0)</f>
        <v>0</v>
      </c>
    </row>
    <row r="1508" customFormat="false" ht="15" hidden="false" customHeight="false" outlineLevel="0" collapsed="false">
      <c r="A1508" s="48" t="s">
        <v>2641</v>
      </c>
      <c r="B1508" s="48" t="s">
        <v>429</v>
      </c>
      <c r="C1508" s="48" t="s">
        <v>168</v>
      </c>
      <c r="D1508" s="48" t="s">
        <v>188</v>
      </c>
      <c r="E1508" s="48" t="s">
        <v>189</v>
      </c>
      <c r="F1508" s="48"/>
      <c r="G1508" s="49" t="n">
        <v>143.14</v>
      </c>
      <c r="H1508" s="50" t="n">
        <f aca="false">MAX(0,IF(AND(Parameter!$B$21="Ja",ISNUMBER(Y1508)),Y1508,IF(Parameter!$B$20="Jahresanfang 2025 + Export",BO1508+BN1508,BN1508)))</f>
        <v>13</v>
      </c>
      <c r="I1508" s="50" t="n">
        <f aca="false">H1508*G1508</f>
        <v>1860.82</v>
      </c>
      <c r="J1508" s="50" t="n">
        <f aca="false">BQ1508*Parameter!$B$18</f>
        <v>0</v>
      </c>
      <c r="K1508" s="51"/>
      <c r="L1508" s="52"/>
      <c r="M1508" s="50" t="n">
        <v>0</v>
      </c>
      <c r="N1508" s="50" t="n">
        <v>20</v>
      </c>
      <c r="O1508" s="53" t="n">
        <v>28</v>
      </c>
      <c r="P1508" s="48" t="s">
        <v>425</v>
      </c>
      <c r="Q1508" s="50" t="n">
        <v>13</v>
      </c>
      <c r="R1508" s="53" t="n">
        <f aca="false">IF(BW1508=1,0,IFERROR(VLOOKUP(BU1508,'Gebinde-Kategorie'!$A$5:$N$45,13,0)+0,0))</f>
        <v>104</v>
      </c>
      <c r="S1508" s="54"/>
      <c r="T1508" s="55"/>
      <c r="U1508" s="55"/>
      <c r="V1508" s="55"/>
      <c r="W1508" s="48"/>
      <c r="X1508" s="50"/>
      <c r="Y1508" s="50"/>
      <c r="Z1508" s="48" t="n">
        <f aca="false">IF(A1508="","",IF(AND(Parameter!$B$21="Ja",ISNUMBER(W1508)),W1508,IF(BZ1508="2+3",IF(ISNUMBER(SEARCH("grosser Artikel",BR1508)),2,IFERROR(VLOOKUP(BU1508,Parameter!$F$35:$G$64,2,0),2)),IF(OR(BZ1508="Nein",BZ1508=""),"-",BZ1508))))</f>
        <v>3</v>
      </c>
      <c r="AA1508" s="55"/>
      <c r="AB1508" s="56"/>
      <c r="AC1508" s="50" t="n">
        <f aca="false">AT1508</f>
        <v>26</v>
      </c>
      <c r="AD1508" s="50" t="n">
        <f aca="false">MAX(AT1508,H1508)</f>
        <v>26</v>
      </c>
      <c r="AE1508" s="57"/>
      <c r="AF1508" s="50" t="n">
        <f aca="false">IF(LEFT(Cockpit!$C$5,1)="A",H1508,IF(CE1508=1,CF1508,IF(LEFT(Cockpit!$C$5,1)="B",AK1508,MAX(AK1508,H1508))))</f>
        <v>13</v>
      </c>
      <c r="AG1508" s="50" t="n">
        <f aca="false">IF(BW1508=1,0,ROUNDUP(AF1508/BV1508,0))</f>
        <v>1</v>
      </c>
      <c r="AH1508" s="52" t="n">
        <f aca="false">IF(CL1508&gt;0,CL1508*MAX(1,AF1508/X1508),IF(BW1508=1,IF(AF1508&lt;=0,0,CA1508*MAX(1,IF(H1508&gt;0,AF1508/H1508,1))),IF(R1508&gt;0,AG1508/R1508,0))/MAX(0.1,N(Parameter!$M$21)))</f>
        <v>0.00961538461538462</v>
      </c>
      <c r="AI1508" s="50" t="n">
        <f aca="false">AH1508*BY1508</f>
        <v>1.49038461538462</v>
      </c>
      <c r="AJ1508" s="50" t="n">
        <f aca="false">AF1508*G1508</f>
        <v>1860.82</v>
      </c>
      <c r="AK1508" s="50" t="n">
        <f aca="false">ROUNDUP(MAX(J1508/IF(CD1508&gt;0,CD1508,MAX(0.1,N(Cockpit!$C$6))),CG1508)/BV1508,0)*BV1508</f>
        <v>26</v>
      </c>
      <c r="AL1508" s="51" t="n">
        <f aca="false">IF(AI1508&gt;0,J1508/AI1508,-1)</f>
        <v>0</v>
      </c>
      <c r="AM1508" s="51" t="n">
        <f aca="false">IF(AND(OR(CC1508="L1",CC1508="L23",CC1508="LIFT"),AI1508&gt;0),SUMIFS($AI$7:$AI$1843,$CC$7:$CC$1843,CC1508,$AL$7:$AL$1843,"&gt;"&amp;AL1508)+SUMIFS($AI$7:$AI$1843,$CC$7:$CC$1843,CC1508,$AL$7:$AL$1843,AL1508,$BT$7:$BT$1843,"&lt;="&amp;BT1508),"")</f>
        <v>29913.0122177728</v>
      </c>
      <c r="AN1508" s="58" t="n">
        <f aca="false">IF(AM1508="",0,MAX(0,MIN(1,(IF(CC1508="L1",Parameter!$H$5,IF(CC1508="L23",Parameter!$H$6+Parameter!$H$7,Parameter!$H$5+Parameter!$H$6+Parameter!$H$7))-(AM1508-AI1508))/AI1508)))</f>
        <v>1</v>
      </c>
      <c r="AO1508" s="50" t="n">
        <f aca="false">IF(LEFT(Cockpit!$I$5,1)="A",H1508,IF(CE1508=1,CF1508,IF(LEFT(Cockpit!$I$5,1)="B",AT1508,MAX(AT1508,H1508))))</f>
        <v>26</v>
      </c>
      <c r="AP1508" s="50" t="n">
        <f aca="false">IF(BW1508=1,0,ROUNDUP(AO1508/BV1508,0))</f>
        <v>2</v>
      </c>
      <c r="AQ1508" s="52" t="n">
        <f aca="false">IF(CL1508&gt;0,CL1508*MAX(1,AO1508/X1508),IF(BW1508=1,IF(AO1508&lt;=0,0,CA1508*MAX(1,IF(H1508&gt;0,AO1508/H1508,1))),IF(R1508&gt;0,AP1508/R1508,0))/MAX(0.1,N(Parameter!$M$21)))</f>
        <v>0.0192307692307692</v>
      </c>
      <c r="AR1508" s="50" t="n">
        <f aca="false">AQ1508*BY1508</f>
        <v>2.98076923076923</v>
      </c>
      <c r="AS1508" s="50" t="n">
        <f aca="false">AO1508*G1508</f>
        <v>3721.64</v>
      </c>
      <c r="AT1508" s="50" t="n">
        <f aca="false">ROUNDUP(MAX(J1508/IF(CD1508&gt;0,CD1508,MAX(0.1,N(Cockpit!$I$6))),CG1508)/BV1508,0)*BV1508</f>
        <v>26</v>
      </c>
      <c r="AU1508" s="51" t="n">
        <f aca="false">IF(AR1508&gt;0,J1508/AR1508,-1)</f>
        <v>0</v>
      </c>
      <c r="AV1508" s="51" t="n">
        <f aca="false">IF(AND(OR(CC1508="L1",CC1508="L23",CC1508="LIFT"),AR1508&gt;0),SUMIFS($AR$7:$AR$1843,$CC$7:$CC$1843,CC1508,$AU$7:$AU$1843,"&gt;"&amp;AU1508)+SUMIFS($AR$7:$AR$1843,$CC$7:$CC$1843,CC1508,$AU$7:$AU$1843,AU1508,$BT$7:$BT$1843,"&lt;="&amp;BT1508),"")</f>
        <v>42206.8907203907</v>
      </c>
      <c r="AW1508" s="58" t="n">
        <f aca="false">IF(AV1508="",0,MAX(0,MIN(1,(IF(CC1508="L1",Parameter!$H$5,IF(CC1508="L23",Parameter!$H$6+Parameter!$H$7,Parameter!$H$5+Parameter!$H$6+Parameter!$H$7))-(AV1508-AR1508))/AR1508)))</f>
        <v>0</v>
      </c>
      <c r="AX1508" s="50" t="n">
        <f aca="false">IF(LEFT(Cockpit!$O$5,1)="A",H1508,IF(CE1508=1,CF1508,IF(LEFT(Cockpit!$O$5,1)="B",BC1508,MAX(BC1508,H1508))))</f>
        <v>26</v>
      </c>
      <c r="AY1508" s="50" t="n">
        <f aca="false">IF(BW1508=1,0,ROUNDUP(AX1508/BV1508,0))</f>
        <v>2</v>
      </c>
      <c r="AZ1508" s="52" t="n">
        <f aca="false">IF(CL1508&gt;0,CL1508*MAX(1,AX1508/X1508),IF(BW1508=1,IF(AX1508&lt;=0,0,CA1508*MAX(1,IF(H1508&gt;0,AX1508/H1508,1))),IF(R1508&gt;0,AY1508/R1508,0))/MAX(0.1,N(Parameter!$M$21)))</f>
        <v>0.0192307692307692</v>
      </c>
      <c r="BA1508" s="50" t="n">
        <f aca="false">AZ1508*BY1508</f>
        <v>2.98076923076923</v>
      </c>
      <c r="BB1508" s="50" t="n">
        <f aca="false">AX1508*G1508</f>
        <v>3721.64</v>
      </c>
      <c r="BC1508" s="50" t="n">
        <f aca="false">ROUNDUP(MAX(J1508/IF(CD1508&gt;0,CD1508,MAX(0.1,N(Cockpit!$O$6))),CG1508)/BV1508,0)*BV1508</f>
        <v>26</v>
      </c>
      <c r="BD1508" s="51" t="n">
        <f aca="false">IF(BA1508&gt;0,J1508/BA1508,-1)</f>
        <v>0</v>
      </c>
      <c r="BE1508" s="51" t="n">
        <f aca="false">IF(AND(OR(CC1508="L1",CC1508="L23",CC1508="LIFT"),BA1508&gt;0),SUMIFS($BA$7:$BA$1843,$CC$7:$CC$1843,CC1508,$BD$7:$BD$1843,"&gt;"&amp;BD1508)+SUMIFS($BA$7:$BA$1843,$CC$7:$CC$1843,CC1508,$BD$7:$BD$1843,BD1508,$BT$7:$BT$1843,"&lt;="&amp;BT1508),"")</f>
        <v>38881.9027622566</v>
      </c>
      <c r="BF1508" s="58" t="n">
        <f aca="false">IF(BE1508="",0,MAX(0,MIN(1,(IF(CC1508="L1",Parameter!$H$5,IF(CC1508="L23",Parameter!$H$6+Parameter!$H$7,Parameter!$H$5+Parameter!$H$6+Parameter!$H$7))-(BE1508-BA1508))/BA1508)))</f>
        <v>0</v>
      </c>
      <c r="BG1508" s="48" t="str">
        <f aca="false">IF(AI1508&lt;=0,"",IF(CC1508="Aussen","Aussenlager",IF(CC1508="-","Nicht im Lift",IF(AN1508&gt;=1,"Lift",IF(AN1508&lt;=0,"Aussenlager","teilweise")))))</f>
        <v>Lift</v>
      </c>
      <c r="BH1508" s="48" t="str">
        <f aca="false">IF(AR1508&lt;=0,"",IF(CC1508="Aussen","Aussenlager",IF(CC1508="-","Nicht im Lift",IF(AW1508&gt;=1,"Lift",IF(AW1508&lt;=0,"Aussenlager","teilweise")))))</f>
        <v>Aussenlager</v>
      </c>
      <c r="BI1508" s="48" t="str">
        <f aca="false">IF(BA1508&lt;=0,"",IF(CC1508="Aussen","Aussenlager",IF(CC1508="-","Nicht im Lift",IF(BF1508&gt;=1,"Lift",IF(BF1508&lt;=0,"Aussenlager","teilweise")))))</f>
        <v>Aussenlager</v>
      </c>
      <c r="BJ1508" s="48" t="str">
        <f aca="false">IF(A1508="","",IF(BS1508=1,"Neu; ","")&amp;IF(AND(BS1508=0,BN1508&lt;0),"negativer Bestand (Export "&amp;BN1508&amp;"); ","")&amp;IF(J1508&lt;=0,"Kein Verbrauch; ","")&amp;IF(CL1508&gt;0,"Lift "&amp;W1508&amp;" lt. Liftbericht (Fach "&amp;X1508&amp;" Stk); ",IF(BX1508=1,"Gebinde geschätzt ("&amp;T1508&amp;"); ",IF(BW1508=1,"Lose – Tablare geschätzt; ","")))&amp;IF(H1508&gt;AT1508,"Überbestand "&amp;ROUND(H1508-AT1508,0)&amp;" Stk / CHF "&amp;ROUND((H1508-AT1508)*G1508,0)&amp;"; ","")&amp;IF(AND(CE1508=1,CF1508&lt;CG1508),"MAX &lt; MB+LG; ","")&amp;IF(AND(CK1508&gt;0,CJ1508*10&gt;CK1508),"zu hoch für Tablar; ","")&amp;IF(AND(BS1508=0,OR(CE1508=1,AA1508&lt;&gt;"",U1508&lt;&gt;"",V1508&lt;&gt;"",AB1508&lt;&gt;"")),"manuell übersteuert; ","")&amp;IF(AND(BW1508=0,R1508=0),"Gebinde unbekannt / Stellmass fehlt; ","")&amp;IF(AND(BW1508=0,N(V1508)&lt;=0,N(Q1508)&lt;=0),"Menge pro Gebinde fehlt (Ist = 1 Gebinde); ","")&amp;BR1508)</f>
        <v>Kein Verbrauch; nur im Artikelstamm (Bestand 23.06.2026); Twin</v>
      </c>
      <c r="BK1508" s="48"/>
      <c r="BL1508" s="48"/>
      <c r="BM1508" s="55"/>
      <c r="BN1508" s="50" t="n">
        <v>13</v>
      </c>
      <c r="BO1508" s="50" t="n">
        <v>0</v>
      </c>
      <c r="BP1508" s="49" t="n">
        <v>0</v>
      </c>
      <c r="BQ1508" s="50" t="n">
        <v>0</v>
      </c>
      <c r="BR1508" s="48" t="s">
        <v>2642</v>
      </c>
      <c r="BS1508" s="53" t="n">
        <v>0</v>
      </c>
      <c r="BT1508" s="53" t="n">
        <v>1508</v>
      </c>
      <c r="BU1508" s="48" t="str">
        <f aca="false">IF(U1508&lt;&gt;"",UPPER(TRIM(U1508)),IF(BX1508=1,UPPER(VLOOKUP(T1508,Parameter!$I$27:$K$29,2,0)),IF(P1508="","LOSE",P1508)))</f>
        <v>S32</v>
      </c>
      <c r="BV1508" s="50" t="n">
        <f aca="false">IF(BU1508="LOSE",1,IF(N(V1508)&gt;0,V1508,IF(BX1508=1,MAX(1,N(VLOOKUP(T1508,Parameter!$I$27:$K$29,3,0)),H1508,N(N1508)),IF(N(Q1508)&gt;0,Q1508,MAX(1,H1508)))))</f>
        <v>13</v>
      </c>
      <c r="BW1508" s="53" t="n">
        <f aca="false">IF(BU1508="LOSE",1,0)</f>
        <v>0</v>
      </c>
      <c r="BX1508" s="53" t="n">
        <f aca="false">IF(AND(U1508="",OR(P1508="",P1508="LOSE"),T1508&lt;&gt;"",N(S1508)&lt;=0,ISNUMBER(MATCH(T1508,Parameter!$I$27:$I$29,0))),1,0)</f>
        <v>0</v>
      </c>
      <c r="BY1508" s="53" t="n">
        <f aca="false">IF(CL1508&gt;0,INDEX(Parameter!$H$5:$H$7,W1508)/INDEX(Parameter!$E$5:$E$7,W1508),IF(AND(BW1508=0,N(IFERROR(VLOOKUP(BU1508,'Gebinde-Kategorie'!$A$5:$N$45,14,0),0))&gt;0),VLOOKUP(BU1508,'Gebinde-Kategorie'!$A$5:$N$45,14,0)*10+Parameter!$M$23,Parameter!$M$24))</f>
        <v>155</v>
      </c>
      <c r="BZ1508" s="48" t="str">
        <f aca="false">IF(AND(Parameter!$B$19="Ja",E1508&lt;&gt;"",ISNUMBER(MATCH(E1508,Parameter!$I$35:$I$52,0))),VLOOKUP(E1508,Parameter!$I$35:$J$52,2,0),IFERROR(VLOOKUP(D1508,Parameter!$A$35:$C$64,2,0),"Nein"))</f>
        <v>2+3</v>
      </c>
      <c r="CA1508" s="52" t="n">
        <f aca="false">IF(BW1508=0,0,IF(N(S1508)&gt;0,S1508,IFERROR(VLOOKUP(D1508,Parameter!$A$35:$C$64,3,0)+0,0)))</f>
        <v>0</v>
      </c>
      <c r="CB1508" s="48" t="n">
        <f aca="false">IF(AA1508&lt;&gt;"",AA1508,Z1508)</f>
        <v>3</v>
      </c>
      <c r="CC1508" s="48" t="str">
        <f aca="false">IF(OR(CB1508=1,CB1508=2,CB1508=3),IF(Parameter!$E$27="Ja","LIFT",IF(CB1508=1,"L1","L23")),IF(CB1508="Aussen","Aussen","-"))</f>
        <v>LIFT</v>
      </c>
      <c r="CD1508" s="59" t="n">
        <f aca="false">IF(N(AB1508)&gt;0,AB1508,0)</f>
        <v>0</v>
      </c>
      <c r="CE1508" s="53" t="n">
        <f aca="false">IF(ISNUMBER(AE1508),1,0)</f>
        <v>0</v>
      </c>
      <c r="CF1508" s="50" t="n">
        <f aca="false">N(AE1508)</f>
        <v>0</v>
      </c>
      <c r="CG1508" s="50" t="n">
        <f aca="false">N(M1508)+N(N1508)</f>
        <v>20</v>
      </c>
      <c r="CH1508" s="50" t="n">
        <f aca="false">ROUNDUP(H1508/BV1508,0)</f>
        <v>1</v>
      </c>
      <c r="CI1508" s="50" t="n">
        <f aca="false">ROUNDUP(CF1508/BV1508,0)</f>
        <v>0</v>
      </c>
      <c r="CJ1508" s="53" t="n">
        <f aca="false">IF(BW1508=1,0,IFERROR(VLOOKUP(BU1508,'Gebinde-Kategorie'!$A$5:$N$45,5,0)+0,0))</f>
        <v>8</v>
      </c>
      <c r="CK1508" s="53" t="n">
        <f aca="false">IFERROR(IF(OR(CB1508=1,CB1508=2,CB1508=3),N(INDEX(Parameter!$I$5:$I$7,CB1508)),0),0)</f>
        <v>0</v>
      </c>
      <c r="CL1508" s="52" t="n">
        <f aca="false">IF(AND(Parameter!$B$21="Ja",ISNUMBER(W1508),N(X1508)&gt;0),IFERROR(N(INDEX(Parameter!$L$5:$L$7,W1508))*INDEX(Parameter!$E$5:$E$7,W1508)*X1508/SUMIFS($X$7:$X$1843,$W$7:$W$1843,W1508),0),0)</f>
        <v>0</v>
      </c>
    </row>
    <row r="1509" customFormat="false" ht="15" hidden="false" customHeight="false" outlineLevel="0" collapsed="false">
      <c r="A1509" s="48" t="s">
        <v>2643</v>
      </c>
      <c r="B1509" s="48" t="s">
        <v>2644</v>
      </c>
      <c r="C1509" s="48" t="s">
        <v>168</v>
      </c>
      <c r="D1509" s="48" t="s">
        <v>188</v>
      </c>
      <c r="E1509" s="48" t="s">
        <v>189</v>
      </c>
      <c r="F1509" s="48"/>
      <c r="G1509" s="49" t="n">
        <v>91</v>
      </c>
      <c r="H1509" s="50" t="n">
        <f aca="false">MAX(0,IF(AND(Parameter!$B$21="Ja",ISNUMBER(Y1509)),Y1509,IF(Parameter!$B$20="Jahresanfang 2025 + Export",BO1509+BN1509,BN1509)))</f>
        <v>15</v>
      </c>
      <c r="I1509" s="50" t="n">
        <f aca="false">H1509*G1509</f>
        <v>1365</v>
      </c>
      <c r="J1509" s="50" t="n">
        <f aca="false">BQ1509*Parameter!$B$18</f>
        <v>0</v>
      </c>
      <c r="K1509" s="51"/>
      <c r="L1509" s="52"/>
      <c r="M1509" s="50" t="n">
        <v>0</v>
      </c>
      <c r="N1509" s="50" t="n">
        <v>10</v>
      </c>
      <c r="O1509" s="53" t="n">
        <v>28</v>
      </c>
      <c r="P1509" s="48" t="s">
        <v>306</v>
      </c>
      <c r="Q1509" s="50" t="n">
        <v>15</v>
      </c>
      <c r="R1509" s="53" t="n">
        <f aca="false">IF(BW1509=1,0,IFERROR(VLOOKUP(BU1509,'Gebinde-Kategorie'!$A$5:$N$45,13,0)+0,0))</f>
        <v>26</v>
      </c>
      <c r="S1509" s="54"/>
      <c r="T1509" s="55"/>
      <c r="U1509" s="55"/>
      <c r="V1509" s="55"/>
      <c r="W1509" s="48"/>
      <c r="X1509" s="50"/>
      <c r="Y1509" s="50"/>
      <c r="Z1509" s="48" t="n">
        <f aca="false">IF(A1509="","",IF(AND(Parameter!$B$21="Ja",ISNUMBER(W1509)),W1509,IF(BZ1509="2+3",IF(ISNUMBER(SEARCH("grosser Artikel",BR1509)),2,IFERROR(VLOOKUP(BU1509,Parameter!$F$35:$G$64,2,0),2)),IF(OR(BZ1509="Nein",BZ1509=""),"-",BZ1509))))</f>
        <v>3</v>
      </c>
      <c r="AA1509" s="55"/>
      <c r="AB1509" s="56"/>
      <c r="AC1509" s="50" t="n">
        <f aca="false">AT1509</f>
        <v>15</v>
      </c>
      <c r="AD1509" s="50" t="n">
        <f aca="false">MAX(AT1509,H1509)</f>
        <v>15</v>
      </c>
      <c r="AE1509" s="57"/>
      <c r="AF1509" s="50" t="n">
        <f aca="false">IF(LEFT(Cockpit!$C$5,1)="A",H1509,IF(CE1509=1,CF1509,IF(LEFT(Cockpit!$C$5,1)="B",AK1509,MAX(AK1509,H1509))))</f>
        <v>15</v>
      </c>
      <c r="AG1509" s="50" t="n">
        <f aca="false">IF(BW1509=1,0,ROUNDUP(AF1509/BV1509,0))</f>
        <v>1</v>
      </c>
      <c r="AH1509" s="52" t="n">
        <f aca="false">IF(CL1509&gt;0,CL1509*MAX(1,AF1509/X1509),IF(BW1509=1,IF(AF1509&lt;=0,0,CA1509*MAX(1,IF(H1509&gt;0,AF1509/H1509,1))),IF(R1509&gt;0,AG1509/R1509,0))/MAX(0.1,N(Parameter!$M$21)))</f>
        <v>0.0384615384615385</v>
      </c>
      <c r="AI1509" s="50" t="n">
        <f aca="false">AH1509*BY1509</f>
        <v>5.96153846153846</v>
      </c>
      <c r="AJ1509" s="50" t="n">
        <f aca="false">AF1509*G1509</f>
        <v>1365</v>
      </c>
      <c r="AK1509" s="50" t="n">
        <f aca="false">ROUNDUP(MAX(J1509/IF(CD1509&gt;0,CD1509,MAX(0.1,N(Cockpit!$C$6))),CG1509)/BV1509,0)*BV1509</f>
        <v>15</v>
      </c>
      <c r="AL1509" s="51" t="n">
        <f aca="false">IF(AI1509&gt;0,J1509/AI1509,-1)</f>
        <v>0</v>
      </c>
      <c r="AM1509" s="51" t="n">
        <f aca="false">IF(AND(OR(CC1509="L1",CC1509="L23",CC1509="LIFT"),AI1509&gt;0),SUMIFS($AI$7:$AI$1843,$CC$7:$CC$1843,CC1509,$AL$7:$AL$1843,"&gt;"&amp;AL1509)+SUMIFS($AI$7:$AI$1843,$CC$7:$CC$1843,CC1509,$AL$7:$AL$1843,AL1509,$BT$7:$BT$1843,"&lt;="&amp;BT1509),"")</f>
        <v>29918.9737562343</v>
      </c>
      <c r="AN1509" s="58" t="n">
        <f aca="false">IF(AM1509="",0,MAX(0,MIN(1,(IF(CC1509="L1",Parameter!$H$5,IF(CC1509="L23",Parameter!$H$6+Parameter!$H$7,Parameter!$H$5+Parameter!$H$6+Parameter!$H$7))-(AM1509-AI1509))/AI1509)))</f>
        <v>1</v>
      </c>
      <c r="AO1509" s="50" t="n">
        <f aca="false">IF(LEFT(Cockpit!$I$5,1)="A",H1509,IF(CE1509=1,CF1509,IF(LEFT(Cockpit!$I$5,1)="B",AT1509,MAX(AT1509,H1509))))</f>
        <v>15</v>
      </c>
      <c r="AP1509" s="50" t="n">
        <f aca="false">IF(BW1509=1,0,ROUNDUP(AO1509/BV1509,0))</f>
        <v>1</v>
      </c>
      <c r="AQ1509" s="52" t="n">
        <f aca="false">IF(CL1509&gt;0,CL1509*MAX(1,AO1509/X1509),IF(BW1509=1,IF(AO1509&lt;=0,0,CA1509*MAX(1,IF(H1509&gt;0,AO1509/H1509,1))),IF(R1509&gt;0,AP1509/R1509,0))/MAX(0.1,N(Parameter!$M$21)))</f>
        <v>0.0384615384615385</v>
      </c>
      <c r="AR1509" s="50" t="n">
        <f aca="false">AQ1509*BY1509</f>
        <v>5.96153846153846</v>
      </c>
      <c r="AS1509" s="50" t="n">
        <f aca="false">AO1509*G1509</f>
        <v>1365</v>
      </c>
      <c r="AT1509" s="50" t="n">
        <f aca="false">ROUNDUP(MAX(J1509/IF(CD1509&gt;0,CD1509,MAX(0.1,N(Cockpit!$I$6))),CG1509)/BV1509,0)*BV1509</f>
        <v>15</v>
      </c>
      <c r="AU1509" s="51" t="n">
        <f aca="false">IF(AR1509&gt;0,J1509/AR1509,-1)</f>
        <v>0</v>
      </c>
      <c r="AV1509" s="51" t="n">
        <f aca="false">IF(AND(OR(CC1509="L1",CC1509="L23",CC1509="LIFT"),AR1509&gt;0),SUMIFS($AR$7:$AR$1843,$CC$7:$CC$1843,CC1509,$AU$7:$AU$1843,"&gt;"&amp;AU1509)+SUMIFS($AR$7:$AR$1843,$CC$7:$CC$1843,CC1509,$AU$7:$AU$1843,AU1509,$BT$7:$BT$1843,"&lt;="&amp;BT1509),"")</f>
        <v>42212.8522588523</v>
      </c>
      <c r="AW1509" s="58" t="n">
        <f aca="false">IF(AV1509="",0,MAX(0,MIN(1,(IF(CC1509="L1",Parameter!$H$5,IF(CC1509="L23",Parameter!$H$6+Parameter!$H$7,Parameter!$H$5+Parameter!$H$6+Parameter!$H$7))-(AV1509-AR1509))/AR1509)))</f>
        <v>0</v>
      </c>
      <c r="AX1509" s="50" t="n">
        <f aca="false">IF(LEFT(Cockpit!$O$5,1)="A",H1509,IF(CE1509=1,CF1509,IF(LEFT(Cockpit!$O$5,1)="B",BC1509,MAX(BC1509,H1509))))</f>
        <v>15</v>
      </c>
      <c r="AY1509" s="50" t="n">
        <f aca="false">IF(BW1509=1,0,ROUNDUP(AX1509/BV1509,0))</f>
        <v>1</v>
      </c>
      <c r="AZ1509" s="52" t="n">
        <f aca="false">IF(CL1509&gt;0,CL1509*MAX(1,AX1509/X1509),IF(BW1509=1,IF(AX1509&lt;=0,0,CA1509*MAX(1,IF(H1509&gt;0,AX1509/H1509,1))),IF(R1509&gt;0,AY1509/R1509,0))/MAX(0.1,N(Parameter!$M$21)))</f>
        <v>0.0384615384615385</v>
      </c>
      <c r="BA1509" s="50" t="n">
        <f aca="false">AZ1509*BY1509</f>
        <v>5.96153846153846</v>
      </c>
      <c r="BB1509" s="50" t="n">
        <f aca="false">AX1509*G1509</f>
        <v>1365</v>
      </c>
      <c r="BC1509" s="50" t="n">
        <f aca="false">ROUNDUP(MAX(J1509/IF(CD1509&gt;0,CD1509,MAX(0.1,N(Cockpit!$O$6))),CG1509)/BV1509,0)*BV1509</f>
        <v>15</v>
      </c>
      <c r="BD1509" s="51" t="n">
        <f aca="false">IF(BA1509&gt;0,J1509/BA1509,-1)</f>
        <v>0</v>
      </c>
      <c r="BE1509" s="51" t="n">
        <f aca="false">IF(AND(OR(CC1509="L1",CC1509="L23",CC1509="LIFT"),BA1509&gt;0),SUMIFS($BA$7:$BA$1843,$CC$7:$CC$1843,CC1509,$BD$7:$BD$1843,"&gt;"&amp;BD1509)+SUMIFS($BA$7:$BA$1843,$CC$7:$CC$1843,CC1509,$BD$7:$BD$1843,BD1509,$BT$7:$BT$1843,"&lt;="&amp;BT1509),"")</f>
        <v>38887.8643007181</v>
      </c>
      <c r="BF1509" s="58" t="n">
        <f aca="false">IF(BE1509="",0,MAX(0,MIN(1,(IF(CC1509="L1",Parameter!$H$5,IF(CC1509="L23",Parameter!$H$6+Parameter!$H$7,Parameter!$H$5+Parameter!$H$6+Parameter!$H$7))-(BE1509-BA1509))/BA1509)))</f>
        <v>0</v>
      </c>
      <c r="BG1509" s="48" t="str">
        <f aca="false">IF(AI1509&lt;=0,"",IF(CC1509="Aussen","Aussenlager",IF(CC1509="-","Nicht im Lift",IF(AN1509&gt;=1,"Lift",IF(AN1509&lt;=0,"Aussenlager","teilweise")))))</f>
        <v>Lift</v>
      </c>
      <c r="BH1509" s="48" t="str">
        <f aca="false">IF(AR1509&lt;=0,"",IF(CC1509="Aussen","Aussenlager",IF(CC1509="-","Nicht im Lift",IF(AW1509&gt;=1,"Lift",IF(AW1509&lt;=0,"Aussenlager","teilweise")))))</f>
        <v>Aussenlager</v>
      </c>
      <c r="BI1509" s="48" t="str">
        <f aca="false">IF(BA1509&lt;=0,"",IF(CC1509="Aussen","Aussenlager",IF(CC1509="-","Nicht im Lift",IF(BF1509&gt;=1,"Lift",IF(BF1509&lt;=0,"Aussenlager","teilweise")))))</f>
        <v>Aussenlager</v>
      </c>
      <c r="BJ1509" s="48" t="str">
        <f aca="false">IF(A1509="","",IF(BS1509=1,"Neu; ","")&amp;IF(AND(BS1509=0,BN1509&lt;0),"negativer Bestand (Export "&amp;BN1509&amp;"); ","")&amp;IF(J1509&lt;=0,"Kein Verbrauch; ","")&amp;IF(CL1509&gt;0,"Lift "&amp;W1509&amp;" lt. Liftbericht (Fach "&amp;X1509&amp;" Stk); ",IF(BX1509=1,"Gebinde geschätzt ("&amp;T1509&amp;"); ",IF(BW1509=1,"Lose – Tablare geschätzt; ","")))&amp;IF(H1509&gt;AT1509,"Überbestand "&amp;ROUND(H1509-AT1509,0)&amp;" Stk / CHF "&amp;ROUND((H1509-AT1509)*G1509,0)&amp;"; ","")&amp;IF(AND(CE1509=1,CF1509&lt;CG1509),"MAX &lt; MB+LG; ","")&amp;IF(AND(CK1509&gt;0,CJ1509*10&gt;CK1509),"zu hoch für Tablar; ","")&amp;IF(AND(BS1509=0,OR(CE1509=1,AA1509&lt;&gt;"",U1509&lt;&gt;"",V1509&lt;&gt;"",AB1509&lt;&gt;"")),"manuell übersteuert; ","")&amp;IF(AND(BW1509=0,R1509=0),"Gebinde unbekannt / Stellmass fehlt; ","")&amp;IF(AND(BW1509=0,N(V1509)&lt;=0,N(Q1509)&lt;=0),"Menge pro Gebinde fehlt (Ist = 1 Gebinde); ","")&amp;BR1509)</f>
        <v>Kein Verbrauch; nur im Artikelstamm (Bestand 23.06.2026); Überbestand</v>
      </c>
      <c r="BK1509" s="48"/>
      <c r="BL1509" s="48"/>
      <c r="BM1509" s="55"/>
      <c r="BN1509" s="50" t="n">
        <v>15</v>
      </c>
      <c r="BO1509" s="50" t="n">
        <v>0</v>
      </c>
      <c r="BP1509" s="49" t="n">
        <v>0</v>
      </c>
      <c r="BQ1509" s="50" t="n">
        <v>0</v>
      </c>
      <c r="BR1509" s="48" t="s">
        <v>2576</v>
      </c>
      <c r="BS1509" s="53" t="n">
        <v>0</v>
      </c>
      <c r="BT1509" s="53" t="n">
        <v>1509</v>
      </c>
      <c r="BU1509" s="48" t="str">
        <f aca="false">IF(U1509&lt;&gt;"",UPPER(TRIM(U1509)),IF(BX1509=1,UPPER(VLOOKUP(T1509,Parameter!$I$27:$K$29,2,0)),IF(P1509="","LOSE",P1509)))</f>
        <v>S51</v>
      </c>
      <c r="BV1509" s="50" t="n">
        <f aca="false">IF(BU1509="LOSE",1,IF(N(V1509)&gt;0,V1509,IF(BX1509=1,MAX(1,N(VLOOKUP(T1509,Parameter!$I$27:$K$29,3,0)),H1509,N(N1509)),IF(N(Q1509)&gt;0,Q1509,MAX(1,H1509)))))</f>
        <v>15</v>
      </c>
      <c r="BW1509" s="53" t="n">
        <f aca="false">IF(BU1509="LOSE",1,0)</f>
        <v>0</v>
      </c>
      <c r="BX1509" s="53" t="n">
        <f aca="false">IF(AND(U1509="",OR(P1509="",P1509="LOSE"),T1509&lt;&gt;"",N(S1509)&lt;=0,ISNUMBER(MATCH(T1509,Parameter!$I$27:$I$29,0))),1,0)</f>
        <v>0</v>
      </c>
      <c r="BY1509" s="53" t="n">
        <f aca="false">IF(CL1509&gt;0,INDEX(Parameter!$H$5:$H$7,W1509)/INDEX(Parameter!$E$5:$E$7,W1509),IF(AND(BW1509=0,N(IFERROR(VLOOKUP(BU1509,'Gebinde-Kategorie'!$A$5:$N$45,14,0),0))&gt;0),VLOOKUP(BU1509,'Gebinde-Kategorie'!$A$5:$N$45,14,0)*10+Parameter!$M$23,Parameter!$M$24))</f>
        <v>155</v>
      </c>
      <c r="BZ1509" s="48" t="str">
        <f aca="false">IF(AND(Parameter!$B$19="Ja",E1509&lt;&gt;"",ISNUMBER(MATCH(E1509,Parameter!$I$35:$I$52,0))),VLOOKUP(E1509,Parameter!$I$35:$J$52,2,0),IFERROR(VLOOKUP(D1509,Parameter!$A$35:$C$64,2,0),"Nein"))</f>
        <v>2+3</v>
      </c>
      <c r="CA1509" s="52" t="n">
        <f aca="false">IF(BW1509=0,0,IF(N(S1509)&gt;0,S1509,IFERROR(VLOOKUP(D1509,Parameter!$A$35:$C$64,3,0)+0,0)))</f>
        <v>0</v>
      </c>
      <c r="CB1509" s="48" t="n">
        <f aca="false">IF(AA1509&lt;&gt;"",AA1509,Z1509)</f>
        <v>3</v>
      </c>
      <c r="CC1509" s="48" t="str">
        <f aca="false">IF(OR(CB1509=1,CB1509=2,CB1509=3),IF(Parameter!$E$27="Ja","LIFT",IF(CB1509=1,"L1","L23")),IF(CB1509="Aussen","Aussen","-"))</f>
        <v>LIFT</v>
      </c>
      <c r="CD1509" s="59" t="n">
        <f aca="false">IF(N(AB1509)&gt;0,AB1509,0)</f>
        <v>0</v>
      </c>
      <c r="CE1509" s="53" t="n">
        <f aca="false">IF(ISNUMBER(AE1509),1,0)</f>
        <v>0</v>
      </c>
      <c r="CF1509" s="50" t="n">
        <f aca="false">N(AE1509)</f>
        <v>0</v>
      </c>
      <c r="CG1509" s="50" t="n">
        <f aca="false">N(M1509)+N(N1509)</f>
        <v>10</v>
      </c>
      <c r="CH1509" s="50" t="n">
        <f aca="false">ROUNDUP(H1509/BV1509,0)</f>
        <v>1</v>
      </c>
      <c r="CI1509" s="50" t="n">
        <f aca="false">ROUNDUP(CF1509/BV1509,0)</f>
        <v>0</v>
      </c>
      <c r="CJ1509" s="53" t="n">
        <f aca="false">IF(BW1509=1,0,IFERROR(VLOOKUP(BU1509,'Gebinde-Kategorie'!$A$5:$N$45,5,0)+0,0))</f>
        <v>11</v>
      </c>
      <c r="CK1509" s="53" t="n">
        <f aca="false">IFERROR(IF(OR(CB1509=1,CB1509=2,CB1509=3),N(INDEX(Parameter!$I$5:$I$7,CB1509)),0),0)</f>
        <v>0</v>
      </c>
      <c r="CL1509" s="52" t="n">
        <f aca="false">IF(AND(Parameter!$B$21="Ja",ISNUMBER(W1509),N(X1509)&gt;0),IFERROR(N(INDEX(Parameter!$L$5:$L$7,W1509))*INDEX(Parameter!$E$5:$E$7,W1509)*X1509/SUMIFS($X$7:$X$1843,$W$7:$W$1843,W1509),0),0)</f>
        <v>0</v>
      </c>
    </row>
    <row r="1510" customFormat="false" ht="15" hidden="false" customHeight="false" outlineLevel="0" collapsed="false">
      <c r="A1510" s="48" t="s">
        <v>2645</v>
      </c>
      <c r="B1510" s="48" t="s">
        <v>951</v>
      </c>
      <c r="C1510" s="48" t="s">
        <v>168</v>
      </c>
      <c r="D1510" s="48" t="s">
        <v>188</v>
      </c>
      <c r="E1510" s="48" t="s">
        <v>189</v>
      </c>
      <c r="F1510" s="48"/>
      <c r="G1510" s="49" t="n">
        <v>21.15</v>
      </c>
      <c r="H1510" s="50" t="n">
        <f aca="false">MAX(0,IF(AND(Parameter!$B$21="Ja",ISNUMBER(Y1510)),Y1510,IF(Parameter!$B$20="Jahresanfang 2025 + Export",BO1510+BN1510,BN1510)))</f>
        <v>99</v>
      </c>
      <c r="I1510" s="50" t="n">
        <f aca="false">H1510*G1510</f>
        <v>2093.85</v>
      </c>
      <c r="J1510" s="50" t="n">
        <f aca="false">BQ1510*Parameter!$B$18</f>
        <v>0</v>
      </c>
      <c r="K1510" s="51"/>
      <c r="L1510" s="52"/>
      <c r="M1510" s="50" t="n">
        <v>0</v>
      </c>
      <c r="N1510" s="50" t="n">
        <v>40</v>
      </c>
      <c r="O1510" s="53" t="n">
        <v>28</v>
      </c>
      <c r="P1510" s="48" t="s">
        <v>425</v>
      </c>
      <c r="Q1510" s="50" t="n">
        <v>99</v>
      </c>
      <c r="R1510" s="53" t="n">
        <f aca="false">IF(BW1510=1,0,IFERROR(VLOOKUP(BU1510,'Gebinde-Kategorie'!$A$5:$N$45,13,0)+0,0))</f>
        <v>104</v>
      </c>
      <c r="S1510" s="54"/>
      <c r="T1510" s="55"/>
      <c r="U1510" s="55"/>
      <c r="V1510" s="55"/>
      <c r="W1510" s="48"/>
      <c r="X1510" s="50"/>
      <c r="Y1510" s="50"/>
      <c r="Z1510" s="48" t="n">
        <f aca="false">IF(A1510="","",IF(AND(Parameter!$B$21="Ja",ISNUMBER(W1510)),W1510,IF(BZ1510="2+3",IF(ISNUMBER(SEARCH("grosser Artikel",BR1510)),2,IFERROR(VLOOKUP(BU1510,Parameter!$F$35:$G$64,2,0),2)),IF(OR(BZ1510="Nein",BZ1510=""),"-",BZ1510))))</f>
        <v>3</v>
      </c>
      <c r="AA1510" s="55"/>
      <c r="AB1510" s="56"/>
      <c r="AC1510" s="50" t="n">
        <f aca="false">AT1510</f>
        <v>99</v>
      </c>
      <c r="AD1510" s="50" t="n">
        <f aca="false">MAX(AT1510,H1510)</f>
        <v>99</v>
      </c>
      <c r="AE1510" s="57"/>
      <c r="AF1510" s="50" t="n">
        <f aca="false">IF(LEFT(Cockpit!$C$5,1)="A",H1510,IF(CE1510=1,CF1510,IF(LEFT(Cockpit!$C$5,1)="B",AK1510,MAX(AK1510,H1510))))</f>
        <v>99</v>
      </c>
      <c r="AG1510" s="50" t="n">
        <f aca="false">IF(BW1510=1,0,ROUNDUP(AF1510/BV1510,0))</f>
        <v>1</v>
      </c>
      <c r="AH1510" s="52" t="n">
        <f aca="false">IF(CL1510&gt;0,CL1510*MAX(1,AF1510/X1510),IF(BW1510=1,IF(AF1510&lt;=0,0,CA1510*MAX(1,IF(H1510&gt;0,AF1510/H1510,1))),IF(R1510&gt;0,AG1510/R1510,0))/MAX(0.1,N(Parameter!$M$21)))</f>
        <v>0.00961538461538462</v>
      </c>
      <c r="AI1510" s="50" t="n">
        <f aca="false">AH1510*BY1510</f>
        <v>1.49038461538462</v>
      </c>
      <c r="AJ1510" s="50" t="n">
        <f aca="false">AF1510*G1510</f>
        <v>2093.85</v>
      </c>
      <c r="AK1510" s="50" t="n">
        <f aca="false">ROUNDUP(MAX(J1510/IF(CD1510&gt;0,CD1510,MAX(0.1,N(Cockpit!$C$6))),CG1510)/BV1510,0)*BV1510</f>
        <v>99</v>
      </c>
      <c r="AL1510" s="51" t="n">
        <f aca="false">IF(AI1510&gt;0,J1510/AI1510,-1)</f>
        <v>0</v>
      </c>
      <c r="AM1510" s="51" t="n">
        <f aca="false">IF(AND(OR(CC1510="L1",CC1510="L23",CC1510="LIFT"),AI1510&gt;0),SUMIFS($AI$7:$AI$1843,$CC$7:$CC$1843,CC1510,$AL$7:$AL$1843,"&gt;"&amp;AL1510)+SUMIFS($AI$7:$AI$1843,$CC$7:$CC$1843,CC1510,$AL$7:$AL$1843,AL1510,$BT$7:$BT$1843,"&lt;="&amp;BT1510),"")</f>
        <v>29920.4641408497</v>
      </c>
      <c r="AN1510" s="58" t="n">
        <f aca="false">IF(AM1510="",0,MAX(0,MIN(1,(IF(CC1510="L1",Parameter!$H$5,IF(CC1510="L23",Parameter!$H$6+Parameter!$H$7,Parameter!$H$5+Parameter!$H$6+Parameter!$H$7))-(AM1510-AI1510))/AI1510)))</f>
        <v>1</v>
      </c>
      <c r="AO1510" s="50" t="n">
        <f aca="false">IF(LEFT(Cockpit!$I$5,1)="A",H1510,IF(CE1510=1,CF1510,IF(LEFT(Cockpit!$I$5,1)="B",AT1510,MAX(AT1510,H1510))))</f>
        <v>99</v>
      </c>
      <c r="AP1510" s="50" t="n">
        <f aca="false">IF(BW1510=1,0,ROUNDUP(AO1510/BV1510,0))</f>
        <v>1</v>
      </c>
      <c r="AQ1510" s="52" t="n">
        <f aca="false">IF(CL1510&gt;0,CL1510*MAX(1,AO1510/X1510),IF(BW1510=1,IF(AO1510&lt;=0,0,CA1510*MAX(1,IF(H1510&gt;0,AO1510/H1510,1))),IF(R1510&gt;0,AP1510/R1510,0))/MAX(0.1,N(Parameter!$M$21)))</f>
        <v>0.00961538461538462</v>
      </c>
      <c r="AR1510" s="50" t="n">
        <f aca="false">AQ1510*BY1510</f>
        <v>1.49038461538462</v>
      </c>
      <c r="AS1510" s="50" t="n">
        <f aca="false">AO1510*G1510</f>
        <v>2093.85</v>
      </c>
      <c r="AT1510" s="50" t="n">
        <f aca="false">ROUNDUP(MAX(J1510/IF(CD1510&gt;0,CD1510,MAX(0.1,N(Cockpit!$I$6))),CG1510)/BV1510,0)*BV1510</f>
        <v>99</v>
      </c>
      <c r="AU1510" s="51" t="n">
        <f aca="false">IF(AR1510&gt;0,J1510/AR1510,-1)</f>
        <v>0</v>
      </c>
      <c r="AV1510" s="51" t="n">
        <f aca="false">IF(AND(OR(CC1510="L1",CC1510="L23",CC1510="LIFT"),AR1510&gt;0),SUMIFS($AR$7:$AR$1843,$CC$7:$CC$1843,CC1510,$AU$7:$AU$1843,"&gt;"&amp;AU1510)+SUMIFS($AR$7:$AR$1843,$CC$7:$CC$1843,CC1510,$AU$7:$AU$1843,AU1510,$BT$7:$BT$1843,"&lt;="&amp;BT1510),"")</f>
        <v>42214.3426434676</v>
      </c>
      <c r="AW1510" s="58" t="n">
        <f aca="false">IF(AV1510="",0,MAX(0,MIN(1,(IF(CC1510="L1",Parameter!$H$5,IF(CC1510="L23",Parameter!$H$6+Parameter!$H$7,Parameter!$H$5+Parameter!$H$6+Parameter!$H$7))-(AV1510-AR1510))/AR1510)))</f>
        <v>0</v>
      </c>
      <c r="AX1510" s="50" t="n">
        <f aca="false">IF(LEFT(Cockpit!$O$5,1)="A",H1510,IF(CE1510=1,CF1510,IF(LEFT(Cockpit!$O$5,1)="B",BC1510,MAX(BC1510,H1510))))</f>
        <v>99</v>
      </c>
      <c r="AY1510" s="50" t="n">
        <f aca="false">IF(BW1510=1,0,ROUNDUP(AX1510/BV1510,0))</f>
        <v>1</v>
      </c>
      <c r="AZ1510" s="52" t="n">
        <f aca="false">IF(CL1510&gt;0,CL1510*MAX(1,AX1510/X1510),IF(BW1510=1,IF(AX1510&lt;=0,0,CA1510*MAX(1,IF(H1510&gt;0,AX1510/H1510,1))),IF(R1510&gt;0,AY1510/R1510,0))/MAX(0.1,N(Parameter!$M$21)))</f>
        <v>0.00961538461538462</v>
      </c>
      <c r="BA1510" s="50" t="n">
        <f aca="false">AZ1510*BY1510</f>
        <v>1.49038461538462</v>
      </c>
      <c r="BB1510" s="50" t="n">
        <f aca="false">AX1510*G1510</f>
        <v>2093.85</v>
      </c>
      <c r="BC1510" s="50" t="n">
        <f aca="false">ROUNDUP(MAX(J1510/IF(CD1510&gt;0,CD1510,MAX(0.1,N(Cockpit!$O$6))),CG1510)/BV1510,0)*BV1510</f>
        <v>99</v>
      </c>
      <c r="BD1510" s="51" t="n">
        <f aca="false">IF(BA1510&gt;0,J1510/BA1510,-1)</f>
        <v>0</v>
      </c>
      <c r="BE1510" s="51" t="n">
        <f aca="false">IF(AND(OR(CC1510="L1",CC1510="L23",CC1510="LIFT"),BA1510&gt;0),SUMIFS($BA$7:$BA$1843,$CC$7:$CC$1843,CC1510,$BD$7:$BD$1843,"&gt;"&amp;BD1510)+SUMIFS($BA$7:$BA$1843,$CC$7:$CC$1843,CC1510,$BD$7:$BD$1843,BD1510,$BT$7:$BT$1843,"&lt;="&amp;BT1510),"")</f>
        <v>38889.3546853335</v>
      </c>
      <c r="BF1510" s="58" t="n">
        <f aca="false">IF(BE1510="",0,MAX(0,MIN(1,(IF(CC1510="L1",Parameter!$H$5,IF(CC1510="L23",Parameter!$H$6+Parameter!$H$7,Parameter!$H$5+Parameter!$H$6+Parameter!$H$7))-(BE1510-BA1510))/BA1510)))</f>
        <v>0</v>
      </c>
      <c r="BG1510" s="48" t="str">
        <f aca="false">IF(AI1510&lt;=0,"",IF(CC1510="Aussen","Aussenlager",IF(CC1510="-","Nicht im Lift",IF(AN1510&gt;=1,"Lift",IF(AN1510&lt;=0,"Aussenlager","teilweise")))))</f>
        <v>Lift</v>
      </c>
      <c r="BH1510" s="48" t="str">
        <f aca="false">IF(AR1510&lt;=0,"",IF(CC1510="Aussen","Aussenlager",IF(CC1510="-","Nicht im Lift",IF(AW1510&gt;=1,"Lift",IF(AW1510&lt;=0,"Aussenlager","teilweise")))))</f>
        <v>Aussenlager</v>
      </c>
      <c r="BI1510" s="48" t="str">
        <f aca="false">IF(BA1510&lt;=0,"",IF(CC1510="Aussen","Aussenlager",IF(CC1510="-","Nicht im Lift",IF(BF1510&gt;=1,"Lift",IF(BF1510&lt;=0,"Aussenlager","teilweise")))))</f>
        <v>Aussenlager</v>
      </c>
      <c r="BJ1510" s="48" t="str">
        <f aca="false">IF(A1510="","",IF(BS1510=1,"Neu; ","")&amp;IF(AND(BS1510=0,BN1510&lt;0),"negativer Bestand (Export "&amp;BN1510&amp;"); ","")&amp;IF(J1510&lt;=0,"Kein Verbrauch; ","")&amp;IF(CL1510&gt;0,"Lift "&amp;W1510&amp;" lt. Liftbericht (Fach "&amp;X1510&amp;" Stk); ",IF(BX1510=1,"Gebinde geschätzt ("&amp;T1510&amp;"); ",IF(BW1510=1,"Lose – Tablare geschätzt; ","")))&amp;IF(H1510&gt;AT1510,"Überbestand "&amp;ROUND(H1510-AT1510,0)&amp;" Stk / CHF "&amp;ROUND((H1510-AT1510)*G1510,0)&amp;"; ","")&amp;IF(AND(CE1510=1,CF1510&lt;CG1510),"MAX &lt; MB+LG; ","")&amp;IF(AND(CK1510&gt;0,CJ1510*10&gt;CK1510),"zu hoch für Tablar; ","")&amp;IF(AND(BS1510=0,OR(CE1510=1,AA1510&lt;&gt;"",U1510&lt;&gt;"",V1510&lt;&gt;"",AB1510&lt;&gt;"")),"manuell übersteuert; ","")&amp;IF(AND(BW1510=0,R1510=0),"Gebinde unbekannt / Stellmass fehlt; ","")&amp;IF(AND(BW1510=0,N(V1510)&lt;=0,N(Q1510)&lt;=0),"Menge pro Gebinde fehlt (Ist = 1 Gebinde); ","")&amp;BR1510)</f>
        <v>Kein Verbrauch; nur im Artikelstamm (Bestand 23.06.2026); Überbestand</v>
      </c>
      <c r="BK1510" s="48"/>
      <c r="BL1510" s="48"/>
      <c r="BM1510" s="55"/>
      <c r="BN1510" s="50" t="n">
        <v>99</v>
      </c>
      <c r="BO1510" s="50" t="n">
        <v>0</v>
      </c>
      <c r="BP1510" s="49" t="n">
        <v>0</v>
      </c>
      <c r="BQ1510" s="50" t="n">
        <v>0</v>
      </c>
      <c r="BR1510" s="48" t="s">
        <v>2576</v>
      </c>
      <c r="BS1510" s="53" t="n">
        <v>0</v>
      </c>
      <c r="BT1510" s="53" t="n">
        <v>1510</v>
      </c>
      <c r="BU1510" s="48" t="str">
        <f aca="false">IF(U1510&lt;&gt;"",UPPER(TRIM(U1510)),IF(BX1510=1,UPPER(VLOOKUP(T1510,Parameter!$I$27:$K$29,2,0)),IF(P1510="","LOSE",P1510)))</f>
        <v>S32</v>
      </c>
      <c r="BV1510" s="50" t="n">
        <f aca="false">IF(BU1510="LOSE",1,IF(N(V1510)&gt;0,V1510,IF(BX1510=1,MAX(1,N(VLOOKUP(T1510,Parameter!$I$27:$K$29,3,0)),H1510,N(N1510)),IF(N(Q1510)&gt;0,Q1510,MAX(1,H1510)))))</f>
        <v>99</v>
      </c>
      <c r="BW1510" s="53" t="n">
        <f aca="false">IF(BU1510="LOSE",1,0)</f>
        <v>0</v>
      </c>
      <c r="BX1510" s="53" t="n">
        <f aca="false">IF(AND(U1510="",OR(P1510="",P1510="LOSE"),T1510&lt;&gt;"",N(S1510)&lt;=0,ISNUMBER(MATCH(T1510,Parameter!$I$27:$I$29,0))),1,0)</f>
        <v>0</v>
      </c>
      <c r="BY1510" s="53" t="n">
        <f aca="false">IF(CL1510&gt;0,INDEX(Parameter!$H$5:$H$7,W1510)/INDEX(Parameter!$E$5:$E$7,W1510),IF(AND(BW1510=0,N(IFERROR(VLOOKUP(BU1510,'Gebinde-Kategorie'!$A$5:$N$45,14,0),0))&gt;0),VLOOKUP(BU1510,'Gebinde-Kategorie'!$A$5:$N$45,14,0)*10+Parameter!$M$23,Parameter!$M$24))</f>
        <v>155</v>
      </c>
      <c r="BZ1510" s="48" t="str">
        <f aca="false">IF(AND(Parameter!$B$19="Ja",E1510&lt;&gt;"",ISNUMBER(MATCH(E1510,Parameter!$I$35:$I$52,0))),VLOOKUP(E1510,Parameter!$I$35:$J$52,2,0),IFERROR(VLOOKUP(D1510,Parameter!$A$35:$C$64,2,0),"Nein"))</f>
        <v>2+3</v>
      </c>
      <c r="CA1510" s="52" t="n">
        <f aca="false">IF(BW1510=0,0,IF(N(S1510)&gt;0,S1510,IFERROR(VLOOKUP(D1510,Parameter!$A$35:$C$64,3,0)+0,0)))</f>
        <v>0</v>
      </c>
      <c r="CB1510" s="48" t="n">
        <f aca="false">IF(AA1510&lt;&gt;"",AA1510,Z1510)</f>
        <v>3</v>
      </c>
      <c r="CC1510" s="48" t="str">
        <f aca="false">IF(OR(CB1510=1,CB1510=2,CB1510=3),IF(Parameter!$E$27="Ja","LIFT",IF(CB1510=1,"L1","L23")),IF(CB1510="Aussen","Aussen","-"))</f>
        <v>LIFT</v>
      </c>
      <c r="CD1510" s="59" t="n">
        <f aca="false">IF(N(AB1510)&gt;0,AB1510,0)</f>
        <v>0</v>
      </c>
      <c r="CE1510" s="53" t="n">
        <f aca="false">IF(ISNUMBER(AE1510),1,0)</f>
        <v>0</v>
      </c>
      <c r="CF1510" s="50" t="n">
        <f aca="false">N(AE1510)</f>
        <v>0</v>
      </c>
      <c r="CG1510" s="50" t="n">
        <f aca="false">N(M1510)+N(N1510)</f>
        <v>40</v>
      </c>
      <c r="CH1510" s="50" t="n">
        <f aca="false">ROUNDUP(H1510/BV1510,0)</f>
        <v>1</v>
      </c>
      <c r="CI1510" s="50" t="n">
        <f aca="false">ROUNDUP(CF1510/BV1510,0)</f>
        <v>0</v>
      </c>
      <c r="CJ1510" s="53" t="n">
        <f aca="false">IF(BW1510=1,0,IFERROR(VLOOKUP(BU1510,'Gebinde-Kategorie'!$A$5:$N$45,5,0)+0,0))</f>
        <v>8</v>
      </c>
      <c r="CK1510" s="53" t="n">
        <f aca="false">IFERROR(IF(OR(CB1510=1,CB1510=2,CB1510=3),N(INDEX(Parameter!$I$5:$I$7,CB1510)),0),0)</f>
        <v>0</v>
      </c>
      <c r="CL1510" s="52" t="n">
        <f aca="false">IF(AND(Parameter!$B$21="Ja",ISNUMBER(W1510),N(X1510)&gt;0),IFERROR(N(INDEX(Parameter!$L$5:$L$7,W1510))*INDEX(Parameter!$E$5:$E$7,W1510)*X1510/SUMIFS($X$7:$X$1843,$W$7:$W$1843,W1510),0),0)</f>
        <v>0</v>
      </c>
    </row>
    <row r="1511" customFormat="false" ht="15" hidden="false" customHeight="false" outlineLevel="0" collapsed="false">
      <c r="A1511" s="48" t="s">
        <v>2646</v>
      </c>
      <c r="B1511" s="48" t="s">
        <v>2647</v>
      </c>
      <c r="C1511" s="48" t="s">
        <v>168</v>
      </c>
      <c r="D1511" s="48" t="s">
        <v>188</v>
      </c>
      <c r="E1511" s="48" t="s">
        <v>189</v>
      </c>
      <c r="F1511" s="48"/>
      <c r="G1511" s="49" t="n">
        <v>19.73</v>
      </c>
      <c r="H1511" s="50" t="n">
        <f aca="false">MAX(0,IF(AND(Parameter!$B$21="Ja",ISNUMBER(Y1511)),Y1511,IF(Parameter!$B$20="Jahresanfang 2025 + Export",BO1511+BN1511,BN1511)))</f>
        <v>27</v>
      </c>
      <c r="I1511" s="50" t="n">
        <f aca="false">H1511*G1511</f>
        <v>532.71</v>
      </c>
      <c r="J1511" s="50" t="n">
        <f aca="false">BQ1511*Parameter!$B$18</f>
        <v>0</v>
      </c>
      <c r="K1511" s="51"/>
      <c r="L1511" s="52"/>
      <c r="M1511" s="50" t="n">
        <v>0</v>
      </c>
      <c r="N1511" s="50" t="n">
        <v>10</v>
      </c>
      <c r="O1511" s="53" t="n">
        <v>28</v>
      </c>
      <c r="P1511" s="48" t="s">
        <v>332</v>
      </c>
      <c r="Q1511" s="50" t="n">
        <v>27</v>
      </c>
      <c r="R1511" s="53" t="n">
        <f aca="false">IF(BW1511=1,0,IFERROR(VLOOKUP(BU1511,'Gebinde-Kategorie'!$A$5:$N$45,13,0)+0,0))</f>
        <v>52</v>
      </c>
      <c r="S1511" s="54"/>
      <c r="T1511" s="55"/>
      <c r="U1511" s="55"/>
      <c r="V1511" s="55"/>
      <c r="W1511" s="48"/>
      <c r="X1511" s="50"/>
      <c r="Y1511" s="50"/>
      <c r="Z1511" s="48" t="n">
        <f aca="false">IF(A1511="","",IF(AND(Parameter!$B$21="Ja",ISNUMBER(W1511)),W1511,IF(BZ1511="2+3",IF(ISNUMBER(SEARCH("grosser Artikel",BR1511)),2,IFERROR(VLOOKUP(BU1511,Parameter!$F$35:$G$64,2,0),2)),IF(OR(BZ1511="Nein",BZ1511=""),"-",BZ1511))))</f>
        <v>3</v>
      </c>
      <c r="AA1511" s="55"/>
      <c r="AB1511" s="56"/>
      <c r="AC1511" s="50" t="n">
        <f aca="false">AT1511</f>
        <v>27</v>
      </c>
      <c r="AD1511" s="50" t="n">
        <f aca="false">MAX(AT1511,H1511)</f>
        <v>27</v>
      </c>
      <c r="AE1511" s="57"/>
      <c r="AF1511" s="50" t="n">
        <f aca="false">IF(LEFT(Cockpit!$C$5,1)="A",H1511,IF(CE1511=1,CF1511,IF(LEFT(Cockpit!$C$5,1)="B",AK1511,MAX(AK1511,H1511))))</f>
        <v>27</v>
      </c>
      <c r="AG1511" s="50" t="n">
        <f aca="false">IF(BW1511=1,0,ROUNDUP(AF1511/BV1511,0))</f>
        <v>1</v>
      </c>
      <c r="AH1511" s="52" t="n">
        <f aca="false">IF(CL1511&gt;0,CL1511*MAX(1,AF1511/X1511),IF(BW1511=1,IF(AF1511&lt;=0,0,CA1511*MAX(1,IF(H1511&gt;0,AF1511/H1511,1))),IF(R1511&gt;0,AG1511/R1511,0))/MAX(0.1,N(Parameter!$M$21)))</f>
        <v>0.0192307692307692</v>
      </c>
      <c r="AI1511" s="50" t="n">
        <f aca="false">AH1511*BY1511</f>
        <v>2.98076923076923</v>
      </c>
      <c r="AJ1511" s="50" t="n">
        <f aca="false">AF1511*G1511</f>
        <v>532.71</v>
      </c>
      <c r="AK1511" s="50" t="n">
        <f aca="false">ROUNDUP(MAX(J1511/IF(CD1511&gt;0,CD1511,MAX(0.1,N(Cockpit!$C$6))),CG1511)/BV1511,0)*BV1511</f>
        <v>27</v>
      </c>
      <c r="AL1511" s="51" t="n">
        <f aca="false">IF(AI1511&gt;0,J1511/AI1511,-1)</f>
        <v>0</v>
      </c>
      <c r="AM1511" s="51" t="n">
        <f aca="false">IF(AND(OR(CC1511="L1",CC1511="L23",CC1511="LIFT"),AI1511&gt;0),SUMIFS($AI$7:$AI$1843,$CC$7:$CC$1843,CC1511,$AL$7:$AL$1843,"&gt;"&amp;AL1511)+SUMIFS($AI$7:$AI$1843,$CC$7:$CC$1843,CC1511,$AL$7:$AL$1843,AL1511,$BT$7:$BT$1843,"&lt;="&amp;BT1511),"")</f>
        <v>29923.4449100805</v>
      </c>
      <c r="AN1511" s="58" t="n">
        <f aca="false">IF(AM1511="",0,MAX(0,MIN(1,(IF(CC1511="L1",Parameter!$H$5,IF(CC1511="L23",Parameter!$H$6+Parameter!$H$7,Parameter!$H$5+Parameter!$H$6+Parameter!$H$7))-(AM1511-AI1511))/AI1511)))</f>
        <v>1</v>
      </c>
      <c r="AO1511" s="50" t="n">
        <f aca="false">IF(LEFT(Cockpit!$I$5,1)="A",H1511,IF(CE1511=1,CF1511,IF(LEFT(Cockpit!$I$5,1)="B",AT1511,MAX(AT1511,H1511))))</f>
        <v>27</v>
      </c>
      <c r="AP1511" s="50" t="n">
        <f aca="false">IF(BW1511=1,0,ROUNDUP(AO1511/BV1511,0))</f>
        <v>1</v>
      </c>
      <c r="AQ1511" s="52" t="n">
        <f aca="false">IF(CL1511&gt;0,CL1511*MAX(1,AO1511/X1511),IF(BW1511=1,IF(AO1511&lt;=0,0,CA1511*MAX(1,IF(H1511&gt;0,AO1511/H1511,1))),IF(R1511&gt;0,AP1511/R1511,0))/MAX(0.1,N(Parameter!$M$21)))</f>
        <v>0.0192307692307692</v>
      </c>
      <c r="AR1511" s="50" t="n">
        <f aca="false">AQ1511*BY1511</f>
        <v>2.98076923076923</v>
      </c>
      <c r="AS1511" s="50" t="n">
        <f aca="false">AO1511*G1511</f>
        <v>532.71</v>
      </c>
      <c r="AT1511" s="50" t="n">
        <f aca="false">ROUNDUP(MAX(J1511/IF(CD1511&gt;0,CD1511,MAX(0.1,N(Cockpit!$I$6))),CG1511)/BV1511,0)*BV1511</f>
        <v>27</v>
      </c>
      <c r="AU1511" s="51" t="n">
        <f aca="false">IF(AR1511&gt;0,J1511/AR1511,-1)</f>
        <v>0</v>
      </c>
      <c r="AV1511" s="51" t="n">
        <f aca="false">IF(AND(OR(CC1511="L1",CC1511="L23",CC1511="LIFT"),AR1511&gt;0),SUMIFS($AR$7:$AR$1843,$CC$7:$CC$1843,CC1511,$AU$7:$AU$1843,"&gt;"&amp;AU1511)+SUMIFS($AR$7:$AR$1843,$CC$7:$CC$1843,CC1511,$AU$7:$AU$1843,AU1511,$BT$7:$BT$1843,"&lt;="&amp;BT1511),"")</f>
        <v>42217.3234126984</v>
      </c>
      <c r="AW1511" s="58" t="n">
        <f aca="false">IF(AV1511="",0,MAX(0,MIN(1,(IF(CC1511="L1",Parameter!$H$5,IF(CC1511="L23",Parameter!$H$6+Parameter!$H$7,Parameter!$H$5+Parameter!$H$6+Parameter!$H$7))-(AV1511-AR1511))/AR1511)))</f>
        <v>0</v>
      </c>
      <c r="AX1511" s="50" t="n">
        <f aca="false">IF(LEFT(Cockpit!$O$5,1)="A",H1511,IF(CE1511=1,CF1511,IF(LEFT(Cockpit!$O$5,1)="B",BC1511,MAX(BC1511,H1511))))</f>
        <v>27</v>
      </c>
      <c r="AY1511" s="50" t="n">
        <f aca="false">IF(BW1511=1,0,ROUNDUP(AX1511/BV1511,0))</f>
        <v>1</v>
      </c>
      <c r="AZ1511" s="52" t="n">
        <f aca="false">IF(CL1511&gt;0,CL1511*MAX(1,AX1511/X1511),IF(BW1511=1,IF(AX1511&lt;=0,0,CA1511*MAX(1,IF(H1511&gt;0,AX1511/H1511,1))),IF(R1511&gt;0,AY1511/R1511,0))/MAX(0.1,N(Parameter!$M$21)))</f>
        <v>0.0192307692307692</v>
      </c>
      <c r="BA1511" s="50" t="n">
        <f aca="false">AZ1511*BY1511</f>
        <v>2.98076923076923</v>
      </c>
      <c r="BB1511" s="50" t="n">
        <f aca="false">AX1511*G1511</f>
        <v>532.71</v>
      </c>
      <c r="BC1511" s="50" t="n">
        <f aca="false">ROUNDUP(MAX(J1511/IF(CD1511&gt;0,CD1511,MAX(0.1,N(Cockpit!$O$6))),CG1511)/BV1511,0)*BV1511</f>
        <v>27</v>
      </c>
      <c r="BD1511" s="51" t="n">
        <f aca="false">IF(BA1511&gt;0,J1511/BA1511,-1)</f>
        <v>0</v>
      </c>
      <c r="BE1511" s="51" t="n">
        <f aca="false">IF(AND(OR(CC1511="L1",CC1511="L23",CC1511="LIFT"),BA1511&gt;0),SUMIFS($BA$7:$BA$1843,$CC$7:$CC$1843,CC1511,$BD$7:$BD$1843,"&gt;"&amp;BD1511)+SUMIFS($BA$7:$BA$1843,$CC$7:$CC$1843,CC1511,$BD$7:$BD$1843,BD1511,$BT$7:$BT$1843,"&lt;="&amp;BT1511),"")</f>
        <v>38892.3354545643</v>
      </c>
      <c r="BF1511" s="58" t="n">
        <f aca="false">IF(BE1511="",0,MAX(0,MIN(1,(IF(CC1511="L1",Parameter!$H$5,IF(CC1511="L23",Parameter!$H$6+Parameter!$H$7,Parameter!$H$5+Parameter!$H$6+Parameter!$H$7))-(BE1511-BA1511))/BA1511)))</f>
        <v>0</v>
      </c>
      <c r="BG1511" s="48" t="str">
        <f aca="false">IF(AI1511&lt;=0,"",IF(CC1511="Aussen","Aussenlager",IF(CC1511="-","Nicht im Lift",IF(AN1511&gt;=1,"Lift",IF(AN1511&lt;=0,"Aussenlager","teilweise")))))</f>
        <v>Lift</v>
      </c>
      <c r="BH1511" s="48" t="str">
        <f aca="false">IF(AR1511&lt;=0,"",IF(CC1511="Aussen","Aussenlager",IF(CC1511="-","Nicht im Lift",IF(AW1511&gt;=1,"Lift",IF(AW1511&lt;=0,"Aussenlager","teilweise")))))</f>
        <v>Aussenlager</v>
      </c>
      <c r="BI1511" s="48" t="str">
        <f aca="false">IF(BA1511&lt;=0,"",IF(CC1511="Aussen","Aussenlager",IF(CC1511="-","Nicht im Lift",IF(BF1511&gt;=1,"Lift",IF(BF1511&lt;=0,"Aussenlager","teilweise")))))</f>
        <v>Aussenlager</v>
      </c>
      <c r="BJ1511" s="48" t="str">
        <f aca="false">IF(A1511="","",IF(BS1511=1,"Neu; ","")&amp;IF(AND(BS1511=0,BN1511&lt;0),"negativer Bestand (Export "&amp;BN1511&amp;"); ","")&amp;IF(J1511&lt;=0,"Kein Verbrauch; ","")&amp;IF(CL1511&gt;0,"Lift "&amp;W1511&amp;" lt. Liftbericht (Fach "&amp;X1511&amp;" Stk); ",IF(BX1511=1,"Gebinde geschätzt ("&amp;T1511&amp;"); ",IF(BW1511=1,"Lose – Tablare geschätzt; ","")))&amp;IF(H1511&gt;AT1511,"Überbestand "&amp;ROUND(H1511-AT1511,0)&amp;" Stk / CHF "&amp;ROUND((H1511-AT1511)*G1511,0)&amp;"; ","")&amp;IF(AND(CE1511=1,CF1511&lt;CG1511),"MAX &lt; MB+LG; ","")&amp;IF(AND(CK1511&gt;0,CJ1511*10&gt;CK1511),"zu hoch für Tablar; ","")&amp;IF(AND(BS1511=0,OR(CE1511=1,AA1511&lt;&gt;"",U1511&lt;&gt;"",V1511&lt;&gt;"",AB1511&lt;&gt;"")),"manuell übersteuert; ","")&amp;IF(AND(BW1511=0,R1511=0),"Gebinde unbekannt / Stellmass fehlt; ","")&amp;IF(AND(BW1511=0,N(V1511)&lt;=0,N(Q1511)&lt;=0),"Menge pro Gebinde fehlt (Ist = 1 Gebinde); ","")&amp;BR1511)</f>
        <v>Kein Verbrauch; nur im Artikelstamm (Bestand 23.06.2026); Überbestand</v>
      </c>
      <c r="BK1511" s="48"/>
      <c r="BL1511" s="48"/>
      <c r="BM1511" s="55"/>
      <c r="BN1511" s="50" t="n">
        <v>27</v>
      </c>
      <c r="BO1511" s="50" t="n">
        <v>0</v>
      </c>
      <c r="BP1511" s="49" t="n">
        <v>0</v>
      </c>
      <c r="BQ1511" s="50" t="n">
        <v>0</v>
      </c>
      <c r="BR1511" s="48" t="s">
        <v>2576</v>
      </c>
      <c r="BS1511" s="53" t="n">
        <v>0</v>
      </c>
      <c r="BT1511" s="53" t="n">
        <v>1511</v>
      </c>
      <c r="BU1511" s="48" t="str">
        <f aca="false">IF(U1511&lt;&gt;"",UPPER(TRIM(U1511)),IF(BX1511=1,UPPER(VLOOKUP(T1511,Parameter!$I$27:$K$29,2,0)),IF(P1511="","LOSE",P1511)))</f>
        <v>S41</v>
      </c>
      <c r="BV1511" s="50" t="n">
        <f aca="false">IF(BU1511="LOSE",1,IF(N(V1511)&gt;0,V1511,IF(BX1511=1,MAX(1,N(VLOOKUP(T1511,Parameter!$I$27:$K$29,3,0)),H1511,N(N1511)),IF(N(Q1511)&gt;0,Q1511,MAX(1,H1511)))))</f>
        <v>27</v>
      </c>
      <c r="BW1511" s="53" t="n">
        <f aca="false">IF(BU1511="LOSE",1,0)</f>
        <v>0</v>
      </c>
      <c r="BX1511" s="53" t="n">
        <f aca="false">IF(AND(U1511="",OR(P1511="",P1511="LOSE"),T1511&lt;&gt;"",N(S1511)&lt;=0,ISNUMBER(MATCH(T1511,Parameter!$I$27:$I$29,0))),1,0)</f>
        <v>0</v>
      </c>
      <c r="BY1511" s="53" t="n">
        <f aca="false">IF(CL1511&gt;0,INDEX(Parameter!$H$5:$H$7,W1511)/INDEX(Parameter!$E$5:$E$7,W1511),IF(AND(BW1511=0,N(IFERROR(VLOOKUP(BU1511,'Gebinde-Kategorie'!$A$5:$N$45,14,0),0))&gt;0),VLOOKUP(BU1511,'Gebinde-Kategorie'!$A$5:$N$45,14,0)*10+Parameter!$M$23,Parameter!$M$24))</f>
        <v>155</v>
      </c>
      <c r="BZ1511" s="48" t="str">
        <f aca="false">IF(AND(Parameter!$B$19="Ja",E1511&lt;&gt;"",ISNUMBER(MATCH(E1511,Parameter!$I$35:$I$52,0))),VLOOKUP(E1511,Parameter!$I$35:$J$52,2,0),IFERROR(VLOOKUP(D1511,Parameter!$A$35:$C$64,2,0),"Nein"))</f>
        <v>2+3</v>
      </c>
      <c r="CA1511" s="52" t="n">
        <f aca="false">IF(BW1511=0,0,IF(N(S1511)&gt;0,S1511,IFERROR(VLOOKUP(D1511,Parameter!$A$35:$C$64,3,0)+0,0)))</f>
        <v>0</v>
      </c>
      <c r="CB1511" s="48" t="n">
        <f aca="false">IF(AA1511&lt;&gt;"",AA1511,Z1511)</f>
        <v>3</v>
      </c>
      <c r="CC1511" s="48" t="str">
        <f aca="false">IF(OR(CB1511=1,CB1511=2,CB1511=3),IF(Parameter!$E$27="Ja","LIFT",IF(CB1511=1,"L1","L23")),IF(CB1511="Aussen","Aussen","-"))</f>
        <v>LIFT</v>
      </c>
      <c r="CD1511" s="59" t="n">
        <f aca="false">IF(N(AB1511)&gt;0,AB1511,0)</f>
        <v>0</v>
      </c>
      <c r="CE1511" s="53" t="n">
        <f aca="false">IF(ISNUMBER(AE1511),1,0)</f>
        <v>0</v>
      </c>
      <c r="CF1511" s="50" t="n">
        <f aca="false">N(AE1511)</f>
        <v>0</v>
      </c>
      <c r="CG1511" s="50" t="n">
        <f aca="false">N(M1511)+N(N1511)</f>
        <v>10</v>
      </c>
      <c r="CH1511" s="50" t="n">
        <f aca="false">ROUNDUP(H1511/BV1511,0)</f>
        <v>1</v>
      </c>
      <c r="CI1511" s="50" t="n">
        <f aca="false">ROUNDUP(CF1511/BV1511,0)</f>
        <v>0</v>
      </c>
      <c r="CJ1511" s="53" t="n">
        <f aca="false">IF(BW1511=1,0,IFERROR(VLOOKUP(BU1511,'Gebinde-Kategorie'!$A$5:$N$45,5,0)+0,0))</f>
        <v>11</v>
      </c>
      <c r="CK1511" s="53" t="n">
        <f aca="false">IFERROR(IF(OR(CB1511=1,CB1511=2,CB1511=3),N(INDEX(Parameter!$I$5:$I$7,CB1511)),0),0)</f>
        <v>0</v>
      </c>
      <c r="CL1511" s="52" t="n">
        <f aca="false">IF(AND(Parameter!$B$21="Ja",ISNUMBER(W1511),N(X1511)&gt;0),IFERROR(N(INDEX(Parameter!$L$5:$L$7,W1511))*INDEX(Parameter!$E$5:$E$7,W1511)*X1511/SUMIFS($X$7:$X$1843,$W$7:$W$1843,W1511),0),0)</f>
        <v>0</v>
      </c>
    </row>
    <row r="1512" customFormat="false" ht="15" hidden="false" customHeight="false" outlineLevel="0" collapsed="false">
      <c r="A1512" s="48" t="s">
        <v>2648</v>
      </c>
      <c r="B1512" s="48" t="s">
        <v>2649</v>
      </c>
      <c r="C1512" s="48" t="s">
        <v>168</v>
      </c>
      <c r="D1512" s="48" t="s">
        <v>188</v>
      </c>
      <c r="E1512" s="48" t="s">
        <v>189</v>
      </c>
      <c r="F1512" s="48"/>
      <c r="G1512" s="49" t="n">
        <v>102.14</v>
      </c>
      <c r="H1512" s="50" t="n">
        <f aca="false">MAX(0,IF(AND(Parameter!$B$21="Ja",ISNUMBER(Y1512)),Y1512,IF(Parameter!$B$20="Jahresanfang 2025 + Export",BO1512+BN1512,BN1512)))</f>
        <v>11</v>
      </c>
      <c r="I1512" s="50" t="n">
        <f aca="false">H1512*G1512</f>
        <v>1123.54</v>
      </c>
      <c r="J1512" s="50" t="n">
        <f aca="false">BQ1512*Parameter!$B$18</f>
        <v>0</v>
      </c>
      <c r="K1512" s="51"/>
      <c r="L1512" s="52"/>
      <c r="M1512" s="50" t="n">
        <v>0</v>
      </c>
      <c r="N1512" s="50" t="n">
        <v>10</v>
      </c>
      <c r="O1512" s="53" t="n">
        <v>49</v>
      </c>
      <c r="P1512" s="48" t="s">
        <v>297</v>
      </c>
      <c r="Q1512" s="50" t="n">
        <v>11</v>
      </c>
      <c r="R1512" s="53" t="n">
        <f aca="false">IF(BW1512=1,0,IFERROR(VLOOKUP(BU1512,'Gebinde-Kategorie'!$A$5:$N$45,13,0)+0,0))</f>
        <v>12</v>
      </c>
      <c r="S1512" s="54"/>
      <c r="T1512" s="55"/>
      <c r="U1512" s="55"/>
      <c r="V1512" s="55"/>
      <c r="W1512" s="48"/>
      <c r="X1512" s="50"/>
      <c r="Y1512" s="50"/>
      <c r="Z1512" s="48" t="n">
        <f aca="false">IF(A1512="","",IF(AND(Parameter!$B$21="Ja",ISNUMBER(W1512)),W1512,IF(BZ1512="2+3",IF(ISNUMBER(SEARCH("grosser Artikel",BR1512)),2,IFERROR(VLOOKUP(BU1512,Parameter!$F$35:$G$64,2,0),2)),IF(OR(BZ1512="Nein",BZ1512=""),"-",BZ1512))))</f>
        <v>2</v>
      </c>
      <c r="AA1512" s="55"/>
      <c r="AB1512" s="56"/>
      <c r="AC1512" s="50" t="n">
        <f aca="false">AT1512</f>
        <v>11</v>
      </c>
      <c r="AD1512" s="50" t="n">
        <f aca="false">MAX(AT1512,H1512)</f>
        <v>11</v>
      </c>
      <c r="AE1512" s="57"/>
      <c r="AF1512" s="50" t="n">
        <f aca="false">IF(LEFT(Cockpit!$C$5,1)="A",H1512,IF(CE1512=1,CF1512,IF(LEFT(Cockpit!$C$5,1)="B",AK1512,MAX(AK1512,H1512))))</f>
        <v>11</v>
      </c>
      <c r="AG1512" s="50" t="n">
        <f aca="false">IF(BW1512=1,0,ROUNDUP(AF1512/BV1512,0))</f>
        <v>1</v>
      </c>
      <c r="AH1512" s="52" t="n">
        <f aca="false">IF(CL1512&gt;0,CL1512*MAX(1,AF1512/X1512),IF(BW1512=1,IF(AF1512&lt;=0,0,CA1512*MAX(1,IF(H1512&gt;0,AF1512/H1512,1))),IF(R1512&gt;0,AG1512/R1512,0))/MAX(0.1,N(Parameter!$M$21)))</f>
        <v>0.0833333333333333</v>
      </c>
      <c r="AI1512" s="50" t="n">
        <f aca="false">AH1512*BY1512</f>
        <v>20.4166666666667</v>
      </c>
      <c r="AJ1512" s="50" t="n">
        <f aca="false">AF1512*G1512</f>
        <v>1123.54</v>
      </c>
      <c r="AK1512" s="50" t="n">
        <f aca="false">ROUNDUP(MAX(J1512/IF(CD1512&gt;0,CD1512,MAX(0.1,N(Cockpit!$C$6))),CG1512)/BV1512,0)*BV1512</f>
        <v>11</v>
      </c>
      <c r="AL1512" s="51" t="n">
        <f aca="false">IF(AI1512&gt;0,J1512/AI1512,-1)</f>
        <v>0</v>
      </c>
      <c r="AM1512" s="51" t="n">
        <f aca="false">IF(AND(OR(CC1512="L1",CC1512="L23",CC1512="LIFT"),AI1512&gt;0),SUMIFS($AI$7:$AI$1843,$CC$7:$CC$1843,CC1512,$AL$7:$AL$1843,"&gt;"&amp;AL1512)+SUMIFS($AI$7:$AI$1843,$CC$7:$CC$1843,CC1512,$AL$7:$AL$1843,AL1512,$BT$7:$BT$1843,"&lt;="&amp;BT1512),"")</f>
        <v>29943.8615767472</v>
      </c>
      <c r="AN1512" s="58" t="n">
        <f aca="false">IF(AM1512="",0,MAX(0,MIN(1,(IF(CC1512="L1",Parameter!$H$5,IF(CC1512="L23",Parameter!$H$6+Parameter!$H$7,Parameter!$H$5+Parameter!$H$6+Parameter!$H$7))-(AM1512-AI1512))/AI1512)))</f>
        <v>1</v>
      </c>
      <c r="AO1512" s="50" t="n">
        <f aca="false">IF(LEFT(Cockpit!$I$5,1)="A",H1512,IF(CE1512=1,CF1512,IF(LEFT(Cockpit!$I$5,1)="B",AT1512,MAX(AT1512,H1512))))</f>
        <v>11</v>
      </c>
      <c r="AP1512" s="50" t="n">
        <f aca="false">IF(BW1512=1,0,ROUNDUP(AO1512/BV1512,0))</f>
        <v>1</v>
      </c>
      <c r="AQ1512" s="52" t="n">
        <f aca="false">IF(CL1512&gt;0,CL1512*MAX(1,AO1512/X1512),IF(BW1512=1,IF(AO1512&lt;=0,0,CA1512*MAX(1,IF(H1512&gt;0,AO1512/H1512,1))),IF(R1512&gt;0,AP1512/R1512,0))/MAX(0.1,N(Parameter!$M$21)))</f>
        <v>0.0833333333333333</v>
      </c>
      <c r="AR1512" s="50" t="n">
        <f aca="false">AQ1512*BY1512</f>
        <v>20.4166666666667</v>
      </c>
      <c r="AS1512" s="50" t="n">
        <f aca="false">AO1512*G1512</f>
        <v>1123.54</v>
      </c>
      <c r="AT1512" s="50" t="n">
        <f aca="false">ROUNDUP(MAX(J1512/IF(CD1512&gt;0,CD1512,MAX(0.1,N(Cockpit!$I$6))),CG1512)/BV1512,0)*BV1512</f>
        <v>11</v>
      </c>
      <c r="AU1512" s="51" t="n">
        <f aca="false">IF(AR1512&gt;0,J1512/AR1512,-1)</f>
        <v>0</v>
      </c>
      <c r="AV1512" s="51" t="n">
        <f aca="false">IF(AND(OR(CC1512="L1",CC1512="L23",CC1512="LIFT"),AR1512&gt;0),SUMIFS($AR$7:$AR$1843,$CC$7:$CC$1843,CC1512,$AU$7:$AU$1843,"&gt;"&amp;AU1512)+SUMIFS($AR$7:$AR$1843,$CC$7:$CC$1843,CC1512,$AU$7:$AU$1843,AU1512,$BT$7:$BT$1843,"&lt;="&amp;BT1512),"")</f>
        <v>42237.7400793651</v>
      </c>
      <c r="AW1512" s="58" t="n">
        <f aca="false">IF(AV1512="",0,MAX(0,MIN(1,(IF(CC1512="L1",Parameter!$H$5,IF(CC1512="L23",Parameter!$H$6+Parameter!$H$7,Parameter!$H$5+Parameter!$H$6+Parameter!$H$7))-(AV1512-AR1512))/AR1512)))</f>
        <v>0</v>
      </c>
      <c r="AX1512" s="50" t="n">
        <f aca="false">IF(LEFT(Cockpit!$O$5,1)="A",H1512,IF(CE1512=1,CF1512,IF(LEFT(Cockpit!$O$5,1)="B",BC1512,MAX(BC1512,H1512))))</f>
        <v>11</v>
      </c>
      <c r="AY1512" s="50" t="n">
        <f aca="false">IF(BW1512=1,0,ROUNDUP(AX1512/BV1512,0))</f>
        <v>1</v>
      </c>
      <c r="AZ1512" s="52" t="n">
        <f aca="false">IF(CL1512&gt;0,CL1512*MAX(1,AX1512/X1512),IF(BW1512=1,IF(AX1512&lt;=0,0,CA1512*MAX(1,IF(H1512&gt;0,AX1512/H1512,1))),IF(R1512&gt;0,AY1512/R1512,0))/MAX(0.1,N(Parameter!$M$21)))</f>
        <v>0.0833333333333333</v>
      </c>
      <c r="BA1512" s="50" t="n">
        <f aca="false">AZ1512*BY1512</f>
        <v>20.4166666666667</v>
      </c>
      <c r="BB1512" s="50" t="n">
        <f aca="false">AX1512*G1512</f>
        <v>1123.54</v>
      </c>
      <c r="BC1512" s="50" t="n">
        <f aca="false">ROUNDUP(MAX(J1512/IF(CD1512&gt;0,CD1512,MAX(0.1,N(Cockpit!$O$6))),CG1512)/BV1512,0)*BV1512</f>
        <v>11</v>
      </c>
      <c r="BD1512" s="51" t="n">
        <f aca="false">IF(BA1512&gt;0,J1512/BA1512,-1)</f>
        <v>0</v>
      </c>
      <c r="BE1512" s="51" t="n">
        <f aca="false">IF(AND(OR(CC1512="L1",CC1512="L23",CC1512="LIFT"),BA1512&gt;0),SUMIFS($BA$7:$BA$1843,$CC$7:$CC$1843,CC1512,$BD$7:$BD$1843,"&gt;"&amp;BD1512)+SUMIFS($BA$7:$BA$1843,$CC$7:$CC$1843,CC1512,$BD$7:$BD$1843,BD1512,$BT$7:$BT$1843,"&lt;="&amp;BT1512),"")</f>
        <v>38912.7521212309</v>
      </c>
      <c r="BF1512" s="58" t="n">
        <f aca="false">IF(BE1512="",0,MAX(0,MIN(1,(IF(CC1512="L1",Parameter!$H$5,IF(CC1512="L23",Parameter!$H$6+Parameter!$H$7,Parameter!$H$5+Parameter!$H$6+Parameter!$H$7))-(BE1512-BA1512))/BA1512)))</f>
        <v>0</v>
      </c>
      <c r="BG1512" s="48" t="str">
        <f aca="false">IF(AI1512&lt;=0,"",IF(CC1512="Aussen","Aussenlager",IF(CC1512="-","Nicht im Lift",IF(AN1512&gt;=1,"Lift",IF(AN1512&lt;=0,"Aussenlager","teilweise")))))</f>
        <v>Lift</v>
      </c>
      <c r="BH1512" s="48" t="str">
        <f aca="false">IF(AR1512&lt;=0,"",IF(CC1512="Aussen","Aussenlager",IF(CC1512="-","Nicht im Lift",IF(AW1512&gt;=1,"Lift",IF(AW1512&lt;=0,"Aussenlager","teilweise")))))</f>
        <v>Aussenlager</v>
      </c>
      <c r="BI1512" s="48" t="str">
        <f aca="false">IF(BA1512&lt;=0,"",IF(CC1512="Aussen","Aussenlager",IF(CC1512="-","Nicht im Lift",IF(BF1512&gt;=1,"Lift",IF(BF1512&lt;=0,"Aussenlager","teilweise")))))</f>
        <v>Aussenlager</v>
      </c>
      <c r="BJ1512" s="48" t="str">
        <f aca="false">IF(A1512="","",IF(BS1512=1,"Neu; ","")&amp;IF(AND(BS1512=0,BN1512&lt;0),"negativer Bestand (Export "&amp;BN1512&amp;"); ","")&amp;IF(J1512&lt;=0,"Kein Verbrauch; ","")&amp;IF(CL1512&gt;0,"Lift "&amp;W1512&amp;" lt. Liftbericht (Fach "&amp;X1512&amp;" Stk); ",IF(BX1512=1,"Gebinde geschätzt ("&amp;T1512&amp;"); ",IF(BW1512=1,"Lose – Tablare geschätzt; ","")))&amp;IF(H1512&gt;AT1512,"Überbestand "&amp;ROUND(H1512-AT1512,0)&amp;" Stk / CHF "&amp;ROUND((H1512-AT1512)*G1512,0)&amp;"; ","")&amp;IF(AND(CE1512=1,CF1512&lt;CG1512),"MAX &lt; MB+LG; ","")&amp;IF(AND(CK1512&gt;0,CJ1512*10&gt;CK1512),"zu hoch für Tablar; ","")&amp;IF(AND(BS1512=0,OR(CE1512=1,AA1512&lt;&gt;"",U1512&lt;&gt;"",V1512&lt;&gt;"",AB1512&lt;&gt;"")),"manuell übersteuert; ","")&amp;IF(AND(BW1512=0,R1512=0),"Gebinde unbekannt / Stellmass fehlt; ","")&amp;IF(AND(BW1512=0,N(V1512)&lt;=0,N(Q1512)&lt;=0),"Menge pro Gebinde fehlt (Ist = 1 Gebinde); ","")&amp;BR1512)</f>
        <v>Kein Verbrauch; nur im Artikelstamm (Bestand 23.06.2026); Überbestand</v>
      </c>
      <c r="BK1512" s="48"/>
      <c r="BL1512" s="48"/>
      <c r="BM1512" s="55"/>
      <c r="BN1512" s="50" t="n">
        <v>11</v>
      </c>
      <c r="BO1512" s="50" t="n">
        <v>0</v>
      </c>
      <c r="BP1512" s="49" t="n">
        <v>0</v>
      </c>
      <c r="BQ1512" s="50" t="n">
        <v>0</v>
      </c>
      <c r="BR1512" s="48" t="s">
        <v>2576</v>
      </c>
      <c r="BS1512" s="53" t="n">
        <v>0</v>
      </c>
      <c r="BT1512" s="53" t="n">
        <v>1512</v>
      </c>
      <c r="BU1512" s="48" t="str">
        <f aca="false">IF(U1512&lt;&gt;"",UPPER(TRIM(U1512)),IF(BX1512=1,UPPER(VLOOKUP(T1512,Parameter!$I$27:$K$29,2,0)),IF(P1512="","LOSE",P1512)))</f>
        <v>S62</v>
      </c>
      <c r="BV1512" s="50" t="n">
        <f aca="false">IF(BU1512="LOSE",1,IF(N(V1512)&gt;0,V1512,IF(BX1512=1,MAX(1,N(VLOOKUP(T1512,Parameter!$I$27:$K$29,3,0)),H1512,N(N1512)),IF(N(Q1512)&gt;0,Q1512,MAX(1,H1512)))))</f>
        <v>11</v>
      </c>
      <c r="BW1512" s="53" t="n">
        <f aca="false">IF(BU1512="LOSE",1,0)</f>
        <v>0</v>
      </c>
      <c r="BX1512" s="53" t="n">
        <f aca="false">IF(AND(U1512="",OR(P1512="",P1512="LOSE"),T1512&lt;&gt;"",N(S1512)&lt;=0,ISNUMBER(MATCH(T1512,Parameter!$I$27:$I$29,0))),1,0)</f>
        <v>0</v>
      </c>
      <c r="BY1512" s="53" t="n">
        <f aca="false">IF(CL1512&gt;0,INDEX(Parameter!$H$5:$H$7,W1512)/INDEX(Parameter!$E$5:$E$7,W1512),IF(AND(BW1512=0,N(IFERROR(VLOOKUP(BU1512,'Gebinde-Kategorie'!$A$5:$N$45,14,0),0))&gt;0),VLOOKUP(BU1512,'Gebinde-Kategorie'!$A$5:$N$45,14,0)*10+Parameter!$M$23,Parameter!$M$24))</f>
        <v>245</v>
      </c>
      <c r="BZ1512" s="48" t="str">
        <f aca="false">IF(AND(Parameter!$B$19="Ja",E1512&lt;&gt;"",ISNUMBER(MATCH(E1512,Parameter!$I$35:$I$52,0))),VLOOKUP(E1512,Parameter!$I$35:$J$52,2,0),IFERROR(VLOOKUP(D1512,Parameter!$A$35:$C$64,2,0),"Nein"))</f>
        <v>2+3</v>
      </c>
      <c r="CA1512" s="52" t="n">
        <f aca="false">IF(BW1512=0,0,IF(N(S1512)&gt;0,S1512,IFERROR(VLOOKUP(D1512,Parameter!$A$35:$C$64,3,0)+0,0)))</f>
        <v>0</v>
      </c>
      <c r="CB1512" s="48" t="n">
        <f aca="false">IF(AA1512&lt;&gt;"",AA1512,Z1512)</f>
        <v>2</v>
      </c>
      <c r="CC1512" s="48" t="str">
        <f aca="false">IF(OR(CB1512=1,CB1512=2,CB1512=3),IF(Parameter!$E$27="Ja","LIFT",IF(CB1512=1,"L1","L23")),IF(CB1512="Aussen","Aussen","-"))</f>
        <v>LIFT</v>
      </c>
      <c r="CD1512" s="59" t="n">
        <f aca="false">IF(N(AB1512)&gt;0,AB1512,0)</f>
        <v>0</v>
      </c>
      <c r="CE1512" s="53" t="n">
        <f aca="false">IF(ISNUMBER(AE1512),1,0)</f>
        <v>0</v>
      </c>
      <c r="CF1512" s="50" t="n">
        <f aca="false">N(AE1512)</f>
        <v>0</v>
      </c>
      <c r="CG1512" s="50" t="n">
        <f aca="false">N(M1512)+N(N1512)</f>
        <v>10</v>
      </c>
      <c r="CH1512" s="50" t="n">
        <f aca="false">ROUNDUP(H1512/BV1512,0)</f>
        <v>1</v>
      </c>
      <c r="CI1512" s="50" t="n">
        <f aca="false">ROUNDUP(CF1512/BV1512,0)</f>
        <v>0</v>
      </c>
      <c r="CJ1512" s="53" t="n">
        <f aca="false">IF(BW1512=1,0,IFERROR(VLOOKUP(BU1512,'Gebinde-Kategorie'!$A$5:$N$45,5,0)+0,0))</f>
        <v>21</v>
      </c>
      <c r="CK1512" s="53" t="n">
        <f aca="false">IFERROR(IF(OR(CB1512=1,CB1512=2,CB1512=3),N(INDEX(Parameter!$I$5:$I$7,CB1512)),0),0)</f>
        <v>0</v>
      </c>
      <c r="CL1512" s="52" t="n">
        <f aca="false">IF(AND(Parameter!$B$21="Ja",ISNUMBER(W1512),N(X1512)&gt;0),IFERROR(N(INDEX(Parameter!$L$5:$L$7,W1512))*INDEX(Parameter!$E$5:$E$7,W1512)*X1512/SUMIFS($X$7:$X$1843,$W$7:$W$1843,W1512),0),0)</f>
        <v>0</v>
      </c>
    </row>
    <row r="1513" customFormat="false" ht="15" hidden="false" customHeight="false" outlineLevel="0" collapsed="false">
      <c r="A1513" s="48" t="s">
        <v>2650</v>
      </c>
      <c r="B1513" s="48" t="s">
        <v>2651</v>
      </c>
      <c r="C1513" s="48" t="s">
        <v>168</v>
      </c>
      <c r="D1513" s="48" t="s">
        <v>188</v>
      </c>
      <c r="E1513" s="48" t="s">
        <v>189</v>
      </c>
      <c r="F1513" s="48"/>
      <c r="G1513" s="49" t="n">
        <v>19.45</v>
      </c>
      <c r="H1513" s="50" t="n">
        <f aca="false">MAX(0,IF(AND(Parameter!$B$21="Ja",ISNUMBER(Y1513)),Y1513,IF(Parameter!$B$20="Jahresanfang 2025 + Export",BO1513+BN1513,BN1513)))</f>
        <v>20</v>
      </c>
      <c r="I1513" s="50" t="n">
        <f aca="false">H1513*G1513</f>
        <v>389</v>
      </c>
      <c r="J1513" s="50" t="n">
        <f aca="false">BQ1513*Parameter!$B$18</f>
        <v>0</v>
      </c>
      <c r="K1513" s="51"/>
      <c r="L1513" s="52"/>
      <c r="M1513" s="50" t="n">
        <v>0</v>
      </c>
      <c r="N1513" s="50" t="n">
        <v>10</v>
      </c>
      <c r="O1513" s="53" t="n">
        <v>21</v>
      </c>
      <c r="P1513" s="48" t="s">
        <v>306</v>
      </c>
      <c r="Q1513" s="50" t="n">
        <v>20</v>
      </c>
      <c r="R1513" s="53" t="n">
        <f aca="false">IF(BW1513=1,0,IFERROR(VLOOKUP(BU1513,'Gebinde-Kategorie'!$A$5:$N$45,13,0)+0,0))</f>
        <v>26</v>
      </c>
      <c r="S1513" s="54"/>
      <c r="T1513" s="55"/>
      <c r="U1513" s="55"/>
      <c r="V1513" s="55"/>
      <c r="W1513" s="48"/>
      <c r="X1513" s="50"/>
      <c r="Y1513" s="50"/>
      <c r="Z1513" s="48" t="n">
        <f aca="false">IF(A1513="","",IF(AND(Parameter!$B$21="Ja",ISNUMBER(W1513)),W1513,IF(BZ1513="2+3",IF(ISNUMBER(SEARCH("grosser Artikel",BR1513)),2,IFERROR(VLOOKUP(BU1513,Parameter!$F$35:$G$64,2,0),2)),IF(OR(BZ1513="Nein",BZ1513=""),"-",BZ1513))))</f>
        <v>3</v>
      </c>
      <c r="AA1513" s="55"/>
      <c r="AB1513" s="56"/>
      <c r="AC1513" s="50" t="n">
        <f aca="false">AT1513</f>
        <v>20</v>
      </c>
      <c r="AD1513" s="50" t="n">
        <f aca="false">MAX(AT1513,H1513)</f>
        <v>20</v>
      </c>
      <c r="AE1513" s="57"/>
      <c r="AF1513" s="50" t="n">
        <f aca="false">IF(LEFT(Cockpit!$C$5,1)="A",H1513,IF(CE1513=1,CF1513,IF(LEFT(Cockpit!$C$5,1)="B",AK1513,MAX(AK1513,H1513))))</f>
        <v>20</v>
      </c>
      <c r="AG1513" s="50" t="n">
        <f aca="false">IF(BW1513=1,0,ROUNDUP(AF1513/BV1513,0))</f>
        <v>1</v>
      </c>
      <c r="AH1513" s="52" t="n">
        <f aca="false">IF(CL1513&gt;0,CL1513*MAX(1,AF1513/X1513),IF(BW1513=1,IF(AF1513&lt;=0,0,CA1513*MAX(1,IF(H1513&gt;0,AF1513/H1513,1))),IF(R1513&gt;0,AG1513/R1513,0))/MAX(0.1,N(Parameter!$M$21)))</f>
        <v>0.0384615384615385</v>
      </c>
      <c r="AI1513" s="50" t="n">
        <f aca="false">AH1513*BY1513</f>
        <v>5.96153846153846</v>
      </c>
      <c r="AJ1513" s="50" t="n">
        <f aca="false">AF1513*G1513</f>
        <v>389</v>
      </c>
      <c r="AK1513" s="50" t="n">
        <f aca="false">ROUNDUP(MAX(J1513/IF(CD1513&gt;0,CD1513,MAX(0.1,N(Cockpit!$C$6))),CG1513)/BV1513,0)*BV1513</f>
        <v>20</v>
      </c>
      <c r="AL1513" s="51" t="n">
        <f aca="false">IF(AI1513&gt;0,J1513/AI1513,-1)</f>
        <v>0</v>
      </c>
      <c r="AM1513" s="51" t="n">
        <f aca="false">IF(AND(OR(CC1513="L1",CC1513="L23",CC1513="LIFT"),AI1513&gt;0),SUMIFS($AI$7:$AI$1843,$CC$7:$CC$1843,CC1513,$AL$7:$AL$1843,"&gt;"&amp;AL1513)+SUMIFS($AI$7:$AI$1843,$CC$7:$CC$1843,CC1513,$AL$7:$AL$1843,AL1513,$BT$7:$BT$1843,"&lt;="&amp;BT1513),"")</f>
        <v>29949.8231152087</v>
      </c>
      <c r="AN1513" s="58" t="n">
        <f aca="false">IF(AM1513="",0,MAX(0,MIN(1,(IF(CC1513="L1",Parameter!$H$5,IF(CC1513="L23",Parameter!$H$6+Parameter!$H$7,Parameter!$H$5+Parameter!$H$6+Parameter!$H$7))-(AM1513-AI1513))/AI1513)))</f>
        <v>1</v>
      </c>
      <c r="AO1513" s="50" t="n">
        <f aca="false">IF(LEFT(Cockpit!$I$5,1)="A",H1513,IF(CE1513=1,CF1513,IF(LEFT(Cockpit!$I$5,1)="B",AT1513,MAX(AT1513,H1513))))</f>
        <v>20</v>
      </c>
      <c r="AP1513" s="50" t="n">
        <f aca="false">IF(BW1513=1,0,ROUNDUP(AO1513/BV1513,0))</f>
        <v>1</v>
      </c>
      <c r="AQ1513" s="52" t="n">
        <f aca="false">IF(CL1513&gt;0,CL1513*MAX(1,AO1513/X1513),IF(BW1513=1,IF(AO1513&lt;=0,0,CA1513*MAX(1,IF(H1513&gt;0,AO1513/H1513,1))),IF(R1513&gt;0,AP1513/R1513,0))/MAX(0.1,N(Parameter!$M$21)))</f>
        <v>0.0384615384615385</v>
      </c>
      <c r="AR1513" s="50" t="n">
        <f aca="false">AQ1513*BY1513</f>
        <v>5.96153846153846</v>
      </c>
      <c r="AS1513" s="50" t="n">
        <f aca="false">AO1513*G1513</f>
        <v>389</v>
      </c>
      <c r="AT1513" s="50" t="n">
        <f aca="false">ROUNDUP(MAX(J1513/IF(CD1513&gt;0,CD1513,MAX(0.1,N(Cockpit!$I$6))),CG1513)/BV1513,0)*BV1513</f>
        <v>20</v>
      </c>
      <c r="AU1513" s="51" t="n">
        <f aca="false">IF(AR1513&gt;0,J1513/AR1513,-1)</f>
        <v>0</v>
      </c>
      <c r="AV1513" s="51" t="n">
        <f aca="false">IF(AND(OR(CC1513="L1",CC1513="L23",CC1513="LIFT"),AR1513&gt;0),SUMIFS($AR$7:$AR$1843,$CC$7:$CC$1843,CC1513,$AU$7:$AU$1843,"&gt;"&amp;AU1513)+SUMIFS($AR$7:$AR$1843,$CC$7:$CC$1843,CC1513,$AU$7:$AU$1843,AU1513,$BT$7:$BT$1843,"&lt;="&amp;BT1513),"")</f>
        <v>42243.7016178266</v>
      </c>
      <c r="AW1513" s="58" t="n">
        <f aca="false">IF(AV1513="",0,MAX(0,MIN(1,(IF(CC1513="L1",Parameter!$H$5,IF(CC1513="L23",Parameter!$H$6+Parameter!$H$7,Parameter!$H$5+Parameter!$H$6+Parameter!$H$7))-(AV1513-AR1513))/AR1513)))</f>
        <v>0</v>
      </c>
      <c r="AX1513" s="50" t="n">
        <f aca="false">IF(LEFT(Cockpit!$O$5,1)="A",H1513,IF(CE1513=1,CF1513,IF(LEFT(Cockpit!$O$5,1)="B",BC1513,MAX(BC1513,H1513))))</f>
        <v>20</v>
      </c>
      <c r="AY1513" s="50" t="n">
        <f aca="false">IF(BW1513=1,0,ROUNDUP(AX1513/BV1513,0))</f>
        <v>1</v>
      </c>
      <c r="AZ1513" s="52" t="n">
        <f aca="false">IF(CL1513&gt;0,CL1513*MAX(1,AX1513/X1513),IF(BW1513=1,IF(AX1513&lt;=0,0,CA1513*MAX(1,IF(H1513&gt;0,AX1513/H1513,1))),IF(R1513&gt;0,AY1513/R1513,0))/MAX(0.1,N(Parameter!$M$21)))</f>
        <v>0.0384615384615385</v>
      </c>
      <c r="BA1513" s="50" t="n">
        <f aca="false">AZ1513*BY1513</f>
        <v>5.96153846153846</v>
      </c>
      <c r="BB1513" s="50" t="n">
        <f aca="false">AX1513*G1513</f>
        <v>389</v>
      </c>
      <c r="BC1513" s="50" t="n">
        <f aca="false">ROUNDUP(MAX(J1513/IF(CD1513&gt;0,CD1513,MAX(0.1,N(Cockpit!$O$6))),CG1513)/BV1513,0)*BV1513</f>
        <v>20</v>
      </c>
      <c r="BD1513" s="51" t="n">
        <f aca="false">IF(BA1513&gt;0,J1513/BA1513,-1)</f>
        <v>0</v>
      </c>
      <c r="BE1513" s="51" t="n">
        <f aca="false">IF(AND(OR(CC1513="L1",CC1513="L23",CC1513="LIFT"),BA1513&gt;0),SUMIFS($BA$7:$BA$1843,$CC$7:$CC$1843,CC1513,$BD$7:$BD$1843,"&gt;"&amp;BD1513)+SUMIFS($BA$7:$BA$1843,$CC$7:$CC$1843,CC1513,$BD$7:$BD$1843,BD1513,$BT$7:$BT$1843,"&lt;="&amp;BT1513),"")</f>
        <v>38918.7136596925</v>
      </c>
      <c r="BF1513" s="58" t="n">
        <f aca="false">IF(BE1513="",0,MAX(0,MIN(1,(IF(CC1513="L1",Parameter!$H$5,IF(CC1513="L23",Parameter!$H$6+Parameter!$H$7,Parameter!$H$5+Parameter!$H$6+Parameter!$H$7))-(BE1513-BA1513))/BA1513)))</f>
        <v>0</v>
      </c>
      <c r="BG1513" s="48" t="str">
        <f aca="false">IF(AI1513&lt;=0,"",IF(CC1513="Aussen","Aussenlager",IF(CC1513="-","Nicht im Lift",IF(AN1513&gt;=1,"Lift",IF(AN1513&lt;=0,"Aussenlager","teilweise")))))</f>
        <v>Lift</v>
      </c>
      <c r="BH1513" s="48" t="str">
        <f aca="false">IF(AR1513&lt;=0,"",IF(CC1513="Aussen","Aussenlager",IF(CC1513="-","Nicht im Lift",IF(AW1513&gt;=1,"Lift",IF(AW1513&lt;=0,"Aussenlager","teilweise")))))</f>
        <v>Aussenlager</v>
      </c>
      <c r="BI1513" s="48" t="str">
        <f aca="false">IF(BA1513&lt;=0,"",IF(CC1513="Aussen","Aussenlager",IF(CC1513="-","Nicht im Lift",IF(BF1513&gt;=1,"Lift",IF(BF1513&lt;=0,"Aussenlager","teilweise")))))</f>
        <v>Aussenlager</v>
      </c>
      <c r="BJ1513" s="48" t="str">
        <f aca="false">IF(A1513="","",IF(BS1513=1,"Neu; ","")&amp;IF(AND(BS1513=0,BN1513&lt;0),"negativer Bestand (Export "&amp;BN1513&amp;"); ","")&amp;IF(J1513&lt;=0,"Kein Verbrauch; ","")&amp;IF(CL1513&gt;0,"Lift "&amp;W1513&amp;" lt. Liftbericht (Fach "&amp;X1513&amp;" Stk); ",IF(BX1513=1,"Gebinde geschätzt ("&amp;T1513&amp;"); ",IF(BW1513=1,"Lose – Tablare geschätzt; ","")))&amp;IF(H1513&gt;AT1513,"Überbestand "&amp;ROUND(H1513-AT1513,0)&amp;" Stk / CHF "&amp;ROUND((H1513-AT1513)*G1513,0)&amp;"; ","")&amp;IF(AND(CE1513=1,CF1513&lt;CG1513),"MAX &lt; MB+LG; ","")&amp;IF(AND(CK1513&gt;0,CJ1513*10&gt;CK1513),"zu hoch für Tablar; ","")&amp;IF(AND(BS1513=0,OR(CE1513=1,AA1513&lt;&gt;"",U1513&lt;&gt;"",V1513&lt;&gt;"",AB1513&lt;&gt;"")),"manuell übersteuert; ","")&amp;IF(AND(BW1513=0,R1513=0),"Gebinde unbekannt / Stellmass fehlt; ","")&amp;IF(AND(BW1513=0,N(V1513)&lt;=0,N(Q1513)&lt;=0),"Menge pro Gebinde fehlt (Ist = 1 Gebinde); ","")&amp;BR1513)</f>
        <v>Kein Verbrauch; nur im Artikelstamm (Bestand 23.06.2026); Verb.Lager</v>
      </c>
      <c r="BK1513" s="48"/>
      <c r="BL1513" s="48"/>
      <c r="BM1513" s="55"/>
      <c r="BN1513" s="50" t="n">
        <v>20</v>
      </c>
      <c r="BO1513" s="50" t="n">
        <v>0</v>
      </c>
      <c r="BP1513" s="49" t="n">
        <v>0</v>
      </c>
      <c r="BQ1513" s="50" t="n">
        <v>0</v>
      </c>
      <c r="BR1513" s="48" t="s">
        <v>2573</v>
      </c>
      <c r="BS1513" s="53" t="n">
        <v>0</v>
      </c>
      <c r="BT1513" s="53" t="n">
        <v>1513</v>
      </c>
      <c r="BU1513" s="48" t="str">
        <f aca="false">IF(U1513&lt;&gt;"",UPPER(TRIM(U1513)),IF(BX1513=1,UPPER(VLOOKUP(T1513,Parameter!$I$27:$K$29,2,0)),IF(P1513="","LOSE",P1513)))</f>
        <v>S51</v>
      </c>
      <c r="BV1513" s="50" t="n">
        <f aca="false">IF(BU1513="LOSE",1,IF(N(V1513)&gt;0,V1513,IF(BX1513=1,MAX(1,N(VLOOKUP(T1513,Parameter!$I$27:$K$29,3,0)),H1513,N(N1513)),IF(N(Q1513)&gt;0,Q1513,MAX(1,H1513)))))</f>
        <v>20</v>
      </c>
      <c r="BW1513" s="53" t="n">
        <f aca="false">IF(BU1513="LOSE",1,0)</f>
        <v>0</v>
      </c>
      <c r="BX1513" s="53" t="n">
        <f aca="false">IF(AND(U1513="",OR(P1513="",P1513="LOSE"),T1513&lt;&gt;"",N(S1513)&lt;=0,ISNUMBER(MATCH(T1513,Parameter!$I$27:$I$29,0))),1,0)</f>
        <v>0</v>
      </c>
      <c r="BY1513" s="53" t="n">
        <f aca="false">IF(CL1513&gt;0,INDEX(Parameter!$H$5:$H$7,W1513)/INDEX(Parameter!$E$5:$E$7,W1513),IF(AND(BW1513=0,N(IFERROR(VLOOKUP(BU1513,'Gebinde-Kategorie'!$A$5:$N$45,14,0),0))&gt;0),VLOOKUP(BU1513,'Gebinde-Kategorie'!$A$5:$N$45,14,0)*10+Parameter!$M$23,Parameter!$M$24))</f>
        <v>155</v>
      </c>
      <c r="BZ1513" s="48" t="str">
        <f aca="false">IF(AND(Parameter!$B$19="Ja",E1513&lt;&gt;"",ISNUMBER(MATCH(E1513,Parameter!$I$35:$I$52,0))),VLOOKUP(E1513,Parameter!$I$35:$J$52,2,0),IFERROR(VLOOKUP(D1513,Parameter!$A$35:$C$64,2,0),"Nein"))</f>
        <v>2+3</v>
      </c>
      <c r="CA1513" s="52" t="n">
        <f aca="false">IF(BW1513=0,0,IF(N(S1513)&gt;0,S1513,IFERROR(VLOOKUP(D1513,Parameter!$A$35:$C$64,3,0)+0,0)))</f>
        <v>0</v>
      </c>
      <c r="CB1513" s="48" t="n">
        <f aca="false">IF(AA1513&lt;&gt;"",AA1513,Z1513)</f>
        <v>3</v>
      </c>
      <c r="CC1513" s="48" t="str">
        <f aca="false">IF(OR(CB1513=1,CB1513=2,CB1513=3),IF(Parameter!$E$27="Ja","LIFT",IF(CB1513=1,"L1","L23")),IF(CB1513="Aussen","Aussen","-"))</f>
        <v>LIFT</v>
      </c>
      <c r="CD1513" s="59" t="n">
        <f aca="false">IF(N(AB1513)&gt;0,AB1513,0)</f>
        <v>0</v>
      </c>
      <c r="CE1513" s="53" t="n">
        <f aca="false">IF(ISNUMBER(AE1513),1,0)</f>
        <v>0</v>
      </c>
      <c r="CF1513" s="50" t="n">
        <f aca="false">N(AE1513)</f>
        <v>0</v>
      </c>
      <c r="CG1513" s="50" t="n">
        <f aca="false">N(M1513)+N(N1513)</f>
        <v>10</v>
      </c>
      <c r="CH1513" s="50" t="n">
        <f aca="false">ROUNDUP(H1513/BV1513,0)</f>
        <v>1</v>
      </c>
      <c r="CI1513" s="50" t="n">
        <f aca="false">ROUNDUP(CF1513/BV1513,0)</f>
        <v>0</v>
      </c>
      <c r="CJ1513" s="53" t="n">
        <f aca="false">IF(BW1513=1,0,IFERROR(VLOOKUP(BU1513,'Gebinde-Kategorie'!$A$5:$N$45,5,0)+0,0))</f>
        <v>11</v>
      </c>
      <c r="CK1513" s="53" t="n">
        <f aca="false">IFERROR(IF(OR(CB1513=1,CB1513=2,CB1513=3),N(INDEX(Parameter!$I$5:$I$7,CB1513)),0),0)</f>
        <v>0</v>
      </c>
      <c r="CL1513" s="52" t="n">
        <f aca="false">IF(AND(Parameter!$B$21="Ja",ISNUMBER(W1513),N(X1513)&gt;0),IFERROR(N(INDEX(Parameter!$L$5:$L$7,W1513))*INDEX(Parameter!$E$5:$E$7,W1513)*X1513/SUMIFS($X$7:$X$1843,$W$7:$W$1843,W1513),0),0)</f>
        <v>0</v>
      </c>
    </row>
    <row r="1514" customFormat="false" ht="15" hidden="false" customHeight="false" outlineLevel="0" collapsed="false">
      <c r="A1514" s="48" t="s">
        <v>2652</v>
      </c>
      <c r="B1514" s="48" t="s">
        <v>2653</v>
      </c>
      <c r="C1514" s="48" t="s">
        <v>168</v>
      </c>
      <c r="D1514" s="48" t="s">
        <v>188</v>
      </c>
      <c r="E1514" s="48" t="s">
        <v>189</v>
      </c>
      <c r="F1514" s="48"/>
      <c r="G1514" s="49" t="n">
        <v>25.92</v>
      </c>
      <c r="H1514" s="50" t="n">
        <f aca="false">MAX(0,IF(AND(Parameter!$B$21="Ja",ISNUMBER(Y1514)),Y1514,IF(Parameter!$B$20="Jahresanfang 2025 + Export",BO1514+BN1514,BN1514)))</f>
        <v>12</v>
      </c>
      <c r="I1514" s="50" t="n">
        <f aca="false">H1514*G1514</f>
        <v>311.04</v>
      </c>
      <c r="J1514" s="50" t="n">
        <f aca="false">BQ1514*Parameter!$B$18</f>
        <v>0</v>
      </c>
      <c r="K1514" s="51"/>
      <c r="L1514" s="52"/>
      <c r="M1514" s="50" t="n">
        <v>0</v>
      </c>
      <c r="N1514" s="50" t="n">
        <v>3</v>
      </c>
      <c r="O1514" s="53" t="n">
        <v>28</v>
      </c>
      <c r="P1514" s="48" t="s">
        <v>425</v>
      </c>
      <c r="Q1514" s="50" t="n">
        <v>12</v>
      </c>
      <c r="R1514" s="53" t="n">
        <f aca="false">IF(BW1514=1,0,IFERROR(VLOOKUP(BU1514,'Gebinde-Kategorie'!$A$5:$N$45,13,0)+0,0))</f>
        <v>104</v>
      </c>
      <c r="S1514" s="54"/>
      <c r="T1514" s="55"/>
      <c r="U1514" s="55"/>
      <c r="V1514" s="55"/>
      <c r="W1514" s="48"/>
      <c r="X1514" s="50"/>
      <c r="Y1514" s="50"/>
      <c r="Z1514" s="48" t="n">
        <f aca="false">IF(A1514="","",IF(AND(Parameter!$B$21="Ja",ISNUMBER(W1514)),W1514,IF(BZ1514="2+3",IF(ISNUMBER(SEARCH("grosser Artikel",BR1514)),2,IFERROR(VLOOKUP(BU1514,Parameter!$F$35:$G$64,2,0),2)),IF(OR(BZ1514="Nein",BZ1514=""),"-",BZ1514))))</f>
        <v>3</v>
      </c>
      <c r="AA1514" s="55"/>
      <c r="AB1514" s="56"/>
      <c r="AC1514" s="50" t="n">
        <f aca="false">AT1514</f>
        <v>12</v>
      </c>
      <c r="AD1514" s="50" t="n">
        <f aca="false">MAX(AT1514,H1514)</f>
        <v>12</v>
      </c>
      <c r="AE1514" s="57"/>
      <c r="AF1514" s="50" t="n">
        <f aca="false">IF(LEFT(Cockpit!$C$5,1)="A",H1514,IF(CE1514=1,CF1514,IF(LEFT(Cockpit!$C$5,1)="B",AK1514,MAX(AK1514,H1514))))</f>
        <v>12</v>
      </c>
      <c r="AG1514" s="50" t="n">
        <f aca="false">IF(BW1514=1,0,ROUNDUP(AF1514/BV1514,0))</f>
        <v>1</v>
      </c>
      <c r="AH1514" s="52" t="n">
        <f aca="false">IF(CL1514&gt;0,CL1514*MAX(1,AF1514/X1514),IF(BW1514=1,IF(AF1514&lt;=0,0,CA1514*MAX(1,IF(H1514&gt;0,AF1514/H1514,1))),IF(R1514&gt;0,AG1514/R1514,0))/MAX(0.1,N(Parameter!$M$21)))</f>
        <v>0.00961538461538462</v>
      </c>
      <c r="AI1514" s="50" t="n">
        <f aca="false">AH1514*BY1514</f>
        <v>1.49038461538462</v>
      </c>
      <c r="AJ1514" s="50" t="n">
        <f aca="false">AF1514*G1514</f>
        <v>311.04</v>
      </c>
      <c r="AK1514" s="50" t="n">
        <f aca="false">ROUNDUP(MAX(J1514/IF(CD1514&gt;0,CD1514,MAX(0.1,N(Cockpit!$C$6))),CG1514)/BV1514,0)*BV1514</f>
        <v>12</v>
      </c>
      <c r="AL1514" s="51" t="n">
        <f aca="false">IF(AI1514&gt;0,J1514/AI1514,-1)</f>
        <v>0</v>
      </c>
      <c r="AM1514" s="51" t="n">
        <f aca="false">IF(AND(OR(CC1514="L1",CC1514="L23",CC1514="LIFT"),AI1514&gt;0),SUMIFS($AI$7:$AI$1843,$CC$7:$CC$1843,CC1514,$AL$7:$AL$1843,"&gt;"&amp;AL1514)+SUMIFS($AI$7:$AI$1843,$CC$7:$CC$1843,CC1514,$AL$7:$AL$1843,AL1514,$BT$7:$BT$1843,"&lt;="&amp;BT1514),"")</f>
        <v>29951.3134998241</v>
      </c>
      <c r="AN1514" s="58" t="n">
        <f aca="false">IF(AM1514="",0,MAX(0,MIN(1,(IF(CC1514="L1",Parameter!$H$5,IF(CC1514="L23",Parameter!$H$6+Parameter!$H$7,Parameter!$H$5+Parameter!$H$6+Parameter!$H$7))-(AM1514-AI1514))/AI1514)))</f>
        <v>1</v>
      </c>
      <c r="AO1514" s="50" t="n">
        <f aca="false">IF(LEFT(Cockpit!$I$5,1)="A",H1514,IF(CE1514=1,CF1514,IF(LEFT(Cockpit!$I$5,1)="B",AT1514,MAX(AT1514,H1514))))</f>
        <v>12</v>
      </c>
      <c r="AP1514" s="50" t="n">
        <f aca="false">IF(BW1514=1,0,ROUNDUP(AO1514/BV1514,0))</f>
        <v>1</v>
      </c>
      <c r="AQ1514" s="52" t="n">
        <f aca="false">IF(CL1514&gt;0,CL1514*MAX(1,AO1514/X1514),IF(BW1514=1,IF(AO1514&lt;=0,0,CA1514*MAX(1,IF(H1514&gt;0,AO1514/H1514,1))),IF(R1514&gt;0,AP1514/R1514,0))/MAX(0.1,N(Parameter!$M$21)))</f>
        <v>0.00961538461538462</v>
      </c>
      <c r="AR1514" s="50" t="n">
        <f aca="false">AQ1514*BY1514</f>
        <v>1.49038461538462</v>
      </c>
      <c r="AS1514" s="50" t="n">
        <f aca="false">AO1514*G1514</f>
        <v>311.04</v>
      </c>
      <c r="AT1514" s="50" t="n">
        <f aca="false">ROUNDUP(MAX(J1514/IF(CD1514&gt;0,CD1514,MAX(0.1,N(Cockpit!$I$6))),CG1514)/BV1514,0)*BV1514</f>
        <v>12</v>
      </c>
      <c r="AU1514" s="51" t="n">
        <f aca="false">IF(AR1514&gt;0,J1514/AR1514,-1)</f>
        <v>0</v>
      </c>
      <c r="AV1514" s="51" t="n">
        <f aca="false">IF(AND(OR(CC1514="L1",CC1514="L23",CC1514="LIFT"),AR1514&gt;0),SUMIFS($AR$7:$AR$1843,$CC$7:$CC$1843,CC1514,$AU$7:$AU$1843,"&gt;"&amp;AU1514)+SUMIFS($AR$7:$AR$1843,$CC$7:$CC$1843,CC1514,$AU$7:$AU$1843,AU1514,$BT$7:$BT$1843,"&lt;="&amp;BT1514),"")</f>
        <v>42245.192002442</v>
      </c>
      <c r="AW1514" s="58" t="n">
        <f aca="false">IF(AV1514="",0,MAX(0,MIN(1,(IF(CC1514="L1",Parameter!$H$5,IF(CC1514="L23",Parameter!$H$6+Parameter!$H$7,Parameter!$H$5+Parameter!$H$6+Parameter!$H$7))-(AV1514-AR1514))/AR1514)))</f>
        <v>0</v>
      </c>
      <c r="AX1514" s="50" t="n">
        <f aca="false">IF(LEFT(Cockpit!$O$5,1)="A",H1514,IF(CE1514=1,CF1514,IF(LEFT(Cockpit!$O$5,1)="B",BC1514,MAX(BC1514,H1514))))</f>
        <v>12</v>
      </c>
      <c r="AY1514" s="50" t="n">
        <f aca="false">IF(BW1514=1,0,ROUNDUP(AX1514/BV1514,0))</f>
        <v>1</v>
      </c>
      <c r="AZ1514" s="52" t="n">
        <f aca="false">IF(CL1514&gt;0,CL1514*MAX(1,AX1514/X1514),IF(BW1514=1,IF(AX1514&lt;=0,0,CA1514*MAX(1,IF(H1514&gt;0,AX1514/H1514,1))),IF(R1514&gt;0,AY1514/R1514,0))/MAX(0.1,N(Parameter!$M$21)))</f>
        <v>0.00961538461538462</v>
      </c>
      <c r="BA1514" s="50" t="n">
        <f aca="false">AZ1514*BY1514</f>
        <v>1.49038461538462</v>
      </c>
      <c r="BB1514" s="50" t="n">
        <f aca="false">AX1514*G1514</f>
        <v>311.04</v>
      </c>
      <c r="BC1514" s="50" t="n">
        <f aca="false">ROUNDUP(MAX(J1514/IF(CD1514&gt;0,CD1514,MAX(0.1,N(Cockpit!$O$6))),CG1514)/BV1514,0)*BV1514</f>
        <v>12</v>
      </c>
      <c r="BD1514" s="51" t="n">
        <f aca="false">IF(BA1514&gt;0,J1514/BA1514,-1)</f>
        <v>0</v>
      </c>
      <c r="BE1514" s="51" t="n">
        <f aca="false">IF(AND(OR(CC1514="L1",CC1514="L23",CC1514="LIFT"),BA1514&gt;0),SUMIFS($BA$7:$BA$1843,$CC$7:$CC$1843,CC1514,$BD$7:$BD$1843,"&gt;"&amp;BD1514)+SUMIFS($BA$7:$BA$1843,$CC$7:$CC$1843,CC1514,$BD$7:$BD$1843,BD1514,$BT$7:$BT$1843,"&lt;="&amp;BT1514),"")</f>
        <v>38920.2040443079</v>
      </c>
      <c r="BF1514" s="58" t="n">
        <f aca="false">IF(BE1514="",0,MAX(0,MIN(1,(IF(CC1514="L1",Parameter!$H$5,IF(CC1514="L23",Parameter!$H$6+Parameter!$H$7,Parameter!$H$5+Parameter!$H$6+Parameter!$H$7))-(BE1514-BA1514))/BA1514)))</f>
        <v>0</v>
      </c>
      <c r="BG1514" s="48" t="str">
        <f aca="false">IF(AI1514&lt;=0,"",IF(CC1514="Aussen","Aussenlager",IF(CC1514="-","Nicht im Lift",IF(AN1514&gt;=1,"Lift",IF(AN1514&lt;=0,"Aussenlager","teilweise")))))</f>
        <v>Lift</v>
      </c>
      <c r="BH1514" s="48" t="str">
        <f aca="false">IF(AR1514&lt;=0,"",IF(CC1514="Aussen","Aussenlager",IF(CC1514="-","Nicht im Lift",IF(AW1514&gt;=1,"Lift",IF(AW1514&lt;=0,"Aussenlager","teilweise")))))</f>
        <v>Aussenlager</v>
      </c>
      <c r="BI1514" s="48" t="str">
        <f aca="false">IF(BA1514&lt;=0,"",IF(CC1514="Aussen","Aussenlager",IF(CC1514="-","Nicht im Lift",IF(BF1514&gt;=1,"Lift",IF(BF1514&lt;=0,"Aussenlager","teilweise")))))</f>
        <v>Aussenlager</v>
      </c>
      <c r="BJ1514" s="48" t="str">
        <f aca="false">IF(A1514="","",IF(BS1514=1,"Neu; ","")&amp;IF(AND(BS1514=0,BN1514&lt;0),"negativer Bestand (Export "&amp;BN1514&amp;"); ","")&amp;IF(J1514&lt;=0,"Kein Verbrauch; ","")&amp;IF(CL1514&gt;0,"Lift "&amp;W1514&amp;" lt. Liftbericht (Fach "&amp;X1514&amp;" Stk); ",IF(BX1514=1,"Gebinde geschätzt ("&amp;T1514&amp;"); ",IF(BW1514=1,"Lose – Tablare geschätzt; ","")))&amp;IF(H1514&gt;AT1514,"Überbestand "&amp;ROUND(H1514-AT1514,0)&amp;" Stk / CHF "&amp;ROUND((H1514-AT1514)*G1514,0)&amp;"; ","")&amp;IF(AND(CE1514=1,CF1514&lt;CG1514),"MAX &lt; MB+LG; ","")&amp;IF(AND(CK1514&gt;0,CJ1514*10&gt;CK1514),"zu hoch für Tablar; ","")&amp;IF(AND(BS1514=0,OR(CE1514=1,AA1514&lt;&gt;"",U1514&lt;&gt;"",V1514&lt;&gt;"",AB1514&lt;&gt;"")),"manuell übersteuert; ","")&amp;IF(AND(BW1514=0,R1514=0),"Gebinde unbekannt / Stellmass fehlt; ","")&amp;IF(AND(BW1514=0,N(V1514)&lt;=0,N(Q1514)&lt;=0),"Menge pro Gebinde fehlt (Ist = 1 Gebinde); ","")&amp;BR1514)</f>
        <v>Kein Verbrauch; nur im Artikelstamm (Bestand 23.06.2026); Verb.Lager</v>
      </c>
      <c r="BK1514" s="48"/>
      <c r="BL1514" s="48"/>
      <c r="BM1514" s="55"/>
      <c r="BN1514" s="50" t="n">
        <v>12</v>
      </c>
      <c r="BO1514" s="50" t="n">
        <v>0</v>
      </c>
      <c r="BP1514" s="49" t="n">
        <v>0</v>
      </c>
      <c r="BQ1514" s="50" t="n">
        <v>0</v>
      </c>
      <c r="BR1514" s="48" t="s">
        <v>2573</v>
      </c>
      <c r="BS1514" s="53" t="n">
        <v>0</v>
      </c>
      <c r="BT1514" s="53" t="n">
        <v>1514</v>
      </c>
      <c r="BU1514" s="48" t="str">
        <f aca="false">IF(U1514&lt;&gt;"",UPPER(TRIM(U1514)),IF(BX1514=1,UPPER(VLOOKUP(T1514,Parameter!$I$27:$K$29,2,0)),IF(P1514="","LOSE",P1514)))</f>
        <v>S32</v>
      </c>
      <c r="BV1514" s="50" t="n">
        <f aca="false">IF(BU1514="LOSE",1,IF(N(V1514)&gt;0,V1514,IF(BX1514=1,MAX(1,N(VLOOKUP(T1514,Parameter!$I$27:$K$29,3,0)),H1514,N(N1514)),IF(N(Q1514)&gt;0,Q1514,MAX(1,H1514)))))</f>
        <v>12</v>
      </c>
      <c r="BW1514" s="53" t="n">
        <f aca="false">IF(BU1514="LOSE",1,0)</f>
        <v>0</v>
      </c>
      <c r="BX1514" s="53" t="n">
        <f aca="false">IF(AND(U1514="",OR(P1514="",P1514="LOSE"),T1514&lt;&gt;"",N(S1514)&lt;=0,ISNUMBER(MATCH(T1514,Parameter!$I$27:$I$29,0))),1,0)</f>
        <v>0</v>
      </c>
      <c r="BY1514" s="53" t="n">
        <f aca="false">IF(CL1514&gt;0,INDEX(Parameter!$H$5:$H$7,W1514)/INDEX(Parameter!$E$5:$E$7,W1514),IF(AND(BW1514=0,N(IFERROR(VLOOKUP(BU1514,'Gebinde-Kategorie'!$A$5:$N$45,14,0),0))&gt;0),VLOOKUP(BU1514,'Gebinde-Kategorie'!$A$5:$N$45,14,0)*10+Parameter!$M$23,Parameter!$M$24))</f>
        <v>155</v>
      </c>
      <c r="BZ1514" s="48" t="str">
        <f aca="false">IF(AND(Parameter!$B$19="Ja",E1514&lt;&gt;"",ISNUMBER(MATCH(E1514,Parameter!$I$35:$I$52,0))),VLOOKUP(E1514,Parameter!$I$35:$J$52,2,0),IFERROR(VLOOKUP(D1514,Parameter!$A$35:$C$64,2,0),"Nein"))</f>
        <v>2+3</v>
      </c>
      <c r="CA1514" s="52" t="n">
        <f aca="false">IF(BW1514=0,0,IF(N(S1514)&gt;0,S1514,IFERROR(VLOOKUP(D1514,Parameter!$A$35:$C$64,3,0)+0,0)))</f>
        <v>0</v>
      </c>
      <c r="CB1514" s="48" t="n">
        <f aca="false">IF(AA1514&lt;&gt;"",AA1514,Z1514)</f>
        <v>3</v>
      </c>
      <c r="CC1514" s="48" t="str">
        <f aca="false">IF(OR(CB1514=1,CB1514=2,CB1514=3),IF(Parameter!$E$27="Ja","LIFT",IF(CB1514=1,"L1","L23")),IF(CB1514="Aussen","Aussen","-"))</f>
        <v>LIFT</v>
      </c>
      <c r="CD1514" s="59" t="n">
        <f aca="false">IF(N(AB1514)&gt;0,AB1514,0)</f>
        <v>0</v>
      </c>
      <c r="CE1514" s="53" t="n">
        <f aca="false">IF(ISNUMBER(AE1514),1,0)</f>
        <v>0</v>
      </c>
      <c r="CF1514" s="50" t="n">
        <f aca="false">N(AE1514)</f>
        <v>0</v>
      </c>
      <c r="CG1514" s="50" t="n">
        <f aca="false">N(M1514)+N(N1514)</f>
        <v>3</v>
      </c>
      <c r="CH1514" s="50" t="n">
        <f aca="false">ROUNDUP(H1514/BV1514,0)</f>
        <v>1</v>
      </c>
      <c r="CI1514" s="50" t="n">
        <f aca="false">ROUNDUP(CF1514/BV1514,0)</f>
        <v>0</v>
      </c>
      <c r="CJ1514" s="53" t="n">
        <f aca="false">IF(BW1514=1,0,IFERROR(VLOOKUP(BU1514,'Gebinde-Kategorie'!$A$5:$N$45,5,0)+0,0))</f>
        <v>8</v>
      </c>
      <c r="CK1514" s="53" t="n">
        <f aca="false">IFERROR(IF(OR(CB1514=1,CB1514=2,CB1514=3),N(INDEX(Parameter!$I$5:$I$7,CB1514)),0),0)</f>
        <v>0</v>
      </c>
      <c r="CL1514" s="52" t="n">
        <f aca="false">IF(AND(Parameter!$B$21="Ja",ISNUMBER(W1514),N(X1514)&gt;0),IFERROR(N(INDEX(Parameter!$L$5:$L$7,W1514))*INDEX(Parameter!$E$5:$E$7,W1514)*X1514/SUMIFS($X$7:$X$1843,$W$7:$W$1843,W1514),0),0)</f>
        <v>0</v>
      </c>
    </row>
    <row r="1515" customFormat="false" ht="15" hidden="false" customHeight="false" outlineLevel="0" collapsed="false">
      <c r="A1515" s="48" t="s">
        <v>2654</v>
      </c>
      <c r="B1515" s="48" t="s">
        <v>2655</v>
      </c>
      <c r="C1515" s="48" t="s">
        <v>168</v>
      </c>
      <c r="D1515" s="48" t="s">
        <v>188</v>
      </c>
      <c r="E1515" s="48" t="s">
        <v>189</v>
      </c>
      <c r="F1515" s="48"/>
      <c r="G1515" s="49" t="n">
        <v>40.36</v>
      </c>
      <c r="H1515" s="50" t="n">
        <f aca="false">MAX(0,IF(AND(Parameter!$B$21="Ja",ISNUMBER(Y1515)),Y1515,IF(Parameter!$B$20="Jahresanfang 2025 + Export",BO1515+BN1515,BN1515)))</f>
        <v>15</v>
      </c>
      <c r="I1515" s="50" t="n">
        <f aca="false">H1515*G1515</f>
        <v>605.4</v>
      </c>
      <c r="J1515" s="50" t="n">
        <f aca="false">BQ1515*Parameter!$B$18</f>
        <v>0</v>
      </c>
      <c r="K1515" s="51"/>
      <c r="L1515" s="52"/>
      <c r="M1515" s="50" t="n">
        <v>0</v>
      </c>
      <c r="N1515" s="50" t="n">
        <v>10</v>
      </c>
      <c r="O1515" s="53" t="n">
        <v>0</v>
      </c>
      <c r="P1515" s="48" t="s">
        <v>425</v>
      </c>
      <c r="Q1515" s="50" t="n">
        <v>15</v>
      </c>
      <c r="R1515" s="53" t="n">
        <f aca="false">IF(BW1515=1,0,IFERROR(VLOOKUP(BU1515,'Gebinde-Kategorie'!$A$5:$N$45,13,0)+0,0))</f>
        <v>104</v>
      </c>
      <c r="S1515" s="54"/>
      <c r="T1515" s="55"/>
      <c r="U1515" s="55"/>
      <c r="V1515" s="55"/>
      <c r="W1515" s="48"/>
      <c r="X1515" s="50"/>
      <c r="Y1515" s="50"/>
      <c r="Z1515" s="48" t="n">
        <f aca="false">IF(A1515="","",IF(AND(Parameter!$B$21="Ja",ISNUMBER(W1515)),W1515,IF(BZ1515="2+3",IF(ISNUMBER(SEARCH("grosser Artikel",BR1515)),2,IFERROR(VLOOKUP(BU1515,Parameter!$F$35:$G$64,2,0),2)),IF(OR(BZ1515="Nein",BZ1515=""),"-",BZ1515))))</f>
        <v>3</v>
      </c>
      <c r="AA1515" s="55"/>
      <c r="AB1515" s="56"/>
      <c r="AC1515" s="50" t="n">
        <f aca="false">AT1515</f>
        <v>15</v>
      </c>
      <c r="AD1515" s="50" t="n">
        <f aca="false">MAX(AT1515,H1515)</f>
        <v>15</v>
      </c>
      <c r="AE1515" s="57"/>
      <c r="AF1515" s="50" t="n">
        <f aca="false">IF(LEFT(Cockpit!$C$5,1)="A",H1515,IF(CE1515=1,CF1515,IF(LEFT(Cockpit!$C$5,1)="B",AK1515,MAX(AK1515,H1515))))</f>
        <v>15</v>
      </c>
      <c r="AG1515" s="50" t="n">
        <f aca="false">IF(BW1515=1,0,ROUNDUP(AF1515/BV1515,0))</f>
        <v>1</v>
      </c>
      <c r="AH1515" s="52" t="n">
        <f aca="false">IF(CL1515&gt;0,CL1515*MAX(1,AF1515/X1515),IF(BW1515=1,IF(AF1515&lt;=0,0,CA1515*MAX(1,IF(H1515&gt;0,AF1515/H1515,1))),IF(R1515&gt;0,AG1515/R1515,0))/MAX(0.1,N(Parameter!$M$21)))</f>
        <v>0.00961538461538462</v>
      </c>
      <c r="AI1515" s="50" t="n">
        <f aca="false">AH1515*BY1515</f>
        <v>1.49038461538462</v>
      </c>
      <c r="AJ1515" s="50" t="n">
        <f aca="false">AF1515*G1515</f>
        <v>605.4</v>
      </c>
      <c r="AK1515" s="50" t="n">
        <f aca="false">ROUNDUP(MAX(J1515/IF(CD1515&gt;0,CD1515,MAX(0.1,N(Cockpit!$C$6))),CG1515)/BV1515,0)*BV1515</f>
        <v>15</v>
      </c>
      <c r="AL1515" s="51" t="n">
        <f aca="false">IF(AI1515&gt;0,J1515/AI1515,-1)</f>
        <v>0</v>
      </c>
      <c r="AM1515" s="51" t="n">
        <f aca="false">IF(AND(OR(CC1515="L1",CC1515="L23",CC1515="LIFT"),AI1515&gt;0),SUMIFS($AI$7:$AI$1843,$CC$7:$CC$1843,CC1515,$AL$7:$AL$1843,"&gt;"&amp;AL1515)+SUMIFS($AI$7:$AI$1843,$CC$7:$CC$1843,CC1515,$AL$7:$AL$1843,AL1515,$BT$7:$BT$1843,"&lt;="&amp;BT1515),"")</f>
        <v>29952.8038844395</v>
      </c>
      <c r="AN1515" s="58" t="n">
        <f aca="false">IF(AM1515="",0,MAX(0,MIN(1,(IF(CC1515="L1",Parameter!$H$5,IF(CC1515="L23",Parameter!$H$6+Parameter!$H$7,Parameter!$H$5+Parameter!$H$6+Parameter!$H$7))-(AM1515-AI1515))/AI1515)))</f>
        <v>1</v>
      </c>
      <c r="AO1515" s="50" t="n">
        <f aca="false">IF(LEFT(Cockpit!$I$5,1)="A",H1515,IF(CE1515=1,CF1515,IF(LEFT(Cockpit!$I$5,1)="B",AT1515,MAX(AT1515,H1515))))</f>
        <v>15</v>
      </c>
      <c r="AP1515" s="50" t="n">
        <f aca="false">IF(BW1515=1,0,ROUNDUP(AO1515/BV1515,0))</f>
        <v>1</v>
      </c>
      <c r="AQ1515" s="52" t="n">
        <f aca="false">IF(CL1515&gt;0,CL1515*MAX(1,AO1515/X1515),IF(BW1515=1,IF(AO1515&lt;=0,0,CA1515*MAX(1,IF(H1515&gt;0,AO1515/H1515,1))),IF(R1515&gt;0,AP1515/R1515,0))/MAX(0.1,N(Parameter!$M$21)))</f>
        <v>0.00961538461538462</v>
      </c>
      <c r="AR1515" s="50" t="n">
        <f aca="false">AQ1515*BY1515</f>
        <v>1.49038461538462</v>
      </c>
      <c r="AS1515" s="50" t="n">
        <f aca="false">AO1515*G1515</f>
        <v>605.4</v>
      </c>
      <c r="AT1515" s="50" t="n">
        <f aca="false">ROUNDUP(MAX(J1515/IF(CD1515&gt;0,CD1515,MAX(0.1,N(Cockpit!$I$6))),CG1515)/BV1515,0)*BV1515</f>
        <v>15</v>
      </c>
      <c r="AU1515" s="51" t="n">
        <f aca="false">IF(AR1515&gt;0,J1515/AR1515,-1)</f>
        <v>0</v>
      </c>
      <c r="AV1515" s="51" t="n">
        <f aca="false">IF(AND(OR(CC1515="L1",CC1515="L23",CC1515="LIFT"),AR1515&gt;0),SUMIFS($AR$7:$AR$1843,$CC$7:$CC$1843,CC1515,$AU$7:$AU$1843,"&gt;"&amp;AU1515)+SUMIFS($AR$7:$AR$1843,$CC$7:$CC$1843,CC1515,$AU$7:$AU$1843,AU1515,$BT$7:$BT$1843,"&lt;="&amp;BT1515),"")</f>
        <v>42246.6823870574</v>
      </c>
      <c r="AW1515" s="58" t="n">
        <f aca="false">IF(AV1515="",0,MAX(0,MIN(1,(IF(CC1515="L1",Parameter!$H$5,IF(CC1515="L23",Parameter!$H$6+Parameter!$H$7,Parameter!$H$5+Parameter!$H$6+Parameter!$H$7))-(AV1515-AR1515))/AR1515)))</f>
        <v>0</v>
      </c>
      <c r="AX1515" s="50" t="n">
        <f aca="false">IF(LEFT(Cockpit!$O$5,1)="A",H1515,IF(CE1515=1,CF1515,IF(LEFT(Cockpit!$O$5,1)="B",BC1515,MAX(BC1515,H1515))))</f>
        <v>15</v>
      </c>
      <c r="AY1515" s="50" t="n">
        <f aca="false">IF(BW1515=1,0,ROUNDUP(AX1515/BV1515,0))</f>
        <v>1</v>
      </c>
      <c r="AZ1515" s="52" t="n">
        <f aca="false">IF(CL1515&gt;0,CL1515*MAX(1,AX1515/X1515),IF(BW1515=1,IF(AX1515&lt;=0,0,CA1515*MAX(1,IF(H1515&gt;0,AX1515/H1515,1))),IF(R1515&gt;0,AY1515/R1515,0))/MAX(0.1,N(Parameter!$M$21)))</f>
        <v>0.00961538461538462</v>
      </c>
      <c r="BA1515" s="50" t="n">
        <f aca="false">AZ1515*BY1515</f>
        <v>1.49038461538462</v>
      </c>
      <c r="BB1515" s="50" t="n">
        <f aca="false">AX1515*G1515</f>
        <v>605.4</v>
      </c>
      <c r="BC1515" s="50" t="n">
        <f aca="false">ROUNDUP(MAX(J1515/IF(CD1515&gt;0,CD1515,MAX(0.1,N(Cockpit!$O$6))),CG1515)/BV1515,0)*BV1515</f>
        <v>15</v>
      </c>
      <c r="BD1515" s="51" t="n">
        <f aca="false">IF(BA1515&gt;0,J1515/BA1515,-1)</f>
        <v>0</v>
      </c>
      <c r="BE1515" s="51" t="n">
        <f aca="false">IF(AND(OR(CC1515="L1",CC1515="L23",CC1515="LIFT"),BA1515&gt;0),SUMIFS($BA$7:$BA$1843,$CC$7:$CC$1843,CC1515,$BD$7:$BD$1843,"&gt;"&amp;BD1515)+SUMIFS($BA$7:$BA$1843,$CC$7:$CC$1843,CC1515,$BD$7:$BD$1843,BD1515,$BT$7:$BT$1843,"&lt;="&amp;BT1515),"")</f>
        <v>38921.6944289233</v>
      </c>
      <c r="BF1515" s="58" t="n">
        <f aca="false">IF(BE1515="",0,MAX(0,MIN(1,(IF(CC1515="L1",Parameter!$H$5,IF(CC1515="L23",Parameter!$H$6+Parameter!$H$7,Parameter!$H$5+Parameter!$H$6+Parameter!$H$7))-(BE1515-BA1515))/BA1515)))</f>
        <v>0</v>
      </c>
      <c r="BG1515" s="48" t="str">
        <f aca="false">IF(AI1515&lt;=0,"",IF(CC1515="Aussen","Aussenlager",IF(CC1515="-","Nicht im Lift",IF(AN1515&gt;=1,"Lift",IF(AN1515&lt;=0,"Aussenlager","teilweise")))))</f>
        <v>Lift</v>
      </c>
      <c r="BH1515" s="48" t="str">
        <f aca="false">IF(AR1515&lt;=0,"",IF(CC1515="Aussen","Aussenlager",IF(CC1515="-","Nicht im Lift",IF(AW1515&gt;=1,"Lift",IF(AW1515&lt;=0,"Aussenlager","teilweise")))))</f>
        <v>Aussenlager</v>
      </c>
      <c r="BI1515" s="48" t="str">
        <f aca="false">IF(BA1515&lt;=0,"",IF(CC1515="Aussen","Aussenlager",IF(CC1515="-","Nicht im Lift",IF(BF1515&gt;=1,"Lift",IF(BF1515&lt;=0,"Aussenlager","teilweise")))))</f>
        <v>Aussenlager</v>
      </c>
      <c r="BJ1515" s="48" t="str">
        <f aca="false">IF(A1515="","",IF(BS1515=1,"Neu; ","")&amp;IF(AND(BS1515=0,BN1515&lt;0),"negativer Bestand (Export "&amp;BN1515&amp;"); ","")&amp;IF(J1515&lt;=0,"Kein Verbrauch; ","")&amp;IF(CL1515&gt;0,"Lift "&amp;W1515&amp;" lt. Liftbericht (Fach "&amp;X1515&amp;" Stk); ",IF(BX1515=1,"Gebinde geschätzt ("&amp;T1515&amp;"); ",IF(BW1515=1,"Lose – Tablare geschätzt; ","")))&amp;IF(H1515&gt;AT1515,"Überbestand "&amp;ROUND(H1515-AT1515,0)&amp;" Stk / CHF "&amp;ROUND((H1515-AT1515)*G1515,0)&amp;"; ","")&amp;IF(AND(CE1515=1,CF1515&lt;CG1515),"MAX &lt; MB+LG; ","")&amp;IF(AND(CK1515&gt;0,CJ1515*10&gt;CK1515),"zu hoch für Tablar; ","")&amp;IF(AND(BS1515=0,OR(CE1515=1,AA1515&lt;&gt;"",U1515&lt;&gt;"",V1515&lt;&gt;"",AB1515&lt;&gt;"")),"manuell übersteuert; ","")&amp;IF(AND(BW1515=0,R1515=0),"Gebinde unbekannt / Stellmass fehlt; ","")&amp;IF(AND(BW1515=0,N(V1515)&lt;=0,N(Q1515)&lt;=0),"Menge pro Gebinde fehlt (Ist = 1 Gebinde); ","")&amp;BR1515)</f>
        <v>Kein Verbrauch; nur im Artikelstamm (Bestand 23.06.2026); Überbestand</v>
      </c>
      <c r="BK1515" s="48"/>
      <c r="BL1515" s="48"/>
      <c r="BM1515" s="55"/>
      <c r="BN1515" s="50" t="n">
        <v>15</v>
      </c>
      <c r="BO1515" s="50" t="n">
        <v>0</v>
      </c>
      <c r="BP1515" s="49" t="n">
        <v>0</v>
      </c>
      <c r="BQ1515" s="50" t="n">
        <v>0</v>
      </c>
      <c r="BR1515" s="48" t="s">
        <v>2576</v>
      </c>
      <c r="BS1515" s="53" t="n">
        <v>0</v>
      </c>
      <c r="BT1515" s="53" t="n">
        <v>1515</v>
      </c>
      <c r="BU1515" s="48" t="str">
        <f aca="false">IF(U1515&lt;&gt;"",UPPER(TRIM(U1515)),IF(BX1515=1,UPPER(VLOOKUP(T1515,Parameter!$I$27:$K$29,2,0)),IF(P1515="","LOSE",P1515)))</f>
        <v>S32</v>
      </c>
      <c r="BV1515" s="50" t="n">
        <f aca="false">IF(BU1515="LOSE",1,IF(N(V1515)&gt;0,V1515,IF(BX1515=1,MAX(1,N(VLOOKUP(T1515,Parameter!$I$27:$K$29,3,0)),H1515,N(N1515)),IF(N(Q1515)&gt;0,Q1515,MAX(1,H1515)))))</f>
        <v>15</v>
      </c>
      <c r="BW1515" s="53" t="n">
        <f aca="false">IF(BU1515="LOSE",1,0)</f>
        <v>0</v>
      </c>
      <c r="BX1515" s="53" t="n">
        <f aca="false">IF(AND(U1515="",OR(P1515="",P1515="LOSE"),T1515&lt;&gt;"",N(S1515)&lt;=0,ISNUMBER(MATCH(T1515,Parameter!$I$27:$I$29,0))),1,0)</f>
        <v>0</v>
      </c>
      <c r="BY1515" s="53" t="n">
        <f aca="false">IF(CL1515&gt;0,INDEX(Parameter!$H$5:$H$7,W1515)/INDEX(Parameter!$E$5:$E$7,W1515),IF(AND(BW1515=0,N(IFERROR(VLOOKUP(BU1515,'Gebinde-Kategorie'!$A$5:$N$45,14,0),0))&gt;0),VLOOKUP(BU1515,'Gebinde-Kategorie'!$A$5:$N$45,14,0)*10+Parameter!$M$23,Parameter!$M$24))</f>
        <v>155</v>
      </c>
      <c r="BZ1515" s="48" t="str">
        <f aca="false">IF(AND(Parameter!$B$19="Ja",E1515&lt;&gt;"",ISNUMBER(MATCH(E1515,Parameter!$I$35:$I$52,0))),VLOOKUP(E1515,Parameter!$I$35:$J$52,2,0),IFERROR(VLOOKUP(D1515,Parameter!$A$35:$C$64,2,0),"Nein"))</f>
        <v>2+3</v>
      </c>
      <c r="CA1515" s="52" t="n">
        <f aca="false">IF(BW1515=0,0,IF(N(S1515)&gt;0,S1515,IFERROR(VLOOKUP(D1515,Parameter!$A$35:$C$64,3,0)+0,0)))</f>
        <v>0</v>
      </c>
      <c r="CB1515" s="48" t="n">
        <f aca="false">IF(AA1515&lt;&gt;"",AA1515,Z1515)</f>
        <v>3</v>
      </c>
      <c r="CC1515" s="48" t="str">
        <f aca="false">IF(OR(CB1515=1,CB1515=2,CB1515=3),IF(Parameter!$E$27="Ja","LIFT",IF(CB1515=1,"L1","L23")),IF(CB1515="Aussen","Aussen","-"))</f>
        <v>LIFT</v>
      </c>
      <c r="CD1515" s="59" t="n">
        <f aca="false">IF(N(AB1515)&gt;0,AB1515,0)</f>
        <v>0</v>
      </c>
      <c r="CE1515" s="53" t="n">
        <f aca="false">IF(ISNUMBER(AE1515),1,0)</f>
        <v>0</v>
      </c>
      <c r="CF1515" s="50" t="n">
        <f aca="false">N(AE1515)</f>
        <v>0</v>
      </c>
      <c r="CG1515" s="50" t="n">
        <f aca="false">N(M1515)+N(N1515)</f>
        <v>10</v>
      </c>
      <c r="CH1515" s="50" t="n">
        <f aca="false">ROUNDUP(H1515/BV1515,0)</f>
        <v>1</v>
      </c>
      <c r="CI1515" s="50" t="n">
        <f aca="false">ROUNDUP(CF1515/BV1515,0)</f>
        <v>0</v>
      </c>
      <c r="CJ1515" s="53" t="n">
        <f aca="false">IF(BW1515=1,0,IFERROR(VLOOKUP(BU1515,'Gebinde-Kategorie'!$A$5:$N$45,5,0)+0,0))</f>
        <v>8</v>
      </c>
      <c r="CK1515" s="53" t="n">
        <f aca="false">IFERROR(IF(OR(CB1515=1,CB1515=2,CB1515=3),N(INDEX(Parameter!$I$5:$I$7,CB1515)),0),0)</f>
        <v>0</v>
      </c>
      <c r="CL1515" s="52" t="n">
        <f aca="false">IF(AND(Parameter!$B$21="Ja",ISNUMBER(W1515),N(X1515)&gt;0),IFERROR(N(INDEX(Parameter!$L$5:$L$7,W1515))*INDEX(Parameter!$E$5:$E$7,W1515)*X1515/SUMIFS($X$7:$X$1843,$W$7:$W$1843,W1515),0),0)</f>
        <v>0</v>
      </c>
    </row>
    <row r="1516" customFormat="false" ht="15" hidden="false" customHeight="false" outlineLevel="0" collapsed="false">
      <c r="A1516" s="48" t="s">
        <v>2656</v>
      </c>
      <c r="B1516" s="48" t="s">
        <v>2657</v>
      </c>
      <c r="C1516" s="48" t="s">
        <v>168</v>
      </c>
      <c r="D1516" s="48" t="s">
        <v>188</v>
      </c>
      <c r="E1516" s="48" t="s">
        <v>189</v>
      </c>
      <c r="F1516" s="48"/>
      <c r="G1516" s="49" t="n">
        <v>55.95</v>
      </c>
      <c r="H1516" s="50" t="n">
        <f aca="false">MAX(0,IF(AND(Parameter!$B$21="Ja",ISNUMBER(Y1516)),Y1516,IF(Parameter!$B$20="Jahresanfang 2025 + Export",BO1516+BN1516,BN1516)))</f>
        <v>7</v>
      </c>
      <c r="I1516" s="50" t="n">
        <f aca="false">H1516*G1516</f>
        <v>391.65</v>
      </c>
      <c r="J1516" s="50" t="n">
        <f aca="false">BQ1516*Parameter!$B$18</f>
        <v>0</v>
      </c>
      <c r="K1516" s="51"/>
      <c r="L1516" s="52"/>
      <c r="M1516" s="50" t="n">
        <v>0</v>
      </c>
      <c r="N1516" s="50" t="n">
        <v>3</v>
      </c>
      <c r="O1516" s="53" t="n">
        <v>28</v>
      </c>
      <c r="P1516" s="48" t="s">
        <v>425</v>
      </c>
      <c r="Q1516" s="50" t="n">
        <v>7</v>
      </c>
      <c r="R1516" s="53" t="n">
        <f aca="false">IF(BW1516=1,0,IFERROR(VLOOKUP(BU1516,'Gebinde-Kategorie'!$A$5:$N$45,13,0)+0,0))</f>
        <v>104</v>
      </c>
      <c r="S1516" s="54"/>
      <c r="T1516" s="55"/>
      <c r="U1516" s="55"/>
      <c r="V1516" s="55"/>
      <c r="W1516" s="48"/>
      <c r="X1516" s="50"/>
      <c r="Y1516" s="50"/>
      <c r="Z1516" s="48" t="n">
        <f aca="false">IF(A1516="","",IF(AND(Parameter!$B$21="Ja",ISNUMBER(W1516)),W1516,IF(BZ1516="2+3",IF(ISNUMBER(SEARCH("grosser Artikel",BR1516)),2,IFERROR(VLOOKUP(BU1516,Parameter!$F$35:$G$64,2,0),2)),IF(OR(BZ1516="Nein",BZ1516=""),"-",BZ1516))))</f>
        <v>3</v>
      </c>
      <c r="AA1516" s="55"/>
      <c r="AB1516" s="56"/>
      <c r="AC1516" s="50" t="n">
        <f aca="false">AT1516</f>
        <v>7</v>
      </c>
      <c r="AD1516" s="50" t="n">
        <f aca="false">MAX(AT1516,H1516)</f>
        <v>7</v>
      </c>
      <c r="AE1516" s="57"/>
      <c r="AF1516" s="50" t="n">
        <f aca="false">IF(LEFT(Cockpit!$C$5,1)="A",H1516,IF(CE1516=1,CF1516,IF(LEFT(Cockpit!$C$5,1)="B",AK1516,MAX(AK1516,H1516))))</f>
        <v>7</v>
      </c>
      <c r="AG1516" s="50" t="n">
        <f aca="false">IF(BW1516=1,0,ROUNDUP(AF1516/BV1516,0))</f>
        <v>1</v>
      </c>
      <c r="AH1516" s="52" t="n">
        <f aca="false">IF(CL1516&gt;0,CL1516*MAX(1,AF1516/X1516),IF(BW1516=1,IF(AF1516&lt;=0,0,CA1516*MAX(1,IF(H1516&gt;0,AF1516/H1516,1))),IF(R1516&gt;0,AG1516/R1516,0))/MAX(0.1,N(Parameter!$M$21)))</f>
        <v>0.00961538461538462</v>
      </c>
      <c r="AI1516" s="50" t="n">
        <f aca="false">AH1516*BY1516</f>
        <v>1.49038461538462</v>
      </c>
      <c r="AJ1516" s="50" t="n">
        <f aca="false">AF1516*G1516</f>
        <v>391.65</v>
      </c>
      <c r="AK1516" s="50" t="n">
        <f aca="false">ROUNDUP(MAX(J1516/IF(CD1516&gt;0,CD1516,MAX(0.1,N(Cockpit!$C$6))),CG1516)/BV1516,0)*BV1516</f>
        <v>7</v>
      </c>
      <c r="AL1516" s="51" t="n">
        <f aca="false">IF(AI1516&gt;0,J1516/AI1516,-1)</f>
        <v>0</v>
      </c>
      <c r="AM1516" s="51" t="n">
        <f aca="false">IF(AND(OR(CC1516="L1",CC1516="L23",CC1516="LIFT"),AI1516&gt;0),SUMIFS($AI$7:$AI$1843,$CC$7:$CC$1843,CC1516,$AL$7:$AL$1843,"&gt;"&amp;AL1516)+SUMIFS($AI$7:$AI$1843,$CC$7:$CC$1843,CC1516,$AL$7:$AL$1843,AL1516,$BT$7:$BT$1843,"&lt;="&amp;BT1516),"")</f>
        <v>29954.2942690549</v>
      </c>
      <c r="AN1516" s="58" t="n">
        <f aca="false">IF(AM1516="",0,MAX(0,MIN(1,(IF(CC1516="L1",Parameter!$H$5,IF(CC1516="L23",Parameter!$H$6+Parameter!$H$7,Parameter!$H$5+Parameter!$H$6+Parameter!$H$7))-(AM1516-AI1516))/AI1516)))</f>
        <v>1</v>
      </c>
      <c r="AO1516" s="50" t="n">
        <f aca="false">IF(LEFT(Cockpit!$I$5,1)="A",H1516,IF(CE1516=1,CF1516,IF(LEFT(Cockpit!$I$5,1)="B",AT1516,MAX(AT1516,H1516))))</f>
        <v>7</v>
      </c>
      <c r="AP1516" s="50" t="n">
        <f aca="false">IF(BW1516=1,0,ROUNDUP(AO1516/BV1516,0))</f>
        <v>1</v>
      </c>
      <c r="AQ1516" s="52" t="n">
        <f aca="false">IF(CL1516&gt;0,CL1516*MAX(1,AO1516/X1516),IF(BW1516=1,IF(AO1516&lt;=0,0,CA1516*MAX(1,IF(H1516&gt;0,AO1516/H1516,1))),IF(R1516&gt;0,AP1516/R1516,0))/MAX(0.1,N(Parameter!$M$21)))</f>
        <v>0.00961538461538462</v>
      </c>
      <c r="AR1516" s="50" t="n">
        <f aca="false">AQ1516*BY1516</f>
        <v>1.49038461538462</v>
      </c>
      <c r="AS1516" s="50" t="n">
        <f aca="false">AO1516*G1516</f>
        <v>391.65</v>
      </c>
      <c r="AT1516" s="50" t="n">
        <f aca="false">ROUNDUP(MAX(J1516/IF(CD1516&gt;0,CD1516,MAX(0.1,N(Cockpit!$I$6))),CG1516)/BV1516,0)*BV1516</f>
        <v>7</v>
      </c>
      <c r="AU1516" s="51" t="n">
        <f aca="false">IF(AR1516&gt;0,J1516/AR1516,-1)</f>
        <v>0</v>
      </c>
      <c r="AV1516" s="51" t="n">
        <f aca="false">IF(AND(OR(CC1516="L1",CC1516="L23",CC1516="LIFT"),AR1516&gt;0),SUMIFS($AR$7:$AR$1843,$CC$7:$CC$1843,CC1516,$AU$7:$AU$1843,"&gt;"&amp;AU1516)+SUMIFS($AR$7:$AR$1843,$CC$7:$CC$1843,CC1516,$AU$7:$AU$1843,AU1516,$BT$7:$BT$1843,"&lt;="&amp;BT1516),"")</f>
        <v>42248.1727716728</v>
      </c>
      <c r="AW1516" s="58" t="n">
        <f aca="false">IF(AV1516="",0,MAX(0,MIN(1,(IF(CC1516="L1",Parameter!$H$5,IF(CC1516="L23",Parameter!$H$6+Parameter!$H$7,Parameter!$H$5+Parameter!$H$6+Parameter!$H$7))-(AV1516-AR1516))/AR1516)))</f>
        <v>0</v>
      </c>
      <c r="AX1516" s="50" t="n">
        <f aca="false">IF(LEFT(Cockpit!$O$5,1)="A",H1516,IF(CE1516=1,CF1516,IF(LEFT(Cockpit!$O$5,1)="B",BC1516,MAX(BC1516,H1516))))</f>
        <v>7</v>
      </c>
      <c r="AY1516" s="50" t="n">
        <f aca="false">IF(BW1516=1,0,ROUNDUP(AX1516/BV1516,0))</f>
        <v>1</v>
      </c>
      <c r="AZ1516" s="52" t="n">
        <f aca="false">IF(CL1516&gt;0,CL1516*MAX(1,AX1516/X1516),IF(BW1516=1,IF(AX1516&lt;=0,0,CA1516*MAX(1,IF(H1516&gt;0,AX1516/H1516,1))),IF(R1516&gt;0,AY1516/R1516,0))/MAX(0.1,N(Parameter!$M$21)))</f>
        <v>0.00961538461538462</v>
      </c>
      <c r="BA1516" s="50" t="n">
        <f aca="false">AZ1516*BY1516</f>
        <v>1.49038461538462</v>
      </c>
      <c r="BB1516" s="50" t="n">
        <f aca="false">AX1516*G1516</f>
        <v>391.65</v>
      </c>
      <c r="BC1516" s="50" t="n">
        <f aca="false">ROUNDUP(MAX(J1516/IF(CD1516&gt;0,CD1516,MAX(0.1,N(Cockpit!$O$6))),CG1516)/BV1516,0)*BV1516</f>
        <v>7</v>
      </c>
      <c r="BD1516" s="51" t="n">
        <f aca="false">IF(BA1516&gt;0,J1516/BA1516,-1)</f>
        <v>0</v>
      </c>
      <c r="BE1516" s="51" t="n">
        <f aca="false">IF(AND(OR(CC1516="L1",CC1516="L23",CC1516="LIFT"),BA1516&gt;0),SUMIFS($BA$7:$BA$1843,$CC$7:$CC$1843,CC1516,$BD$7:$BD$1843,"&gt;"&amp;BD1516)+SUMIFS($BA$7:$BA$1843,$CC$7:$CC$1843,CC1516,$BD$7:$BD$1843,BD1516,$BT$7:$BT$1843,"&lt;="&amp;BT1516),"")</f>
        <v>38923.1848135386</v>
      </c>
      <c r="BF1516" s="58" t="n">
        <f aca="false">IF(BE1516="",0,MAX(0,MIN(1,(IF(CC1516="L1",Parameter!$H$5,IF(CC1516="L23",Parameter!$H$6+Parameter!$H$7,Parameter!$H$5+Parameter!$H$6+Parameter!$H$7))-(BE1516-BA1516))/BA1516)))</f>
        <v>0</v>
      </c>
      <c r="BG1516" s="48" t="str">
        <f aca="false">IF(AI1516&lt;=0,"",IF(CC1516="Aussen","Aussenlager",IF(CC1516="-","Nicht im Lift",IF(AN1516&gt;=1,"Lift",IF(AN1516&lt;=0,"Aussenlager","teilweise")))))</f>
        <v>Lift</v>
      </c>
      <c r="BH1516" s="48" t="str">
        <f aca="false">IF(AR1516&lt;=0,"",IF(CC1516="Aussen","Aussenlager",IF(CC1516="-","Nicht im Lift",IF(AW1516&gt;=1,"Lift",IF(AW1516&lt;=0,"Aussenlager","teilweise")))))</f>
        <v>Aussenlager</v>
      </c>
      <c r="BI1516" s="48" t="str">
        <f aca="false">IF(BA1516&lt;=0,"",IF(CC1516="Aussen","Aussenlager",IF(CC1516="-","Nicht im Lift",IF(BF1516&gt;=1,"Lift",IF(BF1516&lt;=0,"Aussenlager","teilweise")))))</f>
        <v>Aussenlager</v>
      </c>
      <c r="BJ1516" s="48" t="str">
        <f aca="false">IF(A1516="","",IF(BS1516=1,"Neu; ","")&amp;IF(AND(BS1516=0,BN1516&lt;0),"negativer Bestand (Export "&amp;BN1516&amp;"); ","")&amp;IF(J1516&lt;=0,"Kein Verbrauch; ","")&amp;IF(CL1516&gt;0,"Lift "&amp;W1516&amp;" lt. Liftbericht (Fach "&amp;X1516&amp;" Stk); ",IF(BX1516=1,"Gebinde geschätzt ("&amp;T1516&amp;"); ",IF(BW1516=1,"Lose – Tablare geschätzt; ","")))&amp;IF(H1516&gt;AT1516,"Überbestand "&amp;ROUND(H1516-AT1516,0)&amp;" Stk / CHF "&amp;ROUND((H1516-AT1516)*G1516,0)&amp;"; ","")&amp;IF(AND(CE1516=1,CF1516&lt;CG1516),"MAX &lt; MB+LG; ","")&amp;IF(AND(CK1516&gt;0,CJ1516*10&gt;CK1516),"zu hoch für Tablar; ","")&amp;IF(AND(BS1516=0,OR(CE1516=1,AA1516&lt;&gt;"",U1516&lt;&gt;"",V1516&lt;&gt;"",AB1516&lt;&gt;"")),"manuell übersteuert; ","")&amp;IF(AND(BW1516=0,R1516=0),"Gebinde unbekannt / Stellmass fehlt; ","")&amp;IF(AND(BW1516=0,N(V1516)&lt;=0,N(Q1516)&lt;=0),"Menge pro Gebinde fehlt (Ist = 1 Gebinde); ","")&amp;BR1516)</f>
        <v>Kein Verbrauch; nur im Artikelstamm (Bestand 23.06.2026); Verb.Lager</v>
      </c>
      <c r="BK1516" s="48"/>
      <c r="BL1516" s="48"/>
      <c r="BM1516" s="55"/>
      <c r="BN1516" s="50" t="n">
        <v>7</v>
      </c>
      <c r="BO1516" s="50" t="n">
        <v>0</v>
      </c>
      <c r="BP1516" s="49" t="n">
        <v>0</v>
      </c>
      <c r="BQ1516" s="50" t="n">
        <v>0</v>
      </c>
      <c r="BR1516" s="48" t="s">
        <v>2573</v>
      </c>
      <c r="BS1516" s="53" t="n">
        <v>0</v>
      </c>
      <c r="BT1516" s="53" t="n">
        <v>1516</v>
      </c>
      <c r="BU1516" s="48" t="str">
        <f aca="false">IF(U1516&lt;&gt;"",UPPER(TRIM(U1516)),IF(BX1516=1,UPPER(VLOOKUP(T1516,Parameter!$I$27:$K$29,2,0)),IF(P1516="","LOSE",P1516)))</f>
        <v>S32</v>
      </c>
      <c r="BV1516" s="50" t="n">
        <f aca="false">IF(BU1516="LOSE",1,IF(N(V1516)&gt;0,V1516,IF(BX1516=1,MAX(1,N(VLOOKUP(T1516,Parameter!$I$27:$K$29,3,0)),H1516,N(N1516)),IF(N(Q1516)&gt;0,Q1516,MAX(1,H1516)))))</f>
        <v>7</v>
      </c>
      <c r="BW1516" s="53" t="n">
        <f aca="false">IF(BU1516="LOSE",1,0)</f>
        <v>0</v>
      </c>
      <c r="BX1516" s="53" t="n">
        <f aca="false">IF(AND(U1516="",OR(P1516="",P1516="LOSE"),T1516&lt;&gt;"",N(S1516)&lt;=0,ISNUMBER(MATCH(T1516,Parameter!$I$27:$I$29,0))),1,0)</f>
        <v>0</v>
      </c>
      <c r="BY1516" s="53" t="n">
        <f aca="false">IF(CL1516&gt;0,INDEX(Parameter!$H$5:$H$7,W1516)/INDEX(Parameter!$E$5:$E$7,W1516),IF(AND(BW1516=0,N(IFERROR(VLOOKUP(BU1516,'Gebinde-Kategorie'!$A$5:$N$45,14,0),0))&gt;0),VLOOKUP(BU1516,'Gebinde-Kategorie'!$A$5:$N$45,14,0)*10+Parameter!$M$23,Parameter!$M$24))</f>
        <v>155</v>
      </c>
      <c r="BZ1516" s="48" t="str">
        <f aca="false">IF(AND(Parameter!$B$19="Ja",E1516&lt;&gt;"",ISNUMBER(MATCH(E1516,Parameter!$I$35:$I$52,0))),VLOOKUP(E1516,Parameter!$I$35:$J$52,2,0),IFERROR(VLOOKUP(D1516,Parameter!$A$35:$C$64,2,0),"Nein"))</f>
        <v>2+3</v>
      </c>
      <c r="CA1516" s="52" t="n">
        <f aca="false">IF(BW1516=0,0,IF(N(S1516)&gt;0,S1516,IFERROR(VLOOKUP(D1516,Parameter!$A$35:$C$64,3,0)+0,0)))</f>
        <v>0</v>
      </c>
      <c r="CB1516" s="48" t="n">
        <f aca="false">IF(AA1516&lt;&gt;"",AA1516,Z1516)</f>
        <v>3</v>
      </c>
      <c r="CC1516" s="48" t="str">
        <f aca="false">IF(OR(CB1516=1,CB1516=2,CB1516=3),IF(Parameter!$E$27="Ja","LIFT",IF(CB1516=1,"L1","L23")),IF(CB1516="Aussen","Aussen","-"))</f>
        <v>LIFT</v>
      </c>
      <c r="CD1516" s="59" t="n">
        <f aca="false">IF(N(AB1516)&gt;0,AB1516,0)</f>
        <v>0</v>
      </c>
      <c r="CE1516" s="53" t="n">
        <f aca="false">IF(ISNUMBER(AE1516),1,0)</f>
        <v>0</v>
      </c>
      <c r="CF1516" s="50" t="n">
        <f aca="false">N(AE1516)</f>
        <v>0</v>
      </c>
      <c r="CG1516" s="50" t="n">
        <f aca="false">N(M1516)+N(N1516)</f>
        <v>3</v>
      </c>
      <c r="CH1516" s="50" t="n">
        <f aca="false">ROUNDUP(H1516/BV1516,0)</f>
        <v>1</v>
      </c>
      <c r="CI1516" s="50" t="n">
        <f aca="false">ROUNDUP(CF1516/BV1516,0)</f>
        <v>0</v>
      </c>
      <c r="CJ1516" s="53" t="n">
        <f aca="false">IF(BW1516=1,0,IFERROR(VLOOKUP(BU1516,'Gebinde-Kategorie'!$A$5:$N$45,5,0)+0,0))</f>
        <v>8</v>
      </c>
      <c r="CK1516" s="53" t="n">
        <f aca="false">IFERROR(IF(OR(CB1516=1,CB1516=2,CB1516=3),N(INDEX(Parameter!$I$5:$I$7,CB1516)),0),0)</f>
        <v>0</v>
      </c>
      <c r="CL1516" s="52" t="n">
        <f aca="false">IF(AND(Parameter!$B$21="Ja",ISNUMBER(W1516),N(X1516)&gt;0),IFERROR(N(INDEX(Parameter!$L$5:$L$7,W1516))*INDEX(Parameter!$E$5:$E$7,W1516)*X1516/SUMIFS($X$7:$X$1843,$W$7:$W$1843,W1516),0),0)</f>
        <v>0</v>
      </c>
    </row>
    <row r="1517" customFormat="false" ht="15" hidden="false" customHeight="false" outlineLevel="0" collapsed="false">
      <c r="A1517" s="48" t="s">
        <v>2658</v>
      </c>
      <c r="B1517" s="48" t="s">
        <v>2659</v>
      </c>
      <c r="C1517" s="48" t="s">
        <v>168</v>
      </c>
      <c r="D1517" s="48" t="s">
        <v>188</v>
      </c>
      <c r="E1517" s="48" t="s">
        <v>189</v>
      </c>
      <c r="F1517" s="48"/>
      <c r="G1517" s="49" t="n">
        <v>76.11</v>
      </c>
      <c r="H1517" s="50" t="n">
        <f aca="false">MAX(0,IF(AND(Parameter!$B$21="Ja",ISNUMBER(Y1517)),Y1517,IF(Parameter!$B$20="Jahresanfang 2025 + Export",BO1517+BN1517,BN1517)))</f>
        <v>78</v>
      </c>
      <c r="I1517" s="50" t="n">
        <f aca="false">H1517*G1517</f>
        <v>5936.58</v>
      </c>
      <c r="J1517" s="50" t="n">
        <f aca="false">BQ1517*Parameter!$B$18</f>
        <v>0</v>
      </c>
      <c r="K1517" s="51"/>
      <c r="L1517" s="52"/>
      <c r="M1517" s="50" t="n">
        <v>0</v>
      </c>
      <c r="N1517" s="50" t="n">
        <v>10</v>
      </c>
      <c r="O1517" s="53" t="n">
        <v>42</v>
      </c>
      <c r="P1517" s="48" t="s">
        <v>297</v>
      </c>
      <c r="Q1517" s="50" t="n">
        <v>78</v>
      </c>
      <c r="R1517" s="53" t="n">
        <f aca="false">IF(BW1517=1,0,IFERROR(VLOOKUP(BU1517,'Gebinde-Kategorie'!$A$5:$N$45,13,0)+0,0))</f>
        <v>12</v>
      </c>
      <c r="S1517" s="54"/>
      <c r="T1517" s="55"/>
      <c r="U1517" s="55"/>
      <c r="V1517" s="55"/>
      <c r="W1517" s="48"/>
      <c r="X1517" s="50"/>
      <c r="Y1517" s="50"/>
      <c r="Z1517" s="48" t="n">
        <f aca="false">IF(A1517="","",IF(AND(Parameter!$B$21="Ja",ISNUMBER(W1517)),W1517,IF(BZ1517="2+3",IF(ISNUMBER(SEARCH("grosser Artikel",BR1517)),2,IFERROR(VLOOKUP(BU1517,Parameter!$F$35:$G$64,2,0),2)),IF(OR(BZ1517="Nein",BZ1517=""),"-",BZ1517))))</f>
        <v>2</v>
      </c>
      <c r="AA1517" s="55"/>
      <c r="AB1517" s="56"/>
      <c r="AC1517" s="50" t="n">
        <f aca="false">AT1517</f>
        <v>78</v>
      </c>
      <c r="AD1517" s="50" t="n">
        <f aca="false">MAX(AT1517,H1517)</f>
        <v>78</v>
      </c>
      <c r="AE1517" s="57"/>
      <c r="AF1517" s="50" t="n">
        <f aca="false">IF(LEFT(Cockpit!$C$5,1)="A",H1517,IF(CE1517=1,CF1517,IF(LEFT(Cockpit!$C$5,1)="B",AK1517,MAX(AK1517,H1517))))</f>
        <v>78</v>
      </c>
      <c r="AG1517" s="50" t="n">
        <f aca="false">IF(BW1517=1,0,ROUNDUP(AF1517/BV1517,0))</f>
        <v>1</v>
      </c>
      <c r="AH1517" s="52" t="n">
        <f aca="false">IF(CL1517&gt;0,CL1517*MAX(1,AF1517/X1517),IF(BW1517=1,IF(AF1517&lt;=0,0,CA1517*MAX(1,IF(H1517&gt;0,AF1517/H1517,1))),IF(R1517&gt;0,AG1517/R1517,0))/MAX(0.1,N(Parameter!$M$21)))</f>
        <v>0.0833333333333333</v>
      </c>
      <c r="AI1517" s="50" t="n">
        <f aca="false">AH1517*BY1517</f>
        <v>20.4166666666667</v>
      </c>
      <c r="AJ1517" s="50" t="n">
        <f aca="false">AF1517*G1517</f>
        <v>5936.58</v>
      </c>
      <c r="AK1517" s="50" t="n">
        <f aca="false">ROUNDUP(MAX(J1517/IF(CD1517&gt;0,CD1517,MAX(0.1,N(Cockpit!$C$6))),CG1517)/BV1517,0)*BV1517</f>
        <v>78</v>
      </c>
      <c r="AL1517" s="51" t="n">
        <f aca="false">IF(AI1517&gt;0,J1517/AI1517,-1)</f>
        <v>0</v>
      </c>
      <c r="AM1517" s="51" t="n">
        <f aca="false">IF(AND(OR(CC1517="L1",CC1517="L23",CC1517="LIFT"),AI1517&gt;0),SUMIFS($AI$7:$AI$1843,$CC$7:$CC$1843,CC1517,$AL$7:$AL$1843,"&gt;"&amp;AL1517)+SUMIFS($AI$7:$AI$1843,$CC$7:$CC$1843,CC1517,$AL$7:$AL$1843,AL1517,$BT$7:$BT$1843,"&lt;="&amp;BT1517),"")</f>
        <v>29974.7109357215</v>
      </c>
      <c r="AN1517" s="58" t="n">
        <f aca="false">IF(AM1517="",0,MAX(0,MIN(1,(IF(CC1517="L1",Parameter!$H$5,IF(CC1517="L23",Parameter!$H$6+Parameter!$H$7,Parameter!$H$5+Parameter!$H$6+Parameter!$H$7))-(AM1517-AI1517))/AI1517)))</f>
        <v>1</v>
      </c>
      <c r="AO1517" s="50" t="n">
        <f aca="false">IF(LEFT(Cockpit!$I$5,1)="A",H1517,IF(CE1517=1,CF1517,IF(LEFT(Cockpit!$I$5,1)="B",AT1517,MAX(AT1517,H1517))))</f>
        <v>78</v>
      </c>
      <c r="AP1517" s="50" t="n">
        <f aca="false">IF(BW1517=1,0,ROUNDUP(AO1517/BV1517,0))</f>
        <v>1</v>
      </c>
      <c r="AQ1517" s="52" t="n">
        <f aca="false">IF(CL1517&gt;0,CL1517*MAX(1,AO1517/X1517),IF(BW1517=1,IF(AO1517&lt;=0,0,CA1517*MAX(1,IF(H1517&gt;0,AO1517/H1517,1))),IF(R1517&gt;0,AP1517/R1517,0))/MAX(0.1,N(Parameter!$M$21)))</f>
        <v>0.0833333333333333</v>
      </c>
      <c r="AR1517" s="50" t="n">
        <f aca="false">AQ1517*BY1517</f>
        <v>20.4166666666667</v>
      </c>
      <c r="AS1517" s="50" t="n">
        <f aca="false">AO1517*G1517</f>
        <v>5936.58</v>
      </c>
      <c r="AT1517" s="50" t="n">
        <f aca="false">ROUNDUP(MAX(J1517/IF(CD1517&gt;0,CD1517,MAX(0.1,N(Cockpit!$I$6))),CG1517)/BV1517,0)*BV1517</f>
        <v>78</v>
      </c>
      <c r="AU1517" s="51" t="n">
        <f aca="false">IF(AR1517&gt;0,J1517/AR1517,-1)</f>
        <v>0</v>
      </c>
      <c r="AV1517" s="51" t="n">
        <f aca="false">IF(AND(OR(CC1517="L1",CC1517="L23",CC1517="LIFT"),AR1517&gt;0),SUMIFS($AR$7:$AR$1843,$CC$7:$CC$1843,CC1517,$AU$7:$AU$1843,"&gt;"&amp;AU1517)+SUMIFS($AR$7:$AR$1843,$CC$7:$CC$1843,CC1517,$AU$7:$AU$1843,AU1517,$BT$7:$BT$1843,"&lt;="&amp;BT1517),"")</f>
        <v>42268.5894383394</v>
      </c>
      <c r="AW1517" s="58" t="n">
        <f aca="false">IF(AV1517="",0,MAX(0,MIN(1,(IF(CC1517="L1",Parameter!$H$5,IF(CC1517="L23",Parameter!$H$6+Parameter!$H$7,Parameter!$H$5+Parameter!$H$6+Parameter!$H$7))-(AV1517-AR1517))/AR1517)))</f>
        <v>0</v>
      </c>
      <c r="AX1517" s="50" t="n">
        <f aca="false">IF(LEFT(Cockpit!$O$5,1)="A",H1517,IF(CE1517=1,CF1517,IF(LEFT(Cockpit!$O$5,1)="B",BC1517,MAX(BC1517,H1517))))</f>
        <v>78</v>
      </c>
      <c r="AY1517" s="50" t="n">
        <f aca="false">IF(BW1517=1,0,ROUNDUP(AX1517/BV1517,0))</f>
        <v>1</v>
      </c>
      <c r="AZ1517" s="52" t="n">
        <f aca="false">IF(CL1517&gt;0,CL1517*MAX(1,AX1517/X1517),IF(BW1517=1,IF(AX1517&lt;=0,0,CA1517*MAX(1,IF(H1517&gt;0,AX1517/H1517,1))),IF(R1517&gt;0,AY1517/R1517,0))/MAX(0.1,N(Parameter!$M$21)))</f>
        <v>0.0833333333333333</v>
      </c>
      <c r="BA1517" s="50" t="n">
        <f aca="false">AZ1517*BY1517</f>
        <v>20.4166666666667</v>
      </c>
      <c r="BB1517" s="50" t="n">
        <f aca="false">AX1517*G1517</f>
        <v>5936.58</v>
      </c>
      <c r="BC1517" s="50" t="n">
        <f aca="false">ROUNDUP(MAX(J1517/IF(CD1517&gt;0,CD1517,MAX(0.1,N(Cockpit!$O$6))),CG1517)/BV1517,0)*BV1517</f>
        <v>78</v>
      </c>
      <c r="BD1517" s="51" t="n">
        <f aca="false">IF(BA1517&gt;0,J1517/BA1517,-1)</f>
        <v>0</v>
      </c>
      <c r="BE1517" s="51" t="n">
        <f aca="false">IF(AND(OR(CC1517="L1",CC1517="L23",CC1517="LIFT"),BA1517&gt;0),SUMIFS($BA$7:$BA$1843,$CC$7:$CC$1843,CC1517,$BD$7:$BD$1843,"&gt;"&amp;BD1517)+SUMIFS($BA$7:$BA$1843,$CC$7:$CC$1843,CC1517,$BD$7:$BD$1843,BD1517,$BT$7:$BT$1843,"&lt;="&amp;BT1517),"")</f>
        <v>38943.6014802053</v>
      </c>
      <c r="BF1517" s="58" t="n">
        <f aca="false">IF(BE1517="",0,MAX(0,MIN(1,(IF(CC1517="L1",Parameter!$H$5,IF(CC1517="L23",Parameter!$H$6+Parameter!$H$7,Parameter!$H$5+Parameter!$H$6+Parameter!$H$7))-(BE1517-BA1517))/BA1517)))</f>
        <v>0</v>
      </c>
      <c r="BG1517" s="48" t="str">
        <f aca="false">IF(AI1517&lt;=0,"",IF(CC1517="Aussen","Aussenlager",IF(CC1517="-","Nicht im Lift",IF(AN1517&gt;=1,"Lift",IF(AN1517&lt;=0,"Aussenlager","teilweise")))))</f>
        <v>Lift</v>
      </c>
      <c r="BH1517" s="48" t="str">
        <f aca="false">IF(AR1517&lt;=0,"",IF(CC1517="Aussen","Aussenlager",IF(CC1517="-","Nicht im Lift",IF(AW1517&gt;=1,"Lift",IF(AW1517&lt;=0,"Aussenlager","teilweise")))))</f>
        <v>Aussenlager</v>
      </c>
      <c r="BI1517" s="48" t="str">
        <f aca="false">IF(BA1517&lt;=0,"",IF(CC1517="Aussen","Aussenlager",IF(CC1517="-","Nicht im Lift",IF(BF1517&gt;=1,"Lift",IF(BF1517&lt;=0,"Aussenlager","teilweise")))))</f>
        <v>Aussenlager</v>
      </c>
      <c r="BJ1517" s="48" t="str">
        <f aca="false">IF(A1517="","",IF(BS1517=1,"Neu; ","")&amp;IF(AND(BS1517=0,BN1517&lt;0),"negativer Bestand (Export "&amp;BN1517&amp;"); ","")&amp;IF(J1517&lt;=0,"Kein Verbrauch; ","")&amp;IF(CL1517&gt;0,"Lift "&amp;W1517&amp;" lt. Liftbericht (Fach "&amp;X1517&amp;" Stk); ",IF(BX1517=1,"Gebinde geschätzt ("&amp;T1517&amp;"); ",IF(BW1517=1,"Lose – Tablare geschätzt; ","")))&amp;IF(H1517&gt;AT1517,"Überbestand "&amp;ROUND(H1517-AT1517,0)&amp;" Stk / CHF "&amp;ROUND((H1517-AT1517)*G1517,0)&amp;"; ","")&amp;IF(AND(CE1517=1,CF1517&lt;CG1517),"MAX &lt; MB+LG; ","")&amp;IF(AND(CK1517&gt;0,CJ1517*10&gt;CK1517),"zu hoch für Tablar; ","")&amp;IF(AND(BS1517=0,OR(CE1517=1,AA1517&lt;&gt;"",U1517&lt;&gt;"",V1517&lt;&gt;"",AB1517&lt;&gt;"")),"manuell übersteuert; ","")&amp;IF(AND(BW1517=0,R1517=0),"Gebinde unbekannt / Stellmass fehlt; ","")&amp;IF(AND(BW1517=0,N(V1517)&lt;=0,N(Q1517)&lt;=0),"Menge pro Gebinde fehlt (Ist = 1 Gebinde); ","")&amp;BR1517)</f>
        <v>Kein Verbrauch; nur im Artikelstamm (Bestand 23.06.2026)</v>
      </c>
      <c r="BK1517" s="48"/>
      <c r="BL1517" s="48"/>
      <c r="BM1517" s="55"/>
      <c r="BN1517" s="50" t="n">
        <v>78</v>
      </c>
      <c r="BO1517" s="50" t="n">
        <v>0</v>
      </c>
      <c r="BP1517" s="49" t="n">
        <v>0</v>
      </c>
      <c r="BQ1517" s="50" t="n">
        <v>0</v>
      </c>
      <c r="BR1517" s="48" t="s">
        <v>2579</v>
      </c>
      <c r="BS1517" s="53" t="n">
        <v>0</v>
      </c>
      <c r="BT1517" s="53" t="n">
        <v>1517</v>
      </c>
      <c r="BU1517" s="48" t="str">
        <f aca="false">IF(U1517&lt;&gt;"",UPPER(TRIM(U1517)),IF(BX1517=1,UPPER(VLOOKUP(T1517,Parameter!$I$27:$K$29,2,0)),IF(P1517="","LOSE",P1517)))</f>
        <v>S62</v>
      </c>
      <c r="BV1517" s="50" t="n">
        <f aca="false">IF(BU1517="LOSE",1,IF(N(V1517)&gt;0,V1517,IF(BX1517=1,MAX(1,N(VLOOKUP(T1517,Parameter!$I$27:$K$29,3,0)),H1517,N(N1517)),IF(N(Q1517)&gt;0,Q1517,MAX(1,H1517)))))</f>
        <v>78</v>
      </c>
      <c r="BW1517" s="53" t="n">
        <f aca="false">IF(BU1517="LOSE",1,0)</f>
        <v>0</v>
      </c>
      <c r="BX1517" s="53" t="n">
        <f aca="false">IF(AND(U1517="",OR(P1517="",P1517="LOSE"),T1517&lt;&gt;"",N(S1517)&lt;=0,ISNUMBER(MATCH(T1517,Parameter!$I$27:$I$29,0))),1,0)</f>
        <v>0</v>
      </c>
      <c r="BY1517" s="53" t="n">
        <f aca="false">IF(CL1517&gt;0,INDEX(Parameter!$H$5:$H$7,W1517)/INDEX(Parameter!$E$5:$E$7,W1517),IF(AND(BW1517=0,N(IFERROR(VLOOKUP(BU1517,'Gebinde-Kategorie'!$A$5:$N$45,14,0),0))&gt;0),VLOOKUP(BU1517,'Gebinde-Kategorie'!$A$5:$N$45,14,0)*10+Parameter!$M$23,Parameter!$M$24))</f>
        <v>245</v>
      </c>
      <c r="BZ1517" s="48" t="str">
        <f aca="false">IF(AND(Parameter!$B$19="Ja",E1517&lt;&gt;"",ISNUMBER(MATCH(E1517,Parameter!$I$35:$I$52,0))),VLOOKUP(E1517,Parameter!$I$35:$J$52,2,0),IFERROR(VLOOKUP(D1517,Parameter!$A$35:$C$64,2,0),"Nein"))</f>
        <v>2+3</v>
      </c>
      <c r="CA1517" s="52" t="n">
        <f aca="false">IF(BW1517=0,0,IF(N(S1517)&gt;0,S1517,IFERROR(VLOOKUP(D1517,Parameter!$A$35:$C$64,3,0)+0,0)))</f>
        <v>0</v>
      </c>
      <c r="CB1517" s="48" t="n">
        <f aca="false">IF(AA1517&lt;&gt;"",AA1517,Z1517)</f>
        <v>2</v>
      </c>
      <c r="CC1517" s="48" t="str">
        <f aca="false">IF(OR(CB1517=1,CB1517=2,CB1517=3),IF(Parameter!$E$27="Ja","LIFT",IF(CB1517=1,"L1","L23")),IF(CB1517="Aussen","Aussen","-"))</f>
        <v>LIFT</v>
      </c>
      <c r="CD1517" s="59" t="n">
        <f aca="false">IF(N(AB1517)&gt;0,AB1517,0)</f>
        <v>0</v>
      </c>
      <c r="CE1517" s="53" t="n">
        <f aca="false">IF(ISNUMBER(AE1517),1,0)</f>
        <v>0</v>
      </c>
      <c r="CF1517" s="50" t="n">
        <f aca="false">N(AE1517)</f>
        <v>0</v>
      </c>
      <c r="CG1517" s="50" t="n">
        <f aca="false">N(M1517)+N(N1517)</f>
        <v>10</v>
      </c>
      <c r="CH1517" s="50" t="n">
        <f aca="false">ROUNDUP(H1517/BV1517,0)</f>
        <v>1</v>
      </c>
      <c r="CI1517" s="50" t="n">
        <f aca="false">ROUNDUP(CF1517/BV1517,0)</f>
        <v>0</v>
      </c>
      <c r="CJ1517" s="53" t="n">
        <f aca="false">IF(BW1517=1,0,IFERROR(VLOOKUP(BU1517,'Gebinde-Kategorie'!$A$5:$N$45,5,0)+0,0))</f>
        <v>21</v>
      </c>
      <c r="CK1517" s="53" t="n">
        <f aca="false">IFERROR(IF(OR(CB1517=1,CB1517=2,CB1517=3),N(INDEX(Parameter!$I$5:$I$7,CB1517)),0),0)</f>
        <v>0</v>
      </c>
      <c r="CL1517" s="52" t="n">
        <f aca="false">IF(AND(Parameter!$B$21="Ja",ISNUMBER(W1517),N(X1517)&gt;0),IFERROR(N(INDEX(Parameter!$L$5:$L$7,W1517))*INDEX(Parameter!$E$5:$E$7,W1517)*X1517/SUMIFS($X$7:$X$1843,$W$7:$W$1843,W1517),0),0)</f>
        <v>0</v>
      </c>
    </row>
    <row r="1518" customFormat="false" ht="15" hidden="false" customHeight="false" outlineLevel="0" collapsed="false">
      <c r="A1518" s="48" t="s">
        <v>2660</v>
      </c>
      <c r="B1518" s="48" t="s">
        <v>618</v>
      </c>
      <c r="C1518" s="48" t="s">
        <v>168</v>
      </c>
      <c r="D1518" s="48" t="s">
        <v>188</v>
      </c>
      <c r="E1518" s="48" t="s">
        <v>189</v>
      </c>
      <c r="F1518" s="48"/>
      <c r="G1518" s="49" t="n">
        <v>6.1</v>
      </c>
      <c r="H1518" s="50" t="n">
        <f aca="false">MAX(0,IF(AND(Parameter!$B$21="Ja",ISNUMBER(Y1518)),Y1518,IF(Parameter!$B$20="Jahresanfang 2025 + Export",BO1518+BN1518,BN1518)))</f>
        <v>2</v>
      </c>
      <c r="I1518" s="50" t="n">
        <f aca="false">H1518*G1518</f>
        <v>12.2</v>
      </c>
      <c r="J1518" s="50" t="n">
        <f aca="false">BQ1518*Parameter!$B$18</f>
        <v>0</v>
      </c>
      <c r="K1518" s="51"/>
      <c r="L1518" s="52"/>
      <c r="M1518" s="50" t="n">
        <v>0</v>
      </c>
      <c r="N1518" s="50" t="n">
        <v>100</v>
      </c>
      <c r="O1518" s="53" t="n">
        <v>35</v>
      </c>
      <c r="P1518" s="48" t="s">
        <v>405</v>
      </c>
      <c r="Q1518" s="50" t="n">
        <v>2</v>
      </c>
      <c r="R1518" s="53" t="n">
        <f aca="false">IF(BW1518=1,0,IFERROR(VLOOKUP(BU1518,'Gebinde-Kategorie'!$A$5:$N$45,13,0)+0,0))</f>
        <v>280</v>
      </c>
      <c r="S1518" s="54"/>
      <c r="T1518" s="55"/>
      <c r="U1518" s="55"/>
      <c r="V1518" s="55"/>
      <c r="W1518" s="48"/>
      <c r="X1518" s="50"/>
      <c r="Y1518" s="50"/>
      <c r="Z1518" s="48" t="n">
        <f aca="false">IF(A1518="","",IF(AND(Parameter!$B$21="Ja",ISNUMBER(W1518)),W1518,IF(BZ1518="2+3",IF(ISNUMBER(SEARCH("grosser Artikel",BR1518)),2,IFERROR(VLOOKUP(BU1518,Parameter!$F$35:$G$64,2,0),2)),IF(OR(BZ1518="Nein",BZ1518=""),"-",BZ1518))))</f>
        <v>3</v>
      </c>
      <c r="AA1518" s="55"/>
      <c r="AB1518" s="56"/>
      <c r="AC1518" s="50" t="n">
        <f aca="false">AT1518</f>
        <v>100</v>
      </c>
      <c r="AD1518" s="50" t="n">
        <f aca="false">MAX(AT1518,H1518)</f>
        <v>100</v>
      </c>
      <c r="AE1518" s="57"/>
      <c r="AF1518" s="50" t="n">
        <f aca="false">IF(LEFT(Cockpit!$C$5,1)="A",H1518,IF(CE1518=1,CF1518,IF(LEFT(Cockpit!$C$5,1)="B",AK1518,MAX(AK1518,H1518))))</f>
        <v>2</v>
      </c>
      <c r="AG1518" s="50" t="n">
        <f aca="false">IF(BW1518=1,0,ROUNDUP(AF1518/BV1518,0))</f>
        <v>1</v>
      </c>
      <c r="AH1518" s="52" t="n">
        <f aca="false">IF(CL1518&gt;0,CL1518*MAX(1,AF1518/X1518),IF(BW1518=1,IF(AF1518&lt;=0,0,CA1518*MAX(1,IF(H1518&gt;0,AF1518/H1518,1))),IF(R1518&gt;0,AG1518/R1518,0))/MAX(0.1,N(Parameter!$M$21)))</f>
        <v>0.00357142857142857</v>
      </c>
      <c r="AI1518" s="50" t="n">
        <f aca="false">AH1518*BY1518</f>
        <v>0.553571428571429</v>
      </c>
      <c r="AJ1518" s="50" t="n">
        <f aca="false">AF1518*G1518</f>
        <v>12.2</v>
      </c>
      <c r="AK1518" s="50" t="n">
        <f aca="false">ROUNDUP(MAX(J1518/IF(CD1518&gt;0,CD1518,MAX(0.1,N(Cockpit!$C$6))),CG1518)/BV1518,0)*BV1518</f>
        <v>100</v>
      </c>
      <c r="AL1518" s="51" t="n">
        <f aca="false">IF(AI1518&gt;0,J1518/AI1518,-1)</f>
        <v>0</v>
      </c>
      <c r="AM1518" s="51" t="n">
        <f aca="false">IF(AND(OR(CC1518="L1",CC1518="L23",CC1518="LIFT"),AI1518&gt;0),SUMIFS($AI$7:$AI$1843,$CC$7:$CC$1843,CC1518,$AL$7:$AL$1843,"&gt;"&amp;AL1518)+SUMIFS($AI$7:$AI$1843,$CC$7:$CC$1843,CC1518,$AL$7:$AL$1843,AL1518,$BT$7:$BT$1843,"&lt;="&amp;BT1518),"")</f>
        <v>29975.2645071501</v>
      </c>
      <c r="AN1518" s="58" t="n">
        <f aca="false">IF(AM1518="",0,MAX(0,MIN(1,(IF(CC1518="L1",Parameter!$H$5,IF(CC1518="L23",Parameter!$H$6+Parameter!$H$7,Parameter!$H$5+Parameter!$H$6+Parameter!$H$7))-(AM1518-AI1518))/AI1518)))</f>
        <v>1</v>
      </c>
      <c r="AO1518" s="50" t="n">
        <f aca="false">IF(LEFT(Cockpit!$I$5,1)="A",H1518,IF(CE1518=1,CF1518,IF(LEFT(Cockpit!$I$5,1)="B",AT1518,MAX(AT1518,H1518))))</f>
        <v>100</v>
      </c>
      <c r="AP1518" s="50" t="n">
        <f aca="false">IF(BW1518=1,0,ROUNDUP(AO1518/BV1518,0))</f>
        <v>50</v>
      </c>
      <c r="AQ1518" s="52" t="n">
        <f aca="false">IF(CL1518&gt;0,CL1518*MAX(1,AO1518/X1518),IF(BW1518=1,IF(AO1518&lt;=0,0,CA1518*MAX(1,IF(H1518&gt;0,AO1518/H1518,1))),IF(R1518&gt;0,AP1518/R1518,0))/MAX(0.1,N(Parameter!$M$21)))</f>
        <v>0.178571428571429</v>
      </c>
      <c r="AR1518" s="50" t="n">
        <f aca="false">AQ1518*BY1518</f>
        <v>27.6785714285714</v>
      </c>
      <c r="AS1518" s="50" t="n">
        <f aca="false">AO1518*G1518</f>
        <v>610</v>
      </c>
      <c r="AT1518" s="50" t="n">
        <f aca="false">ROUNDUP(MAX(J1518/IF(CD1518&gt;0,CD1518,MAX(0.1,N(Cockpit!$I$6))),CG1518)/BV1518,0)*BV1518</f>
        <v>100</v>
      </c>
      <c r="AU1518" s="51" t="n">
        <f aca="false">IF(AR1518&gt;0,J1518/AR1518,-1)</f>
        <v>0</v>
      </c>
      <c r="AV1518" s="51" t="n">
        <f aca="false">IF(AND(OR(CC1518="L1",CC1518="L23",CC1518="LIFT"),AR1518&gt;0),SUMIFS($AR$7:$AR$1843,$CC$7:$CC$1843,CC1518,$AU$7:$AU$1843,"&gt;"&amp;AU1518)+SUMIFS($AR$7:$AR$1843,$CC$7:$CC$1843,CC1518,$AU$7:$AU$1843,AU1518,$BT$7:$BT$1843,"&lt;="&amp;BT1518),"")</f>
        <v>42296.268009768</v>
      </c>
      <c r="AW1518" s="58" t="n">
        <f aca="false">IF(AV1518="",0,MAX(0,MIN(1,(IF(CC1518="L1",Parameter!$H$5,IF(CC1518="L23",Parameter!$H$6+Parameter!$H$7,Parameter!$H$5+Parameter!$H$6+Parameter!$H$7))-(AV1518-AR1518))/AR1518)))</f>
        <v>0</v>
      </c>
      <c r="AX1518" s="50" t="n">
        <f aca="false">IF(LEFT(Cockpit!$O$5,1)="A",H1518,IF(CE1518=1,CF1518,IF(LEFT(Cockpit!$O$5,1)="B",BC1518,MAX(BC1518,H1518))))</f>
        <v>100</v>
      </c>
      <c r="AY1518" s="50" t="n">
        <f aca="false">IF(BW1518=1,0,ROUNDUP(AX1518/BV1518,0))</f>
        <v>50</v>
      </c>
      <c r="AZ1518" s="52" t="n">
        <f aca="false">IF(CL1518&gt;0,CL1518*MAX(1,AX1518/X1518),IF(BW1518=1,IF(AX1518&lt;=0,0,CA1518*MAX(1,IF(H1518&gt;0,AX1518/H1518,1))),IF(R1518&gt;0,AY1518/R1518,0))/MAX(0.1,N(Parameter!$M$21)))</f>
        <v>0.178571428571429</v>
      </c>
      <c r="BA1518" s="50" t="n">
        <f aca="false">AZ1518*BY1518</f>
        <v>27.6785714285714</v>
      </c>
      <c r="BB1518" s="50" t="n">
        <f aca="false">AX1518*G1518</f>
        <v>610</v>
      </c>
      <c r="BC1518" s="50" t="n">
        <f aca="false">ROUNDUP(MAX(J1518/IF(CD1518&gt;0,CD1518,MAX(0.1,N(Cockpit!$O$6))),CG1518)/BV1518,0)*BV1518</f>
        <v>100</v>
      </c>
      <c r="BD1518" s="51" t="n">
        <f aca="false">IF(BA1518&gt;0,J1518/BA1518,-1)</f>
        <v>0</v>
      </c>
      <c r="BE1518" s="51" t="n">
        <f aca="false">IF(AND(OR(CC1518="L1",CC1518="L23",CC1518="LIFT"),BA1518&gt;0),SUMIFS($BA$7:$BA$1843,$CC$7:$CC$1843,CC1518,$BD$7:$BD$1843,"&gt;"&amp;BD1518)+SUMIFS($BA$7:$BA$1843,$CC$7:$CC$1843,CC1518,$BD$7:$BD$1843,BD1518,$BT$7:$BT$1843,"&lt;="&amp;BT1518),"")</f>
        <v>38971.2800516339</v>
      </c>
      <c r="BF1518" s="58" t="n">
        <f aca="false">IF(BE1518="",0,MAX(0,MIN(1,(IF(CC1518="L1",Parameter!$H$5,IF(CC1518="L23",Parameter!$H$6+Parameter!$H$7,Parameter!$H$5+Parameter!$H$6+Parameter!$H$7))-(BE1518-BA1518))/BA1518)))</f>
        <v>0</v>
      </c>
      <c r="BG1518" s="48" t="str">
        <f aca="false">IF(AI1518&lt;=0,"",IF(CC1518="Aussen","Aussenlager",IF(CC1518="-","Nicht im Lift",IF(AN1518&gt;=1,"Lift",IF(AN1518&lt;=0,"Aussenlager","teilweise")))))</f>
        <v>Lift</v>
      </c>
      <c r="BH1518" s="48" t="str">
        <f aca="false">IF(AR1518&lt;=0,"",IF(CC1518="Aussen","Aussenlager",IF(CC1518="-","Nicht im Lift",IF(AW1518&gt;=1,"Lift",IF(AW1518&lt;=0,"Aussenlager","teilweise")))))</f>
        <v>Aussenlager</v>
      </c>
      <c r="BI1518" s="48" t="str">
        <f aca="false">IF(BA1518&lt;=0,"",IF(CC1518="Aussen","Aussenlager",IF(CC1518="-","Nicht im Lift",IF(BF1518&gt;=1,"Lift",IF(BF1518&lt;=0,"Aussenlager","teilweise")))))</f>
        <v>Aussenlager</v>
      </c>
      <c r="BJ1518" s="48" t="str">
        <f aca="false">IF(A1518="","",IF(BS1518=1,"Neu; ","")&amp;IF(AND(BS1518=0,BN1518&lt;0),"negativer Bestand (Export "&amp;BN1518&amp;"); ","")&amp;IF(J1518&lt;=0,"Kein Verbrauch; ","")&amp;IF(CL1518&gt;0,"Lift "&amp;W1518&amp;" lt. Liftbericht (Fach "&amp;X1518&amp;" Stk); ",IF(BX1518=1,"Gebinde geschätzt ("&amp;T1518&amp;"); ",IF(BW1518=1,"Lose – Tablare geschätzt; ","")))&amp;IF(H1518&gt;AT1518,"Überbestand "&amp;ROUND(H1518-AT1518,0)&amp;" Stk / CHF "&amp;ROUND((H1518-AT1518)*G1518,0)&amp;"; ","")&amp;IF(AND(CE1518=1,CF1518&lt;CG1518),"MAX &lt; MB+LG; ","")&amp;IF(AND(CK1518&gt;0,CJ1518*10&gt;CK1518),"zu hoch für Tablar; ","")&amp;IF(AND(BS1518=0,OR(CE1518=1,AA1518&lt;&gt;"",U1518&lt;&gt;"",V1518&lt;&gt;"",AB1518&lt;&gt;"")),"manuell übersteuert; ","")&amp;IF(AND(BW1518=0,R1518=0),"Gebinde unbekannt / Stellmass fehlt; ","")&amp;IF(AND(BW1518=0,N(V1518)&lt;=0,N(Q1518)&lt;=0),"Menge pro Gebinde fehlt (Ist = 1 Gebinde); ","")&amp;BR1518)</f>
        <v>Kein Verbrauch; nur im Artikelstamm (Bestand 23.06.2026)</v>
      </c>
      <c r="BK1518" s="48"/>
      <c r="BL1518" s="48"/>
      <c r="BM1518" s="55"/>
      <c r="BN1518" s="50" t="n">
        <v>2</v>
      </c>
      <c r="BO1518" s="50" t="n">
        <v>0</v>
      </c>
      <c r="BP1518" s="49" t="n">
        <v>0</v>
      </c>
      <c r="BQ1518" s="50" t="n">
        <v>0</v>
      </c>
      <c r="BR1518" s="48" t="s">
        <v>2579</v>
      </c>
      <c r="BS1518" s="53" t="n">
        <v>0</v>
      </c>
      <c r="BT1518" s="53" t="n">
        <v>1518</v>
      </c>
      <c r="BU1518" s="48" t="str">
        <f aca="false">IF(U1518&lt;&gt;"",UPPER(TRIM(U1518)),IF(BX1518=1,UPPER(VLOOKUP(T1518,Parameter!$I$27:$K$29,2,0)),IF(P1518="","LOSE",P1518)))</f>
        <v>S21</v>
      </c>
      <c r="BV1518" s="50" t="n">
        <f aca="false">IF(BU1518="LOSE",1,IF(N(V1518)&gt;0,V1518,IF(BX1518=1,MAX(1,N(VLOOKUP(T1518,Parameter!$I$27:$K$29,3,0)),H1518,N(N1518)),IF(N(Q1518)&gt;0,Q1518,MAX(1,H1518)))))</f>
        <v>2</v>
      </c>
      <c r="BW1518" s="53" t="n">
        <f aca="false">IF(BU1518="LOSE",1,0)</f>
        <v>0</v>
      </c>
      <c r="BX1518" s="53" t="n">
        <f aca="false">IF(AND(U1518="",OR(P1518="",P1518="LOSE"),T1518&lt;&gt;"",N(S1518)&lt;=0,ISNUMBER(MATCH(T1518,Parameter!$I$27:$I$29,0))),1,0)</f>
        <v>0</v>
      </c>
      <c r="BY1518" s="53" t="n">
        <f aca="false">IF(CL1518&gt;0,INDEX(Parameter!$H$5:$H$7,W1518)/INDEX(Parameter!$E$5:$E$7,W1518),IF(AND(BW1518=0,N(IFERROR(VLOOKUP(BU1518,'Gebinde-Kategorie'!$A$5:$N$45,14,0),0))&gt;0),VLOOKUP(BU1518,'Gebinde-Kategorie'!$A$5:$N$45,14,0)*10+Parameter!$M$23,Parameter!$M$24))</f>
        <v>155</v>
      </c>
      <c r="BZ1518" s="48" t="str">
        <f aca="false">IF(AND(Parameter!$B$19="Ja",E1518&lt;&gt;"",ISNUMBER(MATCH(E1518,Parameter!$I$35:$I$52,0))),VLOOKUP(E1518,Parameter!$I$35:$J$52,2,0),IFERROR(VLOOKUP(D1518,Parameter!$A$35:$C$64,2,0),"Nein"))</f>
        <v>2+3</v>
      </c>
      <c r="CA1518" s="52" t="n">
        <f aca="false">IF(BW1518=0,0,IF(N(S1518)&gt;0,S1518,IFERROR(VLOOKUP(D1518,Parameter!$A$35:$C$64,3,0)+0,0)))</f>
        <v>0</v>
      </c>
      <c r="CB1518" s="48" t="n">
        <f aca="false">IF(AA1518&lt;&gt;"",AA1518,Z1518)</f>
        <v>3</v>
      </c>
      <c r="CC1518" s="48" t="str">
        <f aca="false">IF(OR(CB1518=1,CB1518=2,CB1518=3),IF(Parameter!$E$27="Ja","LIFT",IF(CB1518=1,"L1","L23")),IF(CB1518="Aussen","Aussen","-"))</f>
        <v>LIFT</v>
      </c>
      <c r="CD1518" s="59" t="n">
        <f aca="false">IF(N(AB1518)&gt;0,AB1518,0)</f>
        <v>0</v>
      </c>
      <c r="CE1518" s="53" t="n">
        <f aca="false">IF(ISNUMBER(AE1518),1,0)</f>
        <v>0</v>
      </c>
      <c r="CF1518" s="50" t="n">
        <f aca="false">N(AE1518)</f>
        <v>0</v>
      </c>
      <c r="CG1518" s="50" t="n">
        <f aca="false">N(M1518)+N(N1518)</f>
        <v>100</v>
      </c>
      <c r="CH1518" s="50" t="n">
        <f aca="false">ROUNDUP(H1518/BV1518,0)</f>
        <v>1</v>
      </c>
      <c r="CI1518" s="50" t="n">
        <f aca="false">ROUNDUP(CF1518/BV1518,0)</f>
        <v>0</v>
      </c>
      <c r="CJ1518" s="53" t="n">
        <f aca="false">IF(BW1518=1,0,IFERROR(VLOOKUP(BU1518,'Gebinde-Kategorie'!$A$5:$N$45,5,0)+0,0))</f>
        <v>8</v>
      </c>
      <c r="CK1518" s="53" t="n">
        <f aca="false">IFERROR(IF(OR(CB1518=1,CB1518=2,CB1518=3),N(INDEX(Parameter!$I$5:$I$7,CB1518)),0),0)</f>
        <v>0</v>
      </c>
      <c r="CL1518" s="52" t="n">
        <f aca="false">IF(AND(Parameter!$B$21="Ja",ISNUMBER(W1518),N(X1518)&gt;0),IFERROR(N(INDEX(Parameter!$L$5:$L$7,W1518))*INDEX(Parameter!$E$5:$E$7,W1518)*X1518/SUMIFS($X$7:$X$1843,$W$7:$W$1843,W1518),0),0)</f>
        <v>0</v>
      </c>
    </row>
    <row r="1519" customFormat="false" ht="15" hidden="false" customHeight="false" outlineLevel="0" collapsed="false">
      <c r="A1519" s="48" t="s">
        <v>2661</v>
      </c>
      <c r="B1519" s="48" t="s">
        <v>2662</v>
      </c>
      <c r="C1519" s="48" t="s">
        <v>168</v>
      </c>
      <c r="D1519" s="48" t="s">
        <v>177</v>
      </c>
      <c r="E1519" s="48" t="s">
        <v>189</v>
      </c>
      <c r="F1519" s="48"/>
      <c r="G1519" s="49" t="n">
        <v>409</v>
      </c>
      <c r="H1519" s="50" t="n">
        <f aca="false">MAX(0,IF(AND(Parameter!$B$21="Ja",ISNUMBER(Y1519)),Y1519,IF(Parameter!$B$20="Jahresanfang 2025 + Export",BO1519+BN1519,BN1519)))</f>
        <v>2</v>
      </c>
      <c r="I1519" s="50" t="n">
        <f aca="false">H1519*G1519</f>
        <v>818</v>
      </c>
      <c r="J1519" s="50" t="n">
        <f aca="false">BQ1519*Parameter!$B$18</f>
        <v>0</v>
      </c>
      <c r="K1519" s="51"/>
      <c r="L1519" s="52"/>
      <c r="M1519" s="50" t="n">
        <v>0</v>
      </c>
      <c r="N1519" s="50" t="n">
        <v>2</v>
      </c>
      <c r="O1519" s="53" t="n">
        <v>56</v>
      </c>
      <c r="P1519" s="48" t="s">
        <v>306</v>
      </c>
      <c r="Q1519" s="50" t="n">
        <v>2</v>
      </c>
      <c r="R1519" s="53" t="n">
        <f aca="false">IF(BW1519=1,0,IFERROR(VLOOKUP(BU1519,'Gebinde-Kategorie'!$A$5:$N$45,13,0)+0,0))</f>
        <v>26</v>
      </c>
      <c r="S1519" s="54"/>
      <c r="T1519" s="55"/>
      <c r="U1519" s="55"/>
      <c r="V1519" s="55"/>
      <c r="W1519" s="48"/>
      <c r="X1519" s="50"/>
      <c r="Y1519" s="50"/>
      <c r="Z1519" s="48" t="n">
        <f aca="false">IF(A1519="","",IF(AND(Parameter!$B$21="Ja",ISNUMBER(W1519)),W1519,IF(BZ1519="2+3",IF(ISNUMBER(SEARCH("grosser Artikel",BR1519)),2,IFERROR(VLOOKUP(BU1519,Parameter!$F$35:$G$64,2,0),2)),IF(OR(BZ1519="Nein",BZ1519=""),"-",BZ1519))))</f>
        <v>3</v>
      </c>
      <c r="AA1519" s="55"/>
      <c r="AB1519" s="56"/>
      <c r="AC1519" s="50" t="n">
        <f aca="false">AT1519</f>
        <v>2</v>
      </c>
      <c r="AD1519" s="50" t="n">
        <f aca="false">MAX(AT1519,H1519)</f>
        <v>2</v>
      </c>
      <c r="AE1519" s="57"/>
      <c r="AF1519" s="50" t="n">
        <f aca="false">IF(LEFT(Cockpit!$C$5,1)="A",H1519,IF(CE1519=1,CF1519,IF(LEFT(Cockpit!$C$5,1)="B",AK1519,MAX(AK1519,H1519))))</f>
        <v>2</v>
      </c>
      <c r="AG1519" s="50" t="n">
        <f aca="false">IF(BW1519=1,0,ROUNDUP(AF1519/BV1519,0))</f>
        <v>1</v>
      </c>
      <c r="AH1519" s="52" t="n">
        <f aca="false">IF(CL1519&gt;0,CL1519*MAX(1,AF1519/X1519),IF(BW1519=1,IF(AF1519&lt;=0,0,CA1519*MAX(1,IF(H1519&gt;0,AF1519/H1519,1))),IF(R1519&gt;0,AG1519/R1519,0))/MAX(0.1,N(Parameter!$M$21)))</f>
        <v>0.0384615384615385</v>
      </c>
      <c r="AI1519" s="50" t="n">
        <f aca="false">AH1519*BY1519</f>
        <v>5.96153846153846</v>
      </c>
      <c r="AJ1519" s="50" t="n">
        <f aca="false">AF1519*G1519</f>
        <v>818</v>
      </c>
      <c r="AK1519" s="50" t="n">
        <f aca="false">ROUNDUP(MAX(J1519/IF(CD1519&gt;0,CD1519,MAX(0.1,N(Cockpit!$C$6))),CG1519)/BV1519,0)*BV1519</f>
        <v>2</v>
      </c>
      <c r="AL1519" s="51" t="n">
        <f aca="false">IF(AI1519&gt;0,J1519/AI1519,-1)</f>
        <v>0</v>
      </c>
      <c r="AM1519" s="51" t="n">
        <f aca="false">IF(AND(OR(CC1519="L1",CC1519="L23",CC1519="LIFT"),AI1519&gt;0),SUMIFS($AI$7:$AI$1843,$CC$7:$CC$1843,CC1519,$AL$7:$AL$1843,"&gt;"&amp;AL1519)+SUMIFS($AI$7:$AI$1843,$CC$7:$CC$1843,CC1519,$AL$7:$AL$1843,AL1519,$BT$7:$BT$1843,"&lt;="&amp;BT1519),"")</f>
        <v>29981.2260456116</v>
      </c>
      <c r="AN1519" s="58" t="n">
        <f aca="false">IF(AM1519="",0,MAX(0,MIN(1,(IF(CC1519="L1",Parameter!$H$5,IF(CC1519="L23",Parameter!$H$6+Parameter!$H$7,Parameter!$H$5+Parameter!$H$6+Parameter!$H$7))-(AM1519-AI1519))/AI1519)))</f>
        <v>1</v>
      </c>
      <c r="AO1519" s="50" t="n">
        <f aca="false">IF(LEFT(Cockpit!$I$5,1)="A",H1519,IF(CE1519=1,CF1519,IF(LEFT(Cockpit!$I$5,1)="B",AT1519,MAX(AT1519,H1519))))</f>
        <v>2</v>
      </c>
      <c r="AP1519" s="50" t="n">
        <f aca="false">IF(BW1519=1,0,ROUNDUP(AO1519/BV1519,0))</f>
        <v>1</v>
      </c>
      <c r="AQ1519" s="52" t="n">
        <f aca="false">IF(CL1519&gt;0,CL1519*MAX(1,AO1519/X1519),IF(BW1519=1,IF(AO1519&lt;=0,0,CA1519*MAX(1,IF(H1519&gt;0,AO1519/H1519,1))),IF(R1519&gt;0,AP1519/R1519,0))/MAX(0.1,N(Parameter!$M$21)))</f>
        <v>0.0384615384615385</v>
      </c>
      <c r="AR1519" s="50" t="n">
        <f aca="false">AQ1519*BY1519</f>
        <v>5.96153846153846</v>
      </c>
      <c r="AS1519" s="50" t="n">
        <f aca="false">AO1519*G1519</f>
        <v>818</v>
      </c>
      <c r="AT1519" s="50" t="n">
        <f aca="false">ROUNDUP(MAX(J1519/IF(CD1519&gt;0,CD1519,MAX(0.1,N(Cockpit!$I$6))),CG1519)/BV1519,0)*BV1519</f>
        <v>2</v>
      </c>
      <c r="AU1519" s="51" t="n">
        <f aca="false">IF(AR1519&gt;0,J1519/AR1519,-1)</f>
        <v>0</v>
      </c>
      <c r="AV1519" s="51" t="n">
        <f aca="false">IF(AND(OR(CC1519="L1",CC1519="L23",CC1519="LIFT"),AR1519&gt;0),SUMIFS($AR$7:$AR$1843,$CC$7:$CC$1843,CC1519,$AU$7:$AU$1843,"&gt;"&amp;AU1519)+SUMIFS($AR$7:$AR$1843,$CC$7:$CC$1843,CC1519,$AU$7:$AU$1843,AU1519,$BT$7:$BT$1843,"&lt;="&amp;BT1519),"")</f>
        <v>42302.2295482296</v>
      </c>
      <c r="AW1519" s="58" t="n">
        <f aca="false">IF(AV1519="",0,MAX(0,MIN(1,(IF(CC1519="L1",Parameter!$H$5,IF(CC1519="L23",Parameter!$H$6+Parameter!$H$7,Parameter!$H$5+Parameter!$H$6+Parameter!$H$7))-(AV1519-AR1519))/AR1519)))</f>
        <v>0</v>
      </c>
      <c r="AX1519" s="50" t="n">
        <f aca="false">IF(LEFT(Cockpit!$O$5,1)="A",H1519,IF(CE1519=1,CF1519,IF(LEFT(Cockpit!$O$5,1)="B",BC1519,MAX(BC1519,H1519))))</f>
        <v>2</v>
      </c>
      <c r="AY1519" s="50" t="n">
        <f aca="false">IF(BW1519=1,0,ROUNDUP(AX1519/BV1519,0))</f>
        <v>1</v>
      </c>
      <c r="AZ1519" s="52" t="n">
        <f aca="false">IF(CL1519&gt;0,CL1519*MAX(1,AX1519/X1519),IF(BW1519=1,IF(AX1519&lt;=0,0,CA1519*MAX(1,IF(H1519&gt;0,AX1519/H1519,1))),IF(R1519&gt;0,AY1519/R1519,0))/MAX(0.1,N(Parameter!$M$21)))</f>
        <v>0.0384615384615385</v>
      </c>
      <c r="BA1519" s="50" t="n">
        <f aca="false">AZ1519*BY1519</f>
        <v>5.96153846153846</v>
      </c>
      <c r="BB1519" s="50" t="n">
        <f aca="false">AX1519*G1519</f>
        <v>818</v>
      </c>
      <c r="BC1519" s="50" t="n">
        <f aca="false">ROUNDUP(MAX(J1519/IF(CD1519&gt;0,CD1519,MAX(0.1,N(Cockpit!$O$6))),CG1519)/BV1519,0)*BV1519</f>
        <v>2</v>
      </c>
      <c r="BD1519" s="51" t="n">
        <f aca="false">IF(BA1519&gt;0,J1519/BA1519,-1)</f>
        <v>0</v>
      </c>
      <c r="BE1519" s="51" t="n">
        <f aca="false">IF(AND(OR(CC1519="L1",CC1519="L23",CC1519="LIFT"),BA1519&gt;0),SUMIFS($BA$7:$BA$1843,$CC$7:$CC$1843,CC1519,$BD$7:$BD$1843,"&gt;"&amp;BD1519)+SUMIFS($BA$7:$BA$1843,$CC$7:$CC$1843,CC1519,$BD$7:$BD$1843,BD1519,$BT$7:$BT$1843,"&lt;="&amp;BT1519),"")</f>
        <v>38977.2415900954</v>
      </c>
      <c r="BF1519" s="58" t="n">
        <f aca="false">IF(BE1519="",0,MAX(0,MIN(1,(IF(CC1519="L1",Parameter!$H$5,IF(CC1519="L23",Parameter!$H$6+Parameter!$H$7,Parameter!$H$5+Parameter!$H$6+Parameter!$H$7))-(BE1519-BA1519))/BA1519)))</f>
        <v>0</v>
      </c>
      <c r="BG1519" s="48" t="str">
        <f aca="false">IF(AI1519&lt;=0,"",IF(CC1519="Aussen","Aussenlager",IF(CC1519="-","Nicht im Lift",IF(AN1519&gt;=1,"Lift",IF(AN1519&lt;=0,"Aussenlager","teilweise")))))</f>
        <v>Lift</v>
      </c>
      <c r="BH1519" s="48" t="str">
        <f aca="false">IF(AR1519&lt;=0,"",IF(CC1519="Aussen","Aussenlager",IF(CC1519="-","Nicht im Lift",IF(AW1519&gt;=1,"Lift",IF(AW1519&lt;=0,"Aussenlager","teilweise")))))</f>
        <v>Aussenlager</v>
      </c>
      <c r="BI1519" s="48" t="str">
        <f aca="false">IF(BA1519&lt;=0,"",IF(CC1519="Aussen","Aussenlager",IF(CC1519="-","Nicht im Lift",IF(BF1519&gt;=1,"Lift",IF(BF1519&lt;=0,"Aussenlager","teilweise")))))</f>
        <v>Aussenlager</v>
      </c>
      <c r="BJ1519" s="48" t="str">
        <f aca="false">IF(A1519="","",IF(BS1519=1,"Neu; ","")&amp;IF(AND(BS1519=0,BN1519&lt;0),"negativer Bestand (Export "&amp;BN1519&amp;"); ","")&amp;IF(J1519&lt;=0,"Kein Verbrauch; ","")&amp;IF(CL1519&gt;0,"Lift "&amp;W1519&amp;" lt. Liftbericht (Fach "&amp;X1519&amp;" Stk); ",IF(BX1519=1,"Gebinde geschätzt ("&amp;T1519&amp;"); ",IF(BW1519=1,"Lose – Tablare geschätzt; ","")))&amp;IF(H1519&gt;AT1519,"Überbestand "&amp;ROUND(H1519-AT1519,0)&amp;" Stk / CHF "&amp;ROUND((H1519-AT1519)*G1519,0)&amp;"; ","")&amp;IF(AND(CE1519=1,CF1519&lt;CG1519),"MAX &lt; MB+LG; ","")&amp;IF(AND(CK1519&gt;0,CJ1519*10&gt;CK1519),"zu hoch für Tablar; ","")&amp;IF(AND(BS1519=0,OR(CE1519=1,AA1519&lt;&gt;"",U1519&lt;&gt;"",V1519&lt;&gt;"",AB1519&lt;&gt;"")),"manuell übersteuert; ","")&amp;IF(AND(BW1519=0,R1519=0),"Gebinde unbekannt / Stellmass fehlt; ","")&amp;IF(AND(BW1519=0,N(V1519)&lt;=0,N(Q1519)&lt;=0),"Menge pro Gebinde fehlt (Ist = 1 Gebinde); ","")&amp;BR1519)</f>
        <v>Kein Verbrauch; nur im Artikelstamm (Bestand 23.06.2026)</v>
      </c>
      <c r="BK1519" s="48"/>
      <c r="BL1519" s="48"/>
      <c r="BM1519" s="55"/>
      <c r="BN1519" s="50" t="n">
        <v>2</v>
      </c>
      <c r="BO1519" s="50" t="n">
        <v>0</v>
      </c>
      <c r="BP1519" s="49" t="n">
        <v>0</v>
      </c>
      <c r="BQ1519" s="50" t="n">
        <v>0</v>
      </c>
      <c r="BR1519" s="48" t="s">
        <v>2579</v>
      </c>
      <c r="BS1519" s="53" t="n">
        <v>0</v>
      </c>
      <c r="BT1519" s="53" t="n">
        <v>1519</v>
      </c>
      <c r="BU1519" s="48" t="str">
        <f aca="false">IF(U1519&lt;&gt;"",UPPER(TRIM(U1519)),IF(BX1519=1,UPPER(VLOOKUP(T1519,Parameter!$I$27:$K$29,2,0)),IF(P1519="","LOSE",P1519)))</f>
        <v>S51</v>
      </c>
      <c r="BV1519" s="50" t="n">
        <f aca="false">IF(BU1519="LOSE",1,IF(N(V1519)&gt;0,V1519,IF(BX1519=1,MAX(1,N(VLOOKUP(T1519,Parameter!$I$27:$K$29,3,0)),H1519,N(N1519)),IF(N(Q1519)&gt;0,Q1519,MAX(1,H1519)))))</f>
        <v>2</v>
      </c>
      <c r="BW1519" s="53" t="n">
        <f aca="false">IF(BU1519="LOSE",1,0)</f>
        <v>0</v>
      </c>
      <c r="BX1519" s="53" t="n">
        <f aca="false">IF(AND(U1519="",OR(P1519="",P1519="LOSE"),T1519&lt;&gt;"",N(S1519)&lt;=0,ISNUMBER(MATCH(T1519,Parameter!$I$27:$I$29,0))),1,0)</f>
        <v>0</v>
      </c>
      <c r="BY1519" s="53" t="n">
        <f aca="false">IF(CL1519&gt;0,INDEX(Parameter!$H$5:$H$7,W1519)/INDEX(Parameter!$E$5:$E$7,W1519),IF(AND(BW1519=0,N(IFERROR(VLOOKUP(BU1519,'Gebinde-Kategorie'!$A$5:$N$45,14,0),0))&gt;0),VLOOKUP(BU1519,'Gebinde-Kategorie'!$A$5:$N$45,14,0)*10+Parameter!$M$23,Parameter!$M$24))</f>
        <v>155</v>
      </c>
      <c r="BZ1519" s="48" t="str">
        <f aca="false">IF(AND(Parameter!$B$19="Ja",E1519&lt;&gt;"",ISNUMBER(MATCH(E1519,Parameter!$I$35:$I$52,0))),VLOOKUP(E1519,Parameter!$I$35:$J$52,2,0),IFERROR(VLOOKUP(D1519,Parameter!$A$35:$C$64,2,0),"Nein"))</f>
        <v>2+3</v>
      </c>
      <c r="CA1519" s="52" t="n">
        <f aca="false">IF(BW1519=0,0,IF(N(S1519)&gt;0,S1519,IFERROR(VLOOKUP(D1519,Parameter!$A$35:$C$64,3,0)+0,0)))</f>
        <v>0</v>
      </c>
      <c r="CB1519" s="48" t="n">
        <f aca="false">IF(AA1519&lt;&gt;"",AA1519,Z1519)</f>
        <v>3</v>
      </c>
      <c r="CC1519" s="48" t="str">
        <f aca="false">IF(OR(CB1519=1,CB1519=2,CB1519=3),IF(Parameter!$E$27="Ja","LIFT",IF(CB1519=1,"L1","L23")),IF(CB1519="Aussen","Aussen","-"))</f>
        <v>LIFT</v>
      </c>
      <c r="CD1519" s="59" t="n">
        <f aca="false">IF(N(AB1519)&gt;0,AB1519,0)</f>
        <v>0</v>
      </c>
      <c r="CE1519" s="53" t="n">
        <f aca="false">IF(ISNUMBER(AE1519),1,0)</f>
        <v>0</v>
      </c>
      <c r="CF1519" s="50" t="n">
        <f aca="false">N(AE1519)</f>
        <v>0</v>
      </c>
      <c r="CG1519" s="50" t="n">
        <f aca="false">N(M1519)+N(N1519)</f>
        <v>2</v>
      </c>
      <c r="CH1519" s="50" t="n">
        <f aca="false">ROUNDUP(H1519/BV1519,0)</f>
        <v>1</v>
      </c>
      <c r="CI1519" s="50" t="n">
        <f aca="false">ROUNDUP(CF1519/BV1519,0)</f>
        <v>0</v>
      </c>
      <c r="CJ1519" s="53" t="n">
        <f aca="false">IF(BW1519=1,0,IFERROR(VLOOKUP(BU1519,'Gebinde-Kategorie'!$A$5:$N$45,5,0)+0,0))</f>
        <v>11</v>
      </c>
      <c r="CK1519" s="53" t="n">
        <f aca="false">IFERROR(IF(OR(CB1519=1,CB1519=2,CB1519=3),N(INDEX(Parameter!$I$5:$I$7,CB1519)),0),0)</f>
        <v>0</v>
      </c>
      <c r="CL1519" s="52" t="n">
        <f aca="false">IF(AND(Parameter!$B$21="Ja",ISNUMBER(W1519),N(X1519)&gt;0),IFERROR(N(INDEX(Parameter!$L$5:$L$7,W1519))*INDEX(Parameter!$E$5:$E$7,W1519)*X1519/SUMIFS($X$7:$X$1843,$W$7:$W$1843,W1519),0),0)</f>
        <v>0</v>
      </c>
    </row>
    <row r="1520" customFormat="false" ht="15" hidden="false" customHeight="false" outlineLevel="0" collapsed="false">
      <c r="A1520" s="48" t="s">
        <v>2663</v>
      </c>
      <c r="B1520" s="48" t="s">
        <v>2664</v>
      </c>
      <c r="C1520" s="48" t="s">
        <v>168</v>
      </c>
      <c r="D1520" s="48" t="s">
        <v>188</v>
      </c>
      <c r="E1520" s="48" t="s">
        <v>189</v>
      </c>
      <c r="F1520" s="48"/>
      <c r="G1520" s="49" t="n">
        <v>195.79</v>
      </c>
      <c r="H1520" s="50" t="n">
        <f aca="false">MAX(0,IF(AND(Parameter!$B$21="Ja",ISNUMBER(Y1520)),Y1520,IF(Parameter!$B$20="Jahresanfang 2025 + Export",BO1520+BN1520,BN1520)))</f>
        <v>28</v>
      </c>
      <c r="I1520" s="50" t="n">
        <f aca="false">H1520*G1520</f>
        <v>5482.12</v>
      </c>
      <c r="J1520" s="50" t="n">
        <f aca="false">BQ1520*Parameter!$B$18</f>
        <v>0</v>
      </c>
      <c r="K1520" s="51"/>
      <c r="L1520" s="52"/>
      <c r="M1520" s="50" t="n">
        <v>0</v>
      </c>
      <c r="N1520" s="50" t="n">
        <v>15</v>
      </c>
      <c r="O1520" s="53" t="n">
        <v>126</v>
      </c>
      <c r="P1520" s="48" t="s">
        <v>297</v>
      </c>
      <c r="Q1520" s="50" t="n">
        <v>28</v>
      </c>
      <c r="R1520" s="53" t="n">
        <f aca="false">IF(BW1520=1,0,IFERROR(VLOOKUP(BU1520,'Gebinde-Kategorie'!$A$5:$N$45,13,0)+0,0))</f>
        <v>12</v>
      </c>
      <c r="S1520" s="54"/>
      <c r="T1520" s="55"/>
      <c r="U1520" s="55"/>
      <c r="V1520" s="55"/>
      <c r="W1520" s="48"/>
      <c r="X1520" s="50"/>
      <c r="Y1520" s="50"/>
      <c r="Z1520" s="48" t="n">
        <f aca="false">IF(A1520="","",IF(AND(Parameter!$B$21="Ja",ISNUMBER(W1520)),W1520,IF(BZ1520="2+3",IF(ISNUMBER(SEARCH("grosser Artikel",BR1520)),2,IFERROR(VLOOKUP(BU1520,Parameter!$F$35:$G$64,2,0),2)),IF(OR(BZ1520="Nein",BZ1520=""),"-",BZ1520))))</f>
        <v>2</v>
      </c>
      <c r="AA1520" s="55"/>
      <c r="AB1520" s="56"/>
      <c r="AC1520" s="50" t="n">
        <f aca="false">AT1520</f>
        <v>28</v>
      </c>
      <c r="AD1520" s="50" t="n">
        <f aca="false">MAX(AT1520,H1520)</f>
        <v>28</v>
      </c>
      <c r="AE1520" s="57"/>
      <c r="AF1520" s="50" t="n">
        <f aca="false">IF(LEFT(Cockpit!$C$5,1)="A",H1520,IF(CE1520=1,CF1520,IF(LEFT(Cockpit!$C$5,1)="B",AK1520,MAX(AK1520,H1520))))</f>
        <v>28</v>
      </c>
      <c r="AG1520" s="50" t="n">
        <f aca="false">IF(BW1520=1,0,ROUNDUP(AF1520/BV1520,0))</f>
        <v>1</v>
      </c>
      <c r="AH1520" s="52" t="n">
        <f aca="false">IF(CL1520&gt;0,CL1520*MAX(1,AF1520/X1520),IF(BW1520=1,IF(AF1520&lt;=0,0,CA1520*MAX(1,IF(H1520&gt;0,AF1520/H1520,1))),IF(R1520&gt;0,AG1520/R1520,0))/MAX(0.1,N(Parameter!$M$21)))</f>
        <v>0.0833333333333333</v>
      </c>
      <c r="AI1520" s="50" t="n">
        <f aca="false">AH1520*BY1520</f>
        <v>20.4166666666667</v>
      </c>
      <c r="AJ1520" s="50" t="n">
        <f aca="false">AF1520*G1520</f>
        <v>5482.12</v>
      </c>
      <c r="AK1520" s="50" t="n">
        <f aca="false">ROUNDUP(MAX(J1520/IF(CD1520&gt;0,CD1520,MAX(0.1,N(Cockpit!$C$6))),CG1520)/BV1520,0)*BV1520</f>
        <v>28</v>
      </c>
      <c r="AL1520" s="51" t="n">
        <f aca="false">IF(AI1520&gt;0,J1520/AI1520,-1)</f>
        <v>0</v>
      </c>
      <c r="AM1520" s="51" t="n">
        <f aca="false">IF(AND(OR(CC1520="L1",CC1520="L23",CC1520="LIFT"),AI1520&gt;0),SUMIFS($AI$7:$AI$1843,$CC$7:$CC$1843,CC1520,$AL$7:$AL$1843,"&gt;"&amp;AL1520)+SUMIFS($AI$7:$AI$1843,$CC$7:$CC$1843,CC1520,$AL$7:$AL$1843,AL1520,$BT$7:$BT$1843,"&lt;="&amp;BT1520),"")</f>
        <v>30001.6427122783</v>
      </c>
      <c r="AN1520" s="58" t="n">
        <f aca="false">IF(AM1520="",0,MAX(0,MIN(1,(IF(CC1520="L1",Parameter!$H$5,IF(CC1520="L23",Parameter!$H$6+Parameter!$H$7,Parameter!$H$5+Parameter!$H$6+Parameter!$H$7))-(AM1520-AI1520))/AI1520)))</f>
        <v>1</v>
      </c>
      <c r="AO1520" s="50" t="n">
        <f aca="false">IF(LEFT(Cockpit!$I$5,1)="A",H1520,IF(CE1520=1,CF1520,IF(LEFT(Cockpit!$I$5,1)="B",AT1520,MAX(AT1520,H1520))))</f>
        <v>28</v>
      </c>
      <c r="AP1520" s="50" t="n">
        <f aca="false">IF(BW1520=1,0,ROUNDUP(AO1520/BV1520,0))</f>
        <v>1</v>
      </c>
      <c r="AQ1520" s="52" t="n">
        <f aca="false">IF(CL1520&gt;0,CL1520*MAX(1,AO1520/X1520),IF(BW1520=1,IF(AO1520&lt;=0,0,CA1520*MAX(1,IF(H1520&gt;0,AO1520/H1520,1))),IF(R1520&gt;0,AP1520/R1520,0))/MAX(0.1,N(Parameter!$M$21)))</f>
        <v>0.0833333333333333</v>
      </c>
      <c r="AR1520" s="50" t="n">
        <f aca="false">AQ1520*BY1520</f>
        <v>20.4166666666667</v>
      </c>
      <c r="AS1520" s="50" t="n">
        <f aca="false">AO1520*G1520</f>
        <v>5482.12</v>
      </c>
      <c r="AT1520" s="50" t="n">
        <f aca="false">ROUNDUP(MAX(J1520/IF(CD1520&gt;0,CD1520,MAX(0.1,N(Cockpit!$I$6))),CG1520)/BV1520,0)*BV1520</f>
        <v>28</v>
      </c>
      <c r="AU1520" s="51" t="n">
        <f aca="false">IF(AR1520&gt;0,J1520/AR1520,-1)</f>
        <v>0</v>
      </c>
      <c r="AV1520" s="51" t="n">
        <f aca="false">IF(AND(OR(CC1520="L1",CC1520="L23",CC1520="LIFT"),AR1520&gt;0),SUMIFS($AR$7:$AR$1843,$CC$7:$CC$1843,CC1520,$AU$7:$AU$1843,"&gt;"&amp;AU1520)+SUMIFS($AR$7:$AR$1843,$CC$7:$CC$1843,CC1520,$AU$7:$AU$1843,AU1520,$BT$7:$BT$1843,"&lt;="&amp;BT1520),"")</f>
        <v>42322.6462148962</v>
      </c>
      <c r="AW1520" s="58" t="n">
        <f aca="false">IF(AV1520="",0,MAX(0,MIN(1,(IF(CC1520="L1",Parameter!$H$5,IF(CC1520="L23",Parameter!$H$6+Parameter!$H$7,Parameter!$H$5+Parameter!$H$6+Parameter!$H$7))-(AV1520-AR1520))/AR1520)))</f>
        <v>0</v>
      </c>
      <c r="AX1520" s="50" t="n">
        <f aca="false">IF(LEFT(Cockpit!$O$5,1)="A",H1520,IF(CE1520=1,CF1520,IF(LEFT(Cockpit!$O$5,1)="B",BC1520,MAX(BC1520,H1520))))</f>
        <v>28</v>
      </c>
      <c r="AY1520" s="50" t="n">
        <f aca="false">IF(BW1520=1,0,ROUNDUP(AX1520/BV1520,0))</f>
        <v>1</v>
      </c>
      <c r="AZ1520" s="52" t="n">
        <f aca="false">IF(CL1520&gt;0,CL1520*MAX(1,AX1520/X1520),IF(BW1520=1,IF(AX1520&lt;=0,0,CA1520*MAX(1,IF(H1520&gt;0,AX1520/H1520,1))),IF(R1520&gt;0,AY1520/R1520,0))/MAX(0.1,N(Parameter!$M$21)))</f>
        <v>0.0833333333333333</v>
      </c>
      <c r="BA1520" s="50" t="n">
        <f aca="false">AZ1520*BY1520</f>
        <v>20.4166666666667</v>
      </c>
      <c r="BB1520" s="50" t="n">
        <f aca="false">AX1520*G1520</f>
        <v>5482.12</v>
      </c>
      <c r="BC1520" s="50" t="n">
        <f aca="false">ROUNDUP(MAX(J1520/IF(CD1520&gt;0,CD1520,MAX(0.1,N(Cockpit!$O$6))),CG1520)/BV1520,0)*BV1520</f>
        <v>28</v>
      </c>
      <c r="BD1520" s="51" t="n">
        <f aca="false">IF(BA1520&gt;0,J1520/BA1520,-1)</f>
        <v>0</v>
      </c>
      <c r="BE1520" s="51" t="n">
        <f aca="false">IF(AND(OR(CC1520="L1",CC1520="L23",CC1520="LIFT"),BA1520&gt;0),SUMIFS($BA$7:$BA$1843,$CC$7:$CC$1843,CC1520,$BD$7:$BD$1843,"&gt;"&amp;BD1520)+SUMIFS($BA$7:$BA$1843,$CC$7:$CC$1843,CC1520,$BD$7:$BD$1843,BD1520,$BT$7:$BT$1843,"&lt;="&amp;BT1520),"")</f>
        <v>38997.6582567621</v>
      </c>
      <c r="BF1520" s="58" t="n">
        <f aca="false">IF(BE1520="",0,MAX(0,MIN(1,(IF(CC1520="L1",Parameter!$H$5,IF(CC1520="L23",Parameter!$H$6+Parameter!$H$7,Parameter!$H$5+Parameter!$H$6+Parameter!$H$7))-(BE1520-BA1520))/BA1520)))</f>
        <v>0</v>
      </c>
      <c r="BG1520" s="48" t="str">
        <f aca="false">IF(AI1520&lt;=0,"",IF(CC1520="Aussen","Aussenlager",IF(CC1520="-","Nicht im Lift",IF(AN1520&gt;=1,"Lift",IF(AN1520&lt;=0,"Aussenlager","teilweise")))))</f>
        <v>Lift</v>
      </c>
      <c r="BH1520" s="48" t="str">
        <f aca="false">IF(AR1520&lt;=0,"",IF(CC1520="Aussen","Aussenlager",IF(CC1520="-","Nicht im Lift",IF(AW1520&gt;=1,"Lift",IF(AW1520&lt;=0,"Aussenlager","teilweise")))))</f>
        <v>Aussenlager</v>
      </c>
      <c r="BI1520" s="48" t="str">
        <f aca="false">IF(BA1520&lt;=0,"",IF(CC1520="Aussen","Aussenlager",IF(CC1520="-","Nicht im Lift",IF(BF1520&gt;=1,"Lift",IF(BF1520&lt;=0,"Aussenlager","teilweise")))))</f>
        <v>Aussenlager</v>
      </c>
      <c r="BJ1520" s="48" t="str">
        <f aca="false">IF(A1520="","",IF(BS1520=1,"Neu; ","")&amp;IF(AND(BS1520=0,BN1520&lt;0),"negativer Bestand (Export "&amp;BN1520&amp;"); ","")&amp;IF(J1520&lt;=0,"Kein Verbrauch; ","")&amp;IF(CL1520&gt;0,"Lift "&amp;W1520&amp;" lt. Liftbericht (Fach "&amp;X1520&amp;" Stk); ",IF(BX1520=1,"Gebinde geschätzt ("&amp;T1520&amp;"); ",IF(BW1520=1,"Lose – Tablare geschätzt; ","")))&amp;IF(H1520&gt;AT1520,"Überbestand "&amp;ROUND(H1520-AT1520,0)&amp;" Stk / CHF "&amp;ROUND((H1520-AT1520)*G1520,0)&amp;"; ","")&amp;IF(AND(CE1520=1,CF1520&lt;CG1520),"MAX &lt; MB+LG; ","")&amp;IF(AND(CK1520&gt;0,CJ1520*10&gt;CK1520),"zu hoch für Tablar; ","")&amp;IF(AND(BS1520=0,OR(CE1520=1,AA1520&lt;&gt;"",U1520&lt;&gt;"",V1520&lt;&gt;"",AB1520&lt;&gt;"")),"manuell übersteuert; ","")&amp;IF(AND(BW1520=0,R1520=0),"Gebinde unbekannt / Stellmass fehlt; ","")&amp;IF(AND(BW1520=0,N(V1520)&lt;=0,N(Q1520)&lt;=0),"Menge pro Gebinde fehlt (Ist = 1 Gebinde); ","")&amp;BR1520)</f>
        <v>Kein Verbrauch; nur im Artikelstamm (Bestand 23.06.2026)</v>
      </c>
      <c r="BK1520" s="48"/>
      <c r="BL1520" s="48"/>
      <c r="BM1520" s="55"/>
      <c r="BN1520" s="50" t="n">
        <v>28</v>
      </c>
      <c r="BO1520" s="50" t="n">
        <v>0</v>
      </c>
      <c r="BP1520" s="49" t="n">
        <v>0</v>
      </c>
      <c r="BQ1520" s="50" t="n">
        <v>0</v>
      </c>
      <c r="BR1520" s="48" t="s">
        <v>2579</v>
      </c>
      <c r="BS1520" s="53" t="n">
        <v>0</v>
      </c>
      <c r="BT1520" s="53" t="n">
        <v>1520</v>
      </c>
      <c r="BU1520" s="48" t="str">
        <f aca="false">IF(U1520&lt;&gt;"",UPPER(TRIM(U1520)),IF(BX1520=1,UPPER(VLOOKUP(T1520,Parameter!$I$27:$K$29,2,0)),IF(P1520="","LOSE",P1520)))</f>
        <v>S62</v>
      </c>
      <c r="BV1520" s="50" t="n">
        <f aca="false">IF(BU1520="LOSE",1,IF(N(V1520)&gt;0,V1520,IF(BX1520=1,MAX(1,N(VLOOKUP(T1520,Parameter!$I$27:$K$29,3,0)),H1520,N(N1520)),IF(N(Q1520)&gt;0,Q1520,MAX(1,H1520)))))</f>
        <v>28</v>
      </c>
      <c r="BW1520" s="53" t="n">
        <f aca="false">IF(BU1520="LOSE",1,0)</f>
        <v>0</v>
      </c>
      <c r="BX1520" s="53" t="n">
        <f aca="false">IF(AND(U1520="",OR(P1520="",P1520="LOSE"),T1520&lt;&gt;"",N(S1520)&lt;=0,ISNUMBER(MATCH(T1520,Parameter!$I$27:$I$29,0))),1,0)</f>
        <v>0</v>
      </c>
      <c r="BY1520" s="53" t="n">
        <f aca="false">IF(CL1520&gt;0,INDEX(Parameter!$H$5:$H$7,W1520)/INDEX(Parameter!$E$5:$E$7,W1520),IF(AND(BW1520=0,N(IFERROR(VLOOKUP(BU1520,'Gebinde-Kategorie'!$A$5:$N$45,14,0),0))&gt;0),VLOOKUP(BU1520,'Gebinde-Kategorie'!$A$5:$N$45,14,0)*10+Parameter!$M$23,Parameter!$M$24))</f>
        <v>245</v>
      </c>
      <c r="BZ1520" s="48" t="str">
        <f aca="false">IF(AND(Parameter!$B$19="Ja",E1520&lt;&gt;"",ISNUMBER(MATCH(E1520,Parameter!$I$35:$I$52,0))),VLOOKUP(E1520,Parameter!$I$35:$J$52,2,0),IFERROR(VLOOKUP(D1520,Parameter!$A$35:$C$64,2,0),"Nein"))</f>
        <v>2+3</v>
      </c>
      <c r="CA1520" s="52" t="n">
        <f aca="false">IF(BW1520=0,0,IF(N(S1520)&gt;0,S1520,IFERROR(VLOOKUP(D1520,Parameter!$A$35:$C$64,3,0)+0,0)))</f>
        <v>0</v>
      </c>
      <c r="CB1520" s="48" t="n">
        <f aca="false">IF(AA1520&lt;&gt;"",AA1520,Z1520)</f>
        <v>2</v>
      </c>
      <c r="CC1520" s="48" t="str">
        <f aca="false">IF(OR(CB1520=1,CB1520=2,CB1520=3),IF(Parameter!$E$27="Ja","LIFT",IF(CB1520=1,"L1","L23")),IF(CB1520="Aussen","Aussen","-"))</f>
        <v>LIFT</v>
      </c>
      <c r="CD1520" s="59" t="n">
        <f aca="false">IF(N(AB1520)&gt;0,AB1520,0)</f>
        <v>0</v>
      </c>
      <c r="CE1520" s="53" t="n">
        <f aca="false">IF(ISNUMBER(AE1520),1,0)</f>
        <v>0</v>
      </c>
      <c r="CF1520" s="50" t="n">
        <f aca="false">N(AE1520)</f>
        <v>0</v>
      </c>
      <c r="CG1520" s="50" t="n">
        <f aca="false">N(M1520)+N(N1520)</f>
        <v>15</v>
      </c>
      <c r="CH1520" s="50" t="n">
        <f aca="false">ROUNDUP(H1520/BV1520,0)</f>
        <v>1</v>
      </c>
      <c r="CI1520" s="50" t="n">
        <f aca="false">ROUNDUP(CF1520/BV1520,0)</f>
        <v>0</v>
      </c>
      <c r="CJ1520" s="53" t="n">
        <f aca="false">IF(BW1520=1,0,IFERROR(VLOOKUP(BU1520,'Gebinde-Kategorie'!$A$5:$N$45,5,0)+0,0))</f>
        <v>21</v>
      </c>
      <c r="CK1520" s="53" t="n">
        <f aca="false">IFERROR(IF(OR(CB1520=1,CB1520=2,CB1520=3),N(INDEX(Parameter!$I$5:$I$7,CB1520)),0),0)</f>
        <v>0</v>
      </c>
      <c r="CL1520" s="52" t="n">
        <f aca="false">IF(AND(Parameter!$B$21="Ja",ISNUMBER(W1520),N(X1520)&gt;0),IFERROR(N(INDEX(Parameter!$L$5:$L$7,W1520))*INDEX(Parameter!$E$5:$E$7,W1520)*X1520/SUMIFS($X$7:$X$1843,$W$7:$W$1843,W1520),0),0)</f>
        <v>0</v>
      </c>
    </row>
    <row r="1521" customFormat="false" ht="15" hidden="false" customHeight="false" outlineLevel="0" collapsed="false">
      <c r="A1521" s="48" t="s">
        <v>2665</v>
      </c>
      <c r="B1521" s="48" t="s">
        <v>291</v>
      </c>
      <c r="C1521" s="48" t="s">
        <v>171</v>
      </c>
      <c r="D1521" s="48" t="s">
        <v>177</v>
      </c>
      <c r="E1521" s="48" t="s">
        <v>189</v>
      </c>
      <c r="F1521" s="48"/>
      <c r="G1521" s="49" t="n">
        <v>1618</v>
      </c>
      <c r="H1521" s="50" t="n">
        <f aca="false">MAX(0,IF(AND(Parameter!$B$21="Ja",ISNUMBER(Y1521)),Y1521,IF(Parameter!$B$20="Jahresanfang 2025 + Export",BO1521+BN1521,BN1521)))</f>
        <v>1</v>
      </c>
      <c r="I1521" s="50" t="n">
        <f aca="false">H1521*G1521</f>
        <v>1618</v>
      </c>
      <c r="J1521" s="50" t="n">
        <f aca="false">BQ1521*Parameter!$B$18</f>
        <v>0</v>
      </c>
      <c r="K1521" s="51"/>
      <c r="L1521" s="52"/>
      <c r="M1521" s="50" t="n">
        <v>0</v>
      </c>
      <c r="N1521" s="50" t="n">
        <v>1</v>
      </c>
      <c r="O1521" s="53" t="n">
        <v>35</v>
      </c>
      <c r="P1521" s="48" t="s">
        <v>237</v>
      </c>
      <c r="Q1521" s="50" t="n">
        <v>1</v>
      </c>
      <c r="R1521" s="53" t="n">
        <f aca="false">IF(BW1521=1,0,IFERROR(VLOOKUP(BU1521,'Gebinde-Kategorie'!$A$5:$N$45,13,0)+0,0))</f>
        <v>26</v>
      </c>
      <c r="S1521" s="54"/>
      <c r="T1521" s="55"/>
      <c r="U1521" s="55"/>
      <c r="V1521" s="55"/>
      <c r="W1521" s="48"/>
      <c r="X1521" s="50"/>
      <c r="Y1521" s="50"/>
      <c r="Z1521" s="48" t="n">
        <f aca="false">IF(A1521="","",IF(AND(Parameter!$B$21="Ja",ISNUMBER(W1521)),W1521,IF(BZ1521="2+3",IF(ISNUMBER(SEARCH("grosser Artikel",BR1521)),2,IFERROR(VLOOKUP(BU1521,Parameter!$F$35:$G$64,2,0),2)),IF(OR(BZ1521="Nein",BZ1521=""),"-",BZ1521))))</f>
        <v>3</v>
      </c>
      <c r="AA1521" s="55"/>
      <c r="AB1521" s="56"/>
      <c r="AC1521" s="50" t="n">
        <f aca="false">AT1521</f>
        <v>1</v>
      </c>
      <c r="AD1521" s="50" t="n">
        <f aca="false">MAX(AT1521,H1521)</f>
        <v>1</v>
      </c>
      <c r="AE1521" s="57"/>
      <c r="AF1521" s="50" t="n">
        <f aca="false">IF(LEFT(Cockpit!$C$5,1)="A",H1521,IF(CE1521=1,CF1521,IF(LEFT(Cockpit!$C$5,1)="B",AK1521,MAX(AK1521,H1521))))</f>
        <v>1</v>
      </c>
      <c r="AG1521" s="50" t="n">
        <f aca="false">IF(BW1521=1,0,ROUNDUP(AF1521/BV1521,0))</f>
        <v>1</v>
      </c>
      <c r="AH1521" s="52" t="n">
        <f aca="false">IF(CL1521&gt;0,CL1521*MAX(1,AF1521/X1521),IF(BW1521=1,IF(AF1521&lt;=0,0,CA1521*MAX(1,IF(H1521&gt;0,AF1521/H1521,1))),IF(R1521&gt;0,AG1521/R1521,0))/MAX(0.1,N(Parameter!$M$21)))</f>
        <v>0.0384615384615385</v>
      </c>
      <c r="AI1521" s="50" t="n">
        <f aca="false">AH1521*BY1521</f>
        <v>9.42307692307692</v>
      </c>
      <c r="AJ1521" s="50" t="n">
        <f aca="false">AF1521*G1521</f>
        <v>1618</v>
      </c>
      <c r="AK1521" s="50" t="n">
        <f aca="false">ROUNDUP(MAX(J1521/IF(CD1521&gt;0,CD1521,MAX(0.1,N(Cockpit!$C$6))),CG1521)/BV1521,0)*BV1521</f>
        <v>1</v>
      </c>
      <c r="AL1521" s="51" t="n">
        <f aca="false">IF(AI1521&gt;0,J1521/AI1521,-1)</f>
        <v>0</v>
      </c>
      <c r="AM1521" s="51" t="n">
        <f aca="false">IF(AND(OR(CC1521="L1",CC1521="L23",CC1521="LIFT"),AI1521&gt;0),SUMIFS($AI$7:$AI$1843,$CC$7:$CC$1843,CC1521,$AL$7:$AL$1843,"&gt;"&amp;AL1521)+SUMIFS($AI$7:$AI$1843,$CC$7:$CC$1843,CC1521,$AL$7:$AL$1843,AL1521,$BT$7:$BT$1843,"&lt;="&amp;BT1521),"")</f>
        <v>30011.0657892014</v>
      </c>
      <c r="AN1521" s="58" t="n">
        <f aca="false">IF(AM1521="",0,MAX(0,MIN(1,(IF(CC1521="L1",Parameter!$H$5,IF(CC1521="L23",Parameter!$H$6+Parameter!$H$7,Parameter!$H$5+Parameter!$H$6+Parameter!$H$7))-(AM1521-AI1521))/AI1521)))</f>
        <v>1</v>
      </c>
      <c r="AO1521" s="50" t="n">
        <f aca="false">IF(LEFT(Cockpit!$I$5,1)="A",H1521,IF(CE1521=1,CF1521,IF(LEFT(Cockpit!$I$5,1)="B",AT1521,MAX(AT1521,H1521))))</f>
        <v>1</v>
      </c>
      <c r="AP1521" s="50" t="n">
        <f aca="false">IF(BW1521=1,0,ROUNDUP(AO1521/BV1521,0))</f>
        <v>1</v>
      </c>
      <c r="AQ1521" s="52" t="n">
        <f aca="false">IF(CL1521&gt;0,CL1521*MAX(1,AO1521/X1521),IF(BW1521=1,IF(AO1521&lt;=0,0,CA1521*MAX(1,IF(H1521&gt;0,AO1521/H1521,1))),IF(R1521&gt;0,AP1521/R1521,0))/MAX(0.1,N(Parameter!$M$21)))</f>
        <v>0.0384615384615385</v>
      </c>
      <c r="AR1521" s="50" t="n">
        <f aca="false">AQ1521*BY1521</f>
        <v>9.42307692307692</v>
      </c>
      <c r="AS1521" s="50" t="n">
        <f aca="false">AO1521*G1521</f>
        <v>1618</v>
      </c>
      <c r="AT1521" s="50" t="n">
        <f aca="false">ROUNDUP(MAX(J1521/IF(CD1521&gt;0,CD1521,MAX(0.1,N(Cockpit!$I$6))),CG1521)/BV1521,0)*BV1521</f>
        <v>1</v>
      </c>
      <c r="AU1521" s="51" t="n">
        <f aca="false">IF(AR1521&gt;0,J1521/AR1521,-1)</f>
        <v>0</v>
      </c>
      <c r="AV1521" s="51" t="n">
        <f aca="false">IF(AND(OR(CC1521="L1",CC1521="L23",CC1521="LIFT"),AR1521&gt;0),SUMIFS($AR$7:$AR$1843,$CC$7:$CC$1843,CC1521,$AU$7:$AU$1843,"&gt;"&amp;AU1521)+SUMIFS($AR$7:$AR$1843,$CC$7:$CC$1843,CC1521,$AU$7:$AU$1843,AU1521,$BT$7:$BT$1843,"&lt;="&amp;BT1521),"")</f>
        <v>42332.0692918193</v>
      </c>
      <c r="AW1521" s="58" t="n">
        <f aca="false">IF(AV1521="",0,MAX(0,MIN(1,(IF(CC1521="L1",Parameter!$H$5,IF(CC1521="L23",Parameter!$H$6+Parameter!$H$7,Parameter!$H$5+Parameter!$H$6+Parameter!$H$7))-(AV1521-AR1521))/AR1521)))</f>
        <v>0</v>
      </c>
      <c r="AX1521" s="50" t="n">
        <f aca="false">IF(LEFT(Cockpit!$O$5,1)="A",H1521,IF(CE1521=1,CF1521,IF(LEFT(Cockpit!$O$5,1)="B",BC1521,MAX(BC1521,H1521))))</f>
        <v>1</v>
      </c>
      <c r="AY1521" s="50" t="n">
        <f aca="false">IF(BW1521=1,0,ROUNDUP(AX1521/BV1521,0))</f>
        <v>1</v>
      </c>
      <c r="AZ1521" s="52" t="n">
        <f aca="false">IF(CL1521&gt;0,CL1521*MAX(1,AX1521/X1521),IF(BW1521=1,IF(AX1521&lt;=0,0,CA1521*MAX(1,IF(H1521&gt;0,AX1521/H1521,1))),IF(R1521&gt;0,AY1521/R1521,0))/MAX(0.1,N(Parameter!$M$21)))</f>
        <v>0.0384615384615385</v>
      </c>
      <c r="BA1521" s="50" t="n">
        <f aca="false">AZ1521*BY1521</f>
        <v>9.42307692307692</v>
      </c>
      <c r="BB1521" s="50" t="n">
        <f aca="false">AX1521*G1521</f>
        <v>1618</v>
      </c>
      <c r="BC1521" s="50" t="n">
        <f aca="false">ROUNDUP(MAX(J1521/IF(CD1521&gt;0,CD1521,MAX(0.1,N(Cockpit!$O$6))),CG1521)/BV1521,0)*BV1521</f>
        <v>1</v>
      </c>
      <c r="BD1521" s="51" t="n">
        <f aca="false">IF(BA1521&gt;0,J1521/BA1521,-1)</f>
        <v>0</v>
      </c>
      <c r="BE1521" s="51" t="n">
        <f aca="false">IF(AND(OR(CC1521="L1",CC1521="L23",CC1521="LIFT"),BA1521&gt;0),SUMIFS($BA$7:$BA$1843,$CC$7:$CC$1843,CC1521,$BD$7:$BD$1843,"&gt;"&amp;BD1521)+SUMIFS($BA$7:$BA$1843,$CC$7:$CC$1843,CC1521,$BD$7:$BD$1843,BD1521,$BT$7:$BT$1843,"&lt;="&amp;BT1521),"")</f>
        <v>39007.0813336852</v>
      </c>
      <c r="BF1521" s="58" t="n">
        <f aca="false">IF(BE1521="",0,MAX(0,MIN(1,(IF(CC1521="L1",Parameter!$H$5,IF(CC1521="L23",Parameter!$H$6+Parameter!$H$7,Parameter!$H$5+Parameter!$H$6+Parameter!$H$7))-(BE1521-BA1521))/BA1521)))</f>
        <v>0</v>
      </c>
      <c r="BG1521" s="48" t="str">
        <f aca="false">IF(AI1521&lt;=0,"",IF(CC1521="Aussen","Aussenlager",IF(CC1521="-","Nicht im Lift",IF(AN1521&gt;=1,"Lift",IF(AN1521&lt;=0,"Aussenlager","teilweise")))))</f>
        <v>Lift</v>
      </c>
      <c r="BH1521" s="48" t="str">
        <f aca="false">IF(AR1521&lt;=0,"",IF(CC1521="Aussen","Aussenlager",IF(CC1521="-","Nicht im Lift",IF(AW1521&gt;=1,"Lift",IF(AW1521&lt;=0,"Aussenlager","teilweise")))))</f>
        <v>Aussenlager</v>
      </c>
      <c r="BI1521" s="48" t="str">
        <f aca="false">IF(BA1521&lt;=0,"",IF(CC1521="Aussen","Aussenlager",IF(CC1521="-","Nicht im Lift",IF(BF1521&gt;=1,"Lift",IF(BF1521&lt;=0,"Aussenlager","teilweise")))))</f>
        <v>Aussenlager</v>
      </c>
      <c r="BJ1521" s="48" t="str">
        <f aca="false">IF(A1521="","",IF(BS1521=1,"Neu; ","")&amp;IF(AND(BS1521=0,BN1521&lt;0),"negativer Bestand (Export "&amp;BN1521&amp;"); ","")&amp;IF(J1521&lt;=0,"Kein Verbrauch; ","")&amp;IF(CL1521&gt;0,"Lift "&amp;W1521&amp;" lt. Liftbericht (Fach "&amp;X1521&amp;" Stk); ",IF(BX1521=1,"Gebinde geschätzt ("&amp;T1521&amp;"); ",IF(BW1521=1,"Lose – Tablare geschätzt; ","")))&amp;IF(H1521&gt;AT1521,"Überbestand "&amp;ROUND(H1521-AT1521,0)&amp;" Stk / CHF "&amp;ROUND((H1521-AT1521)*G1521,0)&amp;"; ","")&amp;IF(AND(CE1521=1,CF1521&lt;CG1521),"MAX &lt; MB+LG; ","")&amp;IF(AND(CK1521&gt;0,CJ1521*10&gt;CK1521),"zu hoch für Tablar; ","")&amp;IF(AND(BS1521=0,OR(CE1521=1,AA1521&lt;&gt;"",U1521&lt;&gt;"",V1521&lt;&gt;"",AB1521&lt;&gt;"")),"manuell übersteuert; ","")&amp;IF(AND(BW1521=0,R1521=0),"Gebinde unbekannt / Stellmass fehlt; ","")&amp;IF(AND(BW1521=0,N(V1521)&lt;=0,N(Q1521)&lt;=0),"Menge pro Gebinde fehlt (Ist = 1 Gebinde); ","")&amp;BR1521)</f>
        <v>Kein Verbrauch; nur im Artikelstamm (Bestand 23.06.2026)</v>
      </c>
      <c r="BK1521" s="48"/>
      <c r="BL1521" s="48"/>
      <c r="BM1521" s="55"/>
      <c r="BN1521" s="50" t="n">
        <v>1</v>
      </c>
      <c r="BO1521" s="50" t="n">
        <v>0</v>
      </c>
      <c r="BP1521" s="49" t="n">
        <v>0</v>
      </c>
      <c r="BQ1521" s="50" t="n">
        <v>0</v>
      </c>
      <c r="BR1521" s="48" t="s">
        <v>2579</v>
      </c>
      <c r="BS1521" s="53" t="n">
        <v>0</v>
      </c>
      <c r="BT1521" s="53" t="n">
        <v>1521</v>
      </c>
      <c r="BU1521" s="48" t="str">
        <f aca="false">IF(U1521&lt;&gt;"",UPPER(TRIM(U1521)),IF(BX1521=1,UPPER(VLOOKUP(T1521,Parameter!$I$27:$K$29,2,0)),IF(P1521="","LOSE",P1521)))</f>
        <v>S52</v>
      </c>
      <c r="BV1521" s="50" t="n">
        <f aca="false">IF(BU1521="LOSE",1,IF(N(V1521)&gt;0,V1521,IF(BX1521=1,MAX(1,N(VLOOKUP(T1521,Parameter!$I$27:$K$29,3,0)),H1521,N(N1521)),IF(N(Q1521)&gt;0,Q1521,MAX(1,H1521)))))</f>
        <v>1</v>
      </c>
      <c r="BW1521" s="53" t="n">
        <f aca="false">IF(BU1521="LOSE",1,0)</f>
        <v>0</v>
      </c>
      <c r="BX1521" s="53" t="n">
        <f aca="false">IF(AND(U1521="",OR(P1521="",P1521="LOSE"),T1521&lt;&gt;"",N(S1521)&lt;=0,ISNUMBER(MATCH(T1521,Parameter!$I$27:$I$29,0))),1,0)</f>
        <v>0</v>
      </c>
      <c r="BY1521" s="53" t="n">
        <f aca="false">IF(CL1521&gt;0,INDEX(Parameter!$H$5:$H$7,W1521)/INDEX(Parameter!$E$5:$E$7,W1521),IF(AND(BW1521=0,N(IFERROR(VLOOKUP(BU1521,'Gebinde-Kategorie'!$A$5:$N$45,14,0),0))&gt;0),VLOOKUP(BU1521,'Gebinde-Kategorie'!$A$5:$N$45,14,0)*10+Parameter!$M$23,Parameter!$M$24))</f>
        <v>245</v>
      </c>
      <c r="BZ1521" s="48" t="str">
        <f aca="false">IF(AND(Parameter!$B$19="Ja",E1521&lt;&gt;"",ISNUMBER(MATCH(E1521,Parameter!$I$35:$I$52,0))),VLOOKUP(E1521,Parameter!$I$35:$J$52,2,0),IFERROR(VLOOKUP(D1521,Parameter!$A$35:$C$64,2,0),"Nein"))</f>
        <v>2+3</v>
      </c>
      <c r="CA1521" s="52" t="n">
        <f aca="false">IF(BW1521=0,0,IF(N(S1521)&gt;0,S1521,IFERROR(VLOOKUP(D1521,Parameter!$A$35:$C$64,3,0)+0,0)))</f>
        <v>0</v>
      </c>
      <c r="CB1521" s="48" t="n">
        <f aca="false">IF(AA1521&lt;&gt;"",AA1521,Z1521)</f>
        <v>3</v>
      </c>
      <c r="CC1521" s="48" t="str">
        <f aca="false">IF(OR(CB1521=1,CB1521=2,CB1521=3),IF(Parameter!$E$27="Ja","LIFT",IF(CB1521=1,"L1","L23")),IF(CB1521="Aussen","Aussen","-"))</f>
        <v>LIFT</v>
      </c>
      <c r="CD1521" s="59" t="n">
        <f aca="false">IF(N(AB1521)&gt;0,AB1521,0)</f>
        <v>0</v>
      </c>
      <c r="CE1521" s="53" t="n">
        <f aca="false">IF(ISNUMBER(AE1521),1,0)</f>
        <v>0</v>
      </c>
      <c r="CF1521" s="50" t="n">
        <f aca="false">N(AE1521)</f>
        <v>0</v>
      </c>
      <c r="CG1521" s="50" t="n">
        <f aca="false">N(M1521)+N(N1521)</f>
        <v>1</v>
      </c>
      <c r="CH1521" s="50" t="n">
        <f aca="false">ROUNDUP(H1521/BV1521,0)</f>
        <v>1</v>
      </c>
      <c r="CI1521" s="50" t="n">
        <f aca="false">ROUNDUP(CF1521/BV1521,0)</f>
        <v>0</v>
      </c>
      <c r="CJ1521" s="53" t="n">
        <f aca="false">IF(BW1521=1,0,IFERROR(VLOOKUP(BU1521,'Gebinde-Kategorie'!$A$5:$N$45,5,0)+0,0))</f>
        <v>21</v>
      </c>
      <c r="CK1521" s="53" t="n">
        <f aca="false">IFERROR(IF(OR(CB1521=1,CB1521=2,CB1521=3),N(INDEX(Parameter!$I$5:$I$7,CB1521)),0),0)</f>
        <v>0</v>
      </c>
      <c r="CL1521" s="52" t="n">
        <f aca="false">IF(AND(Parameter!$B$21="Ja",ISNUMBER(W1521),N(X1521)&gt;0),IFERROR(N(INDEX(Parameter!$L$5:$L$7,W1521))*INDEX(Parameter!$E$5:$E$7,W1521)*X1521/SUMIFS($X$7:$X$1843,$W$7:$W$1843,W1521),0),0)</f>
        <v>0</v>
      </c>
    </row>
    <row r="1522" customFormat="false" ht="15" hidden="false" customHeight="false" outlineLevel="0" collapsed="false">
      <c r="A1522" s="48" t="s">
        <v>2666</v>
      </c>
      <c r="B1522" s="48" t="s">
        <v>2667</v>
      </c>
      <c r="C1522" s="48" t="s">
        <v>171</v>
      </c>
      <c r="D1522" s="48" t="s">
        <v>177</v>
      </c>
      <c r="E1522" s="48" t="s">
        <v>189</v>
      </c>
      <c r="F1522" s="48"/>
      <c r="G1522" s="49" t="n">
        <v>1618</v>
      </c>
      <c r="H1522" s="50" t="n">
        <f aca="false">MAX(0,IF(AND(Parameter!$B$21="Ja",ISNUMBER(Y1522)),Y1522,IF(Parameter!$B$20="Jahresanfang 2025 + Export",BO1522+BN1522,BN1522)))</f>
        <v>2</v>
      </c>
      <c r="I1522" s="50" t="n">
        <f aca="false">H1522*G1522</f>
        <v>3236</v>
      </c>
      <c r="J1522" s="50" t="n">
        <f aca="false">BQ1522*Parameter!$B$18</f>
        <v>0</v>
      </c>
      <c r="K1522" s="51"/>
      <c r="L1522" s="52"/>
      <c r="M1522" s="50" t="n">
        <v>0</v>
      </c>
      <c r="N1522" s="50" t="n">
        <v>1</v>
      </c>
      <c r="O1522" s="53" t="n">
        <v>35</v>
      </c>
      <c r="P1522" s="48" t="s">
        <v>237</v>
      </c>
      <c r="Q1522" s="50" t="n">
        <v>2</v>
      </c>
      <c r="R1522" s="53" t="n">
        <f aca="false">IF(BW1522=1,0,IFERROR(VLOOKUP(BU1522,'Gebinde-Kategorie'!$A$5:$N$45,13,0)+0,0))</f>
        <v>26</v>
      </c>
      <c r="S1522" s="54"/>
      <c r="T1522" s="55"/>
      <c r="U1522" s="55"/>
      <c r="V1522" s="55"/>
      <c r="W1522" s="48"/>
      <c r="X1522" s="50"/>
      <c r="Y1522" s="50"/>
      <c r="Z1522" s="48" t="n">
        <f aca="false">IF(A1522="","",IF(AND(Parameter!$B$21="Ja",ISNUMBER(W1522)),W1522,IF(BZ1522="2+3",IF(ISNUMBER(SEARCH("grosser Artikel",BR1522)),2,IFERROR(VLOOKUP(BU1522,Parameter!$F$35:$G$64,2,0),2)),IF(OR(BZ1522="Nein",BZ1522=""),"-",BZ1522))))</f>
        <v>3</v>
      </c>
      <c r="AA1522" s="55"/>
      <c r="AB1522" s="56"/>
      <c r="AC1522" s="50" t="n">
        <f aca="false">AT1522</f>
        <v>2</v>
      </c>
      <c r="AD1522" s="50" t="n">
        <f aca="false">MAX(AT1522,H1522)</f>
        <v>2</v>
      </c>
      <c r="AE1522" s="57"/>
      <c r="AF1522" s="50" t="n">
        <f aca="false">IF(LEFT(Cockpit!$C$5,1)="A",H1522,IF(CE1522=1,CF1522,IF(LEFT(Cockpit!$C$5,1)="B",AK1522,MAX(AK1522,H1522))))</f>
        <v>2</v>
      </c>
      <c r="AG1522" s="50" t="n">
        <f aca="false">IF(BW1522=1,0,ROUNDUP(AF1522/BV1522,0))</f>
        <v>1</v>
      </c>
      <c r="AH1522" s="52" t="n">
        <f aca="false">IF(CL1522&gt;0,CL1522*MAX(1,AF1522/X1522),IF(BW1522=1,IF(AF1522&lt;=0,0,CA1522*MAX(1,IF(H1522&gt;0,AF1522/H1522,1))),IF(R1522&gt;0,AG1522/R1522,0))/MAX(0.1,N(Parameter!$M$21)))</f>
        <v>0.0384615384615385</v>
      </c>
      <c r="AI1522" s="50" t="n">
        <f aca="false">AH1522*BY1522</f>
        <v>9.42307692307692</v>
      </c>
      <c r="AJ1522" s="50" t="n">
        <f aca="false">AF1522*G1522</f>
        <v>3236</v>
      </c>
      <c r="AK1522" s="50" t="n">
        <f aca="false">ROUNDUP(MAX(J1522/IF(CD1522&gt;0,CD1522,MAX(0.1,N(Cockpit!$C$6))),CG1522)/BV1522,0)*BV1522</f>
        <v>2</v>
      </c>
      <c r="AL1522" s="51" t="n">
        <f aca="false">IF(AI1522&gt;0,J1522/AI1522,-1)</f>
        <v>0</v>
      </c>
      <c r="AM1522" s="51" t="n">
        <f aca="false">IF(AND(OR(CC1522="L1",CC1522="L23",CC1522="LIFT"),AI1522&gt;0),SUMIFS($AI$7:$AI$1843,$CC$7:$CC$1843,CC1522,$AL$7:$AL$1843,"&gt;"&amp;AL1522)+SUMIFS($AI$7:$AI$1843,$CC$7:$CC$1843,CC1522,$AL$7:$AL$1843,AL1522,$BT$7:$BT$1843,"&lt;="&amp;BT1522),"")</f>
        <v>30020.4888661245</v>
      </c>
      <c r="AN1522" s="58" t="n">
        <f aca="false">IF(AM1522="",0,MAX(0,MIN(1,(IF(CC1522="L1",Parameter!$H$5,IF(CC1522="L23",Parameter!$H$6+Parameter!$H$7,Parameter!$H$5+Parameter!$H$6+Parameter!$H$7))-(AM1522-AI1522))/AI1522)))</f>
        <v>1</v>
      </c>
      <c r="AO1522" s="50" t="n">
        <f aca="false">IF(LEFT(Cockpit!$I$5,1)="A",H1522,IF(CE1522=1,CF1522,IF(LEFT(Cockpit!$I$5,1)="B",AT1522,MAX(AT1522,H1522))))</f>
        <v>2</v>
      </c>
      <c r="AP1522" s="50" t="n">
        <f aca="false">IF(BW1522=1,0,ROUNDUP(AO1522/BV1522,0))</f>
        <v>1</v>
      </c>
      <c r="AQ1522" s="52" t="n">
        <f aca="false">IF(CL1522&gt;0,CL1522*MAX(1,AO1522/X1522),IF(BW1522=1,IF(AO1522&lt;=0,0,CA1522*MAX(1,IF(H1522&gt;0,AO1522/H1522,1))),IF(R1522&gt;0,AP1522/R1522,0))/MAX(0.1,N(Parameter!$M$21)))</f>
        <v>0.0384615384615385</v>
      </c>
      <c r="AR1522" s="50" t="n">
        <f aca="false">AQ1522*BY1522</f>
        <v>9.42307692307692</v>
      </c>
      <c r="AS1522" s="50" t="n">
        <f aca="false">AO1522*G1522</f>
        <v>3236</v>
      </c>
      <c r="AT1522" s="50" t="n">
        <f aca="false">ROUNDUP(MAX(J1522/IF(CD1522&gt;0,CD1522,MAX(0.1,N(Cockpit!$I$6))),CG1522)/BV1522,0)*BV1522</f>
        <v>2</v>
      </c>
      <c r="AU1522" s="51" t="n">
        <f aca="false">IF(AR1522&gt;0,J1522/AR1522,-1)</f>
        <v>0</v>
      </c>
      <c r="AV1522" s="51" t="n">
        <f aca="false">IF(AND(OR(CC1522="L1",CC1522="L23",CC1522="LIFT"),AR1522&gt;0),SUMIFS($AR$7:$AR$1843,$CC$7:$CC$1843,CC1522,$AU$7:$AU$1843,"&gt;"&amp;AU1522)+SUMIFS($AR$7:$AR$1843,$CC$7:$CC$1843,CC1522,$AU$7:$AU$1843,AU1522,$BT$7:$BT$1843,"&lt;="&amp;BT1522),"")</f>
        <v>42341.4923687424</v>
      </c>
      <c r="AW1522" s="58" t="n">
        <f aca="false">IF(AV1522="",0,MAX(0,MIN(1,(IF(CC1522="L1",Parameter!$H$5,IF(CC1522="L23",Parameter!$H$6+Parameter!$H$7,Parameter!$H$5+Parameter!$H$6+Parameter!$H$7))-(AV1522-AR1522))/AR1522)))</f>
        <v>0</v>
      </c>
      <c r="AX1522" s="50" t="n">
        <f aca="false">IF(LEFT(Cockpit!$O$5,1)="A",H1522,IF(CE1522=1,CF1522,IF(LEFT(Cockpit!$O$5,1)="B",BC1522,MAX(BC1522,H1522))))</f>
        <v>2</v>
      </c>
      <c r="AY1522" s="50" t="n">
        <f aca="false">IF(BW1522=1,0,ROUNDUP(AX1522/BV1522,0))</f>
        <v>1</v>
      </c>
      <c r="AZ1522" s="52" t="n">
        <f aca="false">IF(CL1522&gt;0,CL1522*MAX(1,AX1522/X1522),IF(BW1522=1,IF(AX1522&lt;=0,0,CA1522*MAX(1,IF(H1522&gt;0,AX1522/H1522,1))),IF(R1522&gt;0,AY1522/R1522,0))/MAX(0.1,N(Parameter!$M$21)))</f>
        <v>0.0384615384615385</v>
      </c>
      <c r="BA1522" s="50" t="n">
        <f aca="false">AZ1522*BY1522</f>
        <v>9.42307692307692</v>
      </c>
      <c r="BB1522" s="50" t="n">
        <f aca="false">AX1522*G1522</f>
        <v>3236</v>
      </c>
      <c r="BC1522" s="50" t="n">
        <f aca="false">ROUNDUP(MAX(J1522/IF(CD1522&gt;0,CD1522,MAX(0.1,N(Cockpit!$O$6))),CG1522)/BV1522,0)*BV1522</f>
        <v>2</v>
      </c>
      <c r="BD1522" s="51" t="n">
        <f aca="false">IF(BA1522&gt;0,J1522/BA1522,-1)</f>
        <v>0</v>
      </c>
      <c r="BE1522" s="51" t="n">
        <f aca="false">IF(AND(OR(CC1522="L1",CC1522="L23",CC1522="LIFT"),BA1522&gt;0),SUMIFS($BA$7:$BA$1843,$CC$7:$CC$1843,CC1522,$BD$7:$BD$1843,"&gt;"&amp;BD1522)+SUMIFS($BA$7:$BA$1843,$CC$7:$CC$1843,CC1522,$BD$7:$BD$1843,BD1522,$BT$7:$BT$1843,"&lt;="&amp;BT1522),"")</f>
        <v>39016.5044106082</v>
      </c>
      <c r="BF1522" s="58" t="n">
        <f aca="false">IF(BE1522="",0,MAX(0,MIN(1,(IF(CC1522="L1",Parameter!$H$5,IF(CC1522="L23",Parameter!$H$6+Parameter!$H$7,Parameter!$H$5+Parameter!$H$6+Parameter!$H$7))-(BE1522-BA1522))/BA1522)))</f>
        <v>0</v>
      </c>
      <c r="BG1522" s="48" t="str">
        <f aca="false">IF(AI1522&lt;=0,"",IF(CC1522="Aussen","Aussenlager",IF(CC1522="-","Nicht im Lift",IF(AN1522&gt;=1,"Lift",IF(AN1522&lt;=0,"Aussenlager","teilweise")))))</f>
        <v>Lift</v>
      </c>
      <c r="BH1522" s="48" t="str">
        <f aca="false">IF(AR1522&lt;=0,"",IF(CC1522="Aussen","Aussenlager",IF(CC1522="-","Nicht im Lift",IF(AW1522&gt;=1,"Lift",IF(AW1522&lt;=0,"Aussenlager","teilweise")))))</f>
        <v>Aussenlager</v>
      </c>
      <c r="BI1522" s="48" t="str">
        <f aca="false">IF(BA1522&lt;=0,"",IF(CC1522="Aussen","Aussenlager",IF(CC1522="-","Nicht im Lift",IF(BF1522&gt;=1,"Lift",IF(BF1522&lt;=0,"Aussenlager","teilweise")))))</f>
        <v>Aussenlager</v>
      </c>
      <c r="BJ1522" s="48" t="str">
        <f aca="false">IF(A1522="","",IF(BS1522=1,"Neu; ","")&amp;IF(AND(BS1522=0,BN1522&lt;0),"negativer Bestand (Export "&amp;BN1522&amp;"); ","")&amp;IF(J1522&lt;=0,"Kein Verbrauch; ","")&amp;IF(CL1522&gt;0,"Lift "&amp;W1522&amp;" lt. Liftbericht (Fach "&amp;X1522&amp;" Stk); ",IF(BX1522=1,"Gebinde geschätzt ("&amp;T1522&amp;"); ",IF(BW1522=1,"Lose – Tablare geschätzt; ","")))&amp;IF(H1522&gt;AT1522,"Überbestand "&amp;ROUND(H1522-AT1522,0)&amp;" Stk / CHF "&amp;ROUND((H1522-AT1522)*G1522,0)&amp;"; ","")&amp;IF(AND(CE1522=1,CF1522&lt;CG1522),"MAX &lt; MB+LG; ","")&amp;IF(AND(CK1522&gt;0,CJ1522*10&gt;CK1522),"zu hoch für Tablar; ","")&amp;IF(AND(BS1522=0,OR(CE1522=1,AA1522&lt;&gt;"",U1522&lt;&gt;"",V1522&lt;&gt;"",AB1522&lt;&gt;"")),"manuell übersteuert; ","")&amp;IF(AND(BW1522=0,R1522=0),"Gebinde unbekannt / Stellmass fehlt; ","")&amp;IF(AND(BW1522=0,N(V1522)&lt;=0,N(Q1522)&lt;=0),"Menge pro Gebinde fehlt (Ist = 1 Gebinde); ","")&amp;BR1522)</f>
        <v>Kein Verbrauch; nur im Artikelstamm (Bestand 23.06.2026)</v>
      </c>
      <c r="BK1522" s="48"/>
      <c r="BL1522" s="48"/>
      <c r="BM1522" s="55"/>
      <c r="BN1522" s="50" t="n">
        <v>2</v>
      </c>
      <c r="BO1522" s="50" t="n">
        <v>0</v>
      </c>
      <c r="BP1522" s="49" t="n">
        <v>0</v>
      </c>
      <c r="BQ1522" s="50" t="n">
        <v>0</v>
      </c>
      <c r="BR1522" s="48" t="s">
        <v>2579</v>
      </c>
      <c r="BS1522" s="53" t="n">
        <v>0</v>
      </c>
      <c r="BT1522" s="53" t="n">
        <v>1522</v>
      </c>
      <c r="BU1522" s="48" t="str">
        <f aca="false">IF(U1522&lt;&gt;"",UPPER(TRIM(U1522)),IF(BX1522=1,UPPER(VLOOKUP(T1522,Parameter!$I$27:$K$29,2,0)),IF(P1522="","LOSE",P1522)))</f>
        <v>S52</v>
      </c>
      <c r="BV1522" s="50" t="n">
        <f aca="false">IF(BU1522="LOSE",1,IF(N(V1522)&gt;0,V1522,IF(BX1522=1,MAX(1,N(VLOOKUP(T1522,Parameter!$I$27:$K$29,3,0)),H1522,N(N1522)),IF(N(Q1522)&gt;0,Q1522,MAX(1,H1522)))))</f>
        <v>2</v>
      </c>
      <c r="BW1522" s="53" t="n">
        <f aca="false">IF(BU1522="LOSE",1,0)</f>
        <v>0</v>
      </c>
      <c r="BX1522" s="53" t="n">
        <f aca="false">IF(AND(U1522="",OR(P1522="",P1522="LOSE"),T1522&lt;&gt;"",N(S1522)&lt;=0,ISNUMBER(MATCH(T1522,Parameter!$I$27:$I$29,0))),1,0)</f>
        <v>0</v>
      </c>
      <c r="BY1522" s="53" t="n">
        <f aca="false">IF(CL1522&gt;0,INDEX(Parameter!$H$5:$H$7,W1522)/INDEX(Parameter!$E$5:$E$7,W1522),IF(AND(BW1522=0,N(IFERROR(VLOOKUP(BU1522,'Gebinde-Kategorie'!$A$5:$N$45,14,0),0))&gt;0),VLOOKUP(BU1522,'Gebinde-Kategorie'!$A$5:$N$45,14,0)*10+Parameter!$M$23,Parameter!$M$24))</f>
        <v>245</v>
      </c>
      <c r="BZ1522" s="48" t="str">
        <f aca="false">IF(AND(Parameter!$B$19="Ja",E1522&lt;&gt;"",ISNUMBER(MATCH(E1522,Parameter!$I$35:$I$52,0))),VLOOKUP(E1522,Parameter!$I$35:$J$52,2,0),IFERROR(VLOOKUP(D1522,Parameter!$A$35:$C$64,2,0),"Nein"))</f>
        <v>2+3</v>
      </c>
      <c r="CA1522" s="52" t="n">
        <f aca="false">IF(BW1522=0,0,IF(N(S1522)&gt;0,S1522,IFERROR(VLOOKUP(D1522,Parameter!$A$35:$C$64,3,0)+0,0)))</f>
        <v>0</v>
      </c>
      <c r="CB1522" s="48" t="n">
        <f aca="false">IF(AA1522&lt;&gt;"",AA1522,Z1522)</f>
        <v>3</v>
      </c>
      <c r="CC1522" s="48" t="str">
        <f aca="false">IF(OR(CB1522=1,CB1522=2,CB1522=3),IF(Parameter!$E$27="Ja","LIFT",IF(CB1522=1,"L1","L23")),IF(CB1522="Aussen","Aussen","-"))</f>
        <v>LIFT</v>
      </c>
      <c r="CD1522" s="59" t="n">
        <f aca="false">IF(N(AB1522)&gt;0,AB1522,0)</f>
        <v>0</v>
      </c>
      <c r="CE1522" s="53" t="n">
        <f aca="false">IF(ISNUMBER(AE1522),1,0)</f>
        <v>0</v>
      </c>
      <c r="CF1522" s="50" t="n">
        <f aca="false">N(AE1522)</f>
        <v>0</v>
      </c>
      <c r="CG1522" s="50" t="n">
        <f aca="false">N(M1522)+N(N1522)</f>
        <v>1</v>
      </c>
      <c r="CH1522" s="50" t="n">
        <f aca="false">ROUNDUP(H1522/BV1522,0)</f>
        <v>1</v>
      </c>
      <c r="CI1522" s="50" t="n">
        <f aca="false">ROUNDUP(CF1522/BV1522,0)</f>
        <v>0</v>
      </c>
      <c r="CJ1522" s="53" t="n">
        <f aca="false">IF(BW1522=1,0,IFERROR(VLOOKUP(BU1522,'Gebinde-Kategorie'!$A$5:$N$45,5,0)+0,0))</f>
        <v>21</v>
      </c>
      <c r="CK1522" s="53" t="n">
        <f aca="false">IFERROR(IF(OR(CB1522=1,CB1522=2,CB1522=3),N(INDEX(Parameter!$I$5:$I$7,CB1522)),0),0)</f>
        <v>0</v>
      </c>
      <c r="CL1522" s="52" t="n">
        <f aca="false">IF(AND(Parameter!$B$21="Ja",ISNUMBER(W1522),N(X1522)&gt;0),IFERROR(N(INDEX(Parameter!$L$5:$L$7,W1522))*INDEX(Parameter!$E$5:$E$7,W1522)*X1522/SUMIFS($X$7:$X$1843,$W$7:$W$1843,W1522),0),0)</f>
        <v>0</v>
      </c>
    </row>
    <row r="1523" customFormat="false" ht="15" hidden="false" customHeight="false" outlineLevel="0" collapsed="false">
      <c r="A1523" s="48" t="s">
        <v>2668</v>
      </c>
      <c r="B1523" s="48" t="s">
        <v>2322</v>
      </c>
      <c r="C1523" s="48" t="s">
        <v>171</v>
      </c>
      <c r="D1523" s="48" t="s">
        <v>177</v>
      </c>
      <c r="E1523" s="48" t="s">
        <v>189</v>
      </c>
      <c r="F1523" s="48"/>
      <c r="G1523" s="49" t="n">
        <v>1134</v>
      </c>
      <c r="H1523" s="50" t="n">
        <f aca="false">MAX(0,IF(AND(Parameter!$B$21="Ja",ISNUMBER(Y1523)),Y1523,IF(Parameter!$B$20="Jahresanfang 2025 + Export",BO1523+BN1523,BN1523)))</f>
        <v>3</v>
      </c>
      <c r="I1523" s="50" t="n">
        <f aca="false">H1523*G1523</f>
        <v>3402</v>
      </c>
      <c r="J1523" s="50" t="n">
        <f aca="false">BQ1523*Parameter!$B$18</f>
        <v>0</v>
      </c>
      <c r="K1523" s="51"/>
      <c r="L1523" s="52"/>
      <c r="M1523" s="50" t="n">
        <v>0</v>
      </c>
      <c r="N1523" s="50" t="n">
        <v>1</v>
      </c>
      <c r="O1523" s="53" t="n">
        <v>35</v>
      </c>
      <c r="P1523" s="48" t="s">
        <v>237</v>
      </c>
      <c r="Q1523" s="50" t="n">
        <v>3</v>
      </c>
      <c r="R1523" s="53" t="n">
        <f aca="false">IF(BW1523=1,0,IFERROR(VLOOKUP(BU1523,'Gebinde-Kategorie'!$A$5:$N$45,13,0)+0,0))</f>
        <v>26</v>
      </c>
      <c r="S1523" s="54"/>
      <c r="T1523" s="55"/>
      <c r="U1523" s="55"/>
      <c r="V1523" s="55"/>
      <c r="W1523" s="48"/>
      <c r="X1523" s="50"/>
      <c r="Y1523" s="50"/>
      <c r="Z1523" s="48" t="n">
        <f aca="false">IF(A1523="","",IF(AND(Parameter!$B$21="Ja",ISNUMBER(W1523)),W1523,IF(BZ1523="2+3",IF(ISNUMBER(SEARCH("grosser Artikel",BR1523)),2,IFERROR(VLOOKUP(BU1523,Parameter!$F$35:$G$64,2,0),2)),IF(OR(BZ1523="Nein",BZ1523=""),"-",BZ1523))))</f>
        <v>3</v>
      </c>
      <c r="AA1523" s="55"/>
      <c r="AB1523" s="56"/>
      <c r="AC1523" s="50" t="n">
        <f aca="false">AT1523</f>
        <v>3</v>
      </c>
      <c r="AD1523" s="50" t="n">
        <f aca="false">MAX(AT1523,H1523)</f>
        <v>3</v>
      </c>
      <c r="AE1523" s="57"/>
      <c r="AF1523" s="50" t="n">
        <f aca="false">IF(LEFT(Cockpit!$C$5,1)="A",H1523,IF(CE1523=1,CF1523,IF(LEFT(Cockpit!$C$5,1)="B",AK1523,MAX(AK1523,H1523))))</f>
        <v>3</v>
      </c>
      <c r="AG1523" s="50" t="n">
        <f aca="false">IF(BW1523=1,0,ROUNDUP(AF1523/BV1523,0))</f>
        <v>1</v>
      </c>
      <c r="AH1523" s="52" t="n">
        <f aca="false">IF(CL1523&gt;0,CL1523*MAX(1,AF1523/X1523),IF(BW1523=1,IF(AF1523&lt;=0,0,CA1523*MAX(1,IF(H1523&gt;0,AF1523/H1523,1))),IF(R1523&gt;0,AG1523/R1523,0))/MAX(0.1,N(Parameter!$M$21)))</f>
        <v>0.0384615384615385</v>
      </c>
      <c r="AI1523" s="50" t="n">
        <f aca="false">AH1523*BY1523</f>
        <v>9.42307692307692</v>
      </c>
      <c r="AJ1523" s="50" t="n">
        <f aca="false">AF1523*G1523</f>
        <v>3402</v>
      </c>
      <c r="AK1523" s="50" t="n">
        <f aca="false">ROUNDUP(MAX(J1523/IF(CD1523&gt;0,CD1523,MAX(0.1,N(Cockpit!$C$6))),CG1523)/BV1523,0)*BV1523</f>
        <v>3</v>
      </c>
      <c r="AL1523" s="51" t="n">
        <f aca="false">IF(AI1523&gt;0,J1523/AI1523,-1)</f>
        <v>0</v>
      </c>
      <c r="AM1523" s="51" t="n">
        <f aca="false">IF(AND(OR(CC1523="L1",CC1523="L23",CC1523="LIFT"),AI1523&gt;0),SUMIFS($AI$7:$AI$1843,$CC$7:$CC$1843,CC1523,$AL$7:$AL$1843,"&gt;"&amp;AL1523)+SUMIFS($AI$7:$AI$1843,$CC$7:$CC$1843,CC1523,$AL$7:$AL$1843,AL1523,$BT$7:$BT$1843,"&lt;="&amp;BT1523),"")</f>
        <v>30029.9119430475</v>
      </c>
      <c r="AN1523" s="58" t="n">
        <f aca="false">IF(AM1523="",0,MAX(0,MIN(1,(IF(CC1523="L1",Parameter!$H$5,IF(CC1523="L23",Parameter!$H$6+Parameter!$H$7,Parameter!$H$5+Parameter!$H$6+Parameter!$H$7))-(AM1523-AI1523))/AI1523)))</f>
        <v>1</v>
      </c>
      <c r="AO1523" s="50" t="n">
        <f aca="false">IF(LEFT(Cockpit!$I$5,1)="A",H1523,IF(CE1523=1,CF1523,IF(LEFT(Cockpit!$I$5,1)="B",AT1523,MAX(AT1523,H1523))))</f>
        <v>3</v>
      </c>
      <c r="AP1523" s="50" t="n">
        <f aca="false">IF(BW1523=1,0,ROUNDUP(AO1523/BV1523,0))</f>
        <v>1</v>
      </c>
      <c r="AQ1523" s="52" t="n">
        <f aca="false">IF(CL1523&gt;0,CL1523*MAX(1,AO1523/X1523),IF(BW1523=1,IF(AO1523&lt;=0,0,CA1523*MAX(1,IF(H1523&gt;0,AO1523/H1523,1))),IF(R1523&gt;0,AP1523/R1523,0))/MAX(0.1,N(Parameter!$M$21)))</f>
        <v>0.0384615384615385</v>
      </c>
      <c r="AR1523" s="50" t="n">
        <f aca="false">AQ1523*BY1523</f>
        <v>9.42307692307692</v>
      </c>
      <c r="AS1523" s="50" t="n">
        <f aca="false">AO1523*G1523</f>
        <v>3402</v>
      </c>
      <c r="AT1523" s="50" t="n">
        <f aca="false">ROUNDUP(MAX(J1523/IF(CD1523&gt;0,CD1523,MAX(0.1,N(Cockpit!$I$6))),CG1523)/BV1523,0)*BV1523</f>
        <v>3</v>
      </c>
      <c r="AU1523" s="51" t="n">
        <f aca="false">IF(AR1523&gt;0,J1523/AR1523,-1)</f>
        <v>0</v>
      </c>
      <c r="AV1523" s="51" t="n">
        <f aca="false">IF(AND(OR(CC1523="L1",CC1523="L23",CC1523="LIFT"),AR1523&gt;0),SUMIFS($AR$7:$AR$1843,$CC$7:$CC$1843,CC1523,$AU$7:$AU$1843,"&gt;"&amp;AU1523)+SUMIFS($AR$7:$AR$1843,$CC$7:$CC$1843,CC1523,$AU$7:$AU$1843,AU1523,$BT$7:$BT$1843,"&lt;="&amp;BT1523),"")</f>
        <v>42350.9154456655</v>
      </c>
      <c r="AW1523" s="58" t="n">
        <f aca="false">IF(AV1523="",0,MAX(0,MIN(1,(IF(CC1523="L1",Parameter!$H$5,IF(CC1523="L23",Parameter!$H$6+Parameter!$H$7,Parameter!$H$5+Parameter!$H$6+Parameter!$H$7))-(AV1523-AR1523))/AR1523)))</f>
        <v>0</v>
      </c>
      <c r="AX1523" s="50" t="n">
        <f aca="false">IF(LEFT(Cockpit!$O$5,1)="A",H1523,IF(CE1523=1,CF1523,IF(LEFT(Cockpit!$O$5,1)="B",BC1523,MAX(BC1523,H1523))))</f>
        <v>3</v>
      </c>
      <c r="AY1523" s="50" t="n">
        <f aca="false">IF(BW1523=1,0,ROUNDUP(AX1523/BV1523,0))</f>
        <v>1</v>
      </c>
      <c r="AZ1523" s="52" t="n">
        <f aca="false">IF(CL1523&gt;0,CL1523*MAX(1,AX1523/X1523),IF(BW1523=1,IF(AX1523&lt;=0,0,CA1523*MAX(1,IF(H1523&gt;0,AX1523/H1523,1))),IF(R1523&gt;0,AY1523/R1523,0))/MAX(0.1,N(Parameter!$M$21)))</f>
        <v>0.0384615384615385</v>
      </c>
      <c r="BA1523" s="50" t="n">
        <f aca="false">AZ1523*BY1523</f>
        <v>9.42307692307692</v>
      </c>
      <c r="BB1523" s="50" t="n">
        <f aca="false">AX1523*G1523</f>
        <v>3402</v>
      </c>
      <c r="BC1523" s="50" t="n">
        <f aca="false">ROUNDUP(MAX(J1523/IF(CD1523&gt;0,CD1523,MAX(0.1,N(Cockpit!$O$6))),CG1523)/BV1523,0)*BV1523</f>
        <v>3</v>
      </c>
      <c r="BD1523" s="51" t="n">
        <f aca="false">IF(BA1523&gt;0,J1523/BA1523,-1)</f>
        <v>0</v>
      </c>
      <c r="BE1523" s="51" t="n">
        <f aca="false">IF(AND(OR(CC1523="L1",CC1523="L23",CC1523="LIFT"),BA1523&gt;0),SUMIFS($BA$7:$BA$1843,$CC$7:$CC$1843,CC1523,$BD$7:$BD$1843,"&gt;"&amp;BD1523)+SUMIFS($BA$7:$BA$1843,$CC$7:$CC$1843,CC1523,$BD$7:$BD$1843,BD1523,$BT$7:$BT$1843,"&lt;="&amp;BT1523),"")</f>
        <v>39025.9274875313</v>
      </c>
      <c r="BF1523" s="58" t="n">
        <f aca="false">IF(BE1523="",0,MAX(0,MIN(1,(IF(CC1523="L1",Parameter!$H$5,IF(CC1523="L23",Parameter!$H$6+Parameter!$H$7,Parameter!$H$5+Parameter!$H$6+Parameter!$H$7))-(BE1523-BA1523))/BA1523)))</f>
        <v>0</v>
      </c>
      <c r="BG1523" s="48" t="str">
        <f aca="false">IF(AI1523&lt;=0,"",IF(CC1523="Aussen","Aussenlager",IF(CC1523="-","Nicht im Lift",IF(AN1523&gt;=1,"Lift",IF(AN1523&lt;=0,"Aussenlager","teilweise")))))</f>
        <v>Lift</v>
      </c>
      <c r="BH1523" s="48" t="str">
        <f aca="false">IF(AR1523&lt;=0,"",IF(CC1523="Aussen","Aussenlager",IF(CC1523="-","Nicht im Lift",IF(AW1523&gt;=1,"Lift",IF(AW1523&lt;=0,"Aussenlager","teilweise")))))</f>
        <v>Aussenlager</v>
      </c>
      <c r="BI1523" s="48" t="str">
        <f aca="false">IF(BA1523&lt;=0,"",IF(CC1523="Aussen","Aussenlager",IF(CC1523="-","Nicht im Lift",IF(BF1523&gt;=1,"Lift",IF(BF1523&lt;=0,"Aussenlager","teilweise")))))</f>
        <v>Aussenlager</v>
      </c>
      <c r="BJ1523" s="48" t="str">
        <f aca="false">IF(A1523="","",IF(BS1523=1,"Neu; ","")&amp;IF(AND(BS1523=0,BN1523&lt;0),"negativer Bestand (Export "&amp;BN1523&amp;"); ","")&amp;IF(J1523&lt;=0,"Kein Verbrauch; ","")&amp;IF(CL1523&gt;0,"Lift "&amp;W1523&amp;" lt. Liftbericht (Fach "&amp;X1523&amp;" Stk); ",IF(BX1523=1,"Gebinde geschätzt ("&amp;T1523&amp;"); ",IF(BW1523=1,"Lose – Tablare geschätzt; ","")))&amp;IF(H1523&gt;AT1523,"Überbestand "&amp;ROUND(H1523-AT1523,0)&amp;" Stk / CHF "&amp;ROUND((H1523-AT1523)*G1523,0)&amp;"; ","")&amp;IF(AND(CE1523=1,CF1523&lt;CG1523),"MAX &lt; MB+LG; ","")&amp;IF(AND(CK1523&gt;0,CJ1523*10&gt;CK1523),"zu hoch für Tablar; ","")&amp;IF(AND(BS1523=0,OR(CE1523=1,AA1523&lt;&gt;"",U1523&lt;&gt;"",V1523&lt;&gt;"",AB1523&lt;&gt;"")),"manuell übersteuert; ","")&amp;IF(AND(BW1523=0,R1523=0),"Gebinde unbekannt / Stellmass fehlt; ","")&amp;IF(AND(BW1523=0,N(V1523)&lt;=0,N(Q1523)&lt;=0),"Menge pro Gebinde fehlt (Ist = 1 Gebinde); ","")&amp;BR1523)</f>
        <v>Kein Verbrauch; nur im Artikelstamm (Bestand 23.06.2026)</v>
      </c>
      <c r="BK1523" s="48"/>
      <c r="BL1523" s="48"/>
      <c r="BM1523" s="55"/>
      <c r="BN1523" s="50" t="n">
        <v>3</v>
      </c>
      <c r="BO1523" s="50" t="n">
        <v>0</v>
      </c>
      <c r="BP1523" s="49" t="n">
        <v>0</v>
      </c>
      <c r="BQ1523" s="50" t="n">
        <v>0</v>
      </c>
      <c r="BR1523" s="48" t="s">
        <v>2579</v>
      </c>
      <c r="BS1523" s="53" t="n">
        <v>0</v>
      </c>
      <c r="BT1523" s="53" t="n">
        <v>1523</v>
      </c>
      <c r="BU1523" s="48" t="str">
        <f aca="false">IF(U1523&lt;&gt;"",UPPER(TRIM(U1523)),IF(BX1523=1,UPPER(VLOOKUP(T1523,Parameter!$I$27:$K$29,2,0)),IF(P1523="","LOSE",P1523)))</f>
        <v>S52</v>
      </c>
      <c r="BV1523" s="50" t="n">
        <f aca="false">IF(BU1523="LOSE",1,IF(N(V1523)&gt;0,V1523,IF(BX1523=1,MAX(1,N(VLOOKUP(T1523,Parameter!$I$27:$K$29,3,0)),H1523,N(N1523)),IF(N(Q1523)&gt;0,Q1523,MAX(1,H1523)))))</f>
        <v>3</v>
      </c>
      <c r="BW1523" s="53" t="n">
        <f aca="false">IF(BU1523="LOSE",1,0)</f>
        <v>0</v>
      </c>
      <c r="BX1523" s="53" t="n">
        <f aca="false">IF(AND(U1523="",OR(P1523="",P1523="LOSE"),T1523&lt;&gt;"",N(S1523)&lt;=0,ISNUMBER(MATCH(T1523,Parameter!$I$27:$I$29,0))),1,0)</f>
        <v>0</v>
      </c>
      <c r="BY1523" s="53" t="n">
        <f aca="false">IF(CL1523&gt;0,INDEX(Parameter!$H$5:$H$7,W1523)/INDEX(Parameter!$E$5:$E$7,W1523),IF(AND(BW1523=0,N(IFERROR(VLOOKUP(BU1523,'Gebinde-Kategorie'!$A$5:$N$45,14,0),0))&gt;0),VLOOKUP(BU1523,'Gebinde-Kategorie'!$A$5:$N$45,14,0)*10+Parameter!$M$23,Parameter!$M$24))</f>
        <v>245</v>
      </c>
      <c r="BZ1523" s="48" t="str">
        <f aca="false">IF(AND(Parameter!$B$19="Ja",E1523&lt;&gt;"",ISNUMBER(MATCH(E1523,Parameter!$I$35:$I$52,0))),VLOOKUP(E1523,Parameter!$I$35:$J$52,2,0),IFERROR(VLOOKUP(D1523,Parameter!$A$35:$C$64,2,0),"Nein"))</f>
        <v>2+3</v>
      </c>
      <c r="CA1523" s="52" t="n">
        <f aca="false">IF(BW1523=0,0,IF(N(S1523)&gt;0,S1523,IFERROR(VLOOKUP(D1523,Parameter!$A$35:$C$64,3,0)+0,0)))</f>
        <v>0</v>
      </c>
      <c r="CB1523" s="48" t="n">
        <f aca="false">IF(AA1523&lt;&gt;"",AA1523,Z1523)</f>
        <v>3</v>
      </c>
      <c r="CC1523" s="48" t="str">
        <f aca="false">IF(OR(CB1523=1,CB1523=2,CB1523=3),IF(Parameter!$E$27="Ja","LIFT",IF(CB1523=1,"L1","L23")),IF(CB1523="Aussen","Aussen","-"))</f>
        <v>LIFT</v>
      </c>
      <c r="CD1523" s="59" t="n">
        <f aca="false">IF(N(AB1523)&gt;0,AB1523,0)</f>
        <v>0</v>
      </c>
      <c r="CE1523" s="53" t="n">
        <f aca="false">IF(ISNUMBER(AE1523),1,0)</f>
        <v>0</v>
      </c>
      <c r="CF1523" s="50" t="n">
        <f aca="false">N(AE1523)</f>
        <v>0</v>
      </c>
      <c r="CG1523" s="50" t="n">
        <f aca="false">N(M1523)+N(N1523)</f>
        <v>1</v>
      </c>
      <c r="CH1523" s="50" t="n">
        <f aca="false">ROUNDUP(H1523/BV1523,0)</f>
        <v>1</v>
      </c>
      <c r="CI1523" s="50" t="n">
        <f aca="false">ROUNDUP(CF1523/BV1523,0)</f>
        <v>0</v>
      </c>
      <c r="CJ1523" s="53" t="n">
        <f aca="false">IF(BW1523=1,0,IFERROR(VLOOKUP(BU1523,'Gebinde-Kategorie'!$A$5:$N$45,5,0)+0,0))</f>
        <v>21</v>
      </c>
      <c r="CK1523" s="53" t="n">
        <f aca="false">IFERROR(IF(OR(CB1523=1,CB1523=2,CB1523=3),N(INDEX(Parameter!$I$5:$I$7,CB1523)),0),0)</f>
        <v>0</v>
      </c>
      <c r="CL1523" s="52" t="n">
        <f aca="false">IF(AND(Parameter!$B$21="Ja",ISNUMBER(W1523),N(X1523)&gt;0),IFERROR(N(INDEX(Parameter!$L$5:$L$7,W1523))*INDEX(Parameter!$E$5:$E$7,W1523)*X1523/SUMIFS($X$7:$X$1843,$W$7:$W$1843,W1523),0),0)</f>
        <v>0</v>
      </c>
    </row>
    <row r="1524" customFormat="false" ht="15" hidden="false" customHeight="false" outlineLevel="0" collapsed="false">
      <c r="A1524" s="48" t="s">
        <v>2669</v>
      </c>
      <c r="B1524" s="48" t="s">
        <v>566</v>
      </c>
      <c r="C1524" s="48" t="s">
        <v>168</v>
      </c>
      <c r="D1524" s="48" t="s">
        <v>177</v>
      </c>
      <c r="E1524" s="48" t="s">
        <v>189</v>
      </c>
      <c r="F1524" s="48"/>
      <c r="G1524" s="49" t="n">
        <v>510</v>
      </c>
      <c r="H1524" s="50" t="n">
        <f aca="false">MAX(0,IF(AND(Parameter!$B$21="Ja",ISNUMBER(Y1524)),Y1524,IF(Parameter!$B$20="Jahresanfang 2025 + Export",BO1524+BN1524,BN1524)))</f>
        <v>2</v>
      </c>
      <c r="I1524" s="50" t="n">
        <f aca="false">H1524*G1524</f>
        <v>1020</v>
      </c>
      <c r="J1524" s="50" t="n">
        <f aca="false">BQ1524*Parameter!$B$18</f>
        <v>0</v>
      </c>
      <c r="K1524" s="51"/>
      <c r="L1524" s="52"/>
      <c r="M1524" s="50" t="n">
        <v>0</v>
      </c>
      <c r="N1524" s="50" t="n">
        <v>1</v>
      </c>
      <c r="O1524" s="53" t="n">
        <v>35</v>
      </c>
      <c r="P1524" s="48" t="s">
        <v>237</v>
      </c>
      <c r="Q1524" s="50" t="n">
        <v>2</v>
      </c>
      <c r="R1524" s="53" t="n">
        <f aca="false">IF(BW1524=1,0,IFERROR(VLOOKUP(BU1524,'Gebinde-Kategorie'!$A$5:$N$45,13,0)+0,0))</f>
        <v>26</v>
      </c>
      <c r="S1524" s="54"/>
      <c r="T1524" s="55"/>
      <c r="U1524" s="55"/>
      <c r="V1524" s="55"/>
      <c r="W1524" s="48"/>
      <c r="X1524" s="50"/>
      <c r="Y1524" s="50"/>
      <c r="Z1524" s="48" t="n">
        <f aca="false">IF(A1524="","",IF(AND(Parameter!$B$21="Ja",ISNUMBER(W1524)),W1524,IF(BZ1524="2+3",IF(ISNUMBER(SEARCH("grosser Artikel",BR1524)),2,IFERROR(VLOOKUP(BU1524,Parameter!$F$35:$G$64,2,0),2)),IF(OR(BZ1524="Nein",BZ1524=""),"-",BZ1524))))</f>
        <v>3</v>
      </c>
      <c r="AA1524" s="55"/>
      <c r="AB1524" s="56"/>
      <c r="AC1524" s="50" t="n">
        <f aca="false">AT1524</f>
        <v>2</v>
      </c>
      <c r="AD1524" s="50" t="n">
        <f aca="false">MAX(AT1524,H1524)</f>
        <v>2</v>
      </c>
      <c r="AE1524" s="57"/>
      <c r="AF1524" s="50" t="n">
        <f aca="false">IF(LEFT(Cockpit!$C$5,1)="A",H1524,IF(CE1524=1,CF1524,IF(LEFT(Cockpit!$C$5,1)="B",AK1524,MAX(AK1524,H1524))))</f>
        <v>2</v>
      </c>
      <c r="AG1524" s="50" t="n">
        <f aca="false">IF(BW1524=1,0,ROUNDUP(AF1524/BV1524,0))</f>
        <v>1</v>
      </c>
      <c r="AH1524" s="52" t="n">
        <f aca="false">IF(CL1524&gt;0,CL1524*MAX(1,AF1524/X1524),IF(BW1524=1,IF(AF1524&lt;=0,0,CA1524*MAX(1,IF(H1524&gt;0,AF1524/H1524,1))),IF(R1524&gt;0,AG1524/R1524,0))/MAX(0.1,N(Parameter!$M$21)))</f>
        <v>0.0384615384615385</v>
      </c>
      <c r="AI1524" s="50" t="n">
        <f aca="false">AH1524*BY1524</f>
        <v>9.42307692307692</v>
      </c>
      <c r="AJ1524" s="50" t="n">
        <f aca="false">AF1524*G1524</f>
        <v>1020</v>
      </c>
      <c r="AK1524" s="50" t="n">
        <f aca="false">ROUNDUP(MAX(J1524/IF(CD1524&gt;0,CD1524,MAX(0.1,N(Cockpit!$C$6))),CG1524)/BV1524,0)*BV1524</f>
        <v>2</v>
      </c>
      <c r="AL1524" s="51" t="n">
        <f aca="false">IF(AI1524&gt;0,J1524/AI1524,-1)</f>
        <v>0</v>
      </c>
      <c r="AM1524" s="51" t="n">
        <f aca="false">IF(AND(OR(CC1524="L1",CC1524="L23",CC1524="LIFT"),AI1524&gt;0),SUMIFS($AI$7:$AI$1843,$CC$7:$CC$1843,CC1524,$AL$7:$AL$1843,"&gt;"&amp;AL1524)+SUMIFS($AI$7:$AI$1843,$CC$7:$CC$1843,CC1524,$AL$7:$AL$1843,AL1524,$BT$7:$BT$1843,"&lt;="&amp;BT1524),"")</f>
        <v>30039.3350199706</v>
      </c>
      <c r="AN1524" s="58" t="n">
        <f aca="false">IF(AM1524="",0,MAX(0,MIN(1,(IF(CC1524="L1",Parameter!$H$5,IF(CC1524="L23",Parameter!$H$6+Parameter!$H$7,Parameter!$H$5+Parameter!$H$6+Parameter!$H$7))-(AM1524-AI1524))/AI1524)))</f>
        <v>1</v>
      </c>
      <c r="AO1524" s="50" t="n">
        <f aca="false">IF(LEFT(Cockpit!$I$5,1)="A",H1524,IF(CE1524=1,CF1524,IF(LEFT(Cockpit!$I$5,1)="B",AT1524,MAX(AT1524,H1524))))</f>
        <v>2</v>
      </c>
      <c r="AP1524" s="50" t="n">
        <f aca="false">IF(BW1524=1,0,ROUNDUP(AO1524/BV1524,0))</f>
        <v>1</v>
      </c>
      <c r="AQ1524" s="52" t="n">
        <f aca="false">IF(CL1524&gt;0,CL1524*MAX(1,AO1524/X1524),IF(BW1524=1,IF(AO1524&lt;=0,0,CA1524*MAX(1,IF(H1524&gt;0,AO1524/H1524,1))),IF(R1524&gt;0,AP1524/R1524,0))/MAX(0.1,N(Parameter!$M$21)))</f>
        <v>0.0384615384615385</v>
      </c>
      <c r="AR1524" s="50" t="n">
        <f aca="false">AQ1524*BY1524</f>
        <v>9.42307692307692</v>
      </c>
      <c r="AS1524" s="50" t="n">
        <f aca="false">AO1524*G1524</f>
        <v>1020</v>
      </c>
      <c r="AT1524" s="50" t="n">
        <f aca="false">ROUNDUP(MAX(J1524/IF(CD1524&gt;0,CD1524,MAX(0.1,N(Cockpit!$I$6))),CG1524)/BV1524,0)*BV1524</f>
        <v>2</v>
      </c>
      <c r="AU1524" s="51" t="n">
        <f aca="false">IF(AR1524&gt;0,J1524/AR1524,-1)</f>
        <v>0</v>
      </c>
      <c r="AV1524" s="51" t="n">
        <f aca="false">IF(AND(OR(CC1524="L1",CC1524="L23",CC1524="LIFT"),AR1524&gt;0),SUMIFS($AR$7:$AR$1843,$CC$7:$CC$1843,CC1524,$AU$7:$AU$1843,"&gt;"&amp;AU1524)+SUMIFS($AR$7:$AR$1843,$CC$7:$CC$1843,CC1524,$AU$7:$AU$1843,AU1524,$BT$7:$BT$1843,"&lt;="&amp;BT1524),"")</f>
        <v>42360.3385225885</v>
      </c>
      <c r="AW1524" s="58" t="n">
        <f aca="false">IF(AV1524="",0,MAX(0,MIN(1,(IF(CC1524="L1",Parameter!$H$5,IF(CC1524="L23",Parameter!$H$6+Parameter!$H$7,Parameter!$H$5+Parameter!$H$6+Parameter!$H$7))-(AV1524-AR1524))/AR1524)))</f>
        <v>0</v>
      </c>
      <c r="AX1524" s="50" t="n">
        <f aca="false">IF(LEFT(Cockpit!$O$5,1)="A",H1524,IF(CE1524=1,CF1524,IF(LEFT(Cockpit!$O$5,1)="B",BC1524,MAX(BC1524,H1524))))</f>
        <v>2</v>
      </c>
      <c r="AY1524" s="50" t="n">
        <f aca="false">IF(BW1524=1,0,ROUNDUP(AX1524/BV1524,0))</f>
        <v>1</v>
      </c>
      <c r="AZ1524" s="52" t="n">
        <f aca="false">IF(CL1524&gt;0,CL1524*MAX(1,AX1524/X1524),IF(BW1524=1,IF(AX1524&lt;=0,0,CA1524*MAX(1,IF(H1524&gt;0,AX1524/H1524,1))),IF(R1524&gt;0,AY1524/R1524,0))/MAX(0.1,N(Parameter!$M$21)))</f>
        <v>0.0384615384615385</v>
      </c>
      <c r="BA1524" s="50" t="n">
        <f aca="false">AZ1524*BY1524</f>
        <v>9.42307692307692</v>
      </c>
      <c r="BB1524" s="50" t="n">
        <f aca="false">AX1524*G1524</f>
        <v>1020</v>
      </c>
      <c r="BC1524" s="50" t="n">
        <f aca="false">ROUNDUP(MAX(J1524/IF(CD1524&gt;0,CD1524,MAX(0.1,N(Cockpit!$O$6))),CG1524)/BV1524,0)*BV1524</f>
        <v>2</v>
      </c>
      <c r="BD1524" s="51" t="n">
        <f aca="false">IF(BA1524&gt;0,J1524/BA1524,-1)</f>
        <v>0</v>
      </c>
      <c r="BE1524" s="51" t="n">
        <f aca="false">IF(AND(OR(CC1524="L1",CC1524="L23",CC1524="LIFT"),BA1524&gt;0),SUMIFS($BA$7:$BA$1843,$CC$7:$CC$1843,CC1524,$BD$7:$BD$1843,"&gt;"&amp;BD1524)+SUMIFS($BA$7:$BA$1843,$CC$7:$CC$1843,CC1524,$BD$7:$BD$1843,BD1524,$BT$7:$BT$1843,"&lt;="&amp;BT1524),"")</f>
        <v>39035.3505644544</v>
      </c>
      <c r="BF1524" s="58" t="n">
        <f aca="false">IF(BE1524="",0,MAX(0,MIN(1,(IF(CC1524="L1",Parameter!$H$5,IF(CC1524="L23",Parameter!$H$6+Parameter!$H$7,Parameter!$H$5+Parameter!$H$6+Parameter!$H$7))-(BE1524-BA1524))/BA1524)))</f>
        <v>0</v>
      </c>
      <c r="BG1524" s="48" t="str">
        <f aca="false">IF(AI1524&lt;=0,"",IF(CC1524="Aussen","Aussenlager",IF(CC1524="-","Nicht im Lift",IF(AN1524&gt;=1,"Lift",IF(AN1524&lt;=0,"Aussenlager","teilweise")))))</f>
        <v>Lift</v>
      </c>
      <c r="BH1524" s="48" t="str">
        <f aca="false">IF(AR1524&lt;=0,"",IF(CC1524="Aussen","Aussenlager",IF(CC1524="-","Nicht im Lift",IF(AW1524&gt;=1,"Lift",IF(AW1524&lt;=0,"Aussenlager","teilweise")))))</f>
        <v>Aussenlager</v>
      </c>
      <c r="BI1524" s="48" t="str">
        <f aca="false">IF(BA1524&lt;=0,"",IF(CC1524="Aussen","Aussenlager",IF(CC1524="-","Nicht im Lift",IF(BF1524&gt;=1,"Lift",IF(BF1524&lt;=0,"Aussenlager","teilweise")))))</f>
        <v>Aussenlager</v>
      </c>
      <c r="BJ1524" s="48" t="str">
        <f aca="false">IF(A1524="","",IF(BS1524=1,"Neu; ","")&amp;IF(AND(BS1524=0,BN1524&lt;0),"negativer Bestand (Export "&amp;BN1524&amp;"); ","")&amp;IF(J1524&lt;=0,"Kein Verbrauch; ","")&amp;IF(CL1524&gt;0,"Lift "&amp;W1524&amp;" lt. Liftbericht (Fach "&amp;X1524&amp;" Stk); ",IF(BX1524=1,"Gebinde geschätzt ("&amp;T1524&amp;"); ",IF(BW1524=1,"Lose – Tablare geschätzt; ","")))&amp;IF(H1524&gt;AT1524,"Überbestand "&amp;ROUND(H1524-AT1524,0)&amp;" Stk / CHF "&amp;ROUND((H1524-AT1524)*G1524,0)&amp;"; ","")&amp;IF(AND(CE1524=1,CF1524&lt;CG1524),"MAX &lt; MB+LG; ","")&amp;IF(AND(CK1524&gt;0,CJ1524*10&gt;CK1524),"zu hoch für Tablar; ","")&amp;IF(AND(BS1524=0,OR(CE1524=1,AA1524&lt;&gt;"",U1524&lt;&gt;"",V1524&lt;&gt;"",AB1524&lt;&gt;"")),"manuell übersteuert; ","")&amp;IF(AND(BW1524=0,R1524=0),"Gebinde unbekannt / Stellmass fehlt; ","")&amp;IF(AND(BW1524=0,N(V1524)&lt;=0,N(Q1524)&lt;=0),"Menge pro Gebinde fehlt (Ist = 1 Gebinde); ","")&amp;BR1524)</f>
        <v>Kein Verbrauch; nur im Artikelstamm (Bestand 23.06.2026)</v>
      </c>
      <c r="BK1524" s="48"/>
      <c r="BL1524" s="48"/>
      <c r="BM1524" s="55"/>
      <c r="BN1524" s="50" t="n">
        <v>2</v>
      </c>
      <c r="BO1524" s="50" t="n">
        <v>0</v>
      </c>
      <c r="BP1524" s="49" t="n">
        <v>0</v>
      </c>
      <c r="BQ1524" s="50" t="n">
        <v>0</v>
      </c>
      <c r="BR1524" s="48" t="s">
        <v>2579</v>
      </c>
      <c r="BS1524" s="53" t="n">
        <v>0</v>
      </c>
      <c r="BT1524" s="53" t="n">
        <v>1524</v>
      </c>
      <c r="BU1524" s="48" t="str">
        <f aca="false">IF(U1524&lt;&gt;"",UPPER(TRIM(U1524)),IF(BX1524=1,UPPER(VLOOKUP(T1524,Parameter!$I$27:$K$29,2,0)),IF(P1524="","LOSE",P1524)))</f>
        <v>S52</v>
      </c>
      <c r="BV1524" s="50" t="n">
        <f aca="false">IF(BU1524="LOSE",1,IF(N(V1524)&gt;0,V1524,IF(BX1524=1,MAX(1,N(VLOOKUP(T1524,Parameter!$I$27:$K$29,3,0)),H1524,N(N1524)),IF(N(Q1524)&gt;0,Q1524,MAX(1,H1524)))))</f>
        <v>2</v>
      </c>
      <c r="BW1524" s="53" t="n">
        <f aca="false">IF(BU1524="LOSE",1,0)</f>
        <v>0</v>
      </c>
      <c r="BX1524" s="53" t="n">
        <f aca="false">IF(AND(U1524="",OR(P1524="",P1524="LOSE"),T1524&lt;&gt;"",N(S1524)&lt;=0,ISNUMBER(MATCH(T1524,Parameter!$I$27:$I$29,0))),1,0)</f>
        <v>0</v>
      </c>
      <c r="BY1524" s="53" t="n">
        <f aca="false">IF(CL1524&gt;0,INDEX(Parameter!$H$5:$H$7,W1524)/INDEX(Parameter!$E$5:$E$7,W1524),IF(AND(BW1524=0,N(IFERROR(VLOOKUP(BU1524,'Gebinde-Kategorie'!$A$5:$N$45,14,0),0))&gt;0),VLOOKUP(BU1524,'Gebinde-Kategorie'!$A$5:$N$45,14,0)*10+Parameter!$M$23,Parameter!$M$24))</f>
        <v>245</v>
      </c>
      <c r="BZ1524" s="48" t="str">
        <f aca="false">IF(AND(Parameter!$B$19="Ja",E1524&lt;&gt;"",ISNUMBER(MATCH(E1524,Parameter!$I$35:$I$52,0))),VLOOKUP(E1524,Parameter!$I$35:$J$52,2,0),IFERROR(VLOOKUP(D1524,Parameter!$A$35:$C$64,2,0),"Nein"))</f>
        <v>2+3</v>
      </c>
      <c r="CA1524" s="52" t="n">
        <f aca="false">IF(BW1524=0,0,IF(N(S1524)&gt;0,S1524,IFERROR(VLOOKUP(D1524,Parameter!$A$35:$C$64,3,0)+0,0)))</f>
        <v>0</v>
      </c>
      <c r="CB1524" s="48" t="n">
        <f aca="false">IF(AA1524&lt;&gt;"",AA1524,Z1524)</f>
        <v>3</v>
      </c>
      <c r="CC1524" s="48" t="str">
        <f aca="false">IF(OR(CB1524=1,CB1524=2,CB1524=3),IF(Parameter!$E$27="Ja","LIFT",IF(CB1524=1,"L1","L23")),IF(CB1524="Aussen","Aussen","-"))</f>
        <v>LIFT</v>
      </c>
      <c r="CD1524" s="59" t="n">
        <f aca="false">IF(N(AB1524)&gt;0,AB1524,0)</f>
        <v>0</v>
      </c>
      <c r="CE1524" s="53" t="n">
        <f aca="false">IF(ISNUMBER(AE1524),1,0)</f>
        <v>0</v>
      </c>
      <c r="CF1524" s="50" t="n">
        <f aca="false">N(AE1524)</f>
        <v>0</v>
      </c>
      <c r="CG1524" s="50" t="n">
        <f aca="false">N(M1524)+N(N1524)</f>
        <v>1</v>
      </c>
      <c r="CH1524" s="50" t="n">
        <f aca="false">ROUNDUP(H1524/BV1524,0)</f>
        <v>1</v>
      </c>
      <c r="CI1524" s="50" t="n">
        <f aca="false">ROUNDUP(CF1524/BV1524,0)</f>
        <v>0</v>
      </c>
      <c r="CJ1524" s="53" t="n">
        <f aca="false">IF(BW1524=1,0,IFERROR(VLOOKUP(BU1524,'Gebinde-Kategorie'!$A$5:$N$45,5,0)+0,0))</f>
        <v>21</v>
      </c>
      <c r="CK1524" s="53" t="n">
        <f aca="false">IFERROR(IF(OR(CB1524=1,CB1524=2,CB1524=3),N(INDEX(Parameter!$I$5:$I$7,CB1524)),0),0)</f>
        <v>0</v>
      </c>
      <c r="CL1524" s="52" t="n">
        <f aca="false">IF(AND(Parameter!$B$21="Ja",ISNUMBER(W1524),N(X1524)&gt;0),IFERROR(N(INDEX(Parameter!$L$5:$L$7,W1524))*INDEX(Parameter!$E$5:$E$7,W1524)*X1524/SUMIFS($X$7:$X$1843,$W$7:$W$1843,W1524),0),0)</f>
        <v>0</v>
      </c>
    </row>
    <row r="1525" customFormat="false" ht="15" hidden="false" customHeight="false" outlineLevel="0" collapsed="false">
      <c r="A1525" s="48" t="s">
        <v>2670</v>
      </c>
      <c r="B1525" s="48" t="s">
        <v>378</v>
      </c>
      <c r="C1525" s="48" t="s">
        <v>168</v>
      </c>
      <c r="D1525" s="48" t="s">
        <v>188</v>
      </c>
      <c r="E1525" s="48" t="s">
        <v>189</v>
      </c>
      <c r="F1525" s="48"/>
      <c r="G1525" s="49" t="n">
        <v>1.75</v>
      </c>
      <c r="H1525" s="50" t="n">
        <f aca="false">MAX(0,IF(AND(Parameter!$B$21="Ja",ISNUMBER(Y1525)),Y1525,IF(Parameter!$B$20="Jahresanfang 2025 + Export",BO1525+BN1525,BN1525)))</f>
        <v>16</v>
      </c>
      <c r="I1525" s="50" t="n">
        <f aca="false">H1525*G1525</f>
        <v>28</v>
      </c>
      <c r="J1525" s="50" t="n">
        <f aca="false">BQ1525*Parameter!$B$18</f>
        <v>0</v>
      </c>
      <c r="K1525" s="51"/>
      <c r="L1525" s="52"/>
      <c r="M1525" s="50" t="n">
        <v>0</v>
      </c>
      <c r="N1525" s="50" t="n">
        <v>15</v>
      </c>
      <c r="O1525" s="53" t="n">
        <v>0</v>
      </c>
      <c r="P1525" s="48" t="s">
        <v>405</v>
      </c>
      <c r="Q1525" s="50" t="n">
        <v>16</v>
      </c>
      <c r="R1525" s="53" t="n">
        <f aca="false">IF(BW1525=1,0,IFERROR(VLOOKUP(BU1525,'Gebinde-Kategorie'!$A$5:$N$45,13,0)+0,0))</f>
        <v>280</v>
      </c>
      <c r="S1525" s="54"/>
      <c r="T1525" s="55"/>
      <c r="U1525" s="55"/>
      <c r="V1525" s="55"/>
      <c r="W1525" s="48"/>
      <c r="X1525" s="50"/>
      <c r="Y1525" s="50"/>
      <c r="Z1525" s="48" t="n">
        <f aca="false">IF(A1525="","",IF(AND(Parameter!$B$21="Ja",ISNUMBER(W1525)),W1525,IF(BZ1525="2+3",IF(ISNUMBER(SEARCH("grosser Artikel",BR1525)),2,IFERROR(VLOOKUP(BU1525,Parameter!$F$35:$G$64,2,0),2)),IF(OR(BZ1525="Nein",BZ1525=""),"-",BZ1525))))</f>
        <v>3</v>
      </c>
      <c r="AA1525" s="55"/>
      <c r="AB1525" s="56"/>
      <c r="AC1525" s="50" t="n">
        <f aca="false">AT1525</f>
        <v>16</v>
      </c>
      <c r="AD1525" s="50" t="n">
        <f aca="false">MAX(AT1525,H1525)</f>
        <v>16</v>
      </c>
      <c r="AE1525" s="57"/>
      <c r="AF1525" s="50" t="n">
        <f aca="false">IF(LEFT(Cockpit!$C$5,1)="A",H1525,IF(CE1525=1,CF1525,IF(LEFT(Cockpit!$C$5,1)="B",AK1525,MAX(AK1525,H1525))))</f>
        <v>16</v>
      </c>
      <c r="AG1525" s="50" t="n">
        <f aca="false">IF(BW1525=1,0,ROUNDUP(AF1525/BV1525,0))</f>
        <v>1</v>
      </c>
      <c r="AH1525" s="52" t="n">
        <f aca="false">IF(CL1525&gt;0,CL1525*MAX(1,AF1525/X1525),IF(BW1525=1,IF(AF1525&lt;=0,0,CA1525*MAX(1,IF(H1525&gt;0,AF1525/H1525,1))),IF(R1525&gt;0,AG1525/R1525,0))/MAX(0.1,N(Parameter!$M$21)))</f>
        <v>0.00357142857142857</v>
      </c>
      <c r="AI1525" s="50" t="n">
        <f aca="false">AH1525*BY1525</f>
        <v>0.553571428571429</v>
      </c>
      <c r="AJ1525" s="50" t="n">
        <f aca="false">AF1525*G1525</f>
        <v>28</v>
      </c>
      <c r="AK1525" s="50" t="n">
        <f aca="false">ROUNDUP(MAX(J1525/IF(CD1525&gt;0,CD1525,MAX(0.1,N(Cockpit!$C$6))),CG1525)/BV1525,0)*BV1525</f>
        <v>16</v>
      </c>
      <c r="AL1525" s="51" t="n">
        <f aca="false">IF(AI1525&gt;0,J1525/AI1525,-1)</f>
        <v>0</v>
      </c>
      <c r="AM1525" s="51" t="n">
        <f aca="false">IF(AND(OR(CC1525="L1",CC1525="L23",CC1525="LIFT"),AI1525&gt;0),SUMIFS($AI$7:$AI$1843,$CC$7:$CC$1843,CC1525,$AL$7:$AL$1843,"&gt;"&amp;AL1525)+SUMIFS($AI$7:$AI$1843,$CC$7:$CC$1843,CC1525,$AL$7:$AL$1843,AL1525,$BT$7:$BT$1843,"&lt;="&amp;BT1525),"")</f>
        <v>30039.8885913992</v>
      </c>
      <c r="AN1525" s="58" t="n">
        <f aca="false">IF(AM1525="",0,MAX(0,MIN(1,(IF(CC1525="L1",Parameter!$H$5,IF(CC1525="L23",Parameter!$H$6+Parameter!$H$7,Parameter!$H$5+Parameter!$H$6+Parameter!$H$7))-(AM1525-AI1525))/AI1525)))</f>
        <v>1</v>
      </c>
      <c r="AO1525" s="50" t="n">
        <f aca="false">IF(LEFT(Cockpit!$I$5,1)="A",H1525,IF(CE1525=1,CF1525,IF(LEFT(Cockpit!$I$5,1)="B",AT1525,MAX(AT1525,H1525))))</f>
        <v>16</v>
      </c>
      <c r="AP1525" s="50" t="n">
        <f aca="false">IF(BW1525=1,0,ROUNDUP(AO1525/BV1525,0))</f>
        <v>1</v>
      </c>
      <c r="AQ1525" s="52" t="n">
        <f aca="false">IF(CL1525&gt;0,CL1525*MAX(1,AO1525/X1525),IF(BW1525=1,IF(AO1525&lt;=0,0,CA1525*MAX(1,IF(H1525&gt;0,AO1525/H1525,1))),IF(R1525&gt;0,AP1525/R1525,0))/MAX(0.1,N(Parameter!$M$21)))</f>
        <v>0.00357142857142857</v>
      </c>
      <c r="AR1525" s="50" t="n">
        <f aca="false">AQ1525*BY1525</f>
        <v>0.553571428571429</v>
      </c>
      <c r="AS1525" s="50" t="n">
        <f aca="false">AO1525*G1525</f>
        <v>28</v>
      </c>
      <c r="AT1525" s="50" t="n">
        <f aca="false">ROUNDUP(MAX(J1525/IF(CD1525&gt;0,CD1525,MAX(0.1,N(Cockpit!$I$6))),CG1525)/BV1525,0)*BV1525</f>
        <v>16</v>
      </c>
      <c r="AU1525" s="51" t="n">
        <f aca="false">IF(AR1525&gt;0,J1525/AR1525,-1)</f>
        <v>0</v>
      </c>
      <c r="AV1525" s="51" t="n">
        <f aca="false">IF(AND(OR(CC1525="L1",CC1525="L23",CC1525="LIFT"),AR1525&gt;0),SUMIFS($AR$7:$AR$1843,$CC$7:$CC$1843,CC1525,$AU$7:$AU$1843,"&gt;"&amp;AU1525)+SUMIFS($AR$7:$AR$1843,$CC$7:$CC$1843,CC1525,$AU$7:$AU$1843,AU1525,$BT$7:$BT$1843,"&lt;="&amp;BT1525),"")</f>
        <v>42360.8920940171</v>
      </c>
      <c r="AW1525" s="58" t="n">
        <f aca="false">IF(AV1525="",0,MAX(0,MIN(1,(IF(CC1525="L1",Parameter!$H$5,IF(CC1525="L23",Parameter!$H$6+Parameter!$H$7,Parameter!$H$5+Parameter!$H$6+Parameter!$H$7))-(AV1525-AR1525))/AR1525)))</f>
        <v>0</v>
      </c>
      <c r="AX1525" s="50" t="n">
        <f aca="false">IF(LEFT(Cockpit!$O$5,1)="A",H1525,IF(CE1525=1,CF1525,IF(LEFT(Cockpit!$O$5,1)="B",BC1525,MAX(BC1525,H1525))))</f>
        <v>16</v>
      </c>
      <c r="AY1525" s="50" t="n">
        <f aca="false">IF(BW1525=1,0,ROUNDUP(AX1525/BV1525,0))</f>
        <v>1</v>
      </c>
      <c r="AZ1525" s="52" t="n">
        <f aca="false">IF(CL1525&gt;0,CL1525*MAX(1,AX1525/X1525),IF(BW1525=1,IF(AX1525&lt;=0,0,CA1525*MAX(1,IF(H1525&gt;0,AX1525/H1525,1))),IF(R1525&gt;0,AY1525/R1525,0))/MAX(0.1,N(Parameter!$M$21)))</f>
        <v>0.00357142857142857</v>
      </c>
      <c r="BA1525" s="50" t="n">
        <f aca="false">AZ1525*BY1525</f>
        <v>0.553571428571429</v>
      </c>
      <c r="BB1525" s="50" t="n">
        <f aca="false">AX1525*G1525</f>
        <v>28</v>
      </c>
      <c r="BC1525" s="50" t="n">
        <f aca="false">ROUNDUP(MAX(J1525/IF(CD1525&gt;0,CD1525,MAX(0.1,N(Cockpit!$O$6))),CG1525)/BV1525,0)*BV1525</f>
        <v>16</v>
      </c>
      <c r="BD1525" s="51" t="n">
        <f aca="false">IF(BA1525&gt;0,J1525/BA1525,-1)</f>
        <v>0</v>
      </c>
      <c r="BE1525" s="51" t="n">
        <f aca="false">IF(AND(OR(CC1525="L1",CC1525="L23",CC1525="LIFT"),BA1525&gt;0),SUMIFS($BA$7:$BA$1843,$CC$7:$CC$1843,CC1525,$BD$7:$BD$1843,"&gt;"&amp;BD1525)+SUMIFS($BA$7:$BA$1843,$CC$7:$CC$1843,CC1525,$BD$7:$BD$1843,BD1525,$BT$7:$BT$1843,"&lt;="&amp;BT1525),"")</f>
        <v>39035.904135883</v>
      </c>
      <c r="BF1525" s="58" t="n">
        <f aca="false">IF(BE1525="",0,MAX(0,MIN(1,(IF(CC1525="L1",Parameter!$H$5,IF(CC1525="L23",Parameter!$H$6+Parameter!$H$7,Parameter!$H$5+Parameter!$H$6+Parameter!$H$7))-(BE1525-BA1525))/BA1525)))</f>
        <v>0</v>
      </c>
      <c r="BG1525" s="48" t="str">
        <f aca="false">IF(AI1525&lt;=0,"",IF(CC1525="Aussen","Aussenlager",IF(CC1525="-","Nicht im Lift",IF(AN1525&gt;=1,"Lift",IF(AN1525&lt;=0,"Aussenlager","teilweise")))))</f>
        <v>Lift</v>
      </c>
      <c r="BH1525" s="48" t="str">
        <f aca="false">IF(AR1525&lt;=0,"",IF(CC1525="Aussen","Aussenlager",IF(CC1525="-","Nicht im Lift",IF(AW1525&gt;=1,"Lift",IF(AW1525&lt;=0,"Aussenlager","teilweise")))))</f>
        <v>Aussenlager</v>
      </c>
      <c r="BI1525" s="48" t="str">
        <f aca="false">IF(BA1525&lt;=0,"",IF(CC1525="Aussen","Aussenlager",IF(CC1525="-","Nicht im Lift",IF(BF1525&gt;=1,"Lift",IF(BF1525&lt;=0,"Aussenlager","teilweise")))))</f>
        <v>Aussenlager</v>
      </c>
      <c r="BJ1525" s="48" t="str">
        <f aca="false">IF(A1525="","",IF(BS1525=1,"Neu; ","")&amp;IF(AND(BS1525=0,BN1525&lt;0),"negativer Bestand (Export "&amp;BN1525&amp;"); ","")&amp;IF(J1525&lt;=0,"Kein Verbrauch; ","")&amp;IF(CL1525&gt;0,"Lift "&amp;W1525&amp;" lt. Liftbericht (Fach "&amp;X1525&amp;" Stk); ",IF(BX1525=1,"Gebinde geschätzt ("&amp;T1525&amp;"); ",IF(BW1525=1,"Lose – Tablare geschätzt; ","")))&amp;IF(H1525&gt;AT1525,"Überbestand "&amp;ROUND(H1525-AT1525,0)&amp;" Stk / CHF "&amp;ROUND((H1525-AT1525)*G1525,0)&amp;"; ","")&amp;IF(AND(CE1525=1,CF1525&lt;CG1525),"MAX &lt; MB+LG; ","")&amp;IF(AND(CK1525&gt;0,CJ1525*10&gt;CK1525),"zu hoch für Tablar; ","")&amp;IF(AND(BS1525=0,OR(CE1525=1,AA1525&lt;&gt;"",U1525&lt;&gt;"",V1525&lt;&gt;"",AB1525&lt;&gt;"")),"manuell übersteuert; ","")&amp;IF(AND(BW1525=0,R1525=0),"Gebinde unbekannt / Stellmass fehlt; ","")&amp;IF(AND(BW1525=0,N(V1525)&lt;=0,N(Q1525)&lt;=0),"Menge pro Gebinde fehlt (Ist = 1 Gebinde); ","")&amp;BR1525)</f>
        <v>Kein Verbrauch; nur im Artikelstamm (Bestand 23.06.2026); Neu</v>
      </c>
      <c r="BK1525" s="48"/>
      <c r="BL1525" s="48"/>
      <c r="BM1525" s="55"/>
      <c r="BN1525" s="50" t="n">
        <v>16</v>
      </c>
      <c r="BO1525" s="50" t="n">
        <v>0</v>
      </c>
      <c r="BP1525" s="49" t="n">
        <v>0</v>
      </c>
      <c r="BQ1525" s="50" t="n">
        <v>0</v>
      </c>
      <c r="BR1525" s="48" t="s">
        <v>2671</v>
      </c>
      <c r="BS1525" s="53" t="n">
        <v>0</v>
      </c>
      <c r="BT1525" s="53" t="n">
        <v>1525</v>
      </c>
      <c r="BU1525" s="48" t="str">
        <f aca="false">IF(U1525&lt;&gt;"",UPPER(TRIM(U1525)),IF(BX1525=1,UPPER(VLOOKUP(T1525,Parameter!$I$27:$K$29,2,0)),IF(P1525="","LOSE",P1525)))</f>
        <v>S21</v>
      </c>
      <c r="BV1525" s="50" t="n">
        <f aca="false">IF(BU1525="LOSE",1,IF(N(V1525)&gt;0,V1525,IF(BX1525=1,MAX(1,N(VLOOKUP(T1525,Parameter!$I$27:$K$29,3,0)),H1525,N(N1525)),IF(N(Q1525)&gt;0,Q1525,MAX(1,H1525)))))</f>
        <v>16</v>
      </c>
      <c r="BW1525" s="53" t="n">
        <f aca="false">IF(BU1525="LOSE",1,0)</f>
        <v>0</v>
      </c>
      <c r="BX1525" s="53" t="n">
        <f aca="false">IF(AND(U1525="",OR(P1525="",P1525="LOSE"),T1525&lt;&gt;"",N(S1525)&lt;=0,ISNUMBER(MATCH(T1525,Parameter!$I$27:$I$29,0))),1,0)</f>
        <v>0</v>
      </c>
      <c r="BY1525" s="53" t="n">
        <f aca="false">IF(CL1525&gt;0,INDEX(Parameter!$H$5:$H$7,W1525)/INDEX(Parameter!$E$5:$E$7,W1525),IF(AND(BW1525=0,N(IFERROR(VLOOKUP(BU1525,'Gebinde-Kategorie'!$A$5:$N$45,14,0),0))&gt;0),VLOOKUP(BU1525,'Gebinde-Kategorie'!$A$5:$N$45,14,0)*10+Parameter!$M$23,Parameter!$M$24))</f>
        <v>155</v>
      </c>
      <c r="BZ1525" s="48" t="str">
        <f aca="false">IF(AND(Parameter!$B$19="Ja",E1525&lt;&gt;"",ISNUMBER(MATCH(E1525,Parameter!$I$35:$I$52,0))),VLOOKUP(E1525,Parameter!$I$35:$J$52,2,0),IFERROR(VLOOKUP(D1525,Parameter!$A$35:$C$64,2,0),"Nein"))</f>
        <v>2+3</v>
      </c>
      <c r="CA1525" s="52" t="n">
        <f aca="false">IF(BW1525=0,0,IF(N(S1525)&gt;0,S1525,IFERROR(VLOOKUP(D1525,Parameter!$A$35:$C$64,3,0)+0,0)))</f>
        <v>0</v>
      </c>
      <c r="CB1525" s="48" t="n">
        <f aca="false">IF(AA1525&lt;&gt;"",AA1525,Z1525)</f>
        <v>3</v>
      </c>
      <c r="CC1525" s="48" t="str">
        <f aca="false">IF(OR(CB1525=1,CB1525=2,CB1525=3),IF(Parameter!$E$27="Ja","LIFT",IF(CB1525=1,"L1","L23")),IF(CB1525="Aussen","Aussen","-"))</f>
        <v>LIFT</v>
      </c>
      <c r="CD1525" s="59" t="n">
        <f aca="false">IF(N(AB1525)&gt;0,AB1525,0)</f>
        <v>0</v>
      </c>
      <c r="CE1525" s="53" t="n">
        <f aca="false">IF(ISNUMBER(AE1525),1,0)</f>
        <v>0</v>
      </c>
      <c r="CF1525" s="50" t="n">
        <f aca="false">N(AE1525)</f>
        <v>0</v>
      </c>
      <c r="CG1525" s="50" t="n">
        <f aca="false">N(M1525)+N(N1525)</f>
        <v>15</v>
      </c>
      <c r="CH1525" s="50" t="n">
        <f aca="false">ROUNDUP(H1525/BV1525,0)</f>
        <v>1</v>
      </c>
      <c r="CI1525" s="50" t="n">
        <f aca="false">ROUNDUP(CF1525/BV1525,0)</f>
        <v>0</v>
      </c>
      <c r="CJ1525" s="53" t="n">
        <f aca="false">IF(BW1525=1,0,IFERROR(VLOOKUP(BU1525,'Gebinde-Kategorie'!$A$5:$N$45,5,0)+0,0))</f>
        <v>8</v>
      </c>
      <c r="CK1525" s="53" t="n">
        <f aca="false">IFERROR(IF(OR(CB1525=1,CB1525=2,CB1525=3),N(INDEX(Parameter!$I$5:$I$7,CB1525)),0),0)</f>
        <v>0</v>
      </c>
      <c r="CL1525" s="52" t="n">
        <f aca="false">IF(AND(Parameter!$B$21="Ja",ISNUMBER(W1525),N(X1525)&gt;0),IFERROR(N(INDEX(Parameter!$L$5:$L$7,W1525))*INDEX(Parameter!$E$5:$E$7,W1525)*X1525/SUMIFS($X$7:$X$1843,$W$7:$W$1843,W1525),0),0)</f>
        <v>0</v>
      </c>
    </row>
    <row r="1526" customFormat="false" ht="15" hidden="false" customHeight="false" outlineLevel="0" collapsed="false">
      <c r="A1526" s="48" t="s">
        <v>2672</v>
      </c>
      <c r="B1526" s="48" t="s">
        <v>2673</v>
      </c>
      <c r="C1526" s="48" t="s">
        <v>168</v>
      </c>
      <c r="D1526" s="48" t="s">
        <v>188</v>
      </c>
      <c r="E1526" s="48" t="s">
        <v>189</v>
      </c>
      <c r="F1526" s="48"/>
      <c r="G1526" s="49" t="n">
        <v>59.4</v>
      </c>
      <c r="H1526" s="50" t="n">
        <f aca="false">MAX(0,IF(AND(Parameter!$B$21="Ja",ISNUMBER(Y1526)),Y1526,IF(Parameter!$B$20="Jahresanfang 2025 + Export",BO1526+BN1526,BN1526)))</f>
        <v>16</v>
      </c>
      <c r="I1526" s="50" t="n">
        <f aca="false">H1526*G1526</f>
        <v>950.4</v>
      </c>
      <c r="J1526" s="50" t="n">
        <f aca="false">BQ1526*Parameter!$B$18</f>
        <v>0</v>
      </c>
      <c r="K1526" s="51"/>
      <c r="L1526" s="52"/>
      <c r="M1526" s="50" t="n">
        <v>0</v>
      </c>
      <c r="N1526" s="50" t="n">
        <v>20</v>
      </c>
      <c r="O1526" s="53" t="n">
        <v>42</v>
      </c>
      <c r="P1526" s="48" t="s">
        <v>306</v>
      </c>
      <c r="Q1526" s="50" t="n">
        <v>16</v>
      </c>
      <c r="R1526" s="53" t="n">
        <f aca="false">IF(BW1526=1,0,IFERROR(VLOOKUP(BU1526,'Gebinde-Kategorie'!$A$5:$N$45,13,0)+0,0))</f>
        <v>26</v>
      </c>
      <c r="S1526" s="54"/>
      <c r="T1526" s="55"/>
      <c r="U1526" s="55"/>
      <c r="V1526" s="55"/>
      <c r="W1526" s="48"/>
      <c r="X1526" s="50"/>
      <c r="Y1526" s="50"/>
      <c r="Z1526" s="48" t="n">
        <f aca="false">IF(A1526="","",IF(AND(Parameter!$B$21="Ja",ISNUMBER(W1526)),W1526,IF(BZ1526="2+3",IF(ISNUMBER(SEARCH("grosser Artikel",BR1526)),2,IFERROR(VLOOKUP(BU1526,Parameter!$F$35:$G$64,2,0),2)),IF(OR(BZ1526="Nein",BZ1526=""),"-",BZ1526))))</f>
        <v>3</v>
      </c>
      <c r="AA1526" s="55"/>
      <c r="AB1526" s="56"/>
      <c r="AC1526" s="50" t="n">
        <f aca="false">AT1526</f>
        <v>32</v>
      </c>
      <c r="AD1526" s="50" t="n">
        <f aca="false">MAX(AT1526,H1526)</f>
        <v>32</v>
      </c>
      <c r="AE1526" s="57"/>
      <c r="AF1526" s="50" t="n">
        <f aca="false">IF(LEFT(Cockpit!$C$5,1)="A",H1526,IF(CE1526=1,CF1526,IF(LEFT(Cockpit!$C$5,1)="B",AK1526,MAX(AK1526,H1526))))</f>
        <v>16</v>
      </c>
      <c r="AG1526" s="50" t="n">
        <f aca="false">IF(BW1526=1,0,ROUNDUP(AF1526/BV1526,0))</f>
        <v>1</v>
      </c>
      <c r="AH1526" s="52" t="n">
        <f aca="false">IF(CL1526&gt;0,CL1526*MAX(1,AF1526/X1526),IF(BW1526=1,IF(AF1526&lt;=0,0,CA1526*MAX(1,IF(H1526&gt;0,AF1526/H1526,1))),IF(R1526&gt;0,AG1526/R1526,0))/MAX(0.1,N(Parameter!$M$21)))</f>
        <v>0.0384615384615385</v>
      </c>
      <c r="AI1526" s="50" t="n">
        <f aca="false">AH1526*BY1526</f>
        <v>5.96153846153846</v>
      </c>
      <c r="AJ1526" s="50" t="n">
        <f aca="false">AF1526*G1526</f>
        <v>950.4</v>
      </c>
      <c r="AK1526" s="50" t="n">
        <f aca="false">ROUNDUP(MAX(J1526/IF(CD1526&gt;0,CD1526,MAX(0.1,N(Cockpit!$C$6))),CG1526)/BV1526,0)*BV1526</f>
        <v>32</v>
      </c>
      <c r="AL1526" s="51" t="n">
        <f aca="false">IF(AI1526&gt;0,J1526/AI1526,-1)</f>
        <v>0</v>
      </c>
      <c r="AM1526" s="51" t="n">
        <f aca="false">IF(AND(OR(CC1526="L1",CC1526="L23",CC1526="LIFT"),AI1526&gt;0),SUMIFS($AI$7:$AI$1843,$CC$7:$CC$1843,CC1526,$AL$7:$AL$1843,"&gt;"&amp;AL1526)+SUMIFS($AI$7:$AI$1843,$CC$7:$CC$1843,CC1526,$AL$7:$AL$1843,AL1526,$BT$7:$BT$1843,"&lt;="&amp;BT1526),"")</f>
        <v>30045.8501298607</v>
      </c>
      <c r="AN1526" s="58" t="n">
        <f aca="false">IF(AM1526="",0,MAX(0,MIN(1,(IF(CC1526="L1",Parameter!$H$5,IF(CC1526="L23",Parameter!$H$6+Parameter!$H$7,Parameter!$H$5+Parameter!$H$6+Parameter!$H$7))-(AM1526-AI1526))/AI1526)))</f>
        <v>1</v>
      </c>
      <c r="AO1526" s="50" t="n">
        <f aca="false">IF(LEFT(Cockpit!$I$5,1)="A",H1526,IF(CE1526=1,CF1526,IF(LEFT(Cockpit!$I$5,1)="B",AT1526,MAX(AT1526,H1526))))</f>
        <v>32</v>
      </c>
      <c r="AP1526" s="50" t="n">
        <f aca="false">IF(BW1526=1,0,ROUNDUP(AO1526/BV1526,0))</f>
        <v>2</v>
      </c>
      <c r="AQ1526" s="52" t="n">
        <f aca="false">IF(CL1526&gt;0,CL1526*MAX(1,AO1526/X1526),IF(BW1526=1,IF(AO1526&lt;=0,0,CA1526*MAX(1,IF(H1526&gt;0,AO1526/H1526,1))),IF(R1526&gt;0,AP1526/R1526,0))/MAX(0.1,N(Parameter!$M$21)))</f>
        <v>0.0769230769230769</v>
      </c>
      <c r="AR1526" s="50" t="n">
        <f aca="false">AQ1526*BY1526</f>
        <v>11.9230769230769</v>
      </c>
      <c r="AS1526" s="50" t="n">
        <f aca="false">AO1526*G1526</f>
        <v>1900.8</v>
      </c>
      <c r="AT1526" s="50" t="n">
        <f aca="false">ROUNDUP(MAX(J1526/IF(CD1526&gt;0,CD1526,MAX(0.1,N(Cockpit!$I$6))),CG1526)/BV1526,0)*BV1526</f>
        <v>32</v>
      </c>
      <c r="AU1526" s="51" t="n">
        <f aca="false">IF(AR1526&gt;0,J1526/AR1526,-1)</f>
        <v>0</v>
      </c>
      <c r="AV1526" s="51" t="n">
        <f aca="false">IF(AND(OR(CC1526="L1",CC1526="L23",CC1526="LIFT"),AR1526&gt;0),SUMIFS($AR$7:$AR$1843,$CC$7:$CC$1843,CC1526,$AU$7:$AU$1843,"&gt;"&amp;AU1526)+SUMIFS($AR$7:$AR$1843,$CC$7:$CC$1843,CC1526,$AU$7:$AU$1843,AU1526,$BT$7:$BT$1843,"&lt;="&amp;BT1526),"")</f>
        <v>42372.8151709402</v>
      </c>
      <c r="AW1526" s="58" t="n">
        <f aca="false">IF(AV1526="",0,MAX(0,MIN(1,(IF(CC1526="L1",Parameter!$H$5,IF(CC1526="L23",Parameter!$H$6+Parameter!$H$7,Parameter!$H$5+Parameter!$H$6+Parameter!$H$7))-(AV1526-AR1526))/AR1526)))</f>
        <v>0</v>
      </c>
      <c r="AX1526" s="50" t="n">
        <f aca="false">IF(LEFT(Cockpit!$O$5,1)="A",H1526,IF(CE1526=1,CF1526,IF(LEFT(Cockpit!$O$5,1)="B",BC1526,MAX(BC1526,H1526))))</f>
        <v>32</v>
      </c>
      <c r="AY1526" s="50" t="n">
        <f aca="false">IF(BW1526=1,0,ROUNDUP(AX1526/BV1526,0))</f>
        <v>2</v>
      </c>
      <c r="AZ1526" s="52" t="n">
        <f aca="false">IF(CL1526&gt;0,CL1526*MAX(1,AX1526/X1526),IF(BW1526=1,IF(AX1526&lt;=0,0,CA1526*MAX(1,IF(H1526&gt;0,AX1526/H1526,1))),IF(R1526&gt;0,AY1526/R1526,0))/MAX(0.1,N(Parameter!$M$21)))</f>
        <v>0.0769230769230769</v>
      </c>
      <c r="BA1526" s="50" t="n">
        <f aca="false">AZ1526*BY1526</f>
        <v>11.9230769230769</v>
      </c>
      <c r="BB1526" s="50" t="n">
        <f aca="false">AX1526*G1526</f>
        <v>1900.8</v>
      </c>
      <c r="BC1526" s="50" t="n">
        <f aca="false">ROUNDUP(MAX(J1526/IF(CD1526&gt;0,CD1526,MAX(0.1,N(Cockpit!$O$6))),CG1526)/BV1526,0)*BV1526</f>
        <v>32</v>
      </c>
      <c r="BD1526" s="51" t="n">
        <f aca="false">IF(BA1526&gt;0,J1526/BA1526,-1)</f>
        <v>0</v>
      </c>
      <c r="BE1526" s="51" t="n">
        <f aca="false">IF(AND(OR(CC1526="L1",CC1526="L23",CC1526="LIFT"),BA1526&gt;0),SUMIFS($BA$7:$BA$1843,$CC$7:$CC$1843,CC1526,$BD$7:$BD$1843,"&gt;"&amp;BD1526)+SUMIFS($BA$7:$BA$1843,$CC$7:$CC$1843,CC1526,$BD$7:$BD$1843,BD1526,$BT$7:$BT$1843,"&lt;="&amp;BT1526),"")</f>
        <v>39047.827212806</v>
      </c>
      <c r="BF1526" s="58" t="n">
        <f aca="false">IF(BE1526="",0,MAX(0,MIN(1,(IF(CC1526="L1",Parameter!$H$5,IF(CC1526="L23",Parameter!$H$6+Parameter!$H$7,Parameter!$H$5+Parameter!$H$6+Parameter!$H$7))-(BE1526-BA1526))/BA1526)))</f>
        <v>0</v>
      </c>
      <c r="BG1526" s="48" t="str">
        <f aca="false">IF(AI1526&lt;=0,"",IF(CC1526="Aussen","Aussenlager",IF(CC1526="-","Nicht im Lift",IF(AN1526&gt;=1,"Lift",IF(AN1526&lt;=0,"Aussenlager","teilweise")))))</f>
        <v>Lift</v>
      </c>
      <c r="BH1526" s="48" t="str">
        <f aca="false">IF(AR1526&lt;=0,"",IF(CC1526="Aussen","Aussenlager",IF(CC1526="-","Nicht im Lift",IF(AW1526&gt;=1,"Lift",IF(AW1526&lt;=0,"Aussenlager","teilweise")))))</f>
        <v>Aussenlager</v>
      </c>
      <c r="BI1526" s="48" t="str">
        <f aca="false">IF(BA1526&lt;=0,"",IF(CC1526="Aussen","Aussenlager",IF(CC1526="-","Nicht im Lift",IF(BF1526&gt;=1,"Lift",IF(BF1526&lt;=0,"Aussenlager","teilweise")))))</f>
        <v>Aussenlager</v>
      </c>
      <c r="BJ1526" s="48" t="str">
        <f aca="false">IF(A1526="","",IF(BS1526=1,"Neu; ","")&amp;IF(AND(BS1526=0,BN1526&lt;0),"negativer Bestand (Export "&amp;BN1526&amp;"); ","")&amp;IF(J1526&lt;=0,"Kein Verbrauch; ","")&amp;IF(CL1526&gt;0,"Lift "&amp;W1526&amp;" lt. Liftbericht (Fach "&amp;X1526&amp;" Stk); ",IF(BX1526=1,"Gebinde geschätzt ("&amp;T1526&amp;"); ",IF(BW1526=1,"Lose – Tablare geschätzt; ","")))&amp;IF(H1526&gt;AT1526,"Überbestand "&amp;ROUND(H1526-AT1526,0)&amp;" Stk / CHF "&amp;ROUND((H1526-AT1526)*G1526,0)&amp;"; ","")&amp;IF(AND(CE1526=1,CF1526&lt;CG1526),"MAX &lt; MB+LG; ","")&amp;IF(AND(CK1526&gt;0,CJ1526*10&gt;CK1526),"zu hoch für Tablar; ","")&amp;IF(AND(BS1526=0,OR(CE1526=1,AA1526&lt;&gt;"",U1526&lt;&gt;"",V1526&lt;&gt;"",AB1526&lt;&gt;"")),"manuell übersteuert; ","")&amp;IF(AND(BW1526=0,R1526=0),"Gebinde unbekannt / Stellmass fehlt; ","")&amp;IF(AND(BW1526=0,N(V1526)&lt;=0,N(Q1526)&lt;=0),"Menge pro Gebinde fehlt (Ist = 1 Gebinde); ","")&amp;BR1526)</f>
        <v>Kein Verbrauch; nur im Artikelstamm (Bestand 23.06.2026)</v>
      </c>
      <c r="BK1526" s="48"/>
      <c r="BL1526" s="48"/>
      <c r="BM1526" s="55"/>
      <c r="BN1526" s="50" t="n">
        <v>16</v>
      </c>
      <c r="BO1526" s="50" t="n">
        <v>0</v>
      </c>
      <c r="BP1526" s="49" t="n">
        <v>0</v>
      </c>
      <c r="BQ1526" s="50" t="n">
        <v>0</v>
      </c>
      <c r="BR1526" s="48" t="s">
        <v>2579</v>
      </c>
      <c r="BS1526" s="53" t="n">
        <v>0</v>
      </c>
      <c r="BT1526" s="53" t="n">
        <v>1526</v>
      </c>
      <c r="BU1526" s="48" t="str">
        <f aca="false">IF(U1526&lt;&gt;"",UPPER(TRIM(U1526)),IF(BX1526=1,UPPER(VLOOKUP(T1526,Parameter!$I$27:$K$29,2,0)),IF(P1526="","LOSE",P1526)))</f>
        <v>S51</v>
      </c>
      <c r="BV1526" s="50" t="n">
        <f aca="false">IF(BU1526="LOSE",1,IF(N(V1526)&gt;0,V1526,IF(BX1526=1,MAX(1,N(VLOOKUP(T1526,Parameter!$I$27:$K$29,3,0)),H1526,N(N1526)),IF(N(Q1526)&gt;0,Q1526,MAX(1,H1526)))))</f>
        <v>16</v>
      </c>
      <c r="BW1526" s="53" t="n">
        <f aca="false">IF(BU1526="LOSE",1,0)</f>
        <v>0</v>
      </c>
      <c r="BX1526" s="53" t="n">
        <f aca="false">IF(AND(U1526="",OR(P1526="",P1526="LOSE"),T1526&lt;&gt;"",N(S1526)&lt;=0,ISNUMBER(MATCH(T1526,Parameter!$I$27:$I$29,0))),1,0)</f>
        <v>0</v>
      </c>
      <c r="BY1526" s="53" t="n">
        <f aca="false">IF(CL1526&gt;0,INDEX(Parameter!$H$5:$H$7,W1526)/INDEX(Parameter!$E$5:$E$7,W1526),IF(AND(BW1526=0,N(IFERROR(VLOOKUP(BU1526,'Gebinde-Kategorie'!$A$5:$N$45,14,0),0))&gt;0),VLOOKUP(BU1526,'Gebinde-Kategorie'!$A$5:$N$45,14,0)*10+Parameter!$M$23,Parameter!$M$24))</f>
        <v>155</v>
      </c>
      <c r="BZ1526" s="48" t="str">
        <f aca="false">IF(AND(Parameter!$B$19="Ja",E1526&lt;&gt;"",ISNUMBER(MATCH(E1526,Parameter!$I$35:$I$52,0))),VLOOKUP(E1526,Parameter!$I$35:$J$52,2,0),IFERROR(VLOOKUP(D1526,Parameter!$A$35:$C$64,2,0),"Nein"))</f>
        <v>2+3</v>
      </c>
      <c r="CA1526" s="52" t="n">
        <f aca="false">IF(BW1526=0,0,IF(N(S1526)&gt;0,S1526,IFERROR(VLOOKUP(D1526,Parameter!$A$35:$C$64,3,0)+0,0)))</f>
        <v>0</v>
      </c>
      <c r="CB1526" s="48" t="n">
        <f aca="false">IF(AA1526&lt;&gt;"",AA1526,Z1526)</f>
        <v>3</v>
      </c>
      <c r="CC1526" s="48" t="str">
        <f aca="false">IF(OR(CB1526=1,CB1526=2,CB1526=3),IF(Parameter!$E$27="Ja","LIFT",IF(CB1526=1,"L1","L23")),IF(CB1526="Aussen","Aussen","-"))</f>
        <v>LIFT</v>
      </c>
      <c r="CD1526" s="59" t="n">
        <f aca="false">IF(N(AB1526)&gt;0,AB1526,0)</f>
        <v>0</v>
      </c>
      <c r="CE1526" s="53" t="n">
        <f aca="false">IF(ISNUMBER(AE1526),1,0)</f>
        <v>0</v>
      </c>
      <c r="CF1526" s="50" t="n">
        <f aca="false">N(AE1526)</f>
        <v>0</v>
      </c>
      <c r="CG1526" s="50" t="n">
        <f aca="false">N(M1526)+N(N1526)</f>
        <v>20</v>
      </c>
      <c r="CH1526" s="50" t="n">
        <f aca="false">ROUNDUP(H1526/BV1526,0)</f>
        <v>1</v>
      </c>
      <c r="CI1526" s="50" t="n">
        <f aca="false">ROUNDUP(CF1526/BV1526,0)</f>
        <v>0</v>
      </c>
      <c r="CJ1526" s="53" t="n">
        <f aca="false">IF(BW1526=1,0,IFERROR(VLOOKUP(BU1526,'Gebinde-Kategorie'!$A$5:$N$45,5,0)+0,0))</f>
        <v>11</v>
      </c>
      <c r="CK1526" s="53" t="n">
        <f aca="false">IFERROR(IF(OR(CB1526=1,CB1526=2,CB1526=3),N(INDEX(Parameter!$I$5:$I$7,CB1526)),0),0)</f>
        <v>0</v>
      </c>
      <c r="CL1526" s="52" t="n">
        <f aca="false">IF(AND(Parameter!$B$21="Ja",ISNUMBER(W1526),N(X1526)&gt;0),IFERROR(N(INDEX(Parameter!$L$5:$L$7,W1526))*INDEX(Parameter!$E$5:$E$7,W1526)*X1526/SUMIFS($X$7:$X$1843,$W$7:$W$1843,W1526),0),0)</f>
        <v>0</v>
      </c>
    </row>
    <row r="1527" customFormat="false" ht="15" hidden="false" customHeight="false" outlineLevel="0" collapsed="false">
      <c r="A1527" s="48" t="s">
        <v>2674</v>
      </c>
      <c r="B1527" s="48" t="s">
        <v>318</v>
      </c>
      <c r="C1527" s="48" t="s">
        <v>171</v>
      </c>
      <c r="D1527" s="48" t="s">
        <v>177</v>
      </c>
      <c r="E1527" s="48" t="s">
        <v>189</v>
      </c>
      <c r="F1527" s="48"/>
      <c r="G1527" s="49" t="n">
        <v>1438</v>
      </c>
      <c r="H1527" s="50" t="n">
        <f aca="false">MAX(0,IF(AND(Parameter!$B$21="Ja",ISNUMBER(Y1527)),Y1527,IF(Parameter!$B$20="Jahresanfang 2025 + Export",BO1527+BN1527,BN1527)))</f>
        <v>2</v>
      </c>
      <c r="I1527" s="50" t="n">
        <f aca="false">H1527*G1527</f>
        <v>2876</v>
      </c>
      <c r="J1527" s="50" t="n">
        <f aca="false">BQ1527*Parameter!$B$18</f>
        <v>0</v>
      </c>
      <c r="K1527" s="51"/>
      <c r="L1527" s="52"/>
      <c r="M1527" s="50" t="n">
        <v>0</v>
      </c>
      <c r="N1527" s="50" t="n">
        <v>1</v>
      </c>
      <c r="O1527" s="53" t="n">
        <v>35</v>
      </c>
      <c r="P1527" s="48" t="s">
        <v>237</v>
      </c>
      <c r="Q1527" s="50" t="n">
        <v>2</v>
      </c>
      <c r="R1527" s="53" t="n">
        <f aca="false">IF(BW1527=1,0,IFERROR(VLOOKUP(BU1527,'Gebinde-Kategorie'!$A$5:$N$45,13,0)+0,0))</f>
        <v>26</v>
      </c>
      <c r="S1527" s="54"/>
      <c r="T1527" s="55"/>
      <c r="U1527" s="55"/>
      <c r="V1527" s="55"/>
      <c r="W1527" s="48"/>
      <c r="X1527" s="50"/>
      <c r="Y1527" s="50"/>
      <c r="Z1527" s="48" t="n">
        <f aca="false">IF(A1527="","",IF(AND(Parameter!$B$21="Ja",ISNUMBER(W1527)),W1527,IF(BZ1527="2+3",IF(ISNUMBER(SEARCH("grosser Artikel",BR1527)),2,IFERROR(VLOOKUP(BU1527,Parameter!$F$35:$G$64,2,0),2)),IF(OR(BZ1527="Nein",BZ1527=""),"-",BZ1527))))</f>
        <v>3</v>
      </c>
      <c r="AA1527" s="55"/>
      <c r="AB1527" s="56"/>
      <c r="AC1527" s="50" t="n">
        <f aca="false">AT1527</f>
        <v>2</v>
      </c>
      <c r="AD1527" s="50" t="n">
        <f aca="false">MAX(AT1527,H1527)</f>
        <v>2</v>
      </c>
      <c r="AE1527" s="57"/>
      <c r="AF1527" s="50" t="n">
        <f aca="false">IF(LEFT(Cockpit!$C$5,1)="A",H1527,IF(CE1527=1,CF1527,IF(LEFT(Cockpit!$C$5,1)="B",AK1527,MAX(AK1527,H1527))))</f>
        <v>2</v>
      </c>
      <c r="AG1527" s="50" t="n">
        <f aca="false">IF(BW1527=1,0,ROUNDUP(AF1527/BV1527,0))</f>
        <v>1</v>
      </c>
      <c r="AH1527" s="52" t="n">
        <f aca="false">IF(CL1527&gt;0,CL1527*MAX(1,AF1527/X1527),IF(BW1527=1,IF(AF1527&lt;=0,0,CA1527*MAX(1,IF(H1527&gt;0,AF1527/H1527,1))),IF(R1527&gt;0,AG1527/R1527,0))/MAX(0.1,N(Parameter!$M$21)))</f>
        <v>0.0384615384615385</v>
      </c>
      <c r="AI1527" s="50" t="n">
        <f aca="false">AH1527*BY1527</f>
        <v>9.42307692307692</v>
      </c>
      <c r="AJ1527" s="50" t="n">
        <f aca="false">AF1527*G1527</f>
        <v>2876</v>
      </c>
      <c r="AK1527" s="50" t="n">
        <f aca="false">ROUNDUP(MAX(J1527/IF(CD1527&gt;0,CD1527,MAX(0.1,N(Cockpit!$C$6))),CG1527)/BV1527,0)*BV1527</f>
        <v>2</v>
      </c>
      <c r="AL1527" s="51" t="n">
        <f aca="false">IF(AI1527&gt;0,J1527/AI1527,-1)</f>
        <v>0</v>
      </c>
      <c r="AM1527" s="51" t="n">
        <f aca="false">IF(AND(OR(CC1527="L1",CC1527="L23",CC1527="LIFT"),AI1527&gt;0),SUMIFS($AI$7:$AI$1843,$CC$7:$CC$1843,CC1527,$AL$7:$AL$1843,"&gt;"&amp;AL1527)+SUMIFS($AI$7:$AI$1843,$CC$7:$CC$1843,CC1527,$AL$7:$AL$1843,AL1527,$BT$7:$BT$1843,"&lt;="&amp;BT1527),"")</f>
        <v>30055.2732067838</v>
      </c>
      <c r="AN1527" s="58" t="n">
        <f aca="false">IF(AM1527="",0,MAX(0,MIN(1,(IF(CC1527="L1",Parameter!$H$5,IF(CC1527="L23",Parameter!$H$6+Parameter!$H$7,Parameter!$H$5+Parameter!$H$6+Parameter!$H$7))-(AM1527-AI1527))/AI1527)))</f>
        <v>1</v>
      </c>
      <c r="AO1527" s="50" t="n">
        <f aca="false">IF(LEFT(Cockpit!$I$5,1)="A",H1527,IF(CE1527=1,CF1527,IF(LEFT(Cockpit!$I$5,1)="B",AT1527,MAX(AT1527,H1527))))</f>
        <v>2</v>
      </c>
      <c r="AP1527" s="50" t="n">
        <f aca="false">IF(BW1527=1,0,ROUNDUP(AO1527/BV1527,0))</f>
        <v>1</v>
      </c>
      <c r="AQ1527" s="52" t="n">
        <f aca="false">IF(CL1527&gt;0,CL1527*MAX(1,AO1527/X1527),IF(BW1527=1,IF(AO1527&lt;=0,0,CA1527*MAX(1,IF(H1527&gt;0,AO1527/H1527,1))),IF(R1527&gt;0,AP1527/R1527,0))/MAX(0.1,N(Parameter!$M$21)))</f>
        <v>0.0384615384615385</v>
      </c>
      <c r="AR1527" s="50" t="n">
        <f aca="false">AQ1527*BY1527</f>
        <v>9.42307692307692</v>
      </c>
      <c r="AS1527" s="50" t="n">
        <f aca="false">AO1527*G1527</f>
        <v>2876</v>
      </c>
      <c r="AT1527" s="50" t="n">
        <f aca="false">ROUNDUP(MAX(J1527/IF(CD1527&gt;0,CD1527,MAX(0.1,N(Cockpit!$I$6))),CG1527)/BV1527,0)*BV1527</f>
        <v>2</v>
      </c>
      <c r="AU1527" s="51" t="n">
        <f aca="false">IF(AR1527&gt;0,J1527/AR1527,-1)</f>
        <v>0</v>
      </c>
      <c r="AV1527" s="51" t="n">
        <f aca="false">IF(AND(OR(CC1527="L1",CC1527="L23",CC1527="LIFT"),AR1527&gt;0),SUMIFS($AR$7:$AR$1843,$CC$7:$CC$1843,CC1527,$AU$7:$AU$1843,"&gt;"&amp;AU1527)+SUMIFS($AR$7:$AR$1843,$CC$7:$CC$1843,CC1527,$AU$7:$AU$1843,AU1527,$BT$7:$BT$1843,"&lt;="&amp;BT1527),"")</f>
        <v>42382.2382478633</v>
      </c>
      <c r="AW1527" s="58" t="n">
        <f aca="false">IF(AV1527="",0,MAX(0,MIN(1,(IF(CC1527="L1",Parameter!$H$5,IF(CC1527="L23",Parameter!$H$6+Parameter!$H$7,Parameter!$H$5+Parameter!$H$6+Parameter!$H$7))-(AV1527-AR1527))/AR1527)))</f>
        <v>0</v>
      </c>
      <c r="AX1527" s="50" t="n">
        <f aca="false">IF(LEFT(Cockpit!$O$5,1)="A",H1527,IF(CE1527=1,CF1527,IF(LEFT(Cockpit!$O$5,1)="B",BC1527,MAX(BC1527,H1527))))</f>
        <v>2</v>
      </c>
      <c r="AY1527" s="50" t="n">
        <f aca="false">IF(BW1527=1,0,ROUNDUP(AX1527/BV1527,0))</f>
        <v>1</v>
      </c>
      <c r="AZ1527" s="52" t="n">
        <f aca="false">IF(CL1527&gt;0,CL1527*MAX(1,AX1527/X1527),IF(BW1527=1,IF(AX1527&lt;=0,0,CA1527*MAX(1,IF(H1527&gt;0,AX1527/H1527,1))),IF(R1527&gt;0,AY1527/R1527,0))/MAX(0.1,N(Parameter!$M$21)))</f>
        <v>0.0384615384615385</v>
      </c>
      <c r="BA1527" s="50" t="n">
        <f aca="false">AZ1527*BY1527</f>
        <v>9.42307692307692</v>
      </c>
      <c r="BB1527" s="50" t="n">
        <f aca="false">AX1527*G1527</f>
        <v>2876</v>
      </c>
      <c r="BC1527" s="50" t="n">
        <f aca="false">ROUNDUP(MAX(J1527/IF(CD1527&gt;0,CD1527,MAX(0.1,N(Cockpit!$O$6))),CG1527)/BV1527,0)*BV1527</f>
        <v>2</v>
      </c>
      <c r="BD1527" s="51" t="n">
        <f aca="false">IF(BA1527&gt;0,J1527/BA1527,-1)</f>
        <v>0</v>
      </c>
      <c r="BE1527" s="51" t="n">
        <f aca="false">IF(AND(OR(CC1527="L1",CC1527="L23",CC1527="LIFT"),BA1527&gt;0),SUMIFS($BA$7:$BA$1843,$CC$7:$CC$1843,CC1527,$BD$7:$BD$1843,"&gt;"&amp;BD1527)+SUMIFS($BA$7:$BA$1843,$CC$7:$CC$1843,CC1527,$BD$7:$BD$1843,BD1527,$BT$7:$BT$1843,"&lt;="&amp;BT1527),"")</f>
        <v>39057.2502897291</v>
      </c>
      <c r="BF1527" s="58" t="n">
        <f aca="false">IF(BE1527="",0,MAX(0,MIN(1,(IF(CC1527="L1",Parameter!$H$5,IF(CC1527="L23",Parameter!$H$6+Parameter!$H$7,Parameter!$H$5+Parameter!$H$6+Parameter!$H$7))-(BE1527-BA1527))/BA1527)))</f>
        <v>0</v>
      </c>
      <c r="BG1527" s="48" t="str">
        <f aca="false">IF(AI1527&lt;=0,"",IF(CC1527="Aussen","Aussenlager",IF(CC1527="-","Nicht im Lift",IF(AN1527&gt;=1,"Lift",IF(AN1527&lt;=0,"Aussenlager","teilweise")))))</f>
        <v>Lift</v>
      </c>
      <c r="BH1527" s="48" t="str">
        <f aca="false">IF(AR1527&lt;=0,"",IF(CC1527="Aussen","Aussenlager",IF(CC1527="-","Nicht im Lift",IF(AW1527&gt;=1,"Lift",IF(AW1527&lt;=0,"Aussenlager","teilweise")))))</f>
        <v>Aussenlager</v>
      </c>
      <c r="BI1527" s="48" t="str">
        <f aca="false">IF(BA1527&lt;=0,"",IF(CC1527="Aussen","Aussenlager",IF(CC1527="-","Nicht im Lift",IF(BF1527&gt;=1,"Lift",IF(BF1527&lt;=0,"Aussenlager","teilweise")))))</f>
        <v>Aussenlager</v>
      </c>
      <c r="BJ1527" s="48" t="str">
        <f aca="false">IF(A1527="","",IF(BS1527=1,"Neu; ","")&amp;IF(AND(BS1527=0,BN1527&lt;0),"negativer Bestand (Export "&amp;BN1527&amp;"); ","")&amp;IF(J1527&lt;=0,"Kein Verbrauch; ","")&amp;IF(CL1527&gt;0,"Lift "&amp;W1527&amp;" lt. Liftbericht (Fach "&amp;X1527&amp;" Stk); ",IF(BX1527=1,"Gebinde geschätzt ("&amp;T1527&amp;"); ",IF(BW1527=1,"Lose – Tablare geschätzt; ","")))&amp;IF(H1527&gt;AT1527,"Überbestand "&amp;ROUND(H1527-AT1527,0)&amp;" Stk / CHF "&amp;ROUND((H1527-AT1527)*G1527,0)&amp;"; ","")&amp;IF(AND(CE1527=1,CF1527&lt;CG1527),"MAX &lt; MB+LG; ","")&amp;IF(AND(CK1527&gt;0,CJ1527*10&gt;CK1527),"zu hoch für Tablar; ","")&amp;IF(AND(BS1527=0,OR(CE1527=1,AA1527&lt;&gt;"",U1527&lt;&gt;"",V1527&lt;&gt;"",AB1527&lt;&gt;"")),"manuell übersteuert; ","")&amp;IF(AND(BW1527=0,R1527=0),"Gebinde unbekannt / Stellmass fehlt; ","")&amp;IF(AND(BW1527=0,N(V1527)&lt;=0,N(Q1527)&lt;=0),"Menge pro Gebinde fehlt (Ist = 1 Gebinde); ","")&amp;BR1527)</f>
        <v>Kein Verbrauch; nur im Artikelstamm (Bestand 23.06.2026)</v>
      </c>
      <c r="BK1527" s="48"/>
      <c r="BL1527" s="48"/>
      <c r="BM1527" s="55"/>
      <c r="BN1527" s="50" t="n">
        <v>2</v>
      </c>
      <c r="BO1527" s="50" t="n">
        <v>0</v>
      </c>
      <c r="BP1527" s="49" t="n">
        <v>0</v>
      </c>
      <c r="BQ1527" s="50" t="n">
        <v>0</v>
      </c>
      <c r="BR1527" s="48" t="s">
        <v>2579</v>
      </c>
      <c r="BS1527" s="53" t="n">
        <v>0</v>
      </c>
      <c r="BT1527" s="53" t="n">
        <v>1527</v>
      </c>
      <c r="BU1527" s="48" t="str">
        <f aca="false">IF(U1527&lt;&gt;"",UPPER(TRIM(U1527)),IF(BX1527=1,UPPER(VLOOKUP(T1527,Parameter!$I$27:$K$29,2,0)),IF(P1527="","LOSE",P1527)))</f>
        <v>S52</v>
      </c>
      <c r="BV1527" s="50" t="n">
        <f aca="false">IF(BU1527="LOSE",1,IF(N(V1527)&gt;0,V1527,IF(BX1527=1,MAX(1,N(VLOOKUP(T1527,Parameter!$I$27:$K$29,3,0)),H1527,N(N1527)),IF(N(Q1527)&gt;0,Q1527,MAX(1,H1527)))))</f>
        <v>2</v>
      </c>
      <c r="BW1527" s="53" t="n">
        <f aca="false">IF(BU1527="LOSE",1,0)</f>
        <v>0</v>
      </c>
      <c r="BX1527" s="53" t="n">
        <f aca="false">IF(AND(U1527="",OR(P1527="",P1527="LOSE"),T1527&lt;&gt;"",N(S1527)&lt;=0,ISNUMBER(MATCH(T1527,Parameter!$I$27:$I$29,0))),1,0)</f>
        <v>0</v>
      </c>
      <c r="BY1527" s="53" t="n">
        <f aca="false">IF(CL1527&gt;0,INDEX(Parameter!$H$5:$H$7,W1527)/INDEX(Parameter!$E$5:$E$7,W1527),IF(AND(BW1527=0,N(IFERROR(VLOOKUP(BU1527,'Gebinde-Kategorie'!$A$5:$N$45,14,0),0))&gt;0),VLOOKUP(BU1527,'Gebinde-Kategorie'!$A$5:$N$45,14,0)*10+Parameter!$M$23,Parameter!$M$24))</f>
        <v>245</v>
      </c>
      <c r="BZ1527" s="48" t="str">
        <f aca="false">IF(AND(Parameter!$B$19="Ja",E1527&lt;&gt;"",ISNUMBER(MATCH(E1527,Parameter!$I$35:$I$52,0))),VLOOKUP(E1527,Parameter!$I$35:$J$52,2,0),IFERROR(VLOOKUP(D1527,Parameter!$A$35:$C$64,2,0),"Nein"))</f>
        <v>2+3</v>
      </c>
      <c r="CA1527" s="52" t="n">
        <f aca="false">IF(BW1527=0,0,IF(N(S1527)&gt;0,S1527,IFERROR(VLOOKUP(D1527,Parameter!$A$35:$C$64,3,0)+0,0)))</f>
        <v>0</v>
      </c>
      <c r="CB1527" s="48" t="n">
        <f aca="false">IF(AA1527&lt;&gt;"",AA1527,Z1527)</f>
        <v>3</v>
      </c>
      <c r="CC1527" s="48" t="str">
        <f aca="false">IF(OR(CB1527=1,CB1527=2,CB1527=3),IF(Parameter!$E$27="Ja","LIFT",IF(CB1527=1,"L1","L23")),IF(CB1527="Aussen","Aussen","-"))</f>
        <v>LIFT</v>
      </c>
      <c r="CD1527" s="59" t="n">
        <f aca="false">IF(N(AB1527)&gt;0,AB1527,0)</f>
        <v>0</v>
      </c>
      <c r="CE1527" s="53" t="n">
        <f aca="false">IF(ISNUMBER(AE1527),1,0)</f>
        <v>0</v>
      </c>
      <c r="CF1527" s="50" t="n">
        <f aca="false">N(AE1527)</f>
        <v>0</v>
      </c>
      <c r="CG1527" s="50" t="n">
        <f aca="false">N(M1527)+N(N1527)</f>
        <v>1</v>
      </c>
      <c r="CH1527" s="50" t="n">
        <f aca="false">ROUNDUP(H1527/BV1527,0)</f>
        <v>1</v>
      </c>
      <c r="CI1527" s="50" t="n">
        <f aca="false">ROUNDUP(CF1527/BV1527,0)</f>
        <v>0</v>
      </c>
      <c r="CJ1527" s="53" t="n">
        <f aca="false">IF(BW1527=1,0,IFERROR(VLOOKUP(BU1527,'Gebinde-Kategorie'!$A$5:$N$45,5,0)+0,0))</f>
        <v>21</v>
      </c>
      <c r="CK1527" s="53" t="n">
        <f aca="false">IFERROR(IF(OR(CB1527=1,CB1527=2,CB1527=3),N(INDEX(Parameter!$I$5:$I$7,CB1527)),0),0)</f>
        <v>0</v>
      </c>
      <c r="CL1527" s="52" t="n">
        <f aca="false">IF(AND(Parameter!$B$21="Ja",ISNUMBER(W1527),N(X1527)&gt;0),IFERROR(N(INDEX(Parameter!$L$5:$L$7,W1527))*INDEX(Parameter!$E$5:$E$7,W1527)*X1527/SUMIFS($X$7:$X$1843,$W$7:$W$1843,W1527),0),0)</f>
        <v>0</v>
      </c>
    </row>
    <row r="1528" customFormat="false" ht="15" hidden="false" customHeight="false" outlineLevel="0" collapsed="false">
      <c r="A1528" s="48" t="s">
        <v>2675</v>
      </c>
      <c r="B1528" s="48" t="s">
        <v>2667</v>
      </c>
      <c r="C1528" s="48" t="s">
        <v>171</v>
      </c>
      <c r="D1528" s="48" t="s">
        <v>177</v>
      </c>
      <c r="E1528" s="48" t="s">
        <v>189</v>
      </c>
      <c r="F1528" s="48"/>
      <c r="G1528" s="49" t="n">
        <v>1438</v>
      </c>
      <c r="H1528" s="50" t="n">
        <f aca="false">MAX(0,IF(AND(Parameter!$B$21="Ja",ISNUMBER(Y1528)),Y1528,IF(Parameter!$B$20="Jahresanfang 2025 + Export",BO1528+BN1528,BN1528)))</f>
        <v>2</v>
      </c>
      <c r="I1528" s="50" t="n">
        <f aca="false">H1528*G1528</f>
        <v>2876</v>
      </c>
      <c r="J1528" s="50" t="n">
        <f aca="false">BQ1528*Parameter!$B$18</f>
        <v>0</v>
      </c>
      <c r="K1528" s="51"/>
      <c r="L1528" s="52"/>
      <c r="M1528" s="50" t="n">
        <v>0</v>
      </c>
      <c r="N1528" s="50" t="n">
        <v>1</v>
      </c>
      <c r="O1528" s="53" t="n">
        <v>35</v>
      </c>
      <c r="P1528" s="48" t="s">
        <v>237</v>
      </c>
      <c r="Q1528" s="50" t="n">
        <v>2</v>
      </c>
      <c r="R1528" s="53" t="n">
        <f aca="false">IF(BW1528=1,0,IFERROR(VLOOKUP(BU1528,'Gebinde-Kategorie'!$A$5:$N$45,13,0)+0,0))</f>
        <v>26</v>
      </c>
      <c r="S1528" s="54"/>
      <c r="T1528" s="55"/>
      <c r="U1528" s="55"/>
      <c r="V1528" s="55"/>
      <c r="W1528" s="48"/>
      <c r="X1528" s="50"/>
      <c r="Y1528" s="50"/>
      <c r="Z1528" s="48" t="n">
        <f aca="false">IF(A1528="","",IF(AND(Parameter!$B$21="Ja",ISNUMBER(W1528)),W1528,IF(BZ1528="2+3",IF(ISNUMBER(SEARCH("grosser Artikel",BR1528)),2,IFERROR(VLOOKUP(BU1528,Parameter!$F$35:$G$64,2,0),2)),IF(OR(BZ1528="Nein",BZ1528=""),"-",BZ1528))))</f>
        <v>3</v>
      </c>
      <c r="AA1528" s="55"/>
      <c r="AB1528" s="56"/>
      <c r="AC1528" s="50" t="n">
        <f aca="false">AT1528</f>
        <v>2</v>
      </c>
      <c r="AD1528" s="50" t="n">
        <f aca="false">MAX(AT1528,H1528)</f>
        <v>2</v>
      </c>
      <c r="AE1528" s="57"/>
      <c r="AF1528" s="50" t="n">
        <f aca="false">IF(LEFT(Cockpit!$C$5,1)="A",H1528,IF(CE1528=1,CF1528,IF(LEFT(Cockpit!$C$5,1)="B",AK1528,MAX(AK1528,H1528))))</f>
        <v>2</v>
      </c>
      <c r="AG1528" s="50" t="n">
        <f aca="false">IF(BW1528=1,0,ROUNDUP(AF1528/BV1528,0))</f>
        <v>1</v>
      </c>
      <c r="AH1528" s="52" t="n">
        <f aca="false">IF(CL1528&gt;0,CL1528*MAX(1,AF1528/X1528),IF(BW1528=1,IF(AF1528&lt;=0,0,CA1528*MAX(1,IF(H1528&gt;0,AF1528/H1528,1))),IF(R1528&gt;0,AG1528/R1528,0))/MAX(0.1,N(Parameter!$M$21)))</f>
        <v>0.0384615384615385</v>
      </c>
      <c r="AI1528" s="50" t="n">
        <f aca="false">AH1528*BY1528</f>
        <v>9.42307692307692</v>
      </c>
      <c r="AJ1528" s="50" t="n">
        <f aca="false">AF1528*G1528</f>
        <v>2876</v>
      </c>
      <c r="AK1528" s="50" t="n">
        <f aca="false">ROUNDUP(MAX(J1528/IF(CD1528&gt;0,CD1528,MAX(0.1,N(Cockpit!$C$6))),CG1528)/BV1528,0)*BV1528</f>
        <v>2</v>
      </c>
      <c r="AL1528" s="51" t="n">
        <f aca="false">IF(AI1528&gt;0,J1528/AI1528,-1)</f>
        <v>0</v>
      </c>
      <c r="AM1528" s="51" t="n">
        <f aca="false">IF(AND(OR(CC1528="L1",CC1528="L23",CC1528="LIFT"),AI1528&gt;0),SUMIFS($AI$7:$AI$1843,$CC$7:$CC$1843,CC1528,$AL$7:$AL$1843,"&gt;"&amp;AL1528)+SUMIFS($AI$7:$AI$1843,$CC$7:$CC$1843,CC1528,$AL$7:$AL$1843,AL1528,$BT$7:$BT$1843,"&lt;="&amp;BT1528),"")</f>
        <v>30064.6962837069</v>
      </c>
      <c r="AN1528" s="58" t="n">
        <f aca="false">IF(AM1528="",0,MAX(0,MIN(1,(IF(CC1528="L1",Parameter!$H$5,IF(CC1528="L23",Parameter!$H$6+Parameter!$H$7,Parameter!$H$5+Parameter!$H$6+Parameter!$H$7))-(AM1528-AI1528))/AI1528)))</f>
        <v>1</v>
      </c>
      <c r="AO1528" s="50" t="n">
        <f aca="false">IF(LEFT(Cockpit!$I$5,1)="A",H1528,IF(CE1528=1,CF1528,IF(LEFT(Cockpit!$I$5,1)="B",AT1528,MAX(AT1528,H1528))))</f>
        <v>2</v>
      </c>
      <c r="AP1528" s="50" t="n">
        <f aca="false">IF(BW1528=1,0,ROUNDUP(AO1528/BV1528,0))</f>
        <v>1</v>
      </c>
      <c r="AQ1528" s="52" t="n">
        <f aca="false">IF(CL1528&gt;0,CL1528*MAX(1,AO1528/X1528),IF(BW1528=1,IF(AO1528&lt;=0,0,CA1528*MAX(1,IF(H1528&gt;0,AO1528/H1528,1))),IF(R1528&gt;0,AP1528/R1528,0))/MAX(0.1,N(Parameter!$M$21)))</f>
        <v>0.0384615384615385</v>
      </c>
      <c r="AR1528" s="50" t="n">
        <f aca="false">AQ1528*BY1528</f>
        <v>9.42307692307692</v>
      </c>
      <c r="AS1528" s="50" t="n">
        <f aca="false">AO1528*G1528</f>
        <v>2876</v>
      </c>
      <c r="AT1528" s="50" t="n">
        <f aca="false">ROUNDUP(MAX(J1528/IF(CD1528&gt;0,CD1528,MAX(0.1,N(Cockpit!$I$6))),CG1528)/BV1528,0)*BV1528</f>
        <v>2</v>
      </c>
      <c r="AU1528" s="51" t="n">
        <f aca="false">IF(AR1528&gt;0,J1528/AR1528,-1)</f>
        <v>0</v>
      </c>
      <c r="AV1528" s="51" t="n">
        <f aca="false">IF(AND(OR(CC1528="L1",CC1528="L23",CC1528="LIFT"),AR1528&gt;0),SUMIFS($AR$7:$AR$1843,$CC$7:$CC$1843,CC1528,$AU$7:$AU$1843,"&gt;"&amp;AU1528)+SUMIFS($AR$7:$AR$1843,$CC$7:$CC$1843,CC1528,$AU$7:$AU$1843,AU1528,$BT$7:$BT$1843,"&lt;="&amp;BT1528),"")</f>
        <v>42391.6613247863</v>
      </c>
      <c r="AW1528" s="58" t="n">
        <f aca="false">IF(AV1528="",0,MAX(0,MIN(1,(IF(CC1528="L1",Parameter!$H$5,IF(CC1528="L23",Parameter!$H$6+Parameter!$H$7,Parameter!$H$5+Parameter!$H$6+Parameter!$H$7))-(AV1528-AR1528))/AR1528)))</f>
        <v>0</v>
      </c>
      <c r="AX1528" s="50" t="n">
        <f aca="false">IF(LEFT(Cockpit!$O$5,1)="A",H1528,IF(CE1528=1,CF1528,IF(LEFT(Cockpit!$O$5,1)="B",BC1528,MAX(BC1528,H1528))))</f>
        <v>2</v>
      </c>
      <c r="AY1528" s="50" t="n">
        <f aca="false">IF(BW1528=1,0,ROUNDUP(AX1528/BV1528,0))</f>
        <v>1</v>
      </c>
      <c r="AZ1528" s="52" t="n">
        <f aca="false">IF(CL1528&gt;0,CL1528*MAX(1,AX1528/X1528),IF(BW1528=1,IF(AX1528&lt;=0,0,CA1528*MAX(1,IF(H1528&gt;0,AX1528/H1528,1))),IF(R1528&gt;0,AY1528/R1528,0))/MAX(0.1,N(Parameter!$M$21)))</f>
        <v>0.0384615384615385</v>
      </c>
      <c r="BA1528" s="50" t="n">
        <f aca="false">AZ1528*BY1528</f>
        <v>9.42307692307692</v>
      </c>
      <c r="BB1528" s="50" t="n">
        <f aca="false">AX1528*G1528</f>
        <v>2876</v>
      </c>
      <c r="BC1528" s="50" t="n">
        <f aca="false">ROUNDUP(MAX(J1528/IF(CD1528&gt;0,CD1528,MAX(0.1,N(Cockpit!$O$6))),CG1528)/BV1528,0)*BV1528</f>
        <v>2</v>
      </c>
      <c r="BD1528" s="51" t="n">
        <f aca="false">IF(BA1528&gt;0,J1528/BA1528,-1)</f>
        <v>0</v>
      </c>
      <c r="BE1528" s="51" t="n">
        <f aca="false">IF(AND(OR(CC1528="L1",CC1528="L23",CC1528="LIFT"),BA1528&gt;0),SUMIFS($BA$7:$BA$1843,$CC$7:$CC$1843,CC1528,$BD$7:$BD$1843,"&gt;"&amp;BD1528)+SUMIFS($BA$7:$BA$1843,$CC$7:$CC$1843,CC1528,$BD$7:$BD$1843,BD1528,$BT$7:$BT$1843,"&lt;="&amp;BT1528),"")</f>
        <v>39066.6733666522</v>
      </c>
      <c r="BF1528" s="58" t="n">
        <f aca="false">IF(BE1528="",0,MAX(0,MIN(1,(IF(CC1528="L1",Parameter!$H$5,IF(CC1528="L23",Parameter!$H$6+Parameter!$H$7,Parameter!$H$5+Parameter!$H$6+Parameter!$H$7))-(BE1528-BA1528))/BA1528)))</f>
        <v>0</v>
      </c>
      <c r="BG1528" s="48" t="str">
        <f aca="false">IF(AI1528&lt;=0,"",IF(CC1528="Aussen","Aussenlager",IF(CC1528="-","Nicht im Lift",IF(AN1528&gt;=1,"Lift",IF(AN1528&lt;=0,"Aussenlager","teilweise")))))</f>
        <v>Lift</v>
      </c>
      <c r="BH1528" s="48" t="str">
        <f aca="false">IF(AR1528&lt;=0,"",IF(CC1528="Aussen","Aussenlager",IF(CC1528="-","Nicht im Lift",IF(AW1528&gt;=1,"Lift",IF(AW1528&lt;=0,"Aussenlager","teilweise")))))</f>
        <v>Aussenlager</v>
      </c>
      <c r="BI1528" s="48" t="str">
        <f aca="false">IF(BA1528&lt;=0,"",IF(CC1528="Aussen","Aussenlager",IF(CC1528="-","Nicht im Lift",IF(BF1528&gt;=1,"Lift",IF(BF1528&lt;=0,"Aussenlager","teilweise")))))</f>
        <v>Aussenlager</v>
      </c>
      <c r="BJ1528" s="48" t="str">
        <f aca="false">IF(A1528="","",IF(BS1528=1,"Neu; ","")&amp;IF(AND(BS1528=0,BN1528&lt;0),"negativer Bestand (Export "&amp;BN1528&amp;"); ","")&amp;IF(J1528&lt;=0,"Kein Verbrauch; ","")&amp;IF(CL1528&gt;0,"Lift "&amp;W1528&amp;" lt. Liftbericht (Fach "&amp;X1528&amp;" Stk); ",IF(BX1528=1,"Gebinde geschätzt ("&amp;T1528&amp;"); ",IF(BW1528=1,"Lose – Tablare geschätzt; ","")))&amp;IF(H1528&gt;AT1528,"Überbestand "&amp;ROUND(H1528-AT1528,0)&amp;" Stk / CHF "&amp;ROUND((H1528-AT1528)*G1528,0)&amp;"; ","")&amp;IF(AND(CE1528=1,CF1528&lt;CG1528),"MAX &lt; MB+LG; ","")&amp;IF(AND(CK1528&gt;0,CJ1528*10&gt;CK1528),"zu hoch für Tablar; ","")&amp;IF(AND(BS1528=0,OR(CE1528=1,AA1528&lt;&gt;"",U1528&lt;&gt;"",V1528&lt;&gt;"",AB1528&lt;&gt;"")),"manuell übersteuert; ","")&amp;IF(AND(BW1528=0,R1528=0),"Gebinde unbekannt / Stellmass fehlt; ","")&amp;IF(AND(BW1528=0,N(V1528)&lt;=0,N(Q1528)&lt;=0),"Menge pro Gebinde fehlt (Ist = 1 Gebinde); ","")&amp;BR1528)</f>
        <v>Kein Verbrauch; nur im Artikelstamm (Bestand 23.06.2026)</v>
      </c>
      <c r="BK1528" s="48"/>
      <c r="BL1528" s="48"/>
      <c r="BM1528" s="55"/>
      <c r="BN1528" s="50" t="n">
        <v>2</v>
      </c>
      <c r="BO1528" s="50" t="n">
        <v>0</v>
      </c>
      <c r="BP1528" s="49" t="n">
        <v>0</v>
      </c>
      <c r="BQ1528" s="50" t="n">
        <v>0</v>
      </c>
      <c r="BR1528" s="48" t="s">
        <v>2579</v>
      </c>
      <c r="BS1528" s="53" t="n">
        <v>0</v>
      </c>
      <c r="BT1528" s="53" t="n">
        <v>1528</v>
      </c>
      <c r="BU1528" s="48" t="str">
        <f aca="false">IF(U1528&lt;&gt;"",UPPER(TRIM(U1528)),IF(BX1528=1,UPPER(VLOOKUP(T1528,Parameter!$I$27:$K$29,2,0)),IF(P1528="","LOSE",P1528)))</f>
        <v>S52</v>
      </c>
      <c r="BV1528" s="50" t="n">
        <f aca="false">IF(BU1528="LOSE",1,IF(N(V1528)&gt;0,V1528,IF(BX1528=1,MAX(1,N(VLOOKUP(T1528,Parameter!$I$27:$K$29,3,0)),H1528,N(N1528)),IF(N(Q1528)&gt;0,Q1528,MAX(1,H1528)))))</f>
        <v>2</v>
      </c>
      <c r="BW1528" s="53" t="n">
        <f aca="false">IF(BU1528="LOSE",1,0)</f>
        <v>0</v>
      </c>
      <c r="BX1528" s="53" t="n">
        <f aca="false">IF(AND(U1528="",OR(P1528="",P1528="LOSE"),T1528&lt;&gt;"",N(S1528)&lt;=0,ISNUMBER(MATCH(T1528,Parameter!$I$27:$I$29,0))),1,0)</f>
        <v>0</v>
      </c>
      <c r="BY1528" s="53" t="n">
        <f aca="false">IF(CL1528&gt;0,INDEX(Parameter!$H$5:$H$7,W1528)/INDEX(Parameter!$E$5:$E$7,W1528),IF(AND(BW1528=0,N(IFERROR(VLOOKUP(BU1528,'Gebinde-Kategorie'!$A$5:$N$45,14,0),0))&gt;0),VLOOKUP(BU1528,'Gebinde-Kategorie'!$A$5:$N$45,14,0)*10+Parameter!$M$23,Parameter!$M$24))</f>
        <v>245</v>
      </c>
      <c r="BZ1528" s="48" t="str">
        <f aca="false">IF(AND(Parameter!$B$19="Ja",E1528&lt;&gt;"",ISNUMBER(MATCH(E1528,Parameter!$I$35:$I$52,0))),VLOOKUP(E1528,Parameter!$I$35:$J$52,2,0),IFERROR(VLOOKUP(D1528,Parameter!$A$35:$C$64,2,0),"Nein"))</f>
        <v>2+3</v>
      </c>
      <c r="CA1528" s="52" t="n">
        <f aca="false">IF(BW1528=0,0,IF(N(S1528)&gt;0,S1528,IFERROR(VLOOKUP(D1528,Parameter!$A$35:$C$64,3,0)+0,0)))</f>
        <v>0</v>
      </c>
      <c r="CB1528" s="48" t="n">
        <f aca="false">IF(AA1528&lt;&gt;"",AA1528,Z1528)</f>
        <v>3</v>
      </c>
      <c r="CC1528" s="48" t="str">
        <f aca="false">IF(OR(CB1528=1,CB1528=2,CB1528=3),IF(Parameter!$E$27="Ja","LIFT",IF(CB1528=1,"L1","L23")),IF(CB1528="Aussen","Aussen","-"))</f>
        <v>LIFT</v>
      </c>
      <c r="CD1528" s="59" t="n">
        <f aca="false">IF(N(AB1528)&gt;0,AB1528,0)</f>
        <v>0</v>
      </c>
      <c r="CE1528" s="53" t="n">
        <f aca="false">IF(ISNUMBER(AE1528),1,0)</f>
        <v>0</v>
      </c>
      <c r="CF1528" s="50" t="n">
        <f aca="false">N(AE1528)</f>
        <v>0</v>
      </c>
      <c r="CG1528" s="50" t="n">
        <f aca="false">N(M1528)+N(N1528)</f>
        <v>1</v>
      </c>
      <c r="CH1528" s="50" t="n">
        <f aca="false">ROUNDUP(H1528/BV1528,0)</f>
        <v>1</v>
      </c>
      <c r="CI1528" s="50" t="n">
        <f aca="false">ROUNDUP(CF1528/BV1528,0)</f>
        <v>0</v>
      </c>
      <c r="CJ1528" s="53" t="n">
        <f aca="false">IF(BW1528=1,0,IFERROR(VLOOKUP(BU1528,'Gebinde-Kategorie'!$A$5:$N$45,5,0)+0,0))</f>
        <v>21</v>
      </c>
      <c r="CK1528" s="53" t="n">
        <f aca="false">IFERROR(IF(OR(CB1528=1,CB1528=2,CB1528=3),N(INDEX(Parameter!$I$5:$I$7,CB1528)),0),0)</f>
        <v>0</v>
      </c>
      <c r="CL1528" s="52" t="n">
        <f aca="false">IF(AND(Parameter!$B$21="Ja",ISNUMBER(W1528),N(X1528)&gt;0),IFERROR(N(INDEX(Parameter!$L$5:$L$7,W1528))*INDEX(Parameter!$E$5:$E$7,W1528)*X1528/SUMIFS($X$7:$X$1843,$W$7:$W$1843,W1528),0),0)</f>
        <v>0</v>
      </c>
    </row>
    <row r="1529" customFormat="false" ht="15" hidden="false" customHeight="false" outlineLevel="0" collapsed="false">
      <c r="A1529" s="48" t="s">
        <v>2676</v>
      </c>
      <c r="B1529" s="48" t="s">
        <v>2322</v>
      </c>
      <c r="C1529" s="48" t="s">
        <v>171</v>
      </c>
      <c r="D1529" s="48" t="s">
        <v>177</v>
      </c>
      <c r="E1529" s="48" t="s">
        <v>189</v>
      </c>
      <c r="F1529" s="48"/>
      <c r="G1529" s="49" t="n">
        <v>1094</v>
      </c>
      <c r="H1529" s="50" t="n">
        <f aca="false">MAX(0,IF(AND(Parameter!$B$21="Ja",ISNUMBER(Y1529)),Y1529,IF(Parameter!$B$20="Jahresanfang 2025 + Export",BO1529+BN1529,BN1529)))</f>
        <v>2</v>
      </c>
      <c r="I1529" s="50" t="n">
        <f aca="false">H1529*G1529</f>
        <v>2188</v>
      </c>
      <c r="J1529" s="50" t="n">
        <f aca="false">BQ1529*Parameter!$B$18</f>
        <v>0</v>
      </c>
      <c r="K1529" s="51"/>
      <c r="L1529" s="52"/>
      <c r="M1529" s="50" t="n">
        <v>0</v>
      </c>
      <c r="N1529" s="50" t="n">
        <v>1</v>
      </c>
      <c r="O1529" s="53" t="n">
        <v>35</v>
      </c>
      <c r="P1529" s="48" t="s">
        <v>237</v>
      </c>
      <c r="Q1529" s="50" t="n">
        <v>2</v>
      </c>
      <c r="R1529" s="53" t="n">
        <f aca="false">IF(BW1529=1,0,IFERROR(VLOOKUP(BU1529,'Gebinde-Kategorie'!$A$5:$N$45,13,0)+0,0))</f>
        <v>26</v>
      </c>
      <c r="S1529" s="54"/>
      <c r="T1529" s="55"/>
      <c r="U1529" s="55"/>
      <c r="V1529" s="55"/>
      <c r="W1529" s="48"/>
      <c r="X1529" s="50"/>
      <c r="Y1529" s="50"/>
      <c r="Z1529" s="48" t="n">
        <f aca="false">IF(A1529="","",IF(AND(Parameter!$B$21="Ja",ISNUMBER(W1529)),W1529,IF(BZ1529="2+3",IF(ISNUMBER(SEARCH("grosser Artikel",BR1529)),2,IFERROR(VLOOKUP(BU1529,Parameter!$F$35:$G$64,2,0),2)),IF(OR(BZ1529="Nein",BZ1529=""),"-",BZ1529))))</f>
        <v>3</v>
      </c>
      <c r="AA1529" s="55"/>
      <c r="AB1529" s="56"/>
      <c r="AC1529" s="50" t="n">
        <f aca="false">AT1529</f>
        <v>2</v>
      </c>
      <c r="AD1529" s="50" t="n">
        <f aca="false">MAX(AT1529,H1529)</f>
        <v>2</v>
      </c>
      <c r="AE1529" s="57"/>
      <c r="AF1529" s="50" t="n">
        <f aca="false">IF(LEFT(Cockpit!$C$5,1)="A",H1529,IF(CE1529=1,CF1529,IF(LEFT(Cockpit!$C$5,1)="B",AK1529,MAX(AK1529,H1529))))</f>
        <v>2</v>
      </c>
      <c r="AG1529" s="50" t="n">
        <f aca="false">IF(BW1529=1,0,ROUNDUP(AF1529/BV1529,0))</f>
        <v>1</v>
      </c>
      <c r="AH1529" s="52" t="n">
        <f aca="false">IF(CL1529&gt;0,CL1529*MAX(1,AF1529/X1529),IF(BW1529=1,IF(AF1529&lt;=0,0,CA1529*MAX(1,IF(H1529&gt;0,AF1529/H1529,1))),IF(R1529&gt;0,AG1529/R1529,0))/MAX(0.1,N(Parameter!$M$21)))</f>
        <v>0.0384615384615385</v>
      </c>
      <c r="AI1529" s="50" t="n">
        <f aca="false">AH1529*BY1529</f>
        <v>9.42307692307692</v>
      </c>
      <c r="AJ1529" s="50" t="n">
        <f aca="false">AF1529*G1529</f>
        <v>2188</v>
      </c>
      <c r="AK1529" s="50" t="n">
        <f aca="false">ROUNDUP(MAX(J1529/IF(CD1529&gt;0,CD1529,MAX(0.1,N(Cockpit!$C$6))),CG1529)/BV1529,0)*BV1529</f>
        <v>2</v>
      </c>
      <c r="AL1529" s="51" t="n">
        <f aca="false">IF(AI1529&gt;0,J1529/AI1529,-1)</f>
        <v>0</v>
      </c>
      <c r="AM1529" s="51" t="n">
        <f aca="false">IF(AND(OR(CC1529="L1",CC1529="L23",CC1529="LIFT"),AI1529&gt;0),SUMIFS($AI$7:$AI$1843,$CC$7:$CC$1843,CC1529,$AL$7:$AL$1843,"&gt;"&amp;AL1529)+SUMIFS($AI$7:$AI$1843,$CC$7:$CC$1843,CC1529,$AL$7:$AL$1843,AL1529,$BT$7:$BT$1843,"&lt;="&amp;BT1529),"")</f>
        <v>30074.11936063</v>
      </c>
      <c r="AN1529" s="58" t="n">
        <f aca="false">IF(AM1529="",0,MAX(0,MIN(1,(IF(CC1529="L1",Parameter!$H$5,IF(CC1529="L23",Parameter!$H$6+Parameter!$H$7,Parameter!$H$5+Parameter!$H$6+Parameter!$H$7))-(AM1529-AI1529))/AI1529)))</f>
        <v>1</v>
      </c>
      <c r="AO1529" s="50" t="n">
        <f aca="false">IF(LEFT(Cockpit!$I$5,1)="A",H1529,IF(CE1529=1,CF1529,IF(LEFT(Cockpit!$I$5,1)="B",AT1529,MAX(AT1529,H1529))))</f>
        <v>2</v>
      </c>
      <c r="AP1529" s="50" t="n">
        <f aca="false">IF(BW1529=1,0,ROUNDUP(AO1529/BV1529,0))</f>
        <v>1</v>
      </c>
      <c r="AQ1529" s="52" t="n">
        <f aca="false">IF(CL1529&gt;0,CL1529*MAX(1,AO1529/X1529),IF(BW1529=1,IF(AO1529&lt;=0,0,CA1529*MAX(1,IF(H1529&gt;0,AO1529/H1529,1))),IF(R1529&gt;0,AP1529/R1529,0))/MAX(0.1,N(Parameter!$M$21)))</f>
        <v>0.0384615384615385</v>
      </c>
      <c r="AR1529" s="50" t="n">
        <f aca="false">AQ1529*BY1529</f>
        <v>9.42307692307692</v>
      </c>
      <c r="AS1529" s="50" t="n">
        <f aca="false">AO1529*G1529</f>
        <v>2188</v>
      </c>
      <c r="AT1529" s="50" t="n">
        <f aca="false">ROUNDUP(MAX(J1529/IF(CD1529&gt;0,CD1529,MAX(0.1,N(Cockpit!$I$6))),CG1529)/BV1529,0)*BV1529</f>
        <v>2</v>
      </c>
      <c r="AU1529" s="51" t="n">
        <f aca="false">IF(AR1529&gt;0,J1529/AR1529,-1)</f>
        <v>0</v>
      </c>
      <c r="AV1529" s="51" t="n">
        <f aca="false">IF(AND(OR(CC1529="L1",CC1529="L23",CC1529="LIFT"),AR1529&gt;0),SUMIFS($AR$7:$AR$1843,$CC$7:$CC$1843,CC1529,$AU$7:$AU$1843,"&gt;"&amp;AU1529)+SUMIFS($AR$7:$AR$1843,$CC$7:$CC$1843,CC1529,$AU$7:$AU$1843,AU1529,$BT$7:$BT$1843,"&lt;="&amp;BT1529),"")</f>
        <v>42401.0844017094</v>
      </c>
      <c r="AW1529" s="58" t="n">
        <f aca="false">IF(AV1529="",0,MAX(0,MIN(1,(IF(CC1529="L1",Parameter!$H$5,IF(CC1529="L23",Parameter!$H$6+Parameter!$H$7,Parameter!$H$5+Parameter!$H$6+Parameter!$H$7))-(AV1529-AR1529))/AR1529)))</f>
        <v>0</v>
      </c>
      <c r="AX1529" s="50" t="n">
        <f aca="false">IF(LEFT(Cockpit!$O$5,1)="A",H1529,IF(CE1529=1,CF1529,IF(LEFT(Cockpit!$O$5,1)="B",BC1529,MAX(BC1529,H1529))))</f>
        <v>2</v>
      </c>
      <c r="AY1529" s="50" t="n">
        <f aca="false">IF(BW1529=1,0,ROUNDUP(AX1529/BV1529,0))</f>
        <v>1</v>
      </c>
      <c r="AZ1529" s="52" t="n">
        <f aca="false">IF(CL1529&gt;0,CL1529*MAX(1,AX1529/X1529),IF(BW1529=1,IF(AX1529&lt;=0,0,CA1529*MAX(1,IF(H1529&gt;0,AX1529/H1529,1))),IF(R1529&gt;0,AY1529/R1529,0))/MAX(0.1,N(Parameter!$M$21)))</f>
        <v>0.0384615384615385</v>
      </c>
      <c r="BA1529" s="50" t="n">
        <f aca="false">AZ1529*BY1529</f>
        <v>9.42307692307692</v>
      </c>
      <c r="BB1529" s="50" t="n">
        <f aca="false">AX1529*G1529</f>
        <v>2188</v>
      </c>
      <c r="BC1529" s="50" t="n">
        <f aca="false">ROUNDUP(MAX(J1529/IF(CD1529&gt;0,CD1529,MAX(0.1,N(Cockpit!$O$6))),CG1529)/BV1529,0)*BV1529</f>
        <v>2</v>
      </c>
      <c r="BD1529" s="51" t="n">
        <f aca="false">IF(BA1529&gt;0,J1529/BA1529,-1)</f>
        <v>0</v>
      </c>
      <c r="BE1529" s="51" t="n">
        <f aca="false">IF(AND(OR(CC1529="L1",CC1529="L23",CC1529="LIFT"),BA1529&gt;0),SUMIFS($BA$7:$BA$1843,$CC$7:$CC$1843,CC1529,$BD$7:$BD$1843,"&gt;"&amp;BD1529)+SUMIFS($BA$7:$BA$1843,$CC$7:$CC$1843,CC1529,$BD$7:$BD$1843,BD1529,$BT$7:$BT$1843,"&lt;="&amp;BT1529),"")</f>
        <v>39076.0964435753</v>
      </c>
      <c r="BF1529" s="58" t="n">
        <f aca="false">IF(BE1529="",0,MAX(0,MIN(1,(IF(CC1529="L1",Parameter!$H$5,IF(CC1529="L23",Parameter!$H$6+Parameter!$H$7,Parameter!$H$5+Parameter!$H$6+Parameter!$H$7))-(BE1529-BA1529))/BA1529)))</f>
        <v>0</v>
      </c>
      <c r="BG1529" s="48" t="str">
        <f aca="false">IF(AI1529&lt;=0,"",IF(CC1529="Aussen","Aussenlager",IF(CC1529="-","Nicht im Lift",IF(AN1529&gt;=1,"Lift",IF(AN1529&lt;=0,"Aussenlager","teilweise")))))</f>
        <v>Lift</v>
      </c>
      <c r="BH1529" s="48" t="str">
        <f aca="false">IF(AR1529&lt;=0,"",IF(CC1529="Aussen","Aussenlager",IF(CC1529="-","Nicht im Lift",IF(AW1529&gt;=1,"Lift",IF(AW1529&lt;=0,"Aussenlager","teilweise")))))</f>
        <v>Aussenlager</v>
      </c>
      <c r="BI1529" s="48" t="str">
        <f aca="false">IF(BA1529&lt;=0,"",IF(CC1529="Aussen","Aussenlager",IF(CC1529="-","Nicht im Lift",IF(BF1529&gt;=1,"Lift",IF(BF1529&lt;=0,"Aussenlager","teilweise")))))</f>
        <v>Aussenlager</v>
      </c>
      <c r="BJ1529" s="48" t="str">
        <f aca="false">IF(A1529="","",IF(BS1529=1,"Neu; ","")&amp;IF(AND(BS1529=0,BN1529&lt;0),"negativer Bestand (Export "&amp;BN1529&amp;"); ","")&amp;IF(J1529&lt;=0,"Kein Verbrauch; ","")&amp;IF(CL1529&gt;0,"Lift "&amp;W1529&amp;" lt. Liftbericht (Fach "&amp;X1529&amp;" Stk); ",IF(BX1529=1,"Gebinde geschätzt ("&amp;T1529&amp;"); ",IF(BW1529=1,"Lose – Tablare geschätzt; ","")))&amp;IF(H1529&gt;AT1529,"Überbestand "&amp;ROUND(H1529-AT1529,0)&amp;" Stk / CHF "&amp;ROUND((H1529-AT1529)*G1529,0)&amp;"; ","")&amp;IF(AND(CE1529=1,CF1529&lt;CG1529),"MAX &lt; MB+LG; ","")&amp;IF(AND(CK1529&gt;0,CJ1529*10&gt;CK1529),"zu hoch für Tablar; ","")&amp;IF(AND(BS1529=0,OR(CE1529=1,AA1529&lt;&gt;"",U1529&lt;&gt;"",V1529&lt;&gt;"",AB1529&lt;&gt;"")),"manuell übersteuert; ","")&amp;IF(AND(BW1529=0,R1529=0),"Gebinde unbekannt / Stellmass fehlt; ","")&amp;IF(AND(BW1529=0,N(V1529)&lt;=0,N(Q1529)&lt;=0),"Menge pro Gebinde fehlt (Ist = 1 Gebinde); ","")&amp;BR1529)</f>
        <v>Kein Verbrauch; nur im Artikelstamm (Bestand 23.06.2026)</v>
      </c>
      <c r="BK1529" s="48"/>
      <c r="BL1529" s="48"/>
      <c r="BM1529" s="55"/>
      <c r="BN1529" s="50" t="n">
        <v>2</v>
      </c>
      <c r="BO1529" s="50" t="n">
        <v>0</v>
      </c>
      <c r="BP1529" s="49" t="n">
        <v>0</v>
      </c>
      <c r="BQ1529" s="50" t="n">
        <v>0</v>
      </c>
      <c r="BR1529" s="48" t="s">
        <v>2579</v>
      </c>
      <c r="BS1529" s="53" t="n">
        <v>0</v>
      </c>
      <c r="BT1529" s="53" t="n">
        <v>1529</v>
      </c>
      <c r="BU1529" s="48" t="str">
        <f aca="false">IF(U1529&lt;&gt;"",UPPER(TRIM(U1529)),IF(BX1529=1,UPPER(VLOOKUP(T1529,Parameter!$I$27:$K$29,2,0)),IF(P1529="","LOSE",P1529)))</f>
        <v>S52</v>
      </c>
      <c r="BV1529" s="50" t="n">
        <f aca="false">IF(BU1529="LOSE",1,IF(N(V1529)&gt;0,V1529,IF(BX1529=1,MAX(1,N(VLOOKUP(T1529,Parameter!$I$27:$K$29,3,0)),H1529,N(N1529)),IF(N(Q1529)&gt;0,Q1529,MAX(1,H1529)))))</f>
        <v>2</v>
      </c>
      <c r="BW1529" s="53" t="n">
        <f aca="false">IF(BU1529="LOSE",1,0)</f>
        <v>0</v>
      </c>
      <c r="BX1529" s="53" t="n">
        <f aca="false">IF(AND(U1529="",OR(P1529="",P1529="LOSE"),T1529&lt;&gt;"",N(S1529)&lt;=0,ISNUMBER(MATCH(T1529,Parameter!$I$27:$I$29,0))),1,0)</f>
        <v>0</v>
      </c>
      <c r="BY1529" s="53" t="n">
        <f aca="false">IF(CL1529&gt;0,INDEX(Parameter!$H$5:$H$7,W1529)/INDEX(Parameter!$E$5:$E$7,W1529),IF(AND(BW1529=0,N(IFERROR(VLOOKUP(BU1529,'Gebinde-Kategorie'!$A$5:$N$45,14,0),0))&gt;0),VLOOKUP(BU1529,'Gebinde-Kategorie'!$A$5:$N$45,14,0)*10+Parameter!$M$23,Parameter!$M$24))</f>
        <v>245</v>
      </c>
      <c r="BZ1529" s="48" t="str">
        <f aca="false">IF(AND(Parameter!$B$19="Ja",E1529&lt;&gt;"",ISNUMBER(MATCH(E1529,Parameter!$I$35:$I$52,0))),VLOOKUP(E1529,Parameter!$I$35:$J$52,2,0),IFERROR(VLOOKUP(D1529,Parameter!$A$35:$C$64,2,0),"Nein"))</f>
        <v>2+3</v>
      </c>
      <c r="CA1529" s="52" t="n">
        <f aca="false">IF(BW1529=0,0,IF(N(S1529)&gt;0,S1529,IFERROR(VLOOKUP(D1529,Parameter!$A$35:$C$64,3,0)+0,0)))</f>
        <v>0</v>
      </c>
      <c r="CB1529" s="48" t="n">
        <f aca="false">IF(AA1529&lt;&gt;"",AA1529,Z1529)</f>
        <v>3</v>
      </c>
      <c r="CC1529" s="48" t="str">
        <f aca="false">IF(OR(CB1529=1,CB1529=2,CB1529=3),IF(Parameter!$E$27="Ja","LIFT",IF(CB1529=1,"L1","L23")),IF(CB1529="Aussen","Aussen","-"))</f>
        <v>LIFT</v>
      </c>
      <c r="CD1529" s="59" t="n">
        <f aca="false">IF(N(AB1529)&gt;0,AB1529,0)</f>
        <v>0</v>
      </c>
      <c r="CE1529" s="53" t="n">
        <f aca="false">IF(ISNUMBER(AE1529),1,0)</f>
        <v>0</v>
      </c>
      <c r="CF1529" s="50" t="n">
        <f aca="false">N(AE1529)</f>
        <v>0</v>
      </c>
      <c r="CG1529" s="50" t="n">
        <f aca="false">N(M1529)+N(N1529)</f>
        <v>1</v>
      </c>
      <c r="CH1529" s="50" t="n">
        <f aca="false">ROUNDUP(H1529/BV1529,0)</f>
        <v>1</v>
      </c>
      <c r="CI1529" s="50" t="n">
        <f aca="false">ROUNDUP(CF1529/BV1529,0)</f>
        <v>0</v>
      </c>
      <c r="CJ1529" s="53" t="n">
        <f aca="false">IF(BW1529=1,0,IFERROR(VLOOKUP(BU1529,'Gebinde-Kategorie'!$A$5:$N$45,5,0)+0,0))</f>
        <v>21</v>
      </c>
      <c r="CK1529" s="53" t="n">
        <f aca="false">IFERROR(IF(OR(CB1529=1,CB1529=2,CB1529=3),N(INDEX(Parameter!$I$5:$I$7,CB1529)),0),0)</f>
        <v>0</v>
      </c>
      <c r="CL1529" s="52" t="n">
        <f aca="false">IF(AND(Parameter!$B$21="Ja",ISNUMBER(W1529),N(X1529)&gt;0),IFERROR(N(INDEX(Parameter!$L$5:$L$7,W1529))*INDEX(Parameter!$E$5:$E$7,W1529)*X1529/SUMIFS($X$7:$X$1843,$W$7:$W$1843,W1529),0),0)</f>
        <v>0</v>
      </c>
    </row>
    <row r="1530" customFormat="false" ht="15" hidden="false" customHeight="false" outlineLevel="0" collapsed="false">
      <c r="A1530" s="48" t="s">
        <v>2677</v>
      </c>
      <c r="B1530" s="48" t="s">
        <v>2678</v>
      </c>
      <c r="C1530" s="48" t="s">
        <v>171</v>
      </c>
      <c r="D1530" s="48" t="s">
        <v>188</v>
      </c>
      <c r="E1530" s="48" t="s">
        <v>189</v>
      </c>
      <c r="F1530" s="48"/>
      <c r="G1530" s="49" t="n">
        <v>9.89</v>
      </c>
      <c r="H1530" s="50" t="n">
        <f aca="false">MAX(0,IF(AND(Parameter!$B$21="Ja",ISNUMBER(Y1530)),Y1530,IF(Parameter!$B$20="Jahresanfang 2025 + Export",BO1530+BN1530,BN1530)))</f>
        <v>51</v>
      </c>
      <c r="I1530" s="50" t="n">
        <f aca="false">H1530*G1530</f>
        <v>504.39</v>
      </c>
      <c r="J1530" s="50" t="n">
        <f aca="false">BQ1530*Parameter!$B$18</f>
        <v>0</v>
      </c>
      <c r="K1530" s="51"/>
      <c r="L1530" s="52"/>
      <c r="M1530" s="50" t="n">
        <v>0</v>
      </c>
      <c r="N1530" s="50" t="n">
        <v>50</v>
      </c>
      <c r="O1530" s="53" t="n">
        <v>98</v>
      </c>
      <c r="P1530" s="48" t="s">
        <v>237</v>
      </c>
      <c r="Q1530" s="50" t="n">
        <v>51</v>
      </c>
      <c r="R1530" s="53" t="n">
        <f aca="false">IF(BW1530=1,0,IFERROR(VLOOKUP(BU1530,'Gebinde-Kategorie'!$A$5:$N$45,13,0)+0,0))</f>
        <v>26</v>
      </c>
      <c r="S1530" s="54"/>
      <c r="T1530" s="55"/>
      <c r="U1530" s="55"/>
      <c r="V1530" s="55"/>
      <c r="W1530" s="48"/>
      <c r="X1530" s="50"/>
      <c r="Y1530" s="50"/>
      <c r="Z1530" s="48" t="n">
        <f aca="false">IF(A1530="","",IF(AND(Parameter!$B$21="Ja",ISNUMBER(W1530)),W1530,IF(BZ1530="2+3",IF(ISNUMBER(SEARCH("grosser Artikel",BR1530)),2,IFERROR(VLOOKUP(BU1530,Parameter!$F$35:$G$64,2,0),2)),IF(OR(BZ1530="Nein",BZ1530=""),"-",BZ1530))))</f>
        <v>3</v>
      </c>
      <c r="AA1530" s="55"/>
      <c r="AB1530" s="56"/>
      <c r="AC1530" s="50" t="n">
        <f aca="false">AT1530</f>
        <v>51</v>
      </c>
      <c r="AD1530" s="50" t="n">
        <f aca="false">MAX(AT1530,H1530)</f>
        <v>51</v>
      </c>
      <c r="AE1530" s="57"/>
      <c r="AF1530" s="50" t="n">
        <f aca="false">IF(LEFT(Cockpit!$C$5,1)="A",H1530,IF(CE1530=1,CF1530,IF(LEFT(Cockpit!$C$5,1)="B",AK1530,MAX(AK1530,H1530))))</f>
        <v>51</v>
      </c>
      <c r="AG1530" s="50" t="n">
        <f aca="false">IF(BW1530=1,0,ROUNDUP(AF1530/BV1530,0))</f>
        <v>1</v>
      </c>
      <c r="AH1530" s="52" t="n">
        <f aca="false">IF(CL1530&gt;0,CL1530*MAX(1,AF1530/X1530),IF(BW1530=1,IF(AF1530&lt;=0,0,CA1530*MAX(1,IF(H1530&gt;0,AF1530/H1530,1))),IF(R1530&gt;0,AG1530/R1530,0))/MAX(0.1,N(Parameter!$M$21)))</f>
        <v>0.0384615384615385</v>
      </c>
      <c r="AI1530" s="50" t="n">
        <f aca="false">AH1530*BY1530</f>
        <v>9.42307692307692</v>
      </c>
      <c r="AJ1530" s="50" t="n">
        <f aca="false">AF1530*G1530</f>
        <v>504.39</v>
      </c>
      <c r="AK1530" s="50" t="n">
        <f aca="false">ROUNDUP(MAX(J1530/IF(CD1530&gt;0,CD1530,MAX(0.1,N(Cockpit!$C$6))),CG1530)/BV1530,0)*BV1530</f>
        <v>51</v>
      </c>
      <c r="AL1530" s="51" t="n">
        <f aca="false">IF(AI1530&gt;0,J1530/AI1530,-1)</f>
        <v>0</v>
      </c>
      <c r="AM1530" s="51" t="n">
        <f aca="false">IF(AND(OR(CC1530="L1",CC1530="L23",CC1530="LIFT"),AI1530&gt;0),SUMIFS($AI$7:$AI$1843,$CC$7:$CC$1843,CC1530,$AL$7:$AL$1843,"&gt;"&amp;AL1530)+SUMIFS($AI$7:$AI$1843,$CC$7:$CC$1843,CC1530,$AL$7:$AL$1843,AL1530,$BT$7:$BT$1843,"&lt;="&amp;BT1530),"")</f>
        <v>30083.542437553</v>
      </c>
      <c r="AN1530" s="58" t="n">
        <f aca="false">IF(AM1530="",0,MAX(0,MIN(1,(IF(CC1530="L1",Parameter!$H$5,IF(CC1530="L23",Parameter!$H$6+Parameter!$H$7,Parameter!$H$5+Parameter!$H$6+Parameter!$H$7))-(AM1530-AI1530))/AI1530)))</f>
        <v>1</v>
      </c>
      <c r="AO1530" s="50" t="n">
        <f aca="false">IF(LEFT(Cockpit!$I$5,1)="A",H1530,IF(CE1530=1,CF1530,IF(LEFT(Cockpit!$I$5,1)="B",AT1530,MAX(AT1530,H1530))))</f>
        <v>51</v>
      </c>
      <c r="AP1530" s="50" t="n">
        <f aca="false">IF(BW1530=1,0,ROUNDUP(AO1530/BV1530,0))</f>
        <v>1</v>
      </c>
      <c r="AQ1530" s="52" t="n">
        <f aca="false">IF(CL1530&gt;0,CL1530*MAX(1,AO1530/X1530),IF(BW1530=1,IF(AO1530&lt;=0,0,CA1530*MAX(1,IF(H1530&gt;0,AO1530/H1530,1))),IF(R1530&gt;0,AP1530/R1530,0))/MAX(0.1,N(Parameter!$M$21)))</f>
        <v>0.0384615384615385</v>
      </c>
      <c r="AR1530" s="50" t="n">
        <f aca="false">AQ1530*BY1530</f>
        <v>9.42307692307692</v>
      </c>
      <c r="AS1530" s="50" t="n">
        <f aca="false">AO1530*G1530</f>
        <v>504.39</v>
      </c>
      <c r="AT1530" s="50" t="n">
        <f aca="false">ROUNDUP(MAX(J1530/IF(CD1530&gt;0,CD1530,MAX(0.1,N(Cockpit!$I$6))),CG1530)/BV1530,0)*BV1530</f>
        <v>51</v>
      </c>
      <c r="AU1530" s="51" t="n">
        <f aca="false">IF(AR1530&gt;0,J1530/AR1530,-1)</f>
        <v>0</v>
      </c>
      <c r="AV1530" s="51" t="n">
        <f aca="false">IF(AND(OR(CC1530="L1",CC1530="L23",CC1530="LIFT"),AR1530&gt;0),SUMIFS($AR$7:$AR$1843,$CC$7:$CC$1843,CC1530,$AU$7:$AU$1843,"&gt;"&amp;AU1530)+SUMIFS($AR$7:$AR$1843,$CC$7:$CC$1843,CC1530,$AU$7:$AU$1843,AU1530,$BT$7:$BT$1843,"&lt;="&amp;BT1530),"")</f>
        <v>42410.5074786325</v>
      </c>
      <c r="AW1530" s="58" t="n">
        <f aca="false">IF(AV1530="",0,MAX(0,MIN(1,(IF(CC1530="L1",Parameter!$H$5,IF(CC1530="L23",Parameter!$H$6+Parameter!$H$7,Parameter!$H$5+Parameter!$H$6+Parameter!$H$7))-(AV1530-AR1530))/AR1530)))</f>
        <v>0</v>
      </c>
      <c r="AX1530" s="50" t="n">
        <f aca="false">IF(LEFT(Cockpit!$O$5,1)="A",H1530,IF(CE1530=1,CF1530,IF(LEFT(Cockpit!$O$5,1)="B",BC1530,MAX(BC1530,H1530))))</f>
        <v>51</v>
      </c>
      <c r="AY1530" s="50" t="n">
        <f aca="false">IF(BW1530=1,0,ROUNDUP(AX1530/BV1530,0))</f>
        <v>1</v>
      </c>
      <c r="AZ1530" s="52" t="n">
        <f aca="false">IF(CL1530&gt;0,CL1530*MAX(1,AX1530/X1530),IF(BW1530=1,IF(AX1530&lt;=0,0,CA1530*MAX(1,IF(H1530&gt;0,AX1530/H1530,1))),IF(R1530&gt;0,AY1530/R1530,0))/MAX(0.1,N(Parameter!$M$21)))</f>
        <v>0.0384615384615385</v>
      </c>
      <c r="BA1530" s="50" t="n">
        <f aca="false">AZ1530*BY1530</f>
        <v>9.42307692307692</v>
      </c>
      <c r="BB1530" s="50" t="n">
        <f aca="false">AX1530*G1530</f>
        <v>504.39</v>
      </c>
      <c r="BC1530" s="50" t="n">
        <f aca="false">ROUNDUP(MAX(J1530/IF(CD1530&gt;0,CD1530,MAX(0.1,N(Cockpit!$O$6))),CG1530)/BV1530,0)*BV1530</f>
        <v>51</v>
      </c>
      <c r="BD1530" s="51" t="n">
        <f aca="false">IF(BA1530&gt;0,J1530/BA1530,-1)</f>
        <v>0</v>
      </c>
      <c r="BE1530" s="51" t="n">
        <f aca="false">IF(AND(OR(CC1530="L1",CC1530="L23",CC1530="LIFT"),BA1530&gt;0),SUMIFS($BA$7:$BA$1843,$CC$7:$CC$1843,CC1530,$BD$7:$BD$1843,"&gt;"&amp;BD1530)+SUMIFS($BA$7:$BA$1843,$CC$7:$CC$1843,CC1530,$BD$7:$BD$1843,BD1530,$BT$7:$BT$1843,"&lt;="&amp;BT1530),"")</f>
        <v>39085.5195204983</v>
      </c>
      <c r="BF1530" s="58" t="n">
        <f aca="false">IF(BE1530="",0,MAX(0,MIN(1,(IF(CC1530="L1",Parameter!$H$5,IF(CC1530="L23",Parameter!$H$6+Parameter!$H$7,Parameter!$H$5+Parameter!$H$6+Parameter!$H$7))-(BE1530-BA1530))/BA1530)))</f>
        <v>0</v>
      </c>
      <c r="BG1530" s="48" t="str">
        <f aca="false">IF(AI1530&lt;=0,"",IF(CC1530="Aussen","Aussenlager",IF(CC1530="-","Nicht im Lift",IF(AN1530&gt;=1,"Lift",IF(AN1530&lt;=0,"Aussenlager","teilweise")))))</f>
        <v>Lift</v>
      </c>
      <c r="BH1530" s="48" t="str">
        <f aca="false">IF(AR1530&lt;=0,"",IF(CC1530="Aussen","Aussenlager",IF(CC1530="-","Nicht im Lift",IF(AW1530&gt;=1,"Lift",IF(AW1530&lt;=0,"Aussenlager","teilweise")))))</f>
        <v>Aussenlager</v>
      </c>
      <c r="BI1530" s="48" t="str">
        <f aca="false">IF(BA1530&lt;=0,"",IF(CC1530="Aussen","Aussenlager",IF(CC1530="-","Nicht im Lift",IF(BF1530&gt;=1,"Lift",IF(BF1530&lt;=0,"Aussenlager","teilweise")))))</f>
        <v>Aussenlager</v>
      </c>
      <c r="BJ1530" s="48" t="str">
        <f aca="false">IF(A1530="","",IF(BS1530=1,"Neu; ","")&amp;IF(AND(BS1530=0,BN1530&lt;0),"negativer Bestand (Export "&amp;BN1530&amp;"); ","")&amp;IF(J1530&lt;=0,"Kein Verbrauch; ","")&amp;IF(CL1530&gt;0,"Lift "&amp;W1530&amp;" lt. Liftbericht (Fach "&amp;X1530&amp;" Stk); ",IF(BX1530=1,"Gebinde geschätzt ("&amp;T1530&amp;"); ",IF(BW1530=1,"Lose – Tablare geschätzt; ","")))&amp;IF(H1530&gt;AT1530,"Überbestand "&amp;ROUND(H1530-AT1530,0)&amp;" Stk / CHF "&amp;ROUND((H1530-AT1530)*G1530,0)&amp;"; ","")&amp;IF(AND(CE1530=1,CF1530&lt;CG1530),"MAX &lt; MB+LG; ","")&amp;IF(AND(CK1530&gt;0,CJ1530*10&gt;CK1530),"zu hoch für Tablar; ","")&amp;IF(AND(BS1530=0,OR(CE1530=1,AA1530&lt;&gt;"",U1530&lt;&gt;"",V1530&lt;&gt;"",AB1530&lt;&gt;"")),"manuell übersteuert; ","")&amp;IF(AND(BW1530=0,R1530=0),"Gebinde unbekannt / Stellmass fehlt; ","")&amp;IF(AND(BW1530=0,N(V1530)&lt;=0,N(Q1530)&lt;=0),"Menge pro Gebinde fehlt (Ist = 1 Gebinde); ","")&amp;BR1530)</f>
        <v>Kein Verbrauch; nur im Artikelstamm (Bestand 23.06.2026)</v>
      </c>
      <c r="BK1530" s="48"/>
      <c r="BL1530" s="48"/>
      <c r="BM1530" s="55"/>
      <c r="BN1530" s="50" t="n">
        <v>51</v>
      </c>
      <c r="BO1530" s="50" t="n">
        <v>0</v>
      </c>
      <c r="BP1530" s="49" t="n">
        <v>0</v>
      </c>
      <c r="BQ1530" s="50" t="n">
        <v>0</v>
      </c>
      <c r="BR1530" s="48" t="s">
        <v>2579</v>
      </c>
      <c r="BS1530" s="53" t="n">
        <v>0</v>
      </c>
      <c r="BT1530" s="53" t="n">
        <v>1530</v>
      </c>
      <c r="BU1530" s="48" t="str">
        <f aca="false">IF(U1530&lt;&gt;"",UPPER(TRIM(U1530)),IF(BX1530=1,UPPER(VLOOKUP(T1530,Parameter!$I$27:$K$29,2,0)),IF(P1530="","LOSE",P1530)))</f>
        <v>S52</v>
      </c>
      <c r="BV1530" s="50" t="n">
        <f aca="false">IF(BU1530="LOSE",1,IF(N(V1530)&gt;0,V1530,IF(BX1530=1,MAX(1,N(VLOOKUP(T1530,Parameter!$I$27:$K$29,3,0)),H1530,N(N1530)),IF(N(Q1530)&gt;0,Q1530,MAX(1,H1530)))))</f>
        <v>51</v>
      </c>
      <c r="BW1530" s="53" t="n">
        <f aca="false">IF(BU1530="LOSE",1,0)</f>
        <v>0</v>
      </c>
      <c r="BX1530" s="53" t="n">
        <f aca="false">IF(AND(U1530="",OR(P1530="",P1530="LOSE"),T1530&lt;&gt;"",N(S1530)&lt;=0,ISNUMBER(MATCH(T1530,Parameter!$I$27:$I$29,0))),1,0)</f>
        <v>0</v>
      </c>
      <c r="BY1530" s="53" t="n">
        <f aca="false">IF(CL1530&gt;0,INDEX(Parameter!$H$5:$H$7,W1530)/INDEX(Parameter!$E$5:$E$7,W1530),IF(AND(BW1530=0,N(IFERROR(VLOOKUP(BU1530,'Gebinde-Kategorie'!$A$5:$N$45,14,0),0))&gt;0),VLOOKUP(BU1530,'Gebinde-Kategorie'!$A$5:$N$45,14,0)*10+Parameter!$M$23,Parameter!$M$24))</f>
        <v>245</v>
      </c>
      <c r="BZ1530" s="48" t="str">
        <f aca="false">IF(AND(Parameter!$B$19="Ja",E1530&lt;&gt;"",ISNUMBER(MATCH(E1530,Parameter!$I$35:$I$52,0))),VLOOKUP(E1530,Parameter!$I$35:$J$52,2,0),IFERROR(VLOOKUP(D1530,Parameter!$A$35:$C$64,2,0),"Nein"))</f>
        <v>2+3</v>
      </c>
      <c r="CA1530" s="52" t="n">
        <f aca="false">IF(BW1530=0,0,IF(N(S1530)&gt;0,S1530,IFERROR(VLOOKUP(D1530,Parameter!$A$35:$C$64,3,0)+0,0)))</f>
        <v>0</v>
      </c>
      <c r="CB1530" s="48" t="n">
        <f aca="false">IF(AA1530&lt;&gt;"",AA1530,Z1530)</f>
        <v>3</v>
      </c>
      <c r="CC1530" s="48" t="str">
        <f aca="false">IF(OR(CB1530=1,CB1530=2,CB1530=3),IF(Parameter!$E$27="Ja","LIFT",IF(CB1530=1,"L1","L23")),IF(CB1530="Aussen","Aussen","-"))</f>
        <v>LIFT</v>
      </c>
      <c r="CD1530" s="59" t="n">
        <f aca="false">IF(N(AB1530)&gt;0,AB1530,0)</f>
        <v>0</v>
      </c>
      <c r="CE1530" s="53" t="n">
        <f aca="false">IF(ISNUMBER(AE1530),1,0)</f>
        <v>0</v>
      </c>
      <c r="CF1530" s="50" t="n">
        <f aca="false">N(AE1530)</f>
        <v>0</v>
      </c>
      <c r="CG1530" s="50" t="n">
        <f aca="false">N(M1530)+N(N1530)</f>
        <v>50</v>
      </c>
      <c r="CH1530" s="50" t="n">
        <f aca="false">ROUNDUP(H1530/BV1530,0)</f>
        <v>1</v>
      </c>
      <c r="CI1530" s="50" t="n">
        <f aca="false">ROUNDUP(CF1530/BV1530,0)</f>
        <v>0</v>
      </c>
      <c r="CJ1530" s="53" t="n">
        <f aca="false">IF(BW1530=1,0,IFERROR(VLOOKUP(BU1530,'Gebinde-Kategorie'!$A$5:$N$45,5,0)+0,0))</f>
        <v>21</v>
      </c>
      <c r="CK1530" s="53" t="n">
        <f aca="false">IFERROR(IF(OR(CB1530=1,CB1530=2,CB1530=3),N(INDEX(Parameter!$I$5:$I$7,CB1530)),0),0)</f>
        <v>0</v>
      </c>
      <c r="CL1530" s="52" t="n">
        <f aca="false">IF(AND(Parameter!$B$21="Ja",ISNUMBER(W1530),N(X1530)&gt;0),IFERROR(N(INDEX(Parameter!$L$5:$L$7,W1530))*INDEX(Parameter!$E$5:$E$7,W1530)*X1530/SUMIFS($X$7:$X$1843,$W$7:$W$1843,W1530),0),0)</f>
        <v>0</v>
      </c>
    </row>
    <row r="1531" customFormat="false" ht="15" hidden="false" customHeight="false" outlineLevel="0" collapsed="false">
      <c r="A1531" s="48" t="s">
        <v>2679</v>
      </c>
      <c r="B1531" s="48" t="s">
        <v>2680</v>
      </c>
      <c r="C1531" s="48" t="s">
        <v>168</v>
      </c>
      <c r="D1531" s="48" t="s">
        <v>188</v>
      </c>
      <c r="E1531" s="48" t="s">
        <v>189</v>
      </c>
      <c r="F1531" s="48"/>
      <c r="G1531" s="49" t="n">
        <v>93</v>
      </c>
      <c r="H1531" s="50" t="n">
        <f aca="false">MAX(0,IF(AND(Parameter!$B$21="Ja",ISNUMBER(Y1531)),Y1531,IF(Parameter!$B$20="Jahresanfang 2025 + Export",BO1531+BN1531,BN1531)))</f>
        <v>6</v>
      </c>
      <c r="I1531" s="50" t="n">
        <f aca="false">H1531*G1531</f>
        <v>558</v>
      </c>
      <c r="J1531" s="50" t="n">
        <f aca="false">BQ1531*Parameter!$B$18</f>
        <v>0</v>
      </c>
      <c r="K1531" s="51"/>
      <c r="L1531" s="52"/>
      <c r="M1531" s="50" t="n">
        <v>0</v>
      </c>
      <c r="N1531" s="50" t="n">
        <v>3</v>
      </c>
      <c r="O1531" s="53" t="n">
        <v>21</v>
      </c>
      <c r="P1531" s="48" t="s">
        <v>425</v>
      </c>
      <c r="Q1531" s="50" t="n">
        <v>6</v>
      </c>
      <c r="R1531" s="53" t="n">
        <f aca="false">IF(BW1531=1,0,IFERROR(VLOOKUP(BU1531,'Gebinde-Kategorie'!$A$5:$N$45,13,0)+0,0))</f>
        <v>104</v>
      </c>
      <c r="S1531" s="54"/>
      <c r="T1531" s="55"/>
      <c r="U1531" s="55"/>
      <c r="V1531" s="55"/>
      <c r="W1531" s="48"/>
      <c r="X1531" s="50"/>
      <c r="Y1531" s="50"/>
      <c r="Z1531" s="48" t="n">
        <f aca="false">IF(A1531="","",IF(AND(Parameter!$B$21="Ja",ISNUMBER(W1531)),W1531,IF(BZ1531="2+3",IF(ISNUMBER(SEARCH("grosser Artikel",BR1531)),2,IFERROR(VLOOKUP(BU1531,Parameter!$F$35:$G$64,2,0),2)),IF(OR(BZ1531="Nein",BZ1531=""),"-",BZ1531))))</f>
        <v>3</v>
      </c>
      <c r="AA1531" s="55"/>
      <c r="AB1531" s="56"/>
      <c r="AC1531" s="50" t="n">
        <f aca="false">AT1531</f>
        <v>6</v>
      </c>
      <c r="AD1531" s="50" t="n">
        <f aca="false">MAX(AT1531,H1531)</f>
        <v>6</v>
      </c>
      <c r="AE1531" s="57"/>
      <c r="AF1531" s="50" t="n">
        <f aca="false">IF(LEFT(Cockpit!$C$5,1)="A",H1531,IF(CE1531=1,CF1531,IF(LEFT(Cockpit!$C$5,1)="B",AK1531,MAX(AK1531,H1531))))</f>
        <v>6</v>
      </c>
      <c r="AG1531" s="50" t="n">
        <f aca="false">IF(BW1531=1,0,ROUNDUP(AF1531/BV1531,0))</f>
        <v>1</v>
      </c>
      <c r="AH1531" s="52" t="n">
        <f aca="false">IF(CL1531&gt;0,CL1531*MAX(1,AF1531/X1531),IF(BW1531=1,IF(AF1531&lt;=0,0,CA1531*MAX(1,IF(H1531&gt;0,AF1531/H1531,1))),IF(R1531&gt;0,AG1531/R1531,0))/MAX(0.1,N(Parameter!$M$21)))</f>
        <v>0.00961538461538462</v>
      </c>
      <c r="AI1531" s="50" t="n">
        <f aca="false">AH1531*BY1531</f>
        <v>1.49038461538462</v>
      </c>
      <c r="AJ1531" s="50" t="n">
        <f aca="false">AF1531*G1531</f>
        <v>558</v>
      </c>
      <c r="AK1531" s="50" t="n">
        <f aca="false">ROUNDUP(MAX(J1531/IF(CD1531&gt;0,CD1531,MAX(0.1,N(Cockpit!$C$6))),CG1531)/BV1531,0)*BV1531</f>
        <v>6</v>
      </c>
      <c r="AL1531" s="51" t="n">
        <f aca="false">IF(AI1531&gt;0,J1531/AI1531,-1)</f>
        <v>0</v>
      </c>
      <c r="AM1531" s="51" t="n">
        <f aca="false">IF(AND(OR(CC1531="L1",CC1531="L23",CC1531="LIFT"),AI1531&gt;0),SUMIFS($AI$7:$AI$1843,$CC$7:$CC$1843,CC1531,$AL$7:$AL$1843,"&gt;"&amp;AL1531)+SUMIFS($AI$7:$AI$1843,$CC$7:$CC$1843,CC1531,$AL$7:$AL$1843,AL1531,$BT$7:$BT$1843,"&lt;="&amp;BT1531),"")</f>
        <v>30085.0328221684</v>
      </c>
      <c r="AN1531" s="58" t="n">
        <f aca="false">IF(AM1531="",0,MAX(0,MIN(1,(IF(CC1531="L1",Parameter!$H$5,IF(CC1531="L23",Parameter!$H$6+Parameter!$H$7,Parameter!$H$5+Parameter!$H$6+Parameter!$H$7))-(AM1531-AI1531))/AI1531)))</f>
        <v>1</v>
      </c>
      <c r="AO1531" s="50" t="n">
        <f aca="false">IF(LEFT(Cockpit!$I$5,1)="A",H1531,IF(CE1531=1,CF1531,IF(LEFT(Cockpit!$I$5,1)="B",AT1531,MAX(AT1531,H1531))))</f>
        <v>6</v>
      </c>
      <c r="AP1531" s="50" t="n">
        <f aca="false">IF(BW1531=1,0,ROUNDUP(AO1531/BV1531,0))</f>
        <v>1</v>
      </c>
      <c r="AQ1531" s="52" t="n">
        <f aca="false">IF(CL1531&gt;0,CL1531*MAX(1,AO1531/X1531),IF(BW1531=1,IF(AO1531&lt;=0,0,CA1531*MAX(1,IF(H1531&gt;0,AO1531/H1531,1))),IF(R1531&gt;0,AP1531/R1531,0))/MAX(0.1,N(Parameter!$M$21)))</f>
        <v>0.00961538461538462</v>
      </c>
      <c r="AR1531" s="50" t="n">
        <f aca="false">AQ1531*BY1531</f>
        <v>1.49038461538462</v>
      </c>
      <c r="AS1531" s="50" t="n">
        <f aca="false">AO1531*G1531</f>
        <v>558</v>
      </c>
      <c r="AT1531" s="50" t="n">
        <f aca="false">ROUNDUP(MAX(J1531/IF(CD1531&gt;0,CD1531,MAX(0.1,N(Cockpit!$I$6))),CG1531)/BV1531,0)*BV1531</f>
        <v>6</v>
      </c>
      <c r="AU1531" s="51" t="n">
        <f aca="false">IF(AR1531&gt;0,J1531/AR1531,-1)</f>
        <v>0</v>
      </c>
      <c r="AV1531" s="51" t="n">
        <f aca="false">IF(AND(OR(CC1531="L1",CC1531="L23",CC1531="LIFT"),AR1531&gt;0),SUMIFS($AR$7:$AR$1843,$CC$7:$CC$1843,CC1531,$AU$7:$AU$1843,"&gt;"&amp;AU1531)+SUMIFS($AR$7:$AR$1843,$CC$7:$CC$1843,CC1531,$AU$7:$AU$1843,AU1531,$BT$7:$BT$1843,"&lt;="&amp;BT1531),"")</f>
        <v>42411.9978632479</v>
      </c>
      <c r="AW1531" s="58" t="n">
        <f aca="false">IF(AV1531="",0,MAX(0,MIN(1,(IF(CC1531="L1",Parameter!$H$5,IF(CC1531="L23",Parameter!$H$6+Parameter!$H$7,Parameter!$H$5+Parameter!$H$6+Parameter!$H$7))-(AV1531-AR1531))/AR1531)))</f>
        <v>0</v>
      </c>
      <c r="AX1531" s="50" t="n">
        <f aca="false">IF(LEFT(Cockpit!$O$5,1)="A",H1531,IF(CE1531=1,CF1531,IF(LEFT(Cockpit!$O$5,1)="B",BC1531,MAX(BC1531,H1531))))</f>
        <v>6</v>
      </c>
      <c r="AY1531" s="50" t="n">
        <f aca="false">IF(BW1531=1,0,ROUNDUP(AX1531/BV1531,0))</f>
        <v>1</v>
      </c>
      <c r="AZ1531" s="52" t="n">
        <f aca="false">IF(CL1531&gt;0,CL1531*MAX(1,AX1531/X1531),IF(BW1531=1,IF(AX1531&lt;=0,0,CA1531*MAX(1,IF(H1531&gt;0,AX1531/H1531,1))),IF(R1531&gt;0,AY1531/R1531,0))/MAX(0.1,N(Parameter!$M$21)))</f>
        <v>0.00961538461538462</v>
      </c>
      <c r="BA1531" s="50" t="n">
        <f aca="false">AZ1531*BY1531</f>
        <v>1.49038461538462</v>
      </c>
      <c r="BB1531" s="50" t="n">
        <f aca="false">AX1531*G1531</f>
        <v>558</v>
      </c>
      <c r="BC1531" s="50" t="n">
        <f aca="false">ROUNDUP(MAX(J1531/IF(CD1531&gt;0,CD1531,MAX(0.1,N(Cockpit!$O$6))),CG1531)/BV1531,0)*BV1531</f>
        <v>6</v>
      </c>
      <c r="BD1531" s="51" t="n">
        <f aca="false">IF(BA1531&gt;0,J1531/BA1531,-1)</f>
        <v>0</v>
      </c>
      <c r="BE1531" s="51" t="n">
        <f aca="false">IF(AND(OR(CC1531="L1",CC1531="L23",CC1531="LIFT"),BA1531&gt;0),SUMIFS($BA$7:$BA$1843,$CC$7:$CC$1843,CC1531,$BD$7:$BD$1843,"&gt;"&amp;BD1531)+SUMIFS($BA$7:$BA$1843,$CC$7:$CC$1843,CC1531,$BD$7:$BD$1843,BD1531,$BT$7:$BT$1843,"&lt;="&amp;BT1531),"")</f>
        <v>39087.0099051137</v>
      </c>
      <c r="BF1531" s="58" t="n">
        <f aca="false">IF(BE1531="",0,MAX(0,MIN(1,(IF(CC1531="L1",Parameter!$H$5,IF(CC1531="L23",Parameter!$H$6+Parameter!$H$7,Parameter!$H$5+Parameter!$H$6+Parameter!$H$7))-(BE1531-BA1531))/BA1531)))</f>
        <v>0</v>
      </c>
      <c r="BG1531" s="48" t="str">
        <f aca="false">IF(AI1531&lt;=0,"",IF(CC1531="Aussen","Aussenlager",IF(CC1531="-","Nicht im Lift",IF(AN1531&gt;=1,"Lift",IF(AN1531&lt;=0,"Aussenlager","teilweise")))))</f>
        <v>Lift</v>
      </c>
      <c r="BH1531" s="48" t="str">
        <f aca="false">IF(AR1531&lt;=0,"",IF(CC1531="Aussen","Aussenlager",IF(CC1531="-","Nicht im Lift",IF(AW1531&gt;=1,"Lift",IF(AW1531&lt;=0,"Aussenlager","teilweise")))))</f>
        <v>Aussenlager</v>
      </c>
      <c r="BI1531" s="48" t="str">
        <f aca="false">IF(BA1531&lt;=0,"",IF(CC1531="Aussen","Aussenlager",IF(CC1531="-","Nicht im Lift",IF(BF1531&gt;=1,"Lift",IF(BF1531&lt;=0,"Aussenlager","teilweise")))))</f>
        <v>Aussenlager</v>
      </c>
      <c r="BJ1531" s="48" t="str">
        <f aca="false">IF(A1531="","",IF(BS1531=1,"Neu; ","")&amp;IF(AND(BS1531=0,BN1531&lt;0),"negativer Bestand (Export "&amp;BN1531&amp;"); ","")&amp;IF(J1531&lt;=0,"Kein Verbrauch; ","")&amp;IF(CL1531&gt;0,"Lift "&amp;W1531&amp;" lt. Liftbericht (Fach "&amp;X1531&amp;" Stk); ",IF(BX1531=1,"Gebinde geschätzt ("&amp;T1531&amp;"); ",IF(BW1531=1,"Lose – Tablare geschätzt; ","")))&amp;IF(H1531&gt;AT1531,"Überbestand "&amp;ROUND(H1531-AT1531,0)&amp;" Stk / CHF "&amp;ROUND((H1531-AT1531)*G1531,0)&amp;"; ","")&amp;IF(AND(CE1531=1,CF1531&lt;CG1531),"MAX &lt; MB+LG; ","")&amp;IF(AND(CK1531&gt;0,CJ1531*10&gt;CK1531),"zu hoch für Tablar; ","")&amp;IF(AND(BS1531=0,OR(CE1531=1,AA1531&lt;&gt;"",U1531&lt;&gt;"",V1531&lt;&gt;"",AB1531&lt;&gt;"")),"manuell übersteuert; ","")&amp;IF(AND(BW1531=0,R1531=0),"Gebinde unbekannt / Stellmass fehlt; ","")&amp;IF(AND(BW1531=0,N(V1531)&lt;=0,N(Q1531)&lt;=0),"Menge pro Gebinde fehlt (Ist = 1 Gebinde); ","")&amp;BR1531)</f>
        <v>Kein Verbrauch; nur im Artikelstamm (Bestand 23.06.2026)</v>
      </c>
      <c r="BK1531" s="48"/>
      <c r="BL1531" s="48"/>
      <c r="BM1531" s="55"/>
      <c r="BN1531" s="50" t="n">
        <v>6</v>
      </c>
      <c r="BO1531" s="50" t="n">
        <v>0</v>
      </c>
      <c r="BP1531" s="49" t="n">
        <v>0</v>
      </c>
      <c r="BQ1531" s="50" t="n">
        <v>0</v>
      </c>
      <c r="BR1531" s="48" t="s">
        <v>2579</v>
      </c>
      <c r="BS1531" s="53" t="n">
        <v>0</v>
      </c>
      <c r="BT1531" s="53" t="n">
        <v>1531</v>
      </c>
      <c r="BU1531" s="48" t="str">
        <f aca="false">IF(U1531&lt;&gt;"",UPPER(TRIM(U1531)),IF(BX1531=1,UPPER(VLOOKUP(T1531,Parameter!$I$27:$K$29,2,0)),IF(P1531="","LOSE",P1531)))</f>
        <v>S32</v>
      </c>
      <c r="BV1531" s="50" t="n">
        <f aca="false">IF(BU1531="LOSE",1,IF(N(V1531)&gt;0,V1531,IF(BX1531=1,MAX(1,N(VLOOKUP(T1531,Parameter!$I$27:$K$29,3,0)),H1531,N(N1531)),IF(N(Q1531)&gt;0,Q1531,MAX(1,H1531)))))</f>
        <v>6</v>
      </c>
      <c r="BW1531" s="53" t="n">
        <f aca="false">IF(BU1531="LOSE",1,0)</f>
        <v>0</v>
      </c>
      <c r="BX1531" s="53" t="n">
        <f aca="false">IF(AND(U1531="",OR(P1531="",P1531="LOSE"),T1531&lt;&gt;"",N(S1531)&lt;=0,ISNUMBER(MATCH(T1531,Parameter!$I$27:$I$29,0))),1,0)</f>
        <v>0</v>
      </c>
      <c r="BY1531" s="53" t="n">
        <f aca="false">IF(CL1531&gt;0,INDEX(Parameter!$H$5:$H$7,W1531)/INDEX(Parameter!$E$5:$E$7,W1531),IF(AND(BW1531=0,N(IFERROR(VLOOKUP(BU1531,'Gebinde-Kategorie'!$A$5:$N$45,14,0),0))&gt;0),VLOOKUP(BU1531,'Gebinde-Kategorie'!$A$5:$N$45,14,0)*10+Parameter!$M$23,Parameter!$M$24))</f>
        <v>155</v>
      </c>
      <c r="BZ1531" s="48" t="str">
        <f aca="false">IF(AND(Parameter!$B$19="Ja",E1531&lt;&gt;"",ISNUMBER(MATCH(E1531,Parameter!$I$35:$I$52,0))),VLOOKUP(E1531,Parameter!$I$35:$J$52,2,0),IFERROR(VLOOKUP(D1531,Parameter!$A$35:$C$64,2,0),"Nein"))</f>
        <v>2+3</v>
      </c>
      <c r="CA1531" s="52" t="n">
        <f aca="false">IF(BW1531=0,0,IF(N(S1531)&gt;0,S1531,IFERROR(VLOOKUP(D1531,Parameter!$A$35:$C$64,3,0)+0,0)))</f>
        <v>0</v>
      </c>
      <c r="CB1531" s="48" t="n">
        <f aca="false">IF(AA1531&lt;&gt;"",AA1531,Z1531)</f>
        <v>3</v>
      </c>
      <c r="CC1531" s="48" t="str">
        <f aca="false">IF(OR(CB1531=1,CB1531=2,CB1531=3),IF(Parameter!$E$27="Ja","LIFT",IF(CB1531=1,"L1","L23")),IF(CB1531="Aussen","Aussen","-"))</f>
        <v>LIFT</v>
      </c>
      <c r="CD1531" s="59" t="n">
        <f aca="false">IF(N(AB1531)&gt;0,AB1531,0)</f>
        <v>0</v>
      </c>
      <c r="CE1531" s="53" t="n">
        <f aca="false">IF(ISNUMBER(AE1531),1,0)</f>
        <v>0</v>
      </c>
      <c r="CF1531" s="50" t="n">
        <f aca="false">N(AE1531)</f>
        <v>0</v>
      </c>
      <c r="CG1531" s="50" t="n">
        <f aca="false">N(M1531)+N(N1531)</f>
        <v>3</v>
      </c>
      <c r="CH1531" s="50" t="n">
        <f aca="false">ROUNDUP(H1531/BV1531,0)</f>
        <v>1</v>
      </c>
      <c r="CI1531" s="50" t="n">
        <f aca="false">ROUNDUP(CF1531/BV1531,0)</f>
        <v>0</v>
      </c>
      <c r="CJ1531" s="53" t="n">
        <f aca="false">IF(BW1531=1,0,IFERROR(VLOOKUP(BU1531,'Gebinde-Kategorie'!$A$5:$N$45,5,0)+0,0))</f>
        <v>8</v>
      </c>
      <c r="CK1531" s="53" t="n">
        <f aca="false">IFERROR(IF(OR(CB1531=1,CB1531=2,CB1531=3),N(INDEX(Parameter!$I$5:$I$7,CB1531)),0),0)</f>
        <v>0</v>
      </c>
      <c r="CL1531" s="52" t="n">
        <f aca="false">IF(AND(Parameter!$B$21="Ja",ISNUMBER(W1531),N(X1531)&gt;0),IFERROR(N(INDEX(Parameter!$L$5:$L$7,W1531))*INDEX(Parameter!$E$5:$E$7,W1531)*X1531/SUMIFS($X$7:$X$1843,$W$7:$W$1843,W1531),0),0)</f>
        <v>0</v>
      </c>
    </row>
    <row r="1532" customFormat="false" ht="15" hidden="false" customHeight="false" outlineLevel="0" collapsed="false">
      <c r="A1532" s="48" t="s">
        <v>2681</v>
      </c>
      <c r="B1532" s="48" t="s">
        <v>2682</v>
      </c>
      <c r="C1532" s="48" t="s">
        <v>168</v>
      </c>
      <c r="D1532" s="48" t="s">
        <v>188</v>
      </c>
      <c r="E1532" s="48" t="s">
        <v>189</v>
      </c>
      <c r="F1532" s="48"/>
      <c r="G1532" s="49" t="n">
        <v>109.75</v>
      </c>
      <c r="H1532" s="50" t="n">
        <f aca="false">MAX(0,IF(AND(Parameter!$B$21="Ja",ISNUMBER(Y1532)),Y1532,IF(Parameter!$B$20="Jahresanfang 2025 + Export",BO1532+BN1532,BN1532)))</f>
        <v>7</v>
      </c>
      <c r="I1532" s="50" t="n">
        <f aca="false">H1532*G1532</f>
        <v>768.25</v>
      </c>
      <c r="J1532" s="50" t="n">
        <f aca="false">BQ1532*Parameter!$B$18</f>
        <v>0</v>
      </c>
      <c r="K1532" s="51"/>
      <c r="L1532" s="52"/>
      <c r="M1532" s="50" t="n">
        <v>0</v>
      </c>
      <c r="N1532" s="50" t="n">
        <v>1</v>
      </c>
      <c r="O1532" s="53" t="n">
        <v>42</v>
      </c>
      <c r="P1532" s="48" t="s">
        <v>306</v>
      </c>
      <c r="Q1532" s="50" t="n">
        <v>7</v>
      </c>
      <c r="R1532" s="53" t="n">
        <f aca="false">IF(BW1532=1,0,IFERROR(VLOOKUP(BU1532,'Gebinde-Kategorie'!$A$5:$N$45,13,0)+0,0))</f>
        <v>26</v>
      </c>
      <c r="S1532" s="54"/>
      <c r="T1532" s="55"/>
      <c r="U1532" s="55"/>
      <c r="V1532" s="55"/>
      <c r="W1532" s="48"/>
      <c r="X1532" s="50"/>
      <c r="Y1532" s="50"/>
      <c r="Z1532" s="48" t="n">
        <f aca="false">IF(A1532="","",IF(AND(Parameter!$B$21="Ja",ISNUMBER(W1532)),W1532,IF(BZ1532="2+3",IF(ISNUMBER(SEARCH("grosser Artikel",BR1532)),2,IFERROR(VLOOKUP(BU1532,Parameter!$F$35:$G$64,2,0),2)),IF(OR(BZ1532="Nein",BZ1532=""),"-",BZ1532))))</f>
        <v>3</v>
      </c>
      <c r="AA1532" s="55"/>
      <c r="AB1532" s="56"/>
      <c r="AC1532" s="50" t="n">
        <f aca="false">AT1532</f>
        <v>7</v>
      </c>
      <c r="AD1532" s="50" t="n">
        <f aca="false">MAX(AT1532,H1532)</f>
        <v>7</v>
      </c>
      <c r="AE1532" s="57"/>
      <c r="AF1532" s="50" t="n">
        <f aca="false">IF(LEFT(Cockpit!$C$5,1)="A",H1532,IF(CE1532=1,CF1532,IF(LEFT(Cockpit!$C$5,1)="B",AK1532,MAX(AK1532,H1532))))</f>
        <v>7</v>
      </c>
      <c r="AG1532" s="50" t="n">
        <f aca="false">IF(BW1532=1,0,ROUNDUP(AF1532/BV1532,0))</f>
        <v>1</v>
      </c>
      <c r="AH1532" s="52" t="n">
        <f aca="false">IF(CL1532&gt;0,CL1532*MAX(1,AF1532/X1532),IF(BW1532=1,IF(AF1532&lt;=0,0,CA1532*MAX(1,IF(H1532&gt;0,AF1532/H1532,1))),IF(R1532&gt;0,AG1532/R1532,0))/MAX(0.1,N(Parameter!$M$21)))</f>
        <v>0.0384615384615385</v>
      </c>
      <c r="AI1532" s="50" t="n">
        <f aca="false">AH1532*BY1532</f>
        <v>5.96153846153846</v>
      </c>
      <c r="AJ1532" s="50" t="n">
        <f aca="false">AF1532*G1532</f>
        <v>768.25</v>
      </c>
      <c r="AK1532" s="50" t="n">
        <f aca="false">ROUNDUP(MAX(J1532/IF(CD1532&gt;0,CD1532,MAX(0.1,N(Cockpit!$C$6))),CG1532)/BV1532,0)*BV1532</f>
        <v>7</v>
      </c>
      <c r="AL1532" s="51" t="n">
        <f aca="false">IF(AI1532&gt;0,J1532/AI1532,-1)</f>
        <v>0</v>
      </c>
      <c r="AM1532" s="51" t="n">
        <f aca="false">IF(AND(OR(CC1532="L1",CC1532="L23",CC1532="LIFT"),AI1532&gt;0),SUMIFS($AI$7:$AI$1843,$CC$7:$CC$1843,CC1532,$AL$7:$AL$1843,"&gt;"&amp;AL1532)+SUMIFS($AI$7:$AI$1843,$CC$7:$CC$1843,CC1532,$AL$7:$AL$1843,AL1532,$BT$7:$BT$1843,"&lt;="&amp;BT1532),"")</f>
        <v>30090.99436063</v>
      </c>
      <c r="AN1532" s="58" t="n">
        <f aca="false">IF(AM1532="",0,MAX(0,MIN(1,(IF(CC1532="L1",Parameter!$H$5,IF(CC1532="L23",Parameter!$H$6+Parameter!$H$7,Parameter!$H$5+Parameter!$H$6+Parameter!$H$7))-(AM1532-AI1532))/AI1532)))</f>
        <v>1</v>
      </c>
      <c r="AO1532" s="50" t="n">
        <f aca="false">IF(LEFT(Cockpit!$I$5,1)="A",H1532,IF(CE1532=1,CF1532,IF(LEFT(Cockpit!$I$5,1)="B",AT1532,MAX(AT1532,H1532))))</f>
        <v>7</v>
      </c>
      <c r="AP1532" s="50" t="n">
        <f aca="false">IF(BW1532=1,0,ROUNDUP(AO1532/BV1532,0))</f>
        <v>1</v>
      </c>
      <c r="AQ1532" s="52" t="n">
        <f aca="false">IF(CL1532&gt;0,CL1532*MAX(1,AO1532/X1532),IF(BW1532=1,IF(AO1532&lt;=0,0,CA1532*MAX(1,IF(H1532&gt;0,AO1532/H1532,1))),IF(R1532&gt;0,AP1532/R1532,0))/MAX(0.1,N(Parameter!$M$21)))</f>
        <v>0.0384615384615385</v>
      </c>
      <c r="AR1532" s="50" t="n">
        <f aca="false">AQ1532*BY1532</f>
        <v>5.96153846153846</v>
      </c>
      <c r="AS1532" s="50" t="n">
        <f aca="false">AO1532*G1532</f>
        <v>768.25</v>
      </c>
      <c r="AT1532" s="50" t="n">
        <f aca="false">ROUNDUP(MAX(J1532/IF(CD1532&gt;0,CD1532,MAX(0.1,N(Cockpit!$I$6))),CG1532)/BV1532,0)*BV1532</f>
        <v>7</v>
      </c>
      <c r="AU1532" s="51" t="n">
        <f aca="false">IF(AR1532&gt;0,J1532/AR1532,-1)</f>
        <v>0</v>
      </c>
      <c r="AV1532" s="51" t="n">
        <f aca="false">IF(AND(OR(CC1532="L1",CC1532="L23",CC1532="LIFT"),AR1532&gt;0),SUMIFS($AR$7:$AR$1843,$CC$7:$CC$1843,CC1532,$AU$7:$AU$1843,"&gt;"&amp;AU1532)+SUMIFS($AR$7:$AR$1843,$CC$7:$CC$1843,CC1532,$AU$7:$AU$1843,AU1532,$BT$7:$BT$1843,"&lt;="&amp;BT1532),"")</f>
        <v>42417.9594017094</v>
      </c>
      <c r="AW1532" s="58" t="n">
        <f aca="false">IF(AV1532="",0,MAX(0,MIN(1,(IF(CC1532="L1",Parameter!$H$5,IF(CC1532="L23",Parameter!$H$6+Parameter!$H$7,Parameter!$H$5+Parameter!$H$6+Parameter!$H$7))-(AV1532-AR1532))/AR1532)))</f>
        <v>0</v>
      </c>
      <c r="AX1532" s="50" t="n">
        <f aca="false">IF(LEFT(Cockpit!$O$5,1)="A",H1532,IF(CE1532=1,CF1532,IF(LEFT(Cockpit!$O$5,1)="B",BC1532,MAX(BC1532,H1532))))</f>
        <v>7</v>
      </c>
      <c r="AY1532" s="50" t="n">
        <f aca="false">IF(BW1532=1,0,ROUNDUP(AX1532/BV1532,0))</f>
        <v>1</v>
      </c>
      <c r="AZ1532" s="52" t="n">
        <f aca="false">IF(CL1532&gt;0,CL1532*MAX(1,AX1532/X1532),IF(BW1532=1,IF(AX1532&lt;=0,0,CA1532*MAX(1,IF(H1532&gt;0,AX1532/H1532,1))),IF(R1532&gt;0,AY1532/R1532,0))/MAX(0.1,N(Parameter!$M$21)))</f>
        <v>0.0384615384615385</v>
      </c>
      <c r="BA1532" s="50" t="n">
        <f aca="false">AZ1532*BY1532</f>
        <v>5.96153846153846</v>
      </c>
      <c r="BB1532" s="50" t="n">
        <f aca="false">AX1532*G1532</f>
        <v>768.25</v>
      </c>
      <c r="BC1532" s="50" t="n">
        <f aca="false">ROUNDUP(MAX(J1532/IF(CD1532&gt;0,CD1532,MAX(0.1,N(Cockpit!$O$6))),CG1532)/BV1532,0)*BV1532</f>
        <v>7</v>
      </c>
      <c r="BD1532" s="51" t="n">
        <f aca="false">IF(BA1532&gt;0,J1532/BA1532,-1)</f>
        <v>0</v>
      </c>
      <c r="BE1532" s="51" t="n">
        <f aca="false">IF(AND(OR(CC1532="L1",CC1532="L23",CC1532="LIFT"),BA1532&gt;0),SUMIFS($BA$7:$BA$1843,$CC$7:$CC$1843,CC1532,$BD$7:$BD$1843,"&gt;"&amp;BD1532)+SUMIFS($BA$7:$BA$1843,$CC$7:$CC$1843,CC1532,$BD$7:$BD$1843,BD1532,$BT$7:$BT$1843,"&lt;="&amp;BT1532),"")</f>
        <v>39092.9714435753</v>
      </c>
      <c r="BF1532" s="58" t="n">
        <f aca="false">IF(BE1532="",0,MAX(0,MIN(1,(IF(CC1532="L1",Parameter!$H$5,IF(CC1532="L23",Parameter!$H$6+Parameter!$H$7,Parameter!$H$5+Parameter!$H$6+Parameter!$H$7))-(BE1532-BA1532))/BA1532)))</f>
        <v>0</v>
      </c>
      <c r="BG1532" s="48" t="str">
        <f aca="false">IF(AI1532&lt;=0,"",IF(CC1532="Aussen","Aussenlager",IF(CC1532="-","Nicht im Lift",IF(AN1532&gt;=1,"Lift",IF(AN1532&lt;=0,"Aussenlager","teilweise")))))</f>
        <v>Lift</v>
      </c>
      <c r="BH1532" s="48" t="str">
        <f aca="false">IF(AR1532&lt;=0,"",IF(CC1532="Aussen","Aussenlager",IF(CC1532="-","Nicht im Lift",IF(AW1532&gt;=1,"Lift",IF(AW1532&lt;=0,"Aussenlager","teilweise")))))</f>
        <v>Aussenlager</v>
      </c>
      <c r="BI1532" s="48" t="str">
        <f aca="false">IF(BA1532&lt;=0,"",IF(CC1532="Aussen","Aussenlager",IF(CC1532="-","Nicht im Lift",IF(BF1532&gt;=1,"Lift",IF(BF1532&lt;=0,"Aussenlager","teilweise")))))</f>
        <v>Aussenlager</v>
      </c>
      <c r="BJ1532" s="48" t="str">
        <f aca="false">IF(A1532="","",IF(BS1532=1,"Neu; ","")&amp;IF(AND(BS1532=0,BN1532&lt;0),"negativer Bestand (Export "&amp;BN1532&amp;"); ","")&amp;IF(J1532&lt;=0,"Kein Verbrauch; ","")&amp;IF(CL1532&gt;0,"Lift "&amp;W1532&amp;" lt. Liftbericht (Fach "&amp;X1532&amp;" Stk); ",IF(BX1532=1,"Gebinde geschätzt ("&amp;T1532&amp;"); ",IF(BW1532=1,"Lose – Tablare geschätzt; ","")))&amp;IF(H1532&gt;AT1532,"Überbestand "&amp;ROUND(H1532-AT1532,0)&amp;" Stk / CHF "&amp;ROUND((H1532-AT1532)*G1532,0)&amp;"; ","")&amp;IF(AND(CE1532=1,CF1532&lt;CG1532),"MAX &lt; MB+LG; ","")&amp;IF(AND(CK1532&gt;0,CJ1532*10&gt;CK1532),"zu hoch für Tablar; ","")&amp;IF(AND(BS1532=0,OR(CE1532=1,AA1532&lt;&gt;"",U1532&lt;&gt;"",V1532&lt;&gt;"",AB1532&lt;&gt;"")),"manuell übersteuert; ","")&amp;IF(AND(BW1532=0,R1532=0),"Gebinde unbekannt / Stellmass fehlt; ","")&amp;IF(AND(BW1532=0,N(V1532)&lt;=0,N(Q1532)&lt;=0),"Menge pro Gebinde fehlt (Ist = 1 Gebinde); ","")&amp;BR1532)</f>
        <v>Kein Verbrauch; nur im Artikelstamm (Bestand 23.06.2026); B&amp;R</v>
      </c>
      <c r="BK1532" s="48"/>
      <c r="BL1532" s="48"/>
      <c r="BM1532" s="55"/>
      <c r="BN1532" s="50" t="n">
        <v>7</v>
      </c>
      <c r="BO1532" s="50" t="n">
        <v>0</v>
      </c>
      <c r="BP1532" s="49" t="n">
        <v>0</v>
      </c>
      <c r="BQ1532" s="50" t="n">
        <v>0</v>
      </c>
      <c r="BR1532" s="48" t="s">
        <v>2683</v>
      </c>
      <c r="BS1532" s="53" t="n">
        <v>0</v>
      </c>
      <c r="BT1532" s="53" t="n">
        <v>1532</v>
      </c>
      <c r="BU1532" s="48" t="str">
        <f aca="false">IF(U1532&lt;&gt;"",UPPER(TRIM(U1532)),IF(BX1532=1,UPPER(VLOOKUP(T1532,Parameter!$I$27:$K$29,2,0)),IF(P1532="","LOSE",P1532)))</f>
        <v>S51</v>
      </c>
      <c r="BV1532" s="50" t="n">
        <f aca="false">IF(BU1532="LOSE",1,IF(N(V1532)&gt;0,V1532,IF(BX1532=1,MAX(1,N(VLOOKUP(T1532,Parameter!$I$27:$K$29,3,0)),H1532,N(N1532)),IF(N(Q1532)&gt;0,Q1532,MAX(1,H1532)))))</f>
        <v>7</v>
      </c>
      <c r="BW1532" s="53" t="n">
        <f aca="false">IF(BU1532="LOSE",1,0)</f>
        <v>0</v>
      </c>
      <c r="BX1532" s="53" t="n">
        <f aca="false">IF(AND(U1532="",OR(P1532="",P1532="LOSE"),T1532&lt;&gt;"",N(S1532)&lt;=0,ISNUMBER(MATCH(T1532,Parameter!$I$27:$I$29,0))),1,0)</f>
        <v>0</v>
      </c>
      <c r="BY1532" s="53" t="n">
        <f aca="false">IF(CL1532&gt;0,INDEX(Parameter!$H$5:$H$7,W1532)/INDEX(Parameter!$E$5:$E$7,W1532),IF(AND(BW1532=0,N(IFERROR(VLOOKUP(BU1532,'Gebinde-Kategorie'!$A$5:$N$45,14,0),0))&gt;0),VLOOKUP(BU1532,'Gebinde-Kategorie'!$A$5:$N$45,14,0)*10+Parameter!$M$23,Parameter!$M$24))</f>
        <v>155</v>
      </c>
      <c r="BZ1532" s="48" t="str">
        <f aca="false">IF(AND(Parameter!$B$19="Ja",E1532&lt;&gt;"",ISNUMBER(MATCH(E1532,Parameter!$I$35:$I$52,0))),VLOOKUP(E1532,Parameter!$I$35:$J$52,2,0),IFERROR(VLOOKUP(D1532,Parameter!$A$35:$C$64,2,0),"Nein"))</f>
        <v>2+3</v>
      </c>
      <c r="CA1532" s="52" t="n">
        <f aca="false">IF(BW1532=0,0,IF(N(S1532)&gt;0,S1532,IFERROR(VLOOKUP(D1532,Parameter!$A$35:$C$64,3,0)+0,0)))</f>
        <v>0</v>
      </c>
      <c r="CB1532" s="48" t="n">
        <f aca="false">IF(AA1532&lt;&gt;"",AA1532,Z1532)</f>
        <v>3</v>
      </c>
      <c r="CC1532" s="48" t="str">
        <f aca="false">IF(OR(CB1532=1,CB1532=2,CB1532=3),IF(Parameter!$E$27="Ja","LIFT",IF(CB1532=1,"L1","L23")),IF(CB1532="Aussen","Aussen","-"))</f>
        <v>LIFT</v>
      </c>
      <c r="CD1532" s="59" t="n">
        <f aca="false">IF(N(AB1532)&gt;0,AB1532,0)</f>
        <v>0</v>
      </c>
      <c r="CE1532" s="53" t="n">
        <f aca="false">IF(ISNUMBER(AE1532),1,0)</f>
        <v>0</v>
      </c>
      <c r="CF1532" s="50" t="n">
        <f aca="false">N(AE1532)</f>
        <v>0</v>
      </c>
      <c r="CG1532" s="50" t="n">
        <f aca="false">N(M1532)+N(N1532)</f>
        <v>1</v>
      </c>
      <c r="CH1532" s="50" t="n">
        <f aca="false">ROUNDUP(H1532/BV1532,0)</f>
        <v>1</v>
      </c>
      <c r="CI1532" s="50" t="n">
        <f aca="false">ROUNDUP(CF1532/BV1532,0)</f>
        <v>0</v>
      </c>
      <c r="CJ1532" s="53" t="n">
        <f aca="false">IF(BW1532=1,0,IFERROR(VLOOKUP(BU1532,'Gebinde-Kategorie'!$A$5:$N$45,5,0)+0,0))</f>
        <v>11</v>
      </c>
      <c r="CK1532" s="53" t="n">
        <f aca="false">IFERROR(IF(OR(CB1532=1,CB1532=2,CB1532=3),N(INDEX(Parameter!$I$5:$I$7,CB1532)),0),0)</f>
        <v>0</v>
      </c>
      <c r="CL1532" s="52" t="n">
        <f aca="false">IF(AND(Parameter!$B$21="Ja",ISNUMBER(W1532),N(X1532)&gt;0),IFERROR(N(INDEX(Parameter!$L$5:$L$7,W1532))*INDEX(Parameter!$E$5:$E$7,W1532)*X1532/SUMIFS($X$7:$X$1843,$W$7:$W$1843,W1532),0),0)</f>
        <v>0</v>
      </c>
    </row>
    <row r="1533" customFormat="false" ht="15" hidden="false" customHeight="false" outlineLevel="0" collapsed="false">
      <c r="A1533" s="48" t="s">
        <v>2684</v>
      </c>
      <c r="B1533" s="48" t="s">
        <v>2685</v>
      </c>
      <c r="C1533" s="48" t="s">
        <v>168</v>
      </c>
      <c r="D1533" s="48" t="s">
        <v>188</v>
      </c>
      <c r="E1533" s="48" t="s">
        <v>189</v>
      </c>
      <c r="F1533" s="48"/>
      <c r="G1533" s="49" t="n">
        <v>139.8</v>
      </c>
      <c r="H1533" s="50" t="n">
        <f aca="false">MAX(0,IF(AND(Parameter!$B$21="Ja",ISNUMBER(Y1533)),Y1533,IF(Parameter!$B$20="Jahresanfang 2025 + Export",BO1533+BN1533,BN1533)))</f>
        <v>6</v>
      </c>
      <c r="I1533" s="50" t="n">
        <f aca="false">H1533*G1533</f>
        <v>838.8</v>
      </c>
      <c r="J1533" s="50" t="n">
        <f aca="false">BQ1533*Parameter!$B$18</f>
        <v>0</v>
      </c>
      <c r="K1533" s="51"/>
      <c r="L1533" s="52"/>
      <c r="M1533" s="50" t="n">
        <v>0</v>
      </c>
      <c r="N1533" s="50" t="n">
        <v>1</v>
      </c>
      <c r="O1533" s="53" t="n">
        <v>30</v>
      </c>
      <c r="P1533" s="48" t="s">
        <v>306</v>
      </c>
      <c r="Q1533" s="50" t="n">
        <v>6</v>
      </c>
      <c r="R1533" s="53" t="n">
        <f aca="false">IF(BW1533=1,0,IFERROR(VLOOKUP(BU1533,'Gebinde-Kategorie'!$A$5:$N$45,13,0)+0,0))</f>
        <v>26</v>
      </c>
      <c r="S1533" s="54"/>
      <c r="T1533" s="55"/>
      <c r="U1533" s="55"/>
      <c r="V1533" s="55"/>
      <c r="W1533" s="48"/>
      <c r="X1533" s="50"/>
      <c r="Y1533" s="50"/>
      <c r="Z1533" s="48" t="n">
        <f aca="false">IF(A1533="","",IF(AND(Parameter!$B$21="Ja",ISNUMBER(W1533)),W1533,IF(BZ1533="2+3",IF(ISNUMBER(SEARCH("grosser Artikel",BR1533)),2,IFERROR(VLOOKUP(BU1533,Parameter!$F$35:$G$64,2,0),2)),IF(OR(BZ1533="Nein",BZ1533=""),"-",BZ1533))))</f>
        <v>3</v>
      </c>
      <c r="AA1533" s="55"/>
      <c r="AB1533" s="56"/>
      <c r="AC1533" s="50" t="n">
        <f aca="false">AT1533</f>
        <v>6</v>
      </c>
      <c r="AD1533" s="50" t="n">
        <f aca="false">MAX(AT1533,H1533)</f>
        <v>6</v>
      </c>
      <c r="AE1533" s="57"/>
      <c r="AF1533" s="50" t="n">
        <f aca="false">IF(LEFT(Cockpit!$C$5,1)="A",H1533,IF(CE1533=1,CF1533,IF(LEFT(Cockpit!$C$5,1)="B",AK1533,MAX(AK1533,H1533))))</f>
        <v>6</v>
      </c>
      <c r="AG1533" s="50" t="n">
        <f aca="false">IF(BW1533=1,0,ROUNDUP(AF1533/BV1533,0))</f>
        <v>1</v>
      </c>
      <c r="AH1533" s="52" t="n">
        <f aca="false">IF(CL1533&gt;0,CL1533*MAX(1,AF1533/X1533),IF(BW1533=1,IF(AF1533&lt;=0,0,CA1533*MAX(1,IF(H1533&gt;0,AF1533/H1533,1))),IF(R1533&gt;0,AG1533/R1533,0))/MAX(0.1,N(Parameter!$M$21)))</f>
        <v>0.0384615384615385</v>
      </c>
      <c r="AI1533" s="50" t="n">
        <f aca="false">AH1533*BY1533</f>
        <v>5.96153846153846</v>
      </c>
      <c r="AJ1533" s="50" t="n">
        <f aca="false">AF1533*G1533</f>
        <v>838.8</v>
      </c>
      <c r="AK1533" s="50" t="n">
        <f aca="false">ROUNDUP(MAX(J1533/IF(CD1533&gt;0,CD1533,MAX(0.1,N(Cockpit!$C$6))),CG1533)/BV1533,0)*BV1533</f>
        <v>6</v>
      </c>
      <c r="AL1533" s="51" t="n">
        <f aca="false">IF(AI1533&gt;0,J1533/AI1533,-1)</f>
        <v>0</v>
      </c>
      <c r="AM1533" s="51" t="n">
        <f aca="false">IF(AND(OR(CC1533="L1",CC1533="L23",CC1533="LIFT"),AI1533&gt;0),SUMIFS($AI$7:$AI$1843,$CC$7:$CC$1843,CC1533,$AL$7:$AL$1843,"&gt;"&amp;AL1533)+SUMIFS($AI$7:$AI$1843,$CC$7:$CC$1843,CC1533,$AL$7:$AL$1843,AL1533,$BT$7:$BT$1843,"&lt;="&amp;BT1533),"")</f>
        <v>30096.9558990915</v>
      </c>
      <c r="AN1533" s="58" t="n">
        <f aca="false">IF(AM1533="",0,MAX(0,MIN(1,(IF(CC1533="L1",Parameter!$H$5,IF(CC1533="L23",Parameter!$H$6+Parameter!$H$7,Parameter!$H$5+Parameter!$H$6+Parameter!$H$7))-(AM1533-AI1533))/AI1533)))</f>
        <v>1</v>
      </c>
      <c r="AO1533" s="50" t="n">
        <f aca="false">IF(LEFT(Cockpit!$I$5,1)="A",H1533,IF(CE1533=1,CF1533,IF(LEFT(Cockpit!$I$5,1)="B",AT1533,MAX(AT1533,H1533))))</f>
        <v>6</v>
      </c>
      <c r="AP1533" s="50" t="n">
        <f aca="false">IF(BW1533=1,0,ROUNDUP(AO1533/BV1533,0))</f>
        <v>1</v>
      </c>
      <c r="AQ1533" s="52" t="n">
        <f aca="false">IF(CL1533&gt;0,CL1533*MAX(1,AO1533/X1533),IF(BW1533=1,IF(AO1533&lt;=0,0,CA1533*MAX(1,IF(H1533&gt;0,AO1533/H1533,1))),IF(R1533&gt;0,AP1533/R1533,0))/MAX(0.1,N(Parameter!$M$21)))</f>
        <v>0.0384615384615385</v>
      </c>
      <c r="AR1533" s="50" t="n">
        <f aca="false">AQ1533*BY1533</f>
        <v>5.96153846153846</v>
      </c>
      <c r="AS1533" s="50" t="n">
        <f aca="false">AO1533*G1533</f>
        <v>838.8</v>
      </c>
      <c r="AT1533" s="50" t="n">
        <f aca="false">ROUNDUP(MAX(J1533/IF(CD1533&gt;0,CD1533,MAX(0.1,N(Cockpit!$I$6))),CG1533)/BV1533,0)*BV1533</f>
        <v>6</v>
      </c>
      <c r="AU1533" s="51" t="n">
        <f aca="false">IF(AR1533&gt;0,J1533/AR1533,-1)</f>
        <v>0</v>
      </c>
      <c r="AV1533" s="51" t="n">
        <f aca="false">IF(AND(OR(CC1533="L1",CC1533="L23",CC1533="LIFT"),AR1533&gt;0),SUMIFS($AR$7:$AR$1843,$CC$7:$CC$1843,CC1533,$AU$7:$AU$1843,"&gt;"&amp;AU1533)+SUMIFS($AR$7:$AR$1843,$CC$7:$CC$1843,CC1533,$AU$7:$AU$1843,AU1533,$BT$7:$BT$1843,"&lt;="&amp;BT1533),"")</f>
        <v>42423.9209401709</v>
      </c>
      <c r="AW1533" s="58" t="n">
        <f aca="false">IF(AV1533="",0,MAX(0,MIN(1,(IF(CC1533="L1",Parameter!$H$5,IF(CC1533="L23",Parameter!$H$6+Parameter!$H$7,Parameter!$H$5+Parameter!$H$6+Parameter!$H$7))-(AV1533-AR1533))/AR1533)))</f>
        <v>0</v>
      </c>
      <c r="AX1533" s="50" t="n">
        <f aca="false">IF(LEFT(Cockpit!$O$5,1)="A",H1533,IF(CE1533=1,CF1533,IF(LEFT(Cockpit!$O$5,1)="B",BC1533,MAX(BC1533,H1533))))</f>
        <v>6</v>
      </c>
      <c r="AY1533" s="50" t="n">
        <f aca="false">IF(BW1533=1,0,ROUNDUP(AX1533/BV1533,0))</f>
        <v>1</v>
      </c>
      <c r="AZ1533" s="52" t="n">
        <f aca="false">IF(CL1533&gt;0,CL1533*MAX(1,AX1533/X1533),IF(BW1533=1,IF(AX1533&lt;=0,0,CA1533*MAX(1,IF(H1533&gt;0,AX1533/H1533,1))),IF(R1533&gt;0,AY1533/R1533,0))/MAX(0.1,N(Parameter!$M$21)))</f>
        <v>0.0384615384615385</v>
      </c>
      <c r="BA1533" s="50" t="n">
        <f aca="false">AZ1533*BY1533</f>
        <v>5.96153846153846</v>
      </c>
      <c r="BB1533" s="50" t="n">
        <f aca="false">AX1533*G1533</f>
        <v>838.8</v>
      </c>
      <c r="BC1533" s="50" t="n">
        <f aca="false">ROUNDUP(MAX(J1533/IF(CD1533&gt;0,CD1533,MAX(0.1,N(Cockpit!$O$6))),CG1533)/BV1533,0)*BV1533</f>
        <v>6</v>
      </c>
      <c r="BD1533" s="51" t="n">
        <f aca="false">IF(BA1533&gt;0,J1533/BA1533,-1)</f>
        <v>0</v>
      </c>
      <c r="BE1533" s="51" t="n">
        <f aca="false">IF(AND(OR(CC1533="L1",CC1533="L23",CC1533="LIFT"),BA1533&gt;0),SUMIFS($BA$7:$BA$1843,$CC$7:$CC$1843,CC1533,$BD$7:$BD$1843,"&gt;"&amp;BD1533)+SUMIFS($BA$7:$BA$1843,$CC$7:$CC$1843,CC1533,$BD$7:$BD$1843,BD1533,$BT$7:$BT$1843,"&lt;="&amp;BT1533),"")</f>
        <v>39098.9329820368</v>
      </c>
      <c r="BF1533" s="58" t="n">
        <f aca="false">IF(BE1533="",0,MAX(0,MIN(1,(IF(CC1533="L1",Parameter!$H$5,IF(CC1533="L23",Parameter!$H$6+Parameter!$H$7,Parameter!$H$5+Parameter!$H$6+Parameter!$H$7))-(BE1533-BA1533))/BA1533)))</f>
        <v>0</v>
      </c>
      <c r="BG1533" s="48" t="str">
        <f aca="false">IF(AI1533&lt;=0,"",IF(CC1533="Aussen","Aussenlager",IF(CC1533="-","Nicht im Lift",IF(AN1533&gt;=1,"Lift",IF(AN1533&lt;=0,"Aussenlager","teilweise")))))</f>
        <v>Lift</v>
      </c>
      <c r="BH1533" s="48" t="str">
        <f aca="false">IF(AR1533&lt;=0,"",IF(CC1533="Aussen","Aussenlager",IF(CC1533="-","Nicht im Lift",IF(AW1533&gt;=1,"Lift",IF(AW1533&lt;=0,"Aussenlager","teilweise")))))</f>
        <v>Aussenlager</v>
      </c>
      <c r="BI1533" s="48" t="str">
        <f aca="false">IF(BA1533&lt;=0,"",IF(CC1533="Aussen","Aussenlager",IF(CC1533="-","Nicht im Lift",IF(BF1533&gt;=1,"Lift",IF(BF1533&lt;=0,"Aussenlager","teilweise")))))</f>
        <v>Aussenlager</v>
      </c>
      <c r="BJ1533" s="48" t="str">
        <f aca="false">IF(A1533="","",IF(BS1533=1,"Neu; ","")&amp;IF(AND(BS1533=0,BN1533&lt;0),"negativer Bestand (Export "&amp;BN1533&amp;"); ","")&amp;IF(J1533&lt;=0,"Kein Verbrauch; ","")&amp;IF(CL1533&gt;0,"Lift "&amp;W1533&amp;" lt. Liftbericht (Fach "&amp;X1533&amp;" Stk); ",IF(BX1533=1,"Gebinde geschätzt ("&amp;T1533&amp;"); ",IF(BW1533=1,"Lose – Tablare geschätzt; ","")))&amp;IF(H1533&gt;AT1533,"Überbestand "&amp;ROUND(H1533-AT1533,0)&amp;" Stk / CHF "&amp;ROUND((H1533-AT1533)*G1533,0)&amp;"; ","")&amp;IF(AND(CE1533=1,CF1533&lt;CG1533),"MAX &lt; MB+LG; ","")&amp;IF(AND(CK1533&gt;0,CJ1533*10&gt;CK1533),"zu hoch für Tablar; ","")&amp;IF(AND(BS1533=0,OR(CE1533=1,AA1533&lt;&gt;"",U1533&lt;&gt;"",V1533&lt;&gt;"",AB1533&lt;&gt;"")),"manuell übersteuert; ","")&amp;IF(AND(BW1533=0,R1533=0),"Gebinde unbekannt / Stellmass fehlt; ","")&amp;IF(AND(BW1533=0,N(V1533)&lt;=0,N(Q1533)&lt;=0),"Menge pro Gebinde fehlt (Ist = 1 Gebinde); ","")&amp;BR1533)</f>
        <v>Kein Verbrauch; nur im Artikelstamm (Bestand 23.06.2026)</v>
      </c>
      <c r="BK1533" s="48"/>
      <c r="BL1533" s="48"/>
      <c r="BM1533" s="55"/>
      <c r="BN1533" s="50" t="n">
        <v>6</v>
      </c>
      <c r="BO1533" s="50" t="n">
        <v>0</v>
      </c>
      <c r="BP1533" s="49" t="n">
        <v>0</v>
      </c>
      <c r="BQ1533" s="50" t="n">
        <v>0</v>
      </c>
      <c r="BR1533" s="48" t="s">
        <v>2579</v>
      </c>
      <c r="BS1533" s="53" t="n">
        <v>0</v>
      </c>
      <c r="BT1533" s="53" t="n">
        <v>1533</v>
      </c>
      <c r="BU1533" s="48" t="str">
        <f aca="false">IF(U1533&lt;&gt;"",UPPER(TRIM(U1533)),IF(BX1533=1,UPPER(VLOOKUP(T1533,Parameter!$I$27:$K$29,2,0)),IF(P1533="","LOSE",P1533)))</f>
        <v>S51</v>
      </c>
      <c r="BV1533" s="50" t="n">
        <f aca="false">IF(BU1533="LOSE",1,IF(N(V1533)&gt;0,V1533,IF(BX1533=1,MAX(1,N(VLOOKUP(T1533,Parameter!$I$27:$K$29,3,0)),H1533,N(N1533)),IF(N(Q1533)&gt;0,Q1533,MAX(1,H1533)))))</f>
        <v>6</v>
      </c>
      <c r="BW1533" s="53" t="n">
        <f aca="false">IF(BU1533="LOSE",1,0)</f>
        <v>0</v>
      </c>
      <c r="BX1533" s="53" t="n">
        <f aca="false">IF(AND(U1533="",OR(P1533="",P1533="LOSE"),T1533&lt;&gt;"",N(S1533)&lt;=0,ISNUMBER(MATCH(T1533,Parameter!$I$27:$I$29,0))),1,0)</f>
        <v>0</v>
      </c>
      <c r="BY1533" s="53" t="n">
        <f aca="false">IF(CL1533&gt;0,INDEX(Parameter!$H$5:$H$7,W1533)/INDEX(Parameter!$E$5:$E$7,W1533),IF(AND(BW1533=0,N(IFERROR(VLOOKUP(BU1533,'Gebinde-Kategorie'!$A$5:$N$45,14,0),0))&gt;0),VLOOKUP(BU1533,'Gebinde-Kategorie'!$A$5:$N$45,14,0)*10+Parameter!$M$23,Parameter!$M$24))</f>
        <v>155</v>
      </c>
      <c r="BZ1533" s="48" t="str">
        <f aca="false">IF(AND(Parameter!$B$19="Ja",E1533&lt;&gt;"",ISNUMBER(MATCH(E1533,Parameter!$I$35:$I$52,0))),VLOOKUP(E1533,Parameter!$I$35:$J$52,2,0),IFERROR(VLOOKUP(D1533,Parameter!$A$35:$C$64,2,0),"Nein"))</f>
        <v>2+3</v>
      </c>
      <c r="CA1533" s="52" t="n">
        <f aca="false">IF(BW1533=0,0,IF(N(S1533)&gt;0,S1533,IFERROR(VLOOKUP(D1533,Parameter!$A$35:$C$64,3,0)+0,0)))</f>
        <v>0</v>
      </c>
      <c r="CB1533" s="48" t="n">
        <f aca="false">IF(AA1533&lt;&gt;"",AA1533,Z1533)</f>
        <v>3</v>
      </c>
      <c r="CC1533" s="48" t="str">
        <f aca="false">IF(OR(CB1533=1,CB1533=2,CB1533=3),IF(Parameter!$E$27="Ja","LIFT",IF(CB1533=1,"L1","L23")),IF(CB1533="Aussen","Aussen","-"))</f>
        <v>LIFT</v>
      </c>
      <c r="CD1533" s="59" t="n">
        <f aca="false">IF(N(AB1533)&gt;0,AB1533,0)</f>
        <v>0</v>
      </c>
      <c r="CE1533" s="53" t="n">
        <f aca="false">IF(ISNUMBER(AE1533),1,0)</f>
        <v>0</v>
      </c>
      <c r="CF1533" s="50" t="n">
        <f aca="false">N(AE1533)</f>
        <v>0</v>
      </c>
      <c r="CG1533" s="50" t="n">
        <f aca="false">N(M1533)+N(N1533)</f>
        <v>1</v>
      </c>
      <c r="CH1533" s="50" t="n">
        <f aca="false">ROUNDUP(H1533/BV1533,0)</f>
        <v>1</v>
      </c>
      <c r="CI1533" s="50" t="n">
        <f aca="false">ROUNDUP(CF1533/BV1533,0)</f>
        <v>0</v>
      </c>
      <c r="CJ1533" s="53" t="n">
        <f aca="false">IF(BW1533=1,0,IFERROR(VLOOKUP(BU1533,'Gebinde-Kategorie'!$A$5:$N$45,5,0)+0,0))</f>
        <v>11</v>
      </c>
      <c r="CK1533" s="53" t="n">
        <f aca="false">IFERROR(IF(OR(CB1533=1,CB1533=2,CB1533=3),N(INDEX(Parameter!$I$5:$I$7,CB1533)),0),0)</f>
        <v>0</v>
      </c>
      <c r="CL1533" s="52" t="n">
        <f aca="false">IF(AND(Parameter!$B$21="Ja",ISNUMBER(W1533),N(X1533)&gt;0),IFERROR(N(INDEX(Parameter!$L$5:$L$7,W1533))*INDEX(Parameter!$E$5:$E$7,W1533)*X1533/SUMIFS($X$7:$X$1843,$W$7:$W$1843,W1533),0),0)</f>
        <v>0</v>
      </c>
    </row>
    <row r="1534" customFormat="false" ht="15" hidden="false" customHeight="false" outlineLevel="0" collapsed="false">
      <c r="A1534" s="48" t="s">
        <v>2686</v>
      </c>
      <c r="B1534" s="48" t="s">
        <v>2687</v>
      </c>
      <c r="C1534" s="48" t="s">
        <v>168</v>
      </c>
      <c r="D1534" s="48" t="s">
        <v>188</v>
      </c>
      <c r="E1534" s="48" t="s">
        <v>189</v>
      </c>
      <c r="F1534" s="48"/>
      <c r="G1534" s="49" t="n">
        <v>45.03</v>
      </c>
      <c r="H1534" s="50" t="n">
        <f aca="false">MAX(0,IF(AND(Parameter!$B$21="Ja",ISNUMBER(Y1534)),Y1534,IF(Parameter!$B$20="Jahresanfang 2025 + Export",BO1534+BN1534,BN1534)))</f>
        <v>7</v>
      </c>
      <c r="I1534" s="50" t="n">
        <f aca="false">H1534*G1534</f>
        <v>315.21</v>
      </c>
      <c r="J1534" s="50" t="n">
        <f aca="false">BQ1534*Parameter!$B$18</f>
        <v>0</v>
      </c>
      <c r="K1534" s="51"/>
      <c r="L1534" s="52"/>
      <c r="M1534" s="50" t="n">
        <v>0</v>
      </c>
      <c r="N1534" s="50" t="n">
        <v>2</v>
      </c>
      <c r="O1534" s="53" t="n">
        <v>42</v>
      </c>
      <c r="P1534" s="48" t="s">
        <v>332</v>
      </c>
      <c r="Q1534" s="50" t="n">
        <v>7</v>
      </c>
      <c r="R1534" s="53" t="n">
        <f aca="false">IF(BW1534=1,0,IFERROR(VLOOKUP(BU1534,'Gebinde-Kategorie'!$A$5:$N$45,13,0)+0,0))</f>
        <v>52</v>
      </c>
      <c r="S1534" s="54"/>
      <c r="T1534" s="55"/>
      <c r="U1534" s="55"/>
      <c r="V1534" s="55"/>
      <c r="W1534" s="48"/>
      <c r="X1534" s="50"/>
      <c r="Y1534" s="50"/>
      <c r="Z1534" s="48" t="n">
        <f aca="false">IF(A1534="","",IF(AND(Parameter!$B$21="Ja",ISNUMBER(W1534)),W1534,IF(BZ1534="2+3",IF(ISNUMBER(SEARCH("grosser Artikel",BR1534)),2,IFERROR(VLOOKUP(BU1534,Parameter!$F$35:$G$64,2,0),2)),IF(OR(BZ1534="Nein",BZ1534=""),"-",BZ1534))))</f>
        <v>3</v>
      </c>
      <c r="AA1534" s="55"/>
      <c r="AB1534" s="56"/>
      <c r="AC1534" s="50" t="n">
        <f aca="false">AT1534</f>
        <v>7</v>
      </c>
      <c r="AD1534" s="50" t="n">
        <f aca="false">MAX(AT1534,H1534)</f>
        <v>7</v>
      </c>
      <c r="AE1534" s="57"/>
      <c r="AF1534" s="50" t="n">
        <f aca="false">IF(LEFT(Cockpit!$C$5,1)="A",H1534,IF(CE1534=1,CF1534,IF(LEFT(Cockpit!$C$5,1)="B",AK1534,MAX(AK1534,H1534))))</f>
        <v>7</v>
      </c>
      <c r="AG1534" s="50" t="n">
        <f aca="false">IF(BW1534=1,0,ROUNDUP(AF1534/BV1534,0))</f>
        <v>1</v>
      </c>
      <c r="AH1534" s="52" t="n">
        <f aca="false">IF(CL1534&gt;0,CL1534*MAX(1,AF1534/X1534),IF(BW1534=1,IF(AF1534&lt;=0,0,CA1534*MAX(1,IF(H1534&gt;0,AF1534/H1534,1))),IF(R1534&gt;0,AG1534/R1534,0))/MAX(0.1,N(Parameter!$M$21)))</f>
        <v>0.0192307692307692</v>
      </c>
      <c r="AI1534" s="50" t="n">
        <f aca="false">AH1534*BY1534</f>
        <v>2.98076923076923</v>
      </c>
      <c r="AJ1534" s="50" t="n">
        <f aca="false">AF1534*G1534</f>
        <v>315.21</v>
      </c>
      <c r="AK1534" s="50" t="n">
        <f aca="false">ROUNDUP(MAX(J1534/IF(CD1534&gt;0,CD1534,MAX(0.1,N(Cockpit!$C$6))),CG1534)/BV1534,0)*BV1534</f>
        <v>7</v>
      </c>
      <c r="AL1534" s="51" t="n">
        <f aca="false">IF(AI1534&gt;0,J1534/AI1534,-1)</f>
        <v>0</v>
      </c>
      <c r="AM1534" s="51" t="n">
        <f aca="false">IF(AND(OR(CC1534="L1",CC1534="L23",CC1534="LIFT"),AI1534&gt;0),SUMIFS($AI$7:$AI$1843,$CC$7:$CC$1843,CC1534,$AL$7:$AL$1843,"&gt;"&amp;AL1534)+SUMIFS($AI$7:$AI$1843,$CC$7:$CC$1843,CC1534,$AL$7:$AL$1843,AL1534,$BT$7:$BT$1843,"&lt;="&amp;BT1534),"")</f>
        <v>30099.9366683223</v>
      </c>
      <c r="AN1534" s="58" t="n">
        <f aca="false">IF(AM1534="",0,MAX(0,MIN(1,(IF(CC1534="L1",Parameter!$H$5,IF(CC1534="L23",Parameter!$H$6+Parameter!$H$7,Parameter!$H$5+Parameter!$H$6+Parameter!$H$7))-(AM1534-AI1534))/AI1534)))</f>
        <v>1</v>
      </c>
      <c r="AO1534" s="50" t="n">
        <f aca="false">IF(LEFT(Cockpit!$I$5,1)="A",H1534,IF(CE1534=1,CF1534,IF(LEFT(Cockpit!$I$5,1)="B",AT1534,MAX(AT1534,H1534))))</f>
        <v>7</v>
      </c>
      <c r="AP1534" s="50" t="n">
        <f aca="false">IF(BW1534=1,0,ROUNDUP(AO1534/BV1534,0))</f>
        <v>1</v>
      </c>
      <c r="AQ1534" s="52" t="n">
        <f aca="false">IF(CL1534&gt;0,CL1534*MAX(1,AO1534/X1534),IF(BW1534=1,IF(AO1534&lt;=0,0,CA1534*MAX(1,IF(H1534&gt;0,AO1534/H1534,1))),IF(R1534&gt;0,AP1534/R1534,0))/MAX(0.1,N(Parameter!$M$21)))</f>
        <v>0.0192307692307692</v>
      </c>
      <c r="AR1534" s="50" t="n">
        <f aca="false">AQ1534*BY1534</f>
        <v>2.98076923076923</v>
      </c>
      <c r="AS1534" s="50" t="n">
        <f aca="false">AO1534*G1534</f>
        <v>315.21</v>
      </c>
      <c r="AT1534" s="50" t="n">
        <f aca="false">ROUNDUP(MAX(J1534/IF(CD1534&gt;0,CD1534,MAX(0.1,N(Cockpit!$I$6))),CG1534)/BV1534,0)*BV1534</f>
        <v>7</v>
      </c>
      <c r="AU1534" s="51" t="n">
        <f aca="false">IF(AR1534&gt;0,J1534/AR1534,-1)</f>
        <v>0</v>
      </c>
      <c r="AV1534" s="51" t="n">
        <f aca="false">IF(AND(OR(CC1534="L1",CC1534="L23",CC1534="LIFT"),AR1534&gt;0),SUMIFS($AR$7:$AR$1843,$CC$7:$CC$1843,CC1534,$AU$7:$AU$1843,"&gt;"&amp;AU1534)+SUMIFS($AR$7:$AR$1843,$CC$7:$CC$1843,CC1534,$AU$7:$AU$1843,AU1534,$BT$7:$BT$1843,"&lt;="&amp;BT1534),"")</f>
        <v>42426.9017094017</v>
      </c>
      <c r="AW1534" s="58" t="n">
        <f aca="false">IF(AV1534="",0,MAX(0,MIN(1,(IF(CC1534="L1",Parameter!$H$5,IF(CC1534="L23",Parameter!$H$6+Parameter!$H$7,Parameter!$H$5+Parameter!$H$6+Parameter!$H$7))-(AV1534-AR1534))/AR1534)))</f>
        <v>0</v>
      </c>
      <c r="AX1534" s="50" t="n">
        <f aca="false">IF(LEFT(Cockpit!$O$5,1)="A",H1534,IF(CE1534=1,CF1534,IF(LEFT(Cockpit!$O$5,1)="B",BC1534,MAX(BC1534,H1534))))</f>
        <v>7</v>
      </c>
      <c r="AY1534" s="50" t="n">
        <f aca="false">IF(BW1534=1,0,ROUNDUP(AX1534/BV1534,0))</f>
        <v>1</v>
      </c>
      <c r="AZ1534" s="52" t="n">
        <f aca="false">IF(CL1534&gt;0,CL1534*MAX(1,AX1534/X1534),IF(BW1534=1,IF(AX1534&lt;=0,0,CA1534*MAX(1,IF(H1534&gt;0,AX1534/H1534,1))),IF(R1534&gt;0,AY1534/R1534,0))/MAX(0.1,N(Parameter!$M$21)))</f>
        <v>0.0192307692307692</v>
      </c>
      <c r="BA1534" s="50" t="n">
        <f aca="false">AZ1534*BY1534</f>
        <v>2.98076923076923</v>
      </c>
      <c r="BB1534" s="50" t="n">
        <f aca="false">AX1534*G1534</f>
        <v>315.21</v>
      </c>
      <c r="BC1534" s="50" t="n">
        <f aca="false">ROUNDUP(MAX(J1534/IF(CD1534&gt;0,CD1534,MAX(0.1,N(Cockpit!$O$6))),CG1534)/BV1534,0)*BV1534</f>
        <v>7</v>
      </c>
      <c r="BD1534" s="51" t="n">
        <f aca="false">IF(BA1534&gt;0,J1534/BA1534,-1)</f>
        <v>0</v>
      </c>
      <c r="BE1534" s="51" t="n">
        <f aca="false">IF(AND(OR(CC1534="L1",CC1534="L23",CC1534="LIFT"),BA1534&gt;0),SUMIFS($BA$7:$BA$1843,$CC$7:$CC$1843,CC1534,$BD$7:$BD$1843,"&gt;"&amp;BD1534)+SUMIFS($BA$7:$BA$1843,$CC$7:$CC$1843,CC1534,$BD$7:$BD$1843,BD1534,$BT$7:$BT$1843,"&lt;="&amp;BT1534),"")</f>
        <v>39101.9137512676</v>
      </c>
      <c r="BF1534" s="58" t="n">
        <f aca="false">IF(BE1534="",0,MAX(0,MIN(1,(IF(CC1534="L1",Parameter!$H$5,IF(CC1534="L23",Parameter!$H$6+Parameter!$H$7,Parameter!$H$5+Parameter!$H$6+Parameter!$H$7))-(BE1534-BA1534))/BA1534)))</f>
        <v>0</v>
      </c>
      <c r="BG1534" s="48" t="str">
        <f aca="false">IF(AI1534&lt;=0,"",IF(CC1534="Aussen","Aussenlager",IF(CC1534="-","Nicht im Lift",IF(AN1534&gt;=1,"Lift",IF(AN1534&lt;=0,"Aussenlager","teilweise")))))</f>
        <v>Lift</v>
      </c>
      <c r="BH1534" s="48" t="str">
        <f aca="false">IF(AR1534&lt;=0,"",IF(CC1534="Aussen","Aussenlager",IF(CC1534="-","Nicht im Lift",IF(AW1534&gt;=1,"Lift",IF(AW1534&lt;=0,"Aussenlager","teilweise")))))</f>
        <v>Aussenlager</v>
      </c>
      <c r="BI1534" s="48" t="str">
        <f aca="false">IF(BA1534&lt;=0,"",IF(CC1534="Aussen","Aussenlager",IF(CC1534="-","Nicht im Lift",IF(BF1534&gt;=1,"Lift",IF(BF1534&lt;=0,"Aussenlager","teilweise")))))</f>
        <v>Aussenlager</v>
      </c>
      <c r="BJ1534" s="48" t="str">
        <f aca="false">IF(A1534="","",IF(BS1534=1,"Neu; ","")&amp;IF(AND(BS1534=0,BN1534&lt;0),"negativer Bestand (Export "&amp;BN1534&amp;"); ","")&amp;IF(J1534&lt;=0,"Kein Verbrauch; ","")&amp;IF(CL1534&gt;0,"Lift "&amp;W1534&amp;" lt. Liftbericht (Fach "&amp;X1534&amp;" Stk); ",IF(BX1534=1,"Gebinde geschätzt ("&amp;T1534&amp;"); ",IF(BW1534=1,"Lose – Tablare geschätzt; ","")))&amp;IF(H1534&gt;AT1534,"Überbestand "&amp;ROUND(H1534-AT1534,0)&amp;" Stk / CHF "&amp;ROUND((H1534-AT1534)*G1534,0)&amp;"; ","")&amp;IF(AND(CE1534=1,CF1534&lt;CG1534),"MAX &lt; MB+LG; ","")&amp;IF(AND(CK1534&gt;0,CJ1534*10&gt;CK1534),"zu hoch für Tablar; ","")&amp;IF(AND(BS1534=0,OR(CE1534=1,AA1534&lt;&gt;"",U1534&lt;&gt;"",V1534&lt;&gt;"",AB1534&lt;&gt;"")),"manuell übersteuert; ","")&amp;IF(AND(BW1534=0,R1534=0),"Gebinde unbekannt / Stellmass fehlt; ","")&amp;IF(AND(BW1534=0,N(V1534)&lt;=0,N(Q1534)&lt;=0),"Menge pro Gebinde fehlt (Ist = 1 Gebinde); ","")&amp;BR1534)</f>
        <v>Kein Verbrauch; nur im Artikelstamm (Bestand 23.06.2026); Neu</v>
      </c>
      <c r="BK1534" s="48"/>
      <c r="BL1534" s="48"/>
      <c r="BM1534" s="55"/>
      <c r="BN1534" s="50" t="n">
        <v>7</v>
      </c>
      <c r="BO1534" s="50" t="n">
        <v>0</v>
      </c>
      <c r="BP1534" s="49" t="n">
        <v>0</v>
      </c>
      <c r="BQ1534" s="50" t="n">
        <v>0</v>
      </c>
      <c r="BR1534" s="48" t="s">
        <v>2671</v>
      </c>
      <c r="BS1534" s="53" t="n">
        <v>0</v>
      </c>
      <c r="BT1534" s="53" t="n">
        <v>1534</v>
      </c>
      <c r="BU1534" s="48" t="str">
        <f aca="false">IF(U1534&lt;&gt;"",UPPER(TRIM(U1534)),IF(BX1534=1,UPPER(VLOOKUP(T1534,Parameter!$I$27:$K$29,2,0)),IF(P1534="","LOSE",P1534)))</f>
        <v>S41</v>
      </c>
      <c r="BV1534" s="50" t="n">
        <f aca="false">IF(BU1534="LOSE",1,IF(N(V1534)&gt;0,V1534,IF(BX1534=1,MAX(1,N(VLOOKUP(T1534,Parameter!$I$27:$K$29,3,0)),H1534,N(N1534)),IF(N(Q1534)&gt;0,Q1534,MAX(1,H1534)))))</f>
        <v>7</v>
      </c>
      <c r="BW1534" s="53" t="n">
        <f aca="false">IF(BU1534="LOSE",1,0)</f>
        <v>0</v>
      </c>
      <c r="BX1534" s="53" t="n">
        <f aca="false">IF(AND(U1534="",OR(P1534="",P1534="LOSE"),T1534&lt;&gt;"",N(S1534)&lt;=0,ISNUMBER(MATCH(T1534,Parameter!$I$27:$I$29,0))),1,0)</f>
        <v>0</v>
      </c>
      <c r="BY1534" s="53" t="n">
        <f aca="false">IF(CL1534&gt;0,INDEX(Parameter!$H$5:$H$7,W1534)/INDEX(Parameter!$E$5:$E$7,W1534),IF(AND(BW1534=0,N(IFERROR(VLOOKUP(BU1534,'Gebinde-Kategorie'!$A$5:$N$45,14,0),0))&gt;0),VLOOKUP(BU1534,'Gebinde-Kategorie'!$A$5:$N$45,14,0)*10+Parameter!$M$23,Parameter!$M$24))</f>
        <v>155</v>
      </c>
      <c r="BZ1534" s="48" t="str">
        <f aca="false">IF(AND(Parameter!$B$19="Ja",E1534&lt;&gt;"",ISNUMBER(MATCH(E1534,Parameter!$I$35:$I$52,0))),VLOOKUP(E1534,Parameter!$I$35:$J$52,2,0),IFERROR(VLOOKUP(D1534,Parameter!$A$35:$C$64,2,0),"Nein"))</f>
        <v>2+3</v>
      </c>
      <c r="CA1534" s="52" t="n">
        <f aca="false">IF(BW1534=0,0,IF(N(S1534)&gt;0,S1534,IFERROR(VLOOKUP(D1534,Parameter!$A$35:$C$64,3,0)+0,0)))</f>
        <v>0</v>
      </c>
      <c r="CB1534" s="48" t="n">
        <f aca="false">IF(AA1534&lt;&gt;"",AA1534,Z1534)</f>
        <v>3</v>
      </c>
      <c r="CC1534" s="48" t="str">
        <f aca="false">IF(OR(CB1534=1,CB1534=2,CB1534=3),IF(Parameter!$E$27="Ja","LIFT",IF(CB1534=1,"L1","L23")),IF(CB1534="Aussen","Aussen","-"))</f>
        <v>LIFT</v>
      </c>
      <c r="CD1534" s="59" t="n">
        <f aca="false">IF(N(AB1534)&gt;0,AB1534,0)</f>
        <v>0</v>
      </c>
      <c r="CE1534" s="53" t="n">
        <f aca="false">IF(ISNUMBER(AE1534),1,0)</f>
        <v>0</v>
      </c>
      <c r="CF1534" s="50" t="n">
        <f aca="false">N(AE1534)</f>
        <v>0</v>
      </c>
      <c r="CG1534" s="50" t="n">
        <f aca="false">N(M1534)+N(N1534)</f>
        <v>2</v>
      </c>
      <c r="CH1534" s="50" t="n">
        <f aca="false">ROUNDUP(H1534/BV1534,0)</f>
        <v>1</v>
      </c>
      <c r="CI1534" s="50" t="n">
        <f aca="false">ROUNDUP(CF1534/BV1534,0)</f>
        <v>0</v>
      </c>
      <c r="CJ1534" s="53" t="n">
        <f aca="false">IF(BW1534=1,0,IFERROR(VLOOKUP(BU1534,'Gebinde-Kategorie'!$A$5:$N$45,5,0)+0,0))</f>
        <v>11</v>
      </c>
      <c r="CK1534" s="53" t="n">
        <f aca="false">IFERROR(IF(OR(CB1534=1,CB1534=2,CB1534=3),N(INDEX(Parameter!$I$5:$I$7,CB1534)),0),0)</f>
        <v>0</v>
      </c>
      <c r="CL1534" s="52" t="n">
        <f aca="false">IF(AND(Parameter!$B$21="Ja",ISNUMBER(W1534),N(X1534)&gt;0),IFERROR(N(INDEX(Parameter!$L$5:$L$7,W1534))*INDEX(Parameter!$E$5:$E$7,W1534)*X1534/SUMIFS($X$7:$X$1843,$W$7:$W$1843,W1534),0),0)</f>
        <v>0</v>
      </c>
    </row>
    <row r="1535" customFormat="false" ht="15" hidden="false" customHeight="false" outlineLevel="0" collapsed="false">
      <c r="A1535" s="48" t="s">
        <v>2688</v>
      </c>
      <c r="B1535" s="48" t="s">
        <v>2689</v>
      </c>
      <c r="C1535" s="48" t="s">
        <v>168</v>
      </c>
      <c r="D1535" s="48" t="s">
        <v>188</v>
      </c>
      <c r="E1535" s="48" t="s">
        <v>189</v>
      </c>
      <c r="F1535" s="48"/>
      <c r="G1535" s="49" t="n">
        <v>43.15</v>
      </c>
      <c r="H1535" s="50" t="n">
        <f aca="false">MAX(0,IF(AND(Parameter!$B$21="Ja",ISNUMBER(Y1535)),Y1535,IF(Parameter!$B$20="Jahresanfang 2025 + Export",BO1535+BN1535,BN1535)))</f>
        <v>2</v>
      </c>
      <c r="I1535" s="50" t="n">
        <f aca="false">H1535*G1535</f>
        <v>86.3</v>
      </c>
      <c r="J1535" s="50" t="n">
        <f aca="false">BQ1535*Parameter!$B$18</f>
        <v>0</v>
      </c>
      <c r="K1535" s="51"/>
      <c r="L1535" s="52"/>
      <c r="M1535" s="50" t="n">
        <v>0</v>
      </c>
      <c r="N1535" s="50" t="n">
        <v>1</v>
      </c>
      <c r="O1535" s="53" t="n">
        <v>97</v>
      </c>
      <c r="P1535" s="48" t="s">
        <v>425</v>
      </c>
      <c r="Q1535" s="50" t="n">
        <v>2</v>
      </c>
      <c r="R1535" s="53" t="n">
        <f aca="false">IF(BW1535=1,0,IFERROR(VLOOKUP(BU1535,'Gebinde-Kategorie'!$A$5:$N$45,13,0)+0,0))</f>
        <v>104</v>
      </c>
      <c r="S1535" s="54"/>
      <c r="T1535" s="55"/>
      <c r="U1535" s="55"/>
      <c r="V1535" s="55"/>
      <c r="W1535" s="48"/>
      <c r="X1535" s="50"/>
      <c r="Y1535" s="50"/>
      <c r="Z1535" s="48" t="n">
        <f aca="false">IF(A1535="","",IF(AND(Parameter!$B$21="Ja",ISNUMBER(W1535)),W1535,IF(BZ1535="2+3",IF(ISNUMBER(SEARCH("grosser Artikel",BR1535)),2,IFERROR(VLOOKUP(BU1535,Parameter!$F$35:$G$64,2,0),2)),IF(OR(BZ1535="Nein",BZ1535=""),"-",BZ1535))))</f>
        <v>3</v>
      </c>
      <c r="AA1535" s="55"/>
      <c r="AB1535" s="56"/>
      <c r="AC1535" s="50" t="n">
        <f aca="false">AT1535</f>
        <v>2</v>
      </c>
      <c r="AD1535" s="50" t="n">
        <f aca="false">MAX(AT1535,H1535)</f>
        <v>2</v>
      </c>
      <c r="AE1535" s="57"/>
      <c r="AF1535" s="50" t="n">
        <f aca="false">IF(LEFT(Cockpit!$C$5,1)="A",H1535,IF(CE1535=1,CF1535,IF(LEFT(Cockpit!$C$5,1)="B",AK1535,MAX(AK1535,H1535))))</f>
        <v>2</v>
      </c>
      <c r="AG1535" s="50" t="n">
        <f aca="false">IF(BW1535=1,0,ROUNDUP(AF1535/BV1535,0))</f>
        <v>1</v>
      </c>
      <c r="AH1535" s="52" t="n">
        <f aca="false">IF(CL1535&gt;0,CL1535*MAX(1,AF1535/X1535),IF(BW1535=1,IF(AF1535&lt;=0,0,CA1535*MAX(1,IF(H1535&gt;0,AF1535/H1535,1))),IF(R1535&gt;0,AG1535/R1535,0))/MAX(0.1,N(Parameter!$M$21)))</f>
        <v>0.00961538461538462</v>
      </c>
      <c r="AI1535" s="50" t="n">
        <f aca="false">AH1535*BY1535</f>
        <v>1.49038461538462</v>
      </c>
      <c r="AJ1535" s="50" t="n">
        <f aca="false">AF1535*G1535</f>
        <v>86.3</v>
      </c>
      <c r="AK1535" s="50" t="n">
        <f aca="false">ROUNDUP(MAX(J1535/IF(CD1535&gt;0,CD1535,MAX(0.1,N(Cockpit!$C$6))),CG1535)/BV1535,0)*BV1535</f>
        <v>2</v>
      </c>
      <c r="AL1535" s="51" t="n">
        <f aca="false">IF(AI1535&gt;0,J1535/AI1535,-1)</f>
        <v>0</v>
      </c>
      <c r="AM1535" s="51" t="n">
        <f aca="false">IF(AND(OR(CC1535="L1",CC1535="L23",CC1535="LIFT"),AI1535&gt;0),SUMIFS($AI$7:$AI$1843,$CC$7:$CC$1843,CC1535,$AL$7:$AL$1843,"&gt;"&amp;AL1535)+SUMIFS($AI$7:$AI$1843,$CC$7:$CC$1843,CC1535,$AL$7:$AL$1843,AL1535,$BT$7:$BT$1843,"&lt;="&amp;BT1535),"")</f>
        <v>30101.4270529376</v>
      </c>
      <c r="AN1535" s="58" t="n">
        <f aca="false">IF(AM1535="",0,MAX(0,MIN(1,(IF(CC1535="L1",Parameter!$H$5,IF(CC1535="L23",Parameter!$H$6+Parameter!$H$7,Parameter!$H$5+Parameter!$H$6+Parameter!$H$7))-(AM1535-AI1535))/AI1535)))</f>
        <v>1</v>
      </c>
      <c r="AO1535" s="50" t="n">
        <f aca="false">IF(LEFT(Cockpit!$I$5,1)="A",H1535,IF(CE1535=1,CF1535,IF(LEFT(Cockpit!$I$5,1)="B",AT1535,MAX(AT1535,H1535))))</f>
        <v>2</v>
      </c>
      <c r="AP1535" s="50" t="n">
        <f aca="false">IF(BW1535=1,0,ROUNDUP(AO1535/BV1535,0))</f>
        <v>1</v>
      </c>
      <c r="AQ1535" s="52" t="n">
        <f aca="false">IF(CL1535&gt;0,CL1535*MAX(1,AO1535/X1535),IF(BW1535=1,IF(AO1535&lt;=0,0,CA1535*MAX(1,IF(H1535&gt;0,AO1535/H1535,1))),IF(R1535&gt;0,AP1535/R1535,0))/MAX(0.1,N(Parameter!$M$21)))</f>
        <v>0.00961538461538462</v>
      </c>
      <c r="AR1535" s="50" t="n">
        <f aca="false">AQ1535*BY1535</f>
        <v>1.49038461538462</v>
      </c>
      <c r="AS1535" s="50" t="n">
        <f aca="false">AO1535*G1535</f>
        <v>86.3</v>
      </c>
      <c r="AT1535" s="50" t="n">
        <f aca="false">ROUNDUP(MAX(J1535/IF(CD1535&gt;0,CD1535,MAX(0.1,N(Cockpit!$I$6))),CG1535)/BV1535,0)*BV1535</f>
        <v>2</v>
      </c>
      <c r="AU1535" s="51" t="n">
        <f aca="false">IF(AR1535&gt;0,J1535/AR1535,-1)</f>
        <v>0</v>
      </c>
      <c r="AV1535" s="51" t="n">
        <f aca="false">IF(AND(OR(CC1535="L1",CC1535="L23",CC1535="LIFT"),AR1535&gt;0),SUMIFS($AR$7:$AR$1843,$CC$7:$CC$1843,CC1535,$AU$7:$AU$1843,"&gt;"&amp;AU1535)+SUMIFS($AR$7:$AR$1843,$CC$7:$CC$1843,CC1535,$AU$7:$AU$1843,AU1535,$BT$7:$BT$1843,"&lt;="&amp;BT1535),"")</f>
        <v>42428.3920940171</v>
      </c>
      <c r="AW1535" s="58" t="n">
        <f aca="false">IF(AV1535="",0,MAX(0,MIN(1,(IF(CC1535="L1",Parameter!$H$5,IF(CC1535="L23",Parameter!$H$6+Parameter!$H$7,Parameter!$H$5+Parameter!$H$6+Parameter!$H$7))-(AV1535-AR1535))/AR1535)))</f>
        <v>0</v>
      </c>
      <c r="AX1535" s="50" t="n">
        <f aca="false">IF(LEFT(Cockpit!$O$5,1)="A",H1535,IF(CE1535=1,CF1535,IF(LEFT(Cockpit!$O$5,1)="B",BC1535,MAX(BC1535,H1535))))</f>
        <v>2</v>
      </c>
      <c r="AY1535" s="50" t="n">
        <f aca="false">IF(BW1535=1,0,ROUNDUP(AX1535/BV1535,0))</f>
        <v>1</v>
      </c>
      <c r="AZ1535" s="52" t="n">
        <f aca="false">IF(CL1535&gt;0,CL1535*MAX(1,AX1535/X1535),IF(BW1535=1,IF(AX1535&lt;=0,0,CA1535*MAX(1,IF(H1535&gt;0,AX1535/H1535,1))),IF(R1535&gt;0,AY1535/R1535,0))/MAX(0.1,N(Parameter!$M$21)))</f>
        <v>0.00961538461538462</v>
      </c>
      <c r="BA1535" s="50" t="n">
        <f aca="false">AZ1535*BY1535</f>
        <v>1.49038461538462</v>
      </c>
      <c r="BB1535" s="50" t="n">
        <f aca="false">AX1535*G1535</f>
        <v>86.3</v>
      </c>
      <c r="BC1535" s="50" t="n">
        <f aca="false">ROUNDUP(MAX(J1535/IF(CD1535&gt;0,CD1535,MAX(0.1,N(Cockpit!$O$6))),CG1535)/BV1535,0)*BV1535</f>
        <v>2</v>
      </c>
      <c r="BD1535" s="51" t="n">
        <f aca="false">IF(BA1535&gt;0,J1535/BA1535,-1)</f>
        <v>0</v>
      </c>
      <c r="BE1535" s="51" t="n">
        <f aca="false">IF(AND(OR(CC1535="L1",CC1535="L23",CC1535="LIFT"),BA1535&gt;0),SUMIFS($BA$7:$BA$1843,$CC$7:$CC$1843,CC1535,$BD$7:$BD$1843,"&gt;"&amp;BD1535)+SUMIFS($BA$7:$BA$1843,$CC$7:$CC$1843,CC1535,$BD$7:$BD$1843,BD1535,$BT$7:$BT$1843,"&lt;="&amp;BT1535),"")</f>
        <v>39103.404135883</v>
      </c>
      <c r="BF1535" s="58" t="n">
        <f aca="false">IF(BE1535="",0,MAX(0,MIN(1,(IF(CC1535="L1",Parameter!$H$5,IF(CC1535="L23",Parameter!$H$6+Parameter!$H$7,Parameter!$H$5+Parameter!$H$6+Parameter!$H$7))-(BE1535-BA1535))/BA1535)))</f>
        <v>0</v>
      </c>
      <c r="BG1535" s="48" t="str">
        <f aca="false">IF(AI1535&lt;=0,"",IF(CC1535="Aussen","Aussenlager",IF(CC1535="-","Nicht im Lift",IF(AN1535&gt;=1,"Lift",IF(AN1535&lt;=0,"Aussenlager","teilweise")))))</f>
        <v>Lift</v>
      </c>
      <c r="BH1535" s="48" t="str">
        <f aca="false">IF(AR1535&lt;=0,"",IF(CC1535="Aussen","Aussenlager",IF(CC1535="-","Nicht im Lift",IF(AW1535&gt;=1,"Lift",IF(AW1535&lt;=0,"Aussenlager","teilweise")))))</f>
        <v>Aussenlager</v>
      </c>
      <c r="BI1535" s="48" t="str">
        <f aca="false">IF(BA1535&lt;=0,"",IF(CC1535="Aussen","Aussenlager",IF(CC1535="-","Nicht im Lift",IF(BF1535&gt;=1,"Lift",IF(BF1535&lt;=0,"Aussenlager","teilweise")))))</f>
        <v>Aussenlager</v>
      </c>
      <c r="BJ1535" s="48" t="str">
        <f aca="false">IF(A1535="","",IF(BS1535=1,"Neu; ","")&amp;IF(AND(BS1535=0,BN1535&lt;0),"negativer Bestand (Export "&amp;BN1535&amp;"); ","")&amp;IF(J1535&lt;=0,"Kein Verbrauch; ","")&amp;IF(CL1535&gt;0,"Lift "&amp;W1535&amp;" lt. Liftbericht (Fach "&amp;X1535&amp;" Stk); ",IF(BX1535=1,"Gebinde geschätzt ("&amp;T1535&amp;"); ",IF(BW1535=1,"Lose – Tablare geschätzt; ","")))&amp;IF(H1535&gt;AT1535,"Überbestand "&amp;ROUND(H1535-AT1535,0)&amp;" Stk / CHF "&amp;ROUND((H1535-AT1535)*G1535,0)&amp;"; ","")&amp;IF(AND(CE1535=1,CF1535&lt;CG1535),"MAX &lt; MB+LG; ","")&amp;IF(AND(CK1535&gt;0,CJ1535*10&gt;CK1535),"zu hoch für Tablar; ","")&amp;IF(AND(BS1535=0,OR(CE1535=1,AA1535&lt;&gt;"",U1535&lt;&gt;"",V1535&lt;&gt;"",AB1535&lt;&gt;"")),"manuell übersteuert; ","")&amp;IF(AND(BW1535=0,R1535=0),"Gebinde unbekannt / Stellmass fehlt; ","")&amp;IF(AND(BW1535=0,N(V1535)&lt;=0,N(Q1535)&lt;=0),"Menge pro Gebinde fehlt (Ist = 1 Gebinde); ","")&amp;BR1535)</f>
        <v>Kein Verbrauch; nur im Artikelstamm (Bestand 23.06.2026)</v>
      </c>
      <c r="BK1535" s="48"/>
      <c r="BL1535" s="48"/>
      <c r="BM1535" s="55"/>
      <c r="BN1535" s="50" t="n">
        <v>2</v>
      </c>
      <c r="BO1535" s="50" t="n">
        <v>0</v>
      </c>
      <c r="BP1535" s="49" t="n">
        <v>0</v>
      </c>
      <c r="BQ1535" s="50" t="n">
        <v>0</v>
      </c>
      <c r="BR1535" s="48" t="s">
        <v>2579</v>
      </c>
      <c r="BS1535" s="53" t="n">
        <v>0</v>
      </c>
      <c r="BT1535" s="53" t="n">
        <v>1535</v>
      </c>
      <c r="BU1535" s="48" t="str">
        <f aca="false">IF(U1535&lt;&gt;"",UPPER(TRIM(U1535)),IF(BX1535=1,UPPER(VLOOKUP(T1535,Parameter!$I$27:$K$29,2,0)),IF(P1535="","LOSE",P1535)))</f>
        <v>S32</v>
      </c>
      <c r="BV1535" s="50" t="n">
        <f aca="false">IF(BU1535="LOSE",1,IF(N(V1535)&gt;0,V1535,IF(BX1535=1,MAX(1,N(VLOOKUP(T1535,Parameter!$I$27:$K$29,3,0)),H1535,N(N1535)),IF(N(Q1535)&gt;0,Q1535,MAX(1,H1535)))))</f>
        <v>2</v>
      </c>
      <c r="BW1535" s="53" t="n">
        <f aca="false">IF(BU1535="LOSE",1,0)</f>
        <v>0</v>
      </c>
      <c r="BX1535" s="53" t="n">
        <f aca="false">IF(AND(U1535="",OR(P1535="",P1535="LOSE"),T1535&lt;&gt;"",N(S1535)&lt;=0,ISNUMBER(MATCH(T1535,Parameter!$I$27:$I$29,0))),1,0)</f>
        <v>0</v>
      </c>
      <c r="BY1535" s="53" t="n">
        <f aca="false">IF(CL1535&gt;0,INDEX(Parameter!$H$5:$H$7,W1535)/INDEX(Parameter!$E$5:$E$7,W1535),IF(AND(BW1535=0,N(IFERROR(VLOOKUP(BU1535,'Gebinde-Kategorie'!$A$5:$N$45,14,0),0))&gt;0),VLOOKUP(BU1535,'Gebinde-Kategorie'!$A$5:$N$45,14,0)*10+Parameter!$M$23,Parameter!$M$24))</f>
        <v>155</v>
      </c>
      <c r="BZ1535" s="48" t="str">
        <f aca="false">IF(AND(Parameter!$B$19="Ja",E1535&lt;&gt;"",ISNUMBER(MATCH(E1535,Parameter!$I$35:$I$52,0))),VLOOKUP(E1535,Parameter!$I$35:$J$52,2,0),IFERROR(VLOOKUP(D1535,Parameter!$A$35:$C$64,2,0),"Nein"))</f>
        <v>2+3</v>
      </c>
      <c r="CA1535" s="52" t="n">
        <f aca="false">IF(BW1535=0,0,IF(N(S1535)&gt;0,S1535,IFERROR(VLOOKUP(D1535,Parameter!$A$35:$C$64,3,0)+0,0)))</f>
        <v>0</v>
      </c>
      <c r="CB1535" s="48" t="n">
        <f aca="false">IF(AA1535&lt;&gt;"",AA1535,Z1535)</f>
        <v>3</v>
      </c>
      <c r="CC1535" s="48" t="str">
        <f aca="false">IF(OR(CB1535=1,CB1535=2,CB1535=3),IF(Parameter!$E$27="Ja","LIFT",IF(CB1535=1,"L1","L23")),IF(CB1535="Aussen","Aussen","-"))</f>
        <v>LIFT</v>
      </c>
      <c r="CD1535" s="59" t="n">
        <f aca="false">IF(N(AB1535)&gt;0,AB1535,0)</f>
        <v>0</v>
      </c>
      <c r="CE1535" s="53" t="n">
        <f aca="false">IF(ISNUMBER(AE1535),1,0)</f>
        <v>0</v>
      </c>
      <c r="CF1535" s="50" t="n">
        <f aca="false">N(AE1535)</f>
        <v>0</v>
      </c>
      <c r="CG1535" s="50" t="n">
        <f aca="false">N(M1535)+N(N1535)</f>
        <v>1</v>
      </c>
      <c r="CH1535" s="50" t="n">
        <f aca="false">ROUNDUP(H1535/BV1535,0)</f>
        <v>1</v>
      </c>
      <c r="CI1535" s="50" t="n">
        <f aca="false">ROUNDUP(CF1535/BV1535,0)</f>
        <v>0</v>
      </c>
      <c r="CJ1535" s="53" t="n">
        <f aca="false">IF(BW1535=1,0,IFERROR(VLOOKUP(BU1535,'Gebinde-Kategorie'!$A$5:$N$45,5,0)+0,0))</f>
        <v>8</v>
      </c>
      <c r="CK1535" s="53" t="n">
        <f aca="false">IFERROR(IF(OR(CB1535=1,CB1535=2,CB1535=3),N(INDEX(Parameter!$I$5:$I$7,CB1535)),0),0)</f>
        <v>0</v>
      </c>
      <c r="CL1535" s="52" t="n">
        <f aca="false">IF(AND(Parameter!$B$21="Ja",ISNUMBER(W1535),N(X1535)&gt;0),IFERROR(N(INDEX(Parameter!$L$5:$L$7,W1535))*INDEX(Parameter!$E$5:$E$7,W1535)*X1535/SUMIFS($X$7:$X$1843,$W$7:$W$1843,W1535),0),0)</f>
        <v>0</v>
      </c>
    </row>
    <row r="1536" customFormat="false" ht="15" hidden="false" customHeight="false" outlineLevel="0" collapsed="false">
      <c r="A1536" s="48" t="s">
        <v>2690</v>
      </c>
      <c r="B1536" s="48" t="s">
        <v>472</v>
      </c>
      <c r="C1536" s="48" t="s">
        <v>168</v>
      </c>
      <c r="D1536" s="48" t="s">
        <v>188</v>
      </c>
      <c r="E1536" s="48" t="s">
        <v>189</v>
      </c>
      <c r="F1536" s="48"/>
      <c r="G1536" s="49" t="n">
        <v>0.1</v>
      </c>
      <c r="H1536" s="50" t="n">
        <f aca="false">MAX(0,IF(AND(Parameter!$B$21="Ja",ISNUMBER(Y1536)),Y1536,IF(Parameter!$B$20="Jahresanfang 2025 + Export",BO1536+BN1536,BN1536)))</f>
        <v>5</v>
      </c>
      <c r="I1536" s="50" t="n">
        <f aca="false">H1536*G1536</f>
        <v>0.5</v>
      </c>
      <c r="J1536" s="50" t="n">
        <f aca="false">BQ1536*Parameter!$B$18</f>
        <v>0</v>
      </c>
      <c r="K1536" s="51"/>
      <c r="L1536" s="52"/>
      <c r="M1536" s="50" t="n">
        <v>0</v>
      </c>
      <c r="N1536" s="50" t="n">
        <v>10</v>
      </c>
      <c r="O1536" s="53" t="n">
        <v>28</v>
      </c>
      <c r="P1536" s="48" t="s">
        <v>430</v>
      </c>
      <c r="Q1536" s="50" t="n">
        <v>5</v>
      </c>
      <c r="R1536" s="53" t="n">
        <f aca="false">IF(BW1536=1,0,IFERROR(VLOOKUP(BU1536,'Gebinde-Kategorie'!$A$5:$N$45,13,0)+0,0))</f>
        <v>140</v>
      </c>
      <c r="S1536" s="54"/>
      <c r="T1536" s="55"/>
      <c r="U1536" s="55"/>
      <c r="V1536" s="55"/>
      <c r="W1536" s="48"/>
      <c r="X1536" s="50"/>
      <c r="Y1536" s="50"/>
      <c r="Z1536" s="48" t="n">
        <f aca="false">IF(A1536="","",IF(AND(Parameter!$B$21="Ja",ISNUMBER(W1536)),W1536,IF(BZ1536="2+3",IF(ISNUMBER(SEARCH("grosser Artikel",BR1536)),2,IFERROR(VLOOKUP(BU1536,Parameter!$F$35:$G$64,2,0),2)),IF(OR(BZ1536="Nein",BZ1536=""),"-",BZ1536))))</f>
        <v>3</v>
      </c>
      <c r="AA1536" s="55"/>
      <c r="AB1536" s="56"/>
      <c r="AC1536" s="50" t="n">
        <f aca="false">AT1536</f>
        <v>10</v>
      </c>
      <c r="AD1536" s="50" t="n">
        <f aca="false">MAX(AT1536,H1536)</f>
        <v>10</v>
      </c>
      <c r="AE1536" s="57"/>
      <c r="AF1536" s="50" t="n">
        <f aca="false">IF(LEFT(Cockpit!$C$5,1)="A",H1536,IF(CE1536=1,CF1536,IF(LEFT(Cockpit!$C$5,1)="B",AK1536,MAX(AK1536,H1536))))</f>
        <v>5</v>
      </c>
      <c r="AG1536" s="50" t="n">
        <f aca="false">IF(BW1536=1,0,ROUNDUP(AF1536/BV1536,0))</f>
        <v>1</v>
      </c>
      <c r="AH1536" s="52" t="n">
        <f aca="false">IF(CL1536&gt;0,CL1536*MAX(1,AF1536/X1536),IF(BW1536=1,IF(AF1536&lt;=0,0,CA1536*MAX(1,IF(H1536&gt;0,AF1536/H1536,1))),IF(R1536&gt;0,AG1536/R1536,0))/MAX(0.1,N(Parameter!$M$21)))</f>
        <v>0.00714285714285714</v>
      </c>
      <c r="AI1536" s="50" t="n">
        <f aca="false">AH1536*BY1536</f>
        <v>1.10714285714286</v>
      </c>
      <c r="AJ1536" s="50" t="n">
        <f aca="false">AF1536*G1536</f>
        <v>0.5</v>
      </c>
      <c r="AK1536" s="50" t="n">
        <f aca="false">ROUNDUP(MAX(J1536/IF(CD1536&gt;0,CD1536,MAX(0.1,N(Cockpit!$C$6))),CG1536)/BV1536,0)*BV1536</f>
        <v>10</v>
      </c>
      <c r="AL1536" s="51" t="n">
        <f aca="false">IF(AI1536&gt;0,J1536/AI1536,-1)</f>
        <v>0</v>
      </c>
      <c r="AM1536" s="51" t="n">
        <f aca="false">IF(AND(OR(CC1536="L1",CC1536="L23",CC1536="LIFT"),AI1536&gt;0),SUMIFS($AI$7:$AI$1843,$CC$7:$CC$1843,CC1536,$AL$7:$AL$1843,"&gt;"&amp;AL1536)+SUMIFS($AI$7:$AI$1843,$CC$7:$CC$1843,CC1536,$AL$7:$AL$1843,AL1536,$BT$7:$BT$1843,"&lt;="&amp;BT1536),"")</f>
        <v>30102.5341957948</v>
      </c>
      <c r="AN1536" s="58" t="n">
        <f aca="false">IF(AM1536="",0,MAX(0,MIN(1,(IF(CC1536="L1",Parameter!$H$5,IF(CC1536="L23",Parameter!$H$6+Parameter!$H$7,Parameter!$H$5+Parameter!$H$6+Parameter!$H$7))-(AM1536-AI1536))/AI1536)))</f>
        <v>1</v>
      </c>
      <c r="AO1536" s="50" t="n">
        <f aca="false">IF(LEFT(Cockpit!$I$5,1)="A",H1536,IF(CE1536=1,CF1536,IF(LEFT(Cockpit!$I$5,1)="B",AT1536,MAX(AT1536,H1536))))</f>
        <v>10</v>
      </c>
      <c r="AP1536" s="50" t="n">
        <f aca="false">IF(BW1536=1,0,ROUNDUP(AO1536/BV1536,0))</f>
        <v>2</v>
      </c>
      <c r="AQ1536" s="52" t="n">
        <f aca="false">IF(CL1536&gt;0,CL1536*MAX(1,AO1536/X1536),IF(BW1536=1,IF(AO1536&lt;=0,0,CA1536*MAX(1,IF(H1536&gt;0,AO1536/H1536,1))),IF(R1536&gt;0,AP1536/R1536,0))/MAX(0.1,N(Parameter!$M$21)))</f>
        <v>0.0142857142857143</v>
      </c>
      <c r="AR1536" s="50" t="n">
        <f aca="false">AQ1536*BY1536</f>
        <v>2.21428571428571</v>
      </c>
      <c r="AS1536" s="50" t="n">
        <f aca="false">AO1536*G1536</f>
        <v>1</v>
      </c>
      <c r="AT1536" s="50" t="n">
        <f aca="false">ROUNDUP(MAX(J1536/IF(CD1536&gt;0,CD1536,MAX(0.1,N(Cockpit!$I$6))),CG1536)/BV1536,0)*BV1536</f>
        <v>10</v>
      </c>
      <c r="AU1536" s="51" t="n">
        <f aca="false">IF(AR1536&gt;0,J1536/AR1536,-1)</f>
        <v>0</v>
      </c>
      <c r="AV1536" s="51" t="n">
        <f aca="false">IF(AND(OR(CC1536="L1",CC1536="L23",CC1536="LIFT"),AR1536&gt;0),SUMIFS($AR$7:$AR$1843,$CC$7:$CC$1843,CC1536,$AU$7:$AU$1843,"&gt;"&amp;AU1536)+SUMIFS($AR$7:$AR$1843,$CC$7:$CC$1843,CC1536,$AU$7:$AU$1843,AU1536,$BT$7:$BT$1843,"&lt;="&amp;BT1536),"")</f>
        <v>42430.6063797314</v>
      </c>
      <c r="AW1536" s="58" t="n">
        <f aca="false">IF(AV1536="",0,MAX(0,MIN(1,(IF(CC1536="L1",Parameter!$H$5,IF(CC1536="L23",Parameter!$H$6+Parameter!$H$7,Parameter!$H$5+Parameter!$H$6+Parameter!$H$7))-(AV1536-AR1536))/AR1536)))</f>
        <v>0</v>
      </c>
      <c r="AX1536" s="50" t="n">
        <f aca="false">IF(LEFT(Cockpit!$O$5,1)="A",H1536,IF(CE1536=1,CF1536,IF(LEFT(Cockpit!$O$5,1)="B",BC1536,MAX(BC1536,H1536))))</f>
        <v>10</v>
      </c>
      <c r="AY1536" s="50" t="n">
        <f aca="false">IF(BW1536=1,0,ROUNDUP(AX1536/BV1536,0))</f>
        <v>2</v>
      </c>
      <c r="AZ1536" s="52" t="n">
        <f aca="false">IF(CL1536&gt;0,CL1536*MAX(1,AX1536/X1536),IF(BW1536=1,IF(AX1536&lt;=0,0,CA1536*MAX(1,IF(H1536&gt;0,AX1536/H1536,1))),IF(R1536&gt;0,AY1536/R1536,0))/MAX(0.1,N(Parameter!$M$21)))</f>
        <v>0.0142857142857143</v>
      </c>
      <c r="BA1536" s="50" t="n">
        <f aca="false">AZ1536*BY1536</f>
        <v>2.21428571428571</v>
      </c>
      <c r="BB1536" s="50" t="n">
        <f aca="false">AX1536*G1536</f>
        <v>1</v>
      </c>
      <c r="BC1536" s="50" t="n">
        <f aca="false">ROUNDUP(MAX(J1536/IF(CD1536&gt;0,CD1536,MAX(0.1,N(Cockpit!$O$6))),CG1536)/BV1536,0)*BV1536</f>
        <v>10</v>
      </c>
      <c r="BD1536" s="51" t="n">
        <f aca="false">IF(BA1536&gt;0,J1536/BA1536,-1)</f>
        <v>0</v>
      </c>
      <c r="BE1536" s="51" t="n">
        <f aca="false">IF(AND(OR(CC1536="L1",CC1536="L23",CC1536="LIFT"),BA1536&gt;0),SUMIFS($BA$7:$BA$1843,$CC$7:$CC$1843,CC1536,$BD$7:$BD$1843,"&gt;"&amp;BD1536)+SUMIFS($BA$7:$BA$1843,$CC$7:$CC$1843,CC1536,$BD$7:$BD$1843,BD1536,$BT$7:$BT$1843,"&lt;="&amp;BT1536),"")</f>
        <v>39105.6184215972</v>
      </c>
      <c r="BF1536" s="58" t="n">
        <f aca="false">IF(BE1536="",0,MAX(0,MIN(1,(IF(CC1536="L1",Parameter!$H$5,IF(CC1536="L23",Parameter!$H$6+Parameter!$H$7,Parameter!$H$5+Parameter!$H$6+Parameter!$H$7))-(BE1536-BA1536))/BA1536)))</f>
        <v>0</v>
      </c>
      <c r="BG1536" s="48" t="str">
        <f aca="false">IF(AI1536&lt;=0,"",IF(CC1536="Aussen","Aussenlager",IF(CC1536="-","Nicht im Lift",IF(AN1536&gt;=1,"Lift",IF(AN1536&lt;=0,"Aussenlager","teilweise")))))</f>
        <v>Lift</v>
      </c>
      <c r="BH1536" s="48" t="str">
        <f aca="false">IF(AR1536&lt;=0,"",IF(CC1536="Aussen","Aussenlager",IF(CC1536="-","Nicht im Lift",IF(AW1536&gt;=1,"Lift",IF(AW1536&lt;=0,"Aussenlager","teilweise")))))</f>
        <v>Aussenlager</v>
      </c>
      <c r="BI1536" s="48" t="str">
        <f aca="false">IF(BA1536&lt;=0,"",IF(CC1536="Aussen","Aussenlager",IF(CC1536="-","Nicht im Lift",IF(BF1536&gt;=1,"Lift",IF(BF1536&lt;=0,"Aussenlager","teilweise")))))</f>
        <v>Aussenlager</v>
      </c>
      <c r="BJ1536" s="48" t="str">
        <f aca="false">IF(A1536="","",IF(BS1536=1,"Neu; ","")&amp;IF(AND(BS1536=0,BN1536&lt;0),"negativer Bestand (Export "&amp;BN1536&amp;"); ","")&amp;IF(J1536&lt;=0,"Kein Verbrauch; ","")&amp;IF(CL1536&gt;0,"Lift "&amp;W1536&amp;" lt. Liftbericht (Fach "&amp;X1536&amp;" Stk); ",IF(BX1536=1,"Gebinde geschätzt ("&amp;T1536&amp;"); ",IF(BW1536=1,"Lose – Tablare geschätzt; ","")))&amp;IF(H1536&gt;AT1536,"Überbestand "&amp;ROUND(H1536-AT1536,0)&amp;" Stk / CHF "&amp;ROUND((H1536-AT1536)*G1536,0)&amp;"; ","")&amp;IF(AND(CE1536=1,CF1536&lt;CG1536),"MAX &lt; MB+LG; ","")&amp;IF(AND(CK1536&gt;0,CJ1536*10&gt;CK1536),"zu hoch für Tablar; ","")&amp;IF(AND(BS1536=0,OR(CE1536=1,AA1536&lt;&gt;"",U1536&lt;&gt;"",V1536&lt;&gt;"",AB1536&lt;&gt;"")),"manuell übersteuert; ","")&amp;IF(AND(BW1536=0,R1536=0),"Gebinde unbekannt / Stellmass fehlt; ","")&amp;IF(AND(BW1536=0,N(V1536)&lt;=0,N(Q1536)&lt;=0),"Menge pro Gebinde fehlt (Ist = 1 Gebinde); ","")&amp;BR1536)</f>
        <v>Kein Verbrauch; nur im Artikelstamm (Bestand 23.06.2026)</v>
      </c>
      <c r="BK1536" s="48"/>
      <c r="BL1536" s="48"/>
      <c r="BM1536" s="55"/>
      <c r="BN1536" s="50" t="n">
        <v>5</v>
      </c>
      <c r="BO1536" s="50" t="n">
        <v>0</v>
      </c>
      <c r="BP1536" s="49" t="n">
        <v>0</v>
      </c>
      <c r="BQ1536" s="50" t="n">
        <v>0</v>
      </c>
      <c r="BR1536" s="48" t="s">
        <v>2579</v>
      </c>
      <c r="BS1536" s="53" t="n">
        <v>0</v>
      </c>
      <c r="BT1536" s="53" t="n">
        <v>1536</v>
      </c>
      <c r="BU1536" s="48" t="str">
        <f aca="false">IF(U1536&lt;&gt;"",UPPER(TRIM(U1536)),IF(BX1536=1,UPPER(VLOOKUP(T1536,Parameter!$I$27:$K$29,2,0)),IF(P1536="","LOSE",P1536)))</f>
        <v>S22</v>
      </c>
      <c r="BV1536" s="50" t="n">
        <f aca="false">IF(BU1536="LOSE",1,IF(N(V1536)&gt;0,V1536,IF(BX1536=1,MAX(1,N(VLOOKUP(T1536,Parameter!$I$27:$K$29,3,0)),H1536,N(N1536)),IF(N(Q1536)&gt;0,Q1536,MAX(1,H1536)))))</f>
        <v>5</v>
      </c>
      <c r="BW1536" s="53" t="n">
        <f aca="false">IF(BU1536="LOSE",1,0)</f>
        <v>0</v>
      </c>
      <c r="BX1536" s="53" t="n">
        <f aca="false">IF(AND(U1536="",OR(P1536="",P1536="LOSE"),T1536&lt;&gt;"",N(S1536)&lt;=0,ISNUMBER(MATCH(T1536,Parameter!$I$27:$I$29,0))),1,0)</f>
        <v>0</v>
      </c>
      <c r="BY1536" s="53" t="n">
        <f aca="false">IF(CL1536&gt;0,INDEX(Parameter!$H$5:$H$7,W1536)/INDEX(Parameter!$E$5:$E$7,W1536),IF(AND(BW1536=0,N(IFERROR(VLOOKUP(BU1536,'Gebinde-Kategorie'!$A$5:$N$45,14,0),0))&gt;0),VLOOKUP(BU1536,'Gebinde-Kategorie'!$A$5:$N$45,14,0)*10+Parameter!$M$23,Parameter!$M$24))</f>
        <v>155</v>
      </c>
      <c r="BZ1536" s="48" t="str">
        <f aca="false">IF(AND(Parameter!$B$19="Ja",E1536&lt;&gt;"",ISNUMBER(MATCH(E1536,Parameter!$I$35:$I$52,0))),VLOOKUP(E1536,Parameter!$I$35:$J$52,2,0),IFERROR(VLOOKUP(D1536,Parameter!$A$35:$C$64,2,0),"Nein"))</f>
        <v>2+3</v>
      </c>
      <c r="CA1536" s="52" t="n">
        <f aca="false">IF(BW1536=0,0,IF(N(S1536)&gt;0,S1536,IFERROR(VLOOKUP(D1536,Parameter!$A$35:$C$64,3,0)+0,0)))</f>
        <v>0</v>
      </c>
      <c r="CB1536" s="48" t="n">
        <f aca="false">IF(AA1536&lt;&gt;"",AA1536,Z1536)</f>
        <v>3</v>
      </c>
      <c r="CC1536" s="48" t="str">
        <f aca="false">IF(OR(CB1536=1,CB1536=2,CB1536=3),IF(Parameter!$E$27="Ja","LIFT",IF(CB1536=1,"L1","L23")),IF(CB1536="Aussen","Aussen","-"))</f>
        <v>LIFT</v>
      </c>
      <c r="CD1536" s="59" t="n">
        <f aca="false">IF(N(AB1536)&gt;0,AB1536,0)</f>
        <v>0</v>
      </c>
      <c r="CE1536" s="53" t="n">
        <f aca="false">IF(ISNUMBER(AE1536),1,0)</f>
        <v>0</v>
      </c>
      <c r="CF1536" s="50" t="n">
        <f aca="false">N(AE1536)</f>
        <v>0</v>
      </c>
      <c r="CG1536" s="50" t="n">
        <f aca="false">N(M1536)+N(N1536)</f>
        <v>10</v>
      </c>
      <c r="CH1536" s="50" t="n">
        <f aca="false">ROUNDUP(H1536/BV1536,0)</f>
        <v>1</v>
      </c>
      <c r="CI1536" s="50" t="n">
        <f aca="false">ROUNDUP(CF1536/BV1536,0)</f>
        <v>0</v>
      </c>
      <c r="CJ1536" s="53" t="n">
        <f aca="false">IF(BW1536=1,0,IFERROR(VLOOKUP(BU1536,'Gebinde-Kategorie'!$A$5:$N$45,5,0)+0,0))</f>
        <v>8</v>
      </c>
      <c r="CK1536" s="53" t="n">
        <f aca="false">IFERROR(IF(OR(CB1536=1,CB1536=2,CB1536=3),N(INDEX(Parameter!$I$5:$I$7,CB1536)),0),0)</f>
        <v>0</v>
      </c>
      <c r="CL1536" s="52" t="n">
        <f aca="false">IF(AND(Parameter!$B$21="Ja",ISNUMBER(W1536),N(X1536)&gt;0),IFERROR(N(INDEX(Parameter!$L$5:$L$7,W1536))*INDEX(Parameter!$E$5:$E$7,W1536)*X1536/SUMIFS($X$7:$X$1843,$W$7:$W$1843,W1536),0),0)</f>
        <v>0</v>
      </c>
    </row>
    <row r="1537" customFormat="false" ht="15" hidden="false" customHeight="false" outlineLevel="0" collapsed="false">
      <c r="A1537" s="48" t="s">
        <v>2691</v>
      </c>
      <c r="B1537" s="48" t="s">
        <v>444</v>
      </c>
      <c r="C1537" s="48" t="s">
        <v>168</v>
      </c>
      <c r="D1537" s="48" t="s">
        <v>188</v>
      </c>
      <c r="E1537" s="48" t="s">
        <v>189</v>
      </c>
      <c r="F1537" s="48"/>
      <c r="G1537" s="49" t="n">
        <v>43.67</v>
      </c>
      <c r="H1537" s="50" t="n">
        <f aca="false">MAX(0,IF(AND(Parameter!$B$21="Ja",ISNUMBER(Y1537)),Y1537,IF(Parameter!$B$20="Jahresanfang 2025 + Export",BO1537+BN1537,BN1537)))</f>
        <v>5</v>
      </c>
      <c r="I1537" s="50" t="n">
        <f aca="false">H1537*G1537</f>
        <v>218.35</v>
      </c>
      <c r="J1537" s="50" t="n">
        <f aca="false">BQ1537*Parameter!$B$18</f>
        <v>0</v>
      </c>
      <c r="K1537" s="51"/>
      <c r="L1537" s="52"/>
      <c r="M1537" s="50" t="n">
        <v>0</v>
      </c>
      <c r="N1537" s="50" t="n">
        <v>1</v>
      </c>
      <c r="O1537" s="53" t="n">
        <v>42</v>
      </c>
      <c r="P1537" s="48" t="s">
        <v>425</v>
      </c>
      <c r="Q1537" s="50" t="n">
        <v>5</v>
      </c>
      <c r="R1537" s="53" t="n">
        <f aca="false">IF(BW1537=1,0,IFERROR(VLOOKUP(BU1537,'Gebinde-Kategorie'!$A$5:$N$45,13,0)+0,0))</f>
        <v>104</v>
      </c>
      <c r="S1537" s="54"/>
      <c r="T1537" s="55"/>
      <c r="U1537" s="55"/>
      <c r="V1537" s="55"/>
      <c r="W1537" s="48"/>
      <c r="X1537" s="50"/>
      <c r="Y1537" s="50"/>
      <c r="Z1537" s="48" t="n">
        <f aca="false">IF(A1537="","",IF(AND(Parameter!$B$21="Ja",ISNUMBER(W1537)),W1537,IF(BZ1537="2+3",IF(ISNUMBER(SEARCH("grosser Artikel",BR1537)),2,IFERROR(VLOOKUP(BU1537,Parameter!$F$35:$G$64,2,0),2)),IF(OR(BZ1537="Nein",BZ1537=""),"-",BZ1537))))</f>
        <v>3</v>
      </c>
      <c r="AA1537" s="55"/>
      <c r="AB1537" s="56"/>
      <c r="AC1537" s="50" t="n">
        <f aca="false">AT1537</f>
        <v>5</v>
      </c>
      <c r="AD1537" s="50" t="n">
        <f aca="false">MAX(AT1537,H1537)</f>
        <v>5</v>
      </c>
      <c r="AE1537" s="57"/>
      <c r="AF1537" s="50" t="n">
        <f aca="false">IF(LEFT(Cockpit!$C$5,1)="A",H1537,IF(CE1537=1,CF1537,IF(LEFT(Cockpit!$C$5,1)="B",AK1537,MAX(AK1537,H1537))))</f>
        <v>5</v>
      </c>
      <c r="AG1537" s="50" t="n">
        <f aca="false">IF(BW1537=1,0,ROUNDUP(AF1537/BV1537,0))</f>
        <v>1</v>
      </c>
      <c r="AH1537" s="52" t="n">
        <f aca="false">IF(CL1537&gt;0,CL1537*MAX(1,AF1537/X1537),IF(BW1537=1,IF(AF1537&lt;=0,0,CA1537*MAX(1,IF(H1537&gt;0,AF1537/H1537,1))),IF(R1537&gt;0,AG1537/R1537,0))/MAX(0.1,N(Parameter!$M$21)))</f>
        <v>0.00961538461538462</v>
      </c>
      <c r="AI1537" s="50" t="n">
        <f aca="false">AH1537*BY1537</f>
        <v>1.49038461538462</v>
      </c>
      <c r="AJ1537" s="50" t="n">
        <f aca="false">AF1537*G1537</f>
        <v>218.35</v>
      </c>
      <c r="AK1537" s="50" t="n">
        <f aca="false">ROUNDUP(MAX(J1537/IF(CD1537&gt;0,CD1537,MAX(0.1,N(Cockpit!$C$6))),CG1537)/BV1537,0)*BV1537</f>
        <v>5</v>
      </c>
      <c r="AL1537" s="51" t="n">
        <f aca="false">IF(AI1537&gt;0,J1537/AI1537,-1)</f>
        <v>0</v>
      </c>
      <c r="AM1537" s="51" t="n">
        <f aca="false">IF(AND(OR(CC1537="L1",CC1537="L23",CC1537="LIFT"),AI1537&gt;0),SUMIFS($AI$7:$AI$1843,$CC$7:$CC$1843,CC1537,$AL$7:$AL$1843,"&gt;"&amp;AL1537)+SUMIFS($AI$7:$AI$1843,$CC$7:$CC$1843,CC1537,$AL$7:$AL$1843,AL1537,$BT$7:$BT$1843,"&lt;="&amp;BT1537),"")</f>
        <v>30104.0245804102</v>
      </c>
      <c r="AN1537" s="58" t="n">
        <f aca="false">IF(AM1537="",0,MAX(0,MIN(1,(IF(CC1537="L1",Parameter!$H$5,IF(CC1537="L23",Parameter!$H$6+Parameter!$H$7,Parameter!$H$5+Parameter!$H$6+Parameter!$H$7))-(AM1537-AI1537))/AI1537)))</f>
        <v>1</v>
      </c>
      <c r="AO1537" s="50" t="n">
        <f aca="false">IF(LEFT(Cockpit!$I$5,1)="A",H1537,IF(CE1537=1,CF1537,IF(LEFT(Cockpit!$I$5,1)="B",AT1537,MAX(AT1537,H1537))))</f>
        <v>5</v>
      </c>
      <c r="AP1537" s="50" t="n">
        <f aca="false">IF(BW1537=1,0,ROUNDUP(AO1537/BV1537,0))</f>
        <v>1</v>
      </c>
      <c r="AQ1537" s="52" t="n">
        <f aca="false">IF(CL1537&gt;0,CL1537*MAX(1,AO1537/X1537),IF(BW1537=1,IF(AO1537&lt;=0,0,CA1537*MAX(1,IF(H1537&gt;0,AO1537/H1537,1))),IF(R1537&gt;0,AP1537/R1537,0))/MAX(0.1,N(Parameter!$M$21)))</f>
        <v>0.00961538461538462</v>
      </c>
      <c r="AR1537" s="50" t="n">
        <f aca="false">AQ1537*BY1537</f>
        <v>1.49038461538462</v>
      </c>
      <c r="AS1537" s="50" t="n">
        <f aca="false">AO1537*G1537</f>
        <v>218.35</v>
      </c>
      <c r="AT1537" s="50" t="n">
        <f aca="false">ROUNDUP(MAX(J1537/IF(CD1537&gt;0,CD1537,MAX(0.1,N(Cockpit!$I$6))),CG1537)/BV1537,0)*BV1537</f>
        <v>5</v>
      </c>
      <c r="AU1537" s="51" t="n">
        <f aca="false">IF(AR1537&gt;0,J1537/AR1537,-1)</f>
        <v>0</v>
      </c>
      <c r="AV1537" s="51" t="n">
        <f aca="false">IF(AND(OR(CC1537="L1",CC1537="L23",CC1537="LIFT"),AR1537&gt;0),SUMIFS($AR$7:$AR$1843,$CC$7:$CC$1843,CC1537,$AU$7:$AU$1843,"&gt;"&amp;AU1537)+SUMIFS($AR$7:$AR$1843,$CC$7:$CC$1843,CC1537,$AU$7:$AU$1843,AU1537,$BT$7:$BT$1843,"&lt;="&amp;BT1537),"")</f>
        <v>42432.0967643468</v>
      </c>
      <c r="AW1537" s="58" t="n">
        <f aca="false">IF(AV1537="",0,MAX(0,MIN(1,(IF(CC1537="L1",Parameter!$H$5,IF(CC1537="L23",Parameter!$H$6+Parameter!$H$7,Parameter!$H$5+Parameter!$H$6+Parameter!$H$7))-(AV1537-AR1537))/AR1537)))</f>
        <v>0</v>
      </c>
      <c r="AX1537" s="50" t="n">
        <f aca="false">IF(LEFT(Cockpit!$O$5,1)="A",H1537,IF(CE1537=1,CF1537,IF(LEFT(Cockpit!$O$5,1)="B",BC1537,MAX(BC1537,H1537))))</f>
        <v>5</v>
      </c>
      <c r="AY1537" s="50" t="n">
        <f aca="false">IF(BW1537=1,0,ROUNDUP(AX1537/BV1537,0))</f>
        <v>1</v>
      </c>
      <c r="AZ1537" s="52" t="n">
        <f aca="false">IF(CL1537&gt;0,CL1537*MAX(1,AX1537/X1537),IF(BW1537=1,IF(AX1537&lt;=0,0,CA1537*MAX(1,IF(H1537&gt;0,AX1537/H1537,1))),IF(R1537&gt;0,AY1537/R1537,0))/MAX(0.1,N(Parameter!$M$21)))</f>
        <v>0.00961538461538462</v>
      </c>
      <c r="BA1537" s="50" t="n">
        <f aca="false">AZ1537*BY1537</f>
        <v>1.49038461538462</v>
      </c>
      <c r="BB1537" s="50" t="n">
        <f aca="false">AX1537*G1537</f>
        <v>218.35</v>
      </c>
      <c r="BC1537" s="50" t="n">
        <f aca="false">ROUNDUP(MAX(J1537/IF(CD1537&gt;0,CD1537,MAX(0.1,N(Cockpit!$O$6))),CG1537)/BV1537,0)*BV1537</f>
        <v>5</v>
      </c>
      <c r="BD1537" s="51" t="n">
        <f aca="false">IF(BA1537&gt;0,J1537/BA1537,-1)</f>
        <v>0</v>
      </c>
      <c r="BE1537" s="51" t="n">
        <f aca="false">IF(AND(OR(CC1537="L1",CC1537="L23",CC1537="LIFT"),BA1537&gt;0),SUMIFS($BA$7:$BA$1843,$CC$7:$CC$1843,CC1537,$BD$7:$BD$1843,"&gt;"&amp;BD1537)+SUMIFS($BA$7:$BA$1843,$CC$7:$CC$1843,CC1537,$BD$7:$BD$1843,BD1537,$BT$7:$BT$1843,"&lt;="&amp;BT1537),"")</f>
        <v>39107.1088062126</v>
      </c>
      <c r="BF1537" s="58" t="n">
        <f aca="false">IF(BE1537="",0,MAX(0,MIN(1,(IF(CC1537="L1",Parameter!$H$5,IF(CC1537="L23",Parameter!$H$6+Parameter!$H$7,Parameter!$H$5+Parameter!$H$6+Parameter!$H$7))-(BE1537-BA1537))/BA1537)))</f>
        <v>0</v>
      </c>
      <c r="BG1537" s="48" t="str">
        <f aca="false">IF(AI1537&lt;=0,"",IF(CC1537="Aussen","Aussenlager",IF(CC1537="-","Nicht im Lift",IF(AN1537&gt;=1,"Lift",IF(AN1537&lt;=0,"Aussenlager","teilweise")))))</f>
        <v>Lift</v>
      </c>
      <c r="BH1537" s="48" t="str">
        <f aca="false">IF(AR1537&lt;=0,"",IF(CC1537="Aussen","Aussenlager",IF(CC1537="-","Nicht im Lift",IF(AW1537&gt;=1,"Lift",IF(AW1537&lt;=0,"Aussenlager","teilweise")))))</f>
        <v>Aussenlager</v>
      </c>
      <c r="BI1537" s="48" t="str">
        <f aca="false">IF(BA1537&lt;=0,"",IF(CC1537="Aussen","Aussenlager",IF(CC1537="-","Nicht im Lift",IF(BF1537&gt;=1,"Lift",IF(BF1537&lt;=0,"Aussenlager","teilweise")))))</f>
        <v>Aussenlager</v>
      </c>
      <c r="BJ1537" s="48" t="str">
        <f aca="false">IF(A1537="","",IF(BS1537=1,"Neu; ","")&amp;IF(AND(BS1537=0,BN1537&lt;0),"negativer Bestand (Export "&amp;BN1537&amp;"); ","")&amp;IF(J1537&lt;=0,"Kein Verbrauch; ","")&amp;IF(CL1537&gt;0,"Lift "&amp;W1537&amp;" lt. Liftbericht (Fach "&amp;X1537&amp;" Stk); ",IF(BX1537=1,"Gebinde geschätzt ("&amp;T1537&amp;"); ",IF(BW1537=1,"Lose – Tablare geschätzt; ","")))&amp;IF(H1537&gt;AT1537,"Überbestand "&amp;ROUND(H1537-AT1537,0)&amp;" Stk / CHF "&amp;ROUND((H1537-AT1537)*G1537,0)&amp;"; ","")&amp;IF(AND(CE1537=1,CF1537&lt;CG1537),"MAX &lt; MB+LG; ","")&amp;IF(AND(CK1537&gt;0,CJ1537*10&gt;CK1537),"zu hoch für Tablar; ","")&amp;IF(AND(BS1537=0,OR(CE1537=1,AA1537&lt;&gt;"",U1537&lt;&gt;"",V1537&lt;&gt;"",AB1537&lt;&gt;"")),"manuell übersteuert; ","")&amp;IF(AND(BW1537=0,R1537=0),"Gebinde unbekannt / Stellmass fehlt; ","")&amp;IF(AND(BW1537=0,N(V1537)&lt;=0,N(Q1537)&lt;=0),"Menge pro Gebinde fehlt (Ist = 1 Gebinde); ","")&amp;BR1537)</f>
        <v>Kein Verbrauch; nur im Artikelstamm (Bestand 23.06.2026)</v>
      </c>
      <c r="BK1537" s="48"/>
      <c r="BL1537" s="48"/>
      <c r="BM1537" s="55"/>
      <c r="BN1537" s="50" t="n">
        <v>5</v>
      </c>
      <c r="BO1537" s="50" t="n">
        <v>0</v>
      </c>
      <c r="BP1537" s="49" t="n">
        <v>0</v>
      </c>
      <c r="BQ1537" s="50" t="n">
        <v>0</v>
      </c>
      <c r="BR1537" s="48" t="s">
        <v>2579</v>
      </c>
      <c r="BS1537" s="53" t="n">
        <v>0</v>
      </c>
      <c r="BT1537" s="53" t="n">
        <v>1537</v>
      </c>
      <c r="BU1537" s="48" t="str">
        <f aca="false">IF(U1537&lt;&gt;"",UPPER(TRIM(U1537)),IF(BX1537=1,UPPER(VLOOKUP(T1537,Parameter!$I$27:$K$29,2,0)),IF(P1537="","LOSE",P1537)))</f>
        <v>S32</v>
      </c>
      <c r="BV1537" s="50" t="n">
        <f aca="false">IF(BU1537="LOSE",1,IF(N(V1537)&gt;0,V1537,IF(BX1537=1,MAX(1,N(VLOOKUP(T1537,Parameter!$I$27:$K$29,3,0)),H1537,N(N1537)),IF(N(Q1537)&gt;0,Q1537,MAX(1,H1537)))))</f>
        <v>5</v>
      </c>
      <c r="BW1537" s="53" t="n">
        <f aca="false">IF(BU1537="LOSE",1,0)</f>
        <v>0</v>
      </c>
      <c r="BX1537" s="53" t="n">
        <f aca="false">IF(AND(U1537="",OR(P1537="",P1537="LOSE"),T1537&lt;&gt;"",N(S1537)&lt;=0,ISNUMBER(MATCH(T1537,Parameter!$I$27:$I$29,0))),1,0)</f>
        <v>0</v>
      </c>
      <c r="BY1537" s="53" t="n">
        <f aca="false">IF(CL1537&gt;0,INDEX(Parameter!$H$5:$H$7,W1537)/INDEX(Parameter!$E$5:$E$7,W1537),IF(AND(BW1537=0,N(IFERROR(VLOOKUP(BU1537,'Gebinde-Kategorie'!$A$5:$N$45,14,0),0))&gt;0),VLOOKUP(BU1537,'Gebinde-Kategorie'!$A$5:$N$45,14,0)*10+Parameter!$M$23,Parameter!$M$24))</f>
        <v>155</v>
      </c>
      <c r="BZ1537" s="48" t="str">
        <f aca="false">IF(AND(Parameter!$B$19="Ja",E1537&lt;&gt;"",ISNUMBER(MATCH(E1537,Parameter!$I$35:$I$52,0))),VLOOKUP(E1537,Parameter!$I$35:$J$52,2,0),IFERROR(VLOOKUP(D1537,Parameter!$A$35:$C$64,2,0),"Nein"))</f>
        <v>2+3</v>
      </c>
      <c r="CA1537" s="52" t="n">
        <f aca="false">IF(BW1537=0,0,IF(N(S1537)&gt;0,S1537,IFERROR(VLOOKUP(D1537,Parameter!$A$35:$C$64,3,0)+0,0)))</f>
        <v>0</v>
      </c>
      <c r="CB1537" s="48" t="n">
        <f aca="false">IF(AA1537&lt;&gt;"",AA1537,Z1537)</f>
        <v>3</v>
      </c>
      <c r="CC1537" s="48" t="str">
        <f aca="false">IF(OR(CB1537=1,CB1537=2,CB1537=3),IF(Parameter!$E$27="Ja","LIFT",IF(CB1537=1,"L1","L23")),IF(CB1537="Aussen","Aussen","-"))</f>
        <v>LIFT</v>
      </c>
      <c r="CD1537" s="59" t="n">
        <f aca="false">IF(N(AB1537)&gt;0,AB1537,0)</f>
        <v>0</v>
      </c>
      <c r="CE1537" s="53" t="n">
        <f aca="false">IF(ISNUMBER(AE1537),1,0)</f>
        <v>0</v>
      </c>
      <c r="CF1537" s="50" t="n">
        <f aca="false">N(AE1537)</f>
        <v>0</v>
      </c>
      <c r="CG1537" s="50" t="n">
        <f aca="false">N(M1537)+N(N1537)</f>
        <v>1</v>
      </c>
      <c r="CH1537" s="50" t="n">
        <f aca="false">ROUNDUP(H1537/BV1537,0)</f>
        <v>1</v>
      </c>
      <c r="CI1537" s="50" t="n">
        <f aca="false">ROUNDUP(CF1537/BV1537,0)</f>
        <v>0</v>
      </c>
      <c r="CJ1537" s="53" t="n">
        <f aca="false">IF(BW1537=1,0,IFERROR(VLOOKUP(BU1537,'Gebinde-Kategorie'!$A$5:$N$45,5,0)+0,0))</f>
        <v>8</v>
      </c>
      <c r="CK1537" s="53" t="n">
        <f aca="false">IFERROR(IF(OR(CB1537=1,CB1537=2,CB1537=3),N(INDEX(Parameter!$I$5:$I$7,CB1537)),0),0)</f>
        <v>0</v>
      </c>
      <c r="CL1537" s="52" t="n">
        <f aca="false">IF(AND(Parameter!$B$21="Ja",ISNUMBER(W1537),N(X1537)&gt;0),IFERROR(N(INDEX(Parameter!$L$5:$L$7,W1537))*INDEX(Parameter!$E$5:$E$7,W1537)*X1537/SUMIFS($X$7:$X$1843,$W$7:$W$1843,W1537),0),0)</f>
        <v>0</v>
      </c>
    </row>
    <row r="1538" customFormat="false" ht="15" hidden="false" customHeight="false" outlineLevel="0" collapsed="false">
      <c r="A1538" s="48" t="s">
        <v>2692</v>
      </c>
      <c r="B1538" s="48" t="s">
        <v>2693</v>
      </c>
      <c r="C1538" s="48" t="s">
        <v>168</v>
      </c>
      <c r="D1538" s="48" t="s">
        <v>188</v>
      </c>
      <c r="E1538" s="48" t="s">
        <v>189</v>
      </c>
      <c r="F1538" s="48"/>
      <c r="G1538" s="49" t="n">
        <v>21</v>
      </c>
      <c r="H1538" s="50" t="n">
        <f aca="false">MAX(0,IF(AND(Parameter!$B$21="Ja",ISNUMBER(Y1538)),Y1538,IF(Parameter!$B$20="Jahresanfang 2025 + Export",BO1538+BN1538,BN1538)))</f>
        <v>9</v>
      </c>
      <c r="I1538" s="50" t="n">
        <f aca="false">H1538*G1538</f>
        <v>189</v>
      </c>
      <c r="J1538" s="50" t="n">
        <f aca="false">BQ1538*Parameter!$B$18</f>
        <v>0</v>
      </c>
      <c r="K1538" s="51"/>
      <c r="L1538" s="52"/>
      <c r="M1538" s="50" t="n">
        <v>0</v>
      </c>
      <c r="N1538" s="50" t="n">
        <v>10</v>
      </c>
      <c r="O1538" s="53" t="n">
        <v>35</v>
      </c>
      <c r="P1538" s="48" t="s">
        <v>297</v>
      </c>
      <c r="Q1538" s="50" t="n">
        <v>9</v>
      </c>
      <c r="R1538" s="53" t="n">
        <f aca="false">IF(BW1538=1,0,IFERROR(VLOOKUP(BU1538,'Gebinde-Kategorie'!$A$5:$N$45,13,0)+0,0))</f>
        <v>12</v>
      </c>
      <c r="S1538" s="54"/>
      <c r="T1538" s="55"/>
      <c r="U1538" s="55"/>
      <c r="V1538" s="55"/>
      <c r="W1538" s="48"/>
      <c r="X1538" s="50"/>
      <c r="Y1538" s="50"/>
      <c r="Z1538" s="48" t="n">
        <f aca="false">IF(A1538="","",IF(AND(Parameter!$B$21="Ja",ISNUMBER(W1538)),W1538,IF(BZ1538="2+3",IF(ISNUMBER(SEARCH("grosser Artikel",BR1538)),2,IFERROR(VLOOKUP(BU1538,Parameter!$F$35:$G$64,2,0),2)),IF(OR(BZ1538="Nein",BZ1538=""),"-",BZ1538))))</f>
        <v>2</v>
      </c>
      <c r="AA1538" s="55"/>
      <c r="AB1538" s="56"/>
      <c r="AC1538" s="50" t="n">
        <f aca="false">AT1538</f>
        <v>18</v>
      </c>
      <c r="AD1538" s="50" t="n">
        <f aca="false">MAX(AT1538,H1538)</f>
        <v>18</v>
      </c>
      <c r="AE1538" s="57"/>
      <c r="AF1538" s="50" t="n">
        <f aca="false">IF(LEFT(Cockpit!$C$5,1)="A",H1538,IF(CE1538=1,CF1538,IF(LEFT(Cockpit!$C$5,1)="B",AK1538,MAX(AK1538,H1538))))</f>
        <v>9</v>
      </c>
      <c r="AG1538" s="50" t="n">
        <f aca="false">IF(BW1538=1,0,ROUNDUP(AF1538/BV1538,0))</f>
        <v>1</v>
      </c>
      <c r="AH1538" s="52" t="n">
        <f aca="false">IF(CL1538&gt;0,CL1538*MAX(1,AF1538/X1538),IF(BW1538=1,IF(AF1538&lt;=0,0,CA1538*MAX(1,IF(H1538&gt;0,AF1538/H1538,1))),IF(R1538&gt;0,AG1538/R1538,0))/MAX(0.1,N(Parameter!$M$21)))</f>
        <v>0.0833333333333333</v>
      </c>
      <c r="AI1538" s="50" t="n">
        <f aca="false">AH1538*BY1538</f>
        <v>20.4166666666667</v>
      </c>
      <c r="AJ1538" s="50" t="n">
        <f aca="false">AF1538*G1538</f>
        <v>189</v>
      </c>
      <c r="AK1538" s="50" t="n">
        <f aca="false">ROUNDUP(MAX(J1538/IF(CD1538&gt;0,CD1538,MAX(0.1,N(Cockpit!$C$6))),CG1538)/BV1538,0)*BV1538</f>
        <v>18</v>
      </c>
      <c r="AL1538" s="51" t="n">
        <f aca="false">IF(AI1538&gt;0,J1538/AI1538,-1)</f>
        <v>0</v>
      </c>
      <c r="AM1538" s="51" t="n">
        <f aca="false">IF(AND(OR(CC1538="L1",CC1538="L23",CC1538="LIFT"),AI1538&gt;0),SUMIFS($AI$7:$AI$1843,$CC$7:$CC$1843,CC1538,$AL$7:$AL$1843,"&gt;"&amp;AL1538)+SUMIFS($AI$7:$AI$1843,$CC$7:$CC$1843,CC1538,$AL$7:$AL$1843,AL1538,$BT$7:$BT$1843,"&lt;="&amp;BT1538),"")</f>
        <v>30124.4412470768</v>
      </c>
      <c r="AN1538" s="58" t="n">
        <f aca="false">IF(AM1538="",0,MAX(0,MIN(1,(IF(CC1538="L1",Parameter!$H$5,IF(CC1538="L23",Parameter!$H$6+Parameter!$H$7,Parameter!$H$5+Parameter!$H$6+Parameter!$H$7))-(AM1538-AI1538))/AI1538)))</f>
        <v>1</v>
      </c>
      <c r="AO1538" s="50" t="n">
        <f aca="false">IF(LEFT(Cockpit!$I$5,1)="A",H1538,IF(CE1538=1,CF1538,IF(LEFT(Cockpit!$I$5,1)="B",AT1538,MAX(AT1538,H1538))))</f>
        <v>18</v>
      </c>
      <c r="AP1538" s="50" t="n">
        <f aca="false">IF(BW1538=1,0,ROUNDUP(AO1538/BV1538,0))</f>
        <v>2</v>
      </c>
      <c r="AQ1538" s="52" t="n">
        <f aca="false">IF(CL1538&gt;0,CL1538*MAX(1,AO1538/X1538),IF(BW1538=1,IF(AO1538&lt;=0,0,CA1538*MAX(1,IF(H1538&gt;0,AO1538/H1538,1))),IF(R1538&gt;0,AP1538/R1538,0))/MAX(0.1,N(Parameter!$M$21)))</f>
        <v>0.166666666666667</v>
      </c>
      <c r="AR1538" s="50" t="n">
        <f aca="false">AQ1538*BY1538</f>
        <v>40.8333333333333</v>
      </c>
      <c r="AS1538" s="50" t="n">
        <f aca="false">AO1538*G1538</f>
        <v>378</v>
      </c>
      <c r="AT1538" s="50" t="n">
        <f aca="false">ROUNDUP(MAX(J1538/IF(CD1538&gt;0,CD1538,MAX(0.1,N(Cockpit!$I$6))),CG1538)/BV1538,0)*BV1538</f>
        <v>18</v>
      </c>
      <c r="AU1538" s="51" t="n">
        <f aca="false">IF(AR1538&gt;0,J1538/AR1538,-1)</f>
        <v>0</v>
      </c>
      <c r="AV1538" s="51" t="n">
        <f aca="false">IF(AND(OR(CC1538="L1",CC1538="L23",CC1538="LIFT"),AR1538&gt;0),SUMIFS($AR$7:$AR$1843,$CC$7:$CC$1843,CC1538,$AU$7:$AU$1843,"&gt;"&amp;AU1538)+SUMIFS($AR$7:$AR$1843,$CC$7:$CC$1843,CC1538,$AU$7:$AU$1843,AU1538,$BT$7:$BT$1843,"&lt;="&amp;BT1538),"")</f>
        <v>42472.9300976801</v>
      </c>
      <c r="AW1538" s="58" t="n">
        <f aca="false">IF(AV1538="",0,MAX(0,MIN(1,(IF(CC1538="L1",Parameter!$H$5,IF(CC1538="L23",Parameter!$H$6+Parameter!$H$7,Parameter!$H$5+Parameter!$H$6+Parameter!$H$7))-(AV1538-AR1538))/AR1538)))</f>
        <v>0</v>
      </c>
      <c r="AX1538" s="50" t="n">
        <f aca="false">IF(LEFT(Cockpit!$O$5,1)="A",H1538,IF(CE1538=1,CF1538,IF(LEFT(Cockpit!$O$5,1)="B",BC1538,MAX(BC1538,H1538))))</f>
        <v>18</v>
      </c>
      <c r="AY1538" s="50" t="n">
        <f aca="false">IF(BW1538=1,0,ROUNDUP(AX1538/BV1538,0))</f>
        <v>2</v>
      </c>
      <c r="AZ1538" s="52" t="n">
        <f aca="false">IF(CL1538&gt;0,CL1538*MAX(1,AX1538/X1538),IF(BW1538=1,IF(AX1538&lt;=0,0,CA1538*MAX(1,IF(H1538&gt;0,AX1538/H1538,1))),IF(R1538&gt;0,AY1538/R1538,0))/MAX(0.1,N(Parameter!$M$21)))</f>
        <v>0.166666666666667</v>
      </c>
      <c r="BA1538" s="50" t="n">
        <f aca="false">AZ1538*BY1538</f>
        <v>40.8333333333333</v>
      </c>
      <c r="BB1538" s="50" t="n">
        <f aca="false">AX1538*G1538</f>
        <v>378</v>
      </c>
      <c r="BC1538" s="50" t="n">
        <f aca="false">ROUNDUP(MAX(J1538/IF(CD1538&gt;0,CD1538,MAX(0.1,N(Cockpit!$O$6))),CG1538)/BV1538,0)*BV1538</f>
        <v>18</v>
      </c>
      <c r="BD1538" s="51" t="n">
        <f aca="false">IF(BA1538&gt;0,J1538/BA1538,-1)</f>
        <v>0</v>
      </c>
      <c r="BE1538" s="51" t="n">
        <f aca="false">IF(AND(OR(CC1538="L1",CC1538="L23",CC1538="LIFT"),BA1538&gt;0),SUMIFS($BA$7:$BA$1843,$CC$7:$CC$1843,CC1538,$BD$7:$BD$1843,"&gt;"&amp;BD1538)+SUMIFS($BA$7:$BA$1843,$CC$7:$CC$1843,CC1538,$BD$7:$BD$1843,BD1538,$BT$7:$BT$1843,"&lt;="&amp;BT1538),"")</f>
        <v>39147.942139546</v>
      </c>
      <c r="BF1538" s="58" t="n">
        <f aca="false">IF(BE1538="",0,MAX(0,MIN(1,(IF(CC1538="L1",Parameter!$H$5,IF(CC1538="L23",Parameter!$H$6+Parameter!$H$7,Parameter!$H$5+Parameter!$H$6+Parameter!$H$7))-(BE1538-BA1538))/BA1538)))</f>
        <v>0</v>
      </c>
      <c r="BG1538" s="48" t="str">
        <f aca="false">IF(AI1538&lt;=0,"",IF(CC1538="Aussen","Aussenlager",IF(CC1538="-","Nicht im Lift",IF(AN1538&gt;=1,"Lift",IF(AN1538&lt;=0,"Aussenlager","teilweise")))))</f>
        <v>Lift</v>
      </c>
      <c r="BH1538" s="48" t="str">
        <f aca="false">IF(AR1538&lt;=0,"",IF(CC1538="Aussen","Aussenlager",IF(CC1538="-","Nicht im Lift",IF(AW1538&gt;=1,"Lift",IF(AW1538&lt;=0,"Aussenlager","teilweise")))))</f>
        <v>Aussenlager</v>
      </c>
      <c r="BI1538" s="48" t="str">
        <f aca="false">IF(BA1538&lt;=0,"",IF(CC1538="Aussen","Aussenlager",IF(CC1538="-","Nicht im Lift",IF(BF1538&gt;=1,"Lift",IF(BF1538&lt;=0,"Aussenlager","teilweise")))))</f>
        <v>Aussenlager</v>
      </c>
      <c r="BJ1538" s="48" t="str">
        <f aca="false">IF(A1538="","",IF(BS1538=1,"Neu; ","")&amp;IF(AND(BS1538=0,BN1538&lt;0),"negativer Bestand (Export "&amp;BN1538&amp;"); ","")&amp;IF(J1538&lt;=0,"Kein Verbrauch; ","")&amp;IF(CL1538&gt;0,"Lift "&amp;W1538&amp;" lt. Liftbericht (Fach "&amp;X1538&amp;" Stk); ",IF(BX1538=1,"Gebinde geschätzt ("&amp;T1538&amp;"); ",IF(BW1538=1,"Lose – Tablare geschätzt; ","")))&amp;IF(H1538&gt;AT1538,"Überbestand "&amp;ROUND(H1538-AT1538,0)&amp;" Stk / CHF "&amp;ROUND((H1538-AT1538)*G1538,0)&amp;"; ","")&amp;IF(AND(CE1538=1,CF1538&lt;CG1538),"MAX &lt; MB+LG; ","")&amp;IF(AND(CK1538&gt;0,CJ1538*10&gt;CK1538),"zu hoch für Tablar; ","")&amp;IF(AND(BS1538=0,OR(CE1538=1,AA1538&lt;&gt;"",U1538&lt;&gt;"",V1538&lt;&gt;"",AB1538&lt;&gt;"")),"manuell übersteuert; ","")&amp;IF(AND(BW1538=0,R1538=0),"Gebinde unbekannt / Stellmass fehlt; ","")&amp;IF(AND(BW1538=0,N(V1538)&lt;=0,N(Q1538)&lt;=0),"Menge pro Gebinde fehlt (Ist = 1 Gebinde); ","")&amp;BR1538)</f>
        <v>Kein Verbrauch; nur im Artikelstamm (Bestand 23.06.2026); Neu</v>
      </c>
      <c r="BK1538" s="48"/>
      <c r="BL1538" s="48"/>
      <c r="BM1538" s="55"/>
      <c r="BN1538" s="50" t="n">
        <v>9</v>
      </c>
      <c r="BO1538" s="50" t="n">
        <v>0</v>
      </c>
      <c r="BP1538" s="49" t="n">
        <v>0</v>
      </c>
      <c r="BQ1538" s="50" t="n">
        <v>0</v>
      </c>
      <c r="BR1538" s="48" t="s">
        <v>2671</v>
      </c>
      <c r="BS1538" s="53" t="n">
        <v>0</v>
      </c>
      <c r="BT1538" s="53" t="n">
        <v>1538</v>
      </c>
      <c r="BU1538" s="48" t="str">
        <f aca="false">IF(U1538&lt;&gt;"",UPPER(TRIM(U1538)),IF(BX1538=1,UPPER(VLOOKUP(T1538,Parameter!$I$27:$K$29,2,0)),IF(P1538="","LOSE",P1538)))</f>
        <v>S62</v>
      </c>
      <c r="BV1538" s="50" t="n">
        <f aca="false">IF(BU1538="LOSE",1,IF(N(V1538)&gt;0,V1538,IF(BX1538=1,MAX(1,N(VLOOKUP(T1538,Parameter!$I$27:$K$29,3,0)),H1538,N(N1538)),IF(N(Q1538)&gt;0,Q1538,MAX(1,H1538)))))</f>
        <v>9</v>
      </c>
      <c r="BW1538" s="53" t="n">
        <f aca="false">IF(BU1538="LOSE",1,0)</f>
        <v>0</v>
      </c>
      <c r="BX1538" s="53" t="n">
        <f aca="false">IF(AND(U1538="",OR(P1538="",P1538="LOSE"),T1538&lt;&gt;"",N(S1538)&lt;=0,ISNUMBER(MATCH(T1538,Parameter!$I$27:$I$29,0))),1,0)</f>
        <v>0</v>
      </c>
      <c r="BY1538" s="53" t="n">
        <f aca="false">IF(CL1538&gt;0,INDEX(Parameter!$H$5:$H$7,W1538)/INDEX(Parameter!$E$5:$E$7,W1538),IF(AND(BW1538=0,N(IFERROR(VLOOKUP(BU1538,'Gebinde-Kategorie'!$A$5:$N$45,14,0),0))&gt;0),VLOOKUP(BU1538,'Gebinde-Kategorie'!$A$5:$N$45,14,0)*10+Parameter!$M$23,Parameter!$M$24))</f>
        <v>245</v>
      </c>
      <c r="BZ1538" s="48" t="str">
        <f aca="false">IF(AND(Parameter!$B$19="Ja",E1538&lt;&gt;"",ISNUMBER(MATCH(E1538,Parameter!$I$35:$I$52,0))),VLOOKUP(E1538,Parameter!$I$35:$J$52,2,0),IFERROR(VLOOKUP(D1538,Parameter!$A$35:$C$64,2,0),"Nein"))</f>
        <v>2+3</v>
      </c>
      <c r="CA1538" s="52" t="n">
        <f aca="false">IF(BW1538=0,0,IF(N(S1538)&gt;0,S1538,IFERROR(VLOOKUP(D1538,Parameter!$A$35:$C$64,3,0)+0,0)))</f>
        <v>0</v>
      </c>
      <c r="CB1538" s="48" t="n">
        <f aca="false">IF(AA1538&lt;&gt;"",AA1538,Z1538)</f>
        <v>2</v>
      </c>
      <c r="CC1538" s="48" t="str">
        <f aca="false">IF(OR(CB1538=1,CB1538=2,CB1538=3),IF(Parameter!$E$27="Ja","LIFT",IF(CB1538=1,"L1","L23")),IF(CB1538="Aussen","Aussen","-"))</f>
        <v>LIFT</v>
      </c>
      <c r="CD1538" s="59" t="n">
        <f aca="false">IF(N(AB1538)&gt;0,AB1538,0)</f>
        <v>0</v>
      </c>
      <c r="CE1538" s="53" t="n">
        <f aca="false">IF(ISNUMBER(AE1538),1,0)</f>
        <v>0</v>
      </c>
      <c r="CF1538" s="50" t="n">
        <f aca="false">N(AE1538)</f>
        <v>0</v>
      </c>
      <c r="CG1538" s="50" t="n">
        <f aca="false">N(M1538)+N(N1538)</f>
        <v>10</v>
      </c>
      <c r="CH1538" s="50" t="n">
        <f aca="false">ROUNDUP(H1538/BV1538,0)</f>
        <v>1</v>
      </c>
      <c r="CI1538" s="50" t="n">
        <f aca="false">ROUNDUP(CF1538/BV1538,0)</f>
        <v>0</v>
      </c>
      <c r="CJ1538" s="53" t="n">
        <f aca="false">IF(BW1538=1,0,IFERROR(VLOOKUP(BU1538,'Gebinde-Kategorie'!$A$5:$N$45,5,0)+0,0))</f>
        <v>21</v>
      </c>
      <c r="CK1538" s="53" t="n">
        <f aca="false">IFERROR(IF(OR(CB1538=1,CB1538=2,CB1538=3),N(INDEX(Parameter!$I$5:$I$7,CB1538)),0),0)</f>
        <v>0</v>
      </c>
      <c r="CL1538" s="52" t="n">
        <f aca="false">IF(AND(Parameter!$B$21="Ja",ISNUMBER(W1538),N(X1538)&gt;0),IFERROR(N(INDEX(Parameter!$L$5:$L$7,W1538))*INDEX(Parameter!$E$5:$E$7,W1538)*X1538/SUMIFS($X$7:$X$1843,$W$7:$W$1843,W1538),0),0)</f>
        <v>0</v>
      </c>
    </row>
    <row r="1539" customFormat="false" ht="15" hidden="false" customHeight="false" outlineLevel="0" collapsed="false">
      <c r="A1539" s="48" t="s">
        <v>2694</v>
      </c>
      <c r="B1539" s="48" t="s">
        <v>1872</v>
      </c>
      <c r="C1539" s="48" t="s">
        <v>168</v>
      </c>
      <c r="D1539" s="48" t="s">
        <v>188</v>
      </c>
      <c r="E1539" s="48" t="s">
        <v>189</v>
      </c>
      <c r="F1539" s="48"/>
      <c r="G1539" s="49" t="n">
        <v>142.8</v>
      </c>
      <c r="H1539" s="50" t="n">
        <f aca="false">MAX(0,IF(AND(Parameter!$B$21="Ja",ISNUMBER(Y1539)),Y1539,IF(Parameter!$B$20="Jahresanfang 2025 + Export",BO1539+BN1539,BN1539)))</f>
        <v>4</v>
      </c>
      <c r="I1539" s="50" t="n">
        <f aca="false">H1539*G1539</f>
        <v>571.2</v>
      </c>
      <c r="J1539" s="50" t="n">
        <f aca="false">BQ1539*Parameter!$B$18</f>
        <v>0</v>
      </c>
      <c r="K1539" s="51"/>
      <c r="L1539" s="52"/>
      <c r="M1539" s="50" t="n">
        <v>0</v>
      </c>
      <c r="N1539" s="50" t="n">
        <v>2</v>
      </c>
      <c r="O1539" s="53" t="n">
        <v>168</v>
      </c>
      <c r="P1539" s="48" t="s">
        <v>332</v>
      </c>
      <c r="Q1539" s="50" t="n">
        <v>4</v>
      </c>
      <c r="R1539" s="53" t="n">
        <f aca="false">IF(BW1539=1,0,IFERROR(VLOOKUP(BU1539,'Gebinde-Kategorie'!$A$5:$N$45,13,0)+0,0))</f>
        <v>52</v>
      </c>
      <c r="S1539" s="54"/>
      <c r="T1539" s="55"/>
      <c r="U1539" s="55"/>
      <c r="V1539" s="55"/>
      <c r="W1539" s="48"/>
      <c r="X1539" s="50"/>
      <c r="Y1539" s="50"/>
      <c r="Z1539" s="48" t="n">
        <f aca="false">IF(A1539="","",IF(AND(Parameter!$B$21="Ja",ISNUMBER(W1539)),W1539,IF(BZ1539="2+3",IF(ISNUMBER(SEARCH("grosser Artikel",BR1539)),2,IFERROR(VLOOKUP(BU1539,Parameter!$F$35:$G$64,2,0),2)),IF(OR(BZ1539="Nein",BZ1539=""),"-",BZ1539))))</f>
        <v>3</v>
      </c>
      <c r="AA1539" s="55"/>
      <c r="AB1539" s="56"/>
      <c r="AC1539" s="50" t="n">
        <f aca="false">AT1539</f>
        <v>4</v>
      </c>
      <c r="AD1539" s="50" t="n">
        <f aca="false">MAX(AT1539,H1539)</f>
        <v>4</v>
      </c>
      <c r="AE1539" s="57"/>
      <c r="AF1539" s="50" t="n">
        <f aca="false">IF(LEFT(Cockpit!$C$5,1)="A",H1539,IF(CE1539=1,CF1539,IF(LEFT(Cockpit!$C$5,1)="B",AK1539,MAX(AK1539,H1539))))</f>
        <v>4</v>
      </c>
      <c r="AG1539" s="50" t="n">
        <f aca="false">IF(BW1539=1,0,ROUNDUP(AF1539/BV1539,0))</f>
        <v>1</v>
      </c>
      <c r="AH1539" s="52" t="n">
        <f aca="false">IF(CL1539&gt;0,CL1539*MAX(1,AF1539/X1539),IF(BW1539=1,IF(AF1539&lt;=0,0,CA1539*MAX(1,IF(H1539&gt;0,AF1539/H1539,1))),IF(R1539&gt;0,AG1539/R1539,0))/MAX(0.1,N(Parameter!$M$21)))</f>
        <v>0.0192307692307692</v>
      </c>
      <c r="AI1539" s="50" t="n">
        <f aca="false">AH1539*BY1539</f>
        <v>2.98076923076923</v>
      </c>
      <c r="AJ1539" s="50" t="n">
        <f aca="false">AF1539*G1539</f>
        <v>571.2</v>
      </c>
      <c r="AK1539" s="50" t="n">
        <f aca="false">ROUNDUP(MAX(J1539/IF(CD1539&gt;0,CD1539,MAX(0.1,N(Cockpit!$C$6))),CG1539)/BV1539,0)*BV1539</f>
        <v>4</v>
      </c>
      <c r="AL1539" s="51" t="n">
        <f aca="false">IF(AI1539&gt;0,J1539/AI1539,-1)</f>
        <v>0</v>
      </c>
      <c r="AM1539" s="51" t="n">
        <f aca="false">IF(AND(OR(CC1539="L1",CC1539="L23",CC1539="LIFT"),AI1539&gt;0),SUMIFS($AI$7:$AI$1843,$CC$7:$CC$1843,CC1539,$AL$7:$AL$1843,"&gt;"&amp;AL1539)+SUMIFS($AI$7:$AI$1843,$CC$7:$CC$1843,CC1539,$AL$7:$AL$1843,AL1539,$BT$7:$BT$1843,"&lt;="&amp;BT1539),"")</f>
        <v>30127.4220163076</v>
      </c>
      <c r="AN1539" s="58" t="n">
        <f aca="false">IF(AM1539="",0,MAX(0,MIN(1,(IF(CC1539="L1",Parameter!$H$5,IF(CC1539="L23",Parameter!$H$6+Parameter!$H$7,Parameter!$H$5+Parameter!$H$6+Parameter!$H$7))-(AM1539-AI1539))/AI1539)))</f>
        <v>1</v>
      </c>
      <c r="AO1539" s="50" t="n">
        <f aca="false">IF(LEFT(Cockpit!$I$5,1)="A",H1539,IF(CE1539=1,CF1539,IF(LEFT(Cockpit!$I$5,1)="B",AT1539,MAX(AT1539,H1539))))</f>
        <v>4</v>
      </c>
      <c r="AP1539" s="50" t="n">
        <f aca="false">IF(BW1539=1,0,ROUNDUP(AO1539/BV1539,0))</f>
        <v>1</v>
      </c>
      <c r="AQ1539" s="52" t="n">
        <f aca="false">IF(CL1539&gt;0,CL1539*MAX(1,AO1539/X1539),IF(BW1539=1,IF(AO1539&lt;=0,0,CA1539*MAX(1,IF(H1539&gt;0,AO1539/H1539,1))),IF(R1539&gt;0,AP1539/R1539,0))/MAX(0.1,N(Parameter!$M$21)))</f>
        <v>0.0192307692307692</v>
      </c>
      <c r="AR1539" s="50" t="n">
        <f aca="false">AQ1539*BY1539</f>
        <v>2.98076923076923</v>
      </c>
      <c r="AS1539" s="50" t="n">
        <f aca="false">AO1539*G1539</f>
        <v>571.2</v>
      </c>
      <c r="AT1539" s="50" t="n">
        <f aca="false">ROUNDUP(MAX(J1539/IF(CD1539&gt;0,CD1539,MAX(0.1,N(Cockpit!$I$6))),CG1539)/BV1539,0)*BV1539</f>
        <v>4</v>
      </c>
      <c r="AU1539" s="51" t="n">
        <f aca="false">IF(AR1539&gt;0,J1539/AR1539,-1)</f>
        <v>0</v>
      </c>
      <c r="AV1539" s="51" t="n">
        <f aca="false">IF(AND(OR(CC1539="L1",CC1539="L23",CC1539="LIFT"),AR1539&gt;0),SUMIFS($AR$7:$AR$1843,$CC$7:$CC$1843,CC1539,$AU$7:$AU$1843,"&gt;"&amp;AU1539)+SUMIFS($AR$7:$AR$1843,$CC$7:$CC$1843,CC1539,$AU$7:$AU$1843,AU1539,$BT$7:$BT$1843,"&lt;="&amp;BT1539),"")</f>
        <v>42475.9108669109</v>
      </c>
      <c r="AW1539" s="58" t="n">
        <f aca="false">IF(AV1539="",0,MAX(0,MIN(1,(IF(CC1539="L1",Parameter!$H$5,IF(CC1539="L23",Parameter!$H$6+Parameter!$H$7,Parameter!$H$5+Parameter!$H$6+Parameter!$H$7))-(AV1539-AR1539))/AR1539)))</f>
        <v>0</v>
      </c>
      <c r="AX1539" s="50" t="n">
        <f aca="false">IF(LEFT(Cockpit!$O$5,1)="A",H1539,IF(CE1539=1,CF1539,IF(LEFT(Cockpit!$O$5,1)="B",BC1539,MAX(BC1539,H1539))))</f>
        <v>4</v>
      </c>
      <c r="AY1539" s="50" t="n">
        <f aca="false">IF(BW1539=1,0,ROUNDUP(AX1539/BV1539,0))</f>
        <v>1</v>
      </c>
      <c r="AZ1539" s="52" t="n">
        <f aca="false">IF(CL1539&gt;0,CL1539*MAX(1,AX1539/X1539),IF(BW1539=1,IF(AX1539&lt;=0,0,CA1539*MAX(1,IF(H1539&gt;0,AX1539/H1539,1))),IF(R1539&gt;0,AY1539/R1539,0))/MAX(0.1,N(Parameter!$M$21)))</f>
        <v>0.0192307692307692</v>
      </c>
      <c r="BA1539" s="50" t="n">
        <f aca="false">AZ1539*BY1539</f>
        <v>2.98076923076923</v>
      </c>
      <c r="BB1539" s="50" t="n">
        <f aca="false">AX1539*G1539</f>
        <v>571.2</v>
      </c>
      <c r="BC1539" s="50" t="n">
        <f aca="false">ROUNDUP(MAX(J1539/IF(CD1539&gt;0,CD1539,MAX(0.1,N(Cockpit!$O$6))),CG1539)/BV1539,0)*BV1539</f>
        <v>4</v>
      </c>
      <c r="BD1539" s="51" t="n">
        <f aca="false">IF(BA1539&gt;0,J1539/BA1539,-1)</f>
        <v>0</v>
      </c>
      <c r="BE1539" s="51" t="n">
        <f aca="false">IF(AND(OR(CC1539="L1",CC1539="L23",CC1539="LIFT"),BA1539&gt;0),SUMIFS($BA$7:$BA$1843,$CC$7:$CC$1843,CC1539,$BD$7:$BD$1843,"&gt;"&amp;BD1539)+SUMIFS($BA$7:$BA$1843,$CC$7:$CC$1843,CC1539,$BD$7:$BD$1843,BD1539,$BT$7:$BT$1843,"&lt;="&amp;BT1539),"")</f>
        <v>39150.9229087767</v>
      </c>
      <c r="BF1539" s="58" t="n">
        <f aca="false">IF(BE1539="",0,MAX(0,MIN(1,(IF(CC1539="L1",Parameter!$H$5,IF(CC1539="L23",Parameter!$H$6+Parameter!$H$7,Parameter!$H$5+Parameter!$H$6+Parameter!$H$7))-(BE1539-BA1539))/BA1539)))</f>
        <v>0</v>
      </c>
      <c r="BG1539" s="48" t="str">
        <f aca="false">IF(AI1539&lt;=0,"",IF(CC1539="Aussen","Aussenlager",IF(CC1539="-","Nicht im Lift",IF(AN1539&gt;=1,"Lift",IF(AN1539&lt;=0,"Aussenlager","teilweise")))))</f>
        <v>Lift</v>
      </c>
      <c r="BH1539" s="48" t="str">
        <f aca="false">IF(AR1539&lt;=0,"",IF(CC1539="Aussen","Aussenlager",IF(CC1539="-","Nicht im Lift",IF(AW1539&gt;=1,"Lift",IF(AW1539&lt;=0,"Aussenlager","teilweise")))))</f>
        <v>Aussenlager</v>
      </c>
      <c r="BI1539" s="48" t="str">
        <f aca="false">IF(BA1539&lt;=0,"",IF(CC1539="Aussen","Aussenlager",IF(CC1539="-","Nicht im Lift",IF(BF1539&gt;=1,"Lift",IF(BF1539&lt;=0,"Aussenlager","teilweise")))))</f>
        <v>Aussenlager</v>
      </c>
      <c r="BJ1539" s="48" t="str">
        <f aca="false">IF(A1539="","",IF(BS1539=1,"Neu; ","")&amp;IF(AND(BS1539=0,BN1539&lt;0),"negativer Bestand (Export "&amp;BN1539&amp;"); ","")&amp;IF(J1539&lt;=0,"Kein Verbrauch; ","")&amp;IF(CL1539&gt;0,"Lift "&amp;W1539&amp;" lt. Liftbericht (Fach "&amp;X1539&amp;" Stk); ",IF(BX1539=1,"Gebinde geschätzt ("&amp;T1539&amp;"); ",IF(BW1539=1,"Lose – Tablare geschätzt; ","")))&amp;IF(H1539&gt;AT1539,"Überbestand "&amp;ROUND(H1539-AT1539,0)&amp;" Stk / CHF "&amp;ROUND((H1539-AT1539)*G1539,0)&amp;"; ","")&amp;IF(AND(CE1539=1,CF1539&lt;CG1539),"MAX &lt; MB+LG; ","")&amp;IF(AND(CK1539&gt;0,CJ1539*10&gt;CK1539),"zu hoch für Tablar; ","")&amp;IF(AND(BS1539=0,OR(CE1539=1,AA1539&lt;&gt;"",U1539&lt;&gt;"",V1539&lt;&gt;"",AB1539&lt;&gt;"")),"manuell übersteuert; ","")&amp;IF(AND(BW1539=0,R1539=0),"Gebinde unbekannt / Stellmass fehlt; ","")&amp;IF(AND(BW1539=0,N(V1539)&lt;=0,N(Q1539)&lt;=0),"Menge pro Gebinde fehlt (Ist = 1 Gebinde); ","")&amp;BR1539)</f>
        <v>Kein Verbrauch; nur im Artikelstamm (Bestand 23.06.2026)</v>
      </c>
      <c r="BK1539" s="48"/>
      <c r="BL1539" s="48"/>
      <c r="BM1539" s="55"/>
      <c r="BN1539" s="50" t="n">
        <v>4</v>
      </c>
      <c r="BO1539" s="50" t="n">
        <v>0</v>
      </c>
      <c r="BP1539" s="49" t="n">
        <v>0</v>
      </c>
      <c r="BQ1539" s="50" t="n">
        <v>0</v>
      </c>
      <c r="BR1539" s="48" t="s">
        <v>2579</v>
      </c>
      <c r="BS1539" s="53" t="n">
        <v>0</v>
      </c>
      <c r="BT1539" s="53" t="n">
        <v>1539</v>
      </c>
      <c r="BU1539" s="48" t="str">
        <f aca="false">IF(U1539&lt;&gt;"",UPPER(TRIM(U1539)),IF(BX1539=1,UPPER(VLOOKUP(T1539,Parameter!$I$27:$K$29,2,0)),IF(P1539="","LOSE",P1539)))</f>
        <v>S41</v>
      </c>
      <c r="BV1539" s="50" t="n">
        <f aca="false">IF(BU1539="LOSE",1,IF(N(V1539)&gt;0,V1539,IF(BX1539=1,MAX(1,N(VLOOKUP(T1539,Parameter!$I$27:$K$29,3,0)),H1539,N(N1539)),IF(N(Q1539)&gt;0,Q1539,MAX(1,H1539)))))</f>
        <v>4</v>
      </c>
      <c r="BW1539" s="53" t="n">
        <f aca="false">IF(BU1539="LOSE",1,0)</f>
        <v>0</v>
      </c>
      <c r="BX1539" s="53" t="n">
        <f aca="false">IF(AND(U1539="",OR(P1539="",P1539="LOSE"),T1539&lt;&gt;"",N(S1539)&lt;=0,ISNUMBER(MATCH(T1539,Parameter!$I$27:$I$29,0))),1,0)</f>
        <v>0</v>
      </c>
      <c r="BY1539" s="53" t="n">
        <f aca="false">IF(CL1539&gt;0,INDEX(Parameter!$H$5:$H$7,W1539)/INDEX(Parameter!$E$5:$E$7,W1539),IF(AND(BW1539=0,N(IFERROR(VLOOKUP(BU1539,'Gebinde-Kategorie'!$A$5:$N$45,14,0),0))&gt;0),VLOOKUP(BU1539,'Gebinde-Kategorie'!$A$5:$N$45,14,0)*10+Parameter!$M$23,Parameter!$M$24))</f>
        <v>155</v>
      </c>
      <c r="BZ1539" s="48" t="str">
        <f aca="false">IF(AND(Parameter!$B$19="Ja",E1539&lt;&gt;"",ISNUMBER(MATCH(E1539,Parameter!$I$35:$I$52,0))),VLOOKUP(E1539,Parameter!$I$35:$J$52,2,0),IFERROR(VLOOKUP(D1539,Parameter!$A$35:$C$64,2,0),"Nein"))</f>
        <v>2+3</v>
      </c>
      <c r="CA1539" s="52" t="n">
        <f aca="false">IF(BW1539=0,0,IF(N(S1539)&gt;0,S1539,IFERROR(VLOOKUP(D1539,Parameter!$A$35:$C$64,3,0)+0,0)))</f>
        <v>0</v>
      </c>
      <c r="CB1539" s="48" t="n">
        <f aca="false">IF(AA1539&lt;&gt;"",AA1539,Z1539)</f>
        <v>3</v>
      </c>
      <c r="CC1539" s="48" t="str">
        <f aca="false">IF(OR(CB1539=1,CB1539=2,CB1539=3),IF(Parameter!$E$27="Ja","LIFT",IF(CB1539=1,"L1","L23")),IF(CB1539="Aussen","Aussen","-"))</f>
        <v>LIFT</v>
      </c>
      <c r="CD1539" s="59" t="n">
        <f aca="false">IF(N(AB1539)&gt;0,AB1539,0)</f>
        <v>0</v>
      </c>
      <c r="CE1539" s="53" t="n">
        <f aca="false">IF(ISNUMBER(AE1539),1,0)</f>
        <v>0</v>
      </c>
      <c r="CF1539" s="50" t="n">
        <f aca="false">N(AE1539)</f>
        <v>0</v>
      </c>
      <c r="CG1539" s="50" t="n">
        <f aca="false">N(M1539)+N(N1539)</f>
        <v>2</v>
      </c>
      <c r="CH1539" s="50" t="n">
        <f aca="false">ROUNDUP(H1539/BV1539,0)</f>
        <v>1</v>
      </c>
      <c r="CI1539" s="50" t="n">
        <f aca="false">ROUNDUP(CF1539/BV1539,0)</f>
        <v>0</v>
      </c>
      <c r="CJ1539" s="53" t="n">
        <f aca="false">IF(BW1539=1,0,IFERROR(VLOOKUP(BU1539,'Gebinde-Kategorie'!$A$5:$N$45,5,0)+0,0))</f>
        <v>11</v>
      </c>
      <c r="CK1539" s="53" t="n">
        <f aca="false">IFERROR(IF(OR(CB1539=1,CB1539=2,CB1539=3),N(INDEX(Parameter!$I$5:$I$7,CB1539)),0),0)</f>
        <v>0</v>
      </c>
      <c r="CL1539" s="52" t="n">
        <f aca="false">IF(AND(Parameter!$B$21="Ja",ISNUMBER(W1539),N(X1539)&gt;0),IFERROR(N(INDEX(Parameter!$L$5:$L$7,W1539))*INDEX(Parameter!$E$5:$E$7,W1539)*X1539/SUMIFS($X$7:$X$1843,$W$7:$W$1843,W1539),0),0)</f>
        <v>0</v>
      </c>
    </row>
    <row r="1540" customFormat="false" ht="15" hidden="false" customHeight="false" outlineLevel="0" collapsed="false">
      <c r="A1540" s="48" t="s">
        <v>2695</v>
      </c>
      <c r="B1540" s="48" t="s">
        <v>2696</v>
      </c>
      <c r="C1540" s="48" t="s">
        <v>168</v>
      </c>
      <c r="D1540" s="48" t="s">
        <v>188</v>
      </c>
      <c r="E1540" s="48" t="s">
        <v>189</v>
      </c>
      <c r="F1540" s="48"/>
      <c r="G1540" s="49" t="n">
        <v>94.81</v>
      </c>
      <c r="H1540" s="50" t="n">
        <f aca="false">MAX(0,IF(AND(Parameter!$B$21="Ja",ISNUMBER(Y1540)),Y1540,IF(Parameter!$B$20="Jahresanfang 2025 + Export",BO1540+BN1540,BN1540)))</f>
        <v>4</v>
      </c>
      <c r="I1540" s="50" t="n">
        <f aca="false">H1540*G1540</f>
        <v>379.24</v>
      </c>
      <c r="J1540" s="50" t="n">
        <f aca="false">BQ1540*Parameter!$B$18</f>
        <v>0</v>
      </c>
      <c r="K1540" s="51"/>
      <c r="L1540" s="52"/>
      <c r="M1540" s="50" t="n">
        <v>0</v>
      </c>
      <c r="N1540" s="50" t="n">
        <v>2</v>
      </c>
      <c r="O1540" s="53" t="n">
        <v>91</v>
      </c>
      <c r="P1540" s="48" t="s">
        <v>332</v>
      </c>
      <c r="Q1540" s="50" t="n">
        <v>4</v>
      </c>
      <c r="R1540" s="53" t="n">
        <f aca="false">IF(BW1540=1,0,IFERROR(VLOOKUP(BU1540,'Gebinde-Kategorie'!$A$5:$N$45,13,0)+0,0))</f>
        <v>52</v>
      </c>
      <c r="S1540" s="54"/>
      <c r="T1540" s="55"/>
      <c r="U1540" s="55"/>
      <c r="V1540" s="55"/>
      <c r="W1540" s="48"/>
      <c r="X1540" s="50"/>
      <c r="Y1540" s="50"/>
      <c r="Z1540" s="48" t="n">
        <f aca="false">IF(A1540="","",IF(AND(Parameter!$B$21="Ja",ISNUMBER(W1540)),W1540,IF(BZ1540="2+3",IF(ISNUMBER(SEARCH("grosser Artikel",BR1540)),2,IFERROR(VLOOKUP(BU1540,Parameter!$F$35:$G$64,2,0),2)),IF(OR(BZ1540="Nein",BZ1540=""),"-",BZ1540))))</f>
        <v>3</v>
      </c>
      <c r="AA1540" s="55"/>
      <c r="AB1540" s="56"/>
      <c r="AC1540" s="50" t="n">
        <f aca="false">AT1540</f>
        <v>4</v>
      </c>
      <c r="AD1540" s="50" t="n">
        <f aca="false">MAX(AT1540,H1540)</f>
        <v>4</v>
      </c>
      <c r="AE1540" s="57"/>
      <c r="AF1540" s="50" t="n">
        <f aca="false">IF(LEFT(Cockpit!$C$5,1)="A",H1540,IF(CE1540=1,CF1540,IF(LEFT(Cockpit!$C$5,1)="B",AK1540,MAX(AK1540,H1540))))</f>
        <v>4</v>
      </c>
      <c r="AG1540" s="50" t="n">
        <f aca="false">IF(BW1540=1,0,ROUNDUP(AF1540/BV1540,0))</f>
        <v>1</v>
      </c>
      <c r="AH1540" s="52" t="n">
        <f aca="false">IF(CL1540&gt;0,CL1540*MAX(1,AF1540/X1540),IF(BW1540=1,IF(AF1540&lt;=0,0,CA1540*MAX(1,IF(H1540&gt;0,AF1540/H1540,1))),IF(R1540&gt;0,AG1540/R1540,0))/MAX(0.1,N(Parameter!$M$21)))</f>
        <v>0.0192307692307692</v>
      </c>
      <c r="AI1540" s="50" t="n">
        <f aca="false">AH1540*BY1540</f>
        <v>2.98076923076923</v>
      </c>
      <c r="AJ1540" s="50" t="n">
        <f aca="false">AF1540*G1540</f>
        <v>379.24</v>
      </c>
      <c r="AK1540" s="50" t="n">
        <f aca="false">ROUNDUP(MAX(J1540/IF(CD1540&gt;0,CD1540,MAX(0.1,N(Cockpit!$C$6))),CG1540)/BV1540,0)*BV1540</f>
        <v>4</v>
      </c>
      <c r="AL1540" s="51" t="n">
        <f aca="false">IF(AI1540&gt;0,J1540/AI1540,-1)</f>
        <v>0</v>
      </c>
      <c r="AM1540" s="51" t="n">
        <f aca="false">IF(AND(OR(CC1540="L1",CC1540="L23",CC1540="LIFT"),AI1540&gt;0),SUMIFS($AI$7:$AI$1843,$CC$7:$CC$1843,CC1540,$AL$7:$AL$1843,"&gt;"&amp;AL1540)+SUMIFS($AI$7:$AI$1843,$CC$7:$CC$1843,CC1540,$AL$7:$AL$1843,AL1540,$BT$7:$BT$1843,"&lt;="&amp;BT1540),"")</f>
        <v>30130.4027855384</v>
      </c>
      <c r="AN1540" s="58" t="n">
        <f aca="false">IF(AM1540="",0,MAX(0,MIN(1,(IF(CC1540="L1",Parameter!$H$5,IF(CC1540="L23",Parameter!$H$6+Parameter!$H$7,Parameter!$H$5+Parameter!$H$6+Parameter!$H$7))-(AM1540-AI1540))/AI1540)))</f>
        <v>1</v>
      </c>
      <c r="AO1540" s="50" t="n">
        <f aca="false">IF(LEFT(Cockpit!$I$5,1)="A",H1540,IF(CE1540=1,CF1540,IF(LEFT(Cockpit!$I$5,1)="B",AT1540,MAX(AT1540,H1540))))</f>
        <v>4</v>
      </c>
      <c r="AP1540" s="50" t="n">
        <f aca="false">IF(BW1540=1,0,ROUNDUP(AO1540/BV1540,0))</f>
        <v>1</v>
      </c>
      <c r="AQ1540" s="52" t="n">
        <f aca="false">IF(CL1540&gt;0,CL1540*MAX(1,AO1540/X1540),IF(BW1540=1,IF(AO1540&lt;=0,0,CA1540*MAX(1,IF(H1540&gt;0,AO1540/H1540,1))),IF(R1540&gt;0,AP1540/R1540,0))/MAX(0.1,N(Parameter!$M$21)))</f>
        <v>0.0192307692307692</v>
      </c>
      <c r="AR1540" s="50" t="n">
        <f aca="false">AQ1540*BY1540</f>
        <v>2.98076923076923</v>
      </c>
      <c r="AS1540" s="50" t="n">
        <f aca="false">AO1540*G1540</f>
        <v>379.24</v>
      </c>
      <c r="AT1540" s="50" t="n">
        <f aca="false">ROUNDUP(MAX(J1540/IF(CD1540&gt;0,CD1540,MAX(0.1,N(Cockpit!$I$6))),CG1540)/BV1540,0)*BV1540</f>
        <v>4</v>
      </c>
      <c r="AU1540" s="51" t="n">
        <f aca="false">IF(AR1540&gt;0,J1540/AR1540,-1)</f>
        <v>0</v>
      </c>
      <c r="AV1540" s="51" t="n">
        <f aca="false">IF(AND(OR(CC1540="L1",CC1540="L23",CC1540="LIFT"),AR1540&gt;0),SUMIFS($AR$7:$AR$1843,$CC$7:$CC$1843,CC1540,$AU$7:$AU$1843,"&gt;"&amp;AU1540)+SUMIFS($AR$7:$AR$1843,$CC$7:$CC$1843,CC1540,$AU$7:$AU$1843,AU1540,$BT$7:$BT$1843,"&lt;="&amp;BT1540),"")</f>
        <v>42478.8916361416</v>
      </c>
      <c r="AW1540" s="58" t="n">
        <f aca="false">IF(AV1540="",0,MAX(0,MIN(1,(IF(CC1540="L1",Parameter!$H$5,IF(CC1540="L23",Parameter!$H$6+Parameter!$H$7,Parameter!$H$5+Parameter!$H$6+Parameter!$H$7))-(AV1540-AR1540))/AR1540)))</f>
        <v>0</v>
      </c>
      <c r="AX1540" s="50" t="n">
        <f aca="false">IF(LEFT(Cockpit!$O$5,1)="A",H1540,IF(CE1540=1,CF1540,IF(LEFT(Cockpit!$O$5,1)="B",BC1540,MAX(BC1540,H1540))))</f>
        <v>4</v>
      </c>
      <c r="AY1540" s="50" t="n">
        <f aca="false">IF(BW1540=1,0,ROUNDUP(AX1540/BV1540,0))</f>
        <v>1</v>
      </c>
      <c r="AZ1540" s="52" t="n">
        <f aca="false">IF(CL1540&gt;0,CL1540*MAX(1,AX1540/X1540),IF(BW1540=1,IF(AX1540&lt;=0,0,CA1540*MAX(1,IF(H1540&gt;0,AX1540/H1540,1))),IF(R1540&gt;0,AY1540/R1540,0))/MAX(0.1,N(Parameter!$M$21)))</f>
        <v>0.0192307692307692</v>
      </c>
      <c r="BA1540" s="50" t="n">
        <f aca="false">AZ1540*BY1540</f>
        <v>2.98076923076923</v>
      </c>
      <c r="BB1540" s="50" t="n">
        <f aca="false">AX1540*G1540</f>
        <v>379.24</v>
      </c>
      <c r="BC1540" s="50" t="n">
        <f aca="false">ROUNDUP(MAX(J1540/IF(CD1540&gt;0,CD1540,MAX(0.1,N(Cockpit!$O$6))),CG1540)/BV1540,0)*BV1540</f>
        <v>4</v>
      </c>
      <c r="BD1540" s="51" t="n">
        <f aca="false">IF(BA1540&gt;0,J1540/BA1540,-1)</f>
        <v>0</v>
      </c>
      <c r="BE1540" s="51" t="n">
        <f aca="false">IF(AND(OR(CC1540="L1",CC1540="L23",CC1540="LIFT"),BA1540&gt;0),SUMIFS($BA$7:$BA$1843,$CC$7:$CC$1843,CC1540,$BD$7:$BD$1843,"&gt;"&amp;BD1540)+SUMIFS($BA$7:$BA$1843,$CC$7:$CC$1843,CC1540,$BD$7:$BD$1843,BD1540,$BT$7:$BT$1843,"&lt;="&amp;BT1540),"")</f>
        <v>39153.9036780075</v>
      </c>
      <c r="BF1540" s="58" t="n">
        <f aca="false">IF(BE1540="",0,MAX(0,MIN(1,(IF(CC1540="L1",Parameter!$H$5,IF(CC1540="L23",Parameter!$H$6+Parameter!$H$7,Parameter!$H$5+Parameter!$H$6+Parameter!$H$7))-(BE1540-BA1540))/BA1540)))</f>
        <v>0</v>
      </c>
      <c r="BG1540" s="48" t="str">
        <f aca="false">IF(AI1540&lt;=0,"",IF(CC1540="Aussen","Aussenlager",IF(CC1540="-","Nicht im Lift",IF(AN1540&gt;=1,"Lift",IF(AN1540&lt;=0,"Aussenlager","teilweise")))))</f>
        <v>Lift</v>
      </c>
      <c r="BH1540" s="48" t="str">
        <f aca="false">IF(AR1540&lt;=0,"",IF(CC1540="Aussen","Aussenlager",IF(CC1540="-","Nicht im Lift",IF(AW1540&gt;=1,"Lift",IF(AW1540&lt;=0,"Aussenlager","teilweise")))))</f>
        <v>Aussenlager</v>
      </c>
      <c r="BI1540" s="48" t="str">
        <f aca="false">IF(BA1540&lt;=0,"",IF(CC1540="Aussen","Aussenlager",IF(CC1540="-","Nicht im Lift",IF(BF1540&gt;=1,"Lift",IF(BF1540&lt;=0,"Aussenlager","teilweise")))))</f>
        <v>Aussenlager</v>
      </c>
      <c r="BJ1540" s="48" t="str">
        <f aca="false">IF(A1540="","",IF(BS1540=1,"Neu; ","")&amp;IF(AND(BS1540=0,BN1540&lt;0),"negativer Bestand (Export "&amp;BN1540&amp;"); ","")&amp;IF(J1540&lt;=0,"Kein Verbrauch; ","")&amp;IF(CL1540&gt;0,"Lift "&amp;W1540&amp;" lt. Liftbericht (Fach "&amp;X1540&amp;" Stk); ",IF(BX1540=1,"Gebinde geschätzt ("&amp;T1540&amp;"); ",IF(BW1540=1,"Lose – Tablare geschätzt; ","")))&amp;IF(H1540&gt;AT1540,"Überbestand "&amp;ROUND(H1540-AT1540,0)&amp;" Stk / CHF "&amp;ROUND((H1540-AT1540)*G1540,0)&amp;"; ","")&amp;IF(AND(CE1540=1,CF1540&lt;CG1540),"MAX &lt; MB+LG; ","")&amp;IF(AND(CK1540&gt;0,CJ1540*10&gt;CK1540),"zu hoch für Tablar; ","")&amp;IF(AND(BS1540=0,OR(CE1540=1,AA1540&lt;&gt;"",U1540&lt;&gt;"",V1540&lt;&gt;"",AB1540&lt;&gt;"")),"manuell übersteuert; ","")&amp;IF(AND(BW1540=0,R1540=0),"Gebinde unbekannt / Stellmass fehlt; ","")&amp;IF(AND(BW1540=0,N(V1540)&lt;=0,N(Q1540)&lt;=0),"Menge pro Gebinde fehlt (Ist = 1 Gebinde); ","")&amp;BR1540)</f>
        <v>Kein Verbrauch; nur im Artikelstamm (Bestand 23.06.2026); Neu</v>
      </c>
      <c r="BK1540" s="48"/>
      <c r="BL1540" s="48"/>
      <c r="BM1540" s="55"/>
      <c r="BN1540" s="50" t="n">
        <v>4</v>
      </c>
      <c r="BO1540" s="50" t="n">
        <v>0</v>
      </c>
      <c r="BP1540" s="49" t="n">
        <v>0</v>
      </c>
      <c r="BQ1540" s="50" t="n">
        <v>0</v>
      </c>
      <c r="BR1540" s="48" t="s">
        <v>2671</v>
      </c>
      <c r="BS1540" s="53" t="n">
        <v>0</v>
      </c>
      <c r="BT1540" s="53" t="n">
        <v>1540</v>
      </c>
      <c r="BU1540" s="48" t="str">
        <f aca="false">IF(U1540&lt;&gt;"",UPPER(TRIM(U1540)),IF(BX1540=1,UPPER(VLOOKUP(T1540,Parameter!$I$27:$K$29,2,0)),IF(P1540="","LOSE",P1540)))</f>
        <v>S41</v>
      </c>
      <c r="BV1540" s="50" t="n">
        <f aca="false">IF(BU1540="LOSE",1,IF(N(V1540)&gt;0,V1540,IF(BX1540=1,MAX(1,N(VLOOKUP(T1540,Parameter!$I$27:$K$29,3,0)),H1540,N(N1540)),IF(N(Q1540)&gt;0,Q1540,MAX(1,H1540)))))</f>
        <v>4</v>
      </c>
      <c r="BW1540" s="53" t="n">
        <f aca="false">IF(BU1540="LOSE",1,0)</f>
        <v>0</v>
      </c>
      <c r="BX1540" s="53" t="n">
        <f aca="false">IF(AND(U1540="",OR(P1540="",P1540="LOSE"),T1540&lt;&gt;"",N(S1540)&lt;=0,ISNUMBER(MATCH(T1540,Parameter!$I$27:$I$29,0))),1,0)</f>
        <v>0</v>
      </c>
      <c r="BY1540" s="53" t="n">
        <f aca="false">IF(CL1540&gt;0,INDEX(Parameter!$H$5:$H$7,W1540)/INDEX(Parameter!$E$5:$E$7,W1540),IF(AND(BW1540=0,N(IFERROR(VLOOKUP(BU1540,'Gebinde-Kategorie'!$A$5:$N$45,14,0),0))&gt;0),VLOOKUP(BU1540,'Gebinde-Kategorie'!$A$5:$N$45,14,0)*10+Parameter!$M$23,Parameter!$M$24))</f>
        <v>155</v>
      </c>
      <c r="BZ1540" s="48" t="str">
        <f aca="false">IF(AND(Parameter!$B$19="Ja",E1540&lt;&gt;"",ISNUMBER(MATCH(E1540,Parameter!$I$35:$I$52,0))),VLOOKUP(E1540,Parameter!$I$35:$J$52,2,0),IFERROR(VLOOKUP(D1540,Parameter!$A$35:$C$64,2,0),"Nein"))</f>
        <v>2+3</v>
      </c>
      <c r="CA1540" s="52" t="n">
        <f aca="false">IF(BW1540=0,0,IF(N(S1540)&gt;0,S1540,IFERROR(VLOOKUP(D1540,Parameter!$A$35:$C$64,3,0)+0,0)))</f>
        <v>0</v>
      </c>
      <c r="CB1540" s="48" t="n">
        <f aca="false">IF(AA1540&lt;&gt;"",AA1540,Z1540)</f>
        <v>3</v>
      </c>
      <c r="CC1540" s="48" t="str">
        <f aca="false">IF(OR(CB1540=1,CB1540=2,CB1540=3),IF(Parameter!$E$27="Ja","LIFT",IF(CB1540=1,"L1","L23")),IF(CB1540="Aussen","Aussen","-"))</f>
        <v>LIFT</v>
      </c>
      <c r="CD1540" s="59" t="n">
        <f aca="false">IF(N(AB1540)&gt;0,AB1540,0)</f>
        <v>0</v>
      </c>
      <c r="CE1540" s="53" t="n">
        <f aca="false">IF(ISNUMBER(AE1540),1,0)</f>
        <v>0</v>
      </c>
      <c r="CF1540" s="50" t="n">
        <f aca="false">N(AE1540)</f>
        <v>0</v>
      </c>
      <c r="CG1540" s="50" t="n">
        <f aca="false">N(M1540)+N(N1540)</f>
        <v>2</v>
      </c>
      <c r="CH1540" s="50" t="n">
        <f aca="false">ROUNDUP(H1540/BV1540,0)</f>
        <v>1</v>
      </c>
      <c r="CI1540" s="50" t="n">
        <f aca="false">ROUNDUP(CF1540/BV1540,0)</f>
        <v>0</v>
      </c>
      <c r="CJ1540" s="53" t="n">
        <f aca="false">IF(BW1540=1,0,IFERROR(VLOOKUP(BU1540,'Gebinde-Kategorie'!$A$5:$N$45,5,0)+0,0))</f>
        <v>11</v>
      </c>
      <c r="CK1540" s="53" t="n">
        <f aca="false">IFERROR(IF(OR(CB1540=1,CB1540=2,CB1540=3),N(INDEX(Parameter!$I$5:$I$7,CB1540)),0),0)</f>
        <v>0</v>
      </c>
      <c r="CL1540" s="52" t="n">
        <f aca="false">IF(AND(Parameter!$B$21="Ja",ISNUMBER(W1540),N(X1540)&gt;0),IFERROR(N(INDEX(Parameter!$L$5:$L$7,W1540))*INDEX(Parameter!$E$5:$E$7,W1540)*X1540/SUMIFS($X$7:$X$1843,$W$7:$W$1843,W1540),0),0)</f>
        <v>0</v>
      </c>
    </row>
    <row r="1541" customFormat="false" ht="15" hidden="false" customHeight="false" outlineLevel="0" collapsed="false">
      <c r="A1541" s="48" t="s">
        <v>2697</v>
      </c>
      <c r="B1541" s="48" t="s">
        <v>2698</v>
      </c>
      <c r="C1541" s="48" t="s">
        <v>168</v>
      </c>
      <c r="D1541" s="48" t="s">
        <v>188</v>
      </c>
      <c r="E1541" s="48" t="s">
        <v>189</v>
      </c>
      <c r="F1541" s="48"/>
      <c r="G1541" s="49" t="n">
        <v>31</v>
      </c>
      <c r="H1541" s="50" t="n">
        <f aca="false">MAX(0,IF(AND(Parameter!$B$21="Ja",ISNUMBER(Y1541)),Y1541,IF(Parameter!$B$20="Jahresanfang 2025 + Export",BO1541+BN1541,BN1541)))</f>
        <v>6</v>
      </c>
      <c r="I1541" s="50" t="n">
        <f aca="false">H1541*G1541</f>
        <v>186</v>
      </c>
      <c r="J1541" s="50" t="n">
        <f aca="false">BQ1541*Parameter!$B$18</f>
        <v>0</v>
      </c>
      <c r="K1541" s="51"/>
      <c r="L1541" s="52"/>
      <c r="M1541" s="50" t="n">
        <v>0</v>
      </c>
      <c r="N1541" s="50" t="n">
        <v>9</v>
      </c>
      <c r="O1541" s="53" t="n">
        <v>35</v>
      </c>
      <c r="P1541" s="48" t="s">
        <v>425</v>
      </c>
      <c r="Q1541" s="50" t="n">
        <v>6</v>
      </c>
      <c r="R1541" s="53" t="n">
        <f aca="false">IF(BW1541=1,0,IFERROR(VLOOKUP(BU1541,'Gebinde-Kategorie'!$A$5:$N$45,13,0)+0,0))</f>
        <v>104</v>
      </c>
      <c r="S1541" s="54"/>
      <c r="T1541" s="55"/>
      <c r="U1541" s="55"/>
      <c r="V1541" s="55"/>
      <c r="W1541" s="48"/>
      <c r="X1541" s="50"/>
      <c r="Y1541" s="50"/>
      <c r="Z1541" s="48" t="n">
        <f aca="false">IF(A1541="","",IF(AND(Parameter!$B$21="Ja",ISNUMBER(W1541)),W1541,IF(BZ1541="2+3",IF(ISNUMBER(SEARCH("grosser Artikel",BR1541)),2,IFERROR(VLOOKUP(BU1541,Parameter!$F$35:$G$64,2,0),2)),IF(OR(BZ1541="Nein",BZ1541=""),"-",BZ1541))))</f>
        <v>3</v>
      </c>
      <c r="AA1541" s="55"/>
      <c r="AB1541" s="56"/>
      <c r="AC1541" s="50" t="n">
        <f aca="false">AT1541</f>
        <v>12</v>
      </c>
      <c r="AD1541" s="50" t="n">
        <f aca="false">MAX(AT1541,H1541)</f>
        <v>12</v>
      </c>
      <c r="AE1541" s="57"/>
      <c r="AF1541" s="50" t="n">
        <f aca="false">IF(LEFT(Cockpit!$C$5,1)="A",H1541,IF(CE1541=1,CF1541,IF(LEFT(Cockpit!$C$5,1)="B",AK1541,MAX(AK1541,H1541))))</f>
        <v>6</v>
      </c>
      <c r="AG1541" s="50" t="n">
        <f aca="false">IF(BW1541=1,0,ROUNDUP(AF1541/BV1541,0))</f>
        <v>1</v>
      </c>
      <c r="AH1541" s="52" t="n">
        <f aca="false">IF(CL1541&gt;0,CL1541*MAX(1,AF1541/X1541),IF(BW1541=1,IF(AF1541&lt;=0,0,CA1541*MAX(1,IF(H1541&gt;0,AF1541/H1541,1))),IF(R1541&gt;0,AG1541/R1541,0))/MAX(0.1,N(Parameter!$M$21)))</f>
        <v>0.00961538461538462</v>
      </c>
      <c r="AI1541" s="50" t="n">
        <f aca="false">AH1541*BY1541</f>
        <v>1.49038461538462</v>
      </c>
      <c r="AJ1541" s="50" t="n">
        <f aca="false">AF1541*G1541</f>
        <v>186</v>
      </c>
      <c r="AK1541" s="50" t="n">
        <f aca="false">ROUNDUP(MAX(J1541/IF(CD1541&gt;0,CD1541,MAX(0.1,N(Cockpit!$C$6))),CG1541)/BV1541,0)*BV1541</f>
        <v>12</v>
      </c>
      <c r="AL1541" s="51" t="n">
        <f aca="false">IF(AI1541&gt;0,J1541/AI1541,-1)</f>
        <v>0</v>
      </c>
      <c r="AM1541" s="51" t="n">
        <f aca="false">IF(AND(OR(CC1541="L1",CC1541="L23",CC1541="LIFT"),AI1541&gt;0),SUMIFS($AI$7:$AI$1843,$CC$7:$CC$1843,CC1541,$AL$7:$AL$1843,"&gt;"&amp;AL1541)+SUMIFS($AI$7:$AI$1843,$CC$7:$CC$1843,CC1541,$AL$7:$AL$1843,AL1541,$BT$7:$BT$1843,"&lt;="&amp;BT1541),"")</f>
        <v>30131.8931701538</v>
      </c>
      <c r="AN1541" s="58" t="n">
        <f aca="false">IF(AM1541="",0,MAX(0,MIN(1,(IF(CC1541="L1",Parameter!$H$5,IF(CC1541="L23",Parameter!$H$6+Parameter!$H$7,Parameter!$H$5+Parameter!$H$6+Parameter!$H$7))-(AM1541-AI1541))/AI1541)))</f>
        <v>1</v>
      </c>
      <c r="AO1541" s="50" t="n">
        <f aca="false">IF(LEFT(Cockpit!$I$5,1)="A",H1541,IF(CE1541=1,CF1541,IF(LEFT(Cockpit!$I$5,1)="B",AT1541,MAX(AT1541,H1541))))</f>
        <v>12</v>
      </c>
      <c r="AP1541" s="50" t="n">
        <f aca="false">IF(BW1541=1,0,ROUNDUP(AO1541/BV1541,0))</f>
        <v>2</v>
      </c>
      <c r="AQ1541" s="52" t="n">
        <f aca="false">IF(CL1541&gt;0,CL1541*MAX(1,AO1541/X1541),IF(BW1541=1,IF(AO1541&lt;=0,0,CA1541*MAX(1,IF(H1541&gt;0,AO1541/H1541,1))),IF(R1541&gt;0,AP1541/R1541,0))/MAX(0.1,N(Parameter!$M$21)))</f>
        <v>0.0192307692307692</v>
      </c>
      <c r="AR1541" s="50" t="n">
        <f aca="false">AQ1541*BY1541</f>
        <v>2.98076923076923</v>
      </c>
      <c r="AS1541" s="50" t="n">
        <f aca="false">AO1541*G1541</f>
        <v>372</v>
      </c>
      <c r="AT1541" s="50" t="n">
        <f aca="false">ROUNDUP(MAX(J1541/IF(CD1541&gt;0,CD1541,MAX(0.1,N(Cockpit!$I$6))),CG1541)/BV1541,0)*BV1541</f>
        <v>12</v>
      </c>
      <c r="AU1541" s="51" t="n">
        <f aca="false">IF(AR1541&gt;0,J1541/AR1541,-1)</f>
        <v>0</v>
      </c>
      <c r="AV1541" s="51" t="n">
        <f aca="false">IF(AND(OR(CC1541="L1",CC1541="L23",CC1541="LIFT"),AR1541&gt;0),SUMIFS($AR$7:$AR$1843,$CC$7:$CC$1843,CC1541,$AU$7:$AU$1843,"&gt;"&amp;AU1541)+SUMIFS($AR$7:$AR$1843,$CC$7:$CC$1843,CC1541,$AU$7:$AU$1843,AU1541,$BT$7:$BT$1843,"&lt;="&amp;BT1541),"")</f>
        <v>42481.8724053724</v>
      </c>
      <c r="AW1541" s="58" t="n">
        <f aca="false">IF(AV1541="",0,MAX(0,MIN(1,(IF(CC1541="L1",Parameter!$H$5,IF(CC1541="L23",Parameter!$H$6+Parameter!$H$7,Parameter!$H$5+Parameter!$H$6+Parameter!$H$7))-(AV1541-AR1541))/AR1541)))</f>
        <v>0</v>
      </c>
      <c r="AX1541" s="50" t="n">
        <f aca="false">IF(LEFT(Cockpit!$O$5,1)="A",H1541,IF(CE1541=1,CF1541,IF(LEFT(Cockpit!$O$5,1)="B",BC1541,MAX(BC1541,H1541))))</f>
        <v>12</v>
      </c>
      <c r="AY1541" s="50" t="n">
        <f aca="false">IF(BW1541=1,0,ROUNDUP(AX1541/BV1541,0))</f>
        <v>2</v>
      </c>
      <c r="AZ1541" s="52" t="n">
        <f aca="false">IF(CL1541&gt;0,CL1541*MAX(1,AX1541/X1541),IF(BW1541=1,IF(AX1541&lt;=0,0,CA1541*MAX(1,IF(H1541&gt;0,AX1541/H1541,1))),IF(R1541&gt;0,AY1541/R1541,0))/MAX(0.1,N(Parameter!$M$21)))</f>
        <v>0.0192307692307692</v>
      </c>
      <c r="BA1541" s="50" t="n">
        <f aca="false">AZ1541*BY1541</f>
        <v>2.98076923076923</v>
      </c>
      <c r="BB1541" s="50" t="n">
        <f aca="false">AX1541*G1541</f>
        <v>372</v>
      </c>
      <c r="BC1541" s="50" t="n">
        <f aca="false">ROUNDUP(MAX(J1541/IF(CD1541&gt;0,CD1541,MAX(0.1,N(Cockpit!$O$6))),CG1541)/BV1541,0)*BV1541</f>
        <v>12</v>
      </c>
      <c r="BD1541" s="51" t="n">
        <f aca="false">IF(BA1541&gt;0,J1541/BA1541,-1)</f>
        <v>0</v>
      </c>
      <c r="BE1541" s="51" t="n">
        <f aca="false">IF(AND(OR(CC1541="L1",CC1541="L23",CC1541="LIFT"),BA1541&gt;0),SUMIFS($BA$7:$BA$1843,$CC$7:$CC$1843,CC1541,$BD$7:$BD$1843,"&gt;"&amp;BD1541)+SUMIFS($BA$7:$BA$1843,$CC$7:$CC$1843,CC1541,$BD$7:$BD$1843,BD1541,$BT$7:$BT$1843,"&lt;="&amp;BT1541),"")</f>
        <v>39156.8844472383</v>
      </c>
      <c r="BF1541" s="58" t="n">
        <f aca="false">IF(BE1541="",0,MAX(0,MIN(1,(IF(CC1541="L1",Parameter!$H$5,IF(CC1541="L23",Parameter!$H$6+Parameter!$H$7,Parameter!$H$5+Parameter!$H$6+Parameter!$H$7))-(BE1541-BA1541))/BA1541)))</f>
        <v>0</v>
      </c>
      <c r="BG1541" s="48" t="str">
        <f aca="false">IF(AI1541&lt;=0,"",IF(CC1541="Aussen","Aussenlager",IF(CC1541="-","Nicht im Lift",IF(AN1541&gt;=1,"Lift",IF(AN1541&lt;=0,"Aussenlager","teilweise")))))</f>
        <v>Lift</v>
      </c>
      <c r="BH1541" s="48" t="str">
        <f aca="false">IF(AR1541&lt;=0,"",IF(CC1541="Aussen","Aussenlager",IF(CC1541="-","Nicht im Lift",IF(AW1541&gt;=1,"Lift",IF(AW1541&lt;=0,"Aussenlager","teilweise")))))</f>
        <v>Aussenlager</v>
      </c>
      <c r="BI1541" s="48" t="str">
        <f aca="false">IF(BA1541&lt;=0,"",IF(CC1541="Aussen","Aussenlager",IF(CC1541="-","Nicht im Lift",IF(BF1541&gt;=1,"Lift",IF(BF1541&lt;=0,"Aussenlager","teilweise")))))</f>
        <v>Aussenlager</v>
      </c>
      <c r="BJ1541" s="48" t="str">
        <f aca="false">IF(A1541="","",IF(BS1541=1,"Neu; ","")&amp;IF(AND(BS1541=0,BN1541&lt;0),"negativer Bestand (Export "&amp;BN1541&amp;"); ","")&amp;IF(J1541&lt;=0,"Kein Verbrauch; ","")&amp;IF(CL1541&gt;0,"Lift "&amp;W1541&amp;" lt. Liftbericht (Fach "&amp;X1541&amp;" Stk); ",IF(BX1541=1,"Gebinde geschätzt ("&amp;T1541&amp;"); ",IF(BW1541=1,"Lose – Tablare geschätzt; ","")))&amp;IF(H1541&gt;AT1541,"Überbestand "&amp;ROUND(H1541-AT1541,0)&amp;" Stk / CHF "&amp;ROUND((H1541-AT1541)*G1541,0)&amp;"; ","")&amp;IF(AND(CE1541=1,CF1541&lt;CG1541),"MAX &lt; MB+LG; ","")&amp;IF(AND(CK1541&gt;0,CJ1541*10&gt;CK1541),"zu hoch für Tablar; ","")&amp;IF(AND(BS1541=0,OR(CE1541=1,AA1541&lt;&gt;"",U1541&lt;&gt;"",V1541&lt;&gt;"",AB1541&lt;&gt;"")),"manuell übersteuert; ","")&amp;IF(AND(BW1541=0,R1541=0),"Gebinde unbekannt / Stellmass fehlt; ","")&amp;IF(AND(BW1541=0,N(V1541)&lt;=0,N(Q1541)&lt;=0),"Menge pro Gebinde fehlt (Ist = 1 Gebinde); ","")&amp;BR1541)</f>
        <v>Kein Verbrauch; nur im Artikelstamm (Bestand 23.06.2026)</v>
      </c>
      <c r="BK1541" s="48"/>
      <c r="BL1541" s="48"/>
      <c r="BM1541" s="55"/>
      <c r="BN1541" s="50" t="n">
        <v>6</v>
      </c>
      <c r="BO1541" s="50" t="n">
        <v>0</v>
      </c>
      <c r="BP1541" s="49" t="n">
        <v>0</v>
      </c>
      <c r="BQ1541" s="50" t="n">
        <v>0</v>
      </c>
      <c r="BR1541" s="48" t="s">
        <v>2579</v>
      </c>
      <c r="BS1541" s="53" t="n">
        <v>0</v>
      </c>
      <c r="BT1541" s="53" t="n">
        <v>1541</v>
      </c>
      <c r="BU1541" s="48" t="str">
        <f aca="false">IF(U1541&lt;&gt;"",UPPER(TRIM(U1541)),IF(BX1541=1,UPPER(VLOOKUP(T1541,Parameter!$I$27:$K$29,2,0)),IF(P1541="","LOSE",P1541)))</f>
        <v>S32</v>
      </c>
      <c r="BV1541" s="50" t="n">
        <f aca="false">IF(BU1541="LOSE",1,IF(N(V1541)&gt;0,V1541,IF(BX1541=1,MAX(1,N(VLOOKUP(T1541,Parameter!$I$27:$K$29,3,0)),H1541,N(N1541)),IF(N(Q1541)&gt;0,Q1541,MAX(1,H1541)))))</f>
        <v>6</v>
      </c>
      <c r="BW1541" s="53" t="n">
        <f aca="false">IF(BU1541="LOSE",1,0)</f>
        <v>0</v>
      </c>
      <c r="BX1541" s="53" t="n">
        <f aca="false">IF(AND(U1541="",OR(P1541="",P1541="LOSE"),T1541&lt;&gt;"",N(S1541)&lt;=0,ISNUMBER(MATCH(T1541,Parameter!$I$27:$I$29,0))),1,0)</f>
        <v>0</v>
      </c>
      <c r="BY1541" s="53" t="n">
        <f aca="false">IF(CL1541&gt;0,INDEX(Parameter!$H$5:$H$7,W1541)/INDEX(Parameter!$E$5:$E$7,W1541),IF(AND(BW1541=0,N(IFERROR(VLOOKUP(BU1541,'Gebinde-Kategorie'!$A$5:$N$45,14,0),0))&gt;0),VLOOKUP(BU1541,'Gebinde-Kategorie'!$A$5:$N$45,14,0)*10+Parameter!$M$23,Parameter!$M$24))</f>
        <v>155</v>
      </c>
      <c r="BZ1541" s="48" t="str">
        <f aca="false">IF(AND(Parameter!$B$19="Ja",E1541&lt;&gt;"",ISNUMBER(MATCH(E1541,Parameter!$I$35:$I$52,0))),VLOOKUP(E1541,Parameter!$I$35:$J$52,2,0),IFERROR(VLOOKUP(D1541,Parameter!$A$35:$C$64,2,0),"Nein"))</f>
        <v>2+3</v>
      </c>
      <c r="CA1541" s="52" t="n">
        <f aca="false">IF(BW1541=0,0,IF(N(S1541)&gt;0,S1541,IFERROR(VLOOKUP(D1541,Parameter!$A$35:$C$64,3,0)+0,0)))</f>
        <v>0</v>
      </c>
      <c r="CB1541" s="48" t="n">
        <f aca="false">IF(AA1541&lt;&gt;"",AA1541,Z1541)</f>
        <v>3</v>
      </c>
      <c r="CC1541" s="48" t="str">
        <f aca="false">IF(OR(CB1541=1,CB1541=2,CB1541=3),IF(Parameter!$E$27="Ja","LIFT",IF(CB1541=1,"L1","L23")),IF(CB1541="Aussen","Aussen","-"))</f>
        <v>LIFT</v>
      </c>
      <c r="CD1541" s="59" t="n">
        <f aca="false">IF(N(AB1541)&gt;0,AB1541,0)</f>
        <v>0</v>
      </c>
      <c r="CE1541" s="53" t="n">
        <f aca="false">IF(ISNUMBER(AE1541),1,0)</f>
        <v>0</v>
      </c>
      <c r="CF1541" s="50" t="n">
        <f aca="false">N(AE1541)</f>
        <v>0</v>
      </c>
      <c r="CG1541" s="50" t="n">
        <f aca="false">N(M1541)+N(N1541)</f>
        <v>9</v>
      </c>
      <c r="CH1541" s="50" t="n">
        <f aca="false">ROUNDUP(H1541/BV1541,0)</f>
        <v>1</v>
      </c>
      <c r="CI1541" s="50" t="n">
        <f aca="false">ROUNDUP(CF1541/BV1541,0)</f>
        <v>0</v>
      </c>
      <c r="CJ1541" s="53" t="n">
        <f aca="false">IF(BW1541=1,0,IFERROR(VLOOKUP(BU1541,'Gebinde-Kategorie'!$A$5:$N$45,5,0)+0,0))</f>
        <v>8</v>
      </c>
      <c r="CK1541" s="53" t="n">
        <f aca="false">IFERROR(IF(OR(CB1541=1,CB1541=2,CB1541=3),N(INDEX(Parameter!$I$5:$I$7,CB1541)),0),0)</f>
        <v>0</v>
      </c>
      <c r="CL1541" s="52" t="n">
        <f aca="false">IF(AND(Parameter!$B$21="Ja",ISNUMBER(W1541),N(X1541)&gt;0),IFERROR(N(INDEX(Parameter!$L$5:$L$7,W1541))*INDEX(Parameter!$E$5:$E$7,W1541)*X1541/SUMIFS($X$7:$X$1843,$W$7:$W$1843,W1541),0),0)</f>
        <v>0</v>
      </c>
    </row>
    <row r="1542" customFormat="false" ht="15" hidden="false" customHeight="false" outlineLevel="0" collapsed="false">
      <c r="A1542" s="48" t="s">
        <v>2699</v>
      </c>
      <c r="B1542" s="48" t="s">
        <v>2700</v>
      </c>
      <c r="C1542" s="48" t="s">
        <v>168</v>
      </c>
      <c r="D1542" s="48" t="s">
        <v>188</v>
      </c>
      <c r="E1542" s="48" t="s">
        <v>189</v>
      </c>
      <c r="F1542" s="48"/>
      <c r="G1542" s="49" t="n">
        <v>32.42</v>
      </c>
      <c r="H1542" s="50" t="n">
        <f aca="false">MAX(0,IF(AND(Parameter!$B$21="Ja",ISNUMBER(Y1542)),Y1542,IF(Parameter!$B$20="Jahresanfang 2025 + Export",BO1542+BN1542,BN1542)))</f>
        <v>30</v>
      </c>
      <c r="I1542" s="50" t="n">
        <f aca="false">H1542*G1542</f>
        <v>972.6</v>
      </c>
      <c r="J1542" s="50" t="n">
        <f aca="false">BQ1542*Parameter!$B$18</f>
        <v>0</v>
      </c>
      <c r="K1542" s="51"/>
      <c r="L1542" s="52"/>
      <c r="M1542" s="50" t="n">
        <v>0</v>
      </c>
      <c r="N1542" s="50" t="n">
        <v>25</v>
      </c>
      <c r="O1542" s="53" t="n">
        <v>21</v>
      </c>
      <c r="P1542" s="48" t="s">
        <v>480</v>
      </c>
      <c r="Q1542" s="50" t="n">
        <v>30</v>
      </c>
      <c r="R1542" s="53" t="n">
        <f aca="false">IF(BW1542=1,0,IFERROR(VLOOKUP(BU1542,'Gebinde-Kategorie'!$A$5:$N$45,13,0)+0,0))</f>
        <v>52</v>
      </c>
      <c r="S1542" s="54"/>
      <c r="T1542" s="55"/>
      <c r="U1542" s="55"/>
      <c r="V1542" s="55"/>
      <c r="W1542" s="48"/>
      <c r="X1542" s="50"/>
      <c r="Y1542" s="50"/>
      <c r="Z1542" s="48" t="n">
        <f aca="false">IF(A1542="","",IF(AND(Parameter!$B$21="Ja",ISNUMBER(W1542)),W1542,IF(BZ1542="2+3",IF(ISNUMBER(SEARCH("grosser Artikel",BR1542)),2,IFERROR(VLOOKUP(BU1542,Parameter!$F$35:$G$64,2,0),2)),IF(OR(BZ1542="Nein",BZ1542=""),"-",BZ1542))))</f>
        <v>3</v>
      </c>
      <c r="AA1542" s="55"/>
      <c r="AB1542" s="56"/>
      <c r="AC1542" s="50" t="n">
        <f aca="false">AT1542</f>
        <v>30</v>
      </c>
      <c r="AD1542" s="50" t="n">
        <f aca="false">MAX(AT1542,H1542)</f>
        <v>30</v>
      </c>
      <c r="AE1542" s="57"/>
      <c r="AF1542" s="50" t="n">
        <f aca="false">IF(LEFT(Cockpit!$C$5,1)="A",H1542,IF(CE1542=1,CF1542,IF(LEFT(Cockpit!$C$5,1)="B",AK1542,MAX(AK1542,H1542))))</f>
        <v>30</v>
      </c>
      <c r="AG1542" s="50" t="n">
        <f aca="false">IF(BW1542=1,0,ROUNDUP(AF1542/BV1542,0))</f>
        <v>1</v>
      </c>
      <c r="AH1542" s="52" t="n">
        <f aca="false">IF(CL1542&gt;0,CL1542*MAX(1,AF1542/X1542),IF(BW1542=1,IF(AF1542&lt;=0,0,CA1542*MAX(1,IF(H1542&gt;0,AF1542/H1542,1))),IF(R1542&gt;0,AG1542/R1542,0))/MAX(0.1,N(Parameter!$M$21)))</f>
        <v>0.0192307692307692</v>
      </c>
      <c r="AI1542" s="50" t="n">
        <f aca="false">AH1542*BY1542</f>
        <v>2.98076923076923</v>
      </c>
      <c r="AJ1542" s="50" t="n">
        <f aca="false">AF1542*G1542</f>
        <v>972.6</v>
      </c>
      <c r="AK1542" s="50" t="n">
        <f aca="false">ROUNDUP(MAX(J1542/IF(CD1542&gt;0,CD1542,MAX(0.1,N(Cockpit!$C$6))),CG1542)/BV1542,0)*BV1542</f>
        <v>30</v>
      </c>
      <c r="AL1542" s="51" t="n">
        <f aca="false">IF(AI1542&gt;0,J1542/AI1542,-1)</f>
        <v>0</v>
      </c>
      <c r="AM1542" s="51" t="n">
        <f aca="false">IF(AND(OR(CC1542="L1",CC1542="L23",CC1542="LIFT"),AI1542&gt;0),SUMIFS($AI$7:$AI$1843,$CC$7:$CC$1843,CC1542,$AL$7:$AL$1843,"&gt;"&amp;AL1542)+SUMIFS($AI$7:$AI$1843,$CC$7:$CC$1843,CC1542,$AL$7:$AL$1843,AL1542,$BT$7:$BT$1843,"&lt;="&amp;BT1542),"")</f>
        <v>30134.8739393845</v>
      </c>
      <c r="AN1542" s="58" t="n">
        <f aca="false">IF(AM1542="",0,MAX(0,MIN(1,(IF(CC1542="L1",Parameter!$H$5,IF(CC1542="L23",Parameter!$H$6+Parameter!$H$7,Parameter!$H$5+Parameter!$H$6+Parameter!$H$7))-(AM1542-AI1542))/AI1542)))</f>
        <v>1</v>
      </c>
      <c r="AO1542" s="50" t="n">
        <f aca="false">IF(LEFT(Cockpit!$I$5,1)="A",H1542,IF(CE1542=1,CF1542,IF(LEFT(Cockpit!$I$5,1)="B",AT1542,MAX(AT1542,H1542))))</f>
        <v>30</v>
      </c>
      <c r="AP1542" s="50" t="n">
        <f aca="false">IF(BW1542=1,0,ROUNDUP(AO1542/BV1542,0))</f>
        <v>1</v>
      </c>
      <c r="AQ1542" s="52" t="n">
        <f aca="false">IF(CL1542&gt;0,CL1542*MAX(1,AO1542/X1542),IF(BW1542=1,IF(AO1542&lt;=0,0,CA1542*MAX(1,IF(H1542&gt;0,AO1542/H1542,1))),IF(R1542&gt;0,AP1542/R1542,0))/MAX(0.1,N(Parameter!$M$21)))</f>
        <v>0.0192307692307692</v>
      </c>
      <c r="AR1542" s="50" t="n">
        <f aca="false">AQ1542*BY1542</f>
        <v>2.98076923076923</v>
      </c>
      <c r="AS1542" s="50" t="n">
        <f aca="false">AO1542*G1542</f>
        <v>972.6</v>
      </c>
      <c r="AT1542" s="50" t="n">
        <f aca="false">ROUNDUP(MAX(J1542/IF(CD1542&gt;0,CD1542,MAX(0.1,N(Cockpit!$I$6))),CG1542)/BV1542,0)*BV1542</f>
        <v>30</v>
      </c>
      <c r="AU1542" s="51" t="n">
        <f aca="false">IF(AR1542&gt;0,J1542/AR1542,-1)</f>
        <v>0</v>
      </c>
      <c r="AV1542" s="51" t="n">
        <f aca="false">IF(AND(OR(CC1542="L1",CC1542="L23",CC1542="LIFT"),AR1542&gt;0),SUMIFS($AR$7:$AR$1843,$CC$7:$CC$1843,CC1542,$AU$7:$AU$1843,"&gt;"&amp;AU1542)+SUMIFS($AR$7:$AR$1843,$CC$7:$CC$1843,CC1542,$AU$7:$AU$1843,AU1542,$BT$7:$BT$1843,"&lt;="&amp;BT1542),"")</f>
        <v>42484.8531746032</v>
      </c>
      <c r="AW1542" s="58" t="n">
        <f aca="false">IF(AV1542="",0,MAX(0,MIN(1,(IF(CC1542="L1",Parameter!$H$5,IF(CC1542="L23",Parameter!$H$6+Parameter!$H$7,Parameter!$H$5+Parameter!$H$6+Parameter!$H$7))-(AV1542-AR1542))/AR1542)))</f>
        <v>0</v>
      </c>
      <c r="AX1542" s="50" t="n">
        <f aca="false">IF(LEFT(Cockpit!$O$5,1)="A",H1542,IF(CE1542=1,CF1542,IF(LEFT(Cockpit!$O$5,1)="B",BC1542,MAX(BC1542,H1542))))</f>
        <v>30</v>
      </c>
      <c r="AY1542" s="50" t="n">
        <f aca="false">IF(BW1542=1,0,ROUNDUP(AX1542/BV1542,0))</f>
        <v>1</v>
      </c>
      <c r="AZ1542" s="52" t="n">
        <f aca="false">IF(CL1542&gt;0,CL1542*MAX(1,AX1542/X1542),IF(BW1542=1,IF(AX1542&lt;=0,0,CA1542*MAX(1,IF(H1542&gt;0,AX1542/H1542,1))),IF(R1542&gt;0,AY1542/R1542,0))/MAX(0.1,N(Parameter!$M$21)))</f>
        <v>0.0192307692307692</v>
      </c>
      <c r="BA1542" s="50" t="n">
        <f aca="false">AZ1542*BY1542</f>
        <v>2.98076923076923</v>
      </c>
      <c r="BB1542" s="50" t="n">
        <f aca="false">AX1542*G1542</f>
        <v>972.6</v>
      </c>
      <c r="BC1542" s="50" t="n">
        <f aca="false">ROUNDUP(MAX(J1542/IF(CD1542&gt;0,CD1542,MAX(0.1,N(Cockpit!$O$6))),CG1542)/BV1542,0)*BV1542</f>
        <v>30</v>
      </c>
      <c r="BD1542" s="51" t="n">
        <f aca="false">IF(BA1542&gt;0,J1542/BA1542,-1)</f>
        <v>0</v>
      </c>
      <c r="BE1542" s="51" t="n">
        <f aca="false">IF(AND(OR(CC1542="L1",CC1542="L23",CC1542="LIFT"),BA1542&gt;0),SUMIFS($BA$7:$BA$1843,$CC$7:$CC$1843,CC1542,$BD$7:$BD$1843,"&gt;"&amp;BD1542)+SUMIFS($BA$7:$BA$1843,$CC$7:$CC$1843,CC1542,$BD$7:$BD$1843,BD1542,$BT$7:$BT$1843,"&lt;="&amp;BT1542),"")</f>
        <v>39159.865216469</v>
      </c>
      <c r="BF1542" s="58" t="n">
        <f aca="false">IF(BE1542="",0,MAX(0,MIN(1,(IF(CC1542="L1",Parameter!$H$5,IF(CC1542="L23",Parameter!$H$6+Parameter!$H$7,Parameter!$H$5+Parameter!$H$6+Parameter!$H$7))-(BE1542-BA1542))/BA1542)))</f>
        <v>0</v>
      </c>
      <c r="BG1542" s="48" t="str">
        <f aca="false">IF(AI1542&lt;=0,"",IF(CC1542="Aussen","Aussenlager",IF(CC1542="-","Nicht im Lift",IF(AN1542&gt;=1,"Lift",IF(AN1542&lt;=0,"Aussenlager","teilweise")))))</f>
        <v>Lift</v>
      </c>
      <c r="BH1542" s="48" t="str">
        <f aca="false">IF(AR1542&lt;=0,"",IF(CC1542="Aussen","Aussenlager",IF(CC1542="-","Nicht im Lift",IF(AW1542&gt;=1,"Lift",IF(AW1542&lt;=0,"Aussenlager","teilweise")))))</f>
        <v>Aussenlager</v>
      </c>
      <c r="BI1542" s="48" t="str">
        <f aca="false">IF(BA1542&lt;=0,"",IF(CC1542="Aussen","Aussenlager",IF(CC1542="-","Nicht im Lift",IF(BF1542&gt;=1,"Lift",IF(BF1542&lt;=0,"Aussenlager","teilweise")))))</f>
        <v>Aussenlager</v>
      </c>
      <c r="BJ1542" s="48" t="str">
        <f aca="false">IF(A1542="","",IF(BS1542=1,"Neu; ","")&amp;IF(AND(BS1542=0,BN1542&lt;0),"negativer Bestand (Export "&amp;BN1542&amp;"); ","")&amp;IF(J1542&lt;=0,"Kein Verbrauch; ","")&amp;IF(CL1542&gt;0,"Lift "&amp;W1542&amp;" lt. Liftbericht (Fach "&amp;X1542&amp;" Stk); ",IF(BX1542=1,"Gebinde geschätzt ("&amp;T1542&amp;"); ",IF(BW1542=1,"Lose – Tablare geschätzt; ","")))&amp;IF(H1542&gt;AT1542,"Überbestand "&amp;ROUND(H1542-AT1542,0)&amp;" Stk / CHF "&amp;ROUND((H1542-AT1542)*G1542,0)&amp;"; ","")&amp;IF(AND(CE1542=1,CF1542&lt;CG1542),"MAX &lt; MB+LG; ","")&amp;IF(AND(CK1542&gt;0,CJ1542*10&gt;CK1542),"zu hoch für Tablar; ","")&amp;IF(AND(BS1542=0,OR(CE1542=1,AA1542&lt;&gt;"",U1542&lt;&gt;"",V1542&lt;&gt;"",AB1542&lt;&gt;"")),"manuell übersteuert; ","")&amp;IF(AND(BW1542=0,R1542=0),"Gebinde unbekannt / Stellmass fehlt; ","")&amp;IF(AND(BW1542=0,N(V1542)&lt;=0,N(Q1542)&lt;=0),"Menge pro Gebinde fehlt (Ist = 1 Gebinde); ","")&amp;BR1542)</f>
        <v>Kein Verbrauch; nur im Artikelstamm (Bestand 23.06.2026)</v>
      </c>
      <c r="BK1542" s="48"/>
      <c r="BL1542" s="48"/>
      <c r="BM1542" s="55"/>
      <c r="BN1542" s="50" t="n">
        <v>30</v>
      </c>
      <c r="BO1542" s="50" t="n">
        <v>0</v>
      </c>
      <c r="BP1542" s="49" t="n">
        <v>0</v>
      </c>
      <c r="BQ1542" s="50" t="n">
        <v>0</v>
      </c>
      <c r="BR1542" s="48" t="s">
        <v>2579</v>
      </c>
      <c r="BS1542" s="53" t="n">
        <v>0</v>
      </c>
      <c r="BT1542" s="53" t="n">
        <v>1542</v>
      </c>
      <c r="BU1542" s="48" t="str">
        <f aca="false">IF(U1542&lt;&gt;"",UPPER(TRIM(U1542)),IF(BX1542=1,UPPER(VLOOKUP(T1542,Parameter!$I$27:$K$29,2,0)),IF(P1542="","LOSE",P1542)))</f>
        <v>S33</v>
      </c>
      <c r="BV1542" s="50" t="n">
        <f aca="false">IF(BU1542="LOSE",1,IF(N(V1542)&gt;0,V1542,IF(BX1542=1,MAX(1,N(VLOOKUP(T1542,Parameter!$I$27:$K$29,3,0)),H1542,N(N1542)),IF(N(Q1542)&gt;0,Q1542,MAX(1,H1542)))))</f>
        <v>30</v>
      </c>
      <c r="BW1542" s="53" t="n">
        <f aca="false">IF(BU1542="LOSE",1,0)</f>
        <v>0</v>
      </c>
      <c r="BX1542" s="53" t="n">
        <f aca="false">IF(AND(U1542="",OR(P1542="",P1542="LOSE"),T1542&lt;&gt;"",N(S1542)&lt;=0,ISNUMBER(MATCH(T1542,Parameter!$I$27:$I$29,0))),1,0)</f>
        <v>0</v>
      </c>
      <c r="BY1542" s="53" t="n">
        <f aca="false">IF(CL1542&gt;0,INDEX(Parameter!$H$5:$H$7,W1542)/INDEX(Parameter!$E$5:$E$7,W1542),IF(AND(BW1542=0,N(IFERROR(VLOOKUP(BU1542,'Gebinde-Kategorie'!$A$5:$N$45,14,0),0))&gt;0),VLOOKUP(BU1542,'Gebinde-Kategorie'!$A$5:$N$45,14,0)*10+Parameter!$M$23,Parameter!$M$24))</f>
        <v>155</v>
      </c>
      <c r="BZ1542" s="48" t="str">
        <f aca="false">IF(AND(Parameter!$B$19="Ja",E1542&lt;&gt;"",ISNUMBER(MATCH(E1542,Parameter!$I$35:$I$52,0))),VLOOKUP(E1542,Parameter!$I$35:$J$52,2,0),IFERROR(VLOOKUP(D1542,Parameter!$A$35:$C$64,2,0),"Nein"))</f>
        <v>2+3</v>
      </c>
      <c r="CA1542" s="52" t="n">
        <f aca="false">IF(BW1542=0,0,IF(N(S1542)&gt;0,S1542,IFERROR(VLOOKUP(D1542,Parameter!$A$35:$C$64,3,0)+0,0)))</f>
        <v>0</v>
      </c>
      <c r="CB1542" s="48" t="n">
        <f aca="false">IF(AA1542&lt;&gt;"",AA1542,Z1542)</f>
        <v>3</v>
      </c>
      <c r="CC1542" s="48" t="str">
        <f aca="false">IF(OR(CB1542=1,CB1542=2,CB1542=3),IF(Parameter!$E$27="Ja","LIFT",IF(CB1542=1,"L1","L23")),IF(CB1542="Aussen","Aussen","-"))</f>
        <v>LIFT</v>
      </c>
      <c r="CD1542" s="59" t="n">
        <f aca="false">IF(N(AB1542)&gt;0,AB1542,0)</f>
        <v>0</v>
      </c>
      <c r="CE1542" s="53" t="n">
        <f aca="false">IF(ISNUMBER(AE1542),1,0)</f>
        <v>0</v>
      </c>
      <c r="CF1542" s="50" t="n">
        <f aca="false">N(AE1542)</f>
        <v>0</v>
      </c>
      <c r="CG1542" s="50" t="n">
        <f aca="false">N(M1542)+N(N1542)</f>
        <v>25</v>
      </c>
      <c r="CH1542" s="50" t="n">
        <f aca="false">ROUNDUP(H1542/BV1542,0)</f>
        <v>1</v>
      </c>
      <c r="CI1542" s="50" t="n">
        <f aca="false">ROUNDUP(CF1542/BV1542,0)</f>
        <v>0</v>
      </c>
      <c r="CJ1542" s="53" t="n">
        <f aca="false">IF(BW1542=1,0,IFERROR(VLOOKUP(BU1542,'Gebinde-Kategorie'!$A$5:$N$45,5,0)+0,0))</f>
        <v>8</v>
      </c>
      <c r="CK1542" s="53" t="n">
        <f aca="false">IFERROR(IF(OR(CB1542=1,CB1542=2,CB1542=3),N(INDEX(Parameter!$I$5:$I$7,CB1542)),0),0)</f>
        <v>0</v>
      </c>
      <c r="CL1542" s="52" t="n">
        <f aca="false">IF(AND(Parameter!$B$21="Ja",ISNUMBER(W1542),N(X1542)&gt;0),IFERROR(N(INDEX(Parameter!$L$5:$L$7,W1542))*INDEX(Parameter!$E$5:$E$7,W1542)*X1542/SUMIFS($X$7:$X$1843,$W$7:$W$1843,W1542),0),0)</f>
        <v>0</v>
      </c>
    </row>
    <row r="1543" customFormat="false" ht="15" hidden="false" customHeight="false" outlineLevel="0" collapsed="false">
      <c r="A1543" s="48" t="s">
        <v>2701</v>
      </c>
      <c r="B1543" s="48" t="s">
        <v>2702</v>
      </c>
      <c r="C1543" s="48" t="s">
        <v>168</v>
      </c>
      <c r="D1543" s="48" t="s">
        <v>188</v>
      </c>
      <c r="E1543" s="48" t="s">
        <v>189</v>
      </c>
      <c r="F1543" s="48"/>
      <c r="G1543" s="49" t="n">
        <v>34.37</v>
      </c>
      <c r="H1543" s="50" t="n">
        <f aca="false">MAX(0,IF(AND(Parameter!$B$21="Ja",ISNUMBER(Y1543)),Y1543,IF(Parameter!$B$20="Jahresanfang 2025 + Export",BO1543+BN1543,BN1543)))</f>
        <v>30</v>
      </c>
      <c r="I1543" s="50" t="n">
        <f aca="false">H1543*G1543</f>
        <v>1031.1</v>
      </c>
      <c r="J1543" s="50" t="n">
        <f aca="false">BQ1543*Parameter!$B$18</f>
        <v>0</v>
      </c>
      <c r="K1543" s="51"/>
      <c r="L1543" s="52"/>
      <c r="M1543" s="50" t="n">
        <v>0</v>
      </c>
      <c r="N1543" s="50" t="n">
        <v>25</v>
      </c>
      <c r="O1543" s="53" t="n">
        <v>21</v>
      </c>
      <c r="P1543" s="48" t="s">
        <v>480</v>
      </c>
      <c r="Q1543" s="50" t="n">
        <v>30</v>
      </c>
      <c r="R1543" s="53" t="n">
        <f aca="false">IF(BW1543=1,0,IFERROR(VLOOKUP(BU1543,'Gebinde-Kategorie'!$A$5:$N$45,13,0)+0,0))</f>
        <v>52</v>
      </c>
      <c r="S1543" s="54"/>
      <c r="T1543" s="55"/>
      <c r="U1543" s="55"/>
      <c r="V1543" s="55"/>
      <c r="W1543" s="48"/>
      <c r="X1543" s="50"/>
      <c r="Y1543" s="50"/>
      <c r="Z1543" s="48" t="n">
        <f aca="false">IF(A1543="","",IF(AND(Parameter!$B$21="Ja",ISNUMBER(W1543)),W1543,IF(BZ1543="2+3",IF(ISNUMBER(SEARCH("grosser Artikel",BR1543)),2,IFERROR(VLOOKUP(BU1543,Parameter!$F$35:$G$64,2,0),2)),IF(OR(BZ1543="Nein",BZ1543=""),"-",BZ1543))))</f>
        <v>3</v>
      </c>
      <c r="AA1543" s="55"/>
      <c r="AB1543" s="56"/>
      <c r="AC1543" s="50" t="n">
        <f aca="false">AT1543</f>
        <v>30</v>
      </c>
      <c r="AD1543" s="50" t="n">
        <f aca="false">MAX(AT1543,H1543)</f>
        <v>30</v>
      </c>
      <c r="AE1543" s="57"/>
      <c r="AF1543" s="50" t="n">
        <f aca="false">IF(LEFT(Cockpit!$C$5,1)="A",H1543,IF(CE1543=1,CF1543,IF(LEFT(Cockpit!$C$5,1)="B",AK1543,MAX(AK1543,H1543))))</f>
        <v>30</v>
      </c>
      <c r="AG1543" s="50" t="n">
        <f aca="false">IF(BW1543=1,0,ROUNDUP(AF1543/BV1543,0))</f>
        <v>1</v>
      </c>
      <c r="AH1543" s="52" t="n">
        <f aca="false">IF(CL1543&gt;0,CL1543*MAX(1,AF1543/X1543),IF(BW1543=1,IF(AF1543&lt;=0,0,CA1543*MAX(1,IF(H1543&gt;0,AF1543/H1543,1))),IF(R1543&gt;0,AG1543/R1543,0))/MAX(0.1,N(Parameter!$M$21)))</f>
        <v>0.0192307692307692</v>
      </c>
      <c r="AI1543" s="50" t="n">
        <f aca="false">AH1543*BY1543</f>
        <v>2.98076923076923</v>
      </c>
      <c r="AJ1543" s="50" t="n">
        <f aca="false">AF1543*G1543</f>
        <v>1031.1</v>
      </c>
      <c r="AK1543" s="50" t="n">
        <f aca="false">ROUNDUP(MAX(J1543/IF(CD1543&gt;0,CD1543,MAX(0.1,N(Cockpit!$C$6))),CG1543)/BV1543,0)*BV1543</f>
        <v>30</v>
      </c>
      <c r="AL1543" s="51" t="n">
        <f aca="false">IF(AI1543&gt;0,J1543/AI1543,-1)</f>
        <v>0</v>
      </c>
      <c r="AM1543" s="51" t="n">
        <f aca="false">IF(AND(OR(CC1543="L1",CC1543="L23",CC1543="LIFT"),AI1543&gt;0),SUMIFS($AI$7:$AI$1843,$CC$7:$CC$1843,CC1543,$AL$7:$AL$1843,"&gt;"&amp;AL1543)+SUMIFS($AI$7:$AI$1843,$CC$7:$CC$1843,CC1543,$AL$7:$AL$1843,AL1543,$BT$7:$BT$1843,"&lt;="&amp;BT1543),"")</f>
        <v>30137.8547086153</v>
      </c>
      <c r="AN1543" s="58" t="n">
        <f aca="false">IF(AM1543="",0,MAX(0,MIN(1,(IF(CC1543="L1",Parameter!$H$5,IF(CC1543="L23",Parameter!$H$6+Parameter!$H$7,Parameter!$H$5+Parameter!$H$6+Parameter!$H$7))-(AM1543-AI1543))/AI1543)))</f>
        <v>1</v>
      </c>
      <c r="AO1543" s="50" t="n">
        <f aca="false">IF(LEFT(Cockpit!$I$5,1)="A",H1543,IF(CE1543=1,CF1543,IF(LEFT(Cockpit!$I$5,1)="B",AT1543,MAX(AT1543,H1543))))</f>
        <v>30</v>
      </c>
      <c r="AP1543" s="50" t="n">
        <f aca="false">IF(BW1543=1,0,ROUNDUP(AO1543/BV1543,0))</f>
        <v>1</v>
      </c>
      <c r="AQ1543" s="52" t="n">
        <f aca="false">IF(CL1543&gt;0,CL1543*MAX(1,AO1543/X1543),IF(BW1543=1,IF(AO1543&lt;=0,0,CA1543*MAX(1,IF(H1543&gt;0,AO1543/H1543,1))),IF(R1543&gt;0,AP1543/R1543,0))/MAX(0.1,N(Parameter!$M$21)))</f>
        <v>0.0192307692307692</v>
      </c>
      <c r="AR1543" s="50" t="n">
        <f aca="false">AQ1543*BY1543</f>
        <v>2.98076923076923</v>
      </c>
      <c r="AS1543" s="50" t="n">
        <f aca="false">AO1543*G1543</f>
        <v>1031.1</v>
      </c>
      <c r="AT1543" s="50" t="n">
        <f aca="false">ROUNDUP(MAX(J1543/IF(CD1543&gt;0,CD1543,MAX(0.1,N(Cockpit!$I$6))),CG1543)/BV1543,0)*BV1543</f>
        <v>30</v>
      </c>
      <c r="AU1543" s="51" t="n">
        <f aca="false">IF(AR1543&gt;0,J1543/AR1543,-1)</f>
        <v>0</v>
      </c>
      <c r="AV1543" s="51" t="n">
        <f aca="false">IF(AND(OR(CC1543="L1",CC1543="L23",CC1543="LIFT"),AR1543&gt;0),SUMIFS($AR$7:$AR$1843,$CC$7:$CC$1843,CC1543,$AU$7:$AU$1843,"&gt;"&amp;AU1543)+SUMIFS($AR$7:$AR$1843,$CC$7:$CC$1843,CC1543,$AU$7:$AU$1843,AU1543,$BT$7:$BT$1843,"&lt;="&amp;BT1543),"")</f>
        <v>42487.8339438339</v>
      </c>
      <c r="AW1543" s="58" t="n">
        <f aca="false">IF(AV1543="",0,MAX(0,MIN(1,(IF(CC1543="L1",Parameter!$H$5,IF(CC1543="L23",Parameter!$H$6+Parameter!$H$7,Parameter!$H$5+Parameter!$H$6+Parameter!$H$7))-(AV1543-AR1543))/AR1543)))</f>
        <v>0</v>
      </c>
      <c r="AX1543" s="50" t="n">
        <f aca="false">IF(LEFT(Cockpit!$O$5,1)="A",H1543,IF(CE1543=1,CF1543,IF(LEFT(Cockpit!$O$5,1)="B",BC1543,MAX(BC1543,H1543))))</f>
        <v>30</v>
      </c>
      <c r="AY1543" s="50" t="n">
        <f aca="false">IF(BW1543=1,0,ROUNDUP(AX1543/BV1543,0))</f>
        <v>1</v>
      </c>
      <c r="AZ1543" s="52" t="n">
        <f aca="false">IF(CL1543&gt;0,CL1543*MAX(1,AX1543/X1543),IF(BW1543=1,IF(AX1543&lt;=0,0,CA1543*MAX(1,IF(H1543&gt;0,AX1543/H1543,1))),IF(R1543&gt;0,AY1543/R1543,0))/MAX(0.1,N(Parameter!$M$21)))</f>
        <v>0.0192307692307692</v>
      </c>
      <c r="BA1543" s="50" t="n">
        <f aca="false">AZ1543*BY1543</f>
        <v>2.98076923076923</v>
      </c>
      <c r="BB1543" s="50" t="n">
        <f aca="false">AX1543*G1543</f>
        <v>1031.1</v>
      </c>
      <c r="BC1543" s="50" t="n">
        <f aca="false">ROUNDUP(MAX(J1543/IF(CD1543&gt;0,CD1543,MAX(0.1,N(Cockpit!$O$6))),CG1543)/BV1543,0)*BV1543</f>
        <v>30</v>
      </c>
      <c r="BD1543" s="51" t="n">
        <f aca="false">IF(BA1543&gt;0,J1543/BA1543,-1)</f>
        <v>0</v>
      </c>
      <c r="BE1543" s="51" t="n">
        <f aca="false">IF(AND(OR(CC1543="L1",CC1543="L23",CC1543="LIFT"),BA1543&gt;0),SUMIFS($BA$7:$BA$1843,$CC$7:$CC$1843,CC1543,$BD$7:$BD$1843,"&gt;"&amp;BD1543)+SUMIFS($BA$7:$BA$1843,$CC$7:$CC$1843,CC1543,$BD$7:$BD$1843,BD1543,$BT$7:$BT$1843,"&lt;="&amp;BT1543),"")</f>
        <v>39162.8459856998</v>
      </c>
      <c r="BF1543" s="58" t="n">
        <f aca="false">IF(BE1543="",0,MAX(0,MIN(1,(IF(CC1543="L1",Parameter!$H$5,IF(CC1543="L23",Parameter!$H$6+Parameter!$H$7,Parameter!$H$5+Parameter!$H$6+Parameter!$H$7))-(BE1543-BA1543))/BA1543)))</f>
        <v>0</v>
      </c>
      <c r="BG1543" s="48" t="str">
        <f aca="false">IF(AI1543&lt;=0,"",IF(CC1543="Aussen","Aussenlager",IF(CC1543="-","Nicht im Lift",IF(AN1543&gt;=1,"Lift",IF(AN1543&lt;=0,"Aussenlager","teilweise")))))</f>
        <v>Lift</v>
      </c>
      <c r="BH1543" s="48" t="str">
        <f aca="false">IF(AR1543&lt;=0,"",IF(CC1543="Aussen","Aussenlager",IF(CC1543="-","Nicht im Lift",IF(AW1543&gt;=1,"Lift",IF(AW1543&lt;=0,"Aussenlager","teilweise")))))</f>
        <v>Aussenlager</v>
      </c>
      <c r="BI1543" s="48" t="str">
        <f aca="false">IF(BA1543&lt;=0,"",IF(CC1543="Aussen","Aussenlager",IF(CC1543="-","Nicht im Lift",IF(BF1543&gt;=1,"Lift",IF(BF1543&lt;=0,"Aussenlager","teilweise")))))</f>
        <v>Aussenlager</v>
      </c>
      <c r="BJ1543" s="48" t="str">
        <f aca="false">IF(A1543="","",IF(BS1543=1,"Neu; ","")&amp;IF(AND(BS1543=0,BN1543&lt;0),"negativer Bestand (Export "&amp;BN1543&amp;"); ","")&amp;IF(J1543&lt;=0,"Kein Verbrauch; ","")&amp;IF(CL1543&gt;0,"Lift "&amp;W1543&amp;" lt. Liftbericht (Fach "&amp;X1543&amp;" Stk); ",IF(BX1543=1,"Gebinde geschätzt ("&amp;T1543&amp;"); ",IF(BW1543=1,"Lose – Tablare geschätzt; ","")))&amp;IF(H1543&gt;AT1543,"Überbestand "&amp;ROUND(H1543-AT1543,0)&amp;" Stk / CHF "&amp;ROUND((H1543-AT1543)*G1543,0)&amp;"; ","")&amp;IF(AND(CE1543=1,CF1543&lt;CG1543),"MAX &lt; MB+LG; ","")&amp;IF(AND(CK1543&gt;0,CJ1543*10&gt;CK1543),"zu hoch für Tablar; ","")&amp;IF(AND(BS1543=0,OR(CE1543=1,AA1543&lt;&gt;"",U1543&lt;&gt;"",V1543&lt;&gt;"",AB1543&lt;&gt;"")),"manuell übersteuert; ","")&amp;IF(AND(BW1543=0,R1543=0),"Gebinde unbekannt / Stellmass fehlt; ","")&amp;IF(AND(BW1543=0,N(V1543)&lt;=0,N(Q1543)&lt;=0),"Menge pro Gebinde fehlt (Ist = 1 Gebinde); ","")&amp;BR1543)</f>
        <v>Kein Verbrauch; nur im Artikelstamm (Bestand 23.06.2026)</v>
      </c>
      <c r="BK1543" s="48"/>
      <c r="BL1543" s="48"/>
      <c r="BM1543" s="55"/>
      <c r="BN1543" s="50" t="n">
        <v>30</v>
      </c>
      <c r="BO1543" s="50" t="n">
        <v>0</v>
      </c>
      <c r="BP1543" s="49" t="n">
        <v>0</v>
      </c>
      <c r="BQ1543" s="50" t="n">
        <v>0</v>
      </c>
      <c r="BR1543" s="48" t="s">
        <v>2579</v>
      </c>
      <c r="BS1543" s="53" t="n">
        <v>0</v>
      </c>
      <c r="BT1543" s="53" t="n">
        <v>1543</v>
      </c>
      <c r="BU1543" s="48" t="str">
        <f aca="false">IF(U1543&lt;&gt;"",UPPER(TRIM(U1543)),IF(BX1543=1,UPPER(VLOOKUP(T1543,Parameter!$I$27:$K$29,2,0)),IF(P1543="","LOSE",P1543)))</f>
        <v>S33</v>
      </c>
      <c r="BV1543" s="50" t="n">
        <f aca="false">IF(BU1543="LOSE",1,IF(N(V1543)&gt;0,V1543,IF(BX1543=1,MAX(1,N(VLOOKUP(T1543,Parameter!$I$27:$K$29,3,0)),H1543,N(N1543)),IF(N(Q1543)&gt;0,Q1543,MAX(1,H1543)))))</f>
        <v>30</v>
      </c>
      <c r="BW1543" s="53" t="n">
        <f aca="false">IF(BU1543="LOSE",1,0)</f>
        <v>0</v>
      </c>
      <c r="BX1543" s="53" t="n">
        <f aca="false">IF(AND(U1543="",OR(P1543="",P1543="LOSE"),T1543&lt;&gt;"",N(S1543)&lt;=0,ISNUMBER(MATCH(T1543,Parameter!$I$27:$I$29,0))),1,0)</f>
        <v>0</v>
      </c>
      <c r="BY1543" s="53" t="n">
        <f aca="false">IF(CL1543&gt;0,INDEX(Parameter!$H$5:$H$7,W1543)/INDEX(Parameter!$E$5:$E$7,W1543),IF(AND(BW1543=0,N(IFERROR(VLOOKUP(BU1543,'Gebinde-Kategorie'!$A$5:$N$45,14,0),0))&gt;0),VLOOKUP(BU1543,'Gebinde-Kategorie'!$A$5:$N$45,14,0)*10+Parameter!$M$23,Parameter!$M$24))</f>
        <v>155</v>
      </c>
      <c r="BZ1543" s="48" t="str">
        <f aca="false">IF(AND(Parameter!$B$19="Ja",E1543&lt;&gt;"",ISNUMBER(MATCH(E1543,Parameter!$I$35:$I$52,0))),VLOOKUP(E1543,Parameter!$I$35:$J$52,2,0),IFERROR(VLOOKUP(D1543,Parameter!$A$35:$C$64,2,0),"Nein"))</f>
        <v>2+3</v>
      </c>
      <c r="CA1543" s="52" t="n">
        <f aca="false">IF(BW1543=0,0,IF(N(S1543)&gt;0,S1543,IFERROR(VLOOKUP(D1543,Parameter!$A$35:$C$64,3,0)+0,0)))</f>
        <v>0</v>
      </c>
      <c r="CB1543" s="48" t="n">
        <f aca="false">IF(AA1543&lt;&gt;"",AA1543,Z1543)</f>
        <v>3</v>
      </c>
      <c r="CC1543" s="48" t="str">
        <f aca="false">IF(OR(CB1543=1,CB1543=2,CB1543=3),IF(Parameter!$E$27="Ja","LIFT",IF(CB1543=1,"L1","L23")),IF(CB1543="Aussen","Aussen","-"))</f>
        <v>LIFT</v>
      </c>
      <c r="CD1543" s="59" t="n">
        <f aca="false">IF(N(AB1543)&gt;0,AB1543,0)</f>
        <v>0</v>
      </c>
      <c r="CE1543" s="53" t="n">
        <f aca="false">IF(ISNUMBER(AE1543),1,0)</f>
        <v>0</v>
      </c>
      <c r="CF1543" s="50" t="n">
        <f aca="false">N(AE1543)</f>
        <v>0</v>
      </c>
      <c r="CG1543" s="50" t="n">
        <f aca="false">N(M1543)+N(N1543)</f>
        <v>25</v>
      </c>
      <c r="CH1543" s="50" t="n">
        <f aca="false">ROUNDUP(H1543/BV1543,0)</f>
        <v>1</v>
      </c>
      <c r="CI1543" s="50" t="n">
        <f aca="false">ROUNDUP(CF1543/BV1543,0)</f>
        <v>0</v>
      </c>
      <c r="CJ1543" s="53" t="n">
        <f aca="false">IF(BW1543=1,0,IFERROR(VLOOKUP(BU1543,'Gebinde-Kategorie'!$A$5:$N$45,5,0)+0,0))</f>
        <v>8</v>
      </c>
      <c r="CK1543" s="53" t="n">
        <f aca="false">IFERROR(IF(OR(CB1543=1,CB1543=2,CB1543=3),N(INDEX(Parameter!$I$5:$I$7,CB1543)),0),0)</f>
        <v>0</v>
      </c>
      <c r="CL1543" s="52" t="n">
        <f aca="false">IF(AND(Parameter!$B$21="Ja",ISNUMBER(W1543),N(X1543)&gt;0),IFERROR(N(INDEX(Parameter!$L$5:$L$7,W1543))*INDEX(Parameter!$E$5:$E$7,W1543)*X1543/SUMIFS($X$7:$X$1843,$W$7:$W$1843,W1543),0),0)</f>
        <v>0</v>
      </c>
    </row>
    <row r="1544" customFormat="false" ht="15" hidden="false" customHeight="false" outlineLevel="0" collapsed="false">
      <c r="A1544" s="48" t="s">
        <v>2703</v>
      </c>
      <c r="B1544" s="48" t="s">
        <v>2704</v>
      </c>
      <c r="C1544" s="48" t="s">
        <v>168</v>
      </c>
      <c r="D1544" s="48" t="s">
        <v>188</v>
      </c>
      <c r="E1544" s="48" t="s">
        <v>189</v>
      </c>
      <c r="F1544" s="48"/>
      <c r="G1544" s="49" t="n">
        <v>3.97</v>
      </c>
      <c r="H1544" s="50" t="n">
        <f aca="false">MAX(0,IF(AND(Parameter!$B$21="Ja",ISNUMBER(Y1544)),Y1544,IF(Parameter!$B$20="Jahresanfang 2025 + Export",BO1544+BN1544,BN1544)))</f>
        <v>14</v>
      </c>
      <c r="I1544" s="50" t="n">
        <f aca="false">H1544*G1544</f>
        <v>55.58</v>
      </c>
      <c r="J1544" s="50" t="n">
        <f aca="false">BQ1544*Parameter!$B$18</f>
        <v>0</v>
      </c>
      <c r="K1544" s="51"/>
      <c r="L1544" s="52"/>
      <c r="M1544" s="50" t="n">
        <v>0</v>
      </c>
      <c r="N1544" s="50" t="n">
        <v>10</v>
      </c>
      <c r="O1544" s="53" t="n">
        <v>42</v>
      </c>
      <c r="P1544" s="48" t="s">
        <v>430</v>
      </c>
      <c r="Q1544" s="50" t="n">
        <v>14</v>
      </c>
      <c r="R1544" s="53" t="n">
        <f aca="false">IF(BW1544=1,0,IFERROR(VLOOKUP(BU1544,'Gebinde-Kategorie'!$A$5:$N$45,13,0)+0,0))</f>
        <v>140</v>
      </c>
      <c r="S1544" s="54"/>
      <c r="T1544" s="55"/>
      <c r="U1544" s="55"/>
      <c r="V1544" s="55"/>
      <c r="W1544" s="48"/>
      <c r="X1544" s="50"/>
      <c r="Y1544" s="50"/>
      <c r="Z1544" s="48" t="n">
        <f aca="false">IF(A1544="","",IF(AND(Parameter!$B$21="Ja",ISNUMBER(W1544)),W1544,IF(BZ1544="2+3",IF(ISNUMBER(SEARCH("grosser Artikel",BR1544)),2,IFERROR(VLOOKUP(BU1544,Parameter!$F$35:$G$64,2,0),2)),IF(OR(BZ1544="Nein",BZ1544=""),"-",BZ1544))))</f>
        <v>3</v>
      </c>
      <c r="AA1544" s="55"/>
      <c r="AB1544" s="56"/>
      <c r="AC1544" s="50" t="n">
        <f aca="false">AT1544</f>
        <v>14</v>
      </c>
      <c r="AD1544" s="50" t="n">
        <f aca="false">MAX(AT1544,H1544)</f>
        <v>14</v>
      </c>
      <c r="AE1544" s="57"/>
      <c r="AF1544" s="50" t="n">
        <f aca="false">IF(LEFT(Cockpit!$C$5,1)="A",H1544,IF(CE1544=1,CF1544,IF(LEFT(Cockpit!$C$5,1)="B",AK1544,MAX(AK1544,H1544))))</f>
        <v>14</v>
      </c>
      <c r="AG1544" s="50" t="n">
        <f aca="false">IF(BW1544=1,0,ROUNDUP(AF1544/BV1544,0))</f>
        <v>1</v>
      </c>
      <c r="AH1544" s="52" t="n">
        <f aca="false">IF(CL1544&gt;0,CL1544*MAX(1,AF1544/X1544),IF(BW1544=1,IF(AF1544&lt;=0,0,CA1544*MAX(1,IF(H1544&gt;0,AF1544/H1544,1))),IF(R1544&gt;0,AG1544/R1544,0))/MAX(0.1,N(Parameter!$M$21)))</f>
        <v>0.00714285714285714</v>
      </c>
      <c r="AI1544" s="50" t="n">
        <f aca="false">AH1544*BY1544</f>
        <v>1.10714285714286</v>
      </c>
      <c r="AJ1544" s="50" t="n">
        <f aca="false">AF1544*G1544</f>
        <v>55.58</v>
      </c>
      <c r="AK1544" s="50" t="n">
        <f aca="false">ROUNDUP(MAX(J1544/IF(CD1544&gt;0,CD1544,MAX(0.1,N(Cockpit!$C$6))),CG1544)/BV1544,0)*BV1544</f>
        <v>14</v>
      </c>
      <c r="AL1544" s="51" t="n">
        <f aca="false">IF(AI1544&gt;0,J1544/AI1544,-1)</f>
        <v>0</v>
      </c>
      <c r="AM1544" s="51" t="n">
        <f aca="false">IF(AND(OR(CC1544="L1",CC1544="L23",CC1544="LIFT"),AI1544&gt;0),SUMIFS($AI$7:$AI$1843,$CC$7:$CC$1843,CC1544,$AL$7:$AL$1843,"&gt;"&amp;AL1544)+SUMIFS($AI$7:$AI$1843,$CC$7:$CC$1843,CC1544,$AL$7:$AL$1843,AL1544,$BT$7:$BT$1843,"&lt;="&amp;BT1544),"")</f>
        <v>30138.9618514724</v>
      </c>
      <c r="AN1544" s="58" t="n">
        <f aca="false">IF(AM1544="",0,MAX(0,MIN(1,(IF(CC1544="L1",Parameter!$H$5,IF(CC1544="L23",Parameter!$H$6+Parameter!$H$7,Parameter!$H$5+Parameter!$H$6+Parameter!$H$7))-(AM1544-AI1544))/AI1544)))</f>
        <v>1</v>
      </c>
      <c r="AO1544" s="50" t="n">
        <f aca="false">IF(LEFT(Cockpit!$I$5,1)="A",H1544,IF(CE1544=1,CF1544,IF(LEFT(Cockpit!$I$5,1)="B",AT1544,MAX(AT1544,H1544))))</f>
        <v>14</v>
      </c>
      <c r="AP1544" s="50" t="n">
        <f aca="false">IF(BW1544=1,0,ROUNDUP(AO1544/BV1544,0))</f>
        <v>1</v>
      </c>
      <c r="AQ1544" s="52" t="n">
        <f aca="false">IF(CL1544&gt;0,CL1544*MAX(1,AO1544/X1544),IF(BW1544=1,IF(AO1544&lt;=0,0,CA1544*MAX(1,IF(H1544&gt;0,AO1544/H1544,1))),IF(R1544&gt;0,AP1544/R1544,0))/MAX(0.1,N(Parameter!$M$21)))</f>
        <v>0.00714285714285714</v>
      </c>
      <c r="AR1544" s="50" t="n">
        <f aca="false">AQ1544*BY1544</f>
        <v>1.10714285714286</v>
      </c>
      <c r="AS1544" s="50" t="n">
        <f aca="false">AO1544*G1544</f>
        <v>55.58</v>
      </c>
      <c r="AT1544" s="50" t="n">
        <f aca="false">ROUNDUP(MAX(J1544/IF(CD1544&gt;0,CD1544,MAX(0.1,N(Cockpit!$I$6))),CG1544)/BV1544,0)*BV1544</f>
        <v>14</v>
      </c>
      <c r="AU1544" s="51" t="n">
        <f aca="false">IF(AR1544&gt;0,J1544/AR1544,-1)</f>
        <v>0</v>
      </c>
      <c r="AV1544" s="51" t="n">
        <f aca="false">IF(AND(OR(CC1544="L1",CC1544="L23",CC1544="LIFT"),AR1544&gt;0),SUMIFS($AR$7:$AR$1843,$CC$7:$CC$1843,CC1544,$AU$7:$AU$1843,"&gt;"&amp;AU1544)+SUMIFS($AR$7:$AR$1843,$CC$7:$CC$1843,CC1544,$AU$7:$AU$1843,AU1544,$BT$7:$BT$1843,"&lt;="&amp;BT1544),"")</f>
        <v>42488.9410866911</v>
      </c>
      <c r="AW1544" s="58" t="n">
        <f aca="false">IF(AV1544="",0,MAX(0,MIN(1,(IF(CC1544="L1",Parameter!$H$5,IF(CC1544="L23",Parameter!$H$6+Parameter!$H$7,Parameter!$H$5+Parameter!$H$6+Parameter!$H$7))-(AV1544-AR1544))/AR1544)))</f>
        <v>0</v>
      </c>
      <c r="AX1544" s="50" t="n">
        <f aca="false">IF(LEFT(Cockpit!$O$5,1)="A",H1544,IF(CE1544=1,CF1544,IF(LEFT(Cockpit!$O$5,1)="B",BC1544,MAX(BC1544,H1544))))</f>
        <v>14</v>
      </c>
      <c r="AY1544" s="50" t="n">
        <f aca="false">IF(BW1544=1,0,ROUNDUP(AX1544/BV1544,0))</f>
        <v>1</v>
      </c>
      <c r="AZ1544" s="52" t="n">
        <f aca="false">IF(CL1544&gt;0,CL1544*MAX(1,AX1544/X1544),IF(BW1544=1,IF(AX1544&lt;=0,0,CA1544*MAX(1,IF(H1544&gt;0,AX1544/H1544,1))),IF(R1544&gt;0,AY1544/R1544,0))/MAX(0.1,N(Parameter!$M$21)))</f>
        <v>0.00714285714285714</v>
      </c>
      <c r="BA1544" s="50" t="n">
        <f aca="false">AZ1544*BY1544</f>
        <v>1.10714285714286</v>
      </c>
      <c r="BB1544" s="50" t="n">
        <f aca="false">AX1544*G1544</f>
        <v>55.58</v>
      </c>
      <c r="BC1544" s="50" t="n">
        <f aca="false">ROUNDUP(MAX(J1544/IF(CD1544&gt;0,CD1544,MAX(0.1,N(Cockpit!$O$6))),CG1544)/BV1544,0)*BV1544</f>
        <v>14</v>
      </c>
      <c r="BD1544" s="51" t="n">
        <f aca="false">IF(BA1544&gt;0,J1544/BA1544,-1)</f>
        <v>0</v>
      </c>
      <c r="BE1544" s="51" t="n">
        <f aca="false">IF(AND(OR(CC1544="L1",CC1544="L23",CC1544="LIFT"),BA1544&gt;0),SUMIFS($BA$7:$BA$1843,$CC$7:$CC$1843,CC1544,$BD$7:$BD$1843,"&gt;"&amp;BD1544)+SUMIFS($BA$7:$BA$1843,$CC$7:$CC$1843,CC1544,$BD$7:$BD$1843,BD1544,$BT$7:$BT$1843,"&lt;="&amp;BT1544),"")</f>
        <v>39163.953128557</v>
      </c>
      <c r="BF1544" s="58" t="n">
        <f aca="false">IF(BE1544="",0,MAX(0,MIN(1,(IF(CC1544="L1",Parameter!$H$5,IF(CC1544="L23",Parameter!$H$6+Parameter!$H$7,Parameter!$H$5+Parameter!$H$6+Parameter!$H$7))-(BE1544-BA1544))/BA1544)))</f>
        <v>0</v>
      </c>
      <c r="BG1544" s="48" t="str">
        <f aca="false">IF(AI1544&lt;=0,"",IF(CC1544="Aussen","Aussenlager",IF(CC1544="-","Nicht im Lift",IF(AN1544&gt;=1,"Lift",IF(AN1544&lt;=0,"Aussenlager","teilweise")))))</f>
        <v>Lift</v>
      </c>
      <c r="BH1544" s="48" t="str">
        <f aca="false">IF(AR1544&lt;=0,"",IF(CC1544="Aussen","Aussenlager",IF(CC1544="-","Nicht im Lift",IF(AW1544&gt;=1,"Lift",IF(AW1544&lt;=0,"Aussenlager","teilweise")))))</f>
        <v>Aussenlager</v>
      </c>
      <c r="BI1544" s="48" t="str">
        <f aca="false">IF(BA1544&lt;=0,"",IF(CC1544="Aussen","Aussenlager",IF(CC1544="-","Nicht im Lift",IF(BF1544&gt;=1,"Lift",IF(BF1544&lt;=0,"Aussenlager","teilweise")))))</f>
        <v>Aussenlager</v>
      </c>
      <c r="BJ1544" s="48" t="str">
        <f aca="false">IF(A1544="","",IF(BS1544=1,"Neu; ","")&amp;IF(AND(BS1544=0,BN1544&lt;0),"negativer Bestand (Export "&amp;BN1544&amp;"); ","")&amp;IF(J1544&lt;=0,"Kein Verbrauch; ","")&amp;IF(CL1544&gt;0,"Lift "&amp;W1544&amp;" lt. Liftbericht (Fach "&amp;X1544&amp;" Stk); ",IF(BX1544=1,"Gebinde geschätzt ("&amp;T1544&amp;"); ",IF(BW1544=1,"Lose – Tablare geschätzt; ","")))&amp;IF(H1544&gt;AT1544,"Überbestand "&amp;ROUND(H1544-AT1544,0)&amp;" Stk / CHF "&amp;ROUND((H1544-AT1544)*G1544,0)&amp;"; ","")&amp;IF(AND(CE1544=1,CF1544&lt;CG1544),"MAX &lt; MB+LG; ","")&amp;IF(AND(CK1544&gt;0,CJ1544*10&gt;CK1544),"zu hoch für Tablar; ","")&amp;IF(AND(BS1544=0,OR(CE1544=1,AA1544&lt;&gt;"",U1544&lt;&gt;"",V1544&lt;&gt;"",AB1544&lt;&gt;"")),"manuell übersteuert; ","")&amp;IF(AND(BW1544=0,R1544=0),"Gebinde unbekannt / Stellmass fehlt; ","")&amp;IF(AND(BW1544=0,N(V1544)&lt;=0,N(Q1544)&lt;=0),"Menge pro Gebinde fehlt (Ist = 1 Gebinde); ","")&amp;BR1544)</f>
        <v>Kein Verbrauch; nur im Artikelstamm (Bestand 23.06.2026); Neu</v>
      </c>
      <c r="BK1544" s="48"/>
      <c r="BL1544" s="48"/>
      <c r="BM1544" s="55"/>
      <c r="BN1544" s="50" t="n">
        <v>14</v>
      </c>
      <c r="BO1544" s="50" t="n">
        <v>0</v>
      </c>
      <c r="BP1544" s="49" t="n">
        <v>0</v>
      </c>
      <c r="BQ1544" s="50" t="n">
        <v>0</v>
      </c>
      <c r="BR1544" s="48" t="s">
        <v>2671</v>
      </c>
      <c r="BS1544" s="53" t="n">
        <v>0</v>
      </c>
      <c r="BT1544" s="53" t="n">
        <v>1544</v>
      </c>
      <c r="BU1544" s="48" t="str">
        <f aca="false">IF(U1544&lt;&gt;"",UPPER(TRIM(U1544)),IF(BX1544=1,UPPER(VLOOKUP(T1544,Parameter!$I$27:$K$29,2,0)),IF(P1544="","LOSE",P1544)))</f>
        <v>S22</v>
      </c>
      <c r="BV1544" s="50" t="n">
        <f aca="false">IF(BU1544="LOSE",1,IF(N(V1544)&gt;0,V1544,IF(BX1544=1,MAX(1,N(VLOOKUP(T1544,Parameter!$I$27:$K$29,3,0)),H1544,N(N1544)),IF(N(Q1544)&gt;0,Q1544,MAX(1,H1544)))))</f>
        <v>14</v>
      </c>
      <c r="BW1544" s="53" t="n">
        <f aca="false">IF(BU1544="LOSE",1,0)</f>
        <v>0</v>
      </c>
      <c r="BX1544" s="53" t="n">
        <f aca="false">IF(AND(U1544="",OR(P1544="",P1544="LOSE"),T1544&lt;&gt;"",N(S1544)&lt;=0,ISNUMBER(MATCH(T1544,Parameter!$I$27:$I$29,0))),1,0)</f>
        <v>0</v>
      </c>
      <c r="BY1544" s="53" t="n">
        <f aca="false">IF(CL1544&gt;0,INDEX(Parameter!$H$5:$H$7,W1544)/INDEX(Parameter!$E$5:$E$7,W1544),IF(AND(BW1544=0,N(IFERROR(VLOOKUP(BU1544,'Gebinde-Kategorie'!$A$5:$N$45,14,0),0))&gt;0),VLOOKUP(BU1544,'Gebinde-Kategorie'!$A$5:$N$45,14,0)*10+Parameter!$M$23,Parameter!$M$24))</f>
        <v>155</v>
      </c>
      <c r="BZ1544" s="48" t="str">
        <f aca="false">IF(AND(Parameter!$B$19="Ja",E1544&lt;&gt;"",ISNUMBER(MATCH(E1544,Parameter!$I$35:$I$52,0))),VLOOKUP(E1544,Parameter!$I$35:$J$52,2,0),IFERROR(VLOOKUP(D1544,Parameter!$A$35:$C$64,2,0),"Nein"))</f>
        <v>2+3</v>
      </c>
      <c r="CA1544" s="52" t="n">
        <f aca="false">IF(BW1544=0,0,IF(N(S1544)&gt;0,S1544,IFERROR(VLOOKUP(D1544,Parameter!$A$35:$C$64,3,0)+0,0)))</f>
        <v>0</v>
      </c>
      <c r="CB1544" s="48" t="n">
        <f aca="false">IF(AA1544&lt;&gt;"",AA1544,Z1544)</f>
        <v>3</v>
      </c>
      <c r="CC1544" s="48" t="str">
        <f aca="false">IF(OR(CB1544=1,CB1544=2,CB1544=3),IF(Parameter!$E$27="Ja","LIFT",IF(CB1544=1,"L1","L23")),IF(CB1544="Aussen","Aussen","-"))</f>
        <v>LIFT</v>
      </c>
      <c r="CD1544" s="59" t="n">
        <f aca="false">IF(N(AB1544)&gt;0,AB1544,0)</f>
        <v>0</v>
      </c>
      <c r="CE1544" s="53" t="n">
        <f aca="false">IF(ISNUMBER(AE1544),1,0)</f>
        <v>0</v>
      </c>
      <c r="CF1544" s="50" t="n">
        <f aca="false">N(AE1544)</f>
        <v>0</v>
      </c>
      <c r="CG1544" s="50" t="n">
        <f aca="false">N(M1544)+N(N1544)</f>
        <v>10</v>
      </c>
      <c r="CH1544" s="50" t="n">
        <f aca="false">ROUNDUP(H1544/BV1544,0)</f>
        <v>1</v>
      </c>
      <c r="CI1544" s="50" t="n">
        <f aca="false">ROUNDUP(CF1544/BV1544,0)</f>
        <v>0</v>
      </c>
      <c r="CJ1544" s="53" t="n">
        <f aca="false">IF(BW1544=1,0,IFERROR(VLOOKUP(BU1544,'Gebinde-Kategorie'!$A$5:$N$45,5,0)+0,0))</f>
        <v>8</v>
      </c>
      <c r="CK1544" s="53" t="n">
        <f aca="false">IFERROR(IF(OR(CB1544=1,CB1544=2,CB1544=3),N(INDEX(Parameter!$I$5:$I$7,CB1544)),0),0)</f>
        <v>0</v>
      </c>
      <c r="CL1544" s="52" t="n">
        <f aca="false">IF(AND(Parameter!$B$21="Ja",ISNUMBER(W1544),N(X1544)&gt;0),IFERROR(N(INDEX(Parameter!$L$5:$L$7,W1544))*INDEX(Parameter!$E$5:$E$7,W1544)*X1544/SUMIFS($X$7:$X$1843,$W$7:$W$1843,W1544),0),0)</f>
        <v>0</v>
      </c>
    </row>
    <row r="1545" customFormat="false" ht="15" hidden="false" customHeight="false" outlineLevel="0" collapsed="false">
      <c r="A1545" s="48" t="s">
        <v>2705</v>
      </c>
      <c r="B1545" s="48" t="s">
        <v>2706</v>
      </c>
      <c r="C1545" s="48" t="s">
        <v>168</v>
      </c>
      <c r="D1545" s="48" t="s">
        <v>188</v>
      </c>
      <c r="E1545" s="48" t="s">
        <v>189</v>
      </c>
      <c r="F1545" s="48"/>
      <c r="G1545" s="49" t="n">
        <v>17.15</v>
      </c>
      <c r="H1545" s="50" t="n">
        <f aca="false">MAX(0,IF(AND(Parameter!$B$21="Ja",ISNUMBER(Y1545)),Y1545,IF(Parameter!$B$20="Jahresanfang 2025 + Export",BO1545+BN1545,BN1545)))</f>
        <v>29</v>
      </c>
      <c r="I1545" s="50" t="n">
        <f aca="false">H1545*G1545</f>
        <v>497.35</v>
      </c>
      <c r="J1545" s="50" t="n">
        <f aca="false">BQ1545*Parameter!$B$18</f>
        <v>0</v>
      </c>
      <c r="K1545" s="51"/>
      <c r="L1545" s="52"/>
      <c r="M1545" s="50" t="n">
        <v>2</v>
      </c>
      <c r="N1545" s="50" t="n">
        <v>10</v>
      </c>
      <c r="O1545" s="53" t="n">
        <v>28</v>
      </c>
      <c r="P1545" s="48" t="s">
        <v>425</v>
      </c>
      <c r="Q1545" s="50" t="n">
        <v>29</v>
      </c>
      <c r="R1545" s="53" t="n">
        <f aca="false">IF(BW1545=1,0,IFERROR(VLOOKUP(BU1545,'Gebinde-Kategorie'!$A$5:$N$45,13,0)+0,0))</f>
        <v>104</v>
      </c>
      <c r="S1545" s="54"/>
      <c r="T1545" s="55"/>
      <c r="U1545" s="55"/>
      <c r="V1545" s="55"/>
      <c r="W1545" s="48"/>
      <c r="X1545" s="50"/>
      <c r="Y1545" s="50"/>
      <c r="Z1545" s="48" t="n">
        <f aca="false">IF(A1545="","",IF(AND(Parameter!$B$21="Ja",ISNUMBER(W1545)),W1545,IF(BZ1545="2+3",IF(ISNUMBER(SEARCH("grosser Artikel",BR1545)),2,IFERROR(VLOOKUP(BU1545,Parameter!$F$35:$G$64,2,0),2)),IF(OR(BZ1545="Nein",BZ1545=""),"-",BZ1545))))</f>
        <v>3</v>
      </c>
      <c r="AA1545" s="55"/>
      <c r="AB1545" s="56"/>
      <c r="AC1545" s="50" t="n">
        <f aca="false">AT1545</f>
        <v>29</v>
      </c>
      <c r="AD1545" s="50" t="n">
        <f aca="false">MAX(AT1545,H1545)</f>
        <v>29</v>
      </c>
      <c r="AE1545" s="57"/>
      <c r="AF1545" s="50" t="n">
        <f aca="false">IF(LEFT(Cockpit!$C$5,1)="A",H1545,IF(CE1545=1,CF1545,IF(LEFT(Cockpit!$C$5,1)="B",AK1545,MAX(AK1545,H1545))))</f>
        <v>29</v>
      </c>
      <c r="AG1545" s="50" t="n">
        <f aca="false">IF(BW1545=1,0,ROUNDUP(AF1545/BV1545,0))</f>
        <v>1</v>
      </c>
      <c r="AH1545" s="52" t="n">
        <f aca="false">IF(CL1545&gt;0,CL1545*MAX(1,AF1545/X1545),IF(BW1545=1,IF(AF1545&lt;=0,0,CA1545*MAX(1,IF(H1545&gt;0,AF1545/H1545,1))),IF(R1545&gt;0,AG1545/R1545,0))/MAX(0.1,N(Parameter!$M$21)))</f>
        <v>0.00961538461538462</v>
      </c>
      <c r="AI1545" s="50" t="n">
        <f aca="false">AH1545*BY1545</f>
        <v>1.49038461538462</v>
      </c>
      <c r="AJ1545" s="50" t="n">
        <f aca="false">AF1545*G1545</f>
        <v>497.35</v>
      </c>
      <c r="AK1545" s="50" t="n">
        <f aca="false">ROUNDUP(MAX(J1545/IF(CD1545&gt;0,CD1545,MAX(0.1,N(Cockpit!$C$6))),CG1545)/BV1545,0)*BV1545</f>
        <v>29</v>
      </c>
      <c r="AL1545" s="51" t="n">
        <f aca="false">IF(AI1545&gt;0,J1545/AI1545,-1)</f>
        <v>0</v>
      </c>
      <c r="AM1545" s="51" t="n">
        <f aca="false">IF(AND(OR(CC1545="L1",CC1545="L23",CC1545="LIFT"),AI1545&gt;0),SUMIFS($AI$7:$AI$1843,$CC$7:$CC$1843,CC1545,$AL$7:$AL$1843,"&gt;"&amp;AL1545)+SUMIFS($AI$7:$AI$1843,$CC$7:$CC$1843,CC1545,$AL$7:$AL$1843,AL1545,$BT$7:$BT$1843,"&lt;="&amp;BT1545),"")</f>
        <v>30140.4522360878</v>
      </c>
      <c r="AN1545" s="58" t="n">
        <f aca="false">IF(AM1545="",0,MAX(0,MIN(1,(IF(CC1545="L1",Parameter!$H$5,IF(CC1545="L23",Parameter!$H$6+Parameter!$H$7,Parameter!$H$5+Parameter!$H$6+Parameter!$H$7))-(AM1545-AI1545))/AI1545)))</f>
        <v>1</v>
      </c>
      <c r="AO1545" s="50" t="n">
        <f aca="false">IF(LEFT(Cockpit!$I$5,1)="A",H1545,IF(CE1545=1,CF1545,IF(LEFT(Cockpit!$I$5,1)="B",AT1545,MAX(AT1545,H1545))))</f>
        <v>29</v>
      </c>
      <c r="AP1545" s="50" t="n">
        <f aca="false">IF(BW1545=1,0,ROUNDUP(AO1545/BV1545,0))</f>
        <v>1</v>
      </c>
      <c r="AQ1545" s="52" t="n">
        <f aca="false">IF(CL1545&gt;0,CL1545*MAX(1,AO1545/X1545),IF(BW1545=1,IF(AO1545&lt;=0,0,CA1545*MAX(1,IF(H1545&gt;0,AO1545/H1545,1))),IF(R1545&gt;0,AP1545/R1545,0))/MAX(0.1,N(Parameter!$M$21)))</f>
        <v>0.00961538461538462</v>
      </c>
      <c r="AR1545" s="50" t="n">
        <f aca="false">AQ1545*BY1545</f>
        <v>1.49038461538462</v>
      </c>
      <c r="AS1545" s="50" t="n">
        <f aca="false">AO1545*G1545</f>
        <v>497.35</v>
      </c>
      <c r="AT1545" s="50" t="n">
        <f aca="false">ROUNDUP(MAX(J1545/IF(CD1545&gt;0,CD1545,MAX(0.1,N(Cockpit!$I$6))),CG1545)/BV1545,0)*BV1545</f>
        <v>29</v>
      </c>
      <c r="AU1545" s="51" t="n">
        <f aca="false">IF(AR1545&gt;0,J1545/AR1545,-1)</f>
        <v>0</v>
      </c>
      <c r="AV1545" s="51" t="n">
        <f aca="false">IF(AND(OR(CC1545="L1",CC1545="L23",CC1545="LIFT"),AR1545&gt;0),SUMIFS($AR$7:$AR$1843,$CC$7:$CC$1843,CC1545,$AU$7:$AU$1843,"&gt;"&amp;AU1545)+SUMIFS($AR$7:$AR$1843,$CC$7:$CC$1843,CC1545,$AU$7:$AU$1843,AU1545,$BT$7:$BT$1843,"&lt;="&amp;BT1545),"")</f>
        <v>42490.4314713065</v>
      </c>
      <c r="AW1545" s="58" t="n">
        <f aca="false">IF(AV1545="",0,MAX(0,MIN(1,(IF(CC1545="L1",Parameter!$H$5,IF(CC1545="L23",Parameter!$H$6+Parameter!$H$7,Parameter!$H$5+Parameter!$H$6+Parameter!$H$7))-(AV1545-AR1545))/AR1545)))</f>
        <v>0</v>
      </c>
      <c r="AX1545" s="50" t="n">
        <f aca="false">IF(LEFT(Cockpit!$O$5,1)="A",H1545,IF(CE1545=1,CF1545,IF(LEFT(Cockpit!$O$5,1)="B",BC1545,MAX(BC1545,H1545))))</f>
        <v>29</v>
      </c>
      <c r="AY1545" s="50" t="n">
        <f aca="false">IF(BW1545=1,0,ROUNDUP(AX1545/BV1545,0))</f>
        <v>1</v>
      </c>
      <c r="AZ1545" s="52" t="n">
        <f aca="false">IF(CL1545&gt;0,CL1545*MAX(1,AX1545/X1545),IF(BW1545=1,IF(AX1545&lt;=0,0,CA1545*MAX(1,IF(H1545&gt;0,AX1545/H1545,1))),IF(R1545&gt;0,AY1545/R1545,0))/MAX(0.1,N(Parameter!$M$21)))</f>
        <v>0.00961538461538462</v>
      </c>
      <c r="BA1545" s="50" t="n">
        <f aca="false">AZ1545*BY1545</f>
        <v>1.49038461538462</v>
      </c>
      <c r="BB1545" s="50" t="n">
        <f aca="false">AX1545*G1545</f>
        <v>497.35</v>
      </c>
      <c r="BC1545" s="50" t="n">
        <f aca="false">ROUNDUP(MAX(J1545/IF(CD1545&gt;0,CD1545,MAX(0.1,N(Cockpit!$O$6))),CG1545)/BV1545,0)*BV1545</f>
        <v>29</v>
      </c>
      <c r="BD1545" s="51" t="n">
        <f aca="false">IF(BA1545&gt;0,J1545/BA1545,-1)</f>
        <v>0</v>
      </c>
      <c r="BE1545" s="51" t="n">
        <f aca="false">IF(AND(OR(CC1545="L1",CC1545="L23",CC1545="LIFT"),BA1545&gt;0),SUMIFS($BA$7:$BA$1843,$CC$7:$CC$1843,CC1545,$BD$7:$BD$1843,"&gt;"&amp;BD1545)+SUMIFS($BA$7:$BA$1843,$CC$7:$CC$1843,CC1545,$BD$7:$BD$1843,BD1545,$BT$7:$BT$1843,"&lt;="&amp;BT1545),"")</f>
        <v>39165.4435131723</v>
      </c>
      <c r="BF1545" s="58" t="n">
        <f aca="false">IF(BE1545="",0,MAX(0,MIN(1,(IF(CC1545="L1",Parameter!$H$5,IF(CC1545="L23",Parameter!$H$6+Parameter!$H$7,Parameter!$H$5+Parameter!$H$6+Parameter!$H$7))-(BE1545-BA1545))/BA1545)))</f>
        <v>0</v>
      </c>
      <c r="BG1545" s="48" t="str">
        <f aca="false">IF(AI1545&lt;=0,"",IF(CC1545="Aussen","Aussenlager",IF(CC1545="-","Nicht im Lift",IF(AN1545&gt;=1,"Lift",IF(AN1545&lt;=0,"Aussenlager","teilweise")))))</f>
        <v>Lift</v>
      </c>
      <c r="BH1545" s="48" t="str">
        <f aca="false">IF(AR1545&lt;=0,"",IF(CC1545="Aussen","Aussenlager",IF(CC1545="-","Nicht im Lift",IF(AW1545&gt;=1,"Lift",IF(AW1545&lt;=0,"Aussenlager","teilweise")))))</f>
        <v>Aussenlager</v>
      </c>
      <c r="BI1545" s="48" t="str">
        <f aca="false">IF(BA1545&lt;=0,"",IF(CC1545="Aussen","Aussenlager",IF(CC1545="-","Nicht im Lift",IF(BF1545&gt;=1,"Lift",IF(BF1545&lt;=0,"Aussenlager","teilweise")))))</f>
        <v>Aussenlager</v>
      </c>
      <c r="BJ1545" s="48" t="str">
        <f aca="false">IF(A1545="","",IF(BS1545=1,"Neu; ","")&amp;IF(AND(BS1545=0,BN1545&lt;0),"negativer Bestand (Export "&amp;BN1545&amp;"); ","")&amp;IF(J1545&lt;=0,"Kein Verbrauch; ","")&amp;IF(CL1545&gt;0,"Lift "&amp;W1545&amp;" lt. Liftbericht (Fach "&amp;X1545&amp;" Stk); ",IF(BX1545=1,"Gebinde geschätzt ("&amp;T1545&amp;"); ",IF(BW1545=1,"Lose – Tablare geschätzt; ","")))&amp;IF(H1545&gt;AT1545,"Überbestand "&amp;ROUND(H1545-AT1545,0)&amp;" Stk / CHF "&amp;ROUND((H1545-AT1545)*G1545,0)&amp;"; ","")&amp;IF(AND(CE1545=1,CF1545&lt;CG1545),"MAX &lt; MB+LG; ","")&amp;IF(AND(CK1545&gt;0,CJ1545*10&gt;CK1545),"zu hoch für Tablar; ","")&amp;IF(AND(BS1545=0,OR(CE1545=1,AA1545&lt;&gt;"",U1545&lt;&gt;"",V1545&lt;&gt;"",AB1545&lt;&gt;"")),"manuell übersteuert; ","")&amp;IF(AND(BW1545=0,R1545=0),"Gebinde unbekannt / Stellmass fehlt; ","")&amp;IF(AND(BW1545=0,N(V1545)&lt;=0,N(Q1545)&lt;=0),"Menge pro Gebinde fehlt (Ist = 1 Gebinde); ","")&amp;BR1545)</f>
        <v>Kein Verbrauch; nur im Artikelstamm (Bestand 23.06.2026); Neu</v>
      </c>
      <c r="BK1545" s="48"/>
      <c r="BL1545" s="48"/>
      <c r="BM1545" s="55"/>
      <c r="BN1545" s="50" t="n">
        <v>29</v>
      </c>
      <c r="BO1545" s="50" t="n">
        <v>0</v>
      </c>
      <c r="BP1545" s="49" t="n">
        <v>0</v>
      </c>
      <c r="BQ1545" s="50" t="n">
        <v>0</v>
      </c>
      <c r="BR1545" s="48" t="s">
        <v>2671</v>
      </c>
      <c r="BS1545" s="53" t="n">
        <v>0</v>
      </c>
      <c r="BT1545" s="53" t="n">
        <v>1545</v>
      </c>
      <c r="BU1545" s="48" t="str">
        <f aca="false">IF(U1545&lt;&gt;"",UPPER(TRIM(U1545)),IF(BX1545=1,UPPER(VLOOKUP(T1545,Parameter!$I$27:$K$29,2,0)),IF(P1545="","LOSE",P1545)))</f>
        <v>S32</v>
      </c>
      <c r="BV1545" s="50" t="n">
        <f aca="false">IF(BU1545="LOSE",1,IF(N(V1545)&gt;0,V1545,IF(BX1545=1,MAX(1,N(VLOOKUP(T1545,Parameter!$I$27:$K$29,3,0)),H1545,N(N1545)),IF(N(Q1545)&gt;0,Q1545,MAX(1,H1545)))))</f>
        <v>29</v>
      </c>
      <c r="BW1545" s="53" t="n">
        <f aca="false">IF(BU1545="LOSE",1,0)</f>
        <v>0</v>
      </c>
      <c r="BX1545" s="53" t="n">
        <f aca="false">IF(AND(U1545="",OR(P1545="",P1545="LOSE"),T1545&lt;&gt;"",N(S1545)&lt;=0,ISNUMBER(MATCH(T1545,Parameter!$I$27:$I$29,0))),1,0)</f>
        <v>0</v>
      </c>
      <c r="BY1545" s="53" t="n">
        <f aca="false">IF(CL1545&gt;0,INDEX(Parameter!$H$5:$H$7,W1545)/INDEX(Parameter!$E$5:$E$7,W1545),IF(AND(BW1545=0,N(IFERROR(VLOOKUP(BU1545,'Gebinde-Kategorie'!$A$5:$N$45,14,0),0))&gt;0),VLOOKUP(BU1545,'Gebinde-Kategorie'!$A$5:$N$45,14,0)*10+Parameter!$M$23,Parameter!$M$24))</f>
        <v>155</v>
      </c>
      <c r="BZ1545" s="48" t="str">
        <f aca="false">IF(AND(Parameter!$B$19="Ja",E1545&lt;&gt;"",ISNUMBER(MATCH(E1545,Parameter!$I$35:$I$52,0))),VLOOKUP(E1545,Parameter!$I$35:$J$52,2,0),IFERROR(VLOOKUP(D1545,Parameter!$A$35:$C$64,2,0),"Nein"))</f>
        <v>2+3</v>
      </c>
      <c r="CA1545" s="52" t="n">
        <f aca="false">IF(BW1545=0,0,IF(N(S1545)&gt;0,S1545,IFERROR(VLOOKUP(D1545,Parameter!$A$35:$C$64,3,0)+0,0)))</f>
        <v>0</v>
      </c>
      <c r="CB1545" s="48" t="n">
        <f aca="false">IF(AA1545&lt;&gt;"",AA1545,Z1545)</f>
        <v>3</v>
      </c>
      <c r="CC1545" s="48" t="str">
        <f aca="false">IF(OR(CB1545=1,CB1545=2,CB1545=3),IF(Parameter!$E$27="Ja","LIFT",IF(CB1545=1,"L1","L23")),IF(CB1545="Aussen","Aussen","-"))</f>
        <v>LIFT</v>
      </c>
      <c r="CD1545" s="59" t="n">
        <f aca="false">IF(N(AB1545)&gt;0,AB1545,0)</f>
        <v>0</v>
      </c>
      <c r="CE1545" s="53" t="n">
        <f aca="false">IF(ISNUMBER(AE1545),1,0)</f>
        <v>0</v>
      </c>
      <c r="CF1545" s="50" t="n">
        <f aca="false">N(AE1545)</f>
        <v>0</v>
      </c>
      <c r="CG1545" s="50" t="n">
        <f aca="false">N(M1545)+N(N1545)</f>
        <v>12</v>
      </c>
      <c r="CH1545" s="50" t="n">
        <f aca="false">ROUNDUP(H1545/BV1545,0)</f>
        <v>1</v>
      </c>
      <c r="CI1545" s="50" t="n">
        <f aca="false">ROUNDUP(CF1545/BV1545,0)</f>
        <v>0</v>
      </c>
      <c r="CJ1545" s="53" t="n">
        <f aca="false">IF(BW1545=1,0,IFERROR(VLOOKUP(BU1545,'Gebinde-Kategorie'!$A$5:$N$45,5,0)+0,0))</f>
        <v>8</v>
      </c>
      <c r="CK1545" s="53" t="n">
        <f aca="false">IFERROR(IF(OR(CB1545=1,CB1545=2,CB1545=3),N(INDEX(Parameter!$I$5:$I$7,CB1545)),0),0)</f>
        <v>0</v>
      </c>
      <c r="CL1545" s="52" t="n">
        <f aca="false">IF(AND(Parameter!$B$21="Ja",ISNUMBER(W1545),N(X1545)&gt;0),IFERROR(N(INDEX(Parameter!$L$5:$L$7,W1545))*INDEX(Parameter!$E$5:$E$7,W1545)*X1545/SUMIFS($X$7:$X$1843,$W$7:$W$1843,W1545),0),0)</f>
        <v>0</v>
      </c>
    </row>
    <row r="1546" customFormat="false" ht="15" hidden="false" customHeight="false" outlineLevel="0" collapsed="false">
      <c r="A1546" s="48" t="s">
        <v>2707</v>
      </c>
      <c r="B1546" s="48" t="s">
        <v>1824</v>
      </c>
      <c r="C1546" s="48" t="s">
        <v>168</v>
      </c>
      <c r="D1546" s="48" t="s">
        <v>188</v>
      </c>
      <c r="E1546" s="48" t="s">
        <v>189</v>
      </c>
      <c r="F1546" s="48"/>
      <c r="G1546" s="49" t="n">
        <v>72.87</v>
      </c>
      <c r="H1546" s="50" t="n">
        <f aca="false">MAX(0,IF(AND(Parameter!$B$21="Ja",ISNUMBER(Y1546)),Y1546,IF(Parameter!$B$20="Jahresanfang 2025 + Export",BO1546+BN1546,BN1546)))</f>
        <v>76</v>
      </c>
      <c r="I1546" s="50" t="n">
        <f aca="false">H1546*G1546</f>
        <v>5538.12</v>
      </c>
      <c r="J1546" s="50" t="n">
        <f aca="false">BQ1546*Parameter!$B$18</f>
        <v>0</v>
      </c>
      <c r="K1546" s="51"/>
      <c r="L1546" s="52"/>
      <c r="M1546" s="50" t="n">
        <v>0</v>
      </c>
      <c r="N1546" s="50" t="n">
        <v>40</v>
      </c>
      <c r="O1546" s="53" t="n">
        <v>308</v>
      </c>
      <c r="P1546" s="48" t="s">
        <v>306</v>
      </c>
      <c r="Q1546" s="50" t="n">
        <v>76</v>
      </c>
      <c r="R1546" s="53" t="n">
        <f aca="false">IF(BW1546=1,0,IFERROR(VLOOKUP(BU1546,'Gebinde-Kategorie'!$A$5:$N$45,13,0)+0,0))</f>
        <v>26</v>
      </c>
      <c r="S1546" s="54"/>
      <c r="T1546" s="55"/>
      <c r="U1546" s="55"/>
      <c r="V1546" s="55"/>
      <c r="W1546" s="48"/>
      <c r="X1546" s="50"/>
      <c r="Y1546" s="50"/>
      <c r="Z1546" s="48" t="n">
        <f aca="false">IF(A1546="","",IF(AND(Parameter!$B$21="Ja",ISNUMBER(W1546)),W1546,IF(BZ1546="2+3",IF(ISNUMBER(SEARCH("grosser Artikel",BR1546)),2,IFERROR(VLOOKUP(BU1546,Parameter!$F$35:$G$64,2,0),2)),IF(OR(BZ1546="Nein",BZ1546=""),"-",BZ1546))))</f>
        <v>3</v>
      </c>
      <c r="AA1546" s="55"/>
      <c r="AB1546" s="56"/>
      <c r="AC1546" s="50" t="n">
        <f aca="false">AT1546</f>
        <v>76</v>
      </c>
      <c r="AD1546" s="50" t="n">
        <f aca="false">MAX(AT1546,H1546)</f>
        <v>76</v>
      </c>
      <c r="AE1546" s="57"/>
      <c r="AF1546" s="50" t="n">
        <f aca="false">IF(LEFT(Cockpit!$C$5,1)="A",H1546,IF(CE1546=1,CF1546,IF(LEFT(Cockpit!$C$5,1)="B",AK1546,MAX(AK1546,H1546))))</f>
        <v>76</v>
      </c>
      <c r="AG1546" s="50" t="n">
        <f aca="false">IF(BW1546=1,0,ROUNDUP(AF1546/BV1546,0))</f>
        <v>1</v>
      </c>
      <c r="AH1546" s="52" t="n">
        <f aca="false">IF(CL1546&gt;0,CL1546*MAX(1,AF1546/X1546),IF(BW1546=1,IF(AF1546&lt;=0,0,CA1546*MAX(1,IF(H1546&gt;0,AF1546/H1546,1))),IF(R1546&gt;0,AG1546/R1546,0))/MAX(0.1,N(Parameter!$M$21)))</f>
        <v>0.0384615384615385</v>
      </c>
      <c r="AI1546" s="50" t="n">
        <f aca="false">AH1546*BY1546</f>
        <v>5.96153846153846</v>
      </c>
      <c r="AJ1546" s="50" t="n">
        <f aca="false">AF1546*G1546</f>
        <v>5538.12</v>
      </c>
      <c r="AK1546" s="50" t="n">
        <f aca="false">ROUNDUP(MAX(J1546/IF(CD1546&gt;0,CD1546,MAX(0.1,N(Cockpit!$C$6))),CG1546)/BV1546,0)*BV1546</f>
        <v>76</v>
      </c>
      <c r="AL1546" s="51" t="n">
        <f aca="false">IF(AI1546&gt;0,J1546/AI1546,-1)</f>
        <v>0</v>
      </c>
      <c r="AM1546" s="51" t="n">
        <f aca="false">IF(AND(OR(CC1546="L1",CC1546="L23",CC1546="LIFT"),AI1546&gt;0),SUMIFS($AI$7:$AI$1843,$CC$7:$CC$1843,CC1546,$AL$7:$AL$1843,"&gt;"&amp;AL1546)+SUMIFS($AI$7:$AI$1843,$CC$7:$CC$1843,CC1546,$AL$7:$AL$1843,AL1546,$BT$7:$BT$1843,"&lt;="&amp;BT1546),"")</f>
        <v>30146.4137745494</v>
      </c>
      <c r="AN1546" s="58" t="n">
        <f aca="false">IF(AM1546="",0,MAX(0,MIN(1,(IF(CC1546="L1",Parameter!$H$5,IF(CC1546="L23",Parameter!$H$6+Parameter!$H$7,Parameter!$H$5+Parameter!$H$6+Parameter!$H$7))-(AM1546-AI1546))/AI1546)))</f>
        <v>1</v>
      </c>
      <c r="AO1546" s="50" t="n">
        <f aca="false">IF(LEFT(Cockpit!$I$5,1)="A",H1546,IF(CE1546=1,CF1546,IF(LEFT(Cockpit!$I$5,1)="B",AT1546,MAX(AT1546,H1546))))</f>
        <v>76</v>
      </c>
      <c r="AP1546" s="50" t="n">
        <f aca="false">IF(BW1546=1,0,ROUNDUP(AO1546/BV1546,0))</f>
        <v>1</v>
      </c>
      <c r="AQ1546" s="52" t="n">
        <f aca="false">IF(CL1546&gt;0,CL1546*MAX(1,AO1546/X1546),IF(BW1546=1,IF(AO1546&lt;=0,0,CA1546*MAX(1,IF(H1546&gt;0,AO1546/H1546,1))),IF(R1546&gt;0,AP1546/R1546,0))/MAX(0.1,N(Parameter!$M$21)))</f>
        <v>0.0384615384615385</v>
      </c>
      <c r="AR1546" s="50" t="n">
        <f aca="false">AQ1546*BY1546</f>
        <v>5.96153846153846</v>
      </c>
      <c r="AS1546" s="50" t="n">
        <f aca="false">AO1546*G1546</f>
        <v>5538.12</v>
      </c>
      <c r="AT1546" s="50" t="n">
        <f aca="false">ROUNDUP(MAX(J1546/IF(CD1546&gt;0,CD1546,MAX(0.1,N(Cockpit!$I$6))),CG1546)/BV1546,0)*BV1546</f>
        <v>76</v>
      </c>
      <c r="AU1546" s="51" t="n">
        <f aca="false">IF(AR1546&gt;0,J1546/AR1546,-1)</f>
        <v>0</v>
      </c>
      <c r="AV1546" s="51" t="n">
        <f aca="false">IF(AND(OR(CC1546="L1",CC1546="L23",CC1546="LIFT"),AR1546&gt;0),SUMIFS($AR$7:$AR$1843,$CC$7:$CC$1843,CC1546,$AU$7:$AU$1843,"&gt;"&amp;AU1546)+SUMIFS($AR$7:$AR$1843,$CC$7:$CC$1843,CC1546,$AU$7:$AU$1843,AU1546,$BT$7:$BT$1843,"&lt;="&amp;BT1546),"")</f>
        <v>42496.393009768</v>
      </c>
      <c r="AW1546" s="58" t="n">
        <f aca="false">IF(AV1546="",0,MAX(0,MIN(1,(IF(CC1546="L1",Parameter!$H$5,IF(CC1546="L23",Parameter!$H$6+Parameter!$H$7,Parameter!$H$5+Parameter!$H$6+Parameter!$H$7))-(AV1546-AR1546))/AR1546)))</f>
        <v>0</v>
      </c>
      <c r="AX1546" s="50" t="n">
        <f aca="false">IF(LEFT(Cockpit!$O$5,1)="A",H1546,IF(CE1546=1,CF1546,IF(LEFT(Cockpit!$O$5,1)="B",BC1546,MAX(BC1546,H1546))))</f>
        <v>76</v>
      </c>
      <c r="AY1546" s="50" t="n">
        <f aca="false">IF(BW1546=1,0,ROUNDUP(AX1546/BV1546,0))</f>
        <v>1</v>
      </c>
      <c r="AZ1546" s="52" t="n">
        <f aca="false">IF(CL1546&gt;0,CL1546*MAX(1,AX1546/X1546),IF(BW1546=1,IF(AX1546&lt;=0,0,CA1546*MAX(1,IF(H1546&gt;0,AX1546/H1546,1))),IF(R1546&gt;0,AY1546/R1546,0))/MAX(0.1,N(Parameter!$M$21)))</f>
        <v>0.0384615384615385</v>
      </c>
      <c r="BA1546" s="50" t="n">
        <f aca="false">AZ1546*BY1546</f>
        <v>5.96153846153846</v>
      </c>
      <c r="BB1546" s="50" t="n">
        <f aca="false">AX1546*G1546</f>
        <v>5538.12</v>
      </c>
      <c r="BC1546" s="50" t="n">
        <f aca="false">ROUNDUP(MAX(J1546/IF(CD1546&gt;0,CD1546,MAX(0.1,N(Cockpit!$O$6))),CG1546)/BV1546,0)*BV1546</f>
        <v>76</v>
      </c>
      <c r="BD1546" s="51" t="n">
        <f aca="false">IF(BA1546&gt;0,J1546/BA1546,-1)</f>
        <v>0</v>
      </c>
      <c r="BE1546" s="51" t="n">
        <f aca="false">IF(AND(OR(CC1546="L1",CC1546="L23",CC1546="LIFT"),BA1546&gt;0),SUMIFS($BA$7:$BA$1843,$CC$7:$CC$1843,CC1546,$BD$7:$BD$1843,"&gt;"&amp;BD1546)+SUMIFS($BA$7:$BA$1843,$CC$7:$CC$1843,CC1546,$BD$7:$BD$1843,BD1546,$BT$7:$BT$1843,"&lt;="&amp;BT1546),"")</f>
        <v>39171.4050516339</v>
      </c>
      <c r="BF1546" s="58" t="n">
        <f aca="false">IF(BE1546="",0,MAX(0,MIN(1,(IF(CC1546="L1",Parameter!$H$5,IF(CC1546="L23",Parameter!$H$6+Parameter!$H$7,Parameter!$H$5+Parameter!$H$6+Parameter!$H$7))-(BE1546-BA1546))/BA1546)))</f>
        <v>0</v>
      </c>
      <c r="BG1546" s="48" t="str">
        <f aca="false">IF(AI1546&lt;=0,"",IF(CC1546="Aussen","Aussenlager",IF(CC1546="-","Nicht im Lift",IF(AN1546&gt;=1,"Lift",IF(AN1546&lt;=0,"Aussenlager","teilweise")))))</f>
        <v>Lift</v>
      </c>
      <c r="BH1546" s="48" t="str">
        <f aca="false">IF(AR1546&lt;=0,"",IF(CC1546="Aussen","Aussenlager",IF(CC1546="-","Nicht im Lift",IF(AW1546&gt;=1,"Lift",IF(AW1546&lt;=0,"Aussenlager","teilweise")))))</f>
        <v>Aussenlager</v>
      </c>
      <c r="BI1546" s="48" t="str">
        <f aca="false">IF(BA1546&lt;=0,"",IF(CC1546="Aussen","Aussenlager",IF(CC1546="-","Nicht im Lift",IF(BF1546&gt;=1,"Lift",IF(BF1546&lt;=0,"Aussenlager","teilweise")))))</f>
        <v>Aussenlager</v>
      </c>
      <c r="BJ1546" s="48" t="str">
        <f aca="false">IF(A1546="","",IF(BS1546=1,"Neu; ","")&amp;IF(AND(BS1546=0,BN1546&lt;0),"negativer Bestand (Export "&amp;BN1546&amp;"); ","")&amp;IF(J1546&lt;=0,"Kein Verbrauch; ","")&amp;IF(CL1546&gt;0,"Lift "&amp;W1546&amp;" lt. Liftbericht (Fach "&amp;X1546&amp;" Stk); ",IF(BX1546=1,"Gebinde geschätzt ("&amp;T1546&amp;"); ",IF(BW1546=1,"Lose – Tablare geschätzt; ","")))&amp;IF(H1546&gt;AT1546,"Überbestand "&amp;ROUND(H1546-AT1546,0)&amp;" Stk / CHF "&amp;ROUND((H1546-AT1546)*G1546,0)&amp;"; ","")&amp;IF(AND(CE1546=1,CF1546&lt;CG1546),"MAX &lt; MB+LG; ","")&amp;IF(AND(CK1546&gt;0,CJ1546*10&gt;CK1546),"zu hoch für Tablar; ","")&amp;IF(AND(BS1546=0,OR(CE1546=1,AA1546&lt;&gt;"",U1546&lt;&gt;"",V1546&lt;&gt;"",AB1546&lt;&gt;"")),"manuell übersteuert; ","")&amp;IF(AND(BW1546=0,R1546=0),"Gebinde unbekannt / Stellmass fehlt; ","")&amp;IF(AND(BW1546=0,N(V1546)&lt;=0,N(Q1546)&lt;=0),"Menge pro Gebinde fehlt (Ist = 1 Gebinde); ","")&amp;BR1546)</f>
        <v>Kein Verbrauch; nur im Artikelstamm (Bestand 23.06.2026); Neu</v>
      </c>
      <c r="BK1546" s="48"/>
      <c r="BL1546" s="48"/>
      <c r="BM1546" s="55"/>
      <c r="BN1546" s="50" t="n">
        <v>76</v>
      </c>
      <c r="BO1546" s="50" t="n">
        <v>0</v>
      </c>
      <c r="BP1546" s="49" t="n">
        <v>0</v>
      </c>
      <c r="BQ1546" s="50" t="n">
        <v>0</v>
      </c>
      <c r="BR1546" s="48" t="s">
        <v>2671</v>
      </c>
      <c r="BS1546" s="53" t="n">
        <v>0</v>
      </c>
      <c r="BT1546" s="53" t="n">
        <v>1546</v>
      </c>
      <c r="BU1546" s="48" t="str">
        <f aca="false">IF(U1546&lt;&gt;"",UPPER(TRIM(U1546)),IF(BX1546=1,UPPER(VLOOKUP(T1546,Parameter!$I$27:$K$29,2,0)),IF(P1546="","LOSE",P1546)))</f>
        <v>S51</v>
      </c>
      <c r="BV1546" s="50" t="n">
        <f aca="false">IF(BU1546="LOSE",1,IF(N(V1546)&gt;0,V1546,IF(BX1546=1,MAX(1,N(VLOOKUP(T1546,Parameter!$I$27:$K$29,3,0)),H1546,N(N1546)),IF(N(Q1546)&gt;0,Q1546,MAX(1,H1546)))))</f>
        <v>76</v>
      </c>
      <c r="BW1546" s="53" t="n">
        <f aca="false">IF(BU1546="LOSE",1,0)</f>
        <v>0</v>
      </c>
      <c r="BX1546" s="53" t="n">
        <f aca="false">IF(AND(U1546="",OR(P1546="",P1546="LOSE"),T1546&lt;&gt;"",N(S1546)&lt;=0,ISNUMBER(MATCH(T1546,Parameter!$I$27:$I$29,0))),1,0)</f>
        <v>0</v>
      </c>
      <c r="BY1546" s="53" t="n">
        <f aca="false">IF(CL1546&gt;0,INDEX(Parameter!$H$5:$H$7,W1546)/INDEX(Parameter!$E$5:$E$7,W1546),IF(AND(BW1546=0,N(IFERROR(VLOOKUP(BU1546,'Gebinde-Kategorie'!$A$5:$N$45,14,0),0))&gt;0),VLOOKUP(BU1546,'Gebinde-Kategorie'!$A$5:$N$45,14,0)*10+Parameter!$M$23,Parameter!$M$24))</f>
        <v>155</v>
      </c>
      <c r="BZ1546" s="48" t="str">
        <f aca="false">IF(AND(Parameter!$B$19="Ja",E1546&lt;&gt;"",ISNUMBER(MATCH(E1546,Parameter!$I$35:$I$52,0))),VLOOKUP(E1546,Parameter!$I$35:$J$52,2,0),IFERROR(VLOOKUP(D1546,Parameter!$A$35:$C$64,2,0),"Nein"))</f>
        <v>2+3</v>
      </c>
      <c r="CA1546" s="52" t="n">
        <f aca="false">IF(BW1546=0,0,IF(N(S1546)&gt;0,S1546,IFERROR(VLOOKUP(D1546,Parameter!$A$35:$C$64,3,0)+0,0)))</f>
        <v>0</v>
      </c>
      <c r="CB1546" s="48" t="n">
        <f aca="false">IF(AA1546&lt;&gt;"",AA1546,Z1546)</f>
        <v>3</v>
      </c>
      <c r="CC1546" s="48" t="str">
        <f aca="false">IF(OR(CB1546=1,CB1546=2,CB1546=3),IF(Parameter!$E$27="Ja","LIFT",IF(CB1546=1,"L1","L23")),IF(CB1546="Aussen","Aussen","-"))</f>
        <v>LIFT</v>
      </c>
      <c r="CD1546" s="59" t="n">
        <f aca="false">IF(N(AB1546)&gt;0,AB1546,0)</f>
        <v>0</v>
      </c>
      <c r="CE1546" s="53" t="n">
        <f aca="false">IF(ISNUMBER(AE1546),1,0)</f>
        <v>0</v>
      </c>
      <c r="CF1546" s="50" t="n">
        <f aca="false">N(AE1546)</f>
        <v>0</v>
      </c>
      <c r="CG1546" s="50" t="n">
        <f aca="false">N(M1546)+N(N1546)</f>
        <v>40</v>
      </c>
      <c r="CH1546" s="50" t="n">
        <f aca="false">ROUNDUP(H1546/BV1546,0)</f>
        <v>1</v>
      </c>
      <c r="CI1546" s="50" t="n">
        <f aca="false">ROUNDUP(CF1546/BV1546,0)</f>
        <v>0</v>
      </c>
      <c r="CJ1546" s="53" t="n">
        <f aca="false">IF(BW1546=1,0,IFERROR(VLOOKUP(BU1546,'Gebinde-Kategorie'!$A$5:$N$45,5,0)+0,0))</f>
        <v>11</v>
      </c>
      <c r="CK1546" s="53" t="n">
        <f aca="false">IFERROR(IF(OR(CB1546=1,CB1546=2,CB1546=3),N(INDEX(Parameter!$I$5:$I$7,CB1546)),0),0)</f>
        <v>0</v>
      </c>
      <c r="CL1546" s="52" t="n">
        <f aca="false">IF(AND(Parameter!$B$21="Ja",ISNUMBER(W1546),N(X1546)&gt;0),IFERROR(N(INDEX(Parameter!$L$5:$L$7,W1546))*INDEX(Parameter!$E$5:$E$7,W1546)*X1546/SUMIFS($X$7:$X$1843,$W$7:$W$1843,W1546),0),0)</f>
        <v>0</v>
      </c>
    </row>
    <row r="1547" customFormat="false" ht="15" hidden="false" customHeight="false" outlineLevel="0" collapsed="false">
      <c r="A1547" s="48" t="s">
        <v>2708</v>
      </c>
      <c r="B1547" s="48" t="s">
        <v>444</v>
      </c>
      <c r="C1547" s="48" t="s">
        <v>168</v>
      </c>
      <c r="D1547" s="48" t="s">
        <v>188</v>
      </c>
      <c r="E1547" s="48" t="s">
        <v>189</v>
      </c>
      <c r="F1547" s="48"/>
      <c r="G1547" s="49" t="n">
        <v>47.74</v>
      </c>
      <c r="H1547" s="50" t="n">
        <f aca="false">MAX(0,IF(AND(Parameter!$B$21="Ja",ISNUMBER(Y1547)),Y1547,IF(Parameter!$B$20="Jahresanfang 2025 + Export",BO1547+BN1547,BN1547)))</f>
        <v>5</v>
      </c>
      <c r="I1547" s="50" t="n">
        <f aca="false">H1547*G1547</f>
        <v>238.7</v>
      </c>
      <c r="J1547" s="50" t="n">
        <f aca="false">BQ1547*Parameter!$B$18</f>
        <v>0</v>
      </c>
      <c r="K1547" s="51"/>
      <c r="L1547" s="52"/>
      <c r="M1547" s="50" t="n">
        <v>0</v>
      </c>
      <c r="N1547" s="50" t="n">
        <v>1</v>
      </c>
      <c r="O1547" s="53" t="n">
        <v>35</v>
      </c>
      <c r="P1547" s="48" t="s">
        <v>425</v>
      </c>
      <c r="Q1547" s="50" t="n">
        <v>5</v>
      </c>
      <c r="R1547" s="53" t="n">
        <f aca="false">IF(BW1547=1,0,IFERROR(VLOOKUP(BU1547,'Gebinde-Kategorie'!$A$5:$N$45,13,0)+0,0))</f>
        <v>104</v>
      </c>
      <c r="S1547" s="54"/>
      <c r="T1547" s="55"/>
      <c r="U1547" s="55"/>
      <c r="V1547" s="55"/>
      <c r="W1547" s="48"/>
      <c r="X1547" s="50"/>
      <c r="Y1547" s="50"/>
      <c r="Z1547" s="48" t="n">
        <f aca="false">IF(A1547="","",IF(AND(Parameter!$B$21="Ja",ISNUMBER(W1547)),W1547,IF(BZ1547="2+3",IF(ISNUMBER(SEARCH("grosser Artikel",BR1547)),2,IFERROR(VLOOKUP(BU1547,Parameter!$F$35:$G$64,2,0),2)),IF(OR(BZ1547="Nein",BZ1547=""),"-",BZ1547))))</f>
        <v>3</v>
      </c>
      <c r="AA1547" s="55"/>
      <c r="AB1547" s="56"/>
      <c r="AC1547" s="50" t="n">
        <f aca="false">AT1547</f>
        <v>5</v>
      </c>
      <c r="AD1547" s="50" t="n">
        <f aca="false">MAX(AT1547,H1547)</f>
        <v>5</v>
      </c>
      <c r="AE1547" s="57"/>
      <c r="AF1547" s="50" t="n">
        <f aca="false">IF(LEFT(Cockpit!$C$5,1)="A",H1547,IF(CE1547=1,CF1547,IF(LEFT(Cockpit!$C$5,1)="B",AK1547,MAX(AK1547,H1547))))</f>
        <v>5</v>
      </c>
      <c r="AG1547" s="50" t="n">
        <f aca="false">IF(BW1547=1,0,ROUNDUP(AF1547/BV1547,0))</f>
        <v>1</v>
      </c>
      <c r="AH1547" s="52" t="n">
        <f aca="false">IF(CL1547&gt;0,CL1547*MAX(1,AF1547/X1547),IF(BW1547=1,IF(AF1547&lt;=0,0,CA1547*MAX(1,IF(H1547&gt;0,AF1547/H1547,1))),IF(R1547&gt;0,AG1547/R1547,0))/MAX(0.1,N(Parameter!$M$21)))</f>
        <v>0.00961538461538462</v>
      </c>
      <c r="AI1547" s="50" t="n">
        <f aca="false">AH1547*BY1547</f>
        <v>1.49038461538462</v>
      </c>
      <c r="AJ1547" s="50" t="n">
        <f aca="false">AF1547*G1547</f>
        <v>238.7</v>
      </c>
      <c r="AK1547" s="50" t="n">
        <f aca="false">ROUNDUP(MAX(J1547/IF(CD1547&gt;0,CD1547,MAX(0.1,N(Cockpit!$C$6))),CG1547)/BV1547,0)*BV1547</f>
        <v>5</v>
      </c>
      <c r="AL1547" s="51" t="n">
        <f aca="false">IF(AI1547&gt;0,J1547/AI1547,-1)</f>
        <v>0</v>
      </c>
      <c r="AM1547" s="51" t="n">
        <f aca="false">IF(AND(OR(CC1547="L1",CC1547="L23",CC1547="LIFT"),AI1547&gt;0),SUMIFS($AI$7:$AI$1843,$CC$7:$CC$1843,CC1547,$AL$7:$AL$1843,"&gt;"&amp;AL1547)+SUMIFS($AI$7:$AI$1843,$CC$7:$CC$1843,CC1547,$AL$7:$AL$1843,AL1547,$BT$7:$BT$1843,"&lt;="&amp;BT1547),"")</f>
        <v>30147.9041591648</v>
      </c>
      <c r="AN1547" s="58" t="n">
        <f aca="false">IF(AM1547="",0,MAX(0,MIN(1,(IF(CC1547="L1",Parameter!$H$5,IF(CC1547="L23",Parameter!$H$6+Parameter!$H$7,Parameter!$H$5+Parameter!$H$6+Parameter!$H$7))-(AM1547-AI1547))/AI1547)))</f>
        <v>1</v>
      </c>
      <c r="AO1547" s="50" t="n">
        <f aca="false">IF(LEFT(Cockpit!$I$5,1)="A",H1547,IF(CE1547=1,CF1547,IF(LEFT(Cockpit!$I$5,1)="B",AT1547,MAX(AT1547,H1547))))</f>
        <v>5</v>
      </c>
      <c r="AP1547" s="50" t="n">
        <f aca="false">IF(BW1547=1,0,ROUNDUP(AO1547/BV1547,0))</f>
        <v>1</v>
      </c>
      <c r="AQ1547" s="52" t="n">
        <f aca="false">IF(CL1547&gt;0,CL1547*MAX(1,AO1547/X1547),IF(BW1547=1,IF(AO1547&lt;=0,0,CA1547*MAX(1,IF(H1547&gt;0,AO1547/H1547,1))),IF(R1547&gt;0,AP1547/R1547,0))/MAX(0.1,N(Parameter!$M$21)))</f>
        <v>0.00961538461538462</v>
      </c>
      <c r="AR1547" s="50" t="n">
        <f aca="false">AQ1547*BY1547</f>
        <v>1.49038461538462</v>
      </c>
      <c r="AS1547" s="50" t="n">
        <f aca="false">AO1547*G1547</f>
        <v>238.7</v>
      </c>
      <c r="AT1547" s="50" t="n">
        <f aca="false">ROUNDUP(MAX(J1547/IF(CD1547&gt;0,CD1547,MAX(0.1,N(Cockpit!$I$6))),CG1547)/BV1547,0)*BV1547</f>
        <v>5</v>
      </c>
      <c r="AU1547" s="51" t="n">
        <f aca="false">IF(AR1547&gt;0,J1547/AR1547,-1)</f>
        <v>0</v>
      </c>
      <c r="AV1547" s="51" t="n">
        <f aca="false">IF(AND(OR(CC1547="L1",CC1547="L23",CC1547="LIFT"),AR1547&gt;0),SUMIFS($AR$7:$AR$1843,$CC$7:$CC$1843,CC1547,$AU$7:$AU$1843,"&gt;"&amp;AU1547)+SUMIFS($AR$7:$AR$1843,$CC$7:$CC$1843,CC1547,$AU$7:$AU$1843,AU1547,$BT$7:$BT$1843,"&lt;="&amp;BT1547),"")</f>
        <v>42497.8833943834</v>
      </c>
      <c r="AW1547" s="58" t="n">
        <f aca="false">IF(AV1547="",0,MAX(0,MIN(1,(IF(CC1547="L1",Parameter!$H$5,IF(CC1547="L23",Parameter!$H$6+Parameter!$H$7,Parameter!$H$5+Parameter!$H$6+Parameter!$H$7))-(AV1547-AR1547))/AR1547)))</f>
        <v>0</v>
      </c>
      <c r="AX1547" s="50" t="n">
        <f aca="false">IF(LEFT(Cockpit!$O$5,1)="A",H1547,IF(CE1547=1,CF1547,IF(LEFT(Cockpit!$O$5,1)="B",BC1547,MAX(BC1547,H1547))))</f>
        <v>5</v>
      </c>
      <c r="AY1547" s="50" t="n">
        <f aca="false">IF(BW1547=1,0,ROUNDUP(AX1547/BV1547,0))</f>
        <v>1</v>
      </c>
      <c r="AZ1547" s="52" t="n">
        <f aca="false">IF(CL1547&gt;0,CL1547*MAX(1,AX1547/X1547),IF(BW1547=1,IF(AX1547&lt;=0,0,CA1547*MAX(1,IF(H1547&gt;0,AX1547/H1547,1))),IF(R1547&gt;0,AY1547/R1547,0))/MAX(0.1,N(Parameter!$M$21)))</f>
        <v>0.00961538461538462</v>
      </c>
      <c r="BA1547" s="50" t="n">
        <f aca="false">AZ1547*BY1547</f>
        <v>1.49038461538462</v>
      </c>
      <c r="BB1547" s="50" t="n">
        <f aca="false">AX1547*G1547</f>
        <v>238.7</v>
      </c>
      <c r="BC1547" s="50" t="n">
        <f aca="false">ROUNDUP(MAX(J1547/IF(CD1547&gt;0,CD1547,MAX(0.1,N(Cockpit!$O$6))),CG1547)/BV1547,0)*BV1547</f>
        <v>5</v>
      </c>
      <c r="BD1547" s="51" t="n">
        <f aca="false">IF(BA1547&gt;0,J1547/BA1547,-1)</f>
        <v>0</v>
      </c>
      <c r="BE1547" s="51" t="n">
        <f aca="false">IF(AND(OR(CC1547="L1",CC1547="L23",CC1547="LIFT"),BA1547&gt;0),SUMIFS($BA$7:$BA$1843,$CC$7:$CC$1843,CC1547,$BD$7:$BD$1843,"&gt;"&amp;BD1547)+SUMIFS($BA$7:$BA$1843,$CC$7:$CC$1843,CC1547,$BD$7:$BD$1843,BD1547,$BT$7:$BT$1843,"&lt;="&amp;BT1547),"")</f>
        <v>39172.8954362493</v>
      </c>
      <c r="BF1547" s="58" t="n">
        <f aca="false">IF(BE1547="",0,MAX(0,MIN(1,(IF(CC1547="L1",Parameter!$H$5,IF(CC1547="L23",Parameter!$H$6+Parameter!$H$7,Parameter!$H$5+Parameter!$H$6+Parameter!$H$7))-(BE1547-BA1547))/BA1547)))</f>
        <v>0</v>
      </c>
      <c r="BG1547" s="48" t="str">
        <f aca="false">IF(AI1547&lt;=0,"",IF(CC1547="Aussen","Aussenlager",IF(CC1547="-","Nicht im Lift",IF(AN1547&gt;=1,"Lift",IF(AN1547&lt;=0,"Aussenlager","teilweise")))))</f>
        <v>Lift</v>
      </c>
      <c r="BH1547" s="48" t="str">
        <f aca="false">IF(AR1547&lt;=0,"",IF(CC1547="Aussen","Aussenlager",IF(CC1547="-","Nicht im Lift",IF(AW1547&gt;=1,"Lift",IF(AW1547&lt;=0,"Aussenlager","teilweise")))))</f>
        <v>Aussenlager</v>
      </c>
      <c r="BI1547" s="48" t="str">
        <f aca="false">IF(BA1547&lt;=0,"",IF(CC1547="Aussen","Aussenlager",IF(CC1547="-","Nicht im Lift",IF(BF1547&gt;=1,"Lift",IF(BF1547&lt;=0,"Aussenlager","teilweise")))))</f>
        <v>Aussenlager</v>
      </c>
      <c r="BJ1547" s="48" t="str">
        <f aca="false">IF(A1547="","",IF(BS1547=1,"Neu; ","")&amp;IF(AND(BS1547=0,BN1547&lt;0),"negativer Bestand (Export "&amp;BN1547&amp;"); ","")&amp;IF(J1547&lt;=0,"Kein Verbrauch; ","")&amp;IF(CL1547&gt;0,"Lift "&amp;W1547&amp;" lt. Liftbericht (Fach "&amp;X1547&amp;" Stk); ",IF(BX1547=1,"Gebinde geschätzt ("&amp;T1547&amp;"); ",IF(BW1547=1,"Lose – Tablare geschätzt; ","")))&amp;IF(H1547&gt;AT1547,"Überbestand "&amp;ROUND(H1547-AT1547,0)&amp;" Stk / CHF "&amp;ROUND((H1547-AT1547)*G1547,0)&amp;"; ","")&amp;IF(AND(CE1547=1,CF1547&lt;CG1547),"MAX &lt; MB+LG; ","")&amp;IF(AND(CK1547&gt;0,CJ1547*10&gt;CK1547),"zu hoch für Tablar; ","")&amp;IF(AND(BS1547=0,OR(CE1547=1,AA1547&lt;&gt;"",U1547&lt;&gt;"",V1547&lt;&gt;"",AB1547&lt;&gt;"")),"manuell übersteuert; ","")&amp;IF(AND(BW1547=0,R1547=0),"Gebinde unbekannt / Stellmass fehlt; ","")&amp;IF(AND(BW1547=0,N(V1547)&lt;=0,N(Q1547)&lt;=0),"Menge pro Gebinde fehlt (Ist = 1 Gebinde); ","")&amp;BR1547)</f>
        <v>Kein Verbrauch; nur im Artikelstamm (Bestand 23.06.2026)</v>
      </c>
      <c r="BK1547" s="48"/>
      <c r="BL1547" s="48"/>
      <c r="BM1547" s="55"/>
      <c r="BN1547" s="50" t="n">
        <v>5</v>
      </c>
      <c r="BO1547" s="50" t="n">
        <v>0</v>
      </c>
      <c r="BP1547" s="49" t="n">
        <v>0</v>
      </c>
      <c r="BQ1547" s="50" t="n">
        <v>0</v>
      </c>
      <c r="BR1547" s="48" t="s">
        <v>2579</v>
      </c>
      <c r="BS1547" s="53" t="n">
        <v>0</v>
      </c>
      <c r="BT1547" s="53" t="n">
        <v>1547</v>
      </c>
      <c r="BU1547" s="48" t="str">
        <f aca="false">IF(U1547&lt;&gt;"",UPPER(TRIM(U1547)),IF(BX1547=1,UPPER(VLOOKUP(T1547,Parameter!$I$27:$K$29,2,0)),IF(P1547="","LOSE",P1547)))</f>
        <v>S32</v>
      </c>
      <c r="BV1547" s="50" t="n">
        <f aca="false">IF(BU1547="LOSE",1,IF(N(V1547)&gt;0,V1547,IF(BX1547=1,MAX(1,N(VLOOKUP(T1547,Parameter!$I$27:$K$29,3,0)),H1547,N(N1547)),IF(N(Q1547)&gt;0,Q1547,MAX(1,H1547)))))</f>
        <v>5</v>
      </c>
      <c r="BW1547" s="53" t="n">
        <f aca="false">IF(BU1547="LOSE",1,0)</f>
        <v>0</v>
      </c>
      <c r="BX1547" s="53" t="n">
        <f aca="false">IF(AND(U1547="",OR(P1547="",P1547="LOSE"),T1547&lt;&gt;"",N(S1547)&lt;=0,ISNUMBER(MATCH(T1547,Parameter!$I$27:$I$29,0))),1,0)</f>
        <v>0</v>
      </c>
      <c r="BY1547" s="53" t="n">
        <f aca="false">IF(CL1547&gt;0,INDEX(Parameter!$H$5:$H$7,W1547)/INDEX(Parameter!$E$5:$E$7,W1547),IF(AND(BW1547=0,N(IFERROR(VLOOKUP(BU1547,'Gebinde-Kategorie'!$A$5:$N$45,14,0),0))&gt;0),VLOOKUP(BU1547,'Gebinde-Kategorie'!$A$5:$N$45,14,0)*10+Parameter!$M$23,Parameter!$M$24))</f>
        <v>155</v>
      </c>
      <c r="BZ1547" s="48" t="str">
        <f aca="false">IF(AND(Parameter!$B$19="Ja",E1547&lt;&gt;"",ISNUMBER(MATCH(E1547,Parameter!$I$35:$I$52,0))),VLOOKUP(E1547,Parameter!$I$35:$J$52,2,0),IFERROR(VLOOKUP(D1547,Parameter!$A$35:$C$64,2,0),"Nein"))</f>
        <v>2+3</v>
      </c>
      <c r="CA1547" s="52" t="n">
        <f aca="false">IF(BW1547=0,0,IF(N(S1547)&gt;0,S1547,IFERROR(VLOOKUP(D1547,Parameter!$A$35:$C$64,3,0)+0,0)))</f>
        <v>0</v>
      </c>
      <c r="CB1547" s="48" t="n">
        <f aca="false">IF(AA1547&lt;&gt;"",AA1547,Z1547)</f>
        <v>3</v>
      </c>
      <c r="CC1547" s="48" t="str">
        <f aca="false">IF(OR(CB1547=1,CB1547=2,CB1547=3),IF(Parameter!$E$27="Ja","LIFT",IF(CB1547=1,"L1","L23")),IF(CB1547="Aussen","Aussen","-"))</f>
        <v>LIFT</v>
      </c>
      <c r="CD1547" s="59" t="n">
        <f aca="false">IF(N(AB1547)&gt;0,AB1547,0)</f>
        <v>0</v>
      </c>
      <c r="CE1547" s="53" t="n">
        <f aca="false">IF(ISNUMBER(AE1547),1,0)</f>
        <v>0</v>
      </c>
      <c r="CF1547" s="50" t="n">
        <f aca="false">N(AE1547)</f>
        <v>0</v>
      </c>
      <c r="CG1547" s="50" t="n">
        <f aca="false">N(M1547)+N(N1547)</f>
        <v>1</v>
      </c>
      <c r="CH1547" s="50" t="n">
        <f aca="false">ROUNDUP(H1547/BV1547,0)</f>
        <v>1</v>
      </c>
      <c r="CI1547" s="50" t="n">
        <f aca="false">ROUNDUP(CF1547/BV1547,0)</f>
        <v>0</v>
      </c>
      <c r="CJ1547" s="53" t="n">
        <f aca="false">IF(BW1547=1,0,IFERROR(VLOOKUP(BU1547,'Gebinde-Kategorie'!$A$5:$N$45,5,0)+0,0))</f>
        <v>8</v>
      </c>
      <c r="CK1547" s="53" t="n">
        <f aca="false">IFERROR(IF(OR(CB1547=1,CB1547=2,CB1547=3),N(INDEX(Parameter!$I$5:$I$7,CB1547)),0),0)</f>
        <v>0</v>
      </c>
      <c r="CL1547" s="52" t="n">
        <f aca="false">IF(AND(Parameter!$B$21="Ja",ISNUMBER(W1547),N(X1547)&gt;0),IFERROR(N(INDEX(Parameter!$L$5:$L$7,W1547))*INDEX(Parameter!$E$5:$E$7,W1547)*X1547/SUMIFS($X$7:$X$1843,$W$7:$W$1843,W1547),0),0)</f>
        <v>0</v>
      </c>
    </row>
    <row r="1548" customFormat="false" ht="15" hidden="false" customHeight="false" outlineLevel="0" collapsed="false">
      <c r="A1548" s="48" t="s">
        <v>2709</v>
      </c>
      <c r="B1548" s="48" t="s">
        <v>2710</v>
      </c>
      <c r="C1548" s="48" t="s">
        <v>168</v>
      </c>
      <c r="D1548" s="48" t="s">
        <v>188</v>
      </c>
      <c r="E1548" s="48" t="s">
        <v>189</v>
      </c>
      <c r="F1548" s="48"/>
      <c r="G1548" s="49" t="n">
        <v>118.14</v>
      </c>
      <c r="H1548" s="50" t="n">
        <f aca="false">MAX(0,IF(AND(Parameter!$B$21="Ja",ISNUMBER(Y1548)),Y1548,IF(Parameter!$B$20="Jahresanfang 2025 + Export",BO1548+BN1548,BN1548)))</f>
        <v>5</v>
      </c>
      <c r="I1548" s="50" t="n">
        <f aca="false">H1548*G1548</f>
        <v>590.7</v>
      </c>
      <c r="J1548" s="50" t="n">
        <f aca="false">BQ1548*Parameter!$B$18</f>
        <v>0</v>
      </c>
      <c r="K1548" s="51"/>
      <c r="L1548" s="52"/>
      <c r="M1548" s="50" t="n">
        <v>0</v>
      </c>
      <c r="N1548" s="50" t="n">
        <v>5</v>
      </c>
      <c r="O1548" s="53" t="n">
        <v>35</v>
      </c>
      <c r="P1548" s="48" t="s">
        <v>425</v>
      </c>
      <c r="Q1548" s="50" t="n">
        <v>5</v>
      </c>
      <c r="R1548" s="53" t="n">
        <f aca="false">IF(BW1548=1,0,IFERROR(VLOOKUP(BU1548,'Gebinde-Kategorie'!$A$5:$N$45,13,0)+0,0))</f>
        <v>104</v>
      </c>
      <c r="S1548" s="54"/>
      <c r="T1548" s="55"/>
      <c r="U1548" s="55"/>
      <c r="V1548" s="55"/>
      <c r="W1548" s="48"/>
      <c r="X1548" s="50"/>
      <c r="Y1548" s="50"/>
      <c r="Z1548" s="48" t="n">
        <f aca="false">IF(A1548="","",IF(AND(Parameter!$B$21="Ja",ISNUMBER(W1548)),W1548,IF(BZ1548="2+3",IF(ISNUMBER(SEARCH("grosser Artikel",BR1548)),2,IFERROR(VLOOKUP(BU1548,Parameter!$F$35:$G$64,2,0),2)),IF(OR(BZ1548="Nein",BZ1548=""),"-",BZ1548))))</f>
        <v>3</v>
      </c>
      <c r="AA1548" s="55"/>
      <c r="AB1548" s="56"/>
      <c r="AC1548" s="50" t="n">
        <f aca="false">AT1548</f>
        <v>5</v>
      </c>
      <c r="AD1548" s="50" t="n">
        <f aca="false">MAX(AT1548,H1548)</f>
        <v>5</v>
      </c>
      <c r="AE1548" s="57"/>
      <c r="AF1548" s="50" t="n">
        <f aca="false">IF(LEFT(Cockpit!$C$5,1)="A",H1548,IF(CE1548=1,CF1548,IF(LEFT(Cockpit!$C$5,1)="B",AK1548,MAX(AK1548,H1548))))</f>
        <v>5</v>
      </c>
      <c r="AG1548" s="50" t="n">
        <f aca="false">IF(BW1548=1,0,ROUNDUP(AF1548/BV1548,0))</f>
        <v>1</v>
      </c>
      <c r="AH1548" s="52" t="n">
        <f aca="false">IF(CL1548&gt;0,CL1548*MAX(1,AF1548/X1548),IF(BW1548=1,IF(AF1548&lt;=0,0,CA1548*MAX(1,IF(H1548&gt;0,AF1548/H1548,1))),IF(R1548&gt;0,AG1548/R1548,0))/MAX(0.1,N(Parameter!$M$21)))</f>
        <v>0.00961538461538462</v>
      </c>
      <c r="AI1548" s="50" t="n">
        <f aca="false">AH1548*BY1548</f>
        <v>1.49038461538462</v>
      </c>
      <c r="AJ1548" s="50" t="n">
        <f aca="false">AF1548*G1548</f>
        <v>590.7</v>
      </c>
      <c r="AK1548" s="50" t="n">
        <f aca="false">ROUNDUP(MAX(J1548/IF(CD1548&gt;0,CD1548,MAX(0.1,N(Cockpit!$C$6))),CG1548)/BV1548,0)*BV1548</f>
        <v>5</v>
      </c>
      <c r="AL1548" s="51" t="n">
        <f aca="false">IF(AI1548&gt;0,J1548/AI1548,-1)</f>
        <v>0</v>
      </c>
      <c r="AM1548" s="51" t="n">
        <f aca="false">IF(AND(OR(CC1548="L1",CC1548="L23",CC1548="LIFT"),AI1548&gt;0),SUMIFS($AI$7:$AI$1843,$CC$7:$CC$1843,CC1548,$AL$7:$AL$1843,"&gt;"&amp;AL1548)+SUMIFS($AI$7:$AI$1843,$CC$7:$CC$1843,CC1548,$AL$7:$AL$1843,AL1548,$BT$7:$BT$1843,"&lt;="&amp;BT1548),"")</f>
        <v>30149.3945437801</v>
      </c>
      <c r="AN1548" s="58" t="n">
        <f aca="false">IF(AM1548="",0,MAX(0,MIN(1,(IF(CC1548="L1",Parameter!$H$5,IF(CC1548="L23",Parameter!$H$6+Parameter!$H$7,Parameter!$H$5+Parameter!$H$6+Parameter!$H$7))-(AM1548-AI1548))/AI1548)))</f>
        <v>1</v>
      </c>
      <c r="AO1548" s="50" t="n">
        <f aca="false">IF(LEFT(Cockpit!$I$5,1)="A",H1548,IF(CE1548=1,CF1548,IF(LEFT(Cockpit!$I$5,1)="B",AT1548,MAX(AT1548,H1548))))</f>
        <v>5</v>
      </c>
      <c r="AP1548" s="50" t="n">
        <f aca="false">IF(BW1548=1,0,ROUNDUP(AO1548/BV1548,0))</f>
        <v>1</v>
      </c>
      <c r="AQ1548" s="52" t="n">
        <f aca="false">IF(CL1548&gt;0,CL1548*MAX(1,AO1548/X1548),IF(BW1548=1,IF(AO1548&lt;=0,0,CA1548*MAX(1,IF(H1548&gt;0,AO1548/H1548,1))),IF(R1548&gt;0,AP1548/R1548,0))/MAX(0.1,N(Parameter!$M$21)))</f>
        <v>0.00961538461538462</v>
      </c>
      <c r="AR1548" s="50" t="n">
        <f aca="false">AQ1548*BY1548</f>
        <v>1.49038461538462</v>
      </c>
      <c r="AS1548" s="50" t="n">
        <f aca="false">AO1548*G1548</f>
        <v>590.7</v>
      </c>
      <c r="AT1548" s="50" t="n">
        <f aca="false">ROUNDUP(MAX(J1548/IF(CD1548&gt;0,CD1548,MAX(0.1,N(Cockpit!$I$6))),CG1548)/BV1548,0)*BV1548</f>
        <v>5</v>
      </c>
      <c r="AU1548" s="51" t="n">
        <f aca="false">IF(AR1548&gt;0,J1548/AR1548,-1)</f>
        <v>0</v>
      </c>
      <c r="AV1548" s="51" t="n">
        <f aca="false">IF(AND(OR(CC1548="L1",CC1548="L23",CC1548="LIFT"),AR1548&gt;0),SUMIFS($AR$7:$AR$1843,$CC$7:$CC$1843,CC1548,$AU$7:$AU$1843,"&gt;"&amp;AU1548)+SUMIFS($AR$7:$AR$1843,$CC$7:$CC$1843,CC1548,$AU$7:$AU$1843,AU1548,$BT$7:$BT$1843,"&lt;="&amp;BT1548),"")</f>
        <v>42499.3737789988</v>
      </c>
      <c r="AW1548" s="58" t="n">
        <f aca="false">IF(AV1548="",0,MAX(0,MIN(1,(IF(CC1548="L1",Parameter!$H$5,IF(CC1548="L23",Parameter!$H$6+Parameter!$H$7,Parameter!$H$5+Parameter!$H$6+Parameter!$H$7))-(AV1548-AR1548))/AR1548)))</f>
        <v>0</v>
      </c>
      <c r="AX1548" s="50" t="n">
        <f aca="false">IF(LEFT(Cockpit!$O$5,1)="A",H1548,IF(CE1548=1,CF1548,IF(LEFT(Cockpit!$O$5,1)="B",BC1548,MAX(BC1548,H1548))))</f>
        <v>5</v>
      </c>
      <c r="AY1548" s="50" t="n">
        <f aca="false">IF(BW1548=1,0,ROUNDUP(AX1548/BV1548,0))</f>
        <v>1</v>
      </c>
      <c r="AZ1548" s="52" t="n">
        <f aca="false">IF(CL1548&gt;0,CL1548*MAX(1,AX1548/X1548),IF(BW1548=1,IF(AX1548&lt;=0,0,CA1548*MAX(1,IF(H1548&gt;0,AX1548/H1548,1))),IF(R1548&gt;0,AY1548/R1548,0))/MAX(0.1,N(Parameter!$M$21)))</f>
        <v>0.00961538461538462</v>
      </c>
      <c r="BA1548" s="50" t="n">
        <f aca="false">AZ1548*BY1548</f>
        <v>1.49038461538462</v>
      </c>
      <c r="BB1548" s="50" t="n">
        <f aca="false">AX1548*G1548</f>
        <v>590.7</v>
      </c>
      <c r="BC1548" s="50" t="n">
        <f aca="false">ROUNDUP(MAX(J1548/IF(CD1548&gt;0,CD1548,MAX(0.1,N(Cockpit!$O$6))),CG1548)/BV1548,0)*BV1548</f>
        <v>5</v>
      </c>
      <c r="BD1548" s="51" t="n">
        <f aca="false">IF(BA1548&gt;0,J1548/BA1548,-1)</f>
        <v>0</v>
      </c>
      <c r="BE1548" s="51" t="n">
        <f aca="false">IF(AND(OR(CC1548="L1",CC1548="L23",CC1548="LIFT"),BA1548&gt;0),SUMIFS($BA$7:$BA$1843,$CC$7:$CC$1843,CC1548,$BD$7:$BD$1843,"&gt;"&amp;BD1548)+SUMIFS($BA$7:$BA$1843,$CC$7:$CC$1843,CC1548,$BD$7:$BD$1843,BD1548,$BT$7:$BT$1843,"&lt;="&amp;BT1548),"")</f>
        <v>39174.3858208646</v>
      </c>
      <c r="BF1548" s="58" t="n">
        <f aca="false">IF(BE1548="",0,MAX(0,MIN(1,(IF(CC1548="L1",Parameter!$H$5,IF(CC1548="L23",Parameter!$H$6+Parameter!$H$7,Parameter!$H$5+Parameter!$H$6+Parameter!$H$7))-(BE1548-BA1548))/BA1548)))</f>
        <v>0</v>
      </c>
      <c r="BG1548" s="48" t="str">
        <f aca="false">IF(AI1548&lt;=0,"",IF(CC1548="Aussen","Aussenlager",IF(CC1548="-","Nicht im Lift",IF(AN1548&gt;=1,"Lift",IF(AN1548&lt;=0,"Aussenlager","teilweise")))))</f>
        <v>Lift</v>
      </c>
      <c r="BH1548" s="48" t="str">
        <f aca="false">IF(AR1548&lt;=0,"",IF(CC1548="Aussen","Aussenlager",IF(CC1548="-","Nicht im Lift",IF(AW1548&gt;=1,"Lift",IF(AW1548&lt;=0,"Aussenlager","teilweise")))))</f>
        <v>Aussenlager</v>
      </c>
      <c r="BI1548" s="48" t="str">
        <f aca="false">IF(BA1548&lt;=0,"",IF(CC1548="Aussen","Aussenlager",IF(CC1548="-","Nicht im Lift",IF(BF1548&gt;=1,"Lift",IF(BF1548&lt;=0,"Aussenlager","teilweise")))))</f>
        <v>Aussenlager</v>
      </c>
      <c r="BJ1548" s="48" t="str">
        <f aca="false">IF(A1548="","",IF(BS1548=1,"Neu; ","")&amp;IF(AND(BS1548=0,BN1548&lt;0),"negativer Bestand (Export "&amp;BN1548&amp;"); ","")&amp;IF(J1548&lt;=0,"Kein Verbrauch; ","")&amp;IF(CL1548&gt;0,"Lift "&amp;W1548&amp;" lt. Liftbericht (Fach "&amp;X1548&amp;" Stk); ",IF(BX1548=1,"Gebinde geschätzt ("&amp;T1548&amp;"); ",IF(BW1548=1,"Lose – Tablare geschätzt; ","")))&amp;IF(H1548&gt;AT1548,"Überbestand "&amp;ROUND(H1548-AT1548,0)&amp;" Stk / CHF "&amp;ROUND((H1548-AT1548)*G1548,0)&amp;"; ","")&amp;IF(AND(CE1548=1,CF1548&lt;CG1548),"MAX &lt; MB+LG; ","")&amp;IF(AND(CK1548&gt;0,CJ1548*10&gt;CK1548),"zu hoch für Tablar; ","")&amp;IF(AND(BS1548=0,OR(CE1548=1,AA1548&lt;&gt;"",U1548&lt;&gt;"",V1548&lt;&gt;"",AB1548&lt;&gt;"")),"manuell übersteuert; ","")&amp;IF(AND(BW1548=0,R1548=0),"Gebinde unbekannt / Stellmass fehlt; ","")&amp;IF(AND(BW1548=0,N(V1548)&lt;=0,N(Q1548)&lt;=0),"Menge pro Gebinde fehlt (Ist = 1 Gebinde); ","")&amp;BR1548)</f>
        <v>Kein Verbrauch; nur im Artikelstamm (Bestand 23.06.2026)</v>
      </c>
      <c r="BK1548" s="48"/>
      <c r="BL1548" s="48"/>
      <c r="BM1548" s="55"/>
      <c r="BN1548" s="50" t="n">
        <v>5</v>
      </c>
      <c r="BO1548" s="50" t="n">
        <v>0</v>
      </c>
      <c r="BP1548" s="49" t="n">
        <v>0</v>
      </c>
      <c r="BQ1548" s="50" t="n">
        <v>0</v>
      </c>
      <c r="BR1548" s="48" t="s">
        <v>2579</v>
      </c>
      <c r="BS1548" s="53" t="n">
        <v>0</v>
      </c>
      <c r="BT1548" s="53" t="n">
        <v>1548</v>
      </c>
      <c r="BU1548" s="48" t="str">
        <f aca="false">IF(U1548&lt;&gt;"",UPPER(TRIM(U1548)),IF(BX1548=1,UPPER(VLOOKUP(T1548,Parameter!$I$27:$K$29,2,0)),IF(P1548="","LOSE",P1548)))</f>
        <v>S32</v>
      </c>
      <c r="BV1548" s="50" t="n">
        <f aca="false">IF(BU1548="LOSE",1,IF(N(V1548)&gt;0,V1548,IF(BX1548=1,MAX(1,N(VLOOKUP(T1548,Parameter!$I$27:$K$29,3,0)),H1548,N(N1548)),IF(N(Q1548)&gt;0,Q1548,MAX(1,H1548)))))</f>
        <v>5</v>
      </c>
      <c r="BW1548" s="53" t="n">
        <f aca="false">IF(BU1548="LOSE",1,0)</f>
        <v>0</v>
      </c>
      <c r="BX1548" s="53" t="n">
        <f aca="false">IF(AND(U1548="",OR(P1548="",P1548="LOSE"),T1548&lt;&gt;"",N(S1548)&lt;=0,ISNUMBER(MATCH(T1548,Parameter!$I$27:$I$29,0))),1,0)</f>
        <v>0</v>
      </c>
      <c r="BY1548" s="53" t="n">
        <f aca="false">IF(CL1548&gt;0,INDEX(Parameter!$H$5:$H$7,W1548)/INDEX(Parameter!$E$5:$E$7,W1548),IF(AND(BW1548=0,N(IFERROR(VLOOKUP(BU1548,'Gebinde-Kategorie'!$A$5:$N$45,14,0),0))&gt;0),VLOOKUP(BU1548,'Gebinde-Kategorie'!$A$5:$N$45,14,0)*10+Parameter!$M$23,Parameter!$M$24))</f>
        <v>155</v>
      </c>
      <c r="BZ1548" s="48" t="str">
        <f aca="false">IF(AND(Parameter!$B$19="Ja",E1548&lt;&gt;"",ISNUMBER(MATCH(E1548,Parameter!$I$35:$I$52,0))),VLOOKUP(E1548,Parameter!$I$35:$J$52,2,0),IFERROR(VLOOKUP(D1548,Parameter!$A$35:$C$64,2,0),"Nein"))</f>
        <v>2+3</v>
      </c>
      <c r="CA1548" s="52" t="n">
        <f aca="false">IF(BW1548=0,0,IF(N(S1548)&gt;0,S1548,IFERROR(VLOOKUP(D1548,Parameter!$A$35:$C$64,3,0)+0,0)))</f>
        <v>0</v>
      </c>
      <c r="CB1548" s="48" t="n">
        <f aca="false">IF(AA1548&lt;&gt;"",AA1548,Z1548)</f>
        <v>3</v>
      </c>
      <c r="CC1548" s="48" t="str">
        <f aca="false">IF(OR(CB1548=1,CB1548=2,CB1548=3),IF(Parameter!$E$27="Ja","LIFT",IF(CB1548=1,"L1","L23")),IF(CB1548="Aussen","Aussen","-"))</f>
        <v>LIFT</v>
      </c>
      <c r="CD1548" s="59" t="n">
        <f aca="false">IF(N(AB1548)&gt;0,AB1548,0)</f>
        <v>0</v>
      </c>
      <c r="CE1548" s="53" t="n">
        <f aca="false">IF(ISNUMBER(AE1548),1,0)</f>
        <v>0</v>
      </c>
      <c r="CF1548" s="50" t="n">
        <f aca="false">N(AE1548)</f>
        <v>0</v>
      </c>
      <c r="CG1548" s="50" t="n">
        <f aca="false">N(M1548)+N(N1548)</f>
        <v>5</v>
      </c>
      <c r="CH1548" s="50" t="n">
        <f aca="false">ROUNDUP(H1548/BV1548,0)</f>
        <v>1</v>
      </c>
      <c r="CI1548" s="50" t="n">
        <f aca="false">ROUNDUP(CF1548/BV1548,0)</f>
        <v>0</v>
      </c>
      <c r="CJ1548" s="53" t="n">
        <f aca="false">IF(BW1548=1,0,IFERROR(VLOOKUP(BU1548,'Gebinde-Kategorie'!$A$5:$N$45,5,0)+0,0))</f>
        <v>8</v>
      </c>
      <c r="CK1548" s="53" t="n">
        <f aca="false">IFERROR(IF(OR(CB1548=1,CB1548=2,CB1548=3),N(INDEX(Parameter!$I$5:$I$7,CB1548)),0),0)</f>
        <v>0</v>
      </c>
      <c r="CL1548" s="52" t="n">
        <f aca="false">IF(AND(Parameter!$B$21="Ja",ISNUMBER(W1548),N(X1548)&gt;0),IFERROR(N(INDEX(Parameter!$L$5:$L$7,W1548))*INDEX(Parameter!$E$5:$E$7,W1548)*X1548/SUMIFS($X$7:$X$1843,$W$7:$W$1843,W1548),0),0)</f>
        <v>0</v>
      </c>
    </row>
    <row r="1549" customFormat="false" ht="15" hidden="false" customHeight="false" outlineLevel="0" collapsed="false">
      <c r="A1549" s="48" t="s">
        <v>2711</v>
      </c>
      <c r="B1549" s="48" t="s">
        <v>2712</v>
      </c>
      <c r="C1549" s="48" t="s">
        <v>168</v>
      </c>
      <c r="D1549" s="48" t="s">
        <v>177</v>
      </c>
      <c r="E1549" s="48" t="s">
        <v>189</v>
      </c>
      <c r="F1549" s="48"/>
      <c r="G1549" s="49" t="n">
        <v>240</v>
      </c>
      <c r="H1549" s="50" t="n">
        <f aca="false">MAX(0,IF(AND(Parameter!$B$21="Ja",ISNUMBER(Y1549)),Y1549,IF(Parameter!$B$20="Jahresanfang 2025 + Export",BO1549+BN1549,BN1549)))</f>
        <v>46</v>
      </c>
      <c r="I1549" s="50" t="n">
        <f aca="false">H1549*G1549</f>
        <v>11040</v>
      </c>
      <c r="J1549" s="50" t="n">
        <f aca="false">BQ1549*Parameter!$B$18</f>
        <v>0</v>
      </c>
      <c r="K1549" s="51"/>
      <c r="L1549" s="52"/>
      <c r="M1549" s="50" t="n">
        <v>0</v>
      </c>
      <c r="N1549" s="50" t="n">
        <v>20</v>
      </c>
      <c r="O1549" s="53" t="n">
        <v>28</v>
      </c>
      <c r="P1549" s="48" t="s">
        <v>230</v>
      </c>
      <c r="Q1549" s="50" t="n">
        <v>23</v>
      </c>
      <c r="R1549" s="53" t="n">
        <f aca="false">IF(BW1549=1,0,IFERROR(VLOOKUP(BU1549,'Gebinde-Kategorie'!$A$5:$N$45,13,0)+0,0))</f>
        <v>12</v>
      </c>
      <c r="S1549" s="54"/>
      <c r="T1549" s="55"/>
      <c r="U1549" s="55"/>
      <c r="V1549" s="55"/>
      <c r="W1549" s="48"/>
      <c r="X1549" s="50"/>
      <c r="Y1549" s="50"/>
      <c r="Z1549" s="48" t="n">
        <f aca="false">IF(A1549="","",IF(AND(Parameter!$B$21="Ja",ISNUMBER(W1549)),W1549,IF(BZ1549="2+3",IF(ISNUMBER(SEARCH("grosser Artikel",BR1549)),2,IFERROR(VLOOKUP(BU1549,Parameter!$F$35:$G$64,2,0),2)),IF(OR(BZ1549="Nein",BZ1549=""),"-",BZ1549))))</f>
        <v>2</v>
      </c>
      <c r="AA1549" s="55"/>
      <c r="AB1549" s="56"/>
      <c r="AC1549" s="50" t="n">
        <f aca="false">AT1549</f>
        <v>23</v>
      </c>
      <c r="AD1549" s="50" t="n">
        <f aca="false">MAX(AT1549,H1549)</f>
        <v>46</v>
      </c>
      <c r="AE1549" s="57"/>
      <c r="AF1549" s="50" t="n">
        <f aca="false">IF(LEFT(Cockpit!$C$5,1)="A",H1549,IF(CE1549=1,CF1549,IF(LEFT(Cockpit!$C$5,1)="B",AK1549,MAX(AK1549,H1549))))</f>
        <v>46</v>
      </c>
      <c r="AG1549" s="50" t="n">
        <f aca="false">IF(BW1549=1,0,ROUNDUP(AF1549/BV1549,0))</f>
        <v>2</v>
      </c>
      <c r="AH1549" s="52" t="n">
        <f aca="false">IF(CL1549&gt;0,CL1549*MAX(1,AF1549/X1549),IF(BW1549=1,IF(AF1549&lt;=0,0,CA1549*MAX(1,IF(H1549&gt;0,AF1549/H1549,1))),IF(R1549&gt;0,AG1549/R1549,0))/MAX(0.1,N(Parameter!$M$21)))</f>
        <v>0.166666666666667</v>
      </c>
      <c r="AI1549" s="50" t="n">
        <f aca="false">AH1549*BY1549</f>
        <v>57.5</v>
      </c>
      <c r="AJ1549" s="50" t="n">
        <f aca="false">AF1549*G1549</f>
        <v>11040</v>
      </c>
      <c r="AK1549" s="50" t="n">
        <f aca="false">ROUNDUP(MAX(J1549/IF(CD1549&gt;0,CD1549,MAX(0.1,N(Cockpit!$C$6))),CG1549)/BV1549,0)*BV1549</f>
        <v>23</v>
      </c>
      <c r="AL1549" s="51" t="n">
        <f aca="false">IF(AI1549&gt;0,J1549/AI1549,-1)</f>
        <v>0</v>
      </c>
      <c r="AM1549" s="51" t="n">
        <f aca="false">IF(AND(OR(CC1549="L1",CC1549="L23",CC1549="LIFT"),AI1549&gt;0),SUMIFS($AI$7:$AI$1843,$CC$7:$CC$1843,CC1549,$AL$7:$AL$1843,"&gt;"&amp;AL1549)+SUMIFS($AI$7:$AI$1843,$CC$7:$CC$1843,CC1549,$AL$7:$AL$1843,AL1549,$BT$7:$BT$1843,"&lt;="&amp;BT1549),"")</f>
        <v>30206.8945437801</v>
      </c>
      <c r="AN1549" s="58" t="n">
        <f aca="false">IF(AM1549="",0,MAX(0,MIN(1,(IF(CC1549="L1",Parameter!$H$5,IF(CC1549="L23",Parameter!$H$6+Parameter!$H$7,Parameter!$H$5+Parameter!$H$6+Parameter!$H$7))-(AM1549-AI1549))/AI1549)))</f>
        <v>1</v>
      </c>
      <c r="AO1549" s="50" t="n">
        <f aca="false">IF(LEFT(Cockpit!$I$5,1)="A",H1549,IF(CE1549=1,CF1549,IF(LEFT(Cockpit!$I$5,1)="B",AT1549,MAX(AT1549,H1549))))</f>
        <v>46</v>
      </c>
      <c r="AP1549" s="50" t="n">
        <f aca="false">IF(BW1549=1,0,ROUNDUP(AO1549/BV1549,0))</f>
        <v>2</v>
      </c>
      <c r="AQ1549" s="52" t="n">
        <f aca="false">IF(CL1549&gt;0,CL1549*MAX(1,AO1549/X1549),IF(BW1549=1,IF(AO1549&lt;=0,0,CA1549*MAX(1,IF(H1549&gt;0,AO1549/H1549,1))),IF(R1549&gt;0,AP1549/R1549,0))/MAX(0.1,N(Parameter!$M$21)))</f>
        <v>0.166666666666667</v>
      </c>
      <c r="AR1549" s="50" t="n">
        <f aca="false">AQ1549*BY1549</f>
        <v>57.5</v>
      </c>
      <c r="AS1549" s="50" t="n">
        <f aca="false">AO1549*G1549</f>
        <v>11040</v>
      </c>
      <c r="AT1549" s="50" t="n">
        <f aca="false">ROUNDUP(MAX(J1549/IF(CD1549&gt;0,CD1549,MAX(0.1,N(Cockpit!$I$6))),CG1549)/BV1549,0)*BV1549</f>
        <v>23</v>
      </c>
      <c r="AU1549" s="51" t="n">
        <f aca="false">IF(AR1549&gt;0,J1549/AR1549,-1)</f>
        <v>0</v>
      </c>
      <c r="AV1549" s="51" t="n">
        <f aca="false">IF(AND(OR(CC1549="L1",CC1549="L23",CC1549="LIFT"),AR1549&gt;0),SUMIFS($AR$7:$AR$1843,$CC$7:$CC$1843,CC1549,$AU$7:$AU$1843,"&gt;"&amp;AU1549)+SUMIFS($AR$7:$AR$1843,$CC$7:$CC$1843,CC1549,$AU$7:$AU$1843,AU1549,$BT$7:$BT$1843,"&lt;="&amp;BT1549),"")</f>
        <v>42556.8737789988</v>
      </c>
      <c r="AW1549" s="58" t="n">
        <f aca="false">IF(AV1549="",0,MAX(0,MIN(1,(IF(CC1549="L1",Parameter!$H$5,IF(CC1549="L23",Parameter!$H$6+Parameter!$H$7,Parameter!$H$5+Parameter!$H$6+Parameter!$H$7))-(AV1549-AR1549))/AR1549)))</f>
        <v>0</v>
      </c>
      <c r="AX1549" s="50" t="n">
        <f aca="false">IF(LEFT(Cockpit!$O$5,1)="A",H1549,IF(CE1549=1,CF1549,IF(LEFT(Cockpit!$O$5,1)="B",BC1549,MAX(BC1549,H1549))))</f>
        <v>46</v>
      </c>
      <c r="AY1549" s="50" t="n">
        <f aca="false">IF(BW1549=1,0,ROUNDUP(AX1549/BV1549,0))</f>
        <v>2</v>
      </c>
      <c r="AZ1549" s="52" t="n">
        <f aca="false">IF(CL1549&gt;0,CL1549*MAX(1,AX1549/X1549),IF(BW1549=1,IF(AX1549&lt;=0,0,CA1549*MAX(1,IF(H1549&gt;0,AX1549/H1549,1))),IF(R1549&gt;0,AY1549/R1549,0))/MAX(0.1,N(Parameter!$M$21)))</f>
        <v>0.166666666666667</v>
      </c>
      <c r="BA1549" s="50" t="n">
        <f aca="false">AZ1549*BY1549</f>
        <v>57.5</v>
      </c>
      <c r="BB1549" s="50" t="n">
        <f aca="false">AX1549*G1549</f>
        <v>11040</v>
      </c>
      <c r="BC1549" s="50" t="n">
        <f aca="false">ROUNDUP(MAX(J1549/IF(CD1549&gt;0,CD1549,MAX(0.1,N(Cockpit!$O$6))),CG1549)/BV1549,0)*BV1549</f>
        <v>23</v>
      </c>
      <c r="BD1549" s="51" t="n">
        <f aca="false">IF(BA1549&gt;0,J1549/BA1549,-1)</f>
        <v>0</v>
      </c>
      <c r="BE1549" s="51" t="n">
        <f aca="false">IF(AND(OR(CC1549="L1",CC1549="L23",CC1549="LIFT"),BA1549&gt;0),SUMIFS($BA$7:$BA$1843,$CC$7:$CC$1843,CC1549,$BD$7:$BD$1843,"&gt;"&amp;BD1549)+SUMIFS($BA$7:$BA$1843,$CC$7:$CC$1843,CC1549,$BD$7:$BD$1843,BD1549,$BT$7:$BT$1843,"&lt;="&amp;BT1549),"")</f>
        <v>39231.8858208646</v>
      </c>
      <c r="BF1549" s="58" t="n">
        <f aca="false">IF(BE1549="",0,MAX(0,MIN(1,(IF(CC1549="L1",Parameter!$H$5,IF(CC1549="L23",Parameter!$H$6+Parameter!$H$7,Parameter!$H$5+Parameter!$H$6+Parameter!$H$7))-(BE1549-BA1549))/BA1549)))</f>
        <v>0</v>
      </c>
      <c r="BG1549" s="48" t="str">
        <f aca="false">IF(AI1549&lt;=0,"",IF(CC1549="Aussen","Aussenlager",IF(CC1549="-","Nicht im Lift",IF(AN1549&gt;=1,"Lift",IF(AN1549&lt;=0,"Aussenlager","teilweise")))))</f>
        <v>Lift</v>
      </c>
      <c r="BH1549" s="48" t="str">
        <f aca="false">IF(AR1549&lt;=0,"",IF(CC1549="Aussen","Aussenlager",IF(CC1549="-","Nicht im Lift",IF(AW1549&gt;=1,"Lift",IF(AW1549&lt;=0,"Aussenlager","teilweise")))))</f>
        <v>Aussenlager</v>
      </c>
      <c r="BI1549" s="48" t="str">
        <f aca="false">IF(BA1549&lt;=0,"",IF(CC1549="Aussen","Aussenlager",IF(CC1549="-","Nicht im Lift",IF(BF1549&gt;=1,"Lift",IF(BF1549&lt;=0,"Aussenlager","teilweise")))))</f>
        <v>Aussenlager</v>
      </c>
      <c r="BJ1549" s="48" t="str">
        <f aca="false">IF(A1549="","",IF(BS1549=1,"Neu; ","")&amp;IF(AND(BS1549=0,BN1549&lt;0),"negativer Bestand (Export "&amp;BN1549&amp;"); ","")&amp;IF(J1549&lt;=0,"Kein Verbrauch; ","")&amp;IF(CL1549&gt;0,"Lift "&amp;W1549&amp;" lt. Liftbericht (Fach "&amp;X1549&amp;" Stk); ",IF(BX1549=1,"Gebinde geschätzt ("&amp;T1549&amp;"); ",IF(BW1549=1,"Lose – Tablare geschätzt; ","")))&amp;IF(H1549&gt;AT1549,"Überbestand "&amp;ROUND(H1549-AT1549,0)&amp;" Stk / CHF "&amp;ROUND((H1549-AT1549)*G1549,0)&amp;"; ","")&amp;IF(AND(CE1549=1,CF1549&lt;CG1549),"MAX &lt; MB+LG; ","")&amp;IF(AND(CK1549&gt;0,CJ1549*10&gt;CK1549),"zu hoch für Tablar; ","")&amp;IF(AND(BS1549=0,OR(CE1549=1,AA1549&lt;&gt;"",U1549&lt;&gt;"",V1549&lt;&gt;"",AB1549&lt;&gt;"")),"manuell übersteuert; ","")&amp;IF(AND(BW1549=0,R1549=0),"Gebinde unbekannt / Stellmass fehlt; ","")&amp;IF(AND(BW1549=0,N(V1549)&lt;=0,N(Q1549)&lt;=0),"Menge pro Gebinde fehlt (Ist = 1 Gebinde); ","")&amp;BR1549)</f>
        <v>Kein Verbrauch; Überbestand 23 Stk / CHF 5520; nur im Artikelstamm (Bestand 23.06.2026)</v>
      </c>
      <c r="BK1549" s="48"/>
      <c r="BL1549" s="48"/>
      <c r="BM1549" s="55"/>
      <c r="BN1549" s="50" t="n">
        <v>46</v>
      </c>
      <c r="BO1549" s="50" t="n">
        <v>0</v>
      </c>
      <c r="BP1549" s="49" t="n">
        <v>0</v>
      </c>
      <c r="BQ1549" s="50" t="n">
        <v>0</v>
      </c>
      <c r="BR1549" s="48" t="s">
        <v>2579</v>
      </c>
      <c r="BS1549" s="53" t="n">
        <v>0</v>
      </c>
      <c r="BT1549" s="53" t="n">
        <v>1549</v>
      </c>
      <c r="BU1549" s="48" t="str">
        <f aca="false">IF(U1549&lt;&gt;"",UPPER(TRIM(U1549)),IF(BX1549=1,UPPER(VLOOKUP(T1549,Parameter!$I$27:$K$29,2,0)),IF(P1549="","LOSE",P1549)))</f>
        <v>S63</v>
      </c>
      <c r="BV1549" s="50" t="n">
        <f aca="false">IF(BU1549="LOSE",1,IF(N(V1549)&gt;0,V1549,IF(BX1549=1,MAX(1,N(VLOOKUP(T1549,Parameter!$I$27:$K$29,3,0)),H1549,N(N1549)),IF(N(Q1549)&gt;0,Q1549,MAX(1,H1549)))))</f>
        <v>23</v>
      </c>
      <c r="BW1549" s="53" t="n">
        <f aca="false">IF(BU1549="LOSE",1,0)</f>
        <v>0</v>
      </c>
      <c r="BX1549" s="53" t="n">
        <f aca="false">IF(AND(U1549="",OR(P1549="",P1549="LOSE"),T1549&lt;&gt;"",N(S1549)&lt;=0,ISNUMBER(MATCH(T1549,Parameter!$I$27:$I$29,0))),1,0)</f>
        <v>0</v>
      </c>
      <c r="BY1549" s="53" t="n">
        <f aca="false">IF(CL1549&gt;0,INDEX(Parameter!$H$5:$H$7,W1549)/INDEX(Parameter!$E$5:$E$7,W1549),IF(AND(BW1549=0,N(IFERROR(VLOOKUP(BU1549,'Gebinde-Kategorie'!$A$5:$N$45,14,0),0))&gt;0),VLOOKUP(BU1549,'Gebinde-Kategorie'!$A$5:$N$45,14,0)*10+Parameter!$M$23,Parameter!$M$24))</f>
        <v>345</v>
      </c>
      <c r="BZ1549" s="48" t="str">
        <f aca="false">IF(AND(Parameter!$B$19="Ja",E1549&lt;&gt;"",ISNUMBER(MATCH(E1549,Parameter!$I$35:$I$52,0))),VLOOKUP(E1549,Parameter!$I$35:$J$52,2,0),IFERROR(VLOOKUP(D1549,Parameter!$A$35:$C$64,2,0),"Nein"))</f>
        <v>2+3</v>
      </c>
      <c r="CA1549" s="52" t="n">
        <f aca="false">IF(BW1549=0,0,IF(N(S1549)&gt;0,S1549,IFERROR(VLOOKUP(D1549,Parameter!$A$35:$C$64,3,0)+0,0)))</f>
        <v>0</v>
      </c>
      <c r="CB1549" s="48" t="n">
        <f aca="false">IF(AA1549&lt;&gt;"",AA1549,Z1549)</f>
        <v>2</v>
      </c>
      <c r="CC1549" s="48" t="str">
        <f aca="false">IF(OR(CB1549=1,CB1549=2,CB1549=3),IF(Parameter!$E$27="Ja","LIFT",IF(CB1549=1,"L1","L23")),IF(CB1549="Aussen","Aussen","-"))</f>
        <v>LIFT</v>
      </c>
      <c r="CD1549" s="59" t="n">
        <f aca="false">IF(N(AB1549)&gt;0,AB1549,0)</f>
        <v>0</v>
      </c>
      <c r="CE1549" s="53" t="n">
        <f aca="false">IF(ISNUMBER(AE1549),1,0)</f>
        <v>0</v>
      </c>
      <c r="CF1549" s="50" t="n">
        <f aca="false">N(AE1549)</f>
        <v>0</v>
      </c>
      <c r="CG1549" s="50" t="n">
        <f aca="false">N(M1549)+N(N1549)</f>
        <v>20</v>
      </c>
      <c r="CH1549" s="50" t="n">
        <f aca="false">ROUNDUP(H1549/BV1549,0)</f>
        <v>2</v>
      </c>
      <c r="CI1549" s="50" t="n">
        <f aca="false">ROUNDUP(CF1549/BV1549,0)</f>
        <v>0</v>
      </c>
      <c r="CJ1549" s="53" t="n">
        <f aca="false">IF(BW1549=1,0,IFERROR(VLOOKUP(BU1549,'Gebinde-Kategorie'!$A$5:$N$45,5,0)+0,0))</f>
        <v>31</v>
      </c>
      <c r="CK1549" s="53" t="n">
        <f aca="false">IFERROR(IF(OR(CB1549=1,CB1549=2,CB1549=3),N(INDEX(Parameter!$I$5:$I$7,CB1549)),0),0)</f>
        <v>0</v>
      </c>
      <c r="CL1549" s="52" t="n">
        <f aca="false">IF(AND(Parameter!$B$21="Ja",ISNUMBER(W1549),N(X1549)&gt;0),IFERROR(N(INDEX(Parameter!$L$5:$L$7,W1549))*INDEX(Parameter!$E$5:$E$7,W1549)*X1549/SUMIFS($X$7:$X$1843,$W$7:$W$1843,W1549),0),0)</f>
        <v>0</v>
      </c>
    </row>
    <row r="1550" customFormat="false" ht="15" hidden="false" customHeight="false" outlineLevel="0" collapsed="false">
      <c r="A1550" s="48" t="s">
        <v>2713</v>
      </c>
      <c r="B1550" s="48" t="s">
        <v>2714</v>
      </c>
      <c r="C1550" s="48" t="s">
        <v>168</v>
      </c>
      <c r="D1550" s="48" t="s">
        <v>188</v>
      </c>
      <c r="E1550" s="48" t="s">
        <v>189</v>
      </c>
      <c r="F1550" s="48"/>
      <c r="G1550" s="49" t="n">
        <v>9.09</v>
      </c>
      <c r="H1550" s="50" t="n">
        <f aca="false">MAX(0,IF(AND(Parameter!$B$21="Ja",ISNUMBER(Y1550)),Y1550,IF(Parameter!$B$20="Jahresanfang 2025 + Export",BO1550+BN1550,BN1550)))</f>
        <v>11</v>
      </c>
      <c r="I1550" s="50" t="n">
        <f aca="false">H1550*G1550</f>
        <v>99.99</v>
      </c>
      <c r="J1550" s="50" t="n">
        <f aca="false">BQ1550*Parameter!$B$18</f>
        <v>0</v>
      </c>
      <c r="K1550" s="51"/>
      <c r="L1550" s="52"/>
      <c r="M1550" s="50" t="n">
        <v>0</v>
      </c>
      <c r="N1550" s="50" t="n">
        <v>1</v>
      </c>
      <c r="O1550" s="53" t="n">
        <v>28</v>
      </c>
      <c r="P1550" s="48" t="s">
        <v>332</v>
      </c>
      <c r="Q1550" s="50" t="n">
        <v>11</v>
      </c>
      <c r="R1550" s="53" t="n">
        <f aca="false">IF(BW1550=1,0,IFERROR(VLOOKUP(BU1550,'Gebinde-Kategorie'!$A$5:$N$45,13,0)+0,0))</f>
        <v>52</v>
      </c>
      <c r="S1550" s="54"/>
      <c r="T1550" s="55"/>
      <c r="U1550" s="55"/>
      <c r="V1550" s="55"/>
      <c r="W1550" s="48"/>
      <c r="X1550" s="50"/>
      <c r="Y1550" s="50"/>
      <c r="Z1550" s="48" t="n">
        <f aca="false">IF(A1550="","",IF(AND(Parameter!$B$21="Ja",ISNUMBER(W1550)),W1550,IF(BZ1550="2+3",IF(ISNUMBER(SEARCH("grosser Artikel",BR1550)),2,IFERROR(VLOOKUP(BU1550,Parameter!$F$35:$G$64,2,0),2)),IF(OR(BZ1550="Nein",BZ1550=""),"-",BZ1550))))</f>
        <v>3</v>
      </c>
      <c r="AA1550" s="55"/>
      <c r="AB1550" s="56"/>
      <c r="AC1550" s="50" t="n">
        <f aca="false">AT1550</f>
        <v>11</v>
      </c>
      <c r="AD1550" s="50" t="n">
        <f aca="false">MAX(AT1550,H1550)</f>
        <v>11</v>
      </c>
      <c r="AE1550" s="57"/>
      <c r="AF1550" s="50" t="n">
        <f aca="false">IF(LEFT(Cockpit!$C$5,1)="A",H1550,IF(CE1550=1,CF1550,IF(LEFT(Cockpit!$C$5,1)="B",AK1550,MAX(AK1550,H1550))))</f>
        <v>11</v>
      </c>
      <c r="AG1550" s="50" t="n">
        <f aca="false">IF(BW1550=1,0,ROUNDUP(AF1550/BV1550,0))</f>
        <v>1</v>
      </c>
      <c r="AH1550" s="52" t="n">
        <f aca="false">IF(CL1550&gt;0,CL1550*MAX(1,AF1550/X1550),IF(BW1550=1,IF(AF1550&lt;=0,0,CA1550*MAX(1,IF(H1550&gt;0,AF1550/H1550,1))),IF(R1550&gt;0,AG1550/R1550,0))/MAX(0.1,N(Parameter!$M$21)))</f>
        <v>0.0192307692307692</v>
      </c>
      <c r="AI1550" s="50" t="n">
        <f aca="false">AH1550*BY1550</f>
        <v>2.98076923076923</v>
      </c>
      <c r="AJ1550" s="50" t="n">
        <f aca="false">AF1550*G1550</f>
        <v>99.99</v>
      </c>
      <c r="AK1550" s="50" t="n">
        <f aca="false">ROUNDUP(MAX(J1550/IF(CD1550&gt;0,CD1550,MAX(0.1,N(Cockpit!$C$6))),CG1550)/BV1550,0)*BV1550</f>
        <v>11</v>
      </c>
      <c r="AL1550" s="51" t="n">
        <f aca="false">IF(AI1550&gt;0,J1550/AI1550,-1)</f>
        <v>0</v>
      </c>
      <c r="AM1550" s="51" t="n">
        <f aca="false">IF(AND(OR(CC1550="L1",CC1550="L23",CC1550="LIFT"),AI1550&gt;0),SUMIFS($AI$7:$AI$1843,$CC$7:$CC$1843,CC1550,$AL$7:$AL$1843,"&gt;"&amp;AL1550)+SUMIFS($AI$7:$AI$1843,$CC$7:$CC$1843,CC1550,$AL$7:$AL$1843,AL1550,$BT$7:$BT$1843,"&lt;="&amp;BT1550),"")</f>
        <v>30209.8753130109</v>
      </c>
      <c r="AN1550" s="58" t="n">
        <f aca="false">IF(AM1550="",0,MAX(0,MIN(1,(IF(CC1550="L1",Parameter!$H$5,IF(CC1550="L23",Parameter!$H$6+Parameter!$H$7,Parameter!$H$5+Parameter!$H$6+Parameter!$H$7))-(AM1550-AI1550))/AI1550)))</f>
        <v>1</v>
      </c>
      <c r="AO1550" s="50" t="n">
        <f aca="false">IF(LEFT(Cockpit!$I$5,1)="A",H1550,IF(CE1550=1,CF1550,IF(LEFT(Cockpit!$I$5,1)="B",AT1550,MAX(AT1550,H1550))))</f>
        <v>11</v>
      </c>
      <c r="AP1550" s="50" t="n">
        <f aca="false">IF(BW1550=1,0,ROUNDUP(AO1550/BV1550,0))</f>
        <v>1</v>
      </c>
      <c r="AQ1550" s="52" t="n">
        <f aca="false">IF(CL1550&gt;0,CL1550*MAX(1,AO1550/X1550),IF(BW1550=1,IF(AO1550&lt;=0,0,CA1550*MAX(1,IF(H1550&gt;0,AO1550/H1550,1))),IF(R1550&gt;0,AP1550/R1550,0))/MAX(0.1,N(Parameter!$M$21)))</f>
        <v>0.0192307692307692</v>
      </c>
      <c r="AR1550" s="50" t="n">
        <f aca="false">AQ1550*BY1550</f>
        <v>2.98076923076923</v>
      </c>
      <c r="AS1550" s="50" t="n">
        <f aca="false">AO1550*G1550</f>
        <v>99.99</v>
      </c>
      <c r="AT1550" s="50" t="n">
        <f aca="false">ROUNDUP(MAX(J1550/IF(CD1550&gt;0,CD1550,MAX(0.1,N(Cockpit!$I$6))),CG1550)/BV1550,0)*BV1550</f>
        <v>11</v>
      </c>
      <c r="AU1550" s="51" t="n">
        <f aca="false">IF(AR1550&gt;0,J1550/AR1550,-1)</f>
        <v>0</v>
      </c>
      <c r="AV1550" s="51" t="n">
        <f aca="false">IF(AND(OR(CC1550="L1",CC1550="L23",CC1550="LIFT"),AR1550&gt;0),SUMIFS($AR$7:$AR$1843,$CC$7:$CC$1843,CC1550,$AU$7:$AU$1843,"&gt;"&amp;AU1550)+SUMIFS($AR$7:$AR$1843,$CC$7:$CC$1843,CC1550,$AU$7:$AU$1843,AU1550,$BT$7:$BT$1843,"&lt;="&amp;BT1550),"")</f>
        <v>42559.8545482296</v>
      </c>
      <c r="AW1550" s="58" t="n">
        <f aca="false">IF(AV1550="",0,MAX(0,MIN(1,(IF(CC1550="L1",Parameter!$H$5,IF(CC1550="L23",Parameter!$H$6+Parameter!$H$7,Parameter!$H$5+Parameter!$H$6+Parameter!$H$7))-(AV1550-AR1550))/AR1550)))</f>
        <v>0</v>
      </c>
      <c r="AX1550" s="50" t="n">
        <f aca="false">IF(LEFT(Cockpit!$O$5,1)="A",H1550,IF(CE1550=1,CF1550,IF(LEFT(Cockpit!$O$5,1)="B",BC1550,MAX(BC1550,H1550))))</f>
        <v>11</v>
      </c>
      <c r="AY1550" s="50" t="n">
        <f aca="false">IF(BW1550=1,0,ROUNDUP(AX1550/BV1550,0))</f>
        <v>1</v>
      </c>
      <c r="AZ1550" s="52" t="n">
        <f aca="false">IF(CL1550&gt;0,CL1550*MAX(1,AX1550/X1550),IF(BW1550=1,IF(AX1550&lt;=0,0,CA1550*MAX(1,IF(H1550&gt;0,AX1550/H1550,1))),IF(R1550&gt;0,AY1550/R1550,0))/MAX(0.1,N(Parameter!$M$21)))</f>
        <v>0.0192307692307692</v>
      </c>
      <c r="BA1550" s="50" t="n">
        <f aca="false">AZ1550*BY1550</f>
        <v>2.98076923076923</v>
      </c>
      <c r="BB1550" s="50" t="n">
        <f aca="false">AX1550*G1550</f>
        <v>99.99</v>
      </c>
      <c r="BC1550" s="50" t="n">
        <f aca="false">ROUNDUP(MAX(J1550/IF(CD1550&gt;0,CD1550,MAX(0.1,N(Cockpit!$O$6))),CG1550)/BV1550,0)*BV1550</f>
        <v>11</v>
      </c>
      <c r="BD1550" s="51" t="n">
        <f aca="false">IF(BA1550&gt;0,J1550/BA1550,-1)</f>
        <v>0</v>
      </c>
      <c r="BE1550" s="51" t="n">
        <f aca="false">IF(AND(OR(CC1550="L1",CC1550="L23",CC1550="LIFT"),BA1550&gt;0),SUMIFS($BA$7:$BA$1843,$CC$7:$CC$1843,CC1550,$BD$7:$BD$1843,"&gt;"&amp;BD1550)+SUMIFS($BA$7:$BA$1843,$CC$7:$CC$1843,CC1550,$BD$7:$BD$1843,BD1550,$BT$7:$BT$1843,"&lt;="&amp;BT1550),"")</f>
        <v>39234.8665900954</v>
      </c>
      <c r="BF1550" s="58" t="n">
        <f aca="false">IF(BE1550="",0,MAX(0,MIN(1,(IF(CC1550="L1",Parameter!$H$5,IF(CC1550="L23",Parameter!$H$6+Parameter!$H$7,Parameter!$H$5+Parameter!$H$6+Parameter!$H$7))-(BE1550-BA1550))/BA1550)))</f>
        <v>0</v>
      </c>
      <c r="BG1550" s="48" t="str">
        <f aca="false">IF(AI1550&lt;=0,"",IF(CC1550="Aussen","Aussenlager",IF(CC1550="-","Nicht im Lift",IF(AN1550&gt;=1,"Lift",IF(AN1550&lt;=0,"Aussenlager","teilweise")))))</f>
        <v>Lift</v>
      </c>
      <c r="BH1550" s="48" t="str">
        <f aca="false">IF(AR1550&lt;=0,"",IF(CC1550="Aussen","Aussenlager",IF(CC1550="-","Nicht im Lift",IF(AW1550&gt;=1,"Lift",IF(AW1550&lt;=0,"Aussenlager","teilweise")))))</f>
        <v>Aussenlager</v>
      </c>
      <c r="BI1550" s="48" t="str">
        <f aca="false">IF(BA1550&lt;=0,"",IF(CC1550="Aussen","Aussenlager",IF(CC1550="-","Nicht im Lift",IF(BF1550&gt;=1,"Lift",IF(BF1550&lt;=0,"Aussenlager","teilweise")))))</f>
        <v>Aussenlager</v>
      </c>
      <c r="BJ1550" s="48" t="str">
        <f aca="false">IF(A1550="","",IF(BS1550=1,"Neu; ","")&amp;IF(AND(BS1550=0,BN1550&lt;0),"negativer Bestand (Export "&amp;BN1550&amp;"); ","")&amp;IF(J1550&lt;=0,"Kein Verbrauch; ","")&amp;IF(CL1550&gt;0,"Lift "&amp;W1550&amp;" lt. Liftbericht (Fach "&amp;X1550&amp;" Stk); ",IF(BX1550=1,"Gebinde geschätzt ("&amp;T1550&amp;"); ",IF(BW1550=1,"Lose – Tablare geschätzt; ","")))&amp;IF(H1550&gt;AT1550,"Überbestand "&amp;ROUND(H1550-AT1550,0)&amp;" Stk / CHF "&amp;ROUND((H1550-AT1550)*G1550,0)&amp;"; ","")&amp;IF(AND(CE1550=1,CF1550&lt;CG1550),"MAX &lt; MB+LG; ","")&amp;IF(AND(CK1550&gt;0,CJ1550*10&gt;CK1550),"zu hoch für Tablar; ","")&amp;IF(AND(BS1550=0,OR(CE1550=1,AA1550&lt;&gt;"",U1550&lt;&gt;"",V1550&lt;&gt;"",AB1550&lt;&gt;"")),"manuell übersteuert; ","")&amp;IF(AND(BW1550=0,R1550=0),"Gebinde unbekannt / Stellmass fehlt; ","")&amp;IF(AND(BW1550=0,N(V1550)&lt;=0,N(Q1550)&lt;=0),"Menge pro Gebinde fehlt (Ist = 1 Gebinde); ","")&amp;BR1550)</f>
        <v>Kein Verbrauch; nur im Artikelstamm (Bestand 23.06.2026)</v>
      </c>
      <c r="BK1550" s="48"/>
      <c r="BL1550" s="48"/>
      <c r="BM1550" s="55"/>
      <c r="BN1550" s="50" t="n">
        <v>11</v>
      </c>
      <c r="BO1550" s="50" t="n">
        <v>0</v>
      </c>
      <c r="BP1550" s="49" t="n">
        <v>0</v>
      </c>
      <c r="BQ1550" s="50" t="n">
        <v>0</v>
      </c>
      <c r="BR1550" s="48" t="s">
        <v>2579</v>
      </c>
      <c r="BS1550" s="53" t="n">
        <v>0</v>
      </c>
      <c r="BT1550" s="53" t="n">
        <v>1550</v>
      </c>
      <c r="BU1550" s="48" t="str">
        <f aca="false">IF(U1550&lt;&gt;"",UPPER(TRIM(U1550)),IF(BX1550=1,UPPER(VLOOKUP(T1550,Parameter!$I$27:$K$29,2,0)),IF(P1550="","LOSE",P1550)))</f>
        <v>S41</v>
      </c>
      <c r="BV1550" s="50" t="n">
        <f aca="false">IF(BU1550="LOSE",1,IF(N(V1550)&gt;0,V1550,IF(BX1550=1,MAX(1,N(VLOOKUP(T1550,Parameter!$I$27:$K$29,3,0)),H1550,N(N1550)),IF(N(Q1550)&gt;0,Q1550,MAX(1,H1550)))))</f>
        <v>11</v>
      </c>
      <c r="BW1550" s="53" t="n">
        <f aca="false">IF(BU1550="LOSE",1,0)</f>
        <v>0</v>
      </c>
      <c r="BX1550" s="53" t="n">
        <f aca="false">IF(AND(U1550="",OR(P1550="",P1550="LOSE"),T1550&lt;&gt;"",N(S1550)&lt;=0,ISNUMBER(MATCH(T1550,Parameter!$I$27:$I$29,0))),1,0)</f>
        <v>0</v>
      </c>
      <c r="BY1550" s="53" t="n">
        <f aca="false">IF(CL1550&gt;0,INDEX(Parameter!$H$5:$H$7,W1550)/INDEX(Parameter!$E$5:$E$7,W1550),IF(AND(BW1550=0,N(IFERROR(VLOOKUP(BU1550,'Gebinde-Kategorie'!$A$5:$N$45,14,0),0))&gt;0),VLOOKUP(BU1550,'Gebinde-Kategorie'!$A$5:$N$45,14,0)*10+Parameter!$M$23,Parameter!$M$24))</f>
        <v>155</v>
      </c>
      <c r="BZ1550" s="48" t="str">
        <f aca="false">IF(AND(Parameter!$B$19="Ja",E1550&lt;&gt;"",ISNUMBER(MATCH(E1550,Parameter!$I$35:$I$52,0))),VLOOKUP(E1550,Parameter!$I$35:$J$52,2,0),IFERROR(VLOOKUP(D1550,Parameter!$A$35:$C$64,2,0),"Nein"))</f>
        <v>2+3</v>
      </c>
      <c r="CA1550" s="52" t="n">
        <f aca="false">IF(BW1550=0,0,IF(N(S1550)&gt;0,S1550,IFERROR(VLOOKUP(D1550,Parameter!$A$35:$C$64,3,0)+0,0)))</f>
        <v>0</v>
      </c>
      <c r="CB1550" s="48" t="n">
        <f aca="false">IF(AA1550&lt;&gt;"",AA1550,Z1550)</f>
        <v>3</v>
      </c>
      <c r="CC1550" s="48" t="str">
        <f aca="false">IF(OR(CB1550=1,CB1550=2,CB1550=3),IF(Parameter!$E$27="Ja","LIFT",IF(CB1550=1,"L1","L23")),IF(CB1550="Aussen","Aussen","-"))</f>
        <v>LIFT</v>
      </c>
      <c r="CD1550" s="59" t="n">
        <f aca="false">IF(N(AB1550)&gt;0,AB1550,0)</f>
        <v>0</v>
      </c>
      <c r="CE1550" s="53" t="n">
        <f aca="false">IF(ISNUMBER(AE1550),1,0)</f>
        <v>0</v>
      </c>
      <c r="CF1550" s="50" t="n">
        <f aca="false">N(AE1550)</f>
        <v>0</v>
      </c>
      <c r="CG1550" s="50" t="n">
        <f aca="false">N(M1550)+N(N1550)</f>
        <v>1</v>
      </c>
      <c r="CH1550" s="50" t="n">
        <f aca="false">ROUNDUP(H1550/BV1550,0)</f>
        <v>1</v>
      </c>
      <c r="CI1550" s="50" t="n">
        <f aca="false">ROUNDUP(CF1550/BV1550,0)</f>
        <v>0</v>
      </c>
      <c r="CJ1550" s="53" t="n">
        <f aca="false">IF(BW1550=1,0,IFERROR(VLOOKUP(BU1550,'Gebinde-Kategorie'!$A$5:$N$45,5,0)+0,0))</f>
        <v>11</v>
      </c>
      <c r="CK1550" s="53" t="n">
        <f aca="false">IFERROR(IF(OR(CB1550=1,CB1550=2,CB1550=3),N(INDEX(Parameter!$I$5:$I$7,CB1550)),0),0)</f>
        <v>0</v>
      </c>
      <c r="CL1550" s="52" t="n">
        <f aca="false">IF(AND(Parameter!$B$21="Ja",ISNUMBER(W1550),N(X1550)&gt;0),IFERROR(N(INDEX(Parameter!$L$5:$L$7,W1550))*INDEX(Parameter!$E$5:$E$7,W1550)*X1550/SUMIFS($X$7:$X$1843,$W$7:$W$1843,W1550),0),0)</f>
        <v>0</v>
      </c>
    </row>
    <row r="1551" customFormat="false" ht="15" hidden="false" customHeight="false" outlineLevel="0" collapsed="false">
      <c r="A1551" s="48" t="s">
        <v>2715</v>
      </c>
      <c r="B1551" s="48" t="s">
        <v>602</v>
      </c>
      <c r="C1551" s="48" t="s">
        <v>168</v>
      </c>
      <c r="D1551" s="48" t="s">
        <v>177</v>
      </c>
      <c r="E1551" s="48" t="s">
        <v>189</v>
      </c>
      <c r="F1551" s="48"/>
      <c r="G1551" s="49" t="n">
        <v>40.28</v>
      </c>
      <c r="H1551" s="50" t="n">
        <f aca="false">MAX(0,IF(AND(Parameter!$B$21="Ja",ISNUMBER(Y1551)),Y1551,IF(Parameter!$B$20="Jahresanfang 2025 + Export",BO1551+BN1551,BN1551)))</f>
        <v>13</v>
      </c>
      <c r="I1551" s="50" t="n">
        <f aca="false">H1551*G1551</f>
        <v>523.64</v>
      </c>
      <c r="J1551" s="50" t="n">
        <f aca="false">BQ1551*Parameter!$B$18</f>
        <v>0</v>
      </c>
      <c r="K1551" s="51"/>
      <c r="L1551" s="52"/>
      <c r="M1551" s="50" t="n">
        <v>0</v>
      </c>
      <c r="N1551" s="50" t="n">
        <v>1</v>
      </c>
      <c r="O1551" s="53" t="n">
        <v>84</v>
      </c>
      <c r="P1551" s="48" t="s">
        <v>425</v>
      </c>
      <c r="Q1551" s="50" t="n">
        <v>13</v>
      </c>
      <c r="R1551" s="53" t="n">
        <f aca="false">IF(BW1551=1,0,IFERROR(VLOOKUP(BU1551,'Gebinde-Kategorie'!$A$5:$N$45,13,0)+0,0))</f>
        <v>104</v>
      </c>
      <c r="S1551" s="54"/>
      <c r="T1551" s="55"/>
      <c r="U1551" s="55"/>
      <c r="V1551" s="55"/>
      <c r="W1551" s="48"/>
      <c r="X1551" s="50"/>
      <c r="Y1551" s="50"/>
      <c r="Z1551" s="48" t="n">
        <f aca="false">IF(A1551="","",IF(AND(Parameter!$B$21="Ja",ISNUMBER(W1551)),W1551,IF(BZ1551="2+3",IF(ISNUMBER(SEARCH("grosser Artikel",BR1551)),2,IFERROR(VLOOKUP(BU1551,Parameter!$F$35:$G$64,2,0),2)),IF(OR(BZ1551="Nein",BZ1551=""),"-",BZ1551))))</f>
        <v>3</v>
      </c>
      <c r="AA1551" s="55"/>
      <c r="AB1551" s="56"/>
      <c r="AC1551" s="50" t="n">
        <f aca="false">AT1551</f>
        <v>13</v>
      </c>
      <c r="AD1551" s="50" t="n">
        <f aca="false">MAX(AT1551,H1551)</f>
        <v>13</v>
      </c>
      <c r="AE1551" s="57"/>
      <c r="AF1551" s="50" t="n">
        <f aca="false">IF(LEFT(Cockpit!$C$5,1)="A",H1551,IF(CE1551=1,CF1551,IF(LEFT(Cockpit!$C$5,1)="B",AK1551,MAX(AK1551,H1551))))</f>
        <v>13</v>
      </c>
      <c r="AG1551" s="50" t="n">
        <f aca="false">IF(BW1551=1,0,ROUNDUP(AF1551/BV1551,0))</f>
        <v>1</v>
      </c>
      <c r="AH1551" s="52" t="n">
        <f aca="false">IF(CL1551&gt;0,CL1551*MAX(1,AF1551/X1551),IF(BW1551=1,IF(AF1551&lt;=0,0,CA1551*MAX(1,IF(H1551&gt;0,AF1551/H1551,1))),IF(R1551&gt;0,AG1551/R1551,0))/MAX(0.1,N(Parameter!$M$21)))</f>
        <v>0.00961538461538462</v>
      </c>
      <c r="AI1551" s="50" t="n">
        <f aca="false">AH1551*BY1551</f>
        <v>1.49038461538462</v>
      </c>
      <c r="AJ1551" s="50" t="n">
        <f aca="false">AF1551*G1551</f>
        <v>523.64</v>
      </c>
      <c r="AK1551" s="50" t="n">
        <f aca="false">ROUNDUP(MAX(J1551/IF(CD1551&gt;0,CD1551,MAX(0.1,N(Cockpit!$C$6))),CG1551)/BV1551,0)*BV1551</f>
        <v>13</v>
      </c>
      <c r="AL1551" s="51" t="n">
        <f aca="false">IF(AI1551&gt;0,J1551/AI1551,-1)</f>
        <v>0</v>
      </c>
      <c r="AM1551" s="51" t="n">
        <f aca="false">IF(AND(OR(CC1551="L1",CC1551="L23",CC1551="LIFT"),AI1551&gt;0),SUMIFS($AI$7:$AI$1843,$CC$7:$CC$1843,CC1551,$AL$7:$AL$1843,"&gt;"&amp;AL1551)+SUMIFS($AI$7:$AI$1843,$CC$7:$CC$1843,CC1551,$AL$7:$AL$1843,AL1551,$BT$7:$BT$1843,"&lt;="&amp;BT1551),"")</f>
        <v>30211.3656976263</v>
      </c>
      <c r="AN1551" s="58" t="n">
        <f aca="false">IF(AM1551="",0,MAX(0,MIN(1,(IF(CC1551="L1",Parameter!$H$5,IF(CC1551="L23",Parameter!$H$6+Parameter!$H$7,Parameter!$H$5+Parameter!$H$6+Parameter!$H$7))-(AM1551-AI1551))/AI1551)))</f>
        <v>1</v>
      </c>
      <c r="AO1551" s="50" t="n">
        <f aca="false">IF(LEFT(Cockpit!$I$5,1)="A",H1551,IF(CE1551=1,CF1551,IF(LEFT(Cockpit!$I$5,1)="B",AT1551,MAX(AT1551,H1551))))</f>
        <v>13</v>
      </c>
      <c r="AP1551" s="50" t="n">
        <f aca="false">IF(BW1551=1,0,ROUNDUP(AO1551/BV1551,0))</f>
        <v>1</v>
      </c>
      <c r="AQ1551" s="52" t="n">
        <f aca="false">IF(CL1551&gt;0,CL1551*MAX(1,AO1551/X1551),IF(BW1551=1,IF(AO1551&lt;=0,0,CA1551*MAX(1,IF(H1551&gt;0,AO1551/H1551,1))),IF(R1551&gt;0,AP1551/R1551,0))/MAX(0.1,N(Parameter!$M$21)))</f>
        <v>0.00961538461538462</v>
      </c>
      <c r="AR1551" s="50" t="n">
        <f aca="false">AQ1551*BY1551</f>
        <v>1.49038461538462</v>
      </c>
      <c r="AS1551" s="50" t="n">
        <f aca="false">AO1551*G1551</f>
        <v>523.64</v>
      </c>
      <c r="AT1551" s="50" t="n">
        <f aca="false">ROUNDUP(MAX(J1551/IF(CD1551&gt;0,CD1551,MAX(0.1,N(Cockpit!$I$6))),CG1551)/BV1551,0)*BV1551</f>
        <v>13</v>
      </c>
      <c r="AU1551" s="51" t="n">
        <f aca="false">IF(AR1551&gt;0,J1551/AR1551,-1)</f>
        <v>0</v>
      </c>
      <c r="AV1551" s="51" t="n">
        <f aca="false">IF(AND(OR(CC1551="L1",CC1551="L23",CC1551="LIFT"),AR1551&gt;0),SUMIFS($AR$7:$AR$1843,$CC$7:$CC$1843,CC1551,$AU$7:$AU$1843,"&gt;"&amp;AU1551)+SUMIFS($AR$7:$AR$1843,$CC$7:$CC$1843,CC1551,$AU$7:$AU$1843,AU1551,$BT$7:$BT$1843,"&lt;="&amp;BT1551),"")</f>
        <v>42561.3449328449</v>
      </c>
      <c r="AW1551" s="58" t="n">
        <f aca="false">IF(AV1551="",0,MAX(0,MIN(1,(IF(CC1551="L1",Parameter!$H$5,IF(CC1551="L23",Parameter!$H$6+Parameter!$H$7,Parameter!$H$5+Parameter!$H$6+Parameter!$H$7))-(AV1551-AR1551))/AR1551)))</f>
        <v>0</v>
      </c>
      <c r="AX1551" s="50" t="n">
        <f aca="false">IF(LEFT(Cockpit!$O$5,1)="A",H1551,IF(CE1551=1,CF1551,IF(LEFT(Cockpit!$O$5,1)="B",BC1551,MAX(BC1551,H1551))))</f>
        <v>13</v>
      </c>
      <c r="AY1551" s="50" t="n">
        <f aca="false">IF(BW1551=1,0,ROUNDUP(AX1551/BV1551,0))</f>
        <v>1</v>
      </c>
      <c r="AZ1551" s="52" t="n">
        <f aca="false">IF(CL1551&gt;0,CL1551*MAX(1,AX1551/X1551),IF(BW1551=1,IF(AX1551&lt;=0,0,CA1551*MAX(1,IF(H1551&gt;0,AX1551/H1551,1))),IF(R1551&gt;0,AY1551/R1551,0))/MAX(0.1,N(Parameter!$M$21)))</f>
        <v>0.00961538461538462</v>
      </c>
      <c r="BA1551" s="50" t="n">
        <f aca="false">AZ1551*BY1551</f>
        <v>1.49038461538462</v>
      </c>
      <c r="BB1551" s="50" t="n">
        <f aca="false">AX1551*G1551</f>
        <v>523.64</v>
      </c>
      <c r="BC1551" s="50" t="n">
        <f aca="false">ROUNDUP(MAX(J1551/IF(CD1551&gt;0,CD1551,MAX(0.1,N(Cockpit!$O$6))),CG1551)/BV1551,0)*BV1551</f>
        <v>13</v>
      </c>
      <c r="BD1551" s="51" t="n">
        <f aca="false">IF(BA1551&gt;0,J1551/BA1551,-1)</f>
        <v>0</v>
      </c>
      <c r="BE1551" s="51" t="n">
        <f aca="false">IF(AND(OR(CC1551="L1",CC1551="L23",CC1551="LIFT"),BA1551&gt;0),SUMIFS($BA$7:$BA$1843,$CC$7:$CC$1843,CC1551,$BD$7:$BD$1843,"&gt;"&amp;BD1551)+SUMIFS($BA$7:$BA$1843,$CC$7:$CC$1843,CC1551,$BD$7:$BD$1843,BD1551,$BT$7:$BT$1843,"&lt;="&amp;BT1551),"")</f>
        <v>39236.3569747108</v>
      </c>
      <c r="BF1551" s="58" t="n">
        <f aca="false">IF(BE1551="",0,MAX(0,MIN(1,(IF(CC1551="L1",Parameter!$H$5,IF(CC1551="L23",Parameter!$H$6+Parameter!$H$7,Parameter!$H$5+Parameter!$H$6+Parameter!$H$7))-(BE1551-BA1551))/BA1551)))</f>
        <v>0</v>
      </c>
      <c r="BG1551" s="48" t="str">
        <f aca="false">IF(AI1551&lt;=0,"",IF(CC1551="Aussen","Aussenlager",IF(CC1551="-","Nicht im Lift",IF(AN1551&gt;=1,"Lift",IF(AN1551&lt;=0,"Aussenlager","teilweise")))))</f>
        <v>Lift</v>
      </c>
      <c r="BH1551" s="48" t="str">
        <f aca="false">IF(AR1551&lt;=0,"",IF(CC1551="Aussen","Aussenlager",IF(CC1551="-","Nicht im Lift",IF(AW1551&gt;=1,"Lift",IF(AW1551&lt;=0,"Aussenlager","teilweise")))))</f>
        <v>Aussenlager</v>
      </c>
      <c r="BI1551" s="48" t="str">
        <f aca="false">IF(BA1551&lt;=0,"",IF(CC1551="Aussen","Aussenlager",IF(CC1551="-","Nicht im Lift",IF(BF1551&gt;=1,"Lift",IF(BF1551&lt;=0,"Aussenlager","teilweise")))))</f>
        <v>Aussenlager</v>
      </c>
      <c r="BJ1551" s="48" t="str">
        <f aca="false">IF(A1551="","",IF(BS1551=1,"Neu; ","")&amp;IF(AND(BS1551=0,BN1551&lt;0),"negativer Bestand (Export "&amp;BN1551&amp;"); ","")&amp;IF(J1551&lt;=0,"Kein Verbrauch; ","")&amp;IF(CL1551&gt;0,"Lift "&amp;W1551&amp;" lt. Liftbericht (Fach "&amp;X1551&amp;" Stk); ",IF(BX1551=1,"Gebinde geschätzt ("&amp;T1551&amp;"); ",IF(BW1551=1,"Lose – Tablare geschätzt; ","")))&amp;IF(H1551&gt;AT1551,"Überbestand "&amp;ROUND(H1551-AT1551,0)&amp;" Stk / CHF "&amp;ROUND((H1551-AT1551)*G1551,0)&amp;"; ","")&amp;IF(AND(CE1551=1,CF1551&lt;CG1551),"MAX &lt; MB+LG; ","")&amp;IF(AND(CK1551&gt;0,CJ1551*10&gt;CK1551),"zu hoch für Tablar; ","")&amp;IF(AND(BS1551=0,OR(CE1551=1,AA1551&lt;&gt;"",U1551&lt;&gt;"",V1551&lt;&gt;"",AB1551&lt;&gt;"")),"manuell übersteuert; ","")&amp;IF(AND(BW1551=0,R1551=0),"Gebinde unbekannt / Stellmass fehlt; ","")&amp;IF(AND(BW1551=0,N(V1551)&lt;=0,N(Q1551)&lt;=0),"Menge pro Gebinde fehlt (Ist = 1 Gebinde); ","")&amp;BR1551)</f>
        <v>Kein Verbrauch; nur im Artikelstamm (Bestand 23.06.2026); Neu</v>
      </c>
      <c r="BK1551" s="48"/>
      <c r="BL1551" s="48"/>
      <c r="BM1551" s="55"/>
      <c r="BN1551" s="50" t="n">
        <v>13</v>
      </c>
      <c r="BO1551" s="50" t="n">
        <v>0</v>
      </c>
      <c r="BP1551" s="49" t="n">
        <v>0</v>
      </c>
      <c r="BQ1551" s="50" t="n">
        <v>0</v>
      </c>
      <c r="BR1551" s="48" t="s">
        <v>2671</v>
      </c>
      <c r="BS1551" s="53" t="n">
        <v>0</v>
      </c>
      <c r="BT1551" s="53" t="n">
        <v>1551</v>
      </c>
      <c r="BU1551" s="48" t="str">
        <f aca="false">IF(U1551&lt;&gt;"",UPPER(TRIM(U1551)),IF(BX1551=1,UPPER(VLOOKUP(T1551,Parameter!$I$27:$K$29,2,0)),IF(P1551="","LOSE",P1551)))</f>
        <v>S32</v>
      </c>
      <c r="BV1551" s="50" t="n">
        <f aca="false">IF(BU1551="LOSE",1,IF(N(V1551)&gt;0,V1551,IF(BX1551=1,MAX(1,N(VLOOKUP(T1551,Parameter!$I$27:$K$29,3,0)),H1551,N(N1551)),IF(N(Q1551)&gt;0,Q1551,MAX(1,H1551)))))</f>
        <v>13</v>
      </c>
      <c r="BW1551" s="53" t="n">
        <f aca="false">IF(BU1551="LOSE",1,0)</f>
        <v>0</v>
      </c>
      <c r="BX1551" s="53" t="n">
        <f aca="false">IF(AND(U1551="",OR(P1551="",P1551="LOSE"),T1551&lt;&gt;"",N(S1551)&lt;=0,ISNUMBER(MATCH(T1551,Parameter!$I$27:$I$29,0))),1,0)</f>
        <v>0</v>
      </c>
      <c r="BY1551" s="53" t="n">
        <f aca="false">IF(CL1551&gt;0,INDEX(Parameter!$H$5:$H$7,W1551)/INDEX(Parameter!$E$5:$E$7,W1551),IF(AND(BW1551=0,N(IFERROR(VLOOKUP(BU1551,'Gebinde-Kategorie'!$A$5:$N$45,14,0),0))&gt;0),VLOOKUP(BU1551,'Gebinde-Kategorie'!$A$5:$N$45,14,0)*10+Parameter!$M$23,Parameter!$M$24))</f>
        <v>155</v>
      </c>
      <c r="BZ1551" s="48" t="str">
        <f aca="false">IF(AND(Parameter!$B$19="Ja",E1551&lt;&gt;"",ISNUMBER(MATCH(E1551,Parameter!$I$35:$I$52,0))),VLOOKUP(E1551,Parameter!$I$35:$J$52,2,0),IFERROR(VLOOKUP(D1551,Parameter!$A$35:$C$64,2,0),"Nein"))</f>
        <v>2+3</v>
      </c>
      <c r="CA1551" s="52" t="n">
        <f aca="false">IF(BW1551=0,0,IF(N(S1551)&gt;0,S1551,IFERROR(VLOOKUP(D1551,Parameter!$A$35:$C$64,3,0)+0,0)))</f>
        <v>0</v>
      </c>
      <c r="CB1551" s="48" t="n">
        <f aca="false">IF(AA1551&lt;&gt;"",AA1551,Z1551)</f>
        <v>3</v>
      </c>
      <c r="CC1551" s="48" t="str">
        <f aca="false">IF(OR(CB1551=1,CB1551=2,CB1551=3),IF(Parameter!$E$27="Ja","LIFT",IF(CB1551=1,"L1","L23")),IF(CB1551="Aussen","Aussen","-"))</f>
        <v>LIFT</v>
      </c>
      <c r="CD1551" s="59" t="n">
        <f aca="false">IF(N(AB1551)&gt;0,AB1551,0)</f>
        <v>0</v>
      </c>
      <c r="CE1551" s="53" t="n">
        <f aca="false">IF(ISNUMBER(AE1551),1,0)</f>
        <v>0</v>
      </c>
      <c r="CF1551" s="50" t="n">
        <f aca="false">N(AE1551)</f>
        <v>0</v>
      </c>
      <c r="CG1551" s="50" t="n">
        <f aca="false">N(M1551)+N(N1551)</f>
        <v>1</v>
      </c>
      <c r="CH1551" s="50" t="n">
        <f aca="false">ROUNDUP(H1551/BV1551,0)</f>
        <v>1</v>
      </c>
      <c r="CI1551" s="50" t="n">
        <f aca="false">ROUNDUP(CF1551/BV1551,0)</f>
        <v>0</v>
      </c>
      <c r="CJ1551" s="53" t="n">
        <f aca="false">IF(BW1551=1,0,IFERROR(VLOOKUP(BU1551,'Gebinde-Kategorie'!$A$5:$N$45,5,0)+0,0))</f>
        <v>8</v>
      </c>
      <c r="CK1551" s="53" t="n">
        <f aca="false">IFERROR(IF(OR(CB1551=1,CB1551=2,CB1551=3),N(INDEX(Parameter!$I$5:$I$7,CB1551)),0),0)</f>
        <v>0</v>
      </c>
      <c r="CL1551" s="52" t="n">
        <f aca="false">IF(AND(Parameter!$B$21="Ja",ISNUMBER(W1551),N(X1551)&gt;0),IFERROR(N(INDEX(Parameter!$L$5:$L$7,W1551))*INDEX(Parameter!$E$5:$E$7,W1551)*X1551/SUMIFS($X$7:$X$1843,$W$7:$W$1843,W1551),0),0)</f>
        <v>0</v>
      </c>
    </row>
    <row r="1552" customFormat="false" ht="15" hidden="false" customHeight="false" outlineLevel="0" collapsed="false">
      <c r="A1552" s="48" t="s">
        <v>2716</v>
      </c>
      <c r="B1552" s="48" t="s">
        <v>1872</v>
      </c>
      <c r="C1552" s="48" t="s">
        <v>168</v>
      </c>
      <c r="D1552" s="48" t="s">
        <v>188</v>
      </c>
      <c r="E1552" s="48" t="s">
        <v>189</v>
      </c>
      <c r="F1552" s="48"/>
      <c r="G1552" s="49" t="n">
        <v>157.32</v>
      </c>
      <c r="H1552" s="50" t="n">
        <f aca="false">MAX(0,IF(AND(Parameter!$B$21="Ja",ISNUMBER(Y1552)),Y1552,IF(Parameter!$B$20="Jahresanfang 2025 + Export",BO1552+BN1552,BN1552)))</f>
        <v>4</v>
      </c>
      <c r="I1552" s="50" t="n">
        <f aca="false">H1552*G1552</f>
        <v>629.28</v>
      </c>
      <c r="J1552" s="50" t="n">
        <f aca="false">BQ1552*Parameter!$B$18</f>
        <v>0</v>
      </c>
      <c r="K1552" s="51"/>
      <c r="L1552" s="52"/>
      <c r="M1552" s="50" t="n">
        <v>0</v>
      </c>
      <c r="N1552" s="50" t="n">
        <v>5</v>
      </c>
      <c r="O1552" s="53" t="n">
        <v>119</v>
      </c>
      <c r="P1552" s="48" t="s">
        <v>306</v>
      </c>
      <c r="Q1552" s="50" t="n">
        <v>4</v>
      </c>
      <c r="R1552" s="53" t="n">
        <f aca="false">IF(BW1552=1,0,IFERROR(VLOOKUP(BU1552,'Gebinde-Kategorie'!$A$5:$N$45,13,0)+0,0))</f>
        <v>26</v>
      </c>
      <c r="S1552" s="54"/>
      <c r="T1552" s="55"/>
      <c r="U1552" s="55"/>
      <c r="V1552" s="55"/>
      <c r="W1552" s="48"/>
      <c r="X1552" s="50"/>
      <c r="Y1552" s="50"/>
      <c r="Z1552" s="48" t="n">
        <f aca="false">IF(A1552="","",IF(AND(Parameter!$B$21="Ja",ISNUMBER(W1552)),W1552,IF(BZ1552="2+3",IF(ISNUMBER(SEARCH("grosser Artikel",BR1552)),2,IFERROR(VLOOKUP(BU1552,Parameter!$F$35:$G$64,2,0),2)),IF(OR(BZ1552="Nein",BZ1552=""),"-",BZ1552))))</f>
        <v>3</v>
      </c>
      <c r="AA1552" s="55"/>
      <c r="AB1552" s="56"/>
      <c r="AC1552" s="50" t="n">
        <f aca="false">AT1552</f>
        <v>8</v>
      </c>
      <c r="AD1552" s="50" t="n">
        <f aca="false">MAX(AT1552,H1552)</f>
        <v>8</v>
      </c>
      <c r="AE1552" s="57"/>
      <c r="AF1552" s="50" t="n">
        <f aca="false">IF(LEFT(Cockpit!$C$5,1)="A",H1552,IF(CE1552=1,CF1552,IF(LEFT(Cockpit!$C$5,1)="B",AK1552,MAX(AK1552,H1552))))</f>
        <v>4</v>
      </c>
      <c r="AG1552" s="50" t="n">
        <f aca="false">IF(BW1552=1,0,ROUNDUP(AF1552/BV1552,0))</f>
        <v>1</v>
      </c>
      <c r="AH1552" s="52" t="n">
        <f aca="false">IF(CL1552&gt;0,CL1552*MAX(1,AF1552/X1552),IF(BW1552=1,IF(AF1552&lt;=0,0,CA1552*MAX(1,IF(H1552&gt;0,AF1552/H1552,1))),IF(R1552&gt;0,AG1552/R1552,0))/MAX(0.1,N(Parameter!$M$21)))</f>
        <v>0.0384615384615385</v>
      </c>
      <c r="AI1552" s="50" t="n">
        <f aca="false">AH1552*BY1552</f>
        <v>5.96153846153846</v>
      </c>
      <c r="AJ1552" s="50" t="n">
        <f aca="false">AF1552*G1552</f>
        <v>629.28</v>
      </c>
      <c r="AK1552" s="50" t="n">
        <f aca="false">ROUNDUP(MAX(J1552/IF(CD1552&gt;0,CD1552,MAX(0.1,N(Cockpit!$C$6))),CG1552)/BV1552,0)*BV1552</f>
        <v>8</v>
      </c>
      <c r="AL1552" s="51" t="n">
        <f aca="false">IF(AI1552&gt;0,J1552/AI1552,-1)</f>
        <v>0</v>
      </c>
      <c r="AM1552" s="51" t="n">
        <f aca="false">IF(AND(OR(CC1552="L1",CC1552="L23",CC1552="LIFT"),AI1552&gt;0),SUMIFS($AI$7:$AI$1843,$CC$7:$CC$1843,CC1552,$AL$7:$AL$1843,"&gt;"&amp;AL1552)+SUMIFS($AI$7:$AI$1843,$CC$7:$CC$1843,CC1552,$AL$7:$AL$1843,AL1552,$BT$7:$BT$1843,"&lt;="&amp;BT1552),"")</f>
        <v>30217.3272360878</v>
      </c>
      <c r="AN1552" s="58" t="n">
        <f aca="false">IF(AM1552="",0,MAX(0,MIN(1,(IF(CC1552="L1",Parameter!$H$5,IF(CC1552="L23",Parameter!$H$6+Parameter!$H$7,Parameter!$H$5+Parameter!$H$6+Parameter!$H$7))-(AM1552-AI1552))/AI1552)))</f>
        <v>1</v>
      </c>
      <c r="AO1552" s="50" t="n">
        <f aca="false">IF(LEFT(Cockpit!$I$5,1)="A",H1552,IF(CE1552=1,CF1552,IF(LEFT(Cockpit!$I$5,1)="B",AT1552,MAX(AT1552,H1552))))</f>
        <v>8</v>
      </c>
      <c r="AP1552" s="50" t="n">
        <f aca="false">IF(BW1552=1,0,ROUNDUP(AO1552/BV1552,0))</f>
        <v>2</v>
      </c>
      <c r="AQ1552" s="52" t="n">
        <f aca="false">IF(CL1552&gt;0,CL1552*MAX(1,AO1552/X1552),IF(BW1552=1,IF(AO1552&lt;=0,0,CA1552*MAX(1,IF(H1552&gt;0,AO1552/H1552,1))),IF(R1552&gt;0,AP1552/R1552,0))/MAX(0.1,N(Parameter!$M$21)))</f>
        <v>0.0769230769230769</v>
      </c>
      <c r="AR1552" s="50" t="n">
        <f aca="false">AQ1552*BY1552</f>
        <v>11.9230769230769</v>
      </c>
      <c r="AS1552" s="50" t="n">
        <f aca="false">AO1552*G1552</f>
        <v>1258.56</v>
      </c>
      <c r="AT1552" s="50" t="n">
        <f aca="false">ROUNDUP(MAX(J1552/IF(CD1552&gt;0,CD1552,MAX(0.1,N(Cockpit!$I$6))),CG1552)/BV1552,0)*BV1552</f>
        <v>8</v>
      </c>
      <c r="AU1552" s="51" t="n">
        <f aca="false">IF(AR1552&gt;0,J1552/AR1552,-1)</f>
        <v>0</v>
      </c>
      <c r="AV1552" s="51" t="n">
        <f aca="false">IF(AND(OR(CC1552="L1",CC1552="L23",CC1552="LIFT"),AR1552&gt;0),SUMIFS($AR$7:$AR$1843,$CC$7:$CC$1843,CC1552,$AU$7:$AU$1843,"&gt;"&amp;AU1552)+SUMIFS($AR$7:$AR$1843,$CC$7:$CC$1843,CC1552,$AU$7:$AU$1843,AU1552,$BT$7:$BT$1843,"&lt;="&amp;BT1552),"")</f>
        <v>42573.268009768</v>
      </c>
      <c r="AW1552" s="58" t="n">
        <f aca="false">IF(AV1552="",0,MAX(0,MIN(1,(IF(CC1552="L1",Parameter!$H$5,IF(CC1552="L23",Parameter!$H$6+Parameter!$H$7,Parameter!$H$5+Parameter!$H$6+Parameter!$H$7))-(AV1552-AR1552))/AR1552)))</f>
        <v>0</v>
      </c>
      <c r="AX1552" s="50" t="n">
        <f aca="false">IF(LEFT(Cockpit!$O$5,1)="A",H1552,IF(CE1552=1,CF1552,IF(LEFT(Cockpit!$O$5,1)="B",BC1552,MAX(BC1552,H1552))))</f>
        <v>8</v>
      </c>
      <c r="AY1552" s="50" t="n">
        <f aca="false">IF(BW1552=1,0,ROUNDUP(AX1552/BV1552,0))</f>
        <v>2</v>
      </c>
      <c r="AZ1552" s="52" t="n">
        <f aca="false">IF(CL1552&gt;0,CL1552*MAX(1,AX1552/X1552),IF(BW1552=1,IF(AX1552&lt;=0,0,CA1552*MAX(1,IF(H1552&gt;0,AX1552/H1552,1))),IF(R1552&gt;0,AY1552/R1552,0))/MAX(0.1,N(Parameter!$M$21)))</f>
        <v>0.0769230769230769</v>
      </c>
      <c r="BA1552" s="50" t="n">
        <f aca="false">AZ1552*BY1552</f>
        <v>11.9230769230769</v>
      </c>
      <c r="BB1552" s="50" t="n">
        <f aca="false">AX1552*G1552</f>
        <v>1258.56</v>
      </c>
      <c r="BC1552" s="50" t="n">
        <f aca="false">ROUNDUP(MAX(J1552/IF(CD1552&gt;0,CD1552,MAX(0.1,N(Cockpit!$O$6))),CG1552)/BV1552,0)*BV1552</f>
        <v>8</v>
      </c>
      <c r="BD1552" s="51" t="n">
        <f aca="false">IF(BA1552&gt;0,J1552/BA1552,-1)</f>
        <v>0</v>
      </c>
      <c r="BE1552" s="51" t="n">
        <f aca="false">IF(AND(OR(CC1552="L1",CC1552="L23",CC1552="LIFT"),BA1552&gt;0),SUMIFS($BA$7:$BA$1843,$CC$7:$CC$1843,CC1552,$BD$7:$BD$1843,"&gt;"&amp;BD1552)+SUMIFS($BA$7:$BA$1843,$CC$7:$CC$1843,CC1552,$BD$7:$BD$1843,BD1552,$BT$7:$BT$1843,"&lt;="&amp;BT1552),"")</f>
        <v>39248.2800516339</v>
      </c>
      <c r="BF1552" s="58" t="n">
        <f aca="false">IF(BE1552="",0,MAX(0,MIN(1,(IF(CC1552="L1",Parameter!$H$5,IF(CC1552="L23",Parameter!$H$6+Parameter!$H$7,Parameter!$H$5+Parameter!$H$6+Parameter!$H$7))-(BE1552-BA1552))/BA1552)))</f>
        <v>0</v>
      </c>
      <c r="BG1552" s="48" t="str">
        <f aca="false">IF(AI1552&lt;=0,"",IF(CC1552="Aussen","Aussenlager",IF(CC1552="-","Nicht im Lift",IF(AN1552&gt;=1,"Lift",IF(AN1552&lt;=0,"Aussenlager","teilweise")))))</f>
        <v>Lift</v>
      </c>
      <c r="BH1552" s="48" t="str">
        <f aca="false">IF(AR1552&lt;=0,"",IF(CC1552="Aussen","Aussenlager",IF(CC1552="-","Nicht im Lift",IF(AW1552&gt;=1,"Lift",IF(AW1552&lt;=0,"Aussenlager","teilweise")))))</f>
        <v>Aussenlager</v>
      </c>
      <c r="BI1552" s="48" t="str">
        <f aca="false">IF(BA1552&lt;=0,"",IF(CC1552="Aussen","Aussenlager",IF(CC1552="-","Nicht im Lift",IF(BF1552&gt;=1,"Lift",IF(BF1552&lt;=0,"Aussenlager","teilweise")))))</f>
        <v>Aussenlager</v>
      </c>
      <c r="BJ1552" s="48" t="str">
        <f aca="false">IF(A1552="","",IF(BS1552=1,"Neu; ","")&amp;IF(AND(BS1552=0,BN1552&lt;0),"negativer Bestand (Export "&amp;BN1552&amp;"); ","")&amp;IF(J1552&lt;=0,"Kein Verbrauch; ","")&amp;IF(CL1552&gt;0,"Lift "&amp;W1552&amp;" lt. Liftbericht (Fach "&amp;X1552&amp;" Stk); ",IF(BX1552=1,"Gebinde geschätzt ("&amp;T1552&amp;"); ",IF(BW1552=1,"Lose – Tablare geschätzt; ","")))&amp;IF(H1552&gt;AT1552,"Überbestand "&amp;ROUND(H1552-AT1552,0)&amp;" Stk / CHF "&amp;ROUND((H1552-AT1552)*G1552,0)&amp;"; ","")&amp;IF(AND(CE1552=1,CF1552&lt;CG1552),"MAX &lt; MB+LG; ","")&amp;IF(AND(CK1552&gt;0,CJ1552*10&gt;CK1552),"zu hoch für Tablar; ","")&amp;IF(AND(BS1552=0,OR(CE1552=1,AA1552&lt;&gt;"",U1552&lt;&gt;"",V1552&lt;&gt;"",AB1552&lt;&gt;"")),"manuell übersteuert; ","")&amp;IF(AND(BW1552=0,R1552=0),"Gebinde unbekannt / Stellmass fehlt; ","")&amp;IF(AND(BW1552=0,N(V1552)&lt;=0,N(Q1552)&lt;=0),"Menge pro Gebinde fehlt (Ist = 1 Gebinde); ","")&amp;BR1552)</f>
        <v>Kein Verbrauch; nur im Artikelstamm (Bestand 23.06.2026); Neu</v>
      </c>
      <c r="BK1552" s="48"/>
      <c r="BL1552" s="48"/>
      <c r="BM1552" s="55"/>
      <c r="BN1552" s="50" t="n">
        <v>4</v>
      </c>
      <c r="BO1552" s="50" t="n">
        <v>0</v>
      </c>
      <c r="BP1552" s="49" t="n">
        <v>0</v>
      </c>
      <c r="BQ1552" s="50" t="n">
        <v>0</v>
      </c>
      <c r="BR1552" s="48" t="s">
        <v>2671</v>
      </c>
      <c r="BS1552" s="53" t="n">
        <v>0</v>
      </c>
      <c r="BT1552" s="53" t="n">
        <v>1552</v>
      </c>
      <c r="BU1552" s="48" t="str">
        <f aca="false">IF(U1552&lt;&gt;"",UPPER(TRIM(U1552)),IF(BX1552=1,UPPER(VLOOKUP(T1552,Parameter!$I$27:$K$29,2,0)),IF(P1552="","LOSE",P1552)))</f>
        <v>S51</v>
      </c>
      <c r="BV1552" s="50" t="n">
        <f aca="false">IF(BU1552="LOSE",1,IF(N(V1552)&gt;0,V1552,IF(BX1552=1,MAX(1,N(VLOOKUP(T1552,Parameter!$I$27:$K$29,3,0)),H1552,N(N1552)),IF(N(Q1552)&gt;0,Q1552,MAX(1,H1552)))))</f>
        <v>4</v>
      </c>
      <c r="BW1552" s="53" t="n">
        <f aca="false">IF(BU1552="LOSE",1,0)</f>
        <v>0</v>
      </c>
      <c r="BX1552" s="53" t="n">
        <f aca="false">IF(AND(U1552="",OR(P1552="",P1552="LOSE"),T1552&lt;&gt;"",N(S1552)&lt;=0,ISNUMBER(MATCH(T1552,Parameter!$I$27:$I$29,0))),1,0)</f>
        <v>0</v>
      </c>
      <c r="BY1552" s="53" t="n">
        <f aca="false">IF(CL1552&gt;0,INDEX(Parameter!$H$5:$H$7,W1552)/INDEX(Parameter!$E$5:$E$7,W1552),IF(AND(BW1552=0,N(IFERROR(VLOOKUP(BU1552,'Gebinde-Kategorie'!$A$5:$N$45,14,0),0))&gt;0),VLOOKUP(BU1552,'Gebinde-Kategorie'!$A$5:$N$45,14,0)*10+Parameter!$M$23,Parameter!$M$24))</f>
        <v>155</v>
      </c>
      <c r="BZ1552" s="48" t="str">
        <f aca="false">IF(AND(Parameter!$B$19="Ja",E1552&lt;&gt;"",ISNUMBER(MATCH(E1552,Parameter!$I$35:$I$52,0))),VLOOKUP(E1552,Parameter!$I$35:$J$52,2,0),IFERROR(VLOOKUP(D1552,Parameter!$A$35:$C$64,2,0),"Nein"))</f>
        <v>2+3</v>
      </c>
      <c r="CA1552" s="52" t="n">
        <f aca="false">IF(BW1552=0,0,IF(N(S1552)&gt;0,S1552,IFERROR(VLOOKUP(D1552,Parameter!$A$35:$C$64,3,0)+0,0)))</f>
        <v>0</v>
      </c>
      <c r="CB1552" s="48" t="n">
        <f aca="false">IF(AA1552&lt;&gt;"",AA1552,Z1552)</f>
        <v>3</v>
      </c>
      <c r="CC1552" s="48" t="str">
        <f aca="false">IF(OR(CB1552=1,CB1552=2,CB1552=3),IF(Parameter!$E$27="Ja","LIFT",IF(CB1552=1,"L1","L23")),IF(CB1552="Aussen","Aussen","-"))</f>
        <v>LIFT</v>
      </c>
      <c r="CD1552" s="59" t="n">
        <f aca="false">IF(N(AB1552)&gt;0,AB1552,0)</f>
        <v>0</v>
      </c>
      <c r="CE1552" s="53" t="n">
        <f aca="false">IF(ISNUMBER(AE1552),1,0)</f>
        <v>0</v>
      </c>
      <c r="CF1552" s="50" t="n">
        <f aca="false">N(AE1552)</f>
        <v>0</v>
      </c>
      <c r="CG1552" s="50" t="n">
        <f aca="false">N(M1552)+N(N1552)</f>
        <v>5</v>
      </c>
      <c r="CH1552" s="50" t="n">
        <f aca="false">ROUNDUP(H1552/BV1552,0)</f>
        <v>1</v>
      </c>
      <c r="CI1552" s="50" t="n">
        <f aca="false">ROUNDUP(CF1552/BV1552,0)</f>
        <v>0</v>
      </c>
      <c r="CJ1552" s="53" t="n">
        <f aca="false">IF(BW1552=1,0,IFERROR(VLOOKUP(BU1552,'Gebinde-Kategorie'!$A$5:$N$45,5,0)+0,0))</f>
        <v>11</v>
      </c>
      <c r="CK1552" s="53" t="n">
        <f aca="false">IFERROR(IF(OR(CB1552=1,CB1552=2,CB1552=3),N(INDEX(Parameter!$I$5:$I$7,CB1552)),0),0)</f>
        <v>0</v>
      </c>
      <c r="CL1552" s="52" t="n">
        <f aca="false">IF(AND(Parameter!$B$21="Ja",ISNUMBER(W1552),N(X1552)&gt;0),IFERROR(N(INDEX(Parameter!$L$5:$L$7,W1552))*INDEX(Parameter!$E$5:$E$7,W1552)*X1552/SUMIFS($X$7:$X$1843,$W$7:$W$1843,W1552),0),0)</f>
        <v>0</v>
      </c>
    </row>
    <row r="1553" customFormat="false" ht="15" hidden="false" customHeight="false" outlineLevel="0" collapsed="false">
      <c r="A1553" s="48" t="s">
        <v>2717</v>
      </c>
      <c r="B1553" s="48" t="s">
        <v>2718</v>
      </c>
      <c r="C1553" s="48" t="s">
        <v>168</v>
      </c>
      <c r="D1553" s="48" t="s">
        <v>188</v>
      </c>
      <c r="E1553" s="48" t="s">
        <v>189</v>
      </c>
      <c r="F1553" s="48"/>
      <c r="G1553" s="49" t="n">
        <v>35.4</v>
      </c>
      <c r="H1553" s="50" t="n">
        <f aca="false">MAX(0,IF(AND(Parameter!$B$21="Ja",ISNUMBER(Y1553)),Y1553,IF(Parameter!$B$20="Jahresanfang 2025 + Export",BO1553+BN1553,BN1553)))</f>
        <v>34</v>
      </c>
      <c r="I1553" s="50" t="n">
        <f aca="false">H1553*G1553</f>
        <v>1203.6</v>
      </c>
      <c r="J1553" s="50" t="n">
        <f aca="false">BQ1553*Parameter!$B$18</f>
        <v>0</v>
      </c>
      <c r="K1553" s="51"/>
      <c r="L1553" s="52"/>
      <c r="M1553" s="50" t="n">
        <v>0</v>
      </c>
      <c r="N1553" s="50" t="n">
        <v>20</v>
      </c>
      <c r="O1553" s="53" t="n">
        <v>28</v>
      </c>
      <c r="P1553" s="48" t="s">
        <v>297</v>
      </c>
      <c r="Q1553" s="50" t="n">
        <v>34</v>
      </c>
      <c r="R1553" s="53" t="n">
        <f aca="false">IF(BW1553=1,0,IFERROR(VLOOKUP(BU1553,'Gebinde-Kategorie'!$A$5:$N$45,13,0)+0,0))</f>
        <v>12</v>
      </c>
      <c r="S1553" s="54"/>
      <c r="T1553" s="55"/>
      <c r="U1553" s="55"/>
      <c r="V1553" s="55"/>
      <c r="W1553" s="48"/>
      <c r="X1553" s="50"/>
      <c r="Y1553" s="50"/>
      <c r="Z1553" s="48" t="n">
        <f aca="false">IF(A1553="","",IF(AND(Parameter!$B$21="Ja",ISNUMBER(W1553)),W1553,IF(BZ1553="2+3",IF(ISNUMBER(SEARCH("grosser Artikel",BR1553)),2,IFERROR(VLOOKUP(BU1553,Parameter!$F$35:$G$64,2,0),2)),IF(OR(BZ1553="Nein",BZ1553=""),"-",BZ1553))))</f>
        <v>2</v>
      </c>
      <c r="AA1553" s="55"/>
      <c r="AB1553" s="56"/>
      <c r="AC1553" s="50" t="n">
        <f aca="false">AT1553</f>
        <v>34</v>
      </c>
      <c r="AD1553" s="50" t="n">
        <f aca="false">MAX(AT1553,H1553)</f>
        <v>34</v>
      </c>
      <c r="AE1553" s="57"/>
      <c r="AF1553" s="50" t="n">
        <f aca="false">IF(LEFT(Cockpit!$C$5,1)="A",H1553,IF(CE1553=1,CF1553,IF(LEFT(Cockpit!$C$5,1)="B",AK1553,MAX(AK1553,H1553))))</f>
        <v>34</v>
      </c>
      <c r="AG1553" s="50" t="n">
        <f aca="false">IF(BW1553=1,0,ROUNDUP(AF1553/BV1553,0))</f>
        <v>1</v>
      </c>
      <c r="AH1553" s="52" t="n">
        <f aca="false">IF(CL1553&gt;0,CL1553*MAX(1,AF1553/X1553),IF(BW1553=1,IF(AF1553&lt;=0,0,CA1553*MAX(1,IF(H1553&gt;0,AF1553/H1553,1))),IF(R1553&gt;0,AG1553/R1553,0))/MAX(0.1,N(Parameter!$M$21)))</f>
        <v>0.0833333333333333</v>
      </c>
      <c r="AI1553" s="50" t="n">
        <f aca="false">AH1553*BY1553</f>
        <v>20.4166666666667</v>
      </c>
      <c r="AJ1553" s="50" t="n">
        <f aca="false">AF1553*G1553</f>
        <v>1203.6</v>
      </c>
      <c r="AK1553" s="50" t="n">
        <f aca="false">ROUNDUP(MAX(J1553/IF(CD1553&gt;0,CD1553,MAX(0.1,N(Cockpit!$C$6))),CG1553)/BV1553,0)*BV1553</f>
        <v>34</v>
      </c>
      <c r="AL1553" s="51" t="n">
        <f aca="false">IF(AI1553&gt;0,J1553/AI1553,-1)</f>
        <v>0</v>
      </c>
      <c r="AM1553" s="51" t="n">
        <f aca="false">IF(AND(OR(CC1553="L1",CC1553="L23",CC1553="LIFT"),AI1553&gt;0),SUMIFS($AI$7:$AI$1843,$CC$7:$CC$1843,CC1553,$AL$7:$AL$1843,"&gt;"&amp;AL1553)+SUMIFS($AI$7:$AI$1843,$CC$7:$CC$1843,CC1553,$AL$7:$AL$1843,AL1553,$BT$7:$BT$1843,"&lt;="&amp;BT1553),"")</f>
        <v>30237.7439027545</v>
      </c>
      <c r="AN1553" s="58" t="n">
        <f aca="false">IF(AM1553="",0,MAX(0,MIN(1,(IF(CC1553="L1",Parameter!$H$5,IF(CC1553="L23",Parameter!$H$6+Parameter!$H$7,Parameter!$H$5+Parameter!$H$6+Parameter!$H$7))-(AM1553-AI1553))/AI1553)))</f>
        <v>1</v>
      </c>
      <c r="AO1553" s="50" t="n">
        <f aca="false">IF(LEFT(Cockpit!$I$5,1)="A",H1553,IF(CE1553=1,CF1553,IF(LEFT(Cockpit!$I$5,1)="B",AT1553,MAX(AT1553,H1553))))</f>
        <v>34</v>
      </c>
      <c r="AP1553" s="50" t="n">
        <f aca="false">IF(BW1553=1,0,ROUNDUP(AO1553/BV1553,0))</f>
        <v>1</v>
      </c>
      <c r="AQ1553" s="52" t="n">
        <f aca="false">IF(CL1553&gt;0,CL1553*MAX(1,AO1553/X1553),IF(BW1553=1,IF(AO1553&lt;=0,0,CA1553*MAX(1,IF(H1553&gt;0,AO1553/H1553,1))),IF(R1553&gt;0,AP1553/R1553,0))/MAX(0.1,N(Parameter!$M$21)))</f>
        <v>0.0833333333333333</v>
      </c>
      <c r="AR1553" s="50" t="n">
        <f aca="false">AQ1553*BY1553</f>
        <v>20.4166666666667</v>
      </c>
      <c r="AS1553" s="50" t="n">
        <f aca="false">AO1553*G1553</f>
        <v>1203.6</v>
      </c>
      <c r="AT1553" s="50" t="n">
        <f aca="false">ROUNDUP(MAX(J1553/IF(CD1553&gt;0,CD1553,MAX(0.1,N(Cockpit!$I$6))),CG1553)/BV1553,0)*BV1553</f>
        <v>34</v>
      </c>
      <c r="AU1553" s="51" t="n">
        <f aca="false">IF(AR1553&gt;0,J1553/AR1553,-1)</f>
        <v>0</v>
      </c>
      <c r="AV1553" s="51" t="n">
        <f aca="false">IF(AND(OR(CC1553="L1",CC1553="L23",CC1553="LIFT"),AR1553&gt;0),SUMIFS($AR$7:$AR$1843,$CC$7:$CC$1843,CC1553,$AU$7:$AU$1843,"&gt;"&amp;AU1553)+SUMIFS($AR$7:$AR$1843,$CC$7:$CC$1843,CC1553,$AU$7:$AU$1843,AU1553,$BT$7:$BT$1843,"&lt;="&amp;BT1553),"")</f>
        <v>42593.6846764347</v>
      </c>
      <c r="AW1553" s="58" t="n">
        <f aca="false">IF(AV1553="",0,MAX(0,MIN(1,(IF(CC1553="L1",Parameter!$H$5,IF(CC1553="L23",Parameter!$H$6+Parameter!$H$7,Parameter!$H$5+Parameter!$H$6+Parameter!$H$7))-(AV1553-AR1553))/AR1553)))</f>
        <v>0</v>
      </c>
      <c r="AX1553" s="50" t="n">
        <f aca="false">IF(LEFT(Cockpit!$O$5,1)="A",H1553,IF(CE1553=1,CF1553,IF(LEFT(Cockpit!$O$5,1)="B",BC1553,MAX(BC1553,H1553))))</f>
        <v>34</v>
      </c>
      <c r="AY1553" s="50" t="n">
        <f aca="false">IF(BW1553=1,0,ROUNDUP(AX1553/BV1553,0))</f>
        <v>1</v>
      </c>
      <c r="AZ1553" s="52" t="n">
        <f aca="false">IF(CL1553&gt;0,CL1553*MAX(1,AX1553/X1553),IF(BW1553=1,IF(AX1553&lt;=0,0,CA1553*MAX(1,IF(H1553&gt;0,AX1553/H1553,1))),IF(R1553&gt;0,AY1553/R1553,0))/MAX(0.1,N(Parameter!$M$21)))</f>
        <v>0.0833333333333333</v>
      </c>
      <c r="BA1553" s="50" t="n">
        <f aca="false">AZ1553*BY1553</f>
        <v>20.4166666666667</v>
      </c>
      <c r="BB1553" s="50" t="n">
        <f aca="false">AX1553*G1553</f>
        <v>1203.6</v>
      </c>
      <c r="BC1553" s="50" t="n">
        <f aca="false">ROUNDUP(MAX(J1553/IF(CD1553&gt;0,CD1553,MAX(0.1,N(Cockpit!$O$6))),CG1553)/BV1553,0)*BV1553</f>
        <v>34</v>
      </c>
      <c r="BD1553" s="51" t="n">
        <f aca="false">IF(BA1553&gt;0,J1553/BA1553,-1)</f>
        <v>0</v>
      </c>
      <c r="BE1553" s="51" t="n">
        <f aca="false">IF(AND(OR(CC1553="L1",CC1553="L23",CC1553="LIFT"),BA1553&gt;0),SUMIFS($BA$7:$BA$1843,$CC$7:$CC$1843,CC1553,$BD$7:$BD$1843,"&gt;"&amp;BD1553)+SUMIFS($BA$7:$BA$1843,$CC$7:$CC$1843,CC1553,$BD$7:$BD$1843,BD1553,$BT$7:$BT$1843,"&lt;="&amp;BT1553),"")</f>
        <v>39268.6967183005</v>
      </c>
      <c r="BF1553" s="58" t="n">
        <f aca="false">IF(BE1553="",0,MAX(0,MIN(1,(IF(CC1553="L1",Parameter!$H$5,IF(CC1553="L23",Parameter!$H$6+Parameter!$H$7,Parameter!$H$5+Parameter!$H$6+Parameter!$H$7))-(BE1553-BA1553))/BA1553)))</f>
        <v>0</v>
      </c>
      <c r="BG1553" s="48" t="str">
        <f aca="false">IF(AI1553&lt;=0,"",IF(CC1553="Aussen","Aussenlager",IF(CC1553="-","Nicht im Lift",IF(AN1553&gt;=1,"Lift",IF(AN1553&lt;=0,"Aussenlager","teilweise")))))</f>
        <v>Lift</v>
      </c>
      <c r="BH1553" s="48" t="str">
        <f aca="false">IF(AR1553&lt;=0,"",IF(CC1553="Aussen","Aussenlager",IF(CC1553="-","Nicht im Lift",IF(AW1553&gt;=1,"Lift",IF(AW1553&lt;=0,"Aussenlager","teilweise")))))</f>
        <v>Aussenlager</v>
      </c>
      <c r="BI1553" s="48" t="str">
        <f aca="false">IF(BA1553&lt;=0,"",IF(CC1553="Aussen","Aussenlager",IF(CC1553="-","Nicht im Lift",IF(BF1553&gt;=1,"Lift",IF(BF1553&lt;=0,"Aussenlager","teilweise")))))</f>
        <v>Aussenlager</v>
      </c>
      <c r="BJ1553" s="48" t="str">
        <f aca="false">IF(A1553="","",IF(BS1553=1,"Neu; ","")&amp;IF(AND(BS1553=0,BN1553&lt;0),"negativer Bestand (Export "&amp;BN1553&amp;"); ","")&amp;IF(J1553&lt;=0,"Kein Verbrauch; ","")&amp;IF(CL1553&gt;0,"Lift "&amp;W1553&amp;" lt. Liftbericht (Fach "&amp;X1553&amp;" Stk); ",IF(BX1553=1,"Gebinde geschätzt ("&amp;T1553&amp;"); ",IF(BW1553=1,"Lose – Tablare geschätzt; ","")))&amp;IF(H1553&gt;AT1553,"Überbestand "&amp;ROUND(H1553-AT1553,0)&amp;" Stk / CHF "&amp;ROUND((H1553-AT1553)*G1553,0)&amp;"; ","")&amp;IF(AND(CE1553=1,CF1553&lt;CG1553),"MAX &lt; MB+LG; ","")&amp;IF(AND(CK1553&gt;0,CJ1553*10&gt;CK1553),"zu hoch für Tablar; ","")&amp;IF(AND(BS1553=0,OR(CE1553=1,AA1553&lt;&gt;"",U1553&lt;&gt;"",V1553&lt;&gt;"",AB1553&lt;&gt;"")),"manuell übersteuert; ","")&amp;IF(AND(BW1553=0,R1553=0),"Gebinde unbekannt / Stellmass fehlt; ","")&amp;IF(AND(BW1553=0,N(V1553)&lt;=0,N(Q1553)&lt;=0),"Menge pro Gebinde fehlt (Ist = 1 Gebinde); ","")&amp;BR1553)</f>
        <v>Kein Verbrauch; nur im Artikelstamm (Bestand 23.06.2026); Neu</v>
      </c>
      <c r="BK1553" s="48"/>
      <c r="BL1553" s="48"/>
      <c r="BM1553" s="55"/>
      <c r="BN1553" s="50" t="n">
        <v>34</v>
      </c>
      <c r="BO1553" s="50" t="n">
        <v>0</v>
      </c>
      <c r="BP1553" s="49" t="n">
        <v>0</v>
      </c>
      <c r="BQ1553" s="50" t="n">
        <v>0</v>
      </c>
      <c r="BR1553" s="48" t="s">
        <v>2671</v>
      </c>
      <c r="BS1553" s="53" t="n">
        <v>0</v>
      </c>
      <c r="BT1553" s="53" t="n">
        <v>1553</v>
      </c>
      <c r="BU1553" s="48" t="str">
        <f aca="false">IF(U1553&lt;&gt;"",UPPER(TRIM(U1553)),IF(BX1553=1,UPPER(VLOOKUP(T1553,Parameter!$I$27:$K$29,2,0)),IF(P1553="","LOSE",P1553)))</f>
        <v>S62</v>
      </c>
      <c r="BV1553" s="50" t="n">
        <f aca="false">IF(BU1553="LOSE",1,IF(N(V1553)&gt;0,V1553,IF(BX1553=1,MAX(1,N(VLOOKUP(T1553,Parameter!$I$27:$K$29,3,0)),H1553,N(N1553)),IF(N(Q1553)&gt;0,Q1553,MAX(1,H1553)))))</f>
        <v>34</v>
      </c>
      <c r="BW1553" s="53" t="n">
        <f aca="false">IF(BU1553="LOSE",1,0)</f>
        <v>0</v>
      </c>
      <c r="BX1553" s="53" t="n">
        <f aca="false">IF(AND(U1553="",OR(P1553="",P1553="LOSE"),T1553&lt;&gt;"",N(S1553)&lt;=0,ISNUMBER(MATCH(T1553,Parameter!$I$27:$I$29,0))),1,0)</f>
        <v>0</v>
      </c>
      <c r="BY1553" s="53" t="n">
        <f aca="false">IF(CL1553&gt;0,INDEX(Parameter!$H$5:$H$7,W1553)/INDEX(Parameter!$E$5:$E$7,W1553),IF(AND(BW1553=0,N(IFERROR(VLOOKUP(BU1553,'Gebinde-Kategorie'!$A$5:$N$45,14,0),0))&gt;0),VLOOKUP(BU1553,'Gebinde-Kategorie'!$A$5:$N$45,14,0)*10+Parameter!$M$23,Parameter!$M$24))</f>
        <v>245</v>
      </c>
      <c r="BZ1553" s="48" t="str">
        <f aca="false">IF(AND(Parameter!$B$19="Ja",E1553&lt;&gt;"",ISNUMBER(MATCH(E1553,Parameter!$I$35:$I$52,0))),VLOOKUP(E1553,Parameter!$I$35:$J$52,2,0),IFERROR(VLOOKUP(D1553,Parameter!$A$35:$C$64,2,0),"Nein"))</f>
        <v>2+3</v>
      </c>
      <c r="CA1553" s="52" t="n">
        <f aca="false">IF(BW1553=0,0,IF(N(S1553)&gt;0,S1553,IFERROR(VLOOKUP(D1553,Parameter!$A$35:$C$64,3,0)+0,0)))</f>
        <v>0</v>
      </c>
      <c r="CB1553" s="48" t="n">
        <f aca="false">IF(AA1553&lt;&gt;"",AA1553,Z1553)</f>
        <v>2</v>
      </c>
      <c r="CC1553" s="48" t="str">
        <f aca="false">IF(OR(CB1553=1,CB1553=2,CB1553=3),IF(Parameter!$E$27="Ja","LIFT",IF(CB1553=1,"L1","L23")),IF(CB1553="Aussen","Aussen","-"))</f>
        <v>LIFT</v>
      </c>
      <c r="CD1553" s="59" t="n">
        <f aca="false">IF(N(AB1553)&gt;0,AB1553,0)</f>
        <v>0</v>
      </c>
      <c r="CE1553" s="53" t="n">
        <f aca="false">IF(ISNUMBER(AE1553),1,0)</f>
        <v>0</v>
      </c>
      <c r="CF1553" s="50" t="n">
        <f aca="false">N(AE1553)</f>
        <v>0</v>
      </c>
      <c r="CG1553" s="50" t="n">
        <f aca="false">N(M1553)+N(N1553)</f>
        <v>20</v>
      </c>
      <c r="CH1553" s="50" t="n">
        <f aca="false">ROUNDUP(H1553/BV1553,0)</f>
        <v>1</v>
      </c>
      <c r="CI1553" s="50" t="n">
        <f aca="false">ROUNDUP(CF1553/BV1553,0)</f>
        <v>0</v>
      </c>
      <c r="CJ1553" s="53" t="n">
        <f aca="false">IF(BW1553=1,0,IFERROR(VLOOKUP(BU1553,'Gebinde-Kategorie'!$A$5:$N$45,5,0)+0,0))</f>
        <v>21</v>
      </c>
      <c r="CK1553" s="53" t="n">
        <f aca="false">IFERROR(IF(OR(CB1553=1,CB1553=2,CB1553=3),N(INDEX(Parameter!$I$5:$I$7,CB1553)),0),0)</f>
        <v>0</v>
      </c>
      <c r="CL1553" s="52" t="n">
        <f aca="false">IF(AND(Parameter!$B$21="Ja",ISNUMBER(W1553),N(X1553)&gt;0),IFERROR(N(INDEX(Parameter!$L$5:$L$7,W1553))*INDEX(Parameter!$E$5:$E$7,W1553)*X1553/SUMIFS($X$7:$X$1843,$W$7:$W$1843,W1553),0),0)</f>
        <v>0</v>
      </c>
    </row>
    <row r="1554" customFormat="false" ht="15" hidden="false" customHeight="false" outlineLevel="0" collapsed="false">
      <c r="A1554" s="48" t="s">
        <v>2719</v>
      </c>
      <c r="B1554" s="48" t="s">
        <v>2720</v>
      </c>
      <c r="C1554" s="48" t="s">
        <v>168</v>
      </c>
      <c r="D1554" s="48" t="s">
        <v>188</v>
      </c>
      <c r="E1554" s="48" t="s">
        <v>189</v>
      </c>
      <c r="F1554" s="48"/>
      <c r="G1554" s="49" t="n">
        <v>45.8</v>
      </c>
      <c r="H1554" s="50" t="n">
        <f aca="false">MAX(0,IF(AND(Parameter!$B$21="Ja",ISNUMBER(Y1554)),Y1554,IF(Parameter!$B$20="Jahresanfang 2025 + Export",BO1554+BN1554,BN1554)))</f>
        <v>14</v>
      </c>
      <c r="I1554" s="50" t="n">
        <f aca="false">H1554*G1554</f>
        <v>641.2</v>
      </c>
      <c r="J1554" s="50" t="n">
        <f aca="false">BQ1554*Parameter!$B$18</f>
        <v>0</v>
      </c>
      <c r="K1554" s="51"/>
      <c r="L1554" s="52"/>
      <c r="M1554" s="50" t="n">
        <v>0</v>
      </c>
      <c r="N1554" s="50" t="n">
        <v>10</v>
      </c>
      <c r="O1554" s="53" t="n">
        <v>0</v>
      </c>
      <c r="P1554" s="48" t="s">
        <v>306</v>
      </c>
      <c r="Q1554" s="50" t="n">
        <v>14</v>
      </c>
      <c r="R1554" s="53" t="n">
        <f aca="false">IF(BW1554=1,0,IFERROR(VLOOKUP(BU1554,'Gebinde-Kategorie'!$A$5:$N$45,13,0)+0,0))</f>
        <v>26</v>
      </c>
      <c r="S1554" s="54"/>
      <c r="T1554" s="55"/>
      <c r="U1554" s="55"/>
      <c r="V1554" s="55"/>
      <c r="W1554" s="48"/>
      <c r="X1554" s="50"/>
      <c r="Y1554" s="50"/>
      <c r="Z1554" s="48" t="n">
        <f aca="false">IF(A1554="","",IF(AND(Parameter!$B$21="Ja",ISNUMBER(W1554)),W1554,IF(BZ1554="2+3",IF(ISNUMBER(SEARCH("grosser Artikel",BR1554)),2,IFERROR(VLOOKUP(BU1554,Parameter!$F$35:$G$64,2,0),2)),IF(OR(BZ1554="Nein",BZ1554=""),"-",BZ1554))))</f>
        <v>3</v>
      </c>
      <c r="AA1554" s="55"/>
      <c r="AB1554" s="56"/>
      <c r="AC1554" s="50" t="n">
        <f aca="false">AT1554</f>
        <v>14</v>
      </c>
      <c r="AD1554" s="50" t="n">
        <f aca="false">MAX(AT1554,H1554)</f>
        <v>14</v>
      </c>
      <c r="AE1554" s="57"/>
      <c r="AF1554" s="50" t="n">
        <f aca="false">IF(LEFT(Cockpit!$C$5,1)="A",H1554,IF(CE1554=1,CF1554,IF(LEFT(Cockpit!$C$5,1)="B",AK1554,MAX(AK1554,H1554))))</f>
        <v>14</v>
      </c>
      <c r="AG1554" s="50" t="n">
        <f aca="false">IF(BW1554=1,0,ROUNDUP(AF1554/BV1554,0))</f>
        <v>1</v>
      </c>
      <c r="AH1554" s="52" t="n">
        <f aca="false">IF(CL1554&gt;0,CL1554*MAX(1,AF1554/X1554),IF(BW1554=1,IF(AF1554&lt;=0,0,CA1554*MAX(1,IF(H1554&gt;0,AF1554/H1554,1))),IF(R1554&gt;0,AG1554/R1554,0))/MAX(0.1,N(Parameter!$M$21)))</f>
        <v>0.0384615384615385</v>
      </c>
      <c r="AI1554" s="50" t="n">
        <f aca="false">AH1554*BY1554</f>
        <v>5.96153846153846</v>
      </c>
      <c r="AJ1554" s="50" t="n">
        <f aca="false">AF1554*G1554</f>
        <v>641.2</v>
      </c>
      <c r="AK1554" s="50" t="n">
        <f aca="false">ROUNDUP(MAX(J1554/IF(CD1554&gt;0,CD1554,MAX(0.1,N(Cockpit!$C$6))),CG1554)/BV1554,0)*BV1554</f>
        <v>14</v>
      </c>
      <c r="AL1554" s="51" t="n">
        <f aca="false">IF(AI1554&gt;0,J1554/AI1554,-1)</f>
        <v>0</v>
      </c>
      <c r="AM1554" s="51" t="n">
        <f aca="false">IF(AND(OR(CC1554="L1",CC1554="L23",CC1554="LIFT"),AI1554&gt;0),SUMIFS($AI$7:$AI$1843,$CC$7:$CC$1843,CC1554,$AL$7:$AL$1843,"&gt;"&amp;AL1554)+SUMIFS($AI$7:$AI$1843,$CC$7:$CC$1843,CC1554,$AL$7:$AL$1843,AL1554,$BT$7:$BT$1843,"&lt;="&amp;BT1554),"")</f>
        <v>30243.705441216</v>
      </c>
      <c r="AN1554" s="58" t="n">
        <f aca="false">IF(AM1554="",0,MAX(0,MIN(1,(IF(CC1554="L1",Parameter!$H$5,IF(CC1554="L23",Parameter!$H$6+Parameter!$H$7,Parameter!$H$5+Parameter!$H$6+Parameter!$H$7))-(AM1554-AI1554))/AI1554)))</f>
        <v>1</v>
      </c>
      <c r="AO1554" s="50" t="n">
        <f aca="false">IF(LEFT(Cockpit!$I$5,1)="A",H1554,IF(CE1554=1,CF1554,IF(LEFT(Cockpit!$I$5,1)="B",AT1554,MAX(AT1554,H1554))))</f>
        <v>14</v>
      </c>
      <c r="AP1554" s="50" t="n">
        <f aca="false">IF(BW1554=1,0,ROUNDUP(AO1554/BV1554,0))</f>
        <v>1</v>
      </c>
      <c r="AQ1554" s="52" t="n">
        <f aca="false">IF(CL1554&gt;0,CL1554*MAX(1,AO1554/X1554),IF(BW1554=1,IF(AO1554&lt;=0,0,CA1554*MAX(1,IF(H1554&gt;0,AO1554/H1554,1))),IF(R1554&gt;0,AP1554/R1554,0))/MAX(0.1,N(Parameter!$M$21)))</f>
        <v>0.0384615384615385</v>
      </c>
      <c r="AR1554" s="50" t="n">
        <f aca="false">AQ1554*BY1554</f>
        <v>5.96153846153846</v>
      </c>
      <c r="AS1554" s="50" t="n">
        <f aca="false">AO1554*G1554</f>
        <v>641.2</v>
      </c>
      <c r="AT1554" s="50" t="n">
        <f aca="false">ROUNDUP(MAX(J1554/IF(CD1554&gt;0,CD1554,MAX(0.1,N(Cockpit!$I$6))),CG1554)/BV1554,0)*BV1554</f>
        <v>14</v>
      </c>
      <c r="AU1554" s="51" t="n">
        <f aca="false">IF(AR1554&gt;0,J1554/AR1554,-1)</f>
        <v>0</v>
      </c>
      <c r="AV1554" s="51" t="n">
        <f aca="false">IF(AND(OR(CC1554="L1",CC1554="L23",CC1554="LIFT"),AR1554&gt;0),SUMIFS($AR$7:$AR$1843,$CC$7:$CC$1843,CC1554,$AU$7:$AU$1843,"&gt;"&amp;AU1554)+SUMIFS($AR$7:$AR$1843,$CC$7:$CC$1843,CC1554,$AU$7:$AU$1843,AU1554,$BT$7:$BT$1843,"&lt;="&amp;BT1554),"")</f>
        <v>42599.6462148962</v>
      </c>
      <c r="AW1554" s="58" t="n">
        <f aca="false">IF(AV1554="",0,MAX(0,MIN(1,(IF(CC1554="L1",Parameter!$H$5,IF(CC1554="L23",Parameter!$H$6+Parameter!$H$7,Parameter!$H$5+Parameter!$H$6+Parameter!$H$7))-(AV1554-AR1554))/AR1554)))</f>
        <v>0</v>
      </c>
      <c r="AX1554" s="50" t="n">
        <f aca="false">IF(LEFT(Cockpit!$O$5,1)="A",H1554,IF(CE1554=1,CF1554,IF(LEFT(Cockpit!$O$5,1)="B",BC1554,MAX(BC1554,H1554))))</f>
        <v>14</v>
      </c>
      <c r="AY1554" s="50" t="n">
        <f aca="false">IF(BW1554=1,0,ROUNDUP(AX1554/BV1554,0))</f>
        <v>1</v>
      </c>
      <c r="AZ1554" s="52" t="n">
        <f aca="false">IF(CL1554&gt;0,CL1554*MAX(1,AX1554/X1554),IF(BW1554=1,IF(AX1554&lt;=0,0,CA1554*MAX(1,IF(H1554&gt;0,AX1554/H1554,1))),IF(R1554&gt;0,AY1554/R1554,0))/MAX(0.1,N(Parameter!$M$21)))</f>
        <v>0.0384615384615385</v>
      </c>
      <c r="BA1554" s="50" t="n">
        <f aca="false">AZ1554*BY1554</f>
        <v>5.96153846153846</v>
      </c>
      <c r="BB1554" s="50" t="n">
        <f aca="false">AX1554*G1554</f>
        <v>641.2</v>
      </c>
      <c r="BC1554" s="50" t="n">
        <f aca="false">ROUNDUP(MAX(J1554/IF(CD1554&gt;0,CD1554,MAX(0.1,N(Cockpit!$O$6))),CG1554)/BV1554,0)*BV1554</f>
        <v>14</v>
      </c>
      <c r="BD1554" s="51" t="n">
        <f aca="false">IF(BA1554&gt;0,J1554/BA1554,-1)</f>
        <v>0</v>
      </c>
      <c r="BE1554" s="51" t="n">
        <f aca="false">IF(AND(OR(CC1554="L1",CC1554="L23",CC1554="LIFT"),BA1554&gt;0),SUMIFS($BA$7:$BA$1843,$CC$7:$CC$1843,CC1554,$BD$7:$BD$1843,"&gt;"&amp;BD1554)+SUMIFS($BA$7:$BA$1843,$CC$7:$CC$1843,CC1554,$BD$7:$BD$1843,BD1554,$BT$7:$BT$1843,"&lt;="&amp;BT1554),"")</f>
        <v>39274.6582567621</v>
      </c>
      <c r="BF1554" s="58" t="n">
        <f aca="false">IF(BE1554="",0,MAX(0,MIN(1,(IF(CC1554="L1",Parameter!$H$5,IF(CC1554="L23",Parameter!$H$6+Parameter!$H$7,Parameter!$H$5+Parameter!$H$6+Parameter!$H$7))-(BE1554-BA1554))/BA1554)))</f>
        <v>0</v>
      </c>
      <c r="BG1554" s="48" t="str">
        <f aca="false">IF(AI1554&lt;=0,"",IF(CC1554="Aussen","Aussenlager",IF(CC1554="-","Nicht im Lift",IF(AN1554&gt;=1,"Lift",IF(AN1554&lt;=0,"Aussenlager","teilweise")))))</f>
        <v>Lift</v>
      </c>
      <c r="BH1554" s="48" t="str">
        <f aca="false">IF(AR1554&lt;=0,"",IF(CC1554="Aussen","Aussenlager",IF(CC1554="-","Nicht im Lift",IF(AW1554&gt;=1,"Lift",IF(AW1554&lt;=0,"Aussenlager","teilweise")))))</f>
        <v>Aussenlager</v>
      </c>
      <c r="BI1554" s="48" t="str">
        <f aca="false">IF(BA1554&lt;=0,"",IF(CC1554="Aussen","Aussenlager",IF(CC1554="-","Nicht im Lift",IF(BF1554&gt;=1,"Lift",IF(BF1554&lt;=0,"Aussenlager","teilweise")))))</f>
        <v>Aussenlager</v>
      </c>
      <c r="BJ1554" s="48" t="str">
        <f aca="false">IF(A1554="","",IF(BS1554=1,"Neu; ","")&amp;IF(AND(BS1554=0,BN1554&lt;0),"negativer Bestand (Export "&amp;BN1554&amp;"); ","")&amp;IF(J1554&lt;=0,"Kein Verbrauch; ","")&amp;IF(CL1554&gt;0,"Lift "&amp;W1554&amp;" lt. Liftbericht (Fach "&amp;X1554&amp;" Stk); ",IF(BX1554=1,"Gebinde geschätzt ("&amp;T1554&amp;"); ",IF(BW1554=1,"Lose – Tablare geschätzt; ","")))&amp;IF(H1554&gt;AT1554,"Überbestand "&amp;ROUND(H1554-AT1554,0)&amp;" Stk / CHF "&amp;ROUND((H1554-AT1554)*G1554,0)&amp;"; ","")&amp;IF(AND(CE1554=1,CF1554&lt;CG1554),"MAX &lt; MB+LG; ","")&amp;IF(AND(CK1554&gt;0,CJ1554*10&gt;CK1554),"zu hoch für Tablar; ","")&amp;IF(AND(BS1554=0,OR(CE1554=1,AA1554&lt;&gt;"",U1554&lt;&gt;"",V1554&lt;&gt;"",AB1554&lt;&gt;"")),"manuell übersteuert; ","")&amp;IF(AND(BW1554=0,R1554=0),"Gebinde unbekannt / Stellmass fehlt; ","")&amp;IF(AND(BW1554=0,N(V1554)&lt;=0,N(Q1554)&lt;=0),"Menge pro Gebinde fehlt (Ist = 1 Gebinde); ","")&amp;BR1554)</f>
        <v>Kein Verbrauch; nur im Artikelstamm (Bestand 23.06.2026)</v>
      </c>
      <c r="BK1554" s="48"/>
      <c r="BL1554" s="48"/>
      <c r="BM1554" s="55"/>
      <c r="BN1554" s="50" t="n">
        <v>14</v>
      </c>
      <c r="BO1554" s="50" t="n">
        <v>0</v>
      </c>
      <c r="BP1554" s="49" t="n">
        <v>0</v>
      </c>
      <c r="BQ1554" s="50" t="n">
        <v>0</v>
      </c>
      <c r="BR1554" s="48" t="s">
        <v>2579</v>
      </c>
      <c r="BS1554" s="53" t="n">
        <v>0</v>
      </c>
      <c r="BT1554" s="53" t="n">
        <v>1554</v>
      </c>
      <c r="BU1554" s="48" t="str">
        <f aca="false">IF(U1554&lt;&gt;"",UPPER(TRIM(U1554)),IF(BX1554=1,UPPER(VLOOKUP(T1554,Parameter!$I$27:$K$29,2,0)),IF(P1554="","LOSE",P1554)))</f>
        <v>S51</v>
      </c>
      <c r="BV1554" s="50" t="n">
        <f aca="false">IF(BU1554="LOSE",1,IF(N(V1554)&gt;0,V1554,IF(BX1554=1,MAX(1,N(VLOOKUP(T1554,Parameter!$I$27:$K$29,3,0)),H1554,N(N1554)),IF(N(Q1554)&gt;0,Q1554,MAX(1,H1554)))))</f>
        <v>14</v>
      </c>
      <c r="BW1554" s="53" t="n">
        <f aca="false">IF(BU1554="LOSE",1,0)</f>
        <v>0</v>
      </c>
      <c r="BX1554" s="53" t="n">
        <f aca="false">IF(AND(U1554="",OR(P1554="",P1554="LOSE"),T1554&lt;&gt;"",N(S1554)&lt;=0,ISNUMBER(MATCH(T1554,Parameter!$I$27:$I$29,0))),1,0)</f>
        <v>0</v>
      </c>
      <c r="BY1554" s="53" t="n">
        <f aca="false">IF(CL1554&gt;0,INDEX(Parameter!$H$5:$H$7,W1554)/INDEX(Parameter!$E$5:$E$7,W1554),IF(AND(BW1554=0,N(IFERROR(VLOOKUP(BU1554,'Gebinde-Kategorie'!$A$5:$N$45,14,0),0))&gt;0),VLOOKUP(BU1554,'Gebinde-Kategorie'!$A$5:$N$45,14,0)*10+Parameter!$M$23,Parameter!$M$24))</f>
        <v>155</v>
      </c>
      <c r="BZ1554" s="48" t="str">
        <f aca="false">IF(AND(Parameter!$B$19="Ja",E1554&lt;&gt;"",ISNUMBER(MATCH(E1554,Parameter!$I$35:$I$52,0))),VLOOKUP(E1554,Parameter!$I$35:$J$52,2,0),IFERROR(VLOOKUP(D1554,Parameter!$A$35:$C$64,2,0),"Nein"))</f>
        <v>2+3</v>
      </c>
      <c r="CA1554" s="52" t="n">
        <f aca="false">IF(BW1554=0,0,IF(N(S1554)&gt;0,S1554,IFERROR(VLOOKUP(D1554,Parameter!$A$35:$C$64,3,0)+0,0)))</f>
        <v>0</v>
      </c>
      <c r="CB1554" s="48" t="n">
        <f aca="false">IF(AA1554&lt;&gt;"",AA1554,Z1554)</f>
        <v>3</v>
      </c>
      <c r="CC1554" s="48" t="str">
        <f aca="false">IF(OR(CB1554=1,CB1554=2,CB1554=3),IF(Parameter!$E$27="Ja","LIFT",IF(CB1554=1,"L1","L23")),IF(CB1554="Aussen","Aussen","-"))</f>
        <v>LIFT</v>
      </c>
      <c r="CD1554" s="59" t="n">
        <f aca="false">IF(N(AB1554)&gt;0,AB1554,0)</f>
        <v>0</v>
      </c>
      <c r="CE1554" s="53" t="n">
        <f aca="false">IF(ISNUMBER(AE1554),1,0)</f>
        <v>0</v>
      </c>
      <c r="CF1554" s="50" t="n">
        <f aca="false">N(AE1554)</f>
        <v>0</v>
      </c>
      <c r="CG1554" s="50" t="n">
        <f aca="false">N(M1554)+N(N1554)</f>
        <v>10</v>
      </c>
      <c r="CH1554" s="50" t="n">
        <f aca="false">ROUNDUP(H1554/BV1554,0)</f>
        <v>1</v>
      </c>
      <c r="CI1554" s="50" t="n">
        <f aca="false">ROUNDUP(CF1554/BV1554,0)</f>
        <v>0</v>
      </c>
      <c r="CJ1554" s="53" t="n">
        <f aca="false">IF(BW1554=1,0,IFERROR(VLOOKUP(BU1554,'Gebinde-Kategorie'!$A$5:$N$45,5,0)+0,0))</f>
        <v>11</v>
      </c>
      <c r="CK1554" s="53" t="n">
        <f aca="false">IFERROR(IF(OR(CB1554=1,CB1554=2,CB1554=3),N(INDEX(Parameter!$I$5:$I$7,CB1554)),0),0)</f>
        <v>0</v>
      </c>
      <c r="CL1554" s="52" t="n">
        <f aca="false">IF(AND(Parameter!$B$21="Ja",ISNUMBER(W1554),N(X1554)&gt;0),IFERROR(N(INDEX(Parameter!$L$5:$L$7,W1554))*INDEX(Parameter!$E$5:$E$7,W1554)*X1554/SUMIFS($X$7:$X$1843,$W$7:$W$1843,W1554),0),0)</f>
        <v>0</v>
      </c>
    </row>
    <row r="1555" customFormat="false" ht="15" hidden="false" customHeight="false" outlineLevel="0" collapsed="false">
      <c r="A1555" s="48" t="s">
        <v>2721</v>
      </c>
      <c r="B1555" s="48" t="s">
        <v>2720</v>
      </c>
      <c r="C1555" s="48" t="s">
        <v>168</v>
      </c>
      <c r="D1555" s="48" t="s">
        <v>188</v>
      </c>
      <c r="E1555" s="48" t="s">
        <v>189</v>
      </c>
      <c r="F1555" s="48"/>
      <c r="G1555" s="49" t="n">
        <v>43.8</v>
      </c>
      <c r="H1555" s="50" t="n">
        <f aca="false">MAX(0,IF(AND(Parameter!$B$21="Ja",ISNUMBER(Y1555)),Y1555,IF(Parameter!$B$20="Jahresanfang 2025 + Export",BO1555+BN1555,BN1555)))</f>
        <v>9</v>
      </c>
      <c r="I1555" s="50" t="n">
        <f aca="false">H1555*G1555</f>
        <v>394.2</v>
      </c>
      <c r="J1555" s="50" t="n">
        <f aca="false">BQ1555*Parameter!$B$18</f>
        <v>0</v>
      </c>
      <c r="K1555" s="51"/>
      <c r="L1555" s="52"/>
      <c r="M1555" s="50" t="n">
        <v>0</v>
      </c>
      <c r="N1555" s="50" t="n">
        <v>10</v>
      </c>
      <c r="O1555" s="53" t="n">
        <v>0</v>
      </c>
      <c r="P1555" s="48" t="s">
        <v>306</v>
      </c>
      <c r="Q1555" s="50" t="n">
        <v>9</v>
      </c>
      <c r="R1555" s="53" t="n">
        <f aca="false">IF(BW1555=1,0,IFERROR(VLOOKUP(BU1555,'Gebinde-Kategorie'!$A$5:$N$45,13,0)+0,0))</f>
        <v>26</v>
      </c>
      <c r="S1555" s="54"/>
      <c r="T1555" s="55"/>
      <c r="U1555" s="55"/>
      <c r="V1555" s="55"/>
      <c r="W1555" s="48"/>
      <c r="X1555" s="50"/>
      <c r="Y1555" s="50"/>
      <c r="Z1555" s="48" t="n">
        <f aca="false">IF(A1555="","",IF(AND(Parameter!$B$21="Ja",ISNUMBER(W1555)),W1555,IF(BZ1555="2+3",IF(ISNUMBER(SEARCH("grosser Artikel",BR1555)),2,IFERROR(VLOOKUP(BU1555,Parameter!$F$35:$G$64,2,0),2)),IF(OR(BZ1555="Nein",BZ1555=""),"-",BZ1555))))</f>
        <v>3</v>
      </c>
      <c r="AA1555" s="55"/>
      <c r="AB1555" s="56"/>
      <c r="AC1555" s="50" t="n">
        <f aca="false">AT1555</f>
        <v>18</v>
      </c>
      <c r="AD1555" s="50" t="n">
        <f aca="false">MAX(AT1555,H1555)</f>
        <v>18</v>
      </c>
      <c r="AE1555" s="57"/>
      <c r="AF1555" s="50" t="n">
        <f aca="false">IF(LEFT(Cockpit!$C$5,1)="A",H1555,IF(CE1555=1,CF1555,IF(LEFT(Cockpit!$C$5,1)="B",AK1555,MAX(AK1555,H1555))))</f>
        <v>9</v>
      </c>
      <c r="AG1555" s="50" t="n">
        <f aca="false">IF(BW1555=1,0,ROUNDUP(AF1555/BV1555,0))</f>
        <v>1</v>
      </c>
      <c r="AH1555" s="52" t="n">
        <f aca="false">IF(CL1555&gt;0,CL1555*MAX(1,AF1555/X1555),IF(BW1555=1,IF(AF1555&lt;=0,0,CA1555*MAX(1,IF(H1555&gt;0,AF1555/H1555,1))),IF(R1555&gt;0,AG1555/R1555,0))/MAX(0.1,N(Parameter!$M$21)))</f>
        <v>0.0384615384615385</v>
      </c>
      <c r="AI1555" s="50" t="n">
        <f aca="false">AH1555*BY1555</f>
        <v>5.96153846153846</v>
      </c>
      <c r="AJ1555" s="50" t="n">
        <f aca="false">AF1555*G1555</f>
        <v>394.2</v>
      </c>
      <c r="AK1555" s="50" t="n">
        <f aca="false">ROUNDUP(MAX(J1555/IF(CD1555&gt;0,CD1555,MAX(0.1,N(Cockpit!$C$6))),CG1555)/BV1555,0)*BV1555</f>
        <v>18</v>
      </c>
      <c r="AL1555" s="51" t="n">
        <f aca="false">IF(AI1555&gt;0,J1555/AI1555,-1)</f>
        <v>0</v>
      </c>
      <c r="AM1555" s="51" t="n">
        <f aca="false">IF(AND(OR(CC1555="L1",CC1555="L23",CC1555="LIFT"),AI1555&gt;0),SUMIFS($AI$7:$AI$1843,$CC$7:$CC$1843,CC1555,$AL$7:$AL$1843,"&gt;"&amp;AL1555)+SUMIFS($AI$7:$AI$1843,$CC$7:$CC$1843,CC1555,$AL$7:$AL$1843,AL1555,$BT$7:$BT$1843,"&lt;="&amp;BT1555),"")</f>
        <v>30249.6669796776</v>
      </c>
      <c r="AN1555" s="58" t="n">
        <f aca="false">IF(AM1555="",0,MAX(0,MIN(1,(IF(CC1555="L1",Parameter!$H$5,IF(CC1555="L23",Parameter!$H$6+Parameter!$H$7,Parameter!$H$5+Parameter!$H$6+Parameter!$H$7))-(AM1555-AI1555))/AI1555)))</f>
        <v>1</v>
      </c>
      <c r="AO1555" s="50" t="n">
        <f aca="false">IF(LEFT(Cockpit!$I$5,1)="A",H1555,IF(CE1555=1,CF1555,IF(LEFT(Cockpit!$I$5,1)="B",AT1555,MAX(AT1555,H1555))))</f>
        <v>18</v>
      </c>
      <c r="AP1555" s="50" t="n">
        <f aca="false">IF(BW1555=1,0,ROUNDUP(AO1555/BV1555,0))</f>
        <v>2</v>
      </c>
      <c r="AQ1555" s="52" t="n">
        <f aca="false">IF(CL1555&gt;0,CL1555*MAX(1,AO1555/X1555),IF(BW1555=1,IF(AO1555&lt;=0,0,CA1555*MAX(1,IF(H1555&gt;0,AO1555/H1555,1))),IF(R1555&gt;0,AP1555/R1555,0))/MAX(0.1,N(Parameter!$M$21)))</f>
        <v>0.0769230769230769</v>
      </c>
      <c r="AR1555" s="50" t="n">
        <f aca="false">AQ1555*BY1555</f>
        <v>11.9230769230769</v>
      </c>
      <c r="AS1555" s="50" t="n">
        <f aca="false">AO1555*G1555</f>
        <v>788.4</v>
      </c>
      <c r="AT1555" s="50" t="n">
        <f aca="false">ROUNDUP(MAX(J1555/IF(CD1555&gt;0,CD1555,MAX(0.1,N(Cockpit!$I$6))),CG1555)/BV1555,0)*BV1555</f>
        <v>18</v>
      </c>
      <c r="AU1555" s="51" t="n">
        <f aca="false">IF(AR1555&gt;0,J1555/AR1555,-1)</f>
        <v>0</v>
      </c>
      <c r="AV1555" s="51" t="n">
        <f aca="false">IF(AND(OR(CC1555="L1",CC1555="L23",CC1555="LIFT"),AR1555&gt;0),SUMIFS($AR$7:$AR$1843,$CC$7:$CC$1843,CC1555,$AU$7:$AU$1843,"&gt;"&amp;AU1555)+SUMIFS($AR$7:$AR$1843,$CC$7:$CC$1843,CC1555,$AU$7:$AU$1843,AU1555,$BT$7:$BT$1843,"&lt;="&amp;BT1555),"")</f>
        <v>42611.5692918193</v>
      </c>
      <c r="AW1555" s="58" t="n">
        <f aca="false">IF(AV1555="",0,MAX(0,MIN(1,(IF(CC1555="L1",Parameter!$H$5,IF(CC1555="L23",Parameter!$H$6+Parameter!$H$7,Parameter!$H$5+Parameter!$H$6+Parameter!$H$7))-(AV1555-AR1555))/AR1555)))</f>
        <v>0</v>
      </c>
      <c r="AX1555" s="50" t="n">
        <f aca="false">IF(LEFT(Cockpit!$O$5,1)="A",H1555,IF(CE1555=1,CF1555,IF(LEFT(Cockpit!$O$5,1)="B",BC1555,MAX(BC1555,H1555))))</f>
        <v>18</v>
      </c>
      <c r="AY1555" s="50" t="n">
        <f aca="false">IF(BW1555=1,0,ROUNDUP(AX1555/BV1555,0))</f>
        <v>2</v>
      </c>
      <c r="AZ1555" s="52" t="n">
        <f aca="false">IF(CL1555&gt;0,CL1555*MAX(1,AX1555/X1555),IF(BW1555=1,IF(AX1555&lt;=0,0,CA1555*MAX(1,IF(H1555&gt;0,AX1555/H1555,1))),IF(R1555&gt;0,AY1555/R1555,0))/MAX(0.1,N(Parameter!$M$21)))</f>
        <v>0.0769230769230769</v>
      </c>
      <c r="BA1555" s="50" t="n">
        <f aca="false">AZ1555*BY1555</f>
        <v>11.9230769230769</v>
      </c>
      <c r="BB1555" s="50" t="n">
        <f aca="false">AX1555*G1555</f>
        <v>788.4</v>
      </c>
      <c r="BC1555" s="50" t="n">
        <f aca="false">ROUNDUP(MAX(J1555/IF(CD1555&gt;0,CD1555,MAX(0.1,N(Cockpit!$O$6))),CG1555)/BV1555,0)*BV1555</f>
        <v>18</v>
      </c>
      <c r="BD1555" s="51" t="n">
        <f aca="false">IF(BA1555&gt;0,J1555/BA1555,-1)</f>
        <v>0</v>
      </c>
      <c r="BE1555" s="51" t="n">
        <f aca="false">IF(AND(OR(CC1555="L1",CC1555="L23",CC1555="LIFT"),BA1555&gt;0),SUMIFS($BA$7:$BA$1843,$CC$7:$CC$1843,CC1555,$BD$7:$BD$1843,"&gt;"&amp;BD1555)+SUMIFS($BA$7:$BA$1843,$CC$7:$CC$1843,CC1555,$BD$7:$BD$1843,BD1555,$BT$7:$BT$1843,"&lt;="&amp;BT1555),"")</f>
        <v>39286.5813336852</v>
      </c>
      <c r="BF1555" s="58" t="n">
        <f aca="false">IF(BE1555="",0,MAX(0,MIN(1,(IF(CC1555="L1",Parameter!$H$5,IF(CC1555="L23",Parameter!$H$6+Parameter!$H$7,Parameter!$H$5+Parameter!$H$6+Parameter!$H$7))-(BE1555-BA1555))/BA1555)))</f>
        <v>0</v>
      </c>
      <c r="BG1555" s="48" t="str">
        <f aca="false">IF(AI1555&lt;=0,"",IF(CC1555="Aussen","Aussenlager",IF(CC1555="-","Nicht im Lift",IF(AN1555&gt;=1,"Lift",IF(AN1555&lt;=0,"Aussenlager","teilweise")))))</f>
        <v>Lift</v>
      </c>
      <c r="BH1555" s="48" t="str">
        <f aca="false">IF(AR1555&lt;=0,"",IF(CC1555="Aussen","Aussenlager",IF(CC1555="-","Nicht im Lift",IF(AW1555&gt;=1,"Lift",IF(AW1555&lt;=0,"Aussenlager","teilweise")))))</f>
        <v>Aussenlager</v>
      </c>
      <c r="BI1555" s="48" t="str">
        <f aca="false">IF(BA1555&lt;=0,"",IF(CC1555="Aussen","Aussenlager",IF(CC1555="-","Nicht im Lift",IF(BF1555&gt;=1,"Lift",IF(BF1555&lt;=0,"Aussenlager","teilweise")))))</f>
        <v>Aussenlager</v>
      </c>
      <c r="BJ1555" s="48" t="str">
        <f aca="false">IF(A1555="","",IF(BS1555=1,"Neu; ","")&amp;IF(AND(BS1555=0,BN1555&lt;0),"negativer Bestand (Export "&amp;BN1555&amp;"); ","")&amp;IF(J1555&lt;=0,"Kein Verbrauch; ","")&amp;IF(CL1555&gt;0,"Lift "&amp;W1555&amp;" lt. Liftbericht (Fach "&amp;X1555&amp;" Stk); ",IF(BX1555=1,"Gebinde geschätzt ("&amp;T1555&amp;"); ",IF(BW1555=1,"Lose – Tablare geschätzt; ","")))&amp;IF(H1555&gt;AT1555,"Überbestand "&amp;ROUND(H1555-AT1555,0)&amp;" Stk / CHF "&amp;ROUND((H1555-AT1555)*G1555,0)&amp;"; ","")&amp;IF(AND(CE1555=1,CF1555&lt;CG1555),"MAX &lt; MB+LG; ","")&amp;IF(AND(CK1555&gt;0,CJ1555*10&gt;CK1555),"zu hoch für Tablar; ","")&amp;IF(AND(BS1555=0,OR(CE1555=1,AA1555&lt;&gt;"",U1555&lt;&gt;"",V1555&lt;&gt;"",AB1555&lt;&gt;"")),"manuell übersteuert; ","")&amp;IF(AND(BW1555=0,R1555=0),"Gebinde unbekannt / Stellmass fehlt; ","")&amp;IF(AND(BW1555=0,N(V1555)&lt;=0,N(Q1555)&lt;=0),"Menge pro Gebinde fehlt (Ist = 1 Gebinde); ","")&amp;BR1555)</f>
        <v>Kein Verbrauch; nur im Artikelstamm (Bestand 23.06.2026)</v>
      </c>
      <c r="BK1555" s="48"/>
      <c r="BL1555" s="48"/>
      <c r="BM1555" s="55"/>
      <c r="BN1555" s="50" t="n">
        <v>9</v>
      </c>
      <c r="BO1555" s="50" t="n">
        <v>0</v>
      </c>
      <c r="BP1555" s="49" t="n">
        <v>0</v>
      </c>
      <c r="BQ1555" s="50" t="n">
        <v>0</v>
      </c>
      <c r="BR1555" s="48" t="s">
        <v>2579</v>
      </c>
      <c r="BS1555" s="53" t="n">
        <v>0</v>
      </c>
      <c r="BT1555" s="53" t="n">
        <v>1555</v>
      </c>
      <c r="BU1555" s="48" t="str">
        <f aca="false">IF(U1555&lt;&gt;"",UPPER(TRIM(U1555)),IF(BX1555=1,UPPER(VLOOKUP(T1555,Parameter!$I$27:$K$29,2,0)),IF(P1555="","LOSE",P1555)))</f>
        <v>S51</v>
      </c>
      <c r="BV1555" s="50" t="n">
        <f aca="false">IF(BU1555="LOSE",1,IF(N(V1555)&gt;0,V1555,IF(BX1555=1,MAX(1,N(VLOOKUP(T1555,Parameter!$I$27:$K$29,3,0)),H1555,N(N1555)),IF(N(Q1555)&gt;0,Q1555,MAX(1,H1555)))))</f>
        <v>9</v>
      </c>
      <c r="BW1555" s="53" t="n">
        <f aca="false">IF(BU1555="LOSE",1,0)</f>
        <v>0</v>
      </c>
      <c r="BX1555" s="53" t="n">
        <f aca="false">IF(AND(U1555="",OR(P1555="",P1555="LOSE"),T1555&lt;&gt;"",N(S1555)&lt;=0,ISNUMBER(MATCH(T1555,Parameter!$I$27:$I$29,0))),1,0)</f>
        <v>0</v>
      </c>
      <c r="BY1555" s="53" t="n">
        <f aca="false">IF(CL1555&gt;0,INDEX(Parameter!$H$5:$H$7,W1555)/INDEX(Parameter!$E$5:$E$7,W1555),IF(AND(BW1555=0,N(IFERROR(VLOOKUP(BU1555,'Gebinde-Kategorie'!$A$5:$N$45,14,0),0))&gt;0),VLOOKUP(BU1555,'Gebinde-Kategorie'!$A$5:$N$45,14,0)*10+Parameter!$M$23,Parameter!$M$24))</f>
        <v>155</v>
      </c>
      <c r="BZ1555" s="48" t="str">
        <f aca="false">IF(AND(Parameter!$B$19="Ja",E1555&lt;&gt;"",ISNUMBER(MATCH(E1555,Parameter!$I$35:$I$52,0))),VLOOKUP(E1555,Parameter!$I$35:$J$52,2,0),IFERROR(VLOOKUP(D1555,Parameter!$A$35:$C$64,2,0),"Nein"))</f>
        <v>2+3</v>
      </c>
      <c r="CA1555" s="52" t="n">
        <f aca="false">IF(BW1555=0,0,IF(N(S1555)&gt;0,S1555,IFERROR(VLOOKUP(D1555,Parameter!$A$35:$C$64,3,0)+0,0)))</f>
        <v>0</v>
      </c>
      <c r="CB1555" s="48" t="n">
        <f aca="false">IF(AA1555&lt;&gt;"",AA1555,Z1555)</f>
        <v>3</v>
      </c>
      <c r="CC1555" s="48" t="str">
        <f aca="false">IF(OR(CB1555=1,CB1555=2,CB1555=3),IF(Parameter!$E$27="Ja","LIFT",IF(CB1555=1,"L1","L23")),IF(CB1555="Aussen","Aussen","-"))</f>
        <v>LIFT</v>
      </c>
      <c r="CD1555" s="59" t="n">
        <f aca="false">IF(N(AB1555)&gt;0,AB1555,0)</f>
        <v>0</v>
      </c>
      <c r="CE1555" s="53" t="n">
        <f aca="false">IF(ISNUMBER(AE1555),1,0)</f>
        <v>0</v>
      </c>
      <c r="CF1555" s="50" t="n">
        <f aca="false">N(AE1555)</f>
        <v>0</v>
      </c>
      <c r="CG1555" s="50" t="n">
        <f aca="false">N(M1555)+N(N1555)</f>
        <v>10</v>
      </c>
      <c r="CH1555" s="50" t="n">
        <f aca="false">ROUNDUP(H1555/BV1555,0)</f>
        <v>1</v>
      </c>
      <c r="CI1555" s="50" t="n">
        <f aca="false">ROUNDUP(CF1555/BV1555,0)</f>
        <v>0</v>
      </c>
      <c r="CJ1555" s="53" t="n">
        <f aca="false">IF(BW1555=1,0,IFERROR(VLOOKUP(BU1555,'Gebinde-Kategorie'!$A$5:$N$45,5,0)+0,0))</f>
        <v>11</v>
      </c>
      <c r="CK1555" s="53" t="n">
        <f aca="false">IFERROR(IF(OR(CB1555=1,CB1555=2,CB1555=3),N(INDEX(Parameter!$I$5:$I$7,CB1555)),0),0)</f>
        <v>0</v>
      </c>
      <c r="CL1555" s="52" t="n">
        <f aca="false">IF(AND(Parameter!$B$21="Ja",ISNUMBER(W1555),N(X1555)&gt;0),IFERROR(N(INDEX(Parameter!$L$5:$L$7,W1555))*INDEX(Parameter!$E$5:$E$7,W1555)*X1555/SUMIFS($X$7:$X$1843,$W$7:$W$1843,W1555),0),0)</f>
        <v>0</v>
      </c>
    </row>
    <row r="1556" customFormat="false" ht="15" hidden="false" customHeight="false" outlineLevel="0" collapsed="false">
      <c r="A1556" s="48" t="s">
        <v>2722</v>
      </c>
      <c r="B1556" s="48" t="s">
        <v>524</v>
      </c>
      <c r="C1556" s="48" t="s">
        <v>168</v>
      </c>
      <c r="D1556" s="48" t="s">
        <v>188</v>
      </c>
      <c r="E1556" s="48" t="s">
        <v>189</v>
      </c>
      <c r="F1556" s="48"/>
      <c r="G1556" s="49" t="n">
        <v>27.17</v>
      </c>
      <c r="H1556" s="50" t="n">
        <f aca="false">MAX(0,IF(AND(Parameter!$B$21="Ja",ISNUMBER(Y1556)),Y1556,IF(Parameter!$B$20="Jahresanfang 2025 + Export",BO1556+BN1556,BN1556)))</f>
        <v>54</v>
      </c>
      <c r="I1556" s="50" t="n">
        <f aca="false">H1556*G1556</f>
        <v>1467.18</v>
      </c>
      <c r="J1556" s="50" t="n">
        <f aca="false">BQ1556*Parameter!$B$18</f>
        <v>0</v>
      </c>
      <c r="K1556" s="51"/>
      <c r="L1556" s="52"/>
      <c r="M1556" s="50" t="n">
        <v>0</v>
      </c>
      <c r="N1556" s="50" t="n">
        <v>20</v>
      </c>
      <c r="O1556" s="53" t="n">
        <v>56</v>
      </c>
      <c r="P1556" s="48" t="s">
        <v>480</v>
      </c>
      <c r="Q1556" s="50" t="n">
        <v>54</v>
      </c>
      <c r="R1556" s="53" t="n">
        <f aca="false">IF(BW1556=1,0,IFERROR(VLOOKUP(BU1556,'Gebinde-Kategorie'!$A$5:$N$45,13,0)+0,0))</f>
        <v>52</v>
      </c>
      <c r="S1556" s="54"/>
      <c r="T1556" s="55"/>
      <c r="U1556" s="55"/>
      <c r="V1556" s="55"/>
      <c r="W1556" s="48"/>
      <c r="X1556" s="50"/>
      <c r="Y1556" s="50"/>
      <c r="Z1556" s="48" t="n">
        <f aca="false">IF(A1556="","",IF(AND(Parameter!$B$21="Ja",ISNUMBER(W1556)),W1556,IF(BZ1556="2+3",IF(ISNUMBER(SEARCH("grosser Artikel",BR1556)),2,IFERROR(VLOOKUP(BU1556,Parameter!$F$35:$G$64,2,0),2)),IF(OR(BZ1556="Nein",BZ1556=""),"-",BZ1556))))</f>
        <v>3</v>
      </c>
      <c r="AA1556" s="55"/>
      <c r="AB1556" s="56"/>
      <c r="AC1556" s="50" t="n">
        <f aca="false">AT1556</f>
        <v>54</v>
      </c>
      <c r="AD1556" s="50" t="n">
        <f aca="false">MAX(AT1556,H1556)</f>
        <v>54</v>
      </c>
      <c r="AE1556" s="57"/>
      <c r="AF1556" s="50" t="n">
        <f aca="false">IF(LEFT(Cockpit!$C$5,1)="A",H1556,IF(CE1556=1,CF1556,IF(LEFT(Cockpit!$C$5,1)="B",AK1556,MAX(AK1556,H1556))))</f>
        <v>54</v>
      </c>
      <c r="AG1556" s="50" t="n">
        <f aca="false">IF(BW1556=1,0,ROUNDUP(AF1556/BV1556,0))</f>
        <v>1</v>
      </c>
      <c r="AH1556" s="52" t="n">
        <f aca="false">IF(CL1556&gt;0,CL1556*MAX(1,AF1556/X1556),IF(BW1556=1,IF(AF1556&lt;=0,0,CA1556*MAX(1,IF(H1556&gt;0,AF1556/H1556,1))),IF(R1556&gt;0,AG1556/R1556,0))/MAX(0.1,N(Parameter!$M$21)))</f>
        <v>0.0192307692307692</v>
      </c>
      <c r="AI1556" s="50" t="n">
        <f aca="false">AH1556*BY1556</f>
        <v>2.98076923076923</v>
      </c>
      <c r="AJ1556" s="50" t="n">
        <f aca="false">AF1556*G1556</f>
        <v>1467.18</v>
      </c>
      <c r="AK1556" s="50" t="n">
        <f aca="false">ROUNDUP(MAX(J1556/IF(CD1556&gt;0,CD1556,MAX(0.1,N(Cockpit!$C$6))),CG1556)/BV1556,0)*BV1556</f>
        <v>54</v>
      </c>
      <c r="AL1556" s="51" t="n">
        <f aca="false">IF(AI1556&gt;0,J1556/AI1556,-1)</f>
        <v>0</v>
      </c>
      <c r="AM1556" s="51" t="n">
        <f aca="false">IF(AND(OR(CC1556="L1",CC1556="L23",CC1556="LIFT"),AI1556&gt;0),SUMIFS($AI$7:$AI$1843,$CC$7:$CC$1843,CC1556,$AL$7:$AL$1843,"&gt;"&amp;AL1556)+SUMIFS($AI$7:$AI$1843,$CC$7:$CC$1843,CC1556,$AL$7:$AL$1843,AL1556,$BT$7:$BT$1843,"&lt;="&amp;BT1556),"")</f>
        <v>30252.6477489083</v>
      </c>
      <c r="AN1556" s="58" t="n">
        <f aca="false">IF(AM1556="",0,MAX(0,MIN(1,(IF(CC1556="L1",Parameter!$H$5,IF(CC1556="L23",Parameter!$H$6+Parameter!$H$7,Parameter!$H$5+Parameter!$H$6+Parameter!$H$7))-(AM1556-AI1556))/AI1556)))</f>
        <v>1</v>
      </c>
      <c r="AO1556" s="50" t="n">
        <f aca="false">IF(LEFT(Cockpit!$I$5,1)="A",H1556,IF(CE1556=1,CF1556,IF(LEFT(Cockpit!$I$5,1)="B",AT1556,MAX(AT1556,H1556))))</f>
        <v>54</v>
      </c>
      <c r="AP1556" s="50" t="n">
        <f aca="false">IF(BW1556=1,0,ROUNDUP(AO1556/BV1556,0))</f>
        <v>1</v>
      </c>
      <c r="AQ1556" s="52" t="n">
        <f aca="false">IF(CL1556&gt;0,CL1556*MAX(1,AO1556/X1556),IF(BW1556=1,IF(AO1556&lt;=0,0,CA1556*MAX(1,IF(H1556&gt;0,AO1556/H1556,1))),IF(R1556&gt;0,AP1556/R1556,0))/MAX(0.1,N(Parameter!$M$21)))</f>
        <v>0.0192307692307692</v>
      </c>
      <c r="AR1556" s="50" t="n">
        <f aca="false">AQ1556*BY1556</f>
        <v>2.98076923076923</v>
      </c>
      <c r="AS1556" s="50" t="n">
        <f aca="false">AO1556*G1556</f>
        <v>1467.18</v>
      </c>
      <c r="AT1556" s="50" t="n">
        <f aca="false">ROUNDUP(MAX(J1556/IF(CD1556&gt;0,CD1556,MAX(0.1,N(Cockpit!$I$6))),CG1556)/BV1556,0)*BV1556</f>
        <v>54</v>
      </c>
      <c r="AU1556" s="51" t="n">
        <f aca="false">IF(AR1556&gt;0,J1556/AR1556,-1)</f>
        <v>0</v>
      </c>
      <c r="AV1556" s="51" t="n">
        <f aca="false">IF(AND(OR(CC1556="L1",CC1556="L23",CC1556="LIFT"),AR1556&gt;0),SUMIFS($AR$7:$AR$1843,$CC$7:$CC$1843,CC1556,$AU$7:$AU$1843,"&gt;"&amp;AU1556)+SUMIFS($AR$7:$AR$1843,$CC$7:$CC$1843,CC1556,$AU$7:$AU$1843,AU1556,$BT$7:$BT$1843,"&lt;="&amp;BT1556),"")</f>
        <v>42614.5500610501</v>
      </c>
      <c r="AW1556" s="58" t="n">
        <f aca="false">IF(AV1556="",0,MAX(0,MIN(1,(IF(CC1556="L1",Parameter!$H$5,IF(CC1556="L23",Parameter!$H$6+Parameter!$H$7,Parameter!$H$5+Parameter!$H$6+Parameter!$H$7))-(AV1556-AR1556))/AR1556)))</f>
        <v>0</v>
      </c>
      <c r="AX1556" s="50" t="n">
        <f aca="false">IF(LEFT(Cockpit!$O$5,1)="A",H1556,IF(CE1556=1,CF1556,IF(LEFT(Cockpit!$O$5,1)="B",BC1556,MAX(BC1556,H1556))))</f>
        <v>54</v>
      </c>
      <c r="AY1556" s="50" t="n">
        <f aca="false">IF(BW1556=1,0,ROUNDUP(AX1556/BV1556,0))</f>
        <v>1</v>
      </c>
      <c r="AZ1556" s="52" t="n">
        <f aca="false">IF(CL1556&gt;0,CL1556*MAX(1,AX1556/X1556),IF(BW1556=1,IF(AX1556&lt;=0,0,CA1556*MAX(1,IF(H1556&gt;0,AX1556/H1556,1))),IF(R1556&gt;0,AY1556/R1556,0))/MAX(0.1,N(Parameter!$M$21)))</f>
        <v>0.0192307692307692</v>
      </c>
      <c r="BA1556" s="50" t="n">
        <f aca="false">AZ1556*BY1556</f>
        <v>2.98076923076923</v>
      </c>
      <c r="BB1556" s="50" t="n">
        <f aca="false">AX1556*G1556</f>
        <v>1467.18</v>
      </c>
      <c r="BC1556" s="50" t="n">
        <f aca="false">ROUNDUP(MAX(J1556/IF(CD1556&gt;0,CD1556,MAX(0.1,N(Cockpit!$O$6))),CG1556)/BV1556,0)*BV1556</f>
        <v>54</v>
      </c>
      <c r="BD1556" s="51" t="n">
        <f aca="false">IF(BA1556&gt;0,J1556/BA1556,-1)</f>
        <v>0</v>
      </c>
      <c r="BE1556" s="51" t="n">
        <f aca="false">IF(AND(OR(CC1556="L1",CC1556="L23",CC1556="LIFT"),BA1556&gt;0),SUMIFS($BA$7:$BA$1843,$CC$7:$CC$1843,CC1556,$BD$7:$BD$1843,"&gt;"&amp;BD1556)+SUMIFS($BA$7:$BA$1843,$CC$7:$CC$1843,CC1556,$BD$7:$BD$1843,BD1556,$BT$7:$BT$1843,"&lt;="&amp;BT1556),"")</f>
        <v>39289.5621029159</v>
      </c>
      <c r="BF1556" s="58" t="n">
        <f aca="false">IF(BE1556="",0,MAX(0,MIN(1,(IF(CC1556="L1",Parameter!$H$5,IF(CC1556="L23",Parameter!$H$6+Parameter!$H$7,Parameter!$H$5+Parameter!$H$6+Parameter!$H$7))-(BE1556-BA1556))/BA1556)))</f>
        <v>0</v>
      </c>
      <c r="BG1556" s="48" t="str">
        <f aca="false">IF(AI1556&lt;=0,"",IF(CC1556="Aussen","Aussenlager",IF(CC1556="-","Nicht im Lift",IF(AN1556&gt;=1,"Lift",IF(AN1556&lt;=0,"Aussenlager","teilweise")))))</f>
        <v>Lift</v>
      </c>
      <c r="BH1556" s="48" t="str">
        <f aca="false">IF(AR1556&lt;=0,"",IF(CC1556="Aussen","Aussenlager",IF(CC1556="-","Nicht im Lift",IF(AW1556&gt;=1,"Lift",IF(AW1556&lt;=0,"Aussenlager","teilweise")))))</f>
        <v>Aussenlager</v>
      </c>
      <c r="BI1556" s="48" t="str">
        <f aca="false">IF(BA1556&lt;=0,"",IF(CC1556="Aussen","Aussenlager",IF(CC1556="-","Nicht im Lift",IF(BF1556&gt;=1,"Lift",IF(BF1556&lt;=0,"Aussenlager","teilweise")))))</f>
        <v>Aussenlager</v>
      </c>
      <c r="BJ1556" s="48" t="str">
        <f aca="false">IF(A1556="","",IF(BS1556=1,"Neu; ","")&amp;IF(AND(BS1556=0,BN1556&lt;0),"negativer Bestand (Export "&amp;BN1556&amp;"); ","")&amp;IF(J1556&lt;=0,"Kein Verbrauch; ","")&amp;IF(CL1556&gt;0,"Lift "&amp;W1556&amp;" lt. Liftbericht (Fach "&amp;X1556&amp;" Stk); ",IF(BX1556=1,"Gebinde geschätzt ("&amp;T1556&amp;"); ",IF(BW1556=1,"Lose – Tablare geschätzt; ","")))&amp;IF(H1556&gt;AT1556,"Überbestand "&amp;ROUND(H1556-AT1556,0)&amp;" Stk / CHF "&amp;ROUND((H1556-AT1556)*G1556,0)&amp;"; ","")&amp;IF(AND(CE1556=1,CF1556&lt;CG1556),"MAX &lt; MB+LG; ","")&amp;IF(AND(CK1556&gt;0,CJ1556*10&gt;CK1556),"zu hoch für Tablar; ","")&amp;IF(AND(BS1556=0,OR(CE1556=1,AA1556&lt;&gt;"",U1556&lt;&gt;"",V1556&lt;&gt;"",AB1556&lt;&gt;"")),"manuell übersteuert; ","")&amp;IF(AND(BW1556=0,R1556=0),"Gebinde unbekannt / Stellmass fehlt; ","")&amp;IF(AND(BW1556=0,N(V1556)&lt;=0,N(Q1556)&lt;=0),"Menge pro Gebinde fehlt (Ist = 1 Gebinde); ","")&amp;BR1556)</f>
        <v>Kein Verbrauch; nur im Artikelstamm (Bestand 23.06.2026)</v>
      </c>
      <c r="BK1556" s="48"/>
      <c r="BL1556" s="48"/>
      <c r="BM1556" s="55"/>
      <c r="BN1556" s="50" t="n">
        <v>54</v>
      </c>
      <c r="BO1556" s="50" t="n">
        <v>0</v>
      </c>
      <c r="BP1556" s="49" t="n">
        <v>0</v>
      </c>
      <c r="BQ1556" s="50" t="n">
        <v>0</v>
      </c>
      <c r="BR1556" s="48" t="s">
        <v>2579</v>
      </c>
      <c r="BS1556" s="53" t="n">
        <v>0</v>
      </c>
      <c r="BT1556" s="53" t="n">
        <v>1556</v>
      </c>
      <c r="BU1556" s="48" t="str">
        <f aca="false">IF(U1556&lt;&gt;"",UPPER(TRIM(U1556)),IF(BX1556=1,UPPER(VLOOKUP(T1556,Parameter!$I$27:$K$29,2,0)),IF(P1556="","LOSE",P1556)))</f>
        <v>S33</v>
      </c>
      <c r="BV1556" s="50" t="n">
        <f aca="false">IF(BU1556="LOSE",1,IF(N(V1556)&gt;0,V1556,IF(BX1556=1,MAX(1,N(VLOOKUP(T1556,Parameter!$I$27:$K$29,3,0)),H1556,N(N1556)),IF(N(Q1556)&gt;0,Q1556,MAX(1,H1556)))))</f>
        <v>54</v>
      </c>
      <c r="BW1556" s="53" t="n">
        <f aca="false">IF(BU1556="LOSE",1,0)</f>
        <v>0</v>
      </c>
      <c r="BX1556" s="53" t="n">
        <f aca="false">IF(AND(U1556="",OR(P1556="",P1556="LOSE"),T1556&lt;&gt;"",N(S1556)&lt;=0,ISNUMBER(MATCH(T1556,Parameter!$I$27:$I$29,0))),1,0)</f>
        <v>0</v>
      </c>
      <c r="BY1556" s="53" t="n">
        <f aca="false">IF(CL1556&gt;0,INDEX(Parameter!$H$5:$H$7,W1556)/INDEX(Parameter!$E$5:$E$7,W1556),IF(AND(BW1556=0,N(IFERROR(VLOOKUP(BU1556,'Gebinde-Kategorie'!$A$5:$N$45,14,0),0))&gt;0),VLOOKUP(BU1556,'Gebinde-Kategorie'!$A$5:$N$45,14,0)*10+Parameter!$M$23,Parameter!$M$24))</f>
        <v>155</v>
      </c>
      <c r="BZ1556" s="48" t="str">
        <f aca="false">IF(AND(Parameter!$B$19="Ja",E1556&lt;&gt;"",ISNUMBER(MATCH(E1556,Parameter!$I$35:$I$52,0))),VLOOKUP(E1556,Parameter!$I$35:$J$52,2,0),IFERROR(VLOOKUP(D1556,Parameter!$A$35:$C$64,2,0),"Nein"))</f>
        <v>2+3</v>
      </c>
      <c r="CA1556" s="52" t="n">
        <f aca="false">IF(BW1556=0,0,IF(N(S1556)&gt;0,S1556,IFERROR(VLOOKUP(D1556,Parameter!$A$35:$C$64,3,0)+0,0)))</f>
        <v>0</v>
      </c>
      <c r="CB1556" s="48" t="n">
        <f aca="false">IF(AA1556&lt;&gt;"",AA1556,Z1556)</f>
        <v>3</v>
      </c>
      <c r="CC1556" s="48" t="str">
        <f aca="false">IF(OR(CB1556=1,CB1556=2,CB1556=3),IF(Parameter!$E$27="Ja","LIFT",IF(CB1556=1,"L1","L23")),IF(CB1556="Aussen","Aussen","-"))</f>
        <v>LIFT</v>
      </c>
      <c r="CD1556" s="59" t="n">
        <f aca="false">IF(N(AB1556)&gt;0,AB1556,0)</f>
        <v>0</v>
      </c>
      <c r="CE1556" s="53" t="n">
        <f aca="false">IF(ISNUMBER(AE1556),1,0)</f>
        <v>0</v>
      </c>
      <c r="CF1556" s="50" t="n">
        <f aca="false">N(AE1556)</f>
        <v>0</v>
      </c>
      <c r="CG1556" s="50" t="n">
        <f aca="false">N(M1556)+N(N1556)</f>
        <v>20</v>
      </c>
      <c r="CH1556" s="50" t="n">
        <f aca="false">ROUNDUP(H1556/BV1556,0)</f>
        <v>1</v>
      </c>
      <c r="CI1556" s="50" t="n">
        <f aca="false">ROUNDUP(CF1556/BV1556,0)</f>
        <v>0</v>
      </c>
      <c r="CJ1556" s="53" t="n">
        <f aca="false">IF(BW1556=1,0,IFERROR(VLOOKUP(BU1556,'Gebinde-Kategorie'!$A$5:$N$45,5,0)+0,0))</f>
        <v>8</v>
      </c>
      <c r="CK1556" s="53" t="n">
        <f aca="false">IFERROR(IF(OR(CB1556=1,CB1556=2,CB1556=3),N(INDEX(Parameter!$I$5:$I$7,CB1556)),0),0)</f>
        <v>0</v>
      </c>
      <c r="CL1556" s="52" t="n">
        <f aca="false">IF(AND(Parameter!$B$21="Ja",ISNUMBER(W1556),N(X1556)&gt;0),IFERROR(N(INDEX(Parameter!$L$5:$L$7,W1556))*INDEX(Parameter!$E$5:$E$7,W1556)*X1556/SUMIFS($X$7:$X$1843,$W$7:$W$1843,W1556),0),0)</f>
        <v>0</v>
      </c>
    </row>
    <row r="1557" customFormat="false" ht="15" hidden="false" customHeight="false" outlineLevel="0" collapsed="false">
      <c r="A1557" s="48" t="s">
        <v>2723</v>
      </c>
      <c r="B1557" s="48" t="s">
        <v>2724</v>
      </c>
      <c r="C1557" s="48" t="s">
        <v>168</v>
      </c>
      <c r="D1557" s="48" t="s">
        <v>188</v>
      </c>
      <c r="E1557" s="48"/>
      <c r="F1557" s="48"/>
      <c r="G1557" s="49" t="n">
        <v>48.77</v>
      </c>
      <c r="H1557" s="50" t="n">
        <f aca="false">MAX(0,IF(AND(Parameter!$B$21="Ja",ISNUMBER(Y1557)),Y1557,IF(Parameter!$B$20="Jahresanfang 2025 + Export",BO1557+BN1557,BN1557)))</f>
        <v>5</v>
      </c>
      <c r="I1557" s="50" t="n">
        <f aca="false">H1557*G1557</f>
        <v>243.85</v>
      </c>
      <c r="J1557" s="50" t="n">
        <f aca="false">BQ1557*Parameter!$B$18</f>
        <v>0</v>
      </c>
      <c r="K1557" s="51"/>
      <c r="L1557" s="52"/>
      <c r="M1557" s="50" t="n">
        <v>0</v>
      </c>
      <c r="N1557" s="50" t="n">
        <v>1</v>
      </c>
      <c r="O1557" s="53" t="n">
        <v>0</v>
      </c>
      <c r="P1557" s="48" t="s">
        <v>172</v>
      </c>
      <c r="Q1557" s="50"/>
      <c r="R1557" s="53" t="n">
        <f aca="false">IF(BW1557=1,0,IFERROR(VLOOKUP(BU1557,'Gebinde-Kategorie'!$A$5:$N$45,13,0)+0,0))</f>
        <v>26</v>
      </c>
      <c r="S1557" s="54"/>
      <c r="T1557" s="55" t="s">
        <v>279</v>
      </c>
      <c r="U1557" s="55"/>
      <c r="V1557" s="55"/>
      <c r="W1557" s="48"/>
      <c r="X1557" s="50"/>
      <c r="Y1557" s="50"/>
      <c r="Z1557" s="48" t="n">
        <f aca="false">IF(A1557="","",IF(AND(Parameter!$B$21="Ja",ISNUMBER(W1557)),W1557,IF(BZ1557="2+3",IF(ISNUMBER(SEARCH("grosser Artikel",BR1557)),2,IFERROR(VLOOKUP(BU1557,Parameter!$F$35:$G$64,2,0),2)),IF(OR(BZ1557="Nein",BZ1557=""),"-",BZ1557))))</f>
        <v>3</v>
      </c>
      <c r="AA1557" s="55"/>
      <c r="AB1557" s="56"/>
      <c r="AC1557" s="50" t="n">
        <f aca="false">AT1557</f>
        <v>20</v>
      </c>
      <c r="AD1557" s="50" t="n">
        <f aca="false">MAX(AT1557,H1557)</f>
        <v>20</v>
      </c>
      <c r="AE1557" s="57"/>
      <c r="AF1557" s="50" t="n">
        <f aca="false">IF(LEFT(Cockpit!$C$5,1)="A",H1557,IF(CE1557=1,CF1557,IF(LEFT(Cockpit!$C$5,1)="B",AK1557,MAX(AK1557,H1557))))</f>
        <v>5</v>
      </c>
      <c r="AG1557" s="50" t="n">
        <f aca="false">IF(BW1557=1,0,ROUNDUP(AF1557/BV1557,0))</f>
        <v>1</v>
      </c>
      <c r="AH1557" s="52" t="n">
        <f aca="false">IF(CL1557&gt;0,CL1557*MAX(1,AF1557/X1557),IF(BW1557=1,IF(AF1557&lt;=0,0,CA1557*MAX(1,IF(H1557&gt;0,AF1557/H1557,1))),IF(R1557&gt;0,AG1557/R1557,0))/MAX(0.1,N(Parameter!$M$21)))</f>
        <v>0.0384615384615385</v>
      </c>
      <c r="AI1557" s="50" t="n">
        <f aca="false">AH1557*BY1557</f>
        <v>5.96153846153846</v>
      </c>
      <c r="AJ1557" s="50" t="n">
        <f aca="false">AF1557*G1557</f>
        <v>243.85</v>
      </c>
      <c r="AK1557" s="50" t="n">
        <f aca="false">ROUNDUP(MAX(J1557/IF(CD1557&gt;0,CD1557,MAX(0.1,N(Cockpit!$C$6))),CG1557)/BV1557,0)*BV1557</f>
        <v>20</v>
      </c>
      <c r="AL1557" s="51" t="n">
        <f aca="false">IF(AI1557&gt;0,J1557/AI1557,-1)</f>
        <v>0</v>
      </c>
      <c r="AM1557" s="51" t="n">
        <f aca="false">IF(AND(OR(CC1557="L1",CC1557="L23",CC1557="LIFT"),AI1557&gt;0),SUMIFS($AI$7:$AI$1843,$CC$7:$CC$1843,CC1557,$AL$7:$AL$1843,"&gt;"&amp;AL1557)+SUMIFS($AI$7:$AI$1843,$CC$7:$CC$1843,CC1557,$AL$7:$AL$1843,AL1557,$BT$7:$BT$1843,"&lt;="&amp;BT1557),"")</f>
        <v>30258.6092873699</v>
      </c>
      <c r="AN1557" s="58" t="n">
        <f aca="false">IF(AM1557="",0,MAX(0,MIN(1,(IF(CC1557="L1",Parameter!$H$5,IF(CC1557="L23",Parameter!$H$6+Parameter!$H$7,Parameter!$H$5+Parameter!$H$6+Parameter!$H$7))-(AM1557-AI1557))/AI1557)))</f>
        <v>1</v>
      </c>
      <c r="AO1557" s="50" t="n">
        <f aca="false">IF(LEFT(Cockpit!$I$5,1)="A",H1557,IF(CE1557=1,CF1557,IF(LEFT(Cockpit!$I$5,1)="B",AT1557,MAX(AT1557,H1557))))</f>
        <v>20</v>
      </c>
      <c r="AP1557" s="50" t="n">
        <f aca="false">IF(BW1557=1,0,ROUNDUP(AO1557/BV1557,0))</f>
        <v>1</v>
      </c>
      <c r="AQ1557" s="52" t="n">
        <f aca="false">IF(CL1557&gt;0,CL1557*MAX(1,AO1557/X1557),IF(BW1557=1,IF(AO1557&lt;=0,0,CA1557*MAX(1,IF(H1557&gt;0,AO1557/H1557,1))),IF(R1557&gt;0,AP1557/R1557,0))/MAX(0.1,N(Parameter!$M$21)))</f>
        <v>0.0384615384615385</v>
      </c>
      <c r="AR1557" s="50" t="n">
        <f aca="false">AQ1557*BY1557</f>
        <v>5.96153846153846</v>
      </c>
      <c r="AS1557" s="50" t="n">
        <f aca="false">AO1557*G1557</f>
        <v>975.4</v>
      </c>
      <c r="AT1557" s="50" t="n">
        <f aca="false">ROUNDUP(MAX(J1557/IF(CD1557&gt;0,CD1557,MAX(0.1,N(Cockpit!$I$6))),CG1557)/BV1557,0)*BV1557</f>
        <v>20</v>
      </c>
      <c r="AU1557" s="51" t="n">
        <f aca="false">IF(AR1557&gt;0,J1557/AR1557,-1)</f>
        <v>0</v>
      </c>
      <c r="AV1557" s="51" t="n">
        <f aca="false">IF(AND(OR(CC1557="L1",CC1557="L23",CC1557="LIFT"),AR1557&gt;0),SUMIFS($AR$7:$AR$1843,$CC$7:$CC$1843,CC1557,$AU$7:$AU$1843,"&gt;"&amp;AU1557)+SUMIFS($AR$7:$AR$1843,$CC$7:$CC$1843,CC1557,$AU$7:$AU$1843,AU1557,$BT$7:$BT$1843,"&lt;="&amp;BT1557),"")</f>
        <v>42620.5115995116</v>
      </c>
      <c r="AW1557" s="58" t="n">
        <f aca="false">IF(AV1557="",0,MAX(0,MIN(1,(IF(CC1557="L1",Parameter!$H$5,IF(CC1557="L23",Parameter!$H$6+Parameter!$H$7,Parameter!$H$5+Parameter!$H$6+Parameter!$H$7))-(AV1557-AR1557))/AR1557)))</f>
        <v>0</v>
      </c>
      <c r="AX1557" s="50" t="n">
        <f aca="false">IF(LEFT(Cockpit!$O$5,1)="A",H1557,IF(CE1557=1,CF1557,IF(LEFT(Cockpit!$O$5,1)="B",BC1557,MAX(BC1557,H1557))))</f>
        <v>20</v>
      </c>
      <c r="AY1557" s="50" t="n">
        <f aca="false">IF(BW1557=1,0,ROUNDUP(AX1557/BV1557,0))</f>
        <v>1</v>
      </c>
      <c r="AZ1557" s="52" t="n">
        <f aca="false">IF(CL1557&gt;0,CL1557*MAX(1,AX1557/X1557),IF(BW1557=1,IF(AX1557&lt;=0,0,CA1557*MAX(1,IF(H1557&gt;0,AX1557/H1557,1))),IF(R1557&gt;0,AY1557/R1557,0))/MAX(0.1,N(Parameter!$M$21)))</f>
        <v>0.0384615384615385</v>
      </c>
      <c r="BA1557" s="50" t="n">
        <f aca="false">AZ1557*BY1557</f>
        <v>5.96153846153846</v>
      </c>
      <c r="BB1557" s="50" t="n">
        <f aca="false">AX1557*G1557</f>
        <v>975.4</v>
      </c>
      <c r="BC1557" s="50" t="n">
        <f aca="false">ROUNDUP(MAX(J1557/IF(CD1557&gt;0,CD1557,MAX(0.1,N(Cockpit!$O$6))),CG1557)/BV1557,0)*BV1557</f>
        <v>20</v>
      </c>
      <c r="BD1557" s="51" t="n">
        <f aca="false">IF(BA1557&gt;0,J1557/BA1557,-1)</f>
        <v>0</v>
      </c>
      <c r="BE1557" s="51" t="n">
        <f aca="false">IF(AND(OR(CC1557="L1",CC1557="L23",CC1557="LIFT"),BA1557&gt;0),SUMIFS($BA$7:$BA$1843,$CC$7:$CC$1843,CC1557,$BD$7:$BD$1843,"&gt;"&amp;BD1557)+SUMIFS($BA$7:$BA$1843,$CC$7:$CC$1843,CC1557,$BD$7:$BD$1843,BD1557,$BT$7:$BT$1843,"&lt;="&amp;BT1557),"")</f>
        <v>39295.5236413775</v>
      </c>
      <c r="BF1557" s="58" t="n">
        <f aca="false">IF(BE1557="",0,MAX(0,MIN(1,(IF(CC1557="L1",Parameter!$H$5,IF(CC1557="L23",Parameter!$H$6+Parameter!$H$7,Parameter!$H$5+Parameter!$H$6+Parameter!$H$7))-(BE1557-BA1557))/BA1557)))</f>
        <v>0</v>
      </c>
      <c r="BG1557" s="48" t="str">
        <f aca="false">IF(AI1557&lt;=0,"",IF(CC1557="Aussen","Aussenlager",IF(CC1557="-","Nicht im Lift",IF(AN1557&gt;=1,"Lift",IF(AN1557&lt;=0,"Aussenlager","teilweise")))))</f>
        <v>Lift</v>
      </c>
      <c r="BH1557" s="48" t="str">
        <f aca="false">IF(AR1557&lt;=0,"",IF(CC1557="Aussen","Aussenlager",IF(CC1557="-","Nicht im Lift",IF(AW1557&gt;=1,"Lift",IF(AW1557&lt;=0,"Aussenlager","teilweise")))))</f>
        <v>Aussenlager</v>
      </c>
      <c r="BI1557" s="48" t="str">
        <f aca="false">IF(BA1557&lt;=0,"",IF(CC1557="Aussen","Aussenlager",IF(CC1557="-","Nicht im Lift",IF(BF1557&gt;=1,"Lift",IF(BF1557&lt;=0,"Aussenlager","teilweise")))))</f>
        <v>Aussenlager</v>
      </c>
      <c r="BJ1557" s="48" t="str">
        <f aca="false">IF(A1557="","",IF(BS1557=1,"Neu; ","")&amp;IF(AND(BS1557=0,BN1557&lt;0),"negativer Bestand (Export "&amp;BN1557&amp;"); ","")&amp;IF(J1557&lt;=0,"Kein Verbrauch; ","")&amp;IF(CL1557&gt;0,"Lift "&amp;W1557&amp;" lt. Liftbericht (Fach "&amp;X1557&amp;" Stk); ",IF(BX1557=1,"Gebinde geschätzt ("&amp;T1557&amp;"); ",IF(BW1557=1,"Lose – Tablare geschätzt; ","")))&amp;IF(H1557&gt;AT1557,"Überbestand "&amp;ROUND(H1557-AT1557,0)&amp;" Stk / CHF "&amp;ROUND((H1557-AT1557)*G1557,0)&amp;"; ","")&amp;IF(AND(CE1557=1,CF1557&lt;CG1557),"MAX &lt; MB+LG; ","")&amp;IF(AND(CK1557&gt;0,CJ1557*10&gt;CK1557),"zu hoch für Tablar; ","")&amp;IF(AND(BS1557=0,OR(CE1557=1,AA1557&lt;&gt;"",U1557&lt;&gt;"",V1557&lt;&gt;"",AB1557&lt;&gt;"")),"manuell übersteuert; ","")&amp;IF(AND(BW1557=0,R1557=0),"Gebinde unbekannt / Stellmass fehlt; ","")&amp;IF(AND(BW1557=0,N(V1557)&lt;=0,N(Q1557)&lt;=0),"Menge pro Gebinde fehlt (Ist = 1 Gebinde); ","")&amp;BR1557)</f>
        <v>Kein Verbrauch; Gebinde geschätzt (Klein); Menge pro Gebinde fehlt (Ist = 1 Gebinde); nur im Artikelstamm (Bestand 23.06.2026); Verb.Lager</v>
      </c>
      <c r="BK1557" s="48"/>
      <c r="BL1557" s="48"/>
      <c r="BM1557" s="55"/>
      <c r="BN1557" s="50" t="n">
        <v>5</v>
      </c>
      <c r="BO1557" s="50" t="n">
        <v>0</v>
      </c>
      <c r="BP1557" s="49" t="n">
        <v>0</v>
      </c>
      <c r="BQ1557" s="50" t="n">
        <v>0</v>
      </c>
      <c r="BR1557" s="48" t="s">
        <v>2573</v>
      </c>
      <c r="BS1557" s="53" t="n">
        <v>0</v>
      </c>
      <c r="BT1557" s="53" t="n">
        <v>1557</v>
      </c>
      <c r="BU1557" s="48" t="str">
        <f aca="false">IF(U1557&lt;&gt;"",UPPER(TRIM(U1557)),IF(BX1557=1,UPPER(VLOOKUP(T1557,Parameter!$I$27:$K$29,2,0)),IF(P1557="","LOSE",P1557)))</f>
        <v>S51</v>
      </c>
      <c r="BV1557" s="50" t="n">
        <f aca="false">IF(BU1557="LOSE",1,IF(N(V1557)&gt;0,V1557,IF(BX1557=1,MAX(1,N(VLOOKUP(T1557,Parameter!$I$27:$K$29,3,0)),H1557,N(N1557)),IF(N(Q1557)&gt;0,Q1557,MAX(1,H1557)))))</f>
        <v>20</v>
      </c>
      <c r="BW1557" s="53" t="n">
        <f aca="false">IF(BU1557="LOSE",1,0)</f>
        <v>0</v>
      </c>
      <c r="BX1557" s="53" t="n">
        <f aca="false">IF(AND(U1557="",OR(P1557="",P1557="LOSE"),T1557&lt;&gt;"",N(S1557)&lt;=0,ISNUMBER(MATCH(T1557,Parameter!$I$27:$I$29,0))),1,0)</f>
        <v>1</v>
      </c>
      <c r="BY1557" s="53" t="n">
        <f aca="false">IF(CL1557&gt;0,INDEX(Parameter!$H$5:$H$7,W1557)/INDEX(Parameter!$E$5:$E$7,W1557),IF(AND(BW1557=0,N(IFERROR(VLOOKUP(BU1557,'Gebinde-Kategorie'!$A$5:$N$45,14,0),0))&gt;0),VLOOKUP(BU1557,'Gebinde-Kategorie'!$A$5:$N$45,14,0)*10+Parameter!$M$23,Parameter!$M$24))</f>
        <v>155</v>
      </c>
      <c r="BZ1557" s="48" t="str">
        <f aca="false">IF(AND(Parameter!$B$19="Ja",E1557&lt;&gt;"",ISNUMBER(MATCH(E1557,Parameter!$I$35:$I$52,0))),VLOOKUP(E1557,Parameter!$I$35:$J$52,2,0),IFERROR(VLOOKUP(D1557,Parameter!$A$35:$C$64,2,0),"Nein"))</f>
        <v>2+3</v>
      </c>
      <c r="CA1557" s="52" t="n">
        <f aca="false">IF(BW1557=0,0,IF(N(S1557)&gt;0,S1557,IFERROR(VLOOKUP(D1557,Parameter!$A$35:$C$64,3,0)+0,0)))</f>
        <v>0</v>
      </c>
      <c r="CB1557" s="48" t="n">
        <f aca="false">IF(AA1557&lt;&gt;"",AA1557,Z1557)</f>
        <v>3</v>
      </c>
      <c r="CC1557" s="48" t="str">
        <f aca="false">IF(OR(CB1557=1,CB1557=2,CB1557=3),IF(Parameter!$E$27="Ja","LIFT",IF(CB1557=1,"L1","L23")),IF(CB1557="Aussen","Aussen","-"))</f>
        <v>LIFT</v>
      </c>
      <c r="CD1557" s="59" t="n">
        <f aca="false">IF(N(AB1557)&gt;0,AB1557,0)</f>
        <v>0</v>
      </c>
      <c r="CE1557" s="53" t="n">
        <f aca="false">IF(ISNUMBER(AE1557),1,0)</f>
        <v>0</v>
      </c>
      <c r="CF1557" s="50" t="n">
        <f aca="false">N(AE1557)</f>
        <v>0</v>
      </c>
      <c r="CG1557" s="50" t="n">
        <f aca="false">N(M1557)+N(N1557)</f>
        <v>1</v>
      </c>
      <c r="CH1557" s="50" t="n">
        <f aca="false">ROUNDUP(H1557/BV1557,0)</f>
        <v>1</v>
      </c>
      <c r="CI1557" s="50" t="n">
        <f aca="false">ROUNDUP(CF1557/BV1557,0)</f>
        <v>0</v>
      </c>
      <c r="CJ1557" s="53" t="n">
        <f aca="false">IF(BW1557=1,0,IFERROR(VLOOKUP(BU1557,'Gebinde-Kategorie'!$A$5:$N$45,5,0)+0,0))</f>
        <v>11</v>
      </c>
      <c r="CK1557" s="53" t="n">
        <f aca="false">IFERROR(IF(OR(CB1557=1,CB1557=2,CB1557=3),N(INDEX(Parameter!$I$5:$I$7,CB1557)),0),0)</f>
        <v>0</v>
      </c>
      <c r="CL1557" s="52" t="n">
        <f aca="false">IF(AND(Parameter!$B$21="Ja",ISNUMBER(W1557),N(X1557)&gt;0),IFERROR(N(INDEX(Parameter!$L$5:$L$7,W1557))*INDEX(Parameter!$E$5:$E$7,W1557)*X1557/SUMIFS($X$7:$X$1843,$W$7:$W$1843,W1557),0),0)</f>
        <v>0</v>
      </c>
    </row>
    <row r="1558" customFormat="false" ht="15" hidden="false" customHeight="false" outlineLevel="0" collapsed="false">
      <c r="A1558" s="48" t="s">
        <v>2725</v>
      </c>
      <c r="B1558" s="48" t="s">
        <v>2726</v>
      </c>
      <c r="C1558" s="48" t="s">
        <v>168</v>
      </c>
      <c r="D1558" s="48" t="s">
        <v>188</v>
      </c>
      <c r="E1558" s="48"/>
      <c r="F1558" s="48"/>
      <c r="G1558" s="49" t="n">
        <v>10.43</v>
      </c>
      <c r="H1558" s="50" t="n">
        <f aca="false">MAX(0,IF(AND(Parameter!$B$21="Ja",ISNUMBER(Y1558)),Y1558,IF(Parameter!$B$20="Jahresanfang 2025 + Export",BO1558+BN1558,BN1558)))</f>
        <v>2</v>
      </c>
      <c r="I1558" s="50" t="n">
        <f aca="false">H1558*G1558</f>
        <v>20.86</v>
      </c>
      <c r="J1558" s="50" t="n">
        <f aca="false">BQ1558*Parameter!$B$18</f>
        <v>0</v>
      </c>
      <c r="K1558" s="51"/>
      <c r="L1558" s="52"/>
      <c r="M1558" s="50" t="n">
        <v>0</v>
      </c>
      <c r="N1558" s="50" t="n">
        <v>1</v>
      </c>
      <c r="O1558" s="53" t="n">
        <v>14</v>
      </c>
      <c r="P1558" s="48" t="s">
        <v>172</v>
      </c>
      <c r="Q1558" s="50"/>
      <c r="R1558" s="53" t="n">
        <f aca="false">IF(BW1558=1,0,IFERROR(VLOOKUP(BU1558,'Gebinde-Kategorie'!$A$5:$N$45,13,0)+0,0))</f>
        <v>26</v>
      </c>
      <c r="S1558" s="54"/>
      <c r="T1558" s="55" t="s">
        <v>279</v>
      </c>
      <c r="U1558" s="55"/>
      <c r="V1558" s="55"/>
      <c r="W1558" s="48"/>
      <c r="X1558" s="50"/>
      <c r="Y1558" s="50"/>
      <c r="Z1558" s="48" t="n">
        <f aca="false">IF(A1558="","",IF(AND(Parameter!$B$21="Ja",ISNUMBER(W1558)),W1558,IF(BZ1558="2+3",IF(ISNUMBER(SEARCH("grosser Artikel",BR1558)),2,IFERROR(VLOOKUP(BU1558,Parameter!$F$35:$G$64,2,0),2)),IF(OR(BZ1558="Nein",BZ1558=""),"-",BZ1558))))</f>
        <v>3</v>
      </c>
      <c r="AA1558" s="55"/>
      <c r="AB1558" s="56"/>
      <c r="AC1558" s="50" t="n">
        <f aca="false">AT1558</f>
        <v>20</v>
      </c>
      <c r="AD1558" s="50" t="n">
        <f aca="false">MAX(AT1558,H1558)</f>
        <v>20</v>
      </c>
      <c r="AE1558" s="57"/>
      <c r="AF1558" s="50" t="n">
        <f aca="false">IF(LEFT(Cockpit!$C$5,1)="A",H1558,IF(CE1558=1,CF1558,IF(LEFT(Cockpit!$C$5,1)="B",AK1558,MAX(AK1558,H1558))))</f>
        <v>2</v>
      </c>
      <c r="AG1558" s="50" t="n">
        <f aca="false">IF(BW1558=1,0,ROUNDUP(AF1558/BV1558,0))</f>
        <v>1</v>
      </c>
      <c r="AH1558" s="52" t="n">
        <f aca="false">IF(CL1558&gt;0,CL1558*MAX(1,AF1558/X1558),IF(BW1558=1,IF(AF1558&lt;=0,0,CA1558*MAX(1,IF(H1558&gt;0,AF1558/H1558,1))),IF(R1558&gt;0,AG1558/R1558,0))/MAX(0.1,N(Parameter!$M$21)))</f>
        <v>0.0384615384615385</v>
      </c>
      <c r="AI1558" s="50" t="n">
        <f aca="false">AH1558*BY1558</f>
        <v>5.96153846153846</v>
      </c>
      <c r="AJ1558" s="50" t="n">
        <f aca="false">AF1558*G1558</f>
        <v>20.86</v>
      </c>
      <c r="AK1558" s="50" t="n">
        <f aca="false">ROUNDUP(MAX(J1558/IF(CD1558&gt;0,CD1558,MAX(0.1,N(Cockpit!$C$6))),CG1558)/BV1558,0)*BV1558</f>
        <v>20</v>
      </c>
      <c r="AL1558" s="51" t="n">
        <f aca="false">IF(AI1558&gt;0,J1558/AI1558,-1)</f>
        <v>0</v>
      </c>
      <c r="AM1558" s="51" t="n">
        <f aca="false">IF(AND(OR(CC1558="L1",CC1558="L23",CC1558="LIFT"),AI1558&gt;0),SUMIFS($AI$7:$AI$1843,$CC$7:$CC$1843,CC1558,$AL$7:$AL$1843,"&gt;"&amp;AL1558)+SUMIFS($AI$7:$AI$1843,$CC$7:$CC$1843,CC1558,$AL$7:$AL$1843,AL1558,$BT$7:$BT$1843,"&lt;="&amp;BT1558),"")</f>
        <v>30264.5708258314</v>
      </c>
      <c r="AN1558" s="58" t="n">
        <f aca="false">IF(AM1558="",0,MAX(0,MIN(1,(IF(CC1558="L1",Parameter!$H$5,IF(CC1558="L23",Parameter!$H$6+Parameter!$H$7,Parameter!$H$5+Parameter!$H$6+Parameter!$H$7))-(AM1558-AI1558))/AI1558)))</f>
        <v>1</v>
      </c>
      <c r="AO1558" s="50" t="n">
        <f aca="false">IF(LEFT(Cockpit!$I$5,1)="A",H1558,IF(CE1558=1,CF1558,IF(LEFT(Cockpit!$I$5,1)="B",AT1558,MAX(AT1558,H1558))))</f>
        <v>20</v>
      </c>
      <c r="AP1558" s="50" t="n">
        <f aca="false">IF(BW1558=1,0,ROUNDUP(AO1558/BV1558,0))</f>
        <v>1</v>
      </c>
      <c r="AQ1558" s="52" t="n">
        <f aca="false">IF(CL1558&gt;0,CL1558*MAX(1,AO1558/X1558),IF(BW1558=1,IF(AO1558&lt;=0,0,CA1558*MAX(1,IF(H1558&gt;0,AO1558/H1558,1))),IF(R1558&gt;0,AP1558/R1558,0))/MAX(0.1,N(Parameter!$M$21)))</f>
        <v>0.0384615384615385</v>
      </c>
      <c r="AR1558" s="50" t="n">
        <f aca="false">AQ1558*BY1558</f>
        <v>5.96153846153846</v>
      </c>
      <c r="AS1558" s="50" t="n">
        <f aca="false">AO1558*G1558</f>
        <v>208.6</v>
      </c>
      <c r="AT1558" s="50" t="n">
        <f aca="false">ROUNDUP(MAX(J1558/IF(CD1558&gt;0,CD1558,MAX(0.1,N(Cockpit!$I$6))),CG1558)/BV1558,0)*BV1558</f>
        <v>20</v>
      </c>
      <c r="AU1558" s="51" t="n">
        <f aca="false">IF(AR1558&gt;0,J1558/AR1558,-1)</f>
        <v>0</v>
      </c>
      <c r="AV1558" s="51" t="n">
        <f aca="false">IF(AND(OR(CC1558="L1",CC1558="L23",CC1558="LIFT"),AR1558&gt;0),SUMIFS($AR$7:$AR$1843,$CC$7:$CC$1843,CC1558,$AU$7:$AU$1843,"&gt;"&amp;AU1558)+SUMIFS($AR$7:$AR$1843,$CC$7:$CC$1843,CC1558,$AU$7:$AU$1843,AU1558,$BT$7:$BT$1843,"&lt;="&amp;BT1558),"")</f>
        <v>42626.4731379731</v>
      </c>
      <c r="AW1558" s="58" t="n">
        <f aca="false">IF(AV1558="",0,MAX(0,MIN(1,(IF(CC1558="L1",Parameter!$H$5,IF(CC1558="L23",Parameter!$H$6+Parameter!$H$7,Parameter!$H$5+Parameter!$H$6+Parameter!$H$7))-(AV1558-AR1558))/AR1558)))</f>
        <v>0</v>
      </c>
      <c r="AX1558" s="50" t="n">
        <f aca="false">IF(LEFT(Cockpit!$O$5,1)="A",H1558,IF(CE1558=1,CF1558,IF(LEFT(Cockpit!$O$5,1)="B",BC1558,MAX(BC1558,H1558))))</f>
        <v>20</v>
      </c>
      <c r="AY1558" s="50" t="n">
        <f aca="false">IF(BW1558=1,0,ROUNDUP(AX1558/BV1558,0))</f>
        <v>1</v>
      </c>
      <c r="AZ1558" s="52" t="n">
        <f aca="false">IF(CL1558&gt;0,CL1558*MAX(1,AX1558/X1558),IF(BW1558=1,IF(AX1558&lt;=0,0,CA1558*MAX(1,IF(H1558&gt;0,AX1558/H1558,1))),IF(R1558&gt;0,AY1558/R1558,0))/MAX(0.1,N(Parameter!$M$21)))</f>
        <v>0.0384615384615385</v>
      </c>
      <c r="BA1558" s="50" t="n">
        <f aca="false">AZ1558*BY1558</f>
        <v>5.96153846153846</v>
      </c>
      <c r="BB1558" s="50" t="n">
        <f aca="false">AX1558*G1558</f>
        <v>208.6</v>
      </c>
      <c r="BC1558" s="50" t="n">
        <f aca="false">ROUNDUP(MAX(J1558/IF(CD1558&gt;0,CD1558,MAX(0.1,N(Cockpit!$O$6))),CG1558)/BV1558,0)*BV1558</f>
        <v>20</v>
      </c>
      <c r="BD1558" s="51" t="n">
        <f aca="false">IF(BA1558&gt;0,J1558/BA1558,-1)</f>
        <v>0</v>
      </c>
      <c r="BE1558" s="51" t="n">
        <f aca="false">IF(AND(OR(CC1558="L1",CC1558="L23",CC1558="LIFT"),BA1558&gt;0),SUMIFS($BA$7:$BA$1843,$CC$7:$CC$1843,CC1558,$BD$7:$BD$1843,"&gt;"&amp;BD1558)+SUMIFS($BA$7:$BA$1843,$CC$7:$CC$1843,CC1558,$BD$7:$BD$1843,BD1558,$BT$7:$BT$1843,"&lt;="&amp;BT1558),"")</f>
        <v>39301.485179839</v>
      </c>
      <c r="BF1558" s="58" t="n">
        <f aca="false">IF(BE1558="",0,MAX(0,MIN(1,(IF(CC1558="L1",Parameter!$H$5,IF(CC1558="L23",Parameter!$H$6+Parameter!$H$7,Parameter!$H$5+Parameter!$H$6+Parameter!$H$7))-(BE1558-BA1558))/BA1558)))</f>
        <v>0</v>
      </c>
      <c r="BG1558" s="48" t="str">
        <f aca="false">IF(AI1558&lt;=0,"",IF(CC1558="Aussen","Aussenlager",IF(CC1558="-","Nicht im Lift",IF(AN1558&gt;=1,"Lift",IF(AN1558&lt;=0,"Aussenlager","teilweise")))))</f>
        <v>Lift</v>
      </c>
      <c r="BH1558" s="48" t="str">
        <f aca="false">IF(AR1558&lt;=0,"",IF(CC1558="Aussen","Aussenlager",IF(CC1558="-","Nicht im Lift",IF(AW1558&gt;=1,"Lift",IF(AW1558&lt;=0,"Aussenlager","teilweise")))))</f>
        <v>Aussenlager</v>
      </c>
      <c r="BI1558" s="48" t="str">
        <f aca="false">IF(BA1558&lt;=0,"",IF(CC1558="Aussen","Aussenlager",IF(CC1558="-","Nicht im Lift",IF(BF1558&gt;=1,"Lift",IF(BF1558&lt;=0,"Aussenlager","teilweise")))))</f>
        <v>Aussenlager</v>
      </c>
      <c r="BJ1558" s="48" t="str">
        <f aca="false">IF(A1558="","",IF(BS1558=1,"Neu; ","")&amp;IF(AND(BS1558=0,BN1558&lt;0),"negativer Bestand (Export "&amp;BN1558&amp;"); ","")&amp;IF(J1558&lt;=0,"Kein Verbrauch; ","")&amp;IF(CL1558&gt;0,"Lift "&amp;W1558&amp;" lt. Liftbericht (Fach "&amp;X1558&amp;" Stk); ",IF(BX1558=1,"Gebinde geschätzt ("&amp;T1558&amp;"); ",IF(BW1558=1,"Lose – Tablare geschätzt; ","")))&amp;IF(H1558&gt;AT1558,"Überbestand "&amp;ROUND(H1558-AT1558,0)&amp;" Stk / CHF "&amp;ROUND((H1558-AT1558)*G1558,0)&amp;"; ","")&amp;IF(AND(CE1558=1,CF1558&lt;CG1558),"MAX &lt; MB+LG; ","")&amp;IF(AND(CK1558&gt;0,CJ1558*10&gt;CK1558),"zu hoch für Tablar; ","")&amp;IF(AND(BS1558=0,OR(CE1558=1,AA1558&lt;&gt;"",U1558&lt;&gt;"",V1558&lt;&gt;"",AB1558&lt;&gt;"")),"manuell übersteuert; ","")&amp;IF(AND(BW1558=0,R1558=0),"Gebinde unbekannt / Stellmass fehlt; ","")&amp;IF(AND(BW1558=0,N(V1558)&lt;=0,N(Q1558)&lt;=0),"Menge pro Gebinde fehlt (Ist = 1 Gebinde); ","")&amp;BR1558)</f>
        <v>Kein Verbrauch; Gebinde geschätzt (Klein); Menge pro Gebinde fehlt (Ist = 1 Gebinde); nur im Artikelstamm (Bestand 23.06.2026)</v>
      </c>
      <c r="BK1558" s="48"/>
      <c r="BL1558" s="48"/>
      <c r="BM1558" s="55"/>
      <c r="BN1558" s="50" t="n">
        <v>2</v>
      </c>
      <c r="BO1558" s="50" t="n">
        <v>0</v>
      </c>
      <c r="BP1558" s="49" t="n">
        <v>0</v>
      </c>
      <c r="BQ1558" s="50" t="n">
        <v>0</v>
      </c>
      <c r="BR1558" s="48" t="s">
        <v>2579</v>
      </c>
      <c r="BS1558" s="53" t="n">
        <v>0</v>
      </c>
      <c r="BT1558" s="53" t="n">
        <v>1558</v>
      </c>
      <c r="BU1558" s="48" t="str">
        <f aca="false">IF(U1558&lt;&gt;"",UPPER(TRIM(U1558)),IF(BX1558=1,UPPER(VLOOKUP(T1558,Parameter!$I$27:$K$29,2,0)),IF(P1558="","LOSE",P1558)))</f>
        <v>S51</v>
      </c>
      <c r="BV1558" s="50" t="n">
        <f aca="false">IF(BU1558="LOSE",1,IF(N(V1558)&gt;0,V1558,IF(BX1558=1,MAX(1,N(VLOOKUP(T1558,Parameter!$I$27:$K$29,3,0)),H1558,N(N1558)),IF(N(Q1558)&gt;0,Q1558,MAX(1,H1558)))))</f>
        <v>20</v>
      </c>
      <c r="BW1558" s="53" t="n">
        <f aca="false">IF(BU1558="LOSE",1,0)</f>
        <v>0</v>
      </c>
      <c r="BX1558" s="53" t="n">
        <f aca="false">IF(AND(U1558="",OR(P1558="",P1558="LOSE"),T1558&lt;&gt;"",N(S1558)&lt;=0,ISNUMBER(MATCH(T1558,Parameter!$I$27:$I$29,0))),1,0)</f>
        <v>1</v>
      </c>
      <c r="BY1558" s="53" t="n">
        <f aca="false">IF(CL1558&gt;0,INDEX(Parameter!$H$5:$H$7,W1558)/INDEX(Parameter!$E$5:$E$7,W1558),IF(AND(BW1558=0,N(IFERROR(VLOOKUP(BU1558,'Gebinde-Kategorie'!$A$5:$N$45,14,0),0))&gt;0),VLOOKUP(BU1558,'Gebinde-Kategorie'!$A$5:$N$45,14,0)*10+Parameter!$M$23,Parameter!$M$24))</f>
        <v>155</v>
      </c>
      <c r="BZ1558" s="48" t="str">
        <f aca="false">IF(AND(Parameter!$B$19="Ja",E1558&lt;&gt;"",ISNUMBER(MATCH(E1558,Parameter!$I$35:$I$52,0))),VLOOKUP(E1558,Parameter!$I$35:$J$52,2,0),IFERROR(VLOOKUP(D1558,Parameter!$A$35:$C$64,2,0),"Nein"))</f>
        <v>2+3</v>
      </c>
      <c r="CA1558" s="52" t="n">
        <f aca="false">IF(BW1558=0,0,IF(N(S1558)&gt;0,S1558,IFERROR(VLOOKUP(D1558,Parameter!$A$35:$C$64,3,0)+0,0)))</f>
        <v>0</v>
      </c>
      <c r="CB1558" s="48" t="n">
        <f aca="false">IF(AA1558&lt;&gt;"",AA1558,Z1558)</f>
        <v>3</v>
      </c>
      <c r="CC1558" s="48" t="str">
        <f aca="false">IF(OR(CB1558=1,CB1558=2,CB1558=3),IF(Parameter!$E$27="Ja","LIFT",IF(CB1558=1,"L1","L23")),IF(CB1558="Aussen","Aussen","-"))</f>
        <v>LIFT</v>
      </c>
      <c r="CD1558" s="59" t="n">
        <f aca="false">IF(N(AB1558)&gt;0,AB1558,0)</f>
        <v>0</v>
      </c>
      <c r="CE1558" s="53" t="n">
        <f aca="false">IF(ISNUMBER(AE1558),1,0)</f>
        <v>0</v>
      </c>
      <c r="CF1558" s="50" t="n">
        <f aca="false">N(AE1558)</f>
        <v>0</v>
      </c>
      <c r="CG1558" s="50" t="n">
        <f aca="false">N(M1558)+N(N1558)</f>
        <v>1</v>
      </c>
      <c r="CH1558" s="50" t="n">
        <f aca="false">ROUNDUP(H1558/BV1558,0)</f>
        <v>1</v>
      </c>
      <c r="CI1558" s="50" t="n">
        <f aca="false">ROUNDUP(CF1558/BV1558,0)</f>
        <v>0</v>
      </c>
      <c r="CJ1558" s="53" t="n">
        <f aca="false">IF(BW1558=1,0,IFERROR(VLOOKUP(BU1558,'Gebinde-Kategorie'!$A$5:$N$45,5,0)+0,0))</f>
        <v>11</v>
      </c>
      <c r="CK1558" s="53" t="n">
        <f aca="false">IFERROR(IF(OR(CB1558=1,CB1558=2,CB1558=3),N(INDEX(Parameter!$I$5:$I$7,CB1558)),0),0)</f>
        <v>0</v>
      </c>
      <c r="CL1558" s="52" t="n">
        <f aca="false">IF(AND(Parameter!$B$21="Ja",ISNUMBER(W1558),N(X1558)&gt;0),IFERROR(N(INDEX(Parameter!$L$5:$L$7,W1558))*INDEX(Parameter!$E$5:$E$7,W1558)*X1558/SUMIFS($X$7:$X$1843,$W$7:$W$1843,W1558),0),0)</f>
        <v>0</v>
      </c>
    </row>
    <row r="1559" customFormat="false" ht="15" hidden="false" customHeight="false" outlineLevel="0" collapsed="false">
      <c r="A1559" s="48" t="s">
        <v>2727</v>
      </c>
      <c r="B1559" s="48" t="s">
        <v>2728</v>
      </c>
      <c r="C1559" s="48" t="s">
        <v>168</v>
      </c>
      <c r="D1559" s="48" t="s">
        <v>177</v>
      </c>
      <c r="E1559" s="48" t="s">
        <v>374</v>
      </c>
      <c r="F1559" s="48"/>
      <c r="G1559" s="49" t="n">
        <v>707.5</v>
      </c>
      <c r="H1559" s="50" t="n">
        <f aca="false">MAX(0,IF(AND(Parameter!$B$21="Ja",ISNUMBER(Y1559)),Y1559,IF(Parameter!$B$20="Jahresanfang 2025 + Export",BO1559+BN1559,BN1559)))</f>
        <v>4</v>
      </c>
      <c r="I1559" s="50" t="n">
        <f aca="false">H1559*G1559</f>
        <v>2830</v>
      </c>
      <c r="J1559" s="50" t="n">
        <f aca="false">BQ1559*Parameter!$B$18</f>
        <v>0</v>
      </c>
      <c r="K1559" s="51"/>
      <c r="L1559" s="52"/>
      <c r="M1559" s="50" t="n">
        <v>0</v>
      </c>
      <c r="N1559" s="50" t="n">
        <v>1</v>
      </c>
      <c r="O1559" s="53" t="n">
        <v>21</v>
      </c>
      <c r="P1559" s="48" t="s">
        <v>172</v>
      </c>
      <c r="Q1559" s="50"/>
      <c r="R1559" s="53" t="n">
        <f aca="false">IF(BW1559=1,0,IFERROR(VLOOKUP(BU1559,'Gebinde-Kategorie'!$A$5:$N$45,13,0)+0,0))</f>
        <v>4</v>
      </c>
      <c r="S1559" s="54"/>
      <c r="T1559" s="55" t="s">
        <v>193</v>
      </c>
      <c r="U1559" s="55"/>
      <c r="V1559" s="55"/>
      <c r="W1559" s="48"/>
      <c r="X1559" s="50"/>
      <c r="Y1559" s="50"/>
      <c r="Z1559" s="48" t="str">
        <f aca="false">IF(A1559="","",IF(AND(Parameter!$B$21="Ja",ISNUMBER(W1559)),W1559,IF(BZ1559="2+3",IF(ISNUMBER(SEARCH("grosser Artikel",BR1559)),2,IFERROR(VLOOKUP(BU1559,Parameter!$F$35:$G$64,2,0),2)),IF(OR(BZ1559="Nein",BZ1559=""),"-",BZ1559))))</f>
        <v>-</v>
      </c>
      <c r="AA1559" s="55"/>
      <c r="AB1559" s="56"/>
      <c r="AC1559" s="50" t="n">
        <f aca="false">AT1559</f>
        <v>4</v>
      </c>
      <c r="AD1559" s="50" t="n">
        <f aca="false">MAX(AT1559,H1559)</f>
        <v>4</v>
      </c>
      <c r="AE1559" s="57"/>
      <c r="AF1559" s="50" t="n">
        <f aca="false">IF(LEFT(Cockpit!$C$5,1)="A",H1559,IF(CE1559=1,CF1559,IF(LEFT(Cockpit!$C$5,1)="B",AK1559,MAX(AK1559,H1559))))</f>
        <v>4</v>
      </c>
      <c r="AG1559" s="50" t="n">
        <f aca="false">IF(BW1559=1,0,ROUNDUP(AF1559/BV1559,0))</f>
        <v>1</v>
      </c>
      <c r="AH1559" s="52" t="n">
        <f aca="false">IF(CL1559&gt;0,CL1559*MAX(1,AF1559/X1559),IF(BW1559=1,IF(AF1559&lt;=0,0,CA1559*MAX(1,IF(H1559&gt;0,AF1559/H1559,1))),IF(R1559&gt;0,AG1559/R1559,0))/MAX(0.1,N(Parameter!$M$21)))</f>
        <v>0.25</v>
      </c>
      <c r="AI1559" s="50" t="n">
        <f aca="false">AH1559*BY1559</f>
        <v>58.75</v>
      </c>
      <c r="AJ1559" s="50" t="n">
        <f aca="false">AF1559*G1559</f>
        <v>2830</v>
      </c>
      <c r="AK1559" s="50" t="n">
        <f aca="false">ROUNDUP(MAX(J1559/IF(CD1559&gt;0,CD1559,MAX(0.1,N(Cockpit!$C$6))),CG1559)/BV1559,0)*BV1559</f>
        <v>4</v>
      </c>
      <c r="AL1559" s="51" t="n">
        <f aca="false">IF(AI1559&gt;0,J1559/AI1559,-1)</f>
        <v>0</v>
      </c>
      <c r="AM1559" s="51" t="str">
        <f aca="false">IF(AND(OR(CC1559="L1",CC1559="L23",CC1559="LIFT"),AI1559&gt;0),SUMIFS($AI$7:$AI$1843,$CC$7:$CC$1843,CC1559,$AL$7:$AL$1843,"&gt;"&amp;AL1559)+SUMIFS($AI$7:$AI$1843,$CC$7:$CC$1843,CC1559,$AL$7:$AL$1843,AL1559,$BT$7:$BT$1843,"&lt;="&amp;BT1559),"")</f>
        <v/>
      </c>
      <c r="AN1559" s="58" t="n">
        <f aca="false">IF(AM1559="",0,MAX(0,MIN(1,(IF(CC1559="L1",Parameter!$H$5,IF(CC1559="L23",Parameter!$H$6+Parameter!$H$7,Parameter!$H$5+Parameter!$H$6+Parameter!$H$7))-(AM1559-AI1559))/AI1559)))</f>
        <v>0</v>
      </c>
      <c r="AO1559" s="50" t="n">
        <f aca="false">IF(LEFT(Cockpit!$I$5,1)="A",H1559,IF(CE1559=1,CF1559,IF(LEFT(Cockpit!$I$5,1)="B",AT1559,MAX(AT1559,H1559))))</f>
        <v>4</v>
      </c>
      <c r="AP1559" s="50" t="n">
        <f aca="false">IF(BW1559=1,0,ROUNDUP(AO1559/BV1559,0))</f>
        <v>1</v>
      </c>
      <c r="AQ1559" s="52" t="n">
        <f aca="false">IF(CL1559&gt;0,CL1559*MAX(1,AO1559/X1559),IF(BW1559=1,IF(AO1559&lt;=0,0,CA1559*MAX(1,IF(H1559&gt;0,AO1559/H1559,1))),IF(R1559&gt;0,AP1559/R1559,0))/MAX(0.1,N(Parameter!$M$21)))</f>
        <v>0.25</v>
      </c>
      <c r="AR1559" s="50" t="n">
        <f aca="false">AQ1559*BY1559</f>
        <v>58.75</v>
      </c>
      <c r="AS1559" s="50" t="n">
        <f aca="false">AO1559*G1559</f>
        <v>2830</v>
      </c>
      <c r="AT1559" s="50" t="n">
        <f aca="false">ROUNDUP(MAX(J1559/IF(CD1559&gt;0,CD1559,MAX(0.1,N(Cockpit!$I$6))),CG1559)/BV1559,0)*BV1559</f>
        <v>4</v>
      </c>
      <c r="AU1559" s="51" t="n">
        <f aca="false">IF(AR1559&gt;0,J1559/AR1559,-1)</f>
        <v>0</v>
      </c>
      <c r="AV1559" s="51" t="str">
        <f aca="false">IF(AND(OR(CC1559="L1",CC1559="L23",CC1559="LIFT"),AR1559&gt;0),SUMIFS($AR$7:$AR$1843,$CC$7:$CC$1843,CC1559,$AU$7:$AU$1843,"&gt;"&amp;AU1559)+SUMIFS($AR$7:$AR$1843,$CC$7:$CC$1843,CC1559,$AU$7:$AU$1843,AU1559,$BT$7:$BT$1843,"&lt;="&amp;BT1559),"")</f>
        <v/>
      </c>
      <c r="AW1559" s="58" t="n">
        <f aca="false">IF(AV1559="",0,MAX(0,MIN(1,(IF(CC1559="L1",Parameter!$H$5,IF(CC1559="L23",Parameter!$H$6+Parameter!$H$7,Parameter!$H$5+Parameter!$H$6+Parameter!$H$7))-(AV1559-AR1559))/AR1559)))</f>
        <v>0</v>
      </c>
      <c r="AX1559" s="50" t="n">
        <f aca="false">IF(LEFT(Cockpit!$O$5,1)="A",H1559,IF(CE1559=1,CF1559,IF(LEFT(Cockpit!$O$5,1)="B",BC1559,MAX(BC1559,H1559))))</f>
        <v>4</v>
      </c>
      <c r="AY1559" s="50" t="n">
        <f aca="false">IF(BW1559=1,0,ROUNDUP(AX1559/BV1559,0))</f>
        <v>1</v>
      </c>
      <c r="AZ1559" s="52" t="n">
        <f aca="false">IF(CL1559&gt;0,CL1559*MAX(1,AX1559/X1559),IF(BW1559=1,IF(AX1559&lt;=0,0,CA1559*MAX(1,IF(H1559&gt;0,AX1559/H1559,1))),IF(R1559&gt;0,AY1559/R1559,0))/MAX(0.1,N(Parameter!$M$21)))</f>
        <v>0.25</v>
      </c>
      <c r="BA1559" s="50" t="n">
        <f aca="false">AZ1559*BY1559</f>
        <v>58.75</v>
      </c>
      <c r="BB1559" s="50" t="n">
        <f aca="false">AX1559*G1559</f>
        <v>2830</v>
      </c>
      <c r="BC1559" s="50" t="n">
        <f aca="false">ROUNDUP(MAX(J1559/IF(CD1559&gt;0,CD1559,MAX(0.1,N(Cockpit!$O$6))),CG1559)/BV1559,0)*BV1559</f>
        <v>4</v>
      </c>
      <c r="BD1559" s="51" t="n">
        <f aca="false">IF(BA1559&gt;0,J1559/BA1559,-1)</f>
        <v>0</v>
      </c>
      <c r="BE1559" s="51" t="str">
        <f aca="false">IF(AND(OR(CC1559="L1",CC1559="L23",CC1559="LIFT"),BA1559&gt;0),SUMIFS($BA$7:$BA$1843,$CC$7:$CC$1843,CC1559,$BD$7:$BD$1843,"&gt;"&amp;BD1559)+SUMIFS($BA$7:$BA$1843,$CC$7:$CC$1843,CC1559,$BD$7:$BD$1843,BD1559,$BT$7:$BT$1843,"&lt;="&amp;BT1559),"")</f>
        <v/>
      </c>
      <c r="BF1559" s="58" t="n">
        <f aca="false">IF(BE1559="",0,MAX(0,MIN(1,(IF(CC1559="L1",Parameter!$H$5,IF(CC1559="L23",Parameter!$H$6+Parameter!$H$7,Parameter!$H$5+Parameter!$H$6+Parameter!$H$7))-(BE1559-BA1559))/BA1559)))</f>
        <v>0</v>
      </c>
      <c r="BG1559" s="48" t="str">
        <f aca="false">IF(AI1559&lt;=0,"",IF(CC1559="Aussen","Aussenlager",IF(CC1559="-","Nicht im Lift",IF(AN1559&gt;=1,"Lift",IF(AN1559&lt;=0,"Aussenlager","teilweise")))))</f>
        <v>Nicht im Lift</v>
      </c>
      <c r="BH1559" s="48" t="str">
        <f aca="false">IF(AR1559&lt;=0,"",IF(CC1559="Aussen","Aussenlager",IF(CC1559="-","Nicht im Lift",IF(AW1559&gt;=1,"Lift",IF(AW1559&lt;=0,"Aussenlager","teilweise")))))</f>
        <v>Nicht im Lift</v>
      </c>
      <c r="BI1559" s="48" t="str">
        <f aca="false">IF(BA1559&lt;=0,"",IF(CC1559="Aussen","Aussenlager",IF(CC1559="-","Nicht im Lift",IF(BF1559&gt;=1,"Lift",IF(BF1559&lt;=0,"Aussenlager","teilweise")))))</f>
        <v>Nicht im Lift</v>
      </c>
      <c r="BJ1559" s="48" t="str">
        <f aca="false">IF(A1559="","",IF(BS1559=1,"Neu; ","")&amp;IF(AND(BS1559=0,BN1559&lt;0),"negativer Bestand (Export "&amp;BN1559&amp;"); ","")&amp;IF(J1559&lt;=0,"Kein Verbrauch; ","")&amp;IF(CL1559&gt;0,"Lift "&amp;W1559&amp;" lt. Liftbericht (Fach "&amp;X1559&amp;" Stk); ",IF(BX1559=1,"Gebinde geschätzt ("&amp;T1559&amp;"); ",IF(BW1559=1,"Lose – Tablare geschätzt; ","")))&amp;IF(H1559&gt;AT1559,"Überbestand "&amp;ROUND(H1559-AT1559,0)&amp;" Stk / CHF "&amp;ROUND((H1559-AT1559)*G1559,0)&amp;"; ","")&amp;IF(AND(CE1559=1,CF1559&lt;CG1559),"MAX &lt; MB+LG; ","")&amp;IF(AND(CK1559&gt;0,CJ1559*10&gt;CK1559),"zu hoch für Tablar; ","")&amp;IF(AND(BS1559=0,OR(CE1559=1,AA1559&lt;&gt;"",U1559&lt;&gt;"",V1559&lt;&gt;"",AB1559&lt;&gt;"")),"manuell übersteuert; ","")&amp;IF(AND(BW1559=0,R1559=0),"Gebinde unbekannt / Stellmass fehlt; ","")&amp;IF(AND(BW1559=0,N(V1559)&lt;=0,N(Q1559)&lt;=0),"Menge pro Gebinde fehlt (Ist = 1 Gebinde); ","")&amp;BR1559)</f>
        <v>Kein Verbrauch; Gebinde geschätzt (Gross); Menge pro Gebinde fehlt (Ist = 1 Gebinde); nur im Artikelstamm (Bestand 23.06.2026)</v>
      </c>
      <c r="BK1559" s="48"/>
      <c r="BL1559" s="48"/>
      <c r="BM1559" s="55"/>
      <c r="BN1559" s="50" t="n">
        <v>4</v>
      </c>
      <c r="BO1559" s="50" t="n">
        <v>0</v>
      </c>
      <c r="BP1559" s="49" t="n">
        <v>0</v>
      </c>
      <c r="BQ1559" s="50" t="n">
        <v>0</v>
      </c>
      <c r="BR1559" s="48" t="s">
        <v>2579</v>
      </c>
      <c r="BS1559" s="53" t="n">
        <v>0</v>
      </c>
      <c r="BT1559" s="53" t="n">
        <v>1559</v>
      </c>
      <c r="BU1559" s="48" t="str">
        <f aca="false">IF(U1559&lt;&gt;"",UPPER(TRIM(U1559)),IF(BX1559=1,UPPER(VLOOKUP(T1559,Parameter!$I$27:$K$29,2,0)),IF(P1559="","LOSE",P1559)))</f>
        <v>S81</v>
      </c>
      <c r="BV1559" s="50" t="n">
        <f aca="false">IF(BU1559="LOSE",1,IF(N(V1559)&gt;0,V1559,IF(BX1559=1,MAX(1,N(VLOOKUP(T1559,Parameter!$I$27:$K$29,3,0)),H1559,N(N1559)),IF(N(Q1559)&gt;0,Q1559,MAX(1,H1559)))))</f>
        <v>4</v>
      </c>
      <c r="BW1559" s="53" t="n">
        <f aca="false">IF(BU1559="LOSE",1,0)</f>
        <v>0</v>
      </c>
      <c r="BX1559" s="53" t="n">
        <f aca="false">IF(AND(U1559="",OR(P1559="",P1559="LOSE"),T1559&lt;&gt;"",N(S1559)&lt;=0,ISNUMBER(MATCH(T1559,Parameter!$I$27:$I$29,0))),1,0)</f>
        <v>1</v>
      </c>
      <c r="BY1559" s="53" t="n">
        <f aca="false">IF(CL1559&gt;0,INDEX(Parameter!$H$5:$H$7,W1559)/INDEX(Parameter!$E$5:$E$7,W1559),IF(AND(BW1559=0,N(IFERROR(VLOOKUP(BU1559,'Gebinde-Kategorie'!$A$5:$N$45,14,0),0))&gt;0),VLOOKUP(BU1559,'Gebinde-Kategorie'!$A$5:$N$45,14,0)*10+Parameter!$M$23,Parameter!$M$24))</f>
        <v>235</v>
      </c>
      <c r="BZ1559" s="48" t="str">
        <f aca="false">IF(AND(Parameter!$B$19="Ja",E1559&lt;&gt;"",ISNUMBER(MATCH(E1559,Parameter!$I$35:$I$52,0))),VLOOKUP(E1559,Parameter!$I$35:$J$52,2,0),IFERROR(VLOOKUP(D1559,Parameter!$A$35:$C$64,2,0),"Nein"))</f>
        <v>Nein</v>
      </c>
      <c r="CA1559" s="52" t="n">
        <f aca="false">IF(BW1559=0,0,IF(N(S1559)&gt;0,S1559,IFERROR(VLOOKUP(D1559,Parameter!$A$35:$C$64,3,0)+0,0)))</f>
        <v>0</v>
      </c>
      <c r="CB1559" s="48" t="str">
        <f aca="false">IF(AA1559&lt;&gt;"",AA1559,Z1559)</f>
        <v>-</v>
      </c>
      <c r="CC1559" s="48" t="str">
        <f aca="false">IF(OR(CB1559=1,CB1559=2,CB1559=3),IF(Parameter!$E$27="Ja","LIFT",IF(CB1559=1,"L1","L23")),IF(CB1559="Aussen","Aussen","-"))</f>
        <v>-</v>
      </c>
      <c r="CD1559" s="59" t="n">
        <f aca="false">IF(N(AB1559)&gt;0,AB1559,0)</f>
        <v>0</v>
      </c>
      <c r="CE1559" s="53" t="n">
        <f aca="false">IF(ISNUMBER(AE1559),1,0)</f>
        <v>0</v>
      </c>
      <c r="CF1559" s="50" t="n">
        <f aca="false">N(AE1559)</f>
        <v>0</v>
      </c>
      <c r="CG1559" s="50" t="n">
        <f aca="false">N(M1559)+N(N1559)</f>
        <v>1</v>
      </c>
      <c r="CH1559" s="50" t="n">
        <f aca="false">ROUNDUP(H1559/BV1559,0)</f>
        <v>1</v>
      </c>
      <c r="CI1559" s="50" t="n">
        <f aca="false">ROUNDUP(CF1559/BV1559,0)</f>
        <v>0</v>
      </c>
      <c r="CJ1559" s="53" t="n">
        <f aca="false">IF(BW1559=1,0,IFERROR(VLOOKUP(BU1559,'Gebinde-Kategorie'!$A$5:$N$45,5,0)+0,0))</f>
        <v>20</v>
      </c>
      <c r="CK1559" s="53" t="n">
        <f aca="false">IFERROR(IF(OR(CB1559=1,CB1559=2,CB1559=3),N(INDEX(Parameter!$I$5:$I$7,CB1559)),0),0)</f>
        <v>0</v>
      </c>
      <c r="CL1559" s="52" t="n">
        <f aca="false">IF(AND(Parameter!$B$21="Ja",ISNUMBER(W1559),N(X1559)&gt;0),IFERROR(N(INDEX(Parameter!$L$5:$L$7,W1559))*INDEX(Parameter!$E$5:$E$7,W1559)*X1559/SUMIFS($X$7:$X$1843,$W$7:$W$1843,W1559),0),0)</f>
        <v>0</v>
      </c>
    </row>
    <row r="1560" customFormat="false" ht="15" hidden="false" customHeight="false" outlineLevel="0" collapsed="false">
      <c r="A1560" s="48" t="s">
        <v>2729</v>
      </c>
      <c r="B1560" s="48" t="s">
        <v>2730</v>
      </c>
      <c r="C1560" s="48" t="s">
        <v>168</v>
      </c>
      <c r="D1560" s="48" t="s">
        <v>177</v>
      </c>
      <c r="E1560" s="48" t="s">
        <v>374</v>
      </c>
      <c r="F1560" s="48"/>
      <c r="G1560" s="49" t="n">
        <v>697</v>
      </c>
      <c r="H1560" s="50" t="n">
        <f aca="false">MAX(0,IF(AND(Parameter!$B$21="Ja",ISNUMBER(Y1560)),Y1560,IF(Parameter!$B$20="Jahresanfang 2025 + Export",BO1560+BN1560,BN1560)))</f>
        <v>8</v>
      </c>
      <c r="I1560" s="50" t="n">
        <f aca="false">H1560*G1560</f>
        <v>5576</v>
      </c>
      <c r="J1560" s="50" t="n">
        <f aca="false">BQ1560*Parameter!$B$18</f>
        <v>0</v>
      </c>
      <c r="K1560" s="51"/>
      <c r="L1560" s="52"/>
      <c r="M1560" s="50" t="n">
        <v>0</v>
      </c>
      <c r="N1560" s="50" t="n">
        <v>1</v>
      </c>
      <c r="O1560" s="53" t="n">
        <v>21</v>
      </c>
      <c r="P1560" s="48" t="s">
        <v>172</v>
      </c>
      <c r="Q1560" s="50"/>
      <c r="R1560" s="53" t="n">
        <f aca="false">IF(BW1560=1,0,IFERROR(VLOOKUP(BU1560,'Gebinde-Kategorie'!$A$5:$N$45,13,0)+0,0))</f>
        <v>4</v>
      </c>
      <c r="S1560" s="54"/>
      <c r="T1560" s="55" t="s">
        <v>193</v>
      </c>
      <c r="U1560" s="55"/>
      <c r="V1560" s="55"/>
      <c r="W1560" s="48"/>
      <c r="X1560" s="50"/>
      <c r="Y1560" s="50"/>
      <c r="Z1560" s="48" t="str">
        <f aca="false">IF(A1560="","",IF(AND(Parameter!$B$21="Ja",ISNUMBER(W1560)),W1560,IF(BZ1560="2+3",IF(ISNUMBER(SEARCH("grosser Artikel",BR1560)),2,IFERROR(VLOOKUP(BU1560,Parameter!$F$35:$G$64,2,0),2)),IF(OR(BZ1560="Nein",BZ1560=""),"-",BZ1560))))</f>
        <v>-</v>
      </c>
      <c r="AA1560" s="55"/>
      <c r="AB1560" s="56"/>
      <c r="AC1560" s="50" t="n">
        <f aca="false">AT1560</f>
        <v>8</v>
      </c>
      <c r="AD1560" s="50" t="n">
        <f aca="false">MAX(AT1560,H1560)</f>
        <v>8</v>
      </c>
      <c r="AE1560" s="57"/>
      <c r="AF1560" s="50" t="n">
        <f aca="false">IF(LEFT(Cockpit!$C$5,1)="A",H1560,IF(CE1560=1,CF1560,IF(LEFT(Cockpit!$C$5,1)="B",AK1560,MAX(AK1560,H1560))))</f>
        <v>8</v>
      </c>
      <c r="AG1560" s="50" t="n">
        <f aca="false">IF(BW1560=1,0,ROUNDUP(AF1560/BV1560,0))</f>
        <v>1</v>
      </c>
      <c r="AH1560" s="52" t="n">
        <f aca="false">IF(CL1560&gt;0,CL1560*MAX(1,AF1560/X1560),IF(BW1560=1,IF(AF1560&lt;=0,0,CA1560*MAX(1,IF(H1560&gt;0,AF1560/H1560,1))),IF(R1560&gt;0,AG1560/R1560,0))/MAX(0.1,N(Parameter!$M$21)))</f>
        <v>0.25</v>
      </c>
      <c r="AI1560" s="50" t="n">
        <f aca="false">AH1560*BY1560</f>
        <v>58.75</v>
      </c>
      <c r="AJ1560" s="50" t="n">
        <f aca="false">AF1560*G1560</f>
        <v>5576</v>
      </c>
      <c r="AK1560" s="50" t="n">
        <f aca="false">ROUNDUP(MAX(J1560/IF(CD1560&gt;0,CD1560,MAX(0.1,N(Cockpit!$C$6))),CG1560)/BV1560,0)*BV1560</f>
        <v>8</v>
      </c>
      <c r="AL1560" s="51" t="n">
        <f aca="false">IF(AI1560&gt;0,J1560/AI1560,-1)</f>
        <v>0</v>
      </c>
      <c r="AM1560" s="51" t="str">
        <f aca="false">IF(AND(OR(CC1560="L1",CC1560="L23",CC1560="LIFT"),AI1560&gt;0),SUMIFS($AI$7:$AI$1843,$CC$7:$CC$1843,CC1560,$AL$7:$AL$1843,"&gt;"&amp;AL1560)+SUMIFS($AI$7:$AI$1843,$CC$7:$CC$1843,CC1560,$AL$7:$AL$1843,AL1560,$BT$7:$BT$1843,"&lt;="&amp;BT1560),"")</f>
        <v/>
      </c>
      <c r="AN1560" s="58" t="n">
        <f aca="false">IF(AM1560="",0,MAX(0,MIN(1,(IF(CC1560="L1",Parameter!$H$5,IF(CC1560="L23",Parameter!$H$6+Parameter!$H$7,Parameter!$H$5+Parameter!$H$6+Parameter!$H$7))-(AM1560-AI1560))/AI1560)))</f>
        <v>0</v>
      </c>
      <c r="AO1560" s="50" t="n">
        <f aca="false">IF(LEFT(Cockpit!$I$5,1)="A",H1560,IF(CE1560=1,CF1560,IF(LEFT(Cockpit!$I$5,1)="B",AT1560,MAX(AT1560,H1560))))</f>
        <v>8</v>
      </c>
      <c r="AP1560" s="50" t="n">
        <f aca="false">IF(BW1560=1,0,ROUNDUP(AO1560/BV1560,0))</f>
        <v>1</v>
      </c>
      <c r="AQ1560" s="52" t="n">
        <f aca="false">IF(CL1560&gt;0,CL1560*MAX(1,AO1560/X1560),IF(BW1560=1,IF(AO1560&lt;=0,0,CA1560*MAX(1,IF(H1560&gt;0,AO1560/H1560,1))),IF(R1560&gt;0,AP1560/R1560,0))/MAX(0.1,N(Parameter!$M$21)))</f>
        <v>0.25</v>
      </c>
      <c r="AR1560" s="50" t="n">
        <f aca="false">AQ1560*BY1560</f>
        <v>58.75</v>
      </c>
      <c r="AS1560" s="50" t="n">
        <f aca="false">AO1560*G1560</f>
        <v>5576</v>
      </c>
      <c r="AT1560" s="50" t="n">
        <f aca="false">ROUNDUP(MAX(J1560/IF(CD1560&gt;0,CD1560,MAX(0.1,N(Cockpit!$I$6))),CG1560)/BV1560,0)*BV1560</f>
        <v>8</v>
      </c>
      <c r="AU1560" s="51" t="n">
        <f aca="false">IF(AR1560&gt;0,J1560/AR1560,-1)</f>
        <v>0</v>
      </c>
      <c r="AV1560" s="51" t="str">
        <f aca="false">IF(AND(OR(CC1560="L1",CC1560="L23",CC1560="LIFT"),AR1560&gt;0),SUMIFS($AR$7:$AR$1843,$CC$7:$CC$1843,CC1560,$AU$7:$AU$1843,"&gt;"&amp;AU1560)+SUMIFS($AR$7:$AR$1843,$CC$7:$CC$1843,CC1560,$AU$7:$AU$1843,AU1560,$BT$7:$BT$1843,"&lt;="&amp;BT1560),"")</f>
        <v/>
      </c>
      <c r="AW1560" s="58" t="n">
        <f aca="false">IF(AV1560="",0,MAX(0,MIN(1,(IF(CC1560="L1",Parameter!$H$5,IF(CC1560="L23",Parameter!$H$6+Parameter!$H$7,Parameter!$H$5+Parameter!$H$6+Parameter!$H$7))-(AV1560-AR1560))/AR1560)))</f>
        <v>0</v>
      </c>
      <c r="AX1560" s="50" t="n">
        <f aca="false">IF(LEFT(Cockpit!$O$5,1)="A",H1560,IF(CE1560=1,CF1560,IF(LEFT(Cockpit!$O$5,1)="B",BC1560,MAX(BC1560,H1560))))</f>
        <v>8</v>
      </c>
      <c r="AY1560" s="50" t="n">
        <f aca="false">IF(BW1560=1,0,ROUNDUP(AX1560/BV1560,0))</f>
        <v>1</v>
      </c>
      <c r="AZ1560" s="52" t="n">
        <f aca="false">IF(CL1560&gt;0,CL1560*MAX(1,AX1560/X1560),IF(BW1560=1,IF(AX1560&lt;=0,0,CA1560*MAX(1,IF(H1560&gt;0,AX1560/H1560,1))),IF(R1560&gt;0,AY1560/R1560,0))/MAX(0.1,N(Parameter!$M$21)))</f>
        <v>0.25</v>
      </c>
      <c r="BA1560" s="50" t="n">
        <f aca="false">AZ1560*BY1560</f>
        <v>58.75</v>
      </c>
      <c r="BB1560" s="50" t="n">
        <f aca="false">AX1560*G1560</f>
        <v>5576</v>
      </c>
      <c r="BC1560" s="50" t="n">
        <f aca="false">ROUNDUP(MAX(J1560/IF(CD1560&gt;0,CD1560,MAX(0.1,N(Cockpit!$O$6))),CG1560)/BV1560,0)*BV1560</f>
        <v>8</v>
      </c>
      <c r="BD1560" s="51" t="n">
        <f aca="false">IF(BA1560&gt;0,J1560/BA1560,-1)</f>
        <v>0</v>
      </c>
      <c r="BE1560" s="51" t="str">
        <f aca="false">IF(AND(OR(CC1560="L1",CC1560="L23",CC1560="LIFT"),BA1560&gt;0),SUMIFS($BA$7:$BA$1843,$CC$7:$CC$1843,CC1560,$BD$7:$BD$1843,"&gt;"&amp;BD1560)+SUMIFS($BA$7:$BA$1843,$CC$7:$CC$1843,CC1560,$BD$7:$BD$1843,BD1560,$BT$7:$BT$1843,"&lt;="&amp;BT1560),"")</f>
        <v/>
      </c>
      <c r="BF1560" s="58" t="n">
        <f aca="false">IF(BE1560="",0,MAX(0,MIN(1,(IF(CC1560="L1",Parameter!$H$5,IF(CC1560="L23",Parameter!$H$6+Parameter!$H$7,Parameter!$H$5+Parameter!$H$6+Parameter!$H$7))-(BE1560-BA1560))/BA1560)))</f>
        <v>0</v>
      </c>
      <c r="BG1560" s="48" t="str">
        <f aca="false">IF(AI1560&lt;=0,"",IF(CC1560="Aussen","Aussenlager",IF(CC1560="-","Nicht im Lift",IF(AN1560&gt;=1,"Lift",IF(AN1560&lt;=0,"Aussenlager","teilweise")))))</f>
        <v>Nicht im Lift</v>
      </c>
      <c r="BH1560" s="48" t="str">
        <f aca="false">IF(AR1560&lt;=0,"",IF(CC1560="Aussen","Aussenlager",IF(CC1560="-","Nicht im Lift",IF(AW1560&gt;=1,"Lift",IF(AW1560&lt;=0,"Aussenlager","teilweise")))))</f>
        <v>Nicht im Lift</v>
      </c>
      <c r="BI1560" s="48" t="str">
        <f aca="false">IF(BA1560&lt;=0,"",IF(CC1560="Aussen","Aussenlager",IF(CC1560="-","Nicht im Lift",IF(BF1560&gt;=1,"Lift",IF(BF1560&lt;=0,"Aussenlager","teilweise")))))</f>
        <v>Nicht im Lift</v>
      </c>
      <c r="BJ1560" s="48" t="str">
        <f aca="false">IF(A1560="","",IF(BS1560=1,"Neu; ","")&amp;IF(AND(BS1560=0,BN1560&lt;0),"negativer Bestand (Export "&amp;BN1560&amp;"); ","")&amp;IF(J1560&lt;=0,"Kein Verbrauch; ","")&amp;IF(CL1560&gt;0,"Lift "&amp;W1560&amp;" lt. Liftbericht (Fach "&amp;X1560&amp;" Stk); ",IF(BX1560=1,"Gebinde geschätzt ("&amp;T1560&amp;"); ",IF(BW1560=1,"Lose – Tablare geschätzt; ","")))&amp;IF(H1560&gt;AT1560,"Überbestand "&amp;ROUND(H1560-AT1560,0)&amp;" Stk / CHF "&amp;ROUND((H1560-AT1560)*G1560,0)&amp;"; ","")&amp;IF(AND(CE1560=1,CF1560&lt;CG1560),"MAX &lt; MB+LG; ","")&amp;IF(AND(CK1560&gt;0,CJ1560*10&gt;CK1560),"zu hoch für Tablar; ","")&amp;IF(AND(BS1560=0,OR(CE1560=1,AA1560&lt;&gt;"",U1560&lt;&gt;"",V1560&lt;&gt;"",AB1560&lt;&gt;"")),"manuell übersteuert; ","")&amp;IF(AND(BW1560=0,R1560=0),"Gebinde unbekannt / Stellmass fehlt; ","")&amp;IF(AND(BW1560=0,N(V1560)&lt;=0,N(Q1560)&lt;=0),"Menge pro Gebinde fehlt (Ist = 1 Gebinde); ","")&amp;BR1560)</f>
        <v>Kein Verbrauch; Gebinde geschätzt (Gross); Menge pro Gebinde fehlt (Ist = 1 Gebinde); nur im Artikelstamm (Bestand 23.06.2026)</v>
      </c>
      <c r="BK1560" s="48"/>
      <c r="BL1560" s="48"/>
      <c r="BM1560" s="55"/>
      <c r="BN1560" s="50" t="n">
        <v>8</v>
      </c>
      <c r="BO1560" s="50" t="n">
        <v>0</v>
      </c>
      <c r="BP1560" s="49" t="n">
        <v>0</v>
      </c>
      <c r="BQ1560" s="50" t="n">
        <v>0</v>
      </c>
      <c r="BR1560" s="48" t="s">
        <v>2579</v>
      </c>
      <c r="BS1560" s="53" t="n">
        <v>0</v>
      </c>
      <c r="BT1560" s="53" t="n">
        <v>1560</v>
      </c>
      <c r="BU1560" s="48" t="str">
        <f aca="false">IF(U1560&lt;&gt;"",UPPER(TRIM(U1560)),IF(BX1560=1,UPPER(VLOOKUP(T1560,Parameter!$I$27:$K$29,2,0)),IF(P1560="","LOSE",P1560)))</f>
        <v>S81</v>
      </c>
      <c r="BV1560" s="50" t="n">
        <f aca="false">IF(BU1560="LOSE",1,IF(N(V1560)&gt;0,V1560,IF(BX1560=1,MAX(1,N(VLOOKUP(T1560,Parameter!$I$27:$K$29,3,0)),H1560,N(N1560)),IF(N(Q1560)&gt;0,Q1560,MAX(1,H1560)))))</f>
        <v>8</v>
      </c>
      <c r="BW1560" s="53" t="n">
        <f aca="false">IF(BU1560="LOSE",1,0)</f>
        <v>0</v>
      </c>
      <c r="BX1560" s="53" t="n">
        <f aca="false">IF(AND(U1560="",OR(P1560="",P1560="LOSE"),T1560&lt;&gt;"",N(S1560)&lt;=0,ISNUMBER(MATCH(T1560,Parameter!$I$27:$I$29,0))),1,0)</f>
        <v>1</v>
      </c>
      <c r="BY1560" s="53" t="n">
        <f aca="false">IF(CL1560&gt;0,INDEX(Parameter!$H$5:$H$7,W1560)/INDEX(Parameter!$E$5:$E$7,W1560),IF(AND(BW1560=0,N(IFERROR(VLOOKUP(BU1560,'Gebinde-Kategorie'!$A$5:$N$45,14,0),0))&gt;0),VLOOKUP(BU1560,'Gebinde-Kategorie'!$A$5:$N$45,14,0)*10+Parameter!$M$23,Parameter!$M$24))</f>
        <v>235</v>
      </c>
      <c r="BZ1560" s="48" t="str">
        <f aca="false">IF(AND(Parameter!$B$19="Ja",E1560&lt;&gt;"",ISNUMBER(MATCH(E1560,Parameter!$I$35:$I$52,0))),VLOOKUP(E1560,Parameter!$I$35:$J$52,2,0),IFERROR(VLOOKUP(D1560,Parameter!$A$35:$C$64,2,0),"Nein"))</f>
        <v>Nein</v>
      </c>
      <c r="CA1560" s="52" t="n">
        <f aca="false">IF(BW1560=0,0,IF(N(S1560)&gt;0,S1560,IFERROR(VLOOKUP(D1560,Parameter!$A$35:$C$64,3,0)+0,0)))</f>
        <v>0</v>
      </c>
      <c r="CB1560" s="48" t="str">
        <f aca="false">IF(AA1560&lt;&gt;"",AA1560,Z1560)</f>
        <v>-</v>
      </c>
      <c r="CC1560" s="48" t="str">
        <f aca="false">IF(OR(CB1560=1,CB1560=2,CB1560=3),IF(Parameter!$E$27="Ja","LIFT",IF(CB1560=1,"L1","L23")),IF(CB1560="Aussen","Aussen","-"))</f>
        <v>-</v>
      </c>
      <c r="CD1560" s="59" t="n">
        <f aca="false">IF(N(AB1560)&gt;0,AB1560,0)</f>
        <v>0</v>
      </c>
      <c r="CE1560" s="53" t="n">
        <f aca="false">IF(ISNUMBER(AE1560),1,0)</f>
        <v>0</v>
      </c>
      <c r="CF1560" s="50" t="n">
        <f aca="false">N(AE1560)</f>
        <v>0</v>
      </c>
      <c r="CG1560" s="50" t="n">
        <f aca="false">N(M1560)+N(N1560)</f>
        <v>1</v>
      </c>
      <c r="CH1560" s="50" t="n">
        <f aca="false">ROUNDUP(H1560/BV1560,0)</f>
        <v>1</v>
      </c>
      <c r="CI1560" s="50" t="n">
        <f aca="false">ROUNDUP(CF1560/BV1560,0)</f>
        <v>0</v>
      </c>
      <c r="CJ1560" s="53" t="n">
        <f aca="false">IF(BW1560=1,0,IFERROR(VLOOKUP(BU1560,'Gebinde-Kategorie'!$A$5:$N$45,5,0)+0,0))</f>
        <v>20</v>
      </c>
      <c r="CK1560" s="53" t="n">
        <f aca="false">IFERROR(IF(OR(CB1560=1,CB1560=2,CB1560=3),N(INDEX(Parameter!$I$5:$I$7,CB1560)),0),0)</f>
        <v>0</v>
      </c>
      <c r="CL1560" s="52" t="n">
        <f aca="false">IF(AND(Parameter!$B$21="Ja",ISNUMBER(W1560),N(X1560)&gt;0),IFERROR(N(INDEX(Parameter!$L$5:$L$7,W1560))*INDEX(Parameter!$E$5:$E$7,W1560)*X1560/SUMIFS($X$7:$X$1843,$W$7:$W$1843,W1560),0),0)</f>
        <v>0</v>
      </c>
    </row>
    <row r="1561" customFormat="false" ht="15" hidden="false" customHeight="false" outlineLevel="0" collapsed="false">
      <c r="A1561" s="48" t="s">
        <v>2731</v>
      </c>
      <c r="B1561" s="48" t="s">
        <v>2732</v>
      </c>
      <c r="C1561" s="48" t="s">
        <v>168</v>
      </c>
      <c r="D1561" s="48" t="s">
        <v>188</v>
      </c>
      <c r="E1561" s="48"/>
      <c r="F1561" s="48"/>
      <c r="G1561" s="49" t="n">
        <v>40.4</v>
      </c>
      <c r="H1561" s="50" t="n">
        <f aca="false">MAX(0,IF(AND(Parameter!$B$21="Ja",ISNUMBER(Y1561)),Y1561,IF(Parameter!$B$20="Jahresanfang 2025 + Export",BO1561+BN1561,BN1561)))</f>
        <v>4</v>
      </c>
      <c r="I1561" s="50" t="n">
        <f aca="false">H1561*G1561</f>
        <v>161.6</v>
      </c>
      <c r="J1561" s="50" t="n">
        <f aca="false">BQ1561*Parameter!$B$18</f>
        <v>0</v>
      </c>
      <c r="K1561" s="51"/>
      <c r="L1561" s="52"/>
      <c r="M1561" s="50" t="n">
        <v>0</v>
      </c>
      <c r="N1561" s="50" t="n">
        <v>1</v>
      </c>
      <c r="O1561" s="53" t="n">
        <v>21</v>
      </c>
      <c r="P1561" s="48" t="s">
        <v>172</v>
      </c>
      <c r="Q1561" s="50"/>
      <c r="R1561" s="53" t="n">
        <f aca="false">IF(BW1561=1,0,IFERROR(VLOOKUP(BU1561,'Gebinde-Kategorie'!$A$5:$N$45,13,0)+0,0))</f>
        <v>26</v>
      </c>
      <c r="S1561" s="54"/>
      <c r="T1561" s="55" t="s">
        <v>279</v>
      </c>
      <c r="U1561" s="55"/>
      <c r="V1561" s="55"/>
      <c r="W1561" s="48"/>
      <c r="X1561" s="50"/>
      <c r="Y1561" s="50"/>
      <c r="Z1561" s="48" t="n">
        <f aca="false">IF(A1561="","",IF(AND(Parameter!$B$21="Ja",ISNUMBER(W1561)),W1561,IF(BZ1561="2+3",IF(ISNUMBER(SEARCH("grosser Artikel",BR1561)),2,IFERROR(VLOOKUP(BU1561,Parameter!$F$35:$G$64,2,0),2)),IF(OR(BZ1561="Nein",BZ1561=""),"-",BZ1561))))</f>
        <v>3</v>
      </c>
      <c r="AA1561" s="55"/>
      <c r="AB1561" s="56"/>
      <c r="AC1561" s="50" t="n">
        <f aca="false">AT1561</f>
        <v>20</v>
      </c>
      <c r="AD1561" s="50" t="n">
        <f aca="false">MAX(AT1561,H1561)</f>
        <v>20</v>
      </c>
      <c r="AE1561" s="57"/>
      <c r="AF1561" s="50" t="n">
        <f aca="false">IF(LEFT(Cockpit!$C$5,1)="A",H1561,IF(CE1561=1,CF1561,IF(LEFT(Cockpit!$C$5,1)="B",AK1561,MAX(AK1561,H1561))))</f>
        <v>4</v>
      </c>
      <c r="AG1561" s="50" t="n">
        <f aca="false">IF(BW1561=1,0,ROUNDUP(AF1561/BV1561,0))</f>
        <v>1</v>
      </c>
      <c r="AH1561" s="52" t="n">
        <f aca="false">IF(CL1561&gt;0,CL1561*MAX(1,AF1561/X1561),IF(BW1561=1,IF(AF1561&lt;=0,0,CA1561*MAX(1,IF(H1561&gt;0,AF1561/H1561,1))),IF(R1561&gt;0,AG1561/R1561,0))/MAX(0.1,N(Parameter!$M$21)))</f>
        <v>0.0384615384615385</v>
      </c>
      <c r="AI1561" s="50" t="n">
        <f aca="false">AH1561*BY1561</f>
        <v>5.96153846153846</v>
      </c>
      <c r="AJ1561" s="50" t="n">
        <f aca="false">AF1561*G1561</f>
        <v>161.6</v>
      </c>
      <c r="AK1561" s="50" t="n">
        <f aca="false">ROUNDUP(MAX(J1561/IF(CD1561&gt;0,CD1561,MAX(0.1,N(Cockpit!$C$6))),CG1561)/BV1561,0)*BV1561</f>
        <v>20</v>
      </c>
      <c r="AL1561" s="51" t="n">
        <f aca="false">IF(AI1561&gt;0,J1561/AI1561,-1)</f>
        <v>0</v>
      </c>
      <c r="AM1561" s="51" t="n">
        <f aca="false">IF(AND(OR(CC1561="L1",CC1561="L23",CC1561="LIFT"),AI1561&gt;0),SUMIFS($AI$7:$AI$1843,$CC$7:$CC$1843,CC1561,$AL$7:$AL$1843,"&gt;"&amp;AL1561)+SUMIFS($AI$7:$AI$1843,$CC$7:$CC$1843,CC1561,$AL$7:$AL$1843,AL1561,$BT$7:$BT$1843,"&lt;="&amp;BT1561),"")</f>
        <v>30270.532364293</v>
      </c>
      <c r="AN1561" s="58" t="n">
        <f aca="false">IF(AM1561="",0,MAX(0,MIN(1,(IF(CC1561="L1",Parameter!$H$5,IF(CC1561="L23",Parameter!$H$6+Parameter!$H$7,Parameter!$H$5+Parameter!$H$6+Parameter!$H$7))-(AM1561-AI1561))/AI1561)))</f>
        <v>1</v>
      </c>
      <c r="AO1561" s="50" t="n">
        <f aca="false">IF(LEFT(Cockpit!$I$5,1)="A",H1561,IF(CE1561=1,CF1561,IF(LEFT(Cockpit!$I$5,1)="B",AT1561,MAX(AT1561,H1561))))</f>
        <v>20</v>
      </c>
      <c r="AP1561" s="50" t="n">
        <f aca="false">IF(BW1561=1,0,ROUNDUP(AO1561/BV1561,0))</f>
        <v>1</v>
      </c>
      <c r="AQ1561" s="52" t="n">
        <f aca="false">IF(CL1561&gt;0,CL1561*MAX(1,AO1561/X1561),IF(BW1561=1,IF(AO1561&lt;=0,0,CA1561*MAX(1,IF(H1561&gt;0,AO1561/H1561,1))),IF(R1561&gt;0,AP1561/R1561,0))/MAX(0.1,N(Parameter!$M$21)))</f>
        <v>0.0384615384615385</v>
      </c>
      <c r="AR1561" s="50" t="n">
        <f aca="false">AQ1561*BY1561</f>
        <v>5.96153846153846</v>
      </c>
      <c r="AS1561" s="50" t="n">
        <f aca="false">AO1561*G1561</f>
        <v>808</v>
      </c>
      <c r="AT1561" s="50" t="n">
        <f aca="false">ROUNDUP(MAX(J1561/IF(CD1561&gt;0,CD1561,MAX(0.1,N(Cockpit!$I$6))),CG1561)/BV1561,0)*BV1561</f>
        <v>20</v>
      </c>
      <c r="AU1561" s="51" t="n">
        <f aca="false">IF(AR1561&gt;0,J1561/AR1561,-1)</f>
        <v>0</v>
      </c>
      <c r="AV1561" s="51" t="n">
        <f aca="false">IF(AND(OR(CC1561="L1",CC1561="L23",CC1561="LIFT"),AR1561&gt;0),SUMIFS($AR$7:$AR$1843,$CC$7:$CC$1843,CC1561,$AU$7:$AU$1843,"&gt;"&amp;AU1561)+SUMIFS($AR$7:$AR$1843,$CC$7:$CC$1843,CC1561,$AU$7:$AU$1843,AU1561,$BT$7:$BT$1843,"&lt;="&amp;BT1561),"")</f>
        <v>42632.4346764347</v>
      </c>
      <c r="AW1561" s="58" t="n">
        <f aca="false">IF(AV1561="",0,MAX(0,MIN(1,(IF(CC1561="L1",Parameter!$H$5,IF(CC1561="L23",Parameter!$H$6+Parameter!$H$7,Parameter!$H$5+Parameter!$H$6+Parameter!$H$7))-(AV1561-AR1561))/AR1561)))</f>
        <v>0</v>
      </c>
      <c r="AX1561" s="50" t="n">
        <f aca="false">IF(LEFT(Cockpit!$O$5,1)="A",H1561,IF(CE1561=1,CF1561,IF(LEFT(Cockpit!$O$5,1)="B",BC1561,MAX(BC1561,H1561))))</f>
        <v>20</v>
      </c>
      <c r="AY1561" s="50" t="n">
        <f aca="false">IF(BW1561=1,0,ROUNDUP(AX1561/BV1561,0))</f>
        <v>1</v>
      </c>
      <c r="AZ1561" s="52" t="n">
        <f aca="false">IF(CL1561&gt;0,CL1561*MAX(1,AX1561/X1561),IF(BW1561=1,IF(AX1561&lt;=0,0,CA1561*MAX(1,IF(H1561&gt;0,AX1561/H1561,1))),IF(R1561&gt;0,AY1561/R1561,0))/MAX(0.1,N(Parameter!$M$21)))</f>
        <v>0.0384615384615385</v>
      </c>
      <c r="BA1561" s="50" t="n">
        <f aca="false">AZ1561*BY1561</f>
        <v>5.96153846153846</v>
      </c>
      <c r="BB1561" s="50" t="n">
        <f aca="false">AX1561*G1561</f>
        <v>808</v>
      </c>
      <c r="BC1561" s="50" t="n">
        <f aca="false">ROUNDUP(MAX(J1561/IF(CD1561&gt;0,CD1561,MAX(0.1,N(Cockpit!$O$6))),CG1561)/BV1561,0)*BV1561</f>
        <v>20</v>
      </c>
      <c r="BD1561" s="51" t="n">
        <f aca="false">IF(BA1561&gt;0,J1561/BA1561,-1)</f>
        <v>0</v>
      </c>
      <c r="BE1561" s="51" t="n">
        <f aca="false">IF(AND(OR(CC1561="L1",CC1561="L23",CC1561="LIFT"),BA1561&gt;0),SUMIFS($BA$7:$BA$1843,$CC$7:$CC$1843,CC1561,$BD$7:$BD$1843,"&gt;"&amp;BD1561)+SUMIFS($BA$7:$BA$1843,$CC$7:$CC$1843,CC1561,$BD$7:$BD$1843,BD1561,$BT$7:$BT$1843,"&lt;="&amp;BT1561),"")</f>
        <v>39307.4467183005</v>
      </c>
      <c r="BF1561" s="58" t="n">
        <f aca="false">IF(BE1561="",0,MAX(0,MIN(1,(IF(CC1561="L1",Parameter!$H$5,IF(CC1561="L23",Parameter!$H$6+Parameter!$H$7,Parameter!$H$5+Parameter!$H$6+Parameter!$H$7))-(BE1561-BA1561))/BA1561)))</f>
        <v>0</v>
      </c>
      <c r="BG1561" s="48" t="str">
        <f aca="false">IF(AI1561&lt;=0,"",IF(CC1561="Aussen","Aussenlager",IF(CC1561="-","Nicht im Lift",IF(AN1561&gt;=1,"Lift",IF(AN1561&lt;=0,"Aussenlager","teilweise")))))</f>
        <v>Lift</v>
      </c>
      <c r="BH1561" s="48" t="str">
        <f aca="false">IF(AR1561&lt;=0,"",IF(CC1561="Aussen","Aussenlager",IF(CC1561="-","Nicht im Lift",IF(AW1561&gt;=1,"Lift",IF(AW1561&lt;=0,"Aussenlager","teilweise")))))</f>
        <v>Aussenlager</v>
      </c>
      <c r="BI1561" s="48" t="str">
        <f aca="false">IF(BA1561&lt;=0,"",IF(CC1561="Aussen","Aussenlager",IF(CC1561="-","Nicht im Lift",IF(BF1561&gt;=1,"Lift",IF(BF1561&lt;=0,"Aussenlager","teilweise")))))</f>
        <v>Aussenlager</v>
      </c>
      <c r="BJ1561" s="48" t="str">
        <f aca="false">IF(A1561="","",IF(BS1561=1,"Neu; ","")&amp;IF(AND(BS1561=0,BN1561&lt;0),"negativer Bestand (Export "&amp;BN1561&amp;"); ","")&amp;IF(J1561&lt;=0,"Kein Verbrauch; ","")&amp;IF(CL1561&gt;0,"Lift "&amp;W1561&amp;" lt. Liftbericht (Fach "&amp;X1561&amp;" Stk); ",IF(BX1561=1,"Gebinde geschätzt ("&amp;T1561&amp;"); ",IF(BW1561=1,"Lose – Tablare geschätzt; ","")))&amp;IF(H1561&gt;AT1561,"Überbestand "&amp;ROUND(H1561-AT1561,0)&amp;" Stk / CHF "&amp;ROUND((H1561-AT1561)*G1561,0)&amp;"; ","")&amp;IF(AND(CE1561=1,CF1561&lt;CG1561),"MAX &lt; MB+LG; ","")&amp;IF(AND(CK1561&gt;0,CJ1561*10&gt;CK1561),"zu hoch für Tablar; ","")&amp;IF(AND(BS1561=0,OR(CE1561=1,AA1561&lt;&gt;"",U1561&lt;&gt;"",V1561&lt;&gt;"",AB1561&lt;&gt;"")),"manuell übersteuert; ","")&amp;IF(AND(BW1561=0,R1561=0),"Gebinde unbekannt / Stellmass fehlt; ","")&amp;IF(AND(BW1561=0,N(V1561)&lt;=0,N(Q1561)&lt;=0),"Menge pro Gebinde fehlt (Ist = 1 Gebinde); ","")&amp;BR1561)</f>
        <v>Kein Verbrauch; Gebinde geschätzt (Klein); Menge pro Gebinde fehlt (Ist = 1 Gebinde); nur im Artikelstamm (Bestand 23.06.2026)</v>
      </c>
      <c r="BK1561" s="48"/>
      <c r="BL1561" s="48"/>
      <c r="BM1561" s="55"/>
      <c r="BN1561" s="50" t="n">
        <v>4</v>
      </c>
      <c r="BO1561" s="50" t="n">
        <v>0</v>
      </c>
      <c r="BP1561" s="49" t="n">
        <v>0</v>
      </c>
      <c r="BQ1561" s="50" t="n">
        <v>0</v>
      </c>
      <c r="BR1561" s="48" t="s">
        <v>2579</v>
      </c>
      <c r="BS1561" s="53" t="n">
        <v>0</v>
      </c>
      <c r="BT1561" s="53" t="n">
        <v>1561</v>
      </c>
      <c r="BU1561" s="48" t="str">
        <f aca="false">IF(U1561&lt;&gt;"",UPPER(TRIM(U1561)),IF(BX1561=1,UPPER(VLOOKUP(T1561,Parameter!$I$27:$K$29,2,0)),IF(P1561="","LOSE",P1561)))</f>
        <v>S51</v>
      </c>
      <c r="BV1561" s="50" t="n">
        <f aca="false">IF(BU1561="LOSE",1,IF(N(V1561)&gt;0,V1561,IF(BX1561=1,MAX(1,N(VLOOKUP(T1561,Parameter!$I$27:$K$29,3,0)),H1561,N(N1561)),IF(N(Q1561)&gt;0,Q1561,MAX(1,H1561)))))</f>
        <v>20</v>
      </c>
      <c r="BW1561" s="53" t="n">
        <f aca="false">IF(BU1561="LOSE",1,0)</f>
        <v>0</v>
      </c>
      <c r="BX1561" s="53" t="n">
        <f aca="false">IF(AND(U1561="",OR(P1561="",P1561="LOSE"),T1561&lt;&gt;"",N(S1561)&lt;=0,ISNUMBER(MATCH(T1561,Parameter!$I$27:$I$29,0))),1,0)</f>
        <v>1</v>
      </c>
      <c r="BY1561" s="53" t="n">
        <f aca="false">IF(CL1561&gt;0,INDEX(Parameter!$H$5:$H$7,W1561)/INDEX(Parameter!$E$5:$E$7,W1561),IF(AND(BW1561=0,N(IFERROR(VLOOKUP(BU1561,'Gebinde-Kategorie'!$A$5:$N$45,14,0),0))&gt;0),VLOOKUP(BU1561,'Gebinde-Kategorie'!$A$5:$N$45,14,0)*10+Parameter!$M$23,Parameter!$M$24))</f>
        <v>155</v>
      </c>
      <c r="BZ1561" s="48" t="str">
        <f aca="false">IF(AND(Parameter!$B$19="Ja",E1561&lt;&gt;"",ISNUMBER(MATCH(E1561,Parameter!$I$35:$I$52,0))),VLOOKUP(E1561,Parameter!$I$35:$J$52,2,0),IFERROR(VLOOKUP(D1561,Parameter!$A$35:$C$64,2,0),"Nein"))</f>
        <v>2+3</v>
      </c>
      <c r="CA1561" s="52" t="n">
        <f aca="false">IF(BW1561=0,0,IF(N(S1561)&gt;0,S1561,IFERROR(VLOOKUP(D1561,Parameter!$A$35:$C$64,3,0)+0,0)))</f>
        <v>0</v>
      </c>
      <c r="CB1561" s="48" t="n">
        <f aca="false">IF(AA1561&lt;&gt;"",AA1561,Z1561)</f>
        <v>3</v>
      </c>
      <c r="CC1561" s="48" t="str">
        <f aca="false">IF(OR(CB1561=1,CB1561=2,CB1561=3),IF(Parameter!$E$27="Ja","LIFT",IF(CB1561=1,"L1","L23")),IF(CB1561="Aussen","Aussen","-"))</f>
        <v>LIFT</v>
      </c>
      <c r="CD1561" s="59" t="n">
        <f aca="false">IF(N(AB1561)&gt;0,AB1561,0)</f>
        <v>0</v>
      </c>
      <c r="CE1561" s="53" t="n">
        <f aca="false">IF(ISNUMBER(AE1561),1,0)</f>
        <v>0</v>
      </c>
      <c r="CF1561" s="50" t="n">
        <f aca="false">N(AE1561)</f>
        <v>0</v>
      </c>
      <c r="CG1561" s="50" t="n">
        <f aca="false">N(M1561)+N(N1561)</f>
        <v>1</v>
      </c>
      <c r="CH1561" s="50" t="n">
        <f aca="false">ROUNDUP(H1561/BV1561,0)</f>
        <v>1</v>
      </c>
      <c r="CI1561" s="50" t="n">
        <f aca="false">ROUNDUP(CF1561/BV1561,0)</f>
        <v>0</v>
      </c>
      <c r="CJ1561" s="53" t="n">
        <f aca="false">IF(BW1561=1,0,IFERROR(VLOOKUP(BU1561,'Gebinde-Kategorie'!$A$5:$N$45,5,0)+0,0))</f>
        <v>11</v>
      </c>
      <c r="CK1561" s="53" t="n">
        <f aca="false">IFERROR(IF(OR(CB1561=1,CB1561=2,CB1561=3),N(INDEX(Parameter!$I$5:$I$7,CB1561)),0),0)</f>
        <v>0</v>
      </c>
      <c r="CL1561" s="52" t="n">
        <f aca="false">IF(AND(Parameter!$B$21="Ja",ISNUMBER(W1561),N(X1561)&gt;0),IFERROR(N(INDEX(Parameter!$L$5:$L$7,W1561))*INDEX(Parameter!$E$5:$E$7,W1561)*X1561/SUMIFS($X$7:$X$1843,$W$7:$W$1843,W1561),0),0)</f>
        <v>0</v>
      </c>
    </row>
    <row r="1562" customFormat="false" ht="15" hidden="false" customHeight="false" outlineLevel="0" collapsed="false">
      <c r="A1562" s="48" t="s">
        <v>2733</v>
      </c>
      <c r="B1562" s="48" t="s">
        <v>2734</v>
      </c>
      <c r="C1562" s="48" t="s">
        <v>168</v>
      </c>
      <c r="D1562" s="48" t="s">
        <v>188</v>
      </c>
      <c r="E1562" s="48"/>
      <c r="F1562" s="48"/>
      <c r="G1562" s="49" t="n">
        <v>13.75</v>
      </c>
      <c r="H1562" s="50" t="n">
        <f aca="false">MAX(0,IF(AND(Parameter!$B$21="Ja",ISNUMBER(Y1562)),Y1562,IF(Parameter!$B$20="Jahresanfang 2025 + Export",BO1562+BN1562,BN1562)))</f>
        <v>2</v>
      </c>
      <c r="I1562" s="50" t="n">
        <f aca="false">H1562*G1562</f>
        <v>27.5</v>
      </c>
      <c r="J1562" s="50" t="n">
        <f aca="false">BQ1562*Parameter!$B$18</f>
        <v>0</v>
      </c>
      <c r="K1562" s="51"/>
      <c r="L1562" s="52"/>
      <c r="M1562" s="50" t="n">
        <v>0</v>
      </c>
      <c r="N1562" s="50" t="n">
        <v>25</v>
      </c>
      <c r="O1562" s="53" t="n">
        <v>21</v>
      </c>
      <c r="P1562" s="48" t="s">
        <v>172</v>
      </c>
      <c r="Q1562" s="50"/>
      <c r="R1562" s="53" t="n">
        <f aca="false">IF(BW1562=1,0,IFERROR(VLOOKUP(BU1562,'Gebinde-Kategorie'!$A$5:$N$45,13,0)+0,0))</f>
        <v>26</v>
      </c>
      <c r="S1562" s="54"/>
      <c r="T1562" s="55" t="s">
        <v>279</v>
      </c>
      <c r="U1562" s="55"/>
      <c r="V1562" s="55"/>
      <c r="W1562" s="48"/>
      <c r="X1562" s="50"/>
      <c r="Y1562" s="50"/>
      <c r="Z1562" s="48" t="n">
        <f aca="false">IF(A1562="","",IF(AND(Parameter!$B$21="Ja",ISNUMBER(W1562)),W1562,IF(BZ1562="2+3",IF(ISNUMBER(SEARCH("grosser Artikel",BR1562)),2,IFERROR(VLOOKUP(BU1562,Parameter!$F$35:$G$64,2,0),2)),IF(OR(BZ1562="Nein",BZ1562=""),"-",BZ1562))))</f>
        <v>3</v>
      </c>
      <c r="AA1562" s="55"/>
      <c r="AB1562" s="56"/>
      <c r="AC1562" s="50" t="n">
        <f aca="false">AT1562</f>
        <v>25</v>
      </c>
      <c r="AD1562" s="50" t="n">
        <f aca="false">MAX(AT1562,H1562)</f>
        <v>25</v>
      </c>
      <c r="AE1562" s="57"/>
      <c r="AF1562" s="50" t="n">
        <f aca="false">IF(LEFT(Cockpit!$C$5,1)="A",H1562,IF(CE1562=1,CF1562,IF(LEFT(Cockpit!$C$5,1)="B",AK1562,MAX(AK1562,H1562))))</f>
        <v>2</v>
      </c>
      <c r="AG1562" s="50" t="n">
        <f aca="false">IF(BW1562=1,0,ROUNDUP(AF1562/BV1562,0))</f>
        <v>1</v>
      </c>
      <c r="AH1562" s="52" t="n">
        <f aca="false">IF(CL1562&gt;0,CL1562*MAX(1,AF1562/X1562),IF(BW1562=1,IF(AF1562&lt;=0,0,CA1562*MAX(1,IF(H1562&gt;0,AF1562/H1562,1))),IF(R1562&gt;0,AG1562/R1562,0))/MAX(0.1,N(Parameter!$M$21)))</f>
        <v>0.0384615384615385</v>
      </c>
      <c r="AI1562" s="50" t="n">
        <f aca="false">AH1562*BY1562</f>
        <v>5.96153846153846</v>
      </c>
      <c r="AJ1562" s="50" t="n">
        <f aca="false">AF1562*G1562</f>
        <v>27.5</v>
      </c>
      <c r="AK1562" s="50" t="n">
        <f aca="false">ROUNDUP(MAX(J1562/IF(CD1562&gt;0,CD1562,MAX(0.1,N(Cockpit!$C$6))),CG1562)/BV1562,0)*BV1562</f>
        <v>25</v>
      </c>
      <c r="AL1562" s="51" t="n">
        <f aca="false">IF(AI1562&gt;0,J1562/AI1562,-1)</f>
        <v>0</v>
      </c>
      <c r="AM1562" s="51" t="n">
        <f aca="false">IF(AND(OR(CC1562="L1",CC1562="L23",CC1562="LIFT"),AI1562&gt;0),SUMIFS($AI$7:$AI$1843,$CC$7:$CC$1843,CC1562,$AL$7:$AL$1843,"&gt;"&amp;AL1562)+SUMIFS($AI$7:$AI$1843,$CC$7:$CC$1843,CC1562,$AL$7:$AL$1843,AL1562,$BT$7:$BT$1843,"&lt;="&amp;BT1562),"")</f>
        <v>30276.4939027545</v>
      </c>
      <c r="AN1562" s="58" t="n">
        <f aca="false">IF(AM1562="",0,MAX(0,MIN(1,(IF(CC1562="L1",Parameter!$H$5,IF(CC1562="L23",Parameter!$H$6+Parameter!$H$7,Parameter!$H$5+Parameter!$H$6+Parameter!$H$7))-(AM1562-AI1562))/AI1562)))</f>
        <v>1</v>
      </c>
      <c r="AO1562" s="50" t="n">
        <f aca="false">IF(LEFT(Cockpit!$I$5,1)="A",H1562,IF(CE1562=1,CF1562,IF(LEFT(Cockpit!$I$5,1)="B",AT1562,MAX(AT1562,H1562))))</f>
        <v>25</v>
      </c>
      <c r="AP1562" s="50" t="n">
        <f aca="false">IF(BW1562=1,0,ROUNDUP(AO1562/BV1562,0))</f>
        <v>1</v>
      </c>
      <c r="AQ1562" s="52" t="n">
        <f aca="false">IF(CL1562&gt;0,CL1562*MAX(1,AO1562/X1562),IF(BW1562=1,IF(AO1562&lt;=0,0,CA1562*MAX(1,IF(H1562&gt;0,AO1562/H1562,1))),IF(R1562&gt;0,AP1562/R1562,0))/MAX(0.1,N(Parameter!$M$21)))</f>
        <v>0.0384615384615385</v>
      </c>
      <c r="AR1562" s="50" t="n">
        <f aca="false">AQ1562*BY1562</f>
        <v>5.96153846153846</v>
      </c>
      <c r="AS1562" s="50" t="n">
        <f aca="false">AO1562*G1562</f>
        <v>343.75</v>
      </c>
      <c r="AT1562" s="50" t="n">
        <f aca="false">ROUNDUP(MAX(J1562/IF(CD1562&gt;0,CD1562,MAX(0.1,N(Cockpit!$I$6))),CG1562)/BV1562,0)*BV1562</f>
        <v>25</v>
      </c>
      <c r="AU1562" s="51" t="n">
        <f aca="false">IF(AR1562&gt;0,J1562/AR1562,-1)</f>
        <v>0</v>
      </c>
      <c r="AV1562" s="51" t="n">
        <f aca="false">IF(AND(OR(CC1562="L1",CC1562="L23",CC1562="LIFT"),AR1562&gt;0),SUMIFS($AR$7:$AR$1843,$CC$7:$CC$1843,CC1562,$AU$7:$AU$1843,"&gt;"&amp;AU1562)+SUMIFS($AR$7:$AR$1843,$CC$7:$CC$1843,CC1562,$AU$7:$AU$1843,AU1562,$BT$7:$BT$1843,"&lt;="&amp;BT1562),"")</f>
        <v>42638.3962148962</v>
      </c>
      <c r="AW1562" s="58" t="n">
        <f aca="false">IF(AV1562="",0,MAX(0,MIN(1,(IF(CC1562="L1",Parameter!$H$5,IF(CC1562="L23",Parameter!$H$6+Parameter!$H$7,Parameter!$H$5+Parameter!$H$6+Parameter!$H$7))-(AV1562-AR1562))/AR1562)))</f>
        <v>0</v>
      </c>
      <c r="AX1562" s="50" t="n">
        <f aca="false">IF(LEFT(Cockpit!$O$5,1)="A",H1562,IF(CE1562=1,CF1562,IF(LEFT(Cockpit!$O$5,1)="B",BC1562,MAX(BC1562,H1562))))</f>
        <v>25</v>
      </c>
      <c r="AY1562" s="50" t="n">
        <f aca="false">IF(BW1562=1,0,ROUNDUP(AX1562/BV1562,0))</f>
        <v>1</v>
      </c>
      <c r="AZ1562" s="52" t="n">
        <f aca="false">IF(CL1562&gt;0,CL1562*MAX(1,AX1562/X1562),IF(BW1562=1,IF(AX1562&lt;=0,0,CA1562*MAX(1,IF(H1562&gt;0,AX1562/H1562,1))),IF(R1562&gt;0,AY1562/R1562,0))/MAX(0.1,N(Parameter!$M$21)))</f>
        <v>0.0384615384615385</v>
      </c>
      <c r="BA1562" s="50" t="n">
        <f aca="false">AZ1562*BY1562</f>
        <v>5.96153846153846</v>
      </c>
      <c r="BB1562" s="50" t="n">
        <f aca="false">AX1562*G1562</f>
        <v>343.75</v>
      </c>
      <c r="BC1562" s="50" t="n">
        <f aca="false">ROUNDUP(MAX(J1562/IF(CD1562&gt;0,CD1562,MAX(0.1,N(Cockpit!$O$6))),CG1562)/BV1562,0)*BV1562</f>
        <v>25</v>
      </c>
      <c r="BD1562" s="51" t="n">
        <f aca="false">IF(BA1562&gt;0,J1562/BA1562,-1)</f>
        <v>0</v>
      </c>
      <c r="BE1562" s="51" t="n">
        <f aca="false">IF(AND(OR(CC1562="L1",CC1562="L23",CC1562="LIFT"),BA1562&gt;0),SUMIFS($BA$7:$BA$1843,$CC$7:$CC$1843,CC1562,$BD$7:$BD$1843,"&gt;"&amp;BD1562)+SUMIFS($BA$7:$BA$1843,$CC$7:$CC$1843,CC1562,$BD$7:$BD$1843,BD1562,$BT$7:$BT$1843,"&lt;="&amp;BT1562),"")</f>
        <v>39313.4082567621</v>
      </c>
      <c r="BF1562" s="58" t="n">
        <f aca="false">IF(BE1562="",0,MAX(0,MIN(1,(IF(CC1562="L1",Parameter!$H$5,IF(CC1562="L23",Parameter!$H$6+Parameter!$H$7,Parameter!$H$5+Parameter!$H$6+Parameter!$H$7))-(BE1562-BA1562))/BA1562)))</f>
        <v>0</v>
      </c>
      <c r="BG1562" s="48" t="str">
        <f aca="false">IF(AI1562&lt;=0,"",IF(CC1562="Aussen","Aussenlager",IF(CC1562="-","Nicht im Lift",IF(AN1562&gt;=1,"Lift",IF(AN1562&lt;=0,"Aussenlager","teilweise")))))</f>
        <v>Lift</v>
      </c>
      <c r="BH1562" s="48" t="str">
        <f aca="false">IF(AR1562&lt;=0,"",IF(CC1562="Aussen","Aussenlager",IF(CC1562="-","Nicht im Lift",IF(AW1562&gt;=1,"Lift",IF(AW1562&lt;=0,"Aussenlager","teilweise")))))</f>
        <v>Aussenlager</v>
      </c>
      <c r="BI1562" s="48" t="str">
        <f aca="false">IF(BA1562&lt;=0,"",IF(CC1562="Aussen","Aussenlager",IF(CC1562="-","Nicht im Lift",IF(BF1562&gt;=1,"Lift",IF(BF1562&lt;=0,"Aussenlager","teilweise")))))</f>
        <v>Aussenlager</v>
      </c>
      <c r="BJ1562" s="48" t="str">
        <f aca="false">IF(A1562="","",IF(BS1562=1,"Neu; ","")&amp;IF(AND(BS1562=0,BN1562&lt;0),"negativer Bestand (Export "&amp;BN1562&amp;"); ","")&amp;IF(J1562&lt;=0,"Kein Verbrauch; ","")&amp;IF(CL1562&gt;0,"Lift "&amp;W1562&amp;" lt. Liftbericht (Fach "&amp;X1562&amp;" Stk); ",IF(BX1562=1,"Gebinde geschätzt ("&amp;T1562&amp;"); ",IF(BW1562=1,"Lose – Tablare geschätzt; ","")))&amp;IF(H1562&gt;AT1562,"Überbestand "&amp;ROUND(H1562-AT1562,0)&amp;" Stk / CHF "&amp;ROUND((H1562-AT1562)*G1562,0)&amp;"; ","")&amp;IF(AND(CE1562=1,CF1562&lt;CG1562),"MAX &lt; MB+LG; ","")&amp;IF(AND(CK1562&gt;0,CJ1562*10&gt;CK1562),"zu hoch für Tablar; ","")&amp;IF(AND(BS1562=0,OR(CE1562=1,AA1562&lt;&gt;"",U1562&lt;&gt;"",V1562&lt;&gt;"",AB1562&lt;&gt;"")),"manuell übersteuert; ","")&amp;IF(AND(BW1562=0,R1562=0),"Gebinde unbekannt / Stellmass fehlt; ","")&amp;IF(AND(BW1562=0,N(V1562)&lt;=0,N(Q1562)&lt;=0),"Menge pro Gebinde fehlt (Ist = 1 Gebinde); ","")&amp;BR1562)</f>
        <v>Kein Verbrauch; Gebinde geschätzt (Klein); Menge pro Gebinde fehlt (Ist = 1 Gebinde); nur im Artikelstamm (Bestand 23.06.2026)</v>
      </c>
      <c r="BK1562" s="48"/>
      <c r="BL1562" s="48"/>
      <c r="BM1562" s="55"/>
      <c r="BN1562" s="50" t="n">
        <v>2</v>
      </c>
      <c r="BO1562" s="50" t="n">
        <v>0</v>
      </c>
      <c r="BP1562" s="49" t="n">
        <v>0</v>
      </c>
      <c r="BQ1562" s="50" t="n">
        <v>0</v>
      </c>
      <c r="BR1562" s="48" t="s">
        <v>2579</v>
      </c>
      <c r="BS1562" s="53" t="n">
        <v>0</v>
      </c>
      <c r="BT1562" s="53" t="n">
        <v>1562</v>
      </c>
      <c r="BU1562" s="48" t="str">
        <f aca="false">IF(U1562&lt;&gt;"",UPPER(TRIM(U1562)),IF(BX1562=1,UPPER(VLOOKUP(T1562,Parameter!$I$27:$K$29,2,0)),IF(P1562="","LOSE",P1562)))</f>
        <v>S51</v>
      </c>
      <c r="BV1562" s="50" t="n">
        <f aca="false">IF(BU1562="LOSE",1,IF(N(V1562)&gt;0,V1562,IF(BX1562=1,MAX(1,N(VLOOKUP(T1562,Parameter!$I$27:$K$29,3,0)),H1562,N(N1562)),IF(N(Q1562)&gt;0,Q1562,MAX(1,H1562)))))</f>
        <v>25</v>
      </c>
      <c r="BW1562" s="53" t="n">
        <f aca="false">IF(BU1562="LOSE",1,0)</f>
        <v>0</v>
      </c>
      <c r="BX1562" s="53" t="n">
        <f aca="false">IF(AND(U1562="",OR(P1562="",P1562="LOSE"),T1562&lt;&gt;"",N(S1562)&lt;=0,ISNUMBER(MATCH(T1562,Parameter!$I$27:$I$29,0))),1,0)</f>
        <v>1</v>
      </c>
      <c r="BY1562" s="53" t="n">
        <f aca="false">IF(CL1562&gt;0,INDEX(Parameter!$H$5:$H$7,W1562)/INDEX(Parameter!$E$5:$E$7,W1562),IF(AND(BW1562=0,N(IFERROR(VLOOKUP(BU1562,'Gebinde-Kategorie'!$A$5:$N$45,14,0),0))&gt;0),VLOOKUP(BU1562,'Gebinde-Kategorie'!$A$5:$N$45,14,0)*10+Parameter!$M$23,Parameter!$M$24))</f>
        <v>155</v>
      </c>
      <c r="BZ1562" s="48" t="str">
        <f aca="false">IF(AND(Parameter!$B$19="Ja",E1562&lt;&gt;"",ISNUMBER(MATCH(E1562,Parameter!$I$35:$I$52,0))),VLOOKUP(E1562,Parameter!$I$35:$J$52,2,0),IFERROR(VLOOKUP(D1562,Parameter!$A$35:$C$64,2,0),"Nein"))</f>
        <v>2+3</v>
      </c>
      <c r="CA1562" s="52" t="n">
        <f aca="false">IF(BW1562=0,0,IF(N(S1562)&gt;0,S1562,IFERROR(VLOOKUP(D1562,Parameter!$A$35:$C$64,3,0)+0,0)))</f>
        <v>0</v>
      </c>
      <c r="CB1562" s="48" t="n">
        <f aca="false">IF(AA1562&lt;&gt;"",AA1562,Z1562)</f>
        <v>3</v>
      </c>
      <c r="CC1562" s="48" t="str">
        <f aca="false">IF(OR(CB1562=1,CB1562=2,CB1562=3),IF(Parameter!$E$27="Ja","LIFT",IF(CB1562=1,"L1","L23")),IF(CB1562="Aussen","Aussen","-"))</f>
        <v>LIFT</v>
      </c>
      <c r="CD1562" s="59" t="n">
        <f aca="false">IF(N(AB1562)&gt;0,AB1562,0)</f>
        <v>0</v>
      </c>
      <c r="CE1562" s="53" t="n">
        <f aca="false">IF(ISNUMBER(AE1562),1,0)</f>
        <v>0</v>
      </c>
      <c r="CF1562" s="50" t="n">
        <f aca="false">N(AE1562)</f>
        <v>0</v>
      </c>
      <c r="CG1562" s="50" t="n">
        <f aca="false">N(M1562)+N(N1562)</f>
        <v>25</v>
      </c>
      <c r="CH1562" s="50" t="n">
        <f aca="false">ROUNDUP(H1562/BV1562,0)</f>
        <v>1</v>
      </c>
      <c r="CI1562" s="50" t="n">
        <f aca="false">ROUNDUP(CF1562/BV1562,0)</f>
        <v>0</v>
      </c>
      <c r="CJ1562" s="53" t="n">
        <f aca="false">IF(BW1562=1,0,IFERROR(VLOOKUP(BU1562,'Gebinde-Kategorie'!$A$5:$N$45,5,0)+0,0))</f>
        <v>11</v>
      </c>
      <c r="CK1562" s="53" t="n">
        <f aca="false">IFERROR(IF(OR(CB1562=1,CB1562=2,CB1562=3),N(INDEX(Parameter!$I$5:$I$7,CB1562)),0),0)</f>
        <v>0</v>
      </c>
      <c r="CL1562" s="52" t="n">
        <f aca="false">IF(AND(Parameter!$B$21="Ja",ISNUMBER(W1562),N(X1562)&gt;0),IFERROR(N(INDEX(Parameter!$L$5:$L$7,W1562))*INDEX(Parameter!$E$5:$E$7,W1562)*X1562/SUMIFS($X$7:$X$1843,$W$7:$W$1843,W1562),0),0)</f>
        <v>0</v>
      </c>
    </row>
    <row r="1563" customFormat="false" ht="15" hidden="false" customHeight="false" outlineLevel="0" collapsed="false">
      <c r="A1563" s="48" t="s">
        <v>2735</v>
      </c>
      <c r="B1563" s="48" t="s">
        <v>2736</v>
      </c>
      <c r="C1563" s="48" t="s">
        <v>460</v>
      </c>
      <c r="D1563" s="48" t="s">
        <v>177</v>
      </c>
      <c r="E1563" s="48"/>
      <c r="F1563" s="48"/>
      <c r="G1563" s="49" t="n">
        <v>118</v>
      </c>
      <c r="H1563" s="50" t="n">
        <f aca="false">MAX(0,IF(AND(Parameter!$B$21="Ja",ISNUMBER(Y1563)),Y1563,IF(Parameter!$B$20="Jahresanfang 2025 + Export",BO1563+BN1563,BN1563)))</f>
        <v>6</v>
      </c>
      <c r="I1563" s="50" t="n">
        <f aca="false">H1563*G1563</f>
        <v>708</v>
      </c>
      <c r="J1563" s="50" t="n">
        <f aca="false">BQ1563*Parameter!$B$18</f>
        <v>0</v>
      </c>
      <c r="K1563" s="51"/>
      <c r="L1563" s="52"/>
      <c r="M1563" s="50" t="n">
        <v>0</v>
      </c>
      <c r="N1563" s="50" t="n">
        <v>1</v>
      </c>
      <c r="O1563" s="53" t="n">
        <v>0</v>
      </c>
      <c r="P1563" s="48" t="s">
        <v>172</v>
      </c>
      <c r="Q1563" s="50"/>
      <c r="R1563" s="53" t="n">
        <f aca="false">IF(BW1563=1,0,IFERROR(VLOOKUP(BU1563,'Gebinde-Kategorie'!$A$5:$N$45,13,0)+0,0))</f>
        <v>12</v>
      </c>
      <c r="S1563" s="54"/>
      <c r="T1563" s="55" t="s">
        <v>183</v>
      </c>
      <c r="U1563" s="55"/>
      <c r="V1563" s="55"/>
      <c r="W1563" s="48"/>
      <c r="X1563" s="50"/>
      <c r="Y1563" s="50"/>
      <c r="Z1563" s="48" t="n">
        <f aca="false">IF(A1563="","",IF(AND(Parameter!$B$21="Ja",ISNUMBER(W1563)),W1563,IF(BZ1563="2+3",IF(ISNUMBER(SEARCH("grosser Artikel",BR1563)),2,IFERROR(VLOOKUP(BU1563,Parameter!$F$35:$G$64,2,0),2)),IF(OR(BZ1563="Nein",BZ1563=""),"-",BZ1563))))</f>
        <v>2</v>
      </c>
      <c r="AA1563" s="55"/>
      <c r="AB1563" s="56"/>
      <c r="AC1563" s="50" t="n">
        <f aca="false">AT1563</f>
        <v>6</v>
      </c>
      <c r="AD1563" s="50" t="n">
        <f aca="false">MAX(AT1563,H1563)</f>
        <v>6</v>
      </c>
      <c r="AE1563" s="57"/>
      <c r="AF1563" s="50" t="n">
        <f aca="false">IF(LEFT(Cockpit!$C$5,1)="A",H1563,IF(CE1563=1,CF1563,IF(LEFT(Cockpit!$C$5,1)="B",AK1563,MAX(AK1563,H1563))))</f>
        <v>6</v>
      </c>
      <c r="AG1563" s="50" t="n">
        <f aca="false">IF(BW1563=1,0,ROUNDUP(AF1563/BV1563,0))</f>
        <v>1</v>
      </c>
      <c r="AH1563" s="52" t="n">
        <f aca="false">IF(CL1563&gt;0,CL1563*MAX(1,AF1563/X1563),IF(BW1563=1,IF(AF1563&lt;=0,0,CA1563*MAX(1,IF(H1563&gt;0,AF1563/H1563,1))),IF(R1563&gt;0,AG1563/R1563,0))/MAX(0.1,N(Parameter!$M$21)))</f>
        <v>0.0833333333333333</v>
      </c>
      <c r="AI1563" s="50" t="n">
        <f aca="false">AH1563*BY1563</f>
        <v>12.0833333333333</v>
      </c>
      <c r="AJ1563" s="50" t="n">
        <f aca="false">AF1563*G1563</f>
        <v>708</v>
      </c>
      <c r="AK1563" s="50" t="n">
        <f aca="false">ROUNDUP(MAX(J1563/IF(CD1563&gt;0,CD1563,MAX(0.1,N(Cockpit!$C$6))),CG1563)/BV1563,0)*BV1563</f>
        <v>6</v>
      </c>
      <c r="AL1563" s="51" t="n">
        <f aca="false">IF(AI1563&gt;0,J1563/AI1563,-1)</f>
        <v>0</v>
      </c>
      <c r="AM1563" s="51" t="n">
        <f aca="false">IF(AND(OR(CC1563="L1",CC1563="L23",CC1563="LIFT"),AI1563&gt;0),SUMIFS($AI$7:$AI$1843,$CC$7:$CC$1843,CC1563,$AL$7:$AL$1843,"&gt;"&amp;AL1563)+SUMIFS($AI$7:$AI$1843,$CC$7:$CC$1843,CC1563,$AL$7:$AL$1843,AL1563,$BT$7:$BT$1843,"&lt;="&amp;BT1563),"")</f>
        <v>30288.5772360878</v>
      </c>
      <c r="AN1563" s="58" t="n">
        <f aca="false">IF(AM1563="",0,MAX(0,MIN(1,(IF(CC1563="L1",Parameter!$H$5,IF(CC1563="L23",Parameter!$H$6+Parameter!$H$7,Parameter!$H$5+Parameter!$H$6+Parameter!$H$7))-(AM1563-AI1563))/AI1563)))</f>
        <v>1</v>
      </c>
      <c r="AO1563" s="50" t="n">
        <f aca="false">IF(LEFT(Cockpit!$I$5,1)="A",H1563,IF(CE1563=1,CF1563,IF(LEFT(Cockpit!$I$5,1)="B",AT1563,MAX(AT1563,H1563))))</f>
        <v>6</v>
      </c>
      <c r="AP1563" s="50" t="n">
        <f aca="false">IF(BW1563=1,0,ROUNDUP(AO1563/BV1563,0))</f>
        <v>1</v>
      </c>
      <c r="AQ1563" s="52" t="n">
        <f aca="false">IF(CL1563&gt;0,CL1563*MAX(1,AO1563/X1563),IF(BW1563=1,IF(AO1563&lt;=0,0,CA1563*MAX(1,IF(H1563&gt;0,AO1563/H1563,1))),IF(R1563&gt;0,AP1563/R1563,0))/MAX(0.1,N(Parameter!$M$21)))</f>
        <v>0.0833333333333333</v>
      </c>
      <c r="AR1563" s="50" t="n">
        <f aca="false">AQ1563*BY1563</f>
        <v>12.0833333333333</v>
      </c>
      <c r="AS1563" s="50" t="n">
        <f aca="false">AO1563*G1563</f>
        <v>708</v>
      </c>
      <c r="AT1563" s="50" t="n">
        <f aca="false">ROUNDUP(MAX(J1563/IF(CD1563&gt;0,CD1563,MAX(0.1,N(Cockpit!$I$6))),CG1563)/BV1563,0)*BV1563</f>
        <v>6</v>
      </c>
      <c r="AU1563" s="51" t="n">
        <f aca="false">IF(AR1563&gt;0,J1563/AR1563,-1)</f>
        <v>0</v>
      </c>
      <c r="AV1563" s="51" t="n">
        <f aca="false">IF(AND(OR(CC1563="L1",CC1563="L23",CC1563="LIFT"),AR1563&gt;0),SUMIFS($AR$7:$AR$1843,$CC$7:$CC$1843,CC1563,$AU$7:$AU$1843,"&gt;"&amp;AU1563)+SUMIFS($AR$7:$AR$1843,$CC$7:$CC$1843,CC1563,$AU$7:$AU$1843,AU1563,$BT$7:$BT$1843,"&lt;="&amp;BT1563),"")</f>
        <v>42650.4795482296</v>
      </c>
      <c r="AW1563" s="58" t="n">
        <f aca="false">IF(AV1563="",0,MAX(0,MIN(1,(IF(CC1563="L1",Parameter!$H$5,IF(CC1563="L23",Parameter!$H$6+Parameter!$H$7,Parameter!$H$5+Parameter!$H$6+Parameter!$H$7))-(AV1563-AR1563))/AR1563)))</f>
        <v>0</v>
      </c>
      <c r="AX1563" s="50" t="n">
        <f aca="false">IF(LEFT(Cockpit!$O$5,1)="A",H1563,IF(CE1563=1,CF1563,IF(LEFT(Cockpit!$O$5,1)="B",BC1563,MAX(BC1563,H1563))))</f>
        <v>6</v>
      </c>
      <c r="AY1563" s="50" t="n">
        <f aca="false">IF(BW1563=1,0,ROUNDUP(AX1563/BV1563,0))</f>
        <v>1</v>
      </c>
      <c r="AZ1563" s="52" t="n">
        <f aca="false">IF(CL1563&gt;0,CL1563*MAX(1,AX1563/X1563),IF(BW1563=1,IF(AX1563&lt;=0,0,CA1563*MAX(1,IF(H1563&gt;0,AX1563/H1563,1))),IF(R1563&gt;0,AY1563/R1563,0))/MAX(0.1,N(Parameter!$M$21)))</f>
        <v>0.0833333333333333</v>
      </c>
      <c r="BA1563" s="50" t="n">
        <f aca="false">AZ1563*BY1563</f>
        <v>12.0833333333333</v>
      </c>
      <c r="BB1563" s="50" t="n">
        <f aca="false">AX1563*G1563</f>
        <v>708</v>
      </c>
      <c r="BC1563" s="50" t="n">
        <f aca="false">ROUNDUP(MAX(J1563/IF(CD1563&gt;0,CD1563,MAX(0.1,N(Cockpit!$O$6))),CG1563)/BV1563,0)*BV1563</f>
        <v>6</v>
      </c>
      <c r="BD1563" s="51" t="n">
        <f aca="false">IF(BA1563&gt;0,J1563/BA1563,-1)</f>
        <v>0</v>
      </c>
      <c r="BE1563" s="51" t="n">
        <f aca="false">IF(AND(OR(CC1563="L1",CC1563="L23",CC1563="LIFT"),BA1563&gt;0),SUMIFS($BA$7:$BA$1843,$CC$7:$CC$1843,CC1563,$BD$7:$BD$1843,"&gt;"&amp;BD1563)+SUMIFS($BA$7:$BA$1843,$CC$7:$CC$1843,CC1563,$BD$7:$BD$1843,BD1563,$BT$7:$BT$1843,"&lt;="&amp;BT1563),"")</f>
        <v>39325.4915900954</v>
      </c>
      <c r="BF1563" s="58" t="n">
        <f aca="false">IF(BE1563="",0,MAX(0,MIN(1,(IF(CC1563="L1",Parameter!$H$5,IF(CC1563="L23",Parameter!$H$6+Parameter!$H$7,Parameter!$H$5+Parameter!$H$6+Parameter!$H$7))-(BE1563-BA1563))/BA1563)))</f>
        <v>0</v>
      </c>
      <c r="BG1563" s="48" t="str">
        <f aca="false">IF(AI1563&lt;=0,"",IF(CC1563="Aussen","Aussenlager",IF(CC1563="-","Nicht im Lift",IF(AN1563&gt;=1,"Lift",IF(AN1563&lt;=0,"Aussenlager","teilweise")))))</f>
        <v>Lift</v>
      </c>
      <c r="BH1563" s="48" t="str">
        <f aca="false">IF(AR1563&lt;=0,"",IF(CC1563="Aussen","Aussenlager",IF(CC1563="-","Nicht im Lift",IF(AW1563&gt;=1,"Lift",IF(AW1563&lt;=0,"Aussenlager","teilweise")))))</f>
        <v>Aussenlager</v>
      </c>
      <c r="BI1563" s="48" t="str">
        <f aca="false">IF(BA1563&lt;=0,"",IF(CC1563="Aussen","Aussenlager",IF(CC1563="-","Nicht im Lift",IF(BF1563&gt;=1,"Lift",IF(BF1563&lt;=0,"Aussenlager","teilweise")))))</f>
        <v>Aussenlager</v>
      </c>
      <c r="BJ1563" s="48" t="str">
        <f aca="false">IF(A1563="","",IF(BS1563=1,"Neu; ","")&amp;IF(AND(BS1563=0,BN1563&lt;0),"negativer Bestand (Export "&amp;BN1563&amp;"); ","")&amp;IF(J1563&lt;=0,"Kein Verbrauch; ","")&amp;IF(CL1563&gt;0,"Lift "&amp;W1563&amp;" lt. Liftbericht (Fach "&amp;X1563&amp;" Stk); ",IF(BX1563=1,"Gebinde geschätzt ("&amp;T1563&amp;"); ",IF(BW1563=1,"Lose – Tablare geschätzt; ","")))&amp;IF(H1563&gt;AT1563,"Überbestand "&amp;ROUND(H1563-AT1563,0)&amp;" Stk / CHF "&amp;ROUND((H1563-AT1563)*G1563,0)&amp;"; ","")&amp;IF(AND(CE1563=1,CF1563&lt;CG1563),"MAX &lt; MB+LG; ","")&amp;IF(AND(CK1563&gt;0,CJ1563*10&gt;CK1563),"zu hoch für Tablar; ","")&amp;IF(AND(BS1563=0,OR(CE1563=1,AA1563&lt;&gt;"",U1563&lt;&gt;"",V1563&lt;&gt;"",AB1563&lt;&gt;"")),"manuell übersteuert; ","")&amp;IF(AND(BW1563=0,R1563=0),"Gebinde unbekannt / Stellmass fehlt; ","")&amp;IF(AND(BW1563=0,N(V1563)&lt;=0,N(Q1563)&lt;=0),"Menge pro Gebinde fehlt (Ist = 1 Gebinde); ","")&amp;BR1563)</f>
        <v>Kein Verbrauch; Gebinde geschätzt (Mittel); Menge pro Gebinde fehlt (Ist = 1 Gebinde); nur im Artikelstamm (Bestand 23.06.2026)</v>
      </c>
      <c r="BK1563" s="48"/>
      <c r="BL1563" s="48"/>
      <c r="BM1563" s="55"/>
      <c r="BN1563" s="50" t="n">
        <v>6</v>
      </c>
      <c r="BO1563" s="50" t="n">
        <v>0</v>
      </c>
      <c r="BP1563" s="49" t="n">
        <v>0</v>
      </c>
      <c r="BQ1563" s="50" t="n">
        <v>0</v>
      </c>
      <c r="BR1563" s="48" t="s">
        <v>2579</v>
      </c>
      <c r="BS1563" s="53" t="n">
        <v>0</v>
      </c>
      <c r="BT1563" s="53" t="n">
        <v>1563</v>
      </c>
      <c r="BU1563" s="48" t="str">
        <f aca="false">IF(U1563&lt;&gt;"",UPPER(TRIM(U1563)),IF(BX1563=1,UPPER(VLOOKUP(T1563,Parameter!$I$27:$K$29,2,0)),IF(P1563="","LOSE",P1563)))</f>
        <v>S61</v>
      </c>
      <c r="BV1563" s="50" t="n">
        <f aca="false">IF(BU1563="LOSE",1,IF(N(V1563)&gt;0,V1563,IF(BX1563=1,MAX(1,N(VLOOKUP(T1563,Parameter!$I$27:$K$29,3,0)),H1563,N(N1563)),IF(N(Q1563)&gt;0,Q1563,MAX(1,H1563)))))</f>
        <v>6</v>
      </c>
      <c r="BW1563" s="53" t="n">
        <f aca="false">IF(BU1563="LOSE",1,0)</f>
        <v>0</v>
      </c>
      <c r="BX1563" s="53" t="n">
        <f aca="false">IF(AND(U1563="",OR(P1563="",P1563="LOSE"),T1563&lt;&gt;"",N(S1563)&lt;=0,ISNUMBER(MATCH(T1563,Parameter!$I$27:$I$29,0))),1,0)</f>
        <v>1</v>
      </c>
      <c r="BY1563" s="53" t="n">
        <f aca="false">IF(CL1563&gt;0,INDEX(Parameter!$H$5:$H$7,W1563)/INDEX(Parameter!$E$5:$E$7,W1563),IF(AND(BW1563=0,N(IFERROR(VLOOKUP(BU1563,'Gebinde-Kategorie'!$A$5:$N$45,14,0),0))&gt;0),VLOOKUP(BU1563,'Gebinde-Kategorie'!$A$5:$N$45,14,0)*10+Parameter!$M$23,Parameter!$M$24))</f>
        <v>145</v>
      </c>
      <c r="BZ1563" s="48" t="str">
        <f aca="false">IF(AND(Parameter!$B$19="Ja",E1563&lt;&gt;"",ISNUMBER(MATCH(E1563,Parameter!$I$35:$I$52,0))),VLOOKUP(E1563,Parameter!$I$35:$J$52,2,0),IFERROR(VLOOKUP(D1563,Parameter!$A$35:$C$64,2,0),"Nein"))</f>
        <v>2+3</v>
      </c>
      <c r="CA1563" s="52" t="n">
        <f aca="false">IF(BW1563=0,0,IF(N(S1563)&gt;0,S1563,IFERROR(VLOOKUP(D1563,Parameter!$A$35:$C$64,3,0)+0,0)))</f>
        <v>0</v>
      </c>
      <c r="CB1563" s="48" t="n">
        <f aca="false">IF(AA1563&lt;&gt;"",AA1563,Z1563)</f>
        <v>2</v>
      </c>
      <c r="CC1563" s="48" t="str">
        <f aca="false">IF(OR(CB1563=1,CB1563=2,CB1563=3),IF(Parameter!$E$27="Ja","LIFT",IF(CB1563=1,"L1","L23")),IF(CB1563="Aussen","Aussen","-"))</f>
        <v>LIFT</v>
      </c>
      <c r="CD1563" s="59" t="n">
        <f aca="false">IF(N(AB1563)&gt;0,AB1563,0)</f>
        <v>0</v>
      </c>
      <c r="CE1563" s="53" t="n">
        <f aca="false">IF(ISNUMBER(AE1563),1,0)</f>
        <v>0</v>
      </c>
      <c r="CF1563" s="50" t="n">
        <f aca="false">N(AE1563)</f>
        <v>0</v>
      </c>
      <c r="CG1563" s="50" t="n">
        <f aca="false">N(M1563)+N(N1563)</f>
        <v>1</v>
      </c>
      <c r="CH1563" s="50" t="n">
        <f aca="false">ROUNDUP(H1563/BV1563,0)</f>
        <v>1</v>
      </c>
      <c r="CI1563" s="50" t="n">
        <f aca="false">ROUNDUP(CF1563/BV1563,0)</f>
        <v>0</v>
      </c>
      <c r="CJ1563" s="53" t="n">
        <f aca="false">IF(BW1563=1,0,IFERROR(VLOOKUP(BU1563,'Gebinde-Kategorie'!$A$5:$N$45,5,0)+0,0))</f>
        <v>11</v>
      </c>
      <c r="CK1563" s="53" t="n">
        <f aca="false">IFERROR(IF(OR(CB1563=1,CB1563=2,CB1563=3),N(INDEX(Parameter!$I$5:$I$7,CB1563)),0),0)</f>
        <v>0</v>
      </c>
      <c r="CL1563" s="52" t="n">
        <f aca="false">IF(AND(Parameter!$B$21="Ja",ISNUMBER(W1563),N(X1563)&gt;0),IFERROR(N(INDEX(Parameter!$L$5:$L$7,W1563))*INDEX(Parameter!$E$5:$E$7,W1563)*X1563/SUMIFS($X$7:$X$1843,$W$7:$W$1843,W1563),0),0)</f>
        <v>0</v>
      </c>
    </row>
    <row r="1564" customFormat="false" ht="15" hidden="false" customHeight="false" outlineLevel="0" collapsed="false">
      <c r="A1564" s="48" t="s">
        <v>2737</v>
      </c>
      <c r="B1564" s="48" t="s">
        <v>2736</v>
      </c>
      <c r="C1564" s="48" t="s">
        <v>460</v>
      </c>
      <c r="D1564" s="48" t="s">
        <v>177</v>
      </c>
      <c r="E1564" s="48"/>
      <c r="F1564" s="48"/>
      <c r="G1564" s="49" t="n">
        <v>178</v>
      </c>
      <c r="H1564" s="50" t="n">
        <f aca="false">MAX(0,IF(AND(Parameter!$B$21="Ja",ISNUMBER(Y1564)),Y1564,IF(Parameter!$B$20="Jahresanfang 2025 + Export",BO1564+BN1564,BN1564)))</f>
        <v>10</v>
      </c>
      <c r="I1564" s="50" t="n">
        <f aca="false">H1564*G1564</f>
        <v>1780</v>
      </c>
      <c r="J1564" s="50" t="n">
        <f aca="false">BQ1564*Parameter!$B$18</f>
        <v>0</v>
      </c>
      <c r="K1564" s="51"/>
      <c r="L1564" s="52"/>
      <c r="M1564" s="50" t="n">
        <v>0</v>
      </c>
      <c r="N1564" s="50" t="n">
        <v>1</v>
      </c>
      <c r="O1564" s="53" t="n">
        <v>0</v>
      </c>
      <c r="P1564" s="48" t="s">
        <v>172</v>
      </c>
      <c r="Q1564" s="50"/>
      <c r="R1564" s="53" t="n">
        <f aca="false">IF(BW1564=1,0,IFERROR(VLOOKUP(BU1564,'Gebinde-Kategorie'!$A$5:$N$45,13,0)+0,0))</f>
        <v>12</v>
      </c>
      <c r="S1564" s="54"/>
      <c r="T1564" s="55" t="s">
        <v>183</v>
      </c>
      <c r="U1564" s="55"/>
      <c r="V1564" s="55"/>
      <c r="W1564" s="48"/>
      <c r="X1564" s="50"/>
      <c r="Y1564" s="50"/>
      <c r="Z1564" s="48" t="n">
        <f aca="false">IF(A1564="","",IF(AND(Parameter!$B$21="Ja",ISNUMBER(W1564)),W1564,IF(BZ1564="2+3",IF(ISNUMBER(SEARCH("grosser Artikel",BR1564)),2,IFERROR(VLOOKUP(BU1564,Parameter!$F$35:$G$64,2,0),2)),IF(OR(BZ1564="Nein",BZ1564=""),"-",BZ1564))))</f>
        <v>2</v>
      </c>
      <c r="AA1564" s="55"/>
      <c r="AB1564" s="56"/>
      <c r="AC1564" s="50" t="n">
        <f aca="false">AT1564</f>
        <v>10</v>
      </c>
      <c r="AD1564" s="50" t="n">
        <f aca="false">MAX(AT1564,H1564)</f>
        <v>10</v>
      </c>
      <c r="AE1564" s="57"/>
      <c r="AF1564" s="50" t="n">
        <f aca="false">IF(LEFT(Cockpit!$C$5,1)="A",H1564,IF(CE1564=1,CF1564,IF(LEFT(Cockpit!$C$5,1)="B",AK1564,MAX(AK1564,H1564))))</f>
        <v>10</v>
      </c>
      <c r="AG1564" s="50" t="n">
        <f aca="false">IF(BW1564=1,0,ROUNDUP(AF1564/BV1564,0))</f>
        <v>1</v>
      </c>
      <c r="AH1564" s="52" t="n">
        <f aca="false">IF(CL1564&gt;0,CL1564*MAX(1,AF1564/X1564),IF(BW1564=1,IF(AF1564&lt;=0,0,CA1564*MAX(1,IF(H1564&gt;0,AF1564/H1564,1))),IF(R1564&gt;0,AG1564/R1564,0))/MAX(0.1,N(Parameter!$M$21)))</f>
        <v>0.0833333333333333</v>
      </c>
      <c r="AI1564" s="50" t="n">
        <f aca="false">AH1564*BY1564</f>
        <v>12.0833333333333</v>
      </c>
      <c r="AJ1564" s="50" t="n">
        <f aca="false">AF1564*G1564</f>
        <v>1780</v>
      </c>
      <c r="AK1564" s="50" t="n">
        <f aca="false">ROUNDUP(MAX(J1564/IF(CD1564&gt;0,CD1564,MAX(0.1,N(Cockpit!$C$6))),CG1564)/BV1564,0)*BV1564</f>
        <v>10</v>
      </c>
      <c r="AL1564" s="51" t="n">
        <f aca="false">IF(AI1564&gt;0,J1564/AI1564,-1)</f>
        <v>0</v>
      </c>
      <c r="AM1564" s="51" t="n">
        <f aca="false">IF(AND(OR(CC1564="L1",CC1564="L23",CC1564="LIFT"),AI1564&gt;0),SUMIFS($AI$7:$AI$1843,$CC$7:$CC$1843,CC1564,$AL$7:$AL$1843,"&gt;"&amp;AL1564)+SUMIFS($AI$7:$AI$1843,$CC$7:$CC$1843,CC1564,$AL$7:$AL$1843,AL1564,$BT$7:$BT$1843,"&lt;="&amp;BT1564),"")</f>
        <v>30300.6605694212</v>
      </c>
      <c r="AN1564" s="58" t="n">
        <f aca="false">IF(AM1564="",0,MAX(0,MIN(1,(IF(CC1564="L1",Parameter!$H$5,IF(CC1564="L23",Parameter!$H$6+Parameter!$H$7,Parameter!$H$5+Parameter!$H$6+Parameter!$H$7))-(AM1564-AI1564))/AI1564)))</f>
        <v>1</v>
      </c>
      <c r="AO1564" s="50" t="n">
        <f aca="false">IF(LEFT(Cockpit!$I$5,1)="A",H1564,IF(CE1564=1,CF1564,IF(LEFT(Cockpit!$I$5,1)="B",AT1564,MAX(AT1564,H1564))))</f>
        <v>10</v>
      </c>
      <c r="AP1564" s="50" t="n">
        <f aca="false">IF(BW1564=1,0,ROUNDUP(AO1564/BV1564,0))</f>
        <v>1</v>
      </c>
      <c r="AQ1564" s="52" t="n">
        <f aca="false">IF(CL1564&gt;0,CL1564*MAX(1,AO1564/X1564),IF(BW1564=1,IF(AO1564&lt;=0,0,CA1564*MAX(1,IF(H1564&gt;0,AO1564/H1564,1))),IF(R1564&gt;0,AP1564/R1564,0))/MAX(0.1,N(Parameter!$M$21)))</f>
        <v>0.0833333333333333</v>
      </c>
      <c r="AR1564" s="50" t="n">
        <f aca="false">AQ1564*BY1564</f>
        <v>12.0833333333333</v>
      </c>
      <c r="AS1564" s="50" t="n">
        <f aca="false">AO1564*G1564</f>
        <v>1780</v>
      </c>
      <c r="AT1564" s="50" t="n">
        <f aca="false">ROUNDUP(MAX(J1564/IF(CD1564&gt;0,CD1564,MAX(0.1,N(Cockpit!$I$6))),CG1564)/BV1564,0)*BV1564</f>
        <v>10</v>
      </c>
      <c r="AU1564" s="51" t="n">
        <f aca="false">IF(AR1564&gt;0,J1564/AR1564,-1)</f>
        <v>0</v>
      </c>
      <c r="AV1564" s="51" t="n">
        <f aca="false">IF(AND(OR(CC1564="L1",CC1564="L23",CC1564="LIFT"),AR1564&gt;0),SUMIFS($AR$7:$AR$1843,$CC$7:$CC$1843,CC1564,$AU$7:$AU$1843,"&gt;"&amp;AU1564)+SUMIFS($AR$7:$AR$1843,$CC$7:$CC$1843,CC1564,$AU$7:$AU$1843,AU1564,$BT$7:$BT$1843,"&lt;="&amp;BT1564),"")</f>
        <v>42662.5628815629</v>
      </c>
      <c r="AW1564" s="58" t="n">
        <f aca="false">IF(AV1564="",0,MAX(0,MIN(1,(IF(CC1564="L1",Parameter!$H$5,IF(CC1564="L23",Parameter!$H$6+Parameter!$H$7,Parameter!$H$5+Parameter!$H$6+Parameter!$H$7))-(AV1564-AR1564))/AR1564)))</f>
        <v>0</v>
      </c>
      <c r="AX1564" s="50" t="n">
        <f aca="false">IF(LEFT(Cockpit!$O$5,1)="A",H1564,IF(CE1564=1,CF1564,IF(LEFT(Cockpit!$O$5,1)="B",BC1564,MAX(BC1564,H1564))))</f>
        <v>10</v>
      </c>
      <c r="AY1564" s="50" t="n">
        <f aca="false">IF(BW1564=1,0,ROUNDUP(AX1564/BV1564,0))</f>
        <v>1</v>
      </c>
      <c r="AZ1564" s="52" t="n">
        <f aca="false">IF(CL1564&gt;0,CL1564*MAX(1,AX1564/X1564),IF(BW1564=1,IF(AX1564&lt;=0,0,CA1564*MAX(1,IF(H1564&gt;0,AX1564/H1564,1))),IF(R1564&gt;0,AY1564/R1564,0))/MAX(0.1,N(Parameter!$M$21)))</f>
        <v>0.0833333333333333</v>
      </c>
      <c r="BA1564" s="50" t="n">
        <f aca="false">AZ1564*BY1564</f>
        <v>12.0833333333333</v>
      </c>
      <c r="BB1564" s="50" t="n">
        <f aca="false">AX1564*G1564</f>
        <v>1780</v>
      </c>
      <c r="BC1564" s="50" t="n">
        <f aca="false">ROUNDUP(MAX(J1564/IF(CD1564&gt;0,CD1564,MAX(0.1,N(Cockpit!$O$6))),CG1564)/BV1564,0)*BV1564</f>
        <v>10</v>
      </c>
      <c r="BD1564" s="51" t="n">
        <f aca="false">IF(BA1564&gt;0,J1564/BA1564,-1)</f>
        <v>0</v>
      </c>
      <c r="BE1564" s="51" t="n">
        <f aca="false">IF(AND(OR(CC1564="L1",CC1564="L23",CC1564="LIFT"),BA1564&gt;0),SUMIFS($BA$7:$BA$1843,$CC$7:$CC$1843,CC1564,$BD$7:$BD$1843,"&gt;"&amp;BD1564)+SUMIFS($BA$7:$BA$1843,$CC$7:$CC$1843,CC1564,$BD$7:$BD$1843,BD1564,$BT$7:$BT$1843,"&lt;="&amp;BT1564),"")</f>
        <v>39337.5749234287</v>
      </c>
      <c r="BF1564" s="58" t="n">
        <f aca="false">IF(BE1564="",0,MAX(0,MIN(1,(IF(CC1564="L1",Parameter!$H$5,IF(CC1564="L23",Parameter!$H$6+Parameter!$H$7,Parameter!$H$5+Parameter!$H$6+Parameter!$H$7))-(BE1564-BA1564))/BA1564)))</f>
        <v>0</v>
      </c>
      <c r="BG1564" s="48" t="str">
        <f aca="false">IF(AI1564&lt;=0,"",IF(CC1564="Aussen","Aussenlager",IF(CC1564="-","Nicht im Lift",IF(AN1564&gt;=1,"Lift",IF(AN1564&lt;=0,"Aussenlager","teilweise")))))</f>
        <v>Lift</v>
      </c>
      <c r="BH1564" s="48" t="str">
        <f aca="false">IF(AR1564&lt;=0,"",IF(CC1564="Aussen","Aussenlager",IF(CC1564="-","Nicht im Lift",IF(AW1564&gt;=1,"Lift",IF(AW1564&lt;=0,"Aussenlager","teilweise")))))</f>
        <v>Aussenlager</v>
      </c>
      <c r="BI1564" s="48" t="str">
        <f aca="false">IF(BA1564&lt;=0,"",IF(CC1564="Aussen","Aussenlager",IF(CC1564="-","Nicht im Lift",IF(BF1564&gt;=1,"Lift",IF(BF1564&lt;=0,"Aussenlager","teilweise")))))</f>
        <v>Aussenlager</v>
      </c>
      <c r="BJ1564" s="48" t="str">
        <f aca="false">IF(A1564="","",IF(BS1564=1,"Neu; ","")&amp;IF(AND(BS1564=0,BN1564&lt;0),"negativer Bestand (Export "&amp;BN1564&amp;"); ","")&amp;IF(J1564&lt;=0,"Kein Verbrauch; ","")&amp;IF(CL1564&gt;0,"Lift "&amp;W1564&amp;" lt. Liftbericht (Fach "&amp;X1564&amp;" Stk); ",IF(BX1564=1,"Gebinde geschätzt ("&amp;T1564&amp;"); ",IF(BW1564=1,"Lose – Tablare geschätzt; ","")))&amp;IF(H1564&gt;AT1564,"Überbestand "&amp;ROUND(H1564-AT1564,0)&amp;" Stk / CHF "&amp;ROUND((H1564-AT1564)*G1564,0)&amp;"; ","")&amp;IF(AND(CE1564=1,CF1564&lt;CG1564),"MAX &lt; MB+LG; ","")&amp;IF(AND(CK1564&gt;0,CJ1564*10&gt;CK1564),"zu hoch für Tablar; ","")&amp;IF(AND(BS1564=0,OR(CE1564=1,AA1564&lt;&gt;"",U1564&lt;&gt;"",V1564&lt;&gt;"",AB1564&lt;&gt;"")),"manuell übersteuert; ","")&amp;IF(AND(BW1564=0,R1564=0),"Gebinde unbekannt / Stellmass fehlt; ","")&amp;IF(AND(BW1564=0,N(V1564)&lt;=0,N(Q1564)&lt;=0),"Menge pro Gebinde fehlt (Ist = 1 Gebinde); ","")&amp;BR1564)</f>
        <v>Kein Verbrauch; Gebinde geschätzt (Mittel); Menge pro Gebinde fehlt (Ist = 1 Gebinde); nur im Artikelstamm (Bestand 23.06.2026)</v>
      </c>
      <c r="BK1564" s="48"/>
      <c r="BL1564" s="48"/>
      <c r="BM1564" s="55"/>
      <c r="BN1564" s="50" t="n">
        <v>10</v>
      </c>
      <c r="BO1564" s="50" t="n">
        <v>0</v>
      </c>
      <c r="BP1564" s="49" t="n">
        <v>0</v>
      </c>
      <c r="BQ1564" s="50" t="n">
        <v>0</v>
      </c>
      <c r="BR1564" s="48" t="s">
        <v>2579</v>
      </c>
      <c r="BS1564" s="53" t="n">
        <v>0</v>
      </c>
      <c r="BT1564" s="53" t="n">
        <v>1564</v>
      </c>
      <c r="BU1564" s="48" t="str">
        <f aca="false">IF(U1564&lt;&gt;"",UPPER(TRIM(U1564)),IF(BX1564=1,UPPER(VLOOKUP(T1564,Parameter!$I$27:$K$29,2,0)),IF(P1564="","LOSE",P1564)))</f>
        <v>S61</v>
      </c>
      <c r="BV1564" s="50" t="n">
        <f aca="false">IF(BU1564="LOSE",1,IF(N(V1564)&gt;0,V1564,IF(BX1564=1,MAX(1,N(VLOOKUP(T1564,Parameter!$I$27:$K$29,3,0)),H1564,N(N1564)),IF(N(Q1564)&gt;0,Q1564,MAX(1,H1564)))))</f>
        <v>10</v>
      </c>
      <c r="BW1564" s="53" t="n">
        <f aca="false">IF(BU1564="LOSE",1,0)</f>
        <v>0</v>
      </c>
      <c r="BX1564" s="53" t="n">
        <f aca="false">IF(AND(U1564="",OR(P1564="",P1564="LOSE"),T1564&lt;&gt;"",N(S1564)&lt;=0,ISNUMBER(MATCH(T1564,Parameter!$I$27:$I$29,0))),1,0)</f>
        <v>1</v>
      </c>
      <c r="BY1564" s="53" t="n">
        <f aca="false">IF(CL1564&gt;0,INDEX(Parameter!$H$5:$H$7,W1564)/INDEX(Parameter!$E$5:$E$7,W1564),IF(AND(BW1564=0,N(IFERROR(VLOOKUP(BU1564,'Gebinde-Kategorie'!$A$5:$N$45,14,0),0))&gt;0),VLOOKUP(BU1564,'Gebinde-Kategorie'!$A$5:$N$45,14,0)*10+Parameter!$M$23,Parameter!$M$24))</f>
        <v>145</v>
      </c>
      <c r="BZ1564" s="48" t="str">
        <f aca="false">IF(AND(Parameter!$B$19="Ja",E1564&lt;&gt;"",ISNUMBER(MATCH(E1564,Parameter!$I$35:$I$52,0))),VLOOKUP(E1564,Parameter!$I$35:$J$52,2,0),IFERROR(VLOOKUP(D1564,Parameter!$A$35:$C$64,2,0),"Nein"))</f>
        <v>2+3</v>
      </c>
      <c r="CA1564" s="52" t="n">
        <f aca="false">IF(BW1564=0,0,IF(N(S1564)&gt;0,S1564,IFERROR(VLOOKUP(D1564,Parameter!$A$35:$C$64,3,0)+0,0)))</f>
        <v>0</v>
      </c>
      <c r="CB1564" s="48" t="n">
        <f aca="false">IF(AA1564&lt;&gt;"",AA1564,Z1564)</f>
        <v>2</v>
      </c>
      <c r="CC1564" s="48" t="str">
        <f aca="false">IF(OR(CB1564=1,CB1564=2,CB1564=3),IF(Parameter!$E$27="Ja","LIFT",IF(CB1564=1,"L1","L23")),IF(CB1564="Aussen","Aussen","-"))</f>
        <v>LIFT</v>
      </c>
      <c r="CD1564" s="59" t="n">
        <f aca="false">IF(N(AB1564)&gt;0,AB1564,0)</f>
        <v>0</v>
      </c>
      <c r="CE1564" s="53" t="n">
        <f aca="false">IF(ISNUMBER(AE1564),1,0)</f>
        <v>0</v>
      </c>
      <c r="CF1564" s="50" t="n">
        <f aca="false">N(AE1564)</f>
        <v>0</v>
      </c>
      <c r="CG1564" s="50" t="n">
        <f aca="false">N(M1564)+N(N1564)</f>
        <v>1</v>
      </c>
      <c r="CH1564" s="50" t="n">
        <f aca="false">ROUNDUP(H1564/BV1564,0)</f>
        <v>1</v>
      </c>
      <c r="CI1564" s="50" t="n">
        <f aca="false">ROUNDUP(CF1564/BV1564,0)</f>
        <v>0</v>
      </c>
      <c r="CJ1564" s="53" t="n">
        <f aca="false">IF(BW1564=1,0,IFERROR(VLOOKUP(BU1564,'Gebinde-Kategorie'!$A$5:$N$45,5,0)+0,0))</f>
        <v>11</v>
      </c>
      <c r="CK1564" s="53" t="n">
        <f aca="false">IFERROR(IF(OR(CB1564=1,CB1564=2,CB1564=3),N(INDEX(Parameter!$I$5:$I$7,CB1564)),0),0)</f>
        <v>0</v>
      </c>
      <c r="CL1564" s="52" t="n">
        <f aca="false">IF(AND(Parameter!$B$21="Ja",ISNUMBER(W1564),N(X1564)&gt;0),IFERROR(N(INDEX(Parameter!$L$5:$L$7,W1564))*INDEX(Parameter!$E$5:$E$7,W1564)*X1564/SUMIFS($X$7:$X$1843,$W$7:$W$1843,W1564),0),0)</f>
        <v>0</v>
      </c>
    </row>
    <row r="1565" customFormat="false" ht="15" hidden="false" customHeight="false" outlineLevel="0" collapsed="false">
      <c r="A1565" s="48" t="s">
        <v>2738</v>
      </c>
      <c r="B1565" s="48" t="s">
        <v>1445</v>
      </c>
      <c r="C1565" s="48" t="s">
        <v>168</v>
      </c>
      <c r="D1565" s="48" t="s">
        <v>177</v>
      </c>
      <c r="E1565" s="48" t="s">
        <v>177</v>
      </c>
      <c r="F1565" s="48"/>
      <c r="G1565" s="49" t="n">
        <v>407.15</v>
      </c>
      <c r="H1565" s="50" t="n">
        <f aca="false">MAX(0,IF(AND(Parameter!$B$21="Ja",ISNUMBER(Y1565)),Y1565,IF(Parameter!$B$20="Jahresanfang 2025 + Export",BO1565+BN1565,BN1565)))</f>
        <v>2</v>
      </c>
      <c r="I1565" s="50" t="n">
        <f aca="false">H1565*G1565</f>
        <v>814.3</v>
      </c>
      <c r="J1565" s="50" t="n">
        <f aca="false">BQ1565*Parameter!$B$18</f>
        <v>0</v>
      </c>
      <c r="K1565" s="51"/>
      <c r="L1565" s="52"/>
      <c r="M1565" s="50" t="n">
        <v>0</v>
      </c>
      <c r="N1565" s="50" t="n">
        <v>1</v>
      </c>
      <c r="O1565" s="53" t="n">
        <v>28</v>
      </c>
      <c r="P1565" s="48" t="s">
        <v>172</v>
      </c>
      <c r="Q1565" s="50"/>
      <c r="R1565" s="53" t="n">
        <f aca="false">IF(BW1565=1,0,IFERROR(VLOOKUP(BU1565,'Gebinde-Kategorie'!$A$5:$N$45,13,0)+0,0))</f>
        <v>12</v>
      </c>
      <c r="S1565" s="54"/>
      <c r="T1565" s="55" t="s">
        <v>183</v>
      </c>
      <c r="U1565" s="55"/>
      <c r="V1565" s="55"/>
      <c r="W1565" s="48"/>
      <c r="X1565" s="50"/>
      <c r="Y1565" s="50"/>
      <c r="Z1565" s="48" t="str">
        <f aca="false">IF(A1565="","",IF(AND(Parameter!$B$21="Ja",ISNUMBER(W1565)),W1565,IF(BZ1565="2+3",IF(ISNUMBER(SEARCH("grosser Artikel",BR1565)),2,IFERROR(VLOOKUP(BU1565,Parameter!$F$35:$G$64,2,0),2)),IF(OR(BZ1565="Nein",BZ1565=""),"-",BZ1565))))</f>
        <v>-</v>
      </c>
      <c r="AA1565" s="55"/>
      <c r="AB1565" s="56"/>
      <c r="AC1565" s="50" t="n">
        <f aca="false">AT1565</f>
        <v>4</v>
      </c>
      <c r="AD1565" s="50" t="n">
        <f aca="false">MAX(AT1565,H1565)</f>
        <v>4</v>
      </c>
      <c r="AE1565" s="57"/>
      <c r="AF1565" s="50" t="n">
        <f aca="false">IF(LEFT(Cockpit!$C$5,1)="A",H1565,IF(CE1565=1,CF1565,IF(LEFT(Cockpit!$C$5,1)="B",AK1565,MAX(AK1565,H1565))))</f>
        <v>2</v>
      </c>
      <c r="AG1565" s="50" t="n">
        <f aca="false">IF(BW1565=1,0,ROUNDUP(AF1565/BV1565,0))</f>
        <v>1</v>
      </c>
      <c r="AH1565" s="52" t="n">
        <f aca="false">IF(CL1565&gt;0,CL1565*MAX(1,AF1565/X1565),IF(BW1565=1,IF(AF1565&lt;=0,0,CA1565*MAX(1,IF(H1565&gt;0,AF1565/H1565,1))),IF(R1565&gt;0,AG1565/R1565,0))/MAX(0.1,N(Parameter!$M$21)))</f>
        <v>0.0833333333333333</v>
      </c>
      <c r="AI1565" s="50" t="n">
        <f aca="false">AH1565*BY1565</f>
        <v>12.0833333333333</v>
      </c>
      <c r="AJ1565" s="50" t="n">
        <f aca="false">AF1565*G1565</f>
        <v>814.3</v>
      </c>
      <c r="AK1565" s="50" t="n">
        <f aca="false">ROUNDUP(MAX(J1565/IF(CD1565&gt;0,CD1565,MAX(0.1,N(Cockpit!$C$6))),CG1565)/BV1565,0)*BV1565</f>
        <v>4</v>
      </c>
      <c r="AL1565" s="51" t="n">
        <f aca="false">IF(AI1565&gt;0,J1565/AI1565,-1)</f>
        <v>0</v>
      </c>
      <c r="AM1565" s="51" t="str">
        <f aca="false">IF(AND(OR(CC1565="L1",CC1565="L23",CC1565="LIFT"),AI1565&gt;0),SUMIFS($AI$7:$AI$1843,$CC$7:$CC$1843,CC1565,$AL$7:$AL$1843,"&gt;"&amp;AL1565)+SUMIFS($AI$7:$AI$1843,$CC$7:$CC$1843,CC1565,$AL$7:$AL$1843,AL1565,$BT$7:$BT$1843,"&lt;="&amp;BT1565),"")</f>
        <v/>
      </c>
      <c r="AN1565" s="58" t="n">
        <f aca="false">IF(AM1565="",0,MAX(0,MIN(1,(IF(CC1565="L1",Parameter!$H$5,IF(CC1565="L23",Parameter!$H$6+Parameter!$H$7,Parameter!$H$5+Parameter!$H$6+Parameter!$H$7))-(AM1565-AI1565))/AI1565)))</f>
        <v>0</v>
      </c>
      <c r="AO1565" s="50" t="n">
        <f aca="false">IF(LEFT(Cockpit!$I$5,1)="A",H1565,IF(CE1565=1,CF1565,IF(LEFT(Cockpit!$I$5,1)="B",AT1565,MAX(AT1565,H1565))))</f>
        <v>4</v>
      </c>
      <c r="AP1565" s="50" t="n">
        <f aca="false">IF(BW1565=1,0,ROUNDUP(AO1565/BV1565,0))</f>
        <v>1</v>
      </c>
      <c r="AQ1565" s="52" t="n">
        <f aca="false">IF(CL1565&gt;0,CL1565*MAX(1,AO1565/X1565),IF(BW1565=1,IF(AO1565&lt;=0,0,CA1565*MAX(1,IF(H1565&gt;0,AO1565/H1565,1))),IF(R1565&gt;0,AP1565/R1565,0))/MAX(0.1,N(Parameter!$M$21)))</f>
        <v>0.0833333333333333</v>
      </c>
      <c r="AR1565" s="50" t="n">
        <f aca="false">AQ1565*BY1565</f>
        <v>12.0833333333333</v>
      </c>
      <c r="AS1565" s="50" t="n">
        <f aca="false">AO1565*G1565</f>
        <v>1628.6</v>
      </c>
      <c r="AT1565" s="50" t="n">
        <f aca="false">ROUNDUP(MAX(J1565/IF(CD1565&gt;0,CD1565,MAX(0.1,N(Cockpit!$I$6))),CG1565)/BV1565,0)*BV1565</f>
        <v>4</v>
      </c>
      <c r="AU1565" s="51" t="n">
        <f aca="false">IF(AR1565&gt;0,J1565/AR1565,-1)</f>
        <v>0</v>
      </c>
      <c r="AV1565" s="51" t="str">
        <f aca="false">IF(AND(OR(CC1565="L1",CC1565="L23",CC1565="LIFT"),AR1565&gt;0),SUMIFS($AR$7:$AR$1843,$CC$7:$CC$1843,CC1565,$AU$7:$AU$1843,"&gt;"&amp;AU1565)+SUMIFS($AR$7:$AR$1843,$CC$7:$CC$1843,CC1565,$AU$7:$AU$1843,AU1565,$BT$7:$BT$1843,"&lt;="&amp;BT1565),"")</f>
        <v/>
      </c>
      <c r="AW1565" s="58" t="n">
        <f aca="false">IF(AV1565="",0,MAX(0,MIN(1,(IF(CC1565="L1",Parameter!$H$5,IF(CC1565="L23",Parameter!$H$6+Parameter!$H$7,Parameter!$H$5+Parameter!$H$6+Parameter!$H$7))-(AV1565-AR1565))/AR1565)))</f>
        <v>0</v>
      </c>
      <c r="AX1565" s="50" t="n">
        <f aca="false">IF(LEFT(Cockpit!$O$5,1)="A",H1565,IF(CE1565=1,CF1565,IF(LEFT(Cockpit!$O$5,1)="B",BC1565,MAX(BC1565,H1565))))</f>
        <v>4</v>
      </c>
      <c r="AY1565" s="50" t="n">
        <f aca="false">IF(BW1565=1,0,ROUNDUP(AX1565/BV1565,0))</f>
        <v>1</v>
      </c>
      <c r="AZ1565" s="52" t="n">
        <f aca="false">IF(CL1565&gt;0,CL1565*MAX(1,AX1565/X1565),IF(BW1565=1,IF(AX1565&lt;=0,0,CA1565*MAX(1,IF(H1565&gt;0,AX1565/H1565,1))),IF(R1565&gt;0,AY1565/R1565,0))/MAX(0.1,N(Parameter!$M$21)))</f>
        <v>0.0833333333333333</v>
      </c>
      <c r="BA1565" s="50" t="n">
        <f aca="false">AZ1565*BY1565</f>
        <v>12.0833333333333</v>
      </c>
      <c r="BB1565" s="50" t="n">
        <f aca="false">AX1565*G1565</f>
        <v>1628.6</v>
      </c>
      <c r="BC1565" s="50" t="n">
        <f aca="false">ROUNDUP(MAX(J1565/IF(CD1565&gt;0,CD1565,MAX(0.1,N(Cockpit!$O$6))),CG1565)/BV1565,0)*BV1565</f>
        <v>4</v>
      </c>
      <c r="BD1565" s="51" t="n">
        <f aca="false">IF(BA1565&gt;0,J1565/BA1565,-1)</f>
        <v>0</v>
      </c>
      <c r="BE1565" s="51" t="str">
        <f aca="false">IF(AND(OR(CC1565="L1",CC1565="L23",CC1565="LIFT"),BA1565&gt;0),SUMIFS($BA$7:$BA$1843,$CC$7:$CC$1843,CC1565,$BD$7:$BD$1843,"&gt;"&amp;BD1565)+SUMIFS($BA$7:$BA$1843,$CC$7:$CC$1843,CC1565,$BD$7:$BD$1843,BD1565,$BT$7:$BT$1843,"&lt;="&amp;BT1565),"")</f>
        <v/>
      </c>
      <c r="BF1565" s="58" t="n">
        <f aca="false">IF(BE1565="",0,MAX(0,MIN(1,(IF(CC1565="L1",Parameter!$H$5,IF(CC1565="L23",Parameter!$H$6+Parameter!$H$7,Parameter!$H$5+Parameter!$H$6+Parameter!$H$7))-(BE1565-BA1565))/BA1565)))</f>
        <v>0</v>
      </c>
      <c r="BG1565" s="48" t="str">
        <f aca="false">IF(AI1565&lt;=0,"",IF(CC1565="Aussen","Aussenlager",IF(CC1565="-","Nicht im Lift",IF(AN1565&gt;=1,"Lift",IF(AN1565&lt;=0,"Aussenlager","teilweise")))))</f>
        <v>Nicht im Lift</v>
      </c>
      <c r="BH1565" s="48" t="str">
        <f aca="false">IF(AR1565&lt;=0,"",IF(CC1565="Aussen","Aussenlager",IF(CC1565="-","Nicht im Lift",IF(AW1565&gt;=1,"Lift",IF(AW1565&lt;=0,"Aussenlager","teilweise")))))</f>
        <v>Nicht im Lift</v>
      </c>
      <c r="BI1565" s="48" t="str">
        <f aca="false">IF(BA1565&lt;=0,"",IF(CC1565="Aussen","Aussenlager",IF(CC1565="-","Nicht im Lift",IF(BF1565&gt;=1,"Lift",IF(BF1565&lt;=0,"Aussenlager","teilweise")))))</f>
        <v>Nicht im Lift</v>
      </c>
      <c r="BJ1565" s="48" t="str">
        <f aca="false">IF(A1565="","",IF(BS1565=1,"Neu; ","")&amp;IF(AND(BS1565=0,BN1565&lt;0),"negativer Bestand (Export "&amp;BN1565&amp;"); ","")&amp;IF(J1565&lt;=0,"Kein Verbrauch; ","")&amp;IF(CL1565&gt;0,"Lift "&amp;W1565&amp;" lt. Liftbericht (Fach "&amp;X1565&amp;" Stk); ",IF(BX1565=1,"Gebinde geschätzt ("&amp;T1565&amp;"); ",IF(BW1565=1,"Lose – Tablare geschätzt; ","")))&amp;IF(H1565&gt;AT1565,"Überbestand "&amp;ROUND(H1565-AT1565,0)&amp;" Stk / CHF "&amp;ROUND((H1565-AT1565)*G1565,0)&amp;"; ","")&amp;IF(AND(CE1565=1,CF1565&lt;CG1565),"MAX &lt; MB+LG; ","")&amp;IF(AND(CK1565&gt;0,CJ1565*10&gt;CK1565),"zu hoch für Tablar; ","")&amp;IF(AND(BS1565=0,OR(CE1565=1,AA1565&lt;&gt;"",U1565&lt;&gt;"",V1565&lt;&gt;"",AB1565&lt;&gt;"")),"manuell übersteuert; ","")&amp;IF(AND(BW1565=0,R1565=0),"Gebinde unbekannt / Stellmass fehlt; ","")&amp;IF(AND(BW1565=0,N(V1565)&lt;=0,N(Q1565)&lt;=0),"Menge pro Gebinde fehlt (Ist = 1 Gebinde); ","")&amp;BR1565)</f>
        <v>Kein Verbrauch; Gebinde geschätzt (Mittel); Menge pro Gebinde fehlt (Ist = 1 Gebinde); nur im Artikelstamm (Bestand 23.06.2026)</v>
      </c>
      <c r="BK1565" s="48"/>
      <c r="BL1565" s="48"/>
      <c r="BM1565" s="55"/>
      <c r="BN1565" s="50" t="n">
        <v>2</v>
      </c>
      <c r="BO1565" s="50" t="n">
        <v>0</v>
      </c>
      <c r="BP1565" s="49" t="n">
        <v>0</v>
      </c>
      <c r="BQ1565" s="50" t="n">
        <v>0</v>
      </c>
      <c r="BR1565" s="48" t="s">
        <v>2579</v>
      </c>
      <c r="BS1565" s="53" t="n">
        <v>0</v>
      </c>
      <c r="BT1565" s="53" t="n">
        <v>1565</v>
      </c>
      <c r="BU1565" s="48" t="str">
        <f aca="false">IF(U1565&lt;&gt;"",UPPER(TRIM(U1565)),IF(BX1565=1,UPPER(VLOOKUP(T1565,Parameter!$I$27:$K$29,2,0)),IF(P1565="","LOSE",P1565)))</f>
        <v>S61</v>
      </c>
      <c r="BV1565" s="50" t="n">
        <f aca="false">IF(BU1565="LOSE",1,IF(N(V1565)&gt;0,V1565,IF(BX1565=1,MAX(1,N(VLOOKUP(T1565,Parameter!$I$27:$K$29,3,0)),H1565,N(N1565)),IF(N(Q1565)&gt;0,Q1565,MAX(1,H1565)))))</f>
        <v>4</v>
      </c>
      <c r="BW1565" s="53" t="n">
        <f aca="false">IF(BU1565="LOSE",1,0)</f>
        <v>0</v>
      </c>
      <c r="BX1565" s="53" t="n">
        <f aca="false">IF(AND(U1565="",OR(P1565="",P1565="LOSE"),T1565&lt;&gt;"",N(S1565)&lt;=0,ISNUMBER(MATCH(T1565,Parameter!$I$27:$I$29,0))),1,0)</f>
        <v>1</v>
      </c>
      <c r="BY1565" s="53" t="n">
        <f aca="false">IF(CL1565&gt;0,INDEX(Parameter!$H$5:$H$7,W1565)/INDEX(Parameter!$E$5:$E$7,W1565),IF(AND(BW1565=0,N(IFERROR(VLOOKUP(BU1565,'Gebinde-Kategorie'!$A$5:$N$45,14,0),0))&gt;0),VLOOKUP(BU1565,'Gebinde-Kategorie'!$A$5:$N$45,14,0)*10+Parameter!$M$23,Parameter!$M$24))</f>
        <v>145</v>
      </c>
      <c r="BZ1565" s="48" t="str">
        <f aca="false">IF(AND(Parameter!$B$19="Ja",E1565&lt;&gt;"",ISNUMBER(MATCH(E1565,Parameter!$I$35:$I$52,0))),VLOOKUP(E1565,Parameter!$I$35:$J$52,2,0),IFERROR(VLOOKUP(D1565,Parameter!$A$35:$C$64,2,0),"Nein"))</f>
        <v>Nein</v>
      </c>
      <c r="CA1565" s="52" t="n">
        <f aca="false">IF(BW1565=0,0,IF(N(S1565)&gt;0,S1565,IFERROR(VLOOKUP(D1565,Parameter!$A$35:$C$64,3,0)+0,0)))</f>
        <v>0</v>
      </c>
      <c r="CB1565" s="48" t="str">
        <f aca="false">IF(AA1565&lt;&gt;"",AA1565,Z1565)</f>
        <v>-</v>
      </c>
      <c r="CC1565" s="48" t="str">
        <f aca="false">IF(OR(CB1565=1,CB1565=2,CB1565=3),IF(Parameter!$E$27="Ja","LIFT",IF(CB1565=1,"L1","L23")),IF(CB1565="Aussen","Aussen","-"))</f>
        <v>-</v>
      </c>
      <c r="CD1565" s="59" t="n">
        <f aca="false">IF(N(AB1565)&gt;0,AB1565,0)</f>
        <v>0</v>
      </c>
      <c r="CE1565" s="53" t="n">
        <f aca="false">IF(ISNUMBER(AE1565),1,0)</f>
        <v>0</v>
      </c>
      <c r="CF1565" s="50" t="n">
        <f aca="false">N(AE1565)</f>
        <v>0</v>
      </c>
      <c r="CG1565" s="50" t="n">
        <f aca="false">N(M1565)+N(N1565)</f>
        <v>1</v>
      </c>
      <c r="CH1565" s="50" t="n">
        <f aca="false">ROUNDUP(H1565/BV1565,0)</f>
        <v>1</v>
      </c>
      <c r="CI1565" s="50" t="n">
        <f aca="false">ROUNDUP(CF1565/BV1565,0)</f>
        <v>0</v>
      </c>
      <c r="CJ1565" s="53" t="n">
        <f aca="false">IF(BW1565=1,0,IFERROR(VLOOKUP(BU1565,'Gebinde-Kategorie'!$A$5:$N$45,5,0)+0,0))</f>
        <v>11</v>
      </c>
      <c r="CK1565" s="53" t="n">
        <f aca="false">IFERROR(IF(OR(CB1565=1,CB1565=2,CB1565=3),N(INDEX(Parameter!$I$5:$I$7,CB1565)),0),0)</f>
        <v>0</v>
      </c>
      <c r="CL1565" s="52" t="n">
        <f aca="false">IF(AND(Parameter!$B$21="Ja",ISNUMBER(W1565),N(X1565)&gt;0),IFERROR(N(INDEX(Parameter!$L$5:$L$7,W1565))*INDEX(Parameter!$E$5:$E$7,W1565)*X1565/SUMIFS($X$7:$X$1843,$W$7:$W$1843,W1565),0),0)</f>
        <v>0</v>
      </c>
    </row>
    <row r="1566" customFormat="false" ht="15" hidden="false" customHeight="false" outlineLevel="0" collapsed="false">
      <c r="A1566" s="48" t="s">
        <v>2739</v>
      </c>
      <c r="B1566" s="48" t="s">
        <v>2740</v>
      </c>
      <c r="C1566" s="48" t="s">
        <v>168</v>
      </c>
      <c r="D1566" s="48" t="s">
        <v>188</v>
      </c>
      <c r="E1566" s="48"/>
      <c r="F1566" s="48"/>
      <c r="G1566" s="49" t="n">
        <v>28</v>
      </c>
      <c r="H1566" s="50" t="n">
        <f aca="false">MAX(0,IF(AND(Parameter!$B$21="Ja",ISNUMBER(Y1566)),Y1566,IF(Parameter!$B$20="Jahresanfang 2025 + Export",BO1566+BN1566,BN1566)))</f>
        <v>17</v>
      </c>
      <c r="I1566" s="50" t="n">
        <f aca="false">H1566*G1566</f>
        <v>476</v>
      </c>
      <c r="J1566" s="50" t="n">
        <f aca="false">BQ1566*Parameter!$B$18</f>
        <v>0</v>
      </c>
      <c r="K1566" s="51"/>
      <c r="L1566" s="52"/>
      <c r="M1566" s="50" t="n">
        <v>0</v>
      </c>
      <c r="N1566" s="50" t="n">
        <v>10</v>
      </c>
      <c r="O1566" s="53" t="n">
        <v>21</v>
      </c>
      <c r="P1566" s="48" t="s">
        <v>172</v>
      </c>
      <c r="Q1566" s="50"/>
      <c r="R1566" s="53" t="n">
        <f aca="false">IF(BW1566=1,0,IFERROR(VLOOKUP(BU1566,'Gebinde-Kategorie'!$A$5:$N$45,13,0)+0,0))</f>
        <v>12</v>
      </c>
      <c r="S1566" s="54"/>
      <c r="T1566" s="55" t="s">
        <v>183</v>
      </c>
      <c r="U1566" s="55"/>
      <c r="V1566" s="55"/>
      <c r="W1566" s="48"/>
      <c r="X1566" s="50"/>
      <c r="Y1566" s="50"/>
      <c r="Z1566" s="48" t="n">
        <f aca="false">IF(A1566="","",IF(AND(Parameter!$B$21="Ja",ISNUMBER(W1566)),W1566,IF(BZ1566="2+3",IF(ISNUMBER(SEARCH("grosser Artikel",BR1566)),2,IFERROR(VLOOKUP(BU1566,Parameter!$F$35:$G$64,2,0),2)),IF(OR(BZ1566="Nein",BZ1566=""),"-",BZ1566))))</f>
        <v>2</v>
      </c>
      <c r="AA1566" s="55"/>
      <c r="AB1566" s="56"/>
      <c r="AC1566" s="50" t="n">
        <f aca="false">AT1566</f>
        <v>17</v>
      </c>
      <c r="AD1566" s="50" t="n">
        <f aca="false">MAX(AT1566,H1566)</f>
        <v>17</v>
      </c>
      <c r="AE1566" s="57"/>
      <c r="AF1566" s="50" t="n">
        <f aca="false">IF(LEFT(Cockpit!$C$5,1)="A",H1566,IF(CE1566=1,CF1566,IF(LEFT(Cockpit!$C$5,1)="B",AK1566,MAX(AK1566,H1566))))</f>
        <v>17</v>
      </c>
      <c r="AG1566" s="50" t="n">
        <f aca="false">IF(BW1566=1,0,ROUNDUP(AF1566/BV1566,0))</f>
        <v>1</v>
      </c>
      <c r="AH1566" s="52" t="n">
        <f aca="false">IF(CL1566&gt;0,CL1566*MAX(1,AF1566/X1566),IF(BW1566=1,IF(AF1566&lt;=0,0,CA1566*MAX(1,IF(H1566&gt;0,AF1566/H1566,1))),IF(R1566&gt;0,AG1566/R1566,0))/MAX(0.1,N(Parameter!$M$21)))</f>
        <v>0.0833333333333333</v>
      </c>
      <c r="AI1566" s="50" t="n">
        <f aca="false">AH1566*BY1566</f>
        <v>12.0833333333333</v>
      </c>
      <c r="AJ1566" s="50" t="n">
        <f aca="false">AF1566*G1566</f>
        <v>476</v>
      </c>
      <c r="AK1566" s="50" t="n">
        <f aca="false">ROUNDUP(MAX(J1566/IF(CD1566&gt;0,CD1566,MAX(0.1,N(Cockpit!$C$6))),CG1566)/BV1566,0)*BV1566</f>
        <v>17</v>
      </c>
      <c r="AL1566" s="51" t="n">
        <f aca="false">IF(AI1566&gt;0,J1566/AI1566,-1)</f>
        <v>0</v>
      </c>
      <c r="AM1566" s="51" t="n">
        <f aca="false">IF(AND(OR(CC1566="L1",CC1566="L23",CC1566="LIFT"),AI1566&gt;0),SUMIFS($AI$7:$AI$1843,$CC$7:$CC$1843,CC1566,$AL$7:$AL$1843,"&gt;"&amp;AL1566)+SUMIFS($AI$7:$AI$1843,$CC$7:$CC$1843,CC1566,$AL$7:$AL$1843,AL1566,$BT$7:$BT$1843,"&lt;="&amp;BT1566),"")</f>
        <v>30312.7439027545</v>
      </c>
      <c r="AN1566" s="58" t="n">
        <f aca="false">IF(AM1566="",0,MAX(0,MIN(1,(IF(CC1566="L1",Parameter!$H$5,IF(CC1566="L23",Parameter!$H$6+Parameter!$H$7,Parameter!$H$5+Parameter!$H$6+Parameter!$H$7))-(AM1566-AI1566))/AI1566)))</f>
        <v>1</v>
      </c>
      <c r="AO1566" s="50" t="n">
        <f aca="false">IF(LEFT(Cockpit!$I$5,1)="A",H1566,IF(CE1566=1,CF1566,IF(LEFT(Cockpit!$I$5,1)="B",AT1566,MAX(AT1566,H1566))))</f>
        <v>17</v>
      </c>
      <c r="AP1566" s="50" t="n">
        <f aca="false">IF(BW1566=1,0,ROUNDUP(AO1566/BV1566,0))</f>
        <v>1</v>
      </c>
      <c r="AQ1566" s="52" t="n">
        <f aca="false">IF(CL1566&gt;0,CL1566*MAX(1,AO1566/X1566),IF(BW1566=1,IF(AO1566&lt;=0,0,CA1566*MAX(1,IF(H1566&gt;0,AO1566/H1566,1))),IF(R1566&gt;0,AP1566/R1566,0))/MAX(0.1,N(Parameter!$M$21)))</f>
        <v>0.0833333333333333</v>
      </c>
      <c r="AR1566" s="50" t="n">
        <f aca="false">AQ1566*BY1566</f>
        <v>12.0833333333333</v>
      </c>
      <c r="AS1566" s="50" t="n">
        <f aca="false">AO1566*G1566</f>
        <v>476</v>
      </c>
      <c r="AT1566" s="50" t="n">
        <f aca="false">ROUNDUP(MAX(J1566/IF(CD1566&gt;0,CD1566,MAX(0.1,N(Cockpit!$I$6))),CG1566)/BV1566,0)*BV1566</f>
        <v>17</v>
      </c>
      <c r="AU1566" s="51" t="n">
        <f aca="false">IF(AR1566&gt;0,J1566/AR1566,-1)</f>
        <v>0</v>
      </c>
      <c r="AV1566" s="51" t="n">
        <f aca="false">IF(AND(OR(CC1566="L1",CC1566="L23",CC1566="LIFT"),AR1566&gt;0),SUMIFS($AR$7:$AR$1843,$CC$7:$CC$1843,CC1566,$AU$7:$AU$1843,"&gt;"&amp;AU1566)+SUMIFS($AR$7:$AR$1843,$CC$7:$CC$1843,CC1566,$AU$7:$AU$1843,AU1566,$BT$7:$BT$1843,"&lt;="&amp;BT1566),"")</f>
        <v>42674.6462148962</v>
      </c>
      <c r="AW1566" s="58" t="n">
        <f aca="false">IF(AV1566="",0,MAX(0,MIN(1,(IF(CC1566="L1",Parameter!$H$5,IF(CC1566="L23",Parameter!$H$6+Parameter!$H$7,Parameter!$H$5+Parameter!$H$6+Parameter!$H$7))-(AV1566-AR1566))/AR1566)))</f>
        <v>0</v>
      </c>
      <c r="AX1566" s="50" t="n">
        <f aca="false">IF(LEFT(Cockpit!$O$5,1)="A",H1566,IF(CE1566=1,CF1566,IF(LEFT(Cockpit!$O$5,1)="B",BC1566,MAX(BC1566,H1566))))</f>
        <v>17</v>
      </c>
      <c r="AY1566" s="50" t="n">
        <f aca="false">IF(BW1566=1,0,ROUNDUP(AX1566/BV1566,0))</f>
        <v>1</v>
      </c>
      <c r="AZ1566" s="52" t="n">
        <f aca="false">IF(CL1566&gt;0,CL1566*MAX(1,AX1566/X1566),IF(BW1566=1,IF(AX1566&lt;=0,0,CA1566*MAX(1,IF(H1566&gt;0,AX1566/H1566,1))),IF(R1566&gt;0,AY1566/R1566,0))/MAX(0.1,N(Parameter!$M$21)))</f>
        <v>0.0833333333333333</v>
      </c>
      <c r="BA1566" s="50" t="n">
        <f aca="false">AZ1566*BY1566</f>
        <v>12.0833333333333</v>
      </c>
      <c r="BB1566" s="50" t="n">
        <f aca="false">AX1566*G1566</f>
        <v>476</v>
      </c>
      <c r="BC1566" s="50" t="n">
        <f aca="false">ROUNDUP(MAX(J1566/IF(CD1566&gt;0,CD1566,MAX(0.1,N(Cockpit!$O$6))),CG1566)/BV1566,0)*BV1566</f>
        <v>17</v>
      </c>
      <c r="BD1566" s="51" t="n">
        <f aca="false">IF(BA1566&gt;0,J1566/BA1566,-1)</f>
        <v>0</v>
      </c>
      <c r="BE1566" s="51" t="n">
        <f aca="false">IF(AND(OR(CC1566="L1",CC1566="L23",CC1566="LIFT"),BA1566&gt;0),SUMIFS($BA$7:$BA$1843,$CC$7:$CC$1843,CC1566,$BD$7:$BD$1843,"&gt;"&amp;BD1566)+SUMIFS($BA$7:$BA$1843,$CC$7:$CC$1843,CC1566,$BD$7:$BD$1843,BD1566,$BT$7:$BT$1843,"&lt;="&amp;BT1566),"")</f>
        <v>39349.6582567621</v>
      </c>
      <c r="BF1566" s="58" t="n">
        <f aca="false">IF(BE1566="",0,MAX(0,MIN(1,(IF(CC1566="L1",Parameter!$H$5,IF(CC1566="L23",Parameter!$H$6+Parameter!$H$7,Parameter!$H$5+Parameter!$H$6+Parameter!$H$7))-(BE1566-BA1566))/BA1566)))</f>
        <v>0</v>
      </c>
      <c r="BG1566" s="48" t="str">
        <f aca="false">IF(AI1566&lt;=0,"",IF(CC1566="Aussen","Aussenlager",IF(CC1566="-","Nicht im Lift",IF(AN1566&gt;=1,"Lift",IF(AN1566&lt;=0,"Aussenlager","teilweise")))))</f>
        <v>Lift</v>
      </c>
      <c r="BH1566" s="48" t="str">
        <f aca="false">IF(AR1566&lt;=0,"",IF(CC1566="Aussen","Aussenlager",IF(CC1566="-","Nicht im Lift",IF(AW1566&gt;=1,"Lift",IF(AW1566&lt;=0,"Aussenlager","teilweise")))))</f>
        <v>Aussenlager</v>
      </c>
      <c r="BI1566" s="48" t="str">
        <f aca="false">IF(BA1566&lt;=0,"",IF(CC1566="Aussen","Aussenlager",IF(CC1566="-","Nicht im Lift",IF(BF1566&gt;=1,"Lift",IF(BF1566&lt;=0,"Aussenlager","teilweise")))))</f>
        <v>Aussenlager</v>
      </c>
      <c r="BJ1566" s="48" t="str">
        <f aca="false">IF(A1566="","",IF(BS1566=1,"Neu; ","")&amp;IF(AND(BS1566=0,BN1566&lt;0),"negativer Bestand (Export "&amp;BN1566&amp;"); ","")&amp;IF(J1566&lt;=0,"Kein Verbrauch; ","")&amp;IF(CL1566&gt;0,"Lift "&amp;W1566&amp;" lt. Liftbericht (Fach "&amp;X1566&amp;" Stk); ",IF(BX1566=1,"Gebinde geschätzt ("&amp;T1566&amp;"); ",IF(BW1566=1,"Lose – Tablare geschätzt; ","")))&amp;IF(H1566&gt;AT1566,"Überbestand "&amp;ROUND(H1566-AT1566,0)&amp;" Stk / CHF "&amp;ROUND((H1566-AT1566)*G1566,0)&amp;"; ","")&amp;IF(AND(CE1566=1,CF1566&lt;CG1566),"MAX &lt; MB+LG; ","")&amp;IF(AND(CK1566&gt;0,CJ1566*10&gt;CK1566),"zu hoch für Tablar; ","")&amp;IF(AND(BS1566=0,OR(CE1566=1,AA1566&lt;&gt;"",U1566&lt;&gt;"",V1566&lt;&gt;"",AB1566&lt;&gt;"")),"manuell übersteuert; ","")&amp;IF(AND(BW1566=0,R1566=0),"Gebinde unbekannt / Stellmass fehlt; ","")&amp;IF(AND(BW1566=0,N(V1566)&lt;=0,N(Q1566)&lt;=0),"Menge pro Gebinde fehlt (Ist = 1 Gebinde); ","")&amp;BR1566)</f>
        <v>Kein Verbrauch; Gebinde geschätzt (Mittel); Menge pro Gebinde fehlt (Ist = 1 Gebinde); nur im Artikelstamm (Bestand 23.06.2026)</v>
      </c>
      <c r="BK1566" s="48"/>
      <c r="BL1566" s="48"/>
      <c r="BM1566" s="55"/>
      <c r="BN1566" s="50" t="n">
        <v>17</v>
      </c>
      <c r="BO1566" s="50" t="n">
        <v>0</v>
      </c>
      <c r="BP1566" s="49" t="n">
        <v>0</v>
      </c>
      <c r="BQ1566" s="50" t="n">
        <v>0</v>
      </c>
      <c r="BR1566" s="48" t="s">
        <v>2579</v>
      </c>
      <c r="BS1566" s="53" t="n">
        <v>0</v>
      </c>
      <c r="BT1566" s="53" t="n">
        <v>1566</v>
      </c>
      <c r="BU1566" s="48" t="str">
        <f aca="false">IF(U1566&lt;&gt;"",UPPER(TRIM(U1566)),IF(BX1566=1,UPPER(VLOOKUP(T1566,Parameter!$I$27:$K$29,2,0)),IF(P1566="","LOSE",P1566)))</f>
        <v>S61</v>
      </c>
      <c r="BV1566" s="50" t="n">
        <f aca="false">IF(BU1566="LOSE",1,IF(N(V1566)&gt;0,V1566,IF(BX1566=1,MAX(1,N(VLOOKUP(T1566,Parameter!$I$27:$K$29,3,0)),H1566,N(N1566)),IF(N(Q1566)&gt;0,Q1566,MAX(1,H1566)))))</f>
        <v>17</v>
      </c>
      <c r="BW1566" s="53" t="n">
        <f aca="false">IF(BU1566="LOSE",1,0)</f>
        <v>0</v>
      </c>
      <c r="BX1566" s="53" t="n">
        <f aca="false">IF(AND(U1566="",OR(P1566="",P1566="LOSE"),T1566&lt;&gt;"",N(S1566)&lt;=0,ISNUMBER(MATCH(T1566,Parameter!$I$27:$I$29,0))),1,0)</f>
        <v>1</v>
      </c>
      <c r="BY1566" s="53" t="n">
        <f aca="false">IF(CL1566&gt;0,INDEX(Parameter!$H$5:$H$7,W1566)/INDEX(Parameter!$E$5:$E$7,W1566),IF(AND(BW1566=0,N(IFERROR(VLOOKUP(BU1566,'Gebinde-Kategorie'!$A$5:$N$45,14,0),0))&gt;0),VLOOKUP(BU1566,'Gebinde-Kategorie'!$A$5:$N$45,14,0)*10+Parameter!$M$23,Parameter!$M$24))</f>
        <v>145</v>
      </c>
      <c r="BZ1566" s="48" t="str">
        <f aca="false">IF(AND(Parameter!$B$19="Ja",E1566&lt;&gt;"",ISNUMBER(MATCH(E1566,Parameter!$I$35:$I$52,0))),VLOOKUP(E1566,Parameter!$I$35:$J$52,2,0),IFERROR(VLOOKUP(D1566,Parameter!$A$35:$C$64,2,0),"Nein"))</f>
        <v>2+3</v>
      </c>
      <c r="CA1566" s="52" t="n">
        <f aca="false">IF(BW1566=0,0,IF(N(S1566)&gt;0,S1566,IFERROR(VLOOKUP(D1566,Parameter!$A$35:$C$64,3,0)+0,0)))</f>
        <v>0</v>
      </c>
      <c r="CB1566" s="48" t="n">
        <f aca="false">IF(AA1566&lt;&gt;"",AA1566,Z1566)</f>
        <v>2</v>
      </c>
      <c r="CC1566" s="48" t="str">
        <f aca="false">IF(OR(CB1566=1,CB1566=2,CB1566=3),IF(Parameter!$E$27="Ja","LIFT",IF(CB1566=1,"L1","L23")),IF(CB1566="Aussen","Aussen","-"))</f>
        <v>LIFT</v>
      </c>
      <c r="CD1566" s="59" t="n">
        <f aca="false">IF(N(AB1566)&gt;0,AB1566,0)</f>
        <v>0</v>
      </c>
      <c r="CE1566" s="53" t="n">
        <f aca="false">IF(ISNUMBER(AE1566),1,0)</f>
        <v>0</v>
      </c>
      <c r="CF1566" s="50" t="n">
        <f aca="false">N(AE1566)</f>
        <v>0</v>
      </c>
      <c r="CG1566" s="50" t="n">
        <f aca="false">N(M1566)+N(N1566)</f>
        <v>10</v>
      </c>
      <c r="CH1566" s="50" t="n">
        <f aca="false">ROUNDUP(H1566/BV1566,0)</f>
        <v>1</v>
      </c>
      <c r="CI1566" s="50" t="n">
        <f aca="false">ROUNDUP(CF1566/BV1566,0)</f>
        <v>0</v>
      </c>
      <c r="CJ1566" s="53" t="n">
        <f aca="false">IF(BW1566=1,0,IFERROR(VLOOKUP(BU1566,'Gebinde-Kategorie'!$A$5:$N$45,5,0)+0,0))</f>
        <v>11</v>
      </c>
      <c r="CK1566" s="53" t="n">
        <f aca="false">IFERROR(IF(OR(CB1566=1,CB1566=2,CB1566=3),N(INDEX(Parameter!$I$5:$I$7,CB1566)),0),0)</f>
        <v>0</v>
      </c>
      <c r="CL1566" s="52" t="n">
        <f aca="false">IF(AND(Parameter!$B$21="Ja",ISNUMBER(W1566),N(X1566)&gt;0),IFERROR(N(INDEX(Parameter!$L$5:$L$7,W1566))*INDEX(Parameter!$E$5:$E$7,W1566)*X1566/SUMIFS($X$7:$X$1843,$W$7:$W$1843,W1566),0),0)</f>
        <v>0</v>
      </c>
    </row>
    <row r="1567" customFormat="false" ht="15" hidden="false" customHeight="false" outlineLevel="0" collapsed="false">
      <c r="A1567" s="48" t="s">
        <v>2741</v>
      </c>
      <c r="B1567" s="48" t="s">
        <v>2742</v>
      </c>
      <c r="C1567" s="48" t="s">
        <v>168</v>
      </c>
      <c r="D1567" s="48" t="s">
        <v>188</v>
      </c>
      <c r="E1567" s="48"/>
      <c r="F1567" s="48"/>
      <c r="G1567" s="49" t="n">
        <v>100</v>
      </c>
      <c r="H1567" s="50" t="n">
        <f aca="false">MAX(0,IF(AND(Parameter!$B$21="Ja",ISNUMBER(Y1567)),Y1567,IF(Parameter!$B$20="Jahresanfang 2025 + Export",BO1567+BN1567,BN1567)))</f>
        <v>7</v>
      </c>
      <c r="I1567" s="50" t="n">
        <f aca="false">H1567*G1567</f>
        <v>700</v>
      </c>
      <c r="J1567" s="50" t="n">
        <f aca="false">BQ1567*Parameter!$B$18</f>
        <v>0</v>
      </c>
      <c r="K1567" s="51"/>
      <c r="L1567" s="52"/>
      <c r="M1567" s="50" t="n">
        <v>0</v>
      </c>
      <c r="N1567" s="50" t="n">
        <v>5</v>
      </c>
      <c r="O1567" s="53" t="n">
        <v>21</v>
      </c>
      <c r="P1567" s="48" t="s">
        <v>172</v>
      </c>
      <c r="Q1567" s="50"/>
      <c r="R1567" s="53" t="n">
        <f aca="false">IF(BW1567=1,0,IFERROR(VLOOKUP(BU1567,'Gebinde-Kategorie'!$A$5:$N$45,13,0)+0,0))</f>
        <v>12</v>
      </c>
      <c r="S1567" s="54"/>
      <c r="T1567" s="55" t="s">
        <v>183</v>
      </c>
      <c r="U1567" s="55"/>
      <c r="V1567" s="55"/>
      <c r="W1567" s="48"/>
      <c r="X1567" s="50"/>
      <c r="Y1567" s="50"/>
      <c r="Z1567" s="48" t="n">
        <f aca="false">IF(A1567="","",IF(AND(Parameter!$B$21="Ja",ISNUMBER(W1567)),W1567,IF(BZ1567="2+3",IF(ISNUMBER(SEARCH("grosser Artikel",BR1567)),2,IFERROR(VLOOKUP(BU1567,Parameter!$F$35:$G$64,2,0),2)),IF(OR(BZ1567="Nein",BZ1567=""),"-",BZ1567))))</f>
        <v>2</v>
      </c>
      <c r="AA1567" s="55"/>
      <c r="AB1567" s="56"/>
      <c r="AC1567" s="50" t="n">
        <f aca="false">AT1567</f>
        <v>7</v>
      </c>
      <c r="AD1567" s="50" t="n">
        <f aca="false">MAX(AT1567,H1567)</f>
        <v>7</v>
      </c>
      <c r="AE1567" s="57"/>
      <c r="AF1567" s="50" t="n">
        <f aca="false">IF(LEFT(Cockpit!$C$5,1)="A",H1567,IF(CE1567=1,CF1567,IF(LEFT(Cockpit!$C$5,1)="B",AK1567,MAX(AK1567,H1567))))</f>
        <v>7</v>
      </c>
      <c r="AG1567" s="50" t="n">
        <f aca="false">IF(BW1567=1,0,ROUNDUP(AF1567/BV1567,0))</f>
        <v>1</v>
      </c>
      <c r="AH1567" s="52" t="n">
        <f aca="false">IF(CL1567&gt;0,CL1567*MAX(1,AF1567/X1567),IF(BW1567=1,IF(AF1567&lt;=0,0,CA1567*MAX(1,IF(H1567&gt;0,AF1567/H1567,1))),IF(R1567&gt;0,AG1567/R1567,0))/MAX(0.1,N(Parameter!$M$21)))</f>
        <v>0.0833333333333333</v>
      </c>
      <c r="AI1567" s="50" t="n">
        <f aca="false">AH1567*BY1567</f>
        <v>12.0833333333333</v>
      </c>
      <c r="AJ1567" s="50" t="n">
        <f aca="false">AF1567*G1567</f>
        <v>700</v>
      </c>
      <c r="AK1567" s="50" t="n">
        <f aca="false">ROUNDUP(MAX(J1567/IF(CD1567&gt;0,CD1567,MAX(0.1,N(Cockpit!$C$6))),CG1567)/BV1567,0)*BV1567</f>
        <v>7</v>
      </c>
      <c r="AL1567" s="51" t="n">
        <f aca="false">IF(AI1567&gt;0,J1567/AI1567,-1)</f>
        <v>0</v>
      </c>
      <c r="AM1567" s="51" t="n">
        <f aca="false">IF(AND(OR(CC1567="L1",CC1567="L23",CC1567="LIFT"),AI1567&gt;0),SUMIFS($AI$7:$AI$1843,$CC$7:$CC$1843,CC1567,$AL$7:$AL$1843,"&gt;"&amp;AL1567)+SUMIFS($AI$7:$AI$1843,$CC$7:$CC$1843,CC1567,$AL$7:$AL$1843,AL1567,$BT$7:$BT$1843,"&lt;="&amp;BT1567),"")</f>
        <v>30324.8272360878</v>
      </c>
      <c r="AN1567" s="58" t="n">
        <f aca="false">IF(AM1567="",0,MAX(0,MIN(1,(IF(CC1567="L1",Parameter!$H$5,IF(CC1567="L23",Parameter!$H$6+Parameter!$H$7,Parameter!$H$5+Parameter!$H$6+Parameter!$H$7))-(AM1567-AI1567))/AI1567)))</f>
        <v>1</v>
      </c>
      <c r="AO1567" s="50" t="n">
        <f aca="false">IF(LEFT(Cockpit!$I$5,1)="A",H1567,IF(CE1567=1,CF1567,IF(LEFT(Cockpit!$I$5,1)="B",AT1567,MAX(AT1567,H1567))))</f>
        <v>7</v>
      </c>
      <c r="AP1567" s="50" t="n">
        <f aca="false">IF(BW1567=1,0,ROUNDUP(AO1567/BV1567,0))</f>
        <v>1</v>
      </c>
      <c r="AQ1567" s="52" t="n">
        <f aca="false">IF(CL1567&gt;0,CL1567*MAX(1,AO1567/X1567),IF(BW1567=1,IF(AO1567&lt;=0,0,CA1567*MAX(1,IF(H1567&gt;0,AO1567/H1567,1))),IF(R1567&gt;0,AP1567/R1567,0))/MAX(0.1,N(Parameter!$M$21)))</f>
        <v>0.0833333333333333</v>
      </c>
      <c r="AR1567" s="50" t="n">
        <f aca="false">AQ1567*BY1567</f>
        <v>12.0833333333333</v>
      </c>
      <c r="AS1567" s="50" t="n">
        <f aca="false">AO1567*G1567</f>
        <v>700</v>
      </c>
      <c r="AT1567" s="50" t="n">
        <f aca="false">ROUNDUP(MAX(J1567/IF(CD1567&gt;0,CD1567,MAX(0.1,N(Cockpit!$I$6))),CG1567)/BV1567,0)*BV1567</f>
        <v>7</v>
      </c>
      <c r="AU1567" s="51" t="n">
        <f aca="false">IF(AR1567&gt;0,J1567/AR1567,-1)</f>
        <v>0</v>
      </c>
      <c r="AV1567" s="51" t="n">
        <f aca="false">IF(AND(OR(CC1567="L1",CC1567="L23",CC1567="LIFT"),AR1567&gt;0),SUMIFS($AR$7:$AR$1843,$CC$7:$CC$1843,CC1567,$AU$7:$AU$1843,"&gt;"&amp;AU1567)+SUMIFS($AR$7:$AR$1843,$CC$7:$CC$1843,CC1567,$AU$7:$AU$1843,AU1567,$BT$7:$BT$1843,"&lt;="&amp;BT1567),"")</f>
        <v>42686.7295482296</v>
      </c>
      <c r="AW1567" s="58" t="n">
        <f aca="false">IF(AV1567="",0,MAX(0,MIN(1,(IF(CC1567="L1",Parameter!$H$5,IF(CC1567="L23",Parameter!$H$6+Parameter!$H$7,Parameter!$H$5+Parameter!$H$6+Parameter!$H$7))-(AV1567-AR1567))/AR1567)))</f>
        <v>0</v>
      </c>
      <c r="AX1567" s="50" t="n">
        <f aca="false">IF(LEFT(Cockpit!$O$5,1)="A",H1567,IF(CE1567=1,CF1567,IF(LEFT(Cockpit!$O$5,1)="B",BC1567,MAX(BC1567,H1567))))</f>
        <v>7</v>
      </c>
      <c r="AY1567" s="50" t="n">
        <f aca="false">IF(BW1567=1,0,ROUNDUP(AX1567/BV1567,0))</f>
        <v>1</v>
      </c>
      <c r="AZ1567" s="52" t="n">
        <f aca="false">IF(CL1567&gt;0,CL1567*MAX(1,AX1567/X1567),IF(BW1567=1,IF(AX1567&lt;=0,0,CA1567*MAX(1,IF(H1567&gt;0,AX1567/H1567,1))),IF(R1567&gt;0,AY1567/R1567,0))/MAX(0.1,N(Parameter!$M$21)))</f>
        <v>0.0833333333333333</v>
      </c>
      <c r="BA1567" s="50" t="n">
        <f aca="false">AZ1567*BY1567</f>
        <v>12.0833333333333</v>
      </c>
      <c r="BB1567" s="50" t="n">
        <f aca="false">AX1567*G1567</f>
        <v>700</v>
      </c>
      <c r="BC1567" s="50" t="n">
        <f aca="false">ROUNDUP(MAX(J1567/IF(CD1567&gt;0,CD1567,MAX(0.1,N(Cockpit!$O$6))),CG1567)/BV1567,0)*BV1567</f>
        <v>7</v>
      </c>
      <c r="BD1567" s="51" t="n">
        <f aca="false">IF(BA1567&gt;0,J1567/BA1567,-1)</f>
        <v>0</v>
      </c>
      <c r="BE1567" s="51" t="n">
        <f aca="false">IF(AND(OR(CC1567="L1",CC1567="L23",CC1567="LIFT"),BA1567&gt;0),SUMIFS($BA$7:$BA$1843,$CC$7:$CC$1843,CC1567,$BD$7:$BD$1843,"&gt;"&amp;BD1567)+SUMIFS($BA$7:$BA$1843,$CC$7:$CC$1843,CC1567,$BD$7:$BD$1843,BD1567,$BT$7:$BT$1843,"&lt;="&amp;BT1567),"")</f>
        <v>39361.7415900954</v>
      </c>
      <c r="BF1567" s="58" t="n">
        <f aca="false">IF(BE1567="",0,MAX(0,MIN(1,(IF(CC1567="L1",Parameter!$H$5,IF(CC1567="L23",Parameter!$H$6+Parameter!$H$7,Parameter!$H$5+Parameter!$H$6+Parameter!$H$7))-(BE1567-BA1567))/BA1567)))</f>
        <v>0</v>
      </c>
      <c r="BG1567" s="48" t="str">
        <f aca="false">IF(AI1567&lt;=0,"",IF(CC1567="Aussen","Aussenlager",IF(CC1567="-","Nicht im Lift",IF(AN1567&gt;=1,"Lift",IF(AN1567&lt;=0,"Aussenlager","teilweise")))))</f>
        <v>Lift</v>
      </c>
      <c r="BH1567" s="48" t="str">
        <f aca="false">IF(AR1567&lt;=0,"",IF(CC1567="Aussen","Aussenlager",IF(CC1567="-","Nicht im Lift",IF(AW1567&gt;=1,"Lift",IF(AW1567&lt;=0,"Aussenlager","teilweise")))))</f>
        <v>Aussenlager</v>
      </c>
      <c r="BI1567" s="48" t="str">
        <f aca="false">IF(BA1567&lt;=0,"",IF(CC1567="Aussen","Aussenlager",IF(CC1567="-","Nicht im Lift",IF(BF1567&gt;=1,"Lift",IF(BF1567&lt;=0,"Aussenlager","teilweise")))))</f>
        <v>Aussenlager</v>
      </c>
      <c r="BJ1567" s="48" t="str">
        <f aca="false">IF(A1567="","",IF(BS1567=1,"Neu; ","")&amp;IF(AND(BS1567=0,BN1567&lt;0),"negativer Bestand (Export "&amp;BN1567&amp;"); ","")&amp;IF(J1567&lt;=0,"Kein Verbrauch; ","")&amp;IF(CL1567&gt;0,"Lift "&amp;W1567&amp;" lt. Liftbericht (Fach "&amp;X1567&amp;" Stk); ",IF(BX1567=1,"Gebinde geschätzt ("&amp;T1567&amp;"); ",IF(BW1567=1,"Lose – Tablare geschätzt; ","")))&amp;IF(H1567&gt;AT1567,"Überbestand "&amp;ROUND(H1567-AT1567,0)&amp;" Stk / CHF "&amp;ROUND((H1567-AT1567)*G1567,0)&amp;"; ","")&amp;IF(AND(CE1567=1,CF1567&lt;CG1567),"MAX &lt; MB+LG; ","")&amp;IF(AND(CK1567&gt;0,CJ1567*10&gt;CK1567),"zu hoch für Tablar; ","")&amp;IF(AND(BS1567=0,OR(CE1567=1,AA1567&lt;&gt;"",U1567&lt;&gt;"",V1567&lt;&gt;"",AB1567&lt;&gt;"")),"manuell übersteuert; ","")&amp;IF(AND(BW1567=0,R1567=0),"Gebinde unbekannt / Stellmass fehlt; ","")&amp;IF(AND(BW1567=0,N(V1567)&lt;=0,N(Q1567)&lt;=0),"Menge pro Gebinde fehlt (Ist = 1 Gebinde); ","")&amp;BR1567)</f>
        <v>Kein Verbrauch; Gebinde geschätzt (Mittel); Menge pro Gebinde fehlt (Ist = 1 Gebinde); nur im Artikelstamm (Bestand 23.06.2026)</v>
      </c>
      <c r="BK1567" s="48"/>
      <c r="BL1567" s="48"/>
      <c r="BM1567" s="55"/>
      <c r="BN1567" s="50" t="n">
        <v>7</v>
      </c>
      <c r="BO1567" s="50" t="n">
        <v>0</v>
      </c>
      <c r="BP1567" s="49" t="n">
        <v>0</v>
      </c>
      <c r="BQ1567" s="50" t="n">
        <v>0</v>
      </c>
      <c r="BR1567" s="48" t="s">
        <v>2579</v>
      </c>
      <c r="BS1567" s="53" t="n">
        <v>0</v>
      </c>
      <c r="BT1567" s="53" t="n">
        <v>1567</v>
      </c>
      <c r="BU1567" s="48" t="str">
        <f aca="false">IF(U1567&lt;&gt;"",UPPER(TRIM(U1567)),IF(BX1567=1,UPPER(VLOOKUP(T1567,Parameter!$I$27:$K$29,2,0)),IF(P1567="","LOSE",P1567)))</f>
        <v>S61</v>
      </c>
      <c r="BV1567" s="50" t="n">
        <f aca="false">IF(BU1567="LOSE",1,IF(N(V1567)&gt;0,V1567,IF(BX1567=1,MAX(1,N(VLOOKUP(T1567,Parameter!$I$27:$K$29,3,0)),H1567,N(N1567)),IF(N(Q1567)&gt;0,Q1567,MAX(1,H1567)))))</f>
        <v>7</v>
      </c>
      <c r="BW1567" s="53" t="n">
        <f aca="false">IF(BU1567="LOSE",1,0)</f>
        <v>0</v>
      </c>
      <c r="BX1567" s="53" t="n">
        <f aca="false">IF(AND(U1567="",OR(P1567="",P1567="LOSE"),T1567&lt;&gt;"",N(S1567)&lt;=0,ISNUMBER(MATCH(T1567,Parameter!$I$27:$I$29,0))),1,0)</f>
        <v>1</v>
      </c>
      <c r="BY1567" s="53" t="n">
        <f aca="false">IF(CL1567&gt;0,INDEX(Parameter!$H$5:$H$7,W1567)/INDEX(Parameter!$E$5:$E$7,W1567),IF(AND(BW1567=0,N(IFERROR(VLOOKUP(BU1567,'Gebinde-Kategorie'!$A$5:$N$45,14,0),0))&gt;0),VLOOKUP(BU1567,'Gebinde-Kategorie'!$A$5:$N$45,14,0)*10+Parameter!$M$23,Parameter!$M$24))</f>
        <v>145</v>
      </c>
      <c r="BZ1567" s="48" t="str">
        <f aca="false">IF(AND(Parameter!$B$19="Ja",E1567&lt;&gt;"",ISNUMBER(MATCH(E1567,Parameter!$I$35:$I$52,0))),VLOOKUP(E1567,Parameter!$I$35:$J$52,2,0),IFERROR(VLOOKUP(D1567,Parameter!$A$35:$C$64,2,0),"Nein"))</f>
        <v>2+3</v>
      </c>
      <c r="CA1567" s="52" t="n">
        <f aca="false">IF(BW1567=0,0,IF(N(S1567)&gt;0,S1567,IFERROR(VLOOKUP(D1567,Parameter!$A$35:$C$64,3,0)+0,0)))</f>
        <v>0</v>
      </c>
      <c r="CB1567" s="48" t="n">
        <f aca="false">IF(AA1567&lt;&gt;"",AA1567,Z1567)</f>
        <v>2</v>
      </c>
      <c r="CC1567" s="48" t="str">
        <f aca="false">IF(OR(CB1567=1,CB1567=2,CB1567=3),IF(Parameter!$E$27="Ja","LIFT",IF(CB1567=1,"L1","L23")),IF(CB1567="Aussen","Aussen","-"))</f>
        <v>LIFT</v>
      </c>
      <c r="CD1567" s="59" t="n">
        <f aca="false">IF(N(AB1567)&gt;0,AB1567,0)</f>
        <v>0</v>
      </c>
      <c r="CE1567" s="53" t="n">
        <f aca="false">IF(ISNUMBER(AE1567),1,0)</f>
        <v>0</v>
      </c>
      <c r="CF1567" s="50" t="n">
        <f aca="false">N(AE1567)</f>
        <v>0</v>
      </c>
      <c r="CG1567" s="50" t="n">
        <f aca="false">N(M1567)+N(N1567)</f>
        <v>5</v>
      </c>
      <c r="CH1567" s="50" t="n">
        <f aca="false">ROUNDUP(H1567/BV1567,0)</f>
        <v>1</v>
      </c>
      <c r="CI1567" s="50" t="n">
        <f aca="false">ROUNDUP(CF1567/BV1567,0)</f>
        <v>0</v>
      </c>
      <c r="CJ1567" s="53" t="n">
        <f aca="false">IF(BW1567=1,0,IFERROR(VLOOKUP(BU1567,'Gebinde-Kategorie'!$A$5:$N$45,5,0)+0,0))</f>
        <v>11</v>
      </c>
      <c r="CK1567" s="53" t="n">
        <f aca="false">IFERROR(IF(OR(CB1567=1,CB1567=2,CB1567=3),N(INDEX(Parameter!$I$5:$I$7,CB1567)),0),0)</f>
        <v>0</v>
      </c>
      <c r="CL1567" s="52" t="n">
        <f aca="false">IF(AND(Parameter!$B$21="Ja",ISNUMBER(W1567),N(X1567)&gt;0),IFERROR(N(INDEX(Parameter!$L$5:$L$7,W1567))*INDEX(Parameter!$E$5:$E$7,W1567)*X1567/SUMIFS($X$7:$X$1843,$W$7:$W$1843,W1567),0),0)</f>
        <v>0</v>
      </c>
    </row>
    <row r="1568" customFormat="false" ht="15" hidden="false" customHeight="false" outlineLevel="0" collapsed="false">
      <c r="A1568" s="48" t="s">
        <v>2743</v>
      </c>
      <c r="B1568" s="48" t="s">
        <v>2744</v>
      </c>
      <c r="C1568" s="48" t="s">
        <v>168</v>
      </c>
      <c r="D1568" s="48" t="s">
        <v>188</v>
      </c>
      <c r="E1568" s="48"/>
      <c r="F1568" s="48"/>
      <c r="G1568" s="49" t="n">
        <v>143</v>
      </c>
      <c r="H1568" s="50" t="n">
        <f aca="false">MAX(0,IF(AND(Parameter!$B$21="Ja",ISNUMBER(Y1568)),Y1568,IF(Parameter!$B$20="Jahresanfang 2025 + Export",BO1568+BN1568,BN1568)))</f>
        <v>2</v>
      </c>
      <c r="I1568" s="50" t="n">
        <f aca="false">H1568*G1568</f>
        <v>286</v>
      </c>
      <c r="J1568" s="50" t="n">
        <f aca="false">BQ1568*Parameter!$B$18</f>
        <v>0</v>
      </c>
      <c r="K1568" s="51"/>
      <c r="L1568" s="52"/>
      <c r="M1568" s="50" t="n">
        <v>0</v>
      </c>
      <c r="N1568" s="50" t="n">
        <v>10</v>
      </c>
      <c r="O1568" s="53" t="n">
        <v>35</v>
      </c>
      <c r="P1568" s="48" t="s">
        <v>172</v>
      </c>
      <c r="Q1568" s="50"/>
      <c r="R1568" s="53" t="n">
        <f aca="false">IF(BW1568=1,0,IFERROR(VLOOKUP(BU1568,'Gebinde-Kategorie'!$A$5:$N$45,13,0)+0,0))</f>
        <v>26</v>
      </c>
      <c r="S1568" s="54"/>
      <c r="T1568" s="55" t="s">
        <v>279</v>
      </c>
      <c r="U1568" s="55"/>
      <c r="V1568" s="55"/>
      <c r="W1568" s="48"/>
      <c r="X1568" s="50"/>
      <c r="Y1568" s="50"/>
      <c r="Z1568" s="48" t="n">
        <f aca="false">IF(A1568="","",IF(AND(Parameter!$B$21="Ja",ISNUMBER(W1568)),W1568,IF(BZ1568="2+3",IF(ISNUMBER(SEARCH("grosser Artikel",BR1568)),2,IFERROR(VLOOKUP(BU1568,Parameter!$F$35:$G$64,2,0),2)),IF(OR(BZ1568="Nein",BZ1568=""),"-",BZ1568))))</f>
        <v>3</v>
      </c>
      <c r="AA1568" s="55"/>
      <c r="AB1568" s="56"/>
      <c r="AC1568" s="50" t="n">
        <f aca="false">AT1568</f>
        <v>20</v>
      </c>
      <c r="AD1568" s="50" t="n">
        <f aca="false">MAX(AT1568,H1568)</f>
        <v>20</v>
      </c>
      <c r="AE1568" s="57"/>
      <c r="AF1568" s="50" t="n">
        <f aca="false">IF(LEFT(Cockpit!$C$5,1)="A",H1568,IF(CE1568=1,CF1568,IF(LEFT(Cockpit!$C$5,1)="B",AK1568,MAX(AK1568,H1568))))</f>
        <v>2</v>
      </c>
      <c r="AG1568" s="50" t="n">
        <f aca="false">IF(BW1568=1,0,ROUNDUP(AF1568/BV1568,0))</f>
        <v>1</v>
      </c>
      <c r="AH1568" s="52" t="n">
        <f aca="false">IF(CL1568&gt;0,CL1568*MAX(1,AF1568/X1568),IF(BW1568=1,IF(AF1568&lt;=0,0,CA1568*MAX(1,IF(H1568&gt;0,AF1568/H1568,1))),IF(R1568&gt;0,AG1568/R1568,0))/MAX(0.1,N(Parameter!$M$21)))</f>
        <v>0.0384615384615385</v>
      </c>
      <c r="AI1568" s="50" t="n">
        <f aca="false">AH1568*BY1568</f>
        <v>5.96153846153846</v>
      </c>
      <c r="AJ1568" s="50" t="n">
        <f aca="false">AF1568*G1568</f>
        <v>286</v>
      </c>
      <c r="AK1568" s="50" t="n">
        <f aca="false">ROUNDUP(MAX(J1568/IF(CD1568&gt;0,CD1568,MAX(0.1,N(Cockpit!$C$6))),CG1568)/BV1568,0)*BV1568</f>
        <v>20</v>
      </c>
      <c r="AL1568" s="51" t="n">
        <f aca="false">IF(AI1568&gt;0,J1568/AI1568,-1)</f>
        <v>0</v>
      </c>
      <c r="AM1568" s="51" t="n">
        <f aca="false">IF(AND(OR(CC1568="L1",CC1568="L23",CC1568="LIFT"),AI1568&gt;0),SUMIFS($AI$7:$AI$1843,$CC$7:$CC$1843,CC1568,$AL$7:$AL$1843,"&gt;"&amp;AL1568)+SUMIFS($AI$7:$AI$1843,$CC$7:$CC$1843,CC1568,$AL$7:$AL$1843,AL1568,$BT$7:$BT$1843,"&lt;="&amp;BT1568),"")</f>
        <v>30330.7887745494</v>
      </c>
      <c r="AN1568" s="58" t="n">
        <f aca="false">IF(AM1568="",0,MAX(0,MIN(1,(IF(CC1568="L1",Parameter!$H$5,IF(CC1568="L23",Parameter!$H$6+Parameter!$H$7,Parameter!$H$5+Parameter!$H$6+Parameter!$H$7))-(AM1568-AI1568))/AI1568)))</f>
        <v>1</v>
      </c>
      <c r="AO1568" s="50" t="n">
        <f aca="false">IF(LEFT(Cockpit!$I$5,1)="A",H1568,IF(CE1568=1,CF1568,IF(LEFT(Cockpit!$I$5,1)="B",AT1568,MAX(AT1568,H1568))))</f>
        <v>20</v>
      </c>
      <c r="AP1568" s="50" t="n">
        <f aca="false">IF(BW1568=1,0,ROUNDUP(AO1568/BV1568,0))</f>
        <v>1</v>
      </c>
      <c r="AQ1568" s="52" t="n">
        <f aca="false">IF(CL1568&gt;0,CL1568*MAX(1,AO1568/X1568),IF(BW1568=1,IF(AO1568&lt;=0,0,CA1568*MAX(1,IF(H1568&gt;0,AO1568/H1568,1))),IF(R1568&gt;0,AP1568/R1568,0))/MAX(0.1,N(Parameter!$M$21)))</f>
        <v>0.0384615384615385</v>
      </c>
      <c r="AR1568" s="50" t="n">
        <f aca="false">AQ1568*BY1568</f>
        <v>5.96153846153846</v>
      </c>
      <c r="AS1568" s="50" t="n">
        <f aca="false">AO1568*G1568</f>
        <v>2860</v>
      </c>
      <c r="AT1568" s="50" t="n">
        <f aca="false">ROUNDUP(MAX(J1568/IF(CD1568&gt;0,CD1568,MAX(0.1,N(Cockpit!$I$6))),CG1568)/BV1568,0)*BV1568</f>
        <v>20</v>
      </c>
      <c r="AU1568" s="51" t="n">
        <f aca="false">IF(AR1568&gt;0,J1568/AR1568,-1)</f>
        <v>0</v>
      </c>
      <c r="AV1568" s="51" t="n">
        <f aca="false">IF(AND(OR(CC1568="L1",CC1568="L23",CC1568="LIFT"),AR1568&gt;0),SUMIFS($AR$7:$AR$1843,$CC$7:$CC$1843,CC1568,$AU$7:$AU$1843,"&gt;"&amp;AU1568)+SUMIFS($AR$7:$AR$1843,$CC$7:$CC$1843,CC1568,$AU$7:$AU$1843,AU1568,$BT$7:$BT$1843,"&lt;="&amp;BT1568),"")</f>
        <v>42692.6910866911</v>
      </c>
      <c r="AW1568" s="58" t="n">
        <f aca="false">IF(AV1568="",0,MAX(0,MIN(1,(IF(CC1568="L1",Parameter!$H$5,IF(CC1568="L23",Parameter!$H$6+Parameter!$H$7,Parameter!$H$5+Parameter!$H$6+Parameter!$H$7))-(AV1568-AR1568))/AR1568)))</f>
        <v>0</v>
      </c>
      <c r="AX1568" s="50" t="n">
        <f aca="false">IF(LEFT(Cockpit!$O$5,1)="A",H1568,IF(CE1568=1,CF1568,IF(LEFT(Cockpit!$O$5,1)="B",BC1568,MAX(BC1568,H1568))))</f>
        <v>20</v>
      </c>
      <c r="AY1568" s="50" t="n">
        <f aca="false">IF(BW1568=1,0,ROUNDUP(AX1568/BV1568,0))</f>
        <v>1</v>
      </c>
      <c r="AZ1568" s="52" t="n">
        <f aca="false">IF(CL1568&gt;0,CL1568*MAX(1,AX1568/X1568),IF(BW1568=1,IF(AX1568&lt;=0,0,CA1568*MAX(1,IF(H1568&gt;0,AX1568/H1568,1))),IF(R1568&gt;0,AY1568/R1568,0))/MAX(0.1,N(Parameter!$M$21)))</f>
        <v>0.0384615384615385</v>
      </c>
      <c r="BA1568" s="50" t="n">
        <f aca="false">AZ1568*BY1568</f>
        <v>5.96153846153846</v>
      </c>
      <c r="BB1568" s="50" t="n">
        <f aca="false">AX1568*G1568</f>
        <v>2860</v>
      </c>
      <c r="BC1568" s="50" t="n">
        <f aca="false">ROUNDUP(MAX(J1568/IF(CD1568&gt;0,CD1568,MAX(0.1,N(Cockpit!$O$6))),CG1568)/BV1568,0)*BV1568</f>
        <v>20</v>
      </c>
      <c r="BD1568" s="51" t="n">
        <f aca="false">IF(BA1568&gt;0,J1568/BA1568,-1)</f>
        <v>0</v>
      </c>
      <c r="BE1568" s="51" t="n">
        <f aca="false">IF(AND(OR(CC1568="L1",CC1568="L23",CC1568="LIFT"),BA1568&gt;0),SUMIFS($BA$7:$BA$1843,$CC$7:$CC$1843,CC1568,$BD$7:$BD$1843,"&gt;"&amp;BD1568)+SUMIFS($BA$7:$BA$1843,$CC$7:$CC$1843,CC1568,$BD$7:$BD$1843,BD1568,$BT$7:$BT$1843,"&lt;="&amp;BT1568),"")</f>
        <v>39367.703128557</v>
      </c>
      <c r="BF1568" s="58" t="n">
        <f aca="false">IF(BE1568="",0,MAX(0,MIN(1,(IF(CC1568="L1",Parameter!$H$5,IF(CC1568="L23",Parameter!$H$6+Parameter!$H$7,Parameter!$H$5+Parameter!$H$6+Parameter!$H$7))-(BE1568-BA1568))/BA1568)))</f>
        <v>0</v>
      </c>
      <c r="BG1568" s="48" t="str">
        <f aca="false">IF(AI1568&lt;=0,"",IF(CC1568="Aussen","Aussenlager",IF(CC1568="-","Nicht im Lift",IF(AN1568&gt;=1,"Lift",IF(AN1568&lt;=0,"Aussenlager","teilweise")))))</f>
        <v>Lift</v>
      </c>
      <c r="BH1568" s="48" t="str">
        <f aca="false">IF(AR1568&lt;=0,"",IF(CC1568="Aussen","Aussenlager",IF(CC1568="-","Nicht im Lift",IF(AW1568&gt;=1,"Lift",IF(AW1568&lt;=0,"Aussenlager","teilweise")))))</f>
        <v>Aussenlager</v>
      </c>
      <c r="BI1568" s="48" t="str">
        <f aca="false">IF(BA1568&lt;=0,"",IF(CC1568="Aussen","Aussenlager",IF(CC1568="-","Nicht im Lift",IF(BF1568&gt;=1,"Lift",IF(BF1568&lt;=0,"Aussenlager","teilweise")))))</f>
        <v>Aussenlager</v>
      </c>
      <c r="BJ1568" s="48" t="str">
        <f aca="false">IF(A1568="","",IF(BS1568=1,"Neu; ","")&amp;IF(AND(BS1568=0,BN1568&lt;0),"negativer Bestand (Export "&amp;BN1568&amp;"); ","")&amp;IF(J1568&lt;=0,"Kein Verbrauch; ","")&amp;IF(CL1568&gt;0,"Lift "&amp;W1568&amp;" lt. Liftbericht (Fach "&amp;X1568&amp;" Stk); ",IF(BX1568=1,"Gebinde geschätzt ("&amp;T1568&amp;"); ",IF(BW1568=1,"Lose – Tablare geschätzt; ","")))&amp;IF(H1568&gt;AT1568,"Überbestand "&amp;ROUND(H1568-AT1568,0)&amp;" Stk / CHF "&amp;ROUND((H1568-AT1568)*G1568,0)&amp;"; ","")&amp;IF(AND(CE1568=1,CF1568&lt;CG1568),"MAX &lt; MB+LG; ","")&amp;IF(AND(CK1568&gt;0,CJ1568*10&gt;CK1568),"zu hoch für Tablar; ","")&amp;IF(AND(BS1568=0,OR(CE1568=1,AA1568&lt;&gt;"",U1568&lt;&gt;"",V1568&lt;&gt;"",AB1568&lt;&gt;"")),"manuell übersteuert; ","")&amp;IF(AND(BW1568=0,R1568=0),"Gebinde unbekannt / Stellmass fehlt; ","")&amp;IF(AND(BW1568=0,N(V1568)&lt;=0,N(Q1568)&lt;=0),"Menge pro Gebinde fehlt (Ist = 1 Gebinde); ","")&amp;BR1568)</f>
        <v>Kein Verbrauch; Gebinde geschätzt (Klein); Menge pro Gebinde fehlt (Ist = 1 Gebinde); nur im Artikelstamm (Bestand 23.06.2026)</v>
      </c>
      <c r="BK1568" s="48"/>
      <c r="BL1568" s="48"/>
      <c r="BM1568" s="55"/>
      <c r="BN1568" s="50" t="n">
        <v>2</v>
      </c>
      <c r="BO1568" s="50" t="n">
        <v>0</v>
      </c>
      <c r="BP1568" s="49" t="n">
        <v>0</v>
      </c>
      <c r="BQ1568" s="50" t="n">
        <v>0</v>
      </c>
      <c r="BR1568" s="48" t="s">
        <v>2579</v>
      </c>
      <c r="BS1568" s="53" t="n">
        <v>0</v>
      </c>
      <c r="BT1568" s="53" t="n">
        <v>1568</v>
      </c>
      <c r="BU1568" s="48" t="str">
        <f aca="false">IF(U1568&lt;&gt;"",UPPER(TRIM(U1568)),IF(BX1568=1,UPPER(VLOOKUP(T1568,Parameter!$I$27:$K$29,2,0)),IF(P1568="","LOSE",P1568)))</f>
        <v>S51</v>
      </c>
      <c r="BV1568" s="50" t="n">
        <f aca="false">IF(BU1568="LOSE",1,IF(N(V1568)&gt;0,V1568,IF(BX1568=1,MAX(1,N(VLOOKUP(T1568,Parameter!$I$27:$K$29,3,0)),H1568,N(N1568)),IF(N(Q1568)&gt;0,Q1568,MAX(1,H1568)))))</f>
        <v>20</v>
      </c>
      <c r="BW1568" s="53" t="n">
        <f aca="false">IF(BU1568="LOSE",1,0)</f>
        <v>0</v>
      </c>
      <c r="BX1568" s="53" t="n">
        <f aca="false">IF(AND(U1568="",OR(P1568="",P1568="LOSE"),T1568&lt;&gt;"",N(S1568)&lt;=0,ISNUMBER(MATCH(T1568,Parameter!$I$27:$I$29,0))),1,0)</f>
        <v>1</v>
      </c>
      <c r="BY1568" s="53" t="n">
        <f aca="false">IF(CL1568&gt;0,INDEX(Parameter!$H$5:$H$7,W1568)/INDEX(Parameter!$E$5:$E$7,W1568),IF(AND(BW1568=0,N(IFERROR(VLOOKUP(BU1568,'Gebinde-Kategorie'!$A$5:$N$45,14,0),0))&gt;0),VLOOKUP(BU1568,'Gebinde-Kategorie'!$A$5:$N$45,14,0)*10+Parameter!$M$23,Parameter!$M$24))</f>
        <v>155</v>
      </c>
      <c r="BZ1568" s="48" t="str">
        <f aca="false">IF(AND(Parameter!$B$19="Ja",E1568&lt;&gt;"",ISNUMBER(MATCH(E1568,Parameter!$I$35:$I$52,0))),VLOOKUP(E1568,Parameter!$I$35:$J$52,2,0),IFERROR(VLOOKUP(D1568,Parameter!$A$35:$C$64,2,0),"Nein"))</f>
        <v>2+3</v>
      </c>
      <c r="CA1568" s="52" t="n">
        <f aca="false">IF(BW1568=0,0,IF(N(S1568)&gt;0,S1568,IFERROR(VLOOKUP(D1568,Parameter!$A$35:$C$64,3,0)+0,0)))</f>
        <v>0</v>
      </c>
      <c r="CB1568" s="48" t="n">
        <f aca="false">IF(AA1568&lt;&gt;"",AA1568,Z1568)</f>
        <v>3</v>
      </c>
      <c r="CC1568" s="48" t="str">
        <f aca="false">IF(OR(CB1568=1,CB1568=2,CB1568=3),IF(Parameter!$E$27="Ja","LIFT",IF(CB1568=1,"L1","L23")),IF(CB1568="Aussen","Aussen","-"))</f>
        <v>LIFT</v>
      </c>
      <c r="CD1568" s="59" t="n">
        <f aca="false">IF(N(AB1568)&gt;0,AB1568,0)</f>
        <v>0</v>
      </c>
      <c r="CE1568" s="53" t="n">
        <f aca="false">IF(ISNUMBER(AE1568),1,0)</f>
        <v>0</v>
      </c>
      <c r="CF1568" s="50" t="n">
        <f aca="false">N(AE1568)</f>
        <v>0</v>
      </c>
      <c r="CG1568" s="50" t="n">
        <f aca="false">N(M1568)+N(N1568)</f>
        <v>10</v>
      </c>
      <c r="CH1568" s="50" t="n">
        <f aca="false">ROUNDUP(H1568/BV1568,0)</f>
        <v>1</v>
      </c>
      <c r="CI1568" s="50" t="n">
        <f aca="false">ROUNDUP(CF1568/BV1568,0)</f>
        <v>0</v>
      </c>
      <c r="CJ1568" s="53" t="n">
        <f aca="false">IF(BW1568=1,0,IFERROR(VLOOKUP(BU1568,'Gebinde-Kategorie'!$A$5:$N$45,5,0)+0,0))</f>
        <v>11</v>
      </c>
      <c r="CK1568" s="53" t="n">
        <f aca="false">IFERROR(IF(OR(CB1568=1,CB1568=2,CB1568=3),N(INDEX(Parameter!$I$5:$I$7,CB1568)),0),0)</f>
        <v>0</v>
      </c>
      <c r="CL1568" s="52" t="n">
        <f aca="false">IF(AND(Parameter!$B$21="Ja",ISNUMBER(W1568),N(X1568)&gt;0),IFERROR(N(INDEX(Parameter!$L$5:$L$7,W1568))*INDEX(Parameter!$E$5:$E$7,W1568)*X1568/SUMIFS($X$7:$X$1843,$W$7:$W$1843,W1568),0),0)</f>
        <v>0</v>
      </c>
    </row>
    <row r="1569" customFormat="false" ht="15" hidden="false" customHeight="false" outlineLevel="0" collapsed="false">
      <c r="A1569" s="48" t="s">
        <v>2745</v>
      </c>
      <c r="B1569" s="48" t="s">
        <v>2746</v>
      </c>
      <c r="C1569" s="48" t="s">
        <v>168</v>
      </c>
      <c r="D1569" s="48" t="s">
        <v>188</v>
      </c>
      <c r="E1569" s="48"/>
      <c r="F1569" s="48"/>
      <c r="G1569" s="49" t="n">
        <v>37</v>
      </c>
      <c r="H1569" s="50" t="n">
        <f aca="false">MAX(0,IF(AND(Parameter!$B$21="Ja",ISNUMBER(Y1569)),Y1569,IF(Parameter!$B$20="Jahresanfang 2025 + Export",BO1569+BN1569,BN1569)))</f>
        <v>5</v>
      </c>
      <c r="I1569" s="50" t="n">
        <f aca="false">H1569*G1569</f>
        <v>185</v>
      </c>
      <c r="J1569" s="50" t="n">
        <f aca="false">BQ1569*Parameter!$B$18</f>
        <v>0</v>
      </c>
      <c r="K1569" s="51"/>
      <c r="L1569" s="52"/>
      <c r="M1569" s="50" t="n">
        <v>0</v>
      </c>
      <c r="N1569" s="50" t="n">
        <v>2</v>
      </c>
      <c r="O1569" s="53" t="n">
        <v>21</v>
      </c>
      <c r="P1569" s="48" t="s">
        <v>172</v>
      </c>
      <c r="Q1569" s="50"/>
      <c r="R1569" s="53" t="n">
        <f aca="false">IF(BW1569=1,0,IFERROR(VLOOKUP(BU1569,'Gebinde-Kategorie'!$A$5:$N$45,13,0)+0,0))</f>
        <v>12</v>
      </c>
      <c r="S1569" s="54"/>
      <c r="T1569" s="55" t="s">
        <v>183</v>
      </c>
      <c r="U1569" s="55"/>
      <c r="V1569" s="55"/>
      <c r="W1569" s="48"/>
      <c r="X1569" s="50"/>
      <c r="Y1569" s="50"/>
      <c r="Z1569" s="48" t="n">
        <f aca="false">IF(A1569="","",IF(AND(Parameter!$B$21="Ja",ISNUMBER(W1569)),W1569,IF(BZ1569="2+3",IF(ISNUMBER(SEARCH("grosser Artikel",BR1569)),2,IFERROR(VLOOKUP(BU1569,Parameter!$F$35:$G$64,2,0),2)),IF(OR(BZ1569="Nein",BZ1569=""),"-",BZ1569))))</f>
        <v>2</v>
      </c>
      <c r="AA1569" s="55"/>
      <c r="AB1569" s="56"/>
      <c r="AC1569" s="50" t="n">
        <f aca="false">AT1569</f>
        <v>5</v>
      </c>
      <c r="AD1569" s="50" t="n">
        <f aca="false">MAX(AT1569,H1569)</f>
        <v>5</v>
      </c>
      <c r="AE1569" s="57"/>
      <c r="AF1569" s="50" t="n">
        <f aca="false">IF(LEFT(Cockpit!$C$5,1)="A",H1569,IF(CE1569=1,CF1569,IF(LEFT(Cockpit!$C$5,1)="B",AK1569,MAX(AK1569,H1569))))</f>
        <v>5</v>
      </c>
      <c r="AG1569" s="50" t="n">
        <f aca="false">IF(BW1569=1,0,ROUNDUP(AF1569/BV1569,0))</f>
        <v>1</v>
      </c>
      <c r="AH1569" s="52" t="n">
        <f aca="false">IF(CL1569&gt;0,CL1569*MAX(1,AF1569/X1569),IF(BW1569=1,IF(AF1569&lt;=0,0,CA1569*MAX(1,IF(H1569&gt;0,AF1569/H1569,1))),IF(R1569&gt;0,AG1569/R1569,0))/MAX(0.1,N(Parameter!$M$21)))</f>
        <v>0.0833333333333333</v>
      </c>
      <c r="AI1569" s="50" t="n">
        <f aca="false">AH1569*BY1569</f>
        <v>12.0833333333333</v>
      </c>
      <c r="AJ1569" s="50" t="n">
        <f aca="false">AF1569*G1569</f>
        <v>185</v>
      </c>
      <c r="AK1569" s="50" t="n">
        <f aca="false">ROUNDUP(MAX(J1569/IF(CD1569&gt;0,CD1569,MAX(0.1,N(Cockpit!$C$6))),CG1569)/BV1569,0)*BV1569</f>
        <v>5</v>
      </c>
      <c r="AL1569" s="51" t="n">
        <f aca="false">IF(AI1569&gt;0,J1569/AI1569,-1)</f>
        <v>0</v>
      </c>
      <c r="AM1569" s="51" t="n">
        <f aca="false">IF(AND(OR(CC1569="L1",CC1569="L23",CC1569="LIFT"),AI1569&gt;0),SUMIFS($AI$7:$AI$1843,$CC$7:$CC$1843,CC1569,$AL$7:$AL$1843,"&gt;"&amp;AL1569)+SUMIFS($AI$7:$AI$1843,$CC$7:$CC$1843,CC1569,$AL$7:$AL$1843,AL1569,$BT$7:$BT$1843,"&lt;="&amp;BT1569),"")</f>
        <v>30342.8721078827</v>
      </c>
      <c r="AN1569" s="58" t="n">
        <f aca="false">IF(AM1569="",0,MAX(0,MIN(1,(IF(CC1569="L1",Parameter!$H$5,IF(CC1569="L23",Parameter!$H$6+Parameter!$H$7,Parameter!$H$5+Parameter!$H$6+Parameter!$H$7))-(AM1569-AI1569))/AI1569)))</f>
        <v>1</v>
      </c>
      <c r="AO1569" s="50" t="n">
        <f aca="false">IF(LEFT(Cockpit!$I$5,1)="A",H1569,IF(CE1569=1,CF1569,IF(LEFT(Cockpit!$I$5,1)="B",AT1569,MAX(AT1569,H1569))))</f>
        <v>5</v>
      </c>
      <c r="AP1569" s="50" t="n">
        <f aca="false">IF(BW1569=1,0,ROUNDUP(AO1569/BV1569,0))</f>
        <v>1</v>
      </c>
      <c r="AQ1569" s="52" t="n">
        <f aca="false">IF(CL1569&gt;0,CL1569*MAX(1,AO1569/X1569),IF(BW1569=1,IF(AO1569&lt;=0,0,CA1569*MAX(1,IF(H1569&gt;0,AO1569/H1569,1))),IF(R1569&gt;0,AP1569/R1569,0))/MAX(0.1,N(Parameter!$M$21)))</f>
        <v>0.0833333333333333</v>
      </c>
      <c r="AR1569" s="50" t="n">
        <f aca="false">AQ1569*BY1569</f>
        <v>12.0833333333333</v>
      </c>
      <c r="AS1569" s="50" t="n">
        <f aca="false">AO1569*G1569</f>
        <v>185</v>
      </c>
      <c r="AT1569" s="50" t="n">
        <f aca="false">ROUNDUP(MAX(J1569/IF(CD1569&gt;0,CD1569,MAX(0.1,N(Cockpit!$I$6))),CG1569)/BV1569,0)*BV1569</f>
        <v>5</v>
      </c>
      <c r="AU1569" s="51" t="n">
        <f aca="false">IF(AR1569&gt;0,J1569/AR1569,-1)</f>
        <v>0</v>
      </c>
      <c r="AV1569" s="51" t="n">
        <f aca="false">IF(AND(OR(CC1569="L1",CC1569="L23",CC1569="LIFT"),AR1569&gt;0),SUMIFS($AR$7:$AR$1843,$CC$7:$CC$1843,CC1569,$AU$7:$AU$1843,"&gt;"&amp;AU1569)+SUMIFS($AR$7:$AR$1843,$CC$7:$CC$1843,CC1569,$AU$7:$AU$1843,AU1569,$BT$7:$BT$1843,"&lt;="&amp;BT1569),"")</f>
        <v>42704.7744200244</v>
      </c>
      <c r="AW1569" s="58" t="n">
        <f aca="false">IF(AV1569="",0,MAX(0,MIN(1,(IF(CC1569="L1",Parameter!$H$5,IF(CC1569="L23",Parameter!$H$6+Parameter!$H$7,Parameter!$H$5+Parameter!$H$6+Parameter!$H$7))-(AV1569-AR1569))/AR1569)))</f>
        <v>0</v>
      </c>
      <c r="AX1569" s="50" t="n">
        <f aca="false">IF(LEFT(Cockpit!$O$5,1)="A",H1569,IF(CE1569=1,CF1569,IF(LEFT(Cockpit!$O$5,1)="B",BC1569,MAX(BC1569,H1569))))</f>
        <v>5</v>
      </c>
      <c r="AY1569" s="50" t="n">
        <f aca="false">IF(BW1569=1,0,ROUNDUP(AX1569/BV1569,0))</f>
        <v>1</v>
      </c>
      <c r="AZ1569" s="52" t="n">
        <f aca="false">IF(CL1569&gt;0,CL1569*MAX(1,AX1569/X1569),IF(BW1569=1,IF(AX1569&lt;=0,0,CA1569*MAX(1,IF(H1569&gt;0,AX1569/H1569,1))),IF(R1569&gt;0,AY1569/R1569,0))/MAX(0.1,N(Parameter!$M$21)))</f>
        <v>0.0833333333333333</v>
      </c>
      <c r="BA1569" s="50" t="n">
        <f aca="false">AZ1569*BY1569</f>
        <v>12.0833333333333</v>
      </c>
      <c r="BB1569" s="50" t="n">
        <f aca="false">AX1569*G1569</f>
        <v>185</v>
      </c>
      <c r="BC1569" s="50" t="n">
        <f aca="false">ROUNDUP(MAX(J1569/IF(CD1569&gt;0,CD1569,MAX(0.1,N(Cockpit!$O$6))),CG1569)/BV1569,0)*BV1569</f>
        <v>5</v>
      </c>
      <c r="BD1569" s="51" t="n">
        <f aca="false">IF(BA1569&gt;0,J1569/BA1569,-1)</f>
        <v>0</v>
      </c>
      <c r="BE1569" s="51" t="n">
        <f aca="false">IF(AND(OR(CC1569="L1",CC1569="L23",CC1569="LIFT"),BA1569&gt;0),SUMIFS($BA$7:$BA$1843,$CC$7:$CC$1843,CC1569,$BD$7:$BD$1843,"&gt;"&amp;BD1569)+SUMIFS($BA$7:$BA$1843,$CC$7:$CC$1843,CC1569,$BD$7:$BD$1843,BD1569,$BT$7:$BT$1843,"&lt;="&amp;BT1569),"")</f>
        <v>39379.7864618903</v>
      </c>
      <c r="BF1569" s="58" t="n">
        <f aca="false">IF(BE1569="",0,MAX(0,MIN(1,(IF(CC1569="L1",Parameter!$H$5,IF(CC1569="L23",Parameter!$H$6+Parameter!$H$7,Parameter!$H$5+Parameter!$H$6+Parameter!$H$7))-(BE1569-BA1569))/BA1569)))</f>
        <v>0</v>
      </c>
      <c r="BG1569" s="48" t="str">
        <f aca="false">IF(AI1569&lt;=0,"",IF(CC1569="Aussen","Aussenlager",IF(CC1569="-","Nicht im Lift",IF(AN1569&gt;=1,"Lift",IF(AN1569&lt;=0,"Aussenlager","teilweise")))))</f>
        <v>Lift</v>
      </c>
      <c r="BH1569" s="48" t="str">
        <f aca="false">IF(AR1569&lt;=0,"",IF(CC1569="Aussen","Aussenlager",IF(CC1569="-","Nicht im Lift",IF(AW1569&gt;=1,"Lift",IF(AW1569&lt;=0,"Aussenlager","teilweise")))))</f>
        <v>Aussenlager</v>
      </c>
      <c r="BI1569" s="48" t="str">
        <f aca="false">IF(BA1569&lt;=0,"",IF(CC1569="Aussen","Aussenlager",IF(CC1569="-","Nicht im Lift",IF(BF1569&gt;=1,"Lift",IF(BF1569&lt;=0,"Aussenlager","teilweise")))))</f>
        <v>Aussenlager</v>
      </c>
      <c r="BJ1569" s="48" t="str">
        <f aca="false">IF(A1569="","",IF(BS1569=1,"Neu; ","")&amp;IF(AND(BS1569=0,BN1569&lt;0),"negativer Bestand (Export "&amp;BN1569&amp;"); ","")&amp;IF(J1569&lt;=0,"Kein Verbrauch; ","")&amp;IF(CL1569&gt;0,"Lift "&amp;W1569&amp;" lt. Liftbericht (Fach "&amp;X1569&amp;" Stk); ",IF(BX1569=1,"Gebinde geschätzt ("&amp;T1569&amp;"); ",IF(BW1569=1,"Lose – Tablare geschätzt; ","")))&amp;IF(H1569&gt;AT1569,"Überbestand "&amp;ROUND(H1569-AT1569,0)&amp;" Stk / CHF "&amp;ROUND((H1569-AT1569)*G1569,0)&amp;"; ","")&amp;IF(AND(CE1569=1,CF1569&lt;CG1569),"MAX &lt; MB+LG; ","")&amp;IF(AND(CK1569&gt;0,CJ1569*10&gt;CK1569),"zu hoch für Tablar; ","")&amp;IF(AND(BS1569=0,OR(CE1569=1,AA1569&lt;&gt;"",U1569&lt;&gt;"",V1569&lt;&gt;"",AB1569&lt;&gt;"")),"manuell übersteuert; ","")&amp;IF(AND(BW1569=0,R1569=0),"Gebinde unbekannt / Stellmass fehlt; ","")&amp;IF(AND(BW1569=0,N(V1569)&lt;=0,N(Q1569)&lt;=0),"Menge pro Gebinde fehlt (Ist = 1 Gebinde); ","")&amp;BR1569)</f>
        <v>Kein Verbrauch; Gebinde geschätzt (Mittel); Menge pro Gebinde fehlt (Ist = 1 Gebinde); nur im Artikelstamm (Bestand 23.06.2026)</v>
      </c>
      <c r="BK1569" s="48"/>
      <c r="BL1569" s="48"/>
      <c r="BM1569" s="55"/>
      <c r="BN1569" s="50" t="n">
        <v>5</v>
      </c>
      <c r="BO1569" s="50" t="n">
        <v>0</v>
      </c>
      <c r="BP1569" s="49" t="n">
        <v>0</v>
      </c>
      <c r="BQ1569" s="50" t="n">
        <v>0</v>
      </c>
      <c r="BR1569" s="48" t="s">
        <v>2579</v>
      </c>
      <c r="BS1569" s="53" t="n">
        <v>0</v>
      </c>
      <c r="BT1569" s="53" t="n">
        <v>1569</v>
      </c>
      <c r="BU1569" s="48" t="str">
        <f aca="false">IF(U1569&lt;&gt;"",UPPER(TRIM(U1569)),IF(BX1569=1,UPPER(VLOOKUP(T1569,Parameter!$I$27:$K$29,2,0)),IF(P1569="","LOSE",P1569)))</f>
        <v>S61</v>
      </c>
      <c r="BV1569" s="50" t="n">
        <f aca="false">IF(BU1569="LOSE",1,IF(N(V1569)&gt;0,V1569,IF(BX1569=1,MAX(1,N(VLOOKUP(T1569,Parameter!$I$27:$K$29,3,0)),H1569,N(N1569)),IF(N(Q1569)&gt;0,Q1569,MAX(1,H1569)))))</f>
        <v>5</v>
      </c>
      <c r="BW1569" s="53" t="n">
        <f aca="false">IF(BU1569="LOSE",1,0)</f>
        <v>0</v>
      </c>
      <c r="BX1569" s="53" t="n">
        <f aca="false">IF(AND(U1569="",OR(P1569="",P1569="LOSE"),T1569&lt;&gt;"",N(S1569)&lt;=0,ISNUMBER(MATCH(T1569,Parameter!$I$27:$I$29,0))),1,0)</f>
        <v>1</v>
      </c>
      <c r="BY1569" s="53" t="n">
        <f aca="false">IF(CL1569&gt;0,INDEX(Parameter!$H$5:$H$7,W1569)/INDEX(Parameter!$E$5:$E$7,W1569),IF(AND(BW1569=0,N(IFERROR(VLOOKUP(BU1569,'Gebinde-Kategorie'!$A$5:$N$45,14,0),0))&gt;0),VLOOKUP(BU1569,'Gebinde-Kategorie'!$A$5:$N$45,14,0)*10+Parameter!$M$23,Parameter!$M$24))</f>
        <v>145</v>
      </c>
      <c r="BZ1569" s="48" t="str">
        <f aca="false">IF(AND(Parameter!$B$19="Ja",E1569&lt;&gt;"",ISNUMBER(MATCH(E1569,Parameter!$I$35:$I$52,0))),VLOOKUP(E1569,Parameter!$I$35:$J$52,2,0),IFERROR(VLOOKUP(D1569,Parameter!$A$35:$C$64,2,0),"Nein"))</f>
        <v>2+3</v>
      </c>
      <c r="CA1569" s="52" t="n">
        <f aca="false">IF(BW1569=0,0,IF(N(S1569)&gt;0,S1569,IFERROR(VLOOKUP(D1569,Parameter!$A$35:$C$64,3,0)+0,0)))</f>
        <v>0</v>
      </c>
      <c r="CB1569" s="48" t="n">
        <f aca="false">IF(AA1569&lt;&gt;"",AA1569,Z1569)</f>
        <v>2</v>
      </c>
      <c r="CC1569" s="48" t="str">
        <f aca="false">IF(OR(CB1569=1,CB1569=2,CB1569=3),IF(Parameter!$E$27="Ja","LIFT",IF(CB1569=1,"L1","L23")),IF(CB1569="Aussen","Aussen","-"))</f>
        <v>LIFT</v>
      </c>
      <c r="CD1569" s="59" t="n">
        <f aca="false">IF(N(AB1569)&gt;0,AB1569,0)</f>
        <v>0</v>
      </c>
      <c r="CE1569" s="53" t="n">
        <f aca="false">IF(ISNUMBER(AE1569),1,0)</f>
        <v>0</v>
      </c>
      <c r="CF1569" s="50" t="n">
        <f aca="false">N(AE1569)</f>
        <v>0</v>
      </c>
      <c r="CG1569" s="50" t="n">
        <f aca="false">N(M1569)+N(N1569)</f>
        <v>2</v>
      </c>
      <c r="CH1569" s="50" t="n">
        <f aca="false">ROUNDUP(H1569/BV1569,0)</f>
        <v>1</v>
      </c>
      <c r="CI1569" s="50" t="n">
        <f aca="false">ROUNDUP(CF1569/BV1569,0)</f>
        <v>0</v>
      </c>
      <c r="CJ1569" s="53" t="n">
        <f aca="false">IF(BW1569=1,0,IFERROR(VLOOKUP(BU1569,'Gebinde-Kategorie'!$A$5:$N$45,5,0)+0,0))</f>
        <v>11</v>
      </c>
      <c r="CK1569" s="53" t="n">
        <f aca="false">IFERROR(IF(OR(CB1569=1,CB1569=2,CB1569=3),N(INDEX(Parameter!$I$5:$I$7,CB1569)),0),0)</f>
        <v>0</v>
      </c>
      <c r="CL1569" s="52" t="n">
        <f aca="false">IF(AND(Parameter!$B$21="Ja",ISNUMBER(W1569),N(X1569)&gt;0),IFERROR(N(INDEX(Parameter!$L$5:$L$7,W1569))*INDEX(Parameter!$E$5:$E$7,W1569)*X1569/SUMIFS($X$7:$X$1843,$W$7:$W$1843,W1569),0),0)</f>
        <v>0</v>
      </c>
    </row>
    <row r="1570" customFormat="false" ht="15" hidden="false" customHeight="false" outlineLevel="0" collapsed="false">
      <c r="A1570" s="48" t="s">
        <v>2747</v>
      </c>
      <c r="B1570" s="48" t="s">
        <v>2748</v>
      </c>
      <c r="C1570" s="48" t="s">
        <v>168</v>
      </c>
      <c r="D1570" s="48" t="s">
        <v>188</v>
      </c>
      <c r="E1570" s="48"/>
      <c r="F1570" s="48"/>
      <c r="G1570" s="49" t="n">
        <v>8</v>
      </c>
      <c r="H1570" s="50" t="n">
        <f aca="false">MAX(0,IF(AND(Parameter!$B$21="Ja",ISNUMBER(Y1570)),Y1570,IF(Parameter!$B$20="Jahresanfang 2025 + Export",BO1570+BN1570,BN1570)))</f>
        <v>10</v>
      </c>
      <c r="I1570" s="50" t="n">
        <f aca="false">H1570*G1570</f>
        <v>80</v>
      </c>
      <c r="J1570" s="50" t="n">
        <f aca="false">BQ1570*Parameter!$B$18</f>
        <v>0</v>
      </c>
      <c r="K1570" s="51"/>
      <c r="L1570" s="52"/>
      <c r="M1570" s="50" t="n">
        <v>0</v>
      </c>
      <c r="N1570" s="50" t="n">
        <v>5</v>
      </c>
      <c r="O1570" s="53" t="n">
        <v>0</v>
      </c>
      <c r="P1570" s="48" t="s">
        <v>172</v>
      </c>
      <c r="Q1570" s="50"/>
      <c r="R1570" s="53" t="n">
        <f aca="false">IF(BW1570=1,0,IFERROR(VLOOKUP(BU1570,'Gebinde-Kategorie'!$A$5:$N$45,13,0)+0,0))</f>
        <v>26</v>
      </c>
      <c r="S1570" s="54"/>
      <c r="T1570" s="55" t="s">
        <v>279</v>
      </c>
      <c r="U1570" s="55"/>
      <c r="V1570" s="55"/>
      <c r="W1570" s="48"/>
      <c r="X1570" s="50"/>
      <c r="Y1570" s="50"/>
      <c r="Z1570" s="48" t="n">
        <f aca="false">IF(A1570="","",IF(AND(Parameter!$B$21="Ja",ISNUMBER(W1570)),W1570,IF(BZ1570="2+3",IF(ISNUMBER(SEARCH("grosser Artikel",BR1570)),2,IFERROR(VLOOKUP(BU1570,Parameter!$F$35:$G$64,2,0),2)),IF(OR(BZ1570="Nein",BZ1570=""),"-",BZ1570))))</f>
        <v>3</v>
      </c>
      <c r="AA1570" s="55"/>
      <c r="AB1570" s="56"/>
      <c r="AC1570" s="50" t="n">
        <f aca="false">AT1570</f>
        <v>20</v>
      </c>
      <c r="AD1570" s="50" t="n">
        <f aca="false">MAX(AT1570,H1570)</f>
        <v>20</v>
      </c>
      <c r="AE1570" s="57"/>
      <c r="AF1570" s="50" t="n">
        <f aca="false">IF(LEFT(Cockpit!$C$5,1)="A",H1570,IF(CE1570=1,CF1570,IF(LEFT(Cockpit!$C$5,1)="B",AK1570,MAX(AK1570,H1570))))</f>
        <v>10</v>
      </c>
      <c r="AG1570" s="50" t="n">
        <f aca="false">IF(BW1570=1,0,ROUNDUP(AF1570/BV1570,0))</f>
        <v>1</v>
      </c>
      <c r="AH1570" s="52" t="n">
        <f aca="false">IF(CL1570&gt;0,CL1570*MAX(1,AF1570/X1570),IF(BW1570=1,IF(AF1570&lt;=0,0,CA1570*MAX(1,IF(H1570&gt;0,AF1570/H1570,1))),IF(R1570&gt;0,AG1570/R1570,0))/MAX(0.1,N(Parameter!$M$21)))</f>
        <v>0.0384615384615385</v>
      </c>
      <c r="AI1570" s="50" t="n">
        <f aca="false">AH1570*BY1570</f>
        <v>5.96153846153846</v>
      </c>
      <c r="AJ1570" s="50" t="n">
        <f aca="false">AF1570*G1570</f>
        <v>80</v>
      </c>
      <c r="AK1570" s="50" t="n">
        <f aca="false">ROUNDUP(MAX(J1570/IF(CD1570&gt;0,CD1570,MAX(0.1,N(Cockpit!$C$6))),CG1570)/BV1570,0)*BV1570</f>
        <v>20</v>
      </c>
      <c r="AL1570" s="51" t="n">
        <f aca="false">IF(AI1570&gt;0,J1570/AI1570,-1)</f>
        <v>0</v>
      </c>
      <c r="AM1570" s="51" t="n">
        <f aca="false">IF(AND(OR(CC1570="L1",CC1570="L23",CC1570="LIFT"),AI1570&gt;0),SUMIFS($AI$7:$AI$1843,$CC$7:$CC$1843,CC1570,$AL$7:$AL$1843,"&gt;"&amp;AL1570)+SUMIFS($AI$7:$AI$1843,$CC$7:$CC$1843,CC1570,$AL$7:$AL$1843,AL1570,$BT$7:$BT$1843,"&lt;="&amp;BT1570),"")</f>
        <v>30348.8336463442</v>
      </c>
      <c r="AN1570" s="58" t="n">
        <f aca="false">IF(AM1570="",0,MAX(0,MIN(1,(IF(CC1570="L1",Parameter!$H$5,IF(CC1570="L23",Parameter!$H$6+Parameter!$H$7,Parameter!$H$5+Parameter!$H$6+Parameter!$H$7))-(AM1570-AI1570))/AI1570)))</f>
        <v>1</v>
      </c>
      <c r="AO1570" s="50" t="n">
        <f aca="false">IF(LEFT(Cockpit!$I$5,1)="A",H1570,IF(CE1570=1,CF1570,IF(LEFT(Cockpit!$I$5,1)="B",AT1570,MAX(AT1570,H1570))))</f>
        <v>20</v>
      </c>
      <c r="AP1570" s="50" t="n">
        <f aca="false">IF(BW1570=1,0,ROUNDUP(AO1570/BV1570,0))</f>
        <v>1</v>
      </c>
      <c r="AQ1570" s="52" t="n">
        <f aca="false">IF(CL1570&gt;0,CL1570*MAX(1,AO1570/X1570),IF(BW1570=1,IF(AO1570&lt;=0,0,CA1570*MAX(1,IF(H1570&gt;0,AO1570/H1570,1))),IF(R1570&gt;0,AP1570/R1570,0))/MAX(0.1,N(Parameter!$M$21)))</f>
        <v>0.0384615384615385</v>
      </c>
      <c r="AR1570" s="50" t="n">
        <f aca="false">AQ1570*BY1570</f>
        <v>5.96153846153846</v>
      </c>
      <c r="AS1570" s="50" t="n">
        <f aca="false">AO1570*G1570</f>
        <v>160</v>
      </c>
      <c r="AT1570" s="50" t="n">
        <f aca="false">ROUNDUP(MAX(J1570/IF(CD1570&gt;0,CD1570,MAX(0.1,N(Cockpit!$I$6))),CG1570)/BV1570,0)*BV1570</f>
        <v>20</v>
      </c>
      <c r="AU1570" s="51" t="n">
        <f aca="false">IF(AR1570&gt;0,J1570/AR1570,-1)</f>
        <v>0</v>
      </c>
      <c r="AV1570" s="51" t="n">
        <f aca="false">IF(AND(OR(CC1570="L1",CC1570="L23",CC1570="LIFT"),AR1570&gt;0),SUMIFS($AR$7:$AR$1843,$CC$7:$CC$1843,CC1570,$AU$7:$AU$1843,"&gt;"&amp;AU1570)+SUMIFS($AR$7:$AR$1843,$CC$7:$CC$1843,CC1570,$AU$7:$AU$1843,AU1570,$BT$7:$BT$1843,"&lt;="&amp;BT1570),"")</f>
        <v>42710.735958486</v>
      </c>
      <c r="AW1570" s="58" t="n">
        <f aca="false">IF(AV1570="",0,MAX(0,MIN(1,(IF(CC1570="L1",Parameter!$H$5,IF(CC1570="L23",Parameter!$H$6+Parameter!$H$7,Parameter!$H$5+Parameter!$H$6+Parameter!$H$7))-(AV1570-AR1570))/AR1570)))</f>
        <v>0</v>
      </c>
      <c r="AX1570" s="50" t="n">
        <f aca="false">IF(LEFT(Cockpit!$O$5,1)="A",H1570,IF(CE1570=1,CF1570,IF(LEFT(Cockpit!$O$5,1)="B",BC1570,MAX(BC1570,H1570))))</f>
        <v>20</v>
      </c>
      <c r="AY1570" s="50" t="n">
        <f aca="false">IF(BW1570=1,0,ROUNDUP(AX1570/BV1570,0))</f>
        <v>1</v>
      </c>
      <c r="AZ1570" s="52" t="n">
        <f aca="false">IF(CL1570&gt;0,CL1570*MAX(1,AX1570/X1570),IF(BW1570=1,IF(AX1570&lt;=0,0,CA1570*MAX(1,IF(H1570&gt;0,AX1570/H1570,1))),IF(R1570&gt;0,AY1570/R1570,0))/MAX(0.1,N(Parameter!$M$21)))</f>
        <v>0.0384615384615385</v>
      </c>
      <c r="BA1570" s="50" t="n">
        <f aca="false">AZ1570*BY1570</f>
        <v>5.96153846153846</v>
      </c>
      <c r="BB1570" s="50" t="n">
        <f aca="false">AX1570*G1570</f>
        <v>160</v>
      </c>
      <c r="BC1570" s="50" t="n">
        <f aca="false">ROUNDUP(MAX(J1570/IF(CD1570&gt;0,CD1570,MAX(0.1,N(Cockpit!$O$6))),CG1570)/BV1570,0)*BV1570</f>
        <v>20</v>
      </c>
      <c r="BD1570" s="51" t="n">
        <f aca="false">IF(BA1570&gt;0,J1570/BA1570,-1)</f>
        <v>0</v>
      </c>
      <c r="BE1570" s="51" t="n">
        <f aca="false">IF(AND(OR(CC1570="L1",CC1570="L23",CC1570="LIFT"),BA1570&gt;0),SUMIFS($BA$7:$BA$1843,$CC$7:$CC$1843,CC1570,$BD$7:$BD$1843,"&gt;"&amp;BD1570)+SUMIFS($BA$7:$BA$1843,$CC$7:$CC$1843,CC1570,$BD$7:$BD$1843,BD1570,$BT$7:$BT$1843,"&lt;="&amp;BT1570),"")</f>
        <v>39385.7480003518</v>
      </c>
      <c r="BF1570" s="58" t="n">
        <f aca="false">IF(BE1570="",0,MAX(0,MIN(1,(IF(CC1570="L1",Parameter!$H$5,IF(CC1570="L23",Parameter!$H$6+Parameter!$H$7,Parameter!$H$5+Parameter!$H$6+Parameter!$H$7))-(BE1570-BA1570))/BA1570)))</f>
        <v>0</v>
      </c>
      <c r="BG1570" s="48" t="str">
        <f aca="false">IF(AI1570&lt;=0,"",IF(CC1570="Aussen","Aussenlager",IF(CC1570="-","Nicht im Lift",IF(AN1570&gt;=1,"Lift",IF(AN1570&lt;=0,"Aussenlager","teilweise")))))</f>
        <v>Lift</v>
      </c>
      <c r="BH1570" s="48" t="str">
        <f aca="false">IF(AR1570&lt;=0,"",IF(CC1570="Aussen","Aussenlager",IF(CC1570="-","Nicht im Lift",IF(AW1570&gt;=1,"Lift",IF(AW1570&lt;=0,"Aussenlager","teilweise")))))</f>
        <v>Aussenlager</v>
      </c>
      <c r="BI1570" s="48" t="str">
        <f aca="false">IF(BA1570&lt;=0,"",IF(CC1570="Aussen","Aussenlager",IF(CC1570="-","Nicht im Lift",IF(BF1570&gt;=1,"Lift",IF(BF1570&lt;=0,"Aussenlager","teilweise")))))</f>
        <v>Aussenlager</v>
      </c>
      <c r="BJ1570" s="48" t="str">
        <f aca="false">IF(A1570="","",IF(BS1570=1,"Neu; ","")&amp;IF(AND(BS1570=0,BN1570&lt;0),"negativer Bestand (Export "&amp;BN1570&amp;"); ","")&amp;IF(J1570&lt;=0,"Kein Verbrauch; ","")&amp;IF(CL1570&gt;0,"Lift "&amp;W1570&amp;" lt. Liftbericht (Fach "&amp;X1570&amp;" Stk); ",IF(BX1570=1,"Gebinde geschätzt ("&amp;T1570&amp;"); ",IF(BW1570=1,"Lose – Tablare geschätzt; ","")))&amp;IF(H1570&gt;AT1570,"Überbestand "&amp;ROUND(H1570-AT1570,0)&amp;" Stk / CHF "&amp;ROUND((H1570-AT1570)*G1570,0)&amp;"; ","")&amp;IF(AND(CE1570=1,CF1570&lt;CG1570),"MAX &lt; MB+LG; ","")&amp;IF(AND(CK1570&gt;0,CJ1570*10&gt;CK1570),"zu hoch für Tablar; ","")&amp;IF(AND(BS1570=0,OR(CE1570=1,AA1570&lt;&gt;"",U1570&lt;&gt;"",V1570&lt;&gt;"",AB1570&lt;&gt;"")),"manuell übersteuert; ","")&amp;IF(AND(BW1570=0,R1570=0),"Gebinde unbekannt / Stellmass fehlt; ","")&amp;IF(AND(BW1570=0,N(V1570)&lt;=0,N(Q1570)&lt;=0),"Menge pro Gebinde fehlt (Ist = 1 Gebinde); ","")&amp;BR1570)</f>
        <v>Kein Verbrauch; Gebinde geschätzt (Klein); Menge pro Gebinde fehlt (Ist = 1 Gebinde); nur im Artikelstamm (Bestand 23.06.2026)</v>
      </c>
      <c r="BK1570" s="48"/>
      <c r="BL1570" s="48"/>
      <c r="BM1570" s="55"/>
      <c r="BN1570" s="50" t="n">
        <v>10</v>
      </c>
      <c r="BO1570" s="50" t="n">
        <v>0</v>
      </c>
      <c r="BP1570" s="49" t="n">
        <v>0</v>
      </c>
      <c r="BQ1570" s="50" t="n">
        <v>0</v>
      </c>
      <c r="BR1570" s="48" t="s">
        <v>2579</v>
      </c>
      <c r="BS1570" s="53" t="n">
        <v>0</v>
      </c>
      <c r="BT1570" s="53" t="n">
        <v>1570</v>
      </c>
      <c r="BU1570" s="48" t="str">
        <f aca="false">IF(U1570&lt;&gt;"",UPPER(TRIM(U1570)),IF(BX1570=1,UPPER(VLOOKUP(T1570,Parameter!$I$27:$K$29,2,0)),IF(P1570="","LOSE",P1570)))</f>
        <v>S51</v>
      </c>
      <c r="BV1570" s="50" t="n">
        <f aca="false">IF(BU1570="LOSE",1,IF(N(V1570)&gt;0,V1570,IF(BX1570=1,MAX(1,N(VLOOKUP(T1570,Parameter!$I$27:$K$29,3,0)),H1570,N(N1570)),IF(N(Q1570)&gt;0,Q1570,MAX(1,H1570)))))</f>
        <v>20</v>
      </c>
      <c r="BW1570" s="53" t="n">
        <f aca="false">IF(BU1570="LOSE",1,0)</f>
        <v>0</v>
      </c>
      <c r="BX1570" s="53" t="n">
        <f aca="false">IF(AND(U1570="",OR(P1570="",P1570="LOSE"),T1570&lt;&gt;"",N(S1570)&lt;=0,ISNUMBER(MATCH(T1570,Parameter!$I$27:$I$29,0))),1,0)</f>
        <v>1</v>
      </c>
      <c r="BY1570" s="53" t="n">
        <f aca="false">IF(CL1570&gt;0,INDEX(Parameter!$H$5:$H$7,W1570)/INDEX(Parameter!$E$5:$E$7,W1570),IF(AND(BW1570=0,N(IFERROR(VLOOKUP(BU1570,'Gebinde-Kategorie'!$A$5:$N$45,14,0),0))&gt;0),VLOOKUP(BU1570,'Gebinde-Kategorie'!$A$5:$N$45,14,0)*10+Parameter!$M$23,Parameter!$M$24))</f>
        <v>155</v>
      </c>
      <c r="BZ1570" s="48" t="str">
        <f aca="false">IF(AND(Parameter!$B$19="Ja",E1570&lt;&gt;"",ISNUMBER(MATCH(E1570,Parameter!$I$35:$I$52,0))),VLOOKUP(E1570,Parameter!$I$35:$J$52,2,0),IFERROR(VLOOKUP(D1570,Parameter!$A$35:$C$64,2,0),"Nein"))</f>
        <v>2+3</v>
      </c>
      <c r="CA1570" s="52" t="n">
        <f aca="false">IF(BW1570=0,0,IF(N(S1570)&gt;0,S1570,IFERROR(VLOOKUP(D1570,Parameter!$A$35:$C$64,3,0)+0,0)))</f>
        <v>0</v>
      </c>
      <c r="CB1570" s="48" t="n">
        <f aca="false">IF(AA1570&lt;&gt;"",AA1570,Z1570)</f>
        <v>3</v>
      </c>
      <c r="CC1570" s="48" t="str">
        <f aca="false">IF(OR(CB1570=1,CB1570=2,CB1570=3),IF(Parameter!$E$27="Ja","LIFT",IF(CB1570=1,"L1","L23")),IF(CB1570="Aussen","Aussen","-"))</f>
        <v>LIFT</v>
      </c>
      <c r="CD1570" s="59" t="n">
        <f aca="false">IF(N(AB1570)&gt;0,AB1570,0)</f>
        <v>0</v>
      </c>
      <c r="CE1570" s="53" t="n">
        <f aca="false">IF(ISNUMBER(AE1570),1,0)</f>
        <v>0</v>
      </c>
      <c r="CF1570" s="50" t="n">
        <f aca="false">N(AE1570)</f>
        <v>0</v>
      </c>
      <c r="CG1570" s="50" t="n">
        <f aca="false">N(M1570)+N(N1570)</f>
        <v>5</v>
      </c>
      <c r="CH1570" s="50" t="n">
        <f aca="false">ROUNDUP(H1570/BV1570,0)</f>
        <v>1</v>
      </c>
      <c r="CI1570" s="50" t="n">
        <f aca="false">ROUNDUP(CF1570/BV1570,0)</f>
        <v>0</v>
      </c>
      <c r="CJ1570" s="53" t="n">
        <f aca="false">IF(BW1570=1,0,IFERROR(VLOOKUP(BU1570,'Gebinde-Kategorie'!$A$5:$N$45,5,0)+0,0))</f>
        <v>11</v>
      </c>
      <c r="CK1570" s="53" t="n">
        <f aca="false">IFERROR(IF(OR(CB1570=1,CB1570=2,CB1570=3),N(INDEX(Parameter!$I$5:$I$7,CB1570)),0),0)</f>
        <v>0</v>
      </c>
      <c r="CL1570" s="52" t="n">
        <f aca="false">IF(AND(Parameter!$B$21="Ja",ISNUMBER(W1570),N(X1570)&gt;0),IFERROR(N(INDEX(Parameter!$L$5:$L$7,W1570))*INDEX(Parameter!$E$5:$E$7,W1570)*X1570/SUMIFS($X$7:$X$1843,$W$7:$W$1843,W1570),0),0)</f>
        <v>0</v>
      </c>
    </row>
    <row r="1571" customFormat="false" ht="15" hidden="false" customHeight="false" outlineLevel="0" collapsed="false">
      <c r="A1571" s="48" t="s">
        <v>2749</v>
      </c>
      <c r="B1571" s="48" t="s">
        <v>2750</v>
      </c>
      <c r="C1571" s="48" t="s">
        <v>168</v>
      </c>
      <c r="D1571" s="48" t="s">
        <v>188</v>
      </c>
      <c r="E1571" s="48"/>
      <c r="F1571" s="48"/>
      <c r="G1571" s="49" t="n">
        <v>4</v>
      </c>
      <c r="H1571" s="50" t="n">
        <f aca="false">MAX(0,IF(AND(Parameter!$B$21="Ja",ISNUMBER(Y1571)),Y1571,IF(Parameter!$B$20="Jahresanfang 2025 + Export",BO1571+BN1571,BN1571)))</f>
        <v>75</v>
      </c>
      <c r="I1571" s="50" t="n">
        <f aca="false">H1571*G1571</f>
        <v>300</v>
      </c>
      <c r="J1571" s="50" t="n">
        <f aca="false">BQ1571*Parameter!$B$18</f>
        <v>0</v>
      </c>
      <c r="K1571" s="51"/>
      <c r="L1571" s="52"/>
      <c r="M1571" s="50" t="n">
        <v>0</v>
      </c>
      <c r="N1571" s="50" t="n">
        <v>30</v>
      </c>
      <c r="O1571" s="53" t="n">
        <v>0</v>
      </c>
      <c r="P1571" s="48" t="s">
        <v>172</v>
      </c>
      <c r="Q1571" s="50"/>
      <c r="R1571" s="53" t="n">
        <f aca="false">IF(BW1571=1,0,IFERROR(VLOOKUP(BU1571,'Gebinde-Kategorie'!$A$5:$N$45,13,0)+0,0))</f>
        <v>26</v>
      </c>
      <c r="S1571" s="54"/>
      <c r="T1571" s="55" t="s">
        <v>279</v>
      </c>
      <c r="U1571" s="55"/>
      <c r="V1571" s="55"/>
      <c r="W1571" s="48"/>
      <c r="X1571" s="50"/>
      <c r="Y1571" s="50"/>
      <c r="Z1571" s="48" t="n">
        <f aca="false">IF(A1571="","",IF(AND(Parameter!$B$21="Ja",ISNUMBER(W1571)),W1571,IF(BZ1571="2+3",IF(ISNUMBER(SEARCH("grosser Artikel",BR1571)),2,IFERROR(VLOOKUP(BU1571,Parameter!$F$35:$G$64,2,0),2)),IF(OR(BZ1571="Nein",BZ1571=""),"-",BZ1571))))</f>
        <v>3</v>
      </c>
      <c r="AA1571" s="55"/>
      <c r="AB1571" s="56"/>
      <c r="AC1571" s="50" t="n">
        <f aca="false">AT1571</f>
        <v>75</v>
      </c>
      <c r="AD1571" s="50" t="n">
        <f aca="false">MAX(AT1571,H1571)</f>
        <v>75</v>
      </c>
      <c r="AE1571" s="57"/>
      <c r="AF1571" s="50" t="n">
        <f aca="false">IF(LEFT(Cockpit!$C$5,1)="A",H1571,IF(CE1571=1,CF1571,IF(LEFT(Cockpit!$C$5,1)="B",AK1571,MAX(AK1571,H1571))))</f>
        <v>75</v>
      </c>
      <c r="AG1571" s="50" t="n">
        <f aca="false">IF(BW1571=1,0,ROUNDUP(AF1571/BV1571,0))</f>
        <v>1</v>
      </c>
      <c r="AH1571" s="52" t="n">
        <f aca="false">IF(CL1571&gt;0,CL1571*MAX(1,AF1571/X1571),IF(BW1571=1,IF(AF1571&lt;=0,0,CA1571*MAX(1,IF(H1571&gt;0,AF1571/H1571,1))),IF(R1571&gt;0,AG1571/R1571,0))/MAX(0.1,N(Parameter!$M$21)))</f>
        <v>0.0384615384615385</v>
      </c>
      <c r="AI1571" s="50" t="n">
        <f aca="false">AH1571*BY1571</f>
        <v>5.96153846153846</v>
      </c>
      <c r="AJ1571" s="50" t="n">
        <f aca="false">AF1571*G1571</f>
        <v>300</v>
      </c>
      <c r="AK1571" s="50" t="n">
        <f aca="false">ROUNDUP(MAX(J1571/IF(CD1571&gt;0,CD1571,MAX(0.1,N(Cockpit!$C$6))),CG1571)/BV1571,0)*BV1571</f>
        <v>75</v>
      </c>
      <c r="AL1571" s="51" t="n">
        <f aca="false">IF(AI1571&gt;0,J1571/AI1571,-1)</f>
        <v>0</v>
      </c>
      <c r="AM1571" s="51" t="n">
        <f aca="false">IF(AND(OR(CC1571="L1",CC1571="L23",CC1571="LIFT"),AI1571&gt;0),SUMIFS($AI$7:$AI$1843,$CC$7:$CC$1843,CC1571,$AL$7:$AL$1843,"&gt;"&amp;AL1571)+SUMIFS($AI$7:$AI$1843,$CC$7:$CC$1843,CC1571,$AL$7:$AL$1843,AL1571,$BT$7:$BT$1843,"&lt;="&amp;BT1571),"")</f>
        <v>30354.7951848058</v>
      </c>
      <c r="AN1571" s="58" t="n">
        <f aca="false">IF(AM1571="",0,MAX(0,MIN(1,(IF(CC1571="L1",Parameter!$H$5,IF(CC1571="L23",Parameter!$H$6+Parameter!$H$7,Parameter!$H$5+Parameter!$H$6+Parameter!$H$7))-(AM1571-AI1571))/AI1571)))</f>
        <v>1</v>
      </c>
      <c r="AO1571" s="50" t="n">
        <f aca="false">IF(LEFT(Cockpit!$I$5,1)="A",H1571,IF(CE1571=1,CF1571,IF(LEFT(Cockpit!$I$5,1)="B",AT1571,MAX(AT1571,H1571))))</f>
        <v>75</v>
      </c>
      <c r="AP1571" s="50" t="n">
        <f aca="false">IF(BW1571=1,0,ROUNDUP(AO1571/BV1571,0))</f>
        <v>1</v>
      </c>
      <c r="AQ1571" s="52" t="n">
        <f aca="false">IF(CL1571&gt;0,CL1571*MAX(1,AO1571/X1571),IF(BW1571=1,IF(AO1571&lt;=0,0,CA1571*MAX(1,IF(H1571&gt;0,AO1571/H1571,1))),IF(R1571&gt;0,AP1571/R1571,0))/MAX(0.1,N(Parameter!$M$21)))</f>
        <v>0.0384615384615385</v>
      </c>
      <c r="AR1571" s="50" t="n">
        <f aca="false">AQ1571*BY1571</f>
        <v>5.96153846153846</v>
      </c>
      <c r="AS1571" s="50" t="n">
        <f aca="false">AO1571*G1571</f>
        <v>300</v>
      </c>
      <c r="AT1571" s="50" t="n">
        <f aca="false">ROUNDUP(MAX(J1571/IF(CD1571&gt;0,CD1571,MAX(0.1,N(Cockpit!$I$6))),CG1571)/BV1571,0)*BV1571</f>
        <v>75</v>
      </c>
      <c r="AU1571" s="51" t="n">
        <f aca="false">IF(AR1571&gt;0,J1571/AR1571,-1)</f>
        <v>0</v>
      </c>
      <c r="AV1571" s="51" t="n">
        <f aca="false">IF(AND(OR(CC1571="L1",CC1571="L23",CC1571="LIFT"),AR1571&gt;0),SUMIFS($AR$7:$AR$1843,$CC$7:$CC$1843,CC1571,$AU$7:$AU$1843,"&gt;"&amp;AU1571)+SUMIFS($AR$7:$AR$1843,$CC$7:$CC$1843,CC1571,$AU$7:$AU$1843,AU1571,$BT$7:$BT$1843,"&lt;="&amp;BT1571),"")</f>
        <v>42716.6974969475</v>
      </c>
      <c r="AW1571" s="58" t="n">
        <f aca="false">IF(AV1571="",0,MAX(0,MIN(1,(IF(CC1571="L1",Parameter!$H$5,IF(CC1571="L23",Parameter!$H$6+Parameter!$H$7,Parameter!$H$5+Parameter!$H$6+Parameter!$H$7))-(AV1571-AR1571))/AR1571)))</f>
        <v>0</v>
      </c>
      <c r="AX1571" s="50" t="n">
        <f aca="false">IF(LEFT(Cockpit!$O$5,1)="A",H1571,IF(CE1571=1,CF1571,IF(LEFT(Cockpit!$O$5,1)="B",BC1571,MAX(BC1571,H1571))))</f>
        <v>75</v>
      </c>
      <c r="AY1571" s="50" t="n">
        <f aca="false">IF(BW1571=1,0,ROUNDUP(AX1571/BV1571,0))</f>
        <v>1</v>
      </c>
      <c r="AZ1571" s="52" t="n">
        <f aca="false">IF(CL1571&gt;0,CL1571*MAX(1,AX1571/X1571),IF(BW1571=1,IF(AX1571&lt;=0,0,CA1571*MAX(1,IF(H1571&gt;0,AX1571/H1571,1))),IF(R1571&gt;0,AY1571/R1571,0))/MAX(0.1,N(Parameter!$M$21)))</f>
        <v>0.0384615384615385</v>
      </c>
      <c r="BA1571" s="50" t="n">
        <f aca="false">AZ1571*BY1571</f>
        <v>5.96153846153846</v>
      </c>
      <c r="BB1571" s="50" t="n">
        <f aca="false">AX1571*G1571</f>
        <v>300</v>
      </c>
      <c r="BC1571" s="50" t="n">
        <f aca="false">ROUNDUP(MAX(J1571/IF(CD1571&gt;0,CD1571,MAX(0.1,N(Cockpit!$O$6))),CG1571)/BV1571,0)*BV1571</f>
        <v>75</v>
      </c>
      <c r="BD1571" s="51" t="n">
        <f aca="false">IF(BA1571&gt;0,J1571/BA1571,-1)</f>
        <v>0</v>
      </c>
      <c r="BE1571" s="51" t="n">
        <f aca="false">IF(AND(OR(CC1571="L1",CC1571="L23",CC1571="LIFT"),BA1571&gt;0),SUMIFS($BA$7:$BA$1843,$CC$7:$CC$1843,CC1571,$BD$7:$BD$1843,"&gt;"&amp;BD1571)+SUMIFS($BA$7:$BA$1843,$CC$7:$CC$1843,CC1571,$BD$7:$BD$1843,BD1571,$BT$7:$BT$1843,"&lt;="&amp;BT1571),"")</f>
        <v>39391.7095388134</v>
      </c>
      <c r="BF1571" s="58" t="n">
        <f aca="false">IF(BE1571="",0,MAX(0,MIN(1,(IF(CC1571="L1",Parameter!$H$5,IF(CC1571="L23",Parameter!$H$6+Parameter!$H$7,Parameter!$H$5+Parameter!$H$6+Parameter!$H$7))-(BE1571-BA1571))/BA1571)))</f>
        <v>0</v>
      </c>
      <c r="BG1571" s="48" t="str">
        <f aca="false">IF(AI1571&lt;=0,"",IF(CC1571="Aussen","Aussenlager",IF(CC1571="-","Nicht im Lift",IF(AN1571&gt;=1,"Lift",IF(AN1571&lt;=0,"Aussenlager","teilweise")))))</f>
        <v>Lift</v>
      </c>
      <c r="BH1571" s="48" t="str">
        <f aca="false">IF(AR1571&lt;=0,"",IF(CC1571="Aussen","Aussenlager",IF(CC1571="-","Nicht im Lift",IF(AW1571&gt;=1,"Lift",IF(AW1571&lt;=0,"Aussenlager","teilweise")))))</f>
        <v>Aussenlager</v>
      </c>
      <c r="BI1571" s="48" t="str">
        <f aca="false">IF(BA1571&lt;=0,"",IF(CC1571="Aussen","Aussenlager",IF(CC1571="-","Nicht im Lift",IF(BF1571&gt;=1,"Lift",IF(BF1571&lt;=0,"Aussenlager","teilweise")))))</f>
        <v>Aussenlager</v>
      </c>
      <c r="BJ1571" s="48" t="str">
        <f aca="false">IF(A1571="","",IF(BS1571=1,"Neu; ","")&amp;IF(AND(BS1571=0,BN1571&lt;0),"negativer Bestand (Export "&amp;BN1571&amp;"); ","")&amp;IF(J1571&lt;=0,"Kein Verbrauch; ","")&amp;IF(CL1571&gt;0,"Lift "&amp;W1571&amp;" lt. Liftbericht (Fach "&amp;X1571&amp;" Stk); ",IF(BX1571=1,"Gebinde geschätzt ("&amp;T1571&amp;"); ",IF(BW1571=1,"Lose – Tablare geschätzt; ","")))&amp;IF(H1571&gt;AT1571,"Überbestand "&amp;ROUND(H1571-AT1571,0)&amp;" Stk / CHF "&amp;ROUND((H1571-AT1571)*G1571,0)&amp;"; ","")&amp;IF(AND(CE1571=1,CF1571&lt;CG1571),"MAX &lt; MB+LG; ","")&amp;IF(AND(CK1571&gt;0,CJ1571*10&gt;CK1571),"zu hoch für Tablar; ","")&amp;IF(AND(BS1571=0,OR(CE1571=1,AA1571&lt;&gt;"",U1571&lt;&gt;"",V1571&lt;&gt;"",AB1571&lt;&gt;"")),"manuell übersteuert; ","")&amp;IF(AND(BW1571=0,R1571=0),"Gebinde unbekannt / Stellmass fehlt; ","")&amp;IF(AND(BW1571=0,N(V1571)&lt;=0,N(Q1571)&lt;=0),"Menge pro Gebinde fehlt (Ist = 1 Gebinde); ","")&amp;BR1571)</f>
        <v>Kein Verbrauch; Gebinde geschätzt (Klein); Menge pro Gebinde fehlt (Ist = 1 Gebinde); nur im Artikelstamm (Bestand 23.06.2026)</v>
      </c>
      <c r="BK1571" s="48"/>
      <c r="BL1571" s="48"/>
      <c r="BM1571" s="55"/>
      <c r="BN1571" s="50" t="n">
        <v>75</v>
      </c>
      <c r="BO1571" s="50" t="n">
        <v>0</v>
      </c>
      <c r="BP1571" s="49" t="n">
        <v>0</v>
      </c>
      <c r="BQ1571" s="50" t="n">
        <v>0</v>
      </c>
      <c r="BR1571" s="48" t="s">
        <v>2579</v>
      </c>
      <c r="BS1571" s="53" t="n">
        <v>0</v>
      </c>
      <c r="BT1571" s="53" t="n">
        <v>1571</v>
      </c>
      <c r="BU1571" s="48" t="str">
        <f aca="false">IF(U1571&lt;&gt;"",UPPER(TRIM(U1571)),IF(BX1571=1,UPPER(VLOOKUP(T1571,Parameter!$I$27:$K$29,2,0)),IF(P1571="","LOSE",P1571)))</f>
        <v>S51</v>
      </c>
      <c r="BV1571" s="50" t="n">
        <f aca="false">IF(BU1571="LOSE",1,IF(N(V1571)&gt;0,V1571,IF(BX1571=1,MAX(1,N(VLOOKUP(T1571,Parameter!$I$27:$K$29,3,0)),H1571,N(N1571)),IF(N(Q1571)&gt;0,Q1571,MAX(1,H1571)))))</f>
        <v>75</v>
      </c>
      <c r="BW1571" s="53" t="n">
        <f aca="false">IF(BU1571="LOSE",1,0)</f>
        <v>0</v>
      </c>
      <c r="BX1571" s="53" t="n">
        <f aca="false">IF(AND(U1571="",OR(P1571="",P1571="LOSE"),T1571&lt;&gt;"",N(S1571)&lt;=0,ISNUMBER(MATCH(T1571,Parameter!$I$27:$I$29,0))),1,0)</f>
        <v>1</v>
      </c>
      <c r="BY1571" s="53" t="n">
        <f aca="false">IF(CL1571&gt;0,INDEX(Parameter!$H$5:$H$7,W1571)/INDEX(Parameter!$E$5:$E$7,W1571),IF(AND(BW1571=0,N(IFERROR(VLOOKUP(BU1571,'Gebinde-Kategorie'!$A$5:$N$45,14,0),0))&gt;0),VLOOKUP(BU1571,'Gebinde-Kategorie'!$A$5:$N$45,14,0)*10+Parameter!$M$23,Parameter!$M$24))</f>
        <v>155</v>
      </c>
      <c r="BZ1571" s="48" t="str">
        <f aca="false">IF(AND(Parameter!$B$19="Ja",E1571&lt;&gt;"",ISNUMBER(MATCH(E1571,Parameter!$I$35:$I$52,0))),VLOOKUP(E1571,Parameter!$I$35:$J$52,2,0),IFERROR(VLOOKUP(D1571,Parameter!$A$35:$C$64,2,0),"Nein"))</f>
        <v>2+3</v>
      </c>
      <c r="CA1571" s="52" t="n">
        <f aca="false">IF(BW1571=0,0,IF(N(S1571)&gt;0,S1571,IFERROR(VLOOKUP(D1571,Parameter!$A$35:$C$64,3,0)+0,0)))</f>
        <v>0</v>
      </c>
      <c r="CB1571" s="48" t="n">
        <f aca="false">IF(AA1571&lt;&gt;"",AA1571,Z1571)</f>
        <v>3</v>
      </c>
      <c r="CC1571" s="48" t="str">
        <f aca="false">IF(OR(CB1571=1,CB1571=2,CB1571=3),IF(Parameter!$E$27="Ja","LIFT",IF(CB1571=1,"L1","L23")),IF(CB1571="Aussen","Aussen","-"))</f>
        <v>LIFT</v>
      </c>
      <c r="CD1571" s="59" t="n">
        <f aca="false">IF(N(AB1571)&gt;0,AB1571,0)</f>
        <v>0</v>
      </c>
      <c r="CE1571" s="53" t="n">
        <f aca="false">IF(ISNUMBER(AE1571),1,0)</f>
        <v>0</v>
      </c>
      <c r="CF1571" s="50" t="n">
        <f aca="false">N(AE1571)</f>
        <v>0</v>
      </c>
      <c r="CG1571" s="50" t="n">
        <f aca="false">N(M1571)+N(N1571)</f>
        <v>30</v>
      </c>
      <c r="CH1571" s="50" t="n">
        <f aca="false">ROUNDUP(H1571/BV1571,0)</f>
        <v>1</v>
      </c>
      <c r="CI1571" s="50" t="n">
        <f aca="false">ROUNDUP(CF1571/BV1571,0)</f>
        <v>0</v>
      </c>
      <c r="CJ1571" s="53" t="n">
        <f aca="false">IF(BW1571=1,0,IFERROR(VLOOKUP(BU1571,'Gebinde-Kategorie'!$A$5:$N$45,5,0)+0,0))</f>
        <v>11</v>
      </c>
      <c r="CK1571" s="53" t="n">
        <f aca="false">IFERROR(IF(OR(CB1571=1,CB1571=2,CB1571=3),N(INDEX(Parameter!$I$5:$I$7,CB1571)),0),0)</f>
        <v>0</v>
      </c>
      <c r="CL1571" s="52" t="n">
        <f aca="false">IF(AND(Parameter!$B$21="Ja",ISNUMBER(W1571),N(X1571)&gt;0),IFERROR(N(INDEX(Parameter!$L$5:$L$7,W1571))*INDEX(Parameter!$E$5:$E$7,W1571)*X1571/SUMIFS($X$7:$X$1843,$W$7:$W$1843,W1571),0),0)</f>
        <v>0</v>
      </c>
    </row>
    <row r="1572" customFormat="false" ht="15" hidden="false" customHeight="false" outlineLevel="0" collapsed="false">
      <c r="A1572" s="48" t="s">
        <v>2751</v>
      </c>
      <c r="B1572" s="48" t="s">
        <v>2752</v>
      </c>
      <c r="C1572" s="48" t="s">
        <v>168</v>
      </c>
      <c r="D1572" s="48" t="s">
        <v>188</v>
      </c>
      <c r="E1572" s="48"/>
      <c r="F1572" s="48"/>
      <c r="G1572" s="49" t="n">
        <v>0.65</v>
      </c>
      <c r="H1572" s="50" t="n">
        <f aca="false">MAX(0,IF(AND(Parameter!$B$21="Ja",ISNUMBER(Y1572)),Y1572,IF(Parameter!$B$20="Jahresanfang 2025 + Export",BO1572+BN1572,BN1572)))</f>
        <v>20</v>
      </c>
      <c r="I1572" s="50" t="n">
        <f aca="false">H1572*G1572</f>
        <v>13</v>
      </c>
      <c r="J1572" s="50" t="n">
        <f aca="false">BQ1572*Parameter!$B$18</f>
        <v>0</v>
      </c>
      <c r="K1572" s="51"/>
      <c r="L1572" s="52"/>
      <c r="M1572" s="50" t="n">
        <v>0</v>
      </c>
      <c r="N1572" s="50" t="n">
        <v>30</v>
      </c>
      <c r="O1572" s="53" t="n">
        <v>0</v>
      </c>
      <c r="P1572" s="48" t="s">
        <v>172</v>
      </c>
      <c r="Q1572" s="50"/>
      <c r="R1572" s="53" t="n">
        <f aca="false">IF(BW1572=1,0,IFERROR(VLOOKUP(BU1572,'Gebinde-Kategorie'!$A$5:$N$45,13,0)+0,0))</f>
        <v>26</v>
      </c>
      <c r="S1572" s="54"/>
      <c r="T1572" s="55" t="s">
        <v>279</v>
      </c>
      <c r="U1572" s="55"/>
      <c r="V1572" s="55"/>
      <c r="W1572" s="48"/>
      <c r="X1572" s="50"/>
      <c r="Y1572" s="50"/>
      <c r="Z1572" s="48" t="n">
        <f aca="false">IF(A1572="","",IF(AND(Parameter!$B$21="Ja",ISNUMBER(W1572)),W1572,IF(BZ1572="2+3",IF(ISNUMBER(SEARCH("grosser Artikel",BR1572)),2,IFERROR(VLOOKUP(BU1572,Parameter!$F$35:$G$64,2,0),2)),IF(OR(BZ1572="Nein",BZ1572=""),"-",BZ1572))))</f>
        <v>3</v>
      </c>
      <c r="AA1572" s="55"/>
      <c r="AB1572" s="56"/>
      <c r="AC1572" s="50" t="n">
        <f aca="false">AT1572</f>
        <v>30</v>
      </c>
      <c r="AD1572" s="50" t="n">
        <f aca="false">MAX(AT1572,H1572)</f>
        <v>30</v>
      </c>
      <c r="AE1572" s="57"/>
      <c r="AF1572" s="50" t="n">
        <f aca="false">IF(LEFT(Cockpit!$C$5,1)="A",H1572,IF(CE1572=1,CF1572,IF(LEFT(Cockpit!$C$5,1)="B",AK1572,MAX(AK1572,H1572))))</f>
        <v>20</v>
      </c>
      <c r="AG1572" s="50" t="n">
        <f aca="false">IF(BW1572=1,0,ROUNDUP(AF1572/BV1572,0))</f>
        <v>1</v>
      </c>
      <c r="AH1572" s="52" t="n">
        <f aca="false">IF(CL1572&gt;0,CL1572*MAX(1,AF1572/X1572),IF(BW1572=1,IF(AF1572&lt;=0,0,CA1572*MAX(1,IF(H1572&gt;0,AF1572/H1572,1))),IF(R1572&gt;0,AG1572/R1572,0))/MAX(0.1,N(Parameter!$M$21)))</f>
        <v>0.0384615384615385</v>
      </c>
      <c r="AI1572" s="50" t="n">
        <f aca="false">AH1572*BY1572</f>
        <v>5.96153846153846</v>
      </c>
      <c r="AJ1572" s="50" t="n">
        <f aca="false">AF1572*G1572</f>
        <v>13</v>
      </c>
      <c r="AK1572" s="50" t="n">
        <f aca="false">ROUNDUP(MAX(J1572/IF(CD1572&gt;0,CD1572,MAX(0.1,N(Cockpit!$C$6))),CG1572)/BV1572,0)*BV1572</f>
        <v>30</v>
      </c>
      <c r="AL1572" s="51" t="n">
        <f aca="false">IF(AI1572&gt;0,J1572/AI1572,-1)</f>
        <v>0</v>
      </c>
      <c r="AM1572" s="51" t="n">
        <f aca="false">IF(AND(OR(CC1572="L1",CC1572="L23",CC1572="LIFT"),AI1572&gt;0),SUMIFS($AI$7:$AI$1843,$CC$7:$CC$1843,CC1572,$AL$7:$AL$1843,"&gt;"&amp;AL1572)+SUMIFS($AI$7:$AI$1843,$CC$7:$CC$1843,CC1572,$AL$7:$AL$1843,AL1572,$BT$7:$BT$1843,"&lt;="&amp;BT1572),"")</f>
        <v>30360.7567232673</v>
      </c>
      <c r="AN1572" s="58" t="n">
        <f aca="false">IF(AM1572="",0,MAX(0,MIN(1,(IF(CC1572="L1",Parameter!$H$5,IF(CC1572="L23",Parameter!$H$6+Parameter!$H$7,Parameter!$H$5+Parameter!$H$6+Parameter!$H$7))-(AM1572-AI1572))/AI1572)))</f>
        <v>1</v>
      </c>
      <c r="AO1572" s="50" t="n">
        <f aca="false">IF(LEFT(Cockpit!$I$5,1)="A",H1572,IF(CE1572=1,CF1572,IF(LEFT(Cockpit!$I$5,1)="B",AT1572,MAX(AT1572,H1572))))</f>
        <v>30</v>
      </c>
      <c r="AP1572" s="50" t="n">
        <f aca="false">IF(BW1572=1,0,ROUNDUP(AO1572/BV1572,0))</f>
        <v>1</v>
      </c>
      <c r="AQ1572" s="52" t="n">
        <f aca="false">IF(CL1572&gt;0,CL1572*MAX(1,AO1572/X1572),IF(BW1572=1,IF(AO1572&lt;=0,0,CA1572*MAX(1,IF(H1572&gt;0,AO1572/H1572,1))),IF(R1572&gt;0,AP1572/R1572,0))/MAX(0.1,N(Parameter!$M$21)))</f>
        <v>0.0384615384615385</v>
      </c>
      <c r="AR1572" s="50" t="n">
        <f aca="false">AQ1572*BY1572</f>
        <v>5.96153846153846</v>
      </c>
      <c r="AS1572" s="50" t="n">
        <f aca="false">AO1572*G1572</f>
        <v>19.5</v>
      </c>
      <c r="AT1572" s="50" t="n">
        <f aca="false">ROUNDUP(MAX(J1572/IF(CD1572&gt;0,CD1572,MAX(0.1,N(Cockpit!$I$6))),CG1572)/BV1572,0)*BV1572</f>
        <v>30</v>
      </c>
      <c r="AU1572" s="51" t="n">
        <f aca="false">IF(AR1572&gt;0,J1572/AR1572,-1)</f>
        <v>0</v>
      </c>
      <c r="AV1572" s="51" t="n">
        <f aca="false">IF(AND(OR(CC1572="L1",CC1572="L23",CC1572="LIFT"),AR1572&gt;0),SUMIFS($AR$7:$AR$1843,$CC$7:$CC$1843,CC1572,$AU$7:$AU$1843,"&gt;"&amp;AU1572)+SUMIFS($AR$7:$AR$1843,$CC$7:$CC$1843,CC1572,$AU$7:$AU$1843,AU1572,$BT$7:$BT$1843,"&lt;="&amp;BT1572),"")</f>
        <v>42722.659035409</v>
      </c>
      <c r="AW1572" s="58" t="n">
        <f aca="false">IF(AV1572="",0,MAX(0,MIN(1,(IF(CC1572="L1",Parameter!$H$5,IF(CC1572="L23",Parameter!$H$6+Parameter!$H$7,Parameter!$H$5+Parameter!$H$6+Parameter!$H$7))-(AV1572-AR1572))/AR1572)))</f>
        <v>0</v>
      </c>
      <c r="AX1572" s="50" t="n">
        <f aca="false">IF(LEFT(Cockpit!$O$5,1)="A",H1572,IF(CE1572=1,CF1572,IF(LEFT(Cockpit!$O$5,1)="B",BC1572,MAX(BC1572,H1572))))</f>
        <v>30</v>
      </c>
      <c r="AY1572" s="50" t="n">
        <f aca="false">IF(BW1572=1,0,ROUNDUP(AX1572/BV1572,0))</f>
        <v>1</v>
      </c>
      <c r="AZ1572" s="52" t="n">
        <f aca="false">IF(CL1572&gt;0,CL1572*MAX(1,AX1572/X1572),IF(BW1572=1,IF(AX1572&lt;=0,0,CA1572*MAX(1,IF(H1572&gt;0,AX1572/H1572,1))),IF(R1572&gt;0,AY1572/R1572,0))/MAX(0.1,N(Parameter!$M$21)))</f>
        <v>0.0384615384615385</v>
      </c>
      <c r="BA1572" s="50" t="n">
        <f aca="false">AZ1572*BY1572</f>
        <v>5.96153846153846</v>
      </c>
      <c r="BB1572" s="50" t="n">
        <f aca="false">AX1572*G1572</f>
        <v>19.5</v>
      </c>
      <c r="BC1572" s="50" t="n">
        <f aca="false">ROUNDUP(MAX(J1572/IF(CD1572&gt;0,CD1572,MAX(0.1,N(Cockpit!$O$6))),CG1572)/BV1572,0)*BV1572</f>
        <v>30</v>
      </c>
      <c r="BD1572" s="51" t="n">
        <f aca="false">IF(BA1572&gt;0,J1572/BA1572,-1)</f>
        <v>0</v>
      </c>
      <c r="BE1572" s="51" t="n">
        <f aca="false">IF(AND(OR(CC1572="L1",CC1572="L23",CC1572="LIFT"),BA1572&gt;0),SUMIFS($BA$7:$BA$1843,$CC$7:$CC$1843,CC1572,$BD$7:$BD$1843,"&gt;"&amp;BD1572)+SUMIFS($BA$7:$BA$1843,$CC$7:$CC$1843,CC1572,$BD$7:$BD$1843,BD1572,$BT$7:$BT$1843,"&lt;="&amp;BT1572),"")</f>
        <v>39397.6710772749</v>
      </c>
      <c r="BF1572" s="58" t="n">
        <f aca="false">IF(BE1572="",0,MAX(0,MIN(1,(IF(CC1572="L1",Parameter!$H$5,IF(CC1572="L23",Parameter!$H$6+Parameter!$H$7,Parameter!$H$5+Parameter!$H$6+Parameter!$H$7))-(BE1572-BA1572))/BA1572)))</f>
        <v>0</v>
      </c>
      <c r="BG1572" s="48" t="str">
        <f aca="false">IF(AI1572&lt;=0,"",IF(CC1572="Aussen","Aussenlager",IF(CC1572="-","Nicht im Lift",IF(AN1572&gt;=1,"Lift",IF(AN1572&lt;=0,"Aussenlager","teilweise")))))</f>
        <v>Lift</v>
      </c>
      <c r="BH1572" s="48" t="str">
        <f aca="false">IF(AR1572&lt;=0,"",IF(CC1572="Aussen","Aussenlager",IF(CC1572="-","Nicht im Lift",IF(AW1572&gt;=1,"Lift",IF(AW1572&lt;=0,"Aussenlager","teilweise")))))</f>
        <v>Aussenlager</v>
      </c>
      <c r="BI1572" s="48" t="str">
        <f aca="false">IF(BA1572&lt;=0,"",IF(CC1572="Aussen","Aussenlager",IF(CC1572="-","Nicht im Lift",IF(BF1572&gt;=1,"Lift",IF(BF1572&lt;=0,"Aussenlager","teilweise")))))</f>
        <v>Aussenlager</v>
      </c>
      <c r="BJ1572" s="48" t="str">
        <f aca="false">IF(A1572="","",IF(BS1572=1,"Neu; ","")&amp;IF(AND(BS1572=0,BN1572&lt;0),"negativer Bestand (Export "&amp;BN1572&amp;"); ","")&amp;IF(J1572&lt;=0,"Kein Verbrauch; ","")&amp;IF(CL1572&gt;0,"Lift "&amp;W1572&amp;" lt. Liftbericht (Fach "&amp;X1572&amp;" Stk); ",IF(BX1572=1,"Gebinde geschätzt ("&amp;T1572&amp;"); ",IF(BW1572=1,"Lose – Tablare geschätzt; ","")))&amp;IF(H1572&gt;AT1572,"Überbestand "&amp;ROUND(H1572-AT1572,0)&amp;" Stk / CHF "&amp;ROUND((H1572-AT1572)*G1572,0)&amp;"; ","")&amp;IF(AND(CE1572=1,CF1572&lt;CG1572),"MAX &lt; MB+LG; ","")&amp;IF(AND(CK1572&gt;0,CJ1572*10&gt;CK1572),"zu hoch für Tablar; ","")&amp;IF(AND(BS1572=0,OR(CE1572=1,AA1572&lt;&gt;"",U1572&lt;&gt;"",V1572&lt;&gt;"",AB1572&lt;&gt;"")),"manuell übersteuert; ","")&amp;IF(AND(BW1572=0,R1572=0),"Gebinde unbekannt / Stellmass fehlt; ","")&amp;IF(AND(BW1572=0,N(V1572)&lt;=0,N(Q1572)&lt;=0),"Menge pro Gebinde fehlt (Ist = 1 Gebinde); ","")&amp;BR1572)</f>
        <v>Kein Verbrauch; Gebinde geschätzt (Klein); Menge pro Gebinde fehlt (Ist = 1 Gebinde); nur im Artikelstamm (Bestand 23.06.2026)</v>
      </c>
      <c r="BK1572" s="48"/>
      <c r="BL1572" s="48"/>
      <c r="BM1572" s="55"/>
      <c r="BN1572" s="50" t="n">
        <v>20</v>
      </c>
      <c r="BO1572" s="50" t="n">
        <v>0</v>
      </c>
      <c r="BP1572" s="49" t="n">
        <v>0</v>
      </c>
      <c r="BQ1572" s="50" t="n">
        <v>0</v>
      </c>
      <c r="BR1572" s="48" t="s">
        <v>2579</v>
      </c>
      <c r="BS1572" s="53" t="n">
        <v>0</v>
      </c>
      <c r="BT1572" s="53" t="n">
        <v>1572</v>
      </c>
      <c r="BU1572" s="48" t="str">
        <f aca="false">IF(U1572&lt;&gt;"",UPPER(TRIM(U1572)),IF(BX1572=1,UPPER(VLOOKUP(T1572,Parameter!$I$27:$K$29,2,0)),IF(P1572="","LOSE",P1572)))</f>
        <v>S51</v>
      </c>
      <c r="BV1572" s="50" t="n">
        <f aca="false">IF(BU1572="LOSE",1,IF(N(V1572)&gt;0,V1572,IF(BX1572=1,MAX(1,N(VLOOKUP(T1572,Parameter!$I$27:$K$29,3,0)),H1572,N(N1572)),IF(N(Q1572)&gt;0,Q1572,MAX(1,H1572)))))</f>
        <v>30</v>
      </c>
      <c r="BW1572" s="53" t="n">
        <f aca="false">IF(BU1572="LOSE",1,0)</f>
        <v>0</v>
      </c>
      <c r="BX1572" s="53" t="n">
        <f aca="false">IF(AND(U1572="",OR(P1572="",P1572="LOSE"),T1572&lt;&gt;"",N(S1572)&lt;=0,ISNUMBER(MATCH(T1572,Parameter!$I$27:$I$29,0))),1,0)</f>
        <v>1</v>
      </c>
      <c r="BY1572" s="53" t="n">
        <f aca="false">IF(CL1572&gt;0,INDEX(Parameter!$H$5:$H$7,W1572)/INDEX(Parameter!$E$5:$E$7,W1572),IF(AND(BW1572=0,N(IFERROR(VLOOKUP(BU1572,'Gebinde-Kategorie'!$A$5:$N$45,14,0),0))&gt;0),VLOOKUP(BU1572,'Gebinde-Kategorie'!$A$5:$N$45,14,0)*10+Parameter!$M$23,Parameter!$M$24))</f>
        <v>155</v>
      </c>
      <c r="BZ1572" s="48" t="str">
        <f aca="false">IF(AND(Parameter!$B$19="Ja",E1572&lt;&gt;"",ISNUMBER(MATCH(E1572,Parameter!$I$35:$I$52,0))),VLOOKUP(E1572,Parameter!$I$35:$J$52,2,0),IFERROR(VLOOKUP(D1572,Parameter!$A$35:$C$64,2,0),"Nein"))</f>
        <v>2+3</v>
      </c>
      <c r="CA1572" s="52" t="n">
        <f aca="false">IF(BW1572=0,0,IF(N(S1572)&gt;0,S1572,IFERROR(VLOOKUP(D1572,Parameter!$A$35:$C$64,3,0)+0,0)))</f>
        <v>0</v>
      </c>
      <c r="CB1572" s="48" t="n">
        <f aca="false">IF(AA1572&lt;&gt;"",AA1572,Z1572)</f>
        <v>3</v>
      </c>
      <c r="CC1572" s="48" t="str">
        <f aca="false">IF(OR(CB1572=1,CB1572=2,CB1572=3),IF(Parameter!$E$27="Ja","LIFT",IF(CB1572=1,"L1","L23")),IF(CB1572="Aussen","Aussen","-"))</f>
        <v>LIFT</v>
      </c>
      <c r="CD1572" s="59" t="n">
        <f aca="false">IF(N(AB1572)&gt;0,AB1572,0)</f>
        <v>0</v>
      </c>
      <c r="CE1572" s="53" t="n">
        <f aca="false">IF(ISNUMBER(AE1572),1,0)</f>
        <v>0</v>
      </c>
      <c r="CF1572" s="50" t="n">
        <f aca="false">N(AE1572)</f>
        <v>0</v>
      </c>
      <c r="CG1572" s="50" t="n">
        <f aca="false">N(M1572)+N(N1572)</f>
        <v>30</v>
      </c>
      <c r="CH1572" s="50" t="n">
        <f aca="false">ROUNDUP(H1572/BV1572,0)</f>
        <v>1</v>
      </c>
      <c r="CI1572" s="50" t="n">
        <f aca="false">ROUNDUP(CF1572/BV1572,0)</f>
        <v>0</v>
      </c>
      <c r="CJ1572" s="53" t="n">
        <f aca="false">IF(BW1572=1,0,IFERROR(VLOOKUP(BU1572,'Gebinde-Kategorie'!$A$5:$N$45,5,0)+0,0))</f>
        <v>11</v>
      </c>
      <c r="CK1572" s="53" t="n">
        <f aca="false">IFERROR(IF(OR(CB1572=1,CB1572=2,CB1572=3),N(INDEX(Parameter!$I$5:$I$7,CB1572)),0),0)</f>
        <v>0</v>
      </c>
      <c r="CL1572" s="52" t="n">
        <f aca="false">IF(AND(Parameter!$B$21="Ja",ISNUMBER(W1572),N(X1572)&gt;0),IFERROR(N(INDEX(Parameter!$L$5:$L$7,W1572))*INDEX(Parameter!$E$5:$E$7,W1572)*X1572/SUMIFS($X$7:$X$1843,$W$7:$W$1843,W1572),0),0)</f>
        <v>0</v>
      </c>
    </row>
    <row r="1573" customFormat="false" ht="15" hidden="false" customHeight="false" outlineLevel="0" collapsed="false">
      <c r="A1573" s="48" t="s">
        <v>2753</v>
      </c>
      <c r="B1573" s="48" t="s">
        <v>2742</v>
      </c>
      <c r="C1573" s="48" t="s">
        <v>168</v>
      </c>
      <c r="D1573" s="48" t="s">
        <v>188</v>
      </c>
      <c r="E1573" s="48"/>
      <c r="F1573" s="48"/>
      <c r="G1573" s="49" t="n">
        <v>486.19</v>
      </c>
      <c r="H1573" s="50" t="n">
        <f aca="false">MAX(0,IF(AND(Parameter!$B$21="Ja",ISNUMBER(Y1573)),Y1573,IF(Parameter!$B$20="Jahresanfang 2025 + Export",BO1573+BN1573,BN1573)))</f>
        <v>4</v>
      </c>
      <c r="I1573" s="50" t="n">
        <f aca="false">H1573*G1573</f>
        <v>1944.76</v>
      </c>
      <c r="J1573" s="50" t="n">
        <f aca="false">BQ1573*Parameter!$B$18</f>
        <v>0</v>
      </c>
      <c r="K1573" s="51"/>
      <c r="L1573" s="52"/>
      <c r="M1573" s="50" t="n">
        <v>0</v>
      </c>
      <c r="N1573" s="50" t="n">
        <v>1</v>
      </c>
      <c r="O1573" s="53" t="n">
        <v>21</v>
      </c>
      <c r="P1573" s="48" t="s">
        <v>172</v>
      </c>
      <c r="Q1573" s="50"/>
      <c r="R1573" s="53" t="n">
        <f aca="false">IF(BW1573=1,0,IFERROR(VLOOKUP(BU1573,'Gebinde-Kategorie'!$A$5:$N$45,13,0)+0,0))</f>
        <v>12</v>
      </c>
      <c r="S1573" s="54"/>
      <c r="T1573" s="55" t="s">
        <v>183</v>
      </c>
      <c r="U1573" s="55"/>
      <c r="V1573" s="55"/>
      <c r="W1573" s="48"/>
      <c r="X1573" s="50"/>
      <c r="Y1573" s="50"/>
      <c r="Z1573" s="48" t="n">
        <f aca="false">IF(A1573="","",IF(AND(Parameter!$B$21="Ja",ISNUMBER(W1573)),W1573,IF(BZ1573="2+3",IF(ISNUMBER(SEARCH("grosser Artikel",BR1573)),2,IFERROR(VLOOKUP(BU1573,Parameter!$F$35:$G$64,2,0),2)),IF(OR(BZ1573="Nein",BZ1573=""),"-",BZ1573))))</f>
        <v>2</v>
      </c>
      <c r="AA1573" s="55"/>
      <c r="AB1573" s="56"/>
      <c r="AC1573" s="50" t="n">
        <f aca="false">AT1573</f>
        <v>4</v>
      </c>
      <c r="AD1573" s="50" t="n">
        <f aca="false">MAX(AT1573,H1573)</f>
        <v>4</v>
      </c>
      <c r="AE1573" s="57"/>
      <c r="AF1573" s="50" t="n">
        <f aca="false">IF(LEFT(Cockpit!$C$5,1)="A",H1573,IF(CE1573=1,CF1573,IF(LEFT(Cockpit!$C$5,1)="B",AK1573,MAX(AK1573,H1573))))</f>
        <v>4</v>
      </c>
      <c r="AG1573" s="50" t="n">
        <f aca="false">IF(BW1573=1,0,ROUNDUP(AF1573/BV1573,0))</f>
        <v>1</v>
      </c>
      <c r="AH1573" s="52" t="n">
        <f aca="false">IF(CL1573&gt;0,CL1573*MAX(1,AF1573/X1573),IF(BW1573=1,IF(AF1573&lt;=0,0,CA1573*MAX(1,IF(H1573&gt;0,AF1573/H1573,1))),IF(R1573&gt;0,AG1573/R1573,0))/MAX(0.1,N(Parameter!$M$21)))</f>
        <v>0.0833333333333333</v>
      </c>
      <c r="AI1573" s="50" t="n">
        <f aca="false">AH1573*BY1573</f>
        <v>12.0833333333333</v>
      </c>
      <c r="AJ1573" s="50" t="n">
        <f aca="false">AF1573*G1573</f>
        <v>1944.76</v>
      </c>
      <c r="AK1573" s="50" t="n">
        <f aca="false">ROUNDUP(MAX(J1573/IF(CD1573&gt;0,CD1573,MAX(0.1,N(Cockpit!$C$6))),CG1573)/BV1573,0)*BV1573</f>
        <v>4</v>
      </c>
      <c r="AL1573" s="51" t="n">
        <f aca="false">IF(AI1573&gt;0,J1573/AI1573,-1)</f>
        <v>0</v>
      </c>
      <c r="AM1573" s="51" t="n">
        <f aca="false">IF(AND(OR(CC1573="L1",CC1573="L23",CC1573="LIFT"),AI1573&gt;0),SUMIFS($AI$7:$AI$1843,$CC$7:$CC$1843,CC1573,$AL$7:$AL$1843,"&gt;"&amp;AL1573)+SUMIFS($AI$7:$AI$1843,$CC$7:$CC$1843,CC1573,$AL$7:$AL$1843,AL1573,$BT$7:$BT$1843,"&lt;="&amp;BT1573),"")</f>
        <v>30372.8400566007</v>
      </c>
      <c r="AN1573" s="58" t="n">
        <f aca="false">IF(AM1573="",0,MAX(0,MIN(1,(IF(CC1573="L1",Parameter!$H$5,IF(CC1573="L23",Parameter!$H$6+Parameter!$H$7,Parameter!$H$5+Parameter!$H$6+Parameter!$H$7))-(AM1573-AI1573))/AI1573)))</f>
        <v>1</v>
      </c>
      <c r="AO1573" s="50" t="n">
        <f aca="false">IF(LEFT(Cockpit!$I$5,1)="A",H1573,IF(CE1573=1,CF1573,IF(LEFT(Cockpit!$I$5,1)="B",AT1573,MAX(AT1573,H1573))))</f>
        <v>4</v>
      </c>
      <c r="AP1573" s="50" t="n">
        <f aca="false">IF(BW1573=1,0,ROUNDUP(AO1573/BV1573,0))</f>
        <v>1</v>
      </c>
      <c r="AQ1573" s="52" t="n">
        <f aca="false">IF(CL1573&gt;0,CL1573*MAX(1,AO1573/X1573),IF(BW1573=1,IF(AO1573&lt;=0,0,CA1573*MAX(1,IF(H1573&gt;0,AO1573/H1573,1))),IF(R1573&gt;0,AP1573/R1573,0))/MAX(0.1,N(Parameter!$M$21)))</f>
        <v>0.0833333333333333</v>
      </c>
      <c r="AR1573" s="50" t="n">
        <f aca="false">AQ1573*BY1573</f>
        <v>12.0833333333333</v>
      </c>
      <c r="AS1573" s="50" t="n">
        <f aca="false">AO1573*G1573</f>
        <v>1944.76</v>
      </c>
      <c r="AT1573" s="50" t="n">
        <f aca="false">ROUNDUP(MAX(J1573/IF(CD1573&gt;0,CD1573,MAX(0.1,N(Cockpit!$I$6))),CG1573)/BV1573,0)*BV1573</f>
        <v>4</v>
      </c>
      <c r="AU1573" s="51" t="n">
        <f aca="false">IF(AR1573&gt;0,J1573/AR1573,-1)</f>
        <v>0</v>
      </c>
      <c r="AV1573" s="51" t="n">
        <f aca="false">IF(AND(OR(CC1573="L1",CC1573="L23",CC1573="LIFT"),AR1573&gt;0),SUMIFS($AR$7:$AR$1843,$CC$7:$CC$1843,CC1573,$AU$7:$AU$1843,"&gt;"&amp;AU1573)+SUMIFS($AR$7:$AR$1843,$CC$7:$CC$1843,CC1573,$AU$7:$AU$1843,AU1573,$BT$7:$BT$1843,"&lt;="&amp;BT1573),"")</f>
        <v>42734.7423687424</v>
      </c>
      <c r="AW1573" s="58" t="n">
        <f aca="false">IF(AV1573="",0,MAX(0,MIN(1,(IF(CC1573="L1",Parameter!$H$5,IF(CC1573="L23",Parameter!$H$6+Parameter!$H$7,Parameter!$H$5+Parameter!$H$6+Parameter!$H$7))-(AV1573-AR1573))/AR1573)))</f>
        <v>0</v>
      </c>
      <c r="AX1573" s="50" t="n">
        <f aca="false">IF(LEFT(Cockpit!$O$5,1)="A",H1573,IF(CE1573=1,CF1573,IF(LEFT(Cockpit!$O$5,1)="B",BC1573,MAX(BC1573,H1573))))</f>
        <v>4</v>
      </c>
      <c r="AY1573" s="50" t="n">
        <f aca="false">IF(BW1573=1,0,ROUNDUP(AX1573/BV1573,0))</f>
        <v>1</v>
      </c>
      <c r="AZ1573" s="52" t="n">
        <f aca="false">IF(CL1573&gt;0,CL1573*MAX(1,AX1573/X1573),IF(BW1573=1,IF(AX1573&lt;=0,0,CA1573*MAX(1,IF(H1573&gt;0,AX1573/H1573,1))),IF(R1573&gt;0,AY1573/R1573,0))/MAX(0.1,N(Parameter!$M$21)))</f>
        <v>0.0833333333333333</v>
      </c>
      <c r="BA1573" s="50" t="n">
        <f aca="false">AZ1573*BY1573</f>
        <v>12.0833333333333</v>
      </c>
      <c r="BB1573" s="50" t="n">
        <f aca="false">AX1573*G1573</f>
        <v>1944.76</v>
      </c>
      <c r="BC1573" s="50" t="n">
        <f aca="false">ROUNDUP(MAX(J1573/IF(CD1573&gt;0,CD1573,MAX(0.1,N(Cockpit!$O$6))),CG1573)/BV1573,0)*BV1573</f>
        <v>4</v>
      </c>
      <c r="BD1573" s="51" t="n">
        <f aca="false">IF(BA1573&gt;0,J1573/BA1573,-1)</f>
        <v>0</v>
      </c>
      <c r="BE1573" s="51" t="n">
        <f aca="false">IF(AND(OR(CC1573="L1",CC1573="L23",CC1573="LIFT"),BA1573&gt;0),SUMIFS($BA$7:$BA$1843,$CC$7:$CC$1843,CC1573,$BD$7:$BD$1843,"&gt;"&amp;BD1573)+SUMIFS($BA$7:$BA$1843,$CC$7:$CC$1843,CC1573,$BD$7:$BD$1843,BD1573,$BT$7:$BT$1843,"&lt;="&amp;BT1573),"")</f>
        <v>39409.7544106082</v>
      </c>
      <c r="BF1573" s="58" t="n">
        <f aca="false">IF(BE1573="",0,MAX(0,MIN(1,(IF(CC1573="L1",Parameter!$H$5,IF(CC1573="L23",Parameter!$H$6+Parameter!$H$7,Parameter!$H$5+Parameter!$H$6+Parameter!$H$7))-(BE1573-BA1573))/BA1573)))</f>
        <v>0</v>
      </c>
      <c r="BG1573" s="48" t="str">
        <f aca="false">IF(AI1573&lt;=0,"",IF(CC1573="Aussen","Aussenlager",IF(CC1573="-","Nicht im Lift",IF(AN1573&gt;=1,"Lift",IF(AN1573&lt;=0,"Aussenlager","teilweise")))))</f>
        <v>Lift</v>
      </c>
      <c r="BH1573" s="48" t="str">
        <f aca="false">IF(AR1573&lt;=0,"",IF(CC1573="Aussen","Aussenlager",IF(CC1573="-","Nicht im Lift",IF(AW1573&gt;=1,"Lift",IF(AW1573&lt;=0,"Aussenlager","teilweise")))))</f>
        <v>Aussenlager</v>
      </c>
      <c r="BI1573" s="48" t="str">
        <f aca="false">IF(BA1573&lt;=0,"",IF(CC1573="Aussen","Aussenlager",IF(CC1573="-","Nicht im Lift",IF(BF1573&gt;=1,"Lift",IF(BF1573&lt;=0,"Aussenlager","teilweise")))))</f>
        <v>Aussenlager</v>
      </c>
      <c r="BJ1573" s="48" t="str">
        <f aca="false">IF(A1573="","",IF(BS1573=1,"Neu; ","")&amp;IF(AND(BS1573=0,BN1573&lt;0),"negativer Bestand (Export "&amp;BN1573&amp;"); ","")&amp;IF(J1573&lt;=0,"Kein Verbrauch; ","")&amp;IF(CL1573&gt;0,"Lift "&amp;W1573&amp;" lt. Liftbericht (Fach "&amp;X1573&amp;" Stk); ",IF(BX1573=1,"Gebinde geschätzt ("&amp;T1573&amp;"); ",IF(BW1573=1,"Lose – Tablare geschätzt; ","")))&amp;IF(H1573&gt;AT1573,"Überbestand "&amp;ROUND(H1573-AT1573,0)&amp;" Stk / CHF "&amp;ROUND((H1573-AT1573)*G1573,0)&amp;"; ","")&amp;IF(AND(CE1573=1,CF1573&lt;CG1573),"MAX &lt; MB+LG; ","")&amp;IF(AND(CK1573&gt;0,CJ1573*10&gt;CK1573),"zu hoch für Tablar; ","")&amp;IF(AND(BS1573=0,OR(CE1573=1,AA1573&lt;&gt;"",U1573&lt;&gt;"",V1573&lt;&gt;"",AB1573&lt;&gt;"")),"manuell übersteuert; ","")&amp;IF(AND(BW1573=0,R1573=0),"Gebinde unbekannt / Stellmass fehlt; ","")&amp;IF(AND(BW1573=0,N(V1573)&lt;=0,N(Q1573)&lt;=0),"Menge pro Gebinde fehlt (Ist = 1 Gebinde); ","")&amp;BR1573)</f>
        <v>Kein Verbrauch; Gebinde geschätzt (Mittel); Menge pro Gebinde fehlt (Ist = 1 Gebinde); nur im Artikelstamm (Bestand 23.06.2026)</v>
      </c>
      <c r="BK1573" s="48"/>
      <c r="BL1573" s="48"/>
      <c r="BM1573" s="55"/>
      <c r="BN1573" s="50" t="n">
        <v>4</v>
      </c>
      <c r="BO1573" s="50" t="n">
        <v>0</v>
      </c>
      <c r="BP1573" s="49" t="n">
        <v>0</v>
      </c>
      <c r="BQ1573" s="50" t="n">
        <v>0</v>
      </c>
      <c r="BR1573" s="48" t="s">
        <v>2579</v>
      </c>
      <c r="BS1573" s="53" t="n">
        <v>0</v>
      </c>
      <c r="BT1573" s="53" t="n">
        <v>1573</v>
      </c>
      <c r="BU1573" s="48" t="str">
        <f aca="false">IF(U1573&lt;&gt;"",UPPER(TRIM(U1573)),IF(BX1573=1,UPPER(VLOOKUP(T1573,Parameter!$I$27:$K$29,2,0)),IF(P1573="","LOSE",P1573)))</f>
        <v>S61</v>
      </c>
      <c r="BV1573" s="50" t="n">
        <f aca="false">IF(BU1573="LOSE",1,IF(N(V1573)&gt;0,V1573,IF(BX1573=1,MAX(1,N(VLOOKUP(T1573,Parameter!$I$27:$K$29,3,0)),H1573,N(N1573)),IF(N(Q1573)&gt;0,Q1573,MAX(1,H1573)))))</f>
        <v>4</v>
      </c>
      <c r="BW1573" s="53" t="n">
        <f aca="false">IF(BU1573="LOSE",1,0)</f>
        <v>0</v>
      </c>
      <c r="BX1573" s="53" t="n">
        <f aca="false">IF(AND(U1573="",OR(P1573="",P1573="LOSE"),T1573&lt;&gt;"",N(S1573)&lt;=0,ISNUMBER(MATCH(T1573,Parameter!$I$27:$I$29,0))),1,0)</f>
        <v>1</v>
      </c>
      <c r="BY1573" s="53" t="n">
        <f aca="false">IF(CL1573&gt;0,INDEX(Parameter!$H$5:$H$7,W1573)/INDEX(Parameter!$E$5:$E$7,W1573),IF(AND(BW1573=0,N(IFERROR(VLOOKUP(BU1573,'Gebinde-Kategorie'!$A$5:$N$45,14,0),0))&gt;0),VLOOKUP(BU1573,'Gebinde-Kategorie'!$A$5:$N$45,14,0)*10+Parameter!$M$23,Parameter!$M$24))</f>
        <v>145</v>
      </c>
      <c r="BZ1573" s="48" t="str">
        <f aca="false">IF(AND(Parameter!$B$19="Ja",E1573&lt;&gt;"",ISNUMBER(MATCH(E1573,Parameter!$I$35:$I$52,0))),VLOOKUP(E1573,Parameter!$I$35:$J$52,2,0),IFERROR(VLOOKUP(D1573,Parameter!$A$35:$C$64,2,0),"Nein"))</f>
        <v>2+3</v>
      </c>
      <c r="CA1573" s="52" t="n">
        <f aca="false">IF(BW1573=0,0,IF(N(S1573)&gt;0,S1573,IFERROR(VLOOKUP(D1573,Parameter!$A$35:$C$64,3,0)+0,0)))</f>
        <v>0</v>
      </c>
      <c r="CB1573" s="48" t="n">
        <f aca="false">IF(AA1573&lt;&gt;"",AA1573,Z1573)</f>
        <v>2</v>
      </c>
      <c r="CC1573" s="48" t="str">
        <f aca="false">IF(OR(CB1573=1,CB1573=2,CB1573=3),IF(Parameter!$E$27="Ja","LIFT",IF(CB1573=1,"L1","L23")),IF(CB1573="Aussen","Aussen","-"))</f>
        <v>LIFT</v>
      </c>
      <c r="CD1573" s="59" t="n">
        <f aca="false">IF(N(AB1573)&gt;0,AB1573,0)</f>
        <v>0</v>
      </c>
      <c r="CE1573" s="53" t="n">
        <f aca="false">IF(ISNUMBER(AE1573),1,0)</f>
        <v>0</v>
      </c>
      <c r="CF1573" s="50" t="n">
        <f aca="false">N(AE1573)</f>
        <v>0</v>
      </c>
      <c r="CG1573" s="50" t="n">
        <f aca="false">N(M1573)+N(N1573)</f>
        <v>1</v>
      </c>
      <c r="CH1573" s="50" t="n">
        <f aca="false">ROUNDUP(H1573/BV1573,0)</f>
        <v>1</v>
      </c>
      <c r="CI1573" s="50" t="n">
        <f aca="false">ROUNDUP(CF1573/BV1573,0)</f>
        <v>0</v>
      </c>
      <c r="CJ1573" s="53" t="n">
        <f aca="false">IF(BW1573=1,0,IFERROR(VLOOKUP(BU1573,'Gebinde-Kategorie'!$A$5:$N$45,5,0)+0,0))</f>
        <v>11</v>
      </c>
      <c r="CK1573" s="53" t="n">
        <f aca="false">IFERROR(IF(OR(CB1573=1,CB1573=2,CB1573=3),N(INDEX(Parameter!$I$5:$I$7,CB1573)),0),0)</f>
        <v>0</v>
      </c>
      <c r="CL1573" s="52" t="n">
        <f aca="false">IF(AND(Parameter!$B$21="Ja",ISNUMBER(W1573),N(X1573)&gt;0),IFERROR(N(INDEX(Parameter!$L$5:$L$7,W1573))*INDEX(Parameter!$E$5:$E$7,W1573)*X1573/SUMIFS($X$7:$X$1843,$W$7:$W$1843,W1573),0),0)</f>
        <v>0</v>
      </c>
    </row>
    <row r="1574" customFormat="false" ht="15" hidden="false" customHeight="false" outlineLevel="0" collapsed="false">
      <c r="A1574" s="48" t="s">
        <v>2754</v>
      </c>
      <c r="B1574" s="48" t="s">
        <v>2750</v>
      </c>
      <c r="C1574" s="48" t="s">
        <v>168</v>
      </c>
      <c r="D1574" s="48" t="s">
        <v>188</v>
      </c>
      <c r="E1574" s="48"/>
      <c r="F1574" s="48"/>
      <c r="G1574" s="49" t="n">
        <v>4.22</v>
      </c>
      <c r="H1574" s="50" t="n">
        <f aca="false">MAX(0,IF(AND(Parameter!$B$21="Ja",ISNUMBER(Y1574)),Y1574,IF(Parameter!$B$20="Jahresanfang 2025 + Export",BO1574+BN1574,BN1574)))</f>
        <v>45</v>
      </c>
      <c r="I1574" s="50" t="n">
        <f aca="false">H1574*G1574</f>
        <v>189.9</v>
      </c>
      <c r="J1574" s="50" t="n">
        <f aca="false">BQ1574*Parameter!$B$18</f>
        <v>0</v>
      </c>
      <c r="K1574" s="51"/>
      <c r="L1574" s="52"/>
      <c r="M1574" s="50" t="n">
        <v>0</v>
      </c>
      <c r="N1574" s="50" t="n">
        <v>30</v>
      </c>
      <c r="O1574" s="53" t="n">
        <v>0</v>
      </c>
      <c r="P1574" s="48" t="s">
        <v>172</v>
      </c>
      <c r="Q1574" s="50"/>
      <c r="R1574" s="53" t="n">
        <f aca="false">IF(BW1574=1,0,IFERROR(VLOOKUP(BU1574,'Gebinde-Kategorie'!$A$5:$N$45,13,0)+0,0))</f>
        <v>26</v>
      </c>
      <c r="S1574" s="54"/>
      <c r="T1574" s="55" t="s">
        <v>279</v>
      </c>
      <c r="U1574" s="55"/>
      <c r="V1574" s="55"/>
      <c r="W1574" s="48"/>
      <c r="X1574" s="50"/>
      <c r="Y1574" s="50"/>
      <c r="Z1574" s="48" t="n">
        <f aca="false">IF(A1574="","",IF(AND(Parameter!$B$21="Ja",ISNUMBER(W1574)),W1574,IF(BZ1574="2+3",IF(ISNUMBER(SEARCH("grosser Artikel",BR1574)),2,IFERROR(VLOOKUP(BU1574,Parameter!$F$35:$G$64,2,0),2)),IF(OR(BZ1574="Nein",BZ1574=""),"-",BZ1574))))</f>
        <v>3</v>
      </c>
      <c r="AA1574" s="55"/>
      <c r="AB1574" s="56"/>
      <c r="AC1574" s="50" t="n">
        <f aca="false">AT1574</f>
        <v>45</v>
      </c>
      <c r="AD1574" s="50" t="n">
        <f aca="false">MAX(AT1574,H1574)</f>
        <v>45</v>
      </c>
      <c r="AE1574" s="57"/>
      <c r="AF1574" s="50" t="n">
        <f aca="false">IF(LEFT(Cockpit!$C$5,1)="A",H1574,IF(CE1574=1,CF1574,IF(LEFT(Cockpit!$C$5,1)="B",AK1574,MAX(AK1574,H1574))))</f>
        <v>45</v>
      </c>
      <c r="AG1574" s="50" t="n">
        <f aca="false">IF(BW1574=1,0,ROUNDUP(AF1574/BV1574,0))</f>
        <v>1</v>
      </c>
      <c r="AH1574" s="52" t="n">
        <f aca="false">IF(CL1574&gt;0,CL1574*MAX(1,AF1574/X1574),IF(BW1574=1,IF(AF1574&lt;=0,0,CA1574*MAX(1,IF(H1574&gt;0,AF1574/H1574,1))),IF(R1574&gt;0,AG1574/R1574,0))/MAX(0.1,N(Parameter!$M$21)))</f>
        <v>0.0384615384615385</v>
      </c>
      <c r="AI1574" s="50" t="n">
        <f aca="false">AH1574*BY1574</f>
        <v>5.96153846153846</v>
      </c>
      <c r="AJ1574" s="50" t="n">
        <f aca="false">AF1574*G1574</f>
        <v>189.9</v>
      </c>
      <c r="AK1574" s="50" t="n">
        <f aca="false">ROUNDUP(MAX(J1574/IF(CD1574&gt;0,CD1574,MAX(0.1,N(Cockpit!$C$6))),CG1574)/BV1574,0)*BV1574</f>
        <v>45</v>
      </c>
      <c r="AL1574" s="51" t="n">
        <f aca="false">IF(AI1574&gt;0,J1574/AI1574,-1)</f>
        <v>0</v>
      </c>
      <c r="AM1574" s="51" t="n">
        <f aca="false">IF(AND(OR(CC1574="L1",CC1574="L23",CC1574="LIFT"),AI1574&gt;0),SUMIFS($AI$7:$AI$1843,$CC$7:$CC$1843,CC1574,$AL$7:$AL$1843,"&gt;"&amp;AL1574)+SUMIFS($AI$7:$AI$1843,$CC$7:$CC$1843,CC1574,$AL$7:$AL$1843,AL1574,$BT$7:$BT$1843,"&lt;="&amp;BT1574),"")</f>
        <v>30378.8015950622</v>
      </c>
      <c r="AN1574" s="58" t="n">
        <f aca="false">IF(AM1574="",0,MAX(0,MIN(1,(IF(CC1574="L1",Parameter!$H$5,IF(CC1574="L23",Parameter!$H$6+Parameter!$H$7,Parameter!$H$5+Parameter!$H$6+Parameter!$H$7))-(AM1574-AI1574))/AI1574)))</f>
        <v>1</v>
      </c>
      <c r="AO1574" s="50" t="n">
        <f aca="false">IF(LEFT(Cockpit!$I$5,1)="A",H1574,IF(CE1574=1,CF1574,IF(LEFT(Cockpit!$I$5,1)="B",AT1574,MAX(AT1574,H1574))))</f>
        <v>45</v>
      </c>
      <c r="AP1574" s="50" t="n">
        <f aca="false">IF(BW1574=1,0,ROUNDUP(AO1574/BV1574,0))</f>
        <v>1</v>
      </c>
      <c r="AQ1574" s="52" t="n">
        <f aca="false">IF(CL1574&gt;0,CL1574*MAX(1,AO1574/X1574),IF(BW1574=1,IF(AO1574&lt;=0,0,CA1574*MAX(1,IF(H1574&gt;0,AO1574/H1574,1))),IF(R1574&gt;0,AP1574/R1574,0))/MAX(0.1,N(Parameter!$M$21)))</f>
        <v>0.0384615384615385</v>
      </c>
      <c r="AR1574" s="50" t="n">
        <f aca="false">AQ1574*BY1574</f>
        <v>5.96153846153846</v>
      </c>
      <c r="AS1574" s="50" t="n">
        <f aca="false">AO1574*G1574</f>
        <v>189.9</v>
      </c>
      <c r="AT1574" s="50" t="n">
        <f aca="false">ROUNDUP(MAX(J1574/IF(CD1574&gt;0,CD1574,MAX(0.1,N(Cockpit!$I$6))),CG1574)/BV1574,0)*BV1574</f>
        <v>45</v>
      </c>
      <c r="AU1574" s="51" t="n">
        <f aca="false">IF(AR1574&gt;0,J1574/AR1574,-1)</f>
        <v>0</v>
      </c>
      <c r="AV1574" s="51" t="n">
        <f aca="false">IF(AND(OR(CC1574="L1",CC1574="L23",CC1574="LIFT"),AR1574&gt;0),SUMIFS($AR$7:$AR$1843,$CC$7:$CC$1843,CC1574,$AU$7:$AU$1843,"&gt;"&amp;AU1574)+SUMIFS($AR$7:$AR$1843,$CC$7:$CC$1843,CC1574,$AU$7:$AU$1843,AU1574,$BT$7:$BT$1843,"&lt;="&amp;BT1574),"")</f>
        <v>42740.7039072039</v>
      </c>
      <c r="AW1574" s="58" t="n">
        <f aca="false">IF(AV1574="",0,MAX(0,MIN(1,(IF(CC1574="L1",Parameter!$H$5,IF(CC1574="L23",Parameter!$H$6+Parameter!$H$7,Parameter!$H$5+Parameter!$H$6+Parameter!$H$7))-(AV1574-AR1574))/AR1574)))</f>
        <v>0</v>
      </c>
      <c r="AX1574" s="50" t="n">
        <f aca="false">IF(LEFT(Cockpit!$O$5,1)="A",H1574,IF(CE1574=1,CF1574,IF(LEFT(Cockpit!$O$5,1)="B",BC1574,MAX(BC1574,H1574))))</f>
        <v>45</v>
      </c>
      <c r="AY1574" s="50" t="n">
        <f aca="false">IF(BW1574=1,0,ROUNDUP(AX1574/BV1574,0))</f>
        <v>1</v>
      </c>
      <c r="AZ1574" s="52" t="n">
        <f aca="false">IF(CL1574&gt;0,CL1574*MAX(1,AX1574/X1574),IF(BW1574=1,IF(AX1574&lt;=0,0,CA1574*MAX(1,IF(H1574&gt;0,AX1574/H1574,1))),IF(R1574&gt;0,AY1574/R1574,0))/MAX(0.1,N(Parameter!$M$21)))</f>
        <v>0.0384615384615385</v>
      </c>
      <c r="BA1574" s="50" t="n">
        <f aca="false">AZ1574*BY1574</f>
        <v>5.96153846153846</v>
      </c>
      <c r="BB1574" s="50" t="n">
        <f aca="false">AX1574*G1574</f>
        <v>189.9</v>
      </c>
      <c r="BC1574" s="50" t="n">
        <f aca="false">ROUNDUP(MAX(J1574/IF(CD1574&gt;0,CD1574,MAX(0.1,N(Cockpit!$O$6))),CG1574)/BV1574,0)*BV1574</f>
        <v>45</v>
      </c>
      <c r="BD1574" s="51" t="n">
        <f aca="false">IF(BA1574&gt;0,J1574/BA1574,-1)</f>
        <v>0</v>
      </c>
      <c r="BE1574" s="51" t="n">
        <f aca="false">IF(AND(OR(CC1574="L1",CC1574="L23",CC1574="LIFT"),BA1574&gt;0),SUMIFS($BA$7:$BA$1843,$CC$7:$CC$1843,CC1574,$BD$7:$BD$1843,"&gt;"&amp;BD1574)+SUMIFS($BA$7:$BA$1843,$CC$7:$CC$1843,CC1574,$BD$7:$BD$1843,BD1574,$BT$7:$BT$1843,"&lt;="&amp;BT1574),"")</f>
        <v>39415.7159490698</v>
      </c>
      <c r="BF1574" s="58" t="n">
        <f aca="false">IF(BE1574="",0,MAX(0,MIN(1,(IF(CC1574="L1",Parameter!$H$5,IF(CC1574="L23",Parameter!$H$6+Parameter!$H$7,Parameter!$H$5+Parameter!$H$6+Parameter!$H$7))-(BE1574-BA1574))/BA1574)))</f>
        <v>0</v>
      </c>
      <c r="BG1574" s="48" t="str">
        <f aca="false">IF(AI1574&lt;=0,"",IF(CC1574="Aussen","Aussenlager",IF(CC1574="-","Nicht im Lift",IF(AN1574&gt;=1,"Lift",IF(AN1574&lt;=0,"Aussenlager","teilweise")))))</f>
        <v>Lift</v>
      </c>
      <c r="BH1574" s="48" t="str">
        <f aca="false">IF(AR1574&lt;=0,"",IF(CC1574="Aussen","Aussenlager",IF(CC1574="-","Nicht im Lift",IF(AW1574&gt;=1,"Lift",IF(AW1574&lt;=0,"Aussenlager","teilweise")))))</f>
        <v>Aussenlager</v>
      </c>
      <c r="BI1574" s="48" t="str">
        <f aca="false">IF(BA1574&lt;=0,"",IF(CC1574="Aussen","Aussenlager",IF(CC1574="-","Nicht im Lift",IF(BF1574&gt;=1,"Lift",IF(BF1574&lt;=0,"Aussenlager","teilweise")))))</f>
        <v>Aussenlager</v>
      </c>
      <c r="BJ1574" s="48" t="str">
        <f aca="false">IF(A1574="","",IF(BS1574=1,"Neu; ","")&amp;IF(AND(BS1574=0,BN1574&lt;0),"negativer Bestand (Export "&amp;BN1574&amp;"); ","")&amp;IF(J1574&lt;=0,"Kein Verbrauch; ","")&amp;IF(CL1574&gt;0,"Lift "&amp;W1574&amp;" lt. Liftbericht (Fach "&amp;X1574&amp;" Stk); ",IF(BX1574=1,"Gebinde geschätzt ("&amp;T1574&amp;"); ",IF(BW1574=1,"Lose – Tablare geschätzt; ","")))&amp;IF(H1574&gt;AT1574,"Überbestand "&amp;ROUND(H1574-AT1574,0)&amp;" Stk / CHF "&amp;ROUND((H1574-AT1574)*G1574,0)&amp;"; ","")&amp;IF(AND(CE1574=1,CF1574&lt;CG1574),"MAX &lt; MB+LG; ","")&amp;IF(AND(CK1574&gt;0,CJ1574*10&gt;CK1574),"zu hoch für Tablar; ","")&amp;IF(AND(BS1574=0,OR(CE1574=1,AA1574&lt;&gt;"",U1574&lt;&gt;"",V1574&lt;&gt;"",AB1574&lt;&gt;"")),"manuell übersteuert; ","")&amp;IF(AND(BW1574=0,R1574=0),"Gebinde unbekannt / Stellmass fehlt; ","")&amp;IF(AND(BW1574=0,N(V1574)&lt;=0,N(Q1574)&lt;=0),"Menge pro Gebinde fehlt (Ist = 1 Gebinde); ","")&amp;BR1574)</f>
        <v>Kein Verbrauch; Gebinde geschätzt (Klein); Menge pro Gebinde fehlt (Ist = 1 Gebinde); nur im Artikelstamm (Bestand 23.06.2026); Überbestand</v>
      </c>
      <c r="BK1574" s="48"/>
      <c r="BL1574" s="48"/>
      <c r="BM1574" s="55"/>
      <c r="BN1574" s="50" t="n">
        <v>45</v>
      </c>
      <c r="BO1574" s="50" t="n">
        <v>0</v>
      </c>
      <c r="BP1574" s="49" t="n">
        <v>0</v>
      </c>
      <c r="BQ1574" s="50" t="n">
        <v>0</v>
      </c>
      <c r="BR1574" s="48" t="s">
        <v>2576</v>
      </c>
      <c r="BS1574" s="53" t="n">
        <v>0</v>
      </c>
      <c r="BT1574" s="53" t="n">
        <v>1574</v>
      </c>
      <c r="BU1574" s="48" t="str">
        <f aca="false">IF(U1574&lt;&gt;"",UPPER(TRIM(U1574)),IF(BX1574=1,UPPER(VLOOKUP(T1574,Parameter!$I$27:$K$29,2,0)),IF(P1574="","LOSE",P1574)))</f>
        <v>S51</v>
      </c>
      <c r="BV1574" s="50" t="n">
        <f aca="false">IF(BU1574="LOSE",1,IF(N(V1574)&gt;0,V1574,IF(BX1574=1,MAX(1,N(VLOOKUP(T1574,Parameter!$I$27:$K$29,3,0)),H1574,N(N1574)),IF(N(Q1574)&gt;0,Q1574,MAX(1,H1574)))))</f>
        <v>45</v>
      </c>
      <c r="BW1574" s="53" t="n">
        <f aca="false">IF(BU1574="LOSE",1,0)</f>
        <v>0</v>
      </c>
      <c r="BX1574" s="53" t="n">
        <f aca="false">IF(AND(U1574="",OR(P1574="",P1574="LOSE"),T1574&lt;&gt;"",N(S1574)&lt;=0,ISNUMBER(MATCH(T1574,Parameter!$I$27:$I$29,0))),1,0)</f>
        <v>1</v>
      </c>
      <c r="BY1574" s="53" t="n">
        <f aca="false">IF(CL1574&gt;0,INDEX(Parameter!$H$5:$H$7,W1574)/INDEX(Parameter!$E$5:$E$7,W1574),IF(AND(BW1574=0,N(IFERROR(VLOOKUP(BU1574,'Gebinde-Kategorie'!$A$5:$N$45,14,0),0))&gt;0),VLOOKUP(BU1574,'Gebinde-Kategorie'!$A$5:$N$45,14,0)*10+Parameter!$M$23,Parameter!$M$24))</f>
        <v>155</v>
      </c>
      <c r="BZ1574" s="48" t="str">
        <f aca="false">IF(AND(Parameter!$B$19="Ja",E1574&lt;&gt;"",ISNUMBER(MATCH(E1574,Parameter!$I$35:$I$52,0))),VLOOKUP(E1574,Parameter!$I$35:$J$52,2,0),IFERROR(VLOOKUP(D1574,Parameter!$A$35:$C$64,2,0),"Nein"))</f>
        <v>2+3</v>
      </c>
      <c r="CA1574" s="52" t="n">
        <f aca="false">IF(BW1574=0,0,IF(N(S1574)&gt;0,S1574,IFERROR(VLOOKUP(D1574,Parameter!$A$35:$C$64,3,0)+0,0)))</f>
        <v>0</v>
      </c>
      <c r="CB1574" s="48" t="n">
        <f aca="false">IF(AA1574&lt;&gt;"",AA1574,Z1574)</f>
        <v>3</v>
      </c>
      <c r="CC1574" s="48" t="str">
        <f aca="false">IF(OR(CB1574=1,CB1574=2,CB1574=3),IF(Parameter!$E$27="Ja","LIFT",IF(CB1574=1,"L1","L23")),IF(CB1574="Aussen","Aussen","-"))</f>
        <v>LIFT</v>
      </c>
      <c r="CD1574" s="59" t="n">
        <f aca="false">IF(N(AB1574)&gt;0,AB1574,0)</f>
        <v>0</v>
      </c>
      <c r="CE1574" s="53" t="n">
        <f aca="false">IF(ISNUMBER(AE1574),1,0)</f>
        <v>0</v>
      </c>
      <c r="CF1574" s="50" t="n">
        <f aca="false">N(AE1574)</f>
        <v>0</v>
      </c>
      <c r="CG1574" s="50" t="n">
        <f aca="false">N(M1574)+N(N1574)</f>
        <v>30</v>
      </c>
      <c r="CH1574" s="50" t="n">
        <f aca="false">ROUNDUP(H1574/BV1574,0)</f>
        <v>1</v>
      </c>
      <c r="CI1574" s="50" t="n">
        <f aca="false">ROUNDUP(CF1574/BV1574,0)</f>
        <v>0</v>
      </c>
      <c r="CJ1574" s="53" t="n">
        <f aca="false">IF(BW1574=1,0,IFERROR(VLOOKUP(BU1574,'Gebinde-Kategorie'!$A$5:$N$45,5,0)+0,0))</f>
        <v>11</v>
      </c>
      <c r="CK1574" s="53" t="n">
        <f aca="false">IFERROR(IF(OR(CB1574=1,CB1574=2,CB1574=3),N(INDEX(Parameter!$I$5:$I$7,CB1574)),0),0)</f>
        <v>0</v>
      </c>
      <c r="CL1574" s="52" t="n">
        <f aca="false">IF(AND(Parameter!$B$21="Ja",ISNUMBER(W1574),N(X1574)&gt;0),IFERROR(N(INDEX(Parameter!$L$5:$L$7,W1574))*INDEX(Parameter!$E$5:$E$7,W1574)*X1574/SUMIFS($X$7:$X$1843,$W$7:$W$1843,W1574),0),0)</f>
        <v>0</v>
      </c>
    </row>
    <row r="1575" customFormat="false" ht="15" hidden="false" customHeight="false" outlineLevel="0" collapsed="false">
      <c r="A1575" s="48" t="s">
        <v>2755</v>
      </c>
      <c r="B1575" s="48" t="s">
        <v>409</v>
      </c>
      <c r="C1575" s="48" t="s">
        <v>168</v>
      </c>
      <c r="D1575" s="48" t="s">
        <v>188</v>
      </c>
      <c r="E1575" s="48"/>
      <c r="F1575" s="48"/>
      <c r="G1575" s="49" t="n">
        <v>0.03</v>
      </c>
      <c r="H1575" s="50" t="n">
        <f aca="false">MAX(0,IF(AND(Parameter!$B$21="Ja",ISNUMBER(Y1575)),Y1575,IF(Parameter!$B$20="Jahresanfang 2025 + Export",BO1575+BN1575,BN1575)))</f>
        <v>171</v>
      </c>
      <c r="I1575" s="50" t="n">
        <f aca="false">H1575*G1575</f>
        <v>5.13</v>
      </c>
      <c r="J1575" s="50" t="n">
        <f aca="false">BQ1575*Parameter!$B$18</f>
        <v>0</v>
      </c>
      <c r="K1575" s="51"/>
      <c r="L1575" s="52"/>
      <c r="M1575" s="50" t="n">
        <v>0</v>
      </c>
      <c r="N1575" s="50" t="n">
        <v>100</v>
      </c>
      <c r="O1575" s="53" t="n">
        <v>0</v>
      </c>
      <c r="P1575" s="48" t="s">
        <v>172</v>
      </c>
      <c r="Q1575" s="50"/>
      <c r="R1575" s="53" t="n">
        <f aca="false">IF(BW1575=1,0,IFERROR(VLOOKUP(BU1575,'Gebinde-Kategorie'!$A$5:$N$45,13,0)+0,0))</f>
        <v>26</v>
      </c>
      <c r="S1575" s="54"/>
      <c r="T1575" s="55" t="s">
        <v>279</v>
      </c>
      <c r="U1575" s="55"/>
      <c r="V1575" s="55"/>
      <c r="W1575" s="48"/>
      <c r="X1575" s="50"/>
      <c r="Y1575" s="50"/>
      <c r="Z1575" s="48" t="n">
        <f aca="false">IF(A1575="","",IF(AND(Parameter!$B$21="Ja",ISNUMBER(W1575)),W1575,IF(BZ1575="2+3",IF(ISNUMBER(SEARCH("grosser Artikel",BR1575)),2,IFERROR(VLOOKUP(BU1575,Parameter!$F$35:$G$64,2,0),2)),IF(OR(BZ1575="Nein",BZ1575=""),"-",BZ1575))))</f>
        <v>3</v>
      </c>
      <c r="AA1575" s="55"/>
      <c r="AB1575" s="56"/>
      <c r="AC1575" s="50" t="n">
        <f aca="false">AT1575</f>
        <v>171</v>
      </c>
      <c r="AD1575" s="50" t="n">
        <f aca="false">MAX(AT1575,H1575)</f>
        <v>171</v>
      </c>
      <c r="AE1575" s="57"/>
      <c r="AF1575" s="50" t="n">
        <f aca="false">IF(LEFT(Cockpit!$C$5,1)="A",H1575,IF(CE1575=1,CF1575,IF(LEFT(Cockpit!$C$5,1)="B",AK1575,MAX(AK1575,H1575))))</f>
        <v>171</v>
      </c>
      <c r="AG1575" s="50" t="n">
        <f aca="false">IF(BW1575=1,0,ROUNDUP(AF1575/BV1575,0))</f>
        <v>1</v>
      </c>
      <c r="AH1575" s="52" t="n">
        <f aca="false">IF(CL1575&gt;0,CL1575*MAX(1,AF1575/X1575),IF(BW1575=1,IF(AF1575&lt;=0,0,CA1575*MAX(1,IF(H1575&gt;0,AF1575/H1575,1))),IF(R1575&gt;0,AG1575/R1575,0))/MAX(0.1,N(Parameter!$M$21)))</f>
        <v>0.0384615384615385</v>
      </c>
      <c r="AI1575" s="50" t="n">
        <f aca="false">AH1575*BY1575</f>
        <v>5.96153846153846</v>
      </c>
      <c r="AJ1575" s="50" t="n">
        <f aca="false">AF1575*G1575</f>
        <v>5.13</v>
      </c>
      <c r="AK1575" s="50" t="n">
        <f aca="false">ROUNDUP(MAX(J1575/IF(CD1575&gt;0,CD1575,MAX(0.1,N(Cockpit!$C$6))),CG1575)/BV1575,0)*BV1575</f>
        <v>171</v>
      </c>
      <c r="AL1575" s="51" t="n">
        <f aca="false">IF(AI1575&gt;0,J1575/AI1575,-1)</f>
        <v>0</v>
      </c>
      <c r="AM1575" s="51" t="n">
        <f aca="false">IF(AND(OR(CC1575="L1",CC1575="L23",CC1575="LIFT"),AI1575&gt;0),SUMIFS($AI$7:$AI$1843,$CC$7:$CC$1843,CC1575,$AL$7:$AL$1843,"&gt;"&amp;AL1575)+SUMIFS($AI$7:$AI$1843,$CC$7:$CC$1843,CC1575,$AL$7:$AL$1843,AL1575,$BT$7:$BT$1843,"&lt;="&amp;BT1575),"")</f>
        <v>30384.7631335237</v>
      </c>
      <c r="AN1575" s="58" t="n">
        <f aca="false">IF(AM1575="",0,MAX(0,MIN(1,(IF(CC1575="L1",Parameter!$H$5,IF(CC1575="L23",Parameter!$H$6+Parameter!$H$7,Parameter!$H$5+Parameter!$H$6+Parameter!$H$7))-(AM1575-AI1575))/AI1575)))</f>
        <v>1</v>
      </c>
      <c r="AO1575" s="50" t="n">
        <f aca="false">IF(LEFT(Cockpit!$I$5,1)="A",H1575,IF(CE1575=1,CF1575,IF(LEFT(Cockpit!$I$5,1)="B",AT1575,MAX(AT1575,H1575))))</f>
        <v>171</v>
      </c>
      <c r="AP1575" s="50" t="n">
        <f aca="false">IF(BW1575=1,0,ROUNDUP(AO1575/BV1575,0))</f>
        <v>1</v>
      </c>
      <c r="AQ1575" s="52" t="n">
        <f aca="false">IF(CL1575&gt;0,CL1575*MAX(1,AO1575/X1575),IF(BW1575=1,IF(AO1575&lt;=0,0,CA1575*MAX(1,IF(H1575&gt;0,AO1575/H1575,1))),IF(R1575&gt;0,AP1575/R1575,0))/MAX(0.1,N(Parameter!$M$21)))</f>
        <v>0.0384615384615385</v>
      </c>
      <c r="AR1575" s="50" t="n">
        <f aca="false">AQ1575*BY1575</f>
        <v>5.96153846153846</v>
      </c>
      <c r="AS1575" s="50" t="n">
        <f aca="false">AO1575*G1575</f>
        <v>5.13</v>
      </c>
      <c r="AT1575" s="50" t="n">
        <f aca="false">ROUNDUP(MAX(J1575/IF(CD1575&gt;0,CD1575,MAX(0.1,N(Cockpit!$I$6))),CG1575)/BV1575,0)*BV1575</f>
        <v>171</v>
      </c>
      <c r="AU1575" s="51" t="n">
        <f aca="false">IF(AR1575&gt;0,J1575/AR1575,-1)</f>
        <v>0</v>
      </c>
      <c r="AV1575" s="51" t="n">
        <f aca="false">IF(AND(OR(CC1575="L1",CC1575="L23",CC1575="LIFT"),AR1575&gt;0),SUMIFS($AR$7:$AR$1843,$CC$7:$CC$1843,CC1575,$AU$7:$AU$1843,"&gt;"&amp;AU1575)+SUMIFS($AR$7:$AR$1843,$CC$7:$CC$1843,CC1575,$AU$7:$AU$1843,AU1575,$BT$7:$BT$1843,"&lt;="&amp;BT1575),"")</f>
        <v>42746.6654456655</v>
      </c>
      <c r="AW1575" s="58" t="n">
        <f aca="false">IF(AV1575="",0,MAX(0,MIN(1,(IF(CC1575="L1",Parameter!$H$5,IF(CC1575="L23",Parameter!$H$6+Parameter!$H$7,Parameter!$H$5+Parameter!$H$6+Parameter!$H$7))-(AV1575-AR1575))/AR1575)))</f>
        <v>0</v>
      </c>
      <c r="AX1575" s="50" t="n">
        <f aca="false">IF(LEFT(Cockpit!$O$5,1)="A",H1575,IF(CE1575=1,CF1575,IF(LEFT(Cockpit!$O$5,1)="B",BC1575,MAX(BC1575,H1575))))</f>
        <v>171</v>
      </c>
      <c r="AY1575" s="50" t="n">
        <f aca="false">IF(BW1575=1,0,ROUNDUP(AX1575/BV1575,0))</f>
        <v>1</v>
      </c>
      <c r="AZ1575" s="52" t="n">
        <f aca="false">IF(CL1575&gt;0,CL1575*MAX(1,AX1575/X1575),IF(BW1575=1,IF(AX1575&lt;=0,0,CA1575*MAX(1,IF(H1575&gt;0,AX1575/H1575,1))),IF(R1575&gt;0,AY1575/R1575,0))/MAX(0.1,N(Parameter!$M$21)))</f>
        <v>0.0384615384615385</v>
      </c>
      <c r="BA1575" s="50" t="n">
        <f aca="false">AZ1575*BY1575</f>
        <v>5.96153846153846</v>
      </c>
      <c r="BB1575" s="50" t="n">
        <f aca="false">AX1575*G1575</f>
        <v>5.13</v>
      </c>
      <c r="BC1575" s="50" t="n">
        <f aca="false">ROUNDUP(MAX(J1575/IF(CD1575&gt;0,CD1575,MAX(0.1,N(Cockpit!$O$6))),CG1575)/BV1575,0)*BV1575</f>
        <v>171</v>
      </c>
      <c r="BD1575" s="51" t="n">
        <f aca="false">IF(BA1575&gt;0,J1575/BA1575,-1)</f>
        <v>0</v>
      </c>
      <c r="BE1575" s="51" t="n">
        <f aca="false">IF(AND(OR(CC1575="L1",CC1575="L23",CC1575="LIFT"),BA1575&gt;0),SUMIFS($BA$7:$BA$1843,$CC$7:$CC$1843,CC1575,$BD$7:$BD$1843,"&gt;"&amp;BD1575)+SUMIFS($BA$7:$BA$1843,$CC$7:$CC$1843,CC1575,$BD$7:$BD$1843,BD1575,$BT$7:$BT$1843,"&lt;="&amp;BT1575),"")</f>
        <v>39421.6774875313</v>
      </c>
      <c r="BF1575" s="58" t="n">
        <f aca="false">IF(BE1575="",0,MAX(0,MIN(1,(IF(CC1575="L1",Parameter!$H$5,IF(CC1575="L23",Parameter!$H$6+Parameter!$H$7,Parameter!$H$5+Parameter!$H$6+Parameter!$H$7))-(BE1575-BA1575))/BA1575)))</f>
        <v>0</v>
      </c>
      <c r="BG1575" s="48" t="str">
        <f aca="false">IF(AI1575&lt;=0,"",IF(CC1575="Aussen","Aussenlager",IF(CC1575="-","Nicht im Lift",IF(AN1575&gt;=1,"Lift",IF(AN1575&lt;=0,"Aussenlager","teilweise")))))</f>
        <v>Lift</v>
      </c>
      <c r="BH1575" s="48" t="str">
        <f aca="false">IF(AR1575&lt;=0,"",IF(CC1575="Aussen","Aussenlager",IF(CC1575="-","Nicht im Lift",IF(AW1575&gt;=1,"Lift",IF(AW1575&lt;=0,"Aussenlager","teilweise")))))</f>
        <v>Aussenlager</v>
      </c>
      <c r="BI1575" s="48" t="str">
        <f aca="false">IF(BA1575&lt;=0,"",IF(CC1575="Aussen","Aussenlager",IF(CC1575="-","Nicht im Lift",IF(BF1575&gt;=1,"Lift",IF(BF1575&lt;=0,"Aussenlager","teilweise")))))</f>
        <v>Aussenlager</v>
      </c>
      <c r="BJ1575" s="48" t="str">
        <f aca="false">IF(A1575="","",IF(BS1575=1,"Neu; ","")&amp;IF(AND(BS1575=0,BN1575&lt;0),"negativer Bestand (Export "&amp;BN1575&amp;"); ","")&amp;IF(J1575&lt;=0,"Kein Verbrauch; ","")&amp;IF(CL1575&gt;0,"Lift "&amp;W1575&amp;" lt. Liftbericht (Fach "&amp;X1575&amp;" Stk); ",IF(BX1575=1,"Gebinde geschätzt ("&amp;T1575&amp;"); ",IF(BW1575=1,"Lose – Tablare geschätzt; ","")))&amp;IF(H1575&gt;AT1575,"Überbestand "&amp;ROUND(H1575-AT1575,0)&amp;" Stk / CHF "&amp;ROUND((H1575-AT1575)*G1575,0)&amp;"; ","")&amp;IF(AND(CE1575=1,CF1575&lt;CG1575),"MAX &lt; MB+LG; ","")&amp;IF(AND(CK1575&gt;0,CJ1575*10&gt;CK1575),"zu hoch für Tablar; ","")&amp;IF(AND(BS1575=0,OR(CE1575=1,AA1575&lt;&gt;"",U1575&lt;&gt;"",V1575&lt;&gt;"",AB1575&lt;&gt;"")),"manuell übersteuert; ","")&amp;IF(AND(BW1575=0,R1575=0),"Gebinde unbekannt / Stellmass fehlt; ","")&amp;IF(AND(BW1575=0,N(V1575)&lt;=0,N(Q1575)&lt;=0),"Menge pro Gebinde fehlt (Ist = 1 Gebinde); ","")&amp;BR1575)</f>
        <v>Kein Verbrauch; Gebinde geschätzt (Klein); Menge pro Gebinde fehlt (Ist = 1 Gebinde); nur im Artikelstamm (Bestand 23.06.2026); Überbestand</v>
      </c>
      <c r="BK1575" s="48"/>
      <c r="BL1575" s="48"/>
      <c r="BM1575" s="55"/>
      <c r="BN1575" s="50" t="n">
        <v>171</v>
      </c>
      <c r="BO1575" s="50" t="n">
        <v>0</v>
      </c>
      <c r="BP1575" s="49" t="n">
        <v>0</v>
      </c>
      <c r="BQ1575" s="50" t="n">
        <v>0</v>
      </c>
      <c r="BR1575" s="48" t="s">
        <v>2576</v>
      </c>
      <c r="BS1575" s="53" t="n">
        <v>0</v>
      </c>
      <c r="BT1575" s="53" t="n">
        <v>1575</v>
      </c>
      <c r="BU1575" s="48" t="str">
        <f aca="false">IF(U1575&lt;&gt;"",UPPER(TRIM(U1575)),IF(BX1575=1,UPPER(VLOOKUP(T1575,Parameter!$I$27:$K$29,2,0)),IF(P1575="","LOSE",P1575)))</f>
        <v>S51</v>
      </c>
      <c r="BV1575" s="50" t="n">
        <f aca="false">IF(BU1575="LOSE",1,IF(N(V1575)&gt;0,V1575,IF(BX1575=1,MAX(1,N(VLOOKUP(T1575,Parameter!$I$27:$K$29,3,0)),H1575,N(N1575)),IF(N(Q1575)&gt;0,Q1575,MAX(1,H1575)))))</f>
        <v>171</v>
      </c>
      <c r="BW1575" s="53" t="n">
        <f aca="false">IF(BU1575="LOSE",1,0)</f>
        <v>0</v>
      </c>
      <c r="BX1575" s="53" t="n">
        <f aca="false">IF(AND(U1575="",OR(P1575="",P1575="LOSE"),T1575&lt;&gt;"",N(S1575)&lt;=0,ISNUMBER(MATCH(T1575,Parameter!$I$27:$I$29,0))),1,0)</f>
        <v>1</v>
      </c>
      <c r="BY1575" s="53" t="n">
        <f aca="false">IF(CL1575&gt;0,INDEX(Parameter!$H$5:$H$7,W1575)/INDEX(Parameter!$E$5:$E$7,W1575),IF(AND(BW1575=0,N(IFERROR(VLOOKUP(BU1575,'Gebinde-Kategorie'!$A$5:$N$45,14,0),0))&gt;0),VLOOKUP(BU1575,'Gebinde-Kategorie'!$A$5:$N$45,14,0)*10+Parameter!$M$23,Parameter!$M$24))</f>
        <v>155</v>
      </c>
      <c r="BZ1575" s="48" t="str">
        <f aca="false">IF(AND(Parameter!$B$19="Ja",E1575&lt;&gt;"",ISNUMBER(MATCH(E1575,Parameter!$I$35:$I$52,0))),VLOOKUP(E1575,Parameter!$I$35:$J$52,2,0),IFERROR(VLOOKUP(D1575,Parameter!$A$35:$C$64,2,0),"Nein"))</f>
        <v>2+3</v>
      </c>
      <c r="CA1575" s="52" t="n">
        <f aca="false">IF(BW1575=0,0,IF(N(S1575)&gt;0,S1575,IFERROR(VLOOKUP(D1575,Parameter!$A$35:$C$64,3,0)+0,0)))</f>
        <v>0</v>
      </c>
      <c r="CB1575" s="48" t="n">
        <f aca="false">IF(AA1575&lt;&gt;"",AA1575,Z1575)</f>
        <v>3</v>
      </c>
      <c r="CC1575" s="48" t="str">
        <f aca="false">IF(OR(CB1575=1,CB1575=2,CB1575=3),IF(Parameter!$E$27="Ja","LIFT",IF(CB1575=1,"L1","L23")),IF(CB1575="Aussen","Aussen","-"))</f>
        <v>LIFT</v>
      </c>
      <c r="CD1575" s="59" t="n">
        <f aca="false">IF(N(AB1575)&gt;0,AB1575,0)</f>
        <v>0</v>
      </c>
      <c r="CE1575" s="53" t="n">
        <f aca="false">IF(ISNUMBER(AE1575),1,0)</f>
        <v>0</v>
      </c>
      <c r="CF1575" s="50" t="n">
        <f aca="false">N(AE1575)</f>
        <v>0</v>
      </c>
      <c r="CG1575" s="50" t="n">
        <f aca="false">N(M1575)+N(N1575)</f>
        <v>100</v>
      </c>
      <c r="CH1575" s="50" t="n">
        <f aca="false">ROUNDUP(H1575/BV1575,0)</f>
        <v>1</v>
      </c>
      <c r="CI1575" s="50" t="n">
        <f aca="false">ROUNDUP(CF1575/BV1575,0)</f>
        <v>0</v>
      </c>
      <c r="CJ1575" s="53" t="n">
        <f aca="false">IF(BW1575=1,0,IFERROR(VLOOKUP(BU1575,'Gebinde-Kategorie'!$A$5:$N$45,5,0)+0,0))</f>
        <v>11</v>
      </c>
      <c r="CK1575" s="53" t="n">
        <f aca="false">IFERROR(IF(OR(CB1575=1,CB1575=2,CB1575=3),N(INDEX(Parameter!$I$5:$I$7,CB1575)),0),0)</f>
        <v>0</v>
      </c>
      <c r="CL1575" s="52" t="n">
        <f aca="false">IF(AND(Parameter!$B$21="Ja",ISNUMBER(W1575),N(X1575)&gt;0),IFERROR(N(INDEX(Parameter!$L$5:$L$7,W1575))*INDEX(Parameter!$E$5:$E$7,W1575)*X1575/SUMIFS($X$7:$X$1843,$W$7:$W$1843,W1575),0),0)</f>
        <v>0</v>
      </c>
    </row>
    <row r="1576" customFormat="false" ht="15" hidden="false" customHeight="false" outlineLevel="0" collapsed="false">
      <c r="A1576" s="48" t="s">
        <v>2756</v>
      </c>
      <c r="B1576" s="48" t="s">
        <v>2757</v>
      </c>
      <c r="C1576" s="48" t="s">
        <v>168</v>
      </c>
      <c r="D1576" s="48" t="s">
        <v>188</v>
      </c>
      <c r="E1576" s="48"/>
      <c r="F1576" s="48"/>
      <c r="G1576" s="49" t="n">
        <v>2.05</v>
      </c>
      <c r="H1576" s="50" t="n">
        <f aca="false">MAX(0,IF(AND(Parameter!$B$21="Ja",ISNUMBER(Y1576)),Y1576,IF(Parameter!$B$20="Jahresanfang 2025 + Export",BO1576+BN1576,BN1576)))</f>
        <v>24</v>
      </c>
      <c r="I1576" s="50" t="n">
        <f aca="false">H1576*G1576</f>
        <v>49.2</v>
      </c>
      <c r="J1576" s="50" t="n">
        <f aca="false">BQ1576*Parameter!$B$18</f>
        <v>0</v>
      </c>
      <c r="K1576" s="51"/>
      <c r="L1576" s="52"/>
      <c r="M1576" s="50" t="n">
        <v>0</v>
      </c>
      <c r="N1576" s="50" t="n">
        <v>20</v>
      </c>
      <c r="O1576" s="53" t="n">
        <v>0</v>
      </c>
      <c r="P1576" s="48" t="s">
        <v>172</v>
      </c>
      <c r="Q1576" s="50"/>
      <c r="R1576" s="53" t="n">
        <f aca="false">IF(BW1576=1,0,IFERROR(VLOOKUP(BU1576,'Gebinde-Kategorie'!$A$5:$N$45,13,0)+0,0))</f>
        <v>12</v>
      </c>
      <c r="S1576" s="54"/>
      <c r="T1576" s="55" t="s">
        <v>183</v>
      </c>
      <c r="U1576" s="55"/>
      <c r="V1576" s="55"/>
      <c r="W1576" s="48"/>
      <c r="X1576" s="50"/>
      <c r="Y1576" s="50"/>
      <c r="Z1576" s="48" t="n">
        <f aca="false">IF(A1576="","",IF(AND(Parameter!$B$21="Ja",ISNUMBER(W1576)),W1576,IF(BZ1576="2+3",IF(ISNUMBER(SEARCH("grosser Artikel",BR1576)),2,IFERROR(VLOOKUP(BU1576,Parameter!$F$35:$G$64,2,0),2)),IF(OR(BZ1576="Nein",BZ1576=""),"-",BZ1576))))</f>
        <v>2</v>
      </c>
      <c r="AA1576" s="55"/>
      <c r="AB1576" s="56"/>
      <c r="AC1576" s="50" t="n">
        <f aca="false">AT1576</f>
        <v>24</v>
      </c>
      <c r="AD1576" s="50" t="n">
        <f aca="false">MAX(AT1576,H1576)</f>
        <v>24</v>
      </c>
      <c r="AE1576" s="57"/>
      <c r="AF1576" s="50" t="n">
        <f aca="false">IF(LEFT(Cockpit!$C$5,1)="A",H1576,IF(CE1576=1,CF1576,IF(LEFT(Cockpit!$C$5,1)="B",AK1576,MAX(AK1576,H1576))))</f>
        <v>24</v>
      </c>
      <c r="AG1576" s="50" t="n">
        <f aca="false">IF(BW1576=1,0,ROUNDUP(AF1576/BV1576,0))</f>
        <v>1</v>
      </c>
      <c r="AH1576" s="52" t="n">
        <f aca="false">IF(CL1576&gt;0,CL1576*MAX(1,AF1576/X1576),IF(BW1576=1,IF(AF1576&lt;=0,0,CA1576*MAX(1,IF(H1576&gt;0,AF1576/H1576,1))),IF(R1576&gt;0,AG1576/R1576,0))/MAX(0.1,N(Parameter!$M$21)))</f>
        <v>0.0833333333333333</v>
      </c>
      <c r="AI1576" s="50" t="n">
        <f aca="false">AH1576*BY1576</f>
        <v>12.0833333333333</v>
      </c>
      <c r="AJ1576" s="50" t="n">
        <f aca="false">AF1576*G1576</f>
        <v>49.2</v>
      </c>
      <c r="AK1576" s="50" t="n">
        <f aca="false">ROUNDUP(MAX(J1576/IF(CD1576&gt;0,CD1576,MAX(0.1,N(Cockpit!$C$6))),CG1576)/BV1576,0)*BV1576</f>
        <v>24</v>
      </c>
      <c r="AL1576" s="51" t="n">
        <f aca="false">IF(AI1576&gt;0,J1576/AI1576,-1)</f>
        <v>0</v>
      </c>
      <c r="AM1576" s="51" t="n">
        <f aca="false">IF(AND(OR(CC1576="L1",CC1576="L23",CC1576="LIFT"),AI1576&gt;0),SUMIFS($AI$7:$AI$1843,$CC$7:$CC$1843,CC1576,$AL$7:$AL$1843,"&gt;"&amp;AL1576)+SUMIFS($AI$7:$AI$1843,$CC$7:$CC$1843,CC1576,$AL$7:$AL$1843,AL1576,$BT$7:$BT$1843,"&lt;="&amp;BT1576),"")</f>
        <v>30396.8464668571</v>
      </c>
      <c r="AN1576" s="58" t="n">
        <f aca="false">IF(AM1576="",0,MAX(0,MIN(1,(IF(CC1576="L1",Parameter!$H$5,IF(CC1576="L23",Parameter!$H$6+Parameter!$H$7,Parameter!$H$5+Parameter!$H$6+Parameter!$H$7))-(AM1576-AI1576))/AI1576)))</f>
        <v>1</v>
      </c>
      <c r="AO1576" s="50" t="n">
        <f aca="false">IF(LEFT(Cockpit!$I$5,1)="A",H1576,IF(CE1576=1,CF1576,IF(LEFT(Cockpit!$I$5,1)="B",AT1576,MAX(AT1576,H1576))))</f>
        <v>24</v>
      </c>
      <c r="AP1576" s="50" t="n">
        <f aca="false">IF(BW1576=1,0,ROUNDUP(AO1576/BV1576,0))</f>
        <v>1</v>
      </c>
      <c r="AQ1576" s="52" t="n">
        <f aca="false">IF(CL1576&gt;0,CL1576*MAX(1,AO1576/X1576),IF(BW1576=1,IF(AO1576&lt;=0,0,CA1576*MAX(1,IF(H1576&gt;0,AO1576/H1576,1))),IF(R1576&gt;0,AP1576/R1576,0))/MAX(0.1,N(Parameter!$M$21)))</f>
        <v>0.0833333333333333</v>
      </c>
      <c r="AR1576" s="50" t="n">
        <f aca="false">AQ1576*BY1576</f>
        <v>12.0833333333333</v>
      </c>
      <c r="AS1576" s="50" t="n">
        <f aca="false">AO1576*G1576</f>
        <v>49.2</v>
      </c>
      <c r="AT1576" s="50" t="n">
        <f aca="false">ROUNDUP(MAX(J1576/IF(CD1576&gt;0,CD1576,MAX(0.1,N(Cockpit!$I$6))),CG1576)/BV1576,0)*BV1576</f>
        <v>24</v>
      </c>
      <c r="AU1576" s="51" t="n">
        <f aca="false">IF(AR1576&gt;0,J1576/AR1576,-1)</f>
        <v>0</v>
      </c>
      <c r="AV1576" s="51" t="n">
        <f aca="false">IF(AND(OR(CC1576="L1",CC1576="L23",CC1576="LIFT"),AR1576&gt;0),SUMIFS($AR$7:$AR$1843,$CC$7:$CC$1843,CC1576,$AU$7:$AU$1843,"&gt;"&amp;AU1576)+SUMIFS($AR$7:$AR$1843,$CC$7:$CC$1843,CC1576,$AU$7:$AU$1843,AU1576,$BT$7:$BT$1843,"&lt;="&amp;BT1576),"")</f>
        <v>42758.7487789988</v>
      </c>
      <c r="AW1576" s="58" t="n">
        <f aca="false">IF(AV1576="",0,MAX(0,MIN(1,(IF(CC1576="L1",Parameter!$H$5,IF(CC1576="L23",Parameter!$H$6+Parameter!$H$7,Parameter!$H$5+Parameter!$H$6+Parameter!$H$7))-(AV1576-AR1576))/AR1576)))</f>
        <v>0</v>
      </c>
      <c r="AX1576" s="50" t="n">
        <f aca="false">IF(LEFT(Cockpit!$O$5,1)="A",H1576,IF(CE1576=1,CF1576,IF(LEFT(Cockpit!$O$5,1)="B",BC1576,MAX(BC1576,H1576))))</f>
        <v>24</v>
      </c>
      <c r="AY1576" s="50" t="n">
        <f aca="false">IF(BW1576=1,0,ROUNDUP(AX1576/BV1576,0))</f>
        <v>1</v>
      </c>
      <c r="AZ1576" s="52" t="n">
        <f aca="false">IF(CL1576&gt;0,CL1576*MAX(1,AX1576/X1576),IF(BW1576=1,IF(AX1576&lt;=0,0,CA1576*MAX(1,IF(H1576&gt;0,AX1576/H1576,1))),IF(R1576&gt;0,AY1576/R1576,0))/MAX(0.1,N(Parameter!$M$21)))</f>
        <v>0.0833333333333333</v>
      </c>
      <c r="BA1576" s="50" t="n">
        <f aca="false">AZ1576*BY1576</f>
        <v>12.0833333333333</v>
      </c>
      <c r="BB1576" s="50" t="n">
        <f aca="false">AX1576*G1576</f>
        <v>49.2</v>
      </c>
      <c r="BC1576" s="50" t="n">
        <f aca="false">ROUNDUP(MAX(J1576/IF(CD1576&gt;0,CD1576,MAX(0.1,N(Cockpit!$O$6))),CG1576)/BV1576,0)*BV1576</f>
        <v>24</v>
      </c>
      <c r="BD1576" s="51" t="n">
        <f aca="false">IF(BA1576&gt;0,J1576/BA1576,-1)</f>
        <v>0</v>
      </c>
      <c r="BE1576" s="51" t="n">
        <f aca="false">IF(AND(OR(CC1576="L1",CC1576="L23",CC1576="LIFT"),BA1576&gt;0),SUMIFS($BA$7:$BA$1843,$CC$7:$CC$1843,CC1576,$BD$7:$BD$1843,"&gt;"&amp;BD1576)+SUMIFS($BA$7:$BA$1843,$CC$7:$CC$1843,CC1576,$BD$7:$BD$1843,BD1576,$BT$7:$BT$1843,"&lt;="&amp;BT1576),"")</f>
        <v>39433.7608208646</v>
      </c>
      <c r="BF1576" s="58" t="n">
        <f aca="false">IF(BE1576="",0,MAX(0,MIN(1,(IF(CC1576="L1",Parameter!$H$5,IF(CC1576="L23",Parameter!$H$6+Parameter!$H$7,Parameter!$H$5+Parameter!$H$6+Parameter!$H$7))-(BE1576-BA1576))/BA1576)))</f>
        <v>0</v>
      </c>
      <c r="BG1576" s="48" t="str">
        <f aca="false">IF(AI1576&lt;=0,"",IF(CC1576="Aussen","Aussenlager",IF(CC1576="-","Nicht im Lift",IF(AN1576&gt;=1,"Lift",IF(AN1576&lt;=0,"Aussenlager","teilweise")))))</f>
        <v>Lift</v>
      </c>
      <c r="BH1576" s="48" t="str">
        <f aca="false">IF(AR1576&lt;=0,"",IF(CC1576="Aussen","Aussenlager",IF(CC1576="-","Nicht im Lift",IF(AW1576&gt;=1,"Lift",IF(AW1576&lt;=0,"Aussenlager","teilweise")))))</f>
        <v>Aussenlager</v>
      </c>
      <c r="BI1576" s="48" t="str">
        <f aca="false">IF(BA1576&lt;=0,"",IF(CC1576="Aussen","Aussenlager",IF(CC1576="-","Nicht im Lift",IF(BF1576&gt;=1,"Lift",IF(BF1576&lt;=0,"Aussenlager","teilweise")))))</f>
        <v>Aussenlager</v>
      </c>
      <c r="BJ1576" s="48" t="str">
        <f aca="false">IF(A1576="","",IF(BS1576=1,"Neu; ","")&amp;IF(AND(BS1576=0,BN1576&lt;0),"negativer Bestand (Export "&amp;BN1576&amp;"); ","")&amp;IF(J1576&lt;=0,"Kein Verbrauch; ","")&amp;IF(CL1576&gt;0,"Lift "&amp;W1576&amp;" lt. Liftbericht (Fach "&amp;X1576&amp;" Stk); ",IF(BX1576=1,"Gebinde geschätzt ("&amp;T1576&amp;"); ",IF(BW1576=1,"Lose – Tablare geschätzt; ","")))&amp;IF(H1576&gt;AT1576,"Überbestand "&amp;ROUND(H1576-AT1576,0)&amp;" Stk / CHF "&amp;ROUND((H1576-AT1576)*G1576,0)&amp;"; ","")&amp;IF(AND(CE1576=1,CF1576&lt;CG1576),"MAX &lt; MB+LG; ","")&amp;IF(AND(CK1576&gt;0,CJ1576*10&gt;CK1576),"zu hoch für Tablar; ","")&amp;IF(AND(BS1576=0,OR(CE1576=1,AA1576&lt;&gt;"",U1576&lt;&gt;"",V1576&lt;&gt;"",AB1576&lt;&gt;"")),"manuell übersteuert; ","")&amp;IF(AND(BW1576=0,R1576=0),"Gebinde unbekannt / Stellmass fehlt; ","")&amp;IF(AND(BW1576=0,N(V1576)&lt;=0,N(Q1576)&lt;=0),"Menge pro Gebinde fehlt (Ist = 1 Gebinde); ","")&amp;BR1576)</f>
        <v>Kein Verbrauch; Gebinde geschätzt (Mittel); Menge pro Gebinde fehlt (Ist = 1 Gebinde); nur im Artikelstamm (Bestand 23.06.2026)</v>
      </c>
      <c r="BK1576" s="48"/>
      <c r="BL1576" s="48"/>
      <c r="BM1576" s="55"/>
      <c r="BN1576" s="50" t="n">
        <v>24</v>
      </c>
      <c r="BO1576" s="50" t="n">
        <v>0</v>
      </c>
      <c r="BP1576" s="49" t="n">
        <v>0</v>
      </c>
      <c r="BQ1576" s="50" t="n">
        <v>0</v>
      </c>
      <c r="BR1576" s="48" t="s">
        <v>2579</v>
      </c>
      <c r="BS1576" s="53" t="n">
        <v>0</v>
      </c>
      <c r="BT1576" s="53" t="n">
        <v>1576</v>
      </c>
      <c r="BU1576" s="48" t="str">
        <f aca="false">IF(U1576&lt;&gt;"",UPPER(TRIM(U1576)),IF(BX1576=1,UPPER(VLOOKUP(T1576,Parameter!$I$27:$K$29,2,0)),IF(P1576="","LOSE",P1576)))</f>
        <v>S61</v>
      </c>
      <c r="BV1576" s="50" t="n">
        <f aca="false">IF(BU1576="LOSE",1,IF(N(V1576)&gt;0,V1576,IF(BX1576=1,MAX(1,N(VLOOKUP(T1576,Parameter!$I$27:$K$29,3,0)),H1576,N(N1576)),IF(N(Q1576)&gt;0,Q1576,MAX(1,H1576)))))</f>
        <v>24</v>
      </c>
      <c r="BW1576" s="53" t="n">
        <f aca="false">IF(BU1576="LOSE",1,0)</f>
        <v>0</v>
      </c>
      <c r="BX1576" s="53" t="n">
        <f aca="false">IF(AND(U1576="",OR(P1576="",P1576="LOSE"),T1576&lt;&gt;"",N(S1576)&lt;=0,ISNUMBER(MATCH(T1576,Parameter!$I$27:$I$29,0))),1,0)</f>
        <v>1</v>
      </c>
      <c r="BY1576" s="53" t="n">
        <f aca="false">IF(CL1576&gt;0,INDEX(Parameter!$H$5:$H$7,W1576)/INDEX(Parameter!$E$5:$E$7,W1576),IF(AND(BW1576=0,N(IFERROR(VLOOKUP(BU1576,'Gebinde-Kategorie'!$A$5:$N$45,14,0),0))&gt;0),VLOOKUP(BU1576,'Gebinde-Kategorie'!$A$5:$N$45,14,0)*10+Parameter!$M$23,Parameter!$M$24))</f>
        <v>145</v>
      </c>
      <c r="BZ1576" s="48" t="str">
        <f aca="false">IF(AND(Parameter!$B$19="Ja",E1576&lt;&gt;"",ISNUMBER(MATCH(E1576,Parameter!$I$35:$I$52,0))),VLOOKUP(E1576,Parameter!$I$35:$J$52,2,0),IFERROR(VLOOKUP(D1576,Parameter!$A$35:$C$64,2,0),"Nein"))</f>
        <v>2+3</v>
      </c>
      <c r="CA1576" s="52" t="n">
        <f aca="false">IF(BW1576=0,0,IF(N(S1576)&gt;0,S1576,IFERROR(VLOOKUP(D1576,Parameter!$A$35:$C$64,3,0)+0,0)))</f>
        <v>0</v>
      </c>
      <c r="CB1576" s="48" t="n">
        <f aca="false">IF(AA1576&lt;&gt;"",AA1576,Z1576)</f>
        <v>2</v>
      </c>
      <c r="CC1576" s="48" t="str">
        <f aca="false">IF(OR(CB1576=1,CB1576=2,CB1576=3),IF(Parameter!$E$27="Ja","LIFT",IF(CB1576=1,"L1","L23")),IF(CB1576="Aussen","Aussen","-"))</f>
        <v>LIFT</v>
      </c>
      <c r="CD1576" s="59" t="n">
        <f aca="false">IF(N(AB1576)&gt;0,AB1576,0)</f>
        <v>0</v>
      </c>
      <c r="CE1576" s="53" t="n">
        <f aca="false">IF(ISNUMBER(AE1576),1,0)</f>
        <v>0</v>
      </c>
      <c r="CF1576" s="50" t="n">
        <f aca="false">N(AE1576)</f>
        <v>0</v>
      </c>
      <c r="CG1576" s="50" t="n">
        <f aca="false">N(M1576)+N(N1576)</f>
        <v>20</v>
      </c>
      <c r="CH1576" s="50" t="n">
        <f aca="false">ROUNDUP(H1576/BV1576,0)</f>
        <v>1</v>
      </c>
      <c r="CI1576" s="50" t="n">
        <f aca="false">ROUNDUP(CF1576/BV1576,0)</f>
        <v>0</v>
      </c>
      <c r="CJ1576" s="53" t="n">
        <f aca="false">IF(BW1576=1,0,IFERROR(VLOOKUP(BU1576,'Gebinde-Kategorie'!$A$5:$N$45,5,0)+0,0))</f>
        <v>11</v>
      </c>
      <c r="CK1576" s="53" t="n">
        <f aca="false">IFERROR(IF(OR(CB1576=1,CB1576=2,CB1576=3),N(INDEX(Parameter!$I$5:$I$7,CB1576)),0),0)</f>
        <v>0</v>
      </c>
      <c r="CL1576" s="52" t="n">
        <f aca="false">IF(AND(Parameter!$B$21="Ja",ISNUMBER(W1576),N(X1576)&gt;0),IFERROR(N(INDEX(Parameter!$L$5:$L$7,W1576))*INDEX(Parameter!$E$5:$E$7,W1576)*X1576/SUMIFS($X$7:$X$1843,$W$7:$W$1843,W1576),0),0)</f>
        <v>0</v>
      </c>
    </row>
    <row r="1577" customFormat="false" ht="15" hidden="false" customHeight="false" outlineLevel="0" collapsed="false">
      <c r="A1577" s="48" t="s">
        <v>2758</v>
      </c>
      <c r="B1577" s="48" t="s">
        <v>2759</v>
      </c>
      <c r="C1577" s="48" t="s">
        <v>168</v>
      </c>
      <c r="D1577" s="48" t="s">
        <v>177</v>
      </c>
      <c r="E1577" s="48" t="s">
        <v>189</v>
      </c>
      <c r="F1577" s="48"/>
      <c r="G1577" s="49" t="n">
        <v>1.52</v>
      </c>
      <c r="H1577" s="50" t="n">
        <f aca="false">MAX(0,IF(AND(Parameter!$B$21="Ja",ISNUMBER(Y1577)),Y1577,IF(Parameter!$B$20="Jahresanfang 2025 + Export",BO1577+BN1577,BN1577)))</f>
        <v>1150</v>
      </c>
      <c r="I1577" s="50" t="n">
        <f aca="false">H1577*G1577</f>
        <v>1748</v>
      </c>
      <c r="J1577" s="50" t="n">
        <f aca="false">BQ1577*Parameter!$B$18</f>
        <v>0</v>
      </c>
      <c r="K1577" s="51"/>
      <c r="L1577" s="52"/>
      <c r="M1577" s="50" t="n">
        <v>0</v>
      </c>
      <c r="N1577" s="50" t="n">
        <v>1000</v>
      </c>
      <c r="O1577" s="53" t="n">
        <v>42</v>
      </c>
      <c r="P1577" s="48" t="s">
        <v>172</v>
      </c>
      <c r="Q1577" s="50"/>
      <c r="R1577" s="53" t="n">
        <f aca="false">IF(BW1577=1,0,IFERROR(VLOOKUP(BU1577,'Gebinde-Kategorie'!$A$5:$N$45,13,0)+0,0))</f>
        <v>12</v>
      </c>
      <c r="S1577" s="54"/>
      <c r="T1577" s="55" t="s">
        <v>183</v>
      </c>
      <c r="U1577" s="55"/>
      <c r="V1577" s="55"/>
      <c r="W1577" s="48"/>
      <c r="X1577" s="50"/>
      <c r="Y1577" s="50"/>
      <c r="Z1577" s="48" t="n">
        <f aca="false">IF(A1577="","",IF(AND(Parameter!$B$21="Ja",ISNUMBER(W1577)),W1577,IF(BZ1577="2+3",IF(ISNUMBER(SEARCH("grosser Artikel",BR1577)),2,IFERROR(VLOOKUP(BU1577,Parameter!$F$35:$G$64,2,0),2)),IF(OR(BZ1577="Nein",BZ1577=""),"-",BZ1577))))</f>
        <v>2</v>
      </c>
      <c r="AA1577" s="55"/>
      <c r="AB1577" s="56"/>
      <c r="AC1577" s="50" t="n">
        <f aca="false">AT1577</f>
        <v>1150</v>
      </c>
      <c r="AD1577" s="50" t="n">
        <f aca="false">MAX(AT1577,H1577)</f>
        <v>1150</v>
      </c>
      <c r="AE1577" s="57"/>
      <c r="AF1577" s="50" t="n">
        <f aca="false">IF(LEFT(Cockpit!$C$5,1)="A",H1577,IF(CE1577=1,CF1577,IF(LEFT(Cockpit!$C$5,1)="B",AK1577,MAX(AK1577,H1577))))</f>
        <v>1150</v>
      </c>
      <c r="AG1577" s="50" t="n">
        <f aca="false">IF(BW1577=1,0,ROUNDUP(AF1577/BV1577,0))</f>
        <v>1</v>
      </c>
      <c r="AH1577" s="52" t="n">
        <f aca="false">IF(CL1577&gt;0,CL1577*MAX(1,AF1577/X1577),IF(BW1577=1,IF(AF1577&lt;=0,0,CA1577*MAX(1,IF(H1577&gt;0,AF1577/H1577,1))),IF(R1577&gt;0,AG1577/R1577,0))/MAX(0.1,N(Parameter!$M$21)))</f>
        <v>0.0833333333333333</v>
      </c>
      <c r="AI1577" s="50" t="n">
        <f aca="false">AH1577*BY1577</f>
        <v>12.0833333333333</v>
      </c>
      <c r="AJ1577" s="50" t="n">
        <f aca="false">AF1577*G1577</f>
        <v>1748</v>
      </c>
      <c r="AK1577" s="50" t="n">
        <f aca="false">ROUNDUP(MAX(J1577/IF(CD1577&gt;0,CD1577,MAX(0.1,N(Cockpit!$C$6))),CG1577)/BV1577,0)*BV1577</f>
        <v>1150</v>
      </c>
      <c r="AL1577" s="51" t="n">
        <f aca="false">IF(AI1577&gt;0,J1577/AI1577,-1)</f>
        <v>0</v>
      </c>
      <c r="AM1577" s="51" t="n">
        <f aca="false">IF(AND(OR(CC1577="L1",CC1577="L23",CC1577="LIFT"),AI1577&gt;0),SUMIFS($AI$7:$AI$1843,$CC$7:$CC$1843,CC1577,$AL$7:$AL$1843,"&gt;"&amp;AL1577)+SUMIFS($AI$7:$AI$1843,$CC$7:$CC$1843,CC1577,$AL$7:$AL$1843,AL1577,$BT$7:$BT$1843,"&lt;="&amp;BT1577),"")</f>
        <v>30408.9298001904</v>
      </c>
      <c r="AN1577" s="58" t="n">
        <f aca="false">IF(AM1577="",0,MAX(0,MIN(1,(IF(CC1577="L1",Parameter!$H$5,IF(CC1577="L23",Parameter!$H$6+Parameter!$H$7,Parameter!$H$5+Parameter!$H$6+Parameter!$H$7))-(AM1577-AI1577))/AI1577)))</f>
        <v>1</v>
      </c>
      <c r="AO1577" s="50" t="n">
        <f aca="false">IF(LEFT(Cockpit!$I$5,1)="A",H1577,IF(CE1577=1,CF1577,IF(LEFT(Cockpit!$I$5,1)="B",AT1577,MAX(AT1577,H1577))))</f>
        <v>1150</v>
      </c>
      <c r="AP1577" s="50" t="n">
        <f aca="false">IF(BW1577=1,0,ROUNDUP(AO1577/BV1577,0))</f>
        <v>1</v>
      </c>
      <c r="AQ1577" s="52" t="n">
        <f aca="false">IF(CL1577&gt;0,CL1577*MAX(1,AO1577/X1577),IF(BW1577=1,IF(AO1577&lt;=0,0,CA1577*MAX(1,IF(H1577&gt;0,AO1577/H1577,1))),IF(R1577&gt;0,AP1577/R1577,0))/MAX(0.1,N(Parameter!$M$21)))</f>
        <v>0.0833333333333333</v>
      </c>
      <c r="AR1577" s="50" t="n">
        <f aca="false">AQ1577*BY1577</f>
        <v>12.0833333333333</v>
      </c>
      <c r="AS1577" s="50" t="n">
        <f aca="false">AO1577*G1577</f>
        <v>1748</v>
      </c>
      <c r="AT1577" s="50" t="n">
        <f aca="false">ROUNDUP(MAX(J1577/IF(CD1577&gt;0,CD1577,MAX(0.1,N(Cockpit!$I$6))),CG1577)/BV1577,0)*BV1577</f>
        <v>1150</v>
      </c>
      <c r="AU1577" s="51" t="n">
        <f aca="false">IF(AR1577&gt;0,J1577/AR1577,-1)</f>
        <v>0</v>
      </c>
      <c r="AV1577" s="51" t="n">
        <f aca="false">IF(AND(OR(CC1577="L1",CC1577="L23",CC1577="LIFT"),AR1577&gt;0),SUMIFS($AR$7:$AR$1843,$CC$7:$CC$1843,CC1577,$AU$7:$AU$1843,"&gt;"&amp;AU1577)+SUMIFS($AR$7:$AR$1843,$CC$7:$CC$1843,CC1577,$AU$7:$AU$1843,AU1577,$BT$7:$BT$1843,"&lt;="&amp;BT1577),"")</f>
        <v>42770.8321123321</v>
      </c>
      <c r="AW1577" s="58" t="n">
        <f aca="false">IF(AV1577="",0,MAX(0,MIN(1,(IF(CC1577="L1",Parameter!$H$5,IF(CC1577="L23",Parameter!$H$6+Parameter!$H$7,Parameter!$H$5+Parameter!$H$6+Parameter!$H$7))-(AV1577-AR1577))/AR1577)))</f>
        <v>0</v>
      </c>
      <c r="AX1577" s="50" t="n">
        <f aca="false">IF(LEFT(Cockpit!$O$5,1)="A",H1577,IF(CE1577=1,CF1577,IF(LEFT(Cockpit!$O$5,1)="B",BC1577,MAX(BC1577,H1577))))</f>
        <v>1150</v>
      </c>
      <c r="AY1577" s="50" t="n">
        <f aca="false">IF(BW1577=1,0,ROUNDUP(AX1577/BV1577,0))</f>
        <v>1</v>
      </c>
      <c r="AZ1577" s="52" t="n">
        <f aca="false">IF(CL1577&gt;0,CL1577*MAX(1,AX1577/X1577),IF(BW1577=1,IF(AX1577&lt;=0,0,CA1577*MAX(1,IF(H1577&gt;0,AX1577/H1577,1))),IF(R1577&gt;0,AY1577/R1577,0))/MAX(0.1,N(Parameter!$M$21)))</f>
        <v>0.0833333333333333</v>
      </c>
      <c r="BA1577" s="50" t="n">
        <f aca="false">AZ1577*BY1577</f>
        <v>12.0833333333333</v>
      </c>
      <c r="BB1577" s="50" t="n">
        <f aca="false">AX1577*G1577</f>
        <v>1748</v>
      </c>
      <c r="BC1577" s="50" t="n">
        <f aca="false">ROUNDUP(MAX(J1577/IF(CD1577&gt;0,CD1577,MAX(0.1,N(Cockpit!$O$6))),CG1577)/BV1577,0)*BV1577</f>
        <v>1150</v>
      </c>
      <c r="BD1577" s="51" t="n">
        <f aca="false">IF(BA1577&gt;0,J1577/BA1577,-1)</f>
        <v>0</v>
      </c>
      <c r="BE1577" s="51" t="n">
        <f aca="false">IF(AND(OR(CC1577="L1",CC1577="L23",CC1577="LIFT"),BA1577&gt;0),SUMIFS($BA$7:$BA$1843,$CC$7:$CC$1843,CC1577,$BD$7:$BD$1843,"&gt;"&amp;BD1577)+SUMIFS($BA$7:$BA$1843,$CC$7:$CC$1843,CC1577,$BD$7:$BD$1843,BD1577,$BT$7:$BT$1843,"&lt;="&amp;BT1577),"")</f>
        <v>39445.844154198</v>
      </c>
      <c r="BF1577" s="58" t="n">
        <f aca="false">IF(BE1577="",0,MAX(0,MIN(1,(IF(CC1577="L1",Parameter!$H$5,IF(CC1577="L23",Parameter!$H$6+Parameter!$H$7,Parameter!$H$5+Parameter!$H$6+Parameter!$H$7))-(BE1577-BA1577))/BA1577)))</f>
        <v>0</v>
      </c>
      <c r="BG1577" s="48" t="str">
        <f aca="false">IF(AI1577&lt;=0,"",IF(CC1577="Aussen","Aussenlager",IF(CC1577="-","Nicht im Lift",IF(AN1577&gt;=1,"Lift",IF(AN1577&lt;=0,"Aussenlager","teilweise")))))</f>
        <v>Lift</v>
      </c>
      <c r="BH1577" s="48" t="str">
        <f aca="false">IF(AR1577&lt;=0,"",IF(CC1577="Aussen","Aussenlager",IF(CC1577="-","Nicht im Lift",IF(AW1577&gt;=1,"Lift",IF(AW1577&lt;=0,"Aussenlager","teilweise")))))</f>
        <v>Aussenlager</v>
      </c>
      <c r="BI1577" s="48" t="str">
        <f aca="false">IF(BA1577&lt;=0,"",IF(CC1577="Aussen","Aussenlager",IF(CC1577="-","Nicht im Lift",IF(BF1577&gt;=1,"Lift",IF(BF1577&lt;=0,"Aussenlager","teilweise")))))</f>
        <v>Aussenlager</v>
      </c>
      <c r="BJ1577" s="48" t="str">
        <f aca="false">IF(A1577="","",IF(BS1577=1,"Neu; ","")&amp;IF(AND(BS1577=0,BN1577&lt;0),"negativer Bestand (Export "&amp;BN1577&amp;"); ","")&amp;IF(J1577&lt;=0,"Kein Verbrauch; ","")&amp;IF(CL1577&gt;0,"Lift "&amp;W1577&amp;" lt. Liftbericht (Fach "&amp;X1577&amp;" Stk); ",IF(BX1577=1,"Gebinde geschätzt ("&amp;T1577&amp;"); ",IF(BW1577=1,"Lose – Tablare geschätzt; ","")))&amp;IF(H1577&gt;AT1577,"Überbestand "&amp;ROUND(H1577-AT1577,0)&amp;" Stk / CHF "&amp;ROUND((H1577-AT1577)*G1577,0)&amp;"; ","")&amp;IF(AND(CE1577=1,CF1577&lt;CG1577),"MAX &lt; MB+LG; ","")&amp;IF(AND(CK1577&gt;0,CJ1577*10&gt;CK1577),"zu hoch für Tablar; ","")&amp;IF(AND(BS1577=0,OR(CE1577=1,AA1577&lt;&gt;"",U1577&lt;&gt;"",V1577&lt;&gt;"",AB1577&lt;&gt;"")),"manuell übersteuert; ","")&amp;IF(AND(BW1577=0,R1577=0),"Gebinde unbekannt / Stellmass fehlt; ","")&amp;IF(AND(BW1577=0,N(V1577)&lt;=0,N(Q1577)&lt;=0),"Menge pro Gebinde fehlt (Ist = 1 Gebinde); ","")&amp;BR1577)</f>
        <v>Kein Verbrauch; Gebinde geschätzt (Mittel); Menge pro Gebinde fehlt (Ist = 1 Gebinde); nur im Artikelstamm (Bestand 23.06.2026); Überbestand; grosser Artikel &amp; nicht im KTL</v>
      </c>
      <c r="BK1577" s="48"/>
      <c r="BL1577" s="48"/>
      <c r="BM1577" s="55"/>
      <c r="BN1577" s="50" t="n">
        <v>1150</v>
      </c>
      <c r="BO1577" s="50" t="n">
        <v>0</v>
      </c>
      <c r="BP1577" s="49" t="n">
        <v>0</v>
      </c>
      <c r="BQ1577" s="50" t="n">
        <v>0</v>
      </c>
      <c r="BR1577" s="48" t="s">
        <v>2760</v>
      </c>
      <c r="BS1577" s="53" t="n">
        <v>0</v>
      </c>
      <c r="BT1577" s="53" t="n">
        <v>1577</v>
      </c>
      <c r="BU1577" s="48" t="str">
        <f aca="false">IF(U1577&lt;&gt;"",UPPER(TRIM(U1577)),IF(BX1577=1,UPPER(VLOOKUP(T1577,Parameter!$I$27:$K$29,2,0)),IF(P1577="","LOSE",P1577)))</f>
        <v>S61</v>
      </c>
      <c r="BV1577" s="50" t="n">
        <f aca="false">IF(BU1577="LOSE",1,IF(N(V1577)&gt;0,V1577,IF(BX1577=1,MAX(1,N(VLOOKUP(T1577,Parameter!$I$27:$K$29,3,0)),H1577,N(N1577)),IF(N(Q1577)&gt;0,Q1577,MAX(1,H1577)))))</f>
        <v>1150</v>
      </c>
      <c r="BW1577" s="53" t="n">
        <f aca="false">IF(BU1577="LOSE",1,0)</f>
        <v>0</v>
      </c>
      <c r="BX1577" s="53" t="n">
        <f aca="false">IF(AND(U1577="",OR(P1577="",P1577="LOSE"),T1577&lt;&gt;"",N(S1577)&lt;=0,ISNUMBER(MATCH(T1577,Parameter!$I$27:$I$29,0))),1,0)</f>
        <v>1</v>
      </c>
      <c r="BY1577" s="53" t="n">
        <f aca="false">IF(CL1577&gt;0,INDEX(Parameter!$H$5:$H$7,W1577)/INDEX(Parameter!$E$5:$E$7,W1577),IF(AND(BW1577=0,N(IFERROR(VLOOKUP(BU1577,'Gebinde-Kategorie'!$A$5:$N$45,14,0),0))&gt;0),VLOOKUP(BU1577,'Gebinde-Kategorie'!$A$5:$N$45,14,0)*10+Parameter!$M$23,Parameter!$M$24))</f>
        <v>145</v>
      </c>
      <c r="BZ1577" s="48" t="str">
        <f aca="false">IF(AND(Parameter!$B$19="Ja",E1577&lt;&gt;"",ISNUMBER(MATCH(E1577,Parameter!$I$35:$I$52,0))),VLOOKUP(E1577,Parameter!$I$35:$J$52,2,0),IFERROR(VLOOKUP(D1577,Parameter!$A$35:$C$64,2,0),"Nein"))</f>
        <v>2+3</v>
      </c>
      <c r="CA1577" s="52" t="n">
        <f aca="false">IF(BW1577=0,0,IF(N(S1577)&gt;0,S1577,IFERROR(VLOOKUP(D1577,Parameter!$A$35:$C$64,3,0)+0,0)))</f>
        <v>0</v>
      </c>
      <c r="CB1577" s="48" t="n">
        <f aca="false">IF(AA1577&lt;&gt;"",AA1577,Z1577)</f>
        <v>2</v>
      </c>
      <c r="CC1577" s="48" t="str">
        <f aca="false">IF(OR(CB1577=1,CB1577=2,CB1577=3),IF(Parameter!$E$27="Ja","LIFT",IF(CB1577=1,"L1","L23")),IF(CB1577="Aussen","Aussen","-"))</f>
        <v>LIFT</v>
      </c>
      <c r="CD1577" s="59" t="n">
        <f aca="false">IF(N(AB1577)&gt;0,AB1577,0)</f>
        <v>0</v>
      </c>
      <c r="CE1577" s="53" t="n">
        <f aca="false">IF(ISNUMBER(AE1577),1,0)</f>
        <v>0</v>
      </c>
      <c r="CF1577" s="50" t="n">
        <f aca="false">N(AE1577)</f>
        <v>0</v>
      </c>
      <c r="CG1577" s="50" t="n">
        <f aca="false">N(M1577)+N(N1577)</f>
        <v>1000</v>
      </c>
      <c r="CH1577" s="50" t="n">
        <f aca="false">ROUNDUP(H1577/BV1577,0)</f>
        <v>1</v>
      </c>
      <c r="CI1577" s="50" t="n">
        <f aca="false">ROUNDUP(CF1577/BV1577,0)</f>
        <v>0</v>
      </c>
      <c r="CJ1577" s="53" t="n">
        <f aca="false">IF(BW1577=1,0,IFERROR(VLOOKUP(BU1577,'Gebinde-Kategorie'!$A$5:$N$45,5,0)+0,0))</f>
        <v>11</v>
      </c>
      <c r="CK1577" s="53" t="n">
        <f aca="false">IFERROR(IF(OR(CB1577=1,CB1577=2,CB1577=3),N(INDEX(Parameter!$I$5:$I$7,CB1577)),0),0)</f>
        <v>0</v>
      </c>
      <c r="CL1577" s="52" t="n">
        <f aca="false">IF(AND(Parameter!$B$21="Ja",ISNUMBER(W1577),N(X1577)&gt;0),IFERROR(N(INDEX(Parameter!$L$5:$L$7,W1577))*INDEX(Parameter!$E$5:$E$7,W1577)*X1577/SUMIFS($X$7:$X$1843,$W$7:$W$1843,W1577),0),0)</f>
        <v>0</v>
      </c>
    </row>
    <row r="1578" customFormat="false" ht="15" hidden="false" customHeight="false" outlineLevel="0" collapsed="false">
      <c r="A1578" s="48" t="s">
        <v>2761</v>
      </c>
      <c r="B1578" s="48" t="s">
        <v>2428</v>
      </c>
      <c r="C1578" s="48" t="s">
        <v>168</v>
      </c>
      <c r="D1578" s="48" t="s">
        <v>177</v>
      </c>
      <c r="E1578" s="48" t="s">
        <v>170</v>
      </c>
      <c r="F1578" s="48"/>
      <c r="G1578" s="49" t="n">
        <v>1090</v>
      </c>
      <c r="H1578" s="50" t="n">
        <f aca="false">MAX(0,IF(AND(Parameter!$B$21="Ja",ISNUMBER(Y1578)),Y1578,IF(Parameter!$B$20="Jahresanfang 2025 + Export",BO1578+BN1578,BN1578)))</f>
        <v>2</v>
      </c>
      <c r="I1578" s="50" t="n">
        <f aca="false">H1578*G1578</f>
        <v>2180</v>
      </c>
      <c r="J1578" s="50" t="n">
        <f aca="false">BQ1578*Parameter!$B$18</f>
        <v>0</v>
      </c>
      <c r="K1578" s="51"/>
      <c r="L1578" s="52"/>
      <c r="M1578" s="50" t="n">
        <v>1</v>
      </c>
      <c r="N1578" s="50" t="n">
        <v>1</v>
      </c>
      <c r="O1578" s="53" t="n">
        <v>0</v>
      </c>
      <c r="P1578" s="48" t="s">
        <v>172</v>
      </c>
      <c r="Q1578" s="50"/>
      <c r="R1578" s="53" t="n">
        <f aca="false">IF(BW1578=1,0,IFERROR(VLOOKUP(BU1578,'Gebinde-Kategorie'!$A$5:$N$45,13,0)+0,0))</f>
        <v>0</v>
      </c>
      <c r="S1578" s="54"/>
      <c r="T1578" s="55"/>
      <c r="U1578" s="55"/>
      <c r="V1578" s="55"/>
      <c r="W1578" s="48" t="n">
        <v>1</v>
      </c>
      <c r="X1578" s="50" t="n">
        <v>2</v>
      </c>
      <c r="Y1578" s="50" t="n">
        <v>2</v>
      </c>
      <c r="Z1578" s="48" t="n">
        <f aca="false">IF(A1578="","",IF(AND(Parameter!$B$21="Ja",ISNUMBER(W1578)),W1578,IF(BZ1578="2+3",IF(ISNUMBER(SEARCH("grosser Artikel",BR1578)),2,IFERROR(VLOOKUP(BU1578,Parameter!$F$35:$G$64,2,0),2)),IF(OR(BZ1578="Nein",BZ1578=""),"-",BZ1578))))</f>
        <v>1</v>
      </c>
      <c r="AA1578" s="55"/>
      <c r="AB1578" s="56"/>
      <c r="AC1578" s="50" t="n">
        <f aca="false">AT1578</f>
        <v>2</v>
      </c>
      <c r="AD1578" s="50" t="n">
        <f aca="false">MAX(AT1578,H1578)</f>
        <v>2</v>
      </c>
      <c r="AE1578" s="57"/>
      <c r="AF1578" s="50" t="n">
        <f aca="false">IF(LEFT(Cockpit!$C$5,1)="A",H1578,IF(CE1578=1,CF1578,IF(LEFT(Cockpit!$C$5,1)="B",AK1578,MAX(AK1578,H1578))))</f>
        <v>2</v>
      </c>
      <c r="AG1578" s="50" t="n">
        <f aca="false">IF(BW1578=1,0,ROUNDUP(AF1578/BV1578,0))</f>
        <v>0</v>
      </c>
      <c r="AH1578" s="52" t="n">
        <f aca="false">IF(CL1578&gt;0,CL1578*MAX(1,AF1578/X1578),IF(BW1578=1,IF(AF1578&lt;=0,0,CA1578*MAX(1,IF(H1578&gt;0,AF1578/H1578,1))),IF(R1578&gt;0,AG1578/R1578,0))/MAX(0.1,N(Parameter!$M$21)))</f>
        <v>0.160075329566855</v>
      </c>
      <c r="AI1578" s="50" t="n">
        <f aca="false">AH1578*BY1578</f>
        <v>38.0979284369115</v>
      </c>
      <c r="AJ1578" s="50" t="n">
        <f aca="false">AF1578*G1578</f>
        <v>2180</v>
      </c>
      <c r="AK1578" s="50" t="n">
        <f aca="false">ROUNDUP(MAX(J1578/IF(CD1578&gt;0,CD1578,MAX(0.1,N(Cockpit!$C$6))),CG1578)/BV1578,0)*BV1578</f>
        <v>2</v>
      </c>
      <c r="AL1578" s="51" t="n">
        <f aca="false">IF(AI1578&gt;0,J1578/AI1578,-1)</f>
        <v>0</v>
      </c>
      <c r="AM1578" s="51" t="n">
        <f aca="false">IF(AND(OR(CC1578="L1",CC1578="L23",CC1578="LIFT"),AI1578&gt;0),SUMIFS($AI$7:$AI$1843,$CC$7:$CC$1843,CC1578,$AL$7:$AL$1843,"&gt;"&amp;AL1578)+SUMIFS($AI$7:$AI$1843,$CC$7:$CC$1843,CC1578,$AL$7:$AL$1843,AL1578,$BT$7:$BT$1843,"&lt;="&amp;BT1578),"")</f>
        <v>30447.0277286273</v>
      </c>
      <c r="AN1578" s="58" t="n">
        <f aca="false">IF(AM1578="",0,MAX(0,MIN(1,(IF(CC1578="L1",Parameter!$H$5,IF(CC1578="L23",Parameter!$H$6+Parameter!$H$7,Parameter!$H$5+Parameter!$H$6+Parameter!$H$7))-(AM1578-AI1578))/AI1578)))</f>
        <v>1</v>
      </c>
      <c r="AO1578" s="50" t="n">
        <f aca="false">IF(LEFT(Cockpit!$I$5,1)="A",H1578,IF(CE1578=1,CF1578,IF(LEFT(Cockpit!$I$5,1)="B",AT1578,MAX(AT1578,H1578))))</f>
        <v>2</v>
      </c>
      <c r="AP1578" s="50" t="n">
        <f aca="false">IF(BW1578=1,0,ROUNDUP(AO1578/BV1578,0))</f>
        <v>0</v>
      </c>
      <c r="AQ1578" s="52" t="n">
        <f aca="false">IF(CL1578&gt;0,CL1578*MAX(1,AO1578/X1578),IF(BW1578=1,IF(AO1578&lt;=0,0,CA1578*MAX(1,IF(H1578&gt;0,AO1578/H1578,1))),IF(R1578&gt;0,AP1578/R1578,0))/MAX(0.1,N(Parameter!$M$21)))</f>
        <v>0.160075329566855</v>
      </c>
      <c r="AR1578" s="50" t="n">
        <f aca="false">AQ1578*BY1578</f>
        <v>38.0979284369115</v>
      </c>
      <c r="AS1578" s="50" t="n">
        <f aca="false">AO1578*G1578</f>
        <v>2180</v>
      </c>
      <c r="AT1578" s="50" t="n">
        <f aca="false">ROUNDUP(MAX(J1578/IF(CD1578&gt;0,CD1578,MAX(0.1,N(Cockpit!$I$6))),CG1578)/BV1578,0)*BV1578</f>
        <v>2</v>
      </c>
      <c r="AU1578" s="51" t="n">
        <f aca="false">IF(AR1578&gt;0,J1578/AR1578,-1)</f>
        <v>0</v>
      </c>
      <c r="AV1578" s="51" t="n">
        <f aca="false">IF(AND(OR(CC1578="L1",CC1578="L23",CC1578="LIFT"),AR1578&gt;0),SUMIFS($AR$7:$AR$1843,$CC$7:$CC$1843,CC1578,$AU$7:$AU$1843,"&gt;"&amp;AU1578)+SUMIFS($AR$7:$AR$1843,$CC$7:$CC$1843,CC1578,$AU$7:$AU$1843,AU1578,$BT$7:$BT$1843,"&lt;="&amp;BT1578),"")</f>
        <v>42808.930040769</v>
      </c>
      <c r="AW1578" s="58" t="n">
        <f aca="false">IF(AV1578="",0,MAX(0,MIN(1,(IF(CC1578="L1",Parameter!$H$5,IF(CC1578="L23",Parameter!$H$6+Parameter!$H$7,Parameter!$H$5+Parameter!$H$6+Parameter!$H$7))-(AV1578-AR1578))/AR1578)))</f>
        <v>0</v>
      </c>
      <c r="AX1578" s="50" t="n">
        <f aca="false">IF(LEFT(Cockpit!$O$5,1)="A",H1578,IF(CE1578=1,CF1578,IF(LEFT(Cockpit!$O$5,1)="B",BC1578,MAX(BC1578,H1578))))</f>
        <v>2</v>
      </c>
      <c r="AY1578" s="50" t="n">
        <f aca="false">IF(BW1578=1,0,ROUNDUP(AX1578/BV1578,0))</f>
        <v>0</v>
      </c>
      <c r="AZ1578" s="52" t="n">
        <f aca="false">IF(CL1578&gt;0,CL1578*MAX(1,AX1578/X1578),IF(BW1578=1,IF(AX1578&lt;=0,0,CA1578*MAX(1,IF(H1578&gt;0,AX1578/H1578,1))),IF(R1578&gt;0,AY1578/R1578,0))/MAX(0.1,N(Parameter!$M$21)))</f>
        <v>0.160075329566855</v>
      </c>
      <c r="BA1578" s="50" t="n">
        <f aca="false">AZ1578*BY1578</f>
        <v>38.0979284369115</v>
      </c>
      <c r="BB1578" s="50" t="n">
        <f aca="false">AX1578*G1578</f>
        <v>2180</v>
      </c>
      <c r="BC1578" s="50" t="n">
        <f aca="false">ROUNDUP(MAX(J1578/IF(CD1578&gt;0,CD1578,MAX(0.1,N(Cockpit!$O$6))),CG1578)/BV1578,0)*BV1578</f>
        <v>2</v>
      </c>
      <c r="BD1578" s="51" t="n">
        <f aca="false">IF(BA1578&gt;0,J1578/BA1578,-1)</f>
        <v>0</v>
      </c>
      <c r="BE1578" s="51" t="n">
        <f aca="false">IF(AND(OR(CC1578="L1",CC1578="L23",CC1578="LIFT"),BA1578&gt;0),SUMIFS($BA$7:$BA$1843,$CC$7:$CC$1843,CC1578,$BD$7:$BD$1843,"&gt;"&amp;BD1578)+SUMIFS($BA$7:$BA$1843,$CC$7:$CC$1843,CC1578,$BD$7:$BD$1843,BD1578,$BT$7:$BT$1843,"&lt;="&amp;BT1578),"")</f>
        <v>39483.9420826349</v>
      </c>
      <c r="BF1578" s="58" t="n">
        <f aca="false">IF(BE1578="",0,MAX(0,MIN(1,(IF(CC1578="L1",Parameter!$H$5,IF(CC1578="L23",Parameter!$H$6+Parameter!$H$7,Parameter!$H$5+Parameter!$H$6+Parameter!$H$7))-(BE1578-BA1578))/BA1578)))</f>
        <v>0</v>
      </c>
      <c r="BG1578" s="48" t="str">
        <f aca="false">IF(AI1578&lt;=0,"",IF(CC1578="Aussen","Aussenlager",IF(CC1578="-","Nicht im Lift",IF(AN1578&gt;=1,"Lift",IF(AN1578&lt;=0,"Aussenlager","teilweise")))))</f>
        <v>Lift</v>
      </c>
      <c r="BH1578" s="48" t="str">
        <f aca="false">IF(AR1578&lt;=0,"",IF(CC1578="Aussen","Aussenlager",IF(CC1578="-","Nicht im Lift",IF(AW1578&gt;=1,"Lift",IF(AW1578&lt;=0,"Aussenlager","teilweise")))))</f>
        <v>Aussenlager</v>
      </c>
      <c r="BI1578" s="48" t="str">
        <f aca="false">IF(BA1578&lt;=0,"",IF(CC1578="Aussen","Aussenlager",IF(CC1578="-","Nicht im Lift",IF(BF1578&gt;=1,"Lift",IF(BF1578&lt;=0,"Aussenlager","teilweise")))))</f>
        <v>Aussenlager</v>
      </c>
      <c r="BJ1578" s="48" t="str">
        <f aca="false">IF(A1578="","",IF(BS1578=1,"Neu; ","")&amp;IF(AND(BS1578=0,BN1578&lt;0),"negativer Bestand (Export "&amp;BN1578&amp;"); ","")&amp;IF(J1578&lt;=0,"Kein Verbrauch; ","")&amp;IF(CL1578&gt;0,"Lift "&amp;W1578&amp;" lt. Liftbericht (Fach "&amp;X1578&amp;" Stk); ",IF(BX1578=1,"Gebinde geschätzt ("&amp;T1578&amp;"); ",IF(BW1578=1,"Lose – Tablare geschätzt; ","")))&amp;IF(H1578&gt;AT1578,"Überbestand "&amp;ROUND(H1578-AT1578,0)&amp;" Stk / CHF "&amp;ROUND((H1578-AT1578)*G1578,0)&amp;"; ","")&amp;IF(AND(CE1578=1,CF1578&lt;CG1578),"MAX &lt; MB+LG; ","")&amp;IF(AND(CK1578&gt;0,CJ1578*10&gt;CK1578),"zu hoch für Tablar; ","")&amp;IF(AND(BS1578=0,OR(CE1578=1,AA1578&lt;&gt;"",U1578&lt;&gt;"",V1578&lt;&gt;"",AB1578&lt;&gt;"")),"manuell übersteuert; ","")&amp;IF(AND(BW1578=0,R1578=0),"Gebinde unbekannt / Stellmass fehlt; ","")&amp;IF(AND(BW1578=0,N(V1578)&lt;=0,N(Q1578)&lt;=0),"Menge pro Gebinde fehlt (Ist = 1 Gebinde); ","")&amp;BR1578)</f>
        <v>Kein Verbrauch; Lift 1 lt. Liftbericht (Fach 2 Stk); nur im Artikelstamm (Bestand 23.06.2026)</v>
      </c>
      <c r="BK1578" s="48"/>
      <c r="BL1578" s="48"/>
      <c r="BM1578" s="55"/>
      <c r="BN1578" s="50" t="n">
        <v>2</v>
      </c>
      <c r="BO1578" s="50" t="n">
        <v>0</v>
      </c>
      <c r="BP1578" s="49" t="n">
        <v>0</v>
      </c>
      <c r="BQ1578" s="50" t="n">
        <v>0</v>
      </c>
      <c r="BR1578" s="48" t="s">
        <v>2579</v>
      </c>
      <c r="BS1578" s="53" t="n">
        <v>0</v>
      </c>
      <c r="BT1578" s="53" t="n">
        <v>1578</v>
      </c>
      <c r="BU1578" s="48" t="str">
        <f aca="false">IF(U1578&lt;&gt;"",UPPER(TRIM(U1578)),IF(BX1578=1,UPPER(VLOOKUP(T1578,Parameter!$I$27:$K$29,2,0)),IF(P1578="","LOSE",P1578)))</f>
        <v>LOSE</v>
      </c>
      <c r="BV1578" s="50" t="n">
        <f aca="false">IF(BU1578="LOSE",1,IF(N(V1578)&gt;0,V1578,IF(BX1578=1,MAX(1,N(VLOOKUP(T1578,Parameter!$I$27:$K$29,3,0)),H1578,N(N1578)),IF(N(Q1578)&gt;0,Q1578,MAX(1,H1578)))))</f>
        <v>1</v>
      </c>
      <c r="BW1578" s="53" t="n">
        <f aca="false">IF(BU1578="LOSE",1,0)</f>
        <v>1</v>
      </c>
      <c r="BX1578" s="53" t="n">
        <f aca="false">IF(AND(U1578="",OR(P1578="",P1578="LOSE"),T1578&lt;&gt;"",N(S1578)&lt;=0,ISNUMBER(MATCH(T1578,Parameter!$I$27:$I$29,0))),1,0)</f>
        <v>0</v>
      </c>
      <c r="BY1578" s="53" t="n">
        <f aca="false">IF(CL1578&gt;0,INDEX(Parameter!$H$5:$H$7,W1578)/INDEX(Parameter!$E$5:$E$7,W1578),IF(AND(BW1578=0,N(IFERROR(VLOOKUP(BU1578,'Gebinde-Kategorie'!$A$5:$N$45,14,0),0))&gt;0),VLOOKUP(BU1578,'Gebinde-Kategorie'!$A$5:$N$45,14,0)*10+Parameter!$M$23,Parameter!$M$24))</f>
        <v>238</v>
      </c>
      <c r="BZ1578" s="48" t="n">
        <f aca="false">IF(AND(Parameter!$B$19="Ja",E1578&lt;&gt;"",ISNUMBER(MATCH(E1578,Parameter!$I$35:$I$52,0))),VLOOKUP(E1578,Parameter!$I$35:$J$52,2,0),IFERROR(VLOOKUP(D1578,Parameter!$A$35:$C$64,2,0),"Nein"))</f>
        <v>1</v>
      </c>
      <c r="CA1578" s="52" t="n">
        <f aca="false">IF(BW1578=0,0,IF(N(S1578)&gt;0,S1578,IFERROR(VLOOKUP(D1578,Parameter!$A$35:$C$64,3,0)+0,0)))</f>
        <v>0.15</v>
      </c>
      <c r="CB1578" s="48" t="n">
        <f aca="false">IF(AA1578&lt;&gt;"",AA1578,Z1578)</f>
        <v>1</v>
      </c>
      <c r="CC1578" s="48" t="str">
        <f aca="false">IF(OR(CB1578=1,CB1578=2,CB1578=3),IF(Parameter!$E$27="Ja","LIFT",IF(CB1578=1,"L1","L23")),IF(CB1578="Aussen","Aussen","-"))</f>
        <v>LIFT</v>
      </c>
      <c r="CD1578" s="59" t="n">
        <f aca="false">IF(N(AB1578)&gt;0,AB1578,0)</f>
        <v>0</v>
      </c>
      <c r="CE1578" s="53" t="n">
        <f aca="false">IF(ISNUMBER(AE1578),1,0)</f>
        <v>0</v>
      </c>
      <c r="CF1578" s="50" t="n">
        <f aca="false">N(AE1578)</f>
        <v>0</v>
      </c>
      <c r="CG1578" s="50" t="n">
        <f aca="false">N(M1578)+N(N1578)</f>
        <v>2</v>
      </c>
      <c r="CH1578" s="50" t="n">
        <f aca="false">ROUNDUP(H1578/BV1578,0)</f>
        <v>2</v>
      </c>
      <c r="CI1578" s="50" t="n">
        <f aca="false">ROUNDUP(CF1578/BV1578,0)</f>
        <v>0</v>
      </c>
      <c r="CJ1578" s="53" t="n">
        <f aca="false">IF(BW1578=1,0,IFERROR(VLOOKUP(BU1578,'Gebinde-Kategorie'!$A$5:$N$45,5,0)+0,0))</f>
        <v>0</v>
      </c>
      <c r="CK1578" s="53" t="n">
        <f aca="false">IFERROR(IF(OR(CB1578=1,CB1578=2,CB1578=3),N(INDEX(Parameter!$I$5:$I$7,CB1578)),0),0)</f>
        <v>0</v>
      </c>
      <c r="CL1578" s="52" t="n">
        <f aca="false">IF(AND(Parameter!$B$21="Ja",ISNUMBER(W1578),N(X1578)&gt;0),IFERROR(N(INDEX(Parameter!$L$5:$L$7,W1578))*INDEX(Parameter!$E$5:$E$7,W1578)*X1578/SUMIFS($X$7:$X$1843,$W$7:$W$1843,W1578),0),0)</f>
        <v>0.160075329566855</v>
      </c>
    </row>
    <row r="1579" customFormat="false" ht="15" hidden="false" customHeight="false" outlineLevel="0" collapsed="false">
      <c r="A1579" s="48" t="s">
        <v>2762</v>
      </c>
      <c r="B1579" s="48" t="s">
        <v>1147</v>
      </c>
      <c r="C1579" s="48" t="s">
        <v>168</v>
      </c>
      <c r="D1579" s="48" t="s">
        <v>188</v>
      </c>
      <c r="E1579" s="48"/>
      <c r="F1579" s="48"/>
      <c r="G1579" s="49" t="n">
        <v>28.7</v>
      </c>
      <c r="H1579" s="50" t="n">
        <f aca="false">MAX(0,IF(AND(Parameter!$B$21="Ja",ISNUMBER(Y1579)),Y1579,IF(Parameter!$B$20="Jahresanfang 2025 + Export",BO1579+BN1579,BN1579)))</f>
        <v>6</v>
      </c>
      <c r="I1579" s="50" t="n">
        <f aca="false">H1579*G1579</f>
        <v>172.2</v>
      </c>
      <c r="J1579" s="50" t="n">
        <f aca="false">BQ1579*Parameter!$B$18</f>
        <v>0</v>
      </c>
      <c r="K1579" s="51"/>
      <c r="L1579" s="52"/>
      <c r="M1579" s="50" t="n">
        <v>0</v>
      </c>
      <c r="N1579" s="50" t="n">
        <v>3</v>
      </c>
      <c r="O1579" s="53" t="n">
        <v>0</v>
      </c>
      <c r="P1579" s="48" t="s">
        <v>172</v>
      </c>
      <c r="Q1579" s="50"/>
      <c r="R1579" s="53" t="n">
        <f aca="false">IF(BW1579=1,0,IFERROR(VLOOKUP(BU1579,'Gebinde-Kategorie'!$A$5:$N$45,13,0)+0,0))</f>
        <v>26</v>
      </c>
      <c r="S1579" s="54"/>
      <c r="T1579" s="55" t="s">
        <v>279</v>
      </c>
      <c r="U1579" s="55"/>
      <c r="V1579" s="55"/>
      <c r="W1579" s="48"/>
      <c r="X1579" s="50"/>
      <c r="Y1579" s="50"/>
      <c r="Z1579" s="48" t="n">
        <f aca="false">IF(A1579="","",IF(AND(Parameter!$B$21="Ja",ISNUMBER(W1579)),W1579,IF(BZ1579="2+3",IF(ISNUMBER(SEARCH("grosser Artikel",BR1579)),2,IFERROR(VLOOKUP(BU1579,Parameter!$F$35:$G$64,2,0),2)),IF(OR(BZ1579="Nein",BZ1579=""),"-",BZ1579))))</f>
        <v>3</v>
      </c>
      <c r="AA1579" s="55"/>
      <c r="AB1579" s="56"/>
      <c r="AC1579" s="50" t="n">
        <f aca="false">AT1579</f>
        <v>20</v>
      </c>
      <c r="AD1579" s="50" t="n">
        <f aca="false">MAX(AT1579,H1579)</f>
        <v>20</v>
      </c>
      <c r="AE1579" s="57"/>
      <c r="AF1579" s="50" t="n">
        <f aca="false">IF(LEFT(Cockpit!$C$5,1)="A",H1579,IF(CE1579=1,CF1579,IF(LEFT(Cockpit!$C$5,1)="B",AK1579,MAX(AK1579,H1579))))</f>
        <v>6</v>
      </c>
      <c r="AG1579" s="50" t="n">
        <f aca="false">IF(BW1579=1,0,ROUNDUP(AF1579/BV1579,0))</f>
        <v>1</v>
      </c>
      <c r="AH1579" s="52" t="n">
        <f aca="false">IF(CL1579&gt;0,CL1579*MAX(1,AF1579/X1579),IF(BW1579=1,IF(AF1579&lt;=0,0,CA1579*MAX(1,IF(H1579&gt;0,AF1579/H1579,1))),IF(R1579&gt;0,AG1579/R1579,0))/MAX(0.1,N(Parameter!$M$21)))</f>
        <v>0.0384615384615385</v>
      </c>
      <c r="AI1579" s="50" t="n">
        <f aca="false">AH1579*BY1579</f>
        <v>5.96153846153846</v>
      </c>
      <c r="AJ1579" s="50" t="n">
        <f aca="false">AF1579*G1579</f>
        <v>172.2</v>
      </c>
      <c r="AK1579" s="50" t="n">
        <f aca="false">ROUNDUP(MAX(J1579/IF(CD1579&gt;0,CD1579,MAX(0.1,N(Cockpit!$C$6))),CG1579)/BV1579,0)*BV1579</f>
        <v>20</v>
      </c>
      <c r="AL1579" s="51" t="n">
        <f aca="false">IF(AI1579&gt;0,J1579/AI1579,-1)</f>
        <v>0</v>
      </c>
      <c r="AM1579" s="51" t="n">
        <f aca="false">IF(AND(OR(CC1579="L1",CC1579="L23",CC1579="LIFT"),AI1579&gt;0),SUMIFS($AI$7:$AI$1843,$CC$7:$CC$1843,CC1579,$AL$7:$AL$1843,"&gt;"&amp;AL1579)+SUMIFS($AI$7:$AI$1843,$CC$7:$CC$1843,CC1579,$AL$7:$AL$1843,AL1579,$BT$7:$BT$1843,"&lt;="&amp;BT1579),"")</f>
        <v>30452.9892670888</v>
      </c>
      <c r="AN1579" s="58" t="n">
        <f aca="false">IF(AM1579="",0,MAX(0,MIN(1,(IF(CC1579="L1",Parameter!$H$5,IF(CC1579="L23",Parameter!$H$6+Parameter!$H$7,Parameter!$H$5+Parameter!$H$6+Parameter!$H$7))-(AM1579-AI1579))/AI1579)))</f>
        <v>1</v>
      </c>
      <c r="AO1579" s="50" t="n">
        <f aca="false">IF(LEFT(Cockpit!$I$5,1)="A",H1579,IF(CE1579=1,CF1579,IF(LEFT(Cockpit!$I$5,1)="B",AT1579,MAX(AT1579,H1579))))</f>
        <v>20</v>
      </c>
      <c r="AP1579" s="50" t="n">
        <f aca="false">IF(BW1579=1,0,ROUNDUP(AO1579/BV1579,0))</f>
        <v>1</v>
      </c>
      <c r="AQ1579" s="52" t="n">
        <f aca="false">IF(CL1579&gt;0,CL1579*MAX(1,AO1579/X1579),IF(BW1579=1,IF(AO1579&lt;=0,0,CA1579*MAX(1,IF(H1579&gt;0,AO1579/H1579,1))),IF(R1579&gt;0,AP1579/R1579,0))/MAX(0.1,N(Parameter!$M$21)))</f>
        <v>0.0384615384615385</v>
      </c>
      <c r="AR1579" s="50" t="n">
        <f aca="false">AQ1579*BY1579</f>
        <v>5.96153846153846</v>
      </c>
      <c r="AS1579" s="50" t="n">
        <f aca="false">AO1579*G1579</f>
        <v>574</v>
      </c>
      <c r="AT1579" s="50" t="n">
        <f aca="false">ROUNDUP(MAX(J1579/IF(CD1579&gt;0,CD1579,MAX(0.1,N(Cockpit!$I$6))),CG1579)/BV1579,0)*BV1579</f>
        <v>20</v>
      </c>
      <c r="AU1579" s="51" t="n">
        <f aca="false">IF(AR1579&gt;0,J1579/AR1579,-1)</f>
        <v>0</v>
      </c>
      <c r="AV1579" s="51" t="n">
        <f aca="false">IF(AND(OR(CC1579="L1",CC1579="L23",CC1579="LIFT"),AR1579&gt;0),SUMIFS($AR$7:$AR$1843,$CC$7:$CC$1843,CC1579,$AU$7:$AU$1843,"&gt;"&amp;AU1579)+SUMIFS($AR$7:$AR$1843,$CC$7:$CC$1843,CC1579,$AU$7:$AU$1843,AU1579,$BT$7:$BT$1843,"&lt;="&amp;BT1579),"")</f>
        <v>42814.8915792306</v>
      </c>
      <c r="AW1579" s="58" t="n">
        <f aca="false">IF(AV1579="",0,MAX(0,MIN(1,(IF(CC1579="L1",Parameter!$H$5,IF(CC1579="L23",Parameter!$H$6+Parameter!$H$7,Parameter!$H$5+Parameter!$H$6+Parameter!$H$7))-(AV1579-AR1579))/AR1579)))</f>
        <v>0</v>
      </c>
      <c r="AX1579" s="50" t="n">
        <f aca="false">IF(LEFT(Cockpit!$O$5,1)="A",H1579,IF(CE1579=1,CF1579,IF(LEFT(Cockpit!$O$5,1)="B",BC1579,MAX(BC1579,H1579))))</f>
        <v>20</v>
      </c>
      <c r="AY1579" s="50" t="n">
        <f aca="false">IF(BW1579=1,0,ROUNDUP(AX1579/BV1579,0))</f>
        <v>1</v>
      </c>
      <c r="AZ1579" s="52" t="n">
        <f aca="false">IF(CL1579&gt;0,CL1579*MAX(1,AX1579/X1579),IF(BW1579=1,IF(AX1579&lt;=0,0,CA1579*MAX(1,IF(H1579&gt;0,AX1579/H1579,1))),IF(R1579&gt;0,AY1579/R1579,0))/MAX(0.1,N(Parameter!$M$21)))</f>
        <v>0.0384615384615385</v>
      </c>
      <c r="BA1579" s="50" t="n">
        <f aca="false">AZ1579*BY1579</f>
        <v>5.96153846153846</v>
      </c>
      <c r="BB1579" s="50" t="n">
        <f aca="false">AX1579*G1579</f>
        <v>574</v>
      </c>
      <c r="BC1579" s="50" t="n">
        <f aca="false">ROUNDUP(MAX(J1579/IF(CD1579&gt;0,CD1579,MAX(0.1,N(Cockpit!$O$6))),CG1579)/BV1579,0)*BV1579</f>
        <v>20</v>
      </c>
      <c r="BD1579" s="51" t="n">
        <f aca="false">IF(BA1579&gt;0,J1579/BA1579,-1)</f>
        <v>0</v>
      </c>
      <c r="BE1579" s="51" t="n">
        <f aca="false">IF(AND(OR(CC1579="L1",CC1579="L23",CC1579="LIFT"),BA1579&gt;0),SUMIFS($BA$7:$BA$1843,$CC$7:$CC$1843,CC1579,$BD$7:$BD$1843,"&gt;"&amp;BD1579)+SUMIFS($BA$7:$BA$1843,$CC$7:$CC$1843,CC1579,$BD$7:$BD$1843,BD1579,$BT$7:$BT$1843,"&lt;="&amp;BT1579),"")</f>
        <v>39489.9036210964</v>
      </c>
      <c r="BF1579" s="58" t="n">
        <f aca="false">IF(BE1579="",0,MAX(0,MIN(1,(IF(CC1579="L1",Parameter!$H$5,IF(CC1579="L23",Parameter!$H$6+Parameter!$H$7,Parameter!$H$5+Parameter!$H$6+Parameter!$H$7))-(BE1579-BA1579))/BA1579)))</f>
        <v>0</v>
      </c>
      <c r="BG1579" s="48" t="str">
        <f aca="false">IF(AI1579&lt;=0,"",IF(CC1579="Aussen","Aussenlager",IF(CC1579="-","Nicht im Lift",IF(AN1579&gt;=1,"Lift",IF(AN1579&lt;=0,"Aussenlager","teilweise")))))</f>
        <v>Lift</v>
      </c>
      <c r="BH1579" s="48" t="str">
        <f aca="false">IF(AR1579&lt;=0,"",IF(CC1579="Aussen","Aussenlager",IF(CC1579="-","Nicht im Lift",IF(AW1579&gt;=1,"Lift",IF(AW1579&lt;=0,"Aussenlager","teilweise")))))</f>
        <v>Aussenlager</v>
      </c>
      <c r="BI1579" s="48" t="str">
        <f aca="false">IF(BA1579&lt;=0,"",IF(CC1579="Aussen","Aussenlager",IF(CC1579="-","Nicht im Lift",IF(BF1579&gt;=1,"Lift",IF(BF1579&lt;=0,"Aussenlager","teilweise")))))</f>
        <v>Aussenlager</v>
      </c>
      <c r="BJ1579" s="48" t="str">
        <f aca="false">IF(A1579="","",IF(BS1579=1,"Neu; ","")&amp;IF(AND(BS1579=0,BN1579&lt;0),"negativer Bestand (Export "&amp;BN1579&amp;"); ","")&amp;IF(J1579&lt;=0,"Kein Verbrauch; ","")&amp;IF(CL1579&gt;0,"Lift "&amp;W1579&amp;" lt. Liftbericht (Fach "&amp;X1579&amp;" Stk); ",IF(BX1579=1,"Gebinde geschätzt ("&amp;T1579&amp;"); ",IF(BW1579=1,"Lose – Tablare geschätzt; ","")))&amp;IF(H1579&gt;AT1579,"Überbestand "&amp;ROUND(H1579-AT1579,0)&amp;" Stk / CHF "&amp;ROUND((H1579-AT1579)*G1579,0)&amp;"; ","")&amp;IF(AND(CE1579=1,CF1579&lt;CG1579),"MAX &lt; MB+LG; ","")&amp;IF(AND(CK1579&gt;0,CJ1579*10&gt;CK1579),"zu hoch für Tablar; ","")&amp;IF(AND(BS1579=0,OR(CE1579=1,AA1579&lt;&gt;"",U1579&lt;&gt;"",V1579&lt;&gt;"",AB1579&lt;&gt;"")),"manuell übersteuert; ","")&amp;IF(AND(BW1579=0,R1579=0),"Gebinde unbekannt / Stellmass fehlt; ","")&amp;IF(AND(BW1579=0,N(V1579)&lt;=0,N(Q1579)&lt;=0),"Menge pro Gebinde fehlt (Ist = 1 Gebinde); ","")&amp;BR1579)</f>
        <v>Kein Verbrauch; Gebinde geschätzt (Klein); Menge pro Gebinde fehlt (Ist = 1 Gebinde); nur im Artikelstamm (Bestand 23.06.2026)</v>
      </c>
      <c r="BK1579" s="48"/>
      <c r="BL1579" s="48"/>
      <c r="BM1579" s="55"/>
      <c r="BN1579" s="50" t="n">
        <v>6</v>
      </c>
      <c r="BO1579" s="50" t="n">
        <v>0</v>
      </c>
      <c r="BP1579" s="49" t="n">
        <v>0</v>
      </c>
      <c r="BQ1579" s="50" t="n">
        <v>0</v>
      </c>
      <c r="BR1579" s="48" t="s">
        <v>2579</v>
      </c>
      <c r="BS1579" s="53" t="n">
        <v>0</v>
      </c>
      <c r="BT1579" s="53" t="n">
        <v>1579</v>
      </c>
      <c r="BU1579" s="48" t="str">
        <f aca="false">IF(U1579&lt;&gt;"",UPPER(TRIM(U1579)),IF(BX1579=1,UPPER(VLOOKUP(T1579,Parameter!$I$27:$K$29,2,0)),IF(P1579="","LOSE",P1579)))</f>
        <v>S51</v>
      </c>
      <c r="BV1579" s="50" t="n">
        <f aca="false">IF(BU1579="LOSE",1,IF(N(V1579)&gt;0,V1579,IF(BX1579=1,MAX(1,N(VLOOKUP(T1579,Parameter!$I$27:$K$29,3,0)),H1579,N(N1579)),IF(N(Q1579)&gt;0,Q1579,MAX(1,H1579)))))</f>
        <v>20</v>
      </c>
      <c r="BW1579" s="53" t="n">
        <f aca="false">IF(BU1579="LOSE",1,0)</f>
        <v>0</v>
      </c>
      <c r="BX1579" s="53" t="n">
        <f aca="false">IF(AND(U1579="",OR(P1579="",P1579="LOSE"),T1579&lt;&gt;"",N(S1579)&lt;=0,ISNUMBER(MATCH(T1579,Parameter!$I$27:$I$29,0))),1,0)</f>
        <v>1</v>
      </c>
      <c r="BY1579" s="53" t="n">
        <f aca="false">IF(CL1579&gt;0,INDEX(Parameter!$H$5:$H$7,W1579)/INDEX(Parameter!$E$5:$E$7,W1579),IF(AND(BW1579=0,N(IFERROR(VLOOKUP(BU1579,'Gebinde-Kategorie'!$A$5:$N$45,14,0),0))&gt;0),VLOOKUP(BU1579,'Gebinde-Kategorie'!$A$5:$N$45,14,0)*10+Parameter!$M$23,Parameter!$M$24))</f>
        <v>155</v>
      </c>
      <c r="BZ1579" s="48" t="str">
        <f aca="false">IF(AND(Parameter!$B$19="Ja",E1579&lt;&gt;"",ISNUMBER(MATCH(E1579,Parameter!$I$35:$I$52,0))),VLOOKUP(E1579,Parameter!$I$35:$J$52,2,0),IFERROR(VLOOKUP(D1579,Parameter!$A$35:$C$64,2,0),"Nein"))</f>
        <v>2+3</v>
      </c>
      <c r="CA1579" s="52" t="n">
        <f aca="false">IF(BW1579=0,0,IF(N(S1579)&gt;0,S1579,IFERROR(VLOOKUP(D1579,Parameter!$A$35:$C$64,3,0)+0,0)))</f>
        <v>0</v>
      </c>
      <c r="CB1579" s="48" t="n">
        <f aca="false">IF(AA1579&lt;&gt;"",AA1579,Z1579)</f>
        <v>3</v>
      </c>
      <c r="CC1579" s="48" t="str">
        <f aca="false">IF(OR(CB1579=1,CB1579=2,CB1579=3),IF(Parameter!$E$27="Ja","LIFT",IF(CB1579=1,"L1","L23")),IF(CB1579="Aussen","Aussen","-"))</f>
        <v>LIFT</v>
      </c>
      <c r="CD1579" s="59" t="n">
        <f aca="false">IF(N(AB1579)&gt;0,AB1579,0)</f>
        <v>0</v>
      </c>
      <c r="CE1579" s="53" t="n">
        <f aca="false">IF(ISNUMBER(AE1579),1,0)</f>
        <v>0</v>
      </c>
      <c r="CF1579" s="50" t="n">
        <f aca="false">N(AE1579)</f>
        <v>0</v>
      </c>
      <c r="CG1579" s="50" t="n">
        <f aca="false">N(M1579)+N(N1579)</f>
        <v>3</v>
      </c>
      <c r="CH1579" s="50" t="n">
        <f aca="false">ROUNDUP(H1579/BV1579,0)</f>
        <v>1</v>
      </c>
      <c r="CI1579" s="50" t="n">
        <f aca="false">ROUNDUP(CF1579/BV1579,0)</f>
        <v>0</v>
      </c>
      <c r="CJ1579" s="53" t="n">
        <f aca="false">IF(BW1579=1,0,IFERROR(VLOOKUP(BU1579,'Gebinde-Kategorie'!$A$5:$N$45,5,0)+0,0))</f>
        <v>11</v>
      </c>
      <c r="CK1579" s="53" t="n">
        <f aca="false">IFERROR(IF(OR(CB1579=1,CB1579=2,CB1579=3),N(INDEX(Parameter!$I$5:$I$7,CB1579)),0),0)</f>
        <v>0</v>
      </c>
      <c r="CL1579" s="52" t="n">
        <f aca="false">IF(AND(Parameter!$B$21="Ja",ISNUMBER(W1579),N(X1579)&gt;0),IFERROR(N(INDEX(Parameter!$L$5:$L$7,W1579))*INDEX(Parameter!$E$5:$E$7,W1579)*X1579/SUMIFS($X$7:$X$1843,$W$7:$W$1843,W1579),0),0)</f>
        <v>0</v>
      </c>
    </row>
    <row r="1580" customFormat="false" ht="15" hidden="false" customHeight="false" outlineLevel="0" collapsed="false">
      <c r="A1580" s="48" t="s">
        <v>2763</v>
      </c>
      <c r="B1580" s="48" t="s">
        <v>2764</v>
      </c>
      <c r="C1580" s="48" t="s">
        <v>168</v>
      </c>
      <c r="D1580" s="48" t="s">
        <v>188</v>
      </c>
      <c r="E1580" s="48"/>
      <c r="F1580" s="48"/>
      <c r="G1580" s="49" t="n">
        <v>58.6</v>
      </c>
      <c r="H1580" s="50" t="n">
        <f aca="false">MAX(0,IF(AND(Parameter!$B$21="Ja",ISNUMBER(Y1580)),Y1580,IF(Parameter!$B$20="Jahresanfang 2025 + Export",BO1580+BN1580,BN1580)))</f>
        <v>3</v>
      </c>
      <c r="I1580" s="50" t="n">
        <f aca="false">H1580*G1580</f>
        <v>175.8</v>
      </c>
      <c r="J1580" s="50" t="n">
        <f aca="false">BQ1580*Parameter!$B$18</f>
        <v>0</v>
      </c>
      <c r="K1580" s="51"/>
      <c r="L1580" s="52"/>
      <c r="M1580" s="50" t="n">
        <v>0</v>
      </c>
      <c r="N1580" s="50" t="n">
        <v>1</v>
      </c>
      <c r="O1580" s="53" t="n">
        <v>0</v>
      </c>
      <c r="P1580" s="48" t="s">
        <v>172</v>
      </c>
      <c r="Q1580" s="50"/>
      <c r="R1580" s="53" t="n">
        <f aca="false">IF(BW1580=1,0,IFERROR(VLOOKUP(BU1580,'Gebinde-Kategorie'!$A$5:$N$45,13,0)+0,0))</f>
        <v>26</v>
      </c>
      <c r="S1580" s="54"/>
      <c r="T1580" s="55" t="s">
        <v>279</v>
      </c>
      <c r="U1580" s="55"/>
      <c r="V1580" s="55"/>
      <c r="W1580" s="48"/>
      <c r="X1580" s="50"/>
      <c r="Y1580" s="50"/>
      <c r="Z1580" s="48" t="n">
        <f aca="false">IF(A1580="","",IF(AND(Parameter!$B$21="Ja",ISNUMBER(W1580)),W1580,IF(BZ1580="2+3",IF(ISNUMBER(SEARCH("grosser Artikel",BR1580)),2,IFERROR(VLOOKUP(BU1580,Parameter!$F$35:$G$64,2,0),2)),IF(OR(BZ1580="Nein",BZ1580=""),"-",BZ1580))))</f>
        <v>3</v>
      </c>
      <c r="AA1580" s="55"/>
      <c r="AB1580" s="56"/>
      <c r="AC1580" s="50" t="n">
        <f aca="false">AT1580</f>
        <v>20</v>
      </c>
      <c r="AD1580" s="50" t="n">
        <f aca="false">MAX(AT1580,H1580)</f>
        <v>20</v>
      </c>
      <c r="AE1580" s="57"/>
      <c r="AF1580" s="50" t="n">
        <f aca="false">IF(LEFT(Cockpit!$C$5,1)="A",H1580,IF(CE1580=1,CF1580,IF(LEFT(Cockpit!$C$5,1)="B",AK1580,MAX(AK1580,H1580))))</f>
        <v>3</v>
      </c>
      <c r="AG1580" s="50" t="n">
        <f aca="false">IF(BW1580=1,0,ROUNDUP(AF1580/BV1580,0))</f>
        <v>1</v>
      </c>
      <c r="AH1580" s="52" t="n">
        <f aca="false">IF(CL1580&gt;0,CL1580*MAX(1,AF1580/X1580),IF(BW1580=1,IF(AF1580&lt;=0,0,CA1580*MAX(1,IF(H1580&gt;0,AF1580/H1580,1))),IF(R1580&gt;0,AG1580/R1580,0))/MAX(0.1,N(Parameter!$M$21)))</f>
        <v>0.0384615384615385</v>
      </c>
      <c r="AI1580" s="50" t="n">
        <f aca="false">AH1580*BY1580</f>
        <v>5.96153846153846</v>
      </c>
      <c r="AJ1580" s="50" t="n">
        <f aca="false">AF1580*G1580</f>
        <v>175.8</v>
      </c>
      <c r="AK1580" s="50" t="n">
        <f aca="false">ROUNDUP(MAX(J1580/IF(CD1580&gt;0,CD1580,MAX(0.1,N(Cockpit!$C$6))),CG1580)/BV1580,0)*BV1580</f>
        <v>20</v>
      </c>
      <c r="AL1580" s="51" t="n">
        <f aca="false">IF(AI1580&gt;0,J1580/AI1580,-1)</f>
        <v>0</v>
      </c>
      <c r="AM1580" s="51" t="n">
        <f aca="false">IF(AND(OR(CC1580="L1",CC1580="L23",CC1580="LIFT"),AI1580&gt;0),SUMIFS($AI$7:$AI$1843,$CC$7:$CC$1843,CC1580,$AL$7:$AL$1843,"&gt;"&amp;AL1580)+SUMIFS($AI$7:$AI$1843,$CC$7:$CC$1843,CC1580,$AL$7:$AL$1843,AL1580,$BT$7:$BT$1843,"&lt;="&amp;BT1580),"")</f>
        <v>30458.9508055504</v>
      </c>
      <c r="AN1580" s="58" t="n">
        <f aca="false">IF(AM1580="",0,MAX(0,MIN(1,(IF(CC1580="L1",Parameter!$H$5,IF(CC1580="L23",Parameter!$H$6+Parameter!$H$7,Parameter!$H$5+Parameter!$H$6+Parameter!$H$7))-(AM1580-AI1580))/AI1580)))</f>
        <v>1</v>
      </c>
      <c r="AO1580" s="50" t="n">
        <f aca="false">IF(LEFT(Cockpit!$I$5,1)="A",H1580,IF(CE1580=1,CF1580,IF(LEFT(Cockpit!$I$5,1)="B",AT1580,MAX(AT1580,H1580))))</f>
        <v>20</v>
      </c>
      <c r="AP1580" s="50" t="n">
        <f aca="false">IF(BW1580=1,0,ROUNDUP(AO1580/BV1580,0))</f>
        <v>1</v>
      </c>
      <c r="AQ1580" s="52" t="n">
        <f aca="false">IF(CL1580&gt;0,CL1580*MAX(1,AO1580/X1580),IF(BW1580=1,IF(AO1580&lt;=0,0,CA1580*MAX(1,IF(H1580&gt;0,AO1580/H1580,1))),IF(R1580&gt;0,AP1580/R1580,0))/MAX(0.1,N(Parameter!$M$21)))</f>
        <v>0.0384615384615385</v>
      </c>
      <c r="AR1580" s="50" t="n">
        <f aca="false">AQ1580*BY1580</f>
        <v>5.96153846153846</v>
      </c>
      <c r="AS1580" s="50" t="n">
        <f aca="false">AO1580*G1580</f>
        <v>1172</v>
      </c>
      <c r="AT1580" s="50" t="n">
        <f aca="false">ROUNDUP(MAX(J1580/IF(CD1580&gt;0,CD1580,MAX(0.1,N(Cockpit!$I$6))),CG1580)/BV1580,0)*BV1580</f>
        <v>20</v>
      </c>
      <c r="AU1580" s="51" t="n">
        <f aca="false">IF(AR1580&gt;0,J1580/AR1580,-1)</f>
        <v>0</v>
      </c>
      <c r="AV1580" s="51" t="n">
        <f aca="false">IF(AND(OR(CC1580="L1",CC1580="L23",CC1580="LIFT"),AR1580&gt;0),SUMIFS($AR$7:$AR$1843,$CC$7:$CC$1843,CC1580,$AU$7:$AU$1843,"&gt;"&amp;AU1580)+SUMIFS($AR$7:$AR$1843,$CC$7:$CC$1843,CC1580,$AU$7:$AU$1843,AU1580,$BT$7:$BT$1843,"&lt;="&amp;BT1580),"")</f>
        <v>42820.8531176921</v>
      </c>
      <c r="AW1580" s="58" t="n">
        <f aca="false">IF(AV1580="",0,MAX(0,MIN(1,(IF(CC1580="L1",Parameter!$H$5,IF(CC1580="L23",Parameter!$H$6+Parameter!$H$7,Parameter!$H$5+Parameter!$H$6+Parameter!$H$7))-(AV1580-AR1580))/AR1580)))</f>
        <v>0</v>
      </c>
      <c r="AX1580" s="50" t="n">
        <f aca="false">IF(LEFT(Cockpit!$O$5,1)="A",H1580,IF(CE1580=1,CF1580,IF(LEFT(Cockpit!$O$5,1)="B",BC1580,MAX(BC1580,H1580))))</f>
        <v>20</v>
      </c>
      <c r="AY1580" s="50" t="n">
        <f aca="false">IF(BW1580=1,0,ROUNDUP(AX1580/BV1580,0))</f>
        <v>1</v>
      </c>
      <c r="AZ1580" s="52" t="n">
        <f aca="false">IF(CL1580&gt;0,CL1580*MAX(1,AX1580/X1580),IF(BW1580=1,IF(AX1580&lt;=0,0,CA1580*MAX(1,IF(H1580&gt;0,AX1580/H1580,1))),IF(R1580&gt;0,AY1580/R1580,0))/MAX(0.1,N(Parameter!$M$21)))</f>
        <v>0.0384615384615385</v>
      </c>
      <c r="BA1580" s="50" t="n">
        <f aca="false">AZ1580*BY1580</f>
        <v>5.96153846153846</v>
      </c>
      <c r="BB1580" s="50" t="n">
        <f aca="false">AX1580*G1580</f>
        <v>1172</v>
      </c>
      <c r="BC1580" s="50" t="n">
        <f aca="false">ROUNDUP(MAX(J1580/IF(CD1580&gt;0,CD1580,MAX(0.1,N(Cockpit!$O$6))),CG1580)/BV1580,0)*BV1580</f>
        <v>20</v>
      </c>
      <c r="BD1580" s="51" t="n">
        <f aca="false">IF(BA1580&gt;0,J1580/BA1580,-1)</f>
        <v>0</v>
      </c>
      <c r="BE1580" s="51" t="n">
        <f aca="false">IF(AND(OR(CC1580="L1",CC1580="L23",CC1580="LIFT"),BA1580&gt;0),SUMIFS($BA$7:$BA$1843,$CC$7:$CC$1843,CC1580,$BD$7:$BD$1843,"&gt;"&amp;BD1580)+SUMIFS($BA$7:$BA$1843,$CC$7:$CC$1843,CC1580,$BD$7:$BD$1843,BD1580,$BT$7:$BT$1843,"&lt;="&amp;BT1580),"")</f>
        <v>39495.865159558</v>
      </c>
      <c r="BF1580" s="58" t="n">
        <f aca="false">IF(BE1580="",0,MAX(0,MIN(1,(IF(CC1580="L1",Parameter!$H$5,IF(CC1580="L23",Parameter!$H$6+Parameter!$H$7,Parameter!$H$5+Parameter!$H$6+Parameter!$H$7))-(BE1580-BA1580))/BA1580)))</f>
        <v>0</v>
      </c>
      <c r="BG1580" s="48" t="str">
        <f aca="false">IF(AI1580&lt;=0,"",IF(CC1580="Aussen","Aussenlager",IF(CC1580="-","Nicht im Lift",IF(AN1580&gt;=1,"Lift",IF(AN1580&lt;=0,"Aussenlager","teilweise")))))</f>
        <v>Lift</v>
      </c>
      <c r="BH1580" s="48" t="str">
        <f aca="false">IF(AR1580&lt;=0,"",IF(CC1580="Aussen","Aussenlager",IF(CC1580="-","Nicht im Lift",IF(AW1580&gt;=1,"Lift",IF(AW1580&lt;=0,"Aussenlager","teilweise")))))</f>
        <v>Aussenlager</v>
      </c>
      <c r="BI1580" s="48" t="str">
        <f aca="false">IF(BA1580&lt;=0,"",IF(CC1580="Aussen","Aussenlager",IF(CC1580="-","Nicht im Lift",IF(BF1580&gt;=1,"Lift",IF(BF1580&lt;=0,"Aussenlager","teilweise")))))</f>
        <v>Aussenlager</v>
      </c>
      <c r="BJ1580" s="48" t="str">
        <f aca="false">IF(A1580="","",IF(BS1580=1,"Neu; ","")&amp;IF(AND(BS1580=0,BN1580&lt;0),"negativer Bestand (Export "&amp;BN1580&amp;"); ","")&amp;IF(J1580&lt;=0,"Kein Verbrauch; ","")&amp;IF(CL1580&gt;0,"Lift "&amp;W1580&amp;" lt. Liftbericht (Fach "&amp;X1580&amp;" Stk); ",IF(BX1580=1,"Gebinde geschätzt ("&amp;T1580&amp;"); ",IF(BW1580=1,"Lose – Tablare geschätzt; ","")))&amp;IF(H1580&gt;AT1580,"Überbestand "&amp;ROUND(H1580-AT1580,0)&amp;" Stk / CHF "&amp;ROUND((H1580-AT1580)*G1580,0)&amp;"; ","")&amp;IF(AND(CE1580=1,CF1580&lt;CG1580),"MAX &lt; MB+LG; ","")&amp;IF(AND(CK1580&gt;0,CJ1580*10&gt;CK1580),"zu hoch für Tablar; ","")&amp;IF(AND(BS1580=0,OR(CE1580=1,AA1580&lt;&gt;"",U1580&lt;&gt;"",V1580&lt;&gt;"",AB1580&lt;&gt;"")),"manuell übersteuert; ","")&amp;IF(AND(BW1580=0,R1580=0),"Gebinde unbekannt / Stellmass fehlt; ","")&amp;IF(AND(BW1580=0,N(V1580)&lt;=0,N(Q1580)&lt;=0),"Menge pro Gebinde fehlt (Ist = 1 Gebinde); ","")&amp;BR1580)</f>
        <v>Kein Verbrauch; Gebinde geschätzt (Klein); Menge pro Gebinde fehlt (Ist = 1 Gebinde); nur im Artikelstamm (Bestand 23.06.2026); Überbestand</v>
      </c>
      <c r="BK1580" s="48"/>
      <c r="BL1580" s="48"/>
      <c r="BM1580" s="55"/>
      <c r="BN1580" s="50" t="n">
        <v>3</v>
      </c>
      <c r="BO1580" s="50" t="n">
        <v>0</v>
      </c>
      <c r="BP1580" s="49" t="n">
        <v>0</v>
      </c>
      <c r="BQ1580" s="50" t="n">
        <v>0</v>
      </c>
      <c r="BR1580" s="48" t="s">
        <v>2576</v>
      </c>
      <c r="BS1580" s="53" t="n">
        <v>0</v>
      </c>
      <c r="BT1580" s="53" t="n">
        <v>1580</v>
      </c>
      <c r="BU1580" s="48" t="str">
        <f aca="false">IF(U1580&lt;&gt;"",UPPER(TRIM(U1580)),IF(BX1580=1,UPPER(VLOOKUP(T1580,Parameter!$I$27:$K$29,2,0)),IF(P1580="","LOSE",P1580)))</f>
        <v>S51</v>
      </c>
      <c r="BV1580" s="50" t="n">
        <f aca="false">IF(BU1580="LOSE",1,IF(N(V1580)&gt;0,V1580,IF(BX1580=1,MAX(1,N(VLOOKUP(T1580,Parameter!$I$27:$K$29,3,0)),H1580,N(N1580)),IF(N(Q1580)&gt;0,Q1580,MAX(1,H1580)))))</f>
        <v>20</v>
      </c>
      <c r="BW1580" s="53" t="n">
        <f aca="false">IF(BU1580="LOSE",1,0)</f>
        <v>0</v>
      </c>
      <c r="BX1580" s="53" t="n">
        <f aca="false">IF(AND(U1580="",OR(P1580="",P1580="LOSE"),T1580&lt;&gt;"",N(S1580)&lt;=0,ISNUMBER(MATCH(T1580,Parameter!$I$27:$I$29,0))),1,0)</f>
        <v>1</v>
      </c>
      <c r="BY1580" s="53" t="n">
        <f aca="false">IF(CL1580&gt;0,INDEX(Parameter!$H$5:$H$7,W1580)/INDEX(Parameter!$E$5:$E$7,W1580),IF(AND(BW1580=0,N(IFERROR(VLOOKUP(BU1580,'Gebinde-Kategorie'!$A$5:$N$45,14,0),0))&gt;0),VLOOKUP(BU1580,'Gebinde-Kategorie'!$A$5:$N$45,14,0)*10+Parameter!$M$23,Parameter!$M$24))</f>
        <v>155</v>
      </c>
      <c r="BZ1580" s="48" t="str">
        <f aca="false">IF(AND(Parameter!$B$19="Ja",E1580&lt;&gt;"",ISNUMBER(MATCH(E1580,Parameter!$I$35:$I$52,0))),VLOOKUP(E1580,Parameter!$I$35:$J$52,2,0),IFERROR(VLOOKUP(D1580,Parameter!$A$35:$C$64,2,0),"Nein"))</f>
        <v>2+3</v>
      </c>
      <c r="CA1580" s="52" t="n">
        <f aca="false">IF(BW1580=0,0,IF(N(S1580)&gt;0,S1580,IFERROR(VLOOKUP(D1580,Parameter!$A$35:$C$64,3,0)+0,0)))</f>
        <v>0</v>
      </c>
      <c r="CB1580" s="48" t="n">
        <f aca="false">IF(AA1580&lt;&gt;"",AA1580,Z1580)</f>
        <v>3</v>
      </c>
      <c r="CC1580" s="48" t="str">
        <f aca="false">IF(OR(CB1580=1,CB1580=2,CB1580=3),IF(Parameter!$E$27="Ja","LIFT",IF(CB1580=1,"L1","L23")),IF(CB1580="Aussen","Aussen","-"))</f>
        <v>LIFT</v>
      </c>
      <c r="CD1580" s="59" t="n">
        <f aca="false">IF(N(AB1580)&gt;0,AB1580,0)</f>
        <v>0</v>
      </c>
      <c r="CE1580" s="53" t="n">
        <f aca="false">IF(ISNUMBER(AE1580),1,0)</f>
        <v>0</v>
      </c>
      <c r="CF1580" s="50" t="n">
        <f aca="false">N(AE1580)</f>
        <v>0</v>
      </c>
      <c r="CG1580" s="50" t="n">
        <f aca="false">N(M1580)+N(N1580)</f>
        <v>1</v>
      </c>
      <c r="CH1580" s="50" t="n">
        <f aca="false">ROUNDUP(H1580/BV1580,0)</f>
        <v>1</v>
      </c>
      <c r="CI1580" s="50" t="n">
        <f aca="false">ROUNDUP(CF1580/BV1580,0)</f>
        <v>0</v>
      </c>
      <c r="CJ1580" s="53" t="n">
        <f aca="false">IF(BW1580=1,0,IFERROR(VLOOKUP(BU1580,'Gebinde-Kategorie'!$A$5:$N$45,5,0)+0,0))</f>
        <v>11</v>
      </c>
      <c r="CK1580" s="53" t="n">
        <f aca="false">IFERROR(IF(OR(CB1580=1,CB1580=2,CB1580=3),N(INDEX(Parameter!$I$5:$I$7,CB1580)),0),0)</f>
        <v>0</v>
      </c>
      <c r="CL1580" s="52" t="n">
        <f aca="false">IF(AND(Parameter!$B$21="Ja",ISNUMBER(W1580),N(X1580)&gt;0),IFERROR(N(INDEX(Parameter!$L$5:$L$7,W1580))*INDEX(Parameter!$E$5:$E$7,W1580)*X1580/SUMIFS($X$7:$X$1843,$W$7:$W$1843,W1580),0),0)</f>
        <v>0</v>
      </c>
    </row>
    <row r="1581" customFormat="false" ht="15" hidden="false" customHeight="false" outlineLevel="0" collapsed="false">
      <c r="A1581" s="48" t="s">
        <v>2765</v>
      </c>
      <c r="B1581" s="48" t="s">
        <v>1824</v>
      </c>
      <c r="C1581" s="48" t="s">
        <v>168</v>
      </c>
      <c r="D1581" s="48" t="s">
        <v>177</v>
      </c>
      <c r="E1581" s="48"/>
      <c r="F1581" s="48"/>
      <c r="G1581" s="49" t="n">
        <v>8.7</v>
      </c>
      <c r="H1581" s="50" t="n">
        <f aca="false">MAX(0,IF(AND(Parameter!$B$21="Ja",ISNUMBER(Y1581)),Y1581,IF(Parameter!$B$20="Jahresanfang 2025 + Export",BO1581+BN1581,BN1581)))</f>
        <v>17</v>
      </c>
      <c r="I1581" s="50" t="n">
        <f aca="false">H1581*G1581</f>
        <v>147.9</v>
      </c>
      <c r="J1581" s="50" t="n">
        <f aca="false">BQ1581*Parameter!$B$18</f>
        <v>0</v>
      </c>
      <c r="K1581" s="51"/>
      <c r="L1581" s="52"/>
      <c r="M1581" s="50" t="n">
        <v>0</v>
      </c>
      <c r="N1581" s="50" t="n">
        <v>1</v>
      </c>
      <c r="O1581" s="53" t="n">
        <v>0</v>
      </c>
      <c r="P1581" s="48" t="s">
        <v>172</v>
      </c>
      <c r="Q1581" s="50"/>
      <c r="R1581" s="53" t="n">
        <f aca="false">IF(BW1581=1,0,IFERROR(VLOOKUP(BU1581,'Gebinde-Kategorie'!$A$5:$N$45,13,0)+0,0))</f>
        <v>12</v>
      </c>
      <c r="S1581" s="54"/>
      <c r="T1581" s="55" t="s">
        <v>183</v>
      </c>
      <c r="U1581" s="55"/>
      <c r="V1581" s="55"/>
      <c r="W1581" s="48"/>
      <c r="X1581" s="50"/>
      <c r="Y1581" s="50"/>
      <c r="Z1581" s="48" t="n">
        <f aca="false">IF(A1581="","",IF(AND(Parameter!$B$21="Ja",ISNUMBER(W1581)),W1581,IF(BZ1581="2+3",IF(ISNUMBER(SEARCH("grosser Artikel",BR1581)),2,IFERROR(VLOOKUP(BU1581,Parameter!$F$35:$G$64,2,0),2)),IF(OR(BZ1581="Nein",BZ1581=""),"-",BZ1581))))</f>
        <v>2</v>
      </c>
      <c r="AA1581" s="55"/>
      <c r="AB1581" s="56"/>
      <c r="AC1581" s="50" t="n">
        <f aca="false">AT1581</f>
        <v>17</v>
      </c>
      <c r="AD1581" s="50" t="n">
        <f aca="false">MAX(AT1581,H1581)</f>
        <v>17</v>
      </c>
      <c r="AE1581" s="57"/>
      <c r="AF1581" s="50" t="n">
        <f aca="false">IF(LEFT(Cockpit!$C$5,1)="A",H1581,IF(CE1581=1,CF1581,IF(LEFT(Cockpit!$C$5,1)="B",AK1581,MAX(AK1581,H1581))))</f>
        <v>17</v>
      </c>
      <c r="AG1581" s="50" t="n">
        <f aca="false">IF(BW1581=1,0,ROUNDUP(AF1581/BV1581,0))</f>
        <v>1</v>
      </c>
      <c r="AH1581" s="52" t="n">
        <f aca="false">IF(CL1581&gt;0,CL1581*MAX(1,AF1581/X1581),IF(BW1581=1,IF(AF1581&lt;=0,0,CA1581*MAX(1,IF(H1581&gt;0,AF1581/H1581,1))),IF(R1581&gt;0,AG1581/R1581,0))/MAX(0.1,N(Parameter!$M$21)))</f>
        <v>0.0833333333333333</v>
      </c>
      <c r="AI1581" s="50" t="n">
        <f aca="false">AH1581*BY1581</f>
        <v>12.0833333333333</v>
      </c>
      <c r="AJ1581" s="50" t="n">
        <f aca="false">AF1581*G1581</f>
        <v>147.9</v>
      </c>
      <c r="AK1581" s="50" t="n">
        <f aca="false">ROUNDUP(MAX(J1581/IF(CD1581&gt;0,CD1581,MAX(0.1,N(Cockpit!$C$6))),CG1581)/BV1581,0)*BV1581</f>
        <v>17</v>
      </c>
      <c r="AL1581" s="51" t="n">
        <f aca="false">IF(AI1581&gt;0,J1581/AI1581,-1)</f>
        <v>0</v>
      </c>
      <c r="AM1581" s="51" t="n">
        <f aca="false">IF(AND(OR(CC1581="L1",CC1581="L23",CC1581="LIFT"),AI1581&gt;0),SUMIFS($AI$7:$AI$1843,$CC$7:$CC$1843,CC1581,$AL$7:$AL$1843,"&gt;"&amp;AL1581)+SUMIFS($AI$7:$AI$1843,$CC$7:$CC$1843,CC1581,$AL$7:$AL$1843,AL1581,$BT$7:$BT$1843,"&lt;="&amp;BT1581),"")</f>
        <v>30471.0341388837</v>
      </c>
      <c r="AN1581" s="58" t="n">
        <f aca="false">IF(AM1581="",0,MAX(0,MIN(1,(IF(CC1581="L1",Parameter!$H$5,IF(CC1581="L23",Parameter!$H$6+Parameter!$H$7,Parameter!$H$5+Parameter!$H$6+Parameter!$H$7))-(AM1581-AI1581))/AI1581)))</f>
        <v>1</v>
      </c>
      <c r="AO1581" s="50" t="n">
        <f aca="false">IF(LEFT(Cockpit!$I$5,1)="A",H1581,IF(CE1581=1,CF1581,IF(LEFT(Cockpit!$I$5,1)="B",AT1581,MAX(AT1581,H1581))))</f>
        <v>17</v>
      </c>
      <c r="AP1581" s="50" t="n">
        <f aca="false">IF(BW1581=1,0,ROUNDUP(AO1581/BV1581,0))</f>
        <v>1</v>
      </c>
      <c r="AQ1581" s="52" t="n">
        <f aca="false">IF(CL1581&gt;0,CL1581*MAX(1,AO1581/X1581),IF(BW1581=1,IF(AO1581&lt;=0,0,CA1581*MAX(1,IF(H1581&gt;0,AO1581/H1581,1))),IF(R1581&gt;0,AP1581/R1581,0))/MAX(0.1,N(Parameter!$M$21)))</f>
        <v>0.0833333333333333</v>
      </c>
      <c r="AR1581" s="50" t="n">
        <f aca="false">AQ1581*BY1581</f>
        <v>12.0833333333333</v>
      </c>
      <c r="AS1581" s="50" t="n">
        <f aca="false">AO1581*G1581</f>
        <v>147.9</v>
      </c>
      <c r="AT1581" s="50" t="n">
        <f aca="false">ROUNDUP(MAX(J1581/IF(CD1581&gt;0,CD1581,MAX(0.1,N(Cockpit!$I$6))),CG1581)/BV1581,0)*BV1581</f>
        <v>17</v>
      </c>
      <c r="AU1581" s="51" t="n">
        <f aca="false">IF(AR1581&gt;0,J1581/AR1581,-1)</f>
        <v>0</v>
      </c>
      <c r="AV1581" s="51" t="n">
        <f aca="false">IF(AND(OR(CC1581="L1",CC1581="L23",CC1581="LIFT"),AR1581&gt;0),SUMIFS($AR$7:$AR$1843,$CC$7:$CC$1843,CC1581,$AU$7:$AU$1843,"&gt;"&amp;AU1581)+SUMIFS($AR$7:$AR$1843,$CC$7:$CC$1843,CC1581,$AU$7:$AU$1843,AU1581,$BT$7:$BT$1843,"&lt;="&amp;BT1581),"")</f>
        <v>42832.9364510254</v>
      </c>
      <c r="AW1581" s="58" t="n">
        <f aca="false">IF(AV1581="",0,MAX(0,MIN(1,(IF(CC1581="L1",Parameter!$H$5,IF(CC1581="L23",Parameter!$H$6+Parameter!$H$7,Parameter!$H$5+Parameter!$H$6+Parameter!$H$7))-(AV1581-AR1581))/AR1581)))</f>
        <v>0</v>
      </c>
      <c r="AX1581" s="50" t="n">
        <f aca="false">IF(LEFT(Cockpit!$O$5,1)="A",H1581,IF(CE1581=1,CF1581,IF(LEFT(Cockpit!$O$5,1)="B",BC1581,MAX(BC1581,H1581))))</f>
        <v>17</v>
      </c>
      <c r="AY1581" s="50" t="n">
        <f aca="false">IF(BW1581=1,0,ROUNDUP(AX1581/BV1581,0))</f>
        <v>1</v>
      </c>
      <c r="AZ1581" s="52" t="n">
        <f aca="false">IF(CL1581&gt;0,CL1581*MAX(1,AX1581/X1581),IF(BW1581=1,IF(AX1581&lt;=0,0,CA1581*MAX(1,IF(H1581&gt;0,AX1581/H1581,1))),IF(R1581&gt;0,AY1581/R1581,0))/MAX(0.1,N(Parameter!$M$21)))</f>
        <v>0.0833333333333333</v>
      </c>
      <c r="BA1581" s="50" t="n">
        <f aca="false">AZ1581*BY1581</f>
        <v>12.0833333333333</v>
      </c>
      <c r="BB1581" s="50" t="n">
        <f aca="false">AX1581*G1581</f>
        <v>147.9</v>
      </c>
      <c r="BC1581" s="50" t="n">
        <f aca="false">ROUNDUP(MAX(J1581/IF(CD1581&gt;0,CD1581,MAX(0.1,N(Cockpit!$O$6))),CG1581)/BV1581,0)*BV1581</f>
        <v>17</v>
      </c>
      <c r="BD1581" s="51" t="n">
        <f aca="false">IF(BA1581&gt;0,J1581/BA1581,-1)</f>
        <v>0</v>
      </c>
      <c r="BE1581" s="51" t="n">
        <f aca="false">IF(AND(OR(CC1581="L1",CC1581="L23",CC1581="LIFT"),BA1581&gt;0),SUMIFS($BA$7:$BA$1843,$CC$7:$CC$1843,CC1581,$BD$7:$BD$1843,"&gt;"&amp;BD1581)+SUMIFS($BA$7:$BA$1843,$CC$7:$CC$1843,CC1581,$BD$7:$BD$1843,BD1581,$BT$7:$BT$1843,"&lt;="&amp;BT1581),"")</f>
        <v>39507.9484928913</v>
      </c>
      <c r="BF1581" s="58" t="n">
        <f aca="false">IF(BE1581="",0,MAX(0,MIN(1,(IF(CC1581="L1",Parameter!$H$5,IF(CC1581="L23",Parameter!$H$6+Parameter!$H$7,Parameter!$H$5+Parameter!$H$6+Parameter!$H$7))-(BE1581-BA1581))/BA1581)))</f>
        <v>0</v>
      </c>
      <c r="BG1581" s="48" t="str">
        <f aca="false">IF(AI1581&lt;=0,"",IF(CC1581="Aussen","Aussenlager",IF(CC1581="-","Nicht im Lift",IF(AN1581&gt;=1,"Lift",IF(AN1581&lt;=0,"Aussenlager","teilweise")))))</f>
        <v>Lift</v>
      </c>
      <c r="BH1581" s="48" t="str">
        <f aca="false">IF(AR1581&lt;=0,"",IF(CC1581="Aussen","Aussenlager",IF(CC1581="-","Nicht im Lift",IF(AW1581&gt;=1,"Lift",IF(AW1581&lt;=0,"Aussenlager","teilweise")))))</f>
        <v>Aussenlager</v>
      </c>
      <c r="BI1581" s="48" t="str">
        <f aca="false">IF(BA1581&lt;=0,"",IF(CC1581="Aussen","Aussenlager",IF(CC1581="-","Nicht im Lift",IF(BF1581&gt;=1,"Lift",IF(BF1581&lt;=0,"Aussenlager","teilweise")))))</f>
        <v>Aussenlager</v>
      </c>
      <c r="BJ1581" s="48" t="str">
        <f aca="false">IF(A1581="","",IF(BS1581=1,"Neu; ","")&amp;IF(AND(BS1581=0,BN1581&lt;0),"negativer Bestand (Export "&amp;BN1581&amp;"); ","")&amp;IF(J1581&lt;=0,"Kein Verbrauch; ","")&amp;IF(CL1581&gt;0,"Lift "&amp;W1581&amp;" lt. Liftbericht (Fach "&amp;X1581&amp;" Stk); ",IF(BX1581=1,"Gebinde geschätzt ("&amp;T1581&amp;"); ",IF(BW1581=1,"Lose – Tablare geschätzt; ","")))&amp;IF(H1581&gt;AT1581,"Überbestand "&amp;ROUND(H1581-AT1581,0)&amp;" Stk / CHF "&amp;ROUND((H1581-AT1581)*G1581,0)&amp;"; ","")&amp;IF(AND(CE1581=1,CF1581&lt;CG1581),"MAX &lt; MB+LG; ","")&amp;IF(AND(CK1581&gt;0,CJ1581*10&gt;CK1581),"zu hoch für Tablar; ","")&amp;IF(AND(BS1581=0,OR(CE1581=1,AA1581&lt;&gt;"",U1581&lt;&gt;"",V1581&lt;&gt;"",AB1581&lt;&gt;"")),"manuell übersteuert; ","")&amp;IF(AND(BW1581=0,R1581=0),"Gebinde unbekannt / Stellmass fehlt; ","")&amp;IF(AND(BW1581=0,N(V1581)&lt;=0,N(Q1581)&lt;=0),"Menge pro Gebinde fehlt (Ist = 1 Gebinde); ","")&amp;BR1581)</f>
        <v>Kein Verbrauch; Gebinde geschätzt (Mittel); Menge pro Gebinde fehlt (Ist = 1 Gebinde); nur im Artikelstamm (Bestand 23.06.2026)</v>
      </c>
      <c r="BK1581" s="48"/>
      <c r="BL1581" s="48"/>
      <c r="BM1581" s="55"/>
      <c r="BN1581" s="50" t="n">
        <v>17</v>
      </c>
      <c r="BO1581" s="50" t="n">
        <v>0</v>
      </c>
      <c r="BP1581" s="49" t="n">
        <v>0</v>
      </c>
      <c r="BQ1581" s="50" t="n">
        <v>0</v>
      </c>
      <c r="BR1581" s="48" t="s">
        <v>2579</v>
      </c>
      <c r="BS1581" s="53" t="n">
        <v>0</v>
      </c>
      <c r="BT1581" s="53" t="n">
        <v>1581</v>
      </c>
      <c r="BU1581" s="48" t="str">
        <f aca="false">IF(U1581&lt;&gt;"",UPPER(TRIM(U1581)),IF(BX1581=1,UPPER(VLOOKUP(T1581,Parameter!$I$27:$K$29,2,0)),IF(P1581="","LOSE",P1581)))</f>
        <v>S61</v>
      </c>
      <c r="BV1581" s="50" t="n">
        <f aca="false">IF(BU1581="LOSE",1,IF(N(V1581)&gt;0,V1581,IF(BX1581=1,MAX(1,N(VLOOKUP(T1581,Parameter!$I$27:$K$29,3,0)),H1581,N(N1581)),IF(N(Q1581)&gt;0,Q1581,MAX(1,H1581)))))</f>
        <v>17</v>
      </c>
      <c r="BW1581" s="53" t="n">
        <f aca="false">IF(BU1581="LOSE",1,0)</f>
        <v>0</v>
      </c>
      <c r="BX1581" s="53" t="n">
        <f aca="false">IF(AND(U1581="",OR(P1581="",P1581="LOSE"),T1581&lt;&gt;"",N(S1581)&lt;=0,ISNUMBER(MATCH(T1581,Parameter!$I$27:$I$29,0))),1,0)</f>
        <v>1</v>
      </c>
      <c r="BY1581" s="53" t="n">
        <f aca="false">IF(CL1581&gt;0,INDEX(Parameter!$H$5:$H$7,W1581)/INDEX(Parameter!$E$5:$E$7,W1581),IF(AND(BW1581=0,N(IFERROR(VLOOKUP(BU1581,'Gebinde-Kategorie'!$A$5:$N$45,14,0),0))&gt;0),VLOOKUP(BU1581,'Gebinde-Kategorie'!$A$5:$N$45,14,0)*10+Parameter!$M$23,Parameter!$M$24))</f>
        <v>145</v>
      </c>
      <c r="BZ1581" s="48" t="str">
        <f aca="false">IF(AND(Parameter!$B$19="Ja",E1581&lt;&gt;"",ISNUMBER(MATCH(E1581,Parameter!$I$35:$I$52,0))),VLOOKUP(E1581,Parameter!$I$35:$J$52,2,0),IFERROR(VLOOKUP(D1581,Parameter!$A$35:$C$64,2,0),"Nein"))</f>
        <v>2+3</v>
      </c>
      <c r="CA1581" s="52" t="n">
        <f aca="false">IF(BW1581=0,0,IF(N(S1581)&gt;0,S1581,IFERROR(VLOOKUP(D1581,Parameter!$A$35:$C$64,3,0)+0,0)))</f>
        <v>0</v>
      </c>
      <c r="CB1581" s="48" t="n">
        <f aca="false">IF(AA1581&lt;&gt;"",AA1581,Z1581)</f>
        <v>2</v>
      </c>
      <c r="CC1581" s="48" t="str">
        <f aca="false">IF(OR(CB1581=1,CB1581=2,CB1581=3),IF(Parameter!$E$27="Ja","LIFT",IF(CB1581=1,"L1","L23")),IF(CB1581="Aussen","Aussen","-"))</f>
        <v>LIFT</v>
      </c>
      <c r="CD1581" s="59" t="n">
        <f aca="false">IF(N(AB1581)&gt;0,AB1581,0)</f>
        <v>0</v>
      </c>
      <c r="CE1581" s="53" t="n">
        <f aca="false">IF(ISNUMBER(AE1581),1,0)</f>
        <v>0</v>
      </c>
      <c r="CF1581" s="50" t="n">
        <f aca="false">N(AE1581)</f>
        <v>0</v>
      </c>
      <c r="CG1581" s="50" t="n">
        <f aca="false">N(M1581)+N(N1581)</f>
        <v>1</v>
      </c>
      <c r="CH1581" s="50" t="n">
        <f aca="false">ROUNDUP(H1581/BV1581,0)</f>
        <v>1</v>
      </c>
      <c r="CI1581" s="50" t="n">
        <f aca="false">ROUNDUP(CF1581/BV1581,0)</f>
        <v>0</v>
      </c>
      <c r="CJ1581" s="53" t="n">
        <f aca="false">IF(BW1581=1,0,IFERROR(VLOOKUP(BU1581,'Gebinde-Kategorie'!$A$5:$N$45,5,0)+0,0))</f>
        <v>11</v>
      </c>
      <c r="CK1581" s="53" t="n">
        <f aca="false">IFERROR(IF(OR(CB1581=1,CB1581=2,CB1581=3),N(INDEX(Parameter!$I$5:$I$7,CB1581)),0),0)</f>
        <v>0</v>
      </c>
      <c r="CL1581" s="52" t="n">
        <f aca="false">IF(AND(Parameter!$B$21="Ja",ISNUMBER(W1581),N(X1581)&gt;0),IFERROR(N(INDEX(Parameter!$L$5:$L$7,W1581))*INDEX(Parameter!$E$5:$E$7,W1581)*X1581/SUMIFS($X$7:$X$1843,$W$7:$W$1843,W1581),0),0)</f>
        <v>0</v>
      </c>
    </row>
    <row r="1582" customFormat="false" ht="15" hidden="false" customHeight="false" outlineLevel="0" collapsed="false">
      <c r="A1582" s="48" t="s">
        <v>2766</v>
      </c>
      <c r="B1582" s="48" t="s">
        <v>2639</v>
      </c>
      <c r="C1582" s="48" t="s">
        <v>168</v>
      </c>
      <c r="D1582" s="48" t="s">
        <v>177</v>
      </c>
      <c r="E1582" s="48"/>
      <c r="F1582" s="48"/>
      <c r="G1582" s="49" t="n">
        <v>265</v>
      </c>
      <c r="H1582" s="50" t="n">
        <f aca="false">MAX(0,IF(AND(Parameter!$B$21="Ja",ISNUMBER(Y1582)),Y1582,IF(Parameter!$B$20="Jahresanfang 2025 + Export",BO1582+BN1582,BN1582)))</f>
        <v>12</v>
      </c>
      <c r="I1582" s="50" t="n">
        <f aca="false">H1582*G1582</f>
        <v>3180</v>
      </c>
      <c r="J1582" s="50" t="n">
        <f aca="false">BQ1582*Parameter!$B$18</f>
        <v>0</v>
      </c>
      <c r="K1582" s="51"/>
      <c r="L1582" s="52"/>
      <c r="M1582" s="50" t="n">
        <v>0</v>
      </c>
      <c r="N1582" s="50" t="n">
        <v>1</v>
      </c>
      <c r="O1582" s="53" t="n">
        <v>0</v>
      </c>
      <c r="P1582" s="48" t="s">
        <v>172</v>
      </c>
      <c r="Q1582" s="50"/>
      <c r="R1582" s="53" t="n">
        <f aca="false">IF(BW1582=1,0,IFERROR(VLOOKUP(BU1582,'Gebinde-Kategorie'!$A$5:$N$45,13,0)+0,0))</f>
        <v>12</v>
      </c>
      <c r="S1582" s="54"/>
      <c r="T1582" s="55" t="s">
        <v>183</v>
      </c>
      <c r="U1582" s="55"/>
      <c r="V1582" s="55"/>
      <c r="W1582" s="48"/>
      <c r="X1582" s="50"/>
      <c r="Y1582" s="50"/>
      <c r="Z1582" s="48" t="n">
        <f aca="false">IF(A1582="","",IF(AND(Parameter!$B$21="Ja",ISNUMBER(W1582)),W1582,IF(BZ1582="2+3",IF(ISNUMBER(SEARCH("grosser Artikel",BR1582)),2,IFERROR(VLOOKUP(BU1582,Parameter!$F$35:$G$64,2,0),2)),IF(OR(BZ1582="Nein",BZ1582=""),"-",BZ1582))))</f>
        <v>2</v>
      </c>
      <c r="AA1582" s="55"/>
      <c r="AB1582" s="56"/>
      <c r="AC1582" s="50" t="n">
        <f aca="false">AT1582</f>
        <v>12</v>
      </c>
      <c r="AD1582" s="50" t="n">
        <f aca="false">MAX(AT1582,H1582)</f>
        <v>12</v>
      </c>
      <c r="AE1582" s="57"/>
      <c r="AF1582" s="50" t="n">
        <f aca="false">IF(LEFT(Cockpit!$C$5,1)="A",H1582,IF(CE1582=1,CF1582,IF(LEFT(Cockpit!$C$5,1)="B",AK1582,MAX(AK1582,H1582))))</f>
        <v>12</v>
      </c>
      <c r="AG1582" s="50" t="n">
        <f aca="false">IF(BW1582=1,0,ROUNDUP(AF1582/BV1582,0))</f>
        <v>1</v>
      </c>
      <c r="AH1582" s="52" t="n">
        <f aca="false">IF(CL1582&gt;0,CL1582*MAX(1,AF1582/X1582),IF(BW1582=1,IF(AF1582&lt;=0,0,CA1582*MAX(1,IF(H1582&gt;0,AF1582/H1582,1))),IF(R1582&gt;0,AG1582/R1582,0))/MAX(0.1,N(Parameter!$M$21)))</f>
        <v>0.0833333333333333</v>
      </c>
      <c r="AI1582" s="50" t="n">
        <f aca="false">AH1582*BY1582</f>
        <v>12.0833333333333</v>
      </c>
      <c r="AJ1582" s="50" t="n">
        <f aca="false">AF1582*G1582</f>
        <v>3180</v>
      </c>
      <c r="AK1582" s="50" t="n">
        <f aca="false">ROUNDUP(MAX(J1582/IF(CD1582&gt;0,CD1582,MAX(0.1,N(Cockpit!$C$6))),CG1582)/BV1582,0)*BV1582</f>
        <v>12</v>
      </c>
      <c r="AL1582" s="51" t="n">
        <f aca="false">IF(AI1582&gt;0,J1582/AI1582,-1)</f>
        <v>0</v>
      </c>
      <c r="AM1582" s="51" t="n">
        <f aca="false">IF(AND(OR(CC1582="L1",CC1582="L23",CC1582="LIFT"),AI1582&gt;0),SUMIFS($AI$7:$AI$1843,$CC$7:$CC$1843,CC1582,$AL$7:$AL$1843,"&gt;"&amp;AL1582)+SUMIFS($AI$7:$AI$1843,$CC$7:$CC$1843,CC1582,$AL$7:$AL$1843,AL1582,$BT$7:$BT$1843,"&lt;="&amp;BT1582),"")</f>
        <v>30483.117472217</v>
      </c>
      <c r="AN1582" s="58" t="n">
        <f aca="false">IF(AM1582="",0,MAX(0,MIN(1,(IF(CC1582="L1",Parameter!$H$5,IF(CC1582="L23",Parameter!$H$6+Parameter!$H$7,Parameter!$H$5+Parameter!$H$6+Parameter!$H$7))-(AM1582-AI1582))/AI1582)))</f>
        <v>1</v>
      </c>
      <c r="AO1582" s="50" t="n">
        <f aca="false">IF(LEFT(Cockpit!$I$5,1)="A",H1582,IF(CE1582=1,CF1582,IF(LEFT(Cockpit!$I$5,1)="B",AT1582,MAX(AT1582,H1582))))</f>
        <v>12</v>
      </c>
      <c r="AP1582" s="50" t="n">
        <f aca="false">IF(BW1582=1,0,ROUNDUP(AO1582/BV1582,0))</f>
        <v>1</v>
      </c>
      <c r="AQ1582" s="52" t="n">
        <f aca="false">IF(CL1582&gt;0,CL1582*MAX(1,AO1582/X1582),IF(BW1582=1,IF(AO1582&lt;=0,0,CA1582*MAX(1,IF(H1582&gt;0,AO1582/H1582,1))),IF(R1582&gt;0,AP1582/R1582,0))/MAX(0.1,N(Parameter!$M$21)))</f>
        <v>0.0833333333333333</v>
      </c>
      <c r="AR1582" s="50" t="n">
        <f aca="false">AQ1582*BY1582</f>
        <v>12.0833333333333</v>
      </c>
      <c r="AS1582" s="50" t="n">
        <f aca="false">AO1582*G1582</f>
        <v>3180</v>
      </c>
      <c r="AT1582" s="50" t="n">
        <f aca="false">ROUNDUP(MAX(J1582/IF(CD1582&gt;0,CD1582,MAX(0.1,N(Cockpit!$I$6))),CG1582)/BV1582,0)*BV1582</f>
        <v>12</v>
      </c>
      <c r="AU1582" s="51" t="n">
        <f aca="false">IF(AR1582&gt;0,J1582/AR1582,-1)</f>
        <v>0</v>
      </c>
      <c r="AV1582" s="51" t="n">
        <f aca="false">IF(AND(OR(CC1582="L1",CC1582="L23",CC1582="LIFT"),AR1582&gt;0),SUMIFS($AR$7:$AR$1843,$CC$7:$CC$1843,CC1582,$AU$7:$AU$1843,"&gt;"&amp;AU1582)+SUMIFS($AR$7:$AR$1843,$CC$7:$CC$1843,CC1582,$AU$7:$AU$1843,AU1582,$BT$7:$BT$1843,"&lt;="&amp;BT1582),"")</f>
        <v>42845.0197843588</v>
      </c>
      <c r="AW1582" s="58" t="n">
        <f aca="false">IF(AV1582="",0,MAX(0,MIN(1,(IF(CC1582="L1",Parameter!$H$5,IF(CC1582="L23",Parameter!$H$6+Parameter!$H$7,Parameter!$H$5+Parameter!$H$6+Parameter!$H$7))-(AV1582-AR1582))/AR1582)))</f>
        <v>0</v>
      </c>
      <c r="AX1582" s="50" t="n">
        <f aca="false">IF(LEFT(Cockpit!$O$5,1)="A",H1582,IF(CE1582=1,CF1582,IF(LEFT(Cockpit!$O$5,1)="B",BC1582,MAX(BC1582,H1582))))</f>
        <v>12</v>
      </c>
      <c r="AY1582" s="50" t="n">
        <f aca="false">IF(BW1582=1,0,ROUNDUP(AX1582/BV1582,0))</f>
        <v>1</v>
      </c>
      <c r="AZ1582" s="52" t="n">
        <f aca="false">IF(CL1582&gt;0,CL1582*MAX(1,AX1582/X1582),IF(BW1582=1,IF(AX1582&lt;=0,0,CA1582*MAX(1,IF(H1582&gt;0,AX1582/H1582,1))),IF(R1582&gt;0,AY1582/R1582,0))/MAX(0.1,N(Parameter!$M$21)))</f>
        <v>0.0833333333333333</v>
      </c>
      <c r="BA1582" s="50" t="n">
        <f aca="false">AZ1582*BY1582</f>
        <v>12.0833333333333</v>
      </c>
      <c r="BB1582" s="50" t="n">
        <f aca="false">AX1582*G1582</f>
        <v>3180</v>
      </c>
      <c r="BC1582" s="50" t="n">
        <f aca="false">ROUNDUP(MAX(J1582/IF(CD1582&gt;0,CD1582,MAX(0.1,N(Cockpit!$O$6))),CG1582)/BV1582,0)*BV1582</f>
        <v>12</v>
      </c>
      <c r="BD1582" s="51" t="n">
        <f aca="false">IF(BA1582&gt;0,J1582/BA1582,-1)</f>
        <v>0</v>
      </c>
      <c r="BE1582" s="51" t="n">
        <f aca="false">IF(AND(OR(CC1582="L1",CC1582="L23",CC1582="LIFT"),BA1582&gt;0),SUMIFS($BA$7:$BA$1843,$CC$7:$CC$1843,CC1582,$BD$7:$BD$1843,"&gt;"&amp;BD1582)+SUMIFS($BA$7:$BA$1843,$CC$7:$CC$1843,CC1582,$BD$7:$BD$1843,BD1582,$BT$7:$BT$1843,"&lt;="&amp;BT1582),"")</f>
        <v>39520.0318262246</v>
      </c>
      <c r="BF1582" s="58" t="n">
        <f aca="false">IF(BE1582="",0,MAX(0,MIN(1,(IF(CC1582="L1",Parameter!$H$5,IF(CC1582="L23",Parameter!$H$6+Parameter!$H$7,Parameter!$H$5+Parameter!$H$6+Parameter!$H$7))-(BE1582-BA1582))/BA1582)))</f>
        <v>0</v>
      </c>
      <c r="BG1582" s="48" t="str">
        <f aca="false">IF(AI1582&lt;=0,"",IF(CC1582="Aussen","Aussenlager",IF(CC1582="-","Nicht im Lift",IF(AN1582&gt;=1,"Lift",IF(AN1582&lt;=0,"Aussenlager","teilweise")))))</f>
        <v>Lift</v>
      </c>
      <c r="BH1582" s="48" t="str">
        <f aca="false">IF(AR1582&lt;=0,"",IF(CC1582="Aussen","Aussenlager",IF(CC1582="-","Nicht im Lift",IF(AW1582&gt;=1,"Lift",IF(AW1582&lt;=0,"Aussenlager","teilweise")))))</f>
        <v>Aussenlager</v>
      </c>
      <c r="BI1582" s="48" t="str">
        <f aca="false">IF(BA1582&lt;=0,"",IF(CC1582="Aussen","Aussenlager",IF(CC1582="-","Nicht im Lift",IF(BF1582&gt;=1,"Lift",IF(BF1582&lt;=0,"Aussenlager","teilweise")))))</f>
        <v>Aussenlager</v>
      </c>
      <c r="BJ1582" s="48" t="str">
        <f aca="false">IF(A1582="","",IF(BS1582=1,"Neu; ","")&amp;IF(AND(BS1582=0,BN1582&lt;0),"negativer Bestand (Export "&amp;BN1582&amp;"); ","")&amp;IF(J1582&lt;=0,"Kein Verbrauch; ","")&amp;IF(CL1582&gt;0,"Lift "&amp;W1582&amp;" lt. Liftbericht (Fach "&amp;X1582&amp;" Stk); ",IF(BX1582=1,"Gebinde geschätzt ("&amp;T1582&amp;"); ",IF(BW1582=1,"Lose – Tablare geschätzt; ","")))&amp;IF(H1582&gt;AT1582,"Überbestand "&amp;ROUND(H1582-AT1582,0)&amp;" Stk / CHF "&amp;ROUND((H1582-AT1582)*G1582,0)&amp;"; ","")&amp;IF(AND(CE1582=1,CF1582&lt;CG1582),"MAX &lt; MB+LG; ","")&amp;IF(AND(CK1582&gt;0,CJ1582*10&gt;CK1582),"zu hoch für Tablar; ","")&amp;IF(AND(BS1582=0,OR(CE1582=1,AA1582&lt;&gt;"",U1582&lt;&gt;"",V1582&lt;&gt;"",AB1582&lt;&gt;"")),"manuell übersteuert; ","")&amp;IF(AND(BW1582=0,R1582=0),"Gebinde unbekannt / Stellmass fehlt; ","")&amp;IF(AND(BW1582=0,N(V1582)&lt;=0,N(Q1582)&lt;=0),"Menge pro Gebinde fehlt (Ist = 1 Gebinde); ","")&amp;BR1582)</f>
        <v>Kein Verbrauch; Gebinde geschätzt (Mittel); Menge pro Gebinde fehlt (Ist = 1 Gebinde); nur im Artikelstamm (Bestand 23.06.2026)</v>
      </c>
      <c r="BK1582" s="48"/>
      <c r="BL1582" s="48"/>
      <c r="BM1582" s="55"/>
      <c r="BN1582" s="50" t="n">
        <v>12</v>
      </c>
      <c r="BO1582" s="50" t="n">
        <v>0</v>
      </c>
      <c r="BP1582" s="49" t="n">
        <v>0</v>
      </c>
      <c r="BQ1582" s="50" t="n">
        <v>0</v>
      </c>
      <c r="BR1582" s="48" t="s">
        <v>2579</v>
      </c>
      <c r="BS1582" s="53" t="n">
        <v>0</v>
      </c>
      <c r="BT1582" s="53" t="n">
        <v>1582</v>
      </c>
      <c r="BU1582" s="48" t="str">
        <f aca="false">IF(U1582&lt;&gt;"",UPPER(TRIM(U1582)),IF(BX1582=1,UPPER(VLOOKUP(T1582,Parameter!$I$27:$K$29,2,0)),IF(P1582="","LOSE",P1582)))</f>
        <v>S61</v>
      </c>
      <c r="BV1582" s="50" t="n">
        <f aca="false">IF(BU1582="LOSE",1,IF(N(V1582)&gt;0,V1582,IF(BX1582=1,MAX(1,N(VLOOKUP(T1582,Parameter!$I$27:$K$29,3,0)),H1582,N(N1582)),IF(N(Q1582)&gt;0,Q1582,MAX(1,H1582)))))</f>
        <v>12</v>
      </c>
      <c r="BW1582" s="53" t="n">
        <f aca="false">IF(BU1582="LOSE",1,0)</f>
        <v>0</v>
      </c>
      <c r="BX1582" s="53" t="n">
        <f aca="false">IF(AND(U1582="",OR(P1582="",P1582="LOSE"),T1582&lt;&gt;"",N(S1582)&lt;=0,ISNUMBER(MATCH(T1582,Parameter!$I$27:$I$29,0))),1,0)</f>
        <v>1</v>
      </c>
      <c r="BY1582" s="53" t="n">
        <f aca="false">IF(CL1582&gt;0,INDEX(Parameter!$H$5:$H$7,W1582)/INDEX(Parameter!$E$5:$E$7,W1582),IF(AND(BW1582=0,N(IFERROR(VLOOKUP(BU1582,'Gebinde-Kategorie'!$A$5:$N$45,14,0),0))&gt;0),VLOOKUP(BU1582,'Gebinde-Kategorie'!$A$5:$N$45,14,0)*10+Parameter!$M$23,Parameter!$M$24))</f>
        <v>145</v>
      </c>
      <c r="BZ1582" s="48" t="str">
        <f aca="false">IF(AND(Parameter!$B$19="Ja",E1582&lt;&gt;"",ISNUMBER(MATCH(E1582,Parameter!$I$35:$I$52,0))),VLOOKUP(E1582,Parameter!$I$35:$J$52,2,0),IFERROR(VLOOKUP(D1582,Parameter!$A$35:$C$64,2,0),"Nein"))</f>
        <v>2+3</v>
      </c>
      <c r="CA1582" s="52" t="n">
        <f aca="false">IF(BW1582=0,0,IF(N(S1582)&gt;0,S1582,IFERROR(VLOOKUP(D1582,Parameter!$A$35:$C$64,3,0)+0,0)))</f>
        <v>0</v>
      </c>
      <c r="CB1582" s="48" t="n">
        <f aca="false">IF(AA1582&lt;&gt;"",AA1582,Z1582)</f>
        <v>2</v>
      </c>
      <c r="CC1582" s="48" t="str">
        <f aca="false">IF(OR(CB1582=1,CB1582=2,CB1582=3),IF(Parameter!$E$27="Ja","LIFT",IF(CB1582=1,"L1","L23")),IF(CB1582="Aussen","Aussen","-"))</f>
        <v>LIFT</v>
      </c>
      <c r="CD1582" s="59" t="n">
        <f aca="false">IF(N(AB1582)&gt;0,AB1582,0)</f>
        <v>0</v>
      </c>
      <c r="CE1582" s="53" t="n">
        <f aca="false">IF(ISNUMBER(AE1582),1,0)</f>
        <v>0</v>
      </c>
      <c r="CF1582" s="50" t="n">
        <f aca="false">N(AE1582)</f>
        <v>0</v>
      </c>
      <c r="CG1582" s="50" t="n">
        <f aca="false">N(M1582)+N(N1582)</f>
        <v>1</v>
      </c>
      <c r="CH1582" s="50" t="n">
        <f aca="false">ROUNDUP(H1582/BV1582,0)</f>
        <v>1</v>
      </c>
      <c r="CI1582" s="50" t="n">
        <f aca="false">ROUNDUP(CF1582/BV1582,0)</f>
        <v>0</v>
      </c>
      <c r="CJ1582" s="53" t="n">
        <f aca="false">IF(BW1582=1,0,IFERROR(VLOOKUP(BU1582,'Gebinde-Kategorie'!$A$5:$N$45,5,0)+0,0))</f>
        <v>11</v>
      </c>
      <c r="CK1582" s="53" t="n">
        <f aca="false">IFERROR(IF(OR(CB1582=1,CB1582=2,CB1582=3),N(INDEX(Parameter!$I$5:$I$7,CB1582)),0),0)</f>
        <v>0</v>
      </c>
      <c r="CL1582" s="52" t="n">
        <f aca="false">IF(AND(Parameter!$B$21="Ja",ISNUMBER(W1582),N(X1582)&gt;0),IFERROR(N(INDEX(Parameter!$L$5:$L$7,W1582))*INDEX(Parameter!$E$5:$E$7,W1582)*X1582/SUMIFS($X$7:$X$1843,$W$7:$W$1843,W1582),0),0)</f>
        <v>0</v>
      </c>
    </row>
    <row r="1583" customFormat="false" ht="15" hidden="false" customHeight="false" outlineLevel="0" collapsed="false">
      <c r="A1583" s="48" t="s">
        <v>2767</v>
      </c>
      <c r="B1583" s="48" t="s">
        <v>2768</v>
      </c>
      <c r="C1583" s="48" t="s">
        <v>168</v>
      </c>
      <c r="D1583" s="48" t="s">
        <v>177</v>
      </c>
      <c r="E1583" s="48"/>
      <c r="F1583" s="48"/>
      <c r="G1583" s="49" t="n">
        <v>323</v>
      </c>
      <c r="H1583" s="50" t="n">
        <f aca="false">MAX(0,IF(AND(Parameter!$B$21="Ja",ISNUMBER(Y1583)),Y1583,IF(Parameter!$B$20="Jahresanfang 2025 + Export",BO1583+BN1583,BN1583)))</f>
        <v>2</v>
      </c>
      <c r="I1583" s="50" t="n">
        <f aca="false">H1583*G1583</f>
        <v>646</v>
      </c>
      <c r="J1583" s="50" t="n">
        <f aca="false">BQ1583*Parameter!$B$18</f>
        <v>0</v>
      </c>
      <c r="K1583" s="51"/>
      <c r="L1583" s="52"/>
      <c r="M1583" s="50" t="n">
        <v>0</v>
      </c>
      <c r="N1583" s="50" t="n">
        <v>1</v>
      </c>
      <c r="O1583" s="53" t="n">
        <v>0</v>
      </c>
      <c r="P1583" s="48" t="s">
        <v>172</v>
      </c>
      <c r="Q1583" s="50"/>
      <c r="R1583" s="53" t="n">
        <f aca="false">IF(BW1583=1,0,IFERROR(VLOOKUP(BU1583,'Gebinde-Kategorie'!$A$5:$N$45,13,0)+0,0))</f>
        <v>12</v>
      </c>
      <c r="S1583" s="54"/>
      <c r="T1583" s="55" t="s">
        <v>183</v>
      </c>
      <c r="U1583" s="55"/>
      <c r="V1583" s="55"/>
      <c r="W1583" s="48"/>
      <c r="X1583" s="50"/>
      <c r="Y1583" s="50"/>
      <c r="Z1583" s="48" t="n">
        <f aca="false">IF(A1583="","",IF(AND(Parameter!$B$21="Ja",ISNUMBER(W1583)),W1583,IF(BZ1583="2+3",IF(ISNUMBER(SEARCH("grosser Artikel",BR1583)),2,IFERROR(VLOOKUP(BU1583,Parameter!$F$35:$G$64,2,0),2)),IF(OR(BZ1583="Nein",BZ1583=""),"-",BZ1583))))</f>
        <v>2</v>
      </c>
      <c r="AA1583" s="55"/>
      <c r="AB1583" s="56"/>
      <c r="AC1583" s="50" t="n">
        <f aca="false">AT1583</f>
        <v>4</v>
      </c>
      <c r="AD1583" s="50" t="n">
        <f aca="false">MAX(AT1583,H1583)</f>
        <v>4</v>
      </c>
      <c r="AE1583" s="57"/>
      <c r="AF1583" s="50" t="n">
        <f aca="false">IF(LEFT(Cockpit!$C$5,1)="A",H1583,IF(CE1583=1,CF1583,IF(LEFT(Cockpit!$C$5,1)="B",AK1583,MAX(AK1583,H1583))))</f>
        <v>2</v>
      </c>
      <c r="AG1583" s="50" t="n">
        <f aca="false">IF(BW1583=1,0,ROUNDUP(AF1583/BV1583,0))</f>
        <v>1</v>
      </c>
      <c r="AH1583" s="52" t="n">
        <f aca="false">IF(CL1583&gt;0,CL1583*MAX(1,AF1583/X1583),IF(BW1583=1,IF(AF1583&lt;=0,0,CA1583*MAX(1,IF(H1583&gt;0,AF1583/H1583,1))),IF(R1583&gt;0,AG1583/R1583,0))/MAX(0.1,N(Parameter!$M$21)))</f>
        <v>0.0833333333333333</v>
      </c>
      <c r="AI1583" s="50" t="n">
        <f aca="false">AH1583*BY1583</f>
        <v>12.0833333333333</v>
      </c>
      <c r="AJ1583" s="50" t="n">
        <f aca="false">AF1583*G1583</f>
        <v>646</v>
      </c>
      <c r="AK1583" s="50" t="n">
        <f aca="false">ROUNDUP(MAX(J1583/IF(CD1583&gt;0,CD1583,MAX(0.1,N(Cockpit!$C$6))),CG1583)/BV1583,0)*BV1583</f>
        <v>4</v>
      </c>
      <c r="AL1583" s="51" t="n">
        <f aca="false">IF(AI1583&gt;0,J1583/AI1583,-1)</f>
        <v>0</v>
      </c>
      <c r="AM1583" s="51" t="n">
        <f aca="false">IF(AND(OR(CC1583="L1",CC1583="L23",CC1583="LIFT"),AI1583&gt;0),SUMIFS($AI$7:$AI$1843,$CC$7:$CC$1843,CC1583,$AL$7:$AL$1843,"&gt;"&amp;AL1583)+SUMIFS($AI$7:$AI$1843,$CC$7:$CC$1843,CC1583,$AL$7:$AL$1843,AL1583,$BT$7:$BT$1843,"&lt;="&amp;BT1583),"")</f>
        <v>30495.2008055504</v>
      </c>
      <c r="AN1583" s="58" t="n">
        <f aca="false">IF(AM1583="",0,MAX(0,MIN(1,(IF(CC1583="L1",Parameter!$H$5,IF(CC1583="L23",Parameter!$H$6+Parameter!$H$7,Parameter!$H$5+Parameter!$H$6+Parameter!$H$7))-(AM1583-AI1583))/AI1583)))</f>
        <v>1</v>
      </c>
      <c r="AO1583" s="50" t="n">
        <f aca="false">IF(LEFT(Cockpit!$I$5,1)="A",H1583,IF(CE1583=1,CF1583,IF(LEFT(Cockpit!$I$5,1)="B",AT1583,MAX(AT1583,H1583))))</f>
        <v>4</v>
      </c>
      <c r="AP1583" s="50" t="n">
        <f aca="false">IF(BW1583=1,0,ROUNDUP(AO1583/BV1583,0))</f>
        <v>1</v>
      </c>
      <c r="AQ1583" s="52" t="n">
        <f aca="false">IF(CL1583&gt;0,CL1583*MAX(1,AO1583/X1583),IF(BW1583=1,IF(AO1583&lt;=0,0,CA1583*MAX(1,IF(H1583&gt;0,AO1583/H1583,1))),IF(R1583&gt;0,AP1583/R1583,0))/MAX(0.1,N(Parameter!$M$21)))</f>
        <v>0.0833333333333333</v>
      </c>
      <c r="AR1583" s="50" t="n">
        <f aca="false">AQ1583*BY1583</f>
        <v>12.0833333333333</v>
      </c>
      <c r="AS1583" s="50" t="n">
        <f aca="false">AO1583*G1583</f>
        <v>1292</v>
      </c>
      <c r="AT1583" s="50" t="n">
        <f aca="false">ROUNDUP(MAX(J1583/IF(CD1583&gt;0,CD1583,MAX(0.1,N(Cockpit!$I$6))),CG1583)/BV1583,0)*BV1583</f>
        <v>4</v>
      </c>
      <c r="AU1583" s="51" t="n">
        <f aca="false">IF(AR1583&gt;0,J1583/AR1583,-1)</f>
        <v>0</v>
      </c>
      <c r="AV1583" s="51" t="n">
        <f aca="false">IF(AND(OR(CC1583="L1",CC1583="L23",CC1583="LIFT"),AR1583&gt;0),SUMIFS($AR$7:$AR$1843,$CC$7:$CC$1843,CC1583,$AU$7:$AU$1843,"&gt;"&amp;AU1583)+SUMIFS($AR$7:$AR$1843,$CC$7:$CC$1843,CC1583,$AU$7:$AU$1843,AU1583,$BT$7:$BT$1843,"&lt;="&amp;BT1583),"")</f>
        <v>42857.1031176921</v>
      </c>
      <c r="AW1583" s="58" t="n">
        <f aca="false">IF(AV1583="",0,MAX(0,MIN(1,(IF(CC1583="L1",Parameter!$H$5,IF(CC1583="L23",Parameter!$H$6+Parameter!$H$7,Parameter!$H$5+Parameter!$H$6+Parameter!$H$7))-(AV1583-AR1583))/AR1583)))</f>
        <v>0</v>
      </c>
      <c r="AX1583" s="50" t="n">
        <f aca="false">IF(LEFT(Cockpit!$O$5,1)="A",H1583,IF(CE1583=1,CF1583,IF(LEFT(Cockpit!$O$5,1)="B",BC1583,MAX(BC1583,H1583))))</f>
        <v>4</v>
      </c>
      <c r="AY1583" s="50" t="n">
        <f aca="false">IF(BW1583=1,0,ROUNDUP(AX1583/BV1583,0))</f>
        <v>1</v>
      </c>
      <c r="AZ1583" s="52" t="n">
        <f aca="false">IF(CL1583&gt;0,CL1583*MAX(1,AX1583/X1583),IF(BW1583=1,IF(AX1583&lt;=0,0,CA1583*MAX(1,IF(H1583&gt;0,AX1583/H1583,1))),IF(R1583&gt;0,AY1583/R1583,0))/MAX(0.1,N(Parameter!$M$21)))</f>
        <v>0.0833333333333333</v>
      </c>
      <c r="BA1583" s="50" t="n">
        <f aca="false">AZ1583*BY1583</f>
        <v>12.0833333333333</v>
      </c>
      <c r="BB1583" s="50" t="n">
        <f aca="false">AX1583*G1583</f>
        <v>1292</v>
      </c>
      <c r="BC1583" s="50" t="n">
        <f aca="false">ROUNDUP(MAX(J1583/IF(CD1583&gt;0,CD1583,MAX(0.1,N(Cockpit!$O$6))),CG1583)/BV1583,0)*BV1583</f>
        <v>4</v>
      </c>
      <c r="BD1583" s="51" t="n">
        <f aca="false">IF(BA1583&gt;0,J1583/BA1583,-1)</f>
        <v>0</v>
      </c>
      <c r="BE1583" s="51" t="n">
        <f aca="false">IF(AND(OR(CC1583="L1",CC1583="L23",CC1583="LIFT"),BA1583&gt;0),SUMIFS($BA$7:$BA$1843,$CC$7:$CC$1843,CC1583,$BD$7:$BD$1843,"&gt;"&amp;BD1583)+SUMIFS($BA$7:$BA$1843,$CC$7:$CC$1843,CC1583,$BD$7:$BD$1843,BD1583,$BT$7:$BT$1843,"&lt;="&amp;BT1583),"")</f>
        <v>39532.115159558</v>
      </c>
      <c r="BF1583" s="58" t="n">
        <f aca="false">IF(BE1583="",0,MAX(0,MIN(1,(IF(CC1583="L1",Parameter!$H$5,IF(CC1583="L23",Parameter!$H$6+Parameter!$H$7,Parameter!$H$5+Parameter!$H$6+Parameter!$H$7))-(BE1583-BA1583))/BA1583)))</f>
        <v>0</v>
      </c>
      <c r="BG1583" s="48" t="str">
        <f aca="false">IF(AI1583&lt;=0,"",IF(CC1583="Aussen","Aussenlager",IF(CC1583="-","Nicht im Lift",IF(AN1583&gt;=1,"Lift",IF(AN1583&lt;=0,"Aussenlager","teilweise")))))</f>
        <v>Lift</v>
      </c>
      <c r="BH1583" s="48" t="str">
        <f aca="false">IF(AR1583&lt;=0,"",IF(CC1583="Aussen","Aussenlager",IF(CC1583="-","Nicht im Lift",IF(AW1583&gt;=1,"Lift",IF(AW1583&lt;=0,"Aussenlager","teilweise")))))</f>
        <v>Aussenlager</v>
      </c>
      <c r="BI1583" s="48" t="str">
        <f aca="false">IF(BA1583&lt;=0,"",IF(CC1583="Aussen","Aussenlager",IF(CC1583="-","Nicht im Lift",IF(BF1583&gt;=1,"Lift",IF(BF1583&lt;=0,"Aussenlager","teilweise")))))</f>
        <v>Aussenlager</v>
      </c>
      <c r="BJ1583" s="48" t="str">
        <f aca="false">IF(A1583="","",IF(BS1583=1,"Neu; ","")&amp;IF(AND(BS1583=0,BN1583&lt;0),"negativer Bestand (Export "&amp;BN1583&amp;"); ","")&amp;IF(J1583&lt;=0,"Kein Verbrauch; ","")&amp;IF(CL1583&gt;0,"Lift "&amp;W1583&amp;" lt. Liftbericht (Fach "&amp;X1583&amp;" Stk); ",IF(BX1583=1,"Gebinde geschätzt ("&amp;T1583&amp;"); ",IF(BW1583=1,"Lose – Tablare geschätzt; ","")))&amp;IF(H1583&gt;AT1583,"Überbestand "&amp;ROUND(H1583-AT1583,0)&amp;" Stk / CHF "&amp;ROUND((H1583-AT1583)*G1583,0)&amp;"; ","")&amp;IF(AND(CE1583=1,CF1583&lt;CG1583),"MAX &lt; MB+LG; ","")&amp;IF(AND(CK1583&gt;0,CJ1583*10&gt;CK1583),"zu hoch für Tablar; ","")&amp;IF(AND(BS1583=0,OR(CE1583=1,AA1583&lt;&gt;"",U1583&lt;&gt;"",V1583&lt;&gt;"",AB1583&lt;&gt;"")),"manuell übersteuert; ","")&amp;IF(AND(BW1583=0,R1583=0),"Gebinde unbekannt / Stellmass fehlt; ","")&amp;IF(AND(BW1583=0,N(V1583)&lt;=0,N(Q1583)&lt;=0),"Menge pro Gebinde fehlt (Ist = 1 Gebinde); ","")&amp;BR1583)</f>
        <v>Kein Verbrauch; Gebinde geschätzt (Mittel); Menge pro Gebinde fehlt (Ist = 1 Gebinde); nur im Artikelstamm (Bestand 23.06.2026)</v>
      </c>
      <c r="BK1583" s="48"/>
      <c r="BL1583" s="48"/>
      <c r="BM1583" s="55"/>
      <c r="BN1583" s="50" t="n">
        <v>2</v>
      </c>
      <c r="BO1583" s="50" t="n">
        <v>0</v>
      </c>
      <c r="BP1583" s="49" t="n">
        <v>0</v>
      </c>
      <c r="BQ1583" s="50" t="n">
        <v>0</v>
      </c>
      <c r="BR1583" s="48" t="s">
        <v>2579</v>
      </c>
      <c r="BS1583" s="53" t="n">
        <v>0</v>
      </c>
      <c r="BT1583" s="53" t="n">
        <v>1583</v>
      </c>
      <c r="BU1583" s="48" t="str">
        <f aca="false">IF(U1583&lt;&gt;"",UPPER(TRIM(U1583)),IF(BX1583=1,UPPER(VLOOKUP(T1583,Parameter!$I$27:$K$29,2,0)),IF(P1583="","LOSE",P1583)))</f>
        <v>S61</v>
      </c>
      <c r="BV1583" s="50" t="n">
        <f aca="false">IF(BU1583="LOSE",1,IF(N(V1583)&gt;0,V1583,IF(BX1583=1,MAX(1,N(VLOOKUP(T1583,Parameter!$I$27:$K$29,3,0)),H1583,N(N1583)),IF(N(Q1583)&gt;0,Q1583,MAX(1,H1583)))))</f>
        <v>4</v>
      </c>
      <c r="BW1583" s="53" t="n">
        <f aca="false">IF(BU1583="LOSE",1,0)</f>
        <v>0</v>
      </c>
      <c r="BX1583" s="53" t="n">
        <f aca="false">IF(AND(U1583="",OR(P1583="",P1583="LOSE"),T1583&lt;&gt;"",N(S1583)&lt;=0,ISNUMBER(MATCH(T1583,Parameter!$I$27:$I$29,0))),1,0)</f>
        <v>1</v>
      </c>
      <c r="BY1583" s="53" t="n">
        <f aca="false">IF(CL1583&gt;0,INDEX(Parameter!$H$5:$H$7,W1583)/INDEX(Parameter!$E$5:$E$7,W1583),IF(AND(BW1583=0,N(IFERROR(VLOOKUP(BU1583,'Gebinde-Kategorie'!$A$5:$N$45,14,0),0))&gt;0),VLOOKUP(BU1583,'Gebinde-Kategorie'!$A$5:$N$45,14,0)*10+Parameter!$M$23,Parameter!$M$24))</f>
        <v>145</v>
      </c>
      <c r="BZ1583" s="48" t="str">
        <f aca="false">IF(AND(Parameter!$B$19="Ja",E1583&lt;&gt;"",ISNUMBER(MATCH(E1583,Parameter!$I$35:$I$52,0))),VLOOKUP(E1583,Parameter!$I$35:$J$52,2,0),IFERROR(VLOOKUP(D1583,Parameter!$A$35:$C$64,2,0),"Nein"))</f>
        <v>2+3</v>
      </c>
      <c r="CA1583" s="52" t="n">
        <f aca="false">IF(BW1583=0,0,IF(N(S1583)&gt;0,S1583,IFERROR(VLOOKUP(D1583,Parameter!$A$35:$C$64,3,0)+0,0)))</f>
        <v>0</v>
      </c>
      <c r="CB1583" s="48" t="n">
        <f aca="false">IF(AA1583&lt;&gt;"",AA1583,Z1583)</f>
        <v>2</v>
      </c>
      <c r="CC1583" s="48" t="str">
        <f aca="false">IF(OR(CB1583=1,CB1583=2,CB1583=3),IF(Parameter!$E$27="Ja","LIFT",IF(CB1583=1,"L1","L23")),IF(CB1583="Aussen","Aussen","-"))</f>
        <v>LIFT</v>
      </c>
      <c r="CD1583" s="59" t="n">
        <f aca="false">IF(N(AB1583)&gt;0,AB1583,0)</f>
        <v>0</v>
      </c>
      <c r="CE1583" s="53" t="n">
        <f aca="false">IF(ISNUMBER(AE1583),1,0)</f>
        <v>0</v>
      </c>
      <c r="CF1583" s="50" t="n">
        <f aca="false">N(AE1583)</f>
        <v>0</v>
      </c>
      <c r="CG1583" s="50" t="n">
        <f aca="false">N(M1583)+N(N1583)</f>
        <v>1</v>
      </c>
      <c r="CH1583" s="50" t="n">
        <f aca="false">ROUNDUP(H1583/BV1583,0)</f>
        <v>1</v>
      </c>
      <c r="CI1583" s="50" t="n">
        <f aca="false">ROUNDUP(CF1583/BV1583,0)</f>
        <v>0</v>
      </c>
      <c r="CJ1583" s="53" t="n">
        <f aca="false">IF(BW1583=1,0,IFERROR(VLOOKUP(BU1583,'Gebinde-Kategorie'!$A$5:$N$45,5,0)+0,0))</f>
        <v>11</v>
      </c>
      <c r="CK1583" s="53" t="n">
        <f aca="false">IFERROR(IF(OR(CB1583=1,CB1583=2,CB1583=3),N(INDEX(Parameter!$I$5:$I$7,CB1583)),0),0)</f>
        <v>0</v>
      </c>
      <c r="CL1583" s="52" t="n">
        <f aca="false">IF(AND(Parameter!$B$21="Ja",ISNUMBER(W1583),N(X1583)&gt;0),IFERROR(N(INDEX(Parameter!$L$5:$L$7,W1583))*INDEX(Parameter!$E$5:$E$7,W1583)*X1583/SUMIFS($X$7:$X$1843,$W$7:$W$1843,W1583),0),0)</f>
        <v>0</v>
      </c>
    </row>
    <row r="1584" customFormat="false" ht="15" hidden="false" customHeight="false" outlineLevel="0" collapsed="false">
      <c r="A1584" s="48" t="s">
        <v>2769</v>
      </c>
      <c r="B1584" s="48" t="s">
        <v>2768</v>
      </c>
      <c r="C1584" s="48" t="s">
        <v>168</v>
      </c>
      <c r="D1584" s="48" t="s">
        <v>177</v>
      </c>
      <c r="E1584" s="48"/>
      <c r="F1584" s="48"/>
      <c r="G1584" s="49" t="n">
        <v>323</v>
      </c>
      <c r="H1584" s="50" t="n">
        <f aca="false">MAX(0,IF(AND(Parameter!$B$21="Ja",ISNUMBER(Y1584)),Y1584,IF(Parameter!$B$20="Jahresanfang 2025 + Export",BO1584+BN1584,BN1584)))</f>
        <v>2</v>
      </c>
      <c r="I1584" s="50" t="n">
        <f aca="false">H1584*G1584</f>
        <v>646</v>
      </c>
      <c r="J1584" s="50" t="n">
        <f aca="false">BQ1584*Parameter!$B$18</f>
        <v>0</v>
      </c>
      <c r="K1584" s="51"/>
      <c r="L1584" s="52"/>
      <c r="M1584" s="50" t="n">
        <v>0</v>
      </c>
      <c r="N1584" s="50" t="n">
        <v>1</v>
      </c>
      <c r="O1584" s="53" t="n">
        <v>0</v>
      </c>
      <c r="P1584" s="48" t="s">
        <v>172</v>
      </c>
      <c r="Q1584" s="50"/>
      <c r="R1584" s="53" t="n">
        <f aca="false">IF(BW1584=1,0,IFERROR(VLOOKUP(BU1584,'Gebinde-Kategorie'!$A$5:$N$45,13,0)+0,0))</f>
        <v>12</v>
      </c>
      <c r="S1584" s="54"/>
      <c r="T1584" s="55" t="s">
        <v>183</v>
      </c>
      <c r="U1584" s="55"/>
      <c r="V1584" s="55"/>
      <c r="W1584" s="48"/>
      <c r="X1584" s="50"/>
      <c r="Y1584" s="50"/>
      <c r="Z1584" s="48" t="n">
        <f aca="false">IF(A1584="","",IF(AND(Parameter!$B$21="Ja",ISNUMBER(W1584)),W1584,IF(BZ1584="2+3",IF(ISNUMBER(SEARCH("grosser Artikel",BR1584)),2,IFERROR(VLOOKUP(BU1584,Parameter!$F$35:$G$64,2,0),2)),IF(OR(BZ1584="Nein",BZ1584=""),"-",BZ1584))))</f>
        <v>2</v>
      </c>
      <c r="AA1584" s="55"/>
      <c r="AB1584" s="56"/>
      <c r="AC1584" s="50" t="n">
        <f aca="false">AT1584</f>
        <v>4</v>
      </c>
      <c r="AD1584" s="50" t="n">
        <f aca="false">MAX(AT1584,H1584)</f>
        <v>4</v>
      </c>
      <c r="AE1584" s="57"/>
      <c r="AF1584" s="50" t="n">
        <f aca="false">IF(LEFT(Cockpit!$C$5,1)="A",H1584,IF(CE1584=1,CF1584,IF(LEFT(Cockpit!$C$5,1)="B",AK1584,MAX(AK1584,H1584))))</f>
        <v>2</v>
      </c>
      <c r="AG1584" s="50" t="n">
        <f aca="false">IF(BW1584=1,0,ROUNDUP(AF1584/BV1584,0))</f>
        <v>1</v>
      </c>
      <c r="AH1584" s="52" t="n">
        <f aca="false">IF(CL1584&gt;0,CL1584*MAX(1,AF1584/X1584),IF(BW1584=1,IF(AF1584&lt;=0,0,CA1584*MAX(1,IF(H1584&gt;0,AF1584/H1584,1))),IF(R1584&gt;0,AG1584/R1584,0))/MAX(0.1,N(Parameter!$M$21)))</f>
        <v>0.0833333333333333</v>
      </c>
      <c r="AI1584" s="50" t="n">
        <f aca="false">AH1584*BY1584</f>
        <v>12.0833333333333</v>
      </c>
      <c r="AJ1584" s="50" t="n">
        <f aca="false">AF1584*G1584</f>
        <v>646</v>
      </c>
      <c r="AK1584" s="50" t="n">
        <f aca="false">ROUNDUP(MAX(J1584/IF(CD1584&gt;0,CD1584,MAX(0.1,N(Cockpit!$C$6))),CG1584)/BV1584,0)*BV1584</f>
        <v>4</v>
      </c>
      <c r="AL1584" s="51" t="n">
        <f aca="false">IF(AI1584&gt;0,J1584/AI1584,-1)</f>
        <v>0</v>
      </c>
      <c r="AM1584" s="51" t="n">
        <f aca="false">IF(AND(OR(CC1584="L1",CC1584="L23",CC1584="LIFT"),AI1584&gt;0),SUMIFS($AI$7:$AI$1843,$CC$7:$CC$1843,CC1584,$AL$7:$AL$1843,"&gt;"&amp;AL1584)+SUMIFS($AI$7:$AI$1843,$CC$7:$CC$1843,CC1584,$AL$7:$AL$1843,AL1584,$BT$7:$BT$1843,"&lt;="&amp;BT1584),"")</f>
        <v>30507.2841388837</v>
      </c>
      <c r="AN1584" s="58" t="n">
        <f aca="false">IF(AM1584="",0,MAX(0,MIN(1,(IF(CC1584="L1",Parameter!$H$5,IF(CC1584="L23",Parameter!$H$6+Parameter!$H$7,Parameter!$H$5+Parameter!$H$6+Parameter!$H$7))-(AM1584-AI1584))/AI1584)))</f>
        <v>1</v>
      </c>
      <c r="AO1584" s="50" t="n">
        <f aca="false">IF(LEFT(Cockpit!$I$5,1)="A",H1584,IF(CE1584=1,CF1584,IF(LEFT(Cockpit!$I$5,1)="B",AT1584,MAX(AT1584,H1584))))</f>
        <v>4</v>
      </c>
      <c r="AP1584" s="50" t="n">
        <f aca="false">IF(BW1584=1,0,ROUNDUP(AO1584/BV1584,0))</f>
        <v>1</v>
      </c>
      <c r="AQ1584" s="52" t="n">
        <f aca="false">IF(CL1584&gt;0,CL1584*MAX(1,AO1584/X1584),IF(BW1584=1,IF(AO1584&lt;=0,0,CA1584*MAX(1,IF(H1584&gt;0,AO1584/H1584,1))),IF(R1584&gt;0,AP1584/R1584,0))/MAX(0.1,N(Parameter!$M$21)))</f>
        <v>0.0833333333333333</v>
      </c>
      <c r="AR1584" s="50" t="n">
        <f aca="false">AQ1584*BY1584</f>
        <v>12.0833333333333</v>
      </c>
      <c r="AS1584" s="50" t="n">
        <f aca="false">AO1584*G1584</f>
        <v>1292</v>
      </c>
      <c r="AT1584" s="50" t="n">
        <f aca="false">ROUNDUP(MAX(J1584/IF(CD1584&gt;0,CD1584,MAX(0.1,N(Cockpit!$I$6))),CG1584)/BV1584,0)*BV1584</f>
        <v>4</v>
      </c>
      <c r="AU1584" s="51" t="n">
        <f aca="false">IF(AR1584&gt;0,J1584/AR1584,-1)</f>
        <v>0</v>
      </c>
      <c r="AV1584" s="51" t="n">
        <f aca="false">IF(AND(OR(CC1584="L1",CC1584="L23",CC1584="LIFT"),AR1584&gt;0),SUMIFS($AR$7:$AR$1843,$CC$7:$CC$1843,CC1584,$AU$7:$AU$1843,"&gt;"&amp;AU1584)+SUMIFS($AR$7:$AR$1843,$CC$7:$CC$1843,CC1584,$AU$7:$AU$1843,AU1584,$BT$7:$BT$1843,"&lt;="&amp;BT1584),"")</f>
        <v>42869.1864510254</v>
      </c>
      <c r="AW1584" s="58" t="n">
        <f aca="false">IF(AV1584="",0,MAX(0,MIN(1,(IF(CC1584="L1",Parameter!$H$5,IF(CC1584="L23",Parameter!$H$6+Parameter!$H$7,Parameter!$H$5+Parameter!$H$6+Parameter!$H$7))-(AV1584-AR1584))/AR1584)))</f>
        <v>0</v>
      </c>
      <c r="AX1584" s="50" t="n">
        <f aca="false">IF(LEFT(Cockpit!$O$5,1)="A",H1584,IF(CE1584=1,CF1584,IF(LEFT(Cockpit!$O$5,1)="B",BC1584,MAX(BC1584,H1584))))</f>
        <v>4</v>
      </c>
      <c r="AY1584" s="50" t="n">
        <f aca="false">IF(BW1584=1,0,ROUNDUP(AX1584/BV1584,0))</f>
        <v>1</v>
      </c>
      <c r="AZ1584" s="52" t="n">
        <f aca="false">IF(CL1584&gt;0,CL1584*MAX(1,AX1584/X1584),IF(BW1584=1,IF(AX1584&lt;=0,0,CA1584*MAX(1,IF(H1584&gt;0,AX1584/H1584,1))),IF(R1584&gt;0,AY1584/R1584,0))/MAX(0.1,N(Parameter!$M$21)))</f>
        <v>0.0833333333333333</v>
      </c>
      <c r="BA1584" s="50" t="n">
        <f aca="false">AZ1584*BY1584</f>
        <v>12.0833333333333</v>
      </c>
      <c r="BB1584" s="50" t="n">
        <f aca="false">AX1584*G1584</f>
        <v>1292</v>
      </c>
      <c r="BC1584" s="50" t="n">
        <f aca="false">ROUNDUP(MAX(J1584/IF(CD1584&gt;0,CD1584,MAX(0.1,N(Cockpit!$O$6))),CG1584)/BV1584,0)*BV1584</f>
        <v>4</v>
      </c>
      <c r="BD1584" s="51" t="n">
        <f aca="false">IF(BA1584&gt;0,J1584/BA1584,-1)</f>
        <v>0</v>
      </c>
      <c r="BE1584" s="51" t="n">
        <f aca="false">IF(AND(OR(CC1584="L1",CC1584="L23",CC1584="LIFT"),BA1584&gt;0),SUMIFS($BA$7:$BA$1843,$CC$7:$CC$1843,CC1584,$BD$7:$BD$1843,"&gt;"&amp;BD1584)+SUMIFS($BA$7:$BA$1843,$CC$7:$CC$1843,CC1584,$BD$7:$BD$1843,BD1584,$BT$7:$BT$1843,"&lt;="&amp;BT1584),"")</f>
        <v>39544.1984928913</v>
      </c>
      <c r="BF1584" s="58" t="n">
        <f aca="false">IF(BE1584="",0,MAX(0,MIN(1,(IF(CC1584="L1",Parameter!$H$5,IF(CC1584="L23",Parameter!$H$6+Parameter!$H$7,Parameter!$H$5+Parameter!$H$6+Parameter!$H$7))-(BE1584-BA1584))/BA1584)))</f>
        <v>0</v>
      </c>
      <c r="BG1584" s="48" t="str">
        <f aca="false">IF(AI1584&lt;=0,"",IF(CC1584="Aussen","Aussenlager",IF(CC1584="-","Nicht im Lift",IF(AN1584&gt;=1,"Lift",IF(AN1584&lt;=0,"Aussenlager","teilweise")))))</f>
        <v>Lift</v>
      </c>
      <c r="BH1584" s="48" t="str">
        <f aca="false">IF(AR1584&lt;=0,"",IF(CC1584="Aussen","Aussenlager",IF(CC1584="-","Nicht im Lift",IF(AW1584&gt;=1,"Lift",IF(AW1584&lt;=0,"Aussenlager","teilweise")))))</f>
        <v>Aussenlager</v>
      </c>
      <c r="BI1584" s="48" t="str">
        <f aca="false">IF(BA1584&lt;=0,"",IF(CC1584="Aussen","Aussenlager",IF(CC1584="-","Nicht im Lift",IF(BF1584&gt;=1,"Lift",IF(BF1584&lt;=0,"Aussenlager","teilweise")))))</f>
        <v>Aussenlager</v>
      </c>
      <c r="BJ1584" s="48" t="str">
        <f aca="false">IF(A1584="","",IF(BS1584=1,"Neu; ","")&amp;IF(AND(BS1584=0,BN1584&lt;0),"negativer Bestand (Export "&amp;BN1584&amp;"); ","")&amp;IF(J1584&lt;=0,"Kein Verbrauch; ","")&amp;IF(CL1584&gt;0,"Lift "&amp;W1584&amp;" lt. Liftbericht (Fach "&amp;X1584&amp;" Stk); ",IF(BX1584=1,"Gebinde geschätzt ("&amp;T1584&amp;"); ",IF(BW1584=1,"Lose – Tablare geschätzt; ","")))&amp;IF(H1584&gt;AT1584,"Überbestand "&amp;ROUND(H1584-AT1584,0)&amp;" Stk / CHF "&amp;ROUND((H1584-AT1584)*G1584,0)&amp;"; ","")&amp;IF(AND(CE1584=1,CF1584&lt;CG1584),"MAX &lt; MB+LG; ","")&amp;IF(AND(CK1584&gt;0,CJ1584*10&gt;CK1584),"zu hoch für Tablar; ","")&amp;IF(AND(BS1584=0,OR(CE1584=1,AA1584&lt;&gt;"",U1584&lt;&gt;"",V1584&lt;&gt;"",AB1584&lt;&gt;"")),"manuell übersteuert; ","")&amp;IF(AND(BW1584=0,R1584=0),"Gebinde unbekannt / Stellmass fehlt; ","")&amp;IF(AND(BW1584=0,N(V1584)&lt;=0,N(Q1584)&lt;=0),"Menge pro Gebinde fehlt (Ist = 1 Gebinde); ","")&amp;BR1584)</f>
        <v>Kein Verbrauch; Gebinde geschätzt (Mittel); Menge pro Gebinde fehlt (Ist = 1 Gebinde); nur im Artikelstamm (Bestand 23.06.2026)</v>
      </c>
      <c r="BK1584" s="48"/>
      <c r="BL1584" s="48"/>
      <c r="BM1584" s="55"/>
      <c r="BN1584" s="50" t="n">
        <v>2</v>
      </c>
      <c r="BO1584" s="50" t="n">
        <v>0</v>
      </c>
      <c r="BP1584" s="49" t="n">
        <v>0</v>
      </c>
      <c r="BQ1584" s="50" t="n">
        <v>0</v>
      </c>
      <c r="BR1584" s="48" t="s">
        <v>2579</v>
      </c>
      <c r="BS1584" s="53" t="n">
        <v>0</v>
      </c>
      <c r="BT1584" s="53" t="n">
        <v>1584</v>
      </c>
      <c r="BU1584" s="48" t="str">
        <f aca="false">IF(U1584&lt;&gt;"",UPPER(TRIM(U1584)),IF(BX1584=1,UPPER(VLOOKUP(T1584,Parameter!$I$27:$K$29,2,0)),IF(P1584="","LOSE",P1584)))</f>
        <v>S61</v>
      </c>
      <c r="BV1584" s="50" t="n">
        <f aca="false">IF(BU1584="LOSE",1,IF(N(V1584)&gt;0,V1584,IF(BX1584=1,MAX(1,N(VLOOKUP(T1584,Parameter!$I$27:$K$29,3,0)),H1584,N(N1584)),IF(N(Q1584)&gt;0,Q1584,MAX(1,H1584)))))</f>
        <v>4</v>
      </c>
      <c r="BW1584" s="53" t="n">
        <f aca="false">IF(BU1584="LOSE",1,0)</f>
        <v>0</v>
      </c>
      <c r="BX1584" s="53" t="n">
        <f aca="false">IF(AND(U1584="",OR(P1584="",P1584="LOSE"),T1584&lt;&gt;"",N(S1584)&lt;=0,ISNUMBER(MATCH(T1584,Parameter!$I$27:$I$29,0))),1,0)</f>
        <v>1</v>
      </c>
      <c r="BY1584" s="53" t="n">
        <f aca="false">IF(CL1584&gt;0,INDEX(Parameter!$H$5:$H$7,W1584)/INDEX(Parameter!$E$5:$E$7,W1584),IF(AND(BW1584=0,N(IFERROR(VLOOKUP(BU1584,'Gebinde-Kategorie'!$A$5:$N$45,14,0),0))&gt;0),VLOOKUP(BU1584,'Gebinde-Kategorie'!$A$5:$N$45,14,0)*10+Parameter!$M$23,Parameter!$M$24))</f>
        <v>145</v>
      </c>
      <c r="BZ1584" s="48" t="str">
        <f aca="false">IF(AND(Parameter!$B$19="Ja",E1584&lt;&gt;"",ISNUMBER(MATCH(E1584,Parameter!$I$35:$I$52,0))),VLOOKUP(E1584,Parameter!$I$35:$J$52,2,0),IFERROR(VLOOKUP(D1584,Parameter!$A$35:$C$64,2,0),"Nein"))</f>
        <v>2+3</v>
      </c>
      <c r="CA1584" s="52" t="n">
        <f aca="false">IF(BW1584=0,0,IF(N(S1584)&gt;0,S1584,IFERROR(VLOOKUP(D1584,Parameter!$A$35:$C$64,3,0)+0,0)))</f>
        <v>0</v>
      </c>
      <c r="CB1584" s="48" t="n">
        <f aca="false">IF(AA1584&lt;&gt;"",AA1584,Z1584)</f>
        <v>2</v>
      </c>
      <c r="CC1584" s="48" t="str">
        <f aca="false">IF(OR(CB1584=1,CB1584=2,CB1584=3),IF(Parameter!$E$27="Ja","LIFT",IF(CB1584=1,"L1","L23")),IF(CB1584="Aussen","Aussen","-"))</f>
        <v>LIFT</v>
      </c>
      <c r="CD1584" s="59" t="n">
        <f aca="false">IF(N(AB1584)&gt;0,AB1584,0)</f>
        <v>0</v>
      </c>
      <c r="CE1584" s="53" t="n">
        <f aca="false">IF(ISNUMBER(AE1584),1,0)</f>
        <v>0</v>
      </c>
      <c r="CF1584" s="50" t="n">
        <f aca="false">N(AE1584)</f>
        <v>0</v>
      </c>
      <c r="CG1584" s="50" t="n">
        <f aca="false">N(M1584)+N(N1584)</f>
        <v>1</v>
      </c>
      <c r="CH1584" s="50" t="n">
        <f aca="false">ROUNDUP(H1584/BV1584,0)</f>
        <v>1</v>
      </c>
      <c r="CI1584" s="50" t="n">
        <f aca="false">ROUNDUP(CF1584/BV1584,0)</f>
        <v>0</v>
      </c>
      <c r="CJ1584" s="53" t="n">
        <f aca="false">IF(BW1584=1,0,IFERROR(VLOOKUP(BU1584,'Gebinde-Kategorie'!$A$5:$N$45,5,0)+0,0))</f>
        <v>11</v>
      </c>
      <c r="CK1584" s="53" t="n">
        <f aca="false">IFERROR(IF(OR(CB1584=1,CB1584=2,CB1584=3),N(INDEX(Parameter!$I$5:$I$7,CB1584)),0),0)</f>
        <v>0</v>
      </c>
      <c r="CL1584" s="52" t="n">
        <f aca="false">IF(AND(Parameter!$B$21="Ja",ISNUMBER(W1584),N(X1584)&gt;0),IFERROR(N(INDEX(Parameter!$L$5:$L$7,W1584))*INDEX(Parameter!$E$5:$E$7,W1584)*X1584/SUMIFS($X$7:$X$1843,$W$7:$W$1843,W1584),0),0)</f>
        <v>0</v>
      </c>
    </row>
    <row r="1585" customFormat="false" ht="15" hidden="false" customHeight="false" outlineLevel="0" collapsed="false">
      <c r="A1585" s="48" t="s">
        <v>2770</v>
      </c>
      <c r="B1585" s="48" t="s">
        <v>2768</v>
      </c>
      <c r="C1585" s="48" t="s">
        <v>168</v>
      </c>
      <c r="D1585" s="48" t="s">
        <v>177</v>
      </c>
      <c r="E1585" s="48"/>
      <c r="F1585" s="48"/>
      <c r="G1585" s="49" t="n">
        <v>323</v>
      </c>
      <c r="H1585" s="50" t="n">
        <f aca="false">MAX(0,IF(AND(Parameter!$B$21="Ja",ISNUMBER(Y1585)),Y1585,IF(Parameter!$B$20="Jahresanfang 2025 + Export",BO1585+BN1585,BN1585)))</f>
        <v>1</v>
      </c>
      <c r="I1585" s="50" t="n">
        <f aca="false">H1585*G1585</f>
        <v>323</v>
      </c>
      <c r="J1585" s="50" t="n">
        <f aca="false">BQ1585*Parameter!$B$18</f>
        <v>0</v>
      </c>
      <c r="K1585" s="51"/>
      <c r="L1585" s="52"/>
      <c r="M1585" s="50" t="n">
        <v>0</v>
      </c>
      <c r="N1585" s="50" t="n">
        <v>1</v>
      </c>
      <c r="O1585" s="53" t="n">
        <v>0</v>
      </c>
      <c r="P1585" s="48" t="s">
        <v>172</v>
      </c>
      <c r="Q1585" s="50"/>
      <c r="R1585" s="53" t="n">
        <f aca="false">IF(BW1585=1,0,IFERROR(VLOOKUP(BU1585,'Gebinde-Kategorie'!$A$5:$N$45,13,0)+0,0))</f>
        <v>12</v>
      </c>
      <c r="S1585" s="54"/>
      <c r="T1585" s="55" t="s">
        <v>183</v>
      </c>
      <c r="U1585" s="55"/>
      <c r="V1585" s="55"/>
      <c r="W1585" s="48"/>
      <c r="X1585" s="50"/>
      <c r="Y1585" s="50"/>
      <c r="Z1585" s="48" t="n">
        <f aca="false">IF(A1585="","",IF(AND(Parameter!$B$21="Ja",ISNUMBER(W1585)),W1585,IF(BZ1585="2+3",IF(ISNUMBER(SEARCH("grosser Artikel",BR1585)),2,IFERROR(VLOOKUP(BU1585,Parameter!$F$35:$G$64,2,0),2)),IF(OR(BZ1585="Nein",BZ1585=""),"-",BZ1585))))</f>
        <v>2</v>
      </c>
      <c r="AA1585" s="55"/>
      <c r="AB1585" s="56"/>
      <c r="AC1585" s="50" t="n">
        <f aca="false">AT1585</f>
        <v>4</v>
      </c>
      <c r="AD1585" s="50" t="n">
        <f aca="false">MAX(AT1585,H1585)</f>
        <v>4</v>
      </c>
      <c r="AE1585" s="57"/>
      <c r="AF1585" s="50" t="n">
        <f aca="false">IF(LEFT(Cockpit!$C$5,1)="A",H1585,IF(CE1585=1,CF1585,IF(LEFT(Cockpit!$C$5,1)="B",AK1585,MAX(AK1585,H1585))))</f>
        <v>1</v>
      </c>
      <c r="AG1585" s="50" t="n">
        <f aca="false">IF(BW1585=1,0,ROUNDUP(AF1585/BV1585,0))</f>
        <v>1</v>
      </c>
      <c r="AH1585" s="52" t="n">
        <f aca="false">IF(CL1585&gt;0,CL1585*MAX(1,AF1585/X1585),IF(BW1585=1,IF(AF1585&lt;=0,0,CA1585*MAX(1,IF(H1585&gt;0,AF1585/H1585,1))),IF(R1585&gt;0,AG1585/R1585,0))/MAX(0.1,N(Parameter!$M$21)))</f>
        <v>0.0833333333333333</v>
      </c>
      <c r="AI1585" s="50" t="n">
        <f aca="false">AH1585*BY1585</f>
        <v>12.0833333333333</v>
      </c>
      <c r="AJ1585" s="50" t="n">
        <f aca="false">AF1585*G1585</f>
        <v>323</v>
      </c>
      <c r="AK1585" s="50" t="n">
        <f aca="false">ROUNDUP(MAX(J1585/IF(CD1585&gt;0,CD1585,MAX(0.1,N(Cockpit!$C$6))),CG1585)/BV1585,0)*BV1585</f>
        <v>4</v>
      </c>
      <c r="AL1585" s="51" t="n">
        <f aca="false">IF(AI1585&gt;0,J1585/AI1585,-1)</f>
        <v>0</v>
      </c>
      <c r="AM1585" s="51" t="n">
        <f aca="false">IF(AND(OR(CC1585="L1",CC1585="L23",CC1585="LIFT"),AI1585&gt;0),SUMIFS($AI$7:$AI$1843,$CC$7:$CC$1843,CC1585,$AL$7:$AL$1843,"&gt;"&amp;AL1585)+SUMIFS($AI$7:$AI$1843,$CC$7:$CC$1843,CC1585,$AL$7:$AL$1843,AL1585,$BT$7:$BT$1843,"&lt;="&amp;BT1585),"")</f>
        <v>30519.367472217</v>
      </c>
      <c r="AN1585" s="58" t="n">
        <f aca="false">IF(AM1585="",0,MAX(0,MIN(1,(IF(CC1585="L1",Parameter!$H$5,IF(CC1585="L23",Parameter!$H$6+Parameter!$H$7,Parameter!$H$5+Parameter!$H$6+Parameter!$H$7))-(AM1585-AI1585))/AI1585)))</f>
        <v>1</v>
      </c>
      <c r="AO1585" s="50" t="n">
        <f aca="false">IF(LEFT(Cockpit!$I$5,1)="A",H1585,IF(CE1585=1,CF1585,IF(LEFT(Cockpit!$I$5,1)="B",AT1585,MAX(AT1585,H1585))))</f>
        <v>4</v>
      </c>
      <c r="AP1585" s="50" t="n">
        <f aca="false">IF(BW1585=1,0,ROUNDUP(AO1585/BV1585,0))</f>
        <v>1</v>
      </c>
      <c r="AQ1585" s="52" t="n">
        <f aca="false">IF(CL1585&gt;0,CL1585*MAX(1,AO1585/X1585),IF(BW1585=1,IF(AO1585&lt;=0,0,CA1585*MAX(1,IF(H1585&gt;0,AO1585/H1585,1))),IF(R1585&gt;0,AP1585/R1585,0))/MAX(0.1,N(Parameter!$M$21)))</f>
        <v>0.0833333333333333</v>
      </c>
      <c r="AR1585" s="50" t="n">
        <f aca="false">AQ1585*BY1585</f>
        <v>12.0833333333333</v>
      </c>
      <c r="AS1585" s="50" t="n">
        <f aca="false">AO1585*G1585</f>
        <v>1292</v>
      </c>
      <c r="AT1585" s="50" t="n">
        <f aca="false">ROUNDUP(MAX(J1585/IF(CD1585&gt;0,CD1585,MAX(0.1,N(Cockpit!$I$6))),CG1585)/BV1585,0)*BV1585</f>
        <v>4</v>
      </c>
      <c r="AU1585" s="51" t="n">
        <f aca="false">IF(AR1585&gt;0,J1585/AR1585,-1)</f>
        <v>0</v>
      </c>
      <c r="AV1585" s="51" t="n">
        <f aca="false">IF(AND(OR(CC1585="L1",CC1585="L23",CC1585="LIFT"),AR1585&gt;0),SUMIFS($AR$7:$AR$1843,$CC$7:$CC$1843,CC1585,$AU$7:$AU$1843,"&gt;"&amp;AU1585)+SUMIFS($AR$7:$AR$1843,$CC$7:$CC$1843,CC1585,$AU$7:$AU$1843,AU1585,$BT$7:$BT$1843,"&lt;="&amp;BT1585),"")</f>
        <v>42881.2697843588</v>
      </c>
      <c r="AW1585" s="58" t="n">
        <f aca="false">IF(AV1585="",0,MAX(0,MIN(1,(IF(CC1585="L1",Parameter!$H$5,IF(CC1585="L23",Parameter!$H$6+Parameter!$H$7,Parameter!$H$5+Parameter!$H$6+Parameter!$H$7))-(AV1585-AR1585))/AR1585)))</f>
        <v>0</v>
      </c>
      <c r="AX1585" s="50" t="n">
        <f aca="false">IF(LEFT(Cockpit!$O$5,1)="A",H1585,IF(CE1585=1,CF1585,IF(LEFT(Cockpit!$O$5,1)="B",BC1585,MAX(BC1585,H1585))))</f>
        <v>4</v>
      </c>
      <c r="AY1585" s="50" t="n">
        <f aca="false">IF(BW1585=1,0,ROUNDUP(AX1585/BV1585,0))</f>
        <v>1</v>
      </c>
      <c r="AZ1585" s="52" t="n">
        <f aca="false">IF(CL1585&gt;0,CL1585*MAX(1,AX1585/X1585),IF(BW1585=1,IF(AX1585&lt;=0,0,CA1585*MAX(1,IF(H1585&gt;0,AX1585/H1585,1))),IF(R1585&gt;0,AY1585/R1585,0))/MAX(0.1,N(Parameter!$M$21)))</f>
        <v>0.0833333333333333</v>
      </c>
      <c r="BA1585" s="50" t="n">
        <f aca="false">AZ1585*BY1585</f>
        <v>12.0833333333333</v>
      </c>
      <c r="BB1585" s="50" t="n">
        <f aca="false">AX1585*G1585</f>
        <v>1292</v>
      </c>
      <c r="BC1585" s="50" t="n">
        <f aca="false">ROUNDUP(MAX(J1585/IF(CD1585&gt;0,CD1585,MAX(0.1,N(Cockpit!$O$6))),CG1585)/BV1585,0)*BV1585</f>
        <v>4</v>
      </c>
      <c r="BD1585" s="51" t="n">
        <f aca="false">IF(BA1585&gt;0,J1585/BA1585,-1)</f>
        <v>0</v>
      </c>
      <c r="BE1585" s="51" t="n">
        <f aca="false">IF(AND(OR(CC1585="L1",CC1585="L23",CC1585="LIFT"),BA1585&gt;0),SUMIFS($BA$7:$BA$1843,$CC$7:$CC$1843,CC1585,$BD$7:$BD$1843,"&gt;"&amp;BD1585)+SUMIFS($BA$7:$BA$1843,$CC$7:$CC$1843,CC1585,$BD$7:$BD$1843,BD1585,$BT$7:$BT$1843,"&lt;="&amp;BT1585),"")</f>
        <v>39556.2818262246</v>
      </c>
      <c r="BF1585" s="58" t="n">
        <f aca="false">IF(BE1585="",0,MAX(0,MIN(1,(IF(CC1585="L1",Parameter!$H$5,IF(CC1585="L23",Parameter!$H$6+Parameter!$H$7,Parameter!$H$5+Parameter!$H$6+Parameter!$H$7))-(BE1585-BA1585))/BA1585)))</f>
        <v>0</v>
      </c>
      <c r="BG1585" s="48" t="str">
        <f aca="false">IF(AI1585&lt;=0,"",IF(CC1585="Aussen","Aussenlager",IF(CC1585="-","Nicht im Lift",IF(AN1585&gt;=1,"Lift",IF(AN1585&lt;=0,"Aussenlager","teilweise")))))</f>
        <v>Lift</v>
      </c>
      <c r="BH1585" s="48" t="str">
        <f aca="false">IF(AR1585&lt;=0,"",IF(CC1585="Aussen","Aussenlager",IF(CC1585="-","Nicht im Lift",IF(AW1585&gt;=1,"Lift",IF(AW1585&lt;=0,"Aussenlager","teilweise")))))</f>
        <v>Aussenlager</v>
      </c>
      <c r="BI1585" s="48" t="str">
        <f aca="false">IF(BA1585&lt;=0,"",IF(CC1585="Aussen","Aussenlager",IF(CC1585="-","Nicht im Lift",IF(BF1585&gt;=1,"Lift",IF(BF1585&lt;=0,"Aussenlager","teilweise")))))</f>
        <v>Aussenlager</v>
      </c>
      <c r="BJ1585" s="48" t="str">
        <f aca="false">IF(A1585="","",IF(BS1585=1,"Neu; ","")&amp;IF(AND(BS1585=0,BN1585&lt;0),"negativer Bestand (Export "&amp;BN1585&amp;"); ","")&amp;IF(J1585&lt;=0,"Kein Verbrauch; ","")&amp;IF(CL1585&gt;0,"Lift "&amp;W1585&amp;" lt. Liftbericht (Fach "&amp;X1585&amp;" Stk); ",IF(BX1585=1,"Gebinde geschätzt ("&amp;T1585&amp;"); ",IF(BW1585=1,"Lose – Tablare geschätzt; ","")))&amp;IF(H1585&gt;AT1585,"Überbestand "&amp;ROUND(H1585-AT1585,0)&amp;" Stk / CHF "&amp;ROUND((H1585-AT1585)*G1585,0)&amp;"; ","")&amp;IF(AND(CE1585=1,CF1585&lt;CG1585),"MAX &lt; MB+LG; ","")&amp;IF(AND(CK1585&gt;0,CJ1585*10&gt;CK1585),"zu hoch für Tablar; ","")&amp;IF(AND(BS1585=0,OR(CE1585=1,AA1585&lt;&gt;"",U1585&lt;&gt;"",V1585&lt;&gt;"",AB1585&lt;&gt;"")),"manuell übersteuert; ","")&amp;IF(AND(BW1585=0,R1585=0),"Gebinde unbekannt / Stellmass fehlt; ","")&amp;IF(AND(BW1585=0,N(V1585)&lt;=0,N(Q1585)&lt;=0),"Menge pro Gebinde fehlt (Ist = 1 Gebinde); ","")&amp;BR1585)</f>
        <v>Kein Verbrauch; Gebinde geschätzt (Mittel); Menge pro Gebinde fehlt (Ist = 1 Gebinde); nur im Artikelstamm (Bestand 23.06.2026)</v>
      </c>
      <c r="BK1585" s="48"/>
      <c r="BL1585" s="48"/>
      <c r="BM1585" s="55"/>
      <c r="BN1585" s="50" t="n">
        <v>1</v>
      </c>
      <c r="BO1585" s="50" t="n">
        <v>0</v>
      </c>
      <c r="BP1585" s="49" t="n">
        <v>0</v>
      </c>
      <c r="BQ1585" s="50" t="n">
        <v>0</v>
      </c>
      <c r="BR1585" s="48" t="s">
        <v>2579</v>
      </c>
      <c r="BS1585" s="53" t="n">
        <v>0</v>
      </c>
      <c r="BT1585" s="53" t="n">
        <v>1585</v>
      </c>
      <c r="BU1585" s="48" t="str">
        <f aca="false">IF(U1585&lt;&gt;"",UPPER(TRIM(U1585)),IF(BX1585=1,UPPER(VLOOKUP(T1585,Parameter!$I$27:$K$29,2,0)),IF(P1585="","LOSE",P1585)))</f>
        <v>S61</v>
      </c>
      <c r="BV1585" s="50" t="n">
        <f aca="false">IF(BU1585="LOSE",1,IF(N(V1585)&gt;0,V1585,IF(BX1585=1,MAX(1,N(VLOOKUP(T1585,Parameter!$I$27:$K$29,3,0)),H1585,N(N1585)),IF(N(Q1585)&gt;0,Q1585,MAX(1,H1585)))))</f>
        <v>4</v>
      </c>
      <c r="BW1585" s="53" t="n">
        <f aca="false">IF(BU1585="LOSE",1,0)</f>
        <v>0</v>
      </c>
      <c r="BX1585" s="53" t="n">
        <f aca="false">IF(AND(U1585="",OR(P1585="",P1585="LOSE"),T1585&lt;&gt;"",N(S1585)&lt;=0,ISNUMBER(MATCH(T1585,Parameter!$I$27:$I$29,0))),1,0)</f>
        <v>1</v>
      </c>
      <c r="BY1585" s="53" t="n">
        <f aca="false">IF(CL1585&gt;0,INDEX(Parameter!$H$5:$H$7,W1585)/INDEX(Parameter!$E$5:$E$7,W1585),IF(AND(BW1585=0,N(IFERROR(VLOOKUP(BU1585,'Gebinde-Kategorie'!$A$5:$N$45,14,0),0))&gt;0),VLOOKUP(BU1585,'Gebinde-Kategorie'!$A$5:$N$45,14,0)*10+Parameter!$M$23,Parameter!$M$24))</f>
        <v>145</v>
      </c>
      <c r="BZ1585" s="48" t="str">
        <f aca="false">IF(AND(Parameter!$B$19="Ja",E1585&lt;&gt;"",ISNUMBER(MATCH(E1585,Parameter!$I$35:$I$52,0))),VLOOKUP(E1585,Parameter!$I$35:$J$52,2,0),IFERROR(VLOOKUP(D1585,Parameter!$A$35:$C$64,2,0),"Nein"))</f>
        <v>2+3</v>
      </c>
      <c r="CA1585" s="52" t="n">
        <f aca="false">IF(BW1585=0,0,IF(N(S1585)&gt;0,S1585,IFERROR(VLOOKUP(D1585,Parameter!$A$35:$C$64,3,0)+0,0)))</f>
        <v>0</v>
      </c>
      <c r="CB1585" s="48" t="n">
        <f aca="false">IF(AA1585&lt;&gt;"",AA1585,Z1585)</f>
        <v>2</v>
      </c>
      <c r="CC1585" s="48" t="str">
        <f aca="false">IF(OR(CB1585=1,CB1585=2,CB1585=3),IF(Parameter!$E$27="Ja","LIFT",IF(CB1585=1,"L1","L23")),IF(CB1585="Aussen","Aussen","-"))</f>
        <v>LIFT</v>
      </c>
      <c r="CD1585" s="59" t="n">
        <f aca="false">IF(N(AB1585)&gt;0,AB1585,0)</f>
        <v>0</v>
      </c>
      <c r="CE1585" s="53" t="n">
        <f aca="false">IF(ISNUMBER(AE1585),1,0)</f>
        <v>0</v>
      </c>
      <c r="CF1585" s="50" t="n">
        <f aca="false">N(AE1585)</f>
        <v>0</v>
      </c>
      <c r="CG1585" s="50" t="n">
        <f aca="false">N(M1585)+N(N1585)</f>
        <v>1</v>
      </c>
      <c r="CH1585" s="50" t="n">
        <f aca="false">ROUNDUP(H1585/BV1585,0)</f>
        <v>1</v>
      </c>
      <c r="CI1585" s="50" t="n">
        <f aca="false">ROUNDUP(CF1585/BV1585,0)</f>
        <v>0</v>
      </c>
      <c r="CJ1585" s="53" t="n">
        <f aca="false">IF(BW1585=1,0,IFERROR(VLOOKUP(BU1585,'Gebinde-Kategorie'!$A$5:$N$45,5,0)+0,0))</f>
        <v>11</v>
      </c>
      <c r="CK1585" s="53" t="n">
        <f aca="false">IFERROR(IF(OR(CB1585=1,CB1585=2,CB1585=3),N(INDEX(Parameter!$I$5:$I$7,CB1585)),0),0)</f>
        <v>0</v>
      </c>
      <c r="CL1585" s="52" t="n">
        <f aca="false">IF(AND(Parameter!$B$21="Ja",ISNUMBER(W1585),N(X1585)&gt;0),IFERROR(N(INDEX(Parameter!$L$5:$L$7,W1585))*INDEX(Parameter!$E$5:$E$7,W1585)*X1585/SUMIFS($X$7:$X$1843,$W$7:$W$1843,W1585),0),0)</f>
        <v>0</v>
      </c>
    </row>
    <row r="1586" customFormat="false" ht="15" hidden="false" customHeight="false" outlineLevel="0" collapsed="false">
      <c r="A1586" s="48" t="s">
        <v>2771</v>
      </c>
      <c r="B1586" s="48" t="s">
        <v>2768</v>
      </c>
      <c r="C1586" s="48" t="s">
        <v>168</v>
      </c>
      <c r="D1586" s="48" t="s">
        <v>177</v>
      </c>
      <c r="E1586" s="48"/>
      <c r="F1586" s="48"/>
      <c r="G1586" s="49" t="n">
        <v>323</v>
      </c>
      <c r="H1586" s="50" t="n">
        <f aca="false">MAX(0,IF(AND(Parameter!$B$21="Ja",ISNUMBER(Y1586)),Y1586,IF(Parameter!$B$20="Jahresanfang 2025 + Export",BO1586+BN1586,BN1586)))</f>
        <v>2</v>
      </c>
      <c r="I1586" s="50" t="n">
        <f aca="false">H1586*G1586</f>
        <v>646</v>
      </c>
      <c r="J1586" s="50" t="n">
        <f aca="false">BQ1586*Parameter!$B$18</f>
        <v>0</v>
      </c>
      <c r="K1586" s="51"/>
      <c r="L1586" s="52"/>
      <c r="M1586" s="50" t="n">
        <v>0</v>
      </c>
      <c r="N1586" s="50" t="n">
        <v>1</v>
      </c>
      <c r="O1586" s="53" t="n">
        <v>0</v>
      </c>
      <c r="P1586" s="48" t="s">
        <v>172</v>
      </c>
      <c r="Q1586" s="50"/>
      <c r="R1586" s="53" t="n">
        <f aca="false">IF(BW1586=1,0,IFERROR(VLOOKUP(BU1586,'Gebinde-Kategorie'!$A$5:$N$45,13,0)+0,0))</f>
        <v>12</v>
      </c>
      <c r="S1586" s="54"/>
      <c r="T1586" s="55" t="s">
        <v>183</v>
      </c>
      <c r="U1586" s="55"/>
      <c r="V1586" s="55"/>
      <c r="W1586" s="48"/>
      <c r="X1586" s="50"/>
      <c r="Y1586" s="50"/>
      <c r="Z1586" s="48" t="n">
        <f aca="false">IF(A1586="","",IF(AND(Parameter!$B$21="Ja",ISNUMBER(W1586)),W1586,IF(BZ1586="2+3",IF(ISNUMBER(SEARCH("grosser Artikel",BR1586)),2,IFERROR(VLOOKUP(BU1586,Parameter!$F$35:$G$64,2,0),2)),IF(OR(BZ1586="Nein",BZ1586=""),"-",BZ1586))))</f>
        <v>2</v>
      </c>
      <c r="AA1586" s="55"/>
      <c r="AB1586" s="56"/>
      <c r="AC1586" s="50" t="n">
        <f aca="false">AT1586</f>
        <v>4</v>
      </c>
      <c r="AD1586" s="50" t="n">
        <f aca="false">MAX(AT1586,H1586)</f>
        <v>4</v>
      </c>
      <c r="AE1586" s="57"/>
      <c r="AF1586" s="50" t="n">
        <f aca="false">IF(LEFT(Cockpit!$C$5,1)="A",H1586,IF(CE1586=1,CF1586,IF(LEFT(Cockpit!$C$5,1)="B",AK1586,MAX(AK1586,H1586))))</f>
        <v>2</v>
      </c>
      <c r="AG1586" s="50" t="n">
        <f aca="false">IF(BW1586=1,0,ROUNDUP(AF1586/BV1586,0))</f>
        <v>1</v>
      </c>
      <c r="AH1586" s="52" t="n">
        <f aca="false">IF(CL1586&gt;0,CL1586*MAX(1,AF1586/X1586),IF(BW1586=1,IF(AF1586&lt;=0,0,CA1586*MAX(1,IF(H1586&gt;0,AF1586/H1586,1))),IF(R1586&gt;0,AG1586/R1586,0))/MAX(0.1,N(Parameter!$M$21)))</f>
        <v>0.0833333333333333</v>
      </c>
      <c r="AI1586" s="50" t="n">
        <f aca="false">AH1586*BY1586</f>
        <v>12.0833333333333</v>
      </c>
      <c r="AJ1586" s="50" t="n">
        <f aca="false">AF1586*G1586</f>
        <v>646</v>
      </c>
      <c r="AK1586" s="50" t="n">
        <f aca="false">ROUNDUP(MAX(J1586/IF(CD1586&gt;0,CD1586,MAX(0.1,N(Cockpit!$C$6))),CG1586)/BV1586,0)*BV1586</f>
        <v>4</v>
      </c>
      <c r="AL1586" s="51" t="n">
        <f aca="false">IF(AI1586&gt;0,J1586/AI1586,-1)</f>
        <v>0</v>
      </c>
      <c r="AM1586" s="51" t="n">
        <f aca="false">IF(AND(OR(CC1586="L1",CC1586="L23",CC1586="LIFT"),AI1586&gt;0),SUMIFS($AI$7:$AI$1843,$CC$7:$CC$1843,CC1586,$AL$7:$AL$1843,"&gt;"&amp;AL1586)+SUMIFS($AI$7:$AI$1843,$CC$7:$CC$1843,CC1586,$AL$7:$AL$1843,AL1586,$BT$7:$BT$1843,"&lt;="&amp;BT1586),"")</f>
        <v>30531.4508055504</v>
      </c>
      <c r="AN1586" s="58" t="n">
        <f aca="false">IF(AM1586="",0,MAX(0,MIN(1,(IF(CC1586="L1",Parameter!$H$5,IF(CC1586="L23",Parameter!$H$6+Parameter!$H$7,Parameter!$H$5+Parameter!$H$6+Parameter!$H$7))-(AM1586-AI1586))/AI1586)))</f>
        <v>1</v>
      </c>
      <c r="AO1586" s="50" t="n">
        <f aca="false">IF(LEFT(Cockpit!$I$5,1)="A",H1586,IF(CE1586=1,CF1586,IF(LEFT(Cockpit!$I$5,1)="B",AT1586,MAX(AT1586,H1586))))</f>
        <v>4</v>
      </c>
      <c r="AP1586" s="50" t="n">
        <f aca="false">IF(BW1586=1,0,ROUNDUP(AO1586/BV1586,0))</f>
        <v>1</v>
      </c>
      <c r="AQ1586" s="52" t="n">
        <f aca="false">IF(CL1586&gt;0,CL1586*MAX(1,AO1586/X1586),IF(BW1586=1,IF(AO1586&lt;=0,0,CA1586*MAX(1,IF(H1586&gt;0,AO1586/H1586,1))),IF(R1586&gt;0,AP1586/R1586,0))/MAX(0.1,N(Parameter!$M$21)))</f>
        <v>0.0833333333333333</v>
      </c>
      <c r="AR1586" s="50" t="n">
        <f aca="false">AQ1586*BY1586</f>
        <v>12.0833333333333</v>
      </c>
      <c r="AS1586" s="50" t="n">
        <f aca="false">AO1586*G1586</f>
        <v>1292</v>
      </c>
      <c r="AT1586" s="50" t="n">
        <f aca="false">ROUNDUP(MAX(J1586/IF(CD1586&gt;0,CD1586,MAX(0.1,N(Cockpit!$I$6))),CG1586)/BV1586,0)*BV1586</f>
        <v>4</v>
      </c>
      <c r="AU1586" s="51" t="n">
        <f aca="false">IF(AR1586&gt;0,J1586/AR1586,-1)</f>
        <v>0</v>
      </c>
      <c r="AV1586" s="51" t="n">
        <f aca="false">IF(AND(OR(CC1586="L1",CC1586="L23",CC1586="LIFT"),AR1586&gt;0),SUMIFS($AR$7:$AR$1843,$CC$7:$CC$1843,CC1586,$AU$7:$AU$1843,"&gt;"&amp;AU1586)+SUMIFS($AR$7:$AR$1843,$CC$7:$CC$1843,CC1586,$AU$7:$AU$1843,AU1586,$BT$7:$BT$1843,"&lt;="&amp;BT1586),"")</f>
        <v>42893.3531176921</v>
      </c>
      <c r="AW1586" s="58" t="n">
        <f aca="false">IF(AV1586="",0,MAX(0,MIN(1,(IF(CC1586="L1",Parameter!$H$5,IF(CC1586="L23",Parameter!$H$6+Parameter!$H$7,Parameter!$H$5+Parameter!$H$6+Parameter!$H$7))-(AV1586-AR1586))/AR1586)))</f>
        <v>0</v>
      </c>
      <c r="AX1586" s="50" t="n">
        <f aca="false">IF(LEFT(Cockpit!$O$5,1)="A",H1586,IF(CE1586=1,CF1586,IF(LEFT(Cockpit!$O$5,1)="B",BC1586,MAX(BC1586,H1586))))</f>
        <v>4</v>
      </c>
      <c r="AY1586" s="50" t="n">
        <f aca="false">IF(BW1586=1,0,ROUNDUP(AX1586/BV1586,0))</f>
        <v>1</v>
      </c>
      <c r="AZ1586" s="52" t="n">
        <f aca="false">IF(CL1586&gt;0,CL1586*MAX(1,AX1586/X1586),IF(BW1586=1,IF(AX1586&lt;=0,0,CA1586*MAX(1,IF(H1586&gt;0,AX1586/H1586,1))),IF(R1586&gt;0,AY1586/R1586,0))/MAX(0.1,N(Parameter!$M$21)))</f>
        <v>0.0833333333333333</v>
      </c>
      <c r="BA1586" s="50" t="n">
        <f aca="false">AZ1586*BY1586</f>
        <v>12.0833333333333</v>
      </c>
      <c r="BB1586" s="50" t="n">
        <f aca="false">AX1586*G1586</f>
        <v>1292</v>
      </c>
      <c r="BC1586" s="50" t="n">
        <f aca="false">ROUNDUP(MAX(J1586/IF(CD1586&gt;0,CD1586,MAX(0.1,N(Cockpit!$O$6))),CG1586)/BV1586,0)*BV1586</f>
        <v>4</v>
      </c>
      <c r="BD1586" s="51" t="n">
        <f aca="false">IF(BA1586&gt;0,J1586/BA1586,-1)</f>
        <v>0</v>
      </c>
      <c r="BE1586" s="51" t="n">
        <f aca="false">IF(AND(OR(CC1586="L1",CC1586="L23",CC1586="LIFT"),BA1586&gt;0),SUMIFS($BA$7:$BA$1843,$CC$7:$CC$1843,CC1586,$BD$7:$BD$1843,"&gt;"&amp;BD1586)+SUMIFS($BA$7:$BA$1843,$CC$7:$CC$1843,CC1586,$BD$7:$BD$1843,BD1586,$BT$7:$BT$1843,"&lt;="&amp;BT1586),"")</f>
        <v>39568.365159558</v>
      </c>
      <c r="BF1586" s="58" t="n">
        <f aca="false">IF(BE1586="",0,MAX(0,MIN(1,(IF(CC1586="L1",Parameter!$H$5,IF(CC1586="L23",Parameter!$H$6+Parameter!$H$7,Parameter!$H$5+Parameter!$H$6+Parameter!$H$7))-(BE1586-BA1586))/BA1586)))</f>
        <v>0</v>
      </c>
      <c r="BG1586" s="48" t="str">
        <f aca="false">IF(AI1586&lt;=0,"",IF(CC1586="Aussen","Aussenlager",IF(CC1586="-","Nicht im Lift",IF(AN1586&gt;=1,"Lift",IF(AN1586&lt;=0,"Aussenlager","teilweise")))))</f>
        <v>Lift</v>
      </c>
      <c r="BH1586" s="48" t="str">
        <f aca="false">IF(AR1586&lt;=0,"",IF(CC1586="Aussen","Aussenlager",IF(CC1586="-","Nicht im Lift",IF(AW1586&gt;=1,"Lift",IF(AW1586&lt;=0,"Aussenlager","teilweise")))))</f>
        <v>Aussenlager</v>
      </c>
      <c r="BI1586" s="48" t="str">
        <f aca="false">IF(BA1586&lt;=0,"",IF(CC1586="Aussen","Aussenlager",IF(CC1586="-","Nicht im Lift",IF(BF1586&gt;=1,"Lift",IF(BF1586&lt;=0,"Aussenlager","teilweise")))))</f>
        <v>Aussenlager</v>
      </c>
      <c r="BJ1586" s="48" t="str">
        <f aca="false">IF(A1586="","",IF(BS1586=1,"Neu; ","")&amp;IF(AND(BS1586=0,BN1586&lt;0),"negativer Bestand (Export "&amp;BN1586&amp;"); ","")&amp;IF(J1586&lt;=0,"Kein Verbrauch; ","")&amp;IF(CL1586&gt;0,"Lift "&amp;W1586&amp;" lt. Liftbericht (Fach "&amp;X1586&amp;" Stk); ",IF(BX1586=1,"Gebinde geschätzt ("&amp;T1586&amp;"); ",IF(BW1586=1,"Lose – Tablare geschätzt; ","")))&amp;IF(H1586&gt;AT1586,"Überbestand "&amp;ROUND(H1586-AT1586,0)&amp;" Stk / CHF "&amp;ROUND((H1586-AT1586)*G1586,0)&amp;"; ","")&amp;IF(AND(CE1586=1,CF1586&lt;CG1586),"MAX &lt; MB+LG; ","")&amp;IF(AND(CK1586&gt;0,CJ1586*10&gt;CK1586),"zu hoch für Tablar; ","")&amp;IF(AND(BS1586=0,OR(CE1586=1,AA1586&lt;&gt;"",U1586&lt;&gt;"",V1586&lt;&gt;"",AB1586&lt;&gt;"")),"manuell übersteuert; ","")&amp;IF(AND(BW1586=0,R1586=0),"Gebinde unbekannt / Stellmass fehlt; ","")&amp;IF(AND(BW1586=0,N(V1586)&lt;=0,N(Q1586)&lt;=0),"Menge pro Gebinde fehlt (Ist = 1 Gebinde); ","")&amp;BR1586)</f>
        <v>Kein Verbrauch; Gebinde geschätzt (Mittel); Menge pro Gebinde fehlt (Ist = 1 Gebinde); nur im Artikelstamm (Bestand 23.06.2026)</v>
      </c>
      <c r="BK1586" s="48"/>
      <c r="BL1586" s="48"/>
      <c r="BM1586" s="55"/>
      <c r="BN1586" s="50" t="n">
        <v>2</v>
      </c>
      <c r="BO1586" s="50" t="n">
        <v>0</v>
      </c>
      <c r="BP1586" s="49" t="n">
        <v>0</v>
      </c>
      <c r="BQ1586" s="50" t="n">
        <v>0</v>
      </c>
      <c r="BR1586" s="48" t="s">
        <v>2579</v>
      </c>
      <c r="BS1586" s="53" t="n">
        <v>0</v>
      </c>
      <c r="BT1586" s="53" t="n">
        <v>1586</v>
      </c>
      <c r="BU1586" s="48" t="str">
        <f aca="false">IF(U1586&lt;&gt;"",UPPER(TRIM(U1586)),IF(BX1586=1,UPPER(VLOOKUP(T1586,Parameter!$I$27:$K$29,2,0)),IF(P1586="","LOSE",P1586)))</f>
        <v>S61</v>
      </c>
      <c r="BV1586" s="50" t="n">
        <f aca="false">IF(BU1586="LOSE",1,IF(N(V1586)&gt;0,V1586,IF(BX1586=1,MAX(1,N(VLOOKUP(T1586,Parameter!$I$27:$K$29,3,0)),H1586,N(N1586)),IF(N(Q1586)&gt;0,Q1586,MAX(1,H1586)))))</f>
        <v>4</v>
      </c>
      <c r="BW1586" s="53" t="n">
        <f aca="false">IF(BU1586="LOSE",1,0)</f>
        <v>0</v>
      </c>
      <c r="BX1586" s="53" t="n">
        <f aca="false">IF(AND(U1586="",OR(P1586="",P1586="LOSE"),T1586&lt;&gt;"",N(S1586)&lt;=0,ISNUMBER(MATCH(T1586,Parameter!$I$27:$I$29,0))),1,0)</f>
        <v>1</v>
      </c>
      <c r="BY1586" s="53" t="n">
        <f aca="false">IF(CL1586&gt;0,INDEX(Parameter!$H$5:$H$7,W1586)/INDEX(Parameter!$E$5:$E$7,W1586),IF(AND(BW1586=0,N(IFERROR(VLOOKUP(BU1586,'Gebinde-Kategorie'!$A$5:$N$45,14,0),0))&gt;0),VLOOKUP(BU1586,'Gebinde-Kategorie'!$A$5:$N$45,14,0)*10+Parameter!$M$23,Parameter!$M$24))</f>
        <v>145</v>
      </c>
      <c r="BZ1586" s="48" t="str">
        <f aca="false">IF(AND(Parameter!$B$19="Ja",E1586&lt;&gt;"",ISNUMBER(MATCH(E1586,Parameter!$I$35:$I$52,0))),VLOOKUP(E1586,Parameter!$I$35:$J$52,2,0),IFERROR(VLOOKUP(D1586,Parameter!$A$35:$C$64,2,0),"Nein"))</f>
        <v>2+3</v>
      </c>
      <c r="CA1586" s="52" t="n">
        <f aca="false">IF(BW1586=0,0,IF(N(S1586)&gt;0,S1586,IFERROR(VLOOKUP(D1586,Parameter!$A$35:$C$64,3,0)+0,0)))</f>
        <v>0</v>
      </c>
      <c r="CB1586" s="48" t="n">
        <f aca="false">IF(AA1586&lt;&gt;"",AA1586,Z1586)</f>
        <v>2</v>
      </c>
      <c r="CC1586" s="48" t="str">
        <f aca="false">IF(OR(CB1586=1,CB1586=2,CB1586=3),IF(Parameter!$E$27="Ja","LIFT",IF(CB1586=1,"L1","L23")),IF(CB1586="Aussen","Aussen","-"))</f>
        <v>LIFT</v>
      </c>
      <c r="CD1586" s="59" t="n">
        <f aca="false">IF(N(AB1586)&gt;0,AB1586,0)</f>
        <v>0</v>
      </c>
      <c r="CE1586" s="53" t="n">
        <f aca="false">IF(ISNUMBER(AE1586),1,0)</f>
        <v>0</v>
      </c>
      <c r="CF1586" s="50" t="n">
        <f aca="false">N(AE1586)</f>
        <v>0</v>
      </c>
      <c r="CG1586" s="50" t="n">
        <f aca="false">N(M1586)+N(N1586)</f>
        <v>1</v>
      </c>
      <c r="CH1586" s="50" t="n">
        <f aca="false">ROUNDUP(H1586/BV1586,0)</f>
        <v>1</v>
      </c>
      <c r="CI1586" s="50" t="n">
        <f aca="false">ROUNDUP(CF1586/BV1586,0)</f>
        <v>0</v>
      </c>
      <c r="CJ1586" s="53" t="n">
        <f aca="false">IF(BW1586=1,0,IFERROR(VLOOKUP(BU1586,'Gebinde-Kategorie'!$A$5:$N$45,5,0)+0,0))</f>
        <v>11</v>
      </c>
      <c r="CK1586" s="53" t="n">
        <f aca="false">IFERROR(IF(OR(CB1586=1,CB1586=2,CB1586=3),N(INDEX(Parameter!$I$5:$I$7,CB1586)),0),0)</f>
        <v>0</v>
      </c>
      <c r="CL1586" s="52" t="n">
        <f aca="false">IF(AND(Parameter!$B$21="Ja",ISNUMBER(W1586),N(X1586)&gt;0),IFERROR(N(INDEX(Parameter!$L$5:$L$7,W1586))*INDEX(Parameter!$E$5:$E$7,W1586)*X1586/SUMIFS($X$7:$X$1843,$W$7:$W$1843,W1586),0),0)</f>
        <v>0</v>
      </c>
    </row>
    <row r="1587" customFormat="false" ht="15" hidden="false" customHeight="false" outlineLevel="0" collapsed="false">
      <c r="A1587" s="48" t="s">
        <v>2772</v>
      </c>
      <c r="B1587" s="48" t="s">
        <v>2768</v>
      </c>
      <c r="C1587" s="48" t="s">
        <v>168</v>
      </c>
      <c r="D1587" s="48" t="s">
        <v>177</v>
      </c>
      <c r="E1587" s="48"/>
      <c r="F1587" s="48"/>
      <c r="G1587" s="49" t="n">
        <v>323</v>
      </c>
      <c r="H1587" s="50" t="n">
        <f aca="false">MAX(0,IF(AND(Parameter!$B$21="Ja",ISNUMBER(Y1587)),Y1587,IF(Parameter!$B$20="Jahresanfang 2025 + Export",BO1587+BN1587,BN1587)))</f>
        <v>1</v>
      </c>
      <c r="I1587" s="50" t="n">
        <f aca="false">H1587*G1587</f>
        <v>323</v>
      </c>
      <c r="J1587" s="50" t="n">
        <f aca="false">BQ1587*Parameter!$B$18</f>
        <v>0</v>
      </c>
      <c r="K1587" s="51"/>
      <c r="L1587" s="52"/>
      <c r="M1587" s="50" t="n">
        <v>0</v>
      </c>
      <c r="N1587" s="50" t="n">
        <v>1</v>
      </c>
      <c r="O1587" s="53" t="n">
        <v>0</v>
      </c>
      <c r="P1587" s="48" t="s">
        <v>172</v>
      </c>
      <c r="Q1587" s="50"/>
      <c r="R1587" s="53" t="n">
        <f aca="false">IF(BW1587=1,0,IFERROR(VLOOKUP(BU1587,'Gebinde-Kategorie'!$A$5:$N$45,13,0)+0,0))</f>
        <v>12</v>
      </c>
      <c r="S1587" s="54"/>
      <c r="T1587" s="55" t="s">
        <v>183</v>
      </c>
      <c r="U1587" s="55"/>
      <c r="V1587" s="55"/>
      <c r="W1587" s="48"/>
      <c r="X1587" s="50"/>
      <c r="Y1587" s="50"/>
      <c r="Z1587" s="48" t="n">
        <f aca="false">IF(A1587="","",IF(AND(Parameter!$B$21="Ja",ISNUMBER(W1587)),W1587,IF(BZ1587="2+3",IF(ISNUMBER(SEARCH("grosser Artikel",BR1587)),2,IFERROR(VLOOKUP(BU1587,Parameter!$F$35:$G$64,2,0),2)),IF(OR(BZ1587="Nein",BZ1587=""),"-",BZ1587))))</f>
        <v>2</v>
      </c>
      <c r="AA1587" s="55"/>
      <c r="AB1587" s="56"/>
      <c r="AC1587" s="50" t="n">
        <f aca="false">AT1587</f>
        <v>4</v>
      </c>
      <c r="AD1587" s="50" t="n">
        <f aca="false">MAX(AT1587,H1587)</f>
        <v>4</v>
      </c>
      <c r="AE1587" s="57"/>
      <c r="AF1587" s="50" t="n">
        <f aca="false">IF(LEFT(Cockpit!$C$5,1)="A",H1587,IF(CE1587=1,CF1587,IF(LEFT(Cockpit!$C$5,1)="B",AK1587,MAX(AK1587,H1587))))</f>
        <v>1</v>
      </c>
      <c r="AG1587" s="50" t="n">
        <f aca="false">IF(BW1587=1,0,ROUNDUP(AF1587/BV1587,0))</f>
        <v>1</v>
      </c>
      <c r="AH1587" s="52" t="n">
        <f aca="false">IF(CL1587&gt;0,CL1587*MAX(1,AF1587/X1587),IF(BW1587=1,IF(AF1587&lt;=0,0,CA1587*MAX(1,IF(H1587&gt;0,AF1587/H1587,1))),IF(R1587&gt;0,AG1587/R1587,0))/MAX(0.1,N(Parameter!$M$21)))</f>
        <v>0.0833333333333333</v>
      </c>
      <c r="AI1587" s="50" t="n">
        <f aca="false">AH1587*BY1587</f>
        <v>12.0833333333333</v>
      </c>
      <c r="AJ1587" s="50" t="n">
        <f aca="false">AF1587*G1587</f>
        <v>323</v>
      </c>
      <c r="AK1587" s="50" t="n">
        <f aca="false">ROUNDUP(MAX(J1587/IF(CD1587&gt;0,CD1587,MAX(0.1,N(Cockpit!$C$6))),CG1587)/BV1587,0)*BV1587</f>
        <v>4</v>
      </c>
      <c r="AL1587" s="51" t="n">
        <f aca="false">IF(AI1587&gt;0,J1587/AI1587,-1)</f>
        <v>0</v>
      </c>
      <c r="AM1587" s="51" t="n">
        <f aca="false">IF(AND(OR(CC1587="L1",CC1587="L23",CC1587="LIFT"),AI1587&gt;0),SUMIFS($AI$7:$AI$1843,$CC$7:$CC$1843,CC1587,$AL$7:$AL$1843,"&gt;"&amp;AL1587)+SUMIFS($AI$7:$AI$1843,$CC$7:$CC$1843,CC1587,$AL$7:$AL$1843,AL1587,$BT$7:$BT$1843,"&lt;="&amp;BT1587),"")</f>
        <v>30543.5341388837</v>
      </c>
      <c r="AN1587" s="58" t="n">
        <f aca="false">IF(AM1587="",0,MAX(0,MIN(1,(IF(CC1587="L1",Parameter!$H$5,IF(CC1587="L23",Parameter!$H$6+Parameter!$H$7,Parameter!$H$5+Parameter!$H$6+Parameter!$H$7))-(AM1587-AI1587))/AI1587)))</f>
        <v>1</v>
      </c>
      <c r="AO1587" s="50" t="n">
        <f aca="false">IF(LEFT(Cockpit!$I$5,1)="A",H1587,IF(CE1587=1,CF1587,IF(LEFT(Cockpit!$I$5,1)="B",AT1587,MAX(AT1587,H1587))))</f>
        <v>4</v>
      </c>
      <c r="AP1587" s="50" t="n">
        <f aca="false">IF(BW1587=1,0,ROUNDUP(AO1587/BV1587,0))</f>
        <v>1</v>
      </c>
      <c r="AQ1587" s="52" t="n">
        <f aca="false">IF(CL1587&gt;0,CL1587*MAX(1,AO1587/X1587),IF(BW1587=1,IF(AO1587&lt;=0,0,CA1587*MAX(1,IF(H1587&gt;0,AO1587/H1587,1))),IF(R1587&gt;0,AP1587/R1587,0))/MAX(0.1,N(Parameter!$M$21)))</f>
        <v>0.0833333333333333</v>
      </c>
      <c r="AR1587" s="50" t="n">
        <f aca="false">AQ1587*BY1587</f>
        <v>12.0833333333333</v>
      </c>
      <c r="AS1587" s="50" t="n">
        <f aca="false">AO1587*G1587</f>
        <v>1292</v>
      </c>
      <c r="AT1587" s="50" t="n">
        <f aca="false">ROUNDUP(MAX(J1587/IF(CD1587&gt;0,CD1587,MAX(0.1,N(Cockpit!$I$6))),CG1587)/BV1587,0)*BV1587</f>
        <v>4</v>
      </c>
      <c r="AU1587" s="51" t="n">
        <f aca="false">IF(AR1587&gt;0,J1587/AR1587,-1)</f>
        <v>0</v>
      </c>
      <c r="AV1587" s="51" t="n">
        <f aca="false">IF(AND(OR(CC1587="L1",CC1587="L23",CC1587="LIFT"),AR1587&gt;0),SUMIFS($AR$7:$AR$1843,$CC$7:$CC$1843,CC1587,$AU$7:$AU$1843,"&gt;"&amp;AU1587)+SUMIFS($AR$7:$AR$1843,$CC$7:$CC$1843,CC1587,$AU$7:$AU$1843,AU1587,$BT$7:$BT$1843,"&lt;="&amp;BT1587),"")</f>
        <v>42905.4364510254</v>
      </c>
      <c r="AW1587" s="58" t="n">
        <f aca="false">IF(AV1587="",0,MAX(0,MIN(1,(IF(CC1587="L1",Parameter!$H$5,IF(CC1587="L23",Parameter!$H$6+Parameter!$H$7,Parameter!$H$5+Parameter!$H$6+Parameter!$H$7))-(AV1587-AR1587))/AR1587)))</f>
        <v>0</v>
      </c>
      <c r="AX1587" s="50" t="n">
        <f aca="false">IF(LEFT(Cockpit!$O$5,1)="A",H1587,IF(CE1587=1,CF1587,IF(LEFT(Cockpit!$O$5,1)="B",BC1587,MAX(BC1587,H1587))))</f>
        <v>4</v>
      </c>
      <c r="AY1587" s="50" t="n">
        <f aca="false">IF(BW1587=1,0,ROUNDUP(AX1587/BV1587,0))</f>
        <v>1</v>
      </c>
      <c r="AZ1587" s="52" t="n">
        <f aca="false">IF(CL1587&gt;0,CL1587*MAX(1,AX1587/X1587),IF(BW1587=1,IF(AX1587&lt;=0,0,CA1587*MAX(1,IF(H1587&gt;0,AX1587/H1587,1))),IF(R1587&gt;0,AY1587/R1587,0))/MAX(0.1,N(Parameter!$M$21)))</f>
        <v>0.0833333333333333</v>
      </c>
      <c r="BA1587" s="50" t="n">
        <f aca="false">AZ1587*BY1587</f>
        <v>12.0833333333333</v>
      </c>
      <c r="BB1587" s="50" t="n">
        <f aca="false">AX1587*G1587</f>
        <v>1292</v>
      </c>
      <c r="BC1587" s="50" t="n">
        <f aca="false">ROUNDUP(MAX(J1587/IF(CD1587&gt;0,CD1587,MAX(0.1,N(Cockpit!$O$6))),CG1587)/BV1587,0)*BV1587</f>
        <v>4</v>
      </c>
      <c r="BD1587" s="51" t="n">
        <f aca="false">IF(BA1587&gt;0,J1587/BA1587,-1)</f>
        <v>0</v>
      </c>
      <c r="BE1587" s="51" t="n">
        <f aca="false">IF(AND(OR(CC1587="L1",CC1587="L23",CC1587="LIFT"),BA1587&gt;0),SUMIFS($BA$7:$BA$1843,$CC$7:$CC$1843,CC1587,$BD$7:$BD$1843,"&gt;"&amp;BD1587)+SUMIFS($BA$7:$BA$1843,$CC$7:$CC$1843,CC1587,$BD$7:$BD$1843,BD1587,$BT$7:$BT$1843,"&lt;="&amp;BT1587),"")</f>
        <v>39580.4484928913</v>
      </c>
      <c r="BF1587" s="58" t="n">
        <f aca="false">IF(BE1587="",0,MAX(0,MIN(1,(IF(CC1587="L1",Parameter!$H$5,IF(CC1587="L23",Parameter!$H$6+Parameter!$H$7,Parameter!$H$5+Parameter!$H$6+Parameter!$H$7))-(BE1587-BA1587))/BA1587)))</f>
        <v>0</v>
      </c>
      <c r="BG1587" s="48" t="str">
        <f aca="false">IF(AI1587&lt;=0,"",IF(CC1587="Aussen","Aussenlager",IF(CC1587="-","Nicht im Lift",IF(AN1587&gt;=1,"Lift",IF(AN1587&lt;=0,"Aussenlager","teilweise")))))</f>
        <v>Lift</v>
      </c>
      <c r="BH1587" s="48" t="str">
        <f aca="false">IF(AR1587&lt;=0,"",IF(CC1587="Aussen","Aussenlager",IF(CC1587="-","Nicht im Lift",IF(AW1587&gt;=1,"Lift",IF(AW1587&lt;=0,"Aussenlager","teilweise")))))</f>
        <v>Aussenlager</v>
      </c>
      <c r="BI1587" s="48" t="str">
        <f aca="false">IF(BA1587&lt;=0,"",IF(CC1587="Aussen","Aussenlager",IF(CC1587="-","Nicht im Lift",IF(BF1587&gt;=1,"Lift",IF(BF1587&lt;=0,"Aussenlager","teilweise")))))</f>
        <v>Aussenlager</v>
      </c>
      <c r="BJ1587" s="48" t="str">
        <f aca="false">IF(A1587="","",IF(BS1587=1,"Neu; ","")&amp;IF(AND(BS1587=0,BN1587&lt;0),"negativer Bestand (Export "&amp;BN1587&amp;"); ","")&amp;IF(J1587&lt;=0,"Kein Verbrauch; ","")&amp;IF(CL1587&gt;0,"Lift "&amp;W1587&amp;" lt. Liftbericht (Fach "&amp;X1587&amp;" Stk); ",IF(BX1587=1,"Gebinde geschätzt ("&amp;T1587&amp;"); ",IF(BW1587=1,"Lose – Tablare geschätzt; ","")))&amp;IF(H1587&gt;AT1587,"Überbestand "&amp;ROUND(H1587-AT1587,0)&amp;" Stk / CHF "&amp;ROUND((H1587-AT1587)*G1587,0)&amp;"; ","")&amp;IF(AND(CE1587=1,CF1587&lt;CG1587),"MAX &lt; MB+LG; ","")&amp;IF(AND(CK1587&gt;0,CJ1587*10&gt;CK1587),"zu hoch für Tablar; ","")&amp;IF(AND(BS1587=0,OR(CE1587=1,AA1587&lt;&gt;"",U1587&lt;&gt;"",V1587&lt;&gt;"",AB1587&lt;&gt;"")),"manuell übersteuert; ","")&amp;IF(AND(BW1587=0,R1587=0),"Gebinde unbekannt / Stellmass fehlt; ","")&amp;IF(AND(BW1587=0,N(V1587)&lt;=0,N(Q1587)&lt;=0),"Menge pro Gebinde fehlt (Ist = 1 Gebinde); ","")&amp;BR1587)</f>
        <v>Kein Verbrauch; Gebinde geschätzt (Mittel); Menge pro Gebinde fehlt (Ist = 1 Gebinde); nur im Artikelstamm (Bestand 23.06.2026)</v>
      </c>
      <c r="BK1587" s="48"/>
      <c r="BL1587" s="48"/>
      <c r="BM1587" s="55"/>
      <c r="BN1587" s="50" t="n">
        <v>1</v>
      </c>
      <c r="BO1587" s="50" t="n">
        <v>0</v>
      </c>
      <c r="BP1587" s="49" t="n">
        <v>0</v>
      </c>
      <c r="BQ1587" s="50" t="n">
        <v>0</v>
      </c>
      <c r="BR1587" s="48" t="s">
        <v>2579</v>
      </c>
      <c r="BS1587" s="53" t="n">
        <v>0</v>
      </c>
      <c r="BT1587" s="53" t="n">
        <v>1587</v>
      </c>
      <c r="BU1587" s="48" t="str">
        <f aca="false">IF(U1587&lt;&gt;"",UPPER(TRIM(U1587)),IF(BX1587=1,UPPER(VLOOKUP(T1587,Parameter!$I$27:$K$29,2,0)),IF(P1587="","LOSE",P1587)))</f>
        <v>S61</v>
      </c>
      <c r="BV1587" s="50" t="n">
        <f aca="false">IF(BU1587="LOSE",1,IF(N(V1587)&gt;0,V1587,IF(BX1587=1,MAX(1,N(VLOOKUP(T1587,Parameter!$I$27:$K$29,3,0)),H1587,N(N1587)),IF(N(Q1587)&gt;0,Q1587,MAX(1,H1587)))))</f>
        <v>4</v>
      </c>
      <c r="BW1587" s="53" t="n">
        <f aca="false">IF(BU1587="LOSE",1,0)</f>
        <v>0</v>
      </c>
      <c r="BX1587" s="53" t="n">
        <f aca="false">IF(AND(U1587="",OR(P1587="",P1587="LOSE"),T1587&lt;&gt;"",N(S1587)&lt;=0,ISNUMBER(MATCH(T1587,Parameter!$I$27:$I$29,0))),1,0)</f>
        <v>1</v>
      </c>
      <c r="BY1587" s="53" t="n">
        <f aca="false">IF(CL1587&gt;0,INDEX(Parameter!$H$5:$H$7,W1587)/INDEX(Parameter!$E$5:$E$7,W1587),IF(AND(BW1587=0,N(IFERROR(VLOOKUP(BU1587,'Gebinde-Kategorie'!$A$5:$N$45,14,0),0))&gt;0),VLOOKUP(BU1587,'Gebinde-Kategorie'!$A$5:$N$45,14,0)*10+Parameter!$M$23,Parameter!$M$24))</f>
        <v>145</v>
      </c>
      <c r="BZ1587" s="48" t="str">
        <f aca="false">IF(AND(Parameter!$B$19="Ja",E1587&lt;&gt;"",ISNUMBER(MATCH(E1587,Parameter!$I$35:$I$52,0))),VLOOKUP(E1587,Parameter!$I$35:$J$52,2,0),IFERROR(VLOOKUP(D1587,Parameter!$A$35:$C$64,2,0),"Nein"))</f>
        <v>2+3</v>
      </c>
      <c r="CA1587" s="52" t="n">
        <f aca="false">IF(BW1587=0,0,IF(N(S1587)&gt;0,S1587,IFERROR(VLOOKUP(D1587,Parameter!$A$35:$C$64,3,0)+0,0)))</f>
        <v>0</v>
      </c>
      <c r="CB1587" s="48" t="n">
        <f aca="false">IF(AA1587&lt;&gt;"",AA1587,Z1587)</f>
        <v>2</v>
      </c>
      <c r="CC1587" s="48" t="str">
        <f aca="false">IF(OR(CB1587=1,CB1587=2,CB1587=3),IF(Parameter!$E$27="Ja","LIFT",IF(CB1587=1,"L1","L23")),IF(CB1587="Aussen","Aussen","-"))</f>
        <v>LIFT</v>
      </c>
      <c r="CD1587" s="59" t="n">
        <f aca="false">IF(N(AB1587)&gt;0,AB1587,0)</f>
        <v>0</v>
      </c>
      <c r="CE1587" s="53" t="n">
        <f aca="false">IF(ISNUMBER(AE1587),1,0)</f>
        <v>0</v>
      </c>
      <c r="CF1587" s="50" t="n">
        <f aca="false">N(AE1587)</f>
        <v>0</v>
      </c>
      <c r="CG1587" s="50" t="n">
        <f aca="false">N(M1587)+N(N1587)</f>
        <v>1</v>
      </c>
      <c r="CH1587" s="50" t="n">
        <f aca="false">ROUNDUP(H1587/BV1587,0)</f>
        <v>1</v>
      </c>
      <c r="CI1587" s="50" t="n">
        <f aca="false">ROUNDUP(CF1587/BV1587,0)</f>
        <v>0</v>
      </c>
      <c r="CJ1587" s="53" t="n">
        <f aca="false">IF(BW1587=1,0,IFERROR(VLOOKUP(BU1587,'Gebinde-Kategorie'!$A$5:$N$45,5,0)+0,0))</f>
        <v>11</v>
      </c>
      <c r="CK1587" s="53" t="n">
        <f aca="false">IFERROR(IF(OR(CB1587=1,CB1587=2,CB1587=3),N(INDEX(Parameter!$I$5:$I$7,CB1587)),0),0)</f>
        <v>0</v>
      </c>
      <c r="CL1587" s="52" t="n">
        <f aca="false">IF(AND(Parameter!$B$21="Ja",ISNUMBER(W1587),N(X1587)&gt;0),IFERROR(N(INDEX(Parameter!$L$5:$L$7,W1587))*INDEX(Parameter!$E$5:$E$7,W1587)*X1587/SUMIFS($X$7:$X$1843,$W$7:$W$1843,W1587),0),0)</f>
        <v>0</v>
      </c>
    </row>
    <row r="1588" customFormat="false" ht="15" hidden="false" customHeight="false" outlineLevel="0" collapsed="false">
      <c r="A1588" s="48" t="s">
        <v>2773</v>
      </c>
      <c r="B1588" s="48" t="s">
        <v>2768</v>
      </c>
      <c r="C1588" s="48" t="s">
        <v>168</v>
      </c>
      <c r="D1588" s="48" t="s">
        <v>177</v>
      </c>
      <c r="E1588" s="48"/>
      <c r="F1588" s="48"/>
      <c r="G1588" s="49" t="n">
        <v>323</v>
      </c>
      <c r="H1588" s="50" t="n">
        <f aca="false">MAX(0,IF(AND(Parameter!$B$21="Ja",ISNUMBER(Y1588)),Y1588,IF(Parameter!$B$20="Jahresanfang 2025 + Export",BO1588+BN1588,BN1588)))</f>
        <v>2</v>
      </c>
      <c r="I1588" s="50" t="n">
        <f aca="false">H1588*G1588</f>
        <v>646</v>
      </c>
      <c r="J1588" s="50" t="n">
        <f aca="false">BQ1588*Parameter!$B$18</f>
        <v>0</v>
      </c>
      <c r="K1588" s="51"/>
      <c r="L1588" s="52"/>
      <c r="M1588" s="50" t="n">
        <v>0</v>
      </c>
      <c r="N1588" s="50" t="n">
        <v>1</v>
      </c>
      <c r="O1588" s="53" t="n">
        <v>0</v>
      </c>
      <c r="P1588" s="48" t="s">
        <v>172</v>
      </c>
      <c r="Q1588" s="50"/>
      <c r="R1588" s="53" t="n">
        <f aca="false">IF(BW1588=1,0,IFERROR(VLOOKUP(BU1588,'Gebinde-Kategorie'!$A$5:$N$45,13,0)+0,0))</f>
        <v>12</v>
      </c>
      <c r="S1588" s="54"/>
      <c r="T1588" s="55" t="s">
        <v>183</v>
      </c>
      <c r="U1588" s="55"/>
      <c r="V1588" s="55"/>
      <c r="W1588" s="48"/>
      <c r="X1588" s="50"/>
      <c r="Y1588" s="50"/>
      <c r="Z1588" s="48" t="n">
        <f aca="false">IF(A1588="","",IF(AND(Parameter!$B$21="Ja",ISNUMBER(W1588)),W1588,IF(BZ1588="2+3",IF(ISNUMBER(SEARCH("grosser Artikel",BR1588)),2,IFERROR(VLOOKUP(BU1588,Parameter!$F$35:$G$64,2,0),2)),IF(OR(BZ1588="Nein",BZ1588=""),"-",BZ1588))))</f>
        <v>2</v>
      </c>
      <c r="AA1588" s="55"/>
      <c r="AB1588" s="56"/>
      <c r="AC1588" s="50" t="n">
        <f aca="false">AT1588</f>
        <v>4</v>
      </c>
      <c r="AD1588" s="50" t="n">
        <f aca="false">MAX(AT1588,H1588)</f>
        <v>4</v>
      </c>
      <c r="AE1588" s="57"/>
      <c r="AF1588" s="50" t="n">
        <f aca="false">IF(LEFT(Cockpit!$C$5,1)="A",H1588,IF(CE1588=1,CF1588,IF(LEFT(Cockpit!$C$5,1)="B",AK1588,MAX(AK1588,H1588))))</f>
        <v>2</v>
      </c>
      <c r="AG1588" s="50" t="n">
        <f aca="false">IF(BW1588=1,0,ROUNDUP(AF1588/BV1588,0))</f>
        <v>1</v>
      </c>
      <c r="AH1588" s="52" t="n">
        <f aca="false">IF(CL1588&gt;0,CL1588*MAX(1,AF1588/X1588),IF(BW1588=1,IF(AF1588&lt;=0,0,CA1588*MAX(1,IF(H1588&gt;0,AF1588/H1588,1))),IF(R1588&gt;0,AG1588/R1588,0))/MAX(0.1,N(Parameter!$M$21)))</f>
        <v>0.0833333333333333</v>
      </c>
      <c r="AI1588" s="50" t="n">
        <f aca="false">AH1588*BY1588</f>
        <v>12.0833333333333</v>
      </c>
      <c r="AJ1588" s="50" t="n">
        <f aca="false">AF1588*G1588</f>
        <v>646</v>
      </c>
      <c r="AK1588" s="50" t="n">
        <f aca="false">ROUNDUP(MAX(J1588/IF(CD1588&gt;0,CD1588,MAX(0.1,N(Cockpit!$C$6))),CG1588)/BV1588,0)*BV1588</f>
        <v>4</v>
      </c>
      <c r="AL1588" s="51" t="n">
        <f aca="false">IF(AI1588&gt;0,J1588/AI1588,-1)</f>
        <v>0</v>
      </c>
      <c r="AM1588" s="51" t="n">
        <f aca="false">IF(AND(OR(CC1588="L1",CC1588="L23",CC1588="LIFT"),AI1588&gt;0),SUMIFS($AI$7:$AI$1843,$CC$7:$CC$1843,CC1588,$AL$7:$AL$1843,"&gt;"&amp;AL1588)+SUMIFS($AI$7:$AI$1843,$CC$7:$CC$1843,CC1588,$AL$7:$AL$1843,AL1588,$BT$7:$BT$1843,"&lt;="&amp;BT1588),"")</f>
        <v>30555.617472217</v>
      </c>
      <c r="AN1588" s="58" t="n">
        <f aca="false">IF(AM1588="",0,MAX(0,MIN(1,(IF(CC1588="L1",Parameter!$H$5,IF(CC1588="L23",Parameter!$H$6+Parameter!$H$7,Parameter!$H$5+Parameter!$H$6+Parameter!$H$7))-(AM1588-AI1588))/AI1588)))</f>
        <v>1</v>
      </c>
      <c r="AO1588" s="50" t="n">
        <f aca="false">IF(LEFT(Cockpit!$I$5,1)="A",H1588,IF(CE1588=1,CF1588,IF(LEFT(Cockpit!$I$5,1)="B",AT1588,MAX(AT1588,H1588))))</f>
        <v>4</v>
      </c>
      <c r="AP1588" s="50" t="n">
        <f aca="false">IF(BW1588=1,0,ROUNDUP(AO1588/BV1588,0))</f>
        <v>1</v>
      </c>
      <c r="AQ1588" s="52" t="n">
        <f aca="false">IF(CL1588&gt;0,CL1588*MAX(1,AO1588/X1588),IF(BW1588=1,IF(AO1588&lt;=0,0,CA1588*MAX(1,IF(H1588&gt;0,AO1588/H1588,1))),IF(R1588&gt;0,AP1588/R1588,0))/MAX(0.1,N(Parameter!$M$21)))</f>
        <v>0.0833333333333333</v>
      </c>
      <c r="AR1588" s="50" t="n">
        <f aca="false">AQ1588*BY1588</f>
        <v>12.0833333333333</v>
      </c>
      <c r="AS1588" s="50" t="n">
        <f aca="false">AO1588*G1588</f>
        <v>1292</v>
      </c>
      <c r="AT1588" s="50" t="n">
        <f aca="false">ROUNDUP(MAX(J1588/IF(CD1588&gt;0,CD1588,MAX(0.1,N(Cockpit!$I$6))),CG1588)/BV1588,0)*BV1588</f>
        <v>4</v>
      </c>
      <c r="AU1588" s="51" t="n">
        <f aca="false">IF(AR1588&gt;0,J1588/AR1588,-1)</f>
        <v>0</v>
      </c>
      <c r="AV1588" s="51" t="n">
        <f aca="false">IF(AND(OR(CC1588="L1",CC1588="L23",CC1588="LIFT"),AR1588&gt;0),SUMIFS($AR$7:$AR$1843,$CC$7:$CC$1843,CC1588,$AU$7:$AU$1843,"&gt;"&amp;AU1588)+SUMIFS($AR$7:$AR$1843,$CC$7:$CC$1843,CC1588,$AU$7:$AU$1843,AU1588,$BT$7:$BT$1843,"&lt;="&amp;BT1588),"")</f>
        <v>42917.5197843588</v>
      </c>
      <c r="AW1588" s="58" t="n">
        <f aca="false">IF(AV1588="",0,MAX(0,MIN(1,(IF(CC1588="L1",Parameter!$H$5,IF(CC1588="L23",Parameter!$H$6+Parameter!$H$7,Parameter!$H$5+Parameter!$H$6+Parameter!$H$7))-(AV1588-AR1588))/AR1588)))</f>
        <v>0</v>
      </c>
      <c r="AX1588" s="50" t="n">
        <f aca="false">IF(LEFT(Cockpit!$O$5,1)="A",H1588,IF(CE1588=1,CF1588,IF(LEFT(Cockpit!$O$5,1)="B",BC1588,MAX(BC1588,H1588))))</f>
        <v>4</v>
      </c>
      <c r="AY1588" s="50" t="n">
        <f aca="false">IF(BW1588=1,0,ROUNDUP(AX1588/BV1588,0))</f>
        <v>1</v>
      </c>
      <c r="AZ1588" s="52" t="n">
        <f aca="false">IF(CL1588&gt;0,CL1588*MAX(1,AX1588/X1588),IF(BW1588=1,IF(AX1588&lt;=0,0,CA1588*MAX(1,IF(H1588&gt;0,AX1588/H1588,1))),IF(R1588&gt;0,AY1588/R1588,0))/MAX(0.1,N(Parameter!$M$21)))</f>
        <v>0.0833333333333333</v>
      </c>
      <c r="BA1588" s="50" t="n">
        <f aca="false">AZ1588*BY1588</f>
        <v>12.0833333333333</v>
      </c>
      <c r="BB1588" s="50" t="n">
        <f aca="false">AX1588*G1588</f>
        <v>1292</v>
      </c>
      <c r="BC1588" s="50" t="n">
        <f aca="false">ROUNDUP(MAX(J1588/IF(CD1588&gt;0,CD1588,MAX(0.1,N(Cockpit!$O$6))),CG1588)/BV1588,0)*BV1588</f>
        <v>4</v>
      </c>
      <c r="BD1588" s="51" t="n">
        <f aca="false">IF(BA1588&gt;0,J1588/BA1588,-1)</f>
        <v>0</v>
      </c>
      <c r="BE1588" s="51" t="n">
        <f aca="false">IF(AND(OR(CC1588="L1",CC1588="L23",CC1588="LIFT"),BA1588&gt;0),SUMIFS($BA$7:$BA$1843,$CC$7:$CC$1843,CC1588,$BD$7:$BD$1843,"&gt;"&amp;BD1588)+SUMIFS($BA$7:$BA$1843,$CC$7:$CC$1843,CC1588,$BD$7:$BD$1843,BD1588,$BT$7:$BT$1843,"&lt;="&amp;BT1588),"")</f>
        <v>39592.5318262246</v>
      </c>
      <c r="BF1588" s="58" t="n">
        <f aca="false">IF(BE1588="",0,MAX(0,MIN(1,(IF(CC1588="L1",Parameter!$H$5,IF(CC1588="L23",Parameter!$H$6+Parameter!$H$7,Parameter!$H$5+Parameter!$H$6+Parameter!$H$7))-(BE1588-BA1588))/BA1588)))</f>
        <v>0</v>
      </c>
      <c r="BG1588" s="48" t="str">
        <f aca="false">IF(AI1588&lt;=0,"",IF(CC1588="Aussen","Aussenlager",IF(CC1588="-","Nicht im Lift",IF(AN1588&gt;=1,"Lift",IF(AN1588&lt;=0,"Aussenlager","teilweise")))))</f>
        <v>Lift</v>
      </c>
      <c r="BH1588" s="48" t="str">
        <f aca="false">IF(AR1588&lt;=0,"",IF(CC1588="Aussen","Aussenlager",IF(CC1588="-","Nicht im Lift",IF(AW1588&gt;=1,"Lift",IF(AW1588&lt;=0,"Aussenlager","teilweise")))))</f>
        <v>Aussenlager</v>
      </c>
      <c r="BI1588" s="48" t="str">
        <f aca="false">IF(BA1588&lt;=0,"",IF(CC1588="Aussen","Aussenlager",IF(CC1588="-","Nicht im Lift",IF(BF1588&gt;=1,"Lift",IF(BF1588&lt;=0,"Aussenlager","teilweise")))))</f>
        <v>Aussenlager</v>
      </c>
      <c r="BJ1588" s="48" t="str">
        <f aca="false">IF(A1588="","",IF(BS1588=1,"Neu; ","")&amp;IF(AND(BS1588=0,BN1588&lt;0),"negativer Bestand (Export "&amp;BN1588&amp;"); ","")&amp;IF(J1588&lt;=0,"Kein Verbrauch; ","")&amp;IF(CL1588&gt;0,"Lift "&amp;W1588&amp;" lt. Liftbericht (Fach "&amp;X1588&amp;" Stk); ",IF(BX1588=1,"Gebinde geschätzt ("&amp;T1588&amp;"); ",IF(BW1588=1,"Lose – Tablare geschätzt; ","")))&amp;IF(H1588&gt;AT1588,"Überbestand "&amp;ROUND(H1588-AT1588,0)&amp;" Stk / CHF "&amp;ROUND((H1588-AT1588)*G1588,0)&amp;"; ","")&amp;IF(AND(CE1588=1,CF1588&lt;CG1588),"MAX &lt; MB+LG; ","")&amp;IF(AND(CK1588&gt;0,CJ1588*10&gt;CK1588),"zu hoch für Tablar; ","")&amp;IF(AND(BS1588=0,OR(CE1588=1,AA1588&lt;&gt;"",U1588&lt;&gt;"",V1588&lt;&gt;"",AB1588&lt;&gt;"")),"manuell übersteuert; ","")&amp;IF(AND(BW1588=0,R1588=0),"Gebinde unbekannt / Stellmass fehlt; ","")&amp;IF(AND(BW1588=0,N(V1588)&lt;=0,N(Q1588)&lt;=0),"Menge pro Gebinde fehlt (Ist = 1 Gebinde); ","")&amp;BR1588)</f>
        <v>Kein Verbrauch; Gebinde geschätzt (Mittel); Menge pro Gebinde fehlt (Ist = 1 Gebinde); nur im Artikelstamm (Bestand 23.06.2026)</v>
      </c>
      <c r="BK1588" s="48"/>
      <c r="BL1588" s="48"/>
      <c r="BM1588" s="55"/>
      <c r="BN1588" s="50" t="n">
        <v>2</v>
      </c>
      <c r="BO1588" s="50" t="n">
        <v>0</v>
      </c>
      <c r="BP1588" s="49" t="n">
        <v>0</v>
      </c>
      <c r="BQ1588" s="50" t="n">
        <v>0</v>
      </c>
      <c r="BR1588" s="48" t="s">
        <v>2579</v>
      </c>
      <c r="BS1588" s="53" t="n">
        <v>0</v>
      </c>
      <c r="BT1588" s="53" t="n">
        <v>1588</v>
      </c>
      <c r="BU1588" s="48" t="str">
        <f aca="false">IF(U1588&lt;&gt;"",UPPER(TRIM(U1588)),IF(BX1588=1,UPPER(VLOOKUP(T1588,Parameter!$I$27:$K$29,2,0)),IF(P1588="","LOSE",P1588)))</f>
        <v>S61</v>
      </c>
      <c r="BV1588" s="50" t="n">
        <f aca="false">IF(BU1588="LOSE",1,IF(N(V1588)&gt;0,V1588,IF(BX1588=1,MAX(1,N(VLOOKUP(T1588,Parameter!$I$27:$K$29,3,0)),H1588,N(N1588)),IF(N(Q1588)&gt;0,Q1588,MAX(1,H1588)))))</f>
        <v>4</v>
      </c>
      <c r="BW1588" s="53" t="n">
        <f aca="false">IF(BU1588="LOSE",1,0)</f>
        <v>0</v>
      </c>
      <c r="BX1588" s="53" t="n">
        <f aca="false">IF(AND(U1588="",OR(P1588="",P1588="LOSE"),T1588&lt;&gt;"",N(S1588)&lt;=0,ISNUMBER(MATCH(T1588,Parameter!$I$27:$I$29,0))),1,0)</f>
        <v>1</v>
      </c>
      <c r="BY1588" s="53" t="n">
        <f aca="false">IF(CL1588&gt;0,INDEX(Parameter!$H$5:$H$7,W1588)/INDEX(Parameter!$E$5:$E$7,W1588),IF(AND(BW1588=0,N(IFERROR(VLOOKUP(BU1588,'Gebinde-Kategorie'!$A$5:$N$45,14,0),0))&gt;0),VLOOKUP(BU1588,'Gebinde-Kategorie'!$A$5:$N$45,14,0)*10+Parameter!$M$23,Parameter!$M$24))</f>
        <v>145</v>
      </c>
      <c r="BZ1588" s="48" t="str">
        <f aca="false">IF(AND(Parameter!$B$19="Ja",E1588&lt;&gt;"",ISNUMBER(MATCH(E1588,Parameter!$I$35:$I$52,0))),VLOOKUP(E1588,Parameter!$I$35:$J$52,2,0),IFERROR(VLOOKUP(D1588,Parameter!$A$35:$C$64,2,0),"Nein"))</f>
        <v>2+3</v>
      </c>
      <c r="CA1588" s="52" t="n">
        <f aca="false">IF(BW1588=0,0,IF(N(S1588)&gt;0,S1588,IFERROR(VLOOKUP(D1588,Parameter!$A$35:$C$64,3,0)+0,0)))</f>
        <v>0</v>
      </c>
      <c r="CB1588" s="48" t="n">
        <f aca="false">IF(AA1588&lt;&gt;"",AA1588,Z1588)</f>
        <v>2</v>
      </c>
      <c r="CC1588" s="48" t="str">
        <f aca="false">IF(OR(CB1588=1,CB1588=2,CB1588=3),IF(Parameter!$E$27="Ja","LIFT",IF(CB1588=1,"L1","L23")),IF(CB1588="Aussen","Aussen","-"))</f>
        <v>LIFT</v>
      </c>
      <c r="CD1588" s="59" t="n">
        <f aca="false">IF(N(AB1588)&gt;0,AB1588,0)</f>
        <v>0</v>
      </c>
      <c r="CE1588" s="53" t="n">
        <f aca="false">IF(ISNUMBER(AE1588),1,0)</f>
        <v>0</v>
      </c>
      <c r="CF1588" s="50" t="n">
        <f aca="false">N(AE1588)</f>
        <v>0</v>
      </c>
      <c r="CG1588" s="50" t="n">
        <f aca="false">N(M1588)+N(N1588)</f>
        <v>1</v>
      </c>
      <c r="CH1588" s="50" t="n">
        <f aca="false">ROUNDUP(H1588/BV1588,0)</f>
        <v>1</v>
      </c>
      <c r="CI1588" s="50" t="n">
        <f aca="false">ROUNDUP(CF1588/BV1588,0)</f>
        <v>0</v>
      </c>
      <c r="CJ1588" s="53" t="n">
        <f aca="false">IF(BW1588=1,0,IFERROR(VLOOKUP(BU1588,'Gebinde-Kategorie'!$A$5:$N$45,5,0)+0,0))</f>
        <v>11</v>
      </c>
      <c r="CK1588" s="53" t="n">
        <f aca="false">IFERROR(IF(OR(CB1588=1,CB1588=2,CB1588=3),N(INDEX(Parameter!$I$5:$I$7,CB1588)),0),0)</f>
        <v>0</v>
      </c>
      <c r="CL1588" s="52" t="n">
        <f aca="false">IF(AND(Parameter!$B$21="Ja",ISNUMBER(W1588),N(X1588)&gt;0),IFERROR(N(INDEX(Parameter!$L$5:$L$7,W1588))*INDEX(Parameter!$E$5:$E$7,W1588)*X1588/SUMIFS($X$7:$X$1843,$W$7:$W$1843,W1588),0),0)</f>
        <v>0</v>
      </c>
    </row>
    <row r="1589" customFormat="false" ht="15" hidden="false" customHeight="false" outlineLevel="0" collapsed="false">
      <c r="A1589" s="48" t="s">
        <v>2774</v>
      </c>
      <c r="B1589" s="48" t="s">
        <v>2775</v>
      </c>
      <c r="C1589" s="48" t="s">
        <v>168</v>
      </c>
      <c r="D1589" s="48" t="s">
        <v>177</v>
      </c>
      <c r="E1589" s="48"/>
      <c r="F1589" s="48"/>
      <c r="G1589" s="49" t="n">
        <v>78.35</v>
      </c>
      <c r="H1589" s="50" t="n">
        <f aca="false">MAX(0,IF(AND(Parameter!$B$21="Ja",ISNUMBER(Y1589)),Y1589,IF(Parameter!$B$20="Jahresanfang 2025 + Export",BO1589+BN1589,BN1589)))</f>
        <v>2</v>
      </c>
      <c r="I1589" s="50" t="n">
        <f aca="false">H1589*G1589</f>
        <v>156.7</v>
      </c>
      <c r="J1589" s="50" t="n">
        <f aca="false">BQ1589*Parameter!$B$18</f>
        <v>0</v>
      </c>
      <c r="K1589" s="51"/>
      <c r="L1589" s="52"/>
      <c r="M1589" s="50" t="n">
        <v>0</v>
      </c>
      <c r="N1589" s="50" t="n">
        <v>1</v>
      </c>
      <c r="O1589" s="53" t="n">
        <v>0</v>
      </c>
      <c r="P1589" s="48" t="s">
        <v>172</v>
      </c>
      <c r="Q1589" s="50"/>
      <c r="R1589" s="53" t="n">
        <f aca="false">IF(BW1589=1,0,IFERROR(VLOOKUP(BU1589,'Gebinde-Kategorie'!$A$5:$N$45,13,0)+0,0))</f>
        <v>12</v>
      </c>
      <c r="S1589" s="54"/>
      <c r="T1589" s="55" t="s">
        <v>183</v>
      </c>
      <c r="U1589" s="55"/>
      <c r="V1589" s="55"/>
      <c r="W1589" s="48"/>
      <c r="X1589" s="50"/>
      <c r="Y1589" s="50"/>
      <c r="Z1589" s="48" t="n">
        <f aca="false">IF(A1589="","",IF(AND(Parameter!$B$21="Ja",ISNUMBER(W1589)),W1589,IF(BZ1589="2+3",IF(ISNUMBER(SEARCH("grosser Artikel",BR1589)),2,IFERROR(VLOOKUP(BU1589,Parameter!$F$35:$G$64,2,0),2)),IF(OR(BZ1589="Nein",BZ1589=""),"-",BZ1589))))</f>
        <v>2</v>
      </c>
      <c r="AA1589" s="55"/>
      <c r="AB1589" s="56"/>
      <c r="AC1589" s="50" t="n">
        <f aca="false">AT1589</f>
        <v>4</v>
      </c>
      <c r="AD1589" s="50" t="n">
        <f aca="false">MAX(AT1589,H1589)</f>
        <v>4</v>
      </c>
      <c r="AE1589" s="57"/>
      <c r="AF1589" s="50" t="n">
        <f aca="false">IF(LEFT(Cockpit!$C$5,1)="A",H1589,IF(CE1589=1,CF1589,IF(LEFT(Cockpit!$C$5,1)="B",AK1589,MAX(AK1589,H1589))))</f>
        <v>2</v>
      </c>
      <c r="AG1589" s="50" t="n">
        <f aca="false">IF(BW1589=1,0,ROUNDUP(AF1589/BV1589,0))</f>
        <v>1</v>
      </c>
      <c r="AH1589" s="52" t="n">
        <f aca="false">IF(CL1589&gt;0,CL1589*MAX(1,AF1589/X1589),IF(BW1589=1,IF(AF1589&lt;=0,0,CA1589*MAX(1,IF(H1589&gt;0,AF1589/H1589,1))),IF(R1589&gt;0,AG1589/R1589,0))/MAX(0.1,N(Parameter!$M$21)))</f>
        <v>0.0833333333333333</v>
      </c>
      <c r="AI1589" s="50" t="n">
        <f aca="false">AH1589*BY1589</f>
        <v>12.0833333333333</v>
      </c>
      <c r="AJ1589" s="50" t="n">
        <f aca="false">AF1589*G1589</f>
        <v>156.7</v>
      </c>
      <c r="AK1589" s="50" t="n">
        <f aca="false">ROUNDUP(MAX(J1589/IF(CD1589&gt;0,CD1589,MAX(0.1,N(Cockpit!$C$6))),CG1589)/BV1589,0)*BV1589</f>
        <v>4</v>
      </c>
      <c r="AL1589" s="51" t="n">
        <f aca="false">IF(AI1589&gt;0,J1589/AI1589,-1)</f>
        <v>0</v>
      </c>
      <c r="AM1589" s="51" t="n">
        <f aca="false">IF(AND(OR(CC1589="L1",CC1589="L23",CC1589="LIFT"),AI1589&gt;0),SUMIFS($AI$7:$AI$1843,$CC$7:$CC$1843,CC1589,$AL$7:$AL$1843,"&gt;"&amp;AL1589)+SUMIFS($AI$7:$AI$1843,$CC$7:$CC$1843,CC1589,$AL$7:$AL$1843,AL1589,$BT$7:$BT$1843,"&lt;="&amp;BT1589),"")</f>
        <v>30567.7008055504</v>
      </c>
      <c r="AN1589" s="58" t="n">
        <f aca="false">IF(AM1589="",0,MAX(0,MIN(1,(IF(CC1589="L1",Parameter!$H$5,IF(CC1589="L23",Parameter!$H$6+Parameter!$H$7,Parameter!$H$5+Parameter!$H$6+Parameter!$H$7))-(AM1589-AI1589))/AI1589)))</f>
        <v>1</v>
      </c>
      <c r="AO1589" s="50" t="n">
        <f aca="false">IF(LEFT(Cockpit!$I$5,1)="A",H1589,IF(CE1589=1,CF1589,IF(LEFT(Cockpit!$I$5,1)="B",AT1589,MAX(AT1589,H1589))))</f>
        <v>4</v>
      </c>
      <c r="AP1589" s="50" t="n">
        <f aca="false">IF(BW1589=1,0,ROUNDUP(AO1589/BV1589,0))</f>
        <v>1</v>
      </c>
      <c r="AQ1589" s="52" t="n">
        <f aca="false">IF(CL1589&gt;0,CL1589*MAX(1,AO1589/X1589),IF(BW1589=1,IF(AO1589&lt;=0,0,CA1589*MAX(1,IF(H1589&gt;0,AO1589/H1589,1))),IF(R1589&gt;0,AP1589/R1589,0))/MAX(0.1,N(Parameter!$M$21)))</f>
        <v>0.0833333333333333</v>
      </c>
      <c r="AR1589" s="50" t="n">
        <f aca="false">AQ1589*BY1589</f>
        <v>12.0833333333333</v>
      </c>
      <c r="AS1589" s="50" t="n">
        <f aca="false">AO1589*G1589</f>
        <v>313.4</v>
      </c>
      <c r="AT1589" s="50" t="n">
        <f aca="false">ROUNDUP(MAX(J1589/IF(CD1589&gt;0,CD1589,MAX(0.1,N(Cockpit!$I$6))),CG1589)/BV1589,0)*BV1589</f>
        <v>4</v>
      </c>
      <c r="AU1589" s="51" t="n">
        <f aca="false">IF(AR1589&gt;0,J1589/AR1589,-1)</f>
        <v>0</v>
      </c>
      <c r="AV1589" s="51" t="n">
        <f aca="false">IF(AND(OR(CC1589="L1",CC1589="L23",CC1589="LIFT"),AR1589&gt;0),SUMIFS($AR$7:$AR$1843,$CC$7:$CC$1843,CC1589,$AU$7:$AU$1843,"&gt;"&amp;AU1589)+SUMIFS($AR$7:$AR$1843,$CC$7:$CC$1843,CC1589,$AU$7:$AU$1843,AU1589,$BT$7:$BT$1843,"&lt;="&amp;BT1589),"")</f>
        <v>42929.6031176921</v>
      </c>
      <c r="AW1589" s="58" t="n">
        <f aca="false">IF(AV1589="",0,MAX(0,MIN(1,(IF(CC1589="L1",Parameter!$H$5,IF(CC1589="L23",Parameter!$H$6+Parameter!$H$7,Parameter!$H$5+Parameter!$H$6+Parameter!$H$7))-(AV1589-AR1589))/AR1589)))</f>
        <v>0</v>
      </c>
      <c r="AX1589" s="50" t="n">
        <f aca="false">IF(LEFT(Cockpit!$O$5,1)="A",H1589,IF(CE1589=1,CF1589,IF(LEFT(Cockpit!$O$5,1)="B",BC1589,MAX(BC1589,H1589))))</f>
        <v>4</v>
      </c>
      <c r="AY1589" s="50" t="n">
        <f aca="false">IF(BW1589=1,0,ROUNDUP(AX1589/BV1589,0))</f>
        <v>1</v>
      </c>
      <c r="AZ1589" s="52" t="n">
        <f aca="false">IF(CL1589&gt;0,CL1589*MAX(1,AX1589/X1589),IF(BW1589=1,IF(AX1589&lt;=0,0,CA1589*MAX(1,IF(H1589&gt;0,AX1589/H1589,1))),IF(R1589&gt;0,AY1589/R1589,0))/MAX(0.1,N(Parameter!$M$21)))</f>
        <v>0.0833333333333333</v>
      </c>
      <c r="BA1589" s="50" t="n">
        <f aca="false">AZ1589*BY1589</f>
        <v>12.0833333333333</v>
      </c>
      <c r="BB1589" s="50" t="n">
        <f aca="false">AX1589*G1589</f>
        <v>313.4</v>
      </c>
      <c r="BC1589" s="50" t="n">
        <f aca="false">ROUNDUP(MAX(J1589/IF(CD1589&gt;0,CD1589,MAX(0.1,N(Cockpit!$O$6))),CG1589)/BV1589,0)*BV1589</f>
        <v>4</v>
      </c>
      <c r="BD1589" s="51" t="n">
        <f aca="false">IF(BA1589&gt;0,J1589/BA1589,-1)</f>
        <v>0</v>
      </c>
      <c r="BE1589" s="51" t="n">
        <f aca="false">IF(AND(OR(CC1589="L1",CC1589="L23",CC1589="LIFT"),BA1589&gt;0),SUMIFS($BA$7:$BA$1843,$CC$7:$CC$1843,CC1589,$BD$7:$BD$1843,"&gt;"&amp;BD1589)+SUMIFS($BA$7:$BA$1843,$CC$7:$CC$1843,CC1589,$BD$7:$BD$1843,BD1589,$BT$7:$BT$1843,"&lt;="&amp;BT1589),"")</f>
        <v>39604.615159558</v>
      </c>
      <c r="BF1589" s="58" t="n">
        <f aca="false">IF(BE1589="",0,MAX(0,MIN(1,(IF(CC1589="L1",Parameter!$H$5,IF(CC1589="L23",Parameter!$H$6+Parameter!$H$7,Parameter!$H$5+Parameter!$H$6+Parameter!$H$7))-(BE1589-BA1589))/BA1589)))</f>
        <v>0</v>
      </c>
      <c r="BG1589" s="48" t="str">
        <f aca="false">IF(AI1589&lt;=0,"",IF(CC1589="Aussen","Aussenlager",IF(CC1589="-","Nicht im Lift",IF(AN1589&gt;=1,"Lift",IF(AN1589&lt;=0,"Aussenlager","teilweise")))))</f>
        <v>Lift</v>
      </c>
      <c r="BH1589" s="48" t="str">
        <f aca="false">IF(AR1589&lt;=0,"",IF(CC1589="Aussen","Aussenlager",IF(CC1589="-","Nicht im Lift",IF(AW1589&gt;=1,"Lift",IF(AW1589&lt;=0,"Aussenlager","teilweise")))))</f>
        <v>Aussenlager</v>
      </c>
      <c r="BI1589" s="48" t="str">
        <f aca="false">IF(BA1589&lt;=0,"",IF(CC1589="Aussen","Aussenlager",IF(CC1589="-","Nicht im Lift",IF(BF1589&gt;=1,"Lift",IF(BF1589&lt;=0,"Aussenlager","teilweise")))))</f>
        <v>Aussenlager</v>
      </c>
      <c r="BJ1589" s="48" t="str">
        <f aca="false">IF(A1589="","",IF(BS1589=1,"Neu; ","")&amp;IF(AND(BS1589=0,BN1589&lt;0),"negativer Bestand (Export "&amp;BN1589&amp;"); ","")&amp;IF(J1589&lt;=0,"Kein Verbrauch; ","")&amp;IF(CL1589&gt;0,"Lift "&amp;W1589&amp;" lt. Liftbericht (Fach "&amp;X1589&amp;" Stk); ",IF(BX1589=1,"Gebinde geschätzt ("&amp;T1589&amp;"); ",IF(BW1589=1,"Lose – Tablare geschätzt; ","")))&amp;IF(H1589&gt;AT1589,"Überbestand "&amp;ROUND(H1589-AT1589,0)&amp;" Stk / CHF "&amp;ROUND((H1589-AT1589)*G1589,0)&amp;"; ","")&amp;IF(AND(CE1589=1,CF1589&lt;CG1589),"MAX &lt; MB+LG; ","")&amp;IF(AND(CK1589&gt;0,CJ1589*10&gt;CK1589),"zu hoch für Tablar; ","")&amp;IF(AND(BS1589=0,OR(CE1589=1,AA1589&lt;&gt;"",U1589&lt;&gt;"",V1589&lt;&gt;"",AB1589&lt;&gt;"")),"manuell übersteuert; ","")&amp;IF(AND(BW1589=0,R1589=0),"Gebinde unbekannt / Stellmass fehlt; ","")&amp;IF(AND(BW1589=0,N(V1589)&lt;=0,N(Q1589)&lt;=0),"Menge pro Gebinde fehlt (Ist = 1 Gebinde); ","")&amp;BR1589)</f>
        <v>Kein Verbrauch; Gebinde geschätzt (Mittel); Menge pro Gebinde fehlt (Ist = 1 Gebinde); nur im Artikelstamm (Bestand 23.06.2026)</v>
      </c>
      <c r="BK1589" s="48"/>
      <c r="BL1589" s="48"/>
      <c r="BM1589" s="55"/>
      <c r="BN1589" s="50" t="n">
        <v>2</v>
      </c>
      <c r="BO1589" s="50" t="n">
        <v>0</v>
      </c>
      <c r="BP1589" s="49" t="n">
        <v>0</v>
      </c>
      <c r="BQ1589" s="50" t="n">
        <v>0</v>
      </c>
      <c r="BR1589" s="48" t="s">
        <v>2579</v>
      </c>
      <c r="BS1589" s="53" t="n">
        <v>0</v>
      </c>
      <c r="BT1589" s="53" t="n">
        <v>1589</v>
      </c>
      <c r="BU1589" s="48" t="str">
        <f aca="false">IF(U1589&lt;&gt;"",UPPER(TRIM(U1589)),IF(BX1589=1,UPPER(VLOOKUP(T1589,Parameter!$I$27:$K$29,2,0)),IF(P1589="","LOSE",P1589)))</f>
        <v>S61</v>
      </c>
      <c r="BV1589" s="50" t="n">
        <f aca="false">IF(BU1589="LOSE",1,IF(N(V1589)&gt;0,V1589,IF(BX1589=1,MAX(1,N(VLOOKUP(T1589,Parameter!$I$27:$K$29,3,0)),H1589,N(N1589)),IF(N(Q1589)&gt;0,Q1589,MAX(1,H1589)))))</f>
        <v>4</v>
      </c>
      <c r="BW1589" s="53" t="n">
        <f aca="false">IF(BU1589="LOSE",1,0)</f>
        <v>0</v>
      </c>
      <c r="BX1589" s="53" t="n">
        <f aca="false">IF(AND(U1589="",OR(P1589="",P1589="LOSE"),T1589&lt;&gt;"",N(S1589)&lt;=0,ISNUMBER(MATCH(T1589,Parameter!$I$27:$I$29,0))),1,0)</f>
        <v>1</v>
      </c>
      <c r="BY1589" s="53" t="n">
        <f aca="false">IF(CL1589&gt;0,INDEX(Parameter!$H$5:$H$7,W1589)/INDEX(Parameter!$E$5:$E$7,W1589),IF(AND(BW1589=0,N(IFERROR(VLOOKUP(BU1589,'Gebinde-Kategorie'!$A$5:$N$45,14,0),0))&gt;0),VLOOKUP(BU1589,'Gebinde-Kategorie'!$A$5:$N$45,14,0)*10+Parameter!$M$23,Parameter!$M$24))</f>
        <v>145</v>
      </c>
      <c r="BZ1589" s="48" t="str">
        <f aca="false">IF(AND(Parameter!$B$19="Ja",E1589&lt;&gt;"",ISNUMBER(MATCH(E1589,Parameter!$I$35:$I$52,0))),VLOOKUP(E1589,Parameter!$I$35:$J$52,2,0),IFERROR(VLOOKUP(D1589,Parameter!$A$35:$C$64,2,0),"Nein"))</f>
        <v>2+3</v>
      </c>
      <c r="CA1589" s="52" t="n">
        <f aca="false">IF(BW1589=0,0,IF(N(S1589)&gt;0,S1589,IFERROR(VLOOKUP(D1589,Parameter!$A$35:$C$64,3,0)+0,0)))</f>
        <v>0</v>
      </c>
      <c r="CB1589" s="48" t="n">
        <f aca="false">IF(AA1589&lt;&gt;"",AA1589,Z1589)</f>
        <v>2</v>
      </c>
      <c r="CC1589" s="48" t="str">
        <f aca="false">IF(OR(CB1589=1,CB1589=2,CB1589=3),IF(Parameter!$E$27="Ja","LIFT",IF(CB1589=1,"L1","L23")),IF(CB1589="Aussen","Aussen","-"))</f>
        <v>LIFT</v>
      </c>
      <c r="CD1589" s="59" t="n">
        <f aca="false">IF(N(AB1589)&gt;0,AB1589,0)</f>
        <v>0</v>
      </c>
      <c r="CE1589" s="53" t="n">
        <f aca="false">IF(ISNUMBER(AE1589),1,0)</f>
        <v>0</v>
      </c>
      <c r="CF1589" s="50" t="n">
        <f aca="false">N(AE1589)</f>
        <v>0</v>
      </c>
      <c r="CG1589" s="50" t="n">
        <f aca="false">N(M1589)+N(N1589)</f>
        <v>1</v>
      </c>
      <c r="CH1589" s="50" t="n">
        <f aca="false">ROUNDUP(H1589/BV1589,0)</f>
        <v>1</v>
      </c>
      <c r="CI1589" s="50" t="n">
        <f aca="false">ROUNDUP(CF1589/BV1589,0)</f>
        <v>0</v>
      </c>
      <c r="CJ1589" s="53" t="n">
        <f aca="false">IF(BW1589=1,0,IFERROR(VLOOKUP(BU1589,'Gebinde-Kategorie'!$A$5:$N$45,5,0)+0,0))</f>
        <v>11</v>
      </c>
      <c r="CK1589" s="53" t="n">
        <f aca="false">IFERROR(IF(OR(CB1589=1,CB1589=2,CB1589=3),N(INDEX(Parameter!$I$5:$I$7,CB1589)),0),0)</f>
        <v>0</v>
      </c>
      <c r="CL1589" s="52" t="n">
        <f aca="false">IF(AND(Parameter!$B$21="Ja",ISNUMBER(W1589),N(X1589)&gt;0),IFERROR(N(INDEX(Parameter!$L$5:$L$7,W1589))*INDEX(Parameter!$E$5:$E$7,W1589)*X1589/SUMIFS($X$7:$X$1843,$W$7:$W$1843,W1589),0),0)</f>
        <v>0</v>
      </c>
    </row>
    <row r="1590" customFormat="false" ht="15" hidden="false" customHeight="false" outlineLevel="0" collapsed="false">
      <c r="A1590" s="48" t="s">
        <v>2776</v>
      </c>
      <c r="B1590" s="48" t="s">
        <v>2777</v>
      </c>
      <c r="C1590" s="48" t="s">
        <v>168</v>
      </c>
      <c r="D1590" s="48" t="s">
        <v>177</v>
      </c>
      <c r="E1590" s="48"/>
      <c r="F1590" s="48"/>
      <c r="G1590" s="49" t="n">
        <v>78.35</v>
      </c>
      <c r="H1590" s="50" t="n">
        <f aca="false">MAX(0,IF(AND(Parameter!$B$21="Ja",ISNUMBER(Y1590)),Y1590,IF(Parameter!$B$20="Jahresanfang 2025 + Export",BO1590+BN1590,BN1590)))</f>
        <v>3</v>
      </c>
      <c r="I1590" s="50" t="n">
        <f aca="false">H1590*G1590</f>
        <v>235.05</v>
      </c>
      <c r="J1590" s="50" t="n">
        <f aca="false">BQ1590*Parameter!$B$18</f>
        <v>0</v>
      </c>
      <c r="K1590" s="51"/>
      <c r="L1590" s="52"/>
      <c r="M1590" s="50" t="n">
        <v>0</v>
      </c>
      <c r="N1590" s="50" t="n">
        <v>1</v>
      </c>
      <c r="O1590" s="53" t="n">
        <v>0</v>
      </c>
      <c r="P1590" s="48" t="s">
        <v>172</v>
      </c>
      <c r="Q1590" s="50"/>
      <c r="R1590" s="53" t="n">
        <f aca="false">IF(BW1590=1,0,IFERROR(VLOOKUP(BU1590,'Gebinde-Kategorie'!$A$5:$N$45,13,0)+0,0))</f>
        <v>12</v>
      </c>
      <c r="S1590" s="54"/>
      <c r="T1590" s="55" t="s">
        <v>183</v>
      </c>
      <c r="U1590" s="55"/>
      <c r="V1590" s="55"/>
      <c r="W1590" s="48"/>
      <c r="X1590" s="50"/>
      <c r="Y1590" s="50"/>
      <c r="Z1590" s="48" t="n">
        <f aca="false">IF(A1590="","",IF(AND(Parameter!$B$21="Ja",ISNUMBER(W1590)),W1590,IF(BZ1590="2+3",IF(ISNUMBER(SEARCH("grosser Artikel",BR1590)),2,IFERROR(VLOOKUP(BU1590,Parameter!$F$35:$G$64,2,0),2)),IF(OR(BZ1590="Nein",BZ1590=""),"-",BZ1590))))</f>
        <v>2</v>
      </c>
      <c r="AA1590" s="55"/>
      <c r="AB1590" s="56"/>
      <c r="AC1590" s="50" t="n">
        <f aca="false">AT1590</f>
        <v>4</v>
      </c>
      <c r="AD1590" s="50" t="n">
        <f aca="false">MAX(AT1590,H1590)</f>
        <v>4</v>
      </c>
      <c r="AE1590" s="57"/>
      <c r="AF1590" s="50" t="n">
        <f aca="false">IF(LEFT(Cockpit!$C$5,1)="A",H1590,IF(CE1590=1,CF1590,IF(LEFT(Cockpit!$C$5,1)="B",AK1590,MAX(AK1590,H1590))))</f>
        <v>3</v>
      </c>
      <c r="AG1590" s="50" t="n">
        <f aca="false">IF(BW1590=1,0,ROUNDUP(AF1590/BV1590,0))</f>
        <v>1</v>
      </c>
      <c r="AH1590" s="52" t="n">
        <f aca="false">IF(CL1590&gt;0,CL1590*MAX(1,AF1590/X1590),IF(BW1590=1,IF(AF1590&lt;=0,0,CA1590*MAX(1,IF(H1590&gt;0,AF1590/H1590,1))),IF(R1590&gt;0,AG1590/R1590,0))/MAX(0.1,N(Parameter!$M$21)))</f>
        <v>0.0833333333333333</v>
      </c>
      <c r="AI1590" s="50" t="n">
        <f aca="false">AH1590*BY1590</f>
        <v>12.0833333333333</v>
      </c>
      <c r="AJ1590" s="50" t="n">
        <f aca="false">AF1590*G1590</f>
        <v>235.05</v>
      </c>
      <c r="AK1590" s="50" t="n">
        <f aca="false">ROUNDUP(MAX(J1590/IF(CD1590&gt;0,CD1590,MAX(0.1,N(Cockpit!$C$6))),CG1590)/BV1590,0)*BV1590</f>
        <v>4</v>
      </c>
      <c r="AL1590" s="51" t="n">
        <f aca="false">IF(AI1590&gt;0,J1590/AI1590,-1)</f>
        <v>0</v>
      </c>
      <c r="AM1590" s="51" t="n">
        <f aca="false">IF(AND(OR(CC1590="L1",CC1590="L23",CC1590="LIFT"),AI1590&gt;0),SUMIFS($AI$7:$AI$1843,$CC$7:$CC$1843,CC1590,$AL$7:$AL$1843,"&gt;"&amp;AL1590)+SUMIFS($AI$7:$AI$1843,$CC$7:$CC$1843,CC1590,$AL$7:$AL$1843,AL1590,$BT$7:$BT$1843,"&lt;="&amp;BT1590),"")</f>
        <v>30579.7841388837</v>
      </c>
      <c r="AN1590" s="58" t="n">
        <f aca="false">IF(AM1590="",0,MAX(0,MIN(1,(IF(CC1590="L1",Parameter!$H$5,IF(CC1590="L23",Parameter!$H$6+Parameter!$H$7,Parameter!$H$5+Parameter!$H$6+Parameter!$H$7))-(AM1590-AI1590))/AI1590)))</f>
        <v>1</v>
      </c>
      <c r="AO1590" s="50" t="n">
        <f aca="false">IF(LEFT(Cockpit!$I$5,1)="A",H1590,IF(CE1590=1,CF1590,IF(LEFT(Cockpit!$I$5,1)="B",AT1590,MAX(AT1590,H1590))))</f>
        <v>4</v>
      </c>
      <c r="AP1590" s="50" t="n">
        <f aca="false">IF(BW1590=1,0,ROUNDUP(AO1590/BV1590,0))</f>
        <v>1</v>
      </c>
      <c r="AQ1590" s="52" t="n">
        <f aca="false">IF(CL1590&gt;0,CL1590*MAX(1,AO1590/X1590),IF(BW1590=1,IF(AO1590&lt;=0,0,CA1590*MAX(1,IF(H1590&gt;0,AO1590/H1590,1))),IF(R1590&gt;0,AP1590/R1590,0))/MAX(0.1,N(Parameter!$M$21)))</f>
        <v>0.0833333333333333</v>
      </c>
      <c r="AR1590" s="50" t="n">
        <f aca="false">AQ1590*BY1590</f>
        <v>12.0833333333333</v>
      </c>
      <c r="AS1590" s="50" t="n">
        <f aca="false">AO1590*G1590</f>
        <v>313.4</v>
      </c>
      <c r="AT1590" s="50" t="n">
        <f aca="false">ROUNDUP(MAX(J1590/IF(CD1590&gt;0,CD1590,MAX(0.1,N(Cockpit!$I$6))),CG1590)/BV1590,0)*BV1590</f>
        <v>4</v>
      </c>
      <c r="AU1590" s="51" t="n">
        <f aca="false">IF(AR1590&gt;0,J1590/AR1590,-1)</f>
        <v>0</v>
      </c>
      <c r="AV1590" s="51" t="n">
        <f aca="false">IF(AND(OR(CC1590="L1",CC1590="L23",CC1590="LIFT"),AR1590&gt;0),SUMIFS($AR$7:$AR$1843,$CC$7:$CC$1843,CC1590,$AU$7:$AU$1843,"&gt;"&amp;AU1590)+SUMIFS($AR$7:$AR$1843,$CC$7:$CC$1843,CC1590,$AU$7:$AU$1843,AU1590,$BT$7:$BT$1843,"&lt;="&amp;BT1590),"")</f>
        <v>42941.6864510254</v>
      </c>
      <c r="AW1590" s="58" t="n">
        <f aca="false">IF(AV1590="",0,MAX(0,MIN(1,(IF(CC1590="L1",Parameter!$H$5,IF(CC1590="L23",Parameter!$H$6+Parameter!$H$7,Parameter!$H$5+Parameter!$H$6+Parameter!$H$7))-(AV1590-AR1590))/AR1590)))</f>
        <v>0</v>
      </c>
      <c r="AX1590" s="50" t="n">
        <f aca="false">IF(LEFT(Cockpit!$O$5,1)="A",H1590,IF(CE1590=1,CF1590,IF(LEFT(Cockpit!$O$5,1)="B",BC1590,MAX(BC1590,H1590))))</f>
        <v>4</v>
      </c>
      <c r="AY1590" s="50" t="n">
        <f aca="false">IF(BW1590=1,0,ROUNDUP(AX1590/BV1590,0))</f>
        <v>1</v>
      </c>
      <c r="AZ1590" s="52" t="n">
        <f aca="false">IF(CL1590&gt;0,CL1590*MAX(1,AX1590/X1590),IF(BW1590=1,IF(AX1590&lt;=0,0,CA1590*MAX(1,IF(H1590&gt;0,AX1590/H1590,1))),IF(R1590&gt;0,AY1590/R1590,0))/MAX(0.1,N(Parameter!$M$21)))</f>
        <v>0.0833333333333333</v>
      </c>
      <c r="BA1590" s="50" t="n">
        <f aca="false">AZ1590*BY1590</f>
        <v>12.0833333333333</v>
      </c>
      <c r="BB1590" s="50" t="n">
        <f aca="false">AX1590*G1590</f>
        <v>313.4</v>
      </c>
      <c r="BC1590" s="50" t="n">
        <f aca="false">ROUNDUP(MAX(J1590/IF(CD1590&gt;0,CD1590,MAX(0.1,N(Cockpit!$O$6))),CG1590)/BV1590,0)*BV1590</f>
        <v>4</v>
      </c>
      <c r="BD1590" s="51" t="n">
        <f aca="false">IF(BA1590&gt;0,J1590/BA1590,-1)</f>
        <v>0</v>
      </c>
      <c r="BE1590" s="51" t="n">
        <f aca="false">IF(AND(OR(CC1590="L1",CC1590="L23",CC1590="LIFT"),BA1590&gt;0),SUMIFS($BA$7:$BA$1843,$CC$7:$CC$1843,CC1590,$BD$7:$BD$1843,"&gt;"&amp;BD1590)+SUMIFS($BA$7:$BA$1843,$CC$7:$CC$1843,CC1590,$BD$7:$BD$1843,BD1590,$BT$7:$BT$1843,"&lt;="&amp;BT1590),"")</f>
        <v>39616.6984928913</v>
      </c>
      <c r="BF1590" s="58" t="n">
        <f aca="false">IF(BE1590="",0,MAX(0,MIN(1,(IF(CC1590="L1",Parameter!$H$5,IF(CC1590="L23",Parameter!$H$6+Parameter!$H$7,Parameter!$H$5+Parameter!$H$6+Parameter!$H$7))-(BE1590-BA1590))/BA1590)))</f>
        <v>0</v>
      </c>
      <c r="BG1590" s="48" t="str">
        <f aca="false">IF(AI1590&lt;=0,"",IF(CC1590="Aussen","Aussenlager",IF(CC1590="-","Nicht im Lift",IF(AN1590&gt;=1,"Lift",IF(AN1590&lt;=0,"Aussenlager","teilweise")))))</f>
        <v>Lift</v>
      </c>
      <c r="BH1590" s="48" t="str">
        <f aca="false">IF(AR1590&lt;=0,"",IF(CC1590="Aussen","Aussenlager",IF(CC1590="-","Nicht im Lift",IF(AW1590&gt;=1,"Lift",IF(AW1590&lt;=0,"Aussenlager","teilweise")))))</f>
        <v>Aussenlager</v>
      </c>
      <c r="BI1590" s="48" t="str">
        <f aca="false">IF(BA1590&lt;=0,"",IF(CC1590="Aussen","Aussenlager",IF(CC1590="-","Nicht im Lift",IF(BF1590&gt;=1,"Lift",IF(BF1590&lt;=0,"Aussenlager","teilweise")))))</f>
        <v>Aussenlager</v>
      </c>
      <c r="BJ1590" s="48" t="str">
        <f aca="false">IF(A1590="","",IF(BS1590=1,"Neu; ","")&amp;IF(AND(BS1590=0,BN1590&lt;0),"negativer Bestand (Export "&amp;BN1590&amp;"); ","")&amp;IF(J1590&lt;=0,"Kein Verbrauch; ","")&amp;IF(CL1590&gt;0,"Lift "&amp;W1590&amp;" lt. Liftbericht (Fach "&amp;X1590&amp;" Stk); ",IF(BX1590=1,"Gebinde geschätzt ("&amp;T1590&amp;"); ",IF(BW1590=1,"Lose – Tablare geschätzt; ","")))&amp;IF(H1590&gt;AT1590,"Überbestand "&amp;ROUND(H1590-AT1590,0)&amp;" Stk / CHF "&amp;ROUND((H1590-AT1590)*G1590,0)&amp;"; ","")&amp;IF(AND(CE1590=1,CF1590&lt;CG1590),"MAX &lt; MB+LG; ","")&amp;IF(AND(CK1590&gt;0,CJ1590*10&gt;CK1590),"zu hoch für Tablar; ","")&amp;IF(AND(BS1590=0,OR(CE1590=1,AA1590&lt;&gt;"",U1590&lt;&gt;"",V1590&lt;&gt;"",AB1590&lt;&gt;"")),"manuell übersteuert; ","")&amp;IF(AND(BW1590=0,R1590=0),"Gebinde unbekannt / Stellmass fehlt; ","")&amp;IF(AND(BW1590=0,N(V1590)&lt;=0,N(Q1590)&lt;=0),"Menge pro Gebinde fehlt (Ist = 1 Gebinde); ","")&amp;BR1590)</f>
        <v>Kein Verbrauch; Gebinde geschätzt (Mittel); Menge pro Gebinde fehlt (Ist = 1 Gebinde); nur im Artikelstamm (Bestand 23.06.2026)</v>
      </c>
      <c r="BK1590" s="48"/>
      <c r="BL1590" s="48"/>
      <c r="BM1590" s="55"/>
      <c r="BN1590" s="50" t="n">
        <v>3</v>
      </c>
      <c r="BO1590" s="50" t="n">
        <v>0</v>
      </c>
      <c r="BP1590" s="49" t="n">
        <v>0</v>
      </c>
      <c r="BQ1590" s="50" t="n">
        <v>0</v>
      </c>
      <c r="BR1590" s="48" t="s">
        <v>2579</v>
      </c>
      <c r="BS1590" s="53" t="n">
        <v>0</v>
      </c>
      <c r="BT1590" s="53" t="n">
        <v>1590</v>
      </c>
      <c r="BU1590" s="48" t="str">
        <f aca="false">IF(U1590&lt;&gt;"",UPPER(TRIM(U1590)),IF(BX1590=1,UPPER(VLOOKUP(T1590,Parameter!$I$27:$K$29,2,0)),IF(P1590="","LOSE",P1590)))</f>
        <v>S61</v>
      </c>
      <c r="BV1590" s="50" t="n">
        <f aca="false">IF(BU1590="LOSE",1,IF(N(V1590)&gt;0,V1590,IF(BX1590=1,MAX(1,N(VLOOKUP(T1590,Parameter!$I$27:$K$29,3,0)),H1590,N(N1590)),IF(N(Q1590)&gt;0,Q1590,MAX(1,H1590)))))</f>
        <v>4</v>
      </c>
      <c r="BW1590" s="53" t="n">
        <f aca="false">IF(BU1590="LOSE",1,0)</f>
        <v>0</v>
      </c>
      <c r="BX1590" s="53" t="n">
        <f aca="false">IF(AND(U1590="",OR(P1590="",P1590="LOSE"),T1590&lt;&gt;"",N(S1590)&lt;=0,ISNUMBER(MATCH(T1590,Parameter!$I$27:$I$29,0))),1,0)</f>
        <v>1</v>
      </c>
      <c r="BY1590" s="53" t="n">
        <f aca="false">IF(CL1590&gt;0,INDEX(Parameter!$H$5:$H$7,W1590)/INDEX(Parameter!$E$5:$E$7,W1590),IF(AND(BW1590=0,N(IFERROR(VLOOKUP(BU1590,'Gebinde-Kategorie'!$A$5:$N$45,14,0),0))&gt;0),VLOOKUP(BU1590,'Gebinde-Kategorie'!$A$5:$N$45,14,0)*10+Parameter!$M$23,Parameter!$M$24))</f>
        <v>145</v>
      </c>
      <c r="BZ1590" s="48" t="str">
        <f aca="false">IF(AND(Parameter!$B$19="Ja",E1590&lt;&gt;"",ISNUMBER(MATCH(E1590,Parameter!$I$35:$I$52,0))),VLOOKUP(E1590,Parameter!$I$35:$J$52,2,0),IFERROR(VLOOKUP(D1590,Parameter!$A$35:$C$64,2,0),"Nein"))</f>
        <v>2+3</v>
      </c>
      <c r="CA1590" s="52" t="n">
        <f aca="false">IF(BW1590=0,0,IF(N(S1590)&gt;0,S1590,IFERROR(VLOOKUP(D1590,Parameter!$A$35:$C$64,3,0)+0,0)))</f>
        <v>0</v>
      </c>
      <c r="CB1590" s="48" t="n">
        <f aca="false">IF(AA1590&lt;&gt;"",AA1590,Z1590)</f>
        <v>2</v>
      </c>
      <c r="CC1590" s="48" t="str">
        <f aca="false">IF(OR(CB1590=1,CB1590=2,CB1590=3),IF(Parameter!$E$27="Ja","LIFT",IF(CB1590=1,"L1","L23")),IF(CB1590="Aussen","Aussen","-"))</f>
        <v>LIFT</v>
      </c>
      <c r="CD1590" s="59" t="n">
        <f aca="false">IF(N(AB1590)&gt;0,AB1590,0)</f>
        <v>0</v>
      </c>
      <c r="CE1590" s="53" t="n">
        <f aca="false">IF(ISNUMBER(AE1590),1,0)</f>
        <v>0</v>
      </c>
      <c r="CF1590" s="50" t="n">
        <f aca="false">N(AE1590)</f>
        <v>0</v>
      </c>
      <c r="CG1590" s="50" t="n">
        <f aca="false">N(M1590)+N(N1590)</f>
        <v>1</v>
      </c>
      <c r="CH1590" s="50" t="n">
        <f aca="false">ROUNDUP(H1590/BV1590,0)</f>
        <v>1</v>
      </c>
      <c r="CI1590" s="50" t="n">
        <f aca="false">ROUNDUP(CF1590/BV1590,0)</f>
        <v>0</v>
      </c>
      <c r="CJ1590" s="53" t="n">
        <f aca="false">IF(BW1590=1,0,IFERROR(VLOOKUP(BU1590,'Gebinde-Kategorie'!$A$5:$N$45,5,0)+0,0))</f>
        <v>11</v>
      </c>
      <c r="CK1590" s="53" t="n">
        <f aca="false">IFERROR(IF(OR(CB1590=1,CB1590=2,CB1590=3),N(INDEX(Parameter!$I$5:$I$7,CB1590)),0),0)</f>
        <v>0</v>
      </c>
      <c r="CL1590" s="52" t="n">
        <f aca="false">IF(AND(Parameter!$B$21="Ja",ISNUMBER(W1590),N(X1590)&gt;0),IFERROR(N(INDEX(Parameter!$L$5:$L$7,W1590))*INDEX(Parameter!$E$5:$E$7,W1590)*X1590/SUMIFS($X$7:$X$1843,$W$7:$W$1843,W1590),0),0)</f>
        <v>0</v>
      </c>
    </row>
    <row r="1591" customFormat="false" ht="15" hidden="false" customHeight="false" outlineLevel="0" collapsed="false">
      <c r="A1591" s="48" t="s">
        <v>2778</v>
      </c>
      <c r="B1591" s="48" t="s">
        <v>2779</v>
      </c>
      <c r="C1591" s="48" t="s">
        <v>168</v>
      </c>
      <c r="D1591" s="48" t="s">
        <v>177</v>
      </c>
      <c r="E1591" s="48"/>
      <c r="F1591" s="48"/>
      <c r="G1591" s="49" t="n">
        <v>78.35</v>
      </c>
      <c r="H1591" s="50" t="n">
        <f aca="false">MAX(0,IF(AND(Parameter!$B$21="Ja",ISNUMBER(Y1591)),Y1591,IF(Parameter!$B$20="Jahresanfang 2025 + Export",BO1591+BN1591,BN1591)))</f>
        <v>5</v>
      </c>
      <c r="I1591" s="50" t="n">
        <f aca="false">H1591*G1591</f>
        <v>391.75</v>
      </c>
      <c r="J1591" s="50" t="n">
        <f aca="false">BQ1591*Parameter!$B$18</f>
        <v>0</v>
      </c>
      <c r="K1591" s="51"/>
      <c r="L1591" s="52"/>
      <c r="M1591" s="50" t="n">
        <v>0</v>
      </c>
      <c r="N1591" s="50" t="n">
        <v>1</v>
      </c>
      <c r="O1591" s="53" t="n">
        <v>0</v>
      </c>
      <c r="P1591" s="48" t="s">
        <v>172</v>
      </c>
      <c r="Q1591" s="50"/>
      <c r="R1591" s="53" t="n">
        <f aca="false">IF(BW1591=1,0,IFERROR(VLOOKUP(BU1591,'Gebinde-Kategorie'!$A$5:$N$45,13,0)+0,0))</f>
        <v>12</v>
      </c>
      <c r="S1591" s="54"/>
      <c r="T1591" s="55" t="s">
        <v>183</v>
      </c>
      <c r="U1591" s="55"/>
      <c r="V1591" s="55"/>
      <c r="W1591" s="48"/>
      <c r="X1591" s="50"/>
      <c r="Y1591" s="50"/>
      <c r="Z1591" s="48" t="n">
        <f aca="false">IF(A1591="","",IF(AND(Parameter!$B$21="Ja",ISNUMBER(W1591)),W1591,IF(BZ1591="2+3",IF(ISNUMBER(SEARCH("grosser Artikel",BR1591)),2,IFERROR(VLOOKUP(BU1591,Parameter!$F$35:$G$64,2,0),2)),IF(OR(BZ1591="Nein",BZ1591=""),"-",BZ1591))))</f>
        <v>2</v>
      </c>
      <c r="AA1591" s="55"/>
      <c r="AB1591" s="56"/>
      <c r="AC1591" s="50" t="n">
        <f aca="false">AT1591</f>
        <v>5</v>
      </c>
      <c r="AD1591" s="50" t="n">
        <f aca="false">MAX(AT1591,H1591)</f>
        <v>5</v>
      </c>
      <c r="AE1591" s="57"/>
      <c r="AF1591" s="50" t="n">
        <f aca="false">IF(LEFT(Cockpit!$C$5,1)="A",H1591,IF(CE1591=1,CF1591,IF(LEFT(Cockpit!$C$5,1)="B",AK1591,MAX(AK1591,H1591))))</f>
        <v>5</v>
      </c>
      <c r="AG1591" s="50" t="n">
        <f aca="false">IF(BW1591=1,0,ROUNDUP(AF1591/BV1591,0))</f>
        <v>1</v>
      </c>
      <c r="AH1591" s="52" t="n">
        <f aca="false">IF(CL1591&gt;0,CL1591*MAX(1,AF1591/X1591),IF(BW1591=1,IF(AF1591&lt;=0,0,CA1591*MAX(1,IF(H1591&gt;0,AF1591/H1591,1))),IF(R1591&gt;0,AG1591/R1591,0))/MAX(0.1,N(Parameter!$M$21)))</f>
        <v>0.0833333333333333</v>
      </c>
      <c r="AI1591" s="50" t="n">
        <f aca="false">AH1591*BY1591</f>
        <v>12.0833333333333</v>
      </c>
      <c r="AJ1591" s="50" t="n">
        <f aca="false">AF1591*G1591</f>
        <v>391.75</v>
      </c>
      <c r="AK1591" s="50" t="n">
        <f aca="false">ROUNDUP(MAX(J1591/IF(CD1591&gt;0,CD1591,MAX(0.1,N(Cockpit!$C$6))),CG1591)/BV1591,0)*BV1591</f>
        <v>5</v>
      </c>
      <c r="AL1591" s="51" t="n">
        <f aca="false">IF(AI1591&gt;0,J1591/AI1591,-1)</f>
        <v>0</v>
      </c>
      <c r="AM1591" s="51" t="n">
        <f aca="false">IF(AND(OR(CC1591="L1",CC1591="L23",CC1591="LIFT"),AI1591&gt;0),SUMIFS($AI$7:$AI$1843,$CC$7:$CC$1843,CC1591,$AL$7:$AL$1843,"&gt;"&amp;AL1591)+SUMIFS($AI$7:$AI$1843,$CC$7:$CC$1843,CC1591,$AL$7:$AL$1843,AL1591,$BT$7:$BT$1843,"&lt;="&amp;BT1591),"")</f>
        <v>30591.867472217</v>
      </c>
      <c r="AN1591" s="58" t="n">
        <f aca="false">IF(AM1591="",0,MAX(0,MIN(1,(IF(CC1591="L1",Parameter!$H$5,IF(CC1591="L23",Parameter!$H$6+Parameter!$H$7,Parameter!$H$5+Parameter!$H$6+Parameter!$H$7))-(AM1591-AI1591))/AI1591)))</f>
        <v>1</v>
      </c>
      <c r="AO1591" s="50" t="n">
        <f aca="false">IF(LEFT(Cockpit!$I$5,1)="A",H1591,IF(CE1591=1,CF1591,IF(LEFT(Cockpit!$I$5,1)="B",AT1591,MAX(AT1591,H1591))))</f>
        <v>5</v>
      </c>
      <c r="AP1591" s="50" t="n">
        <f aca="false">IF(BW1591=1,0,ROUNDUP(AO1591/BV1591,0))</f>
        <v>1</v>
      </c>
      <c r="AQ1591" s="52" t="n">
        <f aca="false">IF(CL1591&gt;0,CL1591*MAX(1,AO1591/X1591),IF(BW1591=1,IF(AO1591&lt;=0,0,CA1591*MAX(1,IF(H1591&gt;0,AO1591/H1591,1))),IF(R1591&gt;0,AP1591/R1591,0))/MAX(0.1,N(Parameter!$M$21)))</f>
        <v>0.0833333333333333</v>
      </c>
      <c r="AR1591" s="50" t="n">
        <f aca="false">AQ1591*BY1591</f>
        <v>12.0833333333333</v>
      </c>
      <c r="AS1591" s="50" t="n">
        <f aca="false">AO1591*G1591</f>
        <v>391.75</v>
      </c>
      <c r="AT1591" s="50" t="n">
        <f aca="false">ROUNDUP(MAX(J1591/IF(CD1591&gt;0,CD1591,MAX(0.1,N(Cockpit!$I$6))),CG1591)/BV1591,0)*BV1591</f>
        <v>5</v>
      </c>
      <c r="AU1591" s="51" t="n">
        <f aca="false">IF(AR1591&gt;0,J1591/AR1591,-1)</f>
        <v>0</v>
      </c>
      <c r="AV1591" s="51" t="n">
        <f aca="false">IF(AND(OR(CC1591="L1",CC1591="L23",CC1591="LIFT"),AR1591&gt;0),SUMIFS($AR$7:$AR$1843,$CC$7:$CC$1843,CC1591,$AU$7:$AU$1843,"&gt;"&amp;AU1591)+SUMIFS($AR$7:$AR$1843,$CC$7:$CC$1843,CC1591,$AU$7:$AU$1843,AU1591,$BT$7:$BT$1843,"&lt;="&amp;BT1591),"")</f>
        <v>42953.7697843588</v>
      </c>
      <c r="AW1591" s="58" t="n">
        <f aca="false">IF(AV1591="",0,MAX(0,MIN(1,(IF(CC1591="L1",Parameter!$H$5,IF(CC1591="L23",Parameter!$H$6+Parameter!$H$7,Parameter!$H$5+Parameter!$H$6+Parameter!$H$7))-(AV1591-AR1591))/AR1591)))</f>
        <v>0</v>
      </c>
      <c r="AX1591" s="50" t="n">
        <f aca="false">IF(LEFT(Cockpit!$O$5,1)="A",H1591,IF(CE1591=1,CF1591,IF(LEFT(Cockpit!$O$5,1)="B",BC1591,MAX(BC1591,H1591))))</f>
        <v>5</v>
      </c>
      <c r="AY1591" s="50" t="n">
        <f aca="false">IF(BW1591=1,0,ROUNDUP(AX1591/BV1591,0))</f>
        <v>1</v>
      </c>
      <c r="AZ1591" s="52" t="n">
        <f aca="false">IF(CL1591&gt;0,CL1591*MAX(1,AX1591/X1591),IF(BW1591=1,IF(AX1591&lt;=0,0,CA1591*MAX(1,IF(H1591&gt;0,AX1591/H1591,1))),IF(R1591&gt;0,AY1591/R1591,0))/MAX(0.1,N(Parameter!$M$21)))</f>
        <v>0.0833333333333333</v>
      </c>
      <c r="BA1591" s="50" t="n">
        <f aca="false">AZ1591*BY1591</f>
        <v>12.0833333333333</v>
      </c>
      <c r="BB1591" s="50" t="n">
        <f aca="false">AX1591*G1591</f>
        <v>391.75</v>
      </c>
      <c r="BC1591" s="50" t="n">
        <f aca="false">ROUNDUP(MAX(J1591/IF(CD1591&gt;0,CD1591,MAX(0.1,N(Cockpit!$O$6))),CG1591)/BV1591,0)*BV1591</f>
        <v>5</v>
      </c>
      <c r="BD1591" s="51" t="n">
        <f aca="false">IF(BA1591&gt;0,J1591/BA1591,-1)</f>
        <v>0</v>
      </c>
      <c r="BE1591" s="51" t="n">
        <f aca="false">IF(AND(OR(CC1591="L1",CC1591="L23",CC1591="LIFT"),BA1591&gt;0),SUMIFS($BA$7:$BA$1843,$CC$7:$CC$1843,CC1591,$BD$7:$BD$1843,"&gt;"&amp;BD1591)+SUMIFS($BA$7:$BA$1843,$CC$7:$CC$1843,CC1591,$BD$7:$BD$1843,BD1591,$BT$7:$BT$1843,"&lt;="&amp;BT1591),"")</f>
        <v>39628.7818262246</v>
      </c>
      <c r="BF1591" s="58" t="n">
        <f aca="false">IF(BE1591="",0,MAX(0,MIN(1,(IF(CC1591="L1",Parameter!$H$5,IF(CC1591="L23",Parameter!$H$6+Parameter!$H$7,Parameter!$H$5+Parameter!$H$6+Parameter!$H$7))-(BE1591-BA1591))/BA1591)))</f>
        <v>0</v>
      </c>
      <c r="BG1591" s="48" t="str">
        <f aca="false">IF(AI1591&lt;=0,"",IF(CC1591="Aussen","Aussenlager",IF(CC1591="-","Nicht im Lift",IF(AN1591&gt;=1,"Lift",IF(AN1591&lt;=0,"Aussenlager","teilweise")))))</f>
        <v>Lift</v>
      </c>
      <c r="BH1591" s="48" t="str">
        <f aca="false">IF(AR1591&lt;=0,"",IF(CC1591="Aussen","Aussenlager",IF(CC1591="-","Nicht im Lift",IF(AW1591&gt;=1,"Lift",IF(AW1591&lt;=0,"Aussenlager","teilweise")))))</f>
        <v>Aussenlager</v>
      </c>
      <c r="BI1591" s="48" t="str">
        <f aca="false">IF(BA1591&lt;=0,"",IF(CC1591="Aussen","Aussenlager",IF(CC1591="-","Nicht im Lift",IF(BF1591&gt;=1,"Lift",IF(BF1591&lt;=0,"Aussenlager","teilweise")))))</f>
        <v>Aussenlager</v>
      </c>
      <c r="BJ1591" s="48" t="str">
        <f aca="false">IF(A1591="","",IF(BS1591=1,"Neu; ","")&amp;IF(AND(BS1591=0,BN1591&lt;0),"negativer Bestand (Export "&amp;BN1591&amp;"); ","")&amp;IF(J1591&lt;=0,"Kein Verbrauch; ","")&amp;IF(CL1591&gt;0,"Lift "&amp;W1591&amp;" lt. Liftbericht (Fach "&amp;X1591&amp;" Stk); ",IF(BX1591=1,"Gebinde geschätzt ("&amp;T1591&amp;"); ",IF(BW1591=1,"Lose – Tablare geschätzt; ","")))&amp;IF(H1591&gt;AT1591,"Überbestand "&amp;ROUND(H1591-AT1591,0)&amp;" Stk / CHF "&amp;ROUND((H1591-AT1591)*G1591,0)&amp;"; ","")&amp;IF(AND(CE1591=1,CF1591&lt;CG1591),"MAX &lt; MB+LG; ","")&amp;IF(AND(CK1591&gt;0,CJ1591*10&gt;CK1591),"zu hoch für Tablar; ","")&amp;IF(AND(BS1591=0,OR(CE1591=1,AA1591&lt;&gt;"",U1591&lt;&gt;"",V1591&lt;&gt;"",AB1591&lt;&gt;"")),"manuell übersteuert; ","")&amp;IF(AND(BW1591=0,R1591=0),"Gebinde unbekannt / Stellmass fehlt; ","")&amp;IF(AND(BW1591=0,N(V1591)&lt;=0,N(Q1591)&lt;=0),"Menge pro Gebinde fehlt (Ist = 1 Gebinde); ","")&amp;BR1591)</f>
        <v>Kein Verbrauch; Gebinde geschätzt (Mittel); Menge pro Gebinde fehlt (Ist = 1 Gebinde); nur im Artikelstamm (Bestand 23.06.2026)</v>
      </c>
      <c r="BK1591" s="48"/>
      <c r="BL1591" s="48"/>
      <c r="BM1591" s="55"/>
      <c r="BN1591" s="50" t="n">
        <v>5</v>
      </c>
      <c r="BO1591" s="50" t="n">
        <v>0</v>
      </c>
      <c r="BP1591" s="49" t="n">
        <v>0</v>
      </c>
      <c r="BQ1591" s="50" t="n">
        <v>0</v>
      </c>
      <c r="BR1591" s="48" t="s">
        <v>2579</v>
      </c>
      <c r="BS1591" s="53" t="n">
        <v>0</v>
      </c>
      <c r="BT1591" s="53" t="n">
        <v>1591</v>
      </c>
      <c r="BU1591" s="48" t="str">
        <f aca="false">IF(U1591&lt;&gt;"",UPPER(TRIM(U1591)),IF(BX1591=1,UPPER(VLOOKUP(T1591,Parameter!$I$27:$K$29,2,0)),IF(P1591="","LOSE",P1591)))</f>
        <v>S61</v>
      </c>
      <c r="BV1591" s="50" t="n">
        <f aca="false">IF(BU1591="LOSE",1,IF(N(V1591)&gt;0,V1591,IF(BX1591=1,MAX(1,N(VLOOKUP(T1591,Parameter!$I$27:$K$29,3,0)),H1591,N(N1591)),IF(N(Q1591)&gt;0,Q1591,MAX(1,H1591)))))</f>
        <v>5</v>
      </c>
      <c r="BW1591" s="53" t="n">
        <f aca="false">IF(BU1591="LOSE",1,0)</f>
        <v>0</v>
      </c>
      <c r="BX1591" s="53" t="n">
        <f aca="false">IF(AND(U1591="",OR(P1591="",P1591="LOSE"),T1591&lt;&gt;"",N(S1591)&lt;=0,ISNUMBER(MATCH(T1591,Parameter!$I$27:$I$29,0))),1,0)</f>
        <v>1</v>
      </c>
      <c r="BY1591" s="53" t="n">
        <f aca="false">IF(CL1591&gt;0,INDEX(Parameter!$H$5:$H$7,W1591)/INDEX(Parameter!$E$5:$E$7,W1591),IF(AND(BW1591=0,N(IFERROR(VLOOKUP(BU1591,'Gebinde-Kategorie'!$A$5:$N$45,14,0),0))&gt;0),VLOOKUP(BU1591,'Gebinde-Kategorie'!$A$5:$N$45,14,0)*10+Parameter!$M$23,Parameter!$M$24))</f>
        <v>145</v>
      </c>
      <c r="BZ1591" s="48" t="str">
        <f aca="false">IF(AND(Parameter!$B$19="Ja",E1591&lt;&gt;"",ISNUMBER(MATCH(E1591,Parameter!$I$35:$I$52,0))),VLOOKUP(E1591,Parameter!$I$35:$J$52,2,0),IFERROR(VLOOKUP(D1591,Parameter!$A$35:$C$64,2,0),"Nein"))</f>
        <v>2+3</v>
      </c>
      <c r="CA1591" s="52" t="n">
        <f aca="false">IF(BW1591=0,0,IF(N(S1591)&gt;0,S1591,IFERROR(VLOOKUP(D1591,Parameter!$A$35:$C$64,3,0)+0,0)))</f>
        <v>0</v>
      </c>
      <c r="CB1591" s="48" t="n">
        <f aca="false">IF(AA1591&lt;&gt;"",AA1591,Z1591)</f>
        <v>2</v>
      </c>
      <c r="CC1591" s="48" t="str">
        <f aca="false">IF(OR(CB1591=1,CB1591=2,CB1591=3),IF(Parameter!$E$27="Ja","LIFT",IF(CB1591=1,"L1","L23")),IF(CB1591="Aussen","Aussen","-"))</f>
        <v>LIFT</v>
      </c>
      <c r="CD1591" s="59" t="n">
        <f aca="false">IF(N(AB1591)&gt;0,AB1591,0)</f>
        <v>0</v>
      </c>
      <c r="CE1591" s="53" t="n">
        <f aca="false">IF(ISNUMBER(AE1591),1,0)</f>
        <v>0</v>
      </c>
      <c r="CF1591" s="50" t="n">
        <f aca="false">N(AE1591)</f>
        <v>0</v>
      </c>
      <c r="CG1591" s="50" t="n">
        <f aca="false">N(M1591)+N(N1591)</f>
        <v>1</v>
      </c>
      <c r="CH1591" s="50" t="n">
        <f aca="false">ROUNDUP(H1591/BV1591,0)</f>
        <v>1</v>
      </c>
      <c r="CI1591" s="50" t="n">
        <f aca="false">ROUNDUP(CF1591/BV1591,0)</f>
        <v>0</v>
      </c>
      <c r="CJ1591" s="53" t="n">
        <f aca="false">IF(BW1591=1,0,IFERROR(VLOOKUP(BU1591,'Gebinde-Kategorie'!$A$5:$N$45,5,0)+0,0))</f>
        <v>11</v>
      </c>
      <c r="CK1591" s="53" t="n">
        <f aca="false">IFERROR(IF(OR(CB1591=1,CB1591=2,CB1591=3),N(INDEX(Parameter!$I$5:$I$7,CB1591)),0),0)</f>
        <v>0</v>
      </c>
      <c r="CL1591" s="52" t="n">
        <f aca="false">IF(AND(Parameter!$B$21="Ja",ISNUMBER(W1591),N(X1591)&gt;0),IFERROR(N(INDEX(Parameter!$L$5:$L$7,W1591))*INDEX(Parameter!$E$5:$E$7,W1591)*X1591/SUMIFS($X$7:$X$1843,$W$7:$W$1843,W1591),0),0)</f>
        <v>0</v>
      </c>
    </row>
    <row r="1592" customFormat="false" ht="15" hidden="false" customHeight="false" outlineLevel="0" collapsed="false">
      <c r="A1592" s="48" t="s">
        <v>2780</v>
      </c>
      <c r="B1592" s="48" t="s">
        <v>1213</v>
      </c>
      <c r="C1592" s="48" t="s">
        <v>168</v>
      </c>
      <c r="D1592" s="48" t="s">
        <v>188</v>
      </c>
      <c r="E1592" s="48"/>
      <c r="F1592" s="48"/>
      <c r="G1592" s="49" t="n">
        <v>0.05</v>
      </c>
      <c r="H1592" s="50" t="n">
        <f aca="false">MAX(0,IF(AND(Parameter!$B$21="Ja",ISNUMBER(Y1592)),Y1592,IF(Parameter!$B$20="Jahresanfang 2025 + Export",BO1592+BN1592,BN1592)))</f>
        <v>2406</v>
      </c>
      <c r="I1592" s="50" t="n">
        <f aca="false">H1592*G1592</f>
        <v>120.3</v>
      </c>
      <c r="J1592" s="50" t="n">
        <f aca="false">BQ1592*Parameter!$B$18</f>
        <v>0</v>
      </c>
      <c r="K1592" s="51"/>
      <c r="L1592" s="52"/>
      <c r="M1592" s="50" t="n">
        <v>0</v>
      </c>
      <c r="N1592" s="50" t="n">
        <v>300</v>
      </c>
      <c r="O1592" s="53" t="n">
        <v>0</v>
      </c>
      <c r="P1592" s="48" t="s">
        <v>172</v>
      </c>
      <c r="Q1592" s="50"/>
      <c r="R1592" s="53" t="n">
        <f aca="false">IF(BW1592=1,0,IFERROR(VLOOKUP(BU1592,'Gebinde-Kategorie'!$A$5:$N$45,13,0)+0,0))</f>
        <v>26</v>
      </c>
      <c r="S1592" s="54"/>
      <c r="T1592" s="55" t="s">
        <v>279</v>
      </c>
      <c r="U1592" s="55"/>
      <c r="V1592" s="55"/>
      <c r="W1592" s="48"/>
      <c r="X1592" s="50"/>
      <c r="Y1592" s="50"/>
      <c r="Z1592" s="48" t="n">
        <f aca="false">IF(A1592="","",IF(AND(Parameter!$B$21="Ja",ISNUMBER(W1592)),W1592,IF(BZ1592="2+3",IF(ISNUMBER(SEARCH("grosser Artikel",BR1592)),2,IFERROR(VLOOKUP(BU1592,Parameter!$F$35:$G$64,2,0),2)),IF(OR(BZ1592="Nein",BZ1592=""),"-",BZ1592))))</f>
        <v>3</v>
      </c>
      <c r="AA1592" s="55"/>
      <c r="AB1592" s="56"/>
      <c r="AC1592" s="50" t="n">
        <f aca="false">AT1592</f>
        <v>2406</v>
      </c>
      <c r="AD1592" s="50" t="n">
        <f aca="false">MAX(AT1592,H1592)</f>
        <v>2406</v>
      </c>
      <c r="AE1592" s="57"/>
      <c r="AF1592" s="50" t="n">
        <f aca="false">IF(LEFT(Cockpit!$C$5,1)="A",H1592,IF(CE1592=1,CF1592,IF(LEFT(Cockpit!$C$5,1)="B",AK1592,MAX(AK1592,H1592))))</f>
        <v>2406</v>
      </c>
      <c r="AG1592" s="50" t="n">
        <f aca="false">IF(BW1592=1,0,ROUNDUP(AF1592/BV1592,0))</f>
        <v>1</v>
      </c>
      <c r="AH1592" s="52" t="n">
        <f aca="false">IF(CL1592&gt;0,CL1592*MAX(1,AF1592/X1592),IF(BW1592=1,IF(AF1592&lt;=0,0,CA1592*MAX(1,IF(H1592&gt;0,AF1592/H1592,1))),IF(R1592&gt;0,AG1592/R1592,0))/MAX(0.1,N(Parameter!$M$21)))</f>
        <v>0.0384615384615385</v>
      </c>
      <c r="AI1592" s="50" t="n">
        <f aca="false">AH1592*BY1592</f>
        <v>5.96153846153846</v>
      </c>
      <c r="AJ1592" s="50" t="n">
        <f aca="false">AF1592*G1592</f>
        <v>120.3</v>
      </c>
      <c r="AK1592" s="50" t="n">
        <f aca="false">ROUNDUP(MAX(J1592/IF(CD1592&gt;0,CD1592,MAX(0.1,N(Cockpit!$C$6))),CG1592)/BV1592,0)*BV1592</f>
        <v>2406</v>
      </c>
      <c r="AL1592" s="51" t="n">
        <f aca="false">IF(AI1592&gt;0,J1592/AI1592,-1)</f>
        <v>0</v>
      </c>
      <c r="AM1592" s="51" t="n">
        <f aca="false">IF(AND(OR(CC1592="L1",CC1592="L23",CC1592="LIFT"),AI1592&gt;0),SUMIFS($AI$7:$AI$1843,$CC$7:$CC$1843,CC1592,$AL$7:$AL$1843,"&gt;"&amp;AL1592)+SUMIFS($AI$7:$AI$1843,$CC$7:$CC$1843,CC1592,$AL$7:$AL$1843,AL1592,$BT$7:$BT$1843,"&lt;="&amp;BT1592),"")</f>
        <v>30597.8290106786</v>
      </c>
      <c r="AN1592" s="58" t="n">
        <f aca="false">IF(AM1592="",0,MAX(0,MIN(1,(IF(CC1592="L1",Parameter!$H$5,IF(CC1592="L23",Parameter!$H$6+Parameter!$H$7,Parameter!$H$5+Parameter!$H$6+Parameter!$H$7))-(AM1592-AI1592))/AI1592)))</f>
        <v>1</v>
      </c>
      <c r="AO1592" s="50" t="n">
        <f aca="false">IF(LEFT(Cockpit!$I$5,1)="A",H1592,IF(CE1592=1,CF1592,IF(LEFT(Cockpit!$I$5,1)="B",AT1592,MAX(AT1592,H1592))))</f>
        <v>2406</v>
      </c>
      <c r="AP1592" s="50" t="n">
        <f aca="false">IF(BW1592=1,0,ROUNDUP(AO1592/BV1592,0))</f>
        <v>1</v>
      </c>
      <c r="AQ1592" s="52" t="n">
        <f aca="false">IF(CL1592&gt;0,CL1592*MAX(1,AO1592/X1592),IF(BW1592=1,IF(AO1592&lt;=0,0,CA1592*MAX(1,IF(H1592&gt;0,AO1592/H1592,1))),IF(R1592&gt;0,AP1592/R1592,0))/MAX(0.1,N(Parameter!$M$21)))</f>
        <v>0.0384615384615385</v>
      </c>
      <c r="AR1592" s="50" t="n">
        <f aca="false">AQ1592*BY1592</f>
        <v>5.96153846153846</v>
      </c>
      <c r="AS1592" s="50" t="n">
        <f aca="false">AO1592*G1592</f>
        <v>120.3</v>
      </c>
      <c r="AT1592" s="50" t="n">
        <f aca="false">ROUNDUP(MAX(J1592/IF(CD1592&gt;0,CD1592,MAX(0.1,N(Cockpit!$I$6))),CG1592)/BV1592,0)*BV1592</f>
        <v>2406</v>
      </c>
      <c r="AU1592" s="51" t="n">
        <f aca="false">IF(AR1592&gt;0,J1592/AR1592,-1)</f>
        <v>0</v>
      </c>
      <c r="AV1592" s="51" t="n">
        <f aca="false">IF(AND(OR(CC1592="L1",CC1592="L23",CC1592="LIFT"),AR1592&gt;0),SUMIFS($AR$7:$AR$1843,$CC$7:$CC$1843,CC1592,$AU$7:$AU$1843,"&gt;"&amp;AU1592)+SUMIFS($AR$7:$AR$1843,$CC$7:$CC$1843,CC1592,$AU$7:$AU$1843,AU1592,$BT$7:$BT$1843,"&lt;="&amp;BT1592),"")</f>
        <v>42959.7313228203</v>
      </c>
      <c r="AW1592" s="58" t="n">
        <f aca="false">IF(AV1592="",0,MAX(0,MIN(1,(IF(CC1592="L1",Parameter!$H$5,IF(CC1592="L23",Parameter!$H$6+Parameter!$H$7,Parameter!$H$5+Parameter!$H$6+Parameter!$H$7))-(AV1592-AR1592))/AR1592)))</f>
        <v>0</v>
      </c>
      <c r="AX1592" s="50" t="n">
        <f aca="false">IF(LEFT(Cockpit!$O$5,1)="A",H1592,IF(CE1592=1,CF1592,IF(LEFT(Cockpit!$O$5,1)="B",BC1592,MAX(BC1592,H1592))))</f>
        <v>2406</v>
      </c>
      <c r="AY1592" s="50" t="n">
        <f aca="false">IF(BW1592=1,0,ROUNDUP(AX1592/BV1592,0))</f>
        <v>1</v>
      </c>
      <c r="AZ1592" s="52" t="n">
        <f aca="false">IF(CL1592&gt;0,CL1592*MAX(1,AX1592/X1592),IF(BW1592=1,IF(AX1592&lt;=0,0,CA1592*MAX(1,IF(H1592&gt;0,AX1592/H1592,1))),IF(R1592&gt;0,AY1592/R1592,0))/MAX(0.1,N(Parameter!$M$21)))</f>
        <v>0.0384615384615385</v>
      </c>
      <c r="BA1592" s="50" t="n">
        <f aca="false">AZ1592*BY1592</f>
        <v>5.96153846153846</v>
      </c>
      <c r="BB1592" s="50" t="n">
        <f aca="false">AX1592*G1592</f>
        <v>120.3</v>
      </c>
      <c r="BC1592" s="50" t="n">
        <f aca="false">ROUNDUP(MAX(J1592/IF(CD1592&gt;0,CD1592,MAX(0.1,N(Cockpit!$O$6))),CG1592)/BV1592,0)*BV1592</f>
        <v>2406</v>
      </c>
      <c r="BD1592" s="51" t="n">
        <f aca="false">IF(BA1592&gt;0,J1592/BA1592,-1)</f>
        <v>0</v>
      </c>
      <c r="BE1592" s="51" t="n">
        <f aca="false">IF(AND(OR(CC1592="L1",CC1592="L23",CC1592="LIFT"),BA1592&gt;0),SUMIFS($BA$7:$BA$1843,$CC$7:$CC$1843,CC1592,$BD$7:$BD$1843,"&gt;"&amp;BD1592)+SUMIFS($BA$7:$BA$1843,$CC$7:$CC$1843,CC1592,$BD$7:$BD$1843,BD1592,$BT$7:$BT$1843,"&lt;="&amp;BT1592),"")</f>
        <v>39634.7433646862</v>
      </c>
      <c r="BF1592" s="58" t="n">
        <f aca="false">IF(BE1592="",0,MAX(0,MIN(1,(IF(CC1592="L1",Parameter!$H$5,IF(CC1592="L23",Parameter!$H$6+Parameter!$H$7,Parameter!$H$5+Parameter!$H$6+Parameter!$H$7))-(BE1592-BA1592))/BA1592)))</f>
        <v>0</v>
      </c>
      <c r="BG1592" s="48" t="str">
        <f aca="false">IF(AI1592&lt;=0,"",IF(CC1592="Aussen","Aussenlager",IF(CC1592="-","Nicht im Lift",IF(AN1592&gt;=1,"Lift",IF(AN1592&lt;=0,"Aussenlager","teilweise")))))</f>
        <v>Lift</v>
      </c>
      <c r="BH1592" s="48" t="str">
        <f aca="false">IF(AR1592&lt;=0,"",IF(CC1592="Aussen","Aussenlager",IF(CC1592="-","Nicht im Lift",IF(AW1592&gt;=1,"Lift",IF(AW1592&lt;=0,"Aussenlager","teilweise")))))</f>
        <v>Aussenlager</v>
      </c>
      <c r="BI1592" s="48" t="str">
        <f aca="false">IF(BA1592&lt;=0,"",IF(CC1592="Aussen","Aussenlager",IF(CC1592="-","Nicht im Lift",IF(BF1592&gt;=1,"Lift",IF(BF1592&lt;=0,"Aussenlager","teilweise")))))</f>
        <v>Aussenlager</v>
      </c>
      <c r="BJ1592" s="48" t="str">
        <f aca="false">IF(A1592="","",IF(BS1592=1,"Neu; ","")&amp;IF(AND(BS1592=0,BN1592&lt;0),"negativer Bestand (Export "&amp;BN1592&amp;"); ","")&amp;IF(J1592&lt;=0,"Kein Verbrauch; ","")&amp;IF(CL1592&gt;0,"Lift "&amp;W1592&amp;" lt. Liftbericht (Fach "&amp;X1592&amp;" Stk); ",IF(BX1592=1,"Gebinde geschätzt ("&amp;T1592&amp;"); ",IF(BW1592=1,"Lose – Tablare geschätzt; ","")))&amp;IF(H1592&gt;AT1592,"Überbestand "&amp;ROUND(H1592-AT1592,0)&amp;" Stk / CHF "&amp;ROUND((H1592-AT1592)*G1592,0)&amp;"; ","")&amp;IF(AND(CE1592=1,CF1592&lt;CG1592),"MAX &lt; MB+LG; ","")&amp;IF(AND(CK1592&gt;0,CJ1592*10&gt;CK1592),"zu hoch für Tablar; ","")&amp;IF(AND(BS1592=0,OR(CE1592=1,AA1592&lt;&gt;"",U1592&lt;&gt;"",V1592&lt;&gt;"",AB1592&lt;&gt;"")),"manuell übersteuert; ","")&amp;IF(AND(BW1592=0,R1592=0),"Gebinde unbekannt / Stellmass fehlt; ","")&amp;IF(AND(BW1592=0,N(V1592)&lt;=0,N(Q1592)&lt;=0),"Menge pro Gebinde fehlt (Ist = 1 Gebinde); ","")&amp;BR1592)</f>
        <v>Kein Verbrauch; Gebinde geschätzt (Klein); Menge pro Gebinde fehlt (Ist = 1 Gebinde); nur im Artikelstamm (Bestand 23.06.2026)</v>
      </c>
      <c r="BK1592" s="48"/>
      <c r="BL1592" s="48"/>
      <c r="BM1592" s="55"/>
      <c r="BN1592" s="50" t="n">
        <v>2406</v>
      </c>
      <c r="BO1592" s="50" t="n">
        <v>0</v>
      </c>
      <c r="BP1592" s="49" t="n">
        <v>0</v>
      </c>
      <c r="BQ1592" s="50" t="n">
        <v>0</v>
      </c>
      <c r="BR1592" s="48" t="s">
        <v>2579</v>
      </c>
      <c r="BS1592" s="53" t="n">
        <v>0</v>
      </c>
      <c r="BT1592" s="53" t="n">
        <v>1592</v>
      </c>
      <c r="BU1592" s="48" t="str">
        <f aca="false">IF(U1592&lt;&gt;"",UPPER(TRIM(U1592)),IF(BX1592=1,UPPER(VLOOKUP(T1592,Parameter!$I$27:$K$29,2,0)),IF(P1592="","LOSE",P1592)))</f>
        <v>S51</v>
      </c>
      <c r="BV1592" s="50" t="n">
        <f aca="false">IF(BU1592="LOSE",1,IF(N(V1592)&gt;0,V1592,IF(BX1592=1,MAX(1,N(VLOOKUP(T1592,Parameter!$I$27:$K$29,3,0)),H1592,N(N1592)),IF(N(Q1592)&gt;0,Q1592,MAX(1,H1592)))))</f>
        <v>2406</v>
      </c>
      <c r="BW1592" s="53" t="n">
        <f aca="false">IF(BU1592="LOSE",1,0)</f>
        <v>0</v>
      </c>
      <c r="BX1592" s="53" t="n">
        <f aca="false">IF(AND(U1592="",OR(P1592="",P1592="LOSE"),T1592&lt;&gt;"",N(S1592)&lt;=0,ISNUMBER(MATCH(T1592,Parameter!$I$27:$I$29,0))),1,0)</f>
        <v>1</v>
      </c>
      <c r="BY1592" s="53" t="n">
        <f aca="false">IF(CL1592&gt;0,INDEX(Parameter!$H$5:$H$7,W1592)/INDEX(Parameter!$E$5:$E$7,W1592),IF(AND(BW1592=0,N(IFERROR(VLOOKUP(BU1592,'Gebinde-Kategorie'!$A$5:$N$45,14,0),0))&gt;0),VLOOKUP(BU1592,'Gebinde-Kategorie'!$A$5:$N$45,14,0)*10+Parameter!$M$23,Parameter!$M$24))</f>
        <v>155</v>
      </c>
      <c r="BZ1592" s="48" t="str">
        <f aca="false">IF(AND(Parameter!$B$19="Ja",E1592&lt;&gt;"",ISNUMBER(MATCH(E1592,Parameter!$I$35:$I$52,0))),VLOOKUP(E1592,Parameter!$I$35:$J$52,2,0),IFERROR(VLOOKUP(D1592,Parameter!$A$35:$C$64,2,0),"Nein"))</f>
        <v>2+3</v>
      </c>
      <c r="CA1592" s="52" t="n">
        <f aca="false">IF(BW1592=0,0,IF(N(S1592)&gt;0,S1592,IFERROR(VLOOKUP(D1592,Parameter!$A$35:$C$64,3,0)+0,0)))</f>
        <v>0</v>
      </c>
      <c r="CB1592" s="48" t="n">
        <f aca="false">IF(AA1592&lt;&gt;"",AA1592,Z1592)</f>
        <v>3</v>
      </c>
      <c r="CC1592" s="48" t="str">
        <f aca="false">IF(OR(CB1592=1,CB1592=2,CB1592=3),IF(Parameter!$E$27="Ja","LIFT",IF(CB1592=1,"L1","L23")),IF(CB1592="Aussen","Aussen","-"))</f>
        <v>LIFT</v>
      </c>
      <c r="CD1592" s="59" t="n">
        <f aca="false">IF(N(AB1592)&gt;0,AB1592,0)</f>
        <v>0</v>
      </c>
      <c r="CE1592" s="53" t="n">
        <f aca="false">IF(ISNUMBER(AE1592),1,0)</f>
        <v>0</v>
      </c>
      <c r="CF1592" s="50" t="n">
        <f aca="false">N(AE1592)</f>
        <v>0</v>
      </c>
      <c r="CG1592" s="50" t="n">
        <f aca="false">N(M1592)+N(N1592)</f>
        <v>300</v>
      </c>
      <c r="CH1592" s="50" t="n">
        <f aca="false">ROUNDUP(H1592/BV1592,0)</f>
        <v>1</v>
      </c>
      <c r="CI1592" s="50" t="n">
        <f aca="false">ROUNDUP(CF1592/BV1592,0)</f>
        <v>0</v>
      </c>
      <c r="CJ1592" s="53" t="n">
        <f aca="false">IF(BW1592=1,0,IFERROR(VLOOKUP(BU1592,'Gebinde-Kategorie'!$A$5:$N$45,5,0)+0,0))</f>
        <v>11</v>
      </c>
      <c r="CK1592" s="53" t="n">
        <f aca="false">IFERROR(IF(OR(CB1592=1,CB1592=2,CB1592=3),N(INDEX(Parameter!$I$5:$I$7,CB1592)),0),0)</f>
        <v>0</v>
      </c>
      <c r="CL1592" s="52" t="n">
        <f aca="false">IF(AND(Parameter!$B$21="Ja",ISNUMBER(W1592),N(X1592)&gt;0),IFERROR(N(INDEX(Parameter!$L$5:$L$7,W1592))*INDEX(Parameter!$E$5:$E$7,W1592)*X1592/SUMIFS($X$7:$X$1843,$W$7:$W$1843,W1592),0),0)</f>
        <v>0</v>
      </c>
    </row>
    <row r="1593" customFormat="false" ht="15" hidden="false" customHeight="false" outlineLevel="0" collapsed="false">
      <c r="A1593" s="48" t="s">
        <v>2781</v>
      </c>
      <c r="B1593" s="48" t="s">
        <v>2782</v>
      </c>
      <c r="C1593" s="48" t="s">
        <v>168</v>
      </c>
      <c r="D1593" s="48" t="s">
        <v>177</v>
      </c>
      <c r="E1593" s="48"/>
      <c r="F1593" s="48"/>
      <c r="G1593" s="49" t="n">
        <v>2.33</v>
      </c>
      <c r="H1593" s="50" t="n">
        <f aca="false">MAX(0,IF(AND(Parameter!$B$21="Ja",ISNUMBER(Y1593)),Y1593,IF(Parameter!$B$20="Jahresanfang 2025 + Export",BO1593+BN1593,BN1593)))</f>
        <v>226</v>
      </c>
      <c r="I1593" s="50" t="n">
        <f aca="false">H1593*G1593</f>
        <v>526.58</v>
      </c>
      <c r="J1593" s="50" t="n">
        <f aca="false">BQ1593*Parameter!$B$18</f>
        <v>0</v>
      </c>
      <c r="K1593" s="51"/>
      <c r="L1593" s="52"/>
      <c r="M1593" s="50" t="n">
        <v>0</v>
      </c>
      <c r="N1593" s="50" t="n">
        <v>100</v>
      </c>
      <c r="O1593" s="53" t="n">
        <v>56</v>
      </c>
      <c r="P1593" s="48" t="s">
        <v>172</v>
      </c>
      <c r="Q1593" s="50"/>
      <c r="R1593" s="53" t="n">
        <f aca="false">IF(BW1593=1,0,IFERROR(VLOOKUP(BU1593,'Gebinde-Kategorie'!$A$5:$N$45,13,0)+0,0))</f>
        <v>12</v>
      </c>
      <c r="S1593" s="54"/>
      <c r="T1593" s="55" t="s">
        <v>183</v>
      </c>
      <c r="U1593" s="55"/>
      <c r="V1593" s="55"/>
      <c r="W1593" s="48"/>
      <c r="X1593" s="50"/>
      <c r="Y1593" s="50"/>
      <c r="Z1593" s="48" t="n">
        <f aca="false">IF(A1593="","",IF(AND(Parameter!$B$21="Ja",ISNUMBER(W1593)),W1593,IF(BZ1593="2+3",IF(ISNUMBER(SEARCH("grosser Artikel",BR1593)),2,IFERROR(VLOOKUP(BU1593,Parameter!$F$35:$G$64,2,0),2)),IF(OR(BZ1593="Nein",BZ1593=""),"-",BZ1593))))</f>
        <v>2</v>
      </c>
      <c r="AA1593" s="55"/>
      <c r="AB1593" s="56"/>
      <c r="AC1593" s="50" t="n">
        <f aca="false">AT1593</f>
        <v>226</v>
      </c>
      <c r="AD1593" s="50" t="n">
        <f aca="false">MAX(AT1593,H1593)</f>
        <v>226</v>
      </c>
      <c r="AE1593" s="57"/>
      <c r="AF1593" s="50" t="n">
        <f aca="false">IF(LEFT(Cockpit!$C$5,1)="A",H1593,IF(CE1593=1,CF1593,IF(LEFT(Cockpit!$C$5,1)="B",AK1593,MAX(AK1593,H1593))))</f>
        <v>226</v>
      </c>
      <c r="AG1593" s="50" t="n">
        <f aca="false">IF(BW1593=1,0,ROUNDUP(AF1593/BV1593,0))</f>
        <v>1</v>
      </c>
      <c r="AH1593" s="52" t="n">
        <f aca="false">IF(CL1593&gt;0,CL1593*MAX(1,AF1593/X1593),IF(BW1593=1,IF(AF1593&lt;=0,0,CA1593*MAX(1,IF(H1593&gt;0,AF1593/H1593,1))),IF(R1593&gt;0,AG1593/R1593,0))/MAX(0.1,N(Parameter!$M$21)))</f>
        <v>0.0833333333333333</v>
      </c>
      <c r="AI1593" s="50" t="n">
        <f aca="false">AH1593*BY1593</f>
        <v>12.0833333333333</v>
      </c>
      <c r="AJ1593" s="50" t="n">
        <f aca="false">AF1593*G1593</f>
        <v>526.58</v>
      </c>
      <c r="AK1593" s="50" t="n">
        <f aca="false">ROUNDUP(MAX(J1593/IF(CD1593&gt;0,CD1593,MAX(0.1,N(Cockpit!$C$6))),CG1593)/BV1593,0)*BV1593</f>
        <v>226</v>
      </c>
      <c r="AL1593" s="51" t="n">
        <f aca="false">IF(AI1593&gt;0,J1593/AI1593,-1)</f>
        <v>0</v>
      </c>
      <c r="AM1593" s="51" t="n">
        <f aca="false">IF(AND(OR(CC1593="L1",CC1593="L23",CC1593="LIFT"),AI1593&gt;0),SUMIFS($AI$7:$AI$1843,$CC$7:$CC$1843,CC1593,$AL$7:$AL$1843,"&gt;"&amp;AL1593)+SUMIFS($AI$7:$AI$1843,$CC$7:$CC$1843,CC1593,$AL$7:$AL$1843,AL1593,$BT$7:$BT$1843,"&lt;="&amp;BT1593),"")</f>
        <v>30609.9123440119</v>
      </c>
      <c r="AN1593" s="58" t="n">
        <f aca="false">IF(AM1593="",0,MAX(0,MIN(1,(IF(CC1593="L1",Parameter!$H$5,IF(CC1593="L23",Parameter!$H$6+Parameter!$H$7,Parameter!$H$5+Parameter!$H$6+Parameter!$H$7))-(AM1593-AI1593))/AI1593)))</f>
        <v>1</v>
      </c>
      <c r="AO1593" s="50" t="n">
        <f aca="false">IF(LEFT(Cockpit!$I$5,1)="A",H1593,IF(CE1593=1,CF1593,IF(LEFT(Cockpit!$I$5,1)="B",AT1593,MAX(AT1593,H1593))))</f>
        <v>226</v>
      </c>
      <c r="AP1593" s="50" t="n">
        <f aca="false">IF(BW1593=1,0,ROUNDUP(AO1593/BV1593,0))</f>
        <v>1</v>
      </c>
      <c r="AQ1593" s="52" t="n">
        <f aca="false">IF(CL1593&gt;0,CL1593*MAX(1,AO1593/X1593),IF(BW1593=1,IF(AO1593&lt;=0,0,CA1593*MAX(1,IF(H1593&gt;0,AO1593/H1593,1))),IF(R1593&gt;0,AP1593/R1593,0))/MAX(0.1,N(Parameter!$M$21)))</f>
        <v>0.0833333333333333</v>
      </c>
      <c r="AR1593" s="50" t="n">
        <f aca="false">AQ1593*BY1593</f>
        <v>12.0833333333333</v>
      </c>
      <c r="AS1593" s="50" t="n">
        <f aca="false">AO1593*G1593</f>
        <v>526.58</v>
      </c>
      <c r="AT1593" s="50" t="n">
        <f aca="false">ROUNDUP(MAX(J1593/IF(CD1593&gt;0,CD1593,MAX(0.1,N(Cockpit!$I$6))),CG1593)/BV1593,0)*BV1593</f>
        <v>226</v>
      </c>
      <c r="AU1593" s="51" t="n">
        <f aca="false">IF(AR1593&gt;0,J1593/AR1593,-1)</f>
        <v>0</v>
      </c>
      <c r="AV1593" s="51" t="n">
        <f aca="false">IF(AND(OR(CC1593="L1",CC1593="L23",CC1593="LIFT"),AR1593&gt;0),SUMIFS($AR$7:$AR$1843,$CC$7:$CC$1843,CC1593,$AU$7:$AU$1843,"&gt;"&amp;AU1593)+SUMIFS($AR$7:$AR$1843,$CC$7:$CC$1843,CC1593,$AU$7:$AU$1843,AU1593,$BT$7:$BT$1843,"&lt;="&amp;BT1593),"")</f>
        <v>42971.8146561536</v>
      </c>
      <c r="AW1593" s="58" t="n">
        <f aca="false">IF(AV1593="",0,MAX(0,MIN(1,(IF(CC1593="L1",Parameter!$H$5,IF(CC1593="L23",Parameter!$H$6+Parameter!$H$7,Parameter!$H$5+Parameter!$H$6+Parameter!$H$7))-(AV1593-AR1593))/AR1593)))</f>
        <v>0</v>
      </c>
      <c r="AX1593" s="50" t="n">
        <f aca="false">IF(LEFT(Cockpit!$O$5,1)="A",H1593,IF(CE1593=1,CF1593,IF(LEFT(Cockpit!$O$5,1)="B",BC1593,MAX(BC1593,H1593))))</f>
        <v>226</v>
      </c>
      <c r="AY1593" s="50" t="n">
        <f aca="false">IF(BW1593=1,0,ROUNDUP(AX1593/BV1593,0))</f>
        <v>1</v>
      </c>
      <c r="AZ1593" s="52" t="n">
        <f aca="false">IF(CL1593&gt;0,CL1593*MAX(1,AX1593/X1593),IF(BW1593=1,IF(AX1593&lt;=0,0,CA1593*MAX(1,IF(H1593&gt;0,AX1593/H1593,1))),IF(R1593&gt;0,AY1593/R1593,0))/MAX(0.1,N(Parameter!$M$21)))</f>
        <v>0.0833333333333333</v>
      </c>
      <c r="BA1593" s="50" t="n">
        <f aca="false">AZ1593*BY1593</f>
        <v>12.0833333333333</v>
      </c>
      <c r="BB1593" s="50" t="n">
        <f aca="false">AX1593*G1593</f>
        <v>526.58</v>
      </c>
      <c r="BC1593" s="50" t="n">
        <f aca="false">ROUNDUP(MAX(J1593/IF(CD1593&gt;0,CD1593,MAX(0.1,N(Cockpit!$O$6))),CG1593)/BV1593,0)*BV1593</f>
        <v>226</v>
      </c>
      <c r="BD1593" s="51" t="n">
        <f aca="false">IF(BA1593&gt;0,J1593/BA1593,-1)</f>
        <v>0</v>
      </c>
      <c r="BE1593" s="51" t="n">
        <f aca="false">IF(AND(OR(CC1593="L1",CC1593="L23",CC1593="LIFT"),BA1593&gt;0),SUMIFS($BA$7:$BA$1843,$CC$7:$CC$1843,CC1593,$BD$7:$BD$1843,"&gt;"&amp;BD1593)+SUMIFS($BA$7:$BA$1843,$CC$7:$CC$1843,CC1593,$BD$7:$BD$1843,BD1593,$BT$7:$BT$1843,"&lt;="&amp;BT1593),"")</f>
        <v>39646.8266980195</v>
      </c>
      <c r="BF1593" s="58" t="n">
        <f aca="false">IF(BE1593="",0,MAX(0,MIN(1,(IF(CC1593="L1",Parameter!$H$5,IF(CC1593="L23",Parameter!$H$6+Parameter!$H$7,Parameter!$H$5+Parameter!$H$6+Parameter!$H$7))-(BE1593-BA1593))/BA1593)))</f>
        <v>0</v>
      </c>
      <c r="BG1593" s="48" t="str">
        <f aca="false">IF(AI1593&lt;=0,"",IF(CC1593="Aussen","Aussenlager",IF(CC1593="-","Nicht im Lift",IF(AN1593&gt;=1,"Lift",IF(AN1593&lt;=0,"Aussenlager","teilweise")))))</f>
        <v>Lift</v>
      </c>
      <c r="BH1593" s="48" t="str">
        <f aca="false">IF(AR1593&lt;=0,"",IF(CC1593="Aussen","Aussenlager",IF(CC1593="-","Nicht im Lift",IF(AW1593&gt;=1,"Lift",IF(AW1593&lt;=0,"Aussenlager","teilweise")))))</f>
        <v>Aussenlager</v>
      </c>
      <c r="BI1593" s="48" t="str">
        <f aca="false">IF(BA1593&lt;=0,"",IF(CC1593="Aussen","Aussenlager",IF(CC1593="-","Nicht im Lift",IF(BF1593&gt;=1,"Lift",IF(BF1593&lt;=0,"Aussenlager","teilweise")))))</f>
        <v>Aussenlager</v>
      </c>
      <c r="BJ1593" s="48" t="str">
        <f aca="false">IF(A1593="","",IF(BS1593=1,"Neu; ","")&amp;IF(AND(BS1593=0,BN1593&lt;0),"negativer Bestand (Export "&amp;BN1593&amp;"); ","")&amp;IF(J1593&lt;=0,"Kein Verbrauch; ","")&amp;IF(CL1593&gt;0,"Lift "&amp;W1593&amp;" lt. Liftbericht (Fach "&amp;X1593&amp;" Stk); ",IF(BX1593=1,"Gebinde geschätzt ("&amp;T1593&amp;"); ",IF(BW1593=1,"Lose – Tablare geschätzt; ","")))&amp;IF(H1593&gt;AT1593,"Überbestand "&amp;ROUND(H1593-AT1593,0)&amp;" Stk / CHF "&amp;ROUND((H1593-AT1593)*G1593,0)&amp;"; ","")&amp;IF(AND(CE1593=1,CF1593&lt;CG1593),"MAX &lt; MB+LG; ","")&amp;IF(AND(CK1593&gt;0,CJ1593*10&gt;CK1593),"zu hoch für Tablar; ","")&amp;IF(AND(BS1593=0,OR(CE1593=1,AA1593&lt;&gt;"",U1593&lt;&gt;"",V1593&lt;&gt;"",AB1593&lt;&gt;"")),"manuell übersteuert; ","")&amp;IF(AND(BW1593=0,R1593=0),"Gebinde unbekannt / Stellmass fehlt; ","")&amp;IF(AND(BW1593=0,N(V1593)&lt;=0,N(Q1593)&lt;=0),"Menge pro Gebinde fehlt (Ist = 1 Gebinde); ","")&amp;BR1593)</f>
        <v>Kein Verbrauch; Gebinde geschätzt (Mittel); Menge pro Gebinde fehlt (Ist = 1 Gebinde); nur im Artikelstamm (Bestand 23.06.2026)</v>
      </c>
      <c r="BK1593" s="48"/>
      <c r="BL1593" s="48"/>
      <c r="BM1593" s="55"/>
      <c r="BN1593" s="50" t="n">
        <v>226</v>
      </c>
      <c r="BO1593" s="50" t="n">
        <v>0</v>
      </c>
      <c r="BP1593" s="49" t="n">
        <v>0</v>
      </c>
      <c r="BQ1593" s="50" t="n">
        <v>0</v>
      </c>
      <c r="BR1593" s="48" t="s">
        <v>2579</v>
      </c>
      <c r="BS1593" s="53" t="n">
        <v>0</v>
      </c>
      <c r="BT1593" s="53" t="n">
        <v>1593</v>
      </c>
      <c r="BU1593" s="48" t="str">
        <f aca="false">IF(U1593&lt;&gt;"",UPPER(TRIM(U1593)),IF(BX1593=1,UPPER(VLOOKUP(T1593,Parameter!$I$27:$K$29,2,0)),IF(P1593="","LOSE",P1593)))</f>
        <v>S61</v>
      </c>
      <c r="BV1593" s="50" t="n">
        <f aca="false">IF(BU1593="LOSE",1,IF(N(V1593)&gt;0,V1593,IF(BX1593=1,MAX(1,N(VLOOKUP(T1593,Parameter!$I$27:$K$29,3,0)),H1593,N(N1593)),IF(N(Q1593)&gt;0,Q1593,MAX(1,H1593)))))</f>
        <v>226</v>
      </c>
      <c r="BW1593" s="53" t="n">
        <f aca="false">IF(BU1593="LOSE",1,0)</f>
        <v>0</v>
      </c>
      <c r="BX1593" s="53" t="n">
        <f aca="false">IF(AND(U1593="",OR(P1593="",P1593="LOSE"),T1593&lt;&gt;"",N(S1593)&lt;=0,ISNUMBER(MATCH(T1593,Parameter!$I$27:$I$29,0))),1,0)</f>
        <v>1</v>
      </c>
      <c r="BY1593" s="53" t="n">
        <f aca="false">IF(CL1593&gt;0,INDEX(Parameter!$H$5:$H$7,W1593)/INDEX(Parameter!$E$5:$E$7,W1593),IF(AND(BW1593=0,N(IFERROR(VLOOKUP(BU1593,'Gebinde-Kategorie'!$A$5:$N$45,14,0),0))&gt;0),VLOOKUP(BU1593,'Gebinde-Kategorie'!$A$5:$N$45,14,0)*10+Parameter!$M$23,Parameter!$M$24))</f>
        <v>145</v>
      </c>
      <c r="BZ1593" s="48" t="str">
        <f aca="false">IF(AND(Parameter!$B$19="Ja",E1593&lt;&gt;"",ISNUMBER(MATCH(E1593,Parameter!$I$35:$I$52,0))),VLOOKUP(E1593,Parameter!$I$35:$J$52,2,0),IFERROR(VLOOKUP(D1593,Parameter!$A$35:$C$64,2,0),"Nein"))</f>
        <v>2+3</v>
      </c>
      <c r="CA1593" s="52" t="n">
        <f aca="false">IF(BW1593=0,0,IF(N(S1593)&gt;0,S1593,IFERROR(VLOOKUP(D1593,Parameter!$A$35:$C$64,3,0)+0,0)))</f>
        <v>0</v>
      </c>
      <c r="CB1593" s="48" t="n">
        <f aca="false">IF(AA1593&lt;&gt;"",AA1593,Z1593)</f>
        <v>2</v>
      </c>
      <c r="CC1593" s="48" t="str">
        <f aca="false">IF(OR(CB1593=1,CB1593=2,CB1593=3),IF(Parameter!$E$27="Ja","LIFT",IF(CB1593=1,"L1","L23")),IF(CB1593="Aussen","Aussen","-"))</f>
        <v>LIFT</v>
      </c>
      <c r="CD1593" s="59" t="n">
        <f aca="false">IF(N(AB1593)&gt;0,AB1593,0)</f>
        <v>0</v>
      </c>
      <c r="CE1593" s="53" t="n">
        <f aca="false">IF(ISNUMBER(AE1593),1,0)</f>
        <v>0</v>
      </c>
      <c r="CF1593" s="50" t="n">
        <f aca="false">N(AE1593)</f>
        <v>0</v>
      </c>
      <c r="CG1593" s="50" t="n">
        <f aca="false">N(M1593)+N(N1593)</f>
        <v>100</v>
      </c>
      <c r="CH1593" s="50" t="n">
        <f aca="false">ROUNDUP(H1593/BV1593,0)</f>
        <v>1</v>
      </c>
      <c r="CI1593" s="50" t="n">
        <f aca="false">ROUNDUP(CF1593/BV1593,0)</f>
        <v>0</v>
      </c>
      <c r="CJ1593" s="53" t="n">
        <f aca="false">IF(BW1593=1,0,IFERROR(VLOOKUP(BU1593,'Gebinde-Kategorie'!$A$5:$N$45,5,0)+0,0))</f>
        <v>11</v>
      </c>
      <c r="CK1593" s="53" t="n">
        <f aca="false">IFERROR(IF(OR(CB1593=1,CB1593=2,CB1593=3),N(INDEX(Parameter!$I$5:$I$7,CB1593)),0),0)</f>
        <v>0</v>
      </c>
      <c r="CL1593" s="52" t="n">
        <f aca="false">IF(AND(Parameter!$B$21="Ja",ISNUMBER(W1593),N(X1593)&gt;0),IFERROR(N(INDEX(Parameter!$L$5:$L$7,W1593))*INDEX(Parameter!$E$5:$E$7,W1593)*X1593/SUMIFS($X$7:$X$1843,$W$7:$W$1843,W1593),0),0)</f>
        <v>0</v>
      </c>
    </row>
    <row r="1594" customFormat="false" ht="15" hidden="false" customHeight="false" outlineLevel="0" collapsed="false">
      <c r="A1594" s="48" t="s">
        <v>2783</v>
      </c>
      <c r="B1594" s="48" t="s">
        <v>2784</v>
      </c>
      <c r="C1594" s="48" t="s">
        <v>168</v>
      </c>
      <c r="D1594" s="48" t="s">
        <v>177</v>
      </c>
      <c r="E1594" s="48"/>
      <c r="F1594" s="48"/>
      <c r="G1594" s="49" t="n">
        <v>1.67</v>
      </c>
      <c r="H1594" s="50" t="n">
        <f aca="false">MAX(0,IF(AND(Parameter!$B$21="Ja",ISNUMBER(Y1594)),Y1594,IF(Parameter!$B$20="Jahresanfang 2025 + Export",BO1594+BN1594,BN1594)))</f>
        <v>800</v>
      </c>
      <c r="I1594" s="50" t="n">
        <f aca="false">H1594*G1594</f>
        <v>1336</v>
      </c>
      <c r="J1594" s="50" t="n">
        <f aca="false">BQ1594*Parameter!$B$18</f>
        <v>0</v>
      </c>
      <c r="K1594" s="51"/>
      <c r="L1594" s="52"/>
      <c r="M1594" s="50" t="n">
        <v>0</v>
      </c>
      <c r="N1594" s="50" t="n">
        <v>100</v>
      </c>
      <c r="O1594" s="53" t="n">
        <v>35</v>
      </c>
      <c r="P1594" s="48" t="s">
        <v>172</v>
      </c>
      <c r="Q1594" s="50"/>
      <c r="R1594" s="53" t="n">
        <f aca="false">IF(BW1594=1,0,IFERROR(VLOOKUP(BU1594,'Gebinde-Kategorie'!$A$5:$N$45,13,0)+0,0))</f>
        <v>12</v>
      </c>
      <c r="S1594" s="54"/>
      <c r="T1594" s="55" t="s">
        <v>183</v>
      </c>
      <c r="U1594" s="55"/>
      <c r="V1594" s="55"/>
      <c r="W1594" s="48"/>
      <c r="X1594" s="50"/>
      <c r="Y1594" s="50"/>
      <c r="Z1594" s="48" t="n">
        <f aca="false">IF(A1594="","",IF(AND(Parameter!$B$21="Ja",ISNUMBER(W1594)),W1594,IF(BZ1594="2+3",IF(ISNUMBER(SEARCH("grosser Artikel",BR1594)),2,IFERROR(VLOOKUP(BU1594,Parameter!$F$35:$G$64,2,0),2)),IF(OR(BZ1594="Nein",BZ1594=""),"-",BZ1594))))</f>
        <v>2</v>
      </c>
      <c r="AA1594" s="55"/>
      <c r="AB1594" s="56"/>
      <c r="AC1594" s="50" t="n">
        <f aca="false">AT1594</f>
        <v>800</v>
      </c>
      <c r="AD1594" s="50" t="n">
        <f aca="false">MAX(AT1594,H1594)</f>
        <v>800</v>
      </c>
      <c r="AE1594" s="57"/>
      <c r="AF1594" s="50" t="n">
        <f aca="false">IF(LEFT(Cockpit!$C$5,1)="A",H1594,IF(CE1594=1,CF1594,IF(LEFT(Cockpit!$C$5,1)="B",AK1594,MAX(AK1594,H1594))))</f>
        <v>800</v>
      </c>
      <c r="AG1594" s="50" t="n">
        <f aca="false">IF(BW1594=1,0,ROUNDUP(AF1594/BV1594,0))</f>
        <v>1</v>
      </c>
      <c r="AH1594" s="52" t="n">
        <f aca="false">IF(CL1594&gt;0,CL1594*MAX(1,AF1594/X1594),IF(BW1594=1,IF(AF1594&lt;=0,0,CA1594*MAX(1,IF(H1594&gt;0,AF1594/H1594,1))),IF(R1594&gt;0,AG1594/R1594,0))/MAX(0.1,N(Parameter!$M$21)))</f>
        <v>0.0833333333333333</v>
      </c>
      <c r="AI1594" s="50" t="n">
        <f aca="false">AH1594*BY1594</f>
        <v>12.0833333333333</v>
      </c>
      <c r="AJ1594" s="50" t="n">
        <f aca="false">AF1594*G1594</f>
        <v>1336</v>
      </c>
      <c r="AK1594" s="50" t="n">
        <f aca="false">ROUNDUP(MAX(J1594/IF(CD1594&gt;0,CD1594,MAX(0.1,N(Cockpit!$C$6))),CG1594)/BV1594,0)*BV1594</f>
        <v>800</v>
      </c>
      <c r="AL1594" s="51" t="n">
        <f aca="false">IF(AI1594&gt;0,J1594/AI1594,-1)</f>
        <v>0</v>
      </c>
      <c r="AM1594" s="51" t="n">
        <f aca="false">IF(AND(OR(CC1594="L1",CC1594="L23",CC1594="LIFT"),AI1594&gt;0),SUMIFS($AI$7:$AI$1843,$CC$7:$CC$1843,CC1594,$AL$7:$AL$1843,"&gt;"&amp;AL1594)+SUMIFS($AI$7:$AI$1843,$CC$7:$CC$1843,CC1594,$AL$7:$AL$1843,AL1594,$BT$7:$BT$1843,"&lt;="&amp;BT1594),"")</f>
        <v>30621.9956773453</v>
      </c>
      <c r="AN1594" s="58" t="n">
        <f aca="false">IF(AM1594="",0,MAX(0,MIN(1,(IF(CC1594="L1",Parameter!$H$5,IF(CC1594="L23",Parameter!$H$6+Parameter!$H$7,Parameter!$H$5+Parameter!$H$6+Parameter!$H$7))-(AM1594-AI1594))/AI1594)))</f>
        <v>1</v>
      </c>
      <c r="AO1594" s="50" t="n">
        <f aca="false">IF(LEFT(Cockpit!$I$5,1)="A",H1594,IF(CE1594=1,CF1594,IF(LEFT(Cockpit!$I$5,1)="B",AT1594,MAX(AT1594,H1594))))</f>
        <v>800</v>
      </c>
      <c r="AP1594" s="50" t="n">
        <f aca="false">IF(BW1594=1,0,ROUNDUP(AO1594/BV1594,0))</f>
        <v>1</v>
      </c>
      <c r="AQ1594" s="52" t="n">
        <f aca="false">IF(CL1594&gt;0,CL1594*MAX(1,AO1594/X1594),IF(BW1594=1,IF(AO1594&lt;=0,0,CA1594*MAX(1,IF(H1594&gt;0,AO1594/H1594,1))),IF(R1594&gt;0,AP1594/R1594,0))/MAX(0.1,N(Parameter!$M$21)))</f>
        <v>0.0833333333333333</v>
      </c>
      <c r="AR1594" s="50" t="n">
        <f aca="false">AQ1594*BY1594</f>
        <v>12.0833333333333</v>
      </c>
      <c r="AS1594" s="50" t="n">
        <f aca="false">AO1594*G1594</f>
        <v>1336</v>
      </c>
      <c r="AT1594" s="50" t="n">
        <f aca="false">ROUNDUP(MAX(J1594/IF(CD1594&gt;0,CD1594,MAX(0.1,N(Cockpit!$I$6))),CG1594)/BV1594,0)*BV1594</f>
        <v>800</v>
      </c>
      <c r="AU1594" s="51" t="n">
        <f aca="false">IF(AR1594&gt;0,J1594/AR1594,-1)</f>
        <v>0</v>
      </c>
      <c r="AV1594" s="51" t="n">
        <f aca="false">IF(AND(OR(CC1594="L1",CC1594="L23",CC1594="LIFT"),AR1594&gt;0),SUMIFS($AR$7:$AR$1843,$CC$7:$CC$1843,CC1594,$AU$7:$AU$1843,"&gt;"&amp;AU1594)+SUMIFS($AR$7:$AR$1843,$CC$7:$CC$1843,CC1594,$AU$7:$AU$1843,AU1594,$BT$7:$BT$1843,"&lt;="&amp;BT1594),"")</f>
        <v>42983.897989487</v>
      </c>
      <c r="AW1594" s="58" t="n">
        <f aca="false">IF(AV1594="",0,MAX(0,MIN(1,(IF(CC1594="L1",Parameter!$H$5,IF(CC1594="L23",Parameter!$H$6+Parameter!$H$7,Parameter!$H$5+Parameter!$H$6+Parameter!$H$7))-(AV1594-AR1594))/AR1594)))</f>
        <v>0</v>
      </c>
      <c r="AX1594" s="50" t="n">
        <f aca="false">IF(LEFT(Cockpit!$O$5,1)="A",H1594,IF(CE1594=1,CF1594,IF(LEFT(Cockpit!$O$5,1)="B",BC1594,MAX(BC1594,H1594))))</f>
        <v>800</v>
      </c>
      <c r="AY1594" s="50" t="n">
        <f aca="false">IF(BW1594=1,0,ROUNDUP(AX1594/BV1594,0))</f>
        <v>1</v>
      </c>
      <c r="AZ1594" s="52" t="n">
        <f aca="false">IF(CL1594&gt;0,CL1594*MAX(1,AX1594/X1594),IF(BW1594=1,IF(AX1594&lt;=0,0,CA1594*MAX(1,IF(H1594&gt;0,AX1594/H1594,1))),IF(R1594&gt;0,AY1594/R1594,0))/MAX(0.1,N(Parameter!$M$21)))</f>
        <v>0.0833333333333333</v>
      </c>
      <c r="BA1594" s="50" t="n">
        <f aca="false">AZ1594*BY1594</f>
        <v>12.0833333333333</v>
      </c>
      <c r="BB1594" s="50" t="n">
        <f aca="false">AX1594*G1594</f>
        <v>1336</v>
      </c>
      <c r="BC1594" s="50" t="n">
        <f aca="false">ROUNDUP(MAX(J1594/IF(CD1594&gt;0,CD1594,MAX(0.1,N(Cockpit!$O$6))),CG1594)/BV1594,0)*BV1594</f>
        <v>800</v>
      </c>
      <c r="BD1594" s="51" t="n">
        <f aca="false">IF(BA1594&gt;0,J1594/BA1594,-1)</f>
        <v>0</v>
      </c>
      <c r="BE1594" s="51" t="n">
        <f aca="false">IF(AND(OR(CC1594="L1",CC1594="L23",CC1594="LIFT"),BA1594&gt;0),SUMIFS($BA$7:$BA$1843,$CC$7:$CC$1843,CC1594,$BD$7:$BD$1843,"&gt;"&amp;BD1594)+SUMIFS($BA$7:$BA$1843,$CC$7:$CC$1843,CC1594,$BD$7:$BD$1843,BD1594,$BT$7:$BT$1843,"&lt;="&amp;BT1594),"")</f>
        <v>39658.9100313528</v>
      </c>
      <c r="BF1594" s="58" t="n">
        <f aca="false">IF(BE1594="",0,MAX(0,MIN(1,(IF(CC1594="L1",Parameter!$H$5,IF(CC1594="L23",Parameter!$H$6+Parameter!$H$7,Parameter!$H$5+Parameter!$H$6+Parameter!$H$7))-(BE1594-BA1594))/BA1594)))</f>
        <v>0</v>
      </c>
      <c r="BG1594" s="48" t="str">
        <f aca="false">IF(AI1594&lt;=0,"",IF(CC1594="Aussen","Aussenlager",IF(CC1594="-","Nicht im Lift",IF(AN1594&gt;=1,"Lift",IF(AN1594&lt;=0,"Aussenlager","teilweise")))))</f>
        <v>Lift</v>
      </c>
      <c r="BH1594" s="48" t="str">
        <f aca="false">IF(AR1594&lt;=0,"",IF(CC1594="Aussen","Aussenlager",IF(CC1594="-","Nicht im Lift",IF(AW1594&gt;=1,"Lift",IF(AW1594&lt;=0,"Aussenlager","teilweise")))))</f>
        <v>Aussenlager</v>
      </c>
      <c r="BI1594" s="48" t="str">
        <f aca="false">IF(BA1594&lt;=0,"",IF(CC1594="Aussen","Aussenlager",IF(CC1594="-","Nicht im Lift",IF(BF1594&gt;=1,"Lift",IF(BF1594&lt;=0,"Aussenlager","teilweise")))))</f>
        <v>Aussenlager</v>
      </c>
      <c r="BJ1594" s="48" t="str">
        <f aca="false">IF(A1594="","",IF(BS1594=1,"Neu; ","")&amp;IF(AND(BS1594=0,BN1594&lt;0),"negativer Bestand (Export "&amp;BN1594&amp;"); ","")&amp;IF(J1594&lt;=0,"Kein Verbrauch; ","")&amp;IF(CL1594&gt;0,"Lift "&amp;W1594&amp;" lt. Liftbericht (Fach "&amp;X1594&amp;" Stk); ",IF(BX1594=1,"Gebinde geschätzt ("&amp;T1594&amp;"); ",IF(BW1594=1,"Lose – Tablare geschätzt; ","")))&amp;IF(H1594&gt;AT1594,"Überbestand "&amp;ROUND(H1594-AT1594,0)&amp;" Stk / CHF "&amp;ROUND((H1594-AT1594)*G1594,0)&amp;"; ","")&amp;IF(AND(CE1594=1,CF1594&lt;CG1594),"MAX &lt; MB+LG; ","")&amp;IF(AND(CK1594&gt;0,CJ1594*10&gt;CK1594),"zu hoch für Tablar; ","")&amp;IF(AND(BS1594=0,OR(CE1594=1,AA1594&lt;&gt;"",U1594&lt;&gt;"",V1594&lt;&gt;"",AB1594&lt;&gt;"")),"manuell übersteuert; ","")&amp;IF(AND(BW1594=0,R1594=0),"Gebinde unbekannt / Stellmass fehlt; ","")&amp;IF(AND(BW1594=0,N(V1594)&lt;=0,N(Q1594)&lt;=0),"Menge pro Gebinde fehlt (Ist = 1 Gebinde); ","")&amp;BR1594)</f>
        <v>Kein Verbrauch; Gebinde geschätzt (Mittel); Menge pro Gebinde fehlt (Ist = 1 Gebinde); nur im Artikelstamm (Bestand 23.06.2026)</v>
      </c>
      <c r="BK1594" s="48"/>
      <c r="BL1594" s="48"/>
      <c r="BM1594" s="55"/>
      <c r="BN1594" s="50" t="n">
        <v>800</v>
      </c>
      <c r="BO1594" s="50" t="n">
        <v>0</v>
      </c>
      <c r="BP1594" s="49" t="n">
        <v>0</v>
      </c>
      <c r="BQ1594" s="50" t="n">
        <v>0</v>
      </c>
      <c r="BR1594" s="48" t="s">
        <v>2579</v>
      </c>
      <c r="BS1594" s="53" t="n">
        <v>0</v>
      </c>
      <c r="BT1594" s="53" t="n">
        <v>1594</v>
      </c>
      <c r="BU1594" s="48" t="str">
        <f aca="false">IF(U1594&lt;&gt;"",UPPER(TRIM(U1594)),IF(BX1594=1,UPPER(VLOOKUP(T1594,Parameter!$I$27:$K$29,2,0)),IF(P1594="","LOSE",P1594)))</f>
        <v>S61</v>
      </c>
      <c r="BV1594" s="50" t="n">
        <f aca="false">IF(BU1594="LOSE",1,IF(N(V1594)&gt;0,V1594,IF(BX1594=1,MAX(1,N(VLOOKUP(T1594,Parameter!$I$27:$K$29,3,0)),H1594,N(N1594)),IF(N(Q1594)&gt;0,Q1594,MAX(1,H1594)))))</f>
        <v>800</v>
      </c>
      <c r="BW1594" s="53" t="n">
        <f aca="false">IF(BU1594="LOSE",1,0)</f>
        <v>0</v>
      </c>
      <c r="BX1594" s="53" t="n">
        <f aca="false">IF(AND(U1594="",OR(P1594="",P1594="LOSE"),T1594&lt;&gt;"",N(S1594)&lt;=0,ISNUMBER(MATCH(T1594,Parameter!$I$27:$I$29,0))),1,0)</f>
        <v>1</v>
      </c>
      <c r="BY1594" s="53" t="n">
        <f aca="false">IF(CL1594&gt;0,INDEX(Parameter!$H$5:$H$7,W1594)/INDEX(Parameter!$E$5:$E$7,W1594),IF(AND(BW1594=0,N(IFERROR(VLOOKUP(BU1594,'Gebinde-Kategorie'!$A$5:$N$45,14,0),0))&gt;0),VLOOKUP(BU1594,'Gebinde-Kategorie'!$A$5:$N$45,14,0)*10+Parameter!$M$23,Parameter!$M$24))</f>
        <v>145</v>
      </c>
      <c r="BZ1594" s="48" t="str">
        <f aca="false">IF(AND(Parameter!$B$19="Ja",E1594&lt;&gt;"",ISNUMBER(MATCH(E1594,Parameter!$I$35:$I$52,0))),VLOOKUP(E1594,Parameter!$I$35:$J$52,2,0),IFERROR(VLOOKUP(D1594,Parameter!$A$35:$C$64,2,0),"Nein"))</f>
        <v>2+3</v>
      </c>
      <c r="CA1594" s="52" t="n">
        <f aca="false">IF(BW1594=0,0,IF(N(S1594)&gt;0,S1594,IFERROR(VLOOKUP(D1594,Parameter!$A$35:$C$64,3,0)+0,0)))</f>
        <v>0</v>
      </c>
      <c r="CB1594" s="48" t="n">
        <f aca="false">IF(AA1594&lt;&gt;"",AA1594,Z1594)</f>
        <v>2</v>
      </c>
      <c r="CC1594" s="48" t="str">
        <f aca="false">IF(OR(CB1594=1,CB1594=2,CB1594=3),IF(Parameter!$E$27="Ja","LIFT",IF(CB1594=1,"L1","L23")),IF(CB1594="Aussen","Aussen","-"))</f>
        <v>LIFT</v>
      </c>
      <c r="CD1594" s="59" t="n">
        <f aca="false">IF(N(AB1594)&gt;0,AB1594,0)</f>
        <v>0</v>
      </c>
      <c r="CE1594" s="53" t="n">
        <f aca="false">IF(ISNUMBER(AE1594),1,0)</f>
        <v>0</v>
      </c>
      <c r="CF1594" s="50" t="n">
        <f aca="false">N(AE1594)</f>
        <v>0</v>
      </c>
      <c r="CG1594" s="50" t="n">
        <f aca="false">N(M1594)+N(N1594)</f>
        <v>100</v>
      </c>
      <c r="CH1594" s="50" t="n">
        <f aca="false">ROUNDUP(H1594/BV1594,0)</f>
        <v>1</v>
      </c>
      <c r="CI1594" s="50" t="n">
        <f aca="false">ROUNDUP(CF1594/BV1594,0)</f>
        <v>0</v>
      </c>
      <c r="CJ1594" s="53" t="n">
        <f aca="false">IF(BW1594=1,0,IFERROR(VLOOKUP(BU1594,'Gebinde-Kategorie'!$A$5:$N$45,5,0)+0,0))</f>
        <v>11</v>
      </c>
      <c r="CK1594" s="53" t="n">
        <f aca="false">IFERROR(IF(OR(CB1594=1,CB1594=2,CB1594=3),N(INDEX(Parameter!$I$5:$I$7,CB1594)),0),0)</f>
        <v>0</v>
      </c>
      <c r="CL1594" s="52" t="n">
        <f aca="false">IF(AND(Parameter!$B$21="Ja",ISNUMBER(W1594),N(X1594)&gt;0),IFERROR(N(INDEX(Parameter!$L$5:$L$7,W1594))*INDEX(Parameter!$E$5:$E$7,W1594)*X1594/SUMIFS($X$7:$X$1843,$W$7:$W$1843,W1594),0),0)</f>
        <v>0</v>
      </c>
    </row>
    <row r="1595" customFormat="false" ht="15" hidden="false" customHeight="false" outlineLevel="0" collapsed="false">
      <c r="A1595" s="48" t="s">
        <v>2785</v>
      </c>
      <c r="B1595" s="48" t="s">
        <v>513</v>
      </c>
      <c r="C1595" s="48" t="s">
        <v>168</v>
      </c>
      <c r="D1595" s="48" t="s">
        <v>177</v>
      </c>
      <c r="E1595" s="48" t="s">
        <v>177</v>
      </c>
      <c r="F1595" s="48"/>
      <c r="G1595" s="49" t="n">
        <v>444.6</v>
      </c>
      <c r="H1595" s="50" t="n">
        <f aca="false">MAX(0,IF(AND(Parameter!$B$21="Ja",ISNUMBER(Y1595)),Y1595,IF(Parameter!$B$20="Jahresanfang 2025 + Export",BO1595+BN1595,BN1595)))</f>
        <v>1</v>
      </c>
      <c r="I1595" s="50" t="n">
        <f aca="false">H1595*G1595</f>
        <v>444.6</v>
      </c>
      <c r="J1595" s="50" t="n">
        <f aca="false">BQ1595*Parameter!$B$18</f>
        <v>0</v>
      </c>
      <c r="K1595" s="51"/>
      <c r="L1595" s="52"/>
      <c r="M1595" s="50" t="n">
        <v>0</v>
      </c>
      <c r="N1595" s="50" t="n">
        <v>1</v>
      </c>
      <c r="O1595" s="53" t="n">
        <v>28</v>
      </c>
      <c r="P1595" s="48" t="s">
        <v>172</v>
      </c>
      <c r="Q1595" s="50"/>
      <c r="R1595" s="53" t="n">
        <f aca="false">IF(BW1595=1,0,IFERROR(VLOOKUP(BU1595,'Gebinde-Kategorie'!$A$5:$N$45,13,0)+0,0))</f>
        <v>12</v>
      </c>
      <c r="S1595" s="54"/>
      <c r="T1595" s="55" t="s">
        <v>183</v>
      </c>
      <c r="U1595" s="55"/>
      <c r="V1595" s="55"/>
      <c r="W1595" s="48"/>
      <c r="X1595" s="50"/>
      <c r="Y1595" s="50"/>
      <c r="Z1595" s="48" t="str">
        <f aca="false">IF(A1595="","",IF(AND(Parameter!$B$21="Ja",ISNUMBER(W1595)),W1595,IF(BZ1595="2+3",IF(ISNUMBER(SEARCH("grosser Artikel",BR1595)),2,IFERROR(VLOOKUP(BU1595,Parameter!$F$35:$G$64,2,0),2)),IF(OR(BZ1595="Nein",BZ1595=""),"-",BZ1595))))</f>
        <v>-</v>
      </c>
      <c r="AA1595" s="55"/>
      <c r="AB1595" s="56"/>
      <c r="AC1595" s="50" t="n">
        <f aca="false">AT1595</f>
        <v>4</v>
      </c>
      <c r="AD1595" s="50" t="n">
        <f aca="false">MAX(AT1595,H1595)</f>
        <v>4</v>
      </c>
      <c r="AE1595" s="57"/>
      <c r="AF1595" s="50" t="n">
        <f aca="false">IF(LEFT(Cockpit!$C$5,1)="A",H1595,IF(CE1595=1,CF1595,IF(LEFT(Cockpit!$C$5,1)="B",AK1595,MAX(AK1595,H1595))))</f>
        <v>1</v>
      </c>
      <c r="AG1595" s="50" t="n">
        <f aca="false">IF(BW1595=1,0,ROUNDUP(AF1595/BV1595,0))</f>
        <v>1</v>
      </c>
      <c r="AH1595" s="52" t="n">
        <f aca="false">IF(CL1595&gt;0,CL1595*MAX(1,AF1595/X1595),IF(BW1595=1,IF(AF1595&lt;=0,0,CA1595*MAX(1,IF(H1595&gt;0,AF1595/H1595,1))),IF(R1595&gt;0,AG1595/R1595,0))/MAX(0.1,N(Parameter!$M$21)))</f>
        <v>0.0833333333333333</v>
      </c>
      <c r="AI1595" s="50" t="n">
        <f aca="false">AH1595*BY1595</f>
        <v>12.0833333333333</v>
      </c>
      <c r="AJ1595" s="50" t="n">
        <f aca="false">AF1595*G1595</f>
        <v>444.6</v>
      </c>
      <c r="AK1595" s="50" t="n">
        <f aca="false">ROUNDUP(MAX(J1595/IF(CD1595&gt;0,CD1595,MAX(0.1,N(Cockpit!$C$6))),CG1595)/BV1595,0)*BV1595</f>
        <v>4</v>
      </c>
      <c r="AL1595" s="51" t="n">
        <f aca="false">IF(AI1595&gt;0,J1595/AI1595,-1)</f>
        <v>0</v>
      </c>
      <c r="AM1595" s="51" t="str">
        <f aca="false">IF(AND(OR(CC1595="L1",CC1595="L23",CC1595="LIFT"),AI1595&gt;0),SUMIFS($AI$7:$AI$1843,$CC$7:$CC$1843,CC1595,$AL$7:$AL$1843,"&gt;"&amp;AL1595)+SUMIFS($AI$7:$AI$1843,$CC$7:$CC$1843,CC1595,$AL$7:$AL$1843,AL1595,$BT$7:$BT$1843,"&lt;="&amp;BT1595),"")</f>
        <v/>
      </c>
      <c r="AN1595" s="58" t="n">
        <f aca="false">IF(AM1595="",0,MAX(0,MIN(1,(IF(CC1595="L1",Parameter!$H$5,IF(CC1595="L23",Parameter!$H$6+Parameter!$H$7,Parameter!$H$5+Parameter!$H$6+Parameter!$H$7))-(AM1595-AI1595))/AI1595)))</f>
        <v>0</v>
      </c>
      <c r="AO1595" s="50" t="n">
        <f aca="false">IF(LEFT(Cockpit!$I$5,1)="A",H1595,IF(CE1595=1,CF1595,IF(LEFT(Cockpit!$I$5,1)="B",AT1595,MAX(AT1595,H1595))))</f>
        <v>4</v>
      </c>
      <c r="AP1595" s="50" t="n">
        <f aca="false">IF(BW1595=1,0,ROUNDUP(AO1595/BV1595,0))</f>
        <v>1</v>
      </c>
      <c r="AQ1595" s="52" t="n">
        <f aca="false">IF(CL1595&gt;0,CL1595*MAX(1,AO1595/X1595),IF(BW1595=1,IF(AO1595&lt;=0,0,CA1595*MAX(1,IF(H1595&gt;0,AO1595/H1595,1))),IF(R1595&gt;0,AP1595/R1595,0))/MAX(0.1,N(Parameter!$M$21)))</f>
        <v>0.0833333333333333</v>
      </c>
      <c r="AR1595" s="50" t="n">
        <f aca="false">AQ1595*BY1595</f>
        <v>12.0833333333333</v>
      </c>
      <c r="AS1595" s="50" t="n">
        <f aca="false">AO1595*G1595</f>
        <v>1778.4</v>
      </c>
      <c r="AT1595" s="50" t="n">
        <f aca="false">ROUNDUP(MAX(J1595/IF(CD1595&gt;0,CD1595,MAX(0.1,N(Cockpit!$I$6))),CG1595)/BV1595,0)*BV1595</f>
        <v>4</v>
      </c>
      <c r="AU1595" s="51" t="n">
        <f aca="false">IF(AR1595&gt;0,J1595/AR1595,-1)</f>
        <v>0</v>
      </c>
      <c r="AV1595" s="51" t="str">
        <f aca="false">IF(AND(OR(CC1595="L1",CC1595="L23",CC1595="LIFT"),AR1595&gt;0),SUMIFS($AR$7:$AR$1843,$CC$7:$CC$1843,CC1595,$AU$7:$AU$1843,"&gt;"&amp;AU1595)+SUMIFS($AR$7:$AR$1843,$CC$7:$CC$1843,CC1595,$AU$7:$AU$1843,AU1595,$BT$7:$BT$1843,"&lt;="&amp;BT1595),"")</f>
        <v/>
      </c>
      <c r="AW1595" s="58" t="n">
        <f aca="false">IF(AV1595="",0,MAX(0,MIN(1,(IF(CC1595="L1",Parameter!$H$5,IF(CC1595="L23",Parameter!$H$6+Parameter!$H$7,Parameter!$H$5+Parameter!$H$6+Parameter!$H$7))-(AV1595-AR1595))/AR1595)))</f>
        <v>0</v>
      </c>
      <c r="AX1595" s="50" t="n">
        <f aca="false">IF(LEFT(Cockpit!$O$5,1)="A",H1595,IF(CE1595=1,CF1595,IF(LEFT(Cockpit!$O$5,1)="B",BC1595,MAX(BC1595,H1595))))</f>
        <v>4</v>
      </c>
      <c r="AY1595" s="50" t="n">
        <f aca="false">IF(BW1595=1,0,ROUNDUP(AX1595/BV1595,0))</f>
        <v>1</v>
      </c>
      <c r="AZ1595" s="52" t="n">
        <f aca="false">IF(CL1595&gt;0,CL1595*MAX(1,AX1595/X1595),IF(BW1595=1,IF(AX1595&lt;=0,0,CA1595*MAX(1,IF(H1595&gt;0,AX1595/H1595,1))),IF(R1595&gt;0,AY1595/R1595,0))/MAX(0.1,N(Parameter!$M$21)))</f>
        <v>0.0833333333333333</v>
      </c>
      <c r="BA1595" s="50" t="n">
        <f aca="false">AZ1595*BY1595</f>
        <v>12.0833333333333</v>
      </c>
      <c r="BB1595" s="50" t="n">
        <f aca="false">AX1595*G1595</f>
        <v>1778.4</v>
      </c>
      <c r="BC1595" s="50" t="n">
        <f aca="false">ROUNDUP(MAX(J1595/IF(CD1595&gt;0,CD1595,MAX(0.1,N(Cockpit!$O$6))),CG1595)/BV1595,0)*BV1595</f>
        <v>4</v>
      </c>
      <c r="BD1595" s="51" t="n">
        <f aca="false">IF(BA1595&gt;0,J1595/BA1595,-1)</f>
        <v>0</v>
      </c>
      <c r="BE1595" s="51" t="str">
        <f aca="false">IF(AND(OR(CC1595="L1",CC1595="L23",CC1595="LIFT"),BA1595&gt;0),SUMIFS($BA$7:$BA$1843,$CC$7:$CC$1843,CC1595,$BD$7:$BD$1843,"&gt;"&amp;BD1595)+SUMIFS($BA$7:$BA$1843,$CC$7:$CC$1843,CC1595,$BD$7:$BD$1843,BD1595,$BT$7:$BT$1843,"&lt;="&amp;BT1595),"")</f>
        <v/>
      </c>
      <c r="BF1595" s="58" t="n">
        <f aca="false">IF(BE1595="",0,MAX(0,MIN(1,(IF(CC1595="L1",Parameter!$H$5,IF(CC1595="L23",Parameter!$H$6+Parameter!$H$7,Parameter!$H$5+Parameter!$H$6+Parameter!$H$7))-(BE1595-BA1595))/BA1595)))</f>
        <v>0</v>
      </c>
      <c r="BG1595" s="48" t="str">
        <f aca="false">IF(AI1595&lt;=0,"",IF(CC1595="Aussen","Aussenlager",IF(CC1595="-","Nicht im Lift",IF(AN1595&gt;=1,"Lift",IF(AN1595&lt;=0,"Aussenlager","teilweise")))))</f>
        <v>Nicht im Lift</v>
      </c>
      <c r="BH1595" s="48" t="str">
        <f aca="false">IF(AR1595&lt;=0,"",IF(CC1595="Aussen","Aussenlager",IF(CC1595="-","Nicht im Lift",IF(AW1595&gt;=1,"Lift",IF(AW1595&lt;=0,"Aussenlager","teilweise")))))</f>
        <v>Nicht im Lift</v>
      </c>
      <c r="BI1595" s="48" t="str">
        <f aca="false">IF(BA1595&lt;=0,"",IF(CC1595="Aussen","Aussenlager",IF(CC1595="-","Nicht im Lift",IF(BF1595&gt;=1,"Lift",IF(BF1595&lt;=0,"Aussenlager","teilweise")))))</f>
        <v>Nicht im Lift</v>
      </c>
      <c r="BJ1595" s="48" t="str">
        <f aca="false">IF(A1595="","",IF(BS1595=1,"Neu; ","")&amp;IF(AND(BS1595=0,BN1595&lt;0),"negativer Bestand (Export "&amp;BN1595&amp;"); ","")&amp;IF(J1595&lt;=0,"Kein Verbrauch; ","")&amp;IF(CL1595&gt;0,"Lift "&amp;W1595&amp;" lt. Liftbericht (Fach "&amp;X1595&amp;" Stk); ",IF(BX1595=1,"Gebinde geschätzt ("&amp;T1595&amp;"); ",IF(BW1595=1,"Lose – Tablare geschätzt; ","")))&amp;IF(H1595&gt;AT1595,"Überbestand "&amp;ROUND(H1595-AT1595,0)&amp;" Stk / CHF "&amp;ROUND((H1595-AT1595)*G1595,0)&amp;"; ","")&amp;IF(AND(CE1595=1,CF1595&lt;CG1595),"MAX &lt; MB+LG; ","")&amp;IF(AND(CK1595&gt;0,CJ1595*10&gt;CK1595),"zu hoch für Tablar; ","")&amp;IF(AND(BS1595=0,OR(CE1595=1,AA1595&lt;&gt;"",U1595&lt;&gt;"",V1595&lt;&gt;"",AB1595&lt;&gt;"")),"manuell übersteuert; ","")&amp;IF(AND(BW1595=0,R1595=0),"Gebinde unbekannt / Stellmass fehlt; ","")&amp;IF(AND(BW1595=0,N(V1595)&lt;=0,N(Q1595)&lt;=0),"Menge pro Gebinde fehlt (Ist = 1 Gebinde); ","")&amp;BR1595)</f>
        <v>Kein Verbrauch; Gebinde geschätzt (Mittel); Menge pro Gebinde fehlt (Ist = 1 Gebinde); nur im Artikelstamm (Bestand 23.06.2026)</v>
      </c>
      <c r="BK1595" s="48"/>
      <c r="BL1595" s="48"/>
      <c r="BM1595" s="55"/>
      <c r="BN1595" s="50" t="n">
        <v>1</v>
      </c>
      <c r="BO1595" s="50" t="n">
        <v>0</v>
      </c>
      <c r="BP1595" s="49" t="n">
        <v>0</v>
      </c>
      <c r="BQ1595" s="50" t="n">
        <v>0</v>
      </c>
      <c r="BR1595" s="48" t="s">
        <v>2579</v>
      </c>
      <c r="BS1595" s="53" t="n">
        <v>0</v>
      </c>
      <c r="BT1595" s="53" t="n">
        <v>1595</v>
      </c>
      <c r="BU1595" s="48" t="str">
        <f aca="false">IF(U1595&lt;&gt;"",UPPER(TRIM(U1595)),IF(BX1595=1,UPPER(VLOOKUP(T1595,Parameter!$I$27:$K$29,2,0)),IF(P1595="","LOSE",P1595)))</f>
        <v>S61</v>
      </c>
      <c r="BV1595" s="50" t="n">
        <f aca="false">IF(BU1595="LOSE",1,IF(N(V1595)&gt;0,V1595,IF(BX1595=1,MAX(1,N(VLOOKUP(T1595,Parameter!$I$27:$K$29,3,0)),H1595,N(N1595)),IF(N(Q1595)&gt;0,Q1595,MAX(1,H1595)))))</f>
        <v>4</v>
      </c>
      <c r="BW1595" s="53" t="n">
        <f aca="false">IF(BU1595="LOSE",1,0)</f>
        <v>0</v>
      </c>
      <c r="BX1595" s="53" t="n">
        <f aca="false">IF(AND(U1595="",OR(P1595="",P1595="LOSE"),T1595&lt;&gt;"",N(S1595)&lt;=0,ISNUMBER(MATCH(T1595,Parameter!$I$27:$I$29,0))),1,0)</f>
        <v>1</v>
      </c>
      <c r="BY1595" s="53" t="n">
        <f aca="false">IF(CL1595&gt;0,INDEX(Parameter!$H$5:$H$7,W1595)/INDEX(Parameter!$E$5:$E$7,W1595),IF(AND(BW1595=0,N(IFERROR(VLOOKUP(BU1595,'Gebinde-Kategorie'!$A$5:$N$45,14,0),0))&gt;0),VLOOKUP(BU1595,'Gebinde-Kategorie'!$A$5:$N$45,14,0)*10+Parameter!$M$23,Parameter!$M$24))</f>
        <v>145</v>
      </c>
      <c r="BZ1595" s="48" t="str">
        <f aca="false">IF(AND(Parameter!$B$19="Ja",E1595&lt;&gt;"",ISNUMBER(MATCH(E1595,Parameter!$I$35:$I$52,0))),VLOOKUP(E1595,Parameter!$I$35:$J$52,2,0),IFERROR(VLOOKUP(D1595,Parameter!$A$35:$C$64,2,0),"Nein"))</f>
        <v>Nein</v>
      </c>
      <c r="CA1595" s="52" t="n">
        <f aca="false">IF(BW1595=0,0,IF(N(S1595)&gt;0,S1595,IFERROR(VLOOKUP(D1595,Parameter!$A$35:$C$64,3,0)+0,0)))</f>
        <v>0</v>
      </c>
      <c r="CB1595" s="48" t="str">
        <f aca="false">IF(AA1595&lt;&gt;"",AA1595,Z1595)</f>
        <v>-</v>
      </c>
      <c r="CC1595" s="48" t="str">
        <f aca="false">IF(OR(CB1595=1,CB1595=2,CB1595=3),IF(Parameter!$E$27="Ja","LIFT",IF(CB1595=1,"L1","L23")),IF(CB1595="Aussen","Aussen","-"))</f>
        <v>-</v>
      </c>
      <c r="CD1595" s="59" t="n">
        <f aca="false">IF(N(AB1595)&gt;0,AB1595,0)</f>
        <v>0</v>
      </c>
      <c r="CE1595" s="53" t="n">
        <f aca="false">IF(ISNUMBER(AE1595),1,0)</f>
        <v>0</v>
      </c>
      <c r="CF1595" s="50" t="n">
        <f aca="false">N(AE1595)</f>
        <v>0</v>
      </c>
      <c r="CG1595" s="50" t="n">
        <f aca="false">N(M1595)+N(N1595)</f>
        <v>1</v>
      </c>
      <c r="CH1595" s="50" t="n">
        <f aca="false">ROUNDUP(H1595/BV1595,0)</f>
        <v>1</v>
      </c>
      <c r="CI1595" s="50" t="n">
        <f aca="false">ROUNDUP(CF1595/BV1595,0)</f>
        <v>0</v>
      </c>
      <c r="CJ1595" s="53" t="n">
        <f aca="false">IF(BW1595=1,0,IFERROR(VLOOKUP(BU1595,'Gebinde-Kategorie'!$A$5:$N$45,5,0)+0,0))</f>
        <v>11</v>
      </c>
      <c r="CK1595" s="53" t="n">
        <f aca="false">IFERROR(IF(OR(CB1595=1,CB1595=2,CB1595=3),N(INDEX(Parameter!$I$5:$I$7,CB1595)),0),0)</f>
        <v>0</v>
      </c>
      <c r="CL1595" s="52" t="n">
        <f aca="false">IF(AND(Parameter!$B$21="Ja",ISNUMBER(W1595),N(X1595)&gt;0),IFERROR(N(INDEX(Parameter!$L$5:$L$7,W1595))*INDEX(Parameter!$E$5:$E$7,W1595)*X1595/SUMIFS($X$7:$X$1843,$W$7:$W$1843,W1595),0),0)</f>
        <v>0</v>
      </c>
    </row>
    <row r="1596" customFormat="false" ht="15" hidden="false" customHeight="false" outlineLevel="0" collapsed="false">
      <c r="A1596" s="48" t="s">
        <v>2786</v>
      </c>
      <c r="B1596" s="48" t="s">
        <v>702</v>
      </c>
      <c r="C1596" s="48" t="s">
        <v>168</v>
      </c>
      <c r="D1596" s="48" t="s">
        <v>177</v>
      </c>
      <c r="E1596" s="48" t="s">
        <v>177</v>
      </c>
      <c r="F1596" s="48"/>
      <c r="G1596" s="49" t="n">
        <v>444.6</v>
      </c>
      <c r="H1596" s="50" t="n">
        <f aca="false">MAX(0,IF(AND(Parameter!$B$21="Ja",ISNUMBER(Y1596)),Y1596,IF(Parameter!$B$20="Jahresanfang 2025 + Export",BO1596+BN1596,BN1596)))</f>
        <v>1</v>
      </c>
      <c r="I1596" s="50" t="n">
        <f aca="false">H1596*G1596</f>
        <v>444.6</v>
      </c>
      <c r="J1596" s="50" t="n">
        <f aca="false">BQ1596*Parameter!$B$18</f>
        <v>0</v>
      </c>
      <c r="K1596" s="51"/>
      <c r="L1596" s="52"/>
      <c r="M1596" s="50" t="n">
        <v>0</v>
      </c>
      <c r="N1596" s="50" t="n">
        <v>1</v>
      </c>
      <c r="O1596" s="53" t="n">
        <v>28</v>
      </c>
      <c r="P1596" s="48" t="s">
        <v>172</v>
      </c>
      <c r="Q1596" s="50"/>
      <c r="R1596" s="53" t="n">
        <f aca="false">IF(BW1596=1,0,IFERROR(VLOOKUP(BU1596,'Gebinde-Kategorie'!$A$5:$N$45,13,0)+0,0))</f>
        <v>12</v>
      </c>
      <c r="S1596" s="54"/>
      <c r="T1596" s="55" t="s">
        <v>183</v>
      </c>
      <c r="U1596" s="55"/>
      <c r="V1596" s="55"/>
      <c r="W1596" s="48"/>
      <c r="X1596" s="50"/>
      <c r="Y1596" s="50"/>
      <c r="Z1596" s="48" t="str">
        <f aca="false">IF(A1596="","",IF(AND(Parameter!$B$21="Ja",ISNUMBER(W1596)),W1596,IF(BZ1596="2+3",IF(ISNUMBER(SEARCH("grosser Artikel",BR1596)),2,IFERROR(VLOOKUP(BU1596,Parameter!$F$35:$G$64,2,0),2)),IF(OR(BZ1596="Nein",BZ1596=""),"-",BZ1596))))</f>
        <v>-</v>
      </c>
      <c r="AA1596" s="55"/>
      <c r="AB1596" s="56"/>
      <c r="AC1596" s="50" t="n">
        <f aca="false">AT1596</f>
        <v>4</v>
      </c>
      <c r="AD1596" s="50" t="n">
        <f aca="false">MAX(AT1596,H1596)</f>
        <v>4</v>
      </c>
      <c r="AE1596" s="57"/>
      <c r="AF1596" s="50" t="n">
        <f aca="false">IF(LEFT(Cockpit!$C$5,1)="A",H1596,IF(CE1596=1,CF1596,IF(LEFT(Cockpit!$C$5,1)="B",AK1596,MAX(AK1596,H1596))))</f>
        <v>1</v>
      </c>
      <c r="AG1596" s="50" t="n">
        <f aca="false">IF(BW1596=1,0,ROUNDUP(AF1596/BV1596,0))</f>
        <v>1</v>
      </c>
      <c r="AH1596" s="52" t="n">
        <f aca="false">IF(CL1596&gt;0,CL1596*MAX(1,AF1596/X1596),IF(BW1596=1,IF(AF1596&lt;=0,0,CA1596*MAX(1,IF(H1596&gt;0,AF1596/H1596,1))),IF(R1596&gt;0,AG1596/R1596,0))/MAX(0.1,N(Parameter!$M$21)))</f>
        <v>0.0833333333333333</v>
      </c>
      <c r="AI1596" s="50" t="n">
        <f aca="false">AH1596*BY1596</f>
        <v>12.0833333333333</v>
      </c>
      <c r="AJ1596" s="50" t="n">
        <f aca="false">AF1596*G1596</f>
        <v>444.6</v>
      </c>
      <c r="AK1596" s="50" t="n">
        <f aca="false">ROUNDUP(MAX(J1596/IF(CD1596&gt;0,CD1596,MAX(0.1,N(Cockpit!$C$6))),CG1596)/BV1596,0)*BV1596</f>
        <v>4</v>
      </c>
      <c r="AL1596" s="51" t="n">
        <f aca="false">IF(AI1596&gt;0,J1596/AI1596,-1)</f>
        <v>0</v>
      </c>
      <c r="AM1596" s="51" t="str">
        <f aca="false">IF(AND(OR(CC1596="L1",CC1596="L23",CC1596="LIFT"),AI1596&gt;0),SUMIFS($AI$7:$AI$1843,$CC$7:$CC$1843,CC1596,$AL$7:$AL$1843,"&gt;"&amp;AL1596)+SUMIFS($AI$7:$AI$1843,$CC$7:$CC$1843,CC1596,$AL$7:$AL$1843,AL1596,$BT$7:$BT$1843,"&lt;="&amp;BT1596),"")</f>
        <v/>
      </c>
      <c r="AN1596" s="58" t="n">
        <f aca="false">IF(AM1596="",0,MAX(0,MIN(1,(IF(CC1596="L1",Parameter!$H$5,IF(CC1596="L23",Parameter!$H$6+Parameter!$H$7,Parameter!$H$5+Parameter!$H$6+Parameter!$H$7))-(AM1596-AI1596))/AI1596)))</f>
        <v>0</v>
      </c>
      <c r="AO1596" s="50" t="n">
        <f aca="false">IF(LEFT(Cockpit!$I$5,1)="A",H1596,IF(CE1596=1,CF1596,IF(LEFT(Cockpit!$I$5,1)="B",AT1596,MAX(AT1596,H1596))))</f>
        <v>4</v>
      </c>
      <c r="AP1596" s="50" t="n">
        <f aca="false">IF(BW1596=1,0,ROUNDUP(AO1596/BV1596,0))</f>
        <v>1</v>
      </c>
      <c r="AQ1596" s="52" t="n">
        <f aca="false">IF(CL1596&gt;0,CL1596*MAX(1,AO1596/X1596),IF(BW1596=1,IF(AO1596&lt;=0,0,CA1596*MAX(1,IF(H1596&gt;0,AO1596/H1596,1))),IF(R1596&gt;0,AP1596/R1596,0))/MAX(0.1,N(Parameter!$M$21)))</f>
        <v>0.0833333333333333</v>
      </c>
      <c r="AR1596" s="50" t="n">
        <f aca="false">AQ1596*BY1596</f>
        <v>12.0833333333333</v>
      </c>
      <c r="AS1596" s="50" t="n">
        <f aca="false">AO1596*G1596</f>
        <v>1778.4</v>
      </c>
      <c r="AT1596" s="50" t="n">
        <f aca="false">ROUNDUP(MAX(J1596/IF(CD1596&gt;0,CD1596,MAX(0.1,N(Cockpit!$I$6))),CG1596)/BV1596,0)*BV1596</f>
        <v>4</v>
      </c>
      <c r="AU1596" s="51" t="n">
        <f aca="false">IF(AR1596&gt;0,J1596/AR1596,-1)</f>
        <v>0</v>
      </c>
      <c r="AV1596" s="51" t="str">
        <f aca="false">IF(AND(OR(CC1596="L1",CC1596="L23",CC1596="LIFT"),AR1596&gt;0),SUMIFS($AR$7:$AR$1843,$CC$7:$CC$1843,CC1596,$AU$7:$AU$1843,"&gt;"&amp;AU1596)+SUMIFS($AR$7:$AR$1843,$CC$7:$CC$1843,CC1596,$AU$7:$AU$1843,AU1596,$BT$7:$BT$1843,"&lt;="&amp;BT1596),"")</f>
        <v/>
      </c>
      <c r="AW1596" s="58" t="n">
        <f aca="false">IF(AV1596="",0,MAX(0,MIN(1,(IF(CC1596="L1",Parameter!$H$5,IF(CC1596="L23",Parameter!$H$6+Parameter!$H$7,Parameter!$H$5+Parameter!$H$6+Parameter!$H$7))-(AV1596-AR1596))/AR1596)))</f>
        <v>0</v>
      </c>
      <c r="AX1596" s="50" t="n">
        <f aca="false">IF(LEFT(Cockpit!$O$5,1)="A",H1596,IF(CE1596=1,CF1596,IF(LEFT(Cockpit!$O$5,1)="B",BC1596,MAX(BC1596,H1596))))</f>
        <v>4</v>
      </c>
      <c r="AY1596" s="50" t="n">
        <f aca="false">IF(BW1596=1,0,ROUNDUP(AX1596/BV1596,0))</f>
        <v>1</v>
      </c>
      <c r="AZ1596" s="52" t="n">
        <f aca="false">IF(CL1596&gt;0,CL1596*MAX(1,AX1596/X1596),IF(BW1596=1,IF(AX1596&lt;=0,0,CA1596*MAX(1,IF(H1596&gt;0,AX1596/H1596,1))),IF(R1596&gt;0,AY1596/R1596,0))/MAX(0.1,N(Parameter!$M$21)))</f>
        <v>0.0833333333333333</v>
      </c>
      <c r="BA1596" s="50" t="n">
        <f aca="false">AZ1596*BY1596</f>
        <v>12.0833333333333</v>
      </c>
      <c r="BB1596" s="50" t="n">
        <f aca="false">AX1596*G1596</f>
        <v>1778.4</v>
      </c>
      <c r="BC1596" s="50" t="n">
        <f aca="false">ROUNDUP(MAX(J1596/IF(CD1596&gt;0,CD1596,MAX(0.1,N(Cockpit!$O$6))),CG1596)/BV1596,0)*BV1596</f>
        <v>4</v>
      </c>
      <c r="BD1596" s="51" t="n">
        <f aca="false">IF(BA1596&gt;0,J1596/BA1596,-1)</f>
        <v>0</v>
      </c>
      <c r="BE1596" s="51" t="str">
        <f aca="false">IF(AND(OR(CC1596="L1",CC1596="L23",CC1596="LIFT"),BA1596&gt;0),SUMIFS($BA$7:$BA$1843,$CC$7:$CC$1843,CC1596,$BD$7:$BD$1843,"&gt;"&amp;BD1596)+SUMIFS($BA$7:$BA$1843,$CC$7:$CC$1843,CC1596,$BD$7:$BD$1843,BD1596,$BT$7:$BT$1843,"&lt;="&amp;BT1596),"")</f>
        <v/>
      </c>
      <c r="BF1596" s="58" t="n">
        <f aca="false">IF(BE1596="",0,MAX(0,MIN(1,(IF(CC1596="L1",Parameter!$H$5,IF(CC1596="L23",Parameter!$H$6+Parameter!$H$7,Parameter!$H$5+Parameter!$H$6+Parameter!$H$7))-(BE1596-BA1596))/BA1596)))</f>
        <v>0</v>
      </c>
      <c r="BG1596" s="48" t="str">
        <f aca="false">IF(AI1596&lt;=0,"",IF(CC1596="Aussen","Aussenlager",IF(CC1596="-","Nicht im Lift",IF(AN1596&gt;=1,"Lift",IF(AN1596&lt;=0,"Aussenlager","teilweise")))))</f>
        <v>Nicht im Lift</v>
      </c>
      <c r="BH1596" s="48" t="str">
        <f aca="false">IF(AR1596&lt;=0,"",IF(CC1596="Aussen","Aussenlager",IF(CC1596="-","Nicht im Lift",IF(AW1596&gt;=1,"Lift",IF(AW1596&lt;=0,"Aussenlager","teilweise")))))</f>
        <v>Nicht im Lift</v>
      </c>
      <c r="BI1596" s="48" t="str">
        <f aca="false">IF(BA1596&lt;=0,"",IF(CC1596="Aussen","Aussenlager",IF(CC1596="-","Nicht im Lift",IF(BF1596&gt;=1,"Lift",IF(BF1596&lt;=0,"Aussenlager","teilweise")))))</f>
        <v>Nicht im Lift</v>
      </c>
      <c r="BJ1596" s="48" t="str">
        <f aca="false">IF(A1596="","",IF(BS1596=1,"Neu; ","")&amp;IF(AND(BS1596=0,BN1596&lt;0),"negativer Bestand (Export "&amp;BN1596&amp;"); ","")&amp;IF(J1596&lt;=0,"Kein Verbrauch; ","")&amp;IF(CL1596&gt;0,"Lift "&amp;W1596&amp;" lt. Liftbericht (Fach "&amp;X1596&amp;" Stk); ",IF(BX1596=1,"Gebinde geschätzt ("&amp;T1596&amp;"); ",IF(BW1596=1,"Lose – Tablare geschätzt; ","")))&amp;IF(H1596&gt;AT1596,"Überbestand "&amp;ROUND(H1596-AT1596,0)&amp;" Stk / CHF "&amp;ROUND((H1596-AT1596)*G1596,0)&amp;"; ","")&amp;IF(AND(CE1596=1,CF1596&lt;CG1596),"MAX &lt; MB+LG; ","")&amp;IF(AND(CK1596&gt;0,CJ1596*10&gt;CK1596),"zu hoch für Tablar; ","")&amp;IF(AND(BS1596=0,OR(CE1596=1,AA1596&lt;&gt;"",U1596&lt;&gt;"",V1596&lt;&gt;"",AB1596&lt;&gt;"")),"manuell übersteuert; ","")&amp;IF(AND(BW1596=0,R1596=0),"Gebinde unbekannt / Stellmass fehlt; ","")&amp;IF(AND(BW1596=0,N(V1596)&lt;=0,N(Q1596)&lt;=0),"Menge pro Gebinde fehlt (Ist = 1 Gebinde); ","")&amp;BR1596)</f>
        <v>Kein Verbrauch; Gebinde geschätzt (Mittel); Menge pro Gebinde fehlt (Ist = 1 Gebinde); nur im Artikelstamm (Bestand 23.06.2026)</v>
      </c>
      <c r="BK1596" s="48"/>
      <c r="BL1596" s="48"/>
      <c r="BM1596" s="55"/>
      <c r="BN1596" s="50" t="n">
        <v>1</v>
      </c>
      <c r="BO1596" s="50" t="n">
        <v>0</v>
      </c>
      <c r="BP1596" s="49" t="n">
        <v>0</v>
      </c>
      <c r="BQ1596" s="50" t="n">
        <v>0</v>
      </c>
      <c r="BR1596" s="48" t="s">
        <v>2579</v>
      </c>
      <c r="BS1596" s="53" t="n">
        <v>0</v>
      </c>
      <c r="BT1596" s="53" t="n">
        <v>1596</v>
      </c>
      <c r="BU1596" s="48" t="str">
        <f aca="false">IF(U1596&lt;&gt;"",UPPER(TRIM(U1596)),IF(BX1596=1,UPPER(VLOOKUP(T1596,Parameter!$I$27:$K$29,2,0)),IF(P1596="","LOSE",P1596)))</f>
        <v>S61</v>
      </c>
      <c r="BV1596" s="50" t="n">
        <f aca="false">IF(BU1596="LOSE",1,IF(N(V1596)&gt;0,V1596,IF(BX1596=1,MAX(1,N(VLOOKUP(T1596,Parameter!$I$27:$K$29,3,0)),H1596,N(N1596)),IF(N(Q1596)&gt;0,Q1596,MAX(1,H1596)))))</f>
        <v>4</v>
      </c>
      <c r="BW1596" s="53" t="n">
        <f aca="false">IF(BU1596="LOSE",1,0)</f>
        <v>0</v>
      </c>
      <c r="BX1596" s="53" t="n">
        <f aca="false">IF(AND(U1596="",OR(P1596="",P1596="LOSE"),T1596&lt;&gt;"",N(S1596)&lt;=0,ISNUMBER(MATCH(T1596,Parameter!$I$27:$I$29,0))),1,0)</f>
        <v>1</v>
      </c>
      <c r="BY1596" s="53" t="n">
        <f aca="false">IF(CL1596&gt;0,INDEX(Parameter!$H$5:$H$7,W1596)/INDEX(Parameter!$E$5:$E$7,W1596),IF(AND(BW1596=0,N(IFERROR(VLOOKUP(BU1596,'Gebinde-Kategorie'!$A$5:$N$45,14,0),0))&gt;0),VLOOKUP(BU1596,'Gebinde-Kategorie'!$A$5:$N$45,14,0)*10+Parameter!$M$23,Parameter!$M$24))</f>
        <v>145</v>
      </c>
      <c r="BZ1596" s="48" t="str">
        <f aca="false">IF(AND(Parameter!$B$19="Ja",E1596&lt;&gt;"",ISNUMBER(MATCH(E1596,Parameter!$I$35:$I$52,0))),VLOOKUP(E1596,Parameter!$I$35:$J$52,2,0),IFERROR(VLOOKUP(D1596,Parameter!$A$35:$C$64,2,0),"Nein"))</f>
        <v>Nein</v>
      </c>
      <c r="CA1596" s="52" t="n">
        <f aca="false">IF(BW1596=0,0,IF(N(S1596)&gt;0,S1596,IFERROR(VLOOKUP(D1596,Parameter!$A$35:$C$64,3,0)+0,0)))</f>
        <v>0</v>
      </c>
      <c r="CB1596" s="48" t="str">
        <f aca="false">IF(AA1596&lt;&gt;"",AA1596,Z1596)</f>
        <v>-</v>
      </c>
      <c r="CC1596" s="48" t="str">
        <f aca="false">IF(OR(CB1596=1,CB1596=2,CB1596=3),IF(Parameter!$E$27="Ja","LIFT",IF(CB1596=1,"L1","L23")),IF(CB1596="Aussen","Aussen","-"))</f>
        <v>-</v>
      </c>
      <c r="CD1596" s="59" t="n">
        <f aca="false">IF(N(AB1596)&gt;0,AB1596,0)</f>
        <v>0</v>
      </c>
      <c r="CE1596" s="53" t="n">
        <f aca="false">IF(ISNUMBER(AE1596),1,0)</f>
        <v>0</v>
      </c>
      <c r="CF1596" s="50" t="n">
        <f aca="false">N(AE1596)</f>
        <v>0</v>
      </c>
      <c r="CG1596" s="50" t="n">
        <f aca="false">N(M1596)+N(N1596)</f>
        <v>1</v>
      </c>
      <c r="CH1596" s="50" t="n">
        <f aca="false">ROUNDUP(H1596/BV1596,0)</f>
        <v>1</v>
      </c>
      <c r="CI1596" s="50" t="n">
        <f aca="false">ROUNDUP(CF1596/BV1596,0)</f>
        <v>0</v>
      </c>
      <c r="CJ1596" s="53" t="n">
        <f aca="false">IF(BW1596=1,0,IFERROR(VLOOKUP(BU1596,'Gebinde-Kategorie'!$A$5:$N$45,5,0)+0,0))</f>
        <v>11</v>
      </c>
      <c r="CK1596" s="53" t="n">
        <f aca="false">IFERROR(IF(OR(CB1596=1,CB1596=2,CB1596=3),N(INDEX(Parameter!$I$5:$I$7,CB1596)),0),0)</f>
        <v>0</v>
      </c>
      <c r="CL1596" s="52" t="n">
        <f aca="false">IF(AND(Parameter!$B$21="Ja",ISNUMBER(W1596),N(X1596)&gt;0),IFERROR(N(INDEX(Parameter!$L$5:$L$7,W1596))*INDEX(Parameter!$E$5:$E$7,W1596)*X1596/SUMIFS($X$7:$X$1843,$W$7:$W$1843,W1596),0),0)</f>
        <v>0</v>
      </c>
    </row>
    <row r="1597" customFormat="false" ht="15" hidden="false" customHeight="false" outlineLevel="0" collapsed="false">
      <c r="A1597" s="48" t="s">
        <v>2787</v>
      </c>
      <c r="B1597" s="48" t="s">
        <v>2788</v>
      </c>
      <c r="C1597" s="48" t="s">
        <v>168</v>
      </c>
      <c r="D1597" s="48" t="s">
        <v>188</v>
      </c>
      <c r="E1597" s="48"/>
      <c r="F1597" s="48"/>
      <c r="G1597" s="49" t="n">
        <v>356.24</v>
      </c>
      <c r="H1597" s="50" t="n">
        <f aca="false">MAX(0,IF(AND(Parameter!$B$21="Ja",ISNUMBER(Y1597)),Y1597,IF(Parameter!$B$20="Jahresanfang 2025 + Export",BO1597+BN1597,BN1597)))</f>
        <v>2</v>
      </c>
      <c r="I1597" s="50" t="n">
        <f aca="false">H1597*G1597</f>
        <v>712.48</v>
      </c>
      <c r="J1597" s="50" t="n">
        <f aca="false">BQ1597*Parameter!$B$18</f>
        <v>0</v>
      </c>
      <c r="K1597" s="51"/>
      <c r="L1597" s="52"/>
      <c r="M1597" s="50" t="n">
        <v>0</v>
      </c>
      <c r="N1597" s="50" t="n">
        <v>1</v>
      </c>
      <c r="O1597" s="53" t="n">
        <v>35</v>
      </c>
      <c r="P1597" s="48" t="s">
        <v>172</v>
      </c>
      <c r="Q1597" s="50"/>
      <c r="R1597" s="53" t="n">
        <f aca="false">IF(BW1597=1,0,IFERROR(VLOOKUP(BU1597,'Gebinde-Kategorie'!$A$5:$N$45,13,0)+0,0))</f>
        <v>26</v>
      </c>
      <c r="S1597" s="54"/>
      <c r="T1597" s="55" t="s">
        <v>279</v>
      </c>
      <c r="U1597" s="55"/>
      <c r="V1597" s="55"/>
      <c r="W1597" s="48"/>
      <c r="X1597" s="50"/>
      <c r="Y1597" s="50"/>
      <c r="Z1597" s="48" t="n">
        <f aca="false">IF(A1597="","",IF(AND(Parameter!$B$21="Ja",ISNUMBER(W1597)),W1597,IF(BZ1597="2+3",IF(ISNUMBER(SEARCH("grosser Artikel",BR1597)),2,IFERROR(VLOOKUP(BU1597,Parameter!$F$35:$G$64,2,0),2)),IF(OR(BZ1597="Nein",BZ1597=""),"-",BZ1597))))</f>
        <v>3</v>
      </c>
      <c r="AA1597" s="55"/>
      <c r="AB1597" s="56"/>
      <c r="AC1597" s="50" t="n">
        <f aca="false">AT1597</f>
        <v>20</v>
      </c>
      <c r="AD1597" s="50" t="n">
        <f aca="false">MAX(AT1597,H1597)</f>
        <v>20</v>
      </c>
      <c r="AE1597" s="57"/>
      <c r="AF1597" s="50" t="n">
        <f aca="false">IF(LEFT(Cockpit!$C$5,1)="A",H1597,IF(CE1597=1,CF1597,IF(LEFT(Cockpit!$C$5,1)="B",AK1597,MAX(AK1597,H1597))))</f>
        <v>2</v>
      </c>
      <c r="AG1597" s="50" t="n">
        <f aca="false">IF(BW1597=1,0,ROUNDUP(AF1597/BV1597,0))</f>
        <v>1</v>
      </c>
      <c r="AH1597" s="52" t="n">
        <f aca="false">IF(CL1597&gt;0,CL1597*MAX(1,AF1597/X1597),IF(BW1597=1,IF(AF1597&lt;=0,0,CA1597*MAX(1,IF(H1597&gt;0,AF1597/H1597,1))),IF(R1597&gt;0,AG1597/R1597,0))/MAX(0.1,N(Parameter!$M$21)))</f>
        <v>0.0384615384615385</v>
      </c>
      <c r="AI1597" s="50" t="n">
        <f aca="false">AH1597*BY1597</f>
        <v>5.96153846153846</v>
      </c>
      <c r="AJ1597" s="50" t="n">
        <f aca="false">AF1597*G1597</f>
        <v>712.48</v>
      </c>
      <c r="AK1597" s="50" t="n">
        <f aca="false">ROUNDUP(MAX(J1597/IF(CD1597&gt;0,CD1597,MAX(0.1,N(Cockpit!$C$6))),CG1597)/BV1597,0)*BV1597</f>
        <v>20</v>
      </c>
      <c r="AL1597" s="51" t="n">
        <f aca="false">IF(AI1597&gt;0,J1597/AI1597,-1)</f>
        <v>0</v>
      </c>
      <c r="AM1597" s="51" t="n">
        <f aca="false">IF(AND(OR(CC1597="L1",CC1597="L23",CC1597="LIFT"),AI1597&gt;0),SUMIFS($AI$7:$AI$1843,$CC$7:$CC$1843,CC1597,$AL$7:$AL$1843,"&gt;"&amp;AL1597)+SUMIFS($AI$7:$AI$1843,$CC$7:$CC$1843,CC1597,$AL$7:$AL$1843,AL1597,$BT$7:$BT$1843,"&lt;="&amp;BT1597),"")</f>
        <v>30627.9572158068</v>
      </c>
      <c r="AN1597" s="58" t="n">
        <f aca="false">IF(AM1597="",0,MAX(0,MIN(1,(IF(CC1597="L1",Parameter!$H$5,IF(CC1597="L23",Parameter!$H$6+Parameter!$H$7,Parameter!$H$5+Parameter!$H$6+Parameter!$H$7))-(AM1597-AI1597))/AI1597)))</f>
        <v>1</v>
      </c>
      <c r="AO1597" s="50" t="n">
        <f aca="false">IF(LEFT(Cockpit!$I$5,1)="A",H1597,IF(CE1597=1,CF1597,IF(LEFT(Cockpit!$I$5,1)="B",AT1597,MAX(AT1597,H1597))))</f>
        <v>20</v>
      </c>
      <c r="AP1597" s="50" t="n">
        <f aca="false">IF(BW1597=1,0,ROUNDUP(AO1597/BV1597,0))</f>
        <v>1</v>
      </c>
      <c r="AQ1597" s="52" t="n">
        <f aca="false">IF(CL1597&gt;0,CL1597*MAX(1,AO1597/X1597),IF(BW1597=1,IF(AO1597&lt;=0,0,CA1597*MAX(1,IF(H1597&gt;0,AO1597/H1597,1))),IF(R1597&gt;0,AP1597/R1597,0))/MAX(0.1,N(Parameter!$M$21)))</f>
        <v>0.0384615384615385</v>
      </c>
      <c r="AR1597" s="50" t="n">
        <f aca="false">AQ1597*BY1597</f>
        <v>5.96153846153846</v>
      </c>
      <c r="AS1597" s="50" t="n">
        <f aca="false">AO1597*G1597</f>
        <v>7124.8</v>
      </c>
      <c r="AT1597" s="50" t="n">
        <f aca="false">ROUNDUP(MAX(J1597/IF(CD1597&gt;0,CD1597,MAX(0.1,N(Cockpit!$I$6))),CG1597)/BV1597,0)*BV1597</f>
        <v>20</v>
      </c>
      <c r="AU1597" s="51" t="n">
        <f aca="false">IF(AR1597&gt;0,J1597/AR1597,-1)</f>
        <v>0</v>
      </c>
      <c r="AV1597" s="51" t="n">
        <f aca="false">IF(AND(OR(CC1597="L1",CC1597="L23",CC1597="LIFT"),AR1597&gt;0),SUMIFS($AR$7:$AR$1843,$CC$7:$CC$1843,CC1597,$AU$7:$AU$1843,"&gt;"&amp;AU1597)+SUMIFS($AR$7:$AR$1843,$CC$7:$CC$1843,CC1597,$AU$7:$AU$1843,AU1597,$BT$7:$BT$1843,"&lt;="&amp;BT1597),"")</f>
        <v>42989.8595279485</v>
      </c>
      <c r="AW1597" s="58" t="n">
        <f aca="false">IF(AV1597="",0,MAX(0,MIN(1,(IF(CC1597="L1",Parameter!$H$5,IF(CC1597="L23",Parameter!$H$6+Parameter!$H$7,Parameter!$H$5+Parameter!$H$6+Parameter!$H$7))-(AV1597-AR1597))/AR1597)))</f>
        <v>0</v>
      </c>
      <c r="AX1597" s="50" t="n">
        <f aca="false">IF(LEFT(Cockpit!$O$5,1)="A",H1597,IF(CE1597=1,CF1597,IF(LEFT(Cockpit!$O$5,1)="B",BC1597,MAX(BC1597,H1597))))</f>
        <v>20</v>
      </c>
      <c r="AY1597" s="50" t="n">
        <f aca="false">IF(BW1597=1,0,ROUNDUP(AX1597/BV1597,0))</f>
        <v>1</v>
      </c>
      <c r="AZ1597" s="52" t="n">
        <f aca="false">IF(CL1597&gt;0,CL1597*MAX(1,AX1597/X1597),IF(BW1597=1,IF(AX1597&lt;=0,0,CA1597*MAX(1,IF(H1597&gt;0,AX1597/H1597,1))),IF(R1597&gt;0,AY1597/R1597,0))/MAX(0.1,N(Parameter!$M$21)))</f>
        <v>0.0384615384615385</v>
      </c>
      <c r="BA1597" s="50" t="n">
        <f aca="false">AZ1597*BY1597</f>
        <v>5.96153846153846</v>
      </c>
      <c r="BB1597" s="50" t="n">
        <f aca="false">AX1597*G1597</f>
        <v>7124.8</v>
      </c>
      <c r="BC1597" s="50" t="n">
        <f aca="false">ROUNDUP(MAX(J1597/IF(CD1597&gt;0,CD1597,MAX(0.1,N(Cockpit!$O$6))),CG1597)/BV1597,0)*BV1597</f>
        <v>20</v>
      </c>
      <c r="BD1597" s="51" t="n">
        <f aca="false">IF(BA1597&gt;0,J1597/BA1597,-1)</f>
        <v>0</v>
      </c>
      <c r="BE1597" s="51" t="n">
        <f aca="false">IF(AND(OR(CC1597="L1",CC1597="L23",CC1597="LIFT"),BA1597&gt;0),SUMIFS($BA$7:$BA$1843,$CC$7:$CC$1843,CC1597,$BD$7:$BD$1843,"&gt;"&amp;BD1597)+SUMIFS($BA$7:$BA$1843,$CC$7:$CC$1843,CC1597,$BD$7:$BD$1843,BD1597,$BT$7:$BT$1843,"&lt;="&amp;BT1597),"")</f>
        <v>39664.8715698144</v>
      </c>
      <c r="BF1597" s="58" t="n">
        <f aca="false">IF(BE1597="",0,MAX(0,MIN(1,(IF(CC1597="L1",Parameter!$H$5,IF(CC1597="L23",Parameter!$H$6+Parameter!$H$7,Parameter!$H$5+Parameter!$H$6+Parameter!$H$7))-(BE1597-BA1597))/BA1597)))</f>
        <v>0</v>
      </c>
      <c r="BG1597" s="48" t="str">
        <f aca="false">IF(AI1597&lt;=0,"",IF(CC1597="Aussen","Aussenlager",IF(CC1597="-","Nicht im Lift",IF(AN1597&gt;=1,"Lift",IF(AN1597&lt;=0,"Aussenlager","teilweise")))))</f>
        <v>Lift</v>
      </c>
      <c r="BH1597" s="48" t="str">
        <f aca="false">IF(AR1597&lt;=0,"",IF(CC1597="Aussen","Aussenlager",IF(CC1597="-","Nicht im Lift",IF(AW1597&gt;=1,"Lift",IF(AW1597&lt;=0,"Aussenlager","teilweise")))))</f>
        <v>Aussenlager</v>
      </c>
      <c r="BI1597" s="48" t="str">
        <f aca="false">IF(BA1597&lt;=0,"",IF(CC1597="Aussen","Aussenlager",IF(CC1597="-","Nicht im Lift",IF(BF1597&gt;=1,"Lift",IF(BF1597&lt;=0,"Aussenlager","teilweise")))))</f>
        <v>Aussenlager</v>
      </c>
      <c r="BJ1597" s="48" t="str">
        <f aca="false">IF(A1597="","",IF(BS1597=1,"Neu; ","")&amp;IF(AND(BS1597=0,BN1597&lt;0),"negativer Bestand (Export "&amp;BN1597&amp;"); ","")&amp;IF(J1597&lt;=0,"Kein Verbrauch; ","")&amp;IF(CL1597&gt;0,"Lift "&amp;W1597&amp;" lt. Liftbericht (Fach "&amp;X1597&amp;" Stk); ",IF(BX1597=1,"Gebinde geschätzt ("&amp;T1597&amp;"); ",IF(BW1597=1,"Lose – Tablare geschätzt; ","")))&amp;IF(H1597&gt;AT1597,"Überbestand "&amp;ROUND(H1597-AT1597,0)&amp;" Stk / CHF "&amp;ROUND((H1597-AT1597)*G1597,0)&amp;"; ","")&amp;IF(AND(CE1597=1,CF1597&lt;CG1597),"MAX &lt; MB+LG; ","")&amp;IF(AND(CK1597&gt;0,CJ1597*10&gt;CK1597),"zu hoch für Tablar; ","")&amp;IF(AND(BS1597=0,OR(CE1597=1,AA1597&lt;&gt;"",U1597&lt;&gt;"",V1597&lt;&gt;"",AB1597&lt;&gt;"")),"manuell übersteuert; ","")&amp;IF(AND(BW1597=0,R1597=0),"Gebinde unbekannt / Stellmass fehlt; ","")&amp;IF(AND(BW1597=0,N(V1597)&lt;=0,N(Q1597)&lt;=0),"Menge pro Gebinde fehlt (Ist = 1 Gebinde); ","")&amp;BR1597)</f>
        <v>Kein Verbrauch; Gebinde geschätzt (Klein); Menge pro Gebinde fehlt (Ist = 1 Gebinde); nur im Artikelstamm (Bestand 23.06.2026)</v>
      </c>
      <c r="BK1597" s="48"/>
      <c r="BL1597" s="48"/>
      <c r="BM1597" s="55"/>
      <c r="BN1597" s="50" t="n">
        <v>2</v>
      </c>
      <c r="BO1597" s="50" t="n">
        <v>0</v>
      </c>
      <c r="BP1597" s="49" t="n">
        <v>0</v>
      </c>
      <c r="BQ1597" s="50" t="n">
        <v>0</v>
      </c>
      <c r="BR1597" s="48" t="s">
        <v>2579</v>
      </c>
      <c r="BS1597" s="53" t="n">
        <v>0</v>
      </c>
      <c r="BT1597" s="53" t="n">
        <v>1597</v>
      </c>
      <c r="BU1597" s="48" t="str">
        <f aca="false">IF(U1597&lt;&gt;"",UPPER(TRIM(U1597)),IF(BX1597=1,UPPER(VLOOKUP(T1597,Parameter!$I$27:$K$29,2,0)),IF(P1597="","LOSE",P1597)))</f>
        <v>S51</v>
      </c>
      <c r="BV1597" s="50" t="n">
        <f aca="false">IF(BU1597="LOSE",1,IF(N(V1597)&gt;0,V1597,IF(BX1597=1,MAX(1,N(VLOOKUP(T1597,Parameter!$I$27:$K$29,3,0)),H1597,N(N1597)),IF(N(Q1597)&gt;0,Q1597,MAX(1,H1597)))))</f>
        <v>20</v>
      </c>
      <c r="BW1597" s="53" t="n">
        <f aca="false">IF(BU1597="LOSE",1,0)</f>
        <v>0</v>
      </c>
      <c r="BX1597" s="53" t="n">
        <f aca="false">IF(AND(U1597="",OR(P1597="",P1597="LOSE"),T1597&lt;&gt;"",N(S1597)&lt;=0,ISNUMBER(MATCH(T1597,Parameter!$I$27:$I$29,0))),1,0)</f>
        <v>1</v>
      </c>
      <c r="BY1597" s="53" t="n">
        <f aca="false">IF(CL1597&gt;0,INDEX(Parameter!$H$5:$H$7,W1597)/INDEX(Parameter!$E$5:$E$7,W1597),IF(AND(BW1597=0,N(IFERROR(VLOOKUP(BU1597,'Gebinde-Kategorie'!$A$5:$N$45,14,0),0))&gt;0),VLOOKUP(BU1597,'Gebinde-Kategorie'!$A$5:$N$45,14,0)*10+Parameter!$M$23,Parameter!$M$24))</f>
        <v>155</v>
      </c>
      <c r="BZ1597" s="48" t="str">
        <f aca="false">IF(AND(Parameter!$B$19="Ja",E1597&lt;&gt;"",ISNUMBER(MATCH(E1597,Parameter!$I$35:$I$52,0))),VLOOKUP(E1597,Parameter!$I$35:$J$52,2,0),IFERROR(VLOOKUP(D1597,Parameter!$A$35:$C$64,2,0),"Nein"))</f>
        <v>2+3</v>
      </c>
      <c r="CA1597" s="52" t="n">
        <f aca="false">IF(BW1597=0,0,IF(N(S1597)&gt;0,S1597,IFERROR(VLOOKUP(D1597,Parameter!$A$35:$C$64,3,0)+0,0)))</f>
        <v>0</v>
      </c>
      <c r="CB1597" s="48" t="n">
        <f aca="false">IF(AA1597&lt;&gt;"",AA1597,Z1597)</f>
        <v>3</v>
      </c>
      <c r="CC1597" s="48" t="str">
        <f aca="false">IF(OR(CB1597=1,CB1597=2,CB1597=3),IF(Parameter!$E$27="Ja","LIFT",IF(CB1597=1,"L1","L23")),IF(CB1597="Aussen","Aussen","-"))</f>
        <v>LIFT</v>
      </c>
      <c r="CD1597" s="59" t="n">
        <f aca="false">IF(N(AB1597)&gt;0,AB1597,0)</f>
        <v>0</v>
      </c>
      <c r="CE1597" s="53" t="n">
        <f aca="false">IF(ISNUMBER(AE1597),1,0)</f>
        <v>0</v>
      </c>
      <c r="CF1597" s="50" t="n">
        <f aca="false">N(AE1597)</f>
        <v>0</v>
      </c>
      <c r="CG1597" s="50" t="n">
        <f aca="false">N(M1597)+N(N1597)</f>
        <v>1</v>
      </c>
      <c r="CH1597" s="50" t="n">
        <f aca="false">ROUNDUP(H1597/BV1597,0)</f>
        <v>1</v>
      </c>
      <c r="CI1597" s="50" t="n">
        <f aca="false">ROUNDUP(CF1597/BV1597,0)</f>
        <v>0</v>
      </c>
      <c r="CJ1597" s="53" t="n">
        <f aca="false">IF(BW1597=1,0,IFERROR(VLOOKUP(BU1597,'Gebinde-Kategorie'!$A$5:$N$45,5,0)+0,0))</f>
        <v>11</v>
      </c>
      <c r="CK1597" s="53" t="n">
        <f aca="false">IFERROR(IF(OR(CB1597=1,CB1597=2,CB1597=3),N(INDEX(Parameter!$I$5:$I$7,CB1597)),0),0)</f>
        <v>0</v>
      </c>
      <c r="CL1597" s="52" t="n">
        <f aca="false">IF(AND(Parameter!$B$21="Ja",ISNUMBER(W1597),N(X1597)&gt;0),IFERROR(N(INDEX(Parameter!$L$5:$L$7,W1597))*INDEX(Parameter!$E$5:$E$7,W1597)*X1597/SUMIFS($X$7:$X$1843,$W$7:$W$1843,W1597),0),0)</f>
        <v>0</v>
      </c>
    </row>
    <row r="1598" customFormat="false" ht="15" hidden="false" customHeight="false" outlineLevel="0" collapsed="false">
      <c r="A1598" s="48" t="s">
        <v>2789</v>
      </c>
      <c r="B1598" s="48" t="s">
        <v>2790</v>
      </c>
      <c r="C1598" s="48" t="s">
        <v>168</v>
      </c>
      <c r="D1598" s="48" t="s">
        <v>188</v>
      </c>
      <c r="E1598" s="48"/>
      <c r="F1598" s="48"/>
      <c r="G1598" s="49" t="n">
        <v>7</v>
      </c>
      <c r="H1598" s="50" t="n">
        <f aca="false">MAX(0,IF(AND(Parameter!$B$21="Ja",ISNUMBER(Y1598)),Y1598,IF(Parameter!$B$20="Jahresanfang 2025 + Export",BO1598+BN1598,BN1598)))</f>
        <v>25</v>
      </c>
      <c r="I1598" s="50" t="n">
        <f aca="false">H1598*G1598</f>
        <v>175</v>
      </c>
      <c r="J1598" s="50" t="n">
        <f aca="false">BQ1598*Parameter!$B$18</f>
        <v>0</v>
      </c>
      <c r="K1598" s="51"/>
      <c r="L1598" s="52"/>
      <c r="M1598" s="50" t="n">
        <v>0</v>
      </c>
      <c r="N1598" s="50" t="n">
        <v>3</v>
      </c>
      <c r="O1598" s="53" t="n">
        <v>14</v>
      </c>
      <c r="P1598" s="48" t="s">
        <v>172</v>
      </c>
      <c r="Q1598" s="50"/>
      <c r="R1598" s="53" t="n">
        <f aca="false">IF(BW1598=1,0,IFERROR(VLOOKUP(BU1598,'Gebinde-Kategorie'!$A$5:$N$45,13,0)+0,0))</f>
        <v>26</v>
      </c>
      <c r="S1598" s="54"/>
      <c r="T1598" s="55" t="s">
        <v>279</v>
      </c>
      <c r="U1598" s="55"/>
      <c r="V1598" s="55"/>
      <c r="W1598" s="48"/>
      <c r="X1598" s="50"/>
      <c r="Y1598" s="50"/>
      <c r="Z1598" s="48" t="n">
        <f aca="false">IF(A1598="","",IF(AND(Parameter!$B$21="Ja",ISNUMBER(W1598)),W1598,IF(BZ1598="2+3",IF(ISNUMBER(SEARCH("grosser Artikel",BR1598)),2,IFERROR(VLOOKUP(BU1598,Parameter!$F$35:$G$64,2,0),2)),IF(OR(BZ1598="Nein",BZ1598=""),"-",BZ1598))))</f>
        <v>3</v>
      </c>
      <c r="AA1598" s="55"/>
      <c r="AB1598" s="56"/>
      <c r="AC1598" s="50" t="n">
        <f aca="false">AT1598</f>
        <v>25</v>
      </c>
      <c r="AD1598" s="50" t="n">
        <f aca="false">MAX(AT1598,H1598)</f>
        <v>25</v>
      </c>
      <c r="AE1598" s="57"/>
      <c r="AF1598" s="50" t="n">
        <f aca="false">IF(LEFT(Cockpit!$C$5,1)="A",H1598,IF(CE1598=1,CF1598,IF(LEFT(Cockpit!$C$5,1)="B",AK1598,MAX(AK1598,H1598))))</f>
        <v>25</v>
      </c>
      <c r="AG1598" s="50" t="n">
        <f aca="false">IF(BW1598=1,0,ROUNDUP(AF1598/BV1598,0))</f>
        <v>1</v>
      </c>
      <c r="AH1598" s="52" t="n">
        <f aca="false">IF(CL1598&gt;0,CL1598*MAX(1,AF1598/X1598),IF(BW1598=1,IF(AF1598&lt;=0,0,CA1598*MAX(1,IF(H1598&gt;0,AF1598/H1598,1))),IF(R1598&gt;0,AG1598/R1598,0))/MAX(0.1,N(Parameter!$M$21)))</f>
        <v>0.0384615384615385</v>
      </c>
      <c r="AI1598" s="50" t="n">
        <f aca="false">AH1598*BY1598</f>
        <v>5.96153846153846</v>
      </c>
      <c r="AJ1598" s="50" t="n">
        <f aca="false">AF1598*G1598</f>
        <v>175</v>
      </c>
      <c r="AK1598" s="50" t="n">
        <f aca="false">ROUNDUP(MAX(J1598/IF(CD1598&gt;0,CD1598,MAX(0.1,N(Cockpit!$C$6))),CG1598)/BV1598,0)*BV1598</f>
        <v>25</v>
      </c>
      <c r="AL1598" s="51" t="n">
        <f aca="false">IF(AI1598&gt;0,J1598/AI1598,-1)</f>
        <v>0</v>
      </c>
      <c r="AM1598" s="51" t="n">
        <f aca="false">IF(AND(OR(CC1598="L1",CC1598="L23",CC1598="LIFT"),AI1598&gt;0),SUMIFS($AI$7:$AI$1843,$CC$7:$CC$1843,CC1598,$AL$7:$AL$1843,"&gt;"&amp;AL1598)+SUMIFS($AI$7:$AI$1843,$CC$7:$CC$1843,CC1598,$AL$7:$AL$1843,AL1598,$BT$7:$BT$1843,"&lt;="&amp;BT1598),"")</f>
        <v>30633.9187542683</v>
      </c>
      <c r="AN1598" s="58" t="n">
        <f aca="false">IF(AM1598="",0,MAX(0,MIN(1,(IF(CC1598="L1",Parameter!$H$5,IF(CC1598="L23",Parameter!$H$6+Parameter!$H$7,Parameter!$H$5+Parameter!$H$6+Parameter!$H$7))-(AM1598-AI1598))/AI1598)))</f>
        <v>1</v>
      </c>
      <c r="AO1598" s="50" t="n">
        <f aca="false">IF(LEFT(Cockpit!$I$5,1)="A",H1598,IF(CE1598=1,CF1598,IF(LEFT(Cockpit!$I$5,1)="B",AT1598,MAX(AT1598,H1598))))</f>
        <v>25</v>
      </c>
      <c r="AP1598" s="50" t="n">
        <f aca="false">IF(BW1598=1,0,ROUNDUP(AO1598/BV1598,0))</f>
        <v>1</v>
      </c>
      <c r="AQ1598" s="52" t="n">
        <f aca="false">IF(CL1598&gt;0,CL1598*MAX(1,AO1598/X1598),IF(BW1598=1,IF(AO1598&lt;=0,0,CA1598*MAX(1,IF(H1598&gt;0,AO1598/H1598,1))),IF(R1598&gt;0,AP1598/R1598,0))/MAX(0.1,N(Parameter!$M$21)))</f>
        <v>0.0384615384615385</v>
      </c>
      <c r="AR1598" s="50" t="n">
        <f aca="false">AQ1598*BY1598</f>
        <v>5.96153846153846</v>
      </c>
      <c r="AS1598" s="50" t="n">
        <f aca="false">AO1598*G1598</f>
        <v>175</v>
      </c>
      <c r="AT1598" s="50" t="n">
        <f aca="false">ROUNDUP(MAX(J1598/IF(CD1598&gt;0,CD1598,MAX(0.1,N(Cockpit!$I$6))),CG1598)/BV1598,0)*BV1598</f>
        <v>25</v>
      </c>
      <c r="AU1598" s="51" t="n">
        <f aca="false">IF(AR1598&gt;0,J1598/AR1598,-1)</f>
        <v>0</v>
      </c>
      <c r="AV1598" s="51" t="n">
        <f aca="false">IF(AND(OR(CC1598="L1",CC1598="L23",CC1598="LIFT"),AR1598&gt;0),SUMIFS($AR$7:$AR$1843,$CC$7:$CC$1843,CC1598,$AU$7:$AU$1843,"&gt;"&amp;AU1598)+SUMIFS($AR$7:$AR$1843,$CC$7:$CC$1843,CC1598,$AU$7:$AU$1843,AU1598,$BT$7:$BT$1843,"&lt;="&amp;BT1598),"")</f>
        <v>42995.8210664101</v>
      </c>
      <c r="AW1598" s="58" t="n">
        <f aca="false">IF(AV1598="",0,MAX(0,MIN(1,(IF(CC1598="L1",Parameter!$H$5,IF(CC1598="L23",Parameter!$H$6+Parameter!$H$7,Parameter!$H$5+Parameter!$H$6+Parameter!$H$7))-(AV1598-AR1598))/AR1598)))</f>
        <v>0</v>
      </c>
      <c r="AX1598" s="50" t="n">
        <f aca="false">IF(LEFT(Cockpit!$O$5,1)="A",H1598,IF(CE1598=1,CF1598,IF(LEFT(Cockpit!$O$5,1)="B",BC1598,MAX(BC1598,H1598))))</f>
        <v>25</v>
      </c>
      <c r="AY1598" s="50" t="n">
        <f aca="false">IF(BW1598=1,0,ROUNDUP(AX1598/BV1598,0))</f>
        <v>1</v>
      </c>
      <c r="AZ1598" s="52" t="n">
        <f aca="false">IF(CL1598&gt;0,CL1598*MAX(1,AX1598/X1598),IF(BW1598=1,IF(AX1598&lt;=0,0,CA1598*MAX(1,IF(H1598&gt;0,AX1598/H1598,1))),IF(R1598&gt;0,AY1598/R1598,0))/MAX(0.1,N(Parameter!$M$21)))</f>
        <v>0.0384615384615385</v>
      </c>
      <c r="BA1598" s="50" t="n">
        <f aca="false">AZ1598*BY1598</f>
        <v>5.96153846153846</v>
      </c>
      <c r="BB1598" s="50" t="n">
        <f aca="false">AX1598*G1598</f>
        <v>175</v>
      </c>
      <c r="BC1598" s="50" t="n">
        <f aca="false">ROUNDUP(MAX(J1598/IF(CD1598&gt;0,CD1598,MAX(0.1,N(Cockpit!$O$6))),CG1598)/BV1598,0)*BV1598</f>
        <v>25</v>
      </c>
      <c r="BD1598" s="51" t="n">
        <f aca="false">IF(BA1598&gt;0,J1598/BA1598,-1)</f>
        <v>0</v>
      </c>
      <c r="BE1598" s="51" t="n">
        <f aca="false">IF(AND(OR(CC1598="L1",CC1598="L23",CC1598="LIFT"),BA1598&gt;0),SUMIFS($BA$7:$BA$1843,$CC$7:$CC$1843,CC1598,$BD$7:$BD$1843,"&gt;"&amp;BD1598)+SUMIFS($BA$7:$BA$1843,$CC$7:$CC$1843,CC1598,$BD$7:$BD$1843,BD1598,$BT$7:$BT$1843,"&lt;="&amp;BT1598),"")</f>
        <v>39670.8331082759</v>
      </c>
      <c r="BF1598" s="58" t="n">
        <f aca="false">IF(BE1598="",0,MAX(0,MIN(1,(IF(CC1598="L1",Parameter!$H$5,IF(CC1598="L23",Parameter!$H$6+Parameter!$H$7,Parameter!$H$5+Parameter!$H$6+Parameter!$H$7))-(BE1598-BA1598))/BA1598)))</f>
        <v>0</v>
      </c>
      <c r="BG1598" s="48" t="str">
        <f aca="false">IF(AI1598&lt;=0,"",IF(CC1598="Aussen","Aussenlager",IF(CC1598="-","Nicht im Lift",IF(AN1598&gt;=1,"Lift",IF(AN1598&lt;=0,"Aussenlager","teilweise")))))</f>
        <v>Lift</v>
      </c>
      <c r="BH1598" s="48" t="str">
        <f aca="false">IF(AR1598&lt;=0,"",IF(CC1598="Aussen","Aussenlager",IF(CC1598="-","Nicht im Lift",IF(AW1598&gt;=1,"Lift",IF(AW1598&lt;=0,"Aussenlager","teilweise")))))</f>
        <v>Aussenlager</v>
      </c>
      <c r="BI1598" s="48" t="str">
        <f aca="false">IF(BA1598&lt;=0,"",IF(CC1598="Aussen","Aussenlager",IF(CC1598="-","Nicht im Lift",IF(BF1598&gt;=1,"Lift",IF(BF1598&lt;=0,"Aussenlager","teilweise")))))</f>
        <v>Aussenlager</v>
      </c>
      <c r="BJ1598" s="48" t="str">
        <f aca="false">IF(A1598="","",IF(BS1598=1,"Neu; ","")&amp;IF(AND(BS1598=0,BN1598&lt;0),"negativer Bestand (Export "&amp;BN1598&amp;"); ","")&amp;IF(J1598&lt;=0,"Kein Verbrauch; ","")&amp;IF(CL1598&gt;0,"Lift "&amp;W1598&amp;" lt. Liftbericht (Fach "&amp;X1598&amp;" Stk); ",IF(BX1598=1,"Gebinde geschätzt ("&amp;T1598&amp;"); ",IF(BW1598=1,"Lose – Tablare geschätzt; ","")))&amp;IF(H1598&gt;AT1598,"Überbestand "&amp;ROUND(H1598-AT1598,0)&amp;" Stk / CHF "&amp;ROUND((H1598-AT1598)*G1598,0)&amp;"; ","")&amp;IF(AND(CE1598=1,CF1598&lt;CG1598),"MAX &lt; MB+LG; ","")&amp;IF(AND(CK1598&gt;0,CJ1598*10&gt;CK1598),"zu hoch für Tablar; ","")&amp;IF(AND(BS1598=0,OR(CE1598=1,AA1598&lt;&gt;"",U1598&lt;&gt;"",V1598&lt;&gt;"",AB1598&lt;&gt;"")),"manuell übersteuert; ","")&amp;IF(AND(BW1598=0,R1598=0),"Gebinde unbekannt / Stellmass fehlt; ","")&amp;IF(AND(BW1598=0,N(V1598)&lt;=0,N(Q1598)&lt;=0),"Menge pro Gebinde fehlt (Ist = 1 Gebinde); ","")&amp;BR1598)</f>
        <v>Kein Verbrauch; Gebinde geschätzt (Klein); Menge pro Gebinde fehlt (Ist = 1 Gebinde); nur im Artikelstamm (Bestand 23.06.2026)</v>
      </c>
      <c r="BK1598" s="48"/>
      <c r="BL1598" s="48"/>
      <c r="BM1598" s="55"/>
      <c r="BN1598" s="50" t="n">
        <v>25</v>
      </c>
      <c r="BO1598" s="50" t="n">
        <v>0</v>
      </c>
      <c r="BP1598" s="49" t="n">
        <v>0</v>
      </c>
      <c r="BQ1598" s="50" t="n">
        <v>0</v>
      </c>
      <c r="BR1598" s="48" t="s">
        <v>2579</v>
      </c>
      <c r="BS1598" s="53" t="n">
        <v>0</v>
      </c>
      <c r="BT1598" s="53" t="n">
        <v>1598</v>
      </c>
      <c r="BU1598" s="48" t="str">
        <f aca="false">IF(U1598&lt;&gt;"",UPPER(TRIM(U1598)),IF(BX1598=1,UPPER(VLOOKUP(T1598,Parameter!$I$27:$K$29,2,0)),IF(P1598="","LOSE",P1598)))</f>
        <v>S51</v>
      </c>
      <c r="BV1598" s="50" t="n">
        <f aca="false">IF(BU1598="LOSE",1,IF(N(V1598)&gt;0,V1598,IF(BX1598=1,MAX(1,N(VLOOKUP(T1598,Parameter!$I$27:$K$29,3,0)),H1598,N(N1598)),IF(N(Q1598)&gt;0,Q1598,MAX(1,H1598)))))</f>
        <v>25</v>
      </c>
      <c r="BW1598" s="53" t="n">
        <f aca="false">IF(BU1598="LOSE",1,0)</f>
        <v>0</v>
      </c>
      <c r="BX1598" s="53" t="n">
        <f aca="false">IF(AND(U1598="",OR(P1598="",P1598="LOSE"),T1598&lt;&gt;"",N(S1598)&lt;=0,ISNUMBER(MATCH(T1598,Parameter!$I$27:$I$29,0))),1,0)</f>
        <v>1</v>
      </c>
      <c r="BY1598" s="53" t="n">
        <f aca="false">IF(CL1598&gt;0,INDEX(Parameter!$H$5:$H$7,W1598)/INDEX(Parameter!$E$5:$E$7,W1598),IF(AND(BW1598=0,N(IFERROR(VLOOKUP(BU1598,'Gebinde-Kategorie'!$A$5:$N$45,14,0),0))&gt;0),VLOOKUP(BU1598,'Gebinde-Kategorie'!$A$5:$N$45,14,0)*10+Parameter!$M$23,Parameter!$M$24))</f>
        <v>155</v>
      </c>
      <c r="BZ1598" s="48" t="str">
        <f aca="false">IF(AND(Parameter!$B$19="Ja",E1598&lt;&gt;"",ISNUMBER(MATCH(E1598,Parameter!$I$35:$I$52,0))),VLOOKUP(E1598,Parameter!$I$35:$J$52,2,0),IFERROR(VLOOKUP(D1598,Parameter!$A$35:$C$64,2,0),"Nein"))</f>
        <v>2+3</v>
      </c>
      <c r="CA1598" s="52" t="n">
        <f aca="false">IF(BW1598=0,0,IF(N(S1598)&gt;0,S1598,IFERROR(VLOOKUP(D1598,Parameter!$A$35:$C$64,3,0)+0,0)))</f>
        <v>0</v>
      </c>
      <c r="CB1598" s="48" t="n">
        <f aca="false">IF(AA1598&lt;&gt;"",AA1598,Z1598)</f>
        <v>3</v>
      </c>
      <c r="CC1598" s="48" t="str">
        <f aca="false">IF(OR(CB1598=1,CB1598=2,CB1598=3),IF(Parameter!$E$27="Ja","LIFT",IF(CB1598=1,"L1","L23")),IF(CB1598="Aussen","Aussen","-"))</f>
        <v>LIFT</v>
      </c>
      <c r="CD1598" s="59" t="n">
        <f aca="false">IF(N(AB1598)&gt;0,AB1598,0)</f>
        <v>0</v>
      </c>
      <c r="CE1598" s="53" t="n">
        <f aca="false">IF(ISNUMBER(AE1598),1,0)</f>
        <v>0</v>
      </c>
      <c r="CF1598" s="50" t="n">
        <f aca="false">N(AE1598)</f>
        <v>0</v>
      </c>
      <c r="CG1598" s="50" t="n">
        <f aca="false">N(M1598)+N(N1598)</f>
        <v>3</v>
      </c>
      <c r="CH1598" s="50" t="n">
        <f aca="false">ROUNDUP(H1598/BV1598,0)</f>
        <v>1</v>
      </c>
      <c r="CI1598" s="50" t="n">
        <f aca="false">ROUNDUP(CF1598/BV1598,0)</f>
        <v>0</v>
      </c>
      <c r="CJ1598" s="53" t="n">
        <f aca="false">IF(BW1598=1,0,IFERROR(VLOOKUP(BU1598,'Gebinde-Kategorie'!$A$5:$N$45,5,0)+0,0))</f>
        <v>11</v>
      </c>
      <c r="CK1598" s="53" t="n">
        <f aca="false">IFERROR(IF(OR(CB1598=1,CB1598=2,CB1598=3),N(INDEX(Parameter!$I$5:$I$7,CB1598)),0),0)</f>
        <v>0</v>
      </c>
      <c r="CL1598" s="52" t="n">
        <f aca="false">IF(AND(Parameter!$B$21="Ja",ISNUMBER(W1598),N(X1598)&gt;0),IFERROR(N(INDEX(Parameter!$L$5:$L$7,W1598))*INDEX(Parameter!$E$5:$E$7,W1598)*X1598/SUMIFS($X$7:$X$1843,$W$7:$W$1843,W1598),0),0)</f>
        <v>0</v>
      </c>
    </row>
    <row r="1599" customFormat="false" ht="15" hidden="false" customHeight="false" outlineLevel="0" collapsed="false">
      <c r="A1599" s="48" t="s">
        <v>2791</v>
      </c>
      <c r="B1599" s="48" t="s">
        <v>2792</v>
      </c>
      <c r="C1599" s="48" t="s">
        <v>168</v>
      </c>
      <c r="D1599" s="48" t="s">
        <v>188</v>
      </c>
      <c r="E1599" s="48"/>
      <c r="F1599" s="48"/>
      <c r="G1599" s="49" t="n">
        <v>397.38</v>
      </c>
      <c r="H1599" s="50" t="n">
        <f aca="false">MAX(0,IF(AND(Parameter!$B$21="Ja",ISNUMBER(Y1599)),Y1599,IF(Parameter!$B$20="Jahresanfang 2025 + Export",BO1599+BN1599,BN1599)))</f>
        <v>2</v>
      </c>
      <c r="I1599" s="50" t="n">
        <f aca="false">H1599*G1599</f>
        <v>794.76</v>
      </c>
      <c r="J1599" s="50" t="n">
        <f aca="false">BQ1599*Parameter!$B$18</f>
        <v>0</v>
      </c>
      <c r="K1599" s="51"/>
      <c r="L1599" s="52"/>
      <c r="M1599" s="50" t="n">
        <v>0</v>
      </c>
      <c r="N1599" s="50" t="n">
        <v>1</v>
      </c>
      <c r="O1599" s="53" t="n">
        <v>35</v>
      </c>
      <c r="P1599" s="48" t="s">
        <v>172</v>
      </c>
      <c r="Q1599" s="50"/>
      <c r="R1599" s="53" t="n">
        <f aca="false">IF(BW1599=1,0,IFERROR(VLOOKUP(BU1599,'Gebinde-Kategorie'!$A$5:$N$45,13,0)+0,0))</f>
        <v>26</v>
      </c>
      <c r="S1599" s="54"/>
      <c r="T1599" s="55" t="s">
        <v>279</v>
      </c>
      <c r="U1599" s="55"/>
      <c r="V1599" s="55"/>
      <c r="W1599" s="48"/>
      <c r="X1599" s="50"/>
      <c r="Y1599" s="50"/>
      <c r="Z1599" s="48" t="n">
        <f aca="false">IF(A1599="","",IF(AND(Parameter!$B$21="Ja",ISNUMBER(W1599)),W1599,IF(BZ1599="2+3",IF(ISNUMBER(SEARCH("grosser Artikel",BR1599)),2,IFERROR(VLOOKUP(BU1599,Parameter!$F$35:$G$64,2,0),2)),IF(OR(BZ1599="Nein",BZ1599=""),"-",BZ1599))))</f>
        <v>3</v>
      </c>
      <c r="AA1599" s="55"/>
      <c r="AB1599" s="56"/>
      <c r="AC1599" s="50" t="n">
        <f aca="false">AT1599</f>
        <v>20</v>
      </c>
      <c r="AD1599" s="50" t="n">
        <f aca="false">MAX(AT1599,H1599)</f>
        <v>20</v>
      </c>
      <c r="AE1599" s="57"/>
      <c r="AF1599" s="50" t="n">
        <f aca="false">IF(LEFT(Cockpit!$C$5,1)="A",H1599,IF(CE1599=1,CF1599,IF(LEFT(Cockpit!$C$5,1)="B",AK1599,MAX(AK1599,H1599))))</f>
        <v>2</v>
      </c>
      <c r="AG1599" s="50" t="n">
        <f aca="false">IF(BW1599=1,0,ROUNDUP(AF1599/BV1599,0))</f>
        <v>1</v>
      </c>
      <c r="AH1599" s="52" t="n">
        <f aca="false">IF(CL1599&gt;0,CL1599*MAX(1,AF1599/X1599),IF(BW1599=1,IF(AF1599&lt;=0,0,CA1599*MAX(1,IF(H1599&gt;0,AF1599/H1599,1))),IF(R1599&gt;0,AG1599/R1599,0))/MAX(0.1,N(Parameter!$M$21)))</f>
        <v>0.0384615384615385</v>
      </c>
      <c r="AI1599" s="50" t="n">
        <f aca="false">AH1599*BY1599</f>
        <v>5.96153846153846</v>
      </c>
      <c r="AJ1599" s="50" t="n">
        <f aca="false">AF1599*G1599</f>
        <v>794.76</v>
      </c>
      <c r="AK1599" s="50" t="n">
        <f aca="false">ROUNDUP(MAX(J1599/IF(CD1599&gt;0,CD1599,MAX(0.1,N(Cockpit!$C$6))),CG1599)/BV1599,0)*BV1599</f>
        <v>20</v>
      </c>
      <c r="AL1599" s="51" t="n">
        <f aca="false">IF(AI1599&gt;0,J1599/AI1599,-1)</f>
        <v>0</v>
      </c>
      <c r="AM1599" s="51" t="n">
        <f aca="false">IF(AND(OR(CC1599="L1",CC1599="L23",CC1599="LIFT"),AI1599&gt;0),SUMIFS($AI$7:$AI$1843,$CC$7:$CC$1843,CC1599,$AL$7:$AL$1843,"&gt;"&amp;AL1599)+SUMIFS($AI$7:$AI$1843,$CC$7:$CC$1843,CC1599,$AL$7:$AL$1843,AL1599,$BT$7:$BT$1843,"&lt;="&amp;BT1599),"")</f>
        <v>30639.8802927299</v>
      </c>
      <c r="AN1599" s="58" t="n">
        <f aca="false">IF(AM1599="",0,MAX(0,MIN(1,(IF(CC1599="L1",Parameter!$H$5,IF(CC1599="L23",Parameter!$H$6+Parameter!$H$7,Parameter!$H$5+Parameter!$H$6+Parameter!$H$7))-(AM1599-AI1599))/AI1599)))</f>
        <v>1</v>
      </c>
      <c r="AO1599" s="50" t="n">
        <f aca="false">IF(LEFT(Cockpit!$I$5,1)="A",H1599,IF(CE1599=1,CF1599,IF(LEFT(Cockpit!$I$5,1)="B",AT1599,MAX(AT1599,H1599))))</f>
        <v>20</v>
      </c>
      <c r="AP1599" s="50" t="n">
        <f aca="false">IF(BW1599=1,0,ROUNDUP(AO1599/BV1599,0))</f>
        <v>1</v>
      </c>
      <c r="AQ1599" s="52" t="n">
        <f aca="false">IF(CL1599&gt;0,CL1599*MAX(1,AO1599/X1599),IF(BW1599=1,IF(AO1599&lt;=0,0,CA1599*MAX(1,IF(H1599&gt;0,AO1599/H1599,1))),IF(R1599&gt;0,AP1599/R1599,0))/MAX(0.1,N(Parameter!$M$21)))</f>
        <v>0.0384615384615385</v>
      </c>
      <c r="AR1599" s="50" t="n">
        <f aca="false">AQ1599*BY1599</f>
        <v>5.96153846153846</v>
      </c>
      <c r="AS1599" s="50" t="n">
        <f aca="false">AO1599*G1599</f>
        <v>7947.6</v>
      </c>
      <c r="AT1599" s="50" t="n">
        <f aca="false">ROUNDUP(MAX(J1599/IF(CD1599&gt;0,CD1599,MAX(0.1,N(Cockpit!$I$6))),CG1599)/BV1599,0)*BV1599</f>
        <v>20</v>
      </c>
      <c r="AU1599" s="51" t="n">
        <f aca="false">IF(AR1599&gt;0,J1599/AR1599,-1)</f>
        <v>0</v>
      </c>
      <c r="AV1599" s="51" t="n">
        <f aca="false">IF(AND(OR(CC1599="L1",CC1599="L23",CC1599="LIFT"),AR1599&gt;0),SUMIFS($AR$7:$AR$1843,$CC$7:$CC$1843,CC1599,$AU$7:$AU$1843,"&gt;"&amp;AU1599)+SUMIFS($AR$7:$AR$1843,$CC$7:$CC$1843,CC1599,$AU$7:$AU$1843,AU1599,$BT$7:$BT$1843,"&lt;="&amp;BT1599),"")</f>
        <v>43001.7826048716</v>
      </c>
      <c r="AW1599" s="58" t="n">
        <f aca="false">IF(AV1599="",0,MAX(0,MIN(1,(IF(CC1599="L1",Parameter!$H$5,IF(CC1599="L23",Parameter!$H$6+Parameter!$H$7,Parameter!$H$5+Parameter!$H$6+Parameter!$H$7))-(AV1599-AR1599))/AR1599)))</f>
        <v>0</v>
      </c>
      <c r="AX1599" s="50" t="n">
        <f aca="false">IF(LEFT(Cockpit!$O$5,1)="A",H1599,IF(CE1599=1,CF1599,IF(LEFT(Cockpit!$O$5,1)="B",BC1599,MAX(BC1599,H1599))))</f>
        <v>20</v>
      </c>
      <c r="AY1599" s="50" t="n">
        <f aca="false">IF(BW1599=1,0,ROUNDUP(AX1599/BV1599,0))</f>
        <v>1</v>
      </c>
      <c r="AZ1599" s="52" t="n">
        <f aca="false">IF(CL1599&gt;0,CL1599*MAX(1,AX1599/X1599),IF(BW1599=1,IF(AX1599&lt;=0,0,CA1599*MAX(1,IF(H1599&gt;0,AX1599/H1599,1))),IF(R1599&gt;0,AY1599/R1599,0))/MAX(0.1,N(Parameter!$M$21)))</f>
        <v>0.0384615384615385</v>
      </c>
      <c r="BA1599" s="50" t="n">
        <f aca="false">AZ1599*BY1599</f>
        <v>5.96153846153846</v>
      </c>
      <c r="BB1599" s="50" t="n">
        <f aca="false">AX1599*G1599</f>
        <v>7947.6</v>
      </c>
      <c r="BC1599" s="50" t="n">
        <f aca="false">ROUNDUP(MAX(J1599/IF(CD1599&gt;0,CD1599,MAX(0.1,N(Cockpit!$O$6))),CG1599)/BV1599,0)*BV1599</f>
        <v>20</v>
      </c>
      <c r="BD1599" s="51" t="n">
        <f aca="false">IF(BA1599&gt;0,J1599/BA1599,-1)</f>
        <v>0</v>
      </c>
      <c r="BE1599" s="51" t="n">
        <f aca="false">IF(AND(OR(CC1599="L1",CC1599="L23",CC1599="LIFT"),BA1599&gt;0),SUMIFS($BA$7:$BA$1843,$CC$7:$CC$1843,CC1599,$BD$7:$BD$1843,"&gt;"&amp;BD1599)+SUMIFS($BA$7:$BA$1843,$CC$7:$CC$1843,CC1599,$BD$7:$BD$1843,BD1599,$BT$7:$BT$1843,"&lt;="&amp;BT1599),"")</f>
        <v>39676.7946467375</v>
      </c>
      <c r="BF1599" s="58" t="n">
        <f aca="false">IF(BE1599="",0,MAX(0,MIN(1,(IF(CC1599="L1",Parameter!$H$5,IF(CC1599="L23",Parameter!$H$6+Parameter!$H$7,Parameter!$H$5+Parameter!$H$6+Parameter!$H$7))-(BE1599-BA1599))/BA1599)))</f>
        <v>0</v>
      </c>
      <c r="BG1599" s="48" t="str">
        <f aca="false">IF(AI1599&lt;=0,"",IF(CC1599="Aussen","Aussenlager",IF(CC1599="-","Nicht im Lift",IF(AN1599&gt;=1,"Lift",IF(AN1599&lt;=0,"Aussenlager","teilweise")))))</f>
        <v>Lift</v>
      </c>
      <c r="BH1599" s="48" t="str">
        <f aca="false">IF(AR1599&lt;=0,"",IF(CC1599="Aussen","Aussenlager",IF(CC1599="-","Nicht im Lift",IF(AW1599&gt;=1,"Lift",IF(AW1599&lt;=0,"Aussenlager","teilweise")))))</f>
        <v>Aussenlager</v>
      </c>
      <c r="BI1599" s="48" t="str">
        <f aca="false">IF(BA1599&lt;=0,"",IF(CC1599="Aussen","Aussenlager",IF(CC1599="-","Nicht im Lift",IF(BF1599&gt;=1,"Lift",IF(BF1599&lt;=0,"Aussenlager","teilweise")))))</f>
        <v>Aussenlager</v>
      </c>
      <c r="BJ1599" s="48" t="str">
        <f aca="false">IF(A1599="","",IF(BS1599=1,"Neu; ","")&amp;IF(AND(BS1599=0,BN1599&lt;0),"negativer Bestand (Export "&amp;BN1599&amp;"); ","")&amp;IF(J1599&lt;=0,"Kein Verbrauch; ","")&amp;IF(CL1599&gt;0,"Lift "&amp;W1599&amp;" lt. Liftbericht (Fach "&amp;X1599&amp;" Stk); ",IF(BX1599=1,"Gebinde geschätzt ("&amp;T1599&amp;"); ",IF(BW1599=1,"Lose – Tablare geschätzt; ","")))&amp;IF(H1599&gt;AT1599,"Überbestand "&amp;ROUND(H1599-AT1599,0)&amp;" Stk / CHF "&amp;ROUND((H1599-AT1599)*G1599,0)&amp;"; ","")&amp;IF(AND(CE1599=1,CF1599&lt;CG1599),"MAX &lt; MB+LG; ","")&amp;IF(AND(CK1599&gt;0,CJ1599*10&gt;CK1599),"zu hoch für Tablar; ","")&amp;IF(AND(BS1599=0,OR(CE1599=1,AA1599&lt;&gt;"",U1599&lt;&gt;"",V1599&lt;&gt;"",AB1599&lt;&gt;"")),"manuell übersteuert; ","")&amp;IF(AND(BW1599=0,R1599=0),"Gebinde unbekannt / Stellmass fehlt; ","")&amp;IF(AND(BW1599=0,N(V1599)&lt;=0,N(Q1599)&lt;=0),"Menge pro Gebinde fehlt (Ist = 1 Gebinde); ","")&amp;BR1599)</f>
        <v>Kein Verbrauch; Gebinde geschätzt (Klein); Menge pro Gebinde fehlt (Ist = 1 Gebinde); nur im Artikelstamm (Bestand 23.06.2026)</v>
      </c>
      <c r="BK1599" s="48"/>
      <c r="BL1599" s="48"/>
      <c r="BM1599" s="55"/>
      <c r="BN1599" s="50" t="n">
        <v>2</v>
      </c>
      <c r="BO1599" s="50" t="n">
        <v>0</v>
      </c>
      <c r="BP1599" s="49" t="n">
        <v>0</v>
      </c>
      <c r="BQ1599" s="50" t="n">
        <v>0</v>
      </c>
      <c r="BR1599" s="48" t="s">
        <v>2579</v>
      </c>
      <c r="BS1599" s="53" t="n">
        <v>0</v>
      </c>
      <c r="BT1599" s="53" t="n">
        <v>1599</v>
      </c>
      <c r="BU1599" s="48" t="str">
        <f aca="false">IF(U1599&lt;&gt;"",UPPER(TRIM(U1599)),IF(BX1599=1,UPPER(VLOOKUP(T1599,Parameter!$I$27:$K$29,2,0)),IF(P1599="","LOSE",P1599)))</f>
        <v>S51</v>
      </c>
      <c r="BV1599" s="50" t="n">
        <f aca="false">IF(BU1599="LOSE",1,IF(N(V1599)&gt;0,V1599,IF(BX1599=1,MAX(1,N(VLOOKUP(T1599,Parameter!$I$27:$K$29,3,0)),H1599,N(N1599)),IF(N(Q1599)&gt;0,Q1599,MAX(1,H1599)))))</f>
        <v>20</v>
      </c>
      <c r="BW1599" s="53" t="n">
        <f aca="false">IF(BU1599="LOSE",1,0)</f>
        <v>0</v>
      </c>
      <c r="BX1599" s="53" t="n">
        <f aca="false">IF(AND(U1599="",OR(P1599="",P1599="LOSE"),T1599&lt;&gt;"",N(S1599)&lt;=0,ISNUMBER(MATCH(T1599,Parameter!$I$27:$I$29,0))),1,0)</f>
        <v>1</v>
      </c>
      <c r="BY1599" s="53" t="n">
        <f aca="false">IF(CL1599&gt;0,INDEX(Parameter!$H$5:$H$7,W1599)/INDEX(Parameter!$E$5:$E$7,W1599),IF(AND(BW1599=0,N(IFERROR(VLOOKUP(BU1599,'Gebinde-Kategorie'!$A$5:$N$45,14,0),0))&gt;0),VLOOKUP(BU1599,'Gebinde-Kategorie'!$A$5:$N$45,14,0)*10+Parameter!$M$23,Parameter!$M$24))</f>
        <v>155</v>
      </c>
      <c r="BZ1599" s="48" t="str">
        <f aca="false">IF(AND(Parameter!$B$19="Ja",E1599&lt;&gt;"",ISNUMBER(MATCH(E1599,Parameter!$I$35:$I$52,0))),VLOOKUP(E1599,Parameter!$I$35:$J$52,2,0),IFERROR(VLOOKUP(D1599,Parameter!$A$35:$C$64,2,0),"Nein"))</f>
        <v>2+3</v>
      </c>
      <c r="CA1599" s="52" t="n">
        <f aca="false">IF(BW1599=0,0,IF(N(S1599)&gt;0,S1599,IFERROR(VLOOKUP(D1599,Parameter!$A$35:$C$64,3,0)+0,0)))</f>
        <v>0</v>
      </c>
      <c r="CB1599" s="48" t="n">
        <f aca="false">IF(AA1599&lt;&gt;"",AA1599,Z1599)</f>
        <v>3</v>
      </c>
      <c r="CC1599" s="48" t="str">
        <f aca="false">IF(OR(CB1599=1,CB1599=2,CB1599=3),IF(Parameter!$E$27="Ja","LIFT",IF(CB1599=1,"L1","L23")),IF(CB1599="Aussen","Aussen","-"))</f>
        <v>LIFT</v>
      </c>
      <c r="CD1599" s="59" t="n">
        <f aca="false">IF(N(AB1599)&gt;0,AB1599,0)</f>
        <v>0</v>
      </c>
      <c r="CE1599" s="53" t="n">
        <f aca="false">IF(ISNUMBER(AE1599),1,0)</f>
        <v>0</v>
      </c>
      <c r="CF1599" s="50" t="n">
        <f aca="false">N(AE1599)</f>
        <v>0</v>
      </c>
      <c r="CG1599" s="50" t="n">
        <f aca="false">N(M1599)+N(N1599)</f>
        <v>1</v>
      </c>
      <c r="CH1599" s="50" t="n">
        <f aca="false">ROUNDUP(H1599/BV1599,0)</f>
        <v>1</v>
      </c>
      <c r="CI1599" s="50" t="n">
        <f aca="false">ROUNDUP(CF1599/BV1599,0)</f>
        <v>0</v>
      </c>
      <c r="CJ1599" s="53" t="n">
        <f aca="false">IF(BW1599=1,0,IFERROR(VLOOKUP(BU1599,'Gebinde-Kategorie'!$A$5:$N$45,5,0)+0,0))</f>
        <v>11</v>
      </c>
      <c r="CK1599" s="53" t="n">
        <f aca="false">IFERROR(IF(OR(CB1599=1,CB1599=2,CB1599=3),N(INDEX(Parameter!$I$5:$I$7,CB1599)),0),0)</f>
        <v>0</v>
      </c>
      <c r="CL1599" s="52" t="n">
        <f aca="false">IF(AND(Parameter!$B$21="Ja",ISNUMBER(W1599),N(X1599)&gt;0),IFERROR(N(INDEX(Parameter!$L$5:$L$7,W1599))*INDEX(Parameter!$E$5:$E$7,W1599)*X1599/SUMIFS($X$7:$X$1843,$W$7:$W$1843,W1599),0),0)</f>
        <v>0</v>
      </c>
    </row>
    <row r="1600" customFormat="false" ht="15" hidden="false" customHeight="false" outlineLevel="0" collapsed="false">
      <c r="A1600" s="48" t="s">
        <v>2793</v>
      </c>
      <c r="B1600" s="48" t="s">
        <v>2794</v>
      </c>
      <c r="C1600" s="48" t="s">
        <v>168</v>
      </c>
      <c r="D1600" s="48" t="s">
        <v>188</v>
      </c>
      <c r="E1600" s="48"/>
      <c r="F1600" s="48"/>
      <c r="G1600" s="49" t="n">
        <v>356.21</v>
      </c>
      <c r="H1600" s="50" t="n">
        <f aca="false">MAX(0,IF(AND(Parameter!$B$21="Ja",ISNUMBER(Y1600)),Y1600,IF(Parameter!$B$20="Jahresanfang 2025 + Export",BO1600+BN1600,BN1600)))</f>
        <v>2</v>
      </c>
      <c r="I1600" s="50" t="n">
        <f aca="false">H1600*G1600</f>
        <v>712.42</v>
      </c>
      <c r="J1600" s="50" t="n">
        <f aca="false">BQ1600*Parameter!$B$18</f>
        <v>0</v>
      </c>
      <c r="K1600" s="51"/>
      <c r="L1600" s="52"/>
      <c r="M1600" s="50" t="n">
        <v>0</v>
      </c>
      <c r="N1600" s="50" t="n">
        <v>1</v>
      </c>
      <c r="O1600" s="53" t="n">
        <v>35</v>
      </c>
      <c r="P1600" s="48" t="s">
        <v>172</v>
      </c>
      <c r="Q1600" s="50"/>
      <c r="R1600" s="53" t="n">
        <f aca="false">IF(BW1600=1,0,IFERROR(VLOOKUP(BU1600,'Gebinde-Kategorie'!$A$5:$N$45,13,0)+0,0))</f>
        <v>26</v>
      </c>
      <c r="S1600" s="54"/>
      <c r="T1600" s="55" t="s">
        <v>279</v>
      </c>
      <c r="U1600" s="55"/>
      <c r="V1600" s="55"/>
      <c r="W1600" s="48"/>
      <c r="X1600" s="50"/>
      <c r="Y1600" s="50"/>
      <c r="Z1600" s="48" t="n">
        <f aca="false">IF(A1600="","",IF(AND(Parameter!$B$21="Ja",ISNUMBER(W1600)),W1600,IF(BZ1600="2+3",IF(ISNUMBER(SEARCH("grosser Artikel",BR1600)),2,IFERROR(VLOOKUP(BU1600,Parameter!$F$35:$G$64,2,0),2)),IF(OR(BZ1600="Nein",BZ1600=""),"-",BZ1600))))</f>
        <v>3</v>
      </c>
      <c r="AA1600" s="55"/>
      <c r="AB1600" s="56"/>
      <c r="AC1600" s="50" t="n">
        <f aca="false">AT1600</f>
        <v>20</v>
      </c>
      <c r="AD1600" s="50" t="n">
        <f aca="false">MAX(AT1600,H1600)</f>
        <v>20</v>
      </c>
      <c r="AE1600" s="57"/>
      <c r="AF1600" s="50" t="n">
        <f aca="false">IF(LEFT(Cockpit!$C$5,1)="A",H1600,IF(CE1600=1,CF1600,IF(LEFT(Cockpit!$C$5,1)="B",AK1600,MAX(AK1600,H1600))))</f>
        <v>2</v>
      </c>
      <c r="AG1600" s="50" t="n">
        <f aca="false">IF(BW1600=1,0,ROUNDUP(AF1600/BV1600,0))</f>
        <v>1</v>
      </c>
      <c r="AH1600" s="52" t="n">
        <f aca="false">IF(CL1600&gt;0,CL1600*MAX(1,AF1600/X1600),IF(BW1600=1,IF(AF1600&lt;=0,0,CA1600*MAX(1,IF(H1600&gt;0,AF1600/H1600,1))),IF(R1600&gt;0,AG1600/R1600,0))/MAX(0.1,N(Parameter!$M$21)))</f>
        <v>0.0384615384615385</v>
      </c>
      <c r="AI1600" s="50" t="n">
        <f aca="false">AH1600*BY1600</f>
        <v>5.96153846153846</v>
      </c>
      <c r="AJ1600" s="50" t="n">
        <f aca="false">AF1600*G1600</f>
        <v>712.42</v>
      </c>
      <c r="AK1600" s="50" t="n">
        <f aca="false">ROUNDUP(MAX(J1600/IF(CD1600&gt;0,CD1600,MAX(0.1,N(Cockpit!$C$6))),CG1600)/BV1600,0)*BV1600</f>
        <v>20</v>
      </c>
      <c r="AL1600" s="51" t="n">
        <f aca="false">IF(AI1600&gt;0,J1600/AI1600,-1)</f>
        <v>0</v>
      </c>
      <c r="AM1600" s="51" t="n">
        <f aca="false">IF(AND(OR(CC1600="L1",CC1600="L23",CC1600="LIFT"),AI1600&gt;0),SUMIFS($AI$7:$AI$1843,$CC$7:$CC$1843,CC1600,$AL$7:$AL$1843,"&gt;"&amp;AL1600)+SUMIFS($AI$7:$AI$1843,$CC$7:$CC$1843,CC1600,$AL$7:$AL$1843,AL1600,$BT$7:$BT$1843,"&lt;="&amp;BT1600),"")</f>
        <v>30645.8418311914</v>
      </c>
      <c r="AN1600" s="58" t="n">
        <f aca="false">IF(AM1600="",0,MAX(0,MIN(1,(IF(CC1600="L1",Parameter!$H$5,IF(CC1600="L23",Parameter!$H$6+Parameter!$H$7,Parameter!$H$5+Parameter!$H$6+Parameter!$H$7))-(AM1600-AI1600))/AI1600)))</f>
        <v>1</v>
      </c>
      <c r="AO1600" s="50" t="n">
        <f aca="false">IF(LEFT(Cockpit!$I$5,1)="A",H1600,IF(CE1600=1,CF1600,IF(LEFT(Cockpit!$I$5,1)="B",AT1600,MAX(AT1600,H1600))))</f>
        <v>20</v>
      </c>
      <c r="AP1600" s="50" t="n">
        <f aca="false">IF(BW1600=1,0,ROUNDUP(AO1600/BV1600,0))</f>
        <v>1</v>
      </c>
      <c r="AQ1600" s="52" t="n">
        <f aca="false">IF(CL1600&gt;0,CL1600*MAX(1,AO1600/X1600),IF(BW1600=1,IF(AO1600&lt;=0,0,CA1600*MAX(1,IF(H1600&gt;0,AO1600/H1600,1))),IF(R1600&gt;0,AP1600/R1600,0))/MAX(0.1,N(Parameter!$M$21)))</f>
        <v>0.0384615384615385</v>
      </c>
      <c r="AR1600" s="50" t="n">
        <f aca="false">AQ1600*BY1600</f>
        <v>5.96153846153846</v>
      </c>
      <c r="AS1600" s="50" t="n">
        <f aca="false">AO1600*G1600</f>
        <v>7124.2</v>
      </c>
      <c r="AT1600" s="50" t="n">
        <f aca="false">ROUNDUP(MAX(J1600/IF(CD1600&gt;0,CD1600,MAX(0.1,N(Cockpit!$I$6))),CG1600)/BV1600,0)*BV1600</f>
        <v>20</v>
      </c>
      <c r="AU1600" s="51" t="n">
        <f aca="false">IF(AR1600&gt;0,J1600/AR1600,-1)</f>
        <v>0</v>
      </c>
      <c r="AV1600" s="51" t="n">
        <f aca="false">IF(AND(OR(CC1600="L1",CC1600="L23",CC1600="LIFT"),AR1600&gt;0),SUMIFS($AR$7:$AR$1843,$CC$7:$CC$1843,CC1600,$AU$7:$AU$1843,"&gt;"&amp;AU1600)+SUMIFS($AR$7:$AR$1843,$CC$7:$CC$1843,CC1600,$AU$7:$AU$1843,AU1600,$BT$7:$BT$1843,"&lt;="&amp;BT1600),"")</f>
        <v>43007.7441433331</v>
      </c>
      <c r="AW1600" s="58" t="n">
        <f aca="false">IF(AV1600="",0,MAX(0,MIN(1,(IF(CC1600="L1",Parameter!$H$5,IF(CC1600="L23",Parameter!$H$6+Parameter!$H$7,Parameter!$H$5+Parameter!$H$6+Parameter!$H$7))-(AV1600-AR1600))/AR1600)))</f>
        <v>0</v>
      </c>
      <c r="AX1600" s="50" t="n">
        <f aca="false">IF(LEFT(Cockpit!$O$5,1)="A",H1600,IF(CE1600=1,CF1600,IF(LEFT(Cockpit!$O$5,1)="B",BC1600,MAX(BC1600,H1600))))</f>
        <v>20</v>
      </c>
      <c r="AY1600" s="50" t="n">
        <f aca="false">IF(BW1600=1,0,ROUNDUP(AX1600/BV1600,0))</f>
        <v>1</v>
      </c>
      <c r="AZ1600" s="52" t="n">
        <f aca="false">IF(CL1600&gt;0,CL1600*MAX(1,AX1600/X1600),IF(BW1600=1,IF(AX1600&lt;=0,0,CA1600*MAX(1,IF(H1600&gt;0,AX1600/H1600,1))),IF(R1600&gt;0,AY1600/R1600,0))/MAX(0.1,N(Parameter!$M$21)))</f>
        <v>0.0384615384615385</v>
      </c>
      <c r="BA1600" s="50" t="n">
        <f aca="false">AZ1600*BY1600</f>
        <v>5.96153846153846</v>
      </c>
      <c r="BB1600" s="50" t="n">
        <f aca="false">AX1600*G1600</f>
        <v>7124.2</v>
      </c>
      <c r="BC1600" s="50" t="n">
        <f aca="false">ROUNDUP(MAX(J1600/IF(CD1600&gt;0,CD1600,MAX(0.1,N(Cockpit!$O$6))),CG1600)/BV1600,0)*BV1600</f>
        <v>20</v>
      </c>
      <c r="BD1600" s="51" t="n">
        <f aca="false">IF(BA1600&gt;0,J1600/BA1600,-1)</f>
        <v>0</v>
      </c>
      <c r="BE1600" s="51" t="n">
        <f aca="false">IF(AND(OR(CC1600="L1",CC1600="L23",CC1600="LIFT"),BA1600&gt;0),SUMIFS($BA$7:$BA$1843,$CC$7:$CC$1843,CC1600,$BD$7:$BD$1843,"&gt;"&amp;BD1600)+SUMIFS($BA$7:$BA$1843,$CC$7:$CC$1843,CC1600,$BD$7:$BD$1843,BD1600,$BT$7:$BT$1843,"&lt;="&amp;BT1600),"")</f>
        <v>39682.756185199</v>
      </c>
      <c r="BF1600" s="58" t="n">
        <f aca="false">IF(BE1600="",0,MAX(0,MIN(1,(IF(CC1600="L1",Parameter!$H$5,IF(CC1600="L23",Parameter!$H$6+Parameter!$H$7,Parameter!$H$5+Parameter!$H$6+Parameter!$H$7))-(BE1600-BA1600))/BA1600)))</f>
        <v>0</v>
      </c>
      <c r="BG1600" s="48" t="str">
        <f aca="false">IF(AI1600&lt;=0,"",IF(CC1600="Aussen","Aussenlager",IF(CC1600="-","Nicht im Lift",IF(AN1600&gt;=1,"Lift",IF(AN1600&lt;=0,"Aussenlager","teilweise")))))</f>
        <v>Lift</v>
      </c>
      <c r="BH1600" s="48" t="str">
        <f aca="false">IF(AR1600&lt;=0,"",IF(CC1600="Aussen","Aussenlager",IF(CC1600="-","Nicht im Lift",IF(AW1600&gt;=1,"Lift",IF(AW1600&lt;=0,"Aussenlager","teilweise")))))</f>
        <v>Aussenlager</v>
      </c>
      <c r="BI1600" s="48" t="str">
        <f aca="false">IF(BA1600&lt;=0,"",IF(CC1600="Aussen","Aussenlager",IF(CC1600="-","Nicht im Lift",IF(BF1600&gt;=1,"Lift",IF(BF1600&lt;=0,"Aussenlager","teilweise")))))</f>
        <v>Aussenlager</v>
      </c>
      <c r="BJ1600" s="48" t="str">
        <f aca="false">IF(A1600="","",IF(BS1600=1,"Neu; ","")&amp;IF(AND(BS1600=0,BN1600&lt;0),"negativer Bestand (Export "&amp;BN1600&amp;"); ","")&amp;IF(J1600&lt;=0,"Kein Verbrauch; ","")&amp;IF(CL1600&gt;0,"Lift "&amp;W1600&amp;" lt. Liftbericht (Fach "&amp;X1600&amp;" Stk); ",IF(BX1600=1,"Gebinde geschätzt ("&amp;T1600&amp;"); ",IF(BW1600=1,"Lose – Tablare geschätzt; ","")))&amp;IF(H1600&gt;AT1600,"Überbestand "&amp;ROUND(H1600-AT1600,0)&amp;" Stk / CHF "&amp;ROUND((H1600-AT1600)*G1600,0)&amp;"; ","")&amp;IF(AND(CE1600=1,CF1600&lt;CG1600),"MAX &lt; MB+LG; ","")&amp;IF(AND(CK1600&gt;0,CJ1600*10&gt;CK1600),"zu hoch für Tablar; ","")&amp;IF(AND(BS1600=0,OR(CE1600=1,AA1600&lt;&gt;"",U1600&lt;&gt;"",V1600&lt;&gt;"",AB1600&lt;&gt;"")),"manuell übersteuert; ","")&amp;IF(AND(BW1600=0,R1600=0),"Gebinde unbekannt / Stellmass fehlt; ","")&amp;IF(AND(BW1600=0,N(V1600)&lt;=0,N(Q1600)&lt;=0),"Menge pro Gebinde fehlt (Ist = 1 Gebinde); ","")&amp;BR1600)</f>
        <v>Kein Verbrauch; Gebinde geschätzt (Klein); Menge pro Gebinde fehlt (Ist = 1 Gebinde); nur im Artikelstamm (Bestand 23.06.2026)</v>
      </c>
      <c r="BK1600" s="48"/>
      <c r="BL1600" s="48"/>
      <c r="BM1600" s="55"/>
      <c r="BN1600" s="50" t="n">
        <v>2</v>
      </c>
      <c r="BO1600" s="50" t="n">
        <v>0</v>
      </c>
      <c r="BP1600" s="49" t="n">
        <v>0</v>
      </c>
      <c r="BQ1600" s="50" t="n">
        <v>0</v>
      </c>
      <c r="BR1600" s="48" t="s">
        <v>2579</v>
      </c>
      <c r="BS1600" s="53" t="n">
        <v>0</v>
      </c>
      <c r="BT1600" s="53" t="n">
        <v>1600</v>
      </c>
      <c r="BU1600" s="48" t="str">
        <f aca="false">IF(U1600&lt;&gt;"",UPPER(TRIM(U1600)),IF(BX1600=1,UPPER(VLOOKUP(T1600,Parameter!$I$27:$K$29,2,0)),IF(P1600="","LOSE",P1600)))</f>
        <v>S51</v>
      </c>
      <c r="BV1600" s="50" t="n">
        <f aca="false">IF(BU1600="LOSE",1,IF(N(V1600)&gt;0,V1600,IF(BX1600=1,MAX(1,N(VLOOKUP(T1600,Parameter!$I$27:$K$29,3,0)),H1600,N(N1600)),IF(N(Q1600)&gt;0,Q1600,MAX(1,H1600)))))</f>
        <v>20</v>
      </c>
      <c r="BW1600" s="53" t="n">
        <f aca="false">IF(BU1600="LOSE",1,0)</f>
        <v>0</v>
      </c>
      <c r="BX1600" s="53" t="n">
        <f aca="false">IF(AND(U1600="",OR(P1600="",P1600="LOSE"),T1600&lt;&gt;"",N(S1600)&lt;=0,ISNUMBER(MATCH(T1600,Parameter!$I$27:$I$29,0))),1,0)</f>
        <v>1</v>
      </c>
      <c r="BY1600" s="53" t="n">
        <f aca="false">IF(CL1600&gt;0,INDEX(Parameter!$H$5:$H$7,W1600)/INDEX(Parameter!$E$5:$E$7,W1600),IF(AND(BW1600=0,N(IFERROR(VLOOKUP(BU1600,'Gebinde-Kategorie'!$A$5:$N$45,14,0),0))&gt;0),VLOOKUP(BU1600,'Gebinde-Kategorie'!$A$5:$N$45,14,0)*10+Parameter!$M$23,Parameter!$M$24))</f>
        <v>155</v>
      </c>
      <c r="BZ1600" s="48" t="str">
        <f aca="false">IF(AND(Parameter!$B$19="Ja",E1600&lt;&gt;"",ISNUMBER(MATCH(E1600,Parameter!$I$35:$I$52,0))),VLOOKUP(E1600,Parameter!$I$35:$J$52,2,0),IFERROR(VLOOKUP(D1600,Parameter!$A$35:$C$64,2,0),"Nein"))</f>
        <v>2+3</v>
      </c>
      <c r="CA1600" s="52" t="n">
        <f aca="false">IF(BW1600=0,0,IF(N(S1600)&gt;0,S1600,IFERROR(VLOOKUP(D1600,Parameter!$A$35:$C$64,3,0)+0,0)))</f>
        <v>0</v>
      </c>
      <c r="CB1600" s="48" t="n">
        <f aca="false">IF(AA1600&lt;&gt;"",AA1600,Z1600)</f>
        <v>3</v>
      </c>
      <c r="CC1600" s="48" t="str">
        <f aca="false">IF(OR(CB1600=1,CB1600=2,CB1600=3),IF(Parameter!$E$27="Ja","LIFT",IF(CB1600=1,"L1","L23")),IF(CB1600="Aussen","Aussen","-"))</f>
        <v>LIFT</v>
      </c>
      <c r="CD1600" s="59" t="n">
        <f aca="false">IF(N(AB1600)&gt;0,AB1600,0)</f>
        <v>0</v>
      </c>
      <c r="CE1600" s="53" t="n">
        <f aca="false">IF(ISNUMBER(AE1600),1,0)</f>
        <v>0</v>
      </c>
      <c r="CF1600" s="50" t="n">
        <f aca="false">N(AE1600)</f>
        <v>0</v>
      </c>
      <c r="CG1600" s="50" t="n">
        <f aca="false">N(M1600)+N(N1600)</f>
        <v>1</v>
      </c>
      <c r="CH1600" s="50" t="n">
        <f aca="false">ROUNDUP(H1600/BV1600,0)</f>
        <v>1</v>
      </c>
      <c r="CI1600" s="50" t="n">
        <f aca="false">ROUNDUP(CF1600/BV1600,0)</f>
        <v>0</v>
      </c>
      <c r="CJ1600" s="53" t="n">
        <f aca="false">IF(BW1600=1,0,IFERROR(VLOOKUP(BU1600,'Gebinde-Kategorie'!$A$5:$N$45,5,0)+0,0))</f>
        <v>11</v>
      </c>
      <c r="CK1600" s="53" t="n">
        <f aca="false">IFERROR(IF(OR(CB1600=1,CB1600=2,CB1600=3),N(INDEX(Parameter!$I$5:$I$7,CB1600)),0),0)</f>
        <v>0</v>
      </c>
      <c r="CL1600" s="52" t="n">
        <f aca="false">IF(AND(Parameter!$B$21="Ja",ISNUMBER(W1600),N(X1600)&gt;0),IFERROR(N(INDEX(Parameter!$L$5:$L$7,W1600))*INDEX(Parameter!$E$5:$E$7,W1600)*X1600/SUMIFS($X$7:$X$1843,$W$7:$W$1843,W1600),0),0)</f>
        <v>0</v>
      </c>
    </row>
    <row r="1601" customFormat="false" ht="15" hidden="false" customHeight="false" outlineLevel="0" collapsed="false">
      <c r="A1601" s="48" t="s">
        <v>2795</v>
      </c>
      <c r="B1601" s="48" t="s">
        <v>2794</v>
      </c>
      <c r="C1601" s="48" t="s">
        <v>168</v>
      </c>
      <c r="D1601" s="48" t="s">
        <v>188</v>
      </c>
      <c r="E1601" s="48"/>
      <c r="F1601" s="48"/>
      <c r="G1601" s="49" t="n">
        <v>556.97</v>
      </c>
      <c r="H1601" s="50" t="n">
        <f aca="false">MAX(0,IF(AND(Parameter!$B$21="Ja",ISNUMBER(Y1601)),Y1601,IF(Parameter!$B$20="Jahresanfang 2025 + Export",BO1601+BN1601,BN1601)))</f>
        <v>2</v>
      </c>
      <c r="I1601" s="50" t="n">
        <f aca="false">H1601*G1601</f>
        <v>1113.94</v>
      </c>
      <c r="J1601" s="50" t="n">
        <f aca="false">BQ1601*Parameter!$B$18</f>
        <v>0</v>
      </c>
      <c r="K1601" s="51"/>
      <c r="L1601" s="52"/>
      <c r="M1601" s="50" t="n">
        <v>0</v>
      </c>
      <c r="N1601" s="50" t="n">
        <v>1</v>
      </c>
      <c r="O1601" s="53" t="n">
        <v>35</v>
      </c>
      <c r="P1601" s="48" t="s">
        <v>172</v>
      </c>
      <c r="Q1601" s="50"/>
      <c r="R1601" s="53" t="n">
        <f aca="false">IF(BW1601=1,0,IFERROR(VLOOKUP(BU1601,'Gebinde-Kategorie'!$A$5:$N$45,13,0)+0,0))</f>
        <v>26</v>
      </c>
      <c r="S1601" s="54"/>
      <c r="T1601" s="55" t="s">
        <v>279</v>
      </c>
      <c r="U1601" s="55"/>
      <c r="V1601" s="55"/>
      <c r="W1601" s="48"/>
      <c r="X1601" s="50"/>
      <c r="Y1601" s="50"/>
      <c r="Z1601" s="48" t="n">
        <f aca="false">IF(A1601="","",IF(AND(Parameter!$B$21="Ja",ISNUMBER(W1601)),W1601,IF(BZ1601="2+3",IF(ISNUMBER(SEARCH("grosser Artikel",BR1601)),2,IFERROR(VLOOKUP(BU1601,Parameter!$F$35:$G$64,2,0),2)),IF(OR(BZ1601="Nein",BZ1601=""),"-",BZ1601))))</f>
        <v>3</v>
      </c>
      <c r="AA1601" s="55"/>
      <c r="AB1601" s="56"/>
      <c r="AC1601" s="50" t="n">
        <f aca="false">AT1601</f>
        <v>20</v>
      </c>
      <c r="AD1601" s="50" t="n">
        <f aca="false">MAX(AT1601,H1601)</f>
        <v>20</v>
      </c>
      <c r="AE1601" s="57"/>
      <c r="AF1601" s="50" t="n">
        <f aca="false">IF(LEFT(Cockpit!$C$5,1)="A",H1601,IF(CE1601=1,CF1601,IF(LEFT(Cockpit!$C$5,1)="B",AK1601,MAX(AK1601,H1601))))</f>
        <v>2</v>
      </c>
      <c r="AG1601" s="50" t="n">
        <f aca="false">IF(BW1601=1,0,ROUNDUP(AF1601/BV1601,0))</f>
        <v>1</v>
      </c>
      <c r="AH1601" s="52" t="n">
        <f aca="false">IF(CL1601&gt;0,CL1601*MAX(1,AF1601/X1601),IF(BW1601=1,IF(AF1601&lt;=0,0,CA1601*MAX(1,IF(H1601&gt;0,AF1601/H1601,1))),IF(R1601&gt;0,AG1601/R1601,0))/MAX(0.1,N(Parameter!$M$21)))</f>
        <v>0.0384615384615385</v>
      </c>
      <c r="AI1601" s="50" t="n">
        <f aca="false">AH1601*BY1601</f>
        <v>5.96153846153846</v>
      </c>
      <c r="AJ1601" s="50" t="n">
        <f aca="false">AF1601*G1601</f>
        <v>1113.94</v>
      </c>
      <c r="AK1601" s="50" t="n">
        <f aca="false">ROUNDUP(MAX(J1601/IF(CD1601&gt;0,CD1601,MAX(0.1,N(Cockpit!$C$6))),CG1601)/BV1601,0)*BV1601</f>
        <v>20</v>
      </c>
      <c r="AL1601" s="51" t="n">
        <f aca="false">IF(AI1601&gt;0,J1601/AI1601,-1)</f>
        <v>0</v>
      </c>
      <c r="AM1601" s="51" t="n">
        <f aca="false">IF(AND(OR(CC1601="L1",CC1601="L23",CC1601="LIFT"),AI1601&gt;0),SUMIFS($AI$7:$AI$1843,$CC$7:$CC$1843,CC1601,$AL$7:$AL$1843,"&gt;"&amp;AL1601)+SUMIFS($AI$7:$AI$1843,$CC$7:$CC$1843,CC1601,$AL$7:$AL$1843,AL1601,$BT$7:$BT$1843,"&lt;="&amp;BT1601),"")</f>
        <v>30651.8033696529</v>
      </c>
      <c r="AN1601" s="58" t="n">
        <f aca="false">IF(AM1601="",0,MAX(0,MIN(1,(IF(CC1601="L1",Parameter!$H$5,IF(CC1601="L23",Parameter!$H$6+Parameter!$H$7,Parameter!$H$5+Parameter!$H$6+Parameter!$H$7))-(AM1601-AI1601))/AI1601)))</f>
        <v>1</v>
      </c>
      <c r="AO1601" s="50" t="n">
        <f aca="false">IF(LEFT(Cockpit!$I$5,1)="A",H1601,IF(CE1601=1,CF1601,IF(LEFT(Cockpit!$I$5,1)="B",AT1601,MAX(AT1601,H1601))))</f>
        <v>20</v>
      </c>
      <c r="AP1601" s="50" t="n">
        <f aca="false">IF(BW1601=1,0,ROUNDUP(AO1601/BV1601,0))</f>
        <v>1</v>
      </c>
      <c r="AQ1601" s="52" t="n">
        <f aca="false">IF(CL1601&gt;0,CL1601*MAX(1,AO1601/X1601),IF(BW1601=1,IF(AO1601&lt;=0,0,CA1601*MAX(1,IF(H1601&gt;0,AO1601/H1601,1))),IF(R1601&gt;0,AP1601/R1601,0))/MAX(0.1,N(Parameter!$M$21)))</f>
        <v>0.0384615384615385</v>
      </c>
      <c r="AR1601" s="50" t="n">
        <f aca="false">AQ1601*BY1601</f>
        <v>5.96153846153846</v>
      </c>
      <c r="AS1601" s="50" t="n">
        <f aca="false">AO1601*G1601</f>
        <v>11139.4</v>
      </c>
      <c r="AT1601" s="50" t="n">
        <f aca="false">ROUNDUP(MAX(J1601/IF(CD1601&gt;0,CD1601,MAX(0.1,N(Cockpit!$I$6))),CG1601)/BV1601,0)*BV1601</f>
        <v>20</v>
      </c>
      <c r="AU1601" s="51" t="n">
        <f aca="false">IF(AR1601&gt;0,J1601/AR1601,-1)</f>
        <v>0</v>
      </c>
      <c r="AV1601" s="51" t="n">
        <f aca="false">IF(AND(OR(CC1601="L1",CC1601="L23",CC1601="LIFT"),AR1601&gt;0),SUMIFS($AR$7:$AR$1843,$CC$7:$CC$1843,CC1601,$AU$7:$AU$1843,"&gt;"&amp;AU1601)+SUMIFS($AR$7:$AR$1843,$CC$7:$CC$1843,CC1601,$AU$7:$AU$1843,AU1601,$BT$7:$BT$1843,"&lt;="&amp;BT1601),"")</f>
        <v>43013.7056817947</v>
      </c>
      <c r="AW1601" s="58" t="n">
        <f aca="false">IF(AV1601="",0,MAX(0,MIN(1,(IF(CC1601="L1",Parameter!$H$5,IF(CC1601="L23",Parameter!$H$6+Parameter!$H$7,Parameter!$H$5+Parameter!$H$6+Parameter!$H$7))-(AV1601-AR1601))/AR1601)))</f>
        <v>0</v>
      </c>
      <c r="AX1601" s="50" t="n">
        <f aca="false">IF(LEFT(Cockpit!$O$5,1)="A",H1601,IF(CE1601=1,CF1601,IF(LEFT(Cockpit!$O$5,1)="B",BC1601,MAX(BC1601,H1601))))</f>
        <v>20</v>
      </c>
      <c r="AY1601" s="50" t="n">
        <f aca="false">IF(BW1601=1,0,ROUNDUP(AX1601/BV1601,0))</f>
        <v>1</v>
      </c>
      <c r="AZ1601" s="52" t="n">
        <f aca="false">IF(CL1601&gt;0,CL1601*MAX(1,AX1601/X1601),IF(BW1601=1,IF(AX1601&lt;=0,0,CA1601*MAX(1,IF(H1601&gt;0,AX1601/H1601,1))),IF(R1601&gt;0,AY1601/R1601,0))/MAX(0.1,N(Parameter!$M$21)))</f>
        <v>0.0384615384615385</v>
      </c>
      <c r="BA1601" s="50" t="n">
        <f aca="false">AZ1601*BY1601</f>
        <v>5.96153846153846</v>
      </c>
      <c r="BB1601" s="50" t="n">
        <f aca="false">AX1601*G1601</f>
        <v>11139.4</v>
      </c>
      <c r="BC1601" s="50" t="n">
        <f aca="false">ROUNDUP(MAX(J1601/IF(CD1601&gt;0,CD1601,MAX(0.1,N(Cockpit!$O$6))),CG1601)/BV1601,0)*BV1601</f>
        <v>20</v>
      </c>
      <c r="BD1601" s="51" t="n">
        <f aca="false">IF(BA1601&gt;0,J1601/BA1601,-1)</f>
        <v>0</v>
      </c>
      <c r="BE1601" s="51" t="n">
        <f aca="false">IF(AND(OR(CC1601="L1",CC1601="L23",CC1601="LIFT"),BA1601&gt;0),SUMIFS($BA$7:$BA$1843,$CC$7:$CC$1843,CC1601,$BD$7:$BD$1843,"&gt;"&amp;BD1601)+SUMIFS($BA$7:$BA$1843,$CC$7:$CC$1843,CC1601,$BD$7:$BD$1843,BD1601,$BT$7:$BT$1843,"&lt;="&amp;BT1601),"")</f>
        <v>39688.7177236605</v>
      </c>
      <c r="BF1601" s="58" t="n">
        <f aca="false">IF(BE1601="",0,MAX(0,MIN(1,(IF(CC1601="L1",Parameter!$H$5,IF(CC1601="L23",Parameter!$H$6+Parameter!$H$7,Parameter!$H$5+Parameter!$H$6+Parameter!$H$7))-(BE1601-BA1601))/BA1601)))</f>
        <v>0</v>
      </c>
      <c r="BG1601" s="48" t="str">
        <f aca="false">IF(AI1601&lt;=0,"",IF(CC1601="Aussen","Aussenlager",IF(CC1601="-","Nicht im Lift",IF(AN1601&gt;=1,"Lift",IF(AN1601&lt;=0,"Aussenlager","teilweise")))))</f>
        <v>Lift</v>
      </c>
      <c r="BH1601" s="48" t="str">
        <f aca="false">IF(AR1601&lt;=0,"",IF(CC1601="Aussen","Aussenlager",IF(CC1601="-","Nicht im Lift",IF(AW1601&gt;=1,"Lift",IF(AW1601&lt;=0,"Aussenlager","teilweise")))))</f>
        <v>Aussenlager</v>
      </c>
      <c r="BI1601" s="48" t="str">
        <f aca="false">IF(BA1601&lt;=0,"",IF(CC1601="Aussen","Aussenlager",IF(CC1601="-","Nicht im Lift",IF(BF1601&gt;=1,"Lift",IF(BF1601&lt;=0,"Aussenlager","teilweise")))))</f>
        <v>Aussenlager</v>
      </c>
      <c r="BJ1601" s="48" t="str">
        <f aca="false">IF(A1601="","",IF(BS1601=1,"Neu; ","")&amp;IF(AND(BS1601=0,BN1601&lt;0),"negativer Bestand (Export "&amp;BN1601&amp;"); ","")&amp;IF(J1601&lt;=0,"Kein Verbrauch; ","")&amp;IF(CL1601&gt;0,"Lift "&amp;W1601&amp;" lt. Liftbericht (Fach "&amp;X1601&amp;" Stk); ",IF(BX1601=1,"Gebinde geschätzt ("&amp;T1601&amp;"); ",IF(BW1601=1,"Lose – Tablare geschätzt; ","")))&amp;IF(H1601&gt;AT1601,"Überbestand "&amp;ROUND(H1601-AT1601,0)&amp;" Stk / CHF "&amp;ROUND((H1601-AT1601)*G1601,0)&amp;"; ","")&amp;IF(AND(CE1601=1,CF1601&lt;CG1601),"MAX &lt; MB+LG; ","")&amp;IF(AND(CK1601&gt;0,CJ1601*10&gt;CK1601),"zu hoch für Tablar; ","")&amp;IF(AND(BS1601=0,OR(CE1601=1,AA1601&lt;&gt;"",U1601&lt;&gt;"",V1601&lt;&gt;"",AB1601&lt;&gt;"")),"manuell übersteuert; ","")&amp;IF(AND(BW1601=0,R1601=0),"Gebinde unbekannt / Stellmass fehlt; ","")&amp;IF(AND(BW1601=0,N(V1601)&lt;=0,N(Q1601)&lt;=0),"Menge pro Gebinde fehlt (Ist = 1 Gebinde); ","")&amp;BR1601)</f>
        <v>Kein Verbrauch; Gebinde geschätzt (Klein); Menge pro Gebinde fehlt (Ist = 1 Gebinde); nur im Artikelstamm (Bestand 23.06.2026)</v>
      </c>
      <c r="BK1601" s="48"/>
      <c r="BL1601" s="48"/>
      <c r="BM1601" s="55"/>
      <c r="BN1601" s="50" t="n">
        <v>2</v>
      </c>
      <c r="BO1601" s="50" t="n">
        <v>0</v>
      </c>
      <c r="BP1601" s="49" t="n">
        <v>0</v>
      </c>
      <c r="BQ1601" s="50" t="n">
        <v>0</v>
      </c>
      <c r="BR1601" s="48" t="s">
        <v>2579</v>
      </c>
      <c r="BS1601" s="53" t="n">
        <v>0</v>
      </c>
      <c r="BT1601" s="53" t="n">
        <v>1601</v>
      </c>
      <c r="BU1601" s="48" t="str">
        <f aca="false">IF(U1601&lt;&gt;"",UPPER(TRIM(U1601)),IF(BX1601=1,UPPER(VLOOKUP(T1601,Parameter!$I$27:$K$29,2,0)),IF(P1601="","LOSE",P1601)))</f>
        <v>S51</v>
      </c>
      <c r="BV1601" s="50" t="n">
        <f aca="false">IF(BU1601="LOSE",1,IF(N(V1601)&gt;0,V1601,IF(BX1601=1,MAX(1,N(VLOOKUP(T1601,Parameter!$I$27:$K$29,3,0)),H1601,N(N1601)),IF(N(Q1601)&gt;0,Q1601,MAX(1,H1601)))))</f>
        <v>20</v>
      </c>
      <c r="BW1601" s="53" t="n">
        <f aca="false">IF(BU1601="LOSE",1,0)</f>
        <v>0</v>
      </c>
      <c r="BX1601" s="53" t="n">
        <f aca="false">IF(AND(U1601="",OR(P1601="",P1601="LOSE"),T1601&lt;&gt;"",N(S1601)&lt;=0,ISNUMBER(MATCH(T1601,Parameter!$I$27:$I$29,0))),1,0)</f>
        <v>1</v>
      </c>
      <c r="BY1601" s="53" t="n">
        <f aca="false">IF(CL1601&gt;0,INDEX(Parameter!$H$5:$H$7,W1601)/INDEX(Parameter!$E$5:$E$7,W1601),IF(AND(BW1601=0,N(IFERROR(VLOOKUP(BU1601,'Gebinde-Kategorie'!$A$5:$N$45,14,0),0))&gt;0),VLOOKUP(BU1601,'Gebinde-Kategorie'!$A$5:$N$45,14,0)*10+Parameter!$M$23,Parameter!$M$24))</f>
        <v>155</v>
      </c>
      <c r="BZ1601" s="48" t="str">
        <f aca="false">IF(AND(Parameter!$B$19="Ja",E1601&lt;&gt;"",ISNUMBER(MATCH(E1601,Parameter!$I$35:$I$52,0))),VLOOKUP(E1601,Parameter!$I$35:$J$52,2,0),IFERROR(VLOOKUP(D1601,Parameter!$A$35:$C$64,2,0),"Nein"))</f>
        <v>2+3</v>
      </c>
      <c r="CA1601" s="52" t="n">
        <f aca="false">IF(BW1601=0,0,IF(N(S1601)&gt;0,S1601,IFERROR(VLOOKUP(D1601,Parameter!$A$35:$C$64,3,0)+0,0)))</f>
        <v>0</v>
      </c>
      <c r="CB1601" s="48" t="n">
        <f aca="false">IF(AA1601&lt;&gt;"",AA1601,Z1601)</f>
        <v>3</v>
      </c>
      <c r="CC1601" s="48" t="str">
        <f aca="false">IF(OR(CB1601=1,CB1601=2,CB1601=3),IF(Parameter!$E$27="Ja","LIFT",IF(CB1601=1,"L1","L23")),IF(CB1601="Aussen","Aussen","-"))</f>
        <v>LIFT</v>
      </c>
      <c r="CD1601" s="59" t="n">
        <f aca="false">IF(N(AB1601)&gt;0,AB1601,0)</f>
        <v>0</v>
      </c>
      <c r="CE1601" s="53" t="n">
        <f aca="false">IF(ISNUMBER(AE1601),1,0)</f>
        <v>0</v>
      </c>
      <c r="CF1601" s="50" t="n">
        <f aca="false">N(AE1601)</f>
        <v>0</v>
      </c>
      <c r="CG1601" s="50" t="n">
        <f aca="false">N(M1601)+N(N1601)</f>
        <v>1</v>
      </c>
      <c r="CH1601" s="50" t="n">
        <f aca="false">ROUNDUP(H1601/BV1601,0)</f>
        <v>1</v>
      </c>
      <c r="CI1601" s="50" t="n">
        <f aca="false">ROUNDUP(CF1601/BV1601,0)</f>
        <v>0</v>
      </c>
      <c r="CJ1601" s="53" t="n">
        <f aca="false">IF(BW1601=1,0,IFERROR(VLOOKUP(BU1601,'Gebinde-Kategorie'!$A$5:$N$45,5,0)+0,0))</f>
        <v>11</v>
      </c>
      <c r="CK1601" s="53" t="n">
        <f aca="false">IFERROR(IF(OR(CB1601=1,CB1601=2,CB1601=3),N(INDEX(Parameter!$I$5:$I$7,CB1601)),0),0)</f>
        <v>0</v>
      </c>
      <c r="CL1601" s="52" t="n">
        <f aca="false">IF(AND(Parameter!$B$21="Ja",ISNUMBER(W1601),N(X1601)&gt;0),IFERROR(N(INDEX(Parameter!$L$5:$L$7,W1601))*INDEX(Parameter!$E$5:$E$7,W1601)*X1601/SUMIFS($X$7:$X$1843,$W$7:$W$1843,W1601),0),0)</f>
        <v>0</v>
      </c>
    </row>
    <row r="1602" customFormat="false" ht="15" hidden="false" customHeight="false" outlineLevel="0" collapsed="false">
      <c r="A1602" s="48" t="s">
        <v>2796</v>
      </c>
      <c r="B1602" s="48" t="s">
        <v>951</v>
      </c>
      <c r="C1602" s="48" t="s">
        <v>168</v>
      </c>
      <c r="D1602" s="48" t="s">
        <v>188</v>
      </c>
      <c r="E1602" s="48"/>
      <c r="F1602" s="48"/>
      <c r="G1602" s="49" t="n">
        <v>1.84</v>
      </c>
      <c r="H1602" s="50" t="n">
        <f aca="false">MAX(0,IF(AND(Parameter!$B$21="Ja",ISNUMBER(Y1602)),Y1602,IF(Parameter!$B$20="Jahresanfang 2025 + Export",BO1602+BN1602,BN1602)))</f>
        <v>45</v>
      </c>
      <c r="I1602" s="50" t="n">
        <f aca="false">H1602*G1602</f>
        <v>82.8</v>
      </c>
      <c r="J1602" s="50" t="n">
        <f aca="false">BQ1602*Parameter!$B$18</f>
        <v>0</v>
      </c>
      <c r="K1602" s="51"/>
      <c r="L1602" s="52"/>
      <c r="M1602" s="50" t="n">
        <v>0</v>
      </c>
      <c r="N1602" s="50" t="n">
        <v>1</v>
      </c>
      <c r="O1602" s="53" t="n">
        <v>28</v>
      </c>
      <c r="P1602" s="48" t="s">
        <v>172</v>
      </c>
      <c r="Q1602" s="50"/>
      <c r="R1602" s="53" t="n">
        <f aca="false">IF(BW1602=1,0,IFERROR(VLOOKUP(BU1602,'Gebinde-Kategorie'!$A$5:$N$45,13,0)+0,0))</f>
        <v>26</v>
      </c>
      <c r="S1602" s="54"/>
      <c r="T1602" s="55" t="s">
        <v>279</v>
      </c>
      <c r="U1602" s="55"/>
      <c r="V1602" s="55"/>
      <c r="W1602" s="48"/>
      <c r="X1602" s="50"/>
      <c r="Y1602" s="50"/>
      <c r="Z1602" s="48" t="n">
        <f aca="false">IF(A1602="","",IF(AND(Parameter!$B$21="Ja",ISNUMBER(W1602)),W1602,IF(BZ1602="2+3",IF(ISNUMBER(SEARCH("grosser Artikel",BR1602)),2,IFERROR(VLOOKUP(BU1602,Parameter!$F$35:$G$64,2,0),2)),IF(OR(BZ1602="Nein",BZ1602=""),"-",BZ1602))))</f>
        <v>3</v>
      </c>
      <c r="AA1602" s="55"/>
      <c r="AB1602" s="56"/>
      <c r="AC1602" s="50" t="n">
        <f aca="false">AT1602</f>
        <v>45</v>
      </c>
      <c r="AD1602" s="50" t="n">
        <f aca="false">MAX(AT1602,H1602)</f>
        <v>45</v>
      </c>
      <c r="AE1602" s="57"/>
      <c r="AF1602" s="50" t="n">
        <f aca="false">IF(LEFT(Cockpit!$C$5,1)="A",H1602,IF(CE1602=1,CF1602,IF(LEFT(Cockpit!$C$5,1)="B",AK1602,MAX(AK1602,H1602))))</f>
        <v>45</v>
      </c>
      <c r="AG1602" s="50" t="n">
        <f aca="false">IF(BW1602=1,0,ROUNDUP(AF1602/BV1602,0))</f>
        <v>1</v>
      </c>
      <c r="AH1602" s="52" t="n">
        <f aca="false">IF(CL1602&gt;0,CL1602*MAX(1,AF1602/X1602),IF(BW1602=1,IF(AF1602&lt;=0,0,CA1602*MAX(1,IF(H1602&gt;0,AF1602/H1602,1))),IF(R1602&gt;0,AG1602/R1602,0))/MAX(0.1,N(Parameter!$M$21)))</f>
        <v>0.0384615384615385</v>
      </c>
      <c r="AI1602" s="50" t="n">
        <f aca="false">AH1602*BY1602</f>
        <v>5.96153846153846</v>
      </c>
      <c r="AJ1602" s="50" t="n">
        <f aca="false">AF1602*G1602</f>
        <v>82.8</v>
      </c>
      <c r="AK1602" s="50" t="n">
        <f aca="false">ROUNDUP(MAX(J1602/IF(CD1602&gt;0,CD1602,MAX(0.1,N(Cockpit!$C$6))),CG1602)/BV1602,0)*BV1602</f>
        <v>45</v>
      </c>
      <c r="AL1602" s="51" t="n">
        <f aca="false">IF(AI1602&gt;0,J1602/AI1602,-1)</f>
        <v>0</v>
      </c>
      <c r="AM1602" s="51" t="n">
        <f aca="false">IF(AND(OR(CC1602="L1",CC1602="L23",CC1602="LIFT"),AI1602&gt;0),SUMIFS($AI$7:$AI$1843,$CC$7:$CC$1843,CC1602,$AL$7:$AL$1843,"&gt;"&amp;AL1602)+SUMIFS($AI$7:$AI$1843,$CC$7:$CC$1843,CC1602,$AL$7:$AL$1843,AL1602,$BT$7:$BT$1843,"&lt;="&amp;BT1602),"")</f>
        <v>30657.7649081145</v>
      </c>
      <c r="AN1602" s="58" t="n">
        <f aca="false">IF(AM1602="",0,MAX(0,MIN(1,(IF(CC1602="L1",Parameter!$H$5,IF(CC1602="L23",Parameter!$H$6+Parameter!$H$7,Parameter!$H$5+Parameter!$H$6+Parameter!$H$7))-(AM1602-AI1602))/AI1602)))</f>
        <v>1</v>
      </c>
      <c r="AO1602" s="50" t="n">
        <f aca="false">IF(LEFT(Cockpit!$I$5,1)="A",H1602,IF(CE1602=1,CF1602,IF(LEFT(Cockpit!$I$5,1)="B",AT1602,MAX(AT1602,H1602))))</f>
        <v>45</v>
      </c>
      <c r="AP1602" s="50" t="n">
        <f aca="false">IF(BW1602=1,0,ROUNDUP(AO1602/BV1602,0))</f>
        <v>1</v>
      </c>
      <c r="AQ1602" s="52" t="n">
        <f aca="false">IF(CL1602&gt;0,CL1602*MAX(1,AO1602/X1602),IF(BW1602=1,IF(AO1602&lt;=0,0,CA1602*MAX(1,IF(H1602&gt;0,AO1602/H1602,1))),IF(R1602&gt;0,AP1602/R1602,0))/MAX(0.1,N(Parameter!$M$21)))</f>
        <v>0.0384615384615385</v>
      </c>
      <c r="AR1602" s="50" t="n">
        <f aca="false">AQ1602*BY1602</f>
        <v>5.96153846153846</v>
      </c>
      <c r="AS1602" s="50" t="n">
        <f aca="false">AO1602*G1602</f>
        <v>82.8</v>
      </c>
      <c r="AT1602" s="50" t="n">
        <f aca="false">ROUNDUP(MAX(J1602/IF(CD1602&gt;0,CD1602,MAX(0.1,N(Cockpit!$I$6))),CG1602)/BV1602,0)*BV1602</f>
        <v>45</v>
      </c>
      <c r="AU1602" s="51" t="n">
        <f aca="false">IF(AR1602&gt;0,J1602/AR1602,-1)</f>
        <v>0</v>
      </c>
      <c r="AV1602" s="51" t="n">
        <f aca="false">IF(AND(OR(CC1602="L1",CC1602="L23",CC1602="LIFT"),AR1602&gt;0),SUMIFS($AR$7:$AR$1843,$CC$7:$CC$1843,CC1602,$AU$7:$AU$1843,"&gt;"&amp;AU1602)+SUMIFS($AR$7:$AR$1843,$CC$7:$CC$1843,CC1602,$AU$7:$AU$1843,AU1602,$BT$7:$BT$1843,"&lt;="&amp;BT1602),"")</f>
        <v>43019.6672202562</v>
      </c>
      <c r="AW1602" s="58" t="n">
        <f aca="false">IF(AV1602="",0,MAX(0,MIN(1,(IF(CC1602="L1",Parameter!$H$5,IF(CC1602="L23",Parameter!$H$6+Parameter!$H$7,Parameter!$H$5+Parameter!$H$6+Parameter!$H$7))-(AV1602-AR1602))/AR1602)))</f>
        <v>0</v>
      </c>
      <c r="AX1602" s="50" t="n">
        <f aca="false">IF(LEFT(Cockpit!$O$5,1)="A",H1602,IF(CE1602=1,CF1602,IF(LEFT(Cockpit!$O$5,1)="B",BC1602,MAX(BC1602,H1602))))</f>
        <v>45</v>
      </c>
      <c r="AY1602" s="50" t="n">
        <f aca="false">IF(BW1602=1,0,ROUNDUP(AX1602/BV1602,0))</f>
        <v>1</v>
      </c>
      <c r="AZ1602" s="52" t="n">
        <f aca="false">IF(CL1602&gt;0,CL1602*MAX(1,AX1602/X1602),IF(BW1602=1,IF(AX1602&lt;=0,0,CA1602*MAX(1,IF(H1602&gt;0,AX1602/H1602,1))),IF(R1602&gt;0,AY1602/R1602,0))/MAX(0.1,N(Parameter!$M$21)))</f>
        <v>0.0384615384615385</v>
      </c>
      <c r="BA1602" s="50" t="n">
        <f aca="false">AZ1602*BY1602</f>
        <v>5.96153846153846</v>
      </c>
      <c r="BB1602" s="50" t="n">
        <f aca="false">AX1602*G1602</f>
        <v>82.8</v>
      </c>
      <c r="BC1602" s="50" t="n">
        <f aca="false">ROUNDUP(MAX(J1602/IF(CD1602&gt;0,CD1602,MAX(0.1,N(Cockpit!$O$6))),CG1602)/BV1602,0)*BV1602</f>
        <v>45</v>
      </c>
      <c r="BD1602" s="51" t="n">
        <f aca="false">IF(BA1602&gt;0,J1602/BA1602,-1)</f>
        <v>0</v>
      </c>
      <c r="BE1602" s="51" t="n">
        <f aca="false">IF(AND(OR(CC1602="L1",CC1602="L23",CC1602="LIFT"),BA1602&gt;0),SUMIFS($BA$7:$BA$1843,$CC$7:$CC$1843,CC1602,$BD$7:$BD$1843,"&gt;"&amp;BD1602)+SUMIFS($BA$7:$BA$1843,$CC$7:$CC$1843,CC1602,$BD$7:$BD$1843,BD1602,$BT$7:$BT$1843,"&lt;="&amp;BT1602),"")</f>
        <v>39694.6792621221</v>
      </c>
      <c r="BF1602" s="58" t="n">
        <f aca="false">IF(BE1602="",0,MAX(0,MIN(1,(IF(CC1602="L1",Parameter!$H$5,IF(CC1602="L23",Parameter!$H$6+Parameter!$H$7,Parameter!$H$5+Parameter!$H$6+Parameter!$H$7))-(BE1602-BA1602))/BA1602)))</f>
        <v>0</v>
      </c>
      <c r="BG1602" s="48" t="str">
        <f aca="false">IF(AI1602&lt;=0,"",IF(CC1602="Aussen","Aussenlager",IF(CC1602="-","Nicht im Lift",IF(AN1602&gt;=1,"Lift",IF(AN1602&lt;=0,"Aussenlager","teilweise")))))</f>
        <v>Lift</v>
      </c>
      <c r="BH1602" s="48" t="str">
        <f aca="false">IF(AR1602&lt;=0,"",IF(CC1602="Aussen","Aussenlager",IF(CC1602="-","Nicht im Lift",IF(AW1602&gt;=1,"Lift",IF(AW1602&lt;=0,"Aussenlager","teilweise")))))</f>
        <v>Aussenlager</v>
      </c>
      <c r="BI1602" s="48" t="str">
        <f aca="false">IF(BA1602&lt;=0,"",IF(CC1602="Aussen","Aussenlager",IF(CC1602="-","Nicht im Lift",IF(BF1602&gt;=1,"Lift",IF(BF1602&lt;=0,"Aussenlager","teilweise")))))</f>
        <v>Aussenlager</v>
      </c>
      <c r="BJ1602" s="48" t="str">
        <f aca="false">IF(A1602="","",IF(BS1602=1,"Neu; ","")&amp;IF(AND(BS1602=0,BN1602&lt;0),"negativer Bestand (Export "&amp;BN1602&amp;"); ","")&amp;IF(J1602&lt;=0,"Kein Verbrauch; ","")&amp;IF(CL1602&gt;0,"Lift "&amp;W1602&amp;" lt. Liftbericht (Fach "&amp;X1602&amp;" Stk); ",IF(BX1602=1,"Gebinde geschätzt ("&amp;T1602&amp;"); ",IF(BW1602=1,"Lose – Tablare geschätzt; ","")))&amp;IF(H1602&gt;AT1602,"Überbestand "&amp;ROUND(H1602-AT1602,0)&amp;" Stk / CHF "&amp;ROUND((H1602-AT1602)*G1602,0)&amp;"; ","")&amp;IF(AND(CE1602=1,CF1602&lt;CG1602),"MAX &lt; MB+LG; ","")&amp;IF(AND(CK1602&gt;0,CJ1602*10&gt;CK1602),"zu hoch für Tablar; ","")&amp;IF(AND(BS1602=0,OR(CE1602=1,AA1602&lt;&gt;"",U1602&lt;&gt;"",V1602&lt;&gt;"",AB1602&lt;&gt;"")),"manuell übersteuert; ","")&amp;IF(AND(BW1602=0,R1602=0),"Gebinde unbekannt / Stellmass fehlt; ","")&amp;IF(AND(BW1602=0,N(V1602)&lt;=0,N(Q1602)&lt;=0),"Menge pro Gebinde fehlt (Ist = 1 Gebinde); ","")&amp;BR1602)</f>
        <v>Kein Verbrauch; Gebinde geschätzt (Klein); Menge pro Gebinde fehlt (Ist = 1 Gebinde); nur im Artikelstamm (Bestand 23.06.2026)</v>
      </c>
      <c r="BK1602" s="48"/>
      <c r="BL1602" s="48"/>
      <c r="BM1602" s="55"/>
      <c r="BN1602" s="50" t="n">
        <v>45</v>
      </c>
      <c r="BO1602" s="50" t="n">
        <v>0</v>
      </c>
      <c r="BP1602" s="49" t="n">
        <v>0</v>
      </c>
      <c r="BQ1602" s="50" t="n">
        <v>0</v>
      </c>
      <c r="BR1602" s="48" t="s">
        <v>2579</v>
      </c>
      <c r="BS1602" s="53" t="n">
        <v>0</v>
      </c>
      <c r="BT1602" s="53" t="n">
        <v>1602</v>
      </c>
      <c r="BU1602" s="48" t="str">
        <f aca="false">IF(U1602&lt;&gt;"",UPPER(TRIM(U1602)),IF(BX1602=1,UPPER(VLOOKUP(T1602,Parameter!$I$27:$K$29,2,0)),IF(P1602="","LOSE",P1602)))</f>
        <v>S51</v>
      </c>
      <c r="BV1602" s="50" t="n">
        <f aca="false">IF(BU1602="LOSE",1,IF(N(V1602)&gt;0,V1602,IF(BX1602=1,MAX(1,N(VLOOKUP(T1602,Parameter!$I$27:$K$29,3,0)),H1602,N(N1602)),IF(N(Q1602)&gt;0,Q1602,MAX(1,H1602)))))</f>
        <v>45</v>
      </c>
      <c r="BW1602" s="53" t="n">
        <f aca="false">IF(BU1602="LOSE",1,0)</f>
        <v>0</v>
      </c>
      <c r="BX1602" s="53" t="n">
        <f aca="false">IF(AND(U1602="",OR(P1602="",P1602="LOSE"),T1602&lt;&gt;"",N(S1602)&lt;=0,ISNUMBER(MATCH(T1602,Parameter!$I$27:$I$29,0))),1,0)</f>
        <v>1</v>
      </c>
      <c r="BY1602" s="53" t="n">
        <f aca="false">IF(CL1602&gt;0,INDEX(Parameter!$H$5:$H$7,W1602)/INDEX(Parameter!$E$5:$E$7,W1602),IF(AND(BW1602=0,N(IFERROR(VLOOKUP(BU1602,'Gebinde-Kategorie'!$A$5:$N$45,14,0),0))&gt;0),VLOOKUP(BU1602,'Gebinde-Kategorie'!$A$5:$N$45,14,0)*10+Parameter!$M$23,Parameter!$M$24))</f>
        <v>155</v>
      </c>
      <c r="BZ1602" s="48" t="str">
        <f aca="false">IF(AND(Parameter!$B$19="Ja",E1602&lt;&gt;"",ISNUMBER(MATCH(E1602,Parameter!$I$35:$I$52,0))),VLOOKUP(E1602,Parameter!$I$35:$J$52,2,0),IFERROR(VLOOKUP(D1602,Parameter!$A$35:$C$64,2,0),"Nein"))</f>
        <v>2+3</v>
      </c>
      <c r="CA1602" s="52" t="n">
        <f aca="false">IF(BW1602=0,0,IF(N(S1602)&gt;0,S1602,IFERROR(VLOOKUP(D1602,Parameter!$A$35:$C$64,3,0)+0,0)))</f>
        <v>0</v>
      </c>
      <c r="CB1602" s="48" t="n">
        <f aca="false">IF(AA1602&lt;&gt;"",AA1602,Z1602)</f>
        <v>3</v>
      </c>
      <c r="CC1602" s="48" t="str">
        <f aca="false">IF(OR(CB1602=1,CB1602=2,CB1602=3),IF(Parameter!$E$27="Ja","LIFT",IF(CB1602=1,"L1","L23")),IF(CB1602="Aussen","Aussen","-"))</f>
        <v>LIFT</v>
      </c>
      <c r="CD1602" s="59" t="n">
        <f aca="false">IF(N(AB1602)&gt;0,AB1602,0)</f>
        <v>0</v>
      </c>
      <c r="CE1602" s="53" t="n">
        <f aca="false">IF(ISNUMBER(AE1602),1,0)</f>
        <v>0</v>
      </c>
      <c r="CF1602" s="50" t="n">
        <f aca="false">N(AE1602)</f>
        <v>0</v>
      </c>
      <c r="CG1602" s="50" t="n">
        <f aca="false">N(M1602)+N(N1602)</f>
        <v>1</v>
      </c>
      <c r="CH1602" s="50" t="n">
        <f aca="false">ROUNDUP(H1602/BV1602,0)</f>
        <v>1</v>
      </c>
      <c r="CI1602" s="50" t="n">
        <f aca="false">ROUNDUP(CF1602/BV1602,0)</f>
        <v>0</v>
      </c>
      <c r="CJ1602" s="53" t="n">
        <f aca="false">IF(BW1602=1,0,IFERROR(VLOOKUP(BU1602,'Gebinde-Kategorie'!$A$5:$N$45,5,0)+0,0))</f>
        <v>11</v>
      </c>
      <c r="CK1602" s="53" t="n">
        <f aca="false">IFERROR(IF(OR(CB1602=1,CB1602=2,CB1602=3),N(INDEX(Parameter!$I$5:$I$7,CB1602)),0),0)</f>
        <v>0</v>
      </c>
      <c r="CL1602" s="52" t="n">
        <f aca="false">IF(AND(Parameter!$B$21="Ja",ISNUMBER(W1602),N(X1602)&gt;0),IFERROR(N(INDEX(Parameter!$L$5:$L$7,W1602))*INDEX(Parameter!$E$5:$E$7,W1602)*X1602/SUMIFS($X$7:$X$1843,$W$7:$W$1843,W1602),0),0)</f>
        <v>0</v>
      </c>
    </row>
    <row r="1603" customFormat="false" ht="15" hidden="false" customHeight="false" outlineLevel="0" collapsed="false">
      <c r="A1603" s="48" t="s">
        <v>2797</v>
      </c>
      <c r="B1603" s="48" t="s">
        <v>2798</v>
      </c>
      <c r="C1603" s="48" t="s">
        <v>168</v>
      </c>
      <c r="D1603" s="48" t="s">
        <v>188</v>
      </c>
      <c r="E1603" s="48"/>
      <c r="F1603" s="48"/>
      <c r="G1603" s="49" t="n">
        <v>28.6</v>
      </c>
      <c r="H1603" s="50" t="n">
        <f aca="false">MAX(0,IF(AND(Parameter!$B$21="Ja",ISNUMBER(Y1603)),Y1603,IF(Parameter!$B$20="Jahresanfang 2025 + Export",BO1603+BN1603,BN1603)))</f>
        <v>6</v>
      </c>
      <c r="I1603" s="50" t="n">
        <f aca="false">H1603*G1603</f>
        <v>171.6</v>
      </c>
      <c r="J1603" s="50" t="n">
        <f aca="false">BQ1603*Parameter!$B$18</f>
        <v>0</v>
      </c>
      <c r="K1603" s="51"/>
      <c r="L1603" s="52"/>
      <c r="M1603" s="50" t="n">
        <v>0</v>
      </c>
      <c r="N1603" s="50" t="n">
        <v>10</v>
      </c>
      <c r="O1603" s="53" t="n">
        <v>14</v>
      </c>
      <c r="P1603" s="48" t="s">
        <v>172</v>
      </c>
      <c r="Q1603" s="50"/>
      <c r="R1603" s="53" t="n">
        <f aca="false">IF(BW1603=1,0,IFERROR(VLOOKUP(BU1603,'Gebinde-Kategorie'!$A$5:$N$45,13,0)+0,0))</f>
        <v>26</v>
      </c>
      <c r="S1603" s="54"/>
      <c r="T1603" s="55" t="s">
        <v>279</v>
      </c>
      <c r="U1603" s="55"/>
      <c r="V1603" s="55"/>
      <c r="W1603" s="48"/>
      <c r="X1603" s="50"/>
      <c r="Y1603" s="50"/>
      <c r="Z1603" s="48" t="n">
        <f aca="false">IF(A1603="","",IF(AND(Parameter!$B$21="Ja",ISNUMBER(W1603)),W1603,IF(BZ1603="2+3",IF(ISNUMBER(SEARCH("grosser Artikel",BR1603)),2,IFERROR(VLOOKUP(BU1603,Parameter!$F$35:$G$64,2,0),2)),IF(OR(BZ1603="Nein",BZ1603=""),"-",BZ1603))))</f>
        <v>3</v>
      </c>
      <c r="AA1603" s="55"/>
      <c r="AB1603" s="56"/>
      <c r="AC1603" s="50" t="n">
        <f aca="false">AT1603</f>
        <v>20</v>
      </c>
      <c r="AD1603" s="50" t="n">
        <f aca="false">MAX(AT1603,H1603)</f>
        <v>20</v>
      </c>
      <c r="AE1603" s="57"/>
      <c r="AF1603" s="50" t="n">
        <f aca="false">IF(LEFT(Cockpit!$C$5,1)="A",H1603,IF(CE1603=1,CF1603,IF(LEFT(Cockpit!$C$5,1)="B",AK1603,MAX(AK1603,H1603))))</f>
        <v>6</v>
      </c>
      <c r="AG1603" s="50" t="n">
        <f aca="false">IF(BW1603=1,0,ROUNDUP(AF1603/BV1603,0))</f>
        <v>1</v>
      </c>
      <c r="AH1603" s="52" t="n">
        <f aca="false">IF(CL1603&gt;0,CL1603*MAX(1,AF1603/X1603),IF(BW1603=1,IF(AF1603&lt;=0,0,CA1603*MAX(1,IF(H1603&gt;0,AF1603/H1603,1))),IF(R1603&gt;0,AG1603/R1603,0))/MAX(0.1,N(Parameter!$M$21)))</f>
        <v>0.0384615384615385</v>
      </c>
      <c r="AI1603" s="50" t="n">
        <f aca="false">AH1603*BY1603</f>
        <v>5.96153846153846</v>
      </c>
      <c r="AJ1603" s="50" t="n">
        <f aca="false">AF1603*G1603</f>
        <v>171.6</v>
      </c>
      <c r="AK1603" s="50" t="n">
        <f aca="false">ROUNDUP(MAX(J1603/IF(CD1603&gt;0,CD1603,MAX(0.1,N(Cockpit!$C$6))),CG1603)/BV1603,0)*BV1603</f>
        <v>20</v>
      </c>
      <c r="AL1603" s="51" t="n">
        <f aca="false">IF(AI1603&gt;0,J1603/AI1603,-1)</f>
        <v>0</v>
      </c>
      <c r="AM1603" s="51" t="n">
        <f aca="false">IF(AND(OR(CC1603="L1",CC1603="L23",CC1603="LIFT"),AI1603&gt;0),SUMIFS($AI$7:$AI$1843,$CC$7:$CC$1843,CC1603,$AL$7:$AL$1843,"&gt;"&amp;AL1603)+SUMIFS($AI$7:$AI$1843,$CC$7:$CC$1843,CC1603,$AL$7:$AL$1843,AL1603,$BT$7:$BT$1843,"&lt;="&amp;BT1603),"")</f>
        <v>30663.726446576</v>
      </c>
      <c r="AN1603" s="58" t="n">
        <f aca="false">IF(AM1603="",0,MAX(0,MIN(1,(IF(CC1603="L1",Parameter!$H$5,IF(CC1603="L23",Parameter!$H$6+Parameter!$H$7,Parameter!$H$5+Parameter!$H$6+Parameter!$H$7))-(AM1603-AI1603))/AI1603)))</f>
        <v>1</v>
      </c>
      <c r="AO1603" s="50" t="n">
        <f aca="false">IF(LEFT(Cockpit!$I$5,1)="A",H1603,IF(CE1603=1,CF1603,IF(LEFT(Cockpit!$I$5,1)="B",AT1603,MAX(AT1603,H1603))))</f>
        <v>20</v>
      </c>
      <c r="AP1603" s="50" t="n">
        <f aca="false">IF(BW1603=1,0,ROUNDUP(AO1603/BV1603,0))</f>
        <v>1</v>
      </c>
      <c r="AQ1603" s="52" t="n">
        <f aca="false">IF(CL1603&gt;0,CL1603*MAX(1,AO1603/X1603),IF(BW1603=1,IF(AO1603&lt;=0,0,CA1603*MAX(1,IF(H1603&gt;0,AO1603/H1603,1))),IF(R1603&gt;0,AP1603/R1603,0))/MAX(0.1,N(Parameter!$M$21)))</f>
        <v>0.0384615384615385</v>
      </c>
      <c r="AR1603" s="50" t="n">
        <f aca="false">AQ1603*BY1603</f>
        <v>5.96153846153846</v>
      </c>
      <c r="AS1603" s="50" t="n">
        <f aca="false">AO1603*G1603</f>
        <v>572</v>
      </c>
      <c r="AT1603" s="50" t="n">
        <f aca="false">ROUNDUP(MAX(J1603/IF(CD1603&gt;0,CD1603,MAX(0.1,N(Cockpit!$I$6))),CG1603)/BV1603,0)*BV1603</f>
        <v>20</v>
      </c>
      <c r="AU1603" s="51" t="n">
        <f aca="false">IF(AR1603&gt;0,J1603/AR1603,-1)</f>
        <v>0</v>
      </c>
      <c r="AV1603" s="51" t="n">
        <f aca="false">IF(AND(OR(CC1603="L1",CC1603="L23",CC1603="LIFT"),AR1603&gt;0),SUMIFS($AR$7:$AR$1843,$CC$7:$CC$1843,CC1603,$AU$7:$AU$1843,"&gt;"&amp;AU1603)+SUMIFS($AR$7:$AR$1843,$CC$7:$CC$1843,CC1603,$AU$7:$AU$1843,AU1603,$BT$7:$BT$1843,"&lt;="&amp;BT1603),"")</f>
        <v>43025.6287587177</v>
      </c>
      <c r="AW1603" s="58" t="n">
        <f aca="false">IF(AV1603="",0,MAX(0,MIN(1,(IF(CC1603="L1",Parameter!$H$5,IF(CC1603="L23",Parameter!$H$6+Parameter!$H$7,Parameter!$H$5+Parameter!$H$6+Parameter!$H$7))-(AV1603-AR1603))/AR1603)))</f>
        <v>0</v>
      </c>
      <c r="AX1603" s="50" t="n">
        <f aca="false">IF(LEFT(Cockpit!$O$5,1)="A",H1603,IF(CE1603=1,CF1603,IF(LEFT(Cockpit!$O$5,1)="B",BC1603,MAX(BC1603,H1603))))</f>
        <v>20</v>
      </c>
      <c r="AY1603" s="50" t="n">
        <f aca="false">IF(BW1603=1,0,ROUNDUP(AX1603/BV1603,0))</f>
        <v>1</v>
      </c>
      <c r="AZ1603" s="52" t="n">
        <f aca="false">IF(CL1603&gt;0,CL1603*MAX(1,AX1603/X1603),IF(BW1603=1,IF(AX1603&lt;=0,0,CA1603*MAX(1,IF(H1603&gt;0,AX1603/H1603,1))),IF(R1603&gt;0,AY1603/R1603,0))/MAX(0.1,N(Parameter!$M$21)))</f>
        <v>0.0384615384615385</v>
      </c>
      <c r="BA1603" s="50" t="n">
        <f aca="false">AZ1603*BY1603</f>
        <v>5.96153846153846</v>
      </c>
      <c r="BB1603" s="50" t="n">
        <f aca="false">AX1603*G1603</f>
        <v>572</v>
      </c>
      <c r="BC1603" s="50" t="n">
        <f aca="false">ROUNDUP(MAX(J1603/IF(CD1603&gt;0,CD1603,MAX(0.1,N(Cockpit!$O$6))),CG1603)/BV1603,0)*BV1603</f>
        <v>20</v>
      </c>
      <c r="BD1603" s="51" t="n">
        <f aca="false">IF(BA1603&gt;0,J1603/BA1603,-1)</f>
        <v>0</v>
      </c>
      <c r="BE1603" s="51" t="n">
        <f aca="false">IF(AND(OR(CC1603="L1",CC1603="L23",CC1603="LIFT"),BA1603&gt;0),SUMIFS($BA$7:$BA$1843,$CC$7:$CC$1843,CC1603,$BD$7:$BD$1843,"&gt;"&amp;BD1603)+SUMIFS($BA$7:$BA$1843,$CC$7:$CC$1843,CC1603,$BD$7:$BD$1843,BD1603,$BT$7:$BT$1843,"&lt;="&amp;BT1603),"")</f>
        <v>39700.6408005836</v>
      </c>
      <c r="BF1603" s="58" t="n">
        <f aca="false">IF(BE1603="",0,MAX(0,MIN(1,(IF(CC1603="L1",Parameter!$H$5,IF(CC1603="L23",Parameter!$H$6+Parameter!$H$7,Parameter!$H$5+Parameter!$H$6+Parameter!$H$7))-(BE1603-BA1603))/BA1603)))</f>
        <v>0</v>
      </c>
      <c r="BG1603" s="48" t="str">
        <f aca="false">IF(AI1603&lt;=0,"",IF(CC1603="Aussen","Aussenlager",IF(CC1603="-","Nicht im Lift",IF(AN1603&gt;=1,"Lift",IF(AN1603&lt;=0,"Aussenlager","teilweise")))))</f>
        <v>Lift</v>
      </c>
      <c r="BH1603" s="48" t="str">
        <f aca="false">IF(AR1603&lt;=0,"",IF(CC1603="Aussen","Aussenlager",IF(CC1603="-","Nicht im Lift",IF(AW1603&gt;=1,"Lift",IF(AW1603&lt;=0,"Aussenlager","teilweise")))))</f>
        <v>Aussenlager</v>
      </c>
      <c r="BI1603" s="48" t="str">
        <f aca="false">IF(BA1603&lt;=0,"",IF(CC1603="Aussen","Aussenlager",IF(CC1603="-","Nicht im Lift",IF(BF1603&gt;=1,"Lift",IF(BF1603&lt;=0,"Aussenlager","teilweise")))))</f>
        <v>Aussenlager</v>
      </c>
      <c r="BJ1603" s="48" t="str">
        <f aca="false">IF(A1603="","",IF(BS1603=1,"Neu; ","")&amp;IF(AND(BS1603=0,BN1603&lt;0),"negativer Bestand (Export "&amp;BN1603&amp;"); ","")&amp;IF(J1603&lt;=0,"Kein Verbrauch; ","")&amp;IF(CL1603&gt;0,"Lift "&amp;W1603&amp;" lt. Liftbericht (Fach "&amp;X1603&amp;" Stk); ",IF(BX1603=1,"Gebinde geschätzt ("&amp;T1603&amp;"); ",IF(BW1603=1,"Lose – Tablare geschätzt; ","")))&amp;IF(H1603&gt;AT1603,"Überbestand "&amp;ROUND(H1603-AT1603,0)&amp;" Stk / CHF "&amp;ROUND((H1603-AT1603)*G1603,0)&amp;"; ","")&amp;IF(AND(CE1603=1,CF1603&lt;CG1603),"MAX &lt; MB+LG; ","")&amp;IF(AND(CK1603&gt;0,CJ1603*10&gt;CK1603),"zu hoch für Tablar; ","")&amp;IF(AND(BS1603=0,OR(CE1603=1,AA1603&lt;&gt;"",U1603&lt;&gt;"",V1603&lt;&gt;"",AB1603&lt;&gt;"")),"manuell übersteuert; ","")&amp;IF(AND(BW1603=0,R1603=0),"Gebinde unbekannt / Stellmass fehlt; ","")&amp;IF(AND(BW1603=0,N(V1603)&lt;=0,N(Q1603)&lt;=0),"Menge pro Gebinde fehlt (Ist = 1 Gebinde); ","")&amp;BR1603)</f>
        <v>Kein Verbrauch; Gebinde geschätzt (Klein); Menge pro Gebinde fehlt (Ist = 1 Gebinde); nur im Artikelstamm (Bestand 23.06.2026)</v>
      </c>
      <c r="BK1603" s="48"/>
      <c r="BL1603" s="48"/>
      <c r="BM1603" s="55"/>
      <c r="BN1603" s="50" t="n">
        <v>6</v>
      </c>
      <c r="BO1603" s="50" t="n">
        <v>0</v>
      </c>
      <c r="BP1603" s="49" t="n">
        <v>0</v>
      </c>
      <c r="BQ1603" s="50" t="n">
        <v>0</v>
      </c>
      <c r="BR1603" s="48" t="s">
        <v>2579</v>
      </c>
      <c r="BS1603" s="53" t="n">
        <v>0</v>
      </c>
      <c r="BT1603" s="53" t="n">
        <v>1603</v>
      </c>
      <c r="BU1603" s="48" t="str">
        <f aca="false">IF(U1603&lt;&gt;"",UPPER(TRIM(U1603)),IF(BX1603=1,UPPER(VLOOKUP(T1603,Parameter!$I$27:$K$29,2,0)),IF(P1603="","LOSE",P1603)))</f>
        <v>S51</v>
      </c>
      <c r="BV1603" s="50" t="n">
        <f aca="false">IF(BU1603="LOSE",1,IF(N(V1603)&gt;0,V1603,IF(BX1603=1,MAX(1,N(VLOOKUP(T1603,Parameter!$I$27:$K$29,3,0)),H1603,N(N1603)),IF(N(Q1603)&gt;0,Q1603,MAX(1,H1603)))))</f>
        <v>20</v>
      </c>
      <c r="BW1603" s="53" t="n">
        <f aca="false">IF(BU1603="LOSE",1,0)</f>
        <v>0</v>
      </c>
      <c r="BX1603" s="53" t="n">
        <f aca="false">IF(AND(U1603="",OR(P1603="",P1603="LOSE"),T1603&lt;&gt;"",N(S1603)&lt;=0,ISNUMBER(MATCH(T1603,Parameter!$I$27:$I$29,0))),1,0)</f>
        <v>1</v>
      </c>
      <c r="BY1603" s="53" t="n">
        <f aca="false">IF(CL1603&gt;0,INDEX(Parameter!$H$5:$H$7,W1603)/INDEX(Parameter!$E$5:$E$7,W1603),IF(AND(BW1603=0,N(IFERROR(VLOOKUP(BU1603,'Gebinde-Kategorie'!$A$5:$N$45,14,0),0))&gt;0),VLOOKUP(BU1603,'Gebinde-Kategorie'!$A$5:$N$45,14,0)*10+Parameter!$M$23,Parameter!$M$24))</f>
        <v>155</v>
      </c>
      <c r="BZ1603" s="48" t="str">
        <f aca="false">IF(AND(Parameter!$B$19="Ja",E1603&lt;&gt;"",ISNUMBER(MATCH(E1603,Parameter!$I$35:$I$52,0))),VLOOKUP(E1603,Parameter!$I$35:$J$52,2,0),IFERROR(VLOOKUP(D1603,Parameter!$A$35:$C$64,2,0),"Nein"))</f>
        <v>2+3</v>
      </c>
      <c r="CA1603" s="52" t="n">
        <f aca="false">IF(BW1603=0,0,IF(N(S1603)&gt;0,S1603,IFERROR(VLOOKUP(D1603,Parameter!$A$35:$C$64,3,0)+0,0)))</f>
        <v>0</v>
      </c>
      <c r="CB1603" s="48" t="n">
        <f aca="false">IF(AA1603&lt;&gt;"",AA1603,Z1603)</f>
        <v>3</v>
      </c>
      <c r="CC1603" s="48" t="str">
        <f aca="false">IF(OR(CB1603=1,CB1603=2,CB1603=3),IF(Parameter!$E$27="Ja","LIFT",IF(CB1603=1,"L1","L23")),IF(CB1603="Aussen","Aussen","-"))</f>
        <v>LIFT</v>
      </c>
      <c r="CD1603" s="59" t="n">
        <f aca="false">IF(N(AB1603)&gt;0,AB1603,0)</f>
        <v>0</v>
      </c>
      <c r="CE1603" s="53" t="n">
        <f aca="false">IF(ISNUMBER(AE1603),1,0)</f>
        <v>0</v>
      </c>
      <c r="CF1603" s="50" t="n">
        <f aca="false">N(AE1603)</f>
        <v>0</v>
      </c>
      <c r="CG1603" s="50" t="n">
        <f aca="false">N(M1603)+N(N1603)</f>
        <v>10</v>
      </c>
      <c r="CH1603" s="50" t="n">
        <f aca="false">ROUNDUP(H1603/BV1603,0)</f>
        <v>1</v>
      </c>
      <c r="CI1603" s="50" t="n">
        <f aca="false">ROUNDUP(CF1603/BV1603,0)</f>
        <v>0</v>
      </c>
      <c r="CJ1603" s="53" t="n">
        <f aca="false">IF(BW1603=1,0,IFERROR(VLOOKUP(BU1603,'Gebinde-Kategorie'!$A$5:$N$45,5,0)+0,0))</f>
        <v>11</v>
      </c>
      <c r="CK1603" s="53" t="n">
        <f aca="false">IFERROR(IF(OR(CB1603=1,CB1603=2,CB1603=3),N(INDEX(Parameter!$I$5:$I$7,CB1603)),0),0)</f>
        <v>0</v>
      </c>
      <c r="CL1603" s="52" t="n">
        <f aca="false">IF(AND(Parameter!$B$21="Ja",ISNUMBER(W1603),N(X1603)&gt;0),IFERROR(N(INDEX(Parameter!$L$5:$L$7,W1603))*INDEX(Parameter!$E$5:$E$7,W1603)*X1603/SUMIFS($X$7:$X$1843,$W$7:$W$1843,W1603),0),0)</f>
        <v>0</v>
      </c>
    </row>
    <row r="1604" customFormat="false" ht="15" hidden="false" customHeight="false" outlineLevel="0" collapsed="false">
      <c r="A1604" s="48" t="s">
        <v>2799</v>
      </c>
      <c r="B1604" s="48" t="s">
        <v>2800</v>
      </c>
      <c r="C1604" s="48" t="s">
        <v>168</v>
      </c>
      <c r="D1604" s="48" t="s">
        <v>188</v>
      </c>
      <c r="E1604" s="48"/>
      <c r="F1604" s="48"/>
      <c r="G1604" s="49" t="n">
        <v>0.08</v>
      </c>
      <c r="H1604" s="50" t="n">
        <f aca="false">MAX(0,IF(AND(Parameter!$B$21="Ja",ISNUMBER(Y1604)),Y1604,IF(Parameter!$B$20="Jahresanfang 2025 + Export",BO1604+BN1604,BN1604)))</f>
        <v>1700</v>
      </c>
      <c r="I1604" s="50" t="n">
        <f aca="false">H1604*G1604</f>
        <v>136</v>
      </c>
      <c r="J1604" s="50" t="n">
        <f aca="false">BQ1604*Parameter!$B$18</f>
        <v>0</v>
      </c>
      <c r="K1604" s="51"/>
      <c r="L1604" s="52"/>
      <c r="M1604" s="50" t="n">
        <v>0</v>
      </c>
      <c r="N1604" s="50" t="n">
        <v>100</v>
      </c>
      <c r="O1604" s="53" t="n">
        <v>14</v>
      </c>
      <c r="P1604" s="48" t="s">
        <v>172</v>
      </c>
      <c r="Q1604" s="50"/>
      <c r="R1604" s="53" t="n">
        <f aca="false">IF(BW1604=1,0,IFERROR(VLOOKUP(BU1604,'Gebinde-Kategorie'!$A$5:$N$45,13,0)+0,0))</f>
        <v>26</v>
      </c>
      <c r="S1604" s="54"/>
      <c r="T1604" s="55" t="s">
        <v>279</v>
      </c>
      <c r="U1604" s="55"/>
      <c r="V1604" s="55"/>
      <c r="W1604" s="48"/>
      <c r="X1604" s="50"/>
      <c r="Y1604" s="50"/>
      <c r="Z1604" s="48" t="n">
        <f aca="false">IF(A1604="","",IF(AND(Parameter!$B$21="Ja",ISNUMBER(W1604)),W1604,IF(BZ1604="2+3",IF(ISNUMBER(SEARCH("grosser Artikel",BR1604)),2,IFERROR(VLOOKUP(BU1604,Parameter!$F$35:$G$64,2,0),2)),IF(OR(BZ1604="Nein",BZ1604=""),"-",BZ1604))))</f>
        <v>3</v>
      </c>
      <c r="AA1604" s="55"/>
      <c r="AB1604" s="56"/>
      <c r="AC1604" s="50" t="n">
        <f aca="false">AT1604</f>
        <v>1700</v>
      </c>
      <c r="AD1604" s="50" t="n">
        <f aca="false">MAX(AT1604,H1604)</f>
        <v>1700</v>
      </c>
      <c r="AE1604" s="57"/>
      <c r="AF1604" s="50" t="n">
        <f aca="false">IF(LEFT(Cockpit!$C$5,1)="A",H1604,IF(CE1604=1,CF1604,IF(LEFT(Cockpit!$C$5,1)="B",AK1604,MAX(AK1604,H1604))))</f>
        <v>1700</v>
      </c>
      <c r="AG1604" s="50" t="n">
        <f aca="false">IF(BW1604=1,0,ROUNDUP(AF1604/BV1604,0))</f>
        <v>1</v>
      </c>
      <c r="AH1604" s="52" t="n">
        <f aca="false">IF(CL1604&gt;0,CL1604*MAX(1,AF1604/X1604),IF(BW1604=1,IF(AF1604&lt;=0,0,CA1604*MAX(1,IF(H1604&gt;0,AF1604/H1604,1))),IF(R1604&gt;0,AG1604/R1604,0))/MAX(0.1,N(Parameter!$M$21)))</f>
        <v>0.0384615384615385</v>
      </c>
      <c r="AI1604" s="50" t="n">
        <f aca="false">AH1604*BY1604</f>
        <v>5.96153846153846</v>
      </c>
      <c r="AJ1604" s="50" t="n">
        <f aca="false">AF1604*G1604</f>
        <v>136</v>
      </c>
      <c r="AK1604" s="50" t="n">
        <f aca="false">ROUNDUP(MAX(J1604/IF(CD1604&gt;0,CD1604,MAX(0.1,N(Cockpit!$C$6))),CG1604)/BV1604,0)*BV1604</f>
        <v>1700</v>
      </c>
      <c r="AL1604" s="51" t="n">
        <f aca="false">IF(AI1604&gt;0,J1604/AI1604,-1)</f>
        <v>0</v>
      </c>
      <c r="AM1604" s="51" t="n">
        <f aca="false">IF(AND(OR(CC1604="L1",CC1604="L23",CC1604="LIFT"),AI1604&gt;0),SUMIFS($AI$7:$AI$1843,$CC$7:$CC$1843,CC1604,$AL$7:$AL$1843,"&gt;"&amp;AL1604)+SUMIFS($AI$7:$AI$1843,$CC$7:$CC$1843,CC1604,$AL$7:$AL$1843,AL1604,$BT$7:$BT$1843,"&lt;="&amp;BT1604),"")</f>
        <v>30669.6879850376</v>
      </c>
      <c r="AN1604" s="58" t="n">
        <f aca="false">IF(AM1604="",0,MAX(0,MIN(1,(IF(CC1604="L1",Parameter!$H$5,IF(CC1604="L23",Parameter!$H$6+Parameter!$H$7,Parameter!$H$5+Parameter!$H$6+Parameter!$H$7))-(AM1604-AI1604))/AI1604)))</f>
        <v>1</v>
      </c>
      <c r="AO1604" s="50" t="n">
        <f aca="false">IF(LEFT(Cockpit!$I$5,1)="A",H1604,IF(CE1604=1,CF1604,IF(LEFT(Cockpit!$I$5,1)="B",AT1604,MAX(AT1604,H1604))))</f>
        <v>1700</v>
      </c>
      <c r="AP1604" s="50" t="n">
        <f aca="false">IF(BW1604=1,0,ROUNDUP(AO1604/BV1604,0))</f>
        <v>1</v>
      </c>
      <c r="AQ1604" s="52" t="n">
        <f aca="false">IF(CL1604&gt;0,CL1604*MAX(1,AO1604/X1604),IF(BW1604=1,IF(AO1604&lt;=0,0,CA1604*MAX(1,IF(H1604&gt;0,AO1604/H1604,1))),IF(R1604&gt;0,AP1604/R1604,0))/MAX(0.1,N(Parameter!$M$21)))</f>
        <v>0.0384615384615385</v>
      </c>
      <c r="AR1604" s="50" t="n">
        <f aca="false">AQ1604*BY1604</f>
        <v>5.96153846153846</v>
      </c>
      <c r="AS1604" s="50" t="n">
        <f aca="false">AO1604*G1604</f>
        <v>136</v>
      </c>
      <c r="AT1604" s="50" t="n">
        <f aca="false">ROUNDUP(MAX(J1604/IF(CD1604&gt;0,CD1604,MAX(0.1,N(Cockpit!$I$6))),CG1604)/BV1604,0)*BV1604</f>
        <v>1700</v>
      </c>
      <c r="AU1604" s="51" t="n">
        <f aca="false">IF(AR1604&gt;0,J1604/AR1604,-1)</f>
        <v>0</v>
      </c>
      <c r="AV1604" s="51" t="n">
        <f aca="false">IF(AND(OR(CC1604="L1",CC1604="L23",CC1604="LIFT"),AR1604&gt;0),SUMIFS($AR$7:$AR$1843,$CC$7:$CC$1843,CC1604,$AU$7:$AU$1843,"&gt;"&amp;AU1604)+SUMIFS($AR$7:$AR$1843,$CC$7:$CC$1843,CC1604,$AU$7:$AU$1843,AU1604,$BT$7:$BT$1843,"&lt;="&amp;BT1604),"")</f>
        <v>43031.5902971793</v>
      </c>
      <c r="AW1604" s="58" t="n">
        <f aca="false">IF(AV1604="",0,MAX(0,MIN(1,(IF(CC1604="L1",Parameter!$H$5,IF(CC1604="L23",Parameter!$H$6+Parameter!$H$7,Parameter!$H$5+Parameter!$H$6+Parameter!$H$7))-(AV1604-AR1604))/AR1604)))</f>
        <v>0</v>
      </c>
      <c r="AX1604" s="50" t="n">
        <f aca="false">IF(LEFT(Cockpit!$O$5,1)="A",H1604,IF(CE1604=1,CF1604,IF(LEFT(Cockpit!$O$5,1)="B",BC1604,MAX(BC1604,H1604))))</f>
        <v>1700</v>
      </c>
      <c r="AY1604" s="50" t="n">
        <f aca="false">IF(BW1604=1,0,ROUNDUP(AX1604/BV1604,0))</f>
        <v>1</v>
      </c>
      <c r="AZ1604" s="52" t="n">
        <f aca="false">IF(CL1604&gt;0,CL1604*MAX(1,AX1604/X1604),IF(BW1604=1,IF(AX1604&lt;=0,0,CA1604*MAX(1,IF(H1604&gt;0,AX1604/H1604,1))),IF(R1604&gt;0,AY1604/R1604,0))/MAX(0.1,N(Parameter!$M$21)))</f>
        <v>0.0384615384615385</v>
      </c>
      <c r="BA1604" s="50" t="n">
        <f aca="false">AZ1604*BY1604</f>
        <v>5.96153846153846</v>
      </c>
      <c r="BB1604" s="50" t="n">
        <f aca="false">AX1604*G1604</f>
        <v>136</v>
      </c>
      <c r="BC1604" s="50" t="n">
        <f aca="false">ROUNDUP(MAX(J1604/IF(CD1604&gt;0,CD1604,MAX(0.1,N(Cockpit!$O$6))),CG1604)/BV1604,0)*BV1604</f>
        <v>1700</v>
      </c>
      <c r="BD1604" s="51" t="n">
        <f aca="false">IF(BA1604&gt;0,J1604/BA1604,-1)</f>
        <v>0</v>
      </c>
      <c r="BE1604" s="51" t="n">
        <f aca="false">IF(AND(OR(CC1604="L1",CC1604="L23",CC1604="LIFT"),BA1604&gt;0),SUMIFS($BA$7:$BA$1843,$CC$7:$CC$1843,CC1604,$BD$7:$BD$1843,"&gt;"&amp;BD1604)+SUMIFS($BA$7:$BA$1843,$CC$7:$CC$1843,CC1604,$BD$7:$BD$1843,BD1604,$BT$7:$BT$1843,"&lt;="&amp;BT1604),"")</f>
        <v>39706.6023390451</v>
      </c>
      <c r="BF1604" s="58" t="n">
        <f aca="false">IF(BE1604="",0,MAX(0,MIN(1,(IF(CC1604="L1",Parameter!$H$5,IF(CC1604="L23",Parameter!$H$6+Parameter!$H$7,Parameter!$H$5+Parameter!$H$6+Parameter!$H$7))-(BE1604-BA1604))/BA1604)))</f>
        <v>0</v>
      </c>
      <c r="BG1604" s="48" t="str">
        <f aca="false">IF(AI1604&lt;=0,"",IF(CC1604="Aussen","Aussenlager",IF(CC1604="-","Nicht im Lift",IF(AN1604&gt;=1,"Lift",IF(AN1604&lt;=0,"Aussenlager","teilweise")))))</f>
        <v>Lift</v>
      </c>
      <c r="BH1604" s="48" t="str">
        <f aca="false">IF(AR1604&lt;=0,"",IF(CC1604="Aussen","Aussenlager",IF(CC1604="-","Nicht im Lift",IF(AW1604&gt;=1,"Lift",IF(AW1604&lt;=0,"Aussenlager","teilweise")))))</f>
        <v>Aussenlager</v>
      </c>
      <c r="BI1604" s="48" t="str">
        <f aca="false">IF(BA1604&lt;=0,"",IF(CC1604="Aussen","Aussenlager",IF(CC1604="-","Nicht im Lift",IF(BF1604&gt;=1,"Lift",IF(BF1604&lt;=0,"Aussenlager","teilweise")))))</f>
        <v>Aussenlager</v>
      </c>
      <c r="BJ1604" s="48" t="str">
        <f aca="false">IF(A1604="","",IF(BS1604=1,"Neu; ","")&amp;IF(AND(BS1604=0,BN1604&lt;0),"negativer Bestand (Export "&amp;BN1604&amp;"); ","")&amp;IF(J1604&lt;=0,"Kein Verbrauch; ","")&amp;IF(CL1604&gt;0,"Lift "&amp;W1604&amp;" lt. Liftbericht (Fach "&amp;X1604&amp;" Stk); ",IF(BX1604=1,"Gebinde geschätzt ("&amp;T1604&amp;"); ",IF(BW1604=1,"Lose – Tablare geschätzt; ","")))&amp;IF(H1604&gt;AT1604,"Überbestand "&amp;ROUND(H1604-AT1604,0)&amp;" Stk / CHF "&amp;ROUND((H1604-AT1604)*G1604,0)&amp;"; ","")&amp;IF(AND(CE1604=1,CF1604&lt;CG1604),"MAX &lt; MB+LG; ","")&amp;IF(AND(CK1604&gt;0,CJ1604*10&gt;CK1604),"zu hoch für Tablar; ","")&amp;IF(AND(BS1604=0,OR(CE1604=1,AA1604&lt;&gt;"",U1604&lt;&gt;"",V1604&lt;&gt;"",AB1604&lt;&gt;"")),"manuell übersteuert; ","")&amp;IF(AND(BW1604=0,R1604=0),"Gebinde unbekannt / Stellmass fehlt; ","")&amp;IF(AND(BW1604=0,N(V1604)&lt;=0,N(Q1604)&lt;=0),"Menge pro Gebinde fehlt (Ist = 1 Gebinde); ","")&amp;BR1604)</f>
        <v>Kein Verbrauch; Gebinde geschätzt (Klein); Menge pro Gebinde fehlt (Ist = 1 Gebinde); nur im Artikelstamm (Bestand 23.06.2026)</v>
      </c>
      <c r="BK1604" s="48"/>
      <c r="BL1604" s="48"/>
      <c r="BM1604" s="55"/>
      <c r="BN1604" s="50" t="n">
        <v>1700</v>
      </c>
      <c r="BO1604" s="50" t="n">
        <v>0</v>
      </c>
      <c r="BP1604" s="49" t="n">
        <v>0</v>
      </c>
      <c r="BQ1604" s="50" t="n">
        <v>0</v>
      </c>
      <c r="BR1604" s="48" t="s">
        <v>2579</v>
      </c>
      <c r="BS1604" s="53" t="n">
        <v>0</v>
      </c>
      <c r="BT1604" s="53" t="n">
        <v>1604</v>
      </c>
      <c r="BU1604" s="48" t="str">
        <f aca="false">IF(U1604&lt;&gt;"",UPPER(TRIM(U1604)),IF(BX1604=1,UPPER(VLOOKUP(T1604,Parameter!$I$27:$K$29,2,0)),IF(P1604="","LOSE",P1604)))</f>
        <v>S51</v>
      </c>
      <c r="BV1604" s="50" t="n">
        <f aca="false">IF(BU1604="LOSE",1,IF(N(V1604)&gt;0,V1604,IF(BX1604=1,MAX(1,N(VLOOKUP(T1604,Parameter!$I$27:$K$29,3,0)),H1604,N(N1604)),IF(N(Q1604)&gt;0,Q1604,MAX(1,H1604)))))</f>
        <v>1700</v>
      </c>
      <c r="BW1604" s="53" t="n">
        <f aca="false">IF(BU1604="LOSE",1,0)</f>
        <v>0</v>
      </c>
      <c r="BX1604" s="53" t="n">
        <f aca="false">IF(AND(U1604="",OR(P1604="",P1604="LOSE"),T1604&lt;&gt;"",N(S1604)&lt;=0,ISNUMBER(MATCH(T1604,Parameter!$I$27:$I$29,0))),1,0)</f>
        <v>1</v>
      </c>
      <c r="BY1604" s="53" t="n">
        <f aca="false">IF(CL1604&gt;0,INDEX(Parameter!$H$5:$H$7,W1604)/INDEX(Parameter!$E$5:$E$7,W1604),IF(AND(BW1604=0,N(IFERROR(VLOOKUP(BU1604,'Gebinde-Kategorie'!$A$5:$N$45,14,0),0))&gt;0),VLOOKUP(BU1604,'Gebinde-Kategorie'!$A$5:$N$45,14,0)*10+Parameter!$M$23,Parameter!$M$24))</f>
        <v>155</v>
      </c>
      <c r="BZ1604" s="48" t="str">
        <f aca="false">IF(AND(Parameter!$B$19="Ja",E1604&lt;&gt;"",ISNUMBER(MATCH(E1604,Parameter!$I$35:$I$52,0))),VLOOKUP(E1604,Parameter!$I$35:$J$52,2,0),IFERROR(VLOOKUP(D1604,Parameter!$A$35:$C$64,2,0),"Nein"))</f>
        <v>2+3</v>
      </c>
      <c r="CA1604" s="52" t="n">
        <f aca="false">IF(BW1604=0,0,IF(N(S1604)&gt;0,S1604,IFERROR(VLOOKUP(D1604,Parameter!$A$35:$C$64,3,0)+0,0)))</f>
        <v>0</v>
      </c>
      <c r="CB1604" s="48" t="n">
        <f aca="false">IF(AA1604&lt;&gt;"",AA1604,Z1604)</f>
        <v>3</v>
      </c>
      <c r="CC1604" s="48" t="str">
        <f aca="false">IF(OR(CB1604=1,CB1604=2,CB1604=3),IF(Parameter!$E$27="Ja","LIFT",IF(CB1604=1,"L1","L23")),IF(CB1604="Aussen","Aussen","-"))</f>
        <v>LIFT</v>
      </c>
      <c r="CD1604" s="59" t="n">
        <f aca="false">IF(N(AB1604)&gt;0,AB1604,0)</f>
        <v>0</v>
      </c>
      <c r="CE1604" s="53" t="n">
        <f aca="false">IF(ISNUMBER(AE1604),1,0)</f>
        <v>0</v>
      </c>
      <c r="CF1604" s="50" t="n">
        <f aca="false">N(AE1604)</f>
        <v>0</v>
      </c>
      <c r="CG1604" s="50" t="n">
        <f aca="false">N(M1604)+N(N1604)</f>
        <v>100</v>
      </c>
      <c r="CH1604" s="50" t="n">
        <f aca="false">ROUNDUP(H1604/BV1604,0)</f>
        <v>1</v>
      </c>
      <c r="CI1604" s="50" t="n">
        <f aca="false">ROUNDUP(CF1604/BV1604,0)</f>
        <v>0</v>
      </c>
      <c r="CJ1604" s="53" t="n">
        <f aca="false">IF(BW1604=1,0,IFERROR(VLOOKUP(BU1604,'Gebinde-Kategorie'!$A$5:$N$45,5,0)+0,0))</f>
        <v>11</v>
      </c>
      <c r="CK1604" s="53" t="n">
        <f aca="false">IFERROR(IF(OR(CB1604=1,CB1604=2,CB1604=3),N(INDEX(Parameter!$I$5:$I$7,CB1604)),0),0)</f>
        <v>0</v>
      </c>
      <c r="CL1604" s="52" t="n">
        <f aca="false">IF(AND(Parameter!$B$21="Ja",ISNUMBER(W1604),N(X1604)&gt;0),IFERROR(N(INDEX(Parameter!$L$5:$L$7,W1604))*INDEX(Parameter!$E$5:$E$7,W1604)*X1604/SUMIFS($X$7:$X$1843,$W$7:$W$1843,W1604),0),0)</f>
        <v>0</v>
      </c>
    </row>
    <row r="1605" customFormat="false" ht="15" hidden="false" customHeight="false" outlineLevel="0" collapsed="false">
      <c r="A1605" s="48" t="s">
        <v>2801</v>
      </c>
      <c r="B1605" s="48" t="s">
        <v>2802</v>
      </c>
      <c r="C1605" s="48" t="s">
        <v>168</v>
      </c>
      <c r="D1605" s="48" t="s">
        <v>177</v>
      </c>
      <c r="E1605" s="48"/>
      <c r="F1605" s="48"/>
      <c r="G1605" s="49" t="n">
        <v>0.4</v>
      </c>
      <c r="H1605" s="50" t="n">
        <f aca="false">MAX(0,IF(AND(Parameter!$B$21="Ja",ISNUMBER(Y1605)),Y1605,IF(Parameter!$B$20="Jahresanfang 2025 + Export",BO1605+BN1605,BN1605)))</f>
        <v>30</v>
      </c>
      <c r="I1605" s="50" t="n">
        <f aca="false">H1605*G1605</f>
        <v>12</v>
      </c>
      <c r="J1605" s="50" t="n">
        <f aca="false">BQ1605*Parameter!$B$18</f>
        <v>0</v>
      </c>
      <c r="K1605" s="51"/>
      <c r="L1605" s="52"/>
      <c r="M1605" s="50" t="n">
        <v>0</v>
      </c>
      <c r="N1605" s="50" t="n">
        <v>1</v>
      </c>
      <c r="O1605" s="53" t="n">
        <v>14</v>
      </c>
      <c r="P1605" s="48" t="s">
        <v>172</v>
      </c>
      <c r="Q1605" s="50"/>
      <c r="R1605" s="53" t="n">
        <f aca="false">IF(BW1605=1,0,IFERROR(VLOOKUP(BU1605,'Gebinde-Kategorie'!$A$5:$N$45,13,0)+0,0))</f>
        <v>12</v>
      </c>
      <c r="S1605" s="54"/>
      <c r="T1605" s="55" t="s">
        <v>183</v>
      </c>
      <c r="U1605" s="55"/>
      <c r="V1605" s="55"/>
      <c r="W1605" s="48"/>
      <c r="X1605" s="50"/>
      <c r="Y1605" s="50"/>
      <c r="Z1605" s="48" t="n">
        <f aca="false">IF(A1605="","",IF(AND(Parameter!$B$21="Ja",ISNUMBER(W1605)),W1605,IF(BZ1605="2+3",IF(ISNUMBER(SEARCH("grosser Artikel",BR1605)),2,IFERROR(VLOOKUP(BU1605,Parameter!$F$35:$G$64,2,0),2)),IF(OR(BZ1605="Nein",BZ1605=""),"-",BZ1605))))</f>
        <v>2</v>
      </c>
      <c r="AA1605" s="55"/>
      <c r="AB1605" s="56"/>
      <c r="AC1605" s="50" t="n">
        <f aca="false">AT1605</f>
        <v>30</v>
      </c>
      <c r="AD1605" s="50" t="n">
        <f aca="false">MAX(AT1605,H1605)</f>
        <v>30</v>
      </c>
      <c r="AE1605" s="57"/>
      <c r="AF1605" s="50" t="n">
        <f aca="false">IF(LEFT(Cockpit!$C$5,1)="A",H1605,IF(CE1605=1,CF1605,IF(LEFT(Cockpit!$C$5,1)="B",AK1605,MAX(AK1605,H1605))))</f>
        <v>30</v>
      </c>
      <c r="AG1605" s="50" t="n">
        <f aca="false">IF(BW1605=1,0,ROUNDUP(AF1605/BV1605,0))</f>
        <v>1</v>
      </c>
      <c r="AH1605" s="52" t="n">
        <f aca="false">IF(CL1605&gt;0,CL1605*MAX(1,AF1605/X1605),IF(BW1605=1,IF(AF1605&lt;=0,0,CA1605*MAX(1,IF(H1605&gt;0,AF1605/H1605,1))),IF(R1605&gt;0,AG1605/R1605,0))/MAX(0.1,N(Parameter!$M$21)))</f>
        <v>0.0833333333333333</v>
      </c>
      <c r="AI1605" s="50" t="n">
        <f aca="false">AH1605*BY1605</f>
        <v>12.0833333333333</v>
      </c>
      <c r="AJ1605" s="50" t="n">
        <f aca="false">AF1605*G1605</f>
        <v>12</v>
      </c>
      <c r="AK1605" s="50" t="n">
        <f aca="false">ROUNDUP(MAX(J1605/IF(CD1605&gt;0,CD1605,MAX(0.1,N(Cockpit!$C$6))),CG1605)/BV1605,0)*BV1605</f>
        <v>30</v>
      </c>
      <c r="AL1605" s="51" t="n">
        <f aca="false">IF(AI1605&gt;0,J1605/AI1605,-1)</f>
        <v>0</v>
      </c>
      <c r="AM1605" s="51" t="n">
        <f aca="false">IF(AND(OR(CC1605="L1",CC1605="L23",CC1605="LIFT"),AI1605&gt;0),SUMIFS($AI$7:$AI$1843,$CC$7:$CC$1843,CC1605,$AL$7:$AL$1843,"&gt;"&amp;AL1605)+SUMIFS($AI$7:$AI$1843,$CC$7:$CC$1843,CC1605,$AL$7:$AL$1843,AL1605,$BT$7:$BT$1843,"&lt;="&amp;BT1605),"")</f>
        <v>30681.7713183709</v>
      </c>
      <c r="AN1605" s="58" t="n">
        <f aca="false">IF(AM1605="",0,MAX(0,MIN(1,(IF(CC1605="L1",Parameter!$H$5,IF(CC1605="L23",Parameter!$H$6+Parameter!$H$7,Parameter!$H$5+Parameter!$H$6+Parameter!$H$7))-(AM1605-AI1605))/AI1605)))</f>
        <v>1</v>
      </c>
      <c r="AO1605" s="50" t="n">
        <f aca="false">IF(LEFT(Cockpit!$I$5,1)="A",H1605,IF(CE1605=1,CF1605,IF(LEFT(Cockpit!$I$5,1)="B",AT1605,MAX(AT1605,H1605))))</f>
        <v>30</v>
      </c>
      <c r="AP1605" s="50" t="n">
        <f aca="false">IF(BW1605=1,0,ROUNDUP(AO1605/BV1605,0))</f>
        <v>1</v>
      </c>
      <c r="AQ1605" s="52" t="n">
        <f aca="false">IF(CL1605&gt;0,CL1605*MAX(1,AO1605/X1605),IF(BW1605=1,IF(AO1605&lt;=0,0,CA1605*MAX(1,IF(H1605&gt;0,AO1605/H1605,1))),IF(R1605&gt;0,AP1605/R1605,0))/MAX(0.1,N(Parameter!$M$21)))</f>
        <v>0.0833333333333333</v>
      </c>
      <c r="AR1605" s="50" t="n">
        <f aca="false">AQ1605*BY1605</f>
        <v>12.0833333333333</v>
      </c>
      <c r="AS1605" s="50" t="n">
        <f aca="false">AO1605*G1605</f>
        <v>12</v>
      </c>
      <c r="AT1605" s="50" t="n">
        <f aca="false">ROUNDUP(MAX(J1605/IF(CD1605&gt;0,CD1605,MAX(0.1,N(Cockpit!$I$6))),CG1605)/BV1605,0)*BV1605</f>
        <v>30</v>
      </c>
      <c r="AU1605" s="51" t="n">
        <f aca="false">IF(AR1605&gt;0,J1605/AR1605,-1)</f>
        <v>0</v>
      </c>
      <c r="AV1605" s="51" t="n">
        <f aca="false">IF(AND(OR(CC1605="L1",CC1605="L23",CC1605="LIFT"),AR1605&gt;0),SUMIFS($AR$7:$AR$1843,$CC$7:$CC$1843,CC1605,$AU$7:$AU$1843,"&gt;"&amp;AU1605)+SUMIFS($AR$7:$AR$1843,$CC$7:$CC$1843,CC1605,$AU$7:$AU$1843,AU1605,$BT$7:$BT$1843,"&lt;="&amp;BT1605),"")</f>
        <v>43043.6736305126</v>
      </c>
      <c r="AW1605" s="58" t="n">
        <f aca="false">IF(AV1605="",0,MAX(0,MIN(1,(IF(CC1605="L1",Parameter!$H$5,IF(CC1605="L23",Parameter!$H$6+Parameter!$H$7,Parameter!$H$5+Parameter!$H$6+Parameter!$H$7))-(AV1605-AR1605))/AR1605)))</f>
        <v>0</v>
      </c>
      <c r="AX1605" s="50" t="n">
        <f aca="false">IF(LEFT(Cockpit!$O$5,1)="A",H1605,IF(CE1605=1,CF1605,IF(LEFT(Cockpit!$O$5,1)="B",BC1605,MAX(BC1605,H1605))))</f>
        <v>30</v>
      </c>
      <c r="AY1605" s="50" t="n">
        <f aca="false">IF(BW1605=1,0,ROUNDUP(AX1605/BV1605,0))</f>
        <v>1</v>
      </c>
      <c r="AZ1605" s="52" t="n">
        <f aca="false">IF(CL1605&gt;0,CL1605*MAX(1,AX1605/X1605),IF(BW1605=1,IF(AX1605&lt;=0,0,CA1605*MAX(1,IF(H1605&gt;0,AX1605/H1605,1))),IF(R1605&gt;0,AY1605/R1605,0))/MAX(0.1,N(Parameter!$M$21)))</f>
        <v>0.0833333333333333</v>
      </c>
      <c r="BA1605" s="50" t="n">
        <f aca="false">AZ1605*BY1605</f>
        <v>12.0833333333333</v>
      </c>
      <c r="BB1605" s="50" t="n">
        <f aca="false">AX1605*G1605</f>
        <v>12</v>
      </c>
      <c r="BC1605" s="50" t="n">
        <f aca="false">ROUNDUP(MAX(J1605/IF(CD1605&gt;0,CD1605,MAX(0.1,N(Cockpit!$O$6))),CG1605)/BV1605,0)*BV1605</f>
        <v>30</v>
      </c>
      <c r="BD1605" s="51" t="n">
        <f aca="false">IF(BA1605&gt;0,J1605/BA1605,-1)</f>
        <v>0</v>
      </c>
      <c r="BE1605" s="51" t="n">
        <f aca="false">IF(AND(OR(CC1605="L1",CC1605="L23",CC1605="LIFT"),BA1605&gt;0),SUMIFS($BA$7:$BA$1843,$CC$7:$CC$1843,CC1605,$BD$7:$BD$1843,"&gt;"&amp;BD1605)+SUMIFS($BA$7:$BA$1843,$CC$7:$CC$1843,CC1605,$BD$7:$BD$1843,BD1605,$BT$7:$BT$1843,"&lt;="&amp;BT1605),"")</f>
        <v>39718.6856723785</v>
      </c>
      <c r="BF1605" s="58" t="n">
        <f aca="false">IF(BE1605="",0,MAX(0,MIN(1,(IF(CC1605="L1",Parameter!$H$5,IF(CC1605="L23",Parameter!$H$6+Parameter!$H$7,Parameter!$H$5+Parameter!$H$6+Parameter!$H$7))-(BE1605-BA1605))/BA1605)))</f>
        <v>0</v>
      </c>
      <c r="BG1605" s="48" t="str">
        <f aca="false">IF(AI1605&lt;=0,"",IF(CC1605="Aussen","Aussenlager",IF(CC1605="-","Nicht im Lift",IF(AN1605&gt;=1,"Lift",IF(AN1605&lt;=0,"Aussenlager","teilweise")))))</f>
        <v>Lift</v>
      </c>
      <c r="BH1605" s="48" t="str">
        <f aca="false">IF(AR1605&lt;=0,"",IF(CC1605="Aussen","Aussenlager",IF(CC1605="-","Nicht im Lift",IF(AW1605&gt;=1,"Lift",IF(AW1605&lt;=0,"Aussenlager","teilweise")))))</f>
        <v>Aussenlager</v>
      </c>
      <c r="BI1605" s="48" t="str">
        <f aca="false">IF(BA1605&lt;=0,"",IF(CC1605="Aussen","Aussenlager",IF(CC1605="-","Nicht im Lift",IF(BF1605&gt;=1,"Lift",IF(BF1605&lt;=0,"Aussenlager","teilweise")))))</f>
        <v>Aussenlager</v>
      </c>
      <c r="BJ1605" s="48" t="str">
        <f aca="false">IF(A1605="","",IF(BS1605=1,"Neu; ","")&amp;IF(AND(BS1605=0,BN1605&lt;0),"negativer Bestand (Export "&amp;BN1605&amp;"); ","")&amp;IF(J1605&lt;=0,"Kein Verbrauch; ","")&amp;IF(CL1605&gt;0,"Lift "&amp;W1605&amp;" lt. Liftbericht (Fach "&amp;X1605&amp;" Stk); ",IF(BX1605=1,"Gebinde geschätzt ("&amp;T1605&amp;"); ",IF(BW1605=1,"Lose – Tablare geschätzt; ","")))&amp;IF(H1605&gt;AT1605,"Überbestand "&amp;ROUND(H1605-AT1605,0)&amp;" Stk / CHF "&amp;ROUND((H1605-AT1605)*G1605,0)&amp;"; ","")&amp;IF(AND(CE1605=1,CF1605&lt;CG1605),"MAX &lt; MB+LG; ","")&amp;IF(AND(CK1605&gt;0,CJ1605*10&gt;CK1605),"zu hoch für Tablar; ","")&amp;IF(AND(BS1605=0,OR(CE1605=1,AA1605&lt;&gt;"",U1605&lt;&gt;"",V1605&lt;&gt;"",AB1605&lt;&gt;"")),"manuell übersteuert; ","")&amp;IF(AND(BW1605=0,R1605=0),"Gebinde unbekannt / Stellmass fehlt; ","")&amp;IF(AND(BW1605=0,N(V1605)&lt;=0,N(Q1605)&lt;=0),"Menge pro Gebinde fehlt (Ist = 1 Gebinde); ","")&amp;BR1605)</f>
        <v>Kein Verbrauch; Gebinde geschätzt (Mittel); Menge pro Gebinde fehlt (Ist = 1 Gebinde); nur im Artikelstamm (Bestand 23.06.2026)</v>
      </c>
      <c r="BK1605" s="48"/>
      <c r="BL1605" s="48"/>
      <c r="BM1605" s="55"/>
      <c r="BN1605" s="50" t="n">
        <v>30</v>
      </c>
      <c r="BO1605" s="50" t="n">
        <v>0</v>
      </c>
      <c r="BP1605" s="49" t="n">
        <v>0</v>
      </c>
      <c r="BQ1605" s="50" t="n">
        <v>0</v>
      </c>
      <c r="BR1605" s="48" t="s">
        <v>2579</v>
      </c>
      <c r="BS1605" s="53" t="n">
        <v>0</v>
      </c>
      <c r="BT1605" s="53" t="n">
        <v>1605</v>
      </c>
      <c r="BU1605" s="48" t="str">
        <f aca="false">IF(U1605&lt;&gt;"",UPPER(TRIM(U1605)),IF(BX1605=1,UPPER(VLOOKUP(T1605,Parameter!$I$27:$K$29,2,0)),IF(P1605="","LOSE",P1605)))</f>
        <v>S61</v>
      </c>
      <c r="BV1605" s="50" t="n">
        <f aca="false">IF(BU1605="LOSE",1,IF(N(V1605)&gt;0,V1605,IF(BX1605=1,MAX(1,N(VLOOKUP(T1605,Parameter!$I$27:$K$29,3,0)),H1605,N(N1605)),IF(N(Q1605)&gt;0,Q1605,MAX(1,H1605)))))</f>
        <v>30</v>
      </c>
      <c r="BW1605" s="53" t="n">
        <f aca="false">IF(BU1605="LOSE",1,0)</f>
        <v>0</v>
      </c>
      <c r="BX1605" s="53" t="n">
        <f aca="false">IF(AND(U1605="",OR(P1605="",P1605="LOSE"),T1605&lt;&gt;"",N(S1605)&lt;=0,ISNUMBER(MATCH(T1605,Parameter!$I$27:$I$29,0))),1,0)</f>
        <v>1</v>
      </c>
      <c r="BY1605" s="53" t="n">
        <f aca="false">IF(CL1605&gt;0,INDEX(Parameter!$H$5:$H$7,W1605)/INDEX(Parameter!$E$5:$E$7,W1605),IF(AND(BW1605=0,N(IFERROR(VLOOKUP(BU1605,'Gebinde-Kategorie'!$A$5:$N$45,14,0),0))&gt;0),VLOOKUP(BU1605,'Gebinde-Kategorie'!$A$5:$N$45,14,0)*10+Parameter!$M$23,Parameter!$M$24))</f>
        <v>145</v>
      </c>
      <c r="BZ1605" s="48" t="str">
        <f aca="false">IF(AND(Parameter!$B$19="Ja",E1605&lt;&gt;"",ISNUMBER(MATCH(E1605,Parameter!$I$35:$I$52,0))),VLOOKUP(E1605,Parameter!$I$35:$J$52,2,0),IFERROR(VLOOKUP(D1605,Parameter!$A$35:$C$64,2,0),"Nein"))</f>
        <v>2+3</v>
      </c>
      <c r="CA1605" s="52" t="n">
        <f aca="false">IF(BW1605=0,0,IF(N(S1605)&gt;0,S1605,IFERROR(VLOOKUP(D1605,Parameter!$A$35:$C$64,3,0)+0,0)))</f>
        <v>0</v>
      </c>
      <c r="CB1605" s="48" t="n">
        <f aca="false">IF(AA1605&lt;&gt;"",AA1605,Z1605)</f>
        <v>2</v>
      </c>
      <c r="CC1605" s="48" t="str">
        <f aca="false">IF(OR(CB1605=1,CB1605=2,CB1605=3),IF(Parameter!$E$27="Ja","LIFT",IF(CB1605=1,"L1","L23")),IF(CB1605="Aussen","Aussen","-"))</f>
        <v>LIFT</v>
      </c>
      <c r="CD1605" s="59" t="n">
        <f aca="false">IF(N(AB1605)&gt;0,AB1605,0)</f>
        <v>0</v>
      </c>
      <c r="CE1605" s="53" t="n">
        <f aca="false">IF(ISNUMBER(AE1605),1,0)</f>
        <v>0</v>
      </c>
      <c r="CF1605" s="50" t="n">
        <f aca="false">N(AE1605)</f>
        <v>0</v>
      </c>
      <c r="CG1605" s="50" t="n">
        <f aca="false">N(M1605)+N(N1605)</f>
        <v>1</v>
      </c>
      <c r="CH1605" s="50" t="n">
        <f aca="false">ROUNDUP(H1605/BV1605,0)</f>
        <v>1</v>
      </c>
      <c r="CI1605" s="50" t="n">
        <f aca="false">ROUNDUP(CF1605/BV1605,0)</f>
        <v>0</v>
      </c>
      <c r="CJ1605" s="53" t="n">
        <f aca="false">IF(BW1605=1,0,IFERROR(VLOOKUP(BU1605,'Gebinde-Kategorie'!$A$5:$N$45,5,0)+0,0))</f>
        <v>11</v>
      </c>
      <c r="CK1605" s="53" t="n">
        <f aca="false">IFERROR(IF(OR(CB1605=1,CB1605=2,CB1605=3),N(INDEX(Parameter!$I$5:$I$7,CB1605)),0),0)</f>
        <v>0</v>
      </c>
      <c r="CL1605" s="52" t="n">
        <f aca="false">IF(AND(Parameter!$B$21="Ja",ISNUMBER(W1605),N(X1605)&gt;0),IFERROR(N(INDEX(Parameter!$L$5:$L$7,W1605))*INDEX(Parameter!$E$5:$E$7,W1605)*X1605/SUMIFS($X$7:$X$1843,$W$7:$W$1843,W1605),0),0)</f>
        <v>0</v>
      </c>
    </row>
    <row r="1606" customFormat="false" ht="15" hidden="false" customHeight="false" outlineLevel="0" collapsed="false">
      <c r="A1606" s="48" t="s">
        <v>2803</v>
      </c>
      <c r="B1606" s="48" t="s">
        <v>2804</v>
      </c>
      <c r="C1606" s="48" t="s">
        <v>168</v>
      </c>
      <c r="D1606" s="48" t="s">
        <v>188</v>
      </c>
      <c r="E1606" s="48"/>
      <c r="F1606" s="48"/>
      <c r="G1606" s="49" t="n">
        <v>14.58</v>
      </c>
      <c r="H1606" s="50" t="n">
        <f aca="false">MAX(0,IF(AND(Parameter!$B$21="Ja",ISNUMBER(Y1606)),Y1606,IF(Parameter!$B$20="Jahresanfang 2025 + Export",BO1606+BN1606,BN1606)))</f>
        <v>4</v>
      </c>
      <c r="I1606" s="50" t="n">
        <f aca="false">H1606*G1606</f>
        <v>58.32</v>
      </c>
      <c r="J1606" s="50" t="n">
        <f aca="false">BQ1606*Parameter!$B$18</f>
        <v>0</v>
      </c>
      <c r="K1606" s="51"/>
      <c r="L1606" s="52"/>
      <c r="M1606" s="50" t="n">
        <v>0</v>
      </c>
      <c r="N1606" s="50" t="n">
        <v>5</v>
      </c>
      <c r="O1606" s="53" t="n">
        <v>14</v>
      </c>
      <c r="P1606" s="48" t="s">
        <v>172</v>
      </c>
      <c r="Q1606" s="50"/>
      <c r="R1606" s="53" t="n">
        <f aca="false">IF(BW1606=1,0,IFERROR(VLOOKUP(BU1606,'Gebinde-Kategorie'!$A$5:$N$45,13,0)+0,0))</f>
        <v>26</v>
      </c>
      <c r="S1606" s="54"/>
      <c r="T1606" s="55" t="s">
        <v>279</v>
      </c>
      <c r="U1606" s="55"/>
      <c r="V1606" s="55"/>
      <c r="W1606" s="48"/>
      <c r="X1606" s="50"/>
      <c r="Y1606" s="50"/>
      <c r="Z1606" s="48" t="n">
        <f aca="false">IF(A1606="","",IF(AND(Parameter!$B$21="Ja",ISNUMBER(W1606)),W1606,IF(BZ1606="2+3",IF(ISNUMBER(SEARCH("grosser Artikel",BR1606)),2,IFERROR(VLOOKUP(BU1606,Parameter!$F$35:$G$64,2,0),2)),IF(OR(BZ1606="Nein",BZ1606=""),"-",BZ1606))))</f>
        <v>3</v>
      </c>
      <c r="AA1606" s="55"/>
      <c r="AB1606" s="56"/>
      <c r="AC1606" s="50" t="n">
        <f aca="false">AT1606</f>
        <v>20</v>
      </c>
      <c r="AD1606" s="50" t="n">
        <f aca="false">MAX(AT1606,H1606)</f>
        <v>20</v>
      </c>
      <c r="AE1606" s="57"/>
      <c r="AF1606" s="50" t="n">
        <f aca="false">IF(LEFT(Cockpit!$C$5,1)="A",H1606,IF(CE1606=1,CF1606,IF(LEFT(Cockpit!$C$5,1)="B",AK1606,MAX(AK1606,H1606))))</f>
        <v>4</v>
      </c>
      <c r="AG1606" s="50" t="n">
        <f aca="false">IF(BW1606=1,0,ROUNDUP(AF1606/BV1606,0))</f>
        <v>1</v>
      </c>
      <c r="AH1606" s="52" t="n">
        <f aca="false">IF(CL1606&gt;0,CL1606*MAX(1,AF1606/X1606),IF(BW1606=1,IF(AF1606&lt;=0,0,CA1606*MAX(1,IF(H1606&gt;0,AF1606/H1606,1))),IF(R1606&gt;0,AG1606/R1606,0))/MAX(0.1,N(Parameter!$M$21)))</f>
        <v>0.0384615384615385</v>
      </c>
      <c r="AI1606" s="50" t="n">
        <f aca="false">AH1606*BY1606</f>
        <v>5.96153846153846</v>
      </c>
      <c r="AJ1606" s="50" t="n">
        <f aca="false">AF1606*G1606</f>
        <v>58.32</v>
      </c>
      <c r="AK1606" s="50" t="n">
        <f aca="false">ROUNDUP(MAX(J1606/IF(CD1606&gt;0,CD1606,MAX(0.1,N(Cockpit!$C$6))),CG1606)/BV1606,0)*BV1606</f>
        <v>20</v>
      </c>
      <c r="AL1606" s="51" t="n">
        <f aca="false">IF(AI1606&gt;0,J1606/AI1606,-1)</f>
        <v>0</v>
      </c>
      <c r="AM1606" s="51" t="n">
        <f aca="false">IF(AND(OR(CC1606="L1",CC1606="L23",CC1606="LIFT"),AI1606&gt;0),SUMIFS($AI$7:$AI$1843,$CC$7:$CC$1843,CC1606,$AL$7:$AL$1843,"&gt;"&amp;AL1606)+SUMIFS($AI$7:$AI$1843,$CC$7:$CC$1843,CC1606,$AL$7:$AL$1843,AL1606,$BT$7:$BT$1843,"&lt;="&amp;BT1606),"")</f>
        <v>30687.7328568324</v>
      </c>
      <c r="AN1606" s="58" t="n">
        <f aca="false">IF(AM1606="",0,MAX(0,MIN(1,(IF(CC1606="L1",Parameter!$H$5,IF(CC1606="L23",Parameter!$H$6+Parameter!$H$7,Parameter!$H$5+Parameter!$H$6+Parameter!$H$7))-(AM1606-AI1606))/AI1606)))</f>
        <v>1</v>
      </c>
      <c r="AO1606" s="50" t="n">
        <f aca="false">IF(LEFT(Cockpit!$I$5,1)="A",H1606,IF(CE1606=1,CF1606,IF(LEFT(Cockpit!$I$5,1)="B",AT1606,MAX(AT1606,H1606))))</f>
        <v>20</v>
      </c>
      <c r="AP1606" s="50" t="n">
        <f aca="false">IF(BW1606=1,0,ROUNDUP(AO1606/BV1606,0))</f>
        <v>1</v>
      </c>
      <c r="AQ1606" s="52" t="n">
        <f aca="false">IF(CL1606&gt;0,CL1606*MAX(1,AO1606/X1606),IF(BW1606=1,IF(AO1606&lt;=0,0,CA1606*MAX(1,IF(H1606&gt;0,AO1606/H1606,1))),IF(R1606&gt;0,AP1606/R1606,0))/MAX(0.1,N(Parameter!$M$21)))</f>
        <v>0.0384615384615385</v>
      </c>
      <c r="AR1606" s="50" t="n">
        <f aca="false">AQ1606*BY1606</f>
        <v>5.96153846153846</v>
      </c>
      <c r="AS1606" s="50" t="n">
        <f aca="false">AO1606*G1606</f>
        <v>291.6</v>
      </c>
      <c r="AT1606" s="50" t="n">
        <f aca="false">ROUNDUP(MAX(J1606/IF(CD1606&gt;0,CD1606,MAX(0.1,N(Cockpit!$I$6))),CG1606)/BV1606,0)*BV1606</f>
        <v>20</v>
      </c>
      <c r="AU1606" s="51" t="n">
        <f aca="false">IF(AR1606&gt;0,J1606/AR1606,-1)</f>
        <v>0</v>
      </c>
      <c r="AV1606" s="51" t="n">
        <f aca="false">IF(AND(OR(CC1606="L1",CC1606="L23",CC1606="LIFT"),AR1606&gt;0),SUMIFS($AR$7:$AR$1843,$CC$7:$CC$1843,CC1606,$AU$7:$AU$1843,"&gt;"&amp;AU1606)+SUMIFS($AR$7:$AR$1843,$CC$7:$CC$1843,CC1606,$AU$7:$AU$1843,AU1606,$BT$7:$BT$1843,"&lt;="&amp;BT1606),"")</f>
        <v>43049.6351689742</v>
      </c>
      <c r="AW1606" s="58" t="n">
        <f aca="false">IF(AV1606="",0,MAX(0,MIN(1,(IF(CC1606="L1",Parameter!$H$5,IF(CC1606="L23",Parameter!$H$6+Parameter!$H$7,Parameter!$H$5+Parameter!$H$6+Parameter!$H$7))-(AV1606-AR1606))/AR1606)))</f>
        <v>0</v>
      </c>
      <c r="AX1606" s="50" t="n">
        <f aca="false">IF(LEFT(Cockpit!$O$5,1)="A",H1606,IF(CE1606=1,CF1606,IF(LEFT(Cockpit!$O$5,1)="B",BC1606,MAX(BC1606,H1606))))</f>
        <v>20</v>
      </c>
      <c r="AY1606" s="50" t="n">
        <f aca="false">IF(BW1606=1,0,ROUNDUP(AX1606/BV1606,0))</f>
        <v>1</v>
      </c>
      <c r="AZ1606" s="52" t="n">
        <f aca="false">IF(CL1606&gt;0,CL1606*MAX(1,AX1606/X1606),IF(BW1606=1,IF(AX1606&lt;=0,0,CA1606*MAX(1,IF(H1606&gt;0,AX1606/H1606,1))),IF(R1606&gt;0,AY1606/R1606,0))/MAX(0.1,N(Parameter!$M$21)))</f>
        <v>0.0384615384615385</v>
      </c>
      <c r="BA1606" s="50" t="n">
        <f aca="false">AZ1606*BY1606</f>
        <v>5.96153846153846</v>
      </c>
      <c r="BB1606" s="50" t="n">
        <f aca="false">AX1606*G1606</f>
        <v>291.6</v>
      </c>
      <c r="BC1606" s="50" t="n">
        <f aca="false">ROUNDUP(MAX(J1606/IF(CD1606&gt;0,CD1606,MAX(0.1,N(Cockpit!$O$6))),CG1606)/BV1606,0)*BV1606</f>
        <v>20</v>
      </c>
      <c r="BD1606" s="51" t="n">
        <f aca="false">IF(BA1606&gt;0,J1606/BA1606,-1)</f>
        <v>0</v>
      </c>
      <c r="BE1606" s="51" t="n">
        <f aca="false">IF(AND(OR(CC1606="L1",CC1606="L23",CC1606="LIFT"),BA1606&gt;0),SUMIFS($BA$7:$BA$1843,$CC$7:$CC$1843,CC1606,$BD$7:$BD$1843,"&gt;"&amp;BD1606)+SUMIFS($BA$7:$BA$1843,$CC$7:$CC$1843,CC1606,$BD$7:$BD$1843,BD1606,$BT$7:$BT$1843,"&lt;="&amp;BT1606),"")</f>
        <v>39724.64721084</v>
      </c>
      <c r="BF1606" s="58" t="n">
        <f aca="false">IF(BE1606="",0,MAX(0,MIN(1,(IF(CC1606="L1",Parameter!$H$5,IF(CC1606="L23",Parameter!$H$6+Parameter!$H$7,Parameter!$H$5+Parameter!$H$6+Parameter!$H$7))-(BE1606-BA1606))/BA1606)))</f>
        <v>0</v>
      </c>
      <c r="BG1606" s="48" t="str">
        <f aca="false">IF(AI1606&lt;=0,"",IF(CC1606="Aussen","Aussenlager",IF(CC1606="-","Nicht im Lift",IF(AN1606&gt;=1,"Lift",IF(AN1606&lt;=0,"Aussenlager","teilweise")))))</f>
        <v>Lift</v>
      </c>
      <c r="BH1606" s="48" t="str">
        <f aca="false">IF(AR1606&lt;=0,"",IF(CC1606="Aussen","Aussenlager",IF(CC1606="-","Nicht im Lift",IF(AW1606&gt;=1,"Lift",IF(AW1606&lt;=0,"Aussenlager","teilweise")))))</f>
        <v>Aussenlager</v>
      </c>
      <c r="BI1606" s="48" t="str">
        <f aca="false">IF(BA1606&lt;=0,"",IF(CC1606="Aussen","Aussenlager",IF(CC1606="-","Nicht im Lift",IF(BF1606&gt;=1,"Lift",IF(BF1606&lt;=0,"Aussenlager","teilweise")))))</f>
        <v>Aussenlager</v>
      </c>
      <c r="BJ1606" s="48" t="str">
        <f aca="false">IF(A1606="","",IF(BS1606=1,"Neu; ","")&amp;IF(AND(BS1606=0,BN1606&lt;0),"negativer Bestand (Export "&amp;BN1606&amp;"); ","")&amp;IF(J1606&lt;=0,"Kein Verbrauch; ","")&amp;IF(CL1606&gt;0,"Lift "&amp;W1606&amp;" lt. Liftbericht (Fach "&amp;X1606&amp;" Stk); ",IF(BX1606=1,"Gebinde geschätzt ("&amp;T1606&amp;"); ",IF(BW1606=1,"Lose – Tablare geschätzt; ","")))&amp;IF(H1606&gt;AT1606,"Überbestand "&amp;ROUND(H1606-AT1606,0)&amp;" Stk / CHF "&amp;ROUND((H1606-AT1606)*G1606,0)&amp;"; ","")&amp;IF(AND(CE1606=1,CF1606&lt;CG1606),"MAX &lt; MB+LG; ","")&amp;IF(AND(CK1606&gt;0,CJ1606*10&gt;CK1606),"zu hoch für Tablar; ","")&amp;IF(AND(BS1606=0,OR(CE1606=1,AA1606&lt;&gt;"",U1606&lt;&gt;"",V1606&lt;&gt;"",AB1606&lt;&gt;"")),"manuell übersteuert; ","")&amp;IF(AND(BW1606=0,R1606=0),"Gebinde unbekannt / Stellmass fehlt; ","")&amp;IF(AND(BW1606=0,N(V1606)&lt;=0,N(Q1606)&lt;=0),"Menge pro Gebinde fehlt (Ist = 1 Gebinde); ","")&amp;BR1606)</f>
        <v>Kein Verbrauch; Gebinde geschätzt (Klein); Menge pro Gebinde fehlt (Ist = 1 Gebinde); nur im Artikelstamm (Bestand 23.06.2026)</v>
      </c>
      <c r="BK1606" s="48"/>
      <c r="BL1606" s="48"/>
      <c r="BM1606" s="55"/>
      <c r="BN1606" s="50" t="n">
        <v>4</v>
      </c>
      <c r="BO1606" s="50" t="n">
        <v>0</v>
      </c>
      <c r="BP1606" s="49" t="n">
        <v>0</v>
      </c>
      <c r="BQ1606" s="50" t="n">
        <v>0</v>
      </c>
      <c r="BR1606" s="48" t="s">
        <v>2579</v>
      </c>
      <c r="BS1606" s="53" t="n">
        <v>0</v>
      </c>
      <c r="BT1606" s="53" t="n">
        <v>1606</v>
      </c>
      <c r="BU1606" s="48" t="str">
        <f aca="false">IF(U1606&lt;&gt;"",UPPER(TRIM(U1606)),IF(BX1606=1,UPPER(VLOOKUP(T1606,Parameter!$I$27:$K$29,2,0)),IF(P1606="","LOSE",P1606)))</f>
        <v>S51</v>
      </c>
      <c r="BV1606" s="50" t="n">
        <f aca="false">IF(BU1606="LOSE",1,IF(N(V1606)&gt;0,V1606,IF(BX1606=1,MAX(1,N(VLOOKUP(T1606,Parameter!$I$27:$K$29,3,0)),H1606,N(N1606)),IF(N(Q1606)&gt;0,Q1606,MAX(1,H1606)))))</f>
        <v>20</v>
      </c>
      <c r="BW1606" s="53" t="n">
        <f aca="false">IF(BU1606="LOSE",1,0)</f>
        <v>0</v>
      </c>
      <c r="BX1606" s="53" t="n">
        <f aca="false">IF(AND(U1606="",OR(P1606="",P1606="LOSE"),T1606&lt;&gt;"",N(S1606)&lt;=0,ISNUMBER(MATCH(T1606,Parameter!$I$27:$I$29,0))),1,0)</f>
        <v>1</v>
      </c>
      <c r="BY1606" s="53" t="n">
        <f aca="false">IF(CL1606&gt;0,INDEX(Parameter!$H$5:$H$7,W1606)/INDEX(Parameter!$E$5:$E$7,W1606),IF(AND(BW1606=0,N(IFERROR(VLOOKUP(BU1606,'Gebinde-Kategorie'!$A$5:$N$45,14,0),0))&gt;0),VLOOKUP(BU1606,'Gebinde-Kategorie'!$A$5:$N$45,14,0)*10+Parameter!$M$23,Parameter!$M$24))</f>
        <v>155</v>
      </c>
      <c r="BZ1606" s="48" t="str">
        <f aca="false">IF(AND(Parameter!$B$19="Ja",E1606&lt;&gt;"",ISNUMBER(MATCH(E1606,Parameter!$I$35:$I$52,0))),VLOOKUP(E1606,Parameter!$I$35:$J$52,2,0),IFERROR(VLOOKUP(D1606,Parameter!$A$35:$C$64,2,0),"Nein"))</f>
        <v>2+3</v>
      </c>
      <c r="CA1606" s="52" t="n">
        <f aca="false">IF(BW1606=0,0,IF(N(S1606)&gt;0,S1606,IFERROR(VLOOKUP(D1606,Parameter!$A$35:$C$64,3,0)+0,0)))</f>
        <v>0</v>
      </c>
      <c r="CB1606" s="48" t="n">
        <f aca="false">IF(AA1606&lt;&gt;"",AA1606,Z1606)</f>
        <v>3</v>
      </c>
      <c r="CC1606" s="48" t="str">
        <f aca="false">IF(OR(CB1606=1,CB1606=2,CB1606=3),IF(Parameter!$E$27="Ja","LIFT",IF(CB1606=1,"L1","L23")),IF(CB1606="Aussen","Aussen","-"))</f>
        <v>LIFT</v>
      </c>
      <c r="CD1606" s="59" t="n">
        <f aca="false">IF(N(AB1606)&gt;0,AB1606,0)</f>
        <v>0</v>
      </c>
      <c r="CE1606" s="53" t="n">
        <f aca="false">IF(ISNUMBER(AE1606),1,0)</f>
        <v>0</v>
      </c>
      <c r="CF1606" s="50" t="n">
        <f aca="false">N(AE1606)</f>
        <v>0</v>
      </c>
      <c r="CG1606" s="50" t="n">
        <f aca="false">N(M1606)+N(N1606)</f>
        <v>5</v>
      </c>
      <c r="CH1606" s="50" t="n">
        <f aca="false">ROUNDUP(H1606/BV1606,0)</f>
        <v>1</v>
      </c>
      <c r="CI1606" s="50" t="n">
        <f aca="false">ROUNDUP(CF1606/BV1606,0)</f>
        <v>0</v>
      </c>
      <c r="CJ1606" s="53" t="n">
        <f aca="false">IF(BW1606=1,0,IFERROR(VLOOKUP(BU1606,'Gebinde-Kategorie'!$A$5:$N$45,5,0)+0,0))</f>
        <v>11</v>
      </c>
      <c r="CK1606" s="53" t="n">
        <f aca="false">IFERROR(IF(OR(CB1606=1,CB1606=2,CB1606=3),N(INDEX(Parameter!$I$5:$I$7,CB1606)),0),0)</f>
        <v>0</v>
      </c>
      <c r="CL1606" s="52" t="n">
        <f aca="false">IF(AND(Parameter!$B$21="Ja",ISNUMBER(W1606),N(X1606)&gt;0),IFERROR(N(INDEX(Parameter!$L$5:$L$7,W1606))*INDEX(Parameter!$E$5:$E$7,W1606)*X1606/SUMIFS($X$7:$X$1843,$W$7:$W$1843,W1606),0),0)</f>
        <v>0</v>
      </c>
    </row>
    <row r="1607" customFormat="false" ht="15" hidden="false" customHeight="false" outlineLevel="0" collapsed="false">
      <c r="A1607" s="48" t="s">
        <v>2805</v>
      </c>
      <c r="B1607" s="48" t="s">
        <v>2806</v>
      </c>
      <c r="C1607" s="48" t="s">
        <v>168</v>
      </c>
      <c r="D1607" s="48" t="s">
        <v>188</v>
      </c>
      <c r="E1607" s="48"/>
      <c r="F1607" s="48"/>
      <c r="G1607" s="49" t="n">
        <v>2.17</v>
      </c>
      <c r="H1607" s="50" t="n">
        <f aca="false">MAX(0,IF(AND(Parameter!$B$21="Ja",ISNUMBER(Y1607)),Y1607,IF(Parameter!$B$20="Jahresanfang 2025 + Export",BO1607+BN1607,BN1607)))</f>
        <v>89</v>
      </c>
      <c r="I1607" s="50" t="n">
        <f aca="false">H1607*G1607</f>
        <v>193.13</v>
      </c>
      <c r="J1607" s="50" t="n">
        <f aca="false">BQ1607*Parameter!$B$18</f>
        <v>0</v>
      </c>
      <c r="K1607" s="51"/>
      <c r="L1607" s="52"/>
      <c r="M1607" s="50" t="n">
        <v>0</v>
      </c>
      <c r="N1607" s="50" t="n">
        <v>40</v>
      </c>
      <c r="O1607" s="53" t="n">
        <v>28</v>
      </c>
      <c r="P1607" s="48" t="s">
        <v>172</v>
      </c>
      <c r="Q1607" s="50"/>
      <c r="R1607" s="53" t="n">
        <f aca="false">IF(BW1607=1,0,IFERROR(VLOOKUP(BU1607,'Gebinde-Kategorie'!$A$5:$N$45,13,0)+0,0))</f>
        <v>26</v>
      </c>
      <c r="S1607" s="54"/>
      <c r="T1607" s="55" t="s">
        <v>279</v>
      </c>
      <c r="U1607" s="55"/>
      <c r="V1607" s="55"/>
      <c r="W1607" s="48"/>
      <c r="X1607" s="50"/>
      <c r="Y1607" s="50"/>
      <c r="Z1607" s="48" t="n">
        <f aca="false">IF(A1607="","",IF(AND(Parameter!$B$21="Ja",ISNUMBER(W1607)),W1607,IF(BZ1607="2+3",IF(ISNUMBER(SEARCH("grosser Artikel",BR1607)),2,IFERROR(VLOOKUP(BU1607,Parameter!$F$35:$G$64,2,0),2)),IF(OR(BZ1607="Nein",BZ1607=""),"-",BZ1607))))</f>
        <v>3</v>
      </c>
      <c r="AA1607" s="55"/>
      <c r="AB1607" s="56"/>
      <c r="AC1607" s="50" t="n">
        <f aca="false">AT1607</f>
        <v>89</v>
      </c>
      <c r="AD1607" s="50" t="n">
        <f aca="false">MAX(AT1607,H1607)</f>
        <v>89</v>
      </c>
      <c r="AE1607" s="57"/>
      <c r="AF1607" s="50" t="n">
        <f aca="false">IF(LEFT(Cockpit!$C$5,1)="A",H1607,IF(CE1607=1,CF1607,IF(LEFT(Cockpit!$C$5,1)="B",AK1607,MAX(AK1607,H1607))))</f>
        <v>89</v>
      </c>
      <c r="AG1607" s="50" t="n">
        <f aca="false">IF(BW1607=1,0,ROUNDUP(AF1607/BV1607,0))</f>
        <v>1</v>
      </c>
      <c r="AH1607" s="52" t="n">
        <f aca="false">IF(CL1607&gt;0,CL1607*MAX(1,AF1607/X1607),IF(BW1607=1,IF(AF1607&lt;=0,0,CA1607*MAX(1,IF(H1607&gt;0,AF1607/H1607,1))),IF(R1607&gt;0,AG1607/R1607,0))/MAX(0.1,N(Parameter!$M$21)))</f>
        <v>0.0384615384615385</v>
      </c>
      <c r="AI1607" s="50" t="n">
        <f aca="false">AH1607*BY1607</f>
        <v>5.96153846153846</v>
      </c>
      <c r="AJ1607" s="50" t="n">
        <f aca="false">AF1607*G1607</f>
        <v>193.13</v>
      </c>
      <c r="AK1607" s="50" t="n">
        <f aca="false">ROUNDUP(MAX(J1607/IF(CD1607&gt;0,CD1607,MAX(0.1,N(Cockpit!$C$6))),CG1607)/BV1607,0)*BV1607</f>
        <v>89</v>
      </c>
      <c r="AL1607" s="51" t="n">
        <f aca="false">IF(AI1607&gt;0,J1607/AI1607,-1)</f>
        <v>0</v>
      </c>
      <c r="AM1607" s="51" t="n">
        <f aca="false">IF(AND(OR(CC1607="L1",CC1607="L23",CC1607="LIFT"),AI1607&gt;0),SUMIFS($AI$7:$AI$1843,$CC$7:$CC$1843,CC1607,$AL$7:$AL$1843,"&gt;"&amp;AL1607)+SUMIFS($AI$7:$AI$1843,$CC$7:$CC$1843,CC1607,$AL$7:$AL$1843,AL1607,$BT$7:$BT$1843,"&lt;="&amp;BT1607),"")</f>
        <v>30693.694395294</v>
      </c>
      <c r="AN1607" s="58" t="n">
        <f aca="false">IF(AM1607="",0,MAX(0,MIN(1,(IF(CC1607="L1",Parameter!$H$5,IF(CC1607="L23",Parameter!$H$6+Parameter!$H$7,Parameter!$H$5+Parameter!$H$6+Parameter!$H$7))-(AM1607-AI1607))/AI1607)))</f>
        <v>1</v>
      </c>
      <c r="AO1607" s="50" t="n">
        <f aca="false">IF(LEFT(Cockpit!$I$5,1)="A",H1607,IF(CE1607=1,CF1607,IF(LEFT(Cockpit!$I$5,1)="B",AT1607,MAX(AT1607,H1607))))</f>
        <v>89</v>
      </c>
      <c r="AP1607" s="50" t="n">
        <f aca="false">IF(BW1607=1,0,ROUNDUP(AO1607/BV1607,0))</f>
        <v>1</v>
      </c>
      <c r="AQ1607" s="52" t="n">
        <f aca="false">IF(CL1607&gt;0,CL1607*MAX(1,AO1607/X1607),IF(BW1607=1,IF(AO1607&lt;=0,0,CA1607*MAX(1,IF(H1607&gt;0,AO1607/H1607,1))),IF(R1607&gt;0,AP1607/R1607,0))/MAX(0.1,N(Parameter!$M$21)))</f>
        <v>0.0384615384615385</v>
      </c>
      <c r="AR1607" s="50" t="n">
        <f aca="false">AQ1607*BY1607</f>
        <v>5.96153846153846</v>
      </c>
      <c r="AS1607" s="50" t="n">
        <f aca="false">AO1607*G1607</f>
        <v>193.13</v>
      </c>
      <c r="AT1607" s="50" t="n">
        <f aca="false">ROUNDUP(MAX(J1607/IF(CD1607&gt;0,CD1607,MAX(0.1,N(Cockpit!$I$6))),CG1607)/BV1607,0)*BV1607</f>
        <v>89</v>
      </c>
      <c r="AU1607" s="51" t="n">
        <f aca="false">IF(AR1607&gt;0,J1607/AR1607,-1)</f>
        <v>0</v>
      </c>
      <c r="AV1607" s="51" t="n">
        <f aca="false">IF(AND(OR(CC1607="L1",CC1607="L23",CC1607="LIFT"),AR1607&gt;0),SUMIFS($AR$7:$AR$1843,$CC$7:$CC$1843,CC1607,$AU$7:$AU$1843,"&gt;"&amp;AU1607)+SUMIFS($AR$7:$AR$1843,$CC$7:$CC$1843,CC1607,$AU$7:$AU$1843,AU1607,$BT$7:$BT$1843,"&lt;="&amp;BT1607),"")</f>
        <v>43055.5967074357</v>
      </c>
      <c r="AW1607" s="58" t="n">
        <f aca="false">IF(AV1607="",0,MAX(0,MIN(1,(IF(CC1607="L1",Parameter!$H$5,IF(CC1607="L23",Parameter!$H$6+Parameter!$H$7,Parameter!$H$5+Parameter!$H$6+Parameter!$H$7))-(AV1607-AR1607))/AR1607)))</f>
        <v>0</v>
      </c>
      <c r="AX1607" s="50" t="n">
        <f aca="false">IF(LEFT(Cockpit!$O$5,1)="A",H1607,IF(CE1607=1,CF1607,IF(LEFT(Cockpit!$O$5,1)="B",BC1607,MAX(BC1607,H1607))))</f>
        <v>89</v>
      </c>
      <c r="AY1607" s="50" t="n">
        <f aca="false">IF(BW1607=1,0,ROUNDUP(AX1607/BV1607,0))</f>
        <v>1</v>
      </c>
      <c r="AZ1607" s="52" t="n">
        <f aca="false">IF(CL1607&gt;0,CL1607*MAX(1,AX1607/X1607),IF(BW1607=1,IF(AX1607&lt;=0,0,CA1607*MAX(1,IF(H1607&gt;0,AX1607/H1607,1))),IF(R1607&gt;0,AY1607/R1607,0))/MAX(0.1,N(Parameter!$M$21)))</f>
        <v>0.0384615384615385</v>
      </c>
      <c r="BA1607" s="50" t="n">
        <f aca="false">AZ1607*BY1607</f>
        <v>5.96153846153846</v>
      </c>
      <c r="BB1607" s="50" t="n">
        <f aca="false">AX1607*G1607</f>
        <v>193.13</v>
      </c>
      <c r="BC1607" s="50" t="n">
        <f aca="false">ROUNDUP(MAX(J1607/IF(CD1607&gt;0,CD1607,MAX(0.1,N(Cockpit!$O$6))),CG1607)/BV1607,0)*BV1607</f>
        <v>89</v>
      </c>
      <c r="BD1607" s="51" t="n">
        <f aca="false">IF(BA1607&gt;0,J1607/BA1607,-1)</f>
        <v>0</v>
      </c>
      <c r="BE1607" s="51" t="n">
        <f aca="false">IF(AND(OR(CC1607="L1",CC1607="L23",CC1607="LIFT"),BA1607&gt;0),SUMIFS($BA$7:$BA$1843,$CC$7:$CC$1843,CC1607,$BD$7:$BD$1843,"&gt;"&amp;BD1607)+SUMIFS($BA$7:$BA$1843,$CC$7:$CC$1843,CC1607,$BD$7:$BD$1843,BD1607,$BT$7:$BT$1843,"&lt;="&amp;BT1607),"")</f>
        <v>39730.6087493016</v>
      </c>
      <c r="BF1607" s="58" t="n">
        <f aca="false">IF(BE1607="",0,MAX(0,MIN(1,(IF(CC1607="L1",Parameter!$H$5,IF(CC1607="L23",Parameter!$H$6+Parameter!$H$7,Parameter!$H$5+Parameter!$H$6+Parameter!$H$7))-(BE1607-BA1607))/BA1607)))</f>
        <v>0</v>
      </c>
      <c r="BG1607" s="48" t="str">
        <f aca="false">IF(AI1607&lt;=0,"",IF(CC1607="Aussen","Aussenlager",IF(CC1607="-","Nicht im Lift",IF(AN1607&gt;=1,"Lift",IF(AN1607&lt;=0,"Aussenlager","teilweise")))))</f>
        <v>Lift</v>
      </c>
      <c r="BH1607" s="48" t="str">
        <f aca="false">IF(AR1607&lt;=0,"",IF(CC1607="Aussen","Aussenlager",IF(CC1607="-","Nicht im Lift",IF(AW1607&gt;=1,"Lift",IF(AW1607&lt;=0,"Aussenlager","teilweise")))))</f>
        <v>Aussenlager</v>
      </c>
      <c r="BI1607" s="48" t="str">
        <f aca="false">IF(BA1607&lt;=0,"",IF(CC1607="Aussen","Aussenlager",IF(CC1607="-","Nicht im Lift",IF(BF1607&gt;=1,"Lift",IF(BF1607&lt;=0,"Aussenlager","teilweise")))))</f>
        <v>Aussenlager</v>
      </c>
      <c r="BJ1607" s="48" t="str">
        <f aca="false">IF(A1607="","",IF(BS1607=1,"Neu; ","")&amp;IF(AND(BS1607=0,BN1607&lt;0),"negativer Bestand (Export "&amp;BN1607&amp;"); ","")&amp;IF(J1607&lt;=0,"Kein Verbrauch; ","")&amp;IF(CL1607&gt;0,"Lift "&amp;W1607&amp;" lt. Liftbericht (Fach "&amp;X1607&amp;" Stk); ",IF(BX1607=1,"Gebinde geschätzt ("&amp;T1607&amp;"); ",IF(BW1607=1,"Lose – Tablare geschätzt; ","")))&amp;IF(H1607&gt;AT1607,"Überbestand "&amp;ROUND(H1607-AT1607,0)&amp;" Stk / CHF "&amp;ROUND((H1607-AT1607)*G1607,0)&amp;"; ","")&amp;IF(AND(CE1607=1,CF1607&lt;CG1607),"MAX &lt; MB+LG; ","")&amp;IF(AND(CK1607&gt;0,CJ1607*10&gt;CK1607),"zu hoch für Tablar; ","")&amp;IF(AND(BS1607=0,OR(CE1607=1,AA1607&lt;&gt;"",U1607&lt;&gt;"",V1607&lt;&gt;"",AB1607&lt;&gt;"")),"manuell übersteuert; ","")&amp;IF(AND(BW1607=0,R1607=0),"Gebinde unbekannt / Stellmass fehlt; ","")&amp;IF(AND(BW1607=0,N(V1607)&lt;=0,N(Q1607)&lt;=0),"Menge pro Gebinde fehlt (Ist = 1 Gebinde); ","")&amp;BR1607)</f>
        <v>Kein Verbrauch; Gebinde geschätzt (Klein); Menge pro Gebinde fehlt (Ist = 1 Gebinde); nur im Artikelstamm (Bestand 23.06.2026)</v>
      </c>
      <c r="BK1607" s="48"/>
      <c r="BL1607" s="48"/>
      <c r="BM1607" s="55"/>
      <c r="BN1607" s="50" t="n">
        <v>89</v>
      </c>
      <c r="BO1607" s="50" t="n">
        <v>0</v>
      </c>
      <c r="BP1607" s="49" t="n">
        <v>0</v>
      </c>
      <c r="BQ1607" s="50" t="n">
        <v>0</v>
      </c>
      <c r="BR1607" s="48" t="s">
        <v>2579</v>
      </c>
      <c r="BS1607" s="53" t="n">
        <v>0</v>
      </c>
      <c r="BT1607" s="53" t="n">
        <v>1607</v>
      </c>
      <c r="BU1607" s="48" t="str">
        <f aca="false">IF(U1607&lt;&gt;"",UPPER(TRIM(U1607)),IF(BX1607=1,UPPER(VLOOKUP(T1607,Parameter!$I$27:$K$29,2,0)),IF(P1607="","LOSE",P1607)))</f>
        <v>S51</v>
      </c>
      <c r="BV1607" s="50" t="n">
        <f aca="false">IF(BU1607="LOSE",1,IF(N(V1607)&gt;0,V1607,IF(BX1607=1,MAX(1,N(VLOOKUP(T1607,Parameter!$I$27:$K$29,3,0)),H1607,N(N1607)),IF(N(Q1607)&gt;0,Q1607,MAX(1,H1607)))))</f>
        <v>89</v>
      </c>
      <c r="BW1607" s="53" t="n">
        <f aca="false">IF(BU1607="LOSE",1,0)</f>
        <v>0</v>
      </c>
      <c r="BX1607" s="53" t="n">
        <f aca="false">IF(AND(U1607="",OR(P1607="",P1607="LOSE"),T1607&lt;&gt;"",N(S1607)&lt;=0,ISNUMBER(MATCH(T1607,Parameter!$I$27:$I$29,0))),1,0)</f>
        <v>1</v>
      </c>
      <c r="BY1607" s="53" t="n">
        <f aca="false">IF(CL1607&gt;0,INDEX(Parameter!$H$5:$H$7,W1607)/INDEX(Parameter!$E$5:$E$7,W1607),IF(AND(BW1607=0,N(IFERROR(VLOOKUP(BU1607,'Gebinde-Kategorie'!$A$5:$N$45,14,0),0))&gt;0),VLOOKUP(BU1607,'Gebinde-Kategorie'!$A$5:$N$45,14,0)*10+Parameter!$M$23,Parameter!$M$24))</f>
        <v>155</v>
      </c>
      <c r="BZ1607" s="48" t="str">
        <f aca="false">IF(AND(Parameter!$B$19="Ja",E1607&lt;&gt;"",ISNUMBER(MATCH(E1607,Parameter!$I$35:$I$52,0))),VLOOKUP(E1607,Parameter!$I$35:$J$52,2,0),IFERROR(VLOOKUP(D1607,Parameter!$A$35:$C$64,2,0),"Nein"))</f>
        <v>2+3</v>
      </c>
      <c r="CA1607" s="52" t="n">
        <f aca="false">IF(BW1607=0,0,IF(N(S1607)&gt;0,S1607,IFERROR(VLOOKUP(D1607,Parameter!$A$35:$C$64,3,0)+0,0)))</f>
        <v>0</v>
      </c>
      <c r="CB1607" s="48" t="n">
        <f aca="false">IF(AA1607&lt;&gt;"",AA1607,Z1607)</f>
        <v>3</v>
      </c>
      <c r="CC1607" s="48" t="str">
        <f aca="false">IF(OR(CB1607=1,CB1607=2,CB1607=3),IF(Parameter!$E$27="Ja","LIFT",IF(CB1607=1,"L1","L23")),IF(CB1607="Aussen","Aussen","-"))</f>
        <v>LIFT</v>
      </c>
      <c r="CD1607" s="59" t="n">
        <f aca="false">IF(N(AB1607)&gt;0,AB1607,0)</f>
        <v>0</v>
      </c>
      <c r="CE1607" s="53" t="n">
        <f aca="false">IF(ISNUMBER(AE1607),1,0)</f>
        <v>0</v>
      </c>
      <c r="CF1607" s="50" t="n">
        <f aca="false">N(AE1607)</f>
        <v>0</v>
      </c>
      <c r="CG1607" s="50" t="n">
        <f aca="false">N(M1607)+N(N1607)</f>
        <v>40</v>
      </c>
      <c r="CH1607" s="50" t="n">
        <f aca="false">ROUNDUP(H1607/BV1607,0)</f>
        <v>1</v>
      </c>
      <c r="CI1607" s="50" t="n">
        <f aca="false">ROUNDUP(CF1607/BV1607,0)</f>
        <v>0</v>
      </c>
      <c r="CJ1607" s="53" t="n">
        <f aca="false">IF(BW1607=1,0,IFERROR(VLOOKUP(BU1607,'Gebinde-Kategorie'!$A$5:$N$45,5,0)+0,0))</f>
        <v>11</v>
      </c>
      <c r="CK1607" s="53" t="n">
        <f aca="false">IFERROR(IF(OR(CB1607=1,CB1607=2,CB1607=3),N(INDEX(Parameter!$I$5:$I$7,CB1607)),0),0)</f>
        <v>0</v>
      </c>
      <c r="CL1607" s="52" t="n">
        <f aca="false">IF(AND(Parameter!$B$21="Ja",ISNUMBER(W1607),N(X1607)&gt;0),IFERROR(N(INDEX(Parameter!$L$5:$L$7,W1607))*INDEX(Parameter!$E$5:$E$7,W1607)*X1607/SUMIFS($X$7:$X$1843,$W$7:$W$1843,W1607),0),0)</f>
        <v>0</v>
      </c>
    </row>
    <row r="1608" customFormat="false" ht="15" hidden="false" customHeight="false" outlineLevel="0" collapsed="false">
      <c r="A1608" s="48" t="s">
        <v>2807</v>
      </c>
      <c r="B1608" s="48" t="s">
        <v>2808</v>
      </c>
      <c r="C1608" s="48" t="s">
        <v>168</v>
      </c>
      <c r="D1608" s="48" t="s">
        <v>188</v>
      </c>
      <c r="E1608" s="48"/>
      <c r="F1608" s="48"/>
      <c r="G1608" s="49" t="n">
        <v>1.95</v>
      </c>
      <c r="H1608" s="50" t="n">
        <f aca="false">MAX(0,IF(AND(Parameter!$B$21="Ja",ISNUMBER(Y1608)),Y1608,IF(Parameter!$B$20="Jahresanfang 2025 + Export",BO1608+BN1608,BN1608)))</f>
        <v>44</v>
      </c>
      <c r="I1608" s="50" t="n">
        <f aca="false">H1608*G1608</f>
        <v>85.8</v>
      </c>
      <c r="J1608" s="50" t="n">
        <f aca="false">BQ1608*Parameter!$B$18</f>
        <v>0</v>
      </c>
      <c r="K1608" s="51"/>
      <c r="L1608" s="52"/>
      <c r="M1608" s="50" t="n">
        <v>0</v>
      </c>
      <c r="N1608" s="50" t="n">
        <v>40</v>
      </c>
      <c r="O1608" s="53" t="n">
        <v>28</v>
      </c>
      <c r="P1608" s="48" t="s">
        <v>172</v>
      </c>
      <c r="Q1608" s="50"/>
      <c r="R1608" s="53" t="n">
        <f aca="false">IF(BW1608=1,0,IFERROR(VLOOKUP(BU1608,'Gebinde-Kategorie'!$A$5:$N$45,13,0)+0,0))</f>
        <v>26</v>
      </c>
      <c r="S1608" s="54"/>
      <c r="T1608" s="55" t="s">
        <v>279</v>
      </c>
      <c r="U1608" s="55"/>
      <c r="V1608" s="55"/>
      <c r="W1608" s="48"/>
      <c r="X1608" s="50"/>
      <c r="Y1608" s="50"/>
      <c r="Z1608" s="48" t="n">
        <f aca="false">IF(A1608="","",IF(AND(Parameter!$B$21="Ja",ISNUMBER(W1608)),W1608,IF(BZ1608="2+3",IF(ISNUMBER(SEARCH("grosser Artikel",BR1608)),2,IFERROR(VLOOKUP(BU1608,Parameter!$F$35:$G$64,2,0),2)),IF(OR(BZ1608="Nein",BZ1608=""),"-",BZ1608))))</f>
        <v>3</v>
      </c>
      <c r="AA1608" s="55"/>
      <c r="AB1608" s="56"/>
      <c r="AC1608" s="50" t="n">
        <f aca="false">AT1608</f>
        <v>44</v>
      </c>
      <c r="AD1608" s="50" t="n">
        <f aca="false">MAX(AT1608,H1608)</f>
        <v>44</v>
      </c>
      <c r="AE1608" s="57"/>
      <c r="AF1608" s="50" t="n">
        <f aca="false">IF(LEFT(Cockpit!$C$5,1)="A",H1608,IF(CE1608=1,CF1608,IF(LEFT(Cockpit!$C$5,1)="B",AK1608,MAX(AK1608,H1608))))</f>
        <v>44</v>
      </c>
      <c r="AG1608" s="50" t="n">
        <f aca="false">IF(BW1608=1,0,ROUNDUP(AF1608/BV1608,0))</f>
        <v>1</v>
      </c>
      <c r="AH1608" s="52" t="n">
        <f aca="false">IF(CL1608&gt;0,CL1608*MAX(1,AF1608/X1608),IF(BW1608=1,IF(AF1608&lt;=0,0,CA1608*MAX(1,IF(H1608&gt;0,AF1608/H1608,1))),IF(R1608&gt;0,AG1608/R1608,0))/MAX(0.1,N(Parameter!$M$21)))</f>
        <v>0.0384615384615385</v>
      </c>
      <c r="AI1608" s="50" t="n">
        <f aca="false">AH1608*BY1608</f>
        <v>5.96153846153846</v>
      </c>
      <c r="AJ1608" s="50" t="n">
        <f aca="false">AF1608*G1608</f>
        <v>85.8</v>
      </c>
      <c r="AK1608" s="50" t="n">
        <f aca="false">ROUNDUP(MAX(J1608/IF(CD1608&gt;0,CD1608,MAX(0.1,N(Cockpit!$C$6))),CG1608)/BV1608,0)*BV1608</f>
        <v>44</v>
      </c>
      <c r="AL1608" s="51" t="n">
        <f aca="false">IF(AI1608&gt;0,J1608/AI1608,-1)</f>
        <v>0</v>
      </c>
      <c r="AM1608" s="51" t="n">
        <f aca="false">IF(AND(OR(CC1608="L1",CC1608="L23",CC1608="LIFT"),AI1608&gt;0),SUMIFS($AI$7:$AI$1843,$CC$7:$CC$1843,CC1608,$AL$7:$AL$1843,"&gt;"&amp;AL1608)+SUMIFS($AI$7:$AI$1843,$CC$7:$CC$1843,CC1608,$AL$7:$AL$1843,AL1608,$BT$7:$BT$1843,"&lt;="&amp;BT1608),"")</f>
        <v>30699.6559337555</v>
      </c>
      <c r="AN1608" s="58" t="n">
        <f aca="false">IF(AM1608="",0,MAX(0,MIN(1,(IF(CC1608="L1",Parameter!$H$5,IF(CC1608="L23",Parameter!$H$6+Parameter!$H$7,Parameter!$H$5+Parameter!$H$6+Parameter!$H$7))-(AM1608-AI1608))/AI1608)))</f>
        <v>1</v>
      </c>
      <c r="AO1608" s="50" t="n">
        <f aca="false">IF(LEFT(Cockpit!$I$5,1)="A",H1608,IF(CE1608=1,CF1608,IF(LEFT(Cockpit!$I$5,1)="B",AT1608,MAX(AT1608,H1608))))</f>
        <v>44</v>
      </c>
      <c r="AP1608" s="50" t="n">
        <f aca="false">IF(BW1608=1,0,ROUNDUP(AO1608/BV1608,0))</f>
        <v>1</v>
      </c>
      <c r="AQ1608" s="52" t="n">
        <f aca="false">IF(CL1608&gt;0,CL1608*MAX(1,AO1608/X1608),IF(BW1608=1,IF(AO1608&lt;=0,0,CA1608*MAX(1,IF(H1608&gt;0,AO1608/H1608,1))),IF(R1608&gt;0,AP1608/R1608,0))/MAX(0.1,N(Parameter!$M$21)))</f>
        <v>0.0384615384615385</v>
      </c>
      <c r="AR1608" s="50" t="n">
        <f aca="false">AQ1608*BY1608</f>
        <v>5.96153846153846</v>
      </c>
      <c r="AS1608" s="50" t="n">
        <f aca="false">AO1608*G1608</f>
        <v>85.8</v>
      </c>
      <c r="AT1608" s="50" t="n">
        <f aca="false">ROUNDUP(MAX(J1608/IF(CD1608&gt;0,CD1608,MAX(0.1,N(Cockpit!$I$6))),CG1608)/BV1608,0)*BV1608</f>
        <v>44</v>
      </c>
      <c r="AU1608" s="51" t="n">
        <f aca="false">IF(AR1608&gt;0,J1608/AR1608,-1)</f>
        <v>0</v>
      </c>
      <c r="AV1608" s="51" t="n">
        <f aca="false">IF(AND(OR(CC1608="L1",CC1608="L23",CC1608="LIFT"),AR1608&gt;0),SUMIFS($AR$7:$AR$1843,$CC$7:$CC$1843,CC1608,$AU$7:$AU$1843,"&gt;"&amp;AU1608)+SUMIFS($AR$7:$AR$1843,$CC$7:$CC$1843,CC1608,$AU$7:$AU$1843,AU1608,$BT$7:$BT$1843,"&lt;="&amp;BT1608),"")</f>
        <v>43061.5582458972</v>
      </c>
      <c r="AW1608" s="58" t="n">
        <f aca="false">IF(AV1608="",0,MAX(0,MIN(1,(IF(CC1608="L1",Parameter!$H$5,IF(CC1608="L23",Parameter!$H$6+Parameter!$H$7,Parameter!$H$5+Parameter!$H$6+Parameter!$H$7))-(AV1608-AR1608))/AR1608)))</f>
        <v>0</v>
      </c>
      <c r="AX1608" s="50" t="n">
        <f aca="false">IF(LEFT(Cockpit!$O$5,1)="A",H1608,IF(CE1608=1,CF1608,IF(LEFT(Cockpit!$O$5,1)="B",BC1608,MAX(BC1608,H1608))))</f>
        <v>44</v>
      </c>
      <c r="AY1608" s="50" t="n">
        <f aca="false">IF(BW1608=1,0,ROUNDUP(AX1608/BV1608,0))</f>
        <v>1</v>
      </c>
      <c r="AZ1608" s="52" t="n">
        <f aca="false">IF(CL1608&gt;0,CL1608*MAX(1,AX1608/X1608),IF(BW1608=1,IF(AX1608&lt;=0,0,CA1608*MAX(1,IF(H1608&gt;0,AX1608/H1608,1))),IF(R1608&gt;0,AY1608/R1608,0))/MAX(0.1,N(Parameter!$M$21)))</f>
        <v>0.0384615384615385</v>
      </c>
      <c r="BA1608" s="50" t="n">
        <f aca="false">AZ1608*BY1608</f>
        <v>5.96153846153846</v>
      </c>
      <c r="BB1608" s="50" t="n">
        <f aca="false">AX1608*G1608</f>
        <v>85.8</v>
      </c>
      <c r="BC1608" s="50" t="n">
        <f aca="false">ROUNDUP(MAX(J1608/IF(CD1608&gt;0,CD1608,MAX(0.1,N(Cockpit!$O$6))),CG1608)/BV1608,0)*BV1608</f>
        <v>44</v>
      </c>
      <c r="BD1608" s="51" t="n">
        <f aca="false">IF(BA1608&gt;0,J1608/BA1608,-1)</f>
        <v>0</v>
      </c>
      <c r="BE1608" s="51" t="n">
        <f aca="false">IF(AND(OR(CC1608="L1",CC1608="L23",CC1608="LIFT"),BA1608&gt;0),SUMIFS($BA$7:$BA$1843,$CC$7:$CC$1843,CC1608,$BD$7:$BD$1843,"&gt;"&amp;BD1608)+SUMIFS($BA$7:$BA$1843,$CC$7:$CC$1843,CC1608,$BD$7:$BD$1843,BD1608,$BT$7:$BT$1843,"&lt;="&amp;BT1608),"")</f>
        <v>39736.5702877631</v>
      </c>
      <c r="BF1608" s="58" t="n">
        <f aca="false">IF(BE1608="",0,MAX(0,MIN(1,(IF(CC1608="L1",Parameter!$H$5,IF(CC1608="L23",Parameter!$H$6+Parameter!$H$7,Parameter!$H$5+Parameter!$H$6+Parameter!$H$7))-(BE1608-BA1608))/BA1608)))</f>
        <v>0</v>
      </c>
      <c r="BG1608" s="48" t="str">
        <f aca="false">IF(AI1608&lt;=0,"",IF(CC1608="Aussen","Aussenlager",IF(CC1608="-","Nicht im Lift",IF(AN1608&gt;=1,"Lift",IF(AN1608&lt;=0,"Aussenlager","teilweise")))))</f>
        <v>Lift</v>
      </c>
      <c r="BH1608" s="48" t="str">
        <f aca="false">IF(AR1608&lt;=0,"",IF(CC1608="Aussen","Aussenlager",IF(CC1608="-","Nicht im Lift",IF(AW1608&gt;=1,"Lift",IF(AW1608&lt;=0,"Aussenlager","teilweise")))))</f>
        <v>Aussenlager</v>
      </c>
      <c r="BI1608" s="48" t="str">
        <f aca="false">IF(BA1608&lt;=0,"",IF(CC1608="Aussen","Aussenlager",IF(CC1608="-","Nicht im Lift",IF(BF1608&gt;=1,"Lift",IF(BF1608&lt;=0,"Aussenlager","teilweise")))))</f>
        <v>Aussenlager</v>
      </c>
      <c r="BJ1608" s="48" t="str">
        <f aca="false">IF(A1608="","",IF(BS1608=1,"Neu; ","")&amp;IF(AND(BS1608=0,BN1608&lt;0),"negativer Bestand (Export "&amp;BN1608&amp;"); ","")&amp;IF(J1608&lt;=0,"Kein Verbrauch; ","")&amp;IF(CL1608&gt;0,"Lift "&amp;W1608&amp;" lt. Liftbericht (Fach "&amp;X1608&amp;" Stk); ",IF(BX1608=1,"Gebinde geschätzt ("&amp;T1608&amp;"); ",IF(BW1608=1,"Lose – Tablare geschätzt; ","")))&amp;IF(H1608&gt;AT1608,"Überbestand "&amp;ROUND(H1608-AT1608,0)&amp;" Stk / CHF "&amp;ROUND((H1608-AT1608)*G1608,0)&amp;"; ","")&amp;IF(AND(CE1608=1,CF1608&lt;CG1608),"MAX &lt; MB+LG; ","")&amp;IF(AND(CK1608&gt;0,CJ1608*10&gt;CK1608),"zu hoch für Tablar; ","")&amp;IF(AND(BS1608=0,OR(CE1608=1,AA1608&lt;&gt;"",U1608&lt;&gt;"",V1608&lt;&gt;"",AB1608&lt;&gt;"")),"manuell übersteuert; ","")&amp;IF(AND(BW1608=0,R1608=0),"Gebinde unbekannt / Stellmass fehlt; ","")&amp;IF(AND(BW1608=0,N(V1608)&lt;=0,N(Q1608)&lt;=0),"Menge pro Gebinde fehlt (Ist = 1 Gebinde); ","")&amp;BR1608)</f>
        <v>Kein Verbrauch; Gebinde geschätzt (Klein); Menge pro Gebinde fehlt (Ist = 1 Gebinde); nur im Artikelstamm (Bestand 23.06.2026)</v>
      </c>
      <c r="BK1608" s="48"/>
      <c r="BL1608" s="48"/>
      <c r="BM1608" s="55"/>
      <c r="BN1608" s="50" t="n">
        <v>44</v>
      </c>
      <c r="BO1608" s="50" t="n">
        <v>0</v>
      </c>
      <c r="BP1608" s="49" t="n">
        <v>0</v>
      </c>
      <c r="BQ1608" s="50" t="n">
        <v>0</v>
      </c>
      <c r="BR1608" s="48" t="s">
        <v>2579</v>
      </c>
      <c r="BS1608" s="53" t="n">
        <v>0</v>
      </c>
      <c r="BT1608" s="53" t="n">
        <v>1608</v>
      </c>
      <c r="BU1608" s="48" t="str">
        <f aca="false">IF(U1608&lt;&gt;"",UPPER(TRIM(U1608)),IF(BX1608=1,UPPER(VLOOKUP(T1608,Parameter!$I$27:$K$29,2,0)),IF(P1608="","LOSE",P1608)))</f>
        <v>S51</v>
      </c>
      <c r="BV1608" s="50" t="n">
        <f aca="false">IF(BU1608="LOSE",1,IF(N(V1608)&gt;0,V1608,IF(BX1608=1,MAX(1,N(VLOOKUP(T1608,Parameter!$I$27:$K$29,3,0)),H1608,N(N1608)),IF(N(Q1608)&gt;0,Q1608,MAX(1,H1608)))))</f>
        <v>44</v>
      </c>
      <c r="BW1608" s="53" t="n">
        <f aca="false">IF(BU1608="LOSE",1,0)</f>
        <v>0</v>
      </c>
      <c r="BX1608" s="53" t="n">
        <f aca="false">IF(AND(U1608="",OR(P1608="",P1608="LOSE"),T1608&lt;&gt;"",N(S1608)&lt;=0,ISNUMBER(MATCH(T1608,Parameter!$I$27:$I$29,0))),1,0)</f>
        <v>1</v>
      </c>
      <c r="BY1608" s="53" t="n">
        <f aca="false">IF(CL1608&gt;0,INDEX(Parameter!$H$5:$H$7,W1608)/INDEX(Parameter!$E$5:$E$7,W1608),IF(AND(BW1608=0,N(IFERROR(VLOOKUP(BU1608,'Gebinde-Kategorie'!$A$5:$N$45,14,0),0))&gt;0),VLOOKUP(BU1608,'Gebinde-Kategorie'!$A$5:$N$45,14,0)*10+Parameter!$M$23,Parameter!$M$24))</f>
        <v>155</v>
      </c>
      <c r="BZ1608" s="48" t="str">
        <f aca="false">IF(AND(Parameter!$B$19="Ja",E1608&lt;&gt;"",ISNUMBER(MATCH(E1608,Parameter!$I$35:$I$52,0))),VLOOKUP(E1608,Parameter!$I$35:$J$52,2,0),IFERROR(VLOOKUP(D1608,Parameter!$A$35:$C$64,2,0),"Nein"))</f>
        <v>2+3</v>
      </c>
      <c r="CA1608" s="52" t="n">
        <f aca="false">IF(BW1608=0,0,IF(N(S1608)&gt;0,S1608,IFERROR(VLOOKUP(D1608,Parameter!$A$35:$C$64,3,0)+0,0)))</f>
        <v>0</v>
      </c>
      <c r="CB1608" s="48" t="n">
        <f aca="false">IF(AA1608&lt;&gt;"",AA1608,Z1608)</f>
        <v>3</v>
      </c>
      <c r="CC1608" s="48" t="str">
        <f aca="false">IF(OR(CB1608=1,CB1608=2,CB1608=3),IF(Parameter!$E$27="Ja","LIFT",IF(CB1608=1,"L1","L23")),IF(CB1608="Aussen","Aussen","-"))</f>
        <v>LIFT</v>
      </c>
      <c r="CD1608" s="59" t="n">
        <f aca="false">IF(N(AB1608)&gt;0,AB1608,0)</f>
        <v>0</v>
      </c>
      <c r="CE1608" s="53" t="n">
        <f aca="false">IF(ISNUMBER(AE1608),1,0)</f>
        <v>0</v>
      </c>
      <c r="CF1608" s="50" t="n">
        <f aca="false">N(AE1608)</f>
        <v>0</v>
      </c>
      <c r="CG1608" s="50" t="n">
        <f aca="false">N(M1608)+N(N1608)</f>
        <v>40</v>
      </c>
      <c r="CH1608" s="50" t="n">
        <f aca="false">ROUNDUP(H1608/BV1608,0)</f>
        <v>1</v>
      </c>
      <c r="CI1608" s="50" t="n">
        <f aca="false">ROUNDUP(CF1608/BV1608,0)</f>
        <v>0</v>
      </c>
      <c r="CJ1608" s="53" t="n">
        <f aca="false">IF(BW1608=1,0,IFERROR(VLOOKUP(BU1608,'Gebinde-Kategorie'!$A$5:$N$45,5,0)+0,0))</f>
        <v>11</v>
      </c>
      <c r="CK1608" s="53" t="n">
        <f aca="false">IFERROR(IF(OR(CB1608=1,CB1608=2,CB1608=3),N(INDEX(Parameter!$I$5:$I$7,CB1608)),0),0)</f>
        <v>0</v>
      </c>
      <c r="CL1608" s="52" t="n">
        <f aca="false">IF(AND(Parameter!$B$21="Ja",ISNUMBER(W1608),N(X1608)&gt;0),IFERROR(N(INDEX(Parameter!$L$5:$L$7,W1608))*INDEX(Parameter!$E$5:$E$7,W1608)*X1608/SUMIFS($X$7:$X$1843,$W$7:$W$1843,W1608),0),0)</f>
        <v>0</v>
      </c>
    </row>
    <row r="1609" customFormat="false" ht="15" hidden="false" customHeight="false" outlineLevel="0" collapsed="false">
      <c r="A1609" s="48" t="s">
        <v>2809</v>
      </c>
      <c r="B1609" s="48" t="s">
        <v>2808</v>
      </c>
      <c r="C1609" s="48" t="s">
        <v>168</v>
      </c>
      <c r="D1609" s="48" t="s">
        <v>188</v>
      </c>
      <c r="E1609" s="48"/>
      <c r="F1609" s="48"/>
      <c r="G1609" s="49" t="n">
        <v>2.24</v>
      </c>
      <c r="H1609" s="50" t="n">
        <f aca="false">MAX(0,IF(AND(Parameter!$B$21="Ja",ISNUMBER(Y1609)),Y1609,IF(Parameter!$B$20="Jahresanfang 2025 + Export",BO1609+BN1609,BN1609)))</f>
        <v>9</v>
      </c>
      <c r="I1609" s="50" t="n">
        <f aca="false">H1609*G1609</f>
        <v>20.16</v>
      </c>
      <c r="J1609" s="50" t="n">
        <f aca="false">BQ1609*Parameter!$B$18</f>
        <v>0</v>
      </c>
      <c r="K1609" s="51"/>
      <c r="L1609" s="52"/>
      <c r="M1609" s="50" t="n">
        <v>0</v>
      </c>
      <c r="N1609" s="50" t="n">
        <v>40</v>
      </c>
      <c r="O1609" s="53" t="n">
        <v>28</v>
      </c>
      <c r="P1609" s="48" t="s">
        <v>172</v>
      </c>
      <c r="Q1609" s="50"/>
      <c r="R1609" s="53" t="n">
        <f aca="false">IF(BW1609=1,0,IFERROR(VLOOKUP(BU1609,'Gebinde-Kategorie'!$A$5:$N$45,13,0)+0,0))</f>
        <v>26</v>
      </c>
      <c r="S1609" s="54"/>
      <c r="T1609" s="55" t="s">
        <v>279</v>
      </c>
      <c r="U1609" s="55"/>
      <c r="V1609" s="55"/>
      <c r="W1609" s="48"/>
      <c r="X1609" s="50"/>
      <c r="Y1609" s="50"/>
      <c r="Z1609" s="48" t="n">
        <f aca="false">IF(A1609="","",IF(AND(Parameter!$B$21="Ja",ISNUMBER(W1609)),W1609,IF(BZ1609="2+3",IF(ISNUMBER(SEARCH("grosser Artikel",BR1609)),2,IFERROR(VLOOKUP(BU1609,Parameter!$F$35:$G$64,2,0),2)),IF(OR(BZ1609="Nein",BZ1609=""),"-",BZ1609))))</f>
        <v>3</v>
      </c>
      <c r="AA1609" s="55"/>
      <c r="AB1609" s="56"/>
      <c r="AC1609" s="50" t="n">
        <f aca="false">AT1609</f>
        <v>40</v>
      </c>
      <c r="AD1609" s="50" t="n">
        <f aca="false">MAX(AT1609,H1609)</f>
        <v>40</v>
      </c>
      <c r="AE1609" s="57"/>
      <c r="AF1609" s="50" t="n">
        <f aca="false">IF(LEFT(Cockpit!$C$5,1)="A",H1609,IF(CE1609=1,CF1609,IF(LEFT(Cockpit!$C$5,1)="B",AK1609,MAX(AK1609,H1609))))</f>
        <v>9</v>
      </c>
      <c r="AG1609" s="50" t="n">
        <f aca="false">IF(BW1609=1,0,ROUNDUP(AF1609/BV1609,0))</f>
        <v>1</v>
      </c>
      <c r="AH1609" s="52" t="n">
        <f aca="false">IF(CL1609&gt;0,CL1609*MAX(1,AF1609/X1609),IF(BW1609=1,IF(AF1609&lt;=0,0,CA1609*MAX(1,IF(H1609&gt;0,AF1609/H1609,1))),IF(R1609&gt;0,AG1609/R1609,0))/MAX(0.1,N(Parameter!$M$21)))</f>
        <v>0.0384615384615385</v>
      </c>
      <c r="AI1609" s="50" t="n">
        <f aca="false">AH1609*BY1609</f>
        <v>5.96153846153846</v>
      </c>
      <c r="AJ1609" s="50" t="n">
        <f aca="false">AF1609*G1609</f>
        <v>20.16</v>
      </c>
      <c r="AK1609" s="50" t="n">
        <f aca="false">ROUNDUP(MAX(J1609/IF(CD1609&gt;0,CD1609,MAX(0.1,N(Cockpit!$C$6))),CG1609)/BV1609,0)*BV1609</f>
        <v>40</v>
      </c>
      <c r="AL1609" s="51" t="n">
        <f aca="false">IF(AI1609&gt;0,J1609/AI1609,-1)</f>
        <v>0</v>
      </c>
      <c r="AM1609" s="51" t="n">
        <f aca="false">IF(AND(OR(CC1609="L1",CC1609="L23",CC1609="LIFT"),AI1609&gt;0),SUMIFS($AI$7:$AI$1843,$CC$7:$CC$1843,CC1609,$AL$7:$AL$1843,"&gt;"&amp;AL1609)+SUMIFS($AI$7:$AI$1843,$CC$7:$CC$1843,CC1609,$AL$7:$AL$1843,AL1609,$BT$7:$BT$1843,"&lt;="&amp;BT1609),"")</f>
        <v>30705.617472217</v>
      </c>
      <c r="AN1609" s="58" t="n">
        <f aca="false">IF(AM1609="",0,MAX(0,MIN(1,(IF(CC1609="L1",Parameter!$H$5,IF(CC1609="L23",Parameter!$H$6+Parameter!$H$7,Parameter!$H$5+Parameter!$H$6+Parameter!$H$7))-(AM1609-AI1609))/AI1609)))</f>
        <v>1</v>
      </c>
      <c r="AO1609" s="50" t="n">
        <f aca="false">IF(LEFT(Cockpit!$I$5,1)="A",H1609,IF(CE1609=1,CF1609,IF(LEFT(Cockpit!$I$5,1)="B",AT1609,MAX(AT1609,H1609))))</f>
        <v>40</v>
      </c>
      <c r="AP1609" s="50" t="n">
        <f aca="false">IF(BW1609=1,0,ROUNDUP(AO1609/BV1609,0))</f>
        <v>1</v>
      </c>
      <c r="AQ1609" s="52" t="n">
        <f aca="false">IF(CL1609&gt;0,CL1609*MAX(1,AO1609/X1609),IF(BW1609=1,IF(AO1609&lt;=0,0,CA1609*MAX(1,IF(H1609&gt;0,AO1609/H1609,1))),IF(R1609&gt;0,AP1609/R1609,0))/MAX(0.1,N(Parameter!$M$21)))</f>
        <v>0.0384615384615385</v>
      </c>
      <c r="AR1609" s="50" t="n">
        <f aca="false">AQ1609*BY1609</f>
        <v>5.96153846153846</v>
      </c>
      <c r="AS1609" s="50" t="n">
        <f aca="false">AO1609*G1609</f>
        <v>89.6</v>
      </c>
      <c r="AT1609" s="50" t="n">
        <f aca="false">ROUNDUP(MAX(J1609/IF(CD1609&gt;0,CD1609,MAX(0.1,N(Cockpit!$I$6))),CG1609)/BV1609,0)*BV1609</f>
        <v>40</v>
      </c>
      <c r="AU1609" s="51" t="n">
        <f aca="false">IF(AR1609&gt;0,J1609/AR1609,-1)</f>
        <v>0</v>
      </c>
      <c r="AV1609" s="51" t="n">
        <f aca="false">IF(AND(OR(CC1609="L1",CC1609="L23",CC1609="LIFT"),AR1609&gt;0),SUMIFS($AR$7:$AR$1843,$CC$7:$CC$1843,CC1609,$AU$7:$AU$1843,"&gt;"&amp;AU1609)+SUMIFS($AR$7:$AR$1843,$CC$7:$CC$1843,CC1609,$AU$7:$AU$1843,AU1609,$BT$7:$BT$1843,"&lt;="&amp;BT1609),"")</f>
        <v>43067.5197843588</v>
      </c>
      <c r="AW1609" s="58" t="n">
        <f aca="false">IF(AV1609="",0,MAX(0,MIN(1,(IF(CC1609="L1",Parameter!$H$5,IF(CC1609="L23",Parameter!$H$6+Parameter!$H$7,Parameter!$H$5+Parameter!$H$6+Parameter!$H$7))-(AV1609-AR1609))/AR1609)))</f>
        <v>0</v>
      </c>
      <c r="AX1609" s="50" t="n">
        <f aca="false">IF(LEFT(Cockpit!$O$5,1)="A",H1609,IF(CE1609=1,CF1609,IF(LEFT(Cockpit!$O$5,1)="B",BC1609,MAX(BC1609,H1609))))</f>
        <v>40</v>
      </c>
      <c r="AY1609" s="50" t="n">
        <f aca="false">IF(BW1609=1,0,ROUNDUP(AX1609/BV1609,0))</f>
        <v>1</v>
      </c>
      <c r="AZ1609" s="52" t="n">
        <f aca="false">IF(CL1609&gt;0,CL1609*MAX(1,AX1609/X1609),IF(BW1609=1,IF(AX1609&lt;=0,0,CA1609*MAX(1,IF(H1609&gt;0,AX1609/H1609,1))),IF(R1609&gt;0,AY1609/R1609,0))/MAX(0.1,N(Parameter!$M$21)))</f>
        <v>0.0384615384615385</v>
      </c>
      <c r="BA1609" s="50" t="n">
        <f aca="false">AZ1609*BY1609</f>
        <v>5.96153846153846</v>
      </c>
      <c r="BB1609" s="50" t="n">
        <f aca="false">AX1609*G1609</f>
        <v>89.6</v>
      </c>
      <c r="BC1609" s="50" t="n">
        <f aca="false">ROUNDUP(MAX(J1609/IF(CD1609&gt;0,CD1609,MAX(0.1,N(Cockpit!$O$6))),CG1609)/BV1609,0)*BV1609</f>
        <v>40</v>
      </c>
      <c r="BD1609" s="51" t="n">
        <f aca="false">IF(BA1609&gt;0,J1609/BA1609,-1)</f>
        <v>0</v>
      </c>
      <c r="BE1609" s="51" t="n">
        <f aca="false">IF(AND(OR(CC1609="L1",CC1609="L23",CC1609="LIFT"),BA1609&gt;0),SUMIFS($BA$7:$BA$1843,$CC$7:$CC$1843,CC1609,$BD$7:$BD$1843,"&gt;"&amp;BD1609)+SUMIFS($BA$7:$BA$1843,$CC$7:$CC$1843,CC1609,$BD$7:$BD$1843,BD1609,$BT$7:$BT$1843,"&lt;="&amp;BT1609),"")</f>
        <v>39742.5318262246</v>
      </c>
      <c r="BF1609" s="58" t="n">
        <f aca="false">IF(BE1609="",0,MAX(0,MIN(1,(IF(CC1609="L1",Parameter!$H$5,IF(CC1609="L23",Parameter!$H$6+Parameter!$H$7,Parameter!$H$5+Parameter!$H$6+Parameter!$H$7))-(BE1609-BA1609))/BA1609)))</f>
        <v>0</v>
      </c>
      <c r="BG1609" s="48" t="str">
        <f aca="false">IF(AI1609&lt;=0,"",IF(CC1609="Aussen","Aussenlager",IF(CC1609="-","Nicht im Lift",IF(AN1609&gt;=1,"Lift",IF(AN1609&lt;=0,"Aussenlager","teilweise")))))</f>
        <v>Lift</v>
      </c>
      <c r="BH1609" s="48" t="str">
        <f aca="false">IF(AR1609&lt;=0,"",IF(CC1609="Aussen","Aussenlager",IF(CC1609="-","Nicht im Lift",IF(AW1609&gt;=1,"Lift",IF(AW1609&lt;=0,"Aussenlager","teilweise")))))</f>
        <v>Aussenlager</v>
      </c>
      <c r="BI1609" s="48" t="str">
        <f aca="false">IF(BA1609&lt;=0,"",IF(CC1609="Aussen","Aussenlager",IF(CC1609="-","Nicht im Lift",IF(BF1609&gt;=1,"Lift",IF(BF1609&lt;=0,"Aussenlager","teilweise")))))</f>
        <v>Aussenlager</v>
      </c>
      <c r="BJ1609" s="48" t="str">
        <f aca="false">IF(A1609="","",IF(BS1609=1,"Neu; ","")&amp;IF(AND(BS1609=0,BN1609&lt;0),"negativer Bestand (Export "&amp;BN1609&amp;"); ","")&amp;IF(J1609&lt;=0,"Kein Verbrauch; ","")&amp;IF(CL1609&gt;0,"Lift "&amp;W1609&amp;" lt. Liftbericht (Fach "&amp;X1609&amp;" Stk); ",IF(BX1609=1,"Gebinde geschätzt ("&amp;T1609&amp;"); ",IF(BW1609=1,"Lose – Tablare geschätzt; ","")))&amp;IF(H1609&gt;AT1609,"Überbestand "&amp;ROUND(H1609-AT1609,0)&amp;" Stk / CHF "&amp;ROUND((H1609-AT1609)*G1609,0)&amp;"; ","")&amp;IF(AND(CE1609=1,CF1609&lt;CG1609),"MAX &lt; MB+LG; ","")&amp;IF(AND(CK1609&gt;0,CJ1609*10&gt;CK1609),"zu hoch für Tablar; ","")&amp;IF(AND(BS1609=0,OR(CE1609=1,AA1609&lt;&gt;"",U1609&lt;&gt;"",V1609&lt;&gt;"",AB1609&lt;&gt;"")),"manuell übersteuert; ","")&amp;IF(AND(BW1609=0,R1609=0),"Gebinde unbekannt / Stellmass fehlt; ","")&amp;IF(AND(BW1609=0,N(V1609)&lt;=0,N(Q1609)&lt;=0),"Menge pro Gebinde fehlt (Ist = 1 Gebinde); ","")&amp;BR1609)</f>
        <v>Kein Verbrauch; Gebinde geschätzt (Klein); Menge pro Gebinde fehlt (Ist = 1 Gebinde); nur im Artikelstamm (Bestand 23.06.2026)</v>
      </c>
      <c r="BK1609" s="48"/>
      <c r="BL1609" s="48"/>
      <c r="BM1609" s="55"/>
      <c r="BN1609" s="50" t="n">
        <v>9</v>
      </c>
      <c r="BO1609" s="50" t="n">
        <v>0</v>
      </c>
      <c r="BP1609" s="49" t="n">
        <v>0</v>
      </c>
      <c r="BQ1609" s="50" t="n">
        <v>0</v>
      </c>
      <c r="BR1609" s="48" t="s">
        <v>2579</v>
      </c>
      <c r="BS1609" s="53" t="n">
        <v>0</v>
      </c>
      <c r="BT1609" s="53" t="n">
        <v>1609</v>
      </c>
      <c r="BU1609" s="48" t="str">
        <f aca="false">IF(U1609&lt;&gt;"",UPPER(TRIM(U1609)),IF(BX1609=1,UPPER(VLOOKUP(T1609,Parameter!$I$27:$K$29,2,0)),IF(P1609="","LOSE",P1609)))</f>
        <v>S51</v>
      </c>
      <c r="BV1609" s="50" t="n">
        <f aca="false">IF(BU1609="LOSE",1,IF(N(V1609)&gt;0,V1609,IF(BX1609=1,MAX(1,N(VLOOKUP(T1609,Parameter!$I$27:$K$29,3,0)),H1609,N(N1609)),IF(N(Q1609)&gt;0,Q1609,MAX(1,H1609)))))</f>
        <v>40</v>
      </c>
      <c r="BW1609" s="53" t="n">
        <f aca="false">IF(BU1609="LOSE",1,0)</f>
        <v>0</v>
      </c>
      <c r="BX1609" s="53" t="n">
        <f aca="false">IF(AND(U1609="",OR(P1609="",P1609="LOSE"),T1609&lt;&gt;"",N(S1609)&lt;=0,ISNUMBER(MATCH(T1609,Parameter!$I$27:$I$29,0))),1,0)</f>
        <v>1</v>
      </c>
      <c r="BY1609" s="53" t="n">
        <f aca="false">IF(CL1609&gt;0,INDEX(Parameter!$H$5:$H$7,W1609)/INDEX(Parameter!$E$5:$E$7,W1609),IF(AND(BW1609=0,N(IFERROR(VLOOKUP(BU1609,'Gebinde-Kategorie'!$A$5:$N$45,14,0),0))&gt;0),VLOOKUP(BU1609,'Gebinde-Kategorie'!$A$5:$N$45,14,0)*10+Parameter!$M$23,Parameter!$M$24))</f>
        <v>155</v>
      </c>
      <c r="BZ1609" s="48" t="str">
        <f aca="false">IF(AND(Parameter!$B$19="Ja",E1609&lt;&gt;"",ISNUMBER(MATCH(E1609,Parameter!$I$35:$I$52,0))),VLOOKUP(E1609,Parameter!$I$35:$J$52,2,0),IFERROR(VLOOKUP(D1609,Parameter!$A$35:$C$64,2,0),"Nein"))</f>
        <v>2+3</v>
      </c>
      <c r="CA1609" s="52" t="n">
        <f aca="false">IF(BW1609=0,0,IF(N(S1609)&gt;0,S1609,IFERROR(VLOOKUP(D1609,Parameter!$A$35:$C$64,3,0)+0,0)))</f>
        <v>0</v>
      </c>
      <c r="CB1609" s="48" t="n">
        <f aca="false">IF(AA1609&lt;&gt;"",AA1609,Z1609)</f>
        <v>3</v>
      </c>
      <c r="CC1609" s="48" t="str">
        <f aca="false">IF(OR(CB1609=1,CB1609=2,CB1609=3),IF(Parameter!$E$27="Ja","LIFT",IF(CB1609=1,"L1","L23")),IF(CB1609="Aussen","Aussen","-"))</f>
        <v>LIFT</v>
      </c>
      <c r="CD1609" s="59" t="n">
        <f aca="false">IF(N(AB1609)&gt;0,AB1609,0)</f>
        <v>0</v>
      </c>
      <c r="CE1609" s="53" t="n">
        <f aca="false">IF(ISNUMBER(AE1609),1,0)</f>
        <v>0</v>
      </c>
      <c r="CF1609" s="50" t="n">
        <f aca="false">N(AE1609)</f>
        <v>0</v>
      </c>
      <c r="CG1609" s="50" t="n">
        <f aca="false">N(M1609)+N(N1609)</f>
        <v>40</v>
      </c>
      <c r="CH1609" s="50" t="n">
        <f aca="false">ROUNDUP(H1609/BV1609,0)</f>
        <v>1</v>
      </c>
      <c r="CI1609" s="50" t="n">
        <f aca="false">ROUNDUP(CF1609/BV1609,0)</f>
        <v>0</v>
      </c>
      <c r="CJ1609" s="53" t="n">
        <f aca="false">IF(BW1609=1,0,IFERROR(VLOOKUP(BU1609,'Gebinde-Kategorie'!$A$5:$N$45,5,0)+0,0))</f>
        <v>11</v>
      </c>
      <c r="CK1609" s="53" t="n">
        <f aca="false">IFERROR(IF(OR(CB1609=1,CB1609=2,CB1609=3),N(INDEX(Parameter!$I$5:$I$7,CB1609)),0),0)</f>
        <v>0</v>
      </c>
      <c r="CL1609" s="52" t="n">
        <f aca="false">IF(AND(Parameter!$B$21="Ja",ISNUMBER(W1609),N(X1609)&gt;0),IFERROR(N(INDEX(Parameter!$L$5:$L$7,W1609))*INDEX(Parameter!$E$5:$E$7,W1609)*X1609/SUMIFS($X$7:$X$1843,$W$7:$W$1843,W1609),0),0)</f>
        <v>0</v>
      </c>
    </row>
    <row r="1610" customFormat="false" ht="15" hidden="false" customHeight="false" outlineLevel="0" collapsed="false">
      <c r="A1610" s="48" t="s">
        <v>2810</v>
      </c>
      <c r="B1610" s="48" t="s">
        <v>1445</v>
      </c>
      <c r="C1610" s="48" t="s">
        <v>168</v>
      </c>
      <c r="D1610" s="48" t="s">
        <v>177</v>
      </c>
      <c r="E1610" s="48"/>
      <c r="F1610" s="48"/>
      <c r="G1610" s="49" t="n">
        <v>603.2</v>
      </c>
      <c r="H1610" s="50" t="n">
        <f aca="false">MAX(0,IF(AND(Parameter!$B$21="Ja",ISNUMBER(Y1610)),Y1610,IF(Parameter!$B$20="Jahresanfang 2025 + Export",BO1610+BN1610,BN1610)))</f>
        <v>2</v>
      </c>
      <c r="I1610" s="50" t="n">
        <f aca="false">H1610*G1610</f>
        <v>1206.4</v>
      </c>
      <c r="J1610" s="50" t="n">
        <f aca="false">BQ1610*Parameter!$B$18</f>
        <v>0</v>
      </c>
      <c r="K1610" s="51"/>
      <c r="L1610" s="52"/>
      <c r="M1610" s="50" t="n">
        <v>0</v>
      </c>
      <c r="N1610" s="50" t="n">
        <v>1</v>
      </c>
      <c r="O1610" s="53" t="n">
        <v>28</v>
      </c>
      <c r="P1610" s="48" t="s">
        <v>172</v>
      </c>
      <c r="Q1610" s="50"/>
      <c r="R1610" s="53" t="n">
        <f aca="false">IF(BW1610=1,0,IFERROR(VLOOKUP(BU1610,'Gebinde-Kategorie'!$A$5:$N$45,13,0)+0,0))</f>
        <v>12</v>
      </c>
      <c r="S1610" s="54"/>
      <c r="T1610" s="55" t="s">
        <v>183</v>
      </c>
      <c r="U1610" s="55"/>
      <c r="V1610" s="55"/>
      <c r="W1610" s="48"/>
      <c r="X1610" s="50"/>
      <c r="Y1610" s="50"/>
      <c r="Z1610" s="48" t="n">
        <f aca="false">IF(A1610="","",IF(AND(Parameter!$B$21="Ja",ISNUMBER(W1610)),W1610,IF(BZ1610="2+3",IF(ISNUMBER(SEARCH("grosser Artikel",BR1610)),2,IFERROR(VLOOKUP(BU1610,Parameter!$F$35:$G$64,2,0),2)),IF(OR(BZ1610="Nein",BZ1610=""),"-",BZ1610))))</f>
        <v>2</v>
      </c>
      <c r="AA1610" s="55"/>
      <c r="AB1610" s="56"/>
      <c r="AC1610" s="50" t="n">
        <f aca="false">AT1610</f>
        <v>4</v>
      </c>
      <c r="AD1610" s="50" t="n">
        <f aca="false">MAX(AT1610,H1610)</f>
        <v>4</v>
      </c>
      <c r="AE1610" s="57"/>
      <c r="AF1610" s="50" t="n">
        <f aca="false">IF(LEFT(Cockpit!$C$5,1)="A",H1610,IF(CE1610=1,CF1610,IF(LEFT(Cockpit!$C$5,1)="B",AK1610,MAX(AK1610,H1610))))</f>
        <v>2</v>
      </c>
      <c r="AG1610" s="50" t="n">
        <f aca="false">IF(BW1610=1,0,ROUNDUP(AF1610/BV1610,0))</f>
        <v>1</v>
      </c>
      <c r="AH1610" s="52" t="n">
        <f aca="false">IF(CL1610&gt;0,CL1610*MAX(1,AF1610/X1610),IF(BW1610=1,IF(AF1610&lt;=0,0,CA1610*MAX(1,IF(H1610&gt;0,AF1610/H1610,1))),IF(R1610&gt;0,AG1610/R1610,0))/MAX(0.1,N(Parameter!$M$21)))</f>
        <v>0.0833333333333333</v>
      </c>
      <c r="AI1610" s="50" t="n">
        <f aca="false">AH1610*BY1610</f>
        <v>12.0833333333333</v>
      </c>
      <c r="AJ1610" s="50" t="n">
        <f aca="false">AF1610*G1610</f>
        <v>1206.4</v>
      </c>
      <c r="AK1610" s="50" t="n">
        <f aca="false">ROUNDUP(MAX(J1610/IF(CD1610&gt;0,CD1610,MAX(0.1,N(Cockpit!$C$6))),CG1610)/BV1610,0)*BV1610</f>
        <v>4</v>
      </c>
      <c r="AL1610" s="51" t="n">
        <f aca="false">IF(AI1610&gt;0,J1610/AI1610,-1)</f>
        <v>0</v>
      </c>
      <c r="AM1610" s="51" t="n">
        <f aca="false">IF(AND(OR(CC1610="L1",CC1610="L23",CC1610="LIFT"),AI1610&gt;0),SUMIFS($AI$7:$AI$1843,$CC$7:$CC$1843,CC1610,$AL$7:$AL$1843,"&gt;"&amp;AL1610)+SUMIFS($AI$7:$AI$1843,$CC$7:$CC$1843,CC1610,$AL$7:$AL$1843,AL1610,$BT$7:$BT$1843,"&lt;="&amp;BT1610),"")</f>
        <v>30717.7008055504</v>
      </c>
      <c r="AN1610" s="58" t="n">
        <f aca="false">IF(AM1610="",0,MAX(0,MIN(1,(IF(CC1610="L1",Parameter!$H$5,IF(CC1610="L23",Parameter!$H$6+Parameter!$H$7,Parameter!$H$5+Parameter!$H$6+Parameter!$H$7))-(AM1610-AI1610))/AI1610)))</f>
        <v>1</v>
      </c>
      <c r="AO1610" s="50" t="n">
        <f aca="false">IF(LEFT(Cockpit!$I$5,1)="A",H1610,IF(CE1610=1,CF1610,IF(LEFT(Cockpit!$I$5,1)="B",AT1610,MAX(AT1610,H1610))))</f>
        <v>4</v>
      </c>
      <c r="AP1610" s="50" t="n">
        <f aca="false">IF(BW1610=1,0,ROUNDUP(AO1610/BV1610,0))</f>
        <v>1</v>
      </c>
      <c r="AQ1610" s="52" t="n">
        <f aca="false">IF(CL1610&gt;0,CL1610*MAX(1,AO1610/X1610),IF(BW1610=1,IF(AO1610&lt;=0,0,CA1610*MAX(1,IF(H1610&gt;0,AO1610/H1610,1))),IF(R1610&gt;0,AP1610/R1610,0))/MAX(0.1,N(Parameter!$M$21)))</f>
        <v>0.0833333333333333</v>
      </c>
      <c r="AR1610" s="50" t="n">
        <f aca="false">AQ1610*BY1610</f>
        <v>12.0833333333333</v>
      </c>
      <c r="AS1610" s="50" t="n">
        <f aca="false">AO1610*G1610</f>
        <v>2412.8</v>
      </c>
      <c r="AT1610" s="50" t="n">
        <f aca="false">ROUNDUP(MAX(J1610/IF(CD1610&gt;0,CD1610,MAX(0.1,N(Cockpit!$I$6))),CG1610)/BV1610,0)*BV1610</f>
        <v>4</v>
      </c>
      <c r="AU1610" s="51" t="n">
        <f aca="false">IF(AR1610&gt;0,J1610/AR1610,-1)</f>
        <v>0</v>
      </c>
      <c r="AV1610" s="51" t="n">
        <f aca="false">IF(AND(OR(CC1610="L1",CC1610="L23",CC1610="LIFT"),AR1610&gt;0),SUMIFS($AR$7:$AR$1843,$CC$7:$CC$1843,CC1610,$AU$7:$AU$1843,"&gt;"&amp;AU1610)+SUMIFS($AR$7:$AR$1843,$CC$7:$CC$1843,CC1610,$AU$7:$AU$1843,AU1610,$BT$7:$BT$1843,"&lt;="&amp;BT1610),"")</f>
        <v>43079.6031176921</v>
      </c>
      <c r="AW1610" s="58" t="n">
        <f aca="false">IF(AV1610="",0,MAX(0,MIN(1,(IF(CC1610="L1",Parameter!$H$5,IF(CC1610="L23",Parameter!$H$6+Parameter!$H$7,Parameter!$H$5+Parameter!$H$6+Parameter!$H$7))-(AV1610-AR1610))/AR1610)))</f>
        <v>0</v>
      </c>
      <c r="AX1610" s="50" t="n">
        <f aca="false">IF(LEFT(Cockpit!$O$5,1)="A",H1610,IF(CE1610=1,CF1610,IF(LEFT(Cockpit!$O$5,1)="B",BC1610,MAX(BC1610,H1610))))</f>
        <v>4</v>
      </c>
      <c r="AY1610" s="50" t="n">
        <f aca="false">IF(BW1610=1,0,ROUNDUP(AX1610/BV1610,0))</f>
        <v>1</v>
      </c>
      <c r="AZ1610" s="52" t="n">
        <f aca="false">IF(CL1610&gt;0,CL1610*MAX(1,AX1610/X1610),IF(BW1610=1,IF(AX1610&lt;=0,0,CA1610*MAX(1,IF(H1610&gt;0,AX1610/H1610,1))),IF(R1610&gt;0,AY1610/R1610,0))/MAX(0.1,N(Parameter!$M$21)))</f>
        <v>0.0833333333333333</v>
      </c>
      <c r="BA1610" s="50" t="n">
        <f aca="false">AZ1610*BY1610</f>
        <v>12.0833333333333</v>
      </c>
      <c r="BB1610" s="50" t="n">
        <f aca="false">AX1610*G1610</f>
        <v>2412.8</v>
      </c>
      <c r="BC1610" s="50" t="n">
        <f aca="false">ROUNDUP(MAX(J1610/IF(CD1610&gt;0,CD1610,MAX(0.1,N(Cockpit!$O$6))),CG1610)/BV1610,0)*BV1610</f>
        <v>4</v>
      </c>
      <c r="BD1610" s="51" t="n">
        <f aca="false">IF(BA1610&gt;0,J1610/BA1610,-1)</f>
        <v>0</v>
      </c>
      <c r="BE1610" s="51" t="n">
        <f aca="false">IF(AND(OR(CC1610="L1",CC1610="L23",CC1610="LIFT"),BA1610&gt;0),SUMIFS($BA$7:$BA$1843,$CC$7:$CC$1843,CC1610,$BD$7:$BD$1843,"&gt;"&amp;BD1610)+SUMIFS($BA$7:$BA$1843,$CC$7:$CC$1843,CC1610,$BD$7:$BD$1843,BD1610,$BT$7:$BT$1843,"&lt;="&amp;BT1610),"")</f>
        <v>39754.615159558</v>
      </c>
      <c r="BF1610" s="58" t="n">
        <f aca="false">IF(BE1610="",0,MAX(0,MIN(1,(IF(CC1610="L1",Parameter!$H$5,IF(CC1610="L23",Parameter!$H$6+Parameter!$H$7,Parameter!$H$5+Parameter!$H$6+Parameter!$H$7))-(BE1610-BA1610))/BA1610)))</f>
        <v>0</v>
      </c>
      <c r="BG1610" s="48" t="str">
        <f aca="false">IF(AI1610&lt;=0,"",IF(CC1610="Aussen","Aussenlager",IF(CC1610="-","Nicht im Lift",IF(AN1610&gt;=1,"Lift",IF(AN1610&lt;=0,"Aussenlager","teilweise")))))</f>
        <v>Lift</v>
      </c>
      <c r="BH1610" s="48" t="str">
        <f aca="false">IF(AR1610&lt;=0,"",IF(CC1610="Aussen","Aussenlager",IF(CC1610="-","Nicht im Lift",IF(AW1610&gt;=1,"Lift",IF(AW1610&lt;=0,"Aussenlager","teilweise")))))</f>
        <v>Aussenlager</v>
      </c>
      <c r="BI1610" s="48" t="str">
        <f aca="false">IF(BA1610&lt;=0,"",IF(CC1610="Aussen","Aussenlager",IF(CC1610="-","Nicht im Lift",IF(BF1610&gt;=1,"Lift",IF(BF1610&lt;=0,"Aussenlager","teilweise")))))</f>
        <v>Aussenlager</v>
      </c>
      <c r="BJ1610" s="48" t="str">
        <f aca="false">IF(A1610="","",IF(BS1610=1,"Neu; ","")&amp;IF(AND(BS1610=0,BN1610&lt;0),"negativer Bestand (Export "&amp;BN1610&amp;"); ","")&amp;IF(J1610&lt;=0,"Kein Verbrauch; ","")&amp;IF(CL1610&gt;0,"Lift "&amp;W1610&amp;" lt. Liftbericht (Fach "&amp;X1610&amp;" Stk); ",IF(BX1610=1,"Gebinde geschätzt ("&amp;T1610&amp;"); ",IF(BW1610=1,"Lose – Tablare geschätzt; ","")))&amp;IF(H1610&gt;AT1610,"Überbestand "&amp;ROUND(H1610-AT1610,0)&amp;" Stk / CHF "&amp;ROUND((H1610-AT1610)*G1610,0)&amp;"; ","")&amp;IF(AND(CE1610=1,CF1610&lt;CG1610),"MAX &lt; MB+LG; ","")&amp;IF(AND(CK1610&gt;0,CJ1610*10&gt;CK1610),"zu hoch für Tablar; ","")&amp;IF(AND(BS1610=0,OR(CE1610=1,AA1610&lt;&gt;"",U1610&lt;&gt;"",V1610&lt;&gt;"",AB1610&lt;&gt;"")),"manuell übersteuert; ","")&amp;IF(AND(BW1610=0,R1610=0),"Gebinde unbekannt / Stellmass fehlt; ","")&amp;IF(AND(BW1610=0,N(V1610)&lt;=0,N(Q1610)&lt;=0),"Menge pro Gebinde fehlt (Ist = 1 Gebinde); ","")&amp;BR1610)</f>
        <v>Kein Verbrauch; Gebinde geschätzt (Mittel); Menge pro Gebinde fehlt (Ist = 1 Gebinde); nur im Artikelstamm (Bestand 23.06.2026)</v>
      </c>
      <c r="BK1610" s="48"/>
      <c r="BL1610" s="48"/>
      <c r="BM1610" s="55"/>
      <c r="BN1610" s="50" t="n">
        <v>2</v>
      </c>
      <c r="BO1610" s="50" t="n">
        <v>0</v>
      </c>
      <c r="BP1610" s="49" t="n">
        <v>0</v>
      </c>
      <c r="BQ1610" s="50" t="n">
        <v>0</v>
      </c>
      <c r="BR1610" s="48" t="s">
        <v>2579</v>
      </c>
      <c r="BS1610" s="53" t="n">
        <v>0</v>
      </c>
      <c r="BT1610" s="53" t="n">
        <v>1610</v>
      </c>
      <c r="BU1610" s="48" t="str">
        <f aca="false">IF(U1610&lt;&gt;"",UPPER(TRIM(U1610)),IF(BX1610=1,UPPER(VLOOKUP(T1610,Parameter!$I$27:$K$29,2,0)),IF(P1610="","LOSE",P1610)))</f>
        <v>S61</v>
      </c>
      <c r="BV1610" s="50" t="n">
        <f aca="false">IF(BU1610="LOSE",1,IF(N(V1610)&gt;0,V1610,IF(BX1610=1,MAX(1,N(VLOOKUP(T1610,Parameter!$I$27:$K$29,3,0)),H1610,N(N1610)),IF(N(Q1610)&gt;0,Q1610,MAX(1,H1610)))))</f>
        <v>4</v>
      </c>
      <c r="BW1610" s="53" t="n">
        <f aca="false">IF(BU1610="LOSE",1,0)</f>
        <v>0</v>
      </c>
      <c r="BX1610" s="53" t="n">
        <f aca="false">IF(AND(U1610="",OR(P1610="",P1610="LOSE"),T1610&lt;&gt;"",N(S1610)&lt;=0,ISNUMBER(MATCH(T1610,Parameter!$I$27:$I$29,0))),1,0)</f>
        <v>1</v>
      </c>
      <c r="BY1610" s="53" t="n">
        <f aca="false">IF(CL1610&gt;0,INDEX(Parameter!$H$5:$H$7,W1610)/INDEX(Parameter!$E$5:$E$7,W1610),IF(AND(BW1610=0,N(IFERROR(VLOOKUP(BU1610,'Gebinde-Kategorie'!$A$5:$N$45,14,0),0))&gt;0),VLOOKUP(BU1610,'Gebinde-Kategorie'!$A$5:$N$45,14,0)*10+Parameter!$M$23,Parameter!$M$24))</f>
        <v>145</v>
      </c>
      <c r="BZ1610" s="48" t="str">
        <f aca="false">IF(AND(Parameter!$B$19="Ja",E1610&lt;&gt;"",ISNUMBER(MATCH(E1610,Parameter!$I$35:$I$52,0))),VLOOKUP(E1610,Parameter!$I$35:$J$52,2,0),IFERROR(VLOOKUP(D1610,Parameter!$A$35:$C$64,2,0),"Nein"))</f>
        <v>2+3</v>
      </c>
      <c r="CA1610" s="52" t="n">
        <f aca="false">IF(BW1610=0,0,IF(N(S1610)&gt;0,S1610,IFERROR(VLOOKUP(D1610,Parameter!$A$35:$C$64,3,0)+0,0)))</f>
        <v>0</v>
      </c>
      <c r="CB1610" s="48" t="n">
        <f aca="false">IF(AA1610&lt;&gt;"",AA1610,Z1610)</f>
        <v>2</v>
      </c>
      <c r="CC1610" s="48" t="str">
        <f aca="false">IF(OR(CB1610=1,CB1610=2,CB1610=3),IF(Parameter!$E$27="Ja","LIFT",IF(CB1610=1,"L1","L23")),IF(CB1610="Aussen","Aussen","-"))</f>
        <v>LIFT</v>
      </c>
      <c r="CD1610" s="59" t="n">
        <f aca="false">IF(N(AB1610)&gt;0,AB1610,0)</f>
        <v>0</v>
      </c>
      <c r="CE1610" s="53" t="n">
        <f aca="false">IF(ISNUMBER(AE1610),1,0)</f>
        <v>0</v>
      </c>
      <c r="CF1610" s="50" t="n">
        <f aca="false">N(AE1610)</f>
        <v>0</v>
      </c>
      <c r="CG1610" s="50" t="n">
        <f aca="false">N(M1610)+N(N1610)</f>
        <v>1</v>
      </c>
      <c r="CH1610" s="50" t="n">
        <f aca="false">ROUNDUP(H1610/BV1610,0)</f>
        <v>1</v>
      </c>
      <c r="CI1610" s="50" t="n">
        <f aca="false">ROUNDUP(CF1610/BV1610,0)</f>
        <v>0</v>
      </c>
      <c r="CJ1610" s="53" t="n">
        <f aca="false">IF(BW1610=1,0,IFERROR(VLOOKUP(BU1610,'Gebinde-Kategorie'!$A$5:$N$45,5,0)+0,0))</f>
        <v>11</v>
      </c>
      <c r="CK1610" s="53" t="n">
        <f aca="false">IFERROR(IF(OR(CB1610=1,CB1610=2,CB1610=3),N(INDEX(Parameter!$I$5:$I$7,CB1610)),0),0)</f>
        <v>0</v>
      </c>
      <c r="CL1610" s="52" t="n">
        <f aca="false">IF(AND(Parameter!$B$21="Ja",ISNUMBER(W1610),N(X1610)&gt;0),IFERROR(N(INDEX(Parameter!$L$5:$L$7,W1610))*INDEX(Parameter!$E$5:$E$7,W1610)*X1610/SUMIFS($X$7:$X$1843,$W$7:$W$1843,W1610),0),0)</f>
        <v>0</v>
      </c>
    </row>
    <row r="1611" customFormat="false" ht="15" hidden="false" customHeight="false" outlineLevel="0" collapsed="false">
      <c r="A1611" s="48" t="s">
        <v>2811</v>
      </c>
      <c r="B1611" s="48" t="s">
        <v>702</v>
      </c>
      <c r="C1611" s="48" t="s">
        <v>168</v>
      </c>
      <c r="D1611" s="48" t="s">
        <v>177</v>
      </c>
      <c r="E1611" s="48"/>
      <c r="F1611" s="48"/>
      <c r="G1611" s="49" t="n">
        <v>649</v>
      </c>
      <c r="H1611" s="50" t="n">
        <f aca="false">MAX(0,IF(AND(Parameter!$B$21="Ja",ISNUMBER(Y1611)),Y1611,IF(Parameter!$B$20="Jahresanfang 2025 + Export",BO1611+BN1611,BN1611)))</f>
        <v>2</v>
      </c>
      <c r="I1611" s="50" t="n">
        <f aca="false">H1611*G1611</f>
        <v>1298</v>
      </c>
      <c r="J1611" s="50" t="n">
        <f aca="false">BQ1611*Parameter!$B$18</f>
        <v>0</v>
      </c>
      <c r="K1611" s="51"/>
      <c r="L1611" s="52"/>
      <c r="M1611" s="50" t="n">
        <v>0</v>
      </c>
      <c r="N1611" s="50" t="n">
        <v>1</v>
      </c>
      <c r="O1611" s="53" t="n">
        <v>28</v>
      </c>
      <c r="P1611" s="48" t="s">
        <v>172</v>
      </c>
      <c r="Q1611" s="50"/>
      <c r="R1611" s="53" t="n">
        <f aca="false">IF(BW1611=1,0,IFERROR(VLOOKUP(BU1611,'Gebinde-Kategorie'!$A$5:$N$45,13,0)+0,0))</f>
        <v>12</v>
      </c>
      <c r="S1611" s="54"/>
      <c r="T1611" s="55" t="s">
        <v>183</v>
      </c>
      <c r="U1611" s="55"/>
      <c r="V1611" s="55"/>
      <c r="W1611" s="48"/>
      <c r="X1611" s="50"/>
      <c r="Y1611" s="50"/>
      <c r="Z1611" s="48" t="n">
        <f aca="false">IF(A1611="","",IF(AND(Parameter!$B$21="Ja",ISNUMBER(W1611)),W1611,IF(BZ1611="2+3",IF(ISNUMBER(SEARCH("grosser Artikel",BR1611)),2,IFERROR(VLOOKUP(BU1611,Parameter!$F$35:$G$64,2,0),2)),IF(OR(BZ1611="Nein",BZ1611=""),"-",BZ1611))))</f>
        <v>2</v>
      </c>
      <c r="AA1611" s="55"/>
      <c r="AB1611" s="56"/>
      <c r="AC1611" s="50" t="n">
        <f aca="false">AT1611</f>
        <v>4</v>
      </c>
      <c r="AD1611" s="50" t="n">
        <f aca="false">MAX(AT1611,H1611)</f>
        <v>4</v>
      </c>
      <c r="AE1611" s="57"/>
      <c r="AF1611" s="50" t="n">
        <f aca="false">IF(LEFT(Cockpit!$C$5,1)="A",H1611,IF(CE1611=1,CF1611,IF(LEFT(Cockpit!$C$5,1)="B",AK1611,MAX(AK1611,H1611))))</f>
        <v>2</v>
      </c>
      <c r="AG1611" s="50" t="n">
        <f aca="false">IF(BW1611=1,0,ROUNDUP(AF1611/BV1611,0))</f>
        <v>1</v>
      </c>
      <c r="AH1611" s="52" t="n">
        <f aca="false">IF(CL1611&gt;0,CL1611*MAX(1,AF1611/X1611),IF(BW1611=1,IF(AF1611&lt;=0,0,CA1611*MAX(1,IF(H1611&gt;0,AF1611/H1611,1))),IF(R1611&gt;0,AG1611/R1611,0))/MAX(0.1,N(Parameter!$M$21)))</f>
        <v>0.0833333333333333</v>
      </c>
      <c r="AI1611" s="50" t="n">
        <f aca="false">AH1611*BY1611</f>
        <v>12.0833333333333</v>
      </c>
      <c r="AJ1611" s="50" t="n">
        <f aca="false">AF1611*G1611</f>
        <v>1298</v>
      </c>
      <c r="AK1611" s="50" t="n">
        <f aca="false">ROUNDUP(MAX(J1611/IF(CD1611&gt;0,CD1611,MAX(0.1,N(Cockpit!$C$6))),CG1611)/BV1611,0)*BV1611</f>
        <v>4</v>
      </c>
      <c r="AL1611" s="51" t="n">
        <f aca="false">IF(AI1611&gt;0,J1611/AI1611,-1)</f>
        <v>0</v>
      </c>
      <c r="AM1611" s="51" t="n">
        <f aca="false">IF(AND(OR(CC1611="L1",CC1611="L23",CC1611="LIFT"),AI1611&gt;0),SUMIFS($AI$7:$AI$1843,$CC$7:$CC$1843,CC1611,$AL$7:$AL$1843,"&gt;"&amp;AL1611)+SUMIFS($AI$7:$AI$1843,$CC$7:$CC$1843,CC1611,$AL$7:$AL$1843,AL1611,$BT$7:$BT$1843,"&lt;="&amp;BT1611),"")</f>
        <v>30729.7841388837</v>
      </c>
      <c r="AN1611" s="58" t="n">
        <f aca="false">IF(AM1611="",0,MAX(0,MIN(1,(IF(CC1611="L1",Parameter!$H$5,IF(CC1611="L23",Parameter!$H$6+Parameter!$H$7,Parameter!$H$5+Parameter!$H$6+Parameter!$H$7))-(AM1611-AI1611))/AI1611)))</f>
        <v>1</v>
      </c>
      <c r="AO1611" s="50" t="n">
        <f aca="false">IF(LEFT(Cockpit!$I$5,1)="A",H1611,IF(CE1611=1,CF1611,IF(LEFT(Cockpit!$I$5,1)="B",AT1611,MAX(AT1611,H1611))))</f>
        <v>4</v>
      </c>
      <c r="AP1611" s="50" t="n">
        <f aca="false">IF(BW1611=1,0,ROUNDUP(AO1611/BV1611,0))</f>
        <v>1</v>
      </c>
      <c r="AQ1611" s="52" t="n">
        <f aca="false">IF(CL1611&gt;0,CL1611*MAX(1,AO1611/X1611),IF(BW1611=1,IF(AO1611&lt;=0,0,CA1611*MAX(1,IF(H1611&gt;0,AO1611/H1611,1))),IF(R1611&gt;0,AP1611/R1611,0))/MAX(0.1,N(Parameter!$M$21)))</f>
        <v>0.0833333333333333</v>
      </c>
      <c r="AR1611" s="50" t="n">
        <f aca="false">AQ1611*BY1611</f>
        <v>12.0833333333333</v>
      </c>
      <c r="AS1611" s="50" t="n">
        <f aca="false">AO1611*G1611</f>
        <v>2596</v>
      </c>
      <c r="AT1611" s="50" t="n">
        <f aca="false">ROUNDUP(MAX(J1611/IF(CD1611&gt;0,CD1611,MAX(0.1,N(Cockpit!$I$6))),CG1611)/BV1611,0)*BV1611</f>
        <v>4</v>
      </c>
      <c r="AU1611" s="51" t="n">
        <f aca="false">IF(AR1611&gt;0,J1611/AR1611,-1)</f>
        <v>0</v>
      </c>
      <c r="AV1611" s="51" t="n">
        <f aca="false">IF(AND(OR(CC1611="L1",CC1611="L23",CC1611="LIFT"),AR1611&gt;0),SUMIFS($AR$7:$AR$1843,$CC$7:$CC$1843,CC1611,$AU$7:$AU$1843,"&gt;"&amp;AU1611)+SUMIFS($AR$7:$AR$1843,$CC$7:$CC$1843,CC1611,$AU$7:$AU$1843,AU1611,$BT$7:$BT$1843,"&lt;="&amp;BT1611),"")</f>
        <v>43091.6864510254</v>
      </c>
      <c r="AW1611" s="58" t="n">
        <f aca="false">IF(AV1611="",0,MAX(0,MIN(1,(IF(CC1611="L1",Parameter!$H$5,IF(CC1611="L23",Parameter!$H$6+Parameter!$H$7,Parameter!$H$5+Parameter!$H$6+Parameter!$H$7))-(AV1611-AR1611))/AR1611)))</f>
        <v>0</v>
      </c>
      <c r="AX1611" s="50" t="n">
        <f aca="false">IF(LEFT(Cockpit!$O$5,1)="A",H1611,IF(CE1611=1,CF1611,IF(LEFT(Cockpit!$O$5,1)="B",BC1611,MAX(BC1611,H1611))))</f>
        <v>4</v>
      </c>
      <c r="AY1611" s="50" t="n">
        <f aca="false">IF(BW1611=1,0,ROUNDUP(AX1611/BV1611,0))</f>
        <v>1</v>
      </c>
      <c r="AZ1611" s="52" t="n">
        <f aca="false">IF(CL1611&gt;0,CL1611*MAX(1,AX1611/X1611),IF(BW1611=1,IF(AX1611&lt;=0,0,CA1611*MAX(1,IF(H1611&gt;0,AX1611/H1611,1))),IF(R1611&gt;0,AY1611/R1611,0))/MAX(0.1,N(Parameter!$M$21)))</f>
        <v>0.0833333333333333</v>
      </c>
      <c r="BA1611" s="50" t="n">
        <f aca="false">AZ1611*BY1611</f>
        <v>12.0833333333333</v>
      </c>
      <c r="BB1611" s="50" t="n">
        <f aca="false">AX1611*G1611</f>
        <v>2596</v>
      </c>
      <c r="BC1611" s="50" t="n">
        <f aca="false">ROUNDUP(MAX(J1611/IF(CD1611&gt;0,CD1611,MAX(0.1,N(Cockpit!$O$6))),CG1611)/BV1611,0)*BV1611</f>
        <v>4</v>
      </c>
      <c r="BD1611" s="51" t="n">
        <f aca="false">IF(BA1611&gt;0,J1611/BA1611,-1)</f>
        <v>0</v>
      </c>
      <c r="BE1611" s="51" t="n">
        <f aca="false">IF(AND(OR(CC1611="L1",CC1611="L23",CC1611="LIFT"),BA1611&gt;0),SUMIFS($BA$7:$BA$1843,$CC$7:$CC$1843,CC1611,$BD$7:$BD$1843,"&gt;"&amp;BD1611)+SUMIFS($BA$7:$BA$1843,$CC$7:$CC$1843,CC1611,$BD$7:$BD$1843,BD1611,$BT$7:$BT$1843,"&lt;="&amp;BT1611),"")</f>
        <v>39766.6984928913</v>
      </c>
      <c r="BF1611" s="58" t="n">
        <f aca="false">IF(BE1611="",0,MAX(0,MIN(1,(IF(CC1611="L1",Parameter!$H$5,IF(CC1611="L23",Parameter!$H$6+Parameter!$H$7,Parameter!$H$5+Parameter!$H$6+Parameter!$H$7))-(BE1611-BA1611))/BA1611)))</f>
        <v>0</v>
      </c>
      <c r="BG1611" s="48" t="str">
        <f aca="false">IF(AI1611&lt;=0,"",IF(CC1611="Aussen","Aussenlager",IF(CC1611="-","Nicht im Lift",IF(AN1611&gt;=1,"Lift",IF(AN1611&lt;=0,"Aussenlager","teilweise")))))</f>
        <v>Lift</v>
      </c>
      <c r="BH1611" s="48" t="str">
        <f aca="false">IF(AR1611&lt;=0,"",IF(CC1611="Aussen","Aussenlager",IF(CC1611="-","Nicht im Lift",IF(AW1611&gt;=1,"Lift",IF(AW1611&lt;=0,"Aussenlager","teilweise")))))</f>
        <v>Aussenlager</v>
      </c>
      <c r="BI1611" s="48" t="str">
        <f aca="false">IF(BA1611&lt;=0,"",IF(CC1611="Aussen","Aussenlager",IF(CC1611="-","Nicht im Lift",IF(BF1611&gt;=1,"Lift",IF(BF1611&lt;=0,"Aussenlager","teilweise")))))</f>
        <v>Aussenlager</v>
      </c>
      <c r="BJ1611" s="48" t="str">
        <f aca="false">IF(A1611="","",IF(BS1611=1,"Neu; ","")&amp;IF(AND(BS1611=0,BN1611&lt;0),"negativer Bestand (Export "&amp;BN1611&amp;"); ","")&amp;IF(J1611&lt;=0,"Kein Verbrauch; ","")&amp;IF(CL1611&gt;0,"Lift "&amp;W1611&amp;" lt. Liftbericht (Fach "&amp;X1611&amp;" Stk); ",IF(BX1611=1,"Gebinde geschätzt ("&amp;T1611&amp;"); ",IF(BW1611=1,"Lose – Tablare geschätzt; ","")))&amp;IF(H1611&gt;AT1611,"Überbestand "&amp;ROUND(H1611-AT1611,0)&amp;" Stk / CHF "&amp;ROUND((H1611-AT1611)*G1611,0)&amp;"; ","")&amp;IF(AND(CE1611=1,CF1611&lt;CG1611),"MAX &lt; MB+LG; ","")&amp;IF(AND(CK1611&gt;0,CJ1611*10&gt;CK1611),"zu hoch für Tablar; ","")&amp;IF(AND(BS1611=0,OR(CE1611=1,AA1611&lt;&gt;"",U1611&lt;&gt;"",V1611&lt;&gt;"",AB1611&lt;&gt;"")),"manuell übersteuert; ","")&amp;IF(AND(BW1611=0,R1611=0),"Gebinde unbekannt / Stellmass fehlt; ","")&amp;IF(AND(BW1611=0,N(V1611)&lt;=0,N(Q1611)&lt;=0),"Menge pro Gebinde fehlt (Ist = 1 Gebinde); ","")&amp;BR1611)</f>
        <v>Kein Verbrauch; Gebinde geschätzt (Mittel); Menge pro Gebinde fehlt (Ist = 1 Gebinde); nur im Artikelstamm (Bestand 23.06.2026); Überbestand</v>
      </c>
      <c r="BK1611" s="48"/>
      <c r="BL1611" s="48"/>
      <c r="BM1611" s="55"/>
      <c r="BN1611" s="50" t="n">
        <v>2</v>
      </c>
      <c r="BO1611" s="50" t="n">
        <v>0</v>
      </c>
      <c r="BP1611" s="49" t="n">
        <v>0</v>
      </c>
      <c r="BQ1611" s="50" t="n">
        <v>0</v>
      </c>
      <c r="BR1611" s="48" t="s">
        <v>2576</v>
      </c>
      <c r="BS1611" s="53" t="n">
        <v>0</v>
      </c>
      <c r="BT1611" s="53" t="n">
        <v>1611</v>
      </c>
      <c r="BU1611" s="48" t="str">
        <f aca="false">IF(U1611&lt;&gt;"",UPPER(TRIM(U1611)),IF(BX1611=1,UPPER(VLOOKUP(T1611,Parameter!$I$27:$K$29,2,0)),IF(P1611="","LOSE",P1611)))</f>
        <v>S61</v>
      </c>
      <c r="BV1611" s="50" t="n">
        <f aca="false">IF(BU1611="LOSE",1,IF(N(V1611)&gt;0,V1611,IF(BX1611=1,MAX(1,N(VLOOKUP(T1611,Parameter!$I$27:$K$29,3,0)),H1611,N(N1611)),IF(N(Q1611)&gt;0,Q1611,MAX(1,H1611)))))</f>
        <v>4</v>
      </c>
      <c r="BW1611" s="53" t="n">
        <f aca="false">IF(BU1611="LOSE",1,0)</f>
        <v>0</v>
      </c>
      <c r="BX1611" s="53" t="n">
        <f aca="false">IF(AND(U1611="",OR(P1611="",P1611="LOSE"),T1611&lt;&gt;"",N(S1611)&lt;=0,ISNUMBER(MATCH(T1611,Parameter!$I$27:$I$29,0))),1,0)</f>
        <v>1</v>
      </c>
      <c r="BY1611" s="53" t="n">
        <f aca="false">IF(CL1611&gt;0,INDEX(Parameter!$H$5:$H$7,W1611)/INDEX(Parameter!$E$5:$E$7,W1611),IF(AND(BW1611=0,N(IFERROR(VLOOKUP(BU1611,'Gebinde-Kategorie'!$A$5:$N$45,14,0),0))&gt;0),VLOOKUP(BU1611,'Gebinde-Kategorie'!$A$5:$N$45,14,0)*10+Parameter!$M$23,Parameter!$M$24))</f>
        <v>145</v>
      </c>
      <c r="BZ1611" s="48" t="str">
        <f aca="false">IF(AND(Parameter!$B$19="Ja",E1611&lt;&gt;"",ISNUMBER(MATCH(E1611,Parameter!$I$35:$I$52,0))),VLOOKUP(E1611,Parameter!$I$35:$J$52,2,0),IFERROR(VLOOKUP(D1611,Parameter!$A$35:$C$64,2,0),"Nein"))</f>
        <v>2+3</v>
      </c>
      <c r="CA1611" s="52" t="n">
        <f aca="false">IF(BW1611=0,0,IF(N(S1611)&gt;0,S1611,IFERROR(VLOOKUP(D1611,Parameter!$A$35:$C$64,3,0)+0,0)))</f>
        <v>0</v>
      </c>
      <c r="CB1611" s="48" t="n">
        <f aca="false">IF(AA1611&lt;&gt;"",AA1611,Z1611)</f>
        <v>2</v>
      </c>
      <c r="CC1611" s="48" t="str">
        <f aca="false">IF(OR(CB1611=1,CB1611=2,CB1611=3),IF(Parameter!$E$27="Ja","LIFT",IF(CB1611=1,"L1","L23")),IF(CB1611="Aussen","Aussen","-"))</f>
        <v>LIFT</v>
      </c>
      <c r="CD1611" s="59" t="n">
        <f aca="false">IF(N(AB1611)&gt;0,AB1611,0)</f>
        <v>0</v>
      </c>
      <c r="CE1611" s="53" t="n">
        <f aca="false">IF(ISNUMBER(AE1611),1,0)</f>
        <v>0</v>
      </c>
      <c r="CF1611" s="50" t="n">
        <f aca="false">N(AE1611)</f>
        <v>0</v>
      </c>
      <c r="CG1611" s="50" t="n">
        <f aca="false">N(M1611)+N(N1611)</f>
        <v>1</v>
      </c>
      <c r="CH1611" s="50" t="n">
        <f aca="false">ROUNDUP(H1611/BV1611,0)</f>
        <v>1</v>
      </c>
      <c r="CI1611" s="50" t="n">
        <f aca="false">ROUNDUP(CF1611/BV1611,0)</f>
        <v>0</v>
      </c>
      <c r="CJ1611" s="53" t="n">
        <f aca="false">IF(BW1611=1,0,IFERROR(VLOOKUP(BU1611,'Gebinde-Kategorie'!$A$5:$N$45,5,0)+0,0))</f>
        <v>11</v>
      </c>
      <c r="CK1611" s="53" t="n">
        <f aca="false">IFERROR(IF(OR(CB1611=1,CB1611=2,CB1611=3),N(INDEX(Parameter!$I$5:$I$7,CB1611)),0),0)</f>
        <v>0</v>
      </c>
      <c r="CL1611" s="52" t="n">
        <f aca="false">IF(AND(Parameter!$B$21="Ja",ISNUMBER(W1611),N(X1611)&gt;0),IFERROR(N(INDEX(Parameter!$L$5:$L$7,W1611))*INDEX(Parameter!$E$5:$E$7,W1611)*X1611/SUMIFS($X$7:$X$1843,$W$7:$W$1843,W1611),0),0)</f>
        <v>0</v>
      </c>
    </row>
    <row r="1612" customFormat="false" ht="15" hidden="false" customHeight="false" outlineLevel="0" collapsed="false">
      <c r="A1612" s="48" t="s">
        <v>2812</v>
      </c>
      <c r="B1612" s="48" t="s">
        <v>2813</v>
      </c>
      <c r="C1612" s="48" t="s">
        <v>168</v>
      </c>
      <c r="D1612" s="48" t="s">
        <v>188</v>
      </c>
      <c r="E1612" s="48"/>
      <c r="F1612" s="48"/>
      <c r="G1612" s="49" t="n">
        <v>23</v>
      </c>
      <c r="H1612" s="50" t="n">
        <f aca="false">MAX(0,IF(AND(Parameter!$B$21="Ja",ISNUMBER(Y1612)),Y1612,IF(Parameter!$B$20="Jahresanfang 2025 + Export",BO1612+BN1612,BN1612)))</f>
        <v>6</v>
      </c>
      <c r="I1612" s="50" t="n">
        <f aca="false">H1612*G1612</f>
        <v>138</v>
      </c>
      <c r="J1612" s="50" t="n">
        <f aca="false">BQ1612*Parameter!$B$18</f>
        <v>0</v>
      </c>
      <c r="K1612" s="51"/>
      <c r="L1612" s="52"/>
      <c r="M1612" s="50" t="n">
        <v>0</v>
      </c>
      <c r="N1612" s="50" t="n">
        <v>20</v>
      </c>
      <c r="O1612" s="53" t="n">
        <v>21</v>
      </c>
      <c r="P1612" s="48" t="s">
        <v>172</v>
      </c>
      <c r="Q1612" s="50"/>
      <c r="R1612" s="53" t="n">
        <f aca="false">IF(BW1612=1,0,IFERROR(VLOOKUP(BU1612,'Gebinde-Kategorie'!$A$5:$N$45,13,0)+0,0))</f>
        <v>4</v>
      </c>
      <c r="S1612" s="54"/>
      <c r="T1612" s="55" t="s">
        <v>193</v>
      </c>
      <c r="U1612" s="55"/>
      <c r="V1612" s="55"/>
      <c r="W1612" s="48"/>
      <c r="X1612" s="50"/>
      <c r="Y1612" s="50"/>
      <c r="Z1612" s="48" t="n">
        <f aca="false">IF(A1612="","",IF(AND(Parameter!$B$21="Ja",ISNUMBER(W1612)),W1612,IF(BZ1612="2+3",IF(ISNUMBER(SEARCH("grosser Artikel",BR1612)),2,IFERROR(VLOOKUP(BU1612,Parameter!$F$35:$G$64,2,0),2)),IF(OR(BZ1612="Nein",BZ1612=""),"-",BZ1612))))</f>
        <v>2</v>
      </c>
      <c r="AA1612" s="55"/>
      <c r="AB1612" s="56"/>
      <c r="AC1612" s="50" t="n">
        <f aca="false">AT1612</f>
        <v>20</v>
      </c>
      <c r="AD1612" s="50" t="n">
        <f aca="false">MAX(AT1612,H1612)</f>
        <v>20</v>
      </c>
      <c r="AE1612" s="57"/>
      <c r="AF1612" s="50" t="n">
        <f aca="false">IF(LEFT(Cockpit!$C$5,1)="A",H1612,IF(CE1612=1,CF1612,IF(LEFT(Cockpit!$C$5,1)="B",AK1612,MAX(AK1612,H1612))))</f>
        <v>6</v>
      </c>
      <c r="AG1612" s="50" t="n">
        <f aca="false">IF(BW1612=1,0,ROUNDUP(AF1612/BV1612,0))</f>
        <v>1</v>
      </c>
      <c r="AH1612" s="52" t="n">
        <f aca="false">IF(CL1612&gt;0,CL1612*MAX(1,AF1612/X1612),IF(BW1612=1,IF(AF1612&lt;=0,0,CA1612*MAX(1,IF(H1612&gt;0,AF1612/H1612,1))),IF(R1612&gt;0,AG1612/R1612,0))/MAX(0.1,N(Parameter!$M$21)))</f>
        <v>0.25</v>
      </c>
      <c r="AI1612" s="50" t="n">
        <f aca="false">AH1612*BY1612</f>
        <v>58.75</v>
      </c>
      <c r="AJ1612" s="50" t="n">
        <f aca="false">AF1612*G1612</f>
        <v>138</v>
      </c>
      <c r="AK1612" s="50" t="n">
        <f aca="false">ROUNDUP(MAX(J1612/IF(CD1612&gt;0,CD1612,MAX(0.1,N(Cockpit!$C$6))),CG1612)/BV1612,0)*BV1612</f>
        <v>20</v>
      </c>
      <c r="AL1612" s="51" t="n">
        <f aca="false">IF(AI1612&gt;0,J1612/AI1612,-1)</f>
        <v>0</v>
      </c>
      <c r="AM1612" s="51" t="n">
        <f aca="false">IF(AND(OR(CC1612="L1",CC1612="L23",CC1612="LIFT"),AI1612&gt;0),SUMIFS($AI$7:$AI$1843,$CC$7:$CC$1843,CC1612,$AL$7:$AL$1843,"&gt;"&amp;AL1612)+SUMIFS($AI$7:$AI$1843,$CC$7:$CC$1843,CC1612,$AL$7:$AL$1843,AL1612,$BT$7:$BT$1843,"&lt;="&amp;BT1612),"")</f>
        <v>30788.5341388837</v>
      </c>
      <c r="AN1612" s="58" t="n">
        <f aca="false">IF(AM1612="",0,MAX(0,MIN(1,(IF(CC1612="L1",Parameter!$H$5,IF(CC1612="L23",Parameter!$H$6+Parameter!$H$7,Parameter!$H$5+Parameter!$H$6+Parameter!$H$7))-(AM1612-AI1612))/AI1612)))</f>
        <v>1</v>
      </c>
      <c r="AO1612" s="50" t="n">
        <f aca="false">IF(LEFT(Cockpit!$I$5,1)="A",H1612,IF(CE1612=1,CF1612,IF(LEFT(Cockpit!$I$5,1)="B",AT1612,MAX(AT1612,H1612))))</f>
        <v>20</v>
      </c>
      <c r="AP1612" s="50" t="n">
        <f aca="false">IF(BW1612=1,0,ROUNDUP(AO1612/BV1612,0))</f>
        <v>1</v>
      </c>
      <c r="AQ1612" s="52" t="n">
        <f aca="false">IF(CL1612&gt;0,CL1612*MAX(1,AO1612/X1612),IF(BW1612=1,IF(AO1612&lt;=0,0,CA1612*MAX(1,IF(H1612&gt;0,AO1612/H1612,1))),IF(R1612&gt;0,AP1612/R1612,0))/MAX(0.1,N(Parameter!$M$21)))</f>
        <v>0.25</v>
      </c>
      <c r="AR1612" s="50" t="n">
        <f aca="false">AQ1612*BY1612</f>
        <v>58.75</v>
      </c>
      <c r="AS1612" s="50" t="n">
        <f aca="false">AO1612*G1612</f>
        <v>460</v>
      </c>
      <c r="AT1612" s="50" t="n">
        <f aca="false">ROUNDUP(MAX(J1612/IF(CD1612&gt;0,CD1612,MAX(0.1,N(Cockpit!$I$6))),CG1612)/BV1612,0)*BV1612</f>
        <v>20</v>
      </c>
      <c r="AU1612" s="51" t="n">
        <f aca="false">IF(AR1612&gt;0,J1612/AR1612,-1)</f>
        <v>0</v>
      </c>
      <c r="AV1612" s="51" t="n">
        <f aca="false">IF(AND(OR(CC1612="L1",CC1612="L23",CC1612="LIFT"),AR1612&gt;0),SUMIFS($AR$7:$AR$1843,$CC$7:$CC$1843,CC1612,$AU$7:$AU$1843,"&gt;"&amp;AU1612)+SUMIFS($AR$7:$AR$1843,$CC$7:$CC$1843,CC1612,$AU$7:$AU$1843,AU1612,$BT$7:$BT$1843,"&lt;="&amp;BT1612),"")</f>
        <v>43150.4364510254</v>
      </c>
      <c r="AW1612" s="58" t="n">
        <f aca="false">IF(AV1612="",0,MAX(0,MIN(1,(IF(CC1612="L1",Parameter!$H$5,IF(CC1612="L23",Parameter!$H$6+Parameter!$H$7,Parameter!$H$5+Parameter!$H$6+Parameter!$H$7))-(AV1612-AR1612))/AR1612)))</f>
        <v>0</v>
      </c>
      <c r="AX1612" s="50" t="n">
        <f aca="false">IF(LEFT(Cockpit!$O$5,1)="A",H1612,IF(CE1612=1,CF1612,IF(LEFT(Cockpit!$O$5,1)="B",BC1612,MAX(BC1612,H1612))))</f>
        <v>20</v>
      </c>
      <c r="AY1612" s="50" t="n">
        <f aca="false">IF(BW1612=1,0,ROUNDUP(AX1612/BV1612,0))</f>
        <v>1</v>
      </c>
      <c r="AZ1612" s="52" t="n">
        <f aca="false">IF(CL1612&gt;0,CL1612*MAX(1,AX1612/X1612),IF(BW1612=1,IF(AX1612&lt;=0,0,CA1612*MAX(1,IF(H1612&gt;0,AX1612/H1612,1))),IF(R1612&gt;0,AY1612/R1612,0))/MAX(0.1,N(Parameter!$M$21)))</f>
        <v>0.25</v>
      </c>
      <c r="BA1612" s="50" t="n">
        <f aca="false">AZ1612*BY1612</f>
        <v>58.75</v>
      </c>
      <c r="BB1612" s="50" t="n">
        <f aca="false">AX1612*G1612</f>
        <v>460</v>
      </c>
      <c r="BC1612" s="50" t="n">
        <f aca="false">ROUNDUP(MAX(J1612/IF(CD1612&gt;0,CD1612,MAX(0.1,N(Cockpit!$O$6))),CG1612)/BV1612,0)*BV1612</f>
        <v>20</v>
      </c>
      <c r="BD1612" s="51" t="n">
        <f aca="false">IF(BA1612&gt;0,J1612/BA1612,-1)</f>
        <v>0</v>
      </c>
      <c r="BE1612" s="51" t="n">
        <f aca="false">IF(AND(OR(CC1612="L1",CC1612="L23",CC1612="LIFT"),BA1612&gt;0),SUMIFS($BA$7:$BA$1843,$CC$7:$CC$1843,CC1612,$BD$7:$BD$1843,"&gt;"&amp;BD1612)+SUMIFS($BA$7:$BA$1843,$CC$7:$CC$1843,CC1612,$BD$7:$BD$1843,BD1612,$BT$7:$BT$1843,"&lt;="&amp;BT1612),"")</f>
        <v>39825.4484928913</v>
      </c>
      <c r="BF1612" s="58" t="n">
        <f aca="false">IF(BE1612="",0,MAX(0,MIN(1,(IF(CC1612="L1",Parameter!$H$5,IF(CC1612="L23",Parameter!$H$6+Parameter!$H$7,Parameter!$H$5+Parameter!$H$6+Parameter!$H$7))-(BE1612-BA1612))/BA1612)))</f>
        <v>0</v>
      </c>
      <c r="BG1612" s="48" t="str">
        <f aca="false">IF(AI1612&lt;=0,"",IF(CC1612="Aussen","Aussenlager",IF(CC1612="-","Nicht im Lift",IF(AN1612&gt;=1,"Lift",IF(AN1612&lt;=0,"Aussenlager","teilweise")))))</f>
        <v>Lift</v>
      </c>
      <c r="BH1612" s="48" t="str">
        <f aca="false">IF(AR1612&lt;=0,"",IF(CC1612="Aussen","Aussenlager",IF(CC1612="-","Nicht im Lift",IF(AW1612&gt;=1,"Lift",IF(AW1612&lt;=0,"Aussenlager","teilweise")))))</f>
        <v>Aussenlager</v>
      </c>
      <c r="BI1612" s="48" t="str">
        <f aca="false">IF(BA1612&lt;=0,"",IF(CC1612="Aussen","Aussenlager",IF(CC1612="-","Nicht im Lift",IF(BF1612&gt;=1,"Lift",IF(BF1612&lt;=0,"Aussenlager","teilweise")))))</f>
        <v>Aussenlager</v>
      </c>
      <c r="BJ1612" s="48" t="str">
        <f aca="false">IF(A1612="","",IF(BS1612=1,"Neu; ","")&amp;IF(AND(BS1612=0,BN1612&lt;0),"negativer Bestand (Export "&amp;BN1612&amp;"); ","")&amp;IF(J1612&lt;=0,"Kein Verbrauch; ","")&amp;IF(CL1612&gt;0,"Lift "&amp;W1612&amp;" lt. Liftbericht (Fach "&amp;X1612&amp;" Stk); ",IF(BX1612=1,"Gebinde geschätzt ("&amp;T1612&amp;"); ",IF(BW1612=1,"Lose – Tablare geschätzt; ","")))&amp;IF(H1612&gt;AT1612,"Überbestand "&amp;ROUND(H1612-AT1612,0)&amp;" Stk / CHF "&amp;ROUND((H1612-AT1612)*G1612,0)&amp;"; ","")&amp;IF(AND(CE1612=1,CF1612&lt;CG1612),"MAX &lt; MB+LG; ","")&amp;IF(AND(CK1612&gt;0,CJ1612*10&gt;CK1612),"zu hoch für Tablar; ","")&amp;IF(AND(BS1612=0,OR(CE1612=1,AA1612&lt;&gt;"",U1612&lt;&gt;"",V1612&lt;&gt;"",AB1612&lt;&gt;"")),"manuell übersteuert; ","")&amp;IF(AND(BW1612=0,R1612=0),"Gebinde unbekannt / Stellmass fehlt; ","")&amp;IF(AND(BW1612=0,N(V1612)&lt;=0,N(Q1612)&lt;=0),"Menge pro Gebinde fehlt (Ist = 1 Gebinde); ","")&amp;BR1612)</f>
        <v>Kein Verbrauch; Gebinde geschätzt (Gross); Menge pro Gebinde fehlt (Ist = 1 Gebinde); nur im Artikelstamm (Bestand 23.06.2026)</v>
      </c>
      <c r="BK1612" s="48"/>
      <c r="BL1612" s="48"/>
      <c r="BM1612" s="55"/>
      <c r="BN1612" s="50" t="n">
        <v>6</v>
      </c>
      <c r="BO1612" s="50" t="n">
        <v>0</v>
      </c>
      <c r="BP1612" s="49" t="n">
        <v>0</v>
      </c>
      <c r="BQ1612" s="50" t="n">
        <v>0</v>
      </c>
      <c r="BR1612" s="48" t="s">
        <v>2579</v>
      </c>
      <c r="BS1612" s="53" t="n">
        <v>0</v>
      </c>
      <c r="BT1612" s="53" t="n">
        <v>1612</v>
      </c>
      <c r="BU1612" s="48" t="str">
        <f aca="false">IF(U1612&lt;&gt;"",UPPER(TRIM(U1612)),IF(BX1612=1,UPPER(VLOOKUP(T1612,Parameter!$I$27:$K$29,2,0)),IF(P1612="","LOSE",P1612)))</f>
        <v>S81</v>
      </c>
      <c r="BV1612" s="50" t="n">
        <f aca="false">IF(BU1612="LOSE",1,IF(N(V1612)&gt;0,V1612,IF(BX1612=1,MAX(1,N(VLOOKUP(T1612,Parameter!$I$27:$K$29,3,0)),H1612,N(N1612)),IF(N(Q1612)&gt;0,Q1612,MAX(1,H1612)))))</f>
        <v>20</v>
      </c>
      <c r="BW1612" s="53" t="n">
        <f aca="false">IF(BU1612="LOSE",1,0)</f>
        <v>0</v>
      </c>
      <c r="BX1612" s="53" t="n">
        <f aca="false">IF(AND(U1612="",OR(P1612="",P1612="LOSE"),T1612&lt;&gt;"",N(S1612)&lt;=0,ISNUMBER(MATCH(T1612,Parameter!$I$27:$I$29,0))),1,0)</f>
        <v>1</v>
      </c>
      <c r="BY1612" s="53" t="n">
        <f aca="false">IF(CL1612&gt;0,INDEX(Parameter!$H$5:$H$7,W1612)/INDEX(Parameter!$E$5:$E$7,W1612),IF(AND(BW1612=0,N(IFERROR(VLOOKUP(BU1612,'Gebinde-Kategorie'!$A$5:$N$45,14,0),0))&gt;0),VLOOKUP(BU1612,'Gebinde-Kategorie'!$A$5:$N$45,14,0)*10+Parameter!$M$23,Parameter!$M$24))</f>
        <v>235</v>
      </c>
      <c r="BZ1612" s="48" t="str">
        <f aca="false">IF(AND(Parameter!$B$19="Ja",E1612&lt;&gt;"",ISNUMBER(MATCH(E1612,Parameter!$I$35:$I$52,0))),VLOOKUP(E1612,Parameter!$I$35:$J$52,2,0),IFERROR(VLOOKUP(D1612,Parameter!$A$35:$C$64,2,0),"Nein"))</f>
        <v>2+3</v>
      </c>
      <c r="CA1612" s="52" t="n">
        <f aca="false">IF(BW1612=0,0,IF(N(S1612)&gt;0,S1612,IFERROR(VLOOKUP(D1612,Parameter!$A$35:$C$64,3,0)+0,0)))</f>
        <v>0</v>
      </c>
      <c r="CB1612" s="48" t="n">
        <f aca="false">IF(AA1612&lt;&gt;"",AA1612,Z1612)</f>
        <v>2</v>
      </c>
      <c r="CC1612" s="48" t="str">
        <f aca="false">IF(OR(CB1612=1,CB1612=2,CB1612=3),IF(Parameter!$E$27="Ja","LIFT",IF(CB1612=1,"L1","L23")),IF(CB1612="Aussen","Aussen","-"))</f>
        <v>LIFT</v>
      </c>
      <c r="CD1612" s="59" t="n">
        <f aca="false">IF(N(AB1612)&gt;0,AB1612,0)</f>
        <v>0</v>
      </c>
      <c r="CE1612" s="53" t="n">
        <f aca="false">IF(ISNUMBER(AE1612),1,0)</f>
        <v>0</v>
      </c>
      <c r="CF1612" s="50" t="n">
        <f aca="false">N(AE1612)</f>
        <v>0</v>
      </c>
      <c r="CG1612" s="50" t="n">
        <f aca="false">N(M1612)+N(N1612)</f>
        <v>20</v>
      </c>
      <c r="CH1612" s="50" t="n">
        <f aca="false">ROUNDUP(H1612/BV1612,0)</f>
        <v>1</v>
      </c>
      <c r="CI1612" s="50" t="n">
        <f aca="false">ROUNDUP(CF1612/BV1612,0)</f>
        <v>0</v>
      </c>
      <c r="CJ1612" s="53" t="n">
        <f aca="false">IF(BW1612=1,0,IFERROR(VLOOKUP(BU1612,'Gebinde-Kategorie'!$A$5:$N$45,5,0)+0,0))</f>
        <v>20</v>
      </c>
      <c r="CK1612" s="53" t="n">
        <f aca="false">IFERROR(IF(OR(CB1612=1,CB1612=2,CB1612=3),N(INDEX(Parameter!$I$5:$I$7,CB1612)),0),0)</f>
        <v>0</v>
      </c>
      <c r="CL1612" s="52" t="n">
        <f aca="false">IF(AND(Parameter!$B$21="Ja",ISNUMBER(W1612),N(X1612)&gt;0),IFERROR(N(INDEX(Parameter!$L$5:$L$7,W1612))*INDEX(Parameter!$E$5:$E$7,W1612)*X1612/SUMIFS($X$7:$X$1843,$W$7:$W$1843,W1612),0),0)</f>
        <v>0</v>
      </c>
    </row>
    <row r="1613" customFormat="false" ht="15" hidden="false" customHeight="false" outlineLevel="0" collapsed="false">
      <c r="A1613" s="48" t="s">
        <v>2814</v>
      </c>
      <c r="B1613" s="48" t="s">
        <v>2815</v>
      </c>
      <c r="C1613" s="48" t="s">
        <v>168</v>
      </c>
      <c r="D1613" s="48" t="s">
        <v>188</v>
      </c>
      <c r="E1613" s="48"/>
      <c r="F1613" s="48"/>
      <c r="G1613" s="49" t="n">
        <v>59.27</v>
      </c>
      <c r="H1613" s="50" t="n">
        <f aca="false">MAX(0,IF(AND(Parameter!$B$21="Ja",ISNUMBER(Y1613)),Y1613,IF(Parameter!$B$20="Jahresanfang 2025 + Export",BO1613+BN1613,BN1613)))</f>
        <v>1</v>
      </c>
      <c r="I1613" s="50" t="n">
        <f aca="false">H1613*G1613</f>
        <v>59.27</v>
      </c>
      <c r="J1613" s="50" t="n">
        <f aca="false">BQ1613*Parameter!$B$18</f>
        <v>0</v>
      </c>
      <c r="K1613" s="51"/>
      <c r="L1613" s="52"/>
      <c r="M1613" s="50" t="n">
        <v>0</v>
      </c>
      <c r="N1613" s="50" t="n">
        <v>1</v>
      </c>
      <c r="O1613" s="53" t="n">
        <v>0</v>
      </c>
      <c r="P1613" s="48" t="s">
        <v>172</v>
      </c>
      <c r="Q1613" s="50"/>
      <c r="R1613" s="53" t="n">
        <f aca="false">IF(BW1613=1,0,IFERROR(VLOOKUP(BU1613,'Gebinde-Kategorie'!$A$5:$N$45,13,0)+0,0))</f>
        <v>12</v>
      </c>
      <c r="S1613" s="54"/>
      <c r="T1613" s="55" t="s">
        <v>183</v>
      </c>
      <c r="U1613" s="55"/>
      <c r="V1613" s="55"/>
      <c r="W1613" s="48"/>
      <c r="X1613" s="50"/>
      <c r="Y1613" s="50"/>
      <c r="Z1613" s="48" t="n">
        <f aca="false">IF(A1613="","",IF(AND(Parameter!$B$21="Ja",ISNUMBER(W1613)),W1613,IF(BZ1613="2+3",IF(ISNUMBER(SEARCH("grosser Artikel",BR1613)),2,IFERROR(VLOOKUP(BU1613,Parameter!$F$35:$G$64,2,0),2)),IF(OR(BZ1613="Nein",BZ1613=""),"-",BZ1613))))</f>
        <v>2</v>
      </c>
      <c r="AA1613" s="55"/>
      <c r="AB1613" s="56"/>
      <c r="AC1613" s="50" t="n">
        <f aca="false">AT1613</f>
        <v>4</v>
      </c>
      <c r="AD1613" s="50" t="n">
        <f aca="false">MAX(AT1613,H1613)</f>
        <v>4</v>
      </c>
      <c r="AE1613" s="57"/>
      <c r="AF1613" s="50" t="n">
        <f aca="false">IF(LEFT(Cockpit!$C$5,1)="A",H1613,IF(CE1613=1,CF1613,IF(LEFT(Cockpit!$C$5,1)="B",AK1613,MAX(AK1613,H1613))))</f>
        <v>1</v>
      </c>
      <c r="AG1613" s="50" t="n">
        <f aca="false">IF(BW1613=1,0,ROUNDUP(AF1613/BV1613,0))</f>
        <v>1</v>
      </c>
      <c r="AH1613" s="52" t="n">
        <f aca="false">IF(CL1613&gt;0,CL1613*MAX(1,AF1613/X1613),IF(BW1613=1,IF(AF1613&lt;=0,0,CA1613*MAX(1,IF(H1613&gt;0,AF1613/H1613,1))),IF(R1613&gt;0,AG1613/R1613,0))/MAX(0.1,N(Parameter!$M$21)))</f>
        <v>0.0833333333333333</v>
      </c>
      <c r="AI1613" s="50" t="n">
        <f aca="false">AH1613*BY1613</f>
        <v>12.0833333333333</v>
      </c>
      <c r="AJ1613" s="50" t="n">
        <f aca="false">AF1613*G1613</f>
        <v>59.27</v>
      </c>
      <c r="AK1613" s="50" t="n">
        <f aca="false">ROUNDUP(MAX(J1613/IF(CD1613&gt;0,CD1613,MAX(0.1,N(Cockpit!$C$6))),CG1613)/BV1613,0)*BV1613</f>
        <v>4</v>
      </c>
      <c r="AL1613" s="51" t="n">
        <f aca="false">IF(AI1613&gt;0,J1613/AI1613,-1)</f>
        <v>0</v>
      </c>
      <c r="AM1613" s="51" t="n">
        <f aca="false">IF(AND(OR(CC1613="L1",CC1613="L23",CC1613="LIFT"),AI1613&gt;0),SUMIFS($AI$7:$AI$1843,$CC$7:$CC$1843,CC1613,$AL$7:$AL$1843,"&gt;"&amp;AL1613)+SUMIFS($AI$7:$AI$1843,$CC$7:$CC$1843,CC1613,$AL$7:$AL$1843,AL1613,$BT$7:$BT$1843,"&lt;="&amp;BT1613),"")</f>
        <v>30800.617472217</v>
      </c>
      <c r="AN1613" s="58" t="n">
        <f aca="false">IF(AM1613="",0,MAX(0,MIN(1,(IF(CC1613="L1",Parameter!$H$5,IF(CC1613="L23",Parameter!$H$6+Parameter!$H$7,Parameter!$H$5+Parameter!$H$6+Parameter!$H$7))-(AM1613-AI1613))/AI1613)))</f>
        <v>1</v>
      </c>
      <c r="AO1613" s="50" t="n">
        <f aca="false">IF(LEFT(Cockpit!$I$5,1)="A",H1613,IF(CE1613=1,CF1613,IF(LEFT(Cockpit!$I$5,1)="B",AT1613,MAX(AT1613,H1613))))</f>
        <v>4</v>
      </c>
      <c r="AP1613" s="50" t="n">
        <f aca="false">IF(BW1613=1,0,ROUNDUP(AO1613/BV1613,0))</f>
        <v>1</v>
      </c>
      <c r="AQ1613" s="52" t="n">
        <f aca="false">IF(CL1613&gt;0,CL1613*MAX(1,AO1613/X1613),IF(BW1613=1,IF(AO1613&lt;=0,0,CA1613*MAX(1,IF(H1613&gt;0,AO1613/H1613,1))),IF(R1613&gt;0,AP1613/R1613,0))/MAX(0.1,N(Parameter!$M$21)))</f>
        <v>0.0833333333333333</v>
      </c>
      <c r="AR1613" s="50" t="n">
        <f aca="false">AQ1613*BY1613</f>
        <v>12.0833333333333</v>
      </c>
      <c r="AS1613" s="50" t="n">
        <f aca="false">AO1613*G1613</f>
        <v>237.08</v>
      </c>
      <c r="AT1613" s="50" t="n">
        <f aca="false">ROUNDUP(MAX(J1613/IF(CD1613&gt;0,CD1613,MAX(0.1,N(Cockpit!$I$6))),CG1613)/BV1613,0)*BV1613</f>
        <v>4</v>
      </c>
      <c r="AU1613" s="51" t="n">
        <f aca="false">IF(AR1613&gt;0,J1613/AR1613,-1)</f>
        <v>0</v>
      </c>
      <c r="AV1613" s="51" t="n">
        <f aca="false">IF(AND(OR(CC1613="L1",CC1613="L23",CC1613="LIFT"),AR1613&gt;0),SUMIFS($AR$7:$AR$1843,$CC$7:$CC$1843,CC1613,$AU$7:$AU$1843,"&gt;"&amp;AU1613)+SUMIFS($AR$7:$AR$1843,$CC$7:$CC$1843,CC1613,$AU$7:$AU$1843,AU1613,$BT$7:$BT$1843,"&lt;="&amp;BT1613),"")</f>
        <v>43162.5197843588</v>
      </c>
      <c r="AW1613" s="58" t="n">
        <f aca="false">IF(AV1613="",0,MAX(0,MIN(1,(IF(CC1613="L1",Parameter!$H$5,IF(CC1613="L23",Parameter!$H$6+Parameter!$H$7,Parameter!$H$5+Parameter!$H$6+Parameter!$H$7))-(AV1613-AR1613))/AR1613)))</f>
        <v>0</v>
      </c>
      <c r="AX1613" s="50" t="n">
        <f aca="false">IF(LEFT(Cockpit!$O$5,1)="A",H1613,IF(CE1613=1,CF1613,IF(LEFT(Cockpit!$O$5,1)="B",BC1613,MAX(BC1613,H1613))))</f>
        <v>4</v>
      </c>
      <c r="AY1613" s="50" t="n">
        <f aca="false">IF(BW1613=1,0,ROUNDUP(AX1613/BV1613,0))</f>
        <v>1</v>
      </c>
      <c r="AZ1613" s="52" t="n">
        <f aca="false">IF(CL1613&gt;0,CL1613*MAX(1,AX1613/X1613),IF(BW1613=1,IF(AX1613&lt;=0,0,CA1613*MAX(1,IF(H1613&gt;0,AX1613/H1613,1))),IF(R1613&gt;0,AY1613/R1613,0))/MAX(0.1,N(Parameter!$M$21)))</f>
        <v>0.0833333333333333</v>
      </c>
      <c r="BA1613" s="50" t="n">
        <f aca="false">AZ1613*BY1613</f>
        <v>12.0833333333333</v>
      </c>
      <c r="BB1613" s="50" t="n">
        <f aca="false">AX1613*G1613</f>
        <v>237.08</v>
      </c>
      <c r="BC1613" s="50" t="n">
        <f aca="false">ROUNDUP(MAX(J1613/IF(CD1613&gt;0,CD1613,MAX(0.1,N(Cockpit!$O$6))),CG1613)/BV1613,0)*BV1613</f>
        <v>4</v>
      </c>
      <c r="BD1613" s="51" t="n">
        <f aca="false">IF(BA1613&gt;0,J1613/BA1613,-1)</f>
        <v>0</v>
      </c>
      <c r="BE1613" s="51" t="n">
        <f aca="false">IF(AND(OR(CC1613="L1",CC1613="L23",CC1613="LIFT"),BA1613&gt;0),SUMIFS($BA$7:$BA$1843,$CC$7:$CC$1843,CC1613,$BD$7:$BD$1843,"&gt;"&amp;BD1613)+SUMIFS($BA$7:$BA$1843,$CC$7:$CC$1843,CC1613,$BD$7:$BD$1843,BD1613,$BT$7:$BT$1843,"&lt;="&amp;BT1613),"")</f>
        <v>39837.5318262246</v>
      </c>
      <c r="BF1613" s="58" t="n">
        <f aca="false">IF(BE1613="",0,MAX(0,MIN(1,(IF(CC1613="L1",Parameter!$H$5,IF(CC1613="L23",Parameter!$H$6+Parameter!$H$7,Parameter!$H$5+Parameter!$H$6+Parameter!$H$7))-(BE1613-BA1613))/BA1613)))</f>
        <v>0</v>
      </c>
      <c r="BG1613" s="48" t="str">
        <f aca="false">IF(AI1613&lt;=0,"",IF(CC1613="Aussen","Aussenlager",IF(CC1613="-","Nicht im Lift",IF(AN1613&gt;=1,"Lift",IF(AN1613&lt;=0,"Aussenlager","teilweise")))))</f>
        <v>Lift</v>
      </c>
      <c r="BH1613" s="48" t="str">
        <f aca="false">IF(AR1613&lt;=0,"",IF(CC1613="Aussen","Aussenlager",IF(CC1613="-","Nicht im Lift",IF(AW1613&gt;=1,"Lift",IF(AW1613&lt;=0,"Aussenlager","teilweise")))))</f>
        <v>Aussenlager</v>
      </c>
      <c r="BI1613" s="48" t="str">
        <f aca="false">IF(BA1613&lt;=0,"",IF(CC1613="Aussen","Aussenlager",IF(CC1613="-","Nicht im Lift",IF(BF1613&gt;=1,"Lift",IF(BF1613&lt;=0,"Aussenlager","teilweise")))))</f>
        <v>Aussenlager</v>
      </c>
      <c r="BJ1613" s="48" t="str">
        <f aca="false">IF(A1613="","",IF(BS1613=1,"Neu; ","")&amp;IF(AND(BS1613=0,BN1613&lt;0),"negativer Bestand (Export "&amp;BN1613&amp;"); ","")&amp;IF(J1613&lt;=0,"Kein Verbrauch; ","")&amp;IF(CL1613&gt;0,"Lift "&amp;W1613&amp;" lt. Liftbericht (Fach "&amp;X1613&amp;" Stk); ",IF(BX1613=1,"Gebinde geschätzt ("&amp;T1613&amp;"); ",IF(BW1613=1,"Lose – Tablare geschätzt; ","")))&amp;IF(H1613&gt;AT1613,"Überbestand "&amp;ROUND(H1613-AT1613,0)&amp;" Stk / CHF "&amp;ROUND((H1613-AT1613)*G1613,0)&amp;"; ","")&amp;IF(AND(CE1613=1,CF1613&lt;CG1613),"MAX &lt; MB+LG; ","")&amp;IF(AND(CK1613&gt;0,CJ1613*10&gt;CK1613),"zu hoch für Tablar; ","")&amp;IF(AND(BS1613=0,OR(CE1613=1,AA1613&lt;&gt;"",U1613&lt;&gt;"",V1613&lt;&gt;"",AB1613&lt;&gt;"")),"manuell übersteuert; ","")&amp;IF(AND(BW1613=0,R1613=0),"Gebinde unbekannt / Stellmass fehlt; ","")&amp;IF(AND(BW1613=0,N(V1613)&lt;=0,N(Q1613)&lt;=0),"Menge pro Gebinde fehlt (Ist = 1 Gebinde); ","")&amp;BR1613)</f>
        <v>Kein Verbrauch; Gebinde geschätzt (Mittel); Menge pro Gebinde fehlt (Ist = 1 Gebinde); nur im Artikelstamm (Bestand 23.06.2026)</v>
      </c>
      <c r="BK1613" s="48"/>
      <c r="BL1613" s="48"/>
      <c r="BM1613" s="55"/>
      <c r="BN1613" s="50" t="n">
        <v>1</v>
      </c>
      <c r="BO1613" s="50" t="n">
        <v>0</v>
      </c>
      <c r="BP1613" s="49" t="n">
        <v>0</v>
      </c>
      <c r="BQ1613" s="50" t="n">
        <v>0</v>
      </c>
      <c r="BR1613" s="48" t="s">
        <v>2579</v>
      </c>
      <c r="BS1613" s="53" t="n">
        <v>0</v>
      </c>
      <c r="BT1613" s="53" t="n">
        <v>1613</v>
      </c>
      <c r="BU1613" s="48" t="str">
        <f aca="false">IF(U1613&lt;&gt;"",UPPER(TRIM(U1613)),IF(BX1613=1,UPPER(VLOOKUP(T1613,Parameter!$I$27:$K$29,2,0)),IF(P1613="","LOSE",P1613)))</f>
        <v>S61</v>
      </c>
      <c r="BV1613" s="50" t="n">
        <f aca="false">IF(BU1613="LOSE",1,IF(N(V1613)&gt;0,V1613,IF(BX1613=1,MAX(1,N(VLOOKUP(T1613,Parameter!$I$27:$K$29,3,0)),H1613,N(N1613)),IF(N(Q1613)&gt;0,Q1613,MAX(1,H1613)))))</f>
        <v>4</v>
      </c>
      <c r="BW1613" s="53" t="n">
        <f aca="false">IF(BU1613="LOSE",1,0)</f>
        <v>0</v>
      </c>
      <c r="BX1613" s="53" t="n">
        <f aca="false">IF(AND(U1613="",OR(P1613="",P1613="LOSE"),T1613&lt;&gt;"",N(S1613)&lt;=0,ISNUMBER(MATCH(T1613,Parameter!$I$27:$I$29,0))),1,0)</f>
        <v>1</v>
      </c>
      <c r="BY1613" s="53" t="n">
        <f aca="false">IF(CL1613&gt;0,INDEX(Parameter!$H$5:$H$7,W1613)/INDEX(Parameter!$E$5:$E$7,W1613),IF(AND(BW1613=0,N(IFERROR(VLOOKUP(BU1613,'Gebinde-Kategorie'!$A$5:$N$45,14,0),0))&gt;0),VLOOKUP(BU1613,'Gebinde-Kategorie'!$A$5:$N$45,14,0)*10+Parameter!$M$23,Parameter!$M$24))</f>
        <v>145</v>
      </c>
      <c r="BZ1613" s="48" t="str">
        <f aca="false">IF(AND(Parameter!$B$19="Ja",E1613&lt;&gt;"",ISNUMBER(MATCH(E1613,Parameter!$I$35:$I$52,0))),VLOOKUP(E1613,Parameter!$I$35:$J$52,2,0),IFERROR(VLOOKUP(D1613,Parameter!$A$35:$C$64,2,0),"Nein"))</f>
        <v>2+3</v>
      </c>
      <c r="CA1613" s="52" t="n">
        <f aca="false">IF(BW1613=0,0,IF(N(S1613)&gt;0,S1613,IFERROR(VLOOKUP(D1613,Parameter!$A$35:$C$64,3,0)+0,0)))</f>
        <v>0</v>
      </c>
      <c r="CB1613" s="48" t="n">
        <f aca="false">IF(AA1613&lt;&gt;"",AA1613,Z1613)</f>
        <v>2</v>
      </c>
      <c r="CC1613" s="48" t="str">
        <f aca="false">IF(OR(CB1613=1,CB1613=2,CB1613=3),IF(Parameter!$E$27="Ja","LIFT",IF(CB1613=1,"L1","L23")),IF(CB1613="Aussen","Aussen","-"))</f>
        <v>LIFT</v>
      </c>
      <c r="CD1613" s="59" t="n">
        <f aca="false">IF(N(AB1613)&gt;0,AB1613,0)</f>
        <v>0</v>
      </c>
      <c r="CE1613" s="53" t="n">
        <f aca="false">IF(ISNUMBER(AE1613),1,0)</f>
        <v>0</v>
      </c>
      <c r="CF1613" s="50" t="n">
        <f aca="false">N(AE1613)</f>
        <v>0</v>
      </c>
      <c r="CG1613" s="50" t="n">
        <f aca="false">N(M1613)+N(N1613)</f>
        <v>1</v>
      </c>
      <c r="CH1613" s="50" t="n">
        <f aca="false">ROUNDUP(H1613/BV1613,0)</f>
        <v>1</v>
      </c>
      <c r="CI1613" s="50" t="n">
        <f aca="false">ROUNDUP(CF1613/BV1613,0)</f>
        <v>0</v>
      </c>
      <c r="CJ1613" s="53" t="n">
        <f aca="false">IF(BW1613=1,0,IFERROR(VLOOKUP(BU1613,'Gebinde-Kategorie'!$A$5:$N$45,5,0)+0,0))</f>
        <v>11</v>
      </c>
      <c r="CK1613" s="53" t="n">
        <f aca="false">IFERROR(IF(OR(CB1613=1,CB1613=2,CB1613=3),N(INDEX(Parameter!$I$5:$I$7,CB1613)),0),0)</f>
        <v>0</v>
      </c>
      <c r="CL1613" s="52" t="n">
        <f aca="false">IF(AND(Parameter!$B$21="Ja",ISNUMBER(W1613),N(X1613)&gt;0),IFERROR(N(INDEX(Parameter!$L$5:$L$7,W1613))*INDEX(Parameter!$E$5:$E$7,W1613)*X1613/SUMIFS($X$7:$X$1843,$W$7:$W$1843,W1613),0),0)</f>
        <v>0</v>
      </c>
    </row>
    <row r="1614" customFormat="false" ht="15" hidden="false" customHeight="false" outlineLevel="0" collapsed="false">
      <c r="A1614" s="48" t="s">
        <v>2816</v>
      </c>
      <c r="B1614" s="48" t="s">
        <v>2817</v>
      </c>
      <c r="C1614" s="48" t="s">
        <v>168</v>
      </c>
      <c r="D1614" s="48" t="s">
        <v>188</v>
      </c>
      <c r="E1614" s="48"/>
      <c r="F1614" s="48"/>
      <c r="G1614" s="49" t="n">
        <v>7.56</v>
      </c>
      <c r="H1614" s="50" t="n">
        <f aca="false">MAX(0,IF(AND(Parameter!$B$21="Ja",ISNUMBER(Y1614)),Y1614,IF(Parameter!$B$20="Jahresanfang 2025 + Export",BO1614+BN1614,BN1614)))</f>
        <v>3</v>
      </c>
      <c r="I1614" s="50" t="n">
        <f aca="false">H1614*G1614</f>
        <v>22.68</v>
      </c>
      <c r="J1614" s="50" t="n">
        <f aca="false">BQ1614*Parameter!$B$18</f>
        <v>0</v>
      </c>
      <c r="K1614" s="51"/>
      <c r="L1614" s="52"/>
      <c r="M1614" s="50" t="n">
        <v>0</v>
      </c>
      <c r="N1614" s="50" t="n">
        <v>1</v>
      </c>
      <c r="O1614" s="53" t="n">
        <v>0</v>
      </c>
      <c r="P1614" s="48" t="s">
        <v>172</v>
      </c>
      <c r="Q1614" s="50"/>
      <c r="R1614" s="53" t="n">
        <f aca="false">IF(BW1614=1,0,IFERROR(VLOOKUP(BU1614,'Gebinde-Kategorie'!$A$5:$N$45,13,0)+0,0))</f>
        <v>26</v>
      </c>
      <c r="S1614" s="54"/>
      <c r="T1614" s="55" t="s">
        <v>279</v>
      </c>
      <c r="U1614" s="55"/>
      <c r="V1614" s="55"/>
      <c r="W1614" s="48"/>
      <c r="X1614" s="50"/>
      <c r="Y1614" s="50"/>
      <c r="Z1614" s="48" t="n">
        <f aca="false">IF(A1614="","",IF(AND(Parameter!$B$21="Ja",ISNUMBER(W1614)),W1614,IF(BZ1614="2+3",IF(ISNUMBER(SEARCH("grosser Artikel",BR1614)),2,IFERROR(VLOOKUP(BU1614,Parameter!$F$35:$G$64,2,0),2)),IF(OR(BZ1614="Nein",BZ1614=""),"-",BZ1614))))</f>
        <v>3</v>
      </c>
      <c r="AA1614" s="55"/>
      <c r="AB1614" s="56"/>
      <c r="AC1614" s="50" t="n">
        <f aca="false">AT1614</f>
        <v>20</v>
      </c>
      <c r="AD1614" s="50" t="n">
        <f aca="false">MAX(AT1614,H1614)</f>
        <v>20</v>
      </c>
      <c r="AE1614" s="57"/>
      <c r="AF1614" s="50" t="n">
        <f aca="false">IF(LEFT(Cockpit!$C$5,1)="A",H1614,IF(CE1614=1,CF1614,IF(LEFT(Cockpit!$C$5,1)="B",AK1614,MAX(AK1614,H1614))))</f>
        <v>3</v>
      </c>
      <c r="AG1614" s="50" t="n">
        <f aca="false">IF(BW1614=1,0,ROUNDUP(AF1614/BV1614,0))</f>
        <v>1</v>
      </c>
      <c r="AH1614" s="52" t="n">
        <f aca="false">IF(CL1614&gt;0,CL1614*MAX(1,AF1614/X1614),IF(BW1614=1,IF(AF1614&lt;=0,0,CA1614*MAX(1,IF(H1614&gt;0,AF1614/H1614,1))),IF(R1614&gt;0,AG1614/R1614,0))/MAX(0.1,N(Parameter!$M$21)))</f>
        <v>0.0384615384615385</v>
      </c>
      <c r="AI1614" s="50" t="n">
        <f aca="false">AH1614*BY1614</f>
        <v>5.96153846153846</v>
      </c>
      <c r="AJ1614" s="50" t="n">
        <f aca="false">AF1614*G1614</f>
        <v>22.68</v>
      </c>
      <c r="AK1614" s="50" t="n">
        <f aca="false">ROUNDUP(MAX(J1614/IF(CD1614&gt;0,CD1614,MAX(0.1,N(Cockpit!$C$6))),CG1614)/BV1614,0)*BV1614</f>
        <v>20</v>
      </c>
      <c r="AL1614" s="51" t="n">
        <f aca="false">IF(AI1614&gt;0,J1614/AI1614,-1)</f>
        <v>0</v>
      </c>
      <c r="AM1614" s="51" t="n">
        <f aca="false">IF(AND(OR(CC1614="L1",CC1614="L23",CC1614="LIFT"),AI1614&gt;0),SUMIFS($AI$7:$AI$1843,$CC$7:$CC$1843,CC1614,$AL$7:$AL$1843,"&gt;"&amp;AL1614)+SUMIFS($AI$7:$AI$1843,$CC$7:$CC$1843,CC1614,$AL$7:$AL$1843,AL1614,$BT$7:$BT$1843,"&lt;="&amp;BT1614),"")</f>
        <v>30806.5790106786</v>
      </c>
      <c r="AN1614" s="58" t="n">
        <f aca="false">IF(AM1614="",0,MAX(0,MIN(1,(IF(CC1614="L1",Parameter!$H$5,IF(CC1614="L23",Parameter!$H$6+Parameter!$H$7,Parameter!$H$5+Parameter!$H$6+Parameter!$H$7))-(AM1614-AI1614))/AI1614)))</f>
        <v>1</v>
      </c>
      <c r="AO1614" s="50" t="n">
        <f aca="false">IF(LEFT(Cockpit!$I$5,1)="A",H1614,IF(CE1614=1,CF1614,IF(LEFT(Cockpit!$I$5,1)="B",AT1614,MAX(AT1614,H1614))))</f>
        <v>20</v>
      </c>
      <c r="AP1614" s="50" t="n">
        <f aca="false">IF(BW1614=1,0,ROUNDUP(AO1614/BV1614,0))</f>
        <v>1</v>
      </c>
      <c r="AQ1614" s="52" t="n">
        <f aca="false">IF(CL1614&gt;0,CL1614*MAX(1,AO1614/X1614),IF(BW1614=1,IF(AO1614&lt;=0,0,CA1614*MAX(1,IF(H1614&gt;0,AO1614/H1614,1))),IF(R1614&gt;0,AP1614/R1614,0))/MAX(0.1,N(Parameter!$M$21)))</f>
        <v>0.0384615384615385</v>
      </c>
      <c r="AR1614" s="50" t="n">
        <f aca="false">AQ1614*BY1614</f>
        <v>5.96153846153846</v>
      </c>
      <c r="AS1614" s="50" t="n">
        <f aca="false">AO1614*G1614</f>
        <v>151.2</v>
      </c>
      <c r="AT1614" s="50" t="n">
        <f aca="false">ROUNDUP(MAX(J1614/IF(CD1614&gt;0,CD1614,MAX(0.1,N(Cockpit!$I$6))),CG1614)/BV1614,0)*BV1614</f>
        <v>20</v>
      </c>
      <c r="AU1614" s="51" t="n">
        <f aca="false">IF(AR1614&gt;0,J1614/AR1614,-1)</f>
        <v>0</v>
      </c>
      <c r="AV1614" s="51" t="n">
        <f aca="false">IF(AND(OR(CC1614="L1",CC1614="L23",CC1614="LIFT"),AR1614&gt;0),SUMIFS($AR$7:$AR$1843,$CC$7:$CC$1843,CC1614,$AU$7:$AU$1843,"&gt;"&amp;AU1614)+SUMIFS($AR$7:$AR$1843,$CC$7:$CC$1843,CC1614,$AU$7:$AU$1843,AU1614,$BT$7:$BT$1843,"&lt;="&amp;BT1614),"")</f>
        <v>43168.4813228203</v>
      </c>
      <c r="AW1614" s="58" t="n">
        <f aca="false">IF(AV1614="",0,MAX(0,MIN(1,(IF(CC1614="L1",Parameter!$H$5,IF(CC1614="L23",Parameter!$H$6+Parameter!$H$7,Parameter!$H$5+Parameter!$H$6+Parameter!$H$7))-(AV1614-AR1614))/AR1614)))</f>
        <v>0</v>
      </c>
      <c r="AX1614" s="50" t="n">
        <f aca="false">IF(LEFT(Cockpit!$O$5,1)="A",H1614,IF(CE1614=1,CF1614,IF(LEFT(Cockpit!$O$5,1)="B",BC1614,MAX(BC1614,H1614))))</f>
        <v>20</v>
      </c>
      <c r="AY1614" s="50" t="n">
        <f aca="false">IF(BW1614=1,0,ROUNDUP(AX1614/BV1614,0))</f>
        <v>1</v>
      </c>
      <c r="AZ1614" s="52" t="n">
        <f aca="false">IF(CL1614&gt;0,CL1614*MAX(1,AX1614/X1614),IF(BW1614=1,IF(AX1614&lt;=0,0,CA1614*MAX(1,IF(H1614&gt;0,AX1614/H1614,1))),IF(R1614&gt;0,AY1614/R1614,0))/MAX(0.1,N(Parameter!$M$21)))</f>
        <v>0.0384615384615385</v>
      </c>
      <c r="BA1614" s="50" t="n">
        <f aca="false">AZ1614*BY1614</f>
        <v>5.96153846153846</v>
      </c>
      <c r="BB1614" s="50" t="n">
        <f aca="false">AX1614*G1614</f>
        <v>151.2</v>
      </c>
      <c r="BC1614" s="50" t="n">
        <f aca="false">ROUNDUP(MAX(J1614/IF(CD1614&gt;0,CD1614,MAX(0.1,N(Cockpit!$O$6))),CG1614)/BV1614,0)*BV1614</f>
        <v>20</v>
      </c>
      <c r="BD1614" s="51" t="n">
        <f aca="false">IF(BA1614&gt;0,J1614/BA1614,-1)</f>
        <v>0</v>
      </c>
      <c r="BE1614" s="51" t="n">
        <f aca="false">IF(AND(OR(CC1614="L1",CC1614="L23",CC1614="LIFT"),BA1614&gt;0),SUMIFS($BA$7:$BA$1843,$CC$7:$CC$1843,CC1614,$BD$7:$BD$1843,"&gt;"&amp;BD1614)+SUMIFS($BA$7:$BA$1843,$CC$7:$CC$1843,CC1614,$BD$7:$BD$1843,BD1614,$BT$7:$BT$1843,"&lt;="&amp;BT1614),"")</f>
        <v>39843.4933646862</v>
      </c>
      <c r="BF1614" s="58" t="n">
        <f aca="false">IF(BE1614="",0,MAX(0,MIN(1,(IF(CC1614="L1",Parameter!$H$5,IF(CC1614="L23",Parameter!$H$6+Parameter!$H$7,Parameter!$H$5+Parameter!$H$6+Parameter!$H$7))-(BE1614-BA1614))/BA1614)))</f>
        <v>0</v>
      </c>
      <c r="BG1614" s="48" t="str">
        <f aca="false">IF(AI1614&lt;=0,"",IF(CC1614="Aussen","Aussenlager",IF(CC1614="-","Nicht im Lift",IF(AN1614&gt;=1,"Lift",IF(AN1614&lt;=0,"Aussenlager","teilweise")))))</f>
        <v>Lift</v>
      </c>
      <c r="BH1614" s="48" t="str">
        <f aca="false">IF(AR1614&lt;=0,"",IF(CC1614="Aussen","Aussenlager",IF(CC1614="-","Nicht im Lift",IF(AW1614&gt;=1,"Lift",IF(AW1614&lt;=0,"Aussenlager","teilweise")))))</f>
        <v>Aussenlager</v>
      </c>
      <c r="BI1614" s="48" t="str">
        <f aca="false">IF(BA1614&lt;=0,"",IF(CC1614="Aussen","Aussenlager",IF(CC1614="-","Nicht im Lift",IF(BF1614&gt;=1,"Lift",IF(BF1614&lt;=0,"Aussenlager","teilweise")))))</f>
        <v>Aussenlager</v>
      </c>
      <c r="BJ1614" s="48" t="str">
        <f aca="false">IF(A1614="","",IF(BS1614=1,"Neu; ","")&amp;IF(AND(BS1614=0,BN1614&lt;0),"negativer Bestand (Export "&amp;BN1614&amp;"); ","")&amp;IF(J1614&lt;=0,"Kein Verbrauch; ","")&amp;IF(CL1614&gt;0,"Lift "&amp;W1614&amp;" lt. Liftbericht (Fach "&amp;X1614&amp;" Stk); ",IF(BX1614=1,"Gebinde geschätzt ("&amp;T1614&amp;"); ",IF(BW1614=1,"Lose – Tablare geschätzt; ","")))&amp;IF(H1614&gt;AT1614,"Überbestand "&amp;ROUND(H1614-AT1614,0)&amp;" Stk / CHF "&amp;ROUND((H1614-AT1614)*G1614,0)&amp;"; ","")&amp;IF(AND(CE1614=1,CF1614&lt;CG1614),"MAX &lt; MB+LG; ","")&amp;IF(AND(CK1614&gt;0,CJ1614*10&gt;CK1614),"zu hoch für Tablar; ","")&amp;IF(AND(BS1614=0,OR(CE1614=1,AA1614&lt;&gt;"",U1614&lt;&gt;"",V1614&lt;&gt;"",AB1614&lt;&gt;"")),"manuell übersteuert; ","")&amp;IF(AND(BW1614=0,R1614=0),"Gebinde unbekannt / Stellmass fehlt; ","")&amp;IF(AND(BW1614=0,N(V1614)&lt;=0,N(Q1614)&lt;=0),"Menge pro Gebinde fehlt (Ist = 1 Gebinde); ","")&amp;BR1614)</f>
        <v>Kein Verbrauch; Gebinde geschätzt (Klein); Menge pro Gebinde fehlt (Ist = 1 Gebinde); nur im Artikelstamm (Bestand 23.06.2026)</v>
      </c>
      <c r="BK1614" s="48"/>
      <c r="BL1614" s="48"/>
      <c r="BM1614" s="55"/>
      <c r="BN1614" s="50" t="n">
        <v>3</v>
      </c>
      <c r="BO1614" s="50" t="n">
        <v>0</v>
      </c>
      <c r="BP1614" s="49" t="n">
        <v>0</v>
      </c>
      <c r="BQ1614" s="50" t="n">
        <v>0</v>
      </c>
      <c r="BR1614" s="48" t="s">
        <v>2579</v>
      </c>
      <c r="BS1614" s="53" t="n">
        <v>0</v>
      </c>
      <c r="BT1614" s="53" t="n">
        <v>1614</v>
      </c>
      <c r="BU1614" s="48" t="str">
        <f aca="false">IF(U1614&lt;&gt;"",UPPER(TRIM(U1614)),IF(BX1614=1,UPPER(VLOOKUP(T1614,Parameter!$I$27:$K$29,2,0)),IF(P1614="","LOSE",P1614)))</f>
        <v>S51</v>
      </c>
      <c r="BV1614" s="50" t="n">
        <f aca="false">IF(BU1614="LOSE",1,IF(N(V1614)&gt;0,V1614,IF(BX1614=1,MAX(1,N(VLOOKUP(T1614,Parameter!$I$27:$K$29,3,0)),H1614,N(N1614)),IF(N(Q1614)&gt;0,Q1614,MAX(1,H1614)))))</f>
        <v>20</v>
      </c>
      <c r="BW1614" s="53" t="n">
        <f aca="false">IF(BU1614="LOSE",1,0)</f>
        <v>0</v>
      </c>
      <c r="BX1614" s="53" t="n">
        <f aca="false">IF(AND(U1614="",OR(P1614="",P1614="LOSE"),T1614&lt;&gt;"",N(S1614)&lt;=0,ISNUMBER(MATCH(T1614,Parameter!$I$27:$I$29,0))),1,0)</f>
        <v>1</v>
      </c>
      <c r="BY1614" s="53" t="n">
        <f aca="false">IF(CL1614&gt;0,INDEX(Parameter!$H$5:$H$7,W1614)/INDEX(Parameter!$E$5:$E$7,W1614),IF(AND(BW1614=0,N(IFERROR(VLOOKUP(BU1614,'Gebinde-Kategorie'!$A$5:$N$45,14,0),0))&gt;0),VLOOKUP(BU1614,'Gebinde-Kategorie'!$A$5:$N$45,14,0)*10+Parameter!$M$23,Parameter!$M$24))</f>
        <v>155</v>
      </c>
      <c r="BZ1614" s="48" t="str">
        <f aca="false">IF(AND(Parameter!$B$19="Ja",E1614&lt;&gt;"",ISNUMBER(MATCH(E1614,Parameter!$I$35:$I$52,0))),VLOOKUP(E1614,Parameter!$I$35:$J$52,2,0),IFERROR(VLOOKUP(D1614,Parameter!$A$35:$C$64,2,0),"Nein"))</f>
        <v>2+3</v>
      </c>
      <c r="CA1614" s="52" t="n">
        <f aca="false">IF(BW1614=0,0,IF(N(S1614)&gt;0,S1614,IFERROR(VLOOKUP(D1614,Parameter!$A$35:$C$64,3,0)+0,0)))</f>
        <v>0</v>
      </c>
      <c r="CB1614" s="48" t="n">
        <f aca="false">IF(AA1614&lt;&gt;"",AA1614,Z1614)</f>
        <v>3</v>
      </c>
      <c r="CC1614" s="48" t="str">
        <f aca="false">IF(OR(CB1614=1,CB1614=2,CB1614=3),IF(Parameter!$E$27="Ja","LIFT",IF(CB1614=1,"L1","L23")),IF(CB1614="Aussen","Aussen","-"))</f>
        <v>LIFT</v>
      </c>
      <c r="CD1614" s="59" t="n">
        <f aca="false">IF(N(AB1614)&gt;0,AB1614,0)</f>
        <v>0</v>
      </c>
      <c r="CE1614" s="53" t="n">
        <f aca="false">IF(ISNUMBER(AE1614),1,0)</f>
        <v>0</v>
      </c>
      <c r="CF1614" s="50" t="n">
        <f aca="false">N(AE1614)</f>
        <v>0</v>
      </c>
      <c r="CG1614" s="50" t="n">
        <f aca="false">N(M1614)+N(N1614)</f>
        <v>1</v>
      </c>
      <c r="CH1614" s="50" t="n">
        <f aca="false">ROUNDUP(H1614/BV1614,0)</f>
        <v>1</v>
      </c>
      <c r="CI1614" s="50" t="n">
        <f aca="false">ROUNDUP(CF1614/BV1614,0)</f>
        <v>0</v>
      </c>
      <c r="CJ1614" s="53" t="n">
        <f aca="false">IF(BW1614=1,0,IFERROR(VLOOKUP(BU1614,'Gebinde-Kategorie'!$A$5:$N$45,5,0)+0,0))</f>
        <v>11</v>
      </c>
      <c r="CK1614" s="53" t="n">
        <f aca="false">IFERROR(IF(OR(CB1614=1,CB1614=2,CB1614=3),N(INDEX(Parameter!$I$5:$I$7,CB1614)),0),0)</f>
        <v>0</v>
      </c>
      <c r="CL1614" s="52" t="n">
        <f aca="false">IF(AND(Parameter!$B$21="Ja",ISNUMBER(W1614),N(X1614)&gt;0),IFERROR(N(INDEX(Parameter!$L$5:$L$7,W1614))*INDEX(Parameter!$E$5:$E$7,W1614)*X1614/SUMIFS($X$7:$X$1843,$W$7:$W$1843,W1614),0),0)</f>
        <v>0</v>
      </c>
    </row>
    <row r="1615" customFormat="false" ht="15" hidden="false" customHeight="false" outlineLevel="0" collapsed="false">
      <c r="A1615" s="48" t="s">
        <v>2818</v>
      </c>
      <c r="B1615" s="48" t="s">
        <v>1452</v>
      </c>
      <c r="C1615" s="48" t="s">
        <v>168</v>
      </c>
      <c r="D1615" s="48" t="s">
        <v>188</v>
      </c>
      <c r="E1615" s="48"/>
      <c r="F1615" s="48"/>
      <c r="G1615" s="49" t="n">
        <v>35.5</v>
      </c>
      <c r="H1615" s="50" t="n">
        <f aca="false">MAX(0,IF(AND(Parameter!$B$21="Ja",ISNUMBER(Y1615)),Y1615,IF(Parameter!$B$20="Jahresanfang 2025 + Export",BO1615+BN1615,BN1615)))</f>
        <v>2</v>
      </c>
      <c r="I1615" s="50" t="n">
        <f aca="false">H1615*G1615</f>
        <v>71</v>
      </c>
      <c r="J1615" s="50" t="n">
        <f aca="false">BQ1615*Parameter!$B$18</f>
        <v>0</v>
      </c>
      <c r="K1615" s="51"/>
      <c r="L1615" s="52"/>
      <c r="M1615" s="50" t="n">
        <v>0</v>
      </c>
      <c r="N1615" s="50" t="n">
        <v>10</v>
      </c>
      <c r="O1615" s="53" t="n">
        <v>112</v>
      </c>
      <c r="P1615" s="48" t="s">
        <v>172</v>
      </c>
      <c r="Q1615" s="50"/>
      <c r="R1615" s="53" t="n">
        <f aca="false">IF(BW1615=1,0,IFERROR(VLOOKUP(BU1615,'Gebinde-Kategorie'!$A$5:$N$45,13,0)+0,0))</f>
        <v>26</v>
      </c>
      <c r="S1615" s="54"/>
      <c r="T1615" s="55" t="s">
        <v>279</v>
      </c>
      <c r="U1615" s="55"/>
      <c r="V1615" s="55"/>
      <c r="W1615" s="48"/>
      <c r="X1615" s="50"/>
      <c r="Y1615" s="50"/>
      <c r="Z1615" s="48" t="n">
        <f aca="false">IF(A1615="","",IF(AND(Parameter!$B$21="Ja",ISNUMBER(W1615)),W1615,IF(BZ1615="2+3",IF(ISNUMBER(SEARCH("grosser Artikel",BR1615)),2,IFERROR(VLOOKUP(BU1615,Parameter!$F$35:$G$64,2,0),2)),IF(OR(BZ1615="Nein",BZ1615=""),"-",BZ1615))))</f>
        <v>3</v>
      </c>
      <c r="AA1615" s="55"/>
      <c r="AB1615" s="56"/>
      <c r="AC1615" s="50" t="n">
        <f aca="false">AT1615</f>
        <v>20</v>
      </c>
      <c r="AD1615" s="50" t="n">
        <f aca="false">MAX(AT1615,H1615)</f>
        <v>20</v>
      </c>
      <c r="AE1615" s="57"/>
      <c r="AF1615" s="50" t="n">
        <f aca="false">IF(LEFT(Cockpit!$C$5,1)="A",H1615,IF(CE1615=1,CF1615,IF(LEFT(Cockpit!$C$5,1)="B",AK1615,MAX(AK1615,H1615))))</f>
        <v>2</v>
      </c>
      <c r="AG1615" s="50" t="n">
        <f aca="false">IF(BW1615=1,0,ROUNDUP(AF1615/BV1615,0))</f>
        <v>1</v>
      </c>
      <c r="AH1615" s="52" t="n">
        <f aca="false">IF(CL1615&gt;0,CL1615*MAX(1,AF1615/X1615),IF(BW1615=1,IF(AF1615&lt;=0,0,CA1615*MAX(1,IF(H1615&gt;0,AF1615/H1615,1))),IF(R1615&gt;0,AG1615/R1615,0))/MAX(0.1,N(Parameter!$M$21)))</f>
        <v>0.0384615384615385</v>
      </c>
      <c r="AI1615" s="50" t="n">
        <f aca="false">AH1615*BY1615</f>
        <v>5.96153846153846</v>
      </c>
      <c r="AJ1615" s="50" t="n">
        <f aca="false">AF1615*G1615</f>
        <v>71</v>
      </c>
      <c r="AK1615" s="50" t="n">
        <f aca="false">ROUNDUP(MAX(J1615/IF(CD1615&gt;0,CD1615,MAX(0.1,N(Cockpit!$C$6))),CG1615)/BV1615,0)*BV1615</f>
        <v>20</v>
      </c>
      <c r="AL1615" s="51" t="n">
        <f aca="false">IF(AI1615&gt;0,J1615/AI1615,-1)</f>
        <v>0</v>
      </c>
      <c r="AM1615" s="51" t="n">
        <f aca="false">IF(AND(OR(CC1615="L1",CC1615="L23",CC1615="LIFT"),AI1615&gt;0),SUMIFS($AI$7:$AI$1843,$CC$7:$CC$1843,CC1615,$AL$7:$AL$1843,"&gt;"&amp;AL1615)+SUMIFS($AI$7:$AI$1843,$CC$7:$CC$1843,CC1615,$AL$7:$AL$1843,AL1615,$BT$7:$BT$1843,"&lt;="&amp;BT1615),"")</f>
        <v>30812.5405491401</v>
      </c>
      <c r="AN1615" s="58" t="n">
        <f aca="false">IF(AM1615="",0,MAX(0,MIN(1,(IF(CC1615="L1",Parameter!$H$5,IF(CC1615="L23",Parameter!$H$6+Parameter!$H$7,Parameter!$H$5+Parameter!$H$6+Parameter!$H$7))-(AM1615-AI1615))/AI1615)))</f>
        <v>1</v>
      </c>
      <c r="AO1615" s="50" t="n">
        <f aca="false">IF(LEFT(Cockpit!$I$5,1)="A",H1615,IF(CE1615=1,CF1615,IF(LEFT(Cockpit!$I$5,1)="B",AT1615,MAX(AT1615,H1615))))</f>
        <v>20</v>
      </c>
      <c r="AP1615" s="50" t="n">
        <f aca="false">IF(BW1615=1,0,ROUNDUP(AO1615/BV1615,0))</f>
        <v>1</v>
      </c>
      <c r="AQ1615" s="52" t="n">
        <f aca="false">IF(CL1615&gt;0,CL1615*MAX(1,AO1615/X1615),IF(BW1615=1,IF(AO1615&lt;=0,0,CA1615*MAX(1,IF(H1615&gt;0,AO1615/H1615,1))),IF(R1615&gt;0,AP1615/R1615,0))/MAX(0.1,N(Parameter!$M$21)))</f>
        <v>0.0384615384615385</v>
      </c>
      <c r="AR1615" s="50" t="n">
        <f aca="false">AQ1615*BY1615</f>
        <v>5.96153846153846</v>
      </c>
      <c r="AS1615" s="50" t="n">
        <f aca="false">AO1615*G1615</f>
        <v>710</v>
      </c>
      <c r="AT1615" s="50" t="n">
        <f aca="false">ROUNDUP(MAX(J1615/IF(CD1615&gt;0,CD1615,MAX(0.1,N(Cockpit!$I$6))),CG1615)/BV1615,0)*BV1615</f>
        <v>20</v>
      </c>
      <c r="AU1615" s="51" t="n">
        <f aca="false">IF(AR1615&gt;0,J1615/AR1615,-1)</f>
        <v>0</v>
      </c>
      <c r="AV1615" s="51" t="n">
        <f aca="false">IF(AND(OR(CC1615="L1",CC1615="L23",CC1615="LIFT"),AR1615&gt;0),SUMIFS($AR$7:$AR$1843,$CC$7:$CC$1843,CC1615,$AU$7:$AU$1843,"&gt;"&amp;AU1615)+SUMIFS($AR$7:$AR$1843,$CC$7:$CC$1843,CC1615,$AU$7:$AU$1843,AU1615,$BT$7:$BT$1843,"&lt;="&amp;BT1615),"")</f>
        <v>43174.4428612818</v>
      </c>
      <c r="AW1615" s="58" t="n">
        <f aca="false">IF(AV1615="",0,MAX(0,MIN(1,(IF(CC1615="L1",Parameter!$H$5,IF(CC1615="L23",Parameter!$H$6+Parameter!$H$7,Parameter!$H$5+Parameter!$H$6+Parameter!$H$7))-(AV1615-AR1615))/AR1615)))</f>
        <v>0</v>
      </c>
      <c r="AX1615" s="50" t="n">
        <f aca="false">IF(LEFT(Cockpit!$O$5,1)="A",H1615,IF(CE1615=1,CF1615,IF(LEFT(Cockpit!$O$5,1)="B",BC1615,MAX(BC1615,H1615))))</f>
        <v>20</v>
      </c>
      <c r="AY1615" s="50" t="n">
        <f aca="false">IF(BW1615=1,0,ROUNDUP(AX1615/BV1615,0))</f>
        <v>1</v>
      </c>
      <c r="AZ1615" s="52" t="n">
        <f aca="false">IF(CL1615&gt;0,CL1615*MAX(1,AX1615/X1615),IF(BW1615=1,IF(AX1615&lt;=0,0,CA1615*MAX(1,IF(H1615&gt;0,AX1615/H1615,1))),IF(R1615&gt;0,AY1615/R1615,0))/MAX(0.1,N(Parameter!$M$21)))</f>
        <v>0.0384615384615385</v>
      </c>
      <c r="BA1615" s="50" t="n">
        <f aca="false">AZ1615*BY1615</f>
        <v>5.96153846153846</v>
      </c>
      <c r="BB1615" s="50" t="n">
        <f aca="false">AX1615*G1615</f>
        <v>710</v>
      </c>
      <c r="BC1615" s="50" t="n">
        <f aca="false">ROUNDUP(MAX(J1615/IF(CD1615&gt;0,CD1615,MAX(0.1,N(Cockpit!$O$6))),CG1615)/BV1615,0)*BV1615</f>
        <v>20</v>
      </c>
      <c r="BD1615" s="51" t="n">
        <f aca="false">IF(BA1615&gt;0,J1615/BA1615,-1)</f>
        <v>0</v>
      </c>
      <c r="BE1615" s="51" t="n">
        <f aca="false">IF(AND(OR(CC1615="L1",CC1615="L23",CC1615="LIFT"),BA1615&gt;0),SUMIFS($BA$7:$BA$1843,$CC$7:$CC$1843,CC1615,$BD$7:$BD$1843,"&gt;"&amp;BD1615)+SUMIFS($BA$7:$BA$1843,$CC$7:$CC$1843,CC1615,$BD$7:$BD$1843,BD1615,$BT$7:$BT$1843,"&lt;="&amp;BT1615),"")</f>
        <v>39849.4549031477</v>
      </c>
      <c r="BF1615" s="58" t="n">
        <f aca="false">IF(BE1615="",0,MAX(0,MIN(1,(IF(CC1615="L1",Parameter!$H$5,IF(CC1615="L23",Parameter!$H$6+Parameter!$H$7,Parameter!$H$5+Parameter!$H$6+Parameter!$H$7))-(BE1615-BA1615))/BA1615)))</f>
        <v>0</v>
      </c>
      <c r="BG1615" s="48" t="str">
        <f aca="false">IF(AI1615&lt;=0,"",IF(CC1615="Aussen","Aussenlager",IF(CC1615="-","Nicht im Lift",IF(AN1615&gt;=1,"Lift",IF(AN1615&lt;=0,"Aussenlager","teilweise")))))</f>
        <v>Lift</v>
      </c>
      <c r="BH1615" s="48" t="str">
        <f aca="false">IF(AR1615&lt;=0,"",IF(CC1615="Aussen","Aussenlager",IF(CC1615="-","Nicht im Lift",IF(AW1615&gt;=1,"Lift",IF(AW1615&lt;=0,"Aussenlager","teilweise")))))</f>
        <v>Aussenlager</v>
      </c>
      <c r="BI1615" s="48" t="str">
        <f aca="false">IF(BA1615&lt;=0,"",IF(CC1615="Aussen","Aussenlager",IF(CC1615="-","Nicht im Lift",IF(BF1615&gt;=1,"Lift",IF(BF1615&lt;=0,"Aussenlager","teilweise")))))</f>
        <v>Aussenlager</v>
      </c>
      <c r="BJ1615" s="48" t="str">
        <f aca="false">IF(A1615="","",IF(BS1615=1,"Neu; ","")&amp;IF(AND(BS1615=0,BN1615&lt;0),"negativer Bestand (Export "&amp;BN1615&amp;"); ","")&amp;IF(J1615&lt;=0,"Kein Verbrauch; ","")&amp;IF(CL1615&gt;0,"Lift "&amp;W1615&amp;" lt. Liftbericht (Fach "&amp;X1615&amp;" Stk); ",IF(BX1615=1,"Gebinde geschätzt ("&amp;T1615&amp;"); ",IF(BW1615=1,"Lose – Tablare geschätzt; ","")))&amp;IF(H1615&gt;AT1615,"Überbestand "&amp;ROUND(H1615-AT1615,0)&amp;" Stk / CHF "&amp;ROUND((H1615-AT1615)*G1615,0)&amp;"; ","")&amp;IF(AND(CE1615=1,CF1615&lt;CG1615),"MAX &lt; MB+LG; ","")&amp;IF(AND(CK1615&gt;0,CJ1615*10&gt;CK1615),"zu hoch für Tablar; ","")&amp;IF(AND(BS1615=0,OR(CE1615=1,AA1615&lt;&gt;"",U1615&lt;&gt;"",V1615&lt;&gt;"",AB1615&lt;&gt;"")),"manuell übersteuert; ","")&amp;IF(AND(BW1615=0,R1615=0),"Gebinde unbekannt / Stellmass fehlt; ","")&amp;IF(AND(BW1615=0,N(V1615)&lt;=0,N(Q1615)&lt;=0),"Menge pro Gebinde fehlt (Ist = 1 Gebinde); ","")&amp;BR1615)</f>
        <v>Kein Verbrauch; Gebinde geschätzt (Klein); Menge pro Gebinde fehlt (Ist = 1 Gebinde); nur im Artikelstamm (Bestand 23.06.2026)</v>
      </c>
      <c r="BK1615" s="48"/>
      <c r="BL1615" s="48"/>
      <c r="BM1615" s="55"/>
      <c r="BN1615" s="50" t="n">
        <v>2</v>
      </c>
      <c r="BO1615" s="50" t="n">
        <v>0</v>
      </c>
      <c r="BP1615" s="49" t="n">
        <v>0</v>
      </c>
      <c r="BQ1615" s="50" t="n">
        <v>0</v>
      </c>
      <c r="BR1615" s="48" t="s">
        <v>2579</v>
      </c>
      <c r="BS1615" s="53" t="n">
        <v>0</v>
      </c>
      <c r="BT1615" s="53" t="n">
        <v>1615</v>
      </c>
      <c r="BU1615" s="48" t="str">
        <f aca="false">IF(U1615&lt;&gt;"",UPPER(TRIM(U1615)),IF(BX1615=1,UPPER(VLOOKUP(T1615,Parameter!$I$27:$K$29,2,0)),IF(P1615="","LOSE",P1615)))</f>
        <v>S51</v>
      </c>
      <c r="BV1615" s="50" t="n">
        <f aca="false">IF(BU1615="LOSE",1,IF(N(V1615)&gt;0,V1615,IF(BX1615=1,MAX(1,N(VLOOKUP(T1615,Parameter!$I$27:$K$29,3,0)),H1615,N(N1615)),IF(N(Q1615)&gt;0,Q1615,MAX(1,H1615)))))</f>
        <v>20</v>
      </c>
      <c r="BW1615" s="53" t="n">
        <f aca="false">IF(BU1615="LOSE",1,0)</f>
        <v>0</v>
      </c>
      <c r="BX1615" s="53" t="n">
        <f aca="false">IF(AND(U1615="",OR(P1615="",P1615="LOSE"),T1615&lt;&gt;"",N(S1615)&lt;=0,ISNUMBER(MATCH(T1615,Parameter!$I$27:$I$29,0))),1,0)</f>
        <v>1</v>
      </c>
      <c r="BY1615" s="53" t="n">
        <f aca="false">IF(CL1615&gt;0,INDEX(Parameter!$H$5:$H$7,W1615)/INDEX(Parameter!$E$5:$E$7,W1615),IF(AND(BW1615=0,N(IFERROR(VLOOKUP(BU1615,'Gebinde-Kategorie'!$A$5:$N$45,14,0),0))&gt;0),VLOOKUP(BU1615,'Gebinde-Kategorie'!$A$5:$N$45,14,0)*10+Parameter!$M$23,Parameter!$M$24))</f>
        <v>155</v>
      </c>
      <c r="BZ1615" s="48" t="str">
        <f aca="false">IF(AND(Parameter!$B$19="Ja",E1615&lt;&gt;"",ISNUMBER(MATCH(E1615,Parameter!$I$35:$I$52,0))),VLOOKUP(E1615,Parameter!$I$35:$J$52,2,0),IFERROR(VLOOKUP(D1615,Parameter!$A$35:$C$64,2,0),"Nein"))</f>
        <v>2+3</v>
      </c>
      <c r="CA1615" s="52" t="n">
        <f aca="false">IF(BW1615=0,0,IF(N(S1615)&gt;0,S1615,IFERROR(VLOOKUP(D1615,Parameter!$A$35:$C$64,3,0)+0,0)))</f>
        <v>0</v>
      </c>
      <c r="CB1615" s="48" t="n">
        <f aca="false">IF(AA1615&lt;&gt;"",AA1615,Z1615)</f>
        <v>3</v>
      </c>
      <c r="CC1615" s="48" t="str">
        <f aca="false">IF(OR(CB1615=1,CB1615=2,CB1615=3),IF(Parameter!$E$27="Ja","LIFT",IF(CB1615=1,"L1","L23")),IF(CB1615="Aussen","Aussen","-"))</f>
        <v>LIFT</v>
      </c>
      <c r="CD1615" s="59" t="n">
        <f aca="false">IF(N(AB1615)&gt;0,AB1615,0)</f>
        <v>0</v>
      </c>
      <c r="CE1615" s="53" t="n">
        <f aca="false">IF(ISNUMBER(AE1615),1,0)</f>
        <v>0</v>
      </c>
      <c r="CF1615" s="50" t="n">
        <f aca="false">N(AE1615)</f>
        <v>0</v>
      </c>
      <c r="CG1615" s="50" t="n">
        <f aca="false">N(M1615)+N(N1615)</f>
        <v>10</v>
      </c>
      <c r="CH1615" s="50" t="n">
        <f aca="false">ROUNDUP(H1615/BV1615,0)</f>
        <v>1</v>
      </c>
      <c r="CI1615" s="50" t="n">
        <f aca="false">ROUNDUP(CF1615/BV1615,0)</f>
        <v>0</v>
      </c>
      <c r="CJ1615" s="53" t="n">
        <f aca="false">IF(BW1615=1,0,IFERROR(VLOOKUP(BU1615,'Gebinde-Kategorie'!$A$5:$N$45,5,0)+0,0))</f>
        <v>11</v>
      </c>
      <c r="CK1615" s="53" t="n">
        <f aca="false">IFERROR(IF(OR(CB1615=1,CB1615=2,CB1615=3),N(INDEX(Parameter!$I$5:$I$7,CB1615)),0),0)</f>
        <v>0</v>
      </c>
      <c r="CL1615" s="52" t="n">
        <f aca="false">IF(AND(Parameter!$B$21="Ja",ISNUMBER(W1615),N(X1615)&gt;0),IFERROR(N(INDEX(Parameter!$L$5:$L$7,W1615))*INDEX(Parameter!$E$5:$E$7,W1615)*X1615/SUMIFS($X$7:$X$1843,$W$7:$W$1843,W1615),0),0)</f>
        <v>0</v>
      </c>
    </row>
    <row r="1616" customFormat="false" ht="15" hidden="false" customHeight="false" outlineLevel="0" collapsed="false">
      <c r="A1616" s="48" t="s">
        <v>2819</v>
      </c>
      <c r="B1616" s="48" t="s">
        <v>2820</v>
      </c>
      <c r="C1616" s="48" t="s">
        <v>168</v>
      </c>
      <c r="D1616" s="48" t="s">
        <v>188</v>
      </c>
      <c r="E1616" s="48"/>
      <c r="F1616" s="48"/>
      <c r="G1616" s="49" t="n">
        <v>15</v>
      </c>
      <c r="H1616" s="50" t="n">
        <f aca="false">MAX(0,IF(AND(Parameter!$B$21="Ja",ISNUMBER(Y1616)),Y1616,IF(Parameter!$B$20="Jahresanfang 2025 + Export",BO1616+BN1616,BN1616)))</f>
        <v>100</v>
      </c>
      <c r="I1616" s="50" t="n">
        <f aca="false">H1616*G1616</f>
        <v>1500</v>
      </c>
      <c r="J1616" s="50" t="n">
        <f aca="false">BQ1616*Parameter!$B$18</f>
        <v>0</v>
      </c>
      <c r="K1616" s="51"/>
      <c r="L1616" s="52"/>
      <c r="M1616" s="50" t="n">
        <v>0</v>
      </c>
      <c r="N1616" s="50" t="n">
        <v>1</v>
      </c>
      <c r="O1616" s="53" t="n">
        <v>0</v>
      </c>
      <c r="P1616" s="48" t="s">
        <v>172</v>
      </c>
      <c r="Q1616" s="50"/>
      <c r="R1616" s="53" t="n">
        <f aca="false">IF(BW1616=1,0,IFERROR(VLOOKUP(BU1616,'Gebinde-Kategorie'!$A$5:$N$45,13,0)+0,0))</f>
        <v>26</v>
      </c>
      <c r="S1616" s="54"/>
      <c r="T1616" s="55" t="s">
        <v>279</v>
      </c>
      <c r="U1616" s="55"/>
      <c r="V1616" s="55"/>
      <c r="W1616" s="48"/>
      <c r="X1616" s="50"/>
      <c r="Y1616" s="50"/>
      <c r="Z1616" s="48" t="n">
        <f aca="false">IF(A1616="","",IF(AND(Parameter!$B$21="Ja",ISNUMBER(W1616)),W1616,IF(BZ1616="2+3",IF(ISNUMBER(SEARCH("grosser Artikel",BR1616)),2,IFERROR(VLOOKUP(BU1616,Parameter!$F$35:$G$64,2,0),2)),IF(OR(BZ1616="Nein",BZ1616=""),"-",BZ1616))))</f>
        <v>3</v>
      </c>
      <c r="AA1616" s="55"/>
      <c r="AB1616" s="56"/>
      <c r="AC1616" s="50" t="n">
        <f aca="false">AT1616</f>
        <v>100</v>
      </c>
      <c r="AD1616" s="50" t="n">
        <f aca="false">MAX(AT1616,H1616)</f>
        <v>100</v>
      </c>
      <c r="AE1616" s="57"/>
      <c r="AF1616" s="50" t="n">
        <f aca="false">IF(LEFT(Cockpit!$C$5,1)="A",H1616,IF(CE1616=1,CF1616,IF(LEFT(Cockpit!$C$5,1)="B",AK1616,MAX(AK1616,H1616))))</f>
        <v>100</v>
      </c>
      <c r="AG1616" s="50" t="n">
        <f aca="false">IF(BW1616=1,0,ROUNDUP(AF1616/BV1616,0))</f>
        <v>1</v>
      </c>
      <c r="AH1616" s="52" t="n">
        <f aca="false">IF(CL1616&gt;0,CL1616*MAX(1,AF1616/X1616),IF(BW1616=1,IF(AF1616&lt;=0,0,CA1616*MAX(1,IF(H1616&gt;0,AF1616/H1616,1))),IF(R1616&gt;0,AG1616/R1616,0))/MAX(0.1,N(Parameter!$M$21)))</f>
        <v>0.0384615384615385</v>
      </c>
      <c r="AI1616" s="50" t="n">
        <f aca="false">AH1616*BY1616</f>
        <v>5.96153846153846</v>
      </c>
      <c r="AJ1616" s="50" t="n">
        <f aca="false">AF1616*G1616</f>
        <v>1500</v>
      </c>
      <c r="AK1616" s="50" t="n">
        <f aca="false">ROUNDUP(MAX(J1616/IF(CD1616&gt;0,CD1616,MAX(0.1,N(Cockpit!$C$6))),CG1616)/BV1616,0)*BV1616</f>
        <v>100</v>
      </c>
      <c r="AL1616" s="51" t="n">
        <f aca="false">IF(AI1616&gt;0,J1616/AI1616,-1)</f>
        <v>0</v>
      </c>
      <c r="AM1616" s="51" t="n">
        <f aca="false">IF(AND(OR(CC1616="L1",CC1616="L23",CC1616="LIFT"),AI1616&gt;0),SUMIFS($AI$7:$AI$1843,$CC$7:$CC$1843,CC1616,$AL$7:$AL$1843,"&gt;"&amp;AL1616)+SUMIFS($AI$7:$AI$1843,$CC$7:$CC$1843,CC1616,$AL$7:$AL$1843,AL1616,$BT$7:$BT$1843,"&lt;="&amp;BT1616),"")</f>
        <v>30818.5020876017</v>
      </c>
      <c r="AN1616" s="58" t="n">
        <f aca="false">IF(AM1616="",0,MAX(0,MIN(1,(IF(CC1616="L1",Parameter!$H$5,IF(CC1616="L23",Parameter!$H$6+Parameter!$H$7,Parameter!$H$5+Parameter!$H$6+Parameter!$H$7))-(AM1616-AI1616))/AI1616)))</f>
        <v>1</v>
      </c>
      <c r="AO1616" s="50" t="n">
        <f aca="false">IF(LEFT(Cockpit!$I$5,1)="A",H1616,IF(CE1616=1,CF1616,IF(LEFT(Cockpit!$I$5,1)="B",AT1616,MAX(AT1616,H1616))))</f>
        <v>100</v>
      </c>
      <c r="AP1616" s="50" t="n">
        <f aca="false">IF(BW1616=1,0,ROUNDUP(AO1616/BV1616,0))</f>
        <v>1</v>
      </c>
      <c r="AQ1616" s="52" t="n">
        <f aca="false">IF(CL1616&gt;0,CL1616*MAX(1,AO1616/X1616),IF(BW1616=1,IF(AO1616&lt;=0,0,CA1616*MAX(1,IF(H1616&gt;0,AO1616/H1616,1))),IF(R1616&gt;0,AP1616/R1616,0))/MAX(0.1,N(Parameter!$M$21)))</f>
        <v>0.0384615384615385</v>
      </c>
      <c r="AR1616" s="50" t="n">
        <f aca="false">AQ1616*BY1616</f>
        <v>5.96153846153846</v>
      </c>
      <c r="AS1616" s="50" t="n">
        <f aca="false">AO1616*G1616</f>
        <v>1500</v>
      </c>
      <c r="AT1616" s="50" t="n">
        <f aca="false">ROUNDUP(MAX(J1616/IF(CD1616&gt;0,CD1616,MAX(0.1,N(Cockpit!$I$6))),CG1616)/BV1616,0)*BV1616</f>
        <v>100</v>
      </c>
      <c r="AU1616" s="51" t="n">
        <f aca="false">IF(AR1616&gt;0,J1616/AR1616,-1)</f>
        <v>0</v>
      </c>
      <c r="AV1616" s="51" t="n">
        <f aca="false">IF(AND(OR(CC1616="L1",CC1616="L23",CC1616="LIFT"),AR1616&gt;0),SUMIFS($AR$7:$AR$1843,$CC$7:$CC$1843,CC1616,$AU$7:$AU$1843,"&gt;"&amp;AU1616)+SUMIFS($AR$7:$AR$1843,$CC$7:$CC$1843,CC1616,$AU$7:$AU$1843,AU1616,$BT$7:$BT$1843,"&lt;="&amp;BT1616),"")</f>
        <v>43180.4043997434</v>
      </c>
      <c r="AW1616" s="58" t="n">
        <f aca="false">IF(AV1616="",0,MAX(0,MIN(1,(IF(CC1616="L1",Parameter!$H$5,IF(CC1616="L23",Parameter!$H$6+Parameter!$H$7,Parameter!$H$5+Parameter!$H$6+Parameter!$H$7))-(AV1616-AR1616))/AR1616)))</f>
        <v>0</v>
      </c>
      <c r="AX1616" s="50" t="n">
        <f aca="false">IF(LEFT(Cockpit!$O$5,1)="A",H1616,IF(CE1616=1,CF1616,IF(LEFT(Cockpit!$O$5,1)="B",BC1616,MAX(BC1616,H1616))))</f>
        <v>100</v>
      </c>
      <c r="AY1616" s="50" t="n">
        <f aca="false">IF(BW1616=1,0,ROUNDUP(AX1616/BV1616,0))</f>
        <v>1</v>
      </c>
      <c r="AZ1616" s="52" t="n">
        <f aca="false">IF(CL1616&gt;0,CL1616*MAX(1,AX1616/X1616),IF(BW1616=1,IF(AX1616&lt;=0,0,CA1616*MAX(1,IF(H1616&gt;0,AX1616/H1616,1))),IF(R1616&gt;0,AY1616/R1616,0))/MAX(0.1,N(Parameter!$M$21)))</f>
        <v>0.0384615384615385</v>
      </c>
      <c r="BA1616" s="50" t="n">
        <f aca="false">AZ1616*BY1616</f>
        <v>5.96153846153846</v>
      </c>
      <c r="BB1616" s="50" t="n">
        <f aca="false">AX1616*G1616</f>
        <v>1500</v>
      </c>
      <c r="BC1616" s="50" t="n">
        <f aca="false">ROUNDUP(MAX(J1616/IF(CD1616&gt;0,CD1616,MAX(0.1,N(Cockpit!$O$6))),CG1616)/BV1616,0)*BV1616</f>
        <v>100</v>
      </c>
      <c r="BD1616" s="51" t="n">
        <f aca="false">IF(BA1616&gt;0,J1616/BA1616,-1)</f>
        <v>0</v>
      </c>
      <c r="BE1616" s="51" t="n">
        <f aca="false">IF(AND(OR(CC1616="L1",CC1616="L23",CC1616="LIFT"),BA1616&gt;0),SUMIFS($BA$7:$BA$1843,$CC$7:$CC$1843,CC1616,$BD$7:$BD$1843,"&gt;"&amp;BD1616)+SUMIFS($BA$7:$BA$1843,$CC$7:$CC$1843,CC1616,$BD$7:$BD$1843,BD1616,$BT$7:$BT$1843,"&lt;="&amp;BT1616),"")</f>
        <v>39855.4164416092</v>
      </c>
      <c r="BF1616" s="58" t="n">
        <f aca="false">IF(BE1616="",0,MAX(0,MIN(1,(IF(CC1616="L1",Parameter!$H$5,IF(CC1616="L23",Parameter!$H$6+Parameter!$H$7,Parameter!$H$5+Parameter!$H$6+Parameter!$H$7))-(BE1616-BA1616))/BA1616)))</f>
        <v>0</v>
      </c>
      <c r="BG1616" s="48" t="str">
        <f aca="false">IF(AI1616&lt;=0,"",IF(CC1616="Aussen","Aussenlager",IF(CC1616="-","Nicht im Lift",IF(AN1616&gt;=1,"Lift",IF(AN1616&lt;=0,"Aussenlager","teilweise")))))</f>
        <v>Lift</v>
      </c>
      <c r="BH1616" s="48" t="str">
        <f aca="false">IF(AR1616&lt;=0,"",IF(CC1616="Aussen","Aussenlager",IF(CC1616="-","Nicht im Lift",IF(AW1616&gt;=1,"Lift",IF(AW1616&lt;=0,"Aussenlager","teilweise")))))</f>
        <v>Aussenlager</v>
      </c>
      <c r="BI1616" s="48" t="str">
        <f aca="false">IF(BA1616&lt;=0,"",IF(CC1616="Aussen","Aussenlager",IF(CC1616="-","Nicht im Lift",IF(BF1616&gt;=1,"Lift",IF(BF1616&lt;=0,"Aussenlager","teilweise")))))</f>
        <v>Aussenlager</v>
      </c>
      <c r="BJ1616" s="48" t="str">
        <f aca="false">IF(A1616="","",IF(BS1616=1,"Neu; ","")&amp;IF(AND(BS1616=0,BN1616&lt;0),"negativer Bestand (Export "&amp;BN1616&amp;"); ","")&amp;IF(J1616&lt;=0,"Kein Verbrauch; ","")&amp;IF(CL1616&gt;0,"Lift "&amp;W1616&amp;" lt. Liftbericht (Fach "&amp;X1616&amp;" Stk); ",IF(BX1616=1,"Gebinde geschätzt ("&amp;T1616&amp;"); ",IF(BW1616=1,"Lose – Tablare geschätzt; ","")))&amp;IF(H1616&gt;AT1616,"Überbestand "&amp;ROUND(H1616-AT1616,0)&amp;" Stk / CHF "&amp;ROUND((H1616-AT1616)*G1616,0)&amp;"; ","")&amp;IF(AND(CE1616=1,CF1616&lt;CG1616),"MAX &lt; MB+LG; ","")&amp;IF(AND(CK1616&gt;0,CJ1616*10&gt;CK1616),"zu hoch für Tablar; ","")&amp;IF(AND(BS1616=0,OR(CE1616=1,AA1616&lt;&gt;"",U1616&lt;&gt;"",V1616&lt;&gt;"",AB1616&lt;&gt;"")),"manuell übersteuert; ","")&amp;IF(AND(BW1616=0,R1616=0),"Gebinde unbekannt / Stellmass fehlt; ","")&amp;IF(AND(BW1616=0,N(V1616)&lt;=0,N(Q1616)&lt;=0),"Menge pro Gebinde fehlt (Ist = 1 Gebinde); ","")&amp;BR1616)</f>
        <v>Kein Verbrauch; Gebinde geschätzt (Klein); Menge pro Gebinde fehlt (Ist = 1 Gebinde); nur im Artikelstamm (Bestand 23.06.2026)</v>
      </c>
      <c r="BK1616" s="48"/>
      <c r="BL1616" s="48"/>
      <c r="BM1616" s="55"/>
      <c r="BN1616" s="50" t="n">
        <v>100</v>
      </c>
      <c r="BO1616" s="50" t="n">
        <v>0</v>
      </c>
      <c r="BP1616" s="49" t="n">
        <v>0</v>
      </c>
      <c r="BQ1616" s="50" t="n">
        <v>0</v>
      </c>
      <c r="BR1616" s="48" t="s">
        <v>2579</v>
      </c>
      <c r="BS1616" s="53" t="n">
        <v>0</v>
      </c>
      <c r="BT1616" s="53" t="n">
        <v>1616</v>
      </c>
      <c r="BU1616" s="48" t="str">
        <f aca="false">IF(U1616&lt;&gt;"",UPPER(TRIM(U1616)),IF(BX1616=1,UPPER(VLOOKUP(T1616,Parameter!$I$27:$K$29,2,0)),IF(P1616="","LOSE",P1616)))</f>
        <v>S51</v>
      </c>
      <c r="BV1616" s="50" t="n">
        <f aca="false">IF(BU1616="LOSE",1,IF(N(V1616)&gt;0,V1616,IF(BX1616=1,MAX(1,N(VLOOKUP(T1616,Parameter!$I$27:$K$29,3,0)),H1616,N(N1616)),IF(N(Q1616)&gt;0,Q1616,MAX(1,H1616)))))</f>
        <v>100</v>
      </c>
      <c r="BW1616" s="53" t="n">
        <f aca="false">IF(BU1616="LOSE",1,0)</f>
        <v>0</v>
      </c>
      <c r="BX1616" s="53" t="n">
        <f aca="false">IF(AND(U1616="",OR(P1616="",P1616="LOSE"),T1616&lt;&gt;"",N(S1616)&lt;=0,ISNUMBER(MATCH(T1616,Parameter!$I$27:$I$29,0))),1,0)</f>
        <v>1</v>
      </c>
      <c r="BY1616" s="53" t="n">
        <f aca="false">IF(CL1616&gt;0,INDEX(Parameter!$H$5:$H$7,W1616)/INDEX(Parameter!$E$5:$E$7,W1616),IF(AND(BW1616=0,N(IFERROR(VLOOKUP(BU1616,'Gebinde-Kategorie'!$A$5:$N$45,14,0),0))&gt;0),VLOOKUP(BU1616,'Gebinde-Kategorie'!$A$5:$N$45,14,0)*10+Parameter!$M$23,Parameter!$M$24))</f>
        <v>155</v>
      </c>
      <c r="BZ1616" s="48" t="str">
        <f aca="false">IF(AND(Parameter!$B$19="Ja",E1616&lt;&gt;"",ISNUMBER(MATCH(E1616,Parameter!$I$35:$I$52,0))),VLOOKUP(E1616,Parameter!$I$35:$J$52,2,0),IFERROR(VLOOKUP(D1616,Parameter!$A$35:$C$64,2,0),"Nein"))</f>
        <v>2+3</v>
      </c>
      <c r="CA1616" s="52" t="n">
        <f aca="false">IF(BW1616=0,0,IF(N(S1616)&gt;0,S1616,IFERROR(VLOOKUP(D1616,Parameter!$A$35:$C$64,3,0)+0,0)))</f>
        <v>0</v>
      </c>
      <c r="CB1616" s="48" t="n">
        <f aca="false">IF(AA1616&lt;&gt;"",AA1616,Z1616)</f>
        <v>3</v>
      </c>
      <c r="CC1616" s="48" t="str">
        <f aca="false">IF(OR(CB1616=1,CB1616=2,CB1616=3),IF(Parameter!$E$27="Ja","LIFT",IF(CB1616=1,"L1","L23")),IF(CB1616="Aussen","Aussen","-"))</f>
        <v>LIFT</v>
      </c>
      <c r="CD1616" s="59" t="n">
        <f aca="false">IF(N(AB1616)&gt;0,AB1616,0)</f>
        <v>0</v>
      </c>
      <c r="CE1616" s="53" t="n">
        <f aca="false">IF(ISNUMBER(AE1616),1,0)</f>
        <v>0</v>
      </c>
      <c r="CF1616" s="50" t="n">
        <f aca="false">N(AE1616)</f>
        <v>0</v>
      </c>
      <c r="CG1616" s="50" t="n">
        <f aca="false">N(M1616)+N(N1616)</f>
        <v>1</v>
      </c>
      <c r="CH1616" s="50" t="n">
        <f aca="false">ROUNDUP(H1616/BV1616,0)</f>
        <v>1</v>
      </c>
      <c r="CI1616" s="50" t="n">
        <f aca="false">ROUNDUP(CF1616/BV1616,0)</f>
        <v>0</v>
      </c>
      <c r="CJ1616" s="53" t="n">
        <f aca="false">IF(BW1616=1,0,IFERROR(VLOOKUP(BU1616,'Gebinde-Kategorie'!$A$5:$N$45,5,0)+0,0))</f>
        <v>11</v>
      </c>
      <c r="CK1616" s="53" t="n">
        <f aca="false">IFERROR(IF(OR(CB1616=1,CB1616=2,CB1616=3),N(INDEX(Parameter!$I$5:$I$7,CB1616)),0),0)</f>
        <v>0</v>
      </c>
      <c r="CL1616" s="52" t="n">
        <f aca="false">IF(AND(Parameter!$B$21="Ja",ISNUMBER(W1616),N(X1616)&gt;0),IFERROR(N(INDEX(Parameter!$L$5:$L$7,W1616))*INDEX(Parameter!$E$5:$E$7,W1616)*X1616/SUMIFS($X$7:$X$1843,$W$7:$W$1843,W1616),0),0)</f>
        <v>0</v>
      </c>
    </row>
    <row r="1617" customFormat="false" ht="15" hidden="false" customHeight="false" outlineLevel="0" collapsed="false">
      <c r="A1617" s="48" t="s">
        <v>2821</v>
      </c>
      <c r="B1617" s="48" t="s">
        <v>2822</v>
      </c>
      <c r="C1617" s="48" t="s">
        <v>168</v>
      </c>
      <c r="D1617" s="48" t="s">
        <v>188</v>
      </c>
      <c r="E1617" s="48"/>
      <c r="F1617" s="48"/>
      <c r="G1617" s="49" t="n">
        <v>28.4</v>
      </c>
      <c r="H1617" s="50" t="n">
        <f aca="false">MAX(0,IF(AND(Parameter!$B$21="Ja",ISNUMBER(Y1617)),Y1617,IF(Parameter!$B$20="Jahresanfang 2025 + Export",BO1617+BN1617,BN1617)))</f>
        <v>1</v>
      </c>
      <c r="I1617" s="50" t="n">
        <f aca="false">H1617*G1617</f>
        <v>28.4</v>
      </c>
      <c r="J1617" s="50" t="n">
        <f aca="false">BQ1617*Parameter!$B$18</f>
        <v>0</v>
      </c>
      <c r="K1617" s="51"/>
      <c r="L1617" s="52"/>
      <c r="M1617" s="50" t="n">
        <v>0</v>
      </c>
      <c r="N1617" s="50" t="n">
        <v>5</v>
      </c>
      <c r="O1617" s="53" t="n">
        <v>14</v>
      </c>
      <c r="P1617" s="48" t="s">
        <v>172</v>
      </c>
      <c r="Q1617" s="50"/>
      <c r="R1617" s="53" t="n">
        <f aca="false">IF(BW1617=1,0,IFERROR(VLOOKUP(BU1617,'Gebinde-Kategorie'!$A$5:$N$45,13,0)+0,0))</f>
        <v>26</v>
      </c>
      <c r="S1617" s="54"/>
      <c r="T1617" s="55" t="s">
        <v>279</v>
      </c>
      <c r="U1617" s="55"/>
      <c r="V1617" s="55"/>
      <c r="W1617" s="48"/>
      <c r="X1617" s="50"/>
      <c r="Y1617" s="50"/>
      <c r="Z1617" s="48" t="n">
        <f aca="false">IF(A1617="","",IF(AND(Parameter!$B$21="Ja",ISNUMBER(W1617)),W1617,IF(BZ1617="2+3",IF(ISNUMBER(SEARCH("grosser Artikel",BR1617)),2,IFERROR(VLOOKUP(BU1617,Parameter!$F$35:$G$64,2,0),2)),IF(OR(BZ1617="Nein",BZ1617=""),"-",BZ1617))))</f>
        <v>3</v>
      </c>
      <c r="AA1617" s="55"/>
      <c r="AB1617" s="56"/>
      <c r="AC1617" s="50" t="n">
        <f aca="false">AT1617</f>
        <v>20</v>
      </c>
      <c r="AD1617" s="50" t="n">
        <f aca="false">MAX(AT1617,H1617)</f>
        <v>20</v>
      </c>
      <c r="AE1617" s="57"/>
      <c r="AF1617" s="50" t="n">
        <f aca="false">IF(LEFT(Cockpit!$C$5,1)="A",H1617,IF(CE1617=1,CF1617,IF(LEFT(Cockpit!$C$5,1)="B",AK1617,MAX(AK1617,H1617))))</f>
        <v>1</v>
      </c>
      <c r="AG1617" s="50" t="n">
        <f aca="false">IF(BW1617=1,0,ROUNDUP(AF1617/BV1617,0))</f>
        <v>1</v>
      </c>
      <c r="AH1617" s="52" t="n">
        <f aca="false">IF(CL1617&gt;0,CL1617*MAX(1,AF1617/X1617),IF(BW1617=1,IF(AF1617&lt;=0,0,CA1617*MAX(1,IF(H1617&gt;0,AF1617/H1617,1))),IF(R1617&gt;0,AG1617/R1617,0))/MAX(0.1,N(Parameter!$M$21)))</f>
        <v>0.0384615384615385</v>
      </c>
      <c r="AI1617" s="50" t="n">
        <f aca="false">AH1617*BY1617</f>
        <v>5.96153846153846</v>
      </c>
      <c r="AJ1617" s="50" t="n">
        <f aca="false">AF1617*G1617</f>
        <v>28.4</v>
      </c>
      <c r="AK1617" s="50" t="n">
        <f aca="false">ROUNDUP(MAX(J1617/IF(CD1617&gt;0,CD1617,MAX(0.1,N(Cockpit!$C$6))),CG1617)/BV1617,0)*BV1617</f>
        <v>20</v>
      </c>
      <c r="AL1617" s="51" t="n">
        <f aca="false">IF(AI1617&gt;0,J1617/AI1617,-1)</f>
        <v>0</v>
      </c>
      <c r="AM1617" s="51" t="n">
        <f aca="false">IF(AND(OR(CC1617="L1",CC1617="L23",CC1617="LIFT"),AI1617&gt;0),SUMIFS($AI$7:$AI$1843,$CC$7:$CC$1843,CC1617,$AL$7:$AL$1843,"&gt;"&amp;AL1617)+SUMIFS($AI$7:$AI$1843,$CC$7:$CC$1843,CC1617,$AL$7:$AL$1843,AL1617,$BT$7:$BT$1843,"&lt;="&amp;BT1617),"")</f>
        <v>30824.4636260632</v>
      </c>
      <c r="AN1617" s="58" t="n">
        <f aca="false">IF(AM1617="",0,MAX(0,MIN(1,(IF(CC1617="L1",Parameter!$H$5,IF(CC1617="L23",Parameter!$H$6+Parameter!$H$7,Parameter!$H$5+Parameter!$H$6+Parameter!$H$7))-(AM1617-AI1617))/AI1617)))</f>
        <v>1</v>
      </c>
      <c r="AO1617" s="50" t="n">
        <f aca="false">IF(LEFT(Cockpit!$I$5,1)="A",H1617,IF(CE1617=1,CF1617,IF(LEFT(Cockpit!$I$5,1)="B",AT1617,MAX(AT1617,H1617))))</f>
        <v>20</v>
      </c>
      <c r="AP1617" s="50" t="n">
        <f aca="false">IF(BW1617=1,0,ROUNDUP(AO1617/BV1617,0))</f>
        <v>1</v>
      </c>
      <c r="AQ1617" s="52" t="n">
        <f aca="false">IF(CL1617&gt;0,CL1617*MAX(1,AO1617/X1617),IF(BW1617=1,IF(AO1617&lt;=0,0,CA1617*MAX(1,IF(H1617&gt;0,AO1617/H1617,1))),IF(R1617&gt;0,AP1617/R1617,0))/MAX(0.1,N(Parameter!$M$21)))</f>
        <v>0.0384615384615385</v>
      </c>
      <c r="AR1617" s="50" t="n">
        <f aca="false">AQ1617*BY1617</f>
        <v>5.96153846153846</v>
      </c>
      <c r="AS1617" s="50" t="n">
        <f aca="false">AO1617*G1617</f>
        <v>568</v>
      </c>
      <c r="AT1617" s="50" t="n">
        <f aca="false">ROUNDUP(MAX(J1617/IF(CD1617&gt;0,CD1617,MAX(0.1,N(Cockpit!$I$6))),CG1617)/BV1617,0)*BV1617</f>
        <v>20</v>
      </c>
      <c r="AU1617" s="51" t="n">
        <f aca="false">IF(AR1617&gt;0,J1617/AR1617,-1)</f>
        <v>0</v>
      </c>
      <c r="AV1617" s="51" t="n">
        <f aca="false">IF(AND(OR(CC1617="L1",CC1617="L23",CC1617="LIFT"),AR1617&gt;0),SUMIFS($AR$7:$AR$1843,$CC$7:$CC$1843,CC1617,$AU$7:$AU$1843,"&gt;"&amp;AU1617)+SUMIFS($AR$7:$AR$1843,$CC$7:$CC$1843,CC1617,$AU$7:$AU$1843,AU1617,$BT$7:$BT$1843,"&lt;="&amp;BT1617),"")</f>
        <v>43186.3659382049</v>
      </c>
      <c r="AW1617" s="58" t="n">
        <f aca="false">IF(AV1617="",0,MAX(0,MIN(1,(IF(CC1617="L1",Parameter!$H$5,IF(CC1617="L23",Parameter!$H$6+Parameter!$H$7,Parameter!$H$5+Parameter!$H$6+Parameter!$H$7))-(AV1617-AR1617))/AR1617)))</f>
        <v>0</v>
      </c>
      <c r="AX1617" s="50" t="n">
        <f aca="false">IF(LEFT(Cockpit!$O$5,1)="A",H1617,IF(CE1617=1,CF1617,IF(LEFT(Cockpit!$O$5,1)="B",BC1617,MAX(BC1617,H1617))))</f>
        <v>20</v>
      </c>
      <c r="AY1617" s="50" t="n">
        <f aca="false">IF(BW1617=1,0,ROUNDUP(AX1617/BV1617,0))</f>
        <v>1</v>
      </c>
      <c r="AZ1617" s="52" t="n">
        <f aca="false">IF(CL1617&gt;0,CL1617*MAX(1,AX1617/X1617),IF(BW1617=1,IF(AX1617&lt;=0,0,CA1617*MAX(1,IF(H1617&gt;0,AX1617/H1617,1))),IF(R1617&gt;0,AY1617/R1617,0))/MAX(0.1,N(Parameter!$M$21)))</f>
        <v>0.0384615384615385</v>
      </c>
      <c r="BA1617" s="50" t="n">
        <f aca="false">AZ1617*BY1617</f>
        <v>5.96153846153846</v>
      </c>
      <c r="BB1617" s="50" t="n">
        <f aca="false">AX1617*G1617</f>
        <v>568</v>
      </c>
      <c r="BC1617" s="50" t="n">
        <f aca="false">ROUNDUP(MAX(J1617/IF(CD1617&gt;0,CD1617,MAX(0.1,N(Cockpit!$O$6))),CG1617)/BV1617,0)*BV1617</f>
        <v>20</v>
      </c>
      <c r="BD1617" s="51" t="n">
        <f aca="false">IF(BA1617&gt;0,J1617/BA1617,-1)</f>
        <v>0</v>
      </c>
      <c r="BE1617" s="51" t="n">
        <f aca="false">IF(AND(OR(CC1617="L1",CC1617="L23",CC1617="LIFT"),BA1617&gt;0),SUMIFS($BA$7:$BA$1843,$CC$7:$CC$1843,CC1617,$BD$7:$BD$1843,"&gt;"&amp;BD1617)+SUMIFS($BA$7:$BA$1843,$CC$7:$CC$1843,CC1617,$BD$7:$BD$1843,BD1617,$BT$7:$BT$1843,"&lt;="&amp;BT1617),"")</f>
        <v>39861.3779800708</v>
      </c>
      <c r="BF1617" s="58" t="n">
        <f aca="false">IF(BE1617="",0,MAX(0,MIN(1,(IF(CC1617="L1",Parameter!$H$5,IF(CC1617="L23",Parameter!$H$6+Parameter!$H$7,Parameter!$H$5+Parameter!$H$6+Parameter!$H$7))-(BE1617-BA1617))/BA1617)))</f>
        <v>0</v>
      </c>
      <c r="BG1617" s="48" t="str">
        <f aca="false">IF(AI1617&lt;=0,"",IF(CC1617="Aussen","Aussenlager",IF(CC1617="-","Nicht im Lift",IF(AN1617&gt;=1,"Lift",IF(AN1617&lt;=0,"Aussenlager","teilweise")))))</f>
        <v>Lift</v>
      </c>
      <c r="BH1617" s="48" t="str">
        <f aca="false">IF(AR1617&lt;=0,"",IF(CC1617="Aussen","Aussenlager",IF(CC1617="-","Nicht im Lift",IF(AW1617&gt;=1,"Lift",IF(AW1617&lt;=0,"Aussenlager","teilweise")))))</f>
        <v>Aussenlager</v>
      </c>
      <c r="BI1617" s="48" t="str">
        <f aca="false">IF(BA1617&lt;=0,"",IF(CC1617="Aussen","Aussenlager",IF(CC1617="-","Nicht im Lift",IF(BF1617&gt;=1,"Lift",IF(BF1617&lt;=0,"Aussenlager","teilweise")))))</f>
        <v>Aussenlager</v>
      </c>
      <c r="BJ1617" s="48" t="str">
        <f aca="false">IF(A1617="","",IF(BS1617=1,"Neu; ","")&amp;IF(AND(BS1617=0,BN1617&lt;0),"negativer Bestand (Export "&amp;BN1617&amp;"); ","")&amp;IF(J1617&lt;=0,"Kein Verbrauch; ","")&amp;IF(CL1617&gt;0,"Lift "&amp;W1617&amp;" lt. Liftbericht (Fach "&amp;X1617&amp;" Stk); ",IF(BX1617=1,"Gebinde geschätzt ("&amp;T1617&amp;"); ",IF(BW1617=1,"Lose – Tablare geschätzt; ","")))&amp;IF(H1617&gt;AT1617,"Überbestand "&amp;ROUND(H1617-AT1617,0)&amp;" Stk / CHF "&amp;ROUND((H1617-AT1617)*G1617,0)&amp;"; ","")&amp;IF(AND(CE1617=1,CF1617&lt;CG1617),"MAX &lt; MB+LG; ","")&amp;IF(AND(CK1617&gt;0,CJ1617*10&gt;CK1617),"zu hoch für Tablar; ","")&amp;IF(AND(BS1617=0,OR(CE1617=1,AA1617&lt;&gt;"",U1617&lt;&gt;"",V1617&lt;&gt;"",AB1617&lt;&gt;"")),"manuell übersteuert; ","")&amp;IF(AND(BW1617=0,R1617=0),"Gebinde unbekannt / Stellmass fehlt; ","")&amp;IF(AND(BW1617=0,N(V1617)&lt;=0,N(Q1617)&lt;=0),"Menge pro Gebinde fehlt (Ist = 1 Gebinde); ","")&amp;BR1617)</f>
        <v>Kein Verbrauch; Gebinde geschätzt (Klein); Menge pro Gebinde fehlt (Ist = 1 Gebinde); nur im Artikelstamm (Bestand 23.06.2026)</v>
      </c>
      <c r="BK1617" s="48"/>
      <c r="BL1617" s="48"/>
      <c r="BM1617" s="55"/>
      <c r="BN1617" s="50" t="n">
        <v>1</v>
      </c>
      <c r="BO1617" s="50" t="n">
        <v>0</v>
      </c>
      <c r="BP1617" s="49" t="n">
        <v>0</v>
      </c>
      <c r="BQ1617" s="50" t="n">
        <v>0</v>
      </c>
      <c r="BR1617" s="48" t="s">
        <v>2579</v>
      </c>
      <c r="BS1617" s="53" t="n">
        <v>0</v>
      </c>
      <c r="BT1617" s="53" t="n">
        <v>1617</v>
      </c>
      <c r="BU1617" s="48" t="str">
        <f aca="false">IF(U1617&lt;&gt;"",UPPER(TRIM(U1617)),IF(BX1617=1,UPPER(VLOOKUP(T1617,Parameter!$I$27:$K$29,2,0)),IF(P1617="","LOSE",P1617)))</f>
        <v>S51</v>
      </c>
      <c r="BV1617" s="50" t="n">
        <f aca="false">IF(BU1617="LOSE",1,IF(N(V1617)&gt;0,V1617,IF(BX1617=1,MAX(1,N(VLOOKUP(T1617,Parameter!$I$27:$K$29,3,0)),H1617,N(N1617)),IF(N(Q1617)&gt;0,Q1617,MAX(1,H1617)))))</f>
        <v>20</v>
      </c>
      <c r="BW1617" s="53" t="n">
        <f aca="false">IF(BU1617="LOSE",1,0)</f>
        <v>0</v>
      </c>
      <c r="BX1617" s="53" t="n">
        <f aca="false">IF(AND(U1617="",OR(P1617="",P1617="LOSE"),T1617&lt;&gt;"",N(S1617)&lt;=0,ISNUMBER(MATCH(T1617,Parameter!$I$27:$I$29,0))),1,0)</f>
        <v>1</v>
      </c>
      <c r="BY1617" s="53" t="n">
        <f aca="false">IF(CL1617&gt;0,INDEX(Parameter!$H$5:$H$7,W1617)/INDEX(Parameter!$E$5:$E$7,W1617),IF(AND(BW1617=0,N(IFERROR(VLOOKUP(BU1617,'Gebinde-Kategorie'!$A$5:$N$45,14,0),0))&gt;0),VLOOKUP(BU1617,'Gebinde-Kategorie'!$A$5:$N$45,14,0)*10+Parameter!$M$23,Parameter!$M$24))</f>
        <v>155</v>
      </c>
      <c r="BZ1617" s="48" t="str">
        <f aca="false">IF(AND(Parameter!$B$19="Ja",E1617&lt;&gt;"",ISNUMBER(MATCH(E1617,Parameter!$I$35:$I$52,0))),VLOOKUP(E1617,Parameter!$I$35:$J$52,2,0),IFERROR(VLOOKUP(D1617,Parameter!$A$35:$C$64,2,0),"Nein"))</f>
        <v>2+3</v>
      </c>
      <c r="CA1617" s="52" t="n">
        <f aca="false">IF(BW1617=0,0,IF(N(S1617)&gt;0,S1617,IFERROR(VLOOKUP(D1617,Parameter!$A$35:$C$64,3,0)+0,0)))</f>
        <v>0</v>
      </c>
      <c r="CB1617" s="48" t="n">
        <f aca="false">IF(AA1617&lt;&gt;"",AA1617,Z1617)</f>
        <v>3</v>
      </c>
      <c r="CC1617" s="48" t="str">
        <f aca="false">IF(OR(CB1617=1,CB1617=2,CB1617=3),IF(Parameter!$E$27="Ja","LIFT",IF(CB1617=1,"L1","L23")),IF(CB1617="Aussen","Aussen","-"))</f>
        <v>LIFT</v>
      </c>
      <c r="CD1617" s="59" t="n">
        <f aca="false">IF(N(AB1617)&gt;0,AB1617,0)</f>
        <v>0</v>
      </c>
      <c r="CE1617" s="53" t="n">
        <f aca="false">IF(ISNUMBER(AE1617),1,0)</f>
        <v>0</v>
      </c>
      <c r="CF1617" s="50" t="n">
        <f aca="false">N(AE1617)</f>
        <v>0</v>
      </c>
      <c r="CG1617" s="50" t="n">
        <f aca="false">N(M1617)+N(N1617)</f>
        <v>5</v>
      </c>
      <c r="CH1617" s="50" t="n">
        <f aca="false">ROUNDUP(H1617/BV1617,0)</f>
        <v>1</v>
      </c>
      <c r="CI1617" s="50" t="n">
        <f aca="false">ROUNDUP(CF1617/BV1617,0)</f>
        <v>0</v>
      </c>
      <c r="CJ1617" s="53" t="n">
        <f aca="false">IF(BW1617=1,0,IFERROR(VLOOKUP(BU1617,'Gebinde-Kategorie'!$A$5:$N$45,5,0)+0,0))</f>
        <v>11</v>
      </c>
      <c r="CK1617" s="53" t="n">
        <f aca="false">IFERROR(IF(OR(CB1617=1,CB1617=2,CB1617=3),N(INDEX(Parameter!$I$5:$I$7,CB1617)),0),0)</f>
        <v>0</v>
      </c>
      <c r="CL1617" s="52" t="n">
        <f aca="false">IF(AND(Parameter!$B$21="Ja",ISNUMBER(W1617),N(X1617)&gt;0),IFERROR(N(INDEX(Parameter!$L$5:$L$7,W1617))*INDEX(Parameter!$E$5:$E$7,W1617)*X1617/SUMIFS($X$7:$X$1843,$W$7:$W$1843,W1617),0),0)</f>
        <v>0</v>
      </c>
    </row>
    <row r="1618" customFormat="false" ht="15" hidden="false" customHeight="false" outlineLevel="0" collapsed="false">
      <c r="A1618" s="48" t="s">
        <v>2823</v>
      </c>
      <c r="B1618" s="48" t="s">
        <v>2820</v>
      </c>
      <c r="C1618" s="48" t="s">
        <v>168</v>
      </c>
      <c r="D1618" s="48" t="s">
        <v>188</v>
      </c>
      <c r="E1618" s="48"/>
      <c r="F1618" s="48"/>
      <c r="G1618" s="49" t="n">
        <v>15</v>
      </c>
      <c r="H1618" s="50" t="n">
        <f aca="false">MAX(0,IF(AND(Parameter!$B$21="Ja",ISNUMBER(Y1618)),Y1618,IF(Parameter!$B$20="Jahresanfang 2025 + Export",BO1618+BN1618,BN1618)))</f>
        <v>32</v>
      </c>
      <c r="I1618" s="50" t="n">
        <f aca="false">H1618*G1618</f>
        <v>480</v>
      </c>
      <c r="J1618" s="50" t="n">
        <f aca="false">BQ1618*Parameter!$B$18</f>
        <v>0</v>
      </c>
      <c r="K1618" s="51"/>
      <c r="L1618" s="52"/>
      <c r="M1618" s="50" t="n">
        <v>0</v>
      </c>
      <c r="N1618" s="50" t="n">
        <v>1</v>
      </c>
      <c r="O1618" s="53" t="n">
        <v>0</v>
      </c>
      <c r="P1618" s="48" t="s">
        <v>172</v>
      </c>
      <c r="Q1618" s="50"/>
      <c r="R1618" s="53" t="n">
        <f aca="false">IF(BW1618=1,0,IFERROR(VLOOKUP(BU1618,'Gebinde-Kategorie'!$A$5:$N$45,13,0)+0,0))</f>
        <v>26</v>
      </c>
      <c r="S1618" s="54"/>
      <c r="T1618" s="55" t="s">
        <v>279</v>
      </c>
      <c r="U1618" s="55"/>
      <c r="V1618" s="55"/>
      <c r="W1618" s="48"/>
      <c r="X1618" s="50"/>
      <c r="Y1618" s="50"/>
      <c r="Z1618" s="48" t="n">
        <f aca="false">IF(A1618="","",IF(AND(Parameter!$B$21="Ja",ISNUMBER(W1618)),W1618,IF(BZ1618="2+3",IF(ISNUMBER(SEARCH("grosser Artikel",BR1618)),2,IFERROR(VLOOKUP(BU1618,Parameter!$F$35:$G$64,2,0),2)),IF(OR(BZ1618="Nein",BZ1618=""),"-",BZ1618))))</f>
        <v>3</v>
      </c>
      <c r="AA1618" s="55"/>
      <c r="AB1618" s="56"/>
      <c r="AC1618" s="50" t="n">
        <f aca="false">AT1618</f>
        <v>32</v>
      </c>
      <c r="AD1618" s="50" t="n">
        <f aca="false">MAX(AT1618,H1618)</f>
        <v>32</v>
      </c>
      <c r="AE1618" s="57"/>
      <c r="AF1618" s="50" t="n">
        <f aca="false">IF(LEFT(Cockpit!$C$5,1)="A",H1618,IF(CE1618=1,CF1618,IF(LEFT(Cockpit!$C$5,1)="B",AK1618,MAX(AK1618,H1618))))</f>
        <v>32</v>
      </c>
      <c r="AG1618" s="50" t="n">
        <f aca="false">IF(BW1618=1,0,ROUNDUP(AF1618/BV1618,0))</f>
        <v>1</v>
      </c>
      <c r="AH1618" s="52" t="n">
        <f aca="false">IF(CL1618&gt;0,CL1618*MAX(1,AF1618/X1618),IF(BW1618=1,IF(AF1618&lt;=0,0,CA1618*MAX(1,IF(H1618&gt;0,AF1618/H1618,1))),IF(R1618&gt;0,AG1618/R1618,0))/MAX(0.1,N(Parameter!$M$21)))</f>
        <v>0.0384615384615385</v>
      </c>
      <c r="AI1618" s="50" t="n">
        <f aca="false">AH1618*BY1618</f>
        <v>5.96153846153846</v>
      </c>
      <c r="AJ1618" s="50" t="n">
        <f aca="false">AF1618*G1618</f>
        <v>480</v>
      </c>
      <c r="AK1618" s="50" t="n">
        <f aca="false">ROUNDUP(MAX(J1618/IF(CD1618&gt;0,CD1618,MAX(0.1,N(Cockpit!$C$6))),CG1618)/BV1618,0)*BV1618</f>
        <v>32</v>
      </c>
      <c r="AL1618" s="51" t="n">
        <f aca="false">IF(AI1618&gt;0,J1618/AI1618,-1)</f>
        <v>0</v>
      </c>
      <c r="AM1618" s="51" t="n">
        <f aca="false">IF(AND(OR(CC1618="L1",CC1618="L23",CC1618="LIFT"),AI1618&gt;0),SUMIFS($AI$7:$AI$1843,$CC$7:$CC$1843,CC1618,$AL$7:$AL$1843,"&gt;"&amp;AL1618)+SUMIFS($AI$7:$AI$1843,$CC$7:$CC$1843,CC1618,$AL$7:$AL$1843,AL1618,$BT$7:$BT$1843,"&lt;="&amp;BT1618),"")</f>
        <v>30830.4251645247</v>
      </c>
      <c r="AN1618" s="58" t="n">
        <f aca="false">IF(AM1618="",0,MAX(0,MIN(1,(IF(CC1618="L1",Parameter!$H$5,IF(CC1618="L23",Parameter!$H$6+Parameter!$H$7,Parameter!$H$5+Parameter!$H$6+Parameter!$H$7))-(AM1618-AI1618))/AI1618)))</f>
        <v>1</v>
      </c>
      <c r="AO1618" s="50" t="n">
        <f aca="false">IF(LEFT(Cockpit!$I$5,1)="A",H1618,IF(CE1618=1,CF1618,IF(LEFT(Cockpit!$I$5,1)="B",AT1618,MAX(AT1618,H1618))))</f>
        <v>32</v>
      </c>
      <c r="AP1618" s="50" t="n">
        <f aca="false">IF(BW1618=1,0,ROUNDUP(AO1618/BV1618,0))</f>
        <v>1</v>
      </c>
      <c r="AQ1618" s="52" t="n">
        <f aca="false">IF(CL1618&gt;0,CL1618*MAX(1,AO1618/X1618),IF(BW1618=1,IF(AO1618&lt;=0,0,CA1618*MAX(1,IF(H1618&gt;0,AO1618/H1618,1))),IF(R1618&gt;0,AP1618/R1618,0))/MAX(0.1,N(Parameter!$M$21)))</f>
        <v>0.0384615384615385</v>
      </c>
      <c r="AR1618" s="50" t="n">
        <f aca="false">AQ1618*BY1618</f>
        <v>5.96153846153846</v>
      </c>
      <c r="AS1618" s="50" t="n">
        <f aca="false">AO1618*G1618</f>
        <v>480</v>
      </c>
      <c r="AT1618" s="50" t="n">
        <f aca="false">ROUNDUP(MAX(J1618/IF(CD1618&gt;0,CD1618,MAX(0.1,N(Cockpit!$I$6))),CG1618)/BV1618,0)*BV1618</f>
        <v>32</v>
      </c>
      <c r="AU1618" s="51" t="n">
        <f aca="false">IF(AR1618&gt;0,J1618/AR1618,-1)</f>
        <v>0</v>
      </c>
      <c r="AV1618" s="51" t="n">
        <f aca="false">IF(AND(OR(CC1618="L1",CC1618="L23",CC1618="LIFT"),AR1618&gt;0),SUMIFS($AR$7:$AR$1843,$CC$7:$CC$1843,CC1618,$AU$7:$AU$1843,"&gt;"&amp;AU1618)+SUMIFS($AR$7:$AR$1843,$CC$7:$CC$1843,CC1618,$AU$7:$AU$1843,AU1618,$BT$7:$BT$1843,"&lt;="&amp;BT1618),"")</f>
        <v>43192.3274766665</v>
      </c>
      <c r="AW1618" s="58" t="n">
        <f aca="false">IF(AV1618="",0,MAX(0,MIN(1,(IF(CC1618="L1",Parameter!$H$5,IF(CC1618="L23",Parameter!$H$6+Parameter!$H$7,Parameter!$H$5+Parameter!$H$6+Parameter!$H$7))-(AV1618-AR1618))/AR1618)))</f>
        <v>0</v>
      </c>
      <c r="AX1618" s="50" t="n">
        <f aca="false">IF(LEFT(Cockpit!$O$5,1)="A",H1618,IF(CE1618=1,CF1618,IF(LEFT(Cockpit!$O$5,1)="B",BC1618,MAX(BC1618,H1618))))</f>
        <v>32</v>
      </c>
      <c r="AY1618" s="50" t="n">
        <f aca="false">IF(BW1618=1,0,ROUNDUP(AX1618/BV1618,0))</f>
        <v>1</v>
      </c>
      <c r="AZ1618" s="52" t="n">
        <f aca="false">IF(CL1618&gt;0,CL1618*MAX(1,AX1618/X1618),IF(BW1618=1,IF(AX1618&lt;=0,0,CA1618*MAX(1,IF(H1618&gt;0,AX1618/H1618,1))),IF(R1618&gt;0,AY1618/R1618,0))/MAX(0.1,N(Parameter!$M$21)))</f>
        <v>0.0384615384615385</v>
      </c>
      <c r="BA1618" s="50" t="n">
        <f aca="false">AZ1618*BY1618</f>
        <v>5.96153846153846</v>
      </c>
      <c r="BB1618" s="50" t="n">
        <f aca="false">AX1618*G1618</f>
        <v>480</v>
      </c>
      <c r="BC1618" s="50" t="n">
        <f aca="false">ROUNDUP(MAX(J1618/IF(CD1618&gt;0,CD1618,MAX(0.1,N(Cockpit!$O$6))),CG1618)/BV1618,0)*BV1618</f>
        <v>32</v>
      </c>
      <c r="BD1618" s="51" t="n">
        <f aca="false">IF(BA1618&gt;0,J1618/BA1618,-1)</f>
        <v>0</v>
      </c>
      <c r="BE1618" s="51" t="n">
        <f aca="false">IF(AND(OR(CC1618="L1",CC1618="L23",CC1618="LIFT"),BA1618&gt;0),SUMIFS($BA$7:$BA$1843,$CC$7:$CC$1843,CC1618,$BD$7:$BD$1843,"&gt;"&amp;BD1618)+SUMIFS($BA$7:$BA$1843,$CC$7:$CC$1843,CC1618,$BD$7:$BD$1843,BD1618,$BT$7:$BT$1843,"&lt;="&amp;BT1618),"")</f>
        <v>39867.3395185323</v>
      </c>
      <c r="BF1618" s="58" t="n">
        <f aca="false">IF(BE1618="",0,MAX(0,MIN(1,(IF(CC1618="L1",Parameter!$H$5,IF(CC1618="L23",Parameter!$H$6+Parameter!$H$7,Parameter!$H$5+Parameter!$H$6+Parameter!$H$7))-(BE1618-BA1618))/BA1618)))</f>
        <v>0</v>
      </c>
      <c r="BG1618" s="48" t="str">
        <f aca="false">IF(AI1618&lt;=0,"",IF(CC1618="Aussen","Aussenlager",IF(CC1618="-","Nicht im Lift",IF(AN1618&gt;=1,"Lift",IF(AN1618&lt;=0,"Aussenlager","teilweise")))))</f>
        <v>Lift</v>
      </c>
      <c r="BH1618" s="48" t="str">
        <f aca="false">IF(AR1618&lt;=0,"",IF(CC1618="Aussen","Aussenlager",IF(CC1618="-","Nicht im Lift",IF(AW1618&gt;=1,"Lift",IF(AW1618&lt;=0,"Aussenlager","teilweise")))))</f>
        <v>Aussenlager</v>
      </c>
      <c r="BI1618" s="48" t="str">
        <f aca="false">IF(BA1618&lt;=0,"",IF(CC1618="Aussen","Aussenlager",IF(CC1618="-","Nicht im Lift",IF(BF1618&gt;=1,"Lift",IF(BF1618&lt;=0,"Aussenlager","teilweise")))))</f>
        <v>Aussenlager</v>
      </c>
      <c r="BJ1618" s="48" t="str">
        <f aca="false">IF(A1618="","",IF(BS1618=1,"Neu; ","")&amp;IF(AND(BS1618=0,BN1618&lt;0),"negativer Bestand (Export "&amp;BN1618&amp;"); ","")&amp;IF(J1618&lt;=0,"Kein Verbrauch; ","")&amp;IF(CL1618&gt;0,"Lift "&amp;W1618&amp;" lt. Liftbericht (Fach "&amp;X1618&amp;" Stk); ",IF(BX1618=1,"Gebinde geschätzt ("&amp;T1618&amp;"); ",IF(BW1618=1,"Lose – Tablare geschätzt; ","")))&amp;IF(H1618&gt;AT1618,"Überbestand "&amp;ROUND(H1618-AT1618,0)&amp;" Stk / CHF "&amp;ROUND((H1618-AT1618)*G1618,0)&amp;"; ","")&amp;IF(AND(CE1618=1,CF1618&lt;CG1618),"MAX &lt; MB+LG; ","")&amp;IF(AND(CK1618&gt;0,CJ1618*10&gt;CK1618),"zu hoch für Tablar; ","")&amp;IF(AND(BS1618=0,OR(CE1618=1,AA1618&lt;&gt;"",U1618&lt;&gt;"",V1618&lt;&gt;"",AB1618&lt;&gt;"")),"manuell übersteuert; ","")&amp;IF(AND(BW1618=0,R1618=0),"Gebinde unbekannt / Stellmass fehlt; ","")&amp;IF(AND(BW1618=0,N(V1618)&lt;=0,N(Q1618)&lt;=0),"Menge pro Gebinde fehlt (Ist = 1 Gebinde); ","")&amp;BR1618)</f>
        <v>Kein Verbrauch; Gebinde geschätzt (Klein); Menge pro Gebinde fehlt (Ist = 1 Gebinde); nur im Artikelstamm (Bestand 23.06.2026)</v>
      </c>
      <c r="BK1618" s="48"/>
      <c r="BL1618" s="48"/>
      <c r="BM1618" s="55"/>
      <c r="BN1618" s="50" t="n">
        <v>32</v>
      </c>
      <c r="BO1618" s="50" t="n">
        <v>0</v>
      </c>
      <c r="BP1618" s="49" t="n">
        <v>0</v>
      </c>
      <c r="BQ1618" s="50" t="n">
        <v>0</v>
      </c>
      <c r="BR1618" s="48" t="s">
        <v>2579</v>
      </c>
      <c r="BS1618" s="53" t="n">
        <v>0</v>
      </c>
      <c r="BT1618" s="53" t="n">
        <v>1618</v>
      </c>
      <c r="BU1618" s="48" t="str">
        <f aca="false">IF(U1618&lt;&gt;"",UPPER(TRIM(U1618)),IF(BX1618=1,UPPER(VLOOKUP(T1618,Parameter!$I$27:$K$29,2,0)),IF(P1618="","LOSE",P1618)))</f>
        <v>S51</v>
      </c>
      <c r="BV1618" s="50" t="n">
        <f aca="false">IF(BU1618="LOSE",1,IF(N(V1618)&gt;0,V1618,IF(BX1618=1,MAX(1,N(VLOOKUP(T1618,Parameter!$I$27:$K$29,3,0)),H1618,N(N1618)),IF(N(Q1618)&gt;0,Q1618,MAX(1,H1618)))))</f>
        <v>32</v>
      </c>
      <c r="BW1618" s="53" t="n">
        <f aca="false">IF(BU1618="LOSE",1,0)</f>
        <v>0</v>
      </c>
      <c r="BX1618" s="53" t="n">
        <f aca="false">IF(AND(U1618="",OR(P1618="",P1618="LOSE"),T1618&lt;&gt;"",N(S1618)&lt;=0,ISNUMBER(MATCH(T1618,Parameter!$I$27:$I$29,0))),1,0)</f>
        <v>1</v>
      </c>
      <c r="BY1618" s="53" t="n">
        <f aca="false">IF(CL1618&gt;0,INDEX(Parameter!$H$5:$H$7,W1618)/INDEX(Parameter!$E$5:$E$7,W1618),IF(AND(BW1618=0,N(IFERROR(VLOOKUP(BU1618,'Gebinde-Kategorie'!$A$5:$N$45,14,0),0))&gt;0),VLOOKUP(BU1618,'Gebinde-Kategorie'!$A$5:$N$45,14,0)*10+Parameter!$M$23,Parameter!$M$24))</f>
        <v>155</v>
      </c>
      <c r="BZ1618" s="48" t="str">
        <f aca="false">IF(AND(Parameter!$B$19="Ja",E1618&lt;&gt;"",ISNUMBER(MATCH(E1618,Parameter!$I$35:$I$52,0))),VLOOKUP(E1618,Parameter!$I$35:$J$52,2,0),IFERROR(VLOOKUP(D1618,Parameter!$A$35:$C$64,2,0),"Nein"))</f>
        <v>2+3</v>
      </c>
      <c r="CA1618" s="52" t="n">
        <f aca="false">IF(BW1618=0,0,IF(N(S1618)&gt;0,S1618,IFERROR(VLOOKUP(D1618,Parameter!$A$35:$C$64,3,0)+0,0)))</f>
        <v>0</v>
      </c>
      <c r="CB1618" s="48" t="n">
        <f aca="false">IF(AA1618&lt;&gt;"",AA1618,Z1618)</f>
        <v>3</v>
      </c>
      <c r="CC1618" s="48" t="str">
        <f aca="false">IF(OR(CB1618=1,CB1618=2,CB1618=3),IF(Parameter!$E$27="Ja","LIFT",IF(CB1618=1,"L1","L23")),IF(CB1618="Aussen","Aussen","-"))</f>
        <v>LIFT</v>
      </c>
      <c r="CD1618" s="59" t="n">
        <f aca="false">IF(N(AB1618)&gt;0,AB1618,0)</f>
        <v>0</v>
      </c>
      <c r="CE1618" s="53" t="n">
        <f aca="false">IF(ISNUMBER(AE1618),1,0)</f>
        <v>0</v>
      </c>
      <c r="CF1618" s="50" t="n">
        <f aca="false">N(AE1618)</f>
        <v>0</v>
      </c>
      <c r="CG1618" s="50" t="n">
        <f aca="false">N(M1618)+N(N1618)</f>
        <v>1</v>
      </c>
      <c r="CH1618" s="50" t="n">
        <f aca="false">ROUNDUP(H1618/BV1618,0)</f>
        <v>1</v>
      </c>
      <c r="CI1618" s="50" t="n">
        <f aca="false">ROUNDUP(CF1618/BV1618,0)</f>
        <v>0</v>
      </c>
      <c r="CJ1618" s="53" t="n">
        <f aca="false">IF(BW1618=1,0,IFERROR(VLOOKUP(BU1618,'Gebinde-Kategorie'!$A$5:$N$45,5,0)+0,0))</f>
        <v>11</v>
      </c>
      <c r="CK1618" s="53" t="n">
        <f aca="false">IFERROR(IF(OR(CB1618=1,CB1618=2,CB1618=3),N(INDEX(Parameter!$I$5:$I$7,CB1618)),0),0)</f>
        <v>0</v>
      </c>
      <c r="CL1618" s="52" t="n">
        <f aca="false">IF(AND(Parameter!$B$21="Ja",ISNUMBER(W1618),N(X1618)&gt;0),IFERROR(N(INDEX(Parameter!$L$5:$L$7,W1618))*INDEX(Parameter!$E$5:$E$7,W1618)*X1618/SUMIFS($X$7:$X$1843,$W$7:$W$1843,W1618),0),0)</f>
        <v>0</v>
      </c>
    </row>
    <row r="1619" customFormat="false" ht="15" hidden="false" customHeight="false" outlineLevel="0" collapsed="false">
      <c r="A1619" s="48" t="s">
        <v>2824</v>
      </c>
      <c r="B1619" s="48" t="s">
        <v>2820</v>
      </c>
      <c r="C1619" s="48" t="s">
        <v>168</v>
      </c>
      <c r="D1619" s="48" t="s">
        <v>188</v>
      </c>
      <c r="E1619" s="48"/>
      <c r="F1619" s="48"/>
      <c r="G1619" s="49" t="n">
        <v>15</v>
      </c>
      <c r="H1619" s="50" t="n">
        <f aca="false">MAX(0,IF(AND(Parameter!$B$21="Ja",ISNUMBER(Y1619)),Y1619,IF(Parameter!$B$20="Jahresanfang 2025 + Export",BO1619+BN1619,BN1619)))</f>
        <v>231</v>
      </c>
      <c r="I1619" s="50" t="n">
        <f aca="false">H1619*G1619</f>
        <v>3465</v>
      </c>
      <c r="J1619" s="50" t="n">
        <f aca="false">BQ1619*Parameter!$B$18</f>
        <v>0</v>
      </c>
      <c r="K1619" s="51"/>
      <c r="L1619" s="52"/>
      <c r="M1619" s="50" t="n">
        <v>0</v>
      </c>
      <c r="N1619" s="50" t="n">
        <v>1</v>
      </c>
      <c r="O1619" s="53" t="n">
        <v>0</v>
      </c>
      <c r="P1619" s="48" t="s">
        <v>172</v>
      </c>
      <c r="Q1619" s="50"/>
      <c r="R1619" s="53" t="n">
        <f aca="false">IF(BW1619=1,0,IFERROR(VLOOKUP(BU1619,'Gebinde-Kategorie'!$A$5:$N$45,13,0)+0,0))</f>
        <v>26</v>
      </c>
      <c r="S1619" s="54"/>
      <c r="T1619" s="55" t="s">
        <v>279</v>
      </c>
      <c r="U1619" s="55"/>
      <c r="V1619" s="55"/>
      <c r="W1619" s="48"/>
      <c r="X1619" s="50"/>
      <c r="Y1619" s="50"/>
      <c r="Z1619" s="48" t="n">
        <f aca="false">IF(A1619="","",IF(AND(Parameter!$B$21="Ja",ISNUMBER(W1619)),W1619,IF(BZ1619="2+3",IF(ISNUMBER(SEARCH("grosser Artikel",BR1619)),2,IFERROR(VLOOKUP(BU1619,Parameter!$F$35:$G$64,2,0),2)),IF(OR(BZ1619="Nein",BZ1619=""),"-",BZ1619))))</f>
        <v>3</v>
      </c>
      <c r="AA1619" s="55"/>
      <c r="AB1619" s="56"/>
      <c r="AC1619" s="50" t="n">
        <f aca="false">AT1619</f>
        <v>231</v>
      </c>
      <c r="AD1619" s="50" t="n">
        <f aca="false">MAX(AT1619,H1619)</f>
        <v>231</v>
      </c>
      <c r="AE1619" s="57"/>
      <c r="AF1619" s="50" t="n">
        <f aca="false">IF(LEFT(Cockpit!$C$5,1)="A",H1619,IF(CE1619=1,CF1619,IF(LEFT(Cockpit!$C$5,1)="B",AK1619,MAX(AK1619,H1619))))</f>
        <v>231</v>
      </c>
      <c r="AG1619" s="50" t="n">
        <f aca="false">IF(BW1619=1,0,ROUNDUP(AF1619/BV1619,0))</f>
        <v>1</v>
      </c>
      <c r="AH1619" s="52" t="n">
        <f aca="false">IF(CL1619&gt;0,CL1619*MAX(1,AF1619/X1619),IF(BW1619=1,IF(AF1619&lt;=0,0,CA1619*MAX(1,IF(H1619&gt;0,AF1619/H1619,1))),IF(R1619&gt;0,AG1619/R1619,0))/MAX(0.1,N(Parameter!$M$21)))</f>
        <v>0.0384615384615385</v>
      </c>
      <c r="AI1619" s="50" t="n">
        <f aca="false">AH1619*BY1619</f>
        <v>5.96153846153846</v>
      </c>
      <c r="AJ1619" s="50" t="n">
        <f aca="false">AF1619*G1619</f>
        <v>3465</v>
      </c>
      <c r="AK1619" s="50" t="n">
        <f aca="false">ROUNDUP(MAX(J1619/IF(CD1619&gt;0,CD1619,MAX(0.1,N(Cockpit!$C$6))),CG1619)/BV1619,0)*BV1619</f>
        <v>231</v>
      </c>
      <c r="AL1619" s="51" t="n">
        <f aca="false">IF(AI1619&gt;0,J1619/AI1619,-1)</f>
        <v>0</v>
      </c>
      <c r="AM1619" s="51" t="n">
        <f aca="false">IF(AND(OR(CC1619="L1",CC1619="L23",CC1619="LIFT"),AI1619&gt;0),SUMIFS($AI$7:$AI$1843,$CC$7:$CC$1843,CC1619,$AL$7:$AL$1843,"&gt;"&amp;AL1619)+SUMIFS($AI$7:$AI$1843,$CC$7:$CC$1843,CC1619,$AL$7:$AL$1843,AL1619,$BT$7:$BT$1843,"&lt;="&amp;BT1619),"")</f>
        <v>30836.3867029863</v>
      </c>
      <c r="AN1619" s="58" t="n">
        <f aca="false">IF(AM1619="",0,MAX(0,MIN(1,(IF(CC1619="L1",Parameter!$H$5,IF(CC1619="L23",Parameter!$H$6+Parameter!$H$7,Parameter!$H$5+Parameter!$H$6+Parameter!$H$7))-(AM1619-AI1619))/AI1619)))</f>
        <v>1</v>
      </c>
      <c r="AO1619" s="50" t="n">
        <f aca="false">IF(LEFT(Cockpit!$I$5,1)="A",H1619,IF(CE1619=1,CF1619,IF(LEFT(Cockpit!$I$5,1)="B",AT1619,MAX(AT1619,H1619))))</f>
        <v>231</v>
      </c>
      <c r="AP1619" s="50" t="n">
        <f aca="false">IF(BW1619=1,0,ROUNDUP(AO1619/BV1619,0))</f>
        <v>1</v>
      </c>
      <c r="AQ1619" s="52" t="n">
        <f aca="false">IF(CL1619&gt;0,CL1619*MAX(1,AO1619/X1619),IF(BW1619=1,IF(AO1619&lt;=0,0,CA1619*MAX(1,IF(H1619&gt;0,AO1619/H1619,1))),IF(R1619&gt;0,AP1619/R1619,0))/MAX(0.1,N(Parameter!$M$21)))</f>
        <v>0.0384615384615385</v>
      </c>
      <c r="AR1619" s="50" t="n">
        <f aca="false">AQ1619*BY1619</f>
        <v>5.96153846153846</v>
      </c>
      <c r="AS1619" s="50" t="n">
        <f aca="false">AO1619*G1619</f>
        <v>3465</v>
      </c>
      <c r="AT1619" s="50" t="n">
        <f aca="false">ROUNDUP(MAX(J1619/IF(CD1619&gt;0,CD1619,MAX(0.1,N(Cockpit!$I$6))),CG1619)/BV1619,0)*BV1619</f>
        <v>231</v>
      </c>
      <c r="AU1619" s="51" t="n">
        <f aca="false">IF(AR1619&gt;0,J1619/AR1619,-1)</f>
        <v>0</v>
      </c>
      <c r="AV1619" s="51" t="n">
        <f aca="false">IF(AND(OR(CC1619="L1",CC1619="L23",CC1619="LIFT"),AR1619&gt;0),SUMIFS($AR$7:$AR$1843,$CC$7:$CC$1843,CC1619,$AU$7:$AU$1843,"&gt;"&amp;AU1619)+SUMIFS($AR$7:$AR$1843,$CC$7:$CC$1843,CC1619,$AU$7:$AU$1843,AU1619,$BT$7:$BT$1843,"&lt;="&amp;BT1619),"")</f>
        <v>43198.289015128</v>
      </c>
      <c r="AW1619" s="58" t="n">
        <f aca="false">IF(AV1619="",0,MAX(0,MIN(1,(IF(CC1619="L1",Parameter!$H$5,IF(CC1619="L23",Parameter!$H$6+Parameter!$H$7,Parameter!$H$5+Parameter!$H$6+Parameter!$H$7))-(AV1619-AR1619))/AR1619)))</f>
        <v>0</v>
      </c>
      <c r="AX1619" s="50" t="n">
        <f aca="false">IF(LEFT(Cockpit!$O$5,1)="A",H1619,IF(CE1619=1,CF1619,IF(LEFT(Cockpit!$O$5,1)="B",BC1619,MAX(BC1619,H1619))))</f>
        <v>231</v>
      </c>
      <c r="AY1619" s="50" t="n">
        <f aca="false">IF(BW1619=1,0,ROUNDUP(AX1619/BV1619,0))</f>
        <v>1</v>
      </c>
      <c r="AZ1619" s="52" t="n">
        <f aca="false">IF(CL1619&gt;0,CL1619*MAX(1,AX1619/X1619),IF(BW1619=1,IF(AX1619&lt;=0,0,CA1619*MAX(1,IF(H1619&gt;0,AX1619/H1619,1))),IF(R1619&gt;0,AY1619/R1619,0))/MAX(0.1,N(Parameter!$M$21)))</f>
        <v>0.0384615384615385</v>
      </c>
      <c r="BA1619" s="50" t="n">
        <f aca="false">AZ1619*BY1619</f>
        <v>5.96153846153846</v>
      </c>
      <c r="BB1619" s="50" t="n">
        <f aca="false">AX1619*G1619</f>
        <v>3465</v>
      </c>
      <c r="BC1619" s="50" t="n">
        <f aca="false">ROUNDUP(MAX(J1619/IF(CD1619&gt;0,CD1619,MAX(0.1,N(Cockpit!$O$6))),CG1619)/BV1619,0)*BV1619</f>
        <v>231</v>
      </c>
      <c r="BD1619" s="51" t="n">
        <f aca="false">IF(BA1619&gt;0,J1619/BA1619,-1)</f>
        <v>0</v>
      </c>
      <c r="BE1619" s="51" t="n">
        <f aca="false">IF(AND(OR(CC1619="L1",CC1619="L23",CC1619="LIFT"),BA1619&gt;0),SUMIFS($BA$7:$BA$1843,$CC$7:$CC$1843,CC1619,$BD$7:$BD$1843,"&gt;"&amp;BD1619)+SUMIFS($BA$7:$BA$1843,$CC$7:$CC$1843,CC1619,$BD$7:$BD$1843,BD1619,$BT$7:$BT$1843,"&lt;="&amp;BT1619),"")</f>
        <v>39873.3010569939</v>
      </c>
      <c r="BF1619" s="58" t="n">
        <f aca="false">IF(BE1619="",0,MAX(0,MIN(1,(IF(CC1619="L1",Parameter!$H$5,IF(CC1619="L23",Parameter!$H$6+Parameter!$H$7,Parameter!$H$5+Parameter!$H$6+Parameter!$H$7))-(BE1619-BA1619))/BA1619)))</f>
        <v>0</v>
      </c>
      <c r="BG1619" s="48" t="str">
        <f aca="false">IF(AI1619&lt;=0,"",IF(CC1619="Aussen","Aussenlager",IF(CC1619="-","Nicht im Lift",IF(AN1619&gt;=1,"Lift",IF(AN1619&lt;=0,"Aussenlager","teilweise")))))</f>
        <v>Lift</v>
      </c>
      <c r="BH1619" s="48" t="str">
        <f aca="false">IF(AR1619&lt;=0,"",IF(CC1619="Aussen","Aussenlager",IF(CC1619="-","Nicht im Lift",IF(AW1619&gt;=1,"Lift",IF(AW1619&lt;=0,"Aussenlager","teilweise")))))</f>
        <v>Aussenlager</v>
      </c>
      <c r="BI1619" s="48" t="str">
        <f aca="false">IF(BA1619&lt;=0,"",IF(CC1619="Aussen","Aussenlager",IF(CC1619="-","Nicht im Lift",IF(BF1619&gt;=1,"Lift",IF(BF1619&lt;=0,"Aussenlager","teilweise")))))</f>
        <v>Aussenlager</v>
      </c>
      <c r="BJ1619" s="48" t="str">
        <f aca="false">IF(A1619="","",IF(BS1619=1,"Neu; ","")&amp;IF(AND(BS1619=0,BN1619&lt;0),"negativer Bestand (Export "&amp;BN1619&amp;"); ","")&amp;IF(J1619&lt;=0,"Kein Verbrauch; ","")&amp;IF(CL1619&gt;0,"Lift "&amp;W1619&amp;" lt. Liftbericht (Fach "&amp;X1619&amp;" Stk); ",IF(BX1619=1,"Gebinde geschätzt ("&amp;T1619&amp;"); ",IF(BW1619=1,"Lose – Tablare geschätzt; ","")))&amp;IF(H1619&gt;AT1619,"Überbestand "&amp;ROUND(H1619-AT1619,0)&amp;" Stk / CHF "&amp;ROUND((H1619-AT1619)*G1619,0)&amp;"; ","")&amp;IF(AND(CE1619=1,CF1619&lt;CG1619),"MAX &lt; MB+LG; ","")&amp;IF(AND(CK1619&gt;0,CJ1619*10&gt;CK1619),"zu hoch für Tablar; ","")&amp;IF(AND(BS1619=0,OR(CE1619=1,AA1619&lt;&gt;"",U1619&lt;&gt;"",V1619&lt;&gt;"",AB1619&lt;&gt;"")),"manuell übersteuert; ","")&amp;IF(AND(BW1619=0,R1619=0),"Gebinde unbekannt / Stellmass fehlt; ","")&amp;IF(AND(BW1619=0,N(V1619)&lt;=0,N(Q1619)&lt;=0),"Menge pro Gebinde fehlt (Ist = 1 Gebinde); ","")&amp;BR1619)</f>
        <v>Kein Verbrauch; Gebinde geschätzt (Klein); Menge pro Gebinde fehlt (Ist = 1 Gebinde); nur im Artikelstamm (Bestand 23.06.2026)</v>
      </c>
      <c r="BK1619" s="48"/>
      <c r="BL1619" s="48"/>
      <c r="BM1619" s="55"/>
      <c r="BN1619" s="50" t="n">
        <v>231</v>
      </c>
      <c r="BO1619" s="50" t="n">
        <v>0</v>
      </c>
      <c r="BP1619" s="49" t="n">
        <v>0</v>
      </c>
      <c r="BQ1619" s="50" t="n">
        <v>0</v>
      </c>
      <c r="BR1619" s="48" t="s">
        <v>2579</v>
      </c>
      <c r="BS1619" s="53" t="n">
        <v>0</v>
      </c>
      <c r="BT1619" s="53" t="n">
        <v>1619</v>
      </c>
      <c r="BU1619" s="48" t="str">
        <f aca="false">IF(U1619&lt;&gt;"",UPPER(TRIM(U1619)),IF(BX1619=1,UPPER(VLOOKUP(T1619,Parameter!$I$27:$K$29,2,0)),IF(P1619="","LOSE",P1619)))</f>
        <v>S51</v>
      </c>
      <c r="BV1619" s="50" t="n">
        <f aca="false">IF(BU1619="LOSE",1,IF(N(V1619)&gt;0,V1619,IF(BX1619=1,MAX(1,N(VLOOKUP(T1619,Parameter!$I$27:$K$29,3,0)),H1619,N(N1619)),IF(N(Q1619)&gt;0,Q1619,MAX(1,H1619)))))</f>
        <v>231</v>
      </c>
      <c r="BW1619" s="53" t="n">
        <f aca="false">IF(BU1619="LOSE",1,0)</f>
        <v>0</v>
      </c>
      <c r="BX1619" s="53" t="n">
        <f aca="false">IF(AND(U1619="",OR(P1619="",P1619="LOSE"),T1619&lt;&gt;"",N(S1619)&lt;=0,ISNUMBER(MATCH(T1619,Parameter!$I$27:$I$29,0))),1,0)</f>
        <v>1</v>
      </c>
      <c r="BY1619" s="53" t="n">
        <f aca="false">IF(CL1619&gt;0,INDEX(Parameter!$H$5:$H$7,W1619)/INDEX(Parameter!$E$5:$E$7,W1619),IF(AND(BW1619=0,N(IFERROR(VLOOKUP(BU1619,'Gebinde-Kategorie'!$A$5:$N$45,14,0),0))&gt;0),VLOOKUP(BU1619,'Gebinde-Kategorie'!$A$5:$N$45,14,0)*10+Parameter!$M$23,Parameter!$M$24))</f>
        <v>155</v>
      </c>
      <c r="BZ1619" s="48" t="str">
        <f aca="false">IF(AND(Parameter!$B$19="Ja",E1619&lt;&gt;"",ISNUMBER(MATCH(E1619,Parameter!$I$35:$I$52,0))),VLOOKUP(E1619,Parameter!$I$35:$J$52,2,0),IFERROR(VLOOKUP(D1619,Parameter!$A$35:$C$64,2,0),"Nein"))</f>
        <v>2+3</v>
      </c>
      <c r="CA1619" s="52" t="n">
        <f aca="false">IF(BW1619=0,0,IF(N(S1619)&gt;0,S1619,IFERROR(VLOOKUP(D1619,Parameter!$A$35:$C$64,3,0)+0,0)))</f>
        <v>0</v>
      </c>
      <c r="CB1619" s="48" t="n">
        <f aca="false">IF(AA1619&lt;&gt;"",AA1619,Z1619)</f>
        <v>3</v>
      </c>
      <c r="CC1619" s="48" t="str">
        <f aca="false">IF(OR(CB1619=1,CB1619=2,CB1619=3),IF(Parameter!$E$27="Ja","LIFT",IF(CB1619=1,"L1","L23")),IF(CB1619="Aussen","Aussen","-"))</f>
        <v>LIFT</v>
      </c>
      <c r="CD1619" s="59" t="n">
        <f aca="false">IF(N(AB1619)&gt;0,AB1619,0)</f>
        <v>0</v>
      </c>
      <c r="CE1619" s="53" t="n">
        <f aca="false">IF(ISNUMBER(AE1619),1,0)</f>
        <v>0</v>
      </c>
      <c r="CF1619" s="50" t="n">
        <f aca="false">N(AE1619)</f>
        <v>0</v>
      </c>
      <c r="CG1619" s="50" t="n">
        <f aca="false">N(M1619)+N(N1619)</f>
        <v>1</v>
      </c>
      <c r="CH1619" s="50" t="n">
        <f aca="false">ROUNDUP(H1619/BV1619,0)</f>
        <v>1</v>
      </c>
      <c r="CI1619" s="50" t="n">
        <f aca="false">ROUNDUP(CF1619/BV1619,0)</f>
        <v>0</v>
      </c>
      <c r="CJ1619" s="53" t="n">
        <f aca="false">IF(BW1619=1,0,IFERROR(VLOOKUP(BU1619,'Gebinde-Kategorie'!$A$5:$N$45,5,0)+0,0))</f>
        <v>11</v>
      </c>
      <c r="CK1619" s="53" t="n">
        <f aca="false">IFERROR(IF(OR(CB1619=1,CB1619=2,CB1619=3),N(INDEX(Parameter!$I$5:$I$7,CB1619)),0),0)</f>
        <v>0</v>
      </c>
      <c r="CL1619" s="52" t="n">
        <f aca="false">IF(AND(Parameter!$B$21="Ja",ISNUMBER(W1619),N(X1619)&gt;0),IFERROR(N(INDEX(Parameter!$L$5:$L$7,W1619))*INDEX(Parameter!$E$5:$E$7,W1619)*X1619/SUMIFS($X$7:$X$1843,$W$7:$W$1843,W1619),0),0)</f>
        <v>0</v>
      </c>
    </row>
    <row r="1620" customFormat="false" ht="15" hidden="false" customHeight="false" outlineLevel="0" collapsed="false">
      <c r="A1620" s="48" t="s">
        <v>2825</v>
      </c>
      <c r="B1620" s="48" t="s">
        <v>1270</v>
      </c>
      <c r="C1620" s="48" t="s">
        <v>168</v>
      </c>
      <c r="D1620" s="48" t="s">
        <v>188</v>
      </c>
      <c r="E1620" s="48"/>
      <c r="F1620" s="48"/>
      <c r="G1620" s="49" t="n">
        <v>0.07</v>
      </c>
      <c r="H1620" s="50" t="n">
        <f aca="false">MAX(0,IF(AND(Parameter!$B$21="Ja",ISNUMBER(Y1620)),Y1620,IF(Parameter!$B$20="Jahresanfang 2025 + Export",BO1620+BN1620,BN1620)))</f>
        <v>452</v>
      </c>
      <c r="I1620" s="50" t="n">
        <f aca="false">H1620*G1620</f>
        <v>31.64</v>
      </c>
      <c r="J1620" s="50" t="n">
        <f aca="false">BQ1620*Parameter!$B$18</f>
        <v>0</v>
      </c>
      <c r="K1620" s="51"/>
      <c r="L1620" s="52"/>
      <c r="M1620" s="50" t="n">
        <v>0</v>
      </c>
      <c r="N1620" s="50" t="n">
        <v>200</v>
      </c>
      <c r="O1620" s="53" t="n">
        <v>0</v>
      </c>
      <c r="P1620" s="48" t="s">
        <v>172</v>
      </c>
      <c r="Q1620" s="50"/>
      <c r="R1620" s="53" t="n">
        <f aca="false">IF(BW1620=1,0,IFERROR(VLOOKUP(BU1620,'Gebinde-Kategorie'!$A$5:$N$45,13,0)+0,0))</f>
        <v>26</v>
      </c>
      <c r="S1620" s="54"/>
      <c r="T1620" s="55" t="s">
        <v>279</v>
      </c>
      <c r="U1620" s="55"/>
      <c r="V1620" s="55"/>
      <c r="W1620" s="48"/>
      <c r="X1620" s="50"/>
      <c r="Y1620" s="50"/>
      <c r="Z1620" s="48" t="n">
        <f aca="false">IF(A1620="","",IF(AND(Parameter!$B$21="Ja",ISNUMBER(W1620)),W1620,IF(BZ1620="2+3",IF(ISNUMBER(SEARCH("grosser Artikel",BR1620)),2,IFERROR(VLOOKUP(BU1620,Parameter!$F$35:$G$64,2,0),2)),IF(OR(BZ1620="Nein",BZ1620=""),"-",BZ1620))))</f>
        <v>3</v>
      </c>
      <c r="AA1620" s="55"/>
      <c r="AB1620" s="56"/>
      <c r="AC1620" s="50" t="n">
        <f aca="false">AT1620</f>
        <v>452</v>
      </c>
      <c r="AD1620" s="50" t="n">
        <f aca="false">MAX(AT1620,H1620)</f>
        <v>452</v>
      </c>
      <c r="AE1620" s="57"/>
      <c r="AF1620" s="50" t="n">
        <f aca="false">IF(LEFT(Cockpit!$C$5,1)="A",H1620,IF(CE1620=1,CF1620,IF(LEFT(Cockpit!$C$5,1)="B",AK1620,MAX(AK1620,H1620))))</f>
        <v>452</v>
      </c>
      <c r="AG1620" s="50" t="n">
        <f aca="false">IF(BW1620=1,0,ROUNDUP(AF1620/BV1620,0))</f>
        <v>1</v>
      </c>
      <c r="AH1620" s="52" t="n">
        <f aca="false">IF(CL1620&gt;0,CL1620*MAX(1,AF1620/X1620),IF(BW1620=1,IF(AF1620&lt;=0,0,CA1620*MAX(1,IF(H1620&gt;0,AF1620/H1620,1))),IF(R1620&gt;0,AG1620/R1620,0))/MAX(0.1,N(Parameter!$M$21)))</f>
        <v>0.0384615384615385</v>
      </c>
      <c r="AI1620" s="50" t="n">
        <f aca="false">AH1620*BY1620</f>
        <v>5.96153846153846</v>
      </c>
      <c r="AJ1620" s="50" t="n">
        <f aca="false">AF1620*G1620</f>
        <v>31.64</v>
      </c>
      <c r="AK1620" s="50" t="n">
        <f aca="false">ROUNDUP(MAX(J1620/IF(CD1620&gt;0,CD1620,MAX(0.1,N(Cockpit!$C$6))),CG1620)/BV1620,0)*BV1620</f>
        <v>452</v>
      </c>
      <c r="AL1620" s="51" t="n">
        <f aca="false">IF(AI1620&gt;0,J1620/AI1620,-1)</f>
        <v>0</v>
      </c>
      <c r="AM1620" s="51" t="n">
        <f aca="false">IF(AND(OR(CC1620="L1",CC1620="L23",CC1620="LIFT"),AI1620&gt;0),SUMIFS($AI$7:$AI$1843,$CC$7:$CC$1843,CC1620,$AL$7:$AL$1843,"&gt;"&amp;AL1620)+SUMIFS($AI$7:$AI$1843,$CC$7:$CC$1843,CC1620,$AL$7:$AL$1843,AL1620,$BT$7:$BT$1843,"&lt;="&amp;BT1620),"")</f>
        <v>30842.3482414478</v>
      </c>
      <c r="AN1620" s="58" t="n">
        <f aca="false">IF(AM1620="",0,MAX(0,MIN(1,(IF(CC1620="L1",Parameter!$H$5,IF(CC1620="L23",Parameter!$H$6+Parameter!$H$7,Parameter!$H$5+Parameter!$H$6+Parameter!$H$7))-(AM1620-AI1620))/AI1620)))</f>
        <v>1</v>
      </c>
      <c r="AO1620" s="50" t="n">
        <f aca="false">IF(LEFT(Cockpit!$I$5,1)="A",H1620,IF(CE1620=1,CF1620,IF(LEFT(Cockpit!$I$5,1)="B",AT1620,MAX(AT1620,H1620))))</f>
        <v>452</v>
      </c>
      <c r="AP1620" s="50" t="n">
        <f aca="false">IF(BW1620=1,0,ROUNDUP(AO1620/BV1620,0))</f>
        <v>1</v>
      </c>
      <c r="AQ1620" s="52" t="n">
        <f aca="false">IF(CL1620&gt;0,CL1620*MAX(1,AO1620/X1620),IF(BW1620=1,IF(AO1620&lt;=0,0,CA1620*MAX(1,IF(H1620&gt;0,AO1620/H1620,1))),IF(R1620&gt;0,AP1620/R1620,0))/MAX(0.1,N(Parameter!$M$21)))</f>
        <v>0.0384615384615385</v>
      </c>
      <c r="AR1620" s="50" t="n">
        <f aca="false">AQ1620*BY1620</f>
        <v>5.96153846153846</v>
      </c>
      <c r="AS1620" s="50" t="n">
        <f aca="false">AO1620*G1620</f>
        <v>31.64</v>
      </c>
      <c r="AT1620" s="50" t="n">
        <f aca="false">ROUNDUP(MAX(J1620/IF(CD1620&gt;0,CD1620,MAX(0.1,N(Cockpit!$I$6))),CG1620)/BV1620,0)*BV1620</f>
        <v>452</v>
      </c>
      <c r="AU1620" s="51" t="n">
        <f aca="false">IF(AR1620&gt;0,J1620/AR1620,-1)</f>
        <v>0</v>
      </c>
      <c r="AV1620" s="51" t="n">
        <f aca="false">IF(AND(OR(CC1620="L1",CC1620="L23",CC1620="LIFT"),AR1620&gt;0),SUMIFS($AR$7:$AR$1843,$CC$7:$CC$1843,CC1620,$AU$7:$AU$1843,"&gt;"&amp;AU1620)+SUMIFS($AR$7:$AR$1843,$CC$7:$CC$1843,CC1620,$AU$7:$AU$1843,AU1620,$BT$7:$BT$1843,"&lt;="&amp;BT1620),"")</f>
        <v>43204.2505535895</v>
      </c>
      <c r="AW1620" s="58" t="n">
        <f aca="false">IF(AV1620="",0,MAX(0,MIN(1,(IF(CC1620="L1",Parameter!$H$5,IF(CC1620="L23",Parameter!$H$6+Parameter!$H$7,Parameter!$H$5+Parameter!$H$6+Parameter!$H$7))-(AV1620-AR1620))/AR1620)))</f>
        <v>0</v>
      </c>
      <c r="AX1620" s="50" t="n">
        <f aca="false">IF(LEFT(Cockpit!$O$5,1)="A",H1620,IF(CE1620=1,CF1620,IF(LEFT(Cockpit!$O$5,1)="B",BC1620,MAX(BC1620,H1620))))</f>
        <v>452</v>
      </c>
      <c r="AY1620" s="50" t="n">
        <f aca="false">IF(BW1620=1,0,ROUNDUP(AX1620/BV1620,0))</f>
        <v>1</v>
      </c>
      <c r="AZ1620" s="52" t="n">
        <f aca="false">IF(CL1620&gt;0,CL1620*MAX(1,AX1620/X1620),IF(BW1620=1,IF(AX1620&lt;=0,0,CA1620*MAX(1,IF(H1620&gt;0,AX1620/H1620,1))),IF(R1620&gt;0,AY1620/R1620,0))/MAX(0.1,N(Parameter!$M$21)))</f>
        <v>0.0384615384615385</v>
      </c>
      <c r="BA1620" s="50" t="n">
        <f aca="false">AZ1620*BY1620</f>
        <v>5.96153846153846</v>
      </c>
      <c r="BB1620" s="50" t="n">
        <f aca="false">AX1620*G1620</f>
        <v>31.64</v>
      </c>
      <c r="BC1620" s="50" t="n">
        <f aca="false">ROUNDUP(MAX(J1620/IF(CD1620&gt;0,CD1620,MAX(0.1,N(Cockpit!$O$6))),CG1620)/BV1620,0)*BV1620</f>
        <v>452</v>
      </c>
      <c r="BD1620" s="51" t="n">
        <f aca="false">IF(BA1620&gt;0,J1620/BA1620,-1)</f>
        <v>0</v>
      </c>
      <c r="BE1620" s="51" t="n">
        <f aca="false">IF(AND(OR(CC1620="L1",CC1620="L23",CC1620="LIFT"),BA1620&gt;0),SUMIFS($BA$7:$BA$1843,$CC$7:$CC$1843,CC1620,$BD$7:$BD$1843,"&gt;"&amp;BD1620)+SUMIFS($BA$7:$BA$1843,$CC$7:$CC$1843,CC1620,$BD$7:$BD$1843,BD1620,$BT$7:$BT$1843,"&lt;="&amp;BT1620),"")</f>
        <v>39879.2625954554</v>
      </c>
      <c r="BF1620" s="58" t="n">
        <f aca="false">IF(BE1620="",0,MAX(0,MIN(1,(IF(CC1620="L1",Parameter!$H$5,IF(CC1620="L23",Parameter!$H$6+Parameter!$H$7,Parameter!$H$5+Parameter!$H$6+Parameter!$H$7))-(BE1620-BA1620))/BA1620)))</f>
        <v>0</v>
      </c>
      <c r="BG1620" s="48" t="str">
        <f aca="false">IF(AI1620&lt;=0,"",IF(CC1620="Aussen","Aussenlager",IF(CC1620="-","Nicht im Lift",IF(AN1620&gt;=1,"Lift",IF(AN1620&lt;=0,"Aussenlager","teilweise")))))</f>
        <v>Lift</v>
      </c>
      <c r="BH1620" s="48" t="str">
        <f aca="false">IF(AR1620&lt;=0,"",IF(CC1620="Aussen","Aussenlager",IF(CC1620="-","Nicht im Lift",IF(AW1620&gt;=1,"Lift",IF(AW1620&lt;=0,"Aussenlager","teilweise")))))</f>
        <v>Aussenlager</v>
      </c>
      <c r="BI1620" s="48" t="str">
        <f aca="false">IF(BA1620&lt;=0,"",IF(CC1620="Aussen","Aussenlager",IF(CC1620="-","Nicht im Lift",IF(BF1620&gt;=1,"Lift",IF(BF1620&lt;=0,"Aussenlager","teilweise")))))</f>
        <v>Aussenlager</v>
      </c>
      <c r="BJ1620" s="48" t="str">
        <f aca="false">IF(A1620="","",IF(BS1620=1,"Neu; ","")&amp;IF(AND(BS1620=0,BN1620&lt;0),"negativer Bestand (Export "&amp;BN1620&amp;"); ","")&amp;IF(J1620&lt;=0,"Kein Verbrauch; ","")&amp;IF(CL1620&gt;0,"Lift "&amp;W1620&amp;" lt. Liftbericht (Fach "&amp;X1620&amp;" Stk); ",IF(BX1620=1,"Gebinde geschätzt ("&amp;T1620&amp;"); ",IF(BW1620=1,"Lose – Tablare geschätzt; ","")))&amp;IF(H1620&gt;AT1620,"Überbestand "&amp;ROUND(H1620-AT1620,0)&amp;" Stk / CHF "&amp;ROUND((H1620-AT1620)*G1620,0)&amp;"; ","")&amp;IF(AND(CE1620=1,CF1620&lt;CG1620),"MAX &lt; MB+LG; ","")&amp;IF(AND(CK1620&gt;0,CJ1620*10&gt;CK1620),"zu hoch für Tablar; ","")&amp;IF(AND(BS1620=0,OR(CE1620=1,AA1620&lt;&gt;"",U1620&lt;&gt;"",V1620&lt;&gt;"",AB1620&lt;&gt;"")),"manuell übersteuert; ","")&amp;IF(AND(BW1620=0,R1620=0),"Gebinde unbekannt / Stellmass fehlt; ","")&amp;IF(AND(BW1620=0,N(V1620)&lt;=0,N(Q1620)&lt;=0),"Menge pro Gebinde fehlt (Ist = 1 Gebinde); ","")&amp;BR1620)</f>
        <v>Kein Verbrauch; Gebinde geschätzt (Klein); Menge pro Gebinde fehlt (Ist = 1 Gebinde); nur im Artikelstamm (Bestand 23.06.2026)</v>
      </c>
      <c r="BK1620" s="48"/>
      <c r="BL1620" s="48"/>
      <c r="BM1620" s="55"/>
      <c r="BN1620" s="50" t="n">
        <v>452</v>
      </c>
      <c r="BO1620" s="50" t="n">
        <v>0</v>
      </c>
      <c r="BP1620" s="49" t="n">
        <v>0</v>
      </c>
      <c r="BQ1620" s="50" t="n">
        <v>0</v>
      </c>
      <c r="BR1620" s="48" t="s">
        <v>2579</v>
      </c>
      <c r="BS1620" s="53" t="n">
        <v>0</v>
      </c>
      <c r="BT1620" s="53" t="n">
        <v>1620</v>
      </c>
      <c r="BU1620" s="48" t="str">
        <f aca="false">IF(U1620&lt;&gt;"",UPPER(TRIM(U1620)),IF(BX1620=1,UPPER(VLOOKUP(T1620,Parameter!$I$27:$K$29,2,0)),IF(P1620="","LOSE",P1620)))</f>
        <v>S51</v>
      </c>
      <c r="BV1620" s="50" t="n">
        <f aca="false">IF(BU1620="LOSE",1,IF(N(V1620)&gt;0,V1620,IF(BX1620=1,MAX(1,N(VLOOKUP(T1620,Parameter!$I$27:$K$29,3,0)),H1620,N(N1620)),IF(N(Q1620)&gt;0,Q1620,MAX(1,H1620)))))</f>
        <v>452</v>
      </c>
      <c r="BW1620" s="53" t="n">
        <f aca="false">IF(BU1620="LOSE",1,0)</f>
        <v>0</v>
      </c>
      <c r="BX1620" s="53" t="n">
        <f aca="false">IF(AND(U1620="",OR(P1620="",P1620="LOSE"),T1620&lt;&gt;"",N(S1620)&lt;=0,ISNUMBER(MATCH(T1620,Parameter!$I$27:$I$29,0))),1,0)</f>
        <v>1</v>
      </c>
      <c r="BY1620" s="53" t="n">
        <f aca="false">IF(CL1620&gt;0,INDEX(Parameter!$H$5:$H$7,W1620)/INDEX(Parameter!$E$5:$E$7,W1620),IF(AND(BW1620=0,N(IFERROR(VLOOKUP(BU1620,'Gebinde-Kategorie'!$A$5:$N$45,14,0),0))&gt;0),VLOOKUP(BU1620,'Gebinde-Kategorie'!$A$5:$N$45,14,0)*10+Parameter!$M$23,Parameter!$M$24))</f>
        <v>155</v>
      </c>
      <c r="BZ1620" s="48" t="str">
        <f aca="false">IF(AND(Parameter!$B$19="Ja",E1620&lt;&gt;"",ISNUMBER(MATCH(E1620,Parameter!$I$35:$I$52,0))),VLOOKUP(E1620,Parameter!$I$35:$J$52,2,0),IFERROR(VLOOKUP(D1620,Parameter!$A$35:$C$64,2,0),"Nein"))</f>
        <v>2+3</v>
      </c>
      <c r="CA1620" s="52" t="n">
        <f aca="false">IF(BW1620=0,0,IF(N(S1620)&gt;0,S1620,IFERROR(VLOOKUP(D1620,Parameter!$A$35:$C$64,3,0)+0,0)))</f>
        <v>0</v>
      </c>
      <c r="CB1620" s="48" t="n">
        <f aca="false">IF(AA1620&lt;&gt;"",AA1620,Z1620)</f>
        <v>3</v>
      </c>
      <c r="CC1620" s="48" t="str">
        <f aca="false">IF(OR(CB1620=1,CB1620=2,CB1620=3),IF(Parameter!$E$27="Ja","LIFT",IF(CB1620=1,"L1","L23")),IF(CB1620="Aussen","Aussen","-"))</f>
        <v>LIFT</v>
      </c>
      <c r="CD1620" s="59" t="n">
        <f aca="false">IF(N(AB1620)&gt;0,AB1620,0)</f>
        <v>0</v>
      </c>
      <c r="CE1620" s="53" t="n">
        <f aca="false">IF(ISNUMBER(AE1620),1,0)</f>
        <v>0</v>
      </c>
      <c r="CF1620" s="50" t="n">
        <f aca="false">N(AE1620)</f>
        <v>0</v>
      </c>
      <c r="CG1620" s="50" t="n">
        <f aca="false">N(M1620)+N(N1620)</f>
        <v>200</v>
      </c>
      <c r="CH1620" s="50" t="n">
        <f aca="false">ROUNDUP(H1620/BV1620,0)</f>
        <v>1</v>
      </c>
      <c r="CI1620" s="50" t="n">
        <f aca="false">ROUNDUP(CF1620/BV1620,0)</f>
        <v>0</v>
      </c>
      <c r="CJ1620" s="53" t="n">
        <f aca="false">IF(BW1620=1,0,IFERROR(VLOOKUP(BU1620,'Gebinde-Kategorie'!$A$5:$N$45,5,0)+0,0))</f>
        <v>11</v>
      </c>
      <c r="CK1620" s="53" t="n">
        <f aca="false">IFERROR(IF(OR(CB1620=1,CB1620=2,CB1620=3),N(INDEX(Parameter!$I$5:$I$7,CB1620)),0),0)</f>
        <v>0</v>
      </c>
      <c r="CL1620" s="52" t="n">
        <f aca="false">IF(AND(Parameter!$B$21="Ja",ISNUMBER(W1620),N(X1620)&gt;0),IFERROR(N(INDEX(Parameter!$L$5:$L$7,W1620))*INDEX(Parameter!$E$5:$E$7,W1620)*X1620/SUMIFS($X$7:$X$1843,$W$7:$W$1843,W1620),0),0)</f>
        <v>0</v>
      </c>
    </row>
    <row r="1621" customFormat="false" ht="15" hidden="false" customHeight="false" outlineLevel="0" collapsed="false">
      <c r="A1621" s="48" t="s">
        <v>2826</v>
      </c>
      <c r="B1621" s="48" t="s">
        <v>2827</v>
      </c>
      <c r="C1621" s="48" t="s">
        <v>168</v>
      </c>
      <c r="D1621" s="48" t="s">
        <v>188</v>
      </c>
      <c r="E1621" s="48"/>
      <c r="F1621" s="48"/>
      <c r="G1621" s="49" t="n">
        <v>8.1</v>
      </c>
      <c r="H1621" s="50" t="n">
        <f aca="false">MAX(0,IF(AND(Parameter!$B$21="Ja",ISNUMBER(Y1621)),Y1621,IF(Parameter!$B$20="Jahresanfang 2025 + Export",BO1621+BN1621,BN1621)))</f>
        <v>15</v>
      </c>
      <c r="I1621" s="50" t="n">
        <f aca="false">H1621*G1621</f>
        <v>121.5</v>
      </c>
      <c r="J1621" s="50" t="n">
        <f aca="false">BQ1621*Parameter!$B$18</f>
        <v>0</v>
      </c>
      <c r="K1621" s="51"/>
      <c r="L1621" s="52"/>
      <c r="M1621" s="50" t="n">
        <v>0</v>
      </c>
      <c r="N1621" s="50" t="n">
        <v>1</v>
      </c>
      <c r="O1621" s="53" t="n">
        <v>0</v>
      </c>
      <c r="P1621" s="48" t="s">
        <v>172</v>
      </c>
      <c r="Q1621" s="50"/>
      <c r="R1621" s="53" t="n">
        <f aca="false">IF(BW1621=1,0,IFERROR(VLOOKUP(BU1621,'Gebinde-Kategorie'!$A$5:$N$45,13,0)+0,0))</f>
        <v>26</v>
      </c>
      <c r="S1621" s="54"/>
      <c r="T1621" s="55" t="s">
        <v>279</v>
      </c>
      <c r="U1621" s="55"/>
      <c r="V1621" s="55"/>
      <c r="W1621" s="48"/>
      <c r="X1621" s="50"/>
      <c r="Y1621" s="50"/>
      <c r="Z1621" s="48" t="n">
        <f aca="false">IF(A1621="","",IF(AND(Parameter!$B$21="Ja",ISNUMBER(W1621)),W1621,IF(BZ1621="2+3",IF(ISNUMBER(SEARCH("grosser Artikel",BR1621)),2,IFERROR(VLOOKUP(BU1621,Parameter!$F$35:$G$64,2,0),2)),IF(OR(BZ1621="Nein",BZ1621=""),"-",BZ1621))))</f>
        <v>3</v>
      </c>
      <c r="AA1621" s="55"/>
      <c r="AB1621" s="56"/>
      <c r="AC1621" s="50" t="n">
        <f aca="false">AT1621</f>
        <v>20</v>
      </c>
      <c r="AD1621" s="50" t="n">
        <f aca="false">MAX(AT1621,H1621)</f>
        <v>20</v>
      </c>
      <c r="AE1621" s="57"/>
      <c r="AF1621" s="50" t="n">
        <f aca="false">IF(LEFT(Cockpit!$C$5,1)="A",H1621,IF(CE1621=1,CF1621,IF(LEFT(Cockpit!$C$5,1)="B",AK1621,MAX(AK1621,H1621))))</f>
        <v>15</v>
      </c>
      <c r="AG1621" s="50" t="n">
        <f aca="false">IF(BW1621=1,0,ROUNDUP(AF1621/BV1621,0))</f>
        <v>1</v>
      </c>
      <c r="AH1621" s="52" t="n">
        <f aca="false">IF(CL1621&gt;0,CL1621*MAX(1,AF1621/X1621),IF(BW1621=1,IF(AF1621&lt;=0,0,CA1621*MAX(1,IF(H1621&gt;0,AF1621/H1621,1))),IF(R1621&gt;0,AG1621/R1621,0))/MAX(0.1,N(Parameter!$M$21)))</f>
        <v>0.0384615384615385</v>
      </c>
      <c r="AI1621" s="50" t="n">
        <f aca="false">AH1621*BY1621</f>
        <v>5.96153846153846</v>
      </c>
      <c r="AJ1621" s="50" t="n">
        <f aca="false">AF1621*G1621</f>
        <v>121.5</v>
      </c>
      <c r="AK1621" s="50" t="n">
        <f aca="false">ROUNDUP(MAX(J1621/IF(CD1621&gt;0,CD1621,MAX(0.1,N(Cockpit!$C$6))),CG1621)/BV1621,0)*BV1621</f>
        <v>20</v>
      </c>
      <c r="AL1621" s="51" t="n">
        <f aca="false">IF(AI1621&gt;0,J1621/AI1621,-1)</f>
        <v>0</v>
      </c>
      <c r="AM1621" s="51" t="n">
        <f aca="false">IF(AND(OR(CC1621="L1",CC1621="L23",CC1621="LIFT"),AI1621&gt;0),SUMIFS($AI$7:$AI$1843,$CC$7:$CC$1843,CC1621,$AL$7:$AL$1843,"&gt;"&amp;AL1621)+SUMIFS($AI$7:$AI$1843,$CC$7:$CC$1843,CC1621,$AL$7:$AL$1843,AL1621,$BT$7:$BT$1843,"&lt;="&amp;BT1621),"")</f>
        <v>30848.3097799094</v>
      </c>
      <c r="AN1621" s="58" t="n">
        <f aca="false">IF(AM1621="",0,MAX(0,MIN(1,(IF(CC1621="L1",Parameter!$H$5,IF(CC1621="L23",Parameter!$H$6+Parameter!$H$7,Parameter!$H$5+Parameter!$H$6+Parameter!$H$7))-(AM1621-AI1621))/AI1621)))</f>
        <v>1</v>
      </c>
      <c r="AO1621" s="50" t="n">
        <f aca="false">IF(LEFT(Cockpit!$I$5,1)="A",H1621,IF(CE1621=1,CF1621,IF(LEFT(Cockpit!$I$5,1)="B",AT1621,MAX(AT1621,H1621))))</f>
        <v>20</v>
      </c>
      <c r="AP1621" s="50" t="n">
        <f aca="false">IF(BW1621=1,0,ROUNDUP(AO1621/BV1621,0))</f>
        <v>1</v>
      </c>
      <c r="AQ1621" s="52" t="n">
        <f aca="false">IF(CL1621&gt;0,CL1621*MAX(1,AO1621/X1621),IF(BW1621=1,IF(AO1621&lt;=0,0,CA1621*MAX(1,IF(H1621&gt;0,AO1621/H1621,1))),IF(R1621&gt;0,AP1621/R1621,0))/MAX(0.1,N(Parameter!$M$21)))</f>
        <v>0.0384615384615385</v>
      </c>
      <c r="AR1621" s="50" t="n">
        <f aca="false">AQ1621*BY1621</f>
        <v>5.96153846153846</v>
      </c>
      <c r="AS1621" s="50" t="n">
        <f aca="false">AO1621*G1621</f>
        <v>162</v>
      </c>
      <c r="AT1621" s="50" t="n">
        <f aca="false">ROUNDUP(MAX(J1621/IF(CD1621&gt;0,CD1621,MAX(0.1,N(Cockpit!$I$6))),CG1621)/BV1621,0)*BV1621</f>
        <v>20</v>
      </c>
      <c r="AU1621" s="51" t="n">
        <f aca="false">IF(AR1621&gt;0,J1621/AR1621,-1)</f>
        <v>0</v>
      </c>
      <c r="AV1621" s="51" t="n">
        <f aca="false">IF(AND(OR(CC1621="L1",CC1621="L23",CC1621="LIFT"),AR1621&gt;0),SUMIFS($AR$7:$AR$1843,$CC$7:$CC$1843,CC1621,$AU$7:$AU$1843,"&gt;"&amp;AU1621)+SUMIFS($AR$7:$AR$1843,$CC$7:$CC$1843,CC1621,$AU$7:$AU$1843,AU1621,$BT$7:$BT$1843,"&lt;="&amp;BT1621),"")</f>
        <v>43210.2120920511</v>
      </c>
      <c r="AW1621" s="58" t="n">
        <f aca="false">IF(AV1621="",0,MAX(0,MIN(1,(IF(CC1621="L1",Parameter!$H$5,IF(CC1621="L23",Parameter!$H$6+Parameter!$H$7,Parameter!$H$5+Parameter!$H$6+Parameter!$H$7))-(AV1621-AR1621))/AR1621)))</f>
        <v>0</v>
      </c>
      <c r="AX1621" s="50" t="n">
        <f aca="false">IF(LEFT(Cockpit!$O$5,1)="A",H1621,IF(CE1621=1,CF1621,IF(LEFT(Cockpit!$O$5,1)="B",BC1621,MAX(BC1621,H1621))))</f>
        <v>20</v>
      </c>
      <c r="AY1621" s="50" t="n">
        <f aca="false">IF(BW1621=1,0,ROUNDUP(AX1621/BV1621,0))</f>
        <v>1</v>
      </c>
      <c r="AZ1621" s="52" t="n">
        <f aca="false">IF(CL1621&gt;0,CL1621*MAX(1,AX1621/X1621),IF(BW1621=1,IF(AX1621&lt;=0,0,CA1621*MAX(1,IF(H1621&gt;0,AX1621/H1621,1))),IF(R1621&gt;0,AY1621/R1621,0))/MAX(0.1,N(Parameter!$M$21)))</f>
        <v>0.0384615384615385</v>
      </c>
      <c r="BA1621" s="50" t="n">
        <f aca="false">AZ1621*BY1621</f>
        <v>5.96153846153846</v>
      </c>
      <c r="BB1621" s="50" t="n">
        <f aca="false">AX1621*G1621</f>
        <v>162</v>
      </c>
      <c r="BC1621" s="50" t="n">
        <f aca="false">ROUNDUP(MAX(J1621/IF(CD1621&gt;0,CD1621,MAX(0.1,N(Cockpit!$O$6))),CG1621)/BV1621,0)*BV1621</f>
        <v>20</v>
      </c>
      <c r="BD1621" s="51" t="n">
        <f aca="false">IF(BA1621&gt;0,J1621/BA1621,-1)</f>
        <v>0</v>
      </c>
      <c r="BE1621" s="51" t="n">
        <f aca="false">IF(AND(OR(CC1621="L1",CC1621="L23",CC1621="LIFT"),BA1621&gt;0),SUMIFS($BA$7:$BA$1843,$CC$7:$CC$1843,CC1621,$BD$7:$BD$1843,"&gt;"&amp;BD1621)+SUMIFS($BA$7:$BA$1843,$CC$7:$CC$1843,CC1621,$BD$7:$BD$1843,BD1621,$BT$7:$BT$1843,"&lt;="&amp;BT1621),"")</f>
        <v>39885.2241339169</v>
      </c>
      <c r="BF1621" s="58" t="n">
        <f aca="false">IF(BE1621="",0,MAX(0,MIN(1,(IF(CC1621="L1",Parameter!$H$5,IF(CC1621="L23",Parameter!$H$6+Parameter!$H$7,Parameter!$H$5+Parameter!$H$6+Parameter!$H$7))-(BE1621-BA1621))/BA1621)))</f>
        <v>0</v>
      </c>
      <c r="BG1621" s="48" t="str">
        <f aca="false">IF(AI1621&lt;=0,"",IF(CC1621="Aussen","Aussenlager",IF(CC1621="-","Nicht im Lift",IF(AN1621&gt;=1,"Lift",IF(AN1621&lt;=0,"Aussenlager","teilweise")))))</f>
        <v>Lift</v>
      </c>
      <c r="BH1621" s="48" t="str">
        <f aca="false">IF(AR1621&lt;=0,"",IF(CC1621="Aussen","Aussenlager",IF(CC1621="-","Nicht im Lift",IF(AW1621&gt;=1,"Lift",IF(AW1621&lt;=0,"Aussenlager","teilweise")))))</f>
        <v>Aussenlager</v>
      </c>
      <c r="BI1621" s="48" t="str">
        <f aca="false">IF(BA1621&lt;=0,"",IF(CC1621="Aussen","Aussenlager",IF(CC1621="-","Nicht im Lift",IF(BF1621&gt;=1,"Lift",IF(BF1621&lt;=0,"Aussenlager","teilweise")))))</f>
        <v>Aussenlager</v>
      </c>
      <c r="BJ1621" s="48" t="str">
        <f aca="false">IF(A1621="","",IF(BS1621=1,"Neu; ","")&amp;IF(AND(BS1621=0,BN1621&lt;0),"negativer Bestand (Export "&amp;BN1621&amp;"); ","")&amp;IF(J1621&lt;=0,"Kein Verbrauch; ","")&amp;IF(CL1621&gt;0,"Lift "&amp;W1621&amp;" lt. Liftbericht (Fach "&amp;X1621&amp;" Stk); ",IF(BX1621=1,"Gebinde geschätzt ("&amp;T1621&amp;"); ",IF(BW1621=1,"Lose – Tablare geschätzt; ","")))&amp;IF(H1621&gt;AT1621,"Überbestand "&amp;ROUND(H1621-AT1621,0)&amp;" Stk / CHF "&amp;ROUND((H1621-AT1621)*G1621,0)&amp;"; ","")&amp;IF(AND(CE1621=1,CF1621&lt;CG1621),"MAX &lt; MB+LG; ","")&amp;IF(AND(CK1621&gt;0,CJ1621*10&gt;CK1621),"zu hoch für Tablar; ","")&amp;IF(AND(BS1621=0,OR(CE1621=1,AA1621&lt;&gt;"",U1621&lt;&gt;"",V1621&lt;&gt;"",AB1621&lt;&gt;"")),"manuell übersteuert; ","")&amp;IF(AND(BW1621=0,R1621=0),"Gebinde unbekannt / Stellmass fehlt; ","")&amp;IF(AND(BW1621=0,N(V1621)&lt;=0,N(Q1621)&lt;=0),"Menge pro Gebinde fehlt (Ist = 1 Gebinde); ","")&amp;BR1621)</f>
        <v>Kein Verbrauch; Gebinde geschätzt (Klein); Menge pro Gebinde fehlt (Ist = 1 Gebinde); nur im Artikelstamm (Bestand 23.06.2026)</v>
      </c>
      <c r="BK1621" s="48"/>
      <c r="BL1621" s="48"/>
      <c r="BM1621" s="55"/>
      <c r="BN1621" s="50" t="n">
        <v>15</v>
      </c>
      <c r="BO1621" s="50" t="n">
        <v>0</v>
      </c>
      <c r="BP1621" s="49" t="n">
        <v>0</v>
      </c>
      <c r="BQ1621" s="50" t="n">
        <v>0</v>
      </c>
      <c r="BR1621" s="48" t="s">
        <v>2579</v>
      </c>
      <c r="BS1621" s="53" t="n">
        <v>0</v>
      </c>
      <c r="BT1621" s="53" t="n">
        <v>1621</v>
      </c>
      <c r="BU1621" s="48" t="str">
        <f aca="false">IF(U1621&lt;&gt;"",UPPER(TRIM(U1621)),IF(BX1621=1,UPPER(VLOOKUP(T1621,Parameter!$I$27:$K$29,2,0)),IF(P1621="","LOSE",P1621)))</f>
        <v>S51</v>
      </c>
      <c r="BV1621" s="50" t="n">
        <f aca="false">IF(BU1621="LOSE",1,IF(N(V1621)&gt;0,V1621,IF(BX1621=1,MAX(1,N(VLOOKUP(T1621,Parameter!$I$27:$K$29,3,0)),H1621,N(N1621)),IF(N(Q1621)&gt;0,Q1621,MAX(1,H1621)))))</f>
        <v>20</v>
      </c>
      <c r="BW1621" s="53" t="n">
        <f aca="false">IF(BU1621="LOSE",1,0)</f>
        <v>0</v>
      </c>
      <c r="BX1621" s="53" t="n">
        <f aca="false">IF(AND(U1621="",OR(P1621="",P1621="LOSE"),T1621&lt;&gt;"",N(S1621)&lt;=0,ISNUMBER(MATCH(T1621,Parameter!$I$27:$I$29,0))),1,0)</f>
        <v>1</v>
      </c>
      <c r="BY1621" s="53" t="n">
        <f aca="false">IF(CL1621&gt;0,INDEX(Parameter!$H$5:$H$7,W1621)/INDEX(Parameter!$E$5:$E$7,W1621),IF(AND(BW1621=0,N(IFERROR(VLOOKUP(BU1621,'Gebinde-Kategorie'!$A$5:$N$45,14,0),0))&gt;0),VLOOKUP(BU1621,'Gebinde-Kategorie'!$A$5:$N$45,14,0)*10+Parameter!$M$23,Parameter!$M$24))</f>
        <v>155</v>
      </c>
      <c r="BZ1621" s="48" t="str">
        <f aca="false">IF(AND(Parameter!$B$19="Ja",E1621&lt;&gt;"",ISNUMBER(MATCH(E1621,Parameter!$I$35:$I$52,0))),VLOOKUP(E1621,Parameter!$I$35:$J$52,2,0),IFERROR(VLOOKUP(D1621,Parameter!$A$35:$C$64,2,0),"Nein"))</f>
        <v>2+3</v>
      </c>
      <c r="CA1621" s="52" t="n">
        <f aca="false">IF(BW1621=0,0,IF(N(S1621)&gt;0,S1621,IFERROR(VLOOKUP(D1621,Parameter!$A$35:$C$64,3,0)+0,0)))</f>
        <v>0</v>
      </c>
      <c r="CB1621" s="48" t="n">
        <f aca="false">IF(AA1621&lt;&gt;"",AA1621,Z1621)</f>
        <v>3</v>
      </c>
      <c r="CC1621" s="48" t="str">
        <f aca="false">IF(OR(CB1621=1,CB1621=2,CB1621=3),IF(Parameter!$E$27="Ja","LIFT",IF(CB1621=1,"L1","L23")),IF(CB1621="Aussen","Aussen","-"))</f>
        <v>LIFT</v>
      </c>
      <c r="CD1621" s="59" t="n">
        <f aca="false">IF(N(AB1621)&gt;0,AB1621,0)</f>
        <v>0</v>
      </c>
      <c r="CE1621" s="53" t="n">
        <f aca="false">IF(ISNUMBER(AE1621),1,0)</f>
        <v>0</v>
      </c>
      <c r="CF1621" s="50" t="n">
        <f aca="false">N(AE1621)</f>
        <v>0</v>
      </c>
      <c r="CG1621" s="50" t="n">
        <f aca="false">N(M1621)+N(N1621)</f>
        <v>1</v>
      </c>
      <c r="CH1621" s="50" t="n">
        <f aca="false">ROUNDUP(H1621/BV1621,0)</f>
        <v>1</v>
      </c>
      <c r="CI1621" s="50" t="n">
        <f aca="false">ROUNDUP(CF1621/BV1621,0)</f>
        <v>0</v>
      </c>
      <c r="CJ1621" s="53" t="n">
        <f aca="false">IF(BW1621=1,0,IFERROR(VLOOKUP(BU1621,'Gebinde-Kategorie'!$A$5:$N$45,5,0)+0,0))</f>
        <v>11</v>
      </c>
      <c r="CK1621" s="53" t="n">
        <f aca="false">IFERROR(IF(OR(CB1621=1,CB1621=2,CB1621=3),N(INDEX(Parameter!$I$5:$I$7,CB1621)),0),0)</f>
        <v>0</v>
      </c>
      <c r="CL1621" s="52" t="n">
        <f aca="false">IF(AND(Parameter!$B$21="Ja",ISNUMBER(W1621),N(X1621)&gt;0),IFERROR(N(INDEX(Parameter!$L$5:$L$7,W1621))*INDEX(Parameter!$E$5:$E$7,W1621)*X1621/SUMIFS($X$7:$X$1843,$W$7:$W$1843,W1621),0),0)</f>
        <v>0</v>
      </c>
    </row>
    <row r="1622" customFormat="false" ht="15" hidden="false" customHeight="false" outlineLevel="0" collapsed="false">
      <c r="A1622" s="48" t="s">
        <v>2828</v>
      </c>
      <c r="B1622" s="48" t="s">
        <v>409</v>
      </c>
      <c r="C1622" s="48" t="s">
        <v>168</v>
      </c>
      <c r="D1622" s="48" t="s">
        <v>188</v>
      </c>
      <c r="E1622" s="48"/>
      <c r="F1622" s="48"/>
      <c r="G1622" s="49" t="n">
        <v>0.08</v>
      </c>
      <c r="H1622" s="50" t="n">
        <f aca="false">MAX(0,IF(AND(Parameter!$B$21="Ja",ISNUMBER(Y1622)),Y1622,IF(Parameter!$B$20="Jahresanfang 2025 + Export",BO1622+BN1622,BN1622)))</f>
        <v>1143</v>
      </c>
      <c r="I1622" s="50" t="n">
        <f aca="false">H1622*G1622</f>
        <v>91.44</v>
      </c>
      <c r="J1622" s="50" t="n">
        <f aca="false">BQ1622*Parameter!$B$18</f>
        <v>0</v>
      </c>
      <c r="K1622" s="51"/>
      <c r="L1622" s="52"/>
      <c r="M1622" s="50" t="n">
        <v>0</v>
      </c>
      <c r="N1622" s="50" t="n">
        <v>200</v>
      </c>
      <c r="O1622" s="53" t="n">
        <v>14</v>
      </c>
      <c r="P1622" s="48" t="s">
        <v>172</v>
      </c>
      <c r="Q1622" s="50"/>
      <c r="R1622" s="53" t="n">
        <f aca="false">IF(BW1622=1,0,IFERROR(VLOOKUP(BU1622,'Gebinde-Kategorie'!$A$5:$N$45,13,0)+0,0))</f>
        <v>26</v>
      </c>
      <c r="S1622" s="54"/>
      <c r="T1622" s="55" t="s">
        <v>279</v>
      </c>
      <c r="U1622" s="55"/>
      <c r="V1622" s="55"/>
      <c r="W1622" s="48"/>
      <c r="X1622" s="50"/>
      <c r="Y1622" s="50"/>
      <c r="Z1622" s="48" t="n">
        <f aca="false">IF(A1622="","",IF(AND(Parameter!$B$21="Ja",ISNUMBER(W1622)),W1622,IF(BZ1622="2+3",IF(ISNUMBER(SEARCH("grosser Artikel",BR1622)),2,IFERROR(VLOOKUP(BU1622,Parameter!$F$35:$G$64,2,0),2)),IF(OR(BZ1622="Nein",BZ1622=""),"-",BZ1622))))</f>
        <v>3</v>
      </c>
      <c r="AA1622" s="55"/>
      <c r="AB1622" s="56"/>
      <c r="AC1622" s="50" t="n">
        <f aca="false">AT1622</f>
        <v>1143</v>
      </c>
      <c r="AD1622" s="50" t="n">
        <f aca="false">MAX(AT1622,H1622)</f>
        <v>1143</v>
      </c>
      <c r="AE1622" s="57"/>
      <c r="AF1622" s="50" t="n">
        <f aca="false">IF(LEFT(Cockpit!$C$5,1)="A",H1622,IF(CE1622=1,CF1622,IF(LEFT(Cockpit!$C$5,1)="B",AK1622,MAX(AK1622,H1622))))</f>
        <v>1143</v>
      </c>
      <c r="AG1622" s="50" t="n">
        <f aca="false">IF(BW1622=1,0,ROUNDUP(AF1622/BV1622,0))</f>
        <v>1</v>
      </c>
      <c r="AH1622" s="52" t="n">
        <f aca="false">IF(CL1622&gt;0,CL1622*MAX(1,AF1622/X1622),IF(BW1622=1,IF(AF1622&lt;=0,0,CA1622*MAX(1,IF(H1622&gt;0,AF1622/H1622,1))),IF(R1622&gt;0,AG1622/R1622,0))/MAX(0.1,N(Parameter!$M$21)))</f>
        <v>0.0384615384615385</v>
      </c>
      <c r="AI1622" s="50" t="n">
        <f aca="false">AH1622*BY1622</f>
        <v>5.96153846153846</v>
      </c>
      <c r="AJ1622" s="50" t="n">
        <f aca="false">AF1622*G1622</f>
        <v>91.44</v>
      </c>
      <c r="AK1622" s="50" t="n">
        <f aca="false">ROUNDUP(MAX(J1622/IF(CD1622&gt;0,CD1622,MAX(0.1,N(Cockpit!$C$6))),CG1622)/BV1622,0)*BV1622</f>
        <v>1143</v>
      </c>
      <c r="AL1622" s="51" t="n">
        <f aca="false">IF(AI1622&gt;0,J1622/AI1622,-1)</f>
        <v>0</v>
      </c>
      <c r="AM1622" s="51" t="n">
        <f aca="false">IF(AND(OR(CC1622="L1",CC1622="L23",CC1622="LIFT"),AI1622&gt;0),SUMIFS($AI$7:$AI$1843,$CC$7:$CC$1843,CC1622,$AL$7:$AL$1843,"&gt;"&amp;AL1622)+SUMIFS($AI$7:$AI$1843,$CC$7:$CC$1843,CC1622,$AL$7:$AL$1843,AL1622,$BT$7:$BT$1843,"&lt;="&amp;BT1622),"")</f>
        <v>30854.2713183709</v>
      </c>
      <c r="AN1622" s="58" t="n">
        <f aca="false">IF(AM1622="",0,MAX(0,MIN(1,(IF(CC1622="L1",Parameter!$H$5,IF(CC1622="L23",Parameter!$H$6+Parameter!$H$7,Parameter!$H$5+Parameter!$H$6+Parameter!$H$7))-(AM1622-AI1622))/AI1622)))</f>
        <v>1</v>
      </c>
      <c r="AO1622" s="50" t="n">
        <f aca="false">IF(LEFT(Cockpit!$I$5,1)="A",H1622,IF(CE1622=1,CF1622,IF(LEFT(Cockpit!$I$5,1)="B",AT1622,MAX(AT1622,H1622))))</f>
        <v>1143</v>
      </c>
      <c r="AP1622" s="50" t="n">
        <f aca="false">IF(BW1622=1,0,ROUNDUP(AO1622/BV1622,0))</f>
        <v>1</v>
      </c>
      <c r="AQ1622" s="52" t="n">
        <f aca="false">IF(CL1622&gt;0,CL1622*MAX(1,AO1622/X1622),IF(BW1622=1,IF(AO1622&lt;=0,0,CA1622*MAX(1,IF(H1622&gt;0,AO1622/H1622,1))),IF(R1622&gt;0,AP1622/R1622,0))/MAX(0.1,N(Parameter!$M$21)))</f>
        <v>0.0384615384615385</v>
      </c>
      <c r="AR1622" s="50" t="n">
        <f aca="false">AQ1622*BY1622</f>
        <v>5.96153846153846</v>
      </c>
      <c r="AS1622" s="50" t="n">
        <f aca="false">AO1622*G1622</f>
        <v>91.44</v>
      </c>
      <c r="AT1622" s="50" t="n">
        <f aca="false">ROUNDUP(MAX(J1622/IF(CD1622&gt;0,CD1622,MAX(0.1,N(Cockpit!$I$6))),CG1622)/BV1622,0)*BV1622</f>
        <v>1143</v>
      </c>
      <c r="AU1622" s="51" t="n">
        <f aca="false">IF(AR1622&gt;0,J1622/AR1622,-1)</f>
        <v>0</v>
      </c>
      <c r="AV1622" s="51" t="n">
        <f aca="false">IF(AND(OR(CC1622="L1",CC1622="L23",CC1622="LIFT"),AR1622&gt;0),SUMIFS($AR$7:$AR$1843,$CC$7:$CC$1843,CC1622,$AU$7:$AU$1843,"&gt;"&amp;AU1622)+SUMIFS($AR$7:$AR$1843,$CC$7:$CC$1843,CC1622,$AU$7:$AU$1843,AU1622,$BT$7:$BT$1843,"&lt;="&amp;BT1622),"")</f>
        <v>43216.1736305126</v>
      </c>
      <c r="AW1622" s="58" t="n">
        <f aca="false">IF(AV1622="",0,MAX(0,MIN(1,(IF(CC1622="L1",Parameter!$H$5,IF(CC1622="L23",Parameter!$H$6+Parameter!$H$7,Parameter!$H$5+Parameter!$H$6+Parameter!$H$7))-(AV1622-AR1622))/AR1622)))</f>
        <v>0</v>
      </c>
      <c r="AX1622" s="50" t="n">
        <f aca="false">IF(LEFT(Cockpit!$O$5,1)="A",H1622,IF(CE1622=1,CF1622,IF(LEFT(Cockpit!$O$5,1)="B",BC1622,MAX(BC1622,H1622))))</f>
        <v>1143</v>
      </c>
      <c r="AY1622" s="50" t="n">
        <f aca="false">IF(BW1622=1,0,ROUNDUP(AX1622/BV1622,0))</f>
        <v>1</v>
      </c>
      <c r="AZ1622" s="52" t="n">
        <f aca="false">IF(CL1622&gt;0,CL1622*MAX(1,AX1622/X1622),IF(BW1622=1,IF(AX1622&lt;=0,0,CA1622*MAX(1,IF(H1622&gt;0,AX1622/H1622,1))),IF(R1622&gt;0,AY1622/R1622,0))/MAX(0.1,N(Parameter!$M$21)))</f>
        <v>0.0384615384615385</v>
      </c>
      <c r="BA1622" s="50" t="n">
        <f aca="false">AZ1622*BY1622</f>
        <v>5.96153846153846</v>
      </c>
      <c r="BB1622" s="50" t="n">
        <f aca="false">AX1622*G1622</f>
        <v>91.44</v>
      </c>
      <c r="BC1622" s="50" t="n">
        <f aca="false">ROUNDUP(MAX(J1622/IF(CD1622&gt;0,CD1622,MAX(0.1,N(Cockpit!$O$6))),CG1622)/BV1622,0)*BV1622</f>
        <v>1143</v>
      </c>
      <c r="BD1622" s="51" t="n">
        <f aca="false">IF(BA1622&gt;0,J1622/BA1622,-1)</f>
        <v>0</v>
      </c>
      <c r="BE1622" s="51" t="n">
        <f aca="false">IF(AND(OR(CC1622="L1",CC1622="L23",CC1622="LIFT"),BA1622&gt;0),SUMIFS($BA$7:$BA$1843,$CC$7:$CC$1843,CC1622,$BD$7:$BD$1843,"&gt;"&amp;BD1622)+SUMIFS($BA$7:$BA$1843,$CC$7:$CC$1843,CC1622,$BD$7:$BD$1843,BD1622,$BT$7:$BT$1843,"&lt;="&amp;BT1622),"")</f>
        <v>39891.1856723785</v>
      </c>
      <c r="BF1622" s="58" t="n">
        <f aca="false">IF(BE1622="",0,MAX(0,MIN(1,(IF(CC1622="L1",Parameter!$H$5,IF(CC1622="L23",Parameter!$H$6+Parameter!$H$7,Parameter!$H$5+Parameter!$H$6+Parameter!$H$7))-(BE1622-BA1622))/BA1622)))</f>
        <v>0</v>
      </c>
      <c r="BG1622" s="48" t="str">
        <f aca="false">IF(AI1622&lt;=0,"",IF(CC1622="Aussen","Aussenlager",IF(CC1622="-","Nicht im Lift",IF(AN1622&gt;=1,"Lift",IF(AN1622&lt;=0,"Aussenlager","teilweise")))))</f>
        <v>Lift</v>
      </c>
      <c r="BH1622" s="48" t="str">
        <f aca="false">IF(AR1622&lt;=0,"",IF(CC1622="Aussen","Aussenlager",IF(CC1622="-","Nicht im Lift",IF(AW1622&gt;=1,"Lift",IF(AW1622&lt;=0,"Aussenlager","teilweise")))))</f>
        <v>Aussenlager</v>
      </c>
      <c r="BI1622" s="48" t="str">
        <f aca="false">IF(BA1622&lt;=0,"",IF(CC1622="Aussen","Aussenlager",IF(CC1622="-","Nicht im Lift",IF(BF1622&gt;=1,"Lift",IF(BF1622&lt;=0,"Aussenlager","teilweise")))))</f>
        <v>Aussenlager</v>
      </c>
      <c r="BJ1622" s="48" t="str">
        <f aca="false">IF(A1622="","",IF(BS1622=1,"Neu; ","")&amp;IF(AND(BS1622=0,BN1622&lt;0),"negativer Bestand (Export "&amp;BN1622&amp;"); ","")&amp;IF(J1622&lt;=0,"Kein Verbrauch; ","")&amp;IF(CL1622&gt;0,"Lift "&amp;W1622&amp;" lt. Liftbericht (Fach "&amp;X1622&amp;" Stk); ",IF(BX1622=1,"Gebinde geschätzt ("&amp;T1622&amp;"); ",IF(BW1622=1,"Lose – Tablare geschätzt; ","")))&amp;IF(H1622&gt;AT1622,"Überbestand "&amp;ROUND(H1622-AT1622,0)&amp;" Stk / CHF "&amp;ROUND((H1622-AT1622)*G1622,0)&amp;"; ","")&amp;IF(AND(CE1622=1,CF1622&lt;CG1622),"MAX &lt; MB+LG; ","")&amp;IF(AND(CK1622&gt;0,CJ1622*10&gt;CK1622),"zu hoch für Tablar; ","")&amp;IF(AND(BS1622=0,OR(CE1622=1,AA1622&lt;&gt;"",U1622&lt;&gt;"",V1622&lt;&gt;"",AB1622&lt;&gt;"")),"manuell übersteuert; ","")&amp;IF(AND(BW1622=0,R1622=0),"Gebinde unbekannt / Stellmass fehlt; ","")&amp;IF(AND(BW1622=0,N(V1622)&lt;=0,N(Q1622)&lt;=0),"Menge pro Gebinde fehlt (Ist = 1 Gebinde); ","")&amp;BR1622)</f>
        <v>Kein Verbrauch; Gebinde geschätzt (Klein); Menge pro Gebinde fehlt (Ist = 1 Gebinde); nur im Artikelstamm (Bestand 23.06.2026)</v>
      </c>
      <c r="BK1622" s="48"/>
      <c r="BL1622" s="48"/>
      <c r="BM1622" s="55"/>
      <c r="BN1622" s="50" t="n">
        <v>1143</v>
      </c>
      <c r="BO1622" s="50" t="n">
        <v>0</v>
      </c>
      <c r="BP1622" s="49" t="n">
        <v>0</v>
      </c>
      <c r="BQ1622" s="50" t="n">
        <v>0</v>
      </c>
      <c r="BR1622" s="48" t="s">
        <v>2579</v>
      </c>
      <c r="BS1622" s="53" t="n">
        <v>0</v>
      </c>
      <c r="BT1622" s="53" t="n">
        <v>1622</v>
      </c>
      <c r="BU1622" s="48" t="str">
        <f aca="false">IF(U1622&lt;&gt;"",UPPER(TRIM(U1622)),IF(BX1622=1,UPPER(VLOOKUP(T1622,Parameter!$I$27:$K$29,2,0)),IF(P1622="","LOSE",P1622)))</f>
        <v>S51</v>
      </c>
      <c r="BV1622" s="50" t="n">
        <f aca="false">IF(BU1622="LOSE",1,IF(N(V1622)&gt;0,V1622,IF(BX1622=1,MAX(1,N(VLOOKUP(T1622,Parameter!$I$27:$K$29,3,0)),H1622,N(N1622)),IF(N(Q1622)&gt;0,Q1622,MAX(1,H1622)))))</f>
        <v>1143</v>
      </c>
      <c r="BW1622" s="53" t="n">
        <f aca="false">IF(BU1622="LOSE",1,0)</f>
        <v>0</v>
      </c>
      <c r="BX1622" s="53" t="n">
        <f aca="false">IF(AND(U1622="",OR(P1622="",P1622="LOSE"),T1622&lt;&gt;"",N(S1622)&lt;=0,ISNUMBER(MATCH(T1622,Parameter!$I$27:$I$29,0))),1,0)</f>
        <v>1</v>
      </c>
      <c r="BY1622" s="53" t="n">
        <f aca="false">IF(CL1622&gt;0,INDEX(Parameter!$H$5:$H$7,W1622)/INDEX(Parameter!$E$5:$E$7,W1622),IF(AND(BW1622=0,N(IFERROR(VLOOKUP(BU1622,'Gebinde-Kategorie'!$A$5:$N$45,14,0),0))&gt;0),VLOOKUP(BU1622,'Gebinde-Kategorie'!$A$5:$N$45,14,0)*10+Parameter!$M$23,Parameter!$M$24))</f>
        <v>155</v>
      </c>
      <c r="BZ1622" s="48" t="str">
        <f aca="false">IF(AND(Parameter!$B$19="Ja",E1622&lt;&gt;"",ISNUMBER(MATCH(E1622,Parameter!$I$35:$I$52,0))),VLOOKUP(E1622,Parameter!$I$35:$J$52,2,0),IFERROR(VLOOKUP(D1622,Parameter!$A$35:$C$64,2,0),"Nein"))</f>
        <v>2+3</v>
      </c>
      <c r="CA1622" s="52" t="n">
        <f aca="false">IF(BW1622=0,0,IF(N(S1622)&gt;0,S1622,IFERROR(VLOOKUP(D1622,Parameter!$A$35:$C$64,3,0)+0,0)))</f>
        <v>0</v>
      </c>
      <c r="CB1622" s="48" t="n">
        <f aca="false">IF(AA1622&lt;&gt;"",AA1622,Z1622)</f>
        <v>3</v>
      </c>
      <c r="CC1622" s="48" t="str">
        <f aca="false">IF(OR(CB1622=1,CB1622=2,CB1622=3),IF(Parameter!$E$27="Ja","LIFT",IF(CB1622=1,"L1","L23")),IF(CB1622="Aussen","Aussen","-"))</f>
        <v>LIFT</v>
      </c>
      <c r="CD1622" s="59" t="n">
        <f aca="false">IF(N(AB1622)&gt;0,AB1622,0)</f>
        <v>0</v>
      </c>
      <c r="CE1622" s="53" t="n">
        <f aca="false">IF(ISNUMBER(AE1622),1,0)</f>
        <v>0</v>
      </c>
      <c r="CF1622" s="50" t="n">
        <f aca="false">N(AE1622)</f>
        <v>0</v>
      </c>
      <c r="CG1622" s="50" t="n">
        <f aca="false">N(M1622)+N(N1622)</f>
        <v>200</v>
      </c>
      <c r="CH1622" s="50" t="n">
        <f aca="false">ROUNDUP(H1622/BV1622,0)</f>
        <v>1</v>
      </c>
      <c r="CI1622" s="50" t="n">
        <f aca="false">ROUNDUP(CF1622/BV1622,0)</f>
        <v>0</v>
      </c>
      <c r="CJ1622" s="53" t="n">
        <f aca="false">IF(BW1622=1,0,IFERROR(VLOOKUP(BU1622,'Gebinde-Kategorie'!$A$5:$N$45,5,0)+0,0))</f>
        <v>11</v>
      </c>
      <c r="CK1622" s="53" t="n">
        <f aca="false">IFERROR(IF(OR(CB1622=1,CB1622=2,CB1622=3),N(INDEX(Parameter!$I$5:$I$7,CB1622)),0),0)</f>
        <v>0</v>
      </c>
      <c r="CL1622" s="52" t="n">
        <f aca="false">IF(AND(Parameter!$B$21="Ja",ISNUMBER(W1622),N(X1622)&gt;0),IFERROR(N(INDEX(Parameter!$L$5:$L$7,W1622))*INDEX(Parameter!$E$5:$E$7,W1622)*X1622/SUMIFS($X$7:$X$1843,$W$7:$W$1843,W1622),0),0)</f>
        <v>0</v>
      </c>
    </row>
    <row r="1623" customFormat="false" ht="15" hidden="false" customHeight="false" outlineLevel="0" collapsed="false">
      <c r="A1623" s="48" t="s">
        <v>2829</v>
      </c>
      <c r="B1623" s="48" t="s">
        <v>2335</v>
      </c>
      <c r="C1623" s="48" t="s">
        <v>168</v>
      </c>
      <c r="D1623" s="48" t="s">
        <v>177</v>
      </c>
      <c r="E1623" s="48" t="s">
        <v>177</v>
      </c>
      <c r="F1623" s="48"/>
      <c r="G1623" s="49" t="n">
        <v>3273.53</v>
      </c>
      <c r="H1623" s="50" t="n">
        <f aca="false">MAX(0,IF(AND(Parameter!$B$21="Ja",ISNUMBER(Y1623)),Y1623,IF(Parameter!$B$20="Jahresanfang 2025 + Export",BO1623+BN1623,BN1623)))</f>
        <v>12</v>
      </c>
      <c r="I1623" s="50" t="n">
        <f aca="false">H1623*G1623</f>
        <v>39282.36</v>
      </c>
      <c r="J1623" s="50" t="n">
        <f aca="false">BQ1623*Parameter!$B$18</f>
        <v>0</v>
      </c>
      <c r="K1623" s="51"/>
      <c r="L1623" s="52"/>
      <c r="M1623" s="50" t="n">
        <v>0</v>
      </c>
      <c r="N1623" s="50" t="n">
        <v>1</v>
      </c>
      <c r="O1623" s="53" t="n">
        <v>77</v>
      </c>
      <c r="P1623" s="48" t="s">
        <v>172</v>
      </c>
      <c r="Q1623" s="50"/>
      <c r="R1623" s="53" t="n">
        <f aca="false">IF(BW1623=1,0,IFERROR(VLOOKUP(BU1623,'Gebinde-Kategorie'!$A$5:$N$45,13,0)+0,0))</f>
        <v>12</v>
      </c>
      <c r="S1623" s="54"/>
      <c r="T1623" s="55" t="s">
        <v>183</v>
      </c>
      <c r="U1623" s="55"/>
      <c r="V1623" s="55"/>
      <c r="W1623" s="48"/>
      <c r="X1623" s="50"/>
      <c r="Y1623" s="50"/>
      <c r="Z1623" s="48" t="str">
        <f aca="false">IF(A1623="","",IF(AND(Parameter!$B$21="Ja",ISNUMBER(W1623)),W1623,IF(BZ1623="2+3",IF(ISNUMBER(SEARCH("grosser Artikel",BR1623)),2,IFERROR(VLOOKUP(BU1623,Parameter!$F$35:$G$64,2,0),2)),IF(OR(BZ1623="Nein",BZ1623=""),"-",BZ1623))))</f>
        <v>-</v>
      </c>
      <c r="AA1623" s="55"/>
      <c r="AB1623" s="56"/>
      <c r="AC1623" s="50" t="n">
        <f aca="false">AT1623</f>
        <v>12</v>
      </c>
      <c r="AD1623" s="50" t="n">
        <f aca="false">MAX(AT1623,H1623)</f>
        <v>12</v>
      </c>
      <c r="AE1623" s="57"/>
      <c r="AF1623" s="50" t="n">
        <f aca="false">IF(LEFT(Cockpit!$C$5,1)="A",H1623,IF(CE1623=1,CF1623,IF(LEFT(Cockpit!$C$5,1)="B",AK1623,MAX(AK1623,H1623))))</f>
        <v>12</v>
      </c>
      <c r="AG1623" s="50" t="n">
        <f aca="false">IF(BW1623=1,0,ROUNDUP(AF1623/BV1623,0))</f>
        <v>1</v>
      </c>
      <c r="AH1623" s="52" t="n">
        <f aca="false">IF(CL1623&gt;0,CL1623*MAX(1,AF1623/X1623),IF(BW1623=1,IF(AF1623&lt;=0,0,CA1623*MAX(1,IF(H1623&gt;0,AF1623/H1623,1))),IF(R1623&gt;0,AG1623/R1623,0))/MAX(0.1,N(Parameter!$M$21)))</f>
        <v>0.0833333333333333</v>
      </c>
      <c r="AI1623" s="50" t="n">
        <f aca="false">AH1623*BY1623</f>
        <v>12.0833333333333</v>
      </c>
      <c r="AJ1623" s="50" t="n">
        <f aca="false">AF1623*G1623</f>
        <v>39282.36</v>
      </c>
      <c r="AK1623" s="50" t="n">
        <f aca="false">ROUNDUP(MAX(J1623/IF(CD1623&gt;0,CD1623,MAX(0.1,N(Cockpit!$C$6))),CG1623)/BV1623,0)*BV1623</f>
        <v>12</v>
      </c>
      <c r="AL1623" s="51" t="n">
        <f aca="false">IF(AI1623&gt;0,J1623/AI1623,-1)</f>
        <v>0</v>
      </c>
      <c r="AM1623" s="51" t="str">
        <f aca="false">IF(AND(OR(CC1623="L1",CC1623="L23",CC1623="LIFT"),AI1623&gt;0),SUMIFS($AI$7:$AI$1843,$CC$7:$CC$1843,CC1623,$AL$7:$AL$1843,"&gt;"&amp;AL1623)+SUMIFS($AI$7:$AI$1843,$CC$7:$CC$1843,CC1623,$AL$7:$AL$1843,AL1623,$BT$7:$BT$1843,"&lt;="&amp;BT1623),"")</f>
        <v/>
      </c>
      <c r="AN1623" s="58" t="n">
        <f aca="false">IF(AM1623="",0,MAX(0,MIN(1,(IF(CC1623="L1",Parameter!$H$5,IF(CC1623="L23",Parameter!$H$6+Parameter!$H$7,Parameter!$H$5+Parameter!$H$6+Parameter!$H$7))-(AM1623-AI1623))/AI1623)))</f>
        <v>0</v>
      </c>
      <c r="AO1623" s="50" t="n">
        <f aca="false">IF(LEFT(Cockpit!$I$5,1)="A",H1623,IF(CE1623=1,CF1623,IF(LEFT(Cockpit!$I$5,1)="B",AT1623,MAX(AT1623,H1623))))</f>
        <v>12</v>
      </c>
      <c r="AP1623" s="50" t="n">
        <f aca="false">IF(BW1623=1,0,ROUNDUP(AO1623/BV1623,0))</f>
        <v>1</v>
      </c>
      <c r="AQ1623" s="52" t="n">
        <f aca="false">IF(CL1623&gt;0,CL1623*MAX(1,AO1623/X1623),IF(BW1623=1,IF(AO1623&lt;=0,0,CA1623*MAX(1,IF(H1623&gt;0,AO1623/H1623,1))),IF(R1623&gt;0,AP1623/R1623,0))/MAX(0.1,N(Parameter!$M$21)))</f>
        <v>0.0833333333333333</v>
      </c>
      <c r="AR1623" s="50" t="n">
        <f aca="false">AQ1623*BY1623</f>
        <v>12.0833333333333</v>
      </c>
      <c r="AS1623" s="50" t="n">
        <f aca="false">AO1623*G1623</f>
        <v>39282.36</v>
      </c>
      <c r="AT1623" s="50" t="n">
        <f aca="false">ROUNDUP(MAX(J1623/IF(CD1623&gt;0,CD1623,MAX(0.1,N(Cockpit!$I$6))),CG1623)/BV1623,0)*BV1623</f>
        <v>12</v>
      </c>
      <c r="AU1623" s="51" t="n">
        <f aca="false">IF(AR1623&gt;0,J1623/AR1623,-1)</f>
        <v>0</v>
      </c>
      <c r="AV1623" s="51" t="str">
        <f aca="false">IF(AND(OR(CC1623="L1",CC1623="L23",CC1623="LIFT"),AR1623&gt;0),SUMIFS($AR$7:$AR$1843,$CC$7:$CC$1843,CC1623,$AU$7:$AU$1843,"&gt;"&amp;AU1623)+SUMIFS($AR$7:$AR$1843,$CC$7:$CC$1843,CC1623,$AU$7:$AU$1843,AU1623,$BT$7:$BT$1843,"&lt;="&amp;BT1623),"")</f>
        <v/>
      </c>
      <c r="AW1623" s="58" t="n">
        <f aca="false">IF(AV1623="",0,MAX(0,MIN(1,(IF(CC1623="L1",Parameter!$H$5,IF(CC1623="L23",Parameter!$H$6+Parameter!$H$7,Parameter!$H$5+Parameter!$H$6+Parameter!$H$7))-(AV1623-AR1623))/AR1623)))</f>
        <v>0</v>
      </c>
      <c r="AX1623" s="50" t="n">
        <f aca="false">IF(LEFT(Cockpit!$O$5,1)="A",H1623,IF(CE1623=1,CF1623,IF(LEFT(Cockpit!$O$5,1)="B",BC1623,MAX(BC1623,H1623))))</f>
        <v>12</v>
      </c>
      <c r="AY1623" s="50" t="n">
        <f aca="false">IF(BW1623=1,0,ROUNDUP(AX1623/BV1623,0))</f>
        <v>1</v>
      </c>
      <c r="AZ1623" s="52" t="n">
        <f aca="false">IF(CL1623&gt;0,CL1623*MAX(1,AX1623/X1623),IF(BW1623=1,IF(AX1623&lt;=0,0,CA1623*MAX(1,IF(H1623&gt;0,AX1623/H1623,1))),IF(R1623&gt;0,AY1623/R1623,0))/MAX(0.1,N(Parameter!$M$21)))</f>
        <v>0.0833333333333333</v>
      </c>
      <c r="BA1623" s="50" t="n">
        <f aca="false">AZ1623*BY1623</f>
        <v>12.0833333333333</v>
      </c>
      <c r="BB1623" s="50" t="n">
        <f aca="false">AX1623*G1623</f>
        <v>39282.36</v>
      </c>
      <c r="BC1623" s="50" t="n">
        <f aca="false">ROUNDUP(MAX(J1623/IF(CD1623&gt;0,CD1623,MAX(0.1,N(Cockpit!$O$6))),CG1623)/BV1623,0)*BV1623</f>
        <v>12</v>
      </c>
      <c r="BD1623" s="51" t="n">
        <f aca="false">IF(BA1623&gt;0,J1623/BA1623,-1)</f>
        <v>0</v>
      </c>
      <c r="BE1623" s="51" t="str">
        <f aca="false">IF(AND(OR(CC1623="L1",CC1623="L23",CC1623="LIFT"),BA1623&gt;0),SUMIFS($BA$7:$BA$1843,$CC$7:$CC$1843,CC1623,$BD$7:$BD$1843,"&gt;"&amp;BD1623)+SUMIFS($BA$7:$BA$1843,$CC$7:$CC$1843,CC1623,$BD$7:$BD$1843,BD1623,$BT$7:$BT$1843,"&lt;="&amp;BT1623),"")</f>
        <v/>
      </c>
      <c r="BF1623" s="58" t="n">
        <f aca="false">IF(BE1623="",0,MAX(0,MIN(1,(IF(CC1623="L1",Parameter!$H$5,IF(CC1623="L23",Parameter!$H$6+Parameter!$H$7,Parameter!$H$5+Parameter!$H$6+Parameter!$H$7))-(BE1623-BA1623))/BA1623)))</f>
        <v>0</v>
      </c>
      <c r="BG1623" s="48" t="str">
        <f aca="false">IF(AI1623&lt;=0,"",IF(CC1623="Aussen","Aussenlager",IF(CC1623="-","Nicht im Lift",IF(AN1623&gt;=1,"Lift",IF(AN1623&lt;=0,"Aussenlager","teilweise")))))</f>
        <v>Nicht im Lift</v>
      </c>
      <c r="BH1623" s="48" t="str">
        <f aca="false">IF(AR1623&lt;=0,"",IF(CC1623="Aussen","Aussenlager",IF(CC1623="-","Nicht im Lift",IF(AW1623&gt;=1,"Lift",IF(AW1623&lt;=0,"Aussenlager","teilweise")))))</f>
        <v>Nicht im Lift</v>
      </c>
      <c r="BI1623" s="48" t="str">
        <f aca="false">IF(BA1623&lt;=0,"",IF(CC1623="Aussen","Aussenlager",IF(CC1623="-","Nicht im Lift",IF(BF1623&gt;=1,"Lift",IF(BF1623&lt;=0,"Aussenlager","teilweise")))))</f>
        <v>Nicht im Lift</v>
      </c>
      <c r="BJ1623" s="48" t="str">
        <f aca="false">IF(A1623="","",IF(BS1623=1,"Neu; ","")&amp;IF(AND(BS1623=0,BN1623&lt;0),"negativer Bestand (Export "&amp;BN1623&amp;"); ","")&amp;IF(J1623&lt;=0,"Kein Verbrauch; ","")&amp;IF(CL1623&gt;0,"Lift "&amp;W1623&amp;" lt. Liftbericht (Fach "&amp;X1623&amp;" Stk); ",IF(BX1623=1,"Gebinde geschätzt ("&amp;T1623&amp;"); ",IF(BW1623=1,"Lose – Tablare geschätzt; ","")))&amp;IF(H1623&gt;AT1623,"Überbestand "&amp;ROUND(H1623-AT1623,0)&amp;" Stk / CHF "&amp;ROUND((H1623-AT1623)*G1623,0)&amp;"; ","")&amp;IF(AND(CE1623=1,CF1623&lt;CG1623),"MAX &lt; MB+LG; ","")&amp;IF(AND(CK1623&gt;0,CJ1623*10&gt;CK1623),"zu hoch für Tablar; ","")&amp;IF(AND(BS1623=0,OR(CE1623=1,AA1623&lt;&gt;"",U1623&lt;&gt;"",V1623&lt;&gt;"",AB1623&lt;&gt;"")),"manuell übersteuert; ","")&amp;IF(AND(BW1623=0,R1623=0),"Gebinde unbekannt / Stellmass fehlt; ","")&amp;IF(AND(BW1623=0,N(V1623)&lt;=0,N(Q1623)&lt;=0),"Menge pro Gebinde fehlt (Ist = 1 Gebinde); ","")&amp;BR1623)</f>
        <v>Kein Verbrauch; Gebinde geschätzt (Mittel); Menge pro Gebinde fehlt (Ist = 1 Gebinde); nur im Artikelstamm (Bestand 23.06.2026)</v>
      </c>
      <c r="BK1623" s="48"/>
      <c r="BL1623" s="48"/>
      <c r="BM1623" s="55"/>
      <c r="BN1623" s="50" t="n">
        <v>12</v>
      </c>
      <c r="BO1623" s="50" t="n">
        <v>0</v>
      </c>
      <c r="BP1623" s="49" t="n">
        <v>0</v>
      </c>
      <c r="BQ1623" s="50" t="n">
        <v>0</v>
      </c>
      <c r="BR1623" s="48" t="s">
        <v>2579</v>
      </c>
      <c r="BS1623" s="53" t="n">
        <v>0</v>
      </c>
      <c r="BT1623" s="53" t="n">
        <v>1623</v>
      </c>
      <c r="BU1623" s="48" t="str">
        <f aca="false">IF(U1623&lt;&gt;"",UPPER(TRIM(U1623)),IF(BX1623=1,UPPER(VLOOKUP(T1623,Parameter!$I$27:$K$29,2,0)),IF(P1623="","LOSE",P1623)))</f>
        <v>S61</v>
      </c>
      <c r="BV1623" s="50" t="n">
        <f aca="false">IF(BU1623="LOSE",1,IF(N(V1623)&gt;0,V1623,IF(BX1623=1,MAX(1,N(VLOOKUP(T1623,Parameter!$I$27:$K$29,3,0)),H1623,N(N1623)),IF(N(Q1623)&gt;0,Q1623,MAX(1,H1623)))))</f>
        <v>12</v>
      </c>
      <c r="BW1623" s="53" t="n">
        <f aca="false">IF(BU1623="LOSE",1,0)</f>
        <v>0</v>
      </c>
      <c r="BX1623" s="53" t="n">
        <f aca="false">IF(AND(U1623="",OR(P1623="",P1623="LOSE"),T1623&lt;&gt;"",N(S1623)&lt;=0,ISNUMBER(MATCH(T1623,Parameter!$I$27:$I$29,0))),1,0)</f>
        <v>1</v>
      </c>
      <c r="BY1623" s="53" t="n">
        <f aca="false">IF(CL1623&gt;0,INDEX(Parameter!$H$5:$H$7,W1623)/INDEX(Parameter!$E$5:$E$7,W1623),IF(AND(BW1623=0,N(IFERROR(VLOOKUP(BU1623,'Gebinde-Kategorie'!$A$5:$N$45,14,0),0))&gt;0),VLOOKUP(BU1623,'Gebinde-Kategorie'!$A$5:$N$45,14,0)*10+Parameter!$M$23,Parameter!$M$24))</f>
        <v>145</v>
      </c>
      <c r="BZ1623" s="48" t="str">
        <f aca="false">IF(AND(Parameter!$B$19="Ja",E1623&lt;&gt;"",ISNUMBER(MATCH(E1623,Parameter!$I$35:$I$52,0))),VLOOKUP(E1623,Parameter!$I$35:$J$52,2,0),IFERROR(VLOOKUP(D1623,Parameter!$A$35:$C$64,2,0),"Nein"))</f>
        <v>Nein</v>
      </c>
      <c r="CA1623" s="52" t="n">
        <f aca="false">IF(BW1623=0,0,IF(N(S1623)&gt;0,S1623,IFERROR(VLOOKUP(D1623,Parameter!$A$35:$C$64,3,0)+0,0)))</f>
        <v>0</v>
      </c>
      <c r="CB1623" s="48" t="str">
        <f aca="false">IF(AA1623&lt;&gt;"",AA1623,Z1623)</f>
        <v>-</v>
      </c>
      <c r="CC1623" s="48" t="str">
        <f aca="false">IF(OR(CB1623=1,CB1623=2,CB1623=3),IF(Parameter!$E$27="Ja","LIFT",IF(CB1623=1,"L1","L23")),IF(CB1623="Aussen","Aussen","-"))</f>
        <v>-</v>
      </c>
      <c r="CD1623" s="59" t="n">
        <f aca="false">IF(N(AB1623)&gt;0,AB1623,0)</f>
        <v>0</v>
      </c>
      <c r="CE1623" s="53" t="n">
        <f aca="false">IF(ISNUMBER(AE1623),1,0)</f>
        <v>0</v>
      </c>
      <c r="CF1623" s="50" t="n">
        <f aca="false">N(AE1623)</f>
        <v>0</v>
      </c>
      <c r="CG1623" s="50" t="n">
        <f aca="false">N(M1623)+N(N1623)</f>
        <v>1</v>
      </c>
      <c r="CH1623" s="50" t="n">
        <f aca="false">ROUNDUP(H1623/BV1623,0)</f>
        <v>1</v>
      </c>
      <c r="CI1623" s="50" t="n">
        <f aca="false">ROUNDUP(CF1623/BV1623,0)</f>
        <v>0</v>
      </c>
      <c r="CJ1623" s="53" t="n">
        <f aca="false">IF(BW1623=1,0,IFERROR(VLOOKUP(BU1623,'Gebinde-Kategorie'!$A$5:$N$45,5,0)+0,0))</f>
        <v>11</v>
      </c>
      <c r="CK1623" s="53" t="n">
        <f aca="false">IFERROR(IF(OR(CB1623=1,CB1623=2,CB1623=3),N(INDEX(Parameter!$I$5:$I$7,CB1623)),0),0)</f>
        <v>0</v>
      </c>
      <c r="CL1623" s="52" t="n">
        <f aca="false">IF(AND(Parameter!$B$21="Ja",ISNUMBER(W1623),N(X1623)&gt;0),IFERROR(N(INDEX(Parameter!$L$5:$L$7,W1623))*INDEX(Parameter!$E$5:$E$7,W1623)*X1623/SUMIFS($X$7:$X$1843,$W$7:$W$1843,W1623),0),0)</f>
        <v>0</v>
      </c>
    </row>
    <row r="1624" customFormat="false" ht="15" hidden="false" customHeight="false" outlineLevel="0" collapsed="false">
      <c r="A1624" s="48" t="s">
        <v>2830</v>
      </c>
      <c r="B1624" s="48" t="s">
        <v>1854</v>
      </c>
      <c r="C1624" s="48" t="s">
        <v>168</v>
      </c>
      <c r="D1624" s="48" t="s">
        <v>177</v>
      </c>
      <c r="E1624" s="48"/>
      <c r="F1624" s="48"/>
      <c r="G1624" s="49" t="n">
        <v>92.44</v>
      </c>
      <c r="H1624" s="50" t="n">
        <f aca="false">MAX(0,IF(AND(Parameter!$B$21="Ja",ISNUMBER(Y1624)),Y1624,IF(Parameter!$B$20="Jahresanfang 2025 + Export",BO1624+BN1624,BN1624)))</f>
        <v>12</v>
      </c>
      <c r="I1624" s="50" t="n">
        <f aca="false">H1624*G1624</f>
        <v>1109.28</v>
      </c>
      <c r="J1624" s="50" t="n">
        <f aca="false">BQ1624*Parameter!$B$18</f>
        <v>0</v>
      </c>
      <c r="K1624" s="51"/>
      <c r="L1624" s="52"/>
      <c r="M1624" s="50" t="n">
        <v>0</v>
      </c>
      <c r="N1624" s="50" t="n">
        <v>1</v>
      </c>
      <c r="O1624" s="53" t="n">
        <v>28</v>
      </c>
      <c r="P1624" s="48" t="s">
        <v>172</v>
      </c>
      <c r="Q1624" s="50"/>
      <c r="R1624" s="53" t="n">
        <f aca="false">IF(BW1624=1,0,IFERROR(VLOOKUP(BU1624,'Gebinde-Kategorie'!$A$5:$N$45,13,0)+0,0))</f>
        <v>12</v>
      </c>
      <c r="S1624" s="54"/>
      <c r="T1624" s="55" t="s">
        <v>183</v>
      </c>
      <c r="U1624" s="55"/>
      <c r="V1624" s="55"/>
      <c r="W1624" s="48"/>
      <c r="X1624" s="50"/>
      <c r="Y1624" s="50"/>
      <c r="Z1624" s="48" t="n">
        <f aca="false">IF(A1624="","",IF(AND(Parameter!$B$21="Ja",ISNUMBER(W1624)),W1624,IF(BZ1624="2+3",IF(ISNUMBER(SEARCH("grosser Artikel",BR1624)),2,IFERROR(VLOOKUP(BU1624,Parameter!$F$35:$G$64,2,0),2)),IF(OR(BZ1624="Nein",BZ1624=""),"-",BZ1624))))</f>
        <v>2</v>
      </c>
      <c r="AA1624" s="55"/>
      <c r="AB1624" s="56"/>
      <c r="AC1624" s="50" t="n">
        <f aca="false">AT1624</f>
        <v>12</v>
      </c>
      <c r="AD1624" s="50" t="n">
        <f aca="false">MAX(AT1624,H1624)</f>
        <v>12</v>
      </c>
      <c r="AE1624" s="57"/>
      <c r="AF1624" s="50" t="n">
        <f aca="false">IF(LEFT(Cockpit!$C$5,1)="A",H1624,IF(CE1624=1,CF1624,IF(LEFT(Cockpit!$C$5,1)="B",AK1624,MAX(AK1624,H1624))))</f>
        <v>12</v>
      </c>
      <c r="AG1624" s="50" t="n">
        <f aca="false">IF(BW1624=1,0,ROUNDUP(AF1624/BV1624,0))</f>
        <v>1</v>
      </c>
      <c r="AH1624" s="52" t="n">
        <f aca="false">IF(CL1624&gt;0,CL1624*MAX(1,AF1624/X1624),IF(BW1624=1,IF(AF1624&lt;=0,0,CA1624*MAX(1,IF(H1624&gt;0,AF1624/H1624,1))),IF(R1624&gt;0,AG1624/R1624,0))/MAX(0.1,N(Parameter!$M$21)))</f>
        <v>0.0833333333333333</v>
      </c>
      <c r="AI1624" s="50" t="n">
        <f aca="false">AH1624*BY1624</f>
        <v>12.0833333333333</v>
      </c>
      <c r="AJ1624" s="50" t="n">
        <f aca="false">AF1624*G1624</f>
        <v>1109.28</v>
      </c>
      <c r="AK1624" s="50" t="n">
        <f aca="false">ROUNDUP(MAX(J1624/IF(CD1624&gt;0,CD1624,MAX(0.1,N(Cockpit!$C$6))),CG1624)/BV1624,0)*BV1624</f>
        <v>12</v>
      </c>
      <c r="AL1624" s="51" t="n">
        <f aca="false">IF(AI1624&gt;0,J1624/AI1624,-1)</f>
        <v>0</v>
      </c>
      <c r="AM1624" s="51" t="n">
        <f aca="false">IF(AND(OR(CC1624="L1",CC1624="L23",CC1624="LIFT"),AI1624&gt;0),SUMIFS($AI$7:$AI$1843,$CC$7:$CC$1843,CC1624,$AL$7:$AL$1843,"&gt;"&amp;AL1624)+SUMIFS($AI$7:$AI$1843,$CC$7:$CC$1843,CC1624,$AL$7:$AL$1843,AL1624,$BT$7:$BT$1843,"&lt;="&amp;BT1624),"")</f>
        <v>30866.3546517042</v>
      </c>
      <c r="AN1624" s="58" t="n">
        <f aca="false">IF(AM1624="",0,MAX(0,MIN(1,(IF(CC1624="L1",Parameter!$H$5,IF(CC1624="L23",Parameter!$H$6+Parameter!$H$7,Parameter!$H$5+Parameter!$H$6+Parameter!$H$7))-(AM1624-AI1624))/AI1624)))</f>
        <v>1</v>
      </c>
      <c r="AO1624" s="50" t="n">
        <f aca="false">IF(LEFT(Cockpit!$I$5,1)="A",H1624,IF(CE1624=1,CF1624,IF(LEFT(Cockpit!$I$5,1)="B",AT1624,MAX(AT1624,H1624))))</f>
        <v>12</v>
      </c>
      <c r="AP1624" s="50" t="n">
        <f aca="false">IF(BW1624=1,0,ROUNDUP(AO1624/BV1624,0))</f>
        <v>1</v>
      </c>
      <c r="AQ1624" s="52" t="n">
        <f aca="false">IF(CL1624&gt;0,CL1624*MAX(1,AO1624/X1624),IF(BW1624=1,IF(AO1624&lt;=0,0,CA1624*MAX(1,IF(H1624&gt;0,AO1624/H1624,1))),IF(R1624&gt;0,AP1624/R1624,0))/MAX(0.1,N(Parameter!$M$21)))</f>
        <v>0.0833333333333333</v>
      </c>
      <c r="AR1624" s="50" t="n">
        <f aca="false">AQ1624*BY1624</f>
        <v>12.0833333333333</v>
      </c>
      <c r="AS1624" s="50" t="n">
        <f aca="false">AO1624*G1624</f>
        <v>1109.28</v>
      </c>
      <c r="AT1624" s="50" t="n">
        <f aca="false">ROUNDUP(MAX(J1624/IF(CD1624&gt;0,CD1624,MAX(0.1,N(Cockpit!$I$6))),CG1624)/BV1624,0)*BV1624</f>
        <v>12</v>
      </c>
      <c r="AU1624" s="51" t="n">
        <f aca="false">IF(AR1624&gt;0,J1624/AR1624,-1)</f>
        <v>0</v>
      </c>
      <c r="AV1624" s="51" t="n">
        <f aca="false">IF(AND(OR(CC1624="L1",CC1624="L23",CC1624="LIFT"),AR1624&gt;0),SUMIFS($AR$7:$AR$1843,$CC$7:$CC$1843,CC1624,$AU$7:$AU$1843,"&gt;"&amp;AU1624)+SUMIFS($AR$7:$AR$1843,$CC$7:$CC$1843,CC1624,$AU$7:$AU$1843,AU1624,$BT$7:$BT$1843,"&lt;="&amp;BT1624),"")</f>
        <v>43228.256963846</v>
      </c>
      <c r="AW1624" s="58" t="n">
        <f aca="false">IF(AV1624="",0,MAX(0,MIN(1,(IF(CC1624="L1",Parameter!$H$5,IF(CC1624="L23",Parameter!$H$6+Parameter!$H$7,Parameter!$H$5+Parameter!$H$6+Parameter!$H$7))-(AV1624-AR1624))/AR1624)))</f>
        <v>0</v>
      </c>
      <c r="AX1624" s="50" t="n">
        <f aca="false">IF(LEFT(Cockpit!$O$5,1)="A",H1624,IF(CE1624=1,CF1624,IF(LEFT(Cockpit!$O$5,1)="B",BC1624,MAX(BC1624,H1624))))</f>
        <v>12</v>
      </c>
      <c r="AY1624" s="50" t="n">
        <f aca="false">IF(BW1624=1,0,ROUNDUP(AX1624/BV1624,0))</f>
        <v>1</v>
      </c>
      <c r="AZ1624" s="52" t="n">
        <f aca="false">IF(CL1624&gt;0,CL1624*MAX(1,AX1624/X1624),IF(BW1624=1,IF(AX1624&lt;=0,0,CA1624*MAX(1,IF(H1624&gt;0,AX1624/H1624,1))),IF(R1624&gt;0,AY1624/R1624,0))/MAX(0.1,N(Parameter!$M$21)))</f>
        <v>0.0833333333333333</v>
      </c>
      <c r="BA1624" s="50" t="n">
        <f aca="false">AZ1624*BY1624</f>
        <v>12.0833333333333</v>
      </c>
      <c r="BB1624" s="50" t="n">
        <f aca="false">AX1624*G1624</f>
        <v>1109.28</v>
      </c>
      <c r="BC1624" s="50" t="n">
        <f aca="false">ROUNDUP(MAX(J1624/IF(CD1624&gt;0,CD1624,MAX(0.1,N(Cockpit!$O$6))),CG1624)/BV1624,0)*BV1624</f>
        <v>12</v>
      </c>
      <c r="BD1624" s="51" t="n">
        <f aca="false">IF(BA1624&gt;0,J1624/BA1624,-1)</f>
        <v>0</v>
      </c>
      <c r="BE1624" s="51" t="n">
        <f aca="false">IF(AND(OR(CC1624="L1",CC1624="L23",CC1624="LIFT"),BA1624&gt;0),SUMIFS($BA$7:$BA$1843,$CC$7:$CC$1843,CC1624,$BD$7:$BD$1843,"&gt;"&amp;BD1624)+SUMIFS($BA$7:$BA$1843,$CC$7:$CC$1843,CC1624,$BD$7:$BD$1843,BD1624,$BT$7:$BT$1843,"&lt;="&amp;BT1624),"")</f>
        <v>39903.2690057118</v>
      </c>
      <c r="BF1624" s="58" t="n">
        <f aca="false">IF(BE1624="",0,MAX(0,MIN(1,(IF(CC1624="L1",Parameter!$H$5,IF(CC1624="L23",Parameter!$H$6+Parameter!$H$7,Parameter!$H$5+Parameter!$H$6+Parameter!$H$7))-(BE1624-BA1624))/BA1624)))</f>
        <v>0</v>
      </c>
      <c r="BG1624" s="48" t="str">
        <f aca="false">IF(AI1624&lt;=0,"",IF(CC1624="Aussen","Aussenlager",IF(CC1624="-","Nicht im Lift",IF(AN1624&gt;=1,"Lift",IF(AN1624&lt;=0,"Aussenlager","teilweise")))))</f>
        <v>Lift</v>
      </c>
      <c r="BH1624" s="48" t="str">
        <f aca="false">IF(AR1624&lt;=0,"",IF(CC1624="Aussen","Aussenlager",IF(CC1624="-","Nicht im Lift",IF(AW1624&gt;=1,"Lift",IF(AW1624&lt;=0,"Aussenlager","teilweise")))))</f>
        <v>Aussenlager</v>
      </c>
      <c r="BI1624" s="48" t="str">
        <f aca="false">IF(BA1624&lt;=0,"",IF(CC1624="Aussen","Aussenlager",IF(CC1624="-","Nicht im Lift",IF(BF1624&gt;=1,"Lift",IF(BF1624&lt;=0,"Aussenlager","teilweise")))))</f>
        <v>Aussenlager</v>
      </c>
      <c r="BJ1624" s="48" t="str">
        <f aca="false">IF(A1624="","",IF(BS1624=1,"Neu; ","")&amp;IF(AND(BS1624=0,BN1624&lt;0),"negativer Bestand (Export "&amp;BN1624&amp;"); ","")&amp;IF(J1624&lt;=0,"Kein Verbrauch; ","")&amp;IF(CL1624&gt;0,"Lift "&amp;W1624&amp;" lt. Liftbericht (Fach "&amp;X1624&amp;" Stk); ",IF(BX1624=1,"Gebinde geschätzt ("&amp;T1624&amp;"); ",IF(BW1624=1,"Lose – Tablare geschätzt; ","")))&amp;IF(H1624&gt;AT1624,"Überbestand "&amp;ROUND(H1624-AT1624,0)&amp;" Stk / CHF "&amp;ROUND((H1624-AT1624)*G1624,0)&amp;"; ","")&amp;IF(AND(CE1624=1,CF1624&lt;CG1624),"MAX &lt; MB+LG; ","")&amp;IF(AND(CK1624&gt;0,CJ1624*10&gt;CK1624),"zu hoch für Tablar; ","")&amp;IF(AND(BS1624=0,OR(CE1624=1,AA1624&lt;&gt;"",U1624&lt;&gt;"",V1624&lt;&gt;"",AB1624&lt;&gt;"")),"manuell übersteuert; ","")&amp;IF(AND(BW1624=0,R1624=0),"Gebinde unbekannt / Stellmass fehlt; ","")&amp;IF(AND(BW1624=0,N(V1624)&lt;=0,N(Q1624)&lt;=0),"Menge pro Gebinde fehlt (Ist = 1 Gebinde); ","")&amp;BR1624)</f>
        <v>Kein Verbrauch; Gebinde geschätzt (Mittel); Menge pro Gebinde fehlt (Ist = 1 Gebinde); nur im Artikelstamm (Bestand 23.06.2026)</v>
      </c>
      <c r="BK1624" s="48"/>
      <c r="BL1624" s="48"/>
      <c r="BM1624" s="55"/>
      <c r="BN1624" s="50" t="n">
        <v>12</v>
      </c>
      <c r="BO1624" s="50" t="n">
        <v>0</v>
      </c>
      <c r="BP1624" s="49" t="n">
        <v>0</v>
      </c>
      <c r="BQ1624" s="50" t="n">
        <v>0</v>
      </c>
      <c r="BR1624" s="48" t="s">
        <v>2579</v>
      </c>
      <c r="BS1624" s="53" t="n">
        <v>0</v>
      </c>
      <c r="BT1624" s="53" t="n">
        <v>1624</v>
      </c>
      <c r="BU1624" s="48" t="str">
        <f aca="false">IF(U1624&lt;&gt;"",UPPER(TRIM(U1624)),IF(BX1624=1,UPPER(VLOOKUP(T1624,Parameter!$I$27:$K$29,2,0)),IF(P1624="","LOSE",P1624)))</f>
        <v>S61</v>
      </c>
      <c r="BV1624" s="50" t="n">
        <f aca="false">IF(BU1624="LOSE",1,IF(N(V1624)&gt;0,V1624,IF(BX1624=1,MAX(1,N(VLOOKUP(T1624,Parameter!$I$27:$K$29,3,0)),H1624,N(N1624)),IF(N(Q1624)&gt;0,Q1624,MAX(1,H1624)))))</f>
        <v>12</v>
      </c>
      <c r="BW1624" s="53" t="n">
        <f aca="false">IF(BU1624="LOSE",1,0)</f>
        <v>0</v>
      </c>
      <c r="BX1624" s="53" t="n">
        <f aca="false">IF(AND(U1624="",OR(P1624="",P1624="LOSE"),T1624&lt;&gt;"",N(S1624)&lt;=0,ISNUMBER(MATCH(T1624,Parameter!$I$27:$I$29,0))),1,0)</f>
        <v>1</v>
      </c>
      <c r="BY1624" s="53" t="n">
        <f aca="false">IF(CL1624&gt;0,INDEX(Parameter!$H$5:$H$7,W1624)/INDEX(Parameter!$E$5:$E$7,W1624),IF(AND(BW1624=0,N(IFERROR(VLOOKUP(BU1624,'Gebinde-Kategorie'!$A$5:$N$45,14,0),0))&gt;0),VLOOKUP(BU1624,'Gebinde-Kategorie'!$A$5:$N$45,14,0)*10+Parameter!$M$23,Parameter!$M$24))</f>
        <v>145</v>
      </c>
      <c r="BZ1624" s="48" t="str">
        <f aca="false">IF(AND(Parameter!$B$19="Ja",E1624&lt;&gt;"",ISNUMBER(MATCH(E1624,Parameter!$I$35:$I$52,0))),VLOOKUP(E1624,Parameter!$I$35:$J$52,2,0),IFERROR(VLOOKUP(D1624,Parameter!$A$35:$C$64,2,0),"Nein"))</f>
        <v>2+3</v>
      </c>
      <c r="CA1624" s="52" t="n">
        <f aca="false">IF(BW1624=0,0,IF(N(S1624)&gt;0,S1624,IFERROR(VLOOKUP(D1624,Parameter!$A$35:$C$64,3,0)+0,0)))</f>
        <v>0</v>
      </c>
      <c r="CB1624" s="48" t="n">
        <f aca="false">IF(AA1624&lt;&gt;"",AA1624,Z1624)</f>
        <v>2</v>
      </c>
      <c r="CC1624" s="48" t="str">
        <f aca="false">IF(OR(CB1624=1,CB1624=2,CB1624=3),IF(Parameter!$E$27="Ja","LIFT",IF(CB1624=1,"L1","L23")),IF(CB1624="Aussen","Aussen","-"))</f>
        <v>LIFT</v>
      </c>
      <c r="CD1624" s="59" t="n">
        <f aca="false">IF(N(AB1624)&gt;0,AB1624,0)</f>
        <v>0</v>
      </c>
      <c r="CE1624" s="53" t="n">
        <f aca="false">IF(ISNUMBER(AE1624),1,0)</f>
        <v>0</v>
      </c>
      <c r="CF1624" s="50" t="n">
        <f aca="false">N(AE1624)</f>
        <v>0</v>
      </c>
      <c r="CG1624" s="50" t="n">
        <f aca="false">N(M1624)+N(N1624)</f>
        <v>1</v>
      </c>
      <c r="CH1624" s="50" t="n">
        <f aca="false">ROUNDUP(H1624/BV1624,0)</f>
        <v>1</v>
      </c>
      <c r="CI1624" s="50" t="n">
        <f aca="false">ROUNDUP(CF1624/BV1624,0)</f>
        <v>0</v>
      </c>
      <c r="CJ1624" s="53" t="n">
        <f aca="false">IF(BW1624=1,0,IFERROR(VLOOKUP(BU1624,'Gebinde-Kategorie'!$A$5:$N$45,5,0)+0,0))</f>
        <v>11</v>
      </c>
      <c r="CK1624" s="53" t="n">
        <f aca="false">IFERROR(IF(OR(CB1624=1,CB1624=2,CB1624=3),N(INDEX(Parameter!$I$5:$I$7,CB1624)),0),0)</f>
        <v>0</v>
      </c>
      <c r="CL1624" s="52" t="n">
        <f aca="false">IF(AND(Parameter!$B$21="Ja",ISNUMBER(W1624),N(X1624)&gt;0),IFERROR(N(INDEX(Parameter!$L$5:$L$7,W1624))*INDEX(Parameter!$E$5:$E$7,W1624)*X1624/SUMIFS($X$7:$X$1843,$W$7:$W$1843,W1624),0),0)</f>
        <v>0</v>
      </c>
    </row>
    <row r="1625" customFormat="false" ht="15" hidden="false" customHeight="false" outlineLevel="0" collapsed="false">
      <c r="A1625" s="48" t="s">
        <v>2831</v>
      </c>
      <c r="B1625" s="48" t="s">
        <v>1854</v>
      </c>
      <c r="C1625" s="48" t="s">
        <v>460</v>
      </c>
      <c r="D1625" s="48" t="s">
        <v>177</v>
      </c>
      <c r="E1625" s="48"/>
      <c r="F1625" s="48"/>
      <c r="G1625" s="49" t="n">
        <v>103.75</v>
      </c>
      <c r="H1625" s="50" t="n">
        <f aca="false">MAX(0,IF(AND(Parameter!$B$21="Ja",ISNUMBER(Y1625)),Y1625,IF(Parameter!$B$20="Jahresanfang 2025 + Export",BO1625+BN1625,BN1625)))</f>
        <v>9</v>
      </c>
      <c r="I1625" s="50" t="n">
        <f aca="false">H1625*G1625</f>
        <v>933.75</v>
      </c>
      <c r="J1625" s="50" t="n">
        <f aca="false">BQ1625*Parameter!$B$18</f>
        <v>0</v>
      </c>
      <c r="K1625" s="51"/>
      <c r="L1625" s="52"/>
      <c r="M1625" s="50" t="n">
        <v>0</v>
      </c>
      <c r="N1625" s="50" t="n">
        <v>1</v>
      </c>
      <c r="O1625" s="53" t="n">
        <v>14</v>
      </c>
      <c r="P1625" s="48" t="s">
        <v>172</v>
      </c>
      <c r="Q1625" s="50"/>
      <c r="R1625" s="53" t="n">
        <f aca="false">IF(BW1625=1,0,IFERROR(VLOOKUP(BU1625,'Gebinde-Kategorie'!$A$5:$N$45,13,0)+0,0))</f>
        <v>12</v>
      </c>
      <c r="S1625" s="54"/>
      <c r="T1625" s="55" t="s">
        <v>183</v>
      </c>
      <c r="U1625" s="55"/>
      <c r="V1625" s="55"/>
      <c r="W1625" s="48"/>
      <c r="X1625" s="50"/>
      <c r="Y1625" s="50"/>
      <c r="Z1625" s="48" t="n">
        <f aca="false">IF(A1625="","",IF(AND(Parameter!$B$21="Ja",ISNUMBER(W1625)),W1625,IF(BZ1625="2+3",IF(ISNUMBER(SEARCH("grosser Artikel",BR1625)),2,IFERROR(VLOOKUP(BU1625,Parameter!$F$35:$G$64,2,0),2)),IF(OR(BZ1625="Nein",BZ1625=""),"-",BZ1625))))</f>
        <v>2</v>
      </c>
      <c r="AA1625" s="55"/>
      <c r="AB1625" s="56"/>
      <c r="AC1625" s="50" t="n">
        <f aca="false">AT1625</f>
        <v>9</v>
      </c>
      <c r="AD1625" s="50" t="n">
        <f aca="false">MAX(AT1625,H1625)</f>
        <v>9</v>
      </c>
      <c r="AE1625" s="57"/>
      <c r="AF1625" s="50" t="n">
        <f aca="false">IF(LEFT(Cockpit!$C$5,1)="A",H1625,IF(CE1625=1,CF1625,IF(LEFT(Cockpit!$C$5,1)="B",AK1625,MAX(AK1625,H1625))))</f>
        <v>9</v>
      </c>
      <c r="AG1625" s="50" t="n">
        <f aca="false">IF(BW1625=1,0,ROUNDUP(AF1625/BV1625,0))</f>
        <v>1</v>
      </c>
      <c r="AH1625" s="52" t="n">
        <f aca="false">IF(CL1625&gt;0,CL1625*MAX(1,AF1625/X1625),IF(BW1625=1,IF(AF1625&lt;=0,0,CA1625*MAX(1,IF(H1625&gt;0,AF1625/H1625,1))),IF(R1625&gt;0,AG1625/R1625,0))/MAX(0.1,N(Parameter!$M$21)))</f>
        <v>0.0833333333333333</v>
      </c>
      <c r="AI1625" s="50" t="n">
        <f aca="false">AH1625*BY1625</f>
        <v>12.0833333333333</v>
      </c>
      <c r="AJ1625" s="50" t="n">
        <f aca="false">AF1625*G1625</f>
        <v>933.75</v>
      </c>
      <c r="AK1625" s="50" t="n">
        <f aca="false">ROUNDUP(MAX(J1625/IF(CD1625&gt;0,CD1625,MAX(0.1,N(Cockpit!$C$6))),CG1625)/BV1625,0)*BV1625</f>
        <v>9</v>
      </c>
      <c r="AL1625" s="51" t="n">
        <f aca="false">IF(AI1625&gt;0,J1625/AI1625,-1)</f>
        <v>0</v>
      </c>
      <c r="AM1625" s="51" t="n">
        <f aca="false">IF(AND(OR(CC1625="L1",CC1625="L23",CC1625="LIFT"),AI1625&gt;0),SUMIFS($AI$7:$AI$1843,$CC$7:$CC$1843,CC1625,$AL$7:$AL$1843,"&gt;"&amp;AL1625)+SUMIFS($AI$7:$AI$1843,$CC$7:$CC$1843,CC1625,$AL$7:$AL$1843,AL1625,$BT$7:$BT$1843,"&lt;="&amp;BT1625),"")</f>
        <v>30878.4379850376</v>
      </c>
      <c r="AN1625" s="58" t="n">
        <f aca="false">IF(AM1625="",0,MAX(0,MIN(1,(IF(CC1625="L1",Parameter!$H$5,IF(CC1625="L23",Parameter!$H$6+Parameter!$H$7,Parameter!$H$5+Parameter!$H$6+Parameter!$H$7))-(AM1625-AI1625))/AI1625)))</f>
        <v>1</v>
      </c>
      <c r="AO1625" s="50" t="n">
        <f aca="false">IF(LEFT(Cockpit!$I$5,1)="A",H1625,IF(CE1625=1,CF1625,IF(LEFT(Cockpit!$I$5,1)="B",AT1625,MAX(AT1625,H1625))))</f>
        <v>9</v>
      </c>
      <c r="AP1625" s="50" t="n">
        <f aca="false">IF(BW1625=1,0,ROUNDUP(AO1625/BV1625,0))</f>
        <v>1</v>
      </c>
      <c r="AQ1625" s="52" t="n">
        <f aca="false">IF(CL1625&gt;0,CL1625*MAX(1,AO1625/X1625),IF(BW1625=1,IF(AO1625&lt;=0,0,CA1625*MAX(1,IF(H1625&gt;0,AO1625/H1625,1))),IF(R1625&gt;0,AP1625/R1625,0))/MAX(0.1,N(Parameter!$M$21)))</f>
        <v>0.0833333333333333</v>
      </c>
      <c r="AR1625" s="50" t="n">
        <f aca="false">AQ1625*BY1625</f>
        <v>12.0833333333333</v>
      </c>
      <c r="AS1625" s="50" t="n">
        <f aca="false">AO1625*G1625</f>
        <v>933.75</v>
      </c>
      <c r="AT1625" s="50" t="n">
        <f aca="false">ROUNDUP(MAX(J1625/IF(CD1625&gt;0,CD1625,MAX(0.1,N(Cockpit!$I$6))),CG1625)/BV1625,0)*BV1625</f>
        <v>9</v>
      </c>
      <c r="AU1625" s="51" t="n">
        <f aca="false">IF(AR1625&gt;0,J1625/AR1625,-1)</f>
        <v>0</v>
      </c>
      <c r="AV1625" s="51" t="n">
        <f aca="false">IF(AND(OR(CC1625="L1",CC1625="L23",CC1625="LIFT"),AR1625&gt;0),SUMIFS($AR$7:$AR$1843,$CC$7:$CC$1843,CC1625,$AU$7:$AU$1843,"&gt;"&amp;AU1625)+SUMIFS($AR$7:$AR$1843,$CC$7:$CC$1843,CC1625,$AU$7:$AU$1843,AU1625,$BT$7:$BT$1843,"&lt;="&amp;BT1625),"")</f>
        <v>43240.3402971793</v>
      </c>
      <c r="AW1625" s="58" t="n">
        <f aca="false">IF(AV1625="",0,MAX(0,MIN(1,(IF(CC1625="L1",Parameter!$H$5,IF(CC1625="L23",Parameter!$H$6+Parameter!$H$7,Parameter!$H$5+Parameter!$H$6+Parameter!$H$7))-(AV1625-AR1625))/AR1625)))</f>
        <v>0</v>
      </c>
      <c r="AX1625" s="50" t="n">
        <f aca="false">IF(LEFT(Cockpit!$O$5,1)="A",H1625,IF(CE1625=1,CF1625,IF(LEFT(Cockpit!$O$5,1)="B",BC1625,MAX(BC1625,H1625))))</f>
        <v>9</v>
      </c>
      <c r="AY1625" s="50" t="n">
        <f aca="false">IF(BW1625=1,0,ROUNDUP(AX1625/BV1625,0))</f>
        <v>1</v>
      </c>
      <c r="AZ1625" s="52" t="n">
        <f aca="false">IF(CL1625&gt;0,CL1625*MAX(1,AX1625/X1625),IF(BW1625=1,IF(AX1625&lt;=0,0,CA1625*MAX(1,IF(H1625&gt;0,AX1625/H1625,1))),IF(R1625&gt;0,AY1625/R1625,0))/MAX(0.1,N(Parameter!$M$21)))</f>
        <v>0.0833333333333333</v>
      </c>
      <c r="BA1625" s="50" t="n">
        <f aca="false">AZ1625*BY1625</f>
        <v>12.0833333333333</v>
      </c>
      <c r="BB1625" s="50" t="n">
        <f aca="false">AX1625*G1625</f>
        <v>933.75</v>
      </c>
      <c r="BC1625" s="50" t="n">
        <f aca="false">ROUNDUP(MAX(J1625/IF(CD1625&gt;0,CD1625,MAX(0.1,N(Cockpit!$O$6))),CG1625)/BV1625,0)*BV1625</f>
        <v>9</v>
      </c>
      <c r="BD1625" s="51" t="n">
        <f aca="false">IF(BA1625&gt;0,J1625/BA1625,-1)</f>
        <v>0</v>
      </c>
      <c r="BE1625" s="51" t="n">
        <f aca="false">IF(AND(OR(CC1625="L1",CC1625="L23",CC1625="LIFT"),BA1625&gt;0),SUMIFS($BA$7:$BA$1843,$CC$7:$CC$1843,CC1625,$BD$7:$BD$1843,"&gt;"&amp;BD1625)+SUMIFS($BA$7:$BA$1843,$CC$7:$CC$1843,CC1625,$BD$7:$BD$1843,BD1625,$BT$7:$BT$1843,"&lt;="&amp;BT1625),"")</f>
        <v>39915.3523390451</v>
      </c>
      <c r="BF1625" s="58" t="n">
        <f aca="false">IF(BE1625="",0,MAX(0,MIN(1,(IF(CC1625="L1",Parameter!$H$5,IF(CC1625="L23",Parameter!$H$6+Parameter!$H$7,Parameter!$H$5+Parameter!$H$6+Parameter!$H$7))-(BE1625-BA1625))/BA1625)))</f>
        <v>0</v>
      </c>
      <c r="BG1625" s="48" t="str">
        <f aca="false">IF(AI1625&lt;=0,"",IF(CC1625="Aussen","Aussenlager",IF(CC1625="-","Nicht im Lift",IF(AN1625&gt;=1,"Lift",IF(AN1625&lt;=0,"Aussenlager","teilweise")))))</f>
        <v>Lift</v>
      </c>
      <c r="BH1625" s="48" t="str">
        <f aca="false">IF(AR1625&lt;=0,"",IF(CC1625="Aussen","Aussenlager",IF(CC1625="-","Nicht im Lift",IF(AW1625&gt;=1,"Lift",IF(AW1625&lt;=0,"Aussenlager","teilweise")))))</f>
        <v>Aussenlager</v>
      </c>
      <c r="BI1625" s="48" t="str">
        <f aca="false">IF(BA1625&lt;=0,"",IF(CC1625="Aussen","Aussenlager",IF(CC1625="-","Nicht im Lift",IF(BF1625&gt;=1,"Lift",IF(BF1625&lt;=0,"Aussenlager","teilweise")))))</f>
        <v>Aussenlager</v>
      </c>
      <c r="BJ1625" s="48" t="str">
        <f aca="false">IF(A1625="","",IF(BS1625=1,"Neu; ","")&amp;IF(AND(BS1625=0,BN1625&lt;0),"negativer Bestand (Export "&amp;BN1625&amp;"); ","")&amp;IF(J1625&lt;=0,"Kein Verbrauch; ","")&amp;IF(CL1625&gt;0,"Lift "&amp;W1625&amp;" lt. Liftbericht (Fach "&amp;X1625&amp;" Stk); ",IF(BX1625=1,"Gebinde geschätzt ("&amp;T1625&amp;"); ",IF(BW1625=1,"Lose – Tablare geschätzt; ","")))&amp;IF(H1625&gt;AT1625,"Überbestand "&amp;ROUND(H1625-AT1625,0)&amp;" Stk / CHF "&amp;ROUND((H1625-AT1625)*G1625,0)&amp;"; ","")&amp;IF(AND(CE1625=1,CF1625&lt;CG1625),"MAX &lt; MB+LG; ","")&amp;IF(AND(CK1625&gt;0,CJ1625*10&gt;CK1625),"zu hoch für Tablar; ","")&amp;IF(AND(BS1625=0,OR(CE1625=1,AA1625&lt;&gt;"",U1625&lt;&gt;"",V1625&lt;&gt;"",AB1625&lt;&gt;"")),"manuell übersteuert; ","")&amp;IF(AND(BW1625=0,R1625=0),"Gebinde unbekannt / Stellmass fehlt; ","")&amp;IF(AND(BW1625=0,N(V1625)&lt;=0,N(Q1625)&lt;=0),"Menge pro Gebinde fehlt (Ist = 1 Gebinde); ","")&amp;BR1625)</f>
        <v>Kein Verbrauch; Gebinde geschätzt (Mittel); Menge pro Gebinde fehlt (Ist = 1 Gebinde); nur im Artikelstamm (Bestand 23.06.2026)</v>
      </c>
      <c r="BK1625" s="48"/>
      <c r="BL1625" s="48"/>
      <c r="BM1625" s="55"/>
      <c r="BN1625" s="50" t="n">
        <v>9</v>
      </c>
      <c r="BO1625" s="50" t="n">
        <v>0</v>
      </c>
      <c r="BP1625" s="49" t="n">
        <v>0</v>
      </c>
      <c r="BQ1625" s="50" t="n">
        <v>0</v>
      </c>
      <c r="BR1625" s="48" t="s">
        <v>2579</v>
      </c>
      <c r="BS1625" s="53" t="n">
        <v>0</v>
      </c>
      <c r="BT1625" s="53" t="n">
        <v>1625</v>
      </c>
      <c r="BU1625" s="48" t="str">
        <f aca="false">IF(U1625&lt;&gt;"",UPPER(TRIM(U1625)),IF(BX1625=1,UPPER(VLOOKUP(T1625,Parameter!$I$27:$K$29,2,0)),IF(P1625="","LOSE",P1625)))</f>
        <v>S61</v>
      </c>
      <c r="BV1625" s="50" t="n">
        <f aca="false">IF(BU1625="LOSE",1,IF(N(V1625)&gt;0,V1625,IF(BX1625=1,MAX(1,N(VLOOKUP(T1625,Parameter!$I$27:$K$29,3,0)),H1625,N(N1625)),IF(N(Q1625)&gt;0,Q1625,MAX(1,H1625)))))</f>
        <v>9</v>
      </c>
      <c r="BW1625" s="53" t="n">
        <f aca="false">IF(BU1625="LOSE",1,0)</f>
        <v>0</v>
      </c>
      <c r="BX1625" s="53" t="n">
        <f aca="false">IF(AND(U1625="",OR(P1625="",P1625="LOSE"),T1625&lt;&gt;"",N(S1625)&lt;=0,ISNUMBER(MATCH(T1625,Parameter!$I$27:$I$29,0))),1,0)</f>
        <v>1</v>
      </c>
      <c r="BY1625" s="53" t="n">
        <f aca="false">IF(CL1625&gt;0,INDEX(Parameter!$H$5:$H$7,W1625)/INDEX(Parameter!$E$5:$E$7,W1625),IF(AND(BW1625=0,N(IFERROR(VLOOKUP(BU1625,'Gebinde-Kategorie'!$A$5:$N$45,14,0),0))&gt;0),VLOOKUP(BU1625,'Gebinde-Kategorie'!$A$5:$N$45,14,0)*10+Parameter!$M$23,Parameter!$M$24))</f>
        <v>145</v>
      </c>
      <c r="BZ1625" s="48" t="str">
        <f aca="false">IF(AND(Parameter!$B$19="Ja",E1625&lt;&gt;"",ISNUMBER(MATCH(E1625,Parameter!$I$35:$I$52,0))),VLOOKUP(E1625,Parameter!$I$35:$J$52,2,0),IFERROR(VLOOKUP(D1625,Parameter!$A$35:$C$64,2,0),"Nein"))</f>
        <v>2+3</v>
      </c>
      <c r="CA1625" s="52" t="n">
        <f aca="false">IF(BW1625=0,0,IF(N(S1625)&gt;0,S1625,IFERROR(VLOOKUP(D1625,Parameter!$A$35:$C$64,3,0)+0,0)))</f>
        <v>0</v>
      </c>
      <c r="CB1625" s="48" t="n">
        <f aca="false">IF(AA1625&lt;&gt;"",AA1625,Z1625)</f>
        <v>2</v>
      </c>
      <c r="CC1625" s="48" t="str">
        <f aca="false">IF(OR(CB1625=1,CB1625=2,CB1625=3),IF(Parameter!$E$27="Ja","LIFT",IF(CB1625=1,"L1","L23")),IF(CB1625="Aussen","Aussen","-"))</f>
        <v>LIFT</v>
      </c>
      <c r="CD1625" s="59" t="n">
        <f aca="false">IF(N(AB1625)&gt;0,AB1625,0)</f>
        <v>0</v>
      </c>
      <c r="CE1625" s="53" t="n">
        <f aca="false">IF(ISNUMBER(AE1625),1,0)</f>
        <v>0</v>
      </c>
      <c r="CF1625" s="50" t="n">
        <f aca="false">N(AE1625)</f>
        <v>0</v>
      </c>
      <c r="CG1625" s="50" t="n">
        <f aca="false">N(M1625)+N(N1625)</f>
        <v>1</v>
      </c>
      <c r="CH1625" s="50" t="n">
        <f aca="false">ROUNDUP(H1625/BV1625,0)</f>
        <v>1</v>
      </c>
      <c r="CI1625" s="50" t="n">
        <f aca="false">ROUNDUP(CF1625/BV1625,0)</f>
        <v>0</v>
      </c>
      <c r="CJ1625" s="53" t="n">
        <f aca="false">IF(BW1625=1,0,IFERROR(VLOOKUP(BU1625,'Gebinde-Kategorie'!$A$5:$N$45,5,0)+0,0))</f>
        <v>11</v>
      </c>
      <c r="CK1625" s="53" t="n">
        <f aca="false">IFERROR(IF(OR(CB1625=1,CB1625=2,CB1625=3),N(INDEX(Parameter!$I$5:$I$7,CB1625)),0),0)</f>
        <v>0</v>
      </c>
      <c r="CL1625" s="52" t="n">
        <f aca="false">IF(AND(Parameter!$B$21="Ja",ISNUMBER(W1625),N(X1625)&gt;0),IFERROR(N(INDEX(Parameter!$L$5:$L$7,W1625))*INDEX(Parameter!$E$5:$E$7,W1625)*X1625/SUMIFS($X$7:$X$1843,$W$7:$W$1843,W1625),0),0)</f>
        <v>0</v>
      </c>
    </row>
    <row r="1626" customFormat="false" ht="15" hidden="false" customHeight="false" outlineLevel="0" collapsed="false">
      <c r="A1626" s="48" t="s">
        <v>2832</v>
      </c>
      <c r="B1626" s="48" t="s">
        <v>2833</v>
      </c>
      <c r="C1626" s="48" t="s">
        <v>168</v>
      </c>
      <c r="D1626" s="48" t="s">
        <v>177</v>
      </c>
      <c r="E1626" s="48"/>
      <c r="F1626" s="48"/>
      <c r="G1626" s="49" t="n">
        <v>49.21</v>
      </c>
      <c r="H1626" s="50" t="n">
        <f aca="false">MAX(0,IF(AND(Parameter!$B$21="Ja",ISNUMBER(Y1626)),Y1626,IF(Parameter!$B$20="Jahresanfang 2025 + Export",BO1626+BN1626,BN1626)))</f>
        <v>37</v>
      </c>
      <c r="I1626" s="50" t="n">
        <f aca="false">H1626*G1626</f>
        <v>1820.77</v>
      </c>
      <c r="J1626" s="50" t="n">
        <f aca="false">BQ1626*Parameter!$B$18</f>
        <v>0</v>
      </c>
      <c r="K1626" s="51"/>
      <c r="L1626" s="52"/>
      <c r="M1626" s="50" t="n">
        <v>0</v>
      </c>
      <c r="N1626" s="50" t="n">
        <v>40</v>
      </c>
      <c r="O1626" s="53" t="n">
        <v>35</v>
      </c>
      <c r="P1626" s="48" t="s">
        <v>172</v>
      </c>
      <c r="Q1626" s="50"/>
      <c r="R1626" s="53" t="n">
        <f aca="false">IF(BW1626=1,0,IFERROR(VLOOKUP(BU1626,'Gebinde-Kategorie'!$A$5:$N$45,13,0)+0,0))</f>
        <v>26</v>
      </c>
      <c r="S1626" s="54"/>
      <c r="T1626" s="55" t="s">
        <v>279</v>
      </c>
      <c r="U1626" s="55"/>
      <c r="V1626" s="55"/>
      <c r="W1626" s="48"/>
      <c r="X1626" s="50"/>
      <c r="Y1626" s="50"/>
      <c r="Z1626" s="48" t="n">
        <f aca="false">IF(A1626="","",IF(AND(Parameter!$B$21="Ja",ISNUMBER(W1626)),W1626,IF(BZ1626="2+3",IF(ISNUMBER(SEARCH("grosser Artikel",BR1626)),2,IFERROR(VLOOKUP(BU1626,Parameter!$F$35:$G$64,2,0),2)),IF(OR(BZ1626="Nein",BZ1626=""),"-",BZ1626))))</f>
        <v>3</v>
      </c>
      <c r="AA1626" s="55"/>
      <c r="AB1626" s="56"/>
      <c r="AC1626" s="50" t="n">
        <f aca="false">AT1626</f>
        <v>40</v>
      </c>
      <c r="AD1626" s="50" t="n">
        <f aca="false">MAX(AT1626,H1626)</f>
        <v>40</v>
      </c>
      <c r="AE1626" s="57"/>
      <c r="AF1626" s="50" t="n">
        <f aca="false">IF(LEFT(Cockpit!$C$5,1)="A",H1626,IF(CE1626=1,CF1626,IF(LEFT(Cockpit!$C$5,1)="B",AK1626,MAX(AK1626,H1626))))</f>
        <v>37</v>
      </c>
      <c r="AG1626" s="50" t="n">
        <f aca="false">IF(BW1626=1,0,ROUNDUP(AF1626/BV1626,0))</f>
        <v>1</v>
      </c>
      <c r="AH1626" s="52" t="n">
        <f aca="false">IF(CL1626&gt;0,CL1626*MAX(1,AF1626/X1626),IF(BW1626=1,IF(AF1626&lt;=0,0,CA1626*MAX(1,IF(H1626&gt;0,AF1626/H1626,1))),IF(R1626&gt;0,AG1626/R1626,0))/MAX(0.1,N(Parameter!$M$21)))</f>
        <v>0.0384615384615385</v>
      </c>
      <c r="AI1626" s="50" t="n">
        <f aca="false">AH1626*BY1626</f>
        <v>5.96153846153846</v>
      </c>
      <c r="AJ1626" s="50" t="n">
        <f aca="false">AF1626*G1626</f>
        <v>1820.77</v>
      </c>
      <c r="AK1626" s="50" t="n">
        <f aca="false">ROUNDUP(MAX(J1626/IF(CD1626&gt;0,CD1626,MAX(0.1,N(Cockpit!$C$6))),CG1626)/BV1626,0)*BV1626</f>
        <v>40</v>
      </c>
      <c r="AL1626" s="51" t="n">
        <f aca="false">IF(AI1626&gt;0,J1626/AI1626,-1)</f>
        <v>0</v>
      </c>
      <c r="AM1626" s="51" t="n">
        <f aca="false">IF(AND(OR(CC1626="L1",CC1626="L23",CC1626="LIFT"),AI1626&gt;0),SUMIFS($AI$7:$AI$1843,$CC$7:$CC$1843,CC1626,$AL$7:$AL$1843,"&gt;"&amp;AL1626)+SUMIFS($AI$7:$AI$1843,$CC$7:$CC$1843,CC1626,$AL$7:$AL$1843,AL1626,$BT$7:$BT$1843,"&lt;="&amp;BT1626),"")</f>
        <v>30884.3995234991</v>
      </c>
      <c r="AN1626" s="58" t="n">
        <f aca="false">IF(AM1626="",0,MAX(0,MIN(1,(IF(CC1626="L1",Parameter!$H$5,IF(CC1626="L23",Parameter!$H$6+Parameter!$H$7,Parameter!$H$5+Parameter!$H$6+Parameter!$H$7))-(AM1626-AI1626))/AI1626)))</f>
        <v>1</v>
      </c>
      <c r="AO1626" s="50" t="n">
        <f aca="false">IF(LEFT(Cockpit!$I$5,1)="A",H1626,IF(CE1626=1,CF1626,IF(LEFT(Cockpit!$I$5,1)="B",AT1626,MAX(AT1626,H1626))))</f>
        <v>40</v>
      </c>
      <c r="AP1626" s="50" t="n">
        <f aca="false">IF(BW1626=1,0,ROUNDUP(AO1626/BV1626,0))</f>
        <v>1</v>
      </c>
      <c r="AQ1626" s="52" t="n">
        <f aca="false">IF(CL1626&gt;0,CL1626*MAX(1,AO1626/X1626),IF(BW1626=1,IF(AO1626&lt;=0,0,CA1626*MAX(1,IF(H1626&gt;0,AO1626/H1626,1))),IF(R1626&gt;0,AP1626/R1626,0))/MAX(0.1,N(Parameter!$M$21)))</f>
        <v>0.0384615384615385</v>
      </c>
      <c r="AR1626" s="50" t="n">
        <f aca="false">AQ1626*BY1626</f>
        <v>5.96153846153846</v>
      </c>
      <c r="AS1626" s="50" t="n">
        <f aca="false">AO1626*G1626</f>
        <v>1968.4</v>
      </c>
      <c r="AT1626" s="50" t="n">
        <f aca="false">ROUNDUP(MAX(J1626/IF(CD1626&gt;0,CD1626,MAX(0.1,N(Cockpit!$I$6))),CG1626)/BV1626,0)*BV1626</f>
        <v>40</v>
      </c>
      <c r="AU1626" s="51" t="n">
        <f aca="false">IF(AR1626&gt;0,J1626/AR1626,-1)</f>
        <v>0</v>
      </c>
      <c r="AV1626" s="51" t="n">
        <f aca="false">IF(AND(OR(CC1626="L1",CC1626="L23",CC1626="LIFT"),AR1626&gt;0),SUMIFS($AR$7:$AR$1843,$CC$7:$CC$1843,CC1626,$AU$7:$AU$1843,"&gt;"&amp;AU1626)+SUMIFS($AR$7:$AR$1843,$CC$7:$CC$1843,CC1626,$AU$7:$AU$1843,AU1626,$BT$7:$BT$1843,"&lt;="&amp;BT1626),"")</f>
        <v>43246.3018356408</v>
      </c>
      <c r="AW1626" s="58" t="n">
        <f aca="false">IF(AV1626="",0,MAX(0,MIN(1,(IF(CC1626="L1",Parameter!$H$5,IF(CC1626="L23",Parameter!$H$6+Parameter!$H$7,Parameter!$H$5+Parameter!$H$6+Parameter!$H$7))-(AV1626-AR1626))/AR1626)))</f>
        <v>0</v>
      </c>
      <c r="AX1626" s="50" t="n">
        <f aca="false">IF(LEFT(Cockpit!$O$5,1)="A",H1626,IF(CE1626=1,CF1626,IF(LEFT(Cockpit!$O$5,1)="B",BC1626,MAX(BC1626,H1626))))</f>
        <v>40</v>
      </c>
      <c r="AY1626" s="50" t="n">
        <f aca="false">IF(BW1626=1,0,ROUNDUP(AX1626/BV1626,0))</f>
        <v>1</v>
      </c>
      <c r="AZ1626" s="52" t="n">
        <f aca="false">IF(CL1626&gt;0,CL1626*MAX(1,AX1626/X1626),IF(BW1626=1,IF(AX1626&lt;=0,0,CA1626*MAX(1,IF(H1626&gt;0,AX1626/H1626,1))),IF(R1626&gt;0,AY1626/R1626,0))/MAX(0.1,N(Parameter!$M$21)))</f>
        <v>0.0384615384615385</v>
      </c>
      <c r="BA1626" s="50" t="n">
        <f aca="false">AZ1626*BY1626</f>
        <v>5.96153846153846</v>
      </c>
      <c r="BB1626" s="50" t="n">
        <f aca="false">AX1626*G1626</f>
        <v>1968.4</v>
      </c>
      <c r="BC1626" s="50" t="n">
        <f aca="false">ROUNDUP(MAX(J1626/IF(CD1626&gt;0,CD1626,MAX(0.1,N(Cockpit!$O$6))),CG1626)/BV1626,0)*BV1626</f>
        <v>40</v>
      </c>
      <c r="BD1626" s="51" t="n">
        <f aca="false">IF(BA1626&gt;0,J1626/BA1626,-1)</f>
        <v>0</v>
      </c>
      <c r="BE1626" s="51" t="n">
        <f aca="false">IF(AND(OR(CC1626="L1",CC1626="L23",CC1626="LIFT"),BA1626&gt;0),SUMIFS($BA$7:$BA$1843,$CC$7:$CC$1843,CC1626,$BD$7:$BD$1843,"&gt;"&amp;BD1626)+SUMIFS($BA$7:$BA$1843,$CC$7:$CC$1843,CC1626,$BD$7:$BD$1843,BD1626,$BT$7:$BT$1843,"&lt;="&amp;BT1626),"")</f>
        <v>39921.3138775067</v>
      </c>
      <c r="BF1626" s="58" t="n">
        <f aca="false">IF(BE1626="",0,MAX(0,MIN(1,(IF(CC1626="L1",Parameter!$H$5,IF(CC1626="L23",Parameter!$H$6+Parameter!$H$7,Parameter!$H$5+Parameter!$H$6+Parameter!$H$7))-(BE1626-BA1626))/BA1626)))</f>
        <v>0</v>
      </c>
      <c r="BG1626" s="48" t="str">
        <f aca="false">IF(AI1626&lt;=0,"",IF(CC1626="Aussen","Aussenlager",IF(CC1626="-","Nicht im Lift",IF(AN1626&gt;=1,"Lift",IF(AN1626&lt;=0,"Aussenlager","teilweise")))))</f>
        <v>Lift</v>
      </c>
      <c r="BH1626" s="48" t="str">
        <f aca="false">IF(AR1626&lt;=0,"",IF(CC1626="Aussen","Aussenlager",IF(CC1626="-","Nicht im Lift",IF(AW1626&gt;=1,"Lift",IF(AW1626&lt;=0,"Aussenlager","teilweise")))))</f>
        <v>Aussenlager</v>
      </c>
      <c r="BI1626" s="48" t="str">
        <f aca="false">IF(BA1626&lt;=0,"",IF(CC1626="Aussen","Aussenlager",IF(CC1626="-","Nicht im Lift",IF(BF1626&gt;=1,"Lift",IF(BF1626&lt;=0,"Aussenlager","teilweise")))))</f>
        <v>Aussenlager</v>
      </c>
      <c r="BJ1626" s="48" t="str">
        <f aca="false">IF(A1626="","",IF(BS1626=1,"Neu; ","")&amp;IF(AND(BS1626=0,BN1626&lt;0),"negativer Bestand (Export "&amp;BN1626&amp;"); ","")&amp;IF(J1626&lt;=0,"Kein Verbrauch; ","")&amp;IF(CL1626&gt;0,"Lift "&amp;W1626&amp;" lt. Liftbericht (Fach "&amp;X1626&amp;" Stk); ",IF(BX1626=1,"Gebinde geschätzt ("&amp;T1626&amp;"); ",IF(BW1626=1,"Lose – Tablare geschätzt; ","")))&amp;IF(H1626&gt;AT1626,"Überbestand "&amp;ROUND(H1626-AT1626,0)&amp;" Stk / CHF "&amp;ROUND((H1626-AT1626)*G1626,0)&amp;"; ","")&amp;IF(AND(CE1626=1,CF1626&lt;CG1626),"MAX &lt; MB+LG; ","")&amp;IF(AND(CK1626&gt;0,CJ1626*10&gt;CK1626),"zu hoch für Tablar; ","")&amp;IF(AND(BS1626=0,OR(CE1626=1,AA1626&lt;&gt;"",U1626&lt;&gt;"",V1626&lt;&gt;"",AB1626&lt;&gt;"")),"manuell übersteuert; ","")&amp;IF(AND(BW1626=0,R1626=0),"Gebinde unbekannt / Stellmass fehlt; ","")&amp;IF(AND(BW1626=0,N(V1626)&lt;=0,N(Q1626)&lt;=0),"Menge pro Gebinde fehlt (Ist = 1 Gebinde); ","")&amp;BR1626)</f>
        <v>Kein Verbrauch; Gebinde geschätzt (Klein); Menge pro Gebinde fehlt (Ist = 1 Gebinde); nur im Artikelstamm (Bestand 23.06.2026)</v>
      </c>
      <c r="BK1626" s="48"/>
      <c r="BL1626" s="48"/>
      <c r="BM1626" s="55"/>
      <c r="BN1626" s="50" t="n">
        <v>37</v>
      </c>
      <c r="BO1626" s="50" t="n">
        <v>0</v>
      </c>
      <c r="BP1626" s="49" t="n">
        <v>0</v>
      </c>
      <c r="BQ1626" s="50" t="n">
        <v>0</v>
      </c>
      <c r="BR1626" s="48" t="s">
        <v>2579</v>
      </c>
      <c r="BS1626" s="53" t="n">
        <v>0</v>
      </c>
      <c r="BT1626" s="53" t="n">
        <v>1626</v>
      </c>
      <c r="BU1626" s="48" t="str">
        <f aca="false">IF(U1626&lt;&gt;"",UPPER(TRIM(U1626)),IF(BX1626=1,UPPER(VLOOKUP(T1626,Parameter!$I$27:$K$29,2,0)),IF(P1626="","LOSE",P1626)))</f>
        <v>S51</v>
      </c>
      <c r="BV1626" s="50" t="n">
        <f aca="false">IF(BU1626="LOSE",1,IF(N(V1626)&gt;0,V1626,IF(BX1626=1,MAX(1,N(VLOOKUP(T1626,Parameter!$I$27:$K$29,3,0)),H1626,N(N1626)),IF(N(Q1626)&gt;0,Q1626,MAX(1,H1626)))))</f>
        <v>40</v>
      </c>
      <c r="BW1626" s="53" t="n">
        <f aca="false">IF(BU1626="LOSE",1,0)</f>
        <v>0</v>
      </c>
      <c r="BX1626" s="53" t="n">
        <f aca="false">IF(AND(U1626="",OR(P1626="",P1626="LOSE"),T1626&lt;&gt;"",N(S1626)&lt;=0,ISNUMBER(MATCH(T1626,Parameter!$I$27:$I$29,0))),1,0)</f>
        <v>1</v>
      </c>
      <c r="BY1626" s="53" t="n">
        <f aca="false">IF(CL1626&gt;0,INDEX(Parameter!$H$5:$H$7,W1626)/INDEX(Parameter!$E$5:$E$7,W1626),IF(AND(BW1626=0,N(IFERROR(VLOOKUP(BU1626,'Gebinde-Kategorie'!$A$5:$N$45,14,0),0))&gt;0),VLOOKUP(BU1626,'Gebinde-Kategorie'!$A$5:$N$45,14,0)*10+Parameter!$M$23,Parameter!$M$24))</f>
        <v>155</v>
      </c>
      <c r="BZ1626" s="48" t="str">
        <f aca="false">IF(AND(Parameter!$B$19="Ja",E1626&lt;&gt;"",ISNUMBER(MATCH(E1626,Parameter!$I$35:$I$52,0))),VLOOKUP(E1626,Parameter!$I$35:$J$52,2,0),IFERROR(VLOOKUP(D1626,Parameter!$A$35:$C$64,2,0),"Nein"))</f>
        <v>2+3</v>
      </c>
      <c r="CA1626" s="52" t="n">
        <f aca="false">IF(BW1626=0,0,IF(N(S1626)&gt;0,S1626,IFERROR(VLOOKUP(D1626,Parameter!$A$35:$C$64,3,0)+0,0)))</f>
        <v>0</v>
      </c>
      <c r="CB1626" s="48" t="n">
        <f aca="false">IF(AA1626&lt;&gt;"",AA1626,Z1626)</f>
        <v>3</v>
      </c>
      <c r="CC1626" s="48" t="str">
        <f aca="false">IF(OR(CB1626=1,CB1626=2,CB1626=3),IF(Parameter!$E$27="Ja","LIFT",IF(CB1626=1,"L1","L23")),IF(CB1626="Aussen","Aussen","-"))</f>
        <v>LIFT</v>
      </c>
      <c r="CD1626" s="59" t="n">
        <f aca="false">IF(N(AB1626)&gt;0,AB1626,0)</f>
        <v>0</v>
      </c>
      <c r="CE1626" s="53" t="n">
        <f aca="false">IF(ISNUMBER(AE1626),1,0)</f>
        <v>0</v>
      </c>
      <c r="CF1626" s="50" t="n">
        <f aca="false">N(AE1626)</f>
        <v>0</v>
      </c>
      <c r="CG1626" s="50" t="n">
        <f aca="false">N(M1626)+N(N1626)</f>
        <v>40</v>
      </c>
      <c r="CH1626" s="50" t="n">
        <f aca="false">ROUNDUP(H1626/BV1626,0)</f>
        <v>1</v>
      </c>
      <c r="CI1626" s="50" t="n">
        <f aca="false">ROUNDUP(CF1626/BV1626,0)</f>
        <v>0</v>
      </c>
      <c r="CJ1626" s="53" t="n">
        <f aca="false">IF(BW1626=1,0,IFERROR(VLOOKUP(BU1626,'Gebinde-Kategorie'!$A$5:$N$45,5,0)+0,0))</f>
        <v>11</v>
      </c>
      <c r="CK1626" s="53" t="n">
        <f aca="false">IFERROR(IF(OR(CB1626=1,CB1626=2,CB1626=3),N(INDEX(Parameter!$I$5:$I$7,CB1626)),0),0)</f>
        <v>0</v>
      </c>
      <c r="CL1626" s="52" t="n">
        <f aca="false">IF(AND(Parameter!$B$21="Ja",ISNUMBER(W1626),N(X1626)&gt;0),IFERROR(N(INDEX(Parameter!$L$5:$L$7,W1626))*INDEX(Parameter!$E$5:$E$7,W1626)*X1626/SUMIFS($X$7:$X$1843,$W$7:$W$1843,W1626),0),0)</f>
        <v>0</v>
      </c>
    </row>
    <row r="1627" customFormat="false" ht="15" hidden="false" customHeight="false" outlineLevel="0" collapsed="false">
      <c r="A1627" s="48" t="s">
        <v>2834</v>
      </c>
      <c r="B1627" s="48" t="s">
        <v>2835</v>
      </c>
      <c r="C1627" s="48" t="s">
        <v>168</v>
      </c>
      <c r="D1627" s="48" t="s">
        <v>188</v>
      </c>
      <c r="E1627" s="48"/>
      <c r="F1627" s="48"/>
      <c r="G1627" s="49" t="n">
        <v>25.71</v>
      </c>
      <c r="H1627" s="50" t="n">
        <f aca="false">MAX(0,IF(AND(Parameter!$B$21="Ja",ISNUMBER(Y1627)),Y1627,IF(Parameter!$B$20="Jahresanfang 2025 + Export",BO1627+BN1627,BN1627)))</f>
        <v>37</v>
      </c>
      <c r="I1627" s="50" t="n">
        <f aca="false">H1627*G1627</f>
        <v>951.27</v>
      </c>
      <c r="J1627" s="50" t="n">
        <f aca="false">BQ1627*Parameter!$B$18</f>
        <v>0</v>
      </c>
      <c r="K1627" s="51"/>
      <c r="L1627" s="52"/>
      <c r="M1627" s="50" t="n">
        <v>0</v>
      </c>
      <c r="N1627" s="50" t="n">
        <v>40</v>
      </c>
      <c r="O1627" s="53" t="n">
        <v>35</v>
      </c>
      <c r="P1627" s="48" t="s">
        <v>172</v>
      </c>
      <c r="Q1627" s="50"/>
      <c r="R1627" s="53" t="n">
        <f aca="false">IF(BW1627=1,0,IFERROR(VLOOKUP(BU1627,'Gebinde-Kategorie'!$A$5:$N$45,13,0)+0,0))</f>
        <v>26</v>
      </c>
      <c r="S1627" s="54"/>
      <c r="T1627" s="55" t="s">
        <v>279</v>
      </c>
      <c r="U1627" s="55"/>
      <c r="V1627" s="55"/>
      <c r="W1627" s="48"/>
      <c r="X1627" s="50"/>
      <c r="Y1627" s="50"/>
      <c r="Z1627" s="48" t="n">
        <f aca="false">IF(A1627="","",IF(AND(Parameter!$B$21="Ja",ISNUMBER(W1627)),W1627,IF(BZ1627="2+3",IF(ISNUMBER(SEARCH("grosser Artikel",BR1627)),2,IFERROR(VLOOKUP(BU1627,Parameter!$F$35:$G$64,2,0),2)),IF(OR(BZ1627="Nein",BZ1627=""),"-",BZ1627))))</f>
        <v>3</v>
      </c>
      <c r="AA1627" s="55"/>
      <c r="AB1627" s="56"/>
      <c r="AC1627" s="50" t="n">
        <f aca="false">AT1627</f>
        <v>40</v>
      </c>
      <c r="AD1627" s="50" t="n">
        <f aca="false">MAX(AT1627,H1627)</f>
        <v>40</v>
      </c>
      <c r="AE1627" s="57"/>
      <c r="AF1627" s="50" t="n">
        <f aca="false">IF(LEFT(Cockpit!$C$5,1)="A",H1627,IF(CE1627=1,CF1627,IF(LEFT(Cockpit!$C$5,1)="B",AK1627,MAX(AK1627,H1627))))</f>
        <v>37</v>
      </c>
      <c r="AG1627" s="50" t="n">
        <f aca="false">IF(BW1627=1,0,ROUNDUP(AF1627/BV1627,0))</f>
        <v>1</v>
      </c>
      <c r="AH1627" s="52" t="n">
        <f aca="false">IF(CL1627&gt;0,CL1627*MAX(1,AF1627/X1627),IF(BW1627=1,IF(AF1627&lt;=0,0,CA1627*MAX(1,IF(H1627&gt;0,AF1627/H1627,1))),IF(R1627&gt;0,AG1627/R1627,0))/MAX(0.1,N(Parameter!$M$21)))</f>
        <v>0.0384615384615385</v>
      </c>
      <c r="AI1627" s="50" t="n">
        <f aca="false">AH1627*BY1627</f>
        <v>5.96153846153846</v>
      </c>
      <c r="AJ1627" s="50" t="n">
        <f aca="false">AF1627*G1627</f>
        <v>951.27</v>
      </c>
      <c r="AK1627" s="50" t="n">
        <f aca="false">ROUNDUP(MAX(J1627/IF(CD1627&gt;0,CD1627,MAX(0.1,N(Cockpit!$C$6))),CG1627)/BV1627,0)*BV1627</f>
        <v>40</v>
      </c>
      <c r="AL1627" s="51" t="n">
        <f aca="false">IF(AI1627&gt;0,J1627/AI1627,-1)</f>
        <v>0</v>
      </c>
      <c r="AM1627" s="51" t="n">
        <f aca="false">IF(AND(OR(CC1627="L1",CC1627="L23",CC1627="LIFT"),AI1627&gt;0),SUMIFS($AI$7:$AI$1843,$CC$7:$CC$1843,CC1627,$AL$7:$AL$1843,"&gt;"&amp;AL1627)+SUMIFS($AI$7:$AI$1843,$CC$7:$CC$1843,CC1627,$AL$7:$AL$1843,AL1627,$BT$7:$BT$1843,"&lt;="&amp;BT1627),"")</f>
        <v>30890.3610619606</v>
      </c>
      <c r="AN1627" s="58" t="n">
        <f aca="false">IF(AM1627="",0,MAX(0,MIN(1,(IF(CC1627="L1",Parameter!$H$5,IF(CC1627="L23",Parameter!$H$6+Parameter!$H$7,Parameter!$H$5+Parameter!$H$6+Parameter!$H$7))-(AM1627-AI1627))/AI1627)))</f>
        <v>1</v>
      </c>
      <c r="AO1627" s="50" t="n">
        <f aca="false">IF(LEFT(Cockpit!$I$5,1)="A",H1627,IF(CE1627=1,CF1627,IF(LEFT(Cockpit!$I$5,1)="B",AT1627,MAX(AT1627,H1627))))</f>
        <v>40</v>
      </c>
      <c r="AP1627" s="50" t="n">
        <f aca="false">IF(BW1627=1,0,ROUNDUP(AO1627/BV1627,0))</f>
        <v>1</v>
      </c>
      <c r="AQ1627" s="52" t="n">
        <f aca="false">IF(CL1627&gt;0,CL1627*MAX(1,AO1627/X1627),IF(BW1627=1,IF(AO1627&lt;=0,0,CA1627*MAX(1,IF(H1627&gt;0,AO1627/H1627,1))),IF(R1627&gt;0,AP1627/R1627,0))/MAX(0.1,N(Parameter!$M$21)))</f>
        <v>0.0384615384615385</v>
      </c>
      <c r="AR1627" s="50" t="n">
        <f aca="false">AQ1627*BY1627</f>
        <v>5.96153846153846</v>
      </c>
      <c r="AS1627" s="50" t="n">
        <f aca="false">AO1627*G1627</f>
        <v>1028.4</v>
      </c>
      <c r="AT1627" s="50" t="n">
        <f aca="false">ROUNDUP(MAX(J1627/IF(CD1627&gt;0,CD1627,MAX(0.1,N(Cockpit!$I$6))),CG1627)/BV1627,0)*BV1627</f>
        <v>40</v>
      </c>
      <c r="AU1627" s="51" t="n">
        <f aca="false">IF(AR1627&gt;0,J1627/AR1627,-1)</f>
        <v>0</v>
      </c>
      <c r="AV1627" s="51" t="n">
        <f aca="false">IF(AND(OR(CC1627="L1",CC1627="L23",CC1627="LIFT"),AR1627&gt;0),SUMIFS($AR$7:$AR$1843,$CC$7:$CC$1843,CC1627,$AU$7:$AU$1843,"&gt;"&amp;AU1627)+SUMIFS($AR$7:$AR$1843,$CC$7:$CC$1843,CC1627,$AU$7:$AU$1843,AU1627,$BT$7:$BT$1843,"&lt;="&amp;BT1627),"")</f>
        <v>43252.2633741024</v>
      </c>
      <c r="AW1627" s="58" t="n">
        <f aca="false">IF(AV1627="",0,MAX(0,MIN(1,(IF(CC1627="L1",Parameter!$H$5,IF(CC1627="L23",Parameter!$H$6+Parameter!$H$7,Parameter!$H$5+Parameter!$H$6+Parameter!$H$7))-(AV1627-AR1627))/AR1627)))</f>
        <v>0</v>
      </c>
      <c r="AX1627" s="50" t="n">
        <f aca="false">IF(LEFT(Cockpit!$O$5,1)="A",H1627,IF(CE1627=1,CF1627,IF(LEFT(Cockpit!$O$5,1)="B",BC1627,MAX(BC1627,H1627))))</f>
        <v>40</v>
      </c>
      <c r="AY1627" s="50" t="n">
        <f aca="false">IF(BW1627=1,0,ROUNDUP(AX1627/BV1627,0))</f>
        <v>1</v>
      </c>
      <c r="AZ1627" s="52" t="n">
        <f aca="false">IF(CL1627&gt;0,CL1627*MAX(1,AX1627/X1627),IF(BW1627=1,IF(AX1627&lt;=0,0,CA1627*MAX(1,IF(H1627&gt;0,AX1627/H1627,1))),IF(R1627&gt;0,AY1627/R1627,0))/MAX(0.1,N(Parameter!$M$21)))</f>
        <v>0.0384615384615385</v>
      </c>
      <c r="BA1627" s="50" t="n">
        <f aca="false">AZ1627*BY1627</f>
        <v>5.96153846153846</v>
      </c>
      <c r="BB1627" s="50" t="n">
        <f aca="false">AX1627*G1627</f>
        <v>1028.4</v>
      </c>
      <c r="BC1627" s="50" t="n">
        <f aca="false">ROUNDUP(MAX(J1627/IF(CD1627&gt;0,CD1627,MAX(0.1,N(Cockpit!$O$6))),CG1627)/BV1627,0)*BV1627</f>
        <v>40</v>
      </c>
      <c r="BD1627" s="51" t="n">
        <f aca="false">IF(BA1627&gt;0,J1627/BA1627,-1)</f>
        <v>0</v>
      </c>
      <c r="BE1627" s="51" t="n">
        <f aca="false">IF(AND(OR(CC1627="L1",CC1627="L23",CC1627="LIFT"),BA1627&gt;0),SUMIFS($BA$7:$BA$1843,$CC$7:$CC$1843,CC1627,$BD$7:$BD$1843,"&gt;"&amp;BD1627)+SUMIFS($BA$7:$BA$1843,$CC$7:$CC$1843,CC1627,$BD$7:$BD$1843,BD1627,$BT$7:$BT$1843,"&lt;="&amp;BT1627),"")</f>
        <v>39927.2754159682</v>
      </c>
      <c r="BF1627" s="58" t="n">
        <f aca="false">IF(BE1627="",0,MAX(0,MIN(1,(IF(CC1627="L1",Parameter!$H$5,IF(CC1627="L23",Parameter!$H$6+Parameter!$H$7,Parameter!$H$5+Parameter!$H$6+Parameter!$H$7))-(BE1627-BA1627))/BA1627)))</f>
        <v>0</v>
      </c>
      <c r="BG1627" s="48" t="str">
        <f aca="false">IF(AI1627&lt;=0,"",IF(CC1627="Aussen","Aussenlager",IF(CC1627="-","Nicht im Lift",IF(AN1627&gt;=1,"Lift",IF(AN1627&lt;=0,"Aussenlager","teilweise")))))</f>
        <v>Lift</v>
      </c>
      <c r="BH1627" s="48" t="str">
        <f aca="false">IF(AR1627&lt;=0,"",IF(CC1627="Aussen","Aussenlager",IF(CC1627="-","Nicht im Lift",IF(AW1627&gt;=1,"Lift",IF(AW1627&lt;=0,"Aussenlager","teilweise")))))</f>
        <v>Aussenlager</v>
      </c>
      <c r="BI1627" s="48" t="str">
        <f aca="false">IF(BA1627&lt;=0,"",IF(CC1627="Aussen","Aussenlager",IF(CC1627="-","Nicht im Lift",IF(BF1627&gt;=1,"Lift",IF(BF1627&lt;=0,"Aussenlager","teilweise")))))</f>
        <v>Aussenlager</v>
      </c>
      <c r="BJ1627" s="48" t="str">
        <f aca="false">IF(A1627="","",IF(BS1627=1,"Neu; ","")&amp;IF(AND(BS1627=0,BN1627&lt;0),"negativer Bestand (Export "&amp;BN1627&amp;"); ","")&amp;IF(J1627&lt;=0,"Kein Verbrauch; ","")&amp;IF(CL1627&gt;0,"Lift "&amp;W1627&amp;" lt. Liftbericht (Fach "&amp;X1627&amp;" Stk); ",IF(BX1627=1,"Gebinde geschätzt ("&amp;T1627&amp;"); ",IF(BW1627=1,"Lose – Tablare geschätzt; ","")))&amp;IF(H1627&gt;AT1627,"Überbestand "&amp;ROUND(H1627-AT1627,0)&amp;" Stk / CHF "&amp;ROUND((H1627-AT1627)*G1627,0)&amp;"; ","")&amp;IF(AND(CE1627=1,CF1627&lt;CG1627),"MAX &lt; MB+LG; ","")&amp;IF(AND(CK1627&gt;0,CJ1627*10&gt;CK1627),"zu hoch für Tablar; ","")&amp;IF(AND(BS1627=0,OR(CE1627=1,AA1627&lt;&gt;"",U1627&lt;&gt;"",V1627&lt;&gt;"",AB1627&lt;&gt;"")),"manuell übersteuert; ","")&amp;IF(AND(BW1627=0,R1627=0),"Gebinde unbekannt / Stellmass fehlt; ","")&amp;IF(AND(BW1627=0,N(V1627)&lt;=0,N(Q1627)&lt;=0),"Menge pro Gebinde fehlt (Ist = 1 Gebinde); ","")&amp;BR1627)</f>
        <v>Kein Verbrauch; Gebinde geschätzt (Klein); Menge pro Gebinde fehlt (Ist = 1 Gebinde); nur im Artikelstamm (Bestand 23.06.2026)</v>
      </c>
      <c r="BK1627" s="48"/>
      <c r="BL1627" s="48"/>
      <c r="BM1627" s="55"/>
      <c r="BN1627" s="50" t="n">
        <v>37</v>
      </c>
      <c r="BO1627" s="50" t="n">
        <v>0</v>
      </c>
      <c r="BP1627" s="49" t="n">
        <v>0</v>
      </c>
      <c r="BQ1627" s="50" t="n">
        <v>0</v>
      </c>
      <c r="BR1627" s="48" t="s">
        <v>2579</v>
      </c>
      <c r="BS1627" s="53" t="n">
        <v>0</v>
      </c>
      <c r="BT1627" s="53" t="n">
        <v>1627</v>
      </c>
      <c r="BU1627" s="48" t="str">
        <f aca="false">IF(U1627&lt;&gt;"",UPPER(TRIM(U1627)),IF(BX1627=1,UPPER(VLOOKUP(T1627,Parameter!$I$27:$K$29,2,0)),IF(P1627="","LOSE",P1627)))</f>
        <v>S51</v>
      </c>
      <c r="BV1627" s="50" t="n">
        <f aca="false">IF(BU1627="LOSE",1,IF(N(V1627)&gt;0,V1627,IF(BX1627=1,MAX(1,N(VLOOKUP(T1627,Parameter!$I$27:$K$29,3,0)),H1627,N(N1627)),IF(N(Q1627)&gt;0,Q1627,MAX(1,H1627)))))</f>
        <v>40</v>
      </c>
      <c r="BW1627" s="53" t="n">
        <f aca="false">IF(BU1627="LOSE",1,0)</f>
        <v>0</v>
      </c>
      <c r="BX1627" s="53" t="n">
        <f aca="false">IF(AND(U1627="",OR(P1627="",P1627="LOSE"),T1627&lt;&gt;"",N(S1627)&lt;=0,ISNUMBER(MATCH(T1627,Parameter!$I$27:$I$29,0))),1,0)</f>
        <v>1</v>
      </c>
      <c r="BY1627" s="53" t="n">
        <f aca="false">IF(CL1627&gt;0,INDEX(Parameter!$H$5:$H$7,W1627)/INDEX(Parameter!$E$5:$E$7,W1627),IF(AND(BW1627=0,N(IFERROR(VLOOKUP(BU1627,'Gebinde-Kategorie'!$A$5:$N$45,14,0),0))&gt;0),VLOOKUP(BU1627,'Gebinde-Kategorie'!$A$5:$N$45,14,0)*10+Parameter!$M$23,Parameter!$M$24))</f>
        <v>155</v>
      </c>
      <c r="BZ1627" s="48" t="str">
        <f aca="false">IF(AND(Parameter!$B$19="Ja",E1627&lt;&gt;"",ISNUMBER(MATCH(E1627,Parameter!$I$35:$I$52,0))),VLOOKUP(E1627,Parameter!$I$35:$J$52,2,0),IFERROR(VLOOKUP(D1627,Parameter!$A$35:$C$64,2,0),"Nein"))</f>
        <v>2+3</v>
      </c>
      <c r="CA1627" s="52" t="n">
        <f aca="false">IF(BW1627=0,0,IF(N(S1627)&gt;0,S1627,IFERROR(VLOOKUP(D1627,Parameter!$A$35:$C$64,3,0)+0,0)))</f>
        <v>0</v>
      </c>
      <c r="CB1627" s="48" t="n">
        <f aca="false">IF(AA1627&lt;&gt;"",AA1627,Z1627)</f>
        <v>3</v>
      </c>
      <c r="CC1627" s="48" t="str">
        <f aca="false">IF(OR(CB1627=1,CB1627=2,CB1627=3),IF(Parameter!$E$27="Ja","LIFT",IF(CB1627=1,"L1","L23")),IF(CB1627="Aussen","Aussen","-"))</f>
        <v>LIFT</v>
      </c>
      <c r="CD1627" s="59" t="n">
        <f aca="false">IF(N(AB1627)&gt;0,AB1627,0)</f>
        <v>0</v>
      </c>
      <c r="CE1627" s="53" t="n">
        <f aca="false">IF(ISNUMBER(AE1627),1,0)</f>
        <v>0</v>
      </c>
      <c r="CF1627" s="50" t="n">
        <f aca="false">N(AE1627)</f>
        <v>0</v>
      </c>
      <c r="CG1627" s="50" t="n">
        <f aca="false">N(M1627)+N(N1627)</f>
        <v>40</v>
      </c>
      <c r="CH1627" s="50" t="n">
        <f aca="false">ROUNDUP(H1627/BV1627,0)</f>
        <v>1</v>
      </c>
      <c r="CI1627" s="50" t="n">
        <f aca="false">ROUNDUP(CF1627/BV1627,0)</f>
        <v>0</v>
      </c>
      <c r="CJ1627" s="53" t="n">
        <f aca="false">IF(BW1627=1,0,IFERROR(VLOOKUP(BU1627,'Gebinde-Kategorie'!$A$5:$N$45,5,0)+0,0))</f>
        <v>11</v>
      </c>
      <c r="CK1627" s="53" t="n">
        <f aca="false">IFERROR(IF(OR(CB1627=1,CB1627=2,CB1627=3),N(INDEX(Parameter!$I$5:$I$7,CB1627)),0),0)</f>
        <v>0</v>
      </c>
      <c r="CL1627" s="52" t="n">
        <f aca="false">IF(AND(Parameter!$B$21="Ja",ISNUMBER(W1627),N(X1627)&gt;0),IFERROR(N(INDEX(Parameter!$L$5:$L$7,W1627))*INDEX(Parameter!$E$5:$E$7,W1627)*X1627/SUMIFS($X$7:$X$1843,$W$7:$W$1843,W1627),0),0)</f>
        <v>0</v>
      </c>
    </row>
    <row r="1628" customFormat="false" ht="15" hidden="false" customHeight="false" outlineLevel="0" collapsed="false">
      <c r="A1628" s="48" t="s">
        <v>2836</v>
      </c>
      <c r="B1628" s="48" t="s">
        <v>2837</v>
      </c>
      <c r="C1628" s="48" t="s">
        <v>168</v>
      </c>
      <c r="D1628" s="48" t="s">
        <v>188</v>
      </c>
      <c r="E1628" s="48"/>
      <c r="F1628" s="48"/>
      <c r="G1628" s="49" t="n">
        <v>10.99</v>
      </c>
      <c r="H1628" s="50" t="n">
        <f aca="false">MAX(0,IF(AND(Parameter!$B$21="Ja",ISNUMBER(Y1628)),Y1628,IF(Parameter!$B$20="Jahresanfang 2025 + Export",BO1628+BN1628,BN1628)))</f>
        <v>74</v>
      </c>
      <c r="I1628" s="50" t="n">
        <f aca="false">H1628*G1628</f>
        <v>813.26</v>
      </c>
      <c r="J1628" s="50" t="n">
        <f aca="false">BQ1628*Parameter!$B$18</f>
        <v>0</v>
      </c>
      <c r="K1628" s="51"/>
      <c r="L1628" s="52"/>
      <c r="M1628" s="50" t="n">
        <v>0</v>
      </c>
      <c r="N1628" s="50" t="n">
        <v>50</v>
      </c>
      <c r="O1628" s="53" t="n">
        <v>14</v>
      </c>
      <c r="P1628" s="48" t="s">
        <v>172</v>
      </c>
      <c r="Q1628" s="50"/>
      <c r="R1628" s="53" t="n">
        <f aca="false">IF(BW1628=1,0,IFERROR(VLOOKUP(BU1628,'Gebinde-Kategorie'!$A$5:$N$45,13,0)+0,0))</f>
        <v>26</v>
      </c>
      <c r="S1628" s="54"/>
      <c r="T1628" s="55" t="s">
        <v>279</v>
      </c>
      <c r="U1628" s="55"/>
      <c r="V1628" s="55"/>
      <c r="W1628" s="48"/>
      <c r="X1628" s="50"/>
      <c r="Y1628" s="50"/>
      <c r="Z1628" s="48" t="n">
        <f aca="false">IF(A1628="","",IF(AND(Parameter!$B$21="Ja",ISNUMBER(W1628)),W1628,IF(BZ1628="2+3",IF(ISNUMBER(SEARCH("grosser Artikel",BR1628)),2,IFERROR(VLOOKUP(BU1628,Parameter!$F$35:$G$64,2,0),2)),IF(OR(BZ1628="Nein",BZ1628=""),"-",BZ1628))))</f>
        <v>3</v>
      </c>
      <c r="AA1628" s="55"/>
      <c r="AB1628" s="56"/>
      <c r="AC1628" s="50" t="n">
        <f aca="false">AT1628</f>
        <v>74</v>
      </c>
      <c r="AD1628" s="50" t="n">
        <f aca="false">MAX(AT1628,H1628)</f>
        <v>74</v>
      </c>
      <c r="AE1628" s="57"/>
      <c r="AF1628" s="50" t="n">
        <f aca="false">IF(LEFT(Cockpit!$C$5,1)="A",H1628,IF(CE1628=1,CF1628,IF(LEFT(Cockpit!$C$5,1)="B",AK1628,MAX(AK1628,H1628))))</f>
        <v>74</v>
      </c>
      <c r="AG1628" s="50" t="n">
        <f aca="false">IF(BW1628=1,0,ROUNDUP(AF1628/BV1628,0))</f>
        <v>1</v>
      </c>
      <c r="AH1628" s="52" t="n">
        <f aca="false">IF(CL1628&gt;0,CL1628*MAX(1,AF1628/X1628),IF(BW1628=1,IF(AF1628&lt;=0,0,CA1628*MAX(1,IF(H1628&gt;0,AF1628/H1628,1))),IF(R1628&gt;0,AG1628/R1628,0))/MAX(0.1,N(Parameter!$M$21)))</f>
        <v>0.0384615384615385</v>
      </c>
      <c r="AI1628" s="50" t="n">
        <f aca="false">AH1628*BY1628</f>
        <v>5.96153846153846</v>
      </c>
      <c r="AJ1628" s="50" t="n">
        <f aca="false">AF1628*G1628</f>
        <v>813.26</v>
      </c>
      <c r="AK1628" s="50" t="n">
        <f aca="false">ROUNDUP(MAX(J1628/IF(CD1628&gt;0,CD1628,MAX(0.1,N(Cockpit!$C$6))),CG1628)/BV1628,0)*BV1628</f>
        <v>74</v>
      </c>
      <c r="AL1628" s="51" t="n">
        <f aca="false">IF(AI1628&gt;0,J1628/AI1628,-1)</f>
        <v>0</v>
      </c>
      <c r="AM1628" s="51" t="n">
        <f aca="false">IF(AND(OR(CC1628="L1",CC1628="L23",CC1628="LIFT"),AI1628&gt;0),SUMIFS($AI$7:$AI$1843,$CC$7:$CC$1843,CC1628,$AL$7:$AL$1843,"&gt;"&amp;AL1628)+SUMIFS($AI$7:$AI$1843,$CC$7:$CC$1843,CC1628,$AL$7:$AL$1843,AL1628,$BT$7:$BT$1843,"&lt;="&amp;BT1628),"")</f>
        <v>30896.3226004222</v>
      </c>
      <c r="AN1628" s="58" t="n">
        <f aca="false">IF(AM1628="",0,MAX(0,MIN(1,(IF(CC1628="L1",Parameter!$H$5,IF(CC1628="L23",Parameter!$H$6+Parameter!$H$7,Parameter!$H$5+Parameter!$H$6+Parameter!$H$7))-(AM1628-AI1628))/AI1628)))</f>
        <v>1</v>
      </c>
      <c r="AO1628" s="50" t="n">
        <f aca="false">IF(LEFT(Cockpit!$I$5,1)="A",H1628,IF(CE1628=1,CF1628,IF(LEFT(Cockpit!$I$5,1)="B",AT1628,MAX(AT1628,H1628))))</f>
        <v>74</v>
      </c>
      <c r="AP1628" s="50" t="n">
        <f aca="false">IF(BW1628=1,0,ROUNDUP(AO1628/BV1628,0))</f>
        <v>1</v>
      </c>
      <c r="AQ1628" s="52" t="n">
        <f aca="false">IF(CL1628&gt;0,CL1628*MAX(1,AO1628/X1628),IF(BW1628=1,IF(AO1628&lt;=0,0,CA1628*MAX(1,IF(H1628&gt;0,AO1628/H1628,1))),IF(R1628&gt;0,AP1628/R1628,0))/MAX(0.1,N(Parameter!$M$21)))</f>
        <v>0.0384615384615385</v>
      </c>
      <c r="AR1628" s="50" t="n">
        <f aca="false">AQ1628*BY1628</f>
        <v>5.96153846153846</v>
      </c>
      <c r="AS1628" s="50" t="n">
        <f aca="false">AO1628*G1628</f>
        <v>813.26</v>
      </c>
      <c r="AT1628" s="50" t="n">
        <f aca="false">ROUNDUP(MAX(J1628/IF(CD1628&gt;0,CD1628,MAX(0.1,N(Cockpit!$I$6))),CG1628)/BV1628,0)*BV1628</f>
        <v>74</v>
      </c>
      <c r="AU1628" s="51" t="n">
        <f aca="false">IF(AR1628&gt;0,J1628/AR1628,-1)</f>
        <v>0</v>
      </c>
      <c r="AV1628" s="51" t="n">
        <f aca="false">IF(AND(OR(CC1628="L1",CC1628="L23",CC1628="LIFT"),AR1628&gt;0),SUMIFS($AR$7:$AR$1843,$CC$7:$CC$1843,CC1628,$AU$7:$AU$1843,"&gt;"&amp;AU1628)+SUMIFS($AR$7:$AR$1843,$CC$7:$CC$1843,CC1628,$AU$7:$AU$1843,AU1628,$BT$7:$BT$1843,"&lt;="&amp;BT1628),"")</f>
        <v>43258.2249125639</v>
      </c>
      <c r="AW1628" s="58" t="n">
        <f aca="false">IF(AV1628="",0,MAX(0,MIN(1,(IF(CC1628="L1",Parameter!$H$5,IF(CC1628="L23",Parameter!$H$6+Parameter!$H$7,Parameter!$H$5+Parameter!$H$6+Parameter!$H$7))-(AV1628-AR1628))/AR1628)))</f>
        <v>0</v>
      </c>
      <c r="AX1628" s="50" t="n">
        <f aca="false">IF(LEFT(Cockpit!$O$5,1)="A",H1628,IF(CE1628=1,CF1628,IF(LEFT(Cockpit!$O$5,1)="B",BC1628,MAX(BC1628,H1628))))</f>
        <v>74</v>
      </c>
      <c r="AY1628" s="50" t="n">
        <f aca="false">IF(BW1628=1,0,ROUNDUP(AX1628/BV1628,0))</f>
        <v>1</v>
      </c>
      <c r="AZ1628" s="52" t="n">
        <f aca="false">IF(CL1628&gt;0,CL1628*MAX(1,AX1628/X1628),IF(BW1628=1,IF(AX1628&lt;=0,0,CA1628*MAX(1,IF(H1628&gt;0,AX1628/H1628,1))),IF(R1628&gt;0,AY1628/R1628,0))/MAX(0.1,N(Parameter!$M$21)))</f>
        <v>0.0384615384615385</v>
      </c>
      <c r="BA1628" s="50" t="n">
        <f aca="false">AZ1628*BY1628</f>
        <v>5.96153846153846</v>
      </c>
      <c r="BB1628" s="50" t="n">
        <f aca="false">AX1628*G1628</f>
        <v>813.26</v>
      </c>
      <c r="BC1628" s="50" t="n">
        <f aca="false">ROUNDUP(MAX(J1628/IF(CD1628&gt;0,CD1628,MAX(0.1,N(Cockpit!$O$6))),CG1628)/BV1628,0)*BV1628</f>
        <v>74</v>
      </c>
      <c r="BD1628" s="51" t="n">
        <f aca="false">IF(BA1628&gt;0,J1628/BA1628,-1)</f>
        <v>0</v>
      </c>
      <c r="BE1628" s="51" t="n">
        <f aca="false">IF(AND(OR(CC1628="L1",CC1628="L23",CC1628="LIFT"),BA1628&gt;0),SUMIFS($BA$7:$BA$1843,$CC$7:$CC$1843,CC1628,$BD$7:$BD$1843,"&gt;"&amp;BD1628)+SUMIFS($BA$7:$BA$1843,$CC$7:$CC$1843,CC1628,$BD$7:$BD$1843,BD1628,$BT$7:$BT$1843,"&lt;="&amp;BT1628),"")</f>
        <v>39933.2369544298</v>
      </c>
      <c r="BF1628" s="58" t="n">
        <f aca="false">IF(BE1628="",0,MAX(0,MIN(1,(IF(CC1628="L1",Parameter!$H$5,IF(CC1628="L23",Parameter!$H$6+Parameter!$H$7,Parameter!$H$5+Parameter!$H$6+Parameter!$H$7))-(BE1628-BA1628))/BA1628)))</f>
        <v>0</v>
      </c>
      <c r="BG1628" s="48" t="str">
        <f aca="false">IF(AI1628&lt;=0,"",IF(CC1628="Aussen","Aussenlager",IF(CC1628="-","Nicht im Lift",IF(AN1628&gt;=1,"Lift",IF(AN1628&lt;=0,"Aussenlager","teilweise")))))</f>
        <v>Lift</v>
      </c>
      <c r="BH1628" s="48" t="str">
        <f aca="false">IF(AR1628&lt;=0,"",IF(CC1628="Aussen","Aussenlager",IF(CC1628="-","Nicht im Lift",IF(AW1628&gt;=1,"Lift",IF(AW1628&lt;=0,"Aussenlager","teilweise")))))</f>
        <v>Aussenlager</v>
      </c>
      <c r="BI1628" s="48" t="str">
        <f aca="false">IF(BA1628&lt;=0,"",IF(CC1628="Aussen","Aussenlager",IF(CC1628="-","Nicht im Lift",IF(BF1628&gt;=1,"Lift",IF(BF1628&lt;=0,"Aussenlager","teilweise")))))</f>
        <v>Aussenlager</v>
      </c>
      <c r="BJ1628" s="48" t="str">
        <f aca="false">IF(A1628="","",IF(BS1628=1,"Neu; ","")&amp;IF(AND(BS1628=0,BN1628&lt;0),"negativer Bestand (Export "&amp;BN1628&amp;"); ","")&amp;IF(J1628&lt;=0,"Kein Verbrauch; ","")&amp;IF(CL1628&gt;0,"Lift "&amp;W1628&amp;" lt. Liftbericht (Fach "&amp;X1628&amp;" Stk); ",IF(BX1628=1,"Gebinde geschätzt ("&amp;T1628&amp;"); ",IF(BW1628=1,"Lose – Tablare geschätzt; ","")))&amp;IF(H1628&gt;AT1628,"Überbestand "&amp;ROUND(H1628-AT1628,0)&amp;" Stk / CHF "&amp;ROUND((H1628-AT1628)*G1628,0)&amp;"; ","")&amp;IF(AND(CE1628=1,CF1628&lt;CG1628),"MAX &lt; MB+LG; ","")&amp;IF(AND(CK1628&gt;0,CJ1628*10&gt;CK1628),"zu hoch für Tablar; ","")&amp;IF(AND(BS1628=0,OR(CE1628=1,AA1628&lt;&gt;"",U1628&lt;&gt;"",V1628&lt;&gt;"",AB1628&lt;&gt;"")),"manuell übersteuert; ","")&amp;IF(AND(BW1628=0,R1628=0),"Gebinde unbekannt / Stellmass fehlt; ","")&amp;IF(AND(BW1628=0,N(V1628)&lt;=0,N(Q1628)&lt;=0),"Menge pro Gebinde fehlt (Ist = 1 Gebinde); ","")&amp;BR1628)</f>
        <v>Kein Verbrauch; Gebinde geschätzt (Klein); Menge pro Gebinde fehlt (Ist = 1 Gebinde); nur im Artikelstamm (Bestand 23.06.2026)</v>
      </c>
      <c r="BK1628" s="48"/>
      <c r="BL1628" s="48"/>
      <c r="BM1628" s="55"/>
      <c r="BN1628" s="50" t="n">
        <v>74</v>
      </c>
      <c r="BO1628" s="50" t="n">
        <v>0</v>
      </c>
      <c r="BP1628" s="49" t="n">
        <v>0</v>
      </c>
      <c r="BQ1628" s="50" t="n">
        <v>0</v>
      </c>
      <c r="BR1628" s="48" t="s">
        <v>2579</v>
      </c>
      <c r="BS1628" s="53" t="n">
        <v>0</v>
      </c>
      <c r="BT1628" s="53" t="n">
        <v>1628</v>
      </c>
      <c r="BU1628" s="48" t="str">
        <f aca="false">IF(U1628&lt;&gt;"",UPPER(TRIM(U1628)),IF(BX1628=1,UPPER(VLOOKUP(T1628,Parameter!$I$27:$K$29,2,0)),IF(P1628="","LOSE",P1628)))</f>
        <v>S51</v>
      </c>
      <c r="BV1628" s="50" t="n">
        <f aca="false">IF(BU1628="LOSE",1,IF(N(V1628)&gt;0,V1628,IF(BX1628=1,MAX(1,N(VLOOKUP(T1628,Parameter!$I$27:$K$29,3,0)),H1628,N(N1628)),IF(N(Q1628)&gt;0,Q1628,MAX(1,H1628)))))</f>
        <v>74</v>
      </c>
      <c r="BW1628" s="53" t="n">
        <f aca="false">IF(BU1628="LOSE",1,0)</f>
        <v>0</v>
      </c>
      <c r="BX1628" s="53" t="n">
        <f aca="false">IF(AND(U1628="",OR(P1628="",P1628="LOSE"),T1628&lt;&gt;"",N(S1628)&lt;=0,ISNUMBER(MATCH(T1628,Parameter!$I$27:$I$29,0))),1,0)</f>
        <v>1</v>
      </c>
      <c r="BY1628" s="53" t="n">
        <f aca="false">IF(CL1628&gt;0,INDEX(Parameter!$H$5:$H$7,W1628)/INDEX(Parameter!$E$5:$E$7,W1628),IF(AND(BW1628=0,N(IFERROR(VLOOKUP(BU1628,'Gebinde-Kategorie'!$A$5:$N$45,14,0),0))&gt;0),VLOOKUP(BU1628,'Gebinde-Kategorie'!$A$5:$N$45,14,0)*10+Parameter!$M$23,Parameter!$M$24))</f>
        <v>155</v>
      </c>
      <c r="BZ1628" s="48" t="str">
        <f aca="false">IF(AND(Parameter!$B$19="Ja",E1628&lt;&gt;"",ISNUMBER(MATCH(E1628,Parameter!$I$35:$I$52,0))),VLOOKUP(E1628,Parameter!$I$35:$J$52,2,0),IFERROR(VLOOKUP(D1628,Parameter!$A$35:$C$64,2,0),"Nein"))</f>
        <v>2+3</v>
      </c>
      <c r="CA1628" s="52" t="n">
        <f aca="false">IF(BW1628=0,0,IF(N(S1628)&gt;0,S1628,IFERROR(VLOOKUP(D1628,Parameter!$A$35:$C$64,3,0)+0,0)))</f>
        <v>0</v>
      </c>
      <c r="CB1628" s="48" t="n">
        <f aca="false">IF(AA1628&lt;&gt;"",AA1628,Z1628)</f>
        <v>3</v>
      </c>
      <c r="CC1628" s="48" t="str">
        <f aca="false">IF(OR(CB1628=1,CB1628=2,CB1628=3),IF(Parameter!$E$27="Ja","LIFT",IF(CB1628=1,"L1","L23")),IF(CB1628="Aussen","Aussen","-"))</f>
        <v>LIFT</v>
      </c>
      <c r="CD1628" s="59" t="n">
        <f aca="false">IF(N(AB1628)&gt;0,AB1628,0)</f>
        <v>0</v>
      </c>
      <c r="CE1628" s="53" t="n">
        <f aca="false">IF(ISNUMBER(AE1628),1,0)</f>
        <v>0</v>
      </c>
      <c r="CF1628" s="50" t="n">
        <f aca="false">N(AE1628)</f>
        <v>0</v>
      </c>
      <c r="CG1628" s="50" t="n">
        <f aca="false">N(M1628)+N(N1628)</f>
        <v>50</v>
      </c>
      <c r="CH1628" s="50" t="n">
        <f aca="false">ROUNDUP(H1628/BV1628,0)</f>
        <v>1</v>
      </c>
      <c r="CI1628" s="50" t="n">
        <f aca="false">ROUNDUP(CF1628/BV1628,0)</f>
        <v>0</v>
      </c>
      <c r="CJ1628" s="53" t="n">
        <f aca="false">IF(BW1628=1,0,IFERROR(VLOOKUP(BU1628,'Gebinde-Kategorie'!$A$5:$N$45,5,0)+0,0))</f>
        <v>11</v>
      </c>
      <c r="CK1628" s="53" t="n">
        <f aca="false">IFERROR(IF(OR(CB1628=1,CB1628=2,CB1628=3),N(INDEX(Parameter!$I$5:$I$7,CB1628)),0),0)</f>
        <v>0</v>
      </c>
      <c r="CL1628" s="52" t="n">
        <f aca="false">IF(AND(Parameter!$B$21="Ja",ISNUMBER(W1628),N(X1628)&gt;0),IFERROR(N(INDEX(Parameter!$L$5:$L$7,W1628))*INDEX(Parameter!$E$5:$E$7,W1628)*X1628/SUMIFS($X$7:$X$1843,$W$7:$W$1843,W1628),0),0)</f>
        <v>0</v>
      </c>
    </row>
    <row r="1629" customFormat="false" ht="15" hidden="false" customHeight="false" outlineLevel="0" collapsed="false">
      <c r="A1629" s="48" t="s">
        <v>2838</v>
      </c>
      <c r="B1629" s="48" t="s">
        <v>2839</v>
      </c>
      <c r="C1629" s="48" t="s">
        <v>168</v>
      </c>
      <c r="D1629" s="48" t="s">
        <v>177</v>
      </c>
      <c r="E1629" s="48" t="s">
        <v>177</v>
      </c>
      <c r="F1629" s="48"/>
      <c r="G1629" s="49" t="n">
        <v>960</v>
      </c>
      <c r="H1629" s="50" t="n">
        <f aca="false">MAX(0,IF(AND(Parameter!$B$21="Ja",ISNUMBER(Y1629)),Y1629,IF(Parameter!$B$20="Jahresanfang 2025 + Export",BO1629+BN1629,BN1629)))</f>
        <v>7</v>
      </c>
      <c r="I1629" s="50" t="n">
        <f aca="false">H1629*G1629</f>
        <v>6720</v>
      </c>
      <c r="J1629" s="50" t="n">
        <f aca="false">BQ1629*Parameter!$B$18</f>
        <v>0</v>
      </c>
      <c r="K1629" s="51"/>
      <c r="L1629" s="52"/>
      <c r="M1629" s="50" t="n">
        <v>0</v>
      </c>
      <c r="N1629" s="50" t="n">
        <v>3</v>
      </c>
      <c r="O1629" s="53" t="n">
        <v>28</v>
      </c>
      <c r="P1629" s="48" t="s">
        <v>172</v>
      </c>
      <c r="Q1629" s="50"/>
      <c r="R1629" s="53" t="n">
        <f aca="false">IF(BW1629=1,0,IFERROR(VLOOKUP(BU1629,'Gebinde-Kategorie'!$A$5:$N$45,13,0)+0,0))</f>
        <v>4</v>
      </c>
      <c r="S1629" s="54"/>
      <c r="T1629" s="55" t="s">
        <v>193</v>
      </c>
      <c r="U1629" s="55"/>
      <c r="V1629" s="55"/>
      <c r="W1629" s="48"/>
      <c r="X1629" s="50"/>
      <c r="Y1629" s="50"/>
      <c r="Z1629" s="48" t="str">
        <f aca="false">IF(A1629="","",IF(AND(Parameter!$B$21="Ja",ISNUMBER(W1629)),W1629,IF(BZ1629="2+3",IF(ISNUMBER(SEARCH("grosser Artikel",BR1629)),2,IFERROR(VLOOKUP(BU1629,Parameter!$F$35:$G$64,2,0),2)),IF(OR(BZ1629="Nein",BZ1629=""),"-",BZ1629))))</f>
        <v>-</v>
      </c>
      <c r="AA1629" s="55"/>
      <c r="AB1629" s="56"/>
      <c r="AC1629" s="50" t="n">
        <f aca="false">AT1629</f>
        <v>7</v>
      </c>
      <c r="AD1629" s="50" t="n">
        <f aca="false">MAX(AT1629,H1629)</f>
        <v>7</v>
      </c>
      <c r="AE1629" s="57"/>
      <c r="AF1629" s="50" t="n">
        <f aca="false">IF(LEFT(Cockpit!$C$5,1)="A",H1629,IF(CE1629=1,CF1629,IF(LEFT(Cockpit!$C$5,1)="B",AK1629,MAX(AK1629,H1629))))</f>
        <v>7</v>
      </c>
      <c r="AG1629" s="50" t="n">
        <f aca="false">IF(BW1629=1,0,ROUNDUP(AF1629/BV1629,0))</f>
        <v>1</v>
      </c>
      <c r="AH1629" s="52" t="n">
        <f aca="false">IF(CL1629&gt;0,CL1629*MAX(1,AF1629/X1629),IF(BW1629=1,IF(AF1629&lt;=0,0,CA1629*MAX(1,IF(H1629&gt;0,AF1629/H1629,1))),IF(R1629&gt;0,AG1629/R1629,0))/MAX(0.1,N(Parameter!$M$21)))</f>
        <v>0.25</v>
      </c>
      <c r="AI1629" s="50" t="n">
        <f aca="false">AH1629*BY1629</f>
        <v>58.75</v>
      </c>
      <c r="AJ1629" s="50" t="n">
        <f aca="false">AF1629*G1629</f>
        <v>6720</v>
      </c>
      <c r="AK1629" s="50" t="n">
        <f aca="false">ROUNDUP(MAX(J1629/IF(CD1629&gt;0,CD1629,MAX(0.1,N(Cockpit!$C$6))),CG1629)/BV1629,0)*BV1629</f>
        <v>7</v>
      </c>
      <c r="AL1629" s="51" t="n">
        <f aca="false">IF(AI1629&gt;0,J1629/AI1629,-1)</f>
        <v>0</v>
      </c>
      <c r="AM1629" s="51" t="str">
        <f aca="false">IF(AND(OR(CC1629="L1",CC1629="L23",CC1629="LIFT"),AI1629&gt;0),SUMIFS($AI$7:$AI$1843,$CC$7:$CC$1843,CC1629,$AL$7:$AL$1843,"&gt;"&amp;AL1629)+SUMIFS($AI$7:$AI$1843,$CC$7:$CC$1843,CC1629,$AL$7:$AL$1843,AL1629,$BT$7:$BT$1843,"&lt;="&amp;BT1629),"")</f>
        <v/>
      </c>
      <c r="AN1629" s="58" t="n">
        <f aca="false">IF(AM1629="",0,MAX(0,MIN(1,(IF(CC1629="L1",Parameter!$H$5,IF(CC1629="L23",Parameter!$H$6+Parameter!$H$7,Parameter!$H$5+Parameter!$H$6+Parameter!$H$7))-(AM1629-AI1629))/AI1629)))</f>
        <v>0</v>
      </c>
      <c r="AO1629" s="50" t="n">
        <f aca="false">IF(LEFT(Cockpit!$I$5,1)="A",H1629,IF(CE1629=1,CF1629,IF(LEFT(Cockpit!$I$5,1)="B",AT1629,MAX(AT1629,H1629))))</f>
        <v>7</v>
      </c>
      <c r="AP1629" s="50" t="n">
        <f aca="false">IF(BW1629=1,0,ROUNDUP(AO1629/BV1629,0))</f>
        <v>1</v>
      </c>
      <c r="AQ1629" s="52" t="n">
        <f aca="false">IF(CL1629&gt;0,CL1629*MAX(1,AO1629/X1629),IF(BW1629=1,IF(AO1629&lt;=0,0,CA1629*MAX(1,IF(H1629&gt;0,AO1629/H1629,1))),IF(R1629&gt;0,AP1629/R1629,0))/MAX(0.1,N(Parameter!$M$21)))</f>
        <v>0.25</v>
      </c>
      <c r="AR1629" s="50" t="n">
        <f aca="false">AQ1629*BY1629</f>
        <v>58.75</v>
      </c>
      <c r="AS1629" s="50" t="n">
        <f aca="false">AO1629*G1629</f>
        <v>6720</v>
      </c>
      <c r="AT1629" s="50" t="n">
        <f aca="false">ROUNDUP(MAX(J1629/IF(CD1629&gt;0,CD1629,MAX(0.1,N(Cockpit!$I$6))),CG1629)/BV1629,0)*BV1629</f>
        <v>7</v>
      </c>
      <c r="AU1629" s="51" t="n">
        <f aca="false">IF(AR1629&gt;0,J1629/AR1629,-1)</f>
        <v>0</v>
      </c>
      <c r="AV1629" s="51" t="str">
        <f aca="false">IF(AND(OR(CC1629="L1",CC1629="L23",CC1629="LIFT"),AR1629&gt;0),SUMIFS($AR$7:$AR$1843,$CC$7:$CC$1843,CC1629,$AU$7:$AU$1843,"&gt;"&amp;AU1629)+SUMIFS($AR$7:$AR$1843,$CC$7:$CC$1843,CC1629,$AU$7:$AU$1843,AU1629,$BT$7:$BT$1843,"&lt;="&amp;BT1629),"")</f>
        <v/>
      </c>
      <c r="AW1629" s="58" t="n">
        <f aca="false">IF(AV1629="",0,MAX(0,MIN(1,(IF(CC1629="L1",Parameter!$H$5,IF(CC1629="L23",Parameter!$H$6+Parameter!$H$7,Parameter!$H$5+Parameter!$H$6+Parameter!$H$7))-(AV1629-AR1629))/AR1629)))</f>
        <v>0</v>
      </c>
      <c r="AX1629" s="50" t="n">
        <f aca="false">IF(LEFT(Cockpit!$O$5,1)="A",H1629,IF(CE1629=1,CF1629,IF(LEFT(Cockpit!$O$5,1)="B",BC1629,MAX(BC1629,H1629))))</f>
        <v>7</v>
      </c>
      <c r="AY1629" s="50" t="n">
        <f aca="false">IF(BW1629=1,0,ROUNDUP(AX1629/BV1629,0))</f>
        <v>1</v>
      </c>
      <c r="AZ1629" s="52" t="n">
        <f aca="false">IF(CL1629&gt;0,CL1629*MAX(1,AX1629/X1629),IF(BW1629=1,IF(AX1629&lt;=0,0,CA1629*MAX(1,IF(H1629&gt;0,AX1629/H1629,1))),IF(R1629&gt;0,AY1629/R1629,0))/MAX(0.1,N(Parameter!$M$21)))</f>
        <v>0.25</v>
      </c>
      <c r="BA1629" s="50" t="n">
        <f aca="false">AZ1629*BY1629</f>
        <v>58.75</v>
      </c>
      <c r="BB1629" s="50" t="n">
        <f aca="false">AX1629*G1629</f>
        <v>6720</v>
      </c>
      <c r="BC1629" s="50" t="n">
        <f aca="false">ROUNDUP(MAX(J1629/IF(CD1629&gt;0,CD1629,MAX(0.1,N(Cockpit!$O$6))),CG1629)/BV1629,0)*BV1629</f>
        <v>7</v>
      </c>
      <c r="BD1629" s="51" t="n">
        <f aca="false">IF(BA1629&gt;0,J1629/BA1629,-1)</f>
        <v>0</v>
      </c>
      <c r="BE1629" s="51" t="str">
        <f aca="false">IF(AND(OR(CC1629="L1",CC1629="L23",CC1629="LIFT"),BA1629&gt;0),SUMIFS($BA$7:$BA$1843,$CC$7:$CC$1843,CC1629,$BD$7:$BD$1843,"&gt;"&amp;BD1629)+SUMIFS($BA$7:$BA$1843,$CC$7:$CC$1843,CC1629,$BD$7:$BD$1843,BD1629,$BT$7:$BT$1843,"&lt;="&amp;BT1629),"")</f>
        <v/>
      </c>
      <c r="BF1629" s="58" t="n">
        <f aca="false">IF(BE1629="",0,MAX(0,MIN(1,(IF(CC1629="L1",Parameter!$H$5,IF(CC1629="L23",Parameter!$H$6+Parameter!$H$7,Parameter!$H$5+Parameter!$H$6+Parameter!$H$7))-(BE1629-BA1629))/BA1629)))</f>
        <v>0</v>
      </c>
      <c r="BG1629" s="48" t="str">
        <f aca="false">IF(AI1629&lt;=0,"",IF(CC1629="Aussen","Aussenlager",IF(CC1629="-","Nicht im Lift",IF(AN1629&gt;=1,"Lift",IF(AN1629&lt;=0,"Aussenlager","teilweise")))))</f>
        <v>Nicht im Lift</v>
      </c>
      <c r="BH1629" s="48" t="str">
        <f aca="false">IF(AR1629&lt;=0,"",IF(CC1629="Aussen","Aussenlager",IF(CC1629="-","Nicht im Lift",IF(AW1629&gt;=1,"Lift",IF(AW1629&lt;=0,"Aussenlager","teilweise")))))</f>
        <v>Nicht im Lift</v>
      </c>
      <c r="BI1629" s="48" t="str">
        <f aca="false">IF(BA1629&lt;=0,"",IF(CC1629="Aussen","Aussenlager",IF(CC1629="-","Nicht im Lift",IF(BF1629&gt;=1,"Lift",IF(BF1629&lt;=0,"Aussenlager","teilweise")))))</f>
        <v>Nicht im Lift</v>
      </c>
      <c r="BJ1629" s="48" t="str">
        <f aca="false">IF(A1629="","",IF(BS1629=1,"Neu; ","")&amp;IF(AND(BS1629=0,BN1629&lt;0),"negativer Bestand (Export "&amp;BN1629&amp;"); ","")&amp;IF(J1629&lt;=0,"Kein Verbrauch; ","")&amp;IF(CL1629&gt;0,"Lift "&amp;W1629&amp;" lt. Liftbericht (Fach "&amp;X1629&amp;" Stk); ",IF(BX1629=1,"Gebinde geschätzt ("&amp;T1629&amp;"); ",IF(BW1629=1,"Lose – Tablare geschätzt; ","")))&amp;IF(H1629&gt;AT1629,"Überbestand "&amp;ROUND(H1629-AT1629,0)&amp;" Stk / CHF "&amp;ROUND((H1629-AT1629)*G1629,0)&amp;"; ","")&amp;IF(AND(CE1629=1,CF1629&lt;CG1629),"MAX &lt; MB+LG; ","")&amp;IF(AND(CK1629&gt;0,CJ1629*10&gt;CK1629),"zu hoch für Tablar; ","")&amp;IF(AND(BS1629=0,OR(CE1629=1,AA1629&lt;&gt;"",U1629&lt;&gt;"",V1629&lt;&gt;"",AB1629&lt;&gt;"")),"manuell übersteuert; ","")&amp;IF(AND(BW1629=0,R1629=0),"Gebinde unbekannt / Stellmass fehlt; ","")&amp;IF(AND(BW1629=0,N(V1629)&lt;=0,N(Q1629)&lt;=0),"Menge pro Gebinde fehlt (Ist = 1 Gebinde); ","")&amp;BR1629)</f>
        <v>Kein Verbrauch; Gebinde geschätzt (Gross); Menge pro Gebinde fehlt (Ist = 1 Gebinde); nur im Artikelstamm (Bestand 23.06.2026)</v>
      </c>
      <c r="BK1629" s="48"/>
      <c r="BL1629" s="48"/>
      <c r="BM1629" s="55"/>
      <c r="BN1629" s="50" t="n">
        <v>7</v>
      </c>
      <c r="BO1629" s="50" t="n">
        <v>0</v>
      </c>
      <c r="BP1629" s="49" t="n">
        <v>0</v>
      </c>
      <c r="BQ1629" s="50" t="n">
        <v>0</v>
      </c>
      <c r="BR1629" s="48" t="s">
        <v>2579</v>
      </c>
      <c r="BS1629" s="53" t="n">
        <v>0</v>
      </c>
      <c r="BT1629" s="53" t="n">
        <v>1629</v>
      </c>
      <c r="BU1629" s="48" t="str">
        <f aca="false">IF(U1629&lt;&gt;"",UPPER(TRIM(U1629)),IF(BX1629=1,UPPER(VLOOKUP(T1629,Parameter!$I$27:$K$29,2,0)),IF(P1629="","LOSE",P1629)))</f>
        <v>S81</v>
      </c>
      <c r="BV1629" s="50" t="n">
        <f aca="false">IF(BU1629="LOSE",1,IF(N(V1629)&gt;0,V1629,IF(BX1629=1,MAX(1,N(VLOOKUP(T1629,Parameter!$I$27:$K$29,3,0)),H1629,N(N1629)),IF(N(Q1629)&gt;0,Q1629,MAX(1,H1629)))))</f>
        <v>7</v>
      </c>
      <c r="BW1629" s="53" t="n">
        <f aca="false">IF(BU1629="LOSE",1,0)</f>
        <v>0</v>
      </c>
      <c r="BX1629" s="53" t="n">
        <f aca="false">IF(AND(U1629="",OR(P1629="",P1629="LOSE"),T1629&lt;&gt;"",N(S1629)&lt;=0,ISNUMBER(MATCH(T1629,Parameter!$I$27:$I$29,0))),1,0)</f>
        <v>1</v>
      </c>
      <c r="BY1629" s="53" t="n">
        <f aca="false">IF(CL1629&gt;0,INDEX(Parameter!$H$5:$H$7,W1629)/INDEX(Parameter!$E$5:$E$7,W1629),IF(AND(BW1629=0,N(IFERROR(VLOOKUP(BU1629,'Gebinde-Kategorie'!$A$5:$N$45,14,0),0))&gt;0),VLOOKUP(BU1629,'Gebinde-Kategorie'!$A$5:$N$45,14,0)*10+Parameter!$M$23,Parameter!$M$24))</f>
        <v>235</v>
      </c>
      <c r="BZ1629" s="48" t="str">
        <f aca="false">IF(AND(Parameter!$B$19="Ja",E1629&lt;&gt;"",ISNUMBER(MATCH(E1629,Parameter!$I$35:$I$52,0))),VLOOKUP(E1629,Parameter!$I$35:$J$52,2,0),IFERROR(VLOOKUP(D1629,Parameter!$A$35:$C$64,2,0),"Nein"))</f>
        <v>Nein</v>
      </c>
      <c r="CA1629" s="52" t="n">
        <f aca="false">IF(BW1629=0,0,IF(N(S1629)&gt;0,S1629,IFERROR(VLOOKUP(D1629,Parameter!$A$35:$C$64,3,0)+0,0)))</f>
        <v>0</v>
      </c>
      <c r="CB1629" s="48" t="str">
        <f aca="false">IF(AA1629&lt;&gt;"",AA1629,Z1629)</f>
        <v>-</v>
      </c>
      <c r="CC1629" s="48" t="str">
        <f aca="false">IF(OR(CB1629=1,CB1629=2,CB1629=3),IF(Parameter!$E$27="Ja","LIFT",IF(CB1629=1,"L1","L23")),IF(CB1629="Aussen","Aussen","-"))</f>
        <v>-</v>
      </c>
      <c r="CD1629" s="59" t="n">
        <f aca="false">IF(N(AB1629)&gt;0,AB1629,0)</f>
        <v>0</v>
      </c>
      <c r="CE1629" s="53" t="n">
        <f aca="false">IF(ISNUMBER(AE1629),1,0)</f>
        <v>0</v>
      </c>
      <c r="CF1629" s="50" t="n">
        <f aca="false">N(AE1629)</f>
        <v>0</v>
      </c>
      <c r="CG1629" s="50" t="n">
        <f aca="false">N(M1629)+N(N1629)</f>
        <v>3</v>
      </c>
      <c r="CH1629" s="50" t="n">
        <f aca="false">ROUNDUP(H1629/BV1629,0)</f>
        <v>1</v>
      </c>
      <c r="CI1629" s="50" t="n">
        <f aca="false">ROUNDUP(CF1629/BV1629,0)</f>
        <v>0</v>
      </c>
      <c r="CJ1629" s="53" t="n">
        <f aca="false">IF(BW1629=1,0,IFERROR(VLOOKUP(BU1629,'Gebinde-Kategorie'!$A$5:$N$45,5,0)+0,0))</f>
        <v>20</v>
      </c>
      <c r="CK1629" s="53" t="n">
        <f aca="false">IFERROR(IF(OR(CB1629=1,CB1629=2,CB1629=3),N(INDEX(Parameter!$I$5:$I$7,CB1629)),0),0)</f>
        <v>0</v>
      </c>
      <c r="CL1629" s="52" t="n">
        <f aca="false">IF(AND(Parameter!$B$21="Ja",ISNUMBER(W1629),N(X1629)&gt;0),IFERROR(N(INDEX(Parameter!$L$5:$L$7,W1629))*INDEX(Parameter!$E$5:$E$7,W1629)*X1629/SUMIFS($X$7:$X$1843,$W$7:$W$1843,W1629),0),0)</f>
        <v>0</v>
      </c>
    </row>
    <row r="1630" customFormat="false" ht="15" hidden="false" customHeight="false" outlineLevel="0" collapsed="false">
      <c r="A1630" s="48" t="s">
        <v>2840</v>
      </c>
      <c r="B1630" s="48" t="s">
        <v>2841</v>
      </c>
      <c r="C1630" s="48" t="s">
        <v>460</v>
      </c>
      <c r="D1630" s="48" t="s">
        <v>177</v>
      </c>
      <c r="E1630" s="48"/>
      <c r="F1630" s="48"/>
      <c r="G1630" s="49" t="n">
        <v>918.55</v>
      </c>
      <c r="H1630" s="50" t="n">
        <f aca="false">MAX(0,IF(AND(Parameter!$B$21="Ja",ISNUMBER(Y1630)),Y1630,IF(Parameter!$B$20="Jahresanfang 2025 + Export",BO1630+BN1630,BN1630)))</f>
        <v>4</v>
      </c>
      <c r="I1630" s="50" t="n">
        <f aca="false">H1630*G1630</f>
        <v>3674.2</v>
      </c>
      <c r="J1630" s="50" t="n">
        <f aca="false">BQ1630*Parameter!$B$18</f>
        <v>0</v>
      </c>
      <c r="K1630" s="51"/>
      <c r="L1630" s="52"/>
      <c r="M1630" s="50" t="n">
        <v>0</v>
      </c>
      <c r="N1630" s="50" t="n">
        <v>4</v>
      </c>
      <c r="O1630" s="53" t="n">
        <v>84</v>
      </c>
      <c r="P1630" s="48" t="s">
        <v>172</v>
      </c>
      <c r="Q1630" s="50"/>
      <c r="R1630" s="53" t="n">
        <f aca="false">IF(BW1630=1,0,IFERROR(VLOOKUP(BU1630,'Gebinde-Kategorie'!$A$5:$N$45,13,0)+0,0))</f>
        <v>12</v>
      </c>
      <c r="S1630" s="54"/>
      <c r="T1630" s="55" t="s">
        <v>183</v>
      </c>
      <c r="U1630" s="55"/>
      <c r="V1630" s="55"/>
      <c r="W1630" s="48"/>
      <c r="X1630" s="50"/>
      <c r="Y1630" s="50"/>
      <c r="Z1630" s="48" t="n">
        <f aca="false">IF(A1630="","",IF(AND(Parameter!$B$21="Ja",ISNUMBER(W1630)),W1630,IF(BZ1630="2+3",IF(ISNUMBER(SEARCH("grosser Artikel",BR1630)),2,IFERROR(VLOOKUP(BU1630,Parameter!$F$35:$G$64,2,0),2)),IF(OR(BZ1630="Nein",BZ1630=""),"-",BZ1630))))</f>
        <v>2</v>
      </c>
      <c r="AA1630" s="55"/>
      <c r="AB1630" s="56"/>
      <c r="AC1630" s="50" t="n">
        <f aca="false">AT1630</f>
        <v>4</v>
      </c>
      <c r="AD1630" s="50" t="n">
        <f aca="false">MAX(AT1630,H1630)</f>
        <v>4</v>
      </c>
      <c r="AE1630" s="57"/>
      <c r="AF1630" s="50" t="n">
        <f aca="false">IF(LEFT(Cockpit!$C$5,1)="A",H1630,IF(CE1630=1,CF1630,IF(LEFT(Cockpit!$C$5,1)="B",AK1630,MAX(AK1630,H1630))))</f>
        <v>4</v>
      </c>
      <c r="AG1630" s="50" t="n">
        <f aca="false">IF(BW1630=1,0,ROUNDUP(AF1630/BV1630,0))</f>
        <v>1</v>
      </c>
      <c r="AH1630" s="52" t="n">
        <f aca="false">IF(CL1630&gt;0,CL1630*MAX(1,AF1630/X1630),IF(BW1630=1,IF(AF1630&lt;=0,0,CA1630*MAX(1,IF(H1630&gt;0,AF1630/H1630,1))),IF(R1630&gt;0,AG1630/R1630,0))/MAX(0.1,N(Parameter!$M$21)))</f>
        <v>0.0833333333333333</v>
      </c>
      <c r="AI1630" s="50" t="n">
        <f aca="false">AH1630*BY1630</f>
        <v>12.0833333333333</v>
      </c>
      <c r="AJ1630" s="50" t="n">
        <f aca="false">AF1630*G1630</f>
        <v>3674.2</v>
      </c>
      <c r="AK1630" s="50" t="n">
        <f aca="false">ROUNDUP(MAX(J1630/IF(CD1630&gt;0,CD1630,MAX(0.1,N(Cockpit!$C$6))),CG1630)/BV1630,0)*BV1630</f>
        <v>4</v>
      </c>
      <c r="AL1630" s="51" t="n">
        <f aca="false">IF(AI1630&gt;0,J1630/AI1630,-1)</f>
        <v>0</v>
      </c>
      <c r="AM1630" s="51" t="n">
        <f aca="false">IF(AND(OR(CC1630="L1",CC1630="L23",CC1630="LIFT"),AI1630&gt;0),SUMIFS($AI$7:$AI$1843,$CC$7:$CC$1843,CC1630,$AL$7:$AL$1843,"&gt;"&amp;AL1630)+SUMIFS($AI$7:$AI$1843,$CC$7:$CC$1843,CC1630,$AL$7:$AL$1843,AL1630,$BT$7:$BT$1843,"&lt;="&amp;BT1630),"")</f>
        <v>30908.4059337555</v>
      </c>
      <c r="AN1630" s="58" t="n">
        <f aca="false">IF(AM1630="",0,MAX(0,MIN(1,(IF(CC1630="L1",Parameter!$H$5,IF(CC1630="L23",Parameter!$H$6+Parameter!$H$7,Parameter!$H$5+Parameter!$H$6+Parameter!$H$7))-(AM1630-AI1630))/AI1630)))</f>
        <v>1</v>
      </c>
      <c r="AO1630" s="50" t="n">
        <f aca="false">IF(LEFT(Cockpit!$I$5,1)="A",H1630,IF(CE1630=1,CF1630,IF(LEFT(Cockpit!$I$5,1)="B",AT1630,MAX(AT1630,H1630))))</f>
        <v>4</v>
      </c>
      <c r="AP1630" s="50" t="n">
        <f aca="false">IF(BW1630=1,0,ROUNDUP(AO1630/BV1630,0))</f>
        <v>1</v>
      </c>
      <c r="AQ1630" s="52" t="n">
        <f aca="false">IF(CL1630&gt;0,CL1630*MAX(1,AO1630/X1630),IF(BW1630=1,IF(AO1630&lt;=0,0,CA1630*MAX(1,IF(H1630&gt;0,AO1630/H1630,1))),IF(R1630&gt;0,AP1630/R1630,0))/MAX(0.1,N(Parameter!$M$21)))</f>
        <v>0.0833333333333333</v>
      </c>
      <c r="AR1630" s="50" t="n">
        <f aca="false">AQ1630*BY1630</f>
        <v>12.0833333333333</v>
      </c>
      <c r="AS1630" s="50" t="n">
        <f aca="false">AO1630*G1630</f>
        <v>3674.2</v>
      </c>
      <c r="AT1630" s="50" t="n">
        <f aca="false">ROUNDUP(MAX(J1630/IF(CD1630&gt;0,CD1630,MAX(0.1,N(Cockpit!$I$6))),CG1630)/BV1630,0)*BV1630</f>
        <v>4</v>
      </c>
      <c r="AU1630" s="51" t="n">
        <f aca="false">IF(AR1630&gt;0,J1630/AR1630,-1)</f>
        <v>0</v>
      </c>
      <c r="AV1630" s="51" t="n">
        <f aca="false">IF(AND(OR(CC1630="L1",CC1630="L23",CC1630="LIFT"),AR1630&gt;0),SUMIFS($AR$7:$AR$1843,$CC$7:$CC$1843,CC1630,$AU$7:$AU$1843,"&gt;"&amp;AU1630)+SUMIFS($AR$7:$AR$1843,$CC$7:$CC$1843,CC1630,$AU$7:$AU$1843,AU1630,$BT$7:$BT$1843,"&lt;="&amp;BT1630),"")</f>
        <v>43270.3082458972</v>
      </c>
      <c r="AW1630" s="58" t="n">
        <f aca="false">IF(AV1630="",0,MAX(0,MIN(1,(IF(CC1630="L1",Parameter!$H$5,IF(CC1630="L23",Parameter!$H$6+Parameter!$H$7,Parameter!$H$5+Parameter!$H$6+Parameter!$H$7))-(AV1630-AR1630))/AR1630)))</f>
        <v>0</v>
      </c>
      <c r="AX1630" s="50" t="n">
        <f aca="false">IF(LEFT(Cockpit!$O$5,1)="A",H1630,IF(CE1630=1,CF1630,IF(LEFT(Cockpit!$O$5,1)="B",BC1630,MAX(BC1630,H1630))))</f>
        <v>4</v>
      </c>
      <c r="AY1630" s="50" t="n">
        <f aca="false">IF(BW1630=1,0,ROUNDUP(AX1630/BV1630,0))</f>
        <v>1</v>
      </c>
      <c r="AZ1630" s="52" t="n">
        <f aca="false">IF(CL1630&gt;0,CL1630*MAX(1,AX1630/X1630),IF(BW1630=1,IF(AX1630&lt;=0,0,CA1630*MAX(1,IF(H1630&gt;0,AX1630/H1630,1))),IF(R1630&gt;0,AY1630/R1630,0))/MAX(0.1,N(Parameter!$M$21)))</f>
        <v>0.0833333333333333</v>
      </c>
      <c r="BA1630" s="50" t="n">
        <f aca="false">AZ1630*BY1630</f>
        <v>12.0833333333333</v>
      </c>
      <c r="BB1630" s="50" t="n">
        <f aca="false">AX1630*G1630</f>
        <v>3674.2</v>
      </c>
      <c r="BC1630" s="50" t="n">
        <f aca="false">ROUNDUP(MAX(J1630/IF(CD1630&gt;0,CD1630,MAX(0.1,N(Cockpit!$O$6))),CG1630)/BV1630,0)*BV1630</f>
        <v>4</v>
      </c>
      <c r="BD1630" s="51" t="n">
        <f aca="false">IF(BA1630&gt;0,J1630/BA1630,-1)</f>
        <v>0</v>
      </c>
      <c r="BE1630" s="51" t="n">
        <f aca="false">IF(AND(OR(CC1630="L1",CC1630="L23",CC1630="LIFT"),BA1630&gt;0),SUMIFS($BA$7:$BA$1843,$CC$7:$CC$1843,CC1630,$BD$7:$BD$1843,"&gt;"&amp;BD1630)+SUMIFS($BA$7:$BA$1843,$CC$7:$CC$1843,CC1630,$BD$7:$BD$1843,BD1630,$BT$7:$BT$1843,"&lt;="&amp;BT1630),"")</f>
        <v>39945.3202877631</v>
      </c>
      <c r="BF1630" s="58" t="n">
        <f aca="false">IF(BE1630="",0,MAX(0,MIN(1,(IF(CC1630="L1",Parameter!$H$5,IF(CC1630="L23",Parameter!$H$6+Parameter!$H$7,Parameter!$H$5+Parameter!$H$6+Parameter!$H$7))-(BE1630-BA1630))/BA1630)))</f>
        <v>0</v>
      </c>
      <c r="BG1630" s="48" t="str">
        <f aca="false">IF(AI1630&lt;=0,"",IF(CC1630="Aussen","Aussenlager",IF(CC1630="-","Nicht im Lift",IF(AN1630&gt;=1,"Lift",IF(AN1630&lt;=0,"Aussenlager","teilweise")))))</f>
        <v>Lift</v>
      </c>
      <c r="BH1630" s="48" t="str">
        <f aca="false">IF(AR1630&lt;=0,"",IF(CC1630="Aussen","Aussenlager",IF(CC1630="-","Nicht im Lift",IF(AW1630&gt;=1,"Lift",IF(AW1630&lt;=0,"Aussenlager","teilweise")))))</f>
        <v>Aussenlager</v>
      </c>
      <c r="BI1630" s="48" t="str">
        <f aca="false">IF(BA1630&lt;=0,"",IF(CC1630="Aussen","Aussenlager",IF(CC1630="-","Nicht im Lift",IF(BF1630&gt;=1,"Lift",IF(BF1630&lt;=0,"Aussenlager","teilweise")))))</f>
        <v>Aussenlager</v>
      </c>
      <c r="BJ1630" s="48" t="str">
        <f aca="false">IF(A1630="","",IF(BS1630=1,"Neu; ","")&amp;IF(AND(BS1630=0,BN1630&lt;0),"negativer Bestand (Export "&amp;BN1630&amp;"); ","")&amp;IF(J1630&lt;=0,"Kein Verbrauch; ","")&amp;IF(CL1630&gt;0,"Lift "&amp;W1630&amp;" lt. Liftbericht (Fach "&amp;X1630&amp;" Stk); ",IF(BX1630=1,"Gebinde geschätzt ("&amp;T1630&amp;"); ",IF(BW1630=1,"Lose – Tablare geschätzt; ","")))&amp;IF(H1630&gt;AT1630,"Überbestand "&amp;ROUND(H1630-AT1630,0)&amp;" Stk / CHF "&amp;ROUND((H1630-AT1630)*G1630,0)&amp;"; ","")&amp;IF(AND(CE1630=1,CF1630&lt;CG1630),"MAX &lt; MB+LG; ","")&amp;IF(AND(CK1630&gt;0,CJ1630*10&gt;CK1630),"zu hoch für Tablar; ","")&amp;IF(AND(BS1630=0,OR(CE1630=1,AA1630&lt;&gt;"",U1630&lt;&gt;"",V1630&lt;&gt;"",AB1630&lt;&gt;"")),"manuell übersteuert; ","")&amp;IF(AND(BW1630=0,R1630=0),"Gebinde unbekannt / Stellmass fehlt; ","")&amp;IF(AND(BW1630=0,N(V1630)&lt;=0,N(Q1630)&lt;=0),"Menge pro Gebinde fehlt (Ist = 1 Gebinde); ","")&amp;BR1630)</f>
        <v>Kein Verbrauch; Gebinde geschätzt (Mittel); Menge pro Gebinde fehlt (Ist = 1 Gebinde); nur im Artikelstamm (Bestand 23.06.2026)</v>
      </c>
      <c r="BK1630" s="48"/>
      <c r="BL1630" s="48"/>
      <c r="BM1630" s="55"/>
      <c r="BN1630" s="50" t="n">
        <v>4</v>
      </c>
      <c r="BO1630" s="50" t="n">
        <v>0</v>
      </c>
      <c r="BP1630" s="49" t="n">
        <v>0</v>
      </c>
      <c r="BQ1630" s="50" t="n">
        <v>0</v>
      </c>
      <c r="BR1630" s="48" t="s">
        <v>2579</v>
      </c>
      <c r="BS1630" s="53" t="n">
        <v>0</v>
      </c>
      <c r="BT1630" s="53" t="n">
        <v>1630</v>
      </c>
      <c r="BU1630" s="48" t="str">
        <f aca="false">IF(U1630&lt;&gt;"",UPPER(TRIM(U1630)),IF(BX1630=1,UPPER(VLOOKUP(T1630,Parameter!$I$27:$K$29,2,0)),IF(P1630="","LOSE",P1630)))</f>
        <v>S61</v>
      </c>
      <c r="BV1630" s="50" t="n">
        <f aca="false">IF(BU1630="LOSE",1,IF(N(V1630)&gt;0,V1630,IF(BX1630=1,MAX(1,N(VLOOKUP(T1630,Parameter!$I$27:$K$29,3,0)),H1630,N(N1630)),IF(N(Q1630)&gt;0,Q1630,MAX(1,H1630)))))</f>
        <v>4</v>
      </c>
      <c r="BW1630" s="53" t="n">
        <f aca="false">IF(BU1630="LOSE",1,0)</f>
        <v>0</v>
      </c>
      <c r="BX1630" s="53" t="n">
        <f aca="false">IF(AND(U1630="",OR(P1630="",P1630="LOSE"),T1630&lt;&gt;"",N(S1630)&lt;=0,ISNUMBER(MATCH(T1630,Parameter!$I$27:$I$29,0))),1,0)</f>
        <v>1</v>
      </c>
      <c r="BY1630" s="53" t="n">
        <f aca="false">IF(CL1630&gt;0,INDEX(Parameter!$H$5:$H$7,W1630)/INDEX(Parameter!$E$5:$E$7,W1630),IF(AND(BW1630=0,N(IFERROR(VLOOKUP(BU1630,'Gebinde-Kategorie'!$A$5:$N$45,14,0),0))&gt;0),VLOOKUP(BU1630,'Gebinde-Kategorie'!$A$5:$N$45,14,0)*10+Parameter!$M$23,Parameter!$M$24))</f>
        <v>145</v>
      </c>
      <c r="BZ1630" s="48" t="str">
        <f aca="false">IF(AND(Parameter!$B$19="Ja",E1630&lt;&gt;"",ISNUMBER(MATCH(E1630,Parameter!$I$35:$I$52,0))),VLOOKUP(E1630,Parameter!$I$35:$J$52,2,0),IFERROR(VLOOKUP(D1630,Parameter!$A$35:$C$64,2,0),"Nein"))</f>
        <v>2+3</v>
      </c>
      <c r="CA1630" s="52" t="n">
        <f aca="false">IF(BW1630=0,0,IF(N(S1630)&gt;0,S1630,IFERROR(VLOOKUP(D1630,Parameter!$A$35:$C$64,3,0)+0,0)))</f>
        <v>0</v>
      </c>
      <c r="CB1630" s="48" t="n">
        <f aca="false">IF(AA1630&lt;&gt;"",AA1630,Z1630)</f>
        <v>2</v>
      </c>
      <c r="CC1630" s="48" t="str">
        <f aca="false">IF(OR(CB1630=1,CB1630=2,CB1630=3),IF(Parameter!$E$27="Ja","LIFT",IF(CB1630=1,"L1","L23")),IF(CB1630="Aussen","Aussen","-"))</f>
        <v>LIFT</v>
      </c>
      <c r="CD1630" s="59" t="n">
        <f aca="false">IF(N(AB1630)&gt;0,AB1630,0)</f>
        <v>0</v>
      </c>
      <c r="CE1630" s="53" t="n">
        <f aca="false">IF(ISNUMBER(AE1630),1,0)</f>
        <v>0</v>
      </c>
      <c r="CF1630" s="50" t="n">
        <f aca="false">N(AE1630)</f>
        <v>0</v>
      </c>
      <c r="CG1630" s="50" t="n">
        <f aca="false">N(M1630)+N(N1630)</f>
        <v>4</v>
      </c>
      <c r="CH1630" s="50" t="n">
        <f aca="false">ROUNDUP(H1630/BV1630,0)</f>
        <v>1</v>
      </c>
      <c r="CI1630" s="50" t="n">
        <f aca="false">ROUNDUP(CF1630/BV1630,0)</f>
        <v>0</v>
      </c>
      <c r="CJ1630" s="53" t="n">
        <f aca="false">IF(BW1630=1,0,IFERROR(VLOOKUP(BU1630,'Gebinde-Kategorie'!$A$5:$N$45,5,0)+0,0))</f>
        <v>11</v>
      </c>
      <c r="CK1630" s="53" t="n">
        <f aca="false">IFERROR(IF(OR(CB1630=1,CB1630=2,CB1630=3),N(INDEX(Parameter!$I$5:$I$7,CB1630)),0),0)</f>
        <v>0</v>
      </c>
      <c r="CL1630" s="52" t="n">
        <f aca="false">IF(AND(Parameter!$B$21="Ja",ISNUMBER(W1630),N(X1630)&gt;0),IFERROR(N(INDEX(Parameter!$L$5:$L$7,W1630))*INDEX(Parameter!$E$5:$E$7,W1630)*X1630/SUMIFS($X$7:$X$1843,$W$7:$W$1843,W1630),0),0)</f>
        <v>0</v>
      </c>
    </row>
    <row r="1631" customFormat="false" ht="15" hidden="false" customHeight="false" outlineLevel="0" collapsed="false">
      <c r="A1631" s="48" t="s">
        <v>2842</v>
      </c>
      <c r="B1631" s="48" t="s">
        <v>2843</v>
      </c>
      <c r="C1631" s="48" t="s">
        <v>168</v>
      </c>
      <c r="D1631" s="48" t="s">
        <v>177</v>
      </c>
      <c r="E1631" s="48" t="s">
        <v>170</v>
      </c>
      <c r="F1631" s="48"/>
      <c r="G1631" s="49" t="n">
        <v>132.8</v>
      </c>
      <c r="H1631" s="50" t="n">
        <f aca="false">MAX(0,IF(AND(Parameter!$B$21="Ja",ISNUMBER(Y1631)),Y1631,IF(Parameter!$B$20="Jahresanfang 2025 + Export",BO1631+BN1631,BN1631)))</f>
        <v>1</v>
      </c>
      <c r="I1631" s="50" t="n">
        <f aca="false">H1631*G1631</f>
        <v>132.8</v>
      </c>
      <c r="J1631" s="50" t="n">
        <f aca="false">BQ1631*Parameter!$B$18</f>
        <v>0</v>
      </c>
      <c r="K1631" s="51"/>
      <c r="L1631" s="52"/>
      <c r="M1631" s="50" t="n">
        <v>0</v>
      </c>
      <c r="N1631" s="50" t="n">
        <v>1</v>
      </c>
      <c r="O1631" s="53" t="n">
        <v>21</v>
      </c>
      <c r="P1631" s="48" t="s">
        <v>172</v>
      </c>
      <c r="Q1631" s="50"/>
      <c r="R1631" s="53" t="n">
        <f aca="false">IF(BW1631=1,0,IFERROR(VLOOKUP(BU1631,'Gebinde-Kategorie'!$A$5:$N$45,13,0)+0,0))</f>
        <v>0</v>
      </c>
      <c r="S1631" s="54"/>
      <c r="T1631" s="55"/>
      <c r="U1631" s="55"/>
      <c r="V1631" s="55"/>
      <c r="W1631" s="48" t="n">
        <v>1</v>
      </c>
      <c r="X1631" s="50" t="n">
        <v>1</v>
      </c>
      <c r="Y1631" s="50" t="n">
        <v>1</v>
      </c>
      <c r="Z1631" s="48" t="n">
        <f aca="false">IF(A1631="","",IF(AND(Parameter!$B$21="Ja",ISNUMBER(W1631)),W1631,IF(BZ1631="2+3",IF(ISNUMBER(SEARCH("grosser Artikel",BR1631)),2,IFERROR(VLOOKUP(BU1631,Parameter!$F$35:$G$64,2,0),2)),IF(OR(BZ1631="Nein",BZ1631=""),"-",BZ1631))))</f>
        <v>1</v>
      </c>
      <c r="AA1631" s="55"/>
      <c r="AB1631" s="56"/>
      <c r="AC1631" s="50" t="n">
        <f aca="false">AT1631</f>
        <v>1</v>
      </c>
      <c r="AD1631" s="50" t="n">
        <f aca="false">MAX(AT1631,H1631)</f>
        <v>1</v>
      </c>
      <c r="AE1631" s="57"/>
      <c r="AF1631" s="50" t="n">
        <f aca="false">IF(LEFT(Cockpit!$C$5,1)="A",H1631,IF(CE1631=1,CF1631,IF(LEFT(Cockpit!$C$5,1)="B",AK1631,MAX(AK1631,H1631))))</f>
        <v>1</v>
      </c>
      <c r="AG1631" s="50" t="n">
        <f aca="false">IF(BW1631=1,0,ROUNDUP(AF1631/BV1631,0))</f>
        <v>0</v>
      </c>
      <c r="AH1631" s="52" t="n">
        <f aca="false">IF(CL1631&gt;0,CL1631*MAX(1,AF1631/X1631),IF(BW1631=1,IF(AF1631&lt;=0,0,CA1631*MAX(1,IF(H1631&gt;0,AF1631/H1631,1))),IF(R1631&gt;0,AG1631/R1631,0))/MAX(0.1,N(Parameter!$M$21)))</f>
        <v>0.0800376647834275</v>
      </c>
      <c r="AI1631" s="50" t="n">
        <f aca="false">AH1631*BY1631</f>
        <v>19.0489642184557</v>
      </c>
      <c r="AJ1631" s="50" t="n">
        <f aca="false">AF1631*G1631</f>
        <v>132.8</v>
      </c>
      <c r="AK1631" s="50" t="n">
        <f aca="false">ROUNDUP(MAX(J1631/IF(CD1631&gt;0,CD1631,MAX(0.1,N(Cockpit!$C$6))),CG1631)/BV1631,0)*BV1631</f>
        <v>1</v>
      </c>
      <c r="AL1631" s="51" t="n">
        <f aca="false">IF(AI1631&gt;0,J1631/AI1631,-1)</f>
        <v>0</v>
      </c>
      <c r="AM1631" s="51" t="n">
        <f aca="false">IF(AND(OR(CC1631="L1",CC1631="L23",CC1631="LIFT"),AI1631&gt;0),SUMIFS($AI$7:$AI$1843,$CC$7:$CC$1843,CC1631,$AL$7:$AL$1843,"&gt;"&amp;AL1631)+SUMIFS($AI$7:$AI$1843,$CC$7:$CC$1843,CC1631,$AL$7:$AL$1843,AL1631,$BT$7:$BT$1843,"&lt;="&amp;BT1631),"")</f>
        <v>30927.454897974</v>
      </c>
      <c r="AN1631" s="58" t="n">
        <f aca="false">IF(AM1631="",0,MAX(0,MIN(1,(IF(CC1631="L1",Parameter!$H$5,IF(CC1631="L23",Parameter!$H$6+Parameter!$H$7,Parameter!$H$5+Parameter!$H$6+Parameter!$H$7))-(AM1631-AI1631))/AI1631)))</f>
        <v>1</v>
      </c>
      <c r="AO1631" s="50" t="n">
        <f aca="false">IF(LEFT(Cockpit!$I$5,1)="A",H1631,IF(CE1631=1,CF1631,IF(LEFT(Cockpit!$I$5,1)="B",AT1631,MAX(AT1631,H1631))))</f>
        <v>1</v>
      </c>
      <c r="AP1631" s="50" t="n">
        <f aca="false">IF(BW1631=1,0,ROUNDUP(AO1631/BV1631,0))</f>
        <v>0</v>
      </c>
      <c r="AQ1631" s="52" t="n">
        <f aca="false">IF(CL1631&gt;0,CL1631*MAX(1,AO1631/X1631),IF(BW1631=1,IF(AO1631&lt;=0,0,CA1631*MAX(1,IF(H1631&gt;0,AO1631/H1631,1))),IF(R1631&gt;0,AP1631/R1631,0))/MAX(0.1,N(Parameter!$M$21)))</f>
        <v>0.0800376647834275</v>
      </c>
      <c r="AR1631" s="50" t="n">
        <f aca="false">AQ1631*BY1631</f>
        <v>19.0489642184557</v>
      </c>
      <c r="AS1631" s="50" t="n">
        <f aca="false">AO1631*G1631</f>
        <v>132.8</v>
      </c>
      <c r="AT1631" s="50" t="n">
        <f aca="false">ROUNDUP(MAX(J1631/IF(CD1631&gt;0,CD1631,MAX(0.1,N(Cockpit!$I$6))),CG1631)/BV1631,0)*BV1631</f>
        <v>1</v>
      </c>
      <c r="AU1631" s="51" t="n">
        <f aca="false">IF(AR1631&gt;0,J1631/AR1631,-1)</f>
        <v>0</v>
      </c>
      <c r="AV1631" s="51" t="n">
        <f aca="false">IF(AND(OR(CC1631="L1",CC1631="L23",CC1631="LIFT"),AR1631&gt;0),SUMIFS($AR$7:$AR$1843,$CC$7:$CC$1843,CC1631,$AU$7:$AU$1843,"&gt;"&amp;AU1631)+SUMIFS($AR$7:$AR$1843,$CC$7:$CC$1843,CC1631,$AU$7:$AU$1843,AU1631,$BT$7:$BT$1843,"&lt;="&amp;BT1631),"")</f>
        <v>43289.3572101157</v>
      </c>
      <c r="AW1631" s="58" t="n">
        <f aca="false">IF(AV1631="",0,MAX(0,MIN(1,(IF(CC1631="L1",Parameter!$H$5,IF(CC1631="L23",Parameter!$H$6+Parameter!$H$7,Parameter!$H$5+Parameter!$H$6+Parameter!$H$7))-(AV1631-AR1631))/AR1631)))</f>
        <v>0</v>
      </c>
      <c r="AX1631" s="50" t="n">
        <f aca="false">IF(LEFT(Cockpit!$O$5,1)="A",H1631,IF(CE1631=1,CF1631,IF(LEFT(Cockpit!$O$5,1)="B",BC1631,MAX(BC1631,H1631))))</f>
        <v>1</v>
      </c>
      <c r="AY1631" s="50" t="n">
        <f aca="false">IF(BW1631=1,0,ROUNDUP(AX1631/BV1631,0))</f>
        <v>0</v>
      </c>
      <c r="AZ1631" s="52" t="n">
        <f aca="false">IF(CL1631&gt;0,CL1631*MAX(1,AX1631/X1631),IF(BW1631=1,IF(AX1631&lt;=0,0,CA1631*MAX(1,IF(H1631&gt;0,AX1631/H1631,1))),IF(R1631&gt;0,AY1631/R1631,0))/MAX(0.1,N(Parameter!$M$21)))</f>
        <v>0.0800376647834275</v>
      </c>
      <c r="BA1631" s="50" t="n">
        <f aca="false">AZ1631*BY1631</f>
        <v>19.0489642184557</v>
      </c>
      <c r="BB1631" s="50" t="n">
        <f aca="false">AX1631*G1631</f>
        <v>132.8</v>
      </c>
      <c r="BC1631" s="50" t="n">
        <f aca="false">ROUNDUP(MAX(J1631/IF(CD1631&gt;0,CD1631,MAX(0.1,N(Cockpit!$O$6))),CG1631)/BV1631,0)*BV1631</f>
        <v>1</v>
      </c>
      <c r="BD1631" s="51" t="n">
        <f aca="false">IF(BA1631&gt;0,J1631/BA1631,-1)</f>
        <v>0</v>
      </c>
      <c r="BE1631" s="51" t="n">
        <f aca="false">IF(AND(OR(CC1631="L1",CC1631="L23",CC1631="LIFT"),BA1631&gt;0),SUMIFS($BA$7:$BA$1843,$CC$7:$CC$1843,CC1631,$BD$7:$BD$1843,"&gt;"&amp;BD1631)+SUMIFS($BA$7:$BA$1843,$CC$7:$CC$1843,CC1631,$BD$7:$BD$1843,BD1631,$BT$7:$BT$1843,"&lt;="&amp;BT1631),"")</f>
        <v>39964.3692519815</v>
      </c>
      <c r="BF1631" s="58" t="n">
        <f aca="false">IF(BE1631="",0,MAX(0,MIN(1,(IF(CC1631="L1",Parameter!$H$5,IF(CC1631="L23",Parameter!$H$6+Parameter!$H$7,Parameter!$H$5+Parameter!$H$6+Parameter!$H$7))-(BE1631-BA1631))/BA1631)))</f>
        <v>0</v>
      </c>
      <c r="BG1631" s="48" t="str">
        <f aca="false">IF(AI1631&lt;=0,"",IF(CC1631="Aussen","Aussenlager",IF(CC1631="-","Nicht im Lift",IF(AN1631&gt;=1,"Lift",IF(AN1631&lt;=0,"Aussenlager","teilweise")))))</f>
        <v>Lift</v>
      </c>
      <c r="BH1631" s="48" t="str">
        <f aca="false">IF(AR1631&lt;=0,"",IF(CC1631="Aussen","Aussenlager",IF(CC1631="-","Nicht im Lift",IF(AW1631&gt;=1,"Lift",IF(AW1631&lt;=0,"Aussenlager","teilweise")))))</f>
        <v>Aussenlager</v>
      </c>
      <c r="BI1631" s="48" t="str">
        <f aca="false">IF(BA1631&lt;=0,"",IF(CC1631="Aussen","Aussenlager",IF(CC1631="-","Nicht im Lift",IF(BF1631&gt;=1,"Lift",IF(BF1631&lt;=0,"Aussenlager","teilweise")))))</f>
        <v>Aussenlager</v>
      </c>
      <c r="BJ1631" s="48" t="str">
        <f aca="false">IF(A1631="","",IF(BS1631=1,"Neu; ","")&amp;IF(AND(BS1631=0,BN1631&lt;0),"negativer Bestand (Export "&amp;BN1631&amp;"); ","")&amp;IF(J1631&lt;=0,"Kein Verbrauch; ","")&amp;IF(CL1631&gt;0,"Lift "&amp;W1631&amp;" lt. Liftbericht (Fach "&amp;X1631&amp;" Stk); ",IF(BX1631=1,"Gebinde geschätzt ("&amp;T1631&amp;"); ",IF(BW1631=1,"Lose – Tablare geschätzt; ","")))&amp;IF(H1631&gt;AT1631,"Überbestand "&amp;ROUND(H1631-AT1631,0)&amp;" Stk / CHF "&amp;ROUND((H1631-AT1631)*G1631,0)&amp;"; ","")&amp;IF(AND(CE1631=1,CF1631&lt;CG1631),"MAX &lt; MB+LG; ","")&amp;IF(AND(CK1631&gt;0,CJ1631*10&gt;CK1631),"zu hoch für Tablar; ","")&amp;IF(AND(BS1631=0,OR(CE1631=1,AA1631&lt;&gt;"",U1631&lt;&gt;"",V1631&lt;&gt;"",AB1631&lt;&gt;"")),"manuell übersteuert; ","")&amp;IF(AND(BW1631=0,R1631=0),"Gebinde unbekannt / Stellmass fehlt; ","")&amp;IF(AND(BW1631=0,N(V1631)&lt;=0,N(Q1631)&lt;=0),"Menge pro Gebinde fehlt (Ist = 1 Gebinde); ","")&amp;BR1631)</f>
        <v>Kein Verbrauch; Lift 1 lt. Liftbericht (Fach 1 Stk); nur im Artikelstamm (Bestand 23.06.2026)</v>
      </c>
      <c r="BK1631" s="48"/>
      <c r="BL1631" s="48"/>
      <c r="BM1631" s="55"/>
      <c r="BN1631" s="50" t="n">
        <v>1</v>
      </c>
      <c r="BO1631" s="50" t="n">
        <v>0</v>
      </c>
      <c r="BP1631" s="49" t="n">
        <v>0</v>
      </c>
      <c r="BQ1631" s="50" t="n">
        <v>0</v>
      </c>
      <c r="BR1631" s="48" t="s">
        <v>2579</v>
      </c>
      <c r="BS1631" s="53" t="n">
        <v>0</v>
      </c>
      <c r="BT1631" s="53" t="n">
        <v>1631</v>
      </c>
      <c r="BU1631" s="48" t="str">
        <f aca="false">IF(U1631&lt;&gt;"",UPPER(TRIM(U1631)),IF(BX1631=1,UPPER(VLOOKUP(T1631,Parameter!$I$27:$K$29,2,0)),IF(P1631="","LOSE",P1631)))</f>
        <v>LOSE</v>
      </c>
      <c r="BV1631" s="50" t="n">
        <f aca="false">IF(BU1631="LOSE",1,IF(N(V1631)&gt;0,V1631,IF(BX1631=1,MAX(1,N(VLOOKUP(T1631,Parameter!$I$27:$K$29,3,0)),H1631,N(N1631)),IF(N(Q1631)&gt;0,Q1631,MAX(1,H1631)))))</f>
        <v>1</v>
      </c>
      <c r="BW1631" s="53" t="n">
        <f aca="false">IF(BU1631="LOSE",1,0)</f>
        <v>1</v>
      </c>
      <c r="BX1631" s="53" t="n">
        <f aca="false">IF(AND(U1631="",OR(P1631="",P1631="LOSE"),T1631&lt;&gt;"",N(S1631)&lt;=0,ISNUMBER(MATCH(T1631,Parameter!$I$27:$I$29,0))),1,0)</f>
        <v>0</v>
      </c>
      <c r="BY1631" s="53" t="n">
        <f aca="false">IF(CL1631&gt;0,INDEX(Parameter!$H$5:$H$7,W1631)/INDEX(Parameter!$E$5:$E$7,W1631),IF(AND(BW1631=0,N(IFERROR(VLOOKUP(BU1631,'Gebinde-Kategorie'!$A$5:$N$45,14,0),0))&gt;0),VLOOKUP(BU1631,'Gebinde-Kategorie'!$A$5:$N$45,14,0)*10+Parameter!$M$23,Parameter!$M$24))</f>
        <v>238</v>
      </c>
      <c r="BZ1631" s="48" t="n">
        <f aca="false">IF(AND(Parameter!$B$19="Ja",E1631&lt;&gt;"",ISNUMBER(MATCH(E1631,Parameter!$I$35:$I$52,0))),VLOOKUP(E1631,Parameter!$I$35:$J$52,2,0),IFERROR(VLOOKUP(D1631,Parameter!$A$35:$C$64,2,0),"Nein"))</f>
        <v>1</v>
      </c>
      <c r="CA1631" s="52" t="n">
        <f aca="false">IF(BW1631=0,0,IF(N(S1631)&gt;0,S1631,IFERROR(VLOOKUP(D1631,Parameter!$A$35:$C$64,3,0)+0,0)))</f>
        <v>0.15</v>
      </c>
      <c r="CB1631" s="48" t="n">
        <f aca="false">IF(AA1631&lt;&gt;"",AA1631,Z1631)</f>
        <v>1</v>
      </c>
      <c r="CC1631" s="48" t="str">
        <f aca="false">IF(OR(CB1631=1,CB1631=2,CB1631=3),IF(Parameter!$E$27="Ja","LIFT",IF(CB1631=1,"L1","L23")),IF(CB1631="Aussen","Aussen","-"))</f>
        <v>LIFT</v>
      </c>
      <c r="CD1631" s="59" t="n">
        <f aca="false">IF(N(AB1631)&gt;0,AB1631,0)</f>
        <v>0</v>
      </c>
      <c r="CE1631" s="53" t="n">
        <f aca="false">IF(ISNUMBER(AE1631),1,0)</f>
        <v>0</v>
      </c>
      <c r="CF1631" s="50" t="n">
        <f aca="false">N(AE1631)</f>
        <v>0</v>
      </c>
      <c r="CG1631" s="50" t="n">
        <f aca="false">N(M1631)+N(N1631)</f>
        <v>1</v>
      </c>
      <c r="CH1631" s="50" t="n">
        <f aca="false">ROUNDUP(H1631/BV1631,0)</f>
        <v>1</v>
      </c>
      <c r="CI1631" s="50" t="n">
        <f aca="false">ROUNDUP(CF1631/BV1631,0)</f>
        <v>0</v>
      </c>
      <c r="CJ1631" s="53" t="n">
        <f aca="false">IF(BW1631=1,0,IFERROR(VLOOKUP(BU1631,'Gebinde-Kategorie'!$A$5:$N$45,5,0)+0,0))</f>
        <v>0</v>
      </c>
      <c r="CK1631" s="53" t="n">
        <f aca="false">IFERROR(IF(OR(CB1631=1,CB1631=2,CB1631=3),N(INDEX(Parameter!$I$5:$I$7,CB1631)),0),0)</f>
        <v>0</v>
      </c>
      <c r="CL1631" s="52" t="n">
        <f aca="false">IF(AND(Parameter!$B$21="Ja",ISNUMBER(W1631),N(X1631)&gt;0),IFERROR(N(INDEX(Parameter!$L$5:$L$7,W1631))*INDEX(Parameter!$E$5:$E$7,W1631)*X1631/SUMIFS($X$7:$X$1843,$W$7:$W$1843,W1631),0),0)</f>
        <v>0.0800376647834275</v>
      </c>
    </row>
    <row r="1632" customFormat="false" ht="15" hidden="false" customHeight="false" outlineLevel="0" collapsed="false">
      <c r="A1632" s="48" t="s">
        <v>2844</v>
      </c>
      <c r="B1632" s="48" t="s">
        <v>472</v>
      </c>
      <c r="C1632" s="48" t="s">
        <v>168</v>
      </c>
      <c r="D1632" s="48" t="s">
        <v>188</v>
      </c>
      <c r="E1632" s="48"/>
      <c r="F1632" s="48"/>
      <c r="G1632" s="49" t="n">
        <v>6</v>
      </c>
      <c r="H1632" s="50" t="n">
        <f aca="false">MAX(0,IF(AND(Parameter!$B$21="Ja",ISNUMBER(Y1632)),Y1632,IF(Parameter!$B$20="Jahresanfang 2025 + Export",BO1632+BN1632,BN1632)))</f>
        <v>37</v>
      </c>
      <c r="I1632" s="50" t="n">
        <f aca="false">H1632*G1632</f>
        <v>222</v>
      </c>
      <c r="J1632" s="50" t="n">
        <f aca="false">BQ1632*Parameter!$B$18</f>
        <v>0</v>
      </c>
      <c r="K1632" s="51"/>
      <c r="L1632" s="52"/>
      <c r="M1632" s="50" t="n">
        <v>0</v>
      </c>
      <c r="N1632" s="50" t="n">
        <v>20</v>
      </c>
      <c r="O1632" s="53" t="n">
        <v>14</v>
      </c>
      <c r="P1632" s="48" t="s">
        <v>172</v>
      </c>
      <c r="Q1632" s="50"/>
      <c r="R1632" s="53" t="n">
        <f aca="false">IF(BW1632=1,0,IFERROR(VLOOKUP(BU1632,'Gebinde-Kategorie'!$A$5:$N$45,13,0)+0,0))</f>
        <v>26</v>
      </c>
      <c r="S1632" s="54"/>
      <c r="T1632" s="55" t="s">
        <v>279</v>
      </c>
      <c r="U1632" s="55"/>
      <c r="V1632" s="55"/>
      <c r="W1632" s="48"/>
      <c r="X1632" s="50"/>
      <c r="Y1632" s="50"/>
      <c r="Z1632" s="48" t="n">
        <f aca="false">IF(A1632="","",IF(AND(Parameter!$B$21="Ja",ISNUMBER(W1632)),W1632,IF(BZ1632="2+3",IF(ISNUMBER(SEARCH("grosser Artikel",BR1632)),2,IFERROR(VLOOKUP(BU1632,Parameter!$F$35:$G$64,2,0),2)),IF(OR(BZ1632="Nein",BZ1632=""),"-",BZ1632))))</f>
        <v>3</v>
      </c>
      <c r="AA1632" s="55"/>
      <c r="AB1632" s="56"/>
      <c r="AC1632" s="50" t="n">
        <f aca="false">AT1632</f>
        <v>37</v>
      </c>
      <c r="AD1632" s="50" t="n">
        <f aca="false">MAX(AT1632,H1632)</f>
        <v>37</v>
      </c>
      <c r="AE1632" s="57"/>
      <c r="AF1632" s="50" t="n">
        <f aca="false">IF(LEFT(Cockpit!$C$5,1)="A",H1632,IF(CE1632=1,CF1632,IF(LEFT(Cockpit!$C$5,1)="B",AK1632,MAX(AK1632,H1632))))</f>
        <v>37</v>
      </c>
      <c r="AG1632" s="50" t="n">
        <f aca="false">IF(BW1632=1,0,ROUNDUP(AF1632/BV1632,0))</f>
        <v>1</v>
      </c>
      <c r="AH1632" s="52" t="n">
        <f aca="false">IF(CL1632&gt;0,CL1632*MAX(1,AF1632/X1632),IF(BW1632=1,IF(AF1632&lt;=0,0,CA1632*MAX(1,IF(H1632&gt;0,AF1632/H1632,1))),IF(R1632&gt;0,AG1632/R1632,0))/MAX(0.1,N(Parameter!$M$21)))</f>
        <v>0.0384615384615385</v>
      </c>
      <c r="AI1632" s="50" t="n">
        <f aca="false">AH1632*BY1632</f>
        <v>5.96153846153846</v>
      </c>
      <c r="AJ1632" s="50" t="n">
        <f aca="false">AF1632*G1632</f>
        <v>222</v>
      </c>
      <c r="AK1632" s="50" t="n">
        <f aca="false">ROUNDUP(MAX(J1632/IF(CD1632&gt;0,CD1632,MAX(0.1,N(Cockpit!$C$6))),CG1632)/BV1632,0)*BV1632</f>
        <v>37</v>
      </c>
      <c r="AL1632" s="51" t="n">
        <f aca="false">IF(AI1632&gt;0,J1632/AI1632,-1)</f>
        <v>0</v>
      </c>
      <c r="AM1632" s="51" t="n">
        <f aca="false">IF(AND(OR(CC1632="L1",CC1632="L23",CC1632="LIFT"),AI1632&gt;0),SUMIFS($AI$7:$AI$1843,$CC$7:$CC$1843,CC1632,$AL$7:$AL$1843,"&gt;"&amp;AL1632)+SUMIFS($AI$7:$AI$1843,$CC$7:$CC$1843,CC1632,$AL$7:$AL$1843,AL1632,$BT$7:$BT$1843,"&lt;="&amp;BT1632),"")</f>
        <v>30933.4164364355</v>
      </c>
      <c r="AN1632" s="58" t="n">
        <f aca="false">IF(AM1632="",0,MAX(0,MIN(1,(IF(CC1632="L1",Parameter!$H$5,IF(CC1632="L23",Parameter!$H$6+Parameter!$H$7,Parameter!$H$5+Parameter!$H$6+Parameter!$H$7))-(AM1632-AI1632))/AI1632)))</f>
        <v>1</v>
      </c>
      <c r="AO1632" s="50" t="n">
        <f aca="false">IF(LEFT(Cockpit!$I$5,1)="A",H1632,IF(CE1632=1,CF1632,IF(LEFT(Cockpit!$I$5,1)="B",AT1632,MAX(AT1632,H1632))))</f>
        <v>37</v>
      </c>
      <c r="AP1632" s="50" t="n">
        <f aca="false">IF(BW1632=1,0,ROUNDUP(AO1632/BV1632,0))</f>
        <v>1</v>
      </c>
      <c r="AQ1632" s="52" t="n">
        <f aca="false">IF(CL1632&gt;0,CL1632*MAX(1,AO1632/X1632),IF(BW1632=1,IF(AO1632&lt;=0,0,CA1632*MAX(1,IF(H1632&gt;0,AO1632/H1632,1))),IF(R1632&gt;0,AP1632/R1632,0))/MAX(0.1,N(Parameter!$M$21)))</f>
        <v>0.0384615384615385</v>
      </c>
      <c r="AR1632" s="50" t="n">
        <f aca="false">AQ1632*BY1632</f>
        <v>5.96153846153846</v>
      </c>
      <c r="AS1632" s="50" t="n">
        <f aca="false">AO1632*G1632</f>
        <v>222</v>
      </c>
      <c r="AT1632" s="50" t="n">
        <f aca="false">ROUNDUP(MAX(J1632/IF(CD1632&gt;0,CD1632,MAX(0.1,N(Cockpit!$I$6))),CG1632)/BV1632,0)*BV1632</f>
        <v>37</v>
      </c>
      <c r="AU1632" s="51" t="n">
        <f aca="false">IF(AR1632&gt;0,J1632/AR1632,-1)</f>
        <v>0</v>
      </c>
      <c r="AV1632" s="51" t="n">
        <f aca="false">IF(AND(OR(CC1632="L1",CC1632="L23",CC1632="LIFT"),AR1632&gt;0),SUMIFS($AR$7:$AR$1843,$CC$7:$CC$1843,CC1632,$AU$7:$AU$1843,"&gt;"&amp;AU1632)+SUMIFS($AR$7:$AR$1843,$CC$7:$CC$1843,CC1632,$AU$7:$AU$1843,AU1632,$BT$7:$BT$1843,"&lt;="&amp;BT1632),"")</f>
        <v>43295.3187485772</v>
      </c>
      <c r="AW1632" s="58" t="n">
        <f aca="false">IF(AV1632="",0,MAX(0,MIN(1,(IF(CC1632="L1",Parameter!$H$5,IF(CC1632="L23",Parameter!$H$6+Parameter!$H$7,Parameter!$H$5+Parameter!$H$6+Parameter!$H$7))-(AV1632-AR1632))/AR1632)))</f>
        <v>0</v>
      </c>
      <c r="AX1632" s="50" t="n">
        <f aca="false">IF(LEFT(Cockpit!$O$5,1)="A",H1632,IF(CE1632=1,CF1632,IF(LEFT(Cockpit!$O$5,1)="B",BC1632,MAX(BC1632,H1632))))</f>
        <v>37</v>
      </c>
      <c r="AY1632" s="50" t="n">
        <f aca="false">IF(BW1632=1,0,ROUNDUP(AX1632/BV1632,0))</f>
        <v>1</v>
      </c>
      <c r="AZ1632" s="52" t="n">
        <f aca="false">IF(CL1632&gt;0,CL1632*MAX(1,AX1632/X1632),IF(BW1632=1,IF(AX1632&lt;=0,0,CA1632*MAX(1,IF(H1632&gt;0,AX1632/H1632,1))),IF(R1632&gt;0,AY1632/R1632,0))/MAX(0.1,N(Parameter!$M$21)))</f>
        <v>0.0384615384615385</v>
      </c>
      <c r="BA1632" s="50" t="n">
        <f aca="false">AZ1632*BY1632</f>
        <v>5.96153846153846</v>
      </c>
      <c r="BB1632" s="50" t="n">
        <f aca="false">AX1632*G1632</f>
        <v>222</v>
      </c>
      <c r="BC1632" s="50" t="n">
        <f aca="false">ROUNDUP(MAX(J1632/IF(CD1632&gt;0,CD1632,MAX(0.1,N(Cockpit!$O$6))),CG1632)/BV1632,0)*BV1632</f>
        <v>37</v>
      </c>
      <c r="BD1632" s="51" t="n">
        <f aca="false">IF(BA1632&gt;0,J1632/BA1632,-1)</f>
        <v>0</v>
      </c>
      <c r="BE1632" s="51" t="n">
        <f aca="false">IF(AND(OR(CC1632="L1",CC1632="L23",CC1632="LIFT"),BA1632&gt;0),SUMIFS($BA$7:$BA$1843,$CC$7:$CC$1843,CC1632,$BD$7:$BD$1843,"&gt;"&amp;BD1632)+SUMIFS($BA$7:$BA$1843,$CC$7:$CC$1843,CC1632,$BD$7:$BD$1843,BD1632,$BT$7:$BT$1843,"&lt;="&amp;BT1632),"")</f>
        <v>39970.3307904431</v>
      </c>
      <c r="BF1632" s="58" t="n">
        <f aca="false">IF(BE1632="",0,MAX(0,MIN(1,(IF(CC1632="L1",Parameter!$H$5,IF(CC1632="L23",Parameter!$H$6+Parameter!$H$7,Parameter!$H$5+Parameter!$H$6+Parameter!$H$7))-(BE1632-BA1632))/BA1632)))</f>
        <v>0</v>
      </c>
      <c r="BG1632" s="48" t="str">
        <f aca="false">IF(AI1632&lt;=0,"",IF(CC1632="Aussen","Aussenlager",IF(CC1632="-","Nicht im Lift",IF(AN1632&gt;=1,"Lift",IF(AN1632&lt;=0,"Aussenlager","teilweise")))))</f>
        <v>Lift</v>
      </c>
      <c r="BH1632" s="48" t="str">
        <f aca="false">IF(AR1632&lt;=0,"",IF(CC1632="Aussen","Aussenlager",IF(CC1632="-","Nicht im Lift",IF(AW1632&gt;=1,"Lift",IF(AW1632&lt;=0,"Aussenlager","teilweise")))))</f>
        <v>Aussenlager</v>
      </c>
      <c r="BI1632" s="48" t="str">
        <f aca="false">IF(BA1632&lt;=0,"",IF(CC1632="Aussen","Aussenlager",IF(CC1632="-","Nicht im Lift",IF(BF1632&gt;=1,"Lift",IF(BF1632&lt;=0,"Aussenlager","teilweise")))))</f>
        <v>Aussenlager</v>
      </c>
      <c r="BJ1632" s="48" t="str">
        <f aca="false">IF(A1632="","",IF(BS1632=1,"Neu; ","")&amp;IF(AND(BS1632=0,BN1632&lt;0),"negativer Bestand (Export "&amp;BN1632&amp;"); ","")&amp;IF(J1632&lt;=0,"Kein Verbrauch; ","")&amp;IF(CL1632&gt;0,"Lift "&amp;W1632&amp;" lt. Liftbericht (Fach "&amp;X1632&amp;" Stk); ",IF(BX1632=1,"Gebinde geschätzt ("&amp;T1632&amp;"); ",IF(BW1632=1,"Lose – Tablare geschätzt; ","")))&amp;IF(H1632&gt;AT1632,"Überbestand "&amp;ROUND(H1632-AT1632,0)&amp;" Stk / CHF "&amp;ROUND((H1632-AT1632)*G1632,0)&amp;"; ","")&amp;IF(AND(CE1632=1,CF1632&lt;CG1632),"MAX &lt; MB+LG; ","")&amp;IF(AND(CK1632&gt;0,CJ1632*10&gt;CK1632),"zu hoch für Tablar; ","")&amp;IF(AND(BS1632=0,OR(CE1632=1,AA1632&lt;&gt;"",U1632&lt;&gt;"",V1632&lt;&gt;"",AB1632&lt;&gt;"")),"manuell übersteuert; ","")&amp;IF(AND(BW1632=0,R1632=0),"Gebinde unbekannt / Stellmass fehlt; ","")&amp;IF(AND(BW1632=0,N(V1632)&lt;=0,N(Q1632)&lt;=0),"Menge pro Gebinde fehlt (Ist = 1 Gebinde); ","")&amp;BR1632)</f>
        <v>Kein Verbrauch; Gebinde geschätzt (Klein); Menge pro Gebinde fehlt (Ist = 1 Gebinde); nur im Artikelstamm (Bestand 23.06.2026)</v>
      </c>
      <c r="BK1632" s="48"/>
      <c r="BL1632" s="48"/>
      <c r="BM1632" s="55"/>
      <c r="BN1632" s="50" t="n">
        <v>37</v>
      </c>
      <c r="BO1632" s="50" t="n">
        <v>0</v>
      </c>
      <c r="BP1632" s="49" t="n">
        <v>0</v>
      </c>
      <c r="BQ1632" s="50" t="n">
        <v>0</v>
      </c>
      <c r="BR1632" s="48" t="s">
        <v>2579</v>
      </c>
      <c r="BS1632" s="53" t="n">
        <v>0</v>
      </c>
      <c r="BT1632" s="53" t="n">
        <v>1632</v>
      </c>
      <c r="BU1632" s="48" t="str">
        <f aca="false">IF(U1632&lt;&gt;"",UPPER(TRIM(U1632)),IF(BX1632=1,UPPER(VLOOKUP(T1632,Parameter!$I$27:$K$29,2,0)),IF(P1632="","LOSE",P1632)))</f>
        <v>S51</v>
      </c>
      <c r="BV1632" s="50" t="n">
        <f aca="false">IF(BU1632="LOSE",1,IF(N(V1632)&gt;0,V1632,IF(BX1632=1,MAX(1,N(VLOOKUP(T1632,Parameter!$I$27:$K$29,3,0)),H1632,N(N1632)),IF(N(Q1632)&gt;0,Q1632,MAX(1,H1632)))))</f>
        <v>37</v>
      </c>
      <c r="BW1632" s="53" t="n">
        <f aca="false">IF(BU1632="LOSE",1,0)</f>
        <v>0</v>
      </c>
      <c r="BX1632" s="53" t="n">
        <f aca="false">IF(AND(U1632="",OR(P1632="",P1632="LOSE"),T1632&lt;&gt;"",N(S1632)&lt;=0,ISNUMBER(MATCH(T1632,Parameter!$I$27:$I$29,0))),1,0)</f>
        <v>1</v>
      </c>
      <c r="BY1632" s="53" t="n">
        <f aca="false">IF(CL1632&gt;0,INDEX(Parameter!$H$5:$H$7,W1632)/INDEX(Parameter!$E$5:$E$7,W1632),IF(AND(BW1632=0,N(IFERROR(VLOOKUP(BU1632,'Gebinde-Kategorie'!$A$5:$N$45,14,0),0))&gt;0),VLOOKUP(BU1632,'Gebinde-Kategorie'!$A$5:$N$45,14,0)*10+Parameter!$M$23,Parameter!$M$24))</f>
        <v>155</v>
      </c>
      <c r="BZ1632" s="48" t="str">
        <f aca="false">IF(AND(Parameter!$B$19="Ja",E1632&lt;&gt;"",ISNUMBER(MATCH(E1632,Parameter!$I$35:$I$52,0))),VLOOKUP(E1632,Parameter!$I$35:$J$52,2,0),IFERROR(VLOOKUP(D1632,Parameter!$A$35:$C$64,2,0),"Nein"))</f>
        <v>2+3</v>
      </c>
      <c r="CA1632" s="52" t="n">
        <f aca="false">IF(BW1632=0,0,IF(N(S1632)&gt;0,S1632,IFERROR(VLOOKUP(D1632,Parameter!$A$35:$C$64,3,0)+0,0)))</f>
        <v>0</v>
      </c>
      <c r="CB1632" s="48" t="n">
        <f aca="false">IF(AA1632&lt;&gt;"",AA1632,Z1632)</f>
        <v>3</v>
      </c>
      <c r="CC1632" s="48" t="str">
        <f aca="false">IF(OR(CB1632=1,CB1632=2,CB1632=3),IF(Parameter!$E$27="Ja","LIFT",IF(CB1632=1,"L1","L23")),IF(CB1632="Aussen","Aussen","-"))</f>
        <v>LIFT</v>
      </c>
      <c r="CD1632" s="59" t="n">
        <f aca="false">IF(N(AB1632)&gt;0,AB1632,0)</f>
        <v>0</v>
      </c>
      <c r="CE1632" s="53" t="n">
        <f aca="false">IF(ISNUMBER(AE1632),1,0)</f>
        <v>0</v>
      </c>
      <c r="CF1632" s="50" t="n">
        <f aca="false">N(AE1632)</f>
        <v>0</v>
      </c>
      <c r="CG1632" s="50" t="n">
        <f aca="false">N(M1632)+N(N1632)</f>
        <v>20</v>
      </c>
      <c r="CH1632" s="50" t="n">
        <f aca="false">ROUNDUP(H1632/BV1632,0)</f>
        <v>1</v>
      </c>
      <c r="CI1632" s="50" t="n">
        <f aca="false">ROUNDUP(CF1632/BV1632,0)</f>
        <v>0</v>
      </c>
      <c r="CJ1632" s="53" t="n">
        <f aca="false">IF(BW1632=1,0,IFERROR(VLOOKUP(BU1632,'Gebinde-Kategorie'!$A$5:$N$45,5,0)+0,0))</f>
        <v>11</v>
      </c>
      <c r="CK1632" s="53" t="n">
        <f aca="false">IFERROR(IF(OR(CB1632=1,CB1632=2,CB1632=3),N(INDEX(Parameter!$I$5:$I$7,CB1632)),0),0)</f>
        <v>0</v>
      </c>
      <c r="CL1632" s="52" t="n">
        <f aca="false">IF(AND(Parameter!$B$21="Ja",ISNUMBER(W1632),N(X1632)&gt;0),IFERROR(N(INDEX(Parameter!$L$5:$L$7,W1632))*INDEX(Parameter!$E$5:$E$7,W1632)*X1632/SUMIFS($X$7:$X$1843,$W$7:$W$1843,W1632),0),0)</f>
        <v>0</v>
      </c>
    </row>
    <row r="1633" customFormat="false" ht="15" hidden="false" customHeight="false" outlineLevel="0" collapsed="false">
      <c r="A1633" s="48" t="s">
        <v>2845</v>
      </c>
      <c r="B1633" s="48" t="s">
        <v>472</v>
      </c>
      <c r="C1633" s="48" t="s">
        <v>168</v>
      </c>
      <c r="D1633" s="48" t="s">
        <v>188</v>
      </c>
      <c r="E1633" s="48"/>
      <c r="F1633" s="48"/>
      <c r="G1633" s="49" t="n">
        <v>3.1</v>
      </c>
      <c r="H1633" s="50" t="n">
        <f aca="false">MAX(0,IF(AND(Parameter!$B$21="Ja",ISNUMBER(Y1633)),Y1633,IF(Parameter!$B$20="Jahresanfang 2025 + Export",BO1633+BN1633,BN1633)))</f>
        <v>7</v>
      </c>
      <c r="I1633" s="50" t="n">
        <f aca="false">H1633*G1633</f>
        <v>21.7</v>
      </c>
      <c r="J1633" s="50" t="n">
        <f aca="false">BQ1633*Parameter!$B$18</f>
        <v>0</v>
      </c>
      <c r="K1633" s="51"/>
      <c r="L1633" s="52"/>
      <c r="M1633" s="50" t="n">
        <v>0</v>
      </c>
      <c r="N1633" s="50" t="n">
        <v>20</v>
      </c>
      <c r="O1633" s="53" t="n">
        <v>14</v>
      </c>
      <c r="P1633" s="48" t="s">
        <v>172</v>
      </c>
      <c r="Q1633" s="50"/>
      <c r="R1633" s="53" t="n">
        <f aca="false">IF(BW1633=1,0,IFERROR(VLOOKUP(BU1633,'Gebinde-Kategorie'!$A$5:$N$45,13,0)+0,0))</f>
        <v>26</v>
      </c>
      <c r="S1633" s="54"/>
      <c r="T1633" s="55" t="s">
        <v>279</v>
      </c>
      <c r="U1633" s="55"/>
      <c r="V1633" s="55"/>
      <c r="W1633" s="48"/>
      <c r="X1633" s="50"/>
      <c r="Y1633" s="50"/>
      <c r="Z1633" s="48" t="n">
        <f aca="false">IF(A1633="","",IF(AND(Parameter!$B$21="Ja",ISNUMBER(W1633)),W1633,IF(BZ1633="2+3",IF(ISNUMBER(SEARCH("grosser Artikel",BR1633)),2,IFERROR(VLOOKUP(BU1633,Parameter!$F$35:$G$64,2,0),2)),IF(OR(BZ1633="Nein",BZ1633=""),"-",BZ1633))))</f>
        <v>3</v>
      </c>
      <c r="AA1633" s="55"/>
      <c r="AB1633" s="56"/>
      <c r="AC1633" s="50" t="n">
        <f aca="false">AT1633</f>
        <v>20</v>
      </c>
      <c r="AD1633" s="50" t="n">
        <f aca="false">MAX(AT1633,H1633)</f>
        <v>20</v>
      </c>
      <c r="AE1633" s="57"/>
      <c r="AF1633" s="50" t="n">
        <f aca="false">IF(LEFT(Cockpit!$C$5,1)="A",H1633,IF(CE1633=1,CF1633,IF(LEFT(Cockpit!$C$5,1)="B",AK1633,MAX(AK1633,H1633))))</f>
        <v>7</v>
      </c>
      <c r="AG1633" s="50" t="n">
        <f aca="false">IF(BW1633=1,0,ROUNDUP(AF1633/BV1633,0))</f>
        <v>1</v>
      </c>
      <c r="AH1633" s="52" t="n">
        <f aca="false">IF(CL1633&gt;0,CL1633*MAX(1,AF1633/X1633),IF(BW1633=1,IF(AF1633&lt;=0,0,CA1633*MAX(1,IF(H1633&gt;0,AF1633/H1633,1))),IF(R1633&gt;0,AG1633/R1633,0))/MAX(0.1,N(Parameter!$M$21)))</f>
        <v>0.0384615384615385</v>
      </c>
      <c r="AI1633" s="50" t="n">
        <f aca="false">AH1633*BY1633</f>
        <v>5.96153846153846</v>
      </c>
      <c r="AJ1633" s="50" t="n">
        <f aca="false">AF1633*G1633</f>
        <v>21.7</v>
      </c>
      <c r="AK1633" s="50" t="n">
        <f aca="false">ROUNDUP(MAX(J1633/IF(CD1633&gt;0,CD1633,MAX(0.1,N(Cockpit!$C$6))),CG1633)/BV1633,0)*BV1633</f>
        <v>20</v>
      </c>
      <c r="AL1633" s="51" t="n">
        <f aca="false">IF(AI1633&gt;0,J1633/AI1633,-1)</f>
        <v>0</v>
      </c>
      <c r="AM1633" s="51" t="n">
        <f aca="false">IF(AND(OR(CC1633="L1",CC1633="L23",CC1633="LIFT"),AI1633&gt;0),SUMIFS($AI$7:$AI$1843,$CC$7:$CC$1843,CC1633,$AL$7:$AL$1843,"&gt;"&amp;AL1633)+SUMIFS($AI$7:$AI$1843,$CC$7:$CC$1843,CC1633,$AL$7:$AL$1843,AL1633,$BT$7:$BT$1843,"&lt;="&amp;BT1633),"")</f>
        <v>30939.377974897</v>
      </c>
      <c r="AN1633" s="58" t="n">
        <f aca="false">IF(AM1633="",0,MAX(0,MIN(1,(IF(CC1633="L1",Parameter!$H$5,IF(CC1633="L23",Parameter!$H$6+Parameter!$H$7,Parameter!$H$5+Parameter!$H$6+Parameter!$H$7))-(AM1633-AI1633))/AI1633)))</f>
        <v>1</v>
      </c>
      <c r="AO1633" s="50" t="n">
        <f aca="false">IF(LEFT(Cockpit!$I$5,1)="A",H1633,IF(CE1633=1,CF1633,IF(LEFT(Cockpit!$I$5,1)="B",AT1633,MAX(AT1633,H1633))))</f>
        <v>20</v>
      </c>
      <c r="AP1633" s="50" t="n">
        <f aca="false">IF(BW1633=1,0,ROUNDUP(AO1633/BV1633,0))</f>
        <v>1</v>
      </c>
      <c r="AQ1633" s="52" t="n">
        <f aca="false">IF(CL1633&gt;0,CL1633*MAX(1,AO1633/X1633),IF(BW1633=1,IF(AO1633&lt;=0,0,CA1633*MAX(1,IF(H1633&gt;0,AO1633/H1633,1))),IF(R1633&gt;0,AP1633/R1633,0))/MAX(0.1,N(Parameter!$M$21)))</f>
        <v>0.0384615384615385</v>
      </c>
      <c r="AR1633" s="50" t="n">
        <f aca="false">AQ1633*BY1633</f>
        <v>5.96153846153846</v>
      </c>
      <c r="AS1633" s="50" t="n">
        <f aca="false">AO1633*G1633</f>
        <v>62</v>
      </c>
      <c r="AT1633" s="50" t="n">
        <f aca="false">ROUNDUP(MAX(J1633/IF(CD1633&gt;0,CD1633,MAX(0.1,N(Cockpit!$I$6))),CG1633)/BV1633,0)*BV1633</f>
        <v>20</v>
      </c>
      <c r="AU1633" s="51" t="n">
        <f aca="false">IF(AR1633&gt;0,J1633/AR1633,-1)</f>
        <v>0</v>
      </c>
      <c r="AV1633" s="51" t="n">
        <f aca="false">IF(AND(OR(CC1633="L1",CC1633="L23",CC1633="LIFT"),AR1633&gt;0),SUMIFS($AR$7:$AR$1843,$CC$7:$CC$1843,CC1633,$AU$7:$AU$1843,"&gt;"&amp;AU1633)+SUMIFS($AR$7:$AR$1843,$CC$7:$CC$1843,CC1633,$AU$7:$AU$1843,AU1633,$BT$7:$BT$1843,"&lt;="&amp;BT1633),"")</f>
        <v>43301.2802870388</v>
      </c>
      <c r="AW1633" s="58" t="n">
        <f aca="false">IF(AV1633="",0,MAX(0,MIN(1,(IF(CC1633="L1",Parameter!$H$5,IF(CC1633="L23",Parameter!$H$6+Parameter!$H$7,Parameter!$H$5+Parameter!$H$6+Parameter!$H$7))-(AV1633-AR1633))/AR1633)))</f>
        <v>0</v>
      </c>
      <c r="AX1633" s="50" t="n">
        <f aca="false">IF(LEFT(Cockpit!$O$5,1)="A",H1633,IF(CE1633=1,CF1633,IF(LEFT(Cockpit!$O$5,1)="B",BC1633,MAX(BC1633,H1633))))</f>
        <v>20</v>
      </c>
      <c r="AY1633" s="50" t="n">
        <f aca="false">IF(BW1633=1,0,ROUNDUP(AX1633/BV1633,0))</f>
        <v>1</v>
      </c>
      <c r="AZ1633" s="52" t="n">
        <f aca="false">IF(CL1633&gt;0,CL1633*MAX(1,AX1633/X1633),IF(BW1633=1,IF(AX1633&lt;=0,0,CA1633*MAX(1,IF(H1633&gt;0,AX1633/H1633,1))),IF(R1633&gt;0,AY1633/R1633,0))/MAX(0.1,N(Parameter!$M$21)))</f>
        <v>0.0384615384615385</v>
      </c>
      <c r="BA1633" s="50" t="n">
        <f aca="false">AZ1633*BY1633</f>
        <v>5.96153846153846</v>
      </c>
      <c r="BB1633" s="50" t="n">
        <f aca="false">AX1633*G1633</f>
        <v>62</v>
      </c>
      <c r="BC1633" s="50" t="n">
        <f aca="false">ROUNDUP(MAX(J1633/IF(CD1633&gt;0,CD1633,MAX(0.1,N(Cockpit!$O$6))),CG1633)/BV1633,0)*BV1633</f>
        <v>20</v>
      </c>
      <c r="BD1633" s="51" t="n">
        <f aca="false">IF(BA1633&gt;0,J1633/BA1633,-1)</f>
        <v>0</v>
      </c>
      <c r="BE1633" s="51" t="n">
        <f aca="false">IF(AND(OR(CC1633="L1",CC1633="L23",CC1633="LIFT"),BA1633&gt;0),SUMIFS($BA$7:$BA$1843,$CC$7:$CC$1843,CC1633,$BD$7:$BD$1843,"&gt;"&amp;BD1633)+SUMIFS($BA$7:$BA$1843,$CC$7:$CC$1843,CC1633,$BD$7:$BD$1843,BD1633,$BT$7:$BT$1843,"&lt;="&amp;BT1633),"")</f>
        <v>39976.2923289046</v>
      </c>
      <c r="BF1633" s="58" t="n">
        <f aca="false">IF(BE1633="",0,MAX(0,MIN(1,(IF(CC1633="L1",Parameter!$H$5,IF(CC1633="L23",Parameter!$H$6+Parameter!$H$7,Parameter!$H$5+Parameter!$H$6+Parameter!$H$7))-(BE1633-BA1633))/BA1633)))</f>
        <v>0</v>
      </c>
      <c r="BG1633" s="48" t="str">
        <f aca="false">IF(AI1633&lt;=0,"",IF(CC1633="Aussen","Aussenlager",IF(CC1633="-","Nicht im Lift",IF(AN1633&gt;=1,"Lift",IF(AN1633&lt;=0,"Aussenlager","teilweise")))))</f>
        <v>Lift</v>
      </c>
      <c r="BH1633" s="48" t="str">
        <f aca="false">IF(AR1633&lt;=0,"",IF(CC1633="Aussen","Aussenlager",IF(CC1633="-","Nicht im Lift",IF(AW1633&gt;=1,"Lift",IF(AW1633&lt;=0,"Aussenlager","teilweise")))))</f>
        <v>Aussenlager</v>
      </c>
      <c r="BI1633" s="48" t="str">
        <f aca="false">IF(BA1633&lt;=0,"",IF(CC1633="Aussen","Aussenlager",IF(CC1633="-","Nicht im Lift",IF(BF1633&gt;=1,"Lift",IF(BF1633&lt;=0,"Aussenlager","teilweise")))))</f>
        <v>Aussenlager</v>
      </c>
      <c r="BJ1633" s="48" t="str">
        <f aca="false">IF(A1633="","",IF(BS1633=1,"Neu; ","")&amp;IF(AND(BS1633=0,BN1633&lt;0),"negativer Bestand (Export "&amp;BN1633&amp;"); ","")&amp;IF(J1633&lt;=0,"Kein Verbrauch; ","")&amp;IF(CL1633&gt;0,"Lift "&amp;W1633&amp;" lt. Liftbericht (Fach "&amp;X1633&amp;" Stk); ",IF(BX1633=1,"Gebinde geschätzt ("&amp;T1633&amp;"); ",IF(BW1633=1,"Lose – Tablare geschätzt; ","")))&amp;IF(H1633&gt;AT1633,"Überbestand "&amp;ROUND(H1633-AT1633,0)&amp;" Stk / CHF "&amp;ROUND((H1633-AT1633)*G1633,0)&amp;"; ","")&amp;IF(AND(CE1633=1,CF1633&lt;CG1633),"MAX &lt; MB+LG; ","")&amp;IF(AND(CK1633&gt;0,CJ1633*10&gt;CK1633),"zu hoch für Tablar; ","")&amp;IF(AND(BS1633=0,OR(CE1633=1,AA1633&lt;&gt;"",U1633&lt;&gt;"",V1633&lt;&gt;"",AB1633&lt;&gt;"")),"manuell übersteuert; ","")&amp;IF(AND(BW1633=0,R1633=0),"Gebinde unbekannt / Stellmass fehlt; ","")&amp;IF(AND(BW1633=0,N(V1633)&lt;=0,N(Q1633)&lt;=0),"Menge pro Gebinde fehlt (Ist = 1 Gebinde); ","")&amp;BR1633)</f>
        <v>Kein Verbrauch; Gebinde geschätzt (Klein); Menge pro Gebinde fehlt (Ist = 1 Gebinde); nur im Artikelstamm (Bestand 23.06.2026)</v>
      </c>
      <c r="BK1633" s="48"/>
      <c r="BL1633" s="48"/>
      <c r="BM1633" s="55"/>
      <c r="BN1633" s="50" t="n">
        <v>7</v>
      </c>
      <c r="BO1633" s="50" t="n">
        <v>0</v>
      </c>
      <c r="BP1633" s="49" t="n">
        <v>0</v>
      </c>
      <c r="BQ1633" s="50" t="n">
        <v>0</v>
      </c>
      <c r="BR1633" s="48" t="s">
        <v>2579</v>
      </c>
      <c r="BS1633" s="53" t="n">
        <v>0</v>
      </c>
      <c r="BT1633" s="53" t="n">
        <v>1633</v>
      </c>
      <c r="BU1633" s="48" t="str">
        <f aca="false">IF(U1633&lt;&gt;"",UPPER(TRIM(U1633)),IF(BX1633=1,UPPER(VLOOKUP(T1633,Parameter!$I$27:$K$29,2,0)),IF(P1633="","LOSE",P1633)))</f>
        <v>S51</v>
      </c>
      <c r="BV1633" s="50" t="n">
        <f aca="false">IF(BU1633="LOSE",1,IF(N(V1633)&gt;0,V1633,IF(BX1633=1,MAX(1,N(VLOOKUP(T1633,Parameter!$I$27:$K$29,3,0)),H1633,N(N1633)),IF(N(Q1633)&gt;0,Q1633,MAX(1,H1633)))))</f>
        <v>20</v>
      </c>
      <c r="BW1633" s="53" t="n">
        <f aca="false">IF(BU1633="LOSE",1,0)</f>
        <v>0</v>
      </c>
      <c r="BX1633" s="53" t="n">
        <f aca="false">IF(AND(U1633="",OR(P1633="",P1633="LOSE"),T1633&lt;&gt;"",N(S1633)&lt;=0,ISNUMBER(MATCH(T1633,Parameter!$I$27:$I$29,0))),1,0)</f>
        <v>1</v>
      </c>
      <c r="BY1633" s="53" t="n">
        <f aca="false">IF(CL1633&gt;0,INDEX(Parameter!$H$5:$H$7,W1633)/INDEX(Parameter!$E$5:$E$7,W1633),IF(AND(BW1633=0,N(IFERROR(VLOOKUP(BU1633,'Gebinde-Kategorie'!$A$5:$N$45,14,0),0))&gt;0),VLOOKUP(BU1633,'Gebinde-Kategorie'!$A$5:$N$45,14,0)*10+Parameter!$M$23,Parameter!$M$24))</f>
        <v>155</v>
      </c>
      <c r="BZ1633" s="48" t="str">
        <f aca="false">IF(AND(Parameter!$B$19="Ja",E1633&lt;&gt;"",ISNUMBER(MATCH(E1633,Parameter!$I$35:$I$52,0))),VLOOKUP(E1633,Parameter!$I$35:$J$52,2,0),IFERROR(VLOOKUP(D1633,Parameter!$A$35:$C$64,2,0),"Nein"))</f>
        <v>2+3</v>
      </c>
      <c r="CA1633" s="52" t="n">
        <f aca="false">IF(BW1633=0,0,IF(N(S1633)&gt;0,S1633,IFERROR(VLOOKUP(D1633,Parameter!$A$35:$C$64,3,0)+0,0)))</f>
        <v>0</v>
      </c>
      <c r="CB1633" s="48" t="n">
        <f aca="false">IF(AA1633&lt;&gt;"",AA1633,Z1633)</f>
        <v>3</v>
      </c>
      <c r="CC1633" s="48" t="str">
        <f aca="false">IF(OR(CB1633=1,CB1633=2,CB1633=3),IF(Parameter!$E$27="Ja","LIFT",IF(CB1633=1,"L1","L23")),IF(CB1633="Aussen","Aussen","-"))</f>
        <v>LIFT</v>
      </c>
      <c r="CD1633" s="59" t="n">
        <f aca="false">IF(N(AB1633)&gt;0,AB1633,0)</f>
        <v>0</v>
      </c>
      <c r="CE1633" s="53" t="n">
        <f aca="false">IF(ISNUMBER(AE1633),1,0)</f>
        <v>0</v>
      </c>
      <c r="CF1633" s="50" t="n">
        <f aca="false">N(AE1633)</f>
        <v>0</v>
      </c>
      <c r="CG1633" s="50" t="n">
        <f aca="false">N(M1633)+N(N1633)</f>
        <v>20</v>
      </c>
      <c r="CH1633" s="50" t="n">
        <f aca="false">ROUNDUP(H1633/BV1633,0)</f>
        <v>1</v>
      </c>
      <c r="CI1633" s="50" t="n">
        <f aca="false">ROUNDUP(CF1633/BV1633,0)</f>
        <v>0</v>
      </c>
      <c r="CJ1633" s="53" t="n">
        <f aca="false">IF(BW1633=1,0,IFERROR(VLOOKUP(BU1633,'Gebinde-Kategorie'!$A$5:$N$45,5,0)+0,0))</f>
        <v>11</v>
      </c>
      <c r="CK1633" s="53" t="n">
        <f aca="false">IFERROR(IF(OR(CB1633=1,CB1633=2,CB1633=3),N(INDEX(Parameter!$I$5:$I$7,CB1633)),0),0)</f>
        <v>0</v>
      </c>
      <c r="CL1633" s="52" t="n">
        <f aca="false">IF(AND(Parameter!$B$21="Ja",ISNUMBER(W1633),N(X1633)&gt;0),IFERROR(N(INDEX(Parameter!$L$5:$L$7,W1633))*INDEX(Parameter!$E$5:$E$7,W1633)*X1633/SUMIFS($X$7:$X$1843,$W$7:$W$1843,W1633),0),0)</f>
        <v>0</v>
      </c>
    </row>
    <row r="1634" customFormat="false" ht="15" hidden="false" customHeight="false" outlineLevel="0" collapsed="false">
      <c r="A1634" s="48" t="s">
        <v>2846</v>
      </c>
      <c r="B1634" s="48" t="s">
        <v>2847</v>
      </c>
      <c r="C1634" s="48" t="s">
        <v>168</v>
      </c>
      <c r="D1634" s="48" t="s">
        <v>188</v>
      </c>
      <c r="E1634" s="48"/>
      <c r="F1634" s="48"/>
      <c r="G1634" s="49" t="n">
        <v>26.1</v>
      </c>
      <c r="H1634" s="50" t="n">
        <f aca="false">MAX(0,IF(AND(Parameter!$B$21="Ja",ISNUMBER(Y1634)),Y1634,IF(Parameter!$B$20="Jahresanfang 2025 + Export",BO1634+BN1634,BN1634)))</f>
        <v>12</v>
      </c>
      <c r="I1634" s="50" t="n">
        <f aca="false">H1634*G1634</f>
        <v>313.2</v>
      </c>
      <c r="J1634" s="50" t="n">
        <f aca="false">BQ1634*Parameter!$B$18</f>
        <v>0</v>
      </c>
      <c r="K1634" s="51"/>
      <c r="L1634" s="52"/>
      <c r="M1634" s="50" t="n">
        <v>0</v>
      </c>
      <c r="N1634" s="50" t="n">
        <v>10</v>
      </c>
      <c r="O1634" s="53" t="n">
        <v>14</v>
      </c>
      <c r="P1634" s="48" t="s">
        <v>172</v>
      </c>
      <c r="Q1634" s="50"/>
      <c r="R1634" s="53" t="n">
        <f aca="false">IF(BW1634=1,0,IFERROR(VLOOKUP(BU1634,'Gebinde-Kategorie'!$A$5:$N$45,13,0)+0,0))</f>
        <v>26</v>
      </c>
      <c r="S1634" s="54"/>
      <c r="T1634" s="55" t="s">
        <v>279</v>
      </c>
      <c r="U1634" s="55"/>
      <c r="V1634" s="55"/>
      <c r="W1634" s="48"/>
      <c r="X1634" s="50"/>
      <c r="Y1634" s="50"/>
      <c r="Z1634" s="48" t="n">
        <f aca="false">IF(A1634="","",IF(AND(Parameter!$B$21="Ja",ISNUMBER(W1634)),W1634,IF(BZ1634="2+3",IF(ISNUMBER(SEARCH("grosser Artikel",BR1634)),2,IFERROR(VLOOKUP(BU1634,Parameter!$F$35:$G$64,2,0),2)),IF(OR(BZ1634="Nein",BZ1634=""),"-",BZ1634))))</f>
        <v>3</v>
      </c>
      <c r="AA1634" s="55"/>
      <c r="AB1634" s="56"/>
      <c r="AC1634" s="50" t="n">
        <f aca="false">AT1634</f>
        <v>20</v>
      </c>
      <c r="AD1634" s="50" t="n">
        <f aca="false">MAX(AT1634,H1634)</f>
        <v>20</v>
      </c>
      <c r="AE1634" s="57"/>
      <c r="AF1634" s="50" t="n">
        <f aca="false">IF(LEFT(Cockpit!$C$5,1)="A",H1634,IF(CE1634=1,CF1634,IF(LEFT(Cockpit!$C$5,1)="B",AK1634,MAX(AK1634,H1634))))</f>
        <v>12</v>
      </c>
      <c r="AG1634" s="50" t="n">
        <f aca="false">IF(BW1634=1,0,ROUNDUP(AF1634/BV1634,0))</f>
        <v>1</v>
      </c>
      <c r="AH1634" s="52" t="n">
        <f aca="false">IF(CL1634&gt;0,CL1634*MAX(1,AF1634/X1634),IF(BW1634=1,IF(AF1634&lt;=0,0,CA1634*MAX(1,IF(H1634&gt;0,AF1634/H1634,1))),IF(R1634&gt;0,AG1634/R1634,0))/MAX(0.1,N(Parameter!$M$21)))</f>
        <v>0.0384615384615385</v>
      </c>
      <c r="AI1634" s="50" t="n">
        <f aca="false">AH1634*BY1634</f>
        <v>5.96153846153846</v>
      </c>
      <c r="AJ1634" s="50" t="n">
        <f aca="false">AF1634*G1634</f>
        <v>313.2</v>
      </c>
      <c r="AK1634" s="50" t="n">
        <f aca="false">ROUNDUP(MAX(J1634/IF(CD1634&gt;0,CD1634,MAX(0.1,N(Cockpit!$C$6))),CG1634)/BV1634,0)*BV1634</f>
        <v>20</v>
      </c>
      <c r="AL1634" s="51" t="n">
        <f aca="false">IF(AI1634&gt;0,J1634/AI1634,-1)</f>
        <v>0</v>
      </c>
      <c r="AM1634" s="51" t="n">
        <f aca="false">IF(AND(OR(CC1634="L1",CC1634="L23",CC1634="LIFT"),AI1634&gt;0),SUMIFS($AI$7:$AI$1843,$CC$7:$CC$1843,CC1634,$AL$7:$AL$1843,"&gt;"&amp;AL1634)+SUMIFS($AI$7:$AI$1843,$CC$7:$CC$1843,CC1634,$AL$7:$AL$1843,AL1634,$BT$7:$BT$1843,"&lt;="&amp;BT1634),"")</f>
        <v>30945.3395133586</v>
      </c>
      <c r="AN1634" s="58" t="n">
        <f aca="false">IF(AM1634="",0,MAX(0,MIN(1,(IF(CC1634="L1",Parameter!$H$5,IF(CC1634="L23",Parameter!$H$6+Parameter!$H$7,Parameter!$H$5+Parameter!$H$6+Parameter!$H$7))-(AM1634-AI1634))/AI1634)))</f>
        <v>1</v>
      </c>
      <c r="AO1634" s="50" t="n">
        <f aca="false">IF(LEFT(Cockpit!$I$5,1)="A",H1634,IF(CE1634=1,CF1634,IF(LEFT(Cockpit!$I$5,1)="B",AT1634,MAX(AT1634,H1634))))</f>
        <v>20</v>
      </c>
      <c r="AP1634" s="50" t="n">
        <f aca="false">IF(BW1634=1,0,ROUNDUP(AO1634/BV1634,0))</f>
        <v>1</v>
      </c>
      <c r="AQ1634" s="52" t="n">
        <f aca="false">IF(CL1634&gt;0,CL1634*MAX(1,AO1634/X1634),IF(BW1634=1,IF(AO1634&lt;=0,0,CA1634*MAX(1,IF(H1634&gt;0,AO1634/H1634,1))),IF(R1634&gt;0,AP1634/R1634,0))/MAX(0.1,N(Parameter!$M$21)))</f>
        <v>0.0384615384615385</v>
      </c>
      <c r="AR1634" s="50" t="n">
        <f aca="false">AQ1634*BY1634</f>
        <v>5.96153846153846</v>
      </c>
      <c r="AS1634" s="50" t="n">
        <f aca="false">AO1634*G1634</f>
        <v>522</v>
      </c>
      <c r="AT1634" s="50" t="n">
        <f aca="false">ROUNDUP(MAX(J1634/IF(CD1634&gt;0,CD1634,MAX(0.1,N(Cockpit!$I$6))),CG1634)/BV1634,0)*BV1634</f>
        <v>20</v>
      </c>
      <c r="AU1634" s="51" t="n">
        <f aca="false">IF(AR1634&gt;0,J1634/AR1634,-1)</f>
        <v>0</v>
      </c>
      <c r="AV1634" s="51" t="n">
        <f aca="false">IF(AND(OR(CC1634="L1",CC1634="L23",CC1634="LIFT"),AR1634&gt;0),SUMIFS($AR$7:$AR$1843,$CC$7:$CC$1843,CC1634,$AU$7:$AU$1843,"&gt;"&amp;AU1634)+SUMIFS($AR$7:$AR$1843,$CC$7:$CC$1843,CC1634,$AU$7:$AU$1843,AU1634,$BT$7:$BT$1843,"&lt;="&amp;BT1634),"")</f>
        <v>43307.2418255003</v>
      </c>
      <c r="AW1634" s="58" t="n">
        <f aca="false">IF(AV1634="",0,MAX(0,MIN(1,(IF(CC1634="L1",Parameter!$H$5,IF(CC1634="L23",Parameter!$H$6+Parameter!$H$7,Parameter!$H$5+Parameter!$H$6+Parameter!$H$7))-(AV1634-AR1634))/AR1634)))</f>
        <v>0</v>
      </c>
      <c r="AX1634" s="50" t="n">
        <f aca="false">IF(LEFT(Cockpit!$O$5,1)="A",H1634,IF(CE1634=1,CF1634,IF(LEFT(Cockpit!$O$5,1)="B",BC1634,MAX(BC1634,H1634))))</f>
        <v>20</v>
      </c>
      <c r="AY1634" s="50" t="n">
        <f aca="false">IF(BW1634=1,0,ROUNDUP(AX1634/BV1634,0))</f>
        <v>1</v>
      </c>
      <c r="AZ1634" s="52" t="n">
        <f aca="false">IF(CL1634&gt;0,CL1634*MAX(1,AX1634/X1634),IF(BW1634=1,IF(AX1634&lt;=0,0,CA1634*MAX(1,IF(H1634&gt;0,AX1634/H1634,1))),IF(R1634&gt;0,AY1634/R1634,0))/MAX(0.1,N(Parameter!$M$21)))</f>
        <v>0.0384615384615385</v>
      </c>
      <c r="BA1634" s="50" t="n">
        <f aca="false">AZ1634*BY1634</f>
        <v>5.96153846153846</v>
      </c>
      <c r="BB1634" s="50" t="n">
        <f aca="false">AX1634*G1634</f>
        <v>522</v>
      </c>
      <c r="BC1634" s="50" t="n">
        <f aca="false">ROUNDUP(MAX(J1634/IF(CD1634&gt;0,CD1634,MAX(0.1,N(Cockpit!$O$6))),CG1634)/BV1634,0)*BV1634</f>
        <v>20</v>
      </c>
      <c r="BD1634" s="51" t="n">
        <f aca="false">IF(BA1634&gt;0,J1634/BA1634,-1)</f>
        <v>0</v>
      </c>
      <c r="BE1634" s="51" t="n">
        <f aca="false">IF(AND(OR(CC1634="L1",CC1634="L23",CC1634="LIFT"),BA1634&gt;0),SUMIFS($BA$7:$BA$1843,$CC$7:$CC$1843,CC1634,$BD$7:$BD$1843,"&gt;"&amp;BD1634)+SUMIFS($BA$7:$BA$1843,$CC$7:$CC$1843,CC1634,$BD$7:$BD$1843,BD1634,$BT$7:$BT$1843,"&lt;="&amp;BT1634),"")</f>
        <v>39982.2538673662</v>
      </c>
      <c r="BF1634" s="58" t="n">
        <f aca="false">IF(BE1634="",0,MAX(0,MIN(1,(IF(CC1634="L1",Parameter!$H$5,IF(CC1634="L23",Parameter!$H$6+Parameter!$H$7,Parameter!$H$5+Parameter!$H$6+Parameter!$H$7))-(BE1634-BA1634))/BA1634)))</f>
        <v>0</v>
      </c>
      <c r="BG1634" s="48" t="str">
        <f aca="false">IF(AI1634&lt;=0,"",IF(CC1634="Aussen","Aussenlager",IF(CC1634="-","Nicht im Lift",IF(AN1634&gt;=1,"Lift",IF(AN1634&lt;=0,"Aussenlager","teilweise")))))</f>
        <v>Lift</v>
      </c>
      <c r="BH1634" s="48" t="str">
        <f aca="false">IF(AR1634&lt;=0,"",IF(CC1634="Aussen","Aussenlager",IF(CC1634="-","Nicht im Lift",IF(AW1634&gt;=1,"Lift",IF(AW1634&lt;=0,"Aussenlager","teilweise")))))</f>
        <v>Aussenlager</v>
      </c>
      <c r="BI1634" s="48" t="str">
        <f aca="false">IF(BA1634&lt;=0,"",IF(CC1634="Aussen","Aussenlager",IF(CC1634="-","Nicht im Lift",IF(BF1634&gt;=1,"Lift",IF(BF1634&lt;=0,"Aussenlager","teilweise")))))</f>
        <v>Aussenlager</v>
      </c>
      <c r="BJ1634" s="48" t="str">
        <f aca="false">IF(A1634="","",IF(BS1634=1,"Neu; ","")&amp;IF(AND(BS1634=0,BN1634&lt;0),"negativer Bestand (Export "&amp;BN1634&amp;"); ","")&amp;IF(J1634&lt;=0,"Kein Verbrauch; ","")&amp;IF(CL1634&gt;0,"Lift "&amp;W1634&amp;" lt. Liftbericht (Fach "&amp;X1634&amp;" Stk); ",IF(BX1634=1,"Gebinde geschätzt ("&amp;T1634&amp;"); ",IF(BW1634=1,"Lose – Tablare geschätzt; ","")))&amp;IF(H1634&gt;AT1634,"Überbestand "&amp;ROUND(H1634-AT1634,0)&amp;" Stk / CHF "&amp;ROUND((H1634-AT1634)*G1634,0)&amp;"; ","")&amp;IF(AND(CE1634=1,CF1634&lt;CG1634),"MAX &lt; MB+LG; ","")&amp;IF(AND(CK1634&gt;0,CJ1634*10&gt;CK1634),"zu hoch für Tablar; ","")&amp;IF(AND(BS1634=0,OR(CE1634=1,AA1634&lt;&gt;"",U1634&lt;&gt;"",V1634&lt;&gt;"",AB1634&lt;&gt;"")),"manuell übersteuert; ","")&amp;IF(AND(BW1634=0,R1634=0),"Gebinde unbekannt / Stellmass fehlt; ","")&amp;IF(AND(BW1634=0,N(V1634)&lt;=0,N(Q1634)&lt;=0),"Menge pro Gebinde fehlt (Ist = 1 Gebinde); ","")&amp;BR1634)</f>
        <v>Kein Verbrauch; Gebinde geschätzt (Klein); Menge pro Gebinde fehlt (Ist = 1 Gebinde); nur im Artikelstamm (Bestand 23.06.2026)</v>
      </c>
      <c r="BK1634" s="48"/>
      <c r="BL1634" s="48"/>
      <c r="BM1634" s="55"/>
      <c r="BN1634" s="50" t="n">
        <v>12</v>
      </c>
      <c r="BO1634" s="50" t="n">
        <v>0</v>
      </c>
      <c r="BP1634" s="49" t="n">
        <v>0</v>
      </c>
      <c r="BQ1634" s="50" t="n">
        <v>0</v>
      </c>
      <c r="BR1634" s="48" t="s">
        <v>2579</v>
      </c>
      <c r="BS1634" s="53" t="n">
        <v>0</v>
      </c>
      <c r="BT1634" s="53" t="n">
        <v>1634</v>
      </c>
      <c r="BU1634" s="48" t="str">
        <f aca="false">IF(U1634&lt;&gt;"",UPPER(TRIM(U1634)),IF(BX1634=1,UPPER(VLOOKUP(T1634,Parameter!$I$27:$K$29,2,0)),IF(P1634="","LOSE",P1634)))</f>
        <v>S51</v>
      </c>
      <c r="BV1634" s="50" t="n">
        <f aca="false">IF(BU1634="LOSE",1,IF(N(V1634)&gt;0,V1634,IF(BX1634=1,MAX(1,N(VLOOKUP(T1634,Parameter!$I$27:$K$29,3,0)),H1634,N(N1634)),IF(N(Q1634)&gt;0,Q1634,MAX(1,H1634)))))</f>
        <v>20</v>
      </c>
      <c r="BW1634" s="53" t="n">
        <f aca="false">IF(BU1634="LOSE",1,0)</f>
        <v>0</v>
      </c>
      <c r="BX1634" s="53" t="n">
        <f aca="false">IF(AND(U1634="",OR(P1634="",P1634="LOSE"),T1634&lt;&gt;"",N(S1634)&lt;=0,ISNUMBER(MATCH(T1634,Parameter!$I$27:$I$29,0))),1,0)</f>
        <v>1</v>
      </c>
      <c r="BY1634" s="53" t="n">
        <f aca="false">IF(CL1634&gt;0,INDEX(Parameter!$H$5:$H$7,W1634)/INDEX(Parameter!$E$5:$E$7,W1634),IF(AND(BW1634=0,N(IFERROR(VLOOKUP(BU1634,'Gebinde-Kategorie'!$A$5:$N$45,14,0),0))&gt;0),VLOOKUP(BU1634,'Gebinde-Kategorie'!$A$5:$N$45,14,0)*10+Parameter!$M$23,Parameter!$M$24))</f>
        <v>155</v>
      </c>
      <c r="BZ1634" s="48" t="str">
        <f aca="false">IF(AND(Parameter!$B$19="Ja",E1634&lt;&gt;"",ISNUMBER(MATCH(E1634,Parameter!$I$35:$I$52,0))),VLOOKUP(E1634,Parameter!$I$35:$J$52,2,0),IFERROR(VLOOKUP(D1634,Parameter!$A$35:$C$64,2,0),"Nein"))</f>
        <v>2+3</v>
      </c>
      <c r="CA1634" s="52" t="n">
        <f aca="false">IF(BW1634=0,0,IF(N(S1634)&gt;0,S1634,IFERROR(VLOOKUP(D1634,Parameter!$A$35:$C$64,3,0)+0,0)))</f>
        <v>0</v>
      </c>
      <c r="CB1634" s="48" t="n">
        <f aca="false">IF(AA1634&lt;&gt;"",AA1634,Z1634)</f>
        <v>3</v>
      </c>
      <c r="CC1634" s="48" t="str">
        <f aca="false">IF(OR(CB1634=1,CB1634=2,CB1634=3),IF(Parameter!$E$27="Ja","LIFT",IF(CB1634=1,"L1","L23")),IF(CB1634="Aussen","Aussen","-"))</f>
        <v>LIFT</v>
      </c>
      <c r="CD1634" s="59" t="n">
        <f aca="false">IF(N(AB1634)&gt;0,AB1634,0)</f>
        <v>0</v>
      </c>
      <c r="CE1634" s="53" t="n">
        <f aca="false">IF(ISNUMBER(AE1634),1,0)</f>
        <v>0</v>
      </c>
      <c r="CF1634" s="50" t="n">
        <f aca="false">N(AE1634)</f>
        <v>0</v>
      </c>
      <c r="CG1634" s="50" t="n">
        <f aca="false">N(M1634)+N(N1634)</f>
        <v>10</v>
      </c>
      <c r="CH1634" s="50" t="n">
        <f aca="false">ROUNDUP(H1634/BV1634,0)</f>
        <v>1</v>
      </c>
      <c r="CI1634" s="50" t="n">
        <f aca="false">ROUNDUP(CF1634/BV1634,0)</f>
        <v>0</v>
      </c>
      <c r="CJ1634" s="53" t="n">
        <f aca="false">IF(BW1634=1,0,IFERROR(VLOOKUP(BU1634,'Gebinde-Kategorie'!$A$5:$N$45,5,0)+0,0))</f>
        <v>11</v>
      </c>
      <c r="CK1634" s="53" t="n">
        <f aca="false">IFERROR(IF(OR(CB1634=1,CB1634=2,CB1634=3),N(INDEX(Parameter!$I$5:$I$7,CB1634)),0),0)</f>
        <v>0</v>
      </c>
      <c r="CL1634" s="52" t="n">
        <f aca="false">IF(AND(Parameter!$B$21="Ja",ISNUMBER(W1634),N(X1634)&gt;0),IFERROR(N(INDEX(Parameter!$L$5:$L$7,W1634))*INDEX(Parameter!$E$5:$E$7,W1634)*X1634/SUMIFS($X$7:$X$1843,$W$7:$W$1843,W1634),0),0)</f>
        <v>0</v>
      </c>
    </row>
    <row r="1635" customFormat="false" ht="15" hidden="false" customHeight="false" outlineLevel="0" collapsed="false">
      <c r="A1635" s="48" t="s">
        <v>2848</v>
      </c>
      <c r="B1635" s="48" t="s">
        <v>2849</v>
      </c>
      <c r="C1635" s="48" t="s">
        <v>168</v>
      </c>
      <c r="D1635" s="48" t="s">
        <v>177</v>
      </c>
      <c r="E1635" s="48"/>
      <c r="F1635" s="48"/>
      <c r="G1635" s="49" t="n">
        <v>3705</v>
      </c>
      <c r="H1635" s="50" t="n">
        <f aca="false">MAX(0,IF(AND(Parameter!$B$21="Ja",ISNUMBER(Y1635)),Y1635,IF(Parameter!$B$20="Jahresanfang 2025 + Export",BO1635+BN1635,BN1635)))</f>
        <v>1</v>
      </c>
      <c r="I1635" s="50" t="n">
        <f aca="false">H1635*G1635</f>
        <v>3705</v>
      </c>
      <c r="J1635" s="50" t="n">
        <f aca="false">BQ1635*Parameter!$B$18</f>
        <v>0</v>
      </c>
      <c r="K1635" s="51"/>
      <c r="L1635" s="52"/>
      <c r="M1635" s="50" t="n">
        <v>0</v>
      </c>
      <c r="N1635" s="50" t="n">
        <v>5</v>
      </c>
      <c r="O1635" s="53" t="n">
        <v>28</v>
      </c>
      <c r="P1635" s="48" t="s">
        <v>172</v>
      </c>
      <c r="Q1635" s="50"/>
      <c r="R1635" s="53" t="n">
        <f aca="false">IF(BW1635=1,0,IFERROR(VLOOKUP(BU1635,'Gebinde-Kategorie'!$A$5:$N$45,13,0)+0,0))</f>
        <v>12</v>
      </c>
      <c r="S1635" s="54"/>
      <c r="T1635" s="55" t="s">
        <v>183</v>
      </c>
      <c r="U1635" s="55"/>
      <c r="V1635" s="55"/>
      <c r="W1635" s="48"/>
      <c r="X1635" s="50"/>
      <c r="Y1635" s="50"/>
      <c r="Z1635" s="48" t="n">
        <f aca="false">IF(A1635="","",IF(AND(Parameter!$B$21="Ja",ISNUMBER(W1635)),W1635,IF(BZ1635="2+3",IF(ISNUMBER(SEARCH("grosser Artikel",BR1635)),2,IFERROR(VLOOKUP(BU1635,Parameter!$F$35:$G$64,2,0),2)),IF(OR(BZ1635="Nein",BZ1635=""),"-",BZ1635))))</f>
        <v>2</v>
      </c>
      <c r="AA1635" s="55"/>
      <c r="AB1635" s="56"/>
      <c r="AC1635" s="50" t="n">
        <f aca="false">AT1635</f>
        <v>5</v>
      </c>
      <c r="AD1635" s="50" t="n">
        <f aca="false">MAX(AT1635,H1635)</f>
        <v>5</v>
      </c>
      <c r="AE1635" s="57"/>
      <c r="AF1635" s="50" t="n">
        <f aca="false">IF(LEFT(Cockpit!$C$5,1)="A",H1635,IF(CE1635=1,CF1635,IF(LEFT(Cockpit!$C$5,1)="B",AK1635,MAX(AK1635,H1635))))</f>
        <v>1</v>
      </c>
      <c r="AG1635" s="50" t="n">
        <f aca="false">IF(BW1635=1,0,ROUNDUP(AF1635/BV1635,0))</f>
        <v>1</v>
      </c>
      <c r="AH1635" s="52" t="n">
        <f aca="false">IF(CL1635&gt;0,CL1635*MAX(1,AF1635/X1635),IF(BW1635=1,IF(AF1635&lt;=0,0,CA1635*MAX(1,IF(H1635&gt;0,AF1635/H1635,1))),IF(R1635&gt;0,AG1635/R1635,0))/MAX(0.1,N(Parameter!$M$21)))</f>
        <v>0.0833333333333333</v>
      </c>
      <c r="AI1635" s="50" t="n">
        <f aca="false">AH1635*BY1635</f>
        <v>12.0833333333333</v>
      </c>
      <c r="AJ1635" s="50" t="n">
        <f aca="false">AF1635*G1635</f>
        <v>3705</v>
      </c>
      <c r="AK1635" s="50" t="n">
        <f aca="false">ROUNDUP(MAX(J1635/IF(CD1635&gt;0,CD1635,MAX(0.1,N(Cockpit!$C$6))),CG1635)/BV1635,0)*BV1635</f>
        <v>5</v>
      </c>
      <c r="AL1635" s="51" t="n">
        <f aca="false">IF(AI1635&gt;0,J1635/AI1635,-1)</f>
        <v>0</v>
      </c>
      <c r="AM1635" s="51" t="n">
        <f aca="false">IF(AND(OR(CC1635="L1",CC1635="L23",CC1635="LIFT"),AI1635&gt;0),SUMIFS($AI$7:$AI$1843,$CC$7:$CC$1843,CC1635,$AL$7:$AL$1843,"&gt;"&amp;AL1635)+SUMIFS($AI$7:$AI$1843,$CC$7:$CC$1843,CC1635,$AL$7:$AL$1843,AL1635,$BT$7:$BT$1843,"&lt;="&amp;BT1635),"")</f>
        <v>30957.4228466919</v>
      </c>
      <c r="AN1635" s="58" t="n">
        <f aca="false">IF(AM1635="",0,MAX(0,MIN(1,(IF(CC1635="L1",Parameter!$H$5,IF(CC1635="L23",Parameter!$H$6+Parameter!$H$7,Parameter!$H$5+Parameter!$H$6+Parameter!$H$7))-(AM1635-AI1635))/AI1635)))</f>
        <v>1</v>
      </c>
      <c r="AO1635" s="50" t="n">
        <f aca="false">IF(LEFT(Cockpit!$I$5,1)="A",H1635,IF(CE1635=1,CF1635,IF(LEFT(Cockpit!$I$5,1)="B",AT1635,MAX(AT1635,H1635))))</f>
        <v>5</v>
      </c>
      <c r="AP1635" s="50" t="n">
        <f aca="false">IF(BW1635=1,0,ROUNDUP(AO1635/BV1635,0))</f>
        <v>1</v>
      </c>
      <c r="AQ1635" s="52" t="n">
        <f aca="false">IF(CL1635&gt;0,CL1635*MAX(1,AO1635/X1635),IF(BW1635=1,IF(AO1635&lt;=0,0,CA1635*MAX(1,IF(H1635&gt;0,AO1635/H1635,1))),IF(R1635&gt;0,AP1635/R1635,0))/MAX(0.1,N(Parameter!$M$21)))</f>
        <v>0.0833333333333333</v>
      </c>
      <c r="AR1635" s="50" t="n">
        <f aca="false">AQ1635*BY1635</f>
        <v>12.0833333333333</v>
      </c>
      <c r="AS1635" s="50" t="n">
        <f aca="false">AO1635*G1635</f>
        <v>18525</v>
      </c>
      <c r="AT1635" s="50" t="n">
        <f aca="false">ROUNDUP(MAX(J1635/IF(CD1635&gt;0,CD1635,MAX(0.1,N(Cockpit!$I$6))),CG1635)/BV1635,0)*BV1635</f>
        <v>5</v>
      </c>
      <c r="AU1635" s="51" t="n">
        <f aca="false">IF(AR1635&gt;0,J1635/AR1635,-1)</f>
        <v>0</v>
      </c>
      <c r="AV1635" s="51" t="n">
        <f aca="false">IF(AND(OR(CC1635="L1",CC1635="L23",CC1635="LIFT"),AR1635&gt;0),SUMIFS($AR$7:$AR$1843,$CC$7:$CC$1843,CC1635,$AU$7:$AU$1843,"&gt;"&amp;AU1635)+SUMIFS($AR$7:$AR$1843,$CC$7:$CC$1843,CC1635,$AU$7:$AU$1843,AU1635,$BT$7:$BT$1843,"&lt;="&amp;BT1635),"")</f>
        <v>43319.3251588336</v>
      </c>
      <c r="AW1635" s="58" t="n">
        <f aca="false">IF(AV1635="",0,MAX(0,MIN(1,(IF(CC1635="L1",Parameter!$H$5,IF(CC1635="L23",Parameter!$H$6+Parameter!$H$7,Parameter!$H$5+Parameter!$H$6+Parameter!$H$7))-(AV1635-AR1635))/AR1635)))</f>
        <v>0</v>
      </c>
      <c r="AX1635" s="50" t="n">
        <f aca="false">IF(LEFT(Cockpit!$O$5,1)="A",H1635,IF(CE1635=1,CF1635,IF(LEFT(Cockpit!$O$5,1)="B",BC1635,MAX(BC1635,H1635))))</f>
        <v>5</v>
      </c>
      <c r="AY1635" s="50" t="n">
        <f aca="false">IF(BW1635=1,0,ROUNDUP(AX1635/BV1635,0))</f>
        <v>1</v>
      </c>
      <c r="AZ1635" s="52" t="n">
        <f aca="false">IF(CL1635&gt;0,CL1635*MAX(1,AX1635/X1635),IF(BW1635=1,IF(AX1635&lt;=0,0,CA1635*MAX(1,IF(H1635&gt;0,AX1635/H1635,1))),IF(R1635&gt;0,AY1635/R1635,0))/MAX(0.1,N(Parameter!$M$21)))</f>
        <v>0.0833333333333333</v>
      </c>
      <c r="BA1635" s="50" t="n">
        <f aca="false">AZ1635*BY1635</f>
        <v>12.0833333333333</v>
      </c>
      <c r="BB1635" s="50" t="n">
        <f aca="false">AX1635*G1635</f>
        <v>18525</v>
      </c>
      <c r="BC1635" s="50" t="n">
        <f aca="false">ROUNDUP(MAX(J1635/IF(CD1635&gt;0,CD1635,MAX(0.1,N(Cockpit!$O$6))),CG1635)/BV1635,0)*BV1635</f>
        <v>5</v>
      </c>
      <c r="BD1635" s="51" t="n">
        <f aca="false">IF(BA1635&gt;0,J1635/BA1635,-1)</f>
        <v>0</v>
      </c>
      <c r="BE1635" s="51" t="n">
        <f aca="false">IF(AND(OR(CC1635="L1",CC1635="L23",CC1635="LIFT"),BA1635&gt;0),SUMIFS($BA$7:$BA$1843,$CC$7:$CC$1843,CC1635,$BD$7:$BD$1843,"&gt;"&amp;BD1635)+SUMIFS($BA$7:$BA$1843,$CC$7:$CC$1843,CC1635,$BD$7:$BD$1843,BD1635,$BT$7:$BT$1843,"&lt;="&amp;BT1635),"")</f>
        <v>39994.3372006995</v>
      </c>
      <c r="BF1635" s="58" t="n">
        <f aca="false">IF(BE1635="",0,MAX(0,MIN(1,(IF(CC1635="L1",Parameter!$H$5,IF(CC1635="L23",Parameter!$H$6+Parameter!$H$7,Parameter!$H$5+Parameter!$H$6+Parameter!$H$7))-(BE1635-BA1635))/BA1635)))</f>
        <v>0</v>
      </c>
      <c r="BG1635" s="48" t="str">
        <f aca="false">IF(AI1635&lt;=0,"",IF(CC1635="Aussen","Aussenlager",IF(CC1635="-","Nicht im Lift",IF(AN1635&gt;=1,"Lift",IF(AN1635&lt;=0,"Aussenlager","teilweise")))))</f>
        <v>Lift</v>
      </c>
      <c r="BH1635" s="48" t="str">
        <f aca="false">IF(AR1635&lt;=0,"",IF(CC1635="Aussen","Aussenlager",IF(CC1635="-","Nicht im Lift",IF(AW1635&gt;=1,"Lift",IF(AW1635&lt;=0,"Aussenlager","teilweise")))))</f>
        <v>Aussenlager</v>
      </c>
      <c r="BI1635" s="48" t="str">
        <f aca="false">IF(BA1635&lt;=0,"",IF(CC1635="Aussen","Aussenlager",IF(CC1635="-","Nicht im Lift",IF(BF1635&gt;=1,"Lift",IF(BF1635&lt;=0,"Aussenlager","teilweise")))))</f>
        <v>Aussenlager</v>
      </c>
      <c r="BJ1635" s="48" t="str">
        <f aca="false">IF(A1635="","",IF(BS1635=1,"Neu; ","")&amp;IF(AND(BS1635=0,BN1635&lt;0),"negativer Bestand (Export "&amp;BN1635&amp;"); ","")&amp;IF(J1635&lt;=0,"Kein Verbrauch; ","")&amp;IF(CL1635&gt;0,"Lift "&amp;W1635&amp;" lt. Liftbericht (Fach "&amp;X1635&amp;" Stk); ",IF(BX1635=1,"Gebinde geschätzt ("&amp;T1635&amp;"); ",IF(BW1635=1,"Lose – Tablare geschätzt; ","")))&amp;IF(H1635&gt;AT1635,"Überbestand "&amp;ROUND(H1635-AT1635,0)&amp;" Stk / CHF "&amp;ROUND((H1635-AT1635)*G1635,0)&amp;"; ","")&amp;IF(AND(CE1635=1,CF1635&lt;CG1635),"MAX &lt; MB+LG; ","")&amp;IF(AND(CK1635&gt;0,CJ1635*10&gt;CK1635),"zu hoch für Tablar; ","")&amp;IF(AND(BS1635=0,OR(CE1635=1,AA1635&lt;&gt;"",U1635&lt;&gt;"",V1635&lt;&gt;"",AB1635&lt;&gt;"")),"manuell übersteuert; ","")&amp;IF(AND(BW1635=0,R1635=0),"Gebinde unbekannt / Stellmass fehlt; ","")&amp;IF(AND(BW1635=0,N(V1635)&lt;=0,N(Q1635)&lt;=0),"Menge pro Gebinde fehlt (Ist = 1 Gebinde); ","")&amp;BR1635)</f>
        <v>Kein Verbrauch; Gebinde geschätzt (Mittel); Menge pro Gebinde fehlt (Ist = 1 Gebinde); nur im Artikelstamm (Bestand 23.06.2026)</v>
      </c>
      <c r="BK1635" s="48"/>
      <c r="BL1635" s="48"/>
      <c r="BM1635" s="55"/>
      <c r="BN1635" s="50" t="n">
        <v>1</v>
      </c>
      <c r="BO1635" s="50" t="n">
        <v>0</v>
      </c>
      <c r="BP1635" s="49" t="n">
        <v>0</v>
      </c>
      <c r="BQ1635" s="50" t="n">
        <v>0</v>
      </c>
      <c r="BR1635" s="48" t="s">
        <v>2579</v>
      </c>
      <c r="BS1635" s="53" t="n">
        <v>0</v>
      </c>
      <c r="BT1635" s="53" t="n">
        <v>1635</v>
      </c>
      <c r="BU1635" s="48" t="str">
        <f aca="false">IF(U1635&lt;&gt;"",UPPER(TRIM(U1635)),IF(BX1635=1,UPPER(VLOOKUP(T1635,Parameter!$I$27:$K$29,2,0)),IF(P1635="","LOSE",P1635)))</f>
        <v>S61</v>
      </c>
      <c r="BV1635" s="50" t="n">
        <f aca="false">IF(BU1635="LOSE",1,IF(N(V1635)&gt;0,V1635,IF(BX1635=1,MAX(1,N(VLOOKUP(T1635,Parameter!$I$27:$K$29,3,0)),H1635,N(N1635)),IF(N(Q1635)&gt;0,Q1635,MAX(1,H1635)))))</f>
        <v>5</v>
      </c>
      <c r="BW1635" s="53" t="n">
        <f aca="false">IF(BU1635="LOSE",1,0)</f>
        <v>0</v>
      </c>
      <c r="BX1635" s="53" t="n">
        <f aca="false">IF(AND(U1635="",OR(P1635="",P1635="LOSE"),T1635&lt;&gt;"",N(S1635)&lt;=0,ISNUMBER(MATCH(T1635,Parameter!$I$27:$I$29,0))),1,0)</f>
        <v>1</v>
      </c>
      <c r="BY1635" s="53" t="n">
        <f aca="false">IF(CL1635&gt;0,INDEX(Parameter!$H$5:$H$7,W1635)/INDEX(Parameter!$E$5:$E$7,W1635),IF(AND(BW1635=0,N(IFERROR(VLOOKUP(BU1635,'Gebinde-Kategorie'!$A$5:$N$45,14,0),0))&gt;0),VLOOKUP(BU1635,'Gebinde-Kategorie'!$A$5:$N$45,14,0)*10+Parameter!$M$23,Parameter!$M$24))</f>
        <v>145</v>
      </c>
      <c r="BZ1635" s="48" t="str">
        <f aca="false">IF(AND(Parameter!$B$19="Ja",E1635&lt;&gt;"",ISNUMBER(MATCH(E1635,Parameter!$I$35:$I$52,0))),VLOOKUP(E1635,Parameter!$I$35:$J$52,2,0),IFERROR(VLOOKUP(D1635,Parameter!$A$35:$C$64,2,0),"Nein"))</f>
        <v>2+3</v>
      </c>
      <c r="CA1635" s="52" t="n">
        <f aca="false">IF(BW1635=0,0,IF(N(S1635)&gt;0,S1635,IFERROR(VLOOKUP(D1635,Parameter!$A$35:$C$64,3,0)+0,0)))</f>
        <v>0</v>
      </c>
      <c r="CB1635" s="48" t="n">
        <f aca="false">IF(AA1635&lt;&gt;"",AA1635,Z1635)</f>
        <v>2</v>
      </c>
      <c r="CC1635" s="48" t="str">
        <f aca="false">IF(OR(CB1635=1,CB1635=2,CB1635=3),IF(Parameter!$E$27="Ja","LIFT",IF(CB1635=1,"L1","L23")),IF(CB1635="Aussen","Aussen","-"))</f>
        <v>LIFT</v>
      </c>
      <c r="CD1635" s="59" t="n">
        <f aca="false">IF(N(AB1635)&gt;0,AB1635,0)</f>
        <v>0</v>
      </c>
      <c r="CE1635" s="53" t="n">
        <f aca="false">IF(ISNUMBER(AE1635),1,0)</f>
        <v>0</v>
      </c>
      <c r="CF1635" s="50" t="n">
        <f aca="false">N(AE1635)</f>
        <v>0</v>
      </c>
      <c r="CG1635" s="50" t="n">
        <f aca="false">N(M1635)+N(N1635)</f>
        <v>5</v>
      </c>
      <c r="CH1635" s="50" t="n">
        <f aca="false">ROUNDUP(H1635/BV1635,0)</f>
        <v>1</v>
      </c>
      <c r="CI1635" s="50" t="n">
        <f aca="false">ROUNDUP(CF1635/BV1635,0)</f>
        <v>0</v>
      </c>
      <c r="CJ1635" s="53" t="n">
        <f aca="false">IF(BW1635=1,0,IFERROR(VLOOKUP(BU1635,'Gebinde-Kategorie'!$A$5:$N$45,5,0)+0,0))</f>
        <v>11</v>
      </c>
      <c r="CK1635" s="53" t="n">
        <f aca="false">IFERROR(IF(OR(CB1635=1,CB1635=2,CB1635=3),N(INDEX(Parameter!$I$5:$I$7,CB1635)),0),0)</f>
        <v>0</v>
      </c>
      <c r="CL1635" s="52" t="n">
        <f aca="false">IF(AND(Parameter!$B$21="Ja",ISNUMBER(W1635),N(X1635)&gt;0),IFERROR(N(INDEX(Parameter!$L$5:$L$7,W1635))*INDEX(Parameter!$E$5:$E$7,W1635)*X1635/SUMIFS($X$7:$X$1843,$W$7:$W$1843,W1635),0),0)</f>
        <v>0</v>
      </c>
    </row>
    <row r="1636" customFormat="false" ht="15" hidden="false" customHeight="false" outlineLevel="0" collapsed="false">
      <c r="A1636" s="48" t="s">
        <v>2850</v>
      </c>
      <c r="B1636" s="48" t="s">
        <v>2851</v>
      </c>
      <c r="C1636" s="48" t="s">
        <v>168</v>
      </c>
      <c r="D1636" s="48" t="s">
        <v>188</v>
      </c>
      <c r="E1636" s="48"/>
      <c r="F1636" s="48"/>
      <c r="G1636" s="49" t="n">
        <v>350</v>
      </c>
      <c r="H1636" s="50" t="n">
        <f aca="false">MAX(0,IF(AND(Parameter!$B$21="Ja",ISNUMBER(Y1636)),Y1636,IF(Parameter!$B$20="Jahresanfang 2025 + Export",BO1636+BN1636,BN1636)))</f>
        <v>4</v>
      </c>
      <c r="I1636" s="50" t="n">
        <f aca="false">H1636*G1636</f>
        <v>1400</v>
      </c>
      <c r="J1636" s="50" t="n">
        <f aca="false">BQ1636*Parameter!$B$18</f>
        <v>0</v>
      </c>
      <c r="K1636" s="51"/>
      <c r="L1636" s="52"/>
      <c r="M1636" s="50" t="n">
        <v>0</v>
      </c>
      <c r="N1636" s="50" t="n">
        <v>1</v>
      </c>
      <c r="O1636" s="53" t="n">
        <v>0</v>
      </c>
      <c r="P1636" s="48" t="s">
        <v>172</v>
      </c>
      <c r="Q1636" s="50"/>
      <c r="R1636" s="53" t="n">
        <f aca="false">IF(BW1636=1,0,IFERROR(VLOOKUP(BU1636,'Gebinde-Kategorie'!$A$5:$N$45,13,0)+0,0))</f>
        <v>26</v>
      </c>
      <c r="S1636" s="54"/>
      <c r="T1636" s="55" t="s">
        <v>279</v>
      </c>
      <c r="U1636" s="55"/>
      <c r="V1636" s="55"/>
      <c r="W1636" s="48"/>
      <c r="X1636" s="50"/>
      <c r="Y1636" s="50"/>
      <c r="Z1636" s="48" t="n">
        <f aca="false">IF(A1636="","",IF(AND(Parameter!$B$21="Ja",ISNUMBER(W1636)),W1636,IF(BZ1636="2+3",IF(ISNUMBER(SEARCH("grosser Artikel",BR1636)),2,IFERROR(VLOOKUP(BU1636,Parameter!$F$35:$G$64,2,0),2)),IF(OR(BZ1636="Nein",BZ1636=""),"-",BZ1636))))</f>
        <v>3</v>
      </c>
      <c r="AA1636" s="55"/>
      <c r="AB1636" s="56"/>
      <c r="AC1636" s="50" t="n">
        <f aca="false">AT1636</f>
        <v>20</v>
      </c>
      <c r="AD1636" s="50" t="n">
        <f aca="false">MAX(AT1636,H1636)</f>
        <v>20</v>
      </c>
      <c r="AE1636" s="57"/>
      <c r="AF1636" s="50" t="n">
        <f aca="false">IF(LEFT(Cockpit!$C$5,1)="A",H1636,IF(CE1636=1,CF1636,IF(LEFT(Cockpit!$C$5,1)="B",AK1636,MAX(AK1636,H1636))))</f>
        <v>4</v>
      </c>
      <c r="AG1636" s="50" t="n">
        <f aca="false">IF(BW1636=1,0,ROUNDUP(AF1636/BV1636,0))</f>
        <v>1</v>
      </c>
      <c r="AH1636" s="52" t="n">
        <f aca="false">IF(CL1636&gt;0,CL1636*MAX(1,AF1636/X1636),IF(BW1636=1,IF(AF1636&lt;=0,0,CA1636*MAX(1,IF(H1636&gt;0,AF1636/H1636,1))),IF(R1636&gt;0,AG1636/R1636,0))/MAX(0.1,N(Parameter!$M$21)))</f>
        <v>0.0384615384615385</v>
      </c>
      <c r="AI1636" s="50" t="n">
        <f aca="false">AH1636*BY1636</f>
        <v>5.96153846153846</v>
      </c>
      <c r="AJ1636" s="50" t="n">
        <f aca="false">AF1636*G1636</f>
        <v>1400</v>
      </c>
      <c r="AK1636" s="50" t="n">
        <f aca="false">ROUNDUP(MAX(J1636/IF(CD1636&gt;0,CD1636,MAX(0.1,N(Cockpit!$C$6))),CG1636)/BV1636,0)*BV1636</f>
        <v>20</v>
      </c>
      <c r="AL1636" s="51" t="n">
        <f aca="false">IF(AI1636&gt;0,J1636/AI1636,-1)</f>
        <v>0</v>
      </c>
      <c r="AM1636" s="51" t="n">
        <f aca="false">IF(AND(OR(CC1636="L1",CC1636="L23",CC1636="LIFT"),AI1636&gt;0),SUMIFS($AI$7:$AI$1843,$CC$7:$CC$1843,CC1636,$AL$7:$AL$1843,"&gt;"&amp;AL1636)+SUMIFS($AI$7:$AI$1843,$CC$7:$CC$1843,CC1636,$AL$7:$AL$1843,AL1636,$BT$7:$BT$1843,"&lt;="&amp;BT1636),"")</f>
        <v>30963.3843851535</v>
      </c>
      <c r="AN1636" s="58" t="n">
        <f aca="false">IF(AM1636="",0,MAX(0,MIN(1,(IF(CC1636="L1",Parameter!$H$5,IF(CC1636="L23",Parameter!$H$6+Parameter!$H$7,Parameter!$H$5+Parameter!$H$6+Parameter!$H$7))-(AM1636-AI1636))/AI1636)))</f>
        <v>1</v>
      </c>
      <c r="AO1636" s="50" t="n">
        <f aca="false">IF(LEFT(Cockpit!$I$5,1)="A",H1636,IF(CE1636=1,CF1636,IF(LEFT(Cockpit!$I$5,1)="B",AT1636,MAX(AT1636,H1636))))</f>
        <v>20</v>
      </c>
      <c r="AP1636" s="50" t="n">
        <f aca="false">IF(BW1636=1,0,ROUNDUP(AO1636/BV1636,0))</f>
        <v>1</v>
      </c>
      <c r="AQ1636" s="52" t="n">
        <f aca="false">IF(CL1636&gt;0,CL1636*MAX(1,AO1636/X1636),IF(BW1636=1,IF(AO1636&lt;=0,0,CA1636*MAX(1,IF(H1636&gt;0,AO1636/H1636,1))),IF(R1636&gt;0,AP1636/R1636,0))/MAX(0.1,N(Parameter!$M$21)))</f>
        <v>0.0384615384615385</v>
      </c>
      <c r="AR1636" s="50" t="n">
        <f aca="false">AQ1636*BY1636</f>
        <v>5.96153846153846</v>
      </c>
      <c r="AS1636" s="50" t="n">
        <f aca="false">AO1636*G1636</f>
        <v>7000</v>
      </c>
      <c r="AT1636" s="50" t="n">
        <f aca="false">ROUNDUP(MAX(J1636/IF(CD1636&gt;0,CD1636,MAX(0.1,N(Cockpit!$I$6))),CG1636)/BV1636,0)*BV1636</f>
        <v>20</v>
      </c>
      <c r="AU1636" s="51" t="n">
        <f aca="false">IF(AR1636&gt;0,J1636/AR1636,-1)</f>
        <v>0</v>
      </c>
      <c r="AV1636" s="51" t="n">
        <f aca="false">IF(AND(OR(CC1636="L1",CC1636="L23",CC1636="LIFT"),AR1636&gt;0),SUMIFS($AR$7:$AR$1843,$CC$7:$CC$1843,CC1636,$AU$7:$AU$1843,"&gt;"&amp;AU1636)+SUMIFS($AR$7:$AR$1843,$CC$7:$CC$1843,CC1636,$AU$7:$AU$1843,AU1636,$BT$7:$BT$1843,"&lt;="&amp;BT1636),"")</f>
        <v>43325.2866972952</v>
      </c>
      <c r="AW1636" s="58" t="n">
        <f aca="false">IF(AV1636="",0,MAX(0,MIN(1,(IF(CC1636="L1",Parameter!$H$5,IF(CC1636="L23",Parameter!$H$6+Parameter!$H$7,Parameter!$H$5+Parameter!$H$6+Parameter!$H$7))-(AV1636-AR1636))/AR1636)))</f>
        <v>0</v>
      </c>
      <c r="AX1636" s="50" t="n">
        <f aca="false">IF(LEFT(Cockpit!$O$5,1)="A",H1636,IF(CE1636=1,CF1636,IF(LEFT(Cockpit!$O$5,1)="B",BC1636,MAX(BC1636,H1636))))</f>
        <v>20</v>
      </c>
      <c r="AY1636" s="50" t="n">
        <f aca="false">IF(BW1636=1,0,ROUNDUP(AX1636/BV1636,0))</f>
        <v>1</v>
      </c>
      <c r="AZ1636" s="52" t="n">
        <f aca="false">IF(CL1636&gt;0,CL1636*MAX(1,AX1636/X1636),IF(BW1636=1,IF(AX1636&lt;=0,0,CA1636*MAX(1,IF(H1636&gt;0,AX1636/H1636,1))),IF(R1636&gt;0,AY1636/R1636,0))/MAX(0.1,N(Parameter!$M$21)))</f>
        <v>0.0384615384615385</v>
      </c>
      <c r="BA1636" s="50" t="n">
        <f aca="false">AZ1636*BY1636</f>
        <v>5.96153846153846</v>
      </c>
      <c r="BB1636" s="50" t="n">
        <f aca="false">AX1636*G1636</f>
        <v>7000</v>
      </c>
      <c r="BC1636" s="50" t="n">
        <f aca="false">ROUNDUP(MAX(J1636/IF(CD1636&gt;0,CD1636,MAX(0.1,N(Cockpit!$O$6))),CG1636)/BV1636,0)*BV1636</f>
        <v>20</v>
      </c>
      <c r="BD1636" s="51" t="n">
        <f aca="false">IF(BA1636&gt;0,J1636/BA1636,-1)</f>
        <v>0</v>
      </c>
      <c r="BE1636" s="51" t="n">
        <f aca="false">IF(AND(OR(CC1636="L1",CC1636="L23",CC1636="LIFT"),BA1636&gt;0),SUMIFS($BA$7:$BA$1843,$CC$7:$CC$1843,CC1636,$BD$7:$BD$1843,"&gt;"&amp;BD1636)+SUMIFS($BA$7:$BA$1843,$CC$7:$CC$1843,CC1636,$BD$7:$BD$1843,BD1636,$BT$7:$BT$1843,"&lt;="&amp;BT1636),"")</f>
        <v>40000.298739161</v>
      </c>
      <c r="BF1636" s="58" t="n">
        <f aca="false">IF(BE1636="",0,MAX(0,MIN(1,(IF(CC1636="L1",Parameter!$H$5,IF(CC1636="L23",Parameter!$H$6+Parameter!$H$7,Parameter!$H$5+Parameter!$H$6+Parameter!$H$7))-(BE1636-BA1636))/BA1636)))</f>
        <v>0</v>
      </c>
      <c r="BG1636" s="48" t="str">
        <f aca="false">IF(AI1636&lt;=0,"",IF(CC1636="Aussen","Aussenlager",IF(CC1636="-","Nicht im Lift",IF(AN1636&gt;=1,"Lift",IF(AN1636&lt;=0,"Aussenlager","teilweise")))))</f>
        <v>Lift</v>
      </c>
      <c r="BH1636" s="48" t="str">
        <f aca="false">IF(AR1636&lt;=0,"",IF(CC1636="Aussen","Aussenlager",IF(CC1636="-","Nicht im Lift",IF(AW1636&gt;=1,"Lift",IF(AW1636&lt;=0,"Aussenlager","teilweise")))))</f>
        <v>Aussenlager</v>
      </c>
      <c r="BI1636" s="48" t="str">
        <f aca="false">IF(BA1636&lt;=0,"",IF(CC1636="Aussen","Aussenlager",IF(CC1636="-","Nicht im Lift",IF(BF1636&gt;=1,"Lift",IF(BF1636&lt;=0,"Aussenlager","teilweise")))))</f>
        <v>Aussenlager</v>
      </c>
      <c r="BJ1636" s="48" t="str">
        <f aca="false">IF(A1636="","",IF(BS1636=1,"Neu; ","")&amp;IF(AND(BS1636=0,BN1636&lt;0),"negativer Bestand (Export "&amp;BN1636&amp;"); ","")&amp;IF(J1636&lt;=0,"Kein Verbrauch; ","")&amp;IF(CL1636&gt;0,"Lift "&amp;W1636&amp;" lt. Liftbericht (Fach "&amp;X1636&amp;" Stk); ",IF(BX1636=1,"Gebinde geschätzt ("&amp;T1636&amp;"); ",IF(BW1636=1,"Lose – Tablare geschätzt; ","")))&amp;IF(H1636&gt;AT1636,"Überbestand "&amp;ROUND(H1636-AT1636,0)&amp;" Stk / CHF "&amp;ROUND((H1636-AT1636)*G1636,0)&amp;"; ","")&amp;IF(AND(CE1636=1,CF1636&lt;CG1636),"MAX &lt; MB+LG; ","")&amp;IF(AND(CK1636&gt;0,CJ1636*10&gt;CK1636),"zu hoch für Tablar; ","")&amp;IF(AND(BS1636=0,OR(CE1636=1,AA1636&lt;&gt;"",U1636&lt;&gt;"",V1636&lt;&gt;"",AB1636&lt;&gt;"")),"manuell übersteuert; ","")&amp;IF(AND(BW1636=0,R1636=0),"Gebinde unbekannt / Stellmass fehlt; ","")&amp;IF(AND(BW1636=0,N(V1636)&lt;=0,N(Q1636)&lt;=0),"Menge pro Gebinde fehlt (Ist = 1 Gebinde); ","")&amp;BR1636)</f>
        <v>Kein Verbrauch; Gebinde geschätzt (Klein); Menge pro Gebinde fehlt (Ist = 1 Gebinde); nur im Artikelstamm (Bestand 23.06.2026)</v>
      </c>
      <c r="BK1636" s="48"/>
      <c r="BL1636" s="48"/>
      <c r="BM1636" s="55"/>
      <c r="BN1636" s="50" t="n">
        <v>4</v>
      </c>
      <c r="BO1636" s="50" t="n">
        <v>0</v>
      </c>
      <c r="BP1636" s="49" t="n">
        <v>0</v>
      </c>
      <c r="BQ1636" s="50" t="n">
        <v>0</v>
      </c>
      <c r="BR1636" s="48" t="s">
        <v>2579</v>
      </c>
      <c r="BS1636" s="53" t="n">
        <v>0</v>
      </c>
      <c r="BT1636" s="53" t="n">
        <v>1636</v>
      </c>
      <c r="BU1636" s="48" t="str">
        <f aca="false">IF(U1636&lt;&gt;"",UPPER(TRIM(U1636)),IF(BX1636=1,UPPER(VLOOKUP(T1636,Parameter!$I$27:$K$29,2,0)),IF(P1636="","LOSE",P1636)))</f>
        <v>S51</v>
      </c>
      <c r="BV1636" s="50" t="n">
        <f aca="false">IF(BU1636="LOSE",1,IF(N(V1636)&gt;0,V1636,IF(BX1636=1,MAX(1,N(VLOOKUP(T1636,Parameter!$I$27:$K$29,3,0)),H1636,N(N1636)),IF(N(Q1636)&gt;0,Q1636,MAX(1,H1636)))))</f>
        <v>20</v>
      </c>
      <c r="BW1636" s="53" t="n">
        <f aca="false">IF(BU1636="LOSE",1,0)</f>
        <v>0</v>
      </c>
      <c r="BX1636" s="53" t="n">
        <f aca="false">IF(AND(U1636="",OR(P1636="",P1636="LOSE"),T1636&lt;&gt;"",N(S1636)&lt;=0,ISNUMBER(MATCH(T1636,Parameter!$I$27:$I$29,0))),1,0)</f>
        <v>1</v>
      </c>
      <c r="BY1636" s="53" t="n">
        <f aca="false">IF(CL1636&gt;0,INDEX(Parameter!$H$5:$H$7,W1636)/INDEX(Parameter!$E$5:$E$7,W1636),IF(AND(BW1636=0,N(IFERROR(VLOOKUP(BU1636,'Gebinde-Kategorie'!$A$5:$N$45,14,0),0))&gt;0),VLOOKUP(BU1636,'Gebinde-Kategorie'!$A$5:$N$45,14,0)*10+Parameter!$M$23,Parameter!$M$24))</f>
        <v>155</v>
      </c>
      <c r="BZ1636" s="48" t="str">
        <f aca="false">IF(AND(Parameter!$B$19="Ja",E1636&lt;&gt;"",ISNUMBER(MATCH(E1636,Parameter!$I$35:$I$52,0))),VLOOKUP(E1636,Parameter!$I$35:$J$52,2,0),IFERROR(VLOOKUP(D1636,Parameter!$A$35:$C$64,2,0),"Nein"))</f>
        <v>2+3</v>
      </c>
      <c r="CA1636" s="52" t="n">
        <f aca="false">IF(BW1636=0,0,IF(N(S1636)&gt;0,S1636,IFERROR(VLOOKUP(D1636,Parameter!$A$35:$C$64,3,0)+0,0)))</f>
        <v>0</v>
      </c>
      <c r="CB1636" s="48" t="n">
        <f aca="false">IF(AA1636&lt;&gt;"",AA1636,Z1636)</f>
        <v>3</v>
      </c>
      <c r="CC1636" s="48" t="str">
        <f aca="false">IF(OR(CB1636=1,CB1636=2,CB1636=3),IF(Parameter!$E$27="Ja","LIFT",IF(CB1636=1,"L1","L23")),IF(CB1636="Aussen","Aussen","-"))</f>
        <v>LIFT</v>
      </c>
      <c r="CD1636" s="59" t="n">
        <f aca="false">IF(N(AB1636)&gt;0,AB1636,0)</f>
        <v>0</v>
      </c>
      <c r="CE1636" s="53" t="n">
        <f aca="false">IF(ISNUMBER(AE1636),1,0)</f>
        <v>0</v>
      </c>
      <c r="CF1636" s="50" t="n">
        <f aca="false">N(AE1636)</f>
        <v>0</v>
      </c>
      <c r="CG1636" s="50" t="n">
        <f aca="false">N(M1636)+N(N1636)</f>
        <v>1</v>
      </c>
      <c r="CH1636" s="50" t="n">
        <f aca="false">ROUNDUP(H1636/BV1636,0)</f>
        <v>1</v>
      </c>
      <c r="CI1636" s="50" t="n">
        <f aca="false">ROUNDUP(CF1636/BV1636,0)</f>
        <v>0</v>
      </c>
      <c r="CJ1636" s="53" t="n">
        <f aca="false">IF(BW1636=1,0,IFERROR(VLOOKUP(BU1636,'Gebinde-Kategorie'!$A$5:$N$45,5,0)+0,0))</f>
        <v>11</v>
      </c>
      <c r="CK1636" s="53" t="n">
        <f aca="false">IFERROR(IF(OR(CB1636=1,CB1636=2,CB1636=3),N(INDEX(Parameter!$I$5:$I$7,CB1636)),0),0)</f>
        <v>0</v>
      </c>
      <c r="CL1636" s="52" t="n">
        <f aca="false">IF(AND(Parameter!$B$21="Ja",ISNUMBER(W1636),N(X1636)&gt;0),IFERROR(N(INDEX(Parameter!$L$5:$L$7,W1636))*INDEX(Parameter!$E$5:$E$7,W1636)*X1636/SUMIFS($X$7:$X$1843,$W$7:$W$1843,W1636),0),0)</f>
        <v>0</v>
      </c>
    </row>
    <row r="1637" customFormat="false" ht="15" hidden="false" customHeight="false" outlineLevel="0" collapsed="false">
      <c r="A1637" s="48" t="s">
        <v>2852</v>
      </c>
      <c r="B1637" s="48" t="s">
        <v>378</v>
      </c>
      <c r="C1637" s="48" t="s">
        <v>168</v>
      </c>
      <c r="D1637" s="48" t="s">
        <v>188</v>
      </c>
      <c r="E1637" s="48"/>
      <c r="F1637" s="48"/>
      <c r="G1637" s="49" t="n">
        <v>100</v>
      </c>
      <c r="H1637" s="50" t="n">
        <f aca="false">MAX(0,IF(AND(Parameter!$B$21="Ja",ISNUMBER(Y1637)),Y1637,IF(Parameter!$B$20="Jahresanfang 2025 + Export",BO1637+BN1637,BN1637)))</f>
        <v>10</v>
      </c>
      <c r="I1637" s="50" t="n">
        <f aca="false">H1637*G1637</f>
        <v>1000</v>
      </c>
      <c r="J1637" s="50" t="n">
        <f aca="false">BQ1637*Parameter!$B$18</f>
        <v>0</v>
      </c>
      <c r="K1637" s="51"/>
      <c r="L1637" s="52"/>
      <c r="M1637" s="50" t="n">
        <v>0</v>
      </c>
      <c r="N1637" s="50" t="n">
        <v>4</v>
      </c>
      <c r="O1637" s="53" t="n">
        <v>35</v>
      </c>
      <c r="P1637" s="48" t="s">
        <v>172</v>
      </c>
      <c r="Q1637" s="50"/>
      <c r="R1637" s="53" t="n">
        <f aca="false">IF(BW1637=1,0,IFERROR(VLOOKUP(BU1637,'Gebinde-Kategorie'!$A$5:$N$45,13,0)+0,0))</f>
        <v>26</v>
      </c>
      <c r="S1637" s="54"/>
      <c r="T1637" s="55" t="s">
        <v>279</v>
      </c>
      <c r="U1637" s="55"/>
      <c r="V1637" s="55"/>
      <c r="W1637" s="48"/>
      <c r="X1637" s="50"/>
      <c r="Y1637" s="50"/>
      <c r="Z1637" s="48" t="n">
        <f aca="false">IF(A1637="","",IF(AND(Parameter!$B$21="Ja",ISNUMBER(W1637)),W1637,IF(BZ1637="2+3",IF(ISNUMBER(SEARCH("grosser Artikel",BR1637)),2,IFERROR(VLOOKUP(BU1637,Parameter!$F$35:$G$64,2,0),2)),IF(OR(BZ1637="Nein",BZ1637=""),"-",BZ1637))))</f>
        <v>3</v>
      </c>
      <c r="AA1637" s="55"/>
      <c r="AB1637" s="56"/>
      <c r="AC1637" s="50" t="n">
        <f aca="false">AT1637</f>
        <v>20</v>
      </c>
      <c r="AD1637" s="50" t="n">
        <f aca="false">MAX(AT1637,H1637)</f>
        <v>20</v>
      </c>
      <c r="AE1637" s="57"/>
      <c r="AF1637" s="50" t="n">
        <f aca="false">IF(LEFT(Cockpit!$C$5,1)="A",H1637,IF(CE1637=1,CF1637,IF(LEFT(Cockpit!$C$5,1)="B",AK1637,MAX(AK1637,H1637))))</f>
        <v>10</v>
      </c>
      <c r="AG1637" s="50" t="n">
        <f aca="false">IF(BW1637=1,0,ROUNDUP(AF1637/BV1637,0))</f>
        <v>1</v>
      </c>
      <c r="AH1637" s="52" t="n">
        <f aca="false">IF(CL1637&gt;0,CL1637*MAX(1,AF1637/X1637),IF(BW1637=1,IF(AF1637&lt;=0,0,CA1637*MAX(1,IF(H1637&gt;0,AF1637/H1637,1))),IF(R1637&gt;0,AG1637/R1637,0))/MAX(0.1,N(Parameter!$M$21)))</f>
        <v>0.0384615384615385</v>
      </c>
      <c r="AI1637" s="50" t="n">
        <f aca="false">AH1637*BY1637</f>
        <v>5.96153846153846</v>
      </c>
      <c r="AJ1637" s="50" t="n">
        <f aca="false">AF1637*G1637</f>
        <v>1000</v>
      </c>
      <c r="AK1637" s="50" t="n">
        <f aca="false">ROUNDUP(MAX(J1637/IF(CD1637&gt;0,CD1637,MAX(0.1,N(Cockpit!$C$6))),CG1637)/BV1637,0)*BV1637</f>
        <v>20</v>
      </c>
      <c r="AL1637" s="51" t="n">
        <f aca="false">IF(AI1637&gt;0,J1637/AI1637,-1)</f>
        <v>0</v>
      </c>
      <c r="AM1637" s="51" t="n">
        <f aca="false">IF(AND(OR(CC1637="L1",CC1637="L23",CC1637="LIFT"),AI1637&gt;0),SUMIFS($AI$7:$AI$1843,$CC$7:$CC$1843,CC1637,$AL$7:$AL$1843,"&gt;"&amp;AL1637)+SUMIFS($AI$7:$AI$1843,$CC$7:$CC$1843,CC1637,$AL$7:$AL$1843,AL1637,$BT$7:$BT$1843,"&lt;="&amp;BT1637),"")</f>
        <v>30969.345923615</v>
      </c>
      <c r="AN1637" s="58" t="n">
        <f aca="false">IF(AM1637="",0,MAX(0,MIN(1,(IF(CC1637="L1",Parameter!$H$5,IF(CC1637="L23",Parameter!$H$6+Parameter!$H$7,Parameter!$H$5+Parameter!$H$6+Parameter!$H$7))-(AM1637-AI1637))/AI1637)))</f>
        <v>1</v>
      </c>
      <c r="AO1637" s="50" t="n">
        <f aca="false">IF(LEFT(Cockpit!$I$5,1)="A",H1637,IF(CE1637=1,CF1637,IF(LEFT(Cockpit!$I$5,1)="B",AT1637,MAX(AT1637,H1637))))</f>
        <v>20</v>
      </c>
      <c r="AP1637" s="50" t="n">
        <f aca="false">IF(BW1637=1,0,ROUNDUP(AO1637/BV1637,0))</f>
        <v>1</v>
      </c>
      <c r="AQ1637" s="52" t="n">
        <f aca="false">IF(CL1637&gt;0,CL1637*MAX(1,AO1637/X1637),IF(BW1637=1,IF(AO1637&lt;=0,0,CA1637*MAX(1,IF(H1637&gt;0,AO1637/H1637,1))),IF(R1637&gt;0,AP1637/R1637,0))/MAX(0.1,N(Parameter!$M$21)))</f>
        <v>0.0384615384615385</v>
      </c>
      <c r="AR1637" s="50" t="n">
        <f aca="false">AQ1637*BY1637</f>
        <v>5.96153846153846</v>
      </c>
      <c r="AS1637" s="50" t="n">
        <f aca="false">AO1637*G1637</f>
        <v>2000</v>
      </c>
      <c r="AT1637" s="50" t="n">
        <f aca="false">ROUNDUP(MAX(J1637/IF(CD1637&gt;0,CD1637,MAX(0.1,N(Cockpit!$I$6))),CG1637)/BV1637,0)*BV1637</f>
        <v>20</v>
      </c>
      <c r="AU1637" s="51" t="n">
        <f aca="false">IF(AR1637&gt;0,J1637/AR1637,-1)</f>
        <v>0</v>
      </c>
      <c r="AV1637" s="51" t="n">
        <f aca="false">IF(AND(OR(CC1637="L1",CC1637="L23",CC1637="LIFT"),AR1637&gt;0),SUMIFS($AR$7:$AR$1843,$CC$7:$CC$1843,CC1637,$AU$7:$AU$1843,"&gt;"&amp;AU1637)+SUMIFS($AR$7:$AR$1843,$CC$7:$CC$1843,CC1637,$AU$7:$AU$1843,AU1637,$BT$7:$BT$1843,"&lt;="&amp;BT1637),"")</f>
        <v>43331.2482357567</v>
      </c>
      <c r="AW1637" s="58" t="n">
        <f aca="false">IF(AV1637="",0,MAX(0,MIN(1,(IF(CC1637="L1",Parameter!$H$5,IF(CC1637="L23",Parameter!$H$6+Parameter!$H$7,Parameter!$H$5+Parameter!$H$6+Parameter!$H$7))-(AV1637-AR1637))/AR1637)))</f>
        <v>0</v>
      </c>
      <c r="AX1637" s="50" t="n">
        <f aca="false">IF(LEFT(Cockpit!$O$5,1)="A",H1637,IF(CE1637=1,CF1637,IF(LEFT(Cockpit!$O$5,1)="B",BC1637,MAX(BC1637,H1637))))</f>
        <v>20</v>
      </c>
      <c r="AY1637" s="50" t="n">
        <f aca="false">IF(BW1637=1,0,ROUNDUP(AX1637/BV1637,0))</f>
        <v>1</v>
      </c>
      <c r="AZ1637" s="52" t="n">
        <f aca="false">IF(CL1637&gt;0,CL1637*MAX(1,AX1637/X1637),IF(BW1637=1,IF(AX1637&lt;=0,0,CA1637*MAX(1,IF(H1637&gt;0,AX1637/H1637,1))),IF(R1637&gt;0,AY1637/R1637,0))/MAX(0.1,N(Parameter!$M$21)))</f>
        <v>0.0384615384615385</v>
      </c>
      <c r="BA1637" s="50" t="n">
        <f aca="false">AZ1637*BY1637</f>
        <v>5.96153846153846</v>
      </c>
      <c r="BB1637" s="50" t="n">
        <f aca="false">AX1637*G1637</f>
        <v>2000</v>
      </c>
      <c r="BC1637" s="50" t="n">
        <f aca="false">ROUNDUP(MAX(J1637/IF(CD1637&gt;0,CD1637,MAX(0.1,N(Cockpit!$O$6))),CG1637)/BV1637,0)*BV1637</f>
        <v>20</v>
      </c>
      <c r="BD1637" s="51" t="n">
        <f aca="false">IF(BA1637&gt;0,J1637/BA1637,-1)</f>
        <v>0</v>
      </c>
      <c r="BE1637" s="51" t="n">
        <f aca="false">IF(AND(OR(CC1637="L1",CC1637="L23",CC1637="LIFT"),BA1637&gt;0),SUMIFS($BA$7:$BA$1843,$CC$7:$CC$1843,CC1637,$BD$7:$BD$1843,"&gt;"&amp;BD1637)+SUMIFS($BA$7:$BA$1843,$CC$7:$CC$1843,CC1637,$BD$7:$BD$1843,BD1637,$BT$7:$BT$1843,"&lt;="&amp;BT1637),"")</f>
        <v>40006.2602776226</v>
      </c>
      <c r="BF1637" s="58" t="n">
        <f aca="false">IF(BE1637="",0,MAX(0,MIN(1,(IF(CC1637="L1",Parameter!$H$5,IF(CC1637="L23",Parameter!$H$6+Parameter!$H$7,Parameter!$H$5+Parameter!$H$6+Parameter!$H$7))-(BE1637-BA1637))/BA1637)))</f>
        <v>0</v>
      </c>
      <c r="BG1637" s="48" t="str">
        <f aca="false">IF(AI1637&lt;=0,"",IF(CC1637="Aussen","Aussenlager",IF(CC1637="-","Nicht im Lift",IF(AN1637&gt;=1,"Lift",IF(AN1637&lt;=0,"Aussenlager","teilweise")))))</f>
        <v>Lift</v>
      </c>
      <c r="BH1637" s="48" t="str">
        <f aca="false">IF(AR1637&lt;=0,"",IF(CC1637="Aussen","Aussenlager",IF(CC1637="-","Nicht im Lift",IF(AW1637&gt;=1,"Lift",IF(AW1637&lt;=0,"Aussenlager","teilweise")))))</f>
        <v>Aussenlager</v>
      </c>
      <c r="BI1637" s="48" t="str">
        <f aca="false">IF(BA1637&lt;=0,"",IF(CC1637="Aussen","Aussenlager",IF(CC1637="-","Nicht im Lift",IF(BF1637&gt;=1,"Lift",IF(BF1637&lt;=0,"Aussenlager","teilweise")))))</f>
        <v>Aussenlager</v>
      </c>
      <c r="BJ1637" s="48" t="str">
        <f aca="false">IF(A1637="","",IF(BS1637=1,"Neu; ","")&amp;IF(AND(BS1637=0,BN1637&lt;0),"negativer Bestand (Export "&amp;BN1637&amp;"); ","")&amp;IF(J1637&lt;=0,"Kein Verbrauch; ","")&amp;IF(CL1637&gt;0,"Lift "&amp;W1637&amp;" lt. Liftbericht (Fach "&amp;X1637&amp;" Stk); ",IF(BX1637=1,"Gebinde geschätzt ("&amp;T1637&amp;"); ",IF(BW1637=1,"Lose – Tablare geschätzt; ","")))&amp;IF(H1637&gt;AT1637,"Überbestand "&amp;ROUND(H1637-AT1637,0)&amp;" Stk / CHF "&amp;ROUND((H1637-AT1637)*G1637,0)&amp;"; ","")&amp;IF(AND(CE1637=1,CF1637&lt;CG1637),"MAX &lt; MB+LG; ","")&amp;IF(AND(CK1637&gt;0,CJ1637*10&gt;CK1637),"zu hoch für Tablar; ","")&amp;IF(AND(BS1637=0,OR(CE1637=1,AA1637&lt;&gt;"",U1637&lt;&gt;"",V1637&lt;&gt;"",AB1637&lt;&gt;"")),"manuell übersteuert; ","")&amp;IF(AND(BW1637=0,R1637=0),"Gebinde unbekannt / Stellmass fehlt; ","")&amp;IF(AND(BW1637=0,N(V1637)&lt;=0,N(Q1637)&lt;=0),"Menge pro Gebinde fehlt (Ist = 1 Gebinde); ","")&amp;BR1637)</f>
        <v>Kein Verbrauch; Gebinde geschätzt (Klein); Menge pro Gebinde fehlt (Ist = 1 Gebinde); nur im Artikelstamm (Bestand 23.06.2026)</v>
      </c>
      <c r="BK1637" s="48"/>
      <c r="BL1637" s="48"/>
      <c r="BM1637" s="55"/>
      <c r="BN1637" s="50" t="n">
        <v>10</v>
      </c>
      <c r="BO1637" s="50" t="n">
        <v>0</v>
      </c>
      <c r="BP1637" s="49" t="n">
        <v>0</v>
      </c>
      <c r="BQ1637" s="50" t="n">
        <v>0</v>
      </c>
      <c r="BR1637" s="48" t="s">
        <v>2579</v>
      </c>
      <c r="BS1637" s="53" t="n">
        <v>0</v>
      </c>
      <c r="BT1637" s="53" t="n">
        <v>1637</v>
      </c>
      <c r="BU1637" s="48" t="str">
        <f aca="false">IF(U1637&lt;&gt;"",UPPER(TRIM(U1637)),IF(BX1637=1,UPPER(VLOOKUP(T1637,Parameter!$I$27:$K$29,2,0)),IF(P1637="","LOSE",P1637)))</f>
        <v>S51</v>
      </c>
      <c r="BV1637" s="50" t="n">
        <f aca="false">IF(BU1637="LOSE",1,IF(N(V1637)&gt;0,V1637,IF(BX1637=1,MAX(1,N(VLOOKUP(T1637,Parameter!$I$27:$K$29,3,0)),H1637,N(N1637)),IF(N(Q1637)&gt;0,Q1637,MAX(1,H1637)))))</f>
        <v>20</v>
      </c>
      <c r="BW1637" s="53" t="n">
        <f aca="false">IF(BU1637="LOSE",1,0)</f>
        <v>0</v>
      </c>
      <c r="BX1637" s="53" t="n">
        <f aca="false">IF(AND(U1637="",OR(P1637="",P1637="LOSE"),T1637&lt;&gt;"",N(S1637)&lt;=0,ISNUMBER(MATCH(T1637,Parameter!$I$27:$I$29,0))),1,0)</f>
        <v>1</v>
      </c>
      <c r="BY1637" s="53" t="n">
        <f aca="false">IF(CL1637&gt;0,INDEX(Parameter!$H$5:$H$7,W1637)/INDEX(Parameter!$E$5:$E$7,W1637),IF(AND(BW1637=0,N(IFERROR(VLOOKUP(BU1637,'Gebinde-Kategorie'!$A$5:$N$45,14,0),0))&gt;0),VLOOKUP(BU1637,'Gebinde-Kategorie'!$A$5:$N$45,14,0)*10+Parameter!$M$23,Parameter!$M$24))</f>
        <v>155</v>
      </c>
      <c r="BZ1637" s="48" t="str">
        <f aca="false">IF(AND(Parameter!$B$19="Ja",E1637&lt;&gt;"",ISNUMBER(MATCH(E1637,Parameter!$I$35:$I$52,0))),VLOOKUP(E1637,Parameter!$I$35:$J$52,2,0),IFERROR(VLOOKUP(D1637,Parameter!$A$35:$C$64,2,0),"Nein"))</f>
        <v>2+3</v>
      </c>
      <c r="CA1637" s="52" t="n">
        <f aca="false">IF(BW1637=0,0,IF(N(S1637)&gt;0,S1637,IFERROR(VLOOKUP(D1637,Parameter!$A$35:$C$64,3,0)+0,0)))</f>
        <v>0</v>
      </c>
      <c r="CB1637" s="48" t="n">
        <f aca="false">IF(AA1637&lt;&gt;"",AA1637,Z1637)</f>
        <v>3</v>
      </c>
      <c r="CC1637" s="48" t="str">
        <f aca="false">IF(OR(CB1637=1,CB1637=2,CB1637=3),IF(Parameter!$E$27="Ja","LIFT",IF(CB1637=1,"L1","L23")),IF(CB1637="Aussen","Aussen","-"))</f>
        <v>LIFT</v>
      </c>
      <c r="CD1637" s="59" t="n">
        <f aca="false">IF(N(AB1637)&gt;0,AB1637,0)</f>
        <v>0</v>
      </c>
      <c r="CE1637" s="53" t="n">
        <f aca="false">IF(ISNUMBER(AE1637),1,0)</f>
        <v>0</v>
      </c>
      <c r="CF1637" s="50" t="n">
        <f aca="false">N(AE1637)</f>
        <v>0</v>
      </c>
      <c r="CG1637" s="50" t="n">
        <f aca="false">N(M1637)+N(N1637)</f>
        <v>4</v>
      </c>
      <c r="CH1637" s="50" t="n">
        <f aca="false">ROUNDUP(H1637/BV1637,0)</f>
        <v>1</v>
      </c>
      <c r="CI1637" s="50" t="n">
        <f aca="false">ROUNDUP(CF1637/BV1637,0)</f>
        <v>0</v>
      </c>
      <c r="CJ1637" s="53" t="n">
        <f aca="false">IF(BW1637=1,0,IFERROR(VLOOKUP(BU1637,'Gebinde-Kategorie'!$A$5:$N$45,5,0)+0,0))</f>
        <v>11</v>
      </c>
      <c r="CK1637" s="53" t="n">
        <f aca="false">IFERROR(IF(OR(CB1637=1,CB1637=2,CB1637=3),N(INDEX(Parameter!$I$5:$I$7,CB1637)),0),0)</f>
        <v>0</v>
      </c>
      <c r="CL1637" s="52" t="n">
        <f aca="false">IF(AND(Parameter!$B$21="Ja",ISNUMBER(W1637),N(X1637)&gt;0),IFERROR(N(INDEX(Parameter!$L$5:$L$7,W1637))*INDEX(Parameter!$E$5:$E$7,W1637)*X1637/SUMIFS($X$7:$X$1843,$W$7:$W$1843,W1637),0),0)</f>
        <v>0</v>
      </c>
    </row>
    <row r="1638" customFormat="false" ht="15" hidden="false" customHeight="false" outlineLevel="0" collapsed="false">
      <c r="A1638" s="48" t="s">
        <v>2853</v>
      </c>
      <c r="B1638" s="48" t="s">
        <v>409</v>
      </c>
      <c r="C1638" s="48" t="s">
        <v>168</v>
      </c>
      <c r="D1638" s="48" t="s">
        <v>188</v>
      </c>
      <c r="E1638" s="48"/>
      <c r="F1638" s="48"/>
      <c r="G1638" s="49" t="n">
        <v>0.67</v>
      </c>
      <c r="H1638" s="50" t="n">
        <f aca="false">MAX(0,IF(AND(Parameter!$B$21="Ja",ISNUMBER(Y1638)),Y1638,IF(Parameter!$B$20="Jahresanfang 2025 + Export",BO1638+BN1638,BN1638)))</f>
        <v>500</v>
      </c>
      <c r="I1638" s="50" t="n">
        <f aca="false">H1638*G1638</f>
        <v>335</v>
      </c>
      <c r="J1638" s="50" t="n">
        <f aca="false">BQ1638*Parameter!$B$18</f>
        <v>0</v>
      </c>
      <c r="K1638" s="51"/>
      <c r="L1638" s="52"/>
      <c r="M1638" s="50" t="n">
        <v>0</v>
      </c>
      <c r="N1638" s="50" t="n">
        <v>100</v>
      </c>
      <c r="O1638" s="53" t="n">
        <v>28</v>
      </c>
      <c r="P1638" s="48" t="s">
        <v>172</v>
      </c>
      <c r="Q1638" s="50"/>
      <c r="R1638" s="53" t="n">
        <f aca="false">IF(BW1638=1,0,IFERROR(VLOOKUP(BU1638,'Gebinde-Kategorie'!$A$5:$N$45,13,0)+0,0))</f>
        <v>26</v>
      </c>
      <c r="S1638" s="54"/>
      <c r="T1638" s="55" t="s">
        <v>279</v>
      </c>
      <c r="U1638" s="55"/>
      <c r="V1638" s="55"/>
      <c r="W1638" s="48"/>
      <c r="X1638" s="50"/>
      <c r="Y1638" s="50"/>
      <c r="Z1638" s="48" t="n">
        <f aca="false">IF(A1638="","",IF(AND(Parameter!$B$21="Ja",ISNUMBER(W1638)),W1638,IF(BZ1638="2+3",IF(ISNUMBER(SEARCH("grosser Artikel",BR1638)),2,IFERROR(VLOOKUP(BU1638,Parameter!$F$35:$G$64,2,0),2)),IF(OR(BZ1638="Nein",BZ1638=""),"-",BZ1638))))</f>
        <v>3</v>
      </c>
      <c r="AA1638" s="55"/>
      <c r="AB1638" s="56"/>
      <c r="AC1638" s="50" t="n">
        <f aca="false">AT1638</f>
        <v>500</v>
      </c>
      <c r="AD1638" s="50" t="n">
        <f aca="false">MAX(AT1638,H1638)</f>
        <v>500</v>
      </c>
      <c r="AE1638" s="57"/>
      <c r="AF1638" s="50" t="n">
        <f aca="false">IF(LEFT(Cockpit!$C$5,1)="A",H1638,IF(CE1638=1,CF1638,IF(LEFT(Cockpit!$C$5,1)="B",AK1638,MAX(AK1638,H1638))))</f>
        <v>500</v>
      </c>
      <c r="AG1638" s="50" t="n">
        <f aca="false">IF(BW1638=1,0,ROUNDUP(AF1638/BV1638,0))</f>
        <v>1</v>
      </c>
      <c r="AH1638" s="52" t="n">
        <f aca="false">IF(CL1638&gt;0,CL1638*MAX(1,AF1638/X1638),IF(BW1638=1,IF(AF1638&lt;=0,0,CA1638*MAX(1,IF(H1638&gt;0,AF1638/H1638,1))),IF(R1638&gt;0,AG1638/R1638,0))/MAX(0.1,N(Parameter!$M$21)))</f>
        <v>0.0384615384615385</v>
      </c>
      <c r="AI1638" s="50" t="n">
        <f aca="false">AH1638*BY1638</f>
        <v>5.96153846153846</v>
      </c>
      <c r="AJ1638" s="50" t="n">
        <f aca="false">AF1638*G1638</f>
        <v>335</v>
      </c>
      <c r="AK1638" s="50" t="n">
        <f aca="false">ROUNDUP(MAX(J1638/IF(CD1638&gt;0,CD1638,MAX(0.1,N(Cockpit!$C$6))),CG1638)/BV1638,0)*BV1638</f>
        <v>500</v>
      </c>
      <c r="AL1638" s="51" t="n">
        <f aca="false">IF(AI1638&gt;0,J1638/AI1638,-1)</f>
        <v>0</v>
      </c>
      <c r="AM1638" s="51" t="n">
        <f aca="false">IF(AND(OR(CC1638="L1",CC1638="L23",CC1638="LIFT"),AI1638&gt;0),SUMIFS($AI$7:$AI$1843,$CC$7:$CC$1843,CC1638,$AL$7:$AL$1843,"&gt;"&amp;AL1638)+SUMIFS($AI$7:$AI$1843,$CC$7:$CC$1843,CC1638,$AL$7:$AL$1843,AL1638,$BT$7:$BT$1843,"&lt;="&amp;BT1638),"")</f>
        <v>30975.3074620765</v>
      </c>
      <c r="AN1638" s="58" t="n">
        <f aca="false">IF(AM1638="",0,MAX(0,MIN(1,(IF(CC1638="L1",Parameter!$H$5,IF(CC1638="L23",Parameter!$H$6+Parameter!$H$7,Parameter!$H$5+Parameter!$H$6+Parameter!$H$7))-(AM1638-AI1638))/AI1638)))</f>
        <v>1</v>
      </c>
      <c r="AO1638" s="50" t="n">
        <f aca="false">IF(LEFT(Cockpit!$I$5,1)="A",H1638,IF(CE1638=1,CF1638,IF(LEFT(Cockpit!$I$5,1)="B",AT1638,MAX(AT1638,H1638))))</f>
        <v>500</v>
      </c>
      <c r="AP1638" s="50" t="n">
        <f aca="false">IF(BW1638=1,0,ROUNDUP(AO1638/BV1638,0))</f>
        <v>1</v>
      </c>
      <c r="AQ1638" s="52" t="n">
        <f aca="false">IF(CL1638&gt;0,CL1638*MAX(1,AO1638/X1638),IF(BW1638=1,IF(AO1638&lt;=0,0,CA1638*MAX(1,IF(H1638&gt;0,AO1638/H1638,1))),IF(R1638&gt;0,AP1638/R1638,0))/MAX(0.1,N(Parameter!$M$21)))</f>
        <v>0.0384615384615385</v>
      </c>
      <c r="AR1638" s="50" t="n">
        <f aca="false">AQ1638*BY1638</f>
        <v>5.96153846153846</v>
      </c>
      <c r="AS1638" s="50" t="n">
        <f aca="false">AO1638*G1638</f>
        <v>335</v>
      </c>
      <c r="AT1638" s="50" t="n">
        <f aca="false">ROUNDUP(MAX(J1638/IF(CD1638&gt;0,CD1638,MAX(0.1,N(Cockpit!$I$6))),CG1638)/BV1638,0)*BV1638</f>
        <v>500</v>
      </c>
      <c r="AU1638" s="51" t="n">
        <f aca="false">IF(AR1638&gt;0,J1638/AR1638,-1)</f>
        <v>0</v>
      </c>
      <c r="AV1638" s="51" t="n">
        <f aca="false">IF(AND(OR(CC1638="L1",CC1638="L23",CC1638="LIFT"),AR1638&gt;0),SUMIFS($AR$7:$AR$1843,$CC$7:$CC$1843,CC1638,$AU$7:$AU$1843,"&gt;"&amp;AU1638)+SUMIFS($AR$7:$AR$1843,$CC$7:$CC$1843,CC1638,$AU$7:$AU$1843,AU1638,$BT$7:$BT$1843,"&lt;="&amp;BT1638),"")</f>
        <v>43337.2097742183</v>
      </c>
      <c r="AW1638" s="58" t="n">
        <f aca="false">IF(AV1638="",0,MAX(0,MIN(1,(IF(CC1638="L1",Parameter!$H$5,IF(CC1638="L23",Parameter!$H$6+Parameter!$H$7,Parameter!$H$5+Parameter!$H$6+Parameter!$H$7))-(AV1638-AR1638))/AR1638)))</f>
        <v>0</v>
      </c>
      <c r="AX1638" s="50" t="n">
        <f aca="false">IF(LEFT(Cockpit!$O$5,1)="A",H1638,IF(CE1638=1,CF1638,IF(LEFT(Cockpit!$O$5,1)="B",BC1638,MAX(BC1638,H1638))))</f>
        <v>500</v>
      </c>
      <c r="AY1638" s="50" t="n">
        <f aca="false">IF(BW1638=1,0,ROUNDUP(AX1638/BV1638,0))</f>
        <v>1</v>
      </c>
      <c r="AZ1638" s="52" t="n">
        <f aca="false">IF(CL1638&gt;0,CL1638*MAX(1,AX1638/X1638),IF(BW1638=1,IF(AX1638&lt;=0,0,CA1638*MAX(1,IF(H1638&gt;0,AX1638/H1638,1))),IF(R1638&gt;0,AY1638/R1638,0))/MAX(0.1,N(Parameter!$M$21)))</f>
        <v>0.0384615384615385</v>
      </c>
      <c r="BA1638" s="50" t="n">
        <f aca="false">AZ1638*BY1638</f>
        <v>5.96153846153846</v>
      </c>
      <c r="BB1638" s="50" t="n">
        <f aca="false">AX1638*G1638</f>
        <v>335</v>
      </c>
      <c r="BC1638" s="50" t="n">
        <f aca="false">ROUNDUP(MAX(J1638/IF(CD1638&gt;0,CD1638,MAX(0.1,N(Cockpit!$O$6))),CG1638)/BV1638,0)*BV1638</f>
        <v>500</v>
      </c>
      <c r="BD1638" s="51" t="n">
        <f aca="false">IF(BA1638&gt;0,J1638/BA1638,-1)</f>
        <v>0</v>
      </c>
      <c r="BE1638" s="51" t="n">
        <f aca="false">IF(AND(OR(CC1638="L1",CC1638="L23",CC1638="LIFT"),BA1638&gt;0),SUMIFS($BA$7:$BA$1843,$CC$7:$CC$1843,CC1638,$BD$7:$BD$1843,"&gt;"&amp;BD1638)+SUMIFS($BA$7:$BA$1843,$CC$7:$CC$1843,CC1638,$BD$7:$BD$1843,BD1638,$BT$7:$BT$1843,"&lt;="&amp;BT1638),"")</f>
        <v>40012.2218160841</v>
      </c>
      <c r="BF1638" s="58" t="n">
        <f aca="false">IF(BE1638="",0,MAX(0,MIN(1,(IF(CC1638="L1",Parameter!$H$5,IF(CC1638="L23",Parameter!$H$6+Parameter!$H$7,Parameter!$H$5+Parameter!$H$6+Parameter!$H$7))-(BE1638-BA1638))/BA1638)))</f>
        <v>0</v>
      </c>
      <c r="BG1638" s="48" t="str">
        <f aca="false">IF(AI1638&lt;=0,"",IF(CC1638="Aussen","Aussenlager",IF(CC1638="-","Nicht im Lift",IF(AN1638&gt;=1,"Lift",IF(AN1638&lt;=0,"Aussenlager","teilweise")))))</f>
        <v>Lift</v>
      </c>
      <c r="BH1638" s="48" t="str">
        <f aca="false">IF(AR1638&lt;=0,"",IF(CC1638="Aussen","Aussenlager",IF(CC1638="-","Nicht im Lift",IF(AW1638&gt;=1,"Lift",IF(AW1638&lt;=0,"Aussenlager","teilweise")))))</f>
        <v>Aussenlager</v>
      </c>
      <c r="BI1638" s="48" t="str">
        <f aca="false">IF(BA1638&lt;=0,"",IF(CC1638="Aussen","Aussenlager",IF(CC1638="-","Nicht im Lift",IF(BF1638&gt;=1,"Lift",IF(BF1638&lt;=0,"Aussenlager","teilweise")))))</f>
        <v>Aussenlager</v>
      </c>
      <c r="BJ1638" s="48" t="str">
        <f aca="false">IF(A1638="","",IF(BS1638=1,"Neu; ","")&amp;IF(AND(BS1638=0,BN1638&lt;0),"negativer Bestand (Export "&amp;BN1638&amp;"); ","")&amp;IF(J1638&lt;=0,"Kein Verbrauch; ","")&amp;IF(CL1638&gt;0,"Lift "&amp;W1638&amp;" lt. Liftbericht (Fach "&amp;X1638&amp;" Stk); ",IF(BX1638=1,"Gebinde geschätzt ("&amp;T1638&amp;"); ",IF(BW1638=1,"Lose – Tablare geschätzt; ","")))&amp;IF(H1638&gt;AT1638,"Überbestand "&amp;ROUND(H1638-AT1638,0)&amp;" Stk / CHF "&amp;ROUND((H1638-AT1638)*G1638,0)&amp;"; ","")&amp;IF(AND(CE1638=1,CF1638&lt;CG1638),"MAX &lt; MB+LG; ","")&amp;IF(AND(CK1638&gt;0,CJ1638*10&gt;CK1638),"zu hoch für Tablar; ","")&amp;IF(AND(BS1638=0,OR(CE1638=1,AA1638&lt;&gt;"",U1638&lt;&gt;"",V1638&lt;&gt;"",AB1638&lt;&gt;"")),"manuell übersteuert; ","")&amp;IF(AND(BW1638=0,R1638=0),"Gebinde unbekannt / Stellmass fehlt; ","")&amp;IF(AND(BW1638=0,N(V1638)&lt;=0,N(Q1638)&lt;=0),"Menge pro Gebinde fehlt (Ist = 1 Gebinde); ","")&amp;BR1638)</f>
        <v>Kein Verbrauch; Gebinde geschätzt (Klein); Menge pro Gebinde fehlt (Ist = 1 Gebinde); nur im Artikelstamm (Bestand 23.06.2026)</v>
      </c>
      <c r="BK1638" s="48"/>
      <c r="BL1638" s="48"/>
      <c r="BM1638" s="55"/>
      <c r="BN1638" s="50" t="n">
        <v>500</v>
      </c>
      <c r="BO1638" s="50" t="n">
        <v>0</v>
      </c>
      <c r="BP1638" s="49" t="n">
        <v>0</v>
      </c>
      <c r="BQ1638" s="50" t="n">
        <v>0</v>
      </c>
      <c r="BR1638" s="48" t="s">
        <v>2579</v>
      </c>
      <c r="BS1638" s="53" t="n">
        <v>0</v>
      </c>
      <c r="BT1638" s="53" t="n">
        <v>1638</v>
      </c>
      <c r="BU1638" s="48" t="str">
        <f aca="false">IF(U1638&lt;&gt;"",UPPER(TRIM(U1638)),IF(BX1638=1,UPPER(VLOOKUP(T1638,Parameter!$I$27:$K$29,2,0)),IF(P1638="","LOSE",P1638)))</f>
        <v>S51</v>
      </c>
      <c r="BV1638" s="50" t="n">
        <f aca="false">IF(BU1638="LOSE",1,IF(N(V1638)&gt;0,V1638,IF(BX1638=1,MAX(1,N(VLOOKUP(T1638,Parameter!$I$27:$K$29,3,0)),H1638,N(N1638)),IF(N(Q1638)&gt;0,Q1638,MAX(1,H1638)))))</f>
        <v>500</v>
      </c>
      <c r="BW1638" s="53" t="n">
        <f aca="false">IF(BU1638="LOSE",1,0)</f>
        <v>0</v>
      </c>
      <c r="BX1638" s="53" t="n">
        <f aca="false">IF(AND(U1638="",OR(P1638="",P1638="LOSE"),T1638&lt;&gt;"",N(S1638)&lt;=0,ISNUMBER(MATCH(T1638,Parameter!$I$27:$I$29,0))),1,0)</f>
        <v>1</v>
      </c>
      <c r="BY1638" s="53" t="n">
        <f aca="false">IF(CL1638&gt;0,INDEX(Parameter!$H$5:$H$7,W1638)/INDEX(Parameter!$E$5:$E$7,W1638),IF(AND(BW1638=0,N(IFERROR(VLOOKUP(BU1638,'Gebinde-Kategorie'!$A$5:$N$45,14,0),0))&gt;0),VLOOKUP(BU1638,'Gebinde-Kategorie'!$A$5:$N$45,14,0)*10+Parameter!$M$23,Parameter!$M$24))</f>
        <v>155</v>
      </c>
      <c r="BZ1638" s="48" t="str">
        <f aca="false">IF(AND(Parameter!$B$19="Ja",E1638&lt;&gt;"",ISNUMBER(MATCH(E1638,Parameter!$I$35:$I$52,0))),VLOOKUP(E1638,Parameter!$I$35:$J$52,2,0),IFERROR(VLOOKUP(D1638,Parameter!$A$35:$C$64,2,0),"Nein"))</f>
        <v>2+3</v>
      </c>
      <c r="CA1638" s="52" t="n">
        <f aca="false">IF(BW1638=0,0,IF(N(S1638)&gt;0,S1638,IFERROR(VLOOKUP(D1638,Parameter!$A$35:$C$64,3,0)+0,0)))</f>
        <v>0</v>
      </c>
      <c r="CB1638" s="48" t="n">
        <f aca="false">IF(AA1638&lt;&gt;"",AA1638,Z1638)</f>
        <v>3</v>
      </c>
      <c r="CC1638" s="48" t="str">
        <f aca="false">IF(OR(CB1638=1,CB1638=2,CB1638=3),IF(Parameter!$E$27="Ja","LIFT",IF(CB1638=1,"L1","L23")),IF(CB1638="Aussen","Aussen","-"))</f>
        <v>LIFT</v>
      </c>
      <c r="CD1638" s="59" t="n">
        <f aca="false">IF(N(AB1638)&gt;0,AB1638,0)</f>
        <v>0</v>
      </c>
      <c r="CE1638" s="53" t="n">
        <f aca="false">IF(ISNUMBER(AE1638),1,0)</f>
        <v>0</v>
      </c>
      <c r="CF1638" s="50" t="n">
        <f aca="false">N(AE1638)</f>
        <v>0</v>
      </c>
      <c r="CG1638" s="50" t="n">
        <f aca="false">N(M1638)+N(N1638)</f>
        <v>100</v>
      </c>
      <c r="CH1638" s="50" t="n">
        <f aca="false">ROUNDUP(H1638/BV1638,0)</f>
        <v>1</v>
      </c>
      <c r="CI1638" s="50" t="n">
        <f aca="false">ROUNDUP(CF1638/BV1638,0)</f>
        <v>0</v>
      </c>
      <c r="CJ1638" s="53" t="n">
        <f aca="false">IF(BW1638=1,0,IFERROR(VLOOKUP(BU1638,'Gebinde-Kategorie'!$A$5:$N$45,5,0)+0,0))</f>
        <v>11</v>
      </c>
      <c r="CK1638" s="53" t="n">
        <f aca="false">IFERROR(IF(OR(CB1638=1,CB1638=2,CB1638=3),N(INDEX(Parameter!$I$5:$I$7,CB1638)),0),0)</f>
        <v>0</v>
      </c>
      <c r="CL1638" s="52" t="n">
        <f aca="false">IF(AND(Parameter!$B$21="Ja",ISNUMBER(W1638),N(X1638)&gt;0),IFERROR(N(INDEX(Parameter!$L$5:$L$7,W1638))*INDEX(Parameter!$E$5:$E$7,W1638)*X1638/SUMIFS($X$7:$X$1843,$W$7:$W$1843,W1638),0),0)</f>
        <v>0</v>
      </c>
    </row>
    <row r="1639" customFormat="false" ht="15" hidden="false" customHeight="false" outlineLevel="0" collapsed="false">
      <c r="A1639" s="48" t="s">
        <v>2854</v>
      </c>
      <c r="B1639" s="48" t="s">
        <v>2855</v>
      </c>
      <c r="C1639" s="48" t="s">
        <v>168</v>
      </c>
      <c r="D1639" s="48" t="s">
        <v>188</v>
      </c>
      <c r="E1639" s="48"/>
      <c r="F1639" s="48"/>
      <c r="G1639" s="49" t="n">
        <v>1.5</v>
      </c>
      <c r="H1639" s="50" t="n">
        <f aca="false">MAX(0,IF(AND(Parameter!$B$21="Ja",ISNUMBER(Y1639)),Y1639,IF(Parameter!$B$20="Jahresanfang 2025 + Export",BO1639+BN1639,BN1639)))</f>
        <v>83</v>
      </c>
      <c r="I1639" s="50" t="n">
        <f aca="false">H1639*G1639</f>
        <v>124.5</v>
      </c>
      <c r="J1639" s="50" t="n">
        <f aca="false">BQ1639*Parameter!$B$18</f>
        <v>0</v>
      </c>
      <c r="K1639" s="51"/>
      <c r="L1639" s="52"/>
      <c r="M1639" s="50" t="n">
        <v>0</v>
      </c>
      <c r="N1639" s="50" t="n">
        <v>50</v>
      </c>
      <c r="O1639" s="53" t="n">
        <v>14</v>
      </c>
      <c r="P1639" s="48" t="s">
        <v>172</v>
      </c>
      <c r="Q1639" s="50"/>
      <c r="R1639" s="53" t="n">
        <f aca="false">IF(BW1639=1,0,IFERROR(VLOOKUP(BU1639,'Gebinde-Kategorie'!$A$5:$N$45,13,0)+0,0))</f>
        <v>26</v>
      </c>
      <c r="S1639" s="54"/>
      <c r="T1639" s="55" t="s">
        <v>279</v>
      </c>
      <c r="U1639" s="55"/>
      <c r="V1639" s="55"/>
      <c r="W1639" s="48"/>
      <c r="X1639" s="50"/>
      <c r="Y1639" s="50"/>
      <c r="Z1639" s="48" t="n">
        <f aca="false">IF(A1639="","",IF(AND(Parameter!$B$21="Ja",ISNUMBER(W1639)),W1639,IF(BZ1639="2+3",IF(ISNUMBER(SEARCH("grosser Artikel",BR1639)),2,IFERROR(VLOOKUP(BU1639,Parameter!$F$35:$G$64,2,0),2)),IF(OR(BZ1639="Nein",BZ1639=""),"-",BZ1639))))</f>
        <v>3</v>
      </c>
      <c r="AA1639" s="55"/>
      <c r="AB1639" s="56"/>
      <c r="AC1639" s="50" t="n">
        <f aca="false">AT1639</f>
        <v>83</v>
      </c>
      <c r="AD1639" s="50" t="n">
        <f aca="false">MAX(AT1639,H1639)</f>
        <v>83</v>
      </c>
      <c r="AE1639" s="57"/>
      <c r="AF1639" s="50" t="n">
        <f aca="false">IF(LEFT(Cockpit!$C$5,1)="A",H1639,IF(CE1639=1,CF1639,IF(LEFT(Cockpit!$C$5,1)="B",AK1639,MAX(AK1639,H1639))))</f>
        <v>83</v>
      </c>
      <c r="AG1639" s="50" t="n">
        <f aca="false">IF(BW1639=1,0,ROUNDUP(AF1639/BV1639,0))</f>
        <v>1</v>
      </c>
      <c r="AH1639" s="52" t="n">
        <f aca="false">IF(CL1639&gt;0,CL1639*MAX(1,AF1639/X1639),IF(BW1639=1,IF(AF1639&lt;=0,0,CA1639*MAX(1,IF(H1639&gt;0,AF1639/H1639,1))),IF(R1639&gt;0,AG1639/R1639,0))/MAX(0.1,N(Parameter!$M$21)))</f>
        <v>0.0384615384615385</v>
      </c>
      <c r="AI1639" s="50" t="n">
        <f aca="false">AH1639*BY1639</f>
        <v>5.96153846153846</v>
      </c>
      <c r="AJ1639" s="50" t="n">
        <f aca="false">AF1639*G1639</f>
        <v>124.5</v>
      </c>
      <c r="AK1639" s="50" t="n">
        <f aca="false">ROUNDUP(MAX(J1639/IF(CD1639&gt;0,CD1639,MAX(0.1,N(Cockpit!$C$6))),CG1639)/BV1639,0)*BV1639</f>
        <v>83</v>
      </c>
      <c r="AL1639" s="51" t="n">
        <f aca="false">IF(AI1639&gt;0,J1639/AI1639,-1)</f>
        <v>0</v>
      </c>
      <c r="AM1639" s="51" t="n">
        <f aca="false">IF(AND(OR(CC1639="L1",CC1639="L23",CC1639="LIFT"),AI1639&gt;0),SUMIFS($AI$7:$AI$1843,$CC$7:$CC$1843,CC1639,$AL$7:$AL$1843,"&gt;"&amp;AL1639)+SUMIFS($AI$7:$AI$1843,$CC$7:$CC$1843,CC1639,$AL$7:$AL$1843,AL1639,$BT$7:$BT$1843,"&lt;="&amp;BT1639),"")</f>
        <v>30981.2690005381</v>
      </c>
      <c r="AN1639" s="58" t="n">
        <f aca="false">IF(AM1639="",0,MAX(0,MIN(1,(IF(CC1639="L1",Parameter!$H$5,IF(CC1639="L23",Parameter!$H$6+Parameter!$H$7,Parameter!$H$5+Parameter!$H$6+Parameter!$H$7))-(AM1639-AI1639))/AI1639)))</f>
        <v>1</v>
      </c>
      <c r="AO1639" s="50" t="n">
        <f aca="false">IF(LEFT(Cockpit!$I$5,1)="A",H1639,IF(CE1639=1,CF1639,IF(LEFT(Cockpit!$I$5,1)="B",AT1639,MAX(AT1639,H1639))))</f>
        <v>83</v>
      </c>
      <c r="AP1639" s="50" t="n">
        <f aca="false">IF(BW1639=1,0,ROUNDUP(AO1639/BV1639,0))</f>
        <v>1</v>
      </c>
      <c r="AQ1639" s="52" t="n">
        <f aca="false">IF(CL1639&gt;0,CL1639*MAX(1,AO1639/X1639),IF(BW1639=1,IF(AO1639&lt;=0,0,CA1639*MAX(1,IF(H1639&gt;0,AO1639/H1639,1))),IF(R1639&gt;0,AP1639/R1639,0))/MAX(0.1,N(Parameter!$M$21)))</f>
        <v>0.0384615384615385</v>
      </c>
      <c r="AR1639" s="50" t="n">
        <f aca="false">AQ1639*BY1639</f>
        <v>5.96153846153846</v>
      </c>
      <c r="AS1639" s="50" t="n">
        <f aca="false">AO1639*G1639</f>
        <v>124.5</v>
      </c>
      <c r="AT1639" s="50" t="n">
        <f aca="false">ROUNDUP(MAX(J1639/IF(CD1639&gt;0,CD1639,MAX(0.1,N(Cockpit!$I$6))),CG1639)/BV1639,0)*BV1639</f>
        <v>83</v>
      </c>
      <c r="AU1639" s="51" t="n">
        <f aca="false">IF(AR1639&gt;0,J1639/AR1639,-1)</f>
        <v>0</v>
      </c>
      <c r="AV1639" s="51" t="n">
        <f aca="false">IF(AND(OR(CC1639="L1",CC1639="L23",CC1639="LIFT"),AR1639&gt;0),SUMIFS($AR$7:$AR$1843,$CC$7:$CC$1843,CC1639,$AU$7:$AU$1843,"&gt;"&amp;AU1639)+SUMIFS($AR$7:$AR$1843,$CC$7:$CC$1843,CC1639,$AU$7:$AU$1843,AU1639,$BT$7:$BT$1843,"&lt;="&amp;BT1639),"")</f>
        <v>43343.1713126798</v>
      </c>
      <c r="AW1639" s="58" t="n">
        <f aca="false">IF(AV1639="",0,MAX(0,MIN(1,(IF(CC1639="L1",Parameter!$H$5,IF(CC1639="L23",Parameter!$H$6+Parameter!$H$7,Parameter!$H$5+Parameter!$H$6+Parameter!$H$7))-(AV1639-AR1639))/AR1639)))</f>
        <v>0</v>
      </c>
      <c r="AX1639" s="50" t="n">
        <f aca="false">IF(LEFT(Cockpit!$O$5,1)="A",H1639,IF(CE1639=1,CF1639,IF(LEFT(Cockpit!$O$5,1)="B",BC1639,MAX(BC1639,H1639))))</f>
        <v>83</v>
      </c>
      <c r="AY1639" s="50" t="n">
        <f aca="false">IF(BW1639=1,0,ROUNDUP(AX1639/BV1639,0))</f>
        <v>1</v>
      </c>
      <c r="AZ1639" s="52" t="n">
        <f aca="false">IF(CL1639&gt;0,CL1639*MAX(1,AX1639/X1639),IF(BW1639=1,IF(AX1639&lt;=0,0,CA1639*MAX(1,IF(H1639&gt;0,AX1639/H1639,1))),IF(R1639&gt;0,AY1639/R1639,0))/MAX(0.1,N(Parameter!$M$21)))</f>
        <v>0.0384615384615385</v>
      </c>
      <c r="BA1639" s="50" t="n">
        <f aca="false">AZ1639*BY1639</f>
        <v>5.96153846153846</v>
      </c>
      <c r="BB1639" s="50" t="n">
        <f aca="false">AX1639*G1639</f>
        <v>124.5</v>
      </c>
      <c r="BC1639" s="50" t="n">
        <f aca="false">ROUNDUP(MAX(J1639/IF(CD1639&gt;0,CD1639,MAX(0.1,N(Cockpit!$O$6))),CG1639)/BV1639,0)*BV1639</f>
        <v>83</v>
      </c>
      <c r="BD1639" s="51" t="n">
        <f aca="false">IF(BA1639&gt;0,J1639/BA1639,-1)</f>
        <v>0</v>
      </c>
      <c r="BE1639" s="51" t="n">
        <f aca="false">IF(AND(OR(CC1639="L1",CC1639="L23",CC1639="LIFT"),BA1639&gt;0),SUMIFS($BA$7:$BA$1843,$CC$7:$CC$1843,CC1639,$BD$7:$BD$1843,"&gt;"&amp;BD1639)+SUMIFS($BA$7:$BA$1843,$CC$7:$CC$1843,CC1639,$BD$7:$BD$1843,BD1639,$BT$7:$BT$1843,"&lt;="&amp;BT1639),"")</f>
        <v>40018.1833545457</v>
      </c>
      <c r="BF1639" s="58" t="n">
        <f aca="false">IF(BE1639="",0,MAX(0,MIN(1,(IF(CC1639="L1",Parameter!$H$5,IF(CC1639="L23",Parameter!$H$6+Parameter!$H$7,Parameter!$H$5+Parameter!$H$6+Parameter!$H$7))-(BE1639-BA1639))/BA1639)))</f>
        <v>0</v>
      </c>
      <c r="BG1639" s="48" t="str">
        <f aca="false">IF(AI1639&lt;=0,"",IF(CC1639="Aussen","Aussenlager",IF(CC1639="-","Nicht im Lift",IF(AN1639&gt;=1,"Lift",IF(AN1639&lt;=0,"Aussenlager","teilweise")))))</f>
        <v>Lift</v>
      </c>
      <c r="BH1639" s="48" t="str">
        <f aca="false">IF(AR1639&lt;=0,"",IF(CC1639="Aussen","Aussenlager",IF(CC1639="-","Nicht im Lift",IF(AW1639&gt;=1,"Lift",IF(AW1639&lt;=0,"Aussenlager","teilweise")))))</f>
        <v>Aussenlager</v>
      </c>
      <c r="BI1639" s="48" t="str">
        <f aca="false">IF(BA1639&lt;=0,"",IF(CC1639="Aussen","Aussenlager",IF(CC1639="-","Nicht im Lift",IF(BF1639&gt;=1,"Lift",IF(BF1639&lt;=0,"Aussenlager","teilweise")))))</f>
        <v>Aussenlager</v>
      </c>
      <c r="BJ1639" s="48" t="str">
        <f aca="false">IF(A1639="","",IF(BS1639=1,"Neu; ","")&amp;IF(AND(BS1639=0,BN1639&lt;0),"negativer Bestand (Export "&amp;BN1639&amp;"); ","")&amp;IF(J1639&lt;=0,"Kein Verbrauch; ","")&amp;IF(CL1639&gt;0,"Lift "&amp;W1639&amp;" lt. Liftbericht (Fach "&amp;X1639&amp;" Stk); ",IF(BX1639=1,"Gebinde geschätzt ("&amp;T1639&amp;"); ",IF(BW1639=1,"Lose – Tablare geschätzt; ","")))&amp;IF(H1639&gt;AT1639,"Überbestand "&amp;ROUND(H1639-AT1639,0)&amp;" Stk / CHF "&amp;ROUND((H1639-AT1639)*G1639,0)&amp;"; ","")&amp;IF(AND(CE1639=1,CF1639&lt;CG1639),"MAX &lt; MB+LG; ","")&amp;IF(AND(CK1639&gt;0,CJ1639*10&gt;CK1639),"zu hoch für Tablar; ","")&amp;IF(AND(BS1639=0,OR(CE1639=1,AA1639&lt;&gt;"",U1639&lt;&gt;"",V1639&lt;&gt;"",AB1639&lt;&gt;"")),"manuell übersteuert; ","")&amp;IF(AND(BW1639=0,R1639=0),"Gebinde unbekannt / Stellmass fehlt; ","")&amp;IF(AND(BW1639=0,N(V1639)&lt;=0,N(Q1639)&lt;=0),"Menge pro Gebinde fehlt (Ist = 1 Gebinde); ","")&amp;BR1639)</f>
        <v>Kein Verbrauch; Gebinde geschätzt (Klein); Menge pro Gebinde fehlt (Ist = 1 Gebinde); nur im Artikelstamm (Bestand 23.06.2026)</v>
      </c>
      <c r="BK1639" s="48"/>
      <c r="BL1639" s="48"/>
      <c r="BM1639" s="55"/>
      <c r="BN1639" s="50" t="n">
        <v>83</v>
      </c>
      <c r="BO1639" s="50" t="n">
        <v>0</v>
      </c>
      <c r="BP1639" s="49" t="n">
        <v>0</v>
      </c>
      <c r="BQ1639" s="50" t="n">
        <v>0</v>
      </c>
      <c r="BR1639" s="48" t="s">
        <v>2579</v>
      </c>
      <c r="BS1639" s="53" t="n">
        <v>0</v>
      </c>
      <c r="BT1639" s="53" t="n">
        <v>1639</v>
      </c>
      <c r="BU1639" s="48" t="str">
        <f aca="false">IF(U1639&lt;&gt;"",UPPER(TRIM(U1639)),IF(BX1639=1,UPPER(VLOOKUP(T1639,Parameter!$I$27:$K$29,2,0)),IF(P1639="","LOSE",P1639)))</f>
        <v>S51</v>
      </c>
      <c r="BV1639" s="50" t="n">
        <f aca="false">IF(BU1639="LOSE",1,IF(N(V1639)&gt;0,V1639,IF(BX1639=1,MAX(1,N(VLOOKUP(T1639,Parameter!$I$27:$K$29,3,0)),H1639,N(N1639)),IF(N(Q1639)&gt;0,Q1639,MAX(1,H1639)))))</f>
        <v>83</v>
      </c>
      <c r="BW1639" s="53" t="n">
        <f aca="false">IF(BU1639="LOSE",1,0)</f>
        <v>0</v>
      </c>
      <c r="BX1639" s="53" t="n">
        <f aca="false">IF(AND(U1639="",OR(P1639="",P1639="LOSE"),T1639&lt;&gt;"",N(S1639)&lt;=0,ISNUMBER(MATCH(T1639,Parameter!$I$27:$I$29,0))),1,0)</f>
        <v>1</v>
      </c>
      <c r="BY1639" s="53" t="n">
        <f aca="false">IF(CL1639&gt;0,INDEX(Parameter!$H$5:$H$7,W1639)/INDEX(Parameter!$E$5:$E$7,W1639),IF(AND(BW1639=0,N(IFERROR(VLOOKUP(BU1639,'Gebinde-Kategorie'!$A$5:$N$45,14,0),0))&gt;0),VLOOKUP(BU1639,'Gebinde-Kategorie'!$A$5:$N$45,14,0)*10+Parameter!$M$23,Parameter!$M$24))</f>
        <v>155</v>
      </c>
      <c r="BZ1639" s="48" t="str">
        <f aca="false">IF(AND(Parameter!$B$19="Ja",E1639&lt;&gt;"",ISNUMBER(MATCH(E1639,Parameter!$I$35:$I$52,0))),VLOOKUP(E1639,Parameter!$I$35:$J$52,2,0),IFERROR(VLOOKUP(D1639,Parameter!$A$35:$C$64,2,0),"Nein"))</f>
        <v>2+3</v>
      </c>
      <c r="CA1639" s="52" t="n">
        <f aca="false">IF(BW1639=0,0,IF(N(S1639)&gt;0,S1639,IFERROR(VLOOKUP(D1639,Parameter!$A$35:$C$64,3,0)+0,0)))</f>
        <v>0</v>
      </c>
      <c r="CB1639" s="48" t="n">
        <f aca="false">IF(AA1639&lt;&gt;"",AA1639,Z1639)</f>
        <v>3</v>
      </c>
      <c r="CC1639" s="48" t="str">
        <f aca="false">IF(OR(CB1639=1,CB1639=2,CB1639=3),IF(Parameter!$E$27="Ja","LIFT",IF(CB1639=1,"L1","L23")),IF(CB1639="Aussen","Aussen","-"))</f>
        <v>LIFT</v>
      </c>
      <c r="CD1639" s="59" t="n">
        <f aca="false">IF(N(AB1639)&gt;0,AB1639,0)</f>
        <v>0</v>
      </c>
      <c r="CE1639" s="53" t="n">
        <f aca="false">IF(ISNUMBER(AE1639),1,0)</f>
        <v>0</v>
      </c>
      <c r="CF1639" s="50" t="n">
        <f aca="false">N(AE1639)</f>
        <v>0</v>
      </c>
      <c r="CG1639" s="50" t="n">
        <f aca="false">N(M1639)+N(N1639)</f>
        <v>50</v>
      </c>
      <c r="CH1639" s="50" t="n">
        <f aca="false">ROUNDUP(H1639/BV1639,0)</f>
        <v>1</v>
      </c>
      <c r="CI1639" s="50" t="n">
        <f aca="false">ROUNDUP(CF1639/BV1639,0)</f>
        <v>0</v>
      </c>
      <c r="CJ1639" s="53" t="n">
        <f aca="false">IF(BW1639=1,0,IFERROR(VLOOKUP(BU1639,'Gebinde-Kategorie'!$A$5:$N$45,5,0)+0,0))</f>
        <v>11</v>
      </c>
      <c r="CK1639" s="53" t="n">
        <f aca="false">IFERROR(IF(OR(CB1639=1,CB1639=2,CB1639=3),N(INDEX(Parameter!$I$5:$I$7,CB1639)),0),0)</f>
        <v>0</v>
      </c>
      <c r="CL1639" s="52" t="n">
        <f aca="false">IF(AND(Parameter!$B$21="Ja",ISNUMBER(W1639),N(X1639)&gt;0),IFERROR(N(INDEX(Parameter!$L$5:$L$7,W1639))*INDEX(Parameter!$E$5:$E$7,W1639)*X1639/SUMIFS($X$7:$X$1843,$W$7:$W$1843,W1639),0),0)</f>
        <v>0</v>
      </c>
    </row>
    <row r="1640" customFormat="false" ht="15" hidden="false" customHeight="false" outlineLevel="0" collapsed="false">
      <c r="A1640" s="48" t="s">
        <v>2856</v>
      </c>
      <c r="B1640" s="48" t="s">
        <v>2857</v>
      </c>
      <c r="C1640" s="48" t="s">
        <v>171</v>
      </c>
      <c r="D1640" s="48" t="s">
        <v>177</v>
      </c>
      <c r="E1640" s="48" t="s">
        <v>170</v>
      </c>
      <c r="F1640" s="48"/>
      <c r="G1640" s="49" t="n">
        <v>165.63</v>
      </c>
      <c r="H1640" s="50" t="n">
        <f aca="false">MAX(0,IF(AND(Parameter!$B$21="Ja",ISNUMBER(Y1640)),Y1640,IF(Parameter!$B$20="Jahresanfang 2025 + Export",BO1640+BN1640,BN1640)))</f>
        <v>53</v>
      </c>
      <c r="I1640" s="50" t="n">
        <f aca="false">H1640*G1640</f>
        <v>8778.39</v>
      </c>
      <c r="J1640" s="50" t="n">
        <f aca="false">BQ1640*Parameter!$B$18</f>
        <v>0</v>
      </c>
      <c r="K1640" s="51"/>
      <c r="L1640" s="52"/>
      <c r="M1640" s="50" t="n">
        <v>0</v>
      </c>
      <c r="N1640" s="50" t="n">
        <v>25</v>
      </c>
      <c r="O1640" s="53" t="n">
        <v>105</v>
      </c>
      <c r="P1640" s="48" t="s">
        <v>172</v>
      </c>
      <c r="Q1640" s="50"/>
      <c r="R1640" s="53" t="n">
        <f aca="false">IF(BW1640=1,0,IFERROR(VLOOKUP(BU1640,'Gebinde-Kategorie'!$A$5:$N$45,13,0)+0,0))</f>
        <v>12</v>
      </c>
      <c r="S1640" s="54"/>
      <c r="T1640" s="55" t="s">
        <v>183</v>
      </c>
      <c r="U1640" s="55"/>
      <c r="V1640" s="55"/>
      <c r="W1640" s="48"/>
      <c r="X1640" s="50"/>
      <c r="Y1640" s="50"/>
      <c r="Z1640" s="48" t="n">
        <f aca="false">IF(A1640="","",IF(AND(Parameter!$B$21="Ja",ISNUMBER(W1640)),W1640,IF(BZ1640="2+3",IF(ISNUMBER(SEARCH("grosser Artikel",BR1640)),2,IFERROR(VLOOKUP(BU1640,Parameter!$F$35:$G$64,2,0),2)),IF(OR(BZ1640="Nein",BZ1640=""),"-",BZ1640))))</f>
        <v>1</v>
      </c>
      <c r="AA1640" s="55"/>
      <c r="AB1640" s="56"/>
      <c r="AC1640" s="50" t="n">
        <f aca="false">AT1640</f>
        <v>53</v>
      </c>
      <c r="AD1640" s="50" t="n">
        <f aca="false">MAX(AT1640,H1640)</f>
        <v>53</v>
      </c>
      <c r="AE1640" s="57"/>
      <c r="AF1640" s="50" t="n">
        <f aca="false">IF(LEFT(Cockpit!$C$5,1)="A",H1640,IF(CE1640=1,CF1640,IF(LEFT(Cockpit!$C$5,1)="B",AK1640,MAX(AK1640,H1640))))</f>
        <v>53</v>
      </c>
      <c r="AG1640" s="50" t="n">
        <f aca="false">IF(BW1640=1,0,ROUNDUP(AF1640/BV1640,0))</f>
        <v>1</v>
      </c>
      <c r="AH1640" s="52" t="n">
        <f aca="false">IF(CL1640&gt;0,CL1640*MAX(1,AF1640/X1640),IF(BW1640=1,IF(AF1640&lt;=0,0,CA1640*MAX(1,IF(H1640&gt;0,AF1640/H1640,1))),IF(R1640&gt;0,AG1640/R1640,0))/MAX(0.1,N(Parameter!$M$21)))</f>
        <v>0.0833333333333333</v>
      </c>
      <c r="AI1640" s="50" t="n">
        <f aca="false">AH1640*BY1640</f>
        <v>12.0833333333333</v>
      </c>
      <c r="AJ1640" s="50" t="n">
        <f aca="false">AF1640*G1640</f>
        <v>8778.39</v>
      </c>
      <c r="AK1640" s="50" t="n">
        <f aca="false">ROUNDUP(MAX(J1640/IF(CD1640&gt;0,CD1640,MAX(0.1,N(Cockpit!$C$6))),CG1640)/BV1640,0)*BV1640</f>
        <v>53</v>
      </c>
      <c r="AL1640" s="51" t="n">
        <f aca="false">IF(AI1640&gt;0,J1640/AI1640,-1)</f>
        <v>0</v>
      </c>
      <c r="AM1640" s="51" t="n">
        <f aca="false">IF(AND(OR(CC1640="L1",CC1640="L23",CC1640="LIFT"),AI1640&gt;0),SUMIFS($AI$7:$AI$1843,$CC$7:$CC$1843,CC1640,$AL$7:$AL$1843,"&gt;"&amp;AL1640)+SUMIFS($AI$7:$AI$1843,$CC$7:$CC$1843,CC1640,$AL$7:$AL$1843,AL1640,$BT$7:$BT$1843,"&lt;="&amp;BT1640),"")</f>
        <v>30993.3523338714</v>
      </c>
      <c r="AN1640" s="58" t="n">
        <f aca="false">IF(AM1640="",0,MAX(0,MIN(1,(IF(CC1640="L1",Parameter!$H$5,IF(CC1640="L23",Parameter!$H$6+Parameter!$H$7,Parameter!$H$5+Parameter!$H$6+Parameter!$H$7))-(AM1640-AI1640))/AI1640)))</f>
        <v>1</v>
      </c>
      <c r="AO1640" s="50" t="n">
        <f aca="false">IF(LEFT(Cockpit!$I$5,1)="A",H1640,IF(CE1640=1,CF1640,IF(LEFT(Cockpit!$I$5,1)="B",AT1640,MAX(AT1640,H1640))))</f>
        <v>53</v>
      </c>
      <c r="AP1640" s="50" t="n">
        <f aca="false">IF(BW1640=1,0,ROUNDUP(AO1640/BV1640,0))</f>
        <v>1</v>
      </c>
      <c r="AQ1640" s="52" t="n">
        <f aca="false">IF(CL1640&gt;0,CL1640*MAX(1,AO1640/X1640),IF(BW1640=1,IF(AO1640&lt;=0,0,CA1640*MAX(1,IF(H1640&gt;0,AO1640/H1640,1))),IF(R1640&gt;0,AP1640/R1640,0))/MAX(0.1,N(Parameter!$M$21)))</f>
        <v>0.0833333333333333</v>
      </c>
      <c r="AR1640" s="50" t="n">
        <f aca="false">AQ1640*BY1640</f>
        <v>12.0833333333333</v>
      </c>
      <c r="AS1640" s="50" t="n">
        <f aca="false">AO1640*G1640</f>
        <v>8778.39</v>
      </c>
      <c r="AT1640" s="50" t="n">
        <f aca="false">ROUNDUP(MAX(J1640/IF(CD1640&gt;0,CD1640,MAX(0.1,N(Cockpit!$I$6))),CG1640)/BV1640,0)*BV1640</f>
        <v>53</v>
      </c>
      <c r="AU1640" s="51" t="n">
        <f aca="false">IF(AR1640&gt;0,J1640/AR1640,-1)</f>
        <v>0</v>
      </c>
      <c r="AV1640" s="51" t="n">
        <f aca="false">IF(AND(OR(CC1640="L1",CC1640="L23",CC1640="LIFT"),AR1640&gt;0),SUMIFS($AR$7:$AR$1843,$CC$7:$CC$1843,CC1640,$AU$7:$AU$1843,"&gt;"&amp;AU1640)+SUMIFS($AR$7:$AR$1843,$CC$7:$CC$1843,CC1640,$AU$7:$AU$1843,AU1640,$BT$7:$BT$1843,"&lt;="&amp;BT1640),"")</f>
        <v>43355.2546460131</v>
      </c>
      <c r="AW1640" s="58" t="n">
        <f aca="false">IF(AV1640="",0,MAX(0,MIN(1,(IF(CC1640="L1",Parameter!$H$5,IF(CC1640="L23",Parameter!$H$6+Parameter!$H$7,Parameter!$H$5+Parameter!$H$6+Parameter!$H$7))-(AV1640-AR1640))/AR1640)))</f>
        <v>0</v>
      </c>
      <c r="AX1640" s="50" t="n">
        <f aca="false">IF(LEFT(Cockpit!$O$5,1)="A",H1640,IF(CE1640=1,CF1640,IF(LEFT(Cockpit!$O$5,1)="B",BC1640,MAX(BC1640,H1640))))</f>
        <v>53</v>
      </c>
      <c r="AY1640" s="50" t="n">
        <f aca="false">IF(BW1640=1,0,ROUNDUP(AX1640/BV1640,0))</f>
        <v>1</v>
      </c>
      <c r="AZ1640" s="52" t="n">
        <f aca="false">IF(CL1640&gt;0,CL1640*MAX(1,AX1640/X1640),IF(BW1640=1,IF(AX1640&lt;=0,0,CA1640*MAX(1,IF(H1640&gt;0,AX1640/H1640,1))),IF(R1640&gt;0,AY1640/R1640,0))/MAX(0.1,N(Parameter!$M$21)))</f>
        <v>0.0833333333333333</v>
      </c>
      <c r="BA1640" s="50" t="n">
        <f aca="false">AZ1640*BY1640</f>
        <v>12.0833333333333</v>
      </c>
      <c r="BB1640" s="50" t="n">
        <f aca="false">AX1640*G1640</f>
        <v>8778.39</v>
      </c>
      <c r="BC1640" s="50" t="n">
        <f aca="false">ROUNDUP(MAX(J1640/IF(CD1640&gt;0,CD1640,MAX(0.1,N(Cockpit!$O$6))),CG1640)/BV1640,0)*BV1640</f>
        <v>53</v>
      </c>
      <c r="BD1640" s="51" t="n">
        <f aca="false">IF(BA1640&gt;0,J1640/BA1640,-1)</f>
        <v>0</v>
      </c>
      <c r="BE1640" s="51" t="n">
        <f aca="false">IF(AND(OR(CC1640="L1",CC1640="L23",CC1640="LIFT"),BA1640&gt;0),SUMIFS($BA$7:$BA$1843,$CC$7:$CC$1843,CC1640,$BD$7:$BD$1843,"&gt;"&amp;BD1640)+SUMIFS($BA$7:$BA$1843,$CC$7:$CC$1843,CC1640,$BD$7:$BD$1843,BD1640,$BT$7:$BT$1843,"&lt;="&amp;BT1640),"")</f>
        <v>40030.266687879</v>
      </c>
      <c r="BF1640" s="58" t="n">
        <f aca="false">IF(BE1640="",0,MAX(0,MIN(1,(IF(CC1640="L1",Parameter!$H$5,IF(CC1640="L23",Parameter!$H$6+Parameter!$H$7,Parameter!$H$5+Parameter!$H$6+Parameter!$H$7))-(BE1640-BA1640))/BA1640)))</f>
        <v>0</v>
      </c>
      <c r="BG1640" s="48" t="str">
        <f aca="false">IF(AI1640&lt;=0,"",IF(CC1640="Aussen","Aussenlager",IF(CC1640="-","Nicht im Lift",IF(AN1640&gt;=1,"Lift",IF(AN1640&lt;=0,"Aussenlager","teilweise")))))</f>
        <v>Lift</v>
      </c>
      <c r="BH1640" s="48" t="str">
        <f aca="false">IF(AR1640&lt;=0,"",IF(CC1640="Aussen","Aussenlager",IF(CC1640="-","Nicht im Lift",IF(AW1640&gt;=1,"Lift",IF(AW1640&lt;=0,"Aussenlager","teilweise")))))</f>
        <v>Aussenlager</v>
      </c>
      <c r="BI1640" s="48" t="str">
        <f aca="false">IF(BA1640&lt;=0,"",IF(CC1640="Aussen","Aussenlager",IF(CC1640="-","Nicht im Lift",IF(BF1640&gt;=1,"Lift",IF(BF1640&lt;=0,"Aussenlager","teilweise")))))</f>
        <v>Aussenlager</v>
      </c>
      <c r="BJ1640" s="48" t="str">
        <f aca="false">IF(A1640="","",IF(BS1640=1,"Neu; ","")&amp;IF(AND(BS1640=0,BN1640&lt;0),"negativer Bestand (Export "&amp;BN1640&amp;"); ","")&amp;IF(J1640&lt;=0,"Kein Verbrauch; ","")&amp;IF(CL1640&gt;0,"Lift "&amp;W1640&amp;" lt. Liftbericht (Fach "&amp;X1640&amp;" Stk); ",IF(BX1640=1,"Gebinde geschätzt ("&amp;T1640&amp;"); ",IF(BW1640=1,"Lose – Tablare geschätzt; ","")))&amp;IF(H1640&gt;AT1640,"Überbestand "&amp;ROUND(H1640-AT1640,0)&amp;" Stk / CHF "&amp;ROUND((H1640-AT1640)*G1640,0)&amp;"; ","")&amp;IF(AND(CE1640=1,CF1640&lt;CG1640),"MAX &lt; MB+LG; ","")&amp;IF(AND(CK1640&gt;0,CJ1640*10&gt;CK1640),"zu hoch für Tablar; ","")&amp;IF(AND(BS1640=0,OR(CE1640=1,AA1640&lt;&gt;"",U1640&lt;&gt;"",V1640&lt;&gt;"",AB1640&lt;&gt;"")),"manuell übersteuert; ","")&amp;IF(AND(BW1640=0,R1640=0),"Gebinde unbekannt / Stellmass fehlt; ","")&amp;IF(AND(BW1640=0,N(V1640)&lt;=0,N(Q1640)&lt;=0),"Menge pro Gebinde fehlt (Ist = 1 Gebinde); ","")&amp;BR1640)</f>
        <v>Kein Verbrauch; Gebinde geschätzt (Mittel); Menge pro Gebinde fehlt (Ist = 1 Gebinde); nur im Artikelstamm (Bestand 23.06.2026)</v>
      </c>
      <c r="BK1640" s="48"/>
      <c r="BL1640" s="48"/>
      <c r="BM1640" s="55"/>
      <c r="BN1640" s="50" t="n">
        <v>53</v>
      </c>
      <c r="BO1640" s="50" t="n">
        <v>0</v>
      </c>
      <c r="BP1640" s="49" t="n">
        <v>0</v>
      </c>
      <c r="BQ1640" s="50" t="n">
        <v>0</v>
      </c>
      <c r="BR1640" s="48" t="s">
        <v>2579</v>
      </c>
      <c r="BS1640" s="53" t="n">
        <v>0</v>
      </c>
      <c r="BT1640" s="53" t="n">
        <v>1640</v>
      </c>
      <c r="BU1640" s="48" t="str">
        <f aca="false">IF(U1640&lt;&gt;"",UPPER(TRIM(U1640)),IF(BX1640=1,UPPER(VLOOKUP(T1640,Parameter!$I$27:$K$29,2,0)),IF(P1640="","LOSE",P1640)))</f>
        <v>S61</v>
      </c>
      <c r="BV1640" s="50" t="n">
        <f aca="false">IF(BU1640="LOSE",1,IF(N(V1640)&gt;0,V1640,IF(BX1640=1,MAX(1,N(VLOOKUP(T1640,Parameter!$I$27:$K$29,3,0)),H1640,N(N1640)),IF(N(Q1640)&gt;0,Q1640,MAX(1,H1640)))))</f>
        <v>53</v>
      </c>
      <c r="BW1640" s="53" t="n">
        <f aca="false">IF(BU1640="LOSE",1,0)</f>
        <v>0</v>
      </c>
      <c r="BX1640" s="53" t="n">
        <f aca="false">IF(AND(U1640="",OR(P1640="",P1640="LOSE"),T1640&lt;&gt;"",N(S1640)&lt;=0,ISNUMBER(MATCH(T1640,Parameter!$I$27:$I$29,0))),1,0)</f>
        <v>1</v>
      </c>
      <c r="BY1640" s="53" t="n">
        <f aca="false">IF(CL1640&gt;0,INDEX(Parameter!$H$5:$H$7,W1640)/INDEX(Parameter!$E$5:$E$7,W1640),IF(AND(BW1640=0,N(IFERROR(VLOOKUP(BU1640,'Gebinde-Kategorie'!$A$5:$N$45,14,0),0))&gt;0),VLOOKUP(BU1640,'Gebinde-Kategorie'!$A$5:$N$45,14,0)*10+Parameter!$M$23,Parameter!$M$24))</f>
        <v>145</v>
      </c>
      <c r="BZ1640" s="48" t="n">
        <f aca="false">IF(AND(Parameter!$B$19="Ja",E1640&lt;&gt;"",ISNUMBER(MATCH(E1640,Parameter!$I$35:$I$52,0))),VLOOKUP(E1640,Parameter!$I$35:$J$52,2,0),IFERROR(VLOOKUP(D1640,Parameter!$A$35:$C$64,2,0),"Nein"))</f>
        <v>1</v>
      </c>
      <c r="CA1640" s="52" t="n">
        <f aca="false">IF(BW1640=0,0,IF(N(S1640)&gt;0,S1640,IFERROR(VLOOKUP(D1640,Parameter!$A$35:$C$64,3,0)+0,0)))</f>
        <v>0</v>
      </c>
      <c r="CB1640" s="48" t="n">
        <f aca="false">IF(AA1640&lt;&gt;"",AA1640,Z1640)</f>
        <v>1</v>
      </c>
      <c r="CC1640" s="48" t="str">
        <f aca="false">IF(OR(CB1640=1,CB1640=2,CB1640=3),IF(Parameter!$E$27="Ja","LIFT",IF(CB1640=1,"L1","L23")),IF(CB1640="Aussen","Aussen","-"))</f>
        <v>LIFT</v>
      </c>
      <c r="CD1640" s="59" t="n">
        <f aca="false">IF(N(AB1640)&gt;0,AB1640,0)</f>
        <v>0</v>
      </c>
      <c r="CE1640" s="53" t="n">
        <f aca="false">IF(ISNUMBER(AE1640),1,0)</f>
        <v>0</v>
      </c>
      <c r="CF1640" s="50" t="n">
        <f aca="false">N(AE1640)</f>
        <v>0</v>
      </c>
      <c r="CG1640" s="50" t="n">
        <f aca="false">N(M1640)+N(N1640)</f>
        <v>25</v>
      </c>
      <c r="CH1640" s="50" t="n">
        <f aca="false">ROUNDUP(H1640/BV1640,0)</f>
        <v>1</v>
      </c>
      <c r="CI1640" s="50" t="n">
        <f aca="false">ROUNDUP(CF1640/BV1640,0)</f>
        <v>0</v>
      </c>
      <c r="CJ1640" s="53" t="n">
        <f aca="false">IF(BW1640=1,0,IFERROR(VLOOKUP(BU1640,'Gebinde-Kategorie'!$A$5:$N$45,5,0)+0,0))</f>
        <v>11</v>
      </c>
      <c r="CK1640" s="53" t="n">
        <f aca="false">IFERROR(IF(OR(CB1640=1,CB1640=2,CB1640=3),N(INDEX(Parameter!$I$5:$I$7,CB1640)),0),0)</f>
        <v>0</v>
      </c>
      <c r="CL1640" s="52" t="n">
        <f aca="false">IF(AND(Parameter!$B$21="Ja",ISNUMBER(W1640),N(X1640)&gt;0),IFERROR(N(INDEX(Parameter!$L$5:$L$7,W1640))*INDEX(Parameter!$E$5:$E$7,W1640)*X1640/SUMIFS($X$7:$X$1843,$W$7:$W$1843,W1640),0),0)</f>
        <v>0</v>
      </c>
    </row>
    <row r="1641" customFormat="false" ht="15" hidden="false" customHeight="false" outlineLevel="0" collapsed="false">
      <c r="A1641" s="48" t="s">
        <v>2858</v>
      </c>
      <c r="B1641" s="48" t="s">
        <v>2859</v>
      </c>
      <c r="C1641" s="48" t="s">
        <v>171</v>
      </c>
      <c r="D1641" s="48" t="s">
        <v>177</v>
      </c>
      <c r="E1641" s="48" t="s">
        <v>170</v>
      </c>
      <c r="F1641" s="48"/>
      <c r="G1641" s="49" t="n">
        <v>242.48</v>
      </c>
      <c r="H1641" s="50" t="n">
        <f aca="false">MAX(0,IF(AND(Parameter!$B$21="Ja",ISNUMBER(Y1641)),Y1641,IF(Parameter!$B$20="Jahresanfang 2025 + Export",BO1641+BN1641,BN1641)))</f>
        <v>48</v>
      </c>
      <c r="I1641" s="50" t="n">
        <f aca="false">H1641*G1641</f>
        <v>11639.04</v>
      </c>
      <c r="J1641" s="50" t="n">
        <f aca="false">BQ1641*Parameter!$B$18</f>
        <v>0</v>
      </c>
      <c r="K1641" s="51"/>
      <c r="L1641" s="52"/>
      <c r="M1641" s="50" t="n">
        <v>0</v>
      </c>
      <c r="N1641" s="50" t="n">
        <v>15</v>
      </c>
      <c r="O1641" s="53" t="n">
        <v>105</v>
      </c>
      <c r="P1641" s="48" t="s">
        <v>172</v>
      </c>
      <c r="Q1641" s="50"/>
      <c r="R1641" s="53" t="n">
        <f aca="false">IF(BW1641=1,0,IFERROR(VLOOKUP(BU1641,'Gebinde-Kategorie'!$A$5:$N$45,13,0)+0,0))</f>
        <v>12</v>
      </c>
      <c r="S1641" s="54"/>
      <c r="T1641" s="55" t="s">
        <v>183</v>
      </c>
      <c r="U1641" s="55"/>
      <c r="V1641" s="55"/>
      <c r="W1641" s="48"/>
      <c r="X1641" s="50"/>
      <c r="Y1641" s="50"/>
      <c r="Z1641" s="48" t="n">
        <f aca="false">IF(A1641="","",IF(AND(Parameter!$B$21="Ja",ISNUMBER(W1641)),W1641,IF(BZ1641="2+3",IF(ISNUMBER(SEARCH("grosser Artikel",BR1641)),2,IFERROR(VLOOKUP(BU1641,Parameter!$F$35:$G$64,2,0),2)),IF(OR(BZ1641="Nein",BZ1641=""),"-",BZ1641))))</f>
        <v>1</v>
      </c>
      <c r="AA1641" s="55"/>
      <c r="AB1641" s="56"/>
      <c r="AC1641" s="50" t="n">
        <f aca="false">AT1641</f>
        <v>48</v>
      </c>
      <c r="AD1641" s="50" t="n">
        <f aca="false">MAX(AT1641,H1641)</f>
        <v>48</v>
      </c>
      <c r="AE1641" s="57"/>
      <c r="AF1641" s="50" t="n">
        <f aca="false">IF(LEFT(Cockpit!$C$5,1)="A",H1641,IF(CE1641=1,CF1641,IF(LEFT(Cockpit!$C$5,1)="B",AK1641,MAX(AK1641,H1641))))</f>
        <v>48</v>
      </c>
      <c r="AG1641" s="50" t="n">
        <f aca="false">IF(BW1641=1,0,ROUNDUP(AF1641/BV1641,0))</f>
        <v>1</v>
      </c>
      <c r="AH1641" s="52" t="n">
        <f aca="false">IF(CL1641&gt;0,CL1641*MAX(1,AF1641/X1641),IF(BW1641=1,IF(AF1641&lt;=0,0,CA1641*MAX(1,IF(H1641&gt;0,AF1641/H1641,1))),IF(R1641&gt;0,AG1641/R1641,0))/MAX(0.1,N(Parameter!$M$21)))</f>
        <v>0.0833333333333333</v>
      </c>
      <c r="AI1641" s="50" t="n">
        <f aca="false">AH1641*BY1641</f>
        <v>12.0833333333333</v>
      </c>
      <c r="AJ1641" s="50" t="n">
        <f aca="false">AF1641*G1641</f>
        <v>11639.04</v>
      </c>
      <c r="AK1641" s="50" t="n">
        <f aca="false">ROUNDUP(MAX(J1641/IF(CD1641&gt;0,CD1641,MAX(0.1,N(Cockpit!$C$6))),CG1641)/BV1641,0)*BV1641</f>
        <v>48</v>
      </c>
      <c r="AL1641" s="51" t="n">
        <f aca="false">IF(AI1641&gt;0,J1641/AI1641,-1)</f>
        <v>0</v>
      </c>
      <c r="AM1641" s="51" t="n">
        <f aca="false">IF(AND(OR(CC1641="L1",CC1641="L23",CC1641="LIFT"),AI1641&gt;0),SUMIFS($AI$7:$AI$1843,$CC$7:$CC$1843,CC1641,$AL$7:$AL$1843,"&gt;"&amp;AL1641)+SUMIFS($AI$7:$AI$1843,$CC$7:$CC$1843,CC1641,$AL$7:$AL$1843,AL1641,$BT$7:$BT$1843,"&lt;="&amp;BT1641),"")</f>
        <v>31005.4356672047</v>
      </c>
      <c r="AN1641" s="58" t="n">
        <f aca="false">IF(AM1641="",0,MAX(0,MIN(1,(IF(CC1641="L1",Parameter!$H$5,IF(CC1641="L23",Parameter!$H$6+Parameter!$H$7,Parameter!$H$5+Parameter!$H$6+Parameter!$H$7))-(AM1641-AI1641))/AI1641)))</f>
        <v>1</v>
      </c>
      <c r="AO1641" s="50" t="n">
        <f aca="false">IF(LEFT(Cockpit!$I$5,1)="A",H1641,IF(CE1641=1,CF1641,IF(LEFT(Cockpit!$I$5,1)="B",AT1641,MAX(AT1641,H1641))))</f>
        <v>48</v>
      </c>
      <c r="AP1641" s="50" t="n">
        <f aca="false">IF(BW1641=1,0,ROUNDUP(AO1641/BV1641,0))</f>
        <v>1</v>
      </c>
      <c r="AQ1641" s="52" t="n">
        <f aca="false">IF(CL1641&gt;0,CL1641*MAX(1,AO1641/X1641),IF(BW1641=1,IF(AO1641&lt;=0,0,CA1641*MAX(1,IF(H1641&gt;0,AO1641/H1641,1))),IF(R1641&gt;0,AP1641/R1641,0))/MAX(0.1,N(Parameter!$M$21)))</f>
        <v>0.0833333333333333</v>
      </c>
      <c r="AR1641" s="50" t="n">
        <f aca="false">AQ1641*BY1641</f>
        <v>12.0833333333333</v>
      </c>
      <c r="AS1641" s="50" t="n">
        <f aca="false">AO1641*G1641</f>
        <v>11639.04</v>
      </c>
      <c r="AT1641" s="50" t="n">
        <f aca="false">ROUNDUP(MAX(J1641/IF(CD1641&gt;0,CD1641,MAX(0.1,N(Cockpit!$I$6))),CG1641)/BV1641,0)*BV1641</f>
        <v>48</v>
      </c>
      <c r="AU1641" s="51" t="n">
        <f aca="false">IF(AR1641&gt;0,J1641/AR1641,-1)</f>
        <v>0</v>
      </c>
      <c r="AV1641" s="51" t="n">
        <f aca="false">IF(AND(OR(CC1641="L1",CC1641="L23",CC1641="LIFT"),AR1641&gt;0),SUMIFS($AR$7:$AR$1843,$CC$7:$CC$1843,CC1641,$AU$7:$AU$1843,"&gt;"&amp;AU1641)+SUMIFS($AR$7:$AR$1843,$CC$7:$CC$1843,CC1641,$AU$7:$AU$1843,AU1641,$BT$7:$BT$1843,"&lt;="&amp;BT1641),"")</f>
        <v>43367.3379793465</v>
      </c>
      <c r="AW1641" s="58" t="n">
        <f aca="false">IF(AV1641="",0,MAX(0,MIN(1,(IF(CC1641="L1",Parameter!$H$5,IF(CC1641="L23",Parameter!$H$6+Parameter!$H$7,Parameter!$H$5+Parameter!$H$6+Parameter!$H$7))-(AV1641-AR1641))/AR1641)))</f>
        <v>0</v>
      </c>
      <c r="AX1641" s="50" t="n">
        <f aca="false">IF(LEFT(Cockpit!$O$5,1)="A",H1641,IF(CE1641=1,CF1641,IF(LEFT(Cockpit!$O$5,1)="B",BC1641,MAX(BC1641,H1641))))</f>
        <v>48</v>
      </c>
      <c r="AY1641" s="50" t="n">
        <f aca="false">IF(BW1641=1,0,ROUNDUP(AX1641/BV1641,0))</f>
        <v>1</v>
      </c>
      <c r="AZ1641" s="52" t="n">
        <f aca="false">IF(CL1641&gt;0,CL1641*MAX(1,AX1641/X1641),IF(BW1641=1,IF(AX1641&lt;=0,0,CA1641*MAX(1,IF(H1641&gt;0,AX1641/H1641,1))),IF(R1641&gt;0,AY1641/R1641,0))/MAX(0.1,N(Parameter!$M$21)))</f>
        <v>0.0833333333333333</v>
      </c>
      <c r="BA1641" s="50" t="n">
        <f aca="false">AZ1641*BY1641</f>
        <v>12.0833333333333</v>
      </c>
      <c r="BB1641" s="50" t="n">
        <f aca="false">AX1641*G1641</f>
        <v>11639.04</v>
      </c>
      <c r="BC1641" s="50" t="n">
        <f aca="false">ROUNDUP(MAX(J1641/IF(CD1641&gt;0,CD1641,MAX(0.1,N(Cockpit!$O$6))),CG1641)/BV1641,0)*BV1641</f>
        <v>48</v>
      </c>
      <c r="BD1641" s="51" t="n">
        <f aca="false">IF(BA1641&gt;0,J1641/BA1641,-1)</f>
        <v>0</v>
      </c>
      <c r="BE1641" s="51" t="n">
        <f aca="false">IF(AND(OR(CC1641="L1",CC1641="L23",CC1641="LIFT"),BA1641&gt;0),SUMIFS($BA$7:$BA$1843,$CC$7:$CC$1843,CC1641,$BD$7:$BD$1843,"&gt;"&amp;BD1641)+SUMIFS($BA$7:$BA$1843,$CC$7:$CC$1843,CC1641,$BD$7:$BD$1843,BD1641,$BT$7:$BT$1843,"&lt;="&amp;BT1641),"")</f>
        <v>40042.3500212123</v>
      </c>
      <c r="BF1641" s="58" t="n">
        <f aca="false">IF(BE1641="",0,MAX(0,MIN(1,(IF(CC1641="L1",Parameter!$H$5,IF(CC1641="L23",Parameter!$H$6+Parameter!$H$7,Parameter!$H$5+Parameter!$H$6+Parameter!$H$7))-(BE1641-BA1641))/BA1641)))</f>
        <v>0</v>
      </c>
      <c r="BG1641" s="48" t="str">
        <f aca="false">IF(AI1641&lt;=0,"",IF(CC1641="Aussen","Aussenlager",IF(CC1641="-","Nicht im Lift",IF(AN1641&gt;=1,"Lift",IF(AN1641&lt;=0,"Aussenlager","teilweise")))))</f>
        <v>Lift</v>
      </c>
      <c r="BH1641" s="48" t="str">
        <f aca="false">IF(AR1641&lt;=0,"",IF(CC1641="Aussen","Aussenlager",IF(CC1641="-","Nicht im Lift",IF(AW1641&gt;=1,"Lift",IF(AW1641&lt;=0,"Aussenlager","teilweise")))))</f>
        <v>Aussenlager</v>
      </c>
      <c r="BI1641" s="48" t="str">
        <f aca="false">IF(BA1641&lt;=0,"",IF(CC1641="Aussen","Aussenlager",IF(CC1641="-","Nicht im Lift",IF(BF1641&gt;=1,"Lift",IF(BF1641&lt;=0,"Aussenlager","teilweise")))))</f>
        <v>Aussenlager</v>
      </c>
      <c r="BJ1641" s="48" t="str">
        <f aca="false">IF(A1641="","",IF(BS1641=1,"Neu; ","")&amp;IF(AND(BS1641=0,BN1641&lt;0),"negativer Bestand (Export "&amp;BN1641&amp;"); ","")&amp;IF(J1641&lt;=0,"Kein Verbrauch; ","")&amp;IF(CL1641&gt;0,"Lift "&amp;W1641&amp;" lt. Liftbericht (Fach "&amp;X1641&amp;" Stk); ",IF(BX1641=1,"Gebinde geschätzt ("&amp;T1641&amp;"); ",IF(BW1641=1,"Lose – Tablare geschätzt; ","")))&amp;IF(H1641&gt;AT1641,"Überbestand "&amp;ROUND(H1641-AT1641,0)&amp;" Stk / CHF "&amp;ROUND((H1641-AT1641)*G1641,0)&amp;"; ","")&amp;IF(AND(CE1641=1,CF1641&lt;CG1641),"MAX &lt; MB+LG; ","")&amp;IF(AND(CK1641&gt;0,CJ1641*10&gt;CK1641),"zu hoch für Tablar; ","")&amp;IF(AND(BS1641=0,OR(CE1641=1,AA1641&lt;&gt;"",U1641&lt;&gt;"",V1641&lt;&gt;"",AB1641&lt;&gt;"")),"manuell übersteuert; ","")&amp;IF(AND(BW1641=0,R1641=0),"Gebinde unbekannt / Stellmass fehlt; ","")&amp;IF(AND(BW1641=0,N(V1641)&lt;=0,N(Q1641)&lt;=0),"Menge pro Gebinde fehlt (Ist = 1 Gebinde); ","")&amp;BR1641)</f>
        <v>Kein Verbrauch; Gebinde geschätzt (Mittel); Menge pro Gebinde fehlt (Ist = 1 Gebinde); nur im Artikelstamm (Bestand 23.06.2026)</v>
      </c>
      <c r="BK1641" s="48"/>
      <c r="BL1641" s="48"/>
      <c r="BM1641" s="55"/>
      <c r="BN1641" s="50" t="n">
        <v>48</v>
      </c>
      <c r="BO1641" s="50" t="n">
        <v>0</v>
      </c>
      <c r="BP1641" s="49" t="n">
        <v>0</v>
      </c>
      <c r="BQ1641" s="50" t="n">
        <v>0</v>
      </c>
      <c r="BR1641" s="48" t="s">
        <v>2579</v>
      </c>
      <c r="BS1641" s="53" t="n">
        <v>0</v>
      </c>
      <c r="BT1641" s="53" t="n">
        <v>1641</v>
      </c>
      <c r="BU1641" s="48" t="str">
        <f aca="false">IF(U1641&lt;&gt;"",UPPER(TRIM(U1641)),IF(BX1641=1,UPPER(VLOOKUP(T1641,Parameter!$I$27:$K$29,2,0)),IF(P1641="","LOSE",P1641)))</f>
        <v>S61</v>
      </c>
      <c r="BV1641" s="50" t="n">
        <f aca="false">IF(BU1641="LOSE",1,IF(N(V1641)&gt;0,V1641,IF(BX1641=1,MAX(1,N(VLOOKUP(T1641,Parameter!$I$27:$K$29,3,0)),H1641,N(N1641)),IF(N(Q1641)&gt;0,Q1641,MAX(1,H1641)))))</f>
        <v>48</v>
      </c>
      <c r="BW1641" s="53" t="n">
        <f aca="false">IF(BU1641="LOSE",1,0)</f>
        <v>0</v>
      </c>
      <c r="BX1641" s="53" t="n">
        <f aca="false">IF(AND(U1641="",OR(P1641="",P1641="LOSE"),T1641&lt;&gt;"",N(S1641)&lt;=0,ISNUMBER(MATCH(T1641,Parameter!$I$27:$I$29,0))),1,0)</f>
        <v>1</v>
      </c>
      <c r="BY1641" s="53" t="n">
        <f aca="false">IF(CL1641&gt;0,INDEX(Parameter!$H$5:$H$7,W1641)/INDEX(Parameter!$E$5:$E$7,W1641),IF(AND(BW1641=0,N(IFERROR(VLOOKUP(BU1641,'Gebinde-Kategorie'!$A$5:$N$45,14,0),0))&gt;0),VLOOKUP(BU1641,'Gebinde-Kategorie'!$A$5:$N$45,14,0)*10+Parameter!$M$23,Parameter!$M$24))</f>
        <v>145</v>
      </c>
      <c r="BZ1641" s="48" t="n">
        <f aca="false">IF(AND(Parameter!$B$19="Ja",E1641&lt;&gt;"",ISNUMBER(MATCH(E1641,Parameter!$I$35:$I$52,0))),VLOOKUP(E1641,Parameter!$I$35:$J$52,2,0),IFERROR(VLOOKUP(D1641,Parameter!$A$35:$C$64,2,0),"Nein"))</f>
        <v>1</v>
      </c>
      <c r="CA1641" s="52" t="n">
        <f aca="false">IF(BW1641=0,0,IF(N(S1641)&gt;0,S1641,IFERROR(VLOOKUP(D1641,Parameter!$A$35:$C$64,3,0)+0,0)))</f>
        <v>0</v>
      </c>
      <c r="CB1641" s="48" t="n">
        <f aca="false">IF(AA1641&lt;&gt;"",AA1641,Z1641)</f>
        <v>1</v>
      </c>
      <c r="CC1641" s="48" t="str">
        <f aca="false">IF(OR(CB1641=1,CB1641=2,CB1641=3),IF(Parameter!$E$27="Ja","LIFT",IF(CB1641=1,"L1","L23")),IF(CB1641="Aussen","Aussen","-"))</f>
        <v>LIFT</v>
      </c>
      <c r="CD1641" s="59" t="n">
        <f aca="false">IF(N(AB1641)&gt;0,AB1641,0)</f>
        <v>0</v>
      </c>
      <c r="CE1641" s="53" t="n">
        <f aca="false">IF(ISNUMBER(AE1641),1,0)</f>
        <v>0</v>
      </c>
      <c r="CF1641" s="50" t="n">
        <f aca="false">N(AE1641)</f>
        <v>0</v>
      </c>
      <c r="CG1641" s="50" t="n">
        <f aca="false">N(M1641)+N(N1641)</f>
        <v>15</v>
      </c>
      <c r="CH1641" s="50" t="n">
        <f aca="false">ROUNDUP(H1641/BV1641,0)</f>
        <v>1</v>
      </c>
      <c r="CI1641" s="50" t="n">
        <f aca="false">ROUNDUP(CF1641/BV1641,0)</f>
        <v>0</v>
      </c>
      <c r="CJ1641" s="53" t="n">
        <f aca="false">IF(BW1641=1,0,IFERROR(VLOOKUP(BU1641,'Gebinde-Kategorie'!$A$5:$N$45,5,0)+0,0))</f>
        <v>11</v>
      </c>
      <c r="CK1641" s="53" t="n">
        <f aca="false">IFERROR(IF(OR(CB1641=1,CB1641=2,CB1641=3),N(INDEX(Parameter!$I$5:$I$7,CB1641)),0),0)</f>
        <v>0</v>
      </c>
      <c r="CL1641" s="52" t="n">
        <f aca="false">IF(AND(Parameter!$B$21="Ja",ISNUMBER(W1641),N(X1641)&gt;0),IFERROR(N(INDEX(Parameter!$L$5:$L$7,W1641))*INDEX(Parameter!$E$5:$E$7,W1641)*X1641/SUMIFS($X$7:$X$1843,$W$7:$W$1843,W1641),0),0)</f>
        <v>0</v>
      </c>
    </row>
    <row r="1642" customFormat="false" ht="15" hidden="false" customHeight="false" outlineLevel="0" collapsed="false">
      <c r="A1642" s="48" t="s">
        <v>2860</v>
      </c>
      <c r="B1642" s="48" t="s">
        <v>2861</v>
      </c>
      <c r="C1642" s="48" t="s">
        <v>168</v>
      </c>
      <c r="D1642" s="48" t="s">
        <v>177</v>
      </c>
      <c r="E1642" s="48"/>
      <c r="F1642" s="48"/>
      <c r="G1642" s="49" t="n">
        <v>11054.86</v>
      </c>
      <c r="H1642" s="50" t="n">
        <f aca="false">MAX(0,IF(AND(Parameter!$B$21="Ja",ISNUMBER(Y1642)),Y1642,IF(Parameter!$B$20="Jahresanfang 2025 + Export",BO1642+BN1642,BN1642)))</f>
        <v>1</v>
      </c>
      <c r="I1642" s="50" t="n">
        <f aca="false">H1642*G1642</f>
        <v>11054.86</v>
      </c>
      <c r="J1642" s="50" t="n">
        <f aca="false">BQ1642*Parameter!$B$18</f>
        <v>0</v>
      </c>
      <c r="K1642" s="51"/>
      <c r="L1642" s="52"/>
      <c r="M1642" s="50" t="n">
        <v>0</v>
      </c>
      <c r="N1642" s="50" t="n">
        <v>1</v>
      </c>
      <c r="O1642" s="53" t="n">
        <v>0</v>
      </c>
      <c r="P1642" s="48" t="s">
        <v>172</v>
      </c>
      <c r="Q1642" s="50"/>
      <c r="R1642" s="53" t="n">
        <f aca="false">IF(BW1642=1,0,IFERROR(VLOOKUP(BU1642,'Gebinde-Kategorie'!$A$5:$N$45,13,0)+0,0))</f>
        <v>12</v>
      </c>
      <c r="S1642" s="54"/>
      <c r="T1642" s="55" t="s">
        <v>183</v>
      </c>
      <c r="U1642" s="55"/>
      <c r="V1642" s="55"/>
      <c r="W1642" s="48"/>
      <c r="X1642" s="50"/>
      <c r="Y1642" s="50"/>
      <c r="Z1642" s="48" t="n">
        <f aca="false">IF(A1642="","",IF(AND(Parameter!$B$21="Ja",ISNUMBER(W1642)),W1642,IF(BZ1642="2+3",IF(ISNUMBER(SEARCH("grosser Artikel",BR1642)),2,IFERROR(VLOOKUP(BU1642,Parameter!$F$35:$G$64,2,0),2)),IF(OR(BZ1642="Nein",BZ1642=""),"-",BZ1642))))</f>
        <v>2</v>
      </c>
      <c r="AA1642" s="55"/>
      <c r="AB1642" s="56"/>
      <c r="AC1642" s="50" t="n">
        <f aca="false">AT1642</f>
        <v>4</v>
      </c>
      <c r="AD1642" s="50" t="n">
        <f aca="false">MAX(AT1642,H1642)</f>
        <v>4</v>
      </c>
      <c r="AE1642" s="57"/>
      <c r="AF1642" s="50" t="n">
        <f aca="false">IF(LEFT(Cockpit!$C$5,1)="A",H1642,IF(CE1642=1,CF1642,IF(LEFT(Cockpit!$C$5,1)="B",AK1642,MAX(AK1642,H1642))))</f>
        <v>1</v>
      </c>
      <c r="AG1642" s="50" t="n">
        <f aca="false">IF(BW1642=1,0,ROUNDUP(AF1642/BV1642,0))</f>
        <v>1</v>
      </c>
      <c r="AH1642" s="52" t="n">
        <f aca="false">IF(CL1642&gt;0,CL1642*MAX(1,AF1642/X1642),IF(BW1642=1,IF(AF1642&lt;=0,0,CA1642*MAX(1,IF(H1642&gt;0,AF1642/H1642,1))),IF(R1642&gt;0,AG1642/R1642,0))/MAX(0.1,N(Parameter!$M$21)))</f>
        <v>0.0833333333333333</v>
      </c>
      <c r="AI1642" s="50" t="n">
        <f aca="false">AH1642*BY1642</f>
        <v>12.0833333333333</v>
      </c>
      <c r="AJ1642" s="50" t="n">
        <f aca="false">AF1642*G1642</f>
        <v>11054.86</v>
      </c>
      <c r="AK1642" s="50" t="n">
        <f aca="false">ROUNDUP(MAX(J1642/IF(CD1642&gt;0,CD1642,MAX(0.1,N(Cockpit!$C$6))),CG1642)/BV1642,0)*BV1642</f>
        <v>4</v>
      </c>
      <c r="AL1642" s="51" t="n">
        <f aca="false">IF(AI1642&gt;0,J1642/AI1642,-1)</f>
        <v>0</v>
      </c>
      <c r="AM1642" s="51" t="n">
        <f aca="false">IF(AND(OR(CC1642="L1",CC1642="L23",CC1642="LIFT"),AI1642&gt;0),SUMIFS($AI$7:$AI$1843,$CC$7:$CC$1843,CC1642,$AL$7:$AL$1843,"&gt;"&amp;AL1642)+SUMIFS($AI$7:$AI$1843,$CC$7:$CC$1843,CC1642,$AL$7:$AL$1843,AL1642,$BT$7:$BT$1843,"&lt;="&amp;BT1642),"")</f>
        <v>31017.5190005381</v>
      </c>
      <c r="AN1642" s="58" t="n">
        <f aca="false">IF(AM1642="",0,MAX(0,MIN(1,(IF(CC1642="L1",Parameter!$H$5,IF(CC1642="L23",Parameter!$H$6+Parameter!$H$7,Parameter!$H$5+Parameter!$H$6+Parameter!$H$7))-(AM1642-AI1642))/AI1642)))</f>
        <v>1</v>
      </c>
      <c r="AO1642" s="50" t="n">
        <f aca="false">IF(LEFT(Cockpit!$I$5,1)="A",H1642,IF(CE1642=1,CF1642,IF(LEFT(Cockpit!$I$5,1)="B",AT1642,MAX(AT1642,H1642))))</f>
        <v>4</v>
      </c>
      <c r="AP1642" s="50" t="n">
        <f aca="false">IF(BW1642=1,0,ROUNDUP(AO1642/BV1642,0))</f>
        <v>1</v>
      </c>
      <c r="AQ1642" s="52" t="n">
        <f aca="false">IF(CL1642&gt;0,CL1642*MAX(1,AO1642/X1642),IF(BW1642=1,IF(AO1642&lt;=0,0,CA1642*MAX(1,IF(H1642&gt;0,AO1642/H1642,1))),IF(R1642&gt;0,AP1642/R1642,0))/MAX(0.1,N(Parameter!$M$21)))</f>
        <v>0.0833333333333333</v>
      </c>
      <c r="AR1642" s="50" t="n">
        <f aca="false">AQ1642*BY1642</f>
        <v>12.0833333333333</v>
      </c>
      <c r="AS1642" s="50" t="n">
        <f aca="false">AO1642*G1642</f>
        <v>44219.44</v>
      </c>
      <c r="AT1642" s="50" t="n">
        <f aca="false">ROUNDUP(MAX(J1642/IF(CD1642&gt;0,CD1642,MAX(0.1,N(Cockpit!$I$6))),CG1642)/BV1642,0)*BV1642</f>
        <v>4</v>
      </c>
      <c r="AU1642" s="51" t="n">
        <f aca="false">IF(AR1642&gt;0,J1642/AR1642,-1)</f>
        <v>0</v>
      </c>
      <c r="AV1642" s="51" t="n">
        <f aca="false">IF(AND(OR(CC1642="L1",CC1642="L23",CC1642="LIFT"),AR1642&gt;0),SUMIFS($AR$7:$AR$1843,$CC$7:$CC$1843,CC1642,$AU$7:$AU$1843,"&gt;"&amp;AU1642)+SUMIFS($AR$7:$AR$1843,$CC$7:$CC$1843,CC1642,$AU$7:$AU$1843,AU1642,$BT$7:$BT$1843,"&lt;="&amp;BT1642),"")</f>
        <v>43379.4213126798</v>
      </c>
      <c r="AW1642" s="58" t="n">
        <f aca="false">IF(AV1642="",0,MAX(0,MIN(1,(IF(CC1642="L1",Parameter!$H$5,IF(CC1642="L23",Parameter!$H$6+Parameter!$H$7,Parameter!$H$5+Parameter!$H$6+Parameter!$H$7))-(AV1642-AR1642))/AR1642)))</f>
        <v>0</v>
      </c>
      <c r="AX1642" s="50" t="n">
        <f aca="false">IF(LEFT(Cockpit!$O$5,1)="A",H1642,IF(CE1642=1,CF1642,IF(LEFT(Cockpit!$O$5,1)="B",BC1642,MAX(BC1642,H1642))))</f>
        <v>4</v>
      </c>
      <c r="AY1642" s="50" t="n">
        <f aca="false">IF(BW1642=1,0,ROUNDUP(AX1642/BV1642,0))</f>
        <v>1</v>
      </c>
      <c r="AZ1642" s="52" t="n">
        <f aca="false">IF(CL1642&gt;0,CL1642*MAX(1,AX1642/X1642),IF(BW1642=1,IF(AX1642&lt;=0,0,CA1642*MAX(1,IF(H1642&gt;0,AX1642/H1642,1))),IF(R1642&gt;0,AY1642/R1642,0))/MAX(0.1,N(Parameter!$M$21)))</f>
        <v>0.0833333333333333</v>
      </c>
      <c r="BA1642" s="50" t="n">
        <f aca="false">AZ1642*BY1642</f>
        <v>12.0833333333333</v>
      </c>
      <c r="BB1642" s="50" t="n">
        <f aca="false">AX1642*G1642</f>
        <v>44219.44</v>
      </c>
      <c r="BC1642" s="50" t="n">
        <f aca="false">ROUNDUP(MAX(J1642/IF(CD1642&gt;0,CD1642,MAX(0.1,N(Cockpit!$O$6))),CG1642)/BV1642,0)*BV1642</f>
        <v>4</v>
      </c>
      <c r="BD1642" s="51" t="n">
        <f aca="false">IF(BA1642&gt;0,J1642/BA1642,-1)</f>
        <v>0</v>
      </c>
      <c r="BE1642" s="51" t="n">
        <f aca="false">IF(AND(OR(CC1642="L1",CC1642="L23",CC1642="LIFT"),BA1642&gt;0),SUMIFS($BA$7:$BA$1843,$CC$7:$CC$1843,CC1642,$BD$7:$BD$1843,"&gt;"&amp;BD1642)+SUMIFS($BA$7:$BA$1843,$CC$7:$CC$1843,CC1642,$BD$7:$BD$1843,BD1642,$BT$7:$BT$1843,"&lt;="&amp;BT1642),"")</f>
        <v>40054.4333545457</v>
      </c>
      <c r="BF1642" s="58" t="n">
        <f aca="false">IF(BE1642="",0,MAX(0,MIN(1,(IF(CC1642="L1",Parameter!$H$5,IF(CC1642="L23",Parameter!$H$6+Parameter!$H$7,Parameter!$H$5+Parameter!$H$6+Parameter!$H$7))-(BE1642-BA1642))/BA1642)))</f>
        <v>0</v>
      </c>
      <c r="BG1642" s="48" t="str">
        <f aca="false">IF(AI1642&lt;=0,"",IF(CC1642="Aussen","Aussenlager",IF(CC1642="-","Nicht im Lift",IF(AN1642&gt;=1,"Lift",IF(AN1642&lt;=0,"Aussenlager","teilweise")))))</f>
        <v>Lift</v>
      </c>
      <c r="BH1642" s="48" t="str">
        <f aca="false">IF(AR1642&lt;=0,"",IF(CC1642="Aussen","Aussenlager",IF(CC1642="-","Nicht im Lift",IF(AW1642&gt;=1,"Lift",IF(AW1642&lt;=0,"Aussenlager","teilweise")))))</f>
        <v>Aussenlager</v>
      </c>
      <c r="BI1642" s="48" t="str">
        <f aca="false">IF(BA1642&lt;=0,"",IF(CC1642="Aussen","Aussenlager",IF(CC1642="-","Nicht im Lift",IF(BF1642&gt;=1,"Lift",IF(BF1642&lt;=0,"Aussenlager","teilweise")))))</f>
        <v>Aussenlager</v>
      </c>
      <c r="BJ1642" s="48" t="str">
        <f aca="false">IF(A1642="","",IF(BS1642=1,"Neu; ","")&amp;IF(AND(BS1642=0,BN1642&lt;0),"negativer Bestand (Export "&amp;BN1642&amp;"); ","")&amp;IF(J1642&lt;=0,"Kein Verbrauch; ","")&amp;IF(CL1642&gt;0,"Lift "&amp;W1642&amp;" lt. Liftbericht (Fach "&amp;X1642&amp;" Stk); ",IF(BX1642=1,"Gebinde geschätzt ("&amp;T1642&amp;"); ",IF(BW1642=1,"Lose – Tablare geschätzt; ","")))&amp;IF(H1642&gt;AT1642,"Überbestand "&amp;ROUND(H1642-AT1642,0)&amp;" Stk / CHF "&amp;ROUND((H1642-AT1642)*G1642,0)&amp;"; ","")&amp;IF(AND(CE1642=1,CF1642&lt;CG1642),"MAX &lt; MB+LG; ","")&amp;IF(AND(CK1642&gt;0,CJ1642*10&gt;CK1642),"zu hoch für Tablar; ","")&amp;IF(AND(BS1642=0,OR(CE1642=1,AA1642&lt;&gt;"",U1642&lt;&gt;"",V1642&lt;&gt;"",AB1642&lt;&gt;"")),"manuell übersteuert; ","")&amp;IF(AND(BW1642=0,R1642=0),"Gebinde unbekannt / Stellmass fehlt; ","")&amp;IF(AND(BW1642=0,N(V1642)&lt;=0,N(Q1642)&lt;=0),"Menge pro Gebinde fehlt (Ist = 1 Gebinde); ","")&amp;BR1642)</f>
        <v>Kein Verbrauch; Gebinde geschätzt (Mittel); Menge pro Gebinde fehlt (Ist = 1 Gebinde); nur im Artikelstamm (Bestand 23.06.2026)</v>
      </c>
      <c r="BK1642" s="48"/>
      <c r="BL1642" s="48"/>
      <c r="BM1642" s="55"/>
      <c r="BN1642" s="50" t="n">
        <v>1</v>
      </c>
      <c r="BO1642" s="50" t="n">
        <v>0</v>
      </c>
      <c r="BP1642" s="49" t="n">
        <v>0</v>
      </c>
      <c r="BQ1642" s="50" t="n">
        <v>0</v>
      </c>
      <c r="BR1642" s="48" t="s">
        <v>2579</v>
      </c>
      <c r="BS1642" s="53" t="n">
        <v>0</v>
      </c>
      <c r="BT1642" s="53" t="n">
        <v>1642</v>
      </c>
      <c r="BU1642" s="48" t="str">
        <f aca="false">IF(U1642&lt;&gt;"",UPPER(TRIM(U1642)),IF(BX1642=1,UPPER(VLOOKUP(T1642,Parameter!$I$27:$K$29,2,0)),IF(P1642="","LOSE",P1642)))</f>
        <v>S61</v>
      </c>
      <c r="BV1642" s="50" t="n">
        <f aca="false">IF(BU1642="LOSE",1,IF(N(V1642)&gt;0,V1642,IF(BX1642=1,MAX(1,N(VLOOKUP(T1642,Parameter!$I$27:$K$29,3,0)),H1642,N(N1642)),IF(N(Q1642)&gt;0,Q1642,MAX(1,H1642)))))</f>
        <v>4</v>
      </c>
      <c r="BW1642" s="53" t="n">
        <f aca="false">IF(BU1642="LOSE",1,0)</f>
        <v>0</v>
      </c>
      <c r="BX1642" s="53" t="n">
        <f aca="false">IF(AND(U1642="",OR(P1642="",P1642="LOSE"),T1642&lt;&gt;"",N(S1642)&lt;=0,ISNUMBER(MATCH(T1642,Parameter!$I$27:$I$29,0))),1,0)</f>
        <v>1</v>
      </c>
      <c r="BY1642" s="53" t="n">
        <f aca="false">IF(CL1642&gt;0,INDEX(Parameter!$H$5:$H$7,W1642)/INDEX(Parameter!$E$5:$E$7,W1642),IF(AND(BW1642=0,N(IFERROR(VLOOKUP(BU1642,'Gebinde-Kategorie'!$A$5:$N$45,14,0),0))&gt;0),VLOOKUP(BU1642,'Gebinde-Kategorie'!$A$5:$N$45,14,0)*10+Parameter!$M$23,Parameter!$M$24))</f>
        <v>145</v>
      </c>
      <c r="BZ1642" s="48" t="str">
        <f aca="false">IF(AND(Parameter!$B$19="Ja",E1642&lt;&gt;"",ISNUMBER(MATCH(E1642,Parameter!$I$35:$I$52,0))),VLOOKUP(E1642,Parameter!$I$35:$J$52,2,0),IFERROR(VLOOKUP(D1642,Parameter!$A$35:$C$64,2,0),"Nein"))</f>
        <v>2+3</v>
      </c>
      <c r="CA1642" s="52" t="n">
        <f aca="false">IF(BW1642=0,0,IF(N(S1642)&gt;0,S1642,IFERROR(VLOOKUP(D1642,Parameter!$A$35:$C$64,3,0)+0,0)))</f>
        <v>0</v>
      </c>
      <c r="CB1642" s="48" t="n">
        <f aca="false">IF(AA1642&lt;&gt;"",AA1642,Z1642)</f>
        <v>2</v>
      </c>
      <c r="CC1642" s="48" t="str">
        <f aca="false">IF(OR(CB1642=1,CB1642=2,CB1642=3),IF(Parameter!$E$27="Ja","LIFT",IF(CB1642=1,"L1","L23")),IF(CB1642="Aussen","Aussen","-"))</f>
        <v>LIFT</v>
      </c>
      <c r="CD1642" s="59" t="n">
        <f aca="false">IF(N(AB1642)&gt;0,AB1642,0)</f>
        <v>0</v>
      </c>
      <c r="CE1642" s="53" t="n">
        <f aca="false">IF(ISNUMBER(AE1642),1,0)</f>
        <v>0</v>
      </c>
      <c r="CF1642" s="50" t="n">
        <f aca="false">N(AE1642)</f>
        <v>0</v>
      </c>
      <c r="CG1642" s="50" t="n">
        <f aca="false">N(M1642)+N(N1642)</f>
        <v>1</v>
      </c>
      <c r="CH1642" s="50" t="n">
        <f aca="false">ROUNDUP(H1642/BV1642,0)</f>
        <v>1</v>
      </c>
      <c r="CI1642" s="50" t="n">
        <f aca="false">ROUNDUP(CF1642/BV1642,0)</f>
        <v>0</v>
      </c>
      <c r="CJ1642" s="53" t="n">
        <f aca="false">IF(BW1642=1,0,IFERROR(VLOOKUP(BU1642,'Gebinde-Kategorie'!$A$5:$N$45,5,0)+0,0))</f>
        <v>11</v>
      </c>
      <c r="CK1642" s="53" t="n">
        <f aca="false">IFERROR(IF(OR(CB1642=1,CB1642=2,CB1642=3),N(INDEX(Parameter!$I$5:$I$7,CB1642)),0),0)</f>
        <v>0</v>
      </c>
      <c r="CL1642" s="52" t="n">
        <f aca="false">IF(AND(Parameter!$B$21="Ja",ISNUMBER(W1642),N(X1642)&gt;0),IFERROR(N(INDEX(Parameter!$L$5:$L$7,W1642))*INDEX(Parameter!$E$5:$E$7,W1642)*X1642/SUMIFS($X$7:$X$1843,$W$7:$W$1843,W1642),0),0)</f>
        <v>0</v>
      </c>
    </row>
    <row r="1643" customFormat="false" ht="15" hidden="false" customHeight="false" outlineLevel="0" collapsed="false">
      <c r="A1643" s="48" t="s">
        <v>2862</v>
      </c>
      <c r="B1643" s="48" t="s">
        <v>2388</v>
      </c>
      <c r="C1643" s="48" t="s">
        <v>171</v>
      </c>
      <c r="D1643" s="48" t="s">
        <v>177</v>
      </c>
      <c r="E1643" s="48" t="s">
        <v>189</v>
      </c>
      <c r="F1643" s="48"/>
      <c r="G1643" s="49" t="n">
        <v>2289.27</v>
      </c>
      <c r="H1643" s="50" t="n">
        <f aca="false">MAX(0,IF(AND(Parameter!$B$21="Ja",ISNUMBER(Y1643)),Y1643,IF(Parameter!$B$20="Jahresanfang 2025 + Export",BO1643+BN1643,BN1643)))</f>
        <v>3</v>
      </c>
      <c r="I1643" s="50" t="n">
        <f aca="false">H1643*G1643</f>
        <v>6867.81</v>
      </c>
      <c r="J1643" s="50" t="n">
        <f aca="false">BQ1643*Parameter!$B$18</f>
        <v>0</v>
      </c>
      <c r="K1643" s="51"/>
      <c r="L1643" s="52"/>
      <c r="M1643" s="50" t="n">
        <v>0</v>
      </c>
      <c r="N1643" s="50" t="n">
        <v>6</v>
      </c>
      <c r="O1643" s="53" t="n">
        <v>70</v>
      </c>
      <c r="P1643" s="48" t="s">
        <v>172</v>
      </c>
      <c r="Q1643" s="50"/>
      <c r="R1643" s="53" t="n">
        <f aca="false">IF(BW1643=1,0,IFERROR(VLOOKUP(BU1643,'Gebinde-Kategorie'!$A$5:$N$45,13,0)+0,0))</f>
        <v>0</v>
      </c>
      <c r="S1643" s="54"/>
      <c r="T1643" s="55"/>
      <c r="U1643" s="55"/>
      <c r="V1643" s="55"/>
      <c r="W1643" s="48" t="n">
        <v>1</v>
      </c>
      <c r="X1643" s="50" t="n">
        <v>4</v>
      </c>
      <c r="Y1643" s="50" t="n">
        <v>3</v>
      </c>
      <c r="Z1643" s="48" t="n">
        <f aca="false">IF(A1643="","",IF(AND(Parameter!$B$21="Ja",ISNUMBER(W1643)),W1643,IF(BZ1643="2+3",IF(ISNUMBER(SEARCH("grosser Artikel",BR1643)),2,IFERROR(VLOOKUP(BU1643,Parameter!$F$35:$G$64,2,0),2)),IF(OR(BZ1643="Nein",BZ1643=""),"-",BZ1643))))</f>
        <v>1</v>
      </c>
      <c r="AA1643" s="55"/>
      <c r="AB1643" s="56"/>
      <c r="AC1643" s="50" t="n">
        <f aca="false">AT1643</f>
        <v>6</v>
      </c>
      <c r="AD1643" s="50" t="n">
        <f aca="false">MAX(AT1643,H1643)</f>
        <v>6</v>
      </c>
      <c r="AE1643" s="57"/>
      <c r="AF1643" s="50" t="n">
        <f aca="false">IF(LEFT(Cockpit!$C$5,1)="A",H1643,IF(CE1643=1,CF1643,IF(LEFT(Cockpit!$C$5,1)="B",AK1643,MAX(AK1643,H1643))))</f>
        <v>3</v>
      </c>
      <c r="AG1643" s="50" t="n">
        <f aca="false">IF(BW1643=1,0,ROUNDUP(AF1643/BV1643,0))</f>
        <v>0</v>
      </c>
      <c r="AH1643" s="52" t="n">
        <f aca="false">IF(CL1643&gt;0,CL1643*MAX(1,AF1643/X1643),IF(BW1643=1,IF(AF1643&lt;=0,0,CA1643*MAX(1,IF(H1643&gt;0,AF1643/H1643,1))),IF(R1643&gt;0,AG1643/R1643,0))/MAX(0.1,N(Parameter!$M$21)))</f>
        <v>0.32015065913371</v>
      </c>
      <c r="AI1643" s="50" t="n">
        <f aca="false">AH1643*BY1643</f>
        <v>76.195856873823</v>
      </c>
      <c r="AJ1643" s="50" t="n">
        <f aca="false">AF1643*G1643</f>
        <v>6867.81</v>
      </c>
      <c r="AK1643" s="50" t="n">
        <f aca="false">ROUNDUP(MAX(J1643/IF(CD1643&gt;0,CD1643,MAX(0.1,N(Cockpit!$C$6))),CG1643)/BV1643,0)*BV1643</f>
        <v>6</v>
      </c>
      <c r="AL1643" s="51" t="n">
        <f aca="false">IF(AI1643&gt;0,J1643/AI1643,-1)</f>
        <v>0</v>
      </c>
      <c r="AM1643" s="51" t="n">
        <f aca="false">IF(AND(OR(CC1643="L1",CC1643="L23",CC1643="LIFT"),AI1643&gt;0),SUMIFS($AI$7:$AI$1843,$CC$7:$CC$1843,CC1643,$AL$7:$AL$1843,"&gt;"&amp;AL1643)+SUMIFS($AI$7:$AI$1843,$CC$7:$CC$1843,CC1643,$AL$7:$AL$1843,AL1643,$BT$7:$BT$1843,"&lt;="&amp;BT1643),"")</f>
        <v>31093.7148574119</v>
      </c>
      <c r="AN1643" s="58" t="n">
        <f aca="false">IF(AM1643="",0,MAX(0,MIN(1,(IF(CC1643="L1",Parameter!$H$5,IF(CC1643="L23",Parameter!$H$6+Parameter!$H$7,Parameter!$H$5+Parameter!$H$6+Parameter!$H$7))-(AM1643-AI1643))/AI1643)))</f>
        <v>1</v>
      </c>
      <c r="AO1643" s="50" t="n">
        <f aca="false">IF(LEFT(Cockpit!$I$5,1)="A",H1643,IF(CE1643=1,CF1643,IF(LEFT(Cockpit!$I$5,1)="B",AT1643,MAX(AT1643,H1643))))</f>
        <v>6</v>
      </c>
      <c r="AP1643" s="50" t="n">
        <f aca="false">IF(BW1643=1,0,ROUNDUP(AO1643/BV1643,0))</f>
        <v>0</v>
      </c>
      <c r="AQ1643" s="52" t="n">
        <f aca="false">IF(CL1643&gt;0,CL1643*MAX(1,AO1643/X1643),IF(BW1643=1,IF(AO1643&lt;=0,0,CA1643*MAX(1,IF(H1643&gt;0,AO1643/H1643,1))),IF(R1643&gt;0,AP1643/R1643,0))/MAX(0.1,N(Parameter!$M$21)))</f>
        <v>0.480225988700565</v>
      </c>
      <c r="AR1643" s="50" t="n">
        <f aca="false">AQ1643*BY1643</f>
        <v>114.293785310734</v>
      </c>
      <c r="AS1643" s="50" t="n">
        <f aca="false">AO1643*G1643</f>
        <v>13735.62</v>
      </c>
      <c r="AT1643" s="50" t="n">
        <f aca="false">ROUNDUP(MAX(J1643/IF(CD1643&gt;0,CD1643,MAX(0.1,N(Cockpit!$I$6))),CG1643)/BV1643,0)*BV1643</f>
        <v>6</v>
      </c>
      <c r="AU1643" s="51" t="n">
        <f aca="false">IF(AR1643&gt;0,J1643/AR1643,-1)</f>
        <v>0</v>
      </c>
      <c r="AV1643" s="51" t="n">
        <f aca="false">IF(AND(OR(CC1643="L1",CC1643="L23",CC1643="LIFT"),AR1643&gt;0),SUMIFS($AR$7:$AR$1843,$CC$7:$CC$1843,CC1643,$AU$7:$AU$1843,"&gt;"&amp;AU1643)+SUMIFS($AR$7:$AR$1843,$CC$7:$CC$1843,CC1643,$AU$7:$AU$1843,AU1643,$BT$7:$BT$1843,"&lt;="&amp;BT1643),"")</f>
        <v>43493.7150979905</v>
      </c>
      <c r="AW1643" s="58" t="n">
        <f aca="false">IF(AV1643="",0,MAX(0,MIN(1,(IF(CC1643="L1",Parameter!$H$5,IF(CC1643="L23",Parameter!$H$6+Parameter!$H$7,Parameter!$H$5+Parameter!$H$6+Parameter!$H$7))-(AV1643-AR1643))/AR1643)))</f>
        <v>0</v>
      </c>
      <c r="AX1643" s="50" t="n">
        <f aca="false">IF(LEFT(Cockpit!$O$5,1)="A",H1643,IF(CE1643=1,CF1643,IF(LEFT(Cockpit!$O$5,1)="B",BC1643,MAX(BC1643,H1643))))</f>
        <v>6</v>
      </c>
      <c r="AY1643" s="50" t="n">
        <f aca="false">IF(BW1643=1,0,ROUNDUP(AX1643/BV1643,0))</f>
        <v>0</v>
      </c>
      <c r="AZ1643" s="52" t="n">
        <f aca="false">IF(CL1643&gt;0,CL1643*MAX(1,AX1643/X1643),IF(BW1643=1,IF(AX1643&lt;=0,0,CA1643*MAX(1,IF(H1643&gt;0,AX1643/H1643,1))),IF(R1643&gt;0,AY1643/R1643,0))/MAX(0.1,N(Parameter!$M$21)))</f>
        <v>0.480225988700565</v>
      </c>
      <c r="BA1643" s="50" t="n">
        <f aca="false">AZ1643*BY1643</f>
        <v>114.293785310734</v>
      </c>
      <c r="BB1643" s="50" t="n">
        <f aca="false">AX1643*G1643</f>
        <v>13735.62</v>
      </c>
      <c r="BC1643" s="50" t="n">
        <f aca="false">ROUNDUP(MAX(J1643/IF(CD1643&gt;0,CD1643,MAX(0.1,N(Cockpit!$O$6))),CG1643)/BV1643,0)*BV1643</f>
        <v>6</v>
      </c>
      <c r="BD1643" s="51" t="n">
        <f aca="false">IF(BA1643&gt;0,J1643/BA1643,-1)</f>
        <v>0</v>
      </c>
      <c r="BE1643" s="51" t="n">
        <f aca="false">IF(AND(OR(CC1643="L1",CC1643="L23",CC1643="LIFT"),BA1643&gt;0),SUMIFS($BA$7:$BA$1843,$CC$7:$CC$1843,CC1643,$BD$7:$BD$1843,"&gt;"&amp;BD1643)+SUMIFS($BA$7:$BA$1843,$CC$7:$CC$1843,CC1643,$BD$7:$BD$1843,BD1643,$BT$7:$BT$1843,"&lt;="&amp;BT1643),"")</f>
        <v>40168.7271398564</v>
      </c>
      <c r="BF1643" s="58" t="n">
        <f aca="false">IF(BE1643="",0,MAX(0,MIN(1,(IF(CC1643="L1",Parameter!$H$5,IF(CC1643="L23",Parameter!$H$6+Parameter!$H$7,Parameter!$H$5+Parameter!$H$6+Parameter!$H$7))-(BE1643-BA1643))/BA1643)))</f>
        <v>0</v>
      </c>
      <c r="BG1643" s="48" t="str">
        <f aca="false">IF(AI1643&lt;=0,"",IF(CC1643="Aussen","Aussenlager",IF(CC1643="-","Nicht im Lift",IF(AN1643&gt;=1,"Lift",IF(AN1643&lt;=0,"Aussenlager","teilweise")))))</f>
        <v>Lift</v>
      </c>
      <c r="BH1643" s="48" t="str">
        <f aca="false">IF(AR1643&lt;=0,"",IF(CC1643="Aussen","Aussenlager",IF(CC1643="-","Nicht im Lift",IF(AW1643&gt;=1,"Lift",IF(AW1643&lt;=0,"Aussenlager","teilweise")))))</f>
        <v>Aussenlager</v>
      </c>
      <c r="BI1643" s="48" t="str">
        <f aca="false">IF(BA1643&lt;=0,"",IF(CC1643="Aussen","Aussenlager",IF(CC1643="-","Nicht im Lift",IF(BF1643&gt;=1,"Lift",IF(BF1643&lt;=0,"Aussenlager","teilweise")))))</f>
        <v>Aussenlager</v>
      </c>
      <c r="BJ1643" s="48" t="str">
        <f aca="false">IF(A1643="","",IF(BS1643=1,"Neu; ","")&amp;IF(AND(BS1643=0,BN1643&lt;0),"negativer Bestand (Export "&amp;BN1643&amp;"); ","")&amp;IF(J1643&lt;=0,"Kein Verbrauch; ","")&amp;IF(CL1643&gt;0,"Lift "&amp;W1643&amp;" lt. Liftbericht (Fach "&amp;X1643&amp;" Stk); ",IF(BX1643=1,"Gebinde geschätzt ("&amp;T1643&amp;"); ",IF(BW1643=1,"Lose – Tablare geschätzt; ","")))&amp;IF(H1643&gt;AT1643,"Überbestand "&amp;ROUND(H1643-AT1643,0)&amp;" Stk / CHF "&amp;ROUND((H1643-AT1643)*G1643,0)&amp;"; ","")&amp;IF(AND(CE1643=1,CF1643&lt;CG1643),"MAX &lt; MB+LG; ","")&amp;IF(AND(CK1643&gt;0,CJ1643*10&gt;CK1643),"zu hoch für Tablar; ","")&amp;IF(AND(BS1643=0,OR(CE1643=1,AA1643&lt;&gt;"",U1643&lt;&gt;"",V1643&lt;&gt;"",AB1643&lt;&gt;"")),"manuell übersteuert; ","")&amp;IF(AND(BW1643=0,R1643=0),"Gebinde unbekannt / Stellmass fehlt; ","")&amp;IF(AND(BW1643=0,N(V1643)&lt;=0,N(Q1643)&lt;=0),"Menge pro Gebinde fehlt (Ist = 1 Gebinde); ","")&amp;BR1643)</f>
        <v>Kein Verbrauch; Lift 1 lt. Liftbericht (Fach 4 Stk); nur im Artikelstamm (Bestand 23.06.2026); grosser Artikel &amp; nicht im KTL</v>
      </c>
      <c r="BK1643" s="48"/>
      <c r="BL1643" s="48"/>
      <c r="BM1643" s="55"/>
      <c r="BN1643" s="50" t="n">
        <v>8</v>
      </c>
      <c r="BO1643" s="50" t="n">
        <v>0</v>
      </c>
      <c r="BP1643" s="49" t="n">
        <v>0</v>
      </c>
      <c r="BQ1643" s="50" t="n">
        <v>0</v>
      </c>
      <c r="BR1643" s="48" t="s">
        <v>2863</v>
      </c>
      <c r="BS1643" s="53" t="n">
        <v>0</v>
      </c>
      <c r="BT1643" s="53" t="n">
        <v>1643</v>
      </c>
      <c r="BU1643" s="48" t="str">
        <f aca="false">IF(U1643&lt;&gt;"",UPPER(TRIM(U1643)),IF(BX1643=1,UPPER(VLOOKUP(T1643,Parameter!$I$27:$K$29,2,0)),IF(P1643="","LOSE",P1643)))</f>
        <v>LOSE</v>
      </c>
      <c r="BV1643" s="50" t="n">
        <f aca="false">IF(BU1643="LOSE",1,IF(N(V1643)&gt;0,V1643,IF(BX1643=1,MAX(1,N(VLOOKUP(T1643,Parameter!$I$27:$K$29,3,0)),H1643,N(N1643)),IF(N(Q1643)&gt;0,Q1643,MAX(1,H1643)))))</f>
        <v>1</v>
      </c>
      <c r="BW1643" s="53" t="n">
        <f aca="false">IF(BU1643="LOSE",1,0)</f>
        <v>1</v>
      </c>
      <c r="BX1643" s="53" t="n">
        <f aca="false">IF(AND(U1643="",OR(P1643="",P1643="LOSE"),T1643&lt;&gt;"",N(S1643)&lt;=0,ISNUMBER(MATCH(T1643,Parameter!$I$27:$I$29,0))),1,0)</f>
        <v>0</v>
      </c>
      <c r="BY1643" s="53" t="n">
        <f aca="false">IF(CL1643&gt;0,INDEX(Parameter!$H$5:$H$7,W1643)/INDEX(Parameter!$E$5:$E$7,W1643),IF(AND(BW1643=0,N(IFERROR(VLOOKUP(BU1643,'Gebinde-Kategorie'!$A$5:$N$45,14,0),0))&gt;0),VLOOKUP(BU1643,'Gebinde-Kategorie'!$A$5:$N$45,14,0)*10+Parameter!$M$23,Parameter!$M$24))</f>
        <v>238</v>
      </c>
      <c r="BZ1643" s="48" t="str">
        <f aca="false">IF(AND(Parameter!$B$19="Ja",E1643&lt;&gt;"",ISNUMBER(MATCH(E1643,Parameter!$I$35:$I$52,0))),VLOOKUP(E1643,Parameter!$I$35:$J$52,2,0),IFERROR(VLOOKUP(D1643,Parameter!$A$35:$C$64,2,0),"Nein"))</f>
        <v>2+3</v>
      </c>
      <c r="CA1643" s="52" t="n">
        <f aca="false">IF(BW1643=0,0,IF(N(S1643)&gt;0,S1643,IFERROR(VLOOKUP(D1643,Parameter!$A$35:$C$64,3,0)+0,0)))</f>
        <v>0.15</v>
      </c>
      <c r="CB1643" s="48" t="n">
        <f aca="false">IF(AA1643&lt;&gt;"",AA1643,Z1643)</f>
        <v>1</v>
      </c>
      <c r="CC1643" s="48" t="str">
        <f aca="false">IF(OR(CB1643=1,CB1643=2,CB1643=3),IF(Parameter!$E$27="Ja","LIFT",IF(CB1643=1,"L1","L23")),IF(CB1643="Aussen","Aussen","-"))</f>
        <v>LIFT</v>
      </c>
      <c r="CD1643" s="59" t="n">
        <f aca="false">IF(N(AB1643)&gt;0,AB1643,0)</f>
        <v>0</v>
      </c>
      <c r="CE1643" s="53" t="n">
        <f aca="false">IF(ISNUMBER(AE1643),1,0)</f>
        <v>0</v>
      </c>
      <c r="CF1643" s="50" t="n">
        <f aca="false">N(AE1643)</f>
        <v>0</v>
      </c>
      <c r="CG1643" s="50" t="n">
        <f aca="false">N(M1643)+N(N1643)</f>
        <v>6</v>
      </c>
      <c r="CH1643" s="50" t="n">
        <f aca="false">ROUNDUP(H1643/BV1643,0)</f>
        <v>3</v>
      </c>
      <c r="CI1643" s="50" t="n">
        <f aca="false">ROUNDUP(CF1643/BV1643,0)</f>
        <v>0</v>
      </c>
      <c r="CJ1643" s="53" t="n">
        <f aca="false">IF(BW1643=1,0,IFERROR(VLOOKUP(BU1643,'Gebinde-Kategorie'!$A$5:$N$45,5,0)+0,0))</f>
        <v>0</v>
      </c>
      <c r="CK1643" s="53" t="n">
        <f aca="false">IFERROR(IF(OR(CB1643=1,CB1643=2,CB1643=3),N(INDEX(Parameter!$I$5:$I$7,CB1643)),0),0)</f>
        <v>0</v>
      </c>
      <c r="CL1643" s="52" t="n">
        <f aca="false">IF(AND(Parameter!$B$21="Ja",ISNUMBER(W1643),N(X1643)&gt;0),IFERROR(N(INDEX(Parameter!$L$5:$L$7,W1643))*INDEX(Parameter!$E$5:$E$7,W1643)*X1643/SUMIFS($X$7:$X$1843,$W$7:$W$1843,W1643),0),0)</f>
        <v>0.32015065913371</v>
      </c>
    </row>
    <row r="1644" customFormat="false" ht="15" hidden="false" customHeight="false" outlineLevel="0" collapsed="false">
      <c r="A1644" s="48" t="s">
        <v>2864</v>
      </c>
      <c r="B1644" s="48" t="s">
        <v>721</v>
      </c>
      <c r="C1644" s="48" t="s">
        <v>168</v>
      </c>
      <c r="D1644" s="48" t="s">
        <v>177</v>
      </c>
      <c r="E1644" s="48" t="s">
        <v>170</v>
      </c>
      <c r="F1644" s="48"/>
      <c r="G1644" s="49" t="n">
        <v>60.43</v>
      </c>
      <c r="H1644" s="50" t="n">
        <f aca="false">MAX(0,IF(AND(Parameter!$B$21="Ja",ISNUMBER(Y1644)),Y1644,IF(Parameter!$B$20="Jahresanfang 2025 + Export",BO1644+BN1644,BN1644)))</f>
        <v>13</v>
      </c>
      <c r="I1644" s="50" t="n">
        <f aca="false">H1644*G1644</f>
        <v>785.59</v>
      </c>
      <c r="J1644" s="50" t="n">
        <f aca="false">BQ1644*Parameter!$B$18</f>
        <v>0</v>
      </c>
      <c r="K1644" s="51"/>
      <c r="L1644" s="52"/>
      <c r="M1644" s="50" t="n">
        <v>0</v>
      </c>
      <c r="N1644" s="50" t="n">
        <v>10</v>
      </c>
      <c r="O1644" s="53" t="n">
        <v>28</v>
      </c>
      <c r="P1644" s="48" t="s">
        <v>172</v>
      </c>
      <c r="Q1644" s="50"/>
      <c r="R1644" s="53" t="n">
        <f aca="false">IF(BW1644=1,0,IFERROR(VLOOKUP(BU1644,'Gebinde-Kategorie'!$A$5:$N$45,13,0)+0,0))</f>
        <v>12</v>
      </c>
      <c r="S1644" s="54"/>
      <c r="T1644" s="55" t="s">
        <v>183</v>
      </c>
      <c r="U1644" s="55"/>
      <c r="V1644" s="55"/>
      <c r="W1644" s="48"/>
      <c r="X1644" s="50"/>
      <c r="Y1644" s="50"/>
      <c r="Z1644" s="48" t="n">
        <f aca="false">IF(A1644="","",IF(AND(Parameter!$B$21="Ja",ISNUMBER(W1644)),W1644,IF(BZ1644="2+3",IF(ISNUMBER(SEARCH("grosser Artikel",BR1644)),2,IFERROR(VLOOKUP(BU1644,Parameter!$F$35:$G$64,2,0),2)),IF(OR(BZ1644="Nein",BZ1644=""),"-",BZ1644))))</f>
        <v>1</v>
      </c>
      <c r="AA1644" s="55"/>
      <c r="AB1644" s="56"/>
      <c r="AC1644" s="50" t="n">
        <f aca="false">AT1644</f>
        <v>13</v>
      </c>
      <c r="AD1644" s="50" t="n">
        <f aca="false">MAX(AT1644,H1644)</f>
        <v>13</v>
      </c>
      <c r="AE1644" s="57"/>
      <c r="AF1644" s="50" t="n">
        <f aca="false">IF(LEFT(Cockpit!$C$5,1)="A",H1644,IF(CE1644=1,CF1644,IF(LEFT(Cockpit!$C$5,1)="B",AK1644,MAX(AK1644,H1644))))</f>
        <v>13</v>
      </c>
      <c r="AG1644" s="50" t="n">
        <f aca="false">IF(BW1644=1,0,ROUNDUP(AF1644/BV1644,0))</f>
        <v>1</v>
      </c>
      <c r="AH1644" s="52" t="n">
        <f aca="false">IF(CL1644&gt;0,CL1644*MAX(1,AF1644/X1644),IF(BW1644=1,IF(AF1644&lt;=0,0,CA1644*MAX(1,IF(H1644&gt;0,AF1644/H1644,1))),IF(R1644&gt;0,AG1644/R1644,0))/MAX(0.1,N(Parameter!$M$21)))</f>
        <v>0.0833333333333333</v>
      </c>
      <c r="AI1644" s="50" t="n">
        <f aca="false">AH1644*BY1644</f>
        <v>12.0833333333333</v>
      </c>
      <c r="AJ1644" s="50" t="n">
        <f aca="false">AF1644*G1644</f>
        <v>785.59</v>
      </c>
      <c r="AK1644" s="50" t="n">
        <f aca="false">ROUNDUP(MAX(J1644/IF(CD1644&gt;0,CD1644,MAX(0.1,N(Cockpit!$C$6))),CG1644)/BV1644,0)*BV1644</f>
        <v>13</v>
      </c>
      <c r="AL1644" s="51" t="n">
        <f aca="false">IF(AI1644&gt;0,J1644/AI1644,-1)</f>
        <v>0</v>
      </c>
      <c r="AM1644" s="51" t="n">
        <f aca="false">IF(AND(OR(CC1644="L1",CC1644="L23",CC1644="LIFT"),AI1644&gt;0),SUMIFS($AI$7:$AI$1843,$CC$7:$CC$1843,CC1644,$AL$7:$AL$1843,"&gt;"&amp;AL1644)+SUMIFS($AI$7:$AI$1843,$CC$7:$CC$1843,CC1644,$AL$7:$AL$1843,AL1644,$BT$7:$BT$1843,"&lt;="&amp;BT1644),"")</f>
        <v>31105.7981907452</v>
      </c>
      <c r="AN1644" s="58" t="n">
        <f aca="false">IF(AM1644="",0,MAX(0,MIN(1,(IF(CC1644="L1",Parameter!$H$5,IF(CC1644="L23",Parameter!$H$6+Parameter!$H$7,Parameter!$H$5+Parameter!$H$6+Parameter!$H$7))-(AM1644-AI1644))/AI1644)))</f>
        <v>1</v>
      </c>
      <c r="AO1644" s="50" t="n">
        <f aca="false">IF(LEFT(Cockpit!$I$5,1)="A",H1644,IF(CE1644=1,CF1644,IF(LEFT(Cockpit!$I$5,1)="B",AT1644,MAX(AT1644,H1644))))</f>
        <v>13</v>
      </c>
      <c r="AP1644" s="50" t="n">
        <f aca="false">IF(BW1644=1,0,ROUNDUP(AO1644/BV1644,0))</f>
        <v>1</v>
      </c>
      <c r="AQ1644" s="52" t="n">
        <f aca="false">IF(CL1644&gt;0,CL1644*MAX(1,AO1644/X1644),IF(BW1644=1,IF(AO1644&lt;=0,0,CA1644*MAX(1,IF(H1644&gt;0,AO1644/H1644,1))),IF(R1644&gt;0,AP1644/R1644,0))/MAX(0.1,N(Parameter!$M$21)))</f>
        <v>0.0833333333333333</v>
      </c>
      <c r="AR1644" s="50" t="n">
        <f aca="false">AQ1644*BY1644</f>
        <v>12.0833333333333</v>
      </c>
      <c r="AS1644" s="50" t="n">
        <f aca="false">AO1644*G1644</f>
        <v>785.59</v>
      </c>
      <c r="AT1644" s="50" t="n">
        <f aca="false">ROUNDUP(MAX(J1644/IF(CD1644&gt;0,CD1644,MAX(0.1,N(Cockpit!$I$6))),CG1644)/BV1644,0)*BV1644</f>
        <v>13</v>
      </c>
      <c r="AU1644" s="51" t="n">
        <f aca="false">IF(AR1644&gt;0,J1644/AR1644,-1)</f>
        <v>0</v>
      </c>
      <c r="AV1644" s="51" t="n">
        <f aca="false">IF(AND(OR(CC1644="L1",CC1644="L23",CC1644="LIFT"),AR1644&gt;0),SUMIFS($AR$7:$AR$1843,$CC$7:$CC$1843,CC1644,$AU$7:$AU$1843,"&gt;"&amp;AU1644)+SUMIFS($AR$7:$AR$1843,$CC$7:$CC$1843,CC1644,$AU$7:$AU$1843,AU1644,$BT$7:$BT$1843,"&lt;="&amp;BT1644),"")</f>
        <v>43505.7984313239</v>
      </c>
      <c r="AW1644" s="58" t="n">
        <f aca="false">IF(AV1644="",0,MAX(0,MIN(1,(IF(CC1644="L1",Parameter!$H$5,IF(CC1644="L23",Parameter!$H$6+Parameter!$H$7,Parameter!$H$5+Parameter!$H$6+Parameter!$H$7))-(AV1644-AR1644))/AR1644)))</f>
        <v>0</v>
      </c>
      <c r="AX1644" s="50" t="n">
        <f aca="false">IF(LEFT(Cockpit!$O$5,1)="A",H1644,IF(CE1644=1,CF1644,IF(LEFT(Cockpit!$O$5,1)="B",BC1644,MAX(BC1644,H1644))))</f>
        <v>13</v>
      </c>
      <c r="AY1644" s="50" t="n">
        <f aca="false">IF(BW1644=1,0,ROUNDUP(AX1644/BV1644,0))</f>
        <v>1</v>
      </c>
      <c r="AZ1644" s="52" t="n">
        <f aca="false">IF(CL1644&gt;0,CL1644*MAX(1,AX1644/X1644),IF(BW1644=1,IF(AX1644&lt;=0,0,CA1644*MAX(1,IF(H1644&gt;0,AX1644/H1644,1))),IF(R1644&gt;0,AY1644/R1644,0))/MAX(0.1,N(Parameter!$M$21)))</f>
        <v>0.0833333333333333</v>
      </c>
      <c r="BA1644" s="50" t="n">
        <f aca="false">AZ1644*BY1644</f>
        <v>12.0833333333333</v>
      </c>
      <c r="BB1644" s="50" t="n">
        <f aca="false">AX1644*G1644</f>
        <v>785.59</v>
      </c>
      <c r="BC1644" s="50" t="n">
        <f aca="false">ROUNDUP(MAX(J1644/IF(CD1644&gt;0,CD1644,MAX(0.1,N(Cockpit!$O$6))),CG1644)/BV1644,0)*BV1644</f>
        <v>13</v>
      </c>
      <c r="BD1644" s="51" t="n">
        <f aca="false">IF(BA1644&gt;0,J1644/BA1644,-1)</f>
        <v>0</v>
      </c>
      <c r="BE1644" s="51" t="n">
        <f aca="false">IF(AND(OR(CC1644="L1",CC1644="L23",CC1644="LIFT"),BA1644&gt;0),SUMIFS($BA$7:$BA$1843,$CC$7:$CC$1843,CC1644,$BD$7:$BD$1843,"&gt;"&amp;BD1644)+SUMIFS($BA$7:$BA$1843,$CC$7:$CC$1843,CC1644,$BD$7:$BD$1843,BD1644,$BT$7:$BT$1843,"&lt;="&amp;BT1644),"")</f>
        <v>40180.8104731897</v>
      </c>
      <c r="BF1644" s="58" t="n">
        <f aca="false">IF(BE1644="",0,MAX(0,MIN(1,(IF(CC1644="L1",Parameter!$H$5,IF(CC1644="L23",Parameter!$H$6+Parameter!$H$7,Parameter!$H$5+Parameter!$H$6+Parameter!$H$7))-(BE1644-BA1644))/BA1644)))</f>
        <v>0</v>
      </c>
      <c r="BG1644" s="48" t="str">
        <f aca="false">IF(AI1644&lt;=0,"",IF(CC1644="Aussen","Aussenlager",IF(CC1644="-","Nicht im Lift",IF(AN1644&gt;=1,"Lift",IF(AN1644&lt;=0,"Aussenlager","teilweise")))))</f>
        <v>Lift</v>
      </c>
      <c r="BH1644" s="48" t="str">
        <f aca="false">IF(AR1644&lt;=0,"",IF(CC1644="Aussen","Aussenlager",IF(CC1644="-","Nicht im Lift",IF(AW1644&gt;=1,"Lift",IF(AW1644&lt;=0,"Aussenlager","teilweise")))))</f>
        <v>Aussenlager</v>
      </c>
      <c r="BI1644" s="48" t="str">
        <f aca="false">IF(BA1644&lt;=0,"",IF(CC1644="Aussen","Aussenlager",IF(CC1644="-","Nicht im Lift",IF(BF1644&gt;=1,"Lift",IF(BF1644&lt;=0,"Aussenlager","teilweise")))))</f>
        <v>Aussenlager</v>
      </c>
      <c r="BJ1644" s="48" t="str">
        <f aca="false">IF(A1644="","",IF(BS1644=1,"Neu; ","")&amp;IF(AND(BS1644=0,BN1644&lt;0),"negativer Bestand (Export "&amp;BN1644&amp;"); ","")&amp;IF(J1644&lt;=0,"Kein Verbrauch; ","")&amp;IF(CL1644&gt;0,"Lift "&amp;W1644&amp;" lt. Liftbericht (Fach "&amp;X1644&amp;" Stk); ",IF(BX1644=1,"Gebinde geschätzt ("&amp;T1644&amp;"); ",IF(BW1644=1,"Lose – Tablare geschätzt; ","")))&amp;IF(H1644&gt;AT1644,"Überbestand "&amp;ROUND(H1644-AT1644,0)&amp;" Stk / CHF "&amp;ROUND((H1644-AT1644)*G1644,0)&amp;"; ","")&amp;IF(AND(CE1644=1,CF1644&lt;CG1644),"MAX &lt; MB+LG; ","")&amp;IF(AND(CK1644&gt;0,CJ1644*10&gt;CK1644),"zu hoch für Tablar; ","")&amp;IF(AND(BS1644=0,OR(CE1644=1,AA1644&lt;&gt;"",U1644&lt;&gt;"",V1644&lt;&gt;"",AB1644&lt;&gt;"")),"manuell übersteuert; ","")&amp;IF(AND(BW1644=0,R1644=0),"Gebinde unbekannt / Stellmass fehlt; ","")&amp;IF(AND(BW1644=0,N(V1644)&lt;=0,N(Q1644)&lt;=0),"Menge pro Gebinde fehlt (Ist = 1 Gebinde); ","")&amp;BR1644)</f>
        <v>Kein Verbrauch; Gebinde geschätzt (Mittel); Menge pro Gebinde fehlt (Ist = 1 Gebinde); nur im Artikelstamm (Bestand 23.06.2026); Überbestand</v>
      </c>
      <c r="BK1644" s="48"/>
      <c r="BL1644" s="48"/>
      <c r="BM1644" s="55"/>
      <c r="BN1644" s="50" t="n">
        <v>13</v>
      </c>
      <c r="BO1644" s="50" t="n">
        <v>0</v>
      </c>
      <c r="BP1644" s="49" t="n">
        <v>0</v>
      </c>
      <c r="BQ1644" s="50" t="n">
        <v>0</v>
      </c>
      <c r="BR1644" s="48" t="s">
        <v>2576</v>
      </c>
      <c r="BS1644" s="53" t="n">
        <v>0</v>
      </c>
      <c r="BT1644" s="53" t="n">
        <v>1644</v>
      </c>
      <c r="BU1644" s="48" t="str">
        <f aca="false">IF(U1644&lt;&gt;"",UPPER(TRIM(U1644)),IF(BX1644=1,UPPER(VLOOKUP(T1644,Parameter!$I$27:$K$29,2,0)),IF(P1644="","LOSE",P1644)))</f>
        <v>S61</v>
      </c>
      <c r="BV1644" s="50" t="n">
        <f aca="false">IF(BU1644="LOSE",1,IF(N(V1644)&gt;0,V1644,IF(BX1644=1,MAX(1,N(VLOOKUP(T1644,Parameter!$I$27:$K$29,3,0)),H1644,N(N1644)),IF(N(Q1644)&gt;0,Q1644,MAX(1,H1644)))))</f>
        <v>13</v>
      </c>
      <c r="BW1644" s="53" t="n">
        <f aca="false">IF(BU1644="LOSE",1,0)</f>
        <v>0</v>
      </c>
      <c r="BX1644" s="53" t="n">
        <f aca="false">IF(AND(U1644="",OR(P1644="",P1644="LOSE"),T1644&lt;&gt;"",N(S1644)&lt;=0,ISNUMBER(MATCH(T1644,Parameter!$I$27:$I$29,0))),1,0)</f>
        <v>1</v>
      </c>
      <c r="BY1644" s="53" t="n">
        <f aca="false">IF(CL1644&gt;0,INDEX(Parameter!$H$5:$H$7,W1644)/INDEX(Parameter!$E$5:$E$7,W1644),IF(AND(BW1644=0,N(IFERROR(VLOOKUP(BU1644,'Gebinde-Kategorie'!$A$5:$N$45,14,0),0))&gt;0),VLOOKUP(BU1644,'Gebinde-Kategorie'!$A$5:$N$45,14,0)*10+Parameter!$M$23,Parameter!$M$24))</f>
        <v>145</v>
      </c>
      <c r="BZ1644" s="48" t="n">
        <f aca="false">IF(AND(Parameter!$B$19="Ja",E1644&lt;&gt;"",ISNUMBER(MATCH(E1644,Parameter!$I$35:$I$52,0))),VLOOKUP(E1644,Parameter!$I$35:$J$52,2,0),IFERROR(VLOOKUP(D1644,Parameter!$A$35:$C$64,2,0),"Nein"))</f>
        <v>1</v>
      </c>
      <c r="CA1644" s="52" t="n">
        <f aca="false">IF(BW1644=0,0,IF(N(S1644)&gt;0,S1644,IFERROR(VLOOKUP(D1644,Parameter!$A$35:$C$64,3,0)+0,0)))</f>
        <v>0</v>
      </c>
      <c r="CB1644" s="48" t="n">
        <f aca="false">IF(AA1644&lt;&gt;"",AA1644,Z1644)</f>
        <v>1</v>
      </c>
      <c r="CC1644" s="48" t="str">
        <f aca="false">IF(OR(CB1644=1,CB1644=2,CB1644=3),IF(Parameter!$E$27="Ja","LIFT",IF(CB1644=1,"L1","L23")),IF(CB1644="Aussen","Aussen","-"))</f>
        <v>LIFT</v>
      </c>
      <c r="CD1644" s="59" t="n">
        <f aca="false">IF(N(AB1644)&gt;0,AB1644,0)</f>
        <v>0</v>
      </c>
      <c r="CE1644" s="53" t="n">
        <f aca="false">IF(ISNUMBER(AE1644),1,0)</f>
        <v>0</v>
      </c>
      <c r="CF1644" s="50" t="n">
        <f aca="false">N(AE1644)</f>
        <v>0</v>
      </c>
      <c r="CG1644" s="50" t="n">
        <f aca="false">N(M1644)+N(N1644)</f>
        <v>10</v>
      </c>
      <c r="CH1644" s="50" t="n">
        <f aca="false">ROUNDUP(H1644/BV1644,0)</f>
        <v>1</v>
      </c>
      <c r="CI1644" s="50" t="n">
        <f aca="false">ROUNDUP(CF1644/BV1644,0)</f>
        <v>0</v>
      </c>
      <c r="CJ1644" s="53" t="n">
        <f aca="false">IF(BW1644=1,0,IFERROR(VLOOKUP(BU1644,'Gebinde-Kategorie'!$A$5:$N$45,5,0)+0,0))</f>
        <v>11</v>
      </c>
      <c r="CK1644" s="53" t="n">
        <f aca="false">IFERROR(IF(OR(CB1644=1,CB1644=2,CB1644=3),N(INDEX(Parameter!$I$5:$I$7,CB1644)),0),0)</f>
        <v>0</v>
      </c>
      <c r="CL1644" s="52" t="n">
        <f aca="false">IF(AND(Parameter!$B$21="Ja",ISNUMBER(W1644),N(X1644)&gt;0),IFERROR(N(INDEX(Parameter!$L$5:$L$7,W1644))*INDEX(Parameter!$E$5:$E$7,W1644)*X1644/SUMIFS($X$7:$X$1843,$W$7:$W$1843,W1644),0),0)</f>
        <v>0</v>
      </c>
    </row>
    <row r="1645" customFormat="false" ht="15" hidden="false" customHeight="false" outlineLevel="0" collapsed="false">
      <c r="A1645" s="48" t="s">
        <v>2865</v>
      </c>
      <c r="B1645" s="48" t="s">
        <v>2866</v>
      </c>
      <c r="C1645" s="48" t="s">
        <v>460</v>
      </c>
      <c r="D1645" s="48" t="s">
        <v>188</v>
      </c>
      <c r="E1645" s="48"/>
      <c r="F1645" s="48"/>
      <c r="G1645" s="49" t="n">
        <v>10.35</v>
      </c>
      <c r="H1645" s="50" t="n">
        <f aca="false">MAX(0,IF(AND(Parameter!$B$21="Ja",ISNUMBER(Y1645)),Y1645,IF(Parameter!$B$20="Jahresanfang 2025 + Export",BO1645+BN1645,BN1645)))</f>
        <v>2</v>
      </c>
      <c r="I1645" s="50" t="n">
        <f aca="false">H1645*G1645</f>
        <v>20.7</v>
      </c>
      <c r="J1645" s="50" t="n">
        <f aca="false">BQ1645*Parameter!$B$18</f>
        <v>0</v>
      </c>
      <c r="K1645" s="51"/>
      <c r="L1645" s="52"/>
      <c r="M1645" s="50" t="n">
        <v>0</v>
      </c>
      <c r="N1645" s="50" t="n">
        <v>1</v>
      </c>
      <c r="O1645" s="53" t="n">
        <v>97</v>
      </c>
      <c r="P1645" s="48" t="s">
        <v>172</v>
      </c>
      <c r="Q1645" s="50"/>
      <c r="R1645" s="53" t="n">
        <f aca="false">IF(BW1645=1,0,IFERROR(VLOOKUP(BU1645,'Gebinde-Kategorie'!$A$5:$N$45,13,0)+0,0))</f>
        <v>26</v>
      </c>
      <c r="S1645" s="54"/>
      <c r="T1645" s="55" t="s">
        <v>279</v>
      </c>
      <c r="U1645" s="55"/>
      <c r="V1645" s="55"/>
      <c r="W1645" s="48"/>
      <c r="X1645" s="50"/>
      <c r="Y1645" s="50"/>
      <c r="Z1645" s="48" t="n">
        <f aca="false">IF(A1645="","",IF(AND(Parameter!$B$21="Ja",ISNUMBER(W1645)),W1645,IF(BZ1645="2+3",IF(ISNUMBER(SEARCH("grosser Artikel",BR1645)),2,IFERROR(VLOOKUP(BU1645,Parameter!$F$35:$G$64,2,0),2)),IF(OR(BZ1645="Nein",BZ1645=""),"-",BZ1645))))</f>
        <v>3</v>
      </c>
      <c r="AA1645" s="55"/>
      <c r="AB1645" s="56"/>
      <c r="AC1645" s="50" t="n">
        <f aca="false">AT1645</f>
        <v>20</v>
      </c>
      <c r="AD1645" s="50" t="n">
        <f aca="false">MAX(AT1645,H1645)</f>
        <v>20</v>
      </c>
      <c r="AE1645" s="57"/>
      <c r="AF1645" s="50" t="n">
        <f aca="false">IF(LEFT(Cockpit!$C$5,1)="A",H1645,IF(CE1645=1,CF1645,IF(LEFT(Cockpit!$C$5,1)="B",AK1645,MAX(AK1645,H1645))))</f>
        <v>2</v>
      </c>
      <c r="AG1645" s="50" t="n">
        <f aca="false">IF(BW1645=1,0,ROUNDUP(AF1645/BV1645,0))</f>
        <v>1</v>
      </c>
      <c r="AH1645" s="52" t="n">
        <f aca="false">IF(CL1645&gt;0,CL1645*MAX(1,AF1645/X1645),IF(BW1645=1,IF(AF1645&lt;=0,0,CA1645*MAX(1,IF(H1645&gt;0,AF1645/H1645,1))),IF(R1645&gt;0,AG1645/R1645,0))/MAX(0.1,N(Parameter!$M$21)))</f>
        <v>0.0384615384615385</v>
      </c>
      <c r="AI1645" s="50" t="n">
        <f aca="false">AH1645*BY1645</f>
        <v>5.96153846153846</v>
      </c>
      <c r="AJ1645" s="50" t="n">
        <f aca="false">AF1645*G1645</f>
        <v>20.7</v>
      </c>
      <c r="AK1645" s="50" t="n">
        <f aca="false">ROUNDUP(MAX(J1645/IF(CD1645&gt;0,CD1645,MAX(0.1,N(Cockpit!$C$6))),CG1645)/BV1645,0)*BV1645</f>
        <v>20</v>
      </c>
      <c r="AL1645" s="51" t="n">
        <f aca="false">IF(AI1645&gt;0,J1645/AI1645,-1)</f>
        <v>0</v>
      </c>
      <c r="AM1645" s="51" t="n">
        <f aca="false">IF(AND(OR(CC1645="L1",CC1645="L23",CC1645="LIFT"),AI1645&gt;0),SUMIFS($AI$7:$AI$1843,$CC$7:$CC$1843,CC1645,$AL$7:$AL$1843,"&gt;"&amp;AL1645)+SUMIFS($AI$7:$AI$1843,$CC$7:$CC$1843,CC1645,$AL$7:$AL$1843,AL1645,$BT$7:$BT$1843,"&lt;="&amp;BT1645),"")</f>
        <v>31111.7597292068</v>
      </c>
      <c r="AN1645" s="58" t="n">
        <f aca="false">IF(AM1645="",0,MAX(0,MIN(1,(IF(CC1645="L1",Parameter!$H$5,IF(CC1645="L23",Parameter!$H$6+Parameter!$H$7,Parameter!$H$5+Parameter!$H$6+Parameter!$H$7))-(AM1645-AI1645))/AI1645)))</f>
        <v>1</v>
      </c>
      <c r="AO1645" s="50" t="n">
        <f aca="false">IF(LEFT(Cockpit!$I$5,1)="A",H1645,IF(CE1645=1,CF1645,IF(LEFT(Cockpit!$I$5,1)="B",AT1645,MAX(AT1645,H1645))))</f>
        <v>20</v>
      </c>
      <c r="AP1645" s="50" t="n">
        <f aca="false">IF(BW1645=1,0,ROUNDUP(AO1645/BV1645,0))</f>
        <v>1</v>
      </c>
      <c r="AQ1645" s="52" t="n">
        <f aca="false">IF(CL1645&gt;0,CL1645*MAX(1,AO1645/X1645),IF(BW1645=1,IF(AO1645&lt;=0,0,CA1645*MAX(1,IF(H1645&gt;0,AO1645/H1645,1))),IF(R1645&gt;0,AP1645/R1645,0))/MAX(0.1,N(Parameter!$M$21)))</f>
        <v>0.0384615384615385</v>
      </c>
      <c r="AR1645" s="50" t="n">
        <f aca="false">AQ1645*BY1645</f>
        <v>5.96153846153846</v>
      </c>
      <c r="AS1645" s="50" t="n">
        <f aca="false">AO1645*G1645</f>
        <v>207</v>
      </c>
      <c r="AT1645" s="50" t="n">
        <f aca="false">ROUNDUP(MAX(J1645/IF(CD1645&gt;0,CD1645,MAX(0.1,N(Cockpit!$I$6))),CG1645)/BV1645,0)*BV1645</f>
        <v>20</v>
      </c>
      <c r="AU1645" s="51" t="n">
        <f aca="false">IF(AR1645&gt;0,J1645/AR1645,-1)</f>
        <v>0</v>
      </c>
      <c r="AV1645" s="51" t="n">
        <f aca="false">IF(AND(OR(CC1645="L1",CC1645="L23",CC1645="LIFT"),AR1645&gt;0),SUMIFS($AR$7:$AR$1843,$CC$7:$CC$1843,CC1645,$AU$7:$AU$1843,"&gt;"&amp;AU1645)+SUMIFS($AR$7:$AR$1843,$CC$7:$CC$1843,CC1645,$AU$7:$AU$1843,AU1645,$BT$7:$BT$1843,"&lt;="&amp;BT1645),"")</f>
        <v>43511.7599697854</v>
      </c>
      <c r="AW1645" s="58" t="n">
        <f aca="false">IF(AV1645="",0,MAX(0,MIN(1,(IF(CC1645="L1",Parameter!$H$5,IF(CC1645="L23",Parameter!$H$6+Parameter!$H$7,Parameter!$H$5+Parameter!$H$6+Parameter!$H$7))-(AV1645-AR1645))/AR1645)))</f>
        <v>0</v>
      </c>
      <c r="AX1645" s="50" t="n">
        <f aca="false">IF(LEFT(Cockpit!$O$5,1)="A",H1645,IF(CE1645=1,CF1645,IF(LEFT(Cockpit!$O$5,1)="B",BC1645,MAX(BC1645,H1645))))</f>
        <v>20</v>
      </c>
      <c r="AY1645" s="50" t="n">
        <f aca="false">IF(BW1645=1,0,ROUNDUP(AX1645/BV1645,0))</f>
        <v>1</v>
      </c>
      <c r="AZ1645" s="52" t="n">
        <f aca="false">IF(CL1645&gt;0,CL1645*MAX(1,AX1645/X1645),IF(BW1645=1,IF(AX1645&lt;=0,0,CA1645*MAX(1,IF(H1645&gt;0,AX1645/H1645,1))),IF(R1645&gt;0,AY1645/R1645,0))/MAX(0.1,N(Parameter!$M$21)))</f>
        <v>0.0384615384615385</v>
      </c>
      <c r="BA1645" s="50" t="n">
        <f aca="false">AZ1645*BY1645</f>
        <v>5.96153846153846</v>
      </c>
      <c r="BB1645" s="50" t="n">
        <f aca="false">AX1645*G1645</f>
        <v>207</v>
      </c>
      <c r="BC1645" s="50" t="n">
        <f aca="false">ROUNDUP(MAX(J1645/IF(CD1645&gt;0,CD1645,MAX(0.1,N(Cockpit!$O$6))),CG1645)/BV1645,0)*BV1645</f>
        <v>20</v>
      </c>
      <c r="BD1645" s="51" t="n">
        <f aca="false">IF(BA1645&gt;0,J1645/BA1645,-1)</f>
        <v>0</v>
      </c>
      <c r="BE1645" s="51" t="n">
        <f aca="false">IF(AND(OR(CC1645="L1",CC1645="L23",CC1645="LIFT"),BA1645&gt;0),SUMIFS($BA$7:$BA$1843,$CC$7:$CC$1843,CC1645,$BD$7:$BD$1843,"&gt;"&amp;BD1645)+SUMIFS($BA$7:$BA$1843,$CC$7:$CC$1843,CC1645,$BD$7:$BD$1843,BD1645,$BT$7:$BT$1843,"&lt;="&amp;BT1645),"")</f>
        <v>40186.7720116513</v>
      </c>
      <c r="BF1645" s="58" t="n">
        <f aca="false">IF(BE1645="",0,MAX(0,MIN(1,(IF(CC1645="L1",Parameter!$H$5,IF(CC1645="L23",Parameter!$H$6+Parameter!$H$7,Parameter!$H$5+Parameter!$H$6+Parameter!$H$7))-(BE1645-BA1645))/BA1645)))</f>
        <v>0</v>
      </c>
      <c r="BG1645" s="48" t="str">
        <f aca="false">IF(AI1645&lt;=0,"",IF(CC1645="Aussen","Aussenlager",IF(CC1645="-","Nicht im Lift",IF(AN1645&gt;=1,"Lift",IF(AN1645&lt;=0,"Aussenlager","teilweise")))))</f>
        <v>Lift</v>
      </c>
      <c r="BH1645" s="48" t="str">
        <f aca="false">IF(AR1645&lt;=0,"",IF(CC1645="Aussen","Aussenlager",IF(CC1645="-","Nicht im Lift",IF(AW1645&gt;=1,"Lift",IF(AW1645&lt;=0,"Aussenlager","teilweise")))))</f>
        <v>Aussenlager</v>
      </c>
      <c r="BI1645" s="48" t="str">
        <f aca="false">IF(BA1645&lt;=0,"",IF(CC1645="Aussen","Aussenlager",IF(CC1645="-","Nicht im Lift",IF(BF1645&gt;=1,"Lift",IF(BF1645&lt;=0,"Aussenlager","teilweise")))))</f>
        <v>Aussenlager</v>
      </c>
      <c r="BJ1645" s="48" t="str">
        <f aca="false">IF(A1645="","",IF(BS1645=1,"Neu; ","")&amp;IF(AND(BS1645=0,BN1645&lt;0),"negativer Bestand (Export "&amp;BN1645&amp;"); ","")&amp;IF(J1645&lt;=0,"Kein Verbrauch; ","")&amp;IF(CL1645&gt;0,"Lift "&amp;W1645&amp;" lt. Liftbericht (Fach "&amp;X1645&amp;" Stk); ",IF(BX1645=1,"Gebinde geschätzt ("&amp;T1645&amp;"); ",IF(BW1645=1,"Lose – Tablare geschätzt; ","")))&amp;IF(H1645&gt;AT1645,"Überbestand "&amp;ROUND(H1645-AT1645,0)&amp;" Stk / CHF "&amp;ROUND((H1645-AT1645)*G1645,0)&amp;"; ","")&amp;IF(AND(CE1645=1,CF1645&lt;CG1645),"MAX &lt; MB+LG; ","")&amp;IF(AND(CK1645&gt;0,CJ1645*10&gt;CK1645),"zu hoch für Tablar; ","")&amp;IF(AND(BS1645=0,OR(CE1645=1,AA1645&lt;&gt;"",U1645&lt;&gt;"",V1645&lt;&gt;"",AB1645&lt;&gt;"")),"manuell übersteuert; ","")&amp;IF(AND(BW1645=0,R1645=0),"Gebinde unbekannt / Stellmass fehlt; ","")&amp;IF(AND(BW1645=0,N(V1645)&lt;=0,N(Q1645)&lt;=0),"Menge pro Gebinde fehlt (Ist = 1 Gebinde); ","")&amp;BR1645)</f>
        <v>Kein Verbrauch; Gebinde geschätzt (Klein); Menge pro Gebinde fehlt (Ist = 1 Gebinde); nur im Artikelstamm (Bestand 23.06.2026)</v>
      </c>
      <c r="BK1645" s="48"/>
      <c r="BL1645" s="48"/>
      <c r="BM1645" s="55"/>
      <c r="BN1645" s="50" t="n">
        <v>2</v>
      </c>
      <c r="BO1645" s="50" t="n">
        <v>0</v>
      </c>
      <c r="BP1645" s="49" t="n">
        <v>0</v>
      </c>
      <c r="BQ1645" s="50" t="n">
        <v>0</v>
      </c>
      <c r="BR1645" s="48" t="s">
        <v>2579</v>
      </c>
      <c r="BS1645" s="53" t="n">
        <v>0</v>
      </c>
      <c r="BT1645" s="53" t="n">
        <v>1645</v>
      </c>
      <c r="BU1645" s="48" t="str">
        <f aca="false">IF(U1645&lt;&gt;"",UPPER(TRIM(U1645)),IF(BX1645=1,UPPER(VLOOKUP(T1645,Parameter!$I$27:$K$29,2,0)),IF(P1645="","LOSE",P1645)))</f>
        <v>S51</v>
      </c>
      <c r="BV1645" s="50" t="n">
        <f aca="false">IF(BU1645="LOSE",1,IF(N(V1645)&gt;0,V1645,IF(BX1645=1,MAX(1,N(VLOOKUP(T1645,Parameter!$I$27:$K$29,3,0)),H1645,N(N1645)),IF(N(Q1645)&gt;0,Q1645,MAX(1,H1645)))))</f>
        <v>20</v>
      </c>
      <c r="BW1645" s="53" t="n">
        <f aca="false">IF(BU1645="LOSE",1,0)</f>
        <v>0</v>
      </c>
      <c r="BX1645" s="53" t="n">
        <f aca="false">IF(AND(U1645="",OR(P1645="",P1645="LOSE"),T1645&lt;&gt;"",N(S1645)&lt;=0,ISNUMBER(MATCH(T1645,Parameter!$I$27:$I$29,0))),1,0)</f>
        <v>1</v>
      </c>
      <c r="BY1645" s="53" t="n">
        <f aca="false">IF(CL1645&gt;0,INDEX(Parameter!$H$5:$H$7,W1645)/INDEX(Parameter!$E$5:$E$7,W1645),IF(AND(BW1645=0,N(IFERROR(VLOOKUP(BU1645,'Gebinde-Kategorie'!$A$5:$N$45,14,0),0))&gt;0),VLOOKUP(BU1645,'Gebinde-Kategorie'!$A$5:$N$45,14,0)*10+Parameter!$M$23,Parameter!$M$24))</f>
        <v>155</v>
      </c>
      <c r="BZ1645" s="48" t="str">
        <f aca="false">IF(AND(Parameter!$B$19="Ja",E1645&lt;&gt;"",ISNUMBER(MATCH(E1645,Parameter!$I$35:$I$52,0))),VLOOKUP(E1645,Parameter!$I$35:$J$52,2,0),IFERROR(VLOOKUP(D1645,Parameter!$A$35:$C$64,2,0),"Nein"))</f>
        <v>2+3</v>
      </c>
      <c r="CA1645" s="52" t="n">
        <f aca="false">IF(BW1645=0,0,IF(N(S1645)&gt;0,S1645,IFERROR(VLOOKUP(D1645,Parameter!$A$35:$C$64,3,0)+0,0)))</f>
        <v>0</v>
      </c>
      <c r="CB1645" s="48" t="n">
        <f aca="false">IF(AA1645&lt;&gt;"",AA1645,Z1645)</f>
        <v>3</v>
      </c>
      <c r="CC1645" s="48" t="str">
        <f aca="false">IF(OR(CB1645=1,CB1645=2,CB1645=3),IF(Parameter!$E$27="Ja","LIFT",IF(CB1645=1,"L1","L23")),IF(CB1645="Aussen","Aussen","-"))</f>
        <v>LIFT</v>
      </c>
      <c r="CD1645" s="59" t="n">
        <f aca="false">IF(N(AB1645)&gt;0,AB1645,0)</f>
        <v>0</v>
      </c>
      <c r="CE1645" s="53" t="n">
        <f aca="false">IF(ISNUMBER(AE1645),1,0)</f>
        <v>0</v>
      </c>
      <c r="CF1645" s="50" t="n">
        <f aca="false">N(AE1645)</f>
        <v>0</v>
      </c>
      <c r="CG1645" s="50" t="n">
        <f aca="false">N(M1645)+N(N1645)</f>
        <v>1</v>
      </c>
      <c r="CH1645" s="50" t="n">
        <f aca="false">ROUNDUP(H1645/BV1645,0)</f>
        <v>1</v>
      </c>
      <c r="CI1645" s="50" t="n">
        <f aca="false">ROUNDUP(CF1645/BV1645,0)</f>
        <v>0</v>
      </c>
      <c r="CJ1645" s="53" t="n">
        <f aca="false">IF(BW1645=1,0,IFERROR(VLOOKUP(BU1645,'Gebinde-Kategorie'!$A$5:$N$45,5,0)+0,0))</f>
        <v>11</v>
      </c>
      <c r="CK1645" s="53" t="n">
        <f aca="false">IFERROR(IF(OR(CB1645=1,CB1645=2,CB1645=3),N(INDEX(Parameter!$I$5:$I$7,CB1645)),0),0)</f>
        <v>0</v>
      </c>
      <c r="CL1645" s="52" t="n">
        <f aca="false">IF(AND(Parameter!$B$21="Ja",ISNUMBER(W1645),N(X1645)&gt;0),IFERROR(N(INDEX(Parameter!$L$5:$L$7,W1645))*INDEX(Parameter!$E$5:$E$7,W1645)*X1645/SUMIFS($X$7:$X$1843,$W$7:$W$1843,W1645),0),0)</f>
        <v>0</v>
      </c>
    </row>
    <row r="1646" customFormat="false" ht="15" hidden="false" customHeight="false" outlineLevel="0" collapsed="false">
      <c r="A1646" s="48" t="s">
        <v>2867</v>
      </c>
      <c r="B1646" s="48" t="s">
        <v>2459</v>
      </c>
      <c r="C1646" s="48" t="s">
        <v>168</v>
      </c>
      <c r="D1646" s="48" t="s">
        <v>177</v>
      </c>
      <c r="E1646" s="48"/>
      <c r="F1646" s="48"/>
      <c r="G1646" s="49" t="n">
        <v>600</v>
      </c>
      <c r="H1646" s="50" t="n">
        <f aca="false">MAX(0,IF(AND(Parameter!$B$21="Ja",ISNUMBER(Y1646)),Y1646,IF(Parameter!$B$20="Jahresanfang 2025 + Export",BO1646+BN1646,BN1646)))</f>
        <v>1</v>
      </c>
      <c r="I1646" s="50" t="n">
        <f aca="false">H1646*G1646</f>
        <v>600</v>
      </c>
      <c r="J1646" s="50" t="n">
        <f aca="false">BQ1646*Parameter!$B$18</f>
        <v>0</v>
      </c>
      <c r="K1646" s="51"/>
      <c r="L1646" s="52"/>
      <c r="M1646" s="50" t="n">
        <v>0</v>
      </c>
      <c r="N1646" s="50" t="n">
        <v>1</v>
      </c>
      <c r="O1646" s="53" t="n">
        <v>0</v>
      </c>
      <c r="P1646" s="48" t="s">
        <v>172</v>
      </c>
      <c r="Q1646" s="50"/>
      <c r="R1646" s="53" t="n">
        <f aca="false">IF(BW1646=1,0,IFERROR(VLOOKUP(BU1646,'Gebinde-Kategorie'!$A$5:$N$45,13,0)+0,0))</f>
        <v>4</v>
      </c>
      <c r="S1646" s="54"/>
      <c r="T1646" s="55" t="s">
        <v>193</v>
      </c>
      <c r="U1646" s="55"/>
      <c r="V1646" s="55"/>
      <c r="W1646" s="48"/>
      <c r="X1646" s="50"/>
      <c r="Y1646" s="50"/>
      <c r="Z1646" s="48" t="n">
        <f aca="false">IF(A1646="","",IF(AND(Parameter!$B$21="Ja",ISNUMBER(W1646)),W1646,IF(BZ1646="2+3",IF(ISNUMBER(SEARCH("grosser Artikel",BR1646)),2,IFERROR(VLOOKUP(BU1646,Parameter!$F$35:$G$64,2,0),2)),IF(OR(BZ1646="Nein",BZ1646=""),"-",BZ1646))))</f>
        <v>2</v>
      </c>
      <c r="AA1646" s="55"/>
      <c r="AB1646" s="56"/>
      <c r="AC1646" s="50" t="n">
        <f aca="false">AT1646</f>
        <v>2</v>
      </c>
      <c r="AD1646" s="50" t="n">
        <f aca="false">MAX(AT1646,H1646)</f>
        <v>2</v>
      </c>
      <c r="AE1646" s="57"/>
      <c r="AF1646" s="50" t="n">
        <f aca="false">IF(LEFT(Cockpit!$C$5,1)="A",H1646,IF(CE1646=1,CF1646,IF(LEFT(Cockpit!$C$5,1)="B",AK1646,MAX(AK1646,H1646))))</f>
        <v>1</v>
      </c>
      <c r="AG1646" s="50" t="n">
        <f aca="false">IF(BW1646=1,0,ROUNDUP(AF1646/BV1646,0))</f>
        <v>1</v>
      </c>
      <c r="AH1646" s="52" t="n">
        <f aca="false">IF(CL1646&gt;0,CL1646*MAX(1,AF1646/X1646),IF(BW1646=1,IF(AF1646&lt;=0,0,CA1646*MAX(1,IF(H1646&gt;0,AF1646/H1646,1))),IF(R1646&gt;0,AG1646/R1646,0))/MAX(0.1,N(Parameter!$M$21)))</f>
        <v>0.25</v>
      </c>
      <c r="AI1646" s="50" t="n">
        <f aca="false">AH1646*BY1646</f>
        <v>58.75</v>
      </c>
      <c r="AJ1646" s="50" t="n">
        <f aca="false">AF1646*G1646</f>
        <v>600</v>
      </c>
      <c r="AK1646" s="50" t="n">
        <f aca="false">ROUNDUP(MAX(J1646/IF(CD1646&gt;0,CD1646,MAX(0.1,N(Cockpit!$C$6))),CG1646)/BV1646,0)*BV1646</f>
        <v>2</v>
      </c>
      <c r="AL1646" s="51" t="n">
        <f aca="false">IF(AI1646&gt;0,J1646/AI1646,-1)</f>
        <v>0</v>
      </c>
      <c r="AM1646" s="51" t="n">
        <f aca="false">IF(AND(OR(CC1646="L1",CC1646="L23",CC1646="LIFT"),AI1646&gt;0),SUMIFS($AI$7:$AI$1843,$CC$7:$CC$1843,CC1646,$AL$7:$AL$1843,"&gt;"&amp;AL1646)+SUMIFS($AI$7:$AI$1843,$CC$7:$CC$1843,CC1646,$AL$7:$AL$1843,AL1646,$BT$7:$BT$1843,"&lt;="&amp;BT1646),"")</f>
        <v>31170.5097292068</v>
      </c>
      <c r="AN1646" s="58" t="n">
        <f aca="false">IF(AM1646="",0,MAX(0,MIN(1,(IF(CC1646="L1",Parameter!$H$5,IF(CC1646="L23",Parameter!$H$6+Parameter!$H$7,Parameter!$H$5+Parameter!$H$6+Parameter!$H$7))-(AM1646-AI1646))/AI1646)))</f>
        <v>1</v>
      </c>
      <c r="AO1646" s="50" t="n">
        <f aca="false">IF(LEFT(Cockpit!$I$5,1)="A",H1646,IF(CE1646=1,CF1646,IF(LEFT(Cockpit!$I$5,1)="B",AT1646,MAX(AT1646,H1646))))</f>
        <v>2</v>
      </c>
      <c r="AP1646" s="50" t="n">
        <f aca="false">IF(BW1646=1,0,ROUNDUP(AO1646/BV1646,0))</f>
        <v>1</v>
      </c>
      <c r="AQ1646" s="52" t="n">
        <f aca="false">IF(CL1646&gt;0,CL1646*MAX(1,AO1646/X1646),IF(BW1646=1,IF(AO1646&lt;=0,0,CA1646*MAX(1,IF(H1646&gt;0,AO1646/H1646,1))),IF(R1646&gt;0,AP1646/R1646,0))/MAX(0.1,N(Parameter!$M$21)))</f>
        <v>0.25</v>
      </c>
      <c r="AR1646" s="50" t="n">
        <f aca="false">AQ1646*BY1646</f>
        <v>58.75</v>
      </c>
      <c r="AS1646" s="50" t="n">
        <f aca="false">AO1646*G1646</f>
        <v>1200</v>
      </c>
      <c r="AT1646" s="50" t="n">
        <f aca="false">ROUNDUP(MAX(J1646/IF(CD1646&gt;0,CD1646,MAX(0.1,N(Cockpit!$I$6))),CG1646)/BV1646,0)*BV1646</f>
        <v>2</v>
      </c>
      <c r="AU1646" s="51" t="n">
        <f aca="false">IF(AR1646&gt;0,J1646/AR1646,-1)</f>
        <v>0</v>
      </c>
      <c r="AV1646" s="51" t="n">
        <f aca="false">IF(AND(OR(CC1646="L1",CC1646="L23",CC1646="LIFT"),AR1646&gt;0),SUMIFS($AR$7:$AR$1843,$CC$7:$CC$1843,CC1646,$AU$7:$AU$1843,"&gt;"&amp;AU1646)+SUMIFS($AR$7:$AR$1843,$CC$7:$CC$1843,CC1646,$AU$7:$AU$1843,AU1646,$BT$7:$BT$1843,"&lt;="&amp;BT1646),"")</f>
        <v>43570.5099697854</v>
      </c>
      <c r="AW1646" s="58" t="n">
        <f aca="false">IF(AV1646="",0,MAX(0,MIN(1,(IF(CC1646="L1",Parameter!$H$5,IF(CC1646="L23",Parameter!$H$6+Parameter!$H$7,Parameter!$H$5+Parameter!$H$6+Parameter!$H$7))-(AV1646-AR1646))/AR1646)))</f>
        <v>0</v>
      </c>
      <c r="AX1646" s="50" t="n">
        <f aca="false">IF(LEFT(Cockpit!$O$5,1)="A",H1646,IF(CE1646=1,CF1646,IF(LEFT(Cockpit!$O$5,1)="B",BC1646,MAX(BC1646,H1646))))</f>
        <v>2</v>
      </c>
      <c r="AY1646" s="50" t="n">
        <f aca="false">IF(BW1646=1,0,ROUNDUP(AX1646/BV1646,0))</f>
        <v>1</v>
      </c>
      <c r="AZ1646" s="52" t="n">
        <f aca="false">IF(CL1646&gt;0,CL1646*MAX(1,AX1646/X1646),IF(BW1646=1,IF(AX1646&lt;=0,0,CA1646*MAX(1,IF(H1646&gt;0,AX1646/H1646,1))),IF(R1646&gt;0,AY1646/R1646,0))/MAX(0.1,N(Parameter!$M$21)))</f>
        <v>0.25</v>
      </c>
      <c r="BA1646" s="50" t="n">
        <f aca="false">AZ1646*BY1646</f>
        <v>58.75</v>
      </c>
      <c r="BB1646" s="50" t="n">
        <f aca="false">AX1646*G1646</f>
        <v>1200</v>
      </c>
      <c r="BC1646" s="50" t="n">
        <f aca="false">ROUNDUP(MAX(J1646/IF(CD1646&gt;0,CD1646,MAX(0.1,N(Cockpit!$O$6))),CG1646)/BV1646,0)*BV1646</f>
        <v>2</v>
      </c>
      <c r="BD1646" s="51" t="n">
        <f aca="false">IF(BA1646&gt;0,J1646/BA1646,-1)</f>
        <v>0</v>
      </c>
      <c r="BE1646" s="51" t="n">
        <f aca="false">IF(AND(OR(CC1646="L1",CC1646="L23",CC1646="LIFT"),BA1646&gt;0),SUMIFS($BA$7:$BA$1843,$CC$7:$CC$1843,CC1646,$BD$7:$BD$1843,"&gt;"&amp;BD1646)+SUMIFS($BA$7:$BA$1843,$CC$7:$CC$1843,CC1646,$BD$7:$BD$1843,BD1646,$BT$7:$BT$1843,"&lt;="&amp;BT1646),"")</f>
        <v>40245.5220116513</v>
      </c>
      <c r="BF1646" s="58" t="n">
        <f aca="false">IF(BE1646="",0,MAX(0,MIN(1,(IF(CC1646="L1",Parameter!$H$5,IF(CC1646="L23",Parameter!$H$6+Parameter!$H$7,Parameter!$H$5+Parameter!$H$6+Parameter!$H$7))-(BE1646-BA1646))/BA1646)))</f>
        <v>0</v>
      </c>
      <c r="BG1646" s="48" t="str">
        <f aca="false">IF(AI1646&lt;=0,"",IF(CC1646="Aussen","Aussenlager",IF(CC1646="-","Nicht im Lift",IF(AN1646&gt;=1,"Lift",IF(AN1646&lt;=0,"Aussenlager","teilweise")))))</f>
        <v>Lift</v>
      </c>
      <c r="BH1646" s="48" t="str">
        <f aca="false">IF(AR1646&lt;=0,"",IF(CC1646="Aussen","Aussenlager",IF(CC1646="-","Nicht im Lift",IF(AW1646&gt;=1,"Lift",IF(AW1646&lt;=0,"Aussenlager","teilweise")))))</f>
        <v>Aussenlager</v>
      </c>
      <c r="BI1646" s="48" t="str">
        <f aca="false">IF(BA1646&lt;=0,"",IF(CC1646="Aussen","Aussenlager",IF(CC1646="-","Nicht im Lift",IF(BF1646&gt;=1,"Lift",IF(BF1646&lt;=0,"Aussenlager","teilweise")))))</f>
        <v>Aussenlager</v>
      </c>
      <c r="BJ1646" s="48" t="str">
        <f aca="false">IF(A1646="","",IF(BS1646=1,"Neu; ","")&amp;IF(AND(BS1646=0,BN1646&lt;0),"negativer Bestand (Export "&amp;BN1646&amp;"); ","")&amp;IF(J1646&lt;=0,"Kein Verbrauch; ","")&amp;IF(CL1646&gt;0,"Lift "&amp;W1646&amp;" lt. Liftbericht (Fach "&amp;X1646&amp;" Stk); ",IF(BX1646=1,"Gebinde geschätzt ("&amp;T1646&amp;"); ",IF(BW1646=1,"Lose – Tablare geschätzt; ","")))&amp;IF(H1646&gt;AT1646,"Überbestand "&amp;ROUND(H1646-AT1646,0)&amp;" Stk / CHF "&amp;ROUND((H1646-AT1646)*G1646,0)&amp;"; ","")&amp;IF(AND(CE1646=1,CF1646&lt;CG1646),"MAX &lt; MB+LG; ","")&amp;IF(AND(CK1646&gt;0,CJ1646*10&gt;CK1646),"zu hoch für Tablar; ","")&amp;IF(AND(BS1646=0,OR(CE1646=1,AA1646&lt;&gt;"",U1646&lt;&gt;"",V1646&lt;&gt;"",AB1646&lt;&gt;"")),"manuell übersteuert; ","")&amp;IF(AND(BW1646=0,R1646=0),"Gebinde unbekannt / Stellmass fehlt; ","")&amp;IF(AND(BW1646=0,N(V1646)&lt;=0,N(Q1646)&lt;=0),"Menge pro Gebinde fehlt (Ist = 1 Gebinde); ","")&amp;BR1646)</f>
        <v>Kein Verbrauch; Gebinde geschätzt (Gross); Menge pro Gebinde fehlt (Ist = 1 Gebinde); nur im Artikelstamm (Bestand 23.06.2026)</v>
      </c>
      <c r="BK1646" s="48"/>
      <c r="BL1646" s="48"/>
      <c r="BM1646" s="55"/>
      <c r="BN1646" s="50" t="n">
        <v>1</v>
      </c>
      <c r="BO1646" s="50" t="n">
        <v>0</v>
      </c>
      <c r="BP1646" s="49" t="n">
        <v>0</v>
      </c>
      <c r="BQ1646" s="50" t="n">
        <v>0</v>
      </c>
      <c r="BR1646" s="48" t="s">
        <v>2579</v>
      </c>
      <c r="BS1646" s="53" t="n">
        <v>0</v>
      </c>
      <c r="BT1646" s="53" t="n">
        <v>1646</v>
      </c>
      <c r="BU1646" s="48" t="str">
        <f aca="false">IF(U1646&lt;&gt;"",UPPER(TRIM(U1646)),IF(BX1646=1,UPPER(VLOOKUP(T1646,Parameter!$I$27:$K$29,2,0)),IF(P1646="","LOSE",P1646)))</f>
        <v>S81</v>
      </c>
      <c r="BV1646" s="50" t="n">
        <f aca="false">IF(BU1646="LOSE",1,IF(N(V1646)&gt;0,V1646,IF(BX1646=1,MAX(1,N(VLOOKUP(T1646,Parameter!$I$27:$K$29,3,0)),H1646,N(N1646)),IF(N(Q1646)&gt;0,Q1646,MAX(1,H1646)))))</f>
        <v>2</v>
      </c>
      <c r="BW1646" s="53" t="n">
        <f aca="false">IF(BU1646="LOSE",1,0)</f>
        <v>0</v>
      </c>
      <c r="BX1646" s="53" t="n">
        <f aca="false">IF(AND(U1646="",OR(P1646="",P1646="LOSE"),T1646&lt;&gt;"",N(S1646)&lt;=0,ISNUMBER(MATCH(T1646,Parameter!$I$27:$I$29,0))),1,0)</f>
        <v>1</v>
      </c>
      <c r="BY1646" s="53" t="n">
        <f aca="false">IF(CL1646&gt;0,INDEX(Parameter!$H$5:$H$7,W1646)/INDEX(Parameter!$E$5:$E$7,W1646),IF(AND(BW1646=0,N(IFERROR(VLOOKUP(BU1646,'Gebinde-Kategorie'!$A$5:$N$45,14,0),0))&gt;0),VLOOKUP(BU1646,'Gebinde-Kategorie'!$A$5:$N$45,14,0)*10+Parameter!$M$23,Parameter!$M$24))</f>
        <v>235</v>
      </c>
      <c r="BZ1646" s="48" t="str">
        <f aca="false">IF(AND(Parameter!$B$19="Ja",E1646&lt;&gt;"",ISNUMBER(MATCH(E1646,Parameter!$I$35:$I$52,0))),VLOOKUP(E1646,Parameter!$I$35:$J$52,2,0),IFERROR(VLOOKUP(D1646,Parameter!$A$35:$C$64,2,0),"Nein"))</f>
        <v>2+3</v>
      </c>
      <c r="CA1646" s="52" t="n">
        <f aca="false">IF(BW1646=0,0,IF(N(S1646)&gt;0,S1646,IFERROR(VLOOKUP(D1646,Parameter!$A$35:$C$64,3,0)+0,0)))</f>
        <v>0</v>
      </c>
      <c r="CB1646" s="48" t="n">
        <f aca="false">IF(AA1646&lt;&gt;"",AA1646,Z1646)</f>
        <v>2</v>
      </c>
      <c r="CC1646" s="48" t="str">
        <f aca="false">IF(OR(CB1646=1,CB1646=2,CB1646=3),IF(Parameter!$E$27="Ja","LIFT",IF(CB1646=1,"L1","L23")),IF(CB1646="Aussen","Aussen","-"))</f>
        <v>LIFT</v>
      </c>
      <c r="CD1646" s="59" t="n">
        <f aca="false">IF(N(AB1646)&gt;0,AB1646,0)</f>
        <v>0</v>
      </c>
      <c r="CE1646" s="53" t="n">
        <f aca="false">IF(ISNUMBER(AE1646),1,0)</f>
        <v>0</v>
      </c>
      <c r="CF1646" s="50" t="n">
        <f aca="false">N(AE1646)</f>
        <v>0</v>
      </c>
      <c r="CG1646" s="50" t="n">
        <f aca="false">N(M1646)+N(N1646)</f>
        <v>1</v>
      </c>
      <c r="CH1646" s="50" t="n">
        <f aca="false">ROUNDUP(H1646/BV1646,0)</f>
        <v>1</v>
      </c>
      <c r="CI1646" s="50" t="n">
        <f aca="false">ROUNDUP(CF1646/BV1646,0)</f>
        <v>0</v>
      </c>
      <c r="CJ1646" s="53" t="n">
        <f aca="false">IF(BW1646=1,0,IFERROR(VLOOKUP(BU1646,'Gebinde-Kategorie'!$A$5:$N$45,5,0)+0,0))</f>
        <v>20</v>
      </c>
      <c r="CK1646" s="53" t="n">
        <f aca="false">IFERROR(IF(OR(CB1646=1,CB1646=2,CB1646=3),N(INDEX(Parameter!$I$5:$I$7,CB1646)),0),0)</f>
        <v>0</v>
      </c>
      <c r="CL1646" s="52" t="n">
        <f aca="false">IF(AND(Parameter!$B$21="Ja",ISNUMBER(W1646),N(X1646)&gt;0),IFERROR(N(INDEX(Parameter!$L$5:$L$7,W1646))*INDEX(Parameter!$E$5:$E$7,W1646)*X1646/SUMIFS($X$7:$X$1843,$W$7:$W$1843,W1646),0),0)</f>
        <v>0</v>
      </c>
    </row>
    <row r="1647" customFormat="false" ht="15" hidden="false" customHeight="false" outlineLevel="0" collapsed="false">
      <c r="A1647" s="48" t="s">
        <v>2868</v>
      </c>
      <c r="B1647" s="48" t="s">
        <v>2869</v>
      </c>
      <c r="C1647" s="48" t="s">
        <v>168</v>
      </c>
      <c r="D1647" s="48" t="s">
        <v>177</v>
      </c>
      <c r="E1647" s="48" t="s">
        <v>189</v>
      </c>
      <c r="F1647" s="48"/>
      <c r="G1647" s="49" t="n">
        <v>5.42</v>
      </c>
      <c r="H1647" s="50" t="n">
        <f aca="false">MAX(0,IF(AND(Parameter!$B$21="Ja",ISNUMBER(Y1647)),Y1647,IF(Parameter!$B$20="Jahresanfang 2025 + Export",BO1647+BN1647,BN1647)))</f>
        <v>203</v>
      </c>
      <c r="I1647" s="50" t="n">
        <f aca="false">H1647*G1647</f>
        <v>1100.26</v>
      </c>
      <c r="J1647" s="50" t="n">
        <f aca="false">BQ1647*Parameter!$B$18</f>
        <v>0</v>
      </c>
      <c r="K1647" s="51"/>
      <c r="L1647" s="52"/>
      <c r="M1647" s="50" t="n">
        <v>0</v>
      </c>
      <c r="N1647" s="50" t="n">
        <v>50</v>
      </c>
      <c r="O1647" s="53" t="n">
        <v>14</v>
      </c>
      <c r="P1647" s="48" t="s">
        <v>172</v>
      </c>
      <c r="Q1647" s="50"/>
      <c r="R1647" s="53" t="n">
        <f aca="false">IF(BW1647=1,0,IFERROR(VLOOKUP(BU1647,'Gebinde-Kategorie'!$A$5:$N$45,13,0)+0,0))</f>
        <v>12</v>
      </c>
      <c r="S1647" s="54"/>
      <c r="T1647" s="55" t="s">
        <v>183</v>
      </c>
      <c r="U1647" s="55"/>
      <c r="V1647" s="55"/>
      <c r="W1647" s="48"/>
      <c r="X1647" s="50"/>
      <c r="Y1647" s="50"/>
      <c r="Z1647" s="48" t="n">
        <f aca="false">IF(A1647="","",IF(AND(Parameter!$B$21="Ja",ISNUMBER(W1647)),W1647,IF(BZ1647="2+3",IF(ISNUMBER(SEARCH("grosser Artikel",BR1647)),2,IFERROR(VLOOKUP(BU1647,Parameter!$F$35:$G$64,2,0),2)),IF(OR(BZ1647="Nein",BZ1647=""),"-",BZ1647))))</f>
        <v>2</v>
      </c>
      <c r="AA1647" s="55"/>
      <c r="AB1647" s="56"/>
      <c r="AC1647" s="50" t="n">
        <f aca="false">AT1647</f>
        <v>203</v>
      </c>
      <c r="AD1647" s="50" t="n">
        <f aca="false">MAX(AT1647,H1647)</f>
        <v>203</v>
      </c>
      <c r="AE1647" s="57"/>
      <c r="AF1647" s="50" t="n">
        <f aca="false">IF(LEFT(Cockpit!$C$5,1)="A",H1647,IF(CE1647=1,CF1647,IF(LEFT(Cockpit!$C$5,1)="B",AK1647,MAX(AK1647,H1647))))</f>
        <v>203</v>
      </c>
      <c r="AG1647" s="50" t="n">
        <f aca="false">IF(BW1647=1,0,ROUNDUP(AF1647/BV1647,0))</f>
        <v>1</v>
      </c>
      <c r="AH1647" s="52" t="n">
        <f aca="false">IF(CL1647&gt;0,CL1647*MAX(1,AF1647/X1647),IF(BW1647=1,IF(AF1647&lt;=0,0,CA1647*MAX(1,IF(H1647&gt;0,AF1647/H1647,1))),IF(R1647&gt;0,AG1647/R1647,0))/MAX(0.1,N(Parameter!$M$21)))</f>
        <v>0.0833333333333333</v>
      </c>
      <c r="AI1647" s="50" t="n">
        <f aca="false">AH1647*BY1647</f>
        <v>12.0833333333333</v>
      </c>
      <c r="AJ1647" s="50" t="n">
        <f aca="false">AF1647*G1647</f>
        <v>1100.26</v>
      </c>
      <c r="AK1647" s="50" t="n">
        <f aca="false">ROUNDUP(MAX(J1647/IF(CD1647&gt;0,CD1647,MAX(0.1,N(Cockpit!$C$6))),CG1647)/BV1647,0)*BV1647</f>
        <v>203</v>
      </c>
      <c r="AL1647" s="51" t="n">
        <f aca="false">IF(AI1647&gt;0,J1647/AI1647,-1)</f>
        <v>0</v>
      </c>
      <c r="AM1647" s="51" t="n">
        <f aca="false">IF(AND(OR(CC1647="L1",CC1647="L23",CC1647="LIFT"),AI1647&gt;0),SUMIFS($AI$7:$AI$1843,$CC$7:$CC$1843,CC1647,$AL$7:$AL$1843,"&gt;"&amp;AL1647)+SUMIFS($AI$7:$AI$1843,$CC$7:$CC$1843,CC1647,$AL$7:$AL$1843,AL1647,$BT$7:$BT$1843,"&lt;="&amp;BT1647),"")</f>
        <v>31182.5930625401</v>
      </c>
      <c r="AN1647" s="58" t="n">
        <f aca="false">IF(AM1647="",0,MAX(0,MIN(1,(IF(CC1647="L1",Parameter!$H$5,IF(CC1647="L23",Parameter!$H$6+Parameter!$H$7,Parameter!$H$5+Parameter!$H$6+Parameter!$H$7))-(AM1647-AI1647))/AI1647)))</f>
        <v>1</v>
      </c>
      <c r="AO1647" s="50" t="n">
        <f aca="false">IF(LEFT(Cockpit!$I$5,1)="A",H1647,IF(CE1647=1,CF1647,IF(LEFT(Cockpit!$I$5,1)="B",AT1647,MAX(AT1647,H1647))))</f>
        <v>203</v>
      </c>
      <c r="AP1647" s="50" t="n">
        <f aca="false">IF(BW1647=1,0,ROUNDUP(AO1647/BV1647,0))</f>
        <v>1</v>
      </c>
      <c r="AQ1647" s="52" t="n">
        <f aca="false">IF(CL1647&gt;0,CL1647*MAX(1,AO1647/X1647),IF(BW1647=1,IF(AO1647&lt;=0,0,CA1647*MAX(1,IF(H1647&gt;0,AO1647/H1647,1))),IF(R1647&gt;0,AP1647/R1647,0))/MAX(0.1,N(Parameter!$M$21)))</f>
        <v>0.0833333333333333</v>
      </c>
      <c r="AR1647" s="50" t="n">
        <f aca="false">AQ1647*BY1647</f>
        <v>12.0833333333333</v>
      </c>
      <c r="AS1647" s="50" t="n">
        <f aca="false">AO1647*G1647</f>
        <v>1100.26</v>
      </c>
      <c r="AT1647" s="50" t="n">
        <f aca="false">ROUNDUP(MAX(J1647/IF(CD1647&gt;0,CD1647,MAX(0.1,N(Cockpit!$I$6))),CG1647)/BV1647,0)*BV1647</f>
        <v>203</v>
      </c>
      <c r="AU1647" s="51" t="n">
        <f aca="false">IF(AR1647&gt;0,J1647/AR1647,-1)</f>
        <v>0</v>
      </c>
      <c r="AV1647" s="51" t="n">
        <f aca="false">IF(AND(OR(CC1647="L1",CC1647="L23",CC1647="LIFT"),AR1647&gt;0),SUMIFS($AR$7:$AR$1843,$CC$7:$CC$1843,CC1647,$AU$7:$AU$1843,"&gt;"&amp;AU1647)+SUMIFS($AR$7:$AR$1843,$CC$7:$CC$1843,CC1647,$AU$7:$AU$1843,AU1647,$BT$7:$BT$1843,"&lt;="&amp;BT1647),"")</f>
        <v>43582.5933031187</v>
      </c>
      <c r="AW1647" s="58" t="n">
        <f aca="false">IF(AV1647="",0,MAX(0,MIN(1,(IF(CC1647="L1",Parameter!$H$5,IF(CC1647="L23",Parameter!$H$6+Parameter!$H$7,Parameter!$H$5+Parameter!$H$6+Parameter!$H$7))-(AV1647-AR1647))/AR1647)))</f>
        <v>0</v>
      </c>
      <c r="AX1647" s="50" t="n">
        <f aca="false">IF(LEFT(Cockpit!$O$5,1)="A",H1647,IF(CE1647=1,CF1647,IF(LEFT(Cockpit!$O$5,1)="B",BC1647,MAX(BC1647,H1647))))</f>
        <v>203</v>
      </c>
      <c r="AY1647" s="50" t="n">
        <f aca="false">IF(BW1647=1,0,ROUNDUP(AX1647/BV1647,0))</f>
        <v>1</v>
      </c>
      <c r="AZ1647" s="52" t="n">
        <f aca="false">IF(CL1647&gt;0,CL1647*MAX(1,AX1647/X1647),IF(BW1647=1,IF(AX1647&lt;=0,0,CA1647*MAX(1,IF(H1647&gt;0,AX1647/H1647,1))),IF(R1647&gt;0,AY1647/R1647,0))/MAX(0.1,N(Parameter!$M$21)))</f>
        <v>0.0833333333333333</v>
      </c>
      <c r="BA1647" s="50" t="n">
        <f aca="false">AZ1647*BY1647</f>
        <v>12.0833333333333</v>
      </c>
      <c r="BB1647" s="50" t="n">
        <f aca="false">AX1647*G1647</f>
        <v>1100.26</v>
      </c>
      <c r="BC1647" s="50" t="n">
        <f aca="false">ROUNDUP(MAX(J1647/IF(CD1647&gt;0,CD1647,MAX(0.1,N(Cockpit!$O$6))),CG1647)/BV1647,0)*BV1647</f>
        <v>203</v>
      </c>
      <c r="BD1647" s="51" t="n">
        <f aca="false">IF(BA1647&gt;0,J1647/BA1647,-1)</f>
        <v>0</v>
      </c>
      <c r="BE1647" s="51" t="n">
        <f aca="false">IF(AND(OR(CC1647="L1",CC1647="L23",CC1647="LIFT"),BA1647&gt;0),SUMIFS($BA$7:$BA$1843,$CC$7:$CC$1843,CC1647,$BD$7:$BD$1843,"&gt;"&amp;BD1647)+SUMIFS($BA$7:$BA$1843,$CC$7:$CC$1843,CC1647,$BD$7:$BD$1843,BD1647,$BT$7:$BT$1843,"&lt;="&amp;BT1647),"")</f>
        <v>40257.6053449846</v>
      </c>
      <c r="BF1647" s="58" t="n">
        <f aca="false">IF(BE1647="",0,MAX(0,MIN(1,(IF(CC1647="L1",Parameter!$H$5,IF(CC1647="L23",Parameter!$H$6+Parameter!$H$7,Parameter!$H$5+Parameter!$H$6+Parameter!$H$7))-(BE1647-BA1647))/BA1647)))</f>
        <v>0</v>
      </c>
      <c r="BG1647" s="48" t="str">
        <f aca="false">IF(AI1647&lt;=0,"",IF(CC1647="Aussen","Aussenlager",IF(CC1647="-","Nicht im Lift",IF(AN1647&gt;=1,"Lift",IF(AN1647&lt;=0,"Aussenlager","teilweise")))))</f>
        <v>Lift</v>
      </c>
      <c r="BH1647" s="48" t="str">
        <f aca="false">IF(AR1647&lt;=0,"",IF(CC1647="Aussen","Aussenlager",IF(CC1647="-","Nicht im Lift",IF(AW1647&gt;=1,"Lift",IF(AW1647&lt;=0,"Aussenlager","teilweise")))))</f>
        <v>Aussenlager</v>
      </c>
      <c r="BI1647" s="48" t="str">
        <f aca="false">IF(BA1647&lt;=0,"",IF(CC1647="Aussen","Aussenlager",IF(CC1647="-","Nicht im Lift",IF(BF1647&gt;=1,"Lift",IF(BF1647&lt;=0,"Aussenlager","teilweise")))))</f>
        <v>Aussenlager</v>
      </c>
      <c r="BJ1647" s="48" t="str">
        <f aca="false">IF(A1647="","",IF(BS1647=1,"Neu; ","")&amp;IF(AND(BS1647=0,BN1647&lt;0),"negativer Bestand (Export "&amp;BN1647&amp;"); ","")&amp;IF(J1647&lt;=0,"Kein Verbrauch; ","")&amp;IF(CL1647&gt;0,"Lift "&amp;W1647&amp;" lt. Liftbericht (Fach "&amp;X1647&amp;" Stk); ",IF(BX1647=1,"Gebinde geschätzt ("&amp;T1647&amp;"); ",IF(BW1647=1,"Lose – Tablare geschätzt; ","")))&amp;IF(H1647&gt;AT1647,"Überbestand "&amp;ROUND(H1647-AT1647,0)&amp;" Stk / CHF "&amp;ROUND((H1647-AT1647)*G1647,0)&amp;"; ","")&amp;IF(AND(CE1647=1,CF1647&lt;CG1647),"MAX &lt; MB+LG; ","")&amp;IF(AND(CK1647&gt;0,CJ1647*10&gt;CK1647),"zu hoch für Tablar; ","")&amp;IF(AND(BS1647=0,OR(CE1647=1,AA1647&lt;&gt;"",U1647&lt;&gt;"",V1647&lt;&gt;"",AB1647&lt;&gt;"")),"manuell übersteuert; ","")&amp;IF(AND(BW1647=0,R1647=0),"Gebinde unbekannt / Stellmass fehlt; ","")&amp;IF(AND(BW1647=0,N(V1647)&lt;=0,N(Q1647)&lt;=0),"Menge pro Gebinde fehlt (Ist = 1 Gebinde); ","")&amp;BR1647)</f>
        <v>Kein Verbrauch; Gebinde geschätzt (Mittel); Menge pro Gebinde fehlt (Ist = 1 Gebinde); nur im Artikelstamm (Bestand 23.06.2026); Neu; nicht im KTL vorhanden</v>
      </c>
      <c r="BK1647" s="48"/>
      <c r="BL1647" s="48"/>
      <c r="BM1647" s="55"/>
      <c r="BN1647" s="50" t="n">
        <v>203</v>
      </c>
      <c r="BO1647" s="50" t="n">
        <v>0</v>
      </c>
      <c r="BP1647" s="49" t="n">
        <v>0</v>
      </c>
      <c r="BQ1647" s="50" t="n">
        <v>0</v>
      </c>
      <c r="BR1647" s="48" t="s">
        <v>2870</v>
      </c>
      <c r="BS1647" s="53" t="n">
        <v>0</v>
      </c>
      <c r="BT1647" s="53" t="n">
        <v>1647</v>
      </c>
      <c r="BU1647" s="48" t="str">
        <f aca="false">IF(U1647&lt;&gt;"",UPPER(TRIM(U1647)),IF(BX1647=1,UPPER(VLOOKUP(T1647,Parameter!$I$27:$K$29,2,0)),IF(P1647="","LOSE",P1647)))</f>
        <v>S61</v>
      </c>
      <c r="BV1647" s="50" t="n">
        <f aca="false">IF(BU1647="LOSE",1,IF(N(V1647)&gt;0,V1647,IF(BX1647=1,MAX(1,N(VLOOKUP(T1647,Parameter!$I$27:$K$29,3,0)),H1647,N(N1647)),IF(N(Q1647)&gt;0,Q1647,MAX(1,H1647)))))</f>
        <v>203</v>
      </c>
      <c r="BW1647" s="53" t="n">
        <f aca="false">IF(BU1647="LOSE",1,0)</f>
        <v>0</v>
      </c>
      <c r="BX1647" s="53" t="n">
        <f aca="false">IF(AND(U1647="",OR(P1647="",P1647="LOSE"),T1647&lt;&gt;"",N(S1647)&lt;=0,ISNUMBER(MATCH(T1647,Parameter!$I$27:$I$29,0))),1,0)</f>
        <v>1</v>
      </c>
      <c r="BY1647" s="53" t="n">
        <f aca="false">IF(CL1647&gt;0,INDEX(Parameter!$H$5:$H$7,W1647)/INDEX(Parameter!$E$5:$E$7,W1647),IF(AND(BW1647=0,N(IFERROR(VLOOKUP(BU1647,'Gebinde-Kategorie'!$A$5:$N$45,14,0),0))&gt;0),VLOOKUP(BU1647,'Gebinde-Kategorie'!$A$5:$N$45,14,0)*10+Parameter!$M$23,Parameter!$M$24))</f>
        <v>145</v>
      </c>
      <c r="BZ1647" s="48" t="str">
        <f aca="false">IF(AND(Parameter!$B$19="Ja",E1647&lt;&gt;"",ISNUMBER(MATCH(E1647,Parameter!$I$35:$I$52,0))),VLOOKUP(E1647,Parameter!$I$35:$J$52,2,0),IFERROR(VLOOKUP(D1647,Parameter!$A$35:$C$64,2,0),"Nein"))</f>
        <v>2+3</v>
      </c>
      <c r="CA1647" s="52" t="n">
        <f aca="false">IF(BW1647=0,0,IF(N(S1647)&gt;0,S1647,IFERROR(VLOOKUP(D1647,Parameter!$A$35:$C$64,3,0)+0,0)))</f>
        <v>0</v>
      </c>
      <c r="CB1647" s="48" t="n">
        <f aca="false">IF(AA1647&lt;&gt;"",AA1647,Z1647)</f>
        <v>2</v>
      </c>
      <c r="CC1647" s="48" t="str">
        <f aca="false">IF(OR(CB1647=1,CB1647=2,CB1647=3),IF(Parameter!$E$27="Ja","LIFT",IF(CB1647=1,"L1","L23")),IF(CB1647="Aussen","Aussen","-"))</f>
        <v>LIFT</v>
      </c>
      <c r="CD1647" s="59" t="n">
        <f aca="false">IF(N(AB1647)&gt;0,AB1647,0)</f>
        <v>0</v>
      </c>
      <c r="CE1647" s="53" t="n">
        <f aca="false">IF(ISNUMBER(AE1647),1,0)</f>
        <v>0</v>
      </c>
      <c r="CF1647" s="50" t="n">
        <f aca="false">N(AE1647)</f>
        <v>0</v>
      </c>
      <c r="CG1647" s="50" t="n">
        <f aca="false">N(M1647)+N(N1647)</f>
        <v>50</v>
      </c>
      <c r="CH1647" s="50" t="n">
        <f aca="false">ROUNDUP(H1647/BV1647,0)</f>
        <v>1</v>
      </c>
      <c r="CI1647" s="50" t="n">
        <f aca="false">ROUNDUP(CF1647/BV1647,0)</f>
        <v>0</v>
      </c>
      <c r="CJ1647" s="53" t="n">
        <f aca="false">IF(BW1647=1,0,IFERROR(VLOOKUP(BU1647,'Gebinde-Kategorie'!$A$5:$N$45,5,0)+0,0))</f>
        <v>11</v>
      </c>
      <c r="CK1647" s="53" t="n">
        <f aca="false">IFERROR(IF(OR(CB1647=1,CB1647=2,CB1647=3),N(INDEX(Parameter!$I$5:$I$7,CB1647)),0),0)</f>
        <v>0</v>
      </c>
      <c r="CL1647" s="52" t="n">
        <f aca="false">IF(AND(Parameter!$B$21="Ja",ISNUMBER(W1647),N(X1647)&gt;0),IFERROR(N(INDEX(Parameter!$L$5:$L$7,W1647))*INDEX(Parameter!$E$5:$E$7,W1647)*X1647/SUMIFS($X$7:$X$1843,$W$7:$W$1843,W1647),0),0)</f>
        <v>0</v>
      </c>
    </row>
    <row r="1648" customFormat="false" ht="15" hidden="false" customHeight="false" outlineLevel="0" collapsed="false">
      <c r="A1648" s="48" t="s">
        <v>2871</v>
      </c>
      <c r="B1648" s="48" t="s">
        <v>2872</v>
      </c>
      <c r="C1648" s="48" t="s">
        <v>168</v>
      </c>
      <c r="D1648" s="48" t="s">
        <v>188</v>
      </c>
      <c r="E1648" s="48"/>
      <c r="F1648" s="48"/>
      <c r="G1648" s="49" t="n">
        <v>1.87</v>
      </c>
      <c r="H1648" s="50" t="n">
        <f aca="false">MAX(0,IF(AND(Parameter!$B$21="Ja",ISNUMBER(Y1648)),Y1648,IF(Parameter!$B$20="Jahresanfang 2025 + Export",BO1648+BN1648,BN1648)))</f>
        <v>44</v>
      </c>
      <c r="I1648" s="50" t="n">
        <f aca="false">H1648*G1648</f>
        <v>82.28</v>
      </c>
      <c r="J1648" s="50" t="n">
        <f aca="false">BQ1648*Parameter!$B$18</f>
        <v>0</v>
      </c>
      <c r="K1648" s="51"/>
      <c r="L1648" s="52"/>
      <c r="M1648" s="50" t="n">
        <v>0</v>
      </c>
      <c r="N1648" s="50" t="n">
        <v>25</v>
      </c>
      <c r="O1648" s="53" t="n">
        <v>42</v>
      </c>
      <c r="P1648" s="48" t="s">
        <v>172</v>
      </c>
      <c r="Q1648" s="50"/>
      <c r="R1648" s="53" t="n">
        <f aca="false">IF(BW1648=1,0,IFERROR(VLOOKUP(BU1648,'Gebinde-Kategorie'!$A$5:$N$45,13,0)+0,0))</f>
        <v>26</v>
      </c>
      <c r="S1648" s="54"/>
      <c r="T1648" s="55" t="s">
        <v>279</v>
      </c>
      <c r="U1648" s="55"/>
      <c r="V1648" s="55"/>
      <c r="W1648" s="48"/>
      <c r="X1648" s="50"/>
      <c r="Y1648" s="50"/>
      <c r="Z1648" s="48" t="n">
        <f aca="false">IF(A1648="","",IF(AND(Parameter!$B$21="Ja",ISNUMBER(W1648)),W1648,IF(BZ1648="2+3",IF(ISNUMBER(SEARCH("grosser Artikel",BR1648)),2,IFERROR(VLOOKUP(BU1648,Parameter!$F$35:$G$64,2,0),2)),IF(OR(BZ1648="Nein",BZ1648=""),"-",BZ1648))))</f>
        <v>3</v>
      </c>
      <c r="AA1648" s="55"/>
      <c r="AB1648" s="56"/>
      <c r="AC1648" s="50" t="n">
        <f aca="false">AT1648</f>
        <v>44</v>
      </c>
      <c r="AD1648" s="50" t="n">
        <f aca="false">MAX(AT1648,H1648)</f>
        <v>44</v>
      </c>
      <c r="AE1648" s="57"/>
      <c r="AF1648" s="50" t="n">
        <f aca="false">IF(LEFT(Cockpit!$C$5,1)="A",H1648,IF(CE1648=1,CF1648,IF(LEFT(Cockpit!$C$5,1)="B",AK1648,MAX(AK1648,H1648))))</f>
        <v>44</v>
      </c>
      <c r="AG1648" s="50" t="n">
        <f aca="false">IF(BW1648=1,0,ROUNDUP(AF1648/BV1648,0))</f>
        <v>1</v>
      </c>
      <c r="AH1648" s="52" t="n">
        <f aca="false">IF(CL1648&gt;0,CL1648*MAX(1,AF1648/X1648),IF(BW1648=1,IF(AF1648&lt;=0,0,CA1648*MAX(1,IF(H1648&gt;0,AF1648/H1648,1))),IF(R1648&gt;0,AG1648/R1648,0))/MAX(0.1,N(Parameter!$M$21)))</f>
        <v>0.0384615384615385</v>
      </c>
      <c r="AI1648" s="50" t="n">
        <f aca="false">AH1648*BY1648</f>
        <v>5.96153846153846</v>
      </c>
      <c r="AJ1648" s="50" t="n">
        <f aca="false">AF1648*G1648</f>
        <v>82.28</v>
      </c>
      <c r="AK1648" s="50" t="n">
        <f aca="false">ROUNDUP(MAX(J1648/IF(CD1648&gt;0,CD1648,MAX(0.1,N(Cockpit!$C$6))),CG1648)/BV1648,0)*BV1648</f>
        <v>44</v>
      </c>
      <c r="AL1648" s="51" t="n">
        <f aca="false">IF(AI1648&gt;0,J1648/AI1648,-1)</f>
        <v>0</v>
      </c>
      <c r="AM1648" s="51" t="n">
        <f aca="false">IF(AND(OR(CC1648="L1",CC1648="L23",CC1648="LIFT"),AI1648&gt;0),SUMIFS($AI$7:$AI$1843,$CC$7:$CC$1843,CC1648,$AL$7:$AL$1843,"&gt;"&amp;AL1648)+SUMIFS($AI$7:$AI$1843,$CC$7:$CC$1843,CC1648,$AL$7:$AL$1843,AL1648,$BT$7:$BT$1843,"&lt;="&amp;BT1648),"")</f>
        <v>31188.5546010016</v>
      </c>
      <c r="AN1648" s="58" t="n">
        <f aca="false">IF(AM1648="",0,MAX(0,MIN(1,(IF(CC1648="L1",Parameter!$H$5,IF(CC1648="L23",Parameter!$H$6+Parameter!$H$7,Parameter!$H$5+Parameter!$H$6+Parameter!$H$7))-(AM1648-AI1648))/AI1648)))</f>
        <v>1</v>
      </c>
      <c r="AO1648" s="50" t="n">
        <f aca="false">IF(LEFT(Cockpit!$I$5,1)="A",H1648,IF(CE1648=1,CF1648,IF(LEFT(Cockpit!$I$5,1)="B",AT1648,MAX(AT1648,H1648))))</f>
        <v>44</v>
      </c>
      <c r="AP1648" s="50" t="n">
        <f aca="false">IF(BW1648=1,0,ROUNDUP(AO1648/BV1648,0))</f>
        <v>1</v>
      </c>
      <c r="AQ1648" s="52" t="n">
        <f aca="false">IF(CL1648&gt;0,CL1648*MAX(1,AO1648/X1648),IF(BW1648=1,IF(AO1648&lt;=0,0,CA1648*MAX(1,IF(H1648&gt;0,AO1648/H1648,1))),IF(R1648&gt;0,AP1648/R1648,0))/MAX(0.1,N(Parameter!$M$21)))</f>
        <v>0.0384615384615385</v>
      </c>
      <c r="AR1648" s="50" t="n">
        <f aca="false">AQ1648*BY1648</f>
        <v>5.96153846153846</v>
      </c>
      <c r="AS1648" s="50" t="n">
        <f aca="false">AO1648*G1648</f>
        <v>82.28</v>
      </c>
      <c r="AT1648" s="50" t="n">
        <f aca="false">ROUNDUP(MAX(J1648/IF(CD1648&gt;0,CD1648,MAX(0.1,N(Cockpit!$I$6))),CG1648)/BV1648,0)*BV1648</f>
        <v>44</v>
      </c>
      <c r="AU1648" s="51" t="n">
        <f aca="false">IF(AR1648&gt;0,J1648/AR1648,-1)</f>
        <v>0</v>
      </c>
      <c r="AV1648" s="51" t="n">
        <f aca="false">IF(AND(OR(CC1648="L1",CC1648="L23",CC1648="LIFT"),AR1648&gt;0),SUMIFS($AR$7:$AR$1843,$CC$7:$CC$1843,CC1648,$AU$7:$AU$1843,"&gt;"&amp;AU1648)+SUMIFS($AR$7:$AR$1843,$CC$7:$CC$1843,CC1648,$AU$7:$AU$1843,AU1648,$BT$7:$BT$1843,"&lt;="&amp;BT1648),"")</f>
        <v>43588.5548415803</v>
      </c>
      <c r="AW1648" s="58" t="n">
        <f aca="false">IF(AV1648="",0,MAX(0,MIN(1,(IF(CC1648="L1",Parameter!$H$5,IF(CC1648="L23",Parameter!$H$6+Parameter!$H$7,Parameter!$H$5+Parameter!$H$6+Parameter!$H$7))-(AV1648-AR1648))/AR1648)))</f>
        <v>0</v>
      </c>
      <c r="AX1648" s="50" t="n">
        <f aca="false">IF(LEFT(Cockpit!$O$5,1)="A",H1648,IF(CE1648=1,CF1648,IF(LEFT(Cockpit!$O$5,1)="B",BC1648,MAX(BC1648,H1648))))</f>
        <v>44</v>
      </c>
      <c r="AY1648" s="50" t="n">
        <f aca="false">IF(BW1648=1,0,ROUNDUP(AX1648/BV1648,0))</f>
        <v>1</v>
      </c>
      <c r="AZ1648" s="52" t="n">
        <f aca="false">IF(CL1648&gt;0,CL1648*MAX(1,AX1648/X1648),IF(BW1648=1,IF(AX1648&lt;=0,0,CA1648*MAX(1,IF(H1648&gt;0,AX1648/H1648,1))),IF(R1648&gt;0,AY1648/R1648,0))/MAX(0.1,N(Parameter!$M$21)))</f>
        <v>0.0384615384615385</v>
      </c>
      <c r="BA1648" s="50" t="n">
        <f aca="false">AZ1648*BY1648</f>
        <v>5.96153846153846</v>
      </c>
      <c r="BB1648" s="50" t="n">
        <f aca="false">AX1648*G1648</f>
        <v>82.28</v>
      </c>
      <c r="BC1648" s="50" t="n">
        <f aca="false">ROUNDUP(MAX(J1648/IF(CD1648&gt;0,CD1648,MAX(0.1,N(Cockpit!$O$6))),CG1648)/BV1648,0)*BV1648</f>
        <v>44</v>
      </c>
      <c r="BD1648" s="51" t="n">
        <f aca="false">IF(BA1648&gt;0,J1648/BA1648,-1)</f>
        <v>0</v>
      </c>
      <c r="BE1648" s="51" t="n">
        <f aca="false">IF(AND(OR(CC1648="L1",CC1648="L23",CC1648="LIFT"),BA1648&gt;0),SUMIFS($BA$7:$BA$1843,$CC$7:$CC$1843,CC1648,$BD$7:$BD$1843,"&gt;"&amp;BD1648)+SUMIFS($BA$7:$BA$1843,$CC$7:$CC$1843,CC1648,$BD$7:$BD$1843,BD1648,$BT$7:$BT$1843,"&lt;="&amp;BT1648),"")</f>
        <v>40263.5668834461</v>
      </c>
      <c r="BF1648" s="58" t="n">
        <f aca="false">IF(BE1648="",0,MAX(0,MIN(1,(IF(CC1648="L1",Parameter!$H$5,IF(CC1648="L23",Parameter!$H$6+Parameter!$H$7,Parameter!$H$5+Parameter!$H$6+Parameter!$H$7))-(BE1648-BA1648))/BA1648)))</f>
        <v>0</v>
      </c>
      <c r="BG1648" s="48" t="str">
        <f aca="false">IF(AI1648&lt;=0,"",IF(CC1648="Aussen","Aussenlager",IF(CC1648="-","Nicht im Lift",IF(AN1648&gt;=1,"Lift",IF(AN1648&lt;=0,"Aussenlager","teilweise")))))</f>
        <v>Lift</v>
      </c>
      <c r="BH1648" s="48" t="str">
        <f aca="false">IF(AR1648&lt;=0,"",IF(CC1648="Aussen","Aussenlager",IF(CC1648="-","Nicht im Lift",IF(AW1648&gt;=1,"Lift",IF(AW1648&lt;=0,"Aussenlager","teilweise")))))</f>
        <v>Aussenlager</v>
      </c>
      <c r="BI1648" s="48" t="str">
        <f aca="false">IF(BA1648&lt;=0,"",IF(CC1648="Aussen","Aussenlager",IF(CC1648="-","Nicht im Lift",IF(BF1648&gt;=1,"Lift",IF(BF1648&lt;=0,"Aussenlager","teilweise")))))</f>
        <v>Aussenlager</v>
      </c>
      <c r="BJ1648" s="48" t="str">
        <f aca="false">IF(A1648="","",IF(BS1648=1,"Neu; ","")&amp;IF(AND(BS1648=0,BN1648&lt;0),"negativer Bestand (Export "&amp;BN1648&amp;"); ","")&amp;IF(J1648&lt;=0,"Kein Verbrauch; ","")&amp;IF(CL1648&gt;0,"Lift "&amp;W1648&amp;" lt. Liftbericht (Fach "&amp;X1648&amp;" Stk); ",IF(BX1648=1,"Gebinde geschätzt ("&amp;T1648&amp;"); ",IF(BW1648=1,"Lose – Tablare geschätzt; ","")))&amp;IF(H1648&gt;AT1648,"Überbestand "&amp;ROUND(H1648-AT1648,0)&amp;" Stk / CHF "&amp;ROUND((H1648-AT1648)*G1648,0)&amp;"; ","")&amp;IF(AND(CE1648=1,CF1648&lt;CG1648),"MAX &lt; MB+LG; ","")&amp;IF(AND(CK1648&gt;0,CJ1648*10&gt;CK1648),"zu hoch für Tablar; ","")&amp;IF(AND(BS1648=0,OR(CE1648=1,AA1648&lt;&gt;"",U1648&lt;&gt;"",V1648&lt;&gt;"",AB1648&lt;&gt;"")),"manuell übersteuert; ","")&amp;IF(AND(BW1648=0,R1648=0),"Gebinde unbekannt / Stellmass fehlt; ","")&amp;IF(AND(BW1648=0,N(V1648)&lt;=0,N(Q1648)&lt;=0),"Menge pro Gebinde fehlt (Ist = 1 Gebinde); ","")&amp;BR1648)</f>
        <v>Kein Verbrauch; Gebinde geschätzt (Klein); Menge pro Gebinde fehlt (Ist = 1 Gebinde); nur im Artikelstamm (Bestand 23.06.2026)</v>
      </c>
      <c r="BK1648" s="48"/>
      <c r="BL1648" s="48"/>
      <c r="BM1648" s="55"/>
      <c r="BN1648" s="50" t="n">
        <v>44</v>
      </c>
      <c r="BO1648" s="50" t="n">
        <v>0</v>
      </c>
      <c r="BP1648" s="49" t="n">
        <v>0</v>
      </c>
      <c r="BQ1648" s="50" t="n">
        <v>0</v>
      </c>
      <c r="BR1648" s="48" t="s">
        <v>2579</v>
      </c>
      <c r="BS1648" s="53" t="n">
        <v>0</v>
      </c>
      <c r="BT1648" s="53" t="n">
        <v>1648</v>
      </c>
      <c r="BU1648" s="48" t="str">
        <f aca="false">IF(U1648&lt;&gt;"",UPPER(TRIM(U1648)),IF(BX1648=1,UPPER(VLOOKUP(T1648,Parameter!$I$27:$K$29,2,0)),IF(P1648="","LOSE",P1648)))</f>
        <v>S51</v>
      </c>
      <c r="BV1648" s="50" t="n">
        <f aca="false">IF(BU1648="LOSE",1,IF(N(V1648)&gt;0,V1648,IF(BX1648=1,MAX(1,N(VLOOKUP(T1648,Parameter!$I$27:$K$29,3,0)),H1648,N(N1648)),IF(N(Q1648)&gt;0,Q1648,MAX(1,H1648)))))</f>
        <v>44</v>
      </c>
      <c r="BW1648" s="53" t="n">
        <f aca="false">IF(BU1648="LOSE",1,0)</f>
        <v>0</v>
      </c>
      <c r="BX1648" s="53" t="n">
        <f aca="false">IF(AND(U1648="",OR(P1648="",P1648="LOSE"),T1648&lt;&gt;"",N(S1648)&lt;=0,ISNUMBER(MATCH(T1648,Parameter!$I$27:$I$29,0))),1,0)</f>
        <v>1</v>
      </c>
      <c r="BY1648" s="53" t="n">
        <f aca="false">IF(CL1648&gt;0,INDEX(Parameter!$H$5:$H$7,W1648)/INDEX(Parameter!$E$5:$E$7,W1648),IF(AND(BW1648=0,N(IFERROR(VLOOKUP(BU1648,'Gebinde-Kategorie'!$A$5:$N$45,14,0),0))&gt;0),VLOOKUP(BU1648,'Gebinde-Kategorie'!$A$5:$N$45,14,0)*10+Parameter!$M$23,Parameter!$M$24))</f>
        <v>155</v>
      </c>
      <c r="BZ1648" s="48" t="str">
        <f aca="false">IF(AND(Parameter!$B$19="Ja",E1648&lt;&gt;"",ISNUMBER(MATCH(E1648,Parameter!$I$35:$I$52,0))),VLOOKUP(E1648,Parameter!$I$35:$J$52,2,0),IFERROR(VLOOKUP(D1648,Parameter!$A$35:$C$64,2,0),"Nein"))</f>
        <v>2+3</v>
      </c>
      <c r="CA1648" s="52" t="n">
        <f aca="false">IF(BW1648=0,0,IF(N(S1648)&gt;0,S1648,IFERROR(VLOOKUP(D1648,Parameter!$A$35:$C$64,3,0)+0,0)))</f>
        <v>0</v>
      </c>
      <c r="CB1648" s="48" t="n">
        <f aca="false">IF(AA1648&lt;&gt;"",AA1648,Z1648)</f>
        <v>3</v>
      </c>
      <c r="CC1648" s="48" t="str">
        <f aca="false">IF(OR(CB1648=1,CB1648=2,CB1648=3),IF(Parameter!$E$27="Ja","LIFT",IF(CB1648=1,"L1","L23")),IF(CB1648="Aussen","Aussen","-"))</f>
        <v>LIFT</v>
      </c>
      <c r="CD1648" s="59" t="n">
        <f aca="false">IF(N(AB1648)&gt;0,AB1648,0)</f>
        <v>0</v>
      </c>
      <c r="CE1648" s="53" t="n">
        <f aca="false">IF(ISNUMBER(AE1648),1,0)</f>
        <v>0</v>
      </c>
      <c r="CF1648" s="50" t="n">
        <f aca="false">N(AE1648)</f>
        <v>0</v>
      </c>
      <c r="CG1648" s="50" t="n">
        <f aca="false">N(M1648)+N(N1648)</f>
        <v>25</v>
      </c>
      <c r="CH1648" s="50" t="n">
        <f aca="false">ROUNDUP(H1648/BV1648,0)</f>
        <v>1</v>
      </c>
      <c r="CI1648" s="50" t="n">
        <f aca="false">ROUNDUP(CF1648/BV1648,0)</f>
        <v>0</v>
      </c>
      <c r="CJ1648" s="53" t="n">
        <f aca="false">IF(BW1648=1,0,IFERROR(VLOOKUP(BU1648,'Gebinde-Kategorie'!$A$5:$N$45,5,0)+0,0))</f>
        <v>11</v>
      </c>
      <c r="CK1648" s="53" t="n">
        <f aca="false">IFERROR(IF(OR(CB1648=1,CB1648=2,CB1648=3),N(INDEX(Parameter!$I$5:$I$7,CB1648)),0),0)</f>
        <v>0</v>
      </c>
      <c r="CL1648" s="52" t="n">
        <f aca="false">IF(AND(Parameter!$B$21="Ja",ISNUMBER(W1648),N(X1648)&gt;0),IFERROR(N(INDEX(Parameter!$L$5:$L$7,W1648))*INDEX(Parameter!$E$5:$E$7,W1648)*X1648/SUMIFS($X$7:$X$1843,$W$7:$W$1843,W1648),0),0)</f>
        <v>0</v>
      </c>
    </row>
    <row r="1649" customFormat="false" ht="15" hidden="false" customHeight="false" outlineLevel="0" collapsed="false">
      <c r="A1649" s="48" t="s">
        <v>2873</v>
      </c>
      <c r="B1649" s="48" t="s">
        <v>2428</v>
      </c>
      <c r="C1649" s="48" t="s">
        <v>168</v>
      </c>
      <c r="D1649" s="48" t="s">
        <v>177</v>
      </c>
      <c r="E1649" s="48"/>
      <c r="F1649" s="48"/>
      <c r="G1649" s="49" t="n">
        <v>341</v>
      </c>
      <c r="H1649" s="50" t="n">
        <f aca="false">MAX(0,IF(AND(Parameter!$B$21="Ja",ISNUMBER(Y1649)),Y1649,IF(Parameter!$B$20="Jahresanfang 2025 + Export",BO1649+BN1649,BN1649)))</f>
        <v>1</v>
      </c>
      <c r="I1649" s="50" t="n">
        <f aca="false">H1649*G1649</f>
        <v>341</v>
      </c>
      <c r="J1649" s="50" t="n">
        <f aca="false">BQ1649*Parameter!$B$18</f>
        <v>0</v>
      </c>
      <c r="K1649" s="51"/>
      <c r="L1649" s="52"/>
      <c r="M1649" s="50" t="n">
        <v>1</v>
      </c>
      <c r="N1649" s="50" t="n">
        <v>7</v>
      </c>
      <c r="O1649" s="53" t="n">
        <v>56</v>
      </c>
      <c r="P1649" s="48" t="s">
        <v>172</v>
      </c>
      <c r="Q1649" s="50"/>
      <c r="R1649" s="53" t="n">
        <f aca="false">IF(BW1649=1,0,IFERROR(VLOOKUP(BU1649,'Gebinde-Kategorie'!$A$5:$N$45,13,0)+0,0))</f>
        <v>0</v>
      </c>
      <c r="S1649" s="54"/>
      <c r="T1649" s="55"/>
      <c r="U1649" s="55"/>
      <c r="V1649" s="55"/>
      <c r="W1649" s="48" t="n">
        <v>1</v>
      </c>
      <c r="X1649" s="50" t="n">
        <v>1</v>
      </c>
      <c r="Y1649" s="50" t="n">
        <v>1</v>
      </c>
      <c r="Z1649" s="48" t="n">
        <f aca="false">IF(A1649="","",IF(AND(Parameter!$B$21="Ja",ISNUMBER(W1649)),W1649,IF(BZ1649="2+3",IF(ISNUMBER(SEARCH("grosser Artikel",BR1649)),2,IFERROR(VLOOKUP(BU1649,Parameter!$F$35:$G$64,2,0),2)),IF(OR(BZ1649="Nein",BZ1649=""),"-",BZ1649))))</f>
        <v>1</v>
      </c>
      <c r="AA1649" s="55"/>
      <c r="AB1649" s="56"/>
      <c r="AC1649" s="50" t="n">
        <f aca="false">AT1649</f>
        <v>8</v>
      </c>
      <c r="AD1649" s="50" t="n">
        <f aca="false">MAX(AT1649,H1649)</f>
        <v>8</v>
      </c>
      <c r="AE1649" s="57"/>
      <c r="AF1649" s="50" t="n">
        <f aca="false">IF(LEFT(Cockpit!$C$5,1)="A",H1649,IF(CE1649=1,CF1649,IF(LEFT(Cockpit!$C$5,1)="B",AK1649,MAX(AK1649,H1649))))</f>
        <v>1</v>
      </c>
      <c r="AG1649" s="50" t="n">
        <f aca="false">IF(BW1649=1,0,ROUNDUP(AF1649/BV1649,0))</f>
        <v>0</v>
      </c>
      <c r="AH1649" s="52" t="n">
        <f aca="false">IF(CL1649&gt;0,CL1649*MAX(1,AF1649/X1649),IF(BW1649=1,IF(AF1649&lt;=0,0,CA1649*MAX(1,IF(H1649&gt;0,AF1649/H1649,1))),IF(R1649&gt;0,AG1649/R1649,0))/MAX(0.1,N(Parameter!$M$21)))</f>
        <v>0.0800376647834275</v>
      </c>
      <c r="AI1649" s="50" t="n">
        <f aca="false">AH1649*BY1649</f>
        <v>19.0489642184557</v>
      </c>
      <c r="AJ1649" s="50" t="n">
        <f aca="false">AF1649*G1649</f>
        <v>341</v>
      </c>
      <c r="AK1649" s="50" t="n">
        <f aca="false">ROUNDUP(MAX(J1649/IF(CD1649&gt;0,CD1649,MAX(0.1,N(Cockpit!$C$6))),CG1649)/BV1649,0)*BV1649</f>
        <v>8</v>
      </c>
      <c r="AL1649" s="51" t="n">
        <f aca="false">IF(AI1649&gt;0,J1649/AI1649,-1)</f>
        <v>0</v>
      </c>
      <c r="AM1649" s="51" t="n">
        <f aca="false">IF(AND(OR(CC1649="L1",CC1649="L23",CC1649="LIFT"),AI1649&gt;0),SUMIFS($AI$7:$AI$1843,$CC$7:$CC$1843,CC1649,$AL$7:$AL$1843,"&gt;"&amp;AL1649)+SUMIFS($AI$7:$AI$1843,$CC$7:$CC$1843,CC1649,$AL$7:$AL$1843,AL1649,$BT$7:$BT$1843,"&lt;="&amp;BT1649),"")</f>
        <v>31207.6035652201</v>
      </c>
      <c r="AN1649" s="58" t="n">
        <f aca="false">IF(AM1649="",0,MAX(0,MIN(1,(IF(CC1649="L1",Parameter!$H$5,IF(CC1649="L23",Parameter!$H$6+Parameter!$H$7,Parameter!$H$5+Parameter!$H$6+Parameter!$H$7))-(AM1649-AI1649))/AI1649)))</f>
        <v>1</v>
      </c>
      <c r="AO1649" s="50" t="n">
        <f aca="false">IF(LEFT(Cockpit!$I$5,1)="A",H1649,IF(CE1649=1,CF1649,IF(LEFT(Cockpit!$I$5,1)="B",AT1649,MAX(AT1649,H1649))))</f>
        <v>8</v>
      </c>
      <c r="AP1649" s="50" t="n">
        <f aca="false">IF(BW1649=1,0,ROUNDUP(AO1649/BV1649,0))</f>
        <v>0</v>
      </c>
      <c r="AQ1649" s="52" t="n">
        <f aca="false">IF(CL1649&gt;0,CL1649*MAX(1,AO1649/X1649),IF(BW1649=1,IF(AO1649&lt;=0,0,CA1649*MAX(1,IF(H1649&gt;0,AO1649/H1649,1))),IF(R1649&gt;0,AP1649/R1649,0))/MAX(0.1,N(Parameter!$M$21)))</f>
        <v>0.64030131826742</v>
      </c>
      <c r="AR1649" s="50" t="n">
        <f aca="false">AQ1649*BY1649</f>
        <v>152.391713747646</v>
      </c>
      <c r="AS1649" s="50" t="n">
        <f aca="false">AO1649*G1649</f>
        <v>2728</v>
      </c>
      <c r="AT1649" s="50" t="n">
        <f aca="false">ROUNDUP(MAX(J1649/IF(CD1649&gt;0,CD1649,MAX(0.1,N(Cockpit!$I$6))),CG1649)/BV1649,0)*BV1649</f>
        <v>8</v>
      </c>
      <c r="AU1649" s="51" t="n">
        <f aca="false">IF(AR1649&gt;0,J1649/AR1649,-1)</f>
        <v>0</v>
      </c>
      <c r="AV1649" s="51" t="n">
        <f aca="false">IF(AND(OR(CC1649="L1",CC1649="L23",CC1649="LIFT"),AR1649&gt;0),SUMIFS($AR$7:$AR$1843,$CC$7:$CC$1843,CC1649,$AU$7:$AU$1843,"&gt;"&amp;AU1649)+SUMIFS($AR$7:$AR$1843,$CC$7:$CC$1843,CC1649,$AU$7:$AU$1843,AU1649,$BT$7:$BT$1843,"&lt;="&amp;BT1649),"")</f>
        <v>43740.9465553279</v>
      </c>
      <c r="AW1649" s="58" t="n">
        <f aca="false">IF(AV1649="",0,MAX(0,MIN(1,(IF(CC1649="L1",Parameter!$H$5,IF(CC1649="L23",Parameter!$H$6+Parameter!$H$7,Parameter!$H$5+Parameter!$H$6+Parameter!$H$7))-(AV1649-AR1649))/AR1649)))</f>
        <v>0</v>
      </c>
      <c r="AX1649" s="50" t="n">
        <f aca="false">IF(LEFT(Cockpit!$O$5,1)="A",H1649,IF(CE1649=1,CF1649,IF(LEFT(Cockpit!$O$5,1)="B",BC1649,MAX(BC1649,H1649))))</f>
        <v>8</v>
      </c>
      <c r="AY1649" s="50" t="n">
        <f aca="false">IF(BW1649=1,0,ROUNDUP(AX1649/BV1649,0))</f>
        <v>0</v>
      </c>
      <c r="AZ1649" s="52" t="n">
        <f aca="false">IF(CL1649&gt;0,CL1649*MAX(1,AX1649/X1649),IF(BW1649=1,IF(AX1649&lt;=0,0,CA1649*MAX(1,IF(H1649&gt;0,AX1649/H1649,1))),IF(R1649&gt;0,AY1649/R1649,0))/MAX(0.1,N(Parameter!$M$21)))</f>
        <v>0.64030131826742</v>
      </c>
      <c r="BA1649" s="50" t="n">
        <f aca="false">AZ1649*BY1649</f>
        <v>152.391713747646</v>
      </c>
      <c r="BB1649" s="50" t="n">
        <f aca="false">AX1649*G1649</f>
        <v>2728</v>
      </c>
      <c r="BC1649" s="50" t="n">
        <f aca="false">ROUNDUP(MAX(J1649/IF(CD1649&gt;0,CD1649,MAX(0.1,N(Cockpit!$O$6))),CG1649)/BV1649,0)*BV1649</f>
        <v>8</v>
      </c>
      <c r="BD1649" s="51" t="n">
        <f aca="false">IF(BA1649&gt;0,J1649/BA1649,-1)</f>
        <v>0</v>
      </c>
      <c r="BE1649" s="51" t="n">
        <f aca="false">IF(AND(OR(CC1649="L1",CC1649="L23",CC1649="LIFT"),BA1649&gt;0),SUMIFS($BA$7:$BA$1843,$CC$7:$CC$1843,CC1649,$BD$7:$BD$1843,"&gt;"&amp;BD1649)+SUMIFS($BA$7:$BA$1843,$CC$7:$CC$1843,CC1649,$BD$7:$BD$1843,BD1649,$BT$7:$BT$1843,"&lt;="&amp;BT1649),"")</f>
        <v>40415.9585971938</v>
      </c>
      <c r="BF1649" s="58" t="n">
        <f aca="false">IF(BE1649="",0,MAX(0,MIN(1,(IF(CC1649="L1",Parameter!$H$5,IF(CC1649="L23",Parameter!$H$6+Parameter!$H$7,Parameter!$H$5+Parameter!$H$6+Parameter!$H$7))-(BE1649-BA1649))/BA1649)))</f>
        <v>0</v>
      </c>
      <c r="BG1649" s="48" t="str">
        <f aca="false">IF(AI1649&lt;=0,"",IF(CC1649="Aussen","Aussenlager",IF(CC1649="-","Nicht im Lift",IF(AN1649&gt;=1,"Lift",IF(AN1649&lt;=0,"Aussenlager","teilweise")))))</f>
        <v>Lift</v>
      </c>
      <c r="BH1649" s="48" t="str">
        <f aca="false">IF(AR1649&lt;=0,"",IF(CC1649="Aussen","Aussenlager",IF(CC1649="-","Nicht im Lift",IF(AW1649&gt;=1,"Lift",IF(AW1649&lt;=0,"Aussenlager","teilweise")))))</f>
        <v>Aussenlager</v>
      </c>
      <c r="BI1649" s="48" t="str">
        <f aca="false">IF(BA1649&lt;=0,"",IF(CC1649="Aussen","Aussenlager",IF(CC1649="-","Nicht im Lift",IF(BF1649&gt;=1,"Lift",IF(BF1649&lt;=0,"Aussenlager","teilweise")))))</f>
        <v>Aussenlager</v>
      </c>
      <c r="BJ1649" s="48" t="str">
        <f aca="false">IF(A1649="","",IF(BS1649=1,"Neu; ","")&amp;IF(AND(BS1649=0,BN1649&lt;0),"negativer Bestand (Export "&amp;BN1649&amp;"); ","")&amp;IF(J1649&lt;=0,"Kein Verbrauch; ","")&amp;IF(CL1649&gt;0,"Lift "&amp;W1649&amp;" lt. Liftbericht (Fach "&amp;X1649&amp;" Stk); ",IF(BX1649=1,"Gebinde geschätzt ("&amp;T1649&amp;"); ",IF(BW1649=1,"Lose – Tablare geschätzt; ","")))&amp;IF(H1649&gt;AT1649,"Überbestand "&amp;ROUND(H1649-AT1649,0)&amp;" Stk / CHF "&amp;ROUND((H1649-AT1649)*G1649,0)&amp;"; ","")&amp;IF(AND(CE1649=1,CF1649&lt;CG1649),"MAX &lt; MB+LG; ","")&amp;IF(AND(CK1649&gt;0,CJ1649*10&gt;CK1649),"zu hoch für Tablar; ","")&amp;IF(AND(BS1649=0,OR(CE1649=1,AA1649&lt;&gt;"",U1649&lt;&gt;"",V1649&lt;&gt;"",AB1649&lt;&gt;"")),"manuell übersteuert; ","")&amp;IF(AND(BW1649=0,R1649=0),"Gebinde unbekannt / Stellmass fehlt; ","")&amp;IF(AND(BW1649=0,N(V1649)&lt;=0,N(Q1649)&lt;=0),"Menge pro Gebinde fehlt (Ist = 1 Gebinde); ","")&amp;BR1649)</f>
        <v>Kein Verbrauch; Lift 1 lt. Liftbericht (Fach 1 Stk); nur im Artikelstamm (Bestand 23.06.2026)</v>
      </c>
      <c r="BK1649" s="48"/>
      <c r="BL1649" s="48"/>
      <c r="BM1649" s="55"/>
      <c r="BN1649" s="50" t="n">
        <v>1</v>
      </c>
      <c r="BO1649" s="50" t="n">
        <v>0</v>
      </c>
      <c r="BP1649" s="49" t="n">
        <v>0</v>
      </c>
      <c r="BQ1649" s="50" t="n">
        <v>0</v>
      </c>
      <c r="BR1649" s="48" t="s">
        <v>2579</v>
      </c>
      <c r="BS1649" s="53" t="n">
        <v>0</v>
      </c>
      <c r="BT1649" s="53" t="n">
        <v>1649</v>
      </c>
      <c r="BU1649" s="48" t="str">
        <f aca="false">IF(U1649&lt;&gt;"",UPPER(TRIM(U1649)),IF(BX1649=1,UPPER(VLOOKUP(T1649,Parameter!$I$27:$K$29,2,0)),IF(P1649="","LOSE",P1649)))</f>
        <v>LOSE</v>
      </c>
      <c r="BV1649" s="50" t="n">
        <f aca="false">IF(BU1649="LOSE",1,IF(N(V1649)&gt;0,V1649,IF(BX1649=1,MAX(1,N(VLOOKUP(T1649,Parameter!$I$27:$K$29,3,0)),H1649,N(N1649)),IF(N(Q1649)&gt;0,Q1649,MAX(1,H1649)))))</f>
        <v>1</v>
      </c>
      <c r="BW1649" s="53" t="n">
        <f aca="false">IF(BU1649="LOSE",1,0)</f>
        <v>1</v>
      </c>
      <c r="BX1649" s="53" t="n">
        <f aca="false">IF(AND(U1649="",OR(P1649="",P1649="LOSE"),T1649&lt;&gt;"",N(S1649)&lt;=0,ISNUMBER(MATCH(T1649,Parameter!$I$27:$I$29,0))),1,0)</f>
        <v>0</v>
      </c>
      <c r="BY1649" s="53" t="n">
        <f aca="false">IF(CL1649&gt;0,INDEX(Parameter!$H$5:$H$7,W1649)/INDEX(Parameter!$E$5:$E$7,W1649),IF(AND(BW1649=0,N(IFERROR(VLOOKUP(BU1649,'Gebinde-Kategorie'!$A$5:$N$45,14,0),0))&gt;0),VLOOKUP(BU1649,'Gebinde-Kategorie'!$A$5:$N$45,14,0)*10+Parameter!$M$23,Parameter!$M$24))</f>
        <v>238</v>
      </c>
      <c r="BZ1649" s="48" t="str">
        <f aca="false">IF(AND(Parameter!$B$19="Ja",E1649&lt;&gt;"",ISNUMBER(MATCH(E1649,Parameter!$I$35:$I$52,0))),VLOOKUP(E1649,Parameter!$I$35:$J$52,2,0),IFERROR(VLOOKUP(D1649,Parameter!$A$35:$C$64,2,0),"Nein"))</f>
        <v>2+3</v>
      </c>
      <c r="CA1649" s="52" t="n">
        <f aca="false">IF(BW1649=0,0,IF(N(S1649)&gt;0,S1649,IFERROR(VLOOKUP(D1649,Parameter!$A$35:$C$64,3,0)+0,0)))</f>
        <v>0.15</v>
      </c>
      <c r="CB1649" s="48" t="n">
        <f aca="false">IF(AA1649&lt;&gt;"",AA1649,Z1649)</f>
        <v>1</v>
      </c>
      <c r="CC1649" s="48" t="str">
        <f aca="false">IF(OR(CB1649=1,CB1649=2,CB1649=3),IF(Parameter!$E$27="Ja","LIFT",IF(CB1649=1,"L1","L23")),IF(CB1649="Aussen","Aussen","-"))</f>
        <v>LIFT</v>
      </c>
      <c r="CD1649" s="59" t="n">
        <f aca="false">IF(N(AB1649)&gt;0,AB1649,0)</f>
        <v>0</v>
      </c>
      <c r="CE1649" s="53" t="n">
        <f aca="false">IF(ISNUMBER(AE1649),1,0)</f>
        <v>0</v>
      </c>
      <c r="CF1649" s="50" t="n">
        <f aca="false">N(AE1649)</f>
        <v>0</v>
      </c>
      <c r="CG1649" s="50" t="n">
        <f aca="false">N(M1649)+N(N1649)</f>
        <v>8</v>
      </c>
      <c r="CH1649" s="50" t="n">
        <f aca="false">ROUNDUP(H1649/BV1649,0)</f>
        <v>1</v>
      </c>
      <c r="CI1649" s="50" t="n">
        <f aca="false">ROUNDUP(CF1649/BV1649,0)</f>
        <v>0</v>
      </c>
      <c r="CJ1649" s="53" t="n">
        <f aca="false">IF(BW1649=1,0,IFERROR(VLOOKUP(BU1649,'Gebinde-Kategorie'!$A$5:$N$45,5,0)+0,0))</f>
        <v>0</v>
      </c>
      <c r="CK1649" s="53" t="n">
        <f aca="false">IFERROR(IF(OR(CB1649=1,CB1649=2,CB1649=3),N(INDEX(Parameter!$I$5:$I$7,CB1649)),0),0)</f>
        <v>0</v>
      </c>
      <c r="CL1649" s="52" t="n">
        <f aca="false">IF(AND(Parameter!$B$21="Ja",ISNUMBER(W1649),N(X1649)&gt;0),IFERROR(N(INDEX(Parameter!$L$5:$L$7,W1649))*INDEX(Parameter!$E$5:$E$7,W1649)*X1649/SUMIFS($X$7:$X$1843,$W$7:$W$1843,W1649),0),0)</f>
        <v>0.0800376647834275</v>
      </c>
    </row>
    <row r="1650" customFormat="false" ht="15" hidden="false" customHeight="false" outlineLevel="0" collapsed="false">
      <c r="A1650" s="48" t="s">
        <v>2874</v>
      </c>
      <c r="B1650" s="48" t="s">
        <v>2428</v>
      </c>
      <c r="C1650" s="48" t="s">
        <v>168</v>
      </c>
      <c r="D1650" s="48" t="s">
        <v>177</v>
      </c>
      <c r="E1650" s="48"/>
      <c r="F1650" s="48"/>
      <c r="G1650" s="49" t="n">
        <v>463.5</v>
      </c>
      <c r="H1650" s="50" t="n">
        <f aca="false">MAX(0,IF(AND(Parameter!$B$21="Ja",ISNUMBER(Y1650)),Y1650,IF(Parameter!$B$20="Jahresanfang 2025 + Export",BO1650+BN1650,BN1650)))</f>
        <v>1</v>
      </c>
      <c r="I1650" s="50" t="n">
        <f aca="false">H1650*G1650</f>
        <v>463.5</v>
      </c>
      <c r="J1650" s="50" t="n">
        <f aca="false">BQ1650*Parameter!$B$18</f>
        <v>0</v>
      </c>
      <c r="K1650" s="51"/>
      <c r="L1650" s="52"/>
      <c r="M1650" s="50" t="n">
        <v>1</v>
      </c>
      <c r="N1650" s="50" t="n">
        <v>7</v>
      </c>
      <c r="O1650" s="53" t="n">
        <v>56</v>
      </c>
      <c r="P1650" s="48" t="s">
        <v>172</v>
      </c>
      <c r="Q1650" s="50"/>
      <c r="R1650" s="53" t="n">
        <f aca="false">IF(BW1650=1,0,IFERROR(VLOOKUP(BU1650,'Gebinde-Kategorie'!$A$5:$N$45,13,0)+0,0))</f>
        <v>0</v>
      </c>
      <c r="S1650" s="54"/>
      <c r="T1650" s="55"/>
      <c r="U1650" s="55"/>
      <c r="V1650" s="55"/>
      <c r="W1650" s="48" t="n">
        <v>1</v>
      </c>
      <c r="X1650" s="50" t="n">
        <v>1</v>
      </c>
      <c r="Y1650" s="50" t="n">
        <v>1</v>
      </c>
      <c r="Z1650" s="48" t="n">
        <f aca="false">IF(A1650="","",IF(AND(Parameter!$B$21="Ja",ISNUMBER(W1650)),W1650,IF(BZ1650="2+3",IF(ISNUMBER(SEARCH("grosser Artikel",BR1650)),2,IFERROR(VLOOKUP(BU1650,Parameter!$F$35:$G$64,2,0),2)),IF(OR(BZ1650="Nein",BZ1650=""),"-",BZ1650))))</f>
        <v>1</v>
      </c>
      <c r="AA1650" s="55"/>
      <c r="AB1650" s="56"/>
      <c r="AC1650" s="50" t="n">
        <f aca="false">AT1650</f>
        <v>8</v>
      </c>
      <c r="AD1650" s="50" t="n">
        <f aca="false">MAX(AT1650,H1650)</f>
        <v>8</v>
      </c>
      <c r="AE1650" s="57"/>
      <c r="AF1650" s="50" t="n">
        <f aca="false">IF(LEFT(Cockpit!$C$5,1)="A",H1650,IF(CE1650=1,CF1650,IF(LEFT(Cockpit!$C$5,1)="B",AK1650,MAX(AK1650,H1650))))</f>
        <v>1</v>
      </c>
      <c r="AG1650" s="50" t="n">
        <f aca="false">IF(BW1650=1,0,ROUNDUP(AF1650/BV1650,0))</f>
        <v>0</v>
      </c>
      <c r="AH1650" s="52" t="n">
        <f aca="false">IF(CL1650&gt;0,CL1650*MAX(1,AF1650/X1650),IF(BW1650=1,IF(AF1650&lt;=0,0,CA1650*MAX(1,IF(H1650&gt;0,AF1650/H1650,1))),IF(R1650&gt;0,AG1650/R1650,0))/MAX(0.1,N(Parameter!$M$21)))</f>
        <v>0.0800376647834275</v>
      </c>
      <c r="AI1650" s="50" t="n">
        <f aca="false">AH1650*BY1650</f>
        <v>19.0489642184557</v>
      </c>
      <c r="AJ1650" s="50" t="n">
        <f aca="false">AF1650*G1650</f>
        <v>463.5</v>
      </c>
      <c r="AK1650" s="50" t="n">
        <f aca="false">ROUNDUP(MAX(J1650/IF(CD1650&gt;0,CD1650,MAX(0.1,N(Cockpit!$C$6))),CG1650)/BV1650,0)*BV1650</f>
        <v>8</v>
      </c>
      <c r="AL1650" s="51" t="n">
        <f aca="false">IF(AI1650&gt;0,J1650/AI1650,-1)</f>
        <v>0</v>
      </c>
      <c r="AM1650" s="51" t="n">
        <f aca="false">IF(AND(OR(CC1650="L1",CC1650="L23",CC1650="LIFT"),AI1650&gt;0),SUMIFS($AI$7:$AI$1843,$CC$7:$CC$1843,CC1650,$AL$7:$AL$1843,"&gt;"&amp;AL1650)+SUMIFS($AI$7:$AI$1843,$CC$7:$CC$1843,CC1650,$AL$7:$AL$1843,AL1650,$BT$7:$BT$1843,"&lt;="&amp;BT1650),"")</f>
        <v>31226.6525294385</v>
      </c>
      <c r="AN1650" s="58" t="n">
        <f aca="false">IF(AM1650="",0,MAX(0,MIN(1,(IF(CC1650="L1",Parameter!$H$5,IF(CC1650="L23",Parameter!$H$6+Parameter!$H$7,Parameter!$H$5+Parameter!$H$6+Parameter!$H$7))-(AM1650-AI1650))/AI1650)))</f>
        <v>1</v>
      </c>
      <c r="AO1650" s="50" t="n">
        <f aca="false">IF(LEFT(Cockpit!$I$5,1)="A",H1650,IF(CE1650=1,CF1650,IF(LEFT(Cockpit!$I$5,1)="B",AT1650,MAX(AT1650,H1650))))</f>
        <v>8</v>
      </c>
      <c r="AP1650" s="50" t="n">
        <f aca="false">IF(BW1650=1,0,ROUNDUP(AO1650/BV1650,0))</f>
        <v>0</v>
      </c>
      <c r="AQ1650" s="52" t="n">
        <f aca="false">IF(CL1650&gt;0,CL1650*MAX(1,AO1650/X1650),IF(BW1650=1,IF(AO1650&lt;=0,0,CA1650*MAX(1,IF(H1650&gt;0,AO1650/H1650,1))),IF(R1650&gt;0,AP1650/R1650,0))/MAX(0.1,N(Parameter!$M$21)))</f>
        <v>0.64030131826742</v>
      </c>
      <c r="AR1650" s="50" t="n">
        <f aca="false">AQ1650*BY1650</f>
        <v>152.391713747646</v>
      </c>
      <c r="AS1650" s="50" t="n">
        <f aca="false">AO1650*G1650</f>
        <v>3708</v>
      </c>
      <c r="AT1650" s="50" t="n">
        <f aca="false">ROUNDUP(MAX(J1650/IF(CD1650&gt;0,CD1650,MAX(0.1,N(Cockpit!$I$6))),CG1650)/BV1650,0)*BV1650</f>
        <v>8</v>
      </c>
      <c r="AU1650" s="51" t="n">
        <f aca="false">IF(AR1650&gt;0,J1650/AR1650,-1)</f>
        <v>0</v>
      </c>
      <c r="AV1650" s="51" t="n">
        <f aca="false">IF(AND(OR(CC1650="L1",CC1650="L23",CC1650="LIFT"),AR1650&gt;0),SUMIFS($AR$7:$AR$1843,$CC$7:$CC$1843,CC1650,$AU$7:$AU$1843,"&gt;"&amp;AU1650)+SUMIFS($AR$7:$AR$1843,$CC$7:$CC$1843,CC1650,$AU$7:$AU$1843,AU1650,$BT$7:$BT$1843,"&lt;="&amp;BT1650),"")</f>
        <v>43893.3382690756</v>
      </c>
      <c r="AW1650" s="58" t="n">
        <f aca="false">IF(AV1650="",0,MAX(0,MIN(1,(IF(CC1650="L1",Parameter!$H$5,IF(CC1650="L23",Parameter!$H$6+Parameter!$H$7,Parameter!$H$5+Parameter!$H$6+Parameter!$H$7))-(AV1650-AR1650))/AR1650)))</f>
        <v>0</v>
      </c>
      <c r="AX1650" s="50" t="n">
        <f aca="false">IF(LEFT(Cockpit!$O$5,1)="A",H1650,IF(CE1650=1,CF1650,IF(LEFT(Cockpit!$O$5,1)="B",BC1650,MAX(BC1650,H1650))))</f>
        <v>8</v>
      </c>
      <c r="AY1650" s="50" t="n">
        <f aca="false">IF(BW1650=1,0,ROUNDUP(AX1650/BV1650,0))</f>
        <v>0</v>
      </c>
      <c r="AZ1650" s="52" t="n">
        <f aca="false">IF(CL1650&gt;0,CL1650*MAX(1,AX1650/X1650),IF(BW1650=1,IF(AX1650&lt;=0,0,CA1650*MAX(1,IF(H1650&gt;0,AX1650/H1650,1))),IF(R1650&gt;0,AY1650/R1650,0))/MAX(0.1,N(Parameter!$M$21)))</f>
        <v>0.64030131826742</v>
      </c>
      <c r="BA1650" s="50" t="n">
        <f aca="false">AZ1650*BY1650</f>
        <v>152.391713747646</v>
      </c>
      <c r="BB1650" s="50" t="n">
        <f aca="false">AX1650*G1650</f>
        <v>3708</v>
      </c>
      <c r="BC1650" s="50" t="n">
        <f aca="false">ROUNDUP(MAX(J1650/IF(CD1650&gt;0,CD1650,MAX(0.1,N(Cockpit!$O$6))),CG1650)/BV1650,0)*BV1650</f>
        <v>8</v>
      </c>
      <c r="BD1650" s="51" t="n">
        <f aca="false">IF(BA1650&gt;0,J1650/BA1650,-1)</f>
        <v>0</v>
      </c>
      <c r="BE1650" s="51" t="n">
        <f aca="false">IF(AND(OR(CC1650="L1",CC1650="L23",CC1650="LIFT"),BA1650&gt;0),SUMIFS($BA$7:$BA$1843,$CC$7:$CC$1843,CC1650,$BD$7:$BD$1843,"&gt;"&amp;BD1650)+SUMIFS($BA$7:$BA$1843,$CC$7:$CC$1843,CC1650,$BD$7:$BD$1843,BD1650,$BT$7:$BT$1843,"&lt;="&amp;BT1650),"")</f>
        <v>40568.3503109414</v>
      </c>
      <c r="BF1650" s="58" t="n">
        <f aca="false">IF(BE1650="",0,MAX(0,MIN(1,(IF(CC1650="L1",Parameter!$H$5,IF(CC1650="L23",Parameter!$H$6+Parameter!$H$7,Parameter!$H$5+Parameter!$H$6+Parameter!$H$7))-(BE1650-BA1650))/BA1650)))</f>
        <v>0</v>
      </c>
      <c r="BG1650" s="48" t="str">
        <f aca="false">IF(AI1650&lt;=0,"",IF(CC1650="Aussen","Aussenlager",IF(CC1650="-","Nicht im Lift",IF(AN1650&gt;=1,"Lift",IF(AN1650&lt;=0,"Aussenlager","teilweise")))))</f>
        <v>Lift</v>
      </c>
      <c r="BH1650" s="48" t="str">
        <f aca="false">IF(AR1650&lt;=0,"",IF(CC1650="Aussen","Aussenlager",IF(CC1650="-","Nicht im Lift",IF(AW1650&gt;=1,"Lift",IF(AW1650&lt;=0,"Aussenlager","teilweise")))))</f>
        <v>Aussenlager</v>
      </c>
      <c r="BI1650" s="48" t="str">
        <f aca="false">IF(BA1650&lt;=0,"",IF(CC1650="Aussen","Aussenlager",IF(CC1650="-","Nicht im Lift",IF(BF1650&gt;=1,"Lift",IF(BF1650&lt;=0,"Aussenlager","teilweise")))))</f>
        <v>Aussenlager</v>
      </c>
      <c r="BJ1650" s="48" t="str">
        <f aca="false">IF(A1650="","",IF(BS1650=1,"Neu; ","")&amp;IF(AND(BS1650=0,BN1650&lt;0),"negativer Bestand (Export "&amp;BN1650&amp;"); ","")&amp;IF(J1650&lt;=0,"Kein Verbrauch; ","")&amp;IF(CL1650&gt;0,"Lift "&amp;W1650&amp;" lt. Liftbericht (Fach "&amp;X1650&amp;" Stk); ",IF(BX1650=1,"Gebinde geschätzt ("&amp;T1650&amp;"); ",IF(BW1650=1,"Lose – Tablare geschätzt; ","")))&amp;IF(H1650&gt;AT1650,"Überbestand "&amp;ROUND(H1650-AT1650,0)&amp;" Stk / CHF "&amp;ROUND((H1650-AT1650)*G1650,0)&amp;"; ","")&amp;IF(AND(CE1650=1,CF1650&lt;CG1650),"MAX &lt; MB+LG; ","")&amp;IF(AND(CK1650&gt;0,CJ1650*10&gt;CK1650),"zu hoch für Tablar; ","")&amp;IF(AND(BS1650=0,OR(CE1650=1,AA1650&lt;&gt;"",U1650&lt;&gt;"",V1650&lt;&gt;"",AB1650&lt;&gt;"")),"manuell übersteuert; ","")&amp;IF(AND(BW1650=0,R1650=0),"Gebinde unbekannt / Stellmass fehlt; ","")&amp;IF(AND(BW1650=0,N(V1650)&lt;=0,N(Q1650)&lt;=0),"Menge pro Gebinde fehlt (Ist = 1 Gebinde); ","")&amp;BR1650)</f>
        <v>Kein Verbrauch; Lift 1 lt. Liftbericht (Fach 1 Stk); nur im Artikelstamm (Bestand 23.06.2026)</v>
      </c>
      <c r="BK1650" s="48"/>
      <c r="BL1650" s="48"/>
      <c r="BM1650" s="55"/>
      <c r="BN1650" s="50" t="n">
        <v>1</v>
      </c>
      <c r="BO1650" s="50" t="n">
        <v>0</v>
      </c>
      <c r="BP1650" s="49" t="n">
        <v>0</v>
      </c>
      <c r="BQ1650" s="50" t="n">
        <v>0</v>
      </c>
      <c r="BR1650" s="48" t="s">
        <v>2579</v>
      </c>
      <c r="BS1650" s="53" t="n">
        <v>0</v>
      </c>
      <c r="BT1650" s="53" t="n">
        <v>1650</v>
      </c>
      <c r="BU1650" s="48" t="str">
        <f aca="false">IF(U1650&lt;&gt;"",UPPER(TRIM(U1650)),IF(BX1650=1,UPPER(VLOOKUP(T1650,Parameter!$I$27:$K$29,2,0)),IF(P1650="","LOSE",P1650)))</f>
        <v>LOSE</v>
      </c>
      <c r="BV1650" s="50" t="n">
        <f aca="false">IF(BU1650="LOSE",1,IF(N(V1650)&gt;0,V1650,IF(BX1650=1,MAX(1,N(VLOOKUP(T1650,Parameter!$I$27:$K$29,3,0)),H1650,N(N1650)),IF(N(Q1650)&gt;0,Q1650,MAX(1,H1650)))))</f>
        <v>1</v>
      </c>
      <c r="BW1650" s="53" t="n">
        <f aca="false">IF(BU1650="LOSE",1,0)</f>
        <v>1</v>
      </c>
      <c r="BX1650" s="53" t="n">
        <f aca="false">IF(AND(U1650="",OR(P1650="",P1650="LOSE"),T1650&lt;&gt;"",N(S1650)&lt;=0,ISNUMBER(MATCH(T1650,Parameter!$I$27:$I$29,0))),1,0)</f>
        <v>0</v>
      </c>
      <c r="BY1650" s="53" t="n">
        <f aca="false">IF(CL1650&gt;0,INDEX(Parameter!$H$5:$H$7,W1650)/INDEX(Parameter!$E$5:$E$7,W1650),IF(AND(BW1650=0,N(IFERROR(VLOOKUP(BU1650,'Gebinde-Kategorie'!$A$5:$N$45,14,0),0))&gt;0),VLOOKUP(BU1650,'Gebinde-Kategorie'!$A$5:$N$45,14,0)*10+Parameter!$M$23,Parameter!$M$24))</f>
        <v>238</v>
      </c>
      <c r="BZ1650" s="48" t="str">
        <f aca="false">IF(AND(Parameter!$B$19="Ja",E1650&lt;&gt;"",ISNUMBER(MATCH(E1650,Parameter!$I$35:$I$52,0))),VLOOKUP(E1650,Parameter!$I$35:$J$52,2,0),IFERROR(VLOOKUP(D1650,Parameter!$A$35:$C$64,2,0),"Nein"))</f>
        <v>2+3</v>
      </c>
      <c r="CA1650" s="52" t="n">
        <f aca="false">IF(BW1650=0,0,IF(N(S1650)&gt;0,S1650,IFERROR(VLOOKUP(D1650,Parameter!$A$35:$C$64,3,0)+0,0)))</f>
        <v>0.15</v>
      </c>
      <c r="CB1650" s="48" t="n">
        <f aca="false">IF(AA1650&lt;&gt;"",AA1650,Z1650)</f>
        <v>1</v>
      </c>
      <c r="CC1650" s="48" t="str">
        <f aca="false">IF(OR(CB1650=1,CB1650=2,CB1650=3),IF(Parameter!$E$27="Ja","LIFT",IF(CB1650=1,"L1","L23")),IF(CB1650="Aussen","Aussen","-"))</f>
        <v>LIFT</v>
      </c>
      <c r="CD1650" s="59" t="n">
        <f aca="false">IF(N(AB1650)&gt;0,AB1650,0)</f>
        <v>0</v>
      </c>
      <c r="CE1650" s="53" t="n">
        <f aca="false">IF(ISNUMBER(AE1650),1,0)</f>
        <v>0</v>
      </c>
      <c r="CF1650" s="50" t="n">
        <f aca="false">N(AE1650)</f>
        <v>0</v>
      </c>
      <c r="CG1650" s="50" t="n">
        <f aca="false">N(M1650)+N(N1650)</f>
        <v>8</v>
      </c>
      <c r="CH1650" s="50" t="n">
        <f aca="false">ROUNDUP(H1650/BV1650,0)</f>
        <v>1</v>
      </c>
      <c r="CI1650" s="50" t="n">
        <f aca="false">ROUNDUP(CF1650/BV1650,0)</f>
        <v>0</v>
      </c>
      <c r="CJ1650" s="53" t="n">
        <f aca="false">IF(BW1650=1,0,IFERROR(VLOOKUP(BU1650,'Gebinde-Kategorie'!$A$5:$N$45,5,0)+0,0))</f>
        <v>0</v>
      </c>
      <c r="CK1650" s="53" t="n">
        <f aca="false">IFERROR(IF(OR(CB1650=1,CB1650=2,CB1650=3),N(INDEX(Parameter!$I$5:$I$7,CB1650)),0),0)</f>
        <v>0</v>
      </c>
      <c r="CL1650" s="52" t="n">
        <f aca="false">IF(AND(Parameter!$B$21="Ja",ISNUMBER(W1650),N(X1650)&gt;0),IFERROR(N(INDEX(Parameter!$L$5:$L$7,W1650))*INDEX(Parameter!$E$5:$E$7,W1650)*X1650/SUMIFS($X$7:$X$1843,$W$7:$W$1843,W1650),0),0)</f>
        <v>0.0800376647834275</v>
      </c>
    </row>
    <row r="1651" customFormat="false" ht="15" hidden="false" customHeight="false" outlineLevel="0" collapsed="false">
      <c r="A1651" s="48" t="s">
        <v>2875</v>
      </c>
      <c r="B1651" s="48" t="s">
        <v>343</v>
      </c>
      <c r="C1651" s="48" t="s">
        <v>168</v>
      </c>
      <c r="D1651" s="48" t="s">
        <v>177</v>
      </c>
      <c r="E1651" s="48"/>
      <c r="F1651" s="48"/>
      <c r="G1651" s="49" t="n">
        <v>368</v>
      </c>
      <c r="H1651" s="50" t="n">
        <f aca="false">MAX(0,IF(AND(Parameter!$B$21="Ja",ISNUMBER(Y1651)),Y1651,IF(Parameter!$B$20="Jahresanfang 2025 + Export",BO1651+BN1651,BN1651)))</f>
        <v>8</v>
      </c>
      <c r="I1651" s="50" t="n">
        <f aca="false">H1651*G1651</f>
        <v>2944</v>
      </c>
      <c r="J1651" s="50" t="n">
        <f aca="false">BQ1651*Parameter!$B$18</f>
        <v>0</v>
      </c>
      <c r="K1651" s="51"/>
      <c r="L1651" s="52"/>
      <c r="M1651" s="50" t="n">
        <v>0</v>
      </c>
      <c r="N1651" s="50" t="n">
        <v>5</v>
      </c>
      <c r="O1651" s="53" t="n">
        <v>42</v>
      </c>
      <c r="P1651" s="48" t="s">
        <v>172</v>
      </c>
      <c r="Q1651" s="50"/>
      <c r="R1651" s="53" t="n">
        <f aca="false">IF(BW1651=1,0,IFERROR(VLOOKUP(BU1651,'Gebinde-Kategorie'!$A$5:$N$45,13,0)+0,0))</f>
        <v>26</v>
      </c>
      <c r="S1651" s="54"/>
      <c r="T1651" s="55" t="s">
        <v>279</v>
      </c>
      <c r="U1651" s="55"/>
      <c r="V1651" s="55"/>
      <c r="W1651" s="48"/>
      <c r="X1651" s="50"/>
      <c r="Y1651" s="50"/>
      <c r="Z1651" s="48" t="n">
        <f aca="false">IF(A1651="","",IF(AND(Parameter!$B$21="Ja",ISNUMBER(W1651)),W1651,IF(BZ1651="2+3",IF(ISNUMBER(SEARCH("grosser Artikel",BR1651)),2,IFERROR(VLOOKUP(BU1651,Parameter!$F$35:$G$64,2,0),2)),IF(OR(BZ1651="Nein",BZ1651=""),"-",BZ1651))))</f>
        <v>3</v>
      </c>
      <c r="AA1651" s="55"/>
      <c r="AB1651" s="56"/>
      <c r="AC1651" s="50" t="n">
        <f aca="false">AT1651</f>
        <v>20</v>
      </c>
      <c r="AD1651" s="50" t="n">
        <f aca="false">MAX(AT1651,H1651)</f>
        <v>20</v>
      </c>
      <c r="AE1651" s="57"/>
      <c r="AF1651" s="50" t="n">
        <f aca="false">IF(LEFT(Cockpit!$C$5,1)="A",H1651,IF(CE1651=1,CF1651,IF(LEFT(Cockpit!$C$5,1)="B",AK1651,MAX(AK1651,H1651))))</f>
        <v>8</v>
      </c>
      <c r="AG1651" s="50" t="n">
        <f aca="false">IF(BW1651=1,0,ROUNDUP(AF1651/BV1651,0))</f>
        <v>1</v>
      </c>
      <c r="AH1651" s="52" t="n">
        <f aca="false">IF(CL1651&gt;0,CL1651*MAX(1,AF1651/X1651),IF(BW1651=1,IF(AF1651&lt;=0,0,CA1651*MAX(1,IF(H1651&gt;0,AF1651/H1651,1))),IF(R1651&gt;0,AG1651/R1651,0))/MAX(0.1,N(Parameter!$M$21)))</f>
        <v>0.0384615384615385</v>
      </c>
      <c r="AI1651" s="50" t="n">
        <f aca="false">AH1651*BY1651</f>
        <v>5.96153846153846</v>
      </c>
      <c r="AJ1651" s="50" t="n">
        <f aca="false">AF1651*G1651</f>
        <v>2944</v>
      </c>
      <c r="AK1651" s="50" t="n">
        <f aca="false">ROUNDUP(MAX(J1651/IF(CD1651&gt;0,CD1651,MAX(0.1,N(Cockpit!$C$6))),CG1651)/BV1651,0)*BV1651</f>
        <v>20</v>
      </c>
      <c r="AL1651" s="51" t="n">
        <f aca="false">IF(AI1651&gt;0,J1651/AI1651,-1)</f>
        <v>0</v>
      </c>
      <c r="AM1651" s="51" t="n">
        <f aca="false">IF(AND(OR(CC1651="L1",CC1651="L23",CC1651="LIFT"),AI1651&gt;0),SUMIFS($AI$7:$AI$1843,$CC$7:$CC$1843,CC1651,$AL$7:$AL$1843,"&gt;"&amp;AL1651)+SUMIFS($AI$7:$AI$1843,$CC$7:$CC$1843,CC1651,$AL$7:$AL$1843,AL1651,$BT$7:$BT$1843,"&lt;="&amp;BT1651),"")</f>
        <v>31232.6140679001</v>
      </c>
      <c r="AN1651" s="58" t="n">
        <f aca="false">IF(AM1651="",0,MAX(0,MIN(1,(IF(CC1651="L1",Parameter!$H$5,IF(CC1651="L23",Parameter!$H$6+Parameter!$H$7,Parameter!$H$5+Parameter!$H$6+Parameter!$H$7))-(AM1651-AI1651))/AI1651)))</f>
        <v>1</v>
      </c>
      <c r="AO1651" s="50" t="n">
        <f aca="false">IF(LEFT(Cockpit!$I$5,1)="A",H1651,IF(CE1651=1,CF1651,IF(LEFT(Cockpit!$I$5,1)="B",AT1651,MAX(AT1651,H1651))))</f>
        <v>20</v>
      </c>
      <c r="AP1651" s="50" t="n">
        <f aca="false">IF(BW1651=1,0,ROUNDUP(AO1651/BV1651,0))</f>
        <v>1</v>
      </c>
      <c r="AQ1651" s="52" t="n">
        <f aca="false">IF(CL1651&gt;0,CL1651*MAX(1,AO1651/X1651),IF(BW1651=1,IF(AO1651&lt;=0,0,CA1651*MAX(1,IF(H1651&gt;0,AO1651/H1651,1))),IF(R1651&gt;0,AP1651/R1651,0))/MAX(0.1,N(Parameter!$M$21)))</f>
        <v>0.0384615384615385</v>
      </c>
      <c r="AR1651" s="50" t="n">
        <f aca="false">AQ1651*BY1651</f>
        <v>5.96153846153846</v>
      </c>
      <c r="AS1651" s="50" t="n">
        <f aca="false">AO1651*G1651</f>
        <v>7360</v>
      </c>
      <c r="AT1651" s="50" t="n">
        <f aca="false">ROUNDUP(MAX(J1651/IF(CD1651&gt;0,CD1651,MAX(0.1,N(Cockpit!$I$6))),CG1651)/BV1651,0)*BV1651</f>
        <v>20</v>
      </c>
      <c r="AU1651" s="51" t="n">
        <f aca="false">IF(AR1651&gt;0,J1651/AR1651,-1)</f>
        <v>0</v>
      </c>
      <c r="AV1651" s="51" t="n">
        <f aca="false">IF(AND(OR(CC1651="L1",CC1651="L23",CC1651="LIFT"),AR1651&gt;0),SUMIFS($AR$7:$AR$1843,$CC$7:$CC$1843,CC1651,$AU$7:$AU$1843,"&gt;"&amp;AU1651)+SUMIFS($AR$7:$AR$1843,$CC$7:$CC$1843,CC1651,$AU$7:$AU$1843,AU1651,$BT$7:$BT$1843,"&lt;="&amp;BT1651),"")</f>
        <v>43899.2998075371</v>
      </c>
      <c r="AW1651" s="58" t="n">
        <f aca="false">IF(AV1651="",0,MAX(0,MIN(1,(IF(CC1651="L1",Parameter!$H$5,IF(CC1651="L23",Parameter!$H$6+Parameter!$H$7,Parameter!$H$5+Parameter!$H$6+Parameter!$H$7))-(AV1651-AR1651))/AR1651)))</f>
        <v>0</v>
      </c>
      <c r="AX1651" s="50" t="n">
        <f aca="false">IF(LEFT(Cockpit!$O$5,1)="A",H1651,IF(CE1651=1,CF1651,IF(LEFT(Cockpit!$O$5,1)="B",BC1651,MAX(BC1651,H1651))))</f>
        <v>20</v>
      </c>
      <c r="AY1651" s="50" t="n">
        <f aca="false">IF(BW1651=1,0,ROUNDUP(AX1651/BV1651,0))</f>
        <v>1</v>
      </c>
      <c r="AZ1651" s="52" t="n">
        <f aca="false">IF(CL1651&gt;0,CL1651*MAX(1,AX1651/X1651),IF(BW1651=1,IF(AX1651&lt;=0,0,CA1651*MAX(1,IF(H1651&gt;0,AX1651/H1651,1))),IF(R1651&gt;0,AY1651/R1651,0))/MAX(0.1,N(Parameter!$M$21)))</f>
        <v>0.0384615384615385</v>
      </c>
      <c r="BA1651" s="50" t="n">
        <f aca="false">AZ1651*BY1651</f>
        <v>5.96153846153846</v>
      </c>
      <c r="BB1651" s="50" t="n">
        <f aca="false">AX1651*G1651</f>
        <v>7360</v>
      </c>
      <c r="BC1651" s="50" t="n">
        <f aca="false">ROUNDUP(MAX(J1651/IF(CD1651&gt;0,CD1651,MAX(0.1,N(Cockpit!$O$6))),CG1651)/BV1651,0)*BV1651</f>
        <v>20</v>
      </c>
      <c r="BD1651" s="51" t="n">
        <f aca="false">IF(BA1651&gt;0,J1651/BA1651,-1)</f>
        <v>0</v>
      </c>
      <c r="BE1651" s="51" t="n">
        <f aca="false">IF(AND(OR(CC1651="L1",CC1651="L23",CC1651="LIFT"),BA1651&gt;0),SUMIFS($BA$7:$BA$1843,$CC$7:$CC$1843,CC1651,$BD$7:$BD$1843,"&gt;"&amp;BD1651)+SUMIFS($BA$7:$BA$1843,$CC$7:$CC$1843,CC1651,$BD$7:$BD$1843,BD1651,$BT$7:$BT$1843,"&lt;="&amp;BT1651),"")</f>
        <v>40574.311849403</v>
      </c>
      <c r="BF1651" s="58" t="n">
        <f aca="false">IF(BE1651="",0,MAX(0,MIN(1,(IF(CC1651="L1",Parameter!$H$5,IF(CC1651="L23",Parameter!$H$6+Parameter!$H$7,Parameter!$H$5+Parameter!$H$6+Parameter!$H$7))-(BE1651-BA1651))/BA1651)))</f>
        <v>0</v>
      </c>
      <c r="BG1651" s="48" t="str">
        <f aca="false">IF(AI1651&lt;=0,"",IF(CC1651="Aussen","Aussenlager",IF(CC1651="-","Nicht im Lift",IF(AN1651&gt;=1,"Lift",IF(AN1651&lt;=0,"Aussenlager","teilweise")))))</f>
        <v>Lift</v>
      </c>
      <c r="BH1651" s="48" t="str">
        <f aca="false">IF(AR1651&lt;=0,"",IF(CC1651="Aussen","Aussenlager",IF(CC1651="-","Nicht im Lift",IF(AW1651&gt;=1,"Lift",IF(AW1651&lt;=0,"Aussenlager","teilweise")))))</f>
        <v>Aussenlager</v>
      </c>
      <c r="BI1651" s="48" t="str">
        <f aca="false">IF(BA1651&lt;=0,"",IF(CC1651="Aussen","Aussenlager",IF(CC1651="-","Nicht im Lift",IF(BF1651&gt;=1,"Lift",IF(BF1651&lt;=0,"Aussenlager","teilweise")))))</f>
        <v>Aussenlager</v>
      </c>
      <c r="BJ1651" s="48" t="str">
        <f aca="false">IF(A1651="","",IF(BS1651=1,"Neu; ","")&amp;IF(AND(BS1651=0,BN1651&lt;0),"negativer Bestand (Export "&amp;BN1651&amp;"); ","")&amp;IF(J1651&lt;=0,"Kein Verbrauch; ","")&amp;IF(CL1651&gt;0,"Lift "&amp;W1651&amp;" lt. Liftbericht (Fach "&amp;X1651&amp;" Stk); ",IF(BX1651=1,"Gebinde geschätzt ("&amp;T1651&amp;"); ",IF(BW1651=1,"Lose – Tablare geschätzt; ","")))&amp;IF(H1651&gt;AT1651,"Überbestand "&amp;ROUND(H1651-AT1651,0)&amp;" Stk / CHF "&amp;ROUND((H1651-AT1651)*G1651,0)&amp;"; ","")&amp;IF(AND(CE1651=1,CF1651&lt;CG1651),"MAX &lt; MB+LG; ","")&amp;IF(AND(CK1651&gt;0,CJ1651*10&gt;CK1651),"zu hoch für Tablar; ","")&amp;IF(AND(BS1651=0,OR(CE1651=1,AA1651&lt;&gt;"",U1651&lt;&gt;"",V1651&lt;&gt;"",AB1651&lt;&gt;"")),"manuell übersteuert; ","")&amp;IF(AND(BW1651=0,R1651=0),"Gebinde unbekannt / Stellmass fehlt; ","")&amp;IF(AND(BW1651=0,N(V1651)&lt;=0,N(Q1651)&lt;=0),"Menge pro Gebinde fehlt (Ist = 1 Gebinde); ","")&amp;BR1651)</f>
        <v>Kein Verbrauch; Gebinde geschätzt (Klein); Menge pro Gebinde fehlt (Ist = 1 Gebinde); nur im Artikelstamm (Bestand 23.06.2026)</v>
      </c>
      <c r="BK1651" s="48"/>
      <c r="BL1651" s="48"/>
      <c r="BM1651" s="55"/>
      <c r="BN1651" s="50" t="n">
        <v>8</v>
      </c>
      <c r="BO1651" s="50" t="n">
        <v>0</v>
      </c>
      <c r="BP1651" s="49" t="n">
        <v>0</v>
      </c>
      <c r="BQ1651" s="50" t="n">
        <v>0</v>
      </c>
      <c r="BR1651" s="48" t="s">
        <v>2579</v>
      </c>
      <c r="BS1651" s="53" t="n">
        <v>0</v>
      </c>
      <c r="BT1651" s="53" t="n">
        <v>1651</v>
      </c>
      <c r="BU1651" s="48" t="str">
        <f aca="false">IF(U1651&lt;&gt;"",UPPER(TRIM(U1651)),IF(BX1651=1,UPPER(VLOOKUP(T1651,Parameter!$I$27:$K$29,2,0)),IF(P1651="","LOSE",P1651)))</f>
        <v>S51</v>
      </c>
      <c r="BV1651" s="50" t="n">
        <f aca="false">IF(BU1651="LOSE",1,IF(N(V1651)&gt;0,V1651,IF(BX1651=1,MAX(1,N(VLOOKUP(T1651,Parameter!$I$27:$K$29,3,0)),H1651,N(N1651)),IF(N(Q1651)&gt;0,Q1651,MAX(1,H1651)))))</f>
        <v>20</v>
      </c>
      <c r="BW1651" s="53" t="n">
        <f aca="false">IF(BU1651="LOSE",1,0)</f>
        <v>0</v>
      </c>
      <c r="BX1651" s="53" t="n">
        <f aca="false">IF(AND(U1651="",OR(P1651="",P1651="LOSE"),T1651&lt;&gt;"",N(S1651)&lt;=0,ISNUMBER(MATCH(T1651,Parameter!$I$27:$I$29,0))),1,0)</f>
        <v>1</v>
      </c>
      <c r="BY1651" s="53" t="n">
        <f aca="false">IF(CL1651&gt;0,INDEX(Parameter!$H$5:$H$7,W1651)/INDEX(Parameter!$E$5:$E$7,W1651),IF(AND(BW1651=0,N(IFERROR(VLOOKUP(BU1651,'Gebinde-Kategorie'!$A$5:$N$45,14,0),0))&gt;0),VLOOKUP(BU1651,'Gebinde-Kategorie'!$A$5:$N$45,14,0)*10+Parameter!$M$23,Parameter!$M$24))</f>
        <v>155</v>
      </c>
      <c r="BZ1651" s="48" t="str">
        <f aca="false">IF(AND(Parameter!$B$19="Ja",E1651&lt;&gt;"",ISNUMBER(MATCH(E1651,Parameter!$I$35:$I$52,0))),VLOOKUP(E1651,Parameter!$I$35:$J$52,2,0),IFERROR(VLOOKUP(D1651,Parameter!$A$35:$C$64,2,0),"Nein"))</f>
        <v>2+3</v>
      </c>
      <c r="CA1651" s="52" t="n">
        <f aca="false">IF(BW1651=0,0,IF(N(S1651)&gt;0,S1651,IFERROR(VLOOKUP(D1651,Parameter!$A$35:$C$64,3,0)+0,0)))</f>
        <v>0</v>
      </c>
      <c r="CB1651" s="48" t="n">
        <f aca="false">IF(AA1651&lt;&gt;"",AA1651,Z1651)</f>
        <v>3</v>
      </c>
      <c r="CC1651" s="48" t="str">
        <f aca="false">IF(OR(CB1651=1,CB1651=2,CB1651=3),IF(Parameter!$E$27="Ja","LIFT",IF(CB1651=1,"L1","L23")),IF(CB1651="Aussen","Aussen","-"))</f>
        <v>LIFT</v>
      </c>
      <c r="CD1651" s="59" t="n">
        <f aca="false">IF(N(AB1651)&gt;0,AB1651,0)</f>
        <v>0</v>
      </c>
      <c r="CE1651" s="53" t="n">
        <f aca="false">IF(ISNUMBER(AE1651),1,0)</f>
        <v>0</v>
      </c>
      <c r="CF1651" s="50" t="n">
        <f aca="false">N(AE1651)</f>
        <v>0</v>
      </c>
      <c r="CG1651" s="50" t="n">
        <f aca="false">N(M1651)+N(N1651)</f>
        <v>5</v>
      </c>
      <c r="CH1651" s="50" t="n">
        <f aca="false">ROUNDUP(H1651/BV1651,0)</f>
        <v>1</v>
      </c>
      <c r="CI1651" s="50" t="n">
        <f aca="false">ROUNDUP(CF1651/BV1651,0)</f>
        <v>0</v>
      </c>
      <c r="CJ1651" s="53" t="n">
        <f aca="false">IF(BW1651=1,0,IFERROR(VLOOKUP(BU1651,'Gebinde-Kategorie'!$A$5:$N$45,5,0)+0,0))</f>
        <v>11</v>
      </c>
      <c r="CK1651" s="53" t="n">
        <f aca="false">IFERROR(IF(OR(CB1651=1,CB1651=2,CB1651=3),N(INDEX(Parameter!$I$5:$I$7,CB1651)),0),0)</f>
        <v>0</v>
      </c>
      <c r="CL1651" s="52" t="n">
        <f aca="false">IF(AND(Parameter!$B$21="Ja",ISNUMBER(W1651),N(X1651)&gt;0),IFERROR(N(INDEX(Parameter!$L$5:$L$7,W1651))*INDEX(Parameter!$E$5:$E$7,W1651)*X1651/SUMIFS($X$7:$X$1843,$W$7:$W$1843,W1651),0),0)</f>
        <v>0</v>
      </c>
    </row>
    <row r="1652" customFormat="false" ht="15" hidden="false" customHeight="false" outlineLevel="0" collapsed="false">
      <c r="A1652" s="48" t="s">
        <v>2876</v>
      </c>
      <c r="B1652" s="48" t="s">
        <v>210</v>
      </c>
      <c r="C1652" s="48" t="s">
        <v>171</v>
      </c>
      <c r="D1652" s="48" t="s">
        <v>177</v>
      </c>
      <c r="E1652" s="48"/>
      <c r="F1652" s="48"/>
      <c r="G1652" s="49" t="n">
        <v>1370</v>
      </c>
      <c r="H1652" s="50" t="n">
        <f aca="false">MAX(0,IF(AND(Parameter!$B$21="Ja",ISNUMBER(Y1652)),Y1652,IF(Parameter!$B$20="Jahresanfang 2025 + Export",BO1652+BN1652,BN1652)))</f>
        <v>1</v>
      </c>
      <c r="I1652" s="50" t="n">
        <f aca="false">H1652*G1652</f>
        <v>1370</v>
      </c>
      <c r="J1652" s="50" t="n">
        <f aca="false">BQ1652*Parameter!$B$18</f>
        <v>0</v>
      </c>
      <c r="K1652" s="51"/>
      <c r="L1652" s="52"/>
      <c r="M1652" s="50" t="n">
        <v>0</v>
      </c>
      <c r="N1652" s="50" t="n">
        <v>5</v>
      </c>
      <c r="O1652" s="53" t="n">
        <v>35</v>
      </c>
      <c r="P1652" s="48" t="s">
        <v>172</v>
      </c>
      <c r="Q1652" s="50"/>
      <c r="R1652" s="53" t="n">
        <f aca="false">IF(BW1652=1,0,IFERROR(VLOOKUP(BU1652,'Gebinde-Kategorie'!$A$5:$N$45,13,0)+0,0))</f>
        <v>12</v>
      </c>
      <c r="S1652" s="54"/>
      <c r="T1652" s="55" t="s">
        <v>183</v>
      </c>
      <c r="U1652" s="55"/>
      <c r="V1652" s="55"/>
      <c r="W1652" s="48"/>
      <c r="X1652" s="50"/>
      <c r="Y1652" s="50"/>
      <c r="Z1652" s="48" t="n">
        <f aca="false">IF(A1652="","",IF(AND(Parameter!$B$21="Ja",ISNUMBER(W1652)),W1652,IF(BZ1652="2+3",IF(ISNUMBER(SEARCH("grosser Artikel",BR1652)),2,IFERROR(VLOOKUP(BU1652,Parameter!$F$35:$G$64,2,0),2)),IF(OR(BZ1652="Nein",BZ1652=""),"-",BZ1652))))</f>
        <v>2</v>
      </c>
      <c r="AA1652" s="55"/>
      <c r="AB1652" s="56"/>
      <c r="AC1652" s="50" t="n">
        <f aca="false">AT1652</f>
        <v>5</v>
      </c>
      <c r="AD1652" s="50" t="n">
        <f aca="false">MAX(AT1652,H1652)</f>
        <v>5</v>
      </c>
      <c r="AE1652" s="57"/>
      <c r="AF1652" s="50" t="n">
        <f aca="false">IF(LEFT(Cockpit!$C$5,1)="A",H1652,IF(CE1652=1,CF1652,IF(LEFT(Cockpit!$C$5,1)="B",AK1652,MAX(AK1652,H1652))))</f>
        <v>1</v>
      </c>
      <c r="AG1652" s="50" t="n">
        <f aca="false">IF(BW1652=1,0,ROUNDUP(AF1652/BV1652,0))</f>
        <v>1</v>
      </c>
      <c r="AH1652" s="52" t="n">
        <f aca="false">IF(CL1652&gt;0,CL1652*MAX(1,AF1652/X1652),IF(BW1652=1,IF(AF1652&lt;=0,0,CA1652*MAX(1,IF(H1652&gt;0,AF1652/H1652,1))),IF(R1652&gt;0,AG1652/R1652,0))/MAX(0.1,N(Parameter!$M$21)))</f>
        <v>0.0833333333333333</v>
      </c>
      <c r="AI1652" s="50" t="n">
        <f aca="false">AH1652*BY1652</f>
        <v>12.0833333333333</v>
      </c>
      <c r="AJ1652" s="50" t="n">
        <f aca="false">AF1652*G1652</f>
        <v>1370</v>
      </c>
      <c r="AK1652" s="50" t="n">
        <f aca="false">ROUNDUP(MAX(J1652/IF(CD1652&gt;0,CD1652,MAX(0.1,N(Cockpit!$C$6))),CG1652)/BV1652,0)*BV1652</f>
        <v>5</v>
      </c>
      <c r="AL1652" s="51" t="n">
        <f aca="false">IF(AI1652&gt;0,J1652/AI1652,-1)</f>
        <v>0</v>
      </c>
      <c r="AM1652" s="51" t="n">
        <f aca="false">IF(AND(OR(CC1652="L1",CC1652="L23",CC1652="LIFT"),AI1652&gt;0),SUMIFS($AI$7:$AI$1843,$CC$7:$CC$1843,CC1652,$AL$7:$AL$1843,"&gt;"&amp;AL1652)+SUMIFS($AI$7:$AI$1843,$CC$7:$CC$1843,CC1652,$AL$7:$AL$1843,AL1652,$BT$7:$BT$1843,"&lt;="&amp;BT1652),"")</f>
        <v>31244.6974012334</v>
      </c>
      <c r="AN1652" s="58" t="n">
        <f aca="false">IF(AM1652="",0,MAX(0,MIN(1,(IF(CC1652="L1",Parameter!$H$5,IF(CC1652="L23",Parameter!$H$6+Parameter!$H$7,Parameter!$H$5+Parameter!$H$6+Parameter!$H$7))-(AM1652-AI1652))/AI1652)))</f>
        <v>1</v>
      </c>
      <c r="AO1652" s="50" t="n">
        <f aca="false">IF(LEFT(Cockpit!$I$5,1)="A",H1652,IF(CE1652=1,CF1652,IF(LEFT(Cockpit!$I$5,1)="B",AT1652,MAX(AT1652,H1652))))</f>
        <v>5</v>
      </c>
      <c r="AP1652" s="50" t="n">
        <f aca="false">IF(BW1652=1,0,ROUNDUP(AO1652/BV1652,0))</f>
        <v>1</v>
      </c>
      <c r="AQ1652" s="52" t="n">
        <f aca="false">IF(CL1652&gt;0,CL1652*MAX(1,AO1652/X1652),IF(BW1652=1,IF(AO1652&lt;=0,0,CA1652*MAX(1,IF(H1652&gt;0,AO1652/H1652,1))),IF(R1652&gt;0,AP1652/R1652,0))/MAX(0.1,N(Parameter!$M$21)))</f>
        <v>0.0833333333333333</v>
      </c>
      <c r="AR1652" s="50" t="n">
        <f aca="false">AQ1652*BY1652</f>
        <v>12.0833333333333</v>
      </c>
      <c r="AS1652" s="50" t="n">
        <f aca="false">AO1652*G1652</f>
        <v>6850</v>
      </c>
      <c r="AT1652" s="50" t="n">
        <f aca="false">ROUNDUP(MAX(J1652/IF(CD1652&gt;0,CD1652,MAX(0.1,N(Cockpit!$I$6))),CG1652)/BV1652,0)*BV1652</f>
        <v>5</v>
      </c>
      <c r="AU1652" s="51" t="n">
        <f aca="false">IF(AR1652&gt;0,J1652/AR1652,-1)</f>
        <v>0</v>
      </c>
      <c r="AV1652" s="51" t="n">
        <f aca="false">IF(AND(OR(CC1652="L1",CC1652="L23",CC1652="LIFT"),AR1652&gt;0),SUMIFS($AR$7:$AR$1843,$CC$7:$CC$1843,CC1652,$AU$7:$AU$1843,"&gt;"&amp;AU1652)+SUMIFS($AR$7:$AR$1843,$CC$7:$CC$1843,CC1652,$AU$7:$AU$1843,AU1652,$BT$7:$BT$1843,"&lt;="&amp;BT1652),"")</f>
        <v>43911.3831408704</v>
      </c>
      <c r="AW1652" s="58" t="n">
        <f aca="false">IF(AV1652="",0,MAX(0,MIN(1,(IF(CC1652="L1",Parameter!$H$5,IF(CC1652="L23",Parameter!$H$6+Parameter!$H$7,Parameter!$H$5+Parameter!$H$6+Parameter!$H$7))-(AV1652-AR1652))/AR1652)))</f>
        <v>0</v>
      </c>
      <c r="AX1652" s="50" t="n">
        <f aca="false">IF(LEFT(Cockpit!$O$5,1)="A",H1652,IF(CE1652=1,CF1652,IF(LEFT(Cockpit!$O$5,1)="B",BC1652,MAX(BC1652,H1652))))</f>
        <v>5</v>
      </c>
      <c r="AY1652" s="50" t="n">
        <f aca="false">IF(BW1652=1,0,ROUNDUP(AX1652/BV1652,0))</f>
        <v>1</v>
      </c>
      <c r="AZ1652" s="52" t="n">
        <f aca="false">IF(CL1652&gt;0,CL1652*MAX(1,AX1652/X1652),IF(BW1652=1,IF(AX1652&lt;=0,0,CA1652*MAX(1,IF(H1652&gt;0,AX1652/H1652,1))),IF(R1652&gt;0,AY1652/R1652,0))/MAX(0.1,N(Parameter!$M$21)))</f>
        <v>0.0833333333333333</v>
      </c>
      <c r="BA1652" s="50" t="n">
        <f aca="false">AZ1652*BY1652</f>
        <v>12.0833333333333</v>
      </c>
      <c r="BB1652" s="50" t="n">
        <f aca="false">AX1652*G1652</f>
        <v>6850</v>
      </c>
      <c r="BC1652" s="50" t="n">
        <f aca="false">ROUNDUP(MAX(J1652/IF(CD1652&gt;0,CD1652,MAX(0.1,N(Cockpit!$O$6))),CG1652)/BV1652,0)*BV1652</f>
        <v>5</v>
      </c>
      <c r="BD1652" s="51" t="n">
        <f aca="false">IF(BA1652&gt;0,J1652/BA1652,-1)</f>
        <v>0</v>
      </c>
      <c r="BE1652" s="51" t="n">
        <f aca="false">IF(AND(OR(CC1652="L1",CC1652="L23",CC1652="LIFT"),BA1652&gt;0),SUMIFS($BA$7:$BA$1843,$CC$7:$CC$1843,CC1652,$BD$7:$BD$1843,"&gt;"&amp;BD1652)+SUMIFS($BA$7:$BA$1843,$CC$7:$CC$1843,CC1652,$BD$7:$BD$1843,BD1652,$BT$7:$BT$1843,"&lt;="&amp;BT1652),"")</f>
        <v>40586.3951827363</v>
      </c>
      <c r="BF1652" s="58" t="n">
        <f aca="false">IF(BE1652="",0,MAX(0,MIN(1,(IF(CC1652="L1",Parameter!$H$5,IF(CC1652="L23",Parameter!$H$6+Parameter!$H$7,Parameter!$H$5+Parameter!$H$6+Parameter!$H$7))-(BE1652-BA1652))/BA1652)))</f>
        <v>0</v>
      </c>
      <c r="BG1652" s="48" t="str">
        <f aca="false">IF(AI1652&lt;=0,"",IF(CC1652="Aussen","Aussenlager",IF(CC1652="-","Nicht im Lift",IF(AN1652&gt;=1,"Lift",IF(AN1652&lt;=0,"Aussenlager","teilweise")))))</f>
        <v>Lift</v>
      </c>
      <c r="BH1652" s="48" t="str">
        <f aca="false">IF(AR1652&lt;=0,"",IF(CC1652="Aussen","Aussenlager",IF(CC1652="-","Nicht im Lift",IF(AW1652&gt;=1,"Lift",IF(AW1652&lt;=0,"Aussenlager","teilweise")))))</f>
        <v>Aussenlager</v>
      </c>
      <c r="BI1652" s="48" t="str">
        <f aca="false">IF(BA1652&lt;=0,"",IF(CC1652="Aussen","Aussenlager",IF(CC1652="-","Nicht im Lift",IF(BF1652&gt;=1,"Lift",IF(BF1652&lt;=0,"Aussenlager","teilweise")))))</f>
        <v>Aussenlager</v>
      </c>
      <c r="BJ1652" s="48" t="str">
        <f aca="false">IF(A1652="","",IF(BS1652=1,"Neu; ","")&amp;IF(AND(BS1652=0,BN1652&lt;0),"negativer Bestand (Export "&amp;BN1652&amp;"); ","")&amp;IF(J1652&lt;=0,"Kein Verbrauch; ","")&amp;IF(CL1652&gt;0,"Lift "&amp;W1652&amp;" lt. Liftbericht (Fach "&amp;X1652&amp;" Stk); ",IF(BX1652=1,"Gebinde geschätzt ("&amp;T1652&amp;"); ",IF(BW1652=1,"Lose – Tablare geschätzt; ","")))&amp;IF(H1652&gt;AT1652,"Überbestand "&amp;ROUND(H1652-AT1652,0)&amp;" Stk / CHF "&amp;ROUND((H1652-AT1652)*G1652,0)&amp;"; ","")&amp;IF(AND(CE1652=1,CF1652&lt;CG1652),"MAX &lt; MB+LG; ","")&amp;IF(AND(CK1652&gt;0,CJ1652*10&gt;CK1652),"zu hoch für Tablar; ","")&amp;IF(AND(BS1652=0,OR(CE1652=1,AA1652&lt;&gt;"",U1652&lt;&gt;"",V1652&lt;&gt;"",AB1652&lt;&gt;"")),"manuell übersteuert; ","")&amp;IF(AND(BW1652=0,R1652=0),"Gebinde unbekannt / Stellmass fehlt; ","")&amp;IF(AND(BW1652=0,N(V1652)&lt;=0,N(Q1652)&lt;=0),"Menge pro Gebinde fehlt (Ist = 1 Gebinde); ","")&amp;BR1652)</f>
        <v>Kein Verbrauch; Gebinde geschätzt (Mittel); Menge pro Gebinde fehlt (Ist = 1 Gebinde); nur im Artikelstamm (Bestand 23.06.2026); Neuer Art.</v>
      </c>
      <c r="BK1652" s="48"/>
      <c r="BL1652" s="48"/>
      <c r="BM1652" s="55"/>
      <c r="BN1652" s="50" t="n">
        <v>1</v>
      </c>
      <c r="BO1652" s="50" t="n">
        <v>0</v>
      </c>
      <c r="BP1652" s="49" t="n">
        <v>0</v>
      </c>
      <c r="BQ1652" s="50" t="n">
        <v>0</v>
      </c>
      <c r="BR1652" s="48" t="s">
        <v>2877</v>
      </c>
      <c r="BS1652" s="53" t="n">
        <v>0</v>
      </c>
      <c r="BT1652" s="53" t="n">
        <v>1652</v>
      </c>
      <c r="BU1652" s="48" t="str">
        <f aca="false">IF(U1652&lt;&gt;"",UPPER(TRIM(U1652)),IF(BX1652=1,UPPER(VLOOKUP(T1652,Parameter!$I$27:$K$29,2,0)),IF(P1652="","LOSE",P1652)))</f>
        <v>S61</v>
      </c>
      <c r="BV1652" s="50" t="n">
        <f aca="false">IF(BU1652="LOSE",1,IF(N(V1652)&gt;0,V1652,IF(BX1652=1,MAX(1,N(VLOOKUP(T1652,Parameter!$I$27:$K$29,3,0)),H1652,N(N1652)),IF(N(Q1652)&gt;0,Q1652,MAX(1,H1652)))))</f>
        <v>5</v>
      </c>
      <c r="BW1652" s="53" t="n">
        <f aca="false">IF(BU1652="LOSE",1,0)</f>
        <v>0</v>
      </c>
      <c r="BX1652" s="53" t="n">
        <f aca="false">IF(AND(U1652="",OR(P1652="",P1652="LOSE"),T1652&lt;&gt;"",N(S1652)&lt;=0,ISNUMBER(MATCH(T1652,Parameter!$I$27:$I$29,0))),1,0)</f>
        <v>1</v>
      </c>
      <c r="BY1652" s="53" t="n">
        <f aca="false">IF(CL1652&gt;0,INDEX(Parameter!$H$5:$H$7,W1652)/INDEX(Parameter!$E$5:$E$7,W1652),IF(AND(BW1652=0,N(IFERROR(VLOOKUP(BU1652,'Gebinde-Kategorie'!$A$5:$N$45,14,0),0))&gt;0),VLOOKUP(BU1652,'Gebinde-Kategorie'!$A$5:$N$45,14,0)*10+Parameter!$M$23,Parameter!$M$24))</f>
        <v>145</v>
      </c>
      <c r="BZ1652" s="48" t="str">
        <f aca="false">IF(AND(Parameter!$B$19="Ja",E1652&lt;&gt;"",ISNUMBER(MATCH(E1652,Parameter!$I$35:$I$52,0))),VLOOKUP(E1652,Parameter!$I$35:$J$52,2,0),IFERROR(VLOOKUP(D1652,Parameter!$A$35:$C$64,2,0),"Nein"))</f>
        <v>2+3</v>
      </c>
      <c r="CA1652" s="52" t="n">
        <f aca="false">IF(BW1652=0,0,IF(N(S1652)&gt;0,S1652,IFERROR(VLOOKUP(D1652,Parameter!$A$35:$C$64,3,0)+0,0)))</f>
        <v>0</v>
      </c>
      <c r="CB1652" s="48" t="n">
        <f aca="false">IF(AA1652&lt;&gt;"",AA1652,Z1652)</f>
        <v>2</v>
      </c>
      <c r="CC1652" s="48" t="str">
        <f aca="false">IF(OR(CB1652=1,CB1652=2,CB1652=3),IF(Parameter!$E$27="Ja","LIFT",IF(CB1652=1,"L1","L23")),IF(CB1652="Aussen","Aussen","-"))</f>
        <v>LIFT</v>
      </c>
      <c r="CD1652" s="59" t="n">
        <f aca="false">IF(N(AB1652)&gt;0,AB1652,0)</f>
        <v>0</v>
      </c>
      <c r="CE1652" s="53" t="n">
        <f aca="false">IF(ISNUMBER(AE1652),1,0)</f>
        <v>0</v>
      </c>
      <c r="CF1652" s="50" t="n">
        <f aca="false">N(AE1652)</f>
        <v>0</v>
      </c>
      <c r="CG1652" s="50" t="n">
        <f aca="false">N(M1652)+N(N1652)</f>
        <v>5</v>
      </c>
      <c r="CH1652" s="50" t="n">
        <f aca="false">ROUNDUP(H1652/BV1652,0)</f>
        <v>1</v>
      </c>
      <c r="CI1652" s="50" t="n">
        <f aca="false">ROUNDUP(CF1652/BV1652,0)</f>
        <v>0</v>
      </c>
      <c r="CJ1652" s="53" t="n">
        <f aca="false">IF(BW1652=1,0,IFERROR(VLOOKUP(BU1652,'Gebinde-Kategorie'!$A$5:$N$45,5,0)+0,0))</f>
        <v>11</v>
      </c>
      <c r="CK1652" s="53" t="n">
        <f aca="false">IFERROR(IF(OR(CB1652=1,CB1652=2,CB1652=3),N(INDEX(Parameter!$I$5:$I$7,CB1652)),0),0)</f>
        <v>0</v>
      </c>
      <c r="CL1652" s="52" t="n">
        <f aca="false">IF(AND(Parameter!$B$21="Ja",ISNUMBER(W1652),N(X1652)&gt;0),IFERROR(N(INDEX(Parameter!$L$5:$L$7,W1652))*INDEX(Parameter!$E$5:$E$7,W1652)*X1652/SUMIFS($X$7:$X$1843,$W$7:$W$1843,W1652),0),0)</f>
        <v>0</v>
      </c>
    </row>
    <row r="1653" customFormat="false" ht="15" hidden="false" customHeight="false" outlineLevel="0" collapsed="false">
      <c r="A1653" s="48" t="s">
        <v>2878</v>
      </c>
      <c r="B1653" s="48" t="s">
        <v>2879</v>
      </c>
      <c r="C1653" s="48" t="s">
        <v>168</v>
      </c>
      <c r="D1653" s="48" t="s">
        <v>177</v>
      </c>
      <c r="E1653" s="48" t="s">
        <v>177</v>
      </c>
      <c r="F1653" s="48"/>
      <c r="G1653" s="49" t="n">
        <v>444.6</v>
      </c>
      <c r="H1653" s="50" t="n">
        <f aca="false">MAX(0,IF(AND(Parameter!$B$21="Ja",ISNUMBER(Y1653)),Y1653,IF(Parameter!$B$20="Jahresanfang 2025 + Export",BO1653+BN1653,BN1653)))</f>
        <v>1</v>
      </c>
      <c r="I1653" s="50" t="n">
        <f aca="false">H1653*G1653</f>
        <v>444.6</v>
      </c>
      <c r="J1653" s="50" t="n">
        <f aca="false">BQ1653*Parameter!$B$18</f>
        <v>0</v>
      </c>
      <c r="K1653" s="51"/>
      <c r="L1653" s="52"/>
      <c r="M1653" s="50" t="n">
        <v>0</v>
      </c>
      <c r="N1653" s="50" t="n">
        <v>1</v>
      </c>
      <c r="O1653" s="53" t="n">
        <v>28</v>
      </c>
      <c r="P1653" s="48" t="s">
        <v>172</v>
      </c>
      <c r="Q1653" s="50"/>
      <c r="R1653" s="53" t="n">
        <f aca="false">IF(BW1653=1,0,IFERROR(VLOOKUP(BU1653,'Gebinde-Kategorie'!$A$5:$N$45,13,0)+0,0))</f>
        <v>12</v>
      </c>
      <c r="S1653" s="54"/>
      <c r="T1653" s="55" t="s">
        <v>183</v>
      </c>
      <c r="U1653" s="55"/>
      <c r="V1653" s="55"/>
      <c r="W1653" s="48"/>
      <c r="X1653" s="50"/>
      <c r="Y1653" s="50"/>
      <c r="Z1653" s="48" t="str">
        <f aca="false">IF(A1653="","",IF(AND(Parameter!$B$21="Ja",ISNUMBER(W1653)),W1653,IF(BZ1653="2+3",IF(ISNUMBER(SEARCH("grosser Artikel",BR1653)),2,IFERROR(VLOOKUP(BU1653,Parameter!$F$35:$G$64,2,0),2)),IF(OR(BZ1653="Nein",BZ1653=""),"-",BZ1653))))</f>
        <v>-</v>
      </c>
      <c r="AA1653" s="55"/>
      <c r="AB1653" s="56"/>
      <c r="AC1653" s="50" t="n">
        <f aca="false">AT1653</f>
        <v>4</v>
      </c>
      <c r="AD1653" s="50" t="n">
        <f aca="false">MAX(AT1653,H1653)</f>
        <v>4</v>
      </c>
      <c r="AE1653" s="57"/>
      <c r="AF1653" s="50" t="n">
        <f aca="false">IF(LEFT(Cockpit!$C$5,1)="A",H1653,IF(CE1653=1,CF1653,IF(LEFT(Cockpit!$C$5,1)="B",AK1653,MAX(AK1653,H1653))))</f>
        <v>1</v>
      </c>
      <c r="AG1653" s="50" t="n">
        <f aca="false">IF(BW1653=1,0,ROUNDUP(AF1653/BV1653,0))</f>
        <v>1</v>
      </c>
      <c r="AH1653" s="52" t="n">
        <f aca="false">IF(CL1653&gt;0,CL1653*MAX(1,AF1653/X1653),IF(BW1653=1,IF(AF1653&lt;=0,0,CA1653*MAX(1,IF(H1653&gt;0,AF1653/H1653,1))),IF(R1653&gt;0,AG1653/R1653,0))/MAX(0.1,N(Parameter!$M$21)))</f>
        <v>0.0833333333333333</v>
      </c>
      <c r="AI1653" s="50" t="n">
        <f aca="false">AH1653*BY1653</f>
        <v>12.0833333333333</v>
      </c>
      <c r="AJ1653" s="50" t="n">
        <f aca="false">AF1653*G1653</f>
        <v>444.6</v>
      </c>
      <c r="AK1653" s="50" t="n">
        <f aca="false">ROUNDUP(MAX(J1653/IF(CD1653&gt;0,CD1653,MAX(0.1,N(Cockpit!$C$6))),CG1653)/BV1653,0)*BV1653</f>
        <v>4</v>
      </c>
      <c r="AL1653" s="51" t="n">
        <f aca="false">IF(AI1653&gt;0,J1653/AI1653,-1)</f>
        <v>0</v>
      </c>
      <c r="AM1653" s="51" t="str">
        <f aca="false">IF(AND(OR(CC1653="L1",CC1653="L23",CC1653="LIFT"),AI1653&gt;0),SUMIFS($AI$7:$AI$1843,$CC$7:$CC$1843,CC1653,$AL$7:$AL$1843,"&gt;"&amp;AL1653)+SUMIFS($AI$7:$AI$1843,$CC$7:$CC$1843,CC1653,$AL$7:$AL$1843,AL1653,$BT$7:$BT$1843,"&lt;="&amp;BT1653),"")</f>
        <v/>
      </c>
      <c r="AN1653" s="58" t="n">
        <f aca="false">IF(AM1653="",0,MAX(0,MIN(1,(IF(CC1653="L1",Parameter!$H$5,IF(CC1653="L23",Parameter!$H$6+Parameter!$H$7,Parameter!$H$5+Parameter!$H$6+Parameter!$H$7))-(AM1653-AI1653))/AI1653)))</f>
        <v>0</v>
      </c>
      <c r="AO1653" s="50" t="n">
        <f aca="false">IF(LEFT(Cockpit!$I$5,1)="A",H1653,IF(CE1653=1,CF1653,IF(LEFT(Cockpit!$I$5,1)="B",AT1653,MAX(AT1653,H1653))))</f>
        <v>4</v>
      </c>
      <c r="AP1653" s="50" t="n">
        <f aca="false">IF(BW1653=1,0,ROUNDUP(AO1653/BV1653,0))</f>
        <v>1</v>
      </c>
      <c r="AQ1653" s="52" t="n">
        <f aca="false">IF(CL1653&gt;0,CL1653*MAX(1,AO1653/X1653),IF(BW1653=1,IF(AO1653&lt;=0,0,CA1653*MAX(1,IF(H1653&gt;0,AO1653/H1653,1))),IF(R1653&gt;0,AP1653/R1653,0))/MAX(0.1,N(Parameter!$M$21)))</f>
        <v>0.0833333333333333</v>
      </c>
      <c r="AR1653" s="50" t="n">
        <f aca="false">AQ1653*BY1653</f>
        <v>12.0833333333333</v>
      </c>
      <c r="AS1653" s="50" t="n">
        <f aca="false">AO1653*G1653</f>
        <v>1778.4</v>
      </c>
      <c r="AT1653" s="50" t="n">
        <f aca="false">ROUNDUP(MAX(J1653/IF(CD1653&gt;0,CD1653,MAX(0.1,N(Cockpit!$I$6))),CG1653)/BV1653,0)*BV1653</f>
        <v>4</v>
      </c>
      <c r="AU1653" s="51" t="n">
        <f aca="false">IF(AR1653&gt;0,J1653/AR1653,-1)</f>
        <v>0</v>
      </c>
      <c r="AV1653" s="51" t="str">
        <f aca="false">IF(AND(OR(CC1653="L1",CC1653="L23",CC1653="LIFT"),AR1653&gt;0),SUMIFS($AR$7:$AR$1843,$CC$7:$CC$1843,CC1653,$AU$7:$AU$1843,"&gt;"&amp;AU1653)+SUMIFS($AR$7:$AR$1843,$CC$7:$CC$1843,CC1653,$AU$7:$AU$1843,AU1653,$BT$7:$BT$1843,"&lt;="&amp;BT1653),"")</f>
        <v/>
      </c>
      <c r="AW1653" s="58" t="n">
        <f aca="false">IF(AV1653="",0,MAX(0,MIN(1,(IF(CC1653="L1",Parameter!$H$5,IF(CC1653="L23",Parameter!$H$6+Parameter!$H$7,Parameter!$H$5+Parameter!$H$6+Parameter!$H$7))-(AV1653-AR1653))/AR1653)))</f>
        <v>0</v>
      </c>
      <c r="AX1653" s="50" t="n">
        <f aca="false">IF(LEFT(Cockpit!$O$5,1)="A",H1653,IF(CE1653=1,CF1653,IF(LEFT(Cockpit!$O$5,1)="B",BC1653,MAX(BC1653,H1653))))</f>
        <v>4</v>
      </c>
      <c r="AY1653" s="50" t="n">
        <f aca="false">IF(BW1653=1,0,ROUNDUP(AX1653/BV1653,0))</f>
        <v>1</v>
      </c>
      <c r="AZ1653" s="52" t="n">
        <f aca="false">IF(CL1653&gt;0,CL1653*MAX(1,AX1653/X1653),IF(BW1653=1,IF(AX1653&lt;=0,0,CA1653*MAX(1,IF(H1653&gt;0,AX1653/H1653,1))),IF(R1653&gt;0,AY1653/R1653,0))/MAX(0.1,N(Parameter!$M$21)))</f>
        <v>0.0833333333333333</v>
      </c>
      <c r="BA1653" s="50" t="n">
        <f aca="false">AZ1653*BY1653</f>
        <v>12.0833333333333</v>
      </c>
      <c r="BB1653" s="50" t="n">
        <f aca="false">AX1653*G1653</f>
        <v>1778.4</v>
      </c>
      <c r="BC1653" s="50" t="n">
        <f aca="false">ROUNDUP(MAX(J1653/IF(CD1653&gt;0,CD1653,MAX(0.1,N(Cockpit!$O$6))),CG1653)/BV1653,0)*BV1653</f>
        <v>4</v>
      </c>
      <c r="BD1653" s="51" t="n">
        <f aca="false">IF(BA1653&gt;0,J1653/BA1653,-1)</f>
        <v>0</v>
      </c>
      <c r="BE1653" s="51" t="str">
        <f aca="false">IF(AND(OR(CC1653="L1",CC1653="L23",CC1653="LIFT"),BA1653&gt;0),SUMIFS($BA$7:$BA$1843,$CC$7:$CC$1843,CC1653,$BD$7:$BD$1843,"&gt;"&amp;BD1653)+SUMIFS($BA$7:$BA$1843,$CC$7:$CC$1843,CC1653,$BD$7:$BD$1843,BD1653,$BT$7:$BT$1843,"&lt;="&amp;BT1653),"")</f>
        <v/>
      </c>
      <c r="BF1653" s="58" t="n">
        <f aca="false">IF(BE1653="",0,MAX(0,MIN(1,(IF(CC1653="L1",Parameter!$H$5,IF(CC1653="L23",Parameter!$H$6+Parameter!$H$7,Parameter!$H$5+Parameter!$H$6+Parameter!$H$7))-(BE1653-BA1653))/BA1653)))</f>
        <v>0</v>
      </c>
      <c r="BG1653" s="48" t="str">
        <f aca="false">IF(AI1653&lt;=0,"",IF(CC1653="Aussen","Aussenlager",IF(CC1653="-","Nicht im Lift",IF(AN1653&gt;=1,"Lift",IF(AN1653&lt;=0,"Aussenlager","teilweise")))))</f>
        <v>Nicht im Lift</v>
      </c>
      <c r="BH1653" s="48" t="str">
        <f aca="false">IF(AR1653&lt;=0,"",IF(CC1653="Aussen","Aussenlager",IF(CC1653="-","Nicht im Lift",IF(AW1653&gt;=1,"Lift",IF(AW1653&lt;=0,"Aussenlager","teilweise")))))</f>
        <v>Nicht im Lift</v>
      </c>
      <c r="BI1653" s="48" t="str">
        <f aca="false">IF(BA1653&lt;=0,"",IF(CC1653="Aussen","Aussenlager",IF(CC1653="-","Nicht im Lift",IF(BF1653&gt;=1,"Lift",IF(BF1653&lt;=0,"Aussenlager","teilweise")))))</f>
        <v>Nicht im Lift</v>
      </c>
      <c r="BJ1653" s="48" t="str">
        <f aca="false">IF(A1653="","",IF(BS1653=1,"Neu; ","")&amp;IF(AND(BS1653=0,BN1653&lt;0),"negativer Bestand (Export "&amp;BN1653&amp;"); ","")&amp;IF(J1653&lt;=0,"Kein Verbrauch; ","")&amp;IF(CL1653&gt;0,"Lift "&amp;W1653&amp;" lt. Liftbericht (Fach "&amp;X1653&amp;" Stk); ",IF(BX1653=1,"Gebinde geschätzt ("&amp;T1653&amp;"); ",IF(BW1653=1,"Lose – Tablare geschätzt; ","")))&amp;IF(H1653&gt;AT1653,"Überbestand "&amp;ROUND(H1653-AT1653,0)&amp;" Stk / CHF "&amp;ROUND((H1653-AT1653)*G1653,0)&amp;"; ","")&amp;IF(AND(CE1653=1,CF1653&lt;CG1653),"MAX &lt; MB+LG; ","")&amp;IF(AND(CK1653&gt;0,CJ1653*10&gt;CK1653),"zu hoch für Tablar; ","")&amp;IF(AND(BS1653=0,OR(CE1653=1,AA1653&lt;&gt;"",U1653&lt;&gt;"",V1653&lt;&gt;"",AB1653&lt;&gt;"")),"manuell übersteuert; ","")&amp;IF(AND(BW1653=0,R1653=0),"Gebinde unbekannt / Stellmass fehlt; ","")&amp;IF(AND(BW1653=0,N(V1653)&lt;=0,N(Q1653)&lt;=0),"Menge pro Gebinde fehlt (Ist = 1 Gebinde); ","")&amp;BR1653)</f>
        <v>Kein Verbrauch; Gebinde geschätzt (Mittel); Menge pro Gebinde fehlt (Ist = 1 Gebinde); nur im Artikelstamm (Bestand 23.06.2026)</v>
      </c>
      <c r="BK1653" s="48"/>
      <c r="BL1653" s="48"/>
      <c r="BM1653" s="55"/>
      <c r="BN1653" s="50" t="n">
        <v>1</v>
      </c>
      <c r="BO1653" s="50" t="n">
        <v>0</v>
      </c>
      <c r="BP1653" s="49" t="n">
        <v>0</v>
      </c>
      <c r="BQ1653" s="50" t="n">
        <v>0</v>
      </c>
      <c r="BR1653" s="48" t="s">
        <v>2579</v>
      </c>
      <c r="BS1653" s="53" t="n">
        <v>0</v>
      </c>
      <c r="BT1653" s="53" t="n">
        <v>1653</v>
      </c>
      <c r="BU1653" s="48" t="str">
        <f aca="false">IF(U1653&lt;&gt;"",UPPER(TRIM(U1653)),IF(BX1653=1,UPPER(VLOOKUP(T1653,Parameter!$I$27:$K$29,2,0)),IF(P1653="","LOSE",P1653)))</f>
        <v>S61</v>
      </c>
      <c r="BV1653" s="50" t="n">
        <f aca="false">IF(BU1653="LOSE",1,IF(N(V1653)&gt;0,V1653,IF(BX1653=1,MAX(1,N(VLOOKUP(T1653,Parameter!$I$27:$K$29,3,0)),H1653,N(N1653)),IF(N(Q1653)&gt;0,Q1653,MAX(1,H1653)))))</f>
        <v>4</v>
      </c>
      <c r="BW1653" s="53" t="n">
        <f aca="false">IF(BU1653="LOSE",1,0)</f>
        <v>0</v>
      </c>
      <c r="BX1653" s="53" t="n">
        <f aca="false">IF(AND(U1653="",OR(P1653="",P1653="LOSE"),T1653&lt;&gt;"",N(S1653)&lt;=0,ISNUMBER(MATCH(T1653,Parameter!$I$27:$I$29,0))),1,0)</f>
        <v>1</v>
      </c>
      <c r="BY1653" s="53" t="n">
        <f aca="false">IF(CL1653&gt;0,INDEX(Parameter!$H$5:$H$7,W1653)/INDEX(Parameter!$E$5:$E$7,W1653),IF(AND(BW1653=0,N(IFERROR(VLOOKUP(BU1653,'Gebinde-Kategorie'!$A$5:$N$45,14,0),0))&gt;0),VLOOKUP(BU1653,'Gebinde-Kategorie'!$A$5:$N$45,14,0)*10+Parameter!$M$23,Parameter!$M$24))</f>
        <v>145</v>
      </c>
      <c r="BZ1653" s="48" t="str">
        <f aca="false">IF(AND(Parameter!$B$19="Ja",E1653&lt;&gt;"",ISNUMBER(MATCH(E1653,Parameter!$I$35:$I$52,0))),VLOOKUP(E1653,Parameter!$I$35:$J$52,2,0),IFERROR(VLOOKUP(D1653,Parameter!$A$35:$C$64,2,0),"Nein"))</f>
        <v>Nein</v>
      </c>
      <c r="CA1653" s="52" t="n">
        <f aca="false">IF(BW1653=0,0,IF(N(S1653)&gt;0,S1653,IFERROR(VLOOKUP(D1653,Parameter!$A$35:$C$64,3,0)+0,0)))</f>
        <v>0</v>
      </c>
      <c r="CB1653" s="48" t="str">
        <f aca="false">IF(AA1653&lt;&gt;"",AA1653,Z1653)</f>
        <v>-</v>
      </c>
      <c r="CC1653" s="48" t="str">
        <f aca="false">IF(OR(CB1653=1,CB1653=2,CB1653=3),IF(Parameter!$E$27="Ja","LIFT",IF(CB1653=1,"L1","L23")),IF(CB1653="Aussen","Aussen","-"))</f>
        <v>-</v>
      </c>
      <c r="CD1653" s="59" t="n">
        <f aca="false">IF(N(AB1653)&gt;0,AB1653,0)</f>
        <v>0</v>
      </c>
      <c r="CE1653" s="53" t="n">
        <f aca="false">IF(ISNUMBER(AE1653),1,0)</f>
        <v>0</v>
      </c>
      <c r="CF1653" s="50" t="n">
        <f aca="false">N(AE1653)</f>
        <v>0</v>
      </c>
      <c r="CG1653" s="50" t="n">
        <f aca="false">N(M1653)+N(N1653)</f>
        <v>1</v>
      </c>
      <c r="CH1653" s="50" t="n">
        <f aca="false">ROUNDUP(H1653/BV1653,0)</f>
        <v>1</v>
      </c>
      <c r="CI1653" s="50" t="n">
        <f aca="false">ROUNDUP(CF1653/BV1653,0)</f>
        <v>0</v>
      </c>
      <c r="CJ1653" s="53" t="n">
        <f aca="false">IF(BW1653=1,0,IFERROR(VLOOKUP(BU1653,'Gebinde-Kategorie'!$A$5:$N$45,5,0)+0,0))</f>
        <v>11</v>
      </c>
      <c r="CK1653" s="53" t="n">
        <f aca="false">IFERROR(IF(OR(CB1653=1,CB1653=2,CB1653=3),N(INDEX(Parameter!$I$5:$I$7,CB1653)),0),0)</f>
        <v>0</v>
      </c>
      <c r="CL1653" s="52" t="n">
        <f aca="false">IF(AND(Parameter!$B$21="Ja",ISNUMBER(W1653),N(X1653)&gt;0),IFERROR(N(INDEX(Parameter!$L$5:$L$7,W1653))*INDEX(Parameter!$E$5:$E$7,W1653)*X1653/SUMIFS($X$7:$X$1843,$W$7:$W$1843,W1653),0),0)</f>
        <v>0</v>
      </c>
    </row>
    <row r="1654" customFormat="false" ht="15" hidden="false" customHeight="false" outlineLevel="0" collapsed="false">
      <c r="A1654" s="48" t="s">
        <v>2880</v>
      </c>
      <c r="B1654" s="48" t="s">
        <v>2881</v>
      </c>
      <c r="C1654" s="48" t="s">
        <v>168</v>
      </c>
      <c r="D1654" s="48" t="s">
        <v>188</v>
      </c>
      <c r="E1654" s="48" t="s">
        <v>189</v>
      </c>
      <c r="F1654" s="48"/>
      <c r="G1654" s="49" t="n">
        <v>19</v>
      </c>
      <c r="H1654" s="50" t="n">
        <f aca="false">MAX(0,IF(AND(Parameter!$B$21="Ja",ISNUMBER(Y1654)),Y1654,IF(Parameter!$B$20="Jahresanfang 2025 + Export",BO1654+BN1654,BN1654)))</f>
        <v>45</v>
      </c>
      <c r="I1654" s="50" t="n">
        <f aca="false">H1654*G1654</f>
        <v>855</v>
      </c>
      <c r="J1654" s="50" t="n">
        <f aca="false">BQ1654*Parameter!$B$18</f>
        <v>0</v>
      </c>
      <c r="K1654" s="51"/>
      <c r="L1654" s="52"/>
      <c r="M1654" s="50" t="n">
        <v>0</v>
      </c>
      <c r="N1654" s="50" t="n">
        <v>20</v>
      </c>
      <c r="O1654" s="53" t="n">
        <v>28</v>
      </c>
      <c r="P1654" s="48" t="s">
        <v>172</v>
      </c>
      <c r="Q1654" s="50"/>
      <c r="R1654" s="53" t="n">
        <f aca="false">IF(BW1654=1,0,IFERROR(VLOOKUP(BU1654,'Gebinde-Kategorie'!$A$5:$N$45,13,0)+0,0))</f>
        <v>26</v>
      </c>
      <c r="S1654" s="54"/>
      <c r="T1654" s="55" t="s">
        <v>279</v>
      </c>
      <c r="U1654" s="55"/>
      <c r="V1654" s="55"/>
      <c r="W1654" s="48"/>
      <c r="X1654" s="50"/>
      <c r="Y1654" s="50"/>
      <c r="Z1654" s="48" t="n">
        <f aca="false">IF(A1654="","",IF(AND(Parameter!$B$21="Ja",ISNUMBER(W1654)),W1654,IF(BZ1654="2+3",IF(ISNUMBER(SEARCH("grosser Artikel",BR1654)),2,IFERROR(VLOOKUP(BU1654,Parameter!$F$35:$G$64,2,0),2)),IF(OR(BZ1654="Nein",BZ1654=""),"-",BZ1654))))</f>
        <v>3</v>
      </c>
      <c r="AA1654" s="55"/>
      <c r="AB1654" s="56"/>
      <c r="AC1654" s="50" t="n">
        <f aca="false">AT1654</f>
        <v>45</v>
      </c>
      <c r="AD1654" s="50" t="n">
        <f aca="false">MAX(AT1654,H1654)</f>
        <v>45</v>
      </c>
      <c r="AE1654" s="57"/>
      <c r="AF1654" s="50" t="n">
        <f aca="false">IF(LEFT(Cockpit!$C$5,1)="A",H1654,IF(CE1654=1,CF1654,IF(LEFT(Cockpit!$C$5,1)="B",AK1654,MAX(AK1654,H1654))))</f>
        <v>45</v>
      </c>
      <c r="AG1654" s="50" t="n">
        <f aca="false">IF(BW1654=1,0,ROUNDUP(AF1654/BV1654,0))</f>
        <v>1</v>
      </c>
      <c r="AH1654" s="52" t="n">
        <f aca="false">IF(CL1654&gt;0,CL1654*MAX(1,AF1654/X1654),IF(BW1654=1,IF(AF1654&lt;=0,0,CA1654*MAX(1,IF(H1654&gt;0,AF1654/H1654,1))),IF(R1654&gt;0,AG1654/R1654,0))/MAX(0.1,N(Parameter!$M$21)))</f>
        <v>0.0384615384615385</v>
      </c>
      <c r="AI1654" s="50" t="n">
        <f aca="false">AH1654*BY1654</f>
        <v>5.96153846153846</v>
      </c>
      <c r="AJ1654" s="50" t="n">
        <f aca="false">AF1654*G1654</f>
        <v>855</v>
      </c>
      <c r="AK1654" s="50" t="n">
        <f aca="false">ROUNDUP(MAX(J1654/IF(CD1654&gt;0,CD1654,MAX(0.1,N(Cockpit!$C$6))),CG1654)/BV1654,0)*BV1654</f>
        <v>45</v>
      </c>
      <c r="AL1654" s="51" t="n">
        <f aca="false">IF(AI1654&gt;0,J1654/AI1654,-1)</f>
        <v>0</v>
      </c>
      <c r="AM1654" s="51" t="n">
        <f aca="false">IF(AND(OR(CC1654="L1",CC1654="L23",CC1654="LIFT"),AI1654&gt;0),SUMIFS($AI$7:$AI$1843,$CC$7:$CC$1843,CC1654,$AL$7:$AL$1843,"&gt;"&amp;AL1654)+SUMIFS($AI$7:$AI$1843,$CC$7:$CC$1843,CC1654,$AL$7:$AL$1843,AL1654,$BT$7:$BT$1843,"&lt;="&amp;BT1654),"")</f>
        <v>31250.658939695</v>
      </c>
      <c r="AN1654" s="58" t="n">
        <f aca="false">IF(AM1654="",0,MAX(0,MIN(1,(IF(CC1654="L1",Parameter!$H$5,IF(CC1654="L23",Parameter!$H$6+Parameter!$H$7,Parameter!$H$5+Parameter!$H$6+Parameter!$H$7))-(AM1654-AI1654))/AI1654)))</f>
        <v>1</v>
      </c>
      <c r="AO1654" s="50" t="n">
        <f aca="false">IF(LEFT(Cockpit!$I$5,1)="A",H1654,IF(CE1654=1,CF1654,IF(LEFT(Cockpit!$I$5,1)="B",AT1654,MAX(AT1654,H1654))))</f>
        <v>45</v>
      </c>
      <c r="AP1654" s="50" t="n">
        <f aca="false">IF(BW1654=1,0,ROUNDUP(AO1654/BV1654,0))</f>
        <v>1</v>
      </c>
      <c r="AQ1654" s="52" t="n">
        <f aca="false">IF(CL1654&gt;0,CL1654*MAX(1,AO1654/X1654),IF(BW1654=1,IF(AO1654&lt;=0,0,CA1654*MAX(1,IF(H1654&gt;0,AO1654/H1654,1))),IF(R1654&gt;0,AP1654/R1654,0))/MAX(0.1,N(Parameter!$M$21)))</f>
        <v>0.0384615384615385</v>
      </c>
      <c r="AR1654" s="50" t="n">
        <f aca="false">AQ1654*BY1654</f>
        <v>5.96153846153846</v>
      </c>
      <c r="AS1654" s="50" t="n">
        <f aca="false">AO1654*G1654</f>
        <v>855</v>
      </c>
      <c r="AT1654" s="50" t="n">
        <f aca="false">ROUNDUP(MAX(J1654/IF(CD1654&gt;0,CD1654,MAX(0.1,N(Cockpit!$I$6))),CG1654)/BV1654,0)*BV1654</f>
        <v>45</v>
      </c>
      <c r="AU1654" s="51" t="n">
        <f aca="false">IF(AR1654&gt;0,J1654/AR1654,-1)</f>
        <v>0</v>
      </c>
      <c r="AV1654" s="51" t="n">
        <f aca="false">IF(AND(OR(CC1654="L1",CC1654="L23",CC1654="LIFT"),AR1654&gt;0),SUMIFS($AR$7:$AR$1843,$CC$7:$CC$1843,CC1654,$AU$7:$AU$1843,"&gt;"&amp;AU1654)+SUMIFS($AR$7:$AR$1843,$CC$7:$CC$1843,CC1654,$AU$7:$AU$1843,AU1654,$BT$7:$BT$1843,"&lt;="&amp;BT1654),"")</f>
        <v>43917.344679332</v>
      </c>
      <c r="AW1654" s="58" t="n">
        <f aca="false">IF(AV1654="",0,MAX(0,MIN(1,(IF(CC1654="L1",Parameter!$H$5,IF(CC1654="L23",Parameter!$H$6+Parameter!$H$7,Parameter!$H$5+Parameter!$H$6+Parameter!$H$7))-(AV1654-AR1654))/AR1654)))</f>
        <v>0</v>
      </c>
      <c r="AX1654" s="50" t="n">
        <f aca="false">IF(LEFT(Cockpit!$O$5,1)="A",H1654,IF(CE1654=1,CF1654,IF(LEFT(Cockpit!$O$5,1)="B",BC1654,MAX(BC1654,H1654))))</f>
        <v>45</v>
      </c>
      <c r="AY1654" s="50" t="n">
        <f aca="false">IF(BW1654=1,0,ROUNDUP(AX1654/BV1654,0))</f>
        <v>1</v>
      </c>
      <c r="AZ1654" s="52" t="n">
        <f aca="false">IF(CL1654&gt;0,CL1654*MAX(1,AX1654/X1654),IF(BW1654=1,IF(AX1654&lt;=0,0,CA1654*MAX(1,IF(H1654&gt;0,AX1654/H1654,1))),IF(R1654&gt;0,AY1654/R1654,0))/MAX(0.1,N(Parameter!$M$21)))</f>
        <v>0.0384615384615385</v>
      </c>
      <c r="BA1654" s="50" t="n">
        <f aca="false">AZ1654*BY1654</f>
        <v>5.96153846153846</v>
      </c>
      <c r="BB1654" s="50" t="n">
        <f aca="false">AX1654*G1654</f>
        <v>855</v>
      </c>
      <c r="BC1654" s="50" t="n">
        <f aca="false">ROUNDUP(MAX(J1654/IF(CD1654&gt;0,CD1654,MAX(0.1,N(Cockpit!$O$6))),CG1654)/BV1654,0)*BV1654</f>
        <v>45</v>
      </c>
      <c r="BD1654" s="51" t="n">
        <f aca="false">IF(BA1654&gt;0,J1654/BA1654,-1)</f>
        <v>0</v>
      </c>
      <c r="BE1654" s="51" t="n">
        <f aca="false">IF(AND(OR(CC1654="L1",CC1654="L23",CC1654="LIFT"),BA1654&gt;0),SUMIFS($BA$7:$BA$1843,$CC$7:$CC$1843,CC1654,$BD$7:$BD$1843,"&gt;"&amp;BD1654)+SUMIFS($BA$7:$BA$1843,$CC$7:$CC$1843,CC1654,$BD$7:$BD$1843,BD1654,$BT$7:$BT$1843,"&lt;="&amp;BT1654),"")</f>
        <v>40592.3567211978</v>
      </c>
      <c r="BF1654" s="58" t="n">
        <f aca="false">IF(BE1654="",0,MAX(0,MIN(1,(IF(CC1654="L1",Parameter!$H$5,IF(CC1654="L23",Parameter!$H$6+Parameter!$H$7,Parameter!$H$5+Parameter!$H$6+Parameter!$H$7))-(BE1654-BA1654))/BA1654)))</f>
        <v>0</v>
      </c>
      <c r="BG1654" s="48" t="str">
        <f aca="false">IF(AI1654&lt;=0,"",IF(CC1654="Aussen","Aussenlager",IF(CC1654="-","Nicht im Lift",IF(AN1654&gt;=1,"Lift",IF(AN1654&lt;=0,"Aussenlager","teilweise")))))</f>
        <v>Lift</v>
      </c>
      <c r="BH1654" s="48" t="str">
        <f aca="false">IF(AR1654&lt;=0,"",IF(CC1654="Aussen","Aussenlager",IF(CC1654="-","Nicht im Lift",IF(AW1654&gt;=1,"Lift",IF(AW1654&lt;=0,"Aussenlager","teilweise")))))</f>
        <v>Aussenlager</v>
      </c>
      <c r="BI1654" s="48" t="str">
        <f aca="false">IF(BA1654&lt;=0,"",IF(CC1654="Aussen","Aussenlager",IF(CC1654="-","Nicht im Lift",IF(BF1654&gt;=1,"Lift",IF(BF1654&lt;=0,"Aussenlager","teilweise")))))</f>
        <v>Aussenlager</v>
      </c>
      <c r="BJ1654" s="48" t="str">
        <f aca="false">IF(A1654="","",IF(BS1654=1,"Neu; ","")&amp;IF(AND(BS1654=0,BN1654&lt;0),"negativer Bestand (Export "&amp;BN1654&amp;"); ","")&amp;IF(J1654&lt;=0,"Kein Verbrauch; ","")&amp;IF(CL1654&gt;0,"Lift "&amp;W1654&amp;" lt. Liftbericht (Fach "&amp;X1654&amp;" Stk); ",IF(BX1654=1,"Gebinde geschätzt ("&amp;T1654&amp;"); ",IF(BW1654=1,"Lose – Tablare geschätzt; ","")))&amp;IF(H1654&gt;AT1654,"Überbestand "&amp;ROUND(H1654-AT1654,0)&amp;" Stk / CHF "&amp;ROUND((H1654-AT1654)*G1654,0)&amp;"; ","")&amp;IF(AND(CE1654=1,CF1654&lt;CG1654),"MAX &lt; MB+LG; ","")&amp;IF(AND(CK1654&gt;0,CJ1654*10&gt;CK1654),"zu hoch für Tablar; ","")&amp;IF(AND(BS1654=0,OR(CE1654=1,AA1654&lt;&gt;"",U1654&lt;&gt;"",V1654&lt;&gt;"",AB1654&lt;&gt;"")),"manuell übersteuert; ","")&amp;IF(AND(BW1654=0,R1654=0),"Gebinde unbekannt / Stellmass fehlt; ","")&amp;IF(AND(BW1654=0,N(V1654)&lt;=0,N(Q1654)&lt;=0),"Menge pro Gebinde fehlt (Ist = 1 Gebinde); ","")&amp;BR1654)</f>
        <v>Kein Verbrauch; Gebinde geschätzt (Klein); Menge pro Gebinde fehlt (Ist = 1 Gebinde); nur im Artikelstamm (Bestand 23.06.2026); nicht im KTL vorhanden</v>
      </c>
      <c r="BK1654" s="48"/>
      <c r="BL1654" s="48"/>
      <c r="BM1654" s="55"/>
      <c r="BN1654" s="50" t="n">
        <v>45</v>
      </c>
      <c r="BO1654" s="50" t="n">
        <v>0</v>
      </c>
      <c r="BP1654" s="49" t="n">
        <v>0</v>
      </c>
      <c r="BQ1654" s="50" t="n">
        <v>0</v>
      </c>
      <c r="BR1654" s="48" t="s">
        <v>2882</v>
      </c>
      <c r="BS1654" s="53" t="n">
        <v>0</v>
      </c>
      <c r="BT1654" s="53" t="n">
        <v>1654</v>
      </c>
      <c r="BU1654" s="48" t="str">
        <f aca="false">IF(U1654&lt;&gt;"",UPPER(TRIM(U1654)),IF(BX1654=1,UPPER(VLOOKUP(T1654,Parameter!$I$27:$K$29,2,0)),IF(P1654="","LOSE",P1654)))</f>
        <v>S51</v>
      </c>
      <c r="BV1654" s="50" t="n">
        <f aca="false">IF(BU1654="LOSE",1,IF(N(V1654)&gt;0,V1654,IF(BX1654=1,MAX(1,N(VLOOKUP(T1654,Parameter!$I$27:$K$29,3,0)),H1654,N(N1654)),IF(N(Q1654)&gt;0,Q1654,MAX(1,H1654)))))</f>
        <v>45</v>
      </c>
      <c r="BW1654" s="53" t="n">
        <f aca="false">IF(BU1654="LOSE",1,0)</f>
        <v>0</v>
      </c>
      <c r="BX1654" s="53" t="n">
        <f aca="false">IF(AND(U1654="",OR(P1654="",P1654="LOSE"),T1654&lt;&gt;"",N(S1654)&lt;=0,ISNUMBER(MATCH(T1654,Parameter!$I$27:$I$29,0))),1,0)</f>
        <v>1</v>
      </c>
      <c r="BY1654" s="53" t="n">
        <f aca="false">IF(CL1654&gt;0,INDEX(Parameter!$H$5:$H$7,W1654)/INDEX(Parameter!$E$5:$E$7,W1654),IF(AND(BW1654=0,N(IFERROR(VLOOKUP(BU1654,'Gebinde-Kategorie'!$A$5:$N$45,14,0),0))&gt;0),VLOOKUP(BU1654,'Gebinde-Kategorie'!$A$5:$N$45,14,0)*10+Parameter!$M$23,Parameter!$M$24))</f>
        <v>155</v>
      </c>
      <c r="BZ1654" s="48" t="str">
        <f aca="false">IF(AND(Parameter!$B$19="Ja",E1654&lt;&gt;"",ISNUMBER(MATCH(E1654,Parameter!$I$35:$I$52,0))),VLOOKUP(E1654,Parameter!$I$35:$J$52,2,0),IFERROR(VLOOKUP(D1654,Parameter!$A$35:$C$64,2,0),"Nein"))</f>
        <v>2+3</v>
      </c>
      <c r="CA1654" s="52" t="n">
        <f aca="false">IF(BW1654=0,0,IF(N(S1654)&gt;0,S1654,IFERROR(VLOOKUP(D1654,Parameter!$A$35:$C$64,3,0)+0,0)))</f>
        <v>0</v>
      </c>
      <c r="CB1654" s="48" t="n">
        <f aca="false">IF(AA1654&lt;&gt;"",AA1654,Z1654)</f>
        <v>3</v>
      </c>
      <c r="CC1654" s="48" t="str">
        <f aca="false">IF(OR(CB1654=1,CB1654=2,CB1654=3),IF(Parameter!$E$27="Ja","LIFT",IF(CB1654=1,"L1","L23")),IF(CB1654="Aussen","Aussen","-"))</f>
        <v>LIFT</v>
      </c>
      <c r="CD1654" s="59" t="n">
        <f aca="false">IF(N(AB1654)&gt;0,AB1654,0)</f>
        <v>0</v>
      </c>
      <c r="CE1654" s="53" t="n">
        <f aca="false">IF(ISNUMBER(AE1654),1,0)</f>
        <v>0</v>
      </c>
      <c r="CF1654" s="50" t="n">
        <f aca="false">N(AE1654)</f>
        <v>0</v>
      </c>
      <c r="CG1654" s="50" t="n">
        <f aca="false">N(M1654)+N(N1654)</f>
        <v>20</v>
      </c>
      <c r="CH1654" s="50" t="n">
        <f aca="false">ROUNDUP(H1654/BV1654,0)</f>
        <v>1</v>
      </c>
      <c r="CI1654" s="50" t="n">
        <f aca="false">ROUNDUP(CF1654/BV1654,0)</f>
        <v>0</v>
      </c>
      <c r="CJ1654" s="53" t="n">
        <f aca="false">IF(BW1654=1,0,IFERROR(VLOOKUP(BU1654,'Gebinde-Kategorie'!$A$5:$N$45,5,0)+0,0))</f>
        <v>11</v>
      </c>
      <c r="CK1654" s="53" t="n">
        <f aca="false">IFERROR(IF(OR(CB1654=1,CB1654=2,CB1654=3),N(INDEX(Parameter!$I$5:$I$7,CB1654)),0),0)</f>
        <v>0</v>
      </c>
      <c r="CL1654" s="52" t="n">
        <f aca="false">IF(AND(Parameter!$B$21="Ja",ISNUMBER(W1654),N(X1654)&gt;0),IFERROR(N(INDEX(Parameter!$L$5:$L$7,W1654))*INDEX(Parameter!$E$5:$E$7,W1654)*X1654/SUMIFS($X$7:$X$1843,$W$7:$W$1843,W1654),0),0)</f>
        <v>0</v>
      </c>
    </row>
    <row r="1655" customFormat="false" ht="15" hidden="false" customHeight="false" outlineLevel="0" collapsed="false">
      <c r="A1655" s="48" t="s">
        <v>2883</v>
      </c>
      <c r="B1655" s="48" t="s">
        <v>291</v>
      </c>
      <c r="C1655" s="48" t="s">
        <v>168</v>
      </c>
      <c r="D1655" s="48" t="s">
        <v>177</v>
      </c>
      <c r="E1655" s="48"/>
      <c r="F1655" s="48"/>
      <c r="G1655" s="49" t="n">
        <v>1770</v>
      </c>
      <c r="H1655" s="50" t="n">
        <f aca="false">MAX(0,IF(AND(Parameter!$B$21="Ja",ISNUMBER(Y1655)),Y1655,IF(Parameter!$B$20="Jahresanfang 2025 + Export",BO1655+BN1655,BN1655)))</f>
        <v>1</v>
      </c>
      <c r="I1655" s="50" t="n">
        <f aca="false">H1655*G1655</f>
        <v>1770</v>
      </c>
      <c r="J1655" s="50" t="n">
        <f aca="false">BQ1655*Parameter!$B$18</f>
        <v>0</v>
      </c>
      <c r="K1655" s="51"/>
      <c r="L1655" s="52"/>
      <c r="M1655" s="50" t="n">
        <v>0</v>
      </c>
      <c r="N1655" s="50" t="n">
        <v>1</v>
      </c>
      <c r="O1655" s="53" t="n">
        <v>35</v>
      </c>
      <c r="P1655" s="48" t="s">
        <v>172</v>
      </c>
      <c r="Q1655" s="50"/>
      <c r="R1655" s="53" t="n">
        <f aca="false">IF(BW1655=1,0,IFERROR(VLOOKUP(BU1655,'Gebinde-Kategorie'!$A$5:$N$45,13,0)+0,0))</f>
        <v>12</v>
      </c>
      <c r="S1655" s="54"/>
      <c r="T1655" s="55" t="s">
        <v>183</v>
      </c>
      <c r="U1655" s="55"/>
      <c r="V1655" s="55"/>
      <c r="W1655" s="48"/>
      <c r="X1655" s="50"/>
      <c r="Y1655" s="50"/>
      <c r="Z1655" s="48" t="n">
        <f aca="false">IF(A1655="","",IF(AND(Parameter!$B$21="Ja",ISNUMBER(W1655)),W1655,IF(BZ1655="2+3",IF(ISNUMBER(SEARCH("grosser Artikel",BR1655)),2,IFERROR(VLOOKUP(BU1655,Parameter!$F$35:$G$64,2,0),2)),IF(OR(BZ1655="Nein",BZ1655=""),"-",BZ1655))))</f>
        <v>2</v>
      </c>
      <c r="AA1655" s="55"/>
      <c r="AB1655" s="56"/>
      <c r="AC1655" s="50" t="n">
        <f aca="false">AT1655</f>
        <v>4</v>
      </c>
      <c r="AD1655" s="50" t="n">
        <f aca="false">MAX(AT1655,H1655)</f>
        <v>4</v>
      </c>
      <c r="AE1655" s="57"/>
      <c r="AF1655" s="50" t="n">
        <f aca="false">IF(LEFT(Cockpit!$C$5,1)="A",H1655,IF(CE1655=1,CF1655,IF(LEFT(Cockpit!$C$5,1)="B",AK1655,MAX(AK1655,H1655))))</f>
        <v>1</v>
      </c>
      <c r="AG1655" s="50" t="n">
        <f aca="false">IF(BW1655=1,0,ROUNDUP(AF1655/BV1655,0))</f>
        <v>1</v>
      </c>
      <c r="AH1655" s="52" t="n">
        <f aca="false">IF(CL1655&gt;0,CL1655*MAX(1,AF1655/X1655),IF(BW1655=1,IF(AF1655&lt;=0,0,CA1655*MAX(1,IF(H1655&gt;0,AF1655/H1655,1))),IF(R1655&gt;0,AG1655/R1655,0))/MAX(0.1,N(Parameter!$M$21)))</f>
        <v>0.0833333333333333</v>
      </c>
      <c r="AI1655" s="50" t="n">
        <f aca="false">AH1655*BY1655</f>
        <v>12.0833333333333</v>
      </c>
      <c r="AJ1655" s="50" t="n">
        <f aca="false">AF1655*G1655</f>
        <v>1770</v>
      </c>
      <c r="AK1655" s="50" t="n">
        <f aca="false">ROUNDUP(MAX(J1655/IF(CD1655&gt;0,CD1655,MAX(0.1,N(Cockpit!$C$6))),CG1655)/BV1655,0)*BV1655</f>
        <v>4</v>
      </c>
      <c r="AL1655" s="51" t="n">
        <f aca="false">IF(AI1655&gt;0,J1655/AI1655,-1)</f>
        <v>0</v>
      </c>
      <c r="AM1655" s="51" t="n">
        <f aca="false">IF(AND(OR(CC1655="L1",CC1655="L23",CC1655="LIFT"),AI1655&gt;0),SUMIFS($AI$7:$AI$1843,$CC$7:$CC$1843,CC1655,$AL$7:$AL$1843,"&gt;"&amp;AL1655)+SUMIFS($AI$7:$AI$1843,$CC$7:$CC$1843,CC1655,$AL$7:$AL$1843,AL1655,$BT$7:$BT$1843,"&lt;="&amp;BT1655),"")</f>
        <v>31262.7422730283</v>
      </c>
      <c r="AN1655" s="58" t="n">
        <f aca="false">IF(AM1655="",0,MAX(0,MIN(1,(IF(CC1655="L1",Parameter!$H$5,IF(CC1655="L23",Parameter!$H$6+Parameter!$H$7,Parameter!$H$5+Parameter!$H$6+Parameter!$H$7))-(AM1655-AI1655))/AI1655)))</f>
        <v>1</v>
      </c>
      <c r="AO1655" s="50" t="n">
        <f aca="false">IF(LEFT(Cockpit!$I$5,1)="A",H1655,IF(CE1655=1,CF1655,IF(LEFT(Cockpit!$I$5,1)="B",AT1655,MAX(AT1655,H1655))))</f>
        <v>4</v>
      </c>
      <c r="AP1655" s="50" t="n">
        <f aca="false">IF(BW1655=1,0,ROUNDUP(AO1655/BV1655,0))</f>
        <v>1</v>
      </c>
      <c r="AQ1655" s="52" t="n">
        <f aca="false">IF(CL1655&gt;0,CL1655*MAX(1,AO1655/X1655),IF(BW1655=1,IF(AO1655&lt;=0,0,CA1655*MAX(1,IF(H1655&gt;0,AO1655/H1655,1))),IF(R1655&gt;0,AP1655/R1655,0))/MAX(0.1,N(Parameter!$M$21)))</f>
        <v>0.0833333333333333</v>
      </c>
      <c r="AR1655" s="50" t="n">
        <f aca="false">AQ1655*BY1655</f>
        <v>12.0833333333333</v>
      </c>
      <c r="AS1655" s="50" t="n">
        <f aca="false">AO1655*G1655</f>
        <v>7080</v>
      </c>
      <c r="AT1655" s="50" t="n">
        <f aca="false">ROUNDUP(MAX(J1655/IF(CD1655&gt;0,CD1655,MAX(0.1,N(Cockpit!$I$6))),CG1655)/BV1655,0)*BV1655</f>
        <v>4</v>
      </c>
      <c r="AU1655" s="51" t="n">
        <f aca="false">IF(AR1655&gt;0,J1655/AR1655,-1)</f>
        <v>0</v>
      </c>
      <c r="AV1655" s="51" t="n">
        <f aca="false">IF(AND(OR(CC1655="L1",CC1655="L23",CC1655="LIFT"),AR1655&gt;0),SUMIFS($AR$7:$AR$1843,$CC$7:$CC$1843,CC1655,$AU$7:$AU$1843,"&gt;"&amp;AU1655)+SUMIFS($AR$7:$AR$1843,$CC$7:$CC$1843,CC1655,$AU$7:$AU$1843,AU1655,$BT$7:$BT$1843,"&lt;="&amp;BT1655),"")</f>
        <v>43929.4280126653</v>
      </c>
      <c r="AW1655" s="58" t="n">
        <f aca="false">IF(AV1655="",0,MAX(0,MIN(1,(IF(CC1655="L1",Parameter!$H$5,IF(CC1655="L23",Parameter!$H$6+Parameter!$H$7,Parameter!$H$5+Parameter!$H$6+Parameter!$H$7))-(AV1655-AR1655))/AR1655)))</f>
        <v>0</v>
      </c>
      <c r="AX1655" s="50" t="n">
        <f aca="false">IF(LEFT(Cockpit!$O$5,1)="A",H1655,IF(CE1655=1,CF1655,IF(LEFT(Cockpit!$O$5,1)="B",BC1655,MAX(BC1655,H1655))))</f>
        <v>4</v>
      </c>
      <c r="AY1655" s="50" t="n">
        <f aca="false">IF(BW1655=1,0,ROUNDUP(AX1655/BV1655,0))</f>
        <v>1</v>
      </c>
      <c r="AZ1655" s="52" t="n">
        <f aca="false">IF(CL1655&gt;0,CL1655*MAX(1,AX1655/X1655),IF(BW1655=1,IF(AX1655&lt;=0,0,CA1655*MAX(1,IF(H1655&gt;0,AX1655/H1655,1))),IF(R1655&gt;0,AY1655/R1655,0))/MAX(0.1,N(Parameter!$M$21)))</f>
        <v>0.0833333333333333</v>
      </c>
      <c r="BA1655" s="50" t="n">
        <f aca="false">AZ1655*BY1655</f>
        <v>12.0833333333333</v>
      </c>
      <c r="BB1655" s="50" t="n">
        <f aca="false">AX1655*G1655</f>
        <v>7080</v>
      </c>
      <c r="BC1655" s="50" t="n">
        <f aca="false">ROUNDUP(MAX(J1655/IF(CD1655&gt;0,CD1655,MAX(0.1,N(Cockpit!$O$6))),CG1655)/BV1655,0)*BV1655</f>
        <v>4</v>
      </c>
      <c r="BD1655" s="51" t="n">
        <f aca="false">IF(BA1655&gt;0,J1655/BA1655,-1)</f>
        <v>0</v>
      </c>
      <c r="BE1655" s="51" t="n">
        <f aca="false">IF(AND(OR(CC1655="L1",CC1655="L23",CC1655="LIFT"),BA1655&gt;0),SUMIFS($BA$7:$BA$1843,$CC$7:$CC$1843,CC1655,$BD$7:$BD$1843,"&gt;"&amp;BD1655)+SUMIFS($BA$7:$BA$1843,$CC$7:$CC$1843,CC1655,$BD$7:$BD$1843,BD1655,$BT$7:$BT$1843,"&lt;="&amp;BT1655),"")</f>
        <v>40604.4400545312</v>
      </c>
      <c r="BF1655" s="58" t="n">
        <f aca="false">IF(BE1655="",0,MAX(0,MIN(1,(IF(CC1655="L1",Parameter!$H$5,IF(CC1655="L23",Parameter!$H$6+Parameter!$H$7,Parameter!$H$5+Parameter!$H$6+Parameter!$H$7))-(BE1655-BA1655))/BA1655)))</f>
        <v>0</v>
      </c>
      <c r="BG1655" s="48" t="str">
        <f aca="false">IF(AI1655&lt;=0,"",IF(CC1655="Aussen","Aussenlager",IF(CC1655="-","Nicht im Lift",IF(AN1655&gt;=1,"Lift",IF(AN1655&lt;=0,"Aussenlager","teilweise")))))</f>
        <v>Lift</v>
      </c>
      <c r="BH1655" s="48" t="str">
        <f aca="false">IF(AR1655&lt;=0,"",IF(CC1655="Aussen","Aussenlager",IF(CC1655="-","Nicht im Lift",IF(AW1655&gt;=1,"Lift",IF(AW1655&lt;=0,"Aussenlager","teilweise")))))</f>
        <v>Aussenlager</v>
      </c>
      <c r="BI1655" s="48" t="str">
        <f aca="false">IF(BA1655&lt;=0,"",IF(CC1655="Aussen","Aussenlager",IF(CC1655="-","Nicht im Lift",IF(BF1655&gt;=1,"Lift",IF(BF1655&lt;=0,"Aussenlager","teilweise")))))</f>
        <v>Aussenlager</v>
      </c>
      <c r="BJ1655" s="48" t="str">
        <f aca="false">IF(A1655="","",IF(BS1655=1,"Neu; ","")&amp;IF(AND(BS1655=0,BN1655&lt;0),"negativer Bestand (Export "&amp;BN1655&amp;"); ","")&amp;IF(J1655&lt;=0,"Kein Verbrauch; ","")&amp;IF(CL1655&gt;0,"Lift "&amp;W1655&amp;" lt. Liftbericht (Fach "&amp;X1655&amp;" Stk); ",IF(BX1655=1,"Gebinde geschätzt ("&amp;T1655&amp;"); ",IF(BW1655=1,"Lose – Tablare geschätzt; ","")))&amp;IF(H1655&gt;AT1655,"Überbestand "&amp;ROUND(H1655-AT1655,0)&amp;" Stk / CHF "&amp;ROUND((H1655-AT1655)*G1655,0)&amp;"; ","")&amp;IF(AND(CE1655=1,CF1655&lt;CG1655),"MAX &lt; MB+LG; ","")&amp;IF(AND(CK1655&gt;0,CJ1655*10&gt;CK1655),"zu hoch für Tablar; ","")&amp;IF(AND(BS1655=0,OR(CE1655=1,AA1655&lt;&gt;"",U1655&lt;&gt;"",V1655&lt;&gt;"",AB1655&lt;&gt;"")),"manuell übersteuert; ","")&amp;IF(AND(BW1655=0,R1655=0),"Gebinde unbekannt / Stellmass fehlt; ","")&amp;IF(AND(BW1655=0,N(V1655)&lt;=0,N(Q1655)&lt;=0),"Menge pro Gebinde fehlt (Ist = 1 Gebinde); ","")&amp;BR1655)</f>
        <v>Kein Verbrauch; Gebinde geschätzt (Mittel); Menge pro Gebinde fehlt (Ist = 1 Gebinde); nur im Artikelstamm (Bestand 23.06.2026)</v>
      </c>
      <c r="BK1655" s="48"/>
      <c r="BL1655" s="48"/>
      <c r="BM1655" s="55"/>
      <c r="BN1655" s="50" t="n">
        <v>1</v>
      </c>
      <c r="BO1655" s="50" t="n">
        <v>0</v>
      </c>
      <c r="BP1655" s="49" t="n">
        <v>0</v>
      </c>
      <c r="BQ1655" s="50" t="n">
        <v>0</v>
      </c>
      <c r="BR1655" s="48" t="s">
        <v>2579</v>
      </c>
      <c r="BS1655" s="53" t="n">
        <v>0</v>
      </c>
      <c r="BT1655" s="53" t="n">
        <v>1655</v>
      </c>
      <c r="BU1655" s="48" t="str">
        <f aca="false">IF(U1655&lt;&gt;"",UPPER(TRIM(U1655)),IF(BX1655=1,UPPER(VLOOKUP(T1655,Parameter!$I$27:$K$29,2,0)),IF(P1655="","LOSE",P1655)))</f>
        <v>S61</v>
      </c>
      <c r="BV1655" s="50" t="n">
        <f aca="false">IF(BU1655="LOSE",1,IF(N(V1655)&gt;0,V1655,IF(BX1655=1,MAX(1,N(VLOOKUP(T1655,Parameter!$I$27:$K$29,3,0)),H1655,N(N1655)),IF(N(Q1655)&gt;0,Q1655,MAX(1,H1655)))))</f>
        <v>4</v>
      </c>
      <c r="BW1655" s="53" t="n">
        <f aca="false">IF(BU1655="LOSE",1,0)</f>
        <v>0</v>
      </c>
      <c r="BX1655" s="53" t="n">
        <f aca="false">IF(AND(U1655="",OR(P1655="",P1655="LOSE"),T1655&lt;&gt;"",N(S1655)&lt;=0,ISNUMBER(MATCH(T1655,Parameter!$I$27:$I$29,0))),1,0)</f>
        <v>1</v>
      </c>
      <c r="BY1655" s="53" t="n">
        <f aca="false">IF(CL1655&gt;0,INDEX(Parameter!$H$5:$H$7,W1655)/INDEX(Parameter!$E$5:$E$7,W1655),IF(AND(BW1655=0,N(IFERROR(VLOOKUP(BU1655,'Gebinde-Kategorie'!$A$5:$N$45,14,0),0))&gt;0),VLOOKUP(BU1655,'Gebinde-Kategorie'!$A$5:$N$45,14,0)*10+Parameter!$M$23,Parameter!$M$24))</f>
        <v>145</v>
      </c>
      <c r="BZ1655" s="48" t="str">
        <f aca="false">IF(AND(Parameter!$B$19="Ja",E1655&lt;&gt;"",ISNUMBER(MATCH(E1655,Parameter!$I$35:$I$52,0))),VLOOKUP(E1655,Parameter!$I$35:$J$52,2,0),IFERROR(VLOOKUP(D1655,Parameter!$A$35:$C$64,2,0),"Nein"))</f>
        <v>2+3</v>
      </c>
      <c r="CA1655" s="52" t="n">
        <f aca="false">IF(BW1655=0,0,IF(N(S1655)&gt;0,S1655,IFERROR(VLOOKUP(D1655,Parameter!$A$35:$C$64,3,0)+0,0)))</f>
        <v>0</v>
      </c>
      <c r="CB1655" s="48" t="n">
        <f aca="false">IF(AA1655&lt;&gt;"",AA1655,Z1655)</f>
        <v>2</v>
      </c>
      <c r="CC1655" s="48" t="str">
        <f aca="false">IF(OR(CB1655=1,CB1655=2,CB1655=3),IF(Parameter!$E$27="Ja","LIFT",IF(CB1655=1,"L1","L23")),IF(CB1655="Aussen","Aussen","-"))</f>
        <v>LIFT</v>
      </c>
      <c r="CD1655" s="59" t="n">
        <f aca="false">IF(N(AB1655)&gt;0,AB1655,0)</f>
        <v>0</v>
      </c>
      <c r="CE1655" s="53" t="n">
        <f aca="false">IF(ISNUMBER(AE1655),1,0)</f>
        <v>0</v>
      </c>
      <c r="CF1655" s="50" t="n">
        <f aca="false">N(AE1655)</f>
        <v>0</v>
      </c>
      <c r="CG1655" s="50" t="n">
        <f aca="false">N(M1655)+N(N1655)</f>
        <v>1</v>
      </c>
      <c r="CH1655" s="50" t="n">
        <f aca="false">ROUNDUP(H1655/BV1655,0)</f>
        <v>1</v>
      </c>
      <c r="CI1655" s="50" t="n">
        <f aca="false">ROUNDUP(CF1655/BV1655,0)</f>
        <v>0</v>
      </c>
      <c r="CJ1655" s="53" t="n">
        <f aca="false">IF(BW1655=1,0,IFERROR(VLOOKUP(BU1655,'Gebinde-Kategorie'!$A$5:$N$45,5,0)+0,0))</f>
        <v>11</v>
      </c>
      <c r="CK1655" s="53" t="n">
        <f aca="false">IFERROR(IF(OR(CB1655=1,CB1655=2,CB1655=3),N(INDEX(Parameter!$I$5:$I$7,CB1655)),0),0)</f>
        <v>0</v>
      </c>
      <c r="CL1655" s="52" t="n">
        <f aca="false">IF(AND(Parameter!$B$21="Ja",ISNUMBER(W1655),N(X1655)&gt;0),IFERROR(N(INDEX(Parameter!$L$5:$L$7,W1655))*INDEX(Parameter!$E$5:$E$7,W1655)*X1655/SUMIFS($X$7:$X$1843,$W$7:$W$1843,W1655),0),0)</f>
        <v>0</v>
      </c>
    </row>
    <row r="1656" customFormat="false" ht="15" hidden="false" customHeight="false" outlineLevel="0" collapsed="false">
      <c r="A1656" s="48" t="s">
        <v>2884</v>
      </c>
      <c r="B1656" s="48" t="s">
        <v>2673</v>
      </c>
      <c r="C1656" s="48" t="s">
        <v>168</v>
      </c>
      <c r="D1656" s="48" t="s">
        <v>188</v>
      </c>
      <c r="E1656" s="48"/>
      <c r="F1656" s="48"/>
      <c r="G1656" s="49" t="n">
        <v>66.7</v>
      </c>
      <c r="H1656" s="50" t="n">
        <f aca="false">MAX(0,IF(AND(Parameter!$B$21="Ja",ISNUMBER(Y1656)),Y1656,IF(Parameter!$B$20="Jahresanfang 2025 + Export",BO1656+BN1656,BN1656)))</f>
        <v>32</v>
      </c>
      <c r="I1656" s="50" t="n">
        <f aca="false">H1656*G1656</f>
        <v>2134.4</v>
      </c>
      <c r="J1656" s="50" t="n">
        <f aca="false">BQ1656*Parameter!$B$18</f>
        <v>0</v>
      </c>
      <c r="K1656" s="51"/>
      <c r="L1656" s="52"/>
      <c r="M1656" s="50" t="n">
        <v>0</v>
      </c>
      <c r="N1656" s="50" t="n">
        <v>8</v>
      </c>
      <c r="O1656" s="53" t="n">
        <v>42</v>
      </c>
      <c r="P1656" s="48" t="s">
        <v>172</v>
      </c>
      <c r="Q1656" s="50"/>
      <c r="R1656" s="53" t="n">
        <f aca="false">IF(BW1656=1,0,IFERROR(VLOOKUP(BU1656,'Gebinde-Kategorie'!$A$5:$N$45,13,0)+0,0))</f>
        <v>26</v>
      </c>
      <c r="S1656" s="54"/>
      <c r="T1656" s="55" t="s">
        <v>279</v>
      </c>
      <c r="U1656" s="55"/>
      <c r="V1656" s="55"/>
      <c r="W1656" s="48"/>
      <c r="X1656" s="50"/>
      <c r="Y1656" s="50"/>
      <c r="Z1656" s="48" t="n">
        <f aca="false">IF(A1656="","",IF(AND(Parameter!$B$21="Ja",ISNUMBER(W1656)),W1656,IF(BZ1656="2+3",IF(ISNUMBER(SEARCH("grosser Artikel",BR1656)),2,IFERROR(VLOOKUP(BU1656,Parameter!$F$35:$G$64,2,0),2)),IF(OR(BZ1656="Nein",BZ1656=""),"-",BZ1656))))</f>
        <v>3</v>
      </c>
      <c r="AA1656" s="55"/>
      <c r="AB1656" s="56"/>
      <c r="AC1656" s="50" t="n">
        <f aca="false">AT1656</f>
        <v>32</v>
      </c>
      <c r="AD1656" s="50" t="n">
        <f aca="false">MAX(AT1656,H1656)</f>
        <v>32</v>
      </c>
      <c r="AE1656" s="57"/>
      <c r="AF1656" s="50" t="n">
        <f aca="false">IF(LEFT(Cockpit!$C$5,1)="A",H1656,IF(CE1656=1,CF1656,IF(LEFT(Cockpit!$C$5,1)="B",AK1656,MAX(AK1656,H1656))))</f>
        <v>32</v>
      </c>
      <c r="AG1656" s="50" t="n">
        <f aca="false">IF(BW1656=1,0,ROUNDUP(AF1656/BV1656,0))</f>
        <v>1</v>
      </c>
      <c r="AH1656" s="52" t="n">
        <f aca="false">IF(CL1656&gt;0,CL1656*MAX(1,AF1656/X1656),IF(BW1656=1,IF(AF1656&lt;=0,0,CA1656*MAX(1,IF(H1656&gt;0,AF1656/H1656,1))),IF(R1656&gt;0,AG1656/R1656,0))/MAX(0.1,N(Parameter!$M$21)))</f>
        <v>0.0384615384615385</v>
      </c>
      <c r="AI1656" s="50" t="n">
        <f aca="false">AH1656*BY1656</f>
        <v>5.96153846153846</v>
      </c>
      <c r="AJ1656" s="50" t="n">
        <f aca="false">AF1656*G1656</f>
        <v>2134.4</v>
      </c>
      <c r="AK1656" s="50" t="n">
        <f aca="false">ROUNDUP(MAX(J1656/IF(CD1656&gt;0,CD1656,MAX(0.1,N(Cockpit!$C$6))),CG1656)/BV1656,0)*BV1656</f>
        <v>32</v>
      </c>
      <c r="AL1656" s="51" t="n">
        <f aca="false">IF(AI1656&gt;0,J1656/AI1656,-1)</f>
        <v>0</v>
      </c>
      <c r="AM1656" s="51" t="n">
        <f aca="false">IF(AND(OR(CC1656="L1",CC1656="L23",CC1656="LIFT"),AI1656&gt;0),SUMIFS($AI$7:$AI$1843,$CC$7:$CC$1843,CC1656,$AL$7:$AL$1843,"&gt;"&amp;AL1656)+SUMIFS($AI$7:$AI$1843,$CC$7:$CC$1843,CC1656,$AL$7:$AL$1843,AL1656,$BT$7:$BT$1843,"&lt;="&amp;BT1656),"")</f>
        <v>31268.7038114898</v>
      </c>
      <c r="AN1656" s="58" t="n">
        <f aca="false">IF(AM1656="",0,MAX(0,MIN(1,(IF(CC1656="L1",Parameter!$H$5,IF(CC1656="L23",Parameter!$H$6+Parameter!$H$7,Parameter!$H$5+Parameter!$H$6+Parameter!$H$7))-(AM1656-AI1656))/AI1656)))</f>
        <v>1</v>
      </c>
      <c r="AO1656" s="50" t="n">
        <f aca="false">IF(LEFT(Cockpit!$I$5,1)="A",H1656,IF(CE1656=1,CF1656,IF(LEFT(Cockpit!$I$5,1)="B",AT1656,MAX(AT1656,H1656))))</f>
        <v>32</v>
      </c>
      <c r="AP1656" s="50" t="n">
        <f aca="false">IF(BW1656=1,0,ROUNDUP(AO1656/BV1656,0))</f>
        <v>1</v>
      </c>
      <c r="AQ1656" s="52" t="n">
        <f aca="false">IF(CL1656&gt;0,CL1656*MAX(1,AO1656/X1656),IF(BW1656=1,IF(AO1656&lt;=0,0,CA1656*MAX(1,IF(H1656&gt;0,AO1656/H1656,1))),IF(R1656&gt;0,AP1656/R1656,0))/MAX(0.1,N(Parameter!$M$21)))</f>
        <v>0.0384615384615385</v>
      </c>
      <c r="AR1656" s="50" t="n">
        <f aca="false">AQ1656*BY1656</f>
        <v>5.96153846153846</v>
      </c>
      <c r="AS1656" s="50" t="n">
        <f aca="false">AO1656*G1656</f>
        <v>2134.4</v>
      </c>
      <c r="AT1656" s="50" t="n">
        <f aca="false">ROUNDUP(MAX(J1656/IF(CD1656&gt;0,CD1656,MAX(0.1,N(Cockpit!$I$6))),CG1656)/BV1656,0)*BV1656</f>
        <v>32</v>
      </c>
      <c r="AU1656" s="51" t="n">
        <f aca="false">IF(AR1656&gt;0,J1656/AR1656,-1)</f>
        <v>0</v>
      </c>
      <c r="AV1656" s="51" t="n">
        <f aca="false">IF(AND(OR(CC1656="L1",CC1656="L23",CC1656="LIFT"),AR1656&gt;0),SUMIFS($AR$7:$AR$1843,$CC$7:$CC$1843,CC1656,$AU$7:$AU$1843,"&gt;"&amp;AU1656)+SUMIFS($AR$7:$AR$1843,$CC$7:$CC$1843,CC1656,$AU$7:$AU$1843,AU1656,$BT$7:$BT$1843,"&lt;="&amp;BT1656),"")</f>
        <v>43935.3895511268</v>
      </c>
      <c r="AW1656" s="58" t="n">
        <f aca="false">IF(AV1656="",0,MAX(0,MIN(1,(IF(CC1656="L1",Parameter!$H$5,IF(CC1656="L23",Parameter!$H$6+Parameter!$H$7,Parameter!$H$5+Parameter!$H$6+Parameter!$H$7))-(AV1656-AR1656))/AR1656)))</f>
        <v>0</v>
      </c>
      <c r="AX1656" s="50" t="n">
        <f aca="false">IF(LEFT(Cockpit!$O$5,1)="A",H1656,IF(CE1656=1,CF1656,IF(LEFT(Cockpit!$O$5,1)="B",BC1656,MAX(BC1656,H1656))))</f>
        <v>32</v>
      </c>
      <c r="AY1656" s="50" t="n">
        <f aca="false">IF(BW1656=1,0,ROUNDUP(AX1656/BV1656,0))</f>
        <v>1</v>
      </c>
      <c r="AZ1656" s="52" t="n">
        <f aca="false">IF(CL1656&gt;0,CL1656*MAX(1,AX1656/X1656),IF(BW1656=1,IF(AX1656&lt;=0,0,CA1656*MAX(1,IF(H1656&gt;0,AX1656/H1656,1))),IF(R1656&gt;0,AY1656/R1656,0))/MAX(0.1,N(Parameter!$M$21)))</f>
        <v>0.0384615384615385</v>
      </c>
      <c r="BA1656" s="50" t="n">
        <f aca="false">AZ1656*BY1656</f>
        <v>5.96153846153846</v>
      </c>
      <c r="BB1656" s="50" t="n">
        <f aca="false">AX1656*G1656</f>
        <v>2134.4</v>
      </c>
      <c r="BC1656" s="50" t="n">
        <f aca="false">ROUNDUP(MAX(J1656/IF(CD1656&gt;0,CD1656,MAX(0.1,N(Cockpit!$O$6))),CG1656)/BV1656,0)*BV1656</f>
        <v>32</v>
      </c>
      <c r="BD1656" s="51" t="n">
        <f aca="false">IF(BA1656&gt;0,J1656/BA1656,-1)</f>
        <v>0</v>
      </c>
      <c r="BE1656" s="51" t="n">
        <f aca="false">IF(AND(OR(CC1656="L1",CC1656="L23",CC1656="LIFT"),BA1656&gt;0),SUMIFS($BA$7:$BA$1843,$CC$7:$CC$1843,CC1656,$BD$7:$BD$1843,"&gt;"&amp;BD1656)+SUMIFS($BA$7:$BA$1843,$CC$7:$CC$1843,CC1656,$BD$7:$BD$1843,BD1656,$BT$7:$BT$1843,"&lt;="&amp;BT1656),"")</f>
        <v>40610.4015929927</v>
      </c>
      <c r="BF1656" s="58" t="n">
        <f aca="false">IF(BE1656="",0,MAX(0,MIN(1,(IF(CC1656="L1",Parameter!$H$5,IF(CC1656="L23",Parameter!$H$6+Parameter!$H$7,Parameter!$H$5+Parameter!$H$6+Parameter!$H$7))-(BE1656-BA1656))/BA1656)))</f>
        <v>0</v>
      </c>
      <c r="BG1656" s="48" t="str">
        <f aca="false">IF(AI1656&lt;=0,"",IF(CC1656="Aussen","Aussenlager",IF(CC1656="-","Nicht im Lift",IF(AN1656&gt;=1,"Lift",IF(AN1656&lt;=0,"Aussenlager","teilweise")))))</f>
        <v>Lift</v>
      </c>
      <c r="BH1656" s="48" t="str">
        <f aca="false">IF(AR1656&lt;=0,"",IF(CC1656="Aussen","Aussenlager",IF(CC1656="-","Nicht im Lift",IF(AW1656&gt;=1,"Lift",IF(AW1656&lt;=0,"Aussenlager","teilweise")))))</f>
        <v>Aussenlager</v>
      </c>
      <c r="BI1656" s="48" t="str">
        <f aca="false">IF(BA1656&lt;=0,"",IF(CC1656="Aussen","Aussenlager",IF(CC1656="-","Nicht im Lift",IF(BF1656&gt;=1,"Lift",IF(BF1656&lt;=0,"Aussenlager","teilweise")))))</f>
        <v>Aussenlager</v>
      </c>
      <c r="BJ1656" s="48" t="str">
        <f aca="false">IF(A1656="","",IF(BS1656=1,"Neu; ","")&amp;IF(AND(BS1656=0,BN1656&lt;0),"negativer Bestand (Export "&amp;BN1656&amp;"); ","")&amp;IF(J1656&lt;=0,"Kein Verbrauch; ","")&amp;IF(CL1656&gt;0,"Lift "&amp;W1656&amp;" lt. Liftbericht (Fach "&amp;X1656&amp;" Stk); ",IF(BX1656=1,"Gebinde geschätzt ("&amp;T1656&amp;"); ",IF(BW1656=1,"Lose – Tablare geschätzt; ","")))&amp;IF(H1656&gt;AT1656,"Überbestand "&amp;ROUND(H1656-AT1656,0)&amp;" Stk / CHF "&amp;ROUND((H1656-AT1656)*G1656,0)&amp;"; ","")&amp;IF(AND(CE1656=1,CF1656&lt;CG1656),"MAX &lt; MB+LG; ","")&amp;IF(AND(CK1656&gt;0,CJ1656*10&gt;CK1656),"zu hoch für Tablar; ","")&amp;IF(AND(BS1656=0,OR(CE1656=1,AA1656&lt;&gt;"",U1656&lt;&gt;"",V1656&lt;&gt;"",AB1656&lt;&gt;"")),"manuell übersteuert; ","")&amp;IF(AND(BW1656=0,R1656=0),"Gebinde unbekannt / Stellmass fehlt; ","")&amp;IF(AND(BW1656=0,N(V1656)&lt;=0,N(Q1656)&lt;=0),"Menge pro Gebinde fehlt (Ist = 1 Gebinde); ","")&amp;BR1656)</f>
        <v>Kein Verbrauch; Gebinde geschätzt (Klein); Menge pro Gebinde fehlt (Ist = 1 Gebinde); nur im Artikelstamm (Bestand 23.06.2026)</v>
      </c>
      <c r="BK1656" s="48"/>
      <c r="BL1656" s="48"/>
      <c r="BM1656" s="55"/>
      <c r="BN1656" s="50" t="n">
        <v>32</v>
      </c>
      <c r="BO1656" s="50" t="n">
        <v>0</v>
      </c>
      <c r="BP1656" s="49" t="n">
        <v>0</v>
      </c>
      <c r="BQ1656" s="50" t="n">
        <v>0</v>
      </c>
      <c r="BR1656" s="48" t="s">
        <v>2579</v>
      </c>
      <c r="BS1656" s="53" t="n">
        <v>0</v>
      </c>
      <c r="BT1656" s="53" t="n">
        <v>1656</v>
      </c>
      <c r="BU1656" s="48" t="str">
        <f aca="false">IF(U1656&lt;&gt;"",UPPER(TRIM(U1656)),IF(BX1656=1,UPPER(VLOOKUP(T1656,Parameter!$I$27:$K$29,2,0)),IF(P1656="","LOSE",P1656)))</f>
        <v>S51</v>
      </c>
      <c r="BV1656" s="50" t="n">
        <f aca="false">IF(BU1656="LOSE",1,IF(N(V1656)&gt;0,V1656,IF(BX1656=1,MAX(1,N(VLOOKUP(T1656,Parameter!$I$27:$K$29,3,0)),H1656,N(N1656)),IF(N(Q1656)&gt;0,Q1656,MAX(1,H1656)))))</f>
        <v>32</v>
      </c>
      <c r="BW1656" s="53" t="n">
        <f aca="false">IF(BU1656="LOSE",1,0)</f>
        <v>0</v>
      </c>
      <c r="BX1656" s="53" t="n">
        <f aca="false">IF(AND(U1656="",OR(P1656="",P1656="LOSE"),T1656&lt;&gt;"",N(S1656)&lt;=0,ISNUMBER(MATCH(T1656,Parameter!$I$27:$I$29,0))),1,0)</f>
        <v>1</v>
      </c>
      <c r="BY1656" s="53" t="n">
        <f aca="false">IF(CL1656&gt;0,INDEX(Parameter!$H$5:$H$7,W1656)/INDEX(Parameter!$E$5:$E$7,W1656),IF(AND(BW1656=0,N(IFERROR(VLOOKUP(BU1656,'Gebinde-Kategorie'!$A$5:$N$45,14,0),0))&gt;0),VLOOKUP(BU1656,'Gebinde-Kategorie'!$A$5:$N$45,14,0)*10+Parameter!$M$23,Parameter!$M$24))</f>
        <v>155</v>
      </c>
      <c r="BZ1656" s="48" t="str">
        <f aca="false">IF(AND(Parameter!$B$19="Ja",E1656&lt;&gt;"",ISNUMBER(MATCH(E1656,Parameter!$I$35:$I$52,0))),VLOOKUP(E1656,Parameter!$I$35:$J$52,2,0),IFERROR(VLOOKUP(D1656,Parameter!$A$35:$C$64,2,0),"Nein"))</f>
        <v>2+3</v>
      </c>
      <c r="CA1656" s="52" t="n">
        <f aca="false">IF(BW1656=0,0,IF(N(S1656)&gt;0,S1656,IFERROR(VLOOKUP(D1656,Parameter!$A$35:$C$64,3,0)+0,0)))</f>
        <v>0</v>
      </c>
      <c r="CB1656" s="48" t="n">
        <f aca="false">IF(AA1656&lt;&gt;"",AA1656,Z1656)</f>
        <v>3</v>
      </c>
      <c r="CC1656" s="48" t="str">
        <f aca="false">IF(OR(CB1656=1,CB1656=2,CB1656=3),IF(Parameter!$E$27="Ja","LIFT",IF(CB1656=1,"L1","L23")),IF(CB1656="Aussen","Aussen","-"))</f>
        <v>LIFT</v>
      </c>
      <c r="CD1656" s="59" t="n">
        <f aca="false">IF(N(AB1656)&gt;0,AB1656,0)</f>
        <v>0</v>
      </c>
      <c r="CE1656" s="53" t="n">
        <f aca="false">IF(ISNUMBER(AE1656),1,0)</f>
        <v>0</v>
      </c>
      <c r="CF1656" s="50" t="n">
        <f aca="false">N(AE1656)</f>
        <v>0</v>
      </c>
      <c r="CG1656" s="50" t="n">
        <f aca="false">N(M1656)+N(N1656)</f>
        <v>8</v>
      </c>
      <c r="CH1656" s="50" t="n">
        <f aca="false">ROUNDUP(H1656/BV1656,0)</f>
        <v>1</v>
      </c>
      <c r="CI1656" s="50" t="n">
        <f aca="false">ROUNDUP(CF1656/BV1656,0)</f>
        <v>0</v>
      </c>
      <c r="CJ1656" s="53" t="n">
        <f aca="false">IF(BW1656=1,0,IFERROR(VLOOKUP(BU1656,'Gebinde-Kategorie'!$A$5:$N$45,5,0)+0,0))</f>
        <v>11</v>
      </c>
      <c r="CK1656" s="53" t="n">
        <f aca="false">IFERROR(IF(OR(CB1656=1,CB1656=2,CB1656=3),N(INDEX(Parameter!$I$5:$I$7,CB1656)),0),0)</f>
        <v>0</v>
      </c>
      <c r="CL1656" s="52" t="n">
        <f aca="false">IF(AND(Parameter!$B$21="Ja",ISNUMBER(W1656),N(X1656)&gt;0),IFERROR(N(INDEX(Parameter!$L$5:$L$7,W1656))*INDEX(Parameter!$E$5:$E$7,W1656)*X1656/SUMIFS($X$7:$X$1843,$W$7:$W$1843,W1656),0),0)</f>
        <v>0</v>
      </c>
    </row>
    <row r="1657" customFormat="false" ht="15" hidden="false" customHeight="false" outlineLevel="0" collapsed="false">
      <c r="A1657" s="48" t="s">
        <v>2885</v>
      </c>
      <c r="B1657" s="48" t="s">
        <v>318</v>
      </c>
      <c r="C1657" s="48" t="s">
        <v>168</v>
      </c>
      <c r="D1657" s="48" t="s">
        <v>177</v>
      </c>
      <c r="E1657" s="48"/>
      <c r="F1657" s="48"/>
      <c r="G1657" s="49" t="n">
        <v>1596</v>
      </c>
      <c r="H1657" s="50" t="n">
        <f aca="false">MAX(0,IF(AND(Parameter!$B$21="Ja",ISNUMBER(Y1657)),Y1657,IF(Parameter!$B$20="Jahresanfang 2025 + Export",BO1657+BN1657,BN1657)))</f>
        <v>1</v>
      </c>
      <c r="I1657" s="50" t="n">
        <f aca="false">H1657*G1657</f>
        <v>1596</v>
      </c>
      <c r="J1657" s="50" t="n">
        <f aca="false">BQ1657*Parameter!$B$18</f>
        <v>0</v>
      </c>
      <c r="K1657" s="51"/>
      <c r="L1657" s="52"/>
      <c r="M1657" s="50" t="n">
        <v>0</v>
      </c>
      <c r="N1657" s="50" t="n">
        <v>1</v>
      </c>
      <c r="O1657" s="53" t="n">
        <v>35</v>
      </c>
      <c r="P1657" s="48" t="s">
        <v>172</v>
      </c>
      <c r="Q1657" s="50"/>
      <c r="R1657" s="53" t="n">
        <f aca="false">IF(BW1657=1,0,IFERROR(VLOOKUP(BU1657,'Gebinde-Kategorie'!$A$5:$N$45,13,0)+0,0))</f>
        <v>12</v>
      </c>
      <c r="S1657" s="54"/>
      <c r="T1657" s="55" t="s">
        <v>183</v>
      </c>
      <c r="U1657" s="55"/>
      <c r="V1657" s="55"/>
      <c r="W1657" s="48"/>
      <c r="X1657" s="50"/>
      <c r="Y1657" s="50"/>
      <c r="Z1657" s="48" t="n">
        <f aca="false">IF(A1657="","",IF(AND(Parameter!$B$21="Ja",ISNUMBER(W1657)),W1657,IF(BZ1657="2+3",IF(ISNUMBER(SEARCH("grosser Artikel",BR1657)),2,IFERROR(VLOOKUP(BU1657,Parameter!$F$35:$G$64,2,0),2)),IF(OR(BZ1657="Nein",BZ1657=""),"-",BZ1657))))</f>
        <v>2</v>
      </c>
      <c r="AA1657" s="55"/>
      <c r="AB1657" s="56"/>
      <c r="AC1657" s="50" t="n">
        <f aca="false">AT1657</f>
        <v>4</v>
      </c>
      <c r="AD1657" s="50" t="n">
        <f aca="false">MAX(AT1657,H1657)</f>
        <v>4</v>
      </c>
      <c r="AE1657" s="57"/>
      <c r="AF1657" s="50" t="n">
        <f aca="false">IF(LEFT(Cockpit!$C$5,1)="A",H1657,IF(CE1657=1,CF1657,IF(LEFT(Cockpit!$C$5,1)="B",AK1657,MAX(AK1657,H1657))))</f>
        <v>1</v>
      </c>
      <c r="AG1657" s="50" t="n">
        <f aca="false">IF(BW1657=1,0,ROUNDUP(AF1657/BV1657,0))</f>
        <v>1</v>
      </c>
      <c r="AH1657" s="52" t="n">
        <f aca="false">IF(CL1657&gt;0,CL1657*MAX(1,AF1657/X1657),IF(BW1657=1,IF(AF1657&lt;=0,0,CA1657*MAX(1,IF(H1657&gt;0,AF1657/H1657,1))),IF(R1657&gt;0,AG1657/R1657,0))/MAX(0.1,N(Parameter!$M$21)))</f>
        <v>0.0833333333333333</v>
      </c>
      <c r="AI1657" s="50" t="n">
        <f aca="false">AH1657*BY1657</f>
        <v>12.0833333333333</v>
      </c>
      <c r="AJ1657" s="50" t="n">
        <f aca="false">AF1657*G1657</f>
        <v>1596</v>
      </c>
      <c r="AK1657" s="50" t="n">
        <f aca="false">ROUNDUP(MAX(J1657/IF(CD1657&gt;0,CD1657,MAX(0.1,N(Cockpit!$C$6))),CG1657)/BV1657,0)*BV1657</f>
        <v>4</v>
      </c>
      <c r="AL1657" s="51" t="n">
        <f aca="false">IF(AI1657&gt;0,J1657/AI1657,-1)</f>
        <v>0</v>
      </c>
      <c r="AM1657" s="51" t="n">
        <f aca="false">IF(AND(OR(CC1657="L1",CC1657="L23",CC1657="LIFT"),AI1657&gt;0),SUMIFS($AI$7:$AI$1843,$CC$7:$CC$1843,CC1657,$AL$7:$AL$1843,"&gt;"&amp;AL1657)+SUMIFS($AI$7:$AI$1843,$CC$7:$CC$1843,CC1657,$AL$7:$AL$1843,AL1657,$BT$7:$BT$1843,"&lt;="&amp;BT1657),"")</f>
        <v>31280.7871448232</v>
      </c>
      <c r="AN1657" s="58" t="n">
        <f aca="false">IF(AM1657="",0,MAX(0,MIN(1,(IF(CC1657="L1",Parameter!$H$5,IF(CC1657="L23",Parameter!$H$6+Parameter!$H$7,Parameter!$H$5+Parameter!$H$6+Parameter!$H$7))-(AM1657-AI1657))/AI1657)))</f>
        <v>1</v>
      </c>
      <c r="AO1657" s="50" t="n">
        <f aca="false">IF(LEFT(Cockpit!$I$5,1)="A",H1657,IF(CE1657=1,CF1657,IF(LEFT(Cockpit!$I$5,1)="B",AT1657,MAX(AT1657,H1657))))</f>
        <v>4</v>
      </c>
      <c r="AP1657" s="50" t="n">
        <f aca="false">IF(BW1657=1,0,ROUNDUP(AO1657/BV1657,0))</f>
        <v>1</v>
      </c>
      <c r="AQ1657" s="52" t="n">
        <f aca="false">IF(CL1657&gt;0,CL1657*MAX(1,AO1657/X1657),IF(BW1657=1,IF(AO1657&lt;=0,0,CA1657*MAX(1,IF(H1657&gt;0,AO1657/H1657,1))),IF(R1657&gt;0,AP1657/R1657,0))/MAX(0.1,N(Parameter!$M$21)))</f>
        <v>0.0833333333333333</v>
      </c>
      <c r="AR1657" s="50" t="n">
        <f aca="false">AQ1657*BY1657</f>
        <v>12.0833333333333</v>
      </c>
      <c r="AS1657" s="50" t="n">
        <f aca="false">AO1657*G1657</f>
        <v>6384</v>
      </c>
      <c r="AT1657" s="50" t="n">
        <f aca="false">ROUNDUP(MAX(J1657/IF(CD1657&gt;0,CD1657,MAX(0.1,N(Cockpit!$I$6))),CG1657)/BV1657,0)*BV1657</f>
        <v>4</v>
      </c>
      <c r="AU1657" s="51" t="n">
        <f aca="false">IF(AR1657&gt;0,J1657/AR1657,-1)</f>
        <v>0</v>
      </c>
      <c r="AV1657" s="51" t="n">
        <f aca="false">IF(AND(OR(CC1657="L1",CC1657="L23",CC1657="LIFT"),AR1657&gt;0),SUMIFS($AR$7:$AR$1843,$CC$7:$CC$1843,CC1657,$AU$7:$AU$1843,"&gt;"&amp;AU1657)+SUMIFS($AR$7:$AR$1843,$CC$7:$CC$1843,CC1657,$AU$7:$AU$1843,AU1657,$BT$7:$BT$1843,"&lt;="&amp;BT1657),"")</f>
        <v>43947.4728844602</v>
      </c>
      <c r="AW1657" s="58" t="n">
        <f aca="false">IF(AV1657="",0,MAX(0,MIN(1,(IF(CC1657="L1",Parameter!$H$5,IF(CC1657="L23",Parameter!$H$6+Parameter!$H$7,Parameter!$H$5+Parameter!$H$6+Parameter!$H$7))-(AV1657-AR1657))/AR1657)))</f>
        <v>0</v>
      </c>
      <c r="AX1657" s="50" t="n">
        <f aca="false">IF(LEFT(Cockpit!$O$5,1)="A",H1657,IF(CE1657=1,CF1657,IF(LEFT(Cockpit!$O$5,1)="B",BC1657,MAX(BC1657,H1657))))</f>
        <v>4</v>
      </c>
      <c r="AY1657" s="50" t="n">
        <f aca="false">IF(BW1657=1,0,ROUNDUP(AX1657/BV1657,0))</f>
        <v>1</v>
      </c>
      <c r="AZ1657" s="52" t="n">
        <f aca="false">IF(CL1657&gt;0,CL1657*MAX(1,AX1657/X1657),IF(BW1657=1,IF(AX1657&lt;=0,0,CA1657*MAX(1,IF(H1657&gt;0,AX1657/H1657,1))),IF(R1657&gt;0,AY1657/R1657,0))/MAX(0.1,N(Parameter!$M$21)))</f>
        <v>0.0833333333333333</v>
      </c>
      <c r="BA1657" s="50" t="n">
        <f aca="false">AZ1657*BY1657</f>
        <v>12.0833333333333</v>
      </c>
      <c r="BB1657" s="50" t="n">
        <f aca="false">AX1657*G1657</f>
        <v>6384</v>
      </c>
      <c r="BC1657" s="50" t="n">
        <f aca="false">ROUNDUP(MAX(J1657/IF(CD1657&gt;0,CD1657,MAX(0.1,N(Cockpit!$O$6))),CG1657)/BV1657,0)*BV1657</f>
        <v>4</v>
      </c>
      <c r="BD1657" s="51" t="n">
        <f aca="false">IF(BA1657&gt;0,J1657/BA1657,-1)</f>
        <v>0</v>
      </c>
      <c r="BE1657" s="51" t="n">
        <f aca="false">IF(AND(OR(CC1657="L1",CC1657="L23",CC1657="LIFT"),BA1657&gt;0),SUMIFS($BA$7:$BA$1843,$CC$7:$CC$1843,CC1657,$BD$7:$BD$1843,"&gt;"&amp;BD1657)+SUMIFS($BA$7:$BA$1843,$CC$7:$CC$1843,CC1657,$BD$7:$BD$1843,BD1657,$BT$7:$BT$1843,"&lt;="&amp;BT1657),"")</f>
        <v>40622.484926326</v>
      </c>
      <c r="BF1657" s="58" t="n">
        <f aca="false">IF(BE1657="",0,MAX(0,MIN(1,(IF(CC1657="L1",Parameter!$H$5,IF(CC1657="L23",Parameter!$H$6+Parameter!$H$7,Parameter!$H$5+Parameter!$H$6+Parameter!$H$7))-(BE1657-BA1657))/BA1657)))</f>
        <v>0</v>
      </c>
      <c r="BG1657" s="48" t="str">
        <f aca="false">IF(AI1657&lt;=0,"",IF(CC1657="Aussen","Aussenlager",IF(CC1657="-","Nicht im Lift",IF(AN1657&gt;=1,"Lift",IF(AN1657&lt;=0,"Aussenlager","teilweise")))))</f>
        <v>Lift</v>
      </c>
      <c r="BH1657" s="48" t="str">
        <f aca="false">IF(AR1657&lt;=0,"",IF(CC1657="Aussen","Aussenlager",IF(CC1657="-","Nicht im Lift",IF(AW1657&gt;=1,"Lift",IF(AW1657&lt;=0,"Aussenlager","teilweise")))))</f>
        <v>Aussenlager</v>
      </c>
      <c r="BI1657" s="48" t="str">
        <f aca="false">IF(BA1657&lt;=0,"",IF(CC1657="Aussen","Aussenlager",IF(CC1657="-","Nicht im Lift",IF(BF1657&gt;=1,"Lift",IF(BF1657&lt;=0,"Aussenlager","teilweise")))))</f>
        <v>Aussenlager</v>
      </c>
      <c r="BJ1657" s="48" t="str">
        <f aca="false">IF(A1657="","",IF(BS1657=1,"Neu; ","")&amp;IF(AND(BS1657=0,BN1657&lt;0),"negativer Bestand (Export "&amp;BN1657&amp;"); ","")&amp;IF(J1657&lt;=0,"Kein Verbrauch; ","")&amp;IF(CL1657&gt;0,"Lift "&amp;W1657&amp;" lt. Liftbericht (Fach "&amp;X1657&amp;" Stk); ",IF(BX1657=1,"Gebinde geschätzt ("&amp;T1657&amp;"); ",IF(BW1657=1,"Lose – Tablare geschätzt; ","")))&amp;IF(H1657&gt;AT1657,"Überbestand "&amp;ROUND(H1657-AT1657,0)&amp;" Stk / CHF "&amp;ROUND((H1657-AT1657)*G1657,0)&amp;"; ","")&amp;IF(AND(CE1657=1,CF1657&lt;CG1657),"MAX &lt; MB+LG; ","")&amp;IF(AND(CK1657&gt;0,CJ1657*10&gt;CK1657),"zu hoch für Tablar; ","")&amp;IF(AND(BS1657=0,OR(CE1657=1,AA1657&lt;&gt;"",U1657&lt;&gt;"",V1657&lt;&gt;"",AB1657&lt;&gt;"")),"manuell übersteuert; ","")&amp;IF(AND(BW1657=0,R1657=0),"Gebinde unbekannt / Stellmass fehlt; ","")&amp;IF(AND(BW1657=0,N(V1657)&lt;=0,N(Q1657)&lt;=0),"Menge pro Gebinde fehlt (Ist = 1 Gebinde); ","")&amp;BR1657)</f>
        <v>Kein Verbrauch; Gebinde geschätzt (Mittel); Menge pro Gebinde fehlt (Ist = 1 Gebinde); nur im Artikelstamm (Bestand 23.06.2026)</v>
      </c>
      <c r="BK1657" s="48"/>
      <c r="BL1657" s="48"/>
      <c r="BM1657" s="55"/>
      <c r="BN1657" s="50" t="n">
        <v>1</v>
      </c>
      <c r="BO1657" s="50" t="n">
        <v>0</v>
      </c>
      <c r="BP1657" s="49" t="n">
        <v>0</v>
      </c>
      <c r="BQ1657" s="50" t="n">
        <v>0</v>
      </c>
      <c r="BR1657" s="48" t="s">
        <v>2579</v>
      </c>
      <c r="BS1657" s="53" t="n">
        <v>0</v>
      </c>
      <c r="BT1657" s="53" t="n">
        <v>1657</v>
      </c>
      <c r="BU1657" s="48" t="str">
        <f aca="false">IF(U1657&lt;&gt;"",UPPER(TRIM(U1657)),IF(BX1657=1,UPPER(VLOOKUP(T1657,Parameter!$I$27:$K$29,2,0)),IF(P1657="","LOSE",P1657)))</f>
        <v>S61</v>
      </c>
      <c r="BV1657" s="50" t="n">
        <f aca="false">IF(BU1657="LOSE",1,IF(N(V1657)&gt;0,V1657,IF(BX1657=1,MAX(1,N(VLOOKUP(T1657,Parameter!$I$27:$K$29,3,0)),H1657,N(N1657)),IF(N(Q1657)&gt;0,Q1657,MAX(1,H1657)))))</f>
        <v>4</v>
      </c>
      <c r="BW1657" s="53" t="n">
        <f aca="false">IF(BU1657="LOSE",1,0)</f>
        <v>0</v>
      </c>
      <c r="BX1657" s="53" t="n">
        <f aca="false">IF(AND(U1657="",OR(P1657="",P1657="LOSE"),T1657&lt;&gt;"",N(S1657)&lt;=0,ISNUMBER(MATCH(T1657,Parameter!$I$27:$I$29,0))),1,0)</f>
        <v>1</v>
      </c>
      <c r="BY1657" s="53" t="n">
        <f aca="false">IF(CL1657&gt;0,INDEX(Parameter!$H$5:$H$7,W1657)/INDEX(Parameter!$E$5:$E$7,W1657),IF(AND(BW1657=0,N(IFERROR(VLOOKUP(BU1657,'Gebinde-Kategorie'!$A$5:$N$45,14,0),0))&gt;0),VLOOKUP(BU1657,'Gebinde-Kategorie'!$A$5:$N$45,14,0)*10+Parameter!$M$23,Parameter!$M$24))</f>
        <v>145</v>
      </c>
      <c r="BZ1657" s="48" t="str">
        <f aca="false">IF(AND(Parameter!$B$19="Ja",E1657&lt;&gt;"",ISNUMBER(MATCH(E1657,Parameter!$I$35:$I$52,0))),VLOOKUP(E1657,Parameter!$I$35:$J$52,2,0),IFERROR(VLOOKUP(D1657,Parameter!$A$35:$C$64,2,0),"Nein"))</f>
        <v>2+3</v>
      </c>
      <c r="CA1657" s="52" t="n">
        <f aca="false">IF(BW1657=0,0,IF(N(S1657)&gt;0,S1657,IFERROR(VLOOKUP(D1657,Parameter!$A$35:$C$64,3,0)+0,0)))</f>
        <v>0</v>
      </c>
      <c r="CB1657" s="48" t="n">
        <f aca="false">IF(AA1657&lt;&gt;"",AA1657,Z1657)</f>
        <v>2</v>
      </c>
      <c r="CC1657" s="48" t="str">
        <f aca="false">IF(OR(CB1657=1,CB1657=2,CB1657=3),IF(Parameter!$E$27="Ja","LIFT",IF(CB1657=1,"L1","L23")),IF(CB1657="Aussen","Aussen","-"))</f>
        <v>LIFT</v>
      </c>
      <c r="CD1657" s="59" t="n">
        <f aca="false">IF(N(AB1657)&gt;0,AB1657,0)</f>
        <v>0</v>
      </c>
      <c r="CE1657" s="53" t="n">
        <f aca="false">IF(ISNUMBER(AE1657),1,0)</f>
        <v>0</v>
      </c>
      <c r="CF1657" s="50" t="n">
        <f aca="false">N(AE1657)</f>
        <v>0</v>
      </c>
      <c r="CG1657" s="50" t="n">
        <f aca="false">N(M1657)+N(N1657)</f>
        <v>1</v>
      </c>
      <c r="CH1657" s="50" t="n">
        <f aca="false">ROUNDUP(H1657/BV1657,0)</f>
        <v>1</v>
      </c>
      <c r="CI1657" s="50" t="n">
        <f aca="false">ROUNDUP(CF1657/BV1657,0)</f>
        <v>0</v>
      </c>
      <c r="CJ1657" s="53" t="n">
        <f aca="false">IF(BW1657=1,0,IFERROR(VLOOKUP(BU1657,'Gebinde-Kategorie'!$A$5:$N$45,5,0)+0,0))</f>
        <v>11</v>
      </c>
      <c r="CK1657" s="53" t="n">
        <f aca="false">IFERROR(IF(OR(CB1657=1,CB1657=2,CB1657=3),N(INDEX(Parameter!$I$5:$I$7,CB1657)),0),0)</f>
        <v>0</v>
      </c>
      <c r="CL1657" s="52" t="n">
        <f aca="false">IF(AND(Parameter!$B$21="Ja",ISNUMBER(W1657),N(X1657)&gt;0),IFERROR(N(INDEX(Parameter!$L$5:$L$7,W1657))*INDEX(Parameter!$E$5:$E$7,W1657)*X1657/SUMIFS($X$7:$X$1843,$W$7:$W$1843,W1657),0),0)</f>
        <v>0</v>
      </c>
    </row>
    <row r="1658" customFormat="false" ht="15" hidden="false" customHeight="false" outlineLevel="0" collapsed="false">
      <c r="A1658" s="48" t="s">
        <v>2886</v>
      </c>
      <c r="B1658" s="48" t="s">
        <v>2887</v>
      </c>
      <c r="C1658" s="48" t="s">
        <v>171</v>
      </c>
      <c r="D1658" s="48" t="s">
        <v>177</v>
      </c>
      <c r="E1658" s="48"/>
      <c r="F1658" s="48"/>
      <c r="G1658" s="49" t="n">
        <v>65.21</v>
      </c>
      <c r="H1658" s="50" t="n">
        <f aca="false">MAX(0,IF(AND(Parameter!$B$21="Ja",ISNUMBER(Y1658)),Y1658,IF(Parameter!$B$20="Jahresanfang 2025 + Export",BO1658+BN1658,BN1658)))</f>
        <v>10</v>
      </c>
      <c r="I1658" s="50" t="n">
        <f aca="false">H1658*G1658</f>
        <v>652.1</v>
      </c>
      <c r="J1658" s="50" t="n">
        <f aca="false">BQ1658*Parameter!$B$18</f>
        <v>0</v>
      </c>
      <c r="K1658" s="51"/>
      <c r="L1658" s="52"/>
      <c r="M1658" s="50" t="n">
        <v>0</v>
      </c>
      <c r="N1658" s="50" t="n">
        <v>10</v>
      </c>
      <c r="O1658" s="53" t="n">
        <v>150</v>
      </c>
      <c r="P1658" s="48" t="s">
        <v>172</v>
      </c>
      <c r="Q1658" s="50"/>
      <c r="R1658" s="53" t="n">
        <f aca="false">IF(BW1658=1,0,IFERROR(VLOOKUP(BU1658,'Gebinde-Kategorie'!$A$5:$N$45,13,0)+0,0))</f>
        <v>12</v>
      </c>
      <c r="S1658" s="54"/>
      <c r="T1658" s="55" t="s">
        <v>183</v>
      </c>
      <c r="U1658" s="55"/>
      <c r="V1658" s="55"/>
      <c r="W1658" s="48"/>
      <c r="X1658" s="50"/>
      <c r="Y1658" s="50"/>
      <c r="Z1658" s="48" t="n">
        <f aca="false">IF(A1658="","",IF(AND(Parameter!$B$21="Ja",ISNUMBER(W1658)),W1658,IF(BZ1658="2+3",IF(ISNUMBER(SEARCH("grosser Artikel",BR1658)),2,IFERROR(VLOOKUP(BU1658,Parameter!$F$35:$G$64,2,0),2)),IF(OR(BZ1658="Nein",BZ1658=""),"-",BZ1658))))</f>
        <v>2</v>
      </c>
      <c r="AA1658" s="55"/>
      <c r="AB1658" s="56"/>
      <c r="AC1658" s="50" t="n">
        <f aca="false">AT1658</f>
        <v>10</v>
      </c>
      <c r="AD1658" s="50" t="n">
        <f aca="false">MAX(AT1658,H1658)</f>
        <v>10</v>
      </c>
      <c r="AE1658" s="57"/>
      <c r="AF1658" s="50" t="n">
        <f aca="false">IF(LEFT(Cockpit!$C$5,1)="A",H1658,IF(CE1658=1,CF1658,IF(LEFT(Cockpit!$C$5,1)="B",AK1658,MAX(AK1658,H1658))))</f>
        <v>10</v>
      </c>
      <c r="AG1658" s="50" t="n">
        <f aca="false">IF(BW1658=1,0,ROUNDUP(AF1658/BV1658,0))</f>
        <v>1</v>
      </c>
      <c r="AH1658" s="52" t="n">
        <f aca="false">IF(CL1658&gt;0,CL1658*MAX(1,AF1658/X1658),IF(BW1658=1,IF(AF1658&lt;=0,0,CA1658*MAX(1,IF(H1658&gt;0,AF1658/H1658,1))),IF(R1658&gt;0,AG1658/R1658,0))/MAX(0.1,N(Parameter!$M$21)))</f>
        <v>0.0833333333333333</v>
      </c>
      <c r="AI1658" s="50" t="n">
        <f aca="false">AH1658*BY1658</f>
        <v>12.0833333333333</v>
      </c>
      <c r="AJ1658" s="50" t="n">
        <f aca="false">AF1658*G1658</f>
        <v>652.1</v>
      </c>
      <c r="AK1658" s="50" t="n">
        <f aca="false">ROUNDUP(MAX(J1658/IF(CD1658&gt;0,CD1658,MAX(0.1,N(Cockpit!$C$6))),CG1658)/BV1658,0)*BV1658</f>
        <v>10</v>
      </c>
      <c r="AL1658" s="51" t="n">
        <f aca="false">IF(AI1658&gt;0,J1658/AI1658,-1)</f>
        <v>0</v>
      </c>
      <c r="AM1658" s="51" t="n">
        <f aca="false">IF(AND(OR(CC1658="L1",CC1658="L23",CC1658="LIFT"),AI1658&gt;0),SUMIFS($AI$7:$AI$1843,$CC$7:$CC$1843,CC1658,$AL$7:$AL$1843,"&gt;"&amp;AL1658)+SUMIFS($AI$7:$AI$1843,$CC$7:$CC$1843,CC1658,$AL$7:$AL$1843,AL1658,$BT$7:$BT$1843,"&lt;="&amp;BT1658),"")</f>
        <v>31292.8704781565</v>
      </c>
      <c r="AN1658" s="58" t="n">
        <f aca="false">IF(AM1658="",0,MAX(0,MIN(1,(IF(CC1658="L1",Parameter!$H$5,IF(CC1658="L23",Parameter!$H$6+Parameter!$H$7,Parameter!$H$5+Parameter!$H$6+Parameter!$H$7))-(AM1658-AI1658))/AI1658)))</f>
        <v>1</v>
      </c>
      <c r="AO1658" s="50" t="n">
        <f aca="false">IF(LEFT(Cockpit!$I$5,1)="A",H1658,IF(CE1658=1,CF1658,IF(LEFT(Cockpit!$I$5,1)="B",AT1658,MAX(AT1658,H1658))))</f>
        <v>10</v>
      </c>
      <c r="AP1658" s="50" t="n">
        <f aca="false">IF(BW1658=1,0,ROUNDUP(AO1658/BV1658,0))</f>
        <v>1</v>
      </c>
      <c r="AQ1658" s="52" t="n">
        <f aca="false">IF(CL1658&gt;0,CL1658*MAX(1,AO1658/X1658),IF(BW1658=1,IF(AO1658&lt;=0,0,CA1658*MAX(1,IF(H1658&gt;0,AO1658/H1658,1))),IF(R1658&gt;0,AP1658/R1658,0))/MAX(0.1,N(Parameter!$M$21)))</f>
        <v>0.0833333333333333</v>
      </c>
      <c r="AR1658" s="50" t="n">
        <f aca="false">AQ1658*BY1658</f>
        <v>12.0833333333333</v>
      </c>
      <c r="AS1658" s="50" t="n">
        <f aca="false">AO1658*G1658</f>
        <v>652.1</v>
      </c>
      <c r="AT1658" s="50" t="n">
        <f aca="false">ROUNDUP(MAX(J1658/IF(CD1658&gt;0,CD1658,MAX(0.1,N(Cockpit!$I$6))),CG1658)/BV1658,0)*BV1658</f>
        <v>10</v>
      </c>
      <c r="AU1658" s="51" t="n">
        <f aca="false">IF(AR1658&gt;0,J1658/AR1658,-1)</f>
        <v>0</v>
      </c>
      <c r="AV1658" s="51" t="n">
        <f aca="false">IF(AND(OR(CC1658="L1",CC1658="L23",CC1658="LIFT"),AR1658&gt;0),SUMIFS($AR$7:$AR$1843,$CC$7:$CC$1843,CC1658,$AU$7:$AU$1843,"&gt;"&amp;AU1658)+SUMIFS($AR$7:$AR$1843,$CC$7:$CC$1843,CC1658,$AU$7:$AU$1843,AU1658,$BT$7:$BT$1843,"&lt;="&amp;BT1658),"")</f>
        <v>43959.5562177935</v>
      </c>
      <c r="AW1658" s="58" t="n">
        <f aca="false">IF(AV1658="",0,MAX(0,MIN(1,(IF(CC1658="L1",Parameter!$H$5,IF(CC1658="L23",Parameter!$H$6+Parameter!$H$7,Parameter!$H$5+Parameter!$H$6+Parameter!$H$7))-(AV1658-AR1658))/AR1658)))</f>
        <v>0</v>
      </c>
      <c r="AX1658" s="50" t="n">
        <f aca="false">IF(LEFT(Cockpit!$O$5,1)="A",H1658,IF(CE1658=1,CF1658,IF(LEFT(Cockpit!$O$5,1)="B",BC1658,MAX(BC1658,H1658))))</f>
        <v>10</v>
      </c>
      <c r="AY1658" s="50" t="n">
        <f aca="false">IF(BW1658=1,0,ROUNDUP(AX1658/BV1658,0))</f>
        <v>1</v>
      </c>
      <c r="AZ1658" s="52" t="n">
        <f aca="false">IF(CL1658&gt;0,CL1658*MAX(1,AX1658/X1658),IF(BW1658=1,IF(AX1658&lt;=0,0,CA1658*MAX(1,IF(H1658&gt;0,AX1658/H1658,1))),IF(R1658&gt;0,AY1658/R1658,0))/MAX(0.1,N(Parameter!$M$21)))</f>
        <v>0.0833333333333333</v>
      </c>
      <c r="BA1658" s="50" t="n">
        <f aca="false">AZ1658*BY1658</f>
        <v>12.0833333333333</v>
      </c>
      <c r="BB1658" s="50" t="n">
        <f aca="false">AX1658*G1658</f>
        <v>652.1</v>
      </c>
      <c r="BC1658" s="50" t="n">
        <f aca="false">ROUNDUP(MAX(J1658/IF(CD1658&gt;0,CD1658,MAX(0.1,N(Cockpit!$O$6))),CG1658)/BV1658,0)*BV1658</f>
        <v>10</v>
      </c>
      <c r="BD1658" s="51" t="n">
        <f aca="false">IF(BA1658&gt;0,J1658/BA1658,-1)</f>
        <v>0</v>
      </c>
      <c r="BE1658" s="51" t="n">
        <f aca="false">IF(AND(OR(CC1658="L1",CC1658="L23",CC1658="LIFT"),BA1658&gt;0),SUMIFS($BA$7:$BA$1843,$CC$7:$CC$1843,CC1658,$BD$7:$BD$1843,"&gt;"&amp;BD1658)+SUMIFS($BA$7:$BA$1843,$CC$7:$CC$1843,CC1658,$BD$7:$BD$1843,BD1658,$BT$7:$BT$1843,"&lt;="&amp;BT1658),"")</f>
        <v>40634.5682596594</v>
      </c>
      <c r="BF1658" s="58" t="n">
        <f aca="false">IF(BE1658="",0,MAX(0,MIN(1,(IF(CC1658="L1",Parameter!$H$5,IF(CC1658="L23",Parameter!$H$6+Parameter!$H$7,Parameter!$H$5+Parameter!$H$6+Parameter!$H$7))-(BE1658-BA1658))/BA1658)))</f>
        <v>0</v>
      </c>
      <c r="BG1658" s="48" t="str">
        <f aca="false">IF(AI1658&lt;=0,"",IF(CC1658="Aussen","Aussenlager",IF(CC1658="-","Nicht im Lift",IF(AN1658&gt;=1,"Lift",IF(AN1658&lt;=0,"Aussenlager","teilweise")))))</f>
        <v>Lift</v>
      </c>
      <c r="BH1658" s="48" t="str">
        <f aca="false">IF(AR1658&lt;=0,"",IF(CC1658="Aussen","Aussenlager",IF(CC1658="-","Nicht im Lift",IF(AW1658&gt;=1,"Lift",IF(AW1658&lt;=0,"Aussenlager","teilweise")))))</f>
        <v>Aussenlager</v>
      </c>
      <c r="BI1658" s="48" t="str">
        <f aca="false">IF(BA1658&lt;=0,"",IF(CC1658="Aussen","Aussenlager",IF(CC1658="-","Nicht im Lift",IF(BF1658&gt;=1,"Lift",IF(BF1658&lt;=0,"Aussenlager","teilweise")))))</f>
        <v>Aussenlager</v>
      </c>
      <c r="BJ1658" s="48" t="str">
        <f aca="false">IF(A1658="","",IF(BS1658=1,"Neu; ","")&amp;IF(AND(BS1658=0,BN1658&lt;0),"negativer Bestand (Export "&amp;BN1658&amp;"); ","")&amp;IF(J1658&lt;=0,"Kein Verbrauch; ","")&amp;IF(CL1658&gt;0,"Lift "&amp;W1658&amp;" lt. Liftbericht (Fach "&amp;X1658&amp;" Stk); ",IF(BX1658=1,"Gebinde geschätzt ("&amp;T1658&amp;"); ",IF(BW1658=1,"Lose – Tablare geschätzt; ","")))&amp;IF(H1658&gt;AT1658,"Überbestand "&amp;ROUND(H1658-AT1658,0)&amp;" Stk / CHF "&amp;ROUND((H1658-AT1658)*G1658,0)&amp;"; ","")&amp;IF(AND(CE1658=1,CF1658&lt;CG1658),"MAX &lt; MB+LG; ","")&amp;IF(AND(CK1658&gt;0,CJ1658*10&gt;CK1658),"zu hoch für Tablar; ","")&amp;IF(AND(BS1658=0,OR(CE1658=1,AA1658&lt;&gt;"",U1658&lt;&gt;"",V1658&lt;&gt;"",AB1658&lt;&gt;"")),"manuell übersteuert; ","")&amp;IF(AND(BW1658=0,R1658=0),"Gebinde unbekannt / Stellmass fehlt; ","")&amp;IF(AND(BW1658=0,N(V1658)&lt;=0,N(Q1658)&lt;=0),"Menge pro Gebinde fehlt (Ist = 1 Gebinde); ","")&amp;BR1658)</f>
        <v>Kein Verbrauch; Gebinde geschätzt (Mittel); Menge pro Gebinde fehlt (Ist = 1 Gebinde); nur im Artikelstamm (Bestand 23.06.2026)</v>
      </c>
      <c r="BK1658" s="48"/>
      <c r="BL1658" s="48"/>
      <c r="BM1658" s="55"/>
      <c r="BN1658" s="50" t="n">
        <v>10</v>
      </c>
      <c r="BO1658" s="50" t="n">
        <v>0</v>
      </c>
      <c r="BP1658" s="49" t="n">
        <v>0</v>
      </c>
      <c r="BQ1658" s="50" t="n">
        <v>0</v>
      </c>
      <c r="BR1658" s="48" t="s">
        <v>2579</v>
      </c>
      <c r="BS1658" s="53" t="n">
        <v>0</v>
      </c>
      <c r="BT1658" s="53" t="n">
        <v>1658</v>
      </c>
      <c r="BU1658" s="48" t="str">
        <f aca="false">IF(U1658&lt;&gt;"",UPPER(TRIM(U1658)),IF(BX1658=1,UPPER(VLOOKUP(T1658,Parameter!$I$27:$K$29,2,0)),IF(P1658="","LOSE",P1658)))</f>
        <v>S61</v>
      </c>
      <c r="BV1658" s="50" t="n">
        <f aca="false">IF(BU1658="LOSE",1,IF(N(V1658)&gt;0,V1658,IF(BX1658=1,MAX(1,N(VLOOKUP(T1658,Parameter!$I$27:$K$29,3,0)),H1658,N(N1658)),IF(N(Q1658)&gt;0,Q1658,MAX(1,H1658)))))</f>
        <v>10</v>
      </c>
      <c r="BW1658" s="53" t="n">
        <f aca="false">IF(BU1658="LOSE",1,0)</f>
        <v>0</v>
      </c>
      <c r="BX1658" s="53" t="n">
        <f aca="false">IF(AND(U1658="",OR(P1658="",P1658="LOSE"),T1658&lt;&gt;"",N(S1658)&lt;=0,ISNUMBER(MATCH(T1658,Parameter!$I$27:$I$29,0))),1,0)</f>
        <v>1</v>
      </c>
      <c r="BY1658" s="53" t="n">
        <f aca="false">IF(CL1658&gt;0,INDEX(Parameter!$H$5:$H$7,W1658)/INDEX(Parameter!$E$5:$E$7,W1658),IF(AND(BW1658=0,N(IFERROR(VLOOKUP(BU1658,'Gebinde-Kategorie'!$A$5:$N$45,14,0),0))&gt;0),VLOOKUP(BU1658,'Gebinde-Kategorie'!$A$5:$N$45,14,0)*10+Parameter!$M$23,Parameter!$M$24))</f>
        <v>145</v>
      </c>
      <c r="BZ1658" s="48" t="str">
        <f aca="false">IF(AND(Parameter!$B$19="Ja",E1658&lt;&gt;"",ISNUMBER(MATCH(E1658,Parameter!$I$35:$I$52,0))),VLOOKUP(E1658,Parameter!$I$35:$J$52,2,0),IFERROR(VLOOKUP(D1658,Parameter!$A$35:$C$64,2,0),"Nein"))</f>
        <v>2+3</v>
      </c>
      <c r="CA1658" s="52" t="n">
        <f aca="false">IF(BW1658=0,0,IF(N(S1658)&gt;0,S1658,IFERROR(VLOOKUP(D1658,Parameter!$A$35:$C$64,3,0)+0,0)))</f>
        <v>0</v>
      </c>
      <c r="CB1658" s="48" t="n">
        <f aca="false">IF(AA1658&lt;&gt;"",AA1658,Z1658)</f>
        <v>2</v>
      </c>
      <c r="CC1658" s="48" t="str">
        <f aca="false">IF(OR(CB1658=1,CB1658=2,CB1658=3),IF(Parameter!$E$27="Ja","LIFT",IF(CB1658=1,"L1","L23")),IF(CB1658="Aussen","Aussen","-"))</f>
        <v>LIFT</v>
      </c>
      <c r="CD1658" s="59" t="n">
        <f aca="false">IF(N(AB1658)&gt;0,AB1658,0)</f>
        <v>0</v>
      </c>
      <c r="CE1658" s="53" t="n">
        <f aca="false">IF(ISNUMBER(AE1658),1,0)</f>
        <v>0</v>
      </c>
      <c r="CF1658" s="50" t="n">
        <f aca="false">N(AE1658)</f>
        <v>0</v>
      </c>
      <c r="CG1658" s="50" t="n">
        <f aca="false">N(M1658)+N(N1658)</f>
        <v>10</v>
      </c>
      <c r="CH1658" s="50" t="n">
        <f aca="false">ROUNDUP(H1658/BV1658,0)</f>
        <v>1</v>
      </c>
      <c r="CI1658" s="50" t="n">
        <f aca="false">ROUNDUP(CF1658/BV1658,0)</f>
        <v>0</v>
      </c>
      <c r="CJ1658" s="53" t="n">
        <f aca="false">IF(BW1658=1,0,IFERROR(VLOOKUP(BU1658,'Gebinde-Kategorie'!$A$5:$N$45,5,0)+0,0))</f>
        <v>11</v>
      </c>
      <c r="CK1658" s="53" t="n">
        <f aca="false">IFERROR(IF(OR(CB1658=1,CB1658=2,CB1658=3),N(INDEX(Parameter!$I$5:$I$7,CB1658)),0),0)</f>
        <v>0</v>
      </c>
      <c r="CL1658" s="52" t="n">
        <f aca="false">IF(AND(Parameter!$B$21="Ja",ISNUMBER(W1658),N(X1658)&gt;0),IFERROR(N(INDEX(Parameter!$L$5:$L$7,W1658))*INDEX(Parameter!$E$5:$E$7,W1658)*X1658/SUMIFS($X$7:$X$1843,$W$7:$W$1843,W1658),0),0)</f>
        <v>0</v>
      </c>
    </row>
    <row r="1659" customFormat="false" ht="15" hidden="false" customHeight="false" outlineLevel="0" collapsed="false">
      <c r="A1659" s="48" t="s">
        <v>2888</v>
      </c>
      <c r="B1659" s="48" t="s">
        <v>2428</v>
      </c>
      <c r="C1659" s="48" t="s">
        <v>168</v>
      </c>
      <c r="D1659" s="48" t="s">
        <v>177</v>
      </c>
      <c r="E1659" s="48"/>
      <c r="F1659" s="48"/>
      <c r="G1659" s="49" t="n">
        <v>607.5</v>
      </c>
      <c r="H1659" s="50" t="n">
        <f aca="false">MAX(0,IF(AND(Parameter!$B$21="Ja",ISNUMBER(Y1659)),Y1659,IF(Parameter!$B$20="Jahresanfang 2025 + Export",BO1659+BN1659,BN1659)))</f>
        <v>1</v>
      </c>
      <c r="I1659" s="50" t="n">
        <f aca="false">H1659*G1659</f>
        <v>607.5</v>
      </c>
      <c r="J1659" s="50" t="n">
        <f aca="false">BQ1659*Parameter!$B$18</f>
        <v>0</v>
      </c>
      <c r="K1659" s="51"/>
      <c r="L1659" s="52"/>
      <c r="M1659" s="50" t="n">
        <v>1</v>
      </c>
      <c r="N1659" s="50" t="n">
        <v>1</v>
      </c>
      <c r="O1659" s="53" t="n">
        <v>42</v>
      </c>
      <c r="P1659" s="48" t="s">
        <v>172</v>
      </c>
      <c r="Q1659" s="50"/>
      <c r="R1659" s="53" t="n">
        <f aca="false">IF(BW1659=1,0,IFERROR(VLOOKUP(BU1659,'Gebinde-Kategorie'!$A$5:$N$45,13,0)+0,0))</f>
        <v>4</v>
      </c>
      <c r="S1659" s="54"/>
      <c r="T1659" s="55" t="s">
        <v>193</v>
      </c>
      <c r="U1659" s="55"/>
      <c r="V1659" s="55"/>
      <c r="W1659" s="48"/>
      <c r="X1659" s="50"/>
      <c r="Y1659" s="50"/>
      <c r="Z1659" s="48" t="n">
        <f aca="false">IF(A1659="","",IF(AND(Parameter!$B$21="Ja",ISNUMBER(W1659)),W1659,IF(BZ1659="2+3",IF(ISNUMBER(SEARCH("grosser Artikel",BR1659)),2,IFERROR(VLOOKUP(BU1659,Parameter!$F$35:$G$64,2,0),2)),IF(OR(BZ1659="Nein",BZ1659=""),"-",BZ1659))))</f>
        <v>2</v>
      </c>
      <c r="AA1659" s="55"/>
      <c r="AB1659" s="56"/>
      <c r="AC1659" s="50" t="n">
        <f aca="false">AT1659</f>
        <v>2</v>
      </c>
      <c r="AD1659" s="50" t="n">
        <f aca="false">MAX(AT1659,H1659)</f>
        <v>2</v>
      </c>
      <c r="AE1659" s="57"/>
      <c r="AF1659" s="50" t="n">
        <f aca="false">IF(LEFT(Cockpit!$C$5,1)="A",H1659,IF(CE1659=1,CF1659,IF(LEFT(Cockpit!$C$5,1)="B",AK1659,MAX(AK1659,H1659))))</f>
        <v>1</v>
      </c>
      <c r="AG1659" s="50" t="n">
        <f aca="false">IF(BW1659=1,0,ROUNDUP(AF1659/BV1659,0))</f>
        <v>1</v>
      </c>
      <c r="AH1659" s="52" t="n">
        <f aca="false">IF(CL1659&gt;0,CL1659*MAX(1,AF1659/X1659),IF(BW1659=1,IF(AF1659&lt;=0,0,CA1659*MAX(1,IF(H1659&gt;0,AF1659/H1659,1))),IF(R1659&gt;0,AG1659/R1659,0))/MAX(0.1,N(Parameter!$M$21)))</f>
        <v>0.25</v>
      </c>
      <c r="AI1659" s="50" t="n">
        <f aca="false">AH1659*BY1659</f>
        <v>58.75</v>
      </c>
      <c r="AJ1659" s="50" t="n">
        <f aca="false">AF1659*G1659</f>
        <v>607.5</v>
      </c>
      <c r="AK1659" s="50" t="n">
        <f aca="false">ROUNDUP(MAX(J1659/IF(CD1659&gt;0,CD1659,MAX(0.1,N(Cockpit!$C$6))),CG1659)/BV1659,0)*BV1659</f>
        <v>2</v>
      </c>
      <c r="AL1659" s="51" t="n">
        <f aca="false">IF(AI1659&gt;0,J1659/AI1659,-1)</f>
        <v>0</v>
      </c>
      <c r="AM1659" s="51" t="n">
        <f aca="false">IF(AND(OR(CC1659="L1",CC1659="L23",CC1659="LIFT"),AI1659&gt;0),SUMIFS($AI$7:$AI$1843,$CC$7:$CC$1843,CC1659,$AL$7:$AL$1843,"&gt;"&amp;AL1659)+SUMIFS($AI$7:$AI$1843,$CC$7:$CC$1843,CC1659,$AL$7:$AL$1843,AL1659,$BT$7:$BT$1843,"&lt;="&amp;BT1659),"")</f>
        <v>31351.6204781565</v>
      </c>
      <c r="AN1659" s="58" t="n">
        <f aca="false">IF(AM1659="",0,MAX(0,MIN(1,(IF(CC1659="L1",Parameter!$H$5,IF(CC1659="L23",Parameter!$H$6+Parameter!$H$7,Parameter!$H$5+Parameter!$H$6+Parameter!$H$7))-(AM1659-AI1659))/AI1659)))</f>
        <v>1</v>
      </c>
      <c r="AO1659" s="50" t="n">
        <f aca="false">IF(LEFT(Cockpit!$I$5,1)="A",H1659,IF(CE1659=1,CF1659,IF(LEFT(Cockpit!$I$5,1)="B",AT1659,MAX(AT1659,H1659))))</f>
        <v>2</v>
      </c>
      <c r="AP1659" s="50" t="n">
        <f aca="false">IF(BW1659=1,0,ROUNDUP(AO1659/BV1659,0))</f>
        <v>1</v>
      </c>
      <c r="AQ1659" s="52" t="n">
        <f aca="false">IF(CL1659&gt;0,CL1659*MAX(1,AO1659/X1659),IF(BW1659=1,IF(AO1659&lt;=0,0,CA1659*MAX(1,IF(H1659&gt;0,AO1659/H1659,1))),IF(R1659&gt;0,AP1659/R1659,0))/MAX(0.1,N(Parameter!$M$21)))</f>
        <v>0.25</v>
      </c>
      <c r="AR1659" s="50" t="n">
        <f aca="false">AQ1659*BY1659</f>
        <v>58.75</v>
      </c>
      <c r="AS1659" s="50" t="n">
        <f aca="false">AO1659*G1659</f>
        <v>1215</v>
      </c>
      <c r="AT1659" s="50" t="n">
        <f aca="false">ROUNDUP(MAX(J1659/IF(CD1659&gt;0,CD1659,MAX(0.1,N(Cockpit!$I$6))),CG1659)/BV1659,0)*BV1659</f>
        <v>2</v>
      </c>
      <c r="AU1659" s="51" t="n">
        <f aca="false">IF(AR1659&gt;0,J1659/AR1659,-1)</f>
        <v>0</v>
      </c>
      <c r="AV1659" s="51" t="n">
        <f aca="false">IF(AND(OR(CC1659="L1",CC1659="L23",CC1659="LIFT"),AR1659&gt;0),SUMIFS($AR$7:$AR$1843,$CC$7:$CC$1843,CC1659,$AU$7:$AU$1843,"&gt;"&amp;AU1659)+SUMIFS($AR$7:$AR$1843,$CC$7:$CC$1843,CC1659,$AU$7:$AU$1843,AU1659,$BT$7:$BT$1843,"&lt;="&amp;BT1659),"")</f>
        <v>44018.3062177935</v>
      </c>
      <c r="AW1659" s="58" t="n">
        <f aca="false">IF(AV1659="",0,MAX(0,MIN(1,(IF(CC1659="L1",Parameter!$H$5,IF(CC1659="L23",Parameter!$H$6+Parameter!$H$7,Parameter!$H$5+Parameter!$H$6+Parameter!$H$7))-(AV1659-AR1659))/AR1659)))</f>
        <v>0</v>
      </c>
      <c r="AX1659" s="50" t="n">
        <f aca="false">IF(LEFT(Cockpit!$O$5,1)="A",H1659,IF(CE1659=1,CF1659,IF(LEFT(Cockpit!$O$5,1)="B",BC1659,MAX(BC1659,H1659))))</f>
        <v>2</v>
      </c>
      <c r="AY1659" s="50" t="n">
        <f aca="false">IF(BW1659=1,0,ROUNDUP(AX1659/BV1659,0))</f>
        <v>1</v>
      </c>
      <c r="AZ1659" s="52" t="n">
        <f aca="false">IF(CL1659&gt;0,CL1659*MAX(1,AX1659/X1659),IF(BW1659=1,IF(AX1659&lt;=0,0,CA1659*MAX(1,IF(H1659&gt;0,AX1659/H1659,1))),IF(R1659&gt;0,AY1659/R1659,0))/MAX(0.1,N(Parameter!$M$21)))</f>
        <v>0.25</v>
      </c>
      <c r="BA1659" s="50" t="n">
        <f aca="false">AZ1659*BY1659</f>
        <v>58.75</v>
      </c>
      <c r="BB1659" s="50" t="n">
        <f aca="false">AX1659*G1659</f>
        <v>1215</v>
      </c>
      <c r="BC1659" s="50" t="n">
        <f aca="false">ROUNDUP(MAX(J1659/IF(CD1659&gt;0,CD1659,MAX(0.1,N(Cockpit!$O$6))),CG1659)/BV1659,0)*BV1659</f>
        <v>2</v>
      </c>
      <c r="BD1659" s="51" t="n">
        <f aca="false">IF(BA1659&gt;0,J1659/BA1659,-1)</f>
        <v>0</v>
      </c>
      <c r="BE1659" s="51" t="n">
        <f aca="false">IF(AND(OR(CC1659="L1",CC1659="L23",CC1659="LIFT"),BA1659&gt;0),SUMIFS($BA$7:$BA$1843,$CC$7:$CC$1843,CC1659,$BD$7:$BD$1843,"&gt;"&amp;BD1659)+SUMIFS($BA$7:$BA$1843,$CC$7:$CC$1843,CC1659,$BD$7:$BD$1843,BD1659,$BT$7:$BT$1843,"&lt;="&amp;BT1659),"")</f>
        <v>40693.3182596594</v>
      </c>
      <c r="BF1659" s="58" t="n">
        <f aca="false">IF(BE1659="",0,MAX(0,MIN(1,(IF(CC1659="L1",Parameter!$H$5,IF(CC1659="L23",Parameter!$H$6+Parameter!$H$7,Parameter!$H$5+Parameter!$H$6+Parameter!$H$7))-(BE1659-BA1659))/BA1659)))</f>
        <v>0</v>
      </c>
      <c r="BG1659" s="48" t="str">
        <f aca="false">IF(AI1659&lt;=0,"",IF(CC1659="Aussen","Aussenlager",IF(CC1659="-","Nicht im Lift",IF(AN1659&gt;=1,"Lift",IF(AN1659&lt;=0,"Aussenlager","teilweise")))))</f>
        <v>Lift</v>
      </c>
      <c r="BH1659" s="48" t="str">
        <f aca="false">IF(AR1659&lt;=0,"",IF(CC1659="Aussen","Aussenlager",IF(CC1659="-","Nicht im Lift",IF(AW1659&gt;=1,"Lift",IF(AW1659&lt;=0,"Aussenlager","teilweise")))))</f>
        <v>Aussenlager</v>
      </c>
      <c r="BI1659" s="48" t="str">
        <f aca="false">IF(BA1659&lt;=0,"",IF(CC1659="Aussen","Aussenlager",IF(CC1659="-","Nicht im Lift",IF(BF1659&gt;=1,"Lift",IF(BF1659&lt;=0,"Aussenlager","teilweise")))))</f>
        <v>Aussenlager</v>
      </c>
      <c r="BJ1659" s="48" t="str">
        <f aca="false">IF(A1659="","",IF(BS1659=1,"Neu; ","")&amp;IF(AND(BS1659=0,BN1659&lt;0),"negativer Bestand (Export "&amp;BN1659&amp;"); ","")&amp;IF(J1659&lt;=0,"Kein Verbrauch; ","")&amp;IF(CL1659&gt;0,"Lift "&amp;W1659&amp;" lt. Liftbericht (Fach "&amp;X1659&amp;" Stk); ",IF(BX1659=1,"Gebinde geschätzt ("&amp;T1659&amp;"); ",IF(BW1659=1,"Lose – Tablare geschätzt; ","")))&amp;IF(H1659&gt;AT1659,"Überbestand "&amp;ROUND(H1659-AT1659,0)&amp;" Stk / CHF "&amp;ROUND((H1659-AT1659)*G1659,0)&amp;"; ","")&amp;IF(AND(CE1659=1,CF1659&lt;CG1659),"MAX &lt; MB+LG; ","")&amp;IF(AND(CK1659&gt;0,CJ1659*10&gt;CK1659),"zu hoch für Tablar; ","")&amp;IF(AND(BS1659=0,OR(CE1659=1,AA1659&lt;&gt;"",U1659&lt;&gt;"",V1659&lt;&gt;"",AB1659&lt;&gt;"")),"manuell übersteuert; ","")&amp;IF(AND(BW1659=0,R1659=0),"Gebinde unbekannt / Stellmass fehlt; ","")&amp;IF(AND(BW1659=0,N(V1659)&lt;=0,N(Q1659)&lt;=0),"Menge pro Gebinde fehlt (Ist = 1 Gebinde); ","")&amp;BR1659)</f>
        <v>Kein Verbrauch; Gebinde geschätzt (Gross); Menge pro Gebinde fehlt (Ist = 1 Gebinde); nur im Artikelstamm (Bestand 23.06.2026)</v>
      </c>
      <c r="BK1659" s="48"/>
      <c r="BL1659" s="48"/>
      <c r="BM1659" s="55"/>
      <c r="BN1659" s="50" t="n">
        <v>1</v>
      </c>
      <c r="BO1659" s="50" t="n">
        <v>0</v>
      </c>
      <c r="BP1659" s="49" t="n">
        <v>0</v>
      </c>
      <c r="BQ1659" s="50" t="n">
        <v>0</v>
      </c>
      <c r="BR1659" s="48" t="s">
        <v>2579</v>
      </c>
      <c r="BS1659" s="53" t="n">
        <v>0</v>
      </c>
      <c r="BT1659" s="53" t="n">
        <v>1659</v>
      </c>
      <c r="BU1659" s="48" t="str">
        <f aca="false">IF(U1659&lt;&gt;"",UPPER(TRIM(U1659)),IF(BX1659=1,UPPER(VLOOKUP(T1659,Parameter!$I$27:$K$29,2,0)),IF(P1659="","LOSE",P1659)))</f>
        <v>S81</v>
      </c>
      <c r="BV1659" s="50" t="n">
        <f aca="false">IF(BU1659="LOSE",1,IF(N(V1659)&gt;0,V1659,IF(BX1659=1,MAX(1,N(VLOOKUP(T1659,Parameter!$I$27:$K$29,3,0)),H1659,N(N1659)),IF(N(Q1659)&gt;0,Q1659,MAX(1,H1659)))))</f>
        <v>2</v>
      </c>
      <c r="BW1659" s="53" t="n">
        <f aca="false">IF(BU1659="LOSE",1,0)</f>
        <v>0</v>
      </c>
      <c r="BX1659" s="53" t="n">
        <f aca="false">IF(AND(U1659="",OR(P1659="",P1659="LOSE"),T1659&lt;&gt;"",N(S1659)&lt;=0,ISNUMBER(MATCH(T1659,Parameter!$I$27:$I$29,0))),1,0)</f>
        <v>1</v>
      </c>
      <c r="BY1659" s="53" t="n">
        <f aca="false">IF(CL1659&gt;0,INDEX(Parameter!$H$5:$H$7,W1659)/INDEX(Parameter!$E$5:$E$7,W1659),IF(AND(BW1659=0,N(IFERROR(VLOOKUP(BU1659,'Gebinde-Kategorie'!$A$5:$N$45,14,0),0))&gt;0),VLOOKUP(BU1659,'Gebinde-Kategorie'!$A$5:$N$45,14,0)*10+Parameter!$M$23,Parameter!$M$24))</f>
        <v>235</v>
      </c>
      <c r="BZ1659" s="48" t="str">
        <f aca="false">IF(AND(Parameter!$B$19="Ja",E1659&lt;&gt;"",ISNUMBER(MATCH(E1659,Parameter!$I$35:$I$52,0))),VLOOKUP(E1659,Parameter!$I$35:$J$52,2,0),IFERROR(VLOOKUP(D1659,Parameter!$A$35:$C$64,2,0),"Nein"))</f>
        <v>2+3</v>
      </c>
      <c r="CA1659" s="52" t="n">
        <f aca="false">IF(BW1659=0,0,IF(N(S1659)&gt;0,S1659,IFERROR(VLOOKUP(D1659,Parameter!$A$35:$C$64,3,0)+0,0)))</f>
        <v>0</v>
      </c>
      <c r="CB1659" s="48" t="n">
        <f aca="false">IF(AA1659&lt;&gt;"",AA1659,Z1659)</f>
        <v>2</v>
      </c>
      <c r="CC1659" s="48" t="str">
        <f aca="false">IF(OR(CB1659=1,CB1659=2,CB1659=3),IF(Parameter!$E$27="Ja","LIFT",IF(CB1659=1,"L1","L23")),IF(CB1659="Aussen","Aussen","-"))</f>
        <v>LIFT</v>
      </c>
      <c r="CD1659" s="59" t="n">
        <f aca="false">IF(N(AB1659)&gt;0,AB1659,0)</f>
        <v>0</v>
      </c>
      <c r="CE1659" s="53" t="n">
        <f aca="false">IF(ISNUMBER(AE1659),1,0)</f>
        <v>0</v>
      </c>
      <c r="CF1659" s="50" t="n">
        <f aca="false">N(AE1659)</f>
        <v>0</v>
      </c>
      <c r="CG1659" s="50" t="n">
        <f aca="false">N(M1659)+N(N1659)</f>
        <v>2</v>
      </c>
      <c r="CH1659" s="50" t="n">
        <f aca="false">ROUNDUP(H1659/BV1659,0)</f>
        <v>1</v>
      </c>
      <c r="CI1659" s="50" t="n">
        <f aca="false">ROUNDUP(CF1659/BV1659,0)</f>
        <v>0</v>
      </c>
      <c r="CJ1659" s="53" t="n">
        <f aca="false">IF(BW1659=1,0,IFERROR(VLOOKUP(BU1659,'Gebinde-Kategorie'!$A$5:$N$45,5,0)+0,0))</f>
        <v>20</v>
      </c>
      <c r="CK1659" s="53" t="n">
        <f aca="false">IFERROR(IF(OR(CB1659=1,CB1659=2,CB1659=3),N(INDEX(Parameter!$I$5:$I$7,CB1659)),0),0)</f>
        <v>0</v>
      </c>
      <c r="CL1659" s="52" t="n">
        <f aca="false">IF(AND(Parameter!$B$21="Ja",ISNUMBER(W1659),N(X1659)&gt;0),IFERROR(N(INDEX(Parameter!$L$5:$L$7,W1659))*INDEX(Parameter!$E$5:$E$7,W1659)*X1659/SUMIFS($X$7:$X$1843,$W$7:$W$1843,W1659),0),0)</f>
        <v>0</v>
      </c>
    </row>
    <row r="1660" customFormat="false" ht="15" hidden="false" customHeight="false" outlineLevel="0" collapsed="false">
      <c r="A1660" s="48" t="s">
        <v>2889</v>
      </c>
      <c r="B1660" s="48" t="s">
        <v>185</v>
      </c>
      <c r="C1660" s="48" t="s">
        <v>171</v>
      </c>
      <c r="D1660" s="48" t="s">
        <v>177</v>
      </c>
      <c r="E1660" s="48" t="s">
        <v>170</v>
      </c>
      <c r="F1660" s="48"/>
      <c r="G1660" s="49" t="n">
        <v>5331</v>
      </c>
      <c r="H1660" s="50" t="n">
        <f aca="false">MAX(0,IF(AND(Parameter!$B$21="Ja",ISNUMBER(Y1660)),Y1660,IF(Parameter!$B$20="Jahresanfang 2025 + Export",BO1660+BN1660,BN1660)))</f>
        <v>6</v>
      </c>
      <c r="I1660" s="50" t="n">
        <f aca="false">H1660*G1660</f>
        <v>31986</v>
      </c>
      <c r="J1660" s="50" t="n">
        <f aca="false">BQ1660*Parameter!$B$18</f>
        <v>0</v>
      </c>
      <c r="K1660" s="51"/>
      <c r="L1660" s="52"/>
      <c r="M1660" s="50" t="n">
        <v>0</v>
      </c>
      <c r="N1660" s="50" t="n">
        <v>1</v>
      </c>
      <c r="O1660" s="53" t="n">
        <v>42</v>
      </c>
      <c r="P1660" s="48" t="s">
        <v>172</v>
      </c>
      <c r="Q1660" s="50"/>
      <c r="R1660" s="53" t="n">
        <f aca="false">IF(BW1660=1,0,IFERROR(VLOOKUP(BU1660,'Gebinde-Kategorie'!$A$5:$N$45,13,0)+0,0))</f>
        <v>12</v>
      </c>
      <c r="S1660" s="54"/>
      <c r="T1660" s="55" t="s">
        <v>183</v>
      </c>
      <c r="U1660" s="55"/>
      <c r="V1660" s="55"/>
      <c r="W1660" s="48"/>
      <c r="X1660" s="50"/>
      <c r="Y1660" s="50"/>
      <c r="Z1660" s="48" t="n">
        <f aca="false">IF(A1660="","",IF(AND(Parameter!$B$21="Ja",ISNUMBER(W1660)),W1660,IF(BZ1660="2+3",IF(ISNUMBER(SEARCH("grosser Artikel",BR1660)),2,IFERROR(VLOOKUP(BU1660,Parameter!$F$35:$G$64,2,0),2)),IF(OR(BZ1660="Nein",BZ1660=""),"-",BZ1660))))</f>
        <v>1</v>
      </c>
      <c r="AA1660" s="55"/>
      <c r="AB1660" s="56"/>
      <c r="AC1660" s="50" t="n">
        <f aca="false">AT1660</f>
        <v>6</v>
      </c>
      <c r="AD1660" s="50" t="n">
        <f aca="false">MAX(AT1660,H1660)</f>
        <v>6</v>
      </c>
      <c r="AE1660" s="57"/>
      <c r="AF1660" s="50" t="n">
        <f aca="false">IF(LEFT(Cockpit!$C$5,1)="A",H1660,IF(CE1660=1,CF1660,IF(LEFT(Cockpit!$C$5,1)="B",AK1660,MAX(AK1660,H1660))))</f>
        <v>6</v>
      </c>
      <c r="AG1660" s="50" t="n">
        <f aca="false">IF(BW1660=1,0,ROUNDUP(AF1660/BV1660,0))</f>
        <v>1</v>
      </c>
      <c r="AH1660" s="52" t="n">
        <f aca="false">IF(CL1660&gt;0,CL1660*MAX(1,AF1660/X1660),IF(BW1660=1,IF(AF1660&lt;=0,0,CA1660*MAX(1,IF(H1660&gt;0,AF1660/H1660,1))),IF(R1660&gt;0,AG1660/R1660,0))/MAX(0.1,N(Parameter!$M$21)))</f>
        <v>0.0833333333333333</v>
      </c>
      <c r="AI1660" s="50" t="n">
        <f aca="false">AH1660*BY1660</f>
        <v>12.0833333333333</v>
      </c>
      <c r="AJ1660" s="50" t="n">
        <f aca="false">AF1660*G1660</f>
        <v>31986</v>
      </c>
      <c r="AK1660" s="50" t="n">
        <f aca="false">ROUNDUP(MAX(J1660/IF(CD1660&gt;0,CD1660,MAX(0.1,N(Cockpit!$C$6))),CG1660)/BV1660,0)*BV1660</f>
        <v>6</v>
      </c>
      <c r="AL1660" s="51" t="n">
        <f aca="false">IF(AI1660&gt;0,J1660/AI1660,-1)</f>
        <v>0</v>
      </c>
      <c r="AM1660" s="51" t="n">
        <f aca="false">IF(AND(OR(CC1660="L1",CC1660="L23",CC1660="LIFT"),AI1660&gt;0),SUMIFS($AI$7:$AI$1843,$CC$7:$CC$1843,CC1660,$AL$7:$AL$1843,"&gt;"&amp;AL1660)+SUMIFS($AI$7:$AI$1843,$CC$7:$CC$1843,CC1660,$AL$7:$AL$1843,AL1660,$BT$7:$BT$1843,"&lt;="&amp;BT1660),"")</f>
        <v>31363.7038114898</v>
      </c>
      <c r="AN1660" s="58" t="n">
        <f aca="false">IF(AM1660="",0,MAX(0,MIN(1,(IF(CC1660="L1",Parameter!$H$5,IF(CC1660="L23",Parameter!$H$6+Parameter!$H$7,Parameter!$H$5+Parameter!$H$6+Parameter!$H$7))-(AM1660-AI1660))/AI1660)))</f>
        <v>1</v>
      </c>
      <c r="AO1660" s="50" t="n">
        <f aca="false">IF(LEFT(Cockpit!$I$5,1)="A",H1660,IF(CE1660=1,CF1660,IF(LEFT(Cockpit!$I$5,1)="B",AT1660,MAX(AT1660,H1660))))</f>
        <v>6</v>
      </c>
      <c r="AP1660" s="50" t="n">
        <f aca="false">IF(BW1660=1,0,ROUNDUP(AO1660/BV1660,0))</f>
        <v>1</v>
      </c>
      <c r="AQ1660" s="52" t="n">
        <f aca="false">IF(CL1660&gt;0,CL1660*MAX(1,AO1660/X1660),IF(BW1660=1,IF(AO1660&lt;=0,0,CA1660*MAX(1,IF(H1660&gt;0,AO1660/H1660,1))),IF(R1660&gt;0,AP1660/R1660,0))/MAX(0.1,N(Parameter!$M$21)))</f>
        <v>0.0833333333333333</v>
      </c>
      <c r="AR1660" s="50" t="n">
        <f aca="false">AQ1660*BY1660</f>
        <v>12.0833333333333</v>
      </c>
      <c r="AS1660" s="50" t="n">
        <f aca="false">AO1660*G1660</f>
        <v>31986</v>
      </c>
      <c r="AT1660" s="50" t="n">
        <f aca="false">ROUNDUP(MAX(J1660/IF(CD1660&gt;0,CD1660,MAX(0.1,N(Cockpit!$I$6))),CG1660)/BV1660,0)*BV1660</f>
        <v>6</v>
      </c>
      <c r="AU1660" s="51" t="n">
        <f aca="false">IF(AR1660&gt;0,J1660/AR1660,-1)</f>
        <v>0</v>
      </c>
      <c r="AV1660" s="51" t="n">
        <f aca="false">IF(AND(OR(CC1660="L1",CC1660="L23",CC1660="LIFT"),AR1660&gt;0),SUMIFS($AR$7:$AR$1843,$CC$7:$CC$1843,CC1660,$AU$7:$AU$1843,"&gt;"&amp;AU1660)+SUMIFS($AR$7:$AR$1843,$CC$7:$CC$1843,CC1660,$AU$7:$AU$1843,AU1660,$BT$7:$BT$1843,"&lt;="&amp;BT1660),"")</f>
        <v>44030.3895511268</v>
      </c>
      <c r="AW1660" s="58" t="n">
        <f aca="false">IF(AV1660="",0,MAX(0,MIN(1,(IF(CC1660="L1",Parameter!$H$5,IF(CC1660="L23",Parameter!$H$6+Parameter!$H$7,Parameter!$H$5+Parameter!$H$6+Parameter!$H$7))-(AV1660-AR1660))/AR1660)))</f>
        <v>0</v>
      </c>
      <c r="AX1660" s="50" t="n">
        <f aca="false">IF(LEFT(Cockpit!$O$5,1)="A",H1660,IF(CE1660=1,CF1660,IF(LEFT(Cockpit!$O$5,1)="B",BC1660,MAX(BC1660,H1660))))</f>
        <v>6</v>
      </c>
      <c r="AY1660" s="50" t="n">
        <f aca="false">IF(BW1660=1,0,ROUNDUP(AX1660/BV1660,0))</f>
        <v>1</v>
      </c>
      <c r="AZ1660" s="52" t="n">
        <f aca="false">IF(CL1660&gt;0,CL1660*MAX(1,AX1660/X1660),IF(BW1660=1,IF(AX1660&lt;=0,0,CA1660*MAX(1,IF(H1660&gt;0,AX1660/H1660,1))),IF(R1660&gt;0,AY1660/R1660,0))/MAX(0.1,N(Parameter!$M$21)))</f>
        <v>0.0833333333333333</v>
      </c>
      <c r="BA1660" s="50" t="n">
        <f aca="false">AZ1660*BY1660</f>
        <v>12.0833333333333</v>
      </c>
      <c r="BB1660" s="50" t="n">
        <f aca="false">AX1660*G1660</f>
        <v>31986</v>
      </c>
      <c r="BC1660" s="50" t="n">
        <f aca="false">ROUNDUP(MAX(J1660/IF(CD1660&gt;0,CD1660,MAX(0.1,N(Cockpit!$O$6))),CG1660)/BV1660,0)*BV1660</f>
        <v>6</v>
      </c>
      <c r="BD1660" s="51" t="n">
        <f aca="false">IF(BA1660&gt;0,J1660/BA1660,-1)</f>
        <v>0</v>
      </c>
      <c r="BE1660" s="51" t="n">
        <f aca="false">IF(AND(OR(CC1660="L1",CC1660="L23",CC1660="LIFT"),BA1660&gt;0),SUMIFS($BA$7:$BA$1843,$CC$7:$CC$1843,CC1660,$BD$7:$BD$1843,"&gt;"&amp;BD1660)+SUMIFS($BA$7:$BA$1843,$CC$7:$CC$1843,CC1660,$BD$7:$BD$1843,BD1660,$BT$7:$BT$1843,"&lt;="&amp;BT1660),"")</f>
        <v>40705.4015929927</v>
      </c>
      <c r="BF1660" s="58" t="n">
        <f aca="false">IF(BE1660="",0,MAX(0,MIN(1,(IF(CC1660="L1",Parameter!$H$5,IF(CC1660="L23",Parameter!$H$6+Parameter!$H$7,Parameter!$H$5+Parameter!$H$6+Parameter!$H$7))-(BE1660-BA1660))/BA1660)))</f>
        <v>0</v>
      </c>
      <c r="BG1660" s="48" t="str">
        <f aca="false">IF(AI1660&lt;=0,"",IF(CC1660="Aussen","Aussenlager",IF(CC1660="-","Nicht im Lift",IF(AN1660&gt;=1,"Lift",IF(AN1660&lt;=0,"Aussenlager","teilweise")))))</f>
        <v>Lift</v>
      </c>
      <c r="BH1660" s="48" t="str">
        <f aca="false">IF(AR1660&lt;=0,"",IF(CC1660="Aussen","Aussenlager",IF(CC1660="-","Nicht im Lift",IF(AW1660&gt;=1,"Lift",IF(AW1660&lt;=0,"Aussenlager","teilweise")))))</f>
        <v>Aussenlager</v>
      </c>
      <c r="BI1660" s="48" t="str">
        <f aca="false">IF(BA1660&lt;=0,"",IF(CC1660="Aussen","Aussenlager",IF(CC1660="-","Nicht im Lift",IF(BF1660&gt;=1,"Lift",IF(BF1660&lt;=0,"Aussenlager","teilweise")))))</f>
        <v>Aussenlager</v>
      </c>
      <c r="BJ1660" s="48" t="str">
        <f aca="false">IF(A1660="","",IF(BS1660=1,"Neu; ","")&amp;IF(AND(BS1660=0,BN1660&lt;0),"negativer Bestand (Export "&amp;BN1660&amp;"); ","")&amp;IF(J1660&lt;=0,"Kein Verbrauch; ","")&amp;IF(CL1660&gt;0,"Lift "&amp;W1660&amp;" lt. Liftbericht (Fach "&amp;X1660&amp;" Stk); ",IF(BX1660=1,"Gebinde geschätzt ("&amp;T1660&amp;"); ",IF(BW1660=1,"Lose – Tablare geschätzt; ","")))&amp;IF(H1660&gt;AT1660,"Überbestand "&amp;ROUND(H1660-AT1660,0)&amp;" Stk / CHF "&amp;ROUND((H1660-AT1660)*G1660,0)&amp;"; ","")&amp;IF(AND(CE1660=1,CF1660&lt;CG1660),"MAX &lt; MB+LG; ","")&amp;IF(AND(CK1660&gt;0,CJ1660*10&gt;CK1660),"zu hoch für Tablar; ","")&amp;IF(AND(BS1660=0,OR(CE1660=1,AA1660&lt;&gt;"",U1660&lt;&gt;"",V1660&lt;&gt;"",AB1660&lt;&gt;"")),"manuell übersteuert; ","")&amp;IF(AND(BW1660=0,R1660=0),"Gebinde unbekannt / Stellmass fehlt; ","")&amp;IF(AND(BW1660=0,N(V1660)&lt;=0,N(Q1660)&lt;=0),"Menge pro Gebinde fehlt (Ist = 1 Gebinde); ","")&amp;BR1660)</f>
        <v>Kein Verbrauch; Gebinde geschätzt (Mittel); Menge pro Gebinde fehlt (Ist = 1 Gebinde); nur im Artikelstamm (Bestand 23.06.2026)</v>
      </c>
      <c r="BK1660" s="48"/>
      <c r="BL1660" s="48"/>
      <c r="BM1660" s="55"/>
      <c r="BN1660" s="50" t="n">
        <v>6</v>
      </c>
      <c r="BO1660" s="50" t="n">
        <v>0</v>
      </c>
      <c r="BP1660" s="49" t="n">
        <v>0</v>
      </c>
      <c r="BQ1660" s="50" t="n">
        <v>0</v>
      </c>
      <c r="BR1660" s="48" t="s">
        <v>2579</v>
      </c>
      <c r="BS1660" s="53" t="n">
        <v>0</v>
      </c>
      <c r="BT1660" s="53" t="n">
        <v>1660</v>
      </c>
      <c r="BU1660" s="48" t="str">
        <f aca="false">IF(U1660&lt;&gt;"",UPPER(TRIM(U1660)),IF(BX1660=1,UPPER(VLOOKUP(T1660,Parameter!$I$27:$K$29,2,0)),IF(P1660="","LOSE",P1660)))</f>
        <v>S61</v>
      </c>
      <c r="BV1660" s="50" t="n">
        <f aca="false">IF(BU1660="LOSE",1,IF(N(V1660)&gt;0,V1660,IF(BX1660=1,MAX(1,N(VLOOKUP(T1660,Parameter!$I$27:$K$29,3,0)),H1660,N(N1660)),IF(N(Q1660)&gt;0,Q1660,MAX(1,H1660)))))</f>
        <v>6</v>
      </c>
      <c r="BW1660" s="53" t="n">
        <f aca="false">IF(BU1660="LOSE",1,0)</f>
        <v>0</v>
      </c>
      <c r="BX1660" s="53" t="n">
        <f aca="false">IF(AND(U1660="",OR(P1660="",P1660="LOSE"),T1660&lt;&gt;"",N(S1660)&lt;=0,ISNUMBER(MATCH(T1660,Parameter!$I$27:$I$29,0))),1,0)</f>
        <v>1</v>
      </c>
      <c r="BY1660" s="53" t="n">
        <f aca="false">IF(CL1660&gt;0,INDEX(Parameter!$H$5:$H$7,W1660)/INDEX(Parameter!$E$5:$E$7,W1660),IF(AND(BW1660=0,N(IFERROR(VLOOKUP(BU1660,'Gebinde-Kategorie'!$A$5:$N$45,14,0),0))&gt;0),VLOOKUP(BU1660,'Gebinde-Kategorie'!$A$5:$N$45,14,0)*10+Parameter!$M$23,Parameter!$M$24))</f>
        <v>145</v>
      </c>
      <c r="BZ1660" s="48" t="n">
        <f aca="false">IF(AND(Parameter!$B$19="Ja",E1660&lt;&gt;"",ISNUMBER(MATCH(E1660,Parameter!$I$35:$I$52,0))),VLOOKUP(E1660,Parameter!$I$35:$J$52,2,0),IFERROR(VLOOKUP(D1660,Parameter!$A$35:$C$64,2,0),"Nein"))</f>
        <v>1</v>
      </c>
      <c r="CA1660" s="52" t="n">
        <f aca="false">IF(BW1660=0,0,IF(N(S1660)&gt;0,S1660,IFERROR(VLOOKUP(D1660,Parameter!$A$35:$C$64,3,0)+0,0)))</f>
        <v>0</v>
      </c>
      <c r="CB1660" s="48" t="n">
        <f aca="false">IF(AA1660&lt;&gt;"",AA1660,Z1660)</f>
        <v>1</v>
      </c>
      <c r="CC1660" s="48" t="str">
        <f aca="false">IF(OR(CB1660=1,CB1660=2,CB1660=3),IF(Parameter!$E$27="Ja","LIFT",IF(CB1660=1,"L1","L23")),IF(CB1660="Aussen","Aussen","-"))</f>
        <v>LIFT</v>
      </c>
      <c r="CD1660" s="59" t="n">
        <f aca="false">IF(N(AB1660)&gt;0,AB1660,0)</f>
        <v>0</v>
      </c>
      <c r="CE1660" s="53" t="n">
        <f aca="false">IF(ISNUMBER(AE1660),1,0)</f>
        <v>0</v>
      </c>
      <c r="CF1660" s="50" t="n">
        <f aca="false">N(AE1660)</f>
        <v>0</v>
      </c>
      <c r="CG1660" s="50" t="n">
        <f aca="false">N(M1660)+N(N1660)</f>
        <v>1</v>
      </c>
      <c r="CH1660" s="50" t="n">
        <f aca="false">ROUNDUP(H1660/BV1660,0)</f>
        <v>1</v>
      </c>
      <c r="CI1660" s="50" t="n">
        <f aca="false">ROUNDUP(CF1660/BV1660,0)</f>
        <v>0</v>
      </c>
      <c r="CJ1660" s="53" t="n">
        <f aca="false">IF(BW1660=1,0,IFERROR(VLOOKUP(BU1660,'Gebinde-Kategorie'!$A$5:$N$45,5,0)+0,0))</f>
        <v>11</v>
      </c>
      <c r="CK1660" s="53" t="n">
        <f aca="false">IFERROR(IF(OR(CB1660=1,CB1660=2,CB1660=3),N(INDEX(Parameter!$I$5:$I$7,CB1660)),0),0)</f>
        <v>0</v>
      </c>
      <c r="CL1660" s="52" t="n">
        <f aca="false">IF(AND(Parameter!$B$21="Ja",ISNUMBER(W1660),N(X1660)&gt;0),IFERROR(N(INDEX(Parameter!$L$5:$L$7,W1660))*INDEX(Parameter!$E$5:$E$7,W1660)*X1660/SUMIFS($X$7:$X$1843,$W$7:$W$1843,W1660),0),0)</f>
        <v>0</v>
      </c>
    </row>
    <row r="1661" customFormat="false" ht="15" hidden="false" customHeight="false" outlineLevel="0" collapsed="false">
      <c r="A1661" s="48" t="s">
        <v>2890</v>
      </c>
      <c r="B1661" s="48" t="s">
        <v>200</v>
      </c>
      <c r="C1661" s="48" t="s">
        <v>171</v>
      </c>
      <c r="D1661" s="48" t="s">
        <v>177</v>
      </c>
      <c r="E1661" s="48" t="s">
        <v>170</v>
      </c>
      <c r="F1661" s="48"/>
      <c r="G1661" s="49" t="n">
        <v>4983</v>
      </c>
      <c r="H1661" s="50" t="n">
        <f aca="false">MAX(0,IF(AND(Parameter!$B$21="Ja",ISNUMBER(Y1661)),Y1661,IF(Parameter!$B$20="Jahresanfang 2025 + Export",BO1661+BN1661,BN1661)))</f>
        <v>1</v>
      </c>
      <c r="I1661" s="50" t="n">
        <f aca="false">H1661*G1661</f>
        <v>4983</v>
      </c>
      <c r="J1661" s="50" t="n">
        <f aca="false">BQ1661*Parameter!$B$18</f>
        <v>0</v>
      </c>
      <c r="K1661" s="51"/>
      <c r="L1661" s="52"/>
      <c r="M1661" s="50" t="n">
        <v>0</v>
      </c>
      <c r="N1661" s="50" t="n">
        <v>1</v>
      </c>
      <c r="O1661" s="53" t="n">
        <v>42</v>
      </c>
      <c r="P1661" s="48" t="s">
        <v>172</v>
      </c>
      <c r="Q1661" s="50"/>
      <c r="R1661" s="53" t="n">
        <f aca="false">IF(BW1661=1,0,IFERROR(VLOOKUP(BU1661,'Gebinde-Kategorie'!$A$5:$N$45,13,0)+0,0))</f>
        <v>12</v>
      </c>
      <c r="S1661" s="54"/>
      <c r="T1661" s="55" t="s">
        <v>183</v>
      </c>
      <c r="U1661" s="55"/>
      <c r="V1661" s="55"/>
      <c r="W1661" s="48"/>
      <c r="X1661" s="50"/>
      <c r="Y1661" s="50"/>
      <c r="Z1661" s="48" t="n">
        <f aca="false">IF(A1661="","",IF(AND(Parameter!$B$21="Ja",ISNUMBER(W1661)),W1661,IF(BZ1661="2+3",IF(ISNUMBER(SEARCH("grosser Artikel",BR1661)),2,IFERROR(VLOOKUP(BU1661,Parameter!$F$35:$G$64,2,0),2)),IF(OR(BZ1661="Nein",BZ1661=""),"-",BZ1661))))</f>
        <v>1</v>
      </c>
      <c r="AA1661" s="55"/>
      <c r="AB1661" s="56"/>
      <c r="AC1661" s="50" t="n">
        <f aca="false">AT1661</f>
        <v>4</v>
      </c>
      <c r="AD1661" s="50" t="n">
        <f aca="false">MAX(AT1661,H1661)</f>
        <v>4</v>
      </c>
      <c r="AE1661" s="57"/>
      <c r="AF1661" s="50" t="n">
        <f aca="false">IF(LEFT(Cockpit!$C$5,1)="A",H1661,IF(CE1661=1,CF1661,IF(LEFT(Cockpit!$C$5,1)="B",AK1661,MAX(AK1661,H1661))))</f>
        <v>1</v>
      </c>
      <c r="AG1661" s="50" t="n">
        <f aca="false">IF(BW1661=1,0,ROUNDUP(AF1661/BV1661,0))</f>
        <v>1</v>
      </c>
      <c r="AH1661" s="52" t="n">
        <f aca="false">IF(CL1661&gt;0,CL1661*MAX(1,AF1661/X1661),IF(BW1661=1,IF(AF1661&lt;=0,0,CA1661*MAX(1,IF(H1661&gt;0,AF1661/H1661,1))),IF(R1661&gt;0,AG1661/R1661,0))/MAX(0.1,N(Parameter!$M$21)))</f>
        <v>0.0833333333333333</v>
      </c>
      <c r="AI1661" s="50" t="n">
        <f aca="false">AH1661*BY1661</f>
        <v>12.0833333333333</v>
      </c>
      <c r="AJ1661" s="50" t="n">
        <f aca="false">AF1661*G1661</f>
        <v>4983</v>
      </c>
      <c r="AK1661" s="50" t="n">
        <f aca="false">ROUNDUP(MAX(J1661/IF(CD1661&gt;0,CD1661,MAX(0.1,N(Cockpit!$C$6))),CG1661)/BV1661,0)*BV1661</f>
        <v>4</v>
      </c>
      <c r="AL1661" s="51" t="n">
        <f aca="false">IF(AI1661&gt;0,J1661/AI1661,-1)</f>
        <v>0</v>
      </c>
      <c r="AM1661" s="51" t="n">
        <f aca="false">IF(AND(OR(CC1661="L1",CC1661="L23",CC1661="LIFT"),AI1661&gt;0),SUMIFS($AI$7:$AI$1843,$CC$7:$CC$1843,CC1661,$AL$7:$AL$1843,"&gt;"&amp;AL1661)+SUMIFS($AI$7:$AI$1843,$CC$7:$CC$1843,CC1661,$AL$7:$AL$1843,AL1661,$BT$7:$BT$1843,"&lt;="&amp;BT1661),"")</f>
        <v>31375.7871448232</v>
      </c>
      <c r="AN1661" s="58" t="n">
        <f aca="false">IF(AM1661="",0,MAX(0,MIN(1,(IF(CC1661="L1",Parameter!$H$5,IF(CC1661="L23",Parameter!$H$6+Parameter!$H$7,Parameter!$H$5+Parameter!$H$6+Parameter!$H$7))-(AM1661-AI1661))/AI1661)))</f>
        <v>1</v>
      </c>
      <c r="AO1661" s="50" t="n">
        <f aca="false">IF(LEFT(Cockpit!$I$5,1)="A",H1661,IF(CE1661=1,CF1661,IF(LEFT(Cockpit!$I$5,1)="B",AT1661,MAX(AT1661,H1661))))</f>
        <v>4</v>
      </c>
      <c r="AP1661" s="50" t="n">
        <f aca="false">IF(BW1661=1,0,ROUNDUP(AO1661/BV1661,0))</f>
        <v>1</v>
      </c>
      <c r="AQ1661" s="52" t="n">
        <f aca="false">IF(CL1661&gt;0,CL1661*MAX(1,AO1661/X1661),IF(BW1661=1,IF(AO1661&lt;=0,0,CA1661*MAX(1,IF(H1661&gt;0,AO1661/H1661,1))),IF(R1661&gt;0,AP1661/R1661,0))/MAX(0.1,N(Parameter!$M$21)))</f>
        <v>0.0833333333333333</v>
      </c>
      <c r="AR1661" s="50" t="n">
        <f aca="false">AQ1661*BY1661</f>
        <v>12.0833333333333</v>
      </c>
      <c r="AS1661" s="50" t="n">
        <f aca="false">AO1661*G1661</f>
        <v>19932</v>
      </c>
      <c r="AT1661" s="50" t="n">
        <f aca="false">ROUNDUP(MAX(J1661/IF(CD1661&gt;0,CD1661,MAX(0.1,N(Cockpit!$I$6))),CG1661)/BV1661,0)*BV1661</f>
        <v>4</v>
      </c>
      <c r="AU1661" s="51" t="n">
        <f aca="false">IF(AR1661&gt;0,J1661/AR1661,-1)</f>
        <v>0</v>
      </c>
      <c r="AV1661" s="51" t="n">
        <f aca="false">IF(AND(OR(CC1661="L1",CC1661="L23",CC1661="LIFT"),AR1661&gt;0),SUMIFS($AR$7:$AR$1843,$CC$7:$CC$1843,CC1661,$AU$7:$AU$1843,"&gt;"&amp;AU1661)+SUMIFS($AR$7:$AR$1843,$CC$7:$CC$1843,CC1661,$AU$7:$AU$1843,AU1661,$BT$7:$BT$1843,"&lt;="&amp;BT1661),"")</f>
        <v>44042.4728844602</v>
      </c>
      <c r="AW1661" s="58" t="n">
        <f aca="false">IF(AV1661="",0,MAX(0,MIN(1,(IF(CC1661="L1",Parameter!$H$5,IF(CC1661="L23",Parameter!$H$6+Parameter!$H$7,Parameter!$H$5+Parameter!$H$6+Parameter!$H$7))-(AV1661-AR1661))/AR1661)))</f>
        <v>0</v>
      </c>
      <c r="AX1661" s="50" t="n">
        <f aca="false">IF(LEFT(Cockpit!$O$5,1)="A",H1661,IF(CE1661=1,CF1661,IF(LEFT(Cockpit!$O$5,1)="B",BC1661,MAX(BC1661,H1661))))</f>
        <v>4</v>
      </c>
      <c r="AY1661" s="50" t="n">
        <f aca="false">IF(BW1661=1,0,ROUNDUP(AX1661/BV1661,0))</f>
        <v>1</v>
      </c>
      <c r="AZ1661" s="52" t="n">
        <f aca="false">IF(CL1661&gt;0,CL1661*MAX(1,AX1661/X1661),IF(BW1661=1,IF(AX1661&lt;=0,0,CA1661*MAX(1,IF(H1661&gt;0,AX1661/H1661,1))),IF(R1661&gt;0,AY1661/R1661,0))/MAX(0.1,N(Parameter!$M$21)))</f>
        <v>0.0833333333333333</v>
      </c>
      <c r="BA1661" s="50" t="n">
        <f aca="false">AZ1661*BY1661</f>
        <v>12.0833333333333</v>
      </c>
      <c r="BB1661" s="50" t="n">
        <f aca="false">AX1661*G1661</f>
        <v>19932</v>
      </c>
      <c r="BC1661" s="50" t="n">
        <f aca="false">ROUNDUP(MAX(J1661/IF(CD1661&gt;0,CD1661,MAX(0.1,N(Cockpit!$O$6))),CG1661)/BV1661,0)*BV1661</f>
        <v>4</v>
      </c>
      <c r="BD1661" s="51" t="n">
        <f aca="false">IF(BA1661&gt;0,J1661/BA1661,-1)</f>
        <v>0</v>
      </c>
      <c r="BE1661" s="51" t="n">
        <f aca="false">IF(AND(OR(CC1661="L1",CC1661="L23",CC1661="LIFT"),BA1661&gt;0),SUMIFS($BA$7:$BA$1843,$CC$7:$CC$1843,CC1661,$BD$7:$BD$1843,"&gt;"&amp;BD1661)+SUMIFS($BA$7:$BA$1843,$CC$7:$CC$1843,CC1661,$BD$7:$BD$1843,BD1661,$BT$7:$BT$1843,"&lt;="&amp;BT1661),"")</f>
        <v>40717.484926326</v>
      </c>
      <c r="BF1661" s="58" t="n">
        <f aca="false">IF(BE1661="",0,MAX(0,MIN(1,(IF(CC1661="L1",Parameter!$H$5,IF(CC1661="L23",Parameter!$H$6+Parameter!$H$7,Parameter!$H$5+Parameter!$H$6+Parameter!$H$7))-(BE1661-BA1661))/BA1661)))</f>
        <v>0</v>
      </c>
      <c r="BG1661" s="48" t="str">
        <f aca="false">IF(AI1661&lt;=0,"",IF(CC1661="Aussen","Aussenlager",IF(CC1661="-","Nicht im Lift",IF(AN1661&gt;=1,"Lift",IF(AN1661&lt;=0,"Aussenlager","teilweise")))))</f>
        <v>Lift</v>
      </c>
      <c r="BH1661" s="48" t="str">
        <f aca="false">IF(AR1661&lt;=0,"",IF(CC1661="Aussen","Aussenlager",IF(CC1661="-","Nicht im Lift",IF(AW1661&gt;=1,"Lift",IF(AW1661&lt;=0,"Aussenlager","teilweise")))))</f>
        <v>Aussenlager</v>
      </c>
      <c r="BI1661" s="48" t="str">
        <f aca="false">IF(BA1661&lt;=0,"",IF(CC1661="Aussen","Aussenlager",IF(CC1661="-","Nicht im Lift",IF(BF1661&gt;=1,"Lift",IF(BF1661&lt;=0,"Aussenlager","teilweise")))))</f>
        <v>Aussenlager</v>
      </c>
      <c r="BJ1661" s="48" t="str">
        <f aca="false">IF(A1661="","",IF(BS1661=1,"Neu; ","")&amp;IF(AND(BS1661=0,BN1661&lt;0),"negativer Bestand (Export "&amp;BN1661&amp;"); ","")&amp;IF(J1661&lt;=0,"Kein Verbrauch; ","")&amp;IF(CL1661&gt;0,"Lift "&amp;W1661&amp;" lt. Liftbericht (Fach "&amp;X1661&amp;" Stk); ",IF(BX1661=1,"Gebinde geschätzt ("&amp;T1661&amp;"); ",IF(BW1661=1,"Lose – Tablare geschätzt; ","")))&amp;IF(H1661&gt;AT1661,"Überbestand "&amp;ROUND(H1661-AT1661,0)&amp;" Stk / CHF "&amp;ROUND((H1661-AT1661)*G1661,0)&amp;"; ","")&amp;IF(AND(CE1661=1,CF1661&lt;CG1661),"MAX &lt; MB+LG; ","")&amp;IF(AND(CK1661&gt;0,CJ1661*10&gt;CK1661),"zu hoch für Tablar; ","")&amp;IF(AND(BS1661=0,OR(CE1661=1,AA1661&lt;&gt;"",U1661&lt;&gt;"",V1661&lt;&gt;"",AB1661&lt;&gt;"")),"manuell übersteuert; ","")&amp;IF(AND(BW1661=0,R1661=0),"Gebinde unbekannt / Stellmass fehlt; ","")&amp;IF(AND(BW1661=0,N(V1661)&lt;=0,N(Q1661)&lt;=0),"Menge pro Gebinde fehlt (Ist = 1 Gebinde); ","")&amp;BR1661)</f>
        <v>Kein Verbrauch; Gebinde geschätzt (Mittel); Menge pro Gebinde fehlt (Ist = 1 Gebinde); nur im Artikelstamm (Bestand 23.06.2026)</v>
      </c>
      <c r="BK1661" s="48"/>
      <c r="BL1661" s="48"/>
      <c r="BM1661" s="55"/>
      <c r="BN1661" s="50" t="n">
        <v>1</v>
      </c>
      <c r="BO1661" s="50" t="n">
        <v>0</v>
      </c>
      <c r="BP1661" s="49" t="n">
        <v>0</v>
      </c>
      <c r="BQ1661" s="50" t="n">
        <v>0</v>
      </c>
      <c r="BR1661" s="48" t="s">
        <v>2579</v>
      </c>
      <c r="BS1661" s="53" t="n">
        <v>0</v>
      </c>
      <c r="BT1661" s="53" t="n">
        <v>1661</v>
      </c>
      <c r="BU1661" s="48" t="str">
        <f aca="false">IF(U1661&lt;&gt;"",UPPER(TRIM(U1661)),IF(BX1661=1,UPPER(VLOOKUP(T1661,Parameter!$I$27:$K$29,2,0)),IF(P1661="","LOSE",P1661)))</f>
        <v>S61</v>
      </c>
      <c r="BV1661" s="50" t="n">
        <f aca="false">IF(BU1661="LOSE",1,IF(N(V1661)&gt;0,V1661,IF(BX1661=1,MAX(1,N(VLOOKUP(T1661,Parameter!$I$27:$K$29,3,0)),H1661,N(N1661)),IF(N(Q1661)&gt;0,Q1661,MAX(1,H1661)))))</f>
        <v>4</v>
      </c>
      <c r="BW1661" s="53" t="n">
        <f aca="false">IF(BU1661="LOSE",1,0)</f>
        <v>0</v>
      </c>
      <c r="BX1661" s="53" t="n">
        <f aca="false">IF(AND(U1661="",OR(P1661="",P1661="LOSE"),T1661&lt;&gt;"",N(S1661)&lt;=0,ISNUMBER(MATCH(T1661,Parameter!$I$27:$I$29,0))),1,0)</f>
        <v>1</v>
      </c>
      <c r="BY1661" s="53" t="n">
        <f aca="false">IF(CL1661&gt;0,INDEX(Parameter!$H$5:$H$7,W1661)/INDEX(Parameter!$E$5:$E$7,W1661),IF(AND(BW1661=0,N(IFERROR(VLOOKUP(BU1661,'Gebinde-Kategorie'!$A$5:$N$45,14,0),0))&gt;0),VLOOKUP(BU1661,'Gebinde-Kategorie'!$A$5:$N$45,14,0)*10+Parameter!$M$23,Parameter!$M$24))</f>
        <v>145</v>
      </c>
      <c r="BZ1661" s="48" t="n">
        <f aca="false">IF(AND(Parameter!$B$19="Ja",E1661&lt;&gt;"",ISNUMBER(MATCH(E1661,Parameter!$I$35:$I$52,0))),VLOOKUP(E1661,Parameter!$I$35:$J$52,2,0),IFERROR(VLOOKUP(D1661,Parameter!$A$35:$C$64,2,0),"Nein"))</f>
        <v>1</v>
      </c>
      <c r="CA1661" s="52" t="n">
        <f aca="false">IF(BW1661=0,0,IF(N(S1661)&gt;0,S1661,IFERROR(VLOOKUP(D1661,Parameter!$A$35:$C$64,3,0)+0,0)))</f>
        <v>0</v>
      </c>
      <c r="CB1661" s="48" t="n">
        <f aca="false">IF(AA1661&lt;&gt;"",AA1661,Z1661)</f>
        <v>1</v>
      </c>
      <c r="CC1661" s="48" t="str">
        <f aca="false">IF(OR(CB1661=1,CB1661=2,CB1661=3),IF(Parameter!$E$27="Ja","LIFT",IF(CB1661=1,"L1","L23")),IF(CB1661="Aussen","Aussen","-"))</f>
        <v>LIFT</v>
      </c>
      <c r="CD1661" s="59" t="n">
        <f aca="false">IF(N(AB1661)&gt;0,AB1661,0)</f>
        <v>0</v>
      </c>
      <c r="CE1661" s="53" t="n">
        <f aca="false">IF(ISNUMBER(AE1661),1,0)</f>
        <v>0</v>
      </c>
      <c r="CF1661" s="50" t="n">
        <f aca="false">N(AE1661)</f>
        <v>0</v>
      </c>
      <c r="CG1661" s="50" t="n">
        <f aca="false">N(M1661)+N(N1661)</f>
        <v>1</v>
      </c>
      <c r="CH1661" s="50" t="n">
        <f aca="false">ROUNDUP(H1661/BV1661,0)</f>
        <v>1</v>
      </c>
      <c r="CI1661" s="50" t="n">
        <f aca="false">ROUNDUP(CF1661/BV1661,0)</f>
        <v>0</v>
      </c>
      <c r="CJ1661" s="53" t="n">
        <f aca="false">IF(BW1661=1,0,IFERROR(VLOOKUP(BU1661,'Gebinde-Kategorie'!$A$5:$N$45,5,0)+0,0))</f>
        <v>11</v>
      </c>
      <c r="CK1661" s="53" t="n">
        <f aca="false">IFERROR(IF(OR(CB1661=1,CB1661=2,CB1661=3),N(INDEX(Parameter!$I$5:$I$7,CB1661)),0),0)</f>
        <v>0</v>
      </c>
      <c r="CL1661" s="52" t="n">
        <f aca="false">IF(AND(Parameter!$B$21="Ja",ISNUMBER(W1661),N(X1661)&gt;0),IFERROR(N(INDEX(Parameter!$L$5:$L$7,W1661))*INDEX(Parameter!$E$5:$E$7,W1661)*X1661/SUMIFS($X$7:$X$1843,$W$7:$W$1843,W1661),0),0)</f>
        <v>0</v>
      </c>
    </row>
    <row r="1662" customFormat="false" ht="15" hidden="false" customHeight="false" outlineLevel="0" collapsed="false">
      <c r="A1662" s="48" t="s">
        <v>2891</v>
      </c>
      <c r="B1662" s="48" t="s">
        <v>2038</v>
      </c>
      <c r="C1662" s="48" t="s">
        <v>460</v>
      </c>
      <c r="D1662" s="48" t="s">
        <v>188</v>
      </c>
      <c r="E1662" s="48" t="s">
        <v>189</v>
      </c>
      <c r="F1662" s="48"/>
      <c r="G1662" s="49" t="n">
        <v>72.8</v>
      </c>
      <c r="H1662" s="50" t="n">
        <f aca="false">MAX(0,IF(AND(Parameter!$B$21="Ja",ISNUMBER(Y1662)),Y1662,IF(Parameter!$B$20="Jahresanfang 2025 + Export",BO1662+BN1662,BN1662)))</f>
        <v>10</v>
      </c>
      <c r="I1662" s="50" t="n">
        <f aca="false">H1662*G1662</f>
        <v>728</v>
      </c>
      <c r="J1662" s="50" t="n">
        <f aca="false">BQ1662*Parameter!$B$18</f>
        <v>0</v>
      </c>
      <c r="K1662" s="51"/>
      <c r="L1662" s="52"/>
      <c r="M1662" s="50" t="n">
        <v>0</v>
      </c>
      <c r="N1662" s="50" t="n">
        <v>1</v>
      </c>
      <c r="O1662" s="53" t="n">
        <v>0</v>
      </c>
      <c r="P1662" s="48" t="s">
        <v>172</v>
      </c>
      <c r="Q1662" s="50"/>
      <c r="R1662" s="53" t="n">
        <f aca="false">IF(BW1662=1,0,IFERROR(VLOOKUP(BU1662,'Gebinde-Kategorie'!$A$5:$N$45,13,0)+0,0))</f>
        <v>26</v>
      </c>
      <c r="S1662" s="54"/>
      <c r="T1662" s="55" t="s">
        <v>279</v>
      </c>
      <c r="U1662" s="55"/>
      <c r="V1662" s="55"/>
      <c r="W1662" s="48"/>
      <c r="X1662" s="50"/>
      <c r="Y1662" s="50"/>
      <c r="Z1662" s="48" t="n">
        <f aca="false">IF(A1662="","",IF(AND(Parameter!$B$21="Ja",ISNUMBER(W1662)),W1662,IF(BZ1662="2+3",IF(ISNUMBER(SEARCH("grosser Artikel",BR1662)),2,IFERROR(VLOOKUP(BU1662,Parameter!$F$35:$G$64,2,0),2)),IF(OR(BZ1662="Nein",BZ1662=""),"-",BZ1662))))</f>
        <v>3</v>
      </c>
      <c r="AA1662" s="55"/>
      <c r="AB1662" s="56"/>
      <c r="AC1662" s="50" t="n">
        <f aca="false">AT1662</f>
        <v>20</v>
      </c>
      <c r="AD1662" s="50" t="n">
        <f aca="false">MAX(AT1662,H1662)</f>
        <v>20</v>
      </c>
      <c r="AE1662" s="57"/>
      <c r="AF1662" s="50" t="n">
        <f aca="false">IF(LEFT(Cockpit!$C$5,1)="A",H1662,IF(CE1662=1,CF1662,IF(LEFT(Cockpit!$C$5,1)="B",AK1662,MAX(AK1662,H1662))))</f>
        <v>10</v>
      </c>
      <c r="AG1662" s="50" t="n">
        <f aca="false">IF(BW1662=1,0,ROUNDUP(AF1662/BV1662,0))</f>
        <v>1</v>
      </c>
      <c r="AH1662" s="52" t="n">
        <f aca="false">IF(CL1662&gt;0,CL1662*MAX(1,AF1662/X1662),IF(BW1662=1,IF(AF1662&lt;=0,0,CA1662*MAX(1,IF(H1662&gt;0,AF1662/H1662,1))),IF(R1662&gt;0,AG1662/R1662,0))/MAX(0.1,N(Parameter!$M$21)))</f>
        <v>0.0384615384615385</v>
      </c>
      <c r="AI1662" s="50" t="n">
        <f aca="false">AH1662*BY1662</f>
        <v>5.96153846153846</v>
      </c>
      <c r="AJ1662" s="50" t="n">
        <f aca="false">AF1662*G1662</f>
        <v>728</v>
      </c>
      <c r="AK1662" s="50" t="n">
        <f aca="false">ROUNDUP(MAX(J1662/IF(CD1662&gt;0,CD1662,MAX(0.1,N(Cockpit!$C$6))),CG1662)/BV1662,0)*BV1662</f>
        <v>20</v>
      </c>
      <c r="AL1662" s="51" t="n">
        <f aca="false">IF(AI1662&gt;0,J1662/AI1662,-1)</f>
        <v>0</v>
      </c>
      <c r="AM1662" s="51" t="n">
        <f aca="false">IF(AND(OR(CC1662="L1",CC1662="L23",CC1662="LIFT"),AI1662&gt;0),SUMIFS($AI$7:$AI$1843,$CC$7:$CC$1843,CC1662,$AL$7:$AL$1843,"&gt;"&amp;AL1662)+SUMIFS($AI$7:$AI$1843,$CC$7:$CC$1843,CC1662,$AL$7:$AL$1843,AL1662,$BT$7:$BT$1843,"&lt;="&amp;BT1662),"")</f>
        <v>31381.7486832847</v>
      </c>
      <c r="AN1662" s="58" t="n">
        <f aca="false">IF(AM1662="",0,MAX(0,MIN(1,(IF(CC1662="L1",Parameter!$H$5,IF(CC1662="L23",Parameter!$H$6+Parameter!$H$7,Parameter!$H$5+Parameter!$H$6+Parameter!$H$7))-(AM1662-AI1662))/AI1662)))</f>
        <v>1</v>
      </c>
      <c r="AO1662" s="50" t="n">
        <f aca="false">IF(LEFT(Cockpit!$I$5,1)="A",H1662,IF(CE1662=1,CF1662,IF(LEFT(Cockpit!$I$5,1)="B",AT1662,MAX(AT1662,H1662))))</f>
        <v>20</v>
      </c>
      <c r="AP1662" s="50" t="n">
        <f aca="false">IF(BW1662=1,0,ROUNDUP(AO1662/BV1662,0))</f>
        <v>1</v>
      </c>
      <c r="AQ1662" s="52" t="n">
        <f aca="false">IF(CL1662&gt;0,CL1662*MAX(1,AO1662/X1662),IF(BW1662=1,IF(AO1662&lt;=0,0,CA1662*MAX(1,IF(H1662&gt;0,AO1662/H1662,1))),IF(R1662&gt;0,AP1662/R1662,0))/MAX(0.1,N(Parameter!$M$21)))</f>
        <v>0.0384615384615385</v>
      </c>
      <c r="AR1662" s="50" t="n">
        <f aca="false">AQ1662*BY1662</f>
        <v>5.96153846153846</v>
      </c>
      <c r="AS1662" s="50" t="n">
        <f aca="false">AO1662*G1662</f>
        <v>1456</v>
      </c>
      <c r="AT1662" s="50" t="n">
        <f aca="false">ROUNDUP(MAX(J1662/IF(CD1662&gt;0,CD1662,MAX(0.1,N(Cockpit!$I$6))),CG1662)/BV1662,0)*BV1662</f>
        <v>20</v>
      </c>
      <c r="AU1662" s="51" t="n">
        <f aca="false">IF(AR1662&gt;0,J1662/AR1662,-1)</f>
        <v>0</v>
      </c>
      <c r="AV1662" s="51" t="n">
        <f aca="false">IF(AND(OR(CC1662="L1",CC1662="L23",CC1662="LIFT"),AR1662&gt;0),SUMIFS($AR$7:$AR$1843,$CC$7:$CC$1843,CC1662,$AU$7:$AU$1843,"&gt;"&amp;AU1662)+SUMIFS($AR$7:$AR$1843,$CC$7:$CC$1843,CC1662,$AU$7:$AU$1843,AU1662,$BT$7:$BT$1843,"&lt;="&amp;BT1662),"")</f>
        <v>44048.4344229217</v>
      </c>
      <c r="AW1662" s="58" t="n">
        <f aca="false">IF(AV1662="",0,MAX(0,MIN(1,(IF(CC1662="L1",Parameter!$H$5,IF(CC1662="L23",Parameter!$H$6+Parameter!$H$7,Parameter!$H$5+Parameter!$H$6+Parameter!$H$7))-(AV1662-AR1662))/AR1662)))</f>
        <v>0</v>
      </c>
      <c r="AX1662" s="50" t="n">
        <f aca="false">IF(LEFT(Cockpit!$O$5,1)="A",H1662,IF(CE1662=1,CF1662,IF(LEFT(Cockpit!$O$5,1)="B",BC1662,MAX(BC1662,H1662))))</f>
        <v>20</v>
      </c>
      <c r="AY1662" s="50" t="n">
        <f aca="false">IF(BW1662=1,0,ROUNDUP(AX1662/BV1662,0))</f>
        <v>1</v>
      </c>
      <c r="AZ1662" s="52" t="n">
        <f aca="false">IF(CL1662&gt;0,CL1662*MAX(1,AX1662/X1662),IF(BW1662=1,IF(AX1662&lt;=0,0,CA1662*MAX(1,IF(H1662&gt;0,AX1662/H1662,1))),IF(R1662&gt;0,AY1662/R1662,0))/MAX(0.1,N(Parameter!$M$21)))</f>
        <v>0.0384615384615385</v>
      </c>
      <c r="BA1662" s="50" t="n">
        <f aca="false">AZ1662*BY1662</f>
        <v>5.96153846153846</v>
      </c>
      <c r="BB1662" s="50" t="n">
        <f aca="false">AX1662*G1662</f>
        <v>1456</v>
      </c>
      <c r="BC1662" s="50" t="n">
        <f aca="false">ROUNDUP(MAX(J1662/IF(CD1662&gt;0,CD1662,MAX(0.1,N(Cockpit!$O$6))),CG1662)/BV1662,0)*BV1662</f>
        <v>20</v>
      </c>
      <c r="BD1662" s="51" t="n">
        <f aca="false">IF(BA1662&gt;0,J1662/BA1662,-1)</f>
        <v>0</v>
      </c>
      <c r="BE1662" s="51" t="n">
        <f aca="false">IF(AND(OR(CC1662="L1",CC1662="L23",CC1662="LIFT"),BA1662&gt;0),SUMIFS($BA$7:$BA$1843,$CC$7:$CC$1843,CC1662,$BD$7:$BD$1843,"&gt;"&amp;BD1662)+SUMIFS($BA$7:$BA$1843,$CC$7:$CC$1843,CC1662,$BD$7:$BD$1843,BD1662,$BT$7:$BT$1843,"&lt;="&amp;BT1662),"")</f>
        <v>40723.4464647876</v>
      </c>
      <c r="BF1662" s="58" t="n">
        <f aca="false">IF(BE1662="",0,MAX(0,MIN(1,(IF(CC1662="L1",Parameter!$H$5,IF(CC1662="L23",Parameter!$H$6+Parameter!$H$7,Parameter!$H$5+Parameter!$H$6+Parameter!$H$7))-(BE1662-BA1662))/BA1662)))</f>
        <v>0</v>
      </c>
      <c r="BG1662" s="48" t="str">
        <f aca="false">IF(AI1662&lt;=0,"",IF(CC1662="Aussen","Aussenlager",IF(CC1662="-","Nicht im Lift",IF(AN1662&gt;=1,"Lift",IF(AN1662&lt;=0,"Aussenlager","teilweise")))))</f>
        <v>Lift</v>
      </c>
      <c r="BH1662" s="48" t="str">
        <f aca="false">IF(AR1662&lt;=0,"",IF(CC1662="Aussen","Aussenlager",IF(CC1662="-","Nicht im Lift",IF(AW1662&gt;=1,"Lift",IF(AW1662&lt;=0,"Aussenlager","teilweise")))))</f>
        <v>Aussenlager</v>
      </c>
      <c r="BI1662" s="48" t="str">
        <f aca="false">IF(BA1662&lt;=0,"",IF(CC1662="Aussen","Aussenlager",IF(CC1662="-","Nicht im Lift",IF(BF1662&gt;=1,"Lift",IF(BF1662&lt;=0,"Aussenlager","teilweise")))))</f>
        <v>Aussenlager</v>
      </c>
      <c r="BJ1662" s="48" t="str">
        <f aca="false">IF(A1662="","",IF(BS1662=1,"Neu; ","")&amp;IF(AND(BS1662=0,BN1662&lt;0),"negativer Bestand (Export "&amp;BN1662&amp;"); ","")&amp;IF(J1662&lt;=0,"Kein Verbrauch; ","")&amp;IF(CL1662&gt;0,"Lift "&amp;W1662&amp;" lt. Liftbericht (Fach "&amp;X1662&amp;" Stk); ",IF(BX1662=1,"Gebinde geschätzt ("&amp;T1662&amp;"); ",IF(BW1662=1,"Lose – Tablare geschätzt; ","")))&amp;IF(H1662&gt;AT1662,"Überbestand "&amp;ROUND(H1662-AT1662,0)&amp;" Stk / CHF "&amp;ROUND((H1662-AT1662)*G1662,0)&amp;"; ","")&amp;IF(AND(CE1662=1,CF1662&lt;CG1662),"MAX &lt; MB+LG; ","")&amp;IF(AND(CK1662&gt;0,CJ1662*10&gt;CK1662),"zu hoch für Tablar; ","")&amp;IF(AND(BS1662=0,OR(CE1662=1,AA1662&lt;&gt;"",U1662&lt;&gt;"",V1662&lt;&gt;"",AB1662&lt;&gt;"")),"manuell übersteuert; ","")&amp;IF(AND(BW1662=0,R1662=0),"Gebinde unbekannt / Stellmass fehlt; ","")&amp;IF(AND(BW1662=0,N(V1662)&lt;=0,N(Q1662)&lt;=0),"Menge pro Gebinde fehlt (Ist = 1 Gebinde); ","")&amp;BR1662)</f>
        <v>Kein Verbrauch; Gebinde geschätzt (Klein); Menge pro Gebinde fehlt (Ist = 1 Gebinde); nur im Artikelstamm (Bestand 23.06.2026); nicht im KTL vorhanden</v>
      </c>
      <c r="BK1662" s="48"/>
      <c r="BL1662" s="48"/>
      <c r="BM1662" s="55"/>
      <c r="BN1662" s="50" t="n">
        <v>10</v>
      </c>
      <c r="BO1662" s="50" t="n">
        <v>0</v>
      </c>
      <c r="BP1662" s="49" t="n">
        <v>0</v>
      </c>
      <c r="BQ1662" s="50" t="n">
        <v>0</v>
      </c>
      <c r="BR1662" s="48" t="s">
        <v>2882</v>
      </c>
      <c r="BS1662" s="53" t="n">
        <v>0</v>
      </c>
      <c r="BT1662" s="53" t="n">
        <v>1662</v>
      </c>
      <c r="BU1662" s="48" t="str">
        <f aca="false">IF(U1662&lt;&gt;"",UPPER(TRIM(U1662)),IF(BX1662=1,UPPER(VLOOKUP(T1662,Parameter!$I$27:$K$29,2,0)),IF(P1662="","LOSE",P1662)))</f>
        <v>S51</v>
      </c>
      <c r="BV1662" s="50" t="n">
        <f aca="false">IF(BU1662="LOSE",1,IF(N(V1662)&gt;0,V1662,IF(BX1662=1,MAX(1,N(VLOOKUP(T1662,Parameter!$I$27:$K$29,3,0)),H1662,N(N1662)),IF(N(Q1662)&gt;0,Q1662,MAX(1,H1662)))))</f>
        <v>20</v>
      </c>
      <c r="BW1662" s="53" t="n">
        <f aca="false">IF(BU1662="LOSE",1,0)</f>
        <v>0</v>
      </c>
      <c r="BX1662" s="53" t="n">
        <f aca="false">IF(AND(U1662="",OR(P1662="",P1662="LOSE"),T1662&lt;&gt;"",N(S1662)&lt;=0,ISNUMBER(MATCH(T1662,Parameter!$I$27:$I$29,0))),1,0)</f>
        <v>1</v>
      </c>
      <c r="BY1662" s="53" t="n">
        <f aca="false">IF(CL1662&gt;0,INDEX(Parameter!$H$5:$H$7,W1662)/INDEX(Parameter!$E$5:$E$7,W1662),IF(AND(BW1662=0,N(IFERROR(VLOOKUP(BU1662,'Gebinde-Kategorie'!$A$5:$N$45,14,0),0))&gt;0),VLOOKUP(BU1662,'Gebinde-Kategorie'!$A$5:$N$45,14,0)*10+Parameter!$M$23,Parameter!$M$24))</f>
        <v>155</v>
      </c>
      <c r="BZ1662" s="48" t="str">
        <f aca="false">IF(AND(Parameter!$B$19="Ja",E1662&lt;&gt;"",ISNUMBER(MATCH(E1662,Parameter!$I$35:$I$52,0))),VLOOKUP(E1662,Parameter!$I$35:$J$52,2,0),IFERROR(VLOOKUP(D1662,Parameter!$A$35:$C$64,2,0),"Nein"))</f>
        <v>2+3</v>
      </c>
      <c r="CA1662" s="52" t="n">
        <f aca="false">IF(BW1662=0,0,IF(N(S1662)&gt;0,S1662,IFERROR(VLOOKUP(D1662,Parameter!$A$35:$C$64,3,0)+0,0)))</f>
        <v>0</v>
      </c>
      <c r="CB1662" s="48" t="n">
        <f aca="false">IF(AA1662&lt;&gt;"",AA1662,Z1662)</f>
        <v>3</v>
      </c>
      <c r="CC1662" s="48" t="str">
        <f aca="false">IF(OR(CB1662=1,CB1662=2,CB1662=3),IF(Parameter!$E$27="Ja","LIFT",IF(CB1662=1,"L1","L23")),IF(CB1662="Aussen","Aussen","-"))</f>
        <v>LIFT</v>
      </c>
      <c r="CD1662" s="59" t="n">
        <f aca="false">IF(N(AB1662)&gt;0,AB1662,0)</f>
        <v>0</v>
      </c>
      <c r="CE1662" s="53" t="n">
        <f aca="false">IF(ISNUMBER(AE1662),1,0)</f>
        <v>0</v>
      </c>
      <c r="CF1662" s="50" t="n">
        <f aca="false">N(AE1662)</f>
        <v>0</v>
      </c>
      <c r="CG1662" s="50" t="n">
        <f aca="false">N(M1662)+N(N1662)</f>
        <v>1</v>
      </c>
      <c r="CH1662" s="50" t="n">
        <f aca="false">ROUNDUP(H1662/BV1662,0)</f>
        <v>1</v>
      </c>
      <c r="CI1662" s="50" t="n">
        <f aca="false">ROUNDUP(CF1662/BV1662,0)</f>
        <v>0</v>
      </c>
      <c r="CJ1662" s="53" t="n">
        <f aca="false">IF(BW1662=1,0,IFERROR(VLOOKUP(BU1662,'Gebinde-Kategorie'!$A$5:$N$45,5,0)+0,0))</f>
        <v>11</v>
      </c>
      <c r="CK1662" s="53" t="n">
        <f aca="false">IFERROR(IF(OR(CB1662=1,CB1662=2,CB1662=3),N(INDEX(Parameter!$I$5:$I$7,CB1662)),0),0)</f>
        <v>0</v>
      </c>
      <c r="CL1662" s="52" t="n">
        <f aca="false">IF(AND(Parameter!$B$21="Ja",ISNUMBER(W1662),N(X1662)&gt;0),IFERROR(N(INDEX(Parameter!$L$5:$L$7,W1662))*INDEX(Parameter!$E$5:$E$7,W1662)*X1662/SUMIFS($X$7:$X$1843,$W$7:$W$1843,W1662),0),0)</f>
        <v>0</v>
      </c>
    </row>
    <row r="1663" customFormat="false" ht="15" hidden="false" customHeight="false" outlineLevel="0" collapsed="false">
      <c r="A1663" s="48" t="s">
        <v>2892</v>
      </c>
      <c r="B1663" s="48" t="s">
        <v>513</v>
      </c>
      <c r="C1663" s="48" t="s">
        <v>168</v>
      </c>
      <c r="D1663" s="48" t="s">
        <v>177</v>
      </c>
      <c r="E1663" s="48"/>
      <c r="F1663" s="48"/>
      <c r="G1663" s="49" t="n">
        <v>648.9</v>
      </c>
      <c r="H1663" s="50" t="n">
        <f aca="false">MAX(0,IF(AND(Parameter!$B$21="Ja",ISNUMBER(Y1663)),Y1663,IF(Parameter!$B$20="Jahresanfang 2025 + Export",BO1663+BN1663,BN1663)))</f>
        <v>1</v>
      </c>
      <c r="I1663" s="50" t="n">
        <f aca="false">H1663*G1663</f>
        <v>648.9</v>
      </c>
      <c r="J1663" s="50" t="n">
        <f aca="false">BQ1663*Parameter!$B$18</f>
        <v>0</v>
      </c>
      <c r="K1663" s="51"/>
      <c r="L1663" s="52"/>
      <c r="M1663" s="50" t="n">
        <v>0</v>
      </c>
      <c r="N1663" s="50" t="n">
        <v>1</v>
      </c>
      <c r="O1663" s="53" t="n">
        <v>42</v>
      </c>
      <c r="P1663" s="48" t="s">
        <v>172</v>
      </c>
      <c r="Q1663" s="50"/>
      <c r="R1663" s="53" t="n">
        <f aca="false">IF(BW1663=1,0,IFERROR(VLOOKUP(BU1663,'Gebinde-Kategorie'!$A$5:$N$45,13,0)+0,0))</f>
        <v>12</v>
      </c>
      <c r="S1663" s="54"/>
      <c r="T1663" s="55" t="s">
        <v>183</v>
      </c>
      <c r="U1663" s="55"/>
      <c r="V1663" s="55"/>
      <c r="W1663" s="48"/>
      <c r="X1663" s="50"/>
      <c r="Y1663" s="50"/>
      <c r="Z1663" s="48" t="n">
        <f aca="false">IF(A1663="","",IF(AND(Parameter!$B$21="Ja",ISNUMBER(W1663)),W1663,IF(BZ1663="2+3",IF(ISNUMBER(SEARCH("grosser Artikel",BR1663)),2,IFERROR(VLOOKUP(BU1663,Parameter!$F$35:$G$64,2,0),2)),IF(OR(BZ1663="Nein",BZ1663=""),"-",BZ1663))))</f>
        <v>2</v>
      </c>
      <c r="AA1663" s="55"/>
      <c r="AB1663" s="56"/>
      <c r="AC1663" s="50" t="n">
        <f aca="false">AT1663</f>
        <v>4</v>
      </c>
      <c r="AD1663" s="50" t="n">
        <f aca="false">MAX(AT1663,H1663)</f>
        <v>4</v>
      </c>
      <c r="AE1663" s="57"/>
      <c r="AF1663" s="50" t="n">
        <f aca="false">IF(LEFT(Cockpit!$C$5,1)="A",H1663,IF(CE1663=1,CF1663,IF(LEFT(Cockpit!$C$5,1)="B",AK1663,MAX(AK1663,H1663))))</f>
        <v>1</v>
      </c>
      <c r="AG1663" s="50" t="n">
        <f aca="false">IF(BW1663=1,0,ROUNDUP(AF1663/BV1663,0))</f>
        <v>1</v>
      </c>
      <c r="AH1663" s="52" t="n">
        <f aca="false">IF(CL1663&gt;0,CL1663*MAX(1,AF1663/X1663),IF(BW1663=1,IF(AF1663&lt;=0,0,CA1663*MAX(1,IF(H1663&gt;0,AF1663/H1663,1))),IF(R1663&gt;0,AG1663/R1663,0))/MAX(0.1,N(Parameter!$M$21)))</f>
        <v>0.0833333333333333</v>
      </c>
      <c r="AI1663" s="50" t="n">
        <f aca="false">AH1663*BY1663</f>
        <v>12.0833333333333</v>
      </c>
      <c r="AJ1663" s="50" t="n">
        <f aca="false">AF1663*G1663</f>
        <v>648.9</v>
      </c>
      <c r="AK1663" s="50" t="n">
        <f aca="false">ROUNDUP(MAX(J1663/IF(CD1663&gt;0,CD1663,MAX(0.1,N(Cockpit!$C$6))),CG1663)/BV1663,0)*BV1663</f>
        <v>4</v>
      </c>
      <c r="AL1663" s="51" t="n">
        <f aca="false">IF(AI1663&gt;0,J1663/AI1663,-1)</f>
        <v>0</v>
      </c>
      <c r="AM1663" s="51" t="n">
        <f aca="false">IF(AND(OR(CC1663="L1",CC1663="L23",CC1663="LIFT"),AI1663&gt;0),SUMIFS($AI$7:$AI$1843,$CC$7:$CC$1843,CC1663,$AL$7:$AL$1843,"&gt;"&amp;AL1663)+SUMIFS($AI$7:$AI$1843,$CC$7:$CC$1843,CC1663,$AL$7:$AL$1843,AL1663,$BT$7:$BT$1843,"&lt;="&amp;BT1663),"")</f>
        <v>31393.832016618</v>
      </c>
      <c r="AN1663" s="58" t="n">
        <f aca="false">IF(AM1663="",0,MAX(0,MIN(1,(IF(CC1663="L1",Parameter!$H$5,IF(CC1663="L23",Parameter!$H$6+Parameter!$H$7,Parameter!$H$5+Parameter!$H$6+Parameter!$H$7))-(AM1663-AI1663))/AI1663)))</f>
        <v>1</v>
      </c>
      <c r="AO1663" s="50" t="n">
        <f aca="false">IF(LEFT(Cockpit!$I$5,1)="A",H1663,IF(CE1663=1,CF1663,IF(LEFT(Cockpit!$I$5,1)="B",AT1663,MAX(AT1663,H1663))))</f>
        <v>4</v>
      </c>
      <c r="AP1663" s="50" t="n">
        <f aca="false">IF(BW1663=1,0,ROUNDUP(AO1663/BV1663,0))</f>
        <v>1</v>
      </c>
      <c r="AQ1663" s="52" t="n">
        <f aca="false">IF(CL1663&gt;0,CL1663*MAX(1,AO1663/X1663),IF(BW1663=1,IF(AO1663&lt;=0,0,CA1663*MAX(1,IF(H1663&gt;0,AO1663/H1663,1))),IF(R1663&gt;0,AP1663/R1663,0))/MAX(0.1,N(Parameter!$M$21)))</f>
        <v>0.0833333333333333</v>
      </c>
      <c r="AR1663" s="50" t="n">
        <f aca="false">AQ1663*BY1663</f>
        <v>12.0833333333333</v>
      </c>
      <c r="AS1663" s="50" t="n">
        <f aca="false">AO1663*G1663</f>
        <v>2595.6</v>
      </c>
      <c r="AT1663" s="50" t="n">
        <f aca="false">ROUNDUP(MAX(J1663/IF(CD1663&gt;0,CD1663,MAX(0.1,N(Cockpit!$I$6))),CG1663)/BV1663,0)*BV1663</f>
        <v>4</v>
      </c>
      <c r="AU1663" s="51" t="n">
        <f aca="false">IF(AR1663&gt;0,J1663/AR1663,-1)</f>
        <v>0</v>
      </c>
      <c r="AV1663" s="51" t="n">
        <f aca="false">IF(AND(OR(CC1663="L1",CC1663="L23",CC1663="LIFT"),AR1663&gt;0),SUMIFS($AR$7:$AR$1843,$CC$7:$CC$1843,CC1663,$AU$7:$AU$1843,"&gt;"&amp;AU1663)+SUMIFS($AR$7:$AR$1843,$CC$7:$CC$1843,CC1663,$AU$7:$AU$1843,AU1663,$BT$7:$BT$1843,"&lt;="&amp;BT1663),"")</f>
        <v>44060.517756255</v>
      </c>
      <c r="AW1663" s="58" t="n">
        <f aca="false">IF(AV1663="",0,MAX(0,MIN(1,(IF(CC1663="L1",Parameter!$H$5,IF(CC1663="L23",Parameter!$H$6+Parameter!$H$7,Parameter!$H$5+Parameter!$H$6+Parameter!$H$7))-(AV1663-AR1663))/AR1663)))</f>
        <v>0</v>
      </c>
      <c r="AX1663" s="50" t="n">
        <f aca="false">IF(LEFT(Cockpit!$O$5,1)="A",H1663,IF(CE1663=1,CF1663,IF(LEFT(Cockpit!$O$5,1)="B",BC1663,MAX(BC1663,H1663))))</f>
        <v>4</v>
      </c>
      <c r="AY1663" s="50" t="n">
        <f aca="false">IF(BW1663=1,0,ROUNDUP(AX1663/BV1663,0))</f>
        <v>1</v>
      </c>
      <c r="AZ1663" s="52" t="n">
        <f aca="false">IF(CL1663&gt;0,CL1663*MAX(1,AX1663/X1663),IF(BW1663=1,IF(AX1663&lt;=0,0,CA1663*MAX(1,IF(H1663&gt;0,AX1663/H1663,1))),IF(R1663&gt;0,AY1663/R1663,0))/MAX(0.1,N(Parameter!$M$21)))</f>
        <v>0.0833333333333333</v>
      </c>
      <c r="BA1663" s="50" t="n">
        <f aca="false">AZ1663*BY1663</f>
        <v>12.0833333333333</v>
      </c>
      <c r="BB1663" s="50" t="n">
        <f aca="false">AX1663*G1663</f>
        <v>2595.6</v>
      </c>
      <c r="BC1663" s="50" t="n">
        <f aca="false">ROUNDUP(MAX(J1663/IF(CD1663&gt;0,CD1663,MAX(0.1,N(Cockpit!$O$6))),CG1663)/BV1663,0)*BV1663</f>
        <v>4</v>
      </c>
      <c r="BD1663" s="51" t="n">
        <f aca="false">IF(BA1663&gt;0,J1663/BA1663,-1)</f>
        <v>0</v>
      </c>
      <c r="BE1663" s="51" t="n">
        <f aca="false">IF(AND(OR(CC1663="L1",CC1663="L23",CC1663="LIFT"),BA1663&gt;0),SUMIFS($BA$7:$BA$1843,$CC$7:$CC$1843,CC1663,$BD$7:$BD$1843,"&gt;"&amp;BD1663)+SUMIFS($BA$7:$BA$1843,$CC$7:$CC$1843,CC1663,$BD$7:$BD$1843,BD1663,$BT$7:$BT$1843,"&lt;="&amp;BT1663),"")</f>
        <v>40735.5297981209</v>
      </c>
      <c r="BF1663" s="58" t="n">
        <f aca="false">IF(BE1663="",0,MAX(0,MIN(1,(IF(CC1663="L1",Parameter!$H$5,IF(CC1663="L23",Parameter!$H$6+Parameter!$H$7,Parameter!$H$5+Parameter!$H$6+Parameter!$H$7))-(BE1663-BA1663))/BA1663)))</f>
        <v>0</v>
      </c>
      <c r="BG1663" s="48" t="str">
        <f aca="false">IF(AI1663&lt;=0,"",IF(CC1663="Aussen","Aussenlager",IF(CC1663="-","Nicht im Lift",IF(AN1663&gt;=1,"Lift",IF(AN1663&lt;=0,"Aussenlager","teilweise")))))</f>
        <v>Lift</v>
      </c>
      <c r="BH1663" s="48" t="str">
        <f aca="false">IF(AR1663&lt;=0,"",IF(CC1663="Aussen","Aussenlager",IF(CC1663="-","Nicht im Lift",IF(AW1663&gt;=1,"Lift",IF(AW1663&lt;=0,"Aussenlager","teilweise")))))</f>
        <v>Aussenlager</v>
      </c>
      <c r="BI1663" s="48" t="str">
        <f aca="false">IF(BA1663&lt;=0,"",IF(CC1663="Aussen","Aussenlager",IF(CC1663="-","Nicht im Lift",IF(BF1663&gt;=1,"Lift",IF(BF1663&lt;=0,"Aussenlager","teilweise")))))</f>
        <v>Aussenlager</v>
      </c>
      <c r="BJ1663" s="48" t="str">
        <f aca="false">IF(A1663="","",IF(BS1663=1,"Neu; ","")&amp;IF(AND(BS1663=0,BN1663&lt;0),"negativer Bestand (Export "&amp;BN1663&amp;"); ","")&amp;IF(J1663&lt;=0,"Kein Verbrauch; ","")&amp;IF(CL1663&gt;0,"Lift "&amp;W1663&amp;" lt. Liftbericht (Fach "&amp;X1663&amp;" Stk); ",IF(BX1663=1,"Gebinde geschätzt ("&amp;T1663&amp;"); ",IF(BW1663=1,"Lose – Tablare geschätzt; ","")))&amp;IF(H1663&gt;AT1663,"Überbestand "&amp;ROUND(H1663-AT1663,0)&amp;" Stk / CHF "&amp;ROUND((H1663-AT1663)*G1663,0)&amp;"; ","")&amp;IF(AND(CE1663=1,CF1663&lt;CG1663),"MAX &lt; MB+LG; ","")&amp;IF(AND(CK1663&gt;0,CJ1663*10&gt;CK1663),"zu hoch für Tablar; ","")&amp;IF(AND(BS1663=0,OR(CE1663=1,AA1663&lt;&gt;"",U1663&lt;&gt;"",V1663&lt;&gt;"",AB1663&lt;&gt;"")),"manuell übersteuert; ","")&amp;IF(AND(BW1663=0,R1663=0),"Gebinde unbekannt / Stellmass fehlt; ","")&amp;IF(AND(BW1663=0,N(V1663)&lt;=0,N(Q1663)&lt;=0),"Menge pro Gebinde fehlt (Ist = 1 Gebinde); ","")&amp;BR1663)</f>
        <v>Kein Verbrauch; Gebinde geschätzt (Mittel); Menge pro Gebinde fehlt (Ist = 1 Gebinde); nur im Artikelstamm (Bestand 23.06.2026); Neuer Art.</v>
      </c>
      <c r="BK1663" s="48"/>
      <c r="BL1663" s="48"/>
      <c r="BM1663" s="55"/>
      <c r="BN1663" s="50" t="n">
        <v>1</v>
      </c>
      <c r="BO1663" s="50" t="n">
        <v>0</v>
      </c>
      <c r="BP1663" s="49" t="n">
        <v>0</v>
      </c>
      <c r="BQ1663" s="50" t="n">
        <v>0</v>
      </c>
      <c r="BR1663" s="48" t="s">
        <v>2877</v>
      </c>
      <c r="BS1663" s="53" t="n">
        <v>0</v>
      </c>
      <c r="BT1663" s="53" t="n">
        <v>1663</v>
      </c>
      <c r="BU1663" s="48" t="str">
        <f aca="false">IF(U1663&lt;&gt;"",UPPER(TRIM(U1663)),IF(BX1663=1,UPPER(VLOOKUP(T1663,Parameter!$I$27:$K$29,2,0)),IF(P1663="","LOSE",P1663)))</f>
        <v>S61</v>
      </c>
      <c r="BV1663" s="50" t="n">
        <f aca="false">IF(BU1663="LOSE",1,IF(N(V1663)&gt;0,V1663,IF(BX1663=1,MAX(1,N(VLOOKUP(T1663,Parameter!$I$27:$K$29,3,0)),H1663,N(N1663)),IF(N(Q1663)&gt;0,Q1663,MAX(1,H1663)))))</f>
        <v>4</v>
      </c>
      <c r="BW1663" s="53" t="n">
        <f aca="false">IF(BU1663="LOSE",1,0)</f>
        <v>0</v>
      </c>
      <c r="BX1663" s="53" t="n">
        <f aca="false">IF(AND(U1663="",OR(P1663="",P1663="LOSE"),T1663&lt;&gt;"",N(S1663)&lt;=0,ISNUMBER(MATCH(T1663,Parameter!$I$27:$I$29,0))),1,0)</f>
        <v>1</v>
      </c>
      <c r="BY1663" s="53" t="n">
        <f aca="false">IF(CL1663&gt;0,INDEX(Parameter!$H$5:$H$7,W1663)/INDEX(Parameter!$E$5:$E$7,W1663),IF(AND(BW1663=0,N(IFERROR(VLOOKUP(BU1663,'Gebinde-Kategorie'!$A$5:$N$45,14,0),0))&gt;0),VLOOKUP(BU1663,'Gebinde-Kategorie'!$A$5:$N$45,14,0)*10+Parameter!$M$23,Parameter!$M$24))</f>
        <v>145</v>
      </c>
      <c r="BZ1663" s="48" t="str">
        <f aca="false">IF(AND(Parameter!$B$19="Ja",E1663&lt;&gt;"",ISNUMBER(MATCH(E1663,Parameter!$I$35:$I$52,0))),VLOOKUP(E1663,Parameter!$I$35:$J$52,2,0),IFERROR(VLOOKUP(D1663,Parameter!$A$35:$C$64,2,0),"Nein"))</f>
        <v>2+3</v>
      </c>
      <c r="CA1663" s="52" t="n">
        <f aca="false">IF(BW1663=0,0,IF(N(S1663)&gt;0,S1663,IFERROR(VLOOKUP(D1663,Parameter!$A$35:$C$64,3,0)+0,0)))</f>
        <v>0</v>
      </c>
      <c r="CB1663" s="48" t="n">
        <f aca="false">IF(AA1663&lt;&gt;"",AA1663,Z1663)</f>
        <v>2</v>
      </c>
      <c r="CC1663" s="48" t="str">
        <f aca="false">IF(OR(CB1663=1,CB1663=2,CB1663=3),IF(Parameter!$E$27="Ja","LIFT",IF(CB1663=1,"L1","L23")),IF(CB1663="Aussen","Aussen","-"))</f>
        <v>LIFT</v>
      </c>
      <c r="CD1663" s="59" t="n">
        <f aca="false">IF(N(AB1663)&gt;0,AB1663,0)</f>
        <v>0</v>
      </c>
      <c r="CE1663" s="53" t="n">
        <f aca="false">IF(ISNUMBER(AE1663),1,0)</f>
        <v>0</v>
      </c>
      <c r="CF1663" s="50" t="n">
        <f aca="false">N(AE1663)</f>
        <v>0</v>
      </c>
      <c r="CG1663" s="50" t="n">
        <f aca="false">N(M1663)+N(N1663)</f>
        <v>1</v>
      </c>
      <c r="CH1663" s="50" t="n">
        <f aca="false">ROUNDUP(H1663/BV1663,0)</f>
        <v>1</v>
      </c>
      <c r="CI1663" s="50" t="n">
        <f aca="false">ROUNDUP(CF1663/BV1663,0)</f>
        <v>0</v>
      </c>
      <c r="CJ1663" s="53" t="n">
        <f aca="false">IF(BW1663=1,0,IFERROR(VLOOKUP(BU1663,'Gebinde-Kategorie'!$A$5:$N$45,5,0)+0,0))</f>
        <v>11</v>
      </c>
      <c r="CK1663" s="53" t="n">
        <f aca="false">IFERROR(IF(OR(CB1663=1,CB1663=2,CB1663=3),N(INDEX(Parameter!$I$5:$I$7,CB1663)),0),0)</f>
        <v>0</v>
      </c>
      <c r="CL1663" s="52" t="n">
        <f aca="false">IF(AND(Parameter!$B$21="Ja",ISNUMBER(W1663),N(X1663)&gt;0),IFERROR(N(INDEX(Parameter!$L$5:$L$7,W1663))*INDEX(Parameter!$E$5:$E$7,W1663)*X1663/SUMIFS($X$7:$X$1843,$W$7:$W$1843,W1663),0),0)</f>
        <v>0</v>
      </c>
    </row>
    <row r="1664" customFormat="false" ht="15" hidden="false" customHeight="false" outlineLevel="0" collapsed="false">
      <c r="A1664" s="48" t="s">
        <v>2893</v>
      </c>
      <c r="B1664" s="48" t="s">
        <v>702</v>
      </c>
      <c r="C1664" s="48" t="s">
        <v>168</v>
      </c>
      <c r="D1664" s="48" t="s">
        <v>177</v>
      </c>
      <c r="E1664" s="48"/>
      <c r="F1664" s="48"/>
      <c r="G1664" s="49" t="n">
        <v>648.9</v>
      </c>
      <c r="H1664" s="50" t="n">
        <f aca="false">MAX(0,IF(AND(Parameter!$B$21="Ja",ISNUMBER(Y1664)),Y1664,IF(Parameter!$B$20="Jahresanfang 2025 + Export",BO1664+BN1664,BN1664)))</f>
        <v>1</v>
      </c>
      <c r="I1664" s="50" t="n">
        <f aca="false">H1664*G1664</f>
        <v>648.9</v>
      </c>
      <c r="J1664" s="50" t="n">
        <f aca="false">BQ1664*Parameter!$B$18</f>
        <v>0</v>
      </c>
      <c r="K1664" s="51"/>
      <c r="L1664" s="52"/>
      <c r="M1664" s="50" t="n">
        <v>0</v>
      </c>
      <c r="N1664" s="50" t="n">
        <v>1</v>
      </c>
      <c r="O1664" s="53" t="n">
        <v>42</v>
      </c>
      <c r="P1664" s="48" t="s">
        <v>172</v>
      </c>
      <c r="Q1664" s="50"/>
      <c r="R1664" s="53" t="n">
        <f aca="false">IF(BW1664=1,0,IFERROR(VLOOKUP(BU1664,'Gebinde-Kategorie'!$A$5:$N$45,13,0)+0,0))</f>
        <v>12</v>
      </c>
      <c r="S1664" s="54"/>
      <c r="T1664" s="55" t="s">
        <v>183</v>
      </c>
      <c r="U1664" s="55"/>
      <c r="V1664" s="55"/>
      <c r="W1664" s="48"/>
      <c r="X1664" s="50"/>
      <c r="Y1664" s="50"/>
      <c r="Z1664" s="48" t="n">
        <f aca="false">IF(A1664="","",IF(AND(Parameter!$B$21="Ja",ISNUMBER(W1664)),W1664,IF(BZ1664="2+3",IF(ISNUMBER(SEARCH("grosser Artikel",BR1664)),2,IFERROR(VLOOKUP(BU1664,Parameter!$F$35:$G$64,2,0),2)),IF(OR(BZ1664="Nein",BZ1664=""),"-",BZ1664))))</f>
        <v>2</v>
      </c>
      <c r="AA1664" s="55"/>
      <c r="AB1664" s="56"/>
      <c r="AC1664" s="50" t="n">
        <f aca="false">AT1664</f>
        <v>4</v>
      </c>
      <c r="AD1664" s="50" t="n">
        <f aca="false">MAX(AT1664,H1664)</f>
        <v>4</v>
      </c>
      <c r="AE1664" s="57"/>
      <c r="AF1664" s="50" t="n">
        <f aca="false">IF(LEFT(Cockpit!$C$5,1)="A",H1664,IF(CE1664=1,CF1664,IF(LEFT(Cockpit!$C$5,1)="B",AK1664,MAX(AK1664,H1664))))</f>
        <v>1</v>
      </c>
      <c r="AG1664" s="50" t="n">
        <f aca="false">IF(BW1664=1,0,ROUNDUP(AF1664/BV1664,0))</f>
        <v>1</v>
      </c>
      <c r="AH1664" s="52" t="n">
        <f aca="false">IF(CL1664&gt;0,CL1664*MAX(1,AF1664/X1664),IF(BW1664=1,IF(AF1664&lt;=0,0,CA1664*MAX(1,IF(H1664&gt;0,AF1664/H1664,1))),IF(R1664&gt;0,AG1664/R1664,0))/MAX(0.1,N(Parameter!$M$21)))</f>
        <v>0.0833333333333333</v>
      </c>
      <c r="AI1664" s="50" t="n">
        <f aca="false">AH1664*BY1664</f>
        <v>12.0833333333333</v>
      </c>
      <c r="AJ1664" s="50" t="n">
        <f aca="false">AF1664*G1664</f>
        <v>648.9</v>
      </c>
      <c r="AK1664" s="50" t="n">
        <f aca="false">ROUNDUP(MAX(J1664/IF(CD1664&gt;0,CD1664,MAX(0.1,N(Cockpit!$C$6))),CG1664)/BV1664,0)*BV1664</f>
        <v>4</v>
      </c>
      <c r="AL1664" s="51" t="n">
        <f aca="false">IF(AI1664&gt;0,J1664/AI1664,-1)</f>
        <v>0</v>
      </c>
      <c r="AM1664" s="51" t="n">
        <f aca="false">IF(AND(OR(CC1664="L1",CC1664="L23",CC1664="LIFT"),AI1664&gt;0),SUMIFS($AI$7:$AI$1843,$CC$7:$CC$1843,CC1664,$AL$7:$AL$1843,"&gt;"&amp;AL1664)+SUMIFS($AI$7:$AI$1843,$CC$7:$CC$1843,CC1664,$AL$7:$AL$1843,AL1664,$BT$7:$BT$1843,"&lt;="&amp;BT1664),"")</f>
        <v>31405.9153499514</v>
      </c>
      <c r="AN1664" s="58" t="n">
        <f aca="false">IF(AM1664="",0,MAX(0,MIN(1,(IF(CC1664="L1",Parameter!$H$5,IF(CC1664="L23",Parameter!$H$6+Parameter!$H$7,Parameter!$H$5+Parameter!$H$6+Parameter!$H$7))-(AM1664-AI1664))/AI1664)))</f>
        <v>1</v>
      </c>
      <c r="AO1664" s="50" t="n">
        <f aca="false">IF(LEFT(Cockpit!$I$5,1)="A",H1664,IF(CE1664=1,CF1664,IF(LEFT(Cockpit!$I$5,1)="B",AT1664,MAX(AT1664,H1664))))</f>
        <v>4</v>
      </c>
      <c r="AP1664" s="50" t="n">
        <f aca="false">IF(BW1664=1,0,ROUNDUP(AO1664/BV1664,0))</f>
        <v>1</v>
      </c>
      <c r="AQ1664" s="52" t="n">
        <f aca="false">IF(CL1664&gt;0,CL1664*MAX(1,AO1664/X1664),IF(BW1664=1,IF(AO1664&lt;=0,0,CA1664*MAX(1,IF(H1664&gt;0,AO1664/H1664,1))),IF(R1664&gt;0,AP1664/R1664,0))/MAX(0.1,N(Parameter!$M$21)))</f>
        <v>0.0833333333333333</v>
      </c>
      <c r="AR1664" s="50" t="n">
        <f aca="false">AQ1664*BY1664</f>
        <v>12.0833333333333</v>
      </c>
      <c r="AS1664" s="50" t="n">
        <f aca="false">AO1664*G1664</f>
        <v>2595.6</v>
      </c>
      <c r="AT1664" s="50" t="n">
        <f aca="false">ROUNDUP(MAX(J1664/IF(CD1664&gt;0,CD1664,MAX(0.1,N(Cockpit!$I$6))),CG1664)/BV1664,0)*BV1664</f>
        <v>4</v>
      </c>
      <c r="AU1664" s="51" t="n">
        <f aca="false">IF(AR1664&gt;0,J1664/AR1664,-1)</f>
        <v>0</v>
      </c>
      <c r="AV1664" s="51" t="n">
        <f aca="false">IF(AND(OR(CC1664="L1",CC1664="L23",CC1664="LIFT"),AR1664&gt;0),SUMIFS($AR$7:$AR$1843,$CC$7:$CC$1843,CC1664,$AU$7:$AU$1843,"&gt;"&amp;AU1664)+SUMIFS($AR$7:$AR$1843,$CC$7:$CC$1843,CC1664,$AU$7:$AU$1843,AU1664,$BT$7:$BT$1843,"&lt;="&amp;BT1664),"")</f>
        <v>44072.6010895884</v>
      </c>
      <c r="AW1664" s="58" t="n">
        <f aca="false">IF(AV1664="",0,MAX(0,MIN(1,(IF(CC1664="L1",Parameter!$H$5,IF(CC1664="L23",Parameter!$H$6+Parameter!$H$7,Parameter!$H$5+Parameter!$H$6+Parameter!$H$7))-(AV1664-AR1664))/AR1664)))</f>
        <v>0</v>
      </c>
      <c r="AX1664" s="50" t="n">
        <f aca="false">IF(LEFT(Cockpit!$O$5,1)="A",H1664,IF(CE1664=1,CF1664,IF(LEFT(Cockpit!$O$5,1)="B",BC1664,MAX(BC1664,H1664))))</f>
        <v>4</v>
      </c>
      <c r="AY1664" s="50" t="n">
        <f aca="false">IF(BW1664=1,0,ROUNDUP(AX1664/BV1664,0))</f>
        <v>1</v>
      </c>
      <c r="AZ1664" s="52" t="n">
        <f aca="false">IF(CL1664&gt;0,CL1664*MAX(1,AX1664/X1664),IF(BW1664=1,IF(AX1664&lt;=0,0,CA1664*MAX(1,IF(H1664&gt;0,AX1664/H1664,1))),IF(R1664&gt;0,AY1664/R1664,0))/MAX(0.1,N(Parameter!$M$21)))</f>
        <v>0.0833333333333333</v>
      </c>
      <c r="BA1664" s="50" t="n">
        <f aca="false">AZ1664*BY1664</f>
        <v>12.0833333333333</v>
      </c>
      <c r="BB1664" s="50" t="n">
        <f aca="false">AX1664*G1664</f>
        <v>2595.6</v>
      </c>
      <c r="BC1664" s="50" t="n">
        <f aca="false">ROUNDUP(MAX(J1664/IF(CD1664&gt;0,CD1664,MAX(0.1,N(Cockpit!$O$6))),CG1664)/BV1664,0)*BV1664</f>
        <v>4</v>
      </c>
      <c r="BD1664" s="51" t="n">
        <f aca="false">IF(BA1664&gt;0,J1664/BA1664,-1)</f>
        <v>0</v>
      </c>
      <c r="BE1664" s="51" t="n">
        <f aca="false">IF(AND(OR(CC1664="L1",CC1664="L23",CC1664="LIFT"),BA1664&gt;0),SUMIFS($BA$7:$BA$1843,$CC$7:$CC$1843,CC1664,$BD$7:$BD$1843,"&gt;"&amp;BD1664)+SUMIFS($BA$7:$BA$1843,$CC$7:$CC$1843,CC1664,$BD$7:$BD$1843,BD1664,$BT$7:$BT$1843,"&lt;="&amp;BT1664),"")</f>
        <v>40747.6131314542</v>
      </c>
      <c r="BF1664" s="58" t="n">
        <f aca="false">IF(BE1664="",0,MAX(0,MIN(1,(IF(CC1664="L1",Parameter!$H$5,IF(CC1664="L23",Parameter!$H$6+Parameter!$H$7,Parameter!$H$5+Parameter!$H$6+Parameter!$H$7))-(BE1664-BA1664))/BA1664)))</f>
        <v>0</v>
      </c>
      <c r="BG1664" s="48" t="str">
        <f aca="false">IF(AI1664&lt;=0,"",IF(CC1664="Aussen","Aussenlager",IF(CC1664="-","Nicht im Lift",IF(AN1664&gt;=1,"Lift",IF(AN1664&lt;=0,"Aussenlager","teilweise")))))</f>
        <v>Lift</v>
      </c>
      <c r="BH1664" s="48" t="str">
        <f aca="false">IF(AR1664&lt;=0,"",IF(CC1664="Aussen","Aussenlager",IF(CC1664="-","Nicht im Lift",IF(AW1664&gt;=1,"Lift",IF(AW1664&lt;=0,"Aussenlager","teilweise")))))</f>
        <v>Aussenlager</v>
      </c>
      <c r="BI1664" s="48" t="str">
        <f aca="false">IF(BA1664&lt;=0,"",IF(CC1664="Aussen","Aussenlager",IF(CC1664="-","Nicht im Lift",IF(BF1664&gt;=1,"Lift",IF(BF1664&lt;=0,"Aussenlager","teilweise")))))</f>
        <v>Aussenlager</v>
      </c>
      <c r="BJ1664" s="48" t="str">
        <f aca="false">IF(A1664="","",IF(BS1664=1,"Neu; ","")&amp;IF(AND(BS1664=0,BN1664&lt;0),"negativer Bestand (Export "&amp;BN1664&amp;"); ","")&amp;IF(J1664&lt;=0,"Kein Verbrauch; ","")&amp;IF(CL1664&gt;0,"Lift "&amp;W1664&amp;" lt. Liftbericht (Fach "&amp;X1664&amp;" Stk); ",IF(BX1664=1,"Gebinde geschätzt ("&amp;T1664&amp;"); ",IF(BW1664=1,"Lose – Tablare geschätzt; ","")))&amp;IF(H1664&gt;AT1664,"Überbestand "&amp;ROUND(H1664-AT1664,0)&amp;" Stk / CHF "&amp;ROUND((H1664-AT1664)*G1664,0)&amp;"; ","")&amp;IF(AND(CE1664=1,CF1664&lt;CG1664),"MAX &lt; MB+LG; ","")&amp;IF(AND(CK1664&gt;0,CJ1664*10&gt;CK1664),"zu hoch für Tablar; ","")&amp;IF(AND(BS1664=0,OR(CE1664=1,AA1664&lt;&gt;"",U1664&lt;&gt;"",V1664&lt;&gt;"",AB1664&lt;&gt;"")),"manuell übersteuert; ","")&amp;IF(AND(BW1664=0,R1664=0),"Gebinde unbekannt / Stellmass fehlt; ","")&amp;IF(AND(BW1664=0,N(V1664)&lt;=0,N(Q1664)&lt;=0),"Menge pro Gebinde fehlt (Ist = 1 Gebinde); ","")&amp;BR1664)</f>
        <v>Kein Verbrauch; Gebinde geschätzt (Mittel); Menge pro Gebinde fehlt (Ist = 1 Gebinde); nur im Artikelstamm (Bestand 23.06.2026); Neuer Art.</v>
      </c>
      <c r="BK1664" s="48"/>
      <c r="BL1664" s="48"/>
      <c r="BM1664" s="55"/>
      <c r="BN1664" s="50" t="n">
        <v>1</v>
      </c>
      <c r="BO1664" s="50" t="n">
        <v>0</v>
      </c>
      <c r="BP1664" s="49" t="n">
        <v>0</v>
      </c>
      <c r="BQ1664" s="50" t="n">
        <v>0</v>
      </c>
      <c r="BR1664" s="48" t="s">
        <v>2877</v>
      </c>
      <c r="BS1664" s="53" t="n">
        <v>0</v>
      </c>
      <c r="BT1664" s="53" t="n">
        <v>1664</v>
      </c>
      <c r="BU1664" s="48" t="str">
        <f aca="false">IF(U1664&lt;&gt;"",UPPER(TRIM(U1664)),IF(BX1664=1,UPPER(VLOOKUP(T1664,Parameter!$I$27:$K$29,2,0)),IF(P1664="","LOSE",P1664)))</f>
        <v>S61</v>
      </c>
      <c r="BV1664" s="50" t="n">
        <f aca="false">IF(BU1664="LOSE",1,IF(N(V1664)&gt;0,V1664,IF(BX1664=1,MAX(1,N(VLOOKUP(T1664,Parameter!$I$27:$K$29,3,0)),H1664,N(N1664)),IF(N(Q1664)&gt;0,Q1664,MAX(1,H1664)))))</f>
        <v>4</v>
      </c>
      <c r="BW1664" s="53" t="n">
        <f aca="false">IF(BU1664="LOSE",1,0)</f>
        <v>0</v>
      </c>
      <c r="BX1664" s="53" t="n">
        <f aca="false">IF(AND(U1664="",OR(P1664="",P1664="LOSE"),T1664&lt;&gt;"",N(S1664)&lt;=0,ISNUMBER(MATCH(T1664,Parameter!$I$27:$I$29,0))),1,0)</f>
        <v>1</v>
      </c>
      <c r="BY1664" s="53" t="n">
        <f aca="false">IF(CL1664&gt;0,INDEX(Parameter!$H$5:$H$7,W1664)/INDEX(Parameter!$E$5:$E$7,W1664),IF(AND(BW1664=0,N(IFERROR(VLOOKUP(BU1664,'Gebinde-Kategorie'!$A$5:$N$45,14,0),0))&gt;0),VLOOKUP(BU1664,'Gebinde-Kategorie'!$A$5:$N$45,14,0)*10+Parameter!$M$23,Parameter!$M$24))</f>
        <v>145</v>
      </c>
      <c r="BZ1664" s="48" t="str">
        <f aca="false">IF(AND(Parameter!$B$19="Ja",E1664&lt;&gt;"",ISNUMBER(MATCH(E1664,Parameter!$I$35:$I$52,0))),VLOOKUP(E1664,Parameter!$I$35:$J$52,2,0),IFERROR(VLOOKUP(D1664,Parameter!$A$35:$C$64,2,0),"Nein"))</f>
        <v>2+3</v>
      </c>
      <c r="CA1664" s="52" t="n">
        <f aca="false">IF(BW1664=0,0,IF(N(S1664)&gt;0,S1664,IFERROR(VLOOKUP(D1664,Parameter!$A$35:$C$64,3,0)+0,0)))</f>
        <v>0</v>
      </c>
      <c r="CB1664" s="48" t="n">
        <f aca="false">IF(AA1664&lt;&gt;"",AA1664,Z1664)</f>
        <v>2</v>
      </c>
      <c r="CC1664" s="48" t="str">
        <f aca="false">IF(OR(CB1664=1,CB1664=2,CB1664=3),IF(Parameter!$E$27="Ja","LIFT",IF(CB1664=1,"L1","L23")),IF(CB1664="Aussen","Aussen","-"))</f>
        <v>LIFT</v>
      </c>
      <c r="CD1664" s="59" t="n">
        <f aca="false">IF(N(AB1664)&gt;0,AB1664,0)</f>
        <v>0</v>
      </c>
      <c r="CE1664" s="53" t="n">
        <f aca="false">IF(ISNUMBER(AE1664),1,0)</f>
        <v>0</v>
      </c>
      <c r="CF1664" s="50" t="n">
        <f aca="false">N(AE1664)</f>
        <v>0</v>
      </c>
      <c r="CG1664" s="50" t="n">
        <f aca="false">N(M1664)+N(N1664)</f>
        <v>1</v>
      </c>
      <c r="CH1664" s="50" t="n">
        <f aca="false">ROUNDUP(H1664/BV1664,0)</f>
        <v>1</v>
      </c>
      <c r="CI1664" s="50" t="n">
        <f aca="false">ROUNDUP(CF1664/BV1664,0)</f>
        <v>0</v>
      </c>
      <c r="CJ1664" s="53" t="n">
        <f aca="false">IF(BW1664=1,0,IFERROR(VLOOKUP(BU1664,'Gebinde-Kategorie'!$A$5:$N$45,5,0)+0,0))</f>
        <v>11</v>
      </c>
      <c r="CK1664" s="53" t="n">
        <f aca="false">IFERROR(IF(OR(CB1664=1,CB1664=2,CB1664=3),N(INDEX(Parameter!$I$5:$I$7,CB1664)),0),0)</f>
        <v>0</v>
      </c>
      <c r="CL1664" s="52" t="n">
        <f aca="false">IF(AND(Parameter!$B$21="Ja",ISNUMBER(W1664),N(X1664)&gt;0),IFERROR(N(INDEX(Parameter!$L$5:$L$7,W1664))*INDEX(Parameter!$E$5:$E$7,W1664)*X1664/SUMIFS($X$7:$X$1843,$W$7:$W$1843,W1664),0),0)</f>
        <v>0</v>
      </c>
    </row>
    <row r="1665" customFormat="false" ht="15" hidden="false" customHeight="false" outlineLevel="0" collapsed="false">
      <c r="A1665" s="48" t="s">
        <v>2894</v>
      </c>
      <c r="B1665" s="48" t="s">
        <v>343</v>
      </c>
      <c r="C1665" s="48" t="s">
        <v>460</v>
      </c>
      <c r="D1665" s="48" t="s">
        <v>177</v>
      </c>
      <c r="E1665" s="48"/>
      <c r="F1665" s="48"/>
      <c r="G1665" s="49" t="n">
        <v>338</v>
      </c>
      <c r="H1665" s="50" t="n">
        <f aca="false">MAX(0,IF(AND(Parameter!$B$21="Ja",ISNUMBER(Y1665)),Y1665,IF(Parameter!$B$20="Jahresanfang 2025 + Export",BO1665+BN1665,BN1665)))</f>
        <v>2</v>
      </c>
      <c r="I1665" s="50" t="n">
        <f aca="false">H1665*G1665</f>
        <v>676</v>
      </c>
      <c r="J1665" s="50" t="n">
        <f aca="false">BQ1665*Parameter!$B$18</f>
        <v>0</v>
      </c>
      <c r="K1665" s="51"/>
      <c r="L1665" s="52"/>
      <c r="M1665" s="50" t="n">
        <v>0</v>
      </c>
      <c r="N1665" s="50" t="n">
        <v>2</v>
      </c>
      <c r="O1665" s="53" t="n">
        <v>21</v>
      </c>
      <c r="P1665" s="48" t="s">
        <v>172</v>
      </c>
      <c r="Q1665" s="50"/>
      <c r="R1665" s="53" t="n">
        <f aca="false">IF(BW1665=1,0,IFERROR(VLOOKUP(BU1665,'Gebinde-Kategorie'!$A$5:$N$45,13,0)+0,0))</f>
        <v>26</v>
      </c>
      <c r="S1665" s="54"/>
      <c r="T1665" s="55" t="s">
        <v>279</v>
      </c>
      <c r="U1665" s="55"/>
      <c r="V1665" s="55"/>
      <c r="W1665" s="48"/>
      <c r="X1665" s="50"/>
      <c r="Y1665" s="50"/>
      <c r="Z1665" s="48" t="n">
        <f aca="false">IF(A1665="","",IF(AND(Parameter!$B$21="Ja",ISNUMBER(W1665)),W1665,IF(BZ1665="2+3",IF(ISNUMBER(SEARCH("grosser Artikel",BR1665)),2,IFERROR(VLOOKUP(BU1665,Parameter!$F$35:$G$64,2,0),2)),IF(OR(BZ1665="Nein",BZ1665=""),"-",BZ1665))))</f>
        <v>3</v>
      </c>
      <c r="AA1665" s="55"/>
      <c r="AB1665" s="56"/>
      <c r="AC1665" s="50" t="n">
        <f aca="false">AT1665</f>
        <v>20</v>
      </c>
      <c r="AD1665" s="50" t="n">
        <f aca="false">MAX(AT1665,H1665)</f>
        <v>20</v>
      </c>
      <c r="AE1665" s="57"/>
      <c r="AF1665" s="50" t="n">
        <f aca="false">IF(LEFT(Cockpit!$C$5,1)="A",H1665,IF(CE1665=1,CF1665,IF(LEFT(Cockpit!$C$5,1)="B",AK1665,MAX(AK1665,H1665))))</f>
        <v>2</v>
      </c>
      <c r="AG1665" s="50" t="n">
        <f aca="false">IF(BW1665=1,0,ROUNDUP(AF1665/BV1665,0))</f>
        <v>1</v>
      </c>
      <c r="AH1665" s="52" t="n">
        <f aca="false">IF(CL1665&gt;0,CL1665*MAX(1,AF1665/X1665),IF(BW1665=1,IF(AF1665&lt;=0,0,CA1665*MAX(1,IF(H1665&gt;0,AF1665/H1665,1))),IF(R1665&gt;0,AG1665/R1665,0))/MAX(0.1,N(Parameter!$M$21)))</f>
        <v>0.0384615384615385</v>
      </c>
      <c r="AI1665" s="50" t="n">
        <f aca="false">AH1665*BY1665</f>
        <v>5.96153846153846</v>
      </c>
      <c r="AJ1665" s="50" t="n">
        <f aca="false">AF1665*G1665</f>
        <v>676</v>
      </c>
      <c r="AK1665" s="50" t="n">
        <f aca="false">ROUNDUP(MAX(J1665/IF(CD1665&gt;0,CD1665,MAX(0.1,N(Cockpit!$C$6))),CG1665)/BV1665,0)*BV1665</f>
        <v>20</v>
      </c>
      <c r="AL1665" s="51" t="n">
        <f aca="false">IF(AI1665&gt;0,J1665/AI1665,-1)</f>
        <v>0</v>
      </c>
      <c r="AM1665" s="51" t="n">
        <f aca="false">IF(AND(OR(CC1665="L1",CC1665="L23",CC1665="LIFT"),AI1665&gt;0),SUMIFS($AI$7:$AI$1843,$CC$7:$CC$1843,CC1665,$AL$7:$AL$1843,"&gt;"&amp;AL1665)+SUMIFS($AI$7:$AI$1843,$CC$7:$CC$1843,CC1665,$AL$7:$AL$1843,AL1665,$BT$7:$BT$1843,"&lt;="&amp;BT1665),"")</f>
        <v>31411.8768884129</v>
      </c>
      <c r="AN1665" s="58" t="n">
        <f aca="false">IF(AM1665="",0,MAX(0,MIN(1,(IF(CC1665="L1",Parameter!$H$5,IF(CC1665="L23",Parameter!$H$6+Parameter!$H$7,Parameter!$H$5+Parameter!$H$6+Parameter!$H$7))-(AM1665-AI1665))/AI1665)))</f>
        <v>1</v>
      </c>
      <c r="AO1665" s="50" t="n">
        <f aca="false">IF(LEFT(Cockpit!$I$5,1)="A",H1665,IF(CE1665=1,CF1665,IF(LEFT(Cockpit!$I$5,1)="B",AT1665,MAX(AT1665,H1665))))</f>
        <v>20</v>
      </c>
      <c r="AP1665" s="50" t="n">
        <f aca="false">IF(BW1665=1,0,ROUNDUP(AO1665/BV1665,0))</f>
        <v>1</v>
      </c>
      <c r="AQ1665" s="52" t="n">
        <f aca="false">IF(CL1665&gt;0,CL1665*MAX(1,AO1665/X1665),IF(BW1665=1,IF(AO1665&lt;=0,0,CA1665*MAX(1,IF(H1665&gt;0,AO1665/H1665,1))),IF(R1665&gt;0,AP1665/R1665,0))/MAX(0.1,N(Parameter!$M$21)))</f>
        <v>0.0384615384615385</v>
      </c>
      <c r="AR1665" s="50" t="n">
        <f aca="false">AQ1665*BY1665</f>
        <v>5.96153846153846</v>
      </c>
      <c r="AS1665" s="50" t="n">
        <f aca="false">AO1665*G1665</f>
        <v>6760</v>
      </c>
      <c r="AT1665" s="50" t="n">
        <f aca="false">ROUNDUP(MAX(J1665/IF(CD1665&gt;0,CD1665,MAX(0.1,N(Cockpit!$I$6))),CG1665)/BV1665,0)*BV1665</f>
        <v>20</v>
      </c>
      <c r="AU1665" s="51" t="n">
        <f aca="false">IF(AR1665&gt;0,J1665/AR1665,-1)</f>
        <v>0</v>
      </c>
      <c r="AV1665" s="51" t="n">
        <f aca="false">IF(AND(OR(CC1665="L1",CC1665="L23",CC1665="LIFT"),AR1665&gt;0),SUMIFS($AR$7:$AR$1843,$CC$7:$CC$1843,CC1665,$AU$7:$AU$1843,"&gt;"&amp;AU1665)+SUMIFS($AR$7:$AR$1843,$CC$7:$CC$1843,CC1665,$AU$7:$AU$1843,AU1665,$BT$7:$BT$1843,"&lt;="&amp;BT1665),"")</f>
        <v>44078.5626280499</v>
      </c>
      <c r="AW1665" s="58" t="n">
        <f aca="false">IF(AV1665="",0,MAX(0,MIN(1,(IF(CC1665="L1",Parameter!$H$5,IF(CC1665="L23",Parameter!$H$6+Parameter!$H$7,Parameter!$H$5+Parameter!$H$6+Parameter!$H$7))-(AV1665-AR1665))/AR1665)))</f>
        <v>0</v>
      </c>
      <c r="AX1665" s="50" t="n">
        <f aca="false">IF(LEFT(Cockpit!$O$5,1)="A",H1665,IF(CE1665=1,CF1665,IF(LEFT(Cockpit!$O$5,1)="B",BC1665,MAX(BC1665,H1665))))</f>
        <v>20</v>
      </c>
      <c r="AY1665" s="50" t="n">
        <f aca="false">IF(BW1665=1,0,ROUNDUP(AX1665/BV1665,0))</f>
        <v>1</v>
      </c>
      <c r="AZ1665" s="52" t="n">
        <f aca="false">IF(CL1665&gt;0,CL1665*MAX(1,AX1665/X1665),IF(BW1665=1,IF(AX1665&lt;=0,0,CA1665*MAX(1,IF(H1665&gt;0,AX1665/H1665,1))),IF(R1665&gt;0,AY1665/R1665,0))/MAX(0.1,N(Parameter!$M$21)))</f>
        <v>0.0384615384615385</v>
      </c>
      <c r="BA1665" s="50" t="n">
        <f aca="false">AZ1665*BY1665</f>
        <v>5.96153846153846</v>
      </c>
      <c r="BB1665" s="50" t="n">
        <f aca="false">AX1665*G1665</f>
        <v>6760</v>
      </c>
      <c r="BC1665" s="50" t="n">
        <f aca="false">ROUNDUP(MAX(J1665/IF(CD1665&gt;0,CD1665,MAX(0.1,N(Cockpit!$O$6))),CG1665)/BV1665,0)*BV1665</f>
        <v>20</v>
      </c>
      <c r="BD1665" s="51" t="n">
        <f aca="false">IF(BA1665&gt;0,J1665/BA1665,-1)</f>
        <v>0</v>
      </c>
      <c r="BE1665" s="51" t="n">
        <f aca="false">IF(AND(OR(CC1665="L1",CC1665="L23",CC1665="LIFT"),BA1665&gt;0),SUMIFS($BA$7:$BA$1843,$CC$7:$CC$1843,CC1665,$BD$7:$BD$1843,"&gt;"&amp;BD1665)+SUMIFS($BA$7:$BA$1843,$CC$7:$CC$1843,CC1665,$BD$7:$BD$1843,BD1665,$BT$7:$BT$1843,"&lt;="&amp;BT1665),"")</f>
        <v>40753.5746699158</v>
      </c>
      <c r="BF1665" s="58" t="n">
        <f aca="false">IF(BE1665="",0,MAX(0,MIN(1,(IF(CC1665="L1",Parameter!$H$5,IF(CC1665="L23",Parameter!$H$6+Parameter!$H$7,Parameter!$H$5+Parameter!$H$6+Parameter!$H$7))-(BE1665-BA1665))/BA1665)))</f>
        <v>0</v>
      </c>
      <c r="BG1665" s="48" t="str">
        <f aca="false">IF(AI1665&lt;=0,"",IF(CC1665="Aussen","Aussenlager",IF(CC1665="-","Nicht im Lift",IF(AN1665&gt;=1,"Lift",IF(AN1665&lt;=0,"Aussenlager","teilweise")))))</f>
        <v>Lift</v>
      </c>
      <c r="BH1665" s="48" t="str">
        <f aca="false">IF(AR1665&lt;=0,"",IF(CC1665="Aussen","Aussenlager",IF(CC1665="-","Nicht im Lift",IF(AW1665&gt;=1,"Lift",IF(AW1665&lt;=0,"Aussenlager","teilweise")))))</f>
        <v>Aussenlager</v>
      </c>
      <c r="BI1665" s="48" t="str">
        <f aca="false">IF(BA1665&lt;=0,"",IF(CC1665="Aussen","Aussenlager",IF(CC1665="-","Nicht im Lift",IF(BF1665&gt;=1,"Lift",IF(BF1665&lt;=0,"Aussenlager","teilweise")))))</f>
        <v>Aussenlager</v>
      </c>
      <c r="BJ1665" s="48" t="str">
        <f aca="false">IF(A1665="","",IF(BS1665=1,"Neu; ","")&amp;IF(AND(BS1665=0,BN1665&lt;0),"negativer Bestand (Export "&amp;BN1665&amp;"); ","")&amp;IF(J1665&lt;=0,"Kein Verbrauch; ","")&amp;IF(CL1665&gt;0,"Lift "&amp;W1665&amp;" lt. Liftbericht (Fach "&amp;X1665&amp;" Stk); ",IF(BX1665=1,"Gebinde geschätzt ("&amp;T1665&amp;"); ",IF(BW1665=1,"Lose – Tablare geschätzt; ","")))&amp;IF(H1665&gt;AT1665,"Überbestand "&amp;ROUND(H1665-AT1665,0)&amp;" Stk / CHF "&amp;ROUND((H1665-AT1665)*G1665,0)&amp;"; ","")&amp;IF(AND(CE1665=1,CF1665&lt;CG1665),"MAX &lt; MB+LG; ","")&amp;IF(AND(CK1665&gt;0,CJ1665*10&gt;CK1665),"zu hoch für Tablar; ","")&amp;IF(AND(BS1665=0,OR(CE1665=1,AA1665&lt;&gt;"",U1665&lt;&gt;"",V1665&lt;&gt;"",AB1665&lt;&gt;"")),"manuell übersteuert; ","")&amp;IF(AND(BW1665=0,R1665=0),"Gebinde unbekannt / Stellmass fehlt; ","")&amp;IF(AND(BW1665=0,N(V1665)&lt;=0,N(Q1665)&lt;=0),"Menge pro Gebinde fehlt (Ist = 1 Gebinde); ","")&amp;BR1665)</f>
        <v>Kein Verbrauch; Gebinde geschätzt (Klein); Menge pro Gebinde fehlt (Ist = 1 Gebinde); nur im Artikelstamm (Bestand 23.06.2026)</v>
      </c>
      <c r="BK1665" s="48"/>
      <c r="BL1665" s="48"/>
      <c r="BM1665" s="55"/>
      <c r="BN1665" s="50" t="n">
        <v>2</v>
      </c>
      <c r="BO1665" s="50" t="n">
        <v>0</v>
      </c>
      <c r="BP1665" s="49" t="n">
        <v>0</v>
      </c>
      <c r="BQ1665" s="50" t="n">
        <v>0</v>
      </c>
      <c r="BR1665" s="48" t="s">
        <v>2579</v>
      </c>
      <c r="BS1665" s="53" t="n">
        <v>0</v>
      </c>
      <c r="BT1665" s="53" t="n">
        <v>1665</v>
      </c>
      <c r="BU1665" s="48" t="str">
        <f aca="false">IF(U1665&lt;&gt;"",UPPER(TRIM(U1665)),IF(BX1665=1,UPPER(VLOOKUP(T1665,Parameter!$I$27:$K$29,2,0)),IF(P1665="","LOSE",P1665)))</f>
        <v>S51</v>
      </c>
      <c r="BV1665" s="50" t="n">
        <f aca="false">IF(BU1665="LOSE",1,IF(N(V1665)&gt;0,V1665,IF(BX1665=1,MAX(1,N(VLOOKUP(T1665,Parameter!$I$27:$K$29,3,0)),H1665,N(N1665)),IF(N(Q1665)&gt;0,Q1665,MAX(1,H1665)))))</f>
        <v>20</v>
      </c>
      <c r="BW1665" s="53" t="n">
        <f aca="false">IF(BU1665="LOSE",1,0)</f>
        <v>0</v>
      </c>
      <c r="BX1665" s="53" t="n">
        <f aca="false">IF(AND(U1665="",OR(P1665="",P1665="LOSE"),T1665&lt;&gt;"",N(S1665)&lt;=0,ISNUMBER(MATCH(T1665,Parameter!$I$27:$I$29,0))),1,0)</f>
        <v>1</v>
      </c>
      <c r="BY1665" s="53" t="n">
        <f aca="false">IF(CL1665&gt;0,INDEX(Parameter!$H$5:$H$7,W1665)/INDEX(Parameter!$E$5:$E$7,W1665),IF(AND(BW1665=0,N(IFERROR(VLOOKUP(BU1665,'Gebinde-Kategorie'!$A$5:$N$45,14,0),0))&gt;0),VLOOKUP(BU1665,'Gebinde-Kategorie'!$A$5:$N$45,14,0)*10+Parameter!$M$23,Parameter!$M$24))</f>
        <v>155</v>
      </c>
      <c r="BZ1665" s="48" t="str">
        <f aca="false">IF(AND(Parameter!$B$19="Ja",E1665&lt;&gt;"",ISNUMBER(MATCH(E1665,Parameter!$I$35:$I$52,0))),VLOOKUP(E1665,Parameter!$I$35:$J$52,2,0),IFERROR(VLOOKUP(D1665,Parameter!$A$35:$C$64,2,0),"Nein"))</f>
        <v>2+3</v>
      </c>
      <c r="CA1665" s="52" t="n">
        <f aca="false">IF(BW1665=0,0,IF(N(S1665)&gt;0,S1665,IFERROR(VLOOKUP(D1665,Parameter!$A$35:$C$64,3,0)+0,0)))</f>
        <v>0</v>
      </c>
      <c r="CB1665" s="48" t="n">
        <f aca="false">IF(AA1665&lt;&gt;"",AA1665,Z1665)</f>
        <v>3</v>
      </c>
      <c r="CC1665" s="48" t="str">
        <f aca="false">IF(OR(CB1665=1,CB1665=2,CB1665=3),IF(Parameter!$E$27="Ja","LIFT",IF(CB1665=1,"L1","L23")),IF(CB1665="Aussen","Aussen","-"))</f>
        <v>LIFT</v>
      </c>
      <c r="CD1665" s="59" t="n">
        <f aca="false">IF(N(AB1665)&gt;0,AB1665,0)</f>
        <v>0</v>
      </c>
      <c r="CE1665" s="53" t="n">
        <f aca="false">IF(ISNUMBER(AE1665),1,0)</f>
        <v>0</v>
      </c>
      <c r="CF1665" s="50" t="n">
        <f aca="false">N(AE1665)</f>
        <v>0</v>
      </c>
      <c r="CG1665" s="50" t="n">
        <f aca="false">N(M1665)+N(N1665)</f>
        <v>2</v>
      </c>
      <c r="CH1665" s="50" t="n">
        <f aca="false">ROUNDUP(H1665/BV1665,0)</f>
        <v>1</v>
      </c>
      <c r="CI1665" s="50" t="n">
        <f aca="false">ROUNDUP(CF1665/BV1665,0)</f>
        <v>0</v>
      </c>
      <c r="CJ1665" s="53" t="n">
        <f aca="false">IF(BW1665=1,0,IFERROR(VLOOKUP(BU1665,'Gebinde-Kategorie'!$A$5:$N$45,5,0)+0,0))</f>
        <v>11</v>
      </c>
      <c r="CK1665" s="53" t="n">
        <f aca="false">IFERROR(IF(OR(CB1665=1,CB1665=2,CB1665=3),N(INDEX(Parameter!$I$5:$I$7,CB1665)),0),0)</f>
        <v>0</v>
      </c>
      <c r="CL1665" s="52" t="n">
        <f aca="false">IF(AND(Parameter!$B$21="Ja",ISNUMBER(W1665),N(X1665)&gt;0),IFERROR(N(INDEX(Parameter!$L$5:$L$7,W1665))*INDEX(Parameter!$E$5:$E$7,W1665)*X1665/SUMIFS($X$7:$X$1843,$W$7:$W$1843,W1665),0),0)</f>
        <v>0</v>
      </c>
    </row>
    <row r="1666" customFormat="false" ht="15" hidden="false" customHeight="false" outlineLevel="0" collapsed="false">
      <c r="A1666" s="48" t="s">
        <v>2895</v>
      </c>
      <c r="B1666" s="48" t="s">
        <v>343</v>
      </c>
      <c r="C1666" s="48" t="s">
        <v>460</v>
      </c>
      <c r="D1666" s="48" t="s">
        <v>177</v>
      </c>
      <c r="E1666" s="48"/>
      <c r="F1666" s="48"/>
      <c r="G1666" s="49" t="n">
        <v>465</v>
      </c>
      <c r="H1666" s="50" t="n">
        <f aca="false">MAX(0,IF(AND(Parameter!$B$21="Ja",ISNUMBER(Y1666)),Y1666,IF(Parameter!$B$20="Jahresanfang 2025 + Export",BO1666+BN1666,BN1666)))</f>
        <v>7</v>
      </c>
      <c r="I1666" s="50" t="n">
        <f aca="false">H1666*G1666</f>
        <v>3255</v>
      </c>
      <c r="J1666" s="50" t="n">
        <f aca="false">BQ1666*Parameter!$B$18</f>
        <v>0</v>
      </c>
      <c r="K1666" s="51"/>
      <c r="L1666" s="52"/>
      <c r="M1666" s="50" t="n">
        <v>0</v>
      </c>
      <c r="N1666" s="50" t="n">
        <v>3</v>
      </c>
      <c r="O1666" s="53" t="n">
        <v>14</v>
      </c>
      <c r="P1666" s="48" t="s">
        <v>172</v>
      </c>
      <c r="Q1666" s="50"/>
      <c r="R1666" s="53" t="n">
        <f aca="false">IF(BW1666=1,0,IFERROR(VLOOKUP(BU1666,'Gebinde-Kategorie'!$A$5:$N$45,13,0)+0,0))</f>
        <v>26</v>
      </c>
      <c r="S1666" s="54"/>
      <c r="T1666" s="55" t="s">
        <v>279</v>
      </c>
      <c r="U1666" s="55"/>
      <c r="V1666" s="55"/>
      <c r="W1666" s="48"/>
      <c r="X1666" s="50"/>
      <c r="Y1666" s="50"/>
      <c r="Z1666" s="48" t="n">
        <f aca="false">IF(A1666="","",IF(AND(Parameter!$B$21="Ja",ISNUMBER(W1666)),W1666,IF(BZ1666="2+3",IF(ISNUMBER(SEARCH("grosser Artikel",BR1666)),2,IFERROR(VLOOKUP(BU1666,Parameter!$F$35:$G$64,2,0),2)),IF(OR(BZ1666="Nein",BZ1666=""),"-",BZ1666))))</f>
        <v>3</v>
      </c>
      <c r="AA1666" s="55"/>
      <c r="AB1666" s="56"/>
      <c r="AC1666" s="50" t="n">
        <f aca="false">AT1666</f>
        <v>20</v>
      </c>
      <c r="AD1666" s="50" t="n">
        <f aca="false">MAX(AT1666,H1666)</f>
        <v>20</v>
      </c>
      <c r="AE1666" s="57"/>
      <c r="AF1666" s="50" t="n">
        <f aca="false">IF(LEFT(Cockpit!$C$5,1)="A",H1666,IF(CE1666=1,CF1666,IF(LEFT(Cockpit!$C$5,1)="B",AK1666,MAX(AK1666,H1666))))</f>
        <v>7</v>
      </c>
      <c r="AG1666" s="50" t="n">
        <f aca="false">IF(BW1666=1,0,ROUNDUP(AF1666/BV1666,0))</f>
        <v>1</v>
      </c>
      <c r="AH1666" s="52" t="n">
        <f aca="false">IF(CL1666&gt;0,CL1666*MAX(1,AF1666/X1666),IF(BW1666=1,IF(AF1666&lt;=0,0,CA1666*MAX(1,IF(H1666&gt;0,AF1666/H1666,1))),IF(R1666&gt;0,AG1666/R1666,0))/MAX(0.1,N(Parameter!$M$21)))</f>
        <v>0.0384615384615385</v>
      </c>
      <c r="AI1666" s="50" t="n">
        <f aca="false">AH1666*BY1666</f>
        <v>5.96153846153846</v>
      </c>
      <c r="AJ1666" s="50" t="n">
        <f aca="false">AF1666*G1666</f>
        <v>3255</v>
      </c>
      <c r="AK1666" s="50" t="n">
        <f aca="false">ROUNDUP(MAX(J1666/IF(CD1666&gt;0,CD1666,MAX(0.1,N(Cockpit!$C$6))),CG1666)/BV1666,0)*BV1666</f>
        <v>20</v>
      </c>
      <c r="AL1666" s="51" t="n">
        <f aca="false">IF(AI1666&gt;0,J1666/AI1666,-1)</f>
        <v>0</v>
      </c>
      <c r="AM1666" s="51" t="n">
        <f aca="false">IF(AND(OR(CC1666="L1",CC1666="L23",CC1666="LIFT"),AI1666&gt;0),SUMIFS($AI$7:$AI$1843,$CC$7:$CC$1843,CC1666,$AL$7:$AL$1843,"&gt;"&amp;AL1666)+SUMIFS($AI$7:$AI$1843,$CC$7:$CC$1843,CC1666,$AL$7:$AL$1843,AL1666,$BT$7:$BT$1843,"&lt;="&amp;BT1666),"")</f>
        <v>31417.8384268744</v>
      </c>
      <c r="AN1666" s="58" t="n">
        <f aca="false">IF(AM1666="",0,MAX(0,MIN(1,(IF(CC1666="L1",Parameter!$H$5,IF(CC1666="L23",Parameter!$H$6+Parameter!$H$7,Parameter!$H$5+Parameter!$H$6+Parameter!$H$7))-(AM1666-AI1666))/AI1666)))</f>
        <v>1</v>
      </c>
      <c r="AO1666" s="50" t="n">
        <f aca="false">IF(LEFT(Cockpit!$I$5,1)="A",H1666,IF(CE1666=1,CF1666,IF(LEFT(Cockpit!$I$5,1)="B",AT1666,MAX(AT1666,H1666))))</f>
        <v>20</v>
      </c>
      <c r="AP1666" s="50" t="n">
        <f aca="false">IF(BW1666=1,0,ROUNDUP(AO1666/BV1666,0))</f>
        <v>1</v>
      </c>
      <c r="AQ1666" s="52" t="n">
        <f aca="false">IF(CL1666&gt;0,CL1666*MAX(1,AO1666/X1666),IF(BW1666=1,IF(AO1666&lt;=0,0,CA1666*MAX(1,IF(H1666&gt;0,AO1666/H1666,1))),IF(R1666&gt;0,AP1666/R1666,0))/MAX(0.1,N(Parameter!$M$21)))</f>
        <v>0.0384615384615385</v>
      </c>
      <c r="AR1666" s="50" t="n">
        <f aca="false">AQ1666*BY1666</f>
        <v>5.96153846153846</v>
      </c>
      <c r="AS1666" s="50" t="n">
        <f aca="false">AO1666*G1666</f>
        <v>9300</v>
      </c>
      <c r="AT1666" s="50" t="n">
        <f aca="false">ROUNDUP(MAX(J1666/IF(CD1666&gt;0,CD1666,MAX(0.1,N(Cockpit!$I$6))),CG1666)/BV1666,0)*BV1666</f>
        <v>20</v>
      </c>
      <c r="AU1666" s="51" t="n">
        <f aca="false">IF(AR1666&gt;0,J1666/AR1666,-1)</f>
        <v>0</v>
      </c>
      <c r="AV1666" s="51" t="n">
        <f aca="false">IF(AND(OR(CC1666="L1",CC1666="L23",CC1666="LIFT"),AR1666&gt;0),SUMIFS($AR$7:$AR$1843,$CC$7:$CC$1843,CC1666,$AU$7:$AU$1843,"&gt;"&amp;AU1666)+SUMIFS($AR$7:$AR$1843,$CC$7:$CC$1843,CC1666,$AU$7:$AU$1843,AU1666,$BT$7:$BT$1843,"&lt;="&amp;BT1666),"")</f>
        <v>44084.5241665115</v>
      </c>
      <c r="AW1666" s="58" t="n">
        <f aca="false">IF(AV1666="",0,MAX(0,MIN(1,(IF(CC1666="L1",Parameter!$H$5,IF(CC1666="L23",Parameter!$H$6+Parameter!$H$7,Parameter!$H$5+Parameter!$H$6+Parameter!$H$7))-(AV1666-AR1666))/AR1666)))</f>
        <v>0</v>
      </c>
      <c r="AX1666" s="50" t="n">
        <f aca="false">IF(LEFT(Cockpit!$O$5,1)="A",H1666,IF(CE1666=1,CF1666,IF(LEFT(Cockpit!$O$5,1)="B",BC1666,MAX(BC1666,H1666))))</f>
        <v>20</v>
      </c>
      <c r="AY1666" s="50" t="n">
        <f aca="false">IF(BW1666=1,0,ROUNDUP(AX1666/BV1666,0))</f>
        <v>1</v>
      </c>
      <c r="AZ1666" s="52" t="n">
        <f aca="false">IF(CL1666&gt;0,CL1666*MAX(1,AX1666/X1666),IF(BW1666=1,IF(AX1666&lt;=0,0,CA1666*MAX(1,IF(H1666&gt;0,AX1666/H1666,1))),IF(R1666&gt;0,AY1666/R1666,0))/MAX(0.1,N(Parameter!$M$21)))</f>
        <v>0.0384615384615385</v>
      </c>
      <c r="BA1666" s="50" t="n">
        <f aca="false">AZ1666*BY1666</f>
        <v>5.96153846153846</v>
      </c>
      <c r="BB1666" s="50" t="n">
        <f aca="false">AX1666*G1666</f>
        <v>9300</v>
      </c>
      <c r="BC1666" s="50" t="n">
        <f aca="false">ROUNDUP(MAX(J1666/IF(CD1666&gt;0,CD1666,MAX(0.1,N(Cockpit!$O$6))),CG1666)/BV1666,0)*BV1666</f>
        <v>20</v>
      </c>
      <c r="BD1666" s="51" t="n">
        <f aca="false">IF(BA1666&gt;0,J1666/BA1666,-1)</f>
        <v>0</v>
      </c>
      <c r="BE1666" s="51" t="n">
        <f aca="false">IF(AND(OR(CC1666="L1",CC1666="L23",CC1666="LIFT"),BA1666&gt;0),SUMIFS($BA$7:$BA$1843,$CC$7:$CC$1843,CC1666,$BD$7:$BD$1843,"&gt;"&amp;BD1666)+SUMIFS($BA$7:$BA$1843,$CC$7:$CC$1843,CC1666,$BD$7:$BD$1843,BD1666,$BT$7:$BT$1843,"&lt;="&amp;BT1666),"")</f>
        <v>40759.5362083773</v>
      </c>
      <c r="BF1666" s="58" t="n">
        <f aca="false">IF(BE1666="",0,MAX(0,MIN(1,(IF(CC1666="L1",Parameter!$H$5,IF(CC1666="L23",Parameter!$H$6+Parameter!$H$7,Parameter!$H$5+Parameter!$H$6+Parameter!$H$7))-(BE1666-BA1666))/BA1666)))</f>
        <v>0</v>
      </c>
      <c r="BG1666" s="48" t="str">
        <f aca="false">IF(AI1666&lt;=0,"",IF(CC1666="Aussen","Aussenlager",IF(CC1666="-","Nicht im Lift",IF(AN1666&gt;=1,"Lift",IF(AN1666&lt;=0,"Aussenlager","teilweise")))))</f>
        <v>Lift</v>
      </c>
      <c r="BH1666" s="48" t="str">
        <f aca="false">IF(AR1666&lt;=0,"",IF(CC1666="Aussen","Aussenlager",IF(CC1666="-","Nicht im Lift",IF(AW1666&gt;=1,"Lift",IF(AW1666&lt;=0,"Aussenlager","teilweise")))))</f>
        <v>Aussenlager</v>
      </c>
      <c r="BI1666" s="48" t="str">
        <f aca="false">IF(BA1666&lt;=0,"",IF(CC1666="Aussen","Aussenlager",IF(CC1666="-","Nicht im Lift",IF(BF1666&gt;=1,"Lift",IF(BF1666&lt;=0,"Aussenlager","teilweise")))))</f>
        <v>Aussenlager</v>
      </c>
      <c r="BJ1666" s="48" t="str">
        <f aca="false">IF(A1666="","",IF(BS1666=1,"Neu; ","")&amp;IF(AND(BS1666=0,BN1666&lt;0),"negativer Bestand (Export "&amp;BN1666&amp;"); ","")&amp;IF(J1666&lt;=0,"Kein Verbrauch; ","")&amp;IF(CL1666&gt;0,"Lift "&amp;W1666&amp;" lt. Liftbericht (Fach "&amp;X1666&amp;" Stk); ",IF(BX1666=1,"Gebinde geschätzt ("&amp;T1666&amp;"); ",IF(BW1666=1,"Lose – Tablare geschätzt; ","")))&amp;IF(H1666&gt;AT1666,"Überbestand "&amp;ROUND(H1666-AT1666,0)&amp;" Stk / CHF "&amp;ROUND((H1666-AT1666)*G1666,0)&amp;"; ","")&amp;IF(AND(CE1666=1,CF1666&lt;CG1666),"MAX &lt; MB+LG; ","")&amp;IF(AND(CK1666&gt;0,CJ1666*10&gt;CK1666),"zu hoch für Tablar; ","")&amp;IF(AND(BS1666=0,OR(CE1666=1,AA1666&lt;&gt;"",U1666&lt;&gt;"",V1666&lt;&gt;"",AB1666&lt;&gt;"")),"manuell übersteuert; ","")&amp;IF(AND(BW1666=0,R1666=0),"Gebinde unbekannt / Stellmass fehlt; ","")&amp;IF(AND(BW1666=0,N(V1666)&lt;=0,N(Q1666)&lt;=0),"Menge pro Gebinde fehlt (Ist = 1 Gebinde); ","")&amp;BR1666)</f>
        <v>Kein Verbrauch; Gebinde geschätzt (Klein); Menge pro Gebinde fehlt (Ist = 1 Gebinde); nur im Artikelstamm (Bestand 23.06.2026)</v>
      </c>
      <c r="BK1666" s="48"/>
      <c r="BL1666" s="48"/>
      <c r="BM1666" s="55"/>
      <c r="BN1666" s="50" t="n">
        <v>7</v>
      </c>
      <c r="BO1666" s="50" t="n">
        <v>0</v>
      </c>
      <c r="BP1666" s="49" t="n">
        <v>0</v>
      </c>
      <c r="BQ1666" s="50" t="n">
        <v>0</v>
      </c>
      <c r="BR1666" s="48" t="s">
        <v>2579</v>
      </c>
      <c r="BS1666" s="53" t="n">
        <v>0</v>
      </c>
      <c r="BT1666" s="53" t="n">
        <v>1666</v>
      </c>
      <c r="BU1666" s="48" t="str">
        <f aca="false">IF(U1666&lt;&gt;"",UPPER(TRIM(U1666)),IF(BX1666=1,UPPER(VLOOKUP(T1666,Parameter!$I$27:$K$29,2,0)),IF(P1666="","LOSE",P1666)))</f>
        <v>S51</v>
      </c>
      <c r="BV1666" s="50" t="n">
        <f aca="false">IF(BU1666="LOSE",1,IF(N(V1666)&gt;0,V1666,IF(BX1666=1,MAX(1,N(VLOOKUP(T1666,Parameter!$I$27:$K$29,3,0)),H1666,N(N1666)),IF(N(Q1666)&gt;0,Q1666,MAX(1,H1666)))))</f>
        <v>20</v>
      </c>
      <c r="BW1666" s="53" t="n">
        <f aca="false">IF(BU1666="LOSE",1,0)</f>
        <v>0</v>
      </c>
      <c r="BX1666" s="53" t="n">
        <f aca="false">IF(AND(U1666="",OR(P1666="",P1666="LOSE"),T1666&lt;&gt;"",N(S1666)&lt;=0,ISNUMBER(MATCH(T1666,Parameter!$I$27:$I$29,0))),1,0)</f>
        <v>1</v>
      </c>
      <c r="BY1666" s="53" t="n">
        <f aca="false">IF(CL1666&gt;0,INDEX(Parameter!$H$5:$H$7,W1666)/INDEX(Parameter!$E$5:$E$7,W1666),IF(AND(BW1666=0,N(IFERROR(VLOOKUP(BU1666,'Gebinde-Kategorie'!$A$5:$N$45,14,0),0))&gt;0),VLOOKUP(BU1666,'Gebinde-Kategorie'!$A$5:$N$45,14,0)*10+Parameter!$M$23,Parameter!$M$24))</f>
        <v>155</v>
      </c>
      <c r="BZ1666" s="48" t="str">
        <f aca="false">IF(AND(Parameter!$B$19="Ja",E1666&lt;&gt;"",ISNUMBER(MATCH(E1666,Parameter!$I$35:$I$52,0))),VLOOKUP(E1666,Parameter!$I$35:$J$52,2,0),IFERROR(VLOOKUP(D1666,Parameter!$A$35:$C$64,2,0),"Nein"))</f>
        <v>2+3</v>
      </c>
      <c r="CA1666" s="52" t="n">
        <f aca="false">IF(BW1666=0,0,IF(N(S1666)&gt;0,S1666,IFERROR(VLOOKUP(D1666,Parameter!$A$35:$C$64,3,0)+0,0)))</f>
        <v>0</v>
      </c>
      <c r="CB1666" s="48" t="n">
        <f aca="false">IF(AA1666&lt;&gt;"",AA1666,Z1666)</f>
        <v>3</v>
      </c>
      <c r="CC1666" s="48" t="str">
        <f aca="false">IF(OR(CB1666=1,CB1666=2,CB1666=3),IF(Parameter!$E$27="Ja","LIFT",IF(CB1666=1,"L1","L23")),IF(CB1666="Aussen","Aussen","-"))</f>
        <v>LIFT</v>
      </c>
      <c r="CD1666" s="59" t="n">
        <f aca="false">IF(N(AB1666)&gt;0,AB1666,0)</f>
        <v>0</v>
      </c>
      <c r="CE1666" s="53" t="n">
        <f aca="false">IF(ISNUMBER(AE1666),1,0)</f>
        <v>0</v>
      </c>
      <c r="CF1666" s="50" t="n">
        <f aca="false">N(AE1666)</f>
        <v>0</v>
      </c>
      <c r="CG1666" s="50" t="n">
        <f aca="false">N(M1666)+N(N1666)</f>
        <v>3</v>
      </c>
      <c r="CH1666" s="50" t="n">
        <f aca="false">ROUNDUP(H1666/BV1666,0)</f>
        <v>1</v>
      </c>
      <c r="CI1666" s="50" t="n">
        <f aca="false">ROUNDUP(CF1666/BV1666,0)</f>
        <v>0</v>
      </c>
      <c r="CJ1666" s="53" t="n">
        <f aca="false">IF(BW1666=1,0,IFERROR(VLOOKUP(BU1666,'Gebinde-Kategorie'!$A$5:$N$45,5,0)+0,0))</f>
        <v>11</v>
      </c>
      <c r="CK1666" s="53" t="n">
        <f aca="false">IFERROR(IF(OR(CB1666=1,CB1666=2,CB1666=3),N(INDEX(Parameter!$I$5:$I$7,CB1666)),0),0)</f>
        <v>0</v>
      </c>
      <c r="CL1666" s="52" t="n">
        <f aca="false">IF(AND(Parameter!$B$21="Ja",ISNUMBER(W1666),N(X1666)&gt;0),IFERROR(N(INDEX(Parameter!$L$5:$L$7,W1666))*INDEX(Parameter!$E$5:$E$7,W1666)*X1666/SUMIFS($X$7:$X$1843,$W$7:$W$1843,W1666),0),0)</f>
        <v>0</v>
      </c>
    </row>
    <row r="1667" customFormat="false" ht="15" hidden="false" customHeight="false" outlineLevel="0" collapsed="false">
      <c r="A1667" s="48" t="s">
        <v>2896</v>
      </c>
      <c r="B1667" s="48" t="s">
        <v>2897</v>
      </c>
      <c r="C1667" s="48" t="s">
        <v>168</v>
      </c>
      <c r="D1667" s="48" t="s">
        <v>177</v>
      </c>
      <c r="E1667" s="48"/>
      <c r="F1667" s="48"/>
      <c r="G1667" s="49" t="n">
        <v>17553.7</v>
      </c>
      <c r="H1667" s="50" t="n">
        <f aca="false">MAX(0,IF(AND(Parameter!$B$21="Ja",ISNUMBER(Y1667)),Y1667,IF(Parameter!$B$20="Jahresanfang 2025 + Export",BO1667+BN1667,BN1667)))</f>
        <v>1</v>
      </c>
      <c r="I1667" s="50" t="n">
        <f aca="false">H1667*G1667</f>
        <v>17553.7</v>
      </c>
      <c r="J1667" s="50" t="n">
        <f aca="false">BQ1667*Parameter!$B$18</f>
        <v>0</v>
      </c>
      <c r="K1667" s="51"/>
      <c r="L1667" s="52"/>
      <c r="M1667" s="50" t="n">
        <v>0</v>
      </c>
      <c r="N1667" s="50" t="n">
        <v>1</v>
      </c>
      <c r="O1667" s="53" t="n">
        <v>7</v>
      </c>
      <c r="P1667" s="48" t="s">
        <v>172</v>
      </c>
      <c r="Q1667" s="50"/>
      <c r="R1667" s="53" t="n">
        <f aca="false">IF(BW1667=1,0,IFERROR(VLOOKUP(BU1667,'Gebinde-Kategorie'!$A$5:$N$45,13,0)+0,0))</f>
        <v>12</v>
      </c>
      <c r="S1667" s="54"/>
      <c r="T1667" s="55" t="s">
        <v>183</v>
      </c>
      <c r="U1667" s="55"/>
      <c r="V1667" s="55"/>
      <c r="W1667" s="48"/>
      <c r="X1667" s="50"/>
      <c r="Y1667" s="50"/>
      <c r="Z1667" s="48" t="n">
        <f aca="false">IF(A1667="","",IF(AND(Parameter!$B$21="Ja",ISNUMBER(W1667)),W1667,IF(BZ1667="2+3",IF(ISNUMBER(SEARCH("grosser Artikel",BR1667)),2,IFERROR(VLOOKUP(BU1667,Parameter!$F$35:$G$64,2,0),2)),IF(OR(BZ1667="Nein",BZ1667=""),"-",BZ1667))))</f>
        <v>2</v>
      </c>
      <c r="AA1667" s="55"/>
      <c r="AB1667" s="56"/>
      <c r="AC1667" s="50" t="n">
        <f aca="false">AT1667</f>
        <v>4</v>
      </c>
      <c r="AD1667" s="50" t="n">
        <f aca="false">MAX(AT1667,H1667)</f>
        <v>4</v>
      </c>
      <c r="AE1667" s="57"/>
      <c r="AF1667" s="50" t="n">
        <f aca="false">IF(LEFT(Cockpit!$C$5,1)="A",H1667,IF(CE1667=1,CF1667,IF(LEFT(Cockpit!$C$5,1)="B",AK1667,MAX(AK1667,H1667))))</f>
        <v>1</v>
      </c>
      <c r="AG1667" s="50" t="n">
        <f aca="false">IF(BW1667=1,0,ROUNDUP(AF1667/BV1667,0))</f>
        <v>1</v>
      </c>
      <c r="AH1667" s="52" t="n">
        <f aca="false">IF(CL1667&gt;0,CL1667*MAX(1,AF1667/X1667),IF(BW1667=1,IF(AF1667&lt;=0,0,CA1667*MAX(1,IF(H1667&gt;0,AF1667/H1667,1))),IF(R1667&gt;0,AG1667/R1667,0))/MAX(0.1,N(Parameter!$M$21)))</f>
        <v>0.0833333333333333</v>
      </c>
      <c r="AI1667" s="50" t="n">
        <f aca="false">AH1667*BY1667</f>
        <v>12.0833333333333</v>
      </c>
      <c r="AJ1667" s="50" t="n">
        <f aca="false">AF1667*G1667</f>
        <v>17553.7</v>
      </c>
      <c r="AK1667" s="50" t="n">
        <f aca="false">ROUNDUP(MAX(J1667/IF(CD1667&gt;0,CD1667,MAX(0.1,N(Cockpit!$C$6))),CG1667)/BV1667,0)*BV1667</f>
        <v>4</v>
      </c>
      <c r="AL1667" s="51" t="n">
        <f aca="false">IF(AI1667&gt;0,J1667/AI1667,-1)</f>
        <v>0</v>
      </c>
      <c r="AM1667" s="51" t="n">
        <f aca="false">IF(AND(OR(CC1667="L1",CC1667="L23",CC1667="LIFT"),AI1667&gt;0),SUMIFS($AI$7:$AI$1843,$CC$7:$CC$1843,CC1667,$AL$7:$AL$1843,"&gt;"&amp;AL1667)+SUMIFS($AI$7:$AI$1843,$CC$7:$CC$1843,CC1667,$AL$7:$AL$1843,AL1667,$BT$7:$BT$1843,"&lt;="&amp;BT1667),"")</f>
        <v>31429.9217602078</v>
      </c>
      <c r="AN1667" s="58" t="n">
        <f aca="false">IF(AM1667="",0,MAX(0,MIN(1,(IF(CC1667="L1",Parameter!$H$5,IF(CC1667="L23",Parameter!$H$6+Parameter!$H$7,Parameter!$H$5+Parameter!$H$6+Parameter!$H$7))-(AM1667-AI1667))/AI1667)))</f>
        <v>1</v>
      </c>
      <c r="AO1667" s="50" t="n">
        <f aca="false">IF(LEFT(Cockpit!$I$5,1)="A",H1667,IF(CE1667=1,CF1667,IF(LEFT(Cockpit!$I$5,1)="B",AT1667,MAX(AT1667,H1667))))</f>
        <v>4</v>
      </c>
      <c r="AP1667" s="50" t="n">
        <f aca="false">IF(BW1667=1,0,ROUNDUP(AO1667/BV1667,0))</f>
        <v>1</v>
      </c>
      <c r="AQ1667" s="52" t="n">
        <f aca="false">IF(CL1667&gt;0,CL1667*MAX(1,AO1667/X1667),IF(BW1667=1,IF(AO1667&lt;=0,0,CA1667*MAX(1,IF(H1667&gt;0,AO1667/H1667,1))),IF(R1667&gt;0,AP1667/R1667,0))/MAX(0.1,N(Parameter!$M$21)))</f>
        <v>0.0833333333333333</v>
      </c>
      <c r="AR1667" s="50" t="n">
        <f aca="false">AQ1667*BY1667</f>
        <v>12.0833333333333</v>
      </c>
      <c r="AS1667" s="50" t="n">
        <f aca="false">AO1667*G1667</f>
        <v>70214.8</v>
      </c>
      <c r="AT1667" s="50" t="n">
        <f aca="false">ROUNDUP(MAX(J1667/IF(CD1667&gt;0,CD1667,MAX(0.1,N(Cockpit!$I$6))),CG1667)/BV1667,0)*BV1667</f>
        <v>4</v>
      </c>
      <c r="AU1667" s="51" t="n">
        <f aca="false">IF(AR1667&gt;0,J1667/AR1667,-1)</f>
        <v>0</v>
      </c>
      <c r="AV1667" s="51" t="n">
        <f aca="false">IF(AND(OR(CC1667="L1",CC1667="L23",CC1667="LIFT"),AR1667&gt;0),SUMIFS($AR$7:$AR$1843,$CC$7:$CC$1843,CC1667,$AU$7:$AU$1843,"&gt;"&amp;AU1667)+SUMIFS($AR$7:$AR$1843,$CC$7:$CC$1843,CC1667,$AU$7:$AU$1843,AU1667,$BT$7:$BT$1843,"&lt;="&amp;BT1667),"")</f>
        <v>44096.6074998448</v>
      </c>
      <c r="AW1667" s="58" t="n">
        <f aca="false">IF(AV1667="",0,MAX(0,MIN(1,(IF(CC1667="L1",Parameter!$H$5,IF(CC1667="L23",Parameter!$H$6+Parameter!$H$7,Parameter!$H$5+Parameter!$H$6+Parameter!$H$7))-(AV1667-AR1667))/AR1667)))</f>
        <v>0</v>
      </c>
      <c r="AX1667" s="50" t="n">
        <f aca="false">IF(LEFT(Cockpit!$O$5,1)="A",H1667,IF(CE1667=1,CF1667,IF(LEFT(Cockpit!$O$5,1)="B",BC1667,MAX(BC1667,H1667))))</f>
        <v>4</v>
      </c>
      <c r="AY1667" s="50" t="n">
        <f aca="false">IF(BW1667=1,0,ROUNDUP(AX1667/BV1667,0))</f>
        <v>1</v>
      </c>
      <c r="AZ1667" s="52" t="n">
        <f aca="false">IF(CL1667&gt;0,CL1667*MAX(1,AX1667/X1667),IF(BW1667=1,IF(AX1667&lt;=0,0,CA1667*MAX(1,IF(H1667&gt;0,AX1667/H1667,1))),IF(R1667&gt;0,AY1667/R1667,0))/MAX(0.1,N(Parameter!$M$21)))</f>
        <v>0.0833333333333333</v>
      </c>
      <c r="BA1667" s="50" t="n">
        <f aca="false">AZ1667*BY1667</f>
        <v>12.0833333333333</v>
      </c>
      <c r="BB1667" s="50" t="n">
        <f aca="false">AX1667*G1667</f>
        <v>70214.8</v>
      </c>
      <c r="BC1667" s="50" t="n">
        <f aca="false">ROUNDUP(MAX(J1667/IF(CD1667&gt;0,CD1667,MAX(0.1,N(Cockpit!$O$6))),CG1667)/BV1667,0)*BV1667</f>
        <v>4</v>
      </c>
      <c r="BD1667" s="51" t="n">
        <f aca="false">IF(BA1667&gt;0,J1667/BA1667,-1)</f>
        <v>0</v>
      </c>
      <c r="BE1667" s="51" t="n">
        <f aca="false">IF(AND(OR(CC1667="L1",CC1667="L23",CC1667="LIFT"),BA1667&gt;0),SUMIFS($BA$7:$BA$1843,$CC$7:$CC$1843,CC1667,$BD$7:$BD$1843,"&gt;"&amp;BD1667)+SUMIFS($BA$7:$BA$1843,$CC$7:$CC$1843,CC1667,$BD$7:$BD$1843,BD1667,$BT$7:$BT$1843,"&lt;="&amp;BT1667),"")</f>
        <v>40771.6195417107</v>
      </c>
      <c r="BF1667" s="58" t="n">
        <f aca="false">IF(BE1667="",0,MAX(0,MIN(1,(IF(CC1667="L1",Parameter!$H$5,IF(CC1667="L23",Parameter!$H$6+Parameter!$H$7,Parameter!$H$5+Parameter!$H$6+Parameter!$H$7))-(BE1667-BA1667))/BA1667)))</f>
        <v>0</v>
      </c>
      <c r="BG1667" s="48" t="str">
        <f aca="false">IF(AI1667&lt;=0,"",IF(CC1667="Aussen","Aussenlager",IF(CC1667="-","Nicht im Lift",IF(AN1667&gt;=1,"Lift",IF(AN1667&lt;=0,"Aussenlager","teilweise")))))</f>
        <v>Lift</v>
      </c>
      <c r="BH1667" s="48" t="str">
        <f aca="false">IF(AR1667&lt;=0,"",IF(CC1667="Aussen","Aussenlager",IF(CC1667="-","Nicht im Lift",IF(AW1667&gt;=1,"Lift",IF(AW1667&lt;=0,"Aussenlager","teilweise")))))</f>
        <v>Aussenlager</v>
      </c>
      <c r="BI1667" s="48" t="str">
        <f aca="false">IF(BA1667&lt;=0,"",IF(CC1667="Aussen","Aussenlager",IF(CC1667="-","Nicht im Lift",IF(BF1667&gt;=1,"Lift",IF(BF1667&lt;=0,"Aussenlager","teilweise")))))</f>
        <v>Aussenlager</v>
      </c>
      <c r="BJ1667" s="48" t="str">
        <f aca="false">IF(A1667="","",IF(BS1667=1,"Neu; ","")&amp;IF(AND(BS1667=0,BN1667&lt;0),"negativer Bestand (Export "&amp;BN1667&amp;"); ","")&amp;IF(J1667&lt;=0,"Kein Verbrauch; ","")&amp;IF(CL1667&gt;0,"Lift "&amp;W1667&amp;" lt. Liftbericht (Fach "&amp;X1667&amp;" Stk); ",IF(BX1667=1,"Gebinde geschätzt ("&amp;T1667&amp;"); ",IF(BW1667=1,"Lose – Tablare geschätzt; ","")))&amp;IF(H1667&gt;AT1667,"Überbestand "&amp;ROUND(H1667-AT1667,0)&amp;" Stk / CHF "&amp;ROUND((H1667-AT1667)*G1667,0)&amp;"; ","")&amp;IF(AND(CE1667=1,CF1667&lt;CG1667),"MAX &lt; MB+LG; ","")&amp;IF(AND(CK1667&gt;0,CJ1667*10&gt;CK1667),"zu hoch für Tablar; ","")&amp;IF(AND(BS1667=0,OR(CE1667=1,AA1667&lt;&gt;"",U1667&lt;&gt;"",V1667&lt;&gt;"",AB1667&lt;&gt;"")),"manuell übersteuert; ","")&amp;IF(AND(BW1667=0,R1667=0),"Gebinde unbekannt / Stellmass fehlt; ","")&amp;IF(AND(BW1667=0,N(V1667)&lt;=0,N(Q1667)&lt;=0),"Menge pro Gebinde fehlt (Ist = 1 Gebinde); ","")&amp;BR1667)</f>
        <v>Kein Verbrauch; Gebinde geschätzt (Mittel); Menge pro Gebinde fehlt (Ist = 1 Gebinde); nur im Artikelstamm (Bestand 23.06.2026)</v>
      </c>
      <c r="BK1667" s="48"/>
      <c r="BL1667" s="48"/>
      <c r="BM1667" s="55"/>
      <c r="BN1667" s="50" t="n">
        <v>1</v>
      </c>
      <c r="BO1667" s="50" t="n">
        <v>0</v>
      </c>
      <c r="BP1667" s="49" t="n">
        <v>0</v>
      </c>
      <c r="BQ1667" s="50" t="n">
        <v>0</v>
      </c>
      <c r="BR1667" s="48" t="s">
        <v>2579</v>
      </c>
      <c r="BS1667" s="53" t="n">
        <v>0</v>
      </c>
      <c r="BT1667" s="53" t="n">
        <v>1667</v>
      </c>
      <c r="BU1667" s="48" t="str">
        <f aca="false">IF(U1667&lt;&gt;"",UPPER(TRIM(U1667)),IF(BX1667=1,UPPER(VLOOKUP(T1667,Parameter!$I$27:$K$29,2,0)),IF(P1667="","LOSE",P1667)))</f>
        <v>S61</v>
      </c>
      <c r="BV1667" s="50" t="n">
        <f aca="false">IF(BU1667="LOSE",1,IF(N(V1667)&gt;0,V1667,IF(BX1667=1,MAX(1,N(VLOOKUP(T1667,Parameter!$I$27:$K$29,3,0)),H1667,N(N1667)),IF(N(Q1667)&gt;0,Q1667,MAX(1,H1667)))))</f>
        <v>4</v>
      </c>
      <c r="BW1667" s="53" t="n">
        <f aca="false">IF(BU1667="LOSE",1,0)</f>
        <v>0</v>
      </c>
      <c r="BX1667" s="53" t="n">
        <f aca="false">IF(AND(U1667="",OR(P1667="",P1667="LOSE"),T1667&lt;&gt;"",N(S1667)&lt;=0,ISNUMBER(MATCH(T1667,Parameter!$I$27:$I$29,0))),1,0)</f>
        <v>1</v>
      </c>
      <c r="BY1667" s="53" t="n">
        <f aca="false">IF(CL1667&gt;0,INDEX(Parameter!$H$5:$H$7,W1667)/INDEX(Parameter!$E$5:$E$7,W1667),IF(AND(BW1667=0,N(IFERROR(VLOOKUP(BU1667,'Gebinde-Kategorie'!$A$5:$N$45,14,0),0))&gt;0),VLOOKUP(BU1667,'Gebinde-Kategorie'!$A$5:$N$45,14,0)*10+Parameter!$M$23,Parameter!$M$24))</f>
        <v>145</v>
      </c>
      <c r="BZ1667" s="48" t="str">
        <f aca="false">IF(AND(Parameter!$B$19="Ja",E1667&lt;&gt;"",ISNUMBER(MATCH(E1667,Parameter!$I$35:$I$52,0))),VLOOKUP(E1667,Parameter!$I$35:$J$52,2,0),IFERROR(VLOOKUP(D1667,Parameter!$A$35:$C$64,2,0),"Nein"))</f>
        <v>2+3</v>
      </c>
      <c r="CA1667" s="52" t="n">
        <f aca="false">IF(BW1667=0,0,IF(N(S1667)&gt;0,S1667,IFERROR(VLOOKUP(D1667,Parameter!$A$35:$C$64,3,0)+0,0)))</f>
        <v>0</v>
      </c>
      <c r="CB1667" s="48" t="n">
        <f aca="false">IF(AA1667&lt;&gt;"",AA1667,Z1667)</f>
        <v>2</v>
      </c>
      <c r="CC1667" s="48" t="str">
        <f aca="false">IF(OR(CB1667=1,CB1667=2,CB1667=3),IF(Parameter!$E$27="Ja","LIFT",IF(CB1667=1,"L1","L23")),IF(CB1667="Aussen","Aussen","-"))</f>
        <v>LIFT</v>
      </c>
      <c r="CD1667" s="59" t="n">
        <f aca="false">IF(N(AB1667)&gt;0,AB1667,0)</f>
        <v>0</v>
      </c>
      <c r="CE1667" s="53" t="n">
        <f aca="false">IF(ISNUMBER(AE1667),1,0)</f>
        <v>0</v>
      </c>
      <c r="CF1667" s="50" t="n">
        <f aca="false">N(AE1667)</f>
        <v>0</v>
      </c>
      <c r="CG1667" s="50" t="n">
        <f aca="false">N(M1667)+N(N1667)</f>
        <v>1</v>
      </c>
      <c r="CH1667" s="50" t="n">
        <f aca="false">ROUNDUP(H1667/BV1667,0)</f>
        <v>1</v>
      </c>
      <c r="CI1667" s="50" t="n">
        <f aca="false">ROUNDUP(CF1667/BV1667,0)</f>
        <v>0</v>
      </c>
      <c r="CJ1667" s="53" t="n">
        <f aca="false">IF(BW1667=1,0,IFERROR(VLOOKUP(BU1667,'Gebinde-Kategorie'!$A$5:$N$45,5,0)+0,0))</f>
        <v>11</v>
      </c>
      <c r="CK1667" s="53" t="n">
        <f aca="false">IFERROR(IF(OR(CB1667=1,CB1667=2,CB1667=3),N(INDEX(Parameter!$I$5:$I$7,CB1667)),0),0)</f>
        <v>0</v>
      </c>
      <c r="CL1667" s="52" t="n">
        <f aca="false">IF(AND(Parameter!$B$21="Ja",ISNUMBER(W1667),N(X1667)&gt;0),IFERROR(N(INDEX(Parameter!$L$5:$L$7,W1667))*INDEX(Parameter!$E$5:$E$7,W1667)*X1667/SUMIFS($X$7:$X$1843,$W$7:$W$1843,W1667),0),0)</f>
        <v>0</v>
      </c>
    </row>
    <row r="1668" customFormat="false" ht="15" hidden="false" customHeight="false" outlineLevel="0" collapsed="false">
      <c r="A1668" s="48" t="s">
        <v>2898</v>
      </c>
      <c r="B1668" s="48" t="s">
        <v>2899</v>
      </c>
      <c r="C1668" s="48" t="s">
        <v>168</v>
      </c>
      <c r="D1668" s="48" t="s">
        <v>177</v>
      </c>
      <c r="E1668" s="48" t="s">
        <v>189</v>
      </c>
      <c r="F1668" s="48"/>
      <c r="G1668" s="49" t="n">
        <v>168</v>
      </c>
      <c r="H1668" s="50" t="n">
        <f aca="false">MAX(0,IF(AND(Parameter!$B$21="Ja",ISNUMBER(Y1668)),Y1668,IF(Parameter!$B$20="Jahresanfang 2025 + Export",BO1668+BN1668,BN1668)))</f>
        <v>23</v>
      </c>
      <c r="I1668" s="50" t="n">
        <f aca="false">H1668*G1668</f>
        <v>3864</v>
      </c>
      <c r="J1668" s="50" t="n">
        <f aca="false">BQ1668*Parameter!$B$18</f>
        <v>0</v>
      </c>
      <c r="K1668" s="51"/>
      <c r="L1668" s="52"/>
      <c r="M1668" s="50" t="n">
        <v>0</v>
      </c>
      <c r="N1668" s="50" t="n">
        <v>10</v>
      </c>
      <c r="O1668" s="53" t="n">
        <v>84</v>
      </c>
      <c r="P1668" s="48" t="s">
        <v>178</v>
      </c>
      <c r="Q1668" s="50" t="n">
        <v>9</v>
      </c>
      <c r="R1668" s="53" t="n">
        <f aca="false">IF(BW1668=1,0,IFERROR(VLOOKUP(BU1668,'Gebinde-Kategorie'!$A$5:$N$45,13,0)+0,0))</f>
        <v>6</v>
      </c>
      <c r="S1668" s="54"/>
      <c r="T1668" s="55"/>
      <c r="U1668" s="55"/>
      <c r="V1668" s="55"/>
      <c r="W1668" s="48"/>
      <c r="X1668" s="50"/>
      <c r="Y1668" s="50"/>
      <c r="Z1668" s="48" t="n">
        <f aca="false">IF(A1668="","",IF(AND(Parameter!$B$21="Ja",ISNUMBER(W1668)),W1668,IF(BZ1668="2+3",IF(ISNUMBER(SEARCH("grosser Artikel",BR1668)),2,IFERROR(VLOOKUP(BU1668,Parameter!$F$35:$G$64,2,0),2)),IF(OR(BZ1668="Nein",BZ1668=""),"-",BZ1668))))</f>
        <v>2</v>
      </c>
      <c r="AA1668" s="55"/>
      <c r="AB1668" s="56"/>
      <c r="AC1668" s="50" t="n">
        <f aca="false">AT1668</f>
        <v>18</v>
      </c>
      <c r="AD1668" s="50" t="n">
        <f aca="false">MAX(AT1668,H1668)</f>
        <v>23</v>
      </c>
      <c r="AE1668" s="57"/>
      <c r="AF1668" s="50" t="n">
        <f aca="false">IF(LEFT(Cockpit!$C$5,1)="A",H1668,IF(CE1668=1,CF1668,IF(LEFT(Cockpit!$C$5,1)="B",AK1668,MAX(AK1668,H1668))))</f>
        <v>23</v>
      </c>
      <c r="AG1668" s="50" t="n">
        <f aca="false">IF(BW1668=1,0,ROUNDUP(AF1668/BV1668,0))</f>
        <v>3</v>
      </c>
      <c r="AH1668" s="52" t="n">
        <f aca="false">IF(CL1668&gt;0,CL1668*MAX(1,AF1668/X1668),IF(BW1668=1,IF(AF1668&lt;=0,0,CA1668*MAX(1,IF(H1668&gt;0,AF1668/H1668,1))),IF(R1668&gt;0,AG1668/R1668,0))/MAX(0.1,N(Parameter!$M$21)))</f>
        <v>0.5</v>
      </c>
      <c r="AI1668" s="50" t="n">
        <f aca="false">AH1668*BY1668</f>
        <v>117.5</v>
      </c>
      <c r="AJ1668" s="50" t="n">
        <f aca="false">AF1668*G1668</f>
        <v>3864</v>
      </c>
      <c r="AK1668" s="50" t="n">
        <f aca="false">ROUNDUP(MAX(J1668/IF(CD1668&gt;0,CD1668,MAX(0.1,N(Cockpit!$C$6))),CG1668)/BV1668,0)*BV1668</f>
        <v>18</v>
      </c>
      <c r="AL1668" s="51" t="n">
        <f aca="false">IF(AI1668&gt;0,J1668/AI1668,-1)</f>
        <v>0</v>
      </c>
      <c r="AM1668" s="51" t="n">
        <f aca="false">IF(AND(OR(CC1668="L1",CC1668="L23",CC1668="LIFT"),AI1668&gt;0),SUMIFS($AI$7:$AI$1843,$CC$7:$CC$1843,CC1668,$AL$7:$AL$1843,"&gt;"&amp;AL1668)+SUMIFS($AI$7:$AI$1843,$CC$7:$CC$1843,CC1668,$AL$7:$AL$1843,AL1668,$BT$7:$BT$1843,"&lt;="&amp;BT1668),"")</f>
        <v>31547.4217602078</v>
      </c>
      <c r="AN1668" s="58" t="n">
        <f aca="false">IF(AM1668="",0,MAX(0,MIN(1,(IF(CC1668="L1",Parameter!$H$5,IF(CC1668="L23",Parameter!$H$6+Parameter!$H$7,Parameter!$H$5+Parameter!$H$6+Parameter!$H$7))-(AM1668-AI1668))/AI1668)))</f>
        <v>1</v>
      </c>
      <c r="AO1668" s="50" t="n">
        <f aca="false">IF(LEFT(Cockpit!$I$5,1)="A",H1668,IF(CE1668=1,CF1668,IF(LEFT(Cockpit!$I$5,1)="B",AT1668,MAX(AT1668,H1668))))</f>
        <v>23</v>
      </c>
      <c r="AP1668" s="50" t="n">
        <f aca="false">IF(BW1668=1,0,ROUNDUP(AO1668/BV1668,0))</f>
        <v>3</v>
      </c>
      <c r="AQ1668" s="52" t="n">
        <f aca="false">IF(CL1668&gt;0,CL1668*MAX(1,AO1668/X1668),IF(BW1668=1,IF(AO1668&lt;=0,0,CA1668*MAX(1,IF(H1668&gt;0,AO1668/H1668,1))),IF(R1668&gt;0,AP1668/R1668,0))/MAX(0.1,N(Parameter!$M$21)))</f>
        <v>0.5</v>
      </c>
      <c r="AR1668" s="50" t="n">
        <f aca="false">AQ1668*BY1668</f>
        <v>117.5</v>
      </c>
      <c r="AS1668" s="50" t="n">
        <f aca="false">AO1668*G1668</f>
        <v>3864</v>
      </c>
      <c r="AT1668" s="50" t="n">
        <f aca="false">ROUNDUP(MAX(J1668/IF(CD1668&gt;0,CD1668,MAX(0.1,N(Cockpit!$I$6))),CG1668)/BV1668,0)*BV1668</f>
        <v>18</v>
      </c>
      <c r="AU1668" s="51" t="n">
        <f aca="false">IF(AR1668&gt;0,J1668/AR1668,-1)</f>
        <v>0</v>
      </c>
      <c r="AV1668" s="51" t="n">
        <f aca="false">IF(AND(OR(CC1668="L1",CC1668="L23",CC1668="LIFT"),AR1668&gt;0),SUMIFS($AR$7:$AR$1843,$CC$7:$CC$1843,CC1668,$AU$7:$AU$1843,"&gt;"&amp;AU1668)+SUMIFS($AR$7:$AR$1843,$CC$7:$CC$1843,CC1668,$AU$7:$AU$1843,AU1668,$BT$7:$BT$1843,"&lt;="&amp;BT1668),"")</f>
        <v>44214.1074998448</v>
      </c>
      <c r="AW1668" s="58" t="n">
        <f aca="false">IF(AV1668="",0,MAX(0,MIN(1,(IF(CC1668="L1",Parameter!$H$5,IF(CC1668="L23",Parameter!$H$6+Parameter!$H$7,Parameter!$H$5+Parameter!$H$6+Parameter!$H$7))-(AV1668-AR1668))/AR1668)))</f>
        <v>0</v>
      </c>
      <c r="AX1668" s="50" t="n">
        <f aca="false">IF(LEFT(Cockpit!$O$5,1)="A",H1668,IF(CE1668=1,CF1668,IF(LEFT(Cockpit!$O$5,1)="B",BC1668,MAX(BC1668,H1668))))</f>
        <v>23</v>
      </c>
      <c r="AY1668" s="50" t="n">
        <f aca="false">IF(BW1668=1,0,ROUNDUP(AX1668/BV1668,0))</f>
        <v>3</v>
      </c>
      <c r="AZ1668" s="52" t="n">
        <f aca="false">IF(CL1668&gt;0,CL1668*MAX(1,AX1668/X1668),IF(BW1668=1,IF(AX1668&lt;=0,0,CA1668*MAX(1,IF(H1668&gt;0,AX1668/H1668,1))),IF(R1668&gt;0,AY1668/R1668,0))/MAX(0.1,N(Parameter!$M$21)))</f>
        <v>0.5</v>
      </c>
      <c r="BA1668" s="50" t="n">
        <f aca="false">AZ1668*BY1668</f>
        <v>117.5</v>
      </c>
      <c r="BB1668" s="50" t="n">
        <f aca="false">AX1668*G1668</f>
        <v>3864</v>
      </c>
      <c r="BC1668" s="50" t="n">
        <f aca="false">ROUNDUP(MAX(J1668/IF(CD1668&gt;0,CD1668,MAX(0.1,N(Cockpit!$O$6))),CG1668)/BV1668,0)*BV1668</f>
        <v>18</v>
      </c>
      <c r="BD1668" s="51" t="n">
        <f aca="false">IF(BA1668&gt;0,J1668/BA1668,-1)</f>
        <v>0</v>
      </c>
      <c r="BE1668" s="51" t="n">
        <f aca="false">IF(AND(OR(CC1668="L1",CC1668="L23",CC1668="LIFT"),BA1668&gt;0),SUMIFS($BA$7:$BA$1843,$CC$7:$CC$1843,CC1668,$BD$7:$BD$1843,"&gt;"&amp;BD1668)+SUMIFS($BA$7:$BA$1843,$CC$7:$CC$1843,CC1668,$BD$7:$BD$1843,BD1668,$BT$7:$BT$1843,"&lt;="&amp;BT1668),"")</f>
        <v>40889.1195417107</v>
      </c>
      <c r="BF1668" s="58" t="n">
        <f aca="false">IF(BE1668="",0,MAX(0,MIN(1,(IF(CC1668="L1",Parameter!$H$5,IF(CC1668="L23",Parameter!$H$6+Parameter!$H$7,Parameter!$H$5+Parameter!$H$6+Parameter!$H$7))-(BE1668-BA1668))/BA1668)))</f>
        <v>0</v>
      </c>
      <c r="BG1668" s="48" t="str">
        <f aca="false">IF(AI1668&lt;=0,"",IF(CC1668="Aussen","Aussenlager",IF(CC1668="-","Nicht im Lift",IF(AN1668&gt;=1,"Lift",IF(AN1668&lt;=0,"Aussenlager","teilweise")))))</f>
        <v>Lift</v>
      </c>
      <c r="BH1668" s="48" t="str">
        <f aca="false">IF(AR1668&lt;=0,"",IF(CC1668="Aussen","Aussenlager",IF(CC1668="-","Nicht im Lift",IF(AW1668&gt;=1,"Lift",IF(AW1668&lt;=0,"Aussenlager","teilweise")))))</f>
        <v>Aussenlager</v>
      </c>
      <c r="BI1668" s="48" t="str">
        <f aca="false">IF(BA1668&lt;=0,"",IF(CC1668="Aussen","Aussenlager",IF(CC1668="-","Nicht im Lift",IF(BF1668&gt;=1,"Lift",IF(BF1668&lt;=0,"Aussenlager","teilweise")))))</f>
        <v>Aussenlager</v>
      </c>
      <c r="BJ1668" s="48" t="str">
        <f aca="false">IF(A1668="","",IF(BS1668=1,"Neu; ","")&amp;IF(AND(BS1668=0,BN1668&lt;0),"negativer Bestand (Export "&amp;BN1668&amp;"); ","")&amp;IF(J1668&lt;=0,"Kein Verbrauch; ","")&amp;IF(CL1668&gt;0,"Lift "&amp;W1668&amp;" lt. Liftbericht (Fach "&amp;X1668&amp;" Stk); ",IF(BX1668=1,"Gebinde geschätzt ("&amp;T1668&amp;"); ",IF(BW1668=1,"Lose – Tablare geschätzt; ","")))&amp;IF(H1668&gt;AT1668,"Überbestand "&amp;ROUND(H1668-AT1668,0)&amp;" Stk / CHF "&amp;ROUND((H1668-AT1668)*G1668,0)&amp;"; ","")&amp;IF(AND(CE1668=1,CF1668&lt;CG1668),"MAX &lt; MB+LG; ","")&amp;IF(AND(CK1668&gt;0,CJ1668*10&gt;CK1668),"zu hoch für Tablar; ","")&amp;IF(AND(BS1668=0,OR(CE1668=1,AA1668&lt;&gt;"",U1668&lt;&gt;"",V1668&lt;&gt;"",AB1668&lt;&gt;"")),"manuell übersteuert; ","")&amp;IF(AND(BW1668=0,R1668=0),"Gebinde unbekannt / Stellmass fehlt; ","")&amp;IF(AND(BW1668=0,N(V1668)&lt;=0,N(Q1668)&lt;=0),"Menge pro Gebinde fehlt (Ist = 1 Gebinde); ","")&amp;BR1668)</f>
        <v>Kein Verbrauch; Überbestand 5 Stk / CHF 840; nur im Artikelstamm (Bestand 23.06.2026); Überbestand; grosser Artikel &amp; nicht im KTL</v>
      </c>
      <c r="BK1668" s="48"/>
      <c r="BL1668" s="48"/>
      <c r="BM1668" s="55"/>
      <c r="BN1668" s="50" t="n">
        <v>23</v>
      </c>
      <c r="BO1668" s="50" t="n">
        <v>0</v>
      </c>
      <c r="BP1668" s="49" t="n">
        <v>0</v>
      </c>
      <c r="BQ1668" s="50" t="n">
        <v>0</v>
      </c>
      <c r="BR1668" s="48" t="s">
        <v>2760</v>
      </c>
      <c r="BS1668" s="53" t="n">
        <v>0</v>
      </c>
      <c r="BT1668" s="53" t="n">
        <v>1668</v>
      </c>
      <c r="BU1668" s="48" t="str">
        <f aca="false">IF(U1668&lt;&gt;"",UPPER(TRIM(U1668)),IF(BX1668=1,UPPER(VLOOKUP(T1668,Parameter!$I$27:$K$29,2,0)),IF(P1668="","LOSE",P1668)))</f>
        <v>S71</v>
      </c>
      <c r="BV1668" s="50" t="n">
        <f aca="false">IF(BU1668="LOSE",1,IF(N(V1668)&gt;0,V1668,IF(BX1668=1,MAX(1,N(VLOOKUP(T1668,Parameter!$I$27:$K$29,3,0)),H1668,N(N1668)),IF(N(Q1668)&gt;0,Q1668,MAX(1,H1668)))))</f>
        <v>9</v>
      </c>
      <c r="BW1668" s="53" t="n">
        <f aca="false">IF(BU1668="LOSE",1,0)</f>
        <v>0</v>
      </c>
      <c r="BX1668" s="53" t="n">
        <f aca="false">IF(AND(U1668="",OR(P1668="",P1668="LOSE"),T1668&lt;&gt;"",N(S1668)&lt;=0,ISNUMBER(MATCH(T1668,Parameter!$I$27:$I$29,0))),1,0)</f>
        <v>0</v>
      </c>
      <c r="BY1668" s="53" t="n">
        <f aca="false">IF(CL1668&gt;0,INDEX(Parameter!$H$5:$H$7,W1668)/INDEX(Parameter!$E$5:$E$7,W1668),IF(AND(BW1668=0,N(IFERROR(VLOOKUP(BU1668,'Gebinde-Kategorie'!$A$5:$N$45,14,0),0))&gt;0),VLOOKUP(BU1668,'Gebinde-Kategorie'!$A$5:$N$45,14,0)*10+Parameter!$M$23,Parameter!$M$24))</f>
        <v>235</v>
      </c>
      <c r="BZ1668" s="48" t="str">
        <f aca="false">IF(AND(Parameter!$B$19="Ja",E1668&lt;&gt;"",ISNUMBER(MATCH(E1668,Parameter!$I$35:$I$52,0))),VLOOKUP(E1668,Parameter!$I$35:$J$52,2,0),IFERROR(VLOOKUP(D1668,Parameter!$A$35:$C$64,2,0),"Nein"))</f>
        <v>2+3</v>
      </c>
      <c r="CA1668" s="52" t="n">
        <f aca="false">IF(BW1668=0,0,IF(N(S1668)&gt;0,S1668,IFERROR(VLOOKUP(D1668,Parameter!$A$35:$C$64,3,0)+0,0)))</f>
        <v>0</v>
      </c>
      <c r="CB1668" s="48" t="n">
        <f aca="false">IF(AA1668&lt;&gt;"",AA1668,Z1668)</f>
        <v>2</v>
      </c>
      <c r="CC1668" s="48" t="str">
        <f aca="false">IF(OR(CB1668=1,CB1668=2,CB1668=3),IF(Parameter!$E$27="Ja","LIFT",IF(CB1668=1,"L1","L23")),IF(CB1668="Aussen","Aussen","-"))</f>
        <v>LIFT</v>
      </c>
      <c r="CD1668" s="59" t="n">
        <f aca="false">IF(N(AB1668)&gt;0,AB1668,0)</f>
        <v>0</v>
      </c>
      <c r="CE1668" s="53" t="n">
        <f aca="false">IF(ISNUMBER(AE1668),1,0)</f>
        <v>0</v>
      </c>
      <c r="CF1668" s="50" t="n">
        <f aca="false">N(AE1668)</f>
        <v>0</v>
      </c>
      <c r="CG1668" s="50" t="n">
        <f aca="false">N(M1668)+N(N1668)</f>
        <v>10</v>
      </c>
      <c r="CH1668" s="50" t="n">
        <f aca="false">ROUNDUP(H1668/BV1668,0)</f>
        <v>3</v>
      </c>
      <c r="CI1668" s="50" t="n">
        <f aca="false">ROUNDUP(CF1668/BV1668,0)</f>
        <v>0</v>
      </c>
      <c r="CJ1668" s="53" t="n">
        <f aca="false">IF(BW1668=1,0,IFERROR(VLOOKUP(BU1668,'Gebinde-Kategorie'!$A$5:$N$45,5,0)+0,0))</f>
        <v>20</v>
      </c>
      <c r="CK1668" s="53" t="n">
        <f aca="false">IFERROR(IF(OR(CB1668=1,CB1668=2,CB1668=3),N(INDEX(Parameter!$I$5:$I$7,CB1668)),0),0)</f>
        <v>0</v>
      </c>
      <c r="CL1668" s="52" t="n">
        <f aca="false">IF(AND(Parameter!$B$21="Ja",ISNUMBER(W1668),N(X1668)&gt;0),IFERROR(N(INDEX(Parameter!$L$5:$L$7,W1668))*INDEX(Parameter!$E$5:$E$7,W1668)*X1668/SUMIFS($X$7:$X$1843,$W$7:$W$1843,W1668),0),0)</f>
        <v>0</v>
      </c>
    </row>
    <row r="1669" customFormat="false" ht="15" hidden="false" customHeight="false" outlineLevel="0" collapsed="false">
      <c r="A1669" s="48" t="s">
        <v>2900</v>
      </c>
      <c r="B1669" s="48" t="s">
        <v>2901</v>
      </c>
      <c r="C1669" s="48" t="s">
        <v>168</v>
      </c>
      <c r="D1669" s="48" t="s">
        <v>177</v>
      </c>
      <c r="E1669" s="48" t="s">
        <v>189</v>
      </c>
      <c r="F1669" s="48"/>
      <c r="G1669" s="49" t="n">
        <v>291.88</v>
      </c>
      <c r="H1669" s="50" t="n">
        <f aca="false">MAX(0,IF(AND(Parameter!$B$21="Ja",ISNUMBER(Y1669)),Y1669,IF(Parameter!$B$20="Jahresanfang 2025 + Export",BO1669+BN1669,BN1669)))</f>
        <v>16</v>
      </c>
      <c r="I1669" s="50" t="n">
        <f aca="false">H1669*G1669</f>
        <v>4670.08</v>
      </c>
      <c r="J1669" s="50" t="n">
        <f aca="false">BQ1669*Parameter!$B$18</f>
        <v>0</v>
      </c>
      <c r="K1669" s="51"/>
      <c r="L1669" s="52"/>
      <c r="M1669" s="50" t="n">
        <v>0</v>
      </c>
      <c r="N1669" s="50" t="n">
        <v>5</v>
      </c>
      <c r="O1669" s="53" t="n">
        <v>84</v>
      </c>
      <c r="P1669" s="48" t="s">
        <v>178</v>
      </c>
      <c r="Q1669" s="50" t="n">
        <v>6</v>
      </c>
      <c r="R1669" s="53" t="n">
        <f aca="false">IF(BW1669=1,0,IFERROR(VLOOKUP(BU1669,'Gebinde-Kategorie'!$A$5:$N$45,13,0)+0,0))</f>
        <v>6</v>
      </c>
      <c r="S1669" s="54"/>
      <c r="T1669" s="55"/>
      <c r="U1669" s="55"/>
      <c r="V1669" s="55"/>
      <c r="W1669" s="48"/>
      <c r="X1669" s="50"/>
      <c r="Y1669" s="50"/>
      <c r="Z1669" s="48" t="n">
        <f aca="false">IF(A1669="","",IF(AND(Parameter!$B$21="Ja",ISNUMBER(W1669)),W1669,IF(BZ1669="2+3",IF(ISNUMBER(SEARCH("grosser Artikel",BR1669)),2,IFERROR(VLOOKUP(BU1669,Parameter!$F$35:$G$64,2,0),2)),IF(OR(BZ1669="Nein",BZ1669=""),"-",BZ1669))))</f>
        <v>2</v>
      </c>
      <c r="AA1669" s="55"/>
      <c r="AB1669" s="56"/>
      <c r="AC1669" s="50" t="n">
        <f aca="false">AT1669</f>
        <v>6</v>
      </c>
      <c r="AD1669" s="50" t="n">
        <f aca="false">MAX(AT1669,H1669)</f>
        <v>16</v>
      </c>
      <c r="AE1669" s="57"/>
      <c r="AF1669" s="50" t="n">
        <f aca="false">IF(LEFT(Cockpit!$C$5,1)="A",H1669,IF(CE1669=1,CF1669,IF(LEFT(Cockpit!$C$5,1)="B",AK1669,MAX(AK1669,H1669))))</f>
        <v>16</v>
      </c>
      <c r="AG1669" s="50" t="n">
        <f aca="false">IF(BW1669=1,0,ROUNDUP(AF1669/BV1669,0))</f>
        <v>3</v>
      </c>
      <c r="AH1669" s="52" t="n">
        <f aca="false">IF(CL1669&gt;0,CL1669*MAX(1,AF1669/X1669),IF(BW1669=1,IF(AF1669&lt;=0,0,CA1669*MAX(1,IF(H1669&gt;0,AF1669/H1669,1))),IF(R1669&gt;0,AG1669/R1669,0))/MAX(0.1,N(Parameter!$M$21)))</f>
        <v>0.5</v>
      </c>
      <c r="AI1669" s="50" t="n">
        <f aca="false">AH1669*BY1669</f>
        <v>117.5</v>
      </c>
      <c r="AJ1669" s="50" t="n">
        <f aca="false">AF1669*G1669</f>
        <v>4670.08</v>
      </c>
      <c r="AK1669" s="50" t="n">
        <f aca="false">ROUNDUP(MAX(J1669/IF(CD1669&gt;0,CD1669,MAX(0.1,N(Cockpit!$C$6))),CG1669)/BV1669,0)*BV1669</f>
        <v>6</v>
      </c>
      <c r="AL1669" s="51" t="n">
        <f aca="false">IF(AI1669&gt;0,J1669/AI1669,-1)</f>
        <v>0</v>
      </c>
      <c r="AM1669" s="51" t="n">
        <f aca="false">IF(AND(OR(CC1669="L1",CC1669="L23",CC1669="LIFT"),AI1669&gt;0),SUMIFS($AI$7:$AI$1843,$CC$7:$CC$1843,CC1669,$AL$7:$AL$1843,"&gt;"&amp;AL1669)+SUMIFS($AI$7:$AI$1843,$CC$7:$CC$1843,CC1669,$AL$7:$AL$1843,AL1669,$BT$7:$BT$1843,"&lt;="&amp;BT1669),"")</f>
        <v>31664.9217602078</v>
      </c>
      <c r="AN1669" s="58" t="n">
        <f aca="false">IF(AM1669="",0,MAX(0,MIN(1,(IF(CC1669="L1",Parameter!$H$5,IF(CC1669="L23",Parameter!$H$6+Parameter!$H$7,Parameter!$H$5+Parameter!$H$6+Parameter!$H$7))-(AM1669-AI1669))/AI1669)))</f>
        <v>1</v>
      </c>
      <c r="AO1669" s="50" t="n">
        <f aca="false">IF(LEFT(Cockpit!$I$5,1)="A",H1669,IF(CE1669=1,CF1669,IF(LEFT(Cockpit!$I$5,1)="B",AT1669,MAX(AT1669,H1669))))</f>
        <v>16</v>
      </c>
      <c r="AP1669" s="50" t="n">
        <f aca="false">IF(BW1669=1,0,ROUNDUP(AO1669/BV1669,0))</f>
        <v>3</v>
      </c>
      <c r="AQ1669" s="52" t="n">
        <f aca="false">IF(CL1669&gt;0,CL1669*MAX(1,AO1669/X1669),IF(BW1669=1,IF(AO1669&lt;=0,0,CA1669*MAX(1,IF(H1669&gt;0,AO1669/H1669,1))),IF(R1669&gt;0,AP1669/R1669,0))/MAX(0.1,N(Parameter!$M$21)))</f>
        <v>0.5</v>
      </c>
      <c r="AR1669" s="50" t="n">
        <f aca="false">AQ1669*BY1669</f>
        <v>117.5</v>
      </c>
      <c r="AS1669" s="50" t="n">
        <f aca="false">AO1669*G1669</f>
        <v>4670.08</v>
      </c>
      <c r="AT1669" s="50" t="n">
        <f aca="false">ROUNDUP(MAX(J1669/IF(CD1669&gt;0,CD1669,MAX(0.1,N(Cockpit!$I$6))),CG1669)/BV1669,0)*BV1669</f>
        <v>6</v>
      </c>
      <c r="AU1669" s="51" t="n">
        <f aca="false">IF(AR1669&gt;0,J1669/AR1669,-1)</f>
        <v>0</v>
      </c>
      <c r="AV1669" s="51" t="n">
        <f aca="false">IF(AND(OR(CC1669="L1",CC1669="L23",CC1669="LIFT"),AR1669&gt;0),SUMIFS($AR$7:$AR$1843,$CC$7:$CC$1843,CC1669,$AU$7:$AU$1843,"&gt;"&amp;AU1669)+SUMIFS($AR$7:$AR$1843,$CC$7:$CC$1843,CC1669,$AU$7:$AU$1843,AU1669,$BT$7:$BT$1843,"&lt;="&amp;BT1669),"")</f>
        <v>44331.6074998448</v>
      </c>
      <c r="AW1669" s="58" t="n">
        <f aca="false">IF(AV1669="",0,MAX(0,MIN(1,(IF(CC1669="L1",Parameter!$H$5,IF(CC1669="L23",Parameter!$H$6+Parameter!$H$7,Parameter!$H$5+Parameter!$H$6+Parameter!$H$7))-(AV1669-AR1669))/AR1669)))</f>
        <v>0</v>
      </c>
      <c r="AX1669" s="50" t="n">
        <f aca="false">IF(LEFT(Cockpit!$O$5,1)="A",H1669,IF(CE1669=1,CF1669,IF(LEFT(Cockpit!$O$5,1)="B",BC1669,MAX(BC1669,H1669))))</f>
        <v>16</v>
      </c>
      <c r="AY1669" s="50" t="n">
        <f aca="false">IF(BW1669=1,0,ROUNDUP(AX1669/BV1669,0))</f>
        <v>3</v>
      </c>
      <c r="AZ1669" s="52" t="n">
        <f aca="false">IF(CL1669&gt;0,CL1669*MAX(1,AX1669/X1669),IF(BW1669=1,IF(AX1669&lt;=0,0,CA1669*MAX(1,IF(H1669&gt;0,AX1669/H1669,1))),IF(R1669&gt;0,AY1669/R1669,0))/MAX(0.1,N(Parameter!$M$21)))</f>
        <v>0.5</v>
      </c>
      <c r="BA1669" s="50" t="n">
        <f aca="false">AZ1669*BY1669</f>
        <v>117.5</v>
      </c>
      <c r="BB1669" s="50" t="n">
        <f aca="false">AX1669*G1669</f>
        <v>4670.08</v>
      </c>
      <c r="BC1669" s="50" t="n">
        <f aca="false">ROUNDUP(MAX(J1669/IF(CD1669&gt;0,CD1669,MAX(0.1,N(Cockpit!$O$6))),CG1669)/BV1669,0)*BV1669</f>
        <v>6</v>
      </c>
      <c r="BD1669" s="51" t="n">
        <f aca="false">IF(BA1669&gt;0,J1669/BA1669,-1)</f>
        <v>0</v>
      </c>
      <c r="BE1669" s="51" t="n">
        <f aca="false">IF(AND(OR(CC1669="L1",CC1669="L23",CC1669="LIFT"),BA1669&gt;0),SUMIFS($BA$7:$BA$1843,$CC$7:$CC$1843,CC1669,$BD$7:$BD$1843,"&gt;"&amp;BD1669)+SUMIFS($BA$7:$BA$1843,$CC$7:$CC$1843,CC1669,$BD$7:$BD$1843,BD1669,$BT$7:$BT$1843,"&lt;="&amp;BT1669),"")</f>
        <v>41006.6195417107</v>
      </c>
      <c r="BF1669" s="58" t="n">
        <f aca="false">IF(BE1669="",0,MAX(0,MIN(1,(IF(CC1669="L1",Parameter!$H$5,IF(CC1669="L23",Parameter!$H$6+Parameter!$H$7,Parameter!$H$5+Parameter!$H$6+Parameter!$H$7))-(BE1669-BA1669))/BA1669)))</f>
        <v>0</v>
      </c>
      <c r="BG1669" s="48" t="str">
        <f aca="false">IF(AI1669&lt;=0,"",IF(CC1669="Aussen","Aussenlager",IF(CC1669="-","Nicht im Lift",IF(AN1669&gt;=1,"Lift",IF(AN1669&lt;=0,"Aussenlager","teilweise")))))</f>
        <v>Lift</v>
      </c>
      <c r="BH1669" s="48" t="str">
        <f aca="false">IF(AR1669&lt;=0,"",IF(CC1669="Aussen","Aussenlager",IF(CC1669="-","Nicht im Lift",IF(AW1669&gt;=1,"Lift",IF(AW1669&lt;=0,"Aussenlager","teilweise")))))</f>
        <v>Aussenlager</v>
      </c>
      <c r="BI1669" s="48" t="str">
        <f aca="false">IF(BA1669&lt;=0,"",IF(CC1669="Aussen","Aussenlager",IF(CC1669="-","Nicht im Lift",IF(BF1669&gt;=1,"Lift",IF(BF1669&lt;=0,"Aussenlager","teilweise")))))</f>
        <v>Aussenlager</v>
      </c>
      <c r="BJ1669" s="48" t="str">
        <f aca="false">IF(A1669="","",IF(BS1669=1,"Neu; ","")&amp;IF(AND(BS1669=0,BN1669&lt;0),"negativer Bestand (Export "&amp;BN1669&amp;"); ","")&amp;IF(J1669&lt;=0,"Kein Verbrauch; ","")&amp;IF(CL1669&gt;0,"Lift "&amp;W1669&amp;" lt. Liftbericht (Fach "&amp;X1669&amp;" Stk); ",IF(BX1669=1,"Gebinde geschätzt ("&amp;T1669&amp;"); ",IF(BW1669=1,"Lose – Tablare geschätzt; ","")))&amp;IF(H1669&gt;AT1669,"Überbestand "&amp;ROUND(H1669-AT1669,0)&amp;" Stk / CHF "&amp;ROUND((H1669-AT1669)*G1669,0)&amp;"; ","")&amp;IF(AND(CE1669=1,CF1669&lt;CG1669),"MAX &lt; MB+LG; ","")&amp;IF(AND(CK1669&gt;0,CJ1669*10&gt;CK1669),"zu hoch für Tablar; ","")&amp;IF(AND(BS1669=0,OR(CE1669=1,AA1669&lt;&gt;"",U1669&lt;&gt;"",V1669&lt;&gt;"",AB1669&lt;&gt;"")),"manuell übersteuert; ","")&amp;IF(AND(BW1669=0,R1669=0),"Gebinde unbekannt / Stellmass fehlt; ","")&amp;IF(AND(BW1669=0,N(V1669)&lt;=0,N(Q1669)&lt;=0),"Menge pro Gebinde fehlt (Ist = 1 Gebinde); ","")&amp;BR1669)</f>
        <v>Kein Verbrauch; Überbestand 10 Stk / CHF 2919; nur im Artikelstamm (Bestand 23.06.2026); Überbestand; grosser Artikel &amp; nicht im KTL</v>
      </c>
      <c r="BK1669" s="48"/>
      <c r="BL1669" s="48"/>
      <c r="BM1669" s="55"/>
      <c r="BN1669" s="50" t="n">
        <v>16</v>
      </c>
      <c r="BO1669" s="50" t="n">
        <v>0</v>
      </c>
      <c r="BP1669" s="49" t="n">
        <v>0</v>
      </c>
      <c r="BQ1669" s="50" t="n">
        <v>0</v>
      </c>
      <c r="BR1669" s="48" t="s">
        <v>2760</v>
      </c>
      <c r="BS1669" s="53" t="n">
        <v>0</v>
      </c>
      <c r="BT1669" s="53" t="n">
        <v>1669</v>
      </c>
      <c r="BU1669" s="48" t="str">
        <f aca="false">IF(U1669&lt;&gt;"",UPPER(TRIM(U1669)),IF(BX1669=1,UPPER(VLOOKUP(T1669,Parameter!$I$27:$K$29,2,0)),IF(P1669="","LOSE",P1669)))</f>
        <v>S71</v>
      </c>
      <c r="BV1669" s="50" t="n">
        <f aca="false">IF(BU1669="LOSE",1,IF(N(V1669)&gt;0,V1669,IF(BX1669=1,MAX(1,N(VLOOKUP(T1669,Parameter!$I$27:$K$29,3,0)),H1669,N(N1669)),IF(N(Q1669)&gt;0,Q1669,MAX(1,H1669)))))</f>
        <v>6</v>
      </c>
      <c r="BW1669" s="53" t="n">
        <f aca="false">IF(BU1669="LOSE",1,0)</f>
        <v>0</v>
      </c>
      <c r="BX1669" s="53" t="n">
        <f aca="false">IF(AND(U1669="",OR(P1669="",P1669="LOSE"),T1669&lt;&gt;"",N(S1669)&lt;=0,ISNUMBER(MATCH(T1669,Parameter!$I$27:$I$29,0))),1,0)</f>
        <v>0</v>
      </c>
      <c r="BY1669" s="53" t="n">
        <f aca="false">IF(CL1669&gt;0,INDEX(Parameter!$H$5:$H$7,W1669)/INDEX(Parameter!$E$5:$E$7,W1669),IF(AND(BW1669=0,N(IFERROR(VLOOKUP(BU1669,'Gebinde-Kategorie'!$A$5:$N$45,14,0),0))&gt;0),VLOOKUP(BU1669,'Gebinde-Kategorie'!$A$5:$N$45,14,0)*10+Parameter!$M$23,Parameter!$M$24))</f>
        <v>235</v>
      </c>
      <c r="BZ1669" s="48" t="str">
        <f aca="false">IF(AND(Parameter!$B$19="Ja",E1669&lt;&gt;"",ISNUMBER(MATCH(E1669,Parameter!$I$35:$I$52,0))),VLOOKUP(E1669,Parameter!$I$35:$J$52,2,0),IFERROR(VLOOKUP(D1669,Parameter!$A$35:$C$64,2,0),"Nein"))</f>
        <v>2+3</v>
      </c>
      <c r="CA1669" s="52" t="n">
        <f aca="false">IF(BW1669=0,0,IF(N(S1669)&gt;0,S1669,IFERROR(VLOOKUP(D1669,Parameter!$A$35:$C$64,3,0)+0,0)))</f>
        <v>0</v>
      </c>
      <c r="CB1669" s="48" t="n">
        <f aca="false">IF(AA1669&lt;&gt;"",AA1669,Z1669)</f>
        <v>2</v>
      </c>
      <c r="CC1669" s="48" t="str">
        <f aca="false">IF(OR(CB1669=1,CB1669=2,CB1669=3),IF(Parameter!$E$27="Ja","LIFT",IF(CB1669=1,"L1","L23")),IF(CB1669="Aussen","Aussen","-"))</f>
        <v>LIFT</v>
      </c>
      <c r="CD1669" s="59" t="n">
        <f aca="false">IF(N(AB1669)&gt;0,AB1669,0)</f>
        <v>0</v>
      </c>
      <c r="CE1669" s="53" t="n">
        <f aca="false">IF(ISNUMBER(AE1669),1,0)</f>
        <v>0</v>
      </c>
      <c r="CF1669" s="50" t="n">
        <f aca="false">N(AE1669)</f>
        <v>0</v>
      </c>
      <c r="CG1669" s="50" t="n">
        <f aca="false">N(M1669)+N(N1669)</f>
        <v>5</v>
      </c>
      <c r="CH1669" s="50" t="n">
        <f aca="false">ROUNDUP(H1669/BV1669,0)</f>
        <v>3</v>
      </c>
      <c r="CI1669" s="50" t="n">
        <f aca="false">ROUNDUP(CF1669/BV1669,0)</f>
        <v>0</v>
      </c>
      <c r="CJ1669" s="53" t="n">
        <f aca="false">IF(BW1669=1,0,IFERROR(VLOOKUP(BU1669,'Gebinde-Kategorie'!$A$5:$N$45,5,0)+0,0))</f>
        <v>20</v>
      </c>
      <c r="CK1669" s="53" t="n">
        <f aca="false">IFERROR(IF(OR(CB1669=1,CB1669=2,CB1669=3),N(INDEX(Parameter!$I$5:$I$7,CB1669)),0),0)</f>
        <v>0</v>
      </c>
      <c r="CL1669" s="52" t="n">
        <f aca="false">IF(AND(Parameter!$B$21="Ja",ISNUMBER(W1669),N(X1669)&gt;0),IFERROR(N(INDEX(Parameter!$L$5:$L$7,W1669))*INDEX(Parameter!$E$5:$E$7,W1669)*X1669/SUMIFS($X$7:$X$1843,$W$7:$W$1843,W1669),0),0)</f>
        <v>0</v>
      </c>
    </row>
    <row r="1670" customFormat="false" ht="15" hidden="false" customHeight="false" outlineLevel="0" collapsed="false">
      <c r="A1670" s="48" t="s">
        <v>2902</v>
      </c>
      <c r="B1670" s="48" t="s">
        <v>2899</v>
      </c>
      <c r="C1670" s="48" t="s">
        <v>168</v>
      </c>
      <c r="D1670" s="48" t="s">
        <v>177</v>
      </c>
      <c r="E1670" s="48" t="s">
        <v>189</v>
      </c>
      <c r="F1670" s="48"/>
      <c r="G1670" s="49" t="n">
        <v>292.31</v>
      </c>
      <c r="H1670" s="50" t="n">
        <f aca="false">MAX(0,IF(AND(Parameter!$B$21="Ja",ISNUMBER(Y1670)),Y1670,IF(Parameter!$B$20="Jahresanfang 2025 + Export",BO1670+BN1670,BN1670)))</f>
        <v>11</v>
      </c>
      <c r="I1670" s="50" t="n">
        <f aca="false">H1670*G1670</f>
        <v>3215.41</v>
      </c>
      <c r="J1670" s="50" t="n">
        <f aca="false">BQ1670*Parameter!$B$18</f>
        <v>0</v>
      </c>
      <c r="K1670" s="51"/>
      <c r="L1670" s="52"/>
      <c r="M1670" s="50" t="n">
        <v>0</v>
      </c>
      <c r="N1670" s="50" t="n">
        <v>5</v>
      </c>
      <c r="O1670" s="53" t="n">
        <v>84</v>
      </c>
      <c r="P1670" s="48" t="s">
        <v>178</v>
      </c>
      <c r="Q1670" s="50" t="n">
        <v>5</v>
      </c>
      <c r="R1670" s="53" t="n">
        <f aca="false">IF(BW1670=1,0,IFERROR(VLOOKUP(BU1670,'Gebinde-Kategorie'!$A$5:$N$45,13,0)+0,0))</f>
        <v>6</v>
      </c>
      <c r="S1670" s="54"/>
      <c r="T1670" s="55"/>
      <c r="U1670" s="55"/>
      <c r="V1670" s="55"/>
      <c r="W1670" s="48"/>
      <c r="X1670" s="50"/>
      <c r="Y1670" s="50"/>
      <c r="Z1670" s="48" t="n">
        <f aca="false">IF(A1670="","",IF(AND(Parameter!$B$21="Ja",ISNUMBER(W1670)),W1670,IF(BZ1670="2+3",IF(ISNUMBER(SEARCH("grosser Artikel",BR1670)),2,IFERROR(VLOOKUP(BU1670,Parameter!$F$35:$G$64,2,0),2)),IF(OR(BZ1670="Nein",BZ1670=""),"-",BZ1670))))</f>
        <v>2</v>
      </c>
      <c r="AA1670" s="55"/>
      <c r="AB1670" s="56"/>
      <c r="AC1670" s="50" t="n">
        <f aca="false">AT1670</f>
        <v>5</v>
      </c>
      <c r="AD1670" s="50" t="n">
        <f aca="false">MAX(AT1670,H1670)</f>
        <v>11</v>
      </c>
      <c r="AE1670" s="57"/>
      <c r="AF1670" s="50" t="n">
        <f aca="false">IF(LEFT(Cockpit!$C$5,1)="A",H1670,IF(CE1670=1,CF1670,IF(LEFT(Cockpit!$C$5,1)="B",AK1670,MAX(AK1670,H1670))))</f>
        <v>11</v>
      </c>
      <c r="AG1670" s="50" t="n">
        <f aca="false">IF(BW1670=1,0,ROUNDUP(AF1670/BV1670,0))</f>
        <v>3</v>
      </c>
      <c r="AH1670" s="52" t="n">
        <f aca="false">IF(CL1670&gt;0,CL1670*MAX(1,AF1670/X1670),IF(BW1670=1,IF(AF1670&lt;=0,0,CA1670*MAX(1,IF(H1670&gt;0,AF1670/H1670,1))),IF(R1670&gt;0,AG1670/R1670,0))/MAX(0.1,N(Parameter!$M$21)))</f>
        <v>0.5</v>
      </c>
      <c r="AI1670" s="50" t="n">
        <f aca="false">AH1670*BY1670</f>
        <v>117.5</v>
      </c>
      <c r="AJ1670" s="50" t="n">
        <f aca="false">AF1670*G1670</f>
        <v>3215.41</v>
      </c>
      <c r="AK1670" s="50" t="n">
        <f aca="false">ROUNDUP(MAX(J1670/IF(CD1670&gt;0,CD1670,MAX(0.1,N(Cockpit!$C$6))),CG1670)/BV1670,0)*BV1670</f>
        <v>5</v>
      </c>
      <c r="AL1670" s="51" t="n">
        <f aca="false">IF(AI1670&gt;0,J1670/AI1670,-1)</f>
        <v>0</v>
      </c>
      <c r="AM1670" s="51" t="n">
        <f aca="false">IF(AND(OR(CC1670="L1",CC1670="L23",CC1670="LIFT"),AI1670&gt;0),SUMIFS($AI$7:$AI$1843,$CC$7:$CC$1843,CC1670,$AL$7:$AL$1843,"&gt;"&amp;AL1670)+SUMIFS($AI$7:$AI$1843,$CC$7:$CC$1843,CC1670,$AL$7:$AL$1843,AL1670,$BT$7:$BT$1843,"&lt;="&amp;BT1670),"")</f>
        <v>31782.4217602078</v>
      </c>
      <c r="AN1670" s="58" t="n">
        <f aca="false">IF(AM1670="",0,MAX(0,MIN(1,(IF(CC1670="L1",Parameter!$H$5,IF(CC1670="L23",Parameter!$H$6+Parameter!$H$7,Parameter!$H$5+Parameter!$H$6+Parameter!$H$7))-(AM1670-AI1670))/AI1670)))</f>
        <v>1</v>
      </c>
      <c r="AO1670" s="50" t="n">
        <f aca="false">IF(LEFT(Cockpit!$I$5,1)="A",H1670,IF(CE1670=1,CF1670,IF(LEFT(Cockpit!$I$5,1)="B",AT1670,MAX(AT1670,H1670))))</f>
        <v>11</v>
      </c>
      <c r="AP1670" s="50" t="n">
        <f aca="false">IF(BW1670=1,0,ROUNDUP(AO1670/BV1670,0))</f>
        <v>3</v>
      </c>
      <c r="AQ1670" s="52" t="n">
        <f aca="false">IF(CL1670&gt;0,CL1670*MAX(1,AO1670/X1670),IF(BW1670=1,IF(AO1670&lt;=0,0,CA1670*MAX(1,IF(H1670&gt;0,AO1670/H1670,1))),IF(R1670&gt;0,AP1670/R1670,0))/MAX(0.1,N(Parameter!$M$21)))</f>
        <v>0.5</v>
      </c>
      <c r="AR1670" s="50" t="n">
        <f aca="false">AQ1670*BY1670</f>
        <v>117.5</v>
      </c>
      <c r="AS1670" s="50" t="n">
        <f aca="false">AO1670*G1670</f>
        <v>3215.41</v>
      </c>
      <c r="AT1670" s="50" t="n">
        <f aca="false">ROUNDUP(MAX(J1670/IF(CD1670&gt;0,CD1670,MAX(0.1,N(Cockpit!$I$6))),CG1670)/BV1670,0)*BV1670</f>
        <v>5</v>
      </c>
      <c r="AU1670" s="51" t="n">
        <f aca="false">IF(AR1670&gt;0,J1670/AR1670,-1)</f>
        <v>0</v>
      </c>
      <c r="AV1670" s="51" t="n">
        <f aca="false">IF(AND(OR(CC1670="L1",CC1670="L23",CC1670="LIFT"),AR1670&gt;0),SUMIFS($AR$7:$AR$1843,$CC$7:$CC$1843,CC1670,$AU$7:$AU$1843,"&gt;"&amp;AU1670)+SUMIFS($AR$7:$AR$1843,$CC$7:$CC$1843,CC1670,$AU$7:$AU$1843,AU1670,$BT$7:$BT$1843,"&lt;="&amp;BT1670),"")</f>
        <v>44449.1074998448</v>
      </c>
      <c r="AW1670" s="58" t="n">
        <f aca="false">IF(AV1670="",0,MAX(0,MIN(1,(IF(CC1670="L1",Parameter!$H$5,IF(CC1670="L23",Parameter!$H$6+Parameter!$H$7,Parameter!$H$5+Parameter!$H$6+Parameter!$H$7))-(AV1670-AR1670))/AR1670)))</f>
        <v>0</v>
      </c>
      <c r="AX1670" s="50" t="n">
        <f aca="false">IF(LEFT(Cockpit!$O$5,1)="A",H1670,IF(CE1670=1,CF1670,IF(LEFT(Cockpit!$O$5,1)="B",BC1670,MAX(BC1670,H1670))))</f>
        <v>11</v>
      </c>
      <c r="AY1670" s="50" t="n">
        <f aca="false">IF(BW1670=1,0,ROUNDUP(AX1670/BV1670,0))</f>
        <v>3</v>
      </c>
      <c r="AZ1670" s="52" t="n">
        <f aca="false">IF(CL1670&gt;0,CL1670*MAX(1,AX1670/X1670),IF(BW1670=1,IF(AX1670&lt;=0,0,CA1670*MAX(1,IF(H1670&gt;0,AX1670/H1670,1))),IF(R1670&gt;0,AY1670/R1670,0))/MAX(0.1,N(Parameter!$M$21)))</f>
        <v>0.5</v>
      </c>
      <c r="BA1670" s="50" t="n">
        <f aca="false">AZ1670*BY1670</f>
        <v>117.5</v>
      </c>
      <c r="BB1670" s="50" t="n">
        <f aca="false">AX1670*G1670</f>
        <v>3215.41</v>
      </c>
      <c r="BC1670" s="50" t="n">
        <f aca="false">ROUNDUP(MAX(J1670/IF(CD1670&gt;0,CD1670,MAX(0.1,N(Cockpit!$O$6))),CG1670)/BV1670,0)*BV1670</f>
        <v>5</v>
      </c>
      <c r="BD1670" s="51" t="n">
        <f aca="false">IF(BA1670&gt;0,J1670/BA1670,-1)</f>
        <v>0</v>
      </c>
      <c r="BE1670" s="51" t="n">
        <f aca="false">IF(AND(OR(CC1670="L1",CC1670="L23",CC1670="LIFT"),BA1670&gt;0),SUMIFS($BA$7:$BA$1843,$CC$7:$CC$1843,CC1670,$BD$7:$BD$1843,"&gt;"&amp;BD1670)+SUMIFS($BA$7:$BA$1843,$CC$7:$CC$1843,CC1670,$BD$7:$BD$1843,BD1670,$BT$7:$BT$1843,"&lt;="&amp;BT1670),"")</f>
        <v>41124.1195417107</v>
      </c>
      <c r="BF1670" s="58" t="n">
        <f aca="false">IF(BE1670="",0,MAX(0,MIN(1,(IF(CC1670="L1",Parameter!$H$5,IF(CC1670="L23",Parameter!$H$6+Parameter!$H$7,Parameter!$H$5+Parameter!$H$6+Parameter!$H$7))-(BE1670-BA1670))/BA1670)))</f>
        <v>0</v>
      </c>
      <c r="BG1670" s="48" t="str">
        <f aca="false">IF(AI1670&lt;=0,"",IF(CC1670="Aussen","Aussenlager",IF(CC1670="-","Nicht im Lift",IF(AN1670&gt;=1,"Lift",IF(AN1670&lt;=0,"Aussenlager","teilweise")))))</f>
        <v>Lift</v>
      </c>
      <c r="BH1670" s="48" t="str">
        <f aca="false">IF(AR1670&lt;=0,"",IF(CC1670="Aussen","Aussenlager",IF(CC1670="-","Nicht im Lift",IF(AW1670&gt;=1,"Lift",IF(AW1670&lt;=0,"Aussenlager","teilweise")))))</f>
        <v>Aussenlager</v>
      </c>
      <c r="BI1670" s="48" t="str">
        <f aca="false">IF(BA1670&lt;=0,"",IF(CC1670="Aussen","Aussenlager",IF(CC1670="-","Nicht im Lift",IF(BF1670&gt;=1,"Lift",IF(BF1670&lt;=0,"Aussenlager","teilweise")))))</f>
        <v>Aussenlager</v>
      </c>
      <c r="BJ1670" s="48" t="str">
        <f aca="false">IF(A1670="","",IF(BS1670=1,"Neu; ","")&amp;IF(AND(BS1670=0,BN1670&lt;0),"negativer Bestand (Export "&amp;BN1670&amp;"); ","")&amp;IF(J1670&lt;=0,"Kein Verbrauch; ","")&amp;IF(CL1670&gt;0,"Lift "&amp;W1670&amp;" lt. Liftbericht (Fach "&amp;X1670&amp;" Stk); ",IF(BX1670=1,"Gebinde geschätzt ("&amp;T1670&amp;"); ",IF(BW1670=1,"Lose – Tablare geschätzt; ","")))&amp;IF(H1670&gt;AT1670,"Überbestand "&amp;ROUND(H1670-AT1670,0)&amp;" Stk / CHF "&amp;ROUND((H1670-AT1670)*G1670,0)&amp;"; ","")&amp;IF(AND(CE1670=1,CF1670&lt;CG1670),"MAX &lt; MB+LG; ","")&amp;IF(AND(CK1670&gt;0,CJ1670*10&gt;CK1670),"zu hoch für Tablar; ","")&amp;IF(AND(BS1670=0,OR(CE1670=1,AA1670&lt;&gt;"",U1670&lt;&gt;"",V1670&lt;&gt;"",AB1670&lt;&gt;"")),"manuell übersteuert; ","")&amp;IF(AND(BW1670=0,R1670=0),"Gebinde unbekannt / Stellmass fehlt; ","")&amp;IF(AND(BW1670=0,N(V1670)&lt;=0,N(Q1670)&lt;=0),"Menge pro Gebinde fehlt (Ist = 1 Gebinde); ","")&amp;BR1670)</f>
        <v>Kein Verbrauch; Überbestand 6 Stk / CHF 1754; nur im Artikelstamm (Bestand 23.06.2026); Überbestand; grosser Artikel &amp; nicht im KTL</v>
      </c>
      <c r="BK1670" s="48"/>
      <c r="BL1670" s="48"/>
      <c r="BM1670" s="55"/>
      <c r="BN1670" s="50" t="n">
        <v>11</v>
      </c>
      <c r="BO1670" s="50" t="n">
        <v>0</v>
      </c>
      <c r="BP1670" s="49" t="n">
        <v>0</v>
      </c>
      <c r="BQ1670" s="50" t="n">
        <v>0</v>
      </c>
      <c r="BR1670" s="48" t="s">
        <v>2760</v>
      </c>
      <c r="BS1670" s="53" t="n">
        <v>0</v>
      </c>
      <c r="BT1670" s="53" t="n">
        <v>1670</v>
      </c>
      <c r="BU1670" s="48" t="str">
        <f aca="false">IF(U1670&lt;&gt;"",UPPER(TRIM(U1670)),IF(BX1670=1,UPPER(VLOOKUP(T1670,Parameter!$I$27:$K$29,2,0)),IF(P1670="","LOSE",P1670)))</f>
        <v>S71</v>
      </c>
      <c r="BV1670" s="50" t="n">
        <f aca="false">IF(BU1670="LOSE",1,IF(N(V1670)&gt;0,V1670,IF(BX1670=1,MAX(1,N(VLOOKUP(T1670,Parameter!$I$27:$K$29,3,0)),H1670,N(N1670)),IF(N(Q1670)&gt;0,Q1670,MAX(1,H1670)))))</f>
        <v>5</v>
      </c>
      <c r="BW1670" s="53" t="n">
        <f aca="false">IF(BU1670="LOSE",1,0)</f>
        <v>0</v>
      </c>
      <c r="BX1670" s="53" t="n">
        <f aca="false">IF(AND(U1670="",OR(P1670="",P1670="LOSE"),T1670&lt;&gt;"",N(S1670)&lt;=0,ISNUMBER(MATCH(T1670,Parameter!$I$27:$I$29,0))),1,0)</f>
        <v>0</v>
      </c>
      <c r="BY1670" s="53" t="n">
        <f aca="false">IF(CL1670&gt;0,INDEX(Parameter!$H$5:$H$7,W1670)/INDEX(Parameter!$E$5:$E$7,W1670),IF(AND(BW1670=0,N(IFERROR(VLOOKUP(BU1670,'Gebinde-Kategorie'!$A$5:$N$45,14,0),0))&gt;0),VLOOKUP(BU1670,'Gebinde-Kategorie'!$A$5:$N$45,14,0)*10+Parameter!$M$23,Parameter!$M$24))</f>
        <v>235</v>
      </c>
      <c r="BZ1670" s="48" t="str">
        <f aca="false">IF(AND(Parameter!$B$19="Ja",E1670&lt;&gt;"",ISNUMBER(MATCH(E1670,Parameter!$I$35:$I$52,0))),VLOOKUP(E1670,Parameter!$I$35:$J$52,2,0),IFERROR(VLOOKUP(D1670,Parameter!$A$35:$C$64,2,0),"Nein"))</f>
        <v>2+3</v>
      </c>
      <c r="CA1670" s="52" t="n">
        <f aca="false">IF(BW1670=0,0,IF(N(S1670)&gt;0,S1670,IFERROR(VLOOKUP(D1670,Parameter!$A$35:$C$64,3,0)+0,0)))</f>
        <v>0</v>
      </c>
      <c r="CB1670" s="48" t="n">
        <f aca="false">IF(AA1670&lt;&gt;"",AA1670,Z1670)</f>
        <v>2</v>
      </c>
      <c r="CC1670" s="48" t="str">
        <f aca="false">IF(OR(CB1670=1,CB1670=2,CB1670=3),IF(Parameter!$E$27="Ja","LIFT",IF(CB1670=1,"L1","L23")),IF(CB1670="Aussen","Aussen","-"))</f>
        <v>LIFT</v>
      </c>
      <c r="CD1670" s="59" t="n">
        <f aca="false">IF(N(AB1670)&gt;0,AB1670,0)</f>
        <v>0</v>
      </c>
      <c r="CE1670" s="53" t="n">
        <f aca="false">IF(ISNUMBER(AE1670),1,0)</f>
        <v>0</v>
      </c>
      <c r="CF1670" s="50" t="n">
        <f aca="false">N(AE1670)</f>
        <v>0</v>
      </c>
      <c r="CG1670" s="50" t="n">
        <f aca="false">N(M1670)+N(N1670)</f>
        <v>5</v>
      </c>
      <c r="CH1670" s="50" t="n">
        <f aca="false">ROUNDUP(H1670/BV1670,0)</f>
        <v>3</v>
      </c>
      <c r="CI1670" s="50" t="n">
        <f aca="false">ROUNDUP(CF1670/BV1670,0)</f>
        <v>0</v>
      </c>
      <c r="CJ1670" s="53" t="n">
        <f aca="false">IF(BW1670=1,0,IFERROR(VLOOKUP(BU1670,'Gebinde-Kategorie'!$A$5:$N$45,5,0)+0,0))</f>
        <v>20</v>
      </c>
      <c r="CK1670" s="53" t="n">
        <f aca="false">IFERROR(IF(OR(CB1670=1,CB1670=2,CB1670=3),N(INDEX(Parameter!$I$5:$I$7,CB1670)),0),0)</f>
        <v>0</v>
      </c>
      <c r="CL1670" s="52" t="n">
        <f aca="false">IF(AND(Parameter!$B$21="Ja",ISNUMBER(W1670),N(X1670)&gt;0),IFERROR(N(INDEX(Parameter!$L$5:$L$7,W1670))*INDEX(Parameter!$E$5:$E$7,W1670)*X1670/SUMIFS($X$7:$X$1843,$W$7:$W$1843,W1670),0),0)</f>
        <v>0</v>
      </c>
    </row>
    <row r="1671" customFormat="false" ht="15" hidden="false" customHeight="false" outlineLevel="0" collapsed="false">
      <c r="A1671" s="48" t="s">
        <v>2903</v>
      </c>
      <c r="B1671" s="48" t="s">
        <v>2904</v>
      </c>
      <c r="C1671" s="48" t="s">
        <v>168</v>
      </c>
      <c r="D1671" s="48" t="s">
        <v>177</v>
      </c>
      <c r="E1671" s="48"/>
      <c r="F1671" s="48"/>
      <c r="G1671" s="49" t="n">
        <v>0</v>
      </c>
      <c r="H1671" s="50" t="n">
        <f aca="false">MAX(0,IF(AND(Parameter!$B$21="Ja",ISNUMBER(Y1671)),Y1671,IF(Parameter!$B$20="Jahresanfang 2025 + Export",BO1671+BN1671,BN1671)))</f>
        <v>2</v>
      </c>
      <c r="I1671" s="50" t="n">
        <f aca="false">H1671*G1671</f>
        <v>0</v>
      </c>
      <c r="J1671" s="50" t="n">
        <f aca="false">BQ1671*Parameter!$B$18</f>
        <v>0</v>
      </c>
      <c r="K1671" s="51"/>
      <c r="L1671" s="52"/>
      <c r="M1671" s="50" t="n">
        <v>0</v>
      </c>
      <c r="N1671" s="50" t="n">
        <v>1</v>
      </c>
      <c r="O1671" s="53" t="n">
        <v>0</v>
      </c>
      <c r="P1671" s="48" t="s">
        <v>227</v>
      </c>
      <c r="Q1671" s="50" t="n">
        <v>10</v>
      </c>
      <c r="R1671" s="53" t="n">
        <f aca="false">IF(BW1671=1,0,IFERROR(VLOOKUP(BU1671,'Gebinde-Kategorie'!$A$5:$N$45,13,0)+0,0))</f>
        <v>4</v>
      </c>
      <c r="S1671" s="54"/>
      <c r="T1671" s="55"/>
      <c r="U1671" s="55"/>
      <c r="V1671" s="55"/>
      <c r="W1671" s="48"/>
      <c r="X1671" s="50"/>
      <c r="Y1671" s="50"/>
      <c r="Z1671" s="48" t="n">
        <f aca="false">IF(A1671="","",IF(AND(Parameter!$B$21="Ja",ISNUMBER(W1671)),W1671,IF(BZ1671="2+3",IF(ISNUMBER(SEARCH("grosser Artikel",BR1671)),2,IFERROR(VLOOKUP(BU1671,Parameter!$F$35:$G$64,2,0),2)),IF(OR(BZ1671="Nein",BZ1671=""),"-",BZ1671))))</f>
        <v>2</v>
      </c>
      <c r="AA1671" s="55"/>
      <c r="AB1671" s="56"/>
      <c r="AC1671" s="50" t="n">
        <f aca="false">AT1671</f>
        <v>10</v>
      </c>
      <c r="AD1671" s="50" t="n">
        <f aca="false">MAX(AT1671,H1671)</f>
        <v>10</v>
      </c>
      <c r="AE1671" s="57"/>
      <c r="AF1671" s="50" t="n">
        <f aca="false">IF(LEFT(Cockpit!$C$5,1)="A",H1671,IF(CE1671=1,CF1671,IF(LEFT(Cockpit!$C$5,1)="B",AK1671,MAX(AK1671,H1671))))</f>
        <v>2</v>
      </c>
      <c r="AG1671" s="50" t="n">
        <f aca="false">IF(BW1671=1,0,ROUNDUP(AF1671/BV1671,0))</f>
        <v>1</v>
      </c>
      <c r="AH1671" s="52" t="n">
        <f aca="false">IF(CL1671&gt;0,CL1671*MAX(1,AF1671/X1671),IF(BW1671=1,IF(AF1671&lt;=0,0,CA1671*MAX(1,IF(H1671&gt;0,AF1671/H1671,1))),IF(R1671&gt;0,AG1671/R1671,0))/MAX(0.1,N(Parameter!$M$21)))</f>
        <v>0.25</v>
      </c>
      <c r="AI1671" s="50" t="n">
        <f aca="false">AH1671*BY1671</f>
        <v>58.75</v>
      </c>
      <c r="AJ1671" s="50" t="n">
        <f aca="false">AF1671*G1671</f>
        <v>0</v>
      </c>
      <c r="AK1671" s="50" t="n">
        <f aca="false">ROUNDUP(MAX(J1671/IF(CD1671&gt;0,CD1671,MAX(0.1,N(Cockpit!$C$6))),CG1671)/BV1671,0)*BV1671</f>
        <v>10</v>
      </c>
      <c r="AL1671" s="51" t="n">
        <f aca="false">IF(AI1671&gt;0,J1671/AI1671,-1)</f>
        <v>0</v>
      </c>
      <c r="AM1671" s="51" t="n">
        <f aca="false">IF(AND(OR(CC1671="L1",CC1671="L23",CC1671="LIFT"),AI1671&gt;0),SUMIFS($AI$7:$AI$1843,$CC$7:$CC$1843,CC1671,$AL$7:$AL$1843,"&gt;"&amp;AL1671)+SUMIFS($AI$7:$AI$1843,$CC$7:$CC$1843,CC1671,$AL$7:$AL$1843,AL1671,$BT$7:$BT$1843,"&lt;="&amp;BT1671),"")</f>
        <v>31841.1717602078</v>
      </c>
      <c r="AN1671" s="58" t="n">
        <f aca="false">IF(AM1671="",0,MAX(0,MIN(1,(IF(CC1671="L1",Parameter!$H$5,IF(CC1671="L23",Parameter!$H$6+Parameter!$H$7,Parameter!$H$5+Parameter!$H$6+Parameter!$H$7))-(AM1671-AI1671))/AI1671)))</f>
        <v>1</v>
      </c>
      <c r="AO1671" s="50" t="n">
        <f aca="false">IF(LEFT(Cockpit!$I$5,1)="A",H1671,IF(CE1671=1,CF1671,IF(LEFT(Cockpit!$I$5,1)="B",AT1671,MAX(AT1671,H1671))))</f>
        <v>10</v>
      </c>
      <c r="AP1671" s="50" t="n">
        <f aca="false">IF(BW1671=1,0,ROUNDUP(AO1671/BV1671,0))</f>
        <v>1</v>
      </c>
      <c r="AQ1671" s="52" t="n">
        <f aca="false">IF(CL1671&gt;0,CL1671*MAX(1,AO1671/X1671),IF(BW1671=1,IF(AO1671&lt;=0,0,CA1671*MAX(1,IF(H1671&gt;0,AO1671/H1671,1))),IF(R1671&gt;0,AP1671/R1671,0))/MAX(0.1,N(Parameter!$M$21)))</f>
        <v>0.25</v>
      </c>
      <c r="AR1671" s="50" t="n">
        <f aca="false">AQ1671*BY1671</f>
        <v>58.75</v>
      </c>
      <c r="AS1671" s="50" t="n">
        <f aca="false">AO1671*G1671</f>
        <v>0</v>
      </c>
      <c r="AT1671" s="50" t="n">
        <f aca="false">ROUNDUP(MAX(J1671/IF(CD1671&gt;0,CD1671,MAX(0.1,N(Cockpit!$I$6))),CG1671)/BV1671,0)*BV1671</f>
        <v>10</v>
      </c>
      <c r="AU1671" s="51" t="n">
        <f aca="false">IF(AR1671&gt;0,J1671/AR1671,-1)</f>
        <v>0</v>
      </c>
      <c r="AV1671" s="51" t="n">
        <f aca="false">IF(AND(OR(CC1671="L1",CC1671="L23",CC1671="LIFT"),AR1671&gt;0),SUMIFS($AR$7:$AR$1843,$CC$7:$CC$1843,CC1671,$AU$7:$AU$1843,"&gt;"&amp;AU1671)+SUMIFS($AR$7:$AR$1843,$CC$7:$CC$1843,CC1671,$AU$7:$AU$1843,AU1671,$BT$7:$BT$1843,"&lt;="&amp;BT1671),"")</f>
        <v>44507.8574998448</v>
      </c>
      <c r="AW1671" s="58" t="n">
        <f aca="false">IF(AV1671="",0,MAX(0,MIN(1,(IF(CC1671="L1",Parameter!$H$5,IF(CC1671="L23",Parameter!$H$6+Parameter!$H$7,Parameter!$H$5+Parameter!$H$6+Parameter!$H$7))-(AV1671-AR1671))/AR1671)))</f>
        <v>0</v>
      </c>
      <c r="AX1671" s="50" t="n">
        <f aca="false">IF(LEFT(Cockpit!$O$5,1)="A",H1671,IF(CE1671=1,CF1671,IF(LEFT(Cockpit!$O$5,1)="B",BC1671,MAX(BC1671,H1671))))</f>
        <v>10</v>
      </c>
      <c r="AY1671" s="50" t="n">
        <f aca="false">IF(BW1671=1,0,ROUNDUP(AX1671/BV1671,0))</f>
        <v>1</v>
      </c>
      <c r="AZ1671" s="52" t="n">
        <f aca="false">IF(CL1671&gt;0,CL1671*MAX(1,AX1671/X1671),IF(BW1671=1,IF(AX1671&lt;=0,0,CA1671*MAX(1,IF(H1671&gt;0,AX1671/H1671,1))),IF(R1671&gt;0,AY1671/R1671,0))/MAX(0.1,N(Parameter!$M$21)))</f>
        <v>0.25</v>
      </c>
      <c r="BA1671" s="50" t="n">
        <f aca="false">AZ1671*BY1671</f>
        <v>58.75</v>
      </c>
      <c r="BB1671" s="50" t="n">
        <f aca="false">AX1671*G1671</f>
        <v>0</v>
      </c>
      <c r="BC1671" s="50" t="n">
        <f aca="false">ROUNDUP(MAX(J1671/IF(CD1671&gt;0,CD1671,MAX(0.1,N(Cockpit!$O$6))),CG1671)/BV1671,0)*BV1671</f>
        <v>10</v>
      </c>
      <c r="BD1671" s="51" t="n">
        <f aca="false">IF(BA1671&gt;0,J1671/BA1671,-1)</f>
        <v>0</v>
      </c>
      <c r="BE1671" s="51" t="n">
        <f aca="false">IF(AND(OR(CC1671="L1",CC1671="L23",CC1671="LIFT"),BA1671&gt;0),SUMIFS($BA$7:$BA$1843,$CC$7:$CC$1843,CC1671,$BD$7:$BD$1843,"&gt;"&amp;BD1671)+SUMIFS($BA$7:$BA$1843,$CC$7:$CC$1843,CC1671,$BD$7:$BD$1843,BD1671,$BT$7:$BT$1843,"&lt;="&amp;BT1671),"")</f>
        <v>41182.8695417107</v>
      </c>
      <c r="BF1671" s="58" t="n">
        <f aca="false">IF(BE1671="",0,MAX(0,MIN(1,(IF(CC1671="L1",Parameter!$H$5,IF(CC1671="L23",Parameter!$H$6+Parameter!$H$7,Parameter!$H$5+Parameter!$H$6+Parameter!$H$7))-(BE1671-BA1671))/BA1671)))</f>
        <v>0</v>
      </c>
      <c r="BG1671" s="48" t="str">
        <f aca="false">IF(AI1671&lt;=0,"",IF(CC1671="Aussen","Aussenlager",IF(CC1671="-","Nicht im Lift",IF(AN1671&gt;=1,"Lift",IF(AN1671&lt;=0,"Aussenlager","teilweise")))))</f>
        <v>Lift</v>
      </c>
      <c r="BH1671" s="48" t="str">
        <f aca="false">IF(AR1671&lt;=0,"",IF(CC1671="Aussen","Aussenlager",IF(CC1671="-","Nicht im Lift",IF(AW1671&gt;=1,"Lift",IF(AW1671&lt;=0,"Aussenlager","teilweise")))))</f>
        <v>Aussenlager</v>
      </c>
      <c r="BI1671" s="48" t="str">
        <f aca="false">IF(BA1671&lt;=0,"",IF(CC1671="Aussen","Aussenlager",IF(CC1671="-","Nicht im Lift",IF(BF1671&gt;=1,"Lift",IF(BF1671&lt;=0,"Aussenlager","teilweise")))))</f>
        <v>Aussenlager</v>
      </c>
      <c r="BJ1671" s="48" t="str">
        <f aca="false">IF(A1671="","",IF(BS1671=1,"Neu; ","")&amp;IF(AND(BS1671=0,BN1671&lt;0),"negativer Bestand (Export "&amp;BN1671&amp;"); ","")&amp;IF(J1671&lt;=0,"Kein Verbrauch; ","")&amp;IF(CL1671&gt;0,"Lift "&amp;W1671&amp;" lt. Liftbericht (Fach "&amp;X1671&amp;" Stk); ",IF(BX1671=1,"Gebinde geschätzt ("&amp;T1671&amp;"); ",IF(BW1671=1,"Lose – Tablare geschätzt; ","")))&amp;IF(H1671&gt;AT1671,"Überbestand "&amp;ROUND(H1671-AT1671,0)&amp;" Stk / CHF "&amp;ROUND((H1671-AT1671)*G1671,0)&amp;"; ","")&amp;IF(AND(CE1671=1,CF1671&lt;CG1671),"MAX &lt; MB+LG; ","")&amp;IF(AND(CK1671&gt;0,CJ1671*10&gt;CK1671),"zu hoch für Tablar; ","")&amp;IF(AND(BS1671=0,OR(CE1671=1,AA1671&lt;&gt;"",U1671&lt;&gt;"",V1671&lt;&gt;"",AB1671&lt;&gt;"")),"manuell übersteuert; ","")&amp;IF(AND(BW1671=0,R1671=0),"Gebinde unbekannt / Stellmass fehlt; ","")&amp;IF(AND(BW1671=0,N(V1671)&lt;=0,N(Q1671)&lt;=0),"Menge pro Gebinde fehlt (Ist = 1 Gebinde); ","")&amp;BR1671)</f>
        <v>Kein Verbrauch; nur im Artikelstamm (Bestand 23.06.2026)</v>
      </c>
      <c r="BK1671" s="48"/>
      <c r="BL1671" s="48"/>
      <c r="BM1671" s="55"/>
      <c r="BN1671" s="50" t="n">
        <v>2</v>
      </c>
      <c r="BO1671" s="50" t="n">
        <v>0</v>
      </c>
      <c r="BP1671" s="49" t="n">
        <v>0</v>
      </c>
      <c r="BQ1671" s="50" t="n">
        <v>0</v>
      </c>
      <c r="BR1671" s="48" t="s">
        <v>2579</v>
      </c>
      <c r="BS1671" s="53" t="n">
        <v>0</v>
      </c>
      <c r="BT1671" s="53" t="n">
        <v>1671</v>
      </c>
      <c r="BU1671" s="48" t="str">
        <f aca="false">IF(U1671&lt;&gt;"",UPPER(TRIM(U1671)),IF(BX1671=1,UPPER(VLOOKUP(T1671,Parameter!$I$27:$K$29,2,0)),IF(P1671="","LOSE",P1671)))</f>
        <v>S81</v>
      </c>
      <c r="BV1671" s="50" t="n">
        <f aca="false">IF(BU1671="LOSE",1,IF(N(V1671)&gt;0,V1671,IF(BX1671=1,MAX(1,N(VLOOKUP(T1671,Parameter!$I$27:$K$29,3,0)),H1671,N(N1671)),IF(N(Q1671)&gt;0,Q1671,MAX(1,H1671)))))</f>
        <v>10</v>
      </c>
      <c r="BW1671" s="53" t="n">
        <f aca="false">IF(BU1671="LOSE",1,0)</f>
        <v>0</v>
      </c>
      <c r="BX1671" s="53" t="n">
        <f aca="false">IF(AND(U1671="",OR(P1671="",P1671="LOSE"),T1671&lt;&gt;"",N(S1671)&lt;=0,ISNUMBER(MATCH(T1671,Parameter!$I$27:$I$29,0))),1,0)</f>
        <v>0</v>
      </c>
      <c r="BY1671" s="53" t="n">
        <f aca="false">IF(CL1671&gt;0,INDEX(Parameter!$H$5:$H$7,W1671)/INDEX(Parameter!$E$5:$E$7,W1671),IF(AND(BW1671=0,N(IFERROR(VLOOKUP(BU1671,'Gebinde-Kategorie'!$A$5:$N$45,14,0),0))&gt;0),VLOOKUP(BU1671,'Gebinde-Kategorie'!$A$5:$N$45,14,0)*10+Parameter!$M$23,Parameter!$M$24))</f>
        <v>235</v>
      </c>
      <c r="BZ1671" s="48" t="str">
        <f aca="false">IF(AND(Parameter!$B$19="Ja",E1671&lt;&gt;"",ISNUMBER(MATCH(E1671,Parameter!$I$35:$I$52,0))),VLOOKUP(E1671,Parameter!$I$35:$J$52,2,0),IFERROR(VLOOKUP(D1671,Parameter!$A$35:$C$64,2,0),"Nein"))</f>
        <v>2+3</v>
      </c>
      <c r="CA1671" s="52" t="n">
        <f aca="false">IF(BW1671=0,0,IF(N(S1671)&gt;0,S1671,IFERROR(VLOOKUP(D1671,Parameter!$A$35:$C$64,3,0)+0,0)))</f>
        <v>0</v>
      </c>
      <c r="CB1671" s="48" t="n">
        <f aca="false">IF(AA1671&lt;&gt;"",AA1671,Z1671)</f>
        <v>2</v>
      </c>
      <c r="CC1671" s="48" t="str">
        <f aca="false">IF(OR(CB1671=1,CB1671=2,CB1671=3),IF(Parameter!$E$27="Ja","LIFT",IF(CB1671=1,"L1","L23")),IF(CB1671="Aussen","Aussen","-"))</f>
        <v>LIFT</v>
      </c>
      <c r="CD1671" s="59" t="n">
        <f aca="false">IF(N(AB1671)&gt;0,AB1671,0)</f>
        <v>0</v>
      </c>
      <c r="CE1671" s="53" t="n">
        <f aca="false">IF(ISNUMBER(AE1671),1,0)</f>
        <v>0</v>
      </c>
      <c r="CF1671" s="50" t="n">
        <f aca="false">N(AE1671)</f>
        <v>0</v>
      </c>
      <c r="CG1671" s="50" t="n">
        <f aca="false">N(M1671)+N(N1671)</f>
        <v>1</v>
      </c>
      <c r="CH1671" s="50" t="n">
        <f aca="false">ROUNDUP(H1671/BV1671,0)</f>
        <v>1</v>
      </c>
      <c r="CI1671" s="50" t="n">
        <f aca="false">ROUNDUP(CF1671/BV1671,0)</f>
        <v>0</v>
      </c>
      <c r="CJ1671" s="53" t="n">
        <f aca="false">IF(BW1671=1,0,IFERROR(VLOOKUP(BU1671,'Gebinde-Kategorie'!$A$5:$N$45,5,0)+0,0))</f>
        <v>20</v>
      </c>
      <c r="CK1671" s="53" t="n">
        <f aca="false">IFERROR(IF(OR(CB1671=1,CB1671=2,CB1671=3),N(INDEX(Parameter!$I$5:$I$7,CB1671)),0),0)</f>
        <v>0</v>
      </c>
      <c r="CL1671" s="52" t="n">
        <f aca="false">IF(AND(Parameter!$B$21="Ja",ISNUMBER(W1671),N(X1671)&gt;0),IFERROR(N(INDEX(Parameter!$L$5:$L$7,W1671))*INDEX(Parameter!$E$5:$E$7,W1671)*X1671/SUMIFS($X$7:$X$1843,$W$7:$W$1843,W1671),0),0)</f>
        <v>0</v>
      </c>
    </row>
    <row r="1672" customFormat="false" ht="15" hidden="false" customHeight="false" outlineLevel="0" collapsed="false">
      <c r="A1672" s="48" t="s">
        <v>2905</v>
      </c>
      <c r="B1672" s="48" t="s">
        <v>2906</v>
      </c>
      <c r="C1672" s="48" t="s">
        <v>168</v>
      </c>
      <c r="D1672" s="48" t="s">
        <v>177</v>
      </c>
      <c r="E1672" s="48"/>
      <c r="F1672" s="48"/>
      <c r="G1672" s="49" t="n">
        <v>1426.13</v>
      </c>
      <c r="H1672" s="50" t="n">
        <f aca="false">MAX(0,IF(AND(Parameter!$B$21="Ja",ISNUMBER(Y1672)),Y1672,IF(Parameter!$B$20="Jahresanfang 2025 + Export",BO1672+BN1672,BN1672)))</f>
        <v>7</v>
      </c>
      <c r="I1672" s="50" t="n">
        <f aca="false">H1672*G1672</f>
        <v>9982.91</v>
      </c>
      <c r="J1672" s="50" t="n">
        <f aca="false">BQ1672*Parameter!$B$18</f>
        <v>0</v>
      </c>
      <c r="K1672" s="51"/>
      <c r="L1672" s="52"/>
      <c r="M1672" s="50" t="n">
        <v>0</v>
      </c>
      <c r="N1672" s="50" t="n">
        <v>1</v>
      </c>
      <c r="O1672" s="53" t="n">
        <v>35</v>
      </c>
      <c r="P1672" s="48" t="s">
        <v>227</v>
      </c>
      <c r="Q1672" s="50" t="n">
        <v>10</v>
      </c>
      <c r="R1672" s="53" t="n">
        <f aca="false">IF(BW1672=1,0,IFERROR(VLOOKUP(BU1672,'Gebinde-Kategorie'!$A$5:$N$45,13,0)+0,0))</f>
        <v>4</v>
      </c>
      <c r="S1672" s="54"/>
      <c r="T1672" s="55"/>
      <c r="U1672" s="55"/>
      <c r="V1672" s="55"/>
      <c r="W1672" s="48"/>
      <c r="X1672" s="50"/>
      <c r="Y1672" s="50"/>
      <c r="Z1672" s="48" t="n">
        <f aca="false">IF(A1672="","",IF(AND(Parameter!$B$21="Ja",ISNUMBER(W1672)),W1672,IF(BZ1672="2+3",IF(ISNUMBER(SEARCH("grosser Artikel",BR1672)),2,IFERROR(VLOOKUP(BU1672,Parameter!$F$35:$G$64,2,0),2)),IF(OR(BZ1672="Nein",BZ1672=""),"-",BZ1672))))</f>
        <v>2</v>
      </c>
      <c r="AA1672" s="55"/>
      <c r="AB1672" s="56"/>
      <c r="AC1672" s="50" t="n">
        <f aca="false">AT1672</f>
        <v>10</v>
      </c>
      <c r="AD1672" s="50" t="n">
        <f aca="false">MAX(AT1672,H1672)</f>
        <v>10</v>
      </c>
      <c r="AE1672" s="57"/>
      <c r="AF1672" s="50" t="n">
        <f aca="false">IF(LEFT(Cockpit!$C$5,1)="A",H1672,IF(CE1672=1,CF1672,IF(LEFT(Cockpit!$C$5,1)="B",AK1672,MAX(AK1672,H1672))))</f>
        <v>7</v>
      </c>
      <c r="AG1672" s="50" t="n">
        <f aca="false">IF(BW1672=1,0,ROUNDUP(AF1672/BV1672,0))</f>
        <v>1</v>
      </c>
      <c r="AH1672" s="52" t="n">
        <f aca="false">IF(CL1672&gt;0,CL1672*MAX(1,AF1672/X1672),IF(BW1672=1,IF(AF1672&lt;=0,0,CA1672*MAX(1,IF(H1672&gt;0,AF1672/H1672,1))),IF(R1672&gt;0,AG1672/R1672,0))/MAX(0.1,N(Parameter!$M$21)))</f>
        <v>0.25</v>
      </c>
      <c r="AI1672" s="50" t="n">
        <f aca="false">AH1672*BY1672</f>
        <v>58.75</v>
      </c>
      <c r="AJ1672" s="50" t="n">
        <f aca="false">AF1672*G1672</f>
        <v>9982.91</v>
      </c>
      <c r="AK1672" s="50" t="n">
        <f aca="false">ROUNDUP(MAX(J1672/IF(CD1672&gt;0,CD1672,MAX(0.1,N(Cockpit!$C$6))),CG1672)/BV1672,0)*BV1672</f>
        <v>10</v>
      </c>
      <c r="AL1672" s="51" t="n">
        <f aca="false">IF(AI1672&gt;0,J1672/AI1672,-1)</f>
        <v>0</v>
      </c>
      <c r="AM1672" s="51" t="n">
        <f aca="false">IF(AND(OR(CC1672="L1",CC1672="L23",CC1672="LIFT"),AI1672&gt;0),SUMIFS($AI$7:$AI$1843,$CC$7:$CC$1843,CC1672,$AL$7:$AL$1843,"&gt;"&amp;AL1672)+SUMIFS($AI$7:$AI$1843,$CC$7:$CC$1843,CC1672,$AL$7:$AL$1843,AL1672,$BT$7:$BT$1843,"&lt;="&amp;BT1672),"")</f>
        <v>31899.9217602078</v>
      </c>
      <c r="AN1672" s="58" t="n">
        <f aca="false">IF(AM1672="",0,MAX(0,MIN(1,(IF(CC1672="L1",Parameter!$H$5,IF(CC1672="L23",Parameter!$H$6+Parameter!$H$7,Parameter!$H$5+Parameter!$H$6+Parameter!$H$7))-(AM1672-AI1672))/AI1672)))</f>
        <v>1</v>
      </c>
      <c r="AO1672" s="50" t="n">
        <f aca="false">IF(LEFT(Cockpit!$I$5,1)="A",H1672,IF(CE1672=1,CF1672,IF(LEFT(Cockpit!$I$5,1)="B",AT1672,MAX(AT1672,H1672))))</f>
        <v>10</v>
      </c>
      <c r="AP1672" s="50" t="n">
        <f aca="false">IF(BW1672=1,0,ROUNDUP(AO1672/BV1672,0))</f>
        <v>1</v>
      </c>
      <c r="AQ1672" s="52" t="n">
        <f aca="false">IF(CL1672&gt;0,CL1672*MAX(1,AO1672/X1672),IF(BW1672=1,IF(AO1672&lt;=0,0,CA1672*MAX(1,IF(H1672&gt;0,AO1672/H1672,1))),IF(R1672&gt;0,AP1672/R1672,0))/MAX(0.1,N(Parameter!$M$21)))</f>
        <v>0.25</v>
      </c>
      <c r="AR1672" s="50" t="n">
        <f aca="false">AQ1672*BY1672</f>
        <v>58.75</v>
      </c>
      <c r="AS1672" s="50" t="n">
        <f aca="false">AO1672*G1672</f>
        <v>14261.3</v>
      </c>
      <c r="AT1672" s="50" t="n">
        <f aca="false">ROUNDUP(MAX(J1672/IF(CD1672&gt;0,CD1672,MAX(0.1,N(Cockpit!$I$6))),CG1672)/BV1672,0)*BV1672</f>
        <v>10</v>
      </c>
      <c r="AU1672" s="51" t="n">
        <f aca="false">IF(AR1672&gt;0,J1672/AR1672,-1)</f>
        <v>0</v>
      </c>
      <c r="AV1672" s="51" t="n">
        <f aca="false">IF(AND(OR(CC1672="L1",CC1672="L23",CC1672="LIFT"),AR1672&gt;0),SUMIFS($AR$7:$AR$1843,$CC$7:$CC$1843,CC1672,$AU$7:$AU$1843,"&gt;"&amp;AU1672)+SUMIFS($AR$7:$AR$1843,$CC$7:$CC$1843,CC1672,$AU$7:$AU$1843,AU1672,$BT$7:$BT$1843,"&lt;="&amp;BT1672),"")</f>
        <v>44566.6074998448</v>
      </c>
      <c r="AW1672" s="58" t="n">
        <f aca="false">IF(AV1672="",0,MAX(0,MIN(1,(IF(CC1672="L1",Parameter!$H$5,IF(CC1672="L23",Parameter!$H$6+Parameter!$H$7,Parameter!$H$5+Parameter!$H$6+Parameter!$H$7))-(AV1672-AR1672))/AR1672)))</f>
        <v>0</v>
      </c>
      <c r="AX1672" s="50" t="n">
        <f aca="false">IF(LEFT(Cockpit!$O$5,1)="A",H1672,IF(CE1672=1,CF1672,IF(LEFT(Cockpit!$O$5,1)="B",BC1672,MAX(BC1672,H1672))))</f>
        <v>10</v>
      </c>
      <c r="AY1672" s="50" t="n">
        <f aca="false">IF(BW1672=1,0,ROUNDUP(AX1672/BV1672,0))</f>
        <v>1</v>
      </c>
      <c r="AZ1672" s="52" t="n">
        <f aca="false">IF(CL1672&gt;0,CL1672*MAX(1,AX1672/X1672),IF(BW1672=1,IF(AX1672&lt;=0,0,CA1672*MAX(1,IF(H1672&gt;0,AX1672/H1672,1))),IF(R1672&gt;0,AY1672/R1672,0))/MAX(0.1,N(Parameter!$M$21)))</f>
        <v>0.25</v>
      </c>
      <c r="BA1672" s="50" t="n">
        <f aca="false">AZ1672*BY1672</f>
        <v>58.75</v>
      </c>
      <c r="BB1672" s="50" t="n">
        <f aca="false">AX1672*G1672</f>
        <v>14261.3</v>
      </c>
      <c r="BC1672" s="50" t="n">
        <f aca="false">ROUNDUP(MAX(J1672/IF(CD1672&gt;0,CD1672,MAX(0.1,N(Cockpit!$O$6))),CG1672)/BV1672,0)*BV1672</f>
        <v>10</v>
      </c>
      <c r="BD1672" s="51" t="n">
        <f aca="false">IF(BA1672&gt;0,J1672/BA1672,-1)</f>
        <v>0</v>
      </c>
      <c r="BE1672" s="51" t="n">
        <f aca="false">IF(AND(OR(CC1672="L1",CC1672="L23",CC1672="LIFT"),BA1672&gt;0),SUMIFS($BA$7:$BA$1843,$CC$7:$CC$1843,CC1672,$BD$7:$BD$1843,"&gt;"&amp;BD1672)+SUMIFS($BA$7:$BA$1843,$CC$7:$CC$1843,CC1672,$BD$7:$BD$1843,BD1672,$BT$7:$BT$1843,"&lt;="&amp;BT1672),"")</f>
        <v>41241.6195417107</v>
      </c>
      <c r="BF1672" s="58" t="n">
        <f aca="false">IF(BE1672="",0,MAX(0,MIN(1,(IF(CC1672="L1",Parameter!$H$5,IF(CC1672="L23",Parameter!$H$6+Parameter!$H$7,Parameter!$H$5+Parameter!$H$6+Parameter!$H$7))-(BE1672-BA1672))/BA1672)))</f>
        <v>0</v>
      </c>
      <c r="BG1672" s="48" t="str">
        <f aca="false">IF(AI1672&lt;=0,"",IF(CC1672="Aussen","Aussenlager",IF(CC1672="-","Nicht im Lift",IF(AN1672&gt;=1,"Lift",IF(AN1672&lt;=0,"Aussenlager","teilweise")))))</f>
        <v>Lift</v>
      </c>
      <c r="BH1672" s="48" t="str">
        <f aca="false">IF(AR1672&lt;=0,"",IF(CC1672="Aussen","Aussenlager",IF(CC1672="-","Nicht im Lift",IF(AW1672&gt;=1,"Lift",IF(AW1672&lt;=0,"Aussenlager","teilweise")))))</f>
        <v>Aussenlager</v>
      </c>
      <c r="BI1672" s="48" t="str">
        <f aca="false">IF(BA1672&lt;=0,"",IF(CC1672="Aussen","Aussenlager",IF(CC1672="-","Nicht im Lift",IF(BF1672&gt;=1,"Lift",IF(BF1672&lt;=0,"Aussenlager","teilweise")))))</f>
        <v>Aussenlager</v>
      </c>
      <c r="BJ1672" s="48" t="str">
        <f aca="false">IF(A1672="","",IF(BS1672=1,"Neu; ","")&amp;IF(AND(BS1672=0,BN1672&lt;0),"negativer Bestand (Export "&amp;BN1672&amp;"); ","")&amp;IF(J1672&lt;=0,"Kein Verbrauch; ","")&amp;IF(CL1672&gt;0,"Lift "&amp;W1672&amp;" lt. Liftbericht (Fach "&amp;X1672&amp;" Stk); ",IF(BX1672=1,"Gebinde geschätzt ("&amp;T1672&amp;"); ",IF(BW1672=1,"Lose – Tablare geschätzt; ","")))&amp;IF(H1672&gt;AT1672,"Überbestand "&amp;ROUND(H1672-AT1672,0)&amp;" Stk / CHF "&amp;ROUND((H1672-AT1672)*G1672,0)&amp;"; ","")&amp;IF(AND(CE1672=1,CF1672&lt;CG1672),"MAX &lt; MB+LG; ","")&amp;IF(AND(CK1672&gt;0,CJ1672*10&gt;CK1672),"zu hoch für Tablar; ","")&amp;IF(AND(BS1672=0,OR(CE1672=1,AA1672&lt;&gt;"",U1672&lt;&gt;"",V1672&lt;&gt;"",AB1672&lt;&gt;"")),"manuell übersteuert; ","")&amp;IF(AND(BW1672=0,R1672=0),"Gebinde unbekannt / Stellmass fehlt; ","")&amp;IF(AND(BW1672=0,N(V1672)&lt;=0,N(Q1672)&lt;=0),"Menge pro Gebinde fehlt (Ist = 1 Gebinde); ","")&amp;BR1672)</f>
        <v>Kein Verbrauch; nur im Artikelstamm (Bestand 23.06.2026)</v>
      </c>
      <c r="BK1672" s="48"/>
      <c r="BL1672" s="48"/>
      <c r="BM1672" s="55"/>
      <c r="BN1672" s="50" t="n">
        <v>7</v>
      </c>
      <c r="BO1672" s="50" t="n">
        <v>0</v>
      </c>
      <c r="BP1672" s="49" t="n">
        <v>0</v>
      </c>
      <c r="BQ1672" s="50" t="n">
        <v>0</v>
      </c>
      <c r="BR1672" s="48" t="s">
        <v>2579</v>
      </c>
      <c r="BS1672" s="53" t="n">
        <v>0</v>
      </c>
      <c r="BT1672" s="53" t="n">
        <v>1672</v>
      </c>
      <c r="BU1672" s="48" t="str">
        <f aca="false">IF(U1672&lt;&gt;"",UPPER(TRIM(U1672)),IF(BX1672=1,UPPER(VLOOKUP(T1672,Parameter!$I$27:$K$29,2,0)),IF(P1672="","LOSE",P1672)))</f>
        <v>S81</v>
      </c>
      <c r="BV1672" s="50" t="n">
        <f aca="false">IF(BU1672="LOSE",1,IF(N(V1672)&gt;0,V1672,IF(BX1672=1,MAX(1,N(VLOOKUP(T1672,Parameter!$I$27:$K$29,3,0)),H1672,N(N1672)),IF(N(Q1672)&gt;0,Q1672,MAX(1,H1672)))))</f>
        <v>10</v>
      </c>
      <c r="BW1672" s="53" t="n">
        <f aca="false">IF(BU1672="LOSE",1,0)</f>
        <v>0</v>
      </c>
      <c r="BX1672" s="53" t="n">
        <f aca="false">IF(AND(U1672="",OR(P1672="",P1672="LOSE"),T1672&lt;&gt;"",N(S1672)&lt;=0,ISNUMBER(MATCH(T1672,Parameter!$I$27:$I$29,0))),1,0)</f>
        <v>0</v>
      </c>
      <c r="BY1672" s="53" t="n">
        <f aca="false">IF(CL1672&gt;0,INDEX(Parameter!$H$5:$H$7,W1672)/INDEX(Parameter!$E$5:$E$7,W1672),IF(AND(BW1672=0,N(IFERROR(VLOOKUP(BU1672,'Gebinde-Kategorie'!$A$5:$N$45,14,0),0))&gt;0),VLOOKUP(BU1672,'Gebinde-Kategorie'!$A$5:$N$45,14,0)*10+Parameter!$M$23,Parameter!$M$24))</f>
        <v>235</v>
      </c>
      <c r="BZ1672" s="48" t="str">
        <f aca="false">IF(AND(Parameter!$B$19="Ja",E1672&lt;&gt;"",ISNUMBER(MATCH(E1672,Parameter!$I$35:$I$52,0))),VLOOKUP(E1672,Parameter!$I$35:$J$52,2,0),IFERROR(VLOOKUP(D1672,Parameter!$A$35:$C$64,2,0),"Nein"))</f>
        <v>2+3</v>
      </c>
      <c r="CA1672" s="52" t="n">
        <f aca="false">IF(BW1672=0,0,IF(N(S1672)&gt;0,S1672,IFERROR(VLOOKUP(D1672,Parameter!$A$35:$C$64,3,0)+0,0)))</f>
        <v>0</v>
      </c>
      <c r="CB1672" s="48" t="n">
        <f aca="false">IF(AA1672&lt;&gt;"",AA1672,Z1672)</f>
        <v>2</v>
      </c>
      <c r="CC1672" s="48" t="str">
        <f aca="false">IF(OR(CB1672=1,CB1672=2,CB1672=3),IF(Parameter!$E$27="Ja","LIFT",IF(CB1672=1,"L1","L23")),IF(CB1672="Aussen","Aussen","-"))</f>
        <v>LIFT</v>
      </c>
      <c r="CD1672" s="59" t="n">
        <f aca="false">IF(N(AB1672)&gt;0,AB1672,0)</f>
        <v>0</v>
      </c>
      <c r="CE1672" s="53" t="n">
        <f aca="false">IF(ISNUMBER(AE1672),1,0)</f>
        <v>0</v>
      </c>
      <c r="CF1672" s="50" t="n">
        <f aca="false">N(AE1672)</f>
        <v>0</v>
      </c>
      <c r="CG1672" s="50" t="n">
        <f aca="false">N(M1672)+N(N1672)</f>
        <v>1</v>
      </c>
      <c r="CH1672" s="50" t="n">
        <f aca="false">ROUNDUP(H1672/BV1672,0)</f>
        <v>1</v>
      </c>
      <c r="CI1672" s="50" t="n">
        <f aca="false">ROUNDUP(CF1672/BV1672,0)</f>
        <v>0</v>
      </c>
      <c r="CJ1672" s="53" t="n">
        <f aca="false">IF(BW1672=1,0,IFERROR(VLOOKUP(BU1672,'Gebinde-Kategorie'!$A$5:$N$45,5,0)+0,0))</f>
        <v>20</v>
      </c>
      <c r="CK1672" s="53" t="n">
        <f aca="false">IFERROR(IF(OR(CB1672=1,CB1672=2,CB1672=3),N(INDEX(Parameter!$I$5:$I$7,CB1672)),0),0)</f>
        <v>0</v>
      </c>
      <c r="CL1672" s="52" t="n">
        <f aca="false">IF(AND(Parameter!$B$21="Ja",ISNUMBER(W1672),N(X1672)&gt;0),IFERROR(N(INDEX(Parameter!$L$5:$L$7,W1672))*INDEX(Parameter!$E$5:$E$7,W1672)*X1672/SUMIFS($X$7:$X$1843,$W$7:$W$1843,W1672),0),0)</f>
        <v>0</v>
      </c>
    </row>
    <row r="1673" customFormat="false" ht="15" hidden="false" customHeight="false" outlineLevel="0" collapsed="false">
      <c r="A1673" s="48" t="s">
        <v>2907</v>
      </c>
      <c r="B1673" s="48" t="s">
        <v>301</v>
      </c>
      <c r="C1673" s="48" t="s">
        <v>168</v>
      </c>
      <c r="D1673" s="48" t="s">
        <v>177</v>
      </c>
      <c r="E1673" s="48"/>
      <c r="F1673" s="48"/>
      <c r="G1673" s="49" t="n">
        <v>330.76</v>
      </c>
      <c r="H1673" s="50" t="n">
        <f aca="false">MAX(0,IF(AND(Parameter!$B$21="Ja",ISNUMBER(Y1673)),Y1673,IF(Parameter!$B$20="Jahresanfang 2025 + Export",BO1673+BN1673,BN1673)))</f>
        <v>8</v>
      </c>
      <c r="I1673" s="50" t="n">
        <f aca="false">H1673*G1673</f>
        <v>2646.08</v>
      </c>
      <c r="J1673" s="50" t="n">
        <f aca="false">BQ1673*Parameter!$B$18</f>
        <v>0</v>
      </c>
      <c r="K1673" s="51"/>
      <c r="L1673" s="52"/>
      <c r="M1673" s="50" t="n">
        <v>0</v>
      </c>
      <c r="N1673" s="50" t="n">
        <v>1</v>
      </c>
      <c r="O1673" s="53" t="n">
        <v>21</v>
      </c>
      <c r="P1673" s="48" t="s">
        <v>227</v>
      </c>
      <c r="Q1673" s="50" t="n">
        <v>7</v>
      </c>
      <c r="R1673" s="53" t="n">
        <f aca="false">IF(BW1673=1,0,IFERROR(VLOOKUP(BU1673,'Gebinde-Kategorie'!$A$5:$N$45,13,0)+0,0))</f>
        <v>4</v>
      </c>
      <c r="S1673" s="54"/>
      <c r="T1673" s="55"/>
      <c r="U1673" s="55"/>
      <c r="V1673" s="55"/>
      <c r="W1673" s="48"/>
      <c r="X1673" s="50"/>
      <c r="Y1673" s="50"/>
      <c r="Z1673" s="48" t="n">
        <f aca="false">IF(A1673="","",IF(AND(Parameter!$B$21="Ja",ISNUMBER(W1673)),W1673,IF(BZ1673="2+3",IF(ISNUMBER(SEARCH("grosser Artikel",BR1673)),2,IFERROR(VLOOKUP(BU1673,Parameter!$F$35:$G$64,2,0),2)),IF(OR(BZ1673="Nein",BZ1673=""),"-",BZ1673))))</f>
        <v>2</v>
      </c>
      <c r="AA1673" s="55"/>
      <c r="AB1673" s="56"/>
      <c r="AC1673" s="50" t="n">
        <f aca="false">AT1673</f>
        <v>7</v>
      </c>
      <c r="AD1673" s="50" t="n">
        <f aca="false">MAX(AT1673,H1673)</f>
        <v>8</v>
      </c>
      <c r="AE1673" s="57"/>
      <c r="AF1673" s="50" t="n">
        <f aca="false">IF(LEFT(Cockpit!$C$5,1)="A",H1673,IF(CE1673=1,CF1673,IF(LEFT(Cockpit!$C$5,1)="B",AK1673,MAX(AK1673,H1673))))</f>
        <v>8</v>
      </c>
      <c r="AG1673" s="50" t="n">
        <f aca="false">IF(BW1673=1,0,ROUNDUP(AF1673/BV1673,0))</f>
        <v>2</v>
      </c>
      <c r="AH1673" s="52" t="n">
        <f aca="false">IF(CL1673&gt;0,CL1673*MAX(1,AF1673/X1673),IF(BW1673=1,IF(AF1673&lt;=0,0,CA1673*MAX(1,IF(H1673&gt;0,AF1673/H1673,1))),IF(R1673&gt;0,AG1673/R1673,0))/MAX(0.1,N(Parameter!$M$21)))</f>
        <v>0.5</v>
      </c>
      <c r="AI1673" s="50" t="n">
        <f aca="false">AH1673*BY1673</f>
        <v>117.5</v>
      </c>
      <c r="AJ1673" s="50" t="n">
        <f aca="false">AF1673*G1673</f>
        <v>2646.08</v>
      </c>
      <c r="AK1673" s="50" t="n">
        <f aca="false">ROUNDUP(MAX(J1673/IF(CD1673&gt;0,CD1673,MAX(0.1,N(Cockpit!$C$6))),CG1673)/BV1673,0)*BV1673</f>
        <v>7</v>
      </c>
      <c r="AL1673" s="51" t="n">
        <f aca="false">IF(AI1673&gt;0,J1673/AI1673,-1)</f>
        <v>0</v>
      </c>
      <c r="AM1673" s="51" t="n">
        <f aca="false">IF(AND(OR(CC1673="L1",CC1673="L23",CC1673="LIFT"),AI1673&gt;0),SUMIFS($AI$7:$AI$1843,$CC$7:$CC$1843,CC1673,$AL$7:$AL$1843,"&gt;"&amp;AL1673)+SUMIFS($AI$7:$AI$1843,$CC$7:$CC$1843,CC1673,$AL$7:$AL$1843,AL1673,$BT$7:$BT$1843,"&lt;="&amp;BT1673),"")</f>
        <v>32017.4217602078</v>
      </c>
      <c r="AN1673" s="58" t="n">
        <f aca="false">IF(AM1673="",0,MAX(0,MIN(1,(IF(CC1673="L1",Parameter!$H$5,IF(CC1673="L23",Parameter!$H$6+Parameter!$H$7,Parameter!$H$5+Parameter!$H$6+Parameter!$H$7))-(AM1673-AI1673))/AI1673)))</f>
        <v>1</v>
      </c>
      <c r="AO1673" s="50" t="n">
        <f aca="false">IF(LEFT(Cockpit!$I$5,1)="A",H1673,IF(CE1673=1,CF1673,IF(LEFT(Cockpit!$I$5,1)="B",AT1673,MAX(AT1673,H1673))))</f>
        <v>8</v>
      </c>
      <c r="AP1673" s="50" t="n">
        <f aca="false">IF(BW1673=1,0,ROUNDUP(AO1673/BV1673,0))</f>
        <v>2</v>
      </c>
      <c r="AQ1673" s="52" t="n">
        <f aca="false">IF(CL1673&gt;0,CL1673*MAX(1,AO1673/X1673),IF(BW1673=1,IF(AO1673&lt;=0,0,CA1673*MAX(1,IF(H1673&gt;0,AO1673/H1673,1))),IF(R1673&gt;0,AP1673/R1673,0))/MAX(0.1,N(Parameter!$M$21)))</f>
        <v>0.5</v>
      </c>
      <c r="AR1673" s="50" t="n">
        <f aca="false">AQ1673*BY1673</f>
        <v>117.5</v>
      </c>
      <c r="AS1673" s="50" t="n">
        <f aca="false">AO1673*G1673</f>
        <v>2646.08</v>
      </c>
      <c r="AT1673" s="50" t="n">
        <f aca="false">ROUNDUP(MAX(J1673/IF(CD1673&gt;0,CD1673,MAX(0.1,N(Cockpit!$I$6))),CG1673)/BV1673,0)*BV1673</f>
        <v>7</v>
      </c>
      <c r="AU1673" s="51" t="n">
        <f aca="false">IF(AR1673&gt;0,J1673/AR1673,-1)</f>
        <v>0</v>
      </c>
      <c r="AV1673" s="51" t="n">
        <f aca="false">IF(AND(OR(CC1673="L1",CC1673="L23",CC1673="LIFT"),AR1673&gt;0),SUMIFS($AR$7:$AR$1843,$CC$7:$CC$1843,CC1673,$AU$7:$AU$1843,"&gt;"&amp;AU1673)+SUMIFS($AR$7:$AR$1843,$CC$7:$CC$1843,CC1673,$AU$7:$AU$1843,AU1673,$BT$7:$BT$1843,"&lt;="&amp;BT1673),"")</f>
        <v>44684.1074998448</v>
      </c>
      <c r="AW1673" s="58" t="n">
        <f aca="false">IF(AV1673="",0,MAX(0,MIN(1,(IF(CC1673="L1",Parameter!$H$5,IF(CC1673="L23",Parameter!$H$6+Parameter!$H$7,Parameter!$H$5+Parameter!$H$6+Parameter!$H$7))-(AV1673-AR1673))/AR1673)))</f>
        <v>0</v>
      </c>
      <c r="AX1673" s="50" t="n">
        <f aca="false">IF(LEFT(Cockpit!$O$5,1)="A",H1673,IF(CE1673=1,CF1673,IF(LEFT(Cockpit!$O$5,1)="B",BC1673,MAX(BC1673,H1673))))</f>
        <v>8</v>
      </c>
      <c r="AY1673" s="50" t="n">
        <f aca="false">IF(BW1673=1,0,ROUNDUP(AX1673/BV1673,0))</f>
        <v>2</v>
      </c>
      <c r="AZ1673" s="52" t="n">
        <f aca="false">IF(CL1673&gt;0,CL1673*MAX(1,AX1673/X1673),IF(BW1673=1,IF(AX1673&lt;=0,0,CA1673*MAX(1,IF(H1673&gt;0,AX1673/H1673,1))),IF(R1673&gt;0,AY1673/R1673,0))/MAX(0.1,N(Parameter!$M$21)))</f>
        <v>0.5</v>
      </c>
      <c r="BA1673" s="50" t="n">
        <f aca="false">AZ1673*BY1673</f>
        <v>117.5</v>
      </c>
      <c r="BB1673" s="50" t="n">
        <f aca="false">AX1673*G1673</f>
        <v>2646.08</v>
      </c>
      <c r="BC1673" s="50" t="n">
        <f aca="false">ROUNDUP(MAX(J1673/IF(CD1673&gt;0,CD1673,MAX(0.1,N(Cockpit!$O$6))),CG1673)/BV1673,0)*BV1673</f>
        <v>7</v>
      </c>
      <c r="BD1673" s="51" t="n">
        <f aca="false">IF(BA1673&gt;0,J1673/BA1673,-1)</f>
        <v>0</v>
      </c>
      <c r="BE1673" s="51" t="n">
        <f aca="false">IF(AND(OR(CC1673="L1",CC1673="L23",CC1673="LIFT"),BA1673&gt;0),SUMIFS($BA$7:$BA$1843,$CC$7:$CC$1843,CC1673,$BD$7:$BD$1843,"&gt;"&amp;BD1673)+SUMIFS($BA$7:$BA$1843,$CC$7:$CC$1843,CC1673,$BD$7:$BD$1843,BD1673,$BT$7:$BT$1843,"&lt;="&amp;BT1673),"")</f>
        <v>41359.1195417107</v>
      </c>
      <c r="BF1673" s="58" t="n">
        <f aca="false">IF(BE1673="",0,MAX(0,MIN(1,(IF(CC1673="L1",Parameter!$H$5,IF(CC1673="L23",Parameter!$H$6+Parameter!$H$7,Parameter!$H$5+Parameter!$H$6+Parameter!$H$7))-(BE1673-BA1673))/BA1673)))</f>
        <v>0</v>
      </c>
      <c r="BG1673" s="48" t="str">
        <f aca="false">IF(AI1673&lt;=0,"",IF(CC1673="Aussen","Aussenlager",IF(CC1673="-","Nicht im Lift",IF(AN1673&gt;=1,"Lift",IF(AN1673&lt;=0,"Aussenlager","teilweise")))))</f>
        <v>Lift</v>
      </c>
      <c r="BH1673" s="48" t="str">
        <f aca="false">IF(AR1673&lt;=0,"",IF(CC1673="Aussen","Aussenlager",IF(CC1673="-","Nicht im Lift",IF(AW1673&gt;=1,"Lift",IF(AW1673&lt;=0,"Aussenlager","teilweise")))))</f>
        <v>Aussenlager</v>
      </c>
      <c r="BI1673" s="48" t="str">
        <f aca="false">IF(BA1673&lt;=0,"",IF(CC1673="Aussen","Aussenlager",IF(CC1673="-","Nicht im Lift",IF(BF1673&gt;=1,"Lift",IF(BF1673&lt;=0,"Aussenlager","teilweise")))))</f>
        <v>Aussenlager</v>
      </c>
      <c r="BJ1673" s="48" t="str">
        <f aca="false">IF(A1673="","",IF(BS1673=1,"Neu; ","")&amp;IF(AND(BS1673=0,BN1673&lt;0),"negativer Bestand (Export "&amp;BN1673&amp;"); ","")&amp;IF(J1673&lt;=0,"Kein Verbrauch; ","")&amp;IF(CL1673&gt;0,"Lift "&amp;W1673&amp;" lt. Liftbericht (Fach "&amp;X1673&amp;" Stk); ",IF(BX1673=1,"Gebinde geschätzt ("&amp;T1673&amp;"); ",IF(BW1673=1,"Lose – Tablare geschätzt; ","")))&amp;IF(H1673&gt;AT1673,"Überbestand "&amp;ROUND(H1673-AT1673,0)&amp;" Stk / CHF "&amp;ROUND((H1673-AT1673)*G1673,0)&amp;"; ","")&amp;IF(AND(CE1673=1,CF1673&lt;CG1673),"MAX &lt; MB+LG; ","")&amp;IF(AND(CK1673&gt;0,CJ1673*10&gt;CK1673),"zu hoch für Tablar; ","")&amp;IF(AND(BS1673=0,OR(CE1673=1,AA1673&lt;&gt;"",U1673&lt;&gt;"",V1673&lt;&gt;"",AB1673&lt;&gt;"")),"manuell übersteuert; ","")&amp;IF(AND(BW1673=0,R1673=0),"Gebinde unbekannt / Stellmass fehlt; ","")&amp;IF(AND(BW1673=0,N(V1673)&lt;=0,N(Q1673)&lt;=0),"Menge pro Gebinde fehlt (Ist = 1 Gebinde); ","")&amp;BR1673)</f>
        <v>Kein Verbrauch; Überbestand 1 Stk / CHF 331; nur im Artikelstamm (Bestand 23.06.2026)</v>
      </c>
      <c r="BK1673" s="48"/>
      <c r="BL1673" s="48"/>
      <c r="BM1673" s="55"/>
      <c r="BN1673" s="50" t="n">
        <v>8</v>
      </c>
      <c r="BO1673" s="50" t="n">
        <v>0</v>
      </c>
      <c r="BP1673" s="49" t="n">
        <v>0</v>
      </c>
      <c r="BQ1673" s="50" t="n">
        <v>0</v>
      </c>
      <c r="BR1673" s="48" t="s">
        <v>2579</v>
      </c>
      <c r="BS1673" s="53" t="n">
        <v>0</v>
      </c>
      <c r="BT1673" s="53" t="n">
        <v>1673</v>
      </c>
      <c r="BU1673" s="48" t="str">
        <f aca="false">IF(U1673&lt;&gt;"",UPPER(TRIM(U1673)),IF(BX1673=1,UPPER(VLOOKUP(T1673,Parameter!$I$27:$K$29,2,0)),IF(P1673="","LOSE",P1673)))</f>
        <v>S81</v>
      </c>
      <c r="BV1673" s="50" t="n">
        <f aca="false">IF(BU1673="LOSE",1,IF(N(V1673)&gt;0,V1673,IF(BX1673=1,MAX(1,N(VLOOKUP(T1673,Parameter!$I$27:$K$29,3,0)),H1673,N(N1673)),IF(N(Q1673)&gt;0,Q1673,MAX(1,H1673)))))</f>
        <v>7</v>
      </c>
      <c r="BW1673" s="53" t="n">
        <f aca="false">IF(BU1673="LOSE",1,0)</f>
        <v>0</v>
      </c>
      <c r="BX1673" s="53" t="n">
        <f aca="false">IF(AND(U1673="",OR(P1673="",P1673="LOSE"),T1673&lt;&gt;"",N(S1673)&lt;=0,ISNUMBER(MATCH(T1673,Parameter!$I$27:$I$29,0))),1,0)</f>
        <v>0</v>
      </c>
      <c r="BY1673" s="53" t="n">
        <f aca="false">IF(CL1673&gt;0,INDEX(Parameter!$H$5:$H$7,W1673)/INDEX(Parameter!$E$5:$E$7,W1673),IF(AND(BW1673=0,N(IFERROR(VLOOKUP(BU1673,'Gebinde-Kategorie'!$A$5:$N$45,14,0),0))&gt;0),VLOOKUP(BU1673,'Gebinde-Kategorie'!$A$5:$N$45,14,0)*10+Parameter!$M$23,Parameter!$M$24))</f>
        <v>235</v>
      </c>
      <c r="BZ1673" s="48" t="str">
        <f aca="false">IF(AND(Parameter!$B$19="Ja",E1673&lt;&gt;"",ISNUMBER(MATCH(E1673,Parameter!$I$35:$I$52,0))),VLOOKUP(E1673,Parameter!$I$35:$J$52,2,0),IFERROR(VLOOKUP(D1673,Parameter!$A$35:$C$64,2,0),"Nein"))</f>
        <v>2+3</v>
      </c>
      <c r="CA1673" s="52" t="n">
        <f aca="false">IF(BW1673=0,0,IF(N(S1673)&gt;0,S1673,IFERROR(VLOOKUP(D1673,Parameter!$A$35:$C$64,3,0)+0,0)))</f>
        <v>0</v>
      </c>
      <c r="CB1673" s="48" t="n">
        <f aca="false">IF(AA1673&lt;&gt;"",AA1673,Z1673)</f>
        <v>2</v>
      </c>
      <c r="CC1673" s="48" t="str">
        <f aca="false">IF(OR(CB1673=1,CB1673=2,CB1673=3),IF(Parameter!$E$27="Ja","LIFT",IF(CB1673=1,"L1","L23")),IF(CB1673="Aussen","Aussen","-"))</f>
        <v>LIFT</v>
      </c>
      <c r="CD1673" s="59" t="n">
        <f aca="false">IF(N(AB1673)&gt;0,AB1673,0)</f>
        <v>0</v>
      </c>
      <c r="CE1673" s="53" t="n">
        <f aca="false">IF(ISNUMBER(AE1673),1,0)</f>
        <v>0</v>
      </c>
      <c r="CF1673" s="50" t="n">
        <f aca="false">N(AE1673)</f>
        <v>0</v>
      </c>
      <c r="CG1673" s="50" t="n">
        <f aca="false">N(M1673)+N(N1673)</f>
        <v>1</v>
      </c>
      <c r="CH1673" s="50" t="n">
        <f aca="false">ROUNDUP(H1673/BV1673,0)</f>
        <v>2</v>
      </c>
      <c r="CI1673" s="50" t="n">
        <f aca="false">ROUNDUP(CF1673/BV1673,0)</f>
        <v>0</v>
      </c>
      <c r="CJ1673" s="53" t="n">
        <f aca="false">IF(BW1673=1,0,IFERROR(VLOOKUP(BU1673,'Gebinde-Kategorie'!$A$5:$N$45,5,0)+0,0))</f>
        <v>20</v>
      </c>
      <c r="CK1673" s="53" t="n">
        <f aca="false">IFERROR(IF(OR(CB1673=1,CB1673=2,CB1673=3),N(INDEX(Parameter!$I$5:$I$7,CB1673)),0),0)</f>
        <v>0</v>
      </c>
      <c r="CL1673" s="52" t="n">
        <f aca="false">IF(AND(Parameter!$B$21="Ja",ISNUMBER(W1673),N(X1673)&gt;0),IFERROR(N(INDEX(Parameter!$L$5:$L$7,W1673))*INDEX(Parameter!$E$5:$E$7,W1673)*X1673/SUMIFS($X$7:$X$1843,$W$7:$W$1843,W1673),0),0)</f>
        <v>0</v>
      </c>
    </row>
    <row r="1674" customFormat="false" ht="15" hidden="false" customHeight="false" outlineLevel="0" collapsed="false">
      <c r="A1674" s="48" t="s">
        <v>2908</v>
      </c>
      <c r="B1674" s="48" t="s">
        <v>1426</v>
      </c>
      <c r="C1674" s="48" t="s">
        <v>168</v>
      </c>
      <c r="D1674" s="48" t="s">
        <v>177</v>
      </c>
      <c r="E1674" s="48"/>
      <c r="F1674" s="48"/>
      <c r="G1674" s="49" t="n">
        <v>785</v>
      </c>
      <c r="H1674" s="50" t="n">
        <f aca="false">MAX(0,IF(AND(Parameter!$B$21="Ja",ISNUMBER(Y1674)),Y1674,IF(Parameter!$B$20="Jahresanfang 2025 + Export",BO1674+BN1674,BN1674)))</f>
        <v>26</v>
      </c>
      <c r="I1674" s="50" t="n">
        <f aca="false">H1674*G1674</f>
        <v>20410</v>
      </c>
      <c r="J1674" s="50" t="n">
        <f aca="false">BQ1674*Parameter!$B$18</f>
        <v>0</v>
      </c>
      <c r="K1674" s="51"/>
      <c r="L1674" s="52"/>
      <c r="M1674" s="50" t="n">
        <v>0</v>
      </c>
      <c r="N1674" s="50" t="n">
        <v>1</v>
      </c>
      <c r="O1674" s="53" t="n">
        <v>0</v>
      </c>
      <c r="P1674" s="48" t="s">
        <v>227</v>
      </c>
      <c r="Q1674" s="50" t="n">
        <v>5</v>
      </c>
      <c r="R1674" s="53" t="n">
        <f aca="false">IF(BW1674=1,0,IFERROR(VLOOKUP(BU1674,'Gebinde-Kategorie'!$A$5:$N$45,13,0)+0,0))</f>
        <v>4</v>
      </c>
      <c r="S1674" s="54"/>
      <c r="T1674" s="55"/>
      <c r="U1674" s="55"/>
      <c r="V1674" s="55"/>
      <c r="W1674" s="48"/>
      <c r="X1674" s="50"/>
      <c r="Y1674" s="50"/>
      <c r="Z1674" s="48" t="n">
        <f aca="false">IF(A1674="","",IF(AND(Parameter!$B$21="Ja",ISNUMBER(W1674)),W1674,IF(BZ1674="2+3",IF(ISNUMBER(SEARCH("grosser Artikel",BR1674)),2,IFERROR(VLOOKUP(BU1674,Parameter!$F$35:$G$64,2,0),2)),IF(OR(BZ1674="Nein",BZ1674=""),"-",BZ1674))))</f>
        <v>2</v>
      </c>
      <c r="AA1674" s="55"/>
      <c r="AB1674" s="56"/>
      <c r="AC1674" s="50" t="n">
        <f aca="false">AT1674</f>
        <v>5</v>
      </c>
      <c r="AD1674" s="50" t="n">
        <f aca="false">MAX(AT1674,H1674)</f>
        <v>26</v>
      </c>
      <c r="AE1674" s="57"/>
      <c r="AF1674" s="50" t="n">
        <f aca="false">IF(LEFT(Cockpit!$C$5,1)="A",H1674,IF(CE1674=1,CF1674,IF(LEFT(Cockpit!$C$5,1)="B",AK1674,MAX(AK1674,H1674))))</f>
        <v>26</v>
      </c>
      <c r="AG1674" s="50" t="n">
        <f aca="false">IF(BW1674=1,0,ROUNDUP(AF1674/BV1674,0))</f>
        <v>6</v>
      </c>
      <c r="AH1674" s="52" t="n">
        <f aca="false">IF(CL1674&gt;0,CL1674*MAX(1,AF1674/X1674),IF(BW1674=1,IF(AF1674&lt;=0,0,CA1674*MAX(1,IF(H1674&gt;0,AF1674/H1674,1))),IF(R1674&gt;0,AG1674/R1674,0))/MAX(0.1,N(Parameter!$M$21)))</f>
        <v>1.5</v>
      </c>
      <c r="AI1674" s="50" t="n">
        <f aca="false">AH1674*BY1674</f>
        <v>352.5</v>
      </c>
      <c r="AJ1674" s="50" t="n">
        <f aca="false">AF1674*G1674</f>
        <v>20410</v>
      </c>
      <c r="AK1674" s="50" t="n">
        <f aca="false">ROUNDUP(MAX(J1674/IF(CD1674&gt;0,CD1674,MAX(0.1,N(Cockpit!$C$6))),CG1674)/BV1674,0)*BV1674</f>
        <v>5</v>
      </c>
      <c r="AL1674" s="51" t="n">
        <f aca="false">IF(AI1674&gt;0,J1674/AI1674,-1)</f>
        <v>0</v>
      </c>
      <c r="AM1674" s="51" t="n">
        <f aca="false">IF(AND(OR(CC1674="L1",CC1674="L23",CC1674="LIFT"),AI1674&gt;0),SUMIFS($AI$7:$AI$1843,$CC$7:$CC$1843,CC1674,$AL$7:$AL$1843,"&gt;"&amp;AL1674)+SUMIFS($AI$7:$AI$1843,$CC$7:$CC$1843,CC1674,$AL$7:$AL$1843,AL1674,$BT$7:$BT$1843,"&lt;="&amp;BT1674),"")</f>
        <v>32369.9217602078</v>
      </c>
      <c r="AN1674" s="58" t="n">
        <f aca="false">IF(AM1674="",0,MAX(0,MIN(1,(IF(CC1674="L1",Parameter!$H$5,IF(CC1674="L23",Parameter!$H$6+Parameter!$H$7,Parameter!$H$5+Parameter!$H$6+Parameter!$H$7))-(AM1674-AI1674))/AI1674)))</f>
        <v>1</v>
      </c>
      <c r="AO1674" s="50" t="n">
        <f aca="false">IF(LEFT(Cockpit!$I$5,1)="A",H1674,IF(CE1674=1,CF1674,IF(LEFT(Cockpit!$I$5,1)="B",AT1674,MAX(AT1674,H1674))))</f>
        <v>26</v>
      </c>
      <c r="AP1674" s="50" t="n">
        <f aca="false">IF(BW1674=1,0,ROUNDUP(AO1674/BV1674,0))</f>
        <v>6</v>
      </c>
      <c r="AQ1674" s="52" t="n">
        <f aca="false">IF(CL1674&gt;0,CL1674*MAX(1,AO1674/X1674),IF(BW1674=1,IF(AO1674&lt;=0,0,CA1674*MAX(1,IF(H1674&gt;0,AO1674/H1674,1))),IF(R1674&gt;0,AP1674/R1674,0))/MAX(0.1,N(Parameter!$M$21)))</f>
        <v>1.5</v>
      </c>
      <c r="AR1674" s="50" t="n">
        <f aca="false">AQ1674*BY1674</f>
        <v>352.5</v>
      </c>
      <c r="AS1674" s="50" t="n">
        <f aca="false">AO1674*G1674</f>
        <v>20410</v>
      </c>
      <c r="AT1674" s="50" t="n">
        <f aca="false">ROUNDUP(MAX(J1674/IF(CD1674&gt;0,CD1674,MAX(0.1,N(Cockpit!$I$6))),CG1674)/BV1674,0)*BV1674</f>
        <v>5</v>
      </c>
      <c r="AU1674" s="51" t="n">
        <f aca="false">IF(AR1674&gt;0,J1674/AR1674,-1)</f>
        <v>0</v>
      </c>
      <c r="AV1674" s="51" t="n">
        <f aca="false">IF(AND(OR(CC1674="L1",CC1674="L23",CC1674="LIFT"),AR1674&gt;0),SUMIFS($AR$7:$AR$1843,$CC$7:$CC$1843,CC1674,$AU$7:$AU$1843,"&gt;"&amp;AU1674)+SUMIFS($AR$7:$AR$1843,$CC$7:$CC$1843,CC1674,$AU$7:$AU$1843,AU1674,$BT$7:$BT$1843,"&lt;="&amp;BT1674),"")</f>
        <v>45036.6074998448</v>
      </c>
      <c r="AW1674" s="58" t="n">
        <f aca="false">IF(AV1674="",0,MAX(0,MIN(1,(IF(CC1674="L1",Parameter!$H$5,IF(CC1674="L23",Parameter!$H$6+Parameter!$H$7,Parameter!$H$5+Parameter!$H$6+Parameter!$H$7))-(AV1674-AR1674))/AR1674)))</f>
        <v>0</v>
      </c>
      <c r="AX1674" s="50" t="n">
        <f aca="false">IF(LEFT(Cockpit!$O$5,1)="A",H1674,IF(CE1674=1,CF1674,IF(LEFT(Cockpit!$O$5,1)="B",BC1674,MAX(BC1674,H1674))))</f>
        <v>26</v>
      </c>
      <c r="AY1674" s="50" t="n">
        <f aca="false">IF(BW1674=1,0,ROUNDUP(AX1674/BV1674,0))</f>
        <v>6</v>
      </c>
      <c r="AZ1674" s="52" t="n">
        <f aca="false">IF(CL1674&gt;0,CL1674*MAX(1,AX1674/X1674),IF(BW1674=1,IF(AX1674&lt;=0,0,CA1674*MAX(1,IF(H1674&gt;0,AX1674/H1674,1))),IF(R1674&gt;0,AY1674/R1674,0))/MAX(0.1,N(Parameter!$M$21)))</f>
        <v>1.5</v>
      </c>
      <c r="BA1674" s="50" t="n">
        <f aca="false">AZ1674*BY1674</f>
        <v>352.5</v>
      </c>
      <c r="BB1674" s="50" t="n">
        <f aca="false">AX1674*G1674</f>
        <v>20410</v>
      </c>
      <c r="BC1674" s="50" t="n">
        <f aca="false">ROUNDUP(MAX(J1674/IF(CD1674&gt;0,CD1674,MAX(0.1,N(Cockpit!$O$6))),CG1674)/BV1674,0)*BV1674</f>
        <v>5</v>
      </c>
      <c r="BD1674" s="51" t="n">
        <f aca="false">IF(BA1674&gt;0,J1674/BA1674,-1)</f>
        <v>0</v>
      </c>
      <c r="BE1674" s="51" t="n">
        <f aca="false">IF(AND(OR(CC1674="L1",CC1674="L23",CC1674="LIFT"),BA1674&gt;0),SUMIFS($BA$7:$BA$1843,$CC$7:$CC$1843,CC1674,$BD$7:$BD$1843,"&gt;"&amp;BD1674)+SUMIFS($BA$7:$BA$1843,$CC$7:$CC$1843,CC1674,$BD$7:$BD$1843,BD1674,$BT$7:$BT$1843,"&lt;="&amp;BT1674),"")</f>
        <v>41711.6195417107</v>
      </c>
      <c r="BF1674" s="58" t="n">
        <f aca="false">IF(BE1674="",0,MAX(0,MIN(1,(IF(CC1674="L1",Parameter!$H$5,IF(CC1674="L23",Parameter!$H$6+Parameter!$H$7,Parameter!$H$5+Parameter!$H$6+Parameter!$H$7))-(BE1674-BA1674))/BA1674)))</f>
        <v>0</v>
      </c>
      <c r="BG1674" s="48" t="str">
        <f aca="false">IF(AI1674&lt;=0,"",IF(CC1674="Aussen","Aussenlager",IF(CC1674="-","Nicht im Lift",IF(AN1674&gt;=1,"Lift",IF(AN1674&lt;=0,"Aussenlager","teilweise")))))</f>
        <v>Lift</v>
      </c>
      <c r="BH1674" s="48" t="str">
        <f aca="false">IF(AR1674&lt;=0,"",IF(CC1674="Aussen","Aussenlager",IF(CC1674="-","Nicht im Lift",IF(AW1674&gt;=1,"Lift",IF(AW1674&lt;=0,"Aussenlager","teilweise")))))</f>
        <v>Aussenlager</v>
      </c>
      <c r="BI1674" s="48" t="str">
        <f aca="false">IF(BA1674&lt;=0,"",IF(CC1674="Aussen","Aussenlager",IF(CC1674="-","Nicht im Lift",IF(BF1674&gt;=1,"Lift",IF(BF1674&lt;=0,"Aussenlager","teilweise")))))</f>
        <v>Aussenlager</v>
      </c>
      <c r="BJ1674" s="48" t="str">
        <f aca="false">IF(A1674="","",IF(BS1674=1,"Neu; ","")&amp;IF(AND(BS1674=0,BN1674&lt;0),"negativer Bestand (Export "&amp;BN1674&amp;"); ","")&amp;IF(J1674&lt;=0,"Kein Verbrauch; ","")&amp;IF(CL1674&gt;0,"Lift "&amp;W1674&amp;" lt. Liftbericht (Fach "&amp;X1674&amp;" Stk); ",IF(BX1674=1,"Gebinde geschätzt ("&amp;T1674&amp;"); ",IF(BW1674=1,"Lose – Tablare geschätzt; ","")))&amp;IF(H1674&gt;AT1674,"Überbestand "&amp;ROUND(H1674-AT1674,0)&amp;" Stk / CHF "&amp;ROUND((H1674-AT1674)*G1674,0)&amp;"; ","")&amp;IF(AND(CE1674=1,CF1674&lt;CG1674),"MAX &lt; MB+LG; ","")&amp;IF(AND(CK1674&gt;0,CJ1674*10&gt;CK1674),"zu hoch für Tablar; ","")&amp;IF(AND(BS1674=0,OR(CE1674=1,AA1674&lt;&gt;"",U1674&lt;&gt;"",V1674&lt;&gt;"",AB1674&lt;&gt;"")),"manuell übersteuert; ","")&amp;IF(AND(BW1674=0,R1674=0),"Gebinde unbekannt / Stellmass fehlt; ","")&amp;IF(AND(BW1674=0,N(V1674)&lt;=0,N(Q1674)&lt;=0),"Menge pro Gebinde fehlt (Ist = 1 Gebinde); ","")&amp;BR1674)</f>
        <v>Kein Verbrauch; Überbestand 21 Stk / CHF 16485; nur im Artikelstamm (Bestand 23.06.2026)</v>
      </c>
      <c r="BK1674" s="48"/>
      <c r="BL1674" s="48"/>
      <c r="BM1674" s="55"/>
      <c r="BN1674" s="50" t="n">
        <v>26</v>
      </c>
      <c r="BO1674" s="50" t="n">
        <v>0</v>
      </c>
      <c r="BP1674" s="49" t="n">
        <v>0</v>
      </c>
      <c r="BQ1674" s="50" t="n">
        <v>0</v>
      </c>
      <c r="BR1674" s="48" t="s">
        <v>2579</v>
      </c>
      <c r="BS1674" s="53" t="n">
        <v>0</v>
      </c>
      <c r="BT1674" s="53" t="n">
        <v>1674</v>
      </c>
      <c r="BU1674" s="48" t="str">
        <f aca="false">IF(U1674&lt;&gt;"",UPPER(TRIM(U1674)),IF(BX1674=1,UPPER(VLOOKUP(T1674,Parameter!$I$27:$K$29,2,0)),IF(P1674="","LOSE",P1674)))</f>
        <v>S81</v>
      </c>
      <c r="BV1674" s="50" t="n">
        <f aca="false">IF(BU1674="LOSE",1,IF(N(V1674)&gt;0,V1674,IF(BX1674=1,MAX(1,N(VLOOKUP(T1674,Parameter!$I$27:$K$29,3,0)),H1674,N(N1674)),IF(N(Q1674)&gt;0,Q1674,MAX(1,H1674)))))</f>
        <v>5</v>
      </c>
      <c r="BW1674" s="53" t="n">
        <f aca="false">IF(BU1674="LOSE",1,0)</f>
        <v>0</v>
      </c>
      <c r="BX1674" s="53" t="n">
        <f aca="false">IF(AND(U1674="",OR(P1674="",P1674="LOSE"),T1674&lt;&gt;"",N(S1674)&lt;=0,ISNUMBER(MATCH(T1674,Parameter!$I$27:$I$29,0))),1,0)</f>
        <v>0</v>
      </c>
      <c r="BY1674" s="53" t="n">
        <f aca="false">IF(CL1674&gt;0,INDEX(Parameter!$H$5:$H$7,W1674)/INDEX(Parameter!$E$5:$E$7,W1674),IF(AND(BW1674=0,N(IFERROR(VLOOKUP(BU1674,'Gebinde-Kategorie'!$A$5:$N$45,14,0),0))&gt;0),VLOOKUP(BU1674,'Gebinde-Kategorie'!$A$5:$N$45,14,0)*10+Parameter!$M$23,Parameter!$M$24))</f>
        <v>235</v>
      </c>
      <c r="BZ1674" s="48" t="str">
        <f aca="false">IF(AND(Parameter!$B$19="Ja",E1674&lt;&gt;"",ISNUMBER(MATCH(E1674,Parameter!$I$35:$I$52,0))),VLOOKUP(E1674,Parameter!$I$35:$J$52,2,0),IFERROR(VLOOKUP(D1674,Parameter!$A$35:$C$64,2,0),"Nein"))</f>
        <v>2+3</v>
      </c>
      <c r="CA1674" s="52" t="n">
        <f aca="false">IF(BW1674=0,0,IF(N(S1674)&gt;0,S1674,IFERROR(VLOOKUP(D1674,Parameter!$A$35:$C$64,3,0)+0,0)))</f>
        <v>0</v>
      </c>
      <c r="CB1674" s="48" t="n">
        <f aca="false">IF(AA1674&lt;&gt;"",AA1674,Z1674)</f>
        <v>2</v>
      </c>
      <c r="CC1674" s="48" t="str">
        <f aca="false">IF(OR(CB1674=1,CB1674=2,CB1674=3),IF(Parameter!$E$27="Ja","LIFT",IF(CB1674=1,"L1","L23")),IF(CB1674="Aussen","Aussen","-"))</f>
        <v>LIFT</v>
      </c>
      <c r="CD1674" s="59" t="n">
        <f aca="false">IF(N(AB1674)&gt;0,AB1674,0)</f>
        <v>0</v>
      </c>
      <c r="CE1674" s="53" t="n">
        <f aca="false">IF(ISNUMBER(AE1674),1,0)</f>
        <v>0</v>
      </c>
      <c r="CF1674" s="50" t="n">
        <f aca="false">N(AE1674)</f>
        <v>0</v>
      </c>
      <c r="CG1674" s="50" t="n">
        <f aca="false">N(M1674)+N(N1674)</f>
        <v>1</v>
      </c>
      <c r="CH1674" s="50" t="n">
        <f aca="false">ROUNDUP(H1674/BV1674,0)</f>
        <v>6</v>
      </c>
      <c r="CI1674" s="50" t="n">
        <f aca="false">ROUNDUP(CF1674/BV1674,0)</f>
        <v>0</v>
      </c>
      <c r="CJ1674" s="53" t="n">
        <f aca="false">IF(BW1674=1,0,IFERROR(VLOOKUP(BU1674,'Gebinde-Kategorie'!$A$5:$N$45,5,0)+0,0))</f>
        <v>20</v>
      </c>
      <c r="CK1674" s="53" t="n">
        <f aca="false">IFERROR(IF(OR(CB1674=1,CB1674=2,CB1674=3),N(INDEX(Parameter!$I$5:$I$7,CB1674)),0),0)</f>
        <v>0</v>
      </c>
      <c r="CL1674" s="52" t="n">
        <f aca="false">IF(AND(Parameter!$B$21="Ja",ISNUMBER(W1674),N(X1674)&gt;0),IFERROR(N(INDEX(Parameter!$L$5:$L$7,W1674))*INDEX(Parameter!$E$5:$E$7,W1674)*X1674/SUMIFS($X$7:$X$1843,$W$7:$W$1843,W1674),0),0)</f>
        <v>0</v>
      </c>
    </row>
    <row r="1675" customFormat="false" ht="15" hidden="false" customHeight="false" outlineLevel="0" collapsed="false">
      <c r="A1675" s="48" t="s">
        <v>2909</v>
      </c>
      <c r="B1675" s="48" t="s">
        <v>2910</v>
      </c>
      <c r="C1675" s="48" t="s">
        <v>168</v>
      </c>
      <c r="D1675" s="48" t="s">
        <v>177</v>
      </c>
      <c r="E1675" s="48"/>
      <c r="F1675" s="48"/>
      <c r="G1675" s="49" t="n">
        <v>288.29</v>
      </c>
      <c r="H1675" s="50" t="n">
        <f aca="false">MAX(0,IF(AND(Parameter!$B$21="Ja",ISNUMBER(Y1675)),Y1675,IF(Parameter!$B$20="Jahresanfang 2025 + Export",BO1675+BN1675,BN1675)))</f>
        <v>13</v>
      </c>
      <c r="I1675" s="50" t="n">
        <f aca="false">H1675*G1675</f>
        <v>3747.77</v>
      </c>
      <c r="J1675" s="50" t="n">
        <f aca="false">BQ1675*Parameter!$B$18</f>
        <v>0</v>
      </c>
      <c r="K1675" s="51"/>
      <c r="L1675" s="52"/>
      <c r="M1675" s="50" t="n">
        <v>0</v>
      </c>
      <c r="N1675" s="50" t="n">
        <v>5</v>
      </c>
      <c r="O1675" s="53" t="n">
        <v>84</v>
      </c>
      <c r="P1675" s="48" t="s">
        <v>178</v>
      </c>
      <c r="Q1675" s="50" t="n">
        <v>15</v>
      </c>
      <c r="R1675" s="53" t="n">
        <f aca="false">IF(BW1675=1,0,IFERROR(VLOOKUP(BU1675,'Gebinde-Kategorie'!$A$5:$N$45,13,0)+0,0))</f>
        <v>6</v>
      </c>
      <c r="S1675" s="54"/>
      <c r="T1675" s="55"/>
      <c r="U1675" s="55"/>
      <c r="V1675" s="55"/>
      <c r="W1675" s="48"/>
      <c r="X1675" s="50"/>
      <c r="Y1675" s="50"/>
      <c r="Z1675" s="48" t="n">
        <f aca="false">IF(A1675="","",IF(AND(Parameter!$B$21="Ja",ISNUMBER(W1675)),W1675,IF(BZ1675="2+3",IF(ISNUMBER(SEARCH("grosser Artikel",BR1675)),2,IFERROR(VLOOKUP(BU1675,Parameter!$F$35:$G$64,2,0),2)),IF(OR(BZ1675="Nein",BZ1675=""),"-",BZ1675))))</f>
        <v>2</v>
      </c>
      <c r="AA1675" s="55"/>
      <c r="AB1675" s="56"/>
      <c r="AC1675" s="50" t="n">
        <f aca="false">AT1675</f>
        <v>15</v>
      </c>
      <c r="AD1675" s="50" t="n">
        <f aca="false">MAX(AT1675,H1675)</f>
        <v>15</v>
      </c>
      <c r="AE1675" s="57"/>
      <c r="AF1675" s="50" t="n">
        <f aca="false">IF(LEFT(Cockpit!$C$5,1)="A",H1675,IF(CE1675=1,CF1675,IF(LEFT(Cockpit!$C$5,1)="B",AK1675,MAX(AK1675,H1675))))</f>
        <v>13</v>
      </c>
      <c r="AG1675" s="50" t="n">
        <f aca="false">IF(BW1675=1,0,ROUNDUP(AF1675/BV1675,0))</f>
        <v>1</v>
      </c>
      <c r="AH1675" s="52" t="n">
        <f aca="false">IF(CL1675&gt;0,CL1675*MAX(1,AF1675/X1675),IF(BW1675=1,IF(AF1675&lt;=0,0,CA1675*MAX(1,IF(H1675&gt;0,AF1675/H1675,1))),IF(R1675&gt;0,AG1675/R1675,0))/MAX(0.1,N(Parameter!$M$21)))</f>
        <v>0.166666666666667</v>
      </c>
      <c r="AI1675" s="50" t="n">
        <f aca="false">AH1675*BY1675</f>
        <v>39.1666666666667</v>
      </c>
      <c r="AJ1675" s="50" t="n">
        <f aca="false">AF1675*G1675</f>
        <v>3747.77</v>
      </c>
      <c r="AK1675" s="50" t="n">
        <f aca="false">ROUNDUP(MAX(J1675/IF(CD1675&gt;0,CD1675,MAX(0.1,N(Cockpit!$C$6))),CG1675)/BV1675,0)*BV1675</f>
        <v>15</v>
      </c>
      <c r="AL1675" s="51" t="n">
        <f aca="false">IF(AI1675&gt;0,J1675/AI1675,-1)</f>
        <v>0</v>
      </c>
      <c r="AM1675" s="51" t="n">
        <f aca="false">IF(AND(OR(CC1675="L1",CC1675="L23",CC1675="LIFT"),AI1675&gt;0),SUMIFS($AI$7:$AI$1843,$CC$7:$CC$1843,CC1675,$AL$7:$AL$1843,"&gt;"&amp;AL1675)+SUMIFS($AI$7:$AI$1843,$CC$7:$CC$1843,CC1675,$AL$7:$AL$1843,AL1675,$BT$7:$BT$1843,"&lt;="&amp;BT1675),"")</f>
        <v>32409.0884268744</v>
      </c>
      <c r="AN1675" s="58" t="n">
        <f aca="false">IF(AM1675="",0,MAX(0,MIN(1,(IF(CC1675="L1",Parameter!$H$5,IF(CC1675="L23",Parameter!$H$6+Parameter!$H$7,Parameter!$H$5+Parameter!$H$6+Parameter!$H$7))-(AM1675-AI1675))/AI1675)))</f>
        <v>1</v>
      </c>
      <c r="AO1675" s="50" t="n">
        <f aca="false">IF(LEFT(Cockpit!$I$5,1)="A",H1675,IF(CE1675=1,CF1675,IF(LEFT(Cockpit!$I$5,1)="B",AT1675,MAX(AT1675,H1675))))</f>
        <v>15</v>
      </c>
      <c r="AP1675" s="50" t="n">
        <f aca="false">IF(BW1675=1,0,ROUNDUP(AO1675/BV1675,0))</f>
        <v>1</v>
      </c>
      <c r="AQ1675" s="52" t="n">
        <f aca="false">IF(CL1675&gt;0,CL1675*MAX(1,AO1675/X1675),IF(BW1675=1,IF(AO1675&lt;=0,0,CA1675*MAX(1,IF(H1675&gt;0,AO1675/H1675,1))),IF(R1675&gt;0,AP1675/R1675,0))/MAX(0.1,N(Parameter!$M$21)))</f>
        <v>0.166666666666667</v>
      </c>
      <c r="AR1675" s="50" t="n">
        <f aca="false">AQ1675*BY1675</f>
        <v>39.1666666666667</v>
      </c>
      <c r="AS1675" s="50" t="n">
        <f aca="false">AO1675*G1675</f>
        <v>4324.35</v>
      </c>
      <c r="AT1675" s="50" t="n">
        <f aca="false">ROUNDUP(MAX(J1675/IF(CD1675&gt;0,CD1675,MAX(0.1,N(Cockpit!$I$6))),CG1675)/BV1675,0)*BV1675</f>
        <v>15</v>
      </c>
      <c r="AU1675" s="51" t="n">
        <f aca="false">IF(AR1675&gt;0,J1675/AR1675,-1)</f>
        <v>0</v>
      </c>
      <c r="AV1675" s="51" t="n">
        <f aca="false">IF(AND(OR(CC1675="L1",CC1675="L23",CC1675="LIFT"),AR1675&gt;0),SUMIFS($AR$7:$AR$1843,$CC$7:$CC$1843,CC1675,$AU$7:$AU$1843,"&gt;"&amp;AU1675)+SUMIFS($AR$7:$AR$1843,$CC$7:$CC$1843,CC1675,$AU$7:$AU$1843,AU1675,$BT$7:$BT$1843,"&lt;="&amp;BT1675),"")</f>
        <v>45075.7741665115</v>
      </c>
      <c r="AW1675" s="58" t="n">
        <f aca="false">IF(AV1675="",0,MAX(0,MIN(1,(IF(CC1675="L1",Parameter!$H$5,IF(CC1675="L23",Parameter!$H$6+Parameter!$H$7,Parameter!$H$5+Parameter!$H$6+Parameter!$H$7))-(AV1675-AR1675))/AR1675)))</f>
        <v>0</v>
      </c>
      <c r="AX1675" s="50" t="n">
        <f aca="false">IF(LEFT(Cockpit!$O$5,1)="A",H1675,IF(CE1675=1,CF1675,IF(LEFT(Cockpit!$O$5,1)="B",BC1675,MAX(BC1675,H1675))))</f>
        <v>15</v>
      </c>
      <c r="AY1675" s="50" t="n">
        <f aca="false">IF(BW1675=1,0,ROUNDUP(AX1675/BV1675,0))</f>
        <v>1</v>
      </c>
      <c r="AZ1675" s="52" t="n">
        <f aca="false">IF(CL1675&gt;0,CL1675*MAX(1,AX1675/X1675),IF(BW1675=1,IF(AX1675&lt;=0,0,CA1675*MAX(1,IF(H1675&gt;0,AX1675/H1675,1))),IF(R1675&gt;0,AY1675/R1675,0))/MAX(0.1,N(Parameter!$M$21)))</f>
        <v>0.166666666666667</v>
      </c>
      <c r="BA1675" s="50" t="n">
        <f aca="false">AZ1675*BY1675</f>
        <v>39.1666666666667</v>
      </c>
      <c r="BB1675" s="50" t="n">
        <f aca="false">AX1675*G1675</f>
        <v>4324.35</v>
      </c>
      <c r="BC1675" s="50" t="n">
        <f aca="false">ROUNDUP(MAX(J1675/IF(CD1675&gt;0,CD1675,MAX(0.1,N(Cockpit!$O$6))),CG1675)/BV1675,0)*BV1675</f>
        <v>15</v>
      </c>
      <c r="BD1675" s="51" t="n">
        <f aca="false">IF(BA1675&gt;0,J1675/BA1675,-1)</f>
        <v>0</v>
      </c>
      <c r="BE1675" s="51" t="n">
        <f aca="false">IF(AND(OR(CC1675="L1",CC1675="L23",CC1675="LIFT"),BA1675&gt;0),SUMIFS($BA$7:$BA$1843,$CC$7:$CC$1843,CC1675,$BD$7:$BD$1843,"&gt;"&amp;BD1675)+SUMIFS($BA$7:$BA$1843,$CC$7:$CC$1843,CC1675,$BD$7:$BD$1843,BD1675,$BT$7:$BT$1843,"&lt;="&amp;BT1675),"")</f>
        <v>41750.7862083773</v>
      </c>
      <c r="BF1675" s="58" t="n">
        <f aca="false">IF(BE1675="",0,MAX(0,MIN(1,(IF(CC1675="L1",Parameter!$H$5,IF(CC1675="L23",Parameter!$H$6+Parameter!$H$7,Parameter!$H$5+Parameter!$H$6+Parameter!$H$7))-(BE1675-BA1675))/BA1675)))</f>
        <v>0</v>
      </c>
      <c r="BG1675" s="48" t="str">
        <f aca="false">IF(AI1675&lt;=0,"",IF(CC1675="Aussen","Aussenlager",IF(CC1675="-","Nicht im Lift",IF(AN1675&gt;=1,"Lift",IF(AN1675&lt;=0,"Aussenlager","teilweise")))))</f>
        <v>Lift</v>
      </c>
      <c r="BH1675" s="48" t="str">
        <f aca="false">IF(AR1675&lt;=0,"",IF(CC1675="Aussen","Aussenlager",IF(CC1675="-","Nicht im Lift",IF(AW1675&gt;=1,"Lift",IF(AW1675&lt;=0,"Aussenlager","teilweise")))))</f>
        <v>Aussenlager</v>
      </c>
      <c r="BI1675" s="48" t="str">
        <f aca="false">IF(BA1675&lt;=0,"",IF(CC1675="Aussen","Aussenlager",IF(CC1675="-","Nicht im Lift",IF(BF1675&gt;=1,"Lift",IF(BF1675&lt;=0,"Aussenlager","teilweise")))))</f>
        <v>Aussenlager</v>
      </c>
      <c r="BJ1675" s="48" t="str">
        <f aca="false">IF(A1675="","",IF(BS1675=1,"Neu; ","")&amp;IF(AND(BS1675=0,BN1675&lt;0),"negativer Bestand (Export "&amp;BN1675&amp;"); ","")&amp;IF(J1675&lt;=0,"Kein Verbrauch; ","")&amp;IF(CL1675&gt;0,"Lift "&amp;W1675&amp;" lt. Liftbericht (Fach "&amp;X1675&amp;" Stk); ",IF(BX1675=1,"Gebinde geschätzt ("&amp;T1675&amp;"); ",IF(BW1675=1,"Lose – Tablare geschätzt; ","")))&amp;IF(H1675&gt;AT1675,"Überbestand "&amp;ROUND(H1675-AT1675,0)&amp;" Stk / CHF "&amp;ROUND((H1675-AT1675)*G1675,0)&amp;"; ","")&amp;IF(AND(CE1675=1,CF1675&lt;CG1675),"MAX &lt; MB+LG; ","")&amp;IF(AND(CK1675&gt;0,CJ1675*10&gt;CK1675),"zu hoch für Tablar; ","")&amp;IF(AND(BS1675=0,OR(CE1675=1,AA1675&lt;&gt;"",U1675&lt;&gt;"",V1675&lt;&gt;"",AB1675&lt;&gt;"")),"manuell übersteuert; ","")&amp;IF(AND(BW1675=0,R1675=0),"Gebinde unbekannt / Stellmass fehlt; ","")&amp;IF(AND(BW1675=0,N(V1675)&lt;=0,N(Q1675)&lt;=0),"Menge pro Gebinde fehlt (Ist = 1 Gebinde); ","")&amp;BR1675)</f>
        <v>Kein Verbrauch; nur im Artikelstamm (Bestand 23.06.2026); Überbestand</v>
      </c>
      <c r="BK1675" s="48"/>
      <c r="BL1675" s="48"/>
      <c r="BM1675" s="55"/>
      <c r="BN1675" s="50" t="n">
        <v>13</v>
      </c>
      <c r="BO1675" s="50" t="n">
        <v>0</v>
      </c>
      <c r="BP1675" s="49" t="n">
        <v>0</v>
      </c>
      <c r="BQ1675" s="50" t="n">
        <v>0</v>
      </c>
      <c r="BR1675" s="48" t="s">
        <v>2576</v>
      </c>
      <c r="BS1675" s="53" t="n">
        <v>0</v>
      </c>
      <c r="BT1675" s="53" t="n">
        <v>1675</v>
      </c>
      <c r="BU1675" s="48" t="str">
        <f aca="false">IF(U1675&lt;&gt;"",UPPER(TRIM(U1675)),IF(BX1675=1,UPPER(VLOOKUP(T1675,Parameter!$I$27:$K$29,2,0)),IF(P1675="","LOSE",P1675)))</f>
        <v>S71</v>
      </c>
      <c r="BV1675" s="50" t="n">
        <f aca="false">IF(BU1675="LOSE",1,IF(N(V1675)&gt;0,V1675,IF(BX1675=1,MAX(1,N(VLOOKUP(T1675,Parameter!$I$27:$K$29,3,0)),H1675,N(N1675)),IF(N(Q1675)&gt;0,Q1675,MAX(1,H1675)))))</f>
        <v>15</v>
      </c>
      <c r="BW1675" s="53" t="n">
        <f aca="false">IF(BU1675="LOSE",1,0)</f>
        <v>0</v>
      </c>
      <c r="BX1675" s="53" t="n">
        <f aca="false">IF(AND(U1675="",OR(P1675="",P1675="LOSE"),T1675&lt;&gt;"",N(S1675)&lt;=0,ISNUMBER(MATCH(T1675,Parameter!$I$27:$I$29,0))),1,0)</f>
        <v>0</v>
      </c>
      <c r="BY1675" s="53" t="n">
        <f aca="false">IF(CL1675&gt;0,INDEX(Parameter!$H$5:$H$7,W1675)/INDEX(Parameter!$E$5:$E$7,W1675),IF(AND(BW1675=0,N(IFERROR(VLOOKUP(BU1675,'Gebinde-Kategorie'!$A$5:$N$45,14,0),0))&gt;0),VLOOKUP(BU1675,'Gebinde-Kategorie'!$A$5:$N$45,14,0)*10+Parameter!$M$23,Parameter!$M$24))</f>
        <v>235</v>
      </c>
      <c r="BZ1675" s="48" t="str">
        <f aca="false">IF(AND(Parameter!$B$19="Ja",E1675&lt;&gt;"",ISNUMBER(MATCH(E1675,Parameter!$I$35:$I$52,0))),VLOOKUP(E1675,Parameter!$I$35:$J$52,2,0),IFERROR(VLOOKUP(D1675,Parameter!$A$35:$C$64,2,0),"Nein"))</f>
        <v>2+3</v>
      </c>
      <c r="CA1675" s="52" t="n">
        <f aca="false">IF(BW1675=0,0,IF(N(S1675)&gt;0,S1675,IFERROR(VLOOKUP(D1675,Parameter!$A$35:$C$64,3,0)+0,0)))</f>
        <v>0</v>
      </c>
      <c r="CB1675" s="48" t="n">
        <f aca="false">IF(AA1675&lt;&gt;"",AA1675,Z1675)</f>
        <v>2</v>
      </c>
      <c r="CC1675" s="48" t="str">
        <f aca="false">IF(OR(CB1675=1,CB1675=2,CB1675=3),IF(Parameter!$E$27="Ja","LIFT",IF(CB1675=1,"L1","L23")),IF(CB1675="Aussen","Aussen","-"))</f>
        <v>LIFT</v>
      </c>
      <c r="CD1675" s="59" t="n">
        <f aca="false">IF(N(AB1675)&gt;0,AB1675,0)</f>
        <v>0</v>
      </c>
      <c r="CE1675" s="53" t="n">
        <f aca="false">IF(ISNUMBER(AE1675),1,0)</f>
        <v>0</v>
      </c>
      <c r="CF1675" s="50" t="n">
        <f aca="false">N(AE1675)</f>
        <v>0</v>
      </c>
      <c r="CG1675" s="50" t="n">
        <f aca="false">N(M1675)+N(N1675)</f>
        <v>5</v>
      </c>
      <c r="CH1675" s="50" t="n">
        <f aca="false">ROUNDUP(H1675/BV1675,0)</f>
        <v>1</v>
      </c>
      <c r="CI1675" s="50" t="n">
        <f aca="false">ROUNDUP(CF1675/BV1675,0)</f>
        <v>0</v>
      </c>
      <c r="CJ1675" s="53" t="n">
        <f aca="false">IF(BW1675=1,0,IFERROR(VLOOKUP(BU1675,'Gebinde-Kategorie'!$A$5:$N$45,5,0)+0,0))</f>
        <v>20</v>
      </c>
      <c r="CK1675" s="53" t="n">
        <f aca="false">IFERROR(IF(OR(CB1675=1,CB1675=2,CB1675=3),N(INDEX(Parameter!$I$5:$I$7,CB1675)),0),0)</f>
        <v>0</v>
      </c>
      <c r="CL1675" s="52" t="n">
        <f aca="false">IF(AND(Parameter!$B$21="Ja",ISNUMBER(W1675),N(X1675)&gt;0),IFERROR(N(INDEX(Parameter!$L$5:$L$7,W1675))*INDEX(Parameter!$E$5:$E$7,W1675)*X1675/SUMIFS($X$7:$X$1843,$W$7:$W$1843,W1675),0),0)</f>
        <v>0</v>
      </c>
    </row>
    <row r="1676" customFormat="false" ht="15" hidden="false" customHeight="false" outlineLevel="0" collapsed="false">
      <c r="A1676" s="48" t="s">
        <v>2911</v>
      </c>
      <c r="B1676" s="48" t="s">
        <v>526</v>
      </c>
      <c r="C1676" s="48" t="s">
        <v>168</v>
      </c>
      <c r="D1676" s="48" t="s">
        <v>177</v>
      </c>
      <c r="E1676" s="48" t="s">
        <v>189</v>
      </c>
      <c r="F1676" s="48"/>
      <c r="G1676" s="49" t="n">
        <v>486.67</v>
      </c>
      <c r="H1676" s="50" t="n">
        <f aca="false">MAX(0,IF(AND(Parameter!$B$21="Ja",ISNUMBER(Y1676)),Y1676,IF(Parameter!$B$20="Jahresanfang 2025 + Export",BO1676+BN1676,BN1676)))</f>
        <v>2</v>
      </c>
      <c r="I1676" s="50" t="n">
        <f aca="false">H1676*G1676</f>
        <v>973.34</v>
      </c>
      <c r="J1676" s="50" t="n">
        <f aca="false">BQ1676*Parameter!$B$18</f>
        <v>0</v>
      </c>
      <c r="K1676" s="51"/>
      <c r="L1676" s="52"/>
      <c r="M1676" s="50" t="n">
        <v>0</v>
      </c>
      <c r="N1676" s="50" t="n">
        <v>1</v>
      </c>
      <c r="O1676" s="53" t="n">
        <v>56</v>
      </c>
      <c r="P1676" s="48" t="s">
        <v>178</v>
      </c>
      <c r="Q1676" s="50" t="n">
        <v>7</v>
      </c>
      <c r="R1676" s="53" t="n">
        <f aca="false">IF(BW1676=1,0,IFERROR(VLOOKUP(BU1676,'Gebinde-Kategorie'!$A$5:$N$45,13,0)+0,0))</f>
        <v>6</v>
      </c>
      <c r="S1676" s="54"/>
      <c r="T1676" s="55"/>
      <c r="U1676" s="55"/>
      <c r="V1676" s="55"/>
      <c r="W1676" s="48"/>
      <c r="X1676" s="50"/>
      <c r="Y1676" s="50"/>
      <c r="Z1676" s="48" t="n">
        <f aca="false">IF(A1676="","",IF(AND(Parameter!$B$21="Ja",ISNUMBER(W1676)),W1676,IF(BZ1676="2+3",IF(ISNUMBER(SEARCH("grosser Artikel",BR1676)),2,IFERROR(VLOOKUP(BU1676,Parameter!$F$35:$G$64,2,0),2)),IF(OR(BZ1676="Nein",BZ1676=""),"-",BZ1676))))</f>
        <v>2</v>
      </c>
      <c r="AA1676" s="55"/>
      <c r="AB1676" s="56"/>
      <c r="AC1676" s="50" t="n">
        <f aca="false">AT1676</f>
        <v>7</v>
      </c>
      <c r="AD1676" s="50" t="n">
        <f aca="false">MAX(AT1676,H1676)</f>
        <v>7</v>
      </c>
      <c r="AE1676" s="57"/>
      <c r="AF1676" s="50" t="n">
        <f aca="false">IF(LEFT(Cockpit!$C$5,1)="A",H1676,IF(CE1676=1,CF1676,IF(LEFT(Cockpit!$C$5,1)="B",AK1676,MAX(AK1676,H1676))))</f>
        <v>2</v>
      </c>
      <c r="AG1676" s="50" t="n">
        <f aca="false">IF(BW1676=1,0,ROUNDUP(AF1676/BV1676,0))</f>
        <v>1</v>
      </c>
      <c r="AH1676" s="52" t="n">
        <f aca="false">IF(CL1676&gt;0,CL1676*MAX(1,AF1676/X1676),IF(BW1676=1,IF(AF1676&lt;=0,0,CA1676*MAX(1,IF(H1676&gt;0,AF1676/H1676,1))),IF(R1676&gt;0,AG1676/R1676,0))/MAX(0.1,N(Parameter!$M$21)))</f>
        <v>0.166666666666667</v>
      </c>
      <c r="AI1676" s="50" t="n">
        <f aca="false">AH1676*BY1676</f>
        <v>39.1666666666667</v>
      </c>
      <c r="AJ1676" s="50" t="n">
        <f aca="false">AF1676*G1676</f>
        <v>973.34</v>
      </c>
      <c r="AK1676" s="50" t="n">
        <f aca="false">ROUNDUP(MAX(J1676/IF(CD1676&gt;0,CD1676,MAX(0.1,N(Cockpit!$C$6))),CG1676)/BV1676,0)*BV1676</f>
        <v>7</v>
      </c>
      <c r="AL1676" s="51" t="n">
        <f aca="false">IF(AI1676&gt;0,J1676/AI1676,-1)</f>
        <v>0</v>
      </c>
      <c r="AM1676" s="51" t="n">
        <f aca="false">IF(AND(OR(CC1676="L1",CC1676="L23",CC1676="LIFT"),AI1676&gt;0),SUMIFS($AI$7:$AI$1843,$CC$7:$CC$1843,CC1676,$AL$7:$AL$1843,"&gt;"&amp;AL1676)+SUMIFS($AI$7:$AI$1843,$CC$7:$CC$1843,CC1676,$AL$7:$AL$1843,AL1676,$BT$7:$BT$1843,"&lt;="&amp;BT1676),"")</f>
        <v>32448.2550935411</v>
      </c>
      <c r="AN1676" s="58" t="n">
        <f aca="false">IF(AM1676="",0,MAX(0,MIN(1,(IF(CC1676="L1",Parameter!$H$5,IF(CC1676="L23",Parameter!$H$6+Parameter!$H$7,Parameter!$H$5+Parameter!$H$6+Parameter!$H$7))-(AM1676-AI1676))/AI1676)))</f>
        <v>1</v>
      </c>
      <c r="AO1676" s="50" t="n">
        <f aca="false">IF(LEFT(Cockpit!$I$5,1)="A",H1676,IF(CE1676=1,CF1676,IF(LEFT(Cockpit!$I$5,1)="B",AT1676,MAX(AT1676,H1676))))</f>
        <v>7</v>
      </c>
      <c r="AP1676" s="50" t="n">
        <f aca="false">IF(BW1676=1,0,ROUNDUP(AO1676/BV1676,0))</f>
        <v>1</v>
      </c>
      <c r="AQ1676" s="52" t="n">
        <f aca="false">IF(CL1676&gt;0,CL1676*MAX(1,AO1676/X1676),IF(BW1676=1,IF(AO1676&lt;=0,0,CA1676*MAX(1,IF(H1676&gt;0,AO1676/H1676,1))),IF(R1676&gt;0,AP1676/R1676,0))/MAX(0.1,N(Parameter!$M$21)))</f>
        <v>0.166666666666667</v>
      </c>
      <c r="AR1676" s="50" t="n">
        <f aca="false">AQ1676*BY1676</f>
        <v>39.1666666666667</v>
      </c>
      <c r="AS1676" s="50" t="n">
        <f aca="false">AO1676*G1676</f>
        <v>3406.69</v>
      </c>
      <c r="AT1676" s="50" t="n">
        <f aca="false">ROUNDUP(MAX(J1676/IF(CD1676&gt;0,CD1676,MAX(0.1,N(Cockpit!$I$6))),CG1676)/BV1676,0)*BV1676</f>
        <v>7</v>
      </c>
      <c r="AU1676" s="51" t="n">
        <f aca="false">IF(AR1676&gt;0,J1676/AR1676,-1)</f>
        <v>0</v>
      </c>
      <c r="AV1676" s="51" t="n">
        <f aca="false">IF(AND(OR(CC1676="L1",CC1676="L23",CC1676="LIFT"),AR1676&gt;0),SUMIFS($AR$7:$AR$1843,$CC$7:$CC$1843,CC1676,$AU$7:$AU$1843,"&gt;"&amp;AU1676)+SUMIFS($AR$7:$AR$1843,$CC$7:$CC$1843,CC1676,$AU$7:$AU$1843,AU1676,$BT$7:$BT$1843,"&lt;="&amp;BT1676),"")</f>
        <v>45114.9408331781</v>
      </c>
      <c r="AW1676" s="58" t="n">
        <f aca="false">IF(AV1676="",0,MAX(0,MIN(1,(IF(CC1676="L1",Parameter!$H$5,IF(CC1676="L23",Parameter!$H$6+Parameter!$H$7,Parameter!$H$5+Parameter!$H$6+Parameter!$H$7))-(AV1676-AR1676))/AR1676)))</f>
        <v>0</v>
      </c>
      <c r="AX1676" s="50" t="n">
        <f aca="false">IF(LEFT(Cockpit!$O$5,1)="A",H1676,IF(CE1676=1,CF1676,IF(LEFT(Cockpit!$O$5,1)="B",BC1676,MAX(BC1676,H1676))))</f>
        <v>7</v>
      </c>
      <c r="AY1676" s="50" t="n">
        <f aca="false">IF(BW1676=1,0,ROUNDUP(AX1676/BV1676,0))</f>
        <v>1</v>
      </c>
      <c r="AZ1676" s="52" t="n">
        <f aca="false">IF(CL1676&gt;0,CL1676*MAX(1,AX1676/X1676),IF(BW1676=1,IF(AX1676&lt;=0,0,CA1676*MAX(1,IF(H1676&gt;0,AX1676/H1676,1))),IF(R1676&gt;0,AY1676/R1676,0))/MAX(0.1,N(Parameter!$M$21)))</f>
        <v>0.166666666666667</v>
      </c>
      <c r="BA1676" s="50" t="n">
        <f aca="false">AZ1676*BY1676</f>
        <v>39.1666666666667</v>
      </c>
      <c r="BB1676" s="50" t="n">
        <f aca="false">AX1676*G1676</f>
        <v>3406.69</v>
      </c>
      <c r="BC1676" s="50" t="n">
        <f aca="false">ROUNDUP(MAX(J1676/IF(CD1676&gt;0,CD1676,MAX(0.1,N(Cockpit!$O$6))),CG1676)/BV1676,0)*BV1676</f>
        <v>7</v>
      </c>
      <c r="BD1676" s="51" t="n">
        <f aca="false">IF(BA1676&gt;0,J1676/BA1676,-1)</f>
        <v>0</v>
      </c>
      <c r="BE1676" s="51" t="n">
        <f aca="false">IF(AND(OR(CC1676="L1",CC1676="L23",CC1676="LIFT"),BA1676&gt;0),SUMIFS($BA$7:$BA$1843,$CC$7:$CC$1843,CC1676,$BD$7:$BD$1843,"&gt;"&amp;BD1676)+SUMIFS($BA$7:$BA$1843,$CC$7:$CC$1843,CC1676,$BD$7:$BD$1843,BD1676,$BT$7:$BT$1843,"&lt;="&amp;BT1676),"")</f>
        <v>41789.952875044</v>
      </c>
      <c r="BF1676" s="58" t="n">
        <f aca="false">IF(BE1676="",0,MAX(0,MIN(1,(IF(CC1676="L1",Parameter!$H$5,IF(CC1676="L23",Parameter!$H$6+Parameter!$H$7,Parameter!$H$5+Parameter!$H$6+Parameter!$H$7))-(BE1676-BA1676))/BA1676)))</f>
        <v>0</v>
      </c>
      <c r="BG1676" s="48" t="str">
        <f aca="false">IF(AI1676&lt;=0,"",IF(CC1676="Aussen","Aussenlager",IF(CC1676="-","Nicht im Lift",IF(AN1676&gt;=1,"Lift",IF(AN1676&lt;=0,"Aussenlager","teilweise")))))</f>
        <v>Lift</v>
      </c>
      <c r="BH1676" s="48" t="str">
        <f aca="false">IF(AR1676&lt;=0,"",IF(CC1676="Aussen","Aussenlager",IF(CC1676="-","Nicht im Lift",IF(AW1676&gt;=1,"Lift",IF(AW1676&lt;=0,"Aussenlager","teilweise")))))</f>
        <v>Aussenlager</v>
      </c>
      <c r="BI1676" s="48" t="str">
        <f aca="false">IF(BA1676&lt;=0,"",IF(CC1676="Aussen","Aussenlager",IF(CC1676="-","Nicht im Lift",IF(BF1676&gt;=1,"Lift",IF(BF1676&lt;=0,"Aussenlager","teilweise")))))</f>
        <v>Aussenlager</v>
      </c>
      <c r="BJ1676" s="48" t="str">
        <f aca="false">IF(A1676="","",IF(BS1676=1,"Neu; ","")&amp;IF(AND(BS1676=0,BN1676&lt;0),"negativer Bestand (Export "&amp;BN1676&amp;"); ","")&amp;IF(J1676&lt;=0,"Kein Verbrauch; ","")&amp;IF(CL1676&gt;0,"Lift "&amp;W1676&amp;" lt. Liftbericht (Fach "&amp;X1676&amp;" Stk); ",IF(BX1676=1,"Gebinde geschätzt ("&amp;T1676&amp;"); ",IF(BW1676=1,"Lose – Tablare geschätzt; ","")))&amp;IF(H1676&gt;AT1676,"Überbestand "&amp;ROUND(H1676-AT1676,0)&amp;" Stk / CHF "&amp;ROUND((H1676-AT1676)*G1676,0)&amp;"; ","")&amp;IF(AND(CE1676=1,CF1676&lt;CG1676),"MAX &lt; MB+LG; ","")&amp;IF(AND(CK1676&gt;0,CJ1676*10&gt;CK1676),"zu hoch für Tablar; ","")&amp;IF(AND(BS1676=0,OR(CE1676=1,AA1676&lt;&gt;"",U1676&lt;&gt;"",V1676&lt;&gt;"",AB1676&lt;&gt;"")),"manuell übersteuert; ","")&amp;IF(AND(BW1676=0,R1676=0),"Gebinde unbekannt / Stellmass fehlt; ","")&amp;IF(AND(BW1676=0,N(V1676)&lt;=0,N(Q1676)&lt;=0),"Menge pro Gebinde fehlt (Ist = 1 Gebinde); ","")&amp;BR1676)</f>
        <v>Kein Verbrauch; nur im Artikelstamm (Bestand 23.06.2026); grosser Artikel &amp; nicht im KTL</v>
      </c>
      <c r="BK1676" s="48"/>
      <c r="BL1676" s="48"/>
      <c r="BM1676" s="55"/>
      <c r="BN1676" s="50" t="n">
        <v>2</v>
      </c>
      <c r="BO1676" s="50" t="n">
        <v>0</v>
      </c>
      <c r="BP1676" s="49" t="n">
        <v>0</v>
      </c>
      <c r="BQ1676" s="50" t="n">
        <v>0</v>
      </c>
      <c r="BR1676" s="48" t="s">
        <v>2863</v>
      </c>
      <c r="BS1676" s="53" t="n">
        <v>0</v>
      </c>
      <c r="BT1676" s="53" t="n">
        <v>1676</v>
      </c>
      <c r="BU1676" s="48" t="str">
        <f aca="false">IF(U1676&lt;&gt;"",UPPER(TRIM(U1676)),IF(BX1676=1,UPPER(VLOOKUP(T1676,Parameter!$I$27:$K$29,2,0)),IF(P1676="","LOSE",P1676)))</f>
        <v>S71</v>
      </c>
      <c r="BV1676" s="50" t="n">
        <f aca="false">IF(BU1676="LOSE",1,IF(N(V1676)&gt;0,V1676,IF(BX1676=1,MAX(1,N(VLOOKUP(T1676,Parameter!$I$27:$K$29,3,0)),H1676,N(N1676)),IF(N(Q1676)&gt;0,Q1676,MAX(1,H1676)))))</f>
        <v>7</v>
      </c>
      <c r="BW1676" s="53" t="n">
        <f aca="false">IF(BU1676="LOSE",1,0)</f>
        <v>0</v>
      </c>
      <c r="BX1676" s="53" t="n">
        <f aca="false">IF(AND(U1676="",OR(P1676="",P1676="LOSE"),T1676&lt;&gt;"",N(S1676)&lt;=0,ISNUMBER(MATCH(T1676,Parameter!$I$27:$I$29,0))),1,0)</f>
        <v>0</v>
      </c>
      <c r="BY1676" s="53" t="n">
        <f aca="false">IF(CL1676&gt;0,INDEX(Parameter!$H$5:$H$7,W1676)/INDEX(Parameter!$E$5:$E$7,W1676),IF(AND(BW1676=0,N(IFERROR(VLOOKUP(BU1676,'Gebinde-Kategorie'!$A$5:$N$45,14,0),0))&gt;0),VLOOKUP(BU1676,'Gebinde-Kategorie'!$A$5:$N$45,14,0)*10+Parameter!$M$23,Parameter!$M$24))</f>
        <v>235</v>
      </c>
      <c r="BZ1676" s="48" t="str">
        <f aca="false">IF(AND(Parameter!$B$19="Ja",E1676&lt;&gt;"",ISNUMBER(MATCH(E1676,Parameter!$I$35:$I$52,0))),VLOOKUP(E1676,Parameter!$I$35:$J$52,2,0),IFERROR(VLOOKUP(D1676,Parameter!$A$35:$C$64,2,0),"Nein"))</f>
        <v>2+3</v>
      </c>
      <c r="CA1676" s="52" t="n">
        <f aca="false">IF(BW1676=0,0,IF(N(S1676)&gt;0,S1676,IFERROR(VLOOKUP(D1676,Parameter!$A$35:$C$64,3,0)+0,0)))</f>
        <v>0</v>
      </c>
      <c r="CB1676" s="48" t="n">
        <f aca="false">IF(AA1676&lt;&gt;"",AA1676,Z1676)</f>
        <v>2</v>
      </c>
      <c r="CC1676" s="48" t="str">
        <f aca="false">IF(OR(CB1676=1,CB1676=2,CB1676=3),IF(Parameter!$E$27="Ja","LIFT",IF(CB1676=1,"L1","L23")),IF(CB1676="Aussen","Aussen","-"))</f>
        <v>LIFT</v>
      </c>
      <c r="CD1676" s="59" t="n">
        <f aca="false">IF(N(AB1676)&gt;0,AB1676,0)</f>
        <v>0</v>
      </c>
      <c r="CE1676" s="53" t="n">
        <f aca="false">IF(ISNUMBER(AE1676),1,0)</f>
        <v>0</v>
      </c>
      <c r="CF1676" s="50" t="n">
        <f aca="false">N(AE1676)</f>
        <v>0</v>
      </c>
      <c r="CG1676" s="50" t="n">
        <f aca="false">N(M1676)+N(N1676)</f>
        <v>1</v>
      </c>
      <c r="CH1676" s="50" t="n">
        <f aca="false">ROUNDUP(H1676/BV1676,0)</f>
        <v>1</v>
      </c>
      <c r="CI1676" s="50" t="n">
        <f aca="false">ROUNDUP(CF1676/BV1676,0)</f>
        <v>0</v>
      </c>
      <c r="CJ1676" s="53" t="n">
        <f aca="false">IF(BW1676=1,0,IFERROR(VLOOKUP(BU1676,'Gebinde-Kategorie'!$A$5:$N$45,5,0)+0,0))</f>
        <v>20</v>
      </c>
      <c r="CK1676" s="53" t="n">
        <f aca="false">IFERROR(IF(OR(CB1676=1,CB1676=2,CB1676=3),N(INDEX(Parameter!$I$5:$I$7,CB1676)),0),0)</f>
        <v>0</v>
      </c>
      <c r="CL1676" s="52" t="n">
        <f aca="false">IF(AND(Parameter!$B$21="Ja",ISNUMBER(W1676),N(X1676)&gt;0),IFERROR(N(INDEX(Parameter!$L$5:$L$7,W1676))*INDEX(Parameter!$E$5:$E$7,W1676)*X1676/SUMIFS($X$7:$X$1843,$W$7:$W$1843,W1676),0),0)</f>
        <v>0</v>
      </c>
    </row>
    <row r="1677" customFormat="false" ht="15" hidden="false" customHeight="false" outlineLevel="0" collapsed="false">
      <c r="A1677" s="48" t="s">
        <v>2912</v>
      </c>
      <c r="B1677" s="48" t="s">
        <v>1426</v>
      </c>
      <c r="C1677" s="48" t="s">
        <v>168</v>
      </c>
      <c r="D1677" s="48" t="s">
        <v>177</v>
      </c>
      <c r="E1677" s="48"/>
      <c r="F1677" s="48"/>
      <c r="G1677" s="49" t="n">
        <v>550</v>
      </c>
      <c r="H1677" s="50" t="n">
        <f aca="false">MAX(0,IF(AND(Parameter!$B$21="Ja",ISNUMBER(Y1677)),Y1677,IF(Parameter!$B$20="Jahresanfang 2025 + Export",BO1677+BN1677,BN1677)))</f>
        <v>10</v>
      </c>
      <c r="I1677" s="50" t="n">
        <f aca="false">H1677*G1677</f>
        <v>5500</v>
      </c>
      <c r="J1677" s="50" t="n">
        <f aca="false">BQ1677*Parameter!$B$18</f>
        <v>0</v>
      </c>
      <c r="K1677" s="51"/>
      <c r="L1677" s="52"/>
      <c r="M1677" s="50" t="n">
        <v>0</v>
      </c>
      <c r="N1677" s="50" t="n">
        <v>1</v>
      </c>
      <c r="O1677" s="53" t="n">
        <v>0</v>
      </c>
      <c r="P1677" s="48" t="s">
        <v>178</v>
      </c>
      <c r="Q1677" s="50" t="n">
        <v>6</v>
      </c>
      <c r="R1677" s="53" t="n">
        <f aca="false">IF(BW1677=1,0,IFERROR(VLOOKUP(BU1677,'Gebinde-Kategorie'!$A$5:$N$45,13,0)+0,0))</f>
        <v>6</v>
      </c>
      <c r="S1677" s="54"/>
      <c r="T1677" s="55"/>
      <c r="U1677" s="55"/>
      <c r="V1677" s="55"/>
      <c r="W1677" s="48"/>
      <c r="X1677" s="50"/>
      <c r="Y1677" s="50"/>
      <c r="Z1677" s="48" t="n">
        <f aca="false">IF(A1677="","",IF(AND(Parameter!$B$21="Ja",ISNUMBER(W1677)),W1677,IF(BZ1677="2+3",IF(ISNUMBER(SEARCH("grosser Artikel",BR1677)),2,IFERROR(VLOOKUP(BU1677,Parameter!$F$35:$G$64,2,0),2)),IF(OR(BZ1677="Nein",BZ1677=""),"-",BZ1677))))</f>
        <v>2</v>
      </c>
      <c r="AA1677" s="55"/>
      <c r="AB1677" s="56"/>
      <c r="AC1677" s="50" t="n">
        <f aca="false">AT1677</f>
        <v>6</v>
      </c>
      <c r="AD1677" s="50" t="n">
        <f aca="false">MAX(AT1677,H1677)</f>
        <v>10</v>
      </c>
      <c r="AE1677" s="57"/>
      <c r="AF1677" s="50" t="n">
        <f aca="false">IF(LEFT(Cockpit!$C$5,1)="A",H1677,IF(CE1677=1,CF1677,IF(LEFT(Cockpit!$C$5,1)="B",AK1677,MAX(AK1677,H1677))))</f>
        <v>10</v>
      </c>
      <c r="AG1677" s="50" t="n">
        <f aca="false">IF(BW1677=1,0,ROUNDUP(AF1677/BV1677,0))</f>
        <v>2</v>
      </c>
      <c r="AH1677" s="52" t="n">
        <f aca="false">IF(CL1677&gt;0,CL1677*MAX(1,AF1677/X1677),IF(BW1677=1,IF(AF1677&lt;=0,0,CA1677*MAX(1,IF(H1677&gt;0,AF1677/H1677,1))),IF(R1677&gt;0,AG1677/R1677,0))/MAX(0.1,N(Parameter!$M$21)))</f>
        <v>0.333333333333333</v>
      </c>
      <c r="AI1677" s="50" t="n">
        <f aca="false">AH1677*BY1677</f>
        <v>78.3333333333333</v>
      </c>
      <c r="AJ1677" s="50" t="n">
        <f aca="false">AF1677*G1677</f>
        <v>5500</v>
      </c>
      <c r="AK1677" s="50" t="n">
        <f aca="false">ROUNDUP(MAX(J1677/IF(CD1677&gt;0,CD1677,MAX(0.1,N(Cockpit!$C$6))),CG1677)/BV1677,0)*BV1677</f>
        <v>6</v>
      </c>
      <c r="AL1677" s="51" t="n">
        <f aca="false">IF(AI1677&gt;0,J1677/AI1677,-1)</f>
        <v>0</v>
      </c>
      <c r="AM1677" s="51" t="n">
        <f aca="false">IF(AND(OR(CC1677="L1",CC1677="L23",CC1677="LIFT"),AI1677&gt;0),SUMIFS($AI$7:$AI$1843,$CC$7:$CC$1843,CC1677,$AL$7:$AL$1843,"&gt;"&amp;AL1677)+SUMIFS($AI$7:$AI$1843,$CC$7:$CC$1843,CC1677,$AL$7:$AL$1843,AL1677,$BT$7:$BT$1843,"&lt;="&amp;BT1677),"")</f>
        <v>32526.5884268744</v>
      </c>
      <c r="AN1677" s="58" t="n">
        <f aca="false">IF(AM1677="",0,MAX(0,MIN(1,(IF(CC1677="L1",Parameter!$H$5,IF(CC1677="L23",Parameter!$H$6+Parameter!$H$7,Parameter!$H$5+Parameter!$H$6+Parameter!$H$7))-(AM1677-AI1677))/AI1677)))</f>
        <v>1</v>
      </c>
      <c r="AO1677" s="50" t="n">
        <f aca="false">IF(LEFT(Cockpit!$I$5,1)="A",H1677,IF(CE1677=1,CF1677,IF(LEFT(Cockpit!$I$5,1)="B",AT1677,MAX(AT1677,H1677))))</f>
        <v>10</v>
      </c>
      <c r="AP1677" s="50" t="n">
        <f aca="false">IF(BW1677=1,0,ROUNDUP(AO1677/BV1677,0))</f>
        <v>2</v>
      </c>
      <c r="AQ1677" s="52" t="n">
        <f aca="false">IF(CL1677&gt;0,CL1677*MAX(1,AO1677/X1677),IF(BW1677=1,IF(AO1677&lt;=0,0,CA1677*MAX(1,IF(H1677&gt;0,AO1677/H1677,1))),IF(R1677&gt;0,AP1677/R1677,0))/MAX(0.1,N(Parameter!$M$21)))</f>
        <v>0.333333333333333</v>
      </c>
      <c r="AR1677" s="50" t="n">
        <f aca="false">AQ1677*BY1677</f>
        <v>78.3333333333333</v>
      </c>
      <c r="AS1677" s="50" t="n">
        <f aca="false">AO1677*G1677</f>
        <v>5500</v>
      </c>
      <c r="AT1677" s="50" t="n">
        <f aca="false">ROUNDUP(MAX(J1677/IF(CD1677&gt;0,CD1677,MAX(0.1,N(Cockpit!$I$6))),CG1677)/BV1677,0)*BV1677</f>
        <v>6</v>
      </c>
      <c r="AU1677" s="51" t="n">
        <f aca="false">IF(AR1677&gt;0,J1677/AR1677,-1)</f>
        <v>0</v>
      </c>
      <c r="AV1677" s="51" t="n">
        <f aca="false">IF(AND(OR(CC1677="L1",CC1677="L23",CC1677="LIFT"),AR1677&gt;0),SUMIFS($AR$7:$AR$1843,$CC$7:$CC$1843,CC1677,$AU$7:$AU$1843,"&gt;"&amp;AU1677)+SUMIFS($AR$7:$AR$1843,$CC$7:$CC$1843,CC1677,$AU$7:$AU$1843,AU1677,$BT$7:$BT$1843,"&lt;="&amp;BT1677),"")</f>
        <v>45193.2741665115</v>
      </c>
      <c r="AW1677" s="58" t="n">
        <f aca="false">IF(AV1677="",0,MAX(0,MIN(1,(IF(CC1677="L1",Parameter!$H$5,IF(CC1677="L23",Parameter!$H$6+Parameter!$H$7,Parameter!$H$5+Parameter!$H$6+Parameter!$H$7))-(AV1677-AR1677))/AR1677)))</f>
        <v>0</v>
      </c>
      <c r="AX1677" s="50" t="n">
        <f aca="false">IF(LEFT(Cockpit!$O$5,1)="A",H1677,IF(CE1677=1,CF1677,IF(LEFT(Cockpit!$O$5,1)="B",BC1677,MAX(BC1677,H1677))))</f>
        <v>10</v>
      </c>
      <c r="AY1677" s="50" t="n">
        <f aca="false">IF(BW1677=1,0,ROUNDUP(AX1677/BV1677,0))</f>
        <v>2</v>
      </c>
      <c r="AZ1677" s="52" t="n">
        <f aca="false">IF(CL1677&gt;0,CL1677*MAX(1,AX1677/X1677),IF(BW1677=1,IF(AX1677&lt;=0,0,CA1677*MAX(1,IF(H1677&gt;0,AX1677/H1677,1))),IF(R1677&gt;0,AY1677/R1677,0))/MAX(0.1,N(Parameter!$M$21)))</f>
        <v>0.333333333333333</v>
      </c>
      <c r="BA1677" s="50" t="n">
        <f aca="false">AZ1677*BY1677</f>
        <v>78.3333333333333</v>
      </c>
      <c r="BB1677" s="50" t="n">
        <f aca="false">AX1677*G1677</f>
        <v>5500</v>
      </c>
      <c r="BC1677" s="50" t="n">
        <f aca="false">ROUNDUP(MAX(J1677/IF(CD1677&gt;0,CD1677,MAX(0.1,N(Cockpit!$O$6))),CG1677)/BV1677,0)*BV1677</f>
        <v>6</v>
      </c>
      <c r="BD1677" s="51" t="n">
        <f aca="false">IF(BA1677&gt;0,J1677/BA1677,-1)</f>
        <v>0</v>
      </c>
      <c r="BE1677" s="51" t="n">
        <f aca="false">IF(AND(OR(CC1677="L1",CC1677="L23",CC1677="LIFT"),BA1677&gt;0),SUMIFS($BA$7:$BA$1843,$CC$7:$CC$1843,CC1677,$BD$7:$BD$1843,"&gt;"&amp;BD1677)+SUMIFS($BA$7:$BA$1843,$CC$7:$CC$1843,CC1677,$BD$7:$BD$1843,BD1677,$BT$7:$BT$1843,"&lt;="&amp;BT1677),"")</f>
        <v>41868.2862083773</v>
      </c>
      <c r="BF1677" s="58" t="n">
        <f aca="false">IF(BE1677="",0,MAX(0,MIN(1,(IF(CC1677="L1",Parameter!$H$5,IF(CC1677="L23",Parameter!$H$6+Parameter!$H$7,Parameter!$H$5+Parameter!$H$6+Parameter!$H$7))-(BE1677-BA1677))/BA1677)))</f>
        <v>0</v>
      </c>
      <c r="BG1677" s="48" t="str">
        <f aca="false">IF(AI1677&lt;=0,"",IF(CC1677="Aussen","Aussenlager",IF(CC1677="-","Nicht im Lift",IF(AN1677&gt;=1,"Lift",IF(AN1677&lt;=0,"Aussenlager","teilweise")))))</f>
        <v>Lift</v>
      </c>
      <c r="BH1677" s="48" t="str">
        <f aca="false">IF(AR1677&lt;=0,"",IF(CC1677="Aussen","Aussenlager",IF(CC1677="-","Nicht im Lift",IF(AW1677&gt;=1,"Lift",IF(AW1677&lt;=0,"Aussenlager","teilweise")))))</f>
        <v>Aussenlager</v>
      </c>
      <c r="BI1677" s="48" t="str">
        <f aca="false">IF(BA1677&lt;=0,"",IF(CC1677="Aussen","Aussenlager",IF(CC1677="-","Nicht im Lift",IF(BF1677&gt;=1,"Lift",IF(BF1677&lt;=0,"Aussenlager","teilweise")))))</f>
        <v>Aussenlager</v>
      </c>
      <c r="BJ1677" s="48" t="str">
        <f aca="false">IF(A1677="","",IF(BS1677=1,"Neu; ","")&amp;IF(AND(BS1677=0,BN1677&lt;0),"negativer Bestand (Export "&amp;BN1677&amp;"); ","")&amp;IF(J1677&lt;=0,"Kein Verbrauch; ","")&amp;IF(CL1677&gt;0,"Lift "&amp;W1677&amp;" lt. Liftbericht (Fach "&amp;X1677&amp;" Stk); ",IF(BX1677=1,"Gebinde geschätzt ("&amp;T1677&amp;"); ",IF(BW1677=1,"Lose – Tablare geschätzt; ","")))&amp;IF(H1677&gt;AT1677,"Überbestand "&amp;ROUND(H1677-AT1677,0)&amp;" Stk / CHF "&amp;ROUND((H1677-AT1677)*G1677,0)&amp;"; ","")&amp;IF(AND(CE1677=1,CF1677&lt;CG1677),"MAX &lt; MB+LG; ","")&amp;IF(AND(CK1677&gt;0,CJ1677*10&gt;CK1677),"zu hoch für Tablar; ","")&amp;IF(AND(BS1677=0,OR(CE1677=1,AA1677&lt;&gt;"",U1677&lt;&gt;"",V1677&lt;&gt;"",AB1677&lt;&gt;"")),"manuell übersteuert; ","")&amp;IF(AND(BW1677=0,R1677=0),"Gebinde unbekannt / Stellmass fehlt; ","")&amp;IF(AND(BW1677=0,N(V1677)&lt;=0,N(Q1677)&lt;=0),"Menge pro Gebinde fehlt (Ist = 1 Gebinde); ","")&amp;BR1677)</f>
        <v>Kein Verbrauch; Überbestand 4 Stk / CHF 2200; nur im Artikelstamm (Bestand 23.06.2026)</v>
      </c>
      <c r="BK1677" s="48"/>
      <c r="BL1677" s="48"/>
      <c r="BM1677" s="55"/>
      <c r="BN1677" s="50" t="n">
        <v>10</v>
      </c>
      <c r="BO1677" s="50" t="n">
        <v>0</v>
      </c>
      <c r="BP1677" s="49" t="n">
        <v>0</v>
      </c>
      <c r="BQ1677" s="50" t="n">
        <v>0</v>
      </c>
      <c r="BR1677" s="48" t="s">
        <v>2579</v>
      </c>
      <c r="BS1677" s="53" t="n">
        <v>0</v>
      </c>
      <c r="BT1677" s="53" t="n">
        <v>1677</v>
      </c>
      <c r="BU1677" s="48" t="str">
        <f aca="false">IF(U1677&lt;&gt;"",UPPER(TRIM(U1677)),IF(BX1677=1,UPPER(VLOOKUP(T1677,Parameter!$I$27:$K$29,2,0)),IF(P1677="","LOSE",P1677)))</f>
        <v>S71</v>
      </c>
      <c r="BV1677" s="50" t="n">
        <f aca="false">IF(BU1677="LOSE",1,IF(N(V1677)&gt;0,V1677,IF(BX1677=1,MAX(1,N(VLOOKUP(T1677,Parameter!$I$27:$K$29,3,0)),H1677,N(N1677)),IF(N(Q1677)&gt;0,Q1677,MAX(1,H1677)))))</f>
        <v>6</v>
      </c>
      <c r="BW1677" s="53" t="n">
        <f aca="false">IF(BU1677="LOSE",1,0)</f>
        <v>0</v>
      </c>
      <c r="BX1677" s="53" t="n">
        <f aca="false">IF(AND(U1677="",OR(P1677="",P1677="LOSE"),T1677&lt;&gt;"",N(S1677)&lt;=0,ISNUMBER(MATCH(T1677,Parameter!$I$27:$I$29,0))),1,0)</f>
        <v>0</v>
      </c>
      <c r="BY1677" s="53" t="n">
        <f aca="false">IF(CL1677&gt;0,INDEX(Parameter!$H$5:$H$7,W1677)/INDEX(Parameter!$E$5:$E$7,W1677),IF(AND(BW1677=0,N(IFERROR(VLOOKUP(BU1677,'Gebinde-Kategorie'!$A$5:$N$45,14,0),0))&gt;0),VLOOKUP(BU1677,'Gebinde-Kategorie'!$A$5:$N$45,14,0)*10+Parameter!$M$23,Parameter!$M$24))</f>
        <v>235</v>
      </c>
      <c r="BZ1677" s="48" t="str">
        <f aca="false">IF(AND(Parameter!$B$19="Ja",E1677&lt;&gt;"",ISNUMBER(MATCH(E1677,Parameter!$I$35:$I$52,0))),VLOOKUP(E1677,Parameter!$I$35:$J$52,2,0),IFERROR(VLOOKUP(D1677,Parameter!$A$35:$C$64,2,0),"Nein"))</f>
        <v>2+3</v>
      </c>
      <c r="CA1677" s="52" t="n">
        <f aca="false">IF(BW1677=0,0,IF(N(S1677)&gt;0,S1677,IFERROR(VLOOKUP(D1677,Parameter!$A$35:$C$64,3,0)+0,0)))</f>
        <v>0</v>
      </c>
      <c r="CB1677" s="48" t="n">
        <f aca="false">IF(AA1677&lt;&gt;"",AA1677,Z1677)</f>
        <v>2</v>
      </c>
      <c r="CC1677" s="48" t="str">
        <f aca="false">IF(OR(CB1677=1,CB1677=2,CB1677=3),IF(Parameter!$E$27="Ja","LIFT",IF(CB1677=1,"L1","L23")),IF(CB1677="Aussen","Aussen","-"))</f>
        <v>LIFT</v>
      </c>
      <c r="CD1677" s="59" t="n">
        <f aca="false">IF(N(AB1677)&gt;0,AB1677,0)</f>
        <v>0</v>
      </c>
      <c r="CE1677" s="53" t="n">
        <f aca="false">IF(ISNUMBER(AE1677),1,0)</f>
        <v>0</v>
      </c>
      <c r="CF1677" s="50" t="n">
        <f aca="false">N(AE1677)</f>
        <v>0</v>
      </c>
      <c r="CG1677" s="50" t="n">
        <f aca="false">N(M1677)+N(N1677)</f>
        <v>1</v>
      </c>
      <c r="CH1677" s="50" t="n">
        <f aca="false">ROUNDUP(H1677/BV1677,0)</f>
        <v>2</v>
      </c>
      <c r="CI1677" s="50" t="n">
        <f aca="false">ROUNDUP(CF1677/BV1677,0)</f>
        <v>0</v>
      </c>
      <c r="CJ1677" s="53" t="n">
        <f aca="false">IF(BW1677=1,0,IFERROR(VLOOKUP(BU1677,'Gebinde-Kategorie'!$A$5:$N$45,5,0)+0,0))</f>
        <v>20</v>
      </c>
      <c r="CK1677" s="53" t="n">
        <f aca="false">IFERROR(IF(OR(CB1677=1,CB1677=2,CB1677=3),N(INDEX(Parameter!$I$5:$I$7,CB1677)),0),0)</f>
        <v>0</v>
      </c>
      <c r="CL1677" s="52" t="n">
        <f aca="false">IF(AND(Parameter!$B$21="Ja",ISNUMBER(W1677),N(X1677)&gt;0),IFERROR(N(INDEX(Parameter!$L$5:$L$7,W1677))*INDEX(Parameter!$E$5:$E$7,W1677)*X1677/SUMIFS($X$7:$X$1843,$W$7:$W$1843,W1677),0),0)</f>
        <v>0</v>
      </c>
    </row>
    <row r="1678" customFormat="false" ht="15" hidden="false" customHeight="false" outlineLevel="0" collapsed="false">
      <c r="A1678" s="48" t="s">
        <v>2913</v>
      </c>
      <c r="B1678" s="48" t="s">
        <v>351</v>
      </c>
      <c r="C1678" s="48" t="s">
        <v>168</v>
      </c>
      <c r="D1678" s="48" t="s">
        <v>177</v>
      </c>
      <c r="E1678" s="48" t="s">
        <v>177</v>
      </c>
      <c r="F1678" s="48"/>
      <c r="G1678" s="49" t="n">
        <v>100.12</v>
      </c>
      <c r="H1678" s="50" t="n">
        <f aca="false">MAX(0,IF(AND(Parameter!$B$21="Ja",ISNUMBER(Y1678)),Y1678,IF(Parameter!$B$20="Jahresanfang 2025 + Export",BO1678+BN1678,BN1678)))</f>
        <v>25</v>
      </c>
      <c r="I1678" s="50" t="n">
        <f aca="false">H1678*G1678</f>
        <v>2503</v>
      </c>
      <c r="J1678" s="50" t="n">
        <f aca="false">BQ1678*Parameter!$B$18</f>
        <v>0</v>
      </c>
      <c r="K1678" s="51"/>
      <c r="L1678" s="52"/>
      <c r="M1678" s="50" t="n">
        <v>0</v>
      </c>
      <c r="N1678" s="50" t="n">
        <v>10</v>
      </c>
      <c r="O1678" s="53" t="n">
        <v>77</v>
      </c>
      <c r="P1678" s="48" t="s">
        <v>297</v>
      </c>
      <c r="Q1678" s="50" t="n">
        <v>25</v>
      </c>
      <c r="R1678" s="53" t="n">
        <f aca="false">IF(BW1678=1,0,IFERROR(VLOOKUP(BU1678,'Gebinde-Kategorie'!$A$5:$N$45,13,0)+0,0))</f>
        <v>12</v>
      </c>
      <c r="S1678" s="54"/>
      <c r="T1678" s="55"/>
      <c r="U1678" s="55"/>
      <c r="V1678" s="55"/>
      <c r="W1678" s="48"/>
      <c r="X1678" s="50"/>
      <c r="Y1678" s="50"/>
      <c r="Z1678" s="48" t="str">
        <f aca="false">IF(A1678="","",IF(AND(Parameter!$B$21="Ja",ISNUMBER(W1678)),W1678,IF(BZ1678="2+3",IF(ISNUMBER(SEARCH("grosser Artikel",BR1678)),2,IFERROR(VLOOKUP(BU1678,Parameter!$F$35:$G$64,2,0),2)),IF(OR(BZ1678="Nein",BZ1678=""),"-",BZ1678))))</f>
        <v>-</v>
      </c>
      <c r="AA1678" s="55"/>
      <c r="AB1678" s="56"/>
      <c r="AC1678" s="50" t="n">
        <f aca="false">AT1678</f>
        <v>25</v>
      </c>
      <c r="AD1678" s="50" t="n">
        <f aca="false">MAX(AT1678,H1678)</f>
        <v>25</v>
      </c>
      <c r="AE1678" s="57"/>
      <c r="AF1678" s="50" t="n">
        <f aca="false">IF(LEFT(Cockpit!$C$5,1)="A",H1678,IF(CE1678=1,CF1678,IF(LEFT(Cockpit!$C$5,1)="B",AK1678,MAX(AK1678,H1678))))</f>
        <v>25</v>
      </c>
      <c r="AG1678" s="50" t="n">
        <f aca="false">IF(BW1678=1,0,ROUNDUP(AF1678/BV1678,0))</f>
        <v>1</v>
      </c>
      <c r="AH1678" s="52" t="n">
        <f aca="false">IF(CL1678&gt;0,CL1678*MAX(1,AF1678/X1678),IF(BW1678=1,IF(AF1678&lt;=0,0,CA1678*MAX(1,IF(H1678&gt;0,AF1678/H1678,1))),IF(R1678&gt;0,AG1678/R1678,0))/MAX(0.1,N(Parameter!$M$21)))</f>
        <v>0.0833333333333333</v>
      </c>
      <c r="AI1678" s="50" t="n">
        <f aca="false">AH1678*BY1678</f>
        <v>20.4166666666667</v>
      </c>
      <c r="AJ1678" s="50" t="n">
        <f aca="false">AF1678*G1678</f>
        <v>2503</v>
      </c>
      <c r="AK1678" s="50" t="n">
        <f aca="false">ROUNDUP(MAX(J1678/IF(CD1678&gt;0,CD1678,MAX(0.1,N(Cockpit!$C$6))),CG1678)/BV1678,0)*BV1678</f>
        <v>25</v>
      </c>
      <c r="AL1678" s="51" t="n">
        <f aca="false">IF(AI1678&gt;0,J1678/AI1678,-1)</f>
        <v>0</v>
      </c>
      <c r="AM1678" s="51" t="str">
        <f aca="false">IF(AND(OR(CC1678="L1",CC1678="L23",CC1678="LIFT"),AI1678&gt;0),SUMIFS($AI$7:$AI$1843,$CC$7:$CC$1843,CC1678,$AL$7:$AL$1843,"&gt;"&amp;AL1678)+SUMIFS($AI$7:$AI$1843,$CC$7:$CC$1843,CC1678,$AL$7:$AL$1843,AL1678,$BT$7:$BT$1843,"&lt;="&amp;BT1678),"")</f>
        <v/>
      </c>
      <c r="AN1678" s="58" t="n">
        <f aca="false">IF(AM1678="",0,MAX(0,MIN(1,(IF(CC1678="L1",Parameter!$H$5,IF(CC1678="L23",Parameter!$H$6+Parameter!$H$7,Parameter!$H$5+Parameter!$H$6+Parameter!$H$7))-(AM1678-AI1678))/AI1678)))</f>
        <v>0</v>
      </c>
      <c r="AO1678" s="50" t="n">
        <f aca="false">IF(LEFT(Cockpit!$I$5,1)="A",H1678,IF(CE1678=1,CF1678,IF(LEFT(Cockpit!$I$5,1)="B",AT1678,MAX(AT1678,H1678))))</f>
        <v>25</v>
      </c>
      <c r="AP1678" s="50" t="n">
        <f aca="false">IF(BW1678=1,0,ROUNDUP(AO1678/BV1678,0))</f>
        <v>1</v>
      </c>
      <c r="AQ1678" s="52" t="n">
        <f aca="false">IF(CL1678&gt;0,CL1678*MAX(1,AO1678/X1678),IF(BW1678=1,IF(AO1678&lt;=0,0,CA1678*MAX(1,IF(H1678&gt;0,AO1678/H1678,1))),IF(R1678&gt;0,AP1678/R1678,0))/MAX(0.1,N(Parameter!$M$21)))</f>
        <v>0.0833333333333333</v>
      </c>
      <c r="AR1678" s="50" t="n">
        <f aca="false">AQ1678*BY1678</f>
        <v>20.4166666666667</v>
      </c>
      <c r="AS1678" s="50" t="n">
        <f aca="false">AO1678*G1678</f>
        <v>2503</v>
      </c>
      <c r="AT1678" s="50" t="n">
        <f aca="false">ROUNDUP(MAX(J1678/IF(CD1678&gt;0,CD1678,MAX(0.1,N(Cockpit!$I$6))),CG1678)/BV1678,0)*BV1678</f>
        <v>25</v>
      </c>
      <c r="AU1678" s="51" t="n">
        <f aca="false">IF(AR1678&gt;0,J1678/AR1678,-1)</f>
        <v>0</v>
      </c>
      <c r="AV1678" s="51" t="str">
        <f aca="false">IF(AND(OR(CC1678="L1",CC1678="L23",CC1678="LIFT"),AR1678&gt;0),SUMIFS($AR$7:$AR$1843,$CC$7:$CC$1843,CC1678,$AU$7:$AU$1843,"&gt;"&amp;AU1678)+SUMIFS($AR$7:$AR$1843,$CC$7:$CC$1843,CC1678,$AU$7:$AU$1843,AU1678,$BT$7:$BT$1843,"&lt;="&amp;BT1678),"")</f>
        <v/>
      </c>
      <c r="AW1678" s="58" t="n">
        <f aca="false">IF(AV1678="",0,MAX(0,MIN(1,(IF(CC1678="L1",Parameter!$H$5,IF(CC1678="L23",Parameter!$H$6+Parameter!$H$7,Parameter!$H$5+Parameter!$H$6+Parameter!$H$7))-(AV1678-AR1678))/AR1678)))</f>
        <v>0</v>
      </c>
      <c r="AX1678" s="50" t="n">
        <f aca="false">IF(LEFT(Cockpit!$O$5,1)="A",H1678,IF(CE1678=1,CF1678,IF(LEFT(Cockpit!$O$5,1)="B",BC1678,MAX(BC1678,H1678))))</f>
        <v>25</v>
      </c>
      <c r="AY1678" s="50" t="n">
        <f aca="false">IF(BW1678=1,0,ROUNDUP(AX1678/BV1678,0))</f>
        <v>1</v>
      </c>
      <c r="AZ1678" s="52" t="n">
        <f aca="false">IF(CL1678&gt;0,CL1678*MAX(1,AX1678/X1678),IF(BW1678=1,IF(AX1678&lt;=0,0,CA1678*MAX(1,IF(H1678&gt;0,AX1678/H1678,1))),IF(R1678&gt;0,AY1678/R1678,0))/MAX(0.1,N(Parameter!$M$21)))</f>
        <v>0.0833333333333333</v>
      </c>
      <c r="BA1678" s="50" t="n">
        <f aca="false">AZ1678*BY1678</f>
        <v>20.4166666666667</v>
      </c>
      <c r="BB1678" s="50" t="n">
        <f aca="false">AX1678*G1678</f>
        <v>2503</v>
      </c>
      <c r="BC1678" s="50" t="n">
        <f aca="false">ROUNDUP(MAX(J1678/IF(CD1678&gt;0,CD1678,MAX(0.1,N(Cockpit!$O$6))),CG1678)/BV1678,0)*BV1678</f>
        <v>25</v>
      </c>
      <c r="BD1678" s="51" t="n">
        <f aca="false">IF(BA1678&gt;0,J1678/BA1678,-1)</f>
        <v>0</v>
      </c>
      <c r="BE1678" s="51" t="str">
        <f aca="false">IF(AND(OR(CC1678="L1",CC1678="L23",CC1678="LIFT"),BA1678&gt;0),SUMIFS($BA$7:$BA$1843,$CC$7:$CC$1843,CC1678,$BD$7:$BD$1843,"&gt;"&amp;BD1678)+SUMIFS($BA$7:$BA$1843,$CC$7:$CC$1843,CC1678,$BD$7:$BD$1843,BD1678,$BT$7:$BT$1843,"&lt;="&amp;BT1678),"")</f>
        <v/>
      </c>
      <c r="BF1678" s="58" t="n">
        <f aca="false">IF(BE1678="",0,MAX(0,MIN(1,(IF(CC1678="L1",Parameter!$H$5,IF(CC1678="L23",Parameter!$H$6+Parameter!$H$7,Parameter!$H$5+Parameter!$H$6+Parameter!$H$7))-(BE1678-BA1678))/BA1678)))</f>
        <v>0</v>
      </c>
      <c r="BG1678" s="48" t="str">
        <f aca="false">IF(AI1678&lt;=0,"",IF(CC1678="Aussen","Aussenlager",IF(CC1678="-","Nicht im Lift",IF(AN1678&gt;=1,"Lift",IF(AN1678&lt;=0,"Aussenlager","teilweise")))))</f>
        <v>Nicht im Lift</v>
      </c>
      <c r="BH1678" s="48" t="str">
        <f aca="false">IF(AR1678&lt;=0,"",IF(CC1678="Aussen","Aussenlager",IF(CC1678="-","Nicht im Lift",IF(AW1678&gt;=1,"Lift",IF(AW1678&lt;=0,"Aussenlager","teilweise")))))</f>
        <v>Nicht im Lift</v>
      </c>
      <c r="BI1678" s="48" t="str">
        <f aca="false">IF(BA1678&lt;=0,"",IF(CC1678="Aussen","Aussenlager",IF(CC1678="-","Nicht im Lift",IF(BF1678&gt;=1,"Lift",IF(BF1678&lt;=0,"Aussenlager","teilweise")))))</f>
        <v>Nicht im Lift</v>
      </c>
      <c r="BJ1678" s="48" t="str">
        <f aca="false">IF(A1678="","",IF(BS1678=1,"Neu; ","")&amp;IF(AND(BS1678=0,BN1678&lt;0),"negativer Bestand (Export "&amp;BN1678&amp;"); ","")&amp;IF(J1678&lt;=0,"Kein Verbrauch; ","")&amp;IF(CL1678&gt;0,"Lift "&amp;W1678&amp;" lt. Liftbericht (Fach "&amp;X1678&amp;" Stk); ",IF(BX1678=1,"Gebinde geschätzt ("&amp;T1678&amp;"); ",IF(BW1678=1,"Lose – Tablare geschätzt; ","")))&amp;IF(H1678&gt;AT1678,"Überbestand "&amp;ROUND(H1678-AT1678,0)&amp;" Stk / CHF "&amp;ROUND((H1678-AT1678)*G1678,0)&amp;"; ","")&amp;IF(AND(CE1678=1,CF1678&lt;CG1678),"MAX &lt; MB+LG; ","")&amp;IF(AND(CK1678&gt;0,CJ1678*10&gt;CK1678),"zu hoch für Tablar; ","")&amp;IF(AND(BS1678=0,OR(CE1678=1,AA1678&lt;&gt;"",U1678&lt;&gt;"",V1678&lt;&gt;"",AB1678&lt;&gt;"")),"manuell übersteuert; ","")&amp;IF(AND(BW1678=0,R1678=0),"Gebinde unbekannt / Stellmass fehlt; ","")&amp;IF(AND(BW1678=0,N(V1678)&lt;=0,N(Q1678)&lt;=0),"Menge pro Gebinde fehlt (Ist = 1 Gebinde); ","")&amp;BR1678)</f>
        <v>Kein Verbrauch; nur im Artikelstamm (Bestand 23.06.2026); Überbestand</v>
      </c>
      <c r="BK1678" s="48"/>
      <c r="BL1678" s="48"/>
      <c r="BM1678" s="55"/>
      <c r="BN1678" s="50" t="n">
        <v>25</v>
      </c>
      <c r="BO1678" s="50" t="n">
        <v>0</v>
      </c>
      <c r="BP1678" s="49" t="n">
        <v>0</v>
      </c>
      <c r="BQ1678" s="50" t="n">
        <v>0</v>
      </c>
      <c r="BR1678" s="48" t="s">
        <v>2576</v>
      </c>
      <c r="BS1678" s="53" t="n">
        <v>0</v>
      </c>
      <c r="BT1678" s="53" t="n">
        <v>1678</v>
      </c>
      <c r="BU1678" s="48" t="str">
        <f aca="false">IF(U1678&lt;&gt;"",UPPER(TRIM(U1678)),IF(BX1678=1,UPPER(VLOOKUP(T1678,Parameter!$I$27:$K$29,2,0)),IF(P1678="","LOSE",P1678)))</f>
        <v>S62</v>
      </c>
      <c r="BV1678" s="50" t="n">
        <f aca="false">IF(BU1678="LOSE",1,IF(N(V1678)&gt;0,V1678,IF(BX1678=1,MAX(1,N(VLOOKUP(T1678,Parameter!$I$27:$K$29,3,0)),H1678,N(N1678)),IF(N(Q1678)&gt;0,Q1678,MAX(1,H1678)))))</f>
        <v>25</v>
      </c>
      <c r="BW1678" s="53" t="n">
        <f aca="false">IF(BU1678="LOSE",1,0)</f>
        <v>0</v>
      </c>
      <c r="BX1678" s="53" t="n">
        <f aca="false">IF(AND(U1678="",OR(P1678="",P1678="LOSE"),T1678&lt;&gt;"",N(S1678)&lt;=0,ISNUMBER(MATCH(T1678,Parameter!$I$27:$I$29,0))),1,0)</f>
        <v>0</v>
      </c>
      <c r="BY1678" s="53" t="n">
        <f aca="false">IF(CL1678&gt;0,INDEX(Parameter!$H$5:$H$7,W1678)/INDEX(Parameter!$E$5:$E$7,W1678),IF(AND(BW1678=0,N(IFERROR(VLOOKUP(BU1678,'Gebinde-Kategorie'!$A$5:$N$45,14,0),0))&gt;0),VLOOKUP(BU1678,'Gebinde-Kategorie'!$A$5:$N$45,14,0)*10+Parameter!$M$23,Parameter!$M$24))</f>
        <v>245</v>
      </c>
      <c r="BZ1678" s="48" t="str">
        <f aca="false">IF(AND(Parameter!$B$19="Ja",E1678&lt;&gt;"",ISNUMBER(MATCH(E1678,Parameter!$I$35:$I$52,0))),VLOOKUP(E1678,Parameter!$I$35:$J$52,2,0),IFERROR(VLOOKUP(D1678,Parameter!$A$35:$C$64,2,0),"Nein"))</f>
        <v>Nein</v>
      </c>
      <c r="CA1678" s="52" t="n">
        <f aca="false">IF(BW1678=0,0,IF(N(S1678)&gt;0,S1678,IFERROR(VLOOKUP(D1678,Parameter!$A$35:$C$64,3,0)+0,0)))</f>
        <v>0</v>
      </c>
      <c r="CB1678" s="48" t="str">
        <f aca="false">IF(AA1678&lt;&gt;"",AA1678,Z1678)</f>
        <v>-</v>
      </c>
      <c r="CC1678" s="48" t="str">
        <f aca="false">IF(OR(CB1678=1,CB1678=2,CB1678=3),IF(Parameter!$E$27="Ja","LIFT",IF(CB1678=1,"L1","L23")),IF(CB1678="Aussen","Aussen","-"))</f>
        <v>-</v>
      </c>
      <c r="CD1678" s="59" t="n">
        <f aca="false">IF(N(AB1678)&gt;0,AB1678,0)</f>
        <v>0</v>
      </c>
      <c r="CE1678" s="53" t="n">
        <f aca="false">IF(ISNUMBER(AE1678),1,0)</f>
        <v>0</v>
      </c>
      <c r="CF1678" s="50" t="n">
        <f aca="false">N(AE1678)</f>
        <v>0</v>
      </c>
      <c r="CG1678" s="50" t="n">
        <f aca="false">N(M1678)+N(N1678)</f>
        <v>10</v>
      </c>
      <c r="CH1678" s="50" t="n">
        <f aca="false">ROUNDUP(H1678/BV1678,0)</f>
        <v>1</v>
      </c>
      <c r="CI1678" s="50" t="n">
        <f aca="false">ROUNDUP(CF1678/BV1678,0)</f>
        <v>0</v>
      </c>
      <c r="CJ1678" s="53" t="n">
        <f aca="false">IF(BW1678=1,0,IFERROR(VLOOKUP(BU1678,'Gebinde-Kategorie'!$A$5:$N$45,5,0)+0,0))</f>
        <v>21</v>
      </c>
      <c r="CK1678" s="53" t="n">
        <f aca="false">IFERROR(IF(OR(CB1678=1,CB1678=2,CB1678=3),N(INDEX(Parameter!$I$5:$I$7,CB1678)),0),0)</f>
        <v>0</v>
      </c>
      <c r="CL1678" s="52" t="n">
        <f aca="false">IF(AND(Parameter!$B$21="Ja",ISNUMBER(W1678),N(X1678)&gt;0),IFERROR(N(INDEX(Parameter!$L$5:$L$7,W1678))*INDEX(Parameter!$E$5:$E$7,W1678)*X1678/SUMIFS($X$7:$X$1843,$W$7:$W$1843,W1678),0),0)</f>
        <v>0</v>
      </c>
    </row>
    <row r="1679" customFormat="false" ht="15" hidden="false" customHeight="false" outlineLevel="0" collapsed="false">
      <c r="A1679" s="48" t="s">
        <v>2914</v>
      </c>
      <c r="B1679" s="48" t="s">
        <v>2718</v>
      </c>
      <c r="C1679" s="48" t="s">
        <v>168</v>
      </c>
      <c r="D1679" s="48" t="s">
        <v>188</v>
      </c>
      <c r="E1679" s="48"/>
      <c r="F1679" s="48"/>
      <c r="G1679" s="49" t="n">
        <v>14.43</v>
      </c>
      <c r="H1679" s="50" t="n">
        <f aca="false">MAX(0,IF(AND(Parameter!$B$21="Ja",ISNUMBER(Y1679)),Y1679,IF(Parameter!$B$20="Jahresanfang 2025 + Export",BO1679+BN1679,BN1679)))</f>
        <v>20</v>
      </c>
      <c r="I1679" s="50" t="n">
        <f aca="false">H1679*G1679</f>
        <v>288.6</v>
      </c>
      <c r="J1679" s="50" t="n">
        <f aca="false">BQ1679*Parameter!$B$18</f>
        <v>0</v>
      </c>
      <c r="K1679" s="51"/>
      <c r="L1679" s="52"/>
      <c r="M1679" s="50" t="n">
        <v>0</v>
      </c>
      <c r="N1679" s="50" t="n">
        <v>20</v>
      </c>
      <c r="O1679" s="53" t="n">
        <v>28</v>
      </c>
      <c r="P1679" s="48" t="s">
        <v>297</v>
      </c>
      <c r="Q1679" s="50" t="n">
        <v>19</v>
      </c>
      <c r="R1679" s="53" t="n">
        <f aca="false">IF(BW1679=1,0,IFERROR(VLOOKUP(BU1679,'Gebinde-Kategorie'!$A$5:$N$45,13,0)+0,0))</f>
        <v>12</v>
      </c>
      <c r="S1679" s="54"/>
      <c r="T1679" s="55"/>
      <c r="U1679" s="55"/>
      <c r="V1679" s="55"/>
      <c r="W1679" s="48"/>
      <c r="X1679" s="50"/>
      <c r="Y1679" s="50"/>
      <c r="Z1679" s="48" t="n">
        <f aca="false">IF(A1679="","",IF(AND(Parameter!$B$21="Ja",ISNUMBER(W1679)),W1679,IF(BZ1679="2+3",IF(ISNUMBER(SEARCH("grosser Artikel",BR1679)),2,IFERROR(VLOOKUP(BU1679,Parameter!$F$35:$G$64,2,0),2)),IF(OR(BZ1679="Nein",BZ1679=""),"-",BZ1679))))</f>
        <v>2</v>
      </c>
      <c r="AA1679" s="55"/>
      <c r="AB1679" s="56"/>
      <c r="AC1679" s="50" t="n">
        <f aca="false">AT1679</f>
        <v>38</v>
      </c>
      <c r="AD1679" s="50" t="n">
        <f aca="false">MAX(AT1679,H1679)</f>
        <v>38</v>
      </c>
      <c r="AE1679" s="57"/>
      <c r="AF1679" s="50" t="n">
        <f aca="false">IF(LEFT(Cockpit!$C$5,1)="A",H1679,IF(CE1679=1,CF1679,IF(LEFT(Cockpit!$C$5,1)="B",AK1679,MAX(AK1679,H1679))))</f>
        <v>20</v>
      </c>
      <c r="AG1679" s="50" t="n">
        <f aca="false">IF(BW1679=1,0,ROUNDUP(AF1679/BV1679,0))</f>
        <v>2</v>
      </c>
      <c r="AH1679" s="52" t="n">
        <f aca="false">IF(CL1679&gt;0,CL1679*MAX(1,AF1679/X1679),IF(BW1679=1,IF(AF1679&lt;=0,0,CA1679*MAX(1,IF(H1679&gt;0,AF1679/H1679,1))),IF(R1679&gt;0,AG1679/R1679,0))/MAX(0.1,N(Parameter!$M$21)))</f>
        <v>0.166666666666667</v>
      </c>
      <c r="AI1679" s="50" t="n">
        <f aca="false">AH1679*BY1679</f>
        <v>40.8333333333333</v>
      </c>
      <c r="AJ1679" s="50" t="n">
        <f aca="false">AF1679*G1679</f>
        <v>288.6</v>
      </c>
      <c r="AK1679" s="50" t="n">
        <f aca="false">ROUNDUP(MAX(J1679/IF(CD1679&gt;0,CD1679,MAX(0.1,N(Cockpit!$C$6))),CG1679)/BV1679,0)*BV1679</f>
        <v>38</v>
      </c>
      <c r="AL1679" s="51" t="n">
        <f aca="false">IF(AI1679&gt;0,J1679/AI1679,-1)</f>
        <v>0</v>
      </c>
      <c r="AM1679" s="51" t="n">
        <f aca="false">IF(AND(OR(CC1679="L1",CC1679="L23",CC1679="LIFT"),AI1679&gt;0),SUMIFS($AI$7:$AI$1843,$CC$7:$CC$1843,CC1679,$AL$7:$AL$1843,"&gt;"&amp;AL1679)+SUMIFS($AI$7:$AI$1843,$CC$7:$CC$1843,CC1679,$AL$7:$AL$1843,AL1679,$BT$7:$BT$1843,"&lt;="&amp;BT1679),"")</f>
        <v>32567.4217602078</v>
      </c>
      <c r="AN1679" s="58" t="n">
        <f aca="false">IF(AM1679="",0,MAX(0,MIN(1,(IF(CC1679="L1",Parameter!$H$5,IF(CC1679="L23",Parameter!$H$6+Parameter!$H$7,Parameter!$H$5+Parameter!$H$6+Parameter!$H$7))-(AM1679-AI1679))/AI1679)))</f>
        <v>1</v>
      </c>
      <c r="AO1679" s="50" t="n">
        <f aca="false">IF(LEFT(Cockpit!$I$5,1)="A",H1679,IF(CE1679=1,CF1679,IF(LEFT(Cockpit!$I$5,1)="B",AT1679,MAX(AT1679,H1679))))</f>
        <v>38</v>
      </c>
      <c r="AP1679" s="50" t="n">
        <f aca="false">IF(BW1679=1,0,ROUNDUP(AO1679/BV1679,0))</f>
        <v>2</v>
      </c>
      <c r="AQ1679" s="52" t="n">
        <f aca="false">IF(CL1679&gt;0,CL1679*MAX(1,AO1679/X1679),IF(BW1679=1,IF(AO1679&lt;=0,0,CA1679*MAX(1,IF(H1679&gt;0,AO1679/H1679,1))),IF(R1679&gt;0,AP1679/R1679,0))/MAX(0.1,N(Parameter!$M$21)))</f>
        <v>0.166666666666667</v>
      </c>
      <c r="AR1679" s="50" t="n">
        <f aca="false">AQ1679*BY1679</f>
        <v>40.8333333333333</v>
      </c>
      <c r="AS1679" s="50" t="n">
        <f aca="false">AO1679*G1679</f>
        <v>548.34</v>
      </c>
      <c r="AT1679" s="50" t="n">
        <f aca="false">ROUNDUP(MAX(J1679/IF(CD1679&gt;0,CD1679,MAX(0.1,N(Cockpit!$I$6))),CG1679)/BV1679,0)*BV1679</f>
        <v>38</v>
      </c>
      <c r="AU1679" s="51" t="n">
        <f aca="false">IF(AR1679&gt;0,J1679/AR1679,-1)</f>
        <v>0</v>
      </c>
      <c r="AV1679" s="51" t="n">
        <f aca="false">IF(AND(OR(CC1679="L1",CC1679="L23",CC1679="LIFT"),AR1679&gt;0),SUMIFS($AR$7:$AR$1843,$CC$7:$CC$1843,CC1679,$AU$7:$AU$1843,"&gt;"&amp;AU1679)+SUMIFS($AR$7:$AR$1843,$CC$7:$CC$1843,CC1679,$AU$7:$AU$1843,AU1679,$BT$7:$BT$1843,"&lt;="&amp;BT1679),"")</f>
        <v>45234.1074998448</v>
      </c>
      <c r="AW1679" s="58" t="n">
        <f aca="false">IF(AV1679="",0,MAX(0,MIN(1,(IF(CC1679="L1",Parameter!$H$5,IF(CC1679="L23",Parameter!$H$6+Parameter!$H$7,Parameter!$H$5+Parameter!$H$6+Parameter!$H$7))-(AV1679-AR1679))/AR1679)))</f>
        <v>0</v>
      </c>
      <c r="AX1679" s="50" t="n">
        <f aca="false">IF(LEFT(Cockpit!$O$5,1)="A",H1679,IF(CE1679=1,CF1679,IF(LEFT(Cockpit!$O$5,1)="B",BC1679,MAX(BC1679,H1679))))</f>
        <v>38</v>
      </c>
      <c r="AY1679" s="50" t="n">
        <f aca="false">IF(BW1679=1,0,ROUNDUP(AX1679/BV1679,0))</f>
        <v>2</v>
      </c>
      <c r="AZ1679" s="52" t="n">
        <f aca="false">IF(CL1679&gt;0,CL1679*MAX(1,AX1679/X1679),IF(BW1679=1,IF(AX1679&lt;=0,0,CA1679*MAX(1,IF(H1679&gt;0,AX1679/H1679,1))),IF(R1679&gt;0,AY1679/R1679,0))/MAX(0.1,N(Parameter!$M$21)))</f>
        <v>0.166666666666667</v>
      </c>
      <c r="BA1679" s="50" t="n">
        <f aca="false">AZ1679*BY1679</f>
        <v>40.8333333333333</v>
      </c>
      <c r="BB1679" s="50" t="n">
        <f aca="false">AX1679*G1679</f>
        <v>548.34</v>
      </c>
      <c r="BC1679" s="50" t="n">
        <f aca="false">ROUNDUP(MAX(J1679/IF(CD1679&gt;0,CD1679,MAX(0.1,N(Cockpit!$O$6))),CG1679)/BV1679,0)*BV1679</f>
        <v>38</v>
      </c>
      <c r="BD1679" s="51" t="n">
        <f aca="false">IF(BA1679&gt;0,J1679/BA1679,-1)</f>
        <v>0</v>
      </c>
      <c r="BE1679" s="51" t="n">
        <f aca="false">IF(AND(OR(CC1679="L1",CC1679="L23",CC1679="LIFT"),BA1679&gt;0),SUMIFS($BA$7:$BA$1843,$CC$7:$CC$1843,CC1679,$BD$7:$BD$1843,"&gt;"&amp;BD1679)+SUMIFS($BA$7:$BA$1843,$CC$7:$CC$1843,CC1679,$BD$7:$BD$1843,BD1679,$BT$7:$BT$1843,"&lt;="&amp;BT1679),"")</f>
        <v>41909.1195417107</v>
      </c>
      <c r="BF1679" s="58" t="n">
        <f aca="false">IF(BE1679="",0,MAX(0,MIN(1,(IF(CC1679="L1",Parameter!$H$5,IF(CC1679="L23",Parameter!$H$6+Parameter!$H$7,Parameter!$H$5+Parameter!$H$6+Parameter!$H$7))-(BE1679-BA1679))/BA1679)))</f>
        <v>0</v>
      </c>
      <c r="BG1679" s="48" t="str">
        <f aca="false">IF(AI1679&lt;=0,"",IF(CC1679="Aussen","Aussenlager",IF(CC1679="-","Nicht im Lift",IF(AN1679&gt;=1,"Lift",IF(AN1679&lt;=0,"Aussenlager","teilweise")))))</f>
        <v>Lift</v>
      </c>
      <c r="BH1679" s="48" t="str">
        <f aca="false">IF(AR1679&lt;=0,"",IF(CC1679="Aussen","Aussenlager",IF(CC1679="-","Nicht im Lift",IF(AW1679&gt;=1,"Lift",IF(AW1679&lt;=0,"Aussenlager","teilweise")))))</f>
        <v>Aussenlager</v>
      </c>
      <c r="BI1679" s="48" t="str">
        <f aca="false">IF(BA1679&lt;=0,"",IF(CC1679="Aussen","Aussenlager",IF(CC1679="-","Nicht im Lift",IF(BF1679&gt;=1,"Lift",IF(BF1679&lt;=0,"Aussenlager","teilweise")))))</f>
        <v>Aussenlager</v>
      </c>
      <c r="BJ1679" s="48" t="str">
        <f aca="false">IF(A1679="","",IF(BS1679=1,"Neu; ","")&amp;IF(AND(BS1679=0,BN1679&lt;0),"negativer Bestand (Export "&amp;BN1679&amp;"); ","")&amp;IF(J1679&lt;=0,"Kein Verbrauch; ","")&amp;IF(CL1679&gt;0,"Lift "&amp;W1679&amp;" lt. Liftbericht (Fach "&amp;X1679&amp;" Stk); ",IF(BX1679=1,"Gebinde geschätzt ("&amp;T1679&amp;"); ",IF(BW1679=1,"Lose – Tablare geschätzt; ","")))&amp;IF(H1679&gt;AT1679,"Überbestand "&amp;ROUND(H1679-AT1679,0)&amp;" Stk / CHF "&amp;ROUND((H1679-AT1679)*G1679,0)&amp;"; ","")&amp;IF(AND(CE1679=1,CF1679&lt;CG1679),"MAX &lt; MB+LG; ","")&amp;IF(AND(CK1679&gt;0,CJ1679*10&gt;CK1679),"zu hoch für Tablar; ","")&amp;IF(AND(BS1679=0,OR(CE1679=1,AA1679&lt;&gt;"",U1679&lt;&gt;"",V1679&lt;&gt;"",AB1679&lt;&gt;"")),"manuell übersteuert; ","")&amp;IF(AND(BW1679=0,R1679=0),"Gebinde unbekannt / Stellmass fehlt; ","")&amp;IF(AND(BW1679=0,N(V1679)&lt;=0,N(Q1679)&lt;=0),"Menge pro Gebinde fehlt (Ist = 1 Gebinde); ","")&amp;BR1679)</f>
        <v>Kein Verbrauch; nur im Artikelstamm (Bestand 23.06.2026)</v>
      </c>
      <c r="BK1679" s="48"/>
      <c r="BL1679" s="48"/>
      <c r="BM1679" s="55"/>
      <c r="BN1679" s="50" t="n">
        <v>20</v>
      </c>
      <c r="BO1679" s="50" t="n">
        <v>0</v>
      </c>
      <c r="BP1679" s="49" t="n">
        <v>0</v>
      </c>
      <c r="BQ1679" s="50" t="n">
        <v>0</v>
      </c>
      <c r="BR1679" s="48" t="s">
        <v>2579</v>
      </c>
      <c r="BS1679" s="53" t="n">
        <v>0</v>
      </c>
      <c r="BT1679" s="53" t="n">
        <v>1679</v>
      </c>
      <c r="BU1679" s="48" t="str">
        <f aca="false">IF(U1679&lt;&gt;"",UPPER(TRIM(U1679)),IF(BX1679=1,UPPER(VLOOKUP(T1679,Parameter!$I$27:$K$29,2,0)),IF(P1679="","LOSE",P1679)))</f>
        <v>S62</v>
      </c>
      <c r="BV1679" s="50" t="n">
        <f aca="false">IF(BU1679="LOSE",1,IF(N(V1679)&gt;0,V1679,IF(BX1679=1,MAX(1,N(VLOOKUP(T1679,Parameter!$I$27:$K$29,3,0)),H1679,N(N1679)),IF(N(Q1679)&gt;0,Q1679,MAX(1,H1679)))))</f>
        <v>19</v>
      </c>
      <c r="BW1679" s="53" t="n">
        <f aca="false">IF(BU1679="LOSE",1,0)</f>
        <v>0</v>
      </c>
      <c r="BX1679" s="53" t="n">
        <f aca="false">IF(AND(U1679="",OR(P1679="",P1679="LOSE"),T1679&lt;&gt;"",N(S1679)&lt;=0,ISNUMBER(MATCH(T1679,Parameter!$I$27:$I$29,0))),1,0)</f>
        <v>0</v>
      </c>
      <c r="BY1679" s="53" t="n">
        <f aca="false">IF(CL1679&gt;0,INDEX(Parameter!$H$5:$H$7,W1679)/INDEX(Parameter!$E$5:$E$7,W1679),IF(AND(BW1679=0,N(IFERROR(VLOOKUP(BU1679,'Gebinde-Kategorie'!$A$5:$N$45,14,0),0))&gt;0),VLOOKUP(BU1679,'Gebinde-Kategorie'!$A$5:$N$45,14,0)*10+Parameter!$M$23,Parameter!$M$24))</f>
        <v>245</v>
      </c>
      <c r="BZ1679" s="48" t="str">
        <f aca="false">IF(AND(Parameter!$B$19="Ja",E1679&lt;&gt;"",ISNUMBER(MATCH(E1679,Parameter!$I$35:$I$52,0))),VLOOKUP(E1679,Parameter!$I$35:$J$52,2,0),IFERROR(VLOOKUP(D1679,Parameter!$A$35:$C$64,2,0),"Nein"))</f>
        <v>2+3</v>
      </c>
      <c r="CA1679" s="52" t="n">
        <f aca="false">IF(BW1679=0,0,IF(N(S1679)&gt;0,S1679,IFERROR(VLOOKUP(D1679,Parameter!$A$35:$C$64,3,0)+0,0)))</f>
        <v>0</v>
      </c>
      <c r="CB1679" s="48" t="n">
        <f aca="false">IF(AA1679&lt;&gt;"",AA1679,Z1679)</f>
        <v>2</v>
      </c>
      <c r="CC1679" s="48" t="str">
        <f aca="false">IF(OR(CB1679=1,CB1679=2,CB1679=3),IF(Parameter!$E$27="Ja","LIFT",IF(CB1679=1,"L1","L23")),IF(CB1679="Aussen","Aussen","-"))</f>
        <v>LIFT</v>
      </c>
      <c r="CD1679" s="59" t="n">
        <f aca="false">IF(N(AB1679)&gt;0,AB1679,0)</f>
        <v>0</v>
      </c>
      <c r="CE1679" s="53" t="n">
        <f aca="false">IF(ISNUMBER(AE1679),1,0)</f>
        <v>0</v>
      </c>
      <c r="CF1679" s="50" t="n">
        <f aca="false">N(AE1679)</f>
        <v>0</v>
      </c>
      <c r="CG1679" s="50" t="n">
        <f aca="false">N(M1679)+N(N1679)</f>
        <v>20</v>
      </c>
      <c r="CH1679" s="50" t="n">
        <f aca="false">ROUNDUP(H1679/BV1679,0)</f>
        <v>2</v>
      </c>
      <c r="CI1679" s="50" t="n">
        <f aca="false">ROUNDUP(CF1679/BV1679,0)</f>
        <v>0</v>
      </c>
      <c r="CJ1679" s="53" t="n">
        <f aca="false">IF(BW1679=1,0,IFERROR(VLOOKUP(BU1679,'Gebinde-Kategorie'!$A$5:$N$45,5,0)+0,0))</f>
        <v>21</v>
      </c>
      <c r="CK1679" s="53" t="n">
        <f aca="false">IFERROR(IF(OR(CB1679=1,CB1679=2,CB1679=3),N(INDEX(Parameter!$I$5:$I$7,CB1679)),0),0)</f>
        <v>0</v>
      </c>
      <c r="CL1679" s="52" t="n">
        <f aca="false">IF(AND(Parameter!$B$21="Ja",ISNUMBER(W1679),N(X1679)&gt;0),IFERROR(N(INDEX(Parameter!$L$5:$L$7,W1679))*INDEX(Parameter!$E$5:$E$7,W1679)*X1679/SUMIFS($X$7:$X$1843,$W$7:$W$1843,W1679),0),0)</f>
        <v>0</v>
      </c>
    </row>
    <row r="1680" customFormat="false" ht="15" hidden="false" customHeight="false" outlineLevel="0" collapsed="false">
      <c r="A1680" s="48" t="s">
        <v>2915</v>
      </c>
      <c r="B1680" s="48" t="s">
        <v>2916</v>
      </c>
      <c r="C1680" s="48" t="s">
        <v>168</v>
      </c>
      <c r="D1680" s="48" t="s">
        <v>177</v>
      </c>
      <c r="E1680" s="48"/>
      <c r="F1680" s="48"/>
      <c r="G1680" s="49" t="n">
        <v>434.06</v>
      </c>
      <c r="H1680" s="50" t="n">
        <f aca="false">MAX(0,IF(AND(Parameter!$B$21="Ja",ISNUMBER(Y1680)),Y1680,IF(Parameter!$B$20="Jahresanfang 2025 + Export",BO1680+BN1680,BN1680)))</f>
        <v>16</v>
      </c>
      <c r="I1680" s="50" t="n">
        <f aca="false">H1680*G1680</f>
        <v>6944.96</v>
      </c>
      <c r="J1680" s="50" t="n">
        <f aca="false">BQ1680*Parameter!$B$18</f>
        <v>0</v>
      </c>
      <c r="K1680" s="51"/>
      <c r="L1680" s="52"/>
      <c r="M1680" s="50" t="n">
        <v>0</v>
      </c>
      <c r="N1680" s="50" t="n">
        <v>10</v>
      </c>
      <c r="O1680" s="53" t="n">
        <v>70</v>
      </c>
      <c r="P1680" s="48" t="s">
        <v>297</v>
      </c>
      <c r="Q1680" s="50" t="n">
        <v>16</v>
      </c>
      <c r="R1680" s="53" t="n">
        <f aca="false">IF(BW1680=1,0,IFERROR(VLOOKUP(BU1680,'Gebinde-Kategorie'!$A$5:$N$45,13,0)+0,0))</f>
        <v>12</v>
      </c>
      <c r="S1680" s="54"/>
      <c r="T1680" s="55"/>
      <c r="U1680" s="55"/>
      <c r="V1680" s="55"/>
      <c r="W1680" s="48"/>
      <c r="X1680" s="50"/>
      <c r="Y1680" s="50"/>
      <c r="Z1680" s="48" t="n">
        <f aca="false">IF(A1680="","",IF(AND(Parameter!$B$21="Ja",ISNUMBER(W1680)),W1680,IF(BZ1680="2+3",IF(ISNUMBER(SEARCH("grosser Artikel",BR1680)),2,IFERROR(VLOOKUP(BU1680,Parameter!$F$35:$G$64,2,0),2)),IF(OR(BZ1680="Nein",BZ1680=""),"-",BZ1680))))</f>
        <v>2</v>
      </c>
      <c r="AA1680" s="55"/>
      <c r="AB1680" s="56"/>
      <c r="AC1680" s="50" t="n">
        <f aca="false">AT1680</f>
        <v>16</v>
      </c>
      <c r="AD1680" s="50" t="n">
        <f aca="false">MAX(AT1680,H1680)</f>
        <v>16</v>
      </c>
      <c r="AE1680" s="57"/>
      <c r="AF1680" s="50" t="n">
        <f aca="false">IF(LEFT(Cockpit!$C$5,1)="A",H1680,IF(CE1680=1,CF1680,IF(LEFT(Cockpit!$C$5,1)="B",AK1680,MAX(AK1680,H1680))))</f>
        <v>16</v>
      </c>
      <c r="AG1680" s="50" t="n">
        <f aca="false">IF(BW1680=1,0,ROUNDUP(AF1680/BV1680,0))</f>
        <v>1</v>
      </c>
      <c r="AH1680" s="52" t="n">
        <f aca="false">IF(CL1680&gt;0,CL1680*MAX(1,AF1680/X1680),IF(BW1680=1,IF(AF1680&lt;=0,0,CA1680*MAX(1,IF(H1680&gt;0,AF1680/H1680,1))),IF(R1680&gt;0,AG1680/R1680,0))/MAX(0.1,N(Parameter!$M$21)))</f>
        <v>0.0833333333333333</v>
      </c>
      <c r="AI1680" s="50" t="n">
        <f aca="false">AH1680*BY1680</f>
        <v>20.4166666666667</v>
      </c>
      <c r="AJ1680" s="50" t="n">
        <f aca="false">AF1680*G1680</f>
        <v>6944.96</v>
      </c>
      <c r="AK1680" s="50" t="n">
        <f aca="false">ROUNDUP(MAX(J1680/IF(CD1680&gt;0,CD1680,MAX(0.1,N(Cockpit!$C$6))),CG1680)/BV1680,0)*BV1680</f>
        <v>16</v>
      </c>
      <c r="AL1680" s="51" t="n">
        <f aca="false">IF(AI1680&gt;0,J1680/AI1680,-1)</f>
        <v>0</v>
      </c>
      <c r="AM1680" s="51" t="n">
        <f aca="false">IF(AND(OR(CC1680="L1",CC1680="L23",CC1680="LIFT"),AI1680&gt;0),SUMIFS($AI$7:$AI$1843,$CC$7:$CC$1843,CC1680,$AL$7:$AL$1843,"&gt;"&amp;AL1680)+SUMIFS($AI$7:$AI$1843,$CC$7:$CC$1843,CC1680,$AL$7:$AL$1843,AL1680,$BT$7:$BT$1843,"&lt;="&amp;BT1680),"")</f>
        <v>32587.8384268744</v>
      </c>
      <c r="AN1680" s="58" t="n">
        <f aca="false">IF(AM1680="",0,MAX(0,MIN(1,(IF(CC1680="L1",Parameter!$H$5,IF(CC1680="L23",Parameter!$H$6+Parameter!$H$7,Parameter!$H$5+Parameter!$H$6+Parameter!$H$7))-(AM1680-AI1680))/AI1680)))</f>
        <v>1</v>
      </c>
      <c r="AO1680" s="50" t="n">
        <f aca="false">IF(LEFT(Cockpit!$I$5,1)="A",H1680,IF(CE1680=1,CF1680,IF(LEFT(Cockpit!$I$5,1)="B",AT1680,MAX(AT1680,H1680))))</f>
        <v>16</v>
      </c>
      <c r="AP1680" s="50" t="n">
        <f aca="false">IF(BW1680=1,0,ROUNDUP(AO1680/BV1680,0))</f>
        <v>1</v>
      </c>
      <c r="AQ1680" s="52" t="n">
        <f aca="false">IF(CL1680&gt;0,CL1680*MAX(1,AO1680/X1680),IF(BW1680=1,IF(AO1680&lt;=0,0,CA1680*MAX(1,IF(H1680&gt;0,AO1680/H1680,1))),IF(R1680&gt;0,AP1680/R1680,0))/MAX(0.1,N(Parameter!$M$21)))</f>
        <v>0.0833333333333333</v>
      </c>
      <c r="AR1680" s="50" t="n">
        <f aca="false">AQ1680*BY1680</f>
        <v>20.4166666666667</v>
      </c>
      <c r="AS1680" s="50" t="n">
        <f aca="false">AO1680*G1680</f>
        <v>6944.96</v>
      </c>
      <c r="AT1680" s="50" t="n">
        <f aca="false">ROUNDUP(MAX(J1680/IF(CD1680&gt;0,CD1680,MAX(0.1,N(Cockpit!$I$6))),CG1680)/BV1680,0)*BV1680</f>
        <v>16</v>
      </c>
      <c r="AU1680" s="51" t="n">
        <f aca="false">IF(AR1680&gt;0,J1680/AR1680,-1)</f>
        <v>0</v>
      </c>
      <c r="AV1680" s="51" t="n">
        <f aca="false">IF(AND(OR(CC1680="L1",CC1680="L23",CC1680="LIFT"),AR1680&gt;0),SUMIFS($AR$7:$AR$1843,$CC$7:$CC$1843,CC1680,$AU$7:$AU$1843,"&gt;"&amp;AU1680)+SUMIFS($AR$7:$AR$1843,$CC$7:$CC$1843,CC1680,$AU$7:$AU$1843,AU1680,$BT$7:$BT$1843,"&lt;="&amp;BT1680),"")</f>
        <v>45254.5241665115</v>
      </c>
      <c r="AW1680" s="58" t="n">
        <f aca="false">IF(AV1680="",0,MAX(0,MIN(1,(IF(CC1680="L1",Parameter!$H$5,IF(CC1680="L23",Parameter!$H$6+Parameter!$H$7,Parameter!$H$5+Parameter!$H$6+Parameter!$H$7))-(AV1680-AR1680))/AR1680)))</f>
        <v>0</v>
      </c>
      <c r="AX1680" s="50" t="n">
        <f aca="false">IF(LEFT(Cockpit!$O$5,1)="A",H1680,IF(CE1680=1,CF1680,IF(LEFT(Cockpit!$O$5,1)="B",BC1680,MAX(BC1680,H1680))))</f>
        <v>16</v>
      </c>
      <c r="AY1680" s="50" t="n">
        <f aca="false">IF(BW1680=1,0,ROUNDUP(AX1680/BV1680,0))</f>
        <v>1</v>
      </c>
      <c r="AZ1680" s="52" t="n">
        <f aca="false">IF(CL1680&gt;0,CL1680*MAX(1,AX1680/X1680),IF(BW1680=1,IF(AX1680&lt;=0,0,CA1680*MAX(1,IF(H1680&gt;0,AX1680/H1680,1))),IF(R1680&gt;0,AY1680/R1680,0))/MAX(0.1,N(Parameter!$M$21)))</f>
        <v>0.0833333333333333</v>
      </c>
      <c r="BA1680" s="50" t="n">
        <f aca="false">AZ1680*BY1680</f>
        <v>20.4166666666667</v>
      </c>
      <c r="BB1680" s="50" t="n">
        <f aca="false">AX1680*G1680</f>
        <v>6944.96</v>
      </c>
      <c r="BC1680" s="50" t="n">
        <f aca="false">ROUNDUP(MAX(J1680/IF(CD1680&gt;0,CD1680,MAX(0.1,N(Cockpit!$O$6))),CG1680)/BV1680,0)*BV1680</f>
        <v>16</v>
      </c>
      <c r="BD1680" s="51" t="n">
        <f aca="false">IF(BA1680&gt;0,J1680/BA1680,-1)</f>
        <v>0</v>
      </c>
      <c r="BE1680" s="51" t="n">
        <f aca="false">IF(AND(OR(CC1680="L1",CC1680="L23",CC1680="LIFT"),BA1680&gt;0),SUMIFS($BA$7:$BA$1843,$CC$7:$CC$1843,CC1680,$BD$7:$BD$1843,"&gt;"&amp;BD1680)+SUMIFS($BA$7:$BA$1843,$CC$7:$CC$1843,CC1680,$BD$7:$BD$1843,BD1680,$BT$7:$BT$1843,"&lt;="&amp;BT1680),"")</f>
        <v>41929.5362083773</v>
      </c>
      <c r="BF1680" s="58" t="n">
        <f aca="false">IF(BE1680="",0,MAX(0,MIN(1,(IF(CC1680="L1",Parameter!$H$5,IF(CC1680="L23",Parameter!$H$6+Parameter!$H$7,Parameter!$H$5+Parameter!$H$6+Parameter!$H$7))-(BE1680-BA1680))/BA1680)))</f>
        <v>0</v>
      </c>
      <c r="BG1680" s="48" t="str">
        <f aca="false">IF(AI1680&lt;=0,"",IF(CC1680="Aussen","Aussenlager",IF(CC1680="-","Nicht im Lift",IF(AN1680&gt;=1,"Lift",IF(AN1680&lt;=0,"Aussenlager","teilweise")))))</f>
        <v>Lift</v>
      </c>
      <c r="BH1680" s="48" t="str">
        <f aca="false">IF(AR1680&lt;=0,"",IF(CC1680="Aussen","Aussenlager",IF(CC1680="-","Nicht im Lift",IF(AW1680&gt;=1,"Lift",IF(AW1680&lt;=0,"Aussenlager","teilweise")))))</f>
        <v>Aussenlager</v>
      </c>
      <c r="BI1680" s="48" t="str">
        <f aca="false">IF(BA1680&lt;=0,"",IF(CC1680="Aussen","Aussenlager",IF(CC1680="-","Nicht im Lift",IF(BF1680&gt;=1,"Lift",IF(BF1680&lt;=0,"Aussenlager","teilweise")))))</f>
        <v>Aussenlager</v>
      </c>
      <c r="BJ1680" s="48" t="str">
        <f aca="false">IF(A1680="","",IF(BS1680=1,"Neu; ","")&amp;IF(AND(BS1680=0,BN1680&lt;0),"negativer Bestand (Export "&amp;BN1680&amp;"); ","")&amp;IF(J1680&lt;=0,"Kein Verbrauch; ","")&amp;IF(CL1680&gt;0,"Lift "&amp;W1680&amp;" lt. Liftbericht (Fach "&amp;X1680&amp;" Stk); ",IF(BX1680=1,"Gebinde geschätzt ("&amp;T1680&amp;"); ",IF(BW1680=1,"Lose – Tablare geschätzt; ","")))&amp;IF(H1680&gt;AT1680,"Überbestand "&amp;ROUND(H1680-AT1680,0)&amp;" Stk / CHF "&amp;ROUND((H1680-AT1680)*G1680,0)&amp;"; ","")&amp;IF(AND(CE1680=1,CF1680&lt;CG1680),"MAX &lt; MB+LG; ","")&amp;IF(AND(CK1680&gt;0,CJ1680*10&gt;CK1680),"zu hoch für Tablar; ","")&amp;IF(AND(BS1680=0,OR(CE1680=1,AA1680&lt;&gt;"",U1680&lt;&gt;"",V1680&lt;&gt;"",AB1680&lt;&gt;"")),"manuell übersteuert; ","")&amp;IF(AND(BW1680=0,R1680=0),"Gebinde unbekannt / Stellmass fehlt; ","")&amp;IF(AND(BW1680=0,N(V1680)&lt;=0,N(Q1680)&lt;=0),"Menge pro Gebinde fehlt (Ist = 1 Gebinde); ","")&amp;BR1680)</f>
        <v>Kein Verbrauch; nur im Artikelstamm (Bestand 23.06.2026)</v>
      </c>
      <c r="BK1680" s="48"/>
      <c r="BL1680" s="48"/>
      <c r="BM1680" s="55"/>
      <c r="BN1680" s="50" t="n">
        <v>16</v>
      </c>
      <c r="BO1680" s="50" t="n">
        <v>0</v>
      </c>
      <c r="BP1680" s="49" t="n">
        <v>0</v>
      </c>
      <c r="BQ1680" s="50" t="n">
        <v>0</v>
      </c>
      <c r="BR1680" s="48" t="s">
        <v>2579</v>
      </c>
      <c r="BS1680" s="53" t="n">
        <v>0</v>
      </c>
      <c r="BT1680" s="53" t="n">
        <v>1680</v>
      </c>
      <c r="BU1680" s="48" t="str">
        <f aca="false">IF(U1680&lt;&gt;"",UPPER(TRIM(U1680)),IF(BX1680=1,UPPER(VLOOKUP(T1680,Parameter!$I$27:$K$29,2,0)),IF(P1680="","LOSE",P1680)))</f>
        <v>S62</v>
      </c>
      <c r="BV1680" s="50" t="n">
        <f aca="false">IF(BU1680="LOSE",1,IF(N(V1680)&gt;0,V1680,IF(BX1680=1,MAX(1,N(VLOOKUP(T1680,Parameter!$I$27:$K$29,3,0)),H1680,N(N1680)),IF(N(Q1680)&gt;0,Q1680,MAX(1,H1680)))))</f>
        <v>16</v>
      </c>
      <c r="BW1680" s="53" t="n">
        <f aca="false">IF(BU1680="LOSE",1,0)</f>
        <v>0</v>
      </c>
      <c r="BX1680" s="53" t="n">
        <f aca="false">IF(AND(U1680="",OR(P1680="",P1680="LOSE"),T1680&lt;&gt;"",N(S1680)&lt;=0,ISNUMBER(MATCH(T1680,Parameter!$I$27:$I$29,0))),1,0)</f>
        <v>0</v>
      </c>
      <c r="BY1680" s="53" t="n">
        <f aca="false">IF(CL1680&gt;0,INDEX(Parameter!$H$5:$H$7,W1680)/INDEX(Parameter!$E$5:$E$7,W1680),IF(AND(BW1680=0,N(IFERROR(VLOOKUP(BU1680,'Gebinde-Kategorie'!$A$5:$N$45,14,0),0))&gt;0),VLOOKUP(BU1680,'Gebinde-Kategorie'!$A$5:$N$45,14,0)*10+Parameter!$M$23,Parameter!$M$24))</f>
        <v>245</v>
      </c>
      <c r="BZ1680" s="48" t="str">
        <f aca="false">IF(AND(Parameter!$B$19="Ja",E1680&lt;&gt;"",ISNUMBER(MATCH(E1680,Parameter!$I$35:$I$52,0))),VLOOKUP(E1680,Parameter!$I$35:$J$52,2,0),IFERROR(VLOOKUP(D1680,Parameter!$A$35:$C$64,2,0),"Nein"))</f>
        <v>2+3</v>
      </c>
      <c r="CA1680" s="52" t="n">
        <f aca="false">IF(BW1680=0,0,IF(N(S1680)&gt;0,S1680,IFERROR(VLOOKUP(D1680,Parameter!$A$35:$C$64,3,0)+0,0)))</f>
        <v>0</v>
      </c>
      <c r="CB1680" s="48" t="n">
        <f aca="false">IF(AA1680&lt;&gt;"",AA1680,Z1680)</f>
        <v>2</v>
      </c>
      <c r="CC1680" s="48" t="str">
        <f aca="false">IF(OR(CB1680=1,CB1680=2,CB1680=3),IF(Parameter!$E$27="Ja","LIFT",IF(CB1680=1,"L1","L23")),IF(CB1680="Aussen","Aussen","-"))</f>
        <v>LIFT</v>
      </c>
      <c r="CD1680" s="59" t="n">
        <f aca="false">IF(N(AB1680)&gt;0,AB1680,0)</f>
        <v>0</v>
      </c>
      <c r="CE1680" s="53" t="n">
        <f aca="false">IF(ISNUMBER(AE1680),1,0)</f>
        <v>0</v>
      </c>
      <c r="CF1680" s="50" t="n">
        <f aca="false">N(AE1680)</f>
        <v>0</v>
      </c>
      <c r="CG1680" s="50" t="n">
        <f aca="false">N(M1680)+N(N1680)</f>
        <v>10</v>
      </c>
      <c r="CH1680" s="50" t="n">
        <f aca="false">ROUNDUP(H1680/BV1680,0)</f>
        <v>1</v>
      </c>
      <c r="CI1680" s="50" t="n">
        <f aca="false">ROUNDUP(CF1680/BV1680,0)</f>
        <v>0</v>
      </c>
      <c r="CJ1680" s="53" t="n">
        <f aca="false">IF(BW1680=1,0,IFERROR(VLOOKUP(BU1680,'Gebinde-Kategorie'!$A$5:$N$45,5,0)+0,0))</f>
        <v>21</v>
      </c>
      <c r="CK1680" s="53" t="n">
        <f aca="false">IFERROR(IF(OR(CB1680=1,CB1680=2,CB1680=3),N(INDEX(Parameter!$I$5:$I$7,CB1680)),0),0)</f>
        <v>0</v>
      </c>
      <c r="CL1680" s="52" t="n">
        <f aca="false">IF(AND(Parameter!$B$21="Ja",ISNUMBER(W1680),N(X1680)&gt;0),IFERROR(N(INDEX(Parameter!$L$5:$L$7,W1680))*INDEX(Parameter!$E$5:$E$7,W1680)*X1680/SUMIFS($X$7:$X$1843,$W$7:$W$1843,W1680),0),0)</f>
        <v>0</v>
      </c>
    </row>
    <row r="1681" customFormat="false" ht="15" hidden="false" customHeight="false" outlineLevel="0" collapsed="false">
      <c r="A1681" s="48" t="s">
        <v>2917</v>
      </c>
      <c r="B1681" s="48" t="s">
        <v>2115</v>
      </c>
      <c r="C1681" s="48" t="s">
        <v>168</v>
      </c>
      <c r="D1681" s="48" t="s">
        <v>177</v>
      </c>
      <c r="E1681" s="48" t="s">
        <v>170</v>
      </c>
      <c r="F1681" s="48"/>
      <c r="G1681" s="49" t="n">
        <v>377.25</v>
      </c>
      <c r="H1681" s="50" t="n">
        <f aca="false">MAX(0,IF(AND(Parameter!$B$21="Ja",ISNUMBER(Y1681)),Y1681,IF(Parameter!$B$20="Jahresanfang 2025 + Export",BO1681+BN1681,BN1681)))</f>
        <v>14</v>
      </c>
      <c r="I1681" s="50" t="n">
        <f aca="false">H1681*G1681</f>
        <v>5281.5</v>
      </c>
      <c r="J1681" s="50" t="n">
        <f aca="false">BQ1681*Parameter!$B$18</f>
        <v>0</v>
      </c>
      <c r="K1681" s="51"/>
      <c r="L1681" s="52"/>
      <c r="M1681" s="50" t="n">
        <v>0</v>
      </c>
      <c r="N1681" s="50" t="n">
        <v>10</v>
      </c>
      <c r="O1681" s="53" t="n">
        <v>35</v>
      </c>
      <c r="P1681" s="48" t="s">
        <v>297</v>
      </c>
      <c r="Q1681" s="50" t="n">
        <v>15</v>
      </c>
      <c r="R1681" s="53" t="n">
        <f aca="false">IF(BW1681=1,0,IFERROR(VLOOKUP(BU1681,'Gebinde-Kategorie'!$A$5:$N$45,13,0)+0,0))</f>
        <v>12</v>
      </c>
      <c r="S1681" s="54"/>
      <c r="T1681" s="55"/>
      <c r="U1681" s="55"/>
      <c r="V1681" s="55"/>
      <c r="W1681" s="48"/>
      <c r="X1681" s="50"/>
      <c r="Y1681" s="50"/>
      <c r="Z1681" s="48" t="n">
        <f aca="false">IF(A1681="","",IF(AND(Parameter!$B$21="Ja",ISNUMBER(W1681)),W1681,IF(BZ1681="2+3",IF(ISNUMBER(SEARCH("grosser Artikel",BR1681)),2,IFERROR(VLOOKUP(BU1681,Parameter!$F$35:$G$64,2,0),2)),IF(OR(BZ1681="Nein",BZ1681=""),"-",BZ1681))))</f>
        <v>1</v>
      </c>
      <c r="AA1681" s="55"/>
      <c r="AB1681" s="56"/>
      <c r="AC1681" s="50" t="n">
        <f aca="false">AT1681</f>
        <v>15</v>
      </c>
      <c r="AD1681" s="50" t="n">
        <f aca="false">MAX(AT1681,H1681)</f>
        <v>15</v>
      </c>
      <c r="AE1681" s="57"/>
      <c r="AF1681" s="50" t="n">
        <f aca="false">IF(LEFT(Cockpit!$C$5,1)="A",H1681,IF(CE1681=1,CF1681,IF(LEFT(Cockpit!$C$5,1)="B",AK1681,MAX(AK1681,H1681))))</f>
        <v>14</v>
      </c>
      <c r="AG1681" s="50" t="n">
        <f aca="false">IF(BW1681=1,0,ROUNDUP(AF1681/BV1681,0))</f>
        <v>1</v>
      </c>
      <c r="AH1681" s="52" t="n">
        <f aca="false">IF(CL1681&gt;0,CL1681*MAX(1,AF1681/X1681),IF(BW1681=1,IF(AF1681&lt;=0,0,CA1681*MAX(1,IF(H1681&gt;0,AF1681/H1681,1))),IF(R1681&gt;0,AG1681/R1681,0))/MAX(0.1,N(Parameter!$M$21)))</f>
        <v>0.0833333333333333</v>
      </c>
      <c r="AI1681" s="50" t="n">
        <f aca="false">AH1681*BY1681</f>
        <v>20.4166666666667</v>
      </c>
      <c r="AJ1681" s="50" t="n">
        <f aca="false">AF1681*G1681</f>
        <v>5281.5</v>
      </c>
      <c r="AK1681" s="50" t="n">
        <f aca="false">ROUNDUP(MAX(J1681/IF(CD1681&gt;0,CD1681,MAX(0.1,N(Cockpit!$C$6))),CG1681)/BV1681,0)*BV1681</f>
        <v>15</v>
      </c>
      <c r="AL1681" s="51" t="n">
        <f aca="false">IF(AI1681&gt;0,J1681/AI1681,-1)</f>
        <v>0</v>
      </c>
      <c r="AM1681" s="51" t="n">
        <f aca="false">IF(AND(OR(CC1681="L1",CC1681="L23",CC1681="LIFT"),AI1681&gt;0),SUMIFS($AI$7:$AI$1843,$CC$7:$CC$1843,CC1681,$AL$7:$AL$1843,"&gt;"&amp;AL1681)+SUMIFS($AI$7:$AI$1843,$CC$7:$CC$1843,CC1681,$AL$7:$AL$1843,AL1681,$BT$7:$BT$1843,"&lt;="&amp;BT1681),"")</f>
        <v>32608.2550935411</v>
      </c>
      <c r="AN1681" s="58" t="n">
        <f aca="false">IF(AM1681="",0,MAX(0,MIN(1,(IF(CC1681="L1",Parameter!$H$5,IF(CC1681="L23",Parameter!$H$6+Parameter!$H$7,Parameter!$H$5+Parameter!$H$6+Parameter!$H$7))-(AM1681-AI1681))/AI1681)))</f>
        <v>1</v>
      </c>
      <c r="AO1681" s="50" t="n">
        <f aca="false">IF(LEFT(Cockpit!$I$5,1)="A",H1681,IF(CE1681=1,CF1681,IF(LEFT(Cockpit!$I$5,1)="B",AT1681,MAX(AT1681,H1681))))</f>
        <v>15</v>
      </c>
      <c r="AP1681" s="50" t="n">
        <f aca="false">IF(BW1681=1,0,ROUNDUP(AO1681/BV1681,0))</f>
        <v>1</v>
      </c>
      <c r="AQ1681" s="52" t="n">
        <f aca="false">IF(CL1681&gt;0,CL1681*MAX(1,AO1681/X1681),IF(BW1681=1,IF(AO1681&lt;=0,0,CA1681*MAX(1,IF(H1681&gt;0,AO1681/H1681,1))),IF(R1681&gt;0,AP1681/R1681,0))/MAX(0.1,N(Parameter!$M$21)))</f>
        <v>0.0833333333333333</v>
      </c>
      <c r="AR1681" s="50" t="n">
        <f aca="false">AQ1681*BY1681</f>
        <v>20.4166666666667</v>
      </c>
      <c r="AS1681" s="50" t="n">
        <f aca="false">AO1681*G1681</f>
        <v>5658.75</v>
      </c>
      <c r="AT1681" s="50" t="n">
        <f aca="false">ROUNDUP(MAX(J1681/IF(CD1681&gt;0,CD1681,MAX(0.1,N(Cockpit!$I$6))),CG1681)/BV1681,0)*BV1681</f>
        <v>15</v>
      </c>
      <c r="AU1681" s="51" t="n">
        <f aca="false">IF(AR1681&gt;0,J1681/AR1681,-1)</f>
        <v>0</v>
      </c>
      <c r="AV1681" s="51" t="n">
        <f aca="false">IF(AND(OR(CC1681="L1",CC1681="L23",CC1681="LIFT"),AR1681&gt;0),SUMIFS($AR$7:$AR$1843,$CC$7:$CC$1843,CC1681,$AU$7:$AU$1843,"&gt;"&amp;AU1681)+SUMIFS($AR$7:$AR$1843,$CC$7:$CC$1843,CC1681,$AU$7:$AU$1843,AU1681,$BT$7:$BT$1843,"&lt;="&amp;BT1681),"")</f>
        <v>45274.9408331781</v>
      </c>
      <c r="AW1681" s="58" t="n">
        <f aca="false">IF(AV1681="",0,MAX(0,MIN(1,(IF(CC1681="L1",Parameter!$H$5,IF(CC1681="L23",Parameter!$H$6+Parameter!$H$7,Parameter!$H$5+Parameter!$H$6+Parameter!$H$7))-(AV1681-AR1681))/AR1681)))</f>
        <v>0</v>
      </c>
      <c r="AX1681" s="50" t="n">
        <f aca="false">IF(LEFT(Cockpit!$O$5,1)="A",H1681,IF(CE1681=1,CF1681,IF(LEFT(Cockpit!$O$5,1)="B",BC1681,MAX(BC1681,H1681))))</f>
        <v>15</v>
      </c>
      <c r="AY1681" s="50" t="n">
        <f aca="false">IF(BW1681=1,0,ROUNDUP(AX1681/BV1681,0))</f>
        <v>1</v>
      </c>
      <c r="AZ1681" s="52" t="n">
        <f aca="false">IF(CL1681&gt;0,CL1681*MAX(1,AX1681/X1681),IF(BW1681=1,IF(AX1681&lt;=0,0,CA1681*MAX(1,IF(H1681&gt;0,AX1681/H1681,1))),IF(R1681&gt;0,AY1681/R1681,0))/MAX(0.1,N(Parameter!$M$21)))</f>
        <v>0.0833333333333333</v>
      </c>
      <c r="BA1681" s="50" t="n">
        <f aca="false">AZ1681*BY1681</f>
        <v>20.4166666666667</v>
      </c>
      <c r="BB1681" s="50" t="n">
        <f aca="false">AX1681*G1681</f>
        <v>5658.75</v>
      </c>
      <c r="BC1681" s="50" t="n">
        <f aca="false">ROUNDUP(MAX(J1681/IF(CD1681&gt;0,CD1681,MAX(0.1,N(Cockpit!$O$6))),CG1681)/BV1681,0)*BV1681</f>
        <v>15</v>
      </c>
      <c r="BD1681" s="51" t="n">
        <f aca="false">IF(BA1681&gt;0,J1681/BA1681,-1)</f>
        <v>0</v>
      </c>
      <c r="BE1681" s="51" t="n">
        <f aca="false">IF(AND(OR(CC1681="L1",CC1681="L23",CC1681="LIFT"),BA1681&gt;0),SUMIFS($BA$7:$BA$1843,$CC$7:$CC$1843,CC1681,$BD$7:$BD$1843,"&gt;"&amp;BD1681)+SUMIFS($BA$7:$BA$1843,$CC$7:$CC$1843,CC1681,$BD$7:$BD$1843,BD1681,$BT$7:$BT$1843,"&lt;="&amp;BT1681),"")</f>
        <v>41949.952875044</v>
      </c>
      <c r="BF1681" s="58" t="n">
        <f aca="false">IF(BE1681="",0,MAX(0,MIN(1,(IF(CC1681="L1",Parameter!$H$5,IF(CC1681="L23",Parameter!$H$6+Parameter!$H$7,Parameter!$H$5+Parameter!$H$6+Parameter!$H$7))-(BE1681-BA1681))/BA1681)))</f>
        <v>0</v>
      </c>
      <c r="BG1681" s="48" t="str">
        <f aca="false">IF(AI1681&lt;=0,"",IF(CC1681="Aussen","Aussenlager",IF(CC1681="-","Nicht im Lift",IF(AN1681&gt;=1,"Lift",IF(AN1681&lt;=0,"Aussenlager","teilweise")))))</f>
        <v>Lift</v>
      </c>
      <c r="BH1681" s="48" t="str">
        <f aca="false">IF(AR1681&lt;=0,"",IF(CC1681="Aussen","Aussenlager",IF(CC1681="-","Nicht im Lift",IF(AW1681&gt;=1,"Lift",IF(AW1681&lt;=0,"Aussenlager","teilweise")))))</f>
        <v>Aussenlager</v>
      </c>
      <c r="BI1681" s="48" t="str">
        <f aca="false">IF(BA1681&lt;=0,"",IF(CC1681="Aussen","Aussenlager",IF(CC1681="-","Nicht im Lift",IF(BF1681&gt;=1,"Lift",IF(BF1681&lt;=0,"Aussenlager","teilweise")))))</f>
        <v>Aussenlager</v>
      </c>
      <c r="BJ1681" s="48" t="str">
        <f aca="false">IF(A1681="","",IF(BS1681=1,"Neu; ","")&amp;IF(AND(BS1681=0,BN1681&lt;0),"negativer Bestand (Export "&amp;BN1681&amp;"); ","")&amp;IF(J1681&lt;=0,"Kein Verbrauch; ","")&amp;IF(CL1681&gt;0,"Lift "&amp;W1681&amp;" lt. Liftbericht (Fach "&amp;X1681&amp;" Stk); ",IF(BX1681=1,"Gebinde geschätzt ("&amp;T1681&amp;"); ",IF(BW1681=1,"Lose – Tablare geschätzt; ","")))&amp;IF(H1681&gt;AT1681,"Überbestand "&amp;ROUND(H1681-AT1681,0)&amp;" Stk / CHF "&amp;ROUND((H1681-AT1681)*G1681,0)&amp;"; ","")&amp;IF(AND(CE1681=1,CF1681&lt;CG1681),"MAX &lt; MB+LG; ","")&amp;IF(AND(CK1681&gt;0,CJ1681*10&gt;CK1681),"zu hoch für Tablar; ","")&amp;IF(AND(BS1681=0,OR(CE1681=1,AA1681&lt;&gt;"",U1681&lt;&gt;"",V1681&lt;&gt;"",AB1681&lt;&gt;"")),"manuell übersteuert; ","")&amp;IF(AND(BW1681=0,R1681=0),"Gebinde unbekannt / Stellmass fehlt; ","")&amp;IF(AND(BW1681=0,N(V1681)&lt;=0,N(Q1681)&lt;=0),"Menge pro Gebinde fehlt (Ist = 1 Gebinde); ","")&amp;BR1681)</f>
        <v>Kein Verbrauch; nur im Artikelstamm (Bestand 23.06.2026)</v>
      </c>
      <c r="BK1681" s="48"/>
      <c r="BL1681" s="48"/>
      <c r="BM1681" s="55"/>
      <c r="BN1681" s="50" t="n">
        <v>14</v>
      </c>
      <c r="BO1681" s="50" t="n">
        <v>0</v>
      </c>
      <c r="BP1681" s="49" t="n">
        <v>0</v>
      </c>
      <c r="BQ1681" s="50" t="n">
        <v>0</v>
      </c>
      <c r="BR1681" s="48" t="s">
        <v>2579</v>
      </c>
      <c r="BS1681" s="53" t="n">
        <v>0</v>
      </c>
      <c r="BT1681" s="53" t="n">
        <v>1681</v>
      </c>
      <c r="BU1681" s="48" t="str">
        <f aca="false">IF(U1681&lt;&gt;"",UPPER(TRIM(U1681)),IF(BX1681=1,UPPER(VLOOKUP(T1681,Parameter!$I$27:$K$29,2,0)),IF(P1681="","LOSE",P1681)))</f>
        <v>S62</v>
      </c>
      <c r="BV1681" s="50" t="n">
        <f aca="false">IF(BU1681="LOSE",1,IF(N(V1681)&gt;0,V1681,IF(BX1681=1,MAX(1,N(VLOOKUP(T1681,Parameter!$I$27:$K$29,3,0)),H1681,N(N1681)),IF(N(Q1681)&gt;0,Q1681,MAX(1,H1681)))))</f>
        <v>15</v>
      </c>
      <c r="BW1681" s="53" t="n">
        <f aca="false">IF(BU1681="LOSE",1,0)</f>
        <v>0</v>
      </c>
      <c r="BX1681" s="53" t="n">
        <f aca="false">IF(AND(U1681="",OR(P1681="",P1681="LOSE"),T1681&lt;&gt;"",N(S1681)&lt;=0,ISNUMBER(MATCH(T1681,Parameter!$I$27:$I$29,0))),1,0)</f>
        <v>0</v>
      </c>
      <c r="BY1681" s="53" t="n">
        <f aca="false">IF(CL1681&gt;0,INDEX(Parameter!$H$5:$H$7,W1681)/INDEX(Parameter!$E$5:$E$7,W1681),IF(AND(BW1681=0,N(IFERROR(VLOOKUP(BU1681,'Gebinde-Kategorie'!$A$5:$N$45,14,0),0))&gt;0),VLOOKUP(BU1681,'Gebinde-Kategorie'!$A$5:$N$45,14,0)*10+Parameter!$M$23,Parameter!$M$24))</f>
        <v>245</v>
      </c>
      <c r="BZ1681" s="48" t="n">
        <f aca="false">IF(AND(Parameter!$B$19="Ja",E1681&lt;&gt;"",ISNUMBER(MATCH(E1681,Parameter!$I$35:$I$52,0))),VLOOKUP(E1681,Parameter!$I$35:$J$52,2,0),IFERROR(VLOOKUP(D1681,Parameter!$A$35:$C$64,2,0),"Nein"))</f>
        <v>1</v>
      </c>
      <c r="CA1681" s="52" t="n">
        <f aca="false">IF(BW1681=0,0,IF(N(S1681)&gt;0,S1681,IFERROR(VLOOKUP(D1681,Parameter!$A$35:$C$64,3,0)+0,0)))</f>
        <v>0</v>
      </c>
      <c r="CB1681" s="48" t="n">
        <f aca="false">IF(AA1681&lt;&gt;"",AA1681,Z1681)</f>
        <v>1</v>
      </c>
      <c r="CC1681" s="48" t="str">
        <f aca="false">IF(OR(CB1681=1,CB1681=2,CB1681=3),IF(Parameter!$E$27="Ja","LIFT",IF(CB1681=1,"L1","L23")),IF(CB1681="Aussen","Aussen","-"))</f>
        <v>LIFT</v>
      </c>
      <c r="CD1681" s="59" t="n">
        <f aca="false">IF(N(AB1681)&gt;0,AB1681,0)</f>
        <v>0</v>
      </c>
      <c r="CE1681" s="53" t="n">
        <f aca="false">IF(ISNUMBER(AE1681),1,0)</f>
        <v>0</v>
      </c>
      <c r="CF1681" s="50" t="n">
        <f aca="false">N(AE1681)</f>
        <v>0</v>
      </c>
      <c r="CG1681" s="50" t="n">
        <f aca="false">N(M1681)+N(N1681)</f>
        <v>10</v>
      </c>
      <c r="CH1681" s="50" t="n">
        <f aca="false">ROUNDUP(H1681/BV1681,0)</f>
        <v>1</v>
      </c>
      <c r="CI1681" s="50" t="n">
        <f aca="false">ROUNDUP(CF1681/BV1681,0)</f>
        <v>0</v>
      </c>
      <c r="CJ1681" s="53" t="n">
        <f aca="false">IF(BW1681=1,0,IFERROR(VLOOKUP(BU1681,'Gebinde-Kategorie'!$A$5:$N$45,5,0)+0,0))</f>
        <v>21</v>
      </c>
      <c r="CK1681" s="53" t="n">
        <f aca="false">IFERROR(IF(OR(CB1681=1,CB1681=2,CB1681=3),N(INDEX(Parameter!$I$5:$I$7,CB1681)),0),0)</f>
        <v>0</v>
      </c>
      <c r="CL1681" s="52" t="n">
        <f aca="false">IF(AND(Parameter!$B$21="Ja",ISNUMBER(W1681),N(X1681)&gt;0),IFERROR(N(INDEX(Parameter!$L$5:$L$7,W1681))*INDEX(Parameter!$E$5:$E$7,W1681)*X1681/SUMIFS($X$7:$X$1843,$W$7:$W$1843,W1681),0),0)</f>
        <v>0</v>
      </c>
    </row>
    <row r="1682" customFormat="false" ht="15" hidden="false" customHeight="false" outlineLevel="0" collapsed="false">
      <c r="A1682" s="48" t="s">
        <v>2918</v>
      </c>
      <c r="B1682" s="48" t="s">
        <v>2904</v>
      </c>
      <c r="C1682" s="48" t="s">
        <v>168</v>
      </c>
      <c r="D1682" s="48" t="s">
        <v>177</v>
      </c>
      <c r="E1682" s="48"/>
      <c r="F1682" s="48"/>
      <c r="G1682" s="49" t="n">
        <v>0</v>
      </c>
      <c r="H1682" s="50" t="n">
        <f aca="false">MAX(0,IF(AND(Parameter!$B$21="Ja",ISNUMBER(Y1682)),Y1682,IF(Parameter!$B$20="Jahresanfang 2025 + Export",BO1682+BN1682,BN1682)))</f>
        <v>4</v>
      </c>
      <c r="I1682" s="50" t="n">
        <f aca="false">H1682*G1682</f>
        <v>0</v>
      </c>
      <c r="J1682" s="50" t="n">
        <f aca="false">BQ1682*Parameter!$B$18</f>
        <v>0</v>
      </c>
      <c r="K1682" s="51"/>
      <c r="L1682" s="52"/>
      <c r="M1682" s="50" t="n">
        <v>0</v>
      </c>
      <c r="N1682" s="50" t="n">
        <v>1</v>
      </c>
      <c r="O1682" s="53" t="n">
        <v>0</v>
      </c>
      <c r="P1682" s="48" t="s">
        <v>297</v>
      </c>
      <c r="Q1682" s="50" t="n">
        <v>5</v>
      </c>
      <c r="R1682" s="53" t="n">
        <f aca="false">IF(BW1682=1,0,IFERROR(VLOOKUP(BU1682,'Gebinde-Kategorie'!$A$5:$N$45,13,0)+0,0))</f>
        <v>12</v>
      </c>
      <c r="S1682" s="54"/>
      <c r="T1682" s="55"/>
      <c r="U1682" s="55"/>
      <c r="V1682" s="55"/>
      <c r="W1682" s="48"/>
      <c r="X1682" s="50"/>
      <c r="Y1682" s="50"/>
      <c r="Z1682" s="48" t="n">
        <f aca="false">IF(A1682="","",IF(AND(Parameter!$B$21="Ja",ISNUMBER(W1682)),W1682,IF(BZ1682="2+3",IF(ISNUMBER(SEARCH("grosser Artikel",BR1682)),2,IFERROR(VLOOKUP(BU1682,Parameter!$F$35:$G$64,2,0),2)),IF(OR(BZ1682="Nein",BZ1682=""),"-",BZ1682))))</f>
        <v>2</v>
      </c>
      <c r="AA1682" s="55"/>
      <c r="AB1682" s="56"/>
      <c r="AC1682" s="50" t="n">
        <f aca="false">AT1682</f>
        <v>5</v>
      </c>
      <c r="AD1682" s="50" t="n">
        <f aca="false">MAX(AT1682,H1682)</f>
        <v>5</v>
      </c>
      <c r="AE1682" s="57"/>
      <c r="AF1682" s="50" t="n">
        <f aca="false">IF(LEFT(Cockpit!$C$5,1)="A",H1682,IF(CE1682=1,CF1682,IF(LEFT(Cockpit!$C$5,1)="B",AK1682,MAX(AK1682,H1682))))</f>
        <v>4</v>
      </c>
      <c r="AG1682" s="50" t="n">
        <f aca="false">IF(BW1682=1,0,ROUNDUP(AF1682/BV1682,0))</f>
        <v>1</v>
      </c>
      <c r="AH1682" s="52" t="n">
        <f aca="false">IF(CL1682&gt;0,CL1682*MAX(1,AF1682/X1682),IF(BW1682=1,IF(AF1682&lt;=0,0,CA1682*MAX(1,IF(H1682&gt;0,AF1682/H1682,1))),IF(R1682&gt;0,AG1682/R1682,0))/MAX(0.1,N(Parameter!$M$21)))</f>
        <v>0.0833333333333333</v>
      </c>
      <c r="AI1682" s="50" t="n">
        <f aca="false">AH1682*BY1682</f>
        <v>20.4166666666667</v>
      </c>
      <c r="AJ1682" s="50" t="n">
        <f aca="false">AF1682*G1682</f>
        <v>0</v>
      </c>
      <c r="AK1682" s="50" t="n">
        <f aca="false">ROUNDUP(MAX(J1682/IF(CD1682&gt;0,CD1682,MAX(0.1,N(Cockpit!$C$6))),CG1682)/BV1682,0)*BV1682</f>
        <v>5</v>
      </c>
      <c r="AL1682" s="51" t="n">
        <f aca="false">IF(AI1682&gt;0,J1682/AI1682,-1)</f>
        <v>0</v>
      </c>
      <c r="AM1682" s="51" t="n">
        <f aca="false">IF(AND(OR(CC1682="L1",CC1682="L23",CC1682="LIFT"),AI1682&gt;0),SUMIFS($AI$7:$AI$1843,$CC$7:$CC$1843,CC1682,$AL$7:$AL$1843,"&gt;"&amp;AL1682)+SUMIFS($AI$7:$AI$1843,$CC$7:$CC$1843,CC1682,$AL$7:$AL$1843,AL1682,$BT$7:$BT$1843,"&lt;="&amp;BT1682),"")</f>
        <v>32628.6717602078</v>
      </c>
      <c r="AN1682" s="58" t="n">
        <f aca="false">IF(AM1682="",0,MAX(0,MIN(1,(IF(CC1682="L1",Parameter!$H$5,IF(CC1682="L23",Parameter!$H$6+Parameter!$H$7,Parameter!$H$5+Parameter!$H$6+Parameter!$H$7))-(AM1682-AI1682))/AI1682)))</f>
        <v>1</v>
      </c>
      <c r="AO1682" s="50" t="n">
        <f aca="false">IF(LEFT(Cockpit!$I$5,1)="A",H1682,IF(CE1682=1,CF1682,IF(LEFT(Cockpit!$I$5,1)="B",AT1682,MAX(AT1682,H1682))))</f>
        <v>5</v>
      </c>
      <c r="AP1682" s="50" t="n">
        <f aca="false">IF(BW1682=1,0,ROUNDUP(AO1682/BV1682,0))</f>
        <v>1</v>
      </c>
      <c r="AQ1682" s="52" t="n">
        <f aca="false">IF(CL1682&gt;0,CL1682*MAX(1,AO1682/X1682),IF(BW1682=1,IF(AO1682&lt;=0,0,CA1682*MAX(1,IF(H1682&gt;0,AO1682/H1682,1))),IF(R1682&gt;0,AP1682/R1682,0))/MAX(0.1,N(Parameter!$M$21)))</f>
        <v>0.0833333333333333</v>
      </c>
      <c r="AR1682" s="50" t="n">
        <f aca="false">AQ1682*BY1682</f>
        <v>20.4166666666667</v>
      </c>
      <c r="AS1682" s="50" t="n">
        <f aca="false">AO1682*G1682</f>
        <v>0</v>
      </c>
      <c r="AT1682" s="50" t="n">
        <f aca="false">ROUNDUP(MAX(J1682/IF(CD1682&gt;0,CD1682,MAX(0.1,N(Cockpit!$I$6))),CG1682)/BV1682,0)*BV1682</f>
        <v>5</v>
      </c>
      <c r="AU1682" s="51" t="n">
        <f aca="false">IF(AR1682&gt;0,J1682/AR1682,-1)</f>
        <v>0</v>
      </c>
      <c r="AV1682" s="51" t="n">
        <f aca="false">IF(AND(OR(CC1682="L1",CC1682="L23",CC1682="LIFT"),AR1682&gt;0),SUMIFS($AR$7:$AR$1843,$CC$7:$CC$1843,CC1682,$AU$7:$AU$1843,"&gt;"&amp;AU1682)+SUMIFS($AR$7:$AR$1843,$CC$7:$CC$1843,CC1682,$AU$7:$AU$1843,AU1682,$BT$7:$BT$1843,"&lt;="&amp;BT1682),"")</f>
        <v>45295.3574998448</v>
      </c>
      <c r="AW1682" s="58" t="n">
        <f aca="false">IF(AV1682="",0,MAX(0,MIN(1,(IF(CC1682="L1",Parameter!$H$5,IF(CC1682="L23",Parameter!$H$6+Parameter!$H$7,Parameter!$H$5+Parameter!$H$6+Parameter!$H$7))-(AV1682-AR1682))/AR1682)))</f>
        <v>0</v>
      </c>
      <c r="AX1682" s="50" t="n">
        <f aca="false">IF(LEFT(Cockpit!$O$5,1)="A",H1682,IF(CE1682=1,CF1682,IF(LEFT(Cockpit!$O$5,1)="B",BC1682,MAX(BC1682,H1682))))</f>
        <v>5</v>
      </c>
      <c r="AY1682" s="50" t="n">
        <f aca="false">IF(BW1682=1,0,ROUNDUP(AX1682/BV1682,0))</f>
        <v>1</v>
      </c>
      <c r="AZ1682" s="52" t="n">
        <f aca="false">IF(CL1682&gt;0,CL1682*MAX(1,AX1682/X1682),IF(BW1682=1,IF(AX1682&lt;=0,0,CA1682*MAX(1,IF(H1682&gt;0,AX1682/H1682,1))),IF(R1682&gt;0,AY1682/R1682,0))/MAX(0.1,N(Parameter!$M$21)))</f>
        <v>0.0833333333333333</v>
      </c>
      <c r="BA1682" s="50" t="n">
        <f aca="false">AZ1682*BY1682</f>
        <v>20.4166666666667</v>
      </c>
      <c r="BB1682" s="50" t="n">
        <f aca="false">AX1682*G1682</f>
        <v>0</v>
      </c>
      <c r="BC1682" s="50" t="n">
        <f aca="false">ROUNDUP(MAX(J1682/IF(CD1682&gt;0,CD1682,MAX(0.1,N(Cockpit!$O$6))),CG1682)/BV1682,0)*BV1682</f>
        <v>5</v>
      </c>
      <c r="BD1682" s="51" t="n">
        <f aca="false">IF(BA1682&gt;0,J1682/BA1682,-1)</f>
        <v>0</v>
      </c>
      <c r="BE1682" s="51" t="n">
        <f aca="false">IF(AND(OR(CC1682="L1",CC1682="L23",CC1682="LIFT"),BA1682&gt;0),SUMIFS($BA$7:$BA$1843,$CC$7:$CC$1843,CC1682,$BD$7:$BD$1843,"&gt;"&amp;BD1682)+SUMIFS($BA$7:$BA$1843,$CC$7:$CC$1843,CC1682,$BD$7:$BD$1843,BD1682,$BT$7:$BT$1843,"&lt;="&amp;BT1682),"")</f>
        <v>41970.3695417107</v>
      </c>
      <c r="BF1682" s="58" t="n">
        <f aca="false">IF(BE1682="",0,MAX(0,MIN(1,(IF(CC1682="L1",Parameter!$H$5,IF(CC1682="L23",Parameter!$H$6+Parameter!$H$7,Parameter!$H$5+Parameter!$H$6+Parameter!$H$7))-(BE1682-BA1682))/BA1682)))</f>
        <v>0</v>
      </c>
      <c r="BG1682" s="48" t="str">
        <f aca="false">IF(AI1682&lt;=0,"",IF(CC1682="Aussen","Aussenlager",IF(CC1682="-","Nicht im Lift",IF(AN1682&gt;=1,"Lift",IF(AN1682&lt;=0,"Aussenlager","teilweise")))))</f>
        <v>Lift</v>
      </c>
      <c r="BH1682" s="48" t="str">
        <f aca="false">IF(AR1682&lt;=0,"",IF(CC1682="Aussen","Aussenlager",IF(CC1682="-","Nicht im Lift",IF(AW1682&gt;=1,"Lift",IF(AW1682&lt;=0,"Aussenlager","teilweise")))))</f>
        <v>Aussenlager</v>
      </c>
      <c r="BI1682" s="48" t="str">
        <f aca="false">IF(BA1682&lt;=0,"",IF(CC1682="Aussen","Aussenlager",IF(CC1682="-","Nicht im Lift",IF(BF1682&gt;=1,"Lift",IF(BF1682&lt;=0,"Aussenlager","teilweise")))))</f>
        <v>Aussenlager</v>
      </c>
      <c r="BJ1682" s="48" t="str">
        <f aca="false">IF(A1682="","",IF(BS1682=1,"Neu; ","")&amp;IF(AND(BS1682=0,BN1682&lt;0),"negativer Bestand (Export "&amp;BN1682&amp;"); ","")&amp;IF(J1682&lt;=0,"Kein Verbrauch; ","")&amp;IF(CL1682&gt;0,"Lift "&amp;W1682&amp;" lt. Liftbericht (Fach "&amp;X1682&amp;" Stk); ",IF(BX1682=1,"Gebinde geschätzt ("&amp;T1682&amp;"); ",IF(BW1682=1,"Lose – Tablare geschätzt; ","")))&amp;IF(H1682&gt;AT1682,"Überbestand "&amp;ROUND(H1682-AT1682,0)&amp;" Stk / CHF "&amp;ROUND((H1682-AT1682)*G1682,0)&amp;"; ","")&amp;IF(AND(CE1682=1,CF1682&lt;CG1682),"MAX &lt; MB+LG; ","")&amp;IF(AND(CK1682&gt;0,CJ1682*10&gt;CK1682),"zu hoch für Tablar; ","")&amp;IF(AND(BS1682=0,OR(CE1682=1,AA1682&lt;&gt;"",U1682&lt;&gt;"",V1682&lt;&gt;"",AB1682&lt;&gt;"")),"manuell übersteuert; ","")&amp;IF(AND(BW1682=0,R1682=0),"Gebinde unbekannt / Stellmass fehlt; ","")&amp;IF(AND(BW1682=0,N(V1682)&lt;=0,N(Q1682)&lt;=0),"Menge pro Gebinde fehlt (Ist = 1 Gebinde); ","")&amp;BR1682)</f>
        <v>Kein Verbrauch; nur im Artikelstamm (Bestand 23.06.2026)</v>
      </c>
      <c r="BK1682" s="48"/>
      <c r="BL1682" s="48"/>
      <c r="BM1682" s="55"/>
      <c r="BN1682" s="50" t="n">
        <v>4</v>
      </c>
      <c r="BO1682" s="50" t="n">
        <v>0</v>
      </c>
      <c r="BP1682" s="49" t="n">
        <v>0</v>
      </c>
      <c r="BQ1682" s="50" t="n">
        <v>0</v>
      </c>
      <c r="BR1682" s="48" t="s">
        <v>2579</v>
      </c>
      <c r="BS1682" s="53" t="n">
        <v>0</v>
      </c>
      <c r="BT1682" s="53" t="n">
        <v>1682</v>
      </c>
      <c r="BU1682" s="48" t="str">
        <f aca="false">IF(U1682&lt;&gt;"",UPPER(TRIM(U1682)),IF(BX1682=1,UPPER(VLOOKUP(T1682,Parameter!$I$27:$K$29,2,0)),IF(P1682="","LOSE",P1682)))</f>
        <v>S62</v>
      </c>
      <c r="BV1682" s="50" t="n">
        <f aca="false">IF(BU1682="LOSE",1,IF(N(V1682)&gt;0,V1682,IF(BX1682=1,MAX(1,N(VLOOKUP(T1682,Parameter!$I$27:$K$29,3,0)),H1682,N(N1682)),IF(N(Q1682)&gt;0,Q1682,MAX(1,H1682)))))</f>
        <v>5</v>
      </c>
      <c r="BW1682" s="53" t="n">
        <f aca="false">IF(BU1682="LOSE",1,0)</f>
        <v>0</v>
      </c>
      <c r="BX1682" s="53" t="n">
        <f aca="false">IF(AND(U1682="",OR(P1682="",P1682="LOSE"),T1682&lt;&gt;"",N(S1682)&lt;=0,ISNUMBER(MATCH(T1682,Parameter!$I$27:$I$29,0))),1,0)</f>
        <v>0</v>
      </c>
      <c r="BY1682" s="53" t="n">
        <f aca="false">IF(CL1682&gt;0,INDEX(Parameter!$H$5:$H$7,W1682)/INDEX(Parameter!$E$5:$E$7,W1682),IF(AND(BW1682=0,N(IFERROR(VLOOKUP(BU1682,'Gebinde-Kategorie'!$A$5:$N$45,14,0),0))&gt;0),VLOOKUP(BU1682,'Gebinde-Kategorie'!$A$5:$N$45,14,0)*10+Parameter!$M$23,Parameter!$M$24))</f>
        <v>245</v>
      </c>
      <c r="BZ1682" s="48" t="str">
        <f aca="false">IF(AND(Parameter!$B$19="Ja",E1682&lt;&gt;"",ISNUMBER(MATCH(E1682,Parameter!$I$35:$I$52,0))),VLOOKUP(E1682,Parameter!$I$35:$J$52,2,0),IFERROR(VLOOKUP(D1682,Parameter!$A$35:$C$64,2,0),"Nein"))</f>
        <v>2+3</v>
      </c>
      <c r="CA1682" s="52" t="n">
        <f aca="false">IF(BW1682=0,0,IF(N(S1682)&gt;0,S1682,IFERROR(VLOOKUP(D1682,Parameter!$A$35:$C$64,3,0)+0,0)))</f>
        <v>0</v>
      </c>
      <c r="CB1682" s="48" t="n">
        <f aca="false">IF(AA1682&lt;&gt;"",AA1682,Z1682)</f>
        <v>2</v>
      </c>
      <c r="CC1682" s="48" t="str">
        <f aca="false">IF(OR(CB1682=1,CB1682=2,CB1682=3),IF(Parameter!$E$27="Ja","LIFT",IF(CB1682=1,"L1","L23")),IF(CB1682="Aussen","Aussen","-"))</f>
        <v>LIFT</v>
      </c>
      <c r="CD1682" s="59" t="n">
        <f aca="false">IF(N(AB1682)&gt;0,AB1682,0)</f>
        <v>0</v>
      </c>
      <c r="CE1682" s="53" t="n">
        <f aca="false">IF(ISNUMBER(AE1682),1,0)</f>
        <v>0</v>
      </c>
      <c r="CF1682" s="50" t="n">
        <f aca="false">N(AE1682)</f>
        <v>0</v>
      </c>
      <c r="CG1682" s="50" t="n">
        <f aca="false">N(M1682)+N(N1682)</f>
        <v>1</v>
      </c>
      <c r="CH1682" s="50" t="n">
        <f aca="false">ROUNDUP(H1682/BV1682,0)</f>
        <v>1</v>
      </c>
      <c r="CI1682" s="50" t="n">
        <f aca="false">ROUNDUP(CF1682/BV1682,0)</f>
        <v>0</v>
      </c>
      <c r="CJ1682" s="53" t="n">
        <f aca="false">IF(BW1682=1,0,IFERROR(VLOOKUP(BU1682,'Gebinde-Kategorie'!$A$5:$N$45,5,0)+0,0))</f>
        <v>21</v>
      </c>
      <c r="CK1682" s="53" t="n">
        <f aca="false">IFERROR(IF(OR(CB1682=1,CB1682=2,CB1682=3),N(INDEX(Parameter!$I$5:$I$7,CB1682)),0),0)</f>
        <v>0</v>
      </c>
      <c r="CL1682" s="52" t="n">
        <f aca="false">IF(AND(Parameter!$B$21="Ja",ISNUMBER(W1682),N(X1682)&gt;0),IFERROR(N(INDEX(Parameter!$L$5:$L$7,W1682))*INDEX(Parameter!$E$5:$E$7,W1682)*X1682/SUMIFS($X$7:$X$1843,$W$7:$W$1843,W1682),0),0)</f>
        <v>0</v>
      </c>
    </row>
    <row r="1683" customFormat="false" ht="15" hidden="false" customHeight="false" outlineLevel="0" collapsed="false">
      <c r="A1683" s="48" t="s">
        <v>2919</v>
      </c>
      <c r="B1683" s="48" t="s">
        <v>2379</v>
      </c>
      <c r="C1683" s="48" t="s">
        <v>168</v>
      </c>
      <c r="D1683" s="48" t="s">
        <v>188</v>
      </c>
      <c r="E1683" s="48"/>
      <c r="F1683" s="48"/>
      <c r="G1683" s="49" t="n">
        <v>26.76</v>
      </c>
      <c r="H1683" s="50" t="n">
        <f aca="false">MAX(0,IF(AND(Parameter!$B$21="Ja",ISNUMBER(Y1683)),Y1683,IF(Parameter!$B$20="Jahresanfang 2025 + Export",BO1683+BN1683,BN1683)))</f>
        <v>1</v>
      </c>
      <c r="I1683" s="50" t="n">
        <f aca="false">H1683*G1683</f>
        <v>26.76</v>
      </c>
      <c r="J1683" s="50" t="n">
        <f aca="false">BQ1683*Parameter!$B$18</f>
        <v>0</v>
      </c>
      <c r="K1683" s="51"/>
      <c r="L1683" s="52"/>
      <c r="M1683" s="50" t="n">
        <v>0</v>
      </c>
      <c r="N1683" s="50" t="n">
        <v>1</v>
      </c>
      <c r="O1683" s="53" t="n">
        <v>224</v>
      </c>
      <c r="P1683" s="48" t="s">
        <v>190</v>
      </c>
      <c r="Q1683" s="50" t="n">
        <v>65</v>
      </c>
      <c r="R1683" s="53" t="n">
        <f aca="false">IF(BW1683=1,0,IFERROR(VLOOKUP(BU1683,'Gebinde-Kategorie'!$A$5:$N$45,13,0)+0,0))</f>
        <v>12</v>
      </c>
      <c r="S1683" s="54"/>
      <c r="T1683" s="55"/>
      <c r="U1683" s="55"/>
      <c r="V1683" s="55"/>
      <c r="W1683" s="48"/>
      <c r="X1683" s="50"/>
      <c r="Y1683" s="50"/>
      <c r="Z1683" s="48" t="n">
        <f aca="false">IF(A1683="","",IF(AND(Parameter!$B$21="Ja",ISNUMBER(W1683)),W1683,IF(BZ1683="2+3",IF(ISNUMBER(SEARCH("grosser Artikel",BR1683)),2,IFERROR(VLOOKUP(BU1683,Parameter!$F$35:$G$64,2,0),2)),IF(OR(BZ1683="Nein",BZ1683=""),"-",BZ1683))))</f>
        <v>2</v>
      </c>
      <c r="AA1683" s="55"/>
      <c r="AB1683" s="56"/>
      <c r="AC1683" s="50" t="n">
        <f aca="false">AT1683</f>
        <v>65</v>
      </c>
      <c r="AD1683" s="50" t="n">
        <f aca="false">MAX(AT1683,H1683)</f>
        <v>65</v>
      </c>
      <c r="AE1683" s="57"/>
      <c r="AF1683" s="50" t="n">
        <f aca="false">IF(LEFT(Cockpit!$C$5,1)="A",H1683,IF(CE1683=1,CF1683,IF(LEFT(Cockpit!$C$5,1)="B",AK1683,MAX(AK1683,H1683))))</f>
        <v>1</v>
      </c>
      <c r="AG1683" s="50" t="n">
        <f aca="false">IF(BW1683=1,0,ROUNDUP(AF1683/BV1683,0))</f>
        <v>1</v>
      </c>
      <c r="AH1683" s="52" t="n">
        <f aca="false">IF(CL1683&gt;0,CL1683*MAX(1,AF1683/X1683),IF(BW1683=1,IF(AF1683&lt;=0,0,CA1683*MAX(1,IF(H1683&gt;0,AF1683/H1683,1))),IF(R1683&gt;0,AG1683/R1683,0))/MAX(0.1,N(Parameter!$M$21)))</f>
        <v>0.0833333333333333</v>
      </c>
      <c r="AI1683" s="50" t="n">
        <f aca="false">AH1683*BY1683</f>
        <v>12.0833333333333</v>
      </c>
      <c r="AJ1683" s="50" t="n">
        <f aca="false">AF1683*G1683</f>
        <v>26.76</v>
      </c>
      <c r="AK1683" s="50" t="n">
        <f aca="false">ROUNDUP(MAX(J1683/IF(CD1683&gt;0,CD1683,MAX(0.1,N(Cockpit!$C$6))),CG1683)/BV1683,0)*BV1683</f>
        <v>65</v>
      </c>
      <c r="AL1683" s="51" t="n">
        <f aca="false">IF(AI1683&gt;0,J1683/AI1683,-1)</f>
        <v>0</v>
      </c>
      <c r="AM1683" s="51" t="n">
        <f aca="false">IF(AND(OR(CC1683="L1",CC1683="L23",CC1683="LIFT"),AI1683&gt;0),SUMIFS($AI$7:$AI$1843,$CC$7:$CC$1843,CC1683,$AL$7:$AL$1843,"&gt;"&amp;AL1683)+SUMIFS($AI$7:$AI$1843,$CC$7:$CC$1843,CC1683,$AL$7:$AL$1843,AL1683,$BT$7:$BT$1843,"&lt;="&amp;BT1683),"")</f>
        <v>32640.7550935411</v>
      </c>
      <c r="AN1683" s="58" t="n">
        <f aca="false">IF(AM1683="",0,MAX(0,MIN(1,(IF(CC1683="L1",Parameter!$H$5,IF(CC1683="L23",Parameter!$H$6+Parameter!$H$7,Parameter!$H$5+Parameter!$H$6+Parameter!$H$7))-(AM1683-AI1683))/AI1683)))</f>
        <v>1</v>
      </c>
      <c r="AO1683" s="50" t="n">
        <f aca="false">IF(LEFT(Cockpit!$I$5,1)="A",H1683,IF(CE1683=1,CF1683,IF(LEFT(Cockpit!$I$5,1)="B",AT1683,MAX(AT1683,H1683))))</f>
        <v>65</v>
      </c>
      <c r="AP1683" s="50" t="n">
        <f aca="false">IF(BW1683=1,0,ROUNDUP(AO1683/BV1683,0))</f>
        <v>1</v>
      </c>
      <c r="AQ1683" s="52" t="n">
        <f aca="false">IF(CL1683&gt;0,CL1683*MAX(1,AO1683/X1683),IF(BW1683=1,IF(AO1683&lt;=0,0,CA1683*MAX(1,IF(H1683&gt;0,AO1683/H1683,1))),IF(R1683&gt;0,AP1683/R1683,0))/MAX(0.1,N(Parameter!$M$21)))</f>
        <v>0.0833333333333333</v>
      </c>
      <c r="AR1683" s="50" t="n">
        <f aca="false">AQ1683*BY1683</f>
        <v>12.0833333333333</v>
      </c>
      <c r="AS1683" s="50" t="n">
        <f aca="false">AO1683*G1683</f>
        <v>1739.4</v>
      </c>
      <c r="AT1683" s="50" t="n">
        <f aca="false">ROUNDUP(MAX(J1683/IF(CD1683&gt;0,CD1683,MAX(0.1,N(Cockpit!$I$6))),CG1683)/BV1683,0)*BV1683</f>
        <v>65</v>
      </c>
      <c r="AU1683" s="51" t="n">
        <f aca="false">IF(AR1683&gt;0,J1683/AR1683,-1)</f>
        <v>0</v>
      </c>
      <c r="AV1683" s="51" t="n">
        <f aca="false">IF(AND(OR(CC1683="L1",CC1683="L23",CC1683="LIFT"),AR1683&gt;0),SUMIFS($AR$7:$AR$1843,$CC$7:$CC$1843,CC1683,$AU$7:$AU$1843,"&gt;"&amp;AU1683)+SUMIFS($AR$7:$AR$1843,$CC$7:$CC$1843,CC1683,$AU$7:$AU$1843,AU1683,$BT$7:$BT$1843,"&lt;="&amp;BT1683),"")</f>
        <v>45307.4408331781</v>
      </c>
      <c r="AW1683" s="58" t="n">
        <f aca="false">IF(AV1683="",0,MAX(0,MIN(1,(IF(CC1683="L1",Parameter!$H$5,IF(CC1683="L23",Parameter!$H$6+Parameter!$H$7,Parameter!$H$5+Parameter!$H$6+Parameter!$H$7))-(AV1683-AR1683))/AR1683)))</f>
        <v>0</v>
      </c>
      <c r="AX1683" s="50" t="n">
        <f aca="false">IF(LEFT(Cockpit!$O$5,1)="A",H1683,IF(CE1683=1,CF1683,IF(LEFT(Cockpit!$O$5,1)="B",BC1683,MAX(BC1683,H1683))))</f>
        <v>65</v>
      </c>
      <c r="AY1683" s="50" t="n">
        <f aca="false">IF(BW1683=1,0,ROUNDUP(AX1683/BV1683,0))</f>
        <v>1</v>
      </c>
      <c r="AZ1683" s="52" t="n">
        <f aca="false">IF(CL1683&gt;0,CL1683*MAX(1,AX1683/X1683),IF(BW1683=1,IF(AX1683&lt;=0,0,CA1683*MAX(1,IF(H1683&gt;0,AX1683/H1683,1))),IF(R1683&gt;0,AY1683/R1683,0))/MAX(0.1,N(Parameter!$M$21)))</f>
        <v>0.0833333333333333</v>
      </c>
      <c r="BA1683" s="50" t="n">
        <f aca="false">AZ1683*BY1683</f>
        <v>12.0833333333333</v>
      </c>
      <c r="BB1683" s="50" t="n">
        <f aca="false">AX1683*G1683</f>
        <v>1739.4</v>
      </c>
      <c r="BC1683" s="50" t="n">
        <f aca="false">ROUNDUP(MAX(J1683/IF(CD1683&gt;0,CD1683,MAX(0.1,N(Cockpit!$O$6))),CG1683)/BV1683,0)*BV1683</f>
        <v>65</v>
      </c>
      <c r="BD1683" s="51" t="n">
        <f aca="false">IF(BA1683&gt;0,J1683/BA1683,-1)</f>
        <v>0</v>
      </c>
      <c r="BE1683" s="51" t="n">
        <f aca="false">IF(AND(OR(CC1683="L1",CC1683="L23",CC1683="LIFT"),BA1683&gt;0),SUMIFS($BA$7:$BA$1843,$CC$7:$CC$1843,CC1683,$BD$7:$BD$1843,"&gt;"&amp;BD1683)+SUMIFS($BA$7:$BA$1843,$CC$7:$CC$1843,CC1683,$BD$7:$BD$1843,BD1683,$BT$7:$BT$1843,"&lt;="&amp;BT1683),"")</f>
        <v>41982.452875044</v>
      </c>
      <c r="BF1683" s="58" t="n">
        <f aca="false">IF(BE1683="",0,MAX(0,MIN(1,(IF(CC1683="L1",Parameter!$H$5,IF(CC1683="L23",Parameter!$H$6+Parameter!$H$7,Parameter!$H$5+Parameter!$H$6+Parameter!$H$7))-(BE1683-BA1683))/BA1683)))</f>
        <v>0</v>
      </c>
      <c r="BG1683" s="48" t="str">
        <f aca="false">IF(AI1683&lt;=0,"",IF(CC1683="Aussen","Aussenlager",IF(CC1683="-","Nicht im Lift",IF(AN1683&gt;=1,"Lift",IF(AN1683&lt;=0,"Aussenlager","teilweise")))))</f>
        <v>Lift</v>
      </c>
      <c r="BH1683" s="48" t="str">
        <f aca="false">IF(AR1683&lt;=0,"",IF(CC1683="Aussen","Aussenlager",IF(CC1683="-","Nicht im Lift",IF(AW1683&gt;=1,"Lift",IF(AW1683&lt;=0,"Aussenlager","teilweise")))))</f>
        <v>Aussenlager</v>
      </c>
      <c r="BI1683" s="48" t="str">
        <f aca="false">IF(BA1683&lt;=0,"",IF(CC1683="Aussen","Aussenlager",IF(CC1683="-","Nicht im Lift",IF(BF1683&gt;=1,"Lift",IF(BF1683&lt;=0,"Aussenlager","teilweise")))))</f>
        <v>Aussenlager</v>
      </c>
      <c r="BJ1683" s="48" t="str">
        <f aca="false">IF(A1683="","",IF(BS1683=1,"Neu; ","")&amp;IF(AND(BS1683=0,BN1683&lt;0),"negativer Bestand (Export "&amp;BN1683&amp;"); ","")&amp;IF(J1683&lt;=0,"Kein Verbrauch; ","")&amp;IF(CL1683&gt;0,"Lift "&amp;W1683&amp;" lt. Liftbericht (Fach "&amp;X1683&amp;" Stk); ",IF(BX1683=1,"Gebinde geschätzt ("&amp;T1683&amp;"); ",IF(BW1683=1,"Lose – Tablare geschätzt; ","")))&amp;IF(H1683&gt;AT1683,"Überbestand "&amp;ROUND(H1683-AT1683,0)&amp;" Stk / CHF "&amp;ROUND((H1683-AT1683)*G1683,0)&amp;"; ","")&amp;IF(AND(CE1683=1,CF1683&lt;CG1683),"MAX &lt; MB+LG; ","")&amp;IF(AND(CK1683&gt;0,CJ1683*10&gt;CK1683),"zu hoch für Tablar; ","")&amp;IF(AND(BS1683=0,OR(CE1683=1,AA1683&lt;&gt;"",U1683&lt;&gt;"",V1683&lt;&gt;"",AB1683&lt;&gt;"")),"manuell übersteuert; ","")&amp;IF(AND(BW1683=0,R1683=0),"Gebinde unbekannt / Stellmass fehlt; ","")&amp;IF(AND(BW1683=0,N(V1683)&lt;=0,N(Q1683)&lt;=0),"Menge pro Gebinde fehlt (Ist = 1 Gebinde); ","")&amp;BR1683)</f>
        <v>Kein Verbrauch; nur im Artikelstamm (Bestand 23.06.2026)</v>
      </c>
      <c r="BK1683" s="48"/>
      <c r="BL1683" s="48"/>
      <c r="BM1683" s="55"/>
      <c r="BN1683" s="50" t="n">
        <v>1</v>
      </c>
      <c r="BO1683" s="50" t="n">
        <v>0</v>
      </c>
      <c r="BP1683" s="49" t="n">
        <v>0</v>
      </c>
      <c r="BQ1683" s="50" t="n">
        <v>0</v>
      </c>
      <c r="BR1683" s="48" t="s">
        <v>2579</v>
      </c>
      <c r="BS1683" s="53" t="n">
        <v>0</v>
      </c>
      <c r="BT1683" s="53" t="n">
        <v>1683</v>
      </c>
      <c r="BU1683" s="48" t="str">
        <f aca="false">IF(U1683&lt;&gt;"",UPPER(TRIM(U1683)),IF(BX1683=1,UPPER(VLOOKUP(T1683,Parameter!$I$27:$K$29,2,0)),IF(P1683="","LOSE",P1683)))</f>
        <v>S61</v>
      </c>
      <c r="BV1683" s="50" t="n">
        <f aca="false">IF(BU1683="LOSE",1,IF(N(V1683)&gt;0,V1683,IF(BX1683=1,MAX(1,N(VLOOKUP(T1683,Parameter!$I$27:$K$29,3,0)),H1683,N(N1683)),IF(N(Q1683)&gt;0,Q1683,MAX(1,H1683)))))</f>
        <v>65</v>
      </c>
      <c r="BW1683" s="53" t="n">
        <f aca="false">IF(BU1683="LOSE",1,0)</f>
        <v>0</v>
      </c>
      <c r="BX1683" s="53" t="n">
        <f aca="false">IF(AND(U1683="",OR(P1683="",P1683="LOSE"),T1683&lt;&gt;"",N(S1683)&lt;=0,ISNUMBER(MATCH(T1683,Parameter!$I$27:$I$29,0))),1,0)</f>
        <v>0</v>
      </c>
      <c r="BY1683" s="53" t="n">
        <f aca="false">IF(CL1683&gt;0,INDEX(Parameter!$H$5:$H$7,W1683)/INDEX(Parameter!$E$5:$E$7,W1683),IF(AND(BW1683=0,N(IFERROR(VLOOKUP(BU1683,'Gebinde-Kategorie'!$A$5:$N$45,14,0),0))&gt;0),VLOOKUP(BU1683,'Gebinde-Kategorie'!$A$5:$N$45,14,0)*10+Parameter!$M$23,Parameter!$M$24))</f>
        <v>145</v>
      </c>
      <c r="BZ1683" s="48" t="str">
        <f aca="false">IF(AND(Parameter!$B$19="Ja",E1683&lt;&gt;"",ISNUMBER(MATCH(E1683,Parameter!$I$35:$I$52,0))),VLOOKUP(E1683,Parameter!$I$35:$J$52,2,0),IFERROR(VLOOKUP(D1683,Parameter!$A$35:$C$64,2,0),"Nein"))</f>
        <v>2+3</v>
      </c>
      <c r="CA1683" s="52" t="n">
        <f aca="false">IF(BW1683=0,0,IF(N(S1683)&gt;0,S1683,IFERROR(VLOOKUP(D1683,Parameter!$A$35:$C$64,3,0)+0,0)))</f>
        <v>0</v>
      </c>
      <c r="CB1683" s="48" t="n">
        <f aca="false">IF(AA1683&lt;&gt;"",AA1683,Z1683)</f>
        <v>2</v>
      </c>
      <c r="CC1683" s="48" t="str">
        <f aca="false">IF(OR(CB1683=1,CB1683=2,CB1683=3),IF(Parameter!$E$27="Ja","LIFT",IF(CB1683=1,"L1","L23")),IF(CB1683="Aussen","Aussen","-"))</f>
        <v>LIFT</v>
      </c>
      <c r="CD1683" s="59" t="n">
        <f aca="false">IF(N(AB1683)&gt;0,AB1683,0)</f>
        <v>0</v>
      </c>
      <c r="CE1683" s="53" t="n">
        <f aca="false">IF(ISNUMBER(AE1683),1,0)</f>
        <v>0</v>
      </c>
      <c r="CF1683" s="50" t="n">
        <f aca="false">N(AE1683)</f>
        <v>0</v>
      </c>
      <c r="CG1683" s="50" t="n">
        <f aca="false">N(M1683)+N(N1683)</f>
        <v>1</v>
      </c>
      <c r="CH1683" s="50" t="n">
        <f aca="false">ROUNDUP(H1683/BV1683,0)</f>
        <v>1</v>
      </c>
      <c r="CI1683" s="50" t="n">
        <f aca="false">ROUNDUP(CF1683/BV1683,0)</f>
        <v>0</v>
      </c>
      <c r="CJ1683" s="53" t="n">
        <f aca="false">IF(BW1683=1,0,IFERROR(VLOOKUP(BU1683,'Gebinde-Kategorie'!$A$5:$N$45,5,0)+0,0))</f>
        <v>11</v>
      </c>
      <c r="CK1683" s="53" t="n">
        <f aca="false">IFERROR(IF(OR(CB1683=1,CB1683=2,CB1683=3),N(INDEX(Parameter!$I$5:$I$7,CB1683)),0),0)</f>
        <v>0</v>
      </c>
      <c r="CL1683" s="52" t="n">
        <f aca="false">IF(AND(Parameter!$B$21="Ja",ISNUMBER(W1683),N(X1683)&gt;0),IFERROR(N(INDEX(Parameter!$L$5:$L$7,W1683))*INDEX(Parameter!$E$5:$E$7,W1683)*X1683/SUMIFS($X$7:$X$1843,$W$7:$W$1843,W1683),0),0)</f>
        <v>0</v>
      </c>
    </row>
    <row r="1684" customFormat="false" ht="15" hidden="false" customHeight="false" outlineLevel="0" collapsed="false">
      <c r="A1684" s="48" t="s">
        <v>2920</v>
      </c>
      <c r="B1684" s="48" t="s">
        <v>2921</v>
      </c>
      <c r="C1684" s="48" t="s">
        <v>168</v>
      </c>
      <c r="D1684" s="48" t="s">
        <v>177</v>
      </c>
      <c r="E1684" s="48"/>
      <c r="F1684" s="48"/>
      <c r="G1684" s="49" t="n">
        <v>180</v>
      </c>
      <c r="H1684" s="50" t="n">
        <f aca="false">MAX(0,IF(AND(Parameter!$B$21="Ja",ISNUMBER(Y1684)),Y1684,IF(Parameter!$B$20="Jahresanfang 2025 + Export",BO1684+BN1684,BN1684)))</f>
        <v>6</v>
      </c>
      <c r="I1684" s="50" t="n">
        <f aca="false">H1684*G1684</f>
        <v>1080</v>
      </c>
      <c r="J1684" s="50" t="n">
        <f aca="false">BQ1684*Parameter!$B$18</f>
        <v>0</v>
      </c>
      <c r="K1684" s="51"/>
      <c r="L1684" s="52"/>
      <c r="M1684" s="50" t="n">
        <v>0</v>
      </c>
      <c r="N1684" s="50" t="n">
        <v>6</v>
      </c>
      <c r="O1684" s="53" t="n">
        <v>35</v>
      </c>
      <c r="P1684" s="48" t="s">
        <v>190</v>
      </c>
      <c r="Q1684" s="50" t="n">
        <v>6</v>
      </c>
      <c r="R1684" s="53" t="n">
        <f aca="false">IF(BW1684=1,0,IFERROR(VLOOKUP(BU1684,'Gebinde-Kategorie'!$A$5:$N$45,13,0)+0,0))</f>
        <v>12</v>
      </c>
      <c r="S1684" s="54"/>
      <c r="T1684" s="55"/>
      <c r="U1684" s="55"/>
      <c r="V1684" s="55"/>
      <c r="W1684" s="48"/>
      <c r="X1684" s="50"/>
      <c r="Y1684" s="50"/>
      <c r="Z1684" s="48" t="n">
        <f aca="false">IF(A1684="","",IF(AND(Parameter!$B$21="Ja",ISNUMBER(W1684)),W1684,IF(BZ1684="2+3",IF(ISNUMBER(SEARCH("grosser Artikel",BR1684)),2,IFERROR(VLOOKUP(BU1684,Parameter!$F$35:$G$64,2,0),2)),IF(OR(BZ1684="Nein",BZ1684=""),"-",BZ1684))))</f>
        <v>2</v>
      </c>
      <c r="AA1684" s="55"/>
      <c r="AB1684" s="56"/>
      <c r="AC1684" s="50" t="n">
        <f aca="false">AT1684</f>
        <v>6</v>
      </c>
      <c r="AD1684" s="50" t="n">
        <f aca="false">MAX(AT1684,H1684)</f>
        <v>6</v>
      </c>
      <c r="AE1684" s="57"/>
      <c r="AF1684" s="50" t="n">
        <f aca="false">IF(LEFT(Cockpit!$C$5,1)="A",H1684,IF(CE1684=1,CF1684,IF(LEFT(Cockpit!$C$5,1)="B",AK1684,MAX(AK1684,H1684))))</f>
        <v>6</v>
      </c>
      <c r="AG1684" s="50" t="n">
        <f aca="false">IF(BW1684=1,0,ROUNDUP(AF1684/BV1684,0))</f>
        <v>1</v>
      </c>
      <c r="AH1684" s="52" t="n">
        <f aca="false">IF(CL1684&gt;0,CL1684*MAX(1,AF1684/X1684),IF(BW1684=1,IF(AF1684&lt;=0,0,CA1684*MAX(1,IF(H1684&gt;0,AF1684/H1684,1))),IF(R1684&gt;0,AG1684/R1684,0))/MAX(0.1,N(Parameter!$M$21)))</f>
        <v>0.0833333333333333</v>
      </c>
      <c r="AI1684" s="50" t="n">
        <f aca="false">AH1684*BY1684</f>
        <v>12.0833333333333</v>
      </c>
      <c r="AJ1684" s="50" t="n">
        <f aca="false">AF1684*G1684</f>
        <v>1080</v>
      </c>
      <c r="AK1684" s="50" t="n">
        <f aca="false">ROUNDUP(MAX(J1684/IF(CD1684&gt;0,CD1684,MAX(0.1,N(Cockpit!$C$6))),CG1684)/BV1684,0)*BV1684</f>
        <v>6</v>
      </c>
      <c r="AL1684" s="51" t="n">
        <f aca="false">IF(AI1684&gt;0,J1684/AI1684,-1)</f>
        <v>0</v>
      </c>
      <c r="AM1684" s="51" t="n">
        <f aca="false">IF(AND(OR(CC1684="L1",CC1684="L23",CC1684="LIFT"),AI1684&gt;0),SUMIFS($AI$7:$AI$1843,$CC$7:$CC$1843,CC1684,$AL$7:$AL$1843,"&gt;"&amp;AL1684)+SUMIFS($AI$7:$AI$1843,$CC$7:$CC$1843,CC1684,$AL$7:$AL$1843,AL1684,$BT$7:$BT$1843,"&lt;="&amp;BT1684),"")</f>
        <v>32652.8384268744</v>
      </c>
      <c r="AN1684" s="58" t="n">
        <f aca="false">IF(AM1684="",0,MAX(0,MIN(1,(IF(CC1684="L1",Parameter!$H$5,IF(CC1684="L23",Parameter!$H$6+Parameter!$H$7,Parameter!$H$5+Parameter!$H$6+Parameter!$H$7))-(AM1684-AI1684))/AI1684)))</f>
        <v>1</v>
      </c>
      <c r="AO1684" s="50" t="n">
        <f aca="false">IF(LEFT(Cockpit!$I$5,1)="A",H1684,IF(CE1684=1,CF1684,IF(LEFT(Cockpit!$I$5,1)="B",AT1684,MAX(AT1684,H1684))))</f>
        <v>6</v>
      </c>
      <c r="AP1684" s="50" t="n">
        <f aca="false">IF(BW1684=1,0,ROUNDUP(AO1684/BV1684,0))</f>
        <v>1</v>
      </c>
      <c r="AQ1684" s="52" t="n">
        <f aca="false">IF(CL1684&gt;0,CL1684*MAX(1,AO1684/X1684),IF(BW1684=1,IF(AO1684&lt;=0,0,CA1684*MAX(1,IF(H1684&gt;0,AO1684/H1684,1))),IF(R1684&gt;0,AP1684/R1684,0))/MAX(0.1,N(Parameter!$M$21)))</f>
        <v>0.0833333333333333</v>
      </c>
      <c r="AR1684" s="50" t="n">
        <f aca="false">AQ1684*BY1684</f>
        <v>12.0833333333333</v>
      </c>
      <c r="AS1684" s="50" t="n">
        <f aca="false">AO1684*G1684</f>
        <v>1080</v>
      </c>
      <c r="AT1684" s="50" t="n">
        <f aca="false">ROUNDUP(MAX(J1684/IF(CD1684&gt;0,CD1684,MAX(0.1,N(Cockpit!$I$6))),CG1684)/BV1684,0)*BV1684</f>
        <v>6</v>
      </c>
      <c r="AU1684" s="51" t="n">
        <f aca="false">IF(AR1684&gt;0,J1684/AR1684,-1)</f>
        <v>0</v>
      </c>
      <c r="AV1684" s="51" t="n">
        <f aca="false">IF(AND(OR(CC1684="L1",CC1684="L23",CC1684="LIFT"),AR1684&gt;0),SUMIFS($AR$7:$AR$1843,$CC$7:$CC$1843,CC1684,$AU$7:$AU$1843,"&gt;"&amp;AU1684)+SUMIFS($AR$7:$AR$1843,$CC$7:$CC$1843,CC1684,$AU$7:$AU$1843,AU1684,$BT$7:$BT$1843,"&lt;="&amp;BT1684),"")</f>
        <v>45319.5241665115</v>
      </c>
      <c r="AW1684" s="58" t="n">
        <f aca="false">IF(AV1684="",0,MAX(0,MIN(1,(IF(CC1684="L1",Parameter!$H$5,IF(CC1684="L23",Parameter!$H$6+Parameter!$H$7,Parameter!$H$5+Parameter!$H$6+Parameter!$H$7))-(AV1684-AR1684))/AR1684)))</f>
        <v>0</v>
      </c>
      <c r="AX1684" s="50" t="n">
        <f aca="false">IF(LEFT(Cockpit!$O$5,1)="A",H1684,IF(CE1684=1,CF1684,IF(LEFT(Cockpit!$O$5,1)="B",BC1684,MAX(BC1684,H1684))))</f>
        <v>6</v>
      </c>
      <c r="AY1684" s="50" t="n">
        <f aca="false">IF(BW1684=1,0,ROUNDUP(AX1684/BV1684,0))</f>
        <v>1</v>
      </c>
      <c r="AZ1684" s="52" t="n">
        <f aca="false">IF(CL1684&gt;0,CL1684*MAX(1,AX1684/X1684),IF(BW1684=1,IF(AX1684&lt;=0,0,CA1684*MAX(1,IF(H1684&gt;0,AX1684/H1684,1))),IF(R1684&gt;0,AY1684/R1684,0))/MAX(0.1,N(Parameter!$M$21)))</f>
        <v>0.0833333333333333</v>
      </c>
      <c r="BA1684" s="50" t="n">
        <f aca="false">AZ1684*BY1684</f>
        <v>12.0833333333333</v>
      </c>
      <c r="BB1684" s="50" t="n">
        <f aca="false">AX1684*G1684</f>
        <v>1080</v>
      </c>
      <c r="BC1684" s="50" t="n">
        <f aca="false">ROUNDUP(MAX(J1684/IF(CD1684&gt;0,CD1684,MAX(0.1,N(Cockpit!$O$6))),CG1684)/BV1684,0)*BV1684</f>
        <v>6</v>
      </c>
      <c r="BD1684" s="51" t="n">
        <f aca="false">IF(BA1684&gt;0,J1684/BA1684,-1)</f>
        <v>0</v>
      </c>
      <c r="BE1684" s="51" t="n">
        <f aca="false">IF(AND(OR(CC1684="L1",CC1684="L23",CC1684="LIFT"),BA1684&gt;0),SUMIFS($BA$7:$BA$1843,$CC$7:$CC$1843,CC1684,$BD$7:$BD$1843,"&gt;"&amp;BD1684)+SUMIFS($BA$7:$BA$1843,$CC$7:$CC$1843,CC1684,$BD$7:$BD$1843,BD1684,$BT$7:$BT$1843,"&lt;="&amp;BT1684),"")</f>
        <v>41994.5362083773</v>
      </c>
      <c r="BF1684" s="58" t="n">
        <f aca="false">IF(BE1684="",0,MAX(0,MIN(1,(IF(CC1684="L1",Parameter!$H$5,IF(CC1684="L23",Parameter!$H$6+Parameter!$H$7,Parameter!$H$5+Parameter!$H$6+Parameter!$H$7))-(BE1684-BA1684))/BA1684)))</f>
        <v>0</v>
      </c>
      <c r="BG1684" s="48" t="str">
        <f aca="false">IF(AI1684&lt;=0,"",IF(CC1684="Aussen","Aussenlager",IF(CC1684="-","Nicht im Lift",IF(AN1684&gt;=1,"Lift",IF(AN1684&lt;=0,"Aussenlager","teilweise")))))</f>
        <v>Lift</v>
      </c>
      <c r="BH1684" s="48" t="str">
        <f aca="false">IF(AR1684&lt;=0,"",IF(CC1684="Aussen","Aussenlager",IF(CC1684="-","Nicht im Lift",IF(AW1684&gt;=1,"Lift",IF(AW1684&lt;=0,"Aussenlager","teilweise")))))</f>
        <v>Aussenlager</v>
      </c>
      <c r="BI1684" s="48" t="str">
        <f aca="false">IF(BA1684&lt;=0,"",IF(CC1684="Aussen","Aussenlager",IF(CC1684="-","Nicht im Lift",IF(BF1684&gt;=1,"Lift",IF(BF1684&lt;=0,"Aussenlager","teilweise")))))</f>
        <v>Aussenlager</v>
      </c>
      <c r="BJ1684" s="48" t="str">
        <f aca="false">IF(A1684="","",IF(BS1684=1,"Neu; ","")&amp;IF(AND(BS1684=0,BN1684&lt;0),"negativer Bestand (Export "&amp;BN1684&amp;"); ","")&amp;IF(J1684&lt;=0,"Kein Verbrauch; ","")&amp;IF(CL1684&gt;0,"Lift "&amp;W1684&amp;" lt. Liftbericht (Fach "&amp;X1684&amp;" Stk); ",IF(BX1684=1,"Gebinde geschätzt ("&amp;T1684&amp;"); ",IF(BW1684=1,"Lose – Tablare geschätzt; ","")))&amp;IF(H1684&gt;AT1684,"Überbestand "&amp;ROUND(H1684-AT1684,0)&amp;" Stk / CHF "&amp;ROUND((H1684-AT1684)*G1684,0)&amp;"; ","")&amp;IF(AND(CE1684=1,CF1684&lt;CG1684),"MAX &lt; MB+LG; ","")&amp;IF(AND(CK1684&gt;0,CJ1684*10&gt;CK1684),"zu hoch für Tablar; ","")&amp;IF(AND(BS1684=0,OR(CE1684=1,AA1684&lt;&gt;"",U1684&lt;&gt;"",V1684&lt;&gt;"",AB1684&lt;&gt;"")),"manuell übersteuert; ","")&amp;IF(AND(BW1684=0,R1684=0),"Gebinde unbekannt / Stellmass fehlt; ","")&amp;IF(AND(BW1684=0,N(V1684)&lt;=0,N(Q1684)&lt;=0),"Menge pro Gebinde fehlt (Ist = 1 Gebinde); ","")&amp;BR1684)</f>
        <v>Kein Verbrauch; nur im Artikelstamm (Bestand 23.06.2026); Neuer Art.</v>
      </c>
      <c r="BK1684" s="48"/>
      <c r="BL1684" s="48"/>
      <c r="BM1684" s="55"/>
      <c r="BN1684" s="50" t="n">
        <v>6</v>
      </c>
      <c r="BO1684" s="50" t="n">
        <v>0</v>
      </c>
      <c r="BP1684" s="49" t="n">
        <v>0</v>
      </c>
      <c r="BQ1684" s="50" t="n">
        <v>0</v>
      </c>
      <c r="BR1684" s="48" t="s">
        <v>2877</v>
      </c>
      <c r="BS1684" s="53" t="n">
        <v>0</v>
      </c>
      <c r="BT1684" s="53" t="n">
        <v>1684</v>
      </c>
      <c r="BU1684" s="48" t="str">
        <f aca="false">IF(U1684&lt;&gt;"",UPPER(TRIM(U1684)),IF(BX1684=1,UPPER(VLOOKUP(T1684,Parameter!$I$27:$K$29,2,0)),IF(P1684="","LOSE",P1684)))</f>
        <v>S61</v>
      </c>
      <c r="BV1684" s="50" t="n">
        <f aca="false">IF(BU1684="LOSE",1,IF(N(V1684)&gt;0,V1684,IF(BX1684=1,MAX(1,N(VLOOKUP(T1684,Parameter!$I$27:$K$29,3,0)),H1684,N(N1684)),IF(N(Q1684)&gt;0,Q1684,MAX(1,H1684)))))</f>
        <v>6</v>
      </c>
      <c r="BW1684" s="53" t="n">
        <f aca="false">IF(BU1684="LOSE",1,0)</f>
        <v>0</v>
      </c>
      <c r="BX1684" s="53" t="n">
        <f aca="false">IF(AND(U1684="",OR(P1684="",P1684="LOSE"),T1684&lt;&gt;"",N(S1684)&lt;=0,ISNUMBER(MATCH(T1684,Parameter!$I$27:$I$29,0))),1,0)</f>
        <v>0</v>
      </c>
      <c r="BY1684" s="53" t="n">
        <f aca="false">IF(CL1684&gt;0,INDEX(Parameter!$H$5:$H$7,W1684)/INDEX(Parameter!$E$5:$E$7,W1684),IF(AND(BW1684=0,N(IFERROR(VLOOKUP(BU1684,'Gebinde-Kategorie'!$A$5:$N$45,14,0),0))&gt;0),VLOOKUP(BU1684,'Gebinde-Kategorie'!$A$5:$N$45,14,0)*10+Parameter!$M$23,Parameter!$M$24))</f>
        <v>145</v>
      </c>
      <c r="BZ1684" s="48" t="str">
        <f aca="false">IF(AND(Parameter!$B$19="Ja",E1684&lt;&gt;"",ISNUMBER(MATCH(E1684,Parameter!$I$35:$I$52,0))),VLOOKUP(E1684,Parameter!$I$35:$J$52,2,0),IFERROR(VLOOKUP(D1684,Parameter!$A$35:$C$64,2,0),"Nein"))</f>
        <v>2+3</v>
      </c>
      <c r="CA1684" s="52" t="n">
        <f aca="false">IF(BW1684=0,0,IF(N(S1684)&gt;0,S1684,IFERROR(VLOOKUP(D1684,Parameter!$A$35:$C$64,3,0)+0,0)))</f>
        <v>0</v>
      </c>
      <c r="CB1684" s="48" t="n">
        <f aca="false">IF(AA1684&lt;&gt;"",AA1684,Z1684)</f>
        <v>2</v>
      </c>
      <c r="CC1684" s="48" t="str">
        <f aca="false">IF(OR(CB1684=1,CB1684=2,CB1684=3),IF(Parameter!$E$27="Ja","LIFT",IF(CB1684=1,"L1","L23")),IF(CB1684="Aussen","Aussen","-"))</f>
        <v>LIFT</v>
      </c>
      <c r="CD1684" s="59" t="n">
        <f aca="false">IF(N(AB1684)&gt;0,AB1684,0)</f>
        <v>0</v>
      </c>
      <c r="CE1684" s="53" t="n">
        <f aca="false">IF(ISNUMBER(AE1684),1,0)</f>
        <v>0</v>
      </c>
      <c r="CF1684" s="50" t="n">
        <f aca="false">N(AE1684)</f>
        <v>0</v>
      </c>
      <c r="CG1684" s="50" t="n">
        <f aca="false">N(M1684)+N(N1684)</f>
        <v>6</v>
      </c>
      <c r="CH1684" s="50" t="n">
        <f aca="false">ROUNDUP(H1684/BV1684,0)</f>
        <v>1</v>
      </c>
      <c r="CI1684" s="50" t="n">
        <f aca="false">ROUNDUP(CF1684/BV1684,0)</f>
        <v>0</v>
      </c>
      <c r="CJ1684" s="53" t="n">
        <f aca="false">IF(BW1684=1,0,IFERROR(VLOOKUP(BU1684,'Gebinde-Kategorie'!$A$5:$N$45,5,0)+0,0))</f>
        <v>11</v>
      </c>
      <c r="CK1684" s="53" t="n">
        <f aca="false">IFERROR(IF(OR(CB1684=1,CB1684=2,CB1684=3),N(INDEX(Parameter!$I$5:$I$7,CB1684)),0),0)</f>
        <v>0</v>
      </c>
      <c r="CL1684" s="52" t="n">
        <f aca="false">IF(AND(Parameter!$B$21="Ja",ISNUMBER(W1684),N(X1684)&gt;0),IFERROR(N(INDEX(Parameter!$L$5:$L$7,W1684))*INDEX(Parameter!$E$5:$E$7,W1684)*X1684/SUMIFS($X$7:$X$1843,$W$7:$W$1843,W1684),0),0)</f>
        <v>0</v>
      </c>
    </row>
    <row r="1685" customFormat="false" ht="15" hidden="false" customHeight="false" outlineLevel="0" collapsed="false">
      <c r="A1685" s="48" t="s">
        <v>2922</v>
      </c>
      <c r="B1685" s="48" t="s">
        <v>2923</v>
      </c>
      <c r="C1685" s="48" t="s">
        <v>168</v>
      </c>
      <c r="D1685" s="48" t="s">
        <v>177</v>
      </c>
      <c r="E1685" s="48"/>
      <c r="F1685" s="48"/>
      <c r="G1685" s="49" t="n">
        <v>95.8</v>
      </c>
      <c r="H1685" s="50" t="n">
        <f aca="false">MAX(0,IF(AND(Parameter!$B$21="Ja",ISNUMBER(Y1685)),Y1685,IF(Parameter!$B$20="Jahresanfang 2025 + Export",BO1685+BN1685,BN1685)))</f>
        <v>5</v>
      </c>
      <c r="I1685" s="50" t="n">
        <f aca="false">H1685*G1685</f>
        <v>479</v>
      </c>
      <c r="J1685" s="50" t="n">
        <f aca="false">BQ1685*Parameter!$B$18</f>
        <v>0</v>
      </c>
      <c r="K1685" s="51"/>
      <c r="L1685" s="52"/>
      <c r="M1685" s="50" t="n">
        <v>0</v>
      </c>
      <c r="N1685" s="50" t="n">
        <v>5</v>
      </c>
      <c r="O1685" s="53" t="n">
        <v>21</v>
      </c>
      <c r="P1685" s="48" t="s">
        <v>190</v>
      </c>
      <c r="Q1685" s="50" t="n">
        <v>5</v>
      </c>
      <c r="R1685" s="53" t="n">
        <f aca="false">IF(BW1685=1,0,IFERROR(VLOOKUP(BU1685,'Gebinde-Kategorie'!$A$5:$N$45,13,0)+0,0))</f>
        <v>12</v>
      </c>
      <c r="S1685" s="54"/>
      <c r="T1685" s="55"/>
      <c r="U1685" s="55"/>
      <c r="V1685" s="55"/>
      <c r="W1685" s="48"/>
      <c r="X1685" s="50"/>
      <c r="Y1685" s="50"/>
      <c r="Z1685" s="48" t="n">
        <f aca="false">IF(A1685="","",IF(AND(Parameter!$B$21="Ja",ISNUMBER(W1685)),W1685,IF(BZ1685="2+3",IF(ISNUMBER(SEARCH("grosser Artikel",BR1685)),2,IFERROR(VLOOKUP(BU1685,Parameter!$F$35:$G$64,2,0),2)),IF(OR(BZ1685="Nein",BZ1685=""),"-",BZ1685))))</f>
        <v>2</v>
      </c>
      <c r="AA1685" s="55"/>
      <c r="AB1685" s="56"/>
      <c r="AC1685" s="50" t="n">
        <f aca="false">AT1685</f>
        <v>5</v>
      </c>
      <c r="AD1685" s="50" t="n">
        <f aca="false">MAX(AT1685,H1685)</f>
        <v>5</v>
      </c>
      <c r="AE1685" s="57"/>
      <c r="AF1685" s="50" t="n">
        <f aca="false">IF(LEFT(Cockpit!$C$5,1)="A",H1685,IF(CE1685=1,CF1685,IF(LEFT(Cockpit!$C$5,1)="B",AK1685,MAX(AK1685,H1685))))</f>
        <v>5</v>
      </c>
      <c r="AG1685" s="50" t="n">
        <f aca="false">IF(BW1685=1,0,ROUNDUP(AF1685/BV1685,0))</f>
        <v>1</v>
      </c>
      <c r="AH1685" s="52" t="n">
        <f aca="false">IF(CL1685&gt;0,CL1685*MAX(1,AF1685/X1685),IF(BW1685=1,IF(AF1685&lt;=0,0,CA1685*MAX(1,IF(H1685&gt;0,AF1685/H1685,1))),IF(R1685&gt;0,AG1685/R1685,0))/MAX(0.1,N(Parameter!$M$21)))</f>
        <v>0.0833333333333333</v>
      </c>
      <c r="AI1685" s="50" t="n">
        <f aca="false">AH1685*BY1685</f>
        <v>12.0833333333333</v>
      </c>
      <c r="AJ1685" s="50" t="n">
        <f aca="false">AF1685*G1685</f>
        <v>479</v>
      </c>
      <c r="AK1685" s="50" t="n">
        <f aca="false">ROUNDUP(MAX(J1685/IF(CD1685&gt;0,CD1685,MAX(0.1,N(Cockpit!$C$6))),CG1685)/BV1685,0)*BV1685</f>
        <v>5</v>
      </c>
      <c r="AL1685" s="51" t="n">
        <f aca="false">IF(AI1685&gt;0,J1685/AI1685,-1)</f>
        <v>0</v>
      </c>
      <c r="AM1685" s="51" t="n">
        <f aca="false">IF(AND(OR(CC1685="L1",CC1685="L23",CC1685="LIFT"),AI1685&gt;0),SUMIFS($AI$7:$AI$1843,$CC$7:$CC$1843,CC1685,$AL$7:$AL$1843,"&gt;"&amp;AL1685)+SUMIFS($AI$7:$AI$1843,$CC$7:$CC$1843,CC1685,$AL$7:$AL$1843,AL1685,$BT$7:$BT$1843,"&lt;="&amp;BT1685),"")</f>
        <v>32664.9217602078</v>
      </c>
      <c r="AN1685" s="58" t="n">
        <f aca="false">IF(AM1685="",0,MAX(0,MIN(1,(IF(CC1685="L1",Parameter!$H$5,IF(CC1685="L23",Parameter!$H$6+Parameter!$H$7,Parameter!$H$5+Parameter!$H$6+Parameter!$H$7))-(AM1685-AI1685))/AI1685)))</f>
        <v>1</v>
      </c>
      <c r="AO1685" s="50" t="n">
        <f aca="false">IF(LEFT(Cockpit!$I$5,1)="A",H1685,IF(CE1685=1,CF1685,IF(LEFT(Cockpit!$I$5,1)="B",AT1685,MAX(AT1685,H1685))))</f>
        <v>5</v>
      </c>
      <c r="AP1685" s="50" t="n">
        <f aca="false">IF(BW1685=1,0,ROUNDUP(AO1685/BV1685,0))</f>
        <v>1</v>
      </c>
      <c r="AQ1685" s="52" t="n">
        <f aca="false">IF(CL1685&gt;0,CL1685*MAX(1,AO1685/X1685),IF(BW1685=1,IF(AO1685&lt;=0,0,CA1685*MAX(1,IF(H1685&gt;0,AO1685/H1685,1))),IF(R1685&gt;0,AP1685/R1685,0))/MAX(0.1,N(Parameter!$M$21)))</f>
        <v>0.0833333333333333</v>
      </c>
      <c r="AR1685" s="50" t="n">
        <f aca="false">AQ1685*BY1685</f>
        <v>12.0833333333333</v>
      </c>
      <c r="AS1685" s="50" t="n">
        <f aca="false">AO1685*G1685</f>
        <v>479</v>
      </c>
      <c r="AT1685" s="50" t="n">
        <f aca="false">ROUNDUP(MAX(J1685/IF(CD1685&gt;0,CD1685,MAX(0.1,N(Cockpit!$I$6))),CG1685)/BV1685,0)*BV1685</f>
        <v>5</v>
      </c>
      <c r="AU1685" s="51" t="n">
        <f aca="false">IF(AR1685&gt;0,J1685/AR1685,-1)</f>
        <v>0</v>
      </c>
      <c r="AV1685" s="51" t="n">
        <f aca="false">IF(AND(OR(CC1685="L1",CC1685="L23",CC1685="LIFT"),AR1685&gt;0),SUMIFS($AR$7:$AR$1843,$CC$7:$CC$1843,CC1685,$AU$7:$AU$1843,"&gt;"&amp;AU1685)+SUMIFS($AR$7:$AR$1843,$CC$7:$CC$1843,CC1685,$AU$7:$AU$1843,AU1685,$BT$7:$BT$1843,"&lt;="&amp;BT1685),"")</f>
        <v>45331.6074998448</v>
      </c>
      <c r="AW1685" s="58" t="n">
        <f aca="false">IF(AV1685="",0,MAX(0,MIN(1,(IF(CC1685="L1",Parameter!$H$5,IF(CC1685="L23",Parameter!$H$6+Parameter!$H$7,Parameter!$H$5+Parameter!$H$6+Parameter!$H$7))-(AV1685-AR1685))/AR1685)))</f>
        <v>0</v>
      </c>
      <c r="AX1685" s="50" t="n">
        <f aca="false">IF(LEFT(Cockpit!$O$5,1)="A",H1685,IF(CE1685=1,CF1685,IF(LEFT(Cockpit!$O$5,1)="B",BC1685,MAX(BC1685,H1685))))</f>
        <v>5</v>
      </c>
      <c r="AY1685" s="50" t="n">
        <f aca="false">IF(BW1685=1,0,ROUNDUP(AX1685/BV1685,0))</f>
        <v>1</v>
      </c>
      <c r="AZ1685" s="52" t="n">
        <f aca="false">IF(CL1685&gt;0,CL1685*MAX(1,AX1685/X1685),IF(BW1685=1,IF(AX1685&lt;=0,0,CA1685*MAX(1,IF(H1685&gt;0,AX1685/H1685,1))),IF(R1685&gt;0,AY1685/R1685,0))/MAX(0.1,N(Parameter!$M$21)))</f>
        <v>0.0833333333333333</v>
      </c>
      <c r="BA1685" s="50" t="n">
        <f aca="false">AZ1685*BY1685</f>
        <v>12.0833333333333</v>
      </c>
      <c r="BB1685" s="50" t="n">
        <f aca="false">AX1685*G1685</f>
        <v>479</v>
      </c>
      <c r="BC1685" s="50" t="n">
        <f aca="false">ROUNDUP(MAX(J1685/IF(CD1685&gt;0,CD1685,MAX(0.1,N(Cockpit!$O$6))),CG1685)/BV1685,0)*BV1685</f>
        <v>5</v>
      </c>
      <c r="BD1685" s="51" t="n">
        <f aca="false">IF(BA1685&gt;0,J1685/BA1685,-1)</f>
        <v>0</v>
      </c>
      <c r="BE1685" s="51" t="n">
        <f aca="false">IF(AND(OR(CC1685="L1",CC1685="L23",CC1685="LIFT"),BA1685&gt;0),SUMIFS($BA$7:$BA$1843,$CC$7:$CC$1843,CC1685,$BD$7:$BD$1843,"&gt;"&amp;BD1685)+SUMIFS($BA$7:$BA$1843,$CC$7:$CC$1843,CC1685,$BD$7:$BD$1843,BD1685,$BT$7:$BT$1843,"&lt;="&amp;BT1685),"")</f>
        <v>42006.6195417107</v>
      </c>
      <c r="BF1685" s="58" t="n">
        <f aca="false">IF(BE1685="",0,MAX(0,MIN(1,(IF(CC1685="L1",Parameter!$H$5,IF(CC1685="L23",Parameter!$H$6+Parameter!$H$7,Parameter!$H$5+Parameter!$H$6+Parameter!$H$7))-(BE1685-BA1685))/BA1685)))</f>
        <v>0</v>
      </c>
      <c r="BG1685" s="48" t="str">
        <f aca="false">IF(AI1685&lt;=0,"",IF(CC1685="Aussen","Aussenlager",IF(CC1685="-","Nicht im Lift",IF(AN1685&gt;=1,"Lift",IF(AN1685&lt;=0,"Aussenlager","teilweise")))))</f>
        <v>Lift</v>
      </c>
      <c r="BH1685" s="48" t="str">
        <f aca="false">IF(AR1685&lt;=0,"",IF(CC1685="Aussen","Aussenlager",IF(CC1685="-","Nicht im Lift",IF(AW1685&gt;=1,"Lift",IF(AW1685&lt;=0,"Aussenlager","teilweise")))))</f>
        <v>Aussenlager</v>
      </c>
      <c r="BI1685" s="48" t="str">
        <f aca="false">IF(BA1685&lt;=0,"",IF(CC1685="Aussen","Aussenlager",IF(CC1685="-","Nicht im Lift",IF(BF1685&gt;=1,"Lift",IF(BF1685&lt;=0,"Aussenlager","teilweise")))))</f>
        <v>Aussenlager</v>
      </c>
      <c r="BJ1685" s="48" t="str">
        <f aca="false">IF(A1685="","",IF(BS1685=1,"Neu; ","")&amp;IF(AND(BS1685=0,BN1685&lt;0),"negativer Bestand (Export "&amp;BN1685&amp;"); ","")&amp;IF(J1685&lt;=0,"Kein Verbrauch; ","")&amp;IF(CL1685&gt;0,"Lift "&amp;W1685&amp;" lt. Liftbericht (Fach "&amp;X1685&amp;" Stk); ",IF(BX1685=1,"Gebinde geschätzt ("&amp;T1685&amp;"); ",IF(BW1685=1,"Lose – Tablare geschätzt; ","")))&amp;IF(H1685&gt;AT1685,"Überbestand "&amp;ROUND(H1685-AT1685,0)&amp;" Stk / CHF "&amp;ROUND((H1685-AT1685)*G1685,0)&amp;"; ","")&amp;IF(AND(CE1685=1,CF1685&lt;CG1685),"MAX &lt; MB+LG; ","")&amp;IF(AND(CK1685&gt;0,CJ1685*10&gt;CK1685),"zu hoch für Tablar; ","")&amp;IF(AND(BS1685=0,OR(CE1685=1,AA1685&lt;&gt;"",U1685&lt;&gt;"",V1685&lt;&gt;"",AB1685&lt;&gt;"")),"manuell übersteuert; ","")&amp;IF(AND(BW1685=0,R1685=0),"Gebinde unbekannt / Stellmass fehlt; ","")&amp;IF(AND(BW1685=0,N(V1685)&lt;=0,N(Q1685)&lt;=0),"Menge pro Gebinde fehlt (Ist = 1 Gebinde); ","")&amp;BR1685)</f>
        <v>Kein Verbrauch; nur im Artikelstamm (Bestand 23.06.2026)</v>
      </c>
      <c r="BK1685" s="48"/>
      <c r="BL1685" s="48"/>
      <c r="BM1685" s="55"/>
      <c r="BN1685" s="50" t="n">
        <v>5</v>
      </c>
      <c r="BO1685" s="50" t="n">
        <v>0</v>
      </c>
      <c r="BP1685" s="49" t="n">
        <v>0</v>
      </c>
      <c r="BQ1685" s="50" t="n">
        <v>0</v>
      </c>
      <c r="BR1685" s="48" t="s">
        <v>2579</v>
      </c>
      <c r="BS1685" s="53" t="n">
        <v>0</v>
      </c>
      <c r="BT1685" s="53" t="n">
        <v>1685</v>
      </c>
      <c r="BU1685" s="48" t="str">
        <f aca="false">IF(U1685&lt;&gt;"",UPPER(TRIM(U1685)),IF(BX1685=1,UPPER(VLOOKUP(T1685,Parameter!$I$27:$K$29,2,0)),IF(P1685="","LOSE",P1685)))</f>
        <v>S61</v>
      </c>
      <c r="BV1685" s="50" t="n">
        <f aca="false">IF(BU1685="LOSE",1,IF(N(V1685)&gt;0,V1685,IF(BX1685=1,MAX(1,N(VLOOKUP(T1685,Parameter!$I$27:$K$29,3,0)),H1685,N(N1685)),IF(N(Q1685)&gt;0,Q1685,MAX(1,H1685)))))</f>
        <v>5</v>
      </c>
      <c r="BW1685" s="53" t="n">
        <f aca="false">IF(BU1685="LOSE",1,0)</f>
        <v>0</v>
      </c>
      <c r="BX1685" s="53" t="n">
        <f aca="false">IF(AND(U1685="",OR(P1685="",P1685="LOSE"),T1685&lt;&gt;"",N(S1685)&lt;=0,ISNUMBER(MATCH(T1685,Parameter!$I$27:$I$29,0))),1,0)</f>
        <v>0</v>
      </c>
      <c r="BY1685" s="53" t="n">
        <f aca="false">IF(CL1685&gt;0,INDEX(Parameter!$H$5:$H$7,W1685)/INDEX(Parameter!$E$5:$E$7,W1685),IF(AND(BW1685=0,N(IFERROR(VLOOKUP(BU1685,'Gebinde-Kategorie'!$A$5:$N$45,14,0),0))&gt;0),VLOOKUP(BU1685,'Gebinde-Kategorie'!$A$5:$N$45,14,0)*10+Parameter!$M$23,Parameter!$M$24))</f>
        <v>145</v>
      </c>
      <c r="BZ1685" s="48" t="str">
        <f aca="false">IF(AND(Parameter!$B$19="Ja",E1685&lt;&gt;"",ISNUMBER(MATCH(E1685,Parameter!$I$35:$I$52,0))),VLOOKUP(E1685,Parameter!$I$35:$J$52,2,0),IFERROR(VLOOKUP(D1685,Parameter!$A$35:$C$64,2,0),"Nein"))</f>
        <v>2+3</v>
      </c>
      <c r="CA1685" s="52" t="n">
        <f aca="false">IF(BW1685=0,0,IF(N(S1685)&gt;0,S1685,IFERROR(VLOOKUP(D1685,Parameter!$A$35:$C$64,3,0)+0,0)))</f>
        <v>0</v>
      </c>
      <c r="CB1685" s="48" t="n">
        <f aca="false">IF(AA1685&lt;&gt;"",AA1685,Z1685)</f>
        <v>2</v>
      </c>
      <c r="CC1685" s="48" t="str">
        <f aca="false">IF(OR(CB1685=1,CB1685=2,CB1685=3),IF(Parameter!$E$27="Ja","LIFT",IF(CB1685=1,"L1","L23")),IF(CB1685="Aussen","Aussen","-"))</f>
        <v>LIFT</v>
      </c>
      <c r="CD1685" s="59" t="n">
        <f aca="false">IF(N(AB1685)&gt;0,AB1685,0)</f>
        <v>0</v>
      </c>
      <c r="CE1685" s="53" t="n">
        <f aca="false">IF(ISNUMBER(AE1685),1,0)</f>
        <v>0</v>
      </c>
      <c r="CF1685" s="50" t="n">
        <f aca="false">N(AE1685)</f>
        <v>0</v>
      </c>
      <c r="CG1685" s="50" t="n">
        <f aca="false">N(M1685)+N(N1685)</f>
        <v>5</v>
      </c>
      <c r="CH1685" s="50" t="n">
        <f aca="false">ROUNDUP(H1685/BV1685,0)</f>
        <v>1</v>
      </c>
      <c r="CI1685" s="50" t="n">
        <f aca="false">ROUNDUP(CF1685/BV1685,0)</f>
        <v>0</v>
      </c>
      <c r="CJ1685" s="53" t="n">
        <f aca="false">IF(BW1685=1,0,IFERROR(VLOOKUP(BU1685,'Gebinde-Kategorie'!$A$5:$N$45,5,0)+0,0))</f>
        <v>11</v>
      </c>
      <c r="CK1685" s="53" t="n">
        <f aca="false">IFERROR(IF(OR(CB1685=1,CB1685=2,CB1685=3),N(INDEX(Parameter!$I$5:$I$7,CB1685)),0),0)</f>
        <v>0</v>
      </c>
      <c r="CL1685" s="52" t="n">
        <f aca="false">IF(AND(Parameter!$B$21="Ja",ISNUMBER(W1685),N(X1685)&gt;0),IFERROR(N(INDEX(Parameter!$L$5:$L$7,W1685))*INDEX(Parameter!$E$5:$E$7,W1685)*X1685/SUMIFS($X$7:$X$1843,$W$7:$W$1843,W1685),0),0)</f>
        <v>0</v>
      </c>
    </row>
    <row r="1686" customFormat="false" ht="15" hidden="false" customHeight="false" outlineLevel="0" collapsed="false">
      <c r="A1686" s="48" t="s">
        <v>2924</v>
      </c>
      <c r="B1686" s="48" t="s">
        <v>2925</v>
      </c>
      <c r="C1686" s="48" t="s">
        <v>168</v>
      </c>
      <c r="D1686" s="48" t="s">
        <v>188</v>
      </c>
      <c r="E1686" s="48"/>
      <c r="F1686" s="48"/>
      <c r="G1686" s="49" t="n">
        <v>198.07</v>
      </c>
      <c r="H1686" s="50" t="n">
        <f aca="false">MAX(0,IF(AND(Parameter!$B$21="Ja",ISNUMBER(Y1686)),Y1686,IF(Parameter!$B$20="Jahresanfang 2025 + Export",BO1686+BN1686,BN1686)))</f>
        <v>3</v>
      </c>
      <c r="I1686" s="50" t="n">
        <f aca="false">H1686*G1686</f>
        <v>594.21</v>
      </c>
      <c r="J1686" s="50" t="n">
        <f aca="false">BQ1686*Parameter!$B$18</f>
        <v>0</v>
      </c>
      <c r="K1686" s="51"/>
      <c r="L1686" s="52"/>
      <c r="M1686" s="50" t="n">
        <v>0</v>
      </c>
      <c r="N1686" s="50" t="n">
        <v>2</v>
      </c>
      <c r="O1686" s="53" t="n">
        <v>21</v>
      </c>
      <c r="P1686" s="48" t="s">
        <v>190</v>
      </c>
      <c r="Q1686" s="50" t="n">
        <v>5</v>
      </c>
      <c r="R1686" s="53" t="n">
        <f aca="false">IF(BW1686=1,0,IFERROR(VLOOKUP(BU1686,'Gebinde-Kategorie'!$A$5:$N$45,13,0)+0,0))</f>
        <v>12</v>
      </c>
      <c r="S1686" s="54"/>
      <c r="T1686" s="55"/>
      <c r="U1686" s="55"/>
      <c r="V1686" s="55"/>
      <c r="W1686" s="48"/>
      <c r="X1686" s="50"/>
      <c r="Y1686" s="50"/>
      <c r="Z1686" s="48" t="n">
        <f aca="false">IF(A1686="","",IF(AND(Parameter!$B$21="Ja",ISNUMBER(W1686)),W1686,IF(BZ1686="2+3",IF(ISNUMBER(SEARCH("grosser Artikel",BR1686)),2,IFERROR(VLOOKUP(BU1686,Parameter!$F$35:$G$64,2,0),2)),IF(OR(BZ1686="Nein",BZ1686=""),"-",BZ1686))))</f>
        <v>2</v>
      </c>
      <c r="AA1686" s="55"/>
      <c r="AB1686" s="56"/>
      <c r="AC1686" s="50" t="n">
        <f aca="false">AT1686</f>
        <v>5</v>
      </c>
      <c r="AD1686" s="50" t="n">
        <f aca="false">MAX(AT1686,H1686)</f>
        <v>5</v>
      </c>
      <c r="AE1686" s="57"/>
      <c r="AF1686" s="50" t="n">
        <f aca="false">IF(LEFT(Cockpit!$C$5,1)="A",H1686,IF(CE1686=1,CF1686,IF(LEFT(Cockpit!$C$5,1)="B",AK1686,MAX(AK1686,H1686))))</f>
        <v>3</v>
      </c>
      <c r="AG1686" s="50" t="n">
        <f aca="false">IF(BW1686=1,0,ROUNDUP(AF1686/BV1686,0))</f>
        <v>1</v>
      </c>
      <c r="AH1686" s="52" t="n">
        <f aca="false">IF(CL1686&gt;0,CL1686*MAX(1,AF1686/X1686),IF(BW1686=1,IF(AF1686&lt;=0,0,CA1686*MAX(1,IF(H1686&gt;0,AF1686/H1686,1))),IF(R1686&gt;0,AG1686/R1686,0))/MAX(0.1,N(Parameter!$M$21)))</f>
        <v>0.0833333333333333</v>
      </c>
      <c r="AI1686" s="50" t="n">
        <f aca="false">AH1686*BY1686</f>
        <v>12.0833333333333</v>
      </c>
      <c r="AJ1686" s="50" t="n">
        <f aca="false">AF1686*G1686</f>
        <v>594.21</v>
      </c>
      <c r="AK1686" s="50" t="n">
        <f aca="false">ROUNDUP(MAX(J1686/IF(CD1686&gt;0,CD1686,MAX(0.1,N(Cockpit!$C$6))),CG1686)/BV1686,0)*BV1686</f>
        <v>5</v>
      </c>
      <c r="AL1686" s="51" t="n">
        <f aca="false">IF(AI1686&gt;0,J1686/AI1686,-1)</f>
        <v>0</v>
      </c>
      <c r="AM1686" s="51" t="n">
        <f aca="false">IF(AND(OR(CC1686="L1",CC1686="L23",CC1686="LIFT"),AI1686&gt;0),SUMIFS($AI$7:$AI$1843,$CC$7:$CC$1843,CC1686,$AL$7:$AL$1843,"&gt;"&amp;AL1686)+SUMIFS($AI$7:$AI$1843,$CC$7:$CC$1843,CC1686,$AL$7:$AL$1843,AL1686,$BT$7:$BT$1843,"&lt;="&amp;BT1686),"")</f>
        <v>32677.0050935411</v>
      </c>
      <c r="AN1686" s="58" t="n">
        <f aca="false">IF(AM1686="",0,MAX(0,MIN(1,(IF(CC1686="L1",Parameter!$H$5,IF(CC1686="L23",Parameter!$H$6+Parameter!$H$7,Parameter!$H$5+Parameter!$H$6+Parameter!$H$7))-(AM1686-AI1686))/AI1686)))</f>
        <v>1</v>
      </c>
      <c r="AO1686" s="50" t="n">
        <f aca="false">IF(LEFT(Cockpit!$I$5,1)="A",H1686,IF(CE1686=1,CF1686,IF(LEFT(Cockpit!$I$5,1)="B",AT1686,MAX(AT1686,H1686))))</f>
        <v>5</v>
      </c>
      <c r="AP1686" s="50" t="n">
        <f aca="false">IF(BW1686=1,0,ROUNDUP(AO1686/BV1686,0))</f>
        <v>1</v>
      </c>
      <c r="AQ1686" s="52" t="n">
        <f aca="false">IF(CL1686&gt;0,CL1686*MAX(1,AO1686/X1686),IF(BW1686=1,IF(AO1686&lt;=0,0,CA1686*MAX(1,IF(H1686&gt;0,AO1686/H1686,1))),IF(R1686&gt;0,AP1686/R1686,0))/MAX(0.1,N(Parameter!$M$21)))</f>
        <v>0.0833333333333333</v>
      </c>
      <c r="AR1686" s="50" t="n">
        <f aca="false">AQ1686*BY1686</f>
        <v>12.0833333333333</v>
      </c>
      <c r="AS1686" s="50" t="n">
        <f aca="false">AO1686*G1686</f>
        <v>990.35</v>
      </c>
      <c r="AT1686" s="50" t="n">
        <f aca="false">ROUNDUP(MAX(J1686/IF(CD1686&gt;0,CD1686,MAX(0.1,N(Cockpit!$I$6))),CG1686)/BV1686,0)*BV1686</f>
        <v>5</v>
      </c>
      <c r="AU1686" s="51" t="n">
        <f aca="false">IF(AR1686&gt;0,J1686/AR1686,-1)</f>
        <v>0</v>
      </c>
      <c r="AV1686" s="51" t="n">
        <f aca="false">IF(AND(OR(CC1686="L1",CC1686="L23",CC1686="LIFT"),AR1686&gt;0),SUMIFS($AR$7:$AR$1843,$CC$7:$CC$1843,CC1686,$AU$7:$AU$1843,"&gt;"&amp;AU1686)+SUMIFS($AR$7:$AR$1843,$CC$7:$CC$1843,CC1686,$AU$7:$AU$1843,AU1686,$BT$7:$BT$1843,"&lt;="&amp;BT1686),"")</f>
        <v>45343.6908331781</v>
      </c>
      <c r="AW1686" s="58" t="n">
        <f aca="false">IF(AV1686="",0,MAX(0,MIN(1,(IF(CC1686="L1",Parameter!$H$5,IF(CC1686="L23",Parameter!$H$6+Parameter!$H$7,Parameter!$H$5+Parameter!$H$6+Parameter!$H$7))-(AV1686-AR1686))/AR1686)))</f>
        <v>0</v>
      </c>
      <c r="AX1686" s="50" t="n">
        <f aca="false">IF(LEFT(Cockpit!$O$5,1)="A",H1686,IF(CE1686=1,CF1686,IF(LEFT(Cockpit!$O$5,1)="B",BC1686,MAX(BC1686,H1686))))</f>
        <v>5</v>
      </c>
      <c r="AY1686" s="50" t="n">
        <f aca="false">IF(BW1686=1,0,ROUNDUP(AX1686/BV1686,0))</f>
        <v>1</v>
      </c>
      <c r="AZ1686" s="52" t="n">
        <f aca="false">IF(CL1686&gt;0,CL1686*MAX(1,AX1686/X1686),IF(BW1686=1,IF(AX1686&lt;=0,0,CA1686*MAX(1,IF(H1686&gt;0,AX1686/H1686,1))),IF(R1686&gt;0,AY1686/R1686,0))/MAX(0.1,N(Parameter!$M$21)))</f>
        <v>0.0833333333333333</v>
      </c>
      <c r="BA1686" s="50" t="n">
        <f aca="false">AZ1686*BY1686</f>
        <v>12.0833333333333</v>
      </c>
      <c r="BB1686" s="50" t="n">
        <f aca="false">AX1686*G1686</f>
        <v>990.35</v>
      </c>
      <c r="BC1686" s="50" t="n">
        <f aca="false">ROUNDUP(MAX(J1686/IF(CD1686&gt;0,CD1686,MAX(0.1,N(Cockpit!$O$6))),CG1686)/BV1686,0)*BV1686</f>
        <v>5</v>
      </c>
      <c r="BD1686" s="51" t="n">
        <f aca="false">IF(BA1686&gt;0,J1686/BA1686,-1)</f>
        <v>0</v>
      </c>
      <c r="BE1686" s="51" t="n">
        <f aca="false">IF(AND(OR(CC1686="L1",CC1686="L23",CC1686="LIFT"),BA1686&gt;0),SUMIFS($BA$7:$BA$1843,$CC$7:$CC$1843,CC1686,$BD$7:$BD$1843,"&gt;"&amp;BD1686)+SUMIFS($BA$7:$BA$1843,$CC$7:$CC$1843,CC1686,$BD$7:$BD$1843,BD1686,$BT$7:$BT$1843,"&lt;="&amp;BT1686),"")</f>
        <v>42018.702875044</v>
      </c>
      <c r="BF1686" s="58" t="n">
        <f aca="false">IF(BE1686="",0,MAX(0,MIN(1,(IF(CC1686="L1",Parameter!$H$5,IF(CC1686="L23",Parameter!$H$6+Parameter!$H$7,Parameter!$H$5+Parameter!$H$6+Parameter!$H$7))-(BE1686-BA1686))/BA1686)))</f>
        <v>0</v>
      </c>
      <c r="BG1686" s="48" t="str">
        <f aca="false">IF(AI1686&lt;=0,"",IF(CC1686="Aussen","Aussenlager",IF(CC1686="-","Nicht im Lift",IF(AN1686&gt;=1,"Lift",IF(AN1686&lt;=0,"Aussenlager","teilweise")))))</f>
        <v>Lift</v>
      </c>
      <c r="BH1686" s="48" t="str">
        <f aca="false">IF(AR1686&lt;=0,"",IF(CC1686="Aussen","Aussenlager",IF(CC1686="-","Nicht im Lift",IF(AW1686&gt;=1,"Lift",IF(AW1686&lt;=0,"Aussenlager","teilweise")))))</f>
        <v>Aussenlager</v>
      </c>
      <c r="BI1686" s="48" t="str">
        <f aca="false">IF(BA1686&lt;=0,"",IF(CC1686="Aussen","Aussenlager",IF(CC1686="-","Nicht im Lift",IF(BF1686&gt;=1,"Lift",IF(BF1686&lt;=0,"Aussenlager","teilweise")))))</f>
        <v>Aussenlager</v>
      </c>
      <c r="BJ1686" s="48" t="str">
        <f aca="false">IF(A1686="","",IF(BS1686=1,"Neu; ","")&amp;IF(AND(BS1686=0,BN1686&lt;0),"negativer Bestand (Export "&amp;BN1686&amp;"); ","")&amp;IF(J1686&lt;=0,"Kein Verbrauch; ","")&amp;IF(CL1686&gt;0,"Lift "&amp;W1686&amp;" lt. Liftbericht (Fach "&amp;X1686&amp;" Stk); ",IF(BX1686=1,"Gebinde geschätzt ("&amp;T1686&amp;"); ",IF(BW1686=1,"Lose – Tablare geschätzt; ","")))&amp;IF(H1686&gt;AT1686,"Überbestand "&amp;ROUND(H1686-AT1686,0)&amp;" Stk / CHF "&amp;ROUND((H1686-AT1686)*G1686,0)&amp;"; ","")&amp;IF(AND(CE1686=1,CF1686&lt;CG1686),"MAX &lt; MB+LG; ","")&amp;IF(AND(CK1686&gt;0,CJ1686*10&gt;CK1686),"zu hoch für Tablar; ","")&amp;IF(AND(BS1686=0,OR(CE1686=1,AA1686&lt;&gt;"",U1686&lt;&gt;"",V1686&lt;&gt;"",AB1686&lt;&gt;"")),"manuell übersteuert; ","")&amp;IF(AND(BW1686=0,R1686=0),"Gebinde unbekannt / Stellmass fehlt; ","")&amp;IF(AND(BW1686=0,N(V1686)&lt;=0,N(Q1686)&lt;=0),"Menge pro Gebinde fehlt (Ist = 1 Gebinde); ","")&amp;BR1686)</f>
        <v>Kein Verbrauch; nur im Artikelstamm (Bestand 23.06.2026); Neuer Art.</v>
      </c>
      <c r="BK1686" s="48"/>
      <c r="BL1686" s="48"/>
      <c r="BM1686" s="55"/>
      <c r="BN1686" s="50" t="n">
        <v>3</v>
      </c>
      <c r="BO1686" s="50" t="n">
        <v>0</v>
      </c>
      <c r="BP1686" s="49" t="n">
        <v>0</v>
      </c>
      <c r="BQ1686" s="50" t="n">
        <v>0</v>
      </c>
      <c r="BR1686" s="48" t="s">
        <v>2877</v>
      </c>
      <c r="BS1686" s="53" t="n">
        <v>0</v>
      </c>
      <c r="BT1686" s="53" t="n">
        <v>1686</v>
      </c>
      <c r="BU1686" s="48" t="str">
        <f aca="false">IF(U1686&lt;&gt;"",UPPER(TRIM(U1686)),IF(BX1686=1,UPPER(VLOOKUP(T1686,Parameter!$I$27:$K$29,2,0)),IF(P1686="","LOSE",P1686)))</f>
        <v>S61</v>
      </c>
      <c r="BV1686" s="50" t="n">
        <f aca="false">IF(BU1686="LOSE",1,IF(N(V1686)&gt;0,V1686,IF(BX1686=1,MAX(1,N(VLOOKUP(T1686,Parameter!$I$27:$K$29,3,0)),H1686,N(N1686)),IF(N(Q1686)&gt;0,Q1686,MAX(1,H1686)))))</f>
        <v>5</v>
      </c>
      <c r="BW1686" s="53" t="n">
        <f aca="false">IF(BU1686="LOSE",1,0)</f>
        <v>0</v>
      </c>
      <c r="BX1686" s="53" t="n">
        <f aca="false">IF(AND(U1686="",OR(P1686="",P1686="LOSE"),T1686&lt;&gt;"",N(S1686)&lt;=0,ISNUMBER(MATCH(T1686,Parameter!$I$27:$I$29,0))),1,0)</f>
        <v>0</v>
      </c>
      <c r="BY1686" s="53" t="n">
        <f aca="false">IF(CL1686&gt;0,INDEX(Parameter!$H$5:$H$7,W1686)/INDEX(Parameter!$E$5:$E$7,W1686),IF(AND(BW1686=0,N(IFERROR(VLOOKUP(BU1686,'Gebinde-Kategorie'!$A$5:$N$45,14,0),0))&gt;0),VLOOKUP(BU1686,'Gebinde-Kategorie'!$A$5:$N$45,14,0)*10+Parameter!$M$23,Parameter!$M$24))</f>
        <v>145</v>
      </c>
      <c r="BZ1686" s="48" t="str">
        <f aca="false">IF(AND(Parameter!$B$19="Ja",E1686&lt;&gt;"",ISNUMBER(MATCH(E1686,Parameter!$I$35:$I$52,0))),VLOOKUP(E1686,Parameter!$I$35:$J$52,2,0),IFERROR(VLOOKUP(D1686,Parameter!$A$35:$C$64,2,0),"Nein"))</f>
        <v>2+3</v>
      </c>
      <c r="CA1686" s="52" t="n">
        <f aca="false">IF(BW1686=0,0,IF(N(S1686)&gt;0,S1686,IFERROR(VLOOKUP(D1686,Parameter!$A$35:$C$64,3,0)+0,0)))</f>
        <v>0</v>
      </c>
      <c r="CB1686" s="48" t="n">
        <f aca="false">IF(AA1686&lt;&gt;"",AA1686,Z1686)</f>
        <v>2</v>
      </c>
      <c r="CC1686" s="48" t="str">
        <f aca="false">IF(OR(CB1686=1,CB1686=2,CB1686=3),IF(Parameter!$E$27="Ja","LIFT",IF(CB1686=1,"L1","L23")),IF(CB1686="Aussen","Aussen","-"))</f>
        <v>LIFT</v>
      </c>
      <c r="CD1686" s="59" t="n">
        <f aca="false">IF(N(AB1686)&gt;0,AB1686,0)</f>
        <v>0</v>
      </c>
      <c r="CE1686" s="53" t="n">
        <f aca="false">IF(ISNUMBER(AE1686),1,0)</f>
        <v>0</v>
      </c>
      <c r="CF1686" s="50" t="n">
        <f aca="false">N(AE1686)</f>
        <v>0</v>
      </c>
      <c r="CG1686" s="50" t="n">
        <f aca="false">N(M1686)+N(N1686)</f>
        <v>2</v>
      </c>
      <c r="CH1686" s="50" t="n">
        <f aca="false">ROUNDUP(H1686/BV1686,0)</f>
        <v>1</v>
      </c>
      <c r="CI1686" s="50" t="n">
        <f aca="false">ROUNDUP(CF1686/BV1686,0)</f>
        <v>0</v>
      </c>
      <c r="CJ1686" s="53" t="n">
        <f aca="false">IF(BW1686=1,0,IFERROR(VLOOKUP(BU1686,'Gebinde-Kategorie'!$A$5:$N$45,5,0)+0,0))</f>
        <v>11</v>
      </c>
      <c r="CK1686" s="53" t="n">
        <f aca="false">IFERROR(IF(OR(CB1686=1,CB1686=2,CB1686=3),N(INDEX(Parameter!$I$5:$I$7,CB1686)),0),0)</f>
        <v>0</v>
      </c>
      <c r="CL1686" s="52" t="n">
        <f aca="false">IF(AND(Parameter!$B$21="Ja",ISNUMBER(W1686),N(X1686)&gt;0),IFERROR(N(INDEX(Parameter!$L$5:$L$7,W1686))*INDEX(Parameter!$E$5:$E$7,W1686)*X1686/SUMIFS($X$7:$X$1843,$W$7:$W$1843,W1686),0),0)</f>
        <v>0</v>
      </c>
    </row>
    <row r="1687" customFormat="false" ht="15" hidden="false" customHeight="false" outlineLevel="0" collapsed="false">
      <c r="A1687" s="48" t="s">
        <v>2926</v>
      </c>
      <c r="B1687" s="48" t="s">
        <v>2927</v>
      </c>
      <c r="C1687" s="48" t="s">
        <v>168</v>
      </c>
      <c r="D1687" s="48" t="s">
        <v>177</v>
      </c>
      <c r="E1687" s="48"/>
      <c r="F1687" s="48"/>
      <c r="G1687" s="49" t="n">
        <v>230</v>
      </c>
      <c r="H1687" s="50" t="n">
        <f aca="false">MAX(0,IF(AND(Parameter!$B$21="Ja",ISNUMBER(Y1687)),Y1687,IF(Parameter!$B$20="Jahresanfang 2025 + Export",BO1687+BN1687,BN1687)))</f>
        <v>6</v>
      </c>
      <c r="I1687" s="50" t="n">
        <f aca="false">H1687*G1687</f>
        <v>1380</v>
      </c>
      <c r="J1687" s="50" t="n">
        <f aca="false">BQ1687*Parameter!$B$18</f>
        <v>0</v>
      </c>
      <c r="K1687" s="51"/>
      <c r="L1687" s="52"/>
      <c r="M1687" s="50" t="n">
        <v>0</v>
      </c>
      <c r="N1687" s="50" t="n">
        <v>6</v>
      </c>
      <c r="O1687" s="53" t="n">
        <v>49</v>
      </c>
      <c r="P1687" s="48" t="s">
        <v>190</v>
      </c>
      <c r="Q1687" s="50" t="n">
        <v>5</v>
      </c>
      <c r="R1687" s="53" t="n">
        <f aca="false">IF(BW1687=1,0,IFERROR(VLOOKUP(BU1687,'Gebinde-Kategorie'!$A$5:$N$45,13,0)+0,0))</f>
        <v>12</v>
      </c>
      <c r="S1687" s="54"/>
      <c r="T1687" s="55"/>
      <c r="U1687" s="55"/>
      <c r="V1687" s="55"/>
      <c r="W1687" s="48"/>
      <c r="X1687" s="50"/>
      <c r="Y1687" s="50"/>
      <c r="Z1687" s="48" t="n">
        <f aca="false">IF(A1687="","",IF(AND(Parameter!$B$21="Ja",ISNUMBER(W1687)),W1687,IF(BZ1687="2+3",IF(ISNUMBER(SEARCH("grosser Artikel",BR1687)),2,IFERROR(VLOOKUP(BU1687,Parameter!$F$35:$G$64,2,0),2)),IF(OR(BZ1687="Nein",BZ1687=""),"-",BZ1687))))</f>
        <v>2</v>
      </c>
      <c r="AA1687" s="55"/>
      <c r="AB1687" s="56"/>
      <c r="AC1687" s="50" t="n">
        <f aca="false">AT1687</f>
        <v>10</v>
      </c>
      <c r="AD1687" s="50" t="n">
        <f aca="false">MAX(AT1687,H1687)</f>
        <v>10</v>
      </c>
      <c r="AE1687" s="57"/>
      <c r="AF1687" s="50" t="n">
        <f aca="false">IF(LEFT(Cockpit!$C$5,1)="A",H1687,IF(CE1687=1,CF1687,IF(LEFT(Cockpit!$C$5,1)="B",AK1687,MAX(AK1687,H1687))))</f>
        <v>6</v>
      </c>
      <c r="AG1687" s="50" t="n">
        <f aca="false">IF(BW1687=1,0,ROUNDUP(AF1687/BV1687,0))</f>
        <v>2</v>
      </c>
      <c r="AH1687" s="52" t="n">
        <f aca="false">IF(CL1687&gt;0,CL1687*MAX(1,AF1687/X1687),IF(BW1687=1,IF(AF1687&lt;=0,0,CA1687*MAX(1,IF(H1687&gt;0,AF1687/H1687,1))),IF(R1687&gt;0,AG1687/R1687,0))/MAX(0.1,N(Parameter!$M$21)))</f>
        <v>0.166666666666667</v>
      </c>
      <c r="AI1687" s="50" t="n">
        <f aca="false">AH1687*BY1687</f>
        <v>24.1666666666667</v>
      </c>
      <c r="AJ1687" s="50" t="n">
        <f aca="false">AF1687*G1687</f>
        <v>1380</v>
      </c>
      <c r="AK1687" s="50" t="n">
        <f aca="false">ROUNDUP(MAX(J1687/IF(CD1687&gt;0,CD1687,MAX(0.1,N(Cockpit!$C$6))),CG1687)/BV1687,0)*BV1687</f>
        <v>10</v>
      </c>
      <c r="AL1687" s="51" t="n">
        <f aca="false">IF(AI1687&gt;0,J1687/AI1687,-1)</f>
        <v>0</v>
      </c>
      <c r="AM1687" s="51" t="n">
        <f aca="false">IF(AND(OR(CC1687="L1",CC1687="L23",CC1687="LIFT"),AI1687&gt;0),SUMIFS($AI$7:$AI$1843,$CC$7:$CC$1843,CC1687,$AL$7:$AL$1843,"&gt;"&amp;AL1687)+SUMIFS($AI$7:$AI$1843,$CC$7:$CC$1843,CC1687,$AL$7:$AL$1843,AL1687,$BT$7:$BT$1843,"&lt;="&amp;BT1687),"")</f>
        <v>32701.1717602078</v>
      </c>
      <c r="AN1687" s="58" t="n">
        <f aca="false">IF(AM1687="",0,MAX(0,MIN(1,(IF(CC1687="L1",Parameter!$H$5,IF(CC1687="L23",Parameter!$H$6+Parameter!$H$7,Parameter!$H$5+Parameter!$H$6+Parameter!$H$7))-(AM1687-AI1687))/AI1687)))</f>
        <v>1</v>
      </c>
      <c r="AO1687" s="50" t="n">
        <f aca="false">IF(LEFT(Cockpit!$I$5,1)="A",H1687,IF(CE1687=1,CF1687,IF(LEFT(Cockpit!$I$5,1)="B",AT1687,MAX(AT1687,H1687))))</f>
        <v>10</v>
      </c>
      <c r="AP1687" s="50" t="n">
        <f aca="false">IF(BW1687=1,0,ROUNDUP(AO1687/BV1687,0))</f>
        <v>2</v>
      </c>
      <c r="AQ1687" s="52" t="n">
        <f aca="false">IF(CL1687&gt;0,CL1687*MAX(1,AO1687/X1687),IF(BW1687=1,IF(AO1687&lt;=0,0,CA1687*MAX(1,IF(H1687&gt;0,AO1687/H1687,1))),IF(R1687&gt;0,AP1687/R1687,0))/MAX(0.1,N(Parameter!$M$21)))</f>
        <v>0.166666666666667</v>
      </c>
      <c r="AR1687" s="50" t="n">
        <f aca="false">AQ1687*BY1687</f>
        <v>24.1666666666667</v>
      </c>
      <c r="AS1687" s="50" t="n">
        <f aca="false">AO1687*G1687</f>
        <v>2300</v>
      </c>
      <c r="AT1687" s="50" t="n">
        <f aca="false">ROUNDUP(MAX(J1687/IF(CD1687&gt;0,CD1687,MAX(0.1,N(Cockpit!$I$6))),CG1687)/BV1687,0)*BV1687</f>
        <v>10</v>
      </c>
      <c r="AU1687" s="51" t="n">
        <f aca="false">IF(AR1687&gt;0,J1687/AR1687,-1)</f>
        <v>0</v>
      </c>
      <c r="AV1687" s="51" t="n">
        <f aca="false">IF(AND(OR(CC1687="L1",CC1687="L23",CC1687="LIFT"),AR1687&gt;0),SUMIFS($AR$7:$AR$1843,$CC$7:$CC$1843,CC1687,$AU$7:$AU$1843,"&gt;"&amp;AU1687)+SUMIFS($AR$7:$AR$1843,$CC$7:$CC$1843,CC1687,$AU$7:$AU$1843,AU1687,$BT$7:$BT$1843,"&lt;="&amp;BT1687),"")</f>
        <v>45367.8574998448</v>
      </c>
      <c r="AW1687" s="58" t="n">
        <f aca="false">IF(AV1687="",0,MAX(0,MIN(1,(IF(CC1687="L1",Parameter!$H$5,IF(CC1687="L23",Parameter!$H$6+Parameter!$H$7,Parameter!$H$5+Parameter!$H$6+Parameter!$H$7))-(AV1687-AR1687))/AR1687)))</f>
        <v>0</v>
      </c>
      <c r="AX1687" s="50" t="n">
        <f aca="false">IF(LEFT(Cockpit!$O$5,1)="A",H1687,IF(CE1687=1,CF1687,IF(LEFT(Cockpit!$O$5,1)="B",BC1687,MAX(BC1687,H1687))))</f>
        <v>10</v>
      </c>
      <c r="AY1687" s="50" t="n">
        <f aca="false">IF(BW1687=1,0,ROUNDUP(AX1687/BV1687,0))</f>
        <v>2</v>
      </c>
      <c r="AZ1687" s="52" t="n">
        <f aca="false">IF(CL1687&gt;0,CL1687*MAX(1,AX1687/X1687),IF(BW1687=1,IF(AX1687&lt;=0,0,CA1687*MAX(1,IF(H1687&gt;0,AX1687/H1687,1))),IF(R1687&gt;0,AY1687/R1687,0))/MAX(0.1,N(Parameter!$M$21)))</f>
        <v>0.166666666666667</v>
      </c>
      <c r="BA1687" s="50" t="n">
        <f aca="false">AZ1687*BY1687</f>
        <v>24.1666666666667</v>
      </c>
      <c r="BB1687" s="50" t="n">
        <f aca="false">AX1687*G1687</f>
        <v>2300</v>
      </c>
      <c r="BC1687" s="50" t="n">
        <f aca="false">ROUNDUP(MAX(J1687/IF(CD1687&gt;0,CD1687,MAX(0.1,N(Cockpit!$O$6))),CG1687)/BV1687,0)*BV1687</f>
        <v>10</v>
      </c>
      <c r="BD1687" s="51" t="n">
        <f aca="false">IF(BA1687&gt;0,J1687/BA1687,-1)</f>
        <v>0</v>
      </c>
      <c r="BE1687" s="51" t="n">
        <f aca="false">IF(AND(OR(CC1687="L1",CC1687="L23",CC1687="LIFT"),BA1687&gt;0),SUMIFS($BA$7:$BA$1843,$CC$7:$CC$1843,CC1687,$BD$7:$BD$1843,"&gt;"&amp;BD1687)+SUMIFS($BA$7:$BA$1843,$CC$7:$CC$1843,CC1687,$BD$7:$BD$1843,BD1687,$BT$7:$BT$1843,"&lt;="&amp;BT1687),"")</f>
        <v>42042.8695417107</v>
      </c>
      <c r="BF1687" s="58" t="n">
        <f aca="false">IF(BE1687="",0,MAX(0,MIN(1,(IF(CC1687="L1",Parameter!$H$5,IF(CC1687="L23",Parameter!$H$6+Parameter!$H$7,Parameter!$H$5+Parameter!$H$6+Parameter!$H$7))-(BE1687-BA1687))/BA1687)))</f>
        <v>0</v>
      </c>
      <c r="BG1687" s="48" t="str">
        <f aca="false">IF(AI1687&lt;=0,"",IF(CC1687="Aussen","Aussenlager",IF(CC1687="-","Nicht im Lift",IF(AN1687&gt;=1,"Lift",IF(AN1687&lt;=0,"Aussenlager","teilweise")))))</f>
        <v>Lift</v>
      </c>
      <c r="BH1687" s="48" t="str">
        <f aca="false">IF(AR1687&lt;=0,"",IF(CC1687="Aussen","Aussenlager",IF(CC1687="-","Nicht im Lift",IF(AW1687&gt;=1,"Lift",IF(AW1687&lt;=0,"Aussenlager","teilweise")))))</f>
        <v>Aussenlager</v>
      </c>
      <c r="BI1687" s="48" t="str">
        <f aca="false">IF(BA1687&lt;=0,"",IF(CC1687="Aussen","Aussenlager",IF(CC1687="-","Nicht im Lift",IF(BF1687&gt;=1,"Lift",IF(BF1687&lt;=0,"Aussenlager","teilweise")))))</f>
        <v>Aussenlager</v>
      </c>
      <c r="BJ1687" s="48" t="str">
        <f aca="false">IF(A1687="","",IF(BS1687=1,"Neu; ","")&amp;IF(AND(BS1687=0,BN1687&lt;0),"negativer Bestand (Export "&amp;BN1687&amp;"); ","")&amp;IF(J1687&lt;=0,"Kein Verbrauch; ","")&amp;IF(CL1687&gt;0,"Lift "&amp;W1687&amp;" lt. Liftbericht (Fach "&amp;X1687&amp;" Stk); ",IF(BX1687=1,"Gebinde geschätzt ("&amp;T1687&amp;"); ",IF(BW1687=1,"Lose – Tablare geschätzt; ","")))&amp;IF(H1687&gt;AT1687,"Überbestand "&amp;ROUND(H1687-AT1687,0)&amp;" Stk / CHF "&amp;ROUND((H1687-AT1687)*G1687,0)&amp;"; ","")&amp;IF(AND(CE1687=1,CF1687&lt;CG1687),"MAX &lt; MB+LG; ","")&amp;IF(AND(CK1687&gt;0,CJ1687*10&gt;CK1687),"zu hoch für Tablar; ","")&amp;IF(AND(BS1687=0,OR(CE1687=1,AA1687&lt;&gt;"",U1687&lt;&gt;"",V1687&lt;&gt;"",AB1687&lt;&gt;"")),"manuell übersteuert; ","")&amp;IF(AND(BW1687=0,R1687=0),"Gebinde unbekannt / Stellmass fehlt; ","")&amp;IF(AND(BW1687=0,N(V1687)&lt;=0,N(Q1687)&lt;=0),"Menge pro Gebinde fehlt (Ist = 1 Gebinde); ","")&amp;BR1687)</f>
        <v>Kein Verbrauch; nur im Artikelstamm (Bestand 23.06.2026)</v>
      </c>
      <c r="BK1687" s="48"/>
      <c r="BL1687" s="48"/>
      <c r="BM1687" s="55"/>
      <c r="BN1687" s="50" t="n">
        <v>6</v>
      </c>
      <c r="BO1687" s="50" t="n">
        <v>0</v>
      </c>
      <c r="BP1687" s="49" t="n">
        <v>0</v>
      </c>
      <c r="BQ1687" s="50" t="n">
        <v>0</v>
      </c>
      <c r="BR1687" s="48" t="s">
        <v>2579</v>
      </c>
      <c r="BS1687" s="53" t="n">
        <v>0</v>
      </c>
      <c r="BT1687" s="53" t="n">
        <v>1687</v>
      </c>
      <c r="BU1687" s="48" t="str">
        <f aca="false">IF(U1687&lt;&gt;"",UPPER(TRIM(U1687)),IF(BX1687=1,UPPER(VLOOKUP(T1687,Parameter!$I$27:$K$29,2,0)),IF(P1687="","LOSE",P1687)))</f>
        <v>S61</v>
      </c>
      <c r="BV1687" s="50" t="n">
        <f aca="false">IF(BU1687="LOSE",1,IF(N(V1687)&gt;0,V1687,IF(BX1687=1,MAX(1,N(VLOOKUP(T1687,Parameter!$I$27:$K$29,3,0)),H1687,N(N1687)),IF(N(Q1687)&gt;0,Q1687,MAX(1,H1687)))))</f>
        <v>5</v>
      </c>
      <c r="BW1687" s="53" t="n">
        <f aca="false">IF(BU1687="LOSE",1,0)</f>
        <v>0</v>
      </c>
      <c r="BX1687" s="53" t="n">
        <f aca="false">IF(AND(U1687="",OR(P1687="",P1687="LOSE"),T1687&lt;&gt;"",N(S1687)&lt;=0,ISNUMBER(MATCH(T1687,Parameter!$I$27:$I$29,0))),1,0)</f>
        <v>0</v>
      </c>
      <c r="BY1687" s="53" t="n">
        <f aca="false">IF(CL1687&gt;0,INDEX(Parameter!$H$5:$H$7,W1687)/INDEX(Parameter!$E$5:$E$7,W1687),IF(AND(BW1687=0,N(IFERROR(VLOOKUP(BU1687,'Gebinde-Kategorie'!$A$5:$N$45,14,0),0))&gt;0),VLOOKUP(BU1687,'Gebinde-Kategorie'!$A$5:$N$45,14,0)*10+Parameter!$M$23,Parameter!$M$24))</f>
        <v>145</v>
      </c>
      <c r="BZ1687" s="48" t="str">
        <f aca="false">IF(AND(Parameter!$B$19="Ja",E1687&lt;&gt;"",ISNUMBER(MATCH(E1687,Parameter!$I$35:$I$52,0))),VLOOKUP(E1687,Parameter!$I$35:$J$52,2,0),IFERROR(VLOOKUP(D1687,Parameter!$A$35:$C$64,2,0),"Nein"))</f>
        <v>2+3</v>
      </c>
      <c r="CA1687" s="52" t="n">
        <f aca="false">IF(BW1687=0,0,IF(N(S1687)&gt;0,S1687,IFERROR(VLOOKUP(D1687,Parameter!$A$35:$C$64,3,0)+0,0)))</f>
        <v>0</v>
      </c>
      <c r="CB1687" s="48" t="n">
        <f aca="false">IF(AA1687&lt;&gt;"",AA1687,Z1687)</f>
        <v>2</v>
      </c>
      <c r="CC1687" s="48" t="str">
        <f aca="false">IF(OR(CB1687=1,CB1687=2,CB1687=3),IF(Parameter!$E$27="Ja","LIFT",IF(CB1687=1,"L1","L23")),IF(CB1687="Aussen","Aussen","-"))</f>
        <v>LIFT</v>
      </c>
      <c r="CD1687" s="59" t="n">
        <f aca="false">IF(N(AB1687)&gt;0,AB1687,0)</f>
        <v>0</v>
      </c>
      <c r="CE1687" s="53" t="n">
        <f aca="false">IF(ISNUMBER(AE1687),1,0)</f>
        <v>0</v>
      </c>
      <c r="CF1687" s="50" t="n">
        <f aca="false">N(AE1687)</f>
        <v>0</v>
      </c>
      <c r="CG1687" s="50" t="n">
        <f aca="false">N(M1687)+N(N1687)</f>
        <v>6</v>
      </c>
      <c r="CH1687" s="50" t="n">
        <f aca="false">ROUNDUP(H1687/BV1687,0)</f>
        <v>2</v>
      </c>
      <c r="CI1687" s="50" t="n">
        <f aca="false">ROUNDUP(CF1687/BV1687,0)</f>
        <v>0</v>
      </c>
      <c r="CJ1687" s="53" t="n">
        <f aca="false">IF(BW1687=1,0,IFERROR(VLOOKUP(BU1687,'Gebinde-Kategorie'!$A$5:$N$45,5,0)+0,0))</f>
        <v>11</v>
      </c>
      <c r="CK1687" s="53" t="n">
        <f aca="false">IFERROR(IF(OR(CB1687=1,CB1687=2,CB1687=3),N(INDEX(Parameter!$I$5:$I$7,CB1687)),0),0)</f>
        <v>0</v>
      </c>
      <c r="CL1687" s="52" t="n">
        <f aca="false">IF(AND(Parameter!$B$21="Ja",ISNUMBER(W1687),N(X1687)&gt;0),IFERROR(N(INDEX(Parameter!$L$5:$L$7,W1687))*INDEX(Parameter!$E$5:$E$7,W1687)*X1687/SUMIFS($X$7:$X$1843,$W$7:$W$1843,W1687),0),0)</f>
        <v>0</v>
      </c>
    </row>
    <row r="1688" customFormat="false" ht="15" hidden="false" customHeight="false" outlineLevel="0" collapsed="false">
      <c r="A1688" s="48" t="s">
        <v>2928</v>
      </c>
      <c r="B1688" s="48" t="s">
        <v>2929</v>
      </c>
      <c r="C1688" s="48" t="s">
        <v>168</v>
      </c>
      <c r="D1688" s="48" t="s">
        <v>177</v>
      </c>
      <c r="E1688" s="48"/>
      <c r="F1688" s="48"/>
      <c r="G1688" s="49" t="n">
        <v>250</v>
      </c>
      <c r="H1688" s="50" t="n">
        <f aca="false">MAX(0,IF(AND(Parameter!$B$21="Ja",ISNUMBER(Y1688)),Y1688,IF(Parameter!$B$20="Jahresanfang 2025 + Export",BO1688+BN1688,BN1688)))</f>
        <v>3</v>
      </c>
      <c r="I1688" s="50" t="n">
        <f aca="false">H1688*G1688</f>
        <v>750</v>
      </c>
      <c r="J1688" s="50" t="n">
        <f aca="false">BQ1688*Parameter!$B$18</f>
        <v>0</v>
      </c>
      <c r="K1688" s="51"/>
      <c r="L1688" s="52"/>
      <c r="M1688" s="50" t="n">
        <v>0</v>
      </c>
      <c r="N1688" s="50" t="n">
        <v>3</v>
      </c>
      <c r="O1688" s="53" t="n">
        <v>49</v>
      </c>
      <c r="P1688" s="48" t="s">
        <v>190</v>
      </c>
      <c r="Q1688" s="50" t="n">
        <v>5</v>
      </c>
      <c r="R1688" s="53" t="n">
        <f aca="false">IF(BW1688=1,0,IFERROR(VLOOKUP(BU1688,'Gebinde-Kategorie'!$A$5:$N$45,13,0)+0,0))</f>
        <v>12</v>
      </c>
      <c r="S1688" s="54"/>
      <c r="T1688" s="55"/>
      <c r="U1688" s="55"/>
      <c r="V1688" s="55"/>
      <c r="W1688" s="48"/>
      <c r="X1688" s="50"/>
      <c r="Y1688" s="50"/>
      <c r="Z1688" s="48" t="n">
        <f aca="false">IF(A1688="","",IF(AND(Parameter!$B$21="Ja",ISNUMBER(W1688)),W1688,IF(BZ1688="2+3",IF(ISNUMBER(SEARCH("grosser Artikel",BR1688)),2,IFERROR(VLOOKUP(BU1688,Parameter!$F$35:$G$64,2,0),2)),IF(OR(BZ1688="Nein",BZ1688=""),"-",BZ1688))))</f>
        <v>2</v>
      </c>
      <c r="AA1688" s="55"/>
      <c r="AB1688" s="56"/>
      <c r="AC1688" s="50" t="n">
        <f aca="false">AT1688</f>
        <v>5</v>
      </c>
      <c r="AD1688" s="50" t="n">
        <f aca="false">MAX(AT1688,H1688)</f>
        <v>5</v>
      </c>
      <c r="AE1688" s="57"/>
      <c r="AF1688" s="50" t="n">
        <f aca="false">IF(LEFT(Cockpit!$C$5,1)="A",H1688,IF(CE1688=1,CF1688,IF(LEFT(Cockpit!$C$5,1)="B",AK1688,MAX(AK1688,H1688))))</f>
        <v>3</v>
      </c>
      <c r="AG1688" s="50" t="n">
        <f aca="false">IF(BW1688=1,0,ROUNDUP(AF1688/BV1688,0))</f>
        <v>1</v>
      </c>
      <c r="AH1688" s="52" t="n">
        <f aca="false">IF(CL1688&gt;0,CL1688*MAX(1,AF1688/X1688),IF(BW1688=1,IF(AF1688&lt;=0,0,CA1688*MAX(1,IF(H1688&gt;0,AF1688/H1688,1))),IF(R1688&gt;0,AG1688/R1688,0))/MAX(0.1,N(Parameter!$M$21)))</f>
        <v>0.0833333333333333</v>
      </c>
      <c r="AI1688" s="50" t="n">
        <f aca="false">AH1688*BY1688</f>
        <v>12.0833333333333</v>
      </c>
      <c r="AJ1688" s="50" t="n">
        <f aca="false">AF1688*G1688</f>
        <v>750</v>
      </c>
      <c r="AK1688" s="50" t="n">
        <f aca="false">ROUNDUP(MAX(J1688/IF(CD1688&gt;0,CD1688,MAX(0.1,N(Cockpit!$C$6))),CG1688)/BV1688,0)*BV1688</f>
        <v>5</v>
      </c>
      <c r="AL1688" s="51" t="n">
        <f aca="false">IF(AI1688&gt;0,J1688/AI1688,-1)</f>
        <v>0</v>
      </c>
      <c r="AM1688" s="51" t="n">
        <f aca="false">IF(AND(OR(CC1688="L1",CC1688="L23",CC1688="LIFT"),AI1688&gt;0),SUMIFS($AI$7:$AI$1843,$CC$7:$CC$1843,CC1688,$AL$7:$AL$1843,"&gt;"&amp;AL1688)+SUMIFS($AI$7:$AI$1843,$CC$7:$CC$1843,CC1688,$AL$7:$AL$1843,AL1688,$BT$7:$BT$1843,"&lt;="&amp;BT1688),"")</f>
        <v>32713.2550935411</v>
      </c>
      <c r="AN1688" s="58" t="n">
        <f aca="false">IF(AM1688="",0,MAX(0,MIN(1,(IF(CC1688="L1",Parameter!$H$5,IF(CC1688="L23",Parameter!$H$6+Parameter!$H$7,Parameter!$H$5+Parameter!$H$6+Parameter!$H$7))-(AM1688-AI1688))/AI1688)))</f>
        <v>1</v>
      </c>
      <c r="AO1688" s="50" t="n">
        <f aca="false">IF(LEFT(Cockpit!$I$5,1)="A",H1688,IF(CE1688=1,CF1688,IF(LEFT(Cockpit!$I$5,1)="B",AT1688,MAX(AT1688,H1688))))</f>
        <v>5</v>
      </c>
      <c r="AP1688" s="50" t="n">
        <f aca="false">IF(BW1688=1,0,ROUNDUP(AO1688/BV1688,0))</f>
        <v>1</v>
      </c>
      <c r="AQ1688" s="52" t="n">
        <f aca="false">IF(CL1688&gt;0,CL1688*MAX(1,AO1688/X1688),IF(BW1688=1,IF(AO1688&lt;=0,0,CA1688*MAX(1,IF(H1688&gt;0,AO1688/H1688,1))),IF(R1688&gt;0,AP1688/R1688,0))/MAX(0.1,N(Parameter!$M$21)))</f>
        <v>0.0833333333333333</v>
      </c>
      <c r="AR1688" s="50" t="n">
        <f aca="false">AQ1688*BY1688</f>
        <v>12.0833333333333</v>
      </c>
      <c r="AS1688" s="50" t="n">
        <f aca="false">AO1688*G1688</f>
        <v>1250</v>
      </c>
      <c r="AT1688" s="50" t="n">
        <f aca="false">ROUNDUP(MAX(J1688/IF(CD1688&gt;0,CD1688,MAX(0.1,N(Cockpit!$I$6))),CG1688)/BV1688,0)*BV1688</f>
        <v>5</v>
      </c>
      <c r="AU1688" s="51" t="n">
        <f aca="false">IF(AR1688&gt;0,J1688/AR1688,-1)</f>
        <v>0</v>
      </c>
      <c r="AV1688" s="51" t="n">
        <f aca="false">IF(AND(OR(CC1688="L1",CC1688="L23",CC1688="LIFT"),AR1688&gt;0),SUMIFS($AR$7:$AR$1843,$CC$7:$CC$1843,CC1688,$AU$7:$AU$1843,"&gt;"&amp;AU1688)+SUMIFS($AR$7:$AR$1843,$CC$7:$CC$1843,CC1688,$AU$7:$AU$1843,AU1688,$BT$7:$BT$1843,"&lt;="&amp;BT1688),"")</f>
        <v>45379.9408331781</v>
      </c>
      <c r="AW1688" s="58" t="n">
        <f aca="false">IF(AV1688="",0,MAX(0,MIN(1,(IF(CC1688="L1",Parameter!$H$5,IF(CC1688="L23",Parameter!$H$6+Parameter!$H$7,Parameter!$H$5+Parameter!$H$6+Parameter!$H$7))-(AV1688-AR1688))/AR1688)))</f>
        <v>0</v>
      </c>
      <c r="AX1688" s="50" t="n">
        <f aca="false">IF(LEFT(Cockpit!$O$5,1)="A",H1688,IF(CE1688=1,CF1688,IF(LEFT(Cockpit!$O$5,1)="B",BC1688,MAX(BC1688,H1688))))</f>
        <v>5</v>
      </c>
      <c r="AY1688" s="50" t="n">
        <f aca="false">IF(BW1688=1,0,ROUNDUP(AX1688/BV1688,0))</f>
        <v>1</v>
      </c>
      <c r="AZ1688" s="52" t="n">
        <f aca="false">IF(CL1688&gt;0,CL1688*MAX(1,AX1688/X1688),IF(BW1688=1,IF(AX1688&lt;=0,0,CA1688*MAX(1,IF(H1688&gt;0,AX1688/H1688,1))),IF(R1688&gt;0,AY1688/R1688,0))/MAX(0.1,N(Parameter!$M$21)))</f>
        <v>0.0833333333333333</v>
      </c>
      <c r="BA1688" s="50" t="n">
        <f aca="false">AZ1688*BY1688</f>
        <v>12.0833333333333</v>
      </c>
      <c r="BB1688" s="50" t="n">
        <f aca="false">AX1688*G1688</f>
        <v>1250</v>
      </c>
      <c r="BC1688" s="50" t="n">
        <f aca="false">ROUNDUP(MAX(J1688/IF(CD1688&gt;0,CD1688,MAX(0.1,N(Cockpit!$O$6))),CG1688)/BV1688,0)*BV1688</f>
        <v>5</v>
      </c>
      <c r="BD1688" s="51" t="n">
        <f aca="false">IF(BA1688&gt;0,J1688/BA1688,-1)</f>
        <v>0</v>
      </c>
      <c r="BE1688" s="51" t="n">
        <f aca="false">IF(AND(OR(CC1688="L1",CC1688="L23",CC1688="LIFT"),BA1688&gt;0),SUMIFS($BA$7:$BA$1843,$CC$7:$CC$1843,CC1688,$BD$7:$BD$1843,"&gt;"&amp;BD1688)+SUMIFS($BA$7:$BA$1843,$CC$7:$CC$1843,CC1688,$BD$7:$BD$1843,BD1688,$BT$7:$BT$1843,"&lt;="&amp;BT1688),"")</f>
        <v>42054.952875044</v>
      </c>
      <c r="BF1688" s="58" t="n">
        <f aca="false">IF(BE1688="",0,MAX(0,MIN(1,(IF(CC1688="L1",Parameter!$H$5,IF(CC1688="L23",Parameter!$H$6+Parameter!$H$7,Parameter!$H$5+Parameter!$H$6+Parameter!$H$7))-(BE1688-BA1688))/BA1688)))</f>
        <v>0</v>
      </c>
      <c r="BG1688" s="48" t="str">
        <f aca="false">IF(AI1688&lt;=0,"",IF(CC1688="Aussen","Aussenlager",IF(CC1688="-","Nicht im Lift",IF(AN1688&gt;=1,"Lift",IF(AN1688&lt;=0,"Aussenlager","teilweise")))))</f>
        <v>Lift</v>
      </c>
      <c r="BH1688" s="48" t="str">
        <f aca="false">IF(AR1688&lt;=0,"",IF(CC1688="Aussen","Aussenlager",IF(CC1688="-","Nicht im Lift",IF(AW1688&gt;=1,"Lift",IF(AW1688&lt;=0,"Aussenlager","teilweise")))))</f>
        <v>Aussenlager</v>
      </c>
      <c r="BI1688" s="48" t="str">
        <f aca="false">IF(BA1688&lt;=0,"",IF(CC1688="Aussen","Aussenlager",IF(CC1688="-","Nicht im Lift",IF(BF1688&gt;=1,"Lift",IF(BF1688&lt;=0,"Aussenlager","teilweise")))))</f>
        <v>Aussenlager</v>
      </c>
      <c r="BJ1688" s="48" t="str">
        <f aca="false">IF(A1688="","",IF(BS1688=1,"Neu; ","")&amp;IF(AND(BS1688=0,BN1688&lt;0),"negativer Bestand (Export "&amp;BN1688&amp;"); ","")&amp;IF(J1688&lt;=0,"Kein Verbrauch; ","")&amp;IF(CL1688&gt;0,"Lift "&amp;W1688&amp;" lt. Liftbericht (Fach "&amp;X1688&amp;" Stk); ",IF(BX1688=1,"Gebinde geschätzt ("&amp;T1688&amp;"); ",IF(BW1688=1,"Lose – Tablare geschätzt; ","")))&amp;IF(H1688&gt;AT1688,"Überbestand "&amp;ROUND(H1688-AT1688,0)&amp;" Stk / CHF "&amp;ROUND((H1688-AT1688)*G1688,0)&amp;"; ","")&amp;IF(AND(CE1688=1,CF1688&lt;CG1688),"MAX &lt; MB+LG; ","")&amp;IF(AND(CK1688&gt;0,CJ1688*10&gt;CK1688),"zu hoch für Tablar; ","")&amp;IF(AND(BS1688=0,OR(CE1688=1,AA1688&lt;&gt;"",U1688&lt;&gt;"",V1688&lt;&gt;"",AB1688&lt;&gt;"")),"manuell übersteuert; ","")&amp;IF(AND(BW1688=0,R1688=0),"Gebinde unbekannt / Stellmass fehlt; ","")&amp;IF(AND(BW1688=0,N(V1688)&lt;=0,N(Q1688)&lt;=0),"Menge pro Gebinde fehlt (Ist = 1 Gebinde); ","")&amp;BR1688)</f>
        <v>Kein Verbrauch; nur im Artikelstamm (Bestand 23.06.2026)</v>
      </c>
      <c r="BK1688" s="48"/>
      <c r="BL1688" s="48"/>
      <c r="BM1688" s="55"/>
      <c r="BN1688" s="50" t="n">
        <v>3</v>
      </c>
      <c r="BO1688" s="50" t="n">
        <v>0</v>
      </c>
      <c r="BP1688" s="49" t="n">
        <v>0</v>
      </c>
      <c r="BQ1688" s="50" t="n">
        <v>0</v>
      </c>
      <c r="BR1688" s="48" t="s">
        <v>2579</v>
      </c>
      <c r="BS1688" s="53" t="n">
        <v>0</v>
      </c>
      <c r="BT1688" s="53" t="n">
        <v>1688</v>
      </c>
      <c r="BU1688" s="48" t="str">
        <f aca="false">IF(U1688&lt;&gt;"",UPPER(TRIM(U1688)),IF(BX1688=1,UPPER(VLOOKUP(T1688,Parameter!$I$27:$K$29,2,0)),IF(P1688="","LOSE",P1688)))</f>
        <v>S61</v>
      </c>
      <c r="BV1688" s="50" t="n">
        <f aca="false">IF(BU1688="LOSE",1,IF(N(V1688)&gt;0,V1688,IF(BX1688=1,MAX(1,N(VLOOKUP(T1688,Parameter!$I$27:$K$29,3,0)),H1688,N(N1688)),IF(N(Q1688)&gt;0,Q1688,MAX(1,H1688)))))</f>
        <v>5</v>
      </c>
      <c r="BW1688" s="53" t="n">
        <f aca="false">IF(BU1688="LOSE",1,0)</f>
        <v>0</v>
      </c>
      <c r="BX1688" s="53" t="n">
        <f aca="false">IF(AND(U1688="",OR(P1688="",P1688="LOSE"),T1688&lt;&gt;"",N(S1688)&lt;=0,ISNUMBER(MATCH(T1688,Parameter!$I$27:$I$29,0))),1,0)</f>
        <v>0</v>
      </c>
      <c r="BY1688" s="53" t="n">
        <f aca="false">IF(CL1688&gt;0,INDEX(Parameter!$H$5:$H$7,W1688)/INDEX(Parameter!$E$5:$E$7,W1688),IF(AND(BW1688=0,N(IFERROR(VLOOKUP(BU1688,'Gebinde-Kategorie'!$A$5:$N$45,14,0),0))&gt;0),VLOOKUP(BU1688,'Gebinde-Kategorie'!$A$5:$N$45,14,0)*10+Parameter!$M$23,Parameter!$M$24))</f>
        <v>145</v>
      </c>
      <c r="BZ1688" s="48" t="str">
        <f aca="false">IF(AND(Parameter!$B$19="Ja",E1688&lt;&gt;"",ISNUMBER(MATCH(E1688,Parameter!$I$35:$I$52,0))),VLOOKUP(E1688,Parameter!$I$35:$J$52,2,0),IFERROR(VLOOKUP(D1688,Parameter!$A$35:$C$64,2,0),"Nein"))</f>
        <v>2+3</v>
      </c>
      <c r="CA1688" s="52" t="n">
        <f aca="false">IF(BW1688=0,0,IF(N(S1688)&gt;0,S1688,IFERROR(VLOOKUP(D1688,Parameter!$A$35:$C$64,3,0)+0,0)))</f>
        <v>0</v>
      </c>
      <c r="CB1688" s="48" t="n">
        <f aca="false">IF(AA1688&lt;&gt;"",AA1688,Z1688)</f>
        <v>2</v>
      </c>
      <c r="CC1688" s="48" t="str">
        <f aca="false">IF(OR(CB1688=1,CB1688=2,CB1688=3),IF(Parameter!$E$27="Ja","LIFT",IF(CB1688=1,"L1","L23")),IF(CB1688="Aussen","Aussen","-"))</f>
        <v>LIFT</v>
      </c>
      <c r="CD1688" s="59" t="n">
        <f aca="false">IF(N(AB1688)&gt;0,AB1688,0)</f>
        <v>0</v>
      </c>
      <c r="CE1688" s="53" t="n">
        <f aca="false">IF(ISNUMBER(AE1688),1,0)</f>
        <v>0</v>
      </c>
      <c r="CF1688" s="50" t="n">
        <f aca="false">N(AE1688)</f>
        <v>0</v>
      </c>
      <c r="CG1688" s="50" t="n">
        <f aca="false">N(M1688)+N(N1688)</f>
        <v>3</v>
      </c>
      <c r="CH1688" s="50" t="n">
        <f aca="false">ROUNDUP(H1688/BV1688,0)</f>
        <v>1</v>
      </c>
      <c r="CI1688" s="50" t="n">
        <f aca="false">ROUNDUP(CF1688/BV1688,0)</f>
        <v>0</v>
      </c>
      <c r="CJ1688" s="53" t="n">
        <f aca="false">IF(BW1688=1,0,IFERROR(VLOOKUP(BU1688,'Gebinde-Kategorie'!$A$5:$N$45,5,0)+0,0))</f>
        <v>11</v>
      </c>
      <c r="CK1688" s="53" t="n">
        <f aca="false">IFERROR(IF(OR(CB1688=1,CB1688=2,CB1688=3),N(INDEX(Parameter!$I$5:$I$7,CB1688)),0),0)</f>
        <v>0</v>
      </c>
      <c r="CL1688" s="52" t="n">
        <f aca="false">IF(AND(Parameter!$B$21="Ja",ISNUMBER(W1688),N(X1688)&gt;0),IFERROR(N(INDEX(Parameter!$L$5:$L$7,W1688))*INDEX(Parameter!$E$5:$E$7,W1688)*X1688/SUMIFS($X$7:$X$1843,$W$7:$W$1843,W1688),0),0)</f>
        <v>0</v>
      </c>
    </row>
    <row r="1689" customFormat="false" ht="15" hidden="false" customHeight="false" outlineLevel="0" collapsed="false">
      <c r="A1689" s="48" t="s">
        <v>2930</v>
      </c>
      <c r="B1689" s="48" t="s">
        <v>2931</v>
      </c>
      <c r="C1689" s="48" t="s">
        <v>168</v>
      </c>
      <c r="D1689" s="48" t="s">
        <v>177</v>
      </c>
      <c r="E1689" s="48"/>
      <c r="F1689" s="48"/>
      <c r="G1689" s="49" t="n">
        <v>170.2</v>
      </c>
      <c r="H1689" s="50" t="n">
        <f aca="false">MAX(0,IF(AND(Parameter!$B$21="Ja",ISNUMBER(Y1689)),Y1689,IF(Parameter!$B$20="Jahresanfang 2025 + Export",BO1689+BN1689,BN1689)))</f>
        <v>4</v>
      </c>
      <c r="I1689" s="50" t="n">
        <f aca="false">H1689*G1689</f>
        <v>680.8</v>
      </c>
      <c r="J1689" s="50" t="n">
        <f aca="false">BQ1689*Parameter!$B$18</f>
        <v>0</v>
      </c>
      <c r="K1689" s="51"/>
      <c r="L1689" s="52"/>
      <c r="M1689" s="50" t="n">
        <v>0</v>
      </c>
      <c r="N1689" s="50" t="n">
        <v>5</v>
      </c>
      <c r="O1689" s="53" t="n">
        <v>21</v>
      </c>
      <c r="P1689" s="48" t="s">
        <v>190</v>
      </c>
      <c r="Q1689" s="50" t="n">
        <v>4</v>
      </c>
      <c r="R1689" s="53" t="n">
        <f aca="false">IF(BW1689=1,0,IFERROR(VLOOKUP(BU1689,'Gebinde-Kategorie'!$A$5:$N$45,13,0)+0,0))</f>
        <v>12</v>
      </c>
      <c r="S1689" s="54"/>
      <c r="T1689" s="55"/>
      <c r="U1689" s="55"/>
      <c r="V1689" s="55"/>
      <c r="W1689" s="48"/>
      <c r="X1689" s="50"/>
      <c r="Y1689" s="50"/>
      <c r="Z1689" s="48" t="n">
        <f aca="false">IF(A1689="","",IF(AND(Parameter!$B$21="Ja",ISNUMBER(W1689)),W1689,IF(BZ1689="2+3",IF(ISNUMBER(SEARCH("grosser Artikel",BR1689)),2,IFERROR(VLOOKUP(BU1689,Parameter!$F$35:$G$64,2,0),2)),IF(OR(BZ1689="Nein",BZ1689=""),"-",BZ1689))))</f>
        <v>2</v>
      </c>
      <c r="AA1689" s="55"/>
      <c r="AB1689" s="56"/>
      <c r="AC1689" s="50" t="n">
        <f aca="false">AT1689</f>
        <v>8</v>
      </c>
      <c r="AD1689" s="50" t="n">
        <f aca="false">MAX(AT1689,H1689)</f>
        <v>8</v>
      </c>
      <c r="AE1689" s="57"/>
      <c r="AF1689" s="50" t="n">
        <f aca="false">IF(LEFT(Cockpit!$C$5,1)="A",H1689,IF(CE1689=1,CF1689,IF(LEFT(Cockpit!$C$5,1)="B",AK1689,MAX(AK1689,H1689))))</f>
        <v>4</v>
      </c>
      <c r="AG1689" s="50" t="n">
        <f aca="false">IF(BW1689=1,0,ROUNDUP(AF1689/BV1689,0))</f>
        <v>1</v>
      </c>
      <c r="AH1689" s="52" t="n">
        <f aca="false">IF(CL1689&gt;0,CL1689*MAX(1,AF1689/X1689),IF(BW1689=1,IF(AF1689&lt;=0,0,CA1689*MAX(1,IF(H1689&gt;0,AF1689/H1689,1))),IF(R1689&gt;0,AG1689/R1689,0))/MAX(0.1,N(Parameter!$M$21)))</f>
        <v>0.0833333333333333</v>
      </c>
      <c r="AI1689" s="50" t="n">
        <f aca="false">AH1689*BY1689</f>
        <v>12.0833333333333</v>
      </c>
      <c r="AJ1689" s="50" t="n">
        <f aca="false">AF1689*G1689</f>
        <v>680.8</v>
      </c>
      <c r="AK1689" s="50" t="n">
        <f aca="false">ROUNDUP(MAX(J1689/IF(CD1689&gt;0,CD1689,MAX(0.1,N(Cockpit!$C$6))),CG1689)/BV1689,0)*BV1689</f>
        <v>8</v>
      </c>
      <c r="AL1689" s="51" t="n">
        <f aca="false">IF(AI1689&gt;0,J1689/AI1689,-1)</f>
        <v>0</v>
      </c>
      <c r="AM1689" s="51" t="n">
        <f aca="false">IF(AND(OR(CC1689="L1",CC1689="L23",CC1689="LIFT"),AI1689&gt;0),SUMIFS($AI$7:$AI$1843,$CC$7:$CC$1843,CC1689,$AL$7:$AL$1843,"&gt;"&amp;AL1689)+SUMIFS($AI$7:$AI$1843,$CC$7:$CC$1843,CC1689,$AL$7:$AL$1843,AL1689,$BT$7:$BT$1843,"&lt;="&amp;BT1689),"")</f>
        <v>32725.3384268744</v>
      </c>
      <c r="AN1689" s="58" t="n">
        <f aca="false">IF(AM1689="",0,MAX(0,MIN(1,(IF(CC1689="L1",Parameter!$H$5,IF(CC1689="L23",Parameter!$H$6+Parameter!$H$7,Parameter!$H$5+Parameter!$H$6+Parameter!$H$7))-(AM1689-AI1689))/AI1689)))</f>
        <v>1</v>
      </c>
      <c r="AO1689" s="50" t="n">
        <f aca="false">IF(LEFT(Cockpit!$I$5,1)="A",H1689,IF(CE1689=1,CF1689,IF(LEFT(Cockpit!$I$5,1)="B",AT1689,MAX(AT1689,H1689))))</f>
        <v>8</v>
      </c>
      <c r="AP1689" s="50" t="n">
        <f aca="false">IF(BW1689=1,0,ROUNDUP(AO1689/BV1689,0))</f>
        <v>2</v>
      </c>
      <c r="AQ1689" s="52" t="n">
        <f aca="false">IF(CL1689&gt;0,CL1689*MAX(1,AO1689/X1689),IF(BW1689=1,IF(AO1689&lt;=0,0,CA1689*MAX(1,IF(H1689&gt;0,AO1689/H1689,1))),IF(R1689&gt;0,AP1689/R1689,0))/MAX(0.1,N(Parameter!$M$21)))</f>
        <v>0.166666666666667</v>
      </c>
      <c r="AR1689" s="50" t="n">
        <f aca="false">AQ1689*BY1689</f>
        <v>24.1666666666667</v>
      </c>
      <c r="AS1689" s="50" t="n">
        <f aca="false">AO1689*G1689</f>
        <v>1361.6</v>
      </c>
      <c r="AT1689" s="50" t="n">
        <f aca="false">ROUNDUP(MAX(J1689/IF(CD1689&gt;0,CD1689,MAX(0.1,N(Cockpit!$I$6))),CG1689)/BV1689,0)*BV1689</f>
        <v>8</v>
      </c>
      <c r="AU1689" s="51" t="n">
        <f aca="false">IF(AR1689&gt;0,J1689/AR1689,-1)</f>
        <v>0</v>
      </c>
      <c r="AV1689" s="51" t="n">
        <f aca="false">IF(AND(OR(CC1689="L1",CC1689="L23",CC1689="LIFT"),AR1689&gt;0),SUMIFS($AR$7:$AR$1843,$CC$7:$CC$1843,CC1689,$AU$7:$AU$1843,"&gt;"&amp;AU1689)+SUMIFS($AR$7:$AR$1843,$CC$7:$CC$1843,CC1689,$AU$7:$AU$1843,AU1689,$BT$7:$BT$1843,"&lt;="&amp;BT1689),"")</f>
        <v>45404.1074998448</v>
      </c>
      <c r="AW1689" s="58" t="n">
        <f aca="false">IF(AV1689="",0,MAX(0,MIN(1,(IF(CC1689="L1",Parameter!$H$5,IF(CC1689="L23",Parameter!$H$6+Parameter!$H$7,Parameter!$H$5+Parameter!$H$6+Parameter!$H$7))-(AV1689-AR1689))/AR1689)))</f>
        <v>0</v>
      </c>
      <c r="AX1689" s="50" t="n">
        <f aca="false">IF(LEFT(Cockpit!$O$5,1)="A",H1689,IF(CE1689=1,CF1689,IF(LEFT(Cockpit!$O$5,1)="B",BC1689,MAX(BC1689,H1689))))</f>
        <v>8</v>
      </c>
      <c r="AY1689" s="50" t="n">
        <f aca="false">IF(BW1689=1,0,ROUNDUP(AX1689/BV1689,0))</f>
        <v>2</v>
      </c>
      <c r="AZ1689" s="52" t="n">
        <f aca="false">IF(CL1689&gt;0,CL1689*MAX(1,AX1689/X1689),IF(BW1689=1,IF(AX1689&lt;=0,0,CA1689*MAX(1,IF(H1689&gt;0,AX1689/H1689,1))),IF(R1689&gt;0,AY1689/R1689,0))/MAX(0.1,N(Parameter!$M$21)))</f>
        <v>0.166666666666667</v>
      </c>
      <c r="BA1689" s="50" t="n">
        <f aca="false">AZ1689*BY1689</f>
        <v>24.1666666666667</v>
      </c>
      <c r="BB1689" s="50" t="n">
        <f aca="false">AX1689*G1689</f>
        <v>1361.6</v>
      </c>
      <c r="BC1689" s="50" t="n">
        <f aca="false">ROUNDUP(MAX(J1689/IF(CD1689&gt;0,CD1689,MAX(0.1,N(Cockpit!$O$6))),CG1689)/BV1689,0)*BV1689</f>
        <v>8</v>
      </c>
      <c r="BD1689" s="51" t="n">
        <f aca="false">IF(BA1689&gt;0,J1689/BA1689,-1)</f>
        <v>0</v>
      </c>
      <c r="BE1689" s="51" t="n">
        <f aca="false">IF(AND(OR(CC1689="L1",CC1689="L23",CC1689="LIFT"),BA1689&gt;0),SUMIFS($BA$7:$BA$1843,$CC$7:$CC$1843,CC1689,$BD$7:$BD$1843,"&gt;"&amp;BD1689)+SUMIFS($BA$7:$BA$1843,$CC$7:$CC$1843,CC1689,$BD$7:$BD$1843,BD1689,$BT$7:$BT$1843,"&lt;="&amp;BT1689),"")</f>
        <v>42079.1195417107</v>
      </c>
      <c r="BF1689" s="58" t="n">
        <f aca="false">IF(BE1689="",0,MAX(0,MIN(1,(IF(CC1689="L1",Parameter!$H$5,IF(CC1689="L23",Parameter!$H$6+Parameter!$H$7,Parameter!$H$5+Parameter!$H$6+Parameter!$H$7))-(BE1689-BA1689))/BA1689)))</f>
        <v>0</v>
      </c>
      <c r="BG1689" s="48" t="str">
        <f aca="false">IF(AI1689&lt;=0,"",IF(CC1689="Aussen","Aussenlager",IF(CC1689="-","Nicht im Lift",IF(AN1689&gt;=1,"Lift",IF(AN1689&lt;=0,"Aussenlager","teilweise")))))</f>
        <v>Lift</v>
      </c>
      <c r="BH1689" s="48" t="str">
        <f aca="false">IF(AR1689&lt;=0,"",IF(CC1689="Aussen","Aussenlager",IF(CC1689="-","Nicht im Lift",IF(AW1689&gt;=1,"Lift",IF(AW1689&lt;=0,"Aussenlager","teilweise")))))</f>
        <v>Aussenlager</v>
      </c>
      <c r="BI1689" s="48" t="str">
        <f aca="false">IF(BA1689&lt;=0,"",IF(CC1689="Aussen","Aussenlager",IF(CC1689="-","Nicht im Lift",IF(BF1689&gt;=1,"Lift",IF(BF1689&lt;=0,"Aussenlager","teilweise")))))</f>
        <v>Aussenlager</v>
      </c>
      <c r="BJ1689" s="48" t="str">
        <f aca="false">IF(A1689="","",IF(BS1689=1,"Neu; ","")&amp;IF(AND(BS1689=0,BN1689&lt;0),"negativer Bestand (Export "&amp;BN1689&amp;"); ","")&amp;IF(J1689&lt;=0,"Kein Verbrauch; ","")&amp;IF(CL1689&gt;0,"Lift "&amp;W1689&amp;" lt. Liftbericht (Fach "&amp;X1689&amp;" Stk); ",IF(BX1689=1,"Gebinde geschätzt ("&amp;T1689&amp;"); ",IF(BW1689=1,"Lose – Tablare geschätzt; ","")))&amp;IF(H1689&gt;AT1689,"Überbestand "&amp;ROUND(H1689-AT1689,0)&amp;" Stk / CHF "&amp;ROUND((H1689-AT1689)*G1689,0)&amp;"; ","")&amp;IF(AND(CE1689=1,CF1689&lt;CG1689),"MAX &lt; MB+LG; ","")&amp;IF(AND(CK1689&gt;0,CJ1689*10&gt;CK1689),"zu hoch für Tablar; ","")&amp;IF(AND(BS1689=0,OR(CE1689=1,AA1689&lt;&gt;"",U1689&lt;&gt;"",V1689&lt;&gt;"",AB1689&lt;&gt;"")),"manuell übersteuert; ","")&amp;IF(AND(BW1689=0,R1689=0),"Gebinde unbekannt / Stellmass fehlt; ","")&amp;IF(AND(BW1689=0,N(V1689)&lt;=0,N(Q1689)&lt;=0),"Menge pro Gebinde fehlt (Ist = 1 Gebinde); ","")&amp;BR1689)</f>
        <v>Kein Verbrauch; nur im Artikelstamm (Bestand 23.06.2026)</v>
      </c>
      <c r="BK1689" s="48"/>
      <c r="BL1689" s="48"/>
      <c r="BM1689" s="55"/>
      <c r="BN1689" s="50" t="n">
        <v>4</v>
      </c>
      <c r="BO1689" s="50" t="n">
        <v>0</v>
      </c>
      <c r="BP1689" s="49" t="n">
        <v>0</v>
      </c>
      <c r="BQ1689" s="50" t="n">
        <v>0</v>
      </c>
      <c r="BR1689" s="48" t="s">
        <v>2579</v>
      </c>
      <c r="BS1689" s="53" t="n">
        <v>0</v>
      </c>
      <c r="BT1689" s="53" t="n">
        <v>1689</v>
      </c>
      <c r="BU1689" s="48" t="str">
        <f aca="false">IF(U1689&lt;&gt;"",UPPER(TRIM(U1689)),IF(BX1689=1,UPPER(VLOOKUP(T1689,Parameter!$I$27:$K$29,2,0)),IF(P1689="","LOSE",P1689)))</f>
        <v>S61</v>
      </c>
      <c r="BV1689" s="50" t="n">
        <f aca="false">IF(BU1689="LOSE",1,IF(N(V1689)&gt;0,V1689,IF(BX1689=1,MAX(1,N(VLOOKUP(T1689,Parameter!$I$27:$K$29,3,0)),H1689,N(N1689)),IF(N(Q1689)&gt;0,Q1689,MAX(1,H1689)))))</f>
        <v>4</v>
      </c>
      <c r="BW1689" s="53" t="n">
        <f aca="false">IF(BU1689="LOSE",1,0)</f>
        <v>0</v>
      </c>
      <c r="BX1689" s="53" t="n">
        <f aca="false">IF(AND(U1689="",OR(P1689="",P1689="LOSE"),T1689&lt;&gt;"",N(S1689)&lt;=0,ISNUMBER(MATCH(T1689,Parameter!$I$27:$I$29,0))),1,0)</f>
        <v>0</v>
      </c>
      <c r="BY1689" s="53" t="n">
        <f aca="false">IF(CL1689&gt;0,INDEX(Parameter!$H$5:$H$7,W1689)/INDEX(Parameter!$E$5:$E$7,W1689),IF(AND(BW1689=0,N(IFERROR(VLOOKUP(BU1689,'Gebinde-Kategorie'!$A$5:$N$45,14,0),0))&gt;0),VLOOKUP(BU1689,'Gebinde-Kategorie'!$A$5:$N$45,14,0)*10+Parameter!$M$23,Parameter!$M$24))</f>
        <v>145</v>
      </c>
      <c r="BZ1689" s="48" t="str">
        <f aca="false">IF(AND(Parameter!$B$19="Ja",E1689&lt;&gt;"",ISNUMBER(MATCH(E1689,Parameter!$I$35:$I$52,0))),VLOOKUP(E1689,Parameter!$I$35:$J$52,2,0),IFERROR(VLOOKUP(D1689,Parameter!$A$35:$C$64,2,0),"Nein"))</f>
        <v>2+3</v>
      </c>
      <c r="CA1689" s="52" t="n">
        <f aca="false">IF(BW1689=0,0,IF(N(S1689)&gt;0,S1689,IFERROR(VLOOKUP(D1689,Parameter!$A$35:$C$64,3,0)+0,0)))</f>
        <v>0</v>
      </c>
      <c r="CB1689" s="48" t="n">
        <f aca="false">IF(AA1689&lt;&gt;"",AA1689,Z1689)</f>
        <v>2</v>
      </c>
      <c r="CC1689" s="48" t="str">
        <f aca="false">IF(OR(CB1689=1,CB1689=2,CB1689=3),IF(Parameter!$E$27="Ja","LIFT",IF(CB1689=1,"L1","L23")),IF(CB1689="Aussen","Aussen","-"))</f>
        <v>LIFT</v>
      </c>
      <c r="CD1689" s="59" t="n">
        <f aca="false">IF(N(AB1689)&gt;0,AB1689,0)</f>
        <v>0</v>
      </c>
      <c r="CE1689" s="53" t="n">
        <f aca="false">IF(ISNUMBER(AE1689),1,0)</f>
        <v>0</v>
      </c>
      <c r="CF1689" s="50" t="n">
        <f aca="false">N(AE1689)</f>
        <v>0</v>
      </c>
      <c r="CG1689" s="50" t="n">
        <f aca="false">N(M1689)+N(N1689)</f>
        <v>5</v>
      </c>
      <c r="CH1689" s="50" t="n">
        <f aca="false">ROUNDUP(H1689/BV1689,0)</f>
        <v>1</v>
      </c>
      <c r="CI1689" s="50" t="n">
        <f aca="false">ROUNDUP(CF1689/BV1689,0)</f>
        <v>0</v>
      </c>
      <c r="CJ1689" s="53" t="n">
        <f aca="false">IF(BW1689=1,0,IFERROR(VLOOKUP(BU1689,'Gebinde-Kategorie'!$A$5:$N$45,5,0)+0,0))</f>
        <v>11</v>
      </c>
      <c r="CK1689" s="53" t="n">
        <f aca="false">IFERROR(IF(OR(CB1689=1,CB1689=2,CB1689=3),N(INDEX(Parameter!$I$5:$I$7,CB1689)),0),0)</f>
        <v>0</v>
      </c>
      <c r="CL1689" s="52" t="n">
        <f aca="false">IF(AND(Parameter!$B$21="Ja",ISNUMBER(W1689),N(X1689)&gt;0),IFERROR(N(INDEX(Parameter!$L$5:$L$7,W1689))*INDEX(Parameter!$E$5:$E$7,W1689)*X1689/SUMIFS($X$7:$X$1843,$W$7:$W$1843,W1689),0),0)</f>
        <v>0</v>
      </c>
    </row>
    <row r="1690" customFormat="false" ht="15" hidden="false" customHeight="false" outlineLevel="0" collapsed="false">
      <c r="A1690" s="48" t="s">
        <v>2932</v>
      </c>
      <c r="B1690" s="48" t="s">
        <v>2933</v>
      </c>
      <c r="C1690" s="48" t="s">
        <v>168</v>
      </c>
      <c r="D1690" s="48" t="s">
        <v>177</v>
      </c>
      <c r="E1690" s="48"/>
      <c r="F1690" s="48"/>
      <c r="G1690" s="49" t="n">
        <v>295</v>
      </c>
      <c r="H1690" s="50" t="n">
        <f aca="false">MAX(0,IF(AND(Parameter!$B$21="Ja",ISNUMBER(Y1690)),Y1690,IF(Parameter!$B$20="Jahresanfang 2025 + Export",BO1690+BN1690,BN1690)))</f>
        <v>3</v>
      </c>
      <c r="I1690" s="50" t="n">
        <f aca="false">H1690*G1690</f>
        <v>885</v>
      </c>
      <c r="J1690" s="50" t="n">
        <f aca="false">BQ1690*Parameter!$B$18</f>
        <v>0</v>
      </c>
      <c r="K1690" s="51"/>
      <c r="L1690" s="52"/>
      <c r="M1690" s="50" t="n">
        <v>0</v>
      </c>
      <c r="N1690" s="50" t="n">
        <v>3</v>
      </c>
      <c r="O1690" s="53" t="n">
        <v>35</v>
      </c>
      <c r="P1690" s="48" t="s">
        <v>190</v>
      </c>
      <c r="Q1690" s="50" t="n">
        <v>3</v>
      </c>
      <c r="R1690" s="53" t="n">
        <f aca="false">IF(BW1690=1,0,IFERROR(VLOOKUP(BU1690,'Gebinde-Kategorie'!$A$5:$N$45,13,0)+0,0))</f>
        <v>12</v>
      </c>
      <c r="S1690" s="54"/>
      <c r="T1690" s="55"/>
      <c r="U1690" s="55"/>
      <c r="V1690" s="55"/>
      <c r="W1690" s="48"/>
      <c r="X1690" s="50"/>
      <c r="Y1690" s="50"/>
      <c r="Z1690" s="48" t="n">
        <f aca="false">IF(A1690="","",IF(AND(Parameter!$B$21="Ja",ISNUMBER(W1690)),W1690,IF(BZ1690="2+3",IF(ISNUMBER(SEARCH("grosser Artikel",BR1690)),2,IFERROR(VLOOKUP(BU1690,Parameter!$F$35:$G$64,2,0),2)),IF(OR(BZ1690="Nein",BZ1690=""),"-",BZ1690))))</f>
        <v>2</v>
      </c>
      <c r="AA1690" s="55"/>
      <c r="AB1690" s="56"/>
      <c r="AC1690" s="50" t="n">
        <f aca="false">AT1690</f>
        <v>3</v>
      </c>
      <c r="AD1690" s="50" t="n">
        <f aca="false">MAX(AT1690,H1690)</f>
        <v>3</v>
      </c>
      <c r="AE1690" s="57"/>
      <c r="AF1690" s="50" t="n">
        <f aca="false">IF(LEFT(Cockpit!$C$5,1)="A",H1690,IF(CE1690=1,CF1690,IF(LEFT(Cockpit!$C$5,1)="B",AK1690,MAX(AK1690,H1690))))</f>
        <v>3</v>
      </c>
      <c r="AG1690" s="50" t="n">
        <f aca="false">IF(BW1690=1,0,ROUNDUP(AF1690/BV1690,0))</f>
        <v>1</v>
      </c>
      <c r="AH1690" s="52" t="n">
        <f aca="false">IF(CL1690&gt;0,CL1690*MAX(1,AF1690/X1690),IF(BW1690=1,IF(AF1690&lt;=0,0,CA1690*MAX(1,IF(H1690&gt;0,AF1690/H1690,1))),IF(R1690&gt;0,AG1690/R1690,0))/MAX(0.1,N(Parameter!$M$21)))</f>
        <v>0.0833333333333333</v>
      </c>
      <c r="AI1690" s="50" t="n">
        <f aca="false">AH1690*BY1690</f>
        <v>12.0833333333333</v>
      </c>
      <c r="AJ1690" s="50" t="n">
        <f aca="false">AF1690*G1690</f>
        <v>885</v>
      </c>
      <c r="AK1690" s="50" t="n">
        <f aca="false">ROUNDUP(MAX(J1690/IF(CD1690&gt;0,CD1690,MAX(0.1,N(Cockpit!$C$6))),CG1690)/BV1690,0)*BV1690</f>
        <v>3</v>
      </c>
      <c r="AL1690" s="51" t="n">
        <f aca="false">IF(AI1690&gt;0,J1690/AI1690,-1)</f>
        <v>0</v>
      </c>
      <c r="AM1690" s="51" t="n">
        <f aca="false">IF(AND(OR(CC1690="L1",CC1690="L23",CC1690="LIFT"),AI1690&gt;0),SUMIFS($AI$7:$AI$1843,$CC$7:$CC$1843,CC1690,$AL$7:$AL$1843,"&gt;"&amp;AL1690)+SUMIFS($AI$7:$AI$1843,$CC$7:$CC$1843,CC1690,$AL$7:$AL$1843,AL1690,$BT$7:$BT$1843,"&lt;="&amp;BT1690),"")</f>
        <v>32737.4217602078</v>
      </c>
      <c r="AN1690" s="58" t="n">
        <f aca="false">IF(AM1690="",0,MAX(0,MIN(1,(IF(CC1690="L1",Parameter!$H$5,IF(CC1690="L23",Parameter!$H$6+Parameter!$H$7,Parameter!$H$5+Parameter!$H$6+Parameter!$H$7))-(AM1690-AI1690))/AI1690)))</f>
        <v>1</v>
      </c>
      <c r="AO1690" s="50" t="n">
        <f aca="false">IF(LEFT(Cockpit!$I$5,1)="A",H1690,IF(CE1690=1,CF1690,IF(LEFT(Cockpit!$I$5,1)="B",AT1690,MAX(AT1690,H1690))))</f>
        <v>3</v>
      </c>
      <c r="AP1690" s="50" t="n">
        <f aca="false">IF(BW1690=1,0,ROUNDUP(AO1690/BV1690,0))</f>
        <v>1</v>
      </c>
      <c r="AQ1690" s="52" t="n">
        <f aca="false">IF(CL1690&gt;0,CL1690*MAX(1,AO1690/X1690),IF(BW1690=1,IF(AO1690&lt;=0,0,CA1690*MAX(1,IF(H1690&gt;0,AO1690/H1690,1))),IF(R1690&gt;0,AP1690/R1690,0))/MAX(0.1,N(Parameter!$M$21)))</f>
        <v>0.0833333333333333</v>
      </c>
      <c r="AR1690" s="50" t="n">
        <f aca="false">AQ1690*BY1690</f>
        <v>12.0833333333333</v>
      </c>
      <c r="AS1690" s="50" t="n">
        <f aca="false">AO1690*G1690</f>
        <v>885</v>
      </c>
      <c r="AT1690" s="50" t="n">
        <f aca="false">ROUNDUP(MAX(J1690/IF(CD1690&gt;0,CD1690,MAX(0.1,N(Cockpit!$I$6))),CG1690)/BV1690,0)*BV1690</f>
        <v>3</v>
      </c>
      <c r="AU1690" s="51" t="n">
        <f aca="false">IF(AR1690&gt;0,J1690/AR1690,-1)</f>
        <v>0</v>
      </c>
      <c r="AV1690" s="51" t="n">
        <f aca="false">IF(AND(OR(CC1690="L1",CC1690="L23",CC1690="LIFT"),AR1690&gt;0),SUMIFS($AR$7:$AR$1843,$CC$7:$CC$1843,CC1690,$AU$7:$AU$1843,"&gt;"&amp;AU1690)+SUMIFS($AR$7:$AR$1843,$CC$7:$CC$1843,CC1690,$AU$7:$AU$1843,AU1690,$BT$7:$BT$1843,"&lt;="&amp;BT1690),"")</f>
        <v>45416.1908331781</v>
      </c>
      <c r="AW1690" s="58" t="n">
        <f aca="false">IF(AV1690="",0,MAX(0,MIN(1,(IF(CC1690="L1",Parameter!$H$5,IF(CC1690="L23",Parameter!$H$6+Parameter!$H$7,Parameter!$H$5+Parameter!$H$6+Parameter!$H$7))-(AV1690-AR1690))/AR1690)))</f>
        <v>0</v>
      </c>
      <c r="AX1690" s="50" t="n">
        <f aca="false">IF(LEFT(Cockpit!$O$5,1)="A",H1690,IF(CE1690=1,CF1690,IF(LEFT(Cockpit!$O$5,1)="B",BC1690,MAX(BC1690,H1690))))</f>
        <v>3</v>
      </c>
      <c r="AY1690" s="50" t="n">
        <f aca="false">IF(BW1690=1,0,ROUNDUP(AX1690/BV1690,0))</f>
        <v>1</v>
      </c>
      <c r="AZ1690" s="52" t="n">
        <f aca="false">IF(CL1690&gt;0,CL1690*MAX(1,AX1690/X1690),IF(BW1690=1,IF(AX1690&lt;=0,0,CA1690*MAX(1,IF(H1690&gt;0,AX1690/H1690,1))),IF(R1690&gt;0,AY1690/R1690,0))/MAX(0.1,N(Parameter!$M$21)))</f>
        <v>0.0833333333333333</v>
      </c>
      <c r="BA1690" s="50" t="n">
        <f aca="false">AZ1690*BY1690</f>
        <v>12.0833333333333</v>
      </c>
      <c r="BB1690" s="50" t="n">
        <f aca="false">AX1690*G1690</f>
        <v>885</v>
      </c>
      <c r="BC1690" s="50" t="n">
        <f aca="false">ROUNDUP(MAX(J1690/IF(CD1690&gt;0,CD1690,MAX(0.1,N(Cockpit!$O$6))),CG1690)/BV1690,0)*BV1690</f>
        <v>3</v>
      </c>
      <c r="BD1690" s="51" t="n">
        <f aca="false">IF(BA1690&gt;0,J1690/BA1690,-1)</f>
        <v>0</v>
      </c>
      <c r="BE1690" s="51" t="n">
        <f aca="false">IF(AND(OR(CC1690="L1",CC1690="L23",CC1690="LIFT"),BA1690&gt;0),SUMIFS($BA$7:$BA$1843,$CC$7:$CC$1843,CC1690,$BD$7:$BD$1843,"&gt;"&amp;BD1690)+SUMIFS($BA$7:$BA$1843,$CC$7:$CC$1843,CC1690,$BD$7:$BD$1843,BD1690,$BT$7:$BT$1843,"&lt;="&amp;BT1690),"")</f>
        <v>42091.202875044</v>
      </c>
      <c r="BF1690" s="58" t="n">
        <f aca="false">IF(BE1690="",0,MAX(0,MIN(1,(IF(CC1690="L1",Parameter!$H$5,IF(CC1690="L23",Parameter!$H$6+Parameter!$H$7,Parameter!$H$5+Parameter!$H$6+Parameter!$H$7))-(BE1690-BA1690))/BA1690)))</f>
        <v>0</v>
      </c>
      <c r="BG1690" s="48" t="str">
        <f aca="false">IF(AI1690&lt;=0,"",IF(CC1690="Aussen","Aussenlager",IF(CC1690="-","Nicht im Lift",IF(AN1690&gt;=1,"Lift",IF(AN1690&lt;=0,"Aussenlager","teilweise")))))</f>
        <v>Lift</v>
      </c>
      <c r="BH1690" s="48" t="str">
        <f aca="false">IF(AR1690&lt;=0,"",IF(CC1690="Aussen","Aussenlager",IF(CC1690="-","Nicht im Lift",IF(AW1690&gt;=1,"Lift",IF(AW1690&lt;=0,"Aussenlager","teilweise")))))</f>
        <v>Aussenlager</v>
      </c>
      <c r="BI1690" s="48" t="str">
        <f aca="false">IF(BA1690&lt;=0,"",IF(CC1690="Aussen","Aussenlager",IF(CC1690="-","Nicht im Lift",IF(BF1690&gt;=1,"Lift",IF(BF1690&lt;=0,"Aussenlager","teilweise")))))</f>
        <v>Aussenlager</v>
      </c>
      <c r="BJ1690" s="48" t="str">
        <f aca="false">IF(A1690="","",IF(BS1690=1,"Neu; ","")&amp;IF(AND(BS1690=0,BN1690&lt;0),"negativer Bestand (Export "&amp;BN1690&amp;"); ","")&amp;IF(J1690&lt;=0,"Kein Verbrauch; ","")&amp;IF(CL1690&gt;0,"Lift "&amp;W1690&amp;" lt. Liftbericht (Fach "&amp;X1690&amp;" Stk); ",IF(BX1690=1,"Gebinde geschätzt ("&amp;T1690&amp;"); ",IF(BW1690=1,"Lose – Tablare geschätzt; ","")))&amp;IF(H1690&gt;AT1690,"Überbestand "&amp;ROUND(H1690-AT1690,0)&amp;" Stk / CHF "&amp;ROUND((H1690-AT1690)*G1690,0)&amp;"; ","")&amp;IF(AND(CE1690=1,CF1690&lt;CG1690),"MAX &lt; MB+LG; ","")&amp;IF(AND(CK1690&gt;0,CJ1690*10&gt;CK1690),"zu hoch für Tablar; ","")&amp;IF(AND(BS1690=0,OR(CE1690=1,AA1690&lt;&gt;"",U1690&lt;&gt;"",V1690&lt;&gt;"",AB1690&lt;&gt;"")),"manuell übersteuert; ","")&amp;IF(AND(BW1690=0,R1690=0),"Gebinde unbekannt / Stellmass fehlt; ","")&amp;IF(AND(BW1690=0,N(V1690)&lt;=0,N(Q1690)&lt;=0),"Menge pro Gebinde fehlt (Ist = 1 Gebinde); ","")&amp;BR1690)</f>
        <v>Kein Verbrauch; nur im Artikelstamm (Bestand 23.06.2026); Neuer Art.</v>
      </c>
      <c r="BK1690" s="48"/>
      <c r="BL1690" s="48"/>
      <c r="BM1690" s="55"/>
      <c r="BN1690" s="50" t="n">
        <v>3</v>
      </c>
      <c r="BO1690" s="50" t="n">
        <v>0</v>
      </c>
      <c r="BP1690" s="49" t="n">
        <v>0</v>
      </c>
      <c r="BQ1690" s="50" t="n">
        <v>0</v>
      </c>
      <c r="BR1690" s="48" t="s">
        <v>2877</v>
      </c>
      <c r="BS1690" s="53" t="n">
        <v>0</v>
      </c>
      <c r="BT1690" s="53" t="n">
        <v>1690</v>
      </c>
      <c r="BU1690" s="48" t="str">
        <f aca="false">IF(U1690&lt;&gt;"",UPPER(TRIM(U1690)),IF(BX1690=1,UPPER(VLOOKUP(T1690,Parameter!$I$27:$K$29,2,0)),IF(P1690="","LOSE",P1690)))</f>
        <v>S61</v>
      </c>
      <c r="BV1690" s="50" t="n">
        <f aca="false">IF(BU1690="LOSE",1,IF(N(V1690)&gt;0,V1690,IF(BX1690=1,MAX(1,N(VLOOKUP(T1690,Parameter!$I$27:$K$29,3,0)),H1690,N(N1690)),IF(N(Q1690)&gt;0,Q1690,MAX(1,H1690)))))</f>
        <v>3</v>
      </c>
      <c r="BW1690" s="53" t="n">
        <f aca="false">IF(BU1690="LOSE",1,0)</f>
        <v>0</v>
      </c>
      <c r="BX1690" s="53" t="n">
        <f aca="false">IF(AND(U1690="",OR(P1690="",P1690="LOSE"),T1690&lt;&gt;"",N(S1690)&lt;=0,ISNUMBER(MATCH(T1690,Parameter!$I$27:$I$29,0))),1,0)</f>
        <v>0</v>
      </c>
      <c r="BY1690" s="53" t="n">
        <f aca="false">IF(CL1690&gt;0,INDEX(Parameter!$H$5:$H$7,W1690)/INDEX(Parameter!$E$5:$E$7,W1690),IF(AND(BW1690=0,N(IFERROR(VLOOKUP(BU1690,'Gebinde-Kategorie'!$A$5:$N$45,14,0),0))&gt;0),VLOOKUP(BU1690,'Gebinde-Kategorie'!$A$5:$N$45,14,0)*10+Parameter!$M$23,Parameter!$M$24))</f>
        <v>145</v>
      </c>
      <c r="BZ1690" s="48" t="str">
        <f aca="false">IF(AND(Parameter!$B$19="Ja",E1690&lt;&gt;"",ISNUMBER(MATCH(E1690,Parameter!$I$35:$I$52,0))),VLOOKUP(E1690,Parameter!$I$35:$J$52,2,0),IFERROR(VLOOKUP(D1690,Parameter!$A$35:$C$64,2,0),"Nein"))</f>
        <v>2+3</v>
      </c>
      <c r="CA1690" s="52" t="n">
        <f aca="false">IF(BW1690=0,0,IF(N(S1690)&gt;0,S1690,IFERROR(VLOOKUP(D1690,Parameter!$A$35:$C$64,3,0)+0,0)))</f>
        <v>0</v>
      </c>
      <c r="CB1690" s="48" t="n">
        <f aca="false">IF(AA1690&lt;&gt;"",AA1690,Z1690)</f>
        <v>2</v>
      </c>
      <c r="CC1690" s="48" t="str">
        <f aca="false">IF(OR(CB1690=1,CB1690=2,CB1690=3),IF(Parameter!$E$27="Ja","LIFT",IF(CB1690=1,"L1","L23")),IF(CB1690="Aussen","Aussen","-"))</f>
        <v>LIFT</v>
      </c>
      <c r="CD1690" s="59" t="n">
        <f aca="false">IF(N(AB1690)&gt;0,AB1690,0)</f>
        <v>0</v>
      </c>
      <c r="CE1690" s="53" t="n">
        <f aca="false">IF(ISNUMBER(AE1690),1,0)</f>
        <v>0</v>
      </c>
      <c r="CF1690" s="50" t="n">
        <f aca="false">N(AE1690)</f>
        <v>0</v>
      </c>
      <c r="CG1690" s="50" t="n">
        <f aca="false">N(M1690)+N(N1690)</f>
        <v>3</v>
      </c>
      <c r="CH1690" s="50" t="n">
        <f aca="false">ROUNDUP(H1690/BV1690,0)</f>
        <v>1</v>
      </c>
      <c r="CI1690" s="50" t="n">
        <f aca="false">ROUNDUP(CF1690/BV1690,0)</f>
        <v>0</v>
      </c>
      <c r="CJ1690" s="53" t="n">
        <f aca="false">IF(BW1690=1,0,IFERROR(VLOOKUP(BU1690,'Gebinde-Kategorie'!$A$5:$N$45,5,0)+0,0))</f>
        <v>11</v>
      </c>
      <c r="CK1690" s="53" t="n">
        <f aca="false">IFERROR(IF(OR(CB1690=1,CB1690=2,CB1690=3),N(INDEX(Parameter!$I$5:$I$7,CB1690)),0),0)</f>
        <v>0</v>
      </c>
      <c r="CL1690" s="52" t="n">
        <f aca="false">IF(AND(Parameter!$B$21="Ja",ISNUMBER(W1690),N(X1690)&gt;0),IFERROR(N(INDEX(Parameter!$L$5:$L$7,W1690))*INDEX(Parameter!$E$5:$E$7,W1690)*X1690/SUMIFS($X$7:$X$1843,$W$7:$W$1843,W1690),0),0)</f>
        <v>0</v>
      </c>
    </row>
    <row r="1691" customFormat="false" ht="15" hidden="false" customHeight="false" outlineLevel="0" collapsed="false">
      <c r="A1691" s="48" t="s">
        <v>2934</v>
      </c>
      <c r="B1691" s="48" t="s">
        <v>566</v>
      </c>
      <c r="C1691" s="48" t="s">
        <v>168</v>
      </c>
      <c r="D1691" s="48" t="s">
        <v>188</v>
      </c>
      <c r="E1691" s="48"/>
      <c r="F1691" s="48"/>
      <c r="G1691" s="49" t="n">
        <v>127</v>
      </c>
      <c r="H1691" s="50" t="n">
        <f aca="false">MAX(0,IF(AND(Parameter!$B$21="Ja",ISNUMBER(Y1691)),Y1691,IF(Parameter!$B$20="Jahresanfang 2025 + Export",BO1691+BN1691,BN1691)))</f>
        <v>23</v>
      </c>
      <c r="I1691" s="50" t="n">
        <f aca="false">H1691*G1691</f>
        <v>2921</v>
      </c>
      <c r="J1691" s="50" t="n">
        <f aca="false">BQ1691*Parameter!$B$18</f>
        <v>0</v>
      </c>
      <c r="K1691" s="51"/>
      <c r="L1691" s="52"/>
      <c r="M1691" s="50" t="n">
        <v>0</v>
      </c>
      <c r="N1691" s="50" t="n">
        <v>1</v>
      </c>
      <c r="O1691" s="53" t="n">
        <v>35</v>
      </c>
      <c r="P1691" s="48" t="s">
        <v>306</v>
      </c>
      <c r="Q1691" s="50" t="n">
        <v>20</v>
      </c>
      <c r="R1691" s="53" t="n">
        <f aca="false">IF(BW1691=1,0,IFERROR(VLOOKUP(BU1691,'Gebinde-Kategorie'!$A$5:$N$45,13,0)+0,0))</f>
        <v>26</v>
      </c>
      <c r="S1691" s="54"/>
      <c r="T1691" s="55"/>
      <c r="U1691" s="55"/>
      <c r="V1691" s="55"/>
      <c r="W1691" s="48"/>
      <c r="X1691" s="50"/>
      <c r="Y1691" s="50"/>
      <c r="Z1691" s="48" t="n">
        <f aca="false">IF(A1691="","",IF(AND(Parameter!$B$21="Ja",ISNUMBER(W1691)),W1691,IF(BZ1691="2+3",IF(ISNUMBER(SEARCH("grosser Artikel",BR1691)),2,IFERROR(VLOOKUP(BU1691,Parameter!$F$35:$G$64,2,0),2)),IF(OR(BZ1691="Nein",BZ1691=""),"-",BZ1691))))</f>
        <v>3</v>
      </c>
      <c r="AA1691" s="55"/>
      <c r="AB1691" s="56"/>
      <c r="AC1691" s="50" t="n">
        <f aca="false">AT1691</f>
        <v>20</v>
      </c>
      <c r="AD1691" s="50" t="n">
        <f aca="false">MAX(AT1691,H1691)</f>
        <v>23</v>
      </c>
      <c r="AE1691" s="57"/>
      <c r="AF1691" s="50" t="n">
        <f aca="false">IF(LEFT(Cockpit!$C$5,1)="A",H1691,IF(CE1691=1,CF1691,IF(LEFT(Cockpit!$C$5,1)="B",AK1691,MAX(AK1691,H1691))))</f>
        <v>23</v>
      </c>
      <c r="AG1691" s="50" t="n">
        <f aca="false">IF(BW1691=1,0,ROUNDUP(AF1691/BV1691,0))</f>
        <v>2</v>
      </c>
      <c r="AH1691" s="52" t="n">
        <f aca="false">IF(CL1691&gt;0,CL1691*MAX(1,AF1691/X1691),IF(BW1691=1,IF(AF1691&lt;=0,0,CA1691*MAX(1,IF(H1691&gt;0,AF1691/H1691,1))),IF(R1691&gt;0,AG1691/R1691,0))/MAX(0.1,N(Parameter!$M$21)))</f>
        <v>0.0769230769230769</v>
      </c>
      <c r="AI1691" s="50" t="n">
        <f aca="false">AH1691*BY1691</f>
        <v>11.9230769230769</v>
      </c>
      <c r="AJ1691" s="50" t="n">
        <f aca="false">AF1691*G1691</f>
        <v>2921</v>
      </c>
      <c r="AK1691" s="50" t="n">
        <f aca="false">ROUNDUP(MAX(J1691/IF(CD1691&gt;0,CD1691,MAX(0.1,N(Cockpit!$C$6))),CG1691)/BV1691,0)*BV1691</f>
        <v>20</v>
      </c>
      <c r="AL1691" s="51" t="n">
        <f aca="false">IF(AI1691&gt;0,J1691/AI1691,-1)</f>
        <v>0</v>
      </c>
      <c r="AM1691" s="51" t="n">
        <f aca="false">IF(AND(OR(CC1691="L1",CC1691="L23",CC1691="LIFT"),AI1691&gt;0),SUMIFS($AI$7:$AI$1843,$CC$7:$CC$1843,CC1691,$AL$7:$AL$1843,"&gt;"&amp;AL1691)+SUMIFS($AI$7:$AI$1843,$CC$7:$CC$1843,CC1691,$AL$7:$AL$1843,AL1691,$BT$7:$BT$1843,"&lt;="&amp;BT1691),"")</f>
        <v>32749.3448371309</v>
      </c>
      <c r="AN1691" s="58" t="n">
        <f aca="false">IF(AM1691="",0,MAX(0,MIN(1,(IF(CC1691="L1",Parameter!$H$5,IF(CC1691="L23",Parameter!$H$6+Parameter!$H$7,Parameter!$H$5+Parameter!$H$6+Parameter!$H$7))-(AM1691-AI1691))/AI1691)))</f>
        <v>1</v>
      </c>
      <c r="AO1691" s="50" t="n">
        <f aca="false">IF(LEFT(Cockpit!$I$5,1)="A",H1691,IF(CE1691=1,CF1691,IF(LEFT(Cockpit!$I$5,1)="B",AT1691,MAX(AT1691,H1691))))</f>
        <v>23</v>
      </c>
      <c r="AP1691" s="50" t="n">
        <f aca="false">IF(BW1691=1,0,ROUNDUP(AO1691/BV1691,0))</f>
        <v>2</v>
      </c>
      <c r="AQ1691" s="52" t="n">
        <f aca="false">IF(CL1691&gt;0,CL1691*MAX(1,AO1691/X1691),IF(BW1691=1,IF(AO1691&lt;=0,0,CA1691*MAX(1,IF(H1691&gt;0,AO1691/H1691,1))),IF(R1691&gt;0,AP1691/R1691,0))/MAX(0.1,N(Parameter!$M$21)))</f>
        <v>0.0769230769230769</v>
      </c>
      <c r="AR1691" s="50" t="n">
        <f aca="false">AQ1691*BY1691</f>
        <v>11.9230769230769</v>
      </c>
      <c r="AS1691" s="50" t="n">
        <f aca="false">AO1691*G1691</f>
        <v>2921</v>
      </c>
      <c r="AT1691" s="50" t="n">
        <f aca="false">ROUNDUP(MAX(J1691/IF(CD1691&gt;0,CD1691,MAX(0.1,N(Cockpit!$I$6))),CG1691)/BV1691,0)*BV1691</f>
        <v>20</v>
      </c>
      <c r="AU1691" s="51" t="n">
        <f aca="false">IF(AR1691&gt;0,J1691/AR1691,-1)</f>
        <v>0</v>
      </c>
      <c r="AV1691" s="51" t="n">
        <f aca="false">IF(AND(OR(CC1691="L1",CC1691="L23",CC1691="LIFT"),AR1691&gt;0),SUMIFS($AR$7:$AR$1843,$CC$7:$CC$1843,CC1691,$AU$7:$AU$1843,"&gt;"&amp;AU1691)+SUMIFS($AR$7:$AR$1843,$CC$7:$CC$1843,CC1691,$AU$7:$AU$1843,AU1691,$BT$7:$BT$1843,"&lt;="&amp;BT1691),"")</f>
        <v>45428.1139101012</v>
      </c>
      <c r="AW1691" s="58" t="n">
        <f aca="false">IF(AV1691="",0,MAX(0,MIN(1,(IF(CC1691="L1",Parameter!$H$5,IF(CC1691="L23",Parameter!$H$6+Parameter!$H$7,Parameter!$H$5+Parameter!$H$6+Parameter!$H$7))-(AV1691-AR1691))/AR1691)))</f>
        <v>0</v>
      </c>
      <c r="AX1691" s="50" t="n">
        <f aca="false">IF(LEFT(Cockpit!$O$5,1)="A",H1691,IF(CE1691=1,CF1691,IF(LEFT(Cockpit!$O$5,1)="B",BC1691,MAX(BC1691,H1691))))</f>
        <v>23</v>
      </c>
      <c r="AY1691" s="50" t="n">
        <f aca="false">IF(BW1691=1,0,ROUNDUP(AX1691/BV1691,0))</f>
        <v>2</v>
      </c>
      <c r="AZ1691" s="52" t="n">
        <f aca="false">IF(CL1691&gt;0,CL1691*MAX(1,AX1691/X1691),IF(BW1691=1,IF(AX1691&lt;=0,0,CA1691*MAX(1,IF(H1691&gt;0,AX1691/H1691,1))),IF(R1691&gt;0,AY1691/R1691,0))/MAX(0.1,N(Parameter!$M$21)))</f>
        <v>0.0769230769230769</v>
      </c>
      <c r="BA1691" s="50" t="n">
        <f aca="false">AZ1691*BY1691</f>
        <v>11.9230769230769</v>
      </c>
      <c r="BB1691" s="50" t="n">
        <f aca="false">AX1691*G1691</f>
        <v>2921</v>
      </c>
      <c r="BC1691" s="50" t="n">
        <f aca="false">ROUNDUP(MAX(J1691/IF(CD1691&gt;0,CD1691,MAX(0.1,N(Cockpit!$O$6))),CG1691)/BV1691,0)*BV1691</f>
        <v>20</v>
      </c>
      <c r="BD1691" s="51" t="n">
        <f aca="false">IF(BA1691&gt;0,J1691/BA1691,-1)</f>
        <v>0</v>
      </c>
      <c r="BE1691" s="51" t="n">
        <f aca="false">IF(AND(OR(CC1691="L1",CC1691="L23",CC1691="LIFT"),BA1691&gt;0),SUMIFS($BA$7:$BA$1843,$CC$7:$CC$1843,CC1691,$BD$7:$BD$1843,"&gt;"&amp;BD1691)+SUMIFS($BA$7:$BA$1843,$CC$7:$CC$1843,CC1691,$BD$7:$BD$1843,BD1691,$BT$7:$BT$1843,"&lt;="&amp;BT1691),"")</f>
        <v>42103.1259519671</v>
      </c>
      <c r="BF1691" s="58" t="n">
        <f aca="false">IF(BE1691="",0,MAX(0,MIN(1,(IF(CC1691="L1",Parameter!$H$5,IF(CC1691="L23",Parameter!$H$6+Parameter!$H$7,Parameter!$H$5+Parameter!$H$6+Parameter!$H$7))-(BE1691-BA1691))/BA1691)))</f>
        <v>0</v>
      </c>
      <c r="BG1691" s="48" t="str">
        <f aca="false">IF(AI1691&lt;=0,"",IF(CC1691="Aussen","Aussenlager",IF(CC1691="-","Nicht im Lift",IF(AN1691&gt;=1,"Lift",IF(AN1691&lt;=0,"Aussenlager","teilweise")))))</f>
        <v>Lift</v>
      </c>
      <c r="BH1691" s="48" t="str">
        <f aca="false">IF(AR1691&lt;=0,"",IF(CC1691="Aussen","Aussenlager",IF(CC1691="-","Nicht im Lift",IF(AW1691&gt;=1,"Lift",IF(AW1691&lt;=0,"Aussenlager","teilweise")))))</f>
        <v>Aussenlager</v>
      </c>
      <c r="BI1691" s="48" t="str">
        <f aca="false">IF(BA1691&lt;=0,"",IF(CC1691="Aussen","Aussenlager",IF(CC1691="-","Nicht im Lift",IF(BF1691&gt;=1,"Lift",IF(BF1691&lt;=0,"Aussenlager","teilweise")))))</f>
        <v>Aussenlager</v>
      </c>
      <c r="BJ1691" s="48" t="str">
        <f aca="false">IF(A1691="","",IF(BS1691=1,"Neu; ","")&amp;IF(AND(BS1691=0,BN1691&lt;0),"negativer Bestand (Export "&amp;BN1691&amp;"); ","")&amp;IF(J1691&lt;=0,"Kein Verbrauch; ","")&amp;IF(CL1691&gt;0,"Lift "&amp;W1691&amp;" lt. Liftbericht (Fach "&amp;X1691&amp;" Stk); ",IF(BX1691=1,"Gebinde geschätzt ("&amp;T1691&amp;"); ",IF(BW1691=1,"Lose – Tablare geschätzt; ","")))&amp;IF(H1691&gt;AT1691,"Überbestand "&amp;ROUND(H1691-AT1691,0)&amp;" Stk / CHF "&amp;ROUND((H1691-AT1691)*G1691,0)&amp;"; ","")&amp;IF(AND(CE1691=1,CF1691&lt;CG1691),"MAX &lt; MB+LG; ","")&amp;IF(AND(CK1691&gt;0,CJ1691*10&gt;CK1691),"zu hoch für Tablar; ","")&amp;IF(AND(BS1691=0,OR(CE1691=1,AA1691&lt;&gt;"",U1691&lt;&gt;"",V1691&lt;&gt;"",AB1691&lt;&gt;"")),"manuell übersteuert; ","")&amp;IF(AND(BW1691=0,R1691=0),"Gebinde unbekannt / Stellmass fehlt; ","")&amp;IF(AND(BW1691=0,N(V1691)&lt;=0,N(Q1691)&lt;=0),"Menge pro Gebinde fehlt (Ist = 1 Gebinde); ","")&amp;BR1691)</f>
        <v>Kein Verbrauch; Überbestand 3 Stk / CHF 381; nur im Artikelstamm (Bestand 23.06.2026)</v>
      </c>
      <c r="BK1691" s="48"/>
      <c r="BL1691" s="48"/>
      <c r="BM1691" s="55"/>
      <c r="BN1691" s="50" t="n">
        <v>23</v>
      </c>
      <c r="BO1691" s="50" t="n">
        <v>0</v>
      </c>
      <c r="BP1691" s="49" t="n">
        <v>0</v>
      </c>
      <c r="BQ1691" s="50" t="n">
        <v>0</v>
      </c>
      <c r="BR1691" s="48" t="s">
        <v>2579</v>
      </c>
      <c r="BS1691" s="53" t="n">
        <v>0</v>
      </c>
      <c r="BT1691" s="53" t="n">
        <v>1691</v>
      </c>
      <c r="BU1691" s="48" t="str">
        <f aca="false">IF(U1691&lt;&gt;"",UPPER(TRIM(U1691)),IF(BX1691=1,UPPER(VLOOKUP(T1691,Parameter!$I$27:$K$29,2,0)),IF(P1691="","LOSE",P1691)))</f>
        <v>S51</v>
      </c>
      <c r="BV1691" s="50" t="n">
        <f aca="false">IF(BU1691="LOSE",1,IF(N(V1691)&gt;0,V1691,IF(BX1691=1,MAX(1,N(VLOOKUP(T1691,Parameter!$I$27:$K$29,3,0)),H1691,N(N1691)),IF(N(Q1691)&gt;0,Q1691,MAX(1,H1691)))))</f>
        <v>20</v>
      </c>
      <c r="BW1691" s="53" t="n">
        <f aca="false">IF(BU1691="LOSE",1,0)</f>
        <v>0</v>
      </c>
      <c r="BX1691" s="53" t="n">
        <f aca="false">IF(AND(U1691="",OR(P1691="",P1691="LOSE"),T1691&lt;&gt;"",N(S1691)&lt;=0,ISNUMBER(MATCH(T1691,Parameter!$I$27:$I$29,0))),1,0)</f>
        <v>0</v>
      </c>
      <c r="BY1691" s="53" t="n">
        <f aca="false">IF(CL1691&gt;0,INDEX(Parameter!$H$5:$H$7,W1691)/INDEX(Parameter!$E$5:$E$7,W1691),IF(AND(BW1691=0,N(IFERROR(VLOOKUP(BU1691,'Gebinde-Kategorie'!$A$5:$N$45,14,0),0))&gt;0),VLOOKUP(BU1691,'Gebinde-Kategorie'!$A$5:$N$45,14,0)*10+Parameter!$M$23,Parameter!$M$24))</f>
        <v>155</v>
      </c>
      <c r="BZ1691" s="48" t="str">
        <f aca="false">IF(AND(Parameter!$B$19="Ja",E1691&lt;&gt;"",ISNUMBER(MATCH(E1691,Parameter!$I$35:$I$52,0))),VLOOKUP(E1691,Parameter!$I$35:$J$52,2,0),IFERROR(VLOOKUP(D1691,Parameter!$A$35:$C$64,2,0),"Nein"))</f>
        <v>2+3</v>
      </c>
      <c r="CA1691" s="52" t="n">
        <f aca="false">IF(BW1691=0,0,IF(N(S1691)&gt;0,S1691,IFERROR(VLOOKUP(D1691,Parameter!$A$35:$C$64,3,0)+0,0)))</f>
        <v>0</v>
      </c>
      <c r="CB1691" s="48" t="n">
        <f aca="false">IF(AA1691&lt;&gt;"",AA1691,Z1691)</f>
        <v>3</v>
      </c>
      <c r="CC1691" s="48" t="str">
        <f aca="false">IF(OR(CB1691=1,CB1691=2,CB1691=3),IF(Parameter!$E$27="Ja","LIFT",IF(CB1691=1,"L1","L23")),IF(CB1691="Aussen","Aussen","-"))</f>
        <v>LIFT</v>
      </c>
      <c r="CD1691" s="59" t="n">
        <f aca="false">IF(N(AB1691)&gt;0,AB1691,0)</f>
        <v>0</v>
      </c>
      <c r="CE1691" s="53" t="n">
        <f aca="false">IF(ISNUMBER(AE1691),1,0)</f>
        <v>0</v>
      </c>
      <c r="CF1691" s="50" t="n">
        <f aca="false">N(AE1691)</f>
        <v>0</v>
      </c>
      <c r="CG1691" s="50" t="n">
        <f aca="false">N(M1691)+N(N1691)</f>
        <v>1</v>
      </c>
      <c r="CH1691" s="50" t="n">
        <f aca="false">ROUNDUP(H1691/BV1691,0)</f>
        <v>2</v>
      </c>
      <c r="CI1691" s="50" t="n">
        <f aca="false">ROUNDUP(CF1691/BV1691,0)</f>
        <v>0</v>
      </c>
      <c r="CJ1691" s="53" t="n">
        <f aca="false">IF(BW1691=1,0,IFERROR(VLOOKUP(BU1691,'Gebinde-Kategorie'!$A$5:$N$45,5,0)+0,0))</f>
        <v>11</v>
      </c>
      <c r="CK1691" s="53" t="n">
        <f aca="false">IFERROR(IF(OR(CB1691=1,CB1691=2,CB1691=3),N(INDEX(Parameter!$I$5:$I$7,CB1691)),0),0)</f>
        <v>0</v>
      </c>
      <c r="CL1691" s="52" t="n">
        <f aca="false">IF(AND(Parameter!$B$21="Ja",ISNUMBER(W1691),N(X1691)&gt;0),IFERROR(N(INDEX(Parameter!$L$5:$L$7,W1691))*INDEX(Parameter!$E$5:$E$7,W1691)*X1691/SUMIFS($X$7:$X$1843,$W$7:$W$1843,W1691),0),0)</f>
        <v>0</v>
      </c>
    </row>
    <row r="1692" customFormat="false" ht="15" hidden="false" customHeight="false" outlineLevel="0" collapsed="false">
      <c r="A1692" s="48" t="s">
        <v>2935</v>
      </c>
      <c r="B1692" s="48" t="s">
        <v>536</v>
      </c>
      <c r="C1692" s="48" t="s">
        <v>168</v>
      </c>
      <c r="D1692" s="48" t="s">
        <v>188</v>
      </c>
      <c r="E1692" s="48"/>
      <c r="F1692" s="48"/>
      <c r="G1692" s="49" t="n">
        <v>15.36</v>
      </c>
      <c r="H1692" s="50" t="n">
        <f aca="false">MAX(0,IF(AND(Parameter!$B$21="Ja",ISNUMBER(Y1692)),Y1692,IF(Parameter!$B$20="Jahresanfang 2025 + Export",BO1692+BN1692,BN1692)))</f>
        <v>11</v>
      </c>
      <c r="I1692" s="50" t="n">
        <f aca="false">H1692*G1692</f>
        <v>168.96</v>
      </c>
      <c r="J1692" s="50" t="n">
        <f aca="false">BQ1692*Parameter!$B$18</f>
        <v>0</v>
      </c>
      <c r="K1692" s="51"/>
      <c r="L1692" s="52"/>
      <c r="M1692" s="50" t="n">
        <v>0</v>
      </c>
      <c r="N1692" s="50" t="n">
        <v>1</v>
      </c>
      <c r="O1692" s="53" t="n">
        <v>97</v>
      </c>
      <c r="P1692" s="48" t="s">
        <v>306</v>
      </c>
      <c r="Q1692" s="50" t="n">
        <v>17</v>
      </c>
      <c r="R1692" s="53" t="n">
        <f aca="false">IF(BW1692=1,0,IFERROR(VLOOKUP(BU1692,'Gebinde-Kategorie'!$A$5:$N$45,13,0)+0,0))</f>
        <v>26</v>
      </c>
      <c r="S1692" s="54"/>
      <c r="T1692" s="55"/>
      <c r="U1692" s="55"/>
      <c r="V1692" s="55"/>
      <c r="W1692" s="48"/>
      <c r="X1692" s="50"/>
      <c r="Y1692" s="50"/>
      <c r="Z1692" s="48" t="n">
        <f aca="false">IF(A1692="","",IF(AND(Parameter!$B$21="Ja",ISNUMBER(W1692)),W1692,IF(BZ1692="2+3",IF(ISNUMBER(SEARCH("grosser Artikel",BR1692)),2,IFERROR(VLOOKUP(BU1692,Parameter!$F$35:$G$64,2,0),2)),IF(OR(BZ1692="Nein",BZ1692=""),"-",BZ1692))))</f>
        <v>3</v>
      </c>
      <c r="AA1692" s="55"/>
      <c r="AB1692" s="56"/>
      <c r="AC1692" s="50" t="n">
        <f aca="false">AT1692</f>
        <v>17</v>
      </c>
      <c r="AD1692" s="50" t="n">
        <f aca="false">MAX(AT1692,H1692)</f>
        <v>17</v>
      </c>
      <c r="AE1692" s="57"/>
      <c r="AF1692" s="50" t="n">
        <f aca="false">IF(LEFT(Cockpit!$C$5,1)="A",H1692,IF(CE1692=1,CF1692,IF(LEFT(Cockpit!$C$5,1)="B",AK1692,MAX(AK1692,H1692))))</f>
        <v>11</v>
      </c>
      <c r="AG1692" s="50" t="n">
        <f aca="false">IF(BW1692=1,0,ROUNDUP(AF1692/BV1692,0))</f>
        <v>1</v>
      </c>
      <c r="AH1692" s="52" t="n">
        <f aca="false">IF(CL1692&gt;0,CL1692*MAX(1,AF1692/X1692),IF(BW1692=1,IF(AF1692&lt;=0,0,CA1692*MAX(1,IF(H1692&gt;0,AF1692/H1692,1))),IF(R1692&gt;0,AG1692/R1692,0))/MAX(0.1,N(Parameter!$M$21)))</f>
        <v>0.0384615384615385</v>
      </c>
      <c r="AI1692" s="50" t="n">
        <f aca="false">AH1692*BY1692</f>
        <v>5.96153846153846</v>
      </c>
      <c r="AJ1692" s="50" t="n">
        <f aca="false">AF1692*G1692</f>
        <v>168.96</v>
      </c>
      <c r="AK1692" s="50" t="n">
        <f aca="false">ROUNDUP(MAX(J1692/IF(CD1692&gt;0,CD1692,MAX(0.1,N(Cockpit!$C$6))),CG1692)/BV1692,0)*BV1692</f>
        <v>17</v>
      </c>
      <c r="AL1692" s="51" t="n">
        <f aca="false">IF(AI1692&gt;0,J1692/AI1692,-1)</f>
        <v>0</v>
      </c>
      <c r="AM1692" s="51" t="n">
        <f aca="false">IF(AND(OR(CC1692="L1",CC1692="L23",CC1692="LIFT"),AI1692&gt;0),SUMIFS($AI$7:$AI$1843,$CC$7:$CC$1843,CC1692,$AL$7:$AL$1843,"&gt;"&amp;AL1692)+SUMIFS($AI$7:$AI$1843,$CC$7:$CC$1843,CC1692,$AL$7:$AL$1843,AL1692,$BT$7:$BT$1843,"&lt;="&amp;BT1692),"")</f>
        <v>32755.3063755924</v>
      </c>
      <c r="AN1692" s="58" t="n">
        <f aca="false">IF(AM1692="",0,MAX(0,MIN(1,(IF(CC1692="L1",Parameter!$H$5,IF(CC1692="L23",Parameter!$H$6+Parameter!$H$7,Parameter!$H$5+Parameter!$H$6+Parameter!$H$7))-(AM1692-AI1692))/AI1692)))</f>
        <v>1</v>
      </c>
      <c r="AO1692" s="50" t="n">
        <f aca="false">IF(LEFT(Cockpit!$I$5,1)="A",H1692,IF(CE1692=1,CF1692,IF(LEFT(Cockpit!$I$5,1)="B",AT1692,MAX(AT1692,H1692))))</f>
        <v>17</v>
      </c>
      <c r="AP1692" s="50" t="n">
        <f aca="false">IF(BW1692=1,0,ROUNDUP(AO1692/BV1692,0))</f>
        <v>1</v>
      </c>
      <c r="AQ1692" s="52" t="n">
        <f aca="false">IF(CL1692&gt;0,CL1692*MAX(1,AO1692/X1692),IF(BW1692=1,IF(AO1692&lt;=0,0,CA1692*MAX(1,IF(H1692&gt;0,AO1692/H1692,1))),IF(R1692&gt;0,AP1692/R1692,0))/MAX(0.1,N(Parameter!$M$21)))</f>
        <v>0.0384615384615385</v>
      </c>
      <c r="AR1692" s="50" t="n">
        <f aca="false">AQ1692*BY1692</f>
        <v>5.96153846153846</v>
      </c>
      <c r="AS1692" s="50" t="n">
        <f aca="false">AO1692*G1692</f>
        <v>261.12</v>
      </c>
      <c r="AT1692" s="50" t="n">
        <f aca="false">ROUNDUP(MAX(J1692/IF(CD1692&gt;0,CD1692,MAX(0.1,N(Cockpit!$I$6))),CG1692)/BV1692,0)*BV1692</f>
        <v>17</v>
      </c>
      <c r="AU1692" s="51" t="n">
        <f aca="false">IF(AR1692&gt;0,J1692/AR1692,-1)</f>
        <v>0</v>
      </c>
      <c r="AV1692" s="51" t="n">
        <f aca="false">IF(AND(OR(CC1692="L1",CC1692="L23",CC1692="LIFT"),AR1692&gt;0),SUMIFS($AR$7:$AR$1843,$CC$7:$CC$1843,CC1692,$AU$7:$AU$1843,"&gt;"&amp;AU1692)+SUMIFS($AR$7:$AR$1843,$CC$7:$CC$1843,CC1692,$AU$7:$AU$1843,AU1692,$BT$7:$BT$1843,"&lt;="&amp;BT1692),"")</f>
        <v>45434.0754485627</v>
      </c>
      <c r="AW1692" s="58" t="n">
        <f aca="false">IF(AV1692="",0,MAX(0,MIN(1,(IF(CC1692="L1",Parameter!$H$5,IF(CC1692="L23",Parameter!$H$6+Parameter!$H$7,Parameter!$H$5+Parameter!$H$6+Parameter!$H$7))-(AV1692-AR1692))/AR1692)))</f>
        <v>0</v>
      </c>
      <c r="AX1692" s="50" t="n">
        <f aca="false">IF(LEFT(Cockpit!$O$5,1)="A",H1692,IF(CE1692=1,CF1692,IF(LEFT(Cockpit!$O$5,1)="B",BC1692,MAX(BC1692,H1692))))</f>
        <v>17</v>
      </c>
      <c r="AY1692" s="50" t="n">
        <f aca="false">IF(BW1692=1,0,ROUNDUP(AX1692/BV1692,0))</f>
        <v>1</v>
      </c>
      <c r="AZ1692" s="52" t="n">
        <f aca="false">IF(CL1692&gt;0,CL1692*MAX(1,AX1692/X1692),IF(BW1692=1,IF(AX1692&lt;=0,0,CA1692*MAX(1,IF(H1692&gt;0,AX1692/H1692,1))),IF(R1692&gt;0,AY1692/R1692,0))/MAX(0.1,N(Parameter!$M$21)))</f>
        <v>0.0384615384615385</v>
      </c>
      <c r="BA1692" s="50" t="n">
        <f aca="false">AZ1692*BY1692</f>
        <v>5.96153846153846</v>
      </c>
      <c r="BB1692" s="50" t="n">
        <f aca="false">AX1692*G1692</f>
        <v>261.12</v>
      </c>
      <c r="BC1692" s="50" t="n">
        <f aca="false">ROUNDUP(MAX(J1692/IF(CD1692&gt;0,CD1692,MAX(0.1,N(Cockpit!$O$6))),CG1692)/BV1692,0)*BV1692</f>
        <v>17</v>
      </c>
      <c r="BD1692" s="51" t="n">
        <f aca="false">IF(BA1692&gt;0,J1692/BA1692,-1)</f>
        <v>0</v>
      </c>
      <c r="BE1692" s="51" t="n">
        <f aca="false">IF(AND(OR(CC1692="L1",CC1692="L23",CC1692="LIFT"),BA1692&gt;0),SUMIFS($BA$7:$BA$1843,$CC$7:$CC$1843,CC1692,$BD$7:$BD$1843,"&gt;"&amp;BD1692)+SUMIFS($BA$7:$BA$1843,$CC$7:$CC$1843,CC1692,$BD$7:$BD$1843,BD1692,$BT$7:$BT$1843,"&lt;="&amp;BT1692),"")</f>
        <v>42109.0874904286</v>
      </c>
      <c r="BF1692" s="58" t="n">
        <f aca="false">IF(BE1692="",0,MAX(0,MIN(1,(IF(CC1692="L1",Parameter!$H$5,IF(CC1692="L23",Parameter!$H$6+Parameter!$H$7,Parameter!$H$5+Parameter!$H$6+Parameter!$H$7))-(BE1692-BA1692))/BA1692)))</f>
        <v>0</v>
      </c>
      <c r="BG1692" s="48" t="str">
        <f aca="false">IF(AI1692&lt;=0,"",IF(CC1692="Aussen","Aussenlager",IF(CC1692="-","Nicht im Lift",IF(AN1692&gt;=1,"Lift",IF(AN1692&lt;=0,"Aussenlager","teilweise")))))</f>
        <v>Lift</v>
      </c>
      <c r="BH1692" s="48" t="str">
        <f aca="false">IF(AR1692&lt;=0,"",IF(CC1692="Aussen","Aussenlager",IF(CC1692="-","Nicht im Lift",IF(AW1692&gt;=1,"Lift",IF(AW1692&lt;=0,"Aussenlager","teilweise")))))</f>
        <v>Aussenlager</v>
      </c>
      <c r="BI1692" s="48" t="str">
        <f aca="false">IF(BA1692&lt;=0,"",IF(CC1692="Aussen","Aussenlager",IF(CC1692="-","Nicht im Lift",IF(BF1692&gt;=1,"Lift",IF(BF1692&lt;=0,"Aussenlager","teilweise")))))</f>
        <v>Aussenlager</v>
      </c>
      <c r="BJ1692" s="48" t="str">
        <f aca="false">IF(A1692="","",IF(BS1692=1,"Neu; ","")&amp;IF(AND(BS1692=0,BN1692&lt;0),"negativer Bestand (Export "&amp;BN1692&amp;"); ","")&amp;IF(J1692&lt;=0,"Kein Verbrauch; ","")&amp;IF(CL1692&gt;0,"Lift "&amp;W1692&amp;" lt. Liftbericht (Fach "&amp;X1692&amp;" Stk); ",IF(BX1692=1,"Gebinde geschätzt ("&amp;T1692&amp;"); ",IF(BW1692=1,"Lose – Tablare geschätzt; ","")))&amp;IF(H1692&gt;AT1692,"Überbestand "&amp;ROUND(H1692-AT1692,0)&amp;" Stk / CHF "&amp;ROUND((H1692-AT1692)*G1692,0)&amp;"; ","")&amp;IF(AND(CE1692=1,CF1692&lt;CG1692),"MAX &lt; MB+LG; ","")&amp;IF(AND(CK1692&gt;0,CJ1692*10&gt;CK1692),"zu hoch für Tablar; ","")&amp;IF(AND(BS1692=0,OR(CE1692=1,AA1692&lt;&gt;"",U1692&lt;&gt;"",V1692&lt;&gt;"",AB1692&lt;&gt;"")),"manuell übersteuert; ","")&amp;IF(AND(BW1692=0,R1692=0),"Gebinde unbekannt / Stellmass fehlt; ","")&amp;IF(AND(BW1692=0,N(V1692)&lt;=0,N(Q1692)&lt;=0),"Menge pro Gebinde fehlt (Ist = 1 Gebinde); ","")&amp;BR1692)</f>
        <v>Kein Verbrauch; nur im Artikelstamm (Bestand 23.06.2026); Überbestand</v>
      </c>
      <c r="BK1692" s="48"/>
      <c r="BL1692" s="48"/>
      <c r="BM1692" s="55"/>
      <c r="BN1692" s="50" t="n">
        <v>11</v>
      </c>
      <c r="BO1692" s="50" t="n">
        <v>0</v>
      </c>
      <c r="BP1692" s="49" t="n">
        <v>0</v>
      </c>
      <c r="BQ1692" s="50" t="n">
        <v>0</v>
      </c>
      <c r="BR1692" s="48" t="s">
        <v>2576</v>
      </c>
      <c r="BS1692" s="53" t="n">
        <v>0</v>
      </c>
      <c r="BT1692" s="53" t="n">
        <v>1692</v>
      </c>
      <c r="BU1692" s="48" t="str">
        <f aca="false">IF(U1692&lt;&gt;"",UPPER(TRIM(U1692)),IF(BX1692=1,UPPER(VLOOKUP(T1692,Parameter!$I$27:$K$29,2,0)),IF(P1692="","LOSE",P1692)))</f>
        <v>S51</v>
      </c>
      <c r="BV1692" s="50" t="n">
        <f aca="false">IF(BU1692="LOSE",1,IF(N(V1692)&gt;0,V1692,IF(BX1692=1,MAX(1,N(VLOOKUP(T1692,Parameter!$I$27:$K$29,3,0)),H1692,N(N1692)),IF(N(Q1692)&gt;0,Q1692,MAX(1,H1692)))))</f>
        <v>17</v>
      </c>
      <c r="BW1692" s="53" t="n">
        <f aca="false">IF(BU1692="LOSE",1,0)</f>
        <v>0</v>
      </c>
      <c r="BX1692" s="53" t="n">
        <f aca="false">IF(AND(U1692="",OR(P1692="",P1692="LOSE"),T1692&lt;&gt;"",N(S1692)&lt;=0,ISNUMBER(MATCH(T1692,Parameter!$I$27:$I$29,0))),1,0)</f>
        <v>0</v>
      </c>
      <c r="BY1692" s="53" t="n">
        <f aca="false">IF(CL1692&gt;0,INDEX(Parameter!$H$5:$H$7,W1692)/INDEX(Parameter!$E$5:$E$7,W1692),IF(AND(BW1692=0,N(IFERROR(VLOOKUP(BU1692,'Gebinde-Kategorie'!$A$5:$N$45,14,0),0))&gt;0),VLOOKUP(BU1692,'Gebinde-Kategorie'!$A$5:$N$45,14,0)*10+Parameter!$M$23,Parameter!$M$24))</f>
        <v>155</v>
      </c>
      <c r="BZ1692" s="48" t="str">
        <f aca="false">IF(AND(Parameter!$B$19="Ja",E1692&lt;&gt;"",ISNUMBER(MATCH(E1692,Parameter!$I$35:$I$52,0))),VLOOKUP(E1692,Parameter!$I$35:$J$52,2,0),IFERROR(VLOOKUP(D1692,Parameter!$A$35:$C$64,2,0),"Nein"))</f>
        <v>2+3</v>
      </c>
      <c r="CA1692" s="52" t="n">
        <f aca="false">IF(BW1692=0,0,IF(N(S1692)&gt;0,S1692,IFERROR(VLOOKUP(D1692,Parameter!$A$35:$C$64,3,0)+0,0)))</f>
        <v>0</v>
      </c>
      <c r="CB1692" s="48" t="n">
        <f aca="false">IF(AA1692&lt;&gt;"",AA1692,Z1692)</f>
        <v>3</v>
      </c>
      <c r="CC1692" s="48" t="str">
        <f aca="false">IF(OR(CB1692=1,CB1692=2,CB1692=3),IF(Parameter!$E$27="Ja","LIFT",IF(CB1692=1,"L1","L23")),IF(CB1692="Aussen","Aussen","-"))</f>
        <v>LIFT</v>
      </c>
      <c r="CD1692" s="59" t="n">
        <f aca="false">IF(N(AB1692)&gt;0,AB1692,0)</f>
        <v>0</v>
      </c>
      <c r="CE1692" s="53" t="n">
        <f aca="false">IF(ISNUMBER(AE1692),1,0)</f>
        <v>0</v>
      </c>
      <c r="CF1692" s="50" t="n">
        <f aca="false">N(AE1692)</f>
        <v>0</v>
      </c>
      <c r="CG1692" s="50" t="n">
        <f aca="false">N(M1692)+N(N1692)</f>
        <v>1</v>
      </c>
      <c r="CH1692" s="50" t="n">
        <f aca="false">ROUNDUP(H1692/BV1692,0)</f>
        <v>1</v>
      </c>
      <c r="CI1692" s="50" t="n">
        <f aca="false">ROUNDUP(CF1692/BV1692,0)</f>
        <v>0</v>
      </c>
      <c r="CJ1692" s="53" t="n">
        <f aca="false">IF(BW1692=1,0,IFERROR(VLOOKUP(BU1692,'Gebinde-Kategorie'!$A$5:$N$45,5,0)+0,0))</f>
        <v>11</v>
      </c>
      <c r="CK1692" s="53" t="n">
        <f aca="false">IFERROR(IF(OR(CB1692=1,CB1692=2,CB1692=3),N(INDEX(Parameter!$I$5:$I$7,CB1692)),0),0)</f>
        <v>0</v>
      </c>
      <c r="CL1692" s="52" t="n">
        <f aca="false">IF(AND(Parameter!$B$21="Ja",ISNUMBER(W1692),N(X1692)&gt;0),IFERROR(N(INDEX(Parameter!$L$5:$L$7,W1692))*INDEX(Parameter!$E$5:$E$7,W1692)*X1692/SUMIFS($X$7:$X$1843,$W$7:$W$1843,W1692),0),0)</f>
        <v>0</v>
      </c>
    </row>
    <row r="1693" customFormat="false" ht="15" hidden="false" customHeight="false" outlineLevel="0" collapsed="false">
      <c r="A1693" s="48" t="s">
        <v>2936</v>
      </c>
      <c r="B1693" s="48" t="s">
        <v>721</v>
      </c>
      <c r="C1693" s="48" t="s">
        <v>168</v>
      </c>
      <c r="D1693" s="48" t="s">
        <v>177</v>
      </c>
      <c r="E1693" s="48" t="s">
        <v>170</v>
      </c>
      <c r="F1693" s="48"/>
      <c r="G1693" s="49" t="n">
        <v>69</v>
      </c>
      <c r="H1693" s="50" t="n">
        <f aca="false">MAX(0,IF(AND(Parameter!$B$21="Ja",ISNUMBER(Y1693)),Y1693,IF(Parameter!$B$20="Jahresanfang 2025 + Export",BO1693+BN1693,BN1693)))</f>
        <v>4</v>
      </c>
      <c r="I1693" s="50" t="n">
        <f aca="false">H1693*G1693</f>
        <v>276</v>
      </c>
      <c r="J1693" s="50" t="n">
        <f aca="false">BQ1693*Parameter!$B$18</f>
        <v>0</v>
      </c>
      <c r="K1693" s="51"/>
      <c r="L1693" s="52"/>
      <c r="M1693" s="50" t="n">
        <v>0</v>
      </c>
      <c r="N1693" s="50" t="n">
        <v>10</v>
      </c>
      <c r="O1693" s="53" t="n">
        <v>56</v>
      </c>
      <c r="P1693" s="48" t="s">
        <v>306</v>
      </c>
      <c r="Q1693" s="50" t="n">
        <v>15</v>
      </c>
      <c r="R1693" s="53" t="n">
        <f aca="false">IF(BW1693=1,0,IFERROR(VLOOKUP(BU1693,'Gebinde-Kategorie'!$A$5:$N$45,13,0)+0,0))</f>
        <v>26</v>
      </c>
      <c r="S1693" s="54"/>
      <c r="T1693" s="55"/>
      <c r="U1693" s="55"/>
      <c r="V1693" s="55"/>
      <c r="W1693" s="48"/>
      <c r="X1693" s="50"/>
      <c r="Y1693" s="50"/>
      <c r="Z1693" s="48" t="n">
        <f aca="false">IF(A1693="","",IF(AND(Parameter!$B$21="Ja",ISNUMBER(W1693)),W1693,IF(BZ1693="2+3",IF(ISNUMBER(SEARCH("grosser Artikel",BR1693)),2,IFERROR(VLOOKUP(BU1693,Parameter!$F$35:$G$64,2,0),2)),IF(OR(BZ1693="Nein",BZ1693=""),"-",BZ1693))))</f>
        <v>1</v>
      </c>
      <c r="AA1693" s="55"/>
      <c r="AB1693" s="56"/>
      <c r="AC1693" s="50" t="n">
        <f aca="false">AT1693</f>
        <v>15</v>
      </c>
      <c r="AD1693" s="50" t="n">
        <f aca="false">MAX(AT1693,H1693)</f>
        <v>15</v>
      </c>
      <c r="AE1693" s="57"/>
      <c r="AF1693" s="50" t="n">
        <f aca="false">IF(LEFT(Cockpit!$C$5,1)="A",H1693,IF(CE1693=1,CF1693,IF(LEFT(Cockpit!$C$5,1)="B",AK1693,MAX(AK1693,H1693))))</f>
        <v>4</v>
      </c>
      <c r="AG1693" s="50" t="n">
        <f aca="false">IF(BW1693=1,0,ROUNDUP(AF1693/BV1693,0))</f>
        <v>1</v>
      </c>
      <c r="AH1693" s="52" t="n">
        <f aca="false">IF(CL1693&gt;0,CL1693*MAX(1,AF1693/X1693),IF(BW1693=1,IF(AF1693&lt;=0,0,CA1693*MAX(1,IF(H1693&gt;0,AF1693/H1693,1))),IF(R1693&gt;0,AG1693/R1693,0))/MAX(0.1,N(Parameter!$M$21)))</f>
        <v>0.0384615384615385</v>
      </c>
      <c r="AI1693" s="50" t="n">
        <f aca="false">AH1693*BY1693</f>
        <v>5.96153846153846</v>
      </c>
      <c r="AJ1693" s="50" t="n">
        <f aca="false">AF1693*G1693</f>
        <v>276</v>
      </c>
      <c r="AK1693" s="50" t="n">
        <f aca="false">ROUNDUP(MAX(J1693/IF(CD1693&gt;0,CD1693,MAX(0.1,N(Cockpit!$C$6))),CG1693)/BV1693,0)*BV1693</f>
        <v>15</v>
      </c>
      <c r="AL1693" s="51" t="n">
        <f aca="false">IF(AI1693&gt;0,J1693/AI1693,-1)</f>
        <v>0</v>
      </c>
      <c r="AM1693" s="51" t="n">
        <f aca="false">IF(AND(OR(CC1693="L1",CC1693="L23",CC1693="LIFT"),AI1693&gt;0),SUMIFS($AI$7:$AI$1843,$CC$7:$CC$1843,CC1693,$AL$7:$AL$1843,"&gt;"&amp;AL1693)+SUMIFS($AI$7:$AI$1843,$CC$7:$CC$1843,CC1693,$AL$7:$AL$1843,AL1693,$BT$7:$BT$1843,"&lt;="&amp;BT1693),"")</f>
        <v>32761.2679140539</v>
      </c>
      <c r="AN1693" s="58" t="n">
        <f aca="false">IF(AM1693="",0,MAX(0,MIN(1,(IF(CC1693="L1",Parameter!$H$5,IF(CC1693="L23",Parameter!$H$6+Parameter!$H$7,Parameter!$H$5+Parameter!$H$6+Parameter!$H$7))-(AM1693-AI1693))/AI1693)))</f>
        <v>1</v>
      </c>
      <c r="AO1693" s="50" t="n">
        <f aca="false">IF(LEFT(Cockpit!$I$5,1)="A",H1693,IF(CE1693=1,CF1693,IF(LEFT(Cockpit!$I$5,1)="B",AT1693,MAX(AT1693,H1693))))</f>
        <v>15</v>
      </c>
      <c r="AP1693" s="50" t="n">
        <f aca="false">IF(BW1693=1,0,ROUNDUP(AO1693/BV1693,0))</f>
        <v>1</v>
      </c>
      <c r="AQ1693" s="52" t="n">
        <f aca="false">IF(CL1693&gt;0,CL1693*MAX(1,AO1693/X1693),IF(BW1693=1,IF(AO1693&lt;=0,0,CA1693*MAX(1,IF(H1693&gt;0,AO1693/H1693,1))),IF(R1693&gt;0,AP1693/R1693,0))/MAX(0.1,N(Parameter!$M$21)))</f>
        <v>0.0384615384615385</v>
      </c>
      <c r="AR1693" s="50" t="n">
        <f aca="false">AQ1693*BY1693</f>
        <v>5.96153846153846</v>
      </c>
      <c r="AS1693" s="50" t="n">
        <f aca="false">AO1693*G1693</f>
        <v>1035</v>
      </c>
      <c r="AT1693" s="50" t="n">
        <f aca="false">ROUNDUP(MAX(J1693/IF(CD1693&gt;0,CD1693,MAX(0.1,N(Cockpit!$I$6))),CG1693)/BV1693,0)*BV1693</f>
        <v>15</v>
      </c>
      <c r="AU1693" s="51" t="n">
        <f aca="false">IF(AR1693&gt;0,J1693/AR1693,-1)</f>
        <v>0</v>
      </c>
      <c r="AV1693" s="51" t="n">
        <f aca="false">IF(AND(OR(CC1693="L1",CC1693="L23",CC1693="LIFT"),AR1693&gt;0),SUMIFS($AR$7:$AR$1843,$CC$7:$CC$1843,CC1693,$AU$7:$AU$1843,"&gt;"&amp;AU1693)+SUMIFS($AR$7:$AR$1843,$CC$7:$CC$1843,CC1693,$AU$7:$AU$1843,AU1693,$BT$7:$BT$1843,"&lt;="&amp;BT1693),"")</f>
        <v>45440.0369870243</v>
      </c>
      <c r="AW1693" s="58" t="n">
        <f aca="false">IF(AV1693="",0,MAX(0,MIN(1,(IF(CC1693="L1",Parameter!$H$5,IF(CC1693="L23",Parameter!$H$6+Parameter!$H$7,Parameter!$H$5+Parameter!$H$6+Parameter!$H$7))-(AV1693-AR1693))/AR1693)))</f>
        <v>0</v>
      </c>
      <c r="AX1693" s="50" t="n">
        <f aca="false">IF(LEFT(Cockpit!$O$5,1)="A",H1693,IF(CE1693=1,CF1693,IF(LEFT(Cockpit!$O$5,1)="B",BC1693,MAX(BC1693,H1693))))</f>
        <v>15</v>
      </c>
      <c r="AY1693" s="50" t="n">
        <f aca="false">IF(BW1693=1,0,ROUNDUP(AX1693/BV1693,0))</f>
        <v>1</v>
      </c>
      <c r="AZ1693" s="52" t="n">
        <f aca="false">IF(CL1693&gt;0,CL1693*MAX(1,AX1693/X1693),IF(BW1693=1,IF(AX1693&lt;=0,0,CA1693*MAX(1,IF(H1693&gt;0,AX1693/H1693,1))),IF(R1693&gt;0,AY1693/R1693,0))/MAX(0.1,N(Parameter!$M$21)))</f>
        <v>0.0384615384615385</v>
      </c>
      <c r="BA1693" s="50" t="n">
        <f aca="false">AZ1693*BY1693</f>
        <v>5.96153846153846</v>
      </c>
      <c r="BB1693" s="50" t="n">
        <f aca="false">AX1693*G1693</f>
        <v>1035</v>
      </c>
      <c r="BC1693" s="50" t="n">
        <f aca="false">ROUNDUP(MAX(J1693/IF(CD1693&gt;0,CD1693,MAX(0.1,N(Cockpit!$O$6))),CG1693)/BV1693,0)*BV1693</f>
        <v>15</v>
      </c>
      <c r="BD1693" s="51" t="n">
        <f aca="false">IF(BA1693&gt;0,J1693/BA1693,-1)</f>
        <v>0</v>
      </c>
      <c r="BE1693" s="51" t="n">
        <f aca="false">IF(AND(OR(CC1693="L1",CC1693="L23",CC1693="LIFT"),BA1693&gt;0),SUMIFS($BA$7:$BA$1843,$CC$7:$CC$1843,CC1693,$BD$7:$BD$1843,"&gt;"&amp;BD1693)+SUMIFS($BA$7:$BA$1843,$CC$7:$CC$1843,CC1693,$BD$7:$BD$1843,BD1693,$BT$7:$BT$1843,"&lt;="&amp;BT1693),"")</f>
        <v>42115.0490288901</v>
      </c>
      <c r="BF1693" s="58" t="n">
        <f aca="false">IF(BE1693="",0,MAX(0,MIN(1,(IF(CC1693="L1",Parameter!$H$5,IF(CC1693="L23",Parameter!$H$6+Parameter!$H$7,Parameter!$H$5+Parameter!$H$6+Parameter!$H$7))-(BE1693-BA1693))/BA1693)))</f>
        <v>0</v>
      </c>
      <c r="BG1693" s="48" t="str">
        <f aca="false">IF(AI1693&lt;=0,"",IF(CC1693="Aussen","Aussenlager",IF(CC1693="-","Nicht im Lift",IF(AN1693&gt;=1,"Lift",IF(AN1693&lt;=0,"Aussenlager","teilweise")))))</f>
        <v>Lift</v>
      </c>
      <c r="BH1693" s="48" t="str">
        <f aca="false">IF(AR1693&lt;=0,"",IF(CC1693="Aussen","Aussenlager",IF(CC1693="-","Nicht im Lift",IF(AW1693&gt;=1,"Lift",IF(AW1693&lt;=0,"Aussenlager","teilweise")))))</f>
        <v>Aussenlager</v>
      </c>
      <c r="BI1693" s="48" t="str">
        <f aca="false">IF(BA1693&lt;=0,"",IF(CC1693="Aussen","Aussenlager",IF(CC1693="-","Nicht im Lift",IF(BF1693&gt;=1,"Lift",IF(BF1693&lt;=0,"Aussenlager","teilweise")))))</f>
        <v>Aussenlager</v>
      </c>
      <c r="BJ1693" s="48" t="str">
        <f aca="false">IF(A1693="","",IF(BS1693=1,"Neu; ","")&amp;IF(AND(BS1693=0,BN1693&lt;0),"negativer Bestand (Export "&amp;BN1693&amp;"); ","")&amp;IF(J1693&lt;=0,"Kein Verbrauch; ","")&amp;IF(CL1693&gt;0,"Lift "&amp;W1693&amp;" lt. Liftbericht (Fach "&amp;X1693&amp;" Stk); ",IF(BX1693=1,"Gebinde geschätzt ("&amp;T1693&amp;"); ",IF(BW1693=1,"Lose – Tablare geschätzt; ","")))&amp;IF(H1693&gt;AT1693,"Überbestand "&amp;ROUND(H1693-AT1693,0)&amp;" Stk / CHF "&amp;ROUND((H1693-AT1693)*G1693,0)&amp;"; ","")&amp;IF(AND(CE1693=1,CF1693&lt;CG1693),"MAX &lt; MB+LG; ","")&amp;IF(AND(CK1693&gt;0,CJ1693*10&gt;CK1693),"zu hoch für Tablar; ","")&amp;IF(AND(BS1693=0,OR(CE1693=1,AA1693&lt;&gt;"",U1693&lt;&gt;"",V1693&lt;&gt;"",AB1693&lt;&gt;"")),"manuell übersteuert; ","")&amp;IF(AND(BW1693=0,R1693=0),"Gebinde unbekannt / Stellmass fehlt; ","")&amp;IF(AND(BW1693=0,N(V1693)&lt;=0,N(Q1693)&lt;=0),"Menge pro Gebinde fehlt (Ist = 1 Gebinde); ","")&amp;BR1693)</f>
        <v>Kein Verbrauch; nur im Artikelstamm (Bestand 23.06.2026)</v>
      </c>
      <c r="BK1693" s="48"/>
      <c r="BL1693" s="48"/>
      <c r="BM1693" s="55"/>
      <c r="BN1693" s="50" t="n">
        <v>4</v>
      </c>
      <c r="BO1693" s="50" t="n">
        <v>0</v>
      </c>
      <c r="BP1693" s="49" t="n">
        <v>0</v>
      </c>
      <c r="BQ1693" s="50" t="n">
        <v>0</v>
      </c>
      <c r="BR1693" s="48" t="s">
        <v>2579</v>
      </c>
      <c r="BS1693" s="53" t="n">
        <v>0</v>
      </c>
      <c r="BT1693" s="53" t="n">
        <v>1693</v>
      </c>
      <c r="BU1693" s="48" t="str">
        <f aca="false">IF(U1693&lt;&gt;"",UPPER(TRIM(U1693)),IF(BX1693=1,UPPER(VLOOKUP(T1693,Parameter!$I$27:$K$29,2,0)),IF(P1693="","LOSE",P1693)))</f>
        <v>S51</v>
      </c>
      <c r="BV1693" s="50" t="n">
        <f aca="false">IF(BU1693="LOSE",1,IF(N(V1693)&gt;0,V1693,IF(BX1693=1,MAX(1,N(VLOOKUP(T1693,Parameter!$I$27:$K$29,3,0)),H1693,N(N1693)),IF(N(Q1693)&gt;0,Q1693,MAX(1,H1693)))))</f>
        <v>15</v>
      </c>
      <c r="BW1693" s="53" t="n">
        <f aca="false">IF(BU1693="LOSE",1,0)</f>
        <v>0</v>
      </c>
      <c r="BX1693" s="53" t="n">
        <f aca="false">IF(AND(U1693="",OR(P1693="",P1693="LOSE"),T1693&lt;&gt;"",N(S1693)&lt;=0,ISNUMBER(MATCH(T1693,Parameter!$I$27:$I$29,0))),1,0)</f>
        <v>0</v>
      </c>
      <c r="BY1693" s="53" t="n">
        <f aca="false">IF(CL1693&gt;0,INDEX(Parameter!$H$5:$H$7,W1693)/INDEX(Parameter!$E$5:$E$7,W1693),IF(AND(BW1693=0,N(IFERROR(VLOOKUP(BU1693,'Gebinde-Kategorie'!$A$5:$N$45,14,0),0))&gt;0),VLOOKUP(BU1693,'Gebinde-Kategorie'!$A$5:$N$45,14,0)*10+Parameter!$M$23,Parameter!$M$24))</f>
        <v>155</v>
      </c>
      <c r="BZ1693" s="48" t="n">
        <f aca="false">IF(AND(Parameter!$B$19="Ja",E1693&lt;&gt;"",ISNUMBER(MATCH(E1693,Parameter!$I$35:$I$52,0))),VLOOKUP(E1693,Parameter!$I$35:$J$52,2,0),IFERROR(VLOOKUP(D1693,Parameter!$A$35:$C$64,2,0),"Nein"))</f>
        <v>1</v>
      </c>
      <c r="CA1693" s="52" t="n">
        <f aca="false">IF(BW1693=0,0,IF(N(S1693)&gt;0,S1693,IFERROR(VLOOKUP(D1693,Parameter!$A$35:$C$64,3,0)+0,0)))</f>
        <v>0</v>
      </c>
      <c r="CB1693" s="48" t="n">
        <f aca="false">IF(AA1693&lt;&gt;"",AA1693,Z1693)</f>
        <v>1</v>
      </c>
      <c r="CC1693" s="48" t="str">
        <f aca="false">IF(OR(CB1693=1,CB1693=2,CB1693=3),IF(Parameter!$E$27="Ja","LIFT",IF(CB1693=1,"L1","L23")),IF(CB1693="Aussen","Aussen","-"))</f>
        <v>LIFT</v>
      </c>
      <c r="CD1693" s="59" t="n">
        <f aca="false">IF(N(AB1693)&gt;0,AB1693,0)</f>
        <v>0</v>
      </c>
      <c r="CE1693" s="53" t="n">
        <f aca="false">IF(ISNUMBER(AE1693),1,0)</f>
        <v>0</v>
      </c>
      <c r="CF1693" s="50" t="n">
        <f aca="false">N(AE1693)</f>
        <v>0</v>
      </c>
      <c r="CG1693" s="50" t="n">
        <f aca="false">N(M1693)+N(N1693)</f>
        <v>10</v>
      </c>
      <c r="CH1693" s="50" t="n">
        <f aca="false">ROUNDUP(H1693/BV1693,0)</f>
        <v>1</v>
      </c>
      <c r="CI1693" s="50" t="n">
        <f aca="false">ROUNDUP(CF1693/BV1693,0)</f>
        <v>0</v>
      </c>
      <c r="CJ1693" s="53" t="n">
        <f aca="false">IF(BW1693=1,0,IFERROR(VLOOKUP(BU1693,'Gebinde-Kategorie'!$A$5:$N$45,5,0)+0,0))</f>
        <v>11</v>
      </c>
      <c r="CK1693" s="53" t="n">
        <f aca="false">IFERROR(IF(OR(CB1693=1,CB1693=2,CB1693=3),N(INDEX(Parameter!$I$5:$I$7,CB1693)),0),0)</f>
        <v>0</v>
      </c>
      <c r="CL1693" s="52" t="n">
        <f aca="false">IF(AND(Parameter!$B$21="Ja",ISNUMBER(W1693),N(X1693)&gt;0),IFERROR(N(INDEX(Parameter!$L$5:$L$7,W1693))*INDEX(Parameter!$E$5:$E$7,W1693)*X1693/SUMIFS($X$7:$X$1843,$W$7:$W$1843,W1693),0),0)</f>
        <v>0</v>
      </c>
    </row>
    <row r="1694" customFormat="false" ht="15" hidden="false" customHeight="false" outlineLevel="0" collapsed="false">
      <c r="A1694" s="48" t="s">
        <v>2937</v>
      </c>
      <c r="B1694" s="48" t="s">
        <v>2938</v>
      </c>
      <c r="C1694" s="48" t="s">
        <v>168</v>
      </c>
      <c r="D1694" s="48" t="s">
        <v>188</v>
      </c>
      <c r="E1694" s="48"/>
      <c r="F1694" s="48"/>
      <c r="G1694" s="49" t="n">
        <v>195.58</v>
      </c>
      <c r="H1694" s="50" t="n">
        <f aca="false">MAX(0,IF(AND(Parameter!$B$21="Ja",ISNUMBER(Y1694)),Y1694,IF(Parameter!$B$20="Jahresanfang 2025 + Export",BO1694+BN1694,BN1694)))</f>
        <v>4</v>
      </c>
      <c r="I1694" s="50" t="n">
        <f aca="false">H1694*G1694</f>
        <v>782.32</v>
      </c>
      <c r="J1694" s="50" t="n">
        <f aca="false">BQ1694*Parameter!$B$18</f>
        <v>0</v>
      </c>
      <c r="K1694" s="51"/>
      <c r="L1694" s="52"/>
      <c r="M1694" s="50" t="n">
        <v>0</v>
      </c>
      <c r="N1694" s="50" t="n">
        <v>5</v>
      </c>
      <c r="O1694" s="53" t="n">
        <v>14</v>
      </c>
      <c r="P1694" s="48" t="s">
        <v>306</v>
      </c>
      <c r="Q1694" s="50" t="n">
        <v>6</v>
      </c>
      <c r="R1694" s="53" t="n">
        <f aca="false">IF(BW1694=1,0,IFERROR(VLOOKUP(BU1694,'Gebinde-Kategorie'!$A$5:$N$45,13,0)+0,0))</f>
        <v>26</v>
      </c>
      <c r="S1694" s="54"/>
      <c r="T1694" s="55"/>
      <c r="U1694" s="55"/>
      <c r="V1694" s="55"/>
      <c r="W1694" s="48"/>
      <c r="X1694" s="50"/>
      <c r="Y1694" s="50"/>
      <c r="Z1694" s="48" t="n">
        <f aca="false">IF(A1694="","",IF(AND(Parameter!$B$21="Ja",ISNUMBER(W1694)),W1694,IF(BZ1694="2+3",IF(ISNUMBER(SEARCH("grosser Artikel",BR1694)),2,IFERROR(VLOOKUP(BU1694,Parameter!$F$35:$G$64,2,0),2)),IF(OR(BZ1694="Nein",BZ1694=""),"-",BZ1694))))</f>
        <v>3</v>
      </c>
      <c r="AA1694" s="55"/>
      <c r="AB1694" s="56"/>
      <c r="AC1694" s="50" t="n">
        <f aca="false">AT1694</f>
        <v>6</v>
      </c>
      <c r="AD1694" s="50" t="n">
        <f aca="false">MAX(AT1694,H1694)</f>
        <v>6</v>
      </c>
      <c r="AE1694" s="57"/>
      <c r="AF1694" s="50" t="n">
        <f aca="false">IF(LEFT(Cockpit!$C$5,1)="A",H1694,IF(CE1694=1,CF1694,IF(LEFT(Cockpit!$C$5,1)="B",AK1694,MAX(AK1694,H1694))))</f>
        <v>4</v>
      </c>
      <c r="AG1694" s="50" t="n">
        <f aca="false">IF(BW1694=1,0,ROUNDUP(AF1694/BV1694,0))</f>
        <v>1</v>
      </c>
      <c r="AH1694" s="52" t="n">
        <f aca="false">IF(CL1694&gt;0,CL1694*MAX(1,AF1694/X1694),IF(BW1694=1,IF(AF1694&lt;=0,0,CA1694*MAX(1,IF(H1694&gt;0,AF1694/H1694,1))),IF(R1694&gt;0,AG1694/R1694,0))/MAX(0.1,N(Parameter!$M$21)))</f>
        <v>0.0384615384615385</v>
      </c>
      <c r="AI1694" s="50" t="n">
        <f aca="false">AH1694*BY1694</f>
        <v>5.96153846153846</v>
      </c>
      <c r="AJ1694" s="50" t="n">
        <f aca="false">AF1694*G1694</f>
        <v>782.32</v>
      </c>
      <c r="AK1694" s="50" t="n">
        <f aca="false">ROUNDUP(MAX(J1694/IF(CD1694&gt;0,CD1694,MAX(0.1,N(Cockpit!$C$6))),CG1694)/BV1694,0)*BV1694</f>
        <v>6</v>
      </c>
      <c r="AL1694" s="51" t="n">
        <f aca="false">IF(AI1694&gt;0,J1694/AI1694,-1)</f>
        <v>0</v>
      </c>
      <c r="AM1694" s="51" t="n">
        <f aca="false">IF(AND(OR(CC1694="L1",CC1694="L23",CC1694="LIFT"),AI1694&gt;0),SUMIFS($AI$7:$AI$1843,$CC$7:$CC$1843,CC1694,$AL$7:$AL$1843,"&gt;"&amp;AL1694)+SUMIFS($AI$7:$AI$1843,$CC$7:$CC$1843,CC1694,$AL$7:$AL$1843,AL1694,$BT$7:$BT$1843,"&lt;="&amp;BT1694),"")</f>
        <v>32767.2294525155</v>
      </c>
      <c r="AN1694" s="58" t="n">
        <f aca="false">IF(AM1694="",0,MAX(0,MIN(1,(IF(CC1694="L1",Parameter!$H$5,IF(CC1694="L23",Parameter!$H$6+Parameter!$H$7,Parameter!$H$5+Parameter!$H$6+Parameter!$H$7))-(AM1694-AI1694))/AI1694)))</f>
        <v>1</v>
      </c>
      <c r="AO1694" s="50" t="n">
        <f aca="false">IF(LEFT(Cockpit!$I$5,1)="A",H1694,IF(CE1694=1,CF1694,IF(LEFT(Cockpit!$I$5,1)="B",AT1694,MAX(AT1694,H1694))))</f>
        <v>6</v>
      </c>
      <c r="AP1694" s="50" t="n">
        <f aca="false">IF(BW1694=1,0,ROUNDUP(AO1694/BV1694,0))</f>
        <v>1</v>
      </c>
      <c r="AQ1694" s="52" t="n">
        <f aca="false">IF(CL1694&gt;0,CL1694*MAX(1,AO1694/X1694),IF(BW1694=1,IF(AO1694&lt;=0,0,CA1694*MAX(1,IF(H1694&gt;0,AO1694/H1694,1))),IF(R1694&gt;0,AP1694/R1694,0))/MAX(0.1,N(Parameter!$M$21)))</f>
        <v>0.0384615384615385</v>
      </c>
      <c r="AR1694" s="50" t="n">
        <f aca="false">AQ1694*BY1694</f>
        <v>5.96153846153846</v>
      </c>
      <c r="AS1694" s="50" t="n">
        <f aca="false">AO1694*G1694</f>
        <v>1173.48</v>
      </c>
      <c r="AT1694" s="50" t="n">
        <f aca="false">ROUNDUP(MAX(J1694/IF(CD1694&gt;0,CD1694,MAX(0.1,N(Cockpit!$I$6))),CG1694)/BV1694,0)*BV1694</f>
        <v>6</v>
      </c>
      <c r="AU1694" s="51" t="n">
        <f aca="false">IF(AR1694&gt;0,J1694/AR1694,-1)</f>
        <v>0</v>
      </c>
      <c r="AV1694" s="51" t="n">
        <f aca="false">IF(AND(OR(CC1694="L1",CC1694="L23",CC1694="LIFT"),AR1694&gt;0),SUMIFS($AR$7:$AR$1843,$CC$7:$CC$1843,CC1694,$AU$7:$AU$1843,"&gt;"&amp;AU1694)+SUMIFS($AR$7:$AR$1843,$CC$7:$CC$1843,CC1694,$AU$7:$AU$1843,AU1694,$BT$7:$BT$1843,"&lt;="&amp;BT1694),"")</f>
        <v>45445.9985254858</v>
      </c>
      <c r="AW1694" s="58" t="n">
        <f aca="false">IF(AV1694="",0,MAX(0,MIN(1,(IF(CC1694="L1",Parameter!$H$5,IF(CC1694="L23",Parameter!$H$6+Parameter!$H$7,Parameter!$H$5+Parameter!$H$6+Parameter!$H$7))-(AV1694-AR1694))/AR1694)))</f>
        <v>0</v>
      </c>
      <c r="AX1694" s="50" t="n">
        <f aca="false">IF(LEFT(Cockpit!$O$5,1)="A",H1694,IF(CE1694=1,CF1694,IF(LEFT(Cockpit!$O$5,1)="B",BC1694,MAX(BC1694,H1694))))</f>
        <v>6</v>
      </c>
      <c r="AY1694" s="50" t="n">
        <f aca="false">IF(BW1694=1,0,ROUNDUP(AX1694/BV1694,0))</f>
        <v>1</v>
      </c>
      <c r="AZ1694" s="52" t="n">
        <f aca="false">IF(CL1694&gt;0,CL1694*MAX(1,AX1694/X1694),IF(BW1694=1,IF(AX1694&lt;=0,0,CA1694*MAX(1,IF(H1694&gt;0,AX1694/H1694,1))),IF(R1694&gt;0,AY1694/R1694,0))/MAX(0.1,N(Parameter!$M$21)))</f>
        <v>0.0384615384615385</v>
      </c>
      <c r="BA1694" s="50" t="n">
        <f aca="false">AZ1694*BY1694</f>
        <v>5.96153846153846</v>
      </c>
      <c r="BB1694" s="50" t="n">
        <f aca="false">AX1694*G1694</f>
        <v>1173.48</v>
      </c>
      <c r="BC1694" s="50" t="n">
        <f aca="false">ROUNDUP(MAX(J1694/IF(CD1694&gt;0,CD1694,MAX(0.1,N(Cockpit!$O$6))),CG1694)/BV1694,0)*BV1694</f>
        <v>6</v>
      </c>
      <c r="BD1694" s="51" t="n">
        <f aca="false">IF(BA1694&gt;0,J1694/BA1694,-1)</f>
        <v>0</v>
      </c>
      <c r="BE1694" s="51" t="n">
        <f aca="false">IF(AND(OR(CC1694="L1",CC1694="L23",CC1694="LIFT"),BA1694&gt;0),SUMIFS($BA$7:$BA$1843,$CC$7:$CC$1843,CC1694,$BD$7:$BD$1843,"&gt;"&amp;BD1694)+SUMIFS($BA$7:$BA$1843,$CC$7:$CC$1843,CC1694,$BD$7:$BD$1843,BD1694,$BT$7:$BT$1843,"&lt;="&amp;BT1694),"")</f>
        <v>42121.0105673517</v>
      </c>
      <c r="BF1694" s="58" t="n">
        <f aca="false">IF(BE1694="",0,MAX(0,MIN(1,(IF(CC1694="L1",Parameter!$H$5,IF(CC1694="L23",Parameter!$H$6+Parameter!$H$7,Parameter!$H$5+Parameter!$H$6+Parameter!$H$7))-(BE1694-BA1694))/BA1694)))</f>
        <v>0</v>
      </c>
      <c r="BG1694" s="48" t="str">
        <f aca="false">IF(AI1694&lt;=0,"",IF(CC1694="Aussen","Aussenlager",IF(CC1694="-","Nicht im Lift",IF(AN1694&gt;=1,"Lift",IF(AN1694&lt;=0,"Aussenlager","teilweise")))))</f>
        <v>Lift</v>
      </c>
      <c r="BH1694" s="48" t="str">
        <f aca="false">IF(AR1694&lt;=0,"",IF(CC1694="Aussen","Aussenlager",IF(CC1694="-","Nicht im Lift",IF(AW1694&gt;=1,"Lift",IF(AW1694&lt;=0,"Aussenlager","teilweise")))))</f>
        <v>Aussenlager</v>
      </c>
      <c r="BI1694" s="48" t="str">
        <f aca="false">IF(BA1694&lt;=0,"",IF(CC1694="Aussen","Aussenlager",IF(CC1694="-","Nicht im Lift",IF(BF1694&gt;=1,"Lift",IF(BF1694&lt;=0,"Aussenlager","teilweise")))))</f>
        <v>Aussenlager</v>
      </c>
      <c r="BJ1694" s="48" t="str">
        <f aca="false">IF(A1694="","",IF(BS1694=1,"Neu; ","")&amp;IF(AND(BS1694=0,BN1694&lt;0),"negativer Bestand (Export "&amp;BN1694&amp;"); ","")&amp;IF(J1694&lt;=0,"Kein Verbrauch; ","")&amp;IF(CL1694&gt;0,"Lift "&amp;W1694&amp;" lt. Liftbericht (Fach "&amp;X1694&amp;" Stk); ",IF(BX1694=1,"Gebinde geschätzt ("&amp;T1694&amp;"); ",IF(BW1694=1,"Lose – Tablare geschätzt; ","")))&amp;IF(H1694&gt;AT1694,"Überbestand "&amp;ROUND(H1694-AT1694,0)&amp;" Stk / CHF "&amp;ROUND((H1694-AT1694)*G1694,0)&amp;"; ","")&amp;IF(AND(CE1694=1,CF1694&lt;CG1694),"MAX &lt; MB+LG; ","")&amp;IF(AND(CK1694&gt;0,CJ1694*10&gt;CK1694),"zu hoch für Tablar; ","")&amp;IF(AND(BS1694=0,OR(CE1694=1,AA1694&lt;&gt;"",U1694&lt;&gt;"",V1694&lt;&gt;"",AB1694&lt;&gt;"")),"manuell übersteuert; ","")&amp;IF(AND(BW1694=0,R1694=0),"Gebinde unbekannt / Stellmass fehlt; ","")&amp;IF(AND(BW1694=0,N(V1694)&lt;=0,N(Q1694)&lt;=0),"Menge pro Gebinde fehlt (Ist = 1 Gebinde); ","")&amp;BR1694)</f>
        <v>Kein Verbrauch; nur im Artikelstamm (Bestand 23.06.2026)</v>
      </c>
      <c r="BK1694" s="48"/>
      <c r="BL1694" s="48"/>
      <c r="BM1694" s="55"/>
      <c r="BN1694" s="50" t="n">
        <v>4</v>
      </c>
      <c r="BO1694" s="50" t="n">
        <v>0</v>
      </c>
      <c r="BP1694" s="49" t="n">
        <v>0</v>
      </c>
      <c r="BQ1694" s="50" t="n">
        <v>0</v>
      </c>
      <c r="BR1694" s="48" t="s">
        <v>2579</v>
      </c>
      <c r="BS1694" s="53" t="n">
        <v>0</v>
      </c>
      <c r="BT1694" s="53" t="n">
        <v>1694</v>
      </c>
      <c r="BU1694" s="48" t="str">
        <f aca="false">IF(U1694&lt;&gt;"",UPPER(TRIM(U1694)),IF(BX1694=1,UPPER(VLOOKUP(T1694,Parameter!$I$27:$K$29,2,0)),IF(P1694="","LOSE",P1694)))</f>
        <v>S51</v>
      </c>
      <c r="BV1694" s="50" t="n">
        <f aca="false">IF(BU1694="LOSE",1,IF(N(V1694)&gt;0,V1694,IF(BX1694=1,MAX(1,N(VLOOKUP(T1694,Parameter!$I$27:$K$29,3,0)),H1694,N(N1694)),IF(N(Q1694)&gt;0,Q1694,MAX(1,H1694)))))</f>
        <v>6</v>
      </c>
      <c r="BW1694" s="53" t="n">
        <f aca="false">IF(BU1694="LOSE",1,0)</f>
        <v>0</v>
      </c>
      <c r="BX1694" s="53" t="n">
        <f aca="false">IF(AND(U1694="",OR(P1694="",P1694="LOSE"),T1694&lt;&gt;"",N(S1694)&lt;=0,ISNUMBER(MATCH(T1694,Parameter!$I$27:$I$29,0))),1,0)</f>
        <v>0</v>
      </c>
      <c r="BY1694" s="53" t="n">
        <f aca="false">IF(CL1694&gt;0,INDEX(Parameter!$H$5:$H$7,W1694)/INDEX(Parameter!$E$5:$E$7,W1694),IF(AND(BW1694=0,N(IFERROR(VLOOKUP(BU1694,'Gebinde-Kategorie'!$A$5:$N$45,14,0),0))&gt;0),VLOOKUP(BU1694,'Gebinde-Kategorie'!$A$5:$N$45,14,0)*10+Parameter!$M$23,Parameter!$M$24))</f>
        <v>155</v>
      </c>
      <c r="BZ1694" s="48" t="str">
        <f aca="false">IF(AND(Parameter!$B$19="Ja",E1694&lt;&gt;"",ISNUMBER(MATCH(E1694,Parameter!$I$35:$I$52,0))),VLOOKUP(E1694,Parameter!$I$35:$J$52,2,0),IFERROR(VLOOKUP(D1694,Parameter!$A$35:$C$64,2,0),"Nein"))</f>
        <v>2+3</v>
      </c>
      <c r="CA1694" s="52" t="n">
        <f aca="false">IF(BW1694=0,0,IF(N(S1694)&gt;0,S1694,IFERROR(VLOOKUP(D1694,Parameter!$A$35:$C$64,3,0)+0,0)))</f>
        <v>0</v>
      </c>
      <c r="CB1694" s="48" t="n">
        <f aca="false">IF(AA1694&lt;&gt;"",AA1694,Z1694)</f>
        <v>3</v>
      </c>
      <c r="CC1694" s="48" t="str">
        <f aca="false">IF(OR(CB1694=1,CB1694=2,CB1694=3),IF(Parameter!$E$27="Ja","LIFT",IF(CB1694=1,"L1","L23")),IF(CB1694="Aussen","Aussen","-"))</f>
        <v>LIFT</v>
      </c>
      <c r="CD1694" s="59" t="n">
        <f aca="false">IF(N(AB1694)&gt;0,AB1694,0)</f>
        <v>0</v>
      </c>
      <c r="CE1694" s="53" t="n">
        <f aca="false">IF(ISNUMBER(AE1694),1,0)</f>
        <v>0</v>
      </c>
      <c r="CF1694" s="50" t="n">
        <f aca="false">N(AE1694)</f>
        <v>0</v>
      </c>
      <c r="CG1694" s="50" t="n">
        <f aca="false">N(M1694)+N(N1694)</f>
        <v>5</v>
      </c>
      <c r="CH1694" s="50" t="n">
        <f aca="false">ROUNDUP(H1694/BV1694,0)</f>
        <v>1</v>
      </c>
      <c r="CI1694" s="50" t="n">
        <f aca="false">ROUNDUP(CF1694/BV1694,0)</f>
        <v>0</v>
      </c>
      <c r="CJ1694" s="53" t="n">
        <f aca="false">IF(BW1694=1,0,IFERROR(VLOOKUP(BU1694,'Gebinde-Kategorie'!$A$5:$N$45,5,0)+0,0))</f>
        <v>11</v>
      </c>
      <c r="CK1694" s="53" t="n">
        <f aca="false">IFERROR(IF(OR(CB1694=1,CB1694=2,CB1694=3),N(INDEX(Parameter!$I$5:$I$7,CB1694)),0),0)</f>
        <v>0</v>
      </c>
      <c r="CL1694" s="52" t="n">
        <f aca="false">IF(AND(Parameter!$B$21="Ja",ISNUMBER(W1694),N(X1694)&gt;0),IFERROR(N(INDEX(Parameter!$L$5:$L$7,W1694))*INDEX(Parameter!$E$5:$E$7,W1694)*X1694/SUMIFS($X$7:$X$1843,$W$7:$W$1843,W1694),0),0)</f>
        <v>0</v>
      </c>
    </row>
    <row r="1695" customFormat="false" ht="15" hidden="false" customHeight="false" outlineLevel="0" collapsed="false">
      <c r="A1695" s="48" t="s">
        <v>2939</v>
      </c>
      <c r="B1695" s="48" t="s">
        <v>2940</v>
      </c>
      <c r="C1695" s="48" t="s">
        <v>168</v>
      </c>
      <c r="D1695" s="48" t="s">
        <v>188</v>
      </c>
      <c r="E1695" s="48" t="s">
        <v>170</v>
      </c>
      <c r="F1695" s="48"/>
      <c r="G1695" s="49" t="n">
        <v>29</v>
      </c>
      <c r="H1695" s="50" t="n">
        <f aca="false">MAX(0,IF(AND(Parameter!$B$21="Ja",ISNUMBER(Y1695)),Y1695,IF(Parameter!$B$20="Jahresanfang 2025 + Export",BO1695+BN1695,BN1695)))</f>
        <v>3</v>
      </c>
      <c r="I1695" s="50" t="n">
        <f aca="false">H1695*G1695</f>
        <v>87</v>
      </c>
      <c r="J1695" s="50" t="n">
        <f aca="false">BQ1695*Parameter!$B$18</f>
        <v>0</v>
      </c>
      <c r="K1695" s="51"/>
      <c r="L1695" s="52"/>
      <c r="M1695" s="50" t="n">
        <v>0</v>
      </c>
      <c r="N1695" s="50" t="n">
        <v>3</v>
      </c>
      <c r="O1695" s="53" t="n">
        <v>35</v>
      </c>
      <c r="P1695" s="48" t="s">
        <v>306</v>
      </c>
      <c r="Q1695" s="50" t="n">
        <v>5</v>
      </c>
      <c r="R1695" s="53" t="n">
        <f aca="false">IF(BW1695=1,0,IFERROR(VLOOKUP(BU1695,'Gebinde-Kategorie'!$A$5:$N$45,13,0)+0,0))</f>
        <v>26</v>
      </c>
      <c r="S1695" s="54"/>
      <c r="T1695" s="55"/>
      <c r="U1695" s="55"/>
      <c r="V1695" s="55"/>
      <c r="W1695" s="48"/>
      <c r="X1695" s="50"/>
      <c r="Y1695" s="50"/>
      <c r="Z1695" s="48" t="n">
        <f aca="false">IF(A1695="","",IF(AND(Parameter!$B$21="Ja",ISNUMBER(W1695)),W1695,IF(BZ1695="2+3",IF(ISNUMBER(SEARCH("grosser Artikel",BR1695)),2,IFERROR(VLOOKUP(BU1695,Parameter!$F$35:$G$64,2,0),2)),IF(OR(BZ1695="Nein",BZ1695=""),"-",BZ1695))))</f>
        <v>1</v>
      </c>
      <c r="AA1695" s="55"/>
      <c r="AB1695" s="56"/>
      <c r="AC1695" s="50" t="n">
        <f aca="false">AT1695</f>
        <v>5</v>
      </c>
      <c r="AD1695" s="50" t="n">
        <f aca="false">MAX(AT1695,H1695)</f>
        <v>5</v>
      </c>
      <c r="AE1695" s="57"/>
      <c r="AF1695" s="50" t="n">
        <f aca="false">IF(LEFT(Cockpit!$C$5,1)="A",H1695,IF(CE1695=1,CF1695,IF(LEFT(Cockpit!$C$5,1)="B",AK1695,MAX(AK1695,H1695))))</f>
        <v>3</v>
      </c>
      <c r="AG1695" s="50" t="n">
        <f aca="false">IF(BW1695=1,0,ROUNDUP(AF1695/BV1695,0))</f>
        <v>1</v>
      </c>
      <c r="AH1695" s="52" t="n">
        <f aca="false">IF(CL1695&gt;0,CL1695*MAX(1,AF1695/X1695),IF(BW1695=1,IF(AF1695&lt;=0,0,CA1695*MAX(1,IF(H1695&gt;0,AF1695/H1695,1))),IF(R1695&gt;0,AG1695/R1695,0))/MAX(0.1,N(Parameter!$M$21)))</f>
        <v>0.0384615384615385</v>
      </c>
      <c r="AI1695" s="50" t="n">
        <f aca="false">AH1695*BY1695</f>
        <v>5.96153846153846</v>
      </c>
      <c r="AJ1695" s="50" t="n">
        <f aca="false">AF1695*G1695</f>
        <v>87</v>
      </c>
      <c r="AK1695" s="50" t="n">
        <f aca="false">ROUNDUP(MAX(J1695/IF(CD1695&gt;0,CD1695,MAX(0.1,N(Cockpit!$C$6))),CG1695)/BV1695,0)*BV1695</f>
        <v>5</v>
      </c>
      <c r="AL1695" s="51" t="n">
        <f aca="false">IF(AI1695&gt;0,J1695/AI1695,-1)</f>
        <v>0</v>
      </c>
      <c r="AM1695" s="51" t="n">
        <f aca="false">IF(AND(OR(CC1695="L1",CC1695="L23",CC1695="LIFT"),AI1695&gt;0),SUMIFS($AI$7:$AI$1843,$CC$7:$CC$1843,CC1695,$AL$7:$AL$1843,"&gt;"&amp;AL1695)+SUMIFS($AI$7:$AI$1843,$CC$7:$CC$1843,CC1695,$AL$7:$AL$1843,AL1695,$BT$7:$BT$1843,"&lt;="&amp;BT1695),"")</f>
        <v>32773.190990977</v>
      </c>
      <c r="AN1695" s="58" t="n">
        <f aca="false">IF(AM1695="",0,MAX(0,MIN(1,(IF(CC1695="L1",Parameter!$H$5,IF(CC1695="L23",Parameter!$H$6+Parameter!$H$7,Parameter!$H$5+Parameter!$H$6+Parameter!$H$7))-(AM1695-AI1695))/AI1695)))</f>
        <v>1</v>
      </c>
      <c r="AO1695" s="50" t="n">
        <f aca="false">IF(LEFT(Cockpit!$I$5,1)="A",H1695,IF(CE1695=1,CF1695,IF(LEFT(Cockpit!$I$5,1)="B",AT1695,MAX(AT1695,H1695))))</f>
        <v>5</v>
      </c>
      <c r="AP1695" s="50" t="n">
        <f aca="false">IF(BW1695=1,0,ROUNDUP(AO1695/BV1695,0))</f>
        <v>1</v>
      </c>
      <c r="AQ1695" s="52" t="n">
        <f aca="false">IF(CL1695&gt;0,CL1695*MAX(1,AO1695/X1695),IF(BW1695=1,IF(AO1695&lt;=0,0,CA1695*MAX(1,IF(H1695&gt;0,AO1695/H1695,1))),IF(R1695&gt;0,AP1695/R1695,0))/MAX(0.1,N(Parameter!$M$21)))</f>
        <v>0.0384615384615385</v>
      </c>
      <c r="AR1695" s="50" t="n">
        <f aca="false">AQ1695*BY1695</f>
        <v>5.96153846153846</v>
      </c>
      <c r="AS1695" s="50" t="n">
        <f aca="false">AO1695*G1695</f>
        <v>145</v>
      </c>
      <c r="AT1695" s="50" t="n">
        <f aca="false">ROUNDUP(MAX(J1695/IF(CD1695&gt;0,CD1695,MAX(0.1,N(Cockpit!$I$6))),CG1695)/BV1695,0)*BV1695</f>
        <v>5</v>
      </c>
      <c r="AU1695" s="51" t="n">
        <f aca="false">IF(AR1695&gt;0,J1695/AR1695,-1)</f>
        <v>0</v>
      </c>
      <c r="AV1695" s="51" t="n">
        <f aca="false">IF(AND(OR(CC1695="L1",CC1695="L23",CC1695="LIFT"),AR1695&gt;0),SUMIFS($AR$7:$AR$1843,$CC$7:$CC$1843,CC1695,$AU$7:$AU$1843,"&gt;"&amp;AU1695)+SUMIFS($AR$7:$AR$1843,$CC$7:$CC$1843,CC1695,$AU$7:$AU$1843,AU1695,$BT$7:$BT$1843,"&lt;="&amp;BT1695),"")</f>
        <v>45451.9600639474</v>
      </c>
      <c r="AW1695" s="58" t="n">
        <f aca="false">IF(AV1695="",0,MAX(0,MIN(1,(IF(CC1695="L1",Parameter!$H$5,IF(CC1695="L23",Parameter!$H$6+Parameter!$H$7,Parameter!$H$5+Parameter!$H$6+Parameter!$H$7))-(AV1695-AR1695))/AR1695)))</f>
        <v>0</v>
      </c>
      <c r="AX1695" s="50" t="n">
        <f aca="false">IF(LEFT(Cockpit!$O$5,1)="A",H1695,IF(CE1695=1,CF1695,IF(LEFT(Cockpit!$O$5,1)="B",BC1695,MAX(BC1695,H1695))))</f>
        <v>5</v>
      </c>
      <c r="AY1695" s="50" t="n">
        <f aca="false">IF(BW1695=1,0,ROUNDUP(AX1695/BV1695,0))</f>
        <v>1</v>
      </c>
      <c r="AZ1695" s="52" t="n">
        <f aca="false">IF(CL1695&gt;0,CL1695*MAX(1,AX1695/X1695),IF(BW1695=1,IF(AX1695&lt;=0,0,CA1695*MAX(1,IF(H1695&gt;0,AX1695/H1695,1))),IF(R1695&gt;0,AY1695/R1695,0))/MAX(0.1,N(Parameter!$M$21)))</f>
        <v>0.0384615384615385</v>
      </c>
      <c r="BA1695" s="50" t="n">
        <f aca="false">AZ1695*BY1695</f>
        <v>5.96153846153846</v>
      </c>
      <c r="BB1695" s="50" t="n">
        <f aca="false">AX1695*G1695</f>
        <v>145</v>
      </c>
      <c r="BC1695" s="50" t="n">
        <f aca="false">ROUNDUP(MAX(J1695/IF(CD1695&gt;0,CD1695,MAX(0.1,N(Cockpit!$O$6))),CG1695)/BV1695,0)*BV1695</f>
        <v>5</v>
      </c>
      <c r="BD1695" s="51" t="n">
        <f aca="false">IF(BA1695&gt;0,J1695/BA1695,-1)</f>
        <v>0</v>
      </c>
      <c r="BE1695" s="51" t="n">
        <f aca="false">IF(AND(OR(CC1695="L1",CC1695="L23",CC1695="LIFT"),BA1695&gt;0),SUMIFS($BA$7:$BA$1843,$CC$7:$CC$1843,CC1695,$BD$7:$BD$1843,"&gt;"&amp;BD1695)+SUMIFS($BA$7:$BA$1843,$CC$7:$CC$1843,CC1695,$BD$7:$BD$1843,BD1695,$BT$7:$BT$1843,"&lt;="&amp;BT1695),"")</f>
        <v>42126.9721058132</v>
      </c>
      <c r="BF1695" s="58" t="n">
        <f aca="false">IF(BE1695="",0,MAX(0,MIN(1,(IF(CC1695="L1",Parameter!$H$5,IF(CC1695="L23",Parameter!$H$6+Parameter!$H$7,Parameter!$H$5+Parameter!$H$6+Parameter!$H$7))-(BE1695-BA1695))/BA1695)))</f>
        <v>0</v>
      </c>
      <c r="BG1695" s="48" t="str">
        <f aca="false">IF(AI1695&lt;=0,"",IF(CC1695="Aussen","Aussenlager",IF(CC1695="-","Nicht im Lift",IF(AN1695&gt;=1,"Lift",IF(AN1695&lt;=0,"Aussenlager","teilweise")))))</f>
        <v>Lift</v>
      </c>
      <c r="BH1695" s="48" t="str">
        <f aca="false">IF(AR1695&lt;=0,"",IF(CC1695="Aussen","Aussenlager",IF(CC1695="-","Nicht im Lift",IF(AW1695&gt;=1,"Lift",IF(AW1695&lt;=0,"Aussenlager","teilweise")))))</f>
        <v>Aussenlager</v>
      </c>
      <c r="BI1695" s="48" t="str">
        <f aca="false">IF(BA1695&lt;=0,"",IF(CC1695="Aussen","Aussenlager",IF(CC1695="-","Nicht im Lift",IF(BF1695&gt;=1,"Lift",IF(BF1695&lt;=0,"Aussenlager","teilweise")))))</f>
        <v>Aussenlager</v>
      </c>
      <c r="BJ1695" s="48" t="str">
        <f aca="false">IF(A1695="","",IF(BS1695=1,"Neu; ","")&amp;IF(AND(BS1695=0,BN1695&lt;0),"negativer Bestand (Export "&amp;BN1695&amp;"); ","")&amp;IF(J1695&lt;=0,"Kein Verbrauch; ","")&amp;IF(CL1695&gt;0,"Lift "&amp;W1695&amp;" lt. Liftbericht (Fach "&amp;X1695&amp;" Stk); ",IF(BX1695=1,"Gebinde geschätzt ("&amp;T1695&amp;"); ",IF(BW1695=1,"Lose – Tablare geschätzt; ","")))&amp;IF(H1695&gt;AT1695,"Überbestand "&amp;ROUND(H1695-AT1695,0)&amp;" Stk / CHF "&amp;ROUND((H1695-AT1695)*G1695,0)&amp;"; ","")&amp;IF(AND(CE1695=1,CF1695&lt;CG1695),"MAX &lt; MB+LG; ","")&amp;IF(AND(CK1695&gt;0,CJ1695*10&gt;CK1695),"zu hoch für Tablar; ","")&amp;IF(AND(BS1695=0,OR(CE1695=1,AA1695&lt;&gt;"",U1695&lt;&gt;"",V1695&lt;&gt;"",AB1695&lt;&gt;"")),"manuell übersteuert; ","")&amp;IF(AND(BW1695=0,R1695=0),"Gebinde unbekannt / Stellmass fehlt; ","")&amp;IF(AND(BW1695=0,N(V1695)&lt;=0,N(Q1695)&lt;=0),"Menge pro Gebinde fehlt (Ist = 1 Gebinde); ","")&amp;BR1695)</f>
        <v>Kein Verbrauch; nur im Artikelstamm (Bestand 23.06.2026)</v>
      </c>
      <c r="BK1695" s="48"/>
      <c r="BL1695" s="48"/>
      <c r="BM1695" s="55"/>
      <c r="BN1695" s="50" t="n">
        <v>3</v>
      </c>
      <c r="BO1695" s="50" t="n">
        <v>0</v>
      </c>
      <c r="BP1695" s="49" t="n">
        <v>0</v>
      </c>
      <c r="BQ1695" s="50" t="n">
        <v>0</v>
      </c>
      <c r="BR1695" s="48" t="s">
        <v>2579</v>
      </c>
      <c r="BS1695" s="53" t="n">
        <v>0</v>
      </c>
      <c r="BT1695" s="53" t="n">
        <v>1695</v>
      </c>
      <c r="BU1695" s="48" t="str">
        <f aca="false">IF(U1695&lt;&gt;"",UPPER(TRIM(U1695)),IF(BX1695=1,UPPER(VLOOKUP(T1695,Parameter!$I$27:$K$29,2,0)),IF(P1695="","LOSE",P1695)))</f>
        <v>S51</v>
      </c>
      <c r="BV1695" s="50" t="n">
        <f aca="false">IF(BU1695="LOSE",1,IF(N(V1695)&gt;0,V1695,IF(BX1695=1,MAX(1,N(VLOOKUP(T1695,Parameter!$I$27:$K$29,3,0)),H1695,N(N1695)),IF(N(Q1695)&gt;0,Q1695,MAX(1,H1695)))))</f>
        <v>5</v>
      </c>
      <c r="BW1695" s="53" t="n">
        <f aca="false">IF(BU1695="LOSE",1,0)</f>
        <v>0</v>
      </c>
      <c r="BX1695" s="53" t="n">
        <f aca="false">IF(AND(U1695="",OR(P1695="",P1695="LOSE"),T1695&lt;&gt;"",N(S1695)&lt;=0,ISNUMBER(MATCH(T1695,Parameter!$I$27:$I$29,0))),1,0)</f>
        <v>0</v>
      </c>
      <c r="BY1695" s="53" t="n">
        <f aca="false">IF(CL1695&gt;0,INDEX(Parameter!$H$5:$H$7,W1695)/INDEX(Parameter!$E$5:$E$7,W1695),IF(AND(BW1695=0,N(IFERROR(VLOOKUP(BU1695,'Gebinde-Kategorie'!$A$5:$N$45,14,0),0))&gt;0),VLOOKUP(BU1695,'Gebinde-Kategorie'!$A$5:$N$45,14,0)*10+Parameter!$M$23,Parameter!$M$24))</f>
        <v>155</v>
      </c>
      <c r="BZ1695" s="48" t="n">
        <f aca="false">IF(AND(Parameter!$B$19="Ja",E1695&lt;&gt;"",ISNUMBER(MATCH(E1695,Parameter!$I$35:$I$52,0))),VLOOKUP(E1695,Parameter!$I$35:$J$52,2,0),IFERROR(VLOOKUP(D1695,Parameter!$A$35:$C$64,2,0),"Nein"))</f>
        <v>1</v>
      </c>
      <c r="CA1695" s="52" t="n">
        <f aca="false">IF(BW1695=0,0,IF(N(S1695)&gt;0,S1695,IFERROR(VLOOKUP(D1695,Parameter!$A$35:$C$64,3,0)+0,0)))</f>
        <v>0</v>
      </c>
      <c r="CB1695" s="48" t="n">
        <f aca="false">IF(AA1695&lt;&gt;"",AA1695,Z1695)</f>
        <v>1</v>
      </c>
      <c r="CC1695" s="48" t="str">
        <f aca="false">IF(OR(CB1695=1,CB1695=2,CB1695=3),IF(Parameter!$E$27="Ja","LIFT",IF(CB1695=1,"L1","L23")),IF(CB1695="Aussen","Aussen","-"))</f>
        <v>LIFT</v>
      </c>
      <c r="CD1695" s="59" t="n">
        <f aca="false">IF(N(AB1695)&gt;0,AB1695,0)</f>
        <v>0</v>
      </c>
      <c r="CE1695" s="53" t="n">
        <f aca="false">IF(ISNUMBER(AE1695),1,0)</f>
        <v>0</v>
      </c>
      <c r="CF1695" s="50" t="n">
        <f aca="false">N(AE1695)</f>
        <v>0</v>
      </c>
      <c r="CG1695" s="50" t="n">
        <f aca="false">N(M1695)+N(N1695)</f>
        <v>3</v>
      </c>
      <c r="CH1695" s="50" t="n">
        <f aca="false">ROUNDUP(H1695/BV1695,0)</f>
        <v>1</v>
      </c>
      <c r="CI1695" s="50" t="n">
        <f aca="false">ROUNDUP(CF1695/BV1695,0)</f>
        <v>0</v>
      </c>
      <c r="CJ1695" s="53" t="n">
        <f aca="false">IF(BW1695=1,0,IFERROR(VLOOKUP(BU1695,'Gebinde-Kategorie'!$A$5:$N$45,5,0)+0,0))</f>
        <v>11</v>
      </c>
      <c r="CK1695" s="53" t="n">
        <f aca="false">IFERROR(IF(OR(CB1695=1,CB1695=2,CB1695=3),N(INDEX(Parameter!$I$5:$I$7,CB1695)),0),0)</f>
        <v>0</v>
      </c>
      <c r="CL1695" s="52" t="n">
        <f aca="false">IF(AND(Parameter!$B$21="Ja",ISNUMBER(W1695),N(X1695)&gt;0),IFERROR(N(INDEX(Parameter!$L$5:$L$7,W1695))*INDEX(Parameter!$E$5:$E$7,W1695)*X1695/SUMIFS($X$7:$X$1843,$W$7:$W$1843,W1695),0),0)</f>
        <v>0</v>
      </c>
    </row>
    <row r="1696" customFormat="false" ht="15" hidden="false" customHeight="false" outlineLevel="0" collapsed="false">
      <c r="A1696" s="48" t="s">
        <v>2941</v>
      </c>
      <c r="B1696" s="48" t="s">
        <v>826</v>
      </c>
      <c r="C1696" s="48" t="s">
        <v>168</v>
      </c>
      <c r="D1696" s="48" t="s">
        <v>188</v>
      </c>
      <c r="E1696" s="48"/>
      <c r="F1696" s="48"/>
      <c r="G1696" s="49" t="n">
        <v>34</v>
      </c>
      <c r="H1696" s="50" t="n">
        <f aca="false">MAX(0,IF(AND(Parameter!$B$21="Ja",ISNUMBER(Y1696)),Y1696,IF(Parameter!$B$20="Jahresanfang 2025 + Export",BO1696+BN1696,BN1696)))</f>
        <v>3</v>
      </c>
      <c r="I1696" s="50" t="n">
        <f aca="false">H1696*G1696</f>
        <v>102</v>
      </c>
      <c r="J1696" s="50" t="n">
        <f aca="false">BQ1696*Parameter!$B$18</f>
        <v>0</v>
      </c>
      <c r="K1696" s="51"/>
      <c r="L1696" s="52"/>
      <c r="M1696" s="50" t="n">
        <v>0</v>
      </c>
      <c r="N1696" s="50" t="n">
        <v>3</v>
      </c>
      <c r="O1696" s="53" t="n">
        <v>35</v>
      </c>
      <c r="P1696" s="48" t="s">
        <v>306</v>
      </c>
      <c r="Q1696" s="50" t="n">
        <v>5</v>
      </c>
      <c r="R1696" s="53" t="n">
        <f aca="false">IF(BW1696=1,0,IFERROR(VLOOKUP(BU1696,'Gebinde-Kategorie'!$A$5:$N$45,13,0)+0,0))</f>
        <v>26</v>
      </c>
      <c r="S1696" s="54"/>
      <c r="T1696" s="55"/>
      <c r="U1696" s="55"/>
      <c r="V1696" s="55"/>
      <c r="W1696" s="48"/>
      <c r="X1696" s="50"/>
      <c r="Y1696" s="50"/>
      <c r="Z1696" s="48" t="n">
        <f aca="false">IF(A1696="","",IF(AND(Parameter!$B$21="Ja",ISNUMBER(W1696)),W1696,IF(BZ1696="2+3",IF(ISNUMBER(SEARCH("grosser Artikel",BR1696)),2,IFERROR(VLOOKUP(BU1696,Parameter!$F$35:$G$64,2,0),2)),IF(OR(BZ1696="Nein",BZ1696=""),"-",BZ1696))))</f>
        <v>3</v>
      </c>
      <c r="AA1696" s="55"/>
      <c r="AB1696" s="56"/>
      <c r="AC1696" s="50" t="n">
        <f aca="false">AT1696</f>
        <v>5</v>
      </c>
      <c r="AD1696" s="50" t="n">
        <f aca="false">MAX(AT1696,H1696)</f>
        <v>5</v>
      </c>
      <c r="AE1696" s="57"/>
      <c r="AF1696" s="50" t="n">
        <f aca="false">IF(LEFT(Cockpit!$C$5,1)="A",H1696,IF(CE1696=1,CF1696,IF(LEFT(Cockpit!$C$5,1)="B",AK1696,MAX(AK1696,H1696))))</f>
        <v>3</v>
      </c>
      <c r="AG1696" s="50" t="n">
        <f aca="false">IF(BW1696=1,0,ROUNDUP(AF1696/BV1696,0))</f>
        <v>1</v>
      </c>
      <c r="AH1696" s="52" t="n">
        <f aca="false">IF(CL1696&gt;0,CL1696*MAX(1,AF1696/X1696),IF(BW1696=1,IF(AF1696&lt;=0,0,CA1696*MAX(1,IF(H1696&gt;0,AF1696/H1696,1))),IF(R1696&gt;0,AG1696/R1696,0))/MAX(0.1,N(Parameter!$M$21)))</f>
        <v>0.0384615384615385</v>
      </c>
      <c r="AI1696" s="50" t="n">
        <f aca="false">AH1696*BY1696</f>
        <v>5.96153846153846</v>
      </c>
      <c r="AJ1696" s="50" t="n">
        <f aca="false">AF1696*G1696</f>
        <v>102</v>
      </c>
      <c r="AK1696" s="50" t="n">
        <f aca="false">ROUNDUP(MAX(J1696/IF(CD1696&gt;0,CD1696,MAX(0.1,N(Cockpit!$C$6))),CG1696)/BV1696,0)*BV1696</f>
        <v>5</v>
      </c>
      <c r="AL1696" s="51" t="n">
        <f aca="false">IF(AI1696&gt;0,J1696/AI1696,-1)</f>
        <v>0</v>
      </c>
      <c r="AM1696" s="51" t="n">
        <f aca="false">IF(AND(OR(CC1696="L1",CC1696="L23",CC1696="LIFT"),AI1696&gt;0),SUMIFS($AI$7:$AI$1843,$CC$7:$CC$1843,CC1696,$AL$7:$AL$1843,"&gt;"&amp;AL1696)+SUMIFS($AI$7:$AI$1843,$CC$7:$CC$1843,CC1696,$AL$7:$AL$1843,AL1696,$BT$7:$BT$1843,"&lt;="&amp;BT1696),"")</f>
        <v>32779.1525294385</v>
      </c>
      <c r="AN1696" s="58" t="n">
        <f aca="false">IF(AM1696="",0,MAX(0,MIN(1,(IF(CC1696="L1",Parameter!$H$5,IF(CC1696="L23",Parameter!$H$6+Parameter!$H$7,Parameter!$H$5+Parameter!$H$6+Parameter!$H$7))-(AM1696-AI1696))/AI1696)))</f>
        <v>1</v>
      </c>
      <c r="AO1696" s="50" t="n">
        <f aca="false">IF(LEFT(Cockpit!$I$5,1)="A",H1696,IF(CE1696=1,CF1696,IF(LEFT(Cockpit!$I$5,1)="B",AT1696,MAX(AT1696,H1696))))</f>
        <v>5</v>
      </c>
      <c r="AP1696" s="50" t="n">
        <f aca="false">IF(BW1696=1,0,ROUNDUP(AO1696/BV1696,0))</f>
        <v>1</v>
      </c>
      <c r="AQ1696" s="52" t="n">
        <f aca="false">IF(CL1696&gt;0,CL1696*MAX(1,AO1696/X1696),IF(BW1696=1,IF(AO1696&lt;=0,0,CA1696*MAX(1,IF(H1696&gt;0,AO1696/H1696,1))),IF(R1696&gt;0,AP1696/R1696,0))/MAX(0.1,N(Parameter!$M$21)))</f>
        <v>0.0384615384615385</v>
      </c>
      <c r="AR1696" s="50" t="n">
        <f aca="false">AQ1696*BY1696</f>
        <v>5.96153846153846</v>
      </c>
      <c r="AS1696" s="50" t="n">
        <f aca="false">AO1696*G1696</f>
        <v>170</v>
      </c>
      <c r="AT1696" s="50" t="n">
        <f aca="false">ROUNDUP(MAX(J1696/IF(CD1696&gt;0,CD1696,MAX(0.1,N(Cockpit!$I$6))),CG1696)/BV1696,0)*BV1696</f>
        <v>5</v>
      </c>
      <c r="AU1696" s="51" t="n">
        <f aca="false">IF(AR1696&gt;0,J1696/AR1696,-1)</f>
        <v>0</v>
      </c>
      <c r="AV1696" s="51" t="n">
        <f aca="false">IF(AND(OR(CC1696="L1",CC1696="L23",CC1696="LIFT"),AR1696&gt;0),SUMIFS($AR$7:$AR$1843,$CC$7:$CC$1843,CC1696,$AU$7:$AU$1843,"&gt;"&amp;AU1696)+SUMIFS($AR$7:$AR$1843,$CC$7:$CC$1843,CC1696,$AU$7:$AU$1843,AU1696,$BT$7:$BT$1843,"&lt;="&amp;BT1696),"")</f>
        <v>45457.9216024089</v>
      </c>
      <c r="AW1696" s="58" t="n">
        <f aca="false">IF(AV1696="",0,MAX(0,MIN(1,(IF(CC1696="L1",Parameter!$H$5,IF(CC1696="L23",Parameter!$H$6+Parameter!$H$7,Parameter!$H$5+Parameter!$H$6+Parameter!$H$7))-(AV1696-AR1696))/AR1696)))</f>
        <v>0</v>
      </c>
      <c r="AX1696" s="50" t="n">
        <f aca="false">IF(LEFT(Cockpit!$O$5,1)="A",H1696,IF(CE1696=1,CF1696,IF(LEFT(Cockpit!$O$5,1)="B",BC1696,MAX(BC1696,H1696))))</f>
        <v>5</v>
      </c>
      <c r="AY1696" s="50" t="n">
        <f aca="false">IF(BW1696=1,0,ROUNDUP(AX1696/BV1696,0))</f>
        <v>1</v>
      </c>
      <c r="AZ1696" s="52" t="n">
        <f aca="false">IF(CL1696&gt;0,CL1696*MAX(1,AX1696/X1696),IF(BW1696=1,IF(AX1696&lt;=0,0,CA1696*MAX(1,IF(H1696&gt;0,AX1696/H1696,1))),IF(R1696&gt;0,AY1696/R1696,0))/MAX(0.1,N(Parameter!$M$21)))</f>
        <v>0.0384615384615385</v>
      </c>
      <c r="BA1696" s="50" t="n">
        <f aca="false">AZ1696*BY1696</f>
        <v>5.96153846153846</v>
      </c>
      <c r="BB1696" s="50" t="n">
        <f aca="false">AX1696*G1696</f>
        <v>170</v>
      </c>
      <c r="BC1696" s="50" t="n">
        <f aca="false">ROUNDUP(MAX(J1696/IF(CD1696&gt;0,CD1696,MAX(0.1,N(Cockpit!$O$6))),CG1696)/BV1696,0)*BV1696</f>
        <v>5</v>
      </c>
      <c r="BD1696" s="51" t="n">
        <f aca="false">IF(BA1696&gt;0,J1696/BA1696,-1)</f>
        <v>0</v>
      </c>
      <c r="BE1696" s="51" t="n">
        <f aca="false">IF(AND(OR(CC1696="L1",CC1696="L23",CC1696="LIFT"),BA1696&gt;0),SUMIFS($BA$7:$BA$1843,$CC$7:$CC$1843,CC1696,$BD$7:$BD$1843,"&gt;"&amp;BD1696)+SUMIFS($BA$7:$BA$1843,$CC$7:$CC$1843,CC1696,$BD$7:$BD$1843,BD1696,$BT$7:$BT$1843,"&lt;="&amp;BT1696),"")</f>
        <v>42132.9336442748</v>
      </c>
      <c r="BF1696" s="58" t="n">
        <f aca="false">IF(BE1696="",0,MAX(0,MIN(1,(IF(CC1696="L1",Parameter!$H$5,IF(CC1696="L23",Parameter!$H$6+Parameter!$H$7,Parameter!$H$5+Parameter!$H$6+Parameter!$H$7))-(BE1696-BA1696))/BA1696)))</f>
        <v>0</v>
      </c>
      <c r="BG1696" s="48" t="str">
        <f aca="false">IF(AI1696&lt;=0,"",IF(CC1696="Aussen","Aussenlager",IF(CC1696="-","Nicht im Lift",IF(AN1696&gt;=1,"Lift",IF(AN1696&lt;=0,"Aussenlager","teilweise")))))</f>
        <v>Lift</v>
      </c>
      <c r="BH1696" s="48" t="str">
        <f aca="false">IF(AR1696&lt;=0,"",IF(CC1696="Aussen","Aussenlager",IF(CC1696="-","Nicht im Lift",IF(AW1696&gt;=1,"Lift",IF(AW1696&lt;=0,"Aussenlager","teilweise")))))</f>
        <v>Aussenlager</v>
      </c>
      <c r="BI1696" s="48" t="str">
        <f aca="false">IF(BA1696&lt;=0,"",IF(CC1696="Aussen","Aussenlager",IF(CC1696="-","Nicht im Lift",IF(BF1696&gt;=1,"Lift",IF(BF1696&lt;=0,"Aussenlager","teilweise")))))</f>
        <v>Aussenlager</v>
      </c>
      <c r="BJ1696" s="48" t="str">
        <f aca="false">IF(A1696="","",IF(BS1696=1,"Neu; ","")&amp;IF(AND(BS1696=0,BN1696&lt;0),"negativer Bestand (Export "&amp;BN1696&amp;"); ","")&amp;IF(J1696&lt;=0,"Kein Verbrauch; ","")&amp;IF(CL1696&gt;0,"Lift "&amp;W1696&amp;" lt. Liftbericht (Fach "&amp;X1696&amp;" Stk); ",IF(BX1696=1,"Gebinde geschätzt ("&amp;T1696&amp;"); ",IF(BW1696=1,"Lose – Tablare geschätzt; ","")))&amp;IF(H1696&gt;AT1696,"Überbestand "&amp;ROUND(H1696-AT1696,0)&amp;" Stk / CHF "&amp;ROUND((H1696-AT1696)*G1696,0)&amp;"; ","")&amp;IF(AND(CE1696=1,CF1696&lt;CG1696),"MAX &lt; MB+LG; ","")&amp;IF(AND(CK1696&gt;0,CJ1696*10&gt;CK1696),"zu hoch für Tablar; ","")&amp;IF(AND(BS1696=0,OR(CE1696=1,AA1696&lt;&gt;"",U1696&lt;&gt;"",V1696&lt;&gt;"",AB1696&lt;&gt;"")),"manuell übersteuert; ","")&amp;IF(AND(BW1696=0,R1696=0),"Gebinde unbekannt / Stellmass fehlt; ","")&amp;IF(AND(BW1696=0,N(V1696)&lt;=0,N(Q1696)&lt;=0),"Menge pro Gebinde fehlt (Ist = 1 Gebinde); ","")&amp;BR1696)</f>
        <v>Kein Verbrauch; nur im Artikelstamm (Bestand 23.06.2026)</v>
      </c>
      <c r="BK1696" s="48"/>
      <c r="BL1696" s="48"/>
      <c r="BM1696" s="55"/>
      <c r="BN1696" s="50" t="n">
        <v>3</v>
      </c>
      <c r="BO1696" s="50" t="n">
        <v>0</v>
      </c>
      <c r="BP1696" s="49" t="n">
        <v>0</v>
      </c>
      <c r="BQ1696" s="50" t="n">
        <v>0</v>
      </c>
      <c r="BR1696" s="48" t="s">
        <v>2579</v>
      </c>
      <c r="BS1696" s="53" t="n">
        <v>0</v>
      </c>
      <c r="BT1696" s="53" t="n">
        <v>1696</v>
      </c>
      <c r="BU1696" s="48" t="str">
        <f aca="false">IF(U1696&lt;&gt;"",UPPER(TRIM(U1696)),IF(BX1696=1,UPPER(VLOOKUP(T1696,Parameter!$I$27:$K$29,2,0)),IF(P1696="","LOSE",P1696)))</f>
        <v>S51</v>
      </c>
      <c r="BV1696" s="50" t="n">
        <f aca="false">IF(BU1696="LOSE",1,IF(N(V1696)&gt;0,V1696,IF(BX1696=1,MAX(1,N(VLOOKUP(T1696,Parameter!$I$27:$K$29,3,0)),H1696,N(N1696)),IF(N(Q1696)&gt;0,Q1696,MAX(1,H1696)))))</f>
        <v>5</v>
      </c>
      <c r="BW1696" s="53" t="n">
        <f aca="false">IF(BU1696="LOSE",1,0)</f>
        <v>0</v>
      </c>
      <c r="BX1696" s="53" t="n">
        <f aca="false">IF(AND(U1696="",OR(P1696="",P1696="LOSE"),T1696&lt;&gt;"",N(S1696)&lt;=0,ISNUMBER(MATCH(T1696,Parameter!$I$27:$I$29,0))),1,0)</f>
        <v>0</v>
      </c>
      <c r="BY1696" s="53" t="n">
        <f aca="false">IF(CL1696&gt;0,INDEX(Parameter!$H$5:$H$7,W1696)/INDEX(Parameter!$E$5:$E$7,W1696),IF(AND(BW1696=0,N(IFERROR(VLOOKUP(BU1696,'Gebinde-Kategorie'!$A$5:$N$45,14,0),0))&gt;0),VLOOKUP(BU1696,'Gebinde-Kategorie'!$A$5:$N$45,14,0)*10+Parameter!$M$23,Parameter!$M$24))</f>
        <v>155</v>
      </c>
      <c r="BZ1696" s="48" t="str">
        <f aca="false">IF(AND(Parameter!$B$19="Ja",E1696&lt;&gt;"",ISNUMBER(MATCH(E1696,Parameter!$I$35:$I$52,0))),VLOOKUP(E1696,Parameter!$I$35:$J$52,2,0),IFERROR(VLOOKUP(D1696,Parameter!$A$35:$C$64,2,0),"Nein"))</f>
        <v>2+3</v>
      </c>
      <c r="CA1696" s="52" t="n">
        <f aca="false">IF(BW1696=0,0,IF(N(S1696)&gt;0,S1696,IFERROR(VLOOKUP(D1696,Parameter!$A$35:$C$64,3,0)+0,0)))</f>
        <v>0</v>
      </c>
      <c r="CB1696" s="48" t="n">
        <f aca="false">IF(AA1696&lt;&gt;"",AA1696,Z1696)</f>
        <v>3</v>
      </c>
      <c r="CC1696" s="48" t="str">
        <f aca="false">IF(OR(CB1696=1,CB1696=2,CB1696=3),IF(Parameter!$E$27="Ja","LIFT",IF(CB1696=1,"L1","L23")),IF(CB1696="Aussen","Aussen","-"))</f>
        <v>LIFT</v>
      </c>
      <c r="CD1696" s="59" t="n">
        <f aca="false">IF(N(AB1696)&gt;0,AB1696,0)</f>
        <v>0</v>
      </c>
      <c r="CE1696" s="53" t="n">
        <f aca="false">IF(ISNUMBER(AE1696),1,0)</f>
        <v>0</v>
      </c>
      <c r="CF1696" s="50" t="n">
        <f aca="false">N(AE1696)</f>
        <v>0</v>
      </c>
      <c r="CG1696" s="50" t="n">
        <f aca="false">N(M1696)+N(N1696)</f>
        <v>3</v>
      </c>
      <c r="CH1696" s="50" t="n">
        <f aca="false">ROUNDUP(H1696/BV1696,0)</f>
        <v>1</v>
      </c>
      <c r="CI1696" s="50" t="n">
        <f aca="false">ROUNDUP(CF1696/BV1696,0)</f>
        <v>0</v>
      </c>
      <c r="CJ1696" s="53" t="n">
        <f aca="false">IF(BW1696=1,0,IFERROR(VLOOKUP(BU1696,'Gebinde-Kategorie'!$A$5:$N$45,5,0)+0,0))</f>
        <v>11</v>
      </c>
      <c r="CK1696" s="53" t="n">
        <f aca="false">IFERROR(IF(OR(CB1696=1,CB1696=2,CB1696=3),N(INDEX(Parameter!$I$5:$I$7,CB1696)),0),0)</f>
        <v>0</v>
      </c>
      <c r="CL1696" s="52" t="n">
        <f aca="false">IF(AND(Parameter!$B$21="Ja",ISNUMBER(W1696),N(X1696)&gt;0),IFERROR(N(INDEX(Parameter!$L$5:$L$7,W1696))*INDEX(Parameter!$E$5:$E$7,W1696)*X1696/SUMIFS($X$7:$X$1843,$W$7:$W$1843,W1696),0),0)</f>
        <v>0</v>
      </c>
    </row>
    <row r="1697" customFormat="false" ht="15" hidden="false" customHeight="false" outlineLevel="0" collapsed="false">
      <c r="A1697" s="48" t="s">
        <v>2942</v>
      </c>
      <c r="B1697" s="48" t="s">
        <v>1140</v>
      </c>
      <c r="C1697" s="48" t="s">
        <v>168</v>
      </c>
      <c r="D1697" s="48" t="s">
        <v>188</v>
      </c>
      <c r="E1697" s="48"/>
      <c r="F1697" s="48"/>
      <c r="G1697" s="49" t="n">
        <v>4.6</v>
      </c>
      <c r="H1697" s="50" t="n">
        <f aca="false">MAX(0,IF(AND(Parameter!$B$21="Ja",ISNUMBER(Y1697)),Y1697,IF(Parameter!$B$20="Jahresanfang 2025 + Export",BO1697+BN1697,BN1697)))</f>
        <v>10</v>
      </c>
      <c r="I1697" s="50" t="n">
        <f aca="false">H1697*G1697</f>
        <v>46</v>
      </c>
      <c r="J1697" s="50" t="n">
        <f aca="false">BQ1697*Parameter!$B$18</f>
        <v>0</v>
      </c>
      <c r="K1697" s="51"/>
      <c r="L1697" s="52"/>
      <c r="M1697" s="50" t="n">
        <v>0</v>
      </c>
      <c r="N1697" s="50" t="n">
        <v>1</v>
      </c>
      <c r="O1697" s="53" t="n">
        <v>28</v>
      </c>
      <c r="P1697" s="48" t="s">
        <v>332</v>
      </c>
      <c r="Q1697" s="50" t="n">
        <v>9</v>
      </c>
      <c r="R1697" s="53" t="n">
        <f aca="false">IF(BW1697=1,0,IFERROR(VLOOKUP(BU1697,'Gebinde-Kategorie'!$A$5:$N$45,13,0)+0,0))</f>
        <v>52</v>
      </c>
      <c r="S1697" s="54"/>
      <c r="T1697" s="55"/>
      <c r="U1697" s="55"/>
      <c r="V1697" s="55"/>
      <c r="W1697" s="48"/>
      <c r="X1697" s="50"/>
      <c r="Y1697" s="50"/>
      <c r="Z1697" s="48" t="n">
        <f aca="false">IF(A1697="","",IF(AND(Parameter!$B$21="Ja",ISNUMBER(W1697)),W1697,IF(BZ1697="2+3",IF(ISNUMBER(SEARCH("grosser Artikel",BR1697)),2,IFERROR(VLOOKUP(BU1697,Parameter!$F$35:$G$64,2,0),2)),IF(OR(BZ1697="Nein",BZ1697=""),"-",BZ1697))))</f>
        <v>3</v>
      </c>
      <c r="AA1697" s="55"/>
      <c r="AB1697" s="56"/>
      <c r="AC1697" s="50" t="n">
        <f aca="false">AT1697</f>
        <v>9</v>
      </c>
      <c r="AD1697" s="50" t="n">
        <f aca="false">MAX(AT1697,H1697)</f>
        <v>10</v>
      </c>
      <c r="AE1697" s="57"/>
      <c r="AF1697" s="50" t="n">
        <f aca="false">IF(LEFT(Cockpit!$C$5,1)="A",H1697,IF(CE1697=1,CF1697,IF(LEFT(Cockpit!$C$5,1)="B",AK1697,MAX(AK1697,H1697))))</f>
        <v>10</v>
      </c>
      <c r="AG1697" s="50" t="n">
        <f aca="false">IF(BW1697=1,0,ROUNDUP(AF1697/BV1697,0))</f>
        <v>2</v>
      </c>
      <c r="AH1697" s="52" t="n">
        <f aca="false">IF(CL1697&gt;0,CL1697*MAX(1,AF1697/X1697),IF(BW1697=1,IF(AF1697&lt;=0,0,CA1697*MAX(1,IF(H1697&gt;0,AF1697/H1697,1))),IF(R1697&gt;0,AG1697/R1697,0))/MAX(0.1,N(Parameter!$M$21)))</f>
        <v>0.0384615384615385</v>
      </c>
      <c r="AI1697" s="50" t="n">
        <f aca="false">AH1697*BY1697</f>
        <v>5.96153846153846</v>
      </c>
      <c r="AJ1697" s="50" t="n">
        <f aca="false">AF1697*G1697</f>
        <v>46</v>
      </c>
      <c r="AK1697" s="50" t="n">
        <f aca="false">ROUNDUP(MAX(J1697/IF(CD1697&gt;0,CD1697,MAX(0.1,N(Cockpit!$C$6))),CG1697)/BV1697,0)*BV1697</f>
        <v>9</v>
      </c>
      <c r="AL1697" s="51" t="n">
        <f aca="false">IF(AI1697&gt;0,J1697/AI1697,-1)</f>
        <v>0</v>
      </c>
      <c r="AM1697" s="51" t="n">
        <f aca="false">IF(AND(OR(CC1697="L1",CC1697="L23",CC1697="LIFT"),AI1697&gt;0),SUMIFS($AI$7:$AI$1843,$CC$7:$CC$1843,CC1697,$AL$7:$AL$1843,"&gt;"&amp;AL1697)+SUMIFS($AI$7:$AI$1843,$CC$7:$CC$1843,CC1697,$AL$7:$AL$1843,AL1697,$BT$7:$BT$1843,"&lt;="&amp;BT1697),"")</f>
        <v>32785.1140679001</v>
      </c>
      <c r="AN1697" s="58" t="n">
        <f aca="false">IF(AM1697="",0,MAX(0,MIN(1,(IF(CC1697="L1",Parameter!$H$5,IF(CC1697="L23",Parameter!$H$6+Parameter!$H$7,Parameter!$H$5+Parameter!$H$6+Parameter!$H$7))-(AM1697-AI1697))/AI1697)))</f>
        <v>1</v>
      </c>
      <c r="AO1697" s="50" t="n">
        <f aca="false">IF(LEFT(Cockpit!$I$5,1)="A",H1697,IF(CE1697=1,CF1697,IF(LEFT(Cockpit!$I$5,1)="B",AT1697,MAX(AT1697,H1697))))</f>
        <v>10</v>
      </c>
      <c r="AP1697" s="50" t="n">
        <f aca="false">IF(BW1697=1,0,ROUNDUP(AO1697/BV1697,0))</f>
        <v>2</v>
      </c>
      <c r="AQ1697" s="52" t="n">
        <f aca="false">IF(CL1697&gt;0,CL1697*MAX(1,AO1697/X1697),IF(BW1697=1,IF(AO1697&lt;=0,0,CA1697*MAX(1,IF(H1697&gt;0,AO1697/H1697,1))),IF(R1697&gt;0,AP1697/R1697,0))/MAX(0.1,N(Parameter!$M$21)))</f>
        <v>0.0384615384615385</v>
      </c>
      <c r="AR1697" s="50" t="n">
        <f aca="false">AQ1697*BY1697</f>
        <v>5.96153846153846</v>
      </c>
      <c r="AS1697" s="50" t="n">
        <f aca="false">AO1697*G1697</f>
        <v>46</v>
      </c>
      <c r="AT1697" s="50" t="n">
        <f aca="false">ROUNDUP(MAX(J1697/IF(CD1697&gt;0,CD1697,MAX(0.1,N(Cockpit!$I$6))),CG1697)/BV1697,0)*BV1697</f>
        <v>9</v>
      </c>
      <c r="AU1697" s="51" t="n">
        <f aca="false">IF(AR1697&gt;0,J1697/AR1697,-1)</f>
        <v>0</v>
      </c>
      <c r="AV1697" s="51" t="n">
        <f aca="false">IF(AND(OR(CC1697="L1",CC1697="L23",CC1697="LIFT"),AR1697&gt;0),SUMIFS($AR$7:$AR$1843,$CC$7:$CC$1843,CC1697,$AU$7:$AU$1843,"&gt;"&amp;AU1697)+SUMIFS($AR$7:$AR$1843,$CC$7:$CC$1843,CC1697,$AU$7:$AU$1843,AU1697,$BT$7:$BT$1843,"&lt;="&amp;BT1697),"")</f>
        <v>45463.8831408704</v>
      </c>
      <c r="AW1697" s="58" t="n">
        <f aca="false">IF(AV1697="",0,MAX(0,MIN(1,(IF(CC1697="L1",Parameter!$H$5,IF(CC1697="L23",Parameter!$H$6+Parameter!$H$7,Parameter!$H$5+Parameter!$H$6+Parameter!$H$7))-(AV1697-AR1697))/AR1697)))</f>
        <v>0</v>
      </c>
      <c r="AX1697" s="50" t="n">
        <f aca="false">IF(LEFT(Cockpit!$O$5,1)="A",H1697,IF(CE1697=1,CF1697,IF(LEFT(Cockpit!$O$5,1)="B",BC1697,MAX(BC1697,H1697))))</f>
        <v>10</v>
      </c>
      <c r="AY1697" s="50" t="n">
        <f aca="false">IF(BW1697=1,0,ROUNDUP(AX1697/BV1697,0))</f>
        <v>2</v>
      </c>
      <c r="AZ1697" s="52" t="n">
        <f aca="false">IF(CL1697&gt;0,CL1697*MAX(1,AX1697/X1697),IF(BW1697=1,IF(AX1697&lt;=0,0,CA1697*MAX(1,IF(H1697&gt;0,AX1697/H1697,1))),IF(R1697&gt;0,AY1697/R1697,0))/MAX(0.1,N(Parameter!$M$21)))</f>
        <v>0.0384615384615385</v>
      </c>
      <c r="BA1697" s="50" t="n">
        <f aca="false">AZ1697*BY1697</f>
        <v>5.96153846153846</v>
      </c>
      <c r="BB1697" s="50" t="n">
        <f aca="false">AX1697*G1697</f>
        <v>46</v>
      </c>
      <c r="BC1697" s="50" t="n">
        <f aca="false">ROUNDUP(MAX(J1697/IF(CD1697&gt;0,CD1697,MAX(0.1,N(Cockpit!$O$6))),CG1697)/BV1697,0)*BV1697</f>
        <v>9</v>
      </c>
      <c r="BD1697" s="51" t="n">
        <f aca="false">IF(BA1697&gt;0,J1697/BA1697,-1)</f>
        <v>0</v>
      </c>
      <c r="BE1697" s="51" t="n">
        <f aca="false">IF(AND(OR(CC1697="L1",CC1697="L23",CC1697="LIFT"),BA1697&gt;0),SUMIFS($BA$7:$BA$1843,$CC$7:$CC$1843,CC1697,$BD$7:$BD$1843,"&gt;"&amp;BD1697)+SUMIFS($BA$7:$BA$1843,$CC$7:$CC$1843,CC1697,$BD$7:$BD$1843,BD1697,$BT$7:$BT$1843,"&lt;="&amp;BT1697),"")</f>
        <v>42138.8951827363</v>
      </c>
      <c r="BF1697" s="58" t="n">
        <f aca="false">IF(BE1697="",0,MAX(0,MIN(1,(IF(CC1697="L1",Parameter!$H$5,IF(CC1697="L23",Parameter!$H$6+Parameter!$H$7,Parameter!$H$5+Parameter!$H$6+Parameter!$H$7))-(BE1697-BA1697))/BA1697)))</f>
        <v>0</v>
      </c>
      <c r="BG1697" s="48" t="str">
        <f aca="false">IF(AI1697&lt;=0,"",IF(CC1697="Aussen","Aussenlager",IF(CC1697="-","Nicht im Lift",IF(AN1697&gt;=1,"Lift",IF(AN1697&lt;=0,"Aussenlager","teilweise")))))</f>
        <v>Lift</v>
      </c>
      <c r="BH1697" s="48" t="str">
        <f aca="false">IF(AR1697&lt;=0,"",IF(CC1697="Aussen","Aussenlager",IF(CC1697="-","Nicht im Lift",IF(AW1697&gt;=1,"Lift",IF(AW1697&lt;=0,"Aussenlager","teilweise")))))</f>
        <v>Aussenlager</v>
      </c>
      <c r="BI1697" s="48" t="str">
        <f aca="false">IF(BA1697&lt;=0,"",IF(CC1697="Aussen","Aussenlager",IF(CC1697="-","Nicht im Lift",IF(BF1697&gt;=1,"Lift",IF(BF1697&lt;=0,"Aussenlager","teilweise")))))</f>
        <v>Aussenlager</v>
      </c>
      <c r="BJ1697" s="48" t="str">
        <f aca="false">IF(A1697="","",IF(BS1697=1,"Neu; ","")&amp;IF(AND(BS1697=0,BN1697&lt;0),"negativer Bestand (Export "&amp;BN1697&amp;"); ","")&amp;IF(J1697&lt;=0,"Kein Verbrauch; ","")&amp;IF(CL1697&gt;0,"Lift "&amp;W1697&amp;" lt. Liftbericht (Fach "&amp;X1697&amp;" Stk); ",IF(BX1697=1,"Gebinde geschätzt ("&amp;T1697&amp;"); ",IF(BW1697=1,"Lose – Tablare geschätzt; ","")))&amp;IF(H1697&gt;AT1697,"Überbestand "&amp;ROUND(H1697-AT1697,0)&amp;" Stk / CHF "&amp;ROUND((H1697-AT1697)*G1697,0)&amp;"; ","")&amp;IF(AND(CE1697=1,CF1697&lt;CG1697),"MAX &lt; MB+LG; ","")&amp;IF(AND(CK1697&gt;0,CJ1697*10&gt;CK1697),"zu hoch für Tablar; ","")&amp;IF(AND(BS1697=0,OR(CE1697=1,AA1697&lt;&gt;"",U1697&lt;&gt;"",V1697&lt;&gt;"",AB1697&lt;&gt;"")),"manuell übersteuert; ","")&amp;IF(AND(BW1697=0,R1697=0),"Gebinde unbekannt / Stellmass fehlt; ","")&amp;IF(AND(BW1697=0,N(V1697)&lt;=0,N(Q1697)&lt;=0),"Menge pro Gebinde fehlt (Ist = 1 Gebinde); ","")&amp;BR1697)</f>
        <v>Kein Verbrauch; Überbestand 1 Stk / CHF 5; nur im Artikelstamm (Bestand 23.06.2026)</v>
      </c>
      <c r="BK1697" s="48"/>
      <c r="BL1697" s="48"/>
      <c r="BM1697" s="55"/>
      <c r="BN1697" s="50" t="n">
        <v>10</v>
      </c>
      <c r="BO1697" s="50" t="n">
        <v>0</v>
      </c>
      <c r="BP1697" s="49" t="n">
        <v>0</v>
      </c>
      <c r="BQ1697" s="50" t="n">
        <v>0</v>
      </c>
      <c r="BR1697" s="48" t="s">
        <v>2579</v>
      </c>
      <c r="BS1697" s="53" t="n">
        <v>0</v>
      </c>
      <c r="BT1697" s="53" t="n">
        <v>1697</v>
      </c>
      <c r="BU1697" s="48" t="str">
        <f aca="false">IF(U1697&lt;&gt;"",UPPER(TRIM(U1697)),IF(BX1697=1,UPPER(VLOOKUP(T1697,Parameter!$I$27:$K$29,2,0)),IF(P1697="","LOSE",P1697)))</f>
        <v>S41</v>
      </c>
      <c r="BV1697" s="50" t="n">
        <f aca="false">IF(BU1697="LOSE",1,IF(N(V1697)&gt;0,V1697,IF(BX1697=1,MAX(1,N(VLOOKUP(T1697,Parameter!$I$27:$K$29,3,0)),H1697,N(N1697)),IF(N(Q1697)&gt;0,Q1697,MAX(1,H1697)))))</f>
        <v>9</v>
      </c>
      <c r="BW1697" s="53" t="n">
        <f aca="false">IF(BU1697="LOSE",1,0)</f>
        <v>0</v>
      </c>
      <c r="BX1697" s="53" t="n">
        <f aca="false">IF(AND(U1697="",OR(P1697="",P1697="LOSE"),T1697&lt;&gt;"",N(S1697)&lt;=0,ISNUMBER(MATCH(T1697,Parameter!$I$27:$I$29,0))),1,0)</f>
        <v>0</v>
      </c>
      <c r="BY1697" s="53" t="n">
        <f aca="false">IF(CL1697&gt;0,INDEX(Parameter!$H$5:$H$7,W1697)/INDEX(Parameter!$E$5:$E$7,W1697),IF(AND(BW1697=0,N(IFERROR(VLOOKUP(BU1697,'Gebinde-Kategorie'!$A$5:$N$45,14,0),0))&gt;0),VLOOKUP(BU1697,'Gebinde-Kategorie'!$A$5:$N$45,14,0)*10+Parameter!$M$23,Parameter!$M$24))</f>
        <v>155</v>
      </c>
      <c r="BZ1697" s="48" t="str">
        <f aca="false">IF(AND(Parameter!$B$19="Ja",E1697&lt;&gt;"",ISNUMBER(MATCH(E1697,Parameter!$I$35:$I$52,0))),VLOOKUP(E1697,Parameter!$I$35:$J$52,2,0),IFERROR(VLOOKUP(D1697,Parameter!$A$35:$C$64,2,0),"Nein"))</f>
        <v>2+3</v>
      </c>
      <c r="CA1697" s="52" t="n">
        <f aca="false">IF(BW1697=0,0,IF(N(S1697)&gt;0,S1697,IFERROR(VLOOKUP(D1697,Parameter!$A$35:$C$64,3,0)+0,0)))</f>
        <v>0</v>
      </c>
      <c r="CB1697" s="48" t="n">
        <f aca="false">IF(AA1697&lt;&gt;"",AA1697,Z1697)</f>
        <v>3</v>
      </c>
      <c r="CC1697" s="48" t="str">
        <f aca="false">IF(OR(CB1697=1,CB1697=2,CB1697=3),IF(Parameter!$E$27="Ja","LIFT",IF(CB1697=1,"L1","L23")),IF(CB1697="Aussen","Aussen","-"))</f>
        <v>LIFT</v>
      </c>
      <c r="CD1697" s="59" t="n">
        <f aca="false">IF(N(AB1697)&gt;0,AB1697,0)</f>
        <v>0</v>
      </c>
      <c r="CE1697" s="53" t="n">
        <f aca="false">IF(ISNUMBER(AE1697),1,0)</f>
        <v>0</v>
      </c>
      <c r="CF1697" s="50" t="n">
        <f aca="false">N(AE1697)</f>
        <v>0</v>
      </c>
      <c r="CG1697" s="50" t="n">
        <f aca="false">N(M1697)+N(N1697)</f>
        <v>1</v>
      </c>
      <c r="CH1697" s="50" t="n">
        <f aca="false">ROUNDUP(H1697/BV1697,0)</f>
        <v>2</v>
      </c>
      <c r="CI1697" s="50" t="n">
        <f aca="false">ROUNDUP(CF1697/BV1697,0)</f>
        <v>0</v>
      </c>
      <c r="CJ1697" s="53" t="n">
        <f aca="false">IF(BW1697=1,0,IFERROR(VLOOKUP(BU1697,'Gebinde-Kategorie'!$A$5:$N$45,5,0)+0,0))</f>
        <v>11</v>
      </c>
      <c r="CK1697" s="53" t="n">
        <f aca="false">IFERROR(IF(OR(CB1697=1,CB1697=2,CB1697=3),N(INDEX(Parameter!$I$5:$I$7,CB1697)),0),0)</f>
        <v>0</v>
      </c>
      <c r="CL1697" s="52" t="n">
        <f aca="false">IF(AND(Parameter!$B$21="Ja",ISNUMBER(W1697),N(X1697)&gt;0),IFERROR(N(INDEX(Parameter!$L$5:$L$7,W1697))*INDEX(Parameter!$E$5:$E$7,W1697)*X1697/SUMIFS($X$7:$X$1843,$W$7:$W$1843,W1697),0),0)</f>
        <v>0</v>
      </c>
    </row>
    <row r="1698" customFormat="false" ht="15" hidden="false" customHeight="false" outlineLevel="0" collapsed="false">
      <c r="A1698" s="48" t="s">
        <v>2943</v>
      </c>
      <c r="B1698" s="48" t="s">
        <v>2944</v>
      </c>
      <c r="C1698" s="48" t="s">
        <v>168</v>
      </c>
      <c r="D1698" s="48" t="s">
        <v>188</v>
      </c>
      <c r="E1698" s="48"/>
      <c r="F1698" s="48"/>
      <c r="G1698" s="49" t="n">
        <v>285.5</v>
      </c>
      <c r="H1698" s="50" t="n">
        <f aca="false">MAX(0,IF(AND(Parameter!$B$21="Ja",ISNUMBER(Y1698)),Y1698,IF(Parameter!$B$20="Jahresanfang 2025 + Export",BO1698+BN1698,BN1698)))</f>
        <v>2</v>
      </c>
      <c r="I1698" s="50" t="n">
        <f aca="false">H1698*G1698</f>
        <v>571</v>
      </c>
      <c r="J1698" s="50" t="n">
        <f aca="false">BQ1698*Parameter!$B$18</f>
        <v>0</v>
      </c>
      <c r="K1698" s="51"/>
      <c r="L1698" s="52"/>
      <c r="M1698" s="50" t="n">
        <v>0</v>
      </c>
      <c r="N1698" s="50" t="n">
        <v>1</v>
      </c>
      <c r="O1698" s="53" t="n">
        <v>0</v>
      </c>
      <c r="P1698" s="48" t="s">
        <v>332</v>
      </c>
      <c r="Q1698" s="50" t="n">
        <v>4</v>
      </c>
      <c r="R1698" s="53" t="n">
        <f aca="false">IF(BW1698=1,0,IFERROR(VLOOKUP(BU1698,'Gebinde-Kategorie'!$A$5:$N$45,13,0)+0,0))</f>
        <v>52</v>
      </c>
      <c r="S1698" s="54"/>
      <c r="T1698" s="55"/>
      <c r="U1698" s="55"/>
      <c r="V1698" s="55"/>
      <c r="W1698" s="48"/>
      <c r="X1698" s="50"/>
      <c r="Y1698" s="50"/>
      <c r="Z1698" s="48" t="n">
        <f aca="false">IF(A1698="","",IF(AND(Parameter!$B$21="Ja",ISNUMBER(W1698)),W1698,IF(BZ1698="2+3",IF(ISNUMBER(SEARCH("grosser Artikel",BR1698)),2,IFERROR(VLOOKUP(BU1698,Parameter!$F$35:$G$64,2,0),2)),IF(OR(BZ1698="Nein",BZ1698=""),"-",BZ1698))))</f>
        <v>3</v>
      </c>
      <c r="AA1698" s="55"/>
      <c r="AB1698" s="56"/>
      <c r="AC1698" s="50" t="n">
        <f aca="false">AT1698</f>
        <v>4</v>
      </c>
      <c r="AD1698" s="50" t="n">
        <f aca="false">MAX(AT1698,H1698)</f>
        <v>4</v>
      </c>
      <c r="AE1698" s="57"/>
      <c r="AF1698" s="50" t="n">
        <f aca="false">IF(LEFT(Cockpit!$C$5,1)="A",H1698,IF(CE1698=1,CF1698,IF(LEFT(Cockpit!$C$5,1)="B",AK1698,MAX(AK1698,H1698))))</f>
        <v>2</v>
      </c>
      <c r="AG1698" s="50" t="n">
        <f aca="false">IF(BW1698=1,0,ROUNDUP(AF1698/BV1698,0))</f>
        <v>1</v>
      </c>
      <c r="AH1698" s="52" t="n">
        <f aca="false">IF(CL1698&gt;0,CL1698*MAX(1,AF1698/X1698),IF(BW1698=1,IF(AF1698&lt;=0,0,CA1698*MAX(1,IF(H1698&gt;0,AF1698/H1698,1))),IF(R1698&gt;0,AG1698/R1698,0))/MAX(0.1,N(Parameter!$M$21)))</f>
        <v>0.0192307692307692</v>
      </c>
      <c r="AI1698" s="50" t="n">
        <f aca="false">AH1698*BY1698</f>
        <v>2.98076923076923</v>
      </c>
      <c r="AJ1698" s="50" t="n">
        <f aca="false">AF1698*G1698</f>
        <v>571</v>
      </c>
      <c r="AK1698" s="50" t="n">
        <f aca="false">ROUNDUP(MAX(J1698/IF(CD1698&gt;0,CD1698,MAX(0.1,N(Cockpit!$C$6))),CG1698)/BV1698,0)*BV1698</f>
        <v>4</v>
      </c>
      <c r="AL1698" s="51" t="n">
        <f aca="false">IF(AI1698&gt;0,J1698/AI1698,-1)</f>
        <v>0</v>
      </c>
      <c r="AM1698" s="51" t="n">
        <f aca="false">IF(AND(OR(CC1698="L1",CC1698="L23",CC1698="LIFT"),AI1698&gt;0),SUMIFS($AI$7:$AI$1843,$CC$7:$CC$1843,CC1698,$AL$7:$AL$1843,"&gt;"&amp;AL1698)+SUMIFS($AI$7:$AI$1843,$CC$7:$CC$1843,CC1698,$AL$7:$AL$1843,AL1698,$BT$7:$BT$1843,"&lt;="&amp;BT1698),"")</f>
        <v>32788.0948371309</v>
      </c>
      <c r="AN1698" s="58" t="n">
        <f aca="false">IF(AM1698="",0,MAX(0,MIN(1,(IF(CC1698="L1",Parameter!$H$5,IF(CC1698="L23",Parameter!$H$6+Parameter!$H$7,Parameter!$H$5+Parameter!$H$6+Parameter!$H$7))-(AM1698-AI1698))/AI1698)))</f>
        <v>1</v>
      </c>
      <c r="AO1698" s="50" t="n">
        <f aca="false">IF(LEFT(Cockpit!$I$5,1)="A",H1698,IF(CE1698=1,CF1698,IF(LEFT(Cockpit!$I$5,1)="B",AT1698,MAX(AT1698,H1698))))</f>
        <v>4</v>
      </c>
      <c r="AP1698" s="50" t="n">
        <f aca="false">IF(BW1698=1,0,ROUNDUP(AO1698/BV1698,0))</f>
        <v>1</v>
      </c>
      <c r="AQ1698" s="52" t="n">
        <f aca="false">IF(CL1698&gt;0,CL1698*MAX(1,AO1698/X1698),IF(BW1698=1,IF(AO1698&lt;=0,0,CA1698*MAX(1,IF(H1698&gt;0,AO1698/H1698,1))),IF(R1698&gt;0,AP1698/R1698,0))/MAX(0.1,N(Parameter!$M$21)))</f>
        <v>0.0192307692307692</v>
      </c>
      <c r="AR1698" s="50" t="n">
        <f aca="false">AQ1698*BY1698</f>
        <v>2.98076923076923</v>
      </c>
      <c r="AS1698" s="50" t="n">
        <f aca="false">AO1698*G1698</f>
        <v>1142</v>
      </c>
      <c r="AT1698" s="50" t="n">
        <f aca="false">ROUNDUP(MAX(J1698/IF(CD1698&gt;0,CD1698,MAX(0.1,N(Cockpit!$I$6))),CG1698)/BV1698,0)*BV1698</f>
        <v>4</v>
      </c>
      <c r="AU1698" s="51" t="n">
        <f aca="false">IF(AR1698&gt;0,J1698/AR1698,-1)</f>
        <v>0</v>
      </c>
      <c r="AV1698" s="51" t="n">
        <f aca="false">IF(AND(OR(CC1698="L1",CC1698="L23",CC1698="LIFT"),AR1698&gt;0),SUMIFS($AR$7:$AR$1843,$CC$7:$CC$1843,CC1698,$AU$7:$AU$1843,"&gt;"&amp;AU1698)+SUMIFS($AR$7:$AR$1843,$CC$7:$CC$1843,CC1698,$AU$7:$AU$1843,AU1698,$BT$7:$BT$1843,"&lt;="&amp;BT1698),"")</f>
        <v>45466.8639101012</v>
      </c>
      <c r="AW1698" s="58" t="n">
        <f aca="false">IF(AV1698="",0,MAX(0,MIN(1,(IF(CC1698="L1",Parameter!$H$5,IF(CC1698="L23",Parameter!$H$6+Parameter!$H$7,Parameter!$H$5+Parameter!$H$6+Parameter!$H$7))-(AV1698-AR1698))/AR1698)))</f>
        <v>0</v>
      </c>
      <c r="AX1698" s="50" t="n">
        <f aca="false">IF(LEFT(Cockpit!$O$5,1)="A",H1698,IF(CE1698=1,CF1698,IF(LEFT(Cockpit!$O$5,1)="B",BC1698,MAX(BC1698,H1698))))</f>
        <v>4</v>
      </c>
      <c r="AY1698" s="50" t="n">
        <f aca="false">IF(BW1698=1,0,ROUNDUP(AX1698/BV1698,0))</f>
        <v>1</v>
      </c>
      <c r="AZ1698" s="52" t="n">
        <f aca="false">IF(CL1698&gt;0,CL1698*MAX(1,AX1698/X1698),IF(BW1698=1,IF(AX1698&lt;=0,0,CA1698*MAX(1,IF(H1698&gt;0,AX1698/H1698,1))),IF(R1698&gt;0,AY1698/R1698,0))/MAX(0.1,N(Parameter!$M$21)))</f>
        <v>0.0192307692307692</v>
      </c>
      <c r="BA1698" s="50" t="n">
        <f aca="false">AZ1698*BY1698</f>
        <v>2.98076923076923</v>
      </c>
      <c r="BB1698" s="50" t="n">
        <f aca="false">AX1698*G1698</f>
        <v>1142</v>
      </c>
      <c r="BC1698" s="50" t="n">
        <f aca="false">ROUNDUP(MAX(J1698/IF(CD1698&gt;0,CD1698,MAX(0.1,N(Cockpit!$O$6))),CG1698)/BV1698,0)*BV1698</f>
        <v>4</v>
      </c>
      <c r="BD1698" s="51" t="n">
        <f aca="false">IF(BA1698&gt;0,J1698/BA1698,-1)</f>
        <v>0</v>
      </c>
      <c r="BE1698" s="51" t="n">
        <f aca="false">IF(AND(OR(CC1698="L1",CC1698="L23",CC1698="LIFT"),BA1698&gt;0),SUMIFS($BA$7:$BA$1843,$CC$7:$CC$1843,CC1698,$BD$7:$BD$1843,"&gt;"&amp;BD1698)+SUMIFS($BA$7:$BA$1843,$CC$7:$CC$1843,CC1698,$BD$7:$BD$1843,BD1698,$BT$7:$BT$1843,"&lt;="&amp;BT1698),"")</f>
        <v>42141.8759519671</v>
      </c>
      <c r="BF1698" s="58" t="n">
        <f aca="false">IF(BE1698="",0,MAX(0,MIN(1,(IF(CC1698="L1",Parameter!$H$5,IF(CC1698="L23",Parameter!$H$6+Parameter!$H$7,Parameter!$H$5+Parameter!$H$6+Parameter!$H$7))-(BE1698-BA1698))/BA1698)))</f>
        <v>0</v>
      </c>
      <c r="BG1698" s="48" t="str">
        <f aca="false">IF(AI1698&lt;=0,"",IF(CC1698="Aussen","Aussenlager",IF(CC1698="-","Nicht im Lift",IF(AN1698&gt;=1,"Lift",IF(AN1698&lt;=0,"Aussenlager","teilweise")))))</f>
        <v>Lift</v>
      </c>
      <c r="BH1698" s="48" t="str">
        <f aca="false">IF(AR1698&lt;=0,"",IF(CC1698="Aussen","Aussenlager",IF(CC1698="-","Nicht im Lift",IF(AW1698&gt;=1,"Lift",IF(AW1698&lt;=0,"Aussenlager","teilweise")))))</f>
        <v>Aussenlager</v>
      </c>
      <c r="BI1698" s="48" t="str">
        <f aca="false">IF(BA1698&lt;=0,"",IF(CC1698="Aussen","Aussenlager",IF(CC1698="-","Nicht im Lift",IF(BF1698&gt;=1,"Lift",IF(BF1698&lt;=0,"Aussenlager","teilweise")))))</f>
        <v>Aussenlager</v>
      </c>
      <c r="BJ1698" s="48" t="str">
        <f aca="false">IF(A1698="","",IF(BS1698=1,"Neu; ","")&amp;IF(AND(BS1698=0,BN1698&lt;0),"negativer Bestand (Export "&amp;BN1698&amp;"); ","")&amp;IF(J1698&lt;=0,"Kein Verbrauch; ","")&amp;IF(CL1698&gt;0,"Lift "&amp;W1698&amp;" lt. Liftbericht (Fach "&amp;X1698&amp;" Stk); ",IF(BX1698=1,"Gebinde geschätzt ("&amp;T1698&amp;"); ",IF(BW1698=1,"Lose – Tablare geschätzt; ","")))&amp;IF(H1698&gt;AT1698,"Überbestand "&amp;ROUND(H1698-AT1698,0)&amp;" Stk / CHF "&amp;ROUND((H1698-AT1698)*G1698,0)&amp;"; ","")&amp;IF(AND(CE1698=1,CF1698&lt;CG1698),"MAX &lt; MB+LG; ","")&amp;IF(AND(CK1698&gt;0,CJ1698*10&gt;CK1698),"zu hoch für Tablar; ","")&amp;IF(AND(BS1698=0,OR(CE1698=1,AA1698&lt;&gt;"",U1698&lt;&gt;"",V1698&lt;&gt;"",AB1698&lt;&gt;"")),"manuell übersteuert; ","")&amp;IF(AND(BW1698=0,R1698=0),"Gebinde unbekannt / Stellmass fehlt; ","")&amp;IF(AND(BW1698=0,N(V1698)&lt;=0,N(Q1698)&lt;=0),"Menge pro Gebinde fehlt (Ist = 1 Gebinde); ","")&amp;BR1698)</f>
        <v>Kein Verbrauch; nur im Artikelstamm (Bestand 23.06.2026)</v>
      </c>
      <c r="BK1698" s="48"/>
      <c r="BL1698" s="48"/>
      <c r="BM1698" s="55"/>
      <c r="BN1698" s="50" t="n">
        <v>2</v>
      </c>
      <c r="BO1698" s="50" t="n">
        <v>0</v>
      </c>
      <c r="BP1698" s="49" t="n">
        <v>0</v>
      </c>
      <c r="BQ1698" s="50" t="n">
        <v>0</v>
      </c>
      <c r="BR1698" s="48" t="s">
        <v>2579</v>
      </c>
      <c r="BS1698" s="53" t="n">
        <v>0</v>
      </c>
      <c r="BT1698" s="53" t="n">
        <v>1698</v>
      </c>
      <c r="BU1698" s="48" t="str">
        <f aca="false">IF(U1698&lt;&gt;"",UPPER(TRIM(U1698)),IF(BX1698=1,UPPER(VLOOKUP(T1698,Parameter!$I$27:$K$29,2,0)),IF(P1698="","LOSE",P1698)))</f>
        <v>S41</v>
      </c>
      <c r="BV1698" s="50" t="n">
        <f aca="false">IF(BU1698="LOSE",1,IF(N(V1698)&gt;0,V1698,IF(BX1698=1,MAX(1,N(VLOOKUP(T1698,Parameter!$I$27:$K$29,3,0)),H1698,N(N1698)),IF(N(Q1698)&gt;0,Q1698,MAX(1,H1698)))))</f>
        <v>4</v>
      </c>
      <c r="BW1698" s="53" t="n">
        <f aca="false">IF(BU1698="LOSE",1,0)</f>
        <v>0</v>
      </c>
      <c r="BX1698" s="53" t="n">
        <f aca="false">IF(AND(U1698="",OR(P1698="",P1698="LOSE"),T1698&lt;&gt;"",N(S1698)&lt;=0,ISNUMBER(MATCH(T1698,Parameter!$I$27:$I$29,0))),1,0)</f>
        <v>0</v>
      </c>
      <c r="BY1698" s="53" t="n">
        <f aca="false">IF(CL1698&gt;0,INDEX(Parameter!$H$5:$H$7,W1698)/INDEX(Parameter!$E$5:$E$7,W1698),IF(AND(BW1698=0,N(IFERROR(VLOOKUP(BU1698,'Gebinde-Kategorie'!$A$5:$N$45,14,0),0))&gt;0),VLOOKUP(BU1698,'Gebinde-Kategorie'!$A$5:$N$45,14,0)*10+Parameter!$M$23,Parameter!$M$24))</f>
        <v>155</v>
      </c>
      <c r="BZ1698" s="48" t="str">
        <f aca="false">IF(AND(Parameter!$B$19="Ja",E1698&lt;&gt;"",ISNUMBER(MATCH(E1698,Parameter!$I$35:$I$52,0))),VLOOKUP(E1698,Parameter!$I$35:$J$52,2,0),IFERROR(VLOOKUP(D1698,Parameter!$A$35:$C$64,2,0),"Nein"))</f>
        <v>2+3</v>
      </c>
      <c r="CA1698" s="52" t="n">
        <f aca="false">IF(BW1698=0,0,IF(N(S1698)&gt;0,S1698,IFERROR(VLOOKUP(D1698,Parameter!$A$35:$C$64,3,0)+0,0)))</f>
        <v>0</v>
      </c>
      <c r="CB1698" s="48" t="n">
        <f aca="false">IF(AA1698&lt;&gt;"",AA1698,Z1698)</f>
        <v>3</v>
      </c>
      <c r="CC1698" s="48" t="str">
        <f aca="false">IF(OR(CB1698=1,CB1698=2,CB1698=3),IF(Parameter!$E$27="Ja","LIFT",IF(CB1698=1,"L1","L23")),IF(CB1698="Aussen","Aussen","-"))</f>
        <v>LIFT</v>
      </c>
      <c r="CD1698" s="59" t="n">
        <f aca="false">IF(N(AB1698)&gt;0,AB1698,0)</f>
        <v>0</v>
      </c>
      <c r="CE1698" s="53" t="n">
        <f aca="false">IF(ISNUMBER(AE1698),1,0)</f>
        <v>0</v>
      </c>
      <c r="CF1698" s="50" t="n">
        <f aca="false">N(AE1698)</f>
        <v>0</v>
      </c>
      <c r="CG1698" s="50" t="n">
        <f aca="false">N(M1698)+N(N1698)</f>
        <v>1</v>
      </c>
      <c r="CH1698" s="50" t="n">
        <f aca="false">ROUNDUP(H1698/BV1698,0)</f>
        <v>1</v>
      </c>
      <c r="CI1698" s="50" t="n">
        <f aca="false">ROUNDUP(CF1698/BV1698,0)</f>
        <v>0</v>
      </c>
      <c r="CJ1698" s="53" t="n">
        <f aca="false">IF(BW1698=1,0,IFERROR(VLOOKUP(BU1698,'Gebinde-Kategorie'!$A$5:$N$45,5,0)+0,0))</f>
        <v>11</v>
      </c>
      <c r="CK1698" s="53" t="n">
        <f aca="false">IFERROR(IF(OR(CB1698=1,CB1698=2,CB1698=3),N(INDEX(Parameter!$I$5:$I$7,CB1698)),0),0)</f>
        <v>0</v>
      </c>
      <c r="CL1698" s="52" t="n">
        <f aca="false">IF(AND(Parameter!$B$21="Ja",ISNUMBER(W1698),N(X1698)&gt;0),IFERROR(N(INDEX(Parameter!$L$5:$L$7,W1698))*INDEX(Parameter!$E$5:$E$7,W1698)*X1698/SUMIFS($X$7:$X$1843,$W$7:$W$1843,W1698),0),0)</f>
        <v>0</v>
      </c>
    </row>
    <row r="1699" customFormat="false" ht="15" hidden="false" customHeight="false" outlineLevel="0" collapsed="false">
      <c r="A1699" s="48" t="s">
        <v>2945</v>
      </c>
      <c r="B1699" s="48" t="s">
        <v>2946</v>
      </c>
      <c r="C1699" s="48" t="s">
        <v>168</v>
      </c>
      <c r="D1699" s="48" t="s">
        <v>188</v>
      </c>
      <c r="E1699" s="48"/>
      <c r="F1699" s="48"/>
      <c r="G1699" s="49" t="n">
        <v>41.3</v>
      </c>
      <c r="H1699" s="50" t="n">
        <f aca="false">MAX(0,IF(AND(Parameter!$B$21="Ja",ISNUMBER(Y1699)),Y1699,IF(Parameter!$B$20="Jahresanfang 2025 + Export",BO1699+BN1699,BN1699)))</f>
        <v>3</v>
      </c>
      <c r="I1699" s="50" t="n">
        <f aca="false">H1699*G1699</f>
        <v>123.9</v>
      </c>
      <c r="J1699" s="50" t="n">
        <f aca="false">BQ1699*Parameter!$B$18</f>
        <v>0</v>
      </c>
      <c r="K1699" s="51"/>
      <c r="L1699" s="52"/>
      <c r="M1699" s="50" t="n">
        <v>0</v>
      </c>
      <c r="N1699" s="50" t="n">
        <v>3</v>
      </c>
      <c r="O1699" s="53" t="n">
        <v>42</v>
      </c>
      <c r="P1699" s="48" t="s">
        <v>332</v>
      </c>
      <c r="Q1699" s="50" t="n">
        <v>3</v>
      </c>
      <c r="R1699" s="53" t="n">
        <f aca="false">IF(BW1699=1,0,IFERROR(VLOOKUP(BU1699,'Gebinde-Kategorie'!$A$5:$N$45,13,0)+0,0))</f>
        <v>52</v>
      </c>
      <c r="S1699" s="54"/>
      <c r="T1699" s="55"/>
      <c r="U1699" s="55"/>
      <c r="V1699" s="55"/>
      <c r="W1699" s="48"/>
      <c r="X1699" s="50"/>
      <c r="Y1699" s="50"/>
      <c r="Z1699" s="48" t="n">
        <f aca="false">IF(A1699="","",IF(AND(Parameter!$B$21="Ja",ISNUMBER(W1699)),W1699,IF(BZ1699="2+3",IF(ISNUMBER(SEARCH("grosser Artikel",BR1699)),2,IFERROR(VLOOKUP(BU1699,Parameter!$F$35:$G$64,2,0),2)),IF(OR(BZ1699="Nein",BZ1699=""),"-",BZ1699))))</f>
        <v>3</v>
      </c>
      <c r="AA1699" s="55"/>
      <c r="AB1699" s="56"/>
      <c r="AC1699" s="50" t="n">
        <f aca="false">AT1699</f>
        <v>3</v>
      </c>
      <c r="AD1699" s="50" t="n">
        <f aca="false">MAX(AT1699,H1699)</f>
        <v>3</v>
      </c>
      <c r="AE1699" s="57"/>
      <c r="AF1699" s="50" t="n">
        <f aca="false">IF(LEFT(Cockpit!$C$5,1)="A",H1699,IF(CE1699=1,CF1699,IF(LEFT(Cockpit!$C$5,1)="B",AK1699,MAX(AK1699,H1699))))</f>
        <v>3</v>
      </c>
      <c r="AG1699" s="50" t="n">
        <f aca="false">IF(BW1699=1,0,ROUNDUP(AF1699/BV1699,0))</f>
        <v>1</v>
      </c>
      <c r="AH1699" s="52" t="n">
        <f aca="false">IF(CL1699&gt;0,CL1699*MAX(1,AF1699/X1699),IF(BW1699=1,IF(AF1699&lt;=0,0,CA1699*MAX(1,IF(H1699&gt;0,AF1699/H1699,1))),IF(R1699&gt;0,AG1699/R1699,0))/MAX(0.1,N(Parameter!$M$21)))</f>
        <v>0.0192307692307692</v>
      </c>
      <c r="AI1699" s="50" t="n">
        <f aca="false">AH1699*BY1699</f>
        <v>2.98076923076923</v>
      </c>
      <c r="AJ1699" s="50" t="n">
        <f aca="false">AF1699*G1699</f>
        <v>123.9</v>
      </c>
      <c r="AK1699" s="50" t="n">
        <f aca="false">ROUNDUP(MAX(J1699/IF(CD1699&gt;0,CD1699,MAX(0.1,N(Cockpit!$C$6))),CG1699)/BV1699,0)*BV1699</f>
        <v>3</v>
      </c>
      <c r="AL1699" s="51" t="n">
        <f aca="false">IF(AI1699&gt;0,J1699/AI1699,-1)</f>
        <v>0</v>
      </c>
      <c r="AM1699" s="51" t="n">
        <f aca="false">IF(AND(OR(CC1699="L1",CC1699="L23",CC1699="LIFT"),AI1699&gt;0),SUMIFS($AI$7:$AI$1843,$CC$7:$CC$1843,CC1699,$AL$7:$AL$1843,"&gt;"&amp;AL1699)+SUMIFS($AI$7:$AI$1843,$CC$7:$CC$1843,CC1699,$AL$7:$AL$1843,AL1699,$BT$7:$BT$1843,"&lt;="&amp;BT1699),"")</f>
        <v>32791.0756063616</v>
      </c>
      <c r="AN1699" s="58" t="n">
        <f aca="false">IF(AM1699="",0,MAX(0,MIN(1,(IF(CC1699="L1",Parameter!$H$5,IF(CC1699="L23",Parameter!$H$6+Parameter!$H$7,Parameter!$H$5+Parameter!$H$6+Parameter!$H$7))-(AM1699-AI1699))/AI1699)))</f>
        <v>1</v>
      </c>
      <c r="AO1699" s="50" t="n">
        <f aca="false">IF(LEFT(Cockpit!$I$5,1)="A",H1699,IF(CE1699=1,CF1699,IF(LEFT(Cockpit!$I$5,1)="B",AT1699,MAX(AT1699,H1699))))</f>
        <v>3</v>
      </c>
      <c r="AP1699" s="50" t="n">
        <f aca="false">IF(BW1699=1,0,ROUNDUP(AO1699/BV1699,0))</f>
        <v>1</v>
      </c>
      <c r="AQ1699" s="52" t="n">
        <f aca="false">IF(CL1699&gt;0,CL1699*MAX(1,AO1699/X1699),IF(BW1699=1,IF(AO1699&lt;=0,0,CA1699*MAX(1,IF(H1699&gt;0,AO1699/H1699,1))),IF(R1699&gt;0,AP1699/R1699,0))/MAX(0.1,N(Parameter!$M$21)))</f>
        <v>0.0192307692307692</v>
      </c>
      <c r="AR1699" s="50" t="n">
        <f aca="false">AQ1699*BY1699</f>
        <v>2.98076923076923</v>
      </c>
      <c r="AS1699" s="50" t="n">
        <f aca="false">AO1699*G1699</f>
        <v>123.9</v>
      </c>
      <c r="AT1699" s="50" t="n">
        <f aca="false">ROUNDUP(MAX(J1699/IF(CD1699&gt;0,CD1699,MAX(0.1,N(Cockpit!$I$6))),CG1699)/BV1699,0)*BV1699</f>
        <v>3</v>
      </c>
      <c r="AU1699" s="51" t="n">
        <f aca="false">IF(AR1699&gt;0,J1699/AR1699,-1)</f>
        <v>0</v>
      </c>
      <c r="AV1699" s="51" t="n">
        <f aca="false">IF(AND(OR(CC1699="L1",CC1699="L23",CC1699="LIFT"),AR1699&gt;0),SUMIFS($AR$7:$AR$1843,$CC$7:$CC$1843,CC1699,$AU$7:$AU$1843,"&gt;"&amp;AU1699)+SUMIFS($AR$7:$AR$1843,$CC$7:$CC$1843,CC1699,$AU$7:$AU$1843,AU1699,$BT$7:$BT$1843,"&lt;="&amp;BT1699),"")</f>
        <v>45469.844679332</v>
      </c>
      <c r="AW1699" s="58" t="n">
        <f aca="false">IF(AV1699="",0,MAX(0,MIN(1,(IF(CC1699="L1",Parameter!$H$5,IF(CC1699="L23",Parameter!$H$6+Parameter!$H$7,Parameter!$H$5+Parameter!$H$6+Parameter!$H$7))-(AV1699-AR1699))/AR1699)))</f>
        <v>0</v>
      </c>
      <c r="AX1699" s="50" t="n">
        <f aca="false">IF(LEFT(Cockpit!$O$5,1)="A",H1699,IF(CE1699=1,CF1699,IF(LEFT(Cockpit!$O$5,1)="B",BC1699,MAX(BC1699,H1699))))</f>
        <v>3</v>
      </c>
      <c r="AY1699" s="50" t="n">
        <f aca="false">IF(BW1699=1,0,ROUNDUP(AX1699/BV1699,0))</f>
        <v>1</v>
      </c>
      <c r="AZ1699" s="52" t="n">
        <f aca="false">IF(CL1699&gt;0,CL1699*MAX(1,AX1699/X1699),IF(BW1699=1,IF(AX1699&lt;=0,0,CA1699*MAX(1,IF(H1699&gt;0,AX1699/H1699,1))),IF(R1699&gt;0,AY1699/R1699,0))/MAX(0.1,N(Parameter!$M$21)))</f>
        <v>0.0192307692307692</v>
      </c>
      <c r="BA1699" s="50" t="n">
        <f aca="false">AZ1699*BY1699</f>
        <v>2.98076923076923</v>
      </c>
      <c r="BB1699" s="50" t="n">
        <f aca="false">AX1699*G1699</f>
        <v>123.9</v>
      </c>
      <c r="BC1699" s="50" t="n">
        <f aca="false">ROUNDUP(MAX(J1699/IF(CD1699&gt;0,CD1699,MAX(0.1,N(Cockpit!$O$6))),CG1699)/BV1699,0)*BV1699</f>
        <v>3</v>
      </c>
      <c r="BD1699" s="51" t="n">
        <f aca="false">IF(BA1699&gt;0,J1699/BA1699,-1)</f>
        <v>0</v>
      </c>
      <c r="BE1699" s="51" t="n">
        <f aca="false">IF(AND(OR(CC1699="L1",CC1699="L23",CC1699="LIFT"),BA1699&gt;0),SUMIFS($BA$7:$BA$1843,$CC$7:$CC$1843,CC1699,$BD$7:$BD$1843,"&gt;"&amp;BD1699)+SUMIFS($BA$7:$BA$1843,$CC$7:$CC$1843,CC1699,$BD$7:$BD$1843,BD1699,$BT$7:$BT$1843,"&lt;="&amp;BT1699),"")</f>
        <v>42144.8567211978</v>
      </c>
      <c r="BF1699" s="58" t="n">
        <f aca="false">IF(BE1699="",0,MAX(0,MIN(1,(IF(CC1699="L1",Parameter!$H$5,IF(CC1699="L23",Parameter!$H$6+Parameter!$H$7,Parameter!$H$5+Parameter!$H$6+Parameter!$H$7))-(BE1699-BA1699))/BA1699)))</f>
        <v>0</v>
      </c>
      <c r="BG1699" s="48" t="str">
        <f aca="false">IF(AI1699&lt;=0,"",IF(CC1699="Aussen","Aussenlager",IF(CC1699="-","Nicht im Lift",IF(AN1699&gt;=1,"Lift",IF(AN1699&lt;=0,"Aussenlager","teilweise")))))</f>
        <v>Lift</v>
      </c>
      <c r="BH1699" s="48" t="str">
        <f aca="false">IF(AR1699&lt;=0,"",IF(CC1699="Aussen","Aussenlager",IF(CC1699="-","Nicht im Lift",IF(AW1699&gt;=1,"Lift",IF(AW1699&lt;=0,"Aussenlager","teilweise")))))</f>
        <v>Aussenlager</v>
      </c>
      <c r="BI1699" s="48" t="str">
        <f aca="false">IF(BA1699&lt;=0,"",IF(CC1699="Aussen","Aussenlager",IF(CC1699="-","Nicht im Lift",IF(BF1699&gt;=1,"Lift",IF(BF1699&lt;=0,"Aussenlager","teilweise")))))</f>
        <v>Aussenlager</v>
      </c>
      <c r="BJ1699" s="48" t="str">
        <f aca="false">IF(A1699="","",IF(BS1699=1,"Neu; ","")&amp;IF(AND(BS1699=0,BN1699&lt;0),"negativer Bestand (Export "&amp;BN1699&amp;"); ","")&amp;IF(J1699&lt;=0,"Kein Verbrauch; ","")&amp;IF(CL1699&gt;0,"Lift "&amp;W1699&amp;" lt. Liftbericht (Fach "&amp;X1699&amp;" Stk); ",IF(BX1699=1,"Gebinde geschätzt ("&amp;T1699&amp;"); ",IF(BW1699=1,"Lose – Tablare geschätzt; ","")))&amp;IF(H1699&gt;AT1699,"Überbestand "&amp;ROUND(H1699-AT1699,0)&amp;" Stk / CHF "&amp;ROUND((H1699-AT1699)*G1699,0)&amp;"; ","")&amp;IF(AND(CE1699=1,CF1699&lt;CG1699),"MAX &lt; MB+LG; ","")&amp;IF(AND(CK1699&gt;0,CJ1699*10&gt;CK1699),"zu hoch für Tablar; ","")&amp;IF(AND(BS1699=0,OR(CE1699=1,AA1699&lt;&gt;"",U1699&lt;&gt;"",V1699&lt;&gt;"",AB1699&lt;&gt;"")),"manuell übersteuert; ","")&amp;IF(AND(BW1699=0,R1699=0),"Gebinde unbekannt / Stellmass fehlt; ","")&amp;IF(AND(BW1699=0,N(V1699)&lt;=0,N(Q1699)&lt;=0),"Menge pro Gebinde fehlt (Ist = 1 Gebinde); ","")&amp;BR1699)</f>
        <v>Kein Verbrauch; nur im Artikelstamm (Bestand 23.06.2026)</v>
      </c>
      <c r="BK1699" s="48"/>
      <c r="BL1699" s="48"/>
      <c r="BM1699" s="55"/>
      <c r="BN1699" s="50" t="n">
        <v>3</v>
      </c>
      <c r="BO1699" s="50" t="n">
        <v>0</v>
      </c>
      <c r="BP1699" s="49" t="n">
        <v>0</v>
      </c>
      <c r="BQ1699" s="50" t="n">
        <v>0</v>
      </c>
      <c r="BR1699" s="48" t="s">
        <v>2579</v>
      </c>
      <c r="BS1699" s="53" t="n">
        <v>0</v>
      </c>
      <c r="BT1699" s="53" t="n">
        <v>1699</v>
      </c>
      <c r="BU1699" s="48" t="str">
        <f aca="false">IF(U1699&lt;&gt;"",UPPER(TRIM(U1699)),IF(BX1699=1,UPPER(VLOOKUP(T1699,Parameter!$I$27:$K$29,2,0)),IF(P1699="","LOSE",P1699)))</f>
        <v>S41</v>
      </c>
      <c r="BV1699" s="50" t="n">
        <f aca="false">IF(BU1699="LOSE",1,IF(N(V1699)&gt;0,V1699,IF(BX1699=1,MAX(1,N(VLOOKUP(T1699,Parameter!$I$27:$K$29,3,0)),H1699,N(N1699)),IF(N(Q1699)&gt;0,Q1699,MAX(1,H1699)))))</f>
        <v>3</v>
      </c>
      <c r="BW1699" s="53" t="n">
        <f aca="false">IF(BU1699="LOSE",1,0)</f>
        <v>0</v>
      </c>
      <c r="BX1699" s="53" t="n">
        <f aca="false">IF(AND(U1699="",OR(P1699="",P1699="LOSE"),T1699&lt;&gt;"",N(S1699)&lt;=0,ISNUMBER(MATCH(T1699,Parameter!$I$27:$I$29,0))),1,0)</f>
        <v>0</v>
      </c>
      <c r="BY1699" s="53" t="n">
        <f aca="false">IF(CL1699&gt;0,INDEX(Parameter!$H$5:$H$7,W1699)/INDEX(Parameter!$E$5:$E$7,W1699),IF(AND(BW1699=0,N(IFERROR(VLOOKUP(BU1699,'Gebinde-Kategorie'!$A$5:$N$45,14,0),0))&gt;0),VLOOKUP(BU1699,'Gebinde-Kategorie'!$A$5:$N$45,14,0)*10+Parameter!$M$23,Parameter!$M$24))</f>
        <v>155</v>
      </c>
      <c r="BZ1699" s="48" t="str">
        <f aca="false">IF(AND(Parameter!$B$19="Ja",E1699&lt;&gt;"",ISNUMBER(MATCH(E1699,Parameter!$I$35:$I$52,0))),VLOOKUP(E1699,Parameter!$I$35:$J$52,2,0),IFERROR(VLOOKUP(D1699,Parameter!$A$35:$C$64,2,0),"Nein"))</f>
        <v>2+3</v>
      </c>
      <c r="CA1699" s="52" t="n">
        <f aca="false">IF(BW1699=0,0,IF(N(S1699)&gt;0,S1699,IFERROR(VLOOKUP(D1699,Parameter!$A$35:$C$64,3,0)+0,0)))</f>
        <v>0</v>
      </c>
      <c r="CB1699" s="48" t="n">
        <f aca="false">IF(AA1699&lt;&gt;"",AA1699,Z1699)</f>
        <v>3</v>
      </c>
      <c r="CC1699" s="48" t="str">
        <f aca="false">IF(OR(CB1699=1,CB1699=2,CB1699=3),IF(Parameter!$E$27="Ja","LIFT",IF(CB1699=1,"L1","L23")),IF(CB1699="Aussen","Aussen","-"))</f>
        <v>LIFT</v>
      </c>
      <c r="CD1699" s="59" t="n">
        <f aca="false">IF(N(AB1699)&gt;0,AB1699,0)</f>
        <v>0</v>
      </c>
      <c r="CE1699" s="53" t="n">
        <f aca="false">IF(ISNUMBER(AE1699),1,0)</f>
        <v>0</v>
      </c>
      <c r="CF1699" s="50" t="n">
        <f aca="false">N(AE1699)</f>
        <v>0</v>
      </c>
      <c r="CG1699" s="50" t="n">
        <f aca="false">N(M1699)+N(N1699)</f>
        <v>3</v>
      </c>
      <c r="CH1699" s="50" t="n">
        <f aca="false">ROUNDUP(H1699/BV1699,0)</f>
        <v>1</v>
      </c>
      <c r="CI1699" s="50" t="n">
        <f aca="false">ROUNDUP(CF1699/BV1699,0)</f>
        <v>0</v>
      </c>
      <c r="CJ1699" s="53" t="n">
        <f aca="false">IF(BW1699=1,0,IFERROR(VLOOKUP(BU1699,'Gebinde-Kategorie'!$A$5:$N$45,5,0)+0,0))</f>
        <v>11</v>
      </c>
      <c r="CK1699" s="53" t="n">
        <f aca="false">IFERROR(IF(OR(CB1699=1,CB1699=2,CB1699=3),N(INDEX(Parameter!$I$5:$I$7,CB1699)),0),0)</f>
        <v>0</v>
      </c>
      <c r="CL1699" s="52" t="n">
        <f aca="false">IF(AND(Parameter!$B$21="Ja",ISNUMBER(W1699),N(X1699)&gt;0),IFERROR(N(INDEX(Parameter!$L$5:$L$7,W1699))*INDEX(Parameter!$E$5:$E$7,W1699)*X1699/SUMIFS($X$7:$X$1843,$W$7:$W$1843,W1699),0),0)</f>
        <v>0</v>
      </c>
    </row>
    <row r="1700" customFormat="false" ht="15" hidden="false" customHeight="false" outlineLevel="0" collapsed="false">
      <c r="A1700" s="48" t="s">
        <v>2947</v>
      </c>
      <c r="B1700" s="48" t="s">
        <v>2948</v>
      </c>
      <c r="C1700" s="48" t="s">
        <v>168</v>
      </c>
      <c r="D1700" s="48" t="s">
        <v>188</v>
      </c>
      <c r="E1700" s="48"/>
      <c r="F1700" s="48"/>
      <c r="G1700" s="49" t="n">
        <v>99.94</v>
      </c>
      <c r="H1700" s="50" t="n">
        <f aca="false">MAX(0,IF(AND(Parameter!$B$21="Ja",ISNUMBER(Y1700)),Y1700,IF(Parameter!$B$20="Jahresanfang 2025 + Export",BO1700+BN1700,BN1700)))</f>
        <v>3</v>
      </c>
      <c r="I1700" s="50" t="n">
        <f aca="false">H1700*G1700</f>
        <v>299.82</v>
      </c>
      <c r="J1700" s="50" t="n">
        <f aca="false">BQ1700*Parameter!$B$18</f>
        <v>0</v>
      </c>
      <c r="K1700" s="51"/>
      <c r="L1700" s="52"/>
      <c r="M1700" s="50" t="n">
        <v>0</v>
      </c>
      <c r="N1700" s="50" t="n">
        <v>3</v>
      </c>
      <c r="O1700" s="53" t="n">
        <v>42</v>
      </c>
      <c r="P1700" s="48" t="s">
        <v>332</v>
      </c>
      <c r="Q1700" s="50" t="n">
        <v>3</v>
      </c>
      <c r="R1700" s="53" t="n">
        <f aca="false">IF(BW1700=1,0,IFERROR(VLOOKUP(BU1700,'Gebinde-Kategorie'!$A$5:$N$45,13,0)+0,0))</f>
        <v>52</v>
      </c>
      <c r="S1700" s="54"/>
      <c r="T1700" s="55"/>
      <c r="U1700" s="55"/>
      <c r="V1700" s="55"/>
      <c r="W1700" s="48"/>
      <c r="X1700" s="50"/>
      <c r="Y1700" s="50"/>
      <c r="Z1700" s="48" t="n">
        <f aca="false">IF(A1700="","",IF(AND(Parameter!$B$21="Ja",ISNUMBER(W1700)),W1700,IF(BZ1700="2+3",IF(ISNUMBER(SEARCH("grosser Artikel",BR1700)),2,IFERROR(VLOOKUP(BU1700,Parameter!$F$35:$G$64,2,0),2)),IF(OR(BZ1700="Nein",BZ1700=""),"-",BZ1700))))</f>
        <v>3</v>
      </c>
      <c r="AA1700" s="55"/>
      <c r="AB1700" s="56"/>
      <c r="AC1700" s="50" t="n">
        <f aca="false">AT1700</f>
        <v>3</v>
      </c>
      <c r="AD1700" s="50" t="n">
        <f aca="false">MAX(AT1700,H1700)</f>
        <v>3</v>
      </c>
      <c r="AE1700" s="57"/>
      <c r="AF1700" s="50" t="n">
        <f aca="false">IF(LEFT(Cockpit!$C$5,1)="A",H1700,IF(CE1700=1,CF1700,IF(LEFT(Cockpit!$C$5,1)="B",AK1700,MAX(AK1700,H1700))))</f>
        <v>3</v>
      </c>
      <c r="AG1700" s="50" t="n">
        <f aca="false">IF(BW1700=1,0,ROUNDUP(AF1700/BV1700,0))</f>
        <v>1</v>
      </c>
      <c r="AH1700" s="52" t="n">
        <f aca="false">IF(CL1700&gt;0,CL1700*MAX(1,AF1700/X1700),IF(BW1700=1,IF(AF1700&lt;=0,0,CA1700*MAX(1,IF(H1700&gt;0,AF1700/H1700,1))),IF(R1700&gt;0,AG1700/R1700,0))/MAX(0.1,N(Parameter!$M$21)))</f>
        <v>0.0192307692307692</v>
      </c>
      <c r="AI1700" s="50" t="n">
        <f aca="false">AH1700*BY1700</f>
        <v>2.98076923076923</v>
      </c>
      <c r="AJ1700" s="50" t="n">
        <f aca="false">AF1700*G1700</f>
        <v>299.82</v>
      </c>
      <c r="AK1700" s="50" t="n">
        <f aca="false">ROUNDUP(MAX(J1700/IF(CD1700&gt;0,CD1700,MAX(0.1,N(Cockpit!$C$6))),CG1700)/BV1700,0)*BV1700</f>
        <v>3</v>
      </c>
      <c r="AL1700" s="51" t="n">
        <f aca="false">IF(AI1700&gt;0,J1700/AI1700,-1)</f>
        <v>0</v>
      </c>
      <c r="AM1700" s="51" t="n">
        <f aca="false">IF(AND(OR(CC1700="L1",CC1700="L23",CC1700="LIFT"),AI1700&gt;0),SUMIFS($AI$7:$AI$1843,$CC$7:$CC$1843,CC1700,$AL$7:$AL$1843,"&gt;"&amp;AL1700)+SUMIFS($AI$7:$AI$1843,$CC$7:$CC$1843,CC1700,$AL$7:$AL$1843,AL1700,$BT$7:$BT$1843,"&lt;="&amp;BT1700),"")</f>
        <v>32794.0563755924</v>
      </c>
      <c r="AN1700" s="58" t="n">
        <f aca="false">IF(AM1700="",0,MAX(0,MIN(1,(IF(CC1700="L1",Parameter!$H$5,IF(CC1700="L23",Parameter!$H$6+Parameter!$H$7,Parameter!$H$5+Parameter!$H$6+Parameter!$H$7))-(AM1700-AI1700))/AI1700)))</f>
        <v>1</v>
      </c>
      <c r="AO1700" s="50" t="n">
        <f aca="false">IF(LEFT(Cockpit!$I$5,1)="A",H1700,IF(CE1700=1,CF1700,IF(LEFT(Cockpit!$I$5,1)="B",AT1700,MAX(AT1700,H1700))))</f>
        <v>3</v>
      </c>
      <c r="AP1700" s="50" t="n">
        <f aca="false">IF(BW1700=1,0,ROUNDUP(AO1700/BV1700,0))</f>
        <v>1</v>
      </c>
      <c r="AQ1700" s="52" t="n">
        <f aca="false">IF(CL1700&gt;0,CL1700*MAX(1,AO1700/X1700),IF(BW1700=1,IF(AO1700&lt;=0,0,CA1700*MAX(1,IF(H1700&gt;0,AO1700/H1700,1))),IF(R1700&gt;0,AP1700/R1700,0))/MAX(0.1,N(Parameter!$M$21)))</f>
        <v>0.0192307692307692</v>
      </c>
      <c r="AR1700" s="50" t="n">
        <f aca="false">AQ1700*BY1700</f>
        <v>2.98076923076923</v>
      </c>
      <c r="AS1700" s="50" t="n">
        <f aca="false">AO1700*G1700</f>
        <v>299.82</v>
      </c>
      <c r="AT1700" s="50" t="n">
        <f aca="false">ROUNDUP(MAX(J1700/IF(CD1700&gt;0,CD1700,MAX(0.1,N(Cockpit!$I$6))),CG1700)/BV1700,0)*BV1700</f>
        <v>3</v>
      </c>
      <c r="AU1700" s="51" t="n">
        <f aca="false">IF(AR1700&gt;0,J1700/AR1700,-1)</f>
        <v>0</v>
      </c>
      <c r="AV1700" s="51" t="n">
        <f aca="false">IF(AND(OR(CC1700="L1",CC1700="L23",CC1700="LIFT"),AR1700&gt;0),SUMIFS($AR$7:$AR$1843,$CC$7:$CC$1843,CC1700,$AU$7:$AU$1843,"&gt;"&amp;AU1700)+SUMIFS($AR$7:$AR$1843,$CC$7:$CC$1843,CC1700,$AU$7:$AU$1843,AU1700,$BT$7:$BT$1843,"&lt;="&amp;BT1700),"")</f>
        <v>45472.8254485627</v>
      </c>
      <c r="AW1700" s="58" t="n">
        <f aca="false">IF(AV1700="",0,MAX(0,MIN(1,(IF(CC1700="L1",Parameter!$H$5,IF(CC1700="L23",Parameter!$H$6+Parameter!$H$7,Parameter!$H$5+Parameter!$H$6+Parameter!$H$7))-(AV1700-AR1700))/AR1700)))</f>
        <v>0</v>
      </c>
      <c r="AX1700" s="50" t="n">
        <f aca="false">IF(LEFT(Cockpit!$O$5,1)="A",H1700,IF(CE1700=1,CF1700,IF(LEFT(Cockpit!$O$5,1)="B",BC1700,MAX(BC1700,H1700))))</f>
        <v>3</v>
      </c>
      <c r="AY1700" s="50" t="n">
        <f aca="false">IF(BW1700=1,0,ROUNDUP(AX1700/BV1700,0))</f>
        <v>1</v>
      </c>
      <c r="AZ1700" s="52" t="n">
        <f aca="false">IF(CL1700&gt;0,CL1700*MAX(1,AX1700/X1700),IF(BW1700=1,IF(AX1700&lt;=0,0,CA1700*MAX(1,IF(H1700&gt;0,AX1700/H1700,1))),IF(R1700&gt;0,AY1700/R1700,0))/MAX(0.1,N(Parameter!$M$21)))</f>
        <v>0.0192307692307692</v>
      </c>
      <c r="BA1700" s="50" t="n">
        <f aca="false">AZ1700*BY1700</f>
        <v>2.98076923076923</v>
      </c>
      <c r="BB1700" s="50" t="n">
        <f aca="false">AX1700*G1700</f>
        <v>299.82</v>
      </c>
      <c r="BC1700" s="50" t="n">
        <f aca="false">ROUNDUP(MAX(J1700/IF(CD1700&gt;0,CD1700,MAX(0.1,N(Cockpit!$O$6))),CG1700)/BV1700,0)*BV1700</f>
        <v>3</v>
      </c>
      <c r="BD1700" s="51" t="n">
        <f aca="false">IF(BA1700&gt;0,J1700/BA1700,-1)</f>
        <v>0</v>
      </c>
      <c r="BE1700" s="51" t="n">
        <f aca="false">IF(AND(OR(CC1700="L1",CC1700="L23",CC1700="LIFT"),BA1700&gt;0),SUMIFS($BA$7:$BA$1843,$CC$7:$CC$1843,CC1700,$BD$7:$BD$1843,"&gt;"&amp;BD1700)+SUMIFS($BA$7:$BA$1843,$CC$7:$CC$1843,CC1700,$BD$7:$BD$1843,BD1700,$BT$7:$BT$1843,"&lt;="&amp;BT1700),"")</f>
        <v>42147.8374904286</v>
      </c>
      <c r="BF1700" s="58" t="n">
        <f aca="false">IF(BE1700="",0,MAX(0,MIN(1,(IF(CC1700="L1",Parameter!$H$5,IF(CC1700="L23",Parameter!$H$6+Parameter!$H$7,Parameter!$H$5+Parameter!$H$6+Parameter!$H$7))-(BE1700-BA1700))/BA1700)))</f>
        <v>0</v>
      </c>
      <c r="BG1700" s="48" t="str">
        <f aca="false">IF(AI1700&lt;=0,"",IF(CC1700="Aussen","Aussenlager",IF(CC1700="-","Nicht im Lift",IF(AN1700&gt;=1,"Lift",IF(AN1700&lt;=0,"Aussenlager","teilweise")))))</f>
        <v>Lift</v>
      </c>
      <c r="BH1700" s="48" t="str">
        <f aca="false">IF(AR1700&lt;=0,"",IF(CC1700="Aussen","Aussenlager",IF(CC1700="-","Nicht im Lift",IF(AW1700&gt;=1,"Lift",IF(AW1700&lt;=0,"Aussenlager","teilweise")))))</f>
        <v>Aussenlager</v>
      </c>
      <c r="BI1700" s="48" t="str">
        <f aca="false">IF(BA1700&lt;=0,"",IF(CC1700="Aussen","Aussenlager",IF(CC1700="-","Nicht im Lift",IF(BF1700&gt;=1,"Lift",IF(BF1700&lt;=0,"Aussenlager","teilweise")))))</f>
        <v>Aussenlager</v>
      </c>
      <c r="BJ1700" s="48" t="str">
        <f aca="false">IF(A1700="","",IF(BS1700=1,"Neu; ","")&amp;IF(AND(BS1700=0,BN1700&lt;0),"negativer Bestand (Export "&amp;BN1700&amp;"); ","")&amp;IF(J1700&lt;=0,"Kein Verbrauch; ","")&amp;IF(CL1700&gt;0,"Lift "&amp;W1700&amp;" lt. Liftbericht (Fach "&amp;X1700&amp;" Stk); ",IF(BX1700=1,"Gebinde geschätzt ("&amp;T1700&amp;"); ",IF(BW1700=1,"Lose – Tablare geschätzt; ","")))&amp;IF(H1700&gt;AT1700,"Überbestand "&amp;ROUND(H1700-AT1700,0)&amp;" Stk / CHF "&amp;ROUND((H1700-AT1700)*G1700,0)&amp;"; ","")&amp;IF(AND(CE1700=1,CF1700&lt;CG1700),"MAX &lt; MB+LG; ","")&amp;IF(AND(CK1700&gt;0,CJ1700*10&gt;CK1700),"zu hoch für Tablar; ","")&amp;IF(AND(BS1700=0,OR(CE1700=1,AA1700&lt;&gt;"",U1700&lt;&gt;"",V1700&lt;&gt;"",AB1700&lt;&gt;"")),"manuell übersteuert; ","")&amp;IF(AND(BW1700=0,R1700=0),"Gebinde unbekannt / Stellmass fehlt; ","")&amp;IF(AND(BW1700=0,N(V1700)&lt;=0,N(Q1700)&lt;=0),"Menge pro Gebinde fehlt (Ist = 1 Gebinde); ","")&amp;BR1700)</f>
        <v>Kein Verbrauch; nur im Artikelstamm (Bestand 23.06.2026)</v>
      </c>
      <c r="BK1700" s="48"/>
      <c r="BL1700" s="48"/>
      <c r="BM1700" s="55"/>
      <c r="BN1700" s="50" t="n">
        <v>3</v>
      </c>
      <c r="BO1700" s="50" t="n">
        <v>0</v>
      </c>
      <c r="BP1700" s="49" t="n">
        <v>0</v>
      </c>
      <c r="BQ1700" s="50" t="n">
        <v>0</v>
      </c>
      <c r="BR1700" s="48" t="s">
        <v>2579</v>
      </c>
      <c r="BS1700" s="53" t="n">
        <v>0</v>
      </c>
      <c r="BT1700" s="53" t="n">
        <v>1700</v>
      </c>
      <c r="BU1700" s="48" t="str">
        <f aca="false">IF(U1700&lt;&gt;"",UPPER(TRIM(U1700)),IF(BX1700=1,UPPER(VLOOKUP(T1700,Parameter!$I$27:$K$29,2,0)),IF(P1700="","LOSE",P1700)))</f>
        <v>S41</v>
      </c>
      <c r="BV1700" s="50" t="n">
        <f aca="false">IF(BU1700="LOSE",1,IF(N(V1700)&gt;0,V1700,IF(BX1700=1,MAX(1,N(VLOOKUP(T1700,Parameter!$I$27:$K$29,3,0)),H1700,N(N1700)),IF(N(Q1700)&gt;0,Q1700,MAX(1,H1700)))))</f>
        <v>3</v>
      </c>
      <c r="BW1700" s="53" t="n">
        <f aca="false">IF(BU1700="LOSE",1,0)</f>
        <v>0</v>
      </c>
      <c r="BX1700" s="53" t="n">
        <f aca="false">IF(AND(U1700="",OR(P1700="",P1700="LOSE"),T1700&lt;&gt;"",N(S1700)&lt;=0,ISNUMBER(MATCH(T1700,Parameter!$I$27:$I$29,0))),1,0)</f>
        <v>0</v>
      </c>
      <c r="BY1700" s="53" t="n">
        <f aca="false">IF(CL1700&gt;0,INDEX(Parameter!$H$5:$H$7,W1700)/INDEX(Parameter!$E$5:$E$7,W1700),IF(AND(BW1700=0,N(IFERROR(VLOOKUP(BU1700,'Gebinde-Kategorie'!$A$5:$N$45,14,0),0))&gt;0),VLOOKUP(BU1700,'Gebinde-Kategorie'!$A$5:$N$45,14,0)*10+Parameter!$M$23,Parameter!$M$24))</f>
        <v>155</v>
      </c>
      <c r="BZ1700" s="48" t="str">
        <f aca="false">IF(AND(Parameter!$B$19="Ja",E1700&lt;&gt;"",ISNUMBER(MATCH(E1700,Parameter!$I$35:$I$52,0))),VLOOKUP(E1700,Parameter!$I$35:$J$52,2,0),IFERROR(VLOOKUP(D1700,Parameter!$A$35:$C$64,2,0),"Nein"))</f>
        <v>2+3</v>
      </c>
      <c r="CA1700" s="52" t="n">
        <f aca="false">IF(BW1700=0,0,IF(N(S1700)&gt;0,S1700,IFERROR(VLOOKUP(D1700,Parameter!$A$35:$C$64,3,0)+0,0)))</f>
        <v>0</v>
      </c>
      <c r="CB1700" s="48" t="n">
        <f aca="false">IF(AA1700&lt;&gt;"",AA1700,Z1700)</f>
        <v>3</v>
      </c>
      <c r="CC1700" s="48" t="str">
        <f aca="false">IF(OR(CB1700=1,CB1700=2,CB1700=3),IF(Parameter!$E$27="Ja","LIFT",IF(CB1700=1,"L1","L23")),IF(CB1700="Aussen","Aussen","-"))</f>
        <v>LIFT</v>
      </c>
      <c r="CD1700" s="59" t="n">
        <f aca="false">IF(N(AB1700)&gt;0,AB1700,0)</f>
        <v>0</v>
      </c>
      <c r="CE1700" s="53" t="n">
        <f aca="false">IF(ISNUMBER(AE1700),1,0)</f>
        <v>0</v>
      </c>
      <c r="CF1700" s="50" t="n">
        <f aca="false">N(AE1700)</f>
        <v>0</v>
      </c>
      <c r="CG1700" s="50" t="n">
        <f aca="false">N(M1700)+N(N1700)</f>
        <v>3</v>
      </c>
      <c r="CH1700" s="50" t="n">
        <f aca="false">ROUNDUP(H1700/BV1700,0)</f>
        <v>1</v>
      </c>
      <c r="CI1700" s="50" t="n">
        <f aca="false">ROUNDUP(CF1700/BV1700,0)</f>
        <v>0</v>
      </c>
      <c r="CJ1700" s="53" t="n">
        <f aca="false">IF(BW1700=1,0,IFERROR(VLOOKUP(BU1700,'Gebinde-Kategorie'!$A$5:$N$45,5,0)+0,0))</f>
        <v>11</v>
      </c>
      <c r="CK1700" s="53" t="n">
        <f aca="false">IFERROR(IF(OR(CB1700=1,CB1700=2,CB1700=3),N(INDEX(Parameter!$I$5:$I$7,CB1700)),0),0)</f>
        <v>0</v>
      </c>
      <c r="CL1700" s="52" t="n">
        <f aca="false">IF(AND(Parameter!$B$21="Ja",ISNUMBER(W1700),N(X1700)&gt;0),IFERROR(N(INDEX(Parameter!$L$5:$L$7,W1700))*INDEX(Parameter!$E$5:$E$7,W1700)*X1700/SUMIFS($X$7:$X$1843,$W$7:$W$1843,W1700),0),0)</f>
        <v>0</v>
      </c>
    </row>
    <row r="1701" customFormat="false" ht="15" hidden="false" customHeight="false" outlineLevel="0" collapsed="false">
      <c r="A1701" s="48" t="s">
        <v>2949</v>
      </c>
      <c r="B1701" s="48" t="s">
        <v>847</v>
      </c>
      <c r="C1701" s="48" t="s">
        <v>168</v>
      </c>
      <c r="D1701" s="48" t="s">
        <v>188</v>
      </c>
      <c r="E1701" s="48"/>
      <c r="F1701" s="48"/>
      <c r="G1701" s="49" t="n">
        <v>38.1</v>
      </c>
      <c r="H1701" s="50" t="n">
        <f aca="false">MAX(0,IF(AND(Parameter!$B$21="Ja",ISNUMBER(Y1701)),Y1701,IF(Parameter!$B$20="Jahresanfang 2025 + Export",BO1701+BN1701,BN1701)))</f>
        <v>3</v>
      </c>
      <c r="I1701" s="50" t="n">
        <f aca="false">H1701*G1701</f>
        <v>114.3</v>
      </c>
      <c r="J1701" s="50" t="n">
        <f aca="false">BQ1701*Parameter!$B$18</f>
        <v>0</v>
      </c>
      <c r="K1701" s="51"/>
      <c r="L1701" s="52"/>
      <c r="M1701" s="50" t="n">
        <v>0</v>
      </c>
      <c r="N1701" s="50" t="n">
        <v>3</v>
      </c>
      <c r="O1701" s="53" t="n">
        <v>42</v>
      </c>
      <c r="P1701" s="48" t="s">
        <v>332</v>
      </c>
      <c r="Q1701" s="50" t="n">
        <v>3</v>
      </c>
      <c r="R1701" s="53" t="n">
        <f aca="false">IF(BW1701=1,0,IFERROR(VLOOKUP(BU1701,'Gebinde-Kategorie'!$A$5:$N$45,13,0)+0,0))</f>
        <v>52</v>
      </c>
      <c r="S1701" s="54"/>
      <c r="T1701" s="55"/>
      <c r="U1701" s="55"/>
      <c r="V1701" s="55"/>
      <c r="W1701" s="48"/>
      <c r="X1701" s="50"/>
      <c r="Y1701" s="50"/>
      <c r="Z1701" s="48" t="n">
        <f aca="false">IF(A1701="","",IF(AND(Parameter!$B$21="Ja",ISNUMBER(W1701)),W1701,IF(BZ1701="2+3",IF(ISNUMBER(SEARCH("grosser Artikel",BR1701)),2,IFERROR(VLOOKUP(BU1701,Parameter!$F$35:$G$64,2,0),2)),IF(OR(BZ1701="Nein",BZ1701=""),"-",BZ1701))))</f>
        <v>3</v>
      </c>
      <c r="AA1701" s="55"/>
      <c r="AB1701" s="56"/>
      <c r="AC1701" s="50" t="n">
        <f aca="false">AT1701</f>
        <v>3</v>
      </c>
      <c r="AD1701" s="50" t="n">
        <f aca="false">MAX(AT1701,H1701)</f>
        <v>3</v>
      </c>
      <c r="AE1701" s="57"/>
      <c r="AF1701" s="50" t="n">
        <f aca="false">IF(LEFT(Cockpit!$C$5,1)="A",H1701,IF(CE1701=1,CF1701,IF(LEFT(Cockpit!$C$5,1)="B",AK1701,MAX(AK1701,H1701))))</f>
        <v>3</v>
      </c>
      <c r="AG1701" s="50" t="n">
        <f aca="false">IF(BW1701=1,0,ROUNDUP(AF1701/BV1701,0))</f>
        <v>1</v>
      </c>
      <c r="AH1701" s="52" t="n">
        <f aca="false">IF(CL1701&gt;0,CL1701*MAX(1,AF1701/X1701),IF(BW1701=1,IF(AF1701&lt;=0,0,CA1701*MAX(1,IF(H1701&gt;0,AF1701/H1701,1))),IF(R1701&gt;0,AG1701/R1701,0))/MAX(0.1,N(Parameter!$M$21)))</f>
        <v>0.0192307692307692</v>
      </c>
      <c r="AI1701" s="50" t="n">
        <f aca="false">AH1701*BY1701</f>
        <v>2.98076923076923</v>
      </c>
      <c r="AJ1701" s="50" t="n">
        <f aca="false">AF1701*G1701</f>
        <v>114.3</v>
      </c>
      <c r="AK1701" s="50" t="n">
        <f aca="false">ROUNDUP(MAX(J1701/IF(CD1701&gt;0,CD1701,MAX(0.1,N(Cockpit!$C$6))),CG1701)/BV1701,0)*BV1701</f>
        <v>3</v>
      </c>
      <c r="AL1701" s="51" t="n">
        <f aca="false">IF(AI1701&gt;0,J1701/AI1701,-1)</f>
        <v>0</v>
      </c>
      <c r="AM1701" s="51" t="n">
        <f aca="false">IF(AND(OR(CC1701="L1",CC1701="L23",CC1701="LIFT"),AI1701&gt;0),SUMIFS($AI$7:$AI$1843,$CC$7:$CC$1843,CC1701,$AL$7:$AL$1843,"&gt;"&amp;AL1701)+SUMIFS($AI$7:$AI$1843,$CC$7:$CC$1843,CC1701,$AL$7:$AL$1843,AL1701,$BT$7:$BT$1843,"&lt;="&amp;BT1701),"")</f>
        <v>32797.0371448232</v>
      </c>
      <c r="AN1701" s="58" t="n">
        <f aca="false">IF(AM1701="",0,MAX(0,MIN(1,(IF(CC1701="L1",Parameter!$H$5,IF(CC1701="L23",Parameter!$H$6+Parameter!$H$7,Parameter!$H$5+Parameter!$H$6+Parameter!$H$7))-(AM1701-AI1701))/AI1701)))</f>
        <v>1</v>
      </c>
      <c r="AO1701" s="50" t="n">
        <f aca="false">IF(LEFT(Cockpit!$I$5,1)="A",H1701,IF(CE1701=1,CF1701,IF(LEFT(Cockpit!$I$5,1)="B",AT1701,MAX(AT1701,H1701))))</f>
        <v>3</v>
      </c>
      <c r="AP1701" s="50" t="n">
        <f aca="false">IF(BW1701=1,0,ROUNDUP(AO1701/BV1701,0))</f>
        <v>1</v>
      </c>
      <c r="AQ1701" s="52" t="n">
        <f aca="false">IF(CL1701&gt;0,CL1701*MAX(1,AO1701/X1701),IF(BW1701=1,IF(AO1701&lt;=0,0,CA1701*MAX(1,IF(H1701&gt;0,AO1701/H1701,1))),IF(R1701&gt;0,AP1701/R1701,0))/MAX(0.1,N(Parameter!$M$21)))</f>
        <v>0.0192307692307692</v>
      </c>
      <c r="AR1701" s="50" t="n">
        <f aca="false">AQ1701*BY1701</f>
        <v>2.98076923076923</v>
      </c>
      <c r="AS1701" s="50" t="n">
        <f aca="false">AO1701*G1701</f>
        <v>114.3</v>
      </c>
      <c r="AT1701" s="50" t="n">
        <f aca="false">ROUNDUP(MAX(J1701/IF(CD1701&gt;0,CD1701,MAX(0.1,N(Cockpit!$I$6))),CG1701)/BV1701,0)*BV1701</f>
        <v>3</v>
      </c>
      <c r="AU1701" s="51" t="n">
        <f aca="false">IF(AR1701&gt;0,J1701/AR1701,-1)</f>
        <v>0</v>
      </c>
      <c r="AV1701" s="51" t="n">
        <f aca="false">IF(AND(OR(CC1701="L1",CC1701="L23",CC1701="LIFT"),AR1701&gt;0),SUMIFS($AR$7:$AR$1843,$CC$7:$CC$1843,CC1701,$AU$7:$AU$1843,"&gt;"&amp;AU1701)+SUMIFS($AR$7:$AR$1843,$CC$7:$CC$1843,CC1701,$AU$7:$AU$1843,AU1701,$BT$7:$BT$1843,"&lt;="&amp;BT1701),"")</f>
        <v>45475.8062177935</v>
      </c>
      <c r="AW1701" s="58" t="n">
        <f aca="false">IF(AV1701="",0,MAX(0,MIN(1,(IF(CC1701="L1",Parameter!$H$5,IF(CC1701="L23",Parameter!$H$6+Parameter!$H$7,Parameter!$H$5+Parameter!$H$6+Parameter!$H$7))-(AV1701-AR1701))/AR1701)))</f>
        <v>0</v>
      </c>
      <c r="AX1701" s="50" t="n">
        <f aca="false">IF(LEFT(Cockpit!$O$5,1)="A",H1701,IF(CE1701=1,CF1701,IF(LEFT(Cockpit!$O$5,1)="B",BC1701,MAX(BC1701,H1701))))</f>
        <v>3</v>
      </c>
      <c r="AY1701" s="50" t="n">
        <f aca="false">IF(BW1701=1,0,ROUNDUP(AX1701/BV1701,0))</f>
        <v>1</v>
      </c>
      <c r="AZ1701" s="52" t="n">
        <f aca="false">IF(CL1701&gt;0,CL1701*MAX(1,AX1701/X1701),IF(BW1701=1,IF(AX1701&lt;=0,0,CA1701*MAX(1,IF(H1701&gt;0,AX1701/H1701,1))),IF(R1701&gt;0,AY1701/R1701,0))/MAX(0.1,N(Parameter!$M$21)))</f>
        <v>0.0192307692307692</v>
      </c>
      <c r="BA1701" s="50" t="n">
        <f aca="false">AZ1701*BY1701</f>
        <v>2.98076923076923</v>
      </c>
      <c r="BB1701" s="50" t="n">
        <f aca="false">AX1701*G1701</f>
        <v>114.3</v>
      </c>
      <c r="BC1701" s="50" t="n">
        <f aca="false">ROUNDUP(MAX(J1701/IF(CD1701&gt;0,CD1701,MAX(0.1,N(Cockpit!$O$6))),CG1701)/BV1701,0)*BV1701</f>
        <v>3</v>
      </c>
      <c r="BD1701" s="51" t="n">
        <f aca="false">IF(BA1701&gt;0,J1701/BA1701,-1)</f>
        <v>0</v>
      </c>
      <c r="BE1701" s="51" t="n">
        <f aca="false">IF(AND(OR(CC1701="L1",CC1701="L23",CC1701="LIFT"),BA1701&gt;0),SUMIFS($BA$7:$BA$1843,$CC$7:$CC$1843,CC1701,$BD$7:$BD$1843,"&gt;"&amp;BD1701)+SUMIFS($BA$7:$BA$1843,$CC$7:$CC$1843,CC1701,$BD$7:$BD$1843,BD1701,$BT$7:$BT$1843,"&lt;="&amp;BT1701),"")</f>
        <v>42150.8182596594</v>
      </c>
      <c r="BF1701" s="58" t="n">
        <f aca="false">IF(BE1701="",0,MAX(0,MIN(1,(IF(CC1701="L1",Parameter!$H$5,IF(CC1701="L23",Parameter!$H$6+Parameter!$H$7,Parameter!$H$5+Parameter!$H$6+Parameter!$H$7))-(BE1701-BA1701))/BA1701)))</f>
        <v>0</v>
      </c>
      <c r="BG1701" s="48" t="str">
        <f aca="false">IF(AI1701&lt;=0,"",IF(CC1701="Aussen","Aussenlager",IF(CC1701="-","Nicht im Lift",IF(AN1701&gt;=1,"Lift",IF(AN1701&lt;=0,"Aussenlager","teilweise")))))</f>
        <v>Lift</v>
      </c>
      <c r="BH1701" s="48" t="str">
        <f aca="false">IF(AR1701&lt;=0,"",IF(CC1701="Aussen","Aussenlager",IF(CC1701="-","Nicht im Lift",IF(AW1701&gt;=1,"Lift",IF(AW1701&lt;=0,"Aussenlager","teilweise")))))</f>
        <v>Aussenlager</v>
      </c>
      <c r="BI1701" s="48" t="str">
        <f aca="false">IF(BA1701&lt;=0,"",IF(CC1701="Aussen","Aussenlager",IF(CC1701="-","Nicht im Lift",IF(BF1701&gt;=1,"Lift",IF(BF1701&lt;=0,"Aussenlager","teilweise")))))</f>
        <v>Aussenlager</v>
      </c>
      <c r="BJ1701" s="48" t="str">
        <f aca="false">IF(A1701="","",IF(BS1701=1,"Neu; ","")&amp;IF(AND(BS1701=0,BN1701&lt;0),"negativer Bestand (Export "&amp;BN1701&amp;"); ","")&amp;IF(J1701&lt;=0,"Kein Verbrauch; ","")&amp;IF(CL1701&gt;0,"Lift "&amp;W1701&amp;" lt. Liftbericht (Fach "&amp;X1701&amp;" Stk); ",IF(BX1701=1,"Gebinde geschätzt ("&amp;T1701&amp;"); ",IF(BW1701=1,"Lose – Tablare geschätzt; ","")))&amp;IF(H1701&gt;AT1701,"Überbestand "&amp;ROUND(H1701-AT1701,0)&amp;" Stk / CHF "&amp;ROUND((H1701-AT1701)*G1701,0)&amp;"; ","")&amp;IF(AND(CE1701=1,CF1701&lt;CG1701),"MAX &lt; MB+LG; ","")&amp;IF(AND(CK1701&gt;0,CJ1701*10&gt;CK1701),"zu hoch für Tablar; ","")&amp;IF(AND(BS1701=0,OR(CE1701=1,AA1701&lt;&gt;"",U1701&lt;&gt;"",V1701&lt;&gt;"",AB1701&lt;&gt;"")),"manuell übersteuert; ","")&amp;IF(AND(BW1701=0,R1701=0),"Gebinde unbekannt / Stellmass fehlt; ","")&amp;IF(AND(BW1701=0,N(V1701)&lt;=0,N(Q1701)&lt;=0),"Menge pro Gebinde fehlt (Ist = 1 Gebinde); ","")&amp;BR1701)</f>
        <v>Kein Verbrauch; nur im Artikelstamm (Bestand 23.06.2026)</v>
      </c>
      <c r="BK1701" s="48"/>
      <c r="BL1701" s="48"/>
      <c r="BM1701" s="55"/>
      <c r="BN1701" s="50" t="n">
        <v>3</v>
      </c>
      <c r="BO1701" s="50" t="n">
        <v>0</v>
      </c>
      <c r="BP1701" s="49" t="n">
        <v>0</v>
      </c>
      <c r="BQ1701" s="50" t="n">
        <v>0</v>
      </c>
      <c r="BR1701" s="48" t="s">
        <v>2579</v>
      </c>
      <c r="BS1701" s="53" t="n">
        <v>0</v>
      </c>
      <c r="BT1701" s="53" t="n">
        <v>1701</v>
      </c>
      <c r="BU1701" s="48" t="str">
        <f aca="false">IF(U1701&lt;&gt;"",UPPER(TRIM(U1701)),IF(BX1701=1,UPPER(VLOOKUP(T1701,Parameter!$I$27:$K$29,2,0)),IF(P1701="","LOSE",P1701)))</f>
        <v>S41</v>
      </c>
      <c r="BV1701" s="50" t="n">
        <f aca="false">IF(BU1701="LOSE",1,IF(N(V1701)&gt;0,V1701,IF(BX1701=1,MAX(1,N(VLOOKUP(T1701,Parameter!$I$27:$K$29,3,0)),H1701,N(N1701)),IF(N(Q1701)&gt;0,Q1701,MAX(1,H1701)))))</f>
        <v>3</v>
      </c>
      <c r="BW1701" s="53" t="n">
        <f aca="false">IF(BU1701="LOSE",1,0)</f>
        <v>0</v>
      </c>
      <c r="BX1701" s="53" t="n">
        <f aca="false">IF(AND(U1701="",OR(P1701="",P1701="LOSE"),T1701&lt;&gt;"",N(S1701)&lt;=0,ISNUMBER(MATCH(T1701,Parameter!$I$27:$I$29,0))),1,0)</f>
        <v>0</v>
      </c>
      <c r="BY1701" s="53" t="n">
        <f aca="false">IF(CL1701&gt;0,INDEX(Parameter!$H$5:$H$7,W1701)/INDEX(Parameter!$E$5:$E$7,W1701),IF(AND(BW1701=0,N(IFERROR(VLOOKUP(BU1701,'Gebinde-Kategorie'!$A$5:$N$45,14,0),0))&gt;0),VLOOKUP(BU1701,'Gebinde-Kategorie'!$A$5:$N$45,14,0)*10+Parameter!$M$23,Parameter!$M$24))</f>
        <v>155</v>
      </c>
      <c r="BZ1701" s="48" t="str">
        <f aca="false">IF(AND(Parameter!$B$19="Ja",E1701&lt;&gt;"",ISNUMBER(MATCH(E1701,Parameter!$I$35:$I$52,0))),VLOOKUP(E1701,Parameter!$I$35:$J$52,2,0),IFERROR(VLOOKUP(D1701,Parameter!$A$35:$C$64,2,0),"Nein"))</f>
        <v>2+3</v>
      </c>
      <c r="CA1701" s="52" t="n">
        <f aca="false">IF(BW1701=0,0,IF(N(S1701)&gt;0,S1701,IFERROR(VLOOKUP(D1701,Parameter!$A$35:$C$64,3,0)+0,0)))</f>
        <v>0</v>
      </c>
      <c r="CB1701" s="48" t="n">
        <f aca="false">IF(AA1701&lt;&gt;"",AA1701,Z1701)</f>
        <v>3</v>
      </c>
      <c r="CC1701" s="48" t="str">
        <f aca="false">IF(OR(CB1701=1,CB1701=2,CB1701=3),IF(Parameter!$E$27="Ja","LIFT",IF(CB1701=1,"L1","L23")),IF(CB1701="Aussen","Aussen","-"))</f>
        <v>LIFT</v>
      </c>
      <c r="CD1701" s="59" t="n">
        <f aca="false">IF(N(AB1701)&gt;0,AB1701,0)</f>
        <v>0</v>
      </c>
      <c r="CE1701" s="53" t="n">
        <f aca="false">IF(ISNUMBER(AE1701),1,0)</f>
        <v>0</v>
      </c>
      <c r="CF1701" s="50" t="n">
        <f aca="false">N(AE1701)</f>
        <v>0</v>
      </c>
      <c r="CG1701" s="50" t="n">
        <f aca="false">N(M1701)+N(N1701)</f>
        <v>3</v>
      </c>
      <c r="CH1701" s="50" t="n">
        <f aca="false">ROUNDUP(H1701/BV1701,0)</f>
        <v>1</v>
      </c>
      <c r="CI1701" s="50" t="n">
        <f aca="false">ROUNDUP(CF1701/BV1701,0)</f>
        <v>0</v>
      </c>
      <c r="CJ1701" s="53" t="n">
        <f aca="false">IF(BW1701=1,0,IFERROR(VLOOKUP(BU1701,'Gebinde-Kategorie'!$A$5:$N$45,5,0)+0,0))</f>
        <v>11</v>
      </c>
      <c r="CK1701" s="53" t="n">
        <f aca="false">IFERROR(IF(OR(CB1701=1,CB1701=2,CB1701=3),N(INDEX(Parameter!$I$5:$I$7,CB1701)),0),0)</f>
        <v>0</v>
      </c>
      <c r="CL1701" s="52" t="n">
        <f aca="false">IF(AND(Parameter!$B$21="Ja",ISNUMBER(W1701),N(X1701)&gt;0),IFERROR(N(INDEX(Parameter!$L$5:$L$7,W1701))*INDEX(Parameter!$E$5:$E$7,W1701)*X1701/SUMIFS($X$7:$X$1843,$W$7:$W$1843,W1701),0),0)</f>
        <v>0</v>
      </c>
    </row>
    <row r="1702" customFormat="false" ht="15" hidden="false" customHeight="false" outlineLevel="0" collapsed="false">
      <c r="A1702" s="48" t="s">
        <v>2950</v>
      </c>
      <c r="B1702" s="48" t="s">
        <v>409</v>
      </c>
      <c r="C1702" s="48" t="s">
        <v>168</v>
      </c>
      <c r="D1702" s="48" t="s">
        <v>188</v>
      </c>
      <c r="E1702" s="48"/>
      <c r="F1702" s="48"/>
      <c r="G1702" s="49" t="n">
        <v>0.46</v>
      </c>
      <c r="H1702" s="50" t="n">
        <f aca="false">MAX(0,IF(AND(Parameter!$B$21="Ja",ISNUMBER(Y1702)),Y1702,IF(Parameter!$B$20="Jahresanfang 2025 + Export",BO1702+BN1702,BN1702)))</f>
        <v>100</v>
      </c>
      <c r="I1702" s="50" t="n">
        <f aca="false">H1702*G1702</f>
        <v>46</v>
      </c>
      <c r="J1702" s="50" t="n">
        <f aca="false">BQ1702*Parameter!$B$18</f>
        <v>0</v>
      </c>
      <c r="K1702" s="51"/>
      <c r="L1702" s="52"/>
      <c r="M1702" s="50" t="n">
        <v>0</v>
      </c>
      <c r="N1702" s="50" t="n">
        <v>100</v>
      </c>
      <c r="O1702" s="53" t="n">
        <v>0</v>
      </c>
      <c r="P1702" s="48" t="s">
        <v>425</v>
      </c>
      <c r="Q1702" s="50" t="n">
        <v>60</v>
      </c>
      <c r="R1702" s="53" t="n">
        <f aca="false">IF(BW1702=1,0,IFERROR(VLOOKUP(BU1702,'Gebinde-Kategorie'!$A$5:$N$45,13,0)+0,0))</f>
        <v>104</v>
      </c>
      <c r="S1702" s="54"/>
      <c r="T1702" s="55"/>
      <c r="U1702" s="55"/>
      <c r="V1702" s="55"/>
      <c r="W1702" s="48"/>
      <c r="X1702" s="50"/>
      <c r="Y1702" s="50"/>
      <c r="Z1702" s="48" t="n">
        <f aca="false">IF(A1702="","",IF(AND(Parameter!$B$21="Ja",ISNUMBER(W1702)),W1702,IF(BZ1702="2+3",IF(ISNUMBER(SEARCH("grosser Artikel",BR1702)),2,IFERROR(VLOOKUP(BU1702,Parameter!$F$35:$G$64,2,0),2)),IF(OR(BZ1702="Nein",BZ1702=""),"-",BZ1702))))</f>
        <v>3</v>
      </c>
      <c r="AA1702" s="55"/>
      <c r="AB1702" s="56"/>
      <c r="AC1702" s="50" t="n">
        <f aca="false">AT1702</f>
        <v>120</v>
      </c>
      <c r="AD1702" s="50" t="n">
        <f aca="false">MAX(AT1702,H1702)</f>
        <v>120</v>
      </c>
      <c r="AE1702" s="57"/>
      <c r="AF1702" s="50" t="n">
        <f aca="false">IF(LEFT(Cockpit!$C$5,1)="A",H1702,IF(CE1702=1,CF1702,IF(LEFT(Cockpit!$C$5,1)="B",AK1702,MAX(AK1702,H1702))))</f>
        <v>100</v>
      </c>
      <c r="AG1702" s="50" t="n">
        <f aca="false">IF(BW1702=1,0,ROUNDUP(AF1702/BV1702,0))</f>
        <v>2</v>
      </c>
      <c r="AH1702" s="52" t="n">
        <f aca="false">IF(CL1702&gt;0,CL1702*MAX(1,AF1702/X1702),IF(BW1702=1,IF(AF1702&lt;=0,0,CA1702*MAX(1,IF(H1702&gt;0,AF1702/H1702,1))),IF(R1702&gt;0,AG1702/R1702,0))/MAX(0.1,N(Parameter!$M$21)))</f>
        <v>0.0192307692307692</v>
      </c>
      <c r="AI1702" s="50" t="n">
        <f aca="false">AH1702*BY1702</f>
        <v>2.98076923076923</v>
      </c>
      <c r="AJ1702" s="50" t="n">
        <f aca="false">AF1702*G1702</f>
        <v>46</v>
      </c>
      <c r="AK1702" s="50" t="n">
        <f aca="false">ROUNDUP(MAX(J1702/IF(CD1702&gt;0,CD1702,MAX(0.1,N(Cockpit!$C$6))),CG1702)/BV1702,0)*BV1702</f>
        <v>120</v>
      </c>
      <c r="AL1702" s="51" t="n">
        <f aca="false">IF(AI1702&gt;0,J1702/AI1702,-1)</f>
        <v>0</v>
      </c>
      <c r="AM1702" s="51" t="n">
        <f aca="false">IF(AND(OR(CC1702="L1",CC1702="L23",CC1702="LIFT"),AI1702&gt;0),SUMIFS($AI$7:$AI$1843,$CC$7:$CC$1843,CC1702,$AL$7:$AL$1843,"&gt;"&amp;AL1702)+SUMIFS($AI$7:$AI$1843,$CC$7:$CC$1843,CC1702,$AL$7:$AL$1843,AL1702,$BT$7:$BT$1843,"&lt;="&amp;BT1702),"")</f>
        <v>32800.0179140539</v>
      </c>
      <c r="AN1702" s="58" t="n">
        <f aca="false">IF(AM1702="",0,MAX(0,MIN(1,(IF(CC1702="L1",Parameter!$H$5,IF(CC1702="L23",Parameter!$H$6+Parameter!$H$7,Parameter!$H$5+Parameter!$H$6+Parameter!$H$7))-(AM1702-AI1702))/AI1702)))</f>
        <v>1</v>
      </c>
      <c r="AO1702" s="50" t="n">
        <f aca="false">IF(LEFT(Cockpit!$I$5,1)="A",H1702,IF(CE1702=1,CF1702,IF(LEFT(Cockpit!$I$5,1)="B",AT1702,MAX(AT1702,H1702))))</f>
        <v>120</v>
      </c>
      <c r="AP1702" s="50" t="n">
        <f aca="false">IF(BW1702=1,0,ROUNDUP(AO1702/BV1702,0))</f>
        <v>2</v>
      </c>
      <c r="AQ1702" s="52" t="n">
        <f aca="false">IF(CL1702&gt;0,CL1702*MAX(1,AO1702/X1702),IF(BW1702=1,IF(AO1702&lt;=0,0,CA1702*MAX(1,IF(H1702&gt;0,AO1702/H1702,1))),IF(R1702&gt;0,AP1702/R1702,0))/MAX(0.1,N(Parameter!$M$21)))</f>
        <v>0.0192307692307692</v>
      </c>
      <c r="AR1702" s="50" t="n">
        <f aca="false">AQ1702*BY1702</f>
        <v>2.98076923076923</v>
      </c>
      <c r="AS1702" s="50" t="n">
        <f aca="false">AO1702*G1702</f>
        <v>55.2</v>
      </c>
      <c r="AT1702" s="50" t="n">
        <f aca="false">ROUNDUP(MAX(J1702/IF(CD1702&gt;0,CD1702,MAX(0.1,N(Cockpit!$I$6))),CG1702)/BV1702,0)*BV1702</f>
        <v>120</v>
      </c>
      <c r="AU1702" s="51" t="n">
        <f aca="false">IF(AR1702&gt;0,J1702/AR1702,-1)</f>
        <v>0</v>
      </c>
      <c r="AV1702" s="51" t="n">
        <f aca="false">IF(AND(OR(CC1702="L1",CC1702="L23",CC1702="LIFT"),AR1702&gt;0),SUMIFS($AR$7:$AR$1843,$CC$7:$CC$1843,CC1702,$AU$7:$AU$1843,"&gt;"&amp;AU1702)+SUMIFS($AR$7:$AR$1843,$CC$7:$CC$1843,CC1702,$AU$7:$AU$1843,AU1702,$BT$7:$BT$1843,"&lt;="&amp;BT1702),"")</f>
        <v>45478.7869870243</v>
      </c>
      <c r="AW1702" s="58" t="n">
        <f aca="false">IF(AV1702="",0,MAX(0,MIN(1,(IF(CC1702="L1",Parameter!$H$5,IF(CC1702="L23",Parameter!$H$6+Parameter!$H$7,Parameter!$H$5+Parameter!$H$6+Parameter!$H$7))-(AV1702-AR1702))/AR1702)))</f>
        <v>0</v>
      </c>
      <c r="AX1702" s="50" t="n">
        <f aca="false">IF(LEFT(Cockpit!$O$5,1)="A",H1702,IF(CE1702=1,CF1702,IF(LEFT(Cockpit!$O$5,1)="B",BC1702,MAX(BC1702,H1702))))</f>
        <v>120</v>
      </c>
      <c r="AY1702" s="50" t="n">
        <f aca="false">IF(BW1702=1,0,ROUNDUP(AX1702/BV1702,0))</f>
        <v>2</v>
      </c>
      <c r="AZ1702" s="52" t="n">
        <f aca="false">IF(CL1702&gt;0,CL1702*MAX(1,AX1702/X1702),IF(BW1702=1,IF(AX1702&lt;=0,0,CA1702*MAX(1,IF(H1702&gt;0,AX1702/H1702,1))),IF(R1702&gt;0,AY1702/R1702,0))/MAX(0.1,N(Parameter!$M$21)))</f>
        <v>0.0192307692307692</v>
      </c>
      <c r="BA1702" s="50" t="n">
        <f aca="false">AZ1702*BY1702</f>
        <v>2.98076923076923</v>
      </c>
      <c r="BB1702" s="50" t="n">
        <f aca="false">AX1702*G1702</f>
        <v>55.2</v>
      </c>
      <c r="BC1702" s="50" t="n">
        <f aca="false">ROUNDUP(MAX(J1702/IF(CD1702&gt;0,CD1702,MAX(0.1,N(Cockpit!$O$6))),CG1702)/BV1702,0)*BV1702</f>
        <v>120</v>
      </c>
      <c r="BD1702" s="51" t="n">
        <f aca="false">IF(BA1702&gt;0,J1702/BA1702,-1)</f>
        <v>0</v>
      </c>
      <c r="BE1702" s="51" t="n">
        <f aca="false">IF(AND(OR(CC1702="L1",CC1702="L23",CC1702="LIFT"),BA1702&gt;0),SUMIFS($BA$7:$BA$1843,$CC$7:$CC$1843,CC1702,$BD$7:$BD$1843,"&gt;"&amp;BD1702)+SUMIFS($BA$7:$BA$1843,$CC$7:$CC$1843,CC1702,$BD$7:$BD$1843,BD1702,$BT$7:$BT$1843,"&lt;="&amp;BT1702),"")</f>
        <v>42153.7990288901</v>
      </c>
      <c r="BF1702" s="58" t="n">
        <f aca="false">IF(BE1702="",0,MAX(0,MIN(1,(IF(CC1702="L1",Parameter!$H$5,IF(CC1702="L23",Parameter!$H$6+Parameter!$H$7,Parameter!$H$5+Parameter!$H$6+Parameter!$H$7))-(BE1702-BA1702))/BA1702)))</f>
        <v>0</v>
      </c>
      <c r="BG1702" s="48" t="str">
        <f aca="false">IF(AI1702&lt;=0,"",IF(CC1702="Aussen","Aussenlager",IF(CC1702="-","Nicht im Lift",IF(AN1702&gt;=1,"Lift",IF(AN1702&lt;=0,"Aussenlager","teilweise")))))</f>
        <v>Lift</v>
      </c>
      <c r="BH1702" s="48" t="str">
        <f aca="false">IF(AR1702&lt;=0,"",IF(CC1702="Aussen","Aussenlager",IF(CC1702="-","Nicht im Lift",IF(AW1702&gt;=1,"Lift",IF(AW1702&lt;=0,"Aussenlager","teilweise")))))</f>
        <v>Aussenlager</v>
      </c>
      <c r="BI1702" s="48" t="str">
        <f aca="false">IF(BA1702&lt;=0,"",IF(CC1702="Aussen","Aussenlager",IF(CC1702="-","Nicht im Lift",IF(BF1702&gt;=1,"Lift",IF(BF1702&lt;=0,"Aussenlager","teilweise")))))</f>
        <v>Aussenlager</v>
      </c>
      <c r="BJ1702" s="48" t="str">
        <f aca="false">IF(A1702="","",IF(BS1702=1,"Neu; ","")&amp;IF(AND(BS1702=0,BN1702&lt;0),"negativer Bestand (Export "&amp;BN1702&amp;"); ","")&amp;IF(J1702&lt;=0,"Kein Verbrauch; ","")&amp;IF(CL1702&gt;0,"Lift "&amp;W1702&amp;" lt. Liftbericht (Fach "&amp;X1702&amp;" Stk); ",IF(BX1702=1,"Gebinde geschätzt ("&amp;T1702&amp;"); ",IF(BW1702=1,"Lose – Tablare geschätzt; ","")))&amp;IF(H1702&gt;AT1702,"Überbestand "&amp;ROUND(H1702-AT1702,0)&amp;" Stk / CHF "&amp;ROUND((H1702-AT1702)*G1702,0)&amp;"; ","")&amp;IF(AND(CE1702=1,CF1702&lt;CG1702),"MAX &lt; MB+LG; ","")&amp;IF(AND(CK1702&gt;0,CJ1702*10&gt;CK1702),"zu hoch für Tablar; ","")&amp;IF(AND(BS1702=0,OR(CE1702=1,AA1702&lt;&gt;"",U1702&lt;&gt;"",V1702&lt;&gt;"",AB1702&lt;&gt;"")),"manuell übersteuert; ","")&amp;IF(AND(BW1702=0,R1702=0),"Gebinde unbekannt / Stellmass fehlt; ","")&amp;IF(AND(BW1702=0,N(V1702)&lt;=0,N(Q1702)&lt;=0),"Menge pro Gebinde fehlt (Ist = 1 Gebinde); ","")&amp;BR1702)</f>
        <v>Kein Verbrauch; nur im Artikelstamm (Bestand 23.06.2026); Überbestand</v>
      </c>
      <c r="BK1702" s="48"/>
      <c r="BL1702" s="48"/>
      <c r="BM1702" s="55"/>
      <c r="BN1702" s="50" t="n">
        <v>100</v>
      </c>
      <c r="BO1702" s="50" t="n">
        <v>0</v>
      </c>
      <c r="BP1702" s="49" t="n">
        <v>0</v>
      </c>
      <c r="BQ1702" s="50" t="n">
        <v>0</v>
      </c>
      <c r="BR1702" s="48" t="s">
        <v>2576</v>
      </c>
      <c r="BS1702" s="53" t="n">
        <v>0</v>
      </c>
      <c r="BT1702" s="53" t="n">
        <v>1702</v>
      </c>
      <c r="BU1702" s="48" t="str">
        <f aca="false">IF(U1702&lt;&gt;"",UPPER(TRIM(U1702)),IF(BX1702=1,UPPER(VLOOKUP(T1702,Parameter!$I$27:$K$29,2,0)),IF(P1702="","LOSE",P1702)))</f>
        <v>S32</v>
      </c>
      <c r="BV1702" s="50" t="n">
        <f aca="false">IF(BU1702="LOSE",1,IF(N(V1702)&gt;0,V1702,IF(BX1702=1,MAX(1,N(VLOOKUP(T1702,Parameter!$I$27:$K$29,3,0)),H1702,N(N1702)),IF(N(Q1702)&gt;0,Q1702,MAX(1,H1702)))))</f>
        <v>60</v>
      </c>
      <c r="BW1702" s="53" t="n">
        <f aca="false">IF(BU1702="LOSE",1,0)</f>
        <v>0</v>
      </c>
      <c r="BX1702" s="53" t="n">
        <f aca="false">IF(AND(U1702="",OR(P1702="",P1702="LOSE"),T1702&lt;&gt;"",N(S1702)&lt;=0,ISNUMBER(MATCH(T1702,Parameter!$I$27:$I$29,0))),1,0)</f>
        <v>0</v>
      </c>
      <c r="BY1702" s="53" t="n">
        <f aca="false">IF(CL1702&gt;0,INDEX(Parameter!$H$5:$H$7,W1702)/INDEX(Parameter!$E$5:$E$7,W1702),IF(AND(BW1702=0,N(IFERROR(VLOOKUP(BU1702,'Gebinde-Kategorie'!$A$5:$N$45,14,0),0))&gt;0),VLOOKUP(BU1702,'Gebinde-Kategorie'!$A$5:$N$45,14,0)*10+Parameter!$M$23,Parameter!$M$24))</f>
        <v>155</v>
      </c>
      <c r="BZ1702" s="48" t="str">
        <f aca="false">IF(AND(Parameter!$B$19="Ja",E1702&lt;&gt;"",ISNUMBER(MATCH(E1702,Parameter!$I$35:$I$52,0))),VLOOKUP(E1702,Parameter!$I$35:$J$52,2,0),IFERROR(VLOOKUP(D1702,Parameter!$A$35:$C$64,2,0),"Nein"))</f>
        <v>2+3</v>
      </c>
      <c r="CA1702" s="52" t="n">
        <f aca="false">IF(BW1702=0,0,IF(N(S1702)&gt;0,S1702,IFERROR(VLOOKUP(D1702,Parameter!$A$35:$C$64,3,0)+0,0)))</f>
        <v>0</v>
      </c>
      <c r="CB1702" s="48" t="n">
        <f aca="false">IF(AA1702&lt;&gt;"",AA1702,Z1702)</f>
        <v>3</v>
      </c>
      <c r="CC1702" s="48" t="str">
        <f aca="false">IF(OR(CB1702=1,CB1702=2,CB1702=3),IF(Parameter!$E$27="Ja","LIFT",IF(CB1702=1,"L1","L23")),IF(CB1702="Aussen","Aussen","-"))</f>
        <v>LIFT</v>
      </c>
      <c r="CD1702" s="59" t="n">
        <f aca="false">IF(N(AB1702)&gt;0,AB1702,0)</f>
        <v>0</v>
      </c>
      <c r="CE1702" s="53" t="n">
        <f aca="false">IF(ISNUMBER(AE1702),1,0)</f>
        <v>0</v>
      </c>
      <c r="CF1702" s="50" t="n">
        <f aca="false">N(AE1702)</f>
        <v>0</v>
      </c>
      <c r="CG1702" s="50" t="n">
        <f aca="false">N(M1702)+N(N1702)</f>
        <v>100</v>
      </c>
      <c r="CH1702" s="50" t="n">
        <f aca="false">ROUNDUP(H1702/BV1702,0)</f>
        <v>2</v>
      </c>
      <c r="CI1702" s="50" t="n">
        <f aca="false">ROUNDUP(CF1702/BV1702,0)</f>
        <v>0</v>
      </c>
      <c r="CJ1702" s="53" t="n">
        <f aca="false">IF(BW1702=1,0,IFERROR(VLOOKUP(BU1702,'Gebinde-Kategorie'!$A$5:$N$45,5,0)+0,0))</f>
        <v>8</v>
      </c>
      <c r="CK1702" s="53" t="n">
        <f aca="false">IFERROR(IF(OR(CB1702=1,CB1702=2,CB1702=3),N(INDEX(Parameter!$I$5:$I$7,CB1702)),0),0)</f>
        <v>0</v>
      </c>
      <c r="CL1702" s="52" t="n">
        <f aca="false">IF(AND(Parameter!$B$21="Ja",ISNUMBER(W1702),N(X1702)&gt;0),IFERROR(N(INDEX(Parameter!$L$5:$L$7,W1702))*INDEX(Parameter!$E$5:$E$7,W1702)*X1702/SUMIFS($X$7:$X$1843,$W$7:$W$1843,W1702),0),0)</f>
        <v>0</v>
      </c>
    </row>
    <row r="1703" customFormat="false" ht="15" hidden="false" customHeight="false" outlineLevel="0" collapsed="false">
      <c r="A1703" s="48" t="s">
        <v>2951</v>
      </c>
      <c r="B1703" s="48" t="s">
        <v>728</v>
      </c>
      <c r="C1703" s="48" t="s">
        <v>168</v>
      </c>
      <c r="D1703" s="48" t="s">
        <v>188</v>
      </c>
      <c r="E1703" s="48"/>
      <c r="F1703" s="48"/>
      <c r="G1703" s="49" t="n">
        <v>47.5</v>
      </c>
      <c r="H1703" s="50" t="n">
        <f aca="false">MAX(0,IF(AND(Parameter!$B$21="Ja",ISNUMBER(Y1703)),Y1703,IF(Parameter!$B$20="Jahresanfang 2025 + Export",BO1703+BN1703,BN1703)))</f>
        <v>14</v>
      </c>
      <c r="I1703" s="50" t="n">
        <f aca="false">H1703*G1703</f>
        <v>665</v>
      </c>
      <c r="J1703" s="50" t="n">
        <f aca="false">BQ1703*Parameter!$B$18</f>
        <v>0</v>
      </c>
      <c r="K1703" s="51"/>
      <c r="L1703" s="52"/>
      <c r="M1703" s="50" t="n">
        <v>0</v>
      </c>
      <c r="N1703" s="50" t="n">
        <v>15</v>
      </c>
      <c r="O1703" s="53" t="n">
        <v>21</v>
      </c>
      <c r="P1703" s="48" t="s">
        <v>425</v>
      </c>
      <c r="Q1703" s="50" t="n">
        <v>9</v>
      </c>
      <c r="R1703" s="53" t="n">
        <f aca="false">IF(BW1703=1,0,IFERROR(VLOOKUP(BU1703,'Gebinde-Kategorie'!$A$5:$N$45,13,0)+0,0))</f>
        <v>104</v>
      </c>
      <c r="S1703" s="54"/>
      <c r="T1703" s="55"/>
      <c r="U1703" s="55"/>
      <c r="V1703" s="55"/>
      <c r="W1703" s="48"/>
      <c r="X1703" s="50"/>
      <c r="Y1703" s="50"/>
      <c r="Z1703" s="48" t="n">
        <f aca="false">IF(A1703="","",IF(AND(Parameter!$B$21="Ja",ISNUMBER(W1703)),W1703,IF(BZ1703="2+3",IF(ISNUMBER(SEARCH("grosser Artikel",BR1703)),2,IFERROR(VLOOKUP(BU1703,Parameter!$F$35:$G$64,2,0),2)),IF(OR(BZ1703="Nein",BZ1703=""),"-",BZ1703))))</f>
        <v>3</v>
      </c>
      <c r="AA1703" s="55"/>
      <c r="AB1703" s="56"/>
      <c r="AC1703" s="50" t="n">
        <f aca="false">AT1703</f>
        <v>18</v>
      </c>
      <c r="AD1703" s="50" t="n">
        <f aca="false">MAX(AT1703,H1703)</f>
        <v>18</v>
      </c>
      <c r="AE1703" s="57"/>
      <c r="AF1703" s="50" t="n">
        <f aca="false">IF(LEFT(Cockpit!$C$5,1)="A",H1703,IF(CE1703=1,CF1703,IF(LEFT(Cockpit!$C$5,1)="B",AK1703,MAX(AK1703,H1703))))</f>
        <v>14</v>
      </c>
      <c r="AG1703" s="50" t="n">
        <f aca="false">IF(BW1703=1,0,ROUNDUP(AF1703/BV1703,0))</f>
        <v>2</v>
      </c>
      <c r="AH1703" s="52" t="n">
        <f aca="false">IF(CL1703&gt;0,CL1703*MAX(1,AF1703/X1703),IF(BW1703=1,IF(AF1703&lt;=0,0,CA1703*MAX(1,IF(H1703&gt;0,AF1703/H1703,1))),IF(R1703&gt;0,AG1703/R1703,0))/MAX(0.1,N(Parameter!$M$21)))</f>
        <v>0.0192307692307692</v>
      </c>
      <c r="AI1703" s="50" t="n">
        <f aca="false">AH1703*BY1703</f>
        <v>2.98076923076923</v>
      </c>
      <c r="AJ1703" s="50" t="n">
        <f aca="false">AF1703*G1703</f>
        <v>665</v>
      </c>
      <c r="AK1703" s="50" t="n">
        <f aca="false">ROUNDUP(MAX(J1703/IF(CD1703&gt;0,CD1703,MAX(0.1,N(Cockpit!$C$6))),CG1703)/BV1703,0)*BV1703</f>
        <v>18</v>
      </c>
      <c r="AL1703" s="51" t="n">
        <f aca="false">IF(AI1703&gt;0,J1703/AI1703,-1)</f>
        <v>0</v>
      </c>
      <c r="AM1703" s="51" t="n">
        <f aca="false">IF(AND(OR(CC1703="L1",CC1703="L23",CC1703="LIFT"),AI1703&gt;0),SUMIFS($AI$7:$AI$1843,$CC$7:$CC$1843,CC1703,$AL$7:$AL$1843,"&gt;"&amp;AL1703)+SUMIFS($AI$7:$AI$1843,$CC$7:$CC$1843,CC1703,$AL$7:$AL$1843,AL1703,$BT$7:$BT$1843,"&lt;="&amp;BT1703),"")</f>
        <v>32802.9986832847</v>
      </c>
      <c r="AN1703" s="58" t="n">
        <f aca="false">IF(AM1703="",0,MAX(0,MIN(1,(IF(CC1703="L1",Parameter!$H$5,IF(CC1703="L23",Parameter!$H$6+Parameter!$H$7,Parameter!$H$5+Parameter!$H$6+Parameter!$H$7))-(AM1703-AI1703))/AI1703)))</f>
        <v>1</v>
      </c>
      <c r="AO1703" s="50" t="n">
        <f aca="false">IF(LEFT(Cockpit!$I$5,1)="A",H1703,IF(CE1703=1,CF1703,IF(LEFT(Cockpit!$I$5,1)="B",AT1703,MAX(AT1703,H1703))))</f>
        <v>18</v>
      </c>
      <c r="AP1703" s="50" t="n">
        <f aca="false">IF(BW1703=1,0,ROUNDUP(AO1703/BV1703,0))</f>
        <v>2</v>
      </c>
      <c r="AQ1703" s="52" t="n">
        <f aca="false">IF(CL1703&gt;0,CL1703*MAX(1,AO1703/X1703),IF(BW1703=1,IF(AO1703&lt;=0,0,CA1703*MAX(1,IF(H1703&gt;0,AO1703/H1703,1))),IF(R1703&gt;0,AP1703/R1703,0))/MAX(0.1,N(Parameter!$M$21)))</f>
        <v>0.0192307692307692</v>
      </c>
      <c r="AR1703" s="50" t="n">
        <f aca="false">AQ1703*BY1703</f>
        <v>2.98076923076923</v>
      </c>
      <c r="AS1703" s="50" t="n">
        <f aca="false">AO1703*G1703</f>
        <v>855</v>
      </c>
      <c r="AT1703" s="50" t="n">
        <f aca="false">ROUNDUP(MAX(J1703/IF(CD1703&gt;0,CD1703,MAX(0.1,N(Cockpit!$I$6))),CG1703)/BV1703,0)*BV1703</f>
        <v>18</v>
      </c>
      <c r="AU1703" s="51" t="n">
        <f aca="false">IF(AR1703&gt;0,J1703/AR1703,-1)</f>
        <v>0</v>
      </c>
      <c r="AV1703" s="51" t="n">
        <f aca="false">IF(AND(OR(CC1703="L1",CC1703="L23",CC1703="LIFT"),AR1703&gt;0),SUMIFS($AR$7:$AR$1843,$CC$7:$CC$1843,CC1703,$AU$7:$AU$1843,"&gt;"&amp;AU1703)+SUMIFS($AR$7:$AR$1843,$CC$7:$CC$1843,CC1703,$AU$7:$AU$1843,AU1703,$BT$7:$BT$1843,"&lt;="&amp;BT1703),"")</f>
        <v>45481.767756255</v>
      </c>
      <c r="AW1703" s="58" t="n">
        <f aca="false">IF(AV1703="",0,MAX(0,MIN(1,(IF(CC1703="L1",Parameter!$H$5,IF(CC1703="L23",Parameter!$H$6+Parameter!$H$7,Parameter!$H$5+Parameter!$H$6+Parameter!$H$7))-(AV1703-AR1703))/AR1703)))</f>
        <v>0</v>
      </c>
      <c r="AX1703" s="50" t="n">
        <f aca="false">IF(LEFT(Cockpit!$O$5,1)="A",H1703,IF(CE1703=1,CF1703,IF(LEFT(Cockpit!$O$5,1)="B",BC1703,MAX(BC1703,H1703))))</f>
        <v>18</v>
      </c>
      <c r="AY1703" s="50" t="n">
        <f aca="false">IF(BW1703=1,0,ROUNDUP(AX1703/BV1703,0))</f>
        <v>2</v>
      </c>
      <c r="AZ1703" s="52" t="n">
        <f aca="false">IF(CL1703&gt;0,CL1703*MAX(1,AX1703/X1703),IF(BW1703=1,IF(AX1703&lt;=0,0,CA1703*MAX(1,IF(H1703&gt;0,AX1703/H1703,1))),IF(R1703&gt;0,AY1703/R1703,0))/MAX(0.1,N(Parameter!$M$21)))</f>
        <v>0.0192307692307692</v>
      </c>
      <c r="BA1703" s="50" t="n">
        <f aca="false">AZ1703*BY1703</f>
        <v>2.98076923076923</v>
      </c>
      <c r="BB1703" s="50" t="n">
        <f aca="false">AX1703*G1703</f>
        <v>855</v>
      </c>
      <c r="BC1703" s="50" t="n">
        <f aca="false">ROUNDUP(MAX(J1703/IF(CD1703&gt;0,CD1703,MAX(0.1,N(Cockpit!$O$6))),CG1703)/BV1703,0)*BV1703</f>
        <v>18</v>
      </c>
      <c r="BD1703" s="51" t="n">
        <f aca="false">IF(BA1703&gt;0,J1703/BA1703,-1)</f>
        <v>0</v>
      </c>
      <c r="BE1703" s="51" t="n">
        <f aca="false">IF(AND(OR(CC1703="L1",CC1703="L23",CC1703="LIFT"),BA1703&gt;0),SUMIFS($BA$7:$BA$1843,$CC$7:$CC$1843,CC1703,$BD$7:$BD$1843,"&gt;"&amp;BD1703)+SUMIFS($BA$7:$BA$1843,$CC$7:$CC$1843,CC1703,$BD$7:$BD$1843,BD1703,$BT$7:$BT$1843,"&lt;="&amp;BT1703),"")</f>
        <v>42156.7797981209</v>
      </c>
      <c r="BF1703" s="58" t="n">
        <f aca="false">IF(BE1703="",0,MAX(0,MIN(1,(IF(CC1703="L1",Parameter!$H$5,IF(CC1703="L23",Parameter!$H$6+Parameter!$H$7,Parameter!$H$5+Parameter!$H$6+Parameter!$H$7))-(BE1703-BA1703))/BA1703)))</f>
        <v>0</v>
      </c>
      <c r="BG1703" s="48" t="str">
        <f aca="false">IF(AI1703&lt;=0,"",IF(CC1703="Aussen","Aussenlager",IF(CC1703="-","Nicht im Lift",IF(AN1703&gt;=1,"Lift",IF(AN1703&lt;=0,"Aussenlager","teilweise")))))</f>
        <v>Lift</v>
      </c>
      <c r="BH1703" s="48" t="str">
        <f aca="false">IF(AR1703&lt;=0,"",IF(CC1703="Aussen","Aussenlager",IF(CC1703="-","Nicht im Lift",IF(AW1703&gt;=1,"Lift",IF(AW1703&lt;=0,"Aussenlager","teilweise")))))</f>
        <v>Aussenlager</v>
      </c>
      <c r="BI1703" s="48" t="str">
        <f aca="false">IF(BA1703&lt;=0,"",IF(CC1703="Aussen","Aussenlager",IF(CC1703="-","Nicht im Lift",IF(BF1703&gt;=1,"Lift",IF(BF1703&lt;=0,"Aussenlager","teilweise")))))</f>
        <v>Aussenlager</v>
      </c>
      <c r="BJ1703" s="48" t="str">
        <f aca="false">IF(A1703="","",IF(BS1703=1,"Neu; ","")&amp;IF(AND(BS1703=0,BN1703&lt;0),"negativer Bestand (Export "&amp;BN1703&amp;"); ","")&amp;IF(J1703&lt;=0,"Kein Verbrauch; ","")&amp;IF(CL1703&gt;0,"Lift "&amp;W1703&amp;" lt. Liftbericht (Fach "&amp;X1703&amp;" Stk); ",IF(BX1703=1,"Gebinde geschätzt ("&amp;T1703&amp;"); ",IF(BW1703=1,"Lose – Tablare geschätzt; ","")))&amp;IF(H1703&gt;AT1703,"Überbestand "&amp;ROUND(H1703-AT1703,0)&amp;" Stk / CHF "&amp;ROUND((H1703-AT1703)*G1703,0)&amp;"; ","")&amp;IF(AND(CE1703=1,CF1703&lt;CG1703),"MAX &lt; MB+LG; ","")&amp;IF(AND(CK1703&gt;0,CJ1703*10&gt;CK1703),"zu hoch für Tablar; ","")&amp;IF(AND(BS1703=0,OR(CE1703=1,AA1703&lt;&gt;"",U1703&lt;&gt;"",V1703&lt;&gt;"",AB1703&lt;&gt;"")),"manuell übersteuert; ","")&amp;IF(AND(BW1703=0,R1703=0),"Gebinde unbekannt / Stellmass fehlt; ","")&amp;IF(AND(BW1703=0,N(V1703)&lt;=0,N(Q1703)&lt;=0),"Menge pro Gebinde fehlt (Ist = 1 Gebinde); ","")&amp;BR1703)</f>
        <v>Kein Verbrauch; nur im Artikelstamm (Bestand 23.06.2026)</v>
      </c>
      <c r="BK1703" s="48"/>
      <c r="BL1703" s="48"/>
      <c r="BM1703" s="55"/>
      <c r="BN1703" s="50" t="n">
        <v>14</v>
      </c>
      <c r="BO1703" s="50" t="n">
        <v>0</v>
      </c>
      <c r="BP1703" s="49" t="n">
        <v>0</v>
      </c>
      <c r="BQ1703" s="50" t="n">
        <v>0</v>
      </c>
      <c r="BR1703" s="48" t="s">
        <v>2579</v>
      </c>
      <c r="BS1703" s="53" t="n">
        <v>0</v>
      </c>
      <c r="BT1703" s="53" t="n">
        <v>1703</v>
      </c>
      <c r="BU1703" s="48" t="str">
        <f aca="false">IF(U1703&lt;&gt;"",UPPER(TRIM(U1703)),IF(BX1703=1,UPPER(VLOOKUP(T1703,Parameter!$I$27:$K$29,2,0)),IF(P1703="","LOSE",P1703)))</f>
        <v>S32</v>
      </c>
      <c r="BV1703" s="50" t="n">
        <f aca="false">IF(BU1703="LOSE",1,IF(N(V1703)&gt;0,V1703,IF(BX1703=1,MAX(1,N(VLOOKUP(T1703,Parameter!$I$27:$K$29,3,0)),H1703,N(N1703)),IF(N(Q1703)&gt;0,Q1703,MAX(1,H1703)))))</f>
        <v>9</v>
      </c>
      <c r="BW1703" s="53" t="n">
        <f aca="false">IF(BU1703="LOSE",1,0)</f>
        <v>0</v>
      </c>
      <c r="BX1703" s="53" t="n">
        <f aca="false">IF(AND(U1703="",OR(P1703="",P1703="LOSE"),T1703&lt;&gt;"",N(S1703)&lt;=0,ISNUMBER(MATCH(T1703,Parameter!$I$27:$I$29,0))),1,0)</f>
        <v>0</v>
      </c>
      <c r="BY1703" s="53" t="n">
        <f aca="false">IF(CL1703&gt;0,INDEX(Parameter!$H$5:$H$7,W1703)/INDEX(Parameter!$E$5:$E$7,W1703),IF(AND(BW1703=0,N(IFERROR(VLOOKUP(BU1703,'Gebinde-Kategorie'!$A$5:$N$45,14,0),0))&gt;0),VLOOKUP(BU1703,'Gebinde-Kategorie'!$A$5:$N$45,14,0)*10+Parameter!$M$23,Parameter!$M$24))</f>
        <v>155</v>
      </c>
      <c r="BZ1703" s="48" t="str">
        <f aca="false">IF(AND(Parameter!$B$19="Ja",E1703&lt;&gt;"",ISNUMBER(MATCH(E1703,Parameter!$I$35:$I$52,0))),VLOOKUP(E1703,Parameter!$I$35:$J$52,2,0),IFERROR(VLOOKUP(D1703,Parameter!$A$35:$C$64,2,0),"Nein"))</f>
        <v>2+3</v>
      </c>
      <c r="CA1703" s="52" t="n">
        <f aca="false">IF(BW1703=0,0,IF(N(S1703)&gt;0,S1703,IFERROR(VLOOKUP(D1703,Parameter!$A$35:$C$64,3,0)+0,0)))</f>
        <v>0</v>
      </c>
      <c r="CB1703" s="48" t="n">
        <f aca="false">IF(AA1703&lt;&gt;"",AA1703,Z1703)</f>
        <v>3</v>
      </c>
      <c r="CC1703" s="48" t="str">
        <f aca="false">IF(OR(CB1703=1,CB1703=2,CB1703=3),IF(Parameter!$E$27="Ja","LIFT",IF(CB1703=1,"L1","L23")),IF(CB1703="Aussen","Aussen","-"))</f>
        <v>LIFT</v>
      </c>
      <c r="CD1703" s="59" t="n">
        <f aca="false">IF(N(AB1703)&gt;0,AB1703,0)</f>
        <v>0</v>
      </c>
      <c r="CE1703" s="53" t="n">
        <f aca="false">IF(ISNUMBER(AE1703),1,0)</f>
        <v>0</v>
      </c>
      <c r="CF1703" s="50" t="n">
        <f aca="false">N(AE1703)</f>
        <v>0</v>
      </c>
      <c r="CG1703" s="50" t="n">
        <f aca="false">N(M1703)+N(N1703)</f>
        <v>15</v>
      </c>
      <c r="CH1703" s="50" t="n">
        <f aca="false">ROUNDUP(H1703/BV1703,0)</f>
        <v>2</v>
      </c>
      <c r="CI1703" s="50" t="n">
        <f aca="false">ROUNDUP(CF1703/BV1703,0)</f>
        <v>0</v>
      </c>
      <c r="CJ1703" s="53" t="n">
        <f aca="false">IF(BW1703=1,0,IFERROR(VLOOKUP(BU1703,'Gebinde-Kategorie'!$A$5:$N$45,5,0)+0,0))</f>
        <v>8</v>
      </c>
      <c r="CK1703" s="53" t="n">
        <f aca="false">IFERROR(IF(OR(CB1703=1,CB1703=2,CB1703=3),N(INDEX(Parameter!$I$5:$I$7,CB1703)),0),0)</f>
        <v>0</v>
      </c>
      <c r="CL1703" s="52" t="n">
        <f aca="false">IF(AND(Parameter!$B$21="Ja",ISNUMBER(W1703),N(X1703)&gt;0),IFERROR(N(INDEX(Parameter!$L$5:$L$7,W1703))*INDEX(Parameter!$E$5:$E$7,W1703)*X1703/SUMIFS($X$7:$X$1843,$W$7:$W$1843,W1703),0),0)</f>
        <v>0</v>
      </c>
    </row>
    <row r="1704" customFormat="false" ht="15" hidden="false" customHeight="false" outlineLevel="0" collapsed="false">
      <c r="A1704" s="48" t="s">
        <v>2952</v>
      </c>
      <c r="B1704" s="48" t="s">
        <v>2953</v>
      </c>
      <c r="C1704" s="48" t="s">
        <v>168</v>
      </c>
      <c r="D1704" s="48" t="s">
        <v>188</v>
      </c>
      <c r="E1704" s="48"/>
      <c r="F1704" s="48"/>
      <c r="G1704" s="49" t="n">
        <v>37</v>
      </c>
      <c r="H1704" s="50" t="n">
        <f aca="false">MAX(0,IF(AND(Parameter!$B$21="Ja",ISNUMBER(Y1704)),Y1704,IF(Parameter!$B$20="Jahresanfang 2025 + Export",BO1704+BN1704,BN1704)))</f>
        <v>6</v>
      </c>
      <c r="I1704" s="50" t="n">
        <f aca="false">H1704*G1704</f>
        <v>222</v>
      </c>
      <c r="J1704" s="50" t="n">
        <f aca="false">BQ1704*Parameter!$B$18</f>
        <v>0</v>
      </c>
      <c r="K1704" s="51"/>
      <c r="L1704" s="52"/>
      <c r="M1704" s="50" t="n">
        <v>0</v>
      </c>
      <c r="N1704" s="50" t="n">
        <v>5</v>
      </c>
      <c r="O1704" s="53" t="n">
        <v>21</v>
      </c>
      <c r="P1704" s="48" t="s">
        <v>425</v>
      </c>
      <c r="Q1704" s="50" t="n">
        <v>3</v>
      </c>
      <c r="R1704" s="53" t="n">
        <f aca="false">IF(BW1704=1,0,IFERROR(VLOOKUP(BU1704,'Gebinde-Kategorie'!$A$5:$N$45,13,0)+0,0))</f>
        <v>104</v>
      </c>
      <c r="S1704" s="54"/>
      <c r="T1704" s="55"/>
      <c r="U1704" s="55"/>
      <c r="V1704" s="55"/>
      <c r="W1704" s="48"/>
      <c r="X1704" s="50"/>
      <c r="Y1704" s="50"/>
      <c r="Z1704" s="48" t="n">
        <f aca="false">IF(A1704="","",IF(AND(Parameter!$B$21="Ja",ISNUMBER(W1704)),W1704,IF(BZ1704="2+3",IF(ISNUMBER(SEARCH("grosser Artikel",BR1704)),2,IFERROR(VLOOKUP(BU1704,Parameter!$F$35:$G$64,2,0),2)),IF(OR(BZ1704="Nein",BZ1704=""),"-",BZ1704))))</f>
        <v>3</v>
      </c>
      <c r="AA1704" s="55"/>
      <c r="AB1704" s="56"/>
      <c r="AC1704" s="50" t="n">
        <f aca="false">AT1704</f>
        <v>6</v>
      </c>
      <c r="AD1704" s="50" t="n">
        <f aca="false">MAX(AT1704,H1704)</f>
        <v>6</v>
      </c>
      <c r="AE1704" s="57"/>
      <c r="AF1704" s="50" t="n">
        <f aca="false">IF(LEFT(Cockpit!$C$5,1)="A",H1704,IF(CE1704=1,CF1704,IF(LEFT(Cockpit!$C$5,1)="B",AK1704,MAX(AK1704,H1704))))</f>
        <v>6</v>
      </c>
      <c r="AG1704" s="50" t="n">
        <f aca="false">IF(BW1704=1,0,ROUNDUP(AF1704/BV1704,0))</f>
        <v>2</v>
      </c>
      <c r="AH1704" s="52" t="n">
        <f aca="false">IF(CL1704&gt;0,CL1704*MAX(1,AF1704/X1704),IF(BW1704=1,IF(AF1704&lt;=0,0,CA1704*MAX(1,IF(H1704&gt;0,AF1704/H1704,1))),IF(R1704&gt;0,AG1704/R1704,0))/MAX(0.1,N(Parameter!$M$21)))</f>
        <v>0.0192307692307692</v>
      </c>
      <c r="AI1704" s="50" t="n">
        <f aca="false">AH1704*BY1704</f>
        <v>2.98076923076923</v>
      </c>
      <c r="AJ1704" s="50" t="n">
        <f aca="false">AF1704*G1704</f>
        <v>222</v>
      </c>
      <c r="AK1704" s="50" t="n">
        <f aca="false">ROUNDUP(MAX(J1704/IF(CD1704&gt;0,CD1704,MAX(0.1,N(Cockpit!$C$6))),CG1704)/BV1704,0)*BV1704</f>
        <v>6</v>
      </c>
      <c r="AL1704" s="51" t="n">
        <f aca="false">IF(AI1704&gt;0,J1704/AI1704,-1)</f>
        <v>0</v>
      </c>
      <c r="AM1704" s="51" t="n">
        <f aca="false">IF(AND(OR(CC1704="L1",CC1704="L23",CC1704="LIFT"),AI1704&gt;0),SUMIFS($AI$7:$AI$1843,$CC$7:$CC$1843,CC1704,$AL$7:$AL$1843,"&gt;"&amp;AL1704)+SUMIFS($AI$7:$AI$1843,$CC$7:$CC$1843,CC1704,$AL$7:$AL$1843,AL1704,$BT$7:$BT$1843,"&lt;="&amp;BT1704),"")</f>
        <v>32805.9794525155</v>
      </c>
      <c r="AN1704" s="58" t="n">
        <f aca="false">IF(AM1704="",0,MAX(0,MIN(1,(IF(CC1704="L1",Parameter!$H$5,IF(CC1704="L23",Parameter!$H$6+Parameter!$H$7,Parameter!$H$5+Parameter!$H$6+Parameter!$H$7))-(AM1704-AI1704))/AI1704)))</f>
        <v>1</v>
      </c>
      <c r="AO1704" s="50" t="n">
        <f aca="false">IF(LEFT(Cockpit!$I$5,1)="A",H1704,IF(CE1704=1,CF1704,IF(LEFT(Cockpit!$I$5,1)="B",AT1704,MAX(AT1704,H1704))))</f>
        <v>6</v>
      </c>
      <c r="AP1704" s="50" t="n">
        <f aca="false">IF(BW1704=1,0,ROUNDUP(AO1704/BV1704,0))</f>
        <v>2</v>
      </c>
      <c r="AQ1704" s="52" t="n">
        <f aca="false">IF(CL1704&gt;0,CL1704*MAX(1,AO1704/X1704),IF(BW1704=1,IF(AO1704&lt;=0,0,CA1704*MAX(1,IF(H1704&gt;0,AO1704/H1704,1))),IF(R1704&gt;0,AP1704/R1704,0))/MAX(0.1,N(Parameter!$M$21)))</f>
        <v>0.0192307692307692</v>
      </c>
      <c r="AR1704" s="50" t="n">
        <f aca="false">AQ1704*BY1704</f>
        <v>2.98076923076923</v>
      </c>
      <c r="AS1704" s="50" t="n">
        <f aca="false">AO1704*G1704</f>
        <v>222</v>
      </c>
      <c r="AT1704" s="50" t="n">
        <f aca="false">ROUNDUP(MAX(J1704/IF(CD1704&gt;0,CD1704,MAX(0.1,N(Cockpit!$I$6))),CG1704)/BV1704,0)*BV1704</f>
        <v>6</v>
      </c>
      <c r="AU1704" s="51" t="n">
        <f aca="false">IF(AR1704&gt;0,J1704/AR1704,-1)</f>
        <v>0</v>
      </c>
      <c r="AV1704" s="51" t="n">
        <f aca="false">IF(AND(OR(CC1704="L1",CC1704="L23",CC1704="LIFT"),AR1704&gt;0),SUMIFS($AR$7:$AR$1843,$CC$7:$CC$1843,CC1704,$AU$7:$AU$1843,"&gt;"&amp;AU1704)+SUMIFS($AR$7:$AR$1843,$CC$7:$CC$1843,CC1704,$AU$7:$AU$1843,AU1704,$BT$7:$BT$1843,"&lt;="&amp;BT1704),"")</f>
        <v>45484.7485254858</v>
      </c>
      <c r="AW1704" s="58" t="n">
        <f aca="false">IF(AV1704="",0,MAX(0,MIN(1,(IF(CC1704="L1",Parameter!$H$5,IF(CC1704="L23",Parameter!$H$6+Parameter!$H$7,Parameter!$H$5+Parameter!$H$6+Parameter!$H$7))-(AV1704-AR1704))/AR1704)))</f>
        <v>0</v>
      </c>
      <c r="AX1704" s="50" t="n">
        <f aca="false">IF(LEFT(Cockpit!$O$5,1)="A",H1704,IF(CE1704=1,CF1704,IF(LEFT(Cockpit!$O$5,1)="B",BC1704,MAX(BC1704,H1704))))</f>
        <v>6</v>
      </c>
      <c r="AY1704" s="50" t="n">
        <f aca="false">IF(BW1704=1,0,ROUNDUP(AX1704/BV1704,0))</f>
        <v>2</v>
      </c>
      <c r="AZ1704" s="52" t="n">
        <f aca="false">IF(CL1704&gt;0,CL1704*MAX(1,AX1704/X1704),IF(BW1704=1,IF(AX1704&lt;=0,0,CA1704*MAX(1,IF(H1704&gt;0,AX1704/H1704,1))),IF(R1704&gt;0,AY1704/R1704,0))/MAX(0.1,N(Parameter!$M$21)))</f>
        <v>0.0192307692307692</v>
      </c>
      <c r="BA1704" s="50" t="n">
        <f aca="false">AZ1704*BY1704</f>
        <v>2.98076923076923</v>
      </c>
      <c r="BB1704" s="50" t="n">
        <f aca="false">AX1704*G1704</f>
        <v>222</v>
      </c>
      <c r="BC1704" s="50" t="n">
        <f aca="false">ROUNDUP(MAX(J1704/IF(CD1704&gt;0,CD1704,MAX(0.1,N(Cockpit!$O$6))),CG1704)/BV1704,0)*BV1704</f>
        <v>6</v>
      </c>
      <c r="BD1704" s="51" t="n">
        <f aca="false">IF(BA1704&gt;0,J1704/BA1704,-1)</f>
        <v>0</v>
      </c>
      <c r="BE1704" s="51" t="n">
        <f aca="false">IF(AND(OR(CC1704="L1",CC1704="L23",CC1704="LIFT"),BA1704&gt;0),SUMIFS($BA$7:$BA$1843,$CC$7:$CC$1843,CC1704,$BD$7:$BD$1843,"&gt;"&amp;BD1704)+SUMIFS($BA$7:$BA$1843,$CC$7:$CC$1843,CC1704,$BD$7:$BD$1843,BD1704,$BT$7:$BT$1843,"&lt;="&amp;BT1704),"")</f>
        <v>42159.7605673517</v>
      </c>
      <c r="BF1704" s="58" t="n">
        <f aca="false">IF(BE1704="",0,MAX(0,MIN(1,(IF(CC1704="L1",Parameter!$H$5,IF(CC1704="L23",Parameter!$H$6+Parameter!$H$7,Parameter!$H$5+Parameter!$H$6+Parameter!$H$7))-(BE1704-BA1704))/BA1704)))</f>
        <v>0</v>
      </c>
      <c r="BG1704" s="48" t="str">
        <f aca="false">IF(AI1704&lt;=0,"",IF(CC1704="Aussen","Aussenlager",IF(CC1704="-","Nicht im Lift",IF(AN1704&gt;=1,"Lift",IF(AN1704&lt;=0,"Aussenlager","teilweise")))))</f>
        <v>Lift</v>
      </c>
      <c r="BH1704" s="48" t="str">
        <f aca="false">IF(AR1704&lt;=0,"",IF(CC1704="Aussen","Aussenlager",IF(CC1704="-","Nicht im Lift",IF(AW1704&gt;=1,"Lift",IF(AW1704&lt;=0,"Aussenlager","teilweise")))))</f>
        <v>Aussenlager</v>
      </c>
      <c r="BI1704" s="48" t="str">
        <f aca="false">IF(BA1704&lt;=0,"",IF(CC1704="Aussen","Aussenlager",IF(CC1704="-","Nicht im Lift",IF(BF1704&gt;=1,"Lift",IF(BF1704&lt;=0,"Aussenlager","teilweise")))))</f>
        <v>Aussenlager</v>
      </c>
      <c r="BJ1704" s="48" t="str">
        <f aca="false">IF(A1704="","",IF(BS1704=1,"Neu; ","")&amp;IF(AND(BS1704=0,BN1704&lt;0),"negativer Bestand (Export "&amp;BN1704&amp;"); ","")&amp;IF(J1704&lt;=0,"Kein Verbrauch; ","")&amp;IF(CL1704&gt;0,"Lift "&amp;W1704&amp;" lt. Liftbericht (Fach "&amp;X1704&amp;" Stk); ",IF(BX1704=1,"Gebinde geschätzt ("&amp;T1704&amp;"); ",IF(BW1704=1,"Lose – Tablare geschätzt; ","")))&amp;IF(H1704&gt;AT1704,"Überbestand "&amp;ROUND(H1704-AT1704,0)&amp;" Stk / CHF "&amp;ROUND((H1704-AT1704)*G1704,0)&amp;"; ","")&amp;IF(AND(CE1704=1,CF1704&lt;CG1704),"MAX &lt; MB+LG; ","")&amp;IF(AND(CK1704&gt;0,CJ1704*10&gt;CK1704),"zu hoch für Tablar; ","")&amp;IF(AND(BS1704=0,OR(CE1704=1,AA1704&lt;&gt;"",U1704&lt;&gt;"",V1704&lt;&gt;"",AB1704&lt;&gt;"")),"manuell übersteuert; ","")&amp;IF(AND(BW1704=0,R1704=0),"Gebinde unbekannt / Stellmass fehlt; ","")&amp;IF(AND(BW1704=0,N(V1704)&lt;=0,N(Q1704)&lt;=0),"Menge pro Gebinde fehlt (Ist = 1 Gebinde); ","")&amp;BR1704)</f>
        <v>Kein Verbrauch; nur im Artikelstamm (Bestand 23.06.2026)</v>
      </c>
      <c r="BK1704" s="48"/>
      <c r="BL1704" s="48"/>
      <c r="BM1704" s="55"/>
      <c r="BN1704" s="50" t="n">
        <v>6</v>
      </c>
      <c r="BO1704" s="50" t="n">
        <v>0</v>
      </c>
      <c r="BP1704" s="49" t="n">
        <v>0</v>
      </c>
      <c r="BQ1704" s="50" t="n">
        <v>0</v>
      </c>
      <c r="BR1704" s="48" t="s">
        <v>2579</v>
      </c>
      <c r="BS1704" s="53" t="n">
        <v>0</v>
      </c>
      <c r="BT1704" s="53" t="n">
        <v>1704</v>
      </c>
      <c r="BU1704" s="48" t="str">
        <f aca="false">IF(U1704&lt;&gt;"",UPPER(TRIM(U1704)),IF(BX1704=1,UPPER(VLOOKUP(T1704,Parameter!$I$27:$K$29,2,0)),IF(P1704="","LOSE",P1704)))</f>
        <v>S32</v>
      </c>
      <c r="BV1704" s="50" t="n">
        <f aca="false">IF(BU1704="LOSE",1,IF(N(V1704)&gt;0,V1704,IF(BX1704=1,MAX(1,N(VLOOKUP(T1704,Parameter!$I$27:$K$29,3,0)),H1704,N(N1704)),IF(N(Q1704)&gt;0,Q1704,MAX(1,H1704)))))</f>
        <v>3</v>
      </c>
      <c r="BW1704" s="53" t="n">
        <f aca="false">IF(BU1704="LOSE",1,0)</f>
        <v>0</v>
      </c>
      <c r="BX1704" s="53" t="n">
        <f aca="false">IF(AND(U1704="",OR(P1704="",P1704="LOSE"),T1704&lt;&gt;"",N(S1704)&lt;=0,ISNUMBER(MATCH(T1704,Parameter!$I$27:$I$29,0))),1,0)</f>
        <v>0</v>
      </c>
      <c r="BY1704" s="53" t="n">
        <f aca="false">IF(CL1704&gt;0,INDEX(Parameter!$H$5:$H$7,W1704)/INDEX(Parameter!$E$5:$E$7,W1704),IF(AND(BW1704=0,N(IFERROR(VLOOKUP(BU1704,'Gebinde-Kategorie'!$A$5:$N$45,14,0),0))&gt;0),VLOOKUP(BU1704,'Gebinde-Kategorie'!$A$5:$N$45,14,0)*10+Parameter!$M$23,Parameter!$M$24))</f>
        <v>155</v>
      </c>
      <c r="BZ1704" s="48" t="str">
        <f aca="false">IF(AND(Parameter!$B$19="Ja",E1704&lt;&gt;"",ISNUMBER(MATCH(E1704,Parameter!$I$35:$I$52,0))),VLOOKUP(E1704,Parameter!$I$35:$J$52,2,0),IFERROR(VLOOKUP(D1704,Parameter!$A$35:$C$64,2,0),"Nein"))</f>
        <v>2+3</v>
      </c>
      <c r="CA1704" s="52" t="n">
        <f aca="false">IF(BW1704=0,0,IF(N(S1704)&gt;0,S1704,IFERROR(VLOOKUP(D1704,Parameter!$A$35:$C$64,3,0)+0,0)))</f>
        <v>0</v>
      </c>
      <c r="CB1704" s="48" t="n">
        <f aca="false">IF(AA1704&lt;&gt;"",AA1704,Z1704)</f>
        <v>3</v>
      </c>
      <c r="CC1704" s="48" t="str">
        <f aca="false">IF(OR(CB1704=1,CB1704=2,CB1704=3),IF(Parameter!$E$27="Ja","LIFT",IF(CB1704=1,"L1","L23")),IF(CB1704="Aussen","Aussen","-"))</f>
        <v>LIFT</v>
      </c>
      <c r="CD1704" s="59" t="n">
        <f aca="false">IF(N(AB1704)&gt;0,AB1704,0)</f>
        <v>0</v>
      </c>
      <c r="CE1704" s="53" t="n">
        <f aca="false">IF(ISNUMBER(AE1704),1,0)</f>
        <v>0</v>
      </c>
      <c r="CF1704" s="50" t="n">
        <f aca="false">N(AE1704)</f>
        <v>0</v>
      </c>
      <c r="CG1704" s="50" t="n">
        <f aca="false">N(M1704)+N(N1704)</f>
        <v>5</v>
      </c>
      <c r="CH1704" s="50" t="n">
        <f aca="false">ROUNDUP(H1704/BV1704,0)</f>
        <v>2</v>
      </c>
      <c r="CI1704" s="50" t="n">
        <f aca="false">ROUNDUP(CF1704/BV1704,0)</f>
        <v>0</v>
      </c>
      <c r="CJ1704" s="53" t="n">
        <f aca="false">IF(BW1704=1,0,IFERROR(VLOOKUP(BU1704,'Gebinde-Kategorie'!$A$5:$N$45,5,0)+0,0))</f>
        <v>8</v>
      </c>
      <c r="CK1704" s="53" t="n">
        <f aca="false">IFERROR(IF(OR(CB1704=1,CB1704=2,CB1704=3),N(INDEX(Parameter!$I$5:$I$7,CB1704)),0),0)</f>
        <v>0</v>
      </c>
      <c r="CL1704" s="52" t="n">
        <f aca="false">IF(AND(Parameter!$B$21="Ja",ISNUMBER(W1704),N(X1704)&gt;0),IFERROR(N(INDEX(Parameter!$L$5:$L$7,W1704))*INDEX(Parameter!$E$5:$E$7,W1704)*X1704/SUMIFS($X$7:$X$1843,$W$7:$W$1843,W1704),0),0)</f>
        <v>0</v>
      </c>
    </row>
    <row r="1705" customFormat="false" ht="15" hidden="false" customHeight="false" outlineLevel="0" collapsed="false">
      <c r="A1705" s="48" t="s">
        <v>2954</v>
      </c>
      <c r="B1705" s="48" t="s">
        <v>2955</v>
      </c>
      <c r="C1705" s="48" t="s">
        <v>168</v>
      </c>
      <c r="D1705" s="48" t="s">
        <v>188</v>
      </c>
      <c r="E1705" s="48"/>
      <c r="F1705" s="48"/>
      <c r="G1705" s="49" t="n">
        <v>2.38</v>
      </c>
      <c r="H1705" s="50" t="n">
        <f aca="false">MAX(0,IF(AND(Parameter!$B$21="Ja",ISNUMBER(Y1705)),Y1705,IF(Parameter!$B$20="Jahresanfang 2025 + Export",BO1705+BN1705,BN1705)))</f>
        <v>110</v>
      </c>
      <c r="I1705" s="50" t="n">
        <f aca="false">H1705*G1705</f>
        <v>261.8</v>
      </c>
      <c r="J1705" s="50" t="n">
        <f aca="false">BQ1705*Parameter!$B$18</f>
        <v>0</v>
      </c>
      <c r="K1705" s="51"/>
      <c r="L1705" s="52"/>
      <c r="M1705" s="50" t="n">
        <v>0</v>
      </c>
      <c r="N1705" s="50" t="n">
        <v>100</v>
      </c>
      <c r="O1705" s="53" t="n">
        <v>28</v>
      </c>
      <c r="P1705" s="48" t="s">
        <v>480</v>
      </c>
      <c r="Q1705" s="50" t="n">
        <v>110</v>
      </c>
      <c r="R1705" s="53" t="n">
        <f aca="false">IF(BW1705=1,0,IFERROR(VLOOKUP(BU1705,'Gebinde-Kategorie'!$A$5:$N$45,13,0)+0,0))</f>
        <v>52</v>
      </c>
      <c r="S1705" s="54"/>
      <c r="T1705" s="55"/>
      <c r="U1705" s="55"/>
      <c r="V1705" s="55"/>
      <c r="W1705" s="48"/>
      <c r="X1705" s="50"/>
      <c r="Y1705" s="50"/>
      <c r="Z1705" s="48" t="n">
        <f aca="false">IF(A1705="","",IF(AND(Parameter!$B$21="Ja",ISNUMBER(W1705)),W1705,IF(BZ1705="2+3",IF(ISNUMBER(SEARCH("grosser Artikel",BR1705)),2,IFERROR(VLOOKUP(BU1705,Parameter!$F$35:$G$64,2,0),2)),IF(OR(BZ1705="Nein",BZ1705=""),"-",BZ1705))))</f>
        <v>3</v>
      </c>
      <c r="AA1705" s="55"/>
      <c r="AB1705" s="56"/>
      <c r="AC1705" s="50" t="n">
        <f aca="false">AT1705</f>
        <v>110</v>
      </c>
      <c r="AD1705" s="50" t="n">
        <f aca="false">MAX(AT1705,H1705)</f>
        <v>110</v>
      </c>
      <c r="AE1705" s="57"/>
      <c r="AF1705" s="50" t="n">
        <f aca="false">IF(LEFT(Cockpit!$C$5,1)="A",H1705,IF(CE1705=1,CF1705,IF(LEFT(Cockpit!$C$5,1)="B",AK1705,MAX(AK1705,H1705))))</f>
        <v>110</v>
      </c>
      <c r="AG1705" s="50" t="n">
        <f aca="false">IF(BW1705=1,0,ROUNDUP(AF1705/BV1705,0))</f>
        <v>1</v>
      </c>
      <c r="AH1705" s="52" t="n">
        <f aca="false">IF(CL1705&gt;0,CL1705*MAX(1,AF1705/X1705),IF(BW1705=1,IF(AF1705&lt;=0,0,CA1705*MAX(1,IF(H1705&gt;0,AF1705/H1705,1))),IF(R1705&gt;0,AG1705/R1705,0))/MAX(0.1,N(Parameter!$M$21)))</f>
        <v>0.0192307692307692</v>
      </c>
      <c r="AI1705" s="50" t="n">
        <f aca="false">AH1705*BY1705</f>
        <v>2.98076923076923</v>
      </c>
      <c r="AJ1705" s="50" t="n">
        <f aca="false">AF1705*G1705</f>
        <v>261.8</v>
      </c>
      <c r="AK1705" s="50" t="n">
        <f aca="false">ROUNDUP(MAX(J1705/IF(CD1705&gt;0,CD1705,MAX(0.1,N(Cockpit!$C$6))),CG1705)/BV1705,0)*BV1705</f>
        <v>110</v>
      </c>
      <c r="AL1705" s="51" t="n">
        <f aca="false">IF(AI1705&gt;0,J1705/AI1705,-1)</f>
        <v>0</v>
      </c>
      <c r="AM1705" s="51" t="n">
        <f aca="false">IF(AND(OR(CC1705="L1",CC1705="L23",CC1705="LIFT"),AI1705&gt;0),SUMIFS($AI$7:$AI$1843,$CC$7:$CC$1843,CC1705,$AL$7:$AL$1843,"&gt;"&amp;AL1705)+SUMIFS($AI$7:$AI$1843,$CC$7:$CC$1843,CC1705,$AL$7:$AL$1843,AL1705,$BT$7:$BT$1843,"&lt;="&amp;BT1705),"")</f>
        <v>32808.9602217462</v>
      </c>
      <c r="AN1705" s="58" t="n">
        <f aca="false">IF(AM1705="",0,MAX(0,MIN(1,(IF(CC1705="L1",Parameter!$H$5,IF(CC1705="L23",Parameter!$H$6+Parameter!$H$7,Parameter!$H$5+Parameter!$H$6+Parameter!$H$7))-(AM1705-AI1705))/AI1705)))</f>
        <v>1</v>
      </c>
      <c r="AO1705" s="50" t="n">
        <f aca="false">IF(LEFT(Cockpit!$I$5,1)="A",H1705,IF(CE1705=1,CF1705,IF(LEFT(Cockpit!$I$5,1)="B",AT1705,MAX(AT1705,H1705))))</f>
        <v>110</v>
      </c>
      <c r="AP1705" s="50" t="n">
        <f aca="false">IF(BW1705=1,0,ROUNDUP(AO1705/BV1705,0))</f>
        <v>1</v>
      </c>
      <c r="AQ1705" s="52" t="n">
        <f aca="false">IF(CL1705&gt;0,CL1705*MAX(1,AO1705/X1705),IF(BW1705=1,IF(AO1705&lt;=0,0,CA1705*MAX(1,IF(H1705&gt;0,AO1705/H1705,1))),IF(R1705&gt;0,AP1705/R1705,0))/MAX(0.1,N(Parameter!$M$21)))</f>
        <v>0.0192307692307692</v>
      </c>
      <c r="AR1705" s="50" t="n">
        <f aca="false">AQ1705*BY1705</f>
        <v>2.98076923076923</v>
      </c>
      <c r="AS1705" s="50" t="n">
        <f aca="false">AO1705*G1705</f>
        <v>261.8</v>
      </c>
      <c r="AT1705" s="50" t="n">
        <f aca="false">ROUNDUP(MAX(J1705/IF(CD1705&gt;0,CD1705,MAX(0.1,N(Cockpit!$I$6))),CG1705)/BV1705,0)*BV1705</f>
        <v>110</v>
      </c>
      <c r="AU1705" s="51" t="n">
        <f aca="false">IF(AR1705&gt;0,J1705/AR1705,-1)</f>
        <v>0</v>
      </c>
      <c r="AV1705" s="51" t="n">
        <f aca="false">IF(AND(OR(CC1705="L1",CC1705="L23",CC1705="LIFT"),AR1705&gt;0),SUMIFS($AR$7:$AR$1843,$CC$7:$CC$1843,CC1705,$AU$7:$AU$1843,"&gt;"&amp;AU1705)+SUMIFS($AR$7:$AR$1843,$CC$7:$CC$1843,CC1705,$AU$7:$AU$1843,AU1705,$BT$7:$BT$1843,"&lt;="&amp;BT1705),"")</f>
        <v>45487.7292947166</v>
      </c>
      <c r="AW1705" s="58" t="n">
        <f aca="false">IF(AV1705="",0,MAX(0,MIN(1,(IF(CC1705="L1",Parameter!$H$5,IF(CC1705="L23",Parameter!$H$6+Parameter!$H$7,Parameter!$H$5+Parameter!$H$6+Parameter!$H$7))-(AV1705-AR1705))/AR1705)))</f>
        <v>0</v>
      </c>
      <c r="AX1705" s="50" t="n">
        <f aca="false">IF(LEFT(Cockpit!$O$5,1)="A",H1705,IF(CE1705=1,CF1705,IF(LEFT(Cockpit!$O$5,1)="B",BC1705,MAX(BC1705,H1705))))</f>
        <v>110</v>
      </c>
      <c r="AY1705" s="50" t="n">
        <f aca="false">IF(BW1705=1,0,ROUNDUP(AX1705/BV1705,0))</f>
        <v>1</v>
      </c>
      <c r="AZ1705" s="52" t="n">
        <f aca="false">IF(CL1705&gt;0,CL1705*MAX(1,AX1705/X1705),IF(BW1705=1,IF(AX1705&lt;=0,0,CA1705*MAX(1,IF(H1705&gt;0,AX1705/H1705,1))),IF(R1705&gt;0,AY1705/R1705,0))/MAX(0.1,N(Parameter!$M$21)))</f>
        <v>0.0192307692307692</v>
      </c>
      <c r="BA1705" s="50" t="n">
        <f aca="false">AZ1705*BY1705</f>
        <v>2.98076923076923</v>
      </c>
      <c r="BB1705" s="50" t="n">
        <f aca="false">AX1705*G1705</f>
        <v>261.8</v>
      </c>
      <c r="BC1705" s="50" t="n">
        <f aca="false">ROUNDUP(MAX(J1705/IF(CD1705&gt;0,CD1705,MAX(0.1,N(Cockpit!$O$6))),CG1705)/BV1705,0)*BV1705</f>
        <v>110</v>
      </c>
      <c r="BD1705" s="51" t="n">
        <f aca="false">IF(BA1705&gt;0,J1705/BA1705,-1)</f>
        <v>0</v>
      </c>
      <c r="BE1705" s="51" t="n">
        <f aca="false">IF(AND(OR(CC1705="L1",CC1705="L23",CC1705="LIFT"),BA1705&gt;0),SUMIFS($BA$7:$BA$1843,$CC$7:$CC$1843,CC1705,$BD$7:$BD$1843,"&gt;"&amp;BD1705)+SUMIFS($BA$7:$BA$1843,$CC$7:$CC$1843,CC1705,$BD$7:$BD$1843,BD1705,$BT$7:$BT$1843,"&lt;="&amp;BT1705),"")</f>
        <v>42162.7413365824</v>
      </c>
      <c r="BF1705" s="58" t="n">
        <f aca="false">IF(BE1705="",0,MAX(0,MIN(1,(IF(CC1705="L1",Parameter!$H$5,IF(CC1705="L23",Parameter!$H$6+Parameter!$H$7,Parameter!$H$5+Parameter!$H$6+Parameter!$H$7))-(BE1705-BA1705))/BA1705)))</f>
        <v>0</v>
      </c>
      <c r="BG1705" s="48" t="str">
        <f aca="false">IF(AI1705&lt;=0,"",IF(CC1705="Aussen","Aussenlager",IF(CC1705="-","Nicht im Lift",IF(AN1705&gt;=1,"Lift",IF(AN1705&lt;=0,"Aussenlager","teilweise")))))</f>
        <v>Lift</v>
      </c>
      <c r="BH1705" s="48" t="str">
        <f aca="false">IF(AR1705&lt;=0,"",IF(CC1705="Aussen","Aussenlager",IF(CC1705="-","Nicht im Lift",IF(AW1705&gt;=1,"Lift",IF(AW1705&lt;=0,"Aussenlager","teilweise")))))</f>
        <v>Aussenlager</v>
      </c>
      <c r="BI1705" s="48" t="str">
        <f aca="false">IF(BA1705&lt;=0,"",IF(CC1705="Aussen","Aussenlager",IF(CC1705="-","Nicht im Lift",IF(BF1705&gt;=1,"Lift",IF(BF1705&lt;=0,"Aussenlager","teilweise")))))</f>
        <v>Aussenlager</v>
      </c>
      <c r="BJ1705" s="48" t="str">
        <f aca="false">IF(A1705="","",IF(BS1705=1,"Neu; ","")&amp;IF(AND(BS1705=0,BN1705&lt;0),"negativer Bestand (Export "&amp;BN1705&amp;"); ","")&amp;IF(J1705&lt;=0,"Kein Verbrauch; ","")&amp;IF(CL1705&gt;0,"Lift "&amp;W1705&amp;" lt. Liftbericht (Fach "&amp;X1705&amp;" Stk); ",IF(BX1705=1,"Gebinde geschätzt ("&amp;T1705&amp;"); ",IF(BW1705=1,"Lose – Tablare geschätzt; ","")))&amp;IF(H1705&gt;AT1705,"Überbestand "&amp;ROUND(H1705-AT1705,0)&amp;" Stk / CHF "&amp;ROUND((H1705-AT1705)*G1705,0)&amp;"; ","")&amp;IF(AND(CE1705=1,CF1705&lt;CG1705),"MAX &lt; MB+LG; ","")&amp;IF(AND(CK1705&gt;0,CJ1705*10&gt;CK1705),"zu hoch für Tablar; ","")&amp;IF(AND(BS1705=0,OR(CE1705=1,AA1705&lt;&gt;"",U1705&lt;&gt;"",V1705&lt;&gt;"",AB1705&lt;&gt;"")),"manuell übersteuert; ","")&amp;IF(AND(BW1705=0,R1705=0),"Gebinde unbekannt / Stellmass fehlt; ","")&amp;IF(AND(BW1705=0,N(V1705)&lt;=0,N(Q1705)&lt;=0),"Menge pro Gebinde fehlt (Ist = 1 Gebinde); ","")&amp;BR1705)</f>
        <v>Kein Verbrauch; nur im Artikelstamm (Bestand 23.06.2026)</v>
      </c>
      <c r="BK1705" s="48"/>
      <c r="BL1705" s="48"/>
      <c r="BM1705" s="55"/>
      <c r="BN1705" s="50" t="n">
        <v>110</v>
      </c>
      <c r="BO1705" s="50" t="n">
        <v>0</v>
      </c>
      <c r="BP1705" s="49" t="n">
        <v>0</v>
      </c>
      <c r="BQ1705" s="50" t="n">
        <v>0</v>
      </c>
      <c r="BR1705" s="48" t="s">
        <v>2579</v>
      </c>
      <c r="BS1705" s="53" t="n">
        <v>0</v>
      </c>
      <c r="BT1705" s="53" t="n">
        <v>1705</v>
      </c>
      <c r="BU1705" s="48" t="str">
        <f aca="false">IF(U1705&lt;&gt;"",UPPER(TRIM(U1705)),IF(BX1705=1,UPPER(VLOOKUP(T1705,Parameter!$I$27:$K$29,2,0)),IF(P1705="","LOSE",P1705)))</f>
        <v>S33</v>
      </c>
      <c r="BV1705" s="50" t="n">
        <f aca="false">IF(BU1705="LOSE",1,IF(N(V1705)&gt;0,V1705,IF(BX1705=1,MAX(1,N(VLOOKUP(T1705,Parameter!$I$27:$K$29,3,0)),H1705,N(N1705)),IF(N(Q1705)&gt;0,Q1705,MAX(1,H1705)))))</f>
        <v>110</v>
      </c>
      <c r="BW1705" s="53" t="n">
        <f aca="false">IF(BU1705="LOSE",1,0)</f>
        <v>0</v>
      </c>
      <c r="BX1705" s="53" t="n">
        <f aca="false">IF(AND(U1705="",OR(P1705="",P1705="LOSE"),T1705&lt;&gt;"",N(S1705)&lt;=0,ISNUMBER(MATCH(T1705,Parameter!$I$27:$I$29,0))),1,0)</f>
        <v>0</v>
      </c>
      <c r="BY1705" s="53" t="n">
        <f aca="false">IF(CL1705&gt;0,INDEX(Parameter!$H$5:$H$7,W1705)/INDEX(Parameter!$E$5:$E$7,W1705),IF(AND(BW1705=0,N(IFERROR(VLOOKUP(BU1705,'Gebinde-Kategorie'!$A$5:$N$45,14,0),0))&gt;0),VLOOKUP(BU1705,'Gebinde-Kategorie'!$A$5:$N$45,14,0)*10+Parameter!$M$23,Parameter!$M$24))</f>
        <v>155</v>
      </c>
      <c r="BZ1705" s="48" t="str">
        <f aca="false">IF(AND(Parameter!$B$19="Ja",E1705&lt;&gt;"",ISNUMBER(MATCH(E1705,Parameter!$I$35:$I$52,0))),VLOOKUP(E1705,Parameter!$I$35:$J$52,2,0),IFERROR(VLOOKUP(D1705,Parameter!$A$35:$C$64,2,0),"Nein"))</f>
        <v>2+3</v>
      </c>
      <c r="CA1705" s="52" t="n">
        <f aca="false">IF(BW1705=0,0,IF(N(S1705)&gt;0,S1705,IFERROR(VLOOKUP(D1705,Parameter!$A$35:$C$64,3,0)+0,0)))</f>
        <v>0</v>
      </c>
      <c r="CB1705" s="48" t="n">
        <f aca="false">IF(AA1705&lt;&gt;"",AA1705,Z1705)</f>
        <v>3</v>
      </c>
      <c r="CC1705" s="48" t="str">
        <f aca="false">IF(OR(CB1705=1,CB1705=2,CB1705=3),IF(Parameter!$E$27="Ja","LIFT",IF(CB1705=1,"L1","L23")),IF(CB1705="Aussen","Aussen","-"))</f>
        <v>LIFT</v>
      </c>
      <c r="CD1705" s="59" t="n">
        <f aca="false">IF(N(AB1705)&gt;0,AB1705,0)</f>
        <v>0</v>
      </c>
      <c r="CE1705" s="53" t="n">
        <f aca="false">IF(ISNUMBER(AE1705),1,0)</f>
        <v>0</v>
      </c>
      <c r="CF1705" s="50" t="n">
        <f aca="false">N(AE1705)</f>
        <v>0</v>
      </c>
      <c r="CG1705" s="50" t="n">
        <f aca="false">N(M1705)+N(N1705)</f>
        <v>100</v>
      </c>
      <c r="CH1705" s="50" t="n">
        <f aca="false">ROUNDUP(H1705/BV1705,0)</f>
        <v>1</v>
      </c>
      <c r="CI1705" s="50" t="n">
        <f aca="false">ROUNDUP(CF1705/BV1705,0)</f>
        <v>0</v>
      </c>
      <c r="CJ1705" s="53" t="n">
        <f aca="false">IF(BW1705=1,0,IFERROR(VLOOKUP(BU1705,'Gebinde-Kategorie'!$A$5:$N$45,5,0)+0,0))</f>
        <v>8</v>
      </c>
      <c r="CK1705" s="53" t="n">
        <f aca="false">IFERROR(IF(OR(CB1705=1,CB1705=2,CB1705=3),N(INDEX(Parameter!$I$5:$I$7,CB1705)),0),0)</f>
        <v>0</v>
      </c>
      <c r="CL1705" s="52" t="n">
        <f aca="false">IF(AND(Parameter!$B$21="Ja",ISNUMBER(W1705),N(X1705)&gt;0),IFERROR(N(INDEX(Parameter!$L$5:$L$7,W1705))*INDEX(Parameter!$E$5:$E$7,W1705)*X1705/SUMIFS($X$7:$X$1843,$W$7:$W$1843,W1705),0),0)</f>
        <v>0</v>
      </c>
    </row>
    <row r="1706" customFormat="false" ht="15" hidden="false" customHeight="false" outlineLevel="0" collapsed="false">
      <c r="A1706" s="48" t="s">
        <v>2956</v>
      </c>
      <c r="B1706" s="48" t="s">
        <v>2957</v>
      </c>
      <c r="C1706" s="48" t="s">
        <v>168</v>
      </c>
      <c r="D1706" s="48" t="s">
        <v>188</v>
      </c>
      <c r="E1706" s="48"/>
      <c r="F1706" s="48"/>
      <c r="G1706" s="49" t="n">
        <v>0.76</v>
      </c>
      <c r="H1706" s="50" t="n">
        <f aca="false">MAX(0,IF(AND(Parameter!$B$21="Ja",ISNUMBER(Y1706)),Y1706,IF(Parameter!$B$20="Jahresanfang 2025 + Export",BO1706+BN1706,BN1706)))</f>
        <v>30</v>
      </c>
      <c r="I1706" s="50" t="n">
        <f aca="false">H1706*G1706</f>
        <v>22.8</v>
      </c>
      <c r="J1706" s="50" t="n">
        <f aca="false">BQ1706*Parameter!$B$18</f>
        <v>0</v>
      </c>
      <c r="K1706" s="51"/>
      <c r="L1706" s="52"/>
      <c r="M1706" s="50" t="n">
        <v>0</v>
      </c>
      <c r="N1706" s="50" t="n">
        <v>10</v>
      </c>
      <c r="O1706" s="53" t="n">
        <v>21</v>
      </c>
      <c r="P1706" s="48" t="s">
        <v>480</v>
      </c>
      <c r="Q1706" s="50" t="n">
        <v>30</v>
      </c>
      <c r="R1706" s="53" t="n">
        <f aca="false">IF(BW1706=1,0,IFERROR(VLOOKUP(BU1706,'Gebinde-Kategorie'!$A$5:$N$45,13,0)+0,0))</f>
        <v>52</v>
      </c>
      <c r="S1706" s="54"/>
      <c r="T1706" s="55"/>
      <c r="U1706" s="55"/>
      <c r="V1706" s="55"/>
      <c r="W1706" s="48"/>
      <c r="X1706" s="50"/>
      <c r="Y1706" s="50"/>
      <c r="Z1706" s="48" t="n">
        <f aca="false">IF(A1706="","",IF(AND(Parameter!$B$21="Ja",ISNUMBER(W1706)),W1706,IF(BZ1706="2+3",IF(ISNUMBER(SEARCH("grosser Artikel",BR1706)),2,IFERROR(VLOOKUP(BU1706,Parameter!$F$35:$G$64,2,0),2)),IF(OR(BZ1706="Nein",BZ1706=""),"-",BZ1706))))</f>
        <v>3</v>
      </c>
      <c r="AA1706" s="55"/>
      <c r="AB1706" s="56"/>
      <c r="AC1706" s="50" t="n">
        <f aca="false">AT1706</f>
        <v>30</v>
      </c>
      <c r="AD1706" s="50" t="n">
        <f aca="false">MAX(AT1706,H1706)</f>
        <v>30</v>
      </c>
      <c r="AE1706" s="57"/>
      <c r="AF1706" s="50" t="n">
        <f aca="false">IF(LEFT(Cockpit!$C$5,1)="A",H1706,IF(CE1706=1,CF1706,IF(LEFT(Cockpit!$C$5,1)="B",AK1706,MAX(AK1706,H1706))))</f>
        <v>30</v>
      </c>
      <c r="AG1706" s="50" t="n">
        <f aca="false">IF(BW1706=1,0,ROUNDUP(AF1706/BV1706,0))</f>
        <v>1</v>
      </c>
      <c r="AH1706" s="52" t="n">
        <f aca="false">IF(CL1706&gt;0,CL1706*MAX(1,AF1706/X1706),IF(BW1706=1,IF(AF1706&lt;=0,0,CA1706*MAX(1,IF(H1706&gt;0,AF1706/H1706,1))),IF(R1706&gt;0,AG1706/R1706,0))/MAX(0.1,N(Parameter!$M$21)))</f>
        <v>0.0192307692307692</v>
      </c>
      <c r="AI1706" s="50" t="n">
        <f aca="false">AH1706*BY1706</f>
        <v>2.98076923076923</v>
      </c>
      <c r="AJ1706" s="50" t="n">
        <f aca="false">AF1706*G1706</f>
        <v>22.8</v>
      </c>
      <c r="AK1706" s="50" t="n">
        <f aca="false">ROUNDUP(MAX(J1706/IF(CD1706&gt;0,CD1706,MAX(0.1,N(Cockpit!$C$6))),CG1706)/BV1706,0)*BV1706</f>
        <v>30</v>
      </c>
      <c r="AL1706" s="51" t="n">
        <f aca="false">IF(AI1706&gt;0,J1706/AI1706,-1)</f>
        <v>0</v>
      </c>
      <c r="AM1706" s="51" t="n">
        <f aca="false">IF(AND(OR(CC1706="L1",CC1706="L23",CC1706="LIFT"),AI1706&gt;0),SUMIFS($AI$7:$AI$1843,$CC$7:$CC$1843,CC1706,$AL$7:$AL$1843,"&gt;"&amp;AL1706)+SUMIFS($AI$7:$AI$1843,$CC$7:$CC$1843,CC1706,$AL$7:$AL$1843,AL1706,$BT$7:$BT$1843,"&lt;="&amp;BT1706),"")</f>
        <v>32811.940990977</v>
      </c>
      <c r="AN1706" s="58" t="n">
        <f aca="false">IF(AM1706="",0,MAX(0,MIN(1,(IF(CC1706="L1",Parameter!$H$5,IF(CC1706="L23",Parameter!$H$6+Parameter!$H$7,Parameter!$H$5+Parameter!$H$6+Parameter!$H$7))-(AM1706-AI1706))/AI1706)))</f>
        <v>1</v>
      </c>
      <c r="AO1706" s="50" t="n">
        <f aca="false">IF(LEFT(Cockpit!$I$5,1)="A",H1706,IF(CE1706=1,CF1706,IF(LEFT(Cockpit!$I$5,1)="B",AT1706,MAX(AT1706,H1706))))</f>
        <v>30</v>
      </c>
      <c r="AP1706" s="50" t="n">
        <f aca="false">IF(BW1706=1,0,ROUNDUP(AO1706/BV1706,0))</f>
        <v>1</v>
      </c>
      <c r="AQ1706" s="52" t="n">
        <f aca="false">IF(CL1706&gt;0,CL1706*MAX(1,AO1706/X1706),IF(BW1706=1,IF(AO1706&lt;=0,0,CA1706*MAX(1,IF(H1706&gt;0,AO1706/H1706,1))),IF(R1706&gt;0,AP1706/R1706,0))/MAX(0.1,N(Parameter!$M$21)))</f>
        <v>0.0192307692307692</v>
      </c>
      <c r="AR1706" s="50" t="n">
        <f aca="false">AQ1706*BY1706</f>
        <v>2.98076923076923</v>
      </c>
      <c r="AS1706" s="50" t="n">
        <f aca="false">AO1706*G1706</f>
        <v>22.8</v>
      </c>
      <c r="AT1706" s="50" t="n">
        <f aca="false">ROUNDUP(MAX(J1706/IF(CD1706&gt;0,CD1706,MAX(0.1,N(Cockpit!$I$6))),CG1706)/BV1706,0)*BV1706</f>
        <v>30</v>
      </c>
      <c r="AU1706" s="51" t="n">
        <f aca="false">IF(AR1706&gt;0,J1706/AR1706,-1)</f>
        <v>0</v>
      </c>
      <c r="AV1706" s="51" t="n">
        <f aca="false">IF(AND(OR(CC1706="L1",CC1706="L23",CC1706="LIFT"),AR1706&gt;0),SUMIFS($AR$7:$AR$1843,$CC$7:$CC$1843,CC1706,$AU$7:$AU$1843,"&gt;"&amp;AU1706)+SUMIFS($AR$7:$AR$1843,$CC$7:$CC$1843,CC1706,$AU$7:$AU$1843,AU1706,$BT$7:$BT$1843,"&lt;="&amp;BT1706),"")</f>
        <v>45490.7100639474</v>
      </c>
      <c r="AW1706" s="58" t="n">
        <f aca="false">IF(AV1706="",0,MAX(0,MIN(1,(IF(CC1706="L1",Parameter!$H$5,IF(CC1706="L23",Parameter!$H$6+Parameter!$H$7,Parameter!$H$5+Parameter!$H$6+Parameter!$H$7))-(AV1706-AR1706))/AR1706)))</f>
        <v>0</v>
      </c>
      <c r="AX1706" s="50" t="n">
        <f aca="false">IF(LEFT(Cockpit!$O$5,1)="A",H1706,IF(CE1706=1,CF1706,IF(LEFT(Cockpit!$O$5,1)="B",BC1706,MAX(BC1706,H1706))))</f>
        <v>30</v>
      </c>
      <c r="AY1706" s="50" t="n">
        <f aca="false">IF(BW1706=1,0,ROUNDUP(AX1706/BV1706,0))</f>
        <v>1</v>
      </c>
      <c r="AZ1706" s="52" t="n">
        <f aca="false">IF(CL1706&gt;0,CL1706*MAX(1,AX1706/X1706),IF(BW1706=1,IF(AX1706&lt;=0,0,CA1706*MAX(1,IF(H1706&gt;0,AX1706/H1706,1))),IF(R1706&gt;0,AY1706/R1706,0))/MAX(0.1,N(Parameter!$M$21)))</f>
        <v>0.0192307692307692</v>
      </c>
      <c r="BA1706" s="50" t="n">
        <f aca="false">AZ1706*BY1706</f>
        <v>2.98076923076923</v>
      </c>
      <c r="BB1706" s="50" t="n">
        <f aca="false">AX1706*G1706</f>
        <v>22.8</v>
      </c>
      <c r="BC1706" s="50" t="n">
        <f aca="false">ROUNDUP(MAX(J1706/IF(CD1706&gt;0,CD1706,MAX(0.1,N(Cockpit!$O$6))),CG1706)/BV1706,0)*BV1706</f>
        <v>30</v>
      </c>
      <c r="BD1706" s="51" t="n">
        <f aca="false">IF(BA1706&gt;0,J1706/BA1706,-1)</f>
        <v>0</v>
      </c>
      <c r="BE1706" s="51" t="n">
        <f aca="false">IF(AND(OR(CC1706="L1",CC1706="L23",CC1706="LIFT"),BA1706&gt;0),SUMIFS($BA$7:$BA$1843,$CC$7:$CC$1843,CC1706,$BD$7:$BD$1843,"&gt;"&amp;BD1706)+SUMIFS($BA$7:$BA$1843,$CC$7:$CC$1843,CC1706,$BD$7:$BD$1843,BD1706,$BT$7:$BT$1843,"&lt;="&amp;BT1706),"")</f>
        <v>42165.7221058132</v>
      </c>
      <c r="BF1706" s="58" t="n">
        <f aca="false">IF(BE1706="",0,MAX(0,MIN(1,(IF(CC1706="L1",Parameter!$H$5,IF(CC1706="L23",Parameter!$H$6+Parameter!$H$7,Parameter!$H$5+Parameter!$H$6+Parameter!$H$7))-(BE1706-BA1706))/BA1706)))</f>
        <v>0</v>
      </c>
      <c r="BG1706" s="48" t="str">
        <f aca="false">IF(AI1706&lt;=0,"",IF(CC1706="Aussen","Aussenlager",IF(CC1706="-","Nicht im Lift",IF(AN1706&gt;=1,"Lift",IF(AN1706&lt;=0,"Aussenlager","teilweise")))))</f>
        <v>Lift</v>
      </c>
      <c r="BH1706" s="48" t="str">
        <f aca="false">IF(AR1706&lt;=0,"",IF(CC1706="Aussen","Aussenlager",IF(CC1706="-","Nicht im Lift",IF(AW1706&gt;=1,"Lift",IF(AW1706&lt;=0,"Aussenlager","teilweise")))))</f>
        <v>Aussenlager</v>
      </c>
      <c r="BI1706" s="48" t="str">
        <f aca="false">IF(BA1706&lt;=0,"",IF(CC1706="Aussen","Aussenlager",IF(CC1706="-","Nicht im Lift",IF(BF1706&gt;=1,"Lift",IF(BF1706&lt;=0,"Aussenlager","teilweise")))))</f>
        <v>Aussenlager</v>
      </c>
      <c r="BJ1706" s="48" t="str">
        <f aca="false">IF(A1706="","",IF(BS1706=1,"Neu; ","")&amp;IF(AND(BS1706=0,BN1706&lt;0),"negativer Bestand (Export "&amp;BN1706&amp;"); ","")&amp;IF(J1706&lt;=0,"Kein Verbrauch; ","")&amp;IF(CL1706&gt;0,"Lift "&amp;W1706&amp;" lt. Liftbericht (Fach "&amp;X1706&amp;" Stk); ",IF(BX1706=1,"Gebinde geschätzt ("&amp;T1706&amp;"); ",IF(BW1706=1,"Lose – Tablare geschätzt; ","")))&amp;IF(H1706&gt;AT1706,"Überbestand "&amp;ROUND(H1706-AT1706,0)&amp;" Stk / CHF "&amp;ROUND((H1706-AT1706)*G1706,0)&amp;"; ","")&amp;IF(AND(CE1706=1,CF1706&lt;CG1706),"MAX &lt; MB+LG; ","")&amp;IF(AND(CK1706&gt;0,CJ1706*10&gt;CK1706),"zu hoch für Tablar; ","")&amp;IF(AND(BS1706=0,OR(CE1706=1,AA1706&lt;&gt;"",U1706&lt;&gt;"",V1706&lt;&gt;"",AB1706&lt;&gt;"")),"manuell übersteuert; ","")&amp;IF(AND(BW1706=0,R1706=0),"Gebinde unbekannt / Stellmass fehlt; ","")&amp;IF(AND(BW1706=0,N(V1706)&lt;=0,N(Q1706)&lt;=0),"Menge pro Gebinde fehlt (Ist = 1 Gebinde); ","")&amp;BR1706)</f>
        <v>Kein Verbrauch; nur im Artikelstamm (Bestand 23.06.2026)</v>
      </c>
      <c r="BK1706" s="48"/>
      <c r="BL1706" s="48"/>
      <c r="BM1706" s="55"/>
      <c r="BN1706" s="50" t="n">
        <v>30</v>
      </c>
      <c r="BO1706" s="50" t="n">
        <v>0</v>
      </c>
      <c r="BP1706" s="49" t="n">
        <v>0</v>
      </c>
      <c r="BQ1706" s="50" t="n">
        <v>0</v>
      </c>
      <c r="BR1706" s="48" t="s">
        <v>2579</v>
      </c>
      <c r="BS1706" s="53" t="n">
        <v>0</v>
      </c>
      <c r="BT1706" s="53" t="n">
        <v>1706</v>
      </c>
      <c r="BU1706" s="48" t="str">
        <f aca="false">IF(U1706&lt;&gt;"",UPPER(TRIM(U1706)),IF(BX1706=1,UPPER(VLOOKUP(T1706,Parameter!$I$27:$K$29,2,0)),IF(P1706="","LOSE",P1706)))</f>
        <v>S33</v>
      </c>
      <c r="BV1706" s="50" t="n">
        <f aca="false">IF(BU1706="LOSE",1,IF(N(V1706)&gt;0,V1706,IF(BX1706=1,MAX(1,N(VLOOKUP(T1706,Parameter!$I$27:$K$29,3,0)),H1706,N(N1706)),IF(N(Q1706)&gt;0,Q1706,MAX(1,H1706)))))</f>
        <v>30</v>
      </c>
      <c r="BW1706" s="53" t="n">
        <f aca="false">IF(BU1706="LOSE",1,0)</f>
        <v>0</v>
      </c>
      <c r="BX1706" s="53" t="n">
        <f aca="false">IF(AND(U1706="",OR(P1706="",P1706="LOSE"),T1706&lt;&gt;"",N(S1706)&lt;=0,ISNUMBER(MATCH(T1706,Parameter!$I$27:$I$29,0))),1,0)</f>
        <v>0</v>
      </c>
      <c r="BY1706" s="53" t="n">
        <f aca="false">IF(CL1706&gt;0,INDEX(Parameter!$H$5:$H$7,W1706)/INDEX(Parameter!$E$5:$E$7,W1706),IF(AND(BW1706=0,N(IFERROR(VLOOKUP(BU1706,'Gebinde-Kategorie'!$A$5:$N$45,14,0),0))&gt;0),VLOOKUP(BU1706,'Gebinde-Kategorie'!$A$5:$N$45,14,0)*10+Parameter!$M$23,Parameter!$M$24))</f>
        <v>155</v>
      </c>
      <c r="BZ1706" s="48" t="str">
        <f aca="false">IF(AND(Parameter!$B$19="Ja",E1706&lt;&gt;"",ISNUMBER(MATCH(E1706,Parameter!$I$35:$I$52,0))),VLOOKUP(E1706,Parameter!$I$35:$J$52,2,0),IFERROR(VLOOKUP(D1706,Parameter!$A$35:$C$64,2,0),"Nein"))</f>
        <v>2+3</v>
      </c>
      <c r="CA1706" s="52" t="n">
        <f aca="false">IF(BW1706=0,0,IF(N(S1706)&gt;0,S1706,IFERROR(VLOOKUP(D1706,Parameter!$A$35:$C$64,3,0)+0,0)))</f>
        <v>0</v>
      </c>
      <c r="CB1706" s="48" t="n">
        <f aca="false">IF(AA1706&lt;&gt;"",AA1706,Z1706)</f>
        <v>3</v>
      </c>
      <c r="CC1706" s="48" t="str">
        <f aca="false">IF(OR(CB1706=1,CB1706=2,CB1706=3),IF(Parameter!$E$27="Ja","LIFT",IF(CB1706=1,"L1","L23")),IF(CB1706="Aussen","Aussen","-"))</f>
        <v>LIFT</v>
      </c>
      <c r="CD1706" s="59" t="n">
        <f aca="false">IF(N(AB1706)&gt;0,AB1706,0)</f>
        <v>0</v>
      </c>
      <c r="CE1706" s="53" t="n">
        <f aca="false">IF(ISNUMBER(AE1706),1,0)</f>
        <v>0</v>
      </c>
      <c r="CF1706" s="50" t="n">
        <f aca="false">N(AE1706)</f>
        <v>0</v>
      </c>
      <c r="CG1706" s="50" t="n">
        <f aca="false">N(M1706)+N(N1706)</f>
        <v>10</v>
      </c>
      <c r="CH1706" s="50" t="n">
        <f aca="false">ROUNDUP(H1706/BV1706,0)</f>
        <v>1</v>
      </c>
      <c r="CI1706" s="50" t="n">
        <f aca="false">ROUNDUP(CF1706/BV1706,0)</f>
        <v>0</v>
      </c>
      <c r="CJ1706" s="53" t="n">
        <f aca="false">IF(BW1706=1,0,IFERROR(VLOOKUP(BU1706,'Gebinde-Kategorie'!$A$5:$N$45,5,0)+0,0))</f>
        <v>8</v>
      </c>
      <c r="CK1706" s="53" t="n">
        <f aca="false">IFERROR(IF(OR(CB1706=1,CB1706=2,CB1706=3),N(INDEX(Parameter!$I$5:$I$7,CB1706)),0),0)</f>
        <v>0</v>
      </c>
      <c r="CL1706" s="52" t="n">
        <f aca="false">IF(AND(Parameter!$B$21="Ja",ISNUMBER(W1706),N(X1706)&gt;0),IFERROR(N(INDEX(Parameter!$L$5:$L$7,W1706))*INDEX(Parameter!$E$5:$E$7,W1706)*X1706/SUMIFS($X$7:$X$1843,$W$7:$W$1843,W1706),0),0)</f>
        <v>0</v>
      </c>
    </row>
    <row r="1707" customFormat="false" ht="15" hidden="false" customHeight="false" outlineLevel="0" collapsed="false">
      <c r="A1707" s="48" t="s">
        <v>2958</v>
      </c>
      <c r="B1707" s="48" t="s">
        <v>1237</v>
      </c>
      <c r="C1707" s="48" t="s">
        <v>168</v>
      </c>
      <c r="D1707" s="48" t="s">
        <v>188</v>
      </c>
      <c r="E1707" s="48"/>
      <c r="F1707" s="48"/>
      <c r="G1707" s="49" t="n">
        <v>9.03</v>
      </c>
      <c r="H1707" s="50" t="n">
        <f aca="false">MAX(0,IF(AND(Parameter!$B$21="Ja",ISNUMBER(Y1707)),Y1707,IF(Parameter!$B$20="Jahresanfang 2025 + Export",BO1707+BN1707,BN1707)))</f>
        <v>3</v>
      </c>
      <c r="I1707" s="50" t="n">
        <f aca="false">H1707*G1707</f>
        <v>27.09</v>
      </c>
      <c r="J1707" s="50" t="n">
        <f aca="false">BQ1707*Parameter!$B$18</f>
        <v>0</v>
      </c>
      <c r="K1707" s="51"/>
      <c r="L1707" s="52"/>
      <c r="M1707" s="50" t="n">
        <v>0</v>
      </c>
      <c r="N1707" s="50" t="n">
        <v>3</v>
      </c>
      <c r="O1707" s="53" t="n">
        <v>14</v>
      </c>
      <c r="P1707" s="48" t="s">
        <v>480</v>
      </c>
      <c r="Q1707" s="50" t="n">
        <v>20</v>
      </c>
      <c r="R1707" s="53" t="n">
        <f aca="false">IF(BW1707=1,0,IFERROR(VLOOKUP(BU1707,'Gebinde-Kategorie'!$A$5:$N$45,13,0)+0,0))</f>
        <v>52</v>
      </c>
      <c r="S1707" s="54"/>
      <c r="T1707" s="55"/>
      <c r="U1707" s="55"/>
      <c r="V1707" s="55"/>
      <c r="W1707" s="48"/>
      <c r="X1707" s="50"/>
      <c r="Y1707" s="50"/>
      <c r="Z1707" s="48" t="n">
        <f aca="false">IF(A1707="","",IF(AND(Parameter!$B$21="Ja",ISNUMBER(W1707)),W1707,IF(BZ1707="2+3",IF(ISNUMBER(SEARCH("grosser Artikel",BR1707)),2,IFERROR(VLOOKUP(BU1707,Parameter!$F$35:$G$64,2,0),2)),IF(OR(BZ1707="Nein",BZ1707=""),"-",BZ1707))))</f>
        <v>3</v>
      </c>
      <c r="AA1707" s="55"/>
      <c r="AB1707" s="56"/>
      <c r="AC1707" s="50" t="n">
        <f aca="false">AT1707</f>
        <v>20</v>
      </c>
      <c r="AD1707" s="50" t="n">
        <f aca="false">MAX(AT1707,H1707)</f>
        <v>20</v>
      </c>
      <c r="AE1707" s="57"/>
      <c r="AF1707" s="50" t="n">
        <f aca="false">IF(LEFT(Cockpit!$C$5,1)="A",H1707,IF(CE1707=1,CF1707,IF(LEFT(Cockpit!$C$5,1)="B",AK1707,MAX(AK1707,H1707))))</f>
        <v>3</v>
      </c>
      <c r="AG1707" s="50" t="n">
        <f aca="false">IF(BW1707=1,0,ROUNDUP(AF1707/BV1707,0))</f>
        <v>1</v>
      </c>
      <c r="AH1707" s="52" t="n">
        <f aca="false">IF(CL1707&gt;0,CL1707*MAX(1,AF1707/X1707),IF(BW1707=1,IF(AF1707&lt;=0,0,CA1707*MAX(1,IF(H1707&gt;0,AF1707/H1707,1))),IF(R1707&gt;0,AG1707/R1707,0))/MAX(0.1,N(Parameter!$M$21)))</f>
        <v>0.0192307692307692</v>
      </c>
      <c r="AI1707" s="50" t="n">
        <f aca="false">AH1707*BY1707</f>
        <v>2.98076923076923</v>
      </c>
      <c r="AJ1707" s="50" t="n">
        <f aca="false">AF1707*G1707</f>
        <v>27.09</v>
      </c>
      <c r="AK1707" s="50" t="n">
        <f aca="false">ROUNDUP(MAX(J1707/IF(CD1707&gt;0,CD1707,MAX(0.1,N(Cockpit!$C$6))),CG1707)/BV1707,0)*BV1707</f>
        <v>20</v>
      </c>
      <c r="AL1707" s="51" t="n">
        <f aca="false">IF(AI1707&gt;0,J1707/AI1707,-1)</f>
        <v>0</v>
      </c>
      <c r="AM1707" s="51" t="n">
        <f aca="false">IF(AND(OR(CC1707="L1",CC1707="L23",CC1707="LIFT"),AI1707&gt;0),SUMIFS($AI$7:$AI$1843,$CC$7:$CC$1843,CC1707,$AL$7:$AL$1843,"&gt;"&amp;AL1707)+SUMIFS($AI$7:$AI$1843,$CC$7:$CC$1843,CC1707,$AL$7:$AL$1843,AL1707,$BT$7:$BT$1843,"&lt;="&amp;BT1707),"")</f>
        <v>32814.9217602078</v>
      </c>
      <c r="AN1707" s="58" t="n">
        <f aca="false">IF(AM1707="",0,MAX(0,MIN(1,(IF(CC1707="L1",Parameter!$H$5,IF(CC1707="L23",Parameter!$H$6+Parameter!$H$7,Parameter!$H$5+Parameter!$H$6+Parameter!$H$7))-(AM1707-AI1707))/AI1707)))</f>
        <v>1</v>
      </c>
      <c r="AO1707" s="50" t="n">
        <f aca="false">IF(LEFT(Cockpit!$I$5,1)="A",H1707,IF(CE1707=1,CF1707,IF(LEFT(Cockpit!$I$5,1)="B",AT1707,MAX(AT1707,H1707))))</f>
        <v>20</v>
      </c>
      <c r="AP1707" s="50" t="n">
        <f aca="false">IF(BW1707=1,0,ROUNDUP(AO1707/BV1707,0))</f>
        <v>1</v>
      </c>
      <c r="AQ1707" s="52" t="n">
        <f aca="false">IF(CL1707&gt;0,CL1707*MAX(1,AO1707/X1707),IF(BW1707=1,IF(AO1707&lt;=0,0,CA1707*MAX(1,IF(H1707&gt;0,AO1707/H1707,1))),IF(R1707&gt;0,AP1707/R1707,0))/MAX(0.1,N(Parameter!$M$21)))</f>
        <v>0.0192307692307692</v>
      </c>
      <c r="AR1707" s="50" t="n">
        <f aca="false">AQ1707*BY1707</f>
        <v>2.98076923076923</v>
      </c>
      <c r="AS1707" s="50" t="n">
        <f aca="false">AO1707*G1707</f>
        <v>180.6</v>
      </c>
      <c r="AT1707" s="50" t="n">
        <f aca="false">ROUNDUP(MAX(J1707/IF(CD1707&gt;0,CD1707,MAX(0.1,N(Cockpit!$I$6))),CG1707)/BV1707,0)*BV1707</f>
        <v>20</v>
      </c>
      <c r="AU1707" s="51" t="n">
        <f aca="false">IF(AR1707&gt;0,J1707/AR1707,-1)</f>
        <v>0</v>
      </c>
      <c r="AV1707" s="51" t="n">
        <f aca="false">IF(AND(OR(CC1707="L1",CC1707="L23",CC1707="LIFT"),AR1707&gt;0),SUMIFS($AR$7:$AR$1843,$CC$7:$CC$1843,CC1707,$AU$7:$AU$1843,"&gt;"&amp;AU1707)+SUMIFS($AR$7:$AR$1843,$CC$7:$CC$1843,CC1707,$AU$7:$AU$1843,AU1707,$BT$7:$BT$1843,"&lt;="&amp;BT1707),"")</f>
        <v>45493.6908331781</v>
      </c>
      <c r="AW1707" s="58" t="n">
        <f aca="false">IF(AV1707="",0,MAX(0,MIN(1,(IF(CC1707="L1",Parameter!$H$5,IF(CC1707="L23",Parameter!$H$6+Parameter!$H$7,Parameter!$H$5+Parameter!$H$6+Parameter!$H$7))-(AV1707-AR1707))/AR1707)))</f>
        <v>0</v>
      </c>
      <c r="AX1707" s="50" t="n">
        <f aca="false">IF(LEFT(Cockpit!$O$5,1)="A",H1707,IF(CE1707=1,CF1707,IF(LEFT(Cockpit!$O$5,1)="B",BC1707,MAX(BC1707,H1707))))</f>
        <v>20</v>
      </c>
      <c r="AY1707" s="50" t="n">
        <f aca="false">IF(BW1707=1,0,ROUNDUP(AX1707/BV1707,0))</f>
        <v>1</v>
      </c>
      <c r="AZ1707" s="52" t="n">
        <f aca="false">IF(CL1707&gt;0,CL1707*MAX(1,AX1707/X1707),IF(BW1707=1,IF(AX1707&lt;=0,0,CA1707*MAX(1,IF(H1707&gt;0,AX1707/H1707,1))),IF(R1707&gt;0,AY1707/R1707,0))/MAX(0.1,N(Parameter!$M$21)))</f>
        <v>0.0192307692307692</v>
      </c>
      <c r="BA1707" s="50" t="n">
        <f aca="false">AZ1707*BY1707</f>
        <v>2.98076923076923</v>
      </c>
      <c r="BB1707" s="50" t="n">
        <f aca="false">AX1707*G1707</f>
        <v>180.6</v>
      </c>
      <c r="BC1707" s="50" t="n">
        <f aca="false">ROUNDUP(MAX(J1707/IF(CD1707&gt;0,CD1707,MAX(0.1,N(Cockpit!$O$6))),CG1707)/BV1707,0)*BV1707</f>
        <v>20</v>
      </c>
      <c r="BD1707" s="51" t="n">
        <f aca="false">IF(BA1707&gt;0,J1707/BA1707,-1)</f>
        <v>0</v>
      </c>
      <c r="BE1707" s="51" t="n">
        <f aca="false">IF(AND(OR(CC1707="L1",CC1707="L23",CC1707="LIFT"),BA1707&gt;0),SUMIFS($BA$7:$BA$1843,$CC$7:$CC$1843,CC1707,$BD$7:$BD$1843,"&gt;"&amp;BD1707)+SUMIFS($BA$7:$BA$1843,$CC$7:$CC$1843,CC1707,$BD$7:$BD$1843,BD1707,$BT$7:$BT$1843,"&lt;="&amp;BT1707),"")</f>
        <v>42168.702875044</v>
      </c>
      <c r="BF1707" s="58" t="n">
        <f aca="false">IF(BE1707="",0,MAX(0,MIN(1,(IF(CC1707="L1",Parameter!$H$5,IF(CC1707="L23",Parameter!$H$6+Parameter!$H$7,Parameter!$H$5+Parameter!$H$6+Parameter!$H$7))-(BE1707-BA1707))/BA1707)))</f>
        <v>0</v>
      </c>
      <c r="BG1707" s="48" t="str">
        <f aca="false">IF(AI1707&lt;=0,"",IF(CC1707="Aussen","Aussenlager",IF(CC1707="-","Nicht im Lift",IF(AN1707&gt;=1,"Lift",IF(AN1707&lt;=0,"Aussenlager","teilweise")))))</f>
        <v>Lift</v>
      </c>
      <c r="BH1707" s="48" t="str">
        <f aca="false">IF(AR1707&lt;=0,"",IF(CC1707="Aussen","Aussenlager",IF(CC1707="-","Nicht im Lift",IF(AW1707&gt;=1,"Lift",IF(AW1707&lt;=0,"Aussenlager","teilweise")))))</f>
        <v>Aussenlager</v>
      </c>
      <c r="BI1707" s="48" t="str">
        <f aca="false">IF(BA1707&lt;=0,"",IF(CC1707="Aussen","Aussenlager",IF(CC1707="-","Nicht im Lift",IF(BF1707&gt;=1,"Lift",IF(BF1707&lt;=0,"Aussenlager","teilweise")))))</f>
        <v>Aussenlager</v>
      </c>
      <c r="BJ1707" s="48" t="str">
        <f aca="false">IF(A1707="","",IF(BS1707=1,"Neu; ","")&amp;IF(AND(BS1707=0,BN1707&lt;0),"negativer Bestand (Export "&amp;BN1707&amp;"); ","")&amp;IF(J1707&lt;=0,"Kein Verbrauch; ","")&amp;IF(CL1707&gt;0,"Lift "&amp;W1707&amp;" lt. Liftbericht (Fach "&amp;X1707&amp;" Stk); ",IF(BX1707=1,"Gebinde geschätzt ("&amp;T1707&amp;"); ",IF(BW1707=1,"Lose – Tablare geschätzt; ","")))&amp;IF(H1707&gt;AT1707,"Überbestand "&amp;ROUND(H1707-AT1707,0)&amp;" Stk / CHF "&amp;ROUND((H1707-AT1707)*G1707,0)&amp;"; ","")&amp;IF(AND(CE1707=1,CF1707&lt;CG1707),"MAX &lt; MB+LG; ","")&amp;IF(AND(CK1707&gt;0,CJ1707*10&gt;CK1707),"zu hoch für Tablar; ","")&amp;IF(AND(BS1707=0,OR(CE1707=1,AA1707&lt;&gt;"",U1707&lt;&gt;"",V1707&lt;&gt;"",AB1707&lt;&gt;"")),"manuell übersteuert; ","")&amp;IF(AND(BW1707=0,R1707=0),"Gebinde unbekannt / Stellmass fehlt; ","")&amp;IF(AND(BW1707=0,N(V1707)&lt;=0,N(Q1707)&lt;=0),"Menge pro Gebinde fehlt (Ist = 1 Gebinde); ","")&amp;BR1707)</f>
        <v>Kein Verbrauch; nur im Artikelstamm (Bestand 23.06.2026); Verb.Lager</v>
      </c>
      <c r="BK1707" s="48"/>
      <c r="BL1707" s="48"/>
      <c r="BM1707" s="55"/>
      <c r="BN1707" s="50" t="n">
        <v>3</v>
      </c>
      <c r="BO1707" s="50" t="n">
        <v>0</v>
      </c>
      <c r="BP1707" s="49" t="n">
        <v>0</v>
      </c>
      <c r="BQ1707" s="50" t="n">
        <v>0</v>
      </c>
      <c r="BR1707" s="48" t="s">
        <v>2573</v>
      </c>
      <c r="BS1707" s="53" t="n">
        <v>0</v>
      </c>
      <c r="BT1707" s="53" t="n">
        <v>1707</v>
      </c>
      <c r="BU1707" s="48" t="str">
        <f aca="false">IF(U1707&lt;&gt;"",UPPER(TRIM(U1707)),IF(BX1707=1,UPPER(VLOOKUP(T1707,Parameter!$I$27:$K$29,2,0)),IF(P1707="","LOSE",P1707)))</f>
        <v>S33</v>
      </c>
      <c r="BV1707" s="50" t="n">
        <f aca="false">IF(BU1707="LOSE",1,IF(N(V1707)&gt;0,V1707,IF(BX1707=1,MAX(1,N(VLOOKUP(T1707,Parameter!$I$27:$K$29,3,0)),H1707,N(N1707)),IF(N(Q1707)&gt;0,Q1707,MAX(1,H1707)))))</f>
        <v>20</v>
      </c>
      <c r="BW1707" s="53" t="n">
        <f aca="false">IF(BU1707="LOSE",1,0)</f>
        <v>0</v>
      </c>
      <c r="BX1707" s="53" t="n">
        <f aca="false">IF(AND(U1707="",OR(P1707="",P1707="LOSE"),T1707&lt;&gt;"",N(S1707)&lt;=0,ISNUMBER(MATCH(T1707,Parameter!$I$27:$I$29,0))),1,0)</f>
        <v>0</v>
      </c>
      <c r="BY1707" s="53" t="n">
        <f aca="false">IF(CL1707&gt;0,INDEX(Parameter!$H$5:$H$7,W1707)/INDEX(Parameter!$E$5:$E$7,W1707),IF(AND(BW1707=0,N(IFERROR(VLOOKUP(BU1707,'Gebinde-Kategorie'!$A$5:$N$45,14,0),0))&gt;0),VLOOKUP(BU1707,'Gebinde-Kategorie'!$A$5:$N$45,14,0)*10+Parameter!$M$23,Parameter!$M$24))</f>
        <v>155</v>
      </c>
      <c r="BZ1707" s="48" t="str">
        <f aca="false">IF(AND(Parameter!$B$19="Ja",E1707&lt;&gt;"",ISNUMBER(MATCH(E1707,Parameter!$I$35:$I$52,0))),VLOOKUP(E1707,Parameter!$I$35:$J$52,2,0),IFERROR(VLOOKUP(D1707,Parameter!$A$35:$C$64,2,0),"Nein"))</f>
        <v>2+3</v>
      </c>
      <c r="CA1707" s="52" t="n">
        <f aca="false">IF(BW1707=0,0,IF(N(S1707)&gt;0,S1707,IFERROR(VLOOKUP(D1707,Parameter!$A$35:$C$64,3,0)+0,0)))</f>
        <v>0</v>
      </c>
      <c r="CB1707" s="48" t="n">
        <f aca="false">IF(AA1707&lt;&gt;"",AA1707,Z1707)</f>
        <v>3</v>
      </c>
      <c r="CC1707" s="48" t="str">
        <f aca="false">IF(OR(CB1707=1,CB1707=2,CB1707=3),IF(Parameter!$E$27="Ja","LIFT",IF(CB1707=1,"L1","L23")),IF(CB1707="Aussen","Aussen","-"))</f>
        <v>LIFT</v>
      </c>
      <c r="CD1707" s="59" t="n">
        <f aca="false">IF(N(AB1707)&gt;0,AB1707,0)</f>
        <v>0</v>
      </c>
      <c r="CE1707" s="53" t="n">
        <f aca="false">IF(ISNUMBER(AE1707),1,0)</f>
        <v>0</v>
      </c>
      <c r="CF1707" s="50" t="n">
        <f aca="false">N(AE1707)</f>
        <v>0</v>
      </c>
      <c r="CG1707" s="50" t="n">
        <f aca="false">N(M1707)+N(N1707)</f>
        <v>3</v>
      </c>
      <c r="CH1707" s="50" t="n">
        <f aca="false">ROUNDUP(H1707/BV1707,0)</f>
        <v>1</v>
      </c>
      <c r="CI1707" s="50" t="n">
        <f aca="false">ROUNDUP(CF1707/BV1707,0)</f>
        <v>0</v>
      </c>
      <c r="CJ1707" s="53" t="n">
        <f aca="false">IF(BW1707=1,0,IFERROR(VLOOKUP(BU1707,'Gebinde-Kategorie'!$A$5:$N$45,5,0)+0,0))</f>
        <v>8</v>
      </c>
      <c r="CK1707" s="53" t="n">
        <f aca="false">IFERROR(IF(OR(CB1707=1,CB1707=2,CB1707=3),N(INDEX(Parameter!$I$5:$I$7,CB1707)),0),0)</f>
        <v>0</v>
      </c>
      <c r="CL1707" s="52" t="n">
        <f aca="false">IF(AND(Parameter!$B$21="Ja",ISNUMBER(W1707),N(X1707)&gt;0),IFERROR(N(INDEX(Parameter!$L$5:$L$7,W1707))*INDEX(Parameter!$E$5:$E$7,W1707)*X1707/SUMIFS($X$7:$X$1843,$W$7:$W$1843,W1707),0),0)</f>
        <v>0</v>
      </c>
    </row>
    <row r="1708" customFormat="false" ht="15" hidden="false" customHeight="false" outlineLevel="0" collapsed="false">
      <c r="A1708" s="48" t="s">
        <v>2959</v>
      </c>
      <c r="B1708" s="48" t="s">
        <v>2960</v>
      </c>
      <c r="C1708" s="48" t="s">
        <v>168</v>
      </c>
      <c r="D1708" s="48" t="s">
        <v>188</v>
      </c>
      <c r="E1708" s="48"/>
      <c r="F1708" s="48"/>
      <c r="G1708" s="49" t="n">
        <v>18</v>
      </c>
      <c r="H1708" s="50" t="n">
        <f aca="false">MAX(0,IF(AND(Parameter!$B$21="Ja",ISNUMBER(Y1708)),Y1708,IF(Parameter!$B$20="Jahresanfang 2025 + Export",BO1708+BN1708,BN1708)))</f>
        <v>7</v>
      </c>
      <c r="I1708" s="50" t="n">
        <f aca="false">H1708*G1708</f>
        <v>126</v>
      </c>
      <c r="J1708" s="50" t="n">
        <f aca="false">BQ1708*Parameter!$B$18</f>
        <v>0</v>
      </c>
      <c r="K1708" s="51"/>
      <c r="L1708" s="52"/>
      <c r="M1708" s="50" t="n">
        <v>0</v>
      </c>
      <c r="N1708" s="50" t="n">
        <v>1</v>
      </c>
      <c r="O1708" s="53" t="n">
        <v>35</v>
      </c>
      <c r="P1708" s="48" t="s">
        <v>480</v>
      </c>
      <c r="Q1708" s="50" t="n">
        <v>6</v>
      </c>
      <c r="R1708" s="53" t="n">
        <f aca="false">IF(BW1708=1,0,IFERROR(VLOOKUP(BU1708,'Gebinde-Kategorie'!$A$5:$N$45,13,0)+0,0))</f>
        <v>52</v>
      </c>
      <c r="S1708" s="54"/>
      <c r="T1708" s="55"/>
      <c r="U1708" s="55"/>
      <c r="V1708" s="55"/>
      <c r="W1708" s="48"/>
      <c r="X1708" s="50"/>
      <c r="Y1708" s="50"/>
      <c r="Z1708" s="48" t="n">
        <f aca="false">IF(A1708="","",IF(AND(Parameter!$B$21="Ja",ISNUMBER(W1708)),W1708,IF(BZ1708="2+3",IF(ISNUMBER(SEARCH("grosser Artikel",BR1708)),2,IFERROR(VLOOKUP(BU1708,Parameter!$F$35:$G$64,2,0),2)),IF(OR(BZ1708="Nein",BZ1708=""),"-",BZ1708))))</f>
        <v>3</v>
      </c>
      <c r="AA1708" s="55"/>
      <c r="AB1708" s="56"/>
      <c r="AC1708" s="50" t="n">
        <f aca="false">AT1708</f>
        <v>6</v>
      </c>
      <c r="AD1708" s="50" t="n">
        <f aca="false">MAX(AT1708,H1708)</f>
        <v>7</v>
      </c>
      <c r="AE1708" s="57"/>
      <c r="AF1708" s="50" t="n">
        <f aca="false">IF(LEFT(Cockpit!$C$5,1)="A",H1708,IF(CE1708=1,CF1708,IF(LEFT(Cockpit!$C$5,1)="B",AK1708,MAX(AK1708,H1708))))</f>
        <v>7</v>
      </c>
      <c r="AG1708" s="50" t="n">
        <f aca="false">IF(BW1708=1,0,ROUNDUP(AF1708/BV1708,0))</f>
        <v>2</v>
      </c>
      <c r="AH1708" s="52" t="n">
        <f aca="false">IF(CL1708&gt;0,CL1708*MAX(1,AF1708/X1708),IF(BW1708=1,IF(AF1708&lt;=0,0,CA1708*MAX(1,IF(H1708&gt;0,AF1708/H1708,1))),IF(R1708&gt;0,AG1708/R1708,0))/MAX(0.1,N(Parameter!$M$21)))</f>
        <v>0.0384615384615385</v>
      </c>
      <c r="AI1708" s="50" t="n">
        <f aca="false">AH1708*BY1708</f>
        <v>5.96153846153846</v>
      </c>
      <c r="AJ1708" s="50" t="n">
        <f aca="false">AF1708*G1708</f>
        <v>126</v>
      </c>
      <c r="AK1708" s="50" t="n">
        <f aca="false">ROUNDUP(MAX(J1708/IF(CD1708&gt;0,CD1708,MAX(0.1,N(Cockpit!$C$6))),CG1708)/BV1708,0)*BV1708</f>
        <v>6</v>
      </c>
      <c r="AL1708" s="51" t="n">
        <f aca="false">IF(AI1708&gt;0,J1708/AI1708,-1)</f>
        <v>0</v>
      </c>
      <c r="AM1708" s="51" t="n">
        <f aca="false">IF(AND(OR(CC1708="L1",CC1708="L23",CC1708="LIFT"),AI1708&gt;0),SUMIFS($AI$7:$AI$1843,$CC$7:$CC$1843,CC1708,$AL$7:$AL$1843,"&gt;"&amp;AL1708)+SUMIFS($AI$7:$AI$1843,$CC$7:$CC$1843,CC1708,$AL$7:$AL$1843,AL1708,$BT$7:$BT$1843,"&lt;="&amp;BT1708),"")</f>
        <v>32820.8832986693</v>
      </c>
      <c r="AN1708" s="58" t="n">
        <f aca="false">IF(AM1708="",0,MAX(0,MIN(1,(IF(CC1708="L1",Parameter!$H$5,IF(CC1708="L23",Parameter!$H$6+Parameter!$H$7,Parameter!$H$5+Parameter!$H$6+Parameter!$H$7))-(AM1708-AI1708))/AI1708)))</f>
        <v>1</v>
      </c>
      <c r="AO1708" s="50" t="n">
        <f aca="false">IF(LEFT(Cockpit!$I$5,1)="A",H1708,IF(CE1708=1,CF1708,IF(LEFT(Cockpit!$I$5,1)="B",AT1708,MAX(AT1708,H1708))))</f>
        <v>7</v>
      </c>
      <c r="AP1708" s="50" t="n">
        <f aca="false">IF(BW1708=1,0,ROUNDUP(AO1708/BV1708,0))</f>
        <v>2</v>
      </c>
      <c r="AQ1708" s="52" t="n">
        <f aca="false">IF(CL1708&gt;0,CL1708*MAX(1,AO1708/X1708),IF(BW1708=1,IF(AO1708&lt;=0,0,CA1708*MAX(1,IF(H1708&gt;0,AO1708/H1708,1))),IF(R1708&gt;0,AP1708/R1708,0))/MAX(0.1,N(Parameter!$M$21)))</f>
        <v>0.0384615384615385</v>
      </c>
      <c r="AR1708" s="50" t="n">
        <f aca="false">AQ1708*BY1708</f>
        <v>5.96153846153846</v>
      </c>
      <c r="AS1708" s="50" t="n">
        <f aca="false">AO1708*G1708</f>
        <v>126</v>
      </c>
      <c r="AT1708" s="50" t="n">
        <f aca="false">ROUNDUP(MAX(J1708/IF(CD1708&gt;0,CD1708,MAX(0.1,N(Cockpit!$I$6))),CG1708)/BV1708,0)*BV1708</f>
        <v>6</v>
      </c>
      <c r="AU1708" s="51" t="n">
        <f aca="false">IF(AR1708&gt;0,J1708/AR1708,-1)</f>
        <v>0</v>
      </c>
      <c r="AV1708" s="51" t="n">
        <f aca="false">IF(AND(OR(CC1708="L1",CC1708="L23",CC1708="LIFT"),AR1708&gt;0),SUMIFS($AR$7:$AR$1843,$CC$7:$CC$1843,CC1708,$AU$7:$AU$1843,"&gt;"&amp;AU1708)+SUMIFS($AR$7:$AR$1843,$CC$7:$CC$1843,CC1708,$AU$7:$AU$1843,AU1708,$BT$7:$BT$1843,"&lt;="&amp;BT1708),"")</f>
        <v>45499.6523716397</v>
      </c>
      <c r="AW1708" s="58" t="n">
        <f aca="false">IF(AV1708="",0,MAX(0,MIN(1,(IF(CC1708="L1",Parameter!$H$5,IF(CC1708="L23",Parameter!$H$6+Parameter!$H$7,Parameter!$H$5+Parameter!$H$6+Parameter!$H$7))-(AV1708-AR1708))/AR1708)))</f>
        <v>0</v>
      </c>
      <c r="AX1708" s="50" t="n">
        <f aca="false">IF(LEFT(Cockpit!$O$5,1)="A",H1708,IF(CE1708=1,CF1708,IF(LEFT(Cockpit!$O$5,1)="B",BC1708,MAX(BC1708,H1708))))</f>
        <v>7</v>
      </c>
      <c r="AY1708" s="50" t="n">
        <f aca="false">IF(BW1708=1,0,ROUNDUP(AX1708/BV1708,0))</f>
        <v>2</v>
      </c>
      <c r="AZ1708" s="52" t="n">
        <f aca="false">IF(CL1708&gt;0,CL1708*MAX(1,AX1708/X1708),IF(BW1708=1,IF(AX1708&lt;=0,0,CA1708*MAX(1,IF(H1708&gt;0,AX1708/H1708,1))),IF(R1708&gt;0,AY1708/R1708,0))/MAX(0.1,N(Parameter!$M$21)))</f>
        <v>0.0384615384615385</v>
      </c>
      <c r="BA1708" s="50" t="n">
        <f aca="false">AZ1708*BY1708</f>
        <v>5.96153846153846</v>
      </c>
      <c r="BB1708" s="50" t="n">
        <f aca="false">AX1708*G1708</f>
        <v>126</v>
      </c>
      <c r="BC1708" s="50" t="n">
        <f aca="false">ROUNDUP(MAX(J1708/IF(CD1708&gt;0,CD1708,MAX(0.1,N(Cockpit!$O$6))),CG1708)/BV1708,0)*BV1708</f>
        <v>6</v>
      </c>
      <c r="BD1708" s="51" t="n">
        <f aca="false">IF(BA1708&gt;0,J1708/BA1708,-1)</f>
        <v>0</v>
      </c>
      <c r="BE1708" s="51" t="n">
        <f aca="false">IF(AND(OR(CC1708="L1",CC1708="L23",CC1708="LIFT"),BA1708&gt;0),SUMIFS($BA$7:$BA$1843,$CC$7:$CC$1843,CC1708,$BD$7:$BD$1843,"&gt;"&amp;BD1708)+SUMIFS($BA$7:$BA$1843,$CC$7:$CC$1843,CC1708,$BD$7:$BD$1843,BD1708,$BT$7:$BT$1843,"&lt;="&amp;BT1708),"")</f>
        <v>42174.6644135055</v>
      </c>
      <c r="BF1708" s="58" t="n">
        <f aca="false">IF(BE1708="",0,MAX(0,MIN(1,(IF(CC1708="L1",Parameter!$H$5,IF(CC1708="L23",Parameter!$H$6+Parameter!$H$7,Parameter!$H$5+Parameter!$H$6+Parameter!$H$7))-(BE1708-BA1708))/BA1708)))</f>
        <v>0</v>
      </c>
      <c r="BG1708" s="48" t="str">
        <f aca="false">IF(AI1708&lt;=0,"",IF(CC1708="Aussen","Aussenlager",IF(CC1708="-","Nicht im Lift",IF(AN1708&gt;=1,"Lift",IF(AN1708&lt;=0,"Aussenlager","teilweise")))))</f>
        <v>Lift</v>
      </c>
      <c r="BH1708" s="48" t="str">
        <f aca="false">IF(AR1708&lt;=0,"",IF(CC1708="Aussen","Aussenlager",IF(CC1708="-","Nicht im Lift",IF(AW1708&gt;=1,"Lift",IF(AW1708&lt;=0,"Aussenlager","teilweise")))))</f>
        <v>Aussenlager</v>
      </c>
      <c r="BI1708" s="48" t="str">
        <f aca="false">IF(BA1708&lt;=0,"",IF(CC1708="Aussen","Aussenlager",IF(CC1708="-","Nicht im Lift",IF(BF1708&gt;=1,"Lift",IF(BF1708&lt;=0,"Aussenlager","teilweise")))))</f>
        <v>Aussenlager</v>
      </c>
      <c r="BJ1708" s="48" t="str">
        <f aca="false">IF(A1708="","",IF(BS1708=1,"Neu; ","")&amp;IF(AND(BS1708=0,BN1708&lt;0),"negativer Bestand (Export "&amp;BN1708&amp;"); ","")&amp;IF(J1708&lt;=0,"Kein Verbrauch; ","")&amp;IF(CL1708&gt;0,"Lift "&amp;W1708&amp;" lt. Liftbericht (Fach "&amp;X1708&amp;" Stk); ",IF(BX1708=1,"Gebinde geschätzt ("&amp;T1708&amp;"); ",IF(BW1708=1,"Lose – Tablare geschätzt; ","")))&amp;IF(H1708&gt;AT1708,"Überbestand "&amp;ROUND(H1708-AT1708,0)&amp;" Stk / CHF "&amp;ROUND((H1708-AT1708)*G1708,0)&amp;"; ","")&amp;IF(AND(CE1708=1,CF1708&lt;CG1708),"MAX &lt; MB+LG; ","")&amp;IF(AND(CK1708&gt;0,CJ1708*10&gt;CK1708),"zu hoch für Tablar; ","")&amp;IF(AND(BS1708=0,OR(CE1708=1,AA1708&lt;&gt;"",U1708&lt;&gt;"",V1708&lt;&gt;"",AB1708&lt;&gt;"")),"manuell übersteuert; ","")&amp;IF(AND(BW1708=0,R1708=0),"Gebinde unbekannt / Stellmass fehlt; ","")&amp;IF(AND(BW1708=0,N(V1708)&lt;=0,N(Q1708)&lt;=0),"Menge pro Gebinde fehlt (Ist = 1 Gebinde); ","")&amp;BR1708)</f>
        <v>Kein Verbrauch; Überbestand 1 Stk / CHF 18; nur im Artikelstamm (Bestand 23.06.2026); Neuer Art.</v>
      </c>
      <c r="BK1708" s="48"/>
      <c r="BL1708" s="48"/>
      <c r="BM1708" s="55"/>
      <c r="BN1708" s="50" t="n">
        <v>7</v>
      </c>
      <c r="BO1708" s="50" t="n">
        <v>0</v>
      </c>
      <c r="BP1708" s="49" t="n">
        <v>0</v>
      </c>
      <c r="BQ1708" s="50" t="n">
        <v>0</v>
      </c>
      <c r="BR1708" s="48" t="s">
        <v>2877</v>
      </c>
      <c r="BS1708" s="53" t="n">
        <v>0</v>
      </c>
      <c r="BT1708" s="53" t="n">
        <v>1708</v>
      </c>
      <c r="BU1708" s="48" t="str">
        <f aca="false">IF(U1708&lt;&gt;"",UPPER(TRIM(U1708)),IF(BX1708=1,UPPER(VLOOKUP(T1708,Parameter!$I$27:$K$29,2,0)),IF(P1708="","LOSE",P1708)))</f>
        <v>S33</v>
      </c>
      <c r="BV1708" s="50" t="n">
        <f aca="false">IF(BU1708="LOSE",1,IF(N(V1708)&gt;0,V1708,IF(BX1708=1,MAX(1,N(VLOOKUP(T1708,Parameter!$I$27:$K$29,3,0)),H1708,N(N1708)),IF(N(Q1708)&gt;0,Q1708,MAX(1,H1708)))))</f>
        <v>6</v>
      </c>
      <c r="BW1708" s="53" t="n">
        <f aca="false">IF(BU1708="LOSE",1,0)</f>
        <v>0</v>
      </c>
      <c r="BX1708" s="53" t="n">
        <f aca="false">IF(AND(U1708="",OR(P1708="",P1708="LOSE"),T1708&lt;&gt;"",N(S1708)&lt;=0,ISNUMBER(MATCH(T1708,Parameter!$I$27:$I$29,0))),1,0)</f>
        <v>0</v>
      </c>
      <c r="BY1708" s="53" t="n">
        <f aca="false">IF(CL1708&gt;0,INDEX(Parameter!$H$5:$H$7,W1708)/INDEX(Parameter!$E$5:$E$7,W1708),IF(AND(BW1708=0,N(IFERROR(VLOOKUP(BU1708,'Gebinde-Kategorie'!$A$5:$N$45,14,0),0))&gt;0),VLOOKUP(BU1708,'Gebinde-Kategorie'!$A$5:$N$45,14,0)*10+Parameter!$M$23,Parameter!$M$24))</f>
        <v>155</v>
      </c>
      <c r="BZ1708" s="48" t="str">
        <f aca="false">IF(AND(Parameter!$B$19="Ja",E1708&lt;&gt;"",ISNUMBER(MATCH(E1708,Parameter!$I$35:$I$52,0))),VLOOKUP(E1708,Parameter!$I$35:$J$52,2,0),IFERROR(VLOOKUP(D1708,Parameter!$A$35:$C$64,2,0),"Nein"))</f>
        <v>2+3</v>
      </c>
      <c r="CA1708" s="52" t="n">
        <f aca="false">IF(BW1708=0,0,IF(N(S1708)&gt;0,S1708,IFERROR(VLOOKUP(D1708,Parameter!$A$35:$C$64,3,0)+0,0)))</f>
        <v>0</v>
      </c>
      <c r="CB1708" s="48" t="n">
        <f aca="false">IF(AA1708&lt;&gt;"",AA1708,Z1708)</f>
        <v>3</v>
      </c>
      <c r="CC1708" s="48" t="str">
        <f aca="false">IF(OR(CB1708=1,CB1708=2,CB1708=3),IF(Parameter!$E$27="Ja","LIFT",IF(CB1708=1,"L1","L23")),IF(CB1708="Aussen","Aussen","-"))</f>
        <v>LIFT</v>
      </c>
      <c r="CD1708" s="59" t="n">
        <f aca="false">IF(N(AB1708)&gt;0,AB1708,0)</f>
        <v>0</v>
      </c>
      <c r="CE1708" s="53" t="n">
        <f aca="false">IF(ISNUMBER(AE1708),1,0)</f>
        <v>0</v>
      </c>
      <c r="CF1708" s="50" t="n">
        <f aca="false">N(AE1708)</f>
        <v>0</v>
      </c>
      <c r="CG1708" s="50" t="n">
        <f aca="false">N(M1708)+N(N1708)</f>
        <v>1</v>
      </c>
      <c r="CH1708" s="50" t="n">
        <f aca="false">ROUNDUP(H1708/BV1708,0)</f>
        <v>2</v>
      </c>
      <c r="CI1708" s="50" t="n">
        <f aca="false">ROUNDUP(CF1708/BV1708,0)</f>
        <v>0</v>
      </c>
      <c r="CJ1708" s="53" t="n">
        <f aca="false">IF(BW1708=1,0,IFERROR(VLOOKUP(BU1708,'Gebinde-Kategorie'!$A$5:$N$45,5,0)+0,0))</f>
        <v>8</v>
      </c>
      <c r="CK1708" s="53" t="n">
        <f aca="false">IFERROR(IF(OR(CB1708=1,CB1708=2,CB1708=3),N(INDEX(Parameter!$I$5:$I$7,CB1708)),0),0)</f>
        <v>0</v>
      </c>
      <c r="CL1708" s="52" t="n">
        <f aca="false">IF(AND(Parameter!$B$21="Ja",ISNUMBER(W1708),N(X1708)&gt;0),IFERROR(N(INDEX(Parameter!$L$5:$L$7,W1708))*INDEX(Parameter!$E$5:$E$7,W1708)*X1708/SUMIFS($X$7:$X$1843,$W$7:$W$1843,W1708),0),0)</f>
        <v>0</v>
      </c>
    </row>
    <row r="1709" customFormat="false" ht="15" hidden="false" customHeight="false" outlineLevel="0" collapsed="false">
      <c r="A1709" s="48" t="s">
        <v>2961</v>
      </c>
      <c r="B1709" s="48" t="s">
        <v>1026</v>
      </c>
      <c r="C1709" s="48" t="s">
        <v>168</v>
      </c>
      <c r="D1709" s="48" t="s">
        <v>188</v>
      </c>
      <c r="E1709" s="48"/>
      <c r="F1709" s="48"/>
      <c r="G1709" s="49" t="n">
        <v>3.72</v>
      </c>
      <c r="H1709" s="50" t="n">
        <f aca="false">MAX(0,IF(AND(Parameter!$B$21="Ja",ISNUMBER(Y1709)),Y1709,IF(Parameter!$B$20="Jahresanfang 2025 + Export",BO1709+BN1709,BN1709)))</f>
        <v>58</v>
      </c>
      <c r="I1709" s="50" t="n">
        <f aca="false">H1709*G1709</f>
        <v>215.76</v>
      </c>
      <c r="J1709" s="50" t="n">
        <f aca="false">BQ1709*Parameter!$B$18</f>
        <v>0</v>
      </c>
      <c r="K1709" s="51"/>
      <c r="L1709" s="52"/>
      <c r="M1709" s="50" t="n">
        <v>0</v>
      </c>
      <c r="N1709" s="50" t="n">
        <v>1</v>
      </c>
      <c r="O1709" s="53" t="n">
        <v>28</v>
      </c>
      <c r="P1709" s="48" t="s">
        <v>430</v>
      </c>
      <c r="Q1709" s="50" t="n">
        <v>30</v>
      </c>
      <c r="R1709" s="53" t="n">
        <f aca="false">IF(BW1709=1,0,IFERROR(VLOOKUP(BU1709,'Gebinde-Kategorie'!$A$5:$N$45,13,0)+0,0))</f>
        <v>140</v>
      </c>
      <c r="S1709" s="54"/>
      <c r="T1709" s="55"/>
      <c r="U1709" s="55"/>
      <c r="V1709" s="55"/>
      <c r="W1709" s="48"/>
      <c r="X1709" s="50"/>
      <c r="Y1709" s="50"/>
      <c r="Z1709" s="48" t="n">
        <f aca="false">IF(A1709="","",IF(AND(Parameter!$B$21="Ja",ISNUMBER(W1709)),W1709,IF(BZ1709="2+3",IF(ISNUMBER(SEARCH("grosser Artikel",BR1709)),2,IFERROR(VLOOKUP(BU1709,Parameter!$F$35:$G$64,2,0),2)),IF(OR(BZ1709="Nein",BZ1709=""),"-",BZ1709))))</f>
        <v>3</v>
      </c>
      <c r="AA1709" s="55"/>
      <c r="AB1709" s="56"/>
      <c r="AC1709" s="50" t="n">
        <f aca="false">AT1709</f>
        <v>30</v>
      </c>
      <c r="AD1709" s="50" t="n">
        <f aca="false">MAX(AT1709,H1709)</f>
        <v>58</v>
      </c>
      <c r="AE1709" s="57"/>
      <c r="AF1709" s="50" t="n">
        <f aca="false">IF(LEFT(Cockpit!$C$5,1)="A",H1709,IF(CE1709=1,CF1709,IF(LEFT(Cockpit!$C$5,1)="B",AK1709,MAX(AK1709,H1709))))</f>
        <v>58</v>
      </c>
      <c r="AG1709" s="50" t="n">
        <f aca="false">IF(BW1709=1,0,ROUNDUP(AF1709/BV1709,0))</f>
        <v>2</v>
      </c>
      <c r="AH1709" s="52" t="n">
        <f aca="false">IF(CL1709&gt;0,CL1709*MAX(1,AF1709/X1709),IF(BW1709=1,IF(AF1709&lt;=0,0,CA1709*MAX(1,IF(H1709&gt;0,AF1709/H1709,1))),IF(R1709&gt;0,AG1709/R1709,0))/MAX(0.1,N(Parameter!$M$21)))</f>
        <v>0.0142857142857143</v>
      </c>
      <c r="AI1709" s="50" t="n">
        <f aca="false">AH1709*BY1709</f>
        <v>2.21428571428571</v>
      </c>
      <c r="AJ1709" s="50" t="n">
        <f aca="false">AF1709*G1709</f>
        <v>215.76</v>
      </c>
      <c r="AK1709" s="50" t="n">
        <f aca="false">ROUNDUP(MAX(J1709/IF(CD1709&gt;0,CD1709,MAX(0.1,N(Cockpit!$C$6))),CG1709)/BV1709,0)*BV1709</f>
        <v>30</v>
      </c>
      <c r="AL1709" s="51" t="n">
        <f aca="false">IF(AI1709&gt;0,J1709/AI1709,-1)</f>
        <v>0</v>
      </c>
      <c r="AM1709" s="51" t="n">
        <f aca="false">IF(AND(OR(CC1709="L1",CC1709="L23",CC1709="LIFT"),AI1709&gt;0),SUMIFS($AI$7:$AI$1843,$CC$7:$CC$1843,CC1709,$AL$7:$AL$1843,"&gt;"&amp;AL1709)+SUMIFS($AI$7:$AI$1843,$CC$7:$CC$1843,CC1709,$AL$7:$AL$1843,AL1709,$BT$7:$BT$1843,"&lt;="&amp;BT1709),"")</f>
        <v>32823.0975843836</v>
      </c>
      <c r="AN1709" s="58" t="n">
        <f aca="false">IF(AM1709="",0,MAX(0,MIN(1,(IF(CC1709="L1",Parameter!$H$5,IF(CC1709="L23",Parameter!$H$6+Parameter!$H$7,Parameter!$H$5+Parameter!$H$6+Parameter!$H$7))-(AM1709-AI1709))/AI1709)))</f>
        <v>1</v>
      </c>
      <c r="AO1709" s="50" t="n">
        <f aca="false">IF(LEFT(Cockpit!$I$5,1)="A",H1709,IF(CE1709=1,CF1709,IF(LEFT(Cockpit!$I$5,1)="B",AT1709,MAX(AT1709,H1709))))</f>
        <v>58</v>
      </c>
      <c r="AP1709" s="50" t="n">
        <f aca="false">IF(BW1709=1,0,ROUNDUP(AO1709/BV1709,0))</f>
        <v>2</v>
      </c>
      <c r="AQ1709" s="52" t="n">
        <f aca="false">IF(CL1709&gt;0,CL1709*MAX(1,AO1709/X1709),IF(BW1709=1,IF(AO1709&lt;=0,0,CA1709*MAX(1,IF(H1709&gt;0,AO1709/H1709,1))),IF(R1709&gt;0,AP1709/R1709,0))/MAX(0.1,N(Parameter!$M$21)))</f>
        <v>0.0142857142857143</v>
      </c>
      <c r="AR1709" s="50" t="n">
        <f aca="false">AQ1709*BY1709</f>
        <v>2.21428571428571</v>
      </c>
      <c r="AS1709" s="50" t="n">
        <f aca="false">AO1709*G1709</f>
        <v>215.76</v>
      </c>
      <c r="AT1709" s="50" t="n">
        <f aca="false">ROUNDUP(MAX(J1709/IF(CD1709&gt;0,CD1709,MAX(0.1,N(Cockpit!$I$6))),CG1709)/BV1709,0)*BV1709</f>
        <v>30</v>
      </c>
      <c r="AU1709" s="51" t="n">
        <f aca="false">IF(AR1709&gt;0,J1709/AR1709,-1)</f>
        <v>0</v>
      </c>
      <c r="AV1709" s="51" t="n">
        <f aca="false">IF(AND(OR(CC1709="L1",CC1709="L23",CC1709="LIFT"),AR1709&gt;0),SUMIFS($AR$7:$AR$1843,$CC$7:$CC$1843,CC1709,$AU$7:$AU$1843,"&gt;"&amp;AU1709)+SUMIFS($AR$7:$AR$1843,$CC$7:$CC$1843,CC1709,$AU$7:$AU$1843,AU1709,$BT$7:$BT$1843,"&lt;="&amp;BT1709),"")</f>
        <v>45501.866657354</v>
      </c>
      <c r="AW1709" s="58" t="n">
        <f aca="false">IF(AV1709="",0,MAX(0,MIN(1,(IF(CC1709="L1",Parameter!$H$5,IF(CC1709="L23",Parameter!$H$6+Parameter!$H$7,Parameter!$H$5+Parameter!$H$6+Parameter!$H$7))-(AV1709-AR1709))/AR1709)))</f>
        <v>0</v>
      </c>
      <c r="AX1709" s="50" t="n">
        <f aca="false">IF(LEFT(Cockpit!$O$5,1)="A",H1709,IF(CE1709=1,CF1709,IF(LEFT(Cockpit!$O$5,1)="B",BC1709,MAX(BC1709,H1709))))</f>
        <v>58</v>
      </c>
      <c r="AY1709" s="50" t="n">
        <f aca="false">IF(BW1709=1,0,ROUNDUP(AX1709/BV1709,0))</f>
        <v>2</v>
      </c>
      <c r="AZ1709" s="52" t="n">
        <f aca="false">IF(CL1709&gt;0,CL1709*MAX(1,AX1709/X1709),IF(BW1709=1,IF(AX1709&lt;=0,0,CA1709*MAX(1,IF(H1709&gt;0,AX1709/H1709,1))),IF(R1709&gt;0,AY1709/R1709,0))/MAX(0.1,N(Parameter!$M$21)))</f>
        <v>0.0142857142857143</v>
      </c>
      <c r="BA1709" s="50" t="n">
        <f aca="false">AZ1709*BY1709</f>
        <v>2.21428571428571</v>
      </c>
      <c r="BB1709" s="50" t="n">
        <f aca="false">AX1709*G1709</f>
        <v>215.76</v>
      </c>
      <c r="BC1709" s="50" t="n">
        <f aca="false">ROUNDUP(MAX(J1709/IF(CD1709&gt;0,CD1709,MAX(0.1,N(Cockpit!$O$6))),CG1709)/BV1709,0)*BV1709</f>
        <v>30</v>
      </c>
      <c r="BD1709" s="51" t="n">
        <f aca="false">IF(BA1709&gt;0,J1709/BA1709,-1)</f>
        <v>0</v>
      </c>
      <c r="BE1709" s="51" t="n">
        <f aca="false">IF(AND(OR(CC1709="L1",CC1709="L23",CC1709="LIFT"),BA1709&gt;0),SUMIFS($BA$7:$BA$1843,$CC$7:$CC$1843,CC1709,$BD$7:$BD$1843,"&gt;"&amp;BD1709)+SUMIFS($BA$7:$BA$1843,$CC$7:$CC$1843,CC1709,$BD$7:$BD$1843,BD1709,$BT$7:$BT$1843,"&lt;="&amp;BT1709),"")</f>
        <v>42176.8786992198</v>
      </c>
      <c r="BF1709" s="58" t="n">
        <f aca="false">IF(BE1709="",0,MAX(0,MIN(1,(IF(CC1709="L1",Parameter!$H$5,IF(CC1709="L23",Parameter!$H$6+Parameter!$H$7,Parameter!$H$5+Parameter!$H$6+Parameter!$H$7))-(BE1709-BA1709))/BA1709)))</f>
        <v>0</v>
      </c>
      <c r="BG1709" s="48" t="str">
        <f aca="false">IF(AI1709&lt;=0,"",IF(CC1709="Aussen","Aussenlager",IF(CC1709="-","Nicht im Lift",IF(AN1709&gt;=1,"Lift",IF(AN1709&lt;=0,"Aussenlager","teilweise")))))</f>
        <v>Lift</v>
      </c>
      <c r="BH1709" s="48" t="str">
        <f aca="false">IF(AR1709&lt;=0,"",IF(CC1709="Aussen","Aussenlager",IF(CC1709="-","Nicht im Lift",IF(AW1709&gt;=1,"Lift",IF(AW1709&lt;=0,"Aussenlager","teilweise")))))</f>
        <v>Aussenlager</v>
      </c>
      <c r="BI1709" s="48" t="str">
        <f aca="false">IF(BA1709&lt;=0,"",IF(CC1709="Aussen","Aussenlager",IF(CC1709="-","Nicht im Lift",IF(BF1709&gt;=1,"Lift",IF(BF1709&lt;=0,"Aussenlager","teilweise")))))</f>
        <v>Aussenlager</v>
      </c>
      <c r="BJ1709" s="48" t="str">
        <f aca="false">IF(A1709="","",IF(BS1709=1,"Neu; ","")&amp;IF(AND(BS1709=0,BN1709&lt;0),"negativer Bestand (Export "&amp;BN1709&amp;"); ","")&amp;IF(J1709&lt;=0,"Kein Verbrauch; ","")&amp;IF(CL1709&gt;0,"Lift "&amp;W1709&amp;" lt. Liftbericht (Fach "&amp;X1709&amp;" Stk); ",IF(BX1709=1,"Gebinde geschätzt ("&amp;T1709&amp;"); ",IF(BW1709=1,"Lose – Tablare geschätzt; ","")))&amp;IF(H1709&gt;AT1709,"Überbestand "&amp;ROUND(H1709-AT1709,0)&amp;" Stk / CHF "&amp;ROUND((H1709-AT1709)*G1709,0)&amp;"; ","")&amp;IF(AND(CE1709=1,CF1709&lt;CG1709),"MAX &lt; MB+LG; ","")&amp;IF(AND(CK1709&gt;0,CJ1709*10&gt;CK1709),"zu hoch für Tablar; ","")&amp;IF(AND(BS1709=0,OR(CE1709=1,AA1709&lt;&gt;"",U1709&lt;&gt;"",V1709&lt;&gt;"",AB1709&lt;&gt;"")),"manuell übersteuert; ","")&amp;IF(AND(BW1709=0,R1709=0),"Gebinde unbekannt / Stellmass fehlt; ","")&amp;IF(AND(BW1709=0,N(V1709)&lt;=0,N(Q1709)&lt;=0),"Menge pro Gebinde fehlt (Ist = 1 Gebinde); ","")&amp;BR1709)</f>
        <v>Kein Verbrauch; Überbestand 28 Stk / CHF 104; nur im Artikelstamm (Bestand 23.06.2026)</v>
      </c>
      <c r="BK1709" s="48"/>
      <c r="BL1709" s="48"/>
      <c r="BM1709" s="55"/>
      <c r="BN1709" s="50" t="n">
        <v>58</v>
      </c>
      <c r="BO1709" s="50" t="n">
        <v>0</v>
      </c>
      <c r="BP1709" s="49" t="n">
        <v>0</v>
      </c>
      <c r="BQ1709" s="50" t="n">
        <v>0</v>
      </c>
      <c r="BR1709" s="48" t="s">
        <v>2579</v>
      </c>
      <c r="BS1709" s="53" t="n">
        <v>0</v>
      </c>
      <c r="BT1709" s="53" t="n">
        <v>1709</v>
      </c>
      <c r="BU1709" s="48" t="str">
        <f aca="false">IF(U1709&lt;&gt;"",UPPER(TRIM(U1709)),IF(BX1709=1,UPPER(VLOOKUP(T1709,Parameter!$I$27:$K$29,2,0)),IF(P1709="","LOSE",P1709)))</f>
        <v>S22</v>
      </c>
      <c r="BV1709" s="50" t="n">
        <f aca="false">IF(BU1709="LOSE",1,IF(N(V1709)&gt;0,V1709,IF(BX1709=1,MAX(1,N(VLOOKUP(T1709,Parameter!$I$27:$K$29,3,0)),H1709,N(N1709)),IF(N(Q1709)&gt;0,Q1709,MAX(1,H1709)))))</f>
        <v>30</v>
      </c>
      <c r="BW1709" s="53" t="n">
        <f aca="false">IF(BU1709="LOSE",1,0)</f>
        <v>0</v>
      </c>
      <c r="BX1709" s="53" t="n">
        <f aca="false">IF(AND(U1709="",OR(P1709="",P1709="LOSE"),T1709&lt;&gt;"",N(S1709)&lt;=0,ISNUMBER(MATCH(T1709,Parameter!$I$27:$I$29,0))),1,0)</f>
        <v>0</v>
      </c>
      <c r="BY1709" s="53" t="n">
        <f aca="false">IF(CL1709&gt;0,INDEX(Parameter!$H$5:$H$7,W1709)/INDEX(Parameter!$E$5:$E$7,W1709),IF(AND(BW1709=0,N(IFERROR(VLOOKUP(BU1709,'Gebinde-Kategorie'!$A$5:$N$45,14,0),0))&gt;0),VLOOKUP(BU1709,'Gebinde-Kategorie'!$A$5:$N$45,14,0)*10+Parameter!$M$23,Parameter!$M$24))</f>
        <v>155</v>
      </c>
      <c r="BZ1709" s="48" t="str">
        <f aca="false">IF(AND(Parameter!$B$19="Ja",E1709&lt;&gt;"",ISNUMBER(MATCH(E1709,Parameter!$I$35:$I$52,0))),VLOOKUP(E1709,Parameter!$I$35:$J$52,2,0),IFERROR(VLOOKUP(D1709,Parameter!$A$35:$C$64,2,0),"Nein"))</f>
        <v>2+3</v>
      </c>
      <c r="CA1709" s="52" t="n">
        <f aca="false">IF(BW1709=0,0,IF(N(S1709)&gt;0,S1709,IFERROR(VLOOKUP(D1709,Parameter!$A$35:$C$64,3,0)+0,0)))</f>
        <v>0</v>
      </c>
      <c r="CB1709" s="48" t="n">
        <f aca="false">IF(AA1709&lt;&gt;"",AA1709,Z1709)</f>
        <v>3</v>
      </c>
      <c r="CC1709" s="48" t="str">
        <f aca="false">IF(OR(CB1709=1,CB1709=2,CB1709=3),IF(Parameter!$E$27="Ja","LIFT",IF(CB1709=1,"L1","L23")),IF(CB1709="Aussen","Aussen","-"))</f>
        <v>LIFT</v>
      </c>
      <c r="CD1709" s="59" t="n">
        <f aca="false">IF(N(AB1709)&gt;0,AB1709,0)</f>
        <v>0</v>
      </c>
      <c r="CE1709" s="53" t="n">
        <f aca="false">IF(ISNUMBER(AE1709),1,0)</f>
        <v>0</v>
      </c>
      <c r="CF1709" s="50" t="n">
        <f aca="false">N(AE1709)</f>
        <v>0</v>
      </c>
      <c r="CG1709" s="50" t="n">
        <f aca="false">N(M1709)+N(N1709)</f>
        <v>1</v>
      </c>
      <c r="CH1709" s="50" t="n">
        <f aca="false">ROUNDUP(H1709/BV1709,0)</f>
        <v>2</v>
      </c>
      <c r="CI1709" s="50" t="n">
        <f aca="false">ROUNDUP(CF1709/BV1709,0)</f>
        <v>0</v>
      </c>
      <c r="CJ1709" s="53" t="n">
        <f aca="false">IF(BW1709=1,0,IFERROR(VLOOKUP(BU1709,'Gebinde-Kategorie'!$A$5:$N$45,5,0)+0,0))</f>
        <v>8</v>
      </c>
      <c r="CK1709" s="53" t="n">
        <f aca="false">IFERROR(IF(OR(CB1709=1,CB1709=2,CB1709=3),N(INDEX(Parameter!$I$5:$I$7,CB1709)),0),0)</f>
        <v>0</v>
      </c>
      <c r="CL1709" s="52" t="n">
        <f aca="false">IF(AND(Parameter!$B$21="Ja",ISNUMBER(W1709),N(X1709)&gt;0),IFERROR(N(INDEX(Parameter!$L$5:$L$7,W1709))*INDEX(Parameter!$E$5:$E$7,W1709)*X1709/SUMIFS($X$7:$X$1843,$W$7:$W$1843,W1709),0),0)</f>
        <v>0</v>
      </c>
    </row>
    <row r="1710" customFormat="false" ht="15" hidden="false" customHeight="false" outlineLevel="0" collapsed="false">
      <c r="A1710" s="48" t="s">
        <v>2962</v>
      </c>
      <c r="B1710" s="48" t="s">
        <v>2963</v>
      </c>
      <c r="C1710" s="48" t="s">
        <v>168</v>
      </c>
      <c r="D1710" s="48" t="s">
        <v>188</v>
      </c>
      <c r="E1710" s="48"/>
      <c r="F1710" s="48"/>
      <c r="G1710" s="49" t="n">
        <v>36.4</v>
      </c>
      <c r="H1710" s="50" t="n">
        <f aca="false">MAX(0,IF(AND(Parameter!$B$21="Ja",ISNUMBER(Y1710)),Y1710,IF(Parameter!$B$20="Jahresanfang 2025 + Export",BO1710+BN1710,BN1710)))</f>
        <v>1</v>
      </c>
      <c r="I1710" s="50" t="n">
        <f aca="false">H1710*G1710</f>
        <v>36.4</v>
      </c>
      <c r="J1710" s="50" t="n">
        <f aca="false">BQ1710*Parameter!$B$18</f>
        <v>0</v>
      </c>
      <c r="K1710" s="51"/>
      <c r="L1710" s="52"/>
      <c r="M1710" s="50" t="n">
        <v>0</v>
      </c>
      <c r="N1710" s="50" t="n">
        <v>6</v>
      </c>
      <c r="O1710" s="53" t="n">
        <v>0</v>
      </c>
      <c r="P1710" s="48" t="s">
        <v>430</v>
      </c>
      <c r="Q1710" s="50" t="n">
        <v>2</v>
      </c>
      <c r="R1710" s="53" t="n">
        <f aca="false">IF(BW1710=1,0,IFERROR(VLOOKUP(BU1710,'Gebinde-Kategorie'!$A$5:$N$45,13,0)+0,0))</f>
        <v>140</v>
      </c>
      <c r="S1710" s="54"/>
      <c r="T1710" s="55"/>
      <c r="U1710" s="55"/>
      <c r="V1710" s="55"/>
      <c r="W1710" s="48"/>
      <c r="X1710" s="50"/>
      <c r="Y1710" s="50"/>
      <c r="Z1710" s="48" t="n">
        <f aca="false">IF(A1710="","",IF(AND(Parameter!$B$21="Ja",ISNUMBER(W1710)),W1710,IF(BZ1710="2+3",IF(ISNUMBER(SEARCH("grosser Artikel",BR1710)),2,IFERROR(VLOOKUP(BU1710,Parameter!$F$35:$G$64,2,0),2)),IF(OR(BZ1710="Nein",BZ1710=""),"-",BZ1710))))</f>
        <v>3</v>
      </c>
      <c r="AA1710" s="55"/>
      <c r="AB1710" s="56"/>
      <c r="AC1710" s="50" t="n">
        <f aca="false">AT1710</f>
        <v>6</v>
      </c>
      <c r="AD1710" s="50" t="n">
        <f aca="false">MAX(AT1710,H1710)</f>
        <v>6</v>
      </c>
      <c r="AE1710" s="57"/>
      <c r="AF1710" s="50" t="n">
        <f aca="false">IF(LEFT(Cockpit!$C$5,1)="A",H1710,IF(CE1710=1,CF1710,IF(LEFT(Cockpit!$C$5,1)="B",AK1710,MAX(AK1710,H1710))))</f>
        <v>1</v>
      </c>
      <c r="AG1710" s="50" t="n">
        <f aca="false">IF(BW1710=1,0,ROUNDUP(AF1710/BV1710,0))</f>
        <v>1</v>
      </c>
      <c r="AH1710" s="52" t="n">
        <f aca="false">IF(CL1710&gt;0,CL1710*MAX(1,AF1710/X1710),IF(BW1710=1,IF(AF1710&lt;=0,0,CA1710*MAX(1,IF(H1710&gt;0,AF1710/H1710,1))),IF(R1710&gt;0,AG1710/R1710,0))/MAX(0.1,N(Parameter!$M$21)))</f>
        <v>0.00714285714285714</v>
      </c>
      <c r="AI1710" s="50" t="n">
        <f aca="false">AH1710*BY1710</f>
        <v>1.10714285714286</v>
      </c>
      <c r="AJ1710" s="50" t="n">
        <f aca="false">AF1710*G1710</f>
        <v>36.4</v>
      </c>
      <c r="AK1710" s="50" t="n">
        <f aca="false">ROUNDUP(MAX(J1710/IF(CD1710&gt;0,CD1710,MAX(0.1,N(Cockpit!$C$6))),CG1710)/BV1710,0)*BV1710</f>
        <v>6</v>
      </c>
      <c r="AL1710" s="51" t="n">
        <f aca="false">IF(AI1710&gt;0,J1710/AI1710,-1)</f>
        <v>0</v>
      </c>
      <c r="AM1710" s="51" t="n">
        <f aca="false">IF(AND(OR(CC1710="L1",CC1710="L23",CC1710="LIFT"),AI1710&gt;0),SUMIFS($AI$7:$AI$1843,$CC$7:$CC$1843,CC1710,$AL$7:$AL$1843,"&gt;"&amp;AL1710)+SUMIFS($AI$7:$AI$1843,$CC$7:$CC$1843,CC1710,$AL$7:$AL$1843,AL1710,$BT$7:$BT$1843,"&lt;="&amp;BT1710),"")</f>
        <v>32824.2047272407</v>
      </c>
      <c r="AN1710" s="58" t="n">
        <f aca="false">IF(AM1710="",0,MAX(0,MIN(1,(IF(CC1710="L1",Parameter!$H$5,IF(CC1710="L23",Parameter!$H$6+Parameter!$H$7,Parameter!$H$5+Parameter!$H$6+Parameter!$H$7))-(AM1710-AI1710))/AI1710)))</f>
        <v>1</v>
      </c>
      <c r="AO1710" s="50" t="n">
        <f aca="false">IF(LEFT(Cockpit!$I$5,1)="A",H1710,IF(CE1710=1,CF1710,IF(LEFT(Cockpit!$I$5,1)="B",AT1710,MAX(AT1710,H1710))))</f>
        <v>6</v>
      </c>
      <c r="AP1710" s="50" t="n">
        <f aca="false">IF(BW1710=1,0,ROUNDUP(AO1710/BV1710,0))</f>
        <v>3</v>
      </c>
      <c r="AQ1710" s="52" t="n">
        <f aca="false">IF(CL1710&gt;0,CL1710*MAX(1,AO1710/X1710),IF(BW1710=1,IF(AO1710&lt;=0,0,CA1710*MAX(1,IF(H1710&gt;0,AO1710/H1710,1))),IF(R1710&gt;0,AP1710/R1710,0))/MAX(0.1,N(Parameter!$M$21)))</f>
        <v>0.0214285714285714</v>
      </c>
      <c r="AR1710" s="50" t="n">
        <f aca="false">AQ1710*BY1710</f>
        <v>3.32142857142857</v>
      </c>
      <c r="AS1710" s="50" t="n">
        <f aca="false">AO1710*G1710</f>
        <v>218.4</v>
      </c>
      <c r="AT1710" s="50" t="n">
        <f aca="false">ROUNDUP(MAX(J1710/IF(CD1710&gt;0,CD1710,MAX(0.1,N(Cockpit!$I$6))),CG1710)/BV1710,0)*BV1710</f>
        <v>6</v>
      </c>
      <c r="AU1710" s="51" t="n">
        <f aca="false">IF(AR1710&gt;0,J1710/AR1710,-1)</f>
        <v>0</v>
      </c>
      <c r="AV1710" s="51" t="n">
        <f aca="false">IF(AND(OR(CC1710="L1",CC1710="L23",CC1710="LIFT"),AR1710&gt;0),SUMIFS($AR$7:$AR$1843,$CC$7:$CC$1843,CC1710,$AU$7:$AU$1843,"&gt;"&amp;AU1710)+SUMIFS($AR$7:$AR$1843,$CC$7:$CC$1843,CC1710,$AU$7:$AU$1843,AU1710,$BT$7:$BT$1843,"&lt;="&amp;BT1710),"")</f>
        <v>45505.1880859254</v>
      </c>
      <c r="AW1710" s="58" t="n">
        <f aca="false">IF(AV1710="",0,MAX(0,MIN(1,(IF(CC1710="L1",Parameter!$H$5,IF(CC1710="L23",Parameter!$H$6+Parameter!$H$7,Parameter!$H$5+Parameter!$H$6+Parameter!$H$7))-(AV1710-AR1710))/AR1710)))</f>
        <v>0</v>
      </c>
      <c r="AX1710" s="50" t="n">
        <f aca="false">IF(LEFT(Cockpit!$O$5,1)="A",H1710,IF(CE1710=1,CF1710,IF(LEFT(Cockpit!$O$5,1)="B",BC1710,MAX(BC1710,H1710))))</f>
        <v>6</v>
      </c>
      <c r="AY1710" s="50" t="n">
        <f aca="false">IF(BW1710=1,0,ROUNDUP(AX1710/BV1710,0))</f>
        <v>3</v>
      </c>
      <c r="AZ1710" s="52" t="n">
        <f aca="false">IF(CL1710&gt;0,CL1710*MAX(1,AX1710/X1710),IF(BW1710=1,IF(AX1710&lt;=0,0,CA1710*MAX(1,IF(H1710&gt;0,AX1710/H1710,1))),IF(R1710&gt;0,AY1710/R1710,0))/MAX(0.1,N(Parameter!$M$21)))</f>
        <v>0.0214285714285714</v>
      </c>
      <c r="BA1710" s="50" t="n">
        <f aca="false">AZ1710*BY1710</f>
        <v>3.32142857142857</v>
      </c>
      <c r="BB1710" s="50" t="n">
        <f aca="false">AX1710*G1710</f>
        <v>218.4</v>
      </c>
      <c r="BC1710" s="50" t="n">
        <f aca="false">ROUNDUP(MAX(J1710/IF(CD1710&gt;0,CD1710,MAX(0.1,N(Cockpit!$O$6))),CG1710)/BV1710,0)*BV1710</f>
        <v>6</v>
      </c>
      <c r="BD1710" s="51" t="n">
        <f aca="false">IF(BA1710&gt;0,J1710/BA1710,-1)</f>
        <v>0</v>
      </c>
      <c r="BE1710" s="51" t="n">
        <f aca="false">IF(AND(OR(CC1710="L1",CC1710="L23",CC1710="LIFT"),BA1710&gt;0),SUMIFS($BA$7:$BA$1843,$CC$7:$CC$1843,CC1710,$BD$7:$BD$1843,"&gt;"&amp;BD1710)+SUMIFS($BA$7:$BA$1843,$CC$7:$CC$1843,CC1710,$BD$7:$BD$1843,BD1710,$BT$7:$BT$1843,"&lt;="&amp;BT1710),"")</f>
        <v>42180.2001277912</v>
      </c>
      <c r="BF1710" s="58" t="n">
        <f aca="false">IF(BE1710="",0,MAX(0,MIN(1,(IF(CC1710="L1",Parameter!$H$5,IF(CC1710="L23",Parameter!$H$6+Parameter!$H$7,Parameter!$H$5+Parameter!$H$6+Parameter!$H$7))-(BE1710-BA1710))/BA1710)))</f>
        <v>0</v>
      </c>
      <c r="BG1710" s="48" t="str">
        <f aca="false">IF(AI1710&lt;=0,"",IF(CC1710="Aussen","Aussenlager",IF(CC1710="-","Nicht im Lift",IF(AN1710&gt;=1,"Lift",IF(AN1710&lt;=0,"Aussenlager","teilweise")))))</f>
        <v>Lift</v>
      </c>
      <c r="BH1710" s="48" t="str">
        <f aca="false">IF(AR1710&lt;=0,"",IF(CC1710="Aussen","Aussenlager",IF(CC1710="-","Nicht im Lift",IF(AW1710&gt;=1,"Lift",IF(AW1710&lt;=0,"Aussenlager","teilweise")))))</f>
        <v>Aussenlager</v>
      </c>
      <c r="BI1710" s="48" t="str">
        <f aca="false">IF(BA1710&lt;=0,"",IF(CC1710="Aussen","Aussenlager",IF(CC1710="-","Nicht im Lift",IF(BF1710&gt;=1,"Lift",IF(BF1710&lt;=0,"Aussenlager","teilweise")))))</f>
        <v>Aussenlager</v>
      </c>
      <c r="BJ1710" s="48" t="str">
        <f aca="false">IF(A1710="","",IF(BS1710=1,"Neu; ","")&amp;IF(AND(BS1710=0,BN1710&lt;0),"negativer Bestand (Export "&amp;BN1710&amp;"); ","")&amp;IF(J1710&lt;=0,"Kein Verbrauch; ","")&amp;IF(CL1710&gt;0,"Lift "&amp;W1710&amp;" lt. Liftbericht (Fach "&amp;X1710&amp;" Stk); ",IF(BX1710=1,"Gebinde geschätzt ("&amp;T1710&amp;"); ",IF(BW1710=1,"Lose – Tablare geschätzt; ","")))&amp;IF(H1710&gt;AT1710,"Überbestand "&amp;ROUND(H1710-AT1710,0)&amp;" Stk / CHF "&amp;ROUND((H1710-AT1710)*G1710,0)&amp;"; ","")&amp;IF(AND(CE1710=1,CF1710&lt;CG1710),"MAX &lt; MB+LG; ","")&amp;IF(AND(CK1710&gt;0,CJ1710*10&gt;CK1710),"zu hoch für Tablar; ","")&amp;IF(AND(BS1710=0,OR(CE1710=1,AA1710&lt;&gt;"",U1710&lt;&gt;"",V1710&lt;&gt;"",AB1710&lt;&gt;"")),"manuell übersteuert; ","")&amp;IF(AND(BW1710=0,R1710=0),"Gebinde unbekannt / Stellmass fehlt; ","")&amp;IF(AND(BW1710=0,N(V1710)&lt;=0,N(Q1710)&lt;=0),"Menge pro Gebinde fehlt (Ist = 1 Gebinde); ","")&amp;BR1710)</f>
        <v>Kein Verbrauch; nur im Artikelstamm (Bestand 23.06.2026); i.o</v>
      </c>
      <c r="BK1710" s="48"/>
      <c r="BL1710" s="48"/>
      <c r="BM1710" s="55"/>
      <c r="BN1710" s="50" t="n">
        <v>1</v>
      </c>
      <c r="BO1710" s="50" t="n">
        <v>0</v>
      </c>
      <c r="BP1710" s="49" t="n">
        <v>0</v>
      </c>
      <c r="BQ1710" s="50" t="n">
        <v>0</v>
      </c>
      <c r="BR1710" s="48" t="s">
        <v>2964</v>
      </c>
      <c r="BS1710" s="53" t="n">
        <v>0</v>
      </c>
      <c r="BT1710" s="53" t="n">
        <v>1710</v>
      </c>
      <c r="BU1710" s="48" t="str">
        <f aca="false">IF(U1710&lt;&gt;"",UPPER(TRIM(U1710)),IF(BX1710=1,UPPER(VLOOKUP(T1710,Parameter!$I$27:$K$29,2,0)),IF(P1710="","LOSE",P1710)))</f>
        <v>S22</v>
      </c>
      <c r="BV1710" s="50" t="n">
        <f aca="false">IF(BU1710="LOSE",1,IF(N(V1710)&gt;0,V1710,IF(BX1710=1,MAX(1,N(VLOOKUP(T1710,Parameter!$I$27:$K$29,3,0)),H1710,N(N1710)),IF(N(Q1710)&gt;0,Q1710,MAX(1,H1710)))))</f>
        <v>2</v>
      </c>
      <c r="BW1710" s="53" t="n">
        <f aca="false">IF(BU1710="LOSE",1,0)</f>
        <v>0</v>
      </c>
      <c r="BX1710" s="53" t="n">
        <f aca="false">IF(AND(U1710="",OR(P1710="",P1710="LOSE"),T1710&lt;&gt;"",N(S1710)&lt;=0,ISNUMBER(MATCH(T1710,Parameter!$I$27:$I$29,0))),1,0)</f>
        <v>0</v>
      </c>
      <c r="BY1710" s="53" t="n">
        <f aca="false">IF(CL1710&gt;0,INDEX(Parameter!$H$5:$H$7,W1710)/INDEX(Parameter!$E$5:$E$7,W1710),IF(AND(BW1710=0,N(IFERROR(VLOOKUP(BU1710,'Gebinde-Kategorie'!$A$5:$N$45,14,0),0))&gt;0),VLOOKUP(BU1710,'Gebinde-Kategorie'!$A$5:$N$45,14,0)*10+Parameter!$M$23,Parameter!$M$24))</f>
        <v>155</v>
      </c>
      <c r="BZ1710" s="48" t="str">
        <f aca="false">IF(AND(Parameter!$B$19="Ja",E1710&lt;&gt;"",ISNUMBER(MATCH(E1710,Parameter!$I$35:$I$52,0))),VLOOKUP(E1710,Parameter!$I$35:$J$52,2,0),IFERROR(VLOOKUP(D1710,Parameter!$A$35:$C$64,2,0),"Nein"))</f>
        <v>2+3</v>
      </c>
      <c r="CA1710" s="52" t="n">
        <f aca="false">IF(BW1710=0,0,IF(N(S1710)&gt;0,S1710,IFERROR(VLOOKUP(D1710,Parameter!$A$35:$C$64,3,0)+0,0)))</f>
        <v>0</v>
      </c>
      <c r="CB1710" s="48" t="n">
        <f aca="false">IF(AA1710&lt;&gt;"",AA1710,Z1710)</f>
        <v>3</v>
      </c>
      <c r="CC1710" s="48" t="str">
        <f aca="false">IF(OR(CB1710=1,CB1710=2,CB1710=3),IF(Parameter!$E$27="Ja","LIFT",IF(CB1710=1,"L1","L23")),IF(CB1710="Aussen","Aussen","-"))</f>
        <v>LIFT</v>
      </c>
      <c r="CD1710" s="59" t="n">
        <f aca="false">IF(N(AB1710)&gt;0,AB1710,0)</f>
        <v>0</v>
      </c>
      <c r="CE1710" s="53" t="n">
        <f aca="false">IF(ISNUMBER(AE1710),1,0)</f>
        <v>0</v>
      </c>
      <c r="CF1710" s="50" t="n">
        <f aca="false">N(AE1710)</f>
        <v>0</v>
      </c>
      <c r="CG1710" s="50" t="n">
        <f aca="false">N(M1710)+N(N1710)</f>
        <v>6</v>
      </c>
      <c r="CH1710" s="50" t="n">
        <f aca="false">ROUNDUP(H1710/BV1710,0)</f>
        <v>1</v>
      </c>
      <c r="CI1710" s="50" t="n">
        <f aca="false">ROUNDUP(CF1710/BV1710,0)</f>
        <v>0</v>
      </c>
      <c r="CJ1710" s="53" t="n">
        <f aca="false">IF(BW1710=1,0,IFERROR(VLOOKUP(BU1710,'Gebinde-Kategorie'!$A$5:$N$45,5,0)+0,0))</f>
        <v>8</v>
      </c>
      <c r="CK1710" s="53" t="n">
        <f aca="false">IFERROR(IF(OR(CB1710=1,CB1710=2,CB1710=3),N(INDEX(Parameter!$I$5:$I$7,CB1710)),0),0)</f>
        <v>0</v>
      </c>
      <c r="CL1710" s="52" t="n">
        <f aca="false">IF(AND(Parameter!$B$21="Ja",ISNUMBER(W1710),N(X1710)&gt;0),IFERROR(N(INDEX(Parameter!$L$5:$L$7,W1710))*INDEX(Parameter!$E$5:$E$7,W1710)*X1710/SUMIFS($X$7:$X$1843,$W$7:$W$1843,W1710),0),0)</f>
        <v>0</v>
      </c>
    </row>
    <row r="1711" customFormat="false" ht="15" hidden="false" customHeight="false" outlineLevel="0" collapsed="false">
      <c r="A1711" s="48" t="s">
        <v>2965</v>
      </c>
      <c r="B1711" s="48" t="s">
        <v>2966</v>
      </c>
      <c r="C1711" s="48" t="s">
        <v>168</v>
      </c>
      <c r="D1711" s="48" t="s">
        <v>188</v>
      </c>
      <c r="E1711" s="48"/>
      <c r="F1711" s="48"/>
      <c r="G1711" s="49" t="n">
        <v>85.5</v>
      </c>
      <c r="H1711" s="50" t="n">
        <f aca="false">MAX(0,IF(AND(Parameter!$B$21="Ja",ISNUMBER(Y1711)),Y1711,IF(Parameter!$B$20="Jahresanfang 2025 + Export",BO1711+BN1711,BN1711)))</f>
        <v>22</v>
      </c>
      <c r="I1711" s="50" t="n">
        <f aca="false">H1711*G1711</f>
        <v>1881</v>
      </c>
      <c r="J1711" s="50" t="n">
        <f aca="false">BQ1711*Parameter!$B$18</f>
        <v>0</v>
      </c>
      <c r="K1711" s="51"/>
      <c r="L1711" s="52"/>
      <c r="M1711" s="50" t="n">
        <v>0</v>
      </c>
      <c r="N1711" s="50" t="n">
        <v>3</v>
      </c>
      <c r="O1711" s="53" t="n">
        <v>14</v>
      </c>
      <c r="P1711" s="48" t="s">
        <v>425</v>
      </c>
      <c r="Q1711" s="50" t="n">
        <v>22</v>
      </c>
      <c r="R1711" s="53" t="n">
        <f aca="false">IF(BW1711=1,0,IFERROR(VLOOKUP(BU1711,'Gebinde-Kategorie'!$A$5:$N$45,13,0)+0,0))</f>
        <v>104</v>
      </c>
      <c r="S1711" s="54"/>
      <c r="T1711" s="55"/>
      <c r="U1711" s="55"/>
      <c r="V1711" s="55"/>
      <c r="W1711" s="48"/>
      <c r="X1711" s="50"/>
      <c r="Y1711" s="50"/>
      <c r="Z1711" s="48" t="n">
        <f aca="false">IF(A1711="","",IF(AND(Parameter!$B$21="Ja",ISNUMBER(W1711)),W1711,IF(BZ1711="2+3",IF(ISNUMBER(SEARCH("grosser Artikel",BR1711)),2,IFERROR(VLOOKUP(BU1711,Parameter!$F$35:$G$64,2,0),2)),IF(OR(BZ1711="Nein",BZ1711=""),"-",BZ1711))))</f>
        <v>3</v>
      </c>
      <c r="AA1711" s="55"/>
      <c r="AB1711" s="56"/>
      <c r="AC1711" s="50" t="n">
        <f aca="false">AT1711</f>
        <v>22</v>
      </c>
      <c r="AD1711" s="50" t="n">
        <f aca="false">MAX(AT1711,H1711)</f>
        <v>22</v>
      </c>
      <c r="AE1711" s="57"/>
      <c r="AF1711" s="50" t="n">
        <f aca="false">IF(LEFT(Cockpit!$C$5,1)="A",H1711,IF(CE1711=1,CF1711,IF(LEFT(Cockpit!$C$5,1)="B",AK1711,MAX(AK1711,H1711))))</f>
        <v>22</v>
      </c>
      <c r="AG1711" s="50" t="n">
        <f aca="false">IF(BW1711=1,0,ROUNDUP(AF1711/BV1711,0))</f>
        <v>1</v>
      </c>
      <c r="AH1711" s="52" t="n">
        <f aca="false">IF(CL1711&gt;0,CL1711*MAX(1,AF1711/X1711),IF(BW1711=1,IF(AF1711&lt;=0,0,CA1711*MAX(1,IF(H1711&gt;0,AF1711/H1711,1))),IF(R1711&gt;0,AG1711/R1711,0))/MAX(0.1,N(Parameter!$M$21)))</f>
        <v>0.00961538461538462</v>
      </c>
      <c r="AI1711" s="50" t="n">
        <f aca="false">AH1711*BY1711</f>
        <v>1.49038461538462</v>
      </c>
      <c r="AJ1711" s="50" t="n">
        <f aca="false">AF1711*G1711</f>
        <v>1881</v>
      </c>
      <c r="AK1711" s="50" t="n">
        <f aca="false">ROUNDUP(MAX(J1711/IF(CD1711&gt;0,CD1711,MAX(0.1,N(Cockpit!$C$6))),CG1711)/BV1711,0)*BV1711</f>
        <v>22</v>
      </c>
      <c r="AL1711" s="51" t="n">
        <f aca="false">IF(AI1711&gt;0,J1711/AI1711,-1)</f>
        <v>0</v>
      </c>
      <c r="AM1711" s="51" t="n">
        <f aca="false">IF(AND(OR(CC1711="L1",CC1711="L23",CC1711="LIFT"),AI1711&gt;0),SUMIFS($AI$7:$AI$1843,$CC$7:$CC$1843,CC1711,$AL$7:$AL$1843,"&gt;"&amp;AL1711)+SUMIFS($AI$7:$AI$1843,$CC$7:$CC$1843,CC1711,$AL$7:$AL$1843,AL1711,$BT$7:$BT$1843,"&lt;="&amp;BT1711),"")</f>
        <v>32825.6951118561</v>
      </c>
      <c r="AN1711" s="58" t="n">
        <f aca="false">IF(AM1711="",0,MAX(0,MIN(1,(IF(CC1711="L1",Parameter!$H$5,IF(CC1711="L23",Parameter!$H$6+Parameter!$H$7,Parameter!$H$5+Parameter!$H$6+Parameter!$H$7))-(AM1711-AI1711))/AI1711)))</f>
        <v>1</v>
      </c>
      <c r="AO1711" s="50" t="n">
        <f aca="false">IF(LEFT(Cockpit!$I$5,1)="A",H1711,IF(CE1711=1,CF1711,IF(LEFT(Cockpit!$I$5,1)="B",AT1711,MAX(AT1711,H1711))))</f>
        <v>22</v>
      </c>
      <c r="AP1711" s="50" t="n">
        <f aca="false">IF(BW1711=1,0,ROUNDUP(AO1711/BV1711,0))</f>
        <v>1</v>
      </c>
      <c r="AQ1711" s="52" t="n">
        <f aca="false">IF(CL1711&gt;0,CL1711*MAX(1,AO1711/X1711),IF(BW1711=1,IF(AO1711&lt;=0,0,CA1711*MAX(1,IF(H1711&gt;0,AO1711/H1711,1))),IF(R1711&gt;0,AP1711/R1711,0))/MAX(0.1,N(Parameter!$M$21)))</f>
        <v>0.00961538461538462</v>
      </c>
      <c r="AR1711" s="50" t="n">
        <f aca="false">AQ1711*BY1711</f>
        <v>1.49038461538462</v>
      </c>
      <c r="AS1711" s="50" t="n">
        <f aca="false">AO1711*G1711</f>
        <v>1881</v>
      </c>
      <c r="AT1711" s="50" t="n">
        <f aca="false">ROUNDUP(MAX(J1711/IF(CD1711&gt;0,CD1711,MAX(0.1,N(Cockpit!$I$6))),CG1711)/BV1711,0)*BV1711</f>
        <v>22</v>
      </c>
      <c r="AU1711" s="51" t="n">
        <f aca="false">IF(AR1711&gt;0,J1711/AR1711,-1)</f>
        <v>0</v>
      </c>
      <c r="AV1711" s="51" t="n">
        <f aca="false">IF(AND(OR(CC1711="L1",CC1711="L23",CC1711="LIFT"),AR1711&gt;0),SUMIFS($AR$7:$AR$1843,$CC$7:$CC$1843,CC1711,$AU$7:$AU$1843,"&gt;"&amp;AU1711)+SUMIFS($AR$7:$AR$1843,$CC$7:$CC$1843,CC1711,$AU$7:$AU$1843,AU1711,$BT$7:$BT$1843,"&lt;="&amp;BT1711),"")</f>
        <v>45506.6784705408</v>
      </c>
      <c r="AW1711" s="58" t="n">
        <f aca="false">IF(AV1711="",0,MAX(0,MIN(1,(IF(CC1711="L1",Parameter!$H$5,IF(CC1711="L23",Parameter!$H$6+Parameter!$H$7,Parameter!$H$5+Parameter!$H$6+Parameter!$H$7))-(AV1711-AR1711))/AR1711)))</f>
        <v>0</v>
      </c>
      <c r="AX1711" s="50" t="n">
        <f aca="false">IF(LEFT(Cockpit!$O$5,1)="A",H1711,IF(CE1711=1,CF1711,IF(LEFT(Cockpit!$O$5,1)="B",BC1711,MAX(BC1711,H1711))))</f>
        <v>22</v>
      </c>
      <c r="AY1711" s="50" t="n">
        <f aca="false">IF(BW1711=1,0,ROUNDUP(AX1711/BV1711,0))</f>
        <v>1</v>
      </c>
      <c r="AZ1711" s="52" t="n">
        <f aca="false">IF(CL1711&gt;0,CL1711*MAX(1,AX1711/X1711),IF(BW1711=1,IF(AX1711&lt;=0,0,CA1711*MAX(1,IF(H1711&gt;0,AX1711/H1711,1))),IF(R1711&gt;0,AY1711/R1711,0))/MAX(0.1,N(Parameter!$M$21)))</f>
        <v>0.00961538461538462</v>
      </c>
      <c r="BA1711" s="50" t="n">
        <f aca="false">AZ1711*BY1711</f>
        <v>1.49038461538462</v>
      </c>
      <c r="BB1711" s="50" t="n">
        <f aca="false">AX1711*G1711</f>
        <v>1881</v>
      </c>
      <c r="BC1711" s="50" t="n">
        <f aca="false">ROUNDUP(MAX(J1711/IF(CD1711&gt;0,CD1711,MAX(0.1,N(Cockpit!$O$6))),CG1711)/BV1711,0)*BV1711</f>
        <v>22</v>
      </c>
      <c r="BD1711" s="51" t="n">
        <f aca="false">IF(BA1711&gt;0,J1711/BA1711,-1)</f>
        <v>0</v>
      </c>
      <c r="BE1711" s="51" t="n">
        <f aca="false">IF(AND(OR(CC1711="L1",CC1711="L23",CC1711="LIFT"),BA1711&gt;0),SUMIFS($BA$7:$BA$1843,$CC$7:$CC$1843,CC1711,$BD$7:$BD$1843,"&gt;"&amp;BD1711)+SUMIFS($BA$7:$BA$1843,$CC$7:$CC$1843,CC1711,$BD$7:$BD$1843,BD1711,$BT$7:$BT$1843,"&lt;="&amp;BT1711),"")</f>
        <v>42181.6905124066</v>
      </c>
      <c r="BF1711" s="58" t="n">
        <f aca="false">IF(BE1711="",0,MAX(0,MIN(1,(IF(CC1711="L1",Parameter!$H$5,IF(CC1711="L23",Parameter!$H$6+Parameter!$H$7,Parameter!$H$5+Parameter!$H$6+Parameter!$H$7))-(BE1711-BA1711))/BA1711)))</f>
        <v>0</v>
      </c>
      <c r="BG1711" s="48" t="str">
        <f aca="false">IF(AI1711&lt;=0,"",IF(CC1711="Aussen","Aussenlager",IF(CC1711="-","Nicht im Lift",IF(AN1711&gt;=1,"Lift",IF(AN1711&lt;=0,"Aussenlager","teilweise")))))</f>
        <v>Lift</v>
      </c>
      <c r="BH1711" s="48" t="str">
        <f aca="false">IF(AR1711&lt;=0,"",IF(CC1711="Aussen","Aussenlager",IF(CC1711="-","Nicht im Lift",IF(AW1711&gt;=1,"Lift",IF(AW1711&lt;=0,"Aussenlager","teilweise")))))</f>
        <v>Aussenlager</v>
      </c>
      <c r="BI1711" s="48" t="str">
        <f aca="false">IF(BA1711&lt;=0,"",IF(CC1711="Aussen","Aussenlager",IF(CC1711="-","Nicht im Lift",IF(BF1711&gt;=1,"Lift",IF(BF1711&lt;=0,"Aussenlager","teilweise")))))</f>
        <v>Aussenlager</v>
      </c>
      <c r="BJ1711" s="48" t="str">
        <f aca="false">IF(A1711="","",IF(BS1711=1,"Neu; ","")&amp;IF(AND(BS1711=0,BN1711&lt;0),"negativer Bestand (Export "&amp;BN1711&amp;"); ","")&amp;IF(J1711&lt;=0,"Kein Verbrauch; ","")&amp;IF(CL1711&gt;0,"Lift "&amp;W1711&amp;" lt. Liftbericht (Fach "&amp;X1711&amp;" Stk); ",IF(BX1711=1,"Gebinde geschätzt ("&amp;T1711&amp;"); ",IF(BW1711=1,"Lose – Tablare geschätzt; ","")))&amp;IF(H1711&gt;AT1711,"Überbestand "&amp;ROUND(H1711-AT1711,0)&amp;" Stk / CHF "&amp;ROUND((H1711-AT1711)*G1711,0)&amp;"; ","")&amp;IF(AND(CE1711=1,CF1711&lt;CG1711),"MAX &lt; MB+LG; ","")&amp;IF(AND(CK1711&gt;0,CJ1711*10&gt;CK1711),"zu hoch für Tablar; ","")&amp;IF(AND(BS1711=0,OR(CE1711=1,AA1711&lt;&gt;"",U1711&lt;&gt;"",V1711&lt;&gt;"",AB1711&lt;&gt;"")),"manuell übersteuert; ","")&amp;IF(AND(BW1711=0,R1711=0),"Gebinde unbekannt / Stellmass fehlt; ","")&amp;IF(AND(BW1711=0,N(V1711)&lt;=0,N(Q1711)&lt;=0),"Menge pro Gebinde fehlt (Ist = 1 Gebinde); ","")&amp;BR1711)</f>
        <v>Kein Verbrauch; nur im Artikelstamm (Bestand 23.06.2026)</v>
      </c>
      <c r="BK1711" s="48"/>
      <c r="BL1711" s="48"/>
      <c r="BM1711" s="55"/>
      <c r="BN1711" s="50" t="n">
        <v>22</v>
      </c>
      <c r="BO1711" s="50" t="n">
        <v>0</v>
      </c>
      <c r="BP1711" s="49" t="n">
        <v>0</v>
      </c>
      <c r="BQ1711" s="50" t="n">
        <v>0</v>
      </c>
      <c r="BR1711" s="48" t="s">
        <v>2579</v>
      </c>
      <c r="BS1711" s="53" t="n">
        <v>0</v>
      </c>
      <c r="BT1711" s="53" t="n">
        <v>1711</v>
      </c>
      <c r="BU1711" s="48" t="str">
        <f aca="false">IF(U1711&lt;&gt;"",UPPER(TRIM(U1711)),IF(BX1711=1,UPPER(VLOOKUP(T1711,Parameter!$I$27:$K$29,2,0)),IF(P1711="","LOSE",P1711)))</f>
        <v>S32</v>
      </c>
      <c r="BV1711" s="50" t="n">
        <f aca="false">IF(BU1711="LOSE",1,IF(N(V1711)&gt;0,V1711,IF(BX1711=1,MAX(1,N(VLOOKUP(T1711,Parameter!$I$27:$K$29,3,0)),H1711,N(N1711)),IF(N(Q1711)&gt;0,Q1711,MAX(1,H1711)))))</f>
        <v>22</v>
      </c>
      <c r="BW1711" s="53" t="n">
        <f aca="false">IF(BU1711="LOSE",1,0)</f>
        <v>0</v>
      </c>
      <c r="BX1711" s="53" t="n">
        <f aca="false">IF(AND(U1711="",OR(P1711="",P1711="LOSE"),T1711&lt;&gt;"",N(S1711)&lt;=0,ISNUMBER(MATCH(T1711,Parameter!$I$27:$I$29,0))),1,0)</f>
        <v>0</v>
      </c>
      <c r="BY1711" s="53" t="n">
        <f aca="false">IF(CL1711&gt;0,INDEX(Parameter!$H$5:$H$7,W1711)/INDEX(Parameter!$E$5:$E$7,W1711),IF(AND(BW1711=0,N(IFERROR(VLOOKUP(BU1711,'Gebinde-Kategorie'!$A$5:$N$45,14,0),0))&gt;0),VLOOKUP(BU1711,'Gebinde-Kategorie'!$A$5:$N$45,14,0)*10+Parameter!$M$23,Parameter!$M$24))</f>
        <v>155</v>
      </c>
      <c r="BZ1711" s="48" t="str">
        <f aca="false">IF(AND(Parameter!$B$19="Ja",E1711&lt;&gt;"",ISNUMBER(MATCH(E1711,Parameter!$I$35:$I$52,0))),VLOOKUP(E1711,Parameter!$I$35:$J$52,2,0),IFERROR(VLOOKUP(D1711,Parameter!$A$35:$C$64,2,0),"Nein"))</f>
        <v>2+3</v>
      </c>
      <c r="CA1711" s="52" t="n">
        <f aca="false">IF(BW1711=0,0,IF(N(S1711)&gt;0,S1711,IFERROR(VLOOKUP(D1711,Parameter!$A$35:$C$64,3,0)+0,0)))</f>
        <v>0</v>
      </c>
      <c r="CB1711" s="48" t="n">
        <f aca="false">IF(AA1711&lt;&gt;"",AA1711,Z1711)</f>
        <v>3</v>
      </c>
      <c r="CC1711" s="48" t="str">
        <f aca="false">IF(OR(CB1711=1,CB1711=2,CB1711=3),IF(Parameter!$E$27="Ja","LIFT",IF(CB1711=1,"L1","L23")),IF(CB1711="Aussen","Aussen","-"))</f>
        <v>LIFT</v>
      </c>
      <c r="CD1711" s="59" t="n">
        <f aca="false">IF(N(AB1711)&gt;0,AB1711,0)</f>
        <v>0</v>
      </c>
      <c r="CE1711" s="53" t="n">
        <f aca="false">IF(ISNUMBER(AE1711),1,0)</f>
        <v>0</v>
      </c>
      <c r="CF1711" s="50" t="n">
        <f aca="false">N(AE1711)</f>
        <v>0</v>
      </c>
      <c r="CG1711" s="50" t="n">
        <f aca="false">N(M1711)+N(N1711)</f>
        <v>3</v>
      </c>
      <c r="CH1711" s="50" t="n">
        <f aca="false">ROUNDUP(H1711/BV1711,0)</f>
        <v>1</v>
      </c>
      <c r="CI1711" s="50" t="n">
        <f aca="false">ROUNDUP(CF1711/BV1711,0)</f>
        <v>0</v>
      </c>
      <c r="CJ1711" s="53" t="n">
        <f aca="false">IF(BW1711=1,0,IFERROR(VLOOKUP(BU1711,'Gebinde-Kategorie'!$A$5:$N$45,5,0)+0,0))</f>
        <v>8</v>
      </c>
      <c r="CK1711" s="53" t="n">
        <f aca="false">IFERROR(IF(OR(CB1711=1,CB1711=2,CB1711=3),N(INDEX(Parameter!$I$5:$I$7,CB1711)),0),0)</f>
        <v>0</v>
      </c>
      <c r="CL1711" s="52" t="n">
        <f aca="false">IF(AND(Parameter!$B$21="Ja",ISNUMBER(W1711),N(X1711)&gt;0),IFERROR(N(INDEX(Parameter!$L$5:$L$7,W1711))*INDEX(Parameter!$E$5:$E$7,W1711)*X1711/SUMIFS($X$7:$X$1843,$W$7:$W$1843,W1711),0),0)</f>
        <v>0</v>
      </c>
    </row>
    <row r="1712" customFormat="false" ht="15" hidden="false" customHeight="false" outlineLevel="0" collapsed="false">
      <c r="A1712" s="48" t="s">
        <v>2967</v>
      </c>
      <c r="B1712" s="48" t="s">
        <v>2698</v>
      </c>
      <c r="C1712" s="48" t="s">
        <v>168</v>
      </c>
      <c r="D1712" s="48" t="s">
        <v>188</v>
      </c>
      <c r="E1712" s="48"/>
      <c r="F1712" s="48"/>
      <c r="G1712" s="49" t="n">
        <v>35</v>
      </c>
      <c r="H1712" s="50" t="n">
        <f aca="false">MAX(0,IF(AND(Parameter!$B$21="Ja",ISNUMBER(Y1712)),Y1712,IF(Parameter!$B$20="Jahresanfang 2025 + Export",BO1712+BN1712,BN1712)))</f>
        <v>12</v>
      </c>
      <c r="I1712" s="50" t="n">
        <f aca="false">H1712*G1712</f>
        <v>420</v>
      </c>
      <c r="J1712" s="50" t="n">
        <f aca="false">BQ1712*Parameter!$B$18</f>
        <v>0</v>
      </c>
      <c r="K1712" s="51"/>
      <c r="L1712" s="52"/>
      <c r="M1712" s="50" t="n">
        <v>0</v>
      </c>
      <c r="N1712" s="50" t="n">
        <v>12</v>
      </c>
      <c r="O1712" s="53" t="n">
        <v>35</v>
      </c>
      <c r="P1712" s="48" t="s">
        <v>425</v>
      </c>
      <c r="Q1712" s="50" t="n">
        <v>10</v>
      </c>
      <c r="R1712" s="53" t="n">
        <f aca="false">IF(BW1712=1,0,IFERROR(VLOOKUP(BU1712,'Gebinde-Kategorie'!$A$5:$N$45,13,0)+0,0))</f>
        <v>104</v>
      </c>
      <c r="S1712" s="54"/>
      <c r="T1712" s="55"/>
      <c r="U1712" s="55"/>
      <c r="V1712" s="55"/>
      <c r="W1712" s="48"/>
      <c r="X1712" s="50"/>
      <c r="Y1712" s="50"/>
      <c r="Z1712" s="48" t="n">
        <f aca="false">IF(A1712="","",IF(AND(Parameter!$B$21="Ja",ISNUMBER(W1712)),W1712,IF(BZ1712="2+3",IF(ISNUMBER(SEARCH("grosser Artikel",BR1712)),2,IFERROR(VLOOKUP(BU1712,Parameter!$F$35:$G$64,2,0),2)),IF(OR(BZ1712="Nein",BZ1712=""),"-",BZ1712))))</f>
        <v>3</v>
      </c>
      <c r="AA1712" s="55"/>
      <c r="AB1712" s="56"/>
      <c r="AC1712" s="50" t="n">
        <f aca="false">AT1712</f>
        <v>20</v>
      </c>
      <c r="AD1712" s="50" t="n">
        <f aca="false">MAX(AT1712,H1712)</f>
        <v>20</v>
      </c>
      <c r="AE1712" s="57"/>
      <c r="AF1712" s="50" t="n">
        <f aca="false">IF(LEFT(Cockpit!$C$5,1)="A",H1712,IF(CE1712=1,CF1712,IF(LEFT(Cockpit!$C$5,1)="B",AK1712,MAX(AK1712,H1712))))</f>
        <v>12</v>
      </c>
      <c r="AG1712" s="50" t="n">
        <f aca="false">IF(BW1712=1,0,ROUNDUP(AF1712/BV1712,0))</f>
        <v>2</v>
      </c>
      <c r="AH1712" s="52" t="n">
        <f aca="false">IF(CL1712&gt;0,CL1712*MAX(1,AF1712/X1712),IF(BW1712=1,IF(AF1712&lt;=0,0,CA1712*MAX(1,IF(H1712&gt;0,AF1712/H1712,1))),IF(R1712&gt;0,AG1712/R1712,0))/MAX(0.1,N(Parameter!$M$21)))</f>
        <v>0.0192307692307692</v>
      </c>
      <c r="AI1712" s="50" t="n">
        <f aca="false">AH1712*BY1712</f>
        <v>2.98076923076923</v>
      </c>
      <c r="AJ1712" s="50" t="n">
        <f aca="false">AF1712*G1712</f>
        <v>420</v>
      </c>
      <c r="AK1712" s="50" t="n">
        <f aca="false">ROUNDUP(MAX(J1712/IF(CD1712&gt;0,CD1712,MAX(0.1,N(Cockpit!$C$6))),CG1712)/BV1712,0)*BV1712</f>
        <v>20</v>
      </c>
      <c r="AL1712" s="51" t="n">
        <f aca="false">IF(AI1712&gt;0,J1712/AI1712,-1)</f>
        <v>0</v>
      </c>
      <c r="AM1712" s="51" t="n">
        <f aca="false">IF(AND(OR(CC1712="L1",CC1712="L23",CC1712="LIFT"),AI1712&gt;0),SUMIFS($AI$7:$AI$1843,$CC$7:$CC$1843,CC1712,$AL$7:$AL$1843,"&gt;"&amp;AL1712)+SUMIFS($AI$7:$AI$1843,$CC$7:$CC$1843,CC1712,$AL$7:$AL$1843,AL1712,$BT$7:$BT$1843,"&lt;="&amp;BT1712),"")</f>
        <v>32828.6758810869</v>
      </c>
      <c r="AN1712" s="58" t="n">
        <f aca="false">IF(AM1712="",0,MAX(0,MIN(1,(IF(CC1712="L1",Parameter!$H$5,IF(CC1712="L23",Parameter!$H$6+Parameter!$H$7,Parameter!$H$5+Parameter!$H$6+Parameter!$H$7))-(AM1712-AI1712))/AI1712)))</f>
        <v>1</v>
      </c>
      <c r="AO1712" s="50" t="n">
        <f aca="false">IF(LEFT(Cockpit!$I$5,1)="A",H1712,IF(CE1712=1,CF1712,IF(LEFT(Cockpit!$I$5,1)="B",AT1712,MAX(AT1712,H1712))))</f>
        <v>20</v>
      </c>
      <c r="AP1712" s="50" t="n">
        <f aca="false">IF(BW1712=1,0,ROUNDUP(AO1712/BV1712,0))</f>
        <v>2</v>
      </c>
      <c r="AQ1712" s="52" t="n">
        <f aca="false">IF(CL1712&gt;0,CL1712*MAX(1,AO1712/X1712),IF(BW1712=1,IF(AO1712&lt;=0,0,CA1712*MAX(1,IF(H1712&gt;0,AO1712/H1712,1))),IF(R1712&gt;0,AP1712/R1712,0))/MAX(0.1,N(Parameter!$M$21)))</f>
        <v>0.0192307692307692</v>
      </c>
      <c r="AR1712" s="50" t="n">
        <f aca="false">AQ1712*BY1712</f>
        <v>2.98076923076923</v>
      </c>
      <c r="AS1712" s="50" t="n">
        <f aca="false">AO1712*G1712</f>
        <v>700</v>
      </c>
      <c r="AT1712" s="50" t="n">
        <f aca="false">ROUNDUP(MAX(J1712/IF(CD1712&gt;0,CD1712,MAX(0.1,N(Cockpit!$I$6))),CG1712)/BV1712,0)*BV1712</f>
        <v>20</v>
      </c>
      <c r="AU1712" s="51" t="n">
        <f aca="false">IF(AR1712&gt;0,J1712/AR1712,-1)</f>
        <v>0</v>
      </c>
      <c r="AV1712" s="51" t="n">
        <f aca="false">IF(AND(OR(CC1712="L1",CC1712="L23",CC1712="LIFT"),AR1712&gt;0),SUMIFS($AR$7:$AR$1843,$CC$7:$CC$1843,CC1712,$AU$7:$AU$1843,"&gt;"&amp;AU1712)+SUMIFS($AR$7:$AR$1843,$CC$7:$CC$1843,CC1712,$AU$7:$AU$1843,AU1712,$BT$7:$BT$1843,"&lt;="&amp;BT1712),"")</f>
        <v>45509.6592397715</v>
      </c>
      <c r="AW1712" s="58" t="n">
        <f aca="false">IF(AV1712="",0,MAX(0,MIN(1,(IF(CC1712="L1",Parameter!$H$5,IF(CC1712="L23",Parameter!$H$6+Parameter!$H$7,Parameter!$H$5+Parameter!$H$6+Parameter!$H$7))-(AV1712-AR1712))/AR1712)))</f>
        <v>0</v>
      </c>
      <c r="AX1712" s="50" t="n">
        <f aca="false">IF(LEFT(Cockpit!$O$5,1)="A",H1712,IF(CE1712=1,CF1712,IF(LEFT(Cockpit!$O$5,1)="B",BC1712,MAX(BC1712,H1712))))</f>
        <v>20</v>
      </c>
      <c r="AY1712" s="50" t="n">
        <f aca="false">IF(BW1712=1,0,ROUNDUP(AX1712/BV1712,0))</f>
        <v>2</v>
      </c>
      <c r="AZ1712" s="52" t="n">
        <f aca="false">IF(CL1712&gt;0,CL1712*MAX(1,AX1712/X1712),IF(BW1712=1,IF(AX1712&lt;=0,0,CA1712*MAX(1,IF(H1712&gt;0,AX1712/H1712,1))),IF(R1712&gt;0,AY1712/R1712,0))/MAX(0.1,N(Parameter!$M$21)))</f>
        <v>0.0192307692307692</v>
      </c>
      <c r="BA1712" s="50" t="n">
        <f aca="false">AZ1712*BY1712</f>
        <v>2.98076923076923</v>
      </c>
      <c r="BB1712" s="50" t="n">
        <f aca="false">AX1712*G1712</f>
        <v>700</v>
      </c>
      <c r="BC1712" s="50" t="n">
        <f aca="false">ROUNDUP(MAX(J1712/IF(CD1712&gt;0,CD1712,MAX(0.1,N(Cockpit!$O$6))),CG1712)/BV1712,0)*BV1712</f>
        <v>20</v>
      </c>
      <c r="BD1712" s="51" t="n">
        <f aca="false">IF(BA1712&gt;0,J1712/BA1712,-1)</f>
        <v>0</v>
      </c>
      <c r="BE1712" s="51" t="n">
        <f aca="false">IF(AND(OR(CC1712="L1",CC1712="L23",CC1712="LIFT"),BA1712&gt;0),SUMIFS($BA$7:$BA$1843,$CC$7:$CC$1843,CC1712,$BD$7:$BD$1843,"&gt;"&amp;BD1712)+SUMIFS($BA$7:$BA$1843,$CC$7:$CC$1843,CC1712,$BD$7:$BD$1843,BD1712,$BT$7:$BT$1843,"&lt;="&amp;BT1712),"")</f>
        <v>42184.6712816374</v>
      </c>
      <c r="BF1712" s="58" t="n">
        <f aca="false">IF(BE1712="",0,MAX(0,MIN(1,(IF(CC1712="L1",Parameter!$H$5,IF(CC1712="L23",Parameter!$H$6+Parameter!$H$7,Parameter!$H$5+Parameter!$H$6+Parameter!$H$7))-(BE1712-BA1712))/BA1712)))</f>
        <v>0</v>
      </c>
      <c r="BG1712" s="48" t="str">
        <f aca="false">IF(AI1712&lt;=0,"",IF(CC1712="Aussen","Aussenlager",IF(CC1712="-","Nicht im Lift",IF(AN1712&gt;=1,"Lift",IF(AN1712&lt;=0,"Aussenlager","teilweise")))))</f>
        <v>Lift</v>
      </c>
      <c r="BH1712" s="48" t="str">
        <f aca="false">IF(AR1712&lt;=0,"",IF(CC1712="Aussen","Aussenlager",IF(CC1712="-","Nicht im Lift",IF(AW1712&gt;=1,"Lift",IF(AW1712&lt;=0,"Aussenlager","teilweise")))))</f>
        <v>Aussenlager</v>
      </c>
      <c r="BI1712" s="48" t="str">
        <f aca="false">IF(BA1712&lt;=0,"",IF(CC1712="Aussen","Aussenlager",IF(CC1712="-","Nicht im Lift",IF(BF1712&gt;=1,"Lift",IF(BF1712&lt;=0,"Aussenlager","teilweise")))))</f>
        <v>Aussenlager</v>
      </c>
      <c r="BJ1712" s="48" t="str">
        <f aca="false">IF(A1712="","",IF(BS1712=1,"Neu; ","")&amp;IF(AND(BS1712=0,BN1712&lt;0),"negativer Bestand (Export "&amp;BN1712&amp;"); ","")&amp;IF(J1712&lt;=0,"Kein Verbrauch; ","")&amp;IF(CL1712&gt;0,"Lift "&amp;W1712&amp;" lt. Liftbericht (Fach "&amp;X1712&amp;" Stk); ",IF(BX1712=1,"Gebinde geschätzt ("&amp;T1712&amp;"); ",IF(BW1712=1,"Lose – Tablare geschätzt; ","")))&amp;IF(H1712&gt;AT1712,"Überbestand "&amp;ROUND(H1712-AT1712,0)&amp;" Stk / CHF "&amp;ROUND((H1712-AT1712)*G1712,0)&amp;"; ","")&amp;IF(AND(CE1712=1,CF1712&lt;CG1712),"MAX &lt; MB+LG; ","")&amp;IF(AND(CK1712&gt;0,CJ1712*10&gt;CK1712),"zu hoch für Tablar; ","")&amp;IF(AND(BS1712=0,OR(CE1712=1,AA1712&lt;&gt;"",U1712&lt;&gt;"",V1712&lt;&gt;"",AB1712&lt;&gt;"")),"manuell übersteuert; ","")&amp;IF(AND(BW1712=0,R1712=0),"Gebinde unbekannt / Stellmass fehlt; ","")&amp;IF(AND(BW1712=0,N(V1712)&lt;=0,N(Q1712)&lt;=0),"Menge pro Gebinde fehlt (Ist = 1 Gebinde); ","")&amp;BR1712)</f>
        <v>Kein Verbrauch; nur im Artikelstamm (Bestand 23.06.2026)</v>
      </c>
      <c r="BK1712" s="48"/>
      <c r="BL1712" s="48"/>
      <c r="BM1712" s="55"/>
      <c r="BN1712" s="50" t="n">
        <v>12</v>
      </c>
      <c r="BO1712" s="50" t="n">
        <v>0</v>
      </c>
      <c r="BP1712" s="49" t="n">
        <v>0</v>
      </c>
      <c r="BQ1712" s="50" t="n">
        <v>0</v>
      </c>
      <c r="BR1712" s="48" t="s">
        <v>2579</v>
      </c>
      <c r="BS1712" s="53" t="n">
        <v>0</v>
      </c>
      <c r="BT1712" s="53" t="n">
        <v>1712</v>
      </c>
      <c r="BU1712" s="48" t="str">
        <f aca="false">IF(U1712&lt;&gt;"",UPPER(TRIM(U1712)),IF(BX1712=1,UPPER(VLOOKUP(T1712,Parameter!$I$27:$K$29,2,0)),IF(P1712="","LOSE",P1712)))</f>
        <v>S32</v>
      </c>
      <c r="BV1712" s="50" t="n">
        <f aca="false">IF(BU1712="LOSE",1,IF(N(V1712)&gt;0,V1712,IF(BX1712=1,MAX(1,N(VLOOKUP(T1712,Parameter!$I$27:$K$29,3,0)),H1712,N(N1712)),IF(N(Q1712)&gt;0,Q1712,MAX(1,H1712)))))</f>
        <v>10</v>
      </c>
      <c r="BW1712" s="53" t="n">
        <f aca="false">IF(BU1712="LOSE",1,0)</f>
        <v>0</v>
      </c>
      <c r="BX1712" s="53" t="n">
        <f aca="false">IF(AND(U1712="",OR(P1712="",P1712="LOSE"),T1712&lt;&gt;"",N(S1712)&lt;=0,ISNUMBER(MATCH(T1712,Parameter!$I$27:$I$29,0))),1,0)</f>
        <v>0</v>
      </c>
      <c r="BY1712" s="53" t="n">
        <f aca="false">IF(CL1712&gt;0,INDEX(Parameter!$H$5:$H$7,W1712)/INDEX(Parameter!$E$5:$E$7,W1712),IF(AND(BW1712=0,N(IFERROR(VLOOKUP(BU1712,'Gebinde-Kategorie'!$A$5:$N$45,14,0),0))&gt;0),VLOOKUP(BU1712,'Gebinde-Kategorie'!$A$5:$N$45,14,0)*10+Parameter!$M$23,Parameter!$M$24))</f>
        <v>155</v>
      </c>
      <c r="BZ1712" s="48" t="str">
        <f aca="false">IF(AND(Parameter!$B$19="Ja",E1712&lt;&gt;"",ISNUMBER(MATCH(E1712,Parameter!$I$35:$I$52,0))),VLOOKUP(E1712,Parameter!$I$35:$J$52,2,0),IFERROR(VLOOKUP(D1712,Parameter!$A$35:$C$64,2,0),"Nein"))</f>
        <v>2+3</v>
      </c>
      <c r="CA1712" s="52" t="n">
        <f aca="false">IF(BW1712=0,0,IF(N(S1712)&gt;0,S1712,IFERROR(VLOOKUP(D1712,Parameter!$A$35:$C$64,3,0)+0,0)))</f>
        <v>0</v>
      </c>
      <c r="CB1712" s="48" t="n">
        <f aca="false">IF(AA1712&lt;&gt;"",AA1712,Z1712)</f>
        <v>3</v>
      </c>
      <c r="CC1712" s="48" t="str">
        <f aca="false">IF(OR(CB1712=1,CB1712=2,CB1712=3),IF(Parameter!$E$27="Ja","LIFT",IF(CB1712=1,"L1","L23")),IF(CB1712="Aussen","Aussen","-"))</f>
        <v>LIFT</v>
      </c>
      <c r="CD1712" s="59" t="n">
        <f aca="false">IF(N(AB1712)&gt;0,AB1712,0)</f>
        <v>0</v>
      </c>
      <c r="CE1712" s="53" t="n">
        <f aca="false">IF(ISNUMBER(AE1712),1,0)</f>
        <v>0</v>
      </c>
      <c r="CF1712" s="50" t="n">
        <f aca="false">N(AE1712)</f>
        <v>0</v>
      </c>
      <c r="CG1712" s="50" t="n">
        <f aca="false">N(M1712)+N(N1712)</f>
        <v>12</v>
      </c>
      <c r="CH1712" s="50" t="n">
        <f aca="false">ROUNDUP(H1712/BV1712,0)</f>
        <v>2</v>
      </c>
      <c r="CI1712" s="50" t="n">
        <f aca="false">ROUNDUP(CF1712/BV1712,0)</f>
        <v>0</v>
      </c>
      <c r="CJ1712" s="53" t="n">
        <f aca="false">IF(BW1712=1,0,IFERROR(VLOOKUP(BU1712,'Gebinde-Kategorie'!$A$5:$N$45,5,0)+0,0))</f>
        <v>8</v>
      </c>
      <c r="CK1712" s="53" t="n">
        <f aca="false">IFERROR(IF(OR(CB1712=1,CB1712=2,CB1712=3),N(INDEX(Parameter!$I$5:$I$7,CB1712)),0),0)</f>
        <v>0</v>
      </c>
      <c r="CL1712" s="52" t="n">
        <f aca="false">IF(AND(Parameter!$B$21="Ja",ISNUMBER(W1712),N(X1712)&gt;0),IFERROR(N(INDEX(Parameter!$L$5:$L$7,W1712))*INDEX(Parameter!$E$5:$E$7,W1712)*X1712/SUMIFS($X$7:$X$1843,$W$7:$W$1843,W1712),0),0)</f>
        <v>0</v>
      </c>
    </row>
    <row r="1713" customFormat="false" ht="15" hidden="false" customHeight="false" outlineLevel="0" collapsed="false">
      <c r="A1713" s="48" t="s">
        <v>2968</v>
      </c>
      <c r="B1713" s="48" t="s">
        <v>472</v>
      </c>
      <c r="C1713" s="48" t="s">
        <v>168</v>
      </c>
      <c r="D1713" s="48" t="s">
        <v>188</v>
      </c>
      <c r="E1713" s="48"/>
      <c r="F1713" s="48"/>
      <c r="G1713" s="49" t="n">
        <v>0.1</v>
      </c>
      <c r="H1713" s="50" t="n">
        <f aca="false">MAX(0,IF(AND(Parameter!$B$21="Ja",ISNUMBER(Y1713)),Y1713,IF(Parameter!$B$20="Jahresanfang 2025 + Export",BO1713+BN1713,BN1713)))</f>
        <v>9</v>
      </c>
      <c r="I1713" s="50" t="n">
        <f aca="false">H1713*G1713</f>
        <v>0.9</v>
      </c>
      <c r="J1713" s="50" t="n">
        <f aca="false">BQ1713*Parameter!$B$18</f>
        <v>0</v>
      </c>
      <c r="K1713" s="51"/>
      <c r="L1713" s="52"/>
      <c r="M1713" s="50" t="n">
        <v>0</v>
      </c>
      <c r="N1713" s="50" t="n">
        <v>10</v>
      </c>
      <c r="O1713" s="53" t="n">
        <v>28</v>
      </c>
      <c r="P1713" s="48" t="s">
        <v>425</v>
      </c>
      <c r="Q1713" s="50" t="n">
        <v>9</v>
      </c>
      <c r="R1713" s="53" t="n">
        <f aca="false">IF(BW1713=1,0,IFERROR(VLOOKUP(BU1713,'Gebinde-Kategorie'!$A$5:$N$45,13,0)+0,0))</f>
        <v>104</v>
      </c>
      <c r="S1713" s="54"/>
      <c r="T1713" s="55"/>
      <c r="U1713" s="55"/>
      <c r="V1713" s="55"/>
      <c r="W1713" s="48"/>
      <c r="X1713" s="50"/>
      <c r="Y1713" s="50"/>
      <c r="Z1713" s="48" t="n">
        <f aca="false">IF(A1713="","",IF(AND(Parameter!$B$21="Ja",ISNUMBER(W1713)),W1713,IF(BZ1713="2+3",IF(ISNUMBER(SEARCH("grosser Artikel",BR1713)),2,IFERROR(VLOOKUP(BU1713,Parameter!$F$35:$G$64,2,0),2)),IF(OR(BZ1713="Nein",BZ1713=""),"-",BZ1713))))</f>
        <v>3</v>
      </c>
      <c r="AA1713" s="55"/>
      <c r="AB1713" s="56"/>
      <c r="AC1713" s="50" t="n">
        <f aca="false">AT1713</f>
        <v>18</v>
      </c>
      <c r="AD1713" s="50" t="n">
        <f aca="false">MAX(AT1713,H1713)</f>
        <v>18</v>
      </c>
      <c r="AE1713" s="57"/>
      <c r="AF1713" s="50" t="n">
        <f aca="false">IF(LEFT(Cockpit!$C$5,1)="A",H1713,IF(CE1713=1,CF1713,IF(LEFT(Cockpit!$C$5,1)="B",AK1713,MAX(AK1713,H1713))))</f>
        <v>9</v>
      </c>
      <c r="AG1713" s="50" t="n">
        <f aca="false">IF(BW1713=1,0,ROUNDUP(AF1713/BV1713,0))</f>
        <v>1</v>
      </c>
      <c r="AH1713" s="52" t="n">
        <f aca="false">IF(CL1713&gt;0,CL1713*MAX(1,AF1713/X1713),IF(BW1713=1,IF(AF1713&lt;=0,0,CA1713*MAX(1,IF(H1713&gt;0,AF1713/H1713,1))),IF(R1713&gt;0,AG1713/R1713,0))/MAX(0.1,N(Parameter!$M$21)))</f>
        <v>0.00961538461538462</v>
      </c>
      <c r="AI1713" s="50" t="n">
        <f aca="false">AH1713*BY1713</f>
        <v>1.49038461538462</v>
      </c>
      <c r="AJ1713" s="50" t="n">
        <f aca="false">AF1713*G1713</f>
        <v>0.9</v>
      </c>
      <c r="AK1713" s="50" t="n">
        <f aca="false">ROUNDUP(MAX(J1713/IF(CD1713&gt;0,CD1713,MAX(0.1,N(Cockpit!$C$6))),CG1713)/BV1713,0)*BV1713</f>
        <v>18</v>
      </c>
      <c r="AL1713" s="51" t="n">
        <f aca="false">IF(AI1713&gt;0,J1713/AI1713,-1)</f>
        <v>0</v>
      </c>
      <c r="AM1713" s="51" t="n">
        <f aca="false">IF(AND(OR(CC1713="L1",CC1713="L23",CC1713="LIFT"),AI1713&gt;0),SUMIFS($AI$7:$AI$1843,$CC$7:$CC$1843,CC1713,$AL$7:$AL$1843,"&gt;"&amp;AL1713)+SUMIFS($AI$7:$AI$1843,$CC$7:$CC$1843,CC1713,$AL$7:$AL$1843,AL1713,$BT$7:$BT$1843,"&lt;="&amp;BT1713),"")</f>
        <v>32830.1662657023</v>
      </c>
      <c r="AN1713" s="58" t="n">
        <f aca="false">IF(AM1713="",0,MAX(0,MIN(1,(IF(CC1713="L1",Parameter!$H$5,IF(CC1713="L23",Parameter!$H$6+Parameter!$H$7,Parameter!$H$5+Parameter!$H$6+Parameter!$H$7))-(AM1713-AI1713))/AI1713)))</f>
        <v>1</v>
      </c>
      <c r="AO1713" s="50" t="n">
        <f aca="false">IF(LEFT(Cockpit!$I$5,1)="A",H1713,IF(CE1713=1,CF1713,IF(LEFT(Cockpit!$I$5,1)="B",AT1713,MAX(AT1713,H1713))))</f>
        <v>18</v>
      </c>
      <c r="AP1713" s="50" t="n">
        <f aca="false">IF(BW1713=1,0,ROUNDUP(AO1713/BV1713,0))</f>
        <v>2</v>
      </c>
      <c r="AQ1713" s="52" t="n">
        <f aca="false">IF(CL1713&gt;0,CL1713*MAX(1,AO1713/X1713),IF(BW1713=1,IF(AO1713&lt;=0,0,CA1713*MAX(1,IF(H1713&gt;0,AO1713/H1713,1))),IF(R1713&gt;0,AP1713/R1713,0))/MAX(0.1,N(Parameter!$M$21)))</f>
        <v>0.0192307692307692</v>
      </c>
      <c r="AR1713" s="50" t="n">
        <f aca="false">AQ1713*BY1713</f>
        <v>2.98076923076923</v>
      </c>
      <c r="AS1713" s="50" t="n">
        <f aca="false">AO1713*G1713</f>
        <v>1.8</v>
      </c>
      <c r="AT1713" s="50" t="n">
        <f aca="false">ROUNDUP(MAX(J1713/IF(CD1713&gt;0,CD1713,MAX(0.1,N(Cockpit!$I$6))),CG1713)/BV1713,0)*BV1713</f>
        <v>18</v>
      </c>
      <c r="AU1713" s="51" t="n">
        <f aca="false">IF(AR1713&gt;0,J1713/AR1713,-1)</f>
        <v>0</v>
      </c>
      <c r="AV1713" s="51" t="n">
        <f aca="false">IF(AND(OR(CC1713="L1",CC1713="L23",CC1713="LIFT"),AR1713&gt;0),SUMIFS($AR$7:$AR$1843,$CC$7:$CC$1843,CC1713,$AU$7:$AU$1843,"&gt;"&amp;AU1713)+SUMIFS($AR$7:$AR$1843,$CC$7:$CC$1843,CC1713,$AU$7:$AU$1843,AU1713,$BT$7:$BT$1843,"&lt;="&amp;BT1713),"")</f>
        <v>45512.6400090023</v>
      </c>
      <c r="AW1713" s="58" t="n">
        <f aca="false">IF(AV1713="",0,MAX(0,MIN(1,(IF(CC1713="L1",Parameter!$H$5,IF(CC1713="L23",Parameter!$H$6+Parameter!$H$7,Parameter!$H$5+Parameter!$H$6+Parameter!$H$7))-(AV1713-AR1713))/AR1713)))</f>
        <v>0</v>
      </c>
      <c r="AX1713" s="50" t="n">
        <f aca="false">IF(LEFT(Cockpit!$O$5,1)="A",H1713,IF(CE1713=1,CF1713,IF(LEFT(Cockpit!$O$5,1)="B",BC1713,MAX(BC1713,H1713))))</f>
        <v>18</v>
      </c>
      <c r="AY1713" s="50" t="n">
        <f aca="false">IF(BW1713=1,0,ROUNDUP(AX1713/BV1713,0))</f>
        <v>2</v>
      </c>
      <c r="AZ1713" s="52" t="n">
        <f aca="false">IF(CL1713&gt;0,CL1713*MAX(1,AX1713/X1713),IF(BW1713=1,IF(AX1713&lt;=0,0,CA1713*MAX(1,IF(H1713&gt;0,AX1713/H1713,1))),IF(R1713&gt;0,AY1713/R1713,0))/MAX(0.1,N(Parameter!$M$21)))</f>
        <v>0.0192307692307692</v>
      </c>
      <c r="BA1713" s="50" t="n">
        <f aca="false">AZ1713*BY1713</f>
        <v>2.98076923076923</v>
      </c>
      <c r="BB1713" s="50" t="n">
        <f aca="false">AX1713*G1713</f>
        <v>1.8</v>
      </c>
      <c r="BC1713" s="50" t="n">
        <f aca="false">ROUNDUP(MAX(J1713/IF(CD1713&gt;0,CD1713,MAX(0.1,N(Cockpit!$O$6))),CG1713)/BV1713,0)*BV1713</f>
        <v>18</v>
      </c>
      <c r="BD1713" s="51" t="n">
        <f aca="false">IF(BA1713&gt;0,J1713/BA1713,-1)</f>
        <v>0</v>
      </c>
      <c r="BE1713" s="51" t="n">
        <f aca="false">IF(AND(OR(CC1713="L1",CC1713="L23",CC1713="LIFT"),BA1713&gt;0),SUMIFS($BA$7:$BA$1843,$CC$7:$CC$1843,CC1713,$BD$7:$BD$1843,"&gt;"&amp;BD1713)+SUMIFS($BA$7:$BA$1843,$CC$7:$CC$1843,CC1713,$BD$7:$BD$1843,BD1713,$BT$7:$BT$1843,"&lt;="&amp;BT1713),"")</f>
        <v>42187.6520508682</v>
      </c>
      <c r="BF1713" s="58" t="n">
        <f aca="false">IF(BE1713="",0,MAX(0,MIN(1,(IF(CC1713="L1",Parameter!$H$5,IF(CC1713="L23",Parameter!$H$6+Parameter!$H$7,Parameter!$H$5+Parameter!$H$6+Parameter!$H$7))-(BE1713-BA1713))/BA1713)))</f>
        <v>0</v>
      </c>
      <c r="BG1713" s="48" t="str">
        <f aca="false">IF(AI1713&lt;=0,"",IF(CC1713="Aussen","Aussenlager",IF(CC1713="-","Nicht im Lift",IF(AN1713&gt;=1,"Lift",IF(AN1713&lt;=0,"Aussenlager","teilweise")))))</f>
        <v>Lift</v>
      </c>
      <c r="BH1713" s="48" t="str">
        <f aca="false">IF(AR1713&lt;=0,"",IF(CC1713="Aussen","Aussenlager",IF(CC1713="-","Nicht im Lift",IF(AW1713&gt;=1,"Lift",IF(AW1713&lt;=0,"Aussenlager","teilweise")))))</f>
        <v>Aussenlager</v>
      </c>
      <c r="BI1713" s="48" t="str">
        <f aca="false">IF(BA1713&lt;=0,"",IF(CC1713="Aussen","Aussenlager",IF(CC1713="-","Nicht im Lift",IF(BF1713&gt;=1,"Lift",IF(BF1713&lt;=0,"Aussenlager","teilweise")))))</f>
        <v>Aussenlager</v>
      </c>
      <c r="BJ1713" s="48" t="str">
        <f aca="false">IF(A1713="","",IF(BS1713=1,"Neu; ","")&amp;IF(AND(BS1713=0,BN1713&lt;0),"negativer Bestand (Export "&amp;BN1713&amp;"); ","")&amp;IF(J1713&lt;=0,"Kein Verbrauch; ","")&amp;IF(CL1713&gt;0,"Lift "&amp;W1713&amp;" lt. Liftbericht (Fach "&amp;X1713&amp;" Stk); ",IF(BX1713=1,"Gebinde geschätzt ("&amp;T1713&amp;"); ",IF(BW1713=1,"Lose – Tablare geschätzt; ","")))&amp;IF(H1713&gt;AT1713,"Überbestand "&amp;ROUND(H1713-AT1713,0)&amp;" Stk / CHF "&amp;ROUND((H1713-AT1713)*G1713,0)&amp;"; ","")&amp;IF(AND(CE1713=1,CF1713&lt;CG1713),"MAX &lt; MB+LG; ","")&amp;IF(AND(CK1713&gt;0,CJ1713*10&gt;CK1713),"zu hoch für Tablar; ","")&amp;IF(AND(BS1713=0,OR(CE1713=1,AA1713&lt;&gt;"",U1713&lt;&gt;"",V1713&lt;&gt;"",AB1713&lt;&gt;"")),"manuell übersteuert; ","")&amp;IF(AND(BW1713=0,R1713=0),"Gebinde unbekannt / Stellmass fehlt; ","")&amp;IF(AND(BW1713=0,N(V1713)&lt;=0,N(Q1713)&lt;=0),"Menge pro Gebinde fehlt (Ist = 1 Gebinde); ","")&amp;BR1713)</f>
        <v>Kein Verbrauch; nur im Artikelstamm (Bestand 23.06.2026)</v>
      </c>
      <c r="BK1713" s="48"/>
      <c r="BL1713" s="48"/>
      <c r="BM1713" s="55"/>
      <c r="BN1713" s="50" t="n">
        <v>9</v>
      </c>
      <c r="BO1713" s="50" t="n">
        <v>0</v>
      </c>
      <c r="BP1713" s="49" t="n">
        <v>0</v>
      </c>
      <c r="BQ1713" s="50" t="n">
        <v>0</v>
      </c>
      <c r="BR1713" s="48" t="s">
        <v>2579</v>
      </c>
      <c r="BS1713" s="53" t="n">
        <v>0</v>
      </c>
      <c r="BT1713" s="53" t="n">
        <v>1713</v>
      </c>
      <c r="BU1713" s="48" t="str">
        <f aca="false">IF(U1713&lt;&gt;"",UPPER(TRIM(U1713)),IF(BX1713=1,UPPER(VLOOKUP(T1713,Parameter!$I$27:$K$29,2,0)),IF(P1713="","LOSE",P1713)))</f>
        <v>S32</v>
      </c>
      <c r="BV1713" s="50" t="n">
        <f aca="false">IF(BU1713="LOSE",1,IF(N(V1713)&gt;0,V1713,IF(BX1713=1,MAX(1,N(VLOOKUP(T1713,Parameter!$I$27:$K$29,3,0)),H1713,N(N1713)),IF(N(Q1713)&gt;0,Q1713,MAX(1,H1713)))))</f>
        <v>9</v>
      </c>
      <c r="BW1713" s="53" t="n">
        <f aca="false">IF(BU1713="LOSE",1,0)</f>
        <v>0</v>
      </c>
      <c r="BX1713" s="53" t="n">
        <f aca="false">IF(AND(U1713="",OR(P1713="",P1713="LOSE"),T1713&lt;&gt;"",N(S1713)&lt;=0,ISNUMBER(MATCH(T1713,Parameter!$I$27:$I$29,0))),1,0)</f>
        <v>0</v>
      </c>
      <c r="BY1713" s="53" t="n">
        <f aca="false">IF(CL1713&gt;0,INDEX(Parameter!$H$5:$H$7,W1713)/INDEX(Parameter!$E$5:$E$7,W1713),IF(AND(BW1713=0,N(IFERROR(VLOOKUP(BU1713,'Gebinde-Kategorie'!$A$5:$N$45,14,0),0))&gt;0),VLOOKUP(BU1713,'Gebinde-Kategorie'!$A$5:$N$45,14,0)*10+Parameter!$M$23,Parameter!$M$24))</f>
        <v>155</v>
      </c>
      <c r="BZ1713" s="48" t="str">
        <f aca="false">IF(AND(Parameter!$B$19="Ja",E1713&lt;&gt;"",ISNUMBER(MATCH(E1713,Parameter!$I$35:$I$52,0))),VLOOKUP(E1713,Parameter!$I$35:$J$52,2,0),IFERROR(VLOOKUP(D1713,Parameter!$A$35:$C$64,2,0),"Nein"))</f>
        <v>2+3</v>
      </c>
      <c r="CA1713" s="52" t="n">
        <f aca="false">IF(BW1713=0,0,IF(N(S1713)&gt;0,S1713,IFERROR(VLOOKUP(D1713,Parameter!$A$35:$C$64,3,0)+0,0)))</f>
        <v>0</v>
      </c>
      <c r="CB1713" s="48" t="n">
        <f aca="false">IF(AA1713&lt;&gt;"",AA1713,Z1713)</f>
        <v>3</v>
      </c>
      <c r="CC1713" s="48" t="str">
        <f aca="false">IF(OR(CB1713=1,CB1713=2,CB1713=3),IF(Parameter!$E$27="Ja","LIFT",IF(CB1713=1,"L1","L23")),IF(CB1713="Aussen","Aussen","-"))</f>
        <v>LIFT</v>
      </c>
      <c r="CD1713" s="59" t="n">
        <f aca="false">IF(N(AB1713)&gt;0,AB1713,0)</f>
        <v>0</v>
      </c>
      <c r="CE1713" s="53" t="n">
        <f aca="false">IF(ISNUMBER(AE1713),1,0)</f>
        <v>0</v>
      </c>
      <c r="CF1713" s="50" t="n">
        <f aca="false">N(AE1713)</f>
        <v>0</v>
      </c>
      <c r="CG1713" s="50" t="n">
        <f aca="false">N(M1713)+N(N1713)</f>
        <v>10</v>
      </c>
      <c r="CH1713" s="50" t="n">
        <f aca="false">ROUNDUP(H1713/BV1713,0)</f>
        <v>1</v>
      </c>
      <c r="CI1713" s="50" t="n">
        <f aca="false">ROUNDUP(CF1713/BV1713,0)</f>
        <v>0</v>
      </c>
      <c r="CJ1713" s="53" t="n">
        <f aca="false">IF(BW1713=1,0,IFERROR(VLOOKUP(BU1713,'Gebinde-Kategorie'!$A$5:$N$45,5,0)+0,0))</f>
        <v>8</v>
      </c>
      <c r="CK1713" s="53" t="n">
        <f aca="false">IFERROR(IF(OR(CB1713=1,CB1713=2,CB1713=3),N(INDEX(Parameter!$I$5:$I$7,CB1713)),0),0)</f>
        <v>0</v>
      </c>
      <c r="CL1713" s="52" t="n">
        <f aca="false">IF(AND(Parameter!$B$21="Ja",ISNUMBER(W1713),N(X1713)&gt;0),IFERROR(N(INDEX(Parameter!$L$5:$L$7,W1713))*INDEX(Parameter!$E$5:$E$7,W1713)*X1713/SUMIFS($X$7:$X$1843,$W$7:$W$1843,W1713),0),0)</f>
        <v>0</v>
      </c>
    </row>
    <row r="1714" customFormat="false" ht="15" hidden="false" customHeight="false" outlineLevel="0" collapsed="false">
      <c r="A1714" s="48" t="s">
        <v>2969</v>
      </c>
      <c r="B1714" s="48" t="s">
        <v>2970</v>
      </c>
      <c r="C1714" s="48" t="s">
        <v>168</v>
      </c>
      <c r="D1714" s="48" t="s">
        <v>188</v>
      </c>
      <c r="E1714" s="48"/>
      <c r="F1714" s="48"/>
      <c r="G1714" s="49" t="n">
        <v>72.47</v>
      </c>
      <c r="H1714" s="50" t="n">
        <f aca="false">MAX(0,IF(AND(Parameter!$B$21="Ja",ISNUMBER(Y1714)),Y1714,IF(Parameter!$B$20="Jahresanfang 2025 + Export",BO1714+BN1714,BN1714)))</f>
        <v>5</v>
      </c>
      <c r="I1714" s="50" t="n">
        <f aca="false">H1714*G1714</f>
        <v>362.35</v>
      </c>
      <c r="J1714" s="50" t="n">
        <f aca="false">BQ1714*Parameter!$B$18</f>
        <v>0</v>
      </c>
      <c r="K1714" s="51"/>
      <c r="L1714" s="52"/>
      <c r="M1714" s="50" t="n">
        <v>0</v>
      </c>
      <c r="N1714" s="50" t="n">
        <v>1</v>
      </c>
      <c r="O1714" s="53" t="n">
        <v>35</v>
      </c>
      <c r="P1714" s="48" t="s">
        <v>425</v>
      </c>
      <c r="Q1714" s="50" t="n">
        <v>6</v>
      </c>
      <c r="R1714" s="53" t="n">
        <f aca="false">IF(BW1714=1,0,IFERROR(VLOOKUP(BU1714,'Gebinde-Kategorie'!$A$5:$N$45,13,0)+0,0))</f>
        <v>104</v>
      </c>
      <c r="S1714" s="54"/>
      <c r="T1714" s="55"/>
      <c r="U1714" s="55"/>
      <c r="V1714" s="55"/>
      <c r="W1714" s="48"/>
      <c r="X1714" s="50"/>
      <c r="Y1714" s="50"/>
      <c r="Z1714" s="48" t="n">
        <f aca="false">IF(A1714="","",IF(AND(Parameter!$B$21="Ja",ISNUMBER(W1714)),W1714,IF(BZ1714="2+3",IF(ISNUMBER(SEARCH("grosser Artikel",BR1714)),2,IFERROR(VLOOKUP(BU1714,Parameter!$F$35:$G$64,2,0),2)),IF(OR(BZ1714="Nein",BZ1714=""),"-",BZ1714))))</f>
        <v>3</v>
      </c>
      <c r="AA1714" s="55"/>
      <c r="AB1714" s="56"/>
      <c r="AC1714" s="50" t="n">
        <f aca="false">AT1714</f>
        <v>6</v>
      </c>
      <c r="AD1714" s="50" t="n">
        <f aca="false">MAX(AT1714,H1714)</f>
        <v>6</v>
      </c>
      <c r="AE1714" s="57"/>
      <c r="AF1714" s="50" t="n">
        <f aca="false">IF(LEFT(Cockpit!$C$5,1)="A",H1714,IF(CE1714=1,CF1714,IF(LEFT(Cockpit!$C$5,1)="B",AK1714,MAX(AK1714,H1714))))</f>
        <v>5</v>
      </c>
      <c r="AG1714" s="50" t="n">
        <f aca="false">IF(BW1714=1,0,ROUNDUP(AF1714/BV1714,0))</f>
        <v>1</v>
      </c>
      <c r="AH1714" s="52" t="n">
        <f aca="false">IF(CL1714&gt;0,CL1714*MAX(1,AF1714/X1714),IF(BW1714=1,IF(AF1714&lt;=0,0,CA1714*MAX(1,IF(H1714&gt;0,AF1714/H1714,1))),IF(R1714&gt;0,AG1714/R1714,0))/MAX(0.1,N(Parameter!$M$21)))</f>
        <v>0.00961538461538462</v>
      </c>
      <c r="AI1714" s="50" t="n">
        <f aca="false">AH1714*BY1714</f>
        <v>1.49038461538462</v>
      </c>
      <c r="AJ1714" s="50" t="n">
        <f aca="false">AF1714*G1714</f>
        <v>362.35</v>
      </c>
      <c r="AK1714" s="50" t="n">
        <f aca="false">ROUNDUP(MAX(J1714/IF(CD1714&gt;0,CD1714,MAX(0.1,N(Cockpit!$C$6))),CG1714)/BV1714,0)*BV1714</f>
        <v>6</v>
      </c>
      <c r="AL1714" s="51" t="n">
        <f aca="false">IF(AI1714&gt;0,J1714/AI1714,-1)</f>
        <v>0</v>
      </c>
      <c r="AM1714" s="51" t="n">
        <f aca="false">IF(AND(OR(CC1714="L1",CC1714="L23",CC1714="LIFT"),AI1714&gt;0),SUMIFS($AI$7:$AI$1843,$CC$7:$CC$1843,CC1714,$AL$7:$AL$1843,"&gt;"&amp;AL1714)+SUMIFS($AI$7:$AI$1843,$CC$7:$CC$1843,CC1714,$AL$7:$AL$1843,AL1714,$BT$7:$BT$1843,"&lt;="&amp;BT1714),"")</f>
        <v>32831.6566503177</v>
      </c>
      <c r="AN1714" s="58" t="n">
        <f aca="false">IF(AM1714="",0,MAX(0,MIN(1,(IF(CC1714="L1",Parameter!$H$5,IF(CC1714="L23",Parameter!$H$6+Parameter!$H$7,Parameter!$H$5+Parameter!$H$6+Parameter!$H$7))-(AM1714-AI1714))/AI1714)))</f>
        <v>1</v>
      </c>
      <c r="AO1714" s="50" t="n">
        <f aca="false">IF(LEFT(Cockpit!$I$5,1)="A",H1714,IF(CE1714=1,CF1714,IF(LEFT(Cockpit!$I$5,1)="B",AT1714,MAX(AT1714,H1714))))</f>
        <v>6</v>
      </c>
      <c r="AP1714" s="50" t="n">
        <f aca="false">IF(BW1714=1,0,ROUNDUP(AO1714/BV1714,0))</f>
        <v>1</v>
      </c>
      <c r="AQ1714" s="52" t="n">
        <f aca="false">IF(CL1714&gt;0,CL1714*MAX(1,AO1714/X1714),IF(BW1714=1,IF(AO1714&lt;=0,0,CA1714*MAX(1,IF(H1714&gt;0,AO1714/H1714,1))),IF(R1714&gt;0,AP1714/R1714,0))/MAX(0.1,N(Parameter!$M$21)))</f>
        <v>0.00961538461538462</v>
      </c>
      <c r="AR1714" s="50" t="n">
        <f aca="false">AQ1714*BY1714</f>
        <v>1.49038461538462</v>
      </c>
      <c r="AS1714" s="50" t="n">
        <f aca="false">AO1714*G1714</f>
        <v>434.82</v>
      </c>
      <c r="AT1714" s="50" t="n">
        <f aca="false">ROUNDUP(MAX(J1714/IF(CD1714&gt;0,CD1714,MAX(0.1,N(Cockpit!$I$6))),CG1714)/BV1714,0)*BV1714</f>
        <v>6</v>
      </c>
      <c r="AU1714" s="51" t="n">
        <f aca="false">IF(AR1714&gt;0,J1714/AR1714,-1)</f>
        <v>0</v>
      </c>
      <c r="AV1714" s="51" t="n">
        <f aca="false">IF(AND(OR(CC1714="L1",CC1714="L23",CC1714="LIFT"),AR1714&gt;0),SUMIFS($AR$7:$AR$1843,$CC$7:$CC$1843,CC1714,$AU$7:$AU$1843,"&gt;"&amp;AU1714)+SUMIFS($AR$7:$AR$1843,$CC$7:$CC$1843,CC1714,$AU$7:$AU$1843,AU1714,$BT$7:$BT$1843,"&lt;="&amp;BT1714),"")</f>
        <v>45514.1303936177</v>
      </c>
      <c r="AW1714" s="58" t="n">
        <f aca="false">IF(AV1714="",0,MAX(0,MIN(1,(IF(CC1714="L1",Parameter!$H$5,IF(CC1714="L23",Parameter!$H$6+Parameter!$H$7,Parameter!$H$5+Parameter!$H$6+Parameter!$H$7))-(AV1714-AR1714))/AR1714)))</f>
        <v>0</v>
      </c>
      <c r="AX1714" s="50" t="n">
        <f aca="false">IF(LEFT(Cockpit!$O$5,1)="A",H1714,IF(CE1714=1,CF1714,IF(LEFT(Cockpit!$O$5,1)="B",BC1714,MAX(BC1714,H1714))))</f>
        <v>6</v>
      </c>
      <c r="AY1714" s="50" t="n">
        <f aca="false">IF(BW1714=1,0,ROUNDUP(AX1714/BV1714,0))</f>
        <v>1</v>
      </c>
      <c r="AZ1714" s="52" t="n">
        <f aca="false">IF(CL1714&gt;0,CL1714*MAX(1,AX1714/X1714),IF(BW1714=1,IF(AX1714&lt;=0,0,CA1714*MAX(1,IF(H1714&gt;0,AX1714/H1714,1))),IF(R1714&gt;0,AY1714/R1714,0))/MAX(0.1,N(Parameter!$M$21)))</f>
        <v>0.00961538461538462</v>
      </c>
      <c r="BA1714" s="50" t="n">
        <f aca="false">AZ1714*BY1714</f>
        <v>1.49038461538462</v>
      </c>
      <c r="BB1714" s="50" t="n">
        <f aca="false">AX1714*G1714</f>
        <v>434.82</v>
      </c>
      <c r="BC1714" s="50" t="n">
        <f aca="false">ROUNDUP(MAX(J1714/IF(CD1714&gt;0,CD1714,MAX(0.1,N(Cockpit!$O$6))),CG1714)/BV1714,0)*BV1714</f>
        <v>6</v>
      </c>
      <c r="BD1714" s="51" t="n">
        <f aca="false">IF(BA1714&gt;0,J1714/BA1714,-1)</f>
        <v>0</v>
      </c>
      <c r="BE1714" s="51" t="n">
        <f aca="false">IF(AND(OR(CC1714="L1",CC1714="L23",CC1714="LIFT"),BA1714&gt;0),SUMIFS($BA$7:$BA$1843,$CC$7:$CC$1843,CC1714,$BD$7:$BD$1843,"&gt;"&amp;BD1714)+SUMIFS($BA$7:$BA$1843,$CC$7:$CC$1843,CC1714,$BD$7:$BD$1843,BD1714,$BT$7:$BT$1843,"&lt;="&amp;BT1714),"")</f>
        <v>42189.1424354835</v>
      </c>
      <c r="BF1714" s="58" t="n">
        <f aca="false">IF(BE1714="",0,MAX(0,MIN(1,(IF(CC1714="L1",Parameter!$H$5,IF(CC1714="L23",Parameter!$H$6+Parameter!$H$7,Parameter!$H$5+Parameter!$H$6+Parameter!$H$7))-(BE1714-BA1714))/BA1714)))</f>
        <v>0</v>
      </c>
      <c r="BG1714" s="48" t="str">
        <f aca="false">IF(AI1714&lt;=0,"",IF(CC1714="Aussen","Aussenlager",IF(CC1714="-","Nicht im Lift",IF(AN1714&gt;=1,"Lift",IF(AN1714&lt;=0,"Aussenlager","teilweise")))))</f>
        <v>Lift</v>
      </c>
      <c r="BH1714" s="48" t="str">
        <f aca="false">IF(AR1714&lt;=0,"",IF(CC1714="Aussen","Aussenlager",IF(CC1714="-","Nicht im Lift",IF(AW1714&gt;=1,"Lift",IF(AW1714&lt;=0,"Aussenlager","teilweise")))))</f>
        <v>Aussenlager</v>
      </c>
      <c r="BI1714" s="48" t="str">
        <f aca="false">IF(BA1714&lt;=0,"",IF(CC1714="Aussen","Aussenlager",IF(CC1714="-","Nicht im Lift",IF(BF1714&gt;=1,"Lift",IF(BF1714&lt;=0,"Aussenlager","teilweise")))))</f>
        <v>Aussenlager</v>
      </c>
      <c r="BJ1714" s="48" t="str">
        <f aca="false">IF(A1714="","",IF(BS1714=1,"Neu; ","")&amp;IF(AND(BS1714=0,BN1714&lt;0),"negativer Bestand (Export "&amp;BN1714&amp;"); ","")&amp;IF(J1714&lt;=0,"Kein Verbrauch; ","")&amp;IF(CL1714&gt;0,"Lift "&amp;W1714&amp;" lt. Liftbericht (Fach "&amp;X1714&amp;" Stk); ",IF(BX1714=1,"Gebinde geschätzt ("&amp;T1714&amp;"); ",IF(BW1714=1,"Lose – Tablare geschätzt; ","")))&amp;IF(H1714&gt;AT1714,"Überbestand "&amp;ROUND(H1714-AT1714,0)&amp;" Stk / CHF "&amp;ROUND((H1714-AT1714)*G1714,0)&amp;"; ","")&amp;IF(AND(CE1714=1,CF1714&lt;CG1714),"MAX &lt; MB+LG; ","")&amp;IF(AND(CK1714&gt;0,CJ1714*10&gt;CK1714),"zu hoch für Tablar; ","")&amp;IF(AND(BS1714=0,OR(CE1714=1,AA1714&lt;&gt;"",U1714&lt;&gt;"",V1714&lt;&gt;"",AB1714&lt;&gt;"")),"manuell übersteuert; ","")&amp;IF(AND(BW1714=0,R1714=0),"Gebinde unbekannt / Stellmass fehlt; ","")&amp;IF(AND(BW1714=0,N(V1714)&lt;=0,N(Q1714)&lt;=0),"Menge pro Gebinde fehlt (Ist = 1 Gebinde); ","")&amp;BR1714)</f>
        <v>Kein Verbrauch; nur im Artikelstamm (Bestand 23.06.2026)</v>
      </c>
      <c r="BK1714" s="48"/>
      <c r="BL1714" s="48"/>
      <c r="BM1714" s="55"/>
      <c r="BN1714" s="50" t="n">
        <v>5</v>
      </c>
      <c r="BO1714" s="50" t="n">
        <v>0</v>
      </c>
      <c r="BP1714" s="49" t="n">
        <v>0</v>
      </c>
      <c r="BQ1714" s="50" t="n">
        <v>0</v>
      </c>
      <c r="BR1714" s="48" t="s">
        <v>2579</v>
      </c>
      <c r="BS1714" s="53" t="n">
        <v>0</v>
      </c>
      <c r="BT1714" s="53" t="n">
        <v>1714</v>
      </c>
      <c r="BU1714" s="48" t="str">
        <f aca="false">IF(U1714&lt;&gt;"",UPPER(TRIM(U1714)),IF(BX1714=1,UPPER(VLOOKUP(T1714,Parameter!$I$27:$K$29,2,0)),IF(P1714="","LOSE",P1714)))</f>
        <v>S32</v>
      </c>
      <c r="BV1714" s="50" t="n">
        <f aca="false">IF(BU1714="LOSE",1,IF(N(V1714)&gt;0,V1714,IF(BX1714=1,MAX(1,N(VLOOKUP(T1714,Parameter!$I$27:$K$29,3,0)),H1714,N(N1714)),IF(N(Q1714)&gt;0,Q1714,MAX(1,H1714)))))</f>
        <v>6</v>
      </c>
      <c r="BW1714" s="53" t="n">
        <f aca="false">IF(BU1714="LOSE",1,0)</f>
        <v>0</v>
      </c>
      <c r="BX1714" s="53" t="n">
        <f aca="false">IF(AND(U1714="",OR(P1714="",P1714="LOSE"),T1714&lt;&gt;"",N(S1714)&lt;=0,ISNUMBER(MATCH(T1714,Parameter!$I$27:$I$29,0))),1,0)</f>
        <v>0</v>
      </c>
      <c r="BY1714" s="53" t="n">
        <f aca="false">IF(CL1714&gt;0,INDEX(Parameter!$H$5:$H$7,W1714)/INDEX(Parameter!$E$5:$E$7,W1714),IF(AND(BW1714=0,N(IFERROR(VLOOKUP(BU1714,'Gebinde-Kategorie'!$A$5:$N$45,14,0),0))&gt;0),VLOOKUP(BU1714,'Gebinde-Kategorie'!$A$5:$N$45,14,0)*10+Parameter!$M$23,Parameter!$M$24))</f>
        <v>155</v>
      </c>
      <c r="BZ1714" s="48" t="str">
        <f aca="false">IF(AND(Parameter!$B$19="Ja",E1714&lt;&gt;"",ISNUMBER(MATCH(E1714,Parameter!$I$35:$I$52,0))),VLOOKUP(E1714,Parameter!$I$35:$J$52,2,0),IFERROR(VLOOKUP(D1714,Parameter!$A$35:$C$64,2,0),"Nein"))</f>
        <v>2+3</v>
      </c>
      <c r="CA1714" s="52" t="n">
        <f aca="false">IF(BW1714=0,0,IF(N(S1714)&gt;0,S1714,IFERROR(VLOOKUP(D1714,Parameter!$A$35:$C$64,3,0)+0,0)))</f>
        <v>0</v>
      </c>
      <c r="CB1714" s="48" t="n">
        <f aca="false">IF(AA1714&lt;&gt;"",AA1714,Z1714)</f>
        <v>3</v>
      </c>
      <c r="CC1714" s="48" t="str">
        <f aca="false">IF(OR(CB1714=1,CB1714=2,CB1714=3),IF(Parameter!$E$27="Ja","LIFT",IF(CB1714=1,"L1","L23")),IF(CB1714="Aussen","Aussen","-"))</f>
        <v>LIFT</v>
      </c>
      <c r="CD1714" s="59" t="n">
        <f aca="false">IF(N(AB1714)&gt;0,AB1714,0)</f>
        <v>0</v>
      </c>
      <c r="CE1714" s="53" t="n">
        <f aca="false">IF(ISNUMBER(AE1714),1,0)</f>
        <v>0</v>
      </c>
      <c r="CF1714" s="50" t="n">
        <f aca="false">N(AE1714)</f>
        <v>0</v>
      </c>
      <c r="CG1714" s="50" t="n">
        <f aca="false">N(M1714)+N(N1714)</f>
        <v>1</v>
      </c>
      <c r="CH1714" s="50" t="n">
        <f aca="false">ROUNDUP(H1714/BV1714,0)</f>
        <v>1</v>
      </c>
      <c r="CI1714" s="50" t="n">
        <f aca="false">ROUNDUP(CF1714/BV1714,0)</f>
        <v>0</v>
      </c>
      <c r="CJ1714" s="53" t="n">
        <f aca="false">IF(BW1714=1,0,IFERROR(VLOOKUP(BU1714,'Gebinde-Kategorie'!$A$5:$N$45,5,0)+0,0))</f>
        <v>8</v>
      </c>
      <c r="CK1714" s="53" t="n">
        <f aca="false">IFERROR(IF(OR(CB1714=1,CB1714=2,CB1714=3),N(INDEX(Parameter!$I$5:$I$7,CB1714)),0),0)</f>
        <v>0</v>
      </c>
      <c r="CL1714" s="52" t="n">
        <f aca="false">IF(AND(Parameter!$B$21="Ja",ISNUMBER(W1714),N(X1714)&gt;0),IFERROR(N(INDEX(Parameter!$L$5:$L$7,W1714))*INDEX(Parameter!$E$5:$E$7,W1714)*X1714/SUMIFS($X$7:$X$1843,$W$7:$W$1843,W1714),0),0)</f>
        <v>0</v>
      </c>
    </row>
    <row r="1715" customFormat="false" ht="15" hidden="false" customHeight="false" outlineLevel="0" collapsed="false">
      <c r="A1715" s="48" t="s">
        <v>2971</v>
      </c>
      <c r="B1715" s="48" t="s">
        <v>2972</v>
      </c>
      <c r="C1715" s="48" t="s">
        <v>168</v>
      </c>
      <c r="D1715" s="48" t="s">
        <v>188</v>
      </c>
      <c r="E1715" s="48"/>
      <c r="F1715" s="48"/>
      <c r="G1715" s="49" t="n">
        <v>17.25</v>
      </c>
      <c r="H1715" s="50" t="n">
        <f aca="false">MAX(0,IF(AND(Parameter!$B$21="Ja",ISNUMBER(Y1715)),Y1715,IF(Parameter!$B$20="Jahresanfang 2025 + Export",BO1715+BN1715,BN1715)))</f>
        <v>5</v>
      </c>
      <c r="I1715" s="50" t="n">
        <f aca="false">H1715*G1715</f>
        <v>86.25</v>
      </c>
      <c r="J1715" s="50" t="n">
        <f aca="false">BQ1715*Parameter!$B$18</f>
        <v>0</v>
      </c>
      <c r="K1715" s="51"/>
      <c r="L1715" s="52"/>
      <c r="M1715" s="50" t="n">
        <v>0</v>
      </c>
      <c r="N1715" s="50" t="n">
        <v>5</v>
      </c>
      <c r="O1715" s="53" t="n">
        <v>35</v>
      </c>
      <c r="P1715" s="48" t="s">
        <v>425</v>
      </c>
      <c r="Q1715" s="50" t="n">
        <v>5</v>
      </c>
      <c r="R1715" s="53" t="n">
        <f aca="false">IF(BW1715=1,0,IFERROR(VLOOKUP(BU1715,'Gebinde-Kategorie'!$A$5:$N$45,13,0)+0,0))</f>
        <v>104</v>
      </c>
      <c r="S1715" s="54"/>
      <c r="T1715" s="55"/>
      <c r="U1715" s="55"/>
      <c r="V1715" s="55"/>
      <c r="W1715" s="48"/>
      <c r="X1715" s="50"/>
      <c r="Y1715" s="50"/>
      <c r="Z1715" s="48" t="n">
        <f aca="false">IF(A1715="","",IF(AND(Parameter!$B$21="Ja",ISNUMBER(W1715)),W1715,IF(BZ1715="2+3",IF(ISNUMBER(SEARCH("grosser Artikel",BR1715)),2,IFERROR(VLOOKUP(BU1715,Parameter!$F$35:$G$64,2,0),2)),IF(OR(BZ1715="Nein",BZ1715=""),"-",BZ1715))))</f>
        <v>3</v>
      </c>
      <c r="AA1715" s="55"/>
      <c r="AB1715" s="56"/>
      <c r="AC1715" s="50" t="n">
        <f aca="false">AT1715</f>
        <v>5</v>
      </c>
      <c r="AD1715" s="50" t="n">
        <f aca="false">MAX(AT1715,H1715)</f>
        <v>5</v>
      </c>
      <c r="AE1715" s="57"/>
      <c r="AF1715" s="50" t="n">
        <f aca="false">IF(LEFT(Cockpit!$C$5,1)="A",H1715,IF(CE1715=1,CF1715,IF(LEFT(Cockpit!$C$5,1)="B",AK1715,MAX(AK1715,H1715))))</f>
        <v>5</v>
      </c>
      <c r="AG1715" s="50" t="n">
        <f aca="false">IF(BW1715=1,0,ROUNDUP(AF1715/BV1715,0))</f>
        <v>1</v>
      </c>
      <c r="AH1715" s="52" t="n">
        <f aca="false">IF(CL1715&gt;0,CL1715*MAX(1,AF1715/X1715),IF(BW1715=1,IF(AF1715&lt;=0,0,CA1715*MAX(1,IF(H1715&gt;0,AF1715/H1715,1))),IF(R1715&gt;0,AG1715/R1715,0))/MAX(0.1,N(Parameter!$M$21)))</f>
        <v>0.00961538461538462</v>
      </c>
      <c r="AI1715" s="50" t="n">
        <f aca="false">AH1715*BY1715</f>
        <v>1.49038461538462</v>
      </c>
      <c r="AJ1715" s="50" t="n">
        <f aca="false">AF1715*G1715</f>
        <v>86.25</v>
      </c>
      <c r="AK1715" s="50" t="n">
        <f aca="false">ROUNDUP(MAX(J1715/IF(CD1715&gt;0,CD1715,MAX(0.1,N(Cockpit!$C$6))),CG1715)/BV1715,0)*BV1715</f>
        <v>5</v>
      </c>
      <c r="AL1715" s="51" t="n">
        <f aca="false">IF(AI1715&gt;0,J1715/AI1715,-1)</f>
        <v>0</v>
      </c>
      <c r="AM1715" s="51" t="n">
        <f aca="false">IF(AND(OR(CC1715="L1",CC1715="L23",CC1715="LIFT"),AI1715&gt;0),SUMIFS($AI$7:$AI$1843,$CC$7:$CC$1843,CC1715,$AL$7:$AL$1843,"&gt;"&amp;AL1715)+SUMIFS($AI$7:$AI$1843,$CC$7:$CC$1843,CC1715,$AL$7:$AL$1843,AL1715,$BT$7:$BT$1843,"&lt;="&amp;BT1715),"")</f>
        <v>32833.1470349331</v>
      </c>
      <c r="AN1715" s="58" t="n">
        <f aca="false">IF(AM1715="",0,MAX(0,MIN(1,(IF(CC1715="L1",Parameter!$H$5,IF(CC1715="L23",Parameter!$H$6+Parameter!$H$7,Parameter!$H$5+Parameter!$H$6+Parameter!$H$7))-(AM1715-AI1715))/AI1715)))</f>
        <v>1</v>
      </c>
      <c r="AO1715" s="50" t="n">
        <f aca="false">IF(LEFT(Cockpit!$I$5,1)="A",H1715,IF(CE1715=1,CF1715,IF(LEFT(Cockpit!$I$5,1)="B",AT1715,MAX(AT1715,H1715))))</f>
        <v>5</v>
      </c>
      <c r="AP1715" s="50" t="n">
        <f aca="false">IF(BW1715=1,0,ROUNDUP(AO1715/BV1715,0))</f>
        <v>1</v>
      </c>
      <c r="AQ1715" s="52" t="n">
        <f aca="false">IF(CL1715&gt;0,CL1715*MAX(1,AO1715/X1715),IF(BW1715=1,IF(AO1715&lt;=0,0,CA1715*MAX(1,IF(H1715&gt;0,AO1715/H1715,1))),IF(R1715&gt;0,AP1715/R1715,0))/MAX(0.1,N(Parameter!$M$21)))</f>
        <v>0.00961538461538462</v>
      </c>
      <c r="AR1715" s="50" t="n">
        <f aca="false">AQ1715*BY1715</f>
        <v>1.49038461538462</v>
      </c>
      <c r="AS1715" s="50" t="n">
        <f aca="false">AO1715*G1715</f>
        <v>86.25</v>
      </c>
      <c r="AT1715" s="50" t="n">
        <f aca="false">ROUNDUP(MAX(J1715/IF(CD1715&gt;0,CD1715,MAX(0.1,N(Cockpit!$I$6))),CG1715)/BV1715,0)*BV1715</f>
        <v>5</v>
      </c>
      <c r="AU1715" s="51" t="n">
        <f aca="false">IF(AR1715&gt;0,J1715/AR1715,-1)</f>
        <v>0</v>
      </c>
      <c r="AV1715" s="51" t="n">
        <f aca="false">IF(AND(OR(CC1715="L1",CC1715="L23",CC1715="LIFT"),AR1715&gt;0),SUMIFS($AR$7:$AR$1843,$CC$7:$CC$1843,CC1715,$AU$7:$AU$1843,"&gt;"&amp;AU1715)+SUMIFS($AR$7:$AR$1843,$CC$7:$CC$1843,CC1715,$AU$7:$AU$1843,AU1715,$BT$7:$BT$1843,"&lt;="&amp;BT1715),"")</f>
        <v>45515.6207782331</v>
      </c>
      <c r="AW1715" s="58" t="n">
        <f aca="false">IF(AV1715="",0,MAX(0,MIN(1,(IF(CC1715="L1",Parameter!$H$5,IF(CC1715="L23",Parameter!$H$6+Parameter!$H$7,Parameter!$H$5+Parameter!$H$6+Parameter!$H$7))-(AV1715-AR1715))/AR1715)))</f>
        <v>0</v>
      </c>
      <c r="AX1715" s="50" t="n">
        <f aca="false">IF(LEFT(Cockpit!$O$5,1)="A",H1715,IF(CE1715=1,CF1715,IF(LEFT(Cockpit!$O$5,1)="B",BC1715,MAX(BC1715,H1715))))</f>
        <v>5</v>
      </c>
      <c r="AY1715" s="50" t="n">
        <f aca="false">IF(BW1715=1,0,ROUNDUP(AX1715/BV1715,0))</f>
        <v>1</v>
      </c>
      <c r="AZ1715" s="52" t="n">
        <f aca="false">IF(CL1715&gt;0,CL1715*MAX(1,AX1715/X1715),IF(BW1715=1,IF(AX1715&lt;=0,0,CA1715*MAX(1,IF(H1715&gt;0,AX1715/H1715,1))),IF(R1715&gt;0,AY1715/R1715,0))/MAX(0.1,N(Parameter!$M$21)))</f>
        <v>0.00961538461538462</v>
      </c>
      <c r="BA1715" s="50" t="n">
        <f aca="false">AZ1715*BY1715</f>
        <v>1.49038461538462</v>
      </c>
      <c r="BB1715" s="50" t="n">
        <f aca="false">AX1715*G1715</f>
        <v>86.25</v>
      </c>
      <c r="BC1715" s="50" t="n">
        <f aca="false">ROUNDUP(MAX(J1715/IF(CD1715&gt;0,CD1715,MAX(0.1,N(Cockpit!$O$6))),CG1715)/BV1715,0)*BV1715</f>
        <v>5</v>
      </c>
      <c r="BD1715" s="51" t="n">
        <f aca="false">IF(BA1715&gt;0,J1715/BA1715,-1)</f>
        <v>0</v>
      </c>
      <c r="BE1715" s="51" t="n">
        <f aca="false">IF(AND(OR(CC1715="L1",CC1715="L23",CC1715="LIFT"),BA1715&gt;0),SUMIFS($BA$7:$BA$1843,$CC$7:$CC$1843,CC1715,$BD$7:$BD$1843,"&gt;"&amp;BD1715)+SUMIFS($BA$7:$BA$1843,$CC$7:$CC$1843,CC1715,$BD$7:$BD$1843,BD1715,$BT$7:$BT$1843,"&lt;="&amp;BT1715),"")</f>
        <v>42190.6328200989</v>
      </c>
      <c r="BF1715" s="58" t="n">
        <f aca="false">IF(BE1715="",0,MAX(0,MIN(1,(IF(CC1715="L1",Parameter!$H$5,IF(CC1715="L23",Parameter!$H$6+Parameter!$H$7,Parameter!$H$5+Parameter!$H$6+Parameter!$H$7))-(BE1715-BA1715))/BA1715)))</f>
        <v>0</v>
      </c>
      <c r="BG1715" s="48" t="str">
        <f aca="false">IF(AI1715&lt;=0,"",IF(CC1715="Aussen","Aussenlager",IF(CC1715="-","Nicht im Lift",IF(AN1715&gt;=1,"Lift",IF(AN1715&lt;=0,"Aussenlager","teilweise")))))</f>
        <v>Lift</v>
      </c>
      <c r="BH1715" s="48" t="str">
        <f aca="false">IF(AR1715&lt;=0,"",IF(CC1715="Aussen","Aussenlager",IF(CC1715="-","Nicht im Lift",IF(AW1715&gt;=1,"Lift",IF(AW1715&lt;=0,"Aussenlager","teilweise")))))</f>
        <v>Aussenlager</v>
      </c>
      <c r="BI1715" s="48" t="str">
        <f aca="false">IF(BA1715&lt;=0,"",IF(CC1715="Aussen","Aussenlager",IF(CC1715="-","Nicht im Lift",IF(BF1715&gt;=1,"Lift",IF(BF1715&lt;=0,"Aussenlager","teilweise")))))</f>
        <v>Aussenlager</v>
      </c>
      <c r="BJ1715" s="48" t="str">
        <f aca="false">IF(A1715="","",IF(BS1715=1,"Neu; ","")&amp;IF(AND(BS1715=0,BN1715&lt;0),"negativer Bestand (Export "&amp;BN1715&amp;"); ","")&amp;IF(J1715&lt;=0,"Kein Verbrauch; ","")&amp;IF(CL1715&gt;0,"Lift "&amp;W1715&amp;" lt. Liftbericht (Fach "&amp;X1715&amp;" Stk); ",IF(BX1715=1,"Gebinde geschätzt ("&amp;T1715&amp;"); ",IF(BW1715=1,"Lose – Tablare geschätzt; ","")))&amp;IF(H1715&gt;AT1715,"Überbestand "&amp;ROUND(H1715-AT1715,0)&amp;" Stk / CHF "&amp;ROUND((H1715-AT1715)*G1715,0)&amp;"; ","")&amp;IF(AND(CE1715=1,CF1715&lt;CG1715),"MAX &lt; MB+LG; ","")&amp;IF(AND(CK1715&gt;0,CJ1715*10&gt;CK1715),"zu hoch für Tablar; ","")&amp;IF(AND(BS1715=0,OR(CE1715=1,AA1715&lt;&gt;"",U1715&lt;&gt;"",V1715&lt;&gt;"",AB1715&lt;&gt;"")),"manuell übersteuert; ","")&amp;IF(AND(BW1715=0,R1715=0),"Gebinde unbekannt / Stellmass fehlt; ","")&amp;IF(AND(BW1715=0,N(V1715)&lt;=0,N(Q1715)&lt;=0),"Menge pro Gebinde fehlt (Ist = 1 Gebinde); ","")&amp;BR1715)</f>
        <v>Kein Verbrauch; nur im Artikelstamm (Bestand 23.06.2026)</v>
      </c>
      <c r="BK1715" s="48"/>
      <c r="BL1715" s="48"/>
      <c r="BM1715" s="55"/>
      <c r="BN1715" s="50" t="n">
        <v>5</v>
      </c>
      <c r="BO1715" s="50" t="n">
        <v>0</v>
      </c>
      <c r="BP1715" s="49" t="n">
        <v>0</v>
      </c>
      <c r="BQ1715" s="50" t="n">
        <v>0</v>
      </c>
      <c r="BR1715" s="48" t="s">
        <v>2579</v>
      </c>
      <c r="BS1715" s="53" t="n">
        <v>0</v>
      </c>
      <c r="BT1715" s="53" t="n">
        <v>1715</v>
      </c>
      <c r="BU1715" s="48" t="str">
        <f aca="false">IF(U1715&lt;&gt;"",UPPER(TRIM(U1715)),IF(BX1715=1,UPPER(VLOOKUP(T1715,Parameter!$I$27:$K$29,2,0)),IF(P1715="","LOSE",P1715)))</f>
        <v>S32</v>
      </c>
      <c r="BV1715" s="50" t="n">
        <f aca="false">IF(BU1715="LOSE",1,IF(N(V1715)&gt;0,V1715,IF(BX1715=1,MAX(1,N(VLOOKUP(T1715,Parameter!$I$27:$K$29,3,0)),H1715,N(N1715)),IF(N(Q1715)&gt;0,Q1715,MAX(1,H1715)))))</f>
        <v>5</v>
      </c>
      <c r="BW1715" s="53" t="n">
        <f aca="false">IF(BU1715="LOSE",1,0)</f>
        <v>0</v>
      </c>
      <c r="BX1715" s="53" t="n">
        <f aca="false">IF(AND(U1715="",OR(P1715="",P1715="LOSE"),T1715&lt;&gt;"",N(S1715)&lt;=0,ISNUMBER(MATCH(T1715,Parameter!$I$27:$I$29,0))),1,0)</f>
        <v>0</v>
      </c>
      <c r="BY1715" s="53" t="n">
        <f aca="false">IF(CL1715&gt;0,INDEX(Parameter!$H$5:$H$7,W1715)/INDEX(Parameter!$E$5:$E$7,W1715),IF(AND(BW1715=0,N(IFERROR(VLOOKUP(BU1715,'Gebinde-Kategorie'!$A$5:$N$45,14,0),0))&gt;0),VLOOKUP(BU1715,'Gebinde-Kategorie'!$A$5:$N$45,14,0)*10+Parameter!$M$23,Parameter!$M$24))</f>
        <v>155</v>
      </c>
      <c r="BZ1715" s="48" t="str">
        <f aca="false">IF(AND(Parameter!$B$19="Ja",E1715&lt;&gt;"",ISNUMBER(MATCH(E1715,Parameter!$I$35:$I$52,0))),VLOOKUP(E1715,Parameter!$I$35:$J$52,2,0),IFERROR(VLOOKUP(D1715,Parameter!$A$35:$C$64,2,0),"Nein"))</f>
        <v>2+3</v>
      </c>
      <c r="CA1715" s="52" t="n">
        <f aca="false">IF(BW1715=0,0,IF(N(S1715)&gt;0,S1715,IFERROR(VLOOKUP(D1715,Parameter!$A$35:$C$64,3,0)+0,0)))</f>
        <v>0</v>
      </c>
      <c r="CB1715" s="48" t="n">
        <f aca="false">IF(AA1715&lt;&gt;"",AA1715,Z1715)</f>
        <v>3</v>
      </c>
      <c r="CC1715" s="48" t="str">
        <f aca="false">IF(OR(CB1715=1,CB1715=2,CB1715=3),IF(Parameter!$E$27="Ja","LIFT",IF(CB1715=1,"L1","L23")),IF(CB1715="Aussen","Aussen","-"))</f>
        <v>LIFT</v>
      </c>
      <c r="CD1715" s="59" t="n">
        <f aca="false">IF(N(AB1715)&gt;0,AB1715,0)</f>
        <v>0</v>
      </c>
      <c r="CE1715" s="53" t="n">
        <f aca="false">IF(ISNUMBER(AE1715),1,0)</f>
        <v>0</v>
      </c>
      <c r="CF1715" s="50" t="n">
        <f aca="false">N(AE1715)</f>
        <v>0</v>
      </c>
      <c r="CG1715" s="50" t="n">
        <f aca="false">N(M1715)+N(N1715)</f>
        <v>5</v>
      </c>
      <c r="CH1715" s="50" t="n">
        <f aca="false">ROUNDUP(H1715/BV1715,0)</f>
        <v>1</v>
      </c>
      <c r="CI1715" s="50" t="n">
        <f aca="false">ROUNDUP(CF1715/BV1715,0)</f>
        <v>0</v>
      </c>
      <c r="CJ1715" s="53" t="n">
        <f aca="false">IF(BW1715=1,0,IFERROR(VLOOKUP(BU1715,'Gebinde-Kategorie'!$A$5:$N$45,5,0)+0,0))</f>
        <v>8</v>
      </c>
      <c r="CK1715" s="53" t="n">
        <f aca="false">IFERROR(IF(OR(CB1715=1,CB1715=2,CB1715=3),N(INDEX(Parameter!$I$5:$I$7,CB1715)),0),0)</f>
        <v>0</v>
      </c>
      <c r="CL1715" s="52" t="n">
        <f aca="false">IF(AND(Parameter!$B$21="Ja",ISNUMBER(W1715),N(X1715)&gt;0),IFERROR(N(INDEX(Parameter!$L$5:$L$7,W1715))*INDEX(Parameter!$E$5:$E$7,W1715)*X1715/SUMIFS($X$7:$X$1843,$W$7:$W$1843,W1715),0),0)</f>
        <v>0</v>
      </c>
    </row>
    <row r="1716" customFormat="false" ht="15" hidden="false" customHeight="false" outlineLevel="0" collapsed="false">
      <c r="A1716" s="48" t="s">
        <v>2973</v>
      </c>
      <c r="B1716" s="48" t="s">
        <v>2974</v>
      </c>
      <c r="C1716" s="48" t="s">
        <v>168</v>
      </c>
      <c r="D1716" s="48" t="s">
        <v>188</v>
      </c>
      <c r="E1716" s="48"/>
      <c r="F1716" s="48"/>
      <c r="G1716" s="49" t="n">
        <v>123.64</v>
      </c>
      <c r="H1716" s="50" t="n">
        <f aca="false">MAX(0,IF(AND(Parameter!$B$21="Ja",ISNUMBER(Y1716)),Y1716,IF(Parameter!$B$20="Jahresanfang 2025 + Export",BO1716+BN1716,BN1716)))</f>
        <v>4</v>
      </c>
      <c r="I1716" s="50" t="n">
        <f aca="false">H1716*G1716</f>
        <v>494.56</v>
      </c>
      <c r="J1716" s="50" t="n">
        <f aca="false">BQ1716*Parameter!$B$18</f>
        <v>0</v>
      </c>
      <c r="K1716" s="51"/>
      <c r="L1716" s="52"/>
      <c r="M1716" s="50" t="n">
        <v>0</v>
      </c>
      <c r="N1716" s="50" t="n">
        <v>1</v>
      </c>
      <c r="O1716" s="53" t="n">
        <v>0</v>
      </c>
      <c r="P1716" s="48" t="s">
        <v>425</v>
      </c>
      <c r="Q1716" s="50" t="n">
        <v>3</v>
      </c>
      <c r="R1716" s="53" t="n">
        <f aca="false">IF(BW1716=1,0,IFERROR(VLOOKUP(BU1716,'Gebinde-Kategorie'!$A$5:$N$45,13,0)+0,0))</f>
        <v>104</v>
      </c>
      <c r="S1716" s="54"/>
      <c r="T1716" s="55"/>
      <c r="U1716" s="55"/>
      <c r="V1716" s="55"/>
      <c r="W1716" s="48"/>
      <c r="X1716" s="50"/>
      <c r="Y1716" s="50"/>
      <c r="Z1716" s="48" t="n">
        <f aca="false">IF(A1716="","",IF(AND(Parameter!$B$21="Ja",ISNUMBER(W1716)),W1716,IF(BZ1716="2+3",IF(ISNUMBER(SEARCH("grosser Artikel",BR1716)),2,IFERROR(VLOOKUP(BU1716,Parameter!$F$35:$G$64,2,0),2)),IF(OR(BZ1716="Nein",BZ1716=""),"-",BZ1716))))</f>
        <v>3</v>
      </c>
      <c r="AA1716" s="55"/>
      <c r="AB1716" s="56"/>
      <c r="AC1716" s="50" t="n">
        <f aca="false">AT1716</f>
        <v>3</v>
      </c>
      <c r="AD1716" s="50" t="n">
        <f aca="false">MAX(AT1716,H1716)</f>
        <v>4</v>
      </c>
      <c r="AE1716" s="57"/>
      <c r="AF1716" s="50" t="n">
        <f aca="false">IF(LEFT(Cockpit!$C$5,1)="A",H1716,IF(CE1716=1,CF1716,IF(LEFT(Cockpit!$C$5,1)="B",AK1716,MAX(AK1716,H1716))))</f>
        <v>4</v>
      </c>
      <c r="AG1716" s="50" t="n">
        <f aca="false">IF(BW1716=1,0,ROUNDUP(AF1716/BV1716,0))</f>
        <v>2</v>
      </c>
      <c r="AH1716" s="52" t="n">
        <f aca="false">IF(CL1716&gt;0,CL1716*MAX(1,AF1716/X1716),IF(BW1716=1,IF(AF1716&lt;=0,0,CA1716*MAX(1,IF(H1716&gt;0,AF1716/H1716,1))),IF(R1716&gt;0,AG1716/R1716,0))/MAX(0.1,N(Parameter!$M$21)))</f>
        <v>0.0192307692307692</v>
      </c>
      <c r="AI1716" s="50" t="n">
        <f aca="false">AH1716*BY1716</f>
        <v>2.98076923076923</v>
      </c>
      <c r="AJ1716" s="50" t="n">
        <f aca="false">AF1716*G1716</f>
        <v>494.56</v>
      </c>
      <c r="AK1716" s="50" t="n">
        <f aca="false">ROUNDUP(MAX(J1716/IF(CD1716&gt;0,CD1716,MAX(0.1,N(Cockpit!$C$6))),CG1716)/BV1716,0)*BV1716</f>
        <v>3</v>
      </c>
      <c r="AL1716" s="51" t="n">
        <f aca="false">IF(AI1716&gt;0,J1716/AI1716,-1)</f>
        <v>0</v>
      </c>
      <c r="AM1716" s="51" t="n">
        <f aca="false">IF(AND(OR(CC1716="L1",CC1716="L23",CC1716="LIFT"),AI1716&gt;0),SUMIFS($AI$7:$AI$1843,$CC$7:$CC$1843,CC1716,$AL$7:$AL$1843,"&gt;"&amp;AL1716)+SUMIFS($AI$7:$AI$1843,$CC$7:$CC$1843,CC1716,$AL$7:$AL$1843,AL1716,$BT$7:$BT$1843,"&lt;="&amp;BT1716),"")</f>
        <v>32836.1278041638</v>
      </c>
      <c r="AN1716" s="58" t="n">
        <f aca="false">IF(AM1716="",0,MAX(0,MIN(1,(IF(CC1716="L1",Parameter!$H$5,IF(CC1716="L23",Parameter!$H$6+Parameter!$H$7,Parameter!$H$5+Parameter!$H$6+Parameter!$H$7))-(AM1716-AI1716))/AI1716)))</f>
        <v>1</v>
      </c>
      <c r="AO1716" s="50" t="n">
        <f aca="false">IF(LEFT(Cockpit!$I$5,1)="A",H1716,IF(CE1716=1,CF1716,IF(LEFT(Cockpit!$I$5,1)="B",AT1716,MAX(AT1716,H1716))))</f>
        <v>4</v>
      </c>
      <c r="AP1716" s="50" t="n">
        <f aca="false">IF(BW1716=1,0,ROUNDUP(AO1716/BV1716,0))</f>
        <v>2</v>
      </c>
      <c r="AQ1716" s="52" t="n">
        <f aca="false">IF(CL1716&gt;0,CL1716*MAX(1,AO1716/X1716),IF(BW1716=1,IF(AO1716&lt;=0,0,CA1716*MAX(1,IF(H1716&gt;0,AO1716/H1716,1))),IF(R1716&gt;0,AP1716/R1716,0))/MAX(0.1,N(Parameter!$M$21)))</f>
        <v>0.0192307692307692</v>
      </c>
      <c r="AR1716" s="50" t="n">
        <f aca="false">AQ1716*BY1716</f>
        <v>2.98076923076923</v>
      </c>
      <c r="AS1716" s="50" t="n">
        <f aca="false">AO1716*G1716</f>
        <v>494.56</v>
      </c>
      <c r="AT1716" s="50" t="n">
        <f aca="false">ROUNDUP(MAX(J1716/IF(CD1716&gt;0,CD1716,MAX(0.1,N(Cockpit!$I$6))),CG1716)/BV1716,0)*BV1716</f>
        <v>3</v>
      </c>
      <c r="AU1716" s="51" t="n">
        <f aca="false">IF(AR1716&gt;0,J1716/AR1716,-1)</f>
        <v>0</v>
      </c>
      <c r="AV1716" s="51" t="n">
        <f aca="false">IF(AND(OR(CC1716="L1",CC1716="L23",CC1716="LIFT"),AR1716&gt;0),SUMIFS($AR$7:$AR$1843,$CC$7:$CC$1843,CC1716,$AU$7:$AU$1843,"&gt;"&amp;AU1716)+SUMIFS($AR$7:$AR$1843,$CC$7:$CC$1843,CC1716,$AU$7:$AU$1843,AU1716,$BT$7:$BT$1843,"&lt;="&amp;BT1716),"")</f>
        <v>45518.6015474638</v>
      </c>
      <c r="AW1716" s="58" t="n">
        <f aca="false">IF(AV1716="",0,MAX(0,MIN(1,(IF(CC1716="L1",Parameter!$H$5,IF(CC1716="L23",Parameter!$H$6+Parameter!$H$7,Parameter!$H$5+Parameter!$H$6+Parameter!$H$7))-(AV1716-AR1716))/AR1716)))</f>
        <v>0</v>
      </c>
      <c r="AX1716" s="50" t="n">
        <f aca="false">IF(LEFT(Cockpit!$O$5,1)="A",H1716,IF(CE1716=1,CF1716,IF(LEFT(Cockpit!$O$5,1)="B",BC1716,MAX(BC1716,H1716))))</f>
        <v>4</v>
      </c>
      <c r="AY1716" s="50" t="n">
        <f aca="false">IF(BW1716=1,0,ROUNDUP(AX1716/BV1716,0))</f>
        <v>2</v>
      </c>
      <c r="AZ1716" s="52" t="n">
        <f aca="false">IF(CL1716&gt;0,CL1716*MAX(1,AX1716/X1716),IF(BW1716=1,IF(AX1716&lt;=0,0,CA1716*MAX(1,IF(H1716&gt;0,AX1716/H1716,1))),IF(R1716&gt;0,AY1716/R1716,0))/MAX(0.1,N(Parameter!$M$21)))</f>
        <v>0.0192307692307692</v>
      </c>
      <c r="BA1716" s="50" t="n">
        <f aca="false">AZ1716*BY1716</f>
        <v>2.98076923076923</v>
      </c>
      <c r="BB1716" s="50" t="n">
        <f aca="false">AX1716*G1716</f>
        <v>494.56</v>
      </c>
      <c r="BC1716" s="50" t="n">
        <f aca="false">ROUNDUP(MAX(J1716/IF(CD1716&gt;0,CD1716,MAX(0.1,N(Cockpit!$O$6))),CG1716)/BV1716,0)*BV1716</f>
        <v>3</v>
      </c>
      <c r="BD1716" s="51" t="n">
        <f aca="false">IF(BA1716&gt;0,J1716/BA1716,-1)</f>
        <v>0</v>
      </c>
      <c r="BE1716" s="51" t="n">
        <f aca="false">IF(AND(OR(CC1716="L1",CC1716="L23",CC1716="LIFT"),BA1716&gt;0),SUMIFS($BA$7:$BA$1843,$CC$7:$CC$1843,CC1716,$BD$7:$BD$1843,"&gt;"&amp;BD1716)+SUMIFS($BA$7:$BA$1843,$CC$7:$CC$1843,CC1716,$BD$7:$BD$1843,BD1716,$BT$7:$BT$1843,"&lt;="&amp;BT1716),"")</f>
        <v>42193.6135893297</v>
      </c>
      <c r="BF1716" s="58" t="n">
        <f aca="false">IF(BE1716="",0,MAX(0,MIN(1,(IF(CC1716="L1",Parameter!$H$5,IF(CC1716="L23",Parameter!$H$6+Parameter!$H$7,Parameter!$H$5+Parameter!$H$6+Parameter!$H$7))-(BE1716-BA1716))/BA1716)))</f>
        <v>0</v>
      </c>
      <c r="BG1716" s="48" t="str">
        <f aca="false">IF(AI1716&lt;=0,"",IF(CC1716="Aussen","Aussenlager",IF(CC1716="-","Nicht im Lift",IF(AN1716&gt;=1,"Lift",IF(AN1716&lt;=0,"Aussenlager","teilweise")))))</f>
        <v>Lift</v>
      </c>
      <c r="BH1716" s="48" t="str">
        <f aca="false">IF(AR1716&lt;=0,"",IF(CC1716="Aussen","Aussenlager",IF(CC1716="-","Nicht im Lift",IF(AW1716&gt;=1,"Lift",IF(AW1716&lt;=0,"Aussenlager","teilweise")))))</f>
        <v>Aussenlager</v>
      </c>
      <c r="BI1716" s="48" t="str">
        <f aca="false">IF(BA1716&lt;=0,"",IF(CC1716="Aussen","Aussenlager",IF(CC1716="-","Nicht im Lift",IF(BF1716&gt;=1,"Lift",IF(BF1716&lt;=0,"Aussenlager","teilweise")))))</f>
        <v>Aussenlager</v>
      </c>
      <c r="BJ1716" s="48" t="str">
        <f aca="false">IF(A1716="","",IF(BS1716=1,"Neu; ","")&amp;IF(AND(BS1716=0,BN1716&lt;0),"negativer Bestand (Export "&amp;BN1716&amp;"); ","")&amp;IF(J1716&lt;=0,"Kein Verbrauch; ","")&amp;IF(CL1716&gt;0,"Lift "&amp;W1716&amp;" lt. Liftbericht (Fach "&amp;X1716&amp;" Stk); ",IF(BX1716=1,"Gebinde geschätzt ("&amp;T1716&amp;"); ",IF(BW1716=1,"Lose – Tablare geschätzt; ","")))&amp;IF(H1716&gt;AT1716,"Überbestand "&amp;ROUND(H1716-AT1716,0)&amp;" Stk / CHF "&amp;ROUND((H1716-AT1716)*G1716,0)&amp;"; ","")&amp;IF(AND(CE1716=1,CF1716&lt;CG1716),"MAX &lt; MB+LG; ","")&amp;IF(AND(CK1716&gt;0,CJ1716*10&gt;CK1716),"zu hoch für Tablar; ","")&amp;IF(AND(BS1716=0,OR(CE1716=1,AA1716&lt;&gt;"",U1716&lt;&gt;"",V1716&lt;&gt;"",AB1716&lt;&gt;"")),"manuell übersteuert; ","")&amp;IF(AND(BW1716=0,R1716=0),"Gebinde unbekannt / Stellmass fehlt; ","")&amp;IF(AND(BW1716=0,N(V1716)&lt;=0,N(Q1716)&lt;=0),"Menge pro Gebinde fehlt (Ist = 1 Gebinde); ","")&amp;BR1716)</f>
        <v>Kein Verbrauch; Überbestand 1 Stk / CHF 124; nur im Artikelstamm (Bestand 23.06.2026)</v>
      </c>
      <c r="BK1716" s="48"/>
      <c r="BL1716" s="48"/>
      <c r="BM1716" s="55"/>
      <c r="BN1716" s="50" t="n">
        <v>4</v>
      </c>
      <c r="BO1716" s="50" t="n">
        <v>0</v>
      </c>
      <c r="BP1716" s="49" t="n">
        <v>0</v>
      </c>
      <c r="BQ1716" s="50" t="n">
        <v>0</v>
      </c>
      <c r="BR1716" s="48" t="s">
        <v>2579</v>
      </c>
      <c r="BS1716" s="53" t="n">
        <v>0</v>
      </c>
      <c r="BT1716" s="53" t="n">
        <v>1716</v>
      </c>
      <c r="BU1716" s="48" t="str">
        <f aca="false">IF(U1716&lt;&gt;"",UPPER(TRIM(U1716)),IF(BX1716=1,UPPER(VLOOKUP(T1716,Parameter!$I$27:$K$29,2,0)),IF(P1716="","LOSE",P1716)))</f>
        <v>S32</v>
      </c>
      <c r="BV1716" s="50" t="n">
        <f aca="false">IF(BU1716="LOSE",1,IF(N(V1716)&gt;0,V1716,IF(BX1716=1,MAX(1,N(VLOOKUP(T1716,Parameter!$I$27:$K$29,3,0)),H1716,N(N1716)),IF(N(Q1716)&gt;0,Q1716,MAX(1,H1716)))))</f>
        <v>3</v>
      </c>
      <c r="BW1716" s="53" t="n">
        <f aca="false">IF(BU1716="LOSE",1,0)</f>
        <v>0</v>
      </c>
      <c r="BX1716" s="53" t="n">
        <f aca="false">IF(AND(U1716="",OR(P1716="",P1716="LOSE"),T1716&lt;&gt;"",N(S1716)&lt;=0,ISNUMBER(MATCH(T1716,Parameter!$I$27:$I$29,0))),1,0)</f>
        <v>0</v>
      </c>
      <c r="BY1716" s="53" t="n">
        <f aca="false">IF(CL1716&gt;0,INDEX(Parameter!$H$5:$H$7,W1716)/INDEX(Parameter!$E$5:$E$7,W1716),IF(AND(BW1716=0,N(IFERROR(VLOOKUP(BU1716,'Gebinde-Kategorie'!$A$5:$N$45,14,0),0))&gt;0),VLOOKUP(BU1716,'Gebinde-Kategorie'!$A$5:$N$45,14,0)*10+Parameter!$M$23,Parameter!$M$24))</f>
        <v>155</v>
      </c>
      <c r="BZ1716" s="48" t="str">
        <f aca="false">IF(AND(Parameter!$B$19="Ja",E1716&lt;&gt;"",ISNUMBER(MATCH(E1716,Parameter!$I$35:$I$52,0))),VLOOKUP(E1716,Parameter!$I$35:$J$52,2,0),IFERROR(VLOOKUP(D1716,Parameter!$A$35:$C$64,2,0),"Nein"))</f>
        <v>2+3</v>
      </c>
      <c r="CA1716" s="52" t="n">
        <f aca="false">IF(BW1716=0,0,IF(N(S1716)&gt;0,S1716,IFERROR(VLOOKUP(D1716,Parameter!$A$35:$C$64,3,0)+0,0)))</f>
        <v>0</v>
      </c>
      <c r="CB1716" s="48" t="n">
        <f aca="false">IF(AA1716&lt;&gt;"",AA1716,Z1716)</f>
        <v>3</v>
      </c>
      <c r="CC1716" s="48" t="str">
        <f aca="false">IF(OR(CB1716=1,CB1716=2,CB1716=3),IF(Parameter!$E$27="Ja","LIFT",IF(CB1716=1,"L1","L23")),IF(CB1716="Aussen","Aussen","-"))</f>
        <v>LIFT</v>
      </c>
      <c r="CD1716" s="59" t="n">
        <f aca="false">IF(N(AB1716)&gt;0,AB1716,0)</f>
        <v>0</v>
      </c>
      <c r="CE1716" s="53" t="n">
        <f aca="false">IF(ISNUMBER(AE1716),1,0)</f>
        <v>0</v>
      </c>
      <c r="CF1716" s="50" t="n">
        <f aca="false">N(AE1716)</f>
        <v>0</v>
      </c>
      <c r="CG1716" s="50" t="n">
        <f aca="false">N(M1716)+N(N1716)</f>
        <v>1</v>
      </c>
      <c r="CH1716" s="50" t="n">
        <f aca="false">ROUNDUP(H1716/BV1716,0)</f>
        <v>2</v>
      </c>
      <c r="CI1716" s="50" t="n">
        <f aca="false">ROUNDUP(CF1716/BV1716,0)</f>
        <v>0</v>
      </c>
      <c r="CJ1716" s="53" t="n">
        <f aca="false">IF(BW1716=1,0,IFERROR(VLOOKUP(BU1716,'Gebinde-Kategorie'!$A$5:$N$45,5,0)+0,0))</f>
        <v>8</v>
      </c>
      <c r="CK1716" s="53" t="n">
        <f aca="false">IFERROR(IF(OR(CB1716=1,CB1716=2,CB1716=3),N(INDEX(Parameter!$I$5:$I$7,CB1716)),0),0)</f>
        <v>0</v>
      </c>
      <c r="CL1716" s="52" t="n">
        <f aca="false">IF(AND(Parameter!$B$21="Ja",ISNUMBER(W1716),N(X1716)&gt;0),IFERROR(N(INDEX(Parameter!$L$5:$L$7,W1716))*INDEX(Parameter!$E$5:$E$7,W1716)*X1716/SUMIFS($X$7:$X$1843,$W$7:$W$1843,W1716),0),0)</f>
        <v>0</v>
      </c>
    </row>
    <row r="1717" customFormat="false" ht="15" hidden="false" customHeight="false" outlineLevel="0" collapsed="false">
      <c r="A1717" s="48" t="s">
        <v>2975</v>
      </c>
      <c r="B1717" s="48" t="s">
        <v>2976</v>
      </c>
      <c r="C1717" s="48" t="s">
        <v>168</v>
      </c>
      <c r="D1717" s="48" t="s">
        <v>188</v>
      </c>
      <c r="E1717" s="48"/>
      <c r="F1717" s="48"/>
      <c r="G1717" s="49" t="n">
        <v>75.83</v>
      </c>
      <c r="H1717" s="50" t="n">
        <f aca="false">MAX(0,IF(AND(Parameter!$B$21="Ja",ISNUMBER(Y1717)),Y1717,IF(Parameter!$B$20="Jahresanfang 2025 + Export",BO1717+BN1717,BN1717)))</f>
        <v>1</v>
      </c>
      <c r="I1717" s="50" t="n">
        <f aca="false">H1717*G1717</f>
        <v>75.83</v>
      </c>
      <c r="J1717" s="50" t="n">
        <f aca="false">BQ1717*Parameter!$B$18</f>
        <v>0</v>
      </c>
      <c r="K1717" s="51"/>
      <c r="L1717" s="52"/>
      <c r="M1717" s="50" t="n">
        <v>0</v>
      </c>
      <c r="N1717" s="50" t="n">
        <v>1</v>
      </c>
      <c r="O1717" s="53" t="n">
        <v>28</v>
      </c>
      <c r="P1717" s="48" t="s">
        <v>425</v>
      </c>
      <c r="Q1717" s="50" t="n">
        <v>1</v>
      </c>
      <c r="R1717" s="53" t="n">
        <f aca="false">IF(BW1717=1,0,IFERROR(VLOOKUP(BU1717,'Gebinde-Kategorie'!$A$5:$N$45,13,0)+0,0))</f>
        <v>104</v>
      </c>
      <c r="S1717" s="54"/>
      <c r="T1717" s="55"/>
      <c r="U1717" s="55"/>
      <c r="V1717" s="55"/>
      <c r="W1717" s="48"/>
      <c r="X1717" s="50"/>
      <c r="Y1717" s="50"/>
      <c r="Z1717" s="48" t="n">
        <f aca="false">IF(A1717="","",IF(AND(Parameter!$B$21="Ja",ISNUMBER(W1717)),W1717,IF(BZ1717="2+3",IF(ISNUMBER(SEARCH("grosser Artikel",BR1717)),2,IFERROR(VLOOKUP(BU1717,Parameter!$F$35:$G$64,2,0),2)),IF(OR(BZ1717="Nein",BZ1717=""),"-",BZ1717))))</f>
        <v>3</v>
      </c>
      <c r="AA1717" s="55"/>
      <c r="AB1717" s="56"/>
      <c r="AC1717" s="50" t="n">
        <f aca="false">AT1717</f>
        <v>1</v>
      </c>
      <c r="AD1717" s="50" t="n">
        <f aca="false">MAX(AT1717,H1717)</f>
        <v>1</v>
      </c>
      <c r="AE1717" s="57"/>
      <c r="AF1717" s="50" t="n">
        <f aca="false">IF(LEFT(Cockpit!$C$5,1)="A",H1717,IF(CE1717=1,CF1717,IF(LEFT(Cockpit!$C$5,1)="B",AK1717,MAX(AK1717,H1717))))</f>
        <v>1</v>
      </c>
      <c r="AG1717" s="50" t="n">
        <f aca="false">IF(BW1717=1,0,ROUNDUP(AF1717/BV1717,0))</f>
        <v>1</v>
      </c>
      <c r="AH1717" s="52" t="n">
        <f aca="false">IF(CL1717&gt;0,CL1717*MAX(1,AF1717/X1717),IF(BW1717=1,IF(AF1717&lt;=0,0,CA1717*MAX(1,IF(H1717&gt;0,AF1717/H1717,1))),IF(R1717&gt;0,AG1717/R1717,0))/MAX(0.1,N(Parameter!$M$21)))</f>
        <v>0.00961538461538462</v>
      </c>
      <c r="AI1717" s="50" t="n">
        <f aca="false">AH1717*BY1717</f>
        <v>1.49038461538462</v>
      </c>
      <c r="AJ1717" s="50" t="n">
        <f aca="false">AF1717*G1717</f>
        <v>75.83</v>
      </c>
      <c r="AK1717" s="50" t="n">
        <f aca="false">ROUNDUP(MAX(J1717/IF(CD1717&gt;0,CD1717,MAX(0.1,N(Cockpit!$C$6))),CG1717)/BV1717,0)*BV1717</f>
        <v>1</v>
      </c>
      <c r="AL1717" s="51" t="n">
        <f aca="false">IF(AI1717&gt;0,J1717/AI1717,-1)</f>
        <v>0</v>
      </c>
      <c r="AM1717" s="51" t="n">
        <f aca="false">IF(AND(OR(CC1717="L1",CC1717="L23",CC1717="LIFT"),AI1717&gt;0),SUMIFS($AI$7:$AI$1843,$CC$7:$CC$1843,CC1717,$AL$7:$AL$1843,"&gt;"&amp;AL1717)+SUMIFS($AI$7:$AI$1843,$CC$7:$CC$1843,CC1717,$AL$7:$AL$1843,AL1717,$BT$7:$BT$1843,"&lt;="&amp;BT1717),"")</f>
        <v>32837.6181887792</v>
      </c>
      <c r="AN1717" s="58" t="n">
        <f aca="false">IF(AM1717="",0,MAX(0,MIN(1,(IF(CC1717="L1",Parameter!$H$5,IF(CC1717="L23",Parameter!$H$6+Parameter!$H$7,Parameter!$H$5+Parameter!$H$6+Parameter!$H$7))-(AM1717-AI1717))/AI1717)))</f>
        <v>1</v>
      </c>
      <c r="AO1717" s="50" t="n">
        <f aca="false">IF(LEFT(Cockpit!$I$5,1)="A",H1717,IF(CE1717=1,CF1717,IF(LEFT(Cockpit!$I$5,1)="B",AT1717,MAX(AT1717,H1717))))</f>
        <v>1</v>
      </c>
      <c r="AP1717" s="50" t="n">
        <f aca="false">IF(BW1717=1,0,ROUNDUP(AO1717/BV1717,0))</f>
        <v>1</v>
      </c>
      <c r="AQ1717" s="52" t="n">
        <f aca="false">IF(CL1717&gt;0,CL1717*MAX(1,AO1717/X1717),IF(BW1717=1,IF(AO1717&lt;=0,0,CA1717*MAX(1,IF(H1717&gt;0,AO1717/H1717,1))),IF(R1717&gt;0,AP1717/R1717,0))/MAX(0.1,N(Parameter!$M$21)))</f>
        <v>0.00961538461538462</v>
      </c>
      <c r="AR1717" s="50" t="n">
        <f aca="false">AQ1717*BY1717</f>
        <v>1.49038461538462</v>
      </c>
      <c r="AS1717" s="50" t="n">
        <f aca="false">AO1717*G1717</f>
        <v>75.83</v>
      </c>
      <c r="AT1717" s="50" t="n">
        <f aca="false">ROUNDUP(MAX(J1717/IF(CD1717&gt;0,CD1717,MAX(0.1,N(Cockpit!$I$6))),CG1717)/BV1717,0)*BV1717</f>
        <v>1</v>
      </c>
      <c r="AU1717" s="51" t="n">
        <f aca="false">IF(AR1717&gt;0,J1717/AR1717,-1)</f>
        <v>0</v>
      </c>
      <c r="AV1717" s="51" t="n">
        <f aca="false">IF(AND(OR(CC1717="L1",CC1717="L23",CC1717="LIFT"),AR1717&gt;0),SUMIFS($AR$7:$AR$1843,$CC$7:$CC$1843,CC1717,$AU$7:$AU$1843,"&gt;"&amp;AU1717)+SUMIFS($AR$7:$AR$1843,$CC$7:$CC$1843,CC1717,$AU$7:$AU$1843,AU1717,$BT$7:$BT$1843,"&lt;="&amp;BT1717),"")</f>
        <v>45520.0919320792</v>
      </c>
      <c r="AW1717" s="58" t="n">
        <f aca="false">IF(AV1717="",0,MAX(0,MIN(1,(IF(CC1717="L1",Parameter!$H$5,IF(CC1717="L23",Parameter!$H$6+Parameter!$H$7,Parameter!$H$5+Parameter!$H$6+Parameter!$H$7))-(AV1717-AR1717))/AR1717)))</f>
        <v>0</v>
      </c>
      <c r="AX1717" s="50" t="n">
        <f aca="false">IF(LEFT(Cockpit!$O$5,1)="A",H1717,IF(CE1717=1,CF1717,IF(LEFT(Cockpit!$O$5,1)="B",BC1717,MAX(BC1717,H1717))))</f>
        <v>1</v>
      </c>
      <c r="AY1717" s="50" t="n">
        <f aca="false">IF(BW1717=1,0,ROUNDUP(AX1717/BV1717,0))</f>
        <v>1</v>
      </c>
      <c r="AZ1717" s="52" t="n">
        <f aca="false">IF(CL1717&gt;0,CL1717*MAX(1,AX1717/X1717),IF(BW1717=1,IF(AX1717&lt;=0,0,CA1717*MAX(1,IF(H1717&gt;0,AX1717/H1717,1))),IF(R1717&gt;0,AY1717/R1717,0))/MAX(0.1,N(Parameter!$M$21)))</f>
        <v>0.00961538461538462</v>
      </c>
      <c r="BA1717" s="50" t="n">
        <f aca="false">AZ1717*BY1717</f>
        <v>1.49038461538462</v>
      </c>
      <c r="BB1717" s="50" t="n">
        <f aca="false">AX1717*G1717</f>
        <v>75.83</v>
      </c>
      <c r="BC1717" s="50" t="n">
        <f aca="false">ROUNDUP(MAX(J1717/IF(CD1717&gt;0,CD1717,MAX(0.1,N(Cockpit!$O$6))),CG1717)/BV1717,0)*BV1717</f>
        <v>1</v>
      </c>
      <c r="BD1717" s="51" t="n">
        <f aca="false">IF(BA1717&gt;0,J1717/BA1717,-1)</f>
        <v>0</v>
      </c>
      <c r="BE1717" s="51" t="n">
        <f aca="false">IF(AND(OR(CC1717="L1",CC1717="L23",CC1717="LIFT"),BA1717&gt;0),SUMIFS($BA$7:$BA$1843,$CC$7:$CC$1843,CC1717,$BD$7:$BD$1843,"&gt;"&amp;BD1717)+SUMIFS($BA$7:$BA$1843,$CC$7:$CC$1843,CC1717,$BD$7:$BD$1843,BD1717,$BT$7:$BT$1843,"&lt;="&amp;BT1717),"")</f>
        <v>42195.1039739451</v>
      </c>
      <c r="BF1717" s="58" t="n">
        <f aca="false">IF(BE1717="",0,MAX(0,MIN(1,(IF(CC1717="L1",Parameter!$H$5,IF(CC1717="L23",Parameter!$H$6+Parameter!$H$7,Parameter!$H$5+Parameter!$H$6+Parameter!$H$7))-(BE1717-BA1717))/BA1717)))</f>
        <v>0</v>
      </c>
      <c r="BG1717" s="48" t="str">
        <f aca="false">IF(AI1717&lt;=0,"",IF(CC1717="Aussen","Aussenlager",IF(CC1717="-","Nicht im Lift",IF(AN1717&gt;=1,"Lift",IF(AN1717&lt;=0,"Aussenlager","teilweise")))))</f>
        <v>Lift</v>
      </c>
      <c r="BH1717" s="48" t="str">
        <f aca="false">IF(AR1717&lt;=0,"",IF(CC1717="Aussen","Aussenlager",IF(CC1717="-","Nicht im Lift",IF(AW1717&gt;=1,"Lift",IF(AW1717&lt;=0,"Aussenlager","teilweise")))))</f>
        <v>Aussenlager</v>
      </c>
      <c r="BI1717" s="48" t="str">
        <f aca="false">IF(BA1717&lt;=0,"",IF(CC1717="Aussen","Aussenlager",IF(CC1717="-","Nicht im Lift",IF(BF1717&gt;=1,"Lift",IF(BF1717&lt;=0,"Aussenlager","teilweise")))))</f>
        <v>Aussenlager</v>
      </c>
      <c r="BJ1717" s="48" t="str">
        <f aca="false">IF(A1717="","",IF(BS1717=1,"Neu; ","")&amp;IF(AND(BS1717=0,BN1717&lt;0),"negativer Bestand (Export "&amp;BN1717&amp;"); ","")&amp;IF(J1717&lt;=0,"Kein Verbrauch; ","")&amp;IF(CL1717&gt;0,"Lift "&amp;W1717&amp;" lt. Liftbericht (Fach "&amp;X1717&amp;" Stk); ",IF(BX1717=1,"Gebinde geschätzt ("&amp;T1717&amp;"); ",IF(BW1717=1,"Lose – Tablare geschätzt; ","")))&amp;IF(H1717&gt;AT1717,"Überbestand "&amp;ROUND(H1717-AT1717,0)&amp;" Stk / CHF "&amp;ROUND((H1717-AT1717)*G1717,0)&amp;"; ","")&amp;IF(AND(CE1717=1,CF1717&lt;CG1717),"MAX &lt; MB+LG; ","")&amp;IF(AND(CK1717&gt;0,CJ1717*10&gt;CK1717),"zu hoch für Tablar; ","")&amp;IF(AND(BS1717=0,OR(CE1717=1,AA1717&lt;&gt;"",U1717&lt;&gt;"",V1717&lt;&gt;"",AB1717&lt;&gt;"")),"manuell übersteuert; ","")&amp;IF(AND(BW1717=0,R1717=0),"Gebinde unbekannt / Stellmass fehlt; ","")&amp;IF(AND(BW1717=0,N(V1717)&lt;=0,N(Q1717)&lt;=0),"Menge pro Gebinde fehlt (Ist = 1 Gebinde); ","")&amp;BR1717)</f>
        <v>Kein Verbrauch; nur im Artikelstamm (Bestand 23.06.2026); Verb.Lager</v>
      </c>
      <c r="BK1717" s="48"/>
      <c r="BL1717" s="48"/>
      <c r="BM1717" s="55"/>
      <c r="BN1717" s="50" t="n">
        <v>1</v>
      </c>
      <c r="BO1717" s="50" t="n">
        <v>0</v>
      </c>
      <c r="BP1717" s="49" t="n">
        <v>0</v>
      </c>
      <c r="BQ1717" s="50" t="n">
        <v>0</v>
      </c>
      <c r="BR1717" s="48" t="s">
        <v>2573</v>
      </c>
      <c r="BS1717" s="53" t="n">
        <v>0</v>
      </c>
      <c r="BT1717" s="53" t="n">
        <v>1717</v>
      </c>
      <c r="BU1717" s="48" t="str">
        <f aca="false">IF(U1717&lt;&gt;"",UPPER(TRIM(U1717)),IF(BX1717=1,UPPER(VLOOKUP(T1717,Parameter!$I$27:$K$29,2,0)),IF(P1717="","LOSE",P1717)))</f>
        <v>S32</v>
      </c>
      <c r="BV1717" s="50" t="n">
        <f aca="false">IF(BU1717="LOSE",1,IF(N(V1717)&gt;0,V1717,IF(BX1717=1,MAX(1,N(VLOOKUP(T1717,Parameter!$I$27:$K$29,3,0)),H1717,N(N1717)),IF(N(Q1717)&gt;0,Q1717,MAX(1,H1717)))))</f>
        <v>1</v>
      </c>
      <c r="BW1717" s="53" t="n">
        <f aca="false">IF(BU1717="LOSE",1,0)</f>
        <v>0</v>
      </c>
      <c r="BX1717" s="53" t="n">
        <f aca="false">IF(AND(U1717="",OR(P1717="",P1717="LOSE"),T1717&lt;&gt;"",N(S1717)&lt;=0,ISNUMBER(MATCH(T1717,Parameter!$I$27:$I$29,0))),1,0)</f>
        <v>0</v>
      </c>
      <c r="BY1717" s="53" t="n">
        <f aca="false">IF(CL1717&gt;0,INDEX(Parameter!$H$5:$H$7,W1717)/INDEX(Parameter!$E$5:$E$7,W1717),IF(AND(BW1717=0,N(IFERROR(VLOOKUP(BU1717,'Gebinde-Kategorie'!$A$5:$N$45,14,0),0))&gt;0),VLOOKUP(BU1717,'Gebinde-Kategorie'!$A$5:$N$45,14,0)*10+Parameter!$M$23,Parameter!$M$24))</f>
        <v>155</v>
      </c>
      <c r="BZ1717" s="48" t="str">
        <f aca="false">IF(AND(Parameter!$B$19="Ja",E1717&lt;&gt;"",ISNUMBER(MATCH(E1717,Parameter!$I$35:$I$52,0))),VLOOKUP(E1717,Parameter!$I$35:$J$52,2,0),IFERROR(VLOOKUP(D1717,Parameter!$A$35:$C$64,2,0),"Nein"))</f>
        <v>2+3</v>
      </c>
      <c r="CA1717" s="52" t="n">
        <f aca="false">IF(BW1717=0,0,IF(N(S1717)&gt;0,S1717,IFERROR(VLOOKUP(D1717,Parameter!$A$35:$C$64,3,0)+0,0)))</f>
        <v>0</v>
      </c>
      <c r="CB1717" s="48" t="n">
        <f aca="false">IF(AA1717&lt;&gt;"",AA1717,Z1717)</f>
        <v>3</v>
      </c>
      <c r="CC1717" s="48" t="str">
        <f aca="false">IF(OR(CB1717=1,CB1717=2,CB1717=3),IF(Parameter!$E$27="Ja","LIFT",IF(CB1717=1,"L1","L23")),IF(CB1717="Aussen","Aussen","-"))</f>
        <v>LIFT</v>
      </c>
      <c r="CD1717" s="59" t="n">
        <f aca="false">IF(N(AB1717)&gt;0,AB1717,0)</f>
        <v>0</v>
      </c>
      <c r="CE1717" s="53" t="n">
        <f aca="false">IF(ISNUMBER(AE1717),1,0)</f>
        <v>0</v>
      </c>
      <c r="CF1717" s="50" t="n">
        <f aca="false">N(AE1717)</f>
        <v>0</v>
      </c>
      <c r="CG1717" s="50" t="n">
        <f aca="false">N(M1717)+N(N1717)</f>
        <v>1</v>
      </c>
      <c r="CH1717" s="50" t="n">
        <f aca="false">ROUNDUP(H1717/BV1717,0)</f>
        <v>1</v>
      </c>
      <c r="CI1717" s="50" t="n">
        <f aca="false">ROUNDUP(CF1717/BV1717,0)</f>
        <v>0</v>
      </c>
      <c r="CJ1717" s="53" t="n">
        <f aca="false">IF(BW1717=1,0,IFERROR(VLOOKUP(BU1717,'Gebinde-Kategorie'!$A$5:$N$45,5,0)+0,0))</f>
        <v>8</v>
      </c>
      <c r="CK1717" s="53" t="n">
        <f aca="false">IFERROR(IF(OR(CB1717=1,CB1717=2,CB1717=3),N(INDEX(Parameter!$I$5:$I$7,CB1717)),0),0)</f>
        <v>0</v>
      </c>
      <c r="CL1717" s="52" t="n">
        <f aca="false">IF(AND(Parameter!$B$21="Ja",ISNUMBER(W1717),N(X1717)&gt;0),IFERROR(N(INDEX(Parameter!$L$5:$L$7,W1717))*INDEX(Parameter!$E$5:$E$7,W1717)*X1717/SUMIFS($X$7:$X$1843,$W$7:$W$1843,W1717),0),0)</f>
        <v>0</v>
      </c>
    </row>
    <row r="1718" customFormat="false" ht="15" hidden="false" customHeight="false" outlineLevel="0" collapsed="false">
      <c r="A1718" s="48" t="s">
        <v>2977</v>
      </c>
      <c r="B1718" s="48" t="s">
        <v>2978</v>
      </c>
      <c r="C1718" s="48" t="s">
        <v>168</v>
      </c>
      <c r="D1718" s="48" t="s">
        <v>188</v>
      </c>
      <c r="E1718" s="48"/>
      <c r="F1718" s="48"/>
      <c r="G1718" s="49" t="n">
        <v>5.55</v>
      </c>
      <c r="H1718" s="50" t="n">
        <f aca="false">MAX(0,IF(AND(Parameter!$B$21="Ja",ISNUMBER(Y1718)),Y1718,IF(Parameter!$B$20="Jahresanfang 2025 + Export",BO1718+BN1718,BN1718)))</f>
        <v>4.5</v>
      </c>
      <c r="I1718" s="50" t="n">
        <f aca="false">H1718*G1718</f>
        <v>24.975</v>
      </c>
      <c r="J1718" s="50" t="n">
        <f aca="false">BQ1718*Parameter!$B$18</f>
        <v>0</v>
      </c>
      <c r="K1718" s="51"/>
      <c r="L1718" s="52"/>
      <c r="M1718" s="50" t="n">
        <v>0</v>
      </c>
      <c r="N1718" s="50" t="n">
        <v>1</v>
      </c>
      <c r="O1718" s="53" t="n">
        <v>14</v>
      </c>
      <c r="P1718" s="48" t="s">
        <v>405</v>
      </c>
      <c r="Q1718" s="50" t="n">
        <v>100</v>
      </c>
      <c r="R1718" s="53" t="n">
        <f aca="false">IF(BW1718=1,0,IFERROR(VLOOKUP(BU1718,'Gebinde-Kategorie'!$A$5:$N$45,13,0)+0,0))</f>
        <v>280</v>
      </c>
      <c r="S1718" s="54"/>
      <c r="T1718" s="55"/>
      <c r="U1718" s="55"/>
      <c r="V1718" s="55"/>
      <c r="W1718" s="48"/>
      <c r="X1718" s="50"/>
      <c r="Y1718" s="50"/>
      <c r="Z1718" s="48" t="n">
        <f aca="false">IF(A1718="","",IF(AND(Parameter!$B$21="Ja",ISNUMBER(W1718)),W1718,IF(BZ1718="2+3",IF(ISNUMBER(SEARCH("grosser Artikel",BR1718)),2,IFERROR(VLOOKUP(BU1718,Parameter!$F$35:$G$64,2,0),2)),IF(OR(BZ1718="Nein",BZ1718=""),"-",BZ1718))))</f>
        <v>3</v>
      </c>
      <c r="AA1718" s="55"/>
      <c r="AB1718" s="56"/>
      <c r="AC1718" s="50" t="n">
        <f aca="false">AT1718</f>
        <v>100</v>
      </c>
      <c r="AD1718" s="50" t="n">
        <f aca="false">MAX(AT1718,H1718)</f>
        <v>100</v>
      </c>
      <c r="AE1718" s="57"/>
      <c r="AF1718" s="50" t="n">
        <f aca="false">IF(LEFT(Cockpit!$C$5,1)="A",H1718,IF(CE1718=1,CF1718,IF(LEFT(Cockpit!$C$5,1)="B",AK1718,MAX(AK1718,H1718))))</f>
        <v>4.5</v>
      </c>
      <c r="AG1718" s="50" t="n">
        <f aca="false">IF(BW1718=1,0,ROUNDUP(AF1718/BV1718,0))</f>
        <v>1</v>
      </c>
      <c r="AH1718" s="52" t="n">
        <f aca="false">IF(CL1718&gt;0,CL1718*MAX(1,AF1718/X1718),IF(BW1718=1,IF(AF1718&lt;=0,0,CA1718*MAX(1,IF(H1718&gt;0,AF1718/H1718,1))),IF(R1718&gt;0,AG1718/R1718,0))/MAX(0.1,N(Parameter!$M$21)))</f>
        <v>0.00357142857142857</v>
      </c>
      <c r="AI1718" s="50" t="n">
        <f aca="false">AH1718*BY1718</f>
        <v>0.553571428571429</v>
      </c>
      <c r="AJ1718" s="50" t="n">
        <f aca="false">AF1718*G1718</f>
        <v>24.975</v>
      </c>
      <c r="AK1718" s="50" t="n">
        <f aca="false">ROUNDUP(MAX(J1718/IF(CD1718&gt;0,CD1718,MAX(0.1,N(Cockpit!$C$6))),CG1718)/BV1718,0)*BV1718</f>
        <v>100</v>
      </c>
      <c r="AL1718" s="51" t="n">
        <f aca="false">IF(AI1718&gt;0,J1718/AI1718,-1)</f>
        <v>0</v>
      </c>
      <c r="AM1718" s="51" t="n">
        <f aca="false">IF(AND(OR(CC1718="L1",CC1718="L23",CC1718="LIFT"),AI1718&gt;0),SUMIFS($AI$7:$AI$1843,$CC$7:$CC$1843,CC1718,$AL$7:$AL$1843,"&gt;"&amp;AL1718)+SUMIFS($AI$7:$AI$1843,$CC$7:$CC$1843,CC1718,$AL$7:$AL$1843,AL1718,$BT$7:$BT$1843,"&lt;="&amp;BT1718),"")</f>
        <v>32838.1717602078</v>
      </c>
      <c r="AN1718" s="58" t="n">
        <f aca="false">IF(AM1718="",0,MAX(0,MIN(1,(IF(CC1718="L1",Parameter!$H$5,IF(CC1718="L23",Parameter!$H$6+Parameter!$H$7,Parameter!$H$5+Parameter!$H$6+Parameter!$H$7))-(AM1718-AI1718))/AI1718)))</f>
        <v>1</v>
      </c>
      <c r="AO1718" s="50" t="n">
        <f aca="false">IF(LEFT(Cockpit!$I$5,1)="A",H1718,IF(CE1718=1,CF1718,IF(LEFT(Cockpit!$I$5,1)="B",AT1718,MAX(AT1718,H1718))))</f>
        <v>100</v>
      </c>
      <c r="AP1718" s="50" t="n">
        <f aca="false">IF(BW1718=1,0,ROUNDUP(AO1718/BV1718,0))</f>
        <v>1</v>
      </c>
      <c r="AQ1718" s="52" t="n">
        <f aca="false">IF(CL1718&gt;0,CL1718*MAX(1,AO1718/X1718),IF(BW1718=1,IF(AO1718&lt;=0,0,CA1718*MAX(1,IF(H1718&gt;0,AO1718/H1718,1))),IF(R1718&gt;0,AP1718/R1718,0))/MAX(0.1,N(Parameter!$M$21)))</f>
        <v>0.00357142857142857</v>
      </c>
      <c r="AR1718" s="50" t="n">
        <f aca="false">AQ1718*BY1718</f>
        <v>0.553571428571429</v>
      </c>
      <c r="AS1718" s="50" t="n">
        <f aca="false">AO1718*G1718</f>
        <v>555</v>
      </c>
      <c r="AT1718" s="50" t="n">
        <f aca="false">ROUNDUP(MAX(J1718/IF(CD1718&gt;0,CD1718,MAX(0.1,N(Cockpit!$I$6))),CG1718)/BV1718,0)*BV1718</f>
        <v>100</v>
      </c>
      <c r="AU1718" s="51" t="n">
        <f aca="false">IF(AR1718&gt;0,J1718/AR1718,-1)</f>
        <v>0</v>
      </c>
      <c r="AV1718" s="51" t="n">
        <f aca="false">IF(AND(OR(CC1718="L1",CC1718="L23",CC1718="LIFT"),AR1718&gt;0),SUMIFS($AR$7:$AR$1843,$CC$7:$CC$1843,CC1718,$AU$7:$AU$1843,"&gt;"&amp;AU1718)+SUMIFS($AR$7:$AR$1843,$CC$7:$CC$1843,CC1718,$AU$7:$AU$1843,AU1718,$BT$7:$BT$1843,"&lt;="&amp;BT1718),"")</f>
        <v>45520.6455035078</v>
      </c>
      <c r="AW1718" s="58" t="n">
        <f aca="false">IF(AV1718="",0,MAX(0,MIN(1,(IF(CC1718="L1",Parameter!$H$5,IF(CC1718="L23",Parameter!$H$6+Parameter!$H$7,Parameter!$H$5+Parameter!$H$6+Parameter!$H$7))-(AV1718-AR1718))/AR1718)))</f>
        <v>0</v>
      </c>
      <c r="AX1718" s="50" t="n">
        <f aca="false">IF(LEFT(Cockpit!$O$5,1)="A",H1718,IF(CE1718=1,CF1718,IF(LEFT(Cockpit!$O$5,1)="B",BC1718,MAX(BC1718,H1718))))</f>
        <v>100</v>
      </c>
      <c r="AY1718" s="50" t="n">
        <f aca="false">IF(BW1718=1,0,ROUNDUP(AX1718/BV1718,0))</f>
        <v>1</v>
      </c>
      <c r="AZ1718" s="52" t="n">
        <f aca="false">IF(CL1718&gt;0,CL1718*MAX(1,AX1718/X1718),IF(BW1718=1,IF(AX1718&lt;=0,0,CA1718*MAX(1,IF(H1718&gt;0,AX1718/H1718,1))),IF(R1718&gt;0,AY1718/R1718,0))/MAX(0.1,N(Parameter!$M$21)))</f>
        <v>0.00357142857142857</v>
      </c>
      <c r="BA1718" s="50" t="n">
        <f aca="false">AZ1718*BY1718</f>
        <v>0.553571428571429</v>
      </c>
      <c r="BB1718" s="50" t="n">
        <f aca="false">AX1718*G1718</f>
        <v>555</v>
      </c>
      <c r="BC1718" s="50" t="n">
        <f aca="false">ROUNDUP(MAX(J1718/IF(CD1718&gt;0,CD1718,MAX(0.1,N(Cockpit!$O$6))),CG1718)/BV1718,0)*BV1718</f>
        <v>100</v>
      </c>
      <c r="BD1718" s="51" t="n">
        <f aca="false">IF(BA1718&gt;0,J1718/BA1718,-1)</f>
        <v>0</v>
      </c>
      <c r="BE1718" s="51" t="n">
        <f aca="false">IF(AND(OR(CC1718="L1",CC1718="L23",CC1718="LIFT"),BA1718&gt;0),SUMIFS($BA$7:$BA$1843,$CC$7:$CC$1843,CC1718,$BD$7:$BD$1843,"&gt;"&amp;BD1718)+SUMIFS($BA$7:$BA$1843,$CC$7:$CC$1843,CC1718,$BD$7:$BD$1843,BD1718,$BT$7:$BT$1843,"&lt;="&amp;BT1718),"")</f>
        <v>42195.6575453737</v>
      </c>
      <c r="BF1718" s="58" t="n">
        <f aca="false">IF(BE1718="",0,MAX(0,MIN(1,(IF(CC1718="L1",Parameter!$H$5,IF(CC1718="L23",Parameter!$H$6+Parameter!$H$7,Parameter!$H$5+Parameter!$H$6+Parameter!$H$7))-(BE1718-BA1718))/BA1718)))</f>
        <v>0</v>
      </c>
      <c r="BG1718" s="48" t="str">
        <f aca="false">IF(AI1718&lt;=0,"",IF(CC1718="Aussen","Aussenlager",IF(CC1718="-","Nicht im Lift",IF(AN1718&gt;=1,"Lift",IF(AN1718&lt;=0,"Aussenlager","teilweise")))))</f>
        <v>Lift</v>
      </c>
      <c r="BH1718" s="48" t="str">
        <f aca="false">IF(AR1718&lt;=0,"",IF(CC1718="Aussen","Aussenlager",IF(CC1718="-","Nicht im Lift",IF(AW1718&gt;=1,"Lift",IF(AW1718&lt;=0,"Aussenlager","teilweise")))))</f>
        <v>Aussenlager</v>
      </c>
      <c r="BI1718" s="48" t="str">
        <f aca="false">IF(BA1718&lt;=0,"",IF(CC1718="Aussen","Aussenlager",IF(CC1718="-","Nicht im Lift",IF(BF1718&gt;=1,"Lift",IF(BF1718&lt;=0,"Aussenlager","teilweise")))))</f>
        <v>Aussenlager</v>
      </c>
      <c r="BJ1718" s="48" t="str">
        <f aca="false">IF(A1718="","",IF(BS1718=1,"Neu; ","")&amp;IF(AND(BS1718=0,BN1718&lt;0),"negativer Bestand (Export "&amp;BN1718&amp;"); ","")&amp;IF(J1718&lt;=0,"Kein Verbrauch; ","")&amp;IF(CL1718&gt;0,"Lift "&amp;W1718&amp;" lt. Liftbericht (Fach "&amp;X1718&amp;" Stk); ",IF(BX1718=1,"Gebinde geschätzt ("&amp;T1718&amp;"); ",IF(BW1718=1,"Lose – Tablare geschätzt; ","")))&amp;IF(H1718&gt;AT1718,"Überbestand "&amp;ROUND(H1718-AT1718,0)&amp;" Stk / CHF "&amp;ROUND((H1718-AT1718)*G1718,0)&amp;"; ","")&amp;IF(AND(CE1718=1,CF1718&lt;CG1718),"MAX &lt; MB+LG; ","")&amp;IF(AND(CK1718&gt;0,CJ1718*10&gt;CK1718),"zu hoch für Tablar; ","")&amp;IF(AND(BS1718=0,OR(CE1718=1,AA1718&lt;&gt;"",U1718&lt;&gt;"",V1718&lt;&gt;"",AB1718&lt;&gt;"")),"manuell übersteuert; ","")&amp;IF(AND(BW1718=0,R1718=0),"Gebinde unbekannt / Stellmass fehlt; ","")&amp;IF(AND(BW1718=0,N(V1718)&lt;=0,N(Q1718)&lt;=0),"Menge pro Gebinde fehlt (Ist = 1 Gebinde); ","")&amp;BR1718)</f>
        <v>Kein Verbrauch; nur im Artikelstamm (Bestand 23.06.2026)</v>
      </c>
      <c r="BK1718" s="48"/>
      <c r="BL1718" s="48"/>
      <c r="BM1718" s="55"/>
      <c r="BN1718" s="50" t="n">
        <v>4.5</v>
      </c>
      <c r="BO1718" s="50" t="n">
        <v>0</v>
      </c>
      <c r="BP1718" s="49" t="n">
        <v>0</v>
      </c>
      <c r="BQ1718" s="50" t="n">
        <v>0</v>
      </c>
      <c r="BR1718" s="48" t="s">
        <v>2579</v>
      </c>
      <c r="BS1718" s="53" t="n">
        <v>0</v>
      </c>
      <c r="BT1718" s="53" t="n">
        <v>1718</v>
      </c>
      <c r="BU1718" s="48" t="str">
        <f aca="false">IF(U1718&lt;&gt;"",UPPER(TRIM(U1718)),IF(BX1718=1,UPPER(VLOOKUP(T1718,Parameter!$I$27:$K$29,2,0)),IF(P1718="","LOSE",P1718)))</f>
        <v>S21</v>
      </c>
      <c r="BV1718" s="50" t="n">
        <f aca="false">IF(BU1718="LOSE",1,IF(N(V1718)&gt;0,V1718,IF(BX1718=1,MAX(1,N(VLOOKUP(T1718,Parameter!$I$27:$K$29,3,0)),H1718,N(N1718)),IF(N(Q1718)&gt;0,Q1718,MAX(1,H1718)))))</f>
        <v>100</v>
      </c>
      <c r="BW1718" s="53" t="n">
        <f aca="false">IF(BU1718="LOSE",1,0)</f>
        <v>0</v>
      </c>
      <c r="BX1718" s="53" t="n">
        <f aca="false">IF(AND(U1718="",OR(P1718="",P1718="LOSE"),T1718&lt;&gt;"",N(S1718)&lt;=0,ISNUMBER(MATCH(T1718,Parameter!$I$27:$I$29,0))),1,0)</f>
        <v>0</v>
      </c>
      <c r="BY1718" s="53" t="n">
        <f aca="false">IF(CL1718&gt;0,INDEX(Parameter!$H$5:$H$7,W1718)/INDEX(Parameter!$E$5:$E$7,W1718),IF(AND(BW1718=0,N(IFERROR(VLOOKUP(BU1718,'Gebinde-Kategorie'!$A$5:$N$45,14,0),0))&gt;0),VLOOKUP(BU1718,'Gebinde-Kategorie'!$A$5:$N$45,14,0)*10+Parameter!$M$23,Parameter!$M$24))</f>
        <v>155</v>
      </c>
      <c r="BZ1718" s="48" t="str">
        <f aca="false">IF(AND(Parameter!$B$19="Ja",E1718&lt;&gt;"",ISNUMBER(MATCH(E1718,Parameter!$I$35:$I$52,0))),VLOOKUP(E1718,Parameter!$I$35:$J$52,2,0),IFERROR(VLOOKUP(D1718,Parameter!$A$35:$C$64,2,0),"Nein"))</f>
        <v>2+3</v>
      </c>
      <c r="CA1718" s="52" t="n">
        <f aca="false">IF(BW1718=0,0,IF(N(S1718)&gt;0,S1718,IFERROR(VLOOKUP(D1718,Parameter!$A$35:$C$64,3,0)+0,0)))</f>
        <v>0</v>
      </c>
      <c r="CB1718" s="48" t="n">
        <f aca="false">IF(AA1718&lt;&gt;"",AA1718,Z1718)</f>
        <v>3</v>
      </c>
      <c r="CC1718" s="48" t="str">
        <f aca="false">IF(OR(CB1718=1,CB1718=2,CB1718=3),IF(Parameter!$E$27="Ja","LIFT",IF(CB1718=1,"L1","L23")),IF(CB1718="Aussen","Aussen","-"))</f>
        <v>LIFT</v>
      </c>
      <c r="CD1718" s="59" t="n">
        <f aca="false">IF(N(AB1718)&gt;0,AB1718,0)</f>
        <v>0</v>
      </c>
      <c r="CE1718" s="53" t="n">
        <f aca="false">IF(ISNUMBER(AE1718),1,0)</f>
        <v>0</v>
      </c>
      <c r="CF1718" s="50" t="n">
        <f aca="false">N(AE1718)</f>
        <v>0</v>
      </c>
      <c r="CG1718" s="50" t="n">
        <f aca="false">N(M1718)+N(N1718)</f>
        <v>1</v>
      </c>
      <c r="CH1718" s="50" t="n">
        <f aca="false">ROUNDUP(H1718/BV1718,0)</f>
        <v>1</v>
      </c>
      <c r="CI1718" s="50" t="n">
        <f aca="false">ROUNDUP(CF1718/BV1718,0)</f>
        <v>0</v>
      </c>
      <c r="CJ1718" s="53" t="n">
        <f aca="false">IF(BW1718=1,0,IFERROR(VLOOKUP(BU1718,'Gebinde-Kategorie'!$A$5:$N$45,5,0)+0,0))</f>
        <v>8</v>
      </c>
      <c r="CK1718" s="53" t="n">
        <f aca="false">IFERROR(IF(OR(CB1718=1,CB1718=2,CB1718=3),N(INDEX(Parameter!$I$5:$I$7,CB1718)),0),0)</f>
        <v>0</v>
      </c>
      <c r="CL1718" s="52" t="n">
        <f aca="false">IF(AND(Parameter!$B$21="Ja",ISNUMBER(W1718),N(X1718)&gt;0),IFERROR(N(INDEX(Parameter!$L$5:$L$7,W1718))*INDEX(Parameter!$E$5:$E$7,W1718)*X1718/SUMIFS($X$7:$X$1843,$W$7:$W$1843,W1718),0),0)</f>
        <v>0</v>
      </c>
    </row>
    <row r="1719" customFormat="false" ht="15" hidden="false" customHeight="false" outlineLevel="0" collapsed="false">
      <c r="A1719" s="48" t="s">
        <v>2979</v>
      </c>
      <c r="B1719" s="48" t="s">
        <v>2980</v>
      </c>
      <c r="C1719" s="48" t="s">
        <v>168</v>
      </c>
      <c r="D1719" s="48" t="s">
        <v>188</v>
      </c>
      <c r="E1719" s="48"/>
      <c r="F1719" s="48"/>
      <c r="G1719" s="49" t="n">
        <v>6.21</v>
      </c>
      <c r="H1719" s="50" t="n">
        <f aca="false">MAX(0,IF(AND(Parameter!$B$21="Ja",ISNUMBER(Y1719)),Y1719,IF(Parameter!$B$20="Jahresanfang 2025 + Export",BO1719+BN1719,BN1719)))</f>
        <v>60</v>
      </c>
      <c r="I1719" s="50" t="n">
        <f aca="false">H1719*G1719</f>
        <v>372.6</v>
      </c>
      <c r="J1719" s="50" t="n">
        <f aca="false">BQ1719*Parameter!$B$18</f>
        <v>0</v>
      </c>
      <c r="K1719" s="51"/>
      <c r="L1719" s="52"/>
      <c r="M1719" s="50" t="n">
        <v>0</v>
      </c>
      <c r="N1719" s="50" t="n">
        <v>20</v>
      </c>
      <c r="O1719" s="53" t="n">
        <v>0</v>
      </c>
      <c r="P1719" s="48" t="s">
        <v>405</v>
      </c>
      <c r="Q1719" s="50" t="n">
        <v>100</v>
      </c>
      <c r="R1719" s="53" t="n">
        <f aca="false">IF(BW1719=1,0,IFERROR(VLOOKUP(BU1719,'Gebinde-Kategorie'!$A$5:$N$45,13,0)+0,0))</f>
        <v>280</v>
      </c>
      <c r="S1719" s="54"/>
      <c r="T1719" s="55"/>
      <c r="U1719" s="55"/>
      <c r="V1719" s="55"/>
      <c r="W1719" s="48"/>
      <c r="X1719" s="50"/>
      <c r="Y1719" s="50"/>
      <c r="Z1719" s="48" t="n">
        <f aca="false">IF(A1719="","",IF(AND(Parameter!$B$21="Ja",ISNUMBER(W1719)),W1719,IF(BZ1719="2+3",IF(ISNUMBER(SEARCH("grosser Artikel",BR1719)),2,IFERROR(VLOOKUP(BU1719,Parameter!$F$35:$G$64,2,0),2)),IF(OR(BZ1719="Nein",BZ1719=""),"-",BZ1719))))</f>
        <v>3</v>
      </c>
      <c r="AA1719" s="55"/>
      <c r="AB1719" s="56"/>
      <c r="AC1719" s="50" t="n">
        <f aca="false">AT1719</f>
        <v>100</v>
      </c>
      <c r="AD1719" s="50" t="n">
        <f aca="false">MAX(AT1719,H1719)</f>
        <v>100</v>
      </c>
      <c r="AE1719" s="57"/>
      <c r="AF1719" s="50" t="n">
        <f aca="false">IF(LEFT(Cockpit!$C$5,1)="A",H1719,IF(CE1719=1,CF1719,IF(LEFT(Cockpit!$C$5,1)="B",AK1719,MAX(AK1719,H1719))))</f>
        <v>60</v>
      </c>
      <c r="AG1719" s="50" t="n">
        <f aca="false">IF(BW1719=1,0,ROUNDUP(AF1719/BV1719,0))</f>
        <v>1</v>
      </c>
      <c r="AH1719" s="52" t="n">
        <f aca="false">IF(CL1719&gt;0,CL1719*MAX(1,AF1719/X1719),IF(BW1719=1,IF(AF1719&lt;=0,0,CA1719*MAX(1,IF(H1719&gt;0,AF1719/H1719,1))),IF(R1719&gt;0,AG1719/R1719,0))/MAX(0.1,N(Parameter!$M$21)))</f>
        <v>0.00357142857142857</v>
      </c>
      <c r="AI1719" s="50" t="n">
        <f aca="false">AH1719*BY1719</f>
        <v>0.553571428571429</v>
      </c>
      <c r="AJ1719" s="50" t="n">
        <f aca="false">AF1719*G1719</f>
        <v>372.6</v>
      </c>
      <c r="AK1719" s="50" t="n">
        <f aca="false">ROUNDUP(MAX(J1719/IF(CD1719&gt;0,CD1719,MAX(0.1,N(Cockpit!$C$6))),CG1719)/BV1719,0)*BV1719</f>
        <v>100</v>
      </c>
      <c r="AL1719" s="51" t="n">
        <f aca="false">IF(AI1719&gt;0,J1719/AI1719,-1)</f>
        <v>0</v>
      </c>
      <c r="AM1719" s="51" t="n">
        <f aca="false">IF(AND(OR(CC1719="L1",CC1719="L23",CC1719="LIFT"),AI1719&gt;0),SUMIFS($AI$7:$AI$1843,$CC$7:$CC$1843,CC1719,$AL$7:$AL$1843,"&gt;"&amp;AL1719)+SUMIFS($AI$7:$AI$1843,$CC$7:$CC$1843,CC1719,$AL$7:$AL$1843,AL1719,$BT$7:$BT$1843,"&lt;="&amp;BT1719),"")</f>
        <v>32838.7253316364</v>
      </c>
      <c r="AN1719" s="58" t="n">
        <f aca="false">IF(AM1719="",0,MAX(0,MIN(1,(IF(CC1719="L1",Parameter!$H$5,IF(CC1719="L23",Parameter!$H$6+Parameter!$H$7,Parameter!$H$5+Parameter!$H$6+Parameter!$H$7))-(AM1719-AI1719))/AI1719)))</f>
        <v>1</v>
      </c>
      <c r="AO1719" s="50" t="n">
        <f aca="false">IF(LEFT(Cockpit!$I$5,1)="A",H1719,IF(CE1719=1,CF1719,IF(LEFT(Cockpit!$I$5,1)="B",AT1719,MAX(AT1719,H1719))))</f>
        <v>100</v>
      </c>
      <c r="AP1719" s="50" t="n">
        <f aca="false">IF(BW1719=1,0,ROUNDUP(AO1719/BV1719,0))</f>
        <v>1</v>
      </c>
      <c r="AQ1719" s="52" t="n">
        <f aca="false">IF(CL1719&gt;0,CL1719*MAX(1,AO1719/X1719),IF(BW1719=1,IF(AO1719&lt;=0,0,CA1719*MAX(1,IF(H1719&gt;0,AO1719/H1719,1))),IF(R1719&gt;0,AP1719/R1719,0))/MAX(0.1,N(Parameter!$M$21)))</f>
        <v>0.00357142857142857</v>
      </c>
      <c r="AR1719" s="50" t="n">
        <f aca="false">AQ1719*BY1719</f>
        <v>0.553571428571429</v>
      </c>
      <c r="AS1719" s="50" t="n">
        <f aca="false">AO1719*G1719</f>
        <v>621</v>
      </c>
      <c r="AT1719" s="50" t="n">
        <f aca="false">ROUNDUP(MAX(J1719/IF(CD1719&gt;0,CD1719,MAX(0.1,N(Cockpit!$I$6))),CG1719)/BV1719,0)*BV1719</f>
        <v>100</v>
      </c>
      <c r="AU1719" s="51" t="n">
        <f aca="false">IF(AR1719&gt;0,J1719/AR1719,-1)</f>
        <v>0</v>
      </c>
      <c r="AV1719" s="51" t="n">
        <f aca="false">IF(AND(OR(CC1719="L1",CC1719="L23",CC1719="LIFT"),AR1719&gt;0),SUMIFS($AR$7:$AR$1843,$CC$7:$CC$1843,CC1719,$AU$7:$AU$1843,"&gt;"&amp;AU1719)+SUMIFS($AR$7:$AR$1843,$CC$7:$CC$1843,CC1719,$AU$7:$AU$1843,AU1719,$BT$7:$BT$1843,"&lt;="&amp;BT1719),"")</f>
        <v>45521.1990749364</v>
      </c>
      <c r="AW1719" s="58" t="n">
        <f aca="false">IF(AV1719="",0,MAX(0,MIN(1,(IF(CC1719="L1",Parameter!$H$5,IF(CC1719="L23",Parameter!$H$6+Parameter!$H$7,Parameter!$H$5+Parameter!$H$6+Parameter!$H$7))-(AV1719-AR1719))/AR1719)))</f>
        <v>0</v>
      </c>
      <c r="AX1719" s="50" t="n">
        <f aca="false">IF(LEFT(Cockpit!$O$5,1)="A",H1719,IF(CE1719=1,CF1719,IF(LEFT(Cockpit!$O$5,1)="B",BC1719,MAX(BC1719,H1719))))</f>
        <v>100</v>
      </c>
      <c r="AY1719" s="50" t="n">
        <f aca="false">IF(BW1719=1,0,ROUNDUP(AX1719/BV1719,0))</f>
        <v>1</v>
      </c>
      <c r="AZ1719" s="52" t="n">
        <f aca="false">IF(CL1719&gt;0,CL1719*MAX(1,AX1719/X1719),IF(BW1719=1,IF(AX1719&lt;=0,0,CA1719*MAX(1,IF(H1719&gt;0,AX1719/H1719,1))),IF(R1719&gt;0,AY1719/R1719,0))/MAX(0.1,N(Parameter!$M$21)))</f>
        <v>0.00357142857142857</v>
      </c>
      <c r="BA1719" s="50" t="n">
        <f aca="false">AZ1719*BY1719</f>
        <v>0.553571428571429</v>
      </c>
      <c r="BB1719" s="50" t="n">
        <f aca="false">AX1719*G1719</f>
        <v>621</v>
      </c>
      <c r="BC1719" s="50" t="n">
        <f aca="false">ROUNDUP(MAX(J1719/IF(CD1719&gt;0,CD1719,MAX(0.1,N(Cockpit!$O$6))),CG1719)/BV1719,0)*BV1719</f>
        <v>100</v>
      </c>
      <c r="BD1719" s="51" t="n">
        <f aca="false">IF(BA1719&gt;0,J1719/BA1719,-1)</f>
        <v>0</v>
      </c>
      <c r="BE1719" s="51" t="n">
        <f aca="false">IF(AND(OR(CC1719="L1",CC1719="L23",CC1719="LIFT"),BA1719&gt;0),SUMIFS($BA$7:$BA$1843,$CC$7:$CC$1843,CC1719,$BD$7:$BD$1843,"&gt;"&amp;BD1719)+SUMIFS($BA$7:$BA$1843,$CC$7:$CC$1843,CC1719,$BD$7:$BD$1843,BD1719,$BT$7:$BT$1843,"&lt;="&amp;BT1719),"")</f>
        <v>42196.2111168022</v>
      </c>
      <c r="BF1719" s="58" t="n">
        <f aca="false">IF(BE1719="",0,MAX(0,MIN(1,(IF(CC1719="L1",Parameter!$H$5,IF(CC1719="L23",Parameter!$H$6+Parameter!$H$7,Parameter!$H$5+Parameter!$H$6+Parameter!$H$7))-(BE1719-BA1719))/BA1719)))</f>
        <v>0</v>
      </c>
      <c r="BG1719" s="48" t="str">
        <f aca="false">IF(AI1719&lt;=0,"",IF(CC1719="Aussen","Aussenlager",IF(CC1719="-","Nicht im Lift",IF(AN1719&gt;=1,"Lift",IF(AN1719&lt;=0,"Aussenlager","teilweise")))))</f>
        <v>Lift</v>
      </c>
      <c r="BH1719" s="48" t="str">
        <f aca="false">IF(AR1719&lt;=0,"",IF(CC1719="Aussen","Aussenlager",IF(CC1719="-","Nicht im Lift",IF(AW1719&gt;=1,"Lift",IF(AW1719&lt;=0,"Aussenlager","teilweise")))))</f>
        <v>Aussenlager</v>
      </c>
      <c r="BI1719" s="48" t="str">
        <f aca="false">IF(BA1719&lt;=0,"",IF(CC1719="Aussen","Aussenlager",IF(CC1719="-","Nicht im Lift",IF(BF1719&gt;=1,"Lift",IF(BF1719&lt;=0,"Aussenlager","teilweise")))))</f>
        <v>Aussenlager</v>
      </c>
      <c r="BJ1719" s="48" t="str">
        <f aca="false">IF(A1719="","",IF(BS1719=1,"Neu; ","")&amp;IF(AND(BS1719=0,BN1719&lt;0),"negativer Bestand (Export "&amp;BN1719&amp;"); ","")&amp;IF(J1719&lt;=0,"Kein Verbrauch; ","")&amp;IF(CL1719&gt;0,"Lift "&amp;W1719&amp;" lt. Liftbericht (Fach "&amp;X1719&amp;" Stk); ",IF(BX1719=1,"Gebinde geschätzt ("&amp;T1719&amp;"); ",IF(BW1719=1,"Lose – Tablare geschätzt; ","")))&amp;IF(H1719&gt;AT1719,"Überbestand "&amp;ROUND(H1719-AT1719,0)&amp;" Stk / CHF "&amp;ROUND((H1719-AT1719)*G1719,0)&amp;"; ","")&amp;IF(AND(CE1719=1,CF1719&lt;CG1719),"MAX &lt; MB+LG; ","")&amp;IF(AND(CK1719&gt;0,CJ1719*10&gt;CK1719),"zu hoch für Tablar; ","")&amp;IF(AND(BS1719=0,OR(CE1719=1,AA1719&lt;&gt;"",U1719&lt;&gt;"",V1719&lt;&gt;"",AB1719&lt;&gt;"")),"manuell übersteuert; ","")&amp;IF(AND(BW1719=0,R1719=0),"Gebinde unbekannt / Stellmass fehlt; ","")&amp;IF(AND(BW1719=0,N(V1719)&lt;=0,N(Q1719)&lt;=0),"Menge pro Gebinde fehlt (Ist = 1 Gebinde); ","")&amp;BR1719)</f>
        <v>Kein Verbrauch; nur im Artikelstamm (Bestand 23.06.2026)</v>
      </c>
      <c r="BK1719" s="48"/>
      <c r="BL1719" s="48"/>
      <c r="BM1719" s="55"/>
      <c r="BN1719" s="50" t="n">
        <v>60</v>
      </c>
      <c r="BO1719" s="50" t="n">
        <v>0</v>
      </c>
      <c r="BP1719" s="49" t="n">
        <v>0</v>
      </c>
      <c r="BQ1719" s="50" t="n">
        <v>0</v>
      </c>
      <c r="BR1719" s="48" t="s">
        <v>2579</v>
      </c>
      <c r="BS1719" s="53" t="n">
        <v>0</v>
      </c>
      <c r="BT1719" s="53" t="n">
        <v>1719</v>
      </c>
      <c r="BU1719" s="48" t="str">
        <f aca="false">IF(U1719&lt;&gt;"",UPPER(TRIM(U1719)),IF(BX1719=1,UPPER(VLOOKUP(T1719,Parameter!$I$27:$K$29,2,0)),IF(P1719="","LOSE",P1719)))</f>
        <v>S21</v>
      </c>
      <c r="BV1719" s="50" t="n">
        <f aca="false">IF(BU1719="LOSE",1,IF(N(V1719)&gt;0,V1719,IF(BX1719=1,MAX(1,N(VLOOKUP(T1719,Parameter!$I$27:$K$29,3,0)),H1719,N(N1719)),IF(N(Q1719)&gt;0,Q1719,MAX(1,H1719)))))</f>
        <v>100</v>
      </c>
      <c r="BW1719" s="53" t="n">
        <f aca="false">IF(BU1719="LOSE",1,0)</f>
        <v>0</v>
      </c>
      <c r="BX1719" s="53" t="n">
        <f aca="false">IF(AND(U1719="",OR(P1719="",P1719="LOSE"),T1719&lt;&gt;"",N(S1719)&lt;=0,ISNUMBER(MATCH(T1719,Parameter!$I$27:$I$29,0))),1,0)</f>
        <v>0</v>
      </c>
      <c r="BY1719" s="53" t="n">
        <f aca="false">IF(CL1719&gt;0,INDEX(Parameter!$H$5:$H$7,W1719)/INDEX(Parameter!$E$5:$E$7,W1719),IF(AND(BW1719=0,N(IFERROR(VLOOKUP(BU1719,'Gebinde-Kategorie'!$A$5:$N$45,14,0),0))&gt;0),VLOOKUP(BU1719,'Gebinde-Kategorie'!$A$5:$N$45,14,0)*10+Parameter!$M$23,Parameter!$M$24))</f>
        <v>155</v>
      </c>
      <c r="BZ1719" s="48" t="str">
        <f aca="false">IF(AND(Parameter!$B$19="Ja",E1719&lt;&gt;"",ISNUMBER(MATCH(E1719,Parameter!$I$35:$I$52,0))),VLOOKUP(E1719,Parameter!$I$35:$J$52,2,0),IFERROR(VLOOKUP(D1719,Parameter!$A$35:$C$64,2,0),"Nein"))</f>
        <v>2+3</v>
      </c>
      <c r="CA1719" s="52" t="n">
        <f aca="false">IF(BW1719=0,0,IF(N(S1719)&gt;0,S1719,IFERROR(VLOOKUP(D1719,Parameter!$A$35:$C$64,3,0)+0,0)))</f>
        <v>0</v>
      </c>
      <c r="CB1719" s="48" t="n">
        <f aca="false">IF(AA1719&lt;&gt;"",AA1719,Z1719)</f>
        <v>3</v>
      </c>
      <c r="CC1719" s="48" t="str">
        <f aca="false">IF(OR(CB1719=1,CB1719=2,CB1719=3),IF(Parameter!$E$27="Ja","LIFT",IF(CB1719=1,"L1","L23")),IF(CB1719="Aussen","Aussen","-"))</f>
        <v>LIFT</v>
      </c>
      <c r="CD1719" s="59" t="n">
        <f aca="false">IF(N(AB1719)&gt;0,AB1719,0)</f>
        <v>0</v>
      </c>
      <c r="CE1719" s="53" t="n">
        <f aca="false">IF(ISNUMBER(AE1719),1,0)</f>
        <v>0</v>
      </c>
      <c r="CF1719" s="50" t="n">
        <f aca="false">N(AE1719)</f>
        <v>0</v>
      </c>
      <c r="CG1719" s="50" t="n">
        <f aca="false">N(M1719)+N(N1719)</f>
        <v>20</v>
      </c>
      <c r="CH1719" s="50" t="n">
        <f aca="false">ROUNDUP(H1719/BV1719,0)</f>
        <v>1</v>
      </c>
      <c r="CI1719" s="50" t="n">
        <f aca="false">ROUNDUP(CF1719/BV1719,0)</f>
        <v>0</v>
      </c>
      <c r="CJ1719" s="53" t="n">
        <f aca="false">IF(BW1719=1,0,IFERROR(VLOOKUP(BU1719,'Gebinde-Kategorie'!$A$5:$N$45,5,0)+0,0))</f>
        <v>8</v>
      </c>
      <c r="CK1719" s="53" t="n">
        <f aca="false">IFERROR(IF(OR(CB1719=1,CB1719=2,CB1719=3),N(INDEX(Parameter!$I$5:$I$7,CB1719)),0),0)</f>
        <v>0</v>
      </c>
      <c r="CL1719" s="52" t="n">
        <f aca="false">IF(AND(Parameter!$B$21="Ja",ISNUMBER(W1719),N(X1719)&gt;0),IFERROR(N(INDEX(Parameter!$L$5:$L$7,W1719))*INDEX(Parameter!$E$5:$E$7,W1719)*X1719/SUMIFS($X$7:$X$1843,$W$7:$W$1843,W1719),0),0)</f>
        <v>0</v>
      </c>
    </row>
    <row r="1720" customFormat="false" ht="15" hidden="false" customHeight="false" outlineLevel="0" collapsed="false">
      <c r="A1720" s="48" t="s">
        <v>2981</v>
      </c>
      <c r="B1720" s="48" t="s">
        <v>2982</v>
      </c>
      <c r="C1720" s="48" t="s">
        <v>168</v>
      </c>
      <c r="D1720" s="48" t="s">
        <v>188</v>
      </c>
      <c r="E1720" s="48"/>
      <c r="F1720" s="48"/>
      <c r="G1720" s="49" t="n">
        <v>0.43</v>
      </c>
      <c r="H1720" s="50" t="n">
        <f aca="false">MAX(0,IF(AND(Parameter!$B$21="Ja",ISNUMBER(Y1720)),Y1720,IF(Parameter!$B$20="Jahresanfang 2025 + Export",BO1720+BN1720,BN1720)))</f>
        <v>45</v>
      </c>
      <c r="I1720" s="50" t="n">
        <f aca="false">H1720*G1720</f>
        <v>19.35</v>
      </c>
      <c r="J1720" s="50" t="n">
        <f aca="false">BQ1720*Parameter!$B$18</f>
        <v>0</v>
      </c>
      <c r="K1720" s="51"/>
      <c r="L1720" s="52"/>
      <c r="M1720" s="50" t="n">
        <v>0</v>
      </c>
      <c r="N1720" s="50" t="n">
        <v>100</v>
      </c>
      <c r="O1720" s="53" t="n">
        <v>0</v>
      </c>
      <c r="P1720" s="48" t="s">
        <v>405</v>
      </c>
      <c r="Q1720" s="50" t="n">
        <v>100</v>
      </c>
      <c r="R1720" s="53" t="n">
        <f aca="false">IF(BW1720=1,0,IFERROR(VLOOKUP(BU1720,'Gebinde-Kategorie'!$A$5:$N$45,13,0)+0,0))</f>
        <v>280</v>
      </c>
      <c r="S1720" s="54"/>
      <c r="T1720" s="55"/>
      <c r="U1720" s="55"/>
      <c r="V1720" s="55"/>
      <c r="W1720" s="48"/>
      <c r="X1720" s="50"/>
      <c r="Y1720" s="50"/>
      <c r="Z1720" s="48" t="n">
        <f aca="false">IF(A1720="","",IF(AND(Parameter!$B$21="Ja",ISNUMBER(W1720)),W1720,IF(BZ1720="2+3",IF(ISNUMBER(SEARCH("grosser Artikel",BR1720)),2,IFERROR(VLOOKUP(BU1720,Parameter!$F$35:$G$64,2,0),2)),IF(OR(BZ1720="Nein",BZ1720=""),"-",BZ1720))))</f>
        <v>3</v>
      </c>
      <c r="AA1720" s="55"/>
      <c r="AB1720" s="56"/>
      <c r="AC1720" s="50" t="n">
        <f aca="false">AT1720</f>
        <v>100</v>
      </c>
      <c r="AD1720" s="50" t="n">
        <f aca="false">MAX(AT1720,H1720)</f>
        <v>100</v>
      </c>
      <c r="AE1720" s="57"/>
      <c r="AF1720" s="50" t="n">
        <f aca="false">IF(LEFT(Cockpit!$C$5,1)="A",H1720,IF(CE1720=1,CF1720,IF(LEFT(Cockpit!$C$5,1)="B",AK1720,MAX(AK1720,H1720))))</f>
        <v>45</v>
      </c>
      <c r="AG1720" s="50" t="n">
        <f aca="false">IF(BW1720=1,0,ROUNDUP(AF1720/BV1720,0))</f>
        <v>1</v>
      </c>
      <c r="AH1720" s="52" t="n">
        <f aca="false">IF(CL1720&gt;0,CL1720*MAX(1,AF1720/X1720),IF(BW1720=1,IF(AF1720&lt;=0,0,CA1720*MAX(1,IF(H1720&gt;0,AF1720/H1720,1))),IF(R1720&gt;0,AG1720/R1720,0))/MAX(0.1,N(Parameter!$M$21)))</f>
        <v>0.00357142857142857</v>
      </c>
      <c r="AI1720" s="50" t="n">
        <f aca="false">AH1720*BY1720</f>
        <v>0.553571428571429</v>
      </c>
      <c r="AJ1720" s="50" t="n">
        <f aca="false">AF1720*G1720</f>
        <v>19.35</v>
      </c>
      <c r="AK1720" s="50" t="n">
        <f aca="false">ROUNDUP(MAX(J1720/IF(CD1720&gt;0,CD1720,MAX(0.1,N(Cockpit!$C$6))),CG1720)/BV1720,0)*BV1720</f>
        <v>100</v>
      </c>
      <c r="AL1720" s="51" t="n">
        <f aca="false">IF(AI1720&gt;0,J1720/AI1720,-1)</f>
        <v>0</v>
      </c>
      <c r="AM1720" s="51" t="n">
        <f aca="false">IF(AND(OR(CC1720="L1",CC1720="L23",CC1720="LIFT"),AI1720&gt;0),SUMIFS($AI$7:$AI$1843,$CC$7:$CC$1843,CC1720,$AL$7:$AL$1843,"&gt;"&amp;AL1720)+SUMIFS($AI$7:$AI$1843,$CC$7:$CC$1843,CC1720,$AL$7:$AL$1843,AL1720,$BT$7:$BT$1843,"&lt;="&amp;BT1720),"")</f>
        <v>32839.2789030649</v>
      </c>
      <c r="AN1720" s="58" t="n">
        <f aca="false">IF(AM1720="",0,MAX(0,MIN(1,(IF(CC1720="L1",Parameter!$H$5,IF(CC1720="L23",Parameter!$H$6+Parameter!$H$7,Parameter!$H$5+Parameter!$H$6+Parameter!$H$7))-(AM1720-AI1720))/AI1720)))</f>
        <v>1</v>
      </c>
      <c r="AO1720" s="50" t="n">
        <f aca="false">IF(LEFT(Cockpit!$I$5,1)="A",H1720,IF(CE1720=1,CF1720,IF(LEFT(Cockpit!$I$5,1)="B",AT1720,MAX(AT1720,H1720))))</f>
        <v>100</v>
      </c>
      <c r="AP1720" s="50" t="n">
        <f aca="false">IF(BW1720=1,0,ROUNDUP(AO1720/BV1720,0))</f>
        <v>1</v>
      </c>
      <c r="AQ1720" s="52" t="n">
        <f aca="false">IF(CL1720&gt;0,CL1720*MAX(1,AO1720/X1720),IF(BW1720=1,IF(AO1720&lt;=0,0,CA1720*MAX(1,IF(H1720&gt;0,AO1720/H1720,1))),IF(R1720&gt;0,AP1720/R1720,0))/MAX(0.1,N(Parameter!$M$21)))</f>
        <v>0.00357142857142857</v>
      </c>
      <c r="AR1720" s="50" t="n">
        <f aca="false">AQ1720*BY1720</f>
        <v>0.553571428571429</v>
      </c>
      <c r="AS1720" s="50" t="n">
        <f aca="false">AO1720*G1720</f>
        <v>43</v>
      </c>
      <c r="AT1720" s="50" t="n">
        <f aca="false">ROUNDUP(MAX(J1720/IF(CD1720&gt;0,CD1720,MAX(0.1,N(Cockpit!$I$6))),CG1720)/BV1720,0)*BV1720</f>
        <v>100</v>
      </c>
      <c r="AU1720" s="51" t="n">
        <f aca="false">IF(AR1720&gt;0,J1720/AR1720,-1)</f>
        <v>0</v>
      </c>
      <c r="AV1720" s="51" t="n">
        <f aca="false">IF(AND(OR(CC1720="L1",CC1720="L23",CC1720="LIFT"),AR1720&gt;0),SUMIFS($AR$7:$AR$1843,$CC$7:$CC$1843,CC1720,$AU$7:$AU$1843,"&gt;"&amp;AU1720)+SUMIFS($AR$7:$AR$1843,$CC$7:$CC$1843,CC1720,$AU$7:$AU$1843,AU1720,$BT$7:$BT$1843,"&lt;="&amp;BT1720),"")</f>
        <v>45521.7526463649</v>
      </c>
      <c r="AW1720" s="58" t="n">
        <f aca="false">IF(AV1720="",0,MAX(0,MIN(1,(IF(CC1720="L1",Parameter!$H$5,IF(CC1720="L23",Parameter!$H$6+Parameter!$H$7,Parameter!$H$5+Parameter!$H$6+Parameter!$H$7))-(AV1720-AR1720))/AR1720)))</f>
        <v>0</v>
      </c>
      <c r="AX1720" s="50" t="n">
        <f aca="false">IF(LEFT(Cockpit!$O$5,1)="A",H1720,IF(CE1720=1,CF1720,IF(LEFT(Cockpit!$O$5,1)="B",BC1720,MAX(BC1720,H1720))))</f>
        <v>100</v>
      </c>
      <c r="AY1720" s="50" t="n">
        <f aca="false">IF(BW1720=1,0,ROUNDUP(AX1720/BV1720,0))</f>
        <v>1</v>
      </c>
      <c r="AZ1720" s="52" t="n">
        <f aca="false">IF(CL1720&gt;0,CL1720*MAX(1,AX1720/X1720),IF(BW1720=1,IF(AX1720&lt;=0,0,CA1720*MAX(1,IF(H1720&gt;0,AX1720/H1720,1))),IF(R1720&gt;0,AY1720/R1720,0))/MAX(0.1,N(Parameter!$M$21)))</f>
        <v>0.00357142857142857</v>
      </c>
      <c r="BA1720" s="50" t="n">
        <f aca="false">AZ1720*BY1720</f>
        <v>0.553571428571429</v>
      </c>
      <c r="BB1720" s="50" t="n">
        <f aca="false">AX1720*G1720</f>
        <v>43</v>
      </c>
      <c r="BC1720" s="50" t="n">
        <f aca="false">ROUNDUP(MAX(J1720/IF(CD1720&gt;0,CD1720,MAX(0.1,N(Cockpit!$O$6))),CG1720)/BV1720,0)*BV1720</f>
        <v>100</v>
      </c>
      <c r="BD1720" s="51" t="n">
        <f aca="false">IF(BA1720&gt;0,J1720/BA1720,-1)</f>
        <v>0</v>
      </c>
      <c r="BE1720" s="51" t="n">
        <f aca="false">IF(AND(OR(CC1720="L1",CC1720="L23",CC1720="LIFT"),BA1720&gt;0),SUMIFS($BA$7:$BA$1843,$CC$7:$CC$1843,CC1720,$BD$7:$BD$1843,"&gt;"&amp;BD1720)+SUMIFS($BA$7:$BA$1843,$CC$7:$CC$1843,CC1720,$BD$7:$BD$1843,BD1720,$BT$7:$BT$1843,"&lt;="&amp;BT1720),"")</f>
        <v>42196.7646882308</v>
      </c>
      <c r="BF1720" s="58" t="n">
        <f aca="false">IF(BE1720="",0,MAX(0,MIN(1,(IF(CC1720="L1",Parameter!$H$5,IF(CC1720="L23",Parameter!$H$6+Parameter!$H$7,Parameter!$H$5+Parameter!$H$6+Parameter!$H$7))-(BE1720-BA1720))/BA1720)))</f>
        <v>0</v>
      </c>
      <c r="BG1720" s="48" t="str">
        <f aca="false">IF(AI1720&lt;=0,"",IF(CC1720="Aussen","Aussenlager",IF(CC1720="-","Nicht im Lift",IF(AN1720&gt;=1,"Lift",IF(AN1720&lt;=0,"Aussenlager","teilweise")))))</f>
        <v>Lift</v>
      </c>
      <c r="BH1720" s="48" t="str">
        <f aca="false">IF(AR1720&lt;=0,"",IF(CC1720="Aussen","Aussenlager",IF(CC1720="-","Nicht im Lift",IF(AW1720&gt;=1,"Lift",IF(AW1720&lt;=0,"Aussenlager","teilweise")))))</f>
        <v>Aussenlager</v>
      </c>
      <c r="BI1720" s="48" t="str">
        <f aca="false">IF(BA1720&lt;=0,"",IF(CC1720="Aussen","Aussenlager",IF(CC1720="-","Nicht im Lift",IF(BF1720&gt;=1,"Lift",IF(BF1720&lt;=0,"Aussenlager","teilweise")))))</f>
        <v>Aussenlager</v>
      </c>
      <c r="BJ1720" s="48" t="str">
        <f aca="false">IF(A1720="","",IF(BS1720=1,"Neu; ","")&amp;IF(AND(BS1720=0,BN1720&lt;0),"negativer Bestand (Export "&amp;BN1720&amp;"); ","")&amp;IF(J1720&lt;=0,"Kein Verbrauch; ","")&amp;IF(CL1720&gt;0,"Lift "&amp;W1720&amp;" lt. Liftbericht (Fach "&amp;X1720&amp;" Stk); ",IF(BX1720=1,"Gebinde geschätzt ("&amp;T1720&amp;"); ",IF(BW1720=1,"Lose – Tablare geschätzt; ","")))&amp;IF(H1720&gt;AT1720,"Überbestand "&amp;ROUND(H1720-AT1720,0)&amp;" Stk / CHF "&amp;ROUND((H1720-AT1720)*G1720,0)&amp;"; ","")&amp;IF(AND(CE1720=1,CF1720&lt;CG1720),"MAX &lt; MB+LG; ","")&amp;IF(AND(CK1720&gt;0,CJ1720*10&gt;CK1720),"zu hoch für Tablar; ","")&amp;IF(AND(BS1720=0,OR(CE1720=1,AA1720&lt;&gt;"",U1720&lt;&gt;"",V1720&lt;&gt;"",AB1720&lt;&gt;"")),"manuell übersteuert; ","")&amp;IF(AND(BW1720=0,R1720=0),"Gebinde unbekannt / Stellmass fehlt; ","")&amp;IF(AND(BW1720=0,N(V1720)&lt;=0,N(Q1720)&lt;=0),"Menge pro Gebinde fehlt (Ist = 1 Gebinde); ","")&amp;BR1720)</f>
        <v>Kein Verbrauch; nur im Artikelstamm (Bestand 23.06.2026)</v>
      </c>
      <c r="BK1720" s="48"/>
      <c r="BL1720" s="48"/>
      <c r="BM1720" s="55"/>
      <c r="BN1720" s="50" t="n">
        <v>45</v>
      </c>
      <c r="BO1720" s="50" t="n">
        <v>0</v>
      </c>
      <c r="BP1720" s="49" t="n">
        <v>0</v>
      </c>
      <c r="BQ1720" s="50" t="n">
        <v>0</v>
      </c>
      <c r="BR1720" s="48" t="s">
        <v>2579</v>
      </c>
      <c r="BS1720" s="53" t="n">
        <v>0</v>
      </c>
      <c r="BT1720" s="53" t="n">
        <v>1720</v>
      </c>
      <c r="BU1720" s="48" t="str">
        <f aca="false">IF(U1720&lt;&gt;"",UPPER(TRIM(U1720)),IF(BX1720=1,UPPER(VLOOKUP(T1720,Parameter!$I$27:$K$29,2,0)),IF(P1720="","LOSE",P1720)))</f>
        <v>S21</v>
      </c>
      <c r="BV1720" s="50" t="n">
        <f aca="false">IF(BU1720="LOSE",1,IF(N(V1720)&gt;0,V1720,IF(BX1720=1,MAX(1,N(VLOOKUP(T1720,Parameter!$I$27:$K$29,3,0)),H1720,N(N1720)),IF(N(Q1720)&gt;0,Q1720,MAX(1,H1720)))))</f>
        <v>100</v>
      </c>
      <c r="BW1720" s="53" t="n">
        <f aca="false">IF(BU1720="LOSE",1,0)</f>
        <v>0</v>
      </c>
      <c r="BX1720" s="53" t="n">
        <f aca="false">IF(AND(U1720="",OR(P1720="",P1720="LOSE"),T1720&lt;&gt;"",N(S1720)&lt;=0,ISNUMBER(MATCH(T1720,Parameter!$I$27:$I$29,0))),1,0)</f>
        <v>0</v>
      </c>
      <c r="BY1720" s="53" t="n">
        <f aca="false">IF(CL1720&gt;0,INDEX(Parameter!$H$5:$H$7,W1720)/INDEX(Parameter!$E$5:$E$7,W1720),IF(AND(BW1720=0,N(IFERROR(VLOOKUP(BU1720,'Gebinde-Kategorie'!$A$5:$N$45,14,0),0))&gt;0),VLOOKUP(BU1720,'Gebinde-Kategorie'!$A$5:$N$45,14,0)*10+Parameter!$M$23,Parameter!$M$24))</f>
        <v>155</v>
      </c>
      <c r="BZ1720" s="48" t="str">
        <f aca="false">IF(AND(Parameter!$B$19="Ja",E1720&lt;&gt;"",ISNUMBER(MATCH(E1720,Parameter!$I$35:$I$52,0))),VLOOKUP(E1720,Parameter!$I$35:$J$52,2,0),IFERROR(VLOOKUP(D1720,Parameter!$A$35:$C$64,2,0),"Nein"))</f>
        <v>2+3</v>
      </c>
      <c r="CA1720" s="52" t="n">
        <f aca="false">IF(BW1720=0,0,IF(N(S1720)&gt;0,S1720,IFERROR(VLOOKUP(D1720,Parameter!$A$35:$C$64,3,0)+0,0)))</f>
        <v>0</v>
      </c>
      <c r="CB1720" s="48" t="n">
        <f aca="false">IF(AA1720&lt;&gt;"",AA1720,Z1720)</f>
        <v>3</v>
      </c>
      <c r="CC1720" s="48" t="str">
        <f aca="false">IF(OR(CB1720=1,CB1720=2,CB1720=3),IF(Parameter!$E$27="Ja","LIFT",IF(CB1720=1,"L1","L23")),IF(CB1720="Aussen","Aussen","-"))</f>
        <v>LIFT</v>
      </c>
      <c r="CD1720" s="59" t="n">
        <f aca="false">IF(N(AB1720)&gt;0,AB1720,0)</f>
        <v>0</v>
      </c>
      <c r="CE1720" s="53" t="n">
        <f aca="false">IF(ISNUMBER(AE1720),1,0)</f>
        <v>0</v>
      </c>
      <c r="CF1720" s="50" t="n">
        <f aca="false">N(AE1720)</f>
        <v>0</v>
      </c>
      <c r="CG1720" s="50" t="n">
        <f aca="false">N(M1720)+N(N1720)</f>
        <v>100</v>
      </c>
      <c r="CH1720" s="50" t="n">
        <f aca="false">ROUNDUP(H1720/BV1720,0)</f>
        <v>1</v>
      </c>
      <c r="CI1720" s="50" t="n">
        <f aca="false">ROUNDUP(CF1720/BV1720,0)</f>
        <v>0</v>
      </c>
      <c r="CJ1720" s="53" t="n">
        <f aca="false">IF(BW1720=1,0,IFERROR(VLOOKUP(BU1720,'Gebinde-Kategorie'!$A$5:$N$45,5,0)+0,0))</f>
        <v>8</v>
      </c>
      <c r="CK1720" s="53" t="n">
        <f aca="false">IFERROR(IF(OR(CB1720=1,CB1720=2,CB1720=3),N(INDEX(Parameter!$I$5:$I$7,CB1720)),0),0)</f>
        <v>0</v>
      </c>
      <c r="CL1720" s="52" t="n">
        <f aca="false">IF(AND(Parameter!$B$21="Ja",ISNUMBER(W1720),N(X1720)&gt;0),IFERROR(N(INDEX(Parameter!$L$5:$L$7,W1720))*INDEX(Parameter!$E$5:$E$7,W1720)*X1720/SUMIFS($X$7:$X$1843,$W$7:$W$1843,W1720),0),0)</f>
        <v>0</v>
      </c>
    </row>
    <row r="1721" customFormat="false" ht="15" hidden="false" customHeight="false" outlineLevel="0" collapsed="false">
      <c r="A1721" s="48" t="s">
        <v>2983</v>
      </c>
      <c r="B1721" s="48" t="s">
        <v>371</v>
      </c>
      <c r="C1721" s="48" t="s">
        <v>168</v>
      </c>
      <c r="D1721" s="48" t="s">
        <v>188</v>
      </c>
      <c r="E1721" s="48"/>
      <c r="F1721" s="48"/>
      <c r="G1721" s="49" t="n">
        <v>6.3</v>
      </c>
      <c r="H1721" s="50" t="n">
        <f aca="false">MAX(0,IF(AND(Parameter!$B$21="Ja",ISNUMBER(Y1721)),Y1721,IF(Parameter!$B$20="Jahresanfang 2025 + Export",BO1721+BN1721,BN1721)))</f>
        <v>12</v>
      </c>
      <c r="I1721" s="50" t="n">
        <f aca="false">H1721*G1721</f>
        <v>75.6</v>
      </c>
      <c r="J1721" s="50" t="n">
        <f aca="false">BQ1721*Parameter!$B$18</f>
        <v>0</v>
      </c>
      <c r="K1721" s="51"/>
      <c r="L1721" s="52"/>
      <c r="M1721" s="50" t="n">
        <v>0</v>
      </c>
      <c r="N1721" s="50" t="n">
        <v>15</v>
      </c>
      <c r="O1721" s="53" t="n">
        <v>14</v>
      </c>
      <c r="P1721" s="48" t="s">
        <v>405</v>
      </c>
      <c r="Q1721" s="50" t="n">
        <v>50</v>
      </c>
      <c r="R1721" s="53" t="n">
        <f aca="false">IF(BW1721=1,0,IFERROR(VLOOKUP(BU1721,'Gebinde-Kategorie'!$A$5:$N$45,13,0)+0,0))</f>
        <v>280</v>
      </c>
      <c r="S1721" s="54"/>
      <c r="T1721" s="55"/>
      <c r="U1721" s="55"/>
      <c r="V1721" s="55"/>
      <c r="W1721" s="48"/>
      <c r="X1721" s="50"/>
      <c r="Y1721" s="50"/>
      <c r="Z1721" s="48" t="n">
        <f aca="false">IF(A1721="","",IF(AND(Parameter!$B$21="Ja",ISNUMBER(W1721)),W1721,IF(BZ1721="2+3",IF(ISNUMBER(SEARCH("grosser Artikel",BR1721)),2,IFERROR(VLOOKUP(BU1721,Parameter!$F$35:$G$64,2,0),2)),IF(OR(BZ1721="Nein",BZ1721=""),"-",BZ1721))))</f>
        <v>3</v>
      </c>
      <c r="AA1721" s="55"/>
      <c r="AB1721" s="56"/>
      <c r="AC1721" s="50" t="n">
        <f aca="false">AT1721</f>
        <v>50</v>
      </c>
      <c r="AD1721" s="50" t="n">
        <f aca="false">MAX(AT1721,H1721)</f>
        <v>50</v>
      </c>
      <c r="AE1721" s="57"/>
      <c r="AF1721" s="50" t="n">
        <f aca="false">IF(LEFT(Cockpit!$C$5,1)="A",H1721,IF(CE1721=1,CF1721,IF(LEFT(Cockpit!$C$5,1)="B",AK1721,MAX(AK1721,H1721))))</f>
        <v>12</v>
      </c>
      <c r="AG1721" s="50" t="n">
        <f aca="false">IF(BW1721=1,0,ROUNDUP(AF1721/BV1721,0))</f>
        <v>1</v>
      </c>
      <c r="AH1721" s="52" t="n">
        <f aca="false">IF(CL1721&gt;0,CL1721*MAX(1,AF1721/X1721),IF(BW1721=1,IF(AF1721&lt;=0,0,CA1721*MAX(1,IF(H1721&gt;0,AF1721/H1721,1))),IF(R1721&gt;0,AG1721/R1721,0))/MAX(0.1,N(Parameter!$M$21)))</f>
        <v>0.00357142857142857</v>
      </c>
      <c r="AI1721" s="50" t="n">
        <f aca="false">AH1721*BY1721</f>
        <v>0.553571428571429</v>
      </c>
      <c r="AJ1721" s="50" t="n">
        <f aca="false">AF1721*G1721</f>
        <v>75.6</v>
      </c>
      <c r="AK1721" s="50" t="n">
        <f aca="false">ROUNDUP(MAX(J1721/IF(CD1721&gt;0,CD1721,MAX(0.1,N(Cockpit!$C$6))),CG1721)/BV1721,0)*BV1721</f>
        <v>50</v>
      </c>
      <c r="AL1721" s="51" t="n">
        <f aca="false">IF(AI1721&gt;0,J1721/AI1721,-1)</f>
        <v>0</v>
      </c>
      <c r="AM1721" s="51" t="n">
        <f aca="false">IF(AND(OR(CC1721="L1",CC1721="L23",CC1721="LIFT"),AI1721&gt;0),SUMIFS($AI$7:$AI$1843,$CC$7:$CC$1843,CC1721,$AL$7:$AL$1843,"&gt;"&amp;AL1721)+SUMIFS($AI$7:$AI$1843,$CC$7:$CC$1843,CC1721,$AL$7:$AL$1843,AL1721,$BT$7:$BT$1843,"&lt;="&amp;BT1721),"")</f>
        <v>32839.8324744935</v>
      </c>
      <c r="AN1721" s="58" t="n">
        <f aca="false">IF(AM1721="",0,MAX(0,MIN(1,(IF(CC1721="L1",Parameter!$H$5,IF(CC1721="L23",Parameter!$H$6+Parameter!$H$7,Parameter!$H$5+Parameter!$H$6+Parameter!$H$7))-(AM1721-AI1721))/AI1721)))</f>
        <v>1</v>
      </c>
      <c r="AO1721" s="50" t="n">
        <f aca="false">IF(LEFT(Cockpit!$I$5,1)="A",H1721,IF(CE1721=1,CF1721,IF(LEFT(Cockpit!$I$5,1)="B",AT1721,MAX(AT1721,H1721))))</f>
        <v>50</v>
      </c>
      <c r="AP1721" s="50" t="n">
        <f aca="false">IF(BW1721=1,0,ROUNDUP(AO1721/BV1721,0))</f>
        <v>1</v>
      </c>
      <c r="AQ1721" s="52" t="n">
        <f aca="false">IF(CL1721&gt;0,CL1721*MAX(1,AO1721/X1721),IF(BW1721=1,IF(AO1721&lt;=0,0,CA1721*MAX(1,IF(H1721&gt;0,AO1721/H1721,1))),IF(R1721&gt;0,AP1721/R1721,0))/MAX(0.1,N(Parameter!$M$21)))</f>
        <v>0.00357142857142857</v>
      </c>
      <c r="AR1721" s="50" t="n">
        <f aca="false">AQ1721*BY1721</f>
        <v>0.553571428571429</v>
      </c>
      <c r="AS1721" s="50" t="n">
        <f aca="false">AO1721*G1721</f>
        <v>315</v>
      </c>
      <c r="AT1721" s="50" t="n">
        <f aca="false">ROUNDUP(MAX(J1721/IF(CD1721&gt;0,CD1721,MAX(0.1,N(Cockpit!$I$6))),CG1721)/BV1721,0)*BV1721</f>
        <v>50</v>
      </c>
      <c r="AU1721" s="51" t="n">
        <f aca="false">IF(AR1721&gt;0,J1721/AR1721,-1)</f>
        <v>0</v>
      </c>
      <c r="AV1721" s="51" t="n">
        <f aca="false">IF(AND(OR(CC1721="L1",CC1721="L23",CC1721="LIFT"),AR1721&gt;0),SUMIFS($AR$7:$AR$1843,$CC$7:$CC$1843,CC1721,$AU$7:$AU$1843,"&gt;"&amp;AU1721)+SUMIFS($AR$7:$AR$1843,$CC$7:$CC$1843,CC1721,$AU$7:$AU$1843,AU1721,$BT$7:$BT$1843,"&lt;="&amp;BT1721),"")</f>
        <v>45522.3062177935</v>
      </c>
      <c r="AW1721" s="58" t="n">
        <f aca="false">IF(AV1721="",0,MAX(0,MIN(1,(IF(CC1721="L1",Parameter!$H$5,IF(CC1721="L23",Parameter!$H$6+Parameter!$H$7,Parameter!$H$5+Parameter!$H$6+Parameter!$H$7))-(AV1721-AR1721))/AR1721)))</f>
        <v>0</v>
      </c>
      <c r="AX1721" s="50" t="n">
        <f aca="false">IF(LEFT(Cockpit!$O$5,1)="A",H1721,IF(CE1721=1,CF1721,IF(LEFT(Cockpit!$O$5,1)="B",BC1721,MAX(BC1721,H1721))))</f>
        <v>50</v>
      </c>
      <c r="AY1721" s="50" t="n">
        <f aca="false">IF(BW1721=1,0,ROUNDUP(AX1721/BV1721,0))</f>
        <v>1</v>
      </c>
      <c r="AZ1721" s="52" t="n">
        <f aca="false">IF(CL1721&gt;0,CL1721*MAX(1,AX1721/X1721),IF(BW1721=1,IF(AX1721&lt;=0,0,CA1721*MAX(1,IF(H1721&gt;0,AX1721/H1721,1))),IF(R1721&gt;0,AY1721/R1721,0))/MAX(0.1,N(Parameter!$M$21)))</f>
        <v>0.00357142857142857</v>
      </c>
      <c r="BA1721" s="50" t="n">
        <f aca="false">AZ1721*BY1721</f>
        <v>0.553571428571429</v>
      </c>
      <c r="BB1721" s="50" t="n">
        <f aca="false">AX1721*G1721</f>
        <v>315</v>
      </c>
      <c r="BC1721" s="50" t="n">
        <f aca="false">ROUNDUP(MAX(J1721/IF(CD1721&gt;0,CD1721,MAX(0.1,N(Cockpit!$O$6))),CG1721)/BV1721,0)*BV1721</f>
        <v>50</v>
      </c>
      <c r="BD1721" s="51" t="n">
        <f aca="false">IF(BA1721&gt;0,J1721/BA1721,-1)</f>
        <v>0</v>
      </c>
      <c r="BE1721" s="51" t="n">
        <f aca="false">IF(AND(OR(CC1721="L1",CC1721="L23",CC1721="LIFT"),BA1721&gt;0),SUMIFS($BA$7:$BA$1843,$CC$7:$CC$1843,CC1721,$BD$7:$BD$1843,"&gt;"&amp;BD1721)+SUMIFS($BA$7:$BA$1843,$CC$7:$CC$1843,CC1721,$BD$7:$BD$1843,BD1721,$BT$7:$BT$1843,"&lt;="&amp;BT1721),"")</f>
        <v>42197.3182596594</v>
      </c>
      <c r="BF1721" s="58" t="n">
        <f aca="false">IF(BE1721="",0,MAX(0,MIN(1,(IF(CC1721="L1",Parameter!$H$5,IF(CC1721="L23",Parameter!$H$6+Parameter!$H$7,Parameter!$H$5+Parameter!$H$6+Parameter!$H$7))-(BE1721-BA1721))/BA1721)))</f>
        <v>0</v>
      </c>
      <c r="BG1721" s="48" t="str">
        <f aca="false">IF(AI1721&lt;=0,"",IF(CC1721="Aussen","Aussenlager",IF(CC1721="-","Nicht im Lift",IF(AN1721&gt;=1,"Lift",IF(AN1721&lt;=0,"Aussenlager","teilweise")))))</f>
        <v>Lift</v>
      </c>
      <c r="BH1721" s="48" t="str">
        <f aca="false">IF(AR1721&lt;=0,"",IF(CC1721="Aussen","Aussenlager",IF(CC1721="-","Nicht im Lift",IF(AW1721&gt;=1,"Lift",IF(AW1721&lt;=0,"Aussenlager","teilweise")))))</f>
        <v>Aussenlager</v>
      </c>
      <c r="BI1721" s="48" t="str">
        <f aca="false">IF(BA1721&lt;=0,"",IF(CC1721="Aussen","Aussenlager",IF(CC1721="-","Nicht im Lift",IF(BF1721&gt;=1,"Lift",IF(BF1721&lt;=0,"Aussenlager","teilweise")))))</f>
        <v>Aussenlager</v>
      </c>
      <c r="BJ1721" s="48" t="str">
        <f aca="false">IF(A1721="","",IF(BS1721=1,"Neu; ","")&amp;IF(AND(BS1721=0,BN1721&lt;0),"negativer Bestand (Export "&amp;BN1721&amp;"); ","")&amp;IF(J1721&lt;=0,"Kein Verbrauch; ","")&amp;IF(CL1721&gt;0,"Lift "&amp;W1721&amp;" lt. Liftbericht (Fach "&amp;X1721&amp;" Stk); ",IF(BX1721=1,"Gebinde geschätzt ("&amp;T1721&amp;"); ",IF(BW1721=1,"Lose – Tablare geschätzt; ","")))&amp;IF(H1721&gt;AT1721,"Überbestand "&amp;ROUND(H1721-AT1721,0)&amp;" Stk / CHF "&amp;ROUND((H1721-AT1721)*G1721,0)&amp;"; ","")&amp;IF(AND(CE1721=1,CF1721&lt;CG1721),"MAX &lt; MB+LG; ","")&amp;IF(AND(CK1721&gt;0,CJ1721*10&gt;CK1721),"zu hoch für Tablar; ","")&amp;IF(AND(BS1721=0,OR(CE1721=1,AA1721&lt;&gt;"",U1721&lt;&gt;"",V1721&lt;&gt;"",AB1721&lt;&gt;"")),"manuell übersteuert; ","")&amp;IF(AND(BW1721=0,R1721=0),"Gebinde unbekannt / Stellmass fehlt; ","")&amp;IF(AND(BW1721=0,N(V1721)&lt;=0,N(Q1721)&lt;=0),"Menge pro Gebinde fehlt (Ist = 1 Gebinde); ","")&amp;BR1721)</f>
        <v>Kein Verbrauch; nur im Artikelstamm (Bestand 23.06.2026)</v>
      </c>
      <c r="BK1721" s="48"/>
      <c r="BL1721" s="48"/>
      <c r="BM1721" s="55"/>
      <c r="BN1721" s="50" t="n">
        <v>12</v>
      </c>
      <c r="BO1721" s="50" t="n">
        <v>0</v>
      </c>
      <c r="BP1721" s="49" t="n">
        <v>0</v>
      </c>
      <c r="BQ1721" s="50" t="n">
        <v>0</v>
      </c>
      <c r="BR1721" s="48" t="s">
        <v>2579</v>
      </c>
      <c r="BS1721" s="53" t="n">
        <v>0</v>
      </c>
      <c r="BT1721" s="53" t="n">
        <v>1721</v>
      </c>
      <c r="BU1721" s="48" t="str">
        <f aca="false">IF(U1721&lt;&gt;"",UPPER(TRIM(U1721)),IF(BX1721=1,UPPER(VLOOKUP(T1721,Parameter!$I$27:$K$29,2,0)),IF(P1721="","LOSE",P1721)))</f>
        <v>S21</v>
      </c>
      <c r="BV1721" s="50" t="n">
        <f aca="false">IF(BU1721="LOSE",1,IF(N(V1721)&gt;0,V1721,IF(BX1721=1,MAX(1,N(VLOOKUP(T1721,Parameter!$I$27:$K$29,3,0)),H1721,N(N1721)),IF(N(Q1721)&gt;0,Q1721,MAX(1,H1721)))))</f>
        <v>50</v>
      </c>
      <c r="BW1721" s="53" t="n">
        <f aca="false">IF(BU1721="LOSE",1,0)</f>
        <v>0</v>
      </c>
      <c r="BX1721" s="53" t="n">
        <f aca="false">IF(AND(U1721="",OR(P1721="",P1721="LOSE"),T1721&lt;&gt;"",N(S1721)&lt;=0,ISNUMBER(MATCH(T1721,Parameter!$I$27:$I$29,0))),1,0)</f>
        <v>0</v>
      </c>
      <c r="BY1721" s="53" t="n">
        <f aca="false">IF(CL1721&gt;0,INDEX(Parameter!$H$5:$H$7,W1721)/INDEX(Parameter!$E$5:$E$7,W1721),IF(AND(BW1721=0,N(IFERROR(VLOOKUP(BU1721,'Gebinde-Kategorie'!$A$5:$N$45,14,0),0))&gt;0),VLOOKUP(BU1721,'Gebinde-Kategorie'!$A$5:$N$45,14,0)*10+Parameter!$M$23,Parameter!$M$24))</f>
        <v>155</v>
      </c>
      <c r="BZ1721" s="48" t="str">
        <f aca="false">IF(AND(Parameter!$B$19="Ja",E1721&lt;&gt;"",ISNUMBER(MATCH(E1721,Parameter!$I$35:$I$52,0))),VLOOKUP(E1721,Parameter!$I$35:$J$52,2,0),IFERROR(VLOOKUP(D1721,Parameter!$A$35:$C$64,2,0),"Nein"))</f>
        <v>2+3</v>
      </c>
      <c r="CA1721" s="52" t="n">
        <f aca="false">IF(BW1721=0,0,IF(N(S1721)&gt;0,S1721,IFERROR(VLOOKUP(D1721,Parameter!$A$35:$C$64,3,0)+0,0)))</f>
        <v>0</v>
      </c>
      <c r="CB1721" s="48" t="n">
        <f aca="false">IF(AA1721&lt;&gt;"",AA1721,Z1721)</f>
        <v>3</v>
      </c>
      <c r="CC1721" s="48" t="str">
        <f aca="false">IF(OR(CB1721=1,CB1721=2,CB1721=3),IF(Parameter!$E$27="Ja","LIFT",IF(CB1721=1,"L1","L23")),IF(CB1721="Aussen","Aussen","-"))</f>
        <v>LIFT</v>
      </c>
      <c r="CD1721" s="59" t="n">
        <f aca="false">IF(N(AB1721)&gt;0,AB1721,0)</f>
        <v>0</v>
      </c>
      <c r="CE1721" s="53" t="n">
        <f aca="false">IF(ISNUMBER(AE1721),1,0)</f>
        <v>0</v>
      </c>
      <c r="CF1721" s="50" t="n">
        <f aca="false">N(AE1721)</f>
        <v>0</v>
      </c>
      <c r="CG1721" s="50" t="n">
        <f aca="false">N(M1721)+N(N1721)</f>
        <v>15</v>
      </c>
      <c r="CH1721" s="50" t="n">
        <f aca="false">ROUNDUP(H1721/BV1721,0)</f>
        <v>1</v>
      </c>
      <c r="CI1721" s="50" t="n">
        <f aca="false">ROUNDUP(CF1721/BV1721,0)</f>
        <v>0</v>
      </c>
      <c r="CJ1721" s="53" t="n">
        <f aca="false">IF(BW1721=1,0,IFERROR(VLOOKUP(BU1721,'Gebinde-Kategorie'!$A$5:$N$45,5,0)+0,0))</f>
        <v>8</v>
      </c>
      <c r="CK1721" s="53" t="n">
        <f aca="false">IFERROR(IF(OR(CB1721=1,CB1721=2,CB1721=3),N(INDEX(Parameter!$I$5:$I$7,CB1721)),0),0)</f>
        <v>0</v>
      </c>
      <c r="CL1721" s="52" t="n">
        <f aca="false">IF(AND(Parameter!$B$21="Ja",ISNUMBER(W1721),N(X1721)&gt;0),IFERROR(N(INDEX(Parameter!$L$5:$L$7,W1721))*INDEX(Parameter!$E$5:$E$7,W1721)*X1721/SUMIFS($X$7:$X$1843,$W$7:$W$1843,W1721),0),0)</f>
        <v>0</v>
      </c>
    </row>
    <row r="1722" customFormat="false" ht="15" hidden="false" customHeight="false" outlineLevel="0" collapsed="false">
      <c r="A1722" s="48" t="s">
        <v>2984</v>
      </c>
      <c r="B1722" s="48" t="s">
        <v>378</v>
      </c>
      <c r="C1722" s="48" t="s">
        <v>168</v>
      </c>
      <c r="D1722" s="48" t="s">
        <v>188</v>
      </c>
      <c r="E1722" s="48"/>
      <c r="F1722" s="48"/>
      <c r="G1722" s="49" t="n">
        <v>12.63</v>
      </c>
      <c r="H1722" s="50" t="n">
        <f aca="false">MAX(0,IF(AND(Parameter!$B$21="Ja",ISNUMBER(Y1722)),Y1722,IF(Parameter!$B$20="Jahresanfang 2025 + Export",BO1722+BN1722,BN1722)))</f>
        <v>25</v>
      </c>
      <c r="I1722" s="50" t="n">
        <f aca="false">H1722*G1722</f>
        <v>315.75</v>
      </c>
      <c r="J1722" s="50" t="n">
        <f aca="false">BQ1722*Parameter!$B$18</f>
        <v>0</v>
      </c>
      <c r="K1722" s="51"/>
      <c r="L1722" s="52"/>
      <c r="M1722" s="50" t="n">
        <v>0</v>
      </c>
      <c r="N1722" s="50" t="n">
        <v>1</v>
      </c>
      <c r="O1722" s="53" t="n">
        <v>28</v>
      </c>
      <c r="P1722" s="48" t="s">
        <v>405</v>
      </c>
      <c r="Q1722" s="50" t="n">
        <v>50</v>
      </c>
      <c r="R1722" s="53" t="n">
        <f aca="false">IF(BW1722=1,0,IFERROR(VLOOKUP(BU1722,'Gebinde-Kategorie'!$A$5:$N$45,13,0)+0,0))</f>
        <v>280</v>
      </c>
      <c r="S1722" s="54"/>
      <c r="T1722" s="55"/>
      <c r="U1722" s="55"/>
      <c r="V1722" s="55"/>
      <c r="W1722" s="48"/>
      <c r="X1722" s="50"/>
      <c r="Y1722" s="50"/>
      <c r="Z1722" s="48" t="n">
        <f aca="false">IF(A1722="","",IF(AND(Parameter!$B$21="Ja",ISNUMBER(W1722)),W1722,IF(BZ1722="2+3",IF(ISNUMBER(SEARCH("grosser Artikel",BR1722)),2,IFERROR(VLOOKUP(BU1722,Parameter!$F$35:$G$64,2,0),2)),IF(OR(BZ1722="Nein",BZ1722=""),"-",BZ1722))))</f>
        <v>3</v>
      </c>
      <c r="AA1722" s="55"/>
      <c r="AB1722" s="56"/>
      <c r="AC1722" s="50" t="n">
        <f aca="false">AT1722</f>
        <v>50</v>
      </c>
      <c r="AD1722" s="50" t="n">
        <f aca="false">MAX(AT1722,H1722)</f>
        <v>50</v>
      </c>
      <c r="AE1722" s="57"/>
      <c r="AF1722" s="50" t="n">
        <f aca="false">IF(LEFT(Cockpit!$C$5,1)="A",H1722,IF(CE1722=1,CF1722,IF(LEFT(Cockpit!$C$5,1)="B",AK1722,MAX(AK1722,H1722))))</f>
        <v>25</v>
      </c>
      <c r="AG1722" s="50" t="n">
        <f aca="false">IF(BW1722=1,0,ROUNDUP(AF1722/BV1722,0))</f>
        <v>1</v>
      </c>
      <c r="AH1722" s="52" t="n">
        <f aca="false">IF(CL1722&gt;0,CL1722*MAX(1,AF1722/X1722),IF(BW1722=1,IF(AF1722&lt;=0,0,CA1722*MAX(1,IF(H1722&gt;0,AF1722/H1722,1))),IF(R1722&gt;0,AG1722/R1722,0))/MAX(0.1,N(Parameter!$M$21)))</f>
        <v>0.00357142857142857</v>
      </c>
      <c r="AI1722" s="50" t="n">
        <f aca="false">AH1722*BY1722</f>
        <v>0.553571428571429</v>
      </c>
      <c r="AJ1722" s="50" t="n">
        <f aca="false">AF1722*G1722</f>
        <v>315.75</v>
      </c>
      <c r="AK1722" s="50" t="n">
        <f aca="false">ROUNDUP(MAX(J1722/IF(CD1722&gt;0,CD1722,MAX(0.1,N(Cockpit!$C$6))),CG1722)/BV1722,0)*BV1722</f>
        <v>50</v>
      </c>
      <c r="AL1722" s="51" t="n">
        <f aca="false">IF(AI1722&gt;0,J1722/AI1722,-1)</f>
        <v>0</v>
      </c>
      <c r="AM1722" s="51" t="n">
        <f aca="false">IF(AND(OR(CC1722="L1",CC1722="L23",CC1722="LIFT"),AI1722&gt;0),SUMIFS($AI$7:$AI$1843,$CC$7:$CC$1843,CC1722,$AL$7:$AL$1843,"&gt;"&amp;AL1722)+SUMIFS($AI$7:$AI$1843,$CC$7:$CC$1843,CC1722,$AL$7:$AL$1843,AL1722,$BT$7:$BT$1843,"&lt;="&amp;BT1722),"")</f>
        <v>32840.3860459221</v>
      </c>
      <c r="AN1722" s="58" t="n">
        <f aca="false">IF(AM1722="",0,MAX(0,MIN(1,(IF(CC1722="L1",Parameter!$H$5,IF(CC1722="L23",Parameter!$H$6+Parameter!$H$7,Parameter!$H$5+Parameter!$H$6+Parameter!$H$7))-(AM1722-AI1722))/AI1722)))</f>
        <v>1</v>
      </c>
      <c r="AO1722" s="50" t="n">
        <f aca="false">IF(LEFT(Cockpit!$I$5,1)="A",H1722,IF(CE1722=1,CF1722,IF(LEFT(Cockpit!$I$5,1)="B",AT1722,MAX(AT1722,H1722))))</f>
        <v>50</v>
      </c>
      <c r="AP1722" s="50" t="n">
        <f aca="false">IF(BW1722=1,0,ROUNDUP(AO1722/BV1722,0))</f>
        <v>1</v>
      </c>
      <c r="AQ1722" s="52" t="n">
        <f aca="false">IF(CL1722&gt;0,CL1722*MAX(1,AO1722/X1722),IF(BW1722=1,IF(AO1722&lt;=0,0,CA1722*MAX(1,IF(H1722&gt;0,AO1722/H1722,1))),IF(R1722&gt;0,AP1722/R1722,0))/MAX(0.1,N(Parameter!$M$21)))</f>
        <v>0.00357142857142857</v>
      </c>
      <c r="AR1722" s="50" t="n">
        <f aca="false">AQ1722*BY1722</f>
        <v>0.553571428571429</v>
      </c>
      <c r="AS1722" s="50" t="n">
        <f aca="false">AO1722*G1722</f>
        <v>631.5</v>
      </c>
      <c r="AT1722" s="50" t="n">
        <f aca="false">ROUNDUP(MAX(J1722/IF(CD1722&gt;0,CD1722,MAX(0.1,N(Cockpit!$I$6))),CG1722)/BV1722,0)*BV1722</f>
        <v>50</v>
      </c>
      <c r="AU1722" s="51" t="n">
        <f aca="false">IF(AR1722&gt;0,J1722/AR1722,-1)</f>
        <v>0</v>
      </c>
      <c r="AV1722" s="51" t="n">
        <f aca="false">IF(AND(OR(CC1722="L1",CC1722="L23",CC1722="LIFT"),AR1722&gt;0),SUMIFS($AR$7:$AR$1843,$CC$7:$CC$1843,CC1722,$AU$7:$AU$1843,"&gt;"&amp;AU1722)+SUMIFS($AR$7:$AR$1843,$CC$7:$CC$1843,CC1722,$AU$7:$AU$1843,AU1722,$BT$7:$BT$1843,"&lt;="&amp;BT1722),"")</f>
        <v>45522.8597892221</v>
      </c>
      <c r="AW1722" s="58" t="n">
        <f aca="false">IF(AV1722="",0,MAX(0,MIN(1,(IF(CC1722="L1",Parameter!$H$5,IF(CC1722="L23",Parameter!$H$6+Parameter!$H$7,Parameter!$H$5+Parameter!$H$6+Parameter!$H$7))-(AV1722-AR1722))/AR1722)))</f>
        <v>0</v>
      </c>
      <c r="AX1722" s="50" t="n">
        <f aca="false">IF(LEFT(Cockpit!$O$5,1)="A",H1722,IF(CE1722=1,CF1722,IF(LEFT(Cockpit!$O$5,1)="B",BC1722,MAX(BC1722,H1722))))</f>
        <v>50</v>
      </c>
      <c r="AY1722" s="50" t="n">
        <f aca="false">IF(BW1722=1,0,ROUNDUP(AX1722/BV1722,0))</f>
        <v>1</v>
      </c>
      <c r="AZ1722" s="52" t="n">
        <f aca="false">IF(CL1722&gt;0,CL1722*MAX(1,AX1722/X1722),IF(BW1722=1,IF(AX1722&lt;=0,0,CA1722*MAX(1,IF(H1722&gt;0,AX1722/H1722,1))),IF(R1722&gt;0,AY1722/R1722,0))/MAX(0.1,N(Parameter!$M$21)))</f>
        <v>0.00357142857142857</v>
      </c>
      <c r="BA1722" s="50" t="n">
        <f aca="false">AZ1722*BY1722</f>
        <v>0.553571428571429</v>
      </c>
      <c r="BB1722" s="50" t="n">
        <f aca="false">AX1722*G1722</f>
        <v>631.5</v>
      </c>
      <c r="BC1722" s="50" t="n">
        <f aca="false">ROUNDUP(MAX(J1722/IF(CD1722&gt;0,CD1722,MAX(0.1,N(Cockpit!$O$6))),CG1722)/BV1722,0)*BV1722</f>
        <v>50</v>
      </c>
      <c r="BD1722" s="51" t="n">
        <f aca="false">IF(BA1722&gt;0,J1722/BA1722,-1)</f>
        <v>0</v>
      </c>
      <c r="BE1722" s="51" t="n">
        <f aca="false">IF(AND(OR(CC1722="L1",CC1722="L23",CC1722="LIFT"),BA1722&gt;0),SUMIFS($BA$7:$BA$1843,$CC$7:$CC$1843,CC1722,$BD$7:$BD$1843,"&gt;"&amp;BD1722)+SUMIFS($BA$7:$BA$1843,$CC$7:$CC$1843,CC1722,$BD$7:$BD$1843,BD1722,$BT$7:$BT$1843,"&lt;="&amp;BT1722),"")</f>
        <v>42197.8718310879</v>
      </c>
      <c r="BF1722" s="58" t="n">
        <f aca="false">IF(BE1722="",0,MAX(0,MIN(1,(IF(CC1722="L1",Parameter!$H$5,IF(CC1722="L23",Parameter!$H$6+Parameter!$H$7,Parameter!$H$5+Parameter!$H$6+Parameter!$H$7))-(BE1722-BA1722))/BA1722)))</f>
        <v>0</v>
      </c>
      <c r="BG1722" s="48" t="str">
        <f aca="false">IF(AI1722&lt;=0,"",IF(CC1722="Aussen","Aussenlager",IF(CC1722="-","Nicht im Lift",IF(AN1722&gt;=1,"Lift",IF(AN1722&lt;=0,"Aussenlager","teilweise")))))</f>
        <v>Lift</v>
      </c>
      <c r="BH1722" s="48" t="str">
        <f aca="false">IF(AR1722&lt;=0,"",IF(CC1722="Aussen","Aussenlager",IF(CC1722="-","Nicht im Lift",IF(AW1722&gt;=1,"Lift",IF(AW1722&lt;=0,"Aussenlager","teilweise")))))</f>
        <v>Aussenlager</v>
      </c>
      <c r="BI1722" s="48" t="str">
        <f aca="false">IF(BA1722&lt;=0,"",IF(CC1722="Aussen","Aussenlager",IF(CC1722="-","Nicht im Lift",IF(BF1722&gt;=1,"Lift",IF(BF1722&lt;=0,"Aussenlager","teilweise")))))</f>
        <v>Aussenlager</v>
      </c>
      <c r="BJ1722" s="48" t="str">
        <f aca="false">IF(A1722="","",IF(BS1722=1,"Neu; ","")&amp;IF(AND(BS1722=0,BN1722&lt;0),"negativer Bestand (Export "&amp;BN1722&amp;"); ","")&amp;IF(J1722&lt;=0,"Kein Verbrauch; ","")&amp;IF(CL1722&gt;0,"Lift "&amp;W1722&amp;" lt. Liftbericht (Fach "&amp;X1722&amp;" Stk); ",IF(BX1722=1,"Gebinde geschätzt ("&amp;T1722&amp;"); ",IF(BW1722=1,"Lose – Tablare geschätzt; ","")))&amp;IF(H1722&gt;AT1722,"Überbestand "&amp;ROUND(H1722-AT1722,0)&amp;" Stk / CHF "&amp;ROUND((H1722-AT1722)*G1722,0)&amp;"; ","")&amp;IF(AND(CE1722=1,CF1722&lt;CG1722),"MAX &lt; MB+LG; ","")&amp;IF(AND(CK1722&gt;0,CJ1722*10&gt;CK1722),"zu hoch für Tablar; ","")&amp;IF(AND(BS1722=0,OR(CE1722=1,AA1722&lt;&gt;"",U1722&lt;&gt;"",V1722&lt;&gt;"",AB1722&lt;&gt;"")),"manuell übersteuert; ","")&amp;IF(AND(BW1722=0,R1722=0),"Gebinde unbekannt / Stellmass fehlt; ","")&amp;IF(AND(BW1722=0,N(V1722)&lt;=0,N(Q1722)&lt;=0),"Menge pro Gebinde fehlt (Ist = 1 Gebinde); ","")&amp;BR1722)</f>
        <v>Kein Verbrauch; nur im Artikelstamm (Bestand 23.06.2026)</v>
      </c>
      <c r="BK1722" s="48"/>
      <c r="BL1722" s="48"/>
      <c r="BM1722" s="55"/>
      <c r="BN1722" s="50" t="n">
        <v>25</v>
      </c>
      <c r="BO1722" s="50" t="n">
        <v>0</v>
      </c>
      <c r="BP1722" s="49" t="n">
        <v>0</v>
      </c>
      <c r="BQ1722" s="50" t="n">
        <v>0</v>
      </c>
      <c r="BR1722" s="48" t="s">
        <v>2579</v>
      </c>
      <c r="BS1722" s="53" t="n">
        <v>0</v>
      </c>
      <c r="BT1722" s="53" t="n">
        <v>1722</v>
      </c>
      <c r="BU1722" s="48" t="str">
        <f aca="false">IF(U1722&lt;&gt;"",UPPER(TRIM(U1722)),IF(BX1722=1,UPPER(VLOOKUP(T1722,Parameter!$I$27:$K$29,2,0)),IF(P1722="","LOSE",P1722)))</f>
        <v>S21</v>
      </c>
      <c r="BV1722" s="50" t="n">
        <f aca="false">IF(BU1722="LOSE",1,IF(N(V1722)&gt;0,V1722,IF(BX1722=1,MAX(1,N(VLOOKUP(T1722,Parameter!$I$27:$K$29,3,0)),H1722,N(N1722)),IF(N(Q1722)&gt;0,Q1722,MAX(1,H1722)))))</f>
        <v>50</v>
      </c>
      <c r="BW1722" s="53" t="n">
        <f aca="false">IF(BU1722="LOSE",1,0)</f>
        <v>0</v>
      </c>
      <c r="BX1722" s="53" t="n">
        <f aca="false">IF(AND(U1722="",OR(P1722="",P1722="LOSE"),T1722&lt;&gt;"",N(S1722)&lt;=0,ISNUMBER(MATCH(T1722,Parameter!$I$27:$I$29,0))),1,0)</f>
        <v>0</v>
      </c>
      <c r="BY1722" s="53" t="n">
        <f aca="false">IF(CL1722&gt;0,INDEX(Parameter!$H$5:$H$7,W1722)/INDEX(Parameter!$E$5:$E$7,W1722),IF(AND(BW1722=0,N(IFERROR(VLOOKUP(BU1722,'Gebinde-Kategorie'!$A$5:$N$45,14,0),0))&gt;0),VLOOKUP(BU1722,'Gebinde-Kategorie'!$A$5:$N$45,14,0)*10+Parameter!$M$23,Parameter!$M$24))</f>
        <v>155</v>
      </c>
      <c r="BZ1722" s="48" t="str">
        <f aca="false">IF(AND(Parameter!$B$19="Ja",E1722&lt;&gt;"",ISNUMBER(MATCH(E1722,Parameter!$I$35:$I$52,0))),VLOOKUP(E1722,Parameter!$I$35:$J$52,2,0),IFERROR(VLOOKUP(D1722,Parameter!$A$35:$C$64,2,0),"Nein"))</f>
        <v>2+3</v>
      </c>
      <c r="CA1722" s="52" t="n">
        <f aca="false">IF(BW1722=0,0,IF(N(S1722)&gt;0,S1722,IFERROR(VLOOKUP(D1722,Parameter!$A$35:$C$64,3,0)+0,0)))</f>
        <v>0</v>
      </c>
      <c r="CB1722" s="48" t="n">
        <f aca="false">IF(AA1722&lt;&gt;"",AA1722,Z1722)</f>
        <v>3</v>
      </c>
      <c r="CC1722" s="48" t="str">
        <f aca="false">IF(OR(CB1722=1,CB1722=2,CB1722=3),IF(Parameter!$E$27="Ja","LIFT",IF(CB1722=1,"L1","L23")),IF(CB1722="Aussen","Aussen","-"))</f>
        <v>LIFT</v>
      </c>
      <c r="CD1722" s="59" t="n">
        <f aca="false">IF(N(AB1722)&gt;0,AB1722,0)</f>
        <v>0</v>
      </c>
      <c r="CE1722" s="53" t="n">
        <f aca="false">IF(ISNUMBER(AE1722),1,0)</f>
        <v>0</v>
      </c>
      <c r="CF1722" s="50" t="n">
        <f aca="false">N(AE1722)</f>
        <v>0</v>
      </c>
      <c r="CG1722" s="50" t="n">
        <f aca="false">N(M1722)+N(N1722)</f>
        <v>1</v>
      </c>
      <c r="CH1722" s="50" t="n">
        <f aca="false">ROUNDUP(H1722/BV1722,0)</f>
        <v>1</v>
      </c>
      <c r="CI1722" s="50" t="n">
        <f aca="false">ROUNDUP(CF1722/BV1722,0)</f>
        <v>0</v>
      </c>
      <c r="CJ1722" s="53" t="n">
        <f aca="false">IF(BW1722=1,0,IFERROR(VLOOKUP(BU1722,'Gebinde-Kategorie'!$A$5:$N$45,5,0)+0,0))</f>
        <v>8</v>
      </c>
      <c r="CK1722" s="53" t="n">
        <f aca="false">IFERROR(IF(OR(CB1722=1,CB1722=2,CB1722=3),N(INDEX(Parameter!$I$5:$I$7,CB1722)),0),0)</f>
        <v>0</v>
      </c>
      <c r="CL1722" s="52" t="n">
        <f aca="false">IF(AND(Parameter!$B$21="Ja",ISNUMBER(W1722),N(X1722)&gt;0),IFERROR(N(INDEX(Parameter!$L$5:$L$7,W1722))*INDEX(Parameter!$E$5:$E$7,W1722)*X1722/SUMIFS($X$7:$X$1843,$W$7:$W$1843,W1722),0),0)</f>
        <v>0</v>
      </c>
    </row>
    <row r="1723" customFormat="false" ht="15" hidden="false" customHeight="false" outlineLevel="0" collapsed="false">
      <c r="A1723" s="48" t="s">
        <v>2985</v>
      </c>
      <c r="B1723" s="48" t="s">
        <v>2986</v>
      </c>
      <c r="C1723" s="48" t="s">
        <v>168</v>
      </c>
      <c r="D1723" s="48" t="s">
        <v>188</v>
      </c>
      <c r="E1723" s="48"/>
      <c r="F1723" s="48"/>
      <c r="G1723" s="49" t="n">
        <v>5.09</v>
      </c>
      <c r="H1723" s="50" t="n">
        <f aca="false">MAX(0,IF(AND(Parameter!$B$21="Ja",ISNUMBER(Y1723)),Y1723,IF(Parameter!$B$20="Jahresanfang 2025 + Export",BO1723+BN1723,BN1723)))</f>
        <v>33</v>
      </c>
      <c r="I1723" s="50" t="n">
        <f aca="false">H1723*G1723</f>
        <v>167.97</v>
      </c>
      <c r="J1723" s="50" t="n">
        <f aca="false">BQ1723*Parameter!$B$18</f>
        <v>0</v>
      </c>
      <c r="K1723" s="51"/>
      <c r="L1723" s="52"/>
      <c r="M1723" s="50" t="n">
        <v>0</v>
      </c>
      <c r="N1723" s="50" t="n">
        <v>200</v>
      </c>
      <c r="O1723" s="53" t="n">
        <v>21</v>
      </c>
      <c r="P1723" s="48" t="s">
        <v>405</v>
      </c>
      <c r="Q1723" s="50" t="n">
        <v>50</v>
      </c>
      <c r="R1723" s="53" t="n">
        <f aca="false">IF(BW1723=1,0,IFERROR(VLOOKUP(BU1723,'Gebinde-Kategorie'!$A$5:$N$45,13,0)+0,0))</f>
        <v>280</v>
      </c>
      <c r="S1723" s="54"/>
      <c r="T1723" s="55"/>
      <c r="U1723" s="55"/>
      <c r="V1723" s="55"/>
      <c r="W1723" s="48"/>
      <c r="X1723" s="50"/>
      <c r="Y1723" s="50"/>
      <c r="Z1723" s="48" t="n">
        <f aca="false">IF(A1723="","",IF(AND(Parameter!$B$21="Ja",ISNUMBER(W1723)),W1723,IF(BZ1723="2+3",IF(ISNUMBER(SEARCH("grosser Artikel",BR1723)),2,IFERROR(VLOOKUP(BU1723,Parameter!$F$35:$G$64,2,0),2)),IF(OR(BZ1723="Nein",BZ1723=""),"-",BZ1723))))</f>
        <v>3</v>
      </c>
      <c r="AA1723" s="55"/>
      <c r="AB1723" s="56"/>
      <c r="AC1723" s="50" t="n">
        <f aca="false">AT1723</f>
        <v>200</v>
      </c>
      <c r="AD1723" s="50" t="n">
        <f aca="false">MAX(AT1723,H1723)</f>
        <v>200</v>
      </c>
      <c r="AE1723" s="57"/>
      <c r="AF1723" s="50" t="n">
        <f aca="false">IF(LEFT(Cockpit!$C$5,1)="A",H1723,IF(CE1723=1,CF1723,IF(LEFT(Cockpit!$C$5,1)="B",AK1723,MAX(AK1723,H1723))))</f>
        <v>33</v>
      </c>
      <c r="AG1723" s="50" t="n">
        <f aca="false">IF(BW1723=1,0,ROUNDUP(AF1723/BV1723,0))</f>
        <v>1</v>
      </c>
      <c r="AH1723" s="52" t="n">
        <f aca="false">IF(CL1723&gt;0,CL1723*MAX(1,AF1723/X1723),IF(BW1723=1,IF(AF1723&lt;=0,0,CA1723*MAX(1,IF(H1723&gt;0,AF1723/H1723,1))),IF(R1723&gt;0,AG1723/R1723,0))/MAX(0.1,N(Parameter!$M$21)))</f>
        <v>0.00357142857142857</v>
      </c>
      <c r="AI1723" s="50" t="n">
        <f aca="false">AH1723*BY1723</f>
        <v>0.553571428571429</v>
      </c>
      <c r="AJ1723" s="50" t="n">
        <f aca="false">AF1723*G1723</f>
        <v>167.97</v>
      </c>
      <c r="AK1723" s="50" t="n">
        <f aca="false">ROUNDUP(MAX(J1723/IF(CD1723&gt;0,CD1723,MAX(0.1,N(Cockpit!$C$6))),CG1723)/BV1723,0)*BV1723</f>
        <v>200</v>
      </c>
      <c r="AL1723" s="51" t="n">
        <f aca="false">IF(AI1723&gt;0,J1723/AI1723,-1)</f>
        <v>0</v>
      </c>
      <c r="AM1723" s="51" t="n">
        <f aca="false">IF(AND(OR(CC1723="L1",CC1723="L23",CC1723="LIFT"),AI1723&gt;0),SUMIFS($AI$7:$AI$1843,$CC$7:$CC$1843,CC1723,$AL$7:$AL$1843,"&gt;"&amp;AL1723)+SUMIFS($AI$7:$AI$1843,$CC$7:$CC$1843,CC1723,$AL$7:$AL$1843,AL1723,$BT$7:$BT$1843,"&lt;="&amp;BT1723),"")</f>
        <v>32840.9396173506</v>
      </c>
      <c r="AN1723" s="58" t="n">
        <f aca="false">IF(AM1723="",0,MAX(0,MIN(1,(IF(CC1723="L1",Parameter!$H$5,IF(CC1723="L23",Parameter!$H$6+Parameter!$H$7,Parameter!$H$5+Parameter!$H$6+Parameter!$H$7))-(AM1723-AI1723))/AI1723)))</f>
        <v>1</v>
      </c>
      <c r="AO1723" s="50" t="n">
        <f aca="false">IF(LEFT(Cockpit!$I$5,1)="A",H1723,IF(CE1723=1,CF1723,IF(LEFT(Cockpit!$I$5,1)="B",AT1723,MAX(AT1723,H1723))))</f>
        <v>200</v>
      </c>
      <c r="AP1723" s="50" t="n">
        <f aca="false">IF(BW1723=1,0,ROUNDUP(AO1723/BV1723,0))</f>
        <v>4</v>
      </c>
      <c r="AQ1723" s="52" t="n">
        <f aca="false">IF(CL1723&gt;0,CL1723*MAX(1,AO1723/X1723),IF(BW1723=1,IF(AO1723&lt;=0,0,CA1723*MAX(1,IF(H1723&gt;0,AO1723/H1723,1))),IF(R1723&gt;0,AP1723/R1723,0))/MAX(0.1,N(Parameter!$M$21)))</f>
        <v>0.0142857142857143</v>
      </c>
      <c r="AR1723" s="50" t="n">
        <f aca="false">AQ1723*BY1723</f>
        <v>2.21428571428571</v>
      </c>
      <c r="AS1723" s="50" t="n">
        <f aca="false">AO1723*G1723</f>
        <v>1018</v>
      </c>
      <c r="AT1723" s="50" t="n">
        <f aca="false">ROUNDUP(MAX(J1723/IF(CD1723&gt;0,CD1723,MAX(0.1,N(Cockpit!$I$6))),CG1723)/BV1723,0)*BV1723</f>
        <v>200</v>
      </c>
      <c r="AU1723" s="51" t="n">
        <f aca="false">IF(AR1723&gt;0,J1723/AR1723,-1)</f>
        <v>0</v>
      </c>
      <c r="AV1723" s="51" t="n">
        <f aca="false">IF(AND(OR(CC1723="L1",CC1723="L23",CC1723="LIFT"),AR1723&gt;0),SUMIFS($AR$7:$AR$1843,$CC$7:$CC$1843,CC1723,$AU$7:$AU$1843,"&gt;"&amp;AU1723)+SUMIFS($AR$7:$AR$1843,$CC$7:$CC$1843,CC1723,$AU$7:$AU$1843,AU1723,$BT$7:$BT$1843,"&lt;="&amp;BT1723),"")</f>
        <v>45525.0740749364</v>
      </c>
      <c r="AW1723" s="58" t="n">
        <f aca="false">IF(AV1723="",0,MAX(0,MIN(1,(IF(CC1723="L1",Parameter!$H$5,IF(CC1723="L23",Parameter!$H$6+Parameter!$H$7,Parameter!$H$5+Parameter!$H$6+Parameter!$H$7))-(AV1723-AR1723))/AR1723)))</f>
        <v>0</v>
      </c>
      <c r="AX1723" s="50" t="n">
        <f aca="false">IF(LEFT(Cockpit!$O$5,1)="A",H1723,IF(CE1723=1,CF1723,IF(LEFT(Cockpit!$O$5,1)="B",BC1723,MAX(BC1723,H1723))))</f>
        <v>200</v>
      </c>
      <c r="AY1723" s="50" t="n">
        <f aca="false">IF(BW1723=1,0,ROUNDUP(AX1723/BV1723,0))</f>
        <v>4</v>
      </c>
      <c r="AZ1723" s="52" t="n">
        <f aca="false">IF(CL1723&gt;0,CL1723*MAX(1,AX1723/X1723),IF(BW1723=1,IF(AX1723&lt;=0,0,CA1723*MAX(1,IF(H1723&gt;0,AX1723/H1723,1))),IF(R1723&gt;0,AY1723/R1723,0))/MAX(0.1,N(Parameter!$M$21)))</f>
        <v>0.0142857142857143</v>
      </c>
      <c r="BA1723" s="50" t="n">
        <f aca="false">AZ1723*BY1723</f>
        <v>2.21428571428571</v>
      </c>
      <c r="BB1723" s="50" t="n">
        <f aca="false">AX1723*G1723</f>
        <v>1018</v>
      </c>
      <c r="BC1723" s="50" t="n">
        <f aca="false">ROUNDUP(MAX(J1723/IF(CD1723&gt;0,CD1723,MAX(0.1,N(Cockpit!$O$6))),CG1723)/BV1723,0)*BV1723</f>
        <v>200</v>
      </c>
      <c r="BD1723" s="51" t="n">
        <f aca="false">IF(BA1723&gt;0,J1723/BA1723,-1)</f>
        <v>0</v>
      </c>
      <c r="BE1723" s="51" t="n">
        <f aca="false">IF(AND(OR(CC1723="L1",CC1723="L23",CC1723="LIFT"),BA1723&gt;0),SUMIFS($BA$7:$BA$1843,$CC$7:$CC$1843,CC1723,$BD$7:$BD$1843,"&gt;"&amp;BD1723)+SUMIFS($BA$7:$BA$1843,$CC$7:$CC$1843,CC1723,$BD$7:$BD$1843,BD1723,$BT$7:$BT$1843,"&lt;="&amp;BT1723),"")</f>
        <v>42200.0861168022</v>
      </c>
      <c r="BF1723" s="58" t="n">
        <f aca="false">IF(BE1723="",0,MAX(0,MIN(1,(IF(CC1723="L1",Parameter!$H$5,IF(CC1723="L23",Parameter!$H$6+Parameter!$H$7,Parameter!$H$5+Parameter!$H$6+Parameter!$H$7))-(BE1723-BA1723))/BA1723)))</f>
        <v>0</v>
      </c>
      <c r="BG1723" s="48" t="str">
        <f aca="false">IF(AI1723&lt;=0,"",IF(CC1723="Aussen","Aussenlager",IF(CC1723="-","Nicht im Lift",IF(AN1723&gt;=1,"Lift",IF(AN1723&lt;=0,"Aussenlager","teilweise")))))</f>
        <v>Lift</v>
      </c>
      <c r="BH1723" s="48" t="str">
        <f aca="false">IF(AR1723&lt;=0,"",IF(CC1723="Aussen","Aussenlager",IF(CC1723="-","Nicht im Lift",IF(AW1723&gt;=1,"Lift",IF(AW1723&lt;=0,"Aussenlager","teilweise")))))</f>
        <v>Aussenlager</v>
      </c>
      <c r="BI1723" s="48" t="str">
        <f aca="false">IF(BA1723&lt;=0,"",IF(CC1723="Aussen","Aussenlager",IF(CC1723="-","Nicht im Lift",IF(BF1723&gt;=1,"Lift",IF(BF1723&lt;=0,"Aussenlager","teilweise")))))</f>
        <v>Aussenlager</v>
      </c>
      <c r="BJ1723" s="48" t="str">
        <f aca="false">IF(A1723="","",IF(BS1723=1,"Neu; ","")&amp;IF(AND(BS1723=0,BN1723&lt;0),"negativer Bestand (Export "&amp;BN1723&amp;"); ","")&amp;IF(J1723&lt;=0,"Kein Verbrauch; ","")&amp;IF(CL1723&gt;0,"Lift "&amp;W1723&amp;" lt. Liftbericht (Fach "&amp;X1723&amp;" Stk); ",IF(BX1723=1,"Gebinde geschätzt ("&amp;T1723&amp;"); ",IF(BW1723=1,"Lose – Tablare geschätzt; ","")))&amp;IF(H1723&gt;AT1723,"Überbestand "&amp;ROUND(H1723-AT1723,0)&amp;" Stk / CHF "&amp;ROUND((H1723-AT1723)*G1723,0)&amp;"; ","")&amp;IF(AND(CE1723=1,CF1723&lt;CG1723),"MAX &lt; MB+LG; ","")&amp;IF(AND(CK1723&gt;0,CJ1723*10&gt;CK1723),"zu hoch für Tablar; ","")&amp;IF(AND(BS1723=0,OR(CE1723=1,AA1723&lt;&gt;"",U1723&lt;&gt;"",V1723&lt;&gt;"",AB1723&lt;&gt;"")),"manuell übersteuert; ","")&amp;IF(AND(BW1723=0,R1723=0),"Gebinde unbekannt / Stellmass fehlt; ","")&amp;IF(AND(BW1723=0,N(V1723)&lt;=0,N(Q1723)&lt;=0),"Menge pro Gebinde fehlt (Ist = 1 Gebinde); ","")&amp;BR1723)</f>
        <v>Kein Verbrauch; nur im Artikelstamm (Bestand 23.06.2026)</v>
      </c>
      <c r="BK1723" s="48"/>
      <c r="BL1723" s="48"/>
      <c r="BM1723" s="55"/>
      <c r="BN1723" s="50" t="n">
        <v>33</v>
      </c>
      <c r="BO1723" s="50" t="n">
        <v>0</v>
      </c>
      <c r="BP1723" s="49" t="n">
        <v>0</v>
      </c>
      <c r="BQ1723" s="50" t="n">
        <v>0</v>
      </c>
      <c r="BR1723" s="48" t="s">
        <v>2579</v>
      </c>
      <c r="BS1723" s="53" t="n">
        <v>0</v>
      </c>
      <c r="BT1723" s="53" t="n">
        <v>1723</v>
      </c>
      <c r="BU1723" s="48" t="str">
        <f aca="false">IF(U1723&lt;&gt;"",UPPER(TRIM(U1723)),IF(BX1723=1,UPPER(VLOOKUP(T1723,Parameter!$I$27:$K$29,2,0)),IF(P1723="","LOSE",P1723)))</f>
        <v>S21</v>
      </c>
      <c r="BV1723" s="50" t="n">
        <f aca="false">IF(BU1723="LOSE",1,IF(N(V1723)&gt;0,V1723,IF(BX1723=1,MAX(1,N(VLOOKUP(T1723,Parameter!$I$27:$K$29,3,0)),H1723,N(N1723)),IF(N(Q1723)&gt;0,Q1723,MAX(1,H1723)))))</f>
        <v>50</v>
      </c>
      <c r="BW1723" s="53" t="n">
        <f aca="false">IF(BU1723="LOSE",1,0)</f>
        <v>0</v>
      </c>
      <c r="BX1723" s="53" t="n">
        <f aca="false">IF(AND(U1723="",OR(P1723="",P1723="LOSE"),T1723&lt;&gt;"",N(S1723)&lt;=0,ISNUMBER(MATCH(T1723,Parameter!$I$27:$I$29,0))),1,0)</f>
        <v>0</v>
      </c>
      <c r="BY1723" s="53" t="n">
        <f aca="false">IF(CL1723&gt;0,INDEX(Parameter!$H$5:$H$7,W1723)/INDEX(Parameter!$E$5:$E$7,W1723),IF(AND(BW1723=0,N(IFERROR(VLOOKUP(BU1723,'Gebinde-Kategorie'!$A$5:$N$45,14,0),0))&gt;0),VLOOKUP(BU1723,'Gebinde-Kategorie'!$A$5:$N$45,14,0)*10+Parameter!$M$23,Parameter!$M$24))</f>
        <v>155</v>
      </c>
      <c r="BZ1723" s="48" t="str">
        <f aca="false">IF(AND(Parameter!$B$19="Ja",E1723&lt;&gt;"",ISNUMBER(MATCH(E1723,Parameter!$I$35:$I$52,0))),VLOOKUP(E1723,Parameter!$I$35:$J$52,2,0),IFERROR(VLOOKUP(D1723,Parameter!$A$35:$C$64,2,0),"Nein"))</f>
        <v>2+3</v>
      </c>
      <c r="CA1723" s="52" t="n">
        <f aca="false">IF(BW1723=0,0,IF(N(S1723)&gt;0,S1723,IFERROR(VLOOKUP(D1723,Parameter!$A$35:$C$64,3,0)+0,0)))</f>
        <v>0</v>
      </c>
      <c r="CB1723" s="48" t="n">
        <f aca="false">IF(AA1723&lt;&gt;"",AA1723,Z1723)</f>
        <v>3</v>
      </c>
      <c r="CC1723" s="48" t="str">
        <f aca="false">IF(OR(CB1723=1,CB1723=2,CB1723=3),IF(Parameter!$E$27="Ja","LIFT",IF(CB1723=1,"L1","L23")),IF(CB1723="Aussen","Aussen","-"))</f>
        <v>LIFT</v>
      </c>
      <c r="CD1723" s="59" t="n">
        <f aca="false">IF(N(AB1723)&gt;0,AB1723,0)</f>
        <v>0</v>
      </c>
      <c r="CE1723" s="53" t="n">
        <f aca="false">IF(ISNUMBER(AE1723),1,0)</f>
        <v>0</v>
      </c>
      <c r="CF1723" s="50" t="n">
        <f aca="false">N(AE1723)</f>
        <v>0</v>
      </c>
      <c r="CG1723" s="50" t="n">
        <f aca="false">N(M1723)+N(N1723)</f>
        <v>200</v>
      </c>
      <c r="CH1723" s="50" t="n">
        <f aca="false">ROUNDUP(H1723/BV1723,0)</f>
        <v>1</v>
      </c>
      <c r="CI1723" s="50" t="n">
        <f aca="false">ROUNDUP(CF1723/BV1723,0)</f>
        <v>0</v>
      </c>
      <c r="CJ1723" s="53" t="n">
        <f aca="false">IF(BW1723=1,0,IFERROR(VLOOKUP(BU1723,'Gebinde-Kategorie'!$A$5:$N$45,5,0)+0,0))</f>
        <v>8</v>
      </c>
      <c r="CK1723" s="53" t="n">
        <f aca="false">IFERROR(IF(OR(CB1723=1,CB1723=2,CB1723=3),N(INDEX(Parameter!$I$5:$I$7,CB1723)),0),0)</f>
        <v>0</v>
      </c>
      <c r="CL1723" s="52" t="n">
        <f aca="false">IF(AND(Parameter!$B$21="Ja",ISNUMBER(W1723),N(X1723)&gt;0),IFERROR(N(INDEX(Parameter!$L$5:$L$7,W1723))*INDEX(Parameter!$E$5:$E$7,W1723)*X1723/SUMIFS($X$7:$X$1843,$W$7:$W$1843,W1723),0),0)</f>
        <v>0</v>
      </c>
    </row>
    <row r="1724" customFormat="false" ht="15" hidden="false" customHeight="false" outlineLevel="0" collapsed="false">
      <c r="A1724" s="48" t="s">
        <v>2987</v>
      </c>
      <c r="B1724" s="48" t="s">
        <v>2988</v>
      </c>
      <c r="C1724" s="48" t="s">
        <v>168</v>
      </c>
      <c r="D1724" s="48" t="s">
        <v>188</v>
      </c>
      <c r="E1724" s="48"/>
      <c r="F1724" s="48"/>
      <c r="G1724" s="49" t="n">
        <v>15.4</v>
      </c>
      <c r="H1724" s="50" t="n">
        <f aca="false">MAX(0,IF(AND(Parameter!$B$21="Ja",ISNUMBER(Y1724)),Y1724,IF(Parameter!$B$20="Jahresanfang 2025 + Export",BO1724+BN1724,BN1724)))</f>
        <v>39</v>
      </c>
      <c r="I1724" s="50" t="n">
        <f aca="false">H1724*G1724</f>
        <v>600.6</v>
      </c>
      <c r="J1724" s="50" t="n">
        <f aca="false">BQ1724*Parameter!$B$18</f>
        <v>0</v>
      </c>
      <c r="K1724" s="51"/>
      <c r="L1724" s="52"/>
      <c r="M1724" s="50" t="n">
        <v>2</v>
      </c>
      <c r="N1724" s="50" t="n">
        <v>20</v>
      </c>
      <c r="O1724" s="53" t="n">
        <v>21</v>
      </c>
      <c r="P1724" s="48" t="s">
        <v>430</v>
      </c>
      <c r="Q1724" s="50" t="n">
        <v>40</v>
      </c>
      <c r="R1724" s="53" t="n">
        <f aca="false">IF(BW1724=1,0,IFERROR(VLOOKUP(BU1724,'Gebinde-Kategorie'!$A$5:$N$45,13,0)+0,0))</f>
        <v>140</v>
      </c>
      <c r="S1724" s="54"/>
      <c r="T1724" s="55"/>
      <c r="U1724" s="55"/>
      <c r="V1724" s="55"/>
      <c r="W1724" s="48"/>
      <c r="X1724" s="50"/>
      <c r="Y1724" s="50"/>
      <c r="Z1724" s="48" t="n">
        <f aca="false">IF(A1724="","",IF(AND(Parameter!$B$21="Ja",ISNUMBER(W1724)),W1724,IF(BZ1724="2+3",IF(ISNUMBER(SEARCH("grosser Artikel",BR1724)),2,IFERROR(VLOOKUP(BU1724,Parameter!$F$35:$G$64,2,0),2)),IF(OR(BZ1724="Nein",BZ1724=""),"-",BZ1724))))</f>
        <v>3</v>
      </c>
      <c r="AA1724" s="55"/>
      <c r="AB1724" s="56"/>
      <c r="AC1724" s="50" t="n">
        <f aca="false">AT1724</f>
        <v>40</v>
      </c>
      <c r="AD1724" s="50" t="n">
        <f aca="false">MAX(AT1724,H1724)</f>
        <v>40</v>
      </c>
      <c r="AE1724" s="57"/>
      <c r="AF1724" s="50" t="n">
        <f aca="false">IF(LEFT(Cockpit!$C$5,1)="A",H1724,IF(CE1724=1,CF1724,IF(LEFT(Cockpit!$C$5,1)="B",AK1724,MAX(AK1724,H1724))))</f>
        <v>39</v>
      </c>
      <c r="AG1724" s="50" t="n">
        <f aca="false">IF(BW1724=1,0,ROUNDUP(AF1724/BV1724,0))</f>
        <v>1</v>
      </c>
      <c r="AH1724" s="52" t="n">
        <f aca="false">IF(CL1724&gt;0,CL1724*MAX(1,AF1724/X1724),IF(BW1724=1,IF(AF1724&lt;=0,0,CA1724*MAX(1,IF(H1724&gt;0,AF1724/H1724,1))),IF(R1724&gt;0,AG1724/R1724,0))/MAX(0.1,N(Parameter!$M$21)))</f>
        <v>0.00714285714285714</v>
      </c>
      <c r="AI1724" s="50" t="n">
        <f aca="false">AH1724*BY1724</f>
        <v>1.10714285714286</v>
      </c>
      <c r="AJ1724" s="50" t="n">
        <f aca="false">AF1724*G1724</f>
        <v>600.6</v>
      </c>
      <c r="AK1724" s="50" t="n">
        <f aca="false">ROUNDUP(MAX(J1724/IF(CD1724&gt;0,CD1724,MAX(0.1,N(Cockpit!$C$6))),CG1724)/BV1724,0)*BV1724</f>
        <v>40</v>
      </c>
      <c r="AL1724" s="51" t="n">
        <f aca="false">IF(AI1724&gt;0,J1724/AI1724,-1)</f>
        <v>0</v>
      </c>
      <c r="AM1724" s="51" t="n">
        <f aca="false">IF(AND(OR(CC1724="L1",CC1724="L23",CC1724="LIFT"),AI1724&gt;0),SUMIFS($AI$7:$AI$1843,$CC$7:$CC$1843,CC1724,$AL$7:$AL$1843,"&gt;"&amp;AL1724)+SUMIFS($AI$7:$AI$1843,$CC$7:$CC$1843,CC1724,$AL$7:$AL$1843,AL1724,$BT$7:$BT$1843,"&lt;="&amp;BT1724),"")</f>
        <v>32842.0467602078</v>
      </c>
      <c r="AN1724" s="58" t="n">
        <f aca="false">IF(AM1724="",0,MAX(0,MIN(1,(IF(CC1724="L1",Parameter!$H$5,IF(CC1724="L23",Parameter!$H$6+Parameter!$H$7,Parameter!$H$5+Parameter!$H$6+Parameter!$H$7))-(AM1724-AI1724))/AI1724)))</f>
        <v>1</v>
      </c>
      <c r="AO1724" s="50" t="n">
        <f aca="false">IF(LEFT(Cockpit!$I$5,1)="A",H1724,IF(CE1724=1,CF1724,IF(LEFT(Cockpit!$I$5,1)="B",AT1724,MAX(AT1724,H1724))))</f>
        <v>40</v>
      </c>
      <c r="AP1724" s="50" t="n">
        <f aca="false">IF(BW1724=1,0,ROUNDUP(AO1724/BV1724,0))</f>
        <v>1</v>
      </c>
      <c r="AQ1724" s="52" t="n">
        <f aca="false">IF(CL1724&gt;0,CL1724*MAX(1,AO1724/X1724),IF(BW1724=1,IF(AO1724&lt;=0,0,CA1724*MAX(1,IF(H1724&gt;0,AO1724/H1724,1))),IF(R1724&gt;0,AP1724/R1724,0))/MAX(0.1,N(Parameter!$M$21)))</f>
        <v>0.00714285714285714</v>
      </c>
      <c r="AR1724" s="50" t="n">
        <f aca="false">AQ1724*BY1724</f>
        <v>1.10714285714286</v>
      </c>
      <c r="AS1724" s="50" t="n">
        <f aca="false">AO1724*G1724</f>
        <v>616</v>
      </c>
      <c r="AT1724" s="50" t="n">
        <f aca="false">ROUNDUP(MAX(J1724/IF(CD1724&gt;0,CD1724,MAX(0.1,N(Cockpit!$I$6))),CG1724)/BV1724,0)*BV1724</f>
        <v>40</v>
      </c>
      <c r="AU1724" s="51" t="n">
        <f aca="false">IF(AR1724&gt;0,J1724/AR1724,-1)</f>
        <v>0</v>
      </c>
      <c r="AV1724" s="51" t="n">
        <f aca="false">IF(AND(OR(CC1724="L1",CC1724="L23",CC1724="LIFT"),AR1724&gt;0),SUMIFS($AR$7:$AR$1843,$CC$7:$CC$1843,CC1724,$AU$7:$AU$1843,"&gt;"&amp;AU1724)+SUMIFS($AR$7:$AR$1843,$CC$7:$CC$1843,CC1724,$AU$7:$AU$1843,AU1724,$BT$7:$BT$1843,"&lt;="&amp;BT1724),"")</f>
        <v>45526.1812177935</v>
      </c>
      <c r="AW1724" s="58" t="n">
        <f aca="false">IF(AV1724="",0,MAX(0,MIN(1,(IF(CC1724="L1",Parameter!$H$5,IF(CC1724="L23",Parameter!$H$6+Parameter!$H$7,Parameter!$H$5+Parameter!$H$6+Parameter!$H$7))-(AV1724-AR1724))/AR1724)))</f>
        <v>0</v>
      </c>
      <c r="AX1724" s="50" t="n">
        <f aca="false">IF(LEFT(Cockpit!$O$5,1)="A",H1724,IF(CE1724=1,CF1724,IF(LEFT(Cockpit!$O$5,1)="B",BC1724,MAX(BC1724,H1724))))</f>
        <v>40</v>
      </c>
      <c r="AY1724" s="50" t="n">
        <f aca="false">IF(BW1724=1,0,ROUNDUP(AX1724/BV1724,0))</f>
        <v>1</v>
      </c>
      <c r="AZ1724" s="52" t="n">
        <f aca="false">IF(CL1724&gt;0,CL1724*MAX(1,AX1724/X1724),IF(BW1724=1,IF(AX1724&lt;=0,0,CA1724*MAX(1,IF(H1724&gt;0,AX1724/H1724,1))),IF(R1724&gt;0,AY1724/R1724,0))/MAX(0.1,N(Parameter!$M$21)))</f>
        <v>0.00714285714285714</v>
      </c>
      <c r="BA1724" s="50" t="n">
        <f aca="false">AZ1724*BY1724</f>
        <v>1.10714285714286</v>
      </c>
      <c r="BB1724" s="50" t="n">
        <f aca="false">AX1724*G1724</f>
        <v>616</v>
      </c>
      <c r="BC1724" s="50" t="n">
        <f aca="false">ROUNDUP(MAX(J1724/IF(CD1724&gt;0,CD1724,MAX(0.1,N(Cockpit!$O$6))),CG1724)/BV1724,0)*BV1724</f>
        <v>40</v>
      </c>
      <c r="BD1724" s="51" t="n">
        <f aca="false">IF(BA1724&gt;0,J1724/BA1724,-1)</f>
        <v>0</v>
      </c>
      <c r="BE1724" s="51" t="n">
        <f aca="false">IF(AND(OR(CC1724="L1",CC1724="L23",CC1724="LIFT"),BA1724&gt;0),SUMIFS($BA$7:$BA$1843,$CC$7:$CC$1843,CC1724,$BD$7:$BD$1843,"&gt;"&amp;BD1724)+SUMIFS($BA$7:$BA$1843,$CC$7:$CC$1843,CC1724,$BD$7:$BD$1843,BD1724,$BT$7:$BT$1843,"&lt;="&amp;BT1724),"")</f>
        <v>42201.1932596594</v>
      </c>
      <c r="BF1724" s="58" t="n">
        <f aca="false">IF(BE1724="",0,MAX(0,MIN(1,(IF(CC1724="L1",Parameter!$H$5,IF(CC1724="L23",Parameter!$H$6+Parameter!$H$7,Parameter!$H$5+Parameter!$H$6+Parameter!$H$7))-(BE1724-BA1724))/BA1724)))</f>
        <v>0</v>
      </c>
      <c r="BG1724" s="48" t="str">
        <f aca="false">IF(AI1724&lt;=0,"",IF(CC1724="Aussen","Aussenlager",IF(CC1724="-","Nicht im Lift",IF(AN1724&gt;=1,"Lift",IF(AN1724&lt;=0,"Aussenlager","teilweise")))))</f>
        <v>Lift</v>
      </c>
      <c r="BH1724" s="48" t="str">
        <f aca="false">IF(AR1724&lt;=0,"",IF(CC1724="Aussen","Aussenlager",IF(CC1724="-","Nicht im Lift",IF(AW1724&gt;=1,"Lift",IF(AW1724&lt;=0,"Aussenlager","teilweise")))))</f>
        <v>Aussenlager</v>
      </c>
      <c r="BI1724" s="48" t="str">
        <f aca="false">IF(BA1724&lt;=0,"",IF(CC1724="Aussen","Aussenlager",IF(CC1724="-","Nicht im Lift",IF(BF1724&gt;=1,"Lift",IF(BF1724&lt;=0,"Aussenlager","teilweise")))))</f>
        <v>Aussenlager</v>
      </c>
      <c r="BJ1724" s="48" t="str">
        <f aca="false">IF(A1724="","",IF(BS1724=1,"Neu; ","")&amp;IF(AND(BS1724=0,BN1724&lt;0),"negativer Bestand (Export "&amp;BN1724&amp;"); ","")&amp;IF(J1724&lt;=0,"Kein Verbrauch; ","")&amp;IF(CL1724&gt;0,"Lift "&amp;W1724&amp;" lt. Liftbericht (Fach "&amp;X1724&amp;" Stk); ",IF(BX1724=1,"Gebinde geschätzt ("&amp;T1724&amp;"); ",IF(BW1724=1,"Lose – Tablare geschätzt; ","")))&amp;IF(H1724&gt;AT1724,"Überbestand "&amp;ROUND(H1724-AT1724,0)&amp;" Stk / CHF "&amp;ROUND((H1724-AT1724)*G1724,0)&amp;"; ","")&amp;IF(AND(CE1724=1,CF1724&lt;CG1724),"MAX &lt; MB+LG; ","")&amp;IF(AND(CK1724&gt;0,CJ1724*10&gt;CK1724),"zu hoch für Tablar; ","")&amp;IF(AND(BS1724=0,OR(CE1724=1,AA1724&lt;&gt;"",U1724&lt;&gt;"",V1724&lt;&gt;"",AB1724&lt;&gt;"")),"manuell übersteuert; ","")&amp;IF(AND(BW1724=0,R1724=0),"Gebinde unbekannt / Stellmass fehlt; ","")&amp;IF(AND(BW1724=0,N(V1724)&lt;=0,N(Q1724)&lt;=0),"Menge pro Gebinde fehlt (Ist = 1 Gebinde); ","")&amp;BR1724)</f>
        <v>Kein Verbrauch; nur im Artikelstamm (Bestand 23.06.2026); Neuer Art.</v>
      </c>
      <c r="BK1724" s="48"/>
      <c r="BL1724" s="48"/>
      <c r="BM1724" s="55"/>
      <c r="BN1724" s="50" t="n">
        <v>39</v>
      </c>
      <c r="BO1724" s="50" t="n">
        <v>0</v>
      </c>
      <c r="BP1724" s="49" t="n">
        <v>0</v>
      </c>
      <c r="BQ1724" s="50" t="n">
        <v>0</v>
      </c>
      <c r="BR1724" s="48" t="s">
        <v>2877</v>
      </c>
      <c r="BS1724" s="53" t="n">
        <v>0</v>
      </c>
      <c r="BT1724" s="53" t="n">
        <v>1724</v>
      </c>
      <c r="BU1724" s="48" t="str">
        <f aca="false">IF(U1724&lt;&gt;"",UPPER(TRIM(U1724)),IF(BX1724=1,UPPER(VLOOKUP(T1724,Parameter!$I$27:$K$29,2,0)),IF(P1724="","LOSE",P1724)))</f>
        <v>S22</v>
      </c>
      <c r="BV1724" s="50" t="n">
        <f aca="false">IF(BU1724="LOSE",1,IF(N(V1724)&gt;0,V1724,IF(BX1724=1,MAX(1,N(VLOOKUP(T1724,Parameter!$I$27:$K$29,3,0)),H1724,N(N1724)),IF(N(Q1724)&gt;0,Q1724,MAX(1,H1724)))))</f>
        <v>40</v>
      </c>
      <c r="BW1724" s="53" t="n">
        <f aca="false">IF(BU1724="LOSE",1,0)</f>
        <v>0</v>
      </c>
      <c r="BX1724" s="53" t="n">
        <f aca="false">IF(AND(U1724="",OR(P1724="",P1724="LOSE"),T1724&lt;&gt;"",N(S1724)&lt;=0,ISNUMBER(MATCH(T1724,Parameter!$I$27:$I$29,0))),1,0)</f>
        <v>0</v>
      </c>
      <c r="BY1724" s="53" t="n">
        <f aca="false">IF(CL1724&gt;0,INDEX(Parameter!$H$5:$H$7,W1724)/INDEX(Parameter!$E$5:$E$7,W1724),IF(AND(BW1724=0,N(IFERROR(VLOOKUP(BU1724,'Gebinde-Kategorie'!$A$5:$N$45,14,0),0))&gt;0),VLOOKUP(BU1724,'Gebinde-Kategorie'!$A$5:$N$45,14,0)*10+Parameter!$M$23,Parameter!$M$24))</f>
        <v>155</v>
      </c>
      <c r="BZ1724" s="48" t="str">
        <f aca="false">IF(AND(Parameter!$B$19="Ja",E1724&lt;&gt;"",ISNUMBER(MATCH(E1724,Parameter!$I$35:$I$52,0))),VLOOKUP(E1724,Parameter!$I$35:$J$52,2,0),IFERROR(VLOOKUP(D1724,Parameter!$A$35:$C$64,2,0),"Nein"))</f>
        <v>2+3</v>
      </c>
      <c r="CA1724" s="52" t="n">
        <f aca="false">IF(BW1724=0,0,IF(N(S1724)&gt;0,S1724,IFERROR(VLOOKUP(D1724,Parameter!$A$35:$C$64,3,0)+0,0)))</f>
        <v>0</v>
      </c>
      <c r="CB1724" s="48" t="n">
        <f aca="false">IF(AA1724&lt;&gt;"",AA1724,Z1724)</f>
        <v>3</v>
      </c>
      <c r="CC1724" s="48" t="str">
        <f aca="false">IF(OR(CB1724=1,CB1724=2,CB1724=3),IF(Parameter!$E$27="Ja","LIFT",IF(CB1724=1,"L1","L23")),IF(CB1724="Aussen","Aussen","-"))</f>
        <v>LIFT</v>
      </c>
      <c r="CD1724" s="59" t="n">
        <f aca="false">IF(N(AB1724)&gt;0,AB1724,0)</f>
        <v>0</v>
      </c>
      <c r="CE1724" s="53" t="n">
        <f aca="false">IF(ISNUMBER(AE1724),1,0)</f>
        <v>0</v>
      </c>
      <c r="CF1724" s="50" t="n">
        <f aca="false">N(AE1724)</f>
        <v>0</v>
      </c>
      <c r="CG1724" s="50" t="n">
        <f aca="false">N(M1724)+N(N1724)</f>
        <v>22</v>
      </c>
      <c r="CH1724" s="50" t="n">
        <f aca="false">ROUNDUP(H1724/BV1724,0)</f>
        <v>1</v>
      </c>
      <c r="CI1724" s="50" t="n">
        <f aca="false">ROUNDUP(CF1724/BV1724,0)</f>
        <v>0</v>
      </c>
      <c r="CJ1724" s="53" t="n">
        <f aca="false">IF(BW1724=1,0,IFERROR(VLOOKUP(BU1724,'Gebinde-Kategorie'!$A$5:$N$45,5,0)+0,0))</f>
        <v>8</v>
      </c>
      <c r="CK1724" s="53" t="n">
        <f aca="false">IFERROR(IF(OR(CB1724=1,CB1724=2,CB1724=3),N(INDEX(Parameter!$I$5:$I$7,CB1724)),0),0)</f>
        <v>0</v>
      </c>
      <c r="CL1724" s="52" t="n">
        <f aca="false">IF(AND(Parameter!$B$21="Ja",ISNUMBER(W1724),N(X1724)&gt;0),IFERROR(N(INDEX(Parameter!$L$5:$L$7,W1724))*INDEX(Parameter!$E$5:$E$7,W1724)*X1724/SUMIFS($X$7:$X$1843,$W$7:$W$1843,W1724),0),0)</f>
        <v>0</v>
      </c>
    </row>
    <row r="1725" customFormat="false" ht="15" hidden="false" customHeight="false" outlineLevel="0" collapsed="false">
      <c r="A1725" s="48" t="s">
        <v>2989</v>
      </c>
      <c r="B1725" s="48" t="s">
        <v>2990</v>
      </c>
      <c r="C1725" s="48" t="s">
        <v>168</v>
      </c>
      <c r="D1725" s="48" t="s">
        <v>188</v>
      </c>
      <c r="E1725" s="48"/>
      <c r="F1725" s="48"/>
      <c r="G1725" s="49" t="n">
        <v>18.37</v>
      </c>
      <c r="H1725" s="50" t="n">
        <f aca="false">MAX(0,IF(AND(Parameter!$B$21="Ja",ISNUMBER(Y1725)),Y1725,IF(Parameter!$B$20="Jahresanfang 2025 + Export",BO1725+BN1725,BN1725)))</f>
        <v>39</v>
      </c>
      <c r="I1725" s="50" t="n">
        <f aca="false">H1725*G1725</f>
        <v>716.43</v>
      </c>
      <c r="J1725" s="50" t="n">
        <f aca="false">BQ1725*Parameter!$B$18</f>
        <v>0</v>
      </c>
      <c r="K1725" s="51"/>
      <c r="L1725" s="52"/>
      <c r="M1725" s="50" t="n">
        <v>2</v>
      </c>
      <c r="N1725" s="50" t="n">
        <v>20</v>
      </c>
      <c r="O1725" s="53" t="n">
        <v>21</v>
      </c>
      <c r="P1725" s="48" t="s">
        <v>430</v>
      </c>
      <c r="Q1725" s="50" t="n">
        <v>40</v>
      </c>
      <c r="R1725" s="53" t="n">
        <f aca="false">IF(BW1725=1,0,IFERROR(VLOOKUP(BU1725,'Gebinde-Kategorie'!$A$5:$N$45,13,0)+0,0))</f>
        <v>140</v>
      </c>
      <c r="S1725" s="54"/>
      <c r="T1725" s="55"/>
      <c r="U1725" s="55"/>
      <c r="V1725" s="55"/>
      <c r="W1725" s="48"/>
      <c r="X1725" s="50"/>
      <c r="Y1725" s="50"/>
      <c r="Z1725" s="48" t="n">
        <f aca="false">IF(A1725="","",IF(AND(Parameter!$B$21="Ja",ISNUMBER(W1725)),W1725,IF(BZ1725="2+3",IF(ISNUMBER(SEARCH("grosser Artikel",BR1725)),2,IFERROR(VLOOKUP(BU1725,Parameter!$F$35:$G$64,2,0),2)),IF(OR(BZ1725="Nein",BZ1725=""),"-",BZ1725))))</f>
        <v>3</v>
      </c>
      <c r="AA1725" s="55"/>
      <c r="AB1725" s="56"/>
      <c r="AC1725" s="50" t="n">
        <f aca="false">AT1725</f>
        <v>40</v>
      </c>
      <c r="AD1725" s="50" t="n">
        <f aca="false">MAX(AT1725,H1725)</f>
        <v>40</v>
      </c>
      <c r="AE1725" s="57"/>
      <c r="AF1725" s="50" t="n">
        <f aca="false">IF(LEFT(Cockpit!$C$5,1)="A",H1725,IF(CE1725=1,CF1725,IF(LEFT(Cockpit!$C$5,1)="B",AK1725,MAX(AK1725,H1725))))</f>
        <v>39</v>
      </c>
      <c r="AG1725" s="50" t="n">
        <f aca="false">IF(BW1725=1,0,ROUNDUP(AF1725/BV1725,0))</f>
        <v>1</v>
      </c>
      <c r="AH1725" s="52" t="n">
        <f aca="false">IF(CL1725&gt;0,CL1725*MAX(1,AF1725/X1725),IF(BW1725=1,IF(AF1725&lt;=0,0,CA1725*MAX(1,IF(H1725&gt;0,AF1725/H1725,1))),IF(R1725&gt;0,AG1725/R1725,0))/MAX(0.1,N(Parameter!$M$21)))</f>
        <v>0.00714285714285714</v>
      </c>
      <c r="AI1725" s="50" t="n">
        <f aca="false">AH1725*BY1725</f>
        <v>1.10714285714286</v>
      </c>
      <c r="AJ1725" s="50" t="n">
        <f aca="false">AF1725*G1725</f>
        <v>716.43</v>
      </c>
      <c r="AK1725" s="50" t="n">
        <f aca="false">ROUNDUP(MAX(J1725/IF(CD1725&gt;0,CD1725,MAX(0.1,N(Cockpit!$C$6))),CG1725)/BV1725,0)*BV1725</f>
        <v>40</v>
      </c>
      <c r="AL1725" s="51" t="n">
        <f aca="false">IF(AI1725&gt;0,J1725/AI1725,-1)</f>
        <v>0</v>
      </c>
      <c r="AM1725" s="51" t="n">
        <f aca="false">IF(AND(OR(CC1725="L1",CC1725="L23",CC1725="LIFT"),AI1725&gt;0),SUMIFS($AI$7:$AI$1843,$CC$7:$CC$1843,CC1725,$AL$7:$AL$1843,"&gt;"&amp;AL1725)+SUMIFS($AI$7:$AI$1843,$CC$7:$CC$1843,CC1725,$AL$7:$AL$1843,AL1725,$BT$7:$BT$1843,"&lt;="&amp;BT1725),"")</f>
        <v>32843.1539030649</v>
      </c>
      <c r="AN1725" s="58" t="n">
        <f aca="false">IF(AM1725="",0,MAX(0,MIN(1,(IF(CC1725="L1",Parameter!$H$5,IF(CC1725="L23",Parameter!$H$6+Parameter!$H$7,Parameter!$H$5+Parameter!$H$6+Parameter!$H$7))-(AM1725-AI1725))/AI1725)))</f>
        <v>1</v>
      </c>
      <c r="AO1725" s="50" t="n">
        <f aca="false">IF(LEFT(Cockpit!$I$5,1)="A",H1725,IF(CE1725=1,CF1725,IF(LEFT(Cockpit!$I$5,1)="B",AT1725,MAX(AT1725,H1725))))</f>
        <v>40</v>
      </c>
      <c r="AP1725" s="50" t="n">
        <f aca="false">IF(BW1725=1,0,ROUNDUP(AO1725/BV1725,0))</f>
        <v>1</v>
      </c>
      <c r="AQ1725" s="52" t="n">
        <f aca="false">IF(CL1725&gt;0,CL1725*MAX(1,AO1725/X1725),IF(BW1725=1,IF(AO1725&lt;=0,0,CA1725*MAX(1,IF(H1725&gt;0,AO1725/H1725,1))),IF(R1725&gt;0,AP1725/R1725,0))/MAX(0.1,N(Parameter!$M$21)))</f>
        <v>0.00714285714285714</v>
      </c>
      <c r="AR1725" s="50" t="n">
        <f aca="false">AQ1725*BY1725</f>
        <v>1.10714285714286</v>
      </c>
      <c r="AS1725" s="50" t="n">
        <f aca="false">AO1725*G1725</f>
        <v>734.8</v>
      </c>
      <c r="AT1725" s="50" t="n">
        <f aca="false">ROUNDUP(MAX(J1725/IF(CD1725&gt;0,CD1725,MAX(0.1,N(Cockpit!$I$6))),CG1725)/BV1725,0)*BV1725</f>
        <v>40</v>
      </c>
      <c r="AU1725" s="51" t="n">
        <f aca="false">IF(AR1725&gt;0,J1725/AR1725,-1)</f>
        <v>0</v>
      </c>
      <c r="AV1725" s="51" t="n">
        <f aca="false">IF(AND(OR(CC1725="L1",CC1725="L23",CC1725="LIFT"),AR1725&gt;0),SUMIFS($AR$7:$AR$1843,$CC$7:$CC$1843,CC1725,$AU$7:$AU$1843,"&gt;"&amp;AU1725)+SUMIFS($AR$7:$AR$1843,$CC$7:$CC$1843,CC1725,$AU$7:$AU$1843,AU1725,$BT$7:$BT$1843,"&lt;="&amp;BT1725),"")</f>
        <v>45527.2883606507</v>
      </c>
      <c r="AW1725" s="58" t="n">
        <f aca="false">IF(AV1725="",0,MAX(0,MIN(1,(IF(CC1725="L1",Parameter!$H$5,IF(CC1725="L23",Parameter!$H$6+Parameter!$H$7,Parameter!$H$5+Parameter!$H$6+Parameter!$H$7))-(AV1725-AR1725))/AR1725)))</f>
        <v>0</v>
      </c>
      <c r="AX1725" s="50" t="n">
        <f aca="false">IF(LEFT(Cockpit!$O$5,1)="A",H1725,IF(CE1725=1,CF1725,IF(LEFT(Cockpit!$O$5,1)="B",BC1725,MAX(BC1725,H1725))))</f>
        <v>40</v>
      </c>
      <c r="AY1725" s="50" t="n">
        <f aca="false">IF(BW1725=1,0,ROUNDUP(AX1725/BV1725,0))</f>
        <v>1</v>
      </c>
      <c r="AZ1725" s="52" t="n">
        <f aca="false">IF(CL1725&gt;0,CL1725*MAX(1,AX1725/X1725),IF(BW1725=1,IF(AX1725&lt;=0,0,CA1725*MAX(1,IF(H1725&gt;0,AX1725/H1725,1))),IF(R1725&gt;0,AY1725/R1725,0))/MAX(0.1,N(Parameter!$M$21)))</f>
        <v>0.00714285714285714</v>
      </c>
      <c r="BA1725" s="50" t="n">
        <f aca="false">AZ1725*BY1725</f>
        <v>1.10714285714286</v>
      </c>
      <c r="BB1725" s="50" t="n">
        <f aca="false">AX1725*G1725</f>
        <v>734.8</v>
      </c>
      <c r="BC1725" s="50" t="n">
        <f aca="false">ROUNDUP(MAX(J1725/IF(CD1725&gt;0,CD1725,MAX(0.1,N(Cockpit!$O$6))),CG1725)/BV1725,0)*BV1725</f>
        <v>40</v>
      </c>
      <c r="BD1725" s="51" t="n">
        <f aca="false">IF(BA1725&gt;0,J1725/BA1725,-1)</f>
        <v>0</v>
      </c>
      <c r="BE1725" s="51" t="n">
        <f aca="false">IF(AND(OR(CC1725="L1",CC1725="L23",CC1725="LIFT"),BA1725&gt;0),SUMIFS($BA$7:$BA$1843,$CC$7:$CC$1843,CC1725,$BD$7:$BD$1843,"&gt;"&amp;BD1725)+SUMIFS($BA$7:$BA$1843,$CC$7:$CC$1843,CC1725,$BD$7:$BD$1843,BD1725,$BT$7:$BT$1843,"&lt;="&amp;BT1725),"")</f>
        <v>42202.3004025165</v>
      </c>
      <c r="BF1725" s="58" t="n">
        <f aca="false">IF(BE1725="",0,MAX(0,MIN(1,(IF(CC1725="L1",Parameter!$H$5,IF(CC1725="L23",Parameter!$H$6+Parameter!$H$7,Parameter!$H$5+Parameter!$H$6+Parameter!$H$7))-(BE1725-BA1725))/BA1725)))</f>
        <v>0</v>
      </c>
      <c r="BG1725" s="48" t="str">
        <f aca="false">IF(AI1725&lt;=0,"",IF(CC1725="Aussen","Aussenlager",IF(CC1725="-","Nicht im Lift",IF(AN1725&gt;=1,"Lift",IF(AN1725&lt;=0,"Aussenlager","teilweise")))))</f>
        <v>Lift</v>
      </c>
      <c r="BH1725" s="48" t="str">
        <f aca="false">IF(AR1725&lt;=0,"",IF(CC1725="Aussen","Aussenlager",IF(CC1725="-","Nicht im Lift",IF(AW1725&gt;=1,"Lift",IF(AW1725&lt;=0,"Aussenlager","teilweise")))))</f>
        <v>Aussenlager</v>
      </c>
      <c r="BI1725" s="48" t="str">
        <f aca="false">IF(BA1725&lt;=0,"",IF(CC1725="Aussen","Aussenlager",IF(CC1725="-","Nicht im Lift",IF(BF1725&gt;=1,"Lift",IF(BF1725&lt;=0,"Aussenlager","teilweise")))))</f>
        <v>Aussenlager</v>
      </c>
      <c r="BJ1725" s="48" t="str">
        <f aca="false">IF(A1725="","",IF(BS1725=1,"Neu; ","")&amp;IF(AND(BS1725=0,BN1725&lt;0),"negativer Bestand (Export "&amp;BN1725&amp;"); ","")&amp;IF(J1725&lt;=0,"Kein Verbrauch; ","")&amp;IF(CL1725&gt;0,"Lift "&amp;W1725&amp;" lt. Liftbericht (Fach "&amp;X1725&amp;" Stk); ",IF(BX1725=1,"Gebinde geschätzt ("&amp;T1725&amp;"); ",IF(BW1725=1,"Lose – Tablare geschätzt; ","")))&amp;IF(H1725&gt;AT1725,"Überbestand "&amp;ROUND(H1725-AT1725,0)&amp;" Stk / CHF "&amp;ROUND((H1725-AT1725)*G1725,0)&amp;"; ","")&amp;IF(AND(CE1725=1,CF1725&lt;CG1725),"MAX &lt; MB+LG; ","")&amp;IF(AND(CK1725&gt;0,CJ1725*10&gt;CK1725),"zu hoch für Tablar; ","")&amp;IF(AND(BS1725=0,OR(CE1725=1,AA1725&lt;&gt;"",U1725&lt;&gt;"",V1725&lt;&gt;"",AB1725&lt;&gt;"")),"manuell übersteuert; ","")&amp;IF(AND(BW1725=0,R1725=0),"Gebinde unbekannt / Stellmass fehlt; ","")&amp;IF(AND(BW1725=0,N(V1725)&lt;=0,N(Q1725)&lt;=0),"Menge pro Gebinde fehlt (Ist = 1 Gebinde); ","")&amp;BR1725)</f>
        <v>Kein Verbrauch; nur im Artikelstamm (Bestand 23.06.2026); Neuer Art.</v>
      </c>
      <c r="BK1725" s="48"/>
      <c r="BL1725" s="48"/>
      <c r="BM1725" s="55"/>
      <c r="BN1725" s="50" t="n">
        <v>39</v>
      </c>
      <c r="BO1725" s="50" t="n">
        <v>0</v>
      </c>
      <c r="BP1725" s="49" t="n">
        <v>0</v>
      </c>
      <c r="BQ1725" s="50" t="n">
        <v>0</v>
      </c>
      <c r="BR1725" s="48" t="s">
        <v>2877</v>
      </c>
      <c r="BS1725" s="53" t="n">
        <v>0</v>
      </c>
      <c r="BT1725" s="53" t="n">
        <v>1725</v>
      </c>
      <c r="BU1725" s="48" t="str">
        <f aca="false">IF(U1725&lt;&gt;"",UPPER(TRIM(U1725)),IF(BX1725=1,UPPER(VLOOKUP(T1725,Parameter!$I$27:$K$29,2,0)),IF(P1725="","LOSE",P1725)))</f>
        <v>S22</v>
      </c>
      <c r="BV1725" s="50" t="n">
        <f aca="false">IF(BU1725="LOSE",1,IF(N(V1725)&gt;0,V1725,IF(BX1725=1,MAX(1,N(VLOOKUP(T1725,Parameter!$I$27:$K$29,3,0)),H1725,N(N1725)),IF(N(Q1725)&gt;0,Q1725,MAX(1,H1725)))))</f>
        <v>40</v>
      </c>
      <c r="BW1725" s="53" t="n">
        <f aca="false">IF(BU1725="LOSE",1,0)</f>
        <v>0</v>
      </c>
      <c r="BX1725" s="53" t="n">
        <f aca="false">IF(AND(U1725="",OR(P1725="",P1725="LOSE"),T1725&lt;&gt;"",N(S1725)&lt;=0,ISNUMBER(MATCH(T1725,Parameter!$I$27:$I$29,0))),1,0)</f>
        <v>0</v>
      </c>
      <c r="BY1725" s="53" t="n">
        <f aca="false">IF(CL1725&gt;0,INDEX(Parameter!$H$5:$H$7,W1725)/INDEX(Parameter!$E$5:$E$7,W1725),IF(AND(BW1725=0,N(IFERROR(VLOOKUP(BU1725,'Gebinde-Kategorie'!$A$5:$N$45,14,0),0))&gt;0),VLOOKUP(BU1725,'Gebinde-Kategorie'!$A$5:$N$45,14,0)*10+Parameter!$M$23,Parameter!$M$24))</f>
        <v>155</v>
      </c>
      <c r="BZ1725" s="48" t="str">
        <f aca="false">IF(AND(Parameter!$B$19="Ja",E1725&lt;&gt;"",ISNUMBER(MATCH(E1725,Parameter!$I$35:$I$52,0))),VLOOKUP(E1725,Parameter!$I$35:$J$52,2,0),IFERROR(VLOOKUP(D1725,Parameter!$A$35:$C$64,2,0),"Nein"))</f>
        <v>2+3</v>
      </c>
      <c r="CA1725" s="52" t="n">
        <f aca="false">IF(BW1725=0,0,IF(N(S1725)&gt;0,S1725,IFERROR(VLOOKUP(D1725,Parameter!$A$35:$C$64,3,0)+0,0)))</f>
        <v>0</v>
      </c>
      <c r="CB1725" s="48" t="n">
        <f aca="false">IF(AA1725&lt;&gt;"",AA1725,Z1725)</f>
        <v>3</v>
      </c>
      <c r="CC1725" s="48" t="str">
        <f aca="false">IF(OR(CB1725=1,CB1725=2,CB1725=3),IF(Parameter!$E$27="Ja","LIFT",IF(CB1725=1,"L1","L23")),IF(CB1725="Aussen","Aussen","-"))</f>
        <v>LIFT</v>
      </c>
      <c r="CD1725" s="59" t="n">
        <f aca="false">IF(N(AB1725)&gt;0,AB1725,0)</f>
        <v>0</v>
      </c>
      <c r="CE1725" s="53" t="n">
        <f aca="false">IF(ISNUMBER(AE1725),1,0)</f>
        <v>0</v>
      </c>
      <c r="CF1725" s="50" t="n">
        <f aca="false">N(AE1725)</f>
        <v>0</v>
      </c>
      <c r="CG1725" s="50" t="n">
        <f aca="false">N(M1725)+N(N1725)</f>
        <v>22</v>
      </c>
      <c r="CH1725" s="50" t="n">
        <f aca="false">ROUNDUP(H1725/BV1725,0)</f>
        <v>1</v>
      </c>
      <c r="CI1725" s="50" t="n">
        <f aca="false">ROUNDUP(CF1725/BV1725,0)</f>
        <v>0</v>
      </c>
      <c r="CJ1725" s="53" t="n">
        <f aca="false">IF(BW1725=1,0,IFERROR(VLOOKUP(BU1725,'Gebinde-Kategorie'!$A$5:$N$45,5,0)+0,0))</f>
        <v>8</v>
      </c>
      <c r="CK1725" s="53" t="n">
        <f aca="false">IFERROR(IF(OR(CB1725=1,CB1725=2,CB1725=3),N(INDEX(Parameter!$I$5:$I$7,CB1725)),0),0)</f>
        <v>0</v>
      </c>
      <c r="CL1725" s="52" t="n">
        <f aca="false">IF(AND(Parameter!$B$21="Ja",ISNUMBER(W1725),N(X1725)&gt;0),IFERROR(N(INDEX(Parameter!$L$5:$L$7,W1725))*INDEX(Parameter!$E$5:$E$7,W1725)*X1725/SUMIFS($X$7:$X$1843,$W$7:$W$1843,W1725),0),0)</f>
        <v>0</v>
      </c>
    </row>
    <row r="1726" customFormat="false" ht="15" hidden="false" customHeight="false" outlineLevel="0" collapsed="false">
      <c r="A1726" s="48" t="s">
        <v>2991</v>
      </c>
      <c r="B1726" s="48" t="s">
        <v>371</v>
      </c>
      <c r="C1726" s="48" t="s">
        <v>168</v>
      </c>
      <c r="D1726" s="48" t="s">
        <v>188</v>
      </c>
      <c r="E1726" s="48"/>
      <c r="F1726" s="48"/>
      <c r="G1726" s="49" t="n">
        <v>6.75</v>
      </c>
      <c r="H1726" s="50" t="n">
        <f aca="false">MAX(0,IF(AND(Parameter!$B$21="Ja",ISNUMBER(Y1726)),Y1726,IF(Parameter!$B$20="Jahresanfang 2025 + Export",BO1726+BN1726,BN1726)))</f>
        <v>24</v>
      </c>
      <c r="I1726" s="50" t="n">
        <f aca="false">H1726*G1726</f>
        <v>162</v>
      </c>
      <c r="J1726" s="50" t="n">
        <f aca="false">BQ1726*Parameter!$B$18</f>
        <v>0</v>
      </c>
      <c r="K1726" s="51"/>
      <c r="L1726" s="52"/>
      <c r="M1726" s="50" t="n">
        <v>0</v>
      </c>
      <c r="N1726" s="50" t="n">
        <v>15</v>
      </c>
      <c r="O1726" s="53" t="n">
        <v>14</v>
      </c>
      <c r="P1726" s="48" t="s">
        <v>405</v>
      </c>
      <c r="Q1726" s="50" t="n">
        <v>25</v>
      </c>
      <c r="R1726" s="53" t="n">
        <f aca="false">IF(BW1726=1,0,IFERROR(VLOOKUP(BU1726,'Gebinde-Kategorie'!$A$5:$N$45,13,0)+0,0))</f>
        <v>280</v>
      </c>
      <c r="S1726" s="54"/>
      <c r="T1726" s="55"/>
      <c r="U1726" s="55"/>
      <c r="V1726" s="55"/>
      <c r="W1726" s="48"/>
      <c r="X1726" s="50"/>
      <c r="Y1726" s="50"/>
      <c r="Z1726" s="48" t="n">
        <f aca="false">IF(A1726="","",IF(AND(Parameter!$B$21="Ja",ISNUMBER(W1726)),W1726,IF(BZ1726="2+3",IF(ISNUMBER(SEARCH("grosser Artikel",BR1726)),2,IFERROR(VLOOKUP(BU1726,Parameter!$F$35:$G$64,2,0),2)),IF(OR(BZ1726="Nein",BZ1726=""),"-",BZ1726))))</f>
        <v>3</v>
      </c>
      <c r="AA1726" s="55"/>
      <c r="AB1726" s="56"/>
      <c r="AC1726" s="50" t="n">
        <f aca="false">AT1726</f>
        <v>25</v>
      </c>
      <c r="AD1726" s="50" t="n">
        <f aca="false">MAX(AT1726,H1726)</f>
        <v>25</v>
      </c>
      <c r="AE1726" s="57"/>
      <c r="AF1726" s="50" t="n">
        <f aca="false">IF(LEFT(Cockpit!$C$5,1)="A",H1726,IF(CE1726=1,CF1726,IF(LEFT(Cockpit!$C$5,1)="B",AK1726,MAX(AK1726,H1726))))</f>
        <v>24</v>
      </c>
      <c r="AG1726" s="50" t="n">
        <f aca="false">IF(BW1726=1,0,ROUNDUP(AF1726/BV1726,0))</f>
        <v>1</v>
      </c>
      <c r="AH1726" s="52" t="n">
        <f aca="false">IF(CL1726&gt;0,CL1726*MAX(1,AF1726/X1726),IF(BW1726=1,IF(AF1726&lt;=0,0,CA1726*MAX(1,IF(H1726&gt;0,AF1726/H1726,1))),IF(R1726&gt;0,AG1726/R1726,0))/MAX(0.1,N(Parameter!$M$21)))</f>
        <v>0.00357142857142857</v>
      </c>
      <c r="AI1726" s="50" t="n">
        <f aca="false">AH1726*BY1726</f>
        <v>0.553571428571429</v>
      </c>
      <c r="AJ1726" s="50" t="n">
        <f aca="false">AF1726*G1726</f>
        <v>162</v>
      </c>
      <c r="AK1726" s="50" t="n">
        <f aca="false">ROUNDUP(MAX(J1726/IF(CD1726&gt;0,CD1726,MAX(0.1,N(Cockpit!$C$6))),CG1726)/BV1726,0)*BV1726</f>
        <v>25</v>
      </c>
      <c r="AL1726" s="51" t="n">
        <f aca="false">IF(AI1726&gt;0,J1726/AI1726,-1)</f>
        <v>0</v>
      </c>
      <c r="AM1726" s="51" t="n">
        <f aca="false">IF(AND(OR(CC1726="L1",CC1726="L23",CC1726="LIFT"),AI1726&gt;0),SUMIFS($AI$7:$AI$1843,$CC$7:$CC$1843,CC1726,$AL$7:$AL$1843,"&gt;"&amp;AL1726)+SUMIFS($AI$7:$AI$1843,$CC$7:$CC$1843,CC1726,$AL$7:$AL$1843,AL1726,$BT$7:$BT$1843,"&lt;="&amp;BT1726),"")</f>
        <v>32843.7074744935</v>
      </c>
      <c r="AN1726" s="58" t="n">
        <f aca="false">IF(AM1726="",0,MAX(0,MIN(1,(IF(CC1726="L1",Parameter!$H$5,IF(CC1726="L23",Parameter!$H$6+Parameter!$H$7,Parameter!$H$5+Parameter!$H$6+Parameter!$H$7))-(AM1726-AI1726))/AI1726)))</f>
        <v>1</v>
      </c>
      <c r="AO1726" s="50" t="n">
        <f aca="false">IF(LEFT(Cockpit!$I$5,1)="A",H1726,IF(CE1726=1,CF1726,IF(LEFT(Cockpit!$I$5,1)="B",AT1726,MAX(AT1726,H1726))))</f>
        <v>25</v>
      </c>
      <c r="AP1726" s="50" t="n">
        <f aca="false">IF(BW1726=1,0,ROUNDUP(AO1726/BV1726,0))</f>
        <v>1</v>
      </c>
      <c r="AQ1726" s="52" t="n">
        <f aca="false">IF(CL1726&gt;0,CL1726*MAX(1,AO1726/X1726),IF(BW1726=1,IF(AO1726&lt;=0,0,CA1726*MAX(1,IF(H1726&gt;0,AO1726/H1726,1))),IF(R1726&gt;0,AP1726/R1726,0))/MAX(0.1,N(Parameter!$M$21)))</f>
        <v>0.00357142857142857</v>
      </c>
      <c r="AR1726" s="50" t="n">
        <f aca="false">AQ1726*BY1726</f>
        <v>0.553571428571429</v>
      </c>
      <c r="AS1726" s="50" t="n">
        <f aca="false">AO1726*G1726</f>
        <v>168.75</v>
      </c>
      <c r="AT1726" s="50" t="n">
        <f aca="false">ROUNDUP(MAX(J1726/IF(CD1726&gt;0,CD1726,MAX(0.1,N(Cockpit!$I$6))),CG1726)/BV1726,0)*BV1726</f>
        <v>25</v>
      </c>
      <c r="AU1726" s="51" t="n">
        <f aca="false">IF(AR1726&gt;0,J1726/AR1726,-1)</f>
        <v>0</v>
      </c>
      <c r="AV1726" s="51" t="n">
        <f aca="false">IF(AND(OR(CC1726="L1",CC1726="L23",CC1726="LIFT"),AR1726&gt;0),SUMIFS($AR$7:$AR$1843,$CC$7:$CC$1843,CC1726,$AU$7:$AU$1843,"&gt;"&amp;AU1726)+SUMIFS($AR$7:$AR$1843,$CC$7:$CC$1843,CC1726,$AU$7:$AU$1843,AU1726,$BT$7:$BT$1843,"&lt;="&amp;BT1726),"")</f>
        <v>45527.8419320792</v>
      </c>
      <c r="AW1726" s="58" t="n">
        <f aca="false">IF(AV1726="",0,MAX(0,MIN(1,(IF(CC1726="L1",Parameter!$H$5,IF(CC1726="L23",Parameter!$H$6+Parameter!$H$7,Parameter!$H$5+Parameter!$H$6+Parameter!$H$7))-(AV1726-AR1726))/AR1726)))</f>
        <v>0</v>
      </c>
      <c r="AX1726" s="50" t="n">
        <f aca="false">IF(LEFT(Cockpit!$O$5,1)="A",H1726,IF(CE1726=1,CF1726,IF(LEFT(Cockpit!$O$5,1)="B",BC1726,MAX(BC1726,H1726))))</f>
        <v>25</v>
      </c>
      <c r="AY1726" s="50" t="n">
        <f aca="false">IF(BW1726=1,0,ROUNDUP(AX1726/BV1726,0))</f>
        <v>1</v>
      </c>
      <c r="AZ1726" s="52" t="n">
        <f aca="false">IF(CL1726&gt;0,CL1726*MAX(1,AX1726/X1726),IF(BW1726=1,IF(AX1726&lt;=0,0,CA1726*MAX(1,IF(H1726&gt;0,AX1726/H1726,1))),IF(R1726&gt;0,AY1726/R1726,0))/MAX(0.1,N(Parameter!$M$21)))</f>
        <v>0.00357142857142857</v>
      </c>
      <c r="BA1726" s="50" t="n">
        <f aca="false">AZ1726*BY1726</f>
        <v>0.553571428571429</v>
      </c>
      <c r="BB1726" s="50" t="n">
        <f aca="false">AX1726*G1726</f>
        <v>168.75</v>
      </c>
      <c r="BC1726" s="50" t="n">
        <f aca="false">ROUNDUP(MAX(J1726/IF(CD1726&gt;0,CD1726,MAX(0.1,N(Cockpit!$O$6))),CG1726)/BV1726,0)*BV1726</f>
        <v>25</v>
      </c>
      <c r="BD1726" s="51" t="n">
        <f aca="false">IF(BA1726&gt;0,J1726/BA1726,-1)</f>
        <v>0</v>
      </c>
      <c r="BE1726" s="51" t="n">
        <f aca="false">IF(AND(OR(CC1726="L1",CC1726="L23",CC1726="LIFT"),BA1726&gt;0),SUMIFS($BA$7:$BA$1843,$CC$7:$CC$1843,CC1726,$BD$7:$BD$1843,"&gt;"&amp;BD1726)+SUMIFS($BA$7:$BA$1843,$CC$7:$CC$1843,CC1726,$BD$7:$BD$1843,BD1726,$BT$7:$BT$1843,"&lt;="&amp;BT1726),"")</f>
        <v>42202.8539739451</v>
      </c>
      <c r="BF1726" s="58" t="n">
        <f aca="false">IF(BE1726="",0,MAX(0,MIN(1,(IF(CC1726="L1",Parameter!$H$5,IF(CC1726="L23",Parameter!$H$6+Parameter!$H$7,Parameter!$H$5+Parameter!$H$6+Parameter!$H$7))-(BE1726-BA1726))/BA1726)))</f>
        <v>0</v>
      </c>
      <c r="BG1726" s="48" t="str">
        <f aca="false">IF(AI1726&lt;=0,"",IF(CC1726="Aussen","Aussenlager",IF(CC1726="-","Nicht im Lift",IF(AN1726&gt;=1,"Lift",IF(AN1726&lt;=0,"Aussenlager","teilweise")))))</f>
        <v>Lift</v>
      </c>
      <c r="BH1726" s="48" t="str">
        <f aca="false">IF(AR1726&lt;=0,"",IF(CC1726="Aussen","Aussenlager",IF(CC1726="-","Nicht im Lift",IF(AW1726&gt;=1,"Lift",IF(AW1726&lt;=0,"Aussenlager","teilweise")))))</f>
        <v>Aussenlager</v>
      </c>
      <c r="BI1726" s="48" t="str">
        <f aca="false">IF(BA1726&lt;=0,"",IF(CC1726="Aussen","Aussenlager",IF(CC1726="-","Nicht im Lift",IF(BF1726&gt;=1,"Lift",IF(BF1726&lt;=0,"Aussenlager","teilweise")))))</f>
        <v>Aussenlager</v>
      </c>
      <c r="BJ1726" s="48" t="str">
        <f aca="false">IF(A1726="","",IF(BS1726=1,"Neu; ","")&amp;IF(AND(BS1726=0,BN1726&lt;0),"negativer Bestand (Export "&amp;BN1726&amp;"); ","")&amp;IF(J1726&lt;=0,"Kein Verbrauch; ","")&amp;IF(CL1726&gt;0,"Lift "&amp;W1726&amp;" lt. Liftbericht (Fach "&amp;X1726&amp;" Stk); ",IF(BX1726=1,"Gebinde geschätzt ("&amp;T1726&amp;"); ",IF(BW1726=1,"Lose – Tablare geschätzt; ","")))&amp;IF(H1726&gt;AT1726,"Überbestand "&amp;ROUND(H1726-AT1726,0)&amp;" Stk / CHF "&amp;ROUND((H1726-AT1726)*G1726,0)&amp;"; ","")&amp;IF(AND(CE1726=1,CF1726&lt;CG1726),"MAX &lt; MB+LG; ","")&amp;IF(AND(CK1726&gt;0,CJ1726*10&gt;CK1726),"zu hoch für Tablar; ","")&amp;IF(AND(BS1726=0,OR(CE1726=1,AA1726&lt;&gt;"",U1726&lt;&gt;"",V1726&lt;&gt;"",AB1726&lt;&gt;"")),"manuell übersteuert; ","")&amp;IF(AND(BW1726=0,R1726=0),"Gebinde unbekannt / Stellmass fehlt; ","")&amp;IF(AND(BW1726=0,N(V1726)&lt;=0,N(Q1726)&lt;=0),"Menge pro Gebinde fehlt (Ist = 1 Gebinde); ","")&amp;BR1726)</f>
        <v>Kein Verbrauch; nur im Artikelstamm (Bestand 23.06.2026)</v>
      </c>
      <c r="BK1726" s="48"/>
      <c r="BL1726" s="48"/>
      <c r="BM1726" s="55"/>
      <c r="BN1726" s="50" t="n">
        <v>24</v>
      </c>
      <c r="BO1726" s="50" t="n">
        <v>0</v>
      </c>
      <c r="BP1726" s="49" t="n">
        <v>0</v>
      </c>
      <c r="BQ1726" s="50" t="n">
        <v>0</v>
      </c>
      <c r="BR1726" s="48" t="s">
        <v>2579</v>
      </c>
      <c r="BS1726" s="53" t="n">
        <v>0</v>
      </c>
      <c r="BT1726" s="53" t="n">
        <v>1726</v>
      </c>
      <c r="BU1726" s="48" t="str">
        <f aca="false">IF(U1726&lt;&gt;"",UPPER(TRIM(U1726)),IF(BX1726=1,UPPER(VLOOKUP(T1726,Parameter!$I$27:$K$29,2,0)),IF(P1726="","LOSE",P1726)))</f>
        <v>S21</v>
      </c>
      <c r="BV1726" s="50" t="n">
        <f aca="false">IF(BU1726="LOSE",1,IF(N(V1726)&gt;0,V1726,IF(BX1726=1,MAX(1,N(VLOOKUP(T1726,Parameter!$I$27:$K$29,3,0)),H1726,N(N1726)),IF(N(Q1726)&gt;0,Q1726,MAX(1,H1726)))))</f>
        <v>25</v>
      </c>
      <c r="BW1726" s="53" t="n">
        <f aca="false">IF(BU1726="LOSE",1,0)</f>
        <v>0</v>
      </c>
      <c r="BX1726" s="53" t="n">
        <f aca="false">IF(AND(U1726="",OR(P1726="",P1726="LOSE"),T1726&lt;&gt;"",N(S1726)&lt;=0,ISNUMBER(MATCH(T1726,Parameter!$I$27:$I$29,0))),1,0)</f>
        <v>0</v>
      </c>
      <c r="BY1726" s="53" t="n">
        <f aca="false">IF(CL1726&gt;0,INDEX(Parameter!$H$5:$H$7,W1726)/INDEX(Parameter!$E$5:$E$7,W1726),IF(AND(BW1726=0,N(IFERROR(VLOOKUP(BU1726,'Gebinde-Kategorie'!$A$5:$N$45,14,0),0))&gt;0),VLOOKUP(BU1726,'Gebinde-Kategorie'!$A$5:$N$45,14,0)*10+Parameter!$M$23,Parameter!$M$24))</f>
        <v>155</v>
      </c>
      <c r="BZ1726" s="48" t="str">
        <f aca="false">IF(AND(Parameter!$B$19="Ja",E1726&lt;&gt;"",ISNUMBER(MATCH(E1726,Parameter!$I$35:$I$52,0))),VLOOKUP(E1726,Parameter!$I$35:$J$52,2,0),IFERROR(VLOOKUP(D1726,Parameter!$A$35:$C$64,2,0),"Nein"))</f>
        <v>2+3</v>
      </c>
      <c r="CA1726" s="52" t="n">
        <f aca="false">IF(BW1726=0,0,IF(N(S1726)&gt;0,S1726,IFERROR(VLOOKUP(D1726,Parameter!$A$35:$C$64,3,0)+0,0)))</f>
        <v>0</v>
      </c>
      <c r="CB1726" s="48" t="n">
        <f aca="false">IF(AA1726&lt;&gt;"",AA1726,Z1726)</f>
        <v>3</v>
      </c>
      <c r="CC1726" s="48" t="str">
        <f aca="false">IF(OR(CB1726=1,CB1726=2,CB1726=3),IF(Parameter!$E$27="Ja","LIFT",IF(CB1726=1,"L1","L23")),IF(CB1726="Aussen","Aussen","-"))</f>
        <v>LIFT</v>
      </c>
      <c r="CD1726" s="59" t="n">
        <f aca="false">IF(N(AB1726)&gt;0,AB1726,0)</f>
        <v>0</v>
      </c>
      <c r="CE1726" s="53" t="n">
        <f aca="false">IF(ISNUMBER(AE1726),1,0)</f>
        <v>0</v>
      </c>
      <c r="CF1726" s="50" t="n">
        <f aca="false">N(AE1726)</f>
        <v>0</v>
      </c>
      <c r="CG1726" s="50" t="n">
        <f aca="false">N(M1726)+N(N1726)</f>
        <v>15</v>
      </c>
      <c r="CH1726" s="50" t="n">
        <f aca="false">ROUNDUP(H1726/BV1726,0)</f>
        <v>1</v>
      </c>
      <c r="CI1726" s="50" t="n">
        <f aca="false">ROUNDUP(CF1726/BV1726,0)</f>
        <v>0</v>
      </c>
      <c r="CJ1726" s="53" t="n">
        <f aca="false">IF(BW1726=1,0,IFERROR(VLOOKUP(BU1726,'Gebinde-Kategorie'!$A$5:$N$45,5,0)+0,0))</f>
        <v>8</v>
      </c>
      <c r="CK1726" s="53" t="n">
        <f aca="false">IFERROR(IF(OR(CB1726=1,CB1726=2,CB1726=3),N(INDEX(Parameter!$I$5:$I$7,CB1726)),0),0)</f>
        <v>0</v>
      </c>
      <c r="CL1726" s="52" t="n">
        <f aca="false">IF(AND(Parameter!$B$21="Ja",ISNUMBER(W1726),N(X1726)&gt;0),IFERROR(N(INDEX(Parameter!$L$5:$L$7,W1726))*INDEX(Parameter!$E$5:$E$7,W1726)*X1726/SUMIFS($X$7:$X$1843,$W$7:$W$1843,W1726),0),0)</f>
        <v>0</v>
      </c>
    </row>
    <row r="1727" customFormat="false" ht="15" hidden="false" customHeight="false" outlineLevel="0" collapsed="false">
      <c r="A1727" s="48" t="s">
        <v>2992</v>
      </c>
      <c r="B1727" s="48" t="s">
        <v>371</v>
      </c>
      <c r="C1727" s="48" t="s">
        <v>168</v>
      </c>
      <c r="D1727" s="48" t="s">
        <v>188</v>
      </c>
      <c r="E1727" s="48"/>
      <c r="F1727" s="48"/>
      <c r="G1727" s="49" t="n">
        <v>8.37</v>
      </c>
      <c r="H1727" s="50" t="n">
        <f aca="false">MAX(0,IF(AND(Parameter!$B$21="Ja",ISNUMBER(Y1727)),Y1727,IF(Parameter!$B$20="Jahresanfang 2025 + Export",BO1727+BN1727,BN1727)))</f>
        <v>13</v>
      </c>
      <c r="I1727" s="50" t="n">
        <f aca="false">H1727*G1727</f>
        <v>108.81</v>
      </c>
      <c r="J1727" s="50" t="n">
        <f aca="false">BQ1727*Parameter!$B$18</f>
        <v>0</v>
      </c>
      <c r="K1727" s="51"/>
      <c r="L1727" s="52"/>
      <c r="M1727" s="50" t="n">
        <v>0</v>
      </c>
      <c r="N1727" s="50" t="n">
        <v>15</v>
      </c>
      <c r="O1727" s="53" t="n">
        <v>14</v>
      </c>
      <c r="P1727" s="48" t="s">
        <v>430</v>
      </c>
      <c r="Q1727" s="50" t="n">
        <v>20</v>
      </c>
      <c r="R1727" s="53" t="n">
        <f aca="false">IF(BW1727=1,0,IFERROR(VLOOKUP(BU1727,'Gebinde-Kategorie'!$A$5:$N$45,13,0)+0,0))</f>
        <v>140</v>
      </c>
      <c r="S1727" s="54"/>
      <c r="T1727" s="55"/>
      <c r="U1727" s="55"/>
      <c r="V1727" s="55"/>
      <c r="W1727" s="48"/>
      <c r="X1727" s="50"/>
      <c r="Y1727" s="50"/>
      <c r="Z1727" s="48" t="n">
        <f aca="false">IF(A1727="","",IF(AND(Parameter!$B$21="Ja",ISNUMBER(W1727)),W1727,IF(BZ1727="2+3",IF(ISNUMBER(SEARCH("grosser Artikel",BR1727)),2,IFERROR(VLOOKUP(BU1727,Parameter!$F$35:$G$64,2,0),2)),IF(OR(BZ1727="Nein",BZ1727=""),"-",BZ1727))))</f>
        <v>3</v>
      </c>
      <c r="AA1727" s="55"/>
      <c r="AB1727" s="56"/>
      <c r="AC1727" s="50" t="n">
        <f aca="false">AT1727</f>
        <v>20</v>
      </c>
      <c r="AD1727" s="50" t="n">
        <f aca="false">MAX(AT1727,H1727)</f>
        <v>20</v>
      </c>
      <c r="AE1727" s="57"/>
      <c r="AF1727" s="50" t="n">
        <f aca="false">IF(LEFT(Cockpit!$C$5,1)="A",H1727,IF(CE1727=1,CF1727,IF(LEFT(Cockpit!$C$5,1)="B",AK1727,MAX(AK1727,H1727))))</f>
        <v>13</v>
      </c>
      <c r="AG1727" s="50" t="n">
        <f aca="false">IF(BW1727=1,0,ROUNDUP(AF1727/BV1727,0))</f>
        <v>1</v>
      </c>
      <c r="AH1727" s="52" t="n">
        <f aca="false">IF(CL1727&gt;0,CL1727*MAX(1,AF1727/X1727),IF(BW1727=1,IF(AF1727&lt;=0,0,CA1727*MAX(1,IF(H1727&gt;0,AF1727/H1727,1))),IF(R1727&gt;0,AG1727/R1727,0))/MAX(0.1,N(Parameter!$M$21)))</f>
        <v>0.00714285714285714</v>
      </c>
      <c r="AI1727" s="50" t="n">
        <f aca="false">AH1727*BY1727</f>
        <v>1.10714285714286</v>
      </c>
      <c r="AJ1727" s="50" t="n">
        <f aca="false">AF1727*G1727</f>
        <v>108.81</v>
      </c>
      <c r="AK1727" s="50" t="n">
        <f aca="false">ROUNDUP(MAX(J1727/IF(CD1727&gt;0,CD1727,MAX(0.1,N(Cockpit!$C$6))),CG1727)/BV1727,0)*BV1727</f>
        <v>20</v>
      </c>
      <c r="AL1727" s="51" t="n">
        <f aca="false">IF(AI1727&gt;0,J1727/AI1727,-1)</f>
        <v>0</v>
      </c>
      <c r="AM1727" s="51" t="n">
        <f aca="false">IF(AND(OR(CC1727="L1",CC1727="L23",CC1727="LIFT"),AI1727&gt;0),SUMIFS($AI$7:$AI$1843,$CC$7:$CC$1843,CC1727,$AL$7:$AL$1843,"&gt;"&amp;AL1727)+SUMIFS($AI$7:$AI$1843,$CC$7:$CC$1843,CC1727,$AL$7:$AL$1843,AL1727,$BT$7:$BT$1843,"&lt;="&amp;BT1727),"")</f>
        <v>32844.8146173506</v>
      </c>
      <c r="AN1727" s="58" t="n">
        <f aca="false">IF(AM1727="",0,MAX(0,MIN(1,(IF(CC1727="L1",Parameter!$H$5,IF(CC1727="L23",Parameter!$H$6+Parameter!$H$7,Parameter!$H$5+Parameter!$H$6+Parameter!$H$7))-(AM1727-AI1727))/AI1727)))</f>
        <v>1</v>
      </c>
      <c r="AO1727" s="50" t="n">
        <f aca="false">IF(LEFT(Cockpit!$I$5,1)="A",H1727,IF(CE1727=1,CF1727,IF(LEFT(Cockpit!$I$5,1)="B",AT1727,MAX(AT1727,H1727))))</f>
        <v>20</v>
      </c>
      <c r="AP1727" s="50" t="n">
        <f aca="false">IF(BW1727=1,0,ROUNDUP(AO1727/BV1727,0))</f>
        <v>1</v>
      </c>
      <c r="AQ1727" s="52" t="n">
        <f aca="false">IF(CL1727&gt;0,CL1727*MAX(1,AO1727/X1727),IF(BW1727=1,IF(AO1727&lt;=0,0,CA1727*MAX(1,IF(H1727&gt;0,AO1727/H1727,1))),IF(R1727&gt;0,AP1727/R1727,0))/MAX(0.1,N(Parameter!$M$21)))</f>
        <v>0.00714285714285714</v>
      </c>
      <c r="AR1727" s="50" t="n">
        <f aca="false">AQ1727*BY1727</f>
        <v>1.10714285714286</v>
      </c>
      <c r="AS1727" s="50" t="n">
        <f aca="false">AO1727*G1727</f>
        <v>167.4</v>
      </c>
      <c r="AT1727" s="50" t="n">
        <f aca="false">ROUNDUP(MAX(J1727/IF(CD1727&gt;0,CD1727,MAX(0.1,N(Cockpit!$I$6))),CG1727)/BV1727,0)*BV1727</f>
        <v>20</v>
      </c>
      <c r="AU1727" s="51" t="n">
        <f aca="false">IF(AR1727&gt;0,J1727/AR1727,-1)</f>
        <v>0</v>
      </c>
      <c r="AV1727" s="51" t="n">
        <f aca="false">IF(AND(OR(CC1727="L1",CC1727="L23",CC1727="LIFT"),AR1727&gt;0),SUMIFS($AR$7:$AR$1843,$CC$7:$CC$1843,CC1727,$AU$7:$AU$1843,"&gt;"&amp;AU1727)+SUMIFS($AR$7:$AR$1843,$CC$7:$CC$1843,CC1727,$AU$7:$AU$1843,AU1727,$BT$7:$BT$1843,"&lt;="&amp;BT1727),"")</f>
        <v>45528.9490749364</v>
      </c>
      <c r="AW1727" s="58" t="n">
        <f aca="false">IF(AV1727="",0,MAX(0,MIN(1,(IF(CC1727="L1",Parameter!$H$5,IF(CC1727="L23",Parameter!$H$6+Parameter!$H$7,Parameter!$H$5+Parameter!$H$6+Parameter!$H$7))-(AV1727-AR1727))/AR1727)))</f>
        <v>0</v>
      </c>
      <c r="AX1727" s="50" t="n">
        <f aca="false">IF(LEFT(Cockpit!$O$5,1)="A",H1727,IF(CE1727=1,CF1727,IF(LEFT(Cockpit!$O$5,1)="B",BC1727,MAX(BC1727,H1727))))</f>
        <v>20</v>
      </c>
      <c r="AY1727" s="50" t="n">
        <f aca="false">IF(BW1727=1,0,ROUNDUP(AX1727/BV1727,0))</f>
        <v>1</v>
      </c>
      <c r="AZ1727" s="52" t="n">
        <f aca="false">IF(CL1727&gt;0,CL1727*MAX(1,AX1727/X1727),IF(BW1727=1,IF(AX1727&lt;=0,0,CA1727*MAX(1,IF(H1727&gt;0,AX1727/H1727,1))),IF(R1727&gt;0,AY1727/R1727,0))/MAX(0.1,N(Parameter!$M$21)))</f>
        <v>0.00714285714285714</v>
      </c>
      <c r="BA1727" s="50" t="n">
        <f aca="false">AZ1727*BY1727</f>
        <v>1.10714285714286</v>
      </c>
      <c r="BB1727" s="50" t="n">
        <f aca="false">AX1727*G1727</f>
        <v>167.4</v>
      </c>
      <c r="BC1727" s="50" t="n">
        <f aca="false">ROUNDUP(MAX(J1727/IF(CD1727&gt;0,CD1727,MAX(0.1,N(Cockpit!$O$6))),CG1727)/BV1727,0)*BV1727</f>
        <v>20</v>
      </c>
      <c r="BD1727" s="51" t="n">
        <f aca="false">IF(BA1727&gt;0,J1727/BA1727,-1)</f>
        <v>0</v>
      </c>
      <c r="BE1727" s="51" t="n">
        <f aca="false">IF(AND(OR(CC1727="L1",CC1727="L23",CC1727="LIFT"),BA1727&gt;0),SUMIFS($BA$7:$BA$1843,$CC$7:$CC$1843,CC1727,$BD$7:$BD$1843,"&gt;"&amp;BD1727)+SUMIFS($BA$7:$BA$1843,$CC$7:$CC$1843,CC1727,$BD$7:$BD$1843,BD1727,$BT$7:$BT$1843,"&lt;="&amp;BT1727),"")</f>
        <v>42203.9611168022</v>
      </c>
      <c r="BF1727" s="58" t="n">
        <f aca="false">IF(BE1727="",0,MAX(0,MIN(1,(IF(CC1727="L1",Parameter!$H$5,IF(CC1727="L23",Parameter!$H$6+Parameter!$H$7,Parameter!$H$5+Parameter!$H$6+Parameter!$H$7))-(BE1727-BA1727))/BA1727)))</f>
        <v>0</v>
      </c>
      <c r="BG1727" s="48" t="str">
        <f aca="false">IF(AI1727&lt;=0,"",IF(CC1727="Aussen","Aussenlager",IF(CC1727="-","Nicht im Lift",IF(AN1727&gt;=1,"Lift",IF(AN1727&lt;=0,"Aussenlager","teilweise")))))</f>
        <v>Lift</v>
      </c>
      <c r="BH1727" s="48" t="str">
        <f aca="false">IF(AR1727&lt;=0,"",IF(CC1727="Aussen","Aussenlager",IF(CC1727="-","Nicht im Lift",IF(AW1727&gt;=1,"Lift",IF(AW1727&lt;=0,"Aussenlager","teilweise")))))</f>
        <v>Aussenlager</v>
      </c>
      <c r="BI1727" s="48" t="str">
        <f aca="false">IF(BA1727&lt;=0,"",IF(CC1727="Aussen","Aussenlager",IF(CC1727="-","Nicht im Lift",IF(BF1727&gt;=1,"Lift",IF(BF1727&lt;=0,"Aussenlager","teilweise")))))</f>
        <v>Aussenlager</v>
      </c>
      <c r="BJ1727" s="48" t="str">
        <f aca="false">IF(A1727="","",IF(BS1727=1,"Neu; ","")&amp;IF(AND(BS1727=0,BN1727&lt;0),"negativer Bestand (Export "&amp;BN1727&amp;"); ","")&amp;IF(J1727&lt;=0,"Kein Verbrauch; ","")&amp;IF(CL1727&gt;0,"Lift "&amp;W1727&amp;" lt. Liftbericht (Fach "&amp;X1727&amp;" Stk); ",IF(BX1727=1,"Gebinde geschätzt ("&amp;T1727&amp;"); ",IF(BW1727=1,"Lose – Tablare geschätzt; ","")))&amp;IF(H1727&gt;AT1727,"Überbestand "&amp;ROUND(H1727-AT1727,0)&amp;" Stk / CHF "&amp;ROUND((H1727-AT1727)*G1727,0)&amp;"; ","")&amp;IF(AND(CE1727=1,CF1727&lt;CG1727),"MAX &lt; MB+LG; ","")&amp;IF(AND(CK1727&gt;0,CJ1727*10&gt;CK1727),"zu hoch für Tablar; ","")&amp;IF(AND(BS1727=0,OR(CE1727=1,AA1727&lt;&gt;"",U1727&lt;&gt;"",V1727&lt;&gt;"",AB1727&lt;&gt;"")),"manuell übersteuert; ","")&amp;IF(AND(BW1727=0,R1727=0),"Gebinde unbekannt / Stellmass fehlt; ","")&amp;IF(AND(BW1727=0,N(V1727)&lt;=0,N(Q1727)&lt;=0),"Menge pro Gebinde fehlt (Ist = 1 Gebinde); ","")&amp;BR1727)</f>
        <v>Kein Verbrauch; nur im Artikelstamm (Bestand 23.06.2026)</v>
      </c>
      <c r="BK1727" s="48"/>
      <c r="BL1727" s="48"/>
      <c r="BM1727" s="55"/>
      <c r="BN1727" s="50" t="n">
        <v>13</v>
      </c>
      <c r="BO1727" s="50" t="n">
        <v>0</v>
      </c>
      <c r="BP1727" s="49" t="n">
        <v>0</v>
      </c>
      <c r="BQ1727" s="50" t="n">
        <v>0</v>
      </c>
      <c r="BR1727" s="48" t="s">
        <v>2579</v>
      </c>
      <c r="BS1727" s="53" t="n">
        <v>0</v>
      </c>
      <c r="BT1727" s="53" t="n">
        <v>1727</v>
      </c>
      <c r="BU1727" s="48" t="str">
        <f aca="false">IF(U1727&lt;&gt;"",UPPER(TRIM(U1727)),IF(BX1727=1,UPPER(VLOOKUP(T1727,Parameter!$I$27:$K$29,2,0)),IF(P1727="","LOSE",P1727)))</f>
        <v>S22</v>
      </c>
      <c r="BV1727" s="50" t="n">
        <f aca="false">IF(BU1727="LOSE",1,IF(N(V1727)&gt;0,V1727,IF(BX1727=1,MAX(1,N(VLOOKUP(T1727,Parameter!$I$27:$K$29,3,0)),H1727,N(N1727)),IF(N(Q1727)&gt;0,Q1727,MAX(1,H1727)))))</f>
        <v>20</v>
      </c>
      <c r="BW1727" s="53" t="n">
        <f aca="false">IF(BU1727="LOSE",1,0)</f>
        <v>0</v>
      </c>
      <c r="BX1727" s="53" t="n">
        <f aca="false">IF(AND(U1727="",OR(P1727="",P1727="LOSE"),T1727&lt;&gt;"",N(S1727)&lt;=0,ISNUMBER(MATCH(T1727,Parameter!$I$27:$I$29,0))),1,0)</f>
        <v>0</v>
      </c>
      <c r="BY1727" s="53" t="n">
        <f aca="false">IF(CL1727&gt;0,INDEX(Parameter!$H$5:$H$7,W1727)/INDEX(Parameter!$E$5:$E$7,W1727),IF(AND(BW1727=0,N(IFERROR(VLOOKUP(BU1727,'Gebinde-Kategorie'!$A$5:$N$45,14,0),0))&gt;0),VLOOKUP(BU1727,'Gebinde-Kategorie'!$A$5:$N$45,14,0)*10+Parameter!$M$23,Parameter!$M$24))</f>
        <v>155</v>
      </c>
      <c r="BZ1727" s="48" t="str">
        <f aca="false">IF(AND(Parameter!$B$19="Ja",E1727&lt;&gt;"",ISNUMBER(MATCH(E1727,Parameter!$I$35:$I$52,0))),VLOOKUP(E1727,Parameter!$I$35:$J$52,2,0),IFERROR(VLOOKUP(D1727,Parameter!$A$35:$C$64,2,0),"Nein"))</f>
        <v>2+3</v>
      </c>
      <c r="CA1727" s="52" t="n">
        <f aca="false">IF(BW1727=0,0,IF(N(S1727)&gt;0,S1727,IFERROR(VLOOKUP(D1727,Parameter!$A$35:$C$64,3,0)+0,0)))</f>
        <v>0</v>
      </c>
      <c r="CB1727" s="48" t="n">
        <f aca="false">IF(AA1727&lt;&gt;"",AA1727,Z1727)</f>
        <v>3</v>
      </c>
      <c r="CC1727" s="48" t="str">
        <f aca="false">IF(OR(CB1727=1,CB1727=2,CB1727=3),IF(Parameter!$E$27="Ja","LIFT",IF(CB1727=1,"L1","L23")),IF(CB1727="Aussen","Aussen","-"))</f>
        <v>LIFT</v>
      </c>
      <c r="CD1727" s="59" t="n">
        <f aca="false">IF(N(AB1727)&gt;0,AB1727,0)</f>
        <v>0</v>
      </c>
      <c r="CE1727" s="53" t="n">
        <f aca="false">IF(ISNUMBER(AE1727),1,0)</f>
        <v>0</v>
      </c>
      <c r="CF1727" s="50" t="n">
        <f aca="false">N(AE1727)</f>
        <v>0</v>
      </c>
      <c r="CG1727" s="50" t="n">
        <f aca="false">N(M1727)+N(N1727)</f>
        <v>15</v>
      </c>
      <c r="CH1727" s="50" t="n">
        <f aca="false">ROUNDUP(H1727/BV1727,0)</f>
        <v>1</v>
      </c>
      <c r="CI1727" s="50" t="n">
        <f aca="false">ROUNDUP(CF1727/BV1727,0)</f>
        <v>0</v>
      </c>
      <c r="CJ1727" s="53" t="n">
        <f aca="false">IF(BW1727=1,0,IFERROR(VLOOKUP(BU1727,'Gebinde-Kategorie'!$A$5:$N$45,5,0)+0,0))</f>
        <v>8</v>
      </c>
      <c r="CK1727" s="53" t="n">
        <f aca="false">IFERROR(IF(OR(CB1727=1,CB1727=2,CB1727=3),N(INDEX(Parameter!$I$5:$I$7,CB1727)),0),0)</f>
        <v>0</v>
      </c>
      <c r="CL1727" s="52" t="n">
        <f aca="false">IF(AND(Parameter!$B$21="Ja",ISNUMBER(W1727),N(X1727)&gt;0),IFERROR(N(INDEX(Parameter!$L$5:$L$7,W1727))*INDEX(Parameter!$E$5:$E$7,W1727)*X1727/SUMIFS($X$7:$X$1843,$W$7:$W$1843,W1727),0),0)</f>
        <v>0</v>
      </c>
    </row>
    <row r="1728" customFormat="false" ht="15" hidden="false" customHeight="false" outlineLevel="0" collapsed="false">
      <c r="A1728" s="48" t="s">
        <v>2993</v>
      </c>
      <c r="B1728" s="48" t="s">
        <v>2994</v>
      </c>
      <c r="C1728" s="48" t="s">
        <v>168</v>
      </c>
      <c r="D1728" s="48" t="s">
        <v>188</v>
      </c>
      <c r="E1728" s="48"/>
      <c r="F1728" s="48"/>
      <c r="G1728" s="49" t="n">
        <v>93.36</v>
      </c>
      <c r="H1728" s="50" t="n">
        <f aca="false">MAX(0,IF(AND(Parameter!$B$21="Ja",ISNUMBER(Y1728)),Y1728,IF(Parameter!$B$20="Jahresanfang 2025 + Export",BO1728+BN1728,BN1728)))</f>
        <v>16</v>
      </c>
      <c r="I1728" s="50" t="n">
        <f aca="false">H1728*G1728</f>
        <v>1493.76</v>
      </c>
      <c r="J1728" s="50" t="n">
        <f aca="false">BQ1728*Parameter!$B$18</f>
        <v>0</v>
      </c>
      <c r="K1728" s="51"/>
      <c r="L1728" s="52"/>
      <c r="M1728" s="50" t="n">
        <v>0</v>
      </c>
      <c r="N1728" s="50" t="n">
        <v>3</v>
      </c>
      <c r="O1728" s="53" t="n">
        <v>107</v>
      </c>
      <c r="P1728" s="48" t="s">
        <v>405</v>
      </c>
      <c r="Q1728" s="50" t="n">
        <v>15</v>
      </c>
      <c r="R1728" s="53" t="n">
        <f aca="false">IF(BW1728=1,0,IFERROR(VLOOKUP(BU1728,'Gebinde-Kategorie'!$A$5:$N$45,13,0)+0,0))</f>
        <v>280</v>
      </c>
      <c r="S1728" s="54"/>
      <c r="T1728" s="55"/>
      <c r="U1728" s="55"/>
      <c r="V1728" s="55"/>
      <c r="W1728" s="48"/>
      <c r="X1728" s="50"/>
      <c r="Y1728" s="50"/>
      <c r="Z1728" s="48" t="n">
        <f aca="false">IF(A1728="","",IF(AND(Parameter!$B$21="Ja",ISNUMBER(W1728)),W1728,IF(BZ1728="2+3",IF(ISNUMBER(SEARCH("grosser Artikel",BR1728)),2,IFERROR(VLOOKUP(BU1728,Parameter!$F$35:$G$64,2,0),2)),IF(OR(BZ1728="Nein",BZ1728=""),"-",BZ1728))))</f>
        <v>3</v>
      </c>
      <c r="AA1728" s="55"/>
      <c r="AB1728" s="56"/>
      <c r="AC1728" s="50" t="n">
        <f aca="false">AT1728</f>
        <v>15</v>
      </c>
      <c r="AD1728" s="50" t="n">
        <f aca="false">MAX(AT1728,H1728)</f>
        <v>16</v>
      </c>
      <c r="AE1728" s="57"/>
      <c r="AF1728" s="50" t="n">
        <f aca="false">IF(LEFT(Cockpit!$C$5,1)="A",H1728,IF(CE1728=1,CF1728,IF(LEFT(Cockpit!$C$5,1)="B",AK1728,MAX(AK1728,H1728))))</f>
        <v>16</v>
      </c>
      <c r="AG1728" s="50" t="n">
        <f aca="false">IF(BW1728=1,0,ROUNDUP(AF1728/BV1728,0))</f>
        <v>2</v>
      </c>
      <c r="AH1728" s="52" t="n">
        <f aca="false">IF(CL1728&gt;0,CL1728*MAX(1,AF1728/X1728),IF(BW1728=1,IF(AF1728&lt;=0,0,CA1728*MAX(1,IF(H1728&gt;0,AF1728/H1728,1))),IF(R1728&gt;0,AG1728/R1728,0))/MAX(0.1,N(Parameter!$M$21)))</f>
        <v>0.00714285714285714</v>
      </c>
      <c r="AI1728" s="50" t="n">
        <f aca="false">AH1728*BY1728</f>
        <v>1.10714285714286</v>
      </c>
      <c r="AJ1728" s="50" t="n">
        <f aca="false">AF1728*G1728</f>
        <v>1493.76</v>
      </c>
      <c r="AK1728" s="50" t="n">
        <f aca="false">ROUNDUP(MAX(J1728/IF(CD1728&gt;0,CD1728,MAX(0.1,N(Cockpit!$C$6))),CG1728)/BV1728,0)*BV1728</f>
        <v>15</v>
      </c>
      <c r="AL1728" s="51" t="n">
        <f aca="false">IF(AI1728&gt;0,J1728/AI1728,-1)</f>
        <v>0</v>
      </c>
      <c r="AM1728" s="51" t="n">
        <f aca="false">IF(AND(OR(CC1728="L1",CC1728="L23",CC1728="LIFT"),AI1728&gt;0),SUMIFS($AI$7:$AI$1843,$CC$7:$CC$1843,CC1728,$AL$7:$AL$1843,"&gt;"&amp;AL1728)+SUMIFS($AI$7:$AI$1843,$CC$7:$CC$1843,CC1728,$AL$7:$AL$1843,AL1728,$BT$7:$BT$1843,"&lt;="&amp;BT1728),"")</f>
        <v>32845.9217602078</v>
      </c>
      <c r="AN1728" s="58" t="n">
        <f aca="false">IF(AM1728="",0,MAX(0,MIN(1,(IF(CC1728="L1",Parameter!$H$5,IF(CC1728="L23",Parameter!$H$6+Parameter!$H$7,Parameter!$H$5+Parameter!$H$6+Parameter!$H$7))-(AM1728-AI1728))/AI1728)))</f>
        <v>1</v>
      </c>
      <c r="AO1728" s="50" t="n">
        <f aca="false">IF(LEFT(Cockpit!$I$5,1)="A",H1728,IF(CE1728=1,CF1728,IF(LEFT(Cockpit!$I$5,1)="B",AT1728,MAX(AT1728,H1728))))</f>
        <v>16</v>
      </c>
      <c r="AP1728" s="50" t="n">
        <f aca="false">IF(BW1728=1,0,ROUNDUP(AO1728/BV1728,0))</f>
        <v>2</v>
      </c>
      <c r="AQ1728" s="52" t="n">
        <f aca="false">IF(CL1728&gt;0,CL1728*MAX(1,AO1728/X1728),IF(BW1728=1,IF(AO1728&lt;=0,0,CA1728*MAX(1,IF(H1728&gt;0,AO1728/H1728,1))),IF(R1728&gt;0,AP1728/R1728,0))/MAX(0.1,N(Parameter!$M$21)))</f>
        <v>0.00714285714285714</v>
      </c>
      <c r="AR1728" s="50" t="n">
        <f aca="false">AQ1728*BY1728</f>
        <v>1.10714285714286</v>
      </c>
      <c r="AS1728" s="50" t="n">
        <f aca="false">AO1728*G1728</f>
        <v>1493.76</v>
      </c>
      <c r="AT1728" s="50" t="n">
        <f aca="false">ROUNDUP(MAX(J1728/IF(CD1728&gt;0,CD1728,MAX(0.1,N(Cockpit!$I$6))),CG1728)/BV1728,0)*BV1728</f>
        <v>15</v>
      </c>
      <c r="AU1728" s="51" t="n">
        <f aca="false">IF(AR1728&gt;0,J1728/AR1728,-1)</f>
        <v>0</v>
      </c>
      <c r="AV1728" s="51" t="n">
        <f aca="false">IF(AND(OR(CC1728="L1",CC1728="L23",CC1728="LIFT"),AR1728&gt;0),SUMIFS($AR$7:$AR$1843,$CC$7:$CC$1843,CC1728,$AU$7:$AU$1843,"&gt;"&amp;AU1728)+SUMIFS($AR$7:$AR$1843,$CC$7:$CC$1843,CC1728,$AU$7:$AU$1843,AU1728,$BT$7:$BT$1843,"&lt;="&amp;BT1728),"")</f>
        <v>45530.0562177935</v>
      </c>
      <c r="AW1728" s="58" t="n">
        <f aca="false">IF(AV1728="",0,MAX(0,MIN(1,(IF(CC1728="L1",Parameter!$H$5,IF(CC1728="L23",Parameter!$H$6+Parameter!$H$7,Parameter!$H$5+Parameter!$H$6+Parameter!$H$7))-(AV1728-AR1728))/AR1728)))</f>
        <v>0</v>
      </c>
      <c r="AX1728" s="50" t="n">
        <f aca="false">IF(LEFT(Cockpit!$O$5,1)="A",H1728,IF(CE1728=1,CF1728,IF(LEFT(Cockpit!$O$5,1)="B",BC1728,MAX(BC1728,H1728))))</f>
        <v>16</v>
      </c>
      <c r="AY1728" s="50" t="n">
        <f aca="false">IF(BW1728=1,0,ROUNDUP(AX1728/BV1728,0))</f>
        <v>2</v>
      </c>
      <c r="AZ1728" s="52" t="n">
        <f aca="false">IF(CL1728&gt;0,CL1728*MAX(1,AX1728/X1728),IF(BW1728=1,IF(AX1728&lt;=0,0,CA1728*MAX(1,IF(H1728&gt;0,AX1728/H1728,1))),IF(R1728&gt;0,AY1728/R1728,0))/MAX(0.1,N(Parameter!$M$21)))</f>
        <v>0.00714285714285714</v>
      </c>
      <c r="BA1728" s="50" t="n">
        <f aca="false">AZ1728*BY1728</f>
        <v>1.10714285714286</v>
      </c>
      <c r="BB1728" s="50" t="n">
        <f aca="false">AX1728*G1728</f>
        <v>1493.76</v>
      </c>
      <c r="BC1728" s="50" t="n">
        <f aca="false">ROUNDUP(MAX(J1728/IF(CD1728&gt;0,CD1728,MAX(0.1,N(Cockpit!$O$6))),CG1728)/BV1728,0)*BV1728</f>
        <v>15</v>
      </c>
      <c r="BD1728" s="51" t="n">
        <f aca="false">IF(BA1728&gt;0,J1728/BA1728,-1)</f>
        <v>0</v>
      </c>
      <c r="BE1728" s="51" t="n">
        <f aca="false">IF(AND(OR(CC1728="L1",CC1728="L23",CC1728="LIFT"),BA1728&gt;0),SUMIFS($BA$7:$BA$1843,$CC$7:$CC$1843,CC1728,$BD$7:$BD$1843,"&gt;"&amp;BD1728)+SUMIFS($BA$7:$BA$1843,$CC$7:$CC$1843,CC1728,$BD$7:$BD$1843,BD1728,$BT$7:$BT$1843,"&lt;="&amp;BT1728),"")</f>
        <v>42205.0682596594</v>
      </c>
      <c r="BF1728" s="58" t="n">
        <f aca="false">IF(BE1728="",0,MAX(0,MIN(1,(IF(CC1728="L1",Parameter!$H$5,IF(CC1728="L23",Parameter!$H$6+Parameter!$H$7,Parameter!$H$5+Parameter!$H$6+Parameter!$H$7))-(BE1728-BA1728))/BA1728)))</f>
        <v>0</v>
      </c>
      <c r="BG1728" s="48" t="str">
        <f aca="false">IF(AI1728&lt;=0,"",IF(CC1728="Aussen","Aussenlager",IF(CC1728="-","Nicht im Lift",IF(AN1728&gt;=1,"Lift",IF(AN1728&lt;=0,"Aussenlager","teilweise")))))</f>
        <v>Lift</v>
      </c>
      <c r="BH1728" s="48" t="str">
        <f aca="false">IF(AR1728&lt;=0,"",IF(CC1728="Aussen","Aussenlager",IF(CC1728="-","Nicht im Lift",IF(AW1728&gt;=1,"Lift",IF(AW1728&lt;=0,"Aussenlager","teilweise")))))</f>
        <v>Aussenlager</v>
      </c>
      <c r="BI1728" s="48" t="str">
        <f aca="false">IF(BA1728&lt;=0,"",IF(CC1728="Aussen","Aussenlager",IF(CC1728="-","Nicht im Lift",IF(BF1728&gt;=1,"Lift",IF(BF1728&lt;=0,"Aussenlager","teilweise")))))</f>
        <v>Aussenlager</v>
      </c>
      <c r="BJ1728" s="48" t="str">
        <f aca="false">IF(A1728="","",IF(BS1728=1,"Neu; ","")&amp;IF(AND(BS1728=0,BN1728&lt;0),"negativer Bestand (Export "&amp;BN1728&amp;"); ","")&amp;IF(J1728&lt;=0,"Kein Verbrauch; ","")&amp;IF(CL1728&gt;0,"Lift "&amp;W1728&amp;" lt. Liftbericht (Fach "&amp;X1728&amp;" Stk); ",IF(BX1728=1,"Gebinde geschätzt ("&amp;T1728&amp;"); ",IF(BW1728=1,"Lose – Tablare geschätzt; ","")))&amp;IF(H1728&gt;AT1728,"Überbestand "&amp;ROUND(H1728-AT1728,0)&amp;" Stk / CHF "&amp;ROUND((H1728-AT1728)*G1728,0)&amp;"; ","")&amp;IF(AND(CE1728=1,CF1728&lt;CG1728),"MAX &lt; MB+LG; ","")&amp;IF(AND(CK1728&gt;0,CJ1728*10&gt;CK1728),"zu hoch für Tablar; ","")&amp;IF(AND(BS1728=0,OR(CE1728=1,AA1728&lt;&gt;"",U1728&lt;&gt;"",V1728&lt;&gt;"",AB1728&lt;&gt;"")),"manuell übersteuert; ","")&amp;IF(AND(BW1728=0,R1728=0),"Gebinde unbekannt / Stellmass fehlt; ","")&amp;IF(AND(BW1728=0,N(V1728)&lt;=0,N(Q1728)&lt;=0),"Menge pro Gebinde fehlt (Ist = 1 Gebinde); ","")&amp;BR1728)</f>
        <v>Kein Verbrauch; Überbestand 1 Stk / CHF 93; nur im Artikelstamm (Bestand 23.06.2026)</v>
      </c>
      <c r="BK1728" s="48"/>
      <c r="BL1728" s="48"/>
      <c r="BM1728" s="55"/>
      <c r="BN1728" s="50" t="n">
        <v>16</v>
      </c>
      <c r="BO1728" s="50" t="n">
        <v>0</v>
      </c>
      <c r="BP1728" s="49" t="n">
        <v>0</v>
      </c>
      <c r="BQ1728" s="50" t="n">
        <v>0</v>
      </c>
      <c r="BR1728" s="48" t="s">
        <v>2579</v>
      </c>
      <c r="BS1728" s="53" t="n">
        <v>0</v>
      </c>
      <c r="BT1728" s="53" t="n">
        <v>1728</v>
      </c>
      <c r="BU1728" s="48" t="str">
        <f aca="false">IF(U1728&lt;&gt;"",UPPER(TRIM(U1728)),IF(BX1728=1,UPPER(VLOOKUP(T1728,Parameter!$I$27:$K$29,2,0)),IF(P1728="","LOSE",P1728)))</f>
        <v>S21</v>
      </c>
      <c r="BV1728" s="50" t="n">
        <f aca="false">IF(BU1728="LOSE",1,IF(N(V1728)&gt;0,V1728,IF(BX1728=1,MAX(1,N(VLOOKUP(T1728,Parameter!$I$27:$K$29,3,0)),H1728,N(N1728)),IF(N(Q1728)&gt;0,Q1728,MAX(1,H1728)))))</f>
        <v>15</v>
      </c>
      <c r="BW1728" s="53" t="n">
        <f aca="false">IF(BU1728="LOSE",1,0)</f>
        <v>0</v>
      </c>
      <c r="BX1728" s="53" t="n">
        <f aca="false">IF(AND(U1728="",OR(P1728="",P1728="LOSE"),T1728&lt;&gt;"",N(S1728)&lt;=0,ISNUMBER(MATCH(T1728,Parameter!$I$27:$I$29,0))),1,0)</f>
        <v>0</v>
      </c>
      <c r="BY1728" s="53" t="n">
        <f aca="false">IF(CL1728&gt;0,INDEX(Parameter!$H$5:$H$7,W1728)/INDEX(Parameter!$E$5:$E$7,W1728),IF(AND(BW1728=0,N(IFERROR(VLOOKUP(BU1728,'Gebinde-Kategorie'!$A$5:$N$45,14,0),0))&gt;0),VLOOKUP(BU1728,'Gebinde-Kategorie'!$A$5:$N$45,14,0)*10+Parameter!$M$23,Parameter!$M$24))</f>
        <v>155</v>
      </c>
      <c r="BZ1728" s="48" t="str">
        <f aca="false">IF(AND(Parameter!$B$19="Ja",E1728&lt;&gt;"",ISNUMBER(MATCH(E1728,Parameter!$I$35:$I$52,0))),VLOOKUP(E1728,Parameter!$I$35:$J$52,2,0),IFERROR(VLOOKUP(D1728,Parameter!$A$35:$C$64,2,0),"Nein"))</f>
        <v>2+3</v>
      </c>
      <c r="CA1728" s="52" t="n">
        <f aca="false">IF(BW1728=0,0,IF(N(S1728)&gt;0,S1728,IFERROR(VLOOKUP(D1728,Parameter!$A$35:$C$64,3,0)+0,0)))</f>
        <v>0</v>
      </c>
      <c r="CB1728" s="48" t="n">
        <f aca="false">IF(AA1728&lt;&gt;"",AA1728,Z1728)</f>
        <v>3</v>
      </c>
      <c r="CC1728" s="48" t="str">
        <f aca="false">IF(OR(CB1728=1,CB1728=2,CB1728=3),IF(Parameter!$E$27="Ja","LIFT",IF(CB1728=1,"L1","L23")),IF(CB1728="Aussen","Aussen","-"))</f>
        <v>LIFT</v>
      </c>
      <c r="CD1728" s="59" t="n">
        <f aca="false">IF(N(AB1728)&gt;0,AB1728,0)</f>
        <v>0</v>
      </c>
      <c r="CE1728" s="53" t="n">
        <f aca="false">IF(ISNUMBER(AE1728),1,0)</f>
        <v>0</v>
      </c>
      <c r="CF1728" s="50" t="n">
        <f aca="false">N(AE1728)</f>
        <v>0</v>
      </c>
      <c r="CG1728" s="50" t="n">
        <f aca="false">N(M1728)+N(N1728)</f>
        <v>3</v>
      </c>
      <c r="CH1728" s="50" t="n">
        <f aca="false">ROUNDUP(H1728/BV1728,0)</f>
        <v>2</v>
      </c>
      <c r="CI1728" s="50" t="n">
        <f aca="false">ROUNDUP(CF1728/BV1728,0)</f>
        <v>0</v>
      </c>
      <c r="CJ1728" s="53" t="n">
        <f aca="false">IF(BW1728=1,0,IFERROR(VLOOKUP(BU1728,'Gebinde-Kategorie'!$A$5:$N$45,5,0)+0,0))</f>
        <v>8</v>
      </c>
      <c r="CK1728" s="53" t="n">
        <f aca="false">IFERROR(IF(OR(CB1728=1,CB1728=2,CB1728=3),N(INDEX(Parameter!$I$5:$I$7,CB1728)),0),0)</f>
        <v>0</v>
      </c>
      <c r="CL1728" s="52" t="n">
        <f aca="false">IF(AND(Parameter!$B$21="Ja",ISNUMBER(W1728),N(X1728)&gt;0),IFERROR(N(INDEX(Parameter!$L$5:$L$7,W1728))*INDEX(Parameter!$E$5:$E$7,W1728)*X1728/SUMIFS($X$7:$X$1843,$W$7:$W$1843,W1728),0),0)</f>
        <v>0</v>
      </c>
    </row>
    <row r="1729" customFormat="false" ht="15" hidden="false" customHeight="false" outlineLevel="0" collapsed="false">
      <c r="A1729" s="48" t="s">
        <v>2995</v>
      </c>
      <c r="B1729" s="48" t="s">
        <v>2996</v>
      </c>
      <c r="C1729" s="48" t="s">
        <v>168</v>
      </c>
      <c r="D1729" s="48" t="s">
        <v>188</v>
      </c>
      <c r="E1729" s="48"/>
      <c r="F1729" s="48"/>
      <c r="G1729" s="49" t="n">
        <v>40</v>
      </c>
      <c r="H1729" s="50" t="n">
        <f aca="false">MAX(0,IF(AND(Parameter!$B$21="Ja",ISNUMBER(Y1729)),Y1729,IF(Parameter!$B$20="Jahresanfang 2025 + Export",BO1729+BN1729,BN1729)))</f>
        <v>13</v>
      </c>
      <c r="I1729" s="50" t="n">
        <f aca="false">H1729*G1729</f>
        <v>520</v>
      </c>
      <c r="J1729" s="50" t="n">
        <f aca="false">BQ1729*Parameter!$B$18</f>
        <v>0</v>
      </c>
      <c r="K1729" s="51"/>
      <c r="L1729" s="52"/>
      <c r="M1729" s="50" t="n">
        <v>0</v>
      </c>
      <c r="N1729" s="50" t="n">
        <v>1</v>
      </c>
      <c r="O1729" s="53" t="n">
        <v>0</v>
      </c>
      <c r="P1729" s="48" t="s">
        <v>405</v>
      </c>
      <c r="Q1729" s="50" t="n">
        <v>12</v>
      </c>
      <c r="R1729" s="53" t="n">
        <f aca="false">IF(BW1729=1,0,IFERROR(VLOOKUP(BU1729,'Gebinde-Kategorie'!$A$5:$N$45,13,0)+0,0))</f>
        <v>280</v>
      </c>
      <c r="S1729" s="54"/>
      <c r="T1729" s="55"/>
      <c r="U1729" s="55"/>
      <c r="V1729" s="55"/>
      <c r="W1729" s="48"/>
      <c r="X1729" s="50"/>
      <c r="Y1729" s="50"/>
      <c r="Z1729" s="48" t="n">
        <f aca="false">IF(A1729="","",IF(AND(Parameter!$B$21="Ja",ISNUMBER(W1729)),W1729,IF(BZ1729="2+3",IF(ISNUMBER(SEARCH("grosser Artikel",BR1729)),2,IFERROR(VLOOKUP(BU1729,Parameter!$F$35:$G$64,2,0),2)),IF(OR(BZ1729="Nein",BZ1729=""),"-",BZ1729))))</f>
        <v>3</v>
      </c>
      <c r="AA1729" s="55"/>
      <c r="AB1729" s="56"/>
      <c r="AC1729" s="50" t="n">
        <f aca="false">AT1729</f>
        <v>12</v>
      </c>
      <c r="AD1729" s="50" t="n">
        <f aca="false">MAX(AT1729,H1729)</f>
        <v>13</v>
      </c>
      <c r="AE1729" s="57"/>
      <c r="AF1729" s="50" t="n">
        <f aca="false">IF(LEFT(Cockpit!$C$5,1)="A",H1729,IF(CE1729=1,CF1729,IF(LEFT(Cockpit!$C$5,1)="B",AK1729,MAX(AK1729,H1729))))</f>
        <v>13</v>
      </c>
      <c r="AG1729" s="50" t="n">
        <f aca="false">IF(BW1729=1,0,ROUNDUP(AF1729/BV1729,0))</f>
        <v>2</v>
      </c>
      <c r="AH1729" s="52" t="n">
        <f aca="false">IF(CL1729&gt;0,CL1729*MAX(1,AF1729/X1729),IF(BW1729=1,IF(AF1729&lt;=0,0,CA1729*MAX(1,IF(H1729&gt;0,AF1729/H1729,1))),IF(R1729&gt;0,AG1729/R1729,0))/MAX(0.1,N(Parameter!$M$21)))</f>
        <v>0.00714285714285714</v>
      </c>
      <c r="AI1729" s="50" t="n">
        <f aca="false">AH1729*BY1729</f>
        <v>1.10714285714286</v>
      </c>
      <c r="AJ1729" s="50" t="n">
        <f aca="false">AF1729*G1729</f>
        <v>520</v>
      </c>
      <c r="AK1729" s="50" t="n">
        <f aca="false">ROUNDUP(MAX(J1729/IF(CD1729&gt;0,CD1729,MAX(0.1,N(Cockpit!$C$6))),CG1729)/BV1729,0)*BV1729</f>
        <v>12</v>
      </c>
      <c r="AL1729" s="51" t="n">
        <f aca="false">IF(AI1729&gt;0,J1729/AI1729,-1)</f>
        <v>0</v>
      </c>
      <c r="AM1729" s="51" t="n">
        <f aca="false">IF(AND(OR(CC1729="L1",CC1729="L23",CC1729="LIFT"),AI1729&gt;0),SUMIFS($AI$7:$AI$1843,$CC$7:$CC$1843,CC1729,$AL$7:$AL$1843,"&gt;"&amp;AL1729)+SUMIFS($AI$7:$AI$1843,$CC$7:$CC$1843,CC1729,$AL$7:$AL$1843,AL1729,$BT$7:$BT$1843,"&lt;="&amp;BT1729),"")</f>
        <v>32847.0289030649</v>
      </c>
      <c r="AN1729" s="58" t="n">
        <f aca="false">IF(AM1729="",0,MAX(0,MIN(1,(IF(CC1729="L1",Parameter!$H$5,IF(CC1729="L23",Parameter!$H$6+Parameter!$H$7,Parameter!$H$5+Parameter!$H$6+Parameter!$H$7))-(AM1729-AI1729))/AI1729)))</f>
        <v>1</v>
      </c>
      <c r="AO1729" s="50" t="n">
        <f aca="false">IF(LEFT(Cockpit!$I$5,1)="A",H1729,IF(CE1729=1,CF1729,IF(LEFT(Cockpit!$I$5,1)="B",AT1729,MAX(AT1729,H1729))))</f>
        <v>13</v>
      </c>
      <c r="AP1729" s="50" t="n">
        <f aca="false">IF(BW1729=1,0,ROUNDUP(AO1729/BV1729,0))</f>
        <v>2</v>
      </c>
      <c r="AQ1729" s="52" t="n">
        <f aca="false">IF(CL1729&gt;0,CL1729*MAX(1,AO1729/X1729),IF(BW1729=1,IF(AO1729&lt;=0,0,CA1729*MAX(1,IF(H1729&gt;0,AO1729/H1729,1))),IF(R1729&gt;0,AP1729/R1729,0))/MAX(0.1,N(Parameter!$M$21)))</f>
        <v>0.00714285714285714</v>
      </c>
      <c r="AR1729" s="50" t="n">
        <f aca="false">AQ1729*BY1729</f>
        <v>1.10714285714286</v>
      </c>
      <c r="AS1729" s="50" t="n">
        <f aca="false">AO1729*G1729</f>
        <v>520</v>
      </c>
      <c r="AT1729" s="50" t="n">
        <f aca="false">ROUNDUP(MAX(J1729/IF(CD1729&gt;0,CD1729,MAX(0.1,N(Cockpit!$I$6))),CG1729)/BV1729,0)*BV1729</f>
        <v>12</v>
      </c>
      <c r="AU1729" s="51" t="n">
        <f aca="false">IF(AR1729&gt;0,J1729/AR1729,-1)</f>
        <v>0</v>
      </c>
      <c r="AV1729" s="51" t="n">
        <f aca="false">IF(AND(OR(CC1729="L1",CC1729="L23",CC1729="LIFT"),AR1729&gt;0),SUMIFS($AR$7:$AR$1843,$CC$7:$CC$1843,CC1729,$AU$7:$AU$1843,"&gt;"&amp;AU1729)+SUMIFS($AR$7:$AR$1843,$CC$7:$CC$1843,CC1729,$AU$7:$AU$1843,AU1729,$BT$7:$BT$1843,"&lt;="&amp;BT1729),"")</f>
        <v>45531.1633606507</v>
      </c>
      <c r="AW1729" s="58" t="n">
        <f aca="false">IF(AV1729="",0,MAX(0,MIN(1,(IF(CC1729="L1",Parameter!$H$5,IF(CC1729="L23",Parameter!$H$6+Parameter!$H$7,Parameter!$H$5+Parameter!$H$6+Parameter!$H$7))-(AV1729-AR1729))/AR1729)))</f>
        <v>0</v>
      </c>
      <c r="AX1729" s="50" t="n">
        <f aca="false">IF(LEFT(Cockpit!$O$5,1)="A",H1729,IF(CE1729=1,CF1729,IF(LEFT(Cockpit!$O$5,1)="B",BC1729,MAX(BC1729,H1729))))</f>
        <v>13</v>
      </c>
      <c r="AY1729" s="50" t="n">
        <f aca="false">IF(BW1729=1,0,ROUNDUP(AX1729/BV1729,0))</f>
        <v>2</v>
      </c>
      <c r="AZ1729" s="52" t="n">
        <f aca="false">IF(CL1729&gt;0,CL1729*MAX(1,AX1729/X1729),IF(BW1729=1,IF(AX1729&lt;=0,0,CA1729*MAX(1,IF(H1729&gt;0,AX1729/H1729,1))),IF(R1729&gt;0,AY1729/R1729,0))/MAX(0.1,N(Parameter!$M$21)))</f>
        <v>0.00714285714285714</v>
      </c>
      <c r="BA1729" s="50" t="n">
        <f aca="false">AZ1729*BY1729</f>
        <v>1.10714285714286</v>
      </c>
      <c r="BB1729" s="50" t="n">
        <f aca="false">AX1729*G1729</f>
        <v>520</v>
      </c>
      <c r="BC1729" s="50" t="n">
        <f aca="false">ROUNDUP(MAX(J1729/IF(CD1729&gt;0,CD1729,MAX(0.1,N(Cockpit!$O$6))),CG1729)/BV1729,0)*BV1729</f>
        <v>12</v>
      </c>
      <c r="BD1729" s="51" t="n">
        <f aca="false">IF(BA1729&gt;0,J1729/BA1729,-1)</f>
        <v>0</v>
      </c>
      <c r="BE1729" s="51" t="n">
        <f aca="false">IF(AND(OR(CC1729="L1",CC1729="L23",CC1729="LIFT"),BA1729&gt;0),SUMIFS($BA$7:$BA$1843,$CC$7:$CC$1843,CC1729,$BD$7:$BD$1843,"&gt;"&amp;BD1729)+SUMIFS($BA$7:$BA$1843,$CC$7:$CC$1843,CC1729,$BD$7:$BD$1843,BD1729,$BT$7:$BT$1843,"&lt;="&amp;BT1729),"")</f>
        <v>42206.1754025165</v>
      </c>
      <c r="BF1729" s="58" t="n">
        <f aca="false">IF(BE1729="",0,MAX(0,MIN(1,(IF(CC1729="L1",Parameter!$H$5,IF(CC1729="L23",Parameter!$H$6+Parameter!$H$7,Parameter!$H$5+Parameter!$H$6+Parameter!$H$7))-(BE1729-BA1729))/BA1729)))</f>
        <v>0</v>
      </c>
      <c r="BG1729" s="48" t="str">
        <f aca="false">IF(AI1729&lt;=0,"",IF(CC1729="Aussen","Aussenlager",IF(CC1729="-","Nicht im Lift",IF(AN1729&gt;=1,"Lift",IF(AN1729&lt;=0,"Aussenlager","teilweise")))))</f>
        <v>Lift</v>
      </c>
      <c r="BH1729" s="48" t="str">
        <f aca="false">IF(AR1729&lt;=0,"",IF(CC1729="Aussen","Aussenlager",IF(CC1729="-","Nicht im Lift",IF(AW1729&gt;=1,"Lift",IF(AW1729&lt;=0,"Aussenlager","teilweise")))))</f>
        <v>Aussenlager</v>
      </c>
      <c r="BI1729" s="48" t="str">
        <f aca="false">IF(BA1729&lt;=0,"",IF(CC1729="Aussen","Aussenlager",IF(CC1729="-","Nicht im Lift",IF(BF1729&gt;=1,"Lift",IF(BF1729&lt;=0,"Aussenlager","teilweise")))))</f>
        <v>Aussenlager</v>
      </c>
      <c r="BJ1729" s="48" t="str">
        <f aca="false">IF(A1729="","",IF(BS1729=1,"Neu; ","")&amp;IF(AND(BS1729=0,BN1729&lt;0),"negativer Bestand (Export "&amp;BN1729&amp;"); ","")&amp;IF(J1729&lt;=0,"Kein Verbrauch; ","")&amp;IF(CL1729&gt;0,"Lift "&amp;W1729&amp;" lt. Liftbericht (Fach "&amp;X1729&amp;" Stk); ",IF(BX1729=1,"Gebinde geschätzt ("&amp;T1729&amp;"); ",IF(BW1729=1,"Lose – Tablare geschätzt; ","")))&amp;IF(H1729&gt;AT1729,"Überbestand "&amp;ROUND(H1729-AT1729,0)&amp;" Stk / CHF "&amp;ROUND((H1729-AT1729)*G1729,0)&amp;"; ","")&amp;IF(AND(CE1729=1,CF1729&lt;CG1729),"MAX &lt; MB+LG; ","")&amp;IF(AND(CK1729&gt;0,CJ1729*10&gt;CK1729),"zu hoch für Tablar; ","")&amp;IF(AND(BS1729=0,OR(CE1729=1,AA1729&lt;&gt;"",U1729&lt;&gt;"",V1729&lt;&gt;"",AB1729&lt;&gt;"")),"manuell übersteuert; ","")&amp;IF(AND(BW1729=0,R1729=0),"Gebinde unbekannt / Stellmass fehlt; ","")&amp;IF(AND(BW1729=0,N(V1729)&lt;=0,N(Q1729)&lt;=0),"Menge pro Gebinde fehlt (Ist = 1 Gebinde); ","")&amp;BR1729)</f>
        <v>Kein Verbrauch; Überbestand 1 Stk / CHF 40; nur im Artikelstamm (Bestand 23.06.2026)</v>
      </c>
      <c r="BK1729" s="48"/>
      <c r="BL1729" s="48"/>
      <c r="BM1729" s="55"/>
      <c r="BN1729" s="50" t="n">
        <v>13</v>
      </c>
      <c r="BO1729" s="50" t="n">
        <v>0</v>
      </c>
      <c r="BP1729" s="49" t="n">
        <v>0</v>
      </c>
      <c r="BQ1729" s="50" t="n">
        <v>0</v>
      </c>
      <c r="BR1729" s="48" t="s">
        <v>2579</v>
      </c>
      <c r="BS1729" s="53" t="n">
        <v>0</v>
      </c>
      <c r="BT1729" s="53" t="n">
        <v>1729</v>
      </c>
      <c r="BU1729" s="48" t="str">
        <f aca="false">IF(U1729&lt;&gt;"",UPPER(TRIM(U1729)),IF(BX1729=1,UPPER(VLOOKUP(T1729,Parameter!$I$27:$K$29,2,0)),IF(P1729="","LOSE",P1729)))</f>
        <v>S21</v>
      </c>
      <c r="BV1729" s="50" t="n">
        <f aca="false">IF(BU1729="LOSE",1,IF(N(V1729)&gt;0,V1729,IF(BX1729=1,MAX(1,N(VLOOKUP(T1729,Parameter!$I$27:$K$29,3,0)),H1729,N(N1729)),IF(N(Q1729)&gt;0,Q1729,MAX(1,H1729)))))</f>
        <v>12</v>
      </c>
      <c r="BW1729" s="53" t="n">
        <f aca="false">IF(BU1729="LOSE",1,0)</f>
        <v>0</v>
      </c>
      <c r="BX1729" s="53" t="n">
        <f aca="false">IF(AND(U1729="",OR(P1729="",P1729="LOSE"),T1729&lt;&gt;"",N(S1729)&lt;=0,ISNUMBER(MATCH(T1729,Parameter!$I$27:$I$29,0))),1,0)</f>
        <v>0</v>
      </c>
      <c r="BY1729" s="53" t="n">
        <f aca="false">IF(CL1729&gt;0,INDEX(Parameter!$H$5:$H$7,W1729)/INDEX(Parameter!$E$5:$E$7,W1729),IF(AND(BW1729=0,N(IFERROR(VLOOKUP(BU1729,'Gebinde-Kategorie'!$A$5:$N$45,14,0),0))&gt;0),VLOOKUP(BU1729,'Gebinde-Kategorie'!$A$5:$N$45,14,0)*10+Parameter!$M$23,Parameter!$M$24))</f>
        <v>155</v>
      </c>
      <c r="BZ1729" s="48" t="str">
        <f aca="false">IF(AND(Parameter!$B$19="Ja",E1729&lt;&gt;"",ISNUMBER(MATCH(E1729,Parameter!$I$35:$I$52,0))),VLOOKUP(E1729,Parameter!$I$35:$J$52,2,0),IFERROR(VLOOKUP(D1729,Parameter!$A$35:$C$64,2,0),"Nein"))</f>
        <v>2+3</v>
      </c>
      <c r="CA1729" s="52" t="n">
        <f aca="false">IF(BW1729=0,0,IF(N(S1729)&gt;0,S1729,IFERROR(VLOOKUP(D1729,Parameter!$A$35:$C$64,3,0)+0,0)))</f>
        <v>0</v>
      </c>
      <c r="CB1729" s="48" t="n">
        <f aca="false">IF(AA1729&lt;&gt;"",AA1729,Z1729)</f>
        <v>3</v>
      </c>
      <c r="CC1729" s="48" t="str">
        <f aca="false">IF(OR(CB1729=1,CB1729=2,CB1729=3),IF(Parameter!$E$27="Ja","LIFT",IF(CB1729=1,"L1","L23")),IF(CB1729="Aussen","Aussen","-"))</f>
        <v>LIFT</v>
      </c>
      <c r="CD1729" s="59" t="n">
        <f aca="false">IF(N(AB1729)&gt;0,AB1729,0)</f>
        <v>0</v>
      </c>
      <c r="CE1729" s="53" t="n">
        <f aca="false">IF(ISNUMBER(AE1729),1,0)</f>
        <v>0</v>
      </c>
      <c r="CF1729" s="50" t="n">
        <f aca="false">N(AE1729)</f>
        <v>0</v>
      </c>
      <c r="CG1729" s="50" t="n">
        <f aca="false">N(M1729)+N(N1729)</f>
        <v>1</v>
      </c>
      <c r="CH1729" s="50" t="n">
        <f aca="false">ROUNDUP(H1729/BV1729,0)</f>
        <v>2</v>
      </c>
      <c r="CI1729" s="50" t="n">
        <f aca="false">ROUNDUP(CF1729/BV1729,0)</f>
        <v>0</v>
      </c>
      <c r="CJ1729" s="53" t="n">
        <f aca="false">IF(BW1729=1,0,IFERROR(VLOOKUP(BU1729,'Gebinde-Kategorie'!$A$5:$N$45,5,0)+0,0))</f>
        <v>8</v>
      </c>
      <c r="CK1729" s="53" t="n">
        <f aca="false">IFERROR(IF(OR(CB1729=1,CB1729=2,CB1729=3),N(INDEX(Parameter!$I$5:$I$7,CB1729)),0),0)</f>
        <v>0</v>
      </c>
      <c r="CL1729" s="52" t="n">
        <f aca="false">IF(AND(Parameter!$B$21="Ja",ISNUMBER(W1729),N(X1729)&gt;0),IFERROR(N(INDEX(Parameter!$L$5:$L$7,W1729))*INDEX(Parameter!$E$5:$E$7,W1729)*X1729/SUMIFS($X$7:$X$1843,$W$7:$W$1843,W1729),0),0)</f>
        <v>0</v>
      </c>
    </row>
    <row r="1730" customFormat="false" ht="15" hidden="false" customHeight="false" outlineLevel="0" collapsed="false">
      <c r="A1730" s="48" t="s">
        <v>2997</v>
      </c>
      <c r="B1730" s="48" t="s">
        <v>429</v>
      </c>
      <c r="C1730" s="48" t="s">
        <v>168</v>
      </c>
      <c r="D1730" s="48" t="s">
        <v>188</v>
      </c>
      <c r="E1730" s="48"/>
      <c r="F1730" s="48"/>
      <c r="G1730" s="49" t="n">
        <v>136.13</v>
      </c>
      <c r="H1730" s="50" t="n">
        <f aca="false">MAX(0,IF(AND(Parameter!$B$21="Ja",ISNUMBER(Y1730)),Y1730,IF(Parameter!$B$20="Jahresanfang 2025 + Export",BO1730+BN1730,BN1730)))</f>
        <v>12</v>
      </c>
      <c r="I1730" s="50" t="n">
        <f aca="false">H1730*G1730</f>
        <v>1633.56</v>
      </c>
      <c r="J1730" s="50" t="n">
        <f aca="false">BQ1730*Parameter!$B$18</f>
        <v>0</v>
      </c>
      <c r="K1730" s="51"/>
      <c r="L1730" s="52"/>
      <c r="M1730" s="50" t="n">
        <v>0</v>
      </c>
      <c r="N1730" s="50" t="n">
        <v>10</v>
      </c>
      <c r="O1730" s="53" t="n">
        <v>42</v>
      </c>
      <c r="P1730" s="48" t="s">
        <v>430</v>
      </c>
      <c r="Q1730" s="50" t="n">
        <v>12</v>
      </c>
      <c r="R1730" s="53" t="n">
        <f aca="false">IF(BW1730=1,0,IFERROR(VLOOKUP(BU1730,'Gebinde-Kategorie'!$A$5:$N$45,13,0)+0,0))</f>
        <v>140</v>
      </c>
      <c r="S1730" s="54"/>
      <c r="T1730" s="55"/>
      <c r="U1730" s="55"/>
      <c r="V1730" s="55"/>
      <c r="W1730" s="48"/>
      <c r="X1730" s="50"/>
      <c r="Y1730" s="50"/>
      <c r="Z1730" s="48" t="n">
        <f aca="false">IF(A1730="","",IF(AND(Parameter!$B$21="Ja",ISNUMBER(W1730)),W1730,IF(BZ1730="2+3",IF(ISNUMBER(SEARCH("grosser Artikel",BR1730)),2,IFERROR(VLOOKUP(BU1730,Parameter!$F$35:$G$64,2,0),2)),IF(OR(BZ1730="Nein",BZ1730=""),"-",BZ1730))))</f>
        <v>3</v>
      </c>
      <c r="AA1730" s="55"/>
      <c r="AB1730" s="56"/>
      <c r="AC1730" s="50" t="n">
        <f aca="false">AT1730</f>
        <v>12</v>
      </c>
      <c r="AD1730" s="50" t="n">
        <f aca="false">MAX(AT1730,H1730)</f>
        <v>12</v>
      </c>
      <c r="AE1730" s="57"/>
      <c r="AF1730" s="50" t="n">
        <f aca="false">IF(LEFT(Cockpit!$C$5,1)="A",H1730,IF(CE1730=1,CF1730,IF(LEFT(Cockpit!$C$5,1)="B",AK1730,MAX(AK1730,H1730))))</f>
        <v>12</v>
      </c>
      <c r="AG1730" s="50" t="n">
        <f aca="false">IF(BW1730=1,0,ROUNDUP(AF1730/BV1730,0))</f>
        <v>1</v>
      </c>
      <c r="AH1730" s="52" t="n">
        <f aca="false">IF(CL1730&gt;0,CL1730*MAX(1,AF1730/X1730),IF(BW1730=1,IF(AF1730&lt;=0,0,CA1730*MAX(1,IF(H1730&gt;0,AF1730/H1730,1))),IF(R1730&gt;0,AG1730/R1730,0))/MAX(0.1,N(Parameter!$M$21)))</f>
        <v>0.00714285714285714</v>
      </c>
      <c r="AI1730" s="50" t="n">
        <f aca="false">AH1730*BY1730</f>
        <v>1.10714285714286</v>
      </c>
      <c r="AJ1730" s="50" t="n">
        <f aca="false">AF1730*G1730</f>
        <v>1633.56</v>
      </c>
      <c r="AK1730" s="50" t="n">
        <f aca="false">ROUNDUP(MAX(J1730/IF(CD1730&gt;0,CD1730,MAX(0.1,N(Cockpit!$C$6))),CG1730)/BV1730,0)*BV1730</f>
        <v>12</v>
      </c>
      <c r="AL1730" s="51" t="n">
        <f aca="false">IF(AI1730&gt;0,J1730/AI1730,-1)</f>
        <v>0</v>
      </c>
      <c r="AM1730" s="51" t="n">
        <f aca="false">IF(AND(OR(CC1730="L1",CC1730="L23",CC1730="LIFT"),AI1730&gt;0),SUMIFS($AI$7:$AI$1843,$CC$7:$CC$1843,CC1730,$AL$7:$AL$1843,"&gt;"&amp;AL1730)+SUMIFS($AI$7:$AI$1843,$CC$7:$CC$1843,CC1730,$AL$7:$AL$1843,AL1730,$BT$7:$BT$1843,"&lt;="&amp;BT1730),"")</f>
        <v>32848.1360459221</v>
      </c>
      <c r="AN1730" s="58" t="n">
        <f aca="false">IF(AM1730="",0,MAX(0,MIN(1,(IF(CC1730="L1",Parameter!$H$5,IF(CC1730="L23",Parameter!$H$6+Parameter!$H$7,Parameter!$H$5+Parameter!$H$6+Parameter!$H$7))-(AM1730-AI1730))/AI1730)))</f>
        <v>1</v>
      </c>
      <c r="AO1730" s="50" t="n">
        <f aca="false">IF(LEFT(Cockpit!$I$5,1)="A",H1730,IF(CE1730=1,CF1730,IF(LEFT(Cockpit!$I$5,1)="B",AT1730,MAX(AT1730,H1730))))</f>
        <v>12</v>
      </c>
      <c r="AP1730" s="50" t="n">
        <f aca="false">IF(BW1730=1,0,ROUNDUP(AO1730/BV1730,0))</f>
        <v>1</v>
      </c>
      <c r="AQ1730" s="52" t="n">
        <f aca="false">IF(CL1730&gt;0,CL1730*MAX(1,AO1730/X1730),IF(BW1730=1,IF(AO1730&lt;=0,0,CA1730*MAX(1,IF(H1730&gt;0,AO1730/H1730,1))),IF(R1730&gt;0,AP1730/R1730,0))/MAX(0.1,N(Parameter!$M$21)))</f>
        <v>0.00714285714285714</v>
      </c>
      <c r="AR1730" s="50" t="n">
        <f aca="false">AQ1730*BY1730</f>
        <v>1.10714285714286</v>
      </c>
      <c r="AS1730" s="50" t="n">
        <f aca="false">AO1730*G1730</f>
        <v>1633.56</v>
      </c>
      <c r="AT1730" s="50" t="n">
        <f aca="false">ROUNDUP(MAX(J1730/IF(CD1730&gt;0,CD1730,MAX(0.1,N(Cockpit!$I$6))),CG1730)/BV1730,0)*BV1730</f>
        <v>12</v>
      </c>
      <c r="AU1730" s="51" t="n">
        <f aca="false">IF(AR1730&gt;0,J1730/AR1730,-1)</f>
        <v>0</v>
      </c>
      <c r="AV1730" s="51" t="n">
        <f aca="false">IF(AND(OR(CC1730="L1",CC1730="L23",CC1730="LIFT"),AR1730&gt;0),SUMIFS($AR$7:$AR$1843,$CC$7:$CC$1843,CC1730,$AU$7:$AU$1843,"&gt;"&amp;AU1730)+SUMIFS($AR$7:$AR$1843,$CC$7:$CC$1843,CC1730,$AU$7:$AU$1843,AU1730,$BT$7:$BT$1843,"&lt;="&amp;BT1730),"")</f>
        <v>45532.2705035078</v>
      </c>
      <c r="AW1730" s="58" t="n">
        <f aca="false">IF(AV1730="",0,MAX(0,MIN(1,(IF(CC1730="L1",Parameter!$H$5,IF(CC1730="L23",Parameter!$H$6+Parameter!$H$7,Parameter!$H$5+Parameter!$H$6+Parameter!$H$7))-(AV1730-AR1730))/AR1730)))</f>
        <v>0</v>
      </c>
      <c r="AX1730" s="50" t="n">
        <f aca="false">IF(LEFT(Cockpit!$O$5,1)="A",H1730,IF(CE1730=1,CF1730,IF(LEFT(Cockpit!$O$5,1)="B",BC1730,MAX(BC1730,H1730))))</f>
        <v>12</v>
      </c>
      <c r="AY1730" s="50" t="n">
        <f aca="false">IF(BW1730=1,0,ROUNDUP(AX1730/BV1730,0))</f>
        <v>1</v>
      </c>
      <c r="AZ1730" s="52" t="n">
        <f aca="false">IF(CL1730&gt;0,CL1730*MAX(1,AX1730/X1730),IF(BW1730=1,IF(AX1730&lt;=0,0,CA1730*MAX(1,IF(H1730&gt;0,AX1730/H1730,1))),IF(R1730&gt;0,AY1730/R1730,0))/MAX(0.1,N(Parameter!$M$21)))</f>
        <v>0.00714285714285714</v>
      </c>
      <c r="BA1730" s="50" t="n">
        <f aca="false">AZ1730*BY1730</f>
        <v>1.10714285714286</v>
      </c>
      <c r="BB1730" s="50" t="n">
        <f aca="false">AX1730*G1730</f>
        <v>1633.56</v>
      </c>
      <c r="BC1730" s="50" t="n">
        <f aca="false">ROUNDUP(MAX(J1730/IF(CD1730&gt;0,CD1730,MAX(0.1,N(Cockpit!$O$6))),CG1730)/BV1730,0)*BV1730</f>
        <v>12</v>
      </c>
      <c r="BD1730" s="51" t="n">
        <f aca="false">IF(BA1730&gt;0,J1730/BA1730,-1)</f>
        <v>0</v>
      </c>
      <c r="BE1730" s="51" t="n">
        <f aca="false">IF(AND(OR(CC1730="L1",CC1730="L23",CC1730="LIFT"),BA1730&gt;0),SUMIFS($BA$7:$BA$1843,$CC$7:$CC$1843,CC1730,$BD$7:$BD$1843,"&gt;"&amp;BD1730)+SUMIFS($BA$7:$BA$1843,$CC$7:$CC$1843,CC1730,$BD$7:$BD$1843,BD1730,$BT$7:$BT$1843,"&lt;="&amp;BT1730),"")</f>
        <v>42207.2825453737</v>
      </c>
      <c r="BF1730" s="58" t="n">
        <f aca="false">IF(BE1730="",0,MAX(0,MIN(1,(IF(CC1730="L1",Parameter!$H$5,IF(CC1730="L23",Parameter!$H$6+Parameter!$H$7,Parameter!$H$5+Parameter!$H$6+Parameter!$H$7))-(BE1730-BA1730))/BA1730)))</f>
        <v>0</v>
      </c>
      <c r="BG1730" s="48" t="str">
        <f aca="false">IF(AI1730&lt;=0,"",IF(CC1730="Aussen","Aussenlager",IF(CC1730="-","Nicht im Lift",IF(AN1730&gt;=1,"Lift",IF(AN1730&lt;=0,"Aussenlager","teilweise")))))</f>
        <v>Lift</v>
      </c>
      <c r="BH1730" s="48" t="str">
        <f aca="false">IF(AR1730&lt;=0,"",IF(CC1730="Aussen","Aussenlager",IF(CC1730="-","Nicht im Lift",IF(AW1730&gt;=1,"Lift",IF(AW1730&lt;=0,"Aussenlager","teilweise")))))</f>
        <v>Aussenlager</v>
      </c>
      <c r="BI1730" s="48" t="str">
        <f aca="false">IF(BA1730&lt;=0,"",IF(CC1730="Aussen","Aussenlager",IF(CC1730="-","Nicht im Lift",IF(BF1730&gt;=1,"Lift",IF(BF1730&lt;=0,"Aussenlager","teilweise")))))</f>
        <v>Aussenlager</v>
      </c>
      <c r="BJ1730" s="48" t="str">
        <f aca="false">IF(A1730="","",IF(BS1730=1,"Neu; ","")&amp;IF(AND(BS1730=0,BN1730&lt;0),"negativer Bestand (Export "&amp;BN1730&amp;"); ","")&amp;IF(J1730&lt;=0,"Kein Verbrauch; ","")&amp;IF(CL1730&gt;0,"Lift "&amp;W1730&amp;" lt. Liftbericht (Fach "&amp;X1730&amp;" Stk); ",IF(BX1730=1,"Gebinde geschätzt ("&amp;T1730&amp;"); ",IF(BW1730=1,"Lose – Tablare geschätzt; ","")))&amp;IF(H1730&gt;AT1730,"Überbestand "&amp;ROUND(H1730-AT1730,0)&amp;" Stk / CHF "&amp;ROUND((H1730-AT1730)*G1730,0)&amp;"; ","")&amp;IF(AND(CE1730=1,CF1730&lt;CG1730),"MAX &lt; MB+LG; ","")&amp;IF(AND(CK1730&gt;0,CJ1730*10&gt;CK1730),"zu hoch für Tablar; ","")&amp;IF(AND(BS1730=0,OR(CE1730=1,AA1730&lt;&gt;"",U1730&lt;&gt;"",V1730&lt;&gt;"",AB1730&lt;&gt;"")),"manuell übersteuert; ","")&amp;IF(AND(BW1730=0,R1730=0),"Gebinde unbekannt / Stellmass fehlt; ","")&amp;IF(AND(BW1730=0,N(V1730)&lt;=0,N(Q1730)&lt;=0),"Menge pro Gebinde fehlt (Ist = 1 Gebinde); ","")&amp;BR1730)</f>
        <v>Kein Verbrauch; nur im Artikelstamm (Bestand 23.06.2026)</v>
      </c>
      <c r="BK1730" s="48"/>
      <c r="BL1730" s="48"/>
      <c r="BM1730" s="55"/>
      <c r="BN1730" s="50" t="n">
        <v>12</v>
      </c>
      <c r="BO1730" s="50" t="n">
        <v>0</v>
      </c>
      <c r="BP1730" s="49" t="n">
        <v>0</v>
      </c>
      <c r="BQ1730" s="50" t="n">
        <v>0</v>
      </c>
      <c r="BR1730" s="48" t="s">
        <v>2579</v>
      </c>
      <c r="BS1730" s="53" t="n">
        <v>0</v>
      </c>
      <c r="BT1730" s="53" t="n">
        <v>1730</v>
      </c>
      <c r="BU1730" s="48" t="str">
        <f aca="false">IF(U1730&lt;&gt;"",UPPER(TRIM(U1730)),IF(BX1730=1,UPPER(VLOOKUP(T1730,Parameter!$I$27:$K$29,2,0)),IF(P1730="","LOSE",P1730)))</f>
        <v>S22</v>
      </c>
      <c r="BV1730" s="50" t="n">
        <f aca="false">IF(BU1730="LOSE",1,IF(N(V1730)&gt;0,V1730,IF(BX1730=1,MAX(1,N(VLOOKUP(T1730,Parameter!$I$27:$K$29,3,0)),H1730,N(N1730)),IF(N(Q1730)&gt;0,Q1730,MAX(1,H1730)))))</f>
        <v>12</v>
      </c>
      <c r="BW1730" s="53" t="n">
        <f aca="false">IF(BU1730="LOSE",1,0)</f>
        <v>0</v>
      </c>
      <c r="BX1730" s="53" t="n">
        <f aca="false">IF(AND(U1730="",OR(P1730="",P1730="LOSE"),T1730&lt;&gt;"",N(S1730)&lt;=0,ISNUMBER(MATCH(T1730,Parameter!$I$27:$I$29,0))),1,0)</f>
        <v>0</v>
      </c>
      <c r="BY1730" s="53" t="n">
        <f aca="false">IF(CL1730&gt;0,INDEX(Parameter!$H$5:$H$7,W1730)/INDEX(Parameter!$E$5:$E$7,W1730),IF(AND(BW1730=0,N(IFERROR(VLOOKUP(BU1730,'Gebinde-Kategorie'!$A$5:$N$45,14,0),0))&gt;0),VLOOKUP(BU1730,'Gebinde-Kategorie'!$A$5:$N$45,14,0)*10+Parameter!$M$23,Parameter!$M$24))</f>
        <v>155</v>
      </c>
      <c r="BZ1730" s="48" t="str">
        <f aca="false">IF(AND(Parameter!$B$19="Ja",E1730&lt;&gt;"",ISNUMBER(MATCH(E1730,Parameter!$I$35:$I$52,0))),VLOOKUP(E1730,Parameter!$I$35:$J$52,2,0),IFERROR(VLOOKUP(D1730,Parameter!$A$35:$C$64,2,0),"Nein"))</f>
        <v>2+3</v>
      </c>
      <c r="CA1730" s="52" t="n">
        <f aca="false">IF(BW1730=0,0,IF(N(S1730)&gt;0,S1730,IFERROR(VLOOKUP(D1730,Parameter!$A$35:$C$64,3,0)+0,0)))</f>
        <v>0</v>
      </c>
      <c r="CB1730" s="48" t="n">
        <f aca="false">IF(AA1730&lt;&gt;"",AA1730,Z1730)</f>
        <v>3</v>
      </c>
      <c r="CC1730" s="48" t="str">
        <f aca="false">IF(OR(CB1730=1,CB1730=2,CB1730=3),IF(Parameter!$E$27="Ja","LIFT",IF(CB1730=1,"L1","L23")),IF(CB1730="Aussen","Aussen","-"))</f>
        <v>LIFT</v>
      </c>
      <c r="CD1730" s="59" t="n">
        <f aca="false">IF(N(AB1730)&gt;0,AB1730,0)</f>
        <v>0</v>
      </c>
      <c r="CE1730" s="53" t="n">
        <f aca="false">IF(ISNUMBER(AE1730),1,0)</f>
        <v>0</v>
      </c>
      <c r="CF1730" s="50" t="n">
        <f aca="false">N(AE1730)</f>
        <v>0</v>
      </c>
      <c r="CG1730" s="50" t="n">
        <f aca="false">N(M1730)+N(N1730)</f>
        <v>10</v>
      </c>
      <c r="CH1730" s="50" t="n">
        <f aca="false">ROUNDUP(H1730/BV1730,0)</f>
        <v>1</v>
      </c>
      <c r="CI1730" s="50" t="n">
        <f aca="false">ROUNDUP(CF1730/BV1730,0)</f>
        <v>0</v>
      </c>
      <c r="CJ1730" s="53" t="n">
        <f aca="false">IF(BW1730=1,0,IFERROR(VLOOKUP(BU1730,'Gebinde-Kategorie'!$A$5:$N$45,5,0)+0,0))</f>
        <v>8</v>
      </c>
      <c r="CK1730" s="53" t="n">
        <f aca="false">IFERROR(IF(OR(CB1730=1,CB1730=2,CB1730=3),N(INDEX(Parameter!$I$5:$I$7,CB1730)),0),0)</f>
        <v>0</v>
      </c>
      <c r="CL1730" s="52" t="n">
        <f aca="false">IF(AND(Parameter!$B$21="Ja",ISNUMBER(W1730),N(X1730)&gt;0),IFERROR(N(INDEX(Parameter!$L$5:$L$7,W1730))*INDEX(Parameter!$E$5:$E$7,W1730)*X1730/SUMIFS($X$7:$X$1843,$W$7:$W$1843,W1730),0),0)</f>
        <v>0</v>
      </c>
    </row>
    <row r="1731" customFormat="false" ht="15" hidden="false" customHeight="false" outlineLevel="0" collapsed="false">
      <c r="A1731" s="48" t="s">
        <v>2998</v>
      </c>
      <c r="B1731" s="48" t="s">
        <v>2999</v>
      </c>
      <c r="C1731" s="48" t="s">
        <v>168</v>
      </c>
      <c r="D1731" s="48" t="s">
        <v>188</v>
      </c>
      <c r="E1731" s="48"/>
      <c r="F1731" s="48"/>
      <c r="G1731" s="49" t="n">
        <v>24</v>
      </c>
      <c r="H1731" s="50" t="n">
        <f aca="false">MAX(0,IF(AND(Parameter!$B$21="Ja",ISNUMBER(Y1731)),Y1731,IF(Parameter!$B$20="Jahresanfang 2025 + Export",BO1731+BN1731,BN1731)))</f>
        <v>6</v>
      </c>
      <c r="I1731" s="50" t="n">
        <f aca="false">H1731*G1731</f>
        <v>144</v>
      </c>
      <c r="J1731" s="50" t="n">
        <f aca="false">BQ1731*Parameter!$B$18</f>
        <v>0</v>
      </c>
      <c r="K1731" s="51"/>
      <c r="L1731" s="52"/>
      <c r="M1731" s="50" t="n">
        <v>0</v>
      </c>
      <c r="N1731" s="50" t="n">
        <v>1</v>
      </c>
      <c r="O1731" s="53" t="n">
        <v>28</v>
      </c>
      <c r="P1731" s="48" t="s">
        <v>405</v>
      </c>
      <c r="Q1731" s="50" t="n">
        <v>10</v>
      </c>
      <c r="R1731" s="53" t="n">
        <f aca="false">IF(BW1731=1,0,IFERROR(VLOOKUP(BU1731,'Gebinde-Kategorie'!$A$5:$N$45,13,0)+0,0))</f>
        <v>280</v>
      </c>
      <c r="S1731" s="54"/>
      <c r="T1731" s="55"/>
      <c r="U1731" s="55"/>
      <c r="V1731" s="55"/>
      <c r="W1731" s="48"/>
      <c r="X1731" s="50"/>
      <c r="Y1731" s="50"/>
      <c r="Z1731" s="48" t="n">
        <f aca="false">IF(A1731="","",IF(AND(Parameter!$B$21="Ja",ISNUMBER(W1731)),W1731,IF(BZ1731="2+3",IF(ISNUMBER(SEARCH("grosser Artikel",BR1731)),2,IFERROR(VLOOKUP(BU1731,Parameter!$F$35:$G$64,2,0),2)),IF(OR(BZ1731="Nein",BZ1731=""),"-",BZ1731))))</f>
        <v>3</v>
      </c>
      <c r="AA1731" s="55"/>
      <c r="AB1731" s="56"/>
      <c r="AC1731" s="50" t="n">
        <f aca="false">AT1731</f>
        <v>10</v>
      </c>
      <c r="AD1731" s="50" t="n">
        <f aca="false">MAX(AT1731,H1731)</f>
        <v>10</v>
      </c>
      <c r="AE1731" s="57"/>
      <c r="AF1731" s="50" t="n">
        <f aca="false">IF(LEFT(Cockpit!$C$5,1)="A",H1731,IF(CE1731=1,CF1731,IF(LEFT(Cockpit!$C$5,1)="B",AK1731,MAX(AK1731,H1731))))</f>
        <v>6</v>
      </c>
      <c r="AG1731" s="50" t="n">
        <f aca="false">IF(BW1731=1,0,ROUNDUP(AF1731/BV1731,0))</f>
        <v>1</v>
      </c>
      <c r="AH1731" s="52" t="n">
        <f aca="false">IF(CL1731&gt;0,CL1731*MAX(1,AF1731/X1731),IF(BW1731=1,IF(AF1731&lt;=0,0,CA1731*MAX(1,IF(H1731&gt;0,AF1731/H1731,1))),IF(R1731&gt;0,AG1731/R1731,0))/MAX(0.1,N(Parameter!$M$21)))</f>
        <v>0.00357142857142857</v>
      </c>
      <c r="AI1731" s="50" t="n">
        <f aca="false">AH1731*BY1731</f>
        <v>0.553571428571429</v>
      </c>
      <c r="AJ1731" s="50" t="n">
        <f aca="false">AF1731*G1731</f>
        <v>144</v>
      </c>
      <c r="AK1731" s="50" t="n">
        <f aca="false">ROUNDUP(MAX(J1731/IF(CD1731&gt;0,CD1731,MAX(0.1,N(Cockpit!$C$6))),CG1731)/BV1731,0)*BV1731</f>
        <v>10</v>
      </c>
      <c r="AL1731" s="51" t="n">
        <f aca="false">IF(AI1731&gt;0,J1731/AI1731,-1)</f>
        <v>0</v>
      </c>
      <c r="AM1731" s="51" t="n">
        <f aca="false">IF(AND(OR(CC1731="L1",CC1731="L23",CC1731="LIFT"),AI1731&gt;0),SUMIFS($AI$7:$AI$1843,$CC$7:$CC$1843,CC1731,$AL$7:$AL$1843,"&gt;"&amp;AL1731)+SUMIFS($AI$7:$AI$1843,$CC$7:$CC$1843,CC1731,$AL$7:$AL$1843,AL1731,$BT$7:$BT$1843,"&lt;="&amp;BT1731),"")</f>
        <v>32848.6896173506</v>
      </c>
      <c r="AN1731" s="58" t="n">
        <f aca="false">IF(AM1731="",0,MAX(0,MIN(1,(IF(CC1731="L1",Parameter!$H$5,IF(CC1731="L23",Parameter!$H$6+Parameter!$H$7,Parameter!$H$5+Parameter!$H$6+Parameter!$H$7))-(AM1731-AI1731))/AI1731)))</f>
        <v>1</v>
      </c>
      <c r="AO1731" s="50" t="n">
        <f aca="false">IF(LEFT(Cockpit!$I$5,1)="A",H1731,IF(CE1731=1,CF1731,IF(LEFT(Cockpit!$I$5,1)="B",AT1731,MAX(AT1731,H1731))))</f>
        <v>10</v>
      </c>
      <c r="AP1731" s="50" t="n">
        <f aca="false">IF(BW1731=1,0,ROUNDUP(AO1731/BV1731,0))</f>
        <v>1</v>
      </c>
      <c r="AQ1731" s="52" t="n">
        <f aca="false">IF(CL1731&gt;0,CL1731*MAX(1,AO1731/X1731),IF(BW1731=1,IF(AO1731&lt;=0,0,CA1731*MAX(1,IF(H1731&gt;0,AO1731/H1731,1))),IF(R1731&gt;0,AP1731/R1731,0))/MAX(0.1,N(Parameter!$M$21)))</f>
        <v>0.00357142857142857</v>
      </c>
      <c r="AR1731" s="50" t="n">
        <f aca="false">AQ1731*BY1731</f>
        <v>0.553571428571429</v>
      </c>
      <c r="AS1731" s="50" t="n">
        <f aca="false">AO1731*G1731</f>
        <v>240</v>
      </c>
      <c r="AT1731" s="50" t="n">
        <f aca="false">ROUNDUP(MAX(J1731/IF(CD1731&gt;0,CD1731,MAX(0.1,N(Cockpit!$I$6))),CG1731)/BV1731,0)*BV1731</f>
        <v>10</v>
      </c>
      <c r="AU1731" s="51" t="n">
        <f aca="false">IF(AR1731&gt;0,J1731/AR1731,-1)</f>
        <v>0</v>
      </c>
      <c r="AV1731" s="51" t="n">
        <f aca="false">IF(AND(OR(CC1731="L1",CC1731="L23",CC1731="LIFT"),AR1731&gt;0),SUMIFS($AR$7:$AR$1843,$CC$7:$CC$1843,CC1731,$AU$7:$AU$1843,"&gt;"&amp;AU1731)+SUMIFS($AR$7:$AR$1843,$CC$7:$CC$1843,CC1731,$AU$7:$AU$1843,AU1731,$BT$7:$BT$1843,"&lt;="&amp;BT1731),"")</f>
        <v>45532.8240749364</v>
      </c>
      <c r="AW1731" s="58" t="n">
        <f aca="false">IF(AV1731="",0,MAX(0,MIN(1,(IF(CC1731="L1",Parameter!$H$5,IF(CC1731="L23",Parameter!$H$6+Parameter!$H$7,Parameter!$H$5+Parameter!$H$6+Parameter!$H$7))-(AV1731-AR1731))/AR1731)))</f>
        <v>0</v>
      </c>
      <c r="AX1731" s="50" t="n">
        <f aca="false">IF(LEFT(Cockpit!$O$5,1)="A",H1731,IF(CE1731=1,CF1731,IF(LEFT(Cockpit!$O$5,1)="B",BC1731,MAX(BC1731,H1731))))</f>
        <v>10</v>
      </c>
      <c r="AY1731" s="50" t="n">
        <f aca="false">IF(BW1731=1,0,ROUNDUP(AX1731/BV1731,0))</f>
        <v>1</v>
      </c>
      <c r="AZ1731" s="52" t="n">
        <f aca="false">IF(CL1731&gt;0,CL1731*MAX(1,AX1731/X1731),IF(BW1731=1,IF(AX1731&lt;=0,0,CA1731*MAX(1,IF(H1731&gt;0,AX1731/H1731,1))),IF(R1731&gt;0,AY1731/R1731,0))/MAX(0.1,N(Parameter!$M$21)))</f>
        <v>0.00357142857142857</v>
      </c>
      <c r="BA1731" s="50" t="n">
        <f aca="false">AZ1731*BY1731</f>
        <v>0.553571428571429</v>
      </c>
      <c r="BB1731" s="50" t="n">
        <f aca="false">AX1731*G1731</f>
        <v>240</v>
      </c>
      <c r="BC1731" s="50" t="n">
        <f aca="false">ROUNDUP(MAX(J1731/IF(CD1731&gt;0,CD1731,MAX(0.1,N(Cockpit!$O$6))),CG1731)/BV1731,0)*BV1731</f>
        <v>10</v>
      </c>
      <c r="BD1731" s="51" t="n">
        <f aca="false">IF(BA1731&gt;0,J1731/BA1731,-1)</f>
        <v>0</v>
      </c>
      <c r="BE1731" s="51" t="n">
        <f aca="false">IF(AND(OR(CC1731="L1",CC1731="L23",CC1731="LIFT"),BA1731&gt;0),SUMIFS($BA$7:$BA$1843,$CC$7:$CC$1843,CC1731,$BD$7:$BD$1843,"&gt;"&amp;BD1731)+SUMIFS($BA$7:$BA$1843,$CC$7:$CC$1843,CC1731,$BD$7:$BD$1843,BD1731,$BT$7:$BT$1843,"&lt;="&amp;BT1731),"")</f>
        <v>42207.8361168022</v>
      </c>
      <c r="BF1731" s="58" t="n">
        <f aca="false">IF(BE1731="",0,MAX(0,MIN(1,(IF(CC1731="L1",Parameter!$H$5,IF(CC1731="L23",Parameter!$H$6+Parameter!$H$7,Parameter!$H$5+Parameter!$H$6+Parameter!$H$7))-(BE1731-BA1731))/BA1731)))</f>
        <v>0</v>
      </c>
      <c r="BG1731" s="48" t="str">
        <f aca="false">IF(AI1731&lt;=0,"",IF(CC1731="Aussen","Aussenlager",IF(CC1731="-","Nicht im Lift",IF(AN1731&gt;=1,"Lift",IF(AN1731&lt;=0,"Aussenlager","teilweise")))))</f>
        <v>Lift</v>
      </c>
      <c r="BH1731" s="48" t="str">
        <f aca="false">IF(AR1731&lt;=0,"",IF(CC1731="Aussen","Aussenlager",IF(CC1731="-","Nicht im Lift",IF(AW1731&gt;=1,"Lift",IF(AW1731&lt;=0,"Aussenlager","teilweise")))))</f>
        <v>Aussenlager</v>
      </c>
      <c r="BI1731" s="48" t="str">
        <f aca="false">IF(BA1731&lt;=0,"",IF(CC1731="Aussen","Aussenlager",IF(CC1731="-","Nicht im Lift",IF(BF1731&gt;=1,"Lift",IF(BF1731&lt;=0,"Aussenlager","teilweise")))))</f>
        <v>Aussenlager</v>
      </c>
      <c r="BJ1731" s="48" t="str">
        <f aca="false">IF(A1731="","",IF(BS1731=1,"Neu; ","")&amp;IF(AND(BS1731=0,BN1731&lt;0),"negativer Bestand (Export "&amp;BN1731&amp;"); ","")&amp;IF(J1731&lt;=0,"Kein Verbrauch; ","")&amp;IF(CL1731&gt;0,"Lift "&amp;W1731&amp;" lt. Liftbericht (Fach "&amp;X1731&amp;" Stk); ",IF(BX1731=1,"Gebinde geschätzt ("&amp;T1731&amp;"); ",IF(BW1731=1,"Lose – Tablare geschätzt; ","")))&amp;IF(H1731&gt;AT1731,"Überbestand "&amp;ROUND(H1731-AT1731,0)&amp;" Stk / CHF "&amp;ROUND((H1731-AT1731)*G1731,0)&amp;"; ","")&amp;IF(AND(CE1731=1,CF1731&lt;CG1731),"MAX &lt; MB+LG; ","")&amp;IF(AND(CK1731&gt;0,CJ1731*10&gt;CK1731),"zu hoch für Tablar; ","")&amp;IF(AND(BS1731=0,OR(CE1731=1,AA1731&lt;&gt;"",U1731&lt;&gt;"",V1731&lt;&gt;"",AB1731&lt;&gt;"")),"manuell übersteuert; ","")&amp;IF(AND(BW1731=0,R1731=0),"Gebinde unbekannt / Stellmass fehlt; ","")&amp;IF(AND(BW1731=0,N(V1731)&lt;=0,N(Q1731)&lt;=0),"Menge pro Gebinde fehlt (Ist = 1 Gebinde); ","")&amp;BR1731)</f>
        <v>Kein Verbrauch; nur im Artikelstamm (Bestand 23.06.2026); Überbestand</v>
      </c>
      <c r="BK1731" s="48"/>
      <c r="BL1731" s="48"/>
      <c r="BM1731" s="55"/>
      <c r="BN1731" s="50" t="n">
        <v>6</v>
      </c>
      <c r="BO1731" s="50" t="n">
        <v>0</v>
      </c>
      <c r="BP1731" s="49" t="n">
        <v>0</v>
      </c>
      <c r="BQ1731" s="50" t="n">
        <v>0</v>
      </c>
      <c r="BR1731" s="48" t="s">
        <v>2576</v>
      </c>
      <c r="BS1731" s="53" t="n">
        <v>0</v>
      </c>
      <c r="BT1731" s="53" t="n">
        <v>1731</v>
      </c>
      <c r="BU1731" s="48" t="str">
        <f aca="false">IF(U1731&lt;&gt;"",UPPER(TRIM(U1731)),IF(BX1731=1,UPPER(VLOOKUP(T1731,Parameter!$I$27:$K$29,2,0)),IF(P1731="","LOSE",P1731)))</f>
        <v>S21</v>
      </c>
      <c r="BV1731" s="50" t="n">
        <f aca="false">IF(BU1731="LOSE",1,IF(N(V1731)&gt;0,V1731,IF(BX1731=1,MAX(1,N(VLOOKUP(T1731,Parameter!$I$27:$K$29,3,0)),H1731,N(N1731)),IF(N(Q1731)&gt;0,Q1731,MAX(1,H1731)))))</f>
        <v>10</v>
      </c>
      <c r="BW1731" s="53" t="n">
        <f aca="false">IF(BU1731="LOSE",1,0)</f>
        <v>0</v>
      </c>
      <c r="BX1731" s="53" t="n">
        <f aca="false">IF(AND(U1731="",OR(P1731="",P1731="LOSE"),T1731&lt;&gt;"",N(S1731)&lt;=0,ISNUMBER(MATCH(T1731,Parameter!$I$27:$I$29,0))),1,0)</f>
        <v>0</v>
      </c>
      <c r="BY1731" s="53" t="n">
        <f aca="false">IF(CL1731&gt;0,INDEX(Parameter!$H$5:$H$7,W1731)/INDEX(Parameter!$E$5:$E$7,W1731),IF(AND(BW1731=0,N(IFERROR(VLOOKUP(BU1731,'Gebinde-Kategorie'!$A$5:$N$45,14,0),0))&gt;0),VLOOKUP(BU1731,'Gebinde-Kategorie'!$A$5:$N$45,14,0)*10+Parameter!$M$23,Parameter!$M$24))</f>
        <v>155</v>
      </c>
      <c r="BZ1731" s="48" t="str">
        <f aca="false">IF(AND(Parameter!$B$19="Ja",E1731&lt;&gt;"",ISNUMBER(MATCH(E1731,Parameter!$I$35:$I$52,0))),VLOOKUP(E1731,Parameter!$I$35:$J$52,2,0),IFERROR(VLOOKUP(D1731,Parameter!$A$35:$C$64,2,0),"Nein"))</f>
        <v>2+3</v>
      </c>
      <c r="CA1731" s="52" t="n">
        <f aca="false">IF(BW1731=0,0,IF(N(S1731)&gt;0,S1731,IFERROR(VLOOKUP(D1731,Parameter!$A$35:$C$64,3,0)+0,0)))</f>
        <v>0</v>
      </c>
      <c r="CB1731" s="48" t="n">
        <f aca="false">IF(AA1731&lt;&gt;"",AA1731,Z1731)</f>
        <v>3</v>
      </c>
      <c r="CC1731" s="48" t="str">
        <f aca="false">IF(OR(CB1731=1,CB1731=2,CB1731=3),IF(Parameter!$E$27="Ja","LIFT",IF(CB1731=1,"L1","L23")),IF(CB1731="Aussen","Aussen","-"))</f>
        <v>LIFT</v>
      </c>
      <c r="CD1731" s="59" t="n">
        <f aca="false">IF(N(AB1731)&gt;0,AB1731,0)</f>
        <v>0</v>
      </c>
      <c r="CE1731" s="53" t="n">
        <f aca="false">IF(ISNUMBER(AE1731),1,0)</f>
        <v>0</v>
      </c>
      <c r="CF1731" s="50" t="n">
        <f aca="false">N(AE1731)</f>
        <v>0</v>
      </c>
      <c r="CG1731" s="50" t="n">
        <f aca="false">N(M1731)+N(N1731)</f>
        <v>1</v>
      </c>
      <c r="CH1731" s="50" t="n">
        <f aca="false">ROUNDUP(H1731/BV1731,0)</f>
        <v>1</v>
      </c>
      <c r="CI1731" s="50" t="n">
        <f aca="false">ROUNDUP(CF1731/BV1731,0)</f>
        <v>0</v>
      </c>
      <c r="CJ1731" s="53" t="n">
        <f aca="false">IF(BW1731=1,0,IFERROR(VLOOKUP(BU1731,'Gebinde-Kategorie'!$A$5:$N$45,5,0)+0,0))</f>
        <v>8</v>
      </c>
      <c r="CK1731" s="53" t="n">
        <f aca="false">IFERROR(IF(OR(CB1731=1,CB1731=2,CB1731=3),N(INDEX(Parameter!$I$5:$I$7,CB1731)),0),0)</f>
        <v>0</v>
      </c>
      <c r="CL1731" s="52" t="n">
        <f aca="false">IF(AND(Parameter!$B$21="Ja",ISNUMBER(W1731),N(X1731)&gt;0),IFERROR(N(INDEX(Parameter!$L$5:$L$7,W1731))*INDEX(Parameter!$E$5:$E$7,W1731)*X1731/SUMIFS($X$7:$X$1843,$W$7:$W$1843,W1731),0),0)</f>
        <v>0</v>
      </c>
    </row>
    <row r="1732" customFormat="false" ht="15" hidden="false" customHeight="false" outlineLevel="0" collapsed="false">
      <c r="A1732" s="48" t="s">
        <v>3000</v>
      </c>
      <c r="B1732" s="48" t="s">
        <v>1630</v>
      </c>
      <c r="C1732" s="48" t="s">
        <v>168</v>
      </c>
      <c r="D1732" s="48" t="s">
        <v>188</v>
      </c>
      <c r="E1732" s="48"/>
      <c r="F1732" s="48"/>
      <c r="G1732" s="49" t="n">
        <v>6.66</v>
      </c>
      <c r="H1732" s="50" t="n">
        <f aca="false">MAX(0,IF(AND(Parameter!$B$21="Ja",ISNUMBER(Y1732)),Y1732,IF(Parameter!$B$20="Jahresanfang 2025 + Export",BO1732+BN1732,BN1732)))</f>
        <v>10</v>
      </c>
      <c r="I1732" s="50" t="n">
        <f aca="false">H1732*G1732</f>
        <v>66.6</v>
      </c>
      <c r="J1732" s="50" t="n">
        <f aca="false">BQ1732*Parameter!$B$18</f>
        <v>0</v>
      </c>
      <c r="K1732" s="51"/>
      <c r="L1732" s="52"/>
      <c r="M1732" s="50" t="n">
        <v>0</v>
      </c>
      <c r="N1732" s="50" t="n">
        <v>0</v>
      </c>
      <c r="O1732" s="53" t="n">
        <v>14</v>
      </c>
      <c r="P1732" s="48" t="s">
        <v>430</v>
      </c>
      <c r="Q1732" s="50" t="n">
        <v>10</v>
      </c>
      <c r="R1732" s="53" t="n">
        <f aca="false">IF(BW1732=1,0,IFERROR(VLOOKUP(BU1732,'Gebinde-Kategorie'!$A$5:$N$45,13,0)+0,0))</f>
        <v>140</v>
      </c>
      <c r="S1732" s="54"/>
      <c r="T1732" s="55"/>
      <c r="U1732" s="55"/>
      <c r="V1732" s="55"/>
      <c r="W1732" s="48"/>
      <c r="X1732" s="50"/>
      <c r="Y1732" s="50"/>
      <c r="Z1732" s="48" t="n">
        <f aca="false">IF(A1732="","",IF(AND(Parameter!$B$21="Ja",ISNUMBER(W1732)),W1732,IF(BZ1732="2+3",IF(ISNUMBER(SEARCH("grosser Artikel",BR1732)),2,IFERROR(VLOOKUP(BU1732,Parameter!$F$35:$G$64,2,0),2)),IF(OR(BZ1732="Nein",BZ1732=""),"-",BZ1732))))</f>
        <v>3</v>
      </c>
      <c r="AA1732" s="55"/>
      <c r="AB1732" s="56"/>
      <c r="AC1732" s="50" t="n">
        <f aca="false">AT1732</f>
        <v>0</v>
      </c>
      <c r="AD1732" s="50" t="n">
        <f aca="false">MAX(AT1732,H1732)</f>
        <v>10</v>
      </c>
      <c r="AE1732" s="57"/>
      <c r="AF1732" s="50" t="n">
        <f aca="false">IF(LEFT(Cockpit!$C$5,1)="A",H1732,IF(CE1732=1,CF1732,IF(LEFT(Cockpit!$C$5,1)="B",AK1732,MAX(AK1732,H1732))))</f>
        <v>10</v>
      </c>
      <c r="AG1732" s="50" t="n">
        <f aca="false">IF(BW1732=1,0,ROUNDUP(AF1732/BV1732,0))</f>
        <v>1</v>
      </c>
      <c r="AH1732" s="52" t="n">
        <f aca="false">IF(CL1732&gt;0,CL1732*MAX(1,AF1732/X1732),IF(BW1732=1,IF(AF1732&lt;=0,0,CA1732*MAX(1,IF(H1732&gt;0,AF1732/H1732,1))),IF(R1732&gt;0,AG1732/R1732,0))/MAX(0.1,N(Parameter!$M$21)))</f>
        <v>0.00714285714285714</v>
      </c>
      <c r="AI1732" s="50" t="n">
        <f aca="false">AH1732*BY1732</f>
        <v>1.10714285714286</v>
      </c>
      <c r="AJ1732" s="50" t="n">
        <f aca="false">AF1732*G1732</f>
        <v>66.6</v>
      </c>
      <c r="AK1732" s="50" t="n">
        <f aca="false">ROUNDUP(MAX(J1732/IF(CD1732&gt;0,CD1732,MAX(0.1,N(Cockpit!$C$6))),CG1732)/BV1732,0)*BV1732</f>
        <v>0</v>
      </c>
      <c r="AL1732" s="51" t="n">
        <f aca="false">IF(AI1732&gt;0,J1732/AI1732,-1)</f>
        <v>0</v>
      </c>
      <c r="AM1732" s="51" t="n">
        <f aca="false">IF(AND(OR(CC1732="L1",CC1732="L23",CC1732="LIFT"),AI1732&gt;0),SUMIFS($AI$7:$AI$1843,$CC$7:$CC$1843,CC1732,$AL$7:$AL$1843,"&gt;"&amp;AL1732)+SUMIFS($AI$7:$AI$1843,$CC$7:$CC$1843,CC1732,$AL$7:$AL$1843,AL1732,$BT$7:$BT$1843,"&lt;="&amp;BT1732),"")</f>
        <v>32849.7967602078</v>
      </c>
      <c r="AN1732" s="58" t="n">
        <f aca="false">IF(AM1732="",0,MAX(0,MIN(1,(IF(CC1732="L1",Parameter!$H$5,IF(CC1732="L23",Parameter!$H$6+Parameter!$H$7,Parameter!$H$5+Parameter!$H$6+Parameter!$H$7))-(AM1732-AI1732))/AI1732)))</f>
        <v>1</v>
      </c>
      <c r="AO1732" s="50" t="n">
        <f aca="false">IF(LEFT(Cockpit!$I$5,1)="A",H1732,IF(CE1732=1,CF1732,IF(LEFT(Cockpit!$I$5,1)="B",AT1732,MAX(AT1732,H1732))))</f>
        <v>10</v>
      </c>
      <c r="AP1732" s="50" t="n">
        <f aca="false">IF(BW1732=1,0,ROUNDUP(AO1732/BV1732,0))</f>
        <v>1</v>
      </c>
      <c r="AQ1732" s="52" t="n">
        <f aca="false">IF(CL1732&gt;0,CL1732*MAX(1,AO1732/X1732),IF(BW1732=1,IF(AO1732&lt;=0,0,CA1732*MAX(1,IF(H1732&gt;0,AO1732/H1732,1))),IF(R1732&gt;0,AP1732/R1732,0))/MAX(0.1,N(Parameter!$M$21)))</f>
        <v>0.00714285714285714</v>
      </c>
      <c r="AR1732" s="50" t="n">
        <f aca="false">AQ1732*BY1732</f>
        <v>1.10714285714286</v>
      </c>
      <c r="AS1732" s="50" t="n">
        <f aca="false">AO1732*G1732</f>
        <v>66.6</v>
      </c>
      <c r="AT1732" s="50" t="n">
        <f aca="false">ROUNDUP(MAX(J1732/IF(CD1732&gt;0,CD1732,MAX(0.1,N(Cockpit!$I$6))),CG1732)/BV1732,0)*BV1732</f>
        <v>0</v>
      </c>
      <c r="AU1732" s="51" t="n">
        <f aca="false">IF(AR1732&gt;0,J1732/AR1732,-1)</f>
        <v>0</v>
      </c>
      <c r="AV1732" s="51" t="n">
        <f aca="false">IF(AND(OR(CC1732="L1",CC1732="L23",CC1732="LIFT"),AR1732&gt;0),SUMIFS($AR$7:$AR$1843,$CC$7:$CC$1843,CC1732,$AU$7:$AU$1843,"&gt;"&amp;AU1732)+SUMIFS($AR$7:$AR$1843,$CC$7:$CC$1843,CC1732,$AU$7:$AU$1843,AU1732,$BT$7:$BT$1843,"&lt;="&amp;BT1732),"")</f>
        <v>45533.9312177935</v>
      </c>
      <c r="AW1732" s="58" t="n">
        <f aca="false">IF(AV1732="",0,MAX(0,MIN(1,(IF(CC1732="L1",Parameter!$H$5,IF(CC1732="L23",Parameter!$H$6+Parameter!$H$7,Parameter!$H$5+Parameter!$H$6+Parameter!$H$7))-(AV1732-AR1732))/AR1732)))</f>
        <v>0</v>
      </c>
      <c r="AX1732" s="50" t="n">
        <f aca="false">IF(LEFT(Cockpit!$O$5,1)="A",H1732,IF(CE1732=1,CF1732,IF(LEFT(Cockpit!$O$5,1)="B",BC1732,MAX(BC1732,H1732))))</f>
        <v>10</v>
      </c>
      <c r="AY1732" s="50" t="n">
        <f aca="false">IF(BW1732=1,0,ROUNDUP(AX1732/BV1732,0))</f>
        <v>1</v>
      </c>
      <c r="AZ1732" s="52" t="n">
        <f aca="false">IF(CL1732&gt;0,CL1732*MAX(1,AX1732/X1732),IF(BW1732=1,IF(AX1732&lt;=0,0,CA1732*MAX(1,IF(H1732&gt;0,AX1732/H1732,1))),IF(R1732&gt;0,AY1732/R1732,0))/MAX(0.1,N(Parameter!$M$21)))</f>
        <v>0.00714285714285714</v>
      </c>
      <c r="BA1732" s="50" t="n">
        <f aca="false">AZ1732*BY1732</f>
        <v>1.10714285714286</v>
      </c>
      <c r="BB1732" s="50" t="n">
        <f aca="false">AX1732*G1732</f>
        <v>66.6</v>
      </c>
      <c r="BC1732" s="50" t="n">
        <f aca="false">ROUNDUP(MAX(J1732/IF(CD1732&gt;0,CD1732,MAX(0.1,N(Cockpit!$O$6))),CG1732)/BV1732,0)*BV1732</f>
        <v>0</v>
      </c>
      <c r="BD1732" s="51" t="n">
        <f aca="false">IF(BA1732&gt;0,J1732/BA1732,-1)</f>
        <v>0</v>
      </c>
      <c r="BE1732" s="51" t="n">
        <f aca="false">IF(AND(OR(CC1732="L1",CC1732="L23",CC1732="LIFT"),BA1732&gt;0),SUMIFS($BA$7:$BA$1843,$CC$7:$CC$1843,CC1732,$BD$7:$BD$1843,"&gt;"&amp;BD1732)+SUMIFS($BA$7:$BA$1843,$CC$7:$CC$1843,CC1732,$BD$7:$BD$1843,BD1732,$BT$7:$BT$1843,"&lt;="&amp;BT1732),"")</f>
        <v>42208.9432596594</v>
      </c>
      <c r="BF1732" s="58" t="n">
        <f aca="false">IF(BE1732="",0,MAX(0,MIN(1,(IF(CC1732="L1",Parameter!$H$5,IF(CC1732="L23",Parameter!$H$6+Parameter!$H$7,Parameter!$H$5+Parameter!$H$6+Parameter!$H$7))-(BE1732-BA1732))/BA1732)))</f>
        <v>0</v>
      </c>
      <c r="BG1732" s="48" t="str">
        <f aca="false">IF(AI1732&lt;=0,"",IF(CC1732="Aussen","Aussenlager",IF(CC1732="-","Nicht im Lift",IF(AN1732&gt;=1,"Lift",IF(AN1732&lt;=0,"Aussenlager","teilweise")))))</f>
        <v>Lift</v>
      </c>
      <c r="BH1732" s="48" t="str">
        <f aca="false">IF(AR1732&lt;=0,"",IF(CC1732="Aussen","Aussenlager",IF(CC1732="-","Nicht im Lift",IF(AW1732&gt;=1,"Lift",IF(AW1732&lt;=0,"Aussenlager","teilweise")))))</f>
        <v>Aussenlager</v>
      </c>
      <c r="BI1732" s="48" t="str">
        <f aca="false">IF(BA1732&lt;=0,"",IF(CC1732="Aussen","Aussenlager",IF(CC1732="-","Nicht im Lift",IF(BF1732&gt;=1,"Lift",IF(BF1732&lt;=0,"Aussenlager","teilweise")))))</f>
        <v>Aussenlager</v>
      </c>
      <c r="BJ1732" s="48" t="str">
        <f aca="false">IF(A1732="","",IF(BS1732=1,"Neu; ","")&amp;IF(AND(BS1732=0,BN1732&lt;0),"negativer Bestand (Export "&amp;BN1732&amp;"); ","")&amp;IF(J1732&lt;=0,"Kein Verbrauch; ","")&amp;IF(CL1732&gt;0,"Lift "&amp;W1732&amp;" lt. Liftbericht (Fach "&amp;X1732&amp;" Stk); ",IF(BX1732=1,"Gebinde geschätzt ("&amp;T1732&amp;"); ",IF(BW1732=1,"Lose – Tablare geschätzt; ","")))&amp;IF(H1732&gt;AT1732,"Überbestand "&amp;ROUND(H1732-AT1732,0)&amp;" Stk / CHF "&amp;ROUND((H1732-AT1732)*G1732,0)&amp;"; ","")&amp;IF(AND(CE1732=1,CF1732&lt;CG1732),"MAX &lt; MB+LG; ","")&amp;IF(AND(CK1732&gt;0,CJ1732*10&gt;CK1732),"zu hoch für Tablar; ","")&amp;IF(AND(BS1732=0,OR(CE1732=1,AA1732&lt;&gt;"",U1732&lt;&gt;"",V1732&lt;&gt;"",AB1732&lt;&gt;"")),"manuell übersteuert; ","")&amp;IF(AND(BW1732=0,R1732=0),"Gebinde unbekannt / Stellmass fehlt; ","")&amp;IF(AND(BW1732=0,N(V1732)&lt;=0,N(Q1732)&lt;=0),"Menge pro Gebinde fehlt (Ist = 1 Gebinde); ","")&amp;BR1732)</f>
        <v>Kein Verbrauch; Überbestand 10 Stk / CHF 67; nur im Artikelstamm (Bestand 23.06.2026); Verb.Lager</v>
      </c>
      <c r="BK1732" s="48"/>
      <c r="BL1732" s="48"/>
      <c r="BM1732" s="55"/>
      <c r="BN1732" s="50" t="n">
        <v>10</v>
      </c>
      <c r="BO1732" s="50" t="n">
        <v>0</v>
      </c>
      <c r="BP1732" s="49" t="n">
        <v>0</v>
      </c>
      <c r="BQ1732" s="50" t="n">
        <v>0</v>
      </c>
      <c r="BR1732" s="48" t="s">
        <v>2573</v>
      </c>
      <c r="BS1732" s="53" t="n">
        <v>0</v>
      </c>
      <c r="BT1732" s="53" t="n">
        <v>1732</v>
      </c>
      <c r="BU1732" s="48" t="str">
        <f aca="false">IF(U1732&lt;&gt;"",UPPER(TRIM(U1732)),IF(BX1732=1,UPPER(VLOOKUP(T1732,Parameter!$I$27:$K$29,2,0)),IF(P1732="","LOSE",P1732)))</f>
        <v>S22</v>
      </c>
      <c r="BV1732" s="50" t="n">
        <f aca="false">IF(BU1732="LOSE",1,IF(N(V1732)&gt;0,V1732,IF(BX1732=1,MAX(1,N(VLOOKUP(T1732,Parameter!$I$27:$K$29,3,0)),H1732,N(N1732)),IF(N(Q1732)&gt;0,Q1732,MAX(1,H1732)))))</f>
        <v>10</v>
      </c>
      <c r="BW1732" s="53" t="n">
        <f aca="false">IF(BU1732="LOSE",1,0)</f>
        <v>0</v>
      </c>
      <c r="BX1732" s="53" t="n">
        <f aca="false">IF(AND(U1732="",OR(P1732="",P1732="LOSE"),T1732&lt;&gt;"",N(S1732)&lt;=0,ISNUMBER(MATCH(T1732,Parameter!$I$27:$I$29,0))),1,0)</f>
        <v>0</v>
      </c>
      <c r="BY1732" s="53" t="n">
        <f aca="false">IF(CL1732&gt;0,INDEX(Parameter!$H$5:$H$7,W1732)/INDEX(Parameter!$E$5:$E$7,W1732),IF(AND(BW1732=0,N(IFERROR(VLOOKUP(BU1732,'Gebinde-Kategorie'!$A$5:$N$45,14,0),0))&gt;0),VLOOKUP(BU1732,'Gebinde-Kategorie'!$A$5:$N$45,14,0)*10+Parameter!$M$23,Parameter!$M$24))</f>
        <v>155</v>
      </c>
      <c r="BZ1732" s="48" t="str">
        <f aca="false">IF(AND(Parameter!$B$19="Ja",E1732&lt;&gt;"",ISNUMBER(MATCH(E1732,Parameter!$I$35:$I$52,0))),VLOOKUP(E1732,Parameter!$I$35:$J$52,2,0),IFERROR(VLOOKUP(D1732,Parameter!$A$35:$C$64,2,0),"Nein"))</f>
        <v>2+3</v>
      </c>
      <c r="CA1732" s="52" t="n">
        <f aca="false">IF(BW1732=0,0,IF(N(S1732)&gt;0,S1732,IFERROR(VLOOKUP(D1732,Parameter!$A$35:$C$64,3,0)+0,0)))</f>
        <v>0</v>
      </c>
      <c r="CB1732" s="48" t="n">
        <f aca="false">IF(AA1732&lt;&gt;"",AA1732,Z1732)</f>
        <v>3</v>
      </c>
      <c r="CC1732" s="48" t="str">
        <f aca="false">IF(OR(CB1732=1,CB1732=2,CB1732=3),IF(Parameter!$E$27="Ja","LIFT",IF(CB1732=1,"L1","L23")),IF(CB1732="Aussen","Aussen","-"))</f>
        <v>LIFT</v>
      </c>
      <c r="CD1732" s="59" t="n">
        <f aca="false">IF(N(AB1732)&gt;0,AB1732,0)</f>
        <v>0</v>
      </c>
      <c r="CE1732" s="53" t="n">
        <f aca="false">IF(ISNUMBER(AE1732),1,0)</f>
        <v>0</v>
      </c>
      <c r="CF1732" s="50" t="n">
        <f aca="false">N(AE1732)</f>
        <v>0</v>
      </c>
      <c r="CG1732" s="50" t="n">
        <f aca="false">N(M1732)+N(N1732)</f>
        <v>0</v>
      </c>
      <c r="CH1732" s="50" t="n">
        <f aca="false">ROUNDUP(H1732/BV1732,0)</f>
        <v>1</v>
      </c>
      <c r="CI1732" s="50" t="n">
        <f aca="false">ROUNDUP(CF1732/BV1732,0)</f>
        <v>0</v>
      </c>
      <c r="CJ1732" s="53" t="n">
        <f aca="false">IF(BW1732=1,0,IFERROR(VLOOKUP(BU1732,'Gebinde-Kategorie'!$A$5:$N$45,5,0)+0,0))</f>
        <v>8</v>
      </c>
      <c r="CK1732" s="53" t="n">
        <f aca="false">IFERROR(IF(OR(CB1732=1,CB1732=2,CB1732=3),N(INDEX(Parameter!$I$5:$I$7,CB1732)),0),0)</f>
        <v>0</v>
      </c>
      <c r="CL1732" s="52" t="n">
        <f aca="false">IF(AND(Parameter!$B$21="Ja",ISNUMBER(W1732),N(X1732)&gt;0),IFERROR(N(INDEX(Parameter!$L$5:$L$7,W1732))*INDEX(Parameter!$E$5:$E$7,W1732)*X1732/SUMIFS($X$7:$X$1843,$W$7:$W$1843,W1732),0),0)</f>
        <v>0</v>
      </c>
    </row>
    <row r="1733" customFormat="false" ht="15" hidden="false" customHeight="false" outlineLevel="0" collapsed="false">
      <c r="A1733" s="48" t="s">
        <v>3001</v>
      </c>
      <c r="B1733" s="48" t="s">
        <v>3002</v>
      </c>
      <c r="C1733" s="48" t="s">
        <v>168</v>
      </c>
      <c r="D1733" s="48" t="s">
        <v>188</v>
      </c>
      <c r="E1733" s="48"/>
      <c r="F1733" s="48"/>
      <c r="G1733" s="49" t="n">
        <v>22.61</v>
      </c>
      <c r="H1733" s="50" t="n">
        <f aca="false">MAX(0,IF(AND(Parameter!$B$21="Ja",ISNUMBER(Y1733)),Y1733,IF(Parameter!$B$20="Jahresanfang 2025 + Export",BO1733+BN1733,BN1733)))</f>
        <v>5</v>
      </c>
      <c r="I1733" s="50" t="n">
        <f aca="false">H1733*G1733</f>
        <v>113.05</v>
      </c>
      <c r="J1733" s="50" t="n">
        <f aca="false">BQ1733*Parameter!$B$18</f>
        <v>0</v>
      </c>
      <c r="K1733" s="51"/>
      <c r="L1733" s="52"/>
      <c r="M1733" s="50" t="n">
        <v>0</v>
      </c>
      <c r="N1733" s="50" t="n">
        <v>3</v>
      </c>
      <c r="O1733" s="53" t="n">
        <v>0</v>
      </c>
      <c r="P1733" s="48" t="s">
        <v>405</v>
      </c>
      <c r="Q1733" s="50" t="n">
        <v>10</v>
      </c>
      <c r="R1733" s="53" t="n">
        <f aca="false">IF(BW1733=1,0,IFERROR(VLOOKUP(BU1733,'Gebinde-Kategorie'!$A$5:$N$45,13,0)+0,0))</f>
        <v>280</v>
      </c>
      <c r="S1733" s="54"/>
      <c r="T1733" s="55"/>
      <c r="U1733" s="55"/>
      <c r="V1733" s="55"/>
      <c r="W1733" s="48"/>
      <c r="X1733" s="50"/>
      <c r="Y1733" s="50"/>
      <c r="Z1733" s="48" t="n">
        <f aca="false">IF(A1733="","",IF(AND(Parameter!$B$21="Ja",ISNUMBER(W1733)),W1733,IF(BZ1733="2+3",IF(ISNUMBER(SEARCH("grosser Artikel",BR1733)),2,IFERROR(VLOOKUP(BU1733,Parameter!$F$35:$G$64,2,0),2)),IF(OR(BZ1733="Nein",BZ1733=""),"-",BZ1733))))</f>
        <v>3</v>
      </c>
      <c r="AA1733" s="55"/>
      <c r="AB1733" s="56"/>
      <c r="AC1733" s="50" t="n">
        <f aca="false">AT1733</f>
        <v>10</v>
      </c>
      <c r="AD1733" s="50" t="n">
        <f aca="false">MAX(AT1733,H1733)</f>
        <v>10</v>
      </c>
      <c r="AE1733" s="57"/>
      <c r="AF1733" s="50" t="n">
        <f aca="false">IF(LEFT(Cockpit!$C$5,1)="A",H1733,IF(CE1733=1,CF1733,IF(LEFT(Cockpit!$C$5,1)="B",AK1733,MAX(AK1733,H1733))))</f>
        <v>5</v>
      </c>
      <c r="AG1733" s="50" t="n">
        <f aca="false">IF(BW1733=1,0,ROUNDUP(AF1733/BV1733,0))</f>
        <v>1</v>
      </c>
      <c r="AH1733" s="52" t="n">
        <f aca="false">IF(CL1733&gt;0,CL1733*MAX(1,AF1733/X1733),IF(BW1733=1,IF(AF1733&lt;=0,0,CA1733*MAX(1,IF(H1733&gt;0,AF1733/H1733,1))),IF(R1733&gt;0,AG1733/R1733,0))/MAX(0.1,N(Parameter!$M$21)))</f>
        <v>0.00357142857142857</v>
      </c>
      <c r="AI1733" s="50" t="n">
        <f aca="false">AH1733*BY1733</f>
        <v>0.553571428571429</v>
      </c>
      <c r="AJ1733" s="50" t="n">
        <f aca="false">AF1733*G1733</f>
        <v>113.05</v>
      </c>
      <c r="AK1733" s="50" t="n">
        <f aca="false">ROUNDUP(MAX(J1733/IF(CD1733&gt;0,CD1733,MAX(0.1,N(Cockpit!$C$6))),CG1733)/BV1733,0)*BV1733</f>
        <v>10</v>
      </c>
      <c r="AL1733" s="51" t="n">
        <f aca="false">IF(AI1733&gt;0,J1733/AI1733,-1)</f>
        <v>0</v>
      </c>
      <c r="AM1733" s="51" t="n">
        <f aca="false">IF(AND(OR(CC1733="L1",CC1733="L23",CC1733="LIFT"),AI1733&gt;0),SUMIFS($AI$7:$AI$1843,$CC$7:$CC$1843,CC1733,$AL$7:$AL$1843,"&gt;"&amp;AL1733)+SUMIFS($AI$7:$AI$1843,$CC$7:$CC$1843,CC1733,$AL$7:$AL$1843,AL1733,$BT$7:$BT$1843,"&lt;="&amp;BT1733),"")</f>
        <v>32850.3503316364</v>
      </c>
      <c r="AN1733" s="58" t="n">
        <f aca="false">IF(AM1733="",0,MAX(0,MIN(1,(IF(CC1733="L1",Parameter!$H$5,IF(CC1733="L23",Parameter!$H$6+Parameter!$H$7,Parameter!$H$5+Parameter!$H$6+Parameter!$H$7))-(AM1733-AI1733))/AI1733)))</f>
        <v>1</v>
      </c>
      <c r="AO1733" s="50" t="n">
        <f aca="false">IF(LEFT(Cockpit!$I$5,1)="A",H1733,IF(CE1733=1,CF1733,IF(LEFT(Cockpit!$I$5,1)="B",AT1733,MAX(AT1733,H1733))))</f>
        <v>10</v>
      </c>
      <c r="AP1733" s="50" t="n">
        <f aca="false">IF(BW1733=1,0,ROUNDUP(AO1733/BV1733,0))</f>
        <v>1</v>
      </c>
      <c r="AQ1733" s="52" t="n">
        <f aca="false">IF(CL1733&gt;0,CL1733*MAX(1,AO1733/X1733),IF(BW1733=1,IF(AO1733&lt;=0,0,CA1733*MAX(1,IF(H1733&gt;0,AO1733/H1733,1))),IF(R1733&gt;0,AP1733/R1733,0))/MAX(0.1,N(Parameter!$M$21)))</f>
        <v>0.00357142857142857</v>
      </c>
      <c r="AR1733" s="50" t="n">
        <f aca="false">AQ1733*BY1733</f>
        <v>0.553571428571429</v>
      </c>
      <c r="AS1733" s="50" t="n">
        <f aca="false">AO1733*G1733</f>
        <v>226.1</v>
      </c>
      <c r="AT1733" s="50" t="n">
        <f aca="false">ROUNDUP(MAX(J1733/IF(CD1733&gt;0,CD1733,MAX(0.1,N(Cockpit!$I$6))),CG1733)/BV1733,0)*BV1733</f>
        <v>10</v>
      </c>
      <c r="AU1733" s="51" t="n">
        <f aca="false">IF(AR1733&gt;0,J1733/AR1733,-1)</f>
        <v>0</v>
      </c>
      <c r="AV1733" s="51" t="n">
        <f aca="false">IF(AND(OR(CC1733="L1",CC1733="L23",CC1733="LIFT"),AR1733&gt;0),SUMIFS($AR$7:$AR$1843,$CC$7:$CC$1843,CC1733,$AU$7:$AU$1843,"&gt;"&amp;AU1733)+SUMIFS($AR$7:$AR$1843,$CC$7:$CC$1843,CC1733,$AU$7:$AU$1843,AU1733,$BT$7:$BT$1843,"&lt;="&amp;BT1733),"")</f>
        <v>45534.4847892221</v>
      </c>
      <c r="AW1733" s="58" t="n">
        <f aca="false">IF(AV1733="",0,MAX(0,MIN(1,(IF(CC1733="L1",Parameter!$H$5,IF(CC1733="L23",Parameter!$H$6+Parameter!$H$7,Parameter!$H$5+Parameter!$H$6+Parameter!$H$7))-(AV1733-AR1733))/AR1733)))</f>
        <v>0</v>
      </c>
      <c r="AX1733" s="50" t="n">
        <f aca="false">IF(LEFT(Cockpit!$O$5,1)="A",H1733,IF(CE1733=1,CF1733,IF(LEFT(Cockpit!$O$5,1)="B",BC1733,MAX(BC1733,H1733))))</f>
        <v>10</v>
      </c>
      <c r="AY1733" s="50" t="n">
        <f aca="false">IF(BW1733=1,0,ROUNDUP(AX1733/BV1733,0))</f>
        <v>1</v>
      </c>
      <c r="AZ1733" s="52" t="n">
        <f aca="false">IF(CL1733&gt;0,CL1733*MAX(1,AX1733/X1733),IF(BW1733=1,IF(AX1733&lt;=0,0,CA1733*MAX(1,IF(H1733&gt;0,AX1733/H1733,1))),IF(R1733&gt;0,AY1733/R1733,0))/MAX(0.1,N(Parameter!$M$21)))</f>
        <v>0.00357142857142857</v>
      </c>
      <c r="BA1733" s="50" t="n">
        <f aca="false">AZ1733*BY1733</f>
        <v>0.553571428571429</v>
      </c>
      <c r="BB1733" s="50" t="n">
        <f aca="false">AX1733*G1733</f>
        <v>226.1</v>
      </c>
      <c r="BC1733" s="50" t="n">
        <f aca="false">ROUNDUP(MAX(J1733/IF(CD1733&gt;0,CD1733,MAX(0.1,N(Cockpit!$O$6))),CG1733)/BV1733,0)*BV1733</f>
        <v>10</v>
      </c>
      <c r="BD1733" s="51" t="n">
        <f aca="false">IF(BA1733&gt;0,J1733/BA1733,-1)</f>
        <v>0</v>
      </c>
      <c r="BE1733" s="51" t="n">
        <f aca="false">IF(AND(OR(CC1733="L1",CC1733="L23",CC1733="LIFT"),BA1733&gt;0),SUMIFS($BA$7:$BA$1843,$CC$7:$CC$1843,CC1733,$BD$7:$BD$1843,"&gt;"&amp;BD1733)+SUMIFS($BA$7:$BA$1843,$CC$7:$CC$1843,CC1733,$BD$7:$BD$1843,BD1733,$BT$7:$BT$1843,"&lt;="&amp;BT1733),"")</f>
        <v>42209.4968310879</v>
      </c>
      <c r="BF1733" s="58" t="n">
        <f aca="false">IF(BE1733="",0,MAX(0,MIN(1,(IF(CC1733="L1",Parameter!$H$5,IF(CC1733="L23",Parameter!$H$6+Parameter!$H$7,Parameter!$H$5+Parameter!$H$6+Parameter!$H$7))-(BE1733-BA1733))/BA1733)))</f>
        <v>0</v>
      </c>
      <c r="BG1733" s="48" t="str">
        <f aca="false">IF(AI1733&lt;=0,"",IF(CC1733="Aussen","Aussenlager",IF(CC1733="-","Nicht im Lift",IF(AN1733&gt;=1,"Lift",IF(AN1733&lt;=0,"Aussenlager","teilweise")))))</f>
        <v>Lift</v>
      </c>
      <c r="BH1733" s="48" t="str">
        <f aca="false">IF(AR1733&lt;=0,"",IF(CC1733="Aussen","Aussenlager",IF(CC1733="-","Nicht im Lift",IF(AW1733&gt;=1,"Lift",IF(AW1733&lt;=0,"Aussenlager","teilweise")))))</f>
        <v>Aussenlager</v>
      </c>
      <c r="BI1733" s="48" t="str">
        <f aca="false">IF(BA1733&lt;=0,"",IF(CC1733="Aussen","Aussenlager",IF(CC1733="-","Nicht im Lift",IF(BF1733&gt;=1,"Lift",IF(BF1733&lt;=0,"Aussenlager","teilweise")))))</f>
        <v>Aussenlager</v>
      </c>
      <c r="BJ1733" s="48" t="str">
        <f aca="false">IF(A1733="","",IF(BS1733=1,"Neu; ","")&amp;IF(AND(BS1733=0,BN1733&lt;0),"negativer Bestand (Export "&amp;BN1733&amp;"); ","")&amp;IF(J1733&lt;=0,"Kein Verbrauch; ","")&amp;IF(CL1733&gt;0,"Lift "&amp;W1733&amp;" lt. Liftbericht (Fach "&amp;X1733&amp;" Stk); ",IF(BX1733=1,"Gebinde geschätzt ("&amp;T1733&amp;"); ",IF(BW1733=1,"Lose – Tablare geschätzt; ","")))&amp;IF(H1733&gt;AT1733,"Überbestand "&amp;ROUND(H1733-AT1733,0)&amp;" Stk / CHF "&amp;ROUND((H1733-AT1733)*G1733,0)&amp;"; ","")&amp;IF(AND(CE1733=1,CF1733&lt;CG1733),"MAX &lt; MB+LG; ","")&amp;IF(AND(CK1733&gt;0,CJ1733*10&gt;CK1733),"zu hoch für Tablar; ","")&amp;IF(AND(BS1733=0,OR(CE1733=1,AA1733&lt;&gt;"",U1733&lt;&gt;"",V1733&lt;&gt;"",AB1733&lt;&gt;"")),"manuell übersteuert; ","")&amp;IF(AND(BW1733=0,R1733=0),"Gebinde unbekannt / Stellmass fehlt; ","")&amp;IF(AND(BW1733=0,N(V1733)&lt;=0,N(Q1733)&lt;=0),"Menge pro Gebinde fehlt (Ist = 1 Gebinde); ","")&amp;BR1733)</f>
        <v>Kein Verbrauch; nur im Artikelstamm (Bestand 23.06.2026); Verb.Lager</v>
      </c>
      <c r="BK1733" s="48"/>
      <c r="BL1733" s="48"/>
      <c r="BM1733" s="55"/>
      <c r="BN1733" s="50" t="n">
        <v>5</v>
      </c>
      <c r="BO1733" s="50" t="n">
        <v>0</v>
      </c>
      <c r="BP1733" s="49" t="n">
        <v>0</v>
      </c>
      <c r="BQ1733" s="50" t="n">
        <v>0</v>
      </c>
      <c r="BR1733" s="48" t="s">
        <v>2573</v>
      </c>
      <c r="BS1733" s="53" t="n">
        <v>0</v>
      </c>
      <c r="BT1733" s="53" t="n">
        <v>1733</v>
      </c>
      <c r="BU1733" s="48" t="str">
        <f aca="false">IF(U1733&lt;&gt;"",UPPER(TRIM(U1733)),IF(BX1733=1,UPPER(VLOOKUP(T1733,Parameter!$I$27:$K$29,2,0)),IF(P1733="","LOSE",P1733)))</f>
        <v>S21</v>
      </c>
      <c r="BV1733" s="50" t="n">
        <f aca="false">IF(BU1733="LOSE",1,IF(N(V1733)&gt;0,V1733,IF(BX1733=1,MAX(1,N(VLOOKUP(T1733,Parameter!$I$27:$K$29,3,0)),H1733,N(N1733)),IF(N(Q1733)&gt;0,Q1733,MAX(1,H1733)))))</f>
        <v>10</v>
      </c>
      <c r="BW1733" s="53" t="n">
        <f aca="false">IF(BU1733="LOSE",1,0)</f>
        <v>0</v>
      </c>
      <c r="BX1733" s="53" t="n">
        <f aca="false">IF(AND(U1733="",OR(P1733="",P1733="LOSE"),T1733&lt;&gt;"",N(S1733)&lt;=0,ISNUMBER(MATCH(T1733,Parameter!$I$27:$I$29,0))),1,0)</f>
        <v>0</v>
      </c>
      <c r="BY1733" s="53" t="n">
        <f aca="false">IF(CL1733&gt;0,INDEX(Parameter!$H$5:$H$7,W1733)/INDEX(Parameter!$E$5:$E$7,W1733),IF(AND(BW1733=0,N(IFERROR(VLOOKUP(BU1733,'Gebinde-Kategorie'!$A$5:$N$45,14,0),0))&gt;0),VLOOKUP(BU1733,'Gebinde-Kategorie'!$A$5:$N$45,14,0)*10+Parameter!$M$23,Parameter!$M$24))</f>
        <v>155</v>
      </c>
      <c r="BZ1733" s="48" t="str">
        <f aca="false">IF(AND(Parameter!$B$19="Ja",E1733&lt;&gt;"",ISNUMBER(MATCH(E1733,Parameter!$I$35:$I$52,0))),VLOOKUP(E1733,Parameter!$I$35:$J$52,2,0),IFERROR(VLOOKUP(D1733,Parameter!$A$35:$C$64,2,0),"Nein"))</f>
        <v>2+3</v>
      </c>
      <c r="CA1733" s="52" t="n">
        <f aca="false">IF(BW1733=0,0,IF(N(S1733)&gt;0,S1733,IFERROR(VLOOKUP(D1733,Parameter!$A$35:$C$64,3,0)+0,0)))</f>
        <v>0</v>
      </c>
      <c r="CB1733" s="48" t="n">
        <f aca="false">IF(AA1733&lt;&gt;"",AA1733,Z1733)</f>
        <v>3</v>
      </c>
      <c r="CC1733" s="48" t="str">
        <f aca="false">IF(OR(CB1733=1,CB1733=2,CB1733=3),IF(Parameter!$E$27="Ja","LIFT",IF(CB1733=1,"L1","L23")),IF(CB1733="Aussen","Aussen","-"))</f>
        <v>LIFT</v>
      </c>
      <c r="CD1733" s="59" t="n">
        <f aca="false">IF(N(AB1733)&gt;0,AB1733,0)</f>
        <v>0</v>
      </c>
      <c r="CE1733" s="53" t="n">
        <f aca="false">IF(ISNUMBER(AE1733),1,0)</f>
        <v>0</v>
      </c>
      <c r="CF1733" s="50" t="n">
        <f aca="false">N(AE1733)</f>
        <v>0</v>
      </c>
      <c r="CG1733" s="50" t="n">
        <f aca="false">N(M1733)+N(N1733)</f>
        <v>3</v>
      </c>
      <c r="CH1733" s="50" t="n">
        <f aca="false">ROUNDUP(H1733/BV1733,0)</f>
        <v>1</v>
      </c>
      <c r="CI1733" s="50" t="n">
        <f aca="false">ROUNDUP(CF1733/BV1733,0)</f>
        <v>0</v>
      </c>
      <c r="CJ1733" s="53" t="n">
        <f aca="false">IF(BW1733=1,0,IFERROR(VLOOKUP(BU1733,'Gebinde-Kategorie'!$A$5:$N$45,5,0)+0,0))</f>
        <v>8</v>
      </c>
      <c r="CK1733" s="53" t="n">
        <f aca="false">IFERROR(IF(OR(CB1733=1,CB1733=2,CB1733=3),N(INDEX(Parameter!$I$5:$I$7,CB1733)),0),0)</f>
        <v>0</v>
      </c>
      <c r="CL1733" s="52" t="n">
        <f aca="false">IF(AND(Parameter!$B$21="Ja",ISNUMBER(W1733),N(X1733)&gt;0),IFERROR(N(INDEX(Parameter!$L$5:$L$7,W1733))*INDEX(Parameter!$E$5:$E$7,W1733)*X1733/SUMIFS($X$7:$X$1843,$W$7:$W$1843,W1733),0),0)</f>
        <v>0</v>
      </c>
    </row>
    <row r="1734" customFormat="false" ht="15" hidden="false" customHeight="false" outlineLevel="0" collapsed="false">
      <c r="A1734" s="48" t="s">
        <v>3003</v>
      </c>
      <c r="B1734" s="48" t="s">
        <v>3004</v>
      </c>
      <c r="C1734" s="48" t="s">
        <v>168</v>
      </c>
      <c r="D1734" s="48" t="s">
        <v>188</v>
      </c>
      <c r="E1734" s="48"/>
      <c r="F1734" s="48"/>
      <c r="G1734" s="49" t="n">
        <v>2.2</v>
      </c>
      <c r="H1734" s="50" t="n">
        <f aca="false">MAX(0,IF(AND(Parameter!$B$21="Ja",ISNUMBER(Y1734)),Y1734,IF(Parameter!$B$20="Jahresanfang 2025 + Export",BO1734+BN1734,BN1734)))</f>
        <v>10</v>
      </c>
      <c r="I1734" s="50" t="n">
        <f aca="false">H1734*G1734</f>
        <v>22</v>
      </c>
      <c r="J1734" s="50" t="n">
        <f aca="false">BQ1734*Parameter!$B$18</f>
        <v>0</v>
      </c>
      <c r="K1734" s="51"/>
      <c r="L1734" s="52"/>
      <c r="M1734" s="50" t="n">
        <v>0</v>
      </c>
      <c r="N1734" s="50" t="n">
        <v>1</v>
      </c>
      <c r="O1734" s="53" t="n">
        <v>28</v>
      </c>
      <c r="P1734" s="48" t="s">
        <v>405</v>
      </c>
      <c r="Q1734" s="50" t="n">
        <v>10</v>
      </c>
      <c r="R1734" s="53" t="n">
        <f aca="false">IF(BW1734=1,0,IFERROR(VLOOKUP(BU1734,'Gebinde-Kategorie'!$A$5:$N$45,13,0)+0,0))</f>
        <v>280</v>
      </c>
      <c r="S1734" s="54"/>
      <c r="T1734" s="55"/>
      <c r="U1734" s="55"/>
      <c r="V1734" s="55"/>
      <c r="W1734" s="48"/>
      <c r="X1734" s="50"/>
      <c r="Y1734" s="50"/>
      <c r="Z1734" s="48" t="n">
        <f aca="false">IF(A1734="","",IF(AND(Parameter!$B$21="Ja",ISNUMBER(W1734)),W1734,IF(BZ1734="2+3",IF(ISNUMBER(SEARCH("grosser Artikel",BR1734)),2,IFERROR(VLOOKUP(BU1734,Parameter!$F$35:$G$64,2,0),2)),IF(OR(BZ1734="Nein",BZ1734=""),"-",BZ1734))))</f>
        <v>3</v>
      </c>
      <c r="AA1734" s="55"/>
      <c r="AB1734" s="56"/>
      <c r="AC1734" s="50" t="n">
        <f aca="false">AT1734</f>
        <v>10</v>
      </c>
      <c r="AD1734" s="50" t="n">
        <f aca="false">MAX(AT1734,H1734)</f>
        <v>10</v>
      </c>
      <c r="AE1734" s="57"/>
      <c r="AF1734" s="50" t="n">
        <f aca="false">IF(LEFT(Cockpit!$C$5,1)="A",H1734,IF(CE1734=1,CF1734,IF(LEFT(Cockpit!$C$5,1)="B",AK1734,MAX(AK1734,H1734))))</f>
        <v>10</v>
      </c>
      <c r="AG1734" s="50" t="n">
        <f aca="false">IF(BW1734=1,0,ROUNDUP(AF1734/BV1734,0))</f>
        <v>1</v>
      </c>
      <c r="AH1734" s="52" t="n">
        <f aca="false">IF(CL1734&gt;0,CL1734*MAX(1,AF1734/X1734),IF(BW1734=1,IF(AF1734&lt;=0,0,CA1734*MAX(1,IF(H1734&gt;0,AF1734/H1734,1))),IF(R1734&gt;0,AG1734/R1734,0))/MAX(0.1,N(Parameter!$M$21)))</f>
        <v>0.00357142857142857</v>
      </c>
      <c r="AI1734" s="50" t="n">
        <f aca="false">AH1734*BY1734</f>
        <v>0.553571428571429</v>
      </c>
      <c r="AJ1734" s="50" t="n">
        <f aca="false">AF1734*G1734</f>
        <v>22</v>
      </c>
      <c r="AK1734" s="50" t="n">
        <f aca="false">ROUNDUP(MAX(J1734/IF(CD1734&gt;0,CD1734,MAX(0.1,N(Cockpit!$C$6))),CG1734)/BV1734,0)*BV1734</f>
        <v>10</v>
      </c>
      <c r="AL1734" s="51" t="n">
        <f aca="false">IF(AI1734&gt;0,J1734/AI1734,-1)</f>
        <v>0</v>
      </c>
      <c r="AM1734" s="51" t="n">
        <f aca="false">IF(AND(OR(CC1734="L1",CC1734="L23",CC1734="LIFT"),AI1734&gt;0),SUMIFS($AI$7:$AI$1843,$CC$7:$CC$1843,CC1734,$AL$7:$AL$1843,"&gt;"&amp;AL1734)+SUMIFS($AI$7:$AI$1843,$CC$7:$CC$1843,CC1734,$AL$7:$AL$1843,AL1734,$BT$7:$BT$1843,"&lt;="&amp;BT1734),"")</f>
        <v>32850.9039030649</v>
      </c>
      <c r="AN1734" s="58" t="n">
        <f aca="false">IF(AM1734="",0,MAX(0,MIN(1,(IF(CC1734="L1",Parameter!$H$5,IF(CC1734="L23",Parameter!$H$6+Parameter!$H$7,Parameter!$H$5+Parameter!$H$6+Parameter!$H$7))-(AM1734-AI1734))/AI1734)))</f>
        <v>1</v>
      </c>
      <c r="AO1734" s="50" t="n">
        <f aca="false">IF(LEFT(Cockpit!$I$5,1)="A",H1734,IF(CE1734=1,CF1734,IF(LEFT(Cockpit!$I$5,1)="B",AT1734,MAX(AT1734,H1734))))</f>
        <v>10</v>
      </c>
      <c r="AP1734" s="50" t="n">
        <f aca="false">IF(BW1734=1,0,ROUNDUP(AO1734/BV1734,0))</f>
        <v>1</v>
      </c>
      <c r="AQ1734" s="52" t="n">
        <f aca="false">IF(CL1734&gt;0,CL1734*MAX(1,AO1734/X1734),IF(BW1734=1,IF(AO1734&lt;=0,0,CA1734*MAX(1,IF(H1734&gt;0,AO1734/H1734,1))),IF(R1734&gt;0,AP1734/R1734,0))/MAX(0.1,N(Parameter!$M$21)))</f>
        <v>0.00357142857142857</v>
      </c>
      <c r="AR1734" s="50" t="n">
        <f aca="false">AQ1734*BY1734</f>
        <v>0.553571428571429</v>
      </c>
      <c r="AS1734" s="50" t="n">
        <f aca="false">AO1734*G1734</f>
        <v>22</v>
      </c>
      <c r="AT1734" s="50" t="n">
        <f aca="false">ROUNDUP(MAX(J1734/IF(CD1734&gt;0,CD1734,MAX(0.1,N(Cockpit!$I$6))),CG1734)/BV1734,0)*BV1734</f>
        <v>10</v>
      </c>
      <c r="AU1734" s="51" t="n">
        <f aca="false">IF(AR1734&gt;0,J1734/AR1734,-1)</f>
        <v>0</v>
      </c>
      <c r="AV1734" s="51" t="n">
        <f aca="false">IF(AND(OR(CC1734="L1",CC1734="L23",CC1734="LIFT"),AR1734&gt;0),SUMIFS($AR$7:$AR$1843,$CC$7:$CC$1843,CC1734,$AU$7:$AU$1843,"&gt;"&amp;AU1734)+SUMIFS($AR$7:$AR$1843,$CC$7:$CC$1843,CC1734,$AU$7:$AU$1843,AU1734,$BT$7:$BT$1843,"&lt;="&amp;BT1734),"")</f>
        <v>45535.0383606507</v>
      </c>
      <c r="AW1734" s="58" t="n">
        <f aca="false">IF(AV1734="",0,MAX(0,MIN(1,(IF(CC1734="L1",Parameter!$H$5,IF(CC1734="L23",Parameter!$H$6+Parameter!$H$7,Parameter!$H$5+Parameter!$H$6+Parameter!$H$7))-(AV1734-AR1734))/AR1734)))</f>
        <v>0</v>
      </c>
      <c r="AX1734" s="50" t="n">
        <f aca="false">IF(LEFT(Cockpit!$O$5,1)="A",H1734,IF(CE1734=1,CF1734,IF(LEFT(Cockpit!$O$5,1)="B",BC1734,MAX(BC1734,H1734))))</f>
        <v>10</v>
      </c>
      <c r="AY1734" s="50" t="n">
        <f aca="false">IF(BW1734=1,0,ROUNDUP(AX1734/BV1734,0))</f>
        <v>1</v>
      </c>
      <c r="AZ1734" s="52" t="n">
        <f aca="false">IF(CL1734&gt;0,CL1734*MAX(1,AX1734/X1734),IF(BW1734=1,IF(AX1734&lt;=0,0,CA1734*MAX(1,IF(H1734&gt;0,AX1734/H1734,1))),IF(R1734&gt;0,AY1734/R1734,0))/MAX(0.1,N(Parameter!$M$21)))</f>
        <v>0.00357142857142857</v>
      </c>
      <c r="BA1734" s="50" t="n">
        <f aca="false">AZ1734*BY1734</f>
        <v>0.553571428571429</v>
      </c>
      <c r="BB1734" s="50" t="n">
        <f aca="false">AX1734*G1734</f>
        <v>22</v>
      </c>
      <c r="BC1734" s="50" t="n">
        <f aca="false">ROUNDUP(MAX(J1734/IF(CD1734&gt;0,CD1734,MAX(0.1,N(Cockpit!$O$6))),CG1734)/BV1734,0)*BV1734</f>
        <v>10</v>
      </c>
      <c r="BD1734" s="51" t="n">
        <f aca="false">IF(BA1734&gt;0,J1734/BA1734,-1)</f>
        <v>0</v>
      </c>
      <c r="BE1734" s="51" t="n">
        <f aca="false">IF(AND(OR(CC1734="L1",CC1734="L23",CC1734="LIFT"),BA1734&gt;0),SUMIFS($BA$7:$BA$1843,$CC$7:$CC$1843,CC1734,$BD$7:$BD$1843,"&gt;"&amp;BD1734)+SUMIFS($BA$7:$BA$1843,$CC$7:$CC$1843,CC1734,$BD$7:$BD$1843,BD1734,$BT$7:$BT$1843,"&lt;="&amp;BT1734),"")</f>
        <v>42210.0504025165</v>
      </c>
      <c r="BF1734" s="58" t="n">
        <f aca="false">IF(BE1734="",0,MAX(0,MIN(1,(IF(CC1734="L1",Parameter!$H$5,IF(CC1734="L23",Parameter!$H$6+Parameter!$H$7,Parameter!$H$5+Parameter!$H$6+Parameter!$H$7))-(BE1734-BA1734))/BA1734)))</f>
        <v>0</v>
      </c>
      <c r="BG1734" s="48" t="str">
        <f aca="false">IF(AI1734&lt;=0,"",IF(CC1734="Aussen","Aussenlager",IF(CC1734="-","Nicht im Lift",IF(AN1734&gt;=1,"Lift",IF(AN1734&lt;=0,"Aussenlager","teilweise")))))</f>
        <v>Lift</v>
      </c>
      <c r="BH1734" s="48" t="str">
        <f aca="false">IF(AR1734&lt;=0,"",IF(CC1734="Aussen","Aussenlager",IF(CC1734="-","Nicht im Lift",IF(AW1734&gt;=1,"Lift",IF(AW1734&lt;=0,"Aussenlager","teilweise")))))</f>
        <v>Aussenlager</v>
      </c>
      <c r="BI1734" s="48" t="str">
        <f aca="false">IF(BA1734&lt;=0,"",IF(CC1734="Aussen","Aussenlager",IF(CC1734="-","Nicht im Lift",IF(BF1734&gt;=1,"Lift",IF(BF1734&lt;=0,"Aussenlager","teilweise")))))</f>
        <v>Aussenlager</v>
      </c>
      <c r="BJ1734" s="48" t="str">
        <f aca="false">IF(A1734="","",IF(BS1734=1,"Neu; ","")&amp;IF(AND(BS1734=0,BN1734&lt;0),"negativer Bestand (Export "&amp;BN1734&amp;"); ","")&amp;IF(J1734&lt;=0,"Kein Verbrauch; ","")&amp;IF(CL1734&gt;0,"Lift "&amp;W1734&amp;" lt. Liftbericht (Fach "&amp;X1734&amp;" Stk); ",IF(BX1734=1,"Gebinde geschätzt ("&amp;T1734&amp;"); ",IF(BW1734=1,"Lose – Tablare geschätzt; ","")))&amp;IF(H1734&gt;AT1734,"Überbestand "&amp;ROUND(H1734-AT1734,0)&amp;" Stk / CHF "&amp;ROUND((H1734-AT1734)*G1734,0)&amp;"; ","")&amp;IF(AND(CE1734=1,CF1734&lt;CG1734),"MAX &lt; MB+LG; ","")&amp;IF(AND(CK1734&gt;0,CJ1734*10&gt;CK1734),"zu hoch für Tablar; ","")&amp;IF(AND(BS1734=0,OR(CE1734=1,AA1734&lt;&gt;"",U1734&lt;&gt;"",V1734&lt;&gt;"",AB1734&lt;&gt;"")),"manuell übersteuert; ","")&amp;IF(AND(BW1734=0,R1734=0),"Gebinde unbekannt / Stellmass fehlt; ","")&amp;IF(AND(BW1734=0,N(V1734)&lt;=0,N(Q1734)&lt;=0),"Menge pro Gebinde fehlt (Ist = 1 Gebinde); ","")&amp;BR1734)</f>
        <v>Kein Verbrauch; nur im Artikelstamm (Bestand 23.06.2026)</v>
      </c>
      <c r="BK1734" s="48"/>
      <c r="BL1734" s="48"/>
      <c r="BM1734" s="55"/>
      <c r="BN1734" s="50" t="n">
        <v>10</v>
      </c>
      <c r="BO1734" s="50" t="n">
        <v>0</v>
      </c>
      <c r="BP1734" s="49" t="n">
        <v>0</v>
      </c>
      <c r="BQ1734" s="50" t="n">
        <v>0</v>
      </c>
      <c r="BR1734" s="48" t="s">
        <v>2579</v>
      </c>
      <c r="BS1734" s="53" t="n">
        <v>0</v>
      </c>
      <c r="BT1734" s="53" t="n">
        <v>1734</v>
      </c>
      <c r="BU1734" s="48" t="str">
        <f aca="false">IF(U1734&lt;&gt;"",UPPER(TRIM(U1734)),IF(BX1734=1,UPPER(VLOOKUP(T1734,Parameter!$I$27:$K$29,2,0)),IF(P1734="","LOSE",P1734)))</f>
        <v>S21</v>
      </c>
      <c r="BV1734" s="50" t="n">
        <f aca="false">IF(BU1734="LOSE",1,IF(N(V1734)&gt;0,V1734,IF(BX1734=1,MAX(1,N(VLOOKUP(T1734,Parameter!$I$27:$K$29,3,0)),H1734,N(N1734)),IF(N(Q1734)&gt;0,Q1734,MAX(1,H1734)))))</f>
        <v>10</v>
      </c>
      <c r="BW1734" s="53" t="n">
        <f aca="false">IF(BU1734="LOSE",1,0)</f>
        <v>0</v>
      </c>
      <c r="BX1734" s="53" t="n">
        <f aca="false">IF(AND(U1734="",OR(P1734="",P1734="LOSE"),T1734&lt;&gt;"",N(S1734)&lt;=0,ISNUMBER(MATCH(T1734,Parameter!$I$27:$I$29,0))),1,0)</f>
        <v>0</v>
      </c>
      <c r="BY1734" s="53" t="n">
        <f aca="false">IF(CL1734&gt;0,INDEX(Parameter!$H$5:$H$7,W1734)/INDEX(Parameter!$E$5:$E$7,W1734),IF(AND(BW1734=0,N(IFERROR(VLOOKUP(BU1734,'Gebinde-Kategorie'!$A$5:$N$45,14,0),0))&gt;0),VLOOKUP(BU1734,'Gebinde-Kategorie'!$A$5:$N$45,14,0)*10+Parameter!$M$23,Parameter!$M$24))</f>
        <v>155</v>
      </c>
      <c r="BZ1734" s="48" t="str">
        <f aca="false">IF(AND(Parameter!$B$19="Ja",E1734&lt;&gt;"",ISNUMBER(MATCH(E1734,Parameter!$I$35:$I$52,0))),VLOOKUP(E1734,Parameter!$I$35:$J$52,2,0),IFERROR(VLOOKUP(D1734,Parameter!$A$35:$C$64,2,0),"Nein"))</f>
        <v>2+3</v>
      </c>
      <c r="CA1734" s="52" t="n">
        <f aca="false">IF(BW1734=0,0,IF(N(S1734)&gt;0,S1734,IFERROR(VLOOKUP(D1734,Parameter!$A$35:$C$64,3,0)+0,0)))</f>
        <v>0</v>
      </c>
      <c r="CB1734" s="48" t="n">
        <f aca="false">IF(AA1734&lt;&gt;"",AA1734,Z1734)</f>
        <v>3</v>
      </c>
      <c r="CC1734" s="48" t="str">
        <f aca="false">IF(OR(CB1734=1,CB1734=2,CB1734=3),IF(Parameter!$E$27="Ja","LIFT",IF(CB1734=1,"L1","L23")),IF(CB1734="Aussen","Aussen","-"))</f>
        <v>LIFT</v>
      </c>
      <c r="CD1734" s="59" t="n">
        <f aca="false">IF(N(AB1734)&gt;0,AB1734,0)</f>
        <v>0</v>
      </c>
      <c r="CE1734" s="53" t="n">
        <f aca="false">IF(ISNUMBER(AE1734),1,0)</f>
        <v>0</v>
      </c>
      <c r="CF1734" s="50" t="n">
        <f aca="false">N(AE1734)</f>
        <v>0</v>
      </c>
      <c r="CG1734" s="50" t="n">
        <f aca="false">N(M1734)+N(N1734)</f>
        <v>1</v>
      </c>
      <c r="CH1734" s="50" t="n">
        <f aca="false">ROUNDUP(H1734/BV1734,0)</f>
        <v>1</v>
      </c>
      <c r="CI1734" s="50" t="n">
        <f aca="false">ROUNDUP(CF1734/BV1734,0)</f>
        <v>0</v>
      </c>
      <c r="CJ1734" s="53" t="n">
        <f aca="false">IF(BW1734=1,0,IFERROR(VLOOKUP(BU1734,'Gebinde-Kategorie'!$A$5:$N$45,5,0)+0,0))</f>
        <v>8</v>
      </c>
      <c r="CK1734" s="53" t="n">
        <f aca="false">IFERROR(IF(OR(CB1734=1,CB1734=2,CB1734=3),N(INDEX(Parameter!$I$5:$I$7,CB1734)),0),0)</f>
        <v>0</v>
      </c>
      <c r="CL1734" s="52" t="n">
        <f aca="false">IF(AND(Parameter!$B$21="Ja",ISNUMBER(W1734),N(X1734)&gt;0),IFERROR(N(INDEX(Parameter!$L$5:$L$7,W1734))*INDEX(Parameter!$E$5:$E$7,W1734)*X1734/SUMIFS($X$7:$X$1843,$W$7:$W$1843,W1734),0),0)</f>
        <v>0</v>
      </c>
    </row>
    <row r="1735" customFormat="false" ht="15" hidden="false" customHeight="false" outlineLevel="0" collapsed="false">
      <c r="A1735" s="48" t="s">
        <v>3005</v>
      </c>
      <c r="B1735" s="48" t="s">
        <v>1881</v>
      </c>
      <c r="C1735" s="48" t="s">
        <v>168</v>
      </c>
      <c r="D1735" s="48" t="s">
        <v>188</v>
      </c>
      <c r="E1735" s="48"/>
      <c r="F1735" s="48"/>
      <c r="G1735" s="49" t="n">
        <v>24.29</v>
      </c>
      <c r="H1735" s="50" t="n">
        <f aca="false">MAX(0,IF(AND(Parameter!$B$21="Ja",ISNUMBER(Y1735)),Y1735,IF(Parameter!$B$20="Jahresanfang 2025 + Export",BO1735+BN1735,BN1735)))</f>
        <v>4</v>
      </c>
      <c r="I1735" s="50" t="n">
        <f aca="false">H1735*G1735</f>
        <v>97.16</v>
      </c>
      <c r="J1735" s="50" t="n">
        <f aca="false">BQ1735*Parameter!$B$18</f>
        <v>0</v>
      </c>
      <c r="K1735" s="51"/>
      <c r="L1735" s="52"/>
      <c r="M1735" s="50" t="n">
        <v>0</v>
      </c>
      <c r="N1735" s="50" t="n">
        <v>5</v>
      </c>
      <c r="O1735" s="53" t="n">
        <v>14</v>
      </c>
      <c r="P1735" s="48" t="s">
        <v>430</v>
      </c>
      <c r="Q1735" s="50" t="n">
        <v>8</v>
      </c>
      <c r="R1735" s="53" t="n">
        <f aca="false">IF(BW1735=1,0,IFERROR(VLOOKUP(BU1735,'Gebinde-Kategorie'!$A$5:$N$45,13,0)+0,0))</f>
        <v>140</v>
      </c>
      <c r="S1735" s="54"/>
      <c r="T1735" s="55"/>
      <c r="U1735" s="55"/>
      <c r="V1735" s="55"/>
      <c r="W1735" s="48"/>
      <c r="X1735" s="50"/>
      <c r="Y1735" s="50"/>
      <c r="Z1735" s="48" t="n">
        <f aca="false">IF(A1735="","",IF(AND(Parameter!$B$21="Ja",ISNUMBER(W1735)),W1735,IF(BZ1735="2+3",IF(ISNUMBER(SEARCH("grosser Artikel",BR1735)),2,IFERROR(VLOOKUP(BU1735,Parameter!$F$35:$G$64,2,0),2)),IF(OR(BZ1735="Nein",BZ1735=""),"-",BZ1735))))</f>
        <v>3</v>
      </c>
      <c r="AA1735" s="55"/>
      <c r="AB1735" s="56"/>
      <c r="AC1735" s="50" t="n">
        <f aca="false">AT1735</f>
        <v>8</v>
      </c>
      <c r="AD1735" s="50" t="n">
        <f aca="false">MAX(AT1735,H1735)</f>
        <v>8</v>
      </c>
      <c r="AE1735" s="57"/>
      <c r="AF1735" s="50" t="n">
        <f aca="false">IF(LEFT(Cockpit!$C$5,1)="A",H1735,IF(CE1735=1,CF1735,IF(LEFT(Cockpit!$C$5,1)="B",AK1735,MAX(AK1735,H1735))))</f>
        <v>4</v>
      </c>
      <c r="AG1735" s="50" t="n">
        <f aca="false">IF(BW1735=1,0,ROUNDUP(AF1735/BV1735,0))</f>
        <v>1</v>
      </c>
      <c r="AH1735" s="52" t="n">
        <f aca="false">IF(CL1735&gt;0,CL1735*MAX(1,AF1735/X1735),IF(BW1735=1,IF(AF1735&lt;=0,0,CA1735*MAX(1,IF(H1735&gt;0,AF1735/H1735,1))),IF(R1735&gt;0,AG1735/R1735,0))/MAX(0.1,N(Parameter!$M$21)))</f>
        <v>0.00714285714285714</v>
      </c>
      <c r="AI1735" s="50" t="n">
        <f aca="false">AH1735*BY1735</f>
        <v>1.10714285714286</v>
      </c>
      <c r="AJ1735" s="50" t="n">
        <f aca="false">AF1735*G1735</f>
        <v>97.16</v>
      </c>
      <c r="AK1735" s="50" t="n">
        <f aca="false">ROUNDUP(MAX(J1735/IF(CD1735&gt;0,CD1735,MAX(0.1,N(Cockpit!$C$6))),CG1735)/BV1735,0)*BV1735</f>
        <v>8</v>
      </c>
      <c r="AL1735" s="51" t="n">
        <f aca="false">IF(AI1735&gt;0,J1735/AI1735,-1)</f>
        <v>0</v>
      </c>
      <c r="AM1735" s="51" t="n">
        <f aca="false">IF(AND(OR(CC1735="L1",CC1735="L23",CC1735="LIFT"),AI1735&gt;0),SUMIFS($AI$7:$AI$1843,$CC$7:$CC$1843,CC1735,$AL$7:$AL$1843,"&gt;"&amp;AL1735)+SUMIFS($AI$7:$AI$1843,$CC$7:$CC$1843,CC1735,$AL$7:$AL$1843,AL1735,$BT$7:$BT$1843,"&lt;="&amp;BT1735),"")</f>
        <v>32852.0110459221</v>
      </c>
      <c r="AN1735" s="58" t="n">
        <f aca="false">IF(AM1735="",0,MAX(0,MIN(1,(IF(CC1735="L1",Parameter!$H$5,IF(CC1735="L23",Parameter!$H$6+Parameter!$H$7,Parameter!$H$5+Parameter!$H$6+Parameter!$H$7))-(AM1735-AI1735))/AI1735)))</f>
        <v>1</v>
      </c>
      <c r="AO1735" s="50" t="n">
        <f aca="false">IF(LEFT(Cockpit!$I$5,1)="A",H1735,IF(CE1735=1,CF1735,IF(LEFT(Cockpit!$I$5,1)="B",AT1735,MAX(AT1735,H1735))))</f>
        <v>8</v>
      </c>
      <c r="AP1735" s="50" t="n">
        <f aca="false">IF(BW1735=1,0,ROUNDUP(AO1735/BV1735,0))</f>
        <v>1</v>
      </c>
      <c r="AQ1735" s="52" t="n">
        <f aca="false">IF(CL1735&gt;0,CL1735*MAX(1,AO1735/X1735),IF(BW1735=1,IF(AO1735&lt;=0,0,CA1735*MAX(1,IF(H1735&gt;0,AO1735/H1735,1))),IF(R1735&gt;0,AP1735/R1735,0))/MAX(0.1,N(Parameter!$M$21)))</f>
        <v>0.00714285714285714</v>
      </c>
      <c r="AR1735" s="50" t="n">
        <f aca="false">AQ1735*BY1735</f>
        <v>1.10714285714286</v>
      </c>
      <c r="AS1735" s="50" t="n">
        <f aca="false">AO1735*G1735</f>
        <v>194.32</v>
      </c>
      <c r="AT1735" s="50" t="n">
        <f aca="false">ROUNDUP(MAX(J1735/IF(CD1735&gt;0,CD1735,MAX(0.1,N(Cockpit!$I$6))),CG1735)/BV1735,0)*BV1735</f>
        <v>8</v>
      </c>
      <c r="AU1735" s="51" t="n">
        <f aca="false">IF(AR1735&gt;0,J1735/AR1735,-1)</f>
        <v>0</v>
      </c>
      <c r="AV1735" s="51" t="n">
        <f aca="false">IF(AND(OR(CC1735="L1",CC1735="L23",CC1735="LIFT"),AR1735&gt;0),SUMIFS($AR$7:$AR$1843,$CC$7:$CC$1843,CC1735,$AU$7:$AU$1843,"&gt;"&amp;AU1735)+SUMIFS($AR$7:$AR$1843,$CC$7:$CC$1843,CC1735,$AU$7:$AU$1843,AU1735,$BT$7:$BT$1843,"&lt;="&amp;BT1735),"")</f>
        <v>45536.1455035078</v>
      </c>
      <c r="AW1735" s="58" t="n">
        <f aca="false">IF(AV1735="",0,MAX(0,MIN(1,(IF(CC1735="L1",Parameter!$H$5,IF(CC1735="L23",Parameter!$H$6+Parameter!$H$7,Parameter!$H$5+Parameter!$H$6+Parameter!$H$7))-(AV1735-AR1735))/AR1735)))</f>
        <v>0</v>
      </c>
      <c r="AX1735" s="50" t="n">
        <f aca="false">IF(LEFT(Cockpit!$O$5,1)="A",H1735,IF(CE1735=1,CF1735,IF(LEFT(Cockpit!$O$5,1)="B",BC1735,MAX(BC1735,H1735))))</f>
        <v>8</v>
      </c>
      <c r="AY1735" s="50" t="n">
        <f aca="false">IF(BW1735=1,0,ROUNDUP(AX1735/BV1735,0))</f>
        <v>1</v>
      </c>
      <c r="AZ1735" s="52" t="n">
        <f aca="false">IF(CL1735&gt;0,CL1735*MAX(1,AX1735/X1735),IF(BW1735=1,IF(AX1735&lt;=0,0,CA1735*MAX(1,IF(H1735&gt;0,AX1735/H1735,1))),IF(R1735&gt;0,AY1735/R1735,0))/MAX(0.1,N(Parameter!$M$21)))</f>
        <v>0.00714285714285714</v>
      </c>
      <c r="BA1735" s="50" t="n">
        <f aca="false">AZ1735*BY1735</f>
        <v>1.10714285714286</v>
      </c>
      <c r="BB1735" s="50" t="n">
        <f aca="false">AX1735*G1735</f>
        <v>194.32</v>
      </c>
      <c r="BC1735" s="50" t="n">
        <f aca="false">ROUNDUP(MAX(J1735/IF(CD1735&gt;0,CD1735,MAX(0.1,N(Cockpit!$O$6))),CG1735)/BV1735,0)*BV1735</f>
        <v>8</v>
      </c>
      <c r="BD1735" s="51" t="n">
        <f aca="false">IF(BA1735&gt;0,J1735/BA1735,-1)</f>
        <v>0</v>
      </c>
      <c r="BE1735" s="51" t="n">
        <f aca="false">IF(AND(OR(CC1735="L1",CC1735="L23",CC1735="LIFT"),BA1735&gt;0),SUMIFS($BA$7:$BA$1843,$CC$7:$CC$1843,CC1735,$BD$7:$BD$1843,"&gt;"&amp;BD1735)+SUMIFS($BA$7:$BA$1843,$CC$7:$CC$1843,CC1735,$BD$7:$BD$1843,BD1735,$BT$7:$BT$1843,"&lt;="&amp;BT1735),"")</f>
        <v>42211.1575453737</v>
      </c>
      <c r="BF1735" s="58" t="n">
        <f aca="false">IF(BE1735="",0,MAX(0,MIN(1,(IF(CC1735="L1",Parameter!$H$5,IF(CC1735="L23",Parameter!$H$6+Parameter!$H$7,Parameter!$H$5+Parameter!$H$6+Parameter!$H$7))-(BE1735-BA1735))/BA1735)))</f>
        <v>0</v>
      </c>
      <c r="BG1735" s="48" t="str">
        <f aca="false">IF(AI1735&lt;=0,"",IF(CC1735="Aussen","Aussenlager",IF(CC1735="-","Nicht im Lift",IF(AN1735&gt;=1,"Lift",IF(AN1735&lt;=0,"Aussenlager","teilweise")))))</f>
        <v>Lift</v>
      </c>
      <c r="BH1735" s="48" t="str">
        <f aca="false">IF(AR1735&lt;=0,"",IF(CC1735="Aussen","Aussenlager",IF(CC1735="-","Nicht im Lift",IF(AW1735&gt;=1,"Lift",IF(AW1735&lt;=0,"Aussenlager","teilweise")))))</f>
        <v>Aussenlager</v>
      </c>
      <c r="BI1735" s="48" t="str">
        <f aca="false">IF(BA1735&lt;=0,"",IF(CC1735="Aussen","Aussenlager",IF(CC1735="-","Nicht im Lift",IF(BF1735&gt;=1,"Lift",IF(BF1735&lt;=0,"Aussenlager","teilweise")))))</f>
        <v>Aussenlager</v>
      </c>
      <c r="BJ1735" s="48" t="str">
        <f aca="false">IF(A1735="","",IF(BS1735=1,"Neu; ","")&amp;IF(AND(BS1735=0,BN1735&lt;0),"negativer Bestand (Export "&amp;BN1735&amp;"); ","")&amp;IF(J1735&lt;=0,"Kein Verbrauch; ","")&amp;IF(CL1735&gt;0,"Lift "&amp;W1735&amp;" lt. Liftbericht (Fach "&amp;X1735&amp;" Stk); ",IF(BX1735=1,"Gebinde geschätzt ("&amp;T1735&amp;"); ",IF(BW1735=1,"Lose – Tablare geschätzt; ","")))&amp;IF(H1735&gt;AT1735,"Überbestand "&amp;ROUND(H1735-AT1735,0)&amp;" Stk / CHF "&amp;ROUND((H1735-AT1735)*G1735,0)&amp;"; ","")&amp;IF(AND(CE1735=1,CF1735&lt;CG1735),"MAX &lt; MB+LG; ","")&amp;IF(AND(CK1735&gt;0,CJ1735*10&gt;CK1735),"zu hoch für Tablar; ","")&amp;IF(AND(BS1735=0,OR(CE1735=1,AA1735&lt;&gt;"",U1735&lt;&gt;"",V1735&lt;&gt;"",AB1735&lt;&gt;"")),"manuell übersteuert; ","")&amp;IF(AND(BW1735=0,R1735=0),"Gebinde unbekannt / Stellmass fehlt; ","")&amp;IF(AND(BW1735=0,N(V1735)&lt;=0,N(Q1735)&lt;=0),"Menge pro Gebinde fehlt (Ist = 1 Gebinde); ","")&amp;BR1735)</f>
        <v>Kein Verbrauch; nur im Artikelstamm (Bestand 23.06.2026); Verb.Lager</v>
      </c>
      <c r="BK1735" s="48"/>
      <c r="BL1735" s="48"/>
      <c r="BM1735" s="55"/>
      <c r="BN1735" s="50" t="n">
        <v>4</v>
      </c>
      <c r="BO1735" s="50" t="n">
        <v>0</v>
      </c>
      <c r="BP1735" s="49" t="n">
        <v>0</v>
      </c>
      <c r="BQ1735" s="50" t="n">
        <v>0</v>
      </c>
      <c r="BR1735" s="48" t="s">
        <v>2573</v>
      </c>
      <c r="BS1735" s="53" t="n">
        <v>0</v>
      </c>
      <c r="BT1735" s="53" t="n">
        <v>1735</v>
      </c>
      <c r="BU1735" s="48" t="str">
        <f aca="false">IF(U1735&lt;&gt;"",UPPER(TRIM(U1735)),IF(BX1735=1,UPPER(VLOOKUP(T1735,Parameter!$I$27:$K$29,2,0)),IF(P1735="","LOSE",P1735)))</f>
        <v>S22</v>
      </c>
      <c r="BV1735" s="50" t="n">
        <f aca="false">IF(BU1735="LOSE",1,IF(N(V1735)&gt;0,V1735,IF(BX1735=1,MAX(1,N(VLOOKUP(T1735,Parameter!$I$27:$K$29,3,0)),H1735,N(N1735)),IF(N(Q1735)&gt;0,Q1735,MAX(1,H1735)))))</f>
        <v>8</v>
      </c>
      <c r="BW1735" s="53" t="n">
        <f aca="false">IF(BU1735="LOSE",1,0)</f>
        <v>0</v>
      </c>
      <c r="BX1735" s="53" t="n">
        <f aca="false">IF(AND(U1735="",OR(P1735="",P1735="LOSE"),T1735&lt;&gt;"",N(S1735)&lt;=0,ISNUMBER(MATCH(T1735,Parameter!$I$27:$I$29,0))),1,0)</f>
        <v>0</v>
      </c>
      <c r="BY1735" s="53" t="n">
        <f aca="false">IF(CL1735&gt;0,INDEX(Parameter!$H$5:$H$7,W1735)/INDEX(Parameter!$E$5:$E$7,W1735),IF(AND(BW1735=0,N(IFERROR(VLOOKUP(BU1735,'Gebinde-Kategorie'!$A$5:$N$45,14,0),0))&gt;0),VLOOKUP(BU1735,'Gebinde-Kategorie'!$A$5:$N$45,14,0)*10+Parameter!$M$23,Parameter!$M$24))</f>
        <v>155</v>
      </c>
      <c r="BZ1735" s="48" t="str">
        <f aca="false">IF(AND(Parameter!$B$19="Ja",E1735&lt;&gt;"",ISNUMBER(MATCH(E1735,Parameter!$I$35:$I$52,0))),VLOOKUP(E1735,Parameter!$I$35:$J$52,2,0),IFERROR(VLOOKUP(D1735,Parameter!$A$35:$C$64,2,0),"Nein"))</f>
        <v>2+3</v>
      </c>
      <c r="CA1735" s="52" t="n">
        <f aca="false">IF(BW1735=0,0,IF(N(S1735)&gt;0,S1735,IFERROR(VLOOKUP(D1735,Parameter!$A$35:$C$64,3,0)+0,0)))</f>
        <v>0</v>
      </c>
      <c r="CB1735" s="48" t="n">
        <f aca="false">IF(AA1735&lt;&gt;"",AA1735,Z1735)</f>
        <v>3</v>
      </c>
      <c r="CC1735" s="48" t="str">
        <f aca="false">IF(OR(CB1735=1,CB1735=2,CB1735=3),IF(Parameter!$E$27="Ja","LIFT",IF(CB1735=1,"L1","L23")),IF(CB1735="Aussen","Aussen","-"))</f>
        <v>LIFT</v>
      </c>
      <c r="CD1735" s="59" t="n">
        <f aca="false">IF(N(AB1735)&gt;0,AB1735,0)</f>
        <v>0</v>
      </c>
      <c r="CE1735" s="53" t="n">
        <f aca="false">IF(ISNUMBER(AE1735),1,0)</f>
        <v>0</v>
      </c>
      <c r="CF1735" s="50" t="n">
        <f aca="false">N(AE1735)</f>
        <v>0</v>
      </c>
      <c r="CG1735" s="50" t="n">
        <f aca="false">N(M1735)+N(N1735)</f>
        <v>5</v>
      </c>
      <c r="CH1735" s="50" t="n">
        <f aca="false">ROUNDUP(H1735/BV1735,0)</f>
        <v>1</v>
      </c>
      <c r="CI1735" s="50" t="n">
        <f aca="false">ROUNDUP(CF1735/BV1735,0)</f>
        <v>0</v>
      </c>
      <c r="CJ1735" s="53" t="n">
        <f aca="false">IF(BW1735=1,0,IFERROR(VLOOKUP(BU1735,'Gebinde-Kategorie'!$A$5:$N$45,5,0)+0,0))</f>
        <v>8</v>
      </c>
      <c r="CK1735" s="53" t="n">
        <f aca="false">IFERROR(IF(OR(CB1735=1,CB1735=2,CB1735=3),N(INDEX(Parameter!$I$5:$I$7,CB1735)),0),0)</f>
        <v>0</v>
      </c>
      <c r="CL1735" s="52" t="n">
        <f aca="false">IF(AND(Parameter!$B$21="Ja",ISNUMBER(W1735),N(X1735)&gt;0),IFERROR(N(INDEX(Parameter!$L$5:$L$7,W1735))*INDEX(Parameter!$E$5:$E$7,W1735)*X1735/SUMIFS($X$7:$X$1843,$W$7:$W$1843,W1735),0),0)</f>
        <v>0</v>
      </c>
    </row>
    <row r="1736" customFormat="false" ht="15" hidden="false" customHeight="false" outlineLevel="0" collapsed="false">
      <c r="A1736" s="48" t="s">
        <v>3006</v>
      </c>
      <c r="B1736" s="48" t="s">
        <v>2603</v>
      </c>
      <c r="C1736" s="48" t="s">
        <v>168</v>
      </c>
      <c r="D1736" s="48" t="s">
        <v>188</v>
      </c>
      <c r="E1736" s="48"/>
      <c r="F1736" s="48"/>
      <c r="G1736" s="49" t="n">
        <v>40.43</v>
      </c>
      <c r="H1736" s="50" t="n">
        <f aca="false">MAX(0,IF(AND(Parameter!$B$21="Ja",ISNUMBER(Y1736)),Y1736,IF(Parameter!$B$20="Jahresanfang 2025 + Export",BO1736+BN1736,BN1736)))</f>
        <v>8</v>
      </c>
      <c r="I1736" s="50" t="n">
        <f aca="false">H1736*G1736</f>
        <v>323.44</v>
      </c>
      <c r="J1736" s="50" t="n">
        <f aca="false">BQ1736*Parameter!$B$18</f>
        <v>0</v>
      </c>
      <c r="K1736" s="51"/>
      <c r="L1736" s="52"/>
      <c r="M1736" s="50" t="n">
        <v>0</v>
      </c>
      <c r="N1736" s="50" t="n">
        <v>8</v>
      </c>
      <c r="O1736" s="53" t="n">
        <v>14</v>
      </c>
      <c r="P1736" s="48" t="s">
        <v>430</v>
      </c>
      <c r="Q1736" s="50" t="n">
        <v>8</v>
      </c>
      <c r="R1736" s="53" t="n">
        <f aca="false">IF(BW1736=1,0,IFERROR(VLOOKUP(BU1736,'Gebinde-Kategorie'!$A$5:$N$45,13,0)+0,0))</f>
        <v>140</v>
      </c>
      <c r="S1736" s="54"/>
      <c r="T1736" s="55"/>
      <c r="U1736" s="55"/>
      <c r="V1736" s="55"/>
      <c r="W1736" s="48"/>
      <c r="X1736" s="50"/>
      <c r="Y1736" s="50"/>
      <c r="Z1736" s="48" t="n">
        <f aca="false">IF(A1736="","",IF(AND(Parameter!$B$21="Ja",ISNUMBER(W1736)),W1736,IF(BZ1736="2+3",IF(ISNUMBER(SEARCH("grosser Artikel",BR1736)),2,IFERROR(VLOOKUP(BU1736,Parameter!$F$35:$G$64,2,0),2)),IF(OR(BZ1736="Nein",BZ1736=""),"-",BZ1736))))</f>
        <v>3</v>
      </c>
      <c r="AA1736" s="55"/>
      <c r="AB1736" s="56"/>
      <c r="AC1736" s="50" t="n">
        <f aca="false">AT1736</f>
        <v>8</v>
      </c>
      <c r="AD1736" s="50" t="n">
        <f aca="false">MAX(AT1736,H1736)</f>
        <v>8</v>
      </c>
      <c r="AE1736" s="57"/>
      <c r="AF1736" s="50" t="n">
        <f aca="false">IF(LEFT(Cockpit!$C$5,1)="A",H1736,IF(CE1736=1,CF1736,IF(LEFT(Cockpit!$C$5,1)="B",AK1736,MAX(AK1736,H1736))))</f>
        <v>8</v>
      </c>
      <c r="AG1736" s="50" t="n">
        <f aca="false">IF(BW1736=1,0,ROUNDUP(AF1736/BV1736,0))</f>
        <v>1</v>
      </c>
      <c r="AH1736" s="52" t="n">
        <f aca="false">IF(CL1736&gt;0,CL1736*MAX(1,AF1736/X1736),IF(BW1736=1,IF(AF1736&lt;=0,0,CA1736*MAX(1,IF(H1736&gt;0,AF1736/H1736,1))),IF(R1736&gt;0,AG1736/R1736,0))/MAX(0.1,N(Parameter!$M$21)))</f>
        <v>0.00714285714285714</v>
      </c>
      <c r="AI1736" s="50" t="n">
        <f aca="false">AH1736*BY1736</f>
        <v>1.10714285714286</v>
      </c>
      <c r="AJ1736" s="50" t="n">
        <f aca="false">AF1736*G1736</f>
        <v>323.44</v>
      </c>
      <c r="AK1736" s="50" t="n">
        <f aca="false">ROUNDUP(MAX(J1736/IF(CD1736&gt;0,CD1736,MAX(0.1,N(Cockpit!$C$6))),CG1736)/BV1736,0)*BV1736</f>
        <v>8</v>
      </c>
      <c r="AL1736" s="51" t="n">
        <f aca="false">IF(AI1736&gt;0,J1736/AI1736,-1)</f>
        <v>0</v>
      </c>
      <c r="AM1736" s="51" t="n">
        <f aca="false">IF(AND(OR(CC1736="L1",CC1736="L23",CC1736="LIFT"),AI1736&gt;0),SUMIFS($AI$7:$AI$1843,$CC$7:$CC$1843,CC1736,$AL$7:$AL$1843,"&gt;"&amp;AL1736)+SUMIFS($AI$7:$AI$1843,$CC$7:$CC$1843,CC1736,$AL$7:$AL$1843,AL1736,$BT$7:$BT$1843,"&lt;="&amp;BT1736),"")</f>
        <v>32853.1181887792</v>
      </c>
      <c r="AN1736" s="58" t="n">
        <f aca="false">IF(AM1736="",0,MAX(0,MIN(1,(IF(CC1736="L1",Parameter!$H$5,IF(CC1736="L23",Parameter!$H$6+Parameter!$H$7,Parameter!$H$5+Parameter!$H$6+Parameter!$H$7))-(AM1736-AI1736))/AI1736)))</f>
        <v>1</v>
      </c>
      <c r="AO1736" s="50" t="n">
        <f aca="false">IF(LEFT(Cockpit!$I$5,1)="A",H1736,IF(CE1736=1,CF1736,IF(LEFT(Cockpit!$I$5,1)="B",AT1736,MAX(AT1736,H1736))))</f>
        <v>8</v>
      </c>
      <c r="AP1736" s="50" t="n">
        <f aca="false">IF(BW1736=1,0,ROUNDUP(AO1736/BV1736,0))</f>
        <v>1</v>
      </c>
      <c r="AQ1736" s="52" t="n">
        <f aca="false">IF(CL1736&gt;0,CL1736*MAX(1,AO1736/X1736),IF(BW1736=1,IF(AO1736&lt;=0,0,CA1736*MAX(1,IF(H1736&gt;0,AO1736/H1736,1))),IF(R1736&gt;0,AP1736/R1736,0))/MAX(0.1,N(Parameter!$M$21)))</f>
        <v>0.00714285714285714</v>
      </c>
      <c r="AR1736" s="50" t="n">
        <f aca="false">AQ1736*BY1736</f>
        <v>1.10714285714286</v>
      </c>
      <c r="AS1736" s="50" t="n">
        <f aca="false">AO1736*G1736</f>
        <v>323.44</v>
      </c>
      <c r="AT1736" s="50" t="n">
        <f aca="false">ROUNDUP(MAX(J1736/IF(CD1736&gt;0,CD1736,MAX(0.1,N(Cockpit!$I$6))),CG1736)/BV1736,0)*BV1736</f>
        <v>8</v>
      </c>
      <c r="AU1736" s="51" t="n">
        <f aca="false">IF(AR1736&gt;0,J1736/AR1736,-1)</f>
        <v>0</v>
      </c>
      <c r="AV1736" s="51" t="n">
        <f aca="false">IF(AND(OR(CC1736="L1",CC1736="L23",CC1736="LIFT"),AR1736&gt;0),SUMIFS($AR$7:$AR$1843,$CC$7:$CC$1843,CC1736,$AU$7:$AU$1843,"&gt;"&amp;AU1736)+SUMIFS($AR$7:$AR$1843,$CC$7:$CC$1843,CC1736,$AU$7:$AU$1843,AU1736,$BT$7:$BT$1843,"&lt;="&amp;BT1736),"")</f>
        <v>45537.2526463649</v>
      </c>
      <c r="AW1736" s="58" t="n">
        <f aca="false">IF(AV1736="",0,MAX(0,MIN(1,(IF(CC1736="L1",Parameter!$H$5,IF(CC1736="L23",Parameter!$H$6+Parameter!$H$7,Parameter!$H$5+Parameter!$H$6+Parameter!$H$7))-(AV1736-AR1736))/AR1736)))</f>
        <v>0</v>
      </c>
      <c r="AX1736" s="50" t="n">
        <f aca="false">IF(LEFT(Cockpit!$O$5,1)="A",H1736,IF(CE1736=1,CF1736,IF(LEFT(Cockpit!$O$5,1)="B",BC1736,MAX(BC1736,H1736))))</f>
        <v>8</v>
      </c>
      <c r="AY1736" s="50" t="n">
        <f aca="false">IF(BW1736=1,0,ROUNDUP(AX1736/BV1736,0))</f>
        <v>1</v>
      </c>
      <c r="AZ1736" s="52" t="n">
        <f aca="false">IF(CL1736&gt;0,CL1736*MAX(1,AX1736/X1736),IF(BW1736=1,IF(AX1736&lt;=0,0,CA1736*MAX(1,IF(H1736&gt;0,AX1736/H1736,1))),IF(R1736&gt;0,AY1736/R1736,0))/MAX(0.1,N(Parameter!$M$21)))</f>
        <v>0.00714285714285714</v>
      </c>
      <c r="BA1736" s="50" t="n">
        <f aca="false">AZ1736*BY1736</f>
        <v>1.10714285714286</v>
      </c>
      <c r="BB1736" s="50" t="n">
        <f aca="false">AX1736*G1736</f>
        <v>323.44</v>
      </c>
      <c r="BC1736" s="50" t="n">
        <f aca="false">ROUNDUP(MAX(J1736/IF(CD1736&gt;0,CD1736,MAX(0.1,N(Cockpit!$O$6))),CG1736)/BV1736,0)*BV1736</f>
        <v>8</v>
      </c>
      <c r="BD1736" s="51" t="n">
        <f aca="false">IF(BA1736&gt;0,J1736/BA1736,-1)</f>
        <v>0</v>
      </c>
      <c r="BE1736" s="51" t="n">
        <f aca="false">IF(AND(OR(CC1736="L1",CC1736="L23",CC1736="LIFT"),BA1736&gt;0),SUMIFS($BA$7:$BA$1843,$CC$7:$CC$1843,CC1736,$BD$7:$BD$1843,"&gt;"&amp;BD1736)+SUMIFS($BA$7:$BA$1843,$CC$7:$CC$1843,CC1736,$BD$7:$BD$1843,BD1736,$BT$7:$BT$1843,"&lt;="&amp;BT1736),"")</f>
        <v>42212.2646882308</v>
      </c>
      <c r="BF1736" s="58" t="n">
        <f aca="false">IF(BE1736="",0,MAX(0,MIN(1,(IF(CC1736="L1",Parameter!$H$5,IF(CC1736="L23",Parameter!$H$6+Parameter!$H$7,Parameter!$H$5+Parameter!$H$6+Parameter!$H$7))-(BE1736-BA1736))/BA1736)))</f>
        <v>0</v>
      </c>
      <c r="BG1736" s="48" t="str">
        <f aca="false">IF(AI1736&lt;=0,"",IF(CC1736="Aussen","Aussenlager",IF(CC1736="-","Nicht im Lift",IF(AN1736&gt;=1,"Lift",IF(AN1736&lt;=0,"Aussenlager","teilweise")))))</f>
        <v>Lift</v>
      </c>
      <c r="BH1736" s="48" t="str">
        <f aca="false">IF(AR1736&lt;=0,"",IF(CC1736="Aussen","Aussenlager",IF(CC1736="-","Nicht im Lift",IF(AW1736&gt;=1,"Lift",IF(AW1736&lt;=0,"Aussenlager","teilweise")))))</f>
        <v>Aussenlager</v>
      </c>
      <c r="BI1736" s="48" t="str">
        <f aca="false">IF(BA1736&lt;=0,"",IF(CC1736="Aussen","Aussenlager",IF(CC1736="-","Nicht im Lift",IF(BF1736&gt;=1,"Lift",IF(BF1736&lt;=0,"Aussenlager","teilweise")))))</f>
        <v>Aussenlager</v>
      </c>
      <c r="BJ1736" s="48" t="str">
        <f aca="false">IF(A1736="","",IF(BS1736=1,"Neu; ","")&amp;IF(AND(BS1736=0,BN1736&lt;0),"negativer Bestand (Export "&amp;BN1736&amp;"); ","")&amp;IF(J1736&lt;=0,"Kein Verbrauch; ","")&amp;IF(CL1736&gt;0,"Lift "&amp;W1736&amp;" lt. Liftbericht (Fach "&amp;X1736&amp;" Stk); ",IF(BX1736=1,"Gebinde geschätzt ("&amp;T1736&amp;"); ",IF(BW1736=1,"Lose – Tablare geschätzt; ","")))&amp;IF(H1736&gt;AT1736,"Überbestand "&amp;ROUND(H1736-AT1736,0)&amp;" Stk / CHF "&amp;ROUND((H1736-AT1736)*G1736,0)&amp;"; ","")&amp;IF(AND(CE1736=1,CF1736&lt;CG1736),"MAX &lt; MB+LG; ","")&amp;IF(AND(CK1736&gt;0,CJ1736*10&gt;CK1736),"zu hoch für Tablar; ","")&amp;IF(AND(BS1736=0,OR(CE1736=1,AA1736&lt;&gt;"",U1736&lt;&gt;"",V1736&lt;&gt;"",AB1736&lt;&gt;"")),"manuell übersteuert; ","")&amp;IF(AND(BW1736=0,R1736=0),"Gebinde unbekannt / Stellmass fehlt; ","")&amp;IF(AND(BW1736=0,N(V1736)&lt;=0,N(Q1736)&lt;=0),"Menge pro Gebinde fehlt (Ist = 1 Gebinde); ","")&amp;BR1736)</f>
        <v>Kein Verbrauch; nur im Artikelstamm (Bestand 23.06.2026)</v>
      </c>
      <c r="BK1736" s="48"/>
      <c r="BL1736" s="48"/>
      <c r="BM1736" s="55"/>
      <c r="BN1736" s="50" t="n">
        <v>8</v>
      </c>
      <c r="BO1736" s="50" t="n">
        <v>0</v>
      </c>
      <c r="BP1736" s="49" t="n">
        <v>0</v>
      </c>
      <c r="BQ1736" s="50" t="n">
        <v>0</v>
      </c>
      <c r="BR1736" s="48" t="s">
        <v>2579</v>
      </c>
      <c r="BS1736" s="53" t="n">
        <v>0</v>
      </c>
      <c r="BT1736" s="53" t="n">
        <v>1736</v>
      </c>
      <c r="BU1736" s="48" t="str">
        <f aca="false">IF(U1736&lt;&gt;"",UPPER(TRIM(U1736)),IF(BX1736=1,UPPER(VLOOKUP(T1736,Parameter!$I$27:$K$29,2,0)),IF(P1736="","LOSE",P1736)))</f>
        <v>S22</v>
      </c>
      <c r="BV1736" s="50" t="n">
        <f aca="false">IF(BU1736="LOSE",1,IF(N(V1736)&gt;0,V1736,IF(BX1736=1,MAX(1,N(VLOOKUP(T1736,Parameter!$I$27:$K$29,3,0)),H1736,N(N1736)),IF(N(Q1736)&gt;0,Q1736,MAX(1,H1736)))))</f>
        <v>8</v>
      </c>
      <c r="BW1736" s="53" t="n">
        <f aca="false">IF(BU1736="LOSE",1,0)</f>
        <v>0</v>
      </c>
      <c r="BX1736" s="53" t="n">
        <f aca="false">IF(AND(U1736="",OR(P1736="",P1736="LOSE"),T1736&lt;&gt;"",N(S1736)&lt;=0,ISNUMBER(MATCH(T1736,Parameter!$I$27:$I$29,0))),1,0)</f>
        <v>0</v>
      </c>
      <c r="BY1736" s="53" t="n">
        <f aca="false">IF(CL1736&gt;0,INDEX(Parameter!$H$5:$H$7,W1736)/INDEX(Parameter!$E$5:$E$7,W1736),IF(AND(BW1736=0,N(IFERROR(VLOOKUP(BU1736,'Gebinde-Kategorie'!$A$5:$N$45,14,0),0))&gt;0),VLOOKUP(BU1736,'Gebinde-Kategorie'!$A$5:$N$45,14,0)*10+Parameter!$M$23,Parameter!$M$24))</f>
        <v>155</v>
      </c>
      <c r="BZ1736" s="48" t="str">
        <f aca="false">IF(AND(Parameter!$B$19="Ja",E1736&lt;&gt;"",ISNUMBER(MATCH(E1736,Parameter!$I$35:$I$52,0))),VLOOKUP(E1736,Parameter!$I$35:$J$52,2,0),IFERROR(VLOOKUP(D1736,Parameter!$A$35:$C$64,2,0),"Nein"))</f>
        <v>2+3</v>
      </c>
      <c r="CA1736" s="52" t="n">
        <f aca="false">IF(BW1736=0,0,IF(N(S1736)&gt;0,S1736,IFERROR(VLOOKUP(D1736,Parameter!$A$35:$C$64,3,0)+0,0)))</f>
        <v>0</v>
      </c>
      <c r="CB1736" s="48" t="n">
        <f aca="false">IF(AA1736&lt;&gt;"",AA1736,Z1736)</f>
        <v>3</v>
      </c>
      <c r="CC1736" s="48" t="str">
        <f aca="false">IF(OR(CB1736=1,CB1736=2,CB1736=3),IF(Parameter!$E$27="Ja","LIFT",IF(CB1736=1,"L1","L23")),IF(CB1736="Aussen","Aussen","-"))</f>
        <v>LIFT</v>
      </c>
      <c r="CD1736" s="59" t="n">
        <f aca="false">IF(N(AB1736)&gt;0,AB1736,0)</f>
        <v>0</v>
      </c>
      <c r="CE1736" s="53" t="n">
        <f aca="false">IF(ISNUMBER(AE1736),1,0)</f>
        <v>0</v>
      </c>
      <c r="CF1736" s="50" t="n">
        <f aca="false">N(AE1736)</f>
        <v>0</v>
      </c>
      <c r="CG1736" s="50" t="n">
        <f aca="false">N(M1736)+N(N1736)</f>
        <v>8</v>
      </c>
      <c r="CH1736" s="50" t="n">
        <f aca="false">ROUNDUP(H1736/BV1736,0)</f>
        <v>1</v>
      </c>
      <c r="CI1736" s="50" t="n">
        <f aca="false">ROUNDUP(CF1736/BV1736,0)</f>
        <v>0</v>
      </c>
      <c r="CJ1736" s="53" t="n">
        <f aca="false">IF(BW1736=1,0,IFERROR(VLOOKUP(BU1736,'Gebinde-Kategorie'!$A$5:$N$45,5,0)+0,0))</f>
        <v>8</v>
      </c>
      <c r="CK1736" s="53" t="n">
        <f aca="false">IFERROR(IF(OR(CB1736=1,CB1736=2,CB1736=3),N(INDEX(Parameter!$I$5:$I$7,CB1736)),0),0)</f>
        <v>0</v>
      </c>
      <c r="CL1736" s="52" t="n">
        <f aca="false">IF(AND(Parameter!$B$21="Ja",ISNUMBER(W1736),N(X1736)&gt;0),IFERROR(N(INDEX(Parameter!$L$5:$L$7,W1736))*INDEX(Parameter!$E$5:$E$7,W1736)*X1736/SUMIFS($X$7:$X$1843,$W$7:$W$1843,W1736),0),0)</f>
        <v>0</v>
      </c>
    </row>
    <row r="1737" customFormat="false" ht="15" hidden="false" customHeight="false" outlineLevel="0" collapsed="false">
      <c r="A1737" s="48" t="s">
        <v>3007</v>
      </c>
      <c r="B1737" s="48" t="s">
        <v>2446</v>
      </c>
      <c r="C1737" s="48" t="s">
        <v>168</v>
      </c>
      <c r="D1737" s="48" t="s">
        <v>188</v>
      </c>
      <c r="E1737" s="48"/>
      <c r="F1737" s="48"/>
      <c r="G1737" s="49" t="n">
        <v>300</v>
      </c>
      <c r="H1737" s="50" t="n">
        <f aca="false">MAX(0,IF(AND(Parameter!$B$21="Ja",ISNUMBER(Y1737)),Y1737,IF(Parameter!$B$20="Jahresanfang 2025 + Export",BO1737+BN1737,BN1737)))</f>
        <v>6</v>
      </c>
      <c r="I1737" s="50" t="n">
        <f aca="false">H1737*G1737</f>
        <v>1800</v>
      </c>
      <c r="J1737" s="50" t="n">
        <f aca="false">BQ1737*Parameter!$B$18</f>
        <v>0</v>
      </c>
      <c r="K1737" s="51"/>
      <c r="L1737" s="52"/>
      <c r="M1737" s="50" t="n">
        <v>0</v>
      </c>
      <c r="N1737" s="50" t="n">
        <v>1</v>
      </c>
      <c r="O1737" s="53" t="n">
        <v>0</v>
      </c>
      <c r="P1737" s="48" t="s">
        <v>430</v>
      </c>
      <c r="Q1737" s="50" t="n">
        <v>6</v>
      </c>
      <c r="R1737" s="53" t="n">
        <f aca="false">IF(BW1737=1,0,IFERROR(VLOOKUP(BU1737,'Gebinde-Kategorie'!$A$5:$N$45,13,0)+0,0))</f>
        <v>140</v>
      </c>
      <c r="S1737" s="54"/>
      <c r="T1737" s="55"/>
      <c r="U1737" s="55"/>
      <c r="V1737" s="55"/>
      <c r="W1737" s="48"/>
      <c r="X1737" s="50"/>
      <c r="Y1737" s="50"/>
      <c r="Z1737" s="48" t="n">
        <f aca="false">IF(A1737="","",IF(AND(Parameter!$B$21="Ja",ISNUMBER(W1737)),W1737,IF(BZ1737="2+3",IF(ISNUMBER(SEARCH("grosser Artikel",BR1737)),2,IFERROR(VLOOKUP(BU1737,Parameter!$F$35:$G$64,2,0),2)),IF(OR(BZ1737="Nein",BZ1737=""),"-",BZ1737))))</f>
        <v>3</v>
      </c>
      <c r="AA1737" s="55"/>
      <c r="AB1737" s="56"/>
      <c r="AC1737" s="50" t="n">
        <f aca="false">AT1737</f>
        <v>6</v>
      </c>
      <c r="AD1737" s="50" t="n">
        <f aca="false">MAX(AT1737,H1737)</f>
        <v>6</v>
      </c>
      <c r="AE1737" s="57"/>
      <c r="AF1737" s="50" t="n">
        <f aca="false">IF(LEFT(Cockpit!$C$5,1)="A",H1737,IF(CE1737=1,CF1737,IF(LEFT(Cockpit!$C$5,1)="B",AK1737,MAX(AK1737,H1737))))</f>
        <v>6</v>
      </c>
      <c r="AG1737" s="50" t="n">
        <f aca="false">IF(BW1737=1,0,ROUNDUP(AF1737/BV1737,0))</f>
        <v>1</v>
      </c>
      <c r="AH1737" s="52" t="n">
        <f aca="false">IF(CL1737&gt;0,CL1737*MAX(1,AF1737/X1737),IF(BW1737=1,IF(AF1737&lt;=0,0,CA1737*MAX(1,IF(H1737&gt;0,AF1737/H1737,1))),IF(R1737&gt;0,AG1737/R1737,0))/MAX(0.1,N(Parameter!$M$21)))</f>
        <v>0.00714285714285714</v>
      </c>
      <c r="AI1737" s="50" t="n">
        <f aca="false">AH1737*BY1737</f>
        <v>1.10714285714286</v>
      </c>
      <c r="AJ1737" s="50" t="n">
        <f aca="false">AF1737*G1737</f>
        <v>1800</v>
      </c>
      <c r="AK1737" s="50" t="n">
        <f aca="false">ROUNDUP(MAX(J1737/IF(CD1737&gt;0,CD1737,MAX(0.1,N(Cockpit!$C$6))),CG1737)/BV1737,0)*BV1737</f>
        <v>6</v>
      </c>
      <c r="AL1737" s="51" t="n">
        <f aca="false">IF(AI1737&gt;0,J1737/AI1737,-1)</f>
        <v>0</v>
      </c>
      <c r="AM1737" s="51" t="n">
        <f aca="false">IF(AND(OR(CC1737="L1",CC1737="L23",CC1737="LIFT"),AI1737&gt;0),SUMIFS($AI$7:$AI$1843,$CC$7:$CC$1843,CC1737,$AL$7:$AL$1843,"&gt;"&amp;AL1737)+SUMIFS($AI$7:$AI$1843,$CC$7:$CC$1843,CC1737,$AL$7:$AL$1843,AL1737,$BT$7:$BT$1843,"&lt;="&amp;BT1737),"")</f>
        <v>32854.2253316364</v>
      </c>
      <c r="AN1737" s="58" t="n">
        <f aca="false">IF(AM1737="",0,MAX(0,MIN(1,(IF(CC1737="L1",Parameter!$H$5,IF(CC1737="L23",Parameter!$H$6+Parameter!$H$7,Parameter!$H$5+Parameter!$H$6+Parameter!$H$7))-(AM1737-AI1737))/AI1737)))</f>
        <v>1</v>
      </c>
      <c r="AO1737" s="50" t="n">
        <f aca="false">IF(LEFT(Cockpit!$I$5,1)="A",H1737,IF(CE1737=1,CF1737,IF(LEFT(Cockpit!$I$5,1)="B",AT1737,MAX(AT1737,H1737))))</f>
        <v>6</v>
      </c>
      <c r="AP1737" s="50" t="n">
        <f aca="false">IF(BW1737=1,0,ROUNDUP(AO1737/BV1737,0))</f>
        <v>1</v>
      </c>
      <c r="AQ1737" s="52" t="n">
        <f aca="false">IF(CL1737&gt;0,CL1737*MAX(1,AO1737/X1737),IF(BW1737=1,IF(AO1737&lt;=0,0,CA1737*MAX(1,IF(H1737&gt;0,AO1737/H1737,1))),IF(R1737&gt;0,AP1737/R1737,0))/MAX(0.1,N(Parameter!$M$21)))</f>
        <v>0.00714285714285714</v>
      </c>
      <c r="AR1737" s="50" t="n">
        <f aca="false">AQ1737*BY1737</f>
        <v>1.10714285714286</v>
      </c>
      <c r="AS1737" s="50" t="n">
        <f aca="false">AO1737*G1737</f>
        <v>1800</v>
      </c>
      <c r="AT1737" s="50" t="n">
        <f aca="false">ROUNDUP(MAX(J1737/IF(CD1737&gt;0,CD1737,MAX(0.1,N(Cockpit!$I$6))),CG1737)/BV1737,0)*BV1737</f>
        <v>6</v>
      </c>
      <c r="AU1737" s="51" t="n">
        <f aca="false">IF(AR1737&gt;0,J1737/AR1737,-1)</f>
        <v>0</v>
      </c>
      <c r="AV1737" s="51" t="n">
        <f aca="false">IF(AND(OR(CC1737="L1",CC1737="L23",CC1737="LIFT"),AR1737&gt;0),SUMIFS($AR$7:$AR$1843,$CC$7:$CC$1843,CC1737,$AU$7:$AU$1843,"&gt;"&amp;AU1737)+SUMIFS($AR$7:$AR$1843,$CC$7:$CC$1843,CC1737,$AU$7:$AU$1843,AU1737,$BT$7:$BT$1843,"&lt;="&amp;BT1737),"")</f>
        <v>45538.3597892221</v>
      </c>
      <c r="AW1737" s="58" t="n">
        <f aca="false">IF(AV1737="",0,MAX(0,MIN(1,(IF(CC1737="L1",Parameter!$H$5,IF(CC1737="L23",Parameter!$H$6+Parameter!$H$7,Parameter!$H$5+Parameter!$H$6+Parameter!$H$7))-(AV1737-AR1737))/AR1737)))</f>
        <v>0</v>
      </c>
      <c r="AX1737" s="50" t="n">
        <f aca="false">IF(LEFT(Cockpit!$O$5,1)="A",H1737,IF(CE1737=1,CF1737,IF(LEFT(Cockpit!$O$5,1)="B",BC1737,MAX(BC1737,H1737))))</f>
        <v>6</v>
      </c>
      <c r="AY1737" s="50" t="n">
        <f aca="false">IF(BW1737=1,0,ROUNDUP(AX1737/BV1737,0))</f>
        <v>1</v>
      </c>
      <c r="AZ1737" s="52" t="n">
        <f aca="false">IF(CL1737&gt;0,CL1737*MAX(1,AX1737/X1737),IF(BW1737=1,IF(AX1737&lt;=0,0,CA1737*MAX(1,IF(H1737&gt;0,AX1737/H1737,1))),IF(R1737&gt;0,AY1737/R1737,0))/MAX(0.1,N(Parameter!$M$21)))</f>
        <v>0.00714285714285714</v>
      </c>
      <c r="BA1737" s="50" t="n">
        <f aca="false">AZ1737*BY1737</f>
        <v>1.10714285714286</v>
      </c>
      <c r="BB1737" s="50" t="n">
        <f aca="false">AX1737*G1737</f>
        <v>1800</v>
      </c>
      <c r="BC1737" s="50" t="n">
        <f aca="false">ROUNDUP(MAX(J1737/IF(CD1737&gt;0,CD1737,MAX(0.1,N(Cockpit!$O$6))),CG1737)/BV1737,0)*BV1737</f>
        <v>6</v>
      </c>
      <c r="BD1737" s="51" t="n">
        <f aca="false">IF(BA1737&gt;0,J1737/BA1737,-1)</f>
        <v>0</v>
      </c>
      <c r="BE1737" s="51" t="n">
        <f aca="false">IF(AND(OR(CC1737="L1",CC1737="L23",CC1737="LIFT"),BA1737&gt;0),SUMIFS($BA$7:$BA$1843,$CC$7:$CC$1843,CC1737,$BD$7:$BD$1843,"&gt;"&amp;BD1737)+SUMIFS($BA$7:$BA$1843,$CC$7:$CC$1843,CC1737,$BD$7:$BD$1843,BD1737,$BT$7:$BT$1843,"&lt;="&amp;BT1737),"")</f>
        <v>42213.3718310879</v>
      </c>
      <c r="BF1737" s="58" t="n">
        <f aca="false">IF(BE1737="",0,MAX(0,MIN(1,(IF(CC1737="L1",Parameter!$H$5,IF(CC1737="L23",Parameter!$H$6+Parameter!$H$7,Parameter!$H$5+Parameter!$H$6+Parameter!$H$7))-(BE1737-BA1737))/BA1737)))</f>
        <v>0</v>
      </c>
      <c r="BG1737" s="48" t="str">
        <f aca="false">IF(AI1737&lt;=0,"",IF(CC1737="Aussen","Aussenlager",IF(CC1737="-","Nicht im Lift",IF(AN1737&gt;=1,"Lift",IF(AN1737&lt;=0,"Aussenlager","teilweise")))))</f>
        <v>Lift</v>
      </c>
      <c r="BH1737" s="48" t="str">
        <f aca="false">IF(AR1737&lt;=0,"",IF(CC1737="Aussen","Aussenlager",IF(CC1737="-","Nicht im Lift",IF(AW1737&gt;=1,"Lift",IF(AW1737&lt;=0,"Aussenlager","teilweise")))))</f>
        <v>Aussenlager</v>
      </c>
      <c r="BI1737" s="48" t="str">
        <f aca="false">IF(BA1737&lt;=0,"",IF(CC1737="Aussen","Aussenlager",IF(CC1737="-","Nicht im Lift",IF(BF1737&gt;=1,"Lift",IF(BF1737&lt;=0,"Aussenlager","teilweise")))))</f>
        <v>Aussenlager</v>
      </c>
      <c r="BJ1737" s="48" t="str">
        <f aca="false">IF(A1737="","",IF(BS1737=1,"Neu; ","")&amp;IF(AND(BS1737=0,BN1737&lt;0),"negativer Bestand (Export "&amp;BN1737&amp;"); ","")&amp;IF(J1737&lt;=0,"Kein Verbrauch; ","")&amp;IF(CL1737&gt;0,"Lift "&amp;W1737&amp;" lt. Liftbericht (Fach "&amp;X1737&amp;" Stk); ",IF(BX1737=1,"Gebinde geschätzt ("&amp;T1737&amp;"); ",IF(BW1737=1,"Lose – Tablare geschätzt; ","")))&amp;IF(H1737&gt;AT1737,"Überbestand "&amp;ROUND(H1737-AT1737,0)&amp;" Stk / CHF "&amp;ROUND((H1737-AT1737)*G1737,0)&amp;"; ","")&amp;IF(AND(CE1737=1,CF1737&lt;CG1737),"MAX &lt; MB+LG; ","")&amp;IF(AND(CK1737&gt;0,CJ1737*10&gt;CK1737),"zu hoch für Tablar; ","")&amp;IF(AND(BS1737=0,OR(CE1737=1,AA1737&lt;&gt;"",U1737&lt;&gt;"",V1737&lt;&gt;"",AB1737&lt;&gt;"")),"manuell übersteuert; ","")&amp;IF(AND(BW1737=0,R1737=0),"Gebinde unbekannt / Stellmass fehlt; ","")&amp;IF(AND(BW1737=0,N(V1737)&lt;=0,N(Q1737)&lt;=0),"Menge pro Gebinde fehlt (Ist = 1 Gebinde); ","")&amp;BR1737)</f>
        <v>Kein Verbrauch; nur im Artikelstamm (Bestand 23.06.2026)</v>
      </c>
      <c r="BK1737" s="48"/>
      <c r="BL1737" s="48"/>
      <c r="BM1737" s="55"/>
      <c r="BN1737" s="50" t="n">
        <v>6</v>
      </c>
      <c r="BO1737" s="50" t="n">
        <v>0</v>
      </c>
      <c r="BP1737" s="49" t="n">
        <v>0</v>
      </c>
      <c r="BQ1737" s="50" t="n">
        <v>0</v>
      </c>
      <c r="BR1737" s="48" t="s">
        <v>2579</v>
      </c>
      <c r="BS1737" s="53" t="n">
        <v>0</v>
      </c>
      <c r="BT1737" s="53" t="n">
        <v>1737</v>
      </c>
      <c r="BU1737" s="48" t="str">
        <f aca="false">IF(U1737&lt;&gt;"",UPPER(TRIM(U1737)),IF(BX1737=1,UPPER(VLOOKUP(T1737,Parameter!$I$27:$K$29,2,0)),IF(P1737="","LOSE",P1737)))</f>
        <v>S22</v>
      </c>
      <c r="BV1737" s="50" t="n">
        <f aca="false">IF(BU1737="LOSE",1,IF(N(V1737)&gt;0,V1737,IF(BX1737=1,MAX(1,N(VLOOKUP(T1737,Parameter!$I$27:$K$29,3,0)),H1737,N(N1737)),IF(N(Q1737)&gt;0,Q1737,MAX(1,H1737)))))</f>
        <v>6</v>
      </c>
      <c r="BW1737" s="53" t="n">
        <f aca="false">IF(BU1737="LOSE",1,0)</f>
        <v>0</v>
      </c>
      <c r="BX1737" s="53" t="n">
        <f aca="false">IF(AND(U1737="",OR(P1737="",P1737="LOSE"),T1737&lt;&gt;"",N(S1737)&lt;=0,ISNUMBER(MATCH(T1737,Parameter!$I$27:$I$29,0))),1,0)</f>
        <v>0</v>
      </c>
      <c r="BY1737" s="53" t="n">
        <f aca="false">IF(CL1737&gt;0,INDEX(Parameter!$H$5:$H$7,W1737)/INDEX(Parameter!$E$5:$E$7,W1737),IF(AND(BW1737=0,N(IFERROR(VLOOKUP(BU1737,'Gebinde-Kategorie'!$A$5:$N$45,14,0),0))&gt;0),VLOOKUP(BU1737,'Gebinde-Kategorie'!$A$5:$N$45,14,0)*10+Parameter!$M$23,Parameter!$M$24))</f>
        <v>155</v>
      </c>
      <c r="BZ1737" s="48" t="str">
        <f aca="false">IF(AND(Parameter!$B$19="Ja",E1737&lt;&gt;"",ISNUMBER(MATCH(E1737,Parameter!$I$35:$I$52,0))),VLOOKUP(E1737,Parameter!$I$35:$J$52,2,0),IFERROR(VLOOKUP(D1737,Parameter!$A$35:$C$64,2,0),"Nein"))</f>
        <v>2+3</v>
      </c>
      <c r="CA1737" s="52" t="n">
        <f aca="false">IF(BW1737=0,0,IF(N(S1737)&gt;0,S1737,IFERROR(VLOOKUP(D1737,Parameter!$A$35:$C$64,3,0)+0,0)))</f>
        <v>0</v>
      </c>
      <c r="CB1737" s="48" t="n">
        <f aca="false">IF(AA1737&lt;&gt;"",AA1737,Z1737)</f>
        <v>3</v>
      </c>
      <c r="CC1737" s="48" t="str">
        <f aca="false">IF(OR(CB1737=1,CB1737=2,CB1737=3),IF(Parameter!$E$27="Ja","LIFT",IF(CB1737=1,"L1","L23")),IF(CB1737="Aussen","Aussen","-"))</f>
        <v>LIFT</v>
      </c>
      <c r="CD1737" s="59" t="n">
        <f aca="false">IF(N(AB1737)&gt;0,AB1737,0)</f>
        <v>0</v>
      </c>
      <c r="CE1737" s="53" t="n">
        <f aca="false">IF(ISNUMBER(AE1737),1,0)</f>
        <v>0</v>
      </c>
      <c r="CF1737" s="50" t="n">
        <f aca="false">N(AE1737)</f>
        <v>0</v>
      </c>
      <c r="CG1737" s="50" t="n">
        <f aca="false">N(M1737)+N(N1737)</f>
        <v>1</v>
      </c>
      <c r="CH1737" s="50" t="n">
        <f aca="false">ROUNDUP(H1737/BV1737,0)</f>
        <v>1</v>
      </c>
      <c r="CI1737" s="50" t="n">
        <f aca="false">ROUNDUP(CF1737/BV1737,0)</f>
        <v>0</v>
      </c>
      <c r="CJ1737" s="53" t="n">
        <f aca="false">IF(BW1737=1,0,IFERROR(VLOOKUP(BU1737,'Gebinde-Kategorie'!$A$5:$N$45,5,0)+0,0))</f>
        <v>8</v>
      </c>
      <c r="CK1737" s="53" t="n">
        <f aca="false">IFERROR(IF(OR(CB1737=1,CB1737=2,CB1737=3),N(INDEX(Parameter!$I$5:$I$7,CB1737)),0),0)</f>
        <v>0</v>
      </c>
      <c r="CL1737" s="52" t="n">
        <f aca="false">IF(AND(Parameter!$B$21="Ja",ISNUMBER(W1737),N(X1737)&gt;0),IFERROR(N(INDEX(Parameter!$L$5:$L$7,W1737))*INDEX(Parameter!$E$5:$E$7,W1737)*X1737/SUMIFS($X$7:$X$1843,$W$7:$W$1843,W1737),0),0)</f>
        <v>0</v>
      </c>
    </row>
    <row r="1738" customFormat="false" ht="15" hidden="false" customHeight="false" outlineLevel="0" collapsed="false">
      <c r="A1738" s="48" t="s">
        <v>3008</v>
      </c>
      <c r="B1738" s="48" t="s">
        <v>3009</v>
      </c>
      <c r="C1738" s="48" t="s">
        <v>168</v>
      </c>
      <c r="D1738" s="48" t="s">
        <v>188</v>
      </c>
      <c r="E1738" s="48"/>
      <c r="F1738" s="48"/>
      <c r="G1738" s="49" t="n">
        <v>7.05</v>
      </c>
      <c r="H1738" s="50" t="n">
        <f aca="false">MAX(0,IF(AND(Parameter!$B$21="Ja",ISNUMBER(Y1738)),Y1738,IF(Parameter!$B$20="Jahresanfang 2025 + Export",BO1738+BN1738,BN1738)))</f>
        <v>5</v>
      </c>
      <c r="I1738" s="50" t="n">
        <f aca="false">H1738*G1738</f>
        <v>35.25</v>
      </c>
      <c r="J1738" s="50" t="n">
        <f aca="false">BQ1738*Parameter!$B$18</f>
        <v>0</v>
      </c>
      <c r="K1738" s="51"/>
      <c r="L1738" s="52"/>
      <c r="M1738" s="50" t="n">
        <v>0</v>
      </c>
      <c r="N1738" s="50" t="n">
        <v>1</v>
      </c>
      <c r="O1738" s="53" t="n">
        <v>97</v>
      </c>
      <c r="P1738" s="48" t="s">
        <v>430</v>
      </c>
      <c r="Q1738" s="50" t="n">
        <v>5</v>
      </c>
      <c r="R1738" s="53" t="n">
        <f aca="false">IF(BW1738=1,0,IFERROR(VLOOKUP(BU1738,'Gebinde-Kategorie'!$A$5:$N$45,13,0)+0,0))</f>
        <v>140</v>
      </c>
      <c r="S1738" s="54"/>
      <c r="T1738" s="55"/>
      <c r="U1738" s="55"/>
      <c r="V1738" s="55"/>
      <c r="W1738" s="48"/>
      <c r="X1738" s="50"/>
      <c r="Y1738" s="50"/>
      <c r="Z1738" s="48" t="n">
        <f aca="false">IF(A1738="","",IF(AND(Parameter!$B$21="Ja",ISNUMBER(W1738)),W1738,IF(BZ1738="2+3",IF(ISNUMBER(SEARCH("grosser Artikel",BR1738)),2,IFERROR(VLOOKUP(BU1738,Parameter!$F$35:$G$64,2,0),2)),IF(OR(BZ1738="Nein",BZ1738=""),"-",BZ1738))))</f>
        <v>3</v>
      </c>
      <c r="AA1738" s="55"/>
      <c r="AB1738" s="56"/>
      <c r="AC1738" s="50" t="n">
        <f aca="false">AT1738</f>
        <v>5</v>
      </c>
      <c r="AD1738" s="50" t="n">
        <f aca="false">MAX(AT1738,H1738)</f>
        <v>5</v>
      </c>
      <c r="AE1738" s="57"/>
      <c r="AF1738" s="50" t="n">
        <f aca="false">IF(LEFT(Cockpit!$C$5,1)="A",H1738,IF(CE1738=1,CF1738,IF(LEFT(Cockpit!$C$5,1)="B",AK1738,MAX(AK1738,H1738))))</f>
        <v>5</v>
      </c>
      <c r="AG1738" s="50" t="n">
        <f aca="false">IF(BW1738=1,0,ROUNDUP(AF1738/BV1738,0))</f>
        <v>1</v>
      </c>
      <c r="AH1738" s="52" t="n">
        <f aca="false">IF(CL1738&gt;0,CL1738*MAX(1,AF1738/X1738),IF(BW1738=1,IF(AF1738&lt;=0,0,CA1738*MAX(1,IF(H1738&gt;0,AF1738/H1738,1))),IF(R1738&gt;0,AG1738/R1738,0))/MAX(0.1,N(Parameter!$M$21)))</f>
        <v>0.00714285714285714</v>
      </c>
      <c r="AI1738" s="50" t="n">
        <f aca="false">AH1738*BY1738</f>
        <v>1.10714285714286</v>
      </c>
      <c r="AJ1738" s="50" t="n">
        <f aca="false">AF1738*G1738</f>
        <v>35.25</v>
      </c>
      <c r="AK1738" s="50" t="n">
        <f aca="false">ROUNDUP(MAX(J1738/IF(CD1738&gt;0,CD1738,MAX(0.1,N(Cockpit!$C$6))),CG1738)/BV1738,0)*BV1738</f>
        <v>5</v>
      </c>
      <c r="AL1738" s="51" t="n">
        <f aca="false">IF(AI1738&gt;0,J1738/AI1738,-1)</f>
        <v>0</v>
      </c>
      <c r="AM1738" s="51" t="n">
        <f aca="false">IF(AND(OR(CC1738="L1",CC1738="L23",CC1738="LIFT"),AI1738&gt;0),SUMIFS($AI$7:$AI$1843,$CC$7:$CC$1843,CC1738,$AL$7:$AL$1843,"&gt;"&amp;AL1738)+SUMIFS($AI$7:$AI$1843,$CC$7:$CC$1843,CC1738,$AL$7:$AL$1843,AL1738,$BT$7:$BT$1843,"&lt;="&amp;BT1738),"")</f>
        <v>32855.3324744935</v>
      </c>
      <c r="AN1738" s="58" t="n">
        <f aca="false">IF(AM1738="",0,MAX(0,MIN(1,(IF(CC1738="L1",Parameter!$H$5,IF(CC1738="L23",Parameter!$H$6+Parameter!$H$7,Parameter!$H$5+Parameter!$H$6+Parameter!$H$7))-(AM1738-AI1738))/AI1738)))</f>
        <v>1</v>
      </c>
      <c r="AO1738" s="50" t="n">
        <f aca="false">IF(LEFT(Cockpit!$I$5,1)="A",H1738,IF(CE1738=1,CF1738,IF(LEFT(Cockpit!$I$5,1)="B",AT1738,MAX(AT1738,H1738))))</f>
        <v>5</v>
      </c>
      <c r="AP1738" s="50" t="n">
        <f aca="false">IF(BW1738=1,0,ROUNDUP(AO1738/BV1738,0))</f>
        <v>1</v>
      </c>
      <c r="AQ1738" s="52" t="n">
        <f aca="false">IF(CL1738&gt;0,CL1738*MAX(1,AO1738/X1738),IF(BW1738=1,IF(AO1738&lt;=0,0,CA1738*MAX(1,IF(H1738&gt;0,AO1738/H1738,1))),IF(R1738&gt;0,AP1738/R1738,0))/MAX(0.1,N(Parameter!$M$21)))</f>
        <v>0.00714285714285714</v>
      </c>
      <c r="AR1738" s="50" t="n">
        <f aca="false">AQ1738*BY1738</f>
        <v>1.10714285714286</v>
      </c>
      <c r="AS1738" s="50" t="n">
        <f aca="false">AO1738*G1738</f>
        <v>35.25</v>
      </c>
      <c r="AT1738" s="50" t="n">
        <f aca="false">ROUNDUP(MAX(J1738/IF(CD1738&gt;0,CD1738,MAX(0.1,N(Cockpit!$I$6))),CG1738)/BV1738,0)*BV1738</f>
        <v>5</v>
      </c>
      <c r="AU1738" s="51" t="n">
        <f aca="false">IF(AR1738&gt;0,J1738/AR1738,-1)</f>
        <v>0</v>
      </c>
      <c r="AV1738" s="51" t="n">
        <f aca="false">IF(AND(OR(CC1738="L1",CC1738="L23",CC1738="LIFT"),AR1738&gt;0),SUMIFS($AR$7:$AR$1843,$CC$7:$CC$1843,CC1738,$AU$7:$AU$1843,"&gt;"&amp;AU1738)+SUMIFS($AR$7:$AR$1843,$CC$7:$CC$1843,CC1738,$AU$7:$AU$1843,AU1738,$BT$7:$BT$1843,"&lt;="&amp;BT1738),"")</f>
        <v>45539.4669320792</v>
      </c>
      <c r="AW1738" s="58" t="n">
        <f aca="false">IF(AV1738="",0,MAX(0,MIN(1,(IF(CC1738="L1",Parameter!$H$5,IF(CC1738="L23",Parameter!$H$6+Parameter!$H$7,Parameter!$H$5+Parameter!$H$6+Parameter!$H$7))-(AV1738-AR1738))/AR1738)))</f>
        <v>0</v>
      </c>
      <c r="AX1738" s="50" t="n">
        <f aca="false">IF(LEFT(Cockpit!$O$5,1)="A",H1738,IF(CE1738=1,CF1738,IF(LEFT(Cockpit!$O$5,1)="B",BC1738,MAX(BC1738,H1738))))</f>
        <v>5</v>
      </c>
      <c r="AY1738" s="50" t="n">
        <f aca="false">IF(BW1738=1,0,ROUNDUP(AX1738/BV1738,0))</f>
        <v>1</v>
      </c>
      <c r="AZ1738" s="52" t="n">
        <f aca="false">IF(CL1738&gt;0,CL1738*MAX(1,AX1738/X1738),IF(BW1738=1,IF(AX1738&lt;=0,0,CA1738*MAX(1,IF(H1738&gt;0,AX1738/H1738,1))),IF(R1738&gt;0,AY1738/R1738,0))/MAX(0.1,N(Parameter!$M$21)))</f>
        <v>0.00714285714285714</v>
      </c>
      <c r="BA1738" s="50" t="n">
        <f aca="false">AZ1738*BY1738</f>
        <v>1.10714285714286</v>
      </c>
      <c r="BB1738" s="50" t="n">
        <f aca="false">AX1738*G1738</f>
        <v>35.25</v>
      </c>
      <c r="BC1738" s="50" t="n">
        <f aca="false">ROUNDUP(MAX(J1738/IF(CD1738&gt;0,CD1738,MAX(0.1,N(Cockpit!$O$6))),CG1738)/BV1738,0)*BV1738</f>
        <v>5</v>
      </c>
      <c r="BD1738" s="51" t="n">
        <f aca="false">IF(BA1738&gt;0,J1738/BA1738,-1)</f>
        <v>0</v>
      </c>
      <c r="BE1738" s="51" t="n">
        <f aca="false">IF(AND(OR(CC1738="L1",CC1738="L23",CC1738="LIFT"),BA1738&gt;0),SUMIFS($BA$7:$BA$1843,$CC$7:$CC$1843,CC1738,$BD$7:$BD$1843,"&gt;"&amp;BD1738)+SUMIFS($BA$7:$BA$1843,$CC$7:$CC$1843,CC1738,$BD$7:$BD$1843,BD1738,$BT$7:$BT$1843,"&lt;="&amp;BT1738),"")</f>
        <v>42214.4789739451</v>
      </c>
      <c r="BF1738" s="58" t="n">
        <f aca="false">IF(BE1738="",0,MAX(0,MIN(1,(IF(CC1738="L1",Parameter!$H$5,IF(CC1738="L23",Parameter!$H$6+Parameter!$H$7,Parameter!$H$5+Parameter!$H$6+Parameter!$H$7))-(BE1738-BA1738))/BA1738)))</f>
        <v>0</v>
      </c>
      <c r="BG1738" s="48" t="str">
        <f aca="false">IF(AI1738&lt;=0,"",IF(CC1738="Aussen","Aussenlager",IF(CC1738="-","Nicht im Lift",IF(AN1738&gt;=1,"Lift",IF(AN1738&lt;=0,"Aussenlager","teilweise")))))</f>
        <v>Lift</v>
      </c>
      <c r="BH1738" s="48" t="str">
        <f aca="false">IF(AR1738&lt;=0,"",IF(CC1738="Aussen","Aussenlager",IF(CC1738="-","Nicht im Lift",IF(AW1738&gt;=1,"Lift",IF(AW1738&lt;=0,"Aussenlager","teilweise")))))</f>
        <v>Aussenlager</v>
      </c>
      <c r="BI1738" s="48" t="str">
        <f aca="false">IF(BA1738&lt;=0,"",IF(CC1738="Aussen","Aussenlager",IF(CC1738="-","Nicht im Lift",IF(BF1738&gt;=1,"Lift",IF(BF1738&lt;=0,"Aussenlager","teilweise")))))</f>
        <v>Aussenlager</v>
      </c>
      <c r="BJ1738" s="48" t="str">
        <f aca="false">IF(A1738="","",IF(BS1738=1,"Neu; ","")&amp;IF(AND(BS1738=0,BN1738&lt;0),"negativer Bestand (Export "&amp;BN1738&amp;"); ","")&amp;IF(J1738&lt;=0,"Kein Verbrauch; ","")&amp;IF(CL1738&gt;0,"Lift "&amp;W1738&amp;" lt. Liftbericht (Fach "&amp;X1738&amp;" Stk); ",IF(BX1738=1,"Gebinde geschätzt ("&amp;T1738&amp;"); ",IF(BW1738=1,"Lose – Tablare geschätzt; ","")))&amp;IF(H1738&gt;AT1738,"Überbestand "&amp;ROUND(H1738-AT1738,0)&amp;" Stk / CHF "&amp;ROUND((H1738-AT1738)*G1738,0)&amp;"; ","")&amp;IF(AND(CE1738=1,CF1738&lt;CG1738),"MAX &lt; MB+LG; ","")&amp;IF(AND(CK1738&gt;0,CJ1738*10&gt;CK1738),"zu hoch für Tablar; ","")&amp;IF(AND(BS1738=0,OR(CE1738=1,AA1738&lt;&gt;"",U1738&lt;&gt;"",V1738&lt;&gt;"",AB1738&lt;&gt;"")),"manuell übersteuert; ","")&amp;IF(AND(BW1738=0,R1738=0),"Gebinde unbekannt / Stellmass fehlt; ","")&amp;IF(AND(BW1738=0,N(V1738)&lt;=0,N(Q1738)&lt;=0),"Menge pro Gebinde fehlt (Ist = 1 Gebinde); ","")&amp;BR1738)</f>
        <v>Kein Verbrauch; nur im Artikelstamm (Bestand 23.06.2026)</v>
      </c>
      <c r="BK1738" s="48"/>
      <c r="BL1738" s="48"/>
      <c r="BM1738" s="55"/>
      <c r="BN1738" s="50" t="n">
        <v>5</v>
      </c>
      <c r="BO1738" s="50" t="n">
        <v>0</v>
      </c>
      <c r="BP1738" s="49" t="n">
        <v>0</v>
      </c>
      <c r="BQ1738" s="50" t="n">
        <v>0</v>
      </c>
      <c r="BR1738" s="48" t="s">
        <v>2579</v>
      </c>
      <c r="BS1738" s="53" t="n">
        <v>0</v>
      </c>
      <c r="BT1738" s="53" t="n">
        <v>1738</v>
      </c>
      <c r="BU1738" s="48" t="str">
        <f aca="false">IF(U1738&lt;&gt;"",UPPER(TRIM(U1738)),IF(BX1738=1,UPPER(VLOOKUP(T1738,Parameter!$I$27:$K$29,2,0)),IF(P1738="","LOSE",P1738)))</f>
        <v>S22</v>
      </c>
      <c r="BV1738" s="50" t="n">
        <f aca="false">IF(BU1738="LOSE",1,IF(N(V1738)&gt;0,V1738,IF(BX1738=1,MAX(1,N(VLOOKUP(T1738,Parameter!$I$27:$K$29,3,0)),H1738,N(N1738)),IF(N(Q1738)&gt;0,Q1738,MAX(1,H1738)))))</f>
        <v>5</v>
      </c>
      <c r="BW1738" s="53" t="n">
        <f aca="false">IF(BU1738="LOSE",1,0)</f>
        <v>0</v>
      </c>
      <c r="BX1738" s="53" t="n">
        <f aca="false">IF(AND(U1738="",OR(P1738="",P1738="LOSE"),T1738&lt;&gt;"",N(S1738)&lt;=0,ISNUMBER(MATCH(T1738,Parameter!$I$27:$I$29,0))),1,0)</f>
        <v>0</v>
      </c>
      <c r="BY1738" s="53" t="n">
        <f aca="false">IF(CL1738&gt;0,INDEX(Parameter!$H$5:$H$7,W1738)/INDEX(Parameter!$E$5:$E$7,W1738),IF(AND(BW1738=0,N(IFERROR(VLOOKUP(BU1738,'Gebinde-Kategorie'!$A$5:$N$45,14,0),0))&gt;0),VLOOKUP(BU1738,'Gebinde-Kategorie'!$A$5:$N$45,14,0)*10+Parameter!$M$23,Parameter!$M$24))</f>
        <v>155</v>
      </c>
      <c r="BZ1738" s="48" t="str">
        <f aca="false">IF(AND(Parameter!$B$19="Ja",E1738&lt;&gt;"",ISNUMBER(MATCH(E1738,Parameter!$I$35:$I$52,0))),VLOOKUP(E1738,Parameter!$I$35:$J$52,2,0),IFERROR(VLOOKUP(D1738,Parameter!$A$35:$C$64,2,0),"Nein"))</f>
        <v>2+3</v>
      </c>
      <c r="CA1738" s="52" t="n">
        <f aca="false">IF(BW1738=0,0,IF(N(S1738)&gt;0,S1738,IFERROR(VLOOKUP(D1738,Parameter!$A$35:$C$64,3,0)+0,0)))</f>
        <v>0</v>
      </c>
      <c r="CB1738" s="48" t="n">
        <f aca="false">IF(AA1738&lt;&gt;"",AA1738,Z1738)</f>
        <v>3</v>
      </c>
      <c r="CC1738" s="48" t="str">
        <f aca="false">IF(OR(CB1738=1,CB1738=2,CB1738=3),IF(Parameter!$E$27="Ja","LIFT",IF(CB1738=1,"L1","L23")),IF(CB1738="Aussen","Aussen","-"))</f>
        <v>LIFT</v>
      </c>
      <c r="CD1738" s="59" t="n">
        <f aca="false">IF(N(AB1738)&gt;0,AB1738,0)</f>
        <v>0</v>
      </c>
      <c r="CE1738" s="53" t="n">
        <f aca="false">IF(ISNUMBER(AE1738),1,0)</f>
        <v>0</v>
      </c>
      <c r="CF1738" s="50" t="n">
        <f aca="false">N(AE1738)</f>
        <v>0</v>
      </c>
      <c r="CG1738" s="50" t="n">
        <f aca="false">N(M1738)+N(N1738)</f>
        <v>1</v>
      </c>
      <c r="CH1738" s="50" t="n">
        <f aca="false">ROUNDUP(H1738/BV1738,0)</f>
        <v>1</v>
      </c>
      <c r="CI1738" s="50" t="n">
        <f aca="false">ROUNDUP(CF1738/BV1738,0)</f>
        <v>0</v>
      </c>
      <c r="CJ1738" s="53" t="n">
        <f aca="false">IF(BW1738=1,0,IFERROR(VLOOKUP(BU1738,'Gebinde-Kategorie'!$A$5:$N$45,5,0)+0,0))</f>
        <v>8</v>
      </c>
      <c r="CK1738" s="53" t="n">
        <f aca="false">IFERROR(IF(OR(CB1738=1,CB1738=2,CB1738=3),N(INDEX(Parameter!$I$5:$I$7,CB1738)),0),0)</f>
        <v>0</v>
      </c>
      <c r="CL1738" s="52" t="n">
        <f aca="false">IF(AND(Parameter!$B$21="Ja",ISNUMBER(W1738),N(X1738)&gt;0),IFERROR(N(INDEX(Parameter!$L$5:$L$7,W1738))*INDEX(Parameter!$E$5:$E$7,W1738)*X1738/SUMIFS($X$7:$X$1843,$W$7:$W$1843,W1738),0),0)</f>
        <v>0</v>
      </c>
    </row>
    <row r="1739" customFormat="false" ht="15" hidden="false" customHeight="false" outlineLevel="0" collapsed="false">
      <c r="A1739" s="48" t="s">
        <v>3010</v>
      </c>
      <c r="B1739" s="48" t="s">
        <v>3011</v>
      </c>
      <c r="C1739" s="48" t="s">
        <v>168</v>
      </c>
      <c r="D1739" s="48" t="s">
        <v>188</v>
      </c>
      <c r="E1739" s="48"/>
      <c r="F1739" s="48"/>
      <c r="G1739" s="49" t="n">
        <v>14.1</v>
      </c>
      <c r="H1739" s="50" t="n">
        <f aca="false">MAX(0,IF(AND(Parameter!$B$21="Ja",ISNUMBER(Y1739)),Y1739,IF(Parameter!$B$20="Jahresanfang 2025 + Export",BO1739+BN1739,BN1739)))</f>
        <v>5</v>
      </c>
      <c r="I1739" s="50" t="n">
        <f aca="false">H1739*G1739</f>
        <v>70.5</v>
      </c>
      <c r="J1739" s="50" t="n">
        <f aca="false">BQ1739*Parameter!$B$18</f>
        <v>0</v>
      </c>
      <c r="K1739" s="51"/>
      <c r="L1739" s="52"/>
      <c r="M1739" s="50" t="n">
        <v>0</v>
      </c>
      <c r="N1739" s="50" t="n">
        <v>1</v>
      </c>
      <c r="O1739" s="53" t="n">
        <v>97</v>
      </c>
      <c r="P1739" s="48" t="s">
        <v>430</v>
      </c>
      <c r="Q1739" s="50" t="n">
        <v>5</v>
      </c>
      <c r="R1739" s="53" t="n">
        <f aca="false">IF(BW1739=1,0,IFERROR(VLOOKUP(BU1739,'Gebinde-Kategorie'!$A$5:$N$45,13,0)+0,0))</f>
        <v>140</v>
      </c>
      <c r="S1739" s="54"/>
      <c r="T1739" s="55"/>
      <c r="U1739" s="55"/>
      <c r="V1739" s="55"/>
      <c r="W1739" s="48"/>
      <c r="X1739" s="50"/>
      <c r="Y1739" s="50"/>
      <c r="Z1739" s="48" t="n">
        <f aca="false">IF(A1739="","",IF(AND(Parameter!$B$21="Ja",ISNUMBER(W1739)),W1739,IF(BZ1739="2+3",IF(ISNUMBER(SEARCH("grosser Artikel",BR1739)),2,IFERROR(VLOOKUP(BU1739,Parameter!$F$35:$G$64,2,0),2)),IF(OR(BZ1739="Nein",BZ1739=""),"-",BZ1739))))</f>
        <v>3</v>
      </c>
      <c r="AA1739" s="55"/>
      <c r="AB1739" s="56"/>
      <c r="AC1739" s="50" t="n">
        <f aca="false">AT1739</f>
        <v>5</v>
      </c>
      <c r="AD1739" s="50" t="n">
        <f aca="false">MAX(AT1739,H1739)</f>
        <v>5</v>
      </c>
      <c r="AE1739" s="57"/>
      <c r="AF1739" s="50" t="n">
        <f aca="false">IF(LEFT(Cockpit!$C$5,1)="A",H1739,IF(CE1739=1,CF1739,IF(LEFT(Cockpit!$C$5,1)="B",AK1739,MAX(AK1739,H1739))))</f>
        <v>5</v>
      </c>
      <c r="AG1739" s="50" t="n">
        <f aca="false">IF(BW1739=1,0,ROUNDUP(AF1739/BV1739,0))</f>
        <v>1</v>
      </c>
      <c r="AH1739" s="52" t="n">
        <f aca="false">IF(CL1739&gt;0,CL1739*MAX(1,AF1739/X1739),IF(BW1739=1,IF(AF1739&lt;=0,0,CA1739*MAX(1,IF(H1739&gt;0,AF1739/H1739,1))),IF(R1739&gt;0,AG1739/R1739,0))/MAX(0.1,N(Parameter!$M$21)))</f>
        <v>0.00714285714285714</v>
      </c>
      <c r="AI1739" s="50" t="n">
        <f aca="false">AH1739*BY1739</f>
        <v>1.10714285714286</v>
      </c>
      <c r="AJ1739" s="50" t="n">
        <f aca="false">AF1739*G1739</f>
        <v>70.5</v>
      </c>
      <c r="AK1739" s="50" t="n">
        <f aca="false">ROUNDUP(MAX(J1739/IF(CD1739&gt;0,CD1739,MAX(0.1,N(Cockpit!$C$6))),CG1739)/BV1739,0)*BV1739</f>
        <v>5</v>
      </c>
      <c r="AL1739" s="51" t="n">
        <f aca="false">IF(AI1739&gt;0,J1739/AI1739,-1)</f>
        <v>0</v>
      </c>
      <c r="AM1739" s="51" t="n">
        <f aca="false">IF(AND(OR(CC1739="L1",CC1739="L23",CC1739="LIFT"),AI1739&gt;0),SUMIFS($AI$7:$AI$1843,$CC$7:$CC$1843,CC1739,$AL$7:$AL$1843,"&gt;"&amp;AL1739)+SUMIFS($AI$7:$AI$1843,$CC$7:$CC$1843,CC1739,$AL$7:$AL$1843,AL1739,$BT$7:$BT$1843,"&lt;="&amp;BT1739),"")</f>
        <v>32856.4396173506</v>
      </c>
      <c r="AN1739" s="58" t="n">
        <f aca="false">IF(AM1739="",0,MAX(0,MIN(1,(IF(CC1739="L1",Parameter!$H$5,IF(CC1739="L23",Parameter!$H$6+Parameter!$H$7,Parameter!$H$5+Parameter!$H$6+Parameter!$H$7))-(AM1739-AI1739))/AI1739)))</f>
        <v>1</v>
      </c>
      <c r="AO1739" s="50" t="n">
        <f aca="false">IF(LEFT(Cockpit!$I$5,1)="A",H1739,IF(CE1739=1,CF1739,IF(LEFT(Cockpit!$I$5,1)="B",AT1739,MAX(AT1739,H1739))))</f>
        <v>5</v>
      </c>
      <c r="AP1739" s="50" t="n">
        <f aca="false">IF(BW1739=1,0,ROUNDUP(AO1739/BV1739,0))</f>
        <v>1</v>
      </c>
      <c r="AQ1739" s="52" t="n">
        <f aca="false">IF(CL1739&gt;0,CL1739*MAX(1,AO1739/X1739),IF(BW1739=1,IF(AO1739&lt;=0,0,CA1739*MAX(1,IF(H1739&gt;0,AO1739/H1739,1))),IF(R1739&gt;0,AP1739/R1739,0))/MAX(0.1,N(Parameter!$M$21)))</f>
        <v>0.00714285714285714</v>
      </c>
      <c r="AR1739" s="50" t="n">
        <f aca="false">AQ1739*BY1739</f>
        <v>1.10714285714286</v>
      </c>
      <c r="AS1739" s="50" t="n">
        <f aca="false">AO1739*G1739</f>
        <v>70.5</v>
      </c>
      <c r="AT1739" s="50" t="n">
        <f aca="false">ROUNDUP(MAX(J1739/IF(CD1739&gt;0,CD1739,MAX(0.1,N(Cockpit!$I$6))),CG1739)/BV1739,0)*BV1739</f>
        <v>5</v>
      </c>
      <c r="AU1739" s="51" t="n">
        <f aca="false">IF(AR1739&gt;0,J1739/AR1739,-1)</f>
        <v>0</v>
      </c>
      <c r="AV1739" s="51" t="n">
        <f aca="false">IF(AND(OR(CC1739="L1",CC1739="L23",CC1739="LIFT"),AR1739&gt;0),SUMIFS($AR$7:$AR$1843,$CC$7:$CC$1843,CC1739,$AU$7:$AU$1843,"&gt;"&amp;AU1739)+SUMIFS($AR$7:$AR$1843,$CC$7:$CC$1843,CC1739,$AU$7:$AU$1843,AU1739,$BT$7:$BT$1843,"&lt;="&amp;BT1739),"")</f>
        <v>45540.5740749364</v>
      </c>
      <c r="AW1739" s="58" t="n">
        <f aca="false">IF(AV1739="",0,MAX(0,MIN(1,(IF(CC1739="L1",Parameter!$H$5,IF(CC1739="L23",Parameter!$H$6+Parameter!$H$7,Parameter!$H$5+Parameter!$H$6+Parameter!$H$7))-(AV1739-AR1739))/AR1739)))</f>
        <v>0</v>
      </c>
      <c r="AX1739" s="50" t="n">
        <f aca="false">IF(LEFT(Cockpit!$O$5,1)="A",H1739,IF(CE1739=1,CF1739,IF(LEFT(Cockpit!$O$5,1)="B",BC1739,MAX(BC1739,H1739))))</f>
        <v>5</v>
      </c>
      <c r="AY1739" s="50" t="n">
        <f aca="false">IF(BW1739=1,0,ROUNDUP(AX1739/BV1739,0))</f>
        <v>1</v>
      </c>
      <c r="AZ1739" s="52" t="n">
        <f aca="false">IF(CL1739&gt;0,CL1739*MAX(1,AX1739/X1739),IF(BW1739=1,IF(AX1739&lt;=0,0,CA1739*MAX(1,IF(H1739&gt;0,AX1739/H1739,1))),IF(R1739&gt;0,AY1739/R1739,0))/MAX(0.1,N(Parameter!$M$21)))</f>
        <v>0.00714285714285714</v>
      </c>
      <c r="BA1739" s="50" t="n">
        <f aca="false">AZ1739*BY1739</f>
        <v>1.10714285714286</v>
      </c>
      <c r="BB1739" s="50" t="n">
        <f aca="false">AX1739*G1739</f>
        <v>70.5</v>
      </c>
      <c r="BC1739" s="50" t="n">
        <f aca="false">ROUNDUP(MAX(J1739/IF(CD1739&gt;0,CD1739,MAX(0.1,N(Cockpit!$O$6))),CG1739)/BV1739,0)*BV1739</f>
        <v>5</v>
      </c>
      <c r="BD1739" s="51" t="n">
        <f aca="false">IF(BA1739&gt;0,J1739/BA1739,-1)</f>
        <v>0</v>
      </c>
      <c r="BE1739" s="51" t="n">
        <f aca="false">IF(AND(OR(CC1739="L1",CC1739="L23",CC1739="LIFT"),BA1739&gt;0),SUMIFS($BA$7:$BA$1843,$CC$7:$CC$1843,CC1739,$BD$7:$BD$1843,"&gt;"&amp;BD1739)+SUMIFS($BA$7:$BA$1843,$CC$7:$CC$1843,CC1739,$BD$7:$BD$1843,BD1739,$BT$7:$BT$1843,"&lt;="&amp;BT1739),"")</f>
        <v>42215.5861168022</v>
      </c>
      <c r="BF1739" s="58" t="n">
        <f aca="false">IF(BE1739="",0,MAX(0,MIN(1,(IF(CC1739="L1",Parameter!$H$5,IF(CC1739="L23",Parameter!$H$6+Parameter!$H$7,Parameter!$H$5+Parameter!$H$6+Parameter!$H$7))-(BE1739-BA1739))/BA1739)))</f>
        <v>0</v>
      </c>
      <c r="BG1739" s="48" t="str">
        <f aca="false">IF(AI1739&lt;=0,"",IF(CC1739="Aussen","Aussenlager",IF(CC1739="-","Nicht im Lift",IF(AN1739&gt;=1,"Lift",IF(AN1739&lt;=0,"Aussenlager","teilweise")))))</f>
        <v>Lift</v>
      </c>
      <c r="BH1739" s="48" t="str">
        <f aca="false">IF(AR1739&lt;=0,"",IF(CC1739="Aussen","Aussenlager",IF(CC1739="-","Nicht im Lift",IF(AW1739&gt;=1,"Lift",IF(AW1739&lt;=0,"Aussenlager","teilweise")))))</f>
        <v>Aussenlager</v>
      </c>
      <c r="BI1739" s="48" t="str">
        <f aca="false">IF(BA1739&lt;=0,"",IF(CC1739="Aussen","Aussenlager",IF(CC1739="-","Nicht im Lift",IF(BF1739&gt;=1,"Lift",IF(BF1739&lt;=0,"Aussenlager","teilweise")))))</f>
        <v>Aussenlager</v>
      </c>
      <c r="BJ1739" s="48" t="str">
        <f aca="false">IF(A1739="","",IF(BS1739=1,"Neu; ","")&amp;IF(AND(BS1739=0,BN1739&lt;0),"negativer Bestand (Export "&amp;BN1739&amp;"); ","")&amp;IF(J1739&lt;=0,"Kein Verbrauch; ","")&amp;IF(CL1739&gt;0,"Lift "&amp;W1739&amp;" lt. Liftbericht (Fach "&amp;X1739&amp;" Stk); ",IF(BX1739=1,"Gebinde geschätzt ("&amp;T1739&amp;"); ",IF(BW1739=1,"Lose – Tablare geschätzt; ","")))&amp;IF(H1739&gt;AT1739,"Überbestand "&amp;ROUND(H1739-AT1739,0)&amp;" Stk / CHF "&amp;ROUND((H1739-AT1739)*G1739,0)&amp;"; ","")&amp;IF(AND(CE1739=1,CF1739&lt;CG1739),"MAX &lt; MB+LG; ","")&amp;IF(AND(CK1739&gt;0,CJ1739*10&gt;CK1739),"zu hoch für Tablar; ","")&amp;IF(AND(BS1739=0,OR(CE1739=1,AA1739&lt;&gt;"",U1739&lt;&gt;"",V1739&lt;&gt;"",AB1739&lt;&gt;"")),"manuell übersteuert; ","")&amp;IF(AND(BW1739=0,R1739=0),"Gebinde unbekannt / Stellmass fehlt; ","")&amp;IF(AND(BW1739=0,N(V1739)&lt;=0,N(Q1739)&lt;=0),"Menge pro Gebinde fehlt (Ist = 1 Gebinde); ","")&amp;BR1739)</f>
        <v>Kein Verbrauch; nur im Artikelstamm (Bestand 23.06.2026)</v>
      </c>
      <c r="BK1739" s="48"/>
      <c r="BL1739" s="48"/>
      <c r="BM1739" s="55"/>
      <c r="BN1739" s="50" t="n">
        <v>5</v>
      </c>
      <c r="BO1739" s="50" t="n">
        <v>0</v>
      </c>
      <c r="BP1739" s="49" t="n">
        <v>0</v>
      </c>
      <c r="BQ1739" s="50" t="n">
        <v>0</v>
      </c>
      <c r="BR1739" s="48" t="s">
        <v>2579</v>
      </c>
      <c r="BS1739" s="53" t="n">
        <v>0</v>
      </c>
      <c r="BT1739" s="53" t="n">
        <v>1739</v>
      </c>
      <c r="BU1739" s="48" t="str">
        <f aca="false">IF(U1739&lt;&gt;"",UPPER(TRIM(U1739)),IF(BX1739=1,UPPER(VLOOKUP(T1739,Parameter!$I$27:$K$29,2,0)),IF(P1739="","LOSE",P1739)))</f>
        <v>S22</v>
      </c>
      <c r="BV1739" s="50" t="n">
        <f aca="false">IF(BU1739="LOSE",1,IF(N(V1739)&gt;0,V1739,IF(BX1739=1,MAX(1,N(VLOOKUP(T1739,Parameter!$I$27:$K$29,3,0)),H1739,N(N1739)),IF(N(Q1739)&gt;0,Q1739,MAX(1,H1739)))))</f>
        <v>5</v>
      </c>
      <c r="BW1739" s="53" t="n">
        <f aca="false">IF(BU1739="LOSE",1,0)</f>
        <v>0</v>
      </c>
      <c r="BX1739" s="53" t="n">
        <f aca="false">IF(AND(U1739="",OR(P1739="",P1739="LOSE"),T1739&lt;&gt;"",N(S1739)&lt;=0,ISNUMBER(MATCH(T1739,Parameter!$I$27:$I$29,0))),1,0)</f>
        <v>0</v>
      </c>
      <c r="BY1739" s="53" t="n">
        <f aca="false">IF(CL1739&gt;0,INDEX(Parameter!$H$5:$H$7,W1739)/INDEX(Parameter!$E$5:$E$7,W1739),IF(AND(BW1739=0,N(IFERROR(VLOOKUP(BU1739,'Gebinde-Kategorie'!$A$5:$N$45,14,0),0))&gt;0),VLOOKUP(BU1739,'Gebinde-Kategorie'!$A$5:$N$45,14,0)*10+Parameter!$M$23,Parameter!$M$24))</f>
        <v>155</v>
      </c>
      <c r="BZ1739" s="48" t="str">
        <f aca="false">IF(AND(Parameter!$B$19="Ja",E1739&lt;&gt;"",ISNUMBER(MATCH(E1739,Parameter!$I$35:$I$52,0))),VLOOKUP(E1739,Parameter!$I$35:$J$52,2,0),IFERROR(VLOOKUP(D1739,Parameter!$A$35:$C$64,2,0),"Nein"))</f>
        <v>2+3</v>
      </c>
      <c r="CA1739" s="52" t="n">
        <f aca="false">IF(BW1739=0,0,IF(N(S1739)&gt;0,S1739,IFERROR(VLOOKUP(D1739,Parameter!$A$35:$C$64,3,0)+0,0)))</f>
        <v>0</v>
      </c>
      <c r="CB1739" s="48" t="n">
        <f aca="false">IF(AA1739&lt;&gt;"",AA1739,Z1739)</f>
        <v>3</v>
      </c>
      <c r="CC1739" s="48" t="str">
        <f aca="false">IF(OR(CB1739=1,CB1739=2,CB1739=3),IF(Parameter!$E$27="Ja","LIFT",IF(CB1739=1,"L1","L23")),IF(CB1739="Aussen","Aussen","-"))</f>
        <v>LIFT</v>
      </c>
      <c r="CD1739" s="59" t="n">
        <f aca="false">IF(N(AB1739)&gt;0,AB1739,0)</f>
        <v>0</v>
      </c>
      <c r="CE1739" s="53" t="n">
        <f aca="false">IF(ISNUMBER(AE1739),1,0)</f>
        <v>0</v>
      </c>
      <c r="CF1739" s="50" t="n">
        <f aca="false">N(AE1739)</f>
        <v>0</v>
      </c>
      <c r="CG1739" s="50" t="n">
        <f aca="false">N(M1739)+N(N1739)</f>
        <v>1</v>
      </c>
      <c r="CH1739" s="50" t="n">
        <f aca="false">ROUNDUP(H1739/BV1739,0)</f>
        <v>1</v>
      </c>
      <c r="CI1739" s="50" t="n">
        <f aca="false">ROUNDUP(CF1739/BV1739,0)</f>
        <v>0</v>
      </c>
      <c r="CJ1739" s="53" t="n">
        <f aca="false">IF(BW1739=1,0,IFERROR(VLOOKUP(BU1739,'Gebinde-Kategorie'!$A$5:$N$45,5,0)+0,0))</f>
        <v>8</v>
      </c>
      <c r="CK1739" s="53" t="n">
        <f aca="false">IFERROR(IF(OR(CB1739=1,CB1739=2,CB1739=3),N(INDEX(Parameter!$I$5:$I$7,CB1739)),0),0)</f>
        <v>0</v>
      </c>
      <c r="CL1739" s="52" t="n">
        <f aca="false">IF(AND(Parameter!$B$21="Ja",ISNUMBER(W1739),N(X1739)&gt;0),IFERROR(N(INDEX(Parameter!$L$5:$L$7,W1739))*INDEX(Parameter!$E$5:$E$7,W1739)*X1739/SUMIFS($X$7:$X$1843,$W$7:$W$1843,W1739),0),0)</f>
        <v>0</v>
      </c>
    </row>
    <row r="1740" customFormat="false" ht="15" hidden="false" customHeight="false" outlineLevel="0" collapsed="false">
      <c r="A1740" s="48" t="s">
        <v>3012</v>
      </c>
      <c r="B1740" s="48" t="s">
        <v>2972</v>
      </c>
      <c r="C1740" s="48" t="s">
        <v>168</v>
      </c>
      <c r="D1740" s="48" t="s">
        <v>188</v>
      </c>
      <c r="E1740" s="48"/>
      <c r="F1740" s="48"/>
      <c r="G1740" s="49" t="n">
        <v>21.2</v>
      </c>
      <c r="H1740" s="50" t="n">
        <f aca="false">MAX(0,IF(AND(Parameter!$B$21="Ja",ISNUMBER(Y1740)),Y1740,IF(Parameter!$B$20="Jahresanfang 2025 + Export",BO1740+BN1740,BN1740)))</f>
        <v>10</v>
      </c>
      <c r="I1740" s="50" t="n">
        <f aca="false">H1740*G1740</f>
        <v>212</v>
      </c>
      <c r="J1740" s="50" t="n">
        <f aca="false">BQ1740*Parameter!$B$18</f>
        <v>0</v>
      </c>
      <c r="K1740" s="51"/>
      <c r="L1740" s="52"/>
      <c r="M1740" s="50" t="n">
        <v>0</v>
      </c>
      <c r="N1740" s="50" t="n">
        <v>2</v>
      </c>
      <c r="O1740" s="53" t="n">
        <v>21</v>
      </c>
      <c r="P1740" s="48" t="s">
        <v>405</v>
      </c>
      <c r="Q1740" s="50" t="n">
        <v>5</v>
      </c>
      <c r="R1740" s="53" t="n">
        <f aca="false">IF(BW1740=1,0,IFERROR(VLOOKUP(BU1740,'Gebinde-Kategorie'!$A$5:$N$45,13,0)+0,0))</f>
        <v>280</v>
      </c>
      <c r="S1740" s="54"/>
      <c r="T1740" s="55"/>
      <c r="U1740" s="55"/>
      <c r="V1740" s="55"/>
      <c r="W1740" s="48"/>
      <c r="X1740" s="50"/>
      <c r="Y1740" s="50"/>
      <c r="Z1740" s="48" t="n">
        <f aca="false">IF(A1740="","",IF(AND(Parameter!$B$21="Ja",ISNUMBER(W1740)),W1740,IF(BZ1740="2+3",IF(ISNUMBER(SEARCH("grosser Artikel",BR1740)),2,IFERROR(VLOOKUP(BU1740,Parameter!$F$35:$G$64,2,0),2)),IF(OR(BZ1740="Nein",BZ1740=""),"-",BZ1740))))</f>
        <v>3</v>
      </c>
      <c r="AA1740" s="55"/>
      <c r="AB1740" s="56"/>
      <c r="AC1740" s="50" t="n">
        <f aca="false">AT1740</f>
        <v>5</v>
      </c>
      <c r="AD1740" s="50" t="n">
        <f aca="false">MAX(AT1740,H1740)</f>
        <v>10</v>
      </c>
      <c r="AE1740" s="57"/>
      <c r="AF1740" s="50" t="n">
        <f aca="false">IF(LEFT(Cockpit!$C$5,1)="A",H1740,IF(CE1740=1,CF1740,IF(LEFT(Cockpit!$C$5,1)="B",AK1740,MAX(AK1740,H1740))))</f>
        <v>10</v>
      </c>
      <c r="AG1740" s="50" t="n">
        <f aca="false">IF(BW1740=1,0,ROUNDUP(AF1740/BV1740,0))</f>
        <v>2</v>
      </c>
      <c r="AH1740" s="52" t="n">
        <f aca="false">IF(CL1740&gt;0,CL1740*MAX(1,AF1740/X1740),IF(BW1740=1,IF(AF1740&lt;=0,0,CA1740*MAX(1,IF(H1740&gt;0,AF1740/H1740,1))),IF(R1740&gt;0,AG1740/R1740,0))/MAX(0.1,N(Parameter!$M$21)))</f>
        <v>0.00714285714285714</v>
      </c>
      <c r="AI1740" s="50" t="n">
        <f aca="false">AH1740*BY1740</f>
        <v>1.10714285714286</v>
      </c>
      <c r="AJ1740" s="50" t="n">
        <f aca="false">AF1740*G1740</f>
        <v>212</v>
      </c>
      <c r="AK1740" s="50" t="n">
        <f aca="false">ROUNDUP(MAX(J1740/IF(CD1740&gt;0,CD1740,MAX(0.1,N(Cockpit!$C$6))),CG1740)/BV1740,0)*BV1740</f>
        <v>5</v>
      </c>
      <c r="AL1740" s="51" t="n">
        <f aca="false">IF(AI1740&gt;0,J1740/AI1740,-1)</f>
        <v>0</v>
      </c>
      <c r="AM1740" s="51" t="n">
        <f aca="false">IF(AND(OR(CC1740="L1",CC1740="L23",CC1740="LIFT"),AI1740&gt;0),SUMIFS($AI$7:$AI$1843,$CC$7:$CC$1843,CC1740,$AL$7:$AL$1843,"&gt;"&amp;AL1740)+SUMIFS($AI$7:$AI$1843,$CC$7:$CC$1843,CC1740,$AL$7:$AL$1843,AL1740,$BT$7:$BT$1843,"&lt;="&amp;BT1740),"")</f>
        <v>32857.5467602078</v>
      </c>
      <c r="AN1740" s="58" t="n">
        <f aca="false">IF(AM1740="",0,MAX(0,MIN(1,(IF(CC1740="L1",Parameter!$H$5,IF(CC1740="L23",Parameter!$H$6+Parameter!$H$7,Parameter!$H$5+Parameter!$H$6+Parameter!$H$7))-(AM1740-AI1740))/AI1740)))</f>
        <v>1</v>
      </c>
      <c r="AO1740" s="50" t="n">
        <f aca="false">IF(LEFT(Cockpit!$I$5,1)="A",H1740,IF(CE1740=1,CF1740,IF(LEFT(Cockpit!$I$5,1)="B",AT1740,MAX(AT1740,H1740))))</f>
        <v>10</v>
      </c>
      <c r="AP1740" s="50" t="n">
        <f aca="false">IF(BW1740=1,0,ROUNDUP(AO1740/BV1740,0))</f>
        <v>2</v>
      </c>
      <c r="AQ1740" s="52" t="n">
        <f aca="false">IF(CL1740&gt;0,CL1740*MAX(1,AO1740/X1740),IF(BW1740=1,IF(AO1740&lt;=0,0,CA1740*MAX(1,IF(H1740&gt;0,AO1740/H1740,1))),IF(R1740&gt;0,AP1740/R1740,0))/MAX(0.1,N(Parameter!$M$21)))</f>
        <v>0.00714285714285714</v>
      </c>
      <c r="AR1740" s="50" t="n">
        <f aca="false">AQ1740*BY1740</f>
        <v>1.10714285714286</v>
      </c>
      <c r="AS1740" s="50" t="n">
        <f aca="false">AO1740*G1740</f>
        <v>212</v>
      </c>
      <c r="AT1740" s="50" t="n">
        <f aca="false">ROUNDUP(MAX(J1740/IF(CD1740&gt;0,CD1740,MAX(0.1,N(Cockpit!$I$6))),CG1740)/BV1740,0)*BV1740</f>
        <v>5</v>
      </c>
      <c r="AU1740" s="51" t="n">
        <f aca="false">IF(AR1740&gt;0,J1740/AR1740,-1)</f>
        <v>0</v>
      </c>
      <c r="AV1740" s="51" t="n">
        <f aca="false">IF(AND(OR(CC1740="L1",CC1740="L23",CC1740="LIFT"),AR1740&gt;0),SUMIFS($AR$7:$AR$1843,$CC$7:$CC$1843,CC1740,$AU$7:$AU$1843,"&gt;"&amp;AU1740)+SUMIFS($AR$7:$AR$1843,$CC$7:$CC$1843,CC1740,$AU$7:$AU$1843,AU1740,$BT$7:$BT$1843,"&lt;="&amp;BT1740),"")</f>
        <v>45541.6812177935</v>
      </c>
      <c r="AW1740" s="58" t="n">
        <f aca="false">IF(AV1740="",0,MAX(0,MIN(1,(IF(CC1740="L1",Parameter!$H$5,IF(CC1740="L23",Parameter!$H$6+Parameter!$H$7,Parameter!$H$5+Parameter!$H$6+Parameter!$H$7))-(AV1740-AR1740))/AR1740)))</f>
        <v>0</v>
      </c>
      <c r="AX1740" s="50" t="n">
        <f aca="false">IF(LEFT(Cockpit!$O$5,1)="A",H1740,IF(CE1740=1,CF1740,IF(LEFT(Cockpit!$O$5,1)="B",BC1740,MAX(BC1740,H1740))))</f>
        <v>10</v>
      </c>
      <c r="AY1740" s="50" t="n">
        <f aca="false">IF(BW1740=1,0,ROUNDUP(AX1740/BV1740,0))</f>
        <v>2</v>
      </c>
      <c r="AZ1740" s="52" t="n">
        <f aca="false">IF(CL1740&gt;0,CL1740*MAX(1,AX1740/X1740),IF(BW1740=1,IF(AX1740&lt;=0,0,CA1740*MAX(1,IF(H1740&gt;0,AX1740/H1740,1))),IF(R1740&gt;0,AY1740/R1740,0))/MAX(0.1,N(Parameter!$M$21)))</f>
        <v>0.00714285714285714</v>
      </c>
      <c r="BA1740" s="50" t="n">
        <f aca="false">AZ1740*BY1740</f>
        <v>1.10714285714286</v>
      </c>
      <c r="BB1740" s="50" t="n">
        <f aca="false">AX1740*G1740</f>
        <v>212</v>
      </c>
      <c r="BC1740" s="50" t="n">
        <f aca="false">ROUNDUP(MAX(J1740/IF(CD1740&gt;0,CD1740,MAX(0.1,N(Cockpit!$O$6))),CG1740)/BV1740,0)*BV1740</f>
        <v>5</v>
      </c>
      <c r="BD1740" s="51" t="n">
        <f aca="false">IF(BA1740&gt;0,J1740/BA1740,-1)</f>
        <v>0</v>
      </c>
      <c r="BE1740" s="51" t="n">
        <f aca="false">IF(AND(OR(CC1740="L1",CC1740="L23",CC1740="LIFT"),BA1740&gt;0),SUMIFS($BA$7:$BA$1843,$CC$7:$CC$1843,CC1740,$BD$7:$BD$1843,"&gt;"&amp;BD1740)+SUMIFS($BA$7:$BA$1843,$CC$7:$CC$1843,CC1740,$BD$7:$BD$1843,BD1740,$BT$7:$BT$1843,"&lt;="&amp;BT1740),"")</f>
        <v>42216.6932596594</v>
      </c>
      <c r="BF1740" s="58" t="n">
        <f aca="false">IF(BE1740="",0,MAX(0,MIN(1,(IF(CC1740="L1",Parameter!$H$5,IF(CC1740="L23",Parameter!$H$6+Parameter!$H$7,Parameter!$H$5+Parameter!$H$6+Parameter!$H$7))-(BE1740-BA1740))/BA1740)))</f>
        <v>0</v>
      </c>
      <c r="BG1740" s="48" t="str">
        <f aca="false">IF(AI1740&lt;=0,"",IF(CC1740="Aussen","Aussenlager",IF(CC1740="-","Nicht im Lift",IF(AN1740&gt;=1,"Lift",IF(AN1740&lt;=0,"Aussenlager","teilweise")))))</f>
        <v>Lift</v>
      </c>
      <c r="BH1740" s="48" t="str">
        <f aca="false">IF(AR1740&lt;=0,"",IF(CC1740="Aussen","Aussenlager",IF(CC1740="-","Nicht im Lift",IF(AW1740&gt;=1,"Lift",IF(AW1740&lt;=0,"Aussenlager","teilweise")))))</f>
        <v>Aussenlager</v>
      </c>
      <c r="BI1740" s="48" t="str">
        <f aca="false">IF(BA1740&lt;=0,"",IF(CC1740="Aussen","Aussenlager",IF(CC1740="-","Nicht im Lift",IF(BF1740&gt;=1,"Lift",IF(BF1740&lt;=0,"Aussenlager","teilweise")))))</f>
        <v>Aussenlager</v>
      </c>
      <c r="BJ1740" s="48" t="str">
        <f aca="false">IF(A1740="","",IF(BS1740=1,"Neu; ","")&amp;IF(AND(BS1740=0,BN1740&lt;0),"negativer Bestand (Export "&amp;BN1740&amp;"); ","")&amp;IF(J1740&lt;=0,"Kein Verbrauch; ","")&amp;IF(CL1740&gt;0,"Lift "&amp;W1740&amp;" lt. Liftbericht (Fach "&amp;X1740&amp;" Stk); ",IF(BX1740=1,"Gebinde geschätzt ("&amp;T1740&amp;"); ",IF(BW1740=1,"Lose – Tablare geschätzt; ","")))&amp;IF(H1740&gt;AT1740,"Überbestand "&amp;ROUND(H1740-AT1740,0)&amp;" Stk / CHF "&amp;ROUND((H1740-AT1740)*G1740,0)&amp;"; ","")&amp;IF(AND(CE1740=1,CF1740&lt;CG1740),"MAX &lt; MB+LG; ","")&amp;IF(AND(CK1740&gt;0,CJ1740*10&gt;CK1740),"zu hoch für Tablar; ","")&amp;IF(AND(BS1740=0,OR(CE1740=1,AA1740&lt;&gt;"",U1740&lt;&gt;"",V1740&lt;&gt;"",AB1740&lt;&gt;"")),"manuell übersteuert; ","")&amp;IF(AND(BW1740=0,R1740=0),"Gebinde unbekannt / Stellmass fehlt; ","")&amp;IF(AND(BW1740=0,N(V1740)&lt;=0,N(Q1740)&lt;=0),"Menge pro Gebinde fehlt (Ist = 1 Gebinde); ","")&amp;BR1740)</f>
        <v>Kein Verbrauch; Überbestand 5 Stk / CHF 106; nur im Artikelstamm (Bestand 23.06.2026); Neuer Art.</v>
      </c>
      <c r="BK1740" s="48"/>
      <c r="BL1740" s="48"/>
      <c r="BM1740" s="55"/>
      <c r="BN1740" s="50" t="n">
        <v>10</v>
      </c>
      <c r="BO1740" s="50" t="n">
        <v>0</v>
      </c>
      <c r="BP1740" s="49" t="n">
        <v>0</v>
      </c>
      <c r="BQ1740" s="50" t="n">
        <v>0</v>
      </c>
      <c r="BR1740" s="48" t="s">
        <v>2877</v>
      </c>
      <c r="BS1740" s="53" t="n">
        <v>0</v>
      </c>
      <c r="BT1740" s="53" t="n">
        <v>1740</v>
      </c>
      <c r="BU1740" s="48" t="str">
        <f aca="false">IF(U1740&lt;&gt;"",UPPER(TRIM(U1740)),IF(BX1740=1,UPPER(VLOOKUP(T1740,Parameter!$I$27:$K$29,2,0)),IF(P1740="","LOSE",P1740)))</f>
        <v>S21</v>
      </c>
      <c r="BV1740" s="50" t="n">
        <f aca="false">IF(BU1740="LOSE",1,IF(N(V1740)&gt;0,V1740,IF(BX1740=1,MAX(1,N(VLOOKUP(T1740,Parameter!$I$27:$K$29,3,0)),H1740,N(N1740)),IF(N(Q1740)&gt;0,Q1740,MAX(1,H1740)))))</f>
        <v>5</v>
      </c>
      <c r="BW1740" s="53" t="n">
        <f aca="false">IF(BU1740="LOSE",1,0)</f>
        <v>0</v>
      </c>
      <c r="BX1740" s="53" t="n">
        <f aca="false">IF(AND(U1740="",OR(P1740="",P1740="LOSE"),T1740&lt;&gt;"",N(S1740)&lt;=0,ISNUMBER(MATCH(T1740,Parameter!$I$27:$I$29,0))),1,0)</f>
        <v>0</v>
      </c>
      <c r="BY1740" s="53" t="n">
        <f aca="false">IF(CL1740&gt;0,INDEX(Parameter!$H$5:$H$7,W1740)/INDEX(Parameter!$E$5:$E$7,W1740),IF(AND(BW1740=0,N(IFERROR(VLOOKUP(BU1740,'Gebinde-Kategorie'!$A$5:$N$45,14,0),0))&gt;0),VLOOKUP(BU1740,'Gebinde-Kategorie'!$A$5:$N$45,14,0)*10+Parameter!$M$23,Parameter!$M$24))</f>
        <v>155</v>
      </c>
      <c r="BZ1740" s="48" t="str">
        <f aca="false">IF(AND(Parameter!$B$19="Ja",E1740&lt;&gt;"",ISNUMBER(MATCH(E1740,Parameter!$I$35:$I$52,0))),VLOOKUP(E1740,Parameter!$I$35:$J$52,2,0),IFERROR(VLOOKUP(D1740,Parameter!$A$35:$C$64,2,0),"Nein"))</f>
        <v>2+3</v>
      </c>
      <c r="CA1740" s="52" t="n">
        <f aca="false">IF(BW1740=0,0,IF(N(S1740)&gt;0,S1740,IFERROR(VLOOKUP(D1740,Parameter!$A$35:$C$64,3,0)+0,0)))</f>
        <v>0</v>
      </c>
      <c r="CB1740" s="48" t="n">
        <f aca="false">IF(AA1740&lt;&gt;"",AA1740,Z1740)</f>
        <v>3</v>
      </c>
      <c r="CC1740" s="48" t="str">
        <f aca="false">IF(OR(CB1740=1,CB1740=2,CB1740=3),IF(Parameter!$E$27="Ja","LIFT",IF(CB1740=1,"L1","L23")),IF(CB1740="Aussen","Aussen","-"))</f>
        <v>LIFT</v>
      </c>
      <c r="CD1740" s="59" t="n">
        <f aca="false">IF(N(AB1740)&gt;0,AB1740,0)</f>
        <v>0</v>
      </c>
      <c r="CE1740" s="53" t="n">
        <f aca="false">IF(ISNUMBER(AE1740),1,0)</f>
        <v>0</v>
      </c>
      <c r="CF1740" s="50" t="n">
        <f aca="false">N(AE1740)</f>
        <v>0</v>
      </c>
      <c r="CG1740" s="50" t="n">
        <f aca="false">N(M1740)+N(N1740)</f>
        <v>2</v>
      </c>
      <c r="CH1740" s="50" t="n">
        <f aca="false">ROUNDUP(H1740/BV1740,0)</f>
        <v>2</v>
      </c>
      <c r="CI1740" s="50" t="n">
        <f aca="false">ROUNDUP(CF1740/BV1740,0)</f>
        <v>0</v>
      </c>
      <c r="CJ1740" s="53" t="n">
        <f aca="false">IF(BW1740=1,0,IFERROR(VLOOKUP(BU1740,'Gebinde-Kategorie'!$A$5:$N$45,5,0)+0,0))</f>
        <v>8</v>
      </c>
      <c r="CK1740" s="53" t="n">
        <f aca="false">IFERROR(IF(OR(CB1740=1,CB1740=2,CB1740=3),N(INDEX(Parameter!$I$5:$I$7,CB1740)),0),0)</f>
        <v>0</v>
      </c>
      <c r="CL1740" s="52" t="n">
        <f aca="false">IF(AND(Parameter!$B$21="Ja",ISNUMBER(W1740),N(X1740)&gt;0),IFERROR(N(INDEX(Parameter!$L$5:$L$7,W1740))*INDEX(Parameter!$E$5:$E$7,W1740)*X1740/SUMIFS($X$7:$X$1843,$W$7:$W$1843,W1740),0),0)</f>
        <v>0</v>
      </c>
    </row>
    <row r="1741" customFormat="false" ht="15" hidden="false" customHeight="false" outlineLevel="0" collapsed="false">
      <c r="A1741" s="48" t="s">
        <v>3013</v>
      </c>
      <c r="B1741" s="48" t="s">
        <v>3014</v>
      </c>
      <c r="C1741" s="48" t="s">
        <v>168</v>
      </c>
      <c r="D1741" s="48" t="s">
        <v>188</v>
      </c>
      <c r="E1741" s="48"/>
      <c r="F1741" s="48"/>
      <c r="G1741" s="49" t="n">
        <v>124</v>
      </c>
      <c r="H1741" s="50" t="n">
        <f aca="false">MAX(0,IF(AND(Parameter!$B$21="Ja",ISNUMBER(Y1741)),Y1741,IF(Parameter!$B$20="Jahresanfang 2025 + Export",BO1741+BN1741,BN1741)))</f>
        <v>4</v>
      </c>
      <c r="I1741" s="50" t="n">
        <f aca="false">H1741*G1741</f>
        <v>496</v>
      </c>
      <c r="J1741" s="50" t="n">
        <f aca="false">BQ1741*Parameter!$B$18</f>
        <v>0</v>
      </c>
      <c r="K1741" s="51"/>
      <c r="L1741" s="52"/>
      <c r="M1741" s="50" t="n">
        <v>0</v>
      </c>
      <c r="N1741" s="50" t="n">
        <v>5</v>
      </c>
      <c r="O1741" s="53" t="n">
        <v>49</v>
      </c>
      <c r="P1741" s="48" t="s">
        <v>430</v>
      </c>
      <c r="Q1741" s="50" t="n">
        <v>4</v>
      </c>
      <c r="R1741" s="53" t="n">
        <f aca="false">IF(BW1741=1,0,IFERROR(VLOOKUP(BU1741,'Gebinde-Kategorie'!$A$5:$N$45,13,0)+0,0))</f>
        <v>140</v>
      </c>
      <c r="S1741" s="54"/>
      <c r="T1741" s="55"/>
      <c r="U1741" s="55"/>
      <c r="V1741" s="55"/>
      <c r="W1741" s="48"/>
      <c r="X1741" s="50"/>
      <c r="Y1741" s="50"/>
      <c r="Z1741" s="48" t="n">
        <f aca="false">IF(A1741="","",IF(AND(Parameter!$B$21="Ja",ISNUMBER(W1741)),W1741,IF(BZ1741="2+3",IF(ISNUMBER(SEARCH("grosser Artikel",BR1741)),2,IFERROR(VLOOKUP(BU1741,Parameter!$F$35:$G$64,2,0),2)),IF(OR(BZ1741="Nein",BZ1741=""),"-",BZ1741))))</f>
        <v>3</v>
      </c>
      <c r="AA1741" s="55"/>
      <c r="AB1741" s="56"/>
      <c r="AC1741" s="50" t="n">
        <f aca="false">AT1741</f>
        <v>8</v>
      </c>
      <c r="AD1741" s="50" t="n">
        <f aca="false">MAX(AT1741,H1741)</f>
        <v>8</v>
      </c>
      <c r="AE1741" s="57"/>
      <c r="AF1741" s="50" t="n">
        <f aca="false">IF(LEFT(Cockpit!$C$5,1)="A",H1741,IF(CE1741=1,CF1741,IF(LEFT(Cockpit!$C$5,1)="B",AK1741,MAX(AK1741,H1741))))</f>
        <v>4</v>
      </c>
      <c r="AG1741" s="50" t="n">
        <f aca="false">IF(BW1741=1,0,ROUNDUP(AF1741/BV1741,0))</f>
        <v>1</v>
      </c>
      <c r="AH1741" s="52" t="n">
        <f aca="false">IF(CL1741&gt;0,CL1741*MAX(1,AF1741/X1741),IF(BW1741=1,IF(AF1741&lt;=0,0,CA1741*MAX(1,IF(H1741&gt;0,AF1741/H1741,1))),IF(R1741&gt;0,AG1741/R1741,0))/MAX(0.1,N(Parameter!$M$21)))</f>
        <v>0.00714285714285714</v>
      </c>
      <c r="AI1741" s="50" t="n">
        <f aca="false">AH1741*BY1741</f>
        <v>1.10714285714286</v>
      </c>
      <c r="AJ1741" s="50" t="n">
        <f aca="false">AF1741*G1741</f>
        <v>496</v>
      </c>
      <c r="AK1741" s="50" t="n">
        <f aca="false">ROUNDUP(MAX(J1741/IF(CD1741&gt;0,CD1741,MAX(0.1,N(Cockpit!$C$6))),CG1741)/BV1741,0)*BV1741</f>
        <v>8</v>
      </c>
      <c r="AL1741" s="51" t="n">
        <f aca="false">IF(AI1741&gt;0,J1741/AI1741,-1)</f>
        <v>0</v>
      </c>
      <c r="AM1741" s="51" t="n">
        <f aca="false">IF(AND(OR(CC1741="L1",CC1741="L23",CC1741="LIFT"),AI1741&gt;0),SUMIFS($AI$7:$AI$1843,$CC$7:$CC$1843,CC1741,$AL$7:$AL$1843,"&gt;"&amp;AL1741)+SUMIFS($AI$7:$AI$1843,$CC$7:$CC$1843,CC1741,$AL$7:$AL$1843,AL1741,$BT$7:$BT$1843,"&lt;="&amp;BT1741),"")</f>
        <v>32858.6539030649</v>
      </c>
      <c r="AN1741" s="58" t="n">
        <f aca="false">IF(AM1741="",0,MAX(0,MIN(1,(IF(CC1741="L1",Parameter!$H$5,IF(CC1741="L23",Parameter!$H$6+Parameter!$H$7,Parameter!$H$5+Parameter!$H$6+Parameter!$H$7))-(AM1741-AI1741))/AI1741)))</f>
        <v>1</v>
      </c>
      <c r="AO1741" s="50" t="n">
        <f aca="false">IF(LEFT(Cockpit!$I$5,1)="A",H1741,IF(CE1741=1,CF1741,IF(LEFT(Cockpit!$I$5,1)="B",AT1741,MAX(AT1741,H1741))))</f>
        <v>8</v>
      </c>
      <c r="AP1741" s="50" t="n">
        <f aca="false">IF(BW1741=1,0,ROUNDUP(AO1741/BV1741,0))</f>
        <v>2</v>
      </c>
      <c r="AQ1741" s="52" t="n">
        <f aca="false">IF(CL1741&gt;0,CL1741*MAX(1,AO1741/X1741),IF(BW1741=1,IF(AO1741&lt;=0,0,CA1741*MAX(1,IF(H1741&gt;0,AO1741/H1741,1))),IF(R1741&gt;0,AP1741/R1741,0))/MAX(0.1,N(Parameter!$M$21)))</f>
        <v>0.0142857142857143</v>
      </c>
      <c r="AR1741" s="50" t="n">
        <f aca="false">AQ1741*BY1741</f>
        <v>2.21428571428571</v>
      </c>
      <c r="AS1741" s="50" t="n">
        <f aca="false">AO1741*G1741</f>
        <v>992</v>
      </c>
      <c r="AT1741" s="50" t="n">
        <f aca="false">ROUNDUP(MAX(J1741/IF(CD1741&gt;0,CD1741,MAX(0.1,N(Cockpit!$I$6))),CG1741)/BV1741,0)*BV1741</f>
        <v>8</v>
      </c>
      <c r="AU1741" s="51" t="n">
        <f aca="false">IF(AR1741&gt;0,J1741/AR1741,-1)</f>
        <v>0</v>
      </c>
      <c r="AV1741" s="51" t="n">
        <f aca="false">IF(AND(OR(CC1741="L1",CC1741="L23",CC1741="LIFT"),AR1741&gt;0),SUMIFS($AR$7:$AR$1843,$CC$7:$CC$1843,CC1741,$AU$7:$AU$1843,"&gt;"&amp;AU1741)+SUMIFS($AR$7:$AR$1843,$CC$7:$CC$1843,CC1741,$AU$7:$AU$1843,AU1741,$BT$7:$BT$1843,"&lt;="&amp;BT1741),"")</f>
        <v>45543.8955035078</v>
      </c>
      <c r="AW1741" s="58" t="n">
        <f aca="false">IF(AV1741="",0,MAX(0,MIN(1,(IF(CC1741="L1",Parameter!$H$5,IF(CC1741="L23",Parameter!$H$6+Parameter!$H$7,Parameter!$H$5+Parameter!$H$6+Parameter!$H$7))-(AV1741-AR1741))/AR1741)))</f>
        <v>0</v>
      </c>
      <c r="AX1741" s="50" t="n">
        <f aca="false">IF(LEFT(Cockpit!$O$5,1)="A",H1741,IF(CE1741=1,CF1741,IF(LEFT(Cockpit!$O$5,1)="B",BC1741,MAX(BC1741,H1741))))</f>
        <v>8</v>
      </c>
      <c r="AY1741" s="50" t="n">
        <f aca="false">IF(BW1741=1,0,ROUNDUP(AX1741/BV1741,0))</f>
        <v>2</v>
      </c>
      <c r="AZ1741" s="52" t="n">
        <f aca="false">IF(CL1741&gt;0,CL1741*MAX(1,AX1741/X1741),IF(BW1741=1,IF(AX1741&lt;=0,0,CA1741*MAX(1,IF(H1741&gt;0,AX1741/H1741,1))),IF(R1741&gt;0,AY1741/R1741,0))/MAX(0.1,N(Parameter!$M$21)))</f>
        <v>0.0142857142857143</v>
      </c>
      <c r="BA1741" s="50" t="n">
        <f aca="false">AZ1741*BY1741</f>
        <v>2.21428571428571</v>
      </c>
      <c r="BB1741" s="50" t="n">
        <f aca="false">AX1741*G1741</f>
        <v>992</v>
      </c>
      <c r="BC1741" s="50" t="n">
        <f aca="false">ROUNDUP(MAX(J1741/IF(CD1741&gt;0,CD1741,MAX(0.1,N(Cockpit!$O$6))),CG1741)/BV1741,0)*BV1741</f>
        <v>8</v>
      </c>
      <c r="BD1741" s="51" t="n">
        <f aca="false">IF(BA1741&gt;0,J1741/BA1741,-1)</f>
        <v>0</v>
      </c>
      <c r="BE1741" s="51" t="n">
        <f aca="false">IF(AND(OR(CC1741="L1",CC1741="L23",CC1741="LIFT"),BA1741&gt;0),SUMIFS($BA$7:$BA$1843,$CC$7:$CC$1843,CC1741,$BD$7:$BD$1843,"&gt;"&amp;BD1741)+SUMIFS($BA$7:$BA$1843,$CC$7:$CC$1843,CC1741,$BD$7:$BD$1843,BD1741,$BT$7:$BT$1843,"&lt;="&amp;BT1741),"")</f>
        <v>42218.9075453737</v>
      </c>
      <c r="BF1741" s="58" t="n">
        <f aca="false">IF(BE1741="",0,MAX(0,MIN(1,(IF(CC1741="L1",Parameter!$H$5,IF(CC1741="L23",Parameter!$H$6+Parameter!$H$7,Parameter!$H$5+Parameter!$H$6+Parameter!$H$7))-(BE1741-BA1741))/BA1741)))</f>
        <v>0</v>
      </c>
      <c r="BG1741" s="48" t="str">
        <f aca="false">IF(AI1741&lt;=0,"",IF(CC1741="Aussen","Aussenlager",IF(CC1741="-","Nicht im Lift",IF(AN1741&gt;=1,"Lift",IF(AN1741&lt;=0,"Aussenlager","teilweise")))))</f>
        <v>Lift</v>
      </c>
      <c r="BH1741" s="48" t="str">
        <f aca="false">IF(AR1741&lt;=0,"",IF(CC1741="Aussen","Aussenlager",IF(CC1741="-","Nicht im Lift",IF(AW1741&gt;=1,"Lift",IF(AW1741&lt;=0,"Aussenlager","teilweise")))))</f>
        <v>Aussenlager</v>
      </c>
      <c r="BI1741" s="48" t="str">
        <f aca="false">IF(BA1741&lt;=0,"",IF(CC1741="Aussen","Aussenlager",IF(CC1741="-","Nicht im Lift",IF(BF1741&gt;=1,"Lift",IF(BF1741&lt;=0,"Aussenlager","teilweise")))))</f>
        <v>Aussenlager</v>
      </c>
      <c r="BJ1741" s="48" t="str">
        <f aca="false">IF(A1741="","",IF(BS1741=1,"Neu; ","")&amp;IF(AND(BS1741=0,BN1741&lt;0),"negativer Bestand (Export "&amp;BN1741&amp;"); ","")&amp;IF(J1741&lt;=0,"Kein Verbrauch; ","")&amp;IF(CL1741&gt;0,"Lift "&amp;W1741&amp;" lt. Liftbericht (Fach "&amp;X1741&amp;" Stk); ",IF(BX1741=1,"Gebinde geschätzt ("&amp;T1741&amp;"); ",IF(BW1741=1,"Lose – Tablare geschätzt; ","")))&amp;IF(H1741&gt;AT1741,"Überbestand "&amp;ROUND(H1741-AT1741,0)&amp;" Stk / CHF "&amp;ROUND((H1741-AT1741)*G1741,0)&amp;"; ","")&amp;IF(AND(CE1741=1,CF1741&lt;CG1741),"MAX &lt; MB+LG; ","")&amp;IF(AND(CK1741&gt;0,CJ1741*10&gt;CK1741),"zu hoch für Tablar; ","")&amp;IF(AND(BS1741=0,OR(CE1741=1,AA1741&lt;&gt;"",U1741&lt;&gt;"",V1741&lt;&gt;"",AB1741&lt;&gt;"")),"manuell übersteuert; ","")&amp;IF(AND(BW1741=0,R1741=0),"Gebinde unbekannt / Stellmass fehlt; ","")&amp;IF(AND(BW1741=0,N(V1741)&lt;=0,N(Q1741)&lt;=0),"Menge pro Gebinde fehlt (Ist = 1 Gebinde); ","")&amp;BR1741)</f>
        <v>Kein Verbrauch; nur im Artikelstamm (Bestand 23.06.2026); Neuer Art.</v>
      </c>
      <c r="BK1741" s="48"/>
      <c r="BL1741" s="48"/>
      <c r="BM1741" s="55"/>
      <c r="BN1741" s="50" t="n">
        <v>4</v>
      </c>
      <c r="BO1741" s="50" t="n">
        <v>0</v>
      </c>
      <c r="BP1741" s="49" t="n">
        <v>0</v>
      </c>
      <c r="BQ1741" s="50" t="n">
        <v>0</v>
      </c>
      <c r="BR1741" s="48" t="s">
        <v>2877</v>
      </c>
      <c r="BS1741" s="53" t="n">
        <v>0</v>
      </c>
      <c r="BT1741" s="53" t="n">
        <v>1741</v>
      </c>
      <c r="BU1741" s="48" t="str">
        <f aca="false">IF(U1741&lt;&gt;"",UPPER(TRIM(U1741)),IF(BX1741=1,UPPER(VLOOKUP(T1741,Parameter!$I$27:$K$29,2,0)),IF(P1741="","LOSE",P1741)))</f>
        <v>S22</v>
      </c>
      <c r="BV1741" s="50" t="n">
        <f aca="false">IF(BU1741="LOSE",1,IF(N(V1741)&gt;0,V1741,IF(BX1741=1,MAX(1,N(VLOOKUP(T1741,Parameter!$I$27:$K$29,3,0)),H1741,N(N1741)),IF(N(Q1741)&gt;0,Q1741,MAX(1,H1741)))))</f>
        <v>4</v>
      </c>
      <c r="BW1741" s="53" t="n">
        <f aca="false">IF(BU1741="LOSE",1,0)</f>
        <v>0</v>
      </c>
      <c r="BX1741" s="53" t="n">
        <f aca="false">IF(AND(U1741="",OR(P1741="",P1741="LOSE"),T1741&lt;&gt;"",N(S1741)&lt;=0,ISNUMBER(MATCH(T1741,Parameter!$I$27:$I$29,0))),1,0)</f>
        <v>0</v>
      </c>
      <c r="BY1741" s="53" t="n">
        <f aca="false">IF(CL1741&gt;0,INDEX(Parameter!$H$5:$H$7,W1741)/INDEX(Parameter!$E$5:$E$7,W1741),IF(AND(BW1741=0,N(IFERROR(VLOOKUP(BU1741,'Gebinde-Kategorie'!$A$5:$N$45,14,0),0))&gt;0),VLOOKUP(BU1741,'Gebinde-Kategorie'!$A$5:$N$45,14,0)*10+Parameter!$M$23,Parameter!$M$24))</f>
        <v>155</v>
      </c>
      <c r="BZ1741" s="48" t="str">
        <f aca="false">IF(AND(Parameter!$B$19="Ja",E1741&lt;&gt;"",ISNUMBER(MATCH(E1741,Parameter!$I$35:$I$52,0))),VLOOKUP(E1741,Parameter!$I$35:$J$52,2,0),IFERROR(VLOOKUP(D1741,Parameter!$A$35:$C$64,2,0),"Nein"))</f>
        <v>2+3</v>
      </c>
      <c r="CA1741" s="52" t="n">
        <f aca="false">IF(BW1741=0,0,IF(N(S1741)&gt;0,S1741,IFERROR(VLOOKUP(D1741,Parameter!$A$35:$C$64,3,0)+0,0)))</f>
        <v>0</v>
      </c>
      <c r="CB1741" s="48" t="n">
        <f aca="false">IF(AA1741&lt;&gt;"",AA1741,Z1741)</f>
        <v>3</v>
      </c>
      <c r="CC1741" s="48" t="str">
        <f aca="false">IF(OR(CB1741=1,CB1741=2,CB1741=3),IF(Parameter!$E$27="Ja","LIFT",IF(CB1741=1,"L1","L23")),IF(CB1741="Aussen","Aussen","-"))</f>
        <v>LIFT</v>
      </c>
      <c r="CD1741" s="59" t="n">
        <f aca="false">IF(N(AB1741)&gt;0,AB1741,0)</f>
        <v>0</v>
      </c>
      <c r="CE1741" s="53" t="n">
        <f aca="false">IF(ISNUMBER(AE1741),1,0)</f>
        <v>0</v>
      </c>
      <c r="CF1741" s="50" t="n">
        <f aca="false">N(AE1741)</f>
        <v>0</v>
      </c>
      <c r="CG1741" s="50" t="n">
        <f aca="false">N(M1741)+N(N1741)</f>
        <v>5</v>
      </c>
      <c r="CH1741" s="50" t="n">
        <f aca="false">ROUNDUP(H1741/BV1741,0)</f>
        <v>1</v>
      </c>
      <c r="CI1741" s="50" t="n">
        <f aca="false">ROUNDUP(CF1741/BV1741,0)</f>
        <v>0</v>
      </c>
      <c r="CJ1741" s="53" t="n">
        <f aca="false">IF(BW1741=1,0,IFERROR(VLOOKUP(BU1741,'Gebinde-Kategorie'!$A$5:$N$45,5,0)+0,0))</f>
        <v>8</v>
      </c>
      <c r="CK1741" s="53" t="n">
        <f aca="false">IFERROR(IF(OR(CB1741=1,CB1741=2,CB1741=3),N(INDEX(Parameter!$I$5:$I$7,CB1741)),0),0)</f>
        <v>0</v>
      </c>
      <c r="CL1741" s="52" t="n">
        <f aca="false">IF(AND(Parameter!$B$21="Ja",ISNUMBER(W1741),N(X1741)&gt;0),IFERROR(N(INDEX(Parameter!$L$5:$L$7,W1741))*INDEX(Parameter!$E$5:$E$7,W1741)*X1741/SUMIFS($X$7:$X$1843,$W$7:$W$1843,W1741),0),0)</f>
        <v>0</v>
      </c>
    </row>
    <row r="1742" customFormat="false" ht="15" hidden="false" customHeight="false" outlineLevel="0" collapsed="false">
      <c r="A1742" s="48" t="s">
        <v>3015</v>
      </c>
      <c r="B1742" s="48" t="s">
        <v>3016</v>
      </c>
      <c r="C1742" s="48" t="s">
        <v>168</v>
      </c>
      <c r="D1742" s="48" t="s">
        <v>188</v>
      </c>
      <c r="E1742" s="48"/>
      <c r="F1742" s="48"/>
      <c r="G1742" s="49" t="n">
        <v>185</v>
      </c>
      <c r="H1742" s="50" t="n">
        <f aca="false">MAX(0,IF(AND(Parameter!$B$21="Ja",ISNUMBER(Y1742)),Y1742,IF(Parameter!$B$20="Jahresanfang 2025 + Export",BO1742+BN1742,BN1742)))</f>
        <v>3</v>
      </c>
      <c r="I1742" s="50" t="n">
        <f aca="false">H1742*G1742</f>
        <v>555</v>
      </c>
      <c r="J1742" s="50" t="n">
        <f aca="false">BQ1742*Parameter!$B$18</f>
        <v>0</v>
      </c>
      <c r="K1742" s="51"/>
      <c r="L1742" s="52"/>
      <c r="M1742" s="50" t="n">
        <v>0</v>
      </c>
      <c r="N1742" s="50" t="n">
        <v>3</v>
      </c>
      <c r="O1742" s="53" t="n">
        <v>49</v>
      </c>
      <c r="P1742" s="48" t="s">
        <v>405</v>
      </c>
      <c r="Q1742" s="50" t="n">
        <v>2</v>
      </c>
      <c r="R1742" s="53" t="n">
        <f aca="false">IF(BW1742=1,0,IFERROR(VLOOKUP(BU1742,'Gebinde-Kategorie'!$A$5:$N$45,13,0)+0,0))</f>
        <v>280</v>
      </c>
      <c r="S1742" s="54"/>
      <c r="T1742" s="55"/>
      <c r="U1742" s="55"/>
      <c r="V1742" s="55"/>
      <c r="W1742" s="48"/>
      <c r="X1742" s="50"/>
      <c r="Y1742" s="50"/>
      <c r="Z1742" s="48" t="n">
        <f aca="false">IF(A1742="","",IF(AND(Parameter!$B$21="Ja",ISNUMBER(W1742)),W1742,IF(BZ1742="2+3",IF(ISNUMBER(SEARCH("grosser Artikel",BR1742)),2,IFERROR(VLOOKUP(BU1742,Parameter!$F$35:$G$64,2,0),2)),IF(OR(BZ1742="Nein",BZ1742=""),"-",BZ1742))))</f>
        <v>3</v>
      </c>
      <c r="AA1742" s="55"/>
      <c r="AB1742" s="56"/>
      <c r="AC1742" s="50" t="n">
        <f aca="false">AT1742</f>
        <v>4</v>
      </c>
      <c r="AD1742" s="50" t="n">
        <f aca="false">MAX(AT1742,H1742)</f>
        <v>4</v>
      </c>
      <c r="AE1742" s="57"/>
      <c r="AF1742" s="50" t="n">
        <f aca="false">IF(LEFT(Cockpit!$C$5,1)="A",H1742,IF(CE1742=1,CF1742,IF(LEFT(Cockpit!$C$5,1)="B",AK1742,MAX(AK1742,H1742))))</f>
        <v>3</v>
      </c>
      <c r="AG1742" s="50" t="n">
        <f aca="false">IF(BW1742=1,0,ROUNDUP(AF1742/BV1742,0))</f>
        <v>2</v>
      </c>
      <c r="AH1742" s="52" t="n">
        <f aca="false">IF(CL1742&gt;0,CL1742*MAX(1,AF1742/X1742),IF(BW1742=1,IF(AF1742&lt;=0,0,CA1742*MAX(1,IF(H1742&gt;0,AF1742/H1742,1))),IF(R1742&gt;0,AG1742/R1742,0))/MAX(0.1,N(Parameter!$M$21)))</f>
        <v>0.00714285714285714</v>
      </c>
      <c r="AI1742" s="50" t="n">
        <f aca="false">AH1742*BY1742</f>
        <v>1.10714285714286</v>
      </c>
      <c r="AJ1742" s="50" t="n">
        <f aca="false">AF1742*G1742</f>
        <v>555</v>
      </c>
      <c r="AK1742" s="50" t="n">
        <f aca="false">ROUNDUP(MAX(J1742/IF(CD1742&gt;0,CD1742,MAX(0.1,N(Cockpit!$C$6))),CG1742)/BV1742,0)*BV1742</f>
        <v>4</v>
      </c>
      <c r="AL1742" s="51" t="n">
        <f aca="false">IF(AI1742&gt;0,J1742/AI1742,-1)</f>
        <v>0</v>
      </c>
      <c r="AM1742" s="51" t="n">
        <f aca="false">IF(AND(OR(CC1742="L1",CC1742="L23",CC1742="LIFT"),AI1742&gt;0),SUMIFS($AI$7:$AI$1843,$CC$7:$CC$1843,CC1742,$AL$7:$AL$1843,"&gt;"&amp;AL1742)+SUMIFS($AI$7:$AI$1843,$CC$7:$CC$1843,CC1742,$AL$7:$AL$1843,AL1742,$BT$7:$BT$1843,"&lt;="&amp;BT1742),"")</f>
        <v>32859.7610459221</v>
      </c>
      <c r="AN1742" s="58" t="n">
        <f aca="false">IF(AM1742="",0,MAX(0,MIN(1,(IF(CC1742="L1",Parameter!$H$5,IF(CC1742="L23",Parameter!$H$6+Parameter!$H$7,Parameter!$H$5+Parameter!$H$6+Parameter!$H$7))-(AM1742-AI1742))/AI1742)))</f>
        <v>1</v>
      </c>
      <c r="AO1742" s="50" t="n">
        <f aca="false">IF(LEFT(Cockpit!$I$5,1)="A",H1742,IF(CE1742=1,CF1742,IF(LEFT(Cockpit!$I$5,1)="B",AT1742,MAX(AT1742,H1742))))</f>
        <v>4</v>
      </c>
      <c r="AP1742" s="50" t="n">
        <f aca="false">IF(BW1742=1,0,ROUNDUP(AO1742/BV1742,0))</f>
        <v>2</v>
      </c>
      <c r="AQ1742" s="52" t="n">
        <f aca="false">IF(CL1742&gt;0,CL1742*MAX(1,AO1742/X1742),IF(BW1742=1,IF(AO1742&lt;=0,0,CA1742*MAX(1,IF(H1742&gt;0,AO1742/H1742,1))),IF(R1742&gt;0,AP1742/R1742,0))/MAX(0.1,N(Parameter!$M$21)))</f>
        <v>0.00714285714285714</v>
      </c>
      <c r="AR1742" s="50" t="n">
        <f aca="false">AQ1742*BY1742</f>
        <v>1.10714285714286</v>
      </c>
      <c r="AS1742" s="50" t="n">
        <f aca="false">AO1742*G1742</f>
        <v>740</v>
      </c>
      <c r="AT1742" s="50" t="n">
        <f aca="false">ROUNDUP(MAX(J1742/IF(CD1742&gt;0,CD1742,MAX(0.1,N(Cockpit!$I$6))),CG1742)/BV1742,0)*BV1742</f>
        <v>4</v>
      </c>
      <c r="AU1742" s="51" t="n">
        <f aca="false">IF(AR1742&gt;0,J1742/AR1742,-1)</f>
        <v>0</v>
      </c>
      <c r="AV1742" s="51" t="n">
        <f aca="false">IF(AND(OR(CC1742="L1",CC1742="L23",CC1742="LIFT"),AR1742&gt;0),SUMIFS($AR$7:$AR$1843,$CC$7:$CC$1843,CC1742,$AU$7:$AU$1843,"&gt;"&amp;AU1742)+SUMIFS($AR$7:$AR$1843,$CC$7:$CC$1843,CC1742,$AU$7:$AU$1843,AU1742,$BT$7:$BT$1843,"&lt;="&amp;BT1742),"")</f>
        <v>45545.0026463649</v>
      </c>
      <c r="AW1742" s="58" t="n">
        <f aca="false">IF(AV1742="",0,MAX(0,MIN(1,(IF(CC1742="L1",Parameter!$H$5,IF(CC1742="L23",Parameter!$H$6+Parameter!$H$7,Parameter!$H$5+Parameter!$H$6+Parameter!$H$7))-(AV1742-AR1742))/AR1742)))</f>
        <v>0</v>
      </c>
      <c r="AX1742" s="50" t="n">
        <f aca="false">IF(LEFT(Cockpit!$O$5,1)="A",H1742,IF(CE1742=1,CF1742,IF(LEFT(Cockpit!$O$5,1)="B",BC1742,MAX(BC1742,H1742))))</f>
        <v>4</v>
      </c>
      <c r="AY1742" s="50" t="n">
        <f aca="false">IF(BW1742=1,0,ROUNDUP(AX1742/BV1742,0))</f>
        <v>2</v>
      </c>
      <c r="AZ1742" s="52" t="n">
        <f aca="false">IF(CL1742&gt;0,CL1742*MAX(1,AX1742/X1742),IF(BW1742=1,IF(AX1742&lt;=0,0,CA1742*MAX(1,IF(H1742&gt;0,AX1742/H1742,1))),IF(R1742&gt;0,AY1742/R1742,0))/MAX(0.1,N(Parameter!$M$21)))</f>
        <v>0.00714285714285714</v>
      </c>
      <c r="BA1742" s="50" t="n">
        <f aca="false">AZ1742*BY1742</f>
        <v>1.10714285714286</v>
      </c>
      <c r="BB1742" s="50" t="n">
        <f aca="false">AX1742*G1742</f>
        <v>740</v>
      </c>
      <c r="BC1742" s="50" t="n">
        <f aca="false">ROUNDUP(MAX(J1742/IF(CD1742&gt;0,CD1742,MAX(0.1,N(Cockpit!$O$6))),CG1742)/BV1742,0)*BV1742</f>
        <v>4</v>
      </c>
      <c r="BD1742" s="51" t="n">
        <f aca="false">IF(BA1742&gt;0,J1742/BA1742,-1)</f>
        <v>0</v>
      </c>
      <c r="BE1742" s="51" t="n">
        <f aca="false">IF(AND(OR(CC1742="L1",CC1742="L23",CC1742="LIFT"),BA1742&gt;0),SUMIFS($BA$7:$BA$1843,$CC$7:$CC$1843,CC1742,$BD$7:$BD$1843,"&gt;"&amp;BD1742)+SUMIFS($BA$7:$BA$1843,$CC$7:$CC$1843,CC1742,$BD$7:$BD$1843,BD1742,$BT$7:$BT$1843,"&lt;="&amp;BT1742),"")</f>
        <v>42220.0146882308</v>
      </c>
      <c r="BF1742" s="58" t="n">
        <f aca="false">IF(BE1742="",0,MAX(0,MIN(1,(IF(CC1742="L1",Parameter!$H$5,IF(CC1742="L23",Parameter!$H$6+Parameter!$H$7,Parameter!$H$5+Parameter!$H$6+Parameter!$H$7))-(BE1742-BA1742))/BA1742)))</f>
        <v>0</v>
      </c>
      <c r="BG1742" s="48" t="str">
        <f aca="false">IF(AI1742&lt;=0,"",IF(CC1742="Aussen","Aussenlager",IF(CC1742="-","Nicht im Lift",IF(AN1742&gt;=1,"Lift",IF(AN1742&lt;=0,"Aussenlager","teilweise")))))</f>
        <v>Lift</v>
      </c>
      <c r="BH1742" s="48" t="str">
        <f aca="false">IF(AR1742&lt;=0,"",IF(CC1742="Aussen","Aussenlager",IF(CC1742="-","Nicht im Lift",IF(AW1742&gt;=1,"Lift",IF(AW1742&lt;=0,"Aussenlager","teilweise")))))</f>
        <v>Aussenlager</v>
      </c>
      <c r="BI1742" s="48" t="str">
        <f aca="false">IF(BA1742&lt;=0,"",IF(CC1742="Aussen","Aussenlager",IF(CC1742="-","Nicht im Lift",IF(BF1742&gt;=1,"Lift",IF(BF1742&lt;=0,"Aussenlager","teilweise")))))</f>
        <v>Aussenlager</v>
      </c>
      <c r="BJ1742" s="48" t="str">
        <f aca="false">IF(A1742="","",IF(BS1742=1,"Neu; ","")&amp;IF(AND(BS1742=0,BN1742&lt;0),"negativer Bestand (Export "&amp;BN1742&amp;"); ","")&amp;IF(J1742&lt;=0,"Kein Verbrauch; ","")&amp;IF(CL1742&gt;0,"Lift "&amp;W1742&amp;" lt. Liftbericht (Fach "&amp;X1742&amp;" Stk); ",IF(BX1742=1,"Gebinde geschätzt ("&amp;T1742&amp;"); ",IF(BW1742=1,"Lose – Tablare geschätzt; ","")))&amp;IF(H1742&gt;AT1742,"Überbestand "&amp;ROUND(H1742-AT1742,0)&amp;" Stk / CHF "&amp;ROUND((H1742-AT1742)*G1742,0)&amp;"; ","")&amp;IF(AND(CE1742=1,CF1742&lt;CG1742),"MAX &lt; MB+LG; ","")&amp;IF(AND(CK1742&gt;0,CJ1742*10&gt;CK1742),"zu hoch für Tablar; ","")&amp;IF(AND(BS1742=0,OR(CE1742=1,AA1742&lt;&gt;"",U1742&lt;&gt;"",V1742&lt;&gt;"",AB1742&lt;&gt;"")),"manuell übersteuert; ","")&amp;IF(AND(BW1742=0,R1742=0),"Gebinde unbekannt / Stellmass fehlt; ","")&amp;IF(AND(BW1742=0,N(V1742)&lt;=0,N(Q1742)&lt;=0),"Menge pro Gebinde fehlt (Ist = 1 Gebinde); ","")&amp;BR1742)</f>
        <v>Kein Verbrauch; nur im Artikelstamm (Bestand 23.06.2026)</v>
      </c>
      <c r="BK1742" s="48"/>
      <c r="BL1742" s="48"/>
      <c r="BM1742" s="55"/>
      <c r="BN1742" s="50" t="n">
        <v>3</v>
      </c>
      <c r="BO1742" s="50" t="n">
        <v>0</v>
      </c>
      <c r="BP1742" s="49" t="n">
        <v>0</v>
      </c>
      <c r="BQ1742" s="50" t="n">
        <v>0</v>
      </c>
      <c r="BR1742" s="48" t="s">
        <v>2579</v>
      </c>
      <c r="BS1742" s="53" t="n">
        <v>0</v>
      </c>
      <c r="BT1742" s="53" t="n">
        <v>1742</v>
      </c>
      <c r="BU1742" s="48" t="str">
        <f aca="false">IF(U1742&lt;&gt;"",UPPER(TRIM(U1742)),IF(BX1742=1,UPPER(VLOOKUP(T1742,Parameter!$I$27:$K$29,2,0)),IF(P1742="","LOSE",P1742)))</f>
        <v>S21</v>
      </c>
      <c r="BV1742" s="50" t="n">
        <f aca="false">IF(BU1742="LOSE",1,IF(N(V1742)&gt;0,V1742,IF(BX1742=1,MAX(1,N(VLOOKUP(T1742,Parameter!$I$27:$K$29,3,0)),H1742,N(N1742)),IF(N(Q1742)&gt;0,Q1742,MAX(1,H1742)))))</f>
        <v>2</v>
      </c>
      <c r="BW1742" s="53" t="n">
        <f aca="false">IF(BU1742="LOSE",1,0)</f>
        <v>0</v>
      </c>
      <c r="BX1742" s="53" t="n">
        <f aca="false">IF(AND(U1742="",OR(P1742="",P1742="LOSE"),T1742&lt;&gt;"",N(S1742)&lt;=0,ISNUMBER(MATCH(T1742,Parameter!$I$27:$I$29,0))),1,0)</f>
        <v>0</v>
      </c>
      <c r="BY1742" s="53" t="n">
        <f aca="false">IF(CL1742&gt;0,INDEX(Parameter!$H$5:$H$7,W1742)/INDEX(Parameter!$E$5:$E$7,W1742),IF(AND(BW1742=0,N(IFERROR(VLOOKUP(BU1742,'Gebinde-Kategorie'!$A$5:$N$45,14,0),0))&gt;0),VLOOKUP(BU1742,'Gebinde-Kategorie'!$A$5:$N$45,14,0)*10+Parameter!$M$23,Parameter!$M$24))</f>
        <v>155</v>
      </c>
      <c r="BZ1742" s="48" t="str">
        <f aca="false">IF(AND(Parameter!$B$19="Ja",E1742&lt;&gt;"",ISNUMBER(MATCH(E1742,Parameter!$I$35:$I$52,0))),VLOOKUP(E1742,Parameter!$I$35:$J$52,2,0),IFERROR(VLOOKUP(D1742,Parameter!$A$35:$C$64,2,0),"Nein"))</f>
        <v>2+3</v>
      </c>
      <c r="CA1742" s="52" t="n">
        <f aca="false">IF(BW1742=0,0,IF(N(S1742)&gt;0,S1742,IFERROR(VLOOKUP(D1742,Parameter!$A$35:$C$64,3,0)+0,0)))</f>
        <v>0</v>
      </c>
      <c r="CB1742" s="48" t="n">
        <f aca="false">IF(AA1742&lt;&gt;"",AA1742,Z1742)</f>
        <v>3</v>
      </c>
      <c r="CC1742" s="48" t="str">
        <f aca="false">IF(OR(CB1742=1,CB1742=2,CB1742=3),IF(Parameter!$E$27="Ja","LIFT",IF(CB1742=1,"L1","L23")),IF(CB1742="Aussen","Aussen","-"))</f>
        <v>LIFT</v>
      </c>
      <c r="CD1742" s="59" t="n">
        <f aca="false">IF(N(AB1742)&gt;0,AB1742,0)</f>
        <v>0</v>
      </c>
      <c r="CE1742" s="53" t="n">
        <f aca="false">IF(ISNUMBER(AE1742),1,0)</f>
        <v>0</v>
      </c>
      <c r="CF1742" s="50" t="n">
        <f aca="false">N(AE1742)</f>
        <v>0</v>
      </c>
      <c r="CG1742" s="50" t="n">
        <f aca="false">N(M1742)+N(N1742)</f>
        <v>3</v>
      </c>
      <c r="CH1742" s="50" t="n">
        <f aca="false">ROUNDUP(H1742/BV1742,0)</f>
        <v>2</v>
      </c>
      <c r="CI1742" s="50" t="n">
        <f aca="false">ROUNDUP(CF1742/BV1742,0)</f>
        <v>0</v>
      </c>
      <c r="CJ1742" s="53" t="n">
        <f aca="false">IF(BW1742=1,0,IFERROR(VLOOKUP(BU1742,'Gebinde-Kategorie'!$A$5:$N$45,5,0)+0,0))</f>
        <v>8</v>
      </c>
      <c r="CK1742" s="53" t="n">
        <f aca="false">IFERROR(IF(OR(CB1742=1,CB1742=2,CB1742=3),N(INDEX(Parameter!$I$5:$I$7,CB1742)),0),0)</f>
        <v>0</v>
      </c>
      <c r="CL1742" s="52" t="n">
        <f aca="false">IF(AND(Parameter!$B$21="Ja",ISNUMBER(W1742),N(X1742)&gt;0),IFERROR(N(INDEX(Parameter!$L$5:$L$7,W1742))*INDEX(Parameter!$E$5:$E$7,W1742)*X1742/SUMIFS($X$7:$X$1843,$W$7:$W$1843,W1742),0),0)</f>
        <v>0</v>
      </c>
    </row>
    <row r="1743" customFormat="false" ht="15" hidden="false" customHeight="false" outlineLevel="0" collapsed="false">
      <c r="A1743" s="48" t="s">
        <v>3017</v>
      </c>
      <c r="B1743" s="48" t="s">
        <v>2428</v>
      </c>
      <c r="C1743" s="48" t="s">
        <v>168</v>
      </c>
      <c r="D1743" s="48" t="s">
        <v>177</v>
      </c>
      <c r="E1743" s="48"/>
      <c r="F1743" s="48"/>
      <c r="G1743" s="49" t="n">
        <v>513.5</v>
      </c>
      <c r="H1743" s="50" t="n">
        <f aca="false">MAX(0,IF(AND(Parameter!$B$21="Ja",ISNUMBER(Y1743)),Y1743,IF(Parameter!$B$20="Jahresanfang 2025 + Export",BO1743+BN1743,BN1743)))</f>
        <v>2</v>
      </c>
      <c r="I1743" s="50" t="n">
        <f aca="false">H1743*G1743</f>
        <v>1027</v>
      </c>
      <c r="J1743" s="50" t="n">
        <f aca="false">BQ1743*Parameter!$B$18</f>
        <v>0</v>
      </c>
      <c r="K1743" s="51"/>
      <c r="L1743" s="52"/>
      <c r="M1743" s="50" t="n">
        <v>1</v>
      </c>
      <c r="N1743" s="50" t="n">
        <v>1</v>
      </c>
      <c r="O1743" s="53" t="n">
        <v>42</v>
      </c>
      <c r="P1743" s="48" t="s">
        <v>172</v>
      </c>
      <c r="Q1743" s="50"/>
      <c r="R1743" s="53" t="n">
        <f aca="false">IF(BW1743=1,0,IFERROR(VLOOKUP(BU1743,'Gebinde-Kategorie'!$A$5:$N$45,13,0)+0,0))</f>
        <v>0</v>
      </c>
      <c r="S1743" s="54"/>
      <c r="T1743" s="55"/>
      <c r="U1743" s="55"/>
      <c r="V1743" s="55"/>
      <c r="W1743" s="48" t="n">
        <v>1</v>
      </c>
      <c r="X1743" s="50" t="n">
        <v>2</v>
      </c>
      <c r="Y1743" s="50" t="n">
        <v>2</v>
      </c>
      <c r="Z1743" s="48" t="n">
        <f aca="false">IF(A1743="","",IF(AND(Parameter!$B$21="Ja",ISNUMBER(W1743)),W1743,IF(BZ1743="2+3",IF(ISNUMBER(SEARCH("grosser Artikel",BR1743)),2,IFERROR(VLOOKUP(BU1743,Parameter!$F$35:$G$64,2,0),2)),IF(OR(BZ1743="Nein",BZ1743=""),"-",BZ1743))))</f>
        <v>1</v>
      </c>
      <c r="AA1743" s="55"/>
      <c r="AB1743" s="56"/>
      <c r="AC1743" s="50" t="n">
        <f aca="false">AT1743</f>
        <v>2</v>
      </c>
      <c r="AD1743" s="50" t="n">
        <f aca="false">MAX(AT1743,H1743)</f>
        <v>2</v>
      </c>
      <c r="AE1743" s="57"/>
      <c r="AF1743" s="50" t="n">
        <f aca="false">IF(LEFT(Cockpit!$C$5,1)="A",H1743,IF(CE1743=1,CF1743,IF(LEFT(Cockpit!$C$5,1)="B",AK1743,MAX(AK1743,H1743))))</f>
        <v>2</v>
      </c>
      <c r="AG1743" s="50" t="n">
        <f aca="false">IF(BW1743=1,0,ROUNDUP(AF1743/BV1743,0))</f>
        <v>0</v>
      </c>
      <c r="AH1743" s="52" t="n">
        <f aca="false">IF(CL1743&gt;0,CL1743*MAX(1,AF1743/X1743),IF(BW1743=1,IF(AF1743&lt;=0,0,CA1743*MAX(1,IF(H1743&gt;0,AF1743/H1743,1))),IF(R1743&gt;0,AG1743/R1743,0))/MAX(0.1,N(Parameter!$M$21)))</f>
        <v>0.160075329566855</v>
      </c>
      <c r="AI1743" s="50" t="n">
        <f aca="false">AH1743*BY1743</f>
        <v>38.0979284369115</v>
      </c>
      <c r="AJ1743" s="50" t="n">
        <f aca="false">AF1743*G1743</f>
        <v>1027</v>
      </c>
      <c r="AK1743" s="50" t="n">
        <f aca="false">ROUNDUP(MAX(J1743/IF(CD1743&gt;0,CD1743,MAX(0.1,N(Cockpit!$C$6))),CG1743)/BV1743,0)*BV1743</f>
        <v>2</v>
      </c>
      <c r="AL1743" s="51" t="n">
        <f aca="false">IF(AI1743&gt;0,J1743/AI1743,-1)</f>
        <v>0</v>
      </c>
      <c r="AM1743" s="51" t="n">
        <f aca="false">IF(AND(OR(CC1743="L1",CC1743="L23",CC1743="LIFT"),AI1743&gt;0),SUMIFS($AI$7:$AI$1843,$CC$7:$CC$1843,CC1743,$AL$7:$AL$1843,"&gt;"&amp;AL1743)+SUMIFS($AI$7:$AI$1843,$CC$7:$CC$1843,CC1743,$AL$7:$AL$1843,AL1743,$BT$7:$BT$1843,"&lt;="&amp;BT1743),"")</f>
        <v>32897.858974359</v>
      </c>
      <c r="AN1743" s="58" t="n">
        <f aca="false">IF(AM1743="",0,MAX(0,MIN(1,(IF(CC1743="L1",Parameter!$H$5,IF(CC1743="L23",Parameter!$H$6+Parameter!$H$7,Parameter!$H$5+Parameter!$H$6+Parameter!$H$7))-(AM1743-AI1743))/AI1743)))</f>
        <v>1</v>
      </c>
      <c r="AO1743" s="50" t="n">
        <f aca="false">IF(LEFT(Cockpit!$I$5,1)="A",H1743,IF(CE1743=1,CF1743,IF(LEFT(Cockpit!$I$5,1)="B",AT1743,MAX(AT1743,H1743))))</f>
        <v>2</v>
      </c>
      <c r="AP1743" s="50" t="n">
        <f aca="false">IF(BW1743=1,0,ROUNDUP(AO1743/BV1743,0))</f>
        <v>0</v>
      </c>
      <c r="AQ1743" s="52" t="n">
        <f aca="false">IF(CL1743&gt;0,CL1743*MAX(1,AO1743/X1743),IF(BW1743=1,IF(AO1743&lt;=0,0,CA1743*MAX(1,IF(H1743&gt;0,AO1743/H1743,1))),IF(R1743&gt;0,AP1743/R1743,0))/MAX(0.1,N(Parameter!$M$21)))</f>
        <v>0.160075329566855</v>
      </c>
      <c r="AR1743" s="50" t="n">
        <f aca="false">AQ1743*BY1743</f>
        <v>38.0979284369115</v>
      </c>
      <c r="AS1743" s="50" t="n">
        <f aca="false">AO1743*G1743</f>
        <v>1027</v>
      </c>
      <c r="AT1743" s="50" t="n">
        <f aca="false">ROUNDUP(MAX(J1743/IF(CD1743&gt;0,CD1743,MAX(0.1,N(Cockpit!$I$6))),CG1743)/BV1743,0)*BV1743</f>
        <v>2</v>
      </c>
      <c r="AU1743" s="51" t="n">
        <f aca="false">IF(AR1743&gt;0,J1743/AR1743,-1)</f>
        <v>0</v>
      </c>
      <c r="AV1743" s="51" t="n">
        <f aca="false">IF(AND(OR(CC1743="L1",CC1743="L23",CC1743="LIFT"),AR1743&gt;0),SUMIFS($AR$7:$AR$1843,$CC$7:$CC$1843,CC1743,$AU$7:$AU$1843,"&gt;"&amp;AU1743)+SUMIFS($AR$7:$AR$1843,$CC$7:$CC$1843,CC1743,$AU$7:$AU$1843,AU1743,$BT$7:$BT$1843,"&lt;="&amp;BT1743),"")</f>
        <v>45583.1005748019</v>
      </c>
      <c r="AW1743" s="58" t="n">
        <f aca="false">IF(AV1743="",0,MAX(0,MIN(1,(IF(CC1743="L1",Parameter!$H$5,IF(CC1743="L23",Parameter!$H$6+Parameter!$H$7,Parameter!$H$5+Parameter!$H$6+Parameter!$H$7))-(AV1743-AR1743))/AR1743)))</f>
        <v>0</v>
      </c>
      <c r="AX1743" s="50" t="n">
        <f aca="false">IF(LEFT(Cockpit!$O$5,1)="A",H1743,IF(CE1743=1,CF1743,IF(LEFT(Cockpit!$O$5,1)="B",BC1743,MAX(BC1743,H1743))))</f>
        <v>2</v>
      </c>
      <c r="AY1743" s="50" t="n">
        <f aca="false">IF(BW1743=1,0,ROUNDUP(AX1743/BV1743,0))</f>
        <v>0</v>
      </c>
      <c r="AZ1743" s="52" t="n">
        <f aca="false">IF(CL1743&gt;0,CL1743*MAX(1,AX1743/X1743),IF(BW1743=1,IF(AX1743&lt;=0,0,CA1743*MAX(1,IF(H1743&gt;0,AX1743/H1743,1))),IF(R1743&gt;0,AY1743/R1743,0))/MAX(0.1,N(Parameter!$M$21)))</f>
        <v>0.160075329566855</v>
      </c>
      <c r="BA1743" s="50" t="n">
        <f aca="false">AZ1743*BY1743</f>
        <v>38.0979284369115</v>
      </c>
      <c r="BB1743" s="50" t="n">
        <f aca="false">AX1743*G1743</f>
        <v>1027</v>
      </c>
      <c r="BC1743" s="50" t="n">
        <f aca="false">ROUNDUP(MAX(J1743/IF(CD1743&gt;0,CD1743,MAX(0.1,N(Cockpit!$O$6))),CG1743)/BV1743,0)*BV1743</f>
        <v>2</v>
      </c>
      <c r="BD1743" s="51" t="n">
        <f aca="false">IF(BA1743&gt;0,J1743/BA1743,-1)</f>
        <v>0</v>
      </c>
      <c r="BE1743" s="51" t="n">
        <f aca="false">IF(AND(OR(CC1743="L1",CC1743="L23",CC1743="LIFT"),BA1743&gt;0),SUMIFS($BA$7:$BA$1843,$CC$7:$CC$1843,CC1743,$BD$7:$BD$1843,"&gt;"&amp;BD1743)+SUMIFS($BA$7:$BA$1843,$CC$7:$CC$1843,CC1743,$BD$7:$BD$1843,BD1743,$BT$7:$BT$1843,"&lt;="&amp;BT1743),"")</f>
        <v>42258.1126166677</v>
      </c>
      <c r="BF1743" s="58" t="n">
        <f aca="false">IF(BE1743="",0,MAX(0,MIN(1,(IF(CC1743="L1",Parameter!$H$5,IF(CC1743="L23",Parameter!$H$6+Parameter!$H$7,Parameter!$H$5+Parameter!$H$6+Parameter!$H$7))-(BE1743-BA1743))/BA1743)))</f>
        <v>0</v>
      </c>
      <c r="BG1743" s="48" t="str">
        <f aca="false">IF(AI1743&lt;=0,"",IF(CC1743="Aussen","Aussenlager",IF(CC1743="-","Nicht im Lift",IF(AN1743&gt;=1,"Lift",IF(AN1743&lt;=0,"Aussenlager","teilweise")))))</f>
        <v>Lift</v>
      </c>
      <c r="BH1743" s="48" t="str">
        <f aca="false">IF(AR1743&lt;=0,"",IF(CC1743="Aussen","Aussenlager",IF(CC1743="-","Nicht im Lift",IF(AW1743&gt;=1,"Lift",IF(AW1743&lt;=0,"Aussenlager","teilweise")))))</f>
        <v>Aussenlager</v>
      </c>
      <c r="BI1743" s="48" t="str">
        <f aca="false">IF(BA1743&lt;=0,"",IF(CC1743="Aussen","Aussenlager",IF(CC1743="-","Nicht im Lift",IF(BF1743&gt;=1,"Lift",IF(BF1743&lt;=0,"Aussenlager","teilweise")))))</f>
        <v>Aussenlager</v>
      </c>
      <c r="BJ1743" s="48" t="str">
        <f aca="false">IF(A1743="","",IF(BS1743=1,"Neu; ","")&amp;IF(AND(BS1743=0,BN1743&lt;0),"negativer Bestand (Export "&amp;BN1743&amp;"); ","")&amp;IF(J1743&lt;=0,"Kein Verbrauch; ","")&amp;IF(CL1743&gt;0,"Lift "&amp;W1743&amp;" lt. Liftbericht (Fach "&amp;X1743&amp;" Stk); ",IF(BX1743=1,"Gebinde geschätzt ("&amp;T1743&amp;"); ",IF(BW1743=1,"Lose – Tablare geschätzt; ","")))&amp;IF(H1743&gt;AT1743,"Überbestand "&amp;ROUND(H1743-AT1743,0)&amp;" Stk / CHF "&amp;ROUND((H1743-AT1743)*G1743,0)&amp;"; ","")&amp;IF(AND(CE1743=1,CF1743&lt;CG1743),"MAX &lt; MB+LG; ","")&amp;IF(AND(CK1743&gt;0,CJ1743*10&gt;CK1743),"zu hoch für Tablar; ","")&amp;IF(AND(BS1743=0,OR(CE1743=1,AA1743&lt;&gt;"",U1743&lt;&gt;"",V1743&lt;&gt;"",AB1743&lt;&gt;"")),"manuell übersteuert; ","")&amp;IF(AND(BW1743=0,R1743=0),"Gebinde unbekannt / Stellmass fehlt; ","")&amp;IF(AND(BW1743=0,N(V1743)&lt;=0,N(Q1743)&lt;=0),"Menge pro Gebinde fehlt (Ist = 1 Gebinde); ","")&amp;BR1743)</f>
        <v>Kein Verbrauch; Lift 1 lt. Liftbericht (Fach 2 Stk); nur im Liftbericht (nicht im Kennzahlen-Auszug)</v>
      </c>
      <c r="BK1743" s="48"/>
      <c r="BL1743" s="48"/>
      <c r="BM1743" s="55"/>
      <c r="BN1743" s="50" t="n">
        <v>2</v>
      </c>
      <c r="BO1743" s="50" t="n">
        <v>0</v>
      </c>
      <c r="BP1743" s="49" t="n">
        <v>0</v>
      </c>
      <c r="BQ1743" s="50" t="n">
        <v>0</v>
      </c>
      <c r="BR1743" s="48" t="s">
        <v>3018</v>
      </c>
      <c r="BS1743" s="53" t="n">
        <v>0</v>
      </c>
      <c r="BT1743" s="53" t="n">
        <v>1743</v>
      </c>
      <c r="BU1743" s="48" t="str">
        <f aca="false">IF(U1743&lt;&gt;"",UPPER(TRIM(U1743)),IF(BX1743=1,UPPER(VLOOKUP(T1743,Parameter!$I$27:$K$29,2,0)),IF(P1743="","LOSE",P1743)))</f>
        <v>LOSE</v>
      </c>
      <c r="BV1743" s="50" t="n">
        <f aca="false">IF(BU1743="LOSE",1,IF(N(V1743)&gt;0,V1743,IF(BX1743=1,MAX(1,N(VLOOKUP(T1743,Parameter!$I$27:$K$29,3,0)),H1743,N(N1743)),IF(N(Q1743)&gt;0,Q1743,MAX(1,H1743)))))</f>
        <v>1</v>
      </c>
      <c r="BW1743" s="53" t="n">
        <f aca="false">IF(BU1743="LOSE",1,0)</f>
        <v>1</v>
      </c>
      <c r="BX1743" s="53" t="n">
        <f aca="false">IF(AND(U1743="",OR(P1743="",P1743="LOSE"),T1743&lt;&gt;"",N(S1743)&lt;=0,ISNUMBER(MATCH(T1743,Parameter!$I$27:$I$29,0))),1,0)</f>
        <v>0</v>
      </c>
      <c r="BY1743" s="53" t="n">
        <f aca="false">IF(CL1743&gt;0,INDEX(Parameter!$H$5:$H$7,W1743)/INDEX(Parameter!$E$5:$E$7,W1743),IF(AND(BW1743=0,N(IFERROR(VLOOKUP(BU1743,'Gebinde-Kategorie'!$A$5:$N$45,14,0),0))&gt;0),VLOOKUP(BU1743,'Gebinde-Kategorie'!$A$5:$N$45,14,0)*10+Parameter!$M$23,Parameter!$M$24))</f>
        <v>238</v>
      </c>
      <c r="BZ1743" s="48" t="str">
        <f aca="false">IF(AND(Parameter!$B$19="Ja",E1743&lt;&gt;"",ISNUMBER(MATCH(E1743,Parameter!$I$35:$I$52,0))),VLOOKUP(E1743,Parameter!$I$35:$J$52,2,0),IFERROR(VLOOKUP(D1743,Parameter!$A$35:$C$64,2,0),"Nein"))</f>
        <v>2+3</v>
      </c>
      <c r="CA1743" s="52" t="n">
        <f aca="false">IF(BW1743=0,0,IF(N(S1743)&gt;0,S1743,IFERROR(VLOOKUP(D1743,Parameter!$A$35:$C$64,3,0)+0,0)))</f>
        <v>0.15</v>
      </c>
      <c r="CB1743" s="48" t="n">
        <f aca="false">IF(AA1743&lt;&gt;"",AA1743,Z1743)</f>
        <v>1</v>
      </c>
      <c r="CC1743" s="48" t="str">
        <f aca="false">IF(OR(CB1743=1,CB1743=2,CB1743=3),IF(Parameter!$E$27="Ja","LIFT",IF(CB1743=1,"L1","L23")),IF(CB1743="Aussen","Aussen","-"))</f>
        <v>LIFT</v>
      </c>
      <c r="CD1743" s="59" t="n">
        <f aca="false">IF(N(AB1743)&gt;0,AB1743,0)</f>
        <v>0</v>
      </c>
      <c r="CE1743" s="53" t="n">
        <f aca="false">IF(ISNUMBER(AE1743),1,0)</f>
        <v>0</v>
      </c>
      <c r="CF1743" s="50" t="n">
        <f aca="false">N(AE1743)</f>
        <v>0</v>
      </c>
      <c r="CG1743" s="50" t="n">
        <f aca="false">N(M1743)+N(N1743)</f>
        <v>2</v>
      </c>
      <c r="CH1743" s="50" t="n">
        <f aca="false">ROUNDUP(H1743/BV1743,0)</f>
        <v>2</v>
      </c>
      <c r="CI1743" s="50" t="n">
        <f aca="false">ROUNDUP(CF1743/BV1743,0)</f>
        <v>0</v>
      </c>
      <c r="CJ1743" s="53" t="n">
        <f aca="false">IF(BW1743=1,0,IFERROR(VLOOKUP(BU1743,'Gebinde-Kategorie'!$A$5:$N$45,5,0)+0,0))</f>
        <v>0</v>
      </c>
      <c r="CK1743" s="53" t="n">
        <f aca="false">IFERROR(IF(OR(CB1743=1,CB1743=2,CB1743=3),N(INDEX(Parameter!$I$5:$I$7,CB1743)),0),0)</f>
        <v>0</v>
      </c>
      <c r="CL1743" s="52" t="n">
        <f aca="false">IF(AND(Parameter!$B$21="Ja",ISNUMBER(W1743),N(X1743)&gt;0),IFERROR(N(INDEX(Parameter!$L$5:$L$7,W1743))*INDEX(Parameter!$E$5:$E$7,W1743)*X1743/SUMIFS($X$7:$X$1843,$W$7:$W$1843,W1743),0),0)</f>
        <v>0.160075329566855</v>
      </c>
    </row>
    <row r="1744" customFormat="false" ht="15" hidden="false" customHeight="false" outlineLevel="0" collapsed="false">
      <c r="A1744" s="48" t="str">
        <f aca="false">IF('Neue Artikel'!$A$5="","",'Neue Artikel'!$A$5&amp;"")</f>
        <v/>
      </c>
      <c r="B1744" s="48" t="str">
        <f aca="false">'Neue Artikel'!$B$5&amp;""</f>
        <v/>
      </c>
      <c r="C1744" s="48"/>
      <c r="D1744" s="48" t="s">
        <v>3019</v>
      </c>
      <c r="E1744" s="48"/>
      <c r="F1744" s="48"/>
      <c r="G1744" s="49" t="n">
        <f aca="false">N('Neue Artikel'!$G$5)</f>
        <v>0</v>
      </c>
      <c r="H1744" s="50" t="n">
        <f aca="false">MAX(0,IF(AND(Parameter!$B$21="Ja",ISNUMBER(Y1744)),Y1744,IF(Parameter!$B$20="Jahresanfang 2025 + Export",BO1744+BN1744,BN1744)))</f>
        <v>0</v>
      </c>
      <c r="I1744" s="50" t="n">
        <f aca="false">H1744*G1744</f>
        <v>0</v>
      </c>
      <c r="J1744" s="50" t="n">
        <f aca="false">BQ1744*Parameter!$B$18</f>
        <v>0</v>
      </c>
      <c r="K1744" s="51"/>
      <c r="L1744" s="52"/>
      <c r="M1744" s="50" t="n">
        <f aca="false">N('Neue Artikel'!$E$5)</f>
        <v>0</v>
      </c>
      <c r="N1744" s="50" t="n">
        <f aca="false">N('Neue Artikel'!$F$5)</f>
        <v>0</v>
      </c>
      <c r="O1744" s="53"/>
      <c r="P1744" s="48" t="str">
        <f aca="false">IF('Neue Artikel'!$H$5="","LOSE",UPPER(TRIM('Neue Artikel'!$H$5)))</f>
        <v>LOSE</v>
      </c>
      <c r="Q1744" s="50" t="n">
        <f aca="false">N('Neue Artikel'!$I$5)</f>
        <v>0</v>
      </c>
      <c r="R1744" s="53" t="n">
        <f aca="false">IF(BW1744=1,0,IFERROR(VLOOKUP(BU1744,'Gebinde-Kategorie'!$A$5:$N$45,13,0)+0,0))</f>
        <v>0</v>
      </c>
      <c r="S1744" s="54"/>
      <c r="T1744" s="55"/>
      <c r="U1744" s="55"/>
      <c r="V1744" s="55"/>
      <c r="W1744" s="48"/>
      <c r="X1744" s="50"/>
      <c r="Y1744" s="50"/>
      <c r="Z1744" s="48" t="str">
        <f aca="false">IF(A1744="","",IF(AND(Parameter!$B$21="Ja",ISNUMBER(W1744)),W1744,IF(BZ1744="2+3",IF(ISNUMBER(SEARCH("grosser Artikel",BR1744)),2,IFERROR(VLOOKUP(BU1744,Parameter!$F$35:$G$64,2,0),2)),IF(OR(BZ1744="Nein",BZ1744=""),"-",BZ1744))))</f>
        <v/>
      </c>
      <c r="AA1744" s="48" t="str">
        <f aca="false">IF('Neue Artikel'!$J$5="","",'Neue Artikel'!$J$5)</f>
        <v/>
      </c>
      <c r="AB1744" s="56"/>
      <c r="AC1744" s="50" t="n">
        <f aca="false">AT1744</f>
        <v>0</v>
      </c>
      <c r="AD1744" s="50" t="n">
        <f aca="false">MAX(AT1744,H1744)</f>
        <v>0</v>
      </c>
      <c r="AE1744" s="57"/>
      <c r="AF1744" s="50" t="n">
        <f aca="false">IF(LEFT(Cockpit!$C$5,1)="A",H1744,IF(CE1744=1,CF1744,IF(LEFT(Cockpit!$C$5,1)="B",AK1744,MAX(AK1744,H1744))))</f>
        <v>0</v>
      </c>
      <c r="AG1744" s="50" t="n">
        <f aca="false">IF(BW1744=1,0,ROUNDUP(AF1744/BV1744,0))</f>
        <v>0</v>
      </c>
      <c r="AH1744" s="52" t="n">
        <f aca="false">IF(CL1744&gt;0,CL1744*MAX(1,AF1744/X1744),IF(BW1744=1,IF(AF1744&lt;=0,0,CA1744*MAX(1,IF(H1744&gt;0,AF1744/H1744,1))),IF(R1744&gt;0,AG1744/R1744,0))/MAX(0.1,N(Parameter!$M$21)))</f>
        <v>0</v>
      </c>
      <c r="AI1744" s="50" t="n">
        <f aca="false">AH1744*BY1744</f>
        <v>0</v>
      </c>
      <c r="AJ1744" s="50" t="n">
        <f aca="false">AF1744*G1744</f>
        <v>0</v>
      </c>
      <c r="AK1744" s="50" t="n">
        <f aca="false">ROUNDUP(MAX(J1744/IF(CD1744&gt;0,CD1744,MAX(0.1,N(Cockpit!$C$6))),CG1744)/BV1744,0)*BV1744</f>
        <v>0</v>
      </c>
      <c r="AL1744" s="51" t="n">
        <f aca="false">IF(AI1744&gt;0,J1744/AI1744,-1)</f>
        <v>-1</v>
      </c>
      <c r="AM1744" s="51" t="str">
        <f aca="false">IF(AND(OR(CC1744="L1",CC1744="L23",CC1744="LIFT"),AI1744&gt;0),SUMIFS($AI$7:$AI$1843,$CC$7:$CC$1843,CC1744,$AL$7:$AL$1843,"&gt;"&amp;AL1744)+SUMIFS($AI$7:$AI$1843,$CC$7:$CC$1843,CC1744,$AL$7:$AL$1843,AL1744,$BT$7:$BT$1843,"&lt;="&amp;BT1744),"")</f>
        <v/>
      </c>
      <c r="AN1744" s="58" t="n">
        <f aca="false">IF(AM1744="",0,MAX(0,MIN(1,(IF(CC1744="L1",Parameter!$H$5,IF(CC1744="L23",Parameter!$H$6+Parameter!$H$7,Parameter!$H$5+Parameter!$H$6+Parameter!$H$7))-(AM1744-AI1744))/AI1744)))</f>
        <v>0</v>
      </c>
      <c r="AO1744" s="50" t="n">
        <f aca="false">IF(LEFT(Cockpit!$I$5,1)="A",H1744,IF(CE1744=1,CF1744,IF(LEFT(Cockpit!$I$5,1)="B",AT1744,MAX(AT1744,H1744))))</f>
        <v>0</v>
      </c>
      <c r="AP1744" s="50" t="n">
        <f aca="false">IF(BW1744=1,0,ROUNDUP(AO1744/BV1744,0))</f>
        <v>0</v>
      </c>
      <c r="AQ1744" s="52" t="n">
        <f aca="false">IF(CL1744&gt;0,CL1744*MAX(1,AO1744/X1744),IF(BW1744=1,IF(AO1744&lt;=0,0,CA1744*MAX(1,IF(H1744&gt;0,AO1744/H1744,1))),IF(R1744&gt;0,AP1744/R1744,0))/MAX(0.1,N(Parameter!$M$21)))</f>
        <v>0</v>
      </c>
      <c r="AR1744" s="50" t="n">
        <f aca="false">AQ1744*BY1744</f>
        <v>0</v>
      </c>
      <c r="AS1744" s="50" t="n">
        <f aca="false">AO1744*G1744</f>
        <v>0</v>
      </c>
      <c r="AT1744" s="50" t="n">
        <f aca="false">ROUNDUP(MAX(J1744/IF(CD1744&gt;0,CD1744,MAX(0.1,N(Cockpit!$I$6))),CG1744)/BV1744,0)*BV1744</f>
        <v>0</v>
      </c>
      <c r="AU1744" s="51" t="n">
        <f aca="false">IF(AR1744&gt;0,J1744/AR1744,-1)</f>
        <v>-1</v>
      </c>
      <c r="AV1744" s="51" t="str">
        <f aca="false">IF(AND(OR(CC1744="L1",CC1744="L23",CC1744="LIFT"),AR1744&gt;0),SUMIFS($AR$7:$AR$1843,$CC$7:$CC$1843,CC1744,$AU$7:$AU$1843,"&gt;"&amp;AU1744)+SUMIFS($AR$7:$AR$1843,$CC$7:$CC$1843,CC1744,$AU$7:$AU$1843,AU1744,$BT$7:$BT$1843,"&lt;="&amp;BT1744),"")</f>
        <v/>
      </c>
      <c r="AW1744" s="58" t="n">
        <f aca="false">IF(AV1744="",0,MAX(0,MIN(1,(IF(CC1744="L1",Parameter!$H$5,IF(CC1744="L23",Parameter!$H$6+Parameter!$H$7,Parameter!$H$5+Parameter!$H$6+Parameter!$H$7))-(AV1744-AR1744))/AR1744)))</f>
        <v>0</v>
      </c>
      <c r="AX1744" s="50" t="n">
        <f aca="false">IF(LEFT(Cockpit!$O$5,1)="A",H1744,IF(CE1744=1,CF1744,IF(LEFT(Cockpit!$O$5,1)="B",BC1744,MAX(BC1744,H1744))))</f>
        <v>0</v>
      </c>
      <c r="AY1744" s="50" t="n">
        <f aca="false">IF(BW1744=1,0,ROUNDUP(AX1744/BV1744,0))</f>
        <v>0</v>
      </c>
      <c r="AZ1744" s="52" t="n">
        <f aca="false">IF(CL1744&gt;0,CL1744*MAX(1,AX1744/X1744),IF(BW1744=1,IF(AX1744&lt;=0,0,CA1744*MAX(1,IF(H1744&gt;0,AX1744/H1744,1))),IF(R1744&gt;0,AY1744/R1744,0))/MAX(0.1,N(Parameter!$M$21)))</f>
        <v>0</v>
      </c>
      <c r="BA1744" s="50" t="n">
        <f aca="false">AZ1744*BY1744</f>
        <v>0</v>
      </c>
      <c r="BB1744" s="50" t="n">
        <f aca="false">AX1744*G1744</f>
        <v>0</v>
      </c>
      <c r="BC1744" s="50" t="n">
        <f aca="false">ROUNDUP(MAX(J1744/IF(CD1744&gt;0,CD1744,MAX(0.1,N(Cockpit!$O$6))),CG1744)/BV1744,0)*BV1744</f>
        <v>0</v>
      </c>
      <c r="BD1744" s="51" t="n">
        <f aca="false">IF(BA1744&gt;0,J1744/BA1744,-1)</f>
        <v>-1</v>
      </c>
      <c r="BE1744" s="51" t="str">
        <f aca="false">IF(AND(OR(CC1744="L1",CC1744="L23",CC1744="LIFT"),BA1744&gt;0),SUMIFS($BA$7:$BA$1843,$CC$7:$CC$1843,CC1744,$BD$7:$BD$1843,"&gt;"&amp;BD1744)+SUMIFS($BA$7:$BA$1843,$CC$7:$CC$1843,CC1744,$BD$7:$BD$1843,BD1744,$BT$7:$BT$1843,"&lt;="&amp;BT1744),"")</f>
        <v/>
      </c>
      <c r="BF1744" s="58" t="n">
        <f aca="false">IF(BE1744="",0,MAX(0,MIN(1,(IF(CC1744="L1",Parameter!$H$5,IF(CC1744="L23",Parameter!$H$6+Parameter!$H$7,Parameter!$H$5+Parameter!$H$6+Parameter!$H$7))-(BE1744-BA1744))/BA1744)))</f>
        <v>0</v>
      </c>
      <c r="BG1744" s="48" t="str">
        <f aca="false">IF(AI1744&lt;=0,"",IF(CC1744="Aussen","Aussenlager",IF(CC1744="-","Nicht im Lift",IF(AN1744&gt;=1,"Lift",IF(AN1744&lt;=0,"Aussenlager","teilweise")))))</f>
        <v/>
      </c>
      <c r="BH1744" s="48" t="str">
        <f aca="false">IF(AR1744&lt;=0,"",IF(CC1744="Aussen","Aussenlager",IF(CC1744="-","Nicht im Lift",IF(AW1744&gt;=1,"Lift",IF(AW1744&lt;=0,"Aussenlager","teilweise")))))</f>
        <v/>
      </c>
      <c r="BI1744" s="48" t="str">
        <f aca="false">IF(BA1744&lt;=0,"",IF(CC1744="Aussen","Aussenlager",IF(CC1744="-","Nicht im Lift",IF(BF1744&gt;=1,"Lift",IF(BF1744&lt;=0,"Aussenlager","teilweise")))))</f>
        <v/>
      </c>
      <c r="BJ1744" s="48" t="str">
        <f aca="false">IF(A1744="","",IF(BS1744=1,"Neu; ","")&amp;IF(AND(BS1744=0,BN1744&lt;0),"negativer Bestand (Export "&amp;BN1744&amp;"); ","")&amp;IF(J1744&lt;=0,"Kein Verbrauch; ","")&amp;IF(CL1744&gt;0,"Lift "&amp;W1744&amp;" lt. Liftbericht (Fach "&amp;X1744&amp;" Stk); ",IF(BX1744=1,"Gebinde geschätzt ("&amp;T1744&amp;"); ",IF(BW1744=1,"Lose – Tablare geschätzt; ","")))&amp;IF(H1744&gt;AT1744,"Überbestand "&amp;ROUND(H1744-AT1744,0)&amp;" Stk / CHF "&amp;ROUND((H1744-AT1744)*G1744,0)&amp;"; ","")&amp;IF(AND(CE1744=1,CF1744&lt;CG1744),"MAX &lt; MB+LG; ","")&amp;IF(AND(CK1744&gt;0,CJ1744*10&gt;CK1744),"zu hoch für Tablar; ","")&amp;IF(AND(BS1744=0,OR(CE1744=1,AA1744&lt;&gt;"",U1744&lt;&gt;"",V1744&lt;&gt;"",AB1744&lt;&gt;"")),"manuell übersteuert; ","")&amp;IF(AND(BW1744=0,R1744=0),"Gebinde unbekannt / Stellmass fehlt; ","")&amp;IF(AND(BW1744=0,N(V1744)&lt;=0,N(Q1744)&lt;=0),"Menge pro Gebinde fehlt (Ist = 1 Gebinde); ","")&amp;BR1744)</f>
        <v/>
      </c>
      <c r="BK1744" s="48"/>
      <c r="BL1744" s="48"/>
      <c r="BM1744" s="55"/>
      <c r="BN1744" s="50" t="n">
        <f aca="false">N('Neue Artikel'!$D$5)</f>
        <v>0</v>
      </c>
      <c r="BO1744" s="50" t="n">
        <v>0</v>
      </c>
      <c r="BP1744" s="49" t="n">
        <v>0</v>
      </c>
      <c r="BQ1744" s="50" t="n">
        <f aca="false">N('Neue Artikel'!$C$5)/Parameter!$B$18</f>
        <v>0</v>
      </c>
      <c r="BR1744" s="48"/>
      <c r="BS1744" s="53" t="n">
        <v>1</v>
      </c>
      <c r="BT1744" s="53" t="n">
        <v>1744</v>
      </c>
      <c r="BU1744" s="48" t="str">
        <f aca="false">IF(U1744&lt;&gt;"",UPPER(TRIM(U1744)),IF(BX1744=1,UPPER(VLOOKUP(T1744,Parameter!$I$27:$K$29,2,0)),IF(P1744="","LOSE",P1744)))</f>
        <v>LOSE</v>
      </c>
      <c r="BV1744" s="50" t="n">
        <f aca="false">IF(BU1744="LOSE",1,IF(N(V1744)&gt;0,V1744,IF(BX1744=1,MAX(1,N(VLOOKUP(T1744,Parameter!$I$27:$K$29,3,0)),H1744,N(N1744)),IF(N(Q1744)&gt;0,Q1744,MAX(1,H1744)))))</f>
        <v>1</v>
      </c>
      <c r="BW1744" s="53" t="n">
        <f aca="false">IF(BU1744="LOSE",1,0)</f>
        <v>1</v>
      </c>
      <c r="BX1744" s="53" t="n">
        <f aca="false">IF(AND(U1744="",OR(P1744="",P1744="LOSE"),T1744&lt;&gt;"",N(S1744)&lt;=0,ISNUMBER(MATCH(T1744,Parameter!$I$27:$I$29,0))),1,0)</f>
        <v>0</v>
      </c>
      <c r="BY1744" s="53" t="n">
        <f aca="false">IF(CL1744&gt;0,INDEX(Parameter!$H$5:$H$7,W1744)/INDEX(Parameter!$E$5:$E$7,W1744),IF(AND(BW1744=0,N(IFERROR(VLOOKUP(BU1744,'Gebinde-Kategorie'!$A$5:$N$45,14,0),0))&gt;0),VLOOKUP(BU1744,'Gebinde-Kategorie'!$A$5:$N$45,14,0)*10+Parameter!$M$23,Parameter!$M$24))</f>
        <v>235</v>
      </c>
      <c r="BZ1744" s="48" t="str">
        <f aca="false">IF(AND(Parameter!$B$19="Ja",E1744&lt;&gt;"",ISNUMBER(MATCH(E1744,Parameter!$I$35:$I$52,0))),VLOOKUP(E1744,Parameter!$I$35:$J$52,2,0),IFERROR(VLOOKUP(D1744,Parameter!$A$35:$C$64,2,0),"Nein"))</f>
        <v>2+3</v>
      </c>
      <c r="CA1744" s="52" t="n">
        <f aca="false">IF(BW1744=0,0,IF(N(S1744)&gt;0,S1744,IFERROR(VLOOKUP(D1744,Parameter!$A$35:$C$64,3,0)+0,0)))</f>
        <v>0.15</v>
      </c>
      <c r="CB1744" s="48" t="str">
        <f aca="false">IF(AA1744&lt;&gt;"",AA1744,Z1744)</f>
        <v/>
      </c>
      <c r="CC1744" s="48" t="str">
        <f aca="false">IF(OR(CB1744=1,CB1744=2,CB1744=3),IF(Parameter!$E$27="Ja","LIFT",IF(CB1744=1,"L1","L23")),IF(CB1744="Aussen","Aussen","-"))</f>
        <v>-</v>
      </c>
      <c r="CD1744" s="59" t="n">
        <f aca="false">IF(N(AB1744)&gt;0,AB1744,0)</f>
        <v>0</v>
      </c>
      <c r="CE1744" s="53" t="n">
        <f aca="false">IF(ISNUMBER(AE1744),1,0)</f>
        <v>0</v>
      </c>
      <c r="CF1744" s="50" t="n">
        <f aca="false">N(AE1744)</f>
        <v>0</v>
      </c>
      <c r="CG1744" s="50" t="n">
        <f aca="false">N(M1744)+N(N1744)</f>
        <v>0</v>
      </c>
      <c r="CH1744" s="50" t="n">
        <f aca="false">ROUNDUP(H1744/BV1744,0)</f>
        <v>0</v>
      </c>
      <c r="CI1744" s="50" t="n">
        <f aca="false">ROUNDUP(CF1744/BV1744,0)</f>
        <v>0</v>
      </c>
      <c r="CJ1744" s="53" t="n">
        <f aca="false">IF(BW1744=1,0,IFERROR(VLOOKUP(BU1744,'Gebinde-Kategorie'!$A$5:$N$45,5,0)+0,0))</f>
        <v>0</v>
      </c>
      <c r="CK1744" s="53" t="n">
        <f aca="false">IFERROR(IF(OR(CB1744=1,CB1744=2,CB1744=3),N(INDEX(Parameter!$I$5:$I$7,CB1744)),0),0)</f>
        <v>0</v>
      </c>
      <c r="CL1744" s="52" t="n">
        <f aca="false">IF(AND(Parameter!$B$21="Ja",ISNUMBER(W1744),N(X1744)&gt;0),IFERROR(N(INDEX(Parameter!$L$5:$L$7,W1744))*INDEX(Parameter!$E$5:$E$7,W1744)*X1744/SUMIFS($X$7:$X$1843,$W$7:$W$1843,W1744),0),0)</f>
        <v>0</v>
      </c>
    </row>
    <row r="1745" customFormat="false" ht="15" hidden="false" customHeight="false" outlineLevel="0" collapsed="false">
      <c r="A1745" s="48" t="str">
        <f aca="false">IF('Neue Artikel'!$A$6="","",'Neue Artikel'!$A$6&amp;"")</f>
        <v/>
      </c>
      <c r="B1745" s="48" t="str">
        <f aca="false">'Neue Artikel'!$B$6&amp;""</f>
        <v/>
      </c>
      <c r="C1745" s="48"/>
      <c r="D1745" s="48" t="s">
        <v>3019</v>
      </c>
      <c r="E1745" s="48"/>
      <c r="F1745" s="48"/>
      <c r="G1745" s="49" t="n">
        <f aca="false">N('Neue Artikel'!$G$6)</f>
        <v>0</v>
      </c>
      <c r="H1745" s="50" t="n">
        <f aca="false">MAX(0,IF(AND(Parameter!$B$21="Ja",ISNUMBER(Y1745)),Y1745,IF(Parameter!$B$20="Jahresanfang 2025 + Export",BO1745+BN1745,BN1745)))</f>
        <v>0</v>
      </c>
      <c r="I1745" s="50" t="n">
        <f aca="false">H1745*G1745</f>
        <v>0</v>
      </c>
      <c r="J1745" s="50" t="n">
        <f aca="false">BQ1745*Parameter!$B$18</f>
        <v>0</v>
      </c>
      <c r="K1745" s="51"/>
      <c r="L1745" s="52"/>
      <c r="M1745" s="50" t="n">
        <f aca="false">N('Neue Artikel'!$E$6)</f>
        <v>0</v>
      </c>
      <c r="N1745" s="50" t="n">
        <f aca="false">N('Neue Artikel'!$F$6)</f>
        <v>0</v>
      </c>
      <c r="O1745" s="53"/>
      <c r="P1745" s="48" t="str">
        <f aca="false">IF('Neue Artikel'!$H$6="","LOSE",UPPER(TRIM('Neue Artikel'!$H$6)))</f>
        <v>LOSE</v>
      </c>
      <c r="Q1745" s="50" t="n">
        <f aca="false">N('Neue Artikel'!$I$6)</f>
        <v>0</v>
      </c>
      <c r="R1745" s="53" t="n">
        <f aca="false">IF(BW1745=1,0,IFERROR(VLOOKUP(BU1745,'Gebinde-Kategorie'!$A$5:$N$45,13,0)+0,0))</f>
        <v>0</v>
      </c>
      <c r="S1745" s="54"/>
      <c r="T1745" s="55"/>
      <c r="U1745" s="55"/>
      <c r="V1745" s="55"/>
      <c r="W1745" s="48"/>
      <c r="X1745" s="50"/>
      <c r="Y1745" s="50"/>
      <c r="Z1745" s="48" t="str">
        <f aca="false">IF(A1745="","",IF(AND(Parameter!$B$21="Ja",ISNUMBER(W1745)),W1745,IF(BZ1745="2+3",IF(ISNUMBER(SEARCH("grosser Artikel",BR1745)),2,IFERROR(VLOOKUP(BU1745,Parameter!$F$35:$G$64,2,0),2)),IF(OR(BZ1745="Nein",BZ1745=""),"-",BZ1745))))</f>
        <v/>
      </c>
      <c r="AA1745" s="48" t="str">
        <f aca="false">IF('Neue Artikel'!$J$6="","",'Neue Artikel'!$J$6)</f>
        <v/>
      </c>
      <c r="AB1745" s="56"/>
      <c r="AC1745" s="50" t="n">
        <f aca="false">AT1745</f>
        <v>0</v>
      </c>
      <c r="AD1745" s="50" t="n">
        <f aca="false">MAX(AT1745,H1745)</f>
        <v>0</v>
      </c>
      <c r="AE1745" s="57"/>
      <c r="AF1745" s="50" t="n">
        <f aca="false">IF(LEFT(Cockpit!$C$5,1)="A",H1745,IF(CE1745=1,CF1745,IF(LEFT(Cockpit!$C$5,1)="B",AK1745,MAX(AK1745,H1745))))</f>
        <v>0</v>
      </c>
      <c r="AG1745" s="50" t="n">
        <f aca="false">IF(BW1745=1,0,ROUNDUP(AF1745/BV1745,0))</f>
        <v>0</v>
      </c>
      <c r="AH1745" s="52" t="n">
        <f aca="false">IF(CL1745&gt;0,CL1745*MAX(1,AF1745/X1745),IF(BW1745=1,IF(AF1745&lt;=0,0,CA1745*MAX(1,IF(H1745&gt;0,AF1745/H1745,1))),IF(R1745&gt;0,AG1745/R1745,0))/MAX(0.1,N(Parameter!$M$21)))</f>
        <v>0</v>
      </c>
      <c r="AI1745" s="50" t="n">
        <f aca="false">AH1745*BY1745</f>
        <v>0</v>
      </c>
      <c r="AJ1745" s="50" t="n">
        <f aca="false">AF1745*G1745</f>
        <v>0</v>
      </c>
      <c r="AK1745" s="50" t="n">
        <f aca="false">ROUNDUP(MAX(J1745/IF(CD1745&gt;0,CD1745,MAX(0.1,N(Cockpit!$C$6))),CG1745)/BV1745,0)*BV1745</f>
        <v>0</v>
      </c>
      <c r="AL1745" s="51" t="n">
        <f aca="false">IF(AI1745&gt;0,J1745/AI1745,-1)</f>
        <v>-1</v>
      </c>
      <c r="AM1745" s="51" t="str">
        <f aca="false">IF(AND(OR(CC1745="L1",CC1745="L23",CC1745="LIFT"),AI1745&gt;0),SUMIFS($AI$7:$AI$1843,$CC$7:$CC$1843,CC1745,$AL$7:$AL$1843,"&gt;"&amp;AL1745)+SUMIFS($AI$7:$AI$1843,$CC$7:$CC$1843,CC1745,$AL$7:$AL$1843,AL1745,$BT$7:$BT$1843,"&lt;="&amp;BT1745),"")</f>
        <v/>
      </c>
      <c r="AN1745" s="58" t="n">
        <f aca="false">IF(AM1745="",0,MAX(0,MIN(1,(IF(CC1745="L1",Parameter!$H$5,IF(CC1745="L23",Parameter!$H$6+Parameter!$H$7,Parameter!$H$5+Parameter!$H$6+Parameter!$H$7))-(AM1745-AI1745))/AI1745)))</f>
        <v>0</v>
      </c>
      <c r="AO1745" s="50" t="n">
        <f aca="false">IF(LEFT(Cockpit!$I$5,1)="A",H1745,IF(CE1745=1,CF1745,IF(LEFT(Cockpit!$I$5,1)="B",AT1745,MAX(AT1745,H1745))))</f>
        <v>0</v>
      </c>
      <c r="AP1745" s="50" t="n">
        <f aca="false">IF(BW1745=1,0,ROUNDUP(AO1745/BV1745,0))</f>
        <v>0</v>
      </c>
      <c r="AQ1745" s="52" t="n">
        <f aca="false">IF(CL1745&gt;0,CL1745*MAX(1,AO1745/X1745),IF(BW1745=1,IF(AO1745&lt;=0,0,CA1745*MAX(1,IF(H1745&gt;0,AO1745/H1745,1))),IF(R1745&gt;0,AP1745/R1745,0))/MAX(0.1,N(Parameter!$M$21)))</f>
        <v>0</v>
      </c>
      <c r="AR1745" s="50" t="n">
        <f aca="false">AQ1745*BY1745</f>
        <v>0</v>
      </c>
      <c r="AS1745" s="50" t="n">
        <f aca="false">AO1745*G1745</f>
        <v>0</v>
      </c>
      <c r="AT1745" s="50" t="n">
        <f aca="false">ROUNDUP(MAX(J1745/IF(CD1745&gt;0,CD1745,MAX(0.1,N(Cockpit!$I$6))),CG1745)/BV1745,0)*BV1745</f>
        <v>0</v>
      </c>
      <c r="AU1745" s="51" t="n">
        <f aca="false">IF(AR1745&gt;0,J1745/AR1745,-1)</f>
        <v>-1</v>
      </c>
      <c r="AV1745" s="51" t="str">
        <f aca="false">IF(AND(OR(CC1745="L1",CC1745="L23",CC1745="LIFT"),AR1745&gt;0),SUMIFS($AR$7:$AR$1843,$CC$7:$CC$1843,CC1745,$AU$7:$AU$1843,"&gt;"&amp;AU1745)+SUMIFS($AR$7:$AR$1843,$CC$7:$CC$1843,CC1745,$AU$7:$AU$1843,AU1745,$BT$7:$BT$1843,"&lt;="&amp;BT1745),"")</f>
        <v/>
      </c>
      <c r="AW1745" s="58" t="n">
        <f aca="false">IF(AV1745="",0,MAX(0,MIN(1,(IF(CC1745="L1",Parameter!$H$5,IF(CC1745="L23",Parameter!$H$6+Parameter!$H$7,Parameter!$H$5+Parameter!$H$6+Parameter!$H$7))-(AV1745-AR1745))/AR1745)))</f>
        <v>0</v>
      </c>
      <c r="AX1745" s="50" t="n">
        <f aca="false">IF(LEFT(Cockpit!$O$5,1)="A",H1745,IF(CE1745=1,CF1745,IF(LEFT(Cockpit!$O$5,1)="B",BC1745,MAX(BC1745,H1745))))</f>
        <v>0</v>
      </c>
      <c r="AY1745" s="50" t="n">
        <f aca="false">IF(BW1745=1,0,ROUNDUP(AX1745/BV1745,0))</f>
        <v>0</v>
      </c>
      <c r="AZ1745" s="52" t="n">
        <f aca="false">IF(CL1745&gt;0,CL1745*MAX(1,AX1745/X1745),IF(BW1745=1,IF(AX1745&lt;=0,0,CA1745*MAX(1,IF(H1745&gt;0,AX1745/H1745,1))),IF(R1745&gt;0,AY1745/R1745,0))/MAX(0.1,N(Parameter!$M$21)))</f>
        <v>0</v>
      </c>
      <c r="BA1745" s="50" t="n">
        <f aca="false">AZ1745*BY1745</f>
        <v>0</v>
      </c>
      <c r="BB1745" s="50" t="n">
        <f aca="false">AX1745*G1745</f>
        <v>0</v>
      </c>
      <c r="BC1745" s="50" t="n">
        <f aca="false">ROUNDUP(MAX(J1745/IF(CD1745&gt;0,CD1745,MAX(0.1,N(Cockpit!$O$6))),CG1745)/BV1745,0)*BV1745</f>
        <v>0</v>
      </c>
      <c r="BD1745" s="51" t="n">
        <f aca="false">IF(BA1745&gt;0,J1745/BA1745,-1)</f>
        <v>-1</v>
      </c>
      <c r="BE1745" s="51" t="str">
        <f aca="false">IF(AND(OR(CC1745="L1",CC1745="L23",CC1745="LIFT"),BA1745&gt;0),SUMIFS($BA$7:$BA$1843,$CC$7:$CC$1843,CC1745,$BD$7:$BD$1843,"&gt;"&amp;BD1745)+SUMIFS($BA$7:$BA$1843,$CC$7:$CC$1843,CC1745,$BD$7:$BD$1843,BD1745,$BT$7:$BT$1843,"&lt;="&amp;BT1745),"")</f>
        <v/>
      </c>
      <c r="BF1745" s="58" t="n">
        <f aca="false">IF(BE1745="",0,MAX(0,MIN(1,(IF(CC1745="L1",Parameter!$H$5,IF(CC1745="L23",Parameter!$H$6+Parameter!$H$7,Parameter!$H$5+Parameter!$H$6+Parameter!$H$7))-(BE1745-BA1745))/BA1745)))</f>
        <v>0</v>
      </c>
      <c r="BG1745" s="48" t="str">
        <f aca="false">IF(AI1745&lt;=0,"",IF(CC1745="Aussen","Aussenlager",IF(CC1745="-","Nicht im Lift",IF(AN1745&gt;=1,"Lift",IF(AN1745&lt;=0,"Aussenlager","teilweise")))))</f>
        <v/>
      </c>
      <c r="BH1745" s="48" t="str">
        <f aca="false">IF(AR1745&lt;=0,"",IF(CC1745="Aussen","Aussenlager",IF(CC1745="-","Nicht im Lift",IF(AW1745&gt;=1,"Lift",IF(AW1745&lt;=0,"Aussenlager","teilweise")))))</f>
        <v/>
      </c>
      <c r="BI1745" s="48" t="str">
        <f aca="false">IF(BA1745&lt;=0,"",IF(CC1745="Aussen","Aussenlager",IF(CC1745="-","Nicht im Lift",IF(BF1745&gt;=1,"Lift",IF(BF1745&lt;=0,"Aussenlager","teilweise")))))</f>
        <v/>
      </c>
      <c r="BJ1745" s="48" t="str">
        <f aca="false">IF(A1745="","",IF(BS1745=1,"Neu; ","")&amp;IF(AND(BS1745=0,BN1745&lt;0),"negativer Bestand (Export "&amp;BN1745&amp;"); ","")&amp;IF(J1745&lt;=0,"Kein Verbrauch; ","")&amp;IF(CL1745&gt;0,"Lift "&amp;W1745&amp;" lt. Liftbericht (Fach "&amp;X1745&amp;" Stk); ",IF(BX1745=1,"Gebinde geschätzt ("&amp;T1745&amp;"); ",IF(BW1745=1,"Lose – Tablare geschätzt; ","")))&amp;IF(H1745&gt;AT1745,"Überbestand "&amp;ROUND(H1745-AT1745,0)&amp;" Stk / CHF "&amp;ROUND((H1745-AT1745)*G1745,0)&amp;"; ","")&amp;IF(AND(CE1745=1,CF1745&lt;CG1745),"MAX &lt; MB+LG; ","")&amp;IF(AND(CK1745&gt;0,CJ1745*10&gt;CK1745),"zu hoch für Tablar; ","")&amp;IF(AND(BS1745=0,OR(CE1745=1,AA1745&lt;&gt;"",U1745&lt;&gt;"",V1745&lt;&gt;"",AB1745&lt;&gt;"")),"manuell übersteuert; ","")&amp;IF(AND(BW1745=0,R1745=0),"Gebinde unbekannt / Stellmass fehlt; ","")&amp;IF(AND(BW1745=0,N(V1745)&lt;=0,N(Q1745)&lt;=0),"Menge pro Gebinde fehlt (Ist = 1 Gebinde); ","")&amp;BR1745)</f>
        <v/>
      </c>
      <c r="BK1745" s="48"/>
      <c r="BL1745" s="48"/>
      <c r="BM1745" s="55"/>
      <c r="BN1745" s="50" t="n">
        <f aca="false">N('Neue Artikel'!$D$6)</f>
        <v>0</v>
      </c>
      <c r="BO1745" s="50" t="n">
        <v>0</v>
      </c>
      <c r="BP1745" s="49" t="n">
        <v>0</v>
      </c>
      <c r="BQ1745" s="50" t="n">
        <f aca="false">N('Neue Artikel'!$C$6)/Parameter!$B$18</f>
        <v>0</v>
      </c>
      <c r="BR1745" s="48"/>
      <c r="BS1745" s="53" t="n">
        <v>1</v>
      </c>
      <c r="BT1745" s="53" t="n">
        <v>1745</v>
      </c>
      <c r="BU1745" s="48" t="str">
        <f aca="false">IF(U1745&lt;&gt;"",UPPER(TRIM(U1745)),IF(BX1745=1,UPPER(VLOOKUP(T1745,Parameter!$I$27:$K$29,2,0)),IF(P1745="","LOSE",P1745)))</f>
        <v>LOSE</v>
      </c>
      <c r="BV1745" s="50" t="n">
        <f aca="false">IF(BU1745="LOSE",1,IF(N(V1745)&gt;0,V1745,IF(BX1745=1,MAX(1,N(VLOOKUP(T1745,Parameter!$I$27:$K$29,3,0)),H1745,N(N1745)),IF(N(Q1745)&gt;0,Q1745,MAX(1,H1745)))))</f>
        <v>1</v>
      </c>
      <c r="BW1745" s="53" t="n">
        <f aca="false">IF(BU1745="LOSE",1,0)</f>
        <v>1</v>
      </c>
      <c r="BX1745" s="53" t="n">
        <f aca="false">IF(AND(U1745="",OR(P1745="",P1745="LOSE"),T1745&lt;&gt;"",N(S1745)&lt;=0,ISNUMBER(MATCH(T1745,Parameter!$I$27:$I$29,0))),1,0)</f>
        <v>0</v>
      </c>
      <c r="BY1745" s="53" t="n">
        <f aca="false">IF(CL1745&gt;0,INDEX(Parameter!$H$5:$H$7,W1745)/INDEX(Parameter!$E$5:$E$7,W1745),IF(AND(BW1745=0,N(IFERROR(VLOOKUP(BU1745,'Gebinde-Kategorie'!$A$5:$N$45,14,0),0))&gt;0),VLOOKUP(BU1745,'Gebinde-Kategorie'!$A$5:$N$45,14,0)*10+Parameter!$M$23,Parameter!$M$24))</f>
        <v>235</v>
      </c>
      <c r="BZ1745" s="48" t="str">
        <f aca="false">IF(AND(Parameter!$B$19="Ja",E1745&lt;&gt;"",ISNUMBER(MATCH(E1745,Parameter!$I$35:$I$52,0))),VLOOKUP(E1745,Parameter!$I$35:$J$52,2,0),IFERROR(VLOOKUP(D1745,Parameter!$A$35:$C$64,2,0),"Nein"))</f>
        <v>2+3</v>
      </c>
      <c r="CA1745" s="52" t="n">
        <f aca="false">IF(BW1745=0,0,IF(N(S1745)&gt;0,S1745,IFERROR(VLOOKUP(D1745,Parameter!$A$35:$C$64,3,0)+0,0)))</f>
        <v>0.15</v>
      </c>
      <c r="CB1745" s="48" t="str">
        <f aca="false">IF(AA1745&lt;&gt;"",AA1745,Z1745)</f>
        <v/>
      </c>
      <c r="CC1745" s="48" t="str">
        <f aca="false">IF(OR(CB1745=1,CB1745=2,CB1745=3),IF(Parameter!$E$27="Ja","LIFT",IF(CB1745=1,"L1","L23")),IF(CB1745="Aussen","Aussen","-"))</f>
        <v>-</v>
      </c>
      <c r="CD1745" s="59" t="n">
        <f aca="false">IF(N(AB1745)&gt;0,AB1745,0)</f>
        <v>0</v>
      </c>
      <c r="CE1745" s="53" t="n">
        <f aca="false">IF(ISNUMBER(AE1745),1,0)</f>
        <v>0</v>
      </c>
      <c r="CF1745" s="50" t="n">
        <f aca="false">N(AE1745)</f>
        <v>0</v>
      </c>
      <c r="CG1745" s="50" t="n">
        <f aca="false">N(M1745)+N(N1745)</f>
        <v>0</v>
      </c>
      <c r="CH1745" s="50" t="n">
        <f aca="false">ROUNDUP(H1745/BV1745,0)</f>
        <v>0</v>
      </c>
      <c r="CI1745" s="50" t="n">
        <f aca="false">ROUNDUP(CF1745/BV1745,0)</f>
        <v>0</v>
      </c>
      <c r="CJ1745" s="53" t="n">
        <f aca="false">IF(BW1745=1,0,IFERROR(VLOOKUP(BU1745,'Gebinde-Kategorie'!$A$5:$N$45,5,0)+0,0))</f>
        <v>0</v>
      </c>
      <c r="CK1745" s="53" t="n">
        <f aca="false">IFERROR(IF(OR(CB1745=1,CB1745=2,CB1745=3),N(INDEX(Parameter!$I$5:$I$7,CB1745)),0),0)</f>
        <v>0</v>
      </c>
      <c r="CL1745" s="52" t="n">
        <f aca="false">IF(AND(Parameter!$B$21="Ja",ISNUMBER(W1745),N(X1745)&gt;0),IFERROR(N(INDEX(Parameter!$L$5:$L$7,W1745))*INDEX(Parameter!$E$5:$E$7,W1745)*X1745/SUMIFS($X$7:$X$1843,$W$7:$W$1843,W1745),0),0)</f>
        <v>0</v>
      </c>
    </row>
    <row r="1746" customFormat="false" ht="15" hidden="false" customHeight="false" outlineLevel="0" collapsed="false">
      <c r="A1746" s="48" t="str">
        <f aca="false">IF('Neue Artikel'!$A$7="","",'Neue Artikel'!$A$7&amp;"")</f>
        <v/>
      </c>
      <c r="B1746" s="48" t="str">
        <f aca="false">'Neue Artikel'!$B$7&amp;""</f>
        <v/>
      </c>
      <c r="C1746" s="48"/>
      <c r="D1746" s="48" t="s">
        <v>3019</v>
      </c>
      <c r="E1746" s="48"/>
      <c r="F1746" s="48"/>
      <c r="G1746" s="49" t="n">
        <f aca="false">N('Neue Artikel'!$G$7)</f>
        <v>0</v>
      </c>
      <c r="H1746" s="50" t="n">
        <f aca="false">MAX(0,IF(AND(Parameter!$B$21="Ja",ISNUMBER(Y1746)),Y1746,IF(Parameter!$B$20="Jahresanfang 2025 + Export",BO1746+BN1746,BN1746)))</f>
        <v>0</v>
      </c>
      <c r="I1746" s="50" t="n">
        <f aca="false">H1746*G1746</f>
        <v>0</v>
      </c>
      <c r="J1746" s="50" t="n">
        <f aca="false">BQ1746*Parameter!$B$18</f>
        <v>0</v>
      </c>
      <c r="K1746" s="51"/>
      <c r="L1746" s="52"/>
      <c r="M1746" s="50" t="n">
        <f aca="false">N('Neue Artikel'!$E$7)</f>
        <v>0</v>
      </c>
      <c r="N1746" s="50" t="n">
        <f aca="false">N('Neue Artikel'!$F$7)</f>
        <v>0</v>
      </c>
      <c r="O1746" s="53"/>
      <c r="P1746" s="48" t="str">
        <f aca="false">IF('Neue Artikel'!$H$7="","LOSE",UPPER(TRIM('Neue Artikel'!$H$7)))</f>
        <v>LOSE</v>
      </c>
      <c r="Q1746" s="50" t="n">
        <f aca="false">N('Neue Artikel'!$I$7)</f>
        <v>0</v>
      </c>
      <c r="R1746" s="53" t="n">
        <f aca="false">IF(BW1746=1,0,IFERROR(VLOOKUP(BU1746,'Gebinde-Kategorie'!$A$5:$N$45,13,0)+0,0))</f>
        <v>0</v>
      </c>
      <c r="S1746" s="54"/>
      <c r="T1746" s="55"/>
      <c r="U1746" s="55"/>
      <c r="V1746" s="55"/>
      <c r="W1746" s="48"/>
      <c r="X1746" s="50"/>
      <c r="Y1746" s="50"/>
      <c r="Z1746" s="48" t="str">
        <f aca="false">IF(A1746="","",IF(AND(Parameter!$B$21="Ja",ISNUMBER(W1746)),W1746,IF(BZ1746="2+3",IF(ISNUMBER(SEARCH("grosser Artikel",BR1746)),2,IFERROR(VLOOKUP(BU1746,Parameter!$F$35:$G$64,2,0),2)),IF(OR(BZ1746="Nein",BZ1746=""),"-",BZ1746))))</f>
        <v/>
      </c>
      <c r="AA1746" s="48" t="str">
        <f aca="false">IF('Neue Artikel'!$J$7="","",'Neue Artikel'!$J$7)</f>
        <v/>
      </c>
      <c r="AB1746" s="56"/>
      <c r="AC1746" s="50" t="n">
        <f aca="false">AT1746</f>
        <v>0</v>
      </c>
      <c r="AD1746" s="50" t="n">
        <f aca="false">MAX(AT1746,H1746)</f>
        <v>0</v>
      </c>
      <c r="AE1746" s="57"/>
      <c r="AF1746" s="50" t="n">
        <f aca="false">IF(LEFT(Cockpit!$C$5,1)="A",H1746,IF(CE1746=1,CF1746,IF(LEFT(Cockpit!$C$5,1)="B",AK1746,MAX(AK1746,H1746))))</f>
        <v>0</v>
      </c>
      <c r="AG1746" s="50" t="n">
        <f aca="false">IF(BW1746=1,0,ROUNDUP(AF1746/BV1746,0))</f>
        <v>0</v>
      </c>
      <c r="AH1746" s="52" t="n">
        <f aca="false">IF(CL1746&gt;0,CL1746*MAX(1,AF1746/X1746),IF(BW1746=1,IF(AF1746&lt;=0,0,CA1746*MAX(1,IF(H1746&gt;0,AF1746/H1746,1))),IF(R1746&gt;0,AG1746/R1746,0))/MAX(0.1,N(Parameter!$M$21)))</f>
        <v>0</v>
      </c>
      <c r="AI1746" s="50" t="n">
        <f aca="false">AH1746*BY1746</f>
        <v>0</v>
      </c>
      <c r="AJ1746" s="50" t="n">
        <f aca="false">AF1746*G1746</f>
        <v>0</v>
      </c>
      <c r="AK1746" s="50" t="n">
        <f aca="false">ROUNDUP(MAX(J1746/IF(CD1746&gt;0,CD1746,MAX(0.1,N(Cockpit!$C$6))),CG1746)/BV1746,0)*BV1746</f>
        <v>0</v>
      </c>
      <c r="AL1746" s="51" t="n">
        <f aca="false">IF(AI1746&gt;0,J1746/AI1746,-1)</f>
        <v>-1</v>
      </c>
      <c r="AM1746" s="51" t="str">
        <f aca="false">IF(AND(OR(CC1746="L1",CC1746="L23",CC1746="LIFT"),AI1746&gt;0),SUMIFS($AI$7:$AI$1843,$CC$7:$CC$1843,CC1746,$AL$7:$AL$1843,"&gt;"&amp;AL1746)+SUMIFS($AI$7:$AI$1843,$CC$7:$CC$1843,CC1746,$AL$7:$AL$1843,AL1746,$BT$7:$BT$1843,"&lt;="&amp;BT1746),"")</f>
        <v/>
      </c>
      <c r="AN1746" s="58" t="n">
        <f aca="false">IF(AM1746="",0,MAX(0,MIN(1,(IF(CC1746="L1",Parameter!$H$5,IF(CC1746="L23",Parameter!$H$6+Parameter!$H$7,Parameter!$H$5+Parameter!$H$6+Parameter!$H$7))-(AM1746-AI1746))/AI1746)))</f>
        <v>0</v>
      </c>
      <c r="AO1746" s="50" t="n">
        <f aca="false">IF(LEFT(Cockpit!$I$5,1)="A",H1746,IF(CE1746=1,CF1746,IF(LEFT(Cockpit!$I$5,1)="B",AT1746,MAX(AT1746,H1746))))</f>
        <v>0</v>
      </c>
      <c r="AP1746" s="50" t="n">
        <f aca="false">IF(BW1746=1,0,ROUNDUP(AO1746/BV1746,0))</f>
        <v>0</v>
      </c>
      <c r="AQ1746" s="52" t="n">
        <f aca="false">IF(CL1746&gt;0,CL1746*MAX(1,AO1746/X1746),IF(BW1746=1,IF(AO1746&lt;=0,0,CA1746*MAX(1,IF(H1746&gt;0,AO1746/H1746,1))),IF(R1746&gt;0,AP1746/R1746,0))/MAX(0.1,N(Parameter!$M$21)))</f>
        <v>0</v>
      </c>
      <c r="AR1746" s="50" t="n">
        <f aca="false">AQ1746*BY1746</f>
        <v>0</v>
      </c>
      <c r="AS1746" s="50" t="n">
        <f aca="false">AO1746*G1746</f>
        <v>0</v>
      </c>
      <c r="AT1746" s="50" t="n">
        <f aca="false">ROUNDUP(MAX(J1746/IF(CD1746&gt;0,CD1746,MAX(0.1,N(Cockpit!$I$6))),CG1746)/BV1746,0)*BV1746</f>
        <v>0</v>
      </c>
      <c r="AU1746" s="51" t="n">
        <f aca="false">IF(AR1746&gt;0,J1746/AR1746,-1)</f>
        <v>-1</v>
      </c>
      <c r="AV1746" s="51" t="str">
        <f aca="false">IF(AND(OR(CC1746="L1",CC1746="L23",CC1746="LIFT"),AR1746&gt;0),SUMIFS($AR$7:$AR$1843,$CC$7:$CC$1843,CC1746,$AU$7:$AU$1843,"&gt;"&amp;AU1746)+SUMIFS($AR$7:$AR$1843,$CC$7:$CC$1843,CC1746,$AU$7:$AU$1843,AU1746,$BT$7:$BT$1843,"&lt;="&amp;BT1746),"")</f>
        <v/>
      </c>
      <c r="AW1746" s="58" t="n">
        <f aca="false">IF(AV1746="",0,MAX(0,MIN(1,(IF(CC1746="L1",Parameter!$H$5,IF(CC1746="L23",Parameter!$H$6+Parameter!$H$7,Parameter!$H$5+Parameter!$H$6+Parameter!$H$7))-(AV1746-AR1746))/AR1746)))</f>
        <v>0</v>
      </c>
      <c r="AX1746" s="50" t="n">
        <f aca="false">IF(LEFT(Cockpit!$O$5,1)="A",H1746,IF(CE1746=1,CF1746,IF(LEFT(Cockpit!$O$5,1)="B",BC1746,MAX(BC1746,H1746))))</f>
        <v>0</v>
      </c>
      <c r="AY1746" s="50" t="n">
        <f aca="false">IF(BW1746=1,0,ROUNDUP(AX1746/BV1746,0))</f>
        <v>0</v>
      </c>
      <c r="AZ1746" s="52" t="n">
        <f aca="false">IF(CL1746&gt;0,CL1746*MAX(1,AX1746/X1746),IF(BW1746=1,IF(AX1746&lt;=0,0,CA1746*MAX(1,IF(H1746&gt;0,AX1746/H1746,1))),IF(R1746&gt;0,AY1746/R1746,0))/MAX(0.1,N(Parameter!$M$21)))</f>
        <v>0</v>
      </c>
      <c r="BA1746" s="50" t="n">
        <f aca="false">AZ1746*BY1746</f>
        <v>0</v>
      </c>
      <c r="BB1746" s="50" t="n">
        <f aca="false">AX1746*G1746</f>
        <v>0</v>
      </c>
      <c r="BC1746" s="50" t="n">
        <f aca="false">ROUNDUP(MAX(J1746/IF(CD1746&gt;0,CD1746,MAX(0.1,N(Cockpit!$O$6))),CG1746)/BV1746,0)*BV1746</f>
        <v>0</v>
      </c>
      <c r="BD1746" s="51" t="n">
        <f aca="false">IF(BA1746&gt;0,J1746/BA1746,-1)</f>
        <v>-1</v>
      </c>
      <c r="BE1746" s="51" t="str">
        <f aca="false">IF(AND(OR(CC1746="L1",CC1746="L23",CC1746="LIFT"),BA1746&gt;0),SUMIFS($BA$7:$BA$1843,$CC$7:$CC$1843,CC1746,$BD$7:$BD$1843,"&gt;"&amp;BD1746)+SUMIFS($BA$7:$BA$1843,$CC$7:$CC$1843,CC1746,$BD$7:$BD$1843,BD1746,$BT$7:$BT$1843,"&lt;="&amp;BT1746),"")</f>
        <v/>
      </c>
      <c r="BF1746" s="58" t="n">
        <f aca="false">IF(BE1746="",0,MAX(0,MIN(1,(IF(CC1746="L1",Parameter!$H$5,IF(CC1746="L23",Parameter!$H$6+Parameter!$H$7,Parameter!$H$5+Parameter!$H$6+Parameter!$H$7))-(BE1746-BA1746))/BA1746)))</f>
        <v>0</v>
      </c>
      <c r="BG1746" s="48" t="str">
        <f aca="false">IF(AI1746&lt;=0,"",IF(CC1746="Aussen","Aussenlager",IF(CC1746="-","Nicht im Lift",IF(AN1746&gt;=1,"Lift",IF(AN1746&lt;=0,"Aussenlager","teilweise")))))</f>
        <v/>
      </c>
      <c r="BH1746" s="48" t="str">
        <f aca="false">IF(AR1746&lt;=0,"",IF(CC1746="Aussen","Aussenlager",IF(CC1746="-","Nicht im Lift",IF(AW1746&gt;=1,"Lift",IF(AW1746&lt;=0,"Aussenlager","teilweise")))))</f>
        <v/>
      </c>
      <c r="BI1746" s="48" t="str">
        <f aca="false">IF(BA1746&lt;=0,"",IF(CC1746="Aussen","Aussenlager",IF(CC1746="-","Nicht im Lift",IF(BF1746&gt;=1,"Lift",IF(BF1746&lt;=0,"Aussenlager","teilweise")))))</f>
        <v/>
      </c>
      <c r="BJ1746" s="48" t="str">
        <f aca="false">IF(A1746="","",IF(BS1746=1,"Neu; ","")&amp;IF(AND(BS1746=0,BN1746&lt;0),"negativer Bestand (Export "&amp;BN1746&amp;"); ","")&amp;IF(J1746&lt;=0,"Kein Verbrauch; ","")&amp;IF(CL1746&gt;0,"Lift "&amp;W1746&amp;" lt. Liftbericht (Fach "&amp;X1746&amp;" Stk); ",IF(BX1746=1,"Gebinde geschätzt ("&amp;T1746&amp;"); ",IF(BW1746=1,"Lose – Tablare geschätzt; ","")))&amp;IF(H1746&gt;AT1746,"Überbestand "&amp;ROUND(H1746-AT1746,0)&amp;" Stk / CHF "&amp;ROUND((H1746-AT1746)*G1746,0)&amp;"; ","")&amp;IF(AND(CE1746=1,CF1746&lt;CG1746),"MAX &lt; MB+LG; ","")&amp;IF(AND(CK1746&gt;0,CJ1746*10&gt;CK1746),"zu hoch für Tablar; ","")&amp;IF(AND(BS1746=0,OR(CE1746=1,AA1746&lt;&gt;"",U1746&lt;&gt;"",V1746&lt;&gt;"",AB1746&lt;&gt;"")),"manuell übersteuert; ","")&amp;IF(AND(BW1746=0,R1746=0),"Gebinde unbekannt / Stellmass fehlt; ","")&amp;IF(AND(BW1746=0,N(V1746)&lt;=0,N(Q1746)&lt;=0),"Menge pro Gebinde fehlt (Ist = 1 Gebinde); ","")&amp;BR1746)</f>
        <v/>
      </c>
      <c r="BK1746" s="48"/>
      <c r="BL1746" s="48"/>
      <c r="BM1746" s="55"/>
      <c r="BN1746" s="50" t="n">
        <f aca="false">N('Neue Artikel'!$D$7)</f>
        <v>0</v>
      </c>
      <c r="BO1746" s="50" t="n">
        <v>0</v>
      </c>
      <c r="BP1746" s="49" t="n">
        <v>0</v>
      </c>
      <c r="BQ1746" s="50" t="n">
        <f aca="false">N('Neue Artikel'!$C$7)/Parameter!$B$18</f>
        <v>0</v>
      </c>
      <c r="BR1746" s="48"/>
      <c r="BS1746" s="53" t="n">
        <v>1</v>
      </c>
      <c r="BT1746" s="53" t="n">
        <v>1746</v>
      </c>
      <c r="BU1746" s="48" t="str">
        <f aca="false">IF(U1746&lt;&gt;"",UPPER(TRIM(U1746)),IF(BX1746=1,UPPER(VLOOKUP(T1746,Parameter!$I$27:$K$29,2,0)),IF(P1746="","LOSE",P1746)))</f>
        <v>LOSE</v>
      </c>
      <c r="BV1746" s="50" t="n">
        <f aca="false">IF(BU1746="LOSE",1,IF(N(V1746)&gt;0,V1746,IF(BX1746=1,MAX(1,N(VLOOKUP(T1746,Parameter!$I$27:$K$29,3,0)),H1746,N(N1746)),IF(N(Q1746)&gt;0,Q1746,MAX(1,H1746)))))</f>
        <v>1</v>
      </c>
      <c r="BW1746" s="53" t="n">
        <f aca="false">IF(BU1746="LOSE",1,0)</f>
        <v>1</v>
      </c>
      <c r="BX1746" s="53" t="n">
        <f aca="false">IF(AND(U1746="",OR(P1746="",P1746="LOSE"),T1746&lt;&gt;"",N(S1746)&lt;=0,ISNUMBER(MATCH(T1746,Parameter!$I$27:$I$29,0))),1,0)</f>
        <v>0</v>
      </c>
      <c r="BY1746" s="53" t="n">
        <f aca="false">IF(CL1746&gt;0,INDEX(Parameter!$H$5:$H$7,W1746)/INDEX(Parameter!$E$5:$E$7,W1746),IF(AND(BW1746=0,N(IFERROR(VLOOKUP(BU1746,'Gebinde-Kategorie'!$A$5:$N$45,14,0),0))&gt;0),VLOOKUP(BU1746,'Gebinde-Kategorie'!$A$5:$N$45,14,0)*10+Parameter!$M$23,Parameter!$M$24))</f>
        <v>235</v>
      </c>
      <c r="BZ1746" s="48" t="str">
        <f aca="false">IF(AND(Parameter!$B$19="Ja",E1746&lt;&gt;"",ISNUMBER(MATCH(E1746,Parameter!$I$35:$I$52,0))),VLOOKUP(E1746,Parameter!$I$35:$J$52,2,0),IFERROR(VLOOKUP(D1746,Parameter!$A$35:$C$64,2,0),"Nein"))</f>
        <v>2+3</v>
      </c>
      <c r="CA1746" s="52" t="n">
        <f aca="false">IF(BW1746=0,0,IF(N(S1746)&gt;0,S1746,IFERROR(VLOOKUP(D1746,Parameter!$A$35:$C$64,3,0)+0,0)))</f>
        <v>0.15</v>
      </c>
      <c r="CB1746" s="48" t="str">
        <f aca="false">IF(AA1746&lt;&gt;"",AA1746,Z1746)</f>
        <v/>
      </c>
      <c r="CC1746" s="48" t="str">
        <f aca="false">IF(OR(CB1746=1,CB1746=2,CB1746=3),IF(Parameter!$E$27="Ja","LIFT",IF(CB1746=1,"L1","L23")),IF(CB1746="Aussen","Aussen","-"))</f>
        <v>-</v>
      </c>
      <c r="CD1746" s="59" t="n">
        <f aca="false">IF(N(AB1746)&gt;0,AB1746,0)</f>
        <v>0</v>
      </c>
      <c r="CE1746" s="53" t="n">
        <f aca="false">IF(ISNUMBER(AE1746),1,0)</f>
        <v>0</v>
      </c>
      <c r="CF1746" s="50" t="n">
        <f aca="false">N(AE1746)</f>
        <v>0</v>
      </c>
      <c r="CG1746" s="50" t="n">
        <f aca="false">N(M1746)+N(N1746)</f>
        <v>0</v>
      </c>
      <c r="CH1746" s="50" t="n">
        <f aca="false">ROUNDUP(H1746/BV1746,0)</f>
        <v>0</v>
      </c>
      <c r="CI1746" s="50" t="n">
        <f aca="false">ROUNDUP(CF1746/BV1746,0)</f>
        <v>0</v>
      </c>
      <c r="CJ1746" s="53" t="n">
        <f aca="false">IF(BW1746=1,0,IFERROR(VLOOKUP(BU1746,'Gebinde-Kategorie'!$A$5:$N$45,5,0)+0,0))</f>
        <v>0</v>
      </c>
      <c r="CK1746" s="53" t="n">
        <f aca="false">IFERROR(IF(OR(CB1746=1,CB1746=2,CB1746=3),N(INDEX(Parameter!$I$5:$I$7,CB1746)),0),0)</f>
        <v>0</v>
      </c>
      <c r="CL1746" s="52" t="n">
        <f aca="false">IF(AND(Parameter!$B$21="Ja",ISNUMBER(W1746),N(X1746)&gt;0),IFERROR(N(INDEX(Parameter!$L$5:$L$7,W1746))*INDEX(Parameter!$E$5:$E$7,W1746)*X1746/SUMIFS($X$7:$X$1843,$W$7:$W$1843,W1746),0),0)</f>
        <v>0</v>
      </c>
    </row>
    <row r="1747" customFormat="false" ht="15" hidden="false" customHeight="false" outlineLevel="0" collapsed="false">
      <c r="A1747" s="48" t="str">
        <f aca="false">IF('Neue Artikel'!$A$8="","",'Neue Artikel'!$A$8&amp;"")</f>
        <v/>
      </c>
      <c r="B1747" s="48" t="str">
        <f aca="false">'Neue Artikel'!$B$8&amp;""</f>
        <v/>
      </c>
      <c r="C1747" s="48"/>
      <c r="D1747" s="48" t="s">
        <v>3019</v>
      </c>
      <c r="E1747" s="48"/>
      <c r="F1747" s="48"/>
      <c r="G1747" s="49" t="n">
        <f aca="false">N('Neue Artikel'!$G$8)</f>
        <v>0</v>
      </c>
      <c r="H1747" s="50" t="n">
        <f aca="false">MAX(0,IF(AND(Parameter!$B$21="Ja",ISNUMBER(Y1747)),Y1747,IF(Parameter!$B$20="Jahresanfang 2025 + Export",BO1747+BN1747,BN1747)))</f>
        <v>0</v>
      </c>
      <c r="I1747" s="50" t="n">
        <f aca="false">H1747*G1747</f>
        <v>0</v>
      </c>
      <c r="J1747" s="50" t="n">
        <f aca="false">BQ1747*Parameter!$B$18</f>
        <v>0</v>
      </c>
      <c r="K1747" s="51"/>
      <c r="L1747" s="52"/>
      <c r="M1747" s="50" t="n">
        <f aca="false">N('Neue Artikel'!$E$8)</f>
        <v>0</v>
      </c>
      <c r="N1747" s="50" t="n">
        <f aca="false">N('Neue Artikel'!$F$8)</f>
        <v>0</v>
      </c>
      <c r="O1747" s="53"/>
      <c r="P1747" s="48" t="str">
        <f aca="false">IF('Neue Artikel'!$H$8="","LOSE",UPPER(TRIM('Neue Artikel'!$H$8)))</f>
        <v>LOSE</v>
      </c>
      <c r="Q1747" s="50" t="n">
        <f aca="false">N('Neue Artikel'!$I$8)</f>
        <v>0</v>
      </c>
      <c r="R1747" s="53" t="n">
        <f aca="false">IF(BW1747=1,0,IFERROR(VLOOKUP(BU1747,'Gebinde-Kategorie'!$A$5:$N$45,13,0)+0,0))</f>
        <v>0</v>
      </c>
      <c r="S1747" s="54"/>
      <c r="T1747" s="55"/>
      <c r="U1747" s="55"/>
      <c r="V1747" s="55"/>
      <c r="W1747" s="48"/>
      <c r="X1747" s="50"/>
      <c r="Y1747" s="50"/>
      <c r="Z1747" s="48" t="str">
        <f aca="false">IF(A1747="","",IF(AND(Parameter!$B$21="Ja",ISNUMBER(W1747)),W1747,IF(BZ1747="2+3",IF(ISNUMBER(SEARCH("grosser Artikel",BR1747)),2,IFERROR(VLOOKUP(BU1747,Parameter!$F$35:$G$64,2,0),2)),IF(OR(BZ1747="Nein",BZ1747=""),"-",BZ1747))))</f>
        <v/>
      </c>
      <c r="AA1747" s="48" t="str">
        <f aca="false">IF('Neue Artikel'!$J$8="","",'Neue Artikel'!$J$8)</f>
        <v/>
      </c>
      <c r="AB1747" s="56"/>
      <c r="AC1747" s="50" t="n">
        <f aca="false">AT1747</f>
        <v>0</v>
      </c>
      <c r="AD1747" s="50" t="n">
        <f aca="false">MAX(AT1747,H1747)</f>
        <v>0</v>
      </c>
      <c r="AE1747" s="57"/>
      <c r="AF1747" s="50" t="n">
        <f aca="false">IF(LEFT(Cockpit!$C$5,1)="A",H1747,IF(CE1747=1,CF1747,IF(LEFT(Cockpit!$C$5,1)="B",AK1747,MAX(AK1747,H1747))))</f>
        <v>0</v>
      </c>
      <c r="AG1747" s="50" t="n">
        <f aca="false">IF(BW1747=1,0,ROUNDUP(AF1747/BV1747,0))</f>
        <v>0</v>
      </c>
      <c r="AH1747" s="52" t="n">
        <f aca="false">IF(CL1747&gt;0,CL1747*MAX(1,AF1747/X1747),IF(BW1747=1,IF(AF1747&lt;=0,0,CA1747*MAX(1,IF(H1747&gt;0,AF1747/H1747,1))),IF(R1747&gt;0,AG1747/R1747,0))/MAX(0.1,N(Parameter!$M$21)))</f>
        <v>0</v>
      </c>
      <c r="AI1747" s="50" t="n">
        <f aca="false">AH1747*BY1747</f>
        <v>0</v>
      </c>
      <c r="AJ1747" s="50" t="n">
        <f aca="false">AF1747*G1747</f>
        <v>0</v>
      </c>
      <c r="AK1747" s="50" t="n">
        <f aca="false">ROUNDUP(MAX(J1747/IF(CD1747&gt;0,CD1747,MAX(0.1,N(Cockpit!$C$6))),CG1747)/BV1747,0)*BV1747</f>
        <v>0</v>
      </c>
      <c r="AL1747" s="51" t="n">
        <f aca="false">IF(AI1747&gt;0,J1747/AI1747,-1)</f>
        <v>-1</v>
      </c>
      <c r="AM1747" s="51" t="str">
        <f aca="false">IF(AND(OR(CC1747="L1",CC1747="L23",CC1747="LIFT"),AI1747&gt;0),SUMIFS($AI$7:$AI$1843,$CC$7:$CC$1843,CC1747,$AL$7:$AL$1843,"&gt;"&amp;AL1747)+SUMIFS($AI$7:$AI$1843,$CC$7:$CC$1843,CC1747,$AL$7:$AL$1843,AL1747,$BT$7:$BT$1843,"&lt;="&amp;BT1747),"")</f>
        <v/>
      </c>
      <c r="AN1747" s="58" t="n">
        <f aca="false">IF(AM1747="",0,MAX(0,MIN(1,(IF(CC1747="L1",Parameter!$H$5,IF(CC1747="L23",Parameter!$H$6+Parameter!$H$7,Parameter!$H$5+Parameter!$H$6+Parameter!$H$7))-(AM1747-AI1747))/AI1747)))</f>
        <v>0</v>
      </c>
      <c r="AO1747" s="50" t="n">
        <f aca="false">IF(LEFT(Cockpit!$I$5,1)="A",H1747,IF(CE1747=1,CF1747,IF(LEFT(Cockpit!$I$5,1)="B",AT1747,MAX(AT1747,H1747))))</f>
        <v>0</v>
      </c>
      <c r="AP1747" s="50" t="n">
        <f aca="false">IF(BW1747=1,0,ROUNDUP(AO1747/BV1747,0))</f>
        <v>0</v>
      </c>
      <c r="AQ1747" s="52" t="n">
        <f aca="false">IF(CL1747&gt;0,CL1747*MAX(1,AO1747/X1747),IF(BW1747=1,IF(AO1747&lt;=0,0,CA1747*MAX(1,IF(H1747&gt;0,AO1747/H1747,1))),IF(R1747&gt;0,AP1747/R1747,0))/MAX(0.1,N(Parameter!$M$21)))</f>
        <v>0</v>
      </c>
      <c r="AR1747" s="50" t="n">
        <f aca="false">AQ1747*BY1747</f>
        <v>0</v>
      </c>
      <c r="AS1747" s="50" t="n">
        <f aca="false">AO1747*G1747</f>
        <v>0</v>
      </c>
      <c r="AT1747" s="50" t="n">
        <f aca="false">ROUNDUP(MAX(J1747/IF(CD1747&gt;0,CD1747,MAX(0.1,N(Cockpit!$I$6))),CG1747)/BV1747,0)*BV1747</f>
        <v>0</v>
      </c>
      <c r="AU1747" s="51" t="n">
        <f aca="false">IF(AR1747&gt;0,J1747/AR1747,-1)</f>
        <v>-1</v>
      </c>
      <c r="AV1747" s="51" t="str">
        <f aca="false">IF(AND(OR(CC1747="L1",CC1747="L23",CC1747="LIFT"),AR1747&gt;0),SUMIFS($AR$7:$AR$1843,$CC$7:$CC$1843,CC1747,$AU$7:$AU$1843,"&gt;"&amp;AU1747)+SUMIFS($AR$7:$AR$1843,$CC$7:$CC$1843,CC1747,$AU$7:$AU$1843,AU1747,$BT$7:$BT$1843,"&lt;="&amp;BT1747),"")</f>
        <v/>
      </c>
      <c r="AW1747" s="58" t="n">
        <f aca="false">IF(AV1747="",0,MAX(0,MIN(1,(IF(CC1747="L1",Parameter!$H$5,IF(CC1747="L23",Parameter!$H$6+Parameter!$H$7,Parameter!$H$5+Parameter!$H$6+Parameter!$H$7))-(AV1747-AR1747))/AR1747)))</f>
        <v>0</v>
      </c>
      <c r="AX1747" s="50" t="n">
        <f aca="false">IF(LEFT(Cockpit!$O$5,1)="A",H1747,IF(CE1747=1,CF1747,IF(LEFT(Cockpit!$O$5,1)="B",BC1747,MAX(BC1747,H1747))))</f>
        <v>0</v>
      </c>
      <c r="AY1747" s="50" t="n">
        <f aca="false">IF(BW1747=1,0,ROUNDUP(AX1747/BV1747,0))</f>
        <v>0</v>
      </c>
      <c r="AZ1747" s="52" t="n">
        <f aca="false">IF(CL1747&gt;0,CL1747*MAX(1,AX1747/X1747),IF(BW1747=1,IF(AX1747&lt;=0,0,CA1747*MAX(1,IF(H1747&gt;0,AX1747/H1747,1))),IF(R1747&gt;0,AY1747/R1747,0))/MAX(0.1,N(Parameter!$M$21)))</f>
        <v>0</v>
      </c>
      <c r="BA1747" s="50" t="n">
        <f aca="false">AZ1747*BY1747</f>
        <v>0</v>
      </c>
      <c r="BB1747" s="50" t="n">
        <f aca="false">AX1747*G1747</f>
        <v>0</v>
      </c>
      <c r="BC1747" s="50" t="n">
        <f aca="false">ROUNDUP(MAX(J1747/IF(CD1747&gt;0,CD1747,MAX(0.1,N(Cockpit!$O$6))),CG1747)/BV1747,0)*BV1747</f>
        <v>0</v>
      </c>
      <c r="BD1747" s="51" t="n">
        <f aca="false">IF(BA1747&gt;0,J1747/BA1747,-1)</f>
        <v>-1</v>
      </c>
      <c r="BE1747" s="51" t="str">
        <f aca="false">IF(AND(OR(CC1747="L1",CC1747="L23",CC1747="LIFT"),BA1747&gt;0),SUMIFS($BA$7:$BA$1843,$CC$7:$CC$1843,CC1747,$BD$7:$BD$1843,"&gt;"&amp;BD1747)+SUMIFS($BA$7:$BA$1843,$CC$7:$CC$1843,CC1747,$BD$7:$BD$1843,BD1747,$BT$7:$BT$1843,"&lt;="&amp;BT1747),"")</f>
        <v/>
      </c>
      <c r="BF1747" s="58" t="n">
        <f aca="false">IF(BE1747="",0,MAX(0,MIN(1,(IF(CC1747="L1",Parameter!$H$5,IF(CC1747="L23",Parameter!$H$6+Parameter!$H$7,Parameter!$H$5+Parameter!$H$6+Parameter!$H$7))-(BE1747-BA1747))/BA1747)))</f>
        <v>0</v>
      </c>
      <c r="BG1747" s="48" t="str">
        <f aca="false">IF(AI1747&lt;=0,"",IF(CC1747="Aussen","Aussenlager",IF(CC1747="-","Nicht im Lift",IF(AN1747&gt;=1,"Lift",IF(AN1747&lt;=0,"Aussenlager","teilweise")))))</f>
        <v/>
      </c>
      <c r="BH1747" s="48" t="str">
        <f aca="false">IF(AR1747&lt;=0,"",IF(CC1747="Aussen","Aussenlager",IF(CC1747="-","Nicht im Lift",IF(AW1747&gt;=1,"Lift",IF(AW1747&lt;=0,"Aussenlager","teilweise")))))</f>
        <v/>
      </c>
      <c r="BI1747" s="48" t="str">
        <f aca="false">IF(BA1747&lt;=0,"",IF(CC1747="Aussen","Aussenlager",IF(CC1747="-","Nicht im Lift",IF(BF1747&gt;=1,"Lift",IF(BF1747&lt;=0,"Aussenlager","teilweise")))))</f>
        <v/>
      </c>
      <c r="BJ1747" s="48" t="str">
        <f aca="false">IF(A1747="","",IF(BS1747=1,"Neu; ","")&amp;IF(AND(BS1747=0,BN1747&lt;0),"negativer Bestand (Export "&amp;BN1747&amp;"); ","")&amp;IF(J1747&lt;=0,"Kein Verbrauch; ","")&amp;IF(CL1747&gt;0,"Lift "&amp;W1747&amp;" lt. Liftbericht (Fach "&amp;X1747&amp;" Stk); ",IF(BX1747=1,"Gebinde geschätzt ("&amp;T1747&amp;"); ",IF(BW1747=1,"Lose – Tablare geschätzt; ","")))&amp;IF(H1747&gt;AT1747,"Überbestand "&amp;ROUND(H1747-AT1747,0)&amp;" Stk / CHF "&amp;ROUND((H1747-AT1747)*G1747,0)&amp;"; ","")&amp;IF(AND(CE1747=1,CF1747&lt;CG1747),"MAX &lt; MB+LG; ","")&amp;IF(AND(CK1747&gt;0,CJ1747*10&gt;CK1747),"zu hoch für Tablar; ","")&amp;IF(AND(BS1747=0,OR(CE1747=1,AA1747&lt;&gt;"",U1747&lt;&gt;"",V1747&lt;&gt;"",AB1747&lt;&gt;"")),"manuell übersteuert; ","")&amp;IF(AND(BW1747=0,R1747=0),"Gebinde unbekannt / Stellmass fehlt; ","")&amp;IF(AND(BW1747=0,N(V1747)&lt;=0,N(Q1747)&lt;=0),"Menge pro Gebinde fehlt (Ist = 1 Gebinde); ","")&amp;BR1747)</f>
        <v/>
      </c>
      <c r="BK1747" s="48"/>
      <c r="BL1747" s="48"/>
      <c r="BM1747" s="55"/>
      <c r="BN1747" s="50" t="n">
        <f aca="false">N('Neue Artikel'!$D$8)</f>
        <v>0</v>
      </c>
      <c r="BO1747" s="50" t="n">
        <v>0</v>
      </c>
      <c r="BP1747" s="49" t="n">
        <v>0</v>
      </c>
      <c r="BQ1747" s="50" t="n">
        <f aca="false">N('Neue Artikel'!$C$8)/Parameter!$B$18</f>
        <v>0</v>
      </c>
      <c r="BR1747" s="48"/>
      <c r="BS1747" s="53" t="n">
        <v>1</v>
      </c>
      <c r="BT1747" s="53" t="n">
        <v>1747</v>
      </c>
      <c r="BU1747" s="48" t="str">
        <f aca="false">IF(U1747&lt;&gt;"",UPPER(TRIM(U1747)),IF(BX1747=1,UPPER(VLOOKUP(T1747,Parameter!$I$27:$K$29,2,0)),IF(P1747="","LOSE",P1747)))</f>
        <v>LOSE</v>
      </c>
      <c r="BV1747" s="50" t="n">
        <f aca="false">IF(BU1747="LOSE",1,IF(N(V1747)&gt;0,V1747,IF(BX1747=1,MAX(1,N(VLOOKUP(T1747,Parameter!$I$27:$K$29,3,0)),H1747,N(N1747)),IF(N(Q1747)&gt;0,Q1747,MAX(1,H1747)))))</f>
        <v>1</v>
      </c>
      <c r="BW1747" s="53" t="n">
        <f aca="false">IF(BU1747="LOSE",1,0)</f>
        <v>1</v>
      </c>
      <c r="BX1747" s="53" t="n">
        <f aca="false">IF(AND(U1747="",OR(P1747="",P1747="LOSE"),T1747&lt;&gt;"",N(S1747)&lt;=0,ISNUMBER(MATCH(T1747,Parameter!$I$27:$I$29,0))),1,0)</f>
        <v>0</v>
      </c>
      <c r="BY1747" s="53" t="n">
        <f aca="false">IF(CL1747&gt;0,INDEX(Parameter!$H$5:$H$7,W1747)/INDEX(Parameter!$E$5:$E$7,W1747),IF(AND(BW1747=0,N(IFERROR(VLOOKUP(BU1747,'Gebinde-Kategorie'!$A$5:$N$45,14,0),0))&gt;0),VLOOKUP(BU1747,'Gebinde-Kategorie'!$A$5:$N$45,14,0)*10+Parameter!$M$23,Parameter!$M$24))</f>
        <v>235</v>
      </c>
      <c r="BZ1747" s="48" t="str">
        <f aca="false">IF(AND(Parameter!$B$19="Ja",E1747&lt;&gt;"",ISNUMBER(MATCH(E1747,Parameter!$I$35:$I$52,0))),VLOOKUP(E1747,Parameter!$I$35:$J$52,2,0),IFERROR(VLOOKUP(D1747,Parameter!$A$35:$C$64,2,0),"Nein"))</f>
        <v>2+3</v>
      </c>
      <c r="CA1747" s="52" t="n">
        <f aca="false">IF(BW1747=0,0,IF(N(S1747)&gt;0,S1747,IFERROR(VLOOKUP(D1747,Parameter!$A$35:$C$64,3,0)+0,0)))</f>
        <v>0.15</v>
      </c>
      <c r="CB1747" s="48" t="str">
        <f aca="false">IF(AA1747&lt;&gt;"",AA1747,Z1747)</f>
        <v/>
      </c>
      <c r="CC1747" s="48" t="str">
        <f aca="false">IF(OR(CB1747=1,CB1747=2,CB1747=3),IF(Parameter!$E$27="Ja","LIFT",IF(CB1747=1,"L1","L23")),IF(CB1747="Aussen","Aussen","-"))</f>
        <v>-</v>
      </c>
      <c r="CD1747" s="59" t="n">
        <f aca="false">IF(N(AB1747)&gt;0,AB1747,0)</f>
        <v>0</v>
      </c>
      <c r="CE1747" s="53" t="n">
        <f aca="false">IF(ISNUMBER(AE1747),1,0)</f>
        <v>0</v>
      </c>
      <c r="CF1747" s="50" t="n">
        <f aca="false">N(AE1747)</f>
        <v>0</v>
      </c>
      <c r="CG1747" s="50" t="n">
        <f aca="false">N(M1747)+N(N1747)</f>
        <v>0</v>
      </c>
      <c r="CH1747" s="50" t="n">
        <f aca="false">ROUNDUP(H1747/BV1747,0)</f>
        <v>0</v>
      </c>
      <c r="CI1747" s="50" t="n">
        <f aca="false">ROUNDUP(CF1747/BV1747,0)</f>
        <v>0</v>
      </c>
      <c r="CJ1747" s="53" t="n">
        <f aca="false">IF(BW1747=1,0,IFERROR(VLOOKUP(BU1747,'Gebinde-Kategorie'!$A$5:$N$45,5,0)+0,0))</f>
        <v>0</v>
      </c>
      <c r="CK1747" s="53" t="n">
        <f aca="false">IFERROR(IF(OR(CB1747=1,CB1747=2,CB1747=3),N(INDEX(Parameter!$I$5:$I$7,CB1747)),0),0)</f>
        <v>0</v>
      </c>
      <c r="CL1747" s="52" t="n">
        <f aca="false">IF(AND(Parameter!$B$21="Ja",ISNUMBER(W1747),N(X1747)&gt;0),IFERROR(N(INDEX(Parameter!$L$5:$L$7,W1747))*INDEX(Parameter!$E$5:$E$7,W1747)*X1747/SUMIFS($X$7:$X$1843,$W$7:$W$1843,W1747),0),0)</f>
        <v>0</v>
      </c>
    </row>
    <row r="1748" customFormat="false" ht="15" hidden="false" customHeight="false" outlineLevel="0" collapsed="false">
      <c r="A1748" s="48" t="str">
        <f aca="false">IF('Neue Artikel'!$A$9="","",'Neue Artikel'!$A$9&amp;"")</f>
        <v/>
      </c>
      <c r="B1748" s="48" t="str">
        <f aca="false">'Neue Artikel'!$B$9&amp;""</f>
        <v/>
      </c>
      <c r="C1748" s="48"/>
      <c r="D1748" s="48" t="s">
        <v>3019</v>
      </c>
      <c r="E1748" s="48"/>
      <c r="F1748" s="48"/>
      <c r="G1748" s="49" t="n">
        <f aca="false">N('Neue Artikel'!$G$9)</f>
        <v>0</v>
      </c>
      <c r="H1748" s="50" t="n">
        <f aca="false">MAX(0,IF(AND(Parameter!$B$21="Ja",ISNUMBER(Y1748)),Y1748,IF(Parameter!$B$20="Jahresanfang 2025 + Export",BO1748+BN1748,BN1748)))</f>
        <v>0</v>
      </c>
      <c r="I1748" s="50" t="n">
        <f aca="false">H1748*G1748</f>
        <v>0</v>
      </c>
      <c r="J1748" s="50" t="n">
        <f aca="false">BQ1748*Parameter!$B$18</f>
        <v>0</v>
      </c>
      <c r="K1748" s="51"/>
      <c r="L1748" s="52"/>
      <c r="M1748" s="50" t="n">
        <f aca="false">N('Neue Artikel'!$E$9)</f>
        <v>0</v>
      </c>
      <c r="N1748" s="50" t="n">
        <f aca="false">N('Neue Artikel'!$F$9)</f>
        <v>0</v>
      </c>
      <c r="O1748" s="53"/>
      <c r="P1748" s="48" t="str">
        <f aca="false">IF('Neue Artikel'!$H$9="","LOSE",UPPER(TRIM('Neue Artikel'!$H$9)))</f>
        <v>LOSE</v>
      </c>
      <c r="Q1748" s="50" t="n">
        <f aca="false">N('Neue Artikel'!$I$9)</f>
        <v>0</v>
      </c>
      <c r="R1748" s="53" t="n">
        <f aca="false">IF(BW1748=1,0,IFERROR(VLOOKUP(BU1748,'Gebinde-Kategorie'!$A$5:$N$45,13,0)+0,0))</f>
        <v>0</v>
      </c>
      <c r="S1748" s="54"/>
      <c r="T1748" s="55"/>
      <c r="U1748" s="55"/>
      <c r="V1748" s="55"/>
      <c r="W1748" s="48"/>
      <c r="X1748" s="50"/>
      <c r="Y1748" s="50"/>
      <c r="Z1748" s="48" t="str">
        <f aca="false">IF(A1748="","",IF(AND(Parameter!$B$21="Ja",ISNUMBER(W1748)),W1748,IF(BZ1748="2+3",IF(ISNUMBER(SEARCH("grosser Artikel",BR1748)),2,IFERROR(VLOOKUP(BU1748,Parameter!$F$35:$G$64,2,0),2)),IF(OR(BZ1748="Nein",BZ1748=""),"-",BZ1748))))</f>
        <v/>
      </c>
      <c r="AA1748" s="48" t="str">
        <f aca="false">IF('Neue Artikel'!$J$9="","",'Neue Artikel'!$J$9)</f>
        <v/>
      </c>
      <c r="AB1748" s="56"/>
      <c r="AC1748" s="50" t="n">
        <f aca="false">AT1748</f>
        <v>0</v>
      </c>
      <c r="AD1748" s="50" t="n">
        <f aca="false">MAX(AT1748,H1748)</f>
        <v>0</v>
      </c>
      <c r="AE1748" s="57"/>
      <c r="AF1748" s="50" t="n">
        <f aca="false">IF(LEFT(Cockpit!$C$5,1)="A",H1748,IF(CE1748=1,CF1748,IF(LEFT(Cockpit!$C$5,1)="B",AK1748,MAX(AK1748,H1748))))</f>
        <v>0</v>
      </c>
      <c r="AG1748" s="50" t="n">
        <f aca="false">IF(BW1748=1,0,ROUNDUP(AF1748/BV1748,0))</f>
        <v>0</v>
      </c>
      <c r="AH1748" s="52" t="n">
        <f aca="false">IF(CL1748&gt;0,CL1748*MAX(1,AF1748/X1748),IF(BW1748=1,IF(AF1748&lt;=0,0,CA1748*MAX(1,IF(H1748&gt;0,AF1748/H1748,1))),IF(R1748&gt;0,AG1748/R1748,0))/MAX(0.1,N(Parameter!$M$21)))</f>
        <v>0</v>
      </c>
      <c r="AI1748" s="50" t="n">
        <f aca="false">AH1748*BY1748</f>
        <v>0</v>
      </c>
      <c r="AJ1748" s="50" t="n">
        <f aca="false">AF1748*G1748</f>
        <v>0</v>
      </c>
      <c r="AK1748" s="50" t="n">
        <f aca="false">ROUNDUP(MAX(J1748/IF(CD1748&gt;0,CD1748,MAX(0.1,N(Cockpit!$C$6))),CG1748)/BV1748,0)*BV1748</f>
        <v>0</v>
      </c>
      <c r="AL1748" s="51" t="n">
        <f aca="false">IF(AI1748&gt;0,J1748/AI1748,-1)</f>
        <v>-1</v>
      </c>
      <c r="AM1748" s="51" t="str">
        <f aca="false">IF(AND(OR(CC1748="L1",CC1748="L23",CC1748="LIFT"),AI1748&gt;0),SUMIFS($AI$7:$AI$1843,$CC$7:$CC$1843,CC1748,$AL$7:$AL$1843,"&gt;"&amp;AL1748)+SUMIFS($AI$7:$AI$1843,$CC$7:$CC$1843,CC1748,$AL$7:$AL$1843,AL1748,$BT$7:$BT$1843,"&lt;="&amp;BT1748),"")</f>
        <v/>
      </c>
      <c r="AN1748" s="58" t="n">
        <f aca="false">IF(AM1748="",0,MAX(0,MIN(1,(IF(CC1748="L1",Parameter!$H$5,IF(CC1748="L23",Parameter!$H$6+Parameter!$H$7,Parameter!$H$5+Parameter!$H$6+Parameter!$H$7))-(AM1748-AI1748))/AI1748)))</f>
        <v>0</v>
      </c>
      <c r="AO1748" s="50" t="n">
        <f aca="false">IF(LEFT(Cockpit!$I$5,1)="A",H1748,IF(CE1748=1,CF1748,IF(LEFT(Cockpit!$I$5,1)="B",AT1748,MAX(AT1748,H1748))))</f>
        <v>0</v>
      </c>
      <c r="AP1748" s="50" t="n">
        <f aca="false">IF(BW1748=1,0,ROUNDUP(AO1748/BV1748,0))</f>
        <v>0</v>
      </c>
      <c r="AQ1748" s="52" t="n">
        <f aca="false">IF(CL1748&gt;0,CL1748*MAX(1,AO1748/X1748),IF(BW1748=1,IF(AO1748&lt;=0,0,CA1748*MAX(1,IF(H1748&gt;0,AO1748/H1748,1))),IF(R1748&gt;0,AP1748/R1748,0))/MAX(0.1,N(Parameter!$M$21)))</f>
        <v>0</v>
      </c>
      <c r="AR1748" s="50" t="n">
        <f aca="false">AQ1748*BY1748</f>
        <v>0</v>
      </c>
      <c r="AS1748" s="50" t="n">
        <f aca="false">AO1748*G1748</f>
        <v>0</v>
      </c>
      <c r="AT1748" s="50" t="n">
        <f aca="false">ROUNDUP(MAX(J1748/IF(CD1748&gt;0,CD1748,MAX(0.1,N(Cockpit!$I$6))),CG1748)/BV1748,0)*BV1748</f>
        <v>0</v>
      </c>
      <c r="AU1748" s="51" t="n">
        <f aca="false">IF(AR1748&gt;0,J1748/AR1748,-1)</f>
        <v>-1</v>
      </c>
      <c r="AV1748" s="51" t="str">
        <f aca="false">IF(AND(OR(CC1748="L1",CC1748="L23",CC1748="LIFT"),AR1748&gt;0),SUMIFS($AR$7:$AR$1843,$CC$7:$CC$1843,CC1748,$AU$7:$AU$1843,"&gt;"&amp;AU1748)+SUMIFS($AR$7:$AR$1843,$CC$7:$CC$1843,CC1748,$AU$7:$AU$1843,AU1748,$BT$7:$BT$1843,"&lt;="&amp;BT1748),"")</f>
        <v/>
      </c>
      <c r="AW1748" s="58" t="n">
        <f aca="false">IF(AV1748="",0,MAX(0,MIN(1,(IF(CC1748="L1",Parameter!$H$5,IF(CC1748="L23",Parameter!$H$6+Parameter!$H$7,Parameter!$H$5+Parameter!$H$6+Parameter!$H$7))-(AV1748-AR1748))/AR1748)))</f>
        <v>0</v>
      </c>
      <c r="AX1748" s="50" t="n">
        <f aca="false">IF(LEFT(Cockpit!$O$5,1)="A",H1748,IF(CE1748=1,CF1748,IF(LEFT(Cockpit!$O$5,1)="B",BC1748,MAX(BC1748,H1748))))</f>
        <v>0</v>
      </c>
      <c r="AY1748" s="50" t="n">
        <f aca="false">IF(BW1748=1,0,ROUNDUP(AX1748/BV1748,0))</f>
        <v>0</v>
      </c>
      <c r="AZ1748" s="52" t="n">
        <f aca="false">IF(CL1748&gt;0,CL1748*MAX(1,AX1748/X1748),IF(BW1748=1,IF(AX1748&lt;=0,0,CA1748*MAX(1,IF(H1748&gt;0,AX1748/H1748,1))),IF(R1748&gt;0,AY1748/R1748,0))/MAX(0.1,N(Parameter!$M$21)))</f>
        <v>0</v>
      </c>
      <c r="BA1748" s="50" t="n">
        <f aca="false">AZ1748*BY1748</f>
        <v>0</v>
      </c>
      <c r="BB1748" s="50" t="n">
        <f aca="false">AX1748*G1748</f>
        <v>0</v>
      </c>
      <c r="BC1748" s="50" t="n">
        <f aca="false">ROUNDUP(MAX(J1748/IF(CD1748&gt;0,CD1748,MAX(0.1,N(Cockpit!$O$6))),CG1748)/BV1748,0)*BV1748</f>
        <v>0</v>
      </c>
      <c r="BD1748" s="51" t="n">
        <f aca="false">IF(BA1748&gt;0,J1748/BA1748,-1)</f>
        <v>-1</v>
      </c>
      <c r="BE1748" s="51" t="str">
        <f aca="false">IF(AND(OR(CC1748="L1",CC1748="L23",CC1748="LIFT"),BA1748&gt;0),SUMIFS($BA$7:$BA$1843,$CC$7:$CC$1843,CC1748,$BD$7:$BD$1843,"&gt;"&amp;BD1748)+SUMIFS($BA$7:$BA$1843,$CC$7:$CC$1843,CC1748,$BD$7:$BD$1843,BD1748,$BT$7:$BT$1843,"&lt;="&amp;BT1748),"")</f>
        <v/>
      </c>
      <c r="BF1748" s="58" t="n">
        <f aca="false">IF(BE1748="",0,MAX(0,MIN(1,(IF(CC1748="L1",Parameter!$H$5,IF(CC1748="L23",Parameter!$H$6+Parameter!$H$7,Parameter!$H$5+Parameter!$H$6+Parameter!$H$7))-(BE1748-BA1748))/BA1748)))</f>
        <v>0</v>
      </c>
      <c r="BG1748" s="48" t="str">
        <f aca="false">IF(AI1748&lt;=0,"",IF(CC1748="Aussen","Aussenlager",IF(CC1748="-","Nicht im Lift",IF(AN1748&gt;=1,"Lift",IF(AN1748&lt;=0,"Aussenlager","teilweise")))))</f>
        <v/>
      </c>
      <c r="BH1748" s="48" t="str">
        <f aca="false">IF(AR1748&lt;=0,"",IF(CC1748="Aussen","Aussenlager",IF(CC1748="-","Nicht im Lift",IF(AW1748&gt;=1,"Lift",IF(AW1748&lt;=0,"Aussenlager","teilweise")))))</f>
        <v/>
      </c>
      <c r="BI1748" s="48" t="str">
        <f aca="false">IF(BA1748&lt;=0,"",IF(CC1748="Aussen","Aussenlager",IF(CC1748="-","Nicht im Lift",IF(BF1748&gt;=1,"Lift",IF(BF1748&lt;=0,"Aussenlager","teilweise")))))</f>
        <v/>
      </c>
      <c r="BJ1748" s="48" t="str">
        <f aca="false">IF(A1748="","",IF(BS1748=1,"Neu; ","")&amp;IF(AND(BS1748=0,BN1748&lt;0),"negativer Bestand (Export "&amp;BN1748&amp;"); ","")&amp;IF(J1748&lt;=0,"Kein Verbrauch; ","")&amp;IF(CL1748&gt;0,"Lift "&amp;W1748&amp;" lt. Liftbericht (Fach "&amp;X1748&amp;" Stk); ",IF(BX1748=1,"Gebinde geschätzt ("&amp;T1748&amp;"); ",IF(BW1748=1,"Lose – Tablare geschätzt; ","")))&amp;IF(H1748&gt;AT1748,"Überbestand "&amp;ROUND(H1748-AT1748,0)&amp;" Stk / CHF "&amp;ROUND((H1748-AT1748)*G1748,0)&amp;"; ","")&amp;IF(AND(CE1748=1,CF1748&lt;CG1748),"MAX &lt; MB+LG; ","")&amp;IF(AND(CK1748&gt;0,CJ1748*10&gt;CK1748),"zu hoch für Tablar; ","")&amp;IF(AND(BS1748=0,OR(CE1748=1,AA1748&lt;&gt;"",U1748&lt;&gt;"",V1748&lt;&gt;"",AB1748&lt;&gt;"")),"manuell übersteuert; ","")&amp;IF(AND(BW1748=0,R1748=0),"Gebinde unbekannt / Stellmass fehlt; ","")&amp;IF(AND(BW1748=0,N(V1748)&lt;=0,N(Q1748)&lt;=0),"Menge pro Gebinde fehlt (Ist = 1 Gebinde); ","")&amp;BR1748)</f>
        <v/>
      </c>
      <c r="BK1748" s="48"/>
      <c r="BL1748" s="48"/>
      <c r="BM1748" s="55"/>
      <c r="BN1748" s="50" t="n">
        <f aca="false">N('Neue Artikel'!$D$9)</f>
        <v>0</v>
      </c>
      <c r="BO1748" s="50" t="n">
        <v>0</v>
      </c>
      <c r="BP1748" s="49" t="n">
        <v>0</v>
      </c>
      <c r="BQ1748" s="50" t="n">
        <f aca="false">N('Neue Artikel'!$C$9)/Parameter!$B$18</f>
        <v>0</v>
      </c>
      <c r="BR1748" s="48"/>
      <c r="BS1748" s="53" t="n">
        <v>1</v>
      </c>
      <c r="BT1748" s="53" t="n">
        <v>1748</v>
      </c>
      <c r="BU1748" s="48" t="str">
        <f aca="false">IF(U1748&lt;&gt;"",UPPER(TRIM(U1748)),IF(BX1748=1,UPPER(VLOOKUP(T1748,Parameter!$I$27:$K$29,2,0)),IF(P1748="","LOSE",P1748)))</f>
        <v>LOSE</v>
      </c>
      <c r="BV1748" s="50" t="n">
        <f aca="false">IF(BU1748="LOSE",1,IF(N(V1748)&gt;0,V1748,IF(BX1748=1,MAX(1,N(VLOOKUP(T1748,Parameter!$I$27:$K$29,3,0)),H1748,N(N1748)),IF(N(Q1748)&gt;0,Q1748,MAX(1,H1748)))))</f>
        <v>1</v>
      </c>
      <c r="BW1748" s="53" t="n">
        <f aca="false">IF(BU1748="LOSE",1,0)</f>
        <v>1</v>
      </c>
      <c r="BX1748" s="53" t="n">
        <f aca="false">IF(AND(U1748="",OR(P1748="",P1748="LOSE"),T1748&lt;&gt;"",N(S1748)&lt;=0,ISNUMBER(MATCH(T1748,Parameter!$I$27:$I$29,0))),1,0)</f>
        <v>0</v>
      </c>
      <c r="BY1748" s="53" t="n">
        <f aca="false">IF(CL1748&gt;0,INDEX(Parameter!$H$5:$H$7,W1748)/INDEX(Parameter!$E$5:$E$7,W1748),IF(AND(BW1748=0,N(IFERROR(VLOOKUP(BU1748,'Gebinde-Kategorie'!$A$5:$N$45,14,0),0))&gt;0),VLOOKUP(BU1748,'Gebinde-Kategorie'!$A$5:$N$45,14,0)*10+Parameter!$M$23,Parameter!$M$24))</f>
        <v>235</v>
      </c>
      <c r="BZ1748" s="48" t="str">
        <f aca="false">IF(AND(Parameter!$B$19="Ja",E1748&lt;&gt;"",ISNUMBER(MATCH(E1748,Parameter!$I$35:$I$52,0))),VLOOKUP(E1748,Parameter!$I$35:$J$52,2,0),IFERROR(VLOOKUP(D1748,Parameter!$A$35:$C$64,2,0),"Nein"))</f>
        <v>2+3</v>
      </c>
      <c r="CA1748" s="52" t="n">
        <f aca="false">IF(BW1748=0,0,IF(N(S1748)&gt;0,S1748,IFERROR(VLOOKUP(D1748,Parameter!$A$35:$C$64,3,0)+0,0)))</f>
        <v>0.15</v>
      </c>
      <c r="CB1748" s="48" t="str">
        <f aca="false">IF(AA1748&lt;&gt;"",AA1748,Z1748)</f>
        <v/>
      </c>
      <c r="CC1748" s="48" t="str">
        <f aca="false">IF(OR(CB1748=1,CB1748=2,CB1748=3),IF(Parameter!$E$27="Ja","LIFT",IF(CB1748=1,"L1","L23")),IF(CB1748="Aussen","Aussen","-"))</f>
        <v>-</v>
      </c>
      <c r="CD1748" s="59" t="n">
        <f aca="false">IF(N(AB1748)&gt;0,AB1748,0)</f>
        <v>0</v>
      </c>
      <c r="CE1748" s="53" t="n">
        <f aca="false">IF(ISNUMBER(AE1748),1,0)</f>
        <v>0</v>
      </c>
      <c r="CF1748" s="50" t="n">
        <f aca="false">N(AE1748)</f>
        <v>0</v>
      </c>
      <c r="CG1748" s="50" t="n">
        <f aca="false">N(M1748)+N(N1748)</f>
        <v>0</v>
      </c>
      <c r="CH1748" s="50" t="n">
        <f aca="false">ROUNDUP(H1748/BV1748,0)</f>
        <v>0</v>
      </c>
      <c r="CI1748" s="50" t="n">
        <f aca="false">ROUNDUP(CF1748/BV1748,0)</f>
        <v>0</v>
      </c>
      <c r="CJ1748" s="53" t="n">
        <f aca="false">IF(BW1748=1,0,IFERROR(VLOOKUP(BU1748,'Gebinde-Kategorie'!$A$5:$N$45,5,0)+0,0))</f>
        <v>0</v>
      </c>
      <c r="CK1748" s="53" t="n">
        <f aca="false">IFERROR(IF(OR(CB1748=1,CB1748=2,CB1748=3),N(INDEX(Parameter!$I$5:$I$7,CB1748)),0),0)</f>
        <v>0</v>
      </c>
      <c r="CL1748" s="52" t="n">
        <f aca="false">IF(AND(Parameter!$B$21="Ja",ISNUMBER(W1748),N(X1748)&gt;0),IFERROR(N(INDEX(Parameter!$L$5:$L$7,W1748))*INDEX(Parameter!$E$5:$E$7,W1748)*X1748/SUMIFS($X$7:$X$1843,$W$7:$W$1843,W1748),0),0)</f>
        <v>0</v>
      </c>
    </row>
    <row r="1749" customFormat="false" ht="15" hidden="false" customHeight="false" outlineLevel="0" collapsed="false">
      <c r="A1749" s="48" t="str">
        <f aca="false">IF('Neue Artikel'!$A$10="","",'Neue Artikel'!$A$10&amp;"")</f>
        <v/>
      </c>
      <c r="B1749" s="48" t="str">
        <f aca="false">'Neue Artikel'!$B$10&amp;""</f>
        <v/>
      </c>
      <c r="C1749" s="48"/>
      <c r="D1749" s="48" t="s">
        <v>3019</v>
      </c>
      <c r="E1749" s="48"/>
      <c r="F1749" s="48"/>
      <c r="G1749" s="49" t="n">
        <f aca="false">N('Neue Artikel'!$G$10)</f>
        <v>0</v>
      </c>
      <c r="H1749" s="50" t="n">
        <f aca="false">MAX(0,IF(AND(Parameter!$B$21="Ja",ISNUMBER(Y1749)),Y1749,IF(Parameter!$B$20="Jahresanfang 2025 + Export",BO1749+BN1749,BN1749)))</f>
        <v>0</v>
      </c>
      <c r="I1749" s="50" t="n">
        <f aca="false">H1749*G1749</f>
        <v>0</v>
      </c>
      <c r="J1749" s="50" t="n">
        <f aca="false">BQ1749*Parameter!$B$18</f>
        <v>0</v>
      </c>
      <c r="K1749" s="51"/>
      <c r="L1749" s="52"/>
      <c r="M1749" s="50" t="n">
        <f aca="false">N('Neue Artikel'!$E$10)</f>
        <v>0</v>
      </c>
      <c r="N1749" s="50" t="n">
        <f aca="false">N('Neue Artikel'!$F$10)</f>
        <v>0</v>
      </c>
      <c r="O1749" s="53"/>
      <c r="P1749" s="48" t="str">
        <f aca="false">IF('Neue Artikel'!$H$10="","LOSE",UPPER(TRIM('Neue Artikel'!$H$10)))</f>
        <v>LOSE</v>
      </c>
      <c r="Q1749" s="50" t="n">
        <f aca="false">N('Neue Artikel'!$I$10)</f>
        <v>0</v>
      </c>
      <c r="R1749" s="53" t="n">
        <f aca="false">IF(BW1749=1,0,IFERROR(VLOOKUP(BU1749,'Gebinde-Kategorie'!$A$5:$N$45,13,0)+0,0))</f>
        <v>0</v>
      </c>
      <c r="S1749" s="54"/>
      <c r="T1749" s="55"/>
      <c r="U1749" s="55"/>
      <c r="V1749" s="55"/>
      <c r="W1749" s="48"/>
      <c r="X1749" s="50"/>
      <c r="Y1749" s="50"/>
      <c r="Z1749" s="48" t="str">
        <f aca="false">IF(A1749="","",IF(AND(Parameter!$B$21="Ja",ISNUMBER(W1749)),W1749,IF(BZ1749="2+3",IF(ISNUMBER(SEARCH("grosser Artikel",BR1749)),2,IFERROR(VLOOKUP(BU1749,Parameter!$F$35:$G$64,2,0),2)),IF(OR(BZ1749="Nein",BZ1749=""),"-",BZ1749))))</f>
        <v/>
      </c>
      <c r="AA1749" s="48" t="str">
        <f aca="false">IF('Neue Artikel'!$J$10="","",'Neue Artikel'!$J$10)</f>
        <v/>
      </c>
      <c r="AB1749" s="56"/>
      <c r="AC1749" s="50" t="n">
        <f aca="false">AT1749</f>
        <v>0</v>
      </c>
      <c r="AD1749" s="50" t="n">
        <f aca="false">MAX(AT1749,H1749)</f>
        <v>0</v>
      </c>
      <c r="AE1749" s="57"/>
      <c r="AF1749" s="50" t="n">
        <f aca="false">IF(LEFT(Cockpit!$C$5,1)="A",H1749,IF(CE1749=1,CF1749,IF(LEFT(Cockpit!$C$5,1)="B",AK1749,MAX(AK1749,H1749))))</f>
        <v>0</v>
      </c>
      <c r="AG1749" s="50" t="n">
        <f aca="false">IF(BW1749=1,0,ROUNDUP(AF1749/BV1749,0))</f>
        <v>0</v>
      </c>
      <c r="AH1749" s="52" t="n">
        <f aca="false">IF(CL1749&gt;0,CL1749*MAX(1,AF1749/X1749),IF(BW1749=1,IF(AF1749&lt;=0,0,CA1749*MAX(1,IF(H1749&gt;0,AF1749/H1749,1))),IF(R1749&gt;0,AG1749/R1749,0))/MAX(0.1,N(Parameter!$M$21)))</f>
        <v>0</v>
      </c>
      <c r="AI1749" s="50" t="n">
        <f aca="false">AH1749*BY1749</f>
        <v>0</v>
      </c>
      <c r="AJ1749" s="50" t="n">
        <f aca="false">AF1749*G1749</f>
        <v>0</v>
      </c>
      <c r="AK1749" s="50" t="n">
        <f aca="false">ROUNDUP(MAX(J1749/IF(CD1749&gt;0,CD1749,MAX(0.1,N(Cockpit!$C$6))),CG1749)/BV1749,0)*BV1749</f>
        <v>0</v>
      </c>
      <c r="AL1749" s="51" t="n">
        <f aca="false">IF(AI1749&gt;0,J1749/AI1749,-1)</f>
        <v>-1</v>
      </c>
      <c r="AM1749" s="51" t="str">
        <f aca="false">IF(AND(OR(CC1749="L1",CC1749="L23",CC1749="LIFT"),AI1749&gt;0),SUMIFS($AI$7:$AI$1843,$CC$7:$CC$1843,CC1749,$AL$7:$AL$1843,"&gt;"&amp;AL1749)+SUMIFS($AI$7:$AI$1843,$CC$7:$CC$1843,CC1749,$AL$7:$AL$1843,AL1749,$BT$7:$BT$1843,"&lt;="&amp;BT1749),"")</f>
        <v/>
      </c>
      <c r="AN1749" s="58" t="n">
        <f aca="false">IF(AM1749="",0,MAX(0,MIN(1,(IF(CC1749="L1",Parameter!$H$5,IF(CC1749="L23",Parameter!$H$6+Parameter!$H$7,Parameter!$H$5+Parameter!$H$6+Parameter!$H$7))-(AM1749-AI1749))/AI1749)))</f>
        <v>0</v>
      </c>
      <c r="AO1749" s="50" t="n">
        <f aca="false">IF(LEFT(Cockpit!$I$5,1)="A",H1749,IF(CE1749=1,CF1749,IF(LEFT(Cockpit!$I$5,1)="B",AT1749,MAX(AT1749,H1749))))</f>
        <v>0</v>
      </c>
      <c r="AP1749" s="50" t="n">
        <f aca="false">IF(BW1749=1,0,ROUNDUP(AO1749/BV1749,0))</f>
        <v>0</v>
      </c>
      <c r="AQ1749" s="52" t="n">
        <f aca="false">IF(CL1749&gt;0,CL1749*MAX(1,AO1749/X1749),IF(BW1749=1,IF(AO1749&lt;=0,0,CA1749*MAX(1,IF(H1749&gt;0,AO1749/H1749,1))),IF(R1749&gt;0,AP1749/R1749,0))/MAX(0.1,N(Parameter!$M$21)))</f>
        <v>0</v>
      </c>
      <c r="AR1749" s="50" t="n">
        <f aca="false">AQ1749*BY1749</f>
        <v>0</v>
      </c>
      <c r="AS1749" s="50" t="n">
        <f aca="false">AO1749*G1749</f>
        <v>0</v>
      </c>
      <c r="AT1749" s="50" t="n">
        <f aca="false">ROUNDUP(MAX(J1749/IF(CD1749&gt;0,CD1749,MAX(0.1,N(Cockpit!$I$6))),CG1749)/BV1749,0)*BV1749</f>
        <v>0</v>
      </c>
      <c r="AU1749" s="51" t="n">
        <f aca="false">IF(AR1749&gt;0,J1749/AR1749,-1)</f>
        <v>-1</v>
      </c>
      <c r="AV1749" s="51" t="str">
        <f aca="false">IF(AND(OR(CC1749="L1",CC1749="L23",CC1749="LIFT"),AR1749&gt;0),SUMIFS($AR$7:$AR$1843,$CC$7:$CC$1843,CC1749,$AU$7:$AU$1843,"&gt;"&amp;AU1749)+SUMIFS($AR$7:$AR$1843,$CC$7:$CC$1843,CC1749,$AU$7:$AU$1843,AU1749,$BT$7:$BT$1843,"&lt;="&amp;BT1749),"")</f>
        <v/>
      </c>
      <c r="AW1749" s="58" t="n">
        <f aca="false">IF(AV1749="",0,MAX(0,MIN(1,(IF(CC1749="L1",Parameter!$H$5,IF(CC1749="L23",Parameter!$H$6+Parameter!$H$7,Parameter!$H$5+Parameter!$H$6+Parameter!$H$7))-(AV1749-AR1749))/AR1749)))</f>
        <v>0</v>
      </c>
      <c r="AX1749" s="50" t="n">
        <f aca="false">IF(LEFT(Cockpit!$O$5,1)="A",H1749,IF(CE1749=1,CF1749,IF(LEFT(Cockpit!$O$5,1)="B",BC1749,MAX(BC1749,H1749))))</f>
        <v>0</v>
      </c>
      <c r="AY1749" s="50" t="n">
        <f aca="false">IF(BW1749=1,0,ROUNDUP(AX1749/BV1749,0))</f>
        <v>0</v>
      </c>
      <c r="AZ1749" s="52" t="n">
        <f aca="false">IF(CL1749&gt;0,CL1749*MAX(1,AX1749/X1749),IF(BW1749=1,IF(AX1749&lt;=0,0,CA1749*MAX(1,IF(H1749&gt;0,AX1749/H1749,1))),IF(R1749&gt;0,AY1749/R1749,0))/MAX(0.1,N(Parameter!$M$21)))</f>
        <v>0</v>
      </c>
      <c r="BA1749" s="50" t="n">
        <f aca="false">AZ1749*BY1749</f>
        <v>0</v>
      </c>
      <c r="BB1749" s="50" t="n">
        <f aca="false">AX1749*G1749</f>
        <v>0</v>
      </c>
      <c r="BC1749" s="50" t="n">
        <f aca="false">ROUNDUP(MAX(J1749/IF(CD1749&gt;0,CD1749,MAX(0.1,N(Cockpit!$O$6))),CG1749)/BV1749,0)*BV1749</f>
        <v>0</v>
      </c>
      <c r="BD1749" s="51" t="n">
        <f aca="false">IF(BA1749&gt;0,J1749/BA1749,-1)</f>
        <v>-1</v>
      </c>
      <c r="BE1749" s="51" t="str">
        <f aca="false">IF(AND(OR(CC1749="L1",CC1749="L23",CC1749="LIFT"),BA1749&gt;0),SUMIFS($BA$7:$BA$1843,$CC$7:$CC$1843,CC1749,$BD$7:$BD$1843,"&gt;"&amp;BD1749)+SUMIFS($BA$7:$BA$1843,$CC$7:$CC$1843,CC1749,$BD$7:$BD$1843,BD1749,$BT$7:$BT$1843,"&lt;="&amp;BT1749),"")</f>
        <v/>
      </c>
      <c r="BF1749" s="58" t="n">
        <f aca="false">IF(BE1749="",0,MAX(0,MIN(1,(IF(CC1749="L1",Parameter!$H$5,IF(CC1749="L23",Parameter!$H$6+Parameter!$H$7,Parameter!$H$5+Parameter!$H$6+Parameter!$H$7))-(BE1749-BA1749))/BA1749)))</f>
        <v>0</v>
      </c>
      <c r="BG1749" s="48" t="str">
        <f aca="false">IF(AI1749&lt;=0,"",IF(CC1749="Aussen","Aussenlager",IF(CC1749="-","Nicht im Lift",IF(AN1749&gt;=1,"Lift",IF(AN1749&lt;=0,"Aussenlager","teilweise")))))</f>
        <v/>
      </c>
      <c r="BH1749" s="48" t="str">
        <f aca="false">IF(AR1749&lt;=0,"",IF(CC1749="Aussen","Aussenlager",IF(CC1749="-","Nicht im Lift",IF(AW1749&gt;=1,"Lift",IF(AW1749&lt;=0,"Aussenlager","teilweise")))))</f>
        <v/>
      </c>
      <c r="BI1749" s="48" t="str">
        <f aca="false">IF(BA1749&lt;=0,"",IF(CC1749="Aussen","Aussenlager",IF(CC1749="-","Nicht im Lift",IF(BF1749&gt;=1,"Lift",IF(BF1749&lt;=0,"Aussenlager","teilweise")))))</f>
        <v/>
      </c>
      <c r="BJ1749" s="48" t="str">
        <f aca="false">IF(A1749="","",IF(BS1749=1,"Neu; ","")&amp;IF(AND(BS1749=0,BN1749&lt;0),"negativer Bestand (Export "&amp;BN1749&amp;"); ","")&amp;IF(J1749&lt;=0,"Kein Verbrauch; ","")&amp;IF(CL1749&gt;0,"Lift "&amp;W1749&amp;" lt. Liftbericht (Fach "&amp;X1749&amp;" Stk); ",IF(BX1749=1,"Gebinde geschätzt ("&amp;T1749&amp;"); ",IF(BW1749=1,"Lose – Tablare geschätzt; ","")))&amp;IF(H1749&gt;AT1749,"Überbestand "&amp;ROUND(H1749-AT1749,0)&amp;" Stk / CHF "&amp;ROUND((H1749-AT1749)*G1749,0)&amp;"; ","")&amp;IF(AND(CE1749=1,CF1749&lt;CG1749),"MAX &lt; MB+LG; ","")&amp;IF(AND(CK1749&gt;0,CJ1749*10&gt;CK1749),"zu hoch für Tablar; ","")&amp;IF(AND(BS1749=0,OR(CE1749=1,AA1749&lt;&gt;"",U1749&lt;&gt;"",V1749&lt;&gt;"",AB1749&lt;&gt;"")),"manuell übersteuert; ","")&amp;IF(AND(BW1749=0,R1749=0),"Gebinde unbekannt / Stellmass fehlt; ","")&amp;IF(AND(BW1749=0,N(V1749)&lt;=0,N(Q1749)&lt;=0),"Menge pro Gebinde fehlt (Ist = 1 Gebinde); ","")&amp;BR1749)</f>
        <v/>
      </c>
      <c r="BK1749" s="48"/>
      <c r="BL1749" s="48"/>
      <c r="BM1749" s="55"/>
      <c r="BN1749" s="50" t="n">
        <f aca="false">N('Neue Artikel'!$D$10)</f>
        <v>0</v>
      </c>
      <c r="BO1749" s="50" t="n">
        <v>0</v>
      </c>
      <c r="BP1749" s="49" t="n">
        <v>0</v>
      </c>
      <c r="BQ1749" s="50" t="n">
        <f aca="false">N('Neue Artikel'!$C$10)/Parameter!$B$18</f>
        <v>0</v>
      </c>
      <c r="BR1749" s="48"/>
      <c r="BS1749" s="53" t="n">
        <v>1</v>
      </c>
      <c r="BT1749" s="53" t="n">
        <v>1749</v>
      </c>
      <c r="BU1749" s="48" t="str">
        <f aca="false">IF(U1749&lt;&gt;"",UPPER(TRIM(U1749)),IF(BX1749=1,UPPER(VLOOKUP(T1749,Parameter!$I$27:$K$29,2,0)),IF(P1749="","LOSE",P1749)))</f>
        <v>LOSE</v>
      </c>
      <c r="BV1749" s="50" t="n">
        <f aca="false">IF(BU1749="LOSE",1,IF(N(V1749)&gt;0,V1749,IF(BX1749=1,MAX(1,N(VLOOKUP(T1749,Parameter!$I$27:$K$29,3,0)),H1749,N(N1749)),IF(N(Q1749)&gt;0,Q1749,MAX(1,H1749)))))</f>
        <v>1</v>
      </c>
      <c r="BW1749" s="53" t="n">
        <f aca="false">IF(BU1749="LOSE",1,0)</f>
        <v>1</v>
      </c>
      <c r="BX1749" s="53" t="n">
        <f aca="false">IF(AND(U1749="",OR(P1749="",P1749="LOSE"),T1749&lt;&gt;"",N(S1749)&lt;=0,ISNUMBER(MATCH(T1749,Parameter!$I$27:$I$29,0))),1,0)</f>
        <v>0</v>
      </c>
      <c r="BY1749" s="53" t="n">
        <f aca="false">IF(CL1749&gt;0,INDEX(Parameter!$H$5:$H$7,W1749)/INDEX(Parameter!$E$5:$E$7,W1749),IF(AND(BW1749=0,N(IFERROR(VLOOKUP(BU1749,'Gebinde-Kategorie'!$A$5:$N$45,14,0),0))&gt;0),VLOOKUP(BU1749,'Gebinde-Kategorie'!$A$5:$N$45,14,0)*10+Parameter!$M$23,Parameter!$M$24))</f>
        <v>235</v>
      </c>
      <c r="BZ1749" s="48" t="str">
        <f aca="false">IF(AND(Parameter!$B$19="Ja",E1749&lt;&gt;"",ISNUMBER(MATCH(E1749,Parameter!$I$35:$I$52,0))),VLOOKUP(E1749,Parameter!$I$35:$J$52,2,0),IFERROR(VLOOKUP(D1749,Parameter!$A$35:$C$64,2,0),"Nein"))</f>
        <v>2+3</v>
      </c>
      <c r="CA1749" s="52" t="n">
        <f aca="false">IF(BW1749=0,0,IF(N(S1749)&gt;0,S1749,IFERROR(VLOOKUP(D1749,Parameter!$A$35:$C$64,3,0)+0,0)))</f>
        <v>0.15</v>
      </c>
      <c r="CB1749" s="48" t="str">
        <f aca="false">IF(AA1749&lt;&gt;"",AA1749,Z1749)</f>
        <v/>
      </c>
      <c r="CC1749" s="48" t="str">
        <f aca="false">IF(OR(CB1749=1,CB1749=2,CB1749=3),IF(Parameter!$E$27="Ja","LIFT",IF(CB1749=1,"L1","L23")),IF(CB1749="Aussen","Aussen","-"))</f>
        <v>-</v>
      </c>
      <c r="CD1749" s="59" t="n">
        <f aca="false">IF(N(AB1749)&gt;0,AB1749,0)</f>
        <v>0</v>
      </c>
      <c r="CE1749" s="53" t="n">
        <f aca="false">IF(ISNUMBER(AE1749),1,0)</f>
        <v>0</v>
      </c>
      <c r="CF1749" s="50" t="n">
        <f aca="false">N(AE1749)</f>
        <v>0</v>
      </c>
      <c r="CG1749" s="50" t="n">
        <f aca="false">N(M1749)+N(N1749)</f>
        <v>0</v>
      </c>
      <c r="CH1749" s="50" t="n">
        <f aca="false">ROUNDUP(H1749/BV1749,0)</f>
        <v>0</v>
      </c>
      <c r="CI1749" s="50" t="n">
        <f aca="false">ROUNDUP(CF1749/BV1749,0)</f>
        <v>0</v>
      </c>
      <c r="CJ1749" s="53" t="n">
        <f aca="false">IF(BW1749=1,0,IFERROR(VLOOKUP(BU1749,'Gebinde-Kategorie'!$A$5:$N$45,5,0)+0,0))</f>
        <v>0</v>
      </c>
      <c r="CK1749" s="53" t="n">
        <f aca="false">IFERROR(IF(OR(CB1749=1,CB1749=2,CB1749=3),N(INDEX(Parameter!$I$5:$I$7,CB1749)),0),0)</f>
        <v>0</v>
      </c>
      <c r="CL1749" s="52" t="n">
        <f aca="false">IF(AND(Parameter!$B$21="Ja",ISNUMBER(W1749),N(X1749)&gt;0),IFERROR(N(INDEX(Parameter!$L$5:$L$7,W1749))*INDEX(Parameter!$E$5:$E$7,W1749)*X1749/SUMIFS($X$7:$X$1843,$W$7:$W$1843,W1749),0),0)</f>
        <v>0</v>
      </c>
    </row>
    <row r="1750" customFormat="false" ht="15" hidden="false" customHeight="false" outlineLevel="0" collapsed="false">
      <c r="A1750" s="48" t="str">
        <f aca="false">IF('Neue Artikel'!$A$11="","",'Neue Artikel'!$A$11&amp;"")</f>
        <v/>
      </c>
      <c r="B1750" s="48" t="str">
        <f aca="false">'Neue Artikel'!$B$11&amp;""</f>
        <v/>
      </c>
      <c r="C1750" s="48"/>
      <c r="D1750" s="48" t="s">
        <v>3019</v>
      </c>
      <c r="E1750" s="48"/>
      <c r="F1750" s="48"/>
      <c r="G1750" s="49" t="n">
        <f aca="false">N('Neue Artikel'!$G$11)</f>
        <v>0</v>
      </c>
      <c r="H1750" s="50" t="n">
        <f aca="false">MAX(0,IF(AND(Parameter!$B$21="Ja",ISNUMBER(Y1750)),Y1750,IF(Parameter!$B$20="Jahresanfang 2025 + Export",BO1750+BN1750,BN1750)))</f>
        <v>0</v>
      </c>
      <c r="I1750" s="50" t="n">
        <f aca="false">H1750*G1750</f>
        <v>0</v>
      </c>
      <c r="J1750" s="50" t="n">
        <f aca="false">BQ1750*Parameter!$B$18</f>
        <v>0</v>
      </c>
      <c r="K1750" s="51"/>
      <c r="L1750" s="52"/>
      <c r="M1750" s="50" t="n">
        <f aca="false">N('Neue Artikel'!$E$11)</f>
        <v>0</v>
      </c>
      <c r="N1750" s="50" t="n">
        <f aca="false">N('Neue Artikel'!$F$11)</f>
        <v>0</v>
      </c>
      <c r="O1750" s="53"/>
      <c r="P1750" s="48" t="str">
        <f aca="false">IF('Neue Artikel'!$H$11="","LOSE",UPPER(TRIM('Neue Artikel'!$H$11)))</f>
        <v>LOSE</v>
      </c>
      <c r="Q1750" s="50" t="n">
        <f aca="false">N('Neue Artikel'!$I$11)</f>
        <v>0</v>
      </c>
      <c r="R1750" s="53" t="n">
        <f aca="false">IF(BW1750=1,0,IFERROR(VLOOKUP(BU1750,'Gebinde-Kategorie'!$A$5:$N$45,13,0)+0,0))</f>
        <v>0</v>
      </c>
      <c r="S1750" s="54"/>
      <c r="T1750" s="55"/>
      <c r="U1750" s="55"/>
      <c r="V1750" s="55"/>
      <c r="W1750" s="48"/>
      <c r="X1750" s="50"/>
      <c r="Y1750" s="50"/>
      <c r="Z1750" s="48" t="str">
        <f aca="false">IF(A1750="","",IF(AND(Parameter!$B$21="Ja",ISNUMBER(W1750)),W1750,IF(BZ1750="2+3",IF(ISNUMBER(SEARCH("grosser Artikel",BR1750)),2,IFERROR(VLOOKUP(BU1750,Parameter!$F$35:$G$64,2,0),2)),IF(OR(BZ1750="Nein",BZ1750=""),"-",BZ1750))))</f>
        <v/>
      </c>
      <c r="AA1750" s="48" t="str">
        <f aca="false">IF('Neue Artikel'!$J$11="","",'Neue Artikel'!$J$11)</f>
        <v/>
      </c>
      <c r="AB1750" s="56"/>
      <c r="AC1750" s="50" t="n">
        <f aca="false">AT1750</f>
        <v>0</v>
      </c>
      <c r="AD1750" s="50" t="n">
        <f aca="false">MAX(AT1750,H1750)</f>
        <v>0</v>
      </c>
      <c r="AE1750" s="57"/>
      <c r="AF1750" s="50" t="n">
        <f aca="false">IF(LEFT(Cockpit!$C$5,1)="A",H1750,IF(CE1750=1,CF1750,IF(LEFT(Cockpit!$C$5,1)="B",AK1750,MAX(AK1750,H1750))))</f>
        <v>0</v>
      </c>
      <c r="AG1750" s="50" t="n">
        <f aca="false">IF(BW1750=1,0,ROUNDUP(AF1750/BV1750,0))</f>
        <v>0</v>
      </c>
      <c r="AH1750" s="52" t="n">
        <f aca="false">IF(CL1750&gt;0,CL1750*MAX(1,AF1750/X1750),IF(BW1750=1,IF(AF1750&lt;=0,0,CA1750*MAX(1,IF(H1750&gt;0,AF1750/H1750,1))),IF(R1750&gt;0,AG1750/R1750,0))/MAX(0.1,N(Parameter!$M$21)))</f>
        <v>0</v>
      </c>
      <c r="AI1750" s="50" t="n">
        <f aca="false">AH1750*BY1750</f>
        <v>0</v>
      </c>
      <c r="AJ1750" s="50" t="n">
        <f aca="false">AF1750*G1750</f>
        <v>0</v>
      </c>
      <c r="AK1750" s="50" t="n">
        <f aca="false">ROUNDUP(MAX(J1750/IF(CD1750&gt;0,CD1750,MAX(0.1,N(Cockpit!$C$6))),CG1750)/BV1750,0)*BV1750</f>
        <v>0</v>
      </c>
      <c r="AL1750" s="51" t="n">
        <f aca="false">IF(AI1750&gt;0,J1750/AI1750,-1)</f>
        <v>-1</v>
      </c>
      <c r="AM1750" s="51" t="str">
        <f aca="false">IF(AND(OR(CC1750="L1",CC1750="L23",CC1750="LIFT"),AI1750&gt;0),SUMIFS($AI$7:$AI$1843,$CC$7:$CC$1843,CC1750,$AL$7:$AL$1843,"&gt;"&amp;AL1750)+SUMIFS($AI$7:$AI$1843,$CC$7:$CC$1843,CC1750,$AL$7:$AL$1843,AL1750,$BT$7:$BT$1843,"&lt;="&amp;BT1750),"")</f>
        <v/>
      </c>
      <c r="AN1750" s="58" t="n">
        <f aca="false">IF(AM1750="",0,MAX(0,MIN(1,(IF(CC1750="L1",Parameter!$H$5,IF(CC1750="L23",Parameter!$H$6+Parameter!$H$7,Parameter!$H$5+Parameter!$H$6+Parameter!$H$7))-(AM1750-AI1750))/AI1750)))</f>
        <v>0</v>
      </c>
      <c r="AO1750" s="50" t="n">
        <f aca="false">IF(LEFT(Cockpit!$I$5,1)="A",H1750,IF(CE1750=1,CF1750,IF(LEFT(Cockpit!$I$5,1)="B",AT1750,MAX(AT1750,H1750))))</f>
        <v>0</v>
      </c>
      <c r="AP1750" s="50" t="n">
        <f aca="false">IF(BW1750=1,0,ROUNDUP(AO1750/BV1750,0))</f>
        <v>0</v>
      </c>
      <c r="AQ1750" s="52" t="n">
        <f aca="false">IF(CL1750&gt;0,CL1750*MAX(1,AO1750/X1750),IF(BW1750=1,IF(AO1750&lt;=0,0,CA1750*MAX(1,IF(H1750&gt;0,AO1750/H1750,1))),IF(R1750&gt;0,AP1750/R1750,0))/MAX(0.1,N(Parameter!$M$21)))</f>
        <v>0</v>
      </c>
      <c r="AR1750" s="50" t="n">
        <f aca="false">AQ1750*BY1750</f>
        <v>0</v>
      </c>
      <c r="AS1750" s="50" t="n">
        <f aca="false">AO1750*G1750</f>
        <v>0</v>
      </c>
      <c r="AT1750" s="50" t="n">
        <f aca="false">ROUNDUP(MAX(J1750/IF(CD1750&gt;0,CD1750,MAX(0.1,N(Cockpit!$I$6))),CG1750)/BV1750,0)*BV1750</f>
        <v>0</v>
      </c>
      <c r="AU1750" s="51" t="n">
        <f aca="false">IF(AR1750&gt;0,J1750/AR1750,-1)</f>
        <v>-1</v>
      </c>
      <c r="AV1750" s="51" t="str">
        <f aca="false">IF(AND(OR(CC1750="L1",CC1750="L23",CC1750="LIFT"),AR1750&gt;0),SUMIFS($AR$7:$AR$1843,$CC$7:$CC$1843,CC1750,$AU$7:$AU$1843,"&gt;"&amp;AU1750)+SUMIFS($AR$7:$AR$1843,$CC$7:$CC$1843,CC1750,$AU$7:$AU$1843,AU1750,$BT$7:$BT$1843,"&lt;="&amp;BT1750),"")</f>
        <v/>
      </c>
      <c r="AW1750" s="58" t="n">
        <f aca="false">IF(AV1750="",0,MAX(0,MIN(1,(IF(CC1750="L1",Parameter!$H$5,IF(CC1750="L23",Parameter!$H$6+Parameter!$H$7,Parameter!$H$5+Parameter!$H$6+Parameter!$H$7))-(AV1750-AR1750))/AR1750)))</f>
        <v>0</v>
      </c>
      <c r="AX1750" s="50" t="n">
        <f aca="false">IF(LEFT(Cockpit!$O$5,1)="A",H1750,IF(CE1750=1,CF1750,IF(LEFT(Cockpit!$O$5,1)="B",BC1750,MAX(BC1750,H1750))))</f>
        <v>0</v>
      </c>
      <c r="AY1750" s="50" t="n">
        <f aca="false">IF(BW1750=1,0,ROUNDUP(AX1750/BV1750,0))</f>
        <v>0</v>
      </c>
      <c r="AZ1750" s="52" t="n">
        <f aca="false">IF(CL1750&gt;0,CL1750*MAX(1,AX1750/X1750),IF(BW1750=1,IF(AX1750&lt;=0,0,CA1750*MAX(1,IF(H1750&gt;0,AX1750/H1750,1))),IF(R1750&gt;0,AY1750/R1750,0))/MAX(0.1,N(Parameter!$M$21)))</f>
        <v>0</v>
      </c>
      <c r="BA1750" s="50" t="n">
        <f aca="false">AZ1750*BY1750</f>
        <v>0</v>
      </c>
      <c r="BB1750" s="50" t="n">
        <f aca="false">AX1750*G1750</f>
        <v>0</v>
      </c>
      <c r="BC1750" s="50" t="n">
        <f aca="false">ROUNDUP(MAX(J1750/IF(CD1750&gt;0,CD1750,MAX(0.1,N(Cockpit!$O$6))),CG1750)/BV1750,0)*BV1750</f>
        <v>0</v>
      </c>
      <c r="BD1750" s="51" t="n">
        <f aca="false">IF(BA1750&gt;0,J1750/BA1750,-1)</f>
        <v>-1</v>
      </c>
      <c r="BE1750" s="51" t="str">
        <f aca="false">IF(AND(OR(CC1750="L1",CC1750="L23",CC1750="LIFT"),BA1750&gt;0),SUMIFS($BA$7:$BA$1843,$CC$7:$CC$1843,CC1750,$BD$7:$BD$1843,"&gt;"&amp;BD1750)+SUMIFS($BA$7:$BA$1843,$CC$7:$CC$1843,CC1750,$BD$7:$BD$1843,BD1750,$BT$7:$BT$1843,"&lt;="&amp;BT1750),"")</f>
        <v/>
      </c>
      <c r="BF1750" s="58" t="n">
        <f aca="false">IF(BE1750="",0,MAX(0,MIN(1,(IF(CC1750="L1",Parameter!$H$5,IF(CC1750="L23",Parameter!$H$6+Parameter!$H$7,Parameter!$H$5+Parameter!$H$6+Parameter!$H$7))-(BE1750-BA1750))/BA1750)))</f>
        <v>0</v>
      </c>
      <c r="BG1750" s="48" t="str">
        <f aca="false">IF(AI1750&lt;=0,"",IF(CC1750="Aussen","Aussenlager",IF(CC1750="-","Nicht im Lift",IF(AN1750&gt;=1,"Lift",IF(AN1750&lt;=0,"Aussenlager","teilweise")))))</f>
        <v/>
      </c>
      <c r="BH1750" s="48" t="str">
        <f aca="false">IF(AR1750&lt;=0,"",IF(CC1750="Aussen","Aussenlager",IF(CC1750="-","Nicht im Lift",IF(AW1750&gt;=1,"Lift",IF(AW1750&lt;=0,"Aussenlager","teilweise")))))</f>
        <v/>
      </c>
      <c r="BI1750" s="48" t="str">
        <f aca="false">IF(BA1750&lt;=0,"",IF(CC1750="Aussen","Aussenlager",IF(CC1750="-","Nicht im Lift",IF(BF1750&gt;=1,"Lift",IF(BF1750&lt;=0,"Aussenlager","teilweise")))))</f>
        <v/>
      </c>
      <c r="BJ1750" s="48" t="str">
        <f aca="false">IF(A1750="","",IF(BS1750=1,"Neu; ","")&amp;IF(AND(BS1750=0,BN1750&lt;0),"negativer Bestand (Export "&amp;BN1750&amp;"); ","")&amp;IF(J1750&lt;=0,"Kein Verbrauch; ","")&amp;IF(CL1750&gt;0,"Lift "&amp;W1750&amp;" lt. Liftbericht (Fach "&amp;X1750&amp;" Stk); ",IF(BX1750=1,"Gebinde geschätzt ("&amp;T1750&amp;"); ",IF(BW1750=1,"Lose – Tablare geschätzt; ","")))&amp;IF(H1750&gt;AT1750,"Überbestand "&amp;ROUND(H1750-AT1750,0)&amp;" Stk / CHF "&amp;ROUND((H1750-AT1750)*G1750,0)&amp;"; ","")&amp;IF(AND(CE1750=1,CF1750&lt;CG1750),"MAX &lt; MB+LG; ","")&amp;IF(AND(CK1750&gt;0,CJ1750*10&gt;CK1750),"zu hoch für Tablar; ","")&amp;IF(AND(BS1750=0,OR(CE1750=1,AA1750&lt;&gt;"",U1750&lt;&gt;"",V1750&lt;&gt;"",AB1750&lt;&gt;"")),"manuell übersteuert; ","")&amp;IF(AND(BW1750=0,R1750=0),"Gebinde unbekannt / Stellmass fehlt; ","")&amp;IF(AND(BW1750=0,N(V1750)&lt;=0,N(Q1750)&lt;=0),"Menge pro Gebinde fehlt (Ist = 1 Gebinde); ","")&amp;BR1750)</f>
        <v/>
      </c>
      <c r="BK1750" s="48"/>
      <c r="BL1750" s="48"/>
      <c r="BM1750" s="55"/>
      <c r="BN1750" s="50" t="n">
        <f aca="false">N('Neue Artikel'!$D$11)</f>
        <v>0</v>
      </c>
      <c r="BO1750" s="50" t="n">
        <v>0</v>
      </c>
      <c r="BP1750" s="49" t="n">
        <v>0</v>
      </c>
      <c r="BQ1750" s="50" t="n">
        <f aca="false">N('Neue Artikel'!$C$11)/Parameter!$B$18</f>
        <v>0</v>
      </c>
      <c r="BR1750" s="48"/>
      <c r="BS1750" s="53" t="n">
        <v>1</v>
      </c>
      <c r="BT1750" s="53" t="n">
        <v>1750</v>
      </c>
      <c r="BU1750" s="48" t="str">
        <f aca="false">IF(U1750&lt;&gt;"",UPPER(TRIM(U1750)),IF(BX1750=1,UPPER(VLOOKUP(T1750,Parameter!$I$27:$K$29,2,0)),IF(P1750="","LOSE",P1750)))</f>
        <v>LOSE</v>
      </c>
      <c r="BV1750" s="50" t="n">
        <f aca="false">IF(BU1750="LOSE",1,IF(N(V1750)&gt;0,V1750,IF(BX1750=1,MAX(1,N(VLOOKUP(T1750,Parameter!$I$27:$K$29,3,0)),H1750,N(N1750)),IF(N(Q1750)&gt;0,Q1750,MAX(1,H1750)))))</f>
        <v>1</v>
      </c>
      <c r="BW1750" s="53" t="n">
        <f aca="false">IF(BU1750="LOSE",1,0)</f>
        <v>1</v>
      </c>
      <c r="BX1750" s="53" t="n">
        <f aca="false">IF(AND(U1750="",OR(P1750="",P1750="LOSE"),T1750&lt;&gt;"",N(S1750)&lt;=0,ISNUMBER(MATCH(T1750,Parameter!$I$27:$I$29,0))),1,0)</f>
        <v>0</v>
      </c>
      <c r="BY1750" s="53" t="n">
        <f aca="false">IF(CL1750&gt;0,INDEX(Parameter!$H$5:$H$7,W1750)/INDEX(Parameter!$E$5:$E$7,W1750),IF(AND(BW1750=0,N(IFERROR(VLOOKUP(BU1750,'Gebinde-Kategorie'!$A$5:$N$45,14,0),0))&gt;0),VLOOKUP(BU1750,'Gebinde-Kategorie'!$A$5:$N$45,14,0)*10+Parameter!$M$23,Parameter!$M$24))</f>
        <v>235</v>
      </c>
      <c r="BZ1750" s="48" t="str">
        <f aca="false">IF(AND(Parameter!$B$19="Ja",E1750&lt;&gt;"",ISNUMBER(MATCH(E1750,Parameter!$I$35:$I$52,0))),VLOOKUP(E1750,Parameter!$I$35:$J$52,2,0),IFERROR(VLOOKUP(D1750,Parameter!$A$35:$C$64,2,0),"Nein"))</f>
        <v>2+3</v>
      </c>
      <c r="CA1750" s="52" t="n">
        <f aca="false">IF(BW1750=0,0,IF(N(S1750)&gt;0,S1750,IFERROR(VLOOKUP(D1750,Parameter!$A$35:$C$64,3,0)+0,0)))</f>
        <v>0.15</v>
      </c>
      <c r="CB1750" s="48" t="str">
        <f aca="false">IF(AA1750&lt;&gt;"",AA1750,Z1750)</f>
        <v/>
      </c>
      <c r="CC1750" s="48" t="str">
        <f aca="false">IF(OR(CB1750=1,CB1750=2,CB1750=3),IF(Parameter!$E$27="Ja","LIFT",IF(CB1750=1,"L1","L23")),IF(CB1750="Aussen","Aussen","-"))</f>
        <v>-</v>
      </c>
      <c r="CD1750" s="59" t="n">
        <f aca="false">IF(N(AB1750)&gt;0,AB1750,0)</f>
        <v>0</v>
      </c>
      <c r="CE1750" s="53" t="n">
        <f aca="false">IF(ISNUMBER(AE1750),1,0)</f>
        <v>0</v>
      </c>
      <c r="CF1750" s="50" t="n">
        <f aca="false">N(AE1750)</f>
        <v>0</v>
      </c>
      <c r="CG1750" s="50" t="n">
        <f aca="false">N(M1750)+N(N1750)</f>
        <v>0</v>
      </c>
      <c r="CH1750" s="50" t="n">
        <f aca="false">ROUNDUP(H1750/BV1750,0)</f>
        <v>0</v>
      </c>
      <c r="CI1750" s="50" t="n">
        <f aca="false">ROUNDUP(CF1750/BV1750,0)</f>
        <v>0</v>
      </c>
      <c r="CJ1750" s="53" t="n">
        <f aca="false">IF(BW1750=1,0,IFERROR(VLOOKUP(BU1750,'Gebinde-Kategorie'!$A$5:$N$45,5,0)+0,0))</f>
        <v>0</v>
      </c>
      <c r="CK1750" s="53" t="n">
        <f aca="false">IFERROR(IF(OR(CB1750=1,CB1750=2,CB1750=3),N(INDEX(Parameter!$I$5:$I$7,CB1750)),0),0)</f>
        <v>0</v>
      </c>
      <c r="CL1750" s="52" t="n">
        <f aca="false">IF(AND(Parameter!$B$21="Ja",ISNUMBER(W1750),N(X1750)&gt;0),IFERROR(N(INDEX(Parameter!$L$5:$L$7,W1750))*INDEX(Parameter!$E$5:$E$7,W1750)*X1750/SUMIFS($X$7:$X$1843,$W$7:$W$1843,W1750),0),0)</f>
        <v>0</v>
      </c>
    </row>
    <row r="1751" customFormat="false" ht="15" hidden="false" customHeight="false" outlineLevel="0" collapsed="false">
      <c r="A1751" s="48" t="str">
        <f aca="false">IF('Neue Artikel'!$A$12="","",'Neue Artikel'!$A$12&amp;"")</f>
        <v/>
      </c>
      <c r="B1751" s="48" t="str">
        <f aca="false">'Neue Artikel'!$B$12&amp;""</f>
        <v/>
      </c>
      <c r="C1751" s="48"/>
      <c r="D1751" s="48" t="s">
        <v>3019</v>
      </c>
      <c r="E1751" s="48"/>
      <c r="F1751" s="48"/>
      <c r="G1751" s="49" t="n">
        <f aca="false">N('Neue Artikel'!$G$12)</f>
        <v>0</v>
      </c>
      <c r="H1751" s="50" t="n">
        <f aca="false">MAX(0,IF(AND(Parameter!$B$21="Ja",ISNUMBER(Y1751)),Y1751,IF(Parameter!$B$20="Jahresanfang 2025 + Export",BO1751+BN1751,BN1751)))</f>
        <v>0</v>
      </c>
      <c r="I1751" s="50" t="n">
        <f aca="false">H1751*G1751</f>
        <v>0</v>
      </c>
      <c r="J1751" s="50" t="n">
        <f aca="false">BQ1751*Parameter!$B$18</f>
        <v>0</v>
      </c>
      <c r="K1751" s="51"/>
      <c r="L1751" s="52"/>
      <c r="M1751" s="50" t="n">
        <f aca="false">N('Neue Artikel'!$E$12)</f>
        <v>0</v>
      </c>
      <c r="N1751" s="50" t="n">
        <f aca="false">N('Neue Artikel'!$F$12)</f>
        <v>0</v>
      </c>
      <c r="O1751" s="53"/>
      <c r="P1751" s="48" t="str">
        <f aca="false">IF('Neue Artikel'!$H$12="","LOSE",UPPER(TRIM('Neue Artikel'!$H$12)))</f>
        <v>LOSE</v>
      </c>
      <c r="Q1751" s="50" t="n">
        <f aca="false">N('Neue Artikel'!$I$12)</f>
        <v>0</v>
      </c>
      <c r="R1751" s="53" t="n">
        <f aca="false">IF(BW1751=1,0,IFERROR(VLOOKUP(BU1751,'Gebinde-Kategorie'!$A$5:$N$45,13,0)+0,0))</f>
        <v>0</v>
      </c>
      <c r="S1751" s="54"/>
      <c r="T1751" s="55"/>
      <c r="U1751" s="55"/>
      <c r="V1751" s="55"/>
      <c r="W1751" s="48"/>
      <c r="X1751" s="50"/>
      <c r="Y1751" s="50"/>
      <c r="Z1751" s="48" t="str">
        <f aca="false">IF(A1751="","",IF(AND(Parameter!$B$21="Ja",ISNUMBER(W1751)),W1751,IF(BZ1751="2+3",IF(ISNUMBER(SEARCH("grosser Artikel",BR1751)),2,IFERROR(VLOOKUP(BU1751,Parameter!$F$35:$G$64,2,0),2)),IF(OR(BZ1751="Nein",BZ1751=""),"-",BZ1751))))</f>
        <v/>
      </c>
      <c r="AA1751" s="48" t="str">
        <f aca="false">IF('Neue Artikel'!$J$12="","",'Neue Artikel'!$J$12)</f>
        <v/>
      </c>
      <c r="AB1751" s="56"/>
      <c r="AC1751" s="50" t="n">
        <f aca="false">AT1751</f>
        <v>0</v>
      </c>
      <c r="AD1751" s="50" t="n">
        <f aca="false">MAX(AT1751,H1751)</f>
        <v>0</v>
      </c>
      <c r="AE1751" s="57"/>
      <c r="AF1751" s="50" t="n">
        <f aca="false">IF(LEFT(Cockpit!$C$5,1)="A",H1751,IF(CE1751=1,CF1751,IF(LEFT(Cockpit!$C$5,1)="B",AK1751,MAX(AK1751,H1751))))</f>
        <v>0</v>
      </c>
      <c r="AG1751" s="50" t="n">
        <f aca="false">IF(BW1751=1,0,ROUNDUP(AF1751/BV1751,0))</f>
        <v>0</v>
      </c>
      <c r="AH1751" s="52" t="n">
        <f aca="false">IF(CL1751&gt;0,CL1751*MAX(1,AF1751/X1751),IF(BW1751=1,IF(AF1751&lt;=0,0,CA1751*MAX(1,IF(H1751&gt;0,AF1751/H1751,1))),IF(R1751&gt;0,AG1751/R1751,0))/MAX(0.1,N(Parameter!$M$21)))</f>
        <v>0</v>
      </c>
      <c r="AI1751" s="50" t="n">
        <f aca="false">AH1751*BY1751</f>
        <v>0</v>
      </c>
      <c r="AJ1751" s="50" t="n">
        <f aca="false">AF1751*G1751</f>
        <v>0</v>
      </c>
      <c r="AK1751" s="50" t="n">
        <f aca="false">ROUNDUP(MAX(J1751/IF(CD1751&gt;0,CD1751,MAX(0.1,N(Cockpit!$C$6))),CG1751)/BV1751,0)*BV1751</f>
        <v>0</v>
      </c>
      <c r="AL1751" s="51" t="n">
        <f aca="false">IF(AI1751&gt;0,J1751/AI1751,-1)</f>
        <v>-1</v>
      </c>
      <c r="AM1751" s="51" t="str">
        <f aca="false">IF(AND(OR(CC1751="L1",CC1751="L23",CC1751="LIFT"),AI1751&gt;0),SUMIFS($AI$7:$AI$1843,$CC$7:$CC$1843,CC1751,$AL$7:$AL$1843,"&gt;"&amp;AL1751)+SUMIFS($AI$7:$AI$1843,$CC$7:$CC$1843,CC1751,$AL$7:$AL$1843,AL1751,$BT$7:$BT$1843,"&lt;="&amp;BT1751),"")</f>
        <v/>
      </c>
      <c r="AN1751" s="58" t="n">
        <f aca="false">IF(AM1751="",0,MAX(0,MIN(1,(IF(CC1751="L1",Parameter!$H$5,IF(CC1751="L23",Parameter!$H$6+Parameter!$H$7,Parameter!$H$5+Parameter!$H$6+Parameter!$H$7))-(AM1751-AI1751))/AI1751)))</f>
        <v>0</v>
      </c>
      <c r="AO1751" s="50" t="n">
        <f aca="false">IF(LEFT(Cockpit!$I$5,1)="A",H1751,IF(CE1751=1,CF1751,IF(LEFT(Cockpit!$I$5,1)="B",AT1751,MAX(AT1751,H1751))))</f>
        <v>0</v>
      </c>
      <c r="AP1751" s="50" t="n">
        <f aca="false">IF(BW1751=1,0,ROUNDUP(AO1751/BV1751,0))</f>
        <v>0</v>
      </c>
      <c r="AQ1751" s="52" t="n">
        <f aca="false">IF(CL1751&gt;0,CL1751*MAX(1,AO1751/X1751),IF(BW1751=1,IF(AO1751&lt;=0,0,CA1751*MAX(1,IF(H1751&gt;0,AO1751/H1751,1))),IF(R1751&gt;0,AP1751/R1751,0))/MAX(0.1,N(Parameter!$M$21)))</f>
        <v>0</v>
      </c>
      <c r="AR1751" s="50" t="n">
        <f aca="false">AQ1751*BY1751</f>
        <v>0</v>
      </c>
      <c r="AS1751" s="50" t="n">
        <f aca="false">AO1751*G1751</f>
        <v>0</v>
      </c>
      <c r="AT1751" s="50" t="n">
        <f aca="false">ROUNDUP(MAX(J1751/IF(CD1751&gt;0,CD1751,MAX(0.1,N(Cockpit!$I$6))),CG1751)/BV1751,0)*BV1751</f>
        <v>0</v>
      </c>
      <c r="AU1751" s="51" t="n">
        <f aca="false">IF(AR1751&gt;0,J1751/AR1751,-1)</f>
        <v>-1</v>
      </c>
      <c r="AV1751" s="51" t="str">
        <f aca="false">IF(AND(OR(CC1751="L1",CC1751="L23",CC1751="LIFT"),AR1751&gt;0),SUMIFS($AR$7:$AR$1843,$CC$7:$CC$1843,CC1751,$AU$7:$AU$1843,"&gt;"&amp;AU1751)+SUMIFS($AR$7:$AR$1843,$CC$7:$CC$1843,CC1751,$AU$7:$AU$1843,AU1751,$BT$7:$BT$1843,"&lt;="&amp;BT1751),"")</f>
        <v/>
      </c>
      <c r="AW1751" s="58" t="n">
        <f aca="false">IF(AV1751="",0,MAX(0,MIN(1,(IF(CC1751="L1",Parameter!$H$5,IF(CC1751="L23",Parameter!$H$6+Parameter!$H$7,Parameter!$H$5+Parameter!$H$6+Parameter!$H$7))-(AV1751-AR1751))/AR1751)))</f>
        <v>0</v>
      </c>
      <c r="AX1751" s="50" t="n">
        <f aca="false">IF(LEFT(Cockpit!$O$5,1)="A",H1751,IF(CE1751=1,CF1751,IF(LEFT(Cockpit!$O$5,1)="B",BC1751,MAX(BC1751,H1751))))</f>
        <v>0</v>
      </c>
      <c r="AY1751" s="50" t="n">
        <f aca="false">IF(BW1751=1,0,ROUNDUP(AX1751/BV1751,0))</f>
        <v>0</v>
      </c>
      <c r="AZ1751" s="52" t="n">
        <f aca="false">IF(CL1751&gt;0,CL1751*MAX(1,AX1751/X1751),IF(BW1751=1,IF(AX1751&lt;=0,0,CA1751*MAX(1,IF(H1751&gt;0,AX1751/H1751,1))),IF(R1751&gt;0,AY1751/R1751,0))/MAX(0.1,N(Parameter!$M$21)))</f>
        <v>0</v>
      </c>
      <c r="BA1751" s="50" t="n">
        <f aca="false">AZ1751*BY1751</f>
        <v>0</v>
      </c>
      <c r="BB1751" s="50" t="n">
        <f aca="false">AX1751*G1751</f>
        <v>0</v>
      </c>
      <c r="BC1751" s="50" t="n">
        <f aca="false">ROUNDUP(MAX(J1751/IF(CD1751&gt;0,CD1751,MAX(0.1,N(Cockpit!$O$6))),CG1751)/BV1751,0)*BV1751</f>
        <v>0</v>
      </c>
      <c r="BD1751" s="51" t="n">
        <f aca="false">IF(BA1751&gt;0,J1751/BA1751,-1)</f>
        <v>-1</v>
      </c>
      <c r="BE1751" s="51" t="str">
        <f aca="false">IF(AND(OR(CC1751="L1",CC1751="L23",CC1751="LIFT"),BA1751&gt;0),SUMIFS($BA$7:$BA$1843,$CC$7:$CC$1843,CC1751,$BD$7:$BD$1843,"&gt;"&amp;BD1751)+SUMIFS($BA$7:$BA$1843,$CC$7:$CC$1843,CC1751,$BD$7:$BD$1843,BD1751,$BT$7:$BT$1843,"&lt;="&amp;BT1751),"")</f>
        <v/>
      </c>
      <c r="BF1751" s="58" t="n">
        <f aca="false">IF(BE1751="",0,MAX(0,MIN(1,(IF(CC1751="L1",Parameter!$H$5,IF(CC1751="L23",Parameter!$H$6+Parameter!$H$7,Parameter!$H$5+Parameter!$H$6+Parameter!$H$7))-(BE1751-BA1751))/BA1751)))</f>
        <v>0</v>
      </c>
      <c r="BG1751" s="48" t="str">
        <f aca="false">IF(AI1751&lt;=0,"",IF(CC1751="Aussen","Aussenlager",IF(CC1751="-","Nicht im Lift",IF(AN1751&gt;=1,"Lift",IF(AN1751&lt;=0,"Aussenlager","teilweise")))))</f>
        <v/>
      </c>
      <c r="BH1751" s="48" t="str">
        <f aca="false">IF(AR1751&lt;=0,"",IF(CC1751="Aussen","Aussenlager",IF(CC1751="-","Nicht im Lift",IF(AW1751&gt;=1,"Lift",IF(AW1751&lt;=0,"Aussenlager","teilweise")))))</f>
        <v/>
      </c>
      <c r="BI1751" s="48" t="str">
        <f aca="false">IF(BA1751&lt;=0,"",IF(CC1751="Aussen","Aussenlager",IF(CC1751="-","Nicht im Lift",IF(BF1751&gt;=1,"Lift",IF(BF1751&lt;=0,"Aussenlager","teilweise")))))</f>
        <v/>
      </c>
      <c r="BJ1751" s="48" t="str">
        <f aca="false">IF(A1751="","",IF(BS1751=1,"Neu; ","")&amp;IF(AND(BS1751=0,BN1751&lt;0),"negativer Bestand (Export "&amp;BN1751&amp;"); ","")&amp;IF(J1751&lt;=0,"Kein Verbrauch; ","")&amp;IF(CL1751&gt;0,"Lift "&amp;W1751&amp;" lt. Liftbericht (Fach "&amp;X1751&amp;" Stk); ",IF(BX1751=1,"Gebinde geschätzt ("&amp;T1751&amp;"); ",IF(BW1751=1,"Lose – Tablare geschätzt; ","")))&amp;IF(H1751&gt;AT1751,"Überbestand "&amp;ROUND(H1751-AT1751,0)&amp;" Stk / CHF "&amp;ROUND((H1751-AT1751)*G1751,0)&amp;"; ","")&amp;IF(AND(CE1751=1,CF1751&lt;CG1751),"MAX &lt; MB+LG; ","")&amp;IF(AND(CK1751&gt;0,CJ1751*10&gt;CK1751),"zu hoch für Tablar; ","")&amp;IF(AND(BS1751=0,OR(CE1751=1,AA1751&lt;&gt;"",U1751&lt;&gt;"",V1751&lt;&gt;"",AB1751&lt;&gt;"")),"manuell übersteuert; ","")&amp;IF(AND(BW1751=0,R1751=0),"Gebinde unbekannt / Stellmass fehlt; ","")&amp;IF(AND(BW1751=0,N(V1751)&lt;=0,N(Q1751)&lt;=0),"Menge pro Gebinde fehlt (Ist = 1 Gebinde); ","")&amp;BR1751)</f>
        <v/>
      </c>
      <c r="BK1751" s="48"/>
      <c r="BL1751" s="48"/>
      <c r="BM1751" s="55"/>
      <c r="BN1751" s="50" t="n">
        <f aca="false">N('Neue Artikel'!$D$12)</f>
        <v>0</v>
      </c>
      <c r="BO1751" s="50" t="n">
        <v>0</v>
      </c>
      <c r="BP1751" s="49" t="n">
        <v>0</v>
      </c>
      <c r="BQ1751" s="50" t="n">
        <f aca="false">N('Neue Artikel'!$C$12)/Parameter!$B$18</f>
        <v>0</v>
      </c>
      <c r="BR1751" s="48"/>
      <c r="BS1751" s="53" t="n">
        <v>1</v>
      </c>
      <c r="BT1751" s="53" t="n">
        <v>1751</v>
      </c>
      <c r="BU1751" s="48" t="str">
        <f aca="false">IF(U1751&lt;&gt;"",UPPER(TRIM(U1751)),IF(BX1751=1,UPPER(VLOOKUP(T1751,Parameter!$I$27:$K$29,2,0)),IF(P1751="","LOSE",P1751)))</f>
        <v>LOSE</v>
      </c>
      <c r="BV1751" s="50" t="n">
        <f aca="false">IF(BU1751="LOSE",1,IF(N(V1751)&gt;0,V1751,IF(BX1751=1,MAX(1,N(VLOOKUP(T1751,Parameter!$I$27:$K$29,3,0)),H1751,N(N1751)),IF(N(Q1751)&gt;0,Q1751,MAX(1,H1751)))))</f>
        <v>1</v>
      </c>
      <c r="BW1751" s="53" t="n">
        <f aca="false">IF(BU1751="LOSE",1,0)</f>
        <v>1</v>
      </c>
      <c r="BX1751" s="53" t="n">
        <f aca="false">IF(AND(U1751="",OR(P1751="",P1751="LOSE"),T1751&lt;&gt;"",N(S1751)&lt;=0,ISNUMBER(MATCH(T1751,Parameter!$I$27:$I$29,0))),1,0)</f>
        <v>0</v>
      </c>
      <c r="BY1751" s="53" t="n">
        <f aca="false">IF(CL1751&gt;0,INDEX(Parameter!$H$5:$H$7,W1751)/INDEX(Parameter!$E$5:$E$7,W1751),IF(AND(BW1751=0,N(IFERROR(VLOOKUP(BU1751,'Gebinde-Kategorie'!$A$5:$N$45,14,0),0))&gt;0),VLOOKUP(BU1751,'Gebinde-Kategorie'!$A$5:$N$45,14,0)*10+Parameter!$M$23,Parameter!$M$24))</f>
        <v>235</v>
      </c>
      <c r="BZ1751" s="48" t="str">
        <f aca="false">IF(AND(Parameter!$B$19="Ja",E1751&lt;&gt;"",ISNUMBER(MATCH(E1751,Parameter!$I$35:$I$52,0))),VLOOKUP(E1751,Parameter!$I$35:$J$52,2,0),IFERROR(VLOOKUP(D1751,Parameter!$A$35:$C$64,2,0),"Nein"))</f>
        <v>2+3</v>
      </c>
      <c r="CA1751" s="52" t="n">
        <f aca="false">IF(BW1751=0,0,IF(N(S1751)&gt;0,S1751,IFERROR(VLOOKUP(D1751,Parameter!$A$35:$C$64,3,0)+0,0)))</f>
        <v>0.15</v>
      </c>
      <c r="CB1751" s="48" t="str">
        <f aca="false">IF(AA1751&lt;&gt;"",AA1751,Z1751)</f>
        <v/>
      </c>
      <c r="CC1751" s="48" t="str">
        <f aca="false">IF(OR(CB1751=1,CB1751=2,CB1751=3),IF(Parameter!$E$27="Ja","LIFT",IF(CB1751=1,"L1","L23")),IF(CB1751="Aussen","Aussen","-"))</f>
        <v>-</v>
      </c>
      <c r="CD1751" s="59" t="n">
        <f aca="false">IF(N(AB1751)&gt;0,AB1751,0)</f>
        <v>0</v>
      </c>
      <c r="CE1751" s="53" t="n">
        <f aca="false">IF(ISNUMBER(AE1751),1,0)</f>
        <v>0</v>
      </c>
      <c r="CF1751" s="50" t="n">
        <f aca="false">N(AE1751)</f>
        <v>0</v>
      </c>
      <c r="CG1751" s="50" t="n">
        <f aca="false">N(M1751)+N(N1751)</f>
        <v>0</v>
      </c>
      <c r="CH1751" s="50" t="n">
        <f aca="false">ROUNDUP(H1751/BV1751,0)</f>
        <v>0</v>
      </c>
      <c r="CI1751" s="50" t="n">
        <f aca="false">ROUNDUP(CF1751/BV1751,0)</f>
        <v>0</v>
      </c>
      <c r="CJ1751" s="53" t="n">
        <f aca="false">IF(BW1751=1,0,IFERROR(VLOOKUP(BU1751,'Gebinde-Kategorie'!$A$5:$N$45,5,0)+0,0))</f>
        <v>0</v>
      </c>
      <c r="CK1751" s="53" t="n">
        <f aca="false">IFERROR(IF(OR(CB1751=1,CB1751=2,CB1751=3),N(INDEX(Parameter!$I$5:$I$7,CB1751)),0),0)</f>
        <v>0</v>
      </c>
      <c r="CL1751" s="52" t="n">
        <f aca="false">IF(AND(Parameter!$B$21="Ja",ISNUMBER(W1751),N(X1751)&gt;0),IFERROR(N(INDEX(Parameter!$L$5:$L$7,W1751))*INDEX(Parameter!$E$5:$E$7,W1751)*X1751/SUMIFS($X$7:$X$1843,$W$7:$W$1843,W1751),0),0)</f>
        <v>0</v>
      </c>
    </row>
    <row r="1752" customFormat="false" ht="15" hidden="false" customHeight="false" outlineLevel="0" collapsed="false">
      <c r="A1752" s="48" t="str">
        <f aca="false">IF('Neue Artikel'!$A$13="","",'Neue Artikel'!$A$13&amp;"")</f>
        <v/>
      </c>
      <c r="B1752" s="48" t="str">
        <f aca="false">'Neue Artikel'!$B$13&amp;""</f>
        <v/>
      </c>
      <c r="C1752" s="48"/>
      <c r="D1752" s="48" t="s">
        <v>3019</v>
      </c>
      <c r="E1752" s="48"/>
      <c r="F1752" s="48"/>
      <c r="G1752" s="49" t="n">
        <f aca="false">N('Neue Artikel'!$G$13)</f>
        <v>0</v>
      </c>
      <c r="H1752" s="50" t="n">
        <f aca="false">MAX(0,IF(AND(Parameter!$B$21="Ja",ISNUMBER(Y1752)),Y1752,IF(Parameter!$B$20="Jahresanfang 2025 + Export",BO1752+BN1752,BN1752)))</f>
        <v>0</v>
      </c>
      <c r="I1752" s="50" t="n">
        <f aca="false">H1752*G1752</f>
        <v>0</v>
      </c>
      <c r="J1752" s="50" t="n">
        <f aca="false">BQ1752*Parameter!$B$18</f>
        <v>0</v>
      </c>
      <c r="K1752" s="51"/>
      <c r="L1752" s="52"/>
      <c r="M1752" s="50" t="n">
        <f aca="false">N('Neue Artikel'!$E$13)</f>
        <v>0</v>
      </c>
      <c r="N1752" s="50" t="n">
        <f aca="false">N('Neue Artikel'!$F$13)</f>
        <v>0</v>
      </c>
      <c r="O1752" s="53"/>
      <c r="P1752" s="48" t="str">
        <f aca="false">IF('Neue Artikel'!$H$13="","LOSE",UPPER(TRIM('Neue Artikel'!$H$13)))</f>
        <v>LOSE</v>
      </c>
      <c r="Q1752" s="50" t="n">
        <f aca="false">N('Neue Artikel'!$I$13)</f>
        <v>0</v>
      </c>
      <c r="R1752" s="53" t="n">
        <f aca="false">IF(BW1752=1,0,IFERROR(VLOOKUP(BU1752,'Gebinde-Kategorie'!$A$5:$N$45,13,0)+0,0))</f>
        <v>0</v>
      </c>
      <c r="S1752" s="54"/>
      <c r="T1752" s="55"/>
      <c r="U1752" s="55"/>
      <c r="V1752" s="55"/>
      <c r="W1752" s="48"/>
      <c r="X1752" s="50"/>
      <c r="Y1752" s="50"/>
      <c r="Z1752" s="48" t="str">
        <f aca="false">IF(A1752="","",IF(AND(Parameter!$B$21="Ja",ISNUMBER(W1752)),W1752,IF(BZ1752="2+3",IF(ISNUMBER(SEARCH("grosser Artikel",BR1752)),2,IFERROR(VLOOKUP(BU1752,Parameter!$F$35:$G$64,2,0),2)),IF(OR(BZ1752="Nein",BZ1752=""),"-",BZ1752))))</f>
        <v/>
      </c>
      <c r="AA1752" s="48" t="str">
        <f aca="false">IF('Neue Artikel'!$J$13="","",'Neue Artikel'!$J$13)</f>
        <v/>
      </c>
      <c r="AB1752" s="56"/>
      <c r="AC1752" s="50" t="n">
        <f aca="false">AT1752</f>
        <v>0</v>
      </c>
      <c r="AD1752" s="50" t="n">
        <f aca="false">MAX(AT1752,H1752)</f>
        <v>0</v>
      </c>
      <c r="AE1752" s="57"/>
      <c r="AF1752" s="50" t="n">
        <f aca="false">IF(LEFT(Cockpit!$C$5,1)="A",H1752,IF(CE1752=1,CF1752,IF(LEFT(Cockpit!$C$5,1)="B",AK1752,MAX(AK1752,H1752))))</f>
        <v>0</v>
      </c>
      <c r="AG1752" s="50" t="n">
        <f aca="false">IF(BW1752=1,0,ROUNDUP(AF1752/BV1752,0))</f>
        <v>0</v>
      </c>
      <c r="AH1752" s="52" t="n">
        <f aca="false">IF(CL1752&gt;0,CL1752*MAX(1,AF1752/X1752),IF(BW1752=1,IF(AF1752&lt;=0,0,CA1752*MAX(1,IF(H1752&gt;0,AF1752/H1752,1))),IF(R1752&gt;0,AG1752/R1752,0))/MAX(0.1,N(Parameter!$M$21)))</f>
        <v>0</v>
      </c>
      <c r="AI1752" s="50" t="n">
        <f aca="false">AH1752*BY1752</f>
        <v>0</v>
      </c>
      <c r="AJ1752" s="50" t="n">
        <f aca="false">AF1752*G1752</f>
        <v>0</v>
      </c>
      <c r="AK1752" s="50" t="n">
        <f aca="false">ROUNDUP(MAX(J1752/IF(CD1752&gt;0,CD1752,MAX(0.1,N(Cockpit!$C$6))),CG1752)/BV1752,0)*BV1752</f>
        <v>0</v>
      </c>
      <c r="AL1752" s="51" t="n">
        <f aca="false">IF(AI1752&gt;0,J1752/AI1752,-1)</f>
        <v>-1</v>
      </c>
      <c r="AM1752" s="51" t="str">
        <f aca="false">IF(AND(OR(CC1752="L1",CC1752="L23",CC1752="LIFT"),AI1752&gt;0),SUMIFS($AI$7:$AI$1843,$CC$7:$CC$1843,CC1752,$AL$7:$AL$1843,"&gt;"&amp;AL1752)+SUMIFS($AI$7:$AI$1843,$CC$7:$CC$1843,CC1752,$AL$7:$AL$1843,AL1752,$BT$7:$BT$1843,"&lt;="&amp;BT1752),"")</f>
        <v/>
      </c>
      <c r="AN1752" s="58" t="n">
        <f aca="false">IF(AM1752="",0,MAX(0,MIN(1,(IF(CC1752="L1",Parameter!$H$5,IF(CC1752="L23",Parameter!$H$6+Parameter!$H$7,Parameter!$H$5+Parameter!$H$6+Parameter!$H$7))-(AM1752-AI1752))/AI1752)))</f>
        <v>0</v>
      </c>
      <c r="AO1752" s="50" t="n">
        <f aca="false">IF(LEFT(Cockpit!$I$5,1)="A",H1752,IF(CE1752=1,CF1752,IF(LEFT(Cockpit!$I$5,1)="B",AT1752,MAX(AT1752,H1752))))</f>
        <v>0</v>
      </c>
      <c r="AP1752" s="50" t="n">
        <f aca="false">IF(BW1752=1,0,ROUNDUP(AO1752/BV1752,0))</f>
        <v>0</v>
      </c>
      <c r="AQ1752" s="52" t="n">
        <f aca="false">IF(CL1752&gt;0,CL1752*MAX(1,AO1752/X1752),IF(BW1752=1,IF(AO1752&lt;=0,0,CA1752*MAX(1,IF(H1752&gt;0,AO1752/H1752,1))),IF(R1752&gt;0,AP1752/R1752,0))/MAX(0.1,N(Parameter!$M$21)))</f>
        <v>0</v>
      </c>
      <c r="AR1752" s="50" t="n">
        <f aca="false">AQ1752*BY1752</f>
        <v>0</v>
      </c>
      <c r="AS1752" s="50" t="n">
        <f aca="false">AO1752*G1752</f>
        <v>0</v>
      </c>
      <c r="AT1752" s="50" t="n">
        <f aca="false">ROUNDUP(MAX(J1752/IF(CD1752&gt;0,CD1752,MAX(0.1,N(Cockpit!$I$6))),CG1752)/BV1752,0)*BV1752</f>
        <v>0</v>
      </c>
      <c r="AU1752" s="51" t="n">
        <f aca="false">IF(AR1752&gt;0,J1752/AR1752,-1)</f>
        <v>-1</v>
      </c>
      <c r="AV1752" s="51" t="str">
        <f aca="false">IF(AND(OR(CC1752="L1",CC1752="L23",CC1752="LIFT"),AR1752&gt;0),SUMIFS($AR$7:$AR$1843,$CC$7:$CC$1843,CC1752,$AU$7:$AU$1843,"&gt;"&amp;AU1752)+SUMIFS($AR$7:$AR$1843,$CC$7:$CC$1843,CC1752,$AU$7:$AU$1843,AU1752,$BT$7:$BT$1843,"&lt;="&amp;BT1752),"")</f>
        <v/>
      </c>
      <c r="AW1752" s="58" t="n">
        <f aca="false">IF(AV1752="",0,MAX(0,MIN(1,(IF(CC1752="L1",Parameter!$H$5,IF(CC1752="L23",Parameter!$H$6+Parameter!$H$7,Parameter!$H$5+Parameter!$H$6+Parameter!$H$7))-(AV1752-AR1752))/AR1752)))</f>
        <v>0</v>
      </c>
      <c r="AX1752" s="50" t="n">
        <f aca="false">IF(LEFT(Cockpit!$O$5,1)="A",H1752,IF(CE1752=1,CF1752,IF(LEFT(Cockpit!$O$5,1)="B",BC1752,MAX(BC1752,H1752))))</f>
        <v>0</v>
      </c>
      <c r="AY1752" s="50" t="n">
        <f aca="false">IF(BW1752=1,0,ROUNDUP(AX1752/BV1752,0))</f>
        <v>0</v>
      </c>
      <c r="AZ1752" s="52" t="n">
        <f aca="false">IF(CL1752&gt;0,CL1752*MAX(1,AX1752/X1752),IF(BW1752=1,IF(AX1752&lt;=0,0,CA1752*MAX(1,IF(H1752&gt;0,AX1752/H1752,1))),IF(R1752&gt;0,AY1752/R1752,0))/MAX(0.1,N(Parameter!$M$21)))</f>
        <v>0</v>
      </c>
      <c r="BA1752" s="50" t="n">
        <f aca="false">AZ1752*BY1752</f>
        <v>0</v>
      </c>
      <c r="BB1752" s="50" t="n">
        <f aca="false">AX1752*G1752</f>
        <v>0</v>
      </c>
      <c r="BC1752" s="50" t="n">
        <f aca="false">ROUNDUP(MAX(J1752/IF(CD1752&gt;0,CD1752,MAX(0.1,N(Cockpit!$O$6))),CG1752)/BV1752,0)*BV1752</f>
        <v>0</v>
      </c>
      <c r="BD1752" s="51" t="n">
        <f aca="false">IF(BA1752&gt;0,J1752/BA1752,-1)</f>
        <v>-1</v>
      </c>
      <c r="BE1752" s="51" t="str">
        <f aca="false">IF(AND(OR(CC1752="L1",CC1752="L23",CC1752="LIFT"),BA1752&gt;0),SUMIFS($BA$7:$BA$1843,$CC$7:$CC$1843,CC1752,$BD$7:$BD$1843,"&gt;"&amp;BD1752)+SUMIFS($BA$7:$BA$1843,$CC$7:$CC$1843,CC1752,$BD$7:$BD$1843,BD1752,$BT$7:$BT$1843,"&lt;="&amp;BT1752),"")</f>
        <v/>
      </c>
      <c r="BF1752" s="58" t="n">
        <f aca="false">IF(BE1752="",0,MAX(0,MIN(1,(IF(CC1752="L1",Parameter!$H$5,IF(CC1752="L23",Parameter!$H$6+Parameter!$H$7,Parameter!$H$5+Parameter!$H$6+Parameter!$H$7))-(BE1752-BA1752))/BA1752)))</f>
        <v>0</v>
      </c>
      <c r="BG1752" s="48" t="str">
        <f aca="false">IF(AI1752&lt;=0,"",IF(CC1752="Aussen","Aussenlager",IF(CC1752="-","Nicht im Lift",IF(AN1752&gt;=1,"Lift",IF(AN1752&lt;=0,"Aussenlager","teilweise")))))</f>
        <v/>
      </c>
      <c r="BH1752" s="48" t="str">
        <f aca="false">IF(AR1752&lt;=0,"",IF(CC1752="Aussen","Aussenlager",IF(CC1752="-","Nicht im Lift",IF(AW1752&gt;=1,"Lift",IF(AW1752&lt;=0,"Aussenlager","teilweise")))))</f>
        <v/>
      </c>
      <c r="BI1752" s="48" t="str">
        <f aca="false">IF(BA1752&lt;=0,"",IF(CC1752="Aussen","Aussenlager",IF(CC1752="-","Nicht im Lift",IF(BF1752&gt;=1,"Lift",IF(BF1752&lt;=0,"Aussenlager","teilweise")))))</f>
        <v/>
      </c>
      <c r="BJ1752" s="48" t="str">
        <f aca="false">IF(A1752="","",IF(BS1752=1,"Neu; ","")&amp;IF(AND(BS1752=0,BN1752&lt;0),"negativer Bestand (Export "&amp;BN1752&amp;"); ","")&amp;IF(J1752&lt;=0,"Kein Verbrauch; ","")&amp;IF(CL1752&gt;0,"Lift "&amp;W1752&amp;" lt. Liftbericht (Fach "&amp;X1752&amp;" Stk); ",IF(BX1752=1,"Gebinde geschätzt ("&amp;T1752&amp;"); ",IF(BW1752=1,"Lose – Tablare geschätzt; ","")))&amp;IF(H1752&gt;AT1752,"Überbestand "&amp;ROUND(H1752-AT1752,0)&amp;" Stk / CHF "&amp;ROUND((H1752-AT1752)*G1752,0)&amp;"; ","")&amp;IF(AND(CE1752=1,CF1752&lt;CG1752),"MAX &lt; MB+LG; ","")&amp;IF(AND(CK1752&gt;0,CJ1752*10&gt;CK1752),"zu hoch für Tablar; ","")&amp;IF(AND(BS1752=0,OR(CE1752=1,AA1752&lt;&gt;"",U1752&lt;&gt;"",V1752&lt;&gt;"",AB1752&lt;&gt;"")),"manuell übersteuert; ","")&amp;IF(AND(BW1752=0,R1752=0),"Gebinde unbekannt / Stellmass fehlt; ","")&amp;IF(AND(BW1752=0,N(V1752)&lt;=0,N(Q1752)&lt;=0),"Menge pro Gebinde fehlt (Ist = 1 Gebinde); ","")&amp;BR1752)</f>
        <v/>
      </c>
      <c r="BK1752" s="48"/>
      <c r="BL1752" s="48"/>
      <c r="BM1752" s="55"/>
      <c r="BN1752" s="50" t="n">
        <f aca="false">N('Neue Artikel'!$D$13)</f>
        <v>0</v>
      </c>
      <c r="BO1752" s="50" t="n">
        <v>0</v>
      </c>
      <c r="BP1752" s="49" t="n">
        <v>0</v>
      </c>
      <c r="BQ1752" s="50" t="n">
        <f aca="false">N('Neue Artikel'!$C$13)/Parameter!$B$18</f>
        <v>0</v>
      </c>
      <c r="BR1752" s="48"/>
      <c r="BS1752" s="53" t="n">
        <v>1</v>
      </c>
      <c r="BT1752" s="53" t="n">
        <v>1752</v>
      </c>
      <c r="BU1752" s="48" t="str">
        <f aca="false">IF(U1752&lt;&gt;"",UPPER(TRIM(U1752)),IF(BX1752=1,UPPER(VLOOKUP(T1752,Parameter!$I$27:$K$29,2,0)),IF(P1752="","LOSE",P1752)))</f>
        <v>LOSE</v>
      </c>
      <c r="BV1752" s="50" t="n">
        <f aca="false">IF(BU1752="LOSE",1,IF(N(V1752)&gt;0,V1752,IF(BX1752=1,MAX(1,N(VLOOKUP(T1752,Parameter!$I$27:$K$29,3,0)),H1752,N(N1752)),IF(N(Q1752)&gt;0,Q1752,MAX(1,H1752)))))</f>
        <v>1</v>
      </c>
      <c r="BW1752" s="53" t="n">
        <f aca="false">IF(BU1752="LOSE",1,0)</f>
        <v>1</v>
      </c>
      <c r="BX1752" s="53" t="n">
        <f aca="false">IF(AND(U1752="",OR(P1752="",P1752="LOSE"),T1752&lt;&gt;"",N(S1752)&lt;=0,ISNUMBER(MATCH(T1752,Parameter!$I$27:$I$29,0))),1,0)</f>
        <v>0</v>
      </c>
      <c r="BY1752" s="53" t="n">
        <f aca="false">IF(CL1752&gt;0,INDEX(Parameter!$H$5:$H$7,W1752)/INDEX(Parameter!$E$5:$E$7,W1752),IF(AND(BW1752=0,N(IFERROR(VLOOKUP(BU1752,'Gebinde-Kategorie'!$A$5:$N$45,14,0),0))&gt;0),VLOOKUP(BU1752,'Gebinde-Kategorie'!$A$5:$N$45,14,0)*10+Parameter!$M$23,Parameter!$M$24))</f>
        <v>235</v>
      </c>
      <c r="BZ1752" s="48" t="str">
        <f aca="false">IF(AND(Parameter!$B$19="Ja",E1752&lt;&gt;"",ISNUMBER(MATCH(E1752,Parameter!$I$35:$I$52,0))),VLOOKUP(E1752,Parameter!$I$35:$J$52,2,0),IFERROR(VLOOKUP(D1752,Parameter!$A$35:$C$64,2,0),"Nein"))</f>
        <v>2+3</v>
      </c>
      <c r="CA1752" s="52" t="n">
        <f aca="false">IF(BW1752=0,0,IF(N(S1752)&gt;0,S1752,IFERROR(VLOOKUP(D1752,Parameter!$A$35:$C$64,3,0)+0,0)))</f>
        <v>0.15</v>
      </c>
      <c r="CB1752" s="48" t="str">
        <f aca="false">IF(AA1752&lt;&gt;"",AA1752,Z1752)</f>
        <v/>
      </c>
      <c r="CC1752" s="48" t="str">
        <f aca="false">IF(OR(CB1752=1,CB1752=2,CB1752=3),IF(Parameter!$E$27="Ja","LIFT",IF(CB1752=1,"L1","L23")),IF(CB1752="Aussen","Aussen","-"))</f>
        <v>-</v>
      </c>
      <c r="CD1752" s="59" t="n">
        <f aca="false">IF(N(AB1752)&gt;0,AB1752,0)</f>
        <v>0</v>
      </c>
      <c r="CE1752" s="53" t="n">
        <f aca="false">IF(ISNUMBER(AE1752),1,0)</f>
        <v>0</v>
      </c>
      <c r="CF1752" s="50" t="n">
        <f aca="false">N(AE1752)</f>
        <v>0</v>
      </c>
      <c r="CG1752" s="50" t="n">
        <f aca="false">N(M1752)+N(N1752)</f>
        <v>0</v>
      </c>
      <c r="CH1752" s="50" t="n">
        <f aca="false">ROUNDUP(H1752/BV1752,0)</f>
        <v>0</v>
      </c>
      <c r="CI1752" s="50" t="n">
        <f aca="false">ROUNDUP(CF1752/BV1752,0)</f>
        <v>0</v>
      </c>
      <c r="CJ1752" s="53" t="n">
        <f aca="false">IF(BW1752=1,0,IFERROR(VLOOKUP(BU1752,'Gebinde-Kategorie'!$A$5:$N$45,5,0)+0,0))</f>
        <v>0</v>
      </c>
      <c r="CK1752" s="53" t="n">
        <f aca="false">IFERROR(IF(OR(CB1752=1,CB1752=2,CB1752=3),N(INDEX(Parameter!$I$5:$I$7,CB1752)),0),0)</f>
        <v>0</v>
      </c>
      <c r="CL1752" s="52" t="n">
        <f aca="false">IF(AND(Parameter!$B$21="Ja",ISNUMBER(W1752),N(X1752)&gt;0),IFERROR(N(INDEX(Parameter!$L$5:$L$7,W1752))*INDEX(Parameter!$E$5:$E$7,W1752)*X1752/SUMIFS($X$7:$X$1843,$W$7:$W$1843,W1752),0),0)</f>
        <v>0</v>
      </c>
    </row>
    <row r="1753" customFormat="false" ht="15" hidden="false" customHeight="false" outlineLevel="0" collapsed="false">
      <c r="A1753" s="48" t="str">
        <f aca="false">IF('Neue Artikel'!$A$14="","",'Neue Artikel'!$A$14&amp;"")</f>
        <v/>
      </c>
      <c r="B1753" s="48" t="str">
        <f aca="false">'Neue Artikel'!$B$14&amp;""</f>
        <v/>
      </c>
      <c r="C1753" s="48"/>
      <c r="D1753" s="48" t="s">
        <v>3019</v>
      </c>
      <c r="E1753" s="48"/>
      <c r="F1753" s="48"/>
      <c r="G1753" s="49" t="n">
        <f aca="false">N('Neue Artikel'!$G$14)</f>
        <v>0</v>
      </c>
      <c r="H1753" s="50" t="n">
        <f aca="false">MAX(0,IF(AND(Parameter!$B$21="Ja",ISNUMBER(Y1753)),Y1753,IF(Parameter!$B$20="Jahresanfang 2025 + Export",BO1753+BN1753,BN1753)))</f>
        <v>0</v>
      </c>
      <c r="I1753" s="50" t="n">
        <f aca="false">H1753*G1753</f>
        <v>0</v>
      </c>
      <c r="J1753" s="50" t="n">
        <f aca="false">BQ1753*Parameter!$B$18</f>
        <v>0</v>
      </c>
      <c r="K1753" s="51"/>
      <c r="L1753" s="52"/>
      <c r="M1753" s="50" t="n">
        <f aca="false">N('Neue Artikel'!$E$14)</f>
        <v>0</v>
      </c>
      <c r="N1753" s="50" t="n">
        <f aca="false">N('Neue Artikel'!$F$14)</f>
        <v>0</v>
      </c>
      <c r="O1753" s="53"/>
      <c r="P1753" s="48" t="str">
        <f aca="false">IF('Neue Artikel'!$H$14="","LOSE",UPPER(TRIM('Neue Artikel'!$H$14)))</f>
        <v>LOSE</v>
      </c>
      <c r="Q1753" s="50" t="n">
        <f aca="false">N('Neue Artikel'!$I$14)</f>
        <v>0</v>
      </c>
      <c r="R1753" s="53" t="n">
        <f aca="false">IF(BW1753=1,0,IFERROR(VLOOKUP(BU1753,'Gebinde-Kategorie'!$A$5:$N$45,13,0)+0,0))</f>
        <v>0</v>
      </c>
      <c r="S1753" s="54"/>
      <c r="T1753" s="55"/>
      <c r="U1753" s="55"/>
      <c r="V1753" s="55"/>
      <c r="W1753" s="48"/>
      <c r="X1753" s="50"/>
      <c r="Y1753" s="50"/>
      <c r="Z1753" s="48" t="str">
        <f aca="false">IF(A1753="","",IF(AND(Parameter!$B$21="Ja",ISNUMBER(W1753)),W1753,IF(BZ1753="2+3",IF(ISNUMBER(SEARCH("grosser Artikel",BR1753)),2,IFERROR(VLOOKUP(BU1753,Parameter!$F$35:$G$64,2,0),2)),IF(OR(BZ1753="Nein",BZ1753=""),"-",BZ1753))))</f>
        <v/>
      </c>
      <c r="AA1753" s="48" t="str">
        <f aca="false">IF('Neue Artikel'!$J$14="","",'Neue Artikel'!$J$14)</f>
        <v/>
      </c>
      <c r="AB1753" s="56"/>
      <c r="AC1753" s="50" t="n">
        <f aca="false">AT1753</f>
        <v>0</v>
      </c>
      <c r="AD1753" s="50" t="n">
        <f aca="false">MAX(AT1753,H1753)</f>
        <v>0</v>
      </c>
      <c r="AE1753" s="57"/>
      <c r="AF1753" s="50" t="n">
        <f aca="false">IF(LEFT(Cockpit!$C$5,1)="A",H1753,IF(CE1753=1,CF1753,IF(LEFT(Cockpit!$C$5,1)="B",AK1753,MAX(AK1753,H1753))))</f>
        <v>0</v>
      </c>
      <c r="AG1753" s="50" t="n">
        <f aca="false">IF(BW1753=1,0,ROUNDUP(AF1753/BV1753,0))</f>
        <v>0</v>
      </c>
      <c r="AH1753" s="52" t="n">
        <f aca="false">IF(CL1753&gt;0,CL1753*MAX(1,AF1753/X1753),IF(BW1753=1,IF(AF1753&lt;=0,0,CA1753*MAX(1,IF(H1753&gt;0,AF1753/H1753,1))),IF(R1753&gt;0,AG1753/R1753,0))/MAX(0.1,N(Parameter!$M$21)))</f>
        <v>0</v>
      </c>
      <c r="AI1753" s="50" t="n">
        <f aca="false">AH1753*BY1753</f>
        <v>0</v>
      </c>
      <c r="AJ1753" s="50" t="n">
        <f aca="false">AF1753*G1753</f>
        <v>0</v>
      </c>
      <c r="AK1753" s="50" t="n">
        <f aca="false">ROUNDUP(MAX(J1753/IF(CD1753&gt;0,CD1753,MAX(0.1,N(Cockpit!$C$6))),CG1753)/BV1753,0)*BV1753</f>
        <v>0</v>
      </c>
      <c r="AL1753" s="51" t="n">
        <f aca="false">IF(AI1753&gt;0,J1753/AI1753,-1)</f>
        <v>-1</v>
      </c>
      <c r="AM1753" s="51" t="str">
        <f aca="false">IF(AND(OR(CC1753="L1",CC1753="L23",CC1753="LIFT"),AI1753&gt;0),SUMIFS($AI$7:$AI$1843,$CC$7:$CC$1843,CC1753,$AL$7:$AL$1843,"&gt;"&amp;AL1753)+SUMIFS($AI$7:$AI$1843,$CC$7:$CC$1843,CC1753,$AL$7:$AL$1843,AL1753,$BT$7:$BT$1843,"&lt;="&amp;BT1753),"")</f>
        <v/>
      </c>
      <c r="AN1753" s="58" t="n">
        <f aca="false">IF(AM1753="",0,MAX(0,MIN(1,(IF(CC1753="L1",Parameter!$H$5,IF(CC1753="L23",Parameter!$H$6+Parameter!$H$7,Parameter!$H$5+Parameter!$H$6+Parameter!$H$7))-(AM1753-AI1753))/AI1753)))</f>
        <v>0</v>
      </c>
      <c r="AO1753" s="50" t="n">
        <f aca="false">IF(LEFT(Cockpit!$I$5,1)="A",H1753,IF(CE1753=1,CF1753,IF(LEFT(Cockpit!$I$5,1)="B",AT1753,MAX(AT1753,H1753))))</f>
        <v>0</v>
      </c>
      <c r="AP1753" s="50" t="n">
        <f aca="false">IF(BW1753=1,0,ROUNDUP(AO1753/BV1753,0))</f>
        <v>0</v>
      </c>
      <c r="AQ1753" s="52" t="n">
        <f aca="false">IF(CL1753&gt;0,CL1753*MAX(1,AO1753/X1753),IF(BW1753=1,IF(AO1753&lt;=0,0,CA1753*MAX(1,IF(H1753&gt;0,AO1753/H1753,1))),IF(R1753&gt;0,AP1753/R1753,0))/MAX(0.1,N(Parameter!$M$21)))</f>
        <v>0</v>
      </c>
      <c r="AR1753" s="50" t="n">
        <f aca="false">AQ1753*BY1753</f>
        <v>0</v>
      </c>
      <c r="AS1753" s="50" t="n">
        <f aca="false">AO1753*G1753</f>
        <v>0</v>
      </c>
      <c r="AT1753" s="50" t="n">
        <f aca="false">ROUNDUP(MAX(J1753/IF(CD1753&gt;0,CD1753,MAX(0.1,N(Cockpit!$I$6))),CG1753)/BV1753,0)*BV1753</f>
        <v>0</v>
      </c>
      <c r="AU1753" s="51" t="n">
        <f aca="false">IF(AR1753&gt;0,J1753/AR1753,-1)</f>
        <v>-1</v>
      </c>
      <c r="AV1753" s="51" t="str">
        <f aca="false">IF(AND(OR(CC1753="L1",CC1753="L23",CC1753="LIFT"),AR1753&gt;0),SUMIFS($AR$7:$AR$1843,$CC$7:$CC$1843,CC1753,$AU$7:$AU$1843,"&gt;"&amp;AU1753)+SUMIFS($AR$7:$AR$1843,$CC$7:$CC$1843,CC1753,$AU$7:$AU$1843,AU1753,$BT$7:$BT$1843,"&lt;="&amp;BT1753),"")</f>
        <v/>
      </c>
      <c r="AW1753" s="58" t="n">
        <f aca="false">IF(AV1753="",0,MAX(0,MIN(1,(IF(CC1753="L1",Parameter!$H$5,IF(CC1753="L23",Parameter!$H$6+Parameter!$H$7,Parameter!$H$5+Parameter!$H$6+Parameter!$H$7))-(AV1753-AR1753))/AR1753)))</f>
        <v>0</v>
      </c>
      <c r="AX1753" s="50" t="n">
        <f aca="false">IF(LEFT(Cockpit!$O$5,1)="A",H1753,IF(CE1753=1,CF1753,IF(LEFT(Cockpit!$O$5,1)="B",BC1753,MAX(BC1753,H1753))))</f>
        <v>0</v>
      </c>
      <c r="AY1753" s="50" t="n">
        <f aca="false">IF(BW1753=1,0,ROUNDUP(AX1753/BV1753,0))</f>
        <v>0</v>
      </c>
      <c r="AZ1753" s="52" t="n">
        <f aca="false">IF(CL1753&gt;0,CL1753*MAX(1,AX1753/X1753),IF(BW1753=1,IF(AX1753&lt;=0,0,CA1753*MAX(1,IF(H1753&gt;0,AX1753/H1753,1))),IF(R1753&gt;0,AY1753/R1753,0))/MAX(0.1,N(Parameter!$M$21)))</f>
        <v>0</v>
      </c>
      <c r="BA1753" s="50" t="n">
        <f aca="false">AZ1753*BY1753</f>
        <v>0</v>
      </c>
      <c r="BB1753" s="50" t="n">
        <f aca="false">AX1753*G1753</f>
        <v>0</v>
      </c>
      <c r="BC1753" s="50" t="n">
        <f aca="false">ROUNDUP(MAX(J1753/IF(CD1753&gt;0,CD1753,MAX(0.1,N(Cockpit!$O$6))),CG1753)/BV1753,0)*BV1753</f>
        <v>0</v>
      </c>
      <c r="BD1753" s="51" t="n">
        <f aca="false">IF(BA1753&gt;0,J1753/BA1753,-1)</f>
        <v>-1</v>
      </c>
      <c r="BE1753" s="51" t="str">
        <f aca="false">IF(AND(OR(CC1753="L1",CC1753="L23",CC1753="LIFT"),BA1753&gt;0),SUMIFS($BA$7:$BA$1843,$CC$7:$CC$1843,CC1753,$BD$7:$BD$1843,"&gt;"&amp;BD1753)+SUMIFS($BA$7:$BA$1843,$CC$7:$CC$1843,CC1753,$BD$7:$BD$1843,BD1753,$BT$7:$BT$1843,"&lt;="&amp;BT1753),"")</f>
        <v/>
      </c>
      <c r="BF1753" s="58" t="n">
        <f aca="false">IF(BE1753="",0,MAX(0,MIN(1,(IF(CC1753="L1",Parameter!$H$5,IF(CC1753="L23",Parameter!$H$6+Parameter!$H$7,Parameter!$H$5+Parameter!$H$6+Parameter!$H$7))-(BE1753-BA1753))/BA1753)))</f>
        <v>0</v>
      </c>
      <c r="BG1753" s="48" t="str">
        <f aca="false">IF(AI1753&lt;=0,"",IF(CC1753="Aussen","Aussenlager",IF(CC1753="-","Nicht im Lift",IF(AN1753&gt;=1,"Lift",IF(AN1753&lt;=0,"Aussenlager","teilweise")))))</f>
        <v/>
      </c>
      <c r="BH1753" s="48" t="str">
        <f aca="false">IF(AR1753&lt;=0,"",IF(CC1753="Aussen","Aussenlager",IF(CC1753="-","Nicht im Lift",IF(AW1753&gt;=1,"Lift",IF(AW1753&lt;=0,"Aussenlager","teilweise")))))</f>
        <v/>
      </c>
      <c r="BI1753" s="48" t="str">
        <f aca="false">IF(BA1753&lt;=0,"",IF(CC1753="Aussen","Aussenlager",IF(CC1753="-","Nicht im Lift",IF(BF1753&gt;=1,"Lift",IF(BF1753&lt;=0,"Aussenlager","teilweise")))))</f>
        <v/>
      </c>
      <c r="BJ1753" s="48" t="str">
        <f aca="false">IF(A1753="","",IF(BS1753=1,"Neu; ","")&amp;IF(AND(BS1753=0,BN1753&lt;0),"negativer Bestand (Export "&amp;BN1753&amp;"); ","")&amp;IF(J1753&lt;=0,"Kein Verbrauch; ","")&amp;IF(CL1753&gt;0,"Lift "&amp;W1753&amp;" lt. Liftbericht (Fach "&amp;X1753&amp;" Stk); ",IF(BX1753=1,"Gebinde geschätzt ("&amp;T1753&amp;"); ",IF(BW1753=1,"Lose – Tablare geschätzt; ","")))&amp;IF(H1753&gt;AT1753,"Überbestand "&amp;ROUND(H1753-AT1753,0)&amp;" Stk / CHF "&amp;ROUND((H1753-AT1753)*G1753,0)&amp;"; ","")&amp;IF(AND(CE1753=1,CF1753&lt;CG1753),"MAX &lt; MB+LG; ","")&amp;IF(AND(CK1753&gt;0,CJ1753*10&gt;CK1753),"zu hoch für Tablar; ","")&amp;IF(AND(BS1753=0,OR(CE1753=1,AA1753&lt;&gt;"",U1753&lt;&gt;"",V1753&lt;&gt;"",AB1753&lt;&gt;"")),"manuell übersteuert; ","")&amp;IF(AND(BW1753=0,R1753=0),"Gebinde unbekannt / Stellmass fehlt; ","")&amp;IF(AND(BW1753=0,N(V1753)&lt;=0,N(Q1753)&lt;=0),"Menge pro Gebinde fehlt (Ist = 1 Gebinde); ","")&amp;BR1753)</f>
        <v/>
      </c>
      <c r="BK1753" s="48"/>
      <c r="BL1753" s="48"/>
      <c r="BM1753" s="55"/>
      <c r="BN1753" s="50" t="n">
        <f aca="false">N('Neue Artikel'!$D$14)</f>
        <v>0</v>
      </c>
      <c r="BO1753" s="50" t="n">
        <v>0</v>
      </c>
      <c r="BP1753" s="49" t="n">
        <v>0</v>
      </c>
      <c r="BQ1753" s="50" t="n">
        <f aca="false">N('Neue Artikel'!$C$14)/Parameter!$B$18</f>
        <v>0</v>
      </c>
      <c r="BR1753" s="48"/>
      <c r="BS1753" s="53" t="n">
        <v>1</v>
      </c>
      <c r="BT1753" s="53" t="n">
        <v>1753</v>
      </c>
      <c r="BU1753" s="48" t="str">
        <f aca="false">IF(U1753&lt;&gt;"",UPPER(TRIM(U1753)),IF(BX1753=1,UPPER(VLOOKUP(T1753,Parameter!$I$27:$K$29,2,0)),IF(P1753="","LOSE",P1753)))</f>
        <v>LOSE</v>
      </c>
      <c r="BV1753" s="50" t="n">
        <f aca="false">IF(BU1753="LOSE",1,IF(N(V1753)&gt;0,V1753,IF(BX1753=1,MAX(1,N(VLOOKUP(T1753,Parameter!$I$27:$K$29,3,0)),H1753,N(N1753)),IF(N(Q1753)&gt;0,Q1753,MAX(1,H1753)))))</f>
        <v>1</v>
      </c>
      <c r="BW1753" s="53" t="n">
        <f aca="false">IF(BU1753="LOSE",1,0)</f>
        <v>1</v>
      </c>
      <c r="BX1753" s="53" t="n">
        <f aca="false">IF(AND(U1753="",OR(P1753="",P1753="LOSE"),T1753&lt;&gt;"",N(S1753)&lt;=0,ISNUMBER(MATCH(T1753,Parameter!$I$27:$I$29,0))),1,0)</f>
        <v>0</v>
      </c>
      <c r="BY1753" s="53" t="n">
        <f aca="false">IF(CL1753&gt;0,INDEX(Parameter!$H$5:$H$7,W1753)/INDEX(Parameter!$E$5:$E$7,W1753),IF(AND(BW1753=0,N(IFERROR(VLOOKUP(BU1753,'Gebinde-Kategorie'!$A$5:$N$45,14,0),0))&gt;0),VLOOKUP(BU1753,'Gebinde-Kategorie'!$A$5:$N$45,14,0)*10+Parameter!$M$23,Parameter!$M$24))</f>
        <v>235</v>
      </c>
      <c r="BZ1753" s="48" t="str">
        <f aca="false">IF(AND(Parameter!$B$19="Ja",E1753&lt;&gt;"",ISNUMBER(MATCH(E1753,Parameter!$I$35:$I$52,0))),VLOOKUP(E1753,Parameter!$I$35:$J$52,2,0),IFERROR(VLOOKUP(D1753,Parameter!$A$35:$C$64,2,0),"Nein"))</f>
        <v>2+3</v>
      </c>
      <c r="CA1753" s="52" t="n">
        <f aca="false">IF(BW1753=0,0,IF(N(S1753)&gt;0,S1753,IFERROR(VLOOKUP(D1753,Parameter!$A$35:$C$64,3,0)+0,0)))</f>
        <v>0.15</v>
      </c>
      <c r="CB1753" s="48" t="str">
        <f aca="false">IF(AA1753&lt;&gt;"",AA1753,Z1753)</f>
        <v/>
      </c>
      <c r="CC1753" s="48" t="str">
        <f aca="false">IF(OR(CB1753=1,CB1753=2,CB1753=3),IF(Parameter!$E$27="Ja","LIFT",IF(CB1753=1,"L1","L23")),IF(CB1753="Aussen","Aussen","-"))</f>
        <v>-</v>
      </c>
      <c r="CD1753" s="59" t="n">
        <f aca="false">IF(N(AB1753)&gt;0,AB1753,0)</f>
        <v>0</v>
      </c>
      <c r="CE1753" s="53" t="n">
        <f aca="false">IF(ISNUMBER(AE1753),1,0)</f>
        <v>0</v>
      </c>
      <c r="CF1753" s="50" t="n">
        <f aca="false">N(AE1753)</f>
        <v>0</v>
      </c>
      <c r="CG1753" s="50" t="n">
        <f aca="false">N(M1753)+N(N1753)</f>
        <v>0</v>
      </c>
      <c r="CH1753" s="50" t="n">
        <f aca="false">ROUNDUP(H1753/BV1753,0)</f>
        <v>0</v>
      </c>
      <c r="CI1753" s="50" t="n">
        <f aca="false">ROUNDUP(CF1753/BV1753,0)</f>
        <v>0</v>
      </c>
      <c r="CJ1753" s="53" t="n">
        <f aca="false">IF(BW1753=1,0,IFERROR(VLOOKUP(BU1753,'Gebinde-Kategorie'!$A$5:$N$45,5,0)+0,0))</f>
        <v>0</v>
      </c>
      <c r="CK1753" s="53" t="n">
        <f aca="false">IFERROR(IF(OR(CB1753=1,CB1753=2,CB1753=3),N(INDEX(Parameter!$I$5:$I$7,CB1753)),0),0)</f>
        <v>0</v>
      </c>
      <c r="CL1753" s="52" t="n">
        <f aca="false">IF(AND(Parameter!$B$21="Ja",ISNUMBER(W1753),N(X1753)&gt;0),IFERROR(N(INDEX(Parameter!$L$5:$L$7,W1753))*INDEX(Parameter!$E$5:$E$7,W1753)*X1753/SUMIFS($X$7:$X$1843,$W$7:$W$1843,W1753),0),0)</f>
        <v>0</v>
      </c>
    </row>
    <row r="1754" customFormat="false" ht="15" hidden="false" customHeight="false" outlineLevel="0" collapsed="false">
      <c r="A1754" s="48" t="str">
        <f aca="false">IF('Neue Artikel'!$A$15="","",'Neue Artikel'!$A$15&amp;"")</f>
        <v/>
      </c>
      <c r="B1754" s="48" t="str">
        <f aca="false">'Neue Artikel'!$B$15&amp;""</f>
        <v/>
      </c>
      <c r="C1754" s="48"/>
      <c r="D1754" s="48" t="s">
        <v>3019</v>
      </c>
      <c r="E1754" s="48"/>
      <c r="F1754" s="48"/>
      <c r="G1754" s="49" t="n">
        <f aca="false">N('Neue Artikel'!$G$15)</f>
        <v>0</v>
      </c>
      <c r="H1754" s="50" t="n">
        <f aca="false">MAX(0,IF(AND(Parameter!$B$21="Ja",ISNUMBER(Y1754)),Y1754,IF(Parameter!$B$20="Jahresanfang 2025 + Export",BO1754+BN1754,BN1754)))</f>
        <v>0</v>
      </c>
      <c r="I1754" s="50" t="n">
        <f aca="false">H1754*G1754</f>
        <v>0</v>
      </c>
      <c r="J1754" s="50" t="n">
        <f aca="false">BQ1754*Parameter!$B$18</f>
        <v>0</v>
      </c>
      <c r="K1754" s="51"/>
      <c r="L1754" s="52"/>
      <c r="M1754" s="50" t="n">
        <f aca="false">N('Neue Artikel'!$E$15)</f>
        <v>0</v>
      </c>
      <c r="N1754" s="50" t="n">
        <f aca="false">N('Neue Artikel'!$F$15)</f>
        <v>0</v>
      </c>
      <c r="O1754" s="53"/>
      <c r="P1754" s="48" t="str">
        <f aca="false">IF('Neue Artikel'!$H$15="","LOSE",UPPER(TRIM('Neue Artikel'!$H$15)))</f>
        <v>LOSE</v>
      </c>
      <c r="Q1754" s="50" t="n">
        <f aca="false">N('Neue Artikel'!$I$15)</f>
        <v>0</v>
      </c>
      <c r="R1754" s="53" t="n">
        <f aca="false">IF(BW1754=1,0,IFERROR(VLOOKUP(BU1754,'Gebinde-Kategorie'!$A$5:$N$45,13,0)+0,0))</f>
        <v>0</v>
      </c>
      <c r="S1754" s="54"/>
      <c r="T1754" s="55"/>
      <c r="U1754" s="55"/>
      <c r="V1754" s="55"/>
      <c r="W1754" s="48"/>
      <c r="X1754" s="50"/>
      <c r="Y1754" s="50"/>
      <c r="Z1754" s="48" t="str">
        <f aca="false">IF(A1754="","",IF(AND(Parameter!$B$21="Ja",ISNUMBER(W1754)),W1754,IF(BZ1754="2+3",IF(ISNUMBER(SEARCH("grosser Artikel",BR1754)),2,IFERROR(VLOOKUP(BU1754,Parameter!$F$35:$G$64,2,0),2)),IF(OR(BZ1754="Nein",BZ1754=""),"-",BZ1754))))</f>
        <v/>
      </c>
      <c r="AA1754" s="48" t="str">
        <f aca="false">IF('Neue Artikel'!$J$15="","",'Neue Artikel'!$J$15)</f>
        <v/>
      </c>
      <c r="AB1754" s="56"/>
      <c r="AC1754" s="50" t="n">
        <f aca="false">AT1754</f>
        <v>0</v>
      </c>
      <c r="AD1754" s="50" t="n">
        <f aca="false">MAX(AT1754,H1754)</f>
        <v>0</v>
      </c>
      <c r="AE1754" s="57"/>
      <c r="AF1754" s="50" t="n">
        <f aca="false">IF(LEFT(Cockpit!$C$5,1)="A",H1754,IF(CE1754=1,CF1754,IF(LEFT(Cockpit!$C$5,1)="B",AK1754,MAX(AK1754,H1754))))</f>
        <v>0</v>
      </c>
      <c r="AG1754" s="50" t="n">
        <f aca="false">IF(BW1754=1,0,ROUNDUP(AF1754/BV1754,0))</f>
        <v>0</v>
      </c>
      <c r="AH1754" s="52" t="n">
        <f aca="false">IF(CL1754&gt;0,CL1754*MAX(1,AF1754/X1754),IF(BW1754=1,IF(AF1754&lt;=0,0,CA1754*MAX(1,IF(H1754&gt;0,AF1754/H1754,1))),IF(R1754&gt;0,AG1754/R1754,0))/MAX(0.1,N(Parameter!$M$21)))</f>
        <v>0</v>
      </c>
      <c r="AI1754" s="50" t="n">
        <f aca="false">AH1754*BY1754</f>
        <v>0</v>
      </c>
      <c r="AJ1754" s="50" t="n">
        <f aca="false">AF1754*G1754</f>
        <v>0</v>
      </c>
      <c r="AK1754" s="50" t="n">
        <f aca="false">ROUNDUP(MAX(J1754/IF(CD1754&gt;0,CD1754,MAX(0.1,N(Cockpit!$C$6))),CG1754)/BV1754,0)*BV1754</f>
        <v>0</v>
      </c>
      <c r="AL1754" s="51" t="n">
        <f aca="false">IF(AI1754&gt;0,J1754/AI1754,-1)</f>
        <v>-1</v>
      </c>
      <c r="AM1754" s="51" t="str">
        <f aca="false">IF(AND(OR(CC1754="L1",CC1754="L23",CC1754="LIFT"),AI1754&gt;0),SUMIFS($AI$7:$AI$1843,$CC$7:$CC$1843,CC1754,$AL$7:$AL$1843,"&gt;"&amp;AL1754)+SUMIFS($AI$7:$AI$1843,$CC$7:$CC$1843,CC1754,$AL$7:$AL$1843,AL1754,$BT$7:$BT$1843,"&lt;="&amp;BT1754),"")</f>
        <v/>
      </c>
      <c r="AN1754" s="58" t="n">
        <f aca="false">IF(AM1754="",0,MAX(0,MIN(1,(IF(CC1754="L1",Parameter!$H$5,IF(CC1754="L23",Parameter!$H$6+Parameter!$H$7,Parameter!$H$5+Parameter!$H$6+Parameter!$H$7))-(AM1754-AI1754))/AI1754)))</f>
        <v>0</v>
      </c>
      <c r="AO1754" s="50" t="n">
        <f aca="false">IF(LEFT(Cockpit!$I$5,1)="A",H1754,IF(CE1754=1,CF1754,IF(LEFT(Cockpit!$I$5,1)="B",AT1754,MAX(AT1754,H1754))))</f>
        <v>0</v>
      </c>
      <c r="AP1754" s="50" t="n">
        <f aca="false">IF(BW1754=1,0,ROUNDUP(AO1754/BV1754,0))</f>
        <v>0</v>
      </c>
      <c r="AQ1754" s="52" t="n">
        <f aca="false">IF(CL1754&gt;0,CL1754*MAX(1,AO1754/X1754),IF(BW1754=1,IF(AO1754&lt;=0,0,CA1754*MAX(1,IF(H1754&gt;0,AO1754/H1754,1))),IF(R1754&gt;0,AP1754/R1754,0))/MAX(0.1,N(Parameter!$M$21)))</f>
        <v>0</v>
      </c>
      <c r="AR1754" s="50" t="n">
        <f aca="false">AQ1754*BY1754</f>
        <v>0</v>
      </c>
      <c r="AS1754" s="50" t="n">
        <f aca="false">AO1754*G1754</f>
        <v>0</v>
      </c>
      <c r="AT1754" s="50" t="n">
        <f aca="false">ROUNDUP(MAX(J1754/IF(CD1754&gt;0,CD1754,MAX(0.1,N(Cockpit!$I$6))),CG1754)/BV1754,0)*BV1754</f>
        <v>0</v>
      </c>
      <c r="AU1754" s="51" t="n">
        <f aca="false">IF(AR1754&gt;0,J1754/AR1754,-1)</f>
        <v>-1</v>
      </c>
      <c r="AV1754" s="51" t="str">
        <f aca="false">IF(AND(OR(CC1754="L1",CC1754="L23",CC1754="LIFT"),AR1754&gt;0),SUMIFS($AR$7:$AR$1843,$CC$7:$CC$1843,CC1754,$AU$7:$AU$1843,"&gt;"&amp;AU1754)+SUMIFS($AR$7:$AR$1843,$CC$7:$CC$1843,CC1754,$AU$7:$AU$1843,AU1754,$BT$7:$BT$1843,"&lt;="&amp;BT1754),"")</f>
        <v/>
      </c>
      <c r="AW1754" s="58" t="n">
        <f aca="false">IF(AV1754="",0,MAX(0,MIN(1,(IF(CC1754="L1",Parameter!$H$5,IF(CC1754="L23",Parameter!$H$6+Parameter!$H$7,Parameter!$H$5+Parameter!$H$6+Parameter!$H$7))-(AV1754-AR1754))/AR1754)))</f>
        <v>0</v>
      </c>
      <c r="AX1754" s="50" t="n">
        <f aca="false">IF(LEFT(Cockpit!$O$5,1)="A",H1754,IF(CE1754=1,CF1754,IF(LEFT(Cockpit!$O$5,1)="B",BC1754,MAX(BC1754,H1754))))</f>
        <v>0</v>
      </c>
      <c r="AY1754" s="50" t="n">
        <f aca="false">IF(BW1754=1,0,ROUNDUP(AX1754/BV1754,0))</f>
        <v>0</v>
      </c>
      <c r="AZ1754" s="52" t="n">
        <f aca="false">IF(CL1754&gt;0,CL1754*MAX(1,AX1754/X1754),IF(BW1754=1,IF(AX1754&lt;=0,0,CA1754*MAX(1,IF(H1754&gt;0,AX1754/H1754,1))),IF(R1754&gt;0,AY1754/R1754,0))/MAX(0.1,N(Parameter!$M$21)))</f>
        <v>0</v>
      </c>
      <c r="BA1754" s="50" t="n">
        <f aca="false">AZ1754*BY1754</f>
        <v>0</v>
      </c>
      <c r="BB1754" s="50" t="n">
        <f aca="false">AX1754*G1754</f>
        <v>0</v>
      </c>
      <c r="BC1754" s="50" t="n">
        <f aca="false">ROUNDUP(MAX(J1754/IF(CD1754&gt;0,CD1754,MAX(0.1,N(Cockpit!$O$6))),CG1754)/BV1754,0)*BV1754</f>
        <v>0</v>
      </c>
      <c r="BD1754" s="51" t="n">
        <f aca="false">IF(BA1754&gt;0,J1754/BA1754,-1)</f>
        <v>-1</v>
      </c>
      <c r="BE1754" s="51" t="str">
        <f aca="false">IF(AND(OR(CC1754="L1",CC1754="L23",CC1754="LIFT"),BA1754&gt;0),SUMIFS($BA$7:$BA$1843,$CC$7:$CC$1843,CC1754,$BD$7:$BD$1843,"&gt;"&amp;BD1754)+SUMIFS($BA$7:$BA$1843,$CC$7:$CC$1843,CC1754,$BD$7:$BD$1843,BD1754,$BT$7:$BT$1843,"&lt;="&amp;BT1754),"")</f>
        <v/>
      </c>
      <c r="BF1754" s="58" t="n">
        <f aca="false">IF(BE1754="",0,MAX(0,MIN(1,(IF(CC1754="L1",Parameter!$H$5,IF(CC1754="L23",Parameter!$H$6+Parameter!$H$7,Parameter!$H$5+Parameter!$H$6+Parameter!$H$7))-(BE1754-BA1754))/BA1754)))</f>
        <v>0</v>
      </c>
      <c r="BG1754" s="48" t="str">
        <f aca="false">IF(AI1754&lt;=0,"",IF(CC1754="Aussen","Aussenlager",IF(CC1754="-","Nicht im Lift",IF(AN1754&gt;=1,"Lift",IF(AN1754&lt;=0,"Aussenlager","teilweise")))))</f>
        <v/>
      </c>
      <c r="BH1754" s="48" t="str">
        <f aca="false">IF(AR1754&lt;=0,"",IF(CC1754="Aussen","Aussenlager",IF(CC1754="-","Nicht im Lift",IF(AW1754&gt;=1,"Lift",IF(AW1754&lt;=0,"Aussenlager","teilweise")))))</f>
        <v/>
      </c>
      <c r="BI1754" s="48" t="str">
        <f aca="false">IF(BA1754&lt;=0,"",IF(CC1754="Aussen","Aussenlager",IF(CC1754="-","Nicht im Lift",IF(BF1754&gt;=1,"Lift",IF(BF1754&lt;=0,"Aussenlager","teilweise")))))</f>
        <v/>
      </c>
      <c r="BJ1754" s="48" t="str">
        <f aca="false">IF(A1754="","",IF(BS1754=1,"Neu; ","")&amp;IF(AND(BS1754=0,BN1754&lt;0),"negativer Bestand (Export "&amp;BN1754&amp;"); ","")&amp;IF(J1754&lt;=0,"Kein Verbrauch; ","")&amp;IF(CL1754&gt;0,"Lift "&amp;W1754&amp;" lt. Liftbericht (Fach "&amp;X1754&amp;" Stk); ",IF(BX1754=1,"Gebinde geschätzt ("&amp;T1754&amp;"); ",IF(BW1754=1,"Lose – Tablare geschätzt; ","")))&amp;IF(H1754&gt;AT1754,"Überbestand "&amp;ROUND(H1754-AT1754,0)&amp;" Stk / CHF "&amp;ROUND((H1754-AT1754)*G1754,0)&amp;"; ","")&amp;IF(AND(CE1754=1,CF1754&lt;CG1754),"MAX &lt; MB+LG; ","")&amp;IF(AND(CK1754&gt;0,CJ1754*10&gt;CK1754),"zu hoch für Tablar; ","")&amp;IF(AND(BS1754=0,OR(CE1754=1,AA1754&lt;&gt;"",U1754&lt;&gt;"",V1754&lt;&gt;"",AB1754&lt;&gt;"")),"manuell übersteuert; ","")&amp;IF(AND(BW1754=0,R1754=0),"Gebinde unbekannt / Stellmass fehlt; ","")&amp;IF(AND(BW1754=0,N(V1754)&lt;=0,N(Q1754)&lt;=0),"Menge pro Gebinde fehlt (Ist = 1 Gebinde); ","")&amp;BR1754)</f>
        <v/>
      </c>
      <c r="BK1754" s="48"/>
      <c r="BL1754" s="48"/>
      <c r="BM1754" s="55"/>
      <c r="BN1754" s="50" t="n">
        <f aca="false">N('Neue Artikel'!$D$15)</f>
        <v>0</v>
      </c>
      <c r="BO1754" s="50" t="n">
        <v>0</v>
      </c>
      <c r="BP1754" s="49" t="n">
        <v>0</v>
      </c>
      <c r="BQ1754" s="50" t="n">
        <f aca="false">N('Neue Artikel'!$C$15)/Parameter!$B$18</f>
        <v>0</v>
      </c>
      <c r="BR1754" s="48"/>
      <c r="BS1754" s="53" t="n">
        <v>1</v>
      </c>
      <c r="BT1754" s="53" t="n">
        <v>1754</v>
      </c>
      <c r="BU1754" s="48" t="str">
        <f aca="false">IF(U1754&lt;&gt;"",UPPER(TRIM(U1754)),IF(BX1754=1,UPPER(VLOOKUP(T1754,Parameter!$I$27:$K$29,2,0)),IF(P1754="","LOSE",P1754)))</f>
        <v>LOSE</v>
      </c>
      <c r="BV1754" s="50" t="n">
        <f aca="false">IF(BU1754="LOSE",1,IF(N(V1754)&gt;0,V1754,IF(BX1754=1,MAX(1,N(VLOOKUP(T1754,Parameter!$I$27:$K$29,3,0)),H1754,N(N1754)),IF(N(Q1754)&gt;0,Q1754,MAX(1,H1754)))))</f>
        <v>1</v>
      </c>
      <c r="BW1754" s="53" t="n">
        <f aca="false">IF(BU1754="LOSE",1,0)</f>
        <v>1</v>
      </c>
      <c r="BX1754" s="53" t="n">
        <f aca="false">IF(AND(U1754="",OR(P1754="",P1754="LOSE"),T1754&lt;&gt;"",N(S1754)&lt;=0,ISNUMBER(MATCH(T1754,Parameter!$I$27:$I$29,0))),1,0)</f>
        <v>0</v>
      </c>
      <c r="BY1754" s="53" t="n">
        <f aca="false">IF(CL1754&gt;0,INDEX(Parameter!$H$5:$H$7,W1754)/INDEX(Parameter!$E$5:$E$7,W1754),IF(AND(BW1754=0,N(IFERROR(VLOOKUP(BU1754,'Gebinde-Kategorie'!$A$5:$N$45,14,0),0))&gt;0),VLOOKUP(BU1754,'Gebinde-Kategorie'!$A$5:$N$45,14,0)*10+Parameter!$M$23,Parameter!$M$24))</f>
        <v>235</v>
      </c>
      <c r="BZ1754" s="48" t="str">
        <f aca="false">IF(AND(Parameter!$B$19="Ja",E1754&lt;&gt;"",ISNUMBER(MATCH(E1754,Parameter!$I$35:$I$52,0))),VLOOKUP(E1754,Parameter!$I$35:$J$52,2,0),IFERROR(VLOOKUP(D1754,Parameter!$A$35:$C$64,2,0),"Nein"))</f>
        <v>2+3</v>
      </c>
      <c r="CA1754" s="52" t="n">
        <f aca="false">IF(BW1754=0,0,IF(N(S1754)&gt;0,S1754,IFERROR(VLOOKUP(D1754,Parameter!$A$35:$C$64,3,0)+0,0)))</f>
        <v>0.15</v>
      </c>
      <c r="CB1754" s="48" t="str">
        <f aca="false">IF(AA1754&lt;&gt;"",AA1754,Z1754)</f>
        <v/>
      </c>
      <c r="CC1754" s="48" t="str">
        <f aca="false">IF(OR(CB1754=1,CB1754=2,CB1754=3),IF(Parameter!$E$27="Ja","LIFT",IF(CB1754=1,"L1","L23")),IF(CB1754="Aussen","Aussen","-"))</f>
        <v>-</v>
      </c>
      <c r="CD1754" s="59" t="n">
        <f aca="false">IF(N(AB1754)&gt;0,AB1754,0)</f>
        <v>0</v>
      </c>
      <c r="CE1754" s="53" t="n">
        <f aca="false">IF(ISNUMBER(AE1754),1,0)</f>
        <v>0</v>
      </c>
      <c r="CF1754" s="50" t="n">
        <f aca="false">N(AE1754)</f>
        <v>0</v>
      </c>
      <c r="CG1754" s="50" t="n">
        <f aca="false">N(M1754)+N(N1754)</f>
        <v>0</v>
      </c>
      <c r="CH1754" s="50" t="n">
        <f aca="false">ROUNDUP(H1754/BV1754,0)</f>
        <v>0</v>
      </c>
      <c r="CI1754" s="50" t="n">
        <f aca="false">ROUNDUP(CF1754/BV1754,0)</f>
        <v>0</v>
      </c>
      <c r="CJ1754" s="53" t="n">
        <f aca="false">IF(BW1754=1,0,IFERROR(VLOOKUP(BU1754,'Gebinde-Kategorie'!$A$5:$N$45,5,0)+0,0))</f>
        <v>0</v>
      </c>
      <c r="CK1754" s="53" t="n">
        <f aca="false">IFERROR(IF(OR(CB1754=1,CB1754=2,CB1754=3),N(INDEX(Parameter!$I$5:$I$7,CB1754)),0),0)</f>
        <v>0</v>
      </c>
      <c r="CL1754" s="52" t="n">
        <f aca="false">IF(AND(Parameter!$B$21="Ja",ISNUMBER(W1754),N(X1754)&gt;0),IFERROR(N(INDEX(Parameter!$L$5:$L$7,W1754))*INDEX(Parameter!$E$5:$E$7,W1754)*X1754/SUMIFS($X$7:$X$1843,$W$7:$W$1843,W1754),0),0)</f>
        <v>0</v>
      </c>
    </row>
    <row r="1755" customFormat="false" ht="15" hidden="false" customHeight="false" outlineLevel="0" collapsed="false">
      <c r="A1755" s="48" t="str">
        <f aca="false">IF('Neue Artikel'!$A$16="","",'Neue Artikel'!$A$16&amp;"")</f>
        <v/>
      </c>
      <c r="B1755" s="48" t="str">
        <f aca="false">'Neue Artikel'!$B$16&amp;""</f>
        <v/>
      </c>
      <c r="C1755" s="48"/>
      <c r="D1755" s="48" t="s">
        <v>3019</v>
      </c>
      <c r="E1755" s="48"/>
      <c r="F1755" s="48"/>
      <c r="G1755" s="49" t="n">
        <f aca="false">N('Neue Artikel'!$G$16)</f>
        <v>0</v>
      </c>
      <c r="H1755" s="50" t="n">
        <f aca="false">MAX(0,IF(AND(Parameter!$B$21="Ja",ISNUMBER(Y1755)),Y1755,IF(Parameter!$B$20="Jahresanfang 2025 + Export",BO1755+BN1755,BN1755)))</f>
        <v>0</v>
      </c>
      <c r="I1755" s="50" t="n">
        <f aca="false">H1755*G1755</f>
        <v>0</v>
      </c>
      <c r="J1755" s="50" t="n">
        <f aca="false">BQ1755*Parameter!$B$18</f>
        <v>0</v>
      </c>
      <c r="K1755" s="51"/>
      <c r="L1755" s="52"/>
      <c r="M1755" s="50" t="n">
        <f aca="false">N('Neue Artikel'!$E$16)</f>
        <v>0</v>
      </c>
      <c r="N1755" s="50" t="n">
        <f aca="false">N('Neue Artikel'!$F$16)</f>
        <v>0</v>
      </c>
      <c r="O1755" s="53"/>
      <c r="P1755" s="48" t="str">
        <f aca="false">IF('Neue Artikel'!$H$16="","LOSE",UPPER(TRIM('Neue Artikel'!$H$16)))</f>
        <v>LOSE</v>
      </c>
      <c r="Q1755" s="50" t="n">
        <f aca="false">N('Neue Artikel'!$I$16)</f>
        <v>0</v>
      </c>
      <c r="R1755" s="53" t="n">
        <f aca="false">IF(BW1755=1,0,IFERROR(VLOOKUP(BU1755,'Gebinde-Kategorie'!$A$5:$N$45,13,0)+0,0))</f>
        <v>0</v>
      </c>
      <c r="S1755" s="54"/>
      <c r="T1755" s="55"/>
      <c r="U1755" s="55"/>
      <c r="V1755" s="55"/>
      <c r="W1755" s="48"/>
      <c r="X1755" s="50"/>
      <c r="Y1755" s="50"/>
      <c r="Z1755" s="48" t="str">
        <f aca="false">IF(A1755="","",IF(AND(Parameter!$B$21="Ja",ISNUMBER(W1755)),W1755,IF(BZ1755="2+3",IF(ISNUMBER(SEARCH("grosser Artikel",BR1755)),2,IFERROR(VLOOKUP(BU1755,Parameter!$F$35:$G$64,2,0),2)),IF(OR(BZ1755="Nein",BZ1755=""),"-",BZ1755))))</f>
        <v/>
      </c>
      <c r="AA1755" s="48" t="str">
        <f aca="false">IF('Neue Artikel'!$J$16="","",'Neue Artikel'!$J$16)</f>
        <v/>
      </c>
      <c r="AB1755" s="56"/>
      <c r="AC1755" s="50" t="n">
        <f aca="false">AT1755</f>
        <v>0</v>
      </c>
      <c r="AD1755" s="50" t="n">
        <f aca="false">MAX(AT1755,H1755)</f>
        <v>0</v>
      </c>
      <c r="AE1755" s="57"/>
      <c r="AF1755" s="50" t="n">
        <f aca="false">IF(LEFT(Cockpit!$C$5,1)="A",H1755,IF(CE1755=1,CF1755,IF(LEFT(Cockpit!$C$5,1)="B",AK1755,MAX(AK1755,H1755))))</f>
        <v>0</v>
      </c>
      <c r="AG1755" s="50" t="n">
        <f aca="false">IF(BW1755=1,0,ROUNDUP(AF1755/BV1755,0))</f>
        <v>0</v>
      </c>
      <c r="AH1755" s="52" t="n">
        <f aca="false">IF(CL1755&gt;0,CL1755*MAX(1,AF1755/X1755),IF(BW1755=1,IF(AF1755&lt;=0,0,CA1755*MAX(1,IF(H1755&gt;0,AF1755/H1755,1))),IF(R1755&gt;0,AG1755/R1755,0))/MAX(0.1,N(Parameter!$M$21)))</f>
        <v>0</v>
      </c>
      <c r="AI1755" s="50" t="n">
        <f aca="false">AH1755*BY1755</f>
        <v>0</v>
      </c>
      <c r="AJ1755" s="50" t="n">
        <f aca="false">AF1755*G1755</f>
        <v>0</v>
      </c>
      <c r="AK1755" s="50" t="n">
        <f aca="false">ROUNDUP(MAX(J1755/IF(CD1755&gt;0,CD1755,MAX(0.1,N(Cockpit!$C$6))),CG1755)/BV1755,0)*BV1755</f>
        <v>0</v>
      </c>
      <c r="AL1755" s="51" t="n">
        <f aca="false">IF(AI1755&gt;0,J1755/AI1755,-1)</f>
        <v>-1</v>
      </c>
      <c r="AM1755" s="51" t="str">
        <f aca="false">IF(AND(OR(CC1755="L1",CC1755="L23",CC1755="LIFT"),AI1755&gt;0),SUMIFS($AI$7:$AI$1843,$CC$7:$CC$1843,CC1755,$AL$7:$AL$1843,"&gt;"&amp;AL1755)+SUMIFS($AI$7:$AI$1843,$CC$7:$CC$1843,CC1755,$AL$7:$AL$1843,AL1755,$BT$7:$BT$1843,"&lt;="&amp;BT1755),"")</f>
        <v/>
      </c>
      <c r="AN1755" s="58" t="n">
        <f aca="false">IF(AM1755="",0,MAX(0,MIN(1,(IF(CC1755="L1",Parameter!$H$5,IF(CC1755="L23",Parameter!$H$6+Parameter!$H$7,Parameter!$H$5+Parameter!$H$6+Parameter!$H$7))-(AM1755-AI1755))/AI1755)))</f>
        <v>0</v>
      </c>
      <c r="AO1755" s="50" t="n">
        <f aca="false">IF(LEFT(Cockpit!$I$5,1)="A",H1755,IF(CE1755=1,CF1755,IF(LEFT(Cockpit!$I$5,1)="B",AT1755,MAX(AT1755,H1755))))</f>
        <v>0</v>
      </c>
      <c r="AP1755" s="50" t="n">
        <f aca="false">IF(BW1755=1,0,ROUNDUP(AO1755/BV1755,0))</f>
        <v>0</v>
      </c>
      <c r="AQ1755" s="52" t="n">
        <f aca="false">IF(CL1755&gt;0,CL1755*MAX(1,AO1755/X1755),IF(BW1755=1,IF(AO1755&lt;=0,0,CA1755*MAX(1,IF(H1755&gt;0,AO1755/H1755,1))),IF(R1755&gt;0,AP1755/R1755,0))/MAX(0.1,N(Parameter!$M$21)))</f>
        <v>0</v>
      </c>
      <c r="AR1755" s="50" t="n">
        <f aca="false">AQ1755*BY1755</f>
        <v>0</v>
      </c>
      <c r="AS1755" s="50" t="n">
        <f aca="false">AO1755*G1755</f>
        <v>0</v>
      </c>
      <c r="AT1755" s="50" t="n">
        <f aca="false">ROUNDUP(MAX(J1755/IF(CD1755&gt;0,CD1755,MAX(0.1,N(Cockpit!$I$6))),CG1755)/BV1755,0)*BV1755</f>
        <v>0</v>
      </c>
      <c r="AU1755" s="51" t="n">
        <f aca="false">IF(AR1755&gt;0,J1755/AR1755,-1)</f>
        <v>-1</v>
      </c>
      <c r="AV1755" s="51" t="str">
        <f aca="false">IF(AND(OR(CC1755="L1",CC1755="L23",CC1755="LIFT"),AR1755&gt;0),SUMIFS($AR$7:$AR$1843,$CC$7:$CC$1843,CC1755,$AU$7:$AU$1843,"&gt;"&amp;AU1755)+SUMIFS($AR$7:$AR$1843,$CC$7:$CC$1843,CC1755,$AU$7:$AU$1843,AU1755,$BT$7:$BT$1843,"&lt;="&amp;BT1755),"")</f>
        <v/>
      </c>
      <c r="AW1755" s="58" t="n">
        <f aca="false">IF(AV1755="",0,MAX(0,MIN(1,(IF(CC1755="L1",Parameter!$H$5,IF(CC1755="L23",Parameter!$H$6+Parameter!$H$7,Parameter!$H$5+Parameter!$H$6+Parameter!$H$7))-(AV1755-AR1755))/AR1755)))</f>
        <v>0</v>
      </c>
      <c r="AX1755" s="50" t="n">
        <f aca="false">IF(LEFT(Cockpit!$O$5,1)="A",H1755,IF(CE1755=1,CF1755,IF(LEFT(Cockpit!$O$5,1)="B",BC1755,MAX(BC1755,H1755))))</f>
        <v>0</v>
      </c>
      <c r="AY1755" s="50" t="n">
        <f aca="false">IF(BW1755=1,0,ROUNDUP(AX1755/BV1755,0))</f>
        <v>0</v>
      </c>
      <c r="AZ1755" s="52" t="n">
        <f aca="false">IF(CL1755&gt;0,CL1755*MAX(1,AX1755/X1755),IF(BW1755=1,IF(AX1755&lt;=0,0,CA1755*MAX(1,IF(H1755&gt;0,AX1755/H1755,1))),IF(R1755&gt;0,AY1755/R1755,0))/MAX(0.1,N(Parameter!$M$21)))</f>
        <v>0</v>
      </c>
      <c r="BA1755" s="50" t="n">
        <f aca="false">AZ1755*BY1755</f>
        <v>0</v>
      </c>
      <c r="BB1755" s="50" t="n">
        <f aca="false">AX1755*G1755</f>
        <v>0</v>
      </c>
      <c r="BC1755" s="50" t="n">
        <f aca="false">ROUNDUP(MAX(J1755/IF(CD1755&gt;0,CD1755,MAX(0.1,N(Cockpit!$O$6))),CG1755)/BV1755,0)*BV1755</f>
        <v>0</v>
      </c>
      <c r="BD1755" s="51" t="n">
        <f aca="false">IF(BA1755&gt;0,J1755/BA1755,-1)</f>
        <v>-1</v>
      </c>
      <c r="BE1755" s="51" t="str">
        <f aca="false">IF(AND(OR(CC1755="L1",CC1755="L23",CC1755="LIFT"),BA1755&gt;0),SUMIFS($BA$7:$BA$1843,$CC$7:$CC$1843,CC1755,$BD$7:$BD$1843,"&gt;"&amp;BD1755)+SUMIFS($BA$7:$BA$1843,$CC$7:$CC$1843,CC1755,$BD$7:$BD$1843,BD1755,$BT$7:$BT$1843,"&lt;="&amp;BT1755),"")</f>
        <v/>
      </c>
      <c r="BF1755" s="58" t="n">
        <f aca="false">IF(BE1755="",0,MAX(0,MIN(1,(IF(CC1755="L1",Parameter!$H$5,IF(CC1755="L23",Parameter!$H$6+Parameter!$H$7,Parameter!$H$5+Parameter!$H$6+Parameter!$H$7))-(BE1755-BA1755))/BA1755)))</f>
        <v>0</v>
      </c>
      <c r="BG1755" s="48" t="str">
        <f aca="false">IF(AI1755&lt;=0,"",IF(CC1755="Aussen","Aussenlager",IF(CC1755="-","Nicht im Lift",IF(AN1755&gt;=1,"Lift",IF(AN1755&lt;=0,"Aussenlager","teilweise")))))</f>
        <v/>
      </c>
      <c r="BH1755" s="48" t="str">
        <f aca="false">IF(AR1755&lt;=0,"",IF(CC1755="Aussen","Aussenlager",IF(CC1755="-","Nicht im Lift",IF(AW1755&gt;=1,"Lift",IF(AW1755&lt;=0,"Aussenlager","teilweise")))))</f>
        <v/>
      </c>
      <c r="BI1755" s="48" t="str">
        <f aca="false">IF(BA1755&lt;=0,"",IF(CC1755="Aussen","Aussenlager",IF(CC1755="-","Nicht im Lift",IF(BF1755&gt;=1,"Lift",IF(BF1755&lt;=0,"Aussenlager","teilweise")))))</f>
        <v/>
      </c>
      <c r="BJ1755" s="48" t="str">
        <f aca="false">IF(A1755="","",IF(BS1755=1,"Neu; ","")&amp;IF(AND(BS1755=0,BN1755&lt;0),"negativer Bestand (Export "&amp;BN1755&amp;"); ","")&amp;IF(J1755&lt;=0,"Kein Verbrauch; ","")&amp;IF(CL1755&gt;0,"Lift "&amp;W1755&amp;" lt. Liftbericht (Fach "&amp;X1755&amp;" Stk); ",IF(BX1755=1,"Gebinde geschätzt ("&amp;T1755&amp;"); ",IF(BW1755=1,"Lose – Tablare geschätzt; ","")))&amp;IF(H1755&gt;AT1755,"Überbestand "&amp;ROUND(H1755-AT1755,0)&amp;" Stk / CHF "&amp;ROUND((H1755-AT1755)*G1755,0)&amp;"; ","")&amp;IF(AND(CE1755=1,CF1755&lt;CG1755),"MAX &lt; MB+LG; ","")&amp;IF(AND(CK1755&gt;0,CJ1755*10&gt;CK1755),"zu hoch für Tablar; ","")&amp;IF(AND(BS1755=0,OR(CE1755=1,AA1755&lt;&gt;"",U1755&lt;&gt;"",V1755&lt;&gt;"",AB1755&lt;&gt;"")),"manuell übersteuert; ","")&amp;IF(AND(BW1755=0,R1755=0),"Gebinde unbekannt / Stellmass fehlt; ","")&amp;IF(AND(BW1755=0,N(V1755)&lt;=0,N(Q1755)&lt;=0),"Menge pro Gebinde fehlt (Ist = 1 Gebinde); ","")&amp;BR1755)</f>
        <v/>
      </c>
      <c r="BK1755" s="48"/>
      <c r="BL1755" s="48"/>
      <c r="BM1755" s="55"/>
      <c r="BN1755" s="50" t="n">
        <f aca="false">N('Neue Artikel'!$D$16)</f>
        <v>0</v>
      </c>
      <c r="BO1755" s="50" t="n">
        <v>0</v>
      </c>
      <c r="BP1755" s="49" t="n">
        <v>0</v>
      </c>
      <c r="BQ1755" s="50" t="n">
        <f aca="false">N('Neue Artikel'!$C$16)/Parameter!$B$18</f>
        <v>0</v>
      </c>
      <c r="BR1755" s="48"/>
      <c r="BS1755" s="53" t="n">
        <v>1</v>
      </c>
      <c r="BT1755" s="53" t="n">
        <v>1755</v>
      </c>
      <c r="BU1755" s="48" t="str">
        <f aca="false">IF(U1755&lt;&gt;"",UPPER(TRIM(U1755)),IF(BX1755=1,UPPER(VLOOKUP(T1755,Parameter!$I$27:$K$29,2,0)),IF(P1755="","LOSE",P1755)))</f>
        <v>LOSE</v>
      </c>
      <c r="BV1755" s="50" t="n">
        <f aca="false">IF(BU1755="LOSE",1,IF(N(V1755)&gt;0,V1755,IF(BX1755=1,MAX(1,N(VLOOKUP(T1755,Parameter!$I$27:$K$29,3,0)),H1755,N(N1755)),IF(N(Q1755)&gt;0,Q1755,MAX(1,H1755)))))</f>
        <v>1</v>
      </c>
      <c r="BW1755" s="53" t="n">
        <f aca="false">IF(BU1755="LOSE",1,0)</f>
        <v>1</v>
      </c>
      <c r="BX1755" s="53" t="n">
        <f aca="false">IF(AND(U1755="",OR(P1755="",P1755="LOSE"),T1755&lt;&gt;"",N(S1755)&lt;=0,ISNUMBER(MATCH(T1755,Parameter!$I$27:$I$29,0))),1,0)</f>
        <v>0</v>
      </c>
      <c r="BY1755" s="53" t="n">
        <f aca="false">IF(CL1755&gt;0,INDEX(Parameter!$H$5:$H$7,W1755)/INDEX(Parameter!$E$5:$E$7,W1755),IF(AND(BW1755=0,N(IFERROR(VLOOKUP(BU1755,'Gebinde-Kategorie'!$A$5:$N$45,14,0),0))&gt;0),VLOOKUP(BU1755,'Gebinde-Kategorie'!$A$5:$N$45,14,0)*10+Parameter!$M$23,Parameter!$M$24))</f>
        <v>235</v>
      </c>
      <c r="BZ1755" s="48" t="str">
        <f aca="false">IF(AND(Parameter!$B$19="Ja",E1755&lt;&gt;"",ISNUMBER(MATCH(E1755,Parameter!$I$35:$I$52,0))),VLOOKUP(E1755,Parameter!$I$35:$J$52,2,0),IFERROR(VLOOKUP(D1755,Parameter!$A$35:$C$64,2,0),"Nein"))</f>
        <v>2+3</v>
      </c>
      <c r="CA1755" s="52" t="n">
        <f aca="false">IF(BW1755=0,0,IF(N(S1755)&gt;0,S1755,IFERROR(VLOOKUP(D1755,Parameter!$A$35:$C$64,3,0)+0,0)))</f>
        <v>0.15</v>
      </c>
      <c r="CB1755" s="48" t="str">
        <f aca="false">IF(AA1755&lt;&gt;"",AA1755,Z1755)</f>
        <v/>
      </c>
      <c r="CC1755" s="48" t="str">
        <f aca="false">IF(OR(CB1755=1,CB1755=2,CB1755=3),IF(Parameter!$E$27="Ja","LIFT",IF(CB1755=1,"L1","L23")),IF(CB1755="Aussen","Aussen","-"))</f>
        <v>-</v>
      </c>
      <c r="CD1755" s="59" t="n">
        <f aca="false">IF(N(AB1755)&gt;0,AB1755,0)</f>
        <v>0</v>
      </c>
      <c r="CE1755" s="53" t="n">
        <f aca="false">IF(ISNUMBER(AE1755),1,0)</f>
        <v>0</v>
      </c>
      <c r="CF1755" s="50" t="n">
        <f aca="false">N(AE1755)</f>
        <v>0</v>
      </c>
      <c r="CG1755" s="50" t="n">
        <f aca="false">N(M1755)+N(N1755)</f>
        <v>0</v>
      </c>
      <c r="CH1755" s="50" t="n">
        <f aca="false">ROUNDUP(H1755/BV1755,0)</f>
        <v>0</v>
      </c>
      <c r="CI1755" s="50" t="n">
        <f aca="false">ROUNDUP(CF1755/BV1755,0)</f>
        <v>0</v>
      </c>
      <c r="CJ1755" s="53" t="n">
        <f aca="false">IF(BW1755=1,0,IFERROR(VLOOKUP(BU1755,'Gebinde-Kategorie'!$A$5:$N$45,5,0)+0,0))</f>
        <v>0</v>
      </c>
      <c r="CK1755" s="53" t="n">
        <f aca="false">IFERROR(IF(OR(CB1755=1,CB1755=2,CB1755=3),N(INDEX(Parameter!$I$5:$I$7,CB1755)),0),0)</f>
        <v>0</v>
      </c>
      <c r="CL1755" s="52" t="n">
        <f aca="false">IF(AND(Parameter!$B$21="Ja",ISNUMBER(W1755),N(X1755)&gt;0),IFERROR(N(INDEX(Parameter!$L$5:$L$7,W1755))*INDEX(Parameter!$E$5:$E$7,W1755)*X1755/SUMIFS($X$7:$X$1843,$W$7:$W$1843,W1755),0),0)</f>
        <v>0</v>
      </c>
    </row>
    <row r="1756" customFormat="false" ht="15" hidden="false" customHeight="false" outlineLevel="0" collapsed="false">
      <c r="A1756" s="48" t="str">
        <f aca="false">IF('Neue Artikel'!$A$17="","",'Neue Artikel'!$A$17&amp;"")</f>
        <v/>
      </c>
      <c r="B1756" s="48" t="str">
        <f aca="false">'Neue Artikel'!$B$17&amp;""</f>
        <v/>
      </c>
      <c r="C1756" s="48"/>
      <c r="D1756" s="48" t="s">
        <v>3019</v>
      </c>
      <c r="E1756" s="48"/>
      <c r="F1756" s="48"/>
      <c r="G1756" s="49" t="n">
        <f aca="false">N('Neue Artikel'!$G$17)</f>
        <v>0</v>
      </c>
      <c r="H1756" s="50" t="n">
        <f aca="false">MAX(0,IF(AND(Parameter!$B$21="Ja",ISNUMBER(Y1756)),Y1756,IF(Parameter!$B$20="Jahresanfang 2025 + Export",BO1756+BN1756,BN1756)))</f>
        <v>0</v>
      </c>
      <c r="I1756" s="50" t="n">
        <f aca="false">H1756*G1756</f>
        <v>0</v>
      </c>
      <c r="J1756" s="50" t="n">
        <f aca="false">BQ1756*Parameter!$B$18</f>
        <v>0</v>
      </c>
      <c r="K1756" s="51"/>
      <c r="L1756" s="52"/>
      <c r="M1756" s="50" t="n">
        <f aca="false">N('Neue Artikel'!$E$17)</f>
        <v>0</v>
      </c>
      <c r="N1756" s="50" t="n">
        <f aca="false">N('Neue Artikel'!$F$17)</f>
        <v>0</v>
      </c>
      <c r="O1756" s="53"/>
      <c r="P1756" s="48" t="str">
        <f aca="false">IF('Neue Artikel'!$H$17="","LOSE",UPPER(TRIM('Neue Artikel'!$H$17)))</f>
        <v>LOSE</v>
      </c>
      <c r="Q1756" s="50" t="n">
        <f aca="false">N('Neue Artikel'!$I$17)</f>
        <v>0</v>
      </c>
      <c r="R1756" s="53" t="n">
        <f aca="false">IF(BW1756=1,0,IFERROR(VLOOKUP(BU1756,'Gebinde-Kategorie'!$A$5:$N$45,13,0)+0,0))</f>
        <v>0</v>
      </c>
      <c r="S1756" s="54"/>
      <c r="T1756" s="55"/>
      <c r="U1756" s="55"/>
      <c r="V1756" s="55"/>
      <c r="W1756" s="48"/>
      <c r="X1756" s="50"/>
      <c r="Y1756" s="50"/>
      <c r="Z1756" s="48" t="str">
        <f aca="false">IF(A1756="","",IF(AND(Parameter!$B$21="Ja",ISNUMBER(W1756)),W1756,IF(BZ1756="2+3",IF(ISNUMBER(SEARCH("grosser Artikel",BR1756)),2,IFERROR(VLOOKUP(BU1756,Parameter!$F$35:$G$64,2,0),2)),IF(OR(BZ1756="Nein",BZ1756=""),"-",BZ1756))))</f>
        <v/>
      </c>
      <c r="AA1756" s="48" t="str">
        <f aca="false">IF('Neue Artikel'!$J$17="","",'Neue Artikel'!$J$17)</f>
        <v/>
      </c>
      <c r="AB1756" s="56"/>
      <c r="AC1756" s="50" t="n">
        <f aca="false">AT1756</f>
        <v>0</v>
      </c>
      <c r="AD1756" s="50" t="n">
        <f aca="false">MAX(AT1756,H1756)</f>
        <v>0</v>
      </c>
      <c r="AE1756" s="57"/>
      <c r="AF1756" s="50" t="n">
        <f aca="false">IF(LEFT(Cockpit!$C$5,1)="A",H1756,IF(CE1756=1,CF1756,IF(LEFT(Cockpit!$C$5,1)="B",AK1756,MAX(AK1756,H1756))))</f>
        <v>0</v>
      </c>
      <c r="AG1756" s="50" t="n">
        <f aca="false">IF(BW1756=1,0,ROUNDUP(AF1756/BV1756,0))</f>
        <v>0</v>
      </c>
      <c r="AH1756" s="52" t="n">
        <f aca="false">IF(CL1756&gt;0,CL1756*MAX(1,AF1756/X1756),IF(BW1756=1,IF(AF1756&lt;=0,0,CA1756*MAX(1,IF(H1756&gt;0,AF1756/H1756,1))),IF(R1756&gt;0,AG1756/R1756,0))/MAX(0.1,N(Parameter!$M$21)))</f>
        <v>0</v>
      </c>
      <c r="AI1756" s="50" t="n">
        <f aca="false">AH1756*BY1756</f>
        <v>0</v>
      </c>
      <c r="AJ1756" s="50" t="n">
        <f aca="false">AF1756*G1756</f>
        <v>0</v>
      </c>
      <c r="AK1756" s="50" t="n">
        <f aca="false">ROUNDUP(MAX(J1756/IF(CD1756&gt;0,CD1756,MAX(0.1,N(Cockpit!$C$6))),CG1756)/BV1756,0)*BV1756</f>
        <v>0</v>
      </c>
      <c r="AL1756" s="51" t="n">
        <f aca="false">IF(AI1756&gt;0,J1756/AI1756,-1)</f>
        <v>-1</v>
      </c>
      <c r="AM1756" s="51" t="str">
        <f aca="false">IF(AND(OR(CC1756="L1",CC1756="L23",CC1756="LIFT"),AI1756&gt;0),SUMIFS($AI$7:$AI$1843,$CC$7:$CC$1843,CC1756,$AL$7:$AL$1843,"&gt;"&amp;AL1756)+SUMIFS($AI$7:$AI$1843,$CC$7:$CC$1843,CC1756,$AL$7:$AL$1843,AL1756,$BT$7:$BT$1843,"&lt;="&amp;BT1756),"")</f>
        <v/>
      </c>
      <c r="AN1756" s="58" t="n">
        <f aca="false">IF(AM1756="",0,MAX(0,MIN(1,(IF(CC1756="L1",Parameter!$H$5,IF(CC1756="L23",Parameter!$H$6+Parameter!$H$7,Parameter!$H$5+Parameter!$H$6+Parameter!$H$7))-(AM1756-AI1756))/AI1756)))</f>
        <v>0</v>
      </c>
      <c r="AO1756" s="50" t="n">
        <f aca="false">IF(LEFT(Cockpit!$I$5,1)="A",H1756,IF(CE1756=1,CF1756,IF(LEFT(Cockpit!$I$5,1)="B",AT1756,MAX(AT1756,H1756))))</f>
        <v>0</v>
      </c>
      <c r="AP1756" s="50" t="n">
        <f aca="false">IF(BW1756=1,0,ROUNDUP(AO1756/BV1756,0))</f>
        <v>0</v>
      </c>
      <c r="AQ1756" s="52" t="n">
        <f aca="false">IF(CL1756&gt;0,CL1756*MAX(1,AO1756/X1756),IF(BW1756=1,IF(AO1756&lt;=0,0,CA1756*MAX(1,IF(H1756&gt;0,AO1756/H1756,1))),IF(R1756&gt;0,AP1756/R1756,0))/MAX(0.1,N(Parameter!$M$21)))</f>
        <v>0</v>
      </c>
      <c r="AR1756" s="50" t="n">
        <f aca="false">AQ1756*BY1756</f>
        <v>0</v>
      </c>
      <c r="AS1756" s="50" t="n">
        <f aca="false">AO1756*G1756</f>
        <v>0</v>
      </c>
      <c r="AT1756" s="50" t="n">
        <f aca="false">ROUNDUP(MAX(J1756/IF(CD1756&gt;0,CD1756,MAX(0.1,N(Cockpit!$I$6))),CG1756)/BV1756,0)*BV1756</f>
        <v>0</v>
      </c>
      <c r="AU1756" s="51" t="n">
        <f aca="false">IF(AR1756&gt;0,J1756/AR1756,-1)</f>
        <v>-1</v>
      </c>
      <c r="AV1756" s="51" t="str">
        <f aca="false">IF(AND(OR(CC1756="L1",CC1756="L23",CC1756="LIFT"),AR1756&gt;0),SUMIFS($AR$7:$AR$1843,$CC$7:$CC$1843,CC1756,$AU$7:$AU$1843,"&gt;"&amp;AU1756)+SUMIFS($AR$7:$AR$1843,$CC$7:$CC$1843,CC1756,$AU$7:$AU$1843,AU1756,$BT$7:$BT$1843,"&lt;="&amp;BT1756),"")</f>
        <v/>
      </c>
      <c r="AW1756" s="58" t="n">
        <f aca="false">IF(AV1756="",0,MAX(0,MIN(1,(IF(CC1756="L1",Parameter!$H$5,IF(CC1756="L23",Parameter!$H$6+Parameter!$H$7,Parameter!$H$5+Parameter!$H$6+Parameter!$H$7))-(AV1756-AR1756))/AR1756)))</f>
        <v>0</v>
      </c>
      <c r="AX1756" s="50" t="n">
        <f aca="false">IF(LEFT(Cockpit!$O$5,1)="A",H1756,IF(CE1756=1,CF1756,IF(LEFT(Cockpit!$O$5,1)="B",BC1756,MAX(BC1756,H1756))))</f>
        <v>0</v>
      </c>
      <c r="AY1756" s="50" t="n">
        <f aca="false">IF(BW1756=1,0,ROUNDUP(AX1756/BV1756,0))</f>
        <v>0</v>
      </c>
      <c r="AZ1756" s="52" t="n">
        <f aca="false">IF(CL1756&gt;0,CL1756*MAX(1,AX1756/X1756),IF(BW1756=1,IF(AX1756&lt;=0,0,CA1756*MAX(1,IF(H1756&gt;0,AX1756/H1756,1))),IF(R1756&gt;0,AY1756/R1756,0))/MAX(0.1,N(Parameter!$M$21)))</f>
        <v>0</v>
      </c>
      <c r="BA1756" s="50" t="n">
        <f aca="false">AZ1756*BY1756</f>
        <v>0</v>
      </c>
      <c r="BB1756" s="50" t="n">
        <f aca="false">AX1756*G1756</f>
        <v>0</v>
      </c>
      <c r="BC1756" s="50" t="n">
        <f aca="false">ROUNDUP(MAX(J1756/IF(CD1756&gt;0,CD1756,MAX(0.1,N(Cockpit!$O$6))),CG1756)/BV1756,0)*BV1756</f>
        <v>0</v>
      </c>
      <c r="BD1756" s="51" t="n">
        <f aca="false">IF(BA1756&gt;0,J1756/BA1756,-1)</f>
        <v>-1</v>
      </c>
      <c r="BE1756" s="51" t="str">
        <f aca="false">IF(AND(OR(CC1756="L1",CC1756="L23",CC1756="LIFT"),BA1756&gt;0),SUMIFS($BA$7:$BA$1843,$CC$7:$CC$1843,CC1756,$BD$7:$BD$1843,"&gt;"&amp;BD1756)+SUMIFS($BA$7:$BA$1843,$CC$7:$CC$1843,CC1756,$BD$7:$BD$1843,BD1756,$BT$7:$BT$1843,"&lt;="&amp;BT1756),"")</f>
        <v/>
      </c>
      <c r="BF1756" s="58" t="n">
        <f aca="false">IF(BE1756="",0,MAX(0,MIN(1,(IF(CC1756="L1",Parameter!$H$5,IF(CC1756="L23",Parameter!$H$6+Parameter!$H$7,Parameter!$H$5+Parameter!$H$6+Parameter!$H$7))-(BE1756-BA1756))/BA1756)))</f>
        <v>0</v>
      </c>
      <c r="BG1756" s="48" t="str">
        <f aca="false">IF(AI1756&lt;=0,"",IF(CC1756="Aussen","Aussenlager",IF(CC1756="-","Nicht im Lift",IF(AN1756&gt;=1,"Lift",IF(AN1756&lt;=0,"Aussenlager","teilweise")))))</f>
        <v/>
      </c>
      <c r="BH1756" s="48" t="str">
        <f aca="false">IF(AR1756&lt;=0,"",IF(CC1756="Aussen","Aussenlager",IF(CC1756="-","Nicht im Lift",IF(AW1756&gt;=1,"Lift",IF(AW1756&lt;=0,"Aussenlager","teilweise")))))</f>
        <v/>
      </c>
      <c r="BI1756" s="48" t="str">
        <f aca="false">IF(BA1756&lt;=0,"",IF(CC1756="Aussen","Aussenlager",IF(CC1756="-","Nicht im Lift",IF(BF1756&gt;=1,"Lift",IF(BF1756&lt;=0,"Aussenlager","teilweise")))))</f>
        <v/>
      </c>
      <c r="BJ1756" s="48" t="str">
        <f aca="false">IF(A1756="","",IF(BS1756=1,"Neu; ","")&amp;IF(AND(BS1756=0,BN1756&lt;0),"negativer Bestand (Export "&amp;BN1756&amp;"); ","")&amp;IF(J1756&lt;=0,"Kein Verbrauch; ","")&amp;IF(CL1756&gt;0,"Lift "&amp;W1756&amp;" lt. Liftbericht (Fach "&amp;X1756&amp;" Stk); ",IF(BX1756=1,"Gebinde geschätzt ("&amp;T1756&amp;"); ",IF(BW1756=1,"Lose – Tablare geschätzt; ","")))&amp;IF(H1756&gt;AT1756,"Überbestand "&amp;ROUND(H1756-AT1756,0)&amp;" Stk / CHF "&amp;ROUND((H1756-AT1756)*G1756,0)&amp;"; ","")&amp;IF(AND(CE1756=1,CF1756&lt;CG1756),"MAX &lt; MB+LG; ","")&amp;IF(AND(CK1756&gt;0,CJ1756*10&gt;CK1756),"zu hoch für Tablar; ","")&amp;IF(AND(BS1756=0,OR(CE1756=1,AA1756&lt;&gt;"",U1756&lt;&gt;"",V1756&lt;&gt;"",AB1756&lt;&gt;"")),"manuell übersteuert; ","")&amp;IF(AND(BW1756=0,R1756=0),"Gebinde unbekannt / Stellmass fehlt; ","")&amp;IF(AND(BW1756=0,N(V1756)&lt;=0,N(Q1756)&lt;=0),"Menge pro Gebinde fehlt (Ist = 1 Gebinde); ","")&amp;BR1756)</f>
        <v/>
      </c>
      <c r="BK1756" s="48"/>
      <c r="BL1756" s="48"/>
      <c r="BM1756" s="55"/>
      <c r="BN1756" s="50" t="n">
        <f aca="false">N('Neue Artikel'!$D$17)</f>
        <v>0</v>
      </c>
      <c r="BO1756" s="50" t="n">
        <v>0</v>
      </c>
      <c r="BP1756" s="49" t="n">
        <v>0</v>
      </c>
      <c r="BQ1756" s="50" t="n">
        <f aca="false">N('Neue Artikel'!$C$17)/Parameter!$B$18</f>
        <v>0</v>
      </c>
      <c r="BR1756" s="48"/>
      <c r="BS1756" s="53" t="n">
        <v>1</v>
      </c>
      <c r="BT1756" s="53" t="n">
        <v>1756</v>
      </c>
      <c r="BU1756" s="48" t="str">
        <f aca="false">IF(U1756&lt;&gt;"",UPPER(TRIM(U1756)),IF(BX1756=1,UPPER(VLOOKUP(T1756,Parameter!$I$27:$K$29,2,0)),IF(P1756="","LOSE",P1756)))</f>
        <v>LOSE</v>
      </c>
      <c r="BV1756" s="50" t="n">
        <f aca="false">IF(BU1756="LOSE",1,IF(N(V1756)&gt;0,V1756,IF(BX1756=1,MAX(1,N(VLOOKUP(T1756,Parameter!$I$27:$K$29,3,0)),H1756,N(N1756)),IF(N(Q1756)&gt;0,Q1756,MAX(1,H1756)))))</f>
        <v>1</v>
      </c>
      <c r="BW1756" s="53" t="n">
        <f aca="false">IF(BU1756="LOSE",1,0)</f>
        <v>1</v>
      </c>
      <c r="BX1756" s="53" t="n">
        <f aca="false">IF(AND(U1756="",OR(P1756="",P1756="LOSE"),T1756&lt;&gt;"",N(S1756)&lt;=0,ISNUMBER(MATCH(T1756,Parameter!$I$27:$I$29,0))),1,0)</f>
        <v>0</v>
      </c>
      <c r="BY1756" s="53" t="n">
        <f aca="false">IF(CL1756&gt;0,INDEX(Parameter!$H$5:$H$7,W1756)/INDEX(Parameter!$E$5:$E$7,W1756),IF(AND(BW1756=0,N(IFERROR(VLOOKUP(BU1756,'Gebinde-Kategorie'!$A$5:$N$45,14,0),0))&gt;0),VLOOKUP(BU1756,'Gebinde-Kategorie'!$A$5:$N$45,14,0)*10+Parameter!$M$23,Parameter!$M$24))</f>
        <v>235</v>
      </c>
      <c r="BZ1756" s="48" t="str">
        <f aca="false">IF(AND(Parameter!$B$19="Ja",E1756&lt;&gt;"",ISNUMBER(MATCH(E1756,Parameter!$I$35:$I$52,0))),VLOOKUP(E1756,Parameter!$I$35:$J$52,2,0),IFERROR(VLOOKUP(D1756,Parameter!$A$35:$C$64,2,0),"Nein"))</f>
        <v>2+3</v>
      </c>
      <c r="CA1756" s="52" t="n">
        <f aca="false">IF(BW1756=0,0,IF(N(S1756)&gt;0,S1756,IFERROR(VLOOKUP(D1756,Parameter!$A$35:$C$64,3,0)+0,0)))</f>
        <v>0.15</v>
      </c>
      <c r="CB1756" s="48" t="str">
        <f aca="false">IF(AA1756&lt;&gt;"",AA1756,Z1756)</f>
        <v/>
      </c>
      <c r="CC1756" s="48" t="str">
        <f aca="false">IF(OR(CB1756=1,CB1756=2,CB1756=3),IF(Parameter!$E$27="Ja","LIFT",IF(CB1756=1,"L1","L23")),IF(CB1756="Aussen","Aussen","-"))</f>
        <v>-</v>
      </c>
      <c r="CD1756" s="59" t="n">
        <f aca="false">IF(N(AB1756)&gt;0,AB1756,0)</f>
        <v>0</v>
      </c>
      <c r="CE1756" s="53" t="n">
        <f aca="false">IF(ISNUMBER(AE1756),1,0)</f>
        <v>0</v>
      </c>
      <c r="CF1756" s="50" t="n">
        <f aca="false">N(AE1756)</f>
        <v>0</v>
      </c>
      <c r="CG1756" s="50" t="n">
        <f aca="false">N(M1756)+N(N1756)</f>
        <v>0</v>
      </c>
      <c r="CH1756" s="50" t="n">
        <f aca="false">ROUNDUP(H1756/BV1756,0)</f>
        <v>0</v>
      </c>
      <c r="CI1756" s="50" t="n">
        <f aca="false">ROUNDUP(CF1756/BV1756,0)</f>
        <v>0</v>
      </c>
      <c r="CJ1756" s="53" t="n">
        <f aca="false">IF(BW1756=1,0,IFERROR(VLOOKUP(BU1756,'Gebinde-Kategorie'!$A$5:$N$45,5,0)+0,0))</f>
        <v>0</v>
      </c>
      <c r="CK1756" s="53" t="n">
        <f aca="false">IFERROR(IF(OR(CB1756=1,CB1756=2,CB1756=3),N(INDEX(Parameter!$I$5:$I$7,CB1756)),0),0)</f>
        <v>0</v>
      </c>
      <c r="CL1756" s="52" t="n">
        <f aca="false">IF(AND(Parameter!$B$21="Ja",ISNUMBER(W1756),N(X1756)&gt;0),IFERROR(N(INDEX(Parameter!$L$5:$L$7,W1756))*INDEX(Parameter!$E$5:$E$7,W1756)*X1756/SUMIFS($X$7:$X$1843,$W$7:$W$1843,W1756),0),0)</f>
        <v>0</v>
      </c>
    </row>
    <row r="1757" customFormat="false" ht="15" hidden="false" customHeight="false" outlineLevel="0" collapsed="false">
      <c r="A1757" s="48" t="str">
        <f aca="false">IF('Neue Artikel'!$A$18="","",'Neue Artikel'!$A$18&amp;"")</f>
        <v/>
      </c>
      <c r="B1757" s="48" t="str">
        <f aca="false">'Neue Artikel'!$B$18&amp;""</f>
        <v/>
      </c>
      <c r="C1757" s="48"/>
      <c r="D1757" s="48" t="s">
        <v>3019</v>
      </c>
      <c r="E1757" s="48"/>
      <c r="F1757" s="48"/>
      <c r="G1757" s="49" t="n">
        <f aca="false">N('Neue Artikel'!$G$18)</f>
        <v>0</v>
      </c>
      <c r="H1757" s="50" t="n">
        <f aca="false">MAX(0,IF(AND(Parameter!$B$21="Ja",ISNUMBER(Y1757)),Y1757,IF(Parameter!$B$20="Jahresanfang 2025 + Export",BO1757+BN1757,BN1757)))</f>
        <v>0</v>
      </c>
      <c r="I1757" s="50" t="n">
        <f aca="false">H1757*G1757</f>
        <v>0</v>
      </c>
      <c r="J1757" s="50" t="n">
        <f aca="false">BQ1757*Parameter!$B$18</f>
        <v>0</v>
      </c>
      <c r="K1757" s="51"/>
      <c r="L1757" s="52"/>
      <c r="M1757" s="50" t="n">
        <f aca="false">N('Neue Artikel'!$E$18)</f>
        <v>0</v>
      </c>
      <c r="N1757" s="50" t="n">
        <f aca="false">N('Neue Artikel'!$F$18)</f>
        <v>0</v>
      </c>
      <c r="O1757" s="53"/>
      <c r="P1757" s="48" t="str">
        <f aca="false">IF('Neue Artikel'!$H$18="","LOSE",UPPER(TRIM('Neue Artikel'!$H$18)))</f>
        <v>LOSE</v>
      </c>
      <c r="Q1757" s="50" t="n">
        <f aca="false">N('Neue Artikel'!$I$18)</f>
        <v>0</v>
      </c>
      <c r="R1757" s="53" t="n">
        <f aca="false">IF(BW1757=1,0,IFERROR(VLOOKUP(BU1757,'Gebinde-Kategorie'!$A$5:$N$45,13,0)+0,0))</f>
        <v>0</v>
      </c>
      <c r="S1757" s="54"/>
      <c r="T1757" s="55"/>
      <c r="U1757" s="55"/>
      <c r="V1757" s="55"/>
      <c r="W1757" s="48"/>
      <c r="X1757" s="50"/>
      <c r="Y1757" s="50"/>
      <c r="Z1757" s="48" t="str">
        <f aca="false">IF(A1757="","",IF(AND(Parameter!$B$21="Ja",ISNUMBER(W1757)),W1757,IF(BZ1757="2+3",IF(ISNUMBER(SEARCH("grosser Artikel",BR1757)),2,IFERROR(VLOOKUP(BU1757,Parameter!$F$35:$G$64,2,0),2)),IF(OR(BZ1757="Nein",BZ1757=""),"-",BZ1757))))</f>
        <v/>
      </c>
      <c r="AA1757" s="48" t="str">
        <f aca="false">IF('Neue Artikel'!$J$18="","",'Neue Artikel'!$J$18)</f>
        <v/>
      </c>
      <c r="AB1757" s="56"/>
      <c r="AC1757" s="50" t="n">
        <f aca="false">AT1757</f>
        <v>0</v>
      </c>
      <c r="AD1757" s="50" t="n">
        <f aca="false">MAX(AT1757,H1757)</f>
        <v>0</v>
      </c>
      <c r="AE1757" s="57"/>
      <c r="AF1757" s="50" t="n">
        <f aca="false">IF(LEFT(Cockpit!$C$5,1)="A",H1757,IF(CE1757=1,CF1757,IF(LEFT(Cockpit!$C$5,1)="B",AK1757,MAX(AK1757,H1757))))</f>
        <v>0</v>
      </c>
      <c r="AG1757" s="50" t="n">
        <f aca="false">IF(BW1757=1,0,ROUNDUP(AF1757/BV1757,0))</f>
        <v>0</v>
      </c>
      <c r="AH1757" s="52" t="n">
        <f aca="false">IF(CL1757&gt;0,CL1757*MAX(1,AF1757/X1757),IF(BW1757=1,IF(AF1757&lt;=0,0,CA1757*MAX(1,IF(H1757&gt;0,AF1757/H1757,1))),IF(R1757&gt;0,AG1757/R1757,0))/MAX(0.1,N(Parameter!$M$21)))</f>
        <v>0</v>
      </c>
      <c r="AI1757" s="50" t="n">
        <f aca="false">AH1757*BY1757</f>
        <v>0</v>
      </c>
      <c r="AJ1757" s="50" t="n">
        <f aca="false">AF1757*G1757</f>
        <v>0</v>
      </c>
      <c r="AK1757" s="50" t="n">
        <f aca="false">ROUNDUP(MAX(J1757/IF(CD1757&gt;0,CD1757,MAX(0.1,N(Cockpit!$C$6))),CG1757)/BV1757,0)*BV1757</f>
        <v>0</v>
      </c>
      <c r="AL1757" s="51" t="n">
        <f aca="false">IF(AI1757&gt;0,J1757/AI1757,-1)</f>
        <v>-1</v>
      </c>
      <c r="AM1757" s="51" t="str">
        <f aca="false">IF(AND(OR(CC1757="L1",CC1757="L23",CC1757="LIFT"),AI1757&gt;0),SUMIFS($AI$7:$AI$1843,$CC$7:$CC$1843,CC1757,$AL$7:$AL$1843,"&gt;"&amp;AL1757)+SUMIFS($AI$7:$AI$1843,$CC$7:$CC$1843,CC1757,$AL$7:$AL$1843,AL1757,$BT$7:$BT$1843,"&lt;="&amp;BT1757),"")</f>
        <v/>
      </c>
      <c r="AN1757" s="58" t="n">
        <f aca="false">IF(AM1757="",0,MAX(0,MIN(1,(IF(CC1757="L1",Parameter!$H$5,IF(CC1757="L23",Parameter!$H$6+Parameter!$H$7,Parameter!$H$5+Parameter!$H$6+Parameter!$H$7))-(AM1757-AI1757))/AI1757)))</f>
        <v>0</v>
      </c>
      <c r="AO1757" s="50" t="n">
        <f aca="false">IF(LEFT(Cockpit!$I$5,1)="A",H1757,IF(CE1757=1,CF1757,IF(LEFT(Cockpit!$I$5,1)="B",AT1757,MAX(AT1757,H1757))))</f>
        <v>0</v>
      </c>
      <c r="AP1757" s="50" t="n">
        <f aca="false">IF(BW1757=1,0,ROUNDUP(AO1757/BV1757,0))</f>
        <v>0</v>
      </c>
      <c r="AQ1757" s="52" t="n">
        <f aca="false">IF(CL1757&gt;0,CL1757*MAX(1,AO1757/X1757),IF(BW1757=1,IF(AO1757&lt;=0,0,CA1757*MAX(1,IF(H1757&gt;0,AO1757/H1757,1))),IF(R1757&gt;0,AP1757/R1757,0))/MAX(0.1,N(Parameter!$M$21)))</f>
        <v>0</v>
      </c>
      <c r="AR1757" s="50" t="n">
        <f aca="false">AQ1757*BY1757</f>
        <v>0</v>
      </c>
      <c r="AS1757" s="50" t="n">
        <f aca="false">AO1757*G1757</f>
        <v>0</v>
      </c>
      <c r="AT1757" s="50" t="n">
        <f aca="false">ROUNDUP(MAX(J1757/IF(CD1757&gt;0,CD1757,MAX(0.1,N(Cockpit!$I$6))),CG1757)/BV1757,0)*BV1757</f>
        <v>0</v>
      </c>
      <c r="AU1757" s="51" t="n">
        <f aca="false">IF(AR1757&gt;0,J1757/AR1757,-1)</f>
        <v>-1</v>
      </c>
      <c r="AV1757" s="51" t="str">
        <f aca="false">IF(AND(OR(CC1757="L1",CC1757="L23",CC1757="LIFT"),AR1757&gt;0),SUMIFS($AR$7:$AR$1843,$CC$7:$CC$1843,CC1757,$AU$7:$AU$1843,"&gt;"&amp;AU1757)+SUMIFS($AR$7:$AR$1843,$CC$7:$CC$1843,CC1757,$AU$7:$AU$1843,AU1757,$BT$7:$BT$1843,"&lt;="&amp;BT1757),"")</f>
        <v/>
      </c>
      <c r="AW1757" s="58" t="n">
        <f aca="false">IF(AV1757="",0,MAX(0,MIN(1,(IF(CC1757="L1",Parameter!$H$5,IF(CC1757="L23",Parameter!$H$6+Parameter!$H$7,Parameter!$H$5+Parameter!$H$6+Parameter!$H$7))-(AV1757-AR1757))/AR1757)))</f>
        <v>0</v>
      </c>
      <c r="AX1757" s="50" t="n">
        <f aca="false">IF(LEFT(Cockpit!$O$5,1)="A",H1757,IF(CE1757=1,CF1757,IF(LEFT(Cockpit!$O$5,1)="B",BC1757,MAX(BC1757,H1757))))</f>
        <v>0</v>
      </c>
      <c r="AY1757" s="50" t="n">
        <f aca="false">IF(BW1757=1,0,ROUNDUP(AX1757/BV1757,0))</f>
        <v>0</v>
      </c>
      <c r="AZ1757" s="52" t="n">
        <f aca="false">IF(CL1757&gt;0,CL1757*MAX(1,AX1757/X1757),IF(BW1757=1,IF(AX1757&lt;=0,0,CA1757*MAX(1,IF(H1757&gt;0,AX1757/H1757,1))),IF(R1757&gt;0,AY1757/R1757,0))/MAX(0.1,N(Parameter!$M$21)))</f>
        <v>0</v>
      </c>
      <c r="BA1757" s="50" t="n">
        <f aca="false">AZ1757*BY1757</f>
        <v>0</v>
      </c>
      <c r="BB1757" s="50" t="n">
        <f aca="false">AX1757*G1757</f>
        <v>0</v>
      </c>
      <c r="BC1757" s="50" t="n">
        <f aca="false">ROUNDUP(MAX(J1757/IF(CD1757&gt;0,CD1757,MAX(0.1,N(Cockpit!$O$6))),CG1757)/BV1757,0)*BV1757</f>
        <v>0</v>
      </c>
      <c r="BD1757" s="51" t="n">
        <f aca="false">IF(BA1757&gt;0,J1757/BA1757,-1)</f>
        <v>-1</v>
      </c>
      <c r="BE1757" s="51" t="str">
        <f aca="false">IF(AND(OR(CC1757="L1",CC1757="L23",CC1757="LIFT"),BA1757&gt;0),SUMIFS($BA$7:$BA$1843,$CC$7:$CC$1843,CC1757,$BD$7:$BD$1843,"&gt;"&amp;BD1757)+SUMIFS($BA$7:$BA$1843,$CC$7:$CC$1843,CC1757,$BD$7:$BD$1843,BD1757,$BT$7:$BT$1843,"&lt;="&amp;BT1757),"")</f>
        <v/>
      </c>
      <c r="BF1757" s="58" t="n">
        <f aca="false">IF(BE1757="",0,MAX(0,MIN(1,(IF(CC1757="L1",Parameter!$H$5,IF(CC1757="L23",Parameter!$H$6+Parameter!$H$7,Parameter!$H$5+Parameter!$H$6+Parameter!$H$7))-(BE1757-BA1757))/BA1757)))</f>
        <v>0</v>
      </c>
      <c r="BG1757" s="48" t="str">
        <f aca="false">IF(AI1757&lt;=0,"",IF(CC1757="Aussen","Aussenlager",IF(CC1757="-","Nicht im Lift",IF(AN1757&gt;=1,"Lift",IF(AN1757&lt;=0,"Aussenlager","teilweise")))))</f>
        <v/>
      </c>
      <c r="BH1757" s="48" t="str">
        <f aca="false">IF(AR1757&lt;=0,"",IF(CC1757="Aussen","Aussenlager",IF(CC1757="-","Nicht im Lift",IF(AW1757&gt;=1,"Lift",IF(AW1757&lt;=0,"Aussenlager","teilweise")))))</f>
        <v/>
      </c>
      <c r="BI1757" s="48" t="str">
        <f aca="false">IF(BA1757&lt;=0,"",IF(CC1757="Aussen","Aussenlager",IF(CC1757="-","Nicht im Lift",IF(BF1757&gt;=1,"Lift",IF(BF1757&lt;=0,"Aussenlager","teilweise")))))</f>
        <v/>
      </c>
      <c r="BJ1757" s="48" t="str">
        <f aca="false">IF(A1757="","",IF(BS1757=1,"Neu; ","")&amp;IF(AND(BS1757=0,BN1757&lt;0),"negativer Bestand (Export "&amp;BN1757&amp;"); ","")&amp;IF(J1757&lt;=0,"Kein Verbrauch; ","")&amp;IF(CL1757&gt;0,"Lift "&amp;W1757&amp;" lt. Liftbericht (Fach "&amp;X1757&amp;" Stk); ",IF(BX1757=1,"Gebinde geschätzt ("&amp;T1757&amp;"); ",IF(BW1757=1,"Lose – Tablare geschätzt; ","")))&amp;IF(H1757&gt;AT1757,"Überbestand "&amp;ROUND(H1757-AT1757,0)&amp;" Stk / CHF "&amp;ROUND((H1757-AT1757)*G1757,0)&amp;"; ","")&amp;IF(AND(CE1757=1,CF1757&lt;CG1757),"MAX &lt; MB+LG; ","")&amp;IF(AND(CK1757&gt;0,CJ1757*10&gt;CK1757),"zu hoch für Tablar; ","")&amp;IF(AND(BS1757=0,OR(CE1757=1,AA1757&lt;&gt;"",U1757&lt;&gt;"",V1757&lt;&gt;"",AB1757&lt;&gt;"")),"manuell übersteuert; ","")&amp;IF(AND(BW1757=0,R1757=0),"Gebinde unbekannt / Stellmass fehlt; ","")&amp;IF(AND(BW1757=0,N(V1757)&lt;=0,N(Q1757)&lt;=0),"Menge pro Gebinde fehlt (Ist = 1 Gebinde); ","")&amp;BR1757)</f>
        <v/>
      </c>
      <c r="BK1757" s="48"/>
      <c r="BL1757" s="48"/>
      <c r="BM1757" s="55"/>
      <c r="BN1757" s="50" t="n">
        <f aca="false">N('Neue Artikel'!$D$18)</f>
        <v>0</v>
      </c>
      <c r="BO1757" s="50" t="n">
        <v>0</v>
      </c>
      <c r="BP1757" s="49" t="n">
        <v>0</v>
      </c>
      <c r="BQ1757" s="50" t="n">
        <f aca="false">N('Neue Artikel'!$C$18)/Parameter!$B$18</f>
        <v>0</v>
      </c>
      <c r="BR1757" s="48"/>
      <c r="BS1757" s="53" t="n">
        <v>1</v>
      </c>
      <c r="BT1757" s="53" t="n">
        <v>1757</v>
      </c>
      <c r="BU1757" s="48" t="str">
        <f aca="false">IF(U1757&lt;&gt;"",UPPER(TRIM(U1757)),IF(BX1757=1,UPPER(VLOOKUP(T1757,Parameter!$I$27:$K$29,2,0)),IF(P1757="","LOSE",P1757)))</f>
        <v>LOSE</v>
      </c>
      <c r="BV1757" s="50" t="n">
        <f aca="false">IF(BU1757="LOSE",1,IF(N(V1757)&gt;0,V1757,IF(BX1757=1,MAX(1,N(VLOOKUP(T1757,Parameter!$I$27:$K$29,3,0)),H1757,N(N1757)),IF(N(Q1757)&gt;0,Q1757,MAX(1,H1757)))))</f>
        <v>1</v>
      </c>
      <c r="BW1757" s="53" t="n">
        <f aca="false">IF(BU1757="LOSE",1,0)</f>
        <v>1</v>
      </c>
      <c r="BX1757" s="53" t="n">
        <f aca="false">IF(AND(U1757="",OR(P1757="",P1757="LOSE"),T1757&lt;&gt;"",N(S1757)&lt;=0,ISNUMBER(MATCH(T1757,Parameter!$I$27:$I$29,0))),1,0)</f>
        <v>0</v>
      </c>
      <c r="BY1757" s="53" t="n">
        <f aca="false">IF(CL1757&gt;0,INDEX(Parameter!$H$5:$H$7,W1757)/INDEX(Parameter!$E$5:$E$7,W1757),IF(AND(BW1757=0,N(IFERROR(VLOOKUP(BU1757,'Gebinde-Kategorie'!$A$5:$N$45,14,0),0))&gt;0),VLOOKUP(BU1757,'Gebinde-Kategorie'!$A$5:$N$45,14,0)*10+Parameter!$M$23,Parameter!$M$24))</f>
        <v>235</v>
      </c>
      <c r="BZ1757" s="48" t="str">
        <f aca="false">IF(AND(Parameter!$B$19="Ja",E1757&lt;&gt;"",ISNUMBER(MATCH(E1757,Parameter!$I$35:$I$52,0))),VLOOKUP(E1757,Parameter!$I$35:$J$52,2,0),IFERROR(VLOOKUP(D1757,Parameter!$A$35:$C$64,2,0),"Nein"))</f>
        <v>2+3</v>
      </c>
      <c r="CA1757" s="52" t="n">
        <f aca="false">IF(BW1757=0,0,IF(N(S1757)&gt;0,S1757,IFERROR(VLOOKUP(D1757,Parameter!$A$35:$C$64,3,0)+0,0)))</f>
        <v>0.15</v>
      </c>
      <c r="CB1757" s="48" t="str">
        <f aca="false">IF(AA1757&lt;&gt;"",AA1757,Z1757)</f>
        <v/>
      </c>
      <c r="CC1757" s="48" t="str">
        <f aca="false">IF(OR(CB1757=1,CB1757=2,CB1757=3),IF(Parameter!$E$27="Ja","LIFT",IF(CB1757=1,"L1","L23")),IF(CB1757="Aussen","Aussen","-"))</f>
        <v>-</v>
      </c>
      <c r="CD1757" s="59" t="n">
        <f aca="false">IF(N(AB1757)&gt;0,AB1757,0)</f>
        <v>0</v>
      </c>
      <c r="CE1757" s="53" t="n">
        <f aca="false">IF(ISNUMBER(AE1757),1,0)</f>
        <v>0</v>
      </c>
      <c r="CF1757" s="50" t="n">
        <f aca="false">N(AE1757)</f>
        <v>0</v>
      </c>
      <c r="CG1757" s="50" t="n">
        <f aca="false">N(M1757)+N(N1757)</f>
        <v>0</v>
      </c>
      <c r="CH1757" s="50" t="n">
        <f aca="false">ROUNDUP(H1757/BV1757,0)</f>
        <v>0</v>
      </c>
      <c r="CI1757" s="50" t="n">
        <f aca="false">ROUNDUP(CF1757/BV1757,0)</f>
        <v>0</v>
      </c>
      <c r="CJ1757" s="53" t="n">
        <f aca="false">IF(BW1757=1,0,IFERROR(VLOOKUP(BU1757,'Gebinde-Kategorie'!$A$5:$N$45,5,0)+0,0))</f>
        <v>0</v>
      </c>
      <c r="CK1757" s="53" t="n">
        <f aca="false">IFERROR(IF(OR(CB1757=1,CB1757=2,CB1757=3),N(INDEX(Parameter!$I$5:$I$7,CB1757)),0),0)</f>
        <v>0</v>
      </c>
      <c r="CL1757" s="52" t="n">
        <f aca="false">IF(AND(Parameter!$B$21="Ja",ISNUMBER(W1757),N(X1757)&gt;0),IFERROR(N(INDEX(Parameter!$L$5:$L$7,W1757))*INDEX(Parameter!$E$5:$E$7,W1757)*X1757/SUMIFS($X$7:$X$1843,$W$7:$W$1843,W1757),0),0)</f>
        <v>0</v>
      </c>
    </row>
    <row r="1758" customFormat="false" ht="15" hidden="false" customHeight="false" outlineLevel="0" collapsed="false">
      <c r="A1758" s="48" t="str">
        <f aca="false">IF('Neue Artikel'!$A$19="","",'Neue Artikel'!$A$19&amp;"")</f>
        <v/>
      </c>
      <c r="B1758" s="48" t="str">
        <f aca="false">'Neue Artikel'!$B$19&amp;""</f>
        <v/>
      </c>
      <c r="C1758" s="48"/>
      <c r="D1758" s="48" t="s">
        <v>3019</v>
      </c>
      <c r="E1758" s="48"/>
      <c r="F1758" s="48"/>
      <c r="G1758" s="49" t="n">
        <f aca="false">N('Neue Artikel'!$G$19)</f>
        <v>0</v>
      </c>
      <c r="H1758" s="50" t="n">
        <f aca="false">MAX(0,IF(AND(Parameter!$B$21="Ja",ISNUMBER(Y1758)),Y1758,IF(Parameter!$B$20="Jahresanfang 2025 + Export",BO1758+BN1758,BN1758)))</f>
        <v>0</v>
      </c>
      <c r="I1758" s="50" t="n">
        <f aca="false">H1758*G1758</f>
        <v>0</v>
      </c>
      <c r="J1758" s="50" t="n">
        <f aca="false">BQ1758*Parameter!$B$18</f>
        <v>0</v>
      </c>
      <c r="K1758" s="51"/>
      <c r="L1758" s="52"/>
      <c r="M1758" s="50" t="n">
        <f aca="false">N('Neue Artikel'!$E$19)</f>
        <v>0</v>
      </c>
      <c r="N1758" s="50" t="n">
        <f aca="false">N('Neue Artikel'!$F$19)</f>
        <v>0</v>
      </c>
      <c r="O1758" s="53"/>
      <c r="P1758" s="48" t="str">
        <f aca="false">IF('Neue Artikel'!$H$19="","LOSE",UPPER(TRIM('Neue Artikel'!$H$19)))</f>
        <v>LOSE</v>
      </c>
      <c r="Q1758" s="50" t="n">
        <f aca="false">N('Neue Artikel'!$I$19)</f>
        <v>0</v>
      </c>
      <c r="R1758" s="53" t="n">
        <f aca="false">IF(BW1758=1,0,IFERROR(VLOOKUP(BU1758,'Gebinde-Kategorie'!$A$5:$N$45,13,0)+0,0))</f>
        <v>0</v>
      </c>
      <c r="S1758" s="54"/>
      <c r="T1758" s="55"/>
      <c r="U1758" s="55"/>
      <c r="V1758" s="55"/>
      <c r="W1758" s="48"/>
      <c r="X1758" s="50"/>
      <c r="Y1758" s="50"/>
      <c r="Z1758" s="48" t="str">
        <f aca="false">IF(A1758="","",IF(AND(Parameter!$B$21="Ja",ISNUMBER(W1758)),W1758,IF(BZ1758="2+3",IF(ISNUMBER(SEARCH("grosser Artikel",BR1758)),2,IFERROR(VLOOKUP(BU1758,Parameter!$F$35:$G$64,2,0),2)),IF(OR(BZ1758="Nein",BZ1758=""),"-",BZ1758))))</f>
        <v/>
      </c>
      <c r="AA1758" s="48" t="str">
        <f aca="false">IF('Neue Artikel'!$J$19="","",'Neue Artikel'!$J$19)</f>
        <v/>
      </c>
      <c r="AB1758" s="56"/>
      <c r="AC1758" s="50" t="n">
        <f aca="false">AT1758</f>
        <v>0</v>
      </c>
      <c r="AD1758" s="50" t="n">
        <f aca="false">MAX(AT1758,H1758)</f>
        <v>0</v>
      </c>
      <c r="AE1758" s="57"/>
      <c r="AF1758" s="50" t="n">
        <f aca="false">IF(LEFT(Cockpit!$C$5,1)="A",H1758,IF(CE1758=1,CF1758,IF(LEFT(Cockpit!$C$5,1)="B",AK1758,MAX(AK1758,H1758))))</f>
        <v>0</v>
      </c>
      <c r="AG1758" s="50" t="n">
        <f aca="false">IF(BW1758=1,0,ROUNDUP(AF1758/BV1758,0))</f>
        <v>0</v>
      </c>
      <c r="AH1758" s="52" t="n">
        <f aca="false">IF(CL1758&gt;0,CL1758*MAX(1,AF1758/X1758),IF(BW1758=1,IF(AF1758&lt;=0,0,CA1758*MAX(1,IF(H1758&gt;0,AF1758/H1758,1))),IF(R1758&gt;0,AG1758/R1758,0))/MAX(0.1,N(Parameter!$M$21)))</f>
        <v>0</v>
      </c>
      <c r="AI1758" s="50" t="n">
        <f aca="false">AH1758*BY1758</f>
        <v>0</v>
      </c>
      <c r="AJ1758" s="50" t="n">
        <f aca="false">AF1758*G1758</f>
        <v>0</v>
      </c>
      <c r="AK1758" s="50" t="n">
        <f aca="false">ROUNDUP(MAX(J1758/IF(CD1758&gt;0,CD1758,MAX(0.1,N(Cockpit!$C$6))),CG1758)/BV1758,0)*BV1758</f>
        <v>0</v>
      </c>
      <c r="AL1758" s="51" t="n">
        <f aca="false">IF(AI1758&gt;0,J1758/AI1758,-1)</f>
        <v>-1</v>
      </c>
      <c r="AM1758" s="51" t="str">
        <f aca="false">IF(AND(OR(CC1758="L1",CC1758="L23",CC1758="LIFT"),AI1758&gt;0),SUMIFS($AI$7:$AI$1843,$CC$7:$CC$1843,CC1758,$AL$7:$AL$1843,"&gt;"&amp;AL1758)+SUMIFS($AI$7:$AI$1843,$CC$7:$CC$1843,CC1758,$AL$7:$AL$1843,AL1758,$BT$7:$BT$1843,"&lt;="&amp;BT1758),"")</f>
        <v/>
      </c>
      <c r="AN1758" s="58" t="n">
        <f aca="false">IF(AM1758="",0,MAX(0,MIN(1,(IF(CC1758="L1",Parameter!$H$5,IF(CC1758="L23",Parameter!$H$6+Parameter!$H$7,Parameter!$H$5+Parameter!$H$6+Parameter!$H$7))-(AM1758-AI1758))/AI1758)))</f>
        <v>0</v>
      </c>
      <c r="AO1758" s="50" t="n">
        <f aca="false">IF(LEFT(Cockpit!$I$5,1)="A",H1758,IF(CE1758=1,CF1758,IF(LEFT(Cockpit!$I$5,1)="B",AT1758,MAX(AT1758,H1758))))</f>
        <v>0</v>
      </c>
      <c r="AP1758" s="50" t="n">
        <f aca="false">IF(BW1758=1,0,ROUNDUP(AO1758/BV1758,0))</f>
        <v>0</v>
      </c>
      <c r="AQ1758" s="52" t="n">
        <f aca="false">IF(CL1758&gt;0,CL1758*MAX(1,AO1758/X1758),IF(BW1758=1,IF(AO1758&lt;=0,0,CA1758*MAX(1,IF(H1758&gt;0,AO1758/H1758,1))),IF(R1758&gt;0,AP1758/R1758,0))/MAX(0.1,N(Parameter!$M$21)))</f>
        <v>0</v>
      </c>
      <c r="AR1758" s="50" t="n">
        <f aca="false">AQ1758*BY1758</f>
        <v>0</v>
      </c>
      <c r="AS1758" s="50" t="n">
        <f aca="false">AO1758*G1758</f>
        <v>0</v>
      </c>
      <c r="AT1758" s="50" t="n">
        <f aca="false">ROUNDUP(MAX(J1758/IF(CD1758&gt;0,CD1758,MAX(0.1,N(Cockpit!$I$6))),CG1758)/BV1758,0)*BV1758</f>
        <v>0</v>
      </c>
      <c r="AU1758" s="51" t="n">
        <f aca="false">IF(AR1758&gt;0,J1758/AR1758,-1)</f>
        <v>-1</v>
      </c>
      <c r="AV1758" s="51" t="str">
        <f aca="false">IF(AND(OR(CC1758="L1",CC1758="L23",CC1758="LIFT"),AR1758&gt;0),SUMIFS($AR$7:$AR$1843,$CC$7:$CC$1843,CC1758,$AU$7:$AU$1843,"&gt;"&amp;AU1758)+SUMIFS($AR$7:$AR$1843,$CC$7:$CC$1843,CC1758,$AU$7:$AU$1843,AU1758,$BT$7:$BT$1843,"&lt;="&amp;BT1758),"")</f>
        <v/>
      </c>
      <c r="AW1758" s="58" t="n">
        <f aca="false">IF(AV1758="",0,MAX(0,MIN(1,(IF(CC1758="L1",Parameter!$H$5,IF(CC1758="L23",Parameter!$H$6+Parameter!$H$7,Parameter!$H$5+Parameter!$H$6+Parameter!$H$7))-(AV1758-AR1758))/AR1758)))</f>
        <v>0</v>
      </c>
      <c r="AX1758" s="50" t="n">
        <f aca="false">IF(LEFT(Cockpit!$O$5,1)="A",H1758,IF(CE1758=1,CF1758,IF(LEFT(Cockpit!$O$5,1)="B",BC1758,MAX(BC1758,H1758))))</f>
        <v>0</v>
      </c>
      <c r="AY1758" s="50" t="n">
        <f aca="false">IF(BW1758=1,0,ROUNDUP(AX1758/BV1758,0))</f>
        <v>0</v>
      </c>
      <c r="AZ1758" s="52" t="n">
        <f aca="false">IF(CL1758&gt;0,CL1758*MAX(1,AX1758/X1758),IF(BW1758=1,IF(AX1758&lt;=0,0,CA1758*MAX(1,IF(H1758&gt;0,AX1758/H1758,1))),IF(R1758&gt;0,AY1758/R1758,0))/MAX(0.1,N(Parameter!$M$21)))</f>
        <v>0</v>
      </c>
      <c r="BA1758" s="50" t="n">
        <f aca="false">AZ1758*BY1758</f>
        <v>0</v>
      </c>
      <c r="BB1758" s="50" t="n">
        <f aca="false">AX1758*G1758</f>
        <v>0</v>
      </c>
      <c r="BC1758" s="50" t="n">
        <f aca="false">ROUNDUP(MAX(J1758/IF(CD1758&gt;0,CD1758,MAX(0.1,N(Cockpit!$O$6))),CG1758)/BV1758,0)*BV1758</f>
        <v>0</v>
      </c>
      <c r="BD1758" s="51" t="n">
        <f aca="false">IF(BA1758&gt;0,J1758/BA1758,-1)</f>
        <v>-1</v>
      </c>
      <c r="BE1758" s="51" t="str">
        <f aca="false">IF(AND(OR(CC1758="L1",CC1758="L23",CC1758="LIFT"),BA1758&gt;0),SUMIFS($BA$7:$BA$1843,$CC$7:$CC$1843,CC1758,$BD$7:$BD$1843,"&gt;"&amp;BD1758)+SUMIFS($BA$7:$BA$1843,$CC$7:$CC$1843,CC1758,$BD$7:$BD$1843,BD1758,$BT$7:$BT$1843,"&lt;="&amp;BT1758),"")</f>
        <v/>
      </c>
      <c r="BF1758" s="58" t="n">
        <f aca="false">IF(BE1758="",0,MAX(0,MIN(1,(IF(CC1758="L1",Parameter!$H$5,IF(CC1758="L23",Parameter!$H$6+Parameter!$H$7,Parameter!$H$5+Parameter!$H$6+Parameter!$H$7))-(BE1758-BA1758))/BA1758)))</f>
        <v>0</v>
      </c>
      <c r="BG1758" s="48" t="str">
        <f aca="false">IF(AI1758&lt;=0,"",IF(CC1758="Aussen","Aussenlager",IF(CC1758="-","Nicht im Lift",IF(AN1758&gt;=1,"Lift",IF(AN1758&lt;=0,"Aussenlager","teilweise")))))</f>
        <v/>
      </c>
      <c r="BH1758" s="48" t="str">
        <f aca="false">IF(AR1758&lt;=0,"",IF(CC1758="Aussen","Aussenlager",IF(CC1758="-","Nicht im Lift",IF(AW1758&gt;=1,"Lift",IF(AW1758&lt;=0,"Aussenlager","teilweise")))))</f>
        <v/>
      </c>
      <c r="BI1758" s="48" t="str">
        <f aca="false">IF(BA1758&lt;=0,"",IF(CC1758="Aussen","Aussenlager",IF(CC1758="-","Nicht im Lift",IF(BF1758&gt;=1,"Lift",IF(BF1758&lt;=0,"Aussenlager","teilweise")))))</f>
        <v/>
      </c>
      <c r="BJ1758" s="48" t="str">
        <f aca="false">IF(A1758="","",IF(BS1758=1,"Neu; ","")&amp;IF(AND(BS1758=0,BN1758&lt;0),"negativer Bestand (Export "&amp;BN1758&amp;"); ","")&amp;IF(J1758&lt;=0,"Kein Verbrauch; ","")&amp;IF(CL1758&gt;0,"Lift "&amp;W1758&amp;" lt. Liftbericht (Fach "&amp;X1758&amp;" Stk); ",IF(BX1758=1,"Gebinde geschätzt ("&amp;T1758&amp;"); ",IF(BW1758=1,"Lose – Tablare geschätzt; ","")))&amp;IF(H1758&gt;AT1758,"Überbestand "&amp;ROUND(H1758-AT1758,0)&amp;" Stk / CHF "&amp;ROUND((H1758-AT1758)*G1758,0)&amp;"; ","")&amp;IF(AND(CE1758=1,CF1758&lt;CG1758),"MAX &lt; MB+LG; ","")&amp;IF(AND(CK1758&gt;0,CJ1758*10&gt;CK1758),"zu hoch für Tablar; ","")&amp;IF(AND(BS1758=0,OR(CE1758=1,AA1758&lt;&gt;"",U1758&lt;&gt;"",V1758&lt;&gt;"",AB1758&lt;&gt;"")),"manuell übersteuert; ","")&amp;IF(AND(BW1758=0,R1758=0),"Gebinde unbekannt / Stellmass fehlt; ","")&amp;IF(AND(BW1758=0,N(V1758)&lt;=0,N(Q1758)&lt;=0),"Menge pro Gebinde fehlt (Ist = 1 Gebinde); ","")&amp;BR1758)</f>
        <v/>
      </c>
      <c r="BK1758" s="48"/>
      <c r="BL1758" s="48"/>
      <c r="BM1758" s="55"/>
      <c r="BN1758" s="50" t="n">
        <f aca="false">N('Neue Artikel'!$D$19)</f>
        <v>0</v>
      </c>
      <c r="BO1758" s="50" t="n">
        <v>0</v>
      </c>
      <c r="BP1758" s="49" t="n">
        <v>0</v>
      </c>
      <c r="BQ1758" s="50" t="n">
        <f aca="false">N('Neue Artikel'!$C$19)/Parameter!$B$18</f>
        <v>0</v>
      </c>
      <c r="BR1758" s="48"/>
      <c r="BS1758" s="53" t="n">
        <v>1</v>
      </c>
      <c r="BT1758" s="53" t="n">
        <v>1758</v>
      </c>
      <c r="BU1758" s="48" t="str">
        <f aca="false">IF(U1758&lt;&gt;"",UPPER(TRIM(U1758)),IF(BX1758=1,UPPER(VLOOKUP(T1758,Parameter!$I$27:$K$29,2,0)),IF(P1758="","LOSE",P1758)))</f>
        <v>LOSE</v>
      </c>
      <c r="BV1758" s="50" t="n">
        <f aca="false">IF(BU1758="LOSE",1,IF(N(V1758)&gt;0,V1758,IF(BX1758=1,MAX(1,N(VLOOKUP(T1758,Parameter!$I$27:$K$29,3,0)),H1758,N(N1758)),IF(N(Q1758)&gt;0,Q1758,MAX(1,H1758)))))</f>
        <v>1</v>
      </c>
      <c r="BW1758" s="53" t="n">
        <f aca="false">IF(BU1758="LOSE",1,0)</f>
        <v>1</v>
      </c>
      <c r="BX1758" s="53" t="n">
        <f aca="false">IF(AND(U1758="",OR(P1758="",P1758="LOSE"),T1758&lt;&gt;"",N(S1758)&lt;=0,ISNUMBER(MATCH(T1758,Parameter!$I$27:$I$29,0))),1,0)</f>
        <v>0</v>
      </c>
      <c r="BY1758" s="53" t="n">
        <f aca="false">IF(CL1758&gt;0,INDEX(Parameter!$H$5:$H$7,W1758)/INDEX(Parameter!$E$5:$E$7,W1758),IF(AND(BW1758=0,N(IFERROR(VLOOKUP(BU1758,'Gebinde-Kategorie'!$A$5:$N$45,14,0),0))&gt;0),VLOOKUP(BU1758,'Gebinde-Kategorie'!$A$5:$N$45,14,0)*10+Parameter!$M$23,Parameter!$M$24))</f>
        <v>235</v>
      </c>
      <c r="BZ1758" s="48" t="str">
        <f aca="false">IF(AND(Parameter!$B$19="Ja",E1758&lt;&gt;"",ISNUMBER(MATCH(E1758,Parameter!$I$35:$I$52,0))),VLOOKUP(E1758,Parameter!$I$35:$J$52,2,0),IFERROR(VLOOKUP(D1758,Parameter!$A$35:$C$64,2,0),"Nein"))</f>
        <v>2+3</v>
      </c>
      <c r="CA1758" s="52" t="n">
        <f aca="false">IF(BW1758=0,0,IF(N(S1758)&gt;0,S1758,IFERROR(VLOOKUP(D1758,Parameter!$A$35:$C$64,3,0)+0,0)))</f>
        <v>0.15</v>
      </c>
      <c r="CB1758" s="48" t="str">
        <f aca="false">IF(AA1758&lt;&gt;"",AA1758,Z1758)</f>
        <v/>
      </c>
      <c r="CC1758" s="48" t="str">
        <f aca="false">IF(OR(CB1758=1,CB1758=2,CB1758=3),IF(Parameter!$E$27="Ja","LIFT",IF(CB1758=1,"L1","L23")),IF(CB1758="Aussen","Aussen","-"))</f>
        <v>-</v>
      </c>
      <c r="CD1758" s="59" t="n">
        <f aca="false">IF(N(AB1758)&gt;0,AB1758,0)</f>
        <v>0</v>
      </c>
      <c r="CE1758" s="53" t="n">
        <f aca="false">IF(ISNUMBER(AE1758),1,0)</f>
        <v>0</v>
      </c>
      <c r="CF1758" s="50" t="n">
        <f aca="false">N(AE1758)</f>
        <v>0</v>
      </c>
      <c r="CG1758" s="50" t="n">
        <f aca="false">N(M1758)+N(N1758)</f>
        <v>0</v>
      </c>
      <c r="CH1758" s="50" t="n">
        <f aca="false">ROUNDUP(H1758/BV1758,0)</f>
        <v>0</v>
      </c>
      <c r="CI1758" s="50" t="n">
        <f aca="false">ROUNDUP(CF1758/BV1758,0)</f>
        <v>0</v>
      </c>
      <c r="CJ1758" s="53" t="n">
        <f aca="false">IF(BW1758=1,0,IFERROR(VLOOKUP(BU1758,'Gebinde-Kategorie'!$A$5:$N$45,5,0)+0,0))</f>
        <v>0</v>
      </c>
      <c r="CK1758" s="53" t="n">
        <f aca="false">IFERROR(IF(OR(CB1758=1,CB1758=2,CB1758=3),N(INDEX(Parameter!$I$5:$I$7,CB1758)),0),0)</f>
        <v>0</v>
      </c>
      <c r="CL1758" s="52" t="n">
        <f aca="false">IF(AND(Parameter!$B$21="Ja",ISNUMBER(W1758),N(X1758)&gt;0),IFERROR(N(INDEX(Parameter!$L$5:$L$7,W1758))*INDEX(Parameter!$E$5:$E$7,W1758)*X1758/SUMIFS($X$7:$X$1843,$W$7:$W$1843,W1758),0),0)</f>
        <v>0</v>
      </c>
    </row>
    <row r="1759" customFormat="false" ht="15" hidden="false" customHeight="false" outlineLevel="0" collapsed="false">
      <c r="A1759" s="48" t="str">
        <f aca="false">IF('Neue Artikel'!$A$20="","",'Neue Artikel'!$A$20&amp;"")</f>
        <v/>
      </c>
      <c r="B1759" s="48" t="str">
        <f aca="false">'Neue Artikel'!$B$20&amp;""</f>
        <v/>
      </c>
      <c r="C1759" s="48"/>
      <c r="D1759" s="48" t="s">
        <v>3019</v>
      </c>
      <c r="E1759" s="48"/>
      <c r="F1759" s="48"/>
      <c r="G1759" s="49" t="n">
        <f aca="false">N('Neue Artikel'!$G$20)</f>
        <v>0</v>
      </c>
      <c r="H1759" s="50" t="n">
        <f aca="false">MAX(0,IF(AND(Parameter!$B$21="Ja",ISNUMBER(Y1759)),Y1759,IF(Parameter!$B$20="Jahresanfang 2025 + Export",BO1759+BN1759,BN1759)))</f>
        <v>0</v>
      </c>
      <c r="I1759" s="50" t="n">
        <f aca="false">H1759*G1759</f>
        <v>0</v>
      </c>
      <c r="J1759" s="50" t="n">
        <f aca="false">BQ1759*Parameter!$B$18</f>
        <v>0</v>
      </c>
      <c r="K1759" s="51"/>
      <c r="L1759" s="52"/>
      <c r="M1759" s="50" t="n">
        <f aca="false">N('Neue Artikel'!$E$20)</f>
        <v>0</v>
      </c>
      <c r="N1759" s="50" t="n">
        <f aca="false">N('Neue Artikel'!$F$20)</f>
        <v>0</v>
      </c>
      <c r="O1759" s="53"/>
      <c r="P1759" s="48" t="str">
        <f aca="false">IF('Neue Artikel'!$H$20="","LOSE",UPPER(TRIM('Neue Artikel'!$H$20)))</f>
        <v>LOSE</v>
      </c>
      <c r="Q1759" s="50" t="n">
        <f aca="false">N('Neue Artikel'!$I$20)</f>
        <v>0</v>
      </c>
      <c r="R1759" s="53" t="n">
        <f aca="false">IF(BW1759=1,0,IFERROR(VLOOKUP(BU1759,'Gebinde-Kategorie'!$A$5:$N$45,13,0)+0,0))</f>
        <v>0</v>
      </c>
      <c r="S1759" s="54"/>
      <c r="T1759" s="55"/>
      <c r="U1759" s="55"/>
      <c r="V1759" s="55"/>
      <c r="W1759" s="48"/>
      <c r="X1759" s="50"/>
      <c r="Y1759" s="50"/>
      <c r="Z1759" s="48" t="str">
        <f aca="false">IF(A1759="","",IF(AND(Parameter!$B$21="Ja",ISNUMBER(W1759)),W1759,IF(BZ1759="2+3",IF(ISNUMBER(SEARCH("grosser Artikel",BR1759)),2,IFERROR(VLOOKUP(BU1759,Parameter!$F$35:$G$64,2,0),2)),IF(OR(BZ1759="Nein",BZ1759=""),"-",BZ1759))))</f>
        <v/>
      </c>
      <c r="AA1759" s="48" t="str">
        <f aca="false">IF('Neue Artikel'!$J$20="","",'Neue Artikel'!$J$20)</f>
        <v/>
      </c>
      <c r="AB1759" s="56"/>
      <c r="AC1759" s="50" t="n">
        <f aca="false">AT1759</f>
        <v>0</v>
      </c>
      <c r="AD1759" s="50" t="n">
        <f aca="false">MAX(AT1759,H1759)</f>
        <v>0</v>
      </c>
      <c r="AE1759" s="57"/>
      <c r="AF1759" s="50" t="n">
        <f aca="false">IF(LEFT(Cockpit!$C$5,1)="A",H1759,IF(CE1759=1,CF1759,IF(LEFT(Cockpit!$C$5,1)="B",AK1759,MAX(AK1759,H1759))))</f>
        <v>0</v>
      </c>
      <c r="AG1759" s="50" t="n">
        <f aca="false">IF(BW1759=1,0,ROUNDUP(AF1759/BV1759,0))</f>
        <v>0</v>
      </c>
      <c r="AH1759" s="52" t="n">
        <f aca="false">IF(CL1759&gt;0,CL1759*MAX(1,AF1759/X1759),IF(BW1759=1,IF(AF1759&lt;=0,0,CA1759*MAX(1,IF(H1759&gt;0,AF1759/H1759,1))),IF(R1759&gt;0,AG1759/R1759,0))/MAX(0.1,N(Parameter!$M$21)))</f>
        <v>0</v>
      </c>
      <c r="AI1759" s="50" t="n">
        <f aca="false">AH1759*BY1759</f>
        <v>0</v>
      </c>
      <c r="AJ1759" s="50" t="n">
        <f aca="false">AF1759*G1759</f>
        <v>0</v>
      </c>
      <c r="AK1759" s="50" t="n">
        <f aca="false">ROUNDUP(MAX(J1759/IF(CD1759&gt;0,CD1759,MAX(0.1,N(Cockpit!$C$6))),CG1759)/BV1759,0)*BV1759</f>
        <v>0</v>
      </c>
      <c r="AL1759" s="51" t="n">
        <f aca="false">IF(AI1759&gt;0,J1759/AI1759,-1)</f>
        <v>-1</v>
      </c>
      <c r="AM1759" s="51" t="str">
        <f aca="false">IF(AND(OR(CC1759="L1",CC1759="L23",CC1759="LIFT"),AI1759&gt;0),SUMIFS($AI$7:$AI$1843,$CC$7:$CC$1843,CC1759,$AL$7:$AL$1843,"&gt;"&amp;AL1759)+SUMIFS($AI$7:$AI$1843,$CC$7:$CC$1843,CC1759,$AL$7:$AL$1843,AL1759,$BT$7:$BT$1843,"&lt;="&amp;BT1759),"")</f>
        <v/>
      </c>
      <c r="AN1759" s="58" t="n">
        <f aca="false">IF(AM1759="",0,MAX(0,MIN(1,(IF(CC1759="L1",Parameter!$H$5,IF(CC1759="L23",Parameter!$H$6+Parameter!$H$7,Parameter!$H$5+Parameter!$H$6+Parameter!$H$7))-(AM1759-AI1759))/AI1759)))</f>
        <v>0</v>
      </c>
      <c r="AO1759" s="50" t="n">
        <f aca="false">IF(LEFT(Cockpit!$I$5,1)="A",H1759,IF(CE1759=1,CF1759,IF(LEFT(Cockpit!$I$5,1)="B",AT1759,MAX(AT1759,H1759))))</f>
        <v>0</v>
      </c>
      <c r="AP1759" s="50" t="n">
        <f aca="false">IF(BW1759=1,0,ROUNDUP(AO1759/BV1759,0))</f>
        <v>0</v>
      </c>
      <c r="AQ1759" s="52" t="n">
        <f aca="false">IF(CL1759&gt;0,CL1759*MAX(1,AO1759/X1759),IF(BW1759=1,IF(AO1759&lt;=0,0,CA1759*MAX(1,IF(H1759&gt;0,AO1759/H1759,1))),IF(R1759&gt;0,AP1759/R1759,0))/MAX(0.1,N(Parameter!$M$21)))</f>
        <v>0</v>
      </c>
      <c r="AR1759" s="50" t="n">
        <f aca="false">AQ1759*BY1759</f>
        <v>0</v>
      </c>
      <c r="AS1759" s="50" t="n">
        <f aca="false">AO1759*G1759</f>
        <v>0</v>
      </c>
      <c r="AT1759" s="50" t="n">
        <f aca="false">ROUNDUP(MAX(J1759/IF(CD1759&gt;0,CD1759,MAX(0.1,N(Cockpit!$I$6))),CG1759)/BV1759,0)*BV1759</f>
        <v>0</v>
      </c>
      <c r="AU1759" s="51" t="n">
        <f aca="false">IF(AR1759&gt;0,J1759/AR1759,-1)</f>
        <v>-1</v>
      </c>
      <c r="AV1759" s="51" t="str">
        <f aca="false">IF(AND(OR(CC1759="L1",CC1759="L23",CC1759="LIFT"),AR1759&gt;0),SUMIFS($AR$7:$AR$1843,$CC$7:$CC$1843,CC1759,$AU$7:$AU$1843,"&gt;"&amp;AU1759)+SUMIFS($AR$7:$AR$1843,$CC$7:$CC$1843,CC1759,$AU$7:$AU$1843,AU1759,$BT$7:$BT$1843,"&lt;="&amp;BT1759),"")</f>
        <v/>
      </c>
      <c r="AW1759" s="58" t="n">
        <f aca="false">IF(AV1759="",0,MAX(0,MIN(1,(IF(CC1759="L1",Parameter!$H$5,IF(CC1759="L23",Parameter!$H$6+Parameter!$H$7,Parameter!$H$5+Parameter!$H$6+Parameter!$H$7))-(AV1759-AR1759))/AR1759)))</f>
        <v>0</v>
      </c>
      <c r="AX1759" s="50" t="n">
        <f aca="false">IF(LEFT(Cockpit!$O$5,1)="A",H1759,IF(CE1759=1,CF1759,IF(LEFT(Cockpit!$O$5,1)="B",BC1759,MAX(BC1759,H1759))))</f>
        <v>0</v>
      </c>
      <c r="AY1759" s="50" t="n">
        <f aca="false">IF(BW1759=1,0,ROUNDUP(AX1759/BV1759,0))</f>
        <v>0</v>
      </c>
      <c r="AZ1759" s="52" t="n">
        <f aca="false">IF(CL1759&gt;0,CL1759*MAX(1,AX1759/X1759),IF(BW1759=1,IF(AX1759&lt;=0,0,CA1759*MAX(1,IF(H1759&gt;0,AX1759/H1759,1))),IF(R1759&gt;0,AY1759/R1759,0))/MAX(0.1,N(Parameter!$M$21)))</f>
        <v>0</v>
      </c>
      <c r="BA1759" s="50" t="n">
        <f aca="false">AZ1759*BY1759</f>
        <v>0</v>
      </c>
      <c r="BB1759" s="50" t="n">
        <f aca="false">AX1759*G1759</f>
        <v>0</v>
      </c>
      <c r="BC1759" s="50" t="n">
        <f aca="false">ROUNDUP(MAX(J1759/IF(CD1759&gt;0,CD1759,MAX(0.1,N(Cockpit!$O$6))),CG1759)/BV1759,0)*BV1759</f>
        <v>0</v>
      </c>
      <c r="BD1759" s="51" t="n">
        <f aca="false">IF(BA1759&gt;0,J1759/BA1759,-1)</f>
        <v>-1</v>
      </c>
      <c r="BE1759" s="51" t="str">
        <f aca="false">IF(AND(OR(CC1759="L1",CC1759="L23",CC1759="LIFT"),BA1759&gt;0),SUMIFS($BA$7:$BA$1843,$CC$7:$CC$1843,CC1759,$BD$7:$BD$1843,"&gt;"&amp;BD1759)+SUMIFS($BA$7:$BA$1843,$CC$7:$CC$1843,CC1759,$BD$7:$BD$1843,BD1759,$BT$7:$BT$1843,"&lt;="&amp;BT1759),"")</f>
        <v/>
      </c>
      <c r="BF1759" s="58" t="n">
        <f aca="false">IF(BE1759="",0,MAX(0,MIN(1,(IF(CC1759="L1",Parameter!$H$5,IF(CC1759="L23",Parameter!$H$6+Parameter!$H$7,Parameter!$H$5+Parameter!$H$6+Parameter!$H$7))-(BE1759-BA1759))/BA1759)))</f>
        <v>0</v>
      </c>
      <c r="BG1759" s="48" t="str">
        <f aca="false">IF(AI1759&lt;=0,"",IF(CC1759="Aussen","Aussenlager",IF(CC1759="-","Nicht im Lift",IF(AN1759&gt;=1,"Lift",IF(AN1759&lt;=0,"Aussenlager","teilweise")))))</f>
        <v/>
      </c>
      <c r="BH1759" s="48" t="str">
        <f aca="false">IF(AR1759&lt;=0,"",IF(CC1759="Aussen","Aussenlager",IF(CC1759="-","Nicht im Lift",IF(AW1759&gt;=1,"Lift",IF(AW1759&lt;=0,"Aussenlager","teilweise")))))</f>
        <v/>
      </c>
      <c r="BI1759" s="48" t="str">
        <f aca="false">IF(BA1759&lt;=0,"",IF(CC1759="Aussen","Aussenlager",IF(CC1759="-","Nicht im Lift",IF(BF1759&gt;=1,"Lift",IF(BF1759&lt;=0,"Aussenlager","teilweise")))))</f>
        <v/>
      </c>
      <c r="BJ1759" s="48" t="str">
        <f aca="false">IF(A1759="","",IF(BS1759=1,"Neu; ","")&amp;IF(AND(BS1759=0,BN1759&lt;0),"negativer Bestand (Export "&amp;BN1759&amp;"); ","")&amp;IF(J1759&lt;=0,"Kein Verbrauch; ","")&amp;IF(CL1759&gt;0,"Lift "&amp;W1759&amp;" lt. Liftbericht (Fach "&amp;X1759&amp;" Stk); ",IF(BX1759=1,"Gebinde geschätzt ("&amp;T1759&amp;"); ",IF(BW1759=1,"Lose – Tablare geschätzt; ","")))&amp;IF(H1759&gt;AT1759,"Überbestand "&amp;ROUND(H1759-AT1759,0)&amp;" Stk / CHF "&amp;ROUND((H1759-AT1759)*G1759,0)&amp;"; ","")&amp;IF(AND(CE1759=1,CF1759&lt;CG1759),"MAX &lt; MB+LG; ","")&amp;IF(AND(CK1759&gt;0,CJ1759*10&gt;CK1759),"zu hoch für Tablar; ","")&amp;IF(AND(BS1759=0,OR(CE1759=1,AA1759&lt;&gt;"",U1759&lt;&gt;"",V1759&lt;&gt;"",AB1759&lt;&gt;"")),"manuell übersteuert; ","")&amp;IF(AND(BW1759=0,R1759=0),"Gebinde unbekannt / Stellmass fehlt; ","")&amp;IF(AND(BW1759=0,N(V1759)&lt;=0,N(Q1759)&lt;=0),"Menge pro Gebinde fehlt (Ist = 1 Gebinde); ","")&amp;BR1759)</f>
        <v/>
      </c>
      <c r="BK1759" s="48"/>
      <c r="BL1759" s="48"/>
      <c r="BM1759" s="55"/>
      <c r="BN1759" s="50" t="n">
        <f aca="false">N('Neue Artikel'!$D$20)</f>
        <v>0</v>
      </c>
      <c r="BO1759" s="50" t="n">
        <v>0</v>
      </c>
      <c r="BP1759" s="49" t="n">
        <v>0</v>
      </c>
      <c r="BQ1759" s="50" t="n">
        <f aca="false">N('Neue Artikel'!$C$20)/Parameter!$B$18</f>
        <v>0</v>
      </c>
      <c r="BR1759" s="48"/>
      <c r="BS1759" s="53" t="n">
        <v>1</v>
      </c>
      <c r="BT1759" s="53" t="n">
        <v>1759</v>
      </c>
      <c r="BU1759" s="48" t="str">
        <f aca="false">IF(U1759&lt;&gt;"",UPPER(TRIM(U1759)),IF(BX1759=1,UPPER(VLOOKUP(T1759,Parameter!$I$27:$K$29,2,0)),IF(P1759="","LOSE",P1759)))</f>
        <v>LOSE</v>
      </c>
      <c r="BV1759" s="50" t="n">
        <f aca="false">IF(BU1759="LOSE",1,IF(N(V1759)&gt;0,V1759,IF(BX1759=1,MAX(1,N(VLOOKUP(T1759,Parameter!$I$27:$K$29,3,0)),H1759,N(N1759)),IF(N(Q1759)&gt;0,Q1759,MAX(1,H1759)))))</f>
        <v>1</v>
      </c>
      <c r="BW1759" s="53" t="n">
        <f aca="false">IF(BU1759="LOSE",1,0)</f>
        <v>1</v>
      </c>
      <c r="BX1759" s="53" t="n">
        <f aca="false">IF(AND(U1759="",OR(P1759="",P1759="LOSE"),T1759&lt;&gt;"",N(S1759)&lt;=0,ISNUMBER(MATCH(T1759,Parameter!$I$27:$I$29,0))),1,0)</f>
        <v>0</v>
      </c>
      <c r="BY1759" s="53" t="n">
        <f aca="false">IF(CL1759&gt;0,INDEX(Parameter!$H$5:$H$7,W1759)/INDEX(Parameter!$E$5:$E$7,W1759),IF(AND(BW1759=0,N(IFERROR(VLOOKUP(BU1759,'Gebinde-Kategorie'!$A$5:$N$45,14,0),0))&gt;0),VLOOKUP(BU1759,'Gebinde-Kategorie'!$A$5:$N$45,14,0)*10+Parameter!$M$23,Parameter!$M$24))</f>
        <v>235</v>
      </c>
      <c r="BZ1759" s="48" t="str">
        <f aca="false">IF(AND(Parameter!$B$19="Ja",E1759&lt;&gt;"",ISNUMBER(MATCH(E1759,Parameter!$I$35:$I$52,0))),VLOOKUP(E1759,Parameter!$I$35:$J$52,2,0),IFERROR(VLOOKUP(D1759,Parameter!$A$35:$C$64,2,0),"Nein"))</f>
        <v>2+3</v>
      </c>
      <c r="CA1759" s="52" t="n">
        <f aca="false">IF(BW1759=0,0,IF(N(S1759)&gt;0,S1759,IFERROR(VLOOKUP(D1759,Parameter!$A$35:$C$64,3,0)+0,0)))</f>
        <v>0.15</v>
      </c>
      <c r="CB1759" s="48" t="str">
        <f aca="false">IF(AA1759&lt;&gt;"",AA1759,Z1759)</f>
        <v/>
      </c>
      <c r="CC1759" s="48" t="str">
        <f aca="false">IF(OR(CB1759=1,CB1759=2,CB1759=3),IF(Parameter!$E$27="Ja","LIFT",IF(CB1759=1,"L1","L23")),IF(CB1759="Aussen","Aussen","-"))</f>
        <v>-</v>
      </c>
      <c r="CD1759" s="59" t="n">
        <f aca="false">IF(N(AB1759)&gt;0,AB1759,0)</f>
        <v>0</v>
      </c>
      <c r="CE1759" s="53" t="n">
        <f aca="false">IF(ISNUMBER(AE1759),1,0)</f>
        <v>0</v>
      </c>
      <c r="CF1759" s="50" t="n">
        <f aca="false">N(AE1759)</f>
        <v>0</v>
      </c>
      <c r="CG1759" s="50" t="n">
        <f aca="false">N(M1759)+N(N1759)</f>
        <v>0</v>
      </c>
      <c r="CH1759" s="50" t="n">
        <f aca="false">ROUNDUP(H1759/BV1759,0)</f>
        <v>0</v>
      </c>
      <c r="CI1759" s="50" t="n">
        <f aca="false">ROUNDUP(CF1759/BV1759,0)</f>
        <v>0</v>
      </c>
      <c r="CJ1759" s="53" t="n">
        <f aca="false">IF(BW1759=1,0,IFERROR(VLOOKUP(BU1759,'Gebinde-Kategorie'!$A$5:$N$45,5,0)+0,0))</f>
        <v>0</v>
      </c>
      <c r="CK1759" s="53" t="n">
        <f aca="false">IFERROR(IF(OR(CB1759=1,CB1759=2,CB1759=3),N(INDEX(Parameter!$I$5:$I$7,CB1759)),0),0)</f>
        <v>0</v>
      </c>
      <c r="CL1759" s="52" t="n">
        <f aca="false">IF(AND(Parameter!$B$21="Ja",ISNUMBER(W1759),N(X1759)&gt;0),IFERROR(N(INDEX(Parameter!$L$5:$L$7,W1759))*INDEX(Parameter!$E$5:$E$7,W1759)*X1759/SUMIFS($X$7:$X$1843,$W$7:$W$1843,W1759),0),0)</f>
        <v>0</v>
      </c>
    </row>
    <row r="1760" customFormat="false" ht="15" hidden="false" customHeight="false" outlineLevel="0" collapsed="false">
      <c r="A1760" s="48" t="str">
        <f aca="false">IF('Neue Artikel'!$A$21="","",'Neue Artikel'!$A$21&amp;"")</f>
        <v/>
      </c>
      <c r="B1760" s="48" t="str">
        <f aca="false">'Neue Artikel'!$B$21&amp;""</f>
        <v/>
      </c>
      <c r="C1760" s="48"/>
      <c r="D1760" s="48" t="s">
        <v>3019</v>
      </c>
      <c r="E1760" s="48"/>
      <c r="F1760" s="48"/>
      <c r="G1760" s="49" t="n">
        <f aca="false">N('Neue Artikel'!$G$21)</f>
        <v>0</v>
      </c>
      <c r="H1760" s="50" t="n">
        <f aca="false">MAX(0,IF(AND(Parameter!$B$21="Ja",ISNUMBER(Y1760)),Y1760,IF(Parameter!$B$20="Jahresanfang 2025 + Export",BO1760+BN1760,BN1760)))</f>
        <v>0</v>
      </c>
      <c r="I1760" s="50" t="n">
        <f aca="false">H1760*G1760</f>
        <v>0</v>
      </c>
      <c r="J1760" s="50" t="n">
        <f aca="false">BQ1760*Parameter!$B$18</f>
        <v>0</v>
      </c>
      <c r="K1760" s="51"/>
      <c r="L1760" s="52"/>
      <c r="M1760" s="50" t="n">
        <f aca="false">N('Neue Artikel'!$E$21)</f>
        <v>0</v>
      </c>
      <c r="N1760" s="50" t="n">
        <f aca="false">N('Neue Artikel'!$F$21)</f>
        <v>0</v>
      </c>
      <c r="O1760" s="53"/>
      <c r="P1760" s="48" t="str">
        <f aca="false">IF('Neue Artikel'!$H$21="","LOSE",UPPER(TRIM('Neue Artikel'!$H$21)))</f>
        <v>LOSE</v>
      </c>
      <c r="Q1760" s="50" t="n">
        <f aca="false">N('Neue Artikel'!$I$21)</f>
        <v>0</v>
      </c>
      <c r="R1760" s="53" t="n">
        <f aca="false">IF(BW1760=1,0,IFERROR(VLOOKUP(BU1760,'Gebinde-Kategorie'!$A$5:$N$45,13,0)+0,0))</f>
        <v>0</v>
      </c>
      <c r="S1760" s="54"/>
      <c r="T1760" s="55"/>
      <c r="U1760" s="55"/>
      <c r="V1760" s="55"/>
      <c r="W1760" s="48"/>
      <c r="X1760" s="50"/>
      <c r="Y1760" s="50"/>
      <c r="Z1760" s="48" t="str">
        <f aca="false">IF(A1760="","",IF(AND(Parameter!$B$21="Ja",ISNUMBER(W1760)),W1760,IF(BZ1760="2+3",IF(ISNUMBER(SEARCH("grosser Artikel",BR1760)),2,IFERROR(VLOOKUP(BU1760,Parameter!$F$35:$G$64,2,0),2)),IF(OR(BZ1760="Nein",BZ1760=""),"-",BZ1760))))</f>
        <v/>
      </c>
      <c r="AA1760" s="48" t="str">
        <f aca="false">IF('Neue Artikel'!$J$21="","",'Neue Artikel'!$J$21)</f>
        <v/>
      </c>
      <c r="AB1760" s="56"/>
      <c r="AC1760" s="50" t="n">
        <f aca="false">AT1760</f>
        <v>0</v>
      </c>
      <c r="AD1760" s="50" t="n">
        <f aca="false">MAX(AT1760,H1760)</f>
        <v>0</v>
      </c>
      <c r="AE1760" s="57"/>
      <c r="AF1760" s="50" t="n">
        <f aca="false">IF(LEFT(Cockpit!$C$5,1)="A",H1760,IF(CE1760=1,CF1760,IF(LEFT(Cockpit!$C$5,1)="B",AK1760,MAX(AK1760,H1760))))</f>
        <v>0</v>
      </c>
      <c r="AG1760" s="50" t="n">
        <f aca="false">IF(BW1760=1,0,ROUNDUP(AF1760/BV1760,0))</f>
        <v>0</v>
      </c>
      <c r="AH1760" s="52" t="n">
        <f aca="false">IF(CL1760&gt;0,CL1760*MAX(1,AF1760/X1760),IF(BW1760=1,IF(AF1760&lt;=0,0,CA1760*MAX(1,IF(H1760&gt;0,AF1760/H1760,1))),IF(R1760&gt;0,AG1760/R1760,0))/MAX(0.1,N(Parameter!$M$21)))</f>
        <v>0</v>
      </c>
      <c r="AI1760" s="50" t="n">
        <f aca="false">AH1760*BY1760</f>
        <v>0</v>
      </c>
      <c r="AJ1760" s="50" t="n">
        <f aca="false">AF1760*G1760</f>
        <v>0</v>
      </c>
      <c r="AK1760" s="50" t="n">
        <f aca="false">ROUNDUP(MAX(J1760/IF(CD1760&gt;0,CD1760,MAX(0.1,N(Cockpit!$C$6))),CG1760)/BV1760,0)*BV1760</f>
        <v>0</v>
      </c>
      <c r="AL1760" s="51" t="n">
        <f aca="false">IF(AI1760&gt;0,J1760/AI1760,-1)</f>
        <v>-1</v>
      </c>
      <c r="AM1760" s="51" t="str">
        <f aca="false">IF(AND(OR(CC1760="L1",CC1760="L23",CC1760="LIFT"),AI1760&gt;0),SUMIFS($AI$7:$AI$1843,$CC$7:$CC$1843,CC1760,$AL$7:$AL$1843,"&gt;"&amp;AL1760)+SUMIFS($AI$7:$AI$1843,$CC$7:$CC$1843,CC1760,$AL$7:$AL$1843,AL1760,$BT$7:$BT$1843,"&lt;="&amp;BT1760),"")</f>
        <v/>
      </c>
      <c r="AN1760" s="58" t="n">
        <f aca="false">IF(AM1760="",0,MAX(0,MIN(1,(IF(CC1760="L1",Parameter!$H$5,IF(CC1760="L23",Parameter!$H$6+Parameter!$H$7,Parameter!$H$5+Parameter!$H$6+Parameter!$H$7))-(AM1760-AI1760))/AI1760)))</f>
        <v>0</v>
      </c>
      <c r="AO1760" s="50" t="n">
        <f aca="false">IF(LEFT(Cockpit!$I$5,1)="A",H1760,IF(CE1760=1,CF1760,IF(LEFT(Cockpit!$I$5,1)="B",AT1760,MAX(AT1760,H1760))))</f>
        <v>0</v>
      </c>
      <c r="AP1760" s="50" t="n">
        <f aca="false">IF(BW1760=1,0,ROUNDUP(AO1760/BV1760,0))</f>
        <v>0</v>
      </c>
      <c r="AQ1760" s="52" t="n">
        <f aca="false">IF(CL1760&gt;0,CL1760*MAX(1,AO1760/X1760),IF(BW1760=1,IF(AO1760&lt;=0,0,CA1760*MAX(1,IF(H1760&gt;0,AO1760/H1760,1))),IF(R1760&gt;0,AP1760/R1760,0))/MAX(0.1,N(Parameter!$M$21)))</f>
        <v>0</v>
      </c>
      <c r="AR1760" s="50" t="n">
        <f aca="false">AQ1760*BY1760</f>
        <v>0</v>
      </c>
      <c r="AS1760" s="50" t="n">
        <f aca="false">AO1760*G1760</f>
        <v>0</v>
      </c>
      <c r="AT1760" s="50" t="n">
        <f aca="false">ROUNDUP(MAX(J1760/IF(CD1760&gt;0,CD1760,MAX(0.1,N(Cockpit!$I$6))),CG1760)/BV1760,0)*BV1760</f>
        <v>0</v>
      </c>
      <c r="AU1760" s="51" t="n">
        <f aca="false">IF(AR1760&gt;0,J1760/AR1760,-1)</f>
        <v>-1</v>
      </c>
      <c r="AV1760" s="51" t="str">
        <f aca="false">IF(AND(OR(CC1760="L1",CC1760="L23",CC1760="LIFT"),AR1760&gt;0),SUMIFS($AR$7:$AR$1843,$CC$7:$CC$1843,CC1760,$AU$7:$AU$1843,"&gt;"&amp;AU1760)+SUMIFS($AR$7:$AR$1843,$CC$7:$CC$1843,CC1760,$AU$7:$AU$1843,AU1760,$BT$7:$BT$1843,"&lt;="&amp;BT1760),"")</f>
        <v/>
      </c>
      <c r="AW1760" s="58" t="n">
        <f aca="false">IF(AV1760="",0,MAX(0,MIN(1,(IF(CC1760="L1",Parameter!$H$5,IF(CC1760="L23",Parameter!$H$6+Parameter!$H$7,Parameter!$H$5+Parameter!$H$6+Parameter!$H$7))-(AV1760-AR1760))/AR1760)))</f>
        <v>0</v>
      </c>
      <c r="AX1760" s="50" t="n">
        <f aca="false">IF(LEFT(Cockpit!$O$5,1)="A",H1760,IF(CE1760=1,CF1760,IF(LEFT(Cockpit!$O$5,1)="B",BC1760,MAX(BC1760,H1760))))</f>
        <v>0</v>
      </c>
      <c r="AY1760" s="50" t="n">
        <f aca="false">IF(BW1760=1,0,ROUNDUP(AX1760/BV1760,0))</f>
        <v>0</v>
      </c>
      <c r="AZ1760" s="52" t="n">
        <f aca="false">IF(CL1760&gt;0,CL1760*MAX(1,AX1760/X1760),IF(BW1760=1,IF(AX1760&lt;=0,0,CA1760*MAX(1,IF(H1760&gt;0,AX1760/H1760,1))),IF(R1760&gt;0,AY1760/R1760,0))/MAX(0.1,N(Parameter!$M$21)))</f>
        <v>0</v>
      </c>
      <c r="BA1760" s="50" t="n">
        <f aca="false">AZ1760*BY1760</f>
        <v>0</v>
      </c>
      <c r="BB1760" s="50" t="n">
        <f aca="false">AX1760*G1760</f>
        <v>0</v>
      </c>
      <c r="BC1760" s="50" t="n">
        <f aca="false">ROUNDUP(MAX(J1760/IF(CD1760&gt;0,CD1760,MAX(0.1,N(Cockpit!$O$6))),CG1760)/BV1760,0)*BV1760</f>
        <v>0</v>
      </c>
      <c r="BD1760" s="51" t="n">
        <f aca="false">IF(BA1760&gt;0,J1760/BA1760,-1)</f>
        <v>-1</v>
      </c>
      <c r="BE1760" s="51" t="str">
        <f aca="false">IF(AND(OR(CC1760="L1",CC1760="L23",CC1760="LIFT"),BA1760&gt;0),SUMIFS($BA$7:$BA$1843,$CC$7:$CC$1843,CC1760,$BD$7:$BD$1843,"&gt;"&amp;BD1760)+SUMIFS($BA$7:$BA$1843,$CC$7:$CC$1843,CC1760,$BD$7:$BD$1843,BD1760,$BT$7:$BT$1843,"&lt;="&amp;BT1760),"")</f>
        <v/>
      </c>
      <c r="BF1760" s="58" t="n">
        <f aca="false">IF(BE1760="",0,MAX(0,MIN(1,(IF(CC1760="L1",Parameter!$H$5,IF(CC1760="L23",Parameter!$H$6+Parameter!$H$7,Parameter!$H$5+Parameter!$H$6+Parameter!$H$7))-(BE1760-BA1760))/BA1760)))</f>
        <v>0</v>
      </c>
      <c r="BG1760" s="48" t="str">
        <f aca="false">IF(AI1760&lt;=0,"",IF(CC1760="Aussen","Aussenlager",IF(CC1760="-","Nicht im Lift",IF(AN1760&gt;=1,"Lift",IF(AN1760&lt;=0,"Aussenlager","teilweise")))))</f>
        <v/>
      </c>
      <c r="BH1760" s="48" t="str">
        <f aca="false">IF(AR1760&lt;=0,"",IF(CC1760="Aussen","Aussenlager",IF(CC1760="-","Nicht im Lift",IF(AW1760&gt;=1,"Lift",IF(AW1760&lt;=0,"Aussenlager","teilweise")))))</f>
        <v/>
      </c>
      <c r="BI1760" s="48" t="str">
        <f aca="false">IF(BA1760&lt;=0,"",IF(CC1760="Aussen","Aussenlager",IF(CC1760="-","Nicht im Lift",IF(BF1760&gt;=1,"Lift",IF(BF1760&lt;=0,"Aussenlager","teilweise")))))</f>
        <v/>
      </c>
      <c r="BJ1760" s="48" t="str">
        <f aca="false">IF(A1760="","",IF(BS1760=1,"Neu; ","")&amp;IF(AND(BS1760=0,BN1760&lt;0),"negativer Bestand (Export "&amp;BN1760&amp;"); ","")&amp;IF(J1760&lt;=0,"Kein Verbrauch; ","")&amp;IF(CL1760&gt;0,"Lift "&amp;W1760&amp;" lt. Liftbericht (Fach "&amp;X1760&amp;" Stk); ",IF(BX1760=1,"Gebinde geschätzt ("&amp;T1760&amp;"); ",IF(BW1760=1,"Lose – Tablare geschätzt; ","")))&amp;IF(H1760&gt;AT1760,"Überbestand "&amp;ROUND(H1760-AT1760,0)&amp;" Stk / CHF "&amp;ROUND((H1760-AT1760)*G1760,0)&amp;"; ","")&amp;IF(AND(CE1760=1,CF1760&lt;CG1760),"MAX &lt; MB+LG; ","")&amp;IF(AND(CK1760&gt;0,CJ1760*10&gt;CK1760),"zu hoch für Tablar; ","")&amp;IF(AND(BS1760=0,OR(CE1760=1,AA1760&lt;&gt;"",U1760&lt;&gt;"",V1760&lt;&gt;"",AB1760&lt;&gt;"")),"manuell übersteuert; ","")&amp;IF(AND(BW1760=0,R1760=0),"Gebinde unbekannt / Stellmass fehlt; ","")&amp;IF(AND(BW1760=0,N(V1760)&lt;=0,N(Q1760)&lt;=0),"Menge pro Gebinde fehlt (Ist = 1 Gebinde); ","")&amp;BR1760)</f>
        <v/>
      </c>
      <c r="BK1760" s="48"/>
      <c r="BL1760" s="48"/>
      <c r="BM1760" s="55"/>
      <c r="BN1760" s="50" t="n">
        <f aca="false">N('Neue Artikel'!$D$21)</f>
        <v>0</v>
      </c>
      <c r="BO1760" s="50" t="n">
        <v>0</v>
      </c>
      <c r="BP1760" s="49" t="n">
        <v>0</v>
      </c>
      <c r="BQ1760" s="50" t="n">
        <f aca="false">N('Neue Artikel'!$C$21)/Parameter!$B$18</f>
        <v>0</v>
      </c>
      <c r="BR1760" s="48"/>
      <c r="BS1760" s="53" t="n">
        <v>1</v>
      </c>
      <c r="BT1760" s="53" t="n">
        <v>1760</v>
      </c>
      <c r="BU1760" s="48" t="str">
        <f aca="false">IF(U1760&lt;&gt;"",UPPER(TRIM(U1760)),IF(BX1760=1,UPPER(VLOOKUP(T1760,Parameter!$I$27:$K$29,2,0)),IF(P1760="","LOSE",P1760)))</f>
        <v>LOSE</v>
      </c>
      <c r="BV1760" s="50" t="n">
        <f aca="false">IF(BU1760="LOSE",1,IF(N(V1760)&gt;0,V1760,IF(BX1760=1,MAX(1,N(VLOOKUP(T1760,Parameter!$I$27:$K$29,3,0)),H1760,N(N1760)),IF(N(Q1760)&gt;0,Q1760,MAX(1,H1760)))))</f>
        <v>1</v>
      </c>
      <c r="BW1760" s="53" t="n">
        <f aca="false">IF(BU1760="LOSE",1,0)</f>
        <v>1</v>
      </c>
      <c r="BX1760" s="53" t="n">
        <f aca="false">IF(AND(U1760="",OR(P1760="",P1760="LOSE"),T1760&lt;&gt;"",N(S1760)&lt;=0,ISNUMBER(MATCH(T1760,Parameter!$I$27:$I$29,0))),1,0)</f>
        <v>0</v>
      </c>
      <c r="BY1760" s="53" t="n">
        <f aca="false">IF(CL1760&gt;0,INDEX(Parameter!$H$5:$H$7,W1760)/INDEX(Parameter!$E$5:$E$7,W1760),IF(AND(BW1760=0,N(IFERROR(VLOOKUP(BU1760,'Gebinde-Kategorie'!$A$5:$N$45,14,0),0))&gt;0),VLOOKUP(BU1760,'Gebinde-Kategorie'!$A$5:$N$45,14,0)*10+Parameter!$M$23,Parameter!$M$24))</f>
        <v>235</v>
      </c>
      <c r="BZ1760" s="48" t="str">
        <f aca="false">IF(AND(Parameter!$B$19="Ja",E1760&lt;&gt;"",ISNUMBER(MATCH(E1760,Parameter!$I$35:$I$52,0))),VLOOKUP(E1760,Parameter!$I$35:$J$52,2,0),IFERROR(VLOOKUP(D1760,Parameter!$A$35:$C$64,2,0),"Nein"))</f>
        <v>2+3</v>
      </c>
      <c r="CA1760" s="52" t="n">
        <f aca="false">IF(BW1760=0,0,IF(N(S1760)&gt;0,S1760,IFERROR(VLOOKUP(D1760,Parameter!$A$35:$C$64,3,0)+0,0)))</f>
        <v>0.15</v>
      </c>
      <c r="CB1760" s="48" t="str">
        <f aca="false">IF(AA1760&lt;&gt;"",AA1760,Z1760)</f>
        <v/>
      </c>
      <c r="CC1760" s="48" t="str">
        <f aca="false">IF(OR(CB1760=1,CB1760=2,CB1760=3),IF(Parameter!$E$27="Ja","LIFT",IF(CB1760=1,"L1","L23")),IF(CB1760="Aussen","Aussen","-"))</f>
        <v>-</v>
      </c>
      <c r="CD1760" s="59" t="n">
        <f aca="false">IF(N(AB1760)&gt;0,AB1760,0)</f>
        <v>0</v>
      </c>
      <c r="CE1760" s="53" t="n">
        <f aca="false">IF(ISNUMBER(AE1760),1,0)</f>
        <v>0</v>
      </c>
      <c r="CF1760" s="50" t="n">
        <f aca="false">N(AE1760)</f>
        <v>0</v>
      </c>
      <c r="CG1760" s="50" t="n">
        <f aca="false">N(M1760)+N(N1760)</f>
        <v>0</v>
      </c>
      <c r="CH1760" s="50" t="n">
        <f aca="false">ROUNDUP(H1760/BV1760,0)</f>
        <v>0</v>
      </c>
      <c r="CI1760" s="50" t="n">
        <f aca="false">ROUNDUP(CF1760/BV1760,0)</f>
        <v>0</v>
      </c>
      <c r="CJ1760" s="53" t="n">
        <f aca="false">IF(BW1760=1,0,IFERROR(VLOOKUP(BU1760,'Gebinde-Kategorie'!$A$5:$N$45,5,0)+0,0))</f>
        <v>0</v>
      </c>
      <c r="CK1760" s="53" t="n">
        <f aca="false">IFERROR(IF(OR(CB1760=1,CB1760=2,CB1760=3),N(INDEX(Parameter!$I$5:$I$7,CB1760)),0),0)</f>
        <v>0</v>
      </c>
      <c r="CL1760" s="52" t="n">
        <f aca="false">IF(AND(Parameter!$B$21="Ja",ISNUMBER(W1760),N(X1760)&gt;0),IFERROR(N(INDEX(Parameter!$L$5:$L$7,W1760))*INDEX(Parameter!$E$5:$E$7,W1760)*X1760/SUMIFS($X$7:$X$1843,$W$7:$W$1843,W1760),0),0)</f>
        <v>0</v>
      </c>
    </row>
    <row r="1761" customFormat="false" ht="15" hidden="false" customHeight="false" outlineLevel="0" collapsed="false">
      <c r="A1761" s="48" t="str">
        <f aca="false">IF('Neue Artikel'!$A$22="","",'Neue Artikel'!$A$22&amp;"")</f>
        <v/>
      </c>
      <c r="B1761" s="48" t="str">
        <f aca="false">'Neue Artikel'!$B$22&amp;""</f>
        <v/>
      </c>
      <c r="C1761" s="48"/>
      <c r="D1761" s="48" t="s">
        <v>3019</v>
      </c>
      <c r="E1761" s="48"/>
      <c r="F1761" s="48"/>
      <c r="G1761" s="49" t="n">
        <f aca="false">N('Neue Artikel'!$G$22)</f>
        <v>0</v>
      </c>
      <c r="H1761" s="50" t="n">
        <f aca="false">MAX(0,IF(AND(Parameter!$B$21="Ja",ISNUMBER(Y1761)),Y1761,IF(Parameter!$B$20="Jahresanfang 2025 + Export",BO1761+BN1761,BN1761)))</f>
        <v>0</v>
      </c>
      <c r="I1761" s="50" t="n">
        <f aca="false">H1761*G1761</f>
        <v>0</v>
      </c>
      <c r="J1761" s="50" t="n">
        <f aca="false">BQ1761*Parameter!$B$18</f>
        <v>0</v>
      </c>
      <c r="K1761" s="51"/>
      <c r="L1761" s="52"/>
      <c r="M1761" s="50" t="n">
        <f aca="false">N('Neue Artikel'!$E$22)</f>
        <v>0</v>
      </c>
      <c r="N1761" s="50" t="n">
        <f aca="false">N('Neue Artikel'!$F$22)</f>
        <v>0</v>
      </c>
      <c r="O1761" s="53"/>
      <c r="P1761" s="48" t="str">
        <f aca="false">IF('Neue Artikel'!$H$22="","LOSE",UPPER(TRIM('Neue Artikel'!$H$22)))</f>
        <v>LOSE</v>
      </c>
      <c r="Q1761" s="50" t="n">
        <f aca="false">N('Neue Artikel'!$I$22)</f>
        <v>0</v>
      </c>
      <c r="R1761" s="53" t="n">
        <f aca="false">IF(BW1761=1,0,IFERROR(VLOOKUP(BU1761,'Gebinde-Kategorie'!$A$5:$N$45,13,0)+0,0))</f>
        <v>0</v>
      </c>
      <c r="S1761" s="54"/>
      <c r="T1761" s="55"/>
      <c r="U1761" s="55"/>
      <c r="V1761" s="55"/>
      <c r="W1761" s="48"/>
      <c r="X1761" s="50"/>
      <c r="Y1761" s="50"/>
      <c r="Z1761" s="48" t="str">
        <f aca="false">IF(A1761="","",IF(AND(Parameter!$B$21="Ja",ISNUMBER(W1761)),W1761,IF(BZ1761="2+3",IF(ISNUMBER(SEARCH("grosser Artikel",BR1761)),2,IFERROR(VLOOKUP(BU1761,Parameter!$F$35:$G$64,2,0),2)),IF(OR(BZ1761="Nein",BZ1761=""),"-",BZ1761))))</f>
        <v/>
      </c>
      <c r="AA1761" s="48" t="str">
        <f aca="false">IF('Neue Artikel'!$J$22="","",'Neue Artikel'!$J$22)</f>
        <v/>
      </c>
      <c r="AB1761" s="56"/>
      <c r="AC1761" s="50" t="n">
        <f aca="false">AT1761</f>
        <v>0</v>
      </c>
      <c r="AD1761" s="50" t="n">
        <f aca="false">MAX(AT1761,H1761)</f>
        <v>0</v>
      </c>
      <c r="AE1761" s="57"/>
      <c r="AF1761" s="50" t="n">
        <f aca="false">IF(LEFT(Cockpit!$C$5,1)="A",H1761,IF(CE1761=1,CF1761,IF(LEFT(Cockpit!$C$5,1)="B",AK1761,MAX(AK1761,H1761))))</f>
        <v>0</v>
      </c>
      <c r="AG1761" s="50" t="n">
        <f aca="false">IF(BW1761=1,0,ROUNDUP(AF1761/BV1761,0))</f>
        <v>0</v>
      </c>
      <c r="AH1761" s="52" t="n">
        <f aca="false">IF(CL1761&gt;0,CL1761*MAX(1,AF1761/X1761),IF(BW1761=1,IF(AF1761&lt;=0,0,CA1761*MAX(1,IF(H1761&gt;0,AF1761/H1761,1))),IF(R1761&gt;0,AG1761/R1761,0))/MAX(0.1,N(Parameter!$M$21)))</f>
        <v>0</v>
      </c>
      <c r="AI1761" s="50" t="n">
        <f aca="false">AH1761*BY1761</f>
        <v>0</v>
      </c>
      <c r="AJ1761" s="50" t="n">
        <f aca="false">AF1761*G1761</f>
        <v>0</v>
      </c>
      <c r="AK1761" s="50" t="n">
        <f aca="false">ROUNDUP(MAX(J1761/IF(CD1761&gt;0,CD1761,MAX(0.1,N(Cockpit!$C$6))),CG1761)/BV1761,0)*BV1761</f>
        <v>0</v>
      </c>
      <c r="AL1761" s="51" t="n">
        <f aca="false">IF(AI1761&gt;0,J1761/AI1761,-1)</f>
        <v>-1</v>
      </c>
      <c r="AM1761" s="51" t="str">
        <f aca="false">IF(AND(OR(CC1761="L1",CC1761="L23",CC1761="LIFT"),AI1761&gt;0),SUMIFS($AI$7:$AI$1843,$CC$7:$CC$1843,CC1761,$AL$7:$AL$1843,"&gt;"&amp;AL1761)+SUMIFS($AI$7:$AI$1843,$CC$7:$CC$1843,CC1761,$AL$7:$AL$1843,AL1761,$BT$7:$BT$1843,"&lt;="&amp;BT1761),"")</f>
        <v/>
      </c>
      <c r="AN1761" s="58" t="n">
        <f aca="false">IF(AM1761="",0,MAX(0,MIN(1,(IF(CC1761="L1",Parameter!$H$5,IF(CC1761="L23",Parameter!$H$6+Parameter!$H$7,Parameter!$H$5+Parameter!$H$6+Parameter!$H$7))-(AM1761-AI1761))/AI1761)))</f>
        <v>0</v>
      </c>
      <c r="AO1761" s="50" t="n">
        <f aca="false">IF(LEFT(Cockpit!$I$5,1)="A",H1761,IF(CE1761=1,CF1761,IF(LEFT(Cockpit!$I$5,1)="B",AT1761,MAX(AT1761,H1761))))</f>
        <v>0</v>
      </c>
      <c r="AP1761" s="50" t="n">
        <f aca="false">IF(BW1761=1,0,ROUNDUP(AO1761/BV1761,0))</f>
        <v>0</v>
      </c>
      <c r="AQ1761" s="52" t="n">
        <f aca="false">IF(CL1761&gt;0,CL1761*MAX(1,AO1761/X1761),IF(BW1761=1,IF(AO1761&lt;=0,0,CA1761*MAX(1,IF(H1761&gt;0,AO1761/H1761,1))),IF(R1761&gt;0,AP1761/R1761,0))/MAX(0.1,N(Parameter!$M$21)))</f>
        <v>0</v>
      </c>
      <c r="AR1761" s="50" t="n">
        <f aca="false">AQ1761*BY1761</f>
        <v>0</v>
      </c>
      <c r="AS1761" s="50" t="n">
        <f aca="false">AO1761*G1761</f>
        <v>0</v>
      </c>
      <c r="AT1761" s="50" t="n">
        <f aca="false">ROUNDUP(MAX(J1761/IF(CD1761&gt;0,CD1761,MAX(0.1,N(Cockpit!$I$6))),CG1761)/BV1761,0)*BV1761</f>
        <v>0</v>
      </c>
      <c r="AU1761" s="51" t="n">
        <f aca="false">IF(AR1761&gt;0,J1761/AR1761,-1)</f>
        <v>-1</v>
      </c>
      <c r="AV1761" s="51" t="str">
        <f aca="false">IF(AND(OR(CC1761="L1",CC1761="L23",CC1761="LIFT"),AR1761&gt;0),SUMIFS($AR$7:$AR$1843,$CC$7:$CC$1843,CC1761,$AU$7:$AU$1843,"&gt;"&amp;AU1761)+SUMIFS($AR$7:$AR$1843,$CC$7:$CC$1843,CC1761,$AU$7:$AU$1843,AU1761,$BT$7:$BT$1843,"&lt;="&amp;BT1761),"")</f>
        <v/>
      </c>
      <c r="AW1761" s="58" t="n">
        <f aca="false">IF(AV1761="",0,MAX(0,MIN(1,(IF(CC1761="L1",Parameter!$H$5,IF(CC1761="L23",Parameter!$H$6+Parameter!$H$7,Parameter!$H$5+Parameter!$H$6+Parameter!$H$7))-(AV1761-AR1761))/AR1761)))</f>
        <v>0</v>
      </c>
      <c r="AX1761" s="50" t="n">
        <f aca="false">IF(LEFT(Cockpit!$O$5,1)="A",H1761,IF(CE1761=1,CF1761,IF(LEFT(Cockpit!$O$5,1)="B",BC1761,MAX(BC1761,H1761))))</f>
        <v>0</v>
      </c>
      <c r="AY1761" s="50" t="n">
        <f aca="false">IF(BW1761=1,0,ROUNDUP(AX1761/BV1761,0))</f>
        <v>0</v>
      </c>
      <c r="AZ1761" s="52" t="n">
        <f aca="false">IF(CL1761&gt;0,CL1761*MAX(1,AX1761/X1761),IF(BW1761=1,IF(AX1761&lt;=0,0,CA1761*MAX(1,IF(H1761&gt;0,AX1761/H1761,1))),IF(R1761&gt;0,AY1761/R1761,0))/MAX(0.1,N(Parameter!$M$21)))</f>
        <v>0</v>
      </c>
      <c r="BA1761" s="50" t="n">
        <f aca="false">AZ1761*BY1761</f>
        <v>0</v>
      </c>
      <c r="BB1761" s="50" t="n">
        <f aca="false">AX1761*G1761</f>
        <v>0</v>
      </c>
      <c r="BC1761" s="50" t="n">
        <f aca="false">ROUNDUP(MAX(J1761/IF(CD1761&gt;0,CD1761,MAX(0.1,N(Cockpit!$O$6))),CG1761)/BV1761,0)*BV1761</f>
        <v>0</v>
      </c>
      <c r="BD1761" s="51" t="n">
        <f aca="false">IF(BA1761&gt;0,J1761/BA1761,-1)</f>
        <v>-1</v>
      </c>
      <c r="BE1761" s="51" t="str">
        <f aca="false">IF(AND(OR(CC1761="L1",CC1761="L23",CC1761="LIFT"),BA1761&gt;0),SUMIFS($BA$7:$BA$1843,$CC$7:$CC$1843,CC1761,$BD$7:$BD$1843,"&gt;"&amp;BD1761)+SUMIFS($BA$7:$BA$1843,$CC$7:$CC$1843,CC1761,$BD$7:$BD$1843,BD1761,$BT$7:$BT$1843,"&lt;="&amp;BT1761),"")</f>
        <v/>
      </c>
      <c r="BF1761" s="58" t="n">
        <f aca="false">IF(BE1761="",0,MAX(0,MIN(1,(IF(CC1761="L1",Parameter!$H$5,IF(CC1761="L23",Parameter!$H$6+Parameter!$H$7,Parameter!$H$5+Parameter!$H$6+Parameter!$H$7))-(BE1761-BA1761))/BA1761)))</f>
        <v>0</v>
      </c>
      <c r="BG1761" s="48" t="str">
        <f aca="false">IF(AI1761&lt;=0,"",IF(CC1761="Aussen","Aussenlager",IF(CC1761="-","Nicht im Lift",IF(AN1761&gt;=1,"Lift",IF(AN1761&lt;=0,"Aussenlager","teilweise")))))</f>
        <v/>
      </c>
      <c r="BH1761" s="48" t="str">
        <f aca="false">IF(AR1761&lt;=0,"",IF(CC1761="Aussen","Aussenlager",IF(CC1761="-","Nicht im Lift",IF(AW1761&gt;=1,"Lift",IF(AW1761&lt;=0,"Aussenlager","teilweise")))))</f>
        <v/>
      </c>
      <c r="BI1761" s="48" t="str">
        <f aca="false">IF(BA1761&lt;=0,"",IF(CC1761="Aussen","Aussenlager",IF(CC1761="-","Nicht im Lift",IF(BF1761&gt;=1,"Lift",IF(BF1761&lt;=0,"Aussenlager","teilweise")))))</f>
        <v/>
      </c>
      <c r="BJ1761" s="48" t="str">
        <f aca="false">IF(A1761="","",IF(BS1761=1,"Neu; ","")&amp;IF(AND(BS1761=0,BN1761&lt;0),"negativer Bestand (Export "&amp;BN1761&amp;"); ","")&amp;IF(J1761&lt;=0,"Kein Verbrauch; ","")&amp;IF(CL1761&gt;0,"Lift "&amp;W1761&amp;" lt. Liftbericht (Fach "&amp;X1761&amp;" Stk); ",IF(BX1761=1,"Gebinde geschätzt ("&amp;T1761&amp;"); ",IF(BW1761=1,"Lose – Tablare geschätzt; ","")))&amp;IF(H1761&gt;AT1761,"Überbestand "&amp;ROUND(H1761-AT1761,0)&amp;" Stk / CHF "&amp;ROUND((H1761-AT1761)*G1761,0)&amp;"; ","")&amp;IF(AND(CE1761=1,CF1761&lt;CG1761),"MAX &lt; MB+LG; ","")&amp;IF(AND(CK1761&gt;0,CJ1761*10&gt;CK1761),"zu hoch für Tablar; ","")&amp;IF(AND(BS1761=0,OR(CE1761=1,AA1761&lt;&gt;"",U1761&lt;&gt;"",V1761&lt;&gt;"",AB1761&lt;&gt;"")),"manuell übersteuert; ","")&amp;IF(AND(BW1761=0,R1761=0),"Gebinde unbekannt / Stellmass fehlt; ","")&amp;IF(AND(BW1761=0,N(V1761)&lt;=0,N(Q1761)&lt;=0),"Menge pro Gebinde fehlt (Ist = 1 Gebinde); ","")&amp;BR1761)</f>
        <v/>
      </c>
      <c r="BK1761" s="48"/>
      <c r="BL1761" s="48"/>
      <c r="BM1761" s="55"/>
      <c r="BN1761" s="50" t="n">
        <f aca="false">N('Neue Artikel'!$D$22)</f>
        <v>0</v>
      </c>
      <c r="BO1761" s="50" t="n">
        <v>0</v>
      </c>
      <c r="BP1761" s="49" t="n">
        <v>0</v>
      </c>
      <c r="BQ1761" s="50" t="n">
        <f aca="false">N('Neue Artikel'!$C$22)/Parameter!$B$18</f>
        <v>0</v>
      </c>
      <c r="BR1761" s="48"/>
      <c r="BS1761" s="53" t="n">
        <v>1</v>
      </c>
      <c r="BT1761" s="53" t="n">
        <v>1761</v>
      </c>
      <c r="BU1761" s="48" t="str">
        <f aca="false">IF(U1761&lt;&gt;"",UPPER(TRIM(U1761)),IF(BX1761=1,UPPER(VLOOKUP(T1761,Parameter!$I$27:$K$29,2,0)),IF(P1761="","LOSE",P1761)))</f>
        <v>LOSE</v>
      </c>
      <c r="BV1761" s="50" t="n">
        <f aca="false">IF(BU1761="LOSE",1,IF(N(V1761)&gt;0,V1761,IF(BX1761=1,MAX(1,N(VLOOKUP(T1761,Parameter!$I$27:$K$29,3,0)),H1761,N(N1761)),IF(N(Q1761)&gt;0,Q1761,MAX(1,H1761)))))</f>
        <v>1</v>
      </c>
      <c r="BW1761" s="53" t="n">
        <f aca="false">IF(BU1761="LOSE",1,0)</f>
        <v>1</v>
      </c>
      <c r="BX1761" s="53" t="n">
        <f aca="false">IF(AND(U1761="",OR(P1761="",P1761="LOSE"),T1761&lt;&gt;"",N(S1761)&lt;=0,ISNUMBER(MATCH(T1761,Parameter!$I$27:$I$29,0))),1,0)</f>
        <v>0</v>
      </c>
      <c r="BY1761" s="53" t="n">
        <f aca="false">IF(CL1761&gt;0,INDEX(Parameter!$H$5:$H$7,W1761)/INDEX(Parameter!$E$5:$E$7,W1761),IF(AND(BW1761=0,N(IFERROR(VLOOKUP(BU1761,'Gebinde-Kategorie'!$A$5:$N$45,14,0),0))&gt;0),VLOOKUP(BU1761,'Gebinde-Kategorie'!$A$5:$N$45,14,0)*10+Parameter!$M$23,Parameter!$M$24))</f>
        <v>235</v>
      </c>
      <c r="BZ1761" s="48" t="str">
        <f aca="false">IF(AND(Parameter!$B$19="Ja",E1761&lt;&gt;"",ISNUMBER(MATCH(E1761,Parameter!$I$35:$I$52,0))),VLOOKUP(E1761,Parameter!$I$35:$J$52,2,0),IFERROR(VLOOKUP(D1761,Parameter!$A$35:$C$64,2,0),"Nein"))</f>
        <v>2+3</v>
      </c>
      <c r="CA1761" s="52" t="n">
        <f aca="false">IF(BW1761=0,0,IF(N(S1761)&gt;0,S1761,IFERROR(VLOOKUP(D1761,Parameter!$A$35:$C$64,3,0)+0,0)))</f>
        <v>0.15</v>
      </c>
      <c r="CB1761" s="48" t="str">
        <f aca="false">IF(AA1761&lt;&gt;"",AA1761,Z1761)</f>
        <v/>
      </c>
      <c r="CC1761" s="48" t="str">
        <f aca="false">IF(OR(CB1761=1,CB1761=2,CB1761=3),IF(Parameter!$E$27="Ja","LIFT",IF(CB1761=1,"L1","L23")),IF(CB1761="Aussen","Aussen","-"))</f>
        <v>-</v>
      </c>
      <c r="CD1761" s="59" t="n">
        <f aca="false">IF(N(AB1761)&gt;0,AB1761,0)</f>
        <v>0</v>
      </c>
      <c r="CE1761" s="53" t="n">
        <f aca="false">IF(ISNUMBER(AE1761),1,0)</f>
        <v>0</v>
      </c>
      <c r="CF1761" s="50" t="n">
        <f aca="false">N(AE1761)</f>
        <v>0</v>
      </c>
      <c r="CG1761" s="50" t="n">
        <f aca="false">N(M1761)+N(N1761)</f>
        <v>0</v>
      </c>
      <c r="CH1761" s="50" t="n">
        <f aca="false">ROUNDUP(H1761/BV1761,0)</f>
        <v>0</v>
      </c>
      <c r="CI1761" s="50" t="n">
        <f aca="false">ROUNDUP(CF1761/BV1761,0)</f>
        <v>0</v>
      </c>
      <c r="CJ1761" s="53" t="n">
        <f aca="false">IF(BW1761=1,0,IFERROR(VLOOKUP(BU1761,'Gebinde-Kategorie'!$A$5:$N$45,5,0)+0,0))</f>
        <v>0</v>
      </c>
      <c r="CK1761" s="53" t="n">
        <f aca="false">IFERROR(IF(OR(CB1761=1,CB1761=2,CB1761=3),N(INDEX(Parameter!$I$5:$I$7,CB1761)),0),0)</f>
        <v>0</v>
      </c>
      <c r="CL1761" s="52" t="n">
        <f aca="false">IF(AND(Parameter!$B$21="Ja",ISNUMBER(W1761),N(X1761)&gt;0),IFERROR(N(INDEX(Parameter!$L$5:$L$7,W1761))*INDEX(Parameter!$E$5:$E$7,W1761)*X1761/SUMIFS($X$7:$X$1843,$W$7:$W$1843,W1761),0),0)</f>
        <v>0</v>
      </c>
    </row>
    <row r="1762" customFormat="false" ht="15" hidden="false" customHeight="false" outlineLevel="0" collapsed="false">
      <c r="A1762" s="48" t="str">
        <f aca="false">IF('Neue Artikel'!$A$23="","",'Neue Artikel'!$A$23&amp;"")</f>
        <v/>
      </c>
      <c r="B1762" s="48" t="str">
        <f aca="false">'Neue Artikel'!$B$23&amp;""</f>
        <v/>
      </c>
      <c r="C1762" s="48"/>
      <c r="D1762" s="48" t="s">
        <v>3019</v>
      </c>
      <c r="E1762" s="48"/>
      <c r="F1762" s="48"/>
      <c r="G1762" s="49" t="n">
        <f aca="false">N('Neue Artikel'!$G$23)</f>
        <v>0</v>
      </c>
      <c r="H1762" s="50" t="n">
        <f aca="false">MAX(0,IF(AND(Parameter!$B$21="Ja",ISNUMBER(Y1762)),Y1762,IF(Parameter!$B$20="Jahresanfang 2025 + Export",BO1762+BN1762,BN1762)))</f>
        <v>0</v>
      </c>
      <c r="I1762" s="50" t="n">
        <f aca="false">H1762*G1762</f>
        <v>0</v>
      </c>
      <c r="J1762" s="50" t="n">
        <f aca="false">BQ1762*Parameter!$B$18</f>
        <v>0</v>
      </c>
      <c r="K1762" s="51"/>
      <c r="L1762" s="52"/>
      <c r="M1762" s="50" t="n">
        <f aca="false">N('Neue Artikel'!$E$23)</f>
        <v>0</v>
      </c>
      <c r="N1762" s="50" t="n">
        <f aca="false">N('Neue Artikel'!$F$23)</f>
        <v>0</v>
      </c>
      <c r="O1762" s="53"/>
      <c r="P1762" s="48" t="str">
        <f aca="false">IF('Neue Artikel'!$H$23="","LOSE",UPPER(TRIM('Neue Artikel'!$H$23)))</f>
        <v>LOSE</v>
      </c>
      <c r="Q1762" s="50" t="n">
        <f aca="false">N('Neue Artikel'!$I$23)</f>
        <v>0</v>
      </c>
      <c r="R1762" s="53" t="n">
        <f aca="false">IF(BW1762=1,0,IFERROR(VLOOKUP(BU1762,'Gebinde-Kategorie'!$A$5:$N$45,13,0)+0,0))</f>
        <v>0</v>
      </c>
      <c r="S1762" s="54"/>
      <c r="T1762" s="55"/>
      <c r="U1762" s="55"/>
      <c r="V1762" s="55"/>
      <c r="W1762" s="48"/>
      <c r="X1762" s="50"/>
      <c r="Y1762" s="50"/>
      <c r="Z1762" s="48" t="str">
        <f aca="false">IF(A1762="","",IF(AND(Parameter!$B$21="Ja",ISNUMBER(W1762)),W1762,IF(BZ1762="2+3",IF(ISNUMBER(SEARCH("grosser Artikel",BR1762)),2,IFERROR(VLOOKUP(BU1762,Parameter!$F$35:$G$64,2,0),2)),IF(OR(BZ1762="Nein",BZ1762=""),"-",BZ1762))))</f>
        <v/>
      </c>
      <c r="AA1762" s="48" t="str">
        <f aca="false">IF('Neue Artikel'!$J$23="","",'Neue Artikel'!$J$23)</f>
        <v/>
      </c>
      <c r="AB1762" s="56"/>
      <c r="AC1762" s="50" t="n">
        <f aca="false">AT1762</f>
        <v>0</v>
      </c>
      <c r="AD1762" s="50" t="n">
        <f aca="false">MAX(AT1762,H1762)</f>
        <v>0</v>
      </c>
      <c r="AE1762" s="57"/>
      <c r="AF1762" s="50" t="n">
        <f aca="false">IF(LEFT(Cockpit!$C$5,1)="A",H1762,IF(CE1762=1,CF1762,IF(LEFT(Cockpit!$C$5,1)="B",AK1762,MAX(AK1762,H1762))))</f>
        <v>0</v>
      </c>
      <c r="AG1762" s="50" t="n">
        <f aca="false">IF(BW1762=1,0,ROUNDUP(AF1762/BV1762,0))</f>
        <v>0</v>
      </c>
      <c r="AH1762" s="52" t="n">
        <f aca="false">IF(CL1762&gt;0,CL1762*MAX(1,AF1762/X1762),IF(BW1762=1,IF(AF1762&lt;=0,0,CA1762*MAX(1,IF(H1762&gt;0,AF1762/H1762,1))),IF(R1762&gt;0,AG1762/R1762,0))/MAX(0.1,N(Parameter!$M$21)))</f>
        <v>0</v>
      </c>
      <c r="AI1762" s="50" t="n">
        <f aca="false">AH1762*BY1762</f>
        <v>0</v>
      </c>
      <c r="AJ1762" s="50" t="n">
        <f aca="false">AF1762*G1762</f>
        <v>0</v>
      </c>
      <c r="AK1762" s="50" t="n">
        <f aca="false">ROUNDUP(MAX(J1762/IF(CD1762&gt;0,CD1762,MAX(0.1,N(Cockpit!$C$6))),CG1762)/BV1762,0)*BV1762</f>
        <v>0</v>
      </c>
      <c r="AL1762" s="51" t="n">
        <f aca="false">IF(AI1762&gt;0,J1762/AI1762,-1)</f>
        <v>-1</v>
      </c>
      <c r="AM1762" s="51" t="str">
        <f aca="false">IF(AND(OR(CC1762="L1",CC1762="L23",CC1762="LIFT"),AI1762&gt;0),SUMIFS($AI$7:$AI$1843,$CC$7:$CC$1843,CC1762,$AL$7:$AL$1843,"&gt;"&amp;AL1762)+SUMIFS($AI$7:$AI$1843,$CC$7:$CC$1843,CC1762,$AL$7:$AL$1843,AL1762,$BT$7:$BT$1843,"&lt;="&amp;BT1762),"")</f>
        <v/>
      </c>
      <c r="AN1762" s="58" t="n">
        <f aca="false">IF(AM1762="",0,MAX(0,MIN(1,(IF(CC1762="L1",Parameter!$H$5,IF(CC1762="L23",Parameter!$H$6+Parameter!$H$7,Parameter!$H$5+Parameter!$H$6+Parameter!$H$7))-(AM1762-AI1762))/AI1762)))</f>
        <v>0</v>
      </c>
      <c r="AO1762" s="50" t="n">
        <f aca="false">IF(LEFT(Cockpit!$I$5,1)="A",H1762,IF(CE1762=1,CF1762,IF(LEFT(Cockpit!$I$5,1)="B",AT1762,MAX(AT1762,H1762))))</f>
        <v>0</v>
      </c>
      <c r="AP1762" s="50" t="n">
        <f aca="false">IF(BW1762=1,0,ROUNDUP(AO1762/BV1762,0))</f>
        <v>0</v>
      </c>
      <c r="AQ1762" s="52" t="n">
        <f aca="false">IF(CL1762&gt;0,CL1762*MAX(1,AO1762/X1762),IF(BW1762=1,IF(AO1762&lt;=0,0,CA1762*MAX(1,IF(H1762&gt;0,AO1762/H1762,1))),IF(R1762&gt;0,AP1762/R1762,0))/MAX(0.1,N(Parameter!$M$21)))</f>
        <v>0</v>
      </c>
      <c r="AR1762" s="50" t="n">
        <f aca="false">AQ1762*BY1762</f>
        <v>0</v>
      </c>
      <c r="AS1762" s="50" t="n">
        <f aca="false">AO1762*G1762</f>
        <v>0</v>
      </c>
      <c r="AT1762" s="50" t="n">
        <f aca="false">ROUNDUP(MAX(J1762/IF(CD1762&gt;0,CD1762,MAX(0.1,N(Cockpit!$I$6))),CG1762)/BV1762,0)*BV1762</f>
        <v>0</v>
      </c>
      <c r="AU1762" s="51" t="n">
        <f aca="false">IF(AR1762&gt;0,J1762/AR1762,-1)</f>
        <v>-1</v>
      </c>
      <c r="AV1762" s="51" t="str">
        <f aca="false">IF(AND(OR(CC1762="L1",CC1762="L23",CC1762="LIFT"),AR1762&gt;0),SUMIFS($AR$7:$AR$1843,$CC$7:$CC$1843,CC1762,$AU$7:$AU$1843,"&gt;"&amp;AU1762)+SUMIFS($AR$7:$AR$1843,$CC$7:$CC$1843,CC1762,$AU$7:$AU$1843,AU1762,$BT$7:$BT$1843,"&lt;="&amp;BT1762),"")</f>
        <v/>
      </c>
      <c r="AW1762" s="58" t="n">
        <f aca="false">IF(AV1762="",0,MAX(0,MIN(1,(IF(CC1762="L1",Parameter!$H$5,IF(CC1762="L23",Parameter!$H$6+Parameter!$H$7,Parameter!$H$5+Parameter!$H$6+Parameter!$H$7))-(AV1762-AR1762))/AR1762)))</f>
        <v>0</v>
      </c>
      <c r="AX1762" s="50" t="n">
        <f aca="false">IF(LEFT(Cockpit!$O$5,1)="A",H1762,IF(CE1762=1,CF1762,IF(LEFT(Cockpit!$O$5,1)="B",BC1762,MAX(BC1762,H1762))))</f>
        <v>0</v>
      </c>
      <c r="AY1762" s="50" t="n">
        <f aca="false">IF(BW1762=1,0,ROUNDUP(AX1762/BV1762,0))</f>
        <v>0</v>
      </c>
      <c r="AZ1762" s="52" t="n">
        <f aca="false">IF(CL1762&gt;0,CL1762*MAX(1,AX1762/X1762),IF(BW1762=1,IF(AX1762&lt;=0,0,CA1762*MAX(1,IF(H1762&gt;0,AX1762/H1762,1))),IF(R1762&gt;0,AY1762/R1762,0))/MAX(0.1,N(Parameter!$M$21)))</f>
        <v>0</v>
      </c>
      <c r="BA1762" s="50" t="n">
        <f aca="false">AZ1762*BY1762</f>
        <v>0</v>
      </c>
      <c r="BB1762" s="50" t="n">
        <f aca="false">AX1762*G1762</f>
        <v>0</v>
      </c>
      <c r="BC1762" s="50" t="n">
        <f aca="false">ROUNDUP(MAX(J1762/IF(CD1762&gt;0,CD1762,MAX(0.1,N(Cockpit!$O$6))),CG1762)/BV1762,0)*BV1762</f>
        <v>0</v>
      </c>
      <c r="BD1762" s="51" t="n">
        <f aca="false">IF(BA1762&gt;0,J1762/BA1762,-1)</f>
        <v>-1</v>
      </c>
      <c r="BE1762" s="51" t="str">
        <f aca="false">IF(AND(OR(CC1762="L1",CC1762="L23",CC1762="LIFT"),BA1762&gt;0),SUMIFS($BA$7:$BA$1843,$CC$7:$CC$1843,CC1762,$BD$7:$BD$1843,"&gt;"&amp;BD1762)+SUMIFS($BA$7:$BA$1843,$CC$7:$CC$1843,CC1762,$BD$7:$BD$1843,BD1762,$BT$7:$BT$1843,"&lt;="&amp;BT1762),"")</f>
        <v/>
      </c>
      <c r="BF1762" s="58" t="n">
        <f aca="false">IF(BE1762="",0,MAX(0,MIN(1,(IF(CC1762="L1",Parameter!$H$5,IF(CC1762="L23",Parameter!$H$6+Parameter!$H$7,Parameter!$H$5+Parameter!$H$6+Parameter!$H$7))-(BE1762-BA1762))/BA1762)))</f>
        <v>0</v>
      </c>
      <c r="BG1762" s="48" t="str">
        <f aca="false">IF(AI1762&lt;=0,"",IF(CC1762="Aussen","Aussenlager",IF(CC1762="-","Nicht im Lift",IF(AN1762&gt;=1,"Lift",IF(AN1762&lt;=0,"Aussenlager","teilweise")))))</f>
        <v/>
      </c>
      <c r="BH1762" s="48" t="str">
        <f aca="false">IF(AR1762&lt;=0,"",IF(CC1762="Aussen","Aussenlager",IF(CC1762="-","Nicht im Lift",IF(AW1762&gt;=1,"Lift",IF(AW1762&lt;=0,"Aussenlager","teilweise")))))</f>
        <v/>
      </c>
      <c r="BI1762" s="48" t="str">
        <f aca="false">IF(BA1762&lt;=0,"",IF(CC1762="Aussen","Aussenlager",IF(CC1762="-","Nicht im Lift",IF(BF1762&gt;=1,"Lift",IF(BF1762&lt;=0,"Aussenlager","teilweise")))))</f>
        <v/>
      </c>
      <c r="BJ1762" s="48" t="str">
        <f aca="false">IF(A1762="","",IF(BS1762=1,"Neu; ","")&amp;IF(AND(BS1762=0,BN1762&lt;0),"negativer Bestand (Export "&amp;BN1762&amp;"); ","")&amp;IF(J1762&lt;=0,"Kein Verbrauch; ","")&amp;IF(CL1762&gt;0,"Lift "&amp;W1762&amp;" lt. Liftbericht (Fach "&amp;X1762&amp;" Stk); ",IF(BX1762=1,"Gebinde geschätzt ("&amp;T1762&amp;"); ",IF(BW1762=1,"Lose – Tablare geschätzt; ","")))&amp;IF(H1762&gt;AT1762,"Überbestand "&amp;ROUND(H1762-AT1762,0)&amp;" Stk / CHF "&amp;ROUND((H1762-AT1762)*G1762,0)&amp;"; ","")&amp;IF(AND(CE1762=1,CF1762&lt;CG1762),"MAX &lt; MB+LG; ","")&amp;IF(AND(CK1762&gt;0,CJ1762*10&gt;CK1762),"zu hoch für Tablar; ","")&amp;IF(AND(BS1762=0,OR(CE1762=1,AA1762&lt;&gt;"",U1762&lt;&gt;"",V1762&lt;&gt;"",AB1762&lt;&gt;"")),"manuell übersteuert; ","")&amp;IF(AND(BW1762=0,R1762=0),"Gebinde unbekannt / Stellmass fehlt; ","")&amp;IF(AND(BW1762=0,N(V1762)&lt;=0,N(Q1762)&lt;=0),"Menge pro Gebinde fehlt (Ist = 1 Gebinde); ","")&amp;BR1762)</f>
        <v/>
      </c>
      <c r="BK1762" s="48"/>
      <c r="BL1762" s="48"/>
      <c r="BM1762" s="55"/>
      <c r="BN1762" s="50" t="n">
        <f aca="false">N('Neue Artikel'!$D$23)</f>
        <v>0</v>
      </c>
      <c r="BO1762" s="50" t="n">
        <v>0</v>
      </c>
      <c r="BP1762" s="49" t="n">
        <v>0</v>
      </c>
      <c r="BQ1762" s="50" t="n">
        <f aca="false">N('Neue Artikel'!$C$23)/Parameter!$B$18</f>
        <v>0</v>
      </c>
      <c r="BR1762" s="48"/>
      <c r="BS1762" s="53" t="n">
        <v>1</v>
      </c>
      <c r="BT1762" s="53" t="n">
        <v>1762</v>
      </c>
      <c r="BU1762" s="48" t="str">
        <f aca="false">IF(U1762&lt;&gt;"",UPPER(TRIM(U1762)),IF(BX1762=1,UPPER(VLOOKUP(T1762,Parameter!$I$27:$K$29,2,0)),IF(P1762="","LOSE",P1762)))</f>
        <v>LOSE</v>
      </c>
      <c r="BV1762" s="50" t="n">
        <f aca="false">IF(BU1762="LOSE",1,IF(N(V1762)&gt;0,V1762,IF(BX1762=1,MAX(1,N(VLOOKUP(T1762,Parameter!$I$27:$K$29,3,0)),H1762,N(N1762)),IF(N(Q1762)&gt;0,Q1762,MAX(1,H1762)))))</f>
        <v>1</v>
      </c>
      <c r="BW1762" s="53" t="n">
        <f aca="false">IF(BU1762="LOSE",1,0)</f>
        <v>1</v>
      </c>
      <c r="BX1762" s="53" t="n">
        <f aca="false">IF(AND(U1762="",OR(P1762="",P1762="LOSE"),T1762&lt;&gt;"",N(S1762)&lt;=0,ISNUMBER(MATCH(T1762,Parameter!$I$27:$I$29,0))),1,0)</f>
        <v>0</v>
      </c>
      <c r="BY1762" s="53" t="n">
        <f aca="false">IF(CL1762&gt;0,INDEX(Parameter!$H$5:$H$7,W1762)/INDEX(Parameter!$E$5:$E$7,W1762),IF(AND(BW1762=0,N(IFERROR(VLOOKUP(BU1762,'Gebinde-Kategorie'!$A$5:$N$45,14,0),0))&gt;0),VLOOKUP(BU1762,'Gebinde-Kategorie'!$A$5:$N$45,14,0)*10+Parameter!$M$23,Parameter!$M$24))</f>
        <v>235</v>
      </c>
      <c r="BZ1762" s="48" t="str">
        <f aca="false">IF(AND(Parameter!$B$19="Ja",E1762&lt;&gt;"",ISNUMBER(MATCH(E1762,Parameter!$I$35:$I$52,0))),VLOOKUP(E1762,Parameter!$I$35:$J$52,2,0),IFERROR(VLOOKUP(D1762,Parameter!$A$35:$C$64,2,0),"Nein"))</f>
        <v>2+3</v>
      </c>
      <c r="CA1762" s="52" t="n">
        <f aca="false">IF(BW1762=0,0,IF(N(S1762)&gt;0,S1762,IFERROR(VLOOKUP(D1762,Parameter!$A$35:$C$64,3,0)+0,0)))</f>
        <v>0.15</v>
      </c>
      <c r="CB1762" s="48" t="str">
        <f aca="false">IF(AA1762&lt;&gt;"",AA1762,Z1762)</f>
        <v/>
      </c>
      <c r="CC1762" s="48" t="str">
        <f aca="false">IF(OR(CB1762=1,CB1762=2,CB1762=3),IF(Parameter!$E$27="Ja","LIFT",IF(CB1762=1,"L1","L23")),IF(CB1762="Aussen","Aussen","-"))</f>
        <v>-</v>
      </c>
      <c r="CD1762" s="59" t="n">
        <f aca="false">IF(N(AB1762)&gt;0,AB1762,0)</f>
        <v>0</v>
      </c>
      <c r="CE1762" s="53" t="n">
        <f aca="false">IF(ISNUMBER(AE1762),1,0)</f>
        <v>0</v>
      </c>
      <c r="CF1762" s="50" t="n">
        <f aca="false">N(AE1762)</f>
        <v>0</v>
      </c>
      <c r="CG1762" s="50" t="n">
        <f aca="false">N(M1762)+N(N1762)</f>
        <v>0</v>
      </c>
      <c r="CH1762" s="50" t="n">
        <f aca="false">ROUNDUP(H1762/BV1762,0)</f>
        <v>0</v>
      </c>
      <c r="CI1762" s="50" t="n">
        <f aca="false">ROUNDUP(CF1762/BV1762,0)</f>
        <v>0</v>
      </c>
      <c r="CJ1762" s="53" t="n">
        <f aca="false">IF(BW1762=1,0,IFERROR(VLOOKUP(BU1762,'Gebinde-Kategorie'!$A$5:$N$45,5,0)+0,0))</f>
        <v>0</v>
      </c>
      <c r="CK1762" s="53" t="n">
        <f aca="false">IFERROR(IF(OR(CB1762=1,CB1762=2,CB1762=3),N(INDEX(Parameter!$I$5:$I$7,CB1762)),0),0)</f>
        <v>0</v>
      </c>
      <c r="CL1762" s="52" t="n">
        <f aca="false">IF(AND(Parameter!$B$21="Ja",ISNUMBER(W1762),N(X1762)&gt;0),IFERROR(N(INDEX(Parameter!$L$5:$L$7,W1762))*INDEX(Parameter!$E$5:$E$7,W1762)*X1762/SUMIFS($X$7:$X$1843,$W$7:$W$1843,W1762),0),0)</f>
        <v>0</v>
      </c>
    </row>
    <row r="1763" customFormat="false" ht="15" hidden="false" customHeight="false" outlineLevel="0" collapsed="false">
      <c r="A1763" s="48" t="str">
        <f aca="false">IF('Neue Artikel'!$A$24="","",'Neue Artikel'!$A$24&amp;"")</f>
        <v/>
      </c>
      <c r="B1763" s="48" t="str">
        <f aca="false">'Neue Artikel'!$B$24&amp;""</f>
        <v/>
      </c>
      <c r="C1763" s="48"/>
      <c r="D1763" s="48" t="s">
        <v>3019</v>
      </c>
      <c r="E1763" s="48"/>
      <c r="F1763" s="48"/>
      <c r="G1763" s="49" t="n">
        <f aca="false">N('Neue Artikel'!$G$24)</f>
        <v>0</v>
      </c>
      <c r="H1763" s="50" t="n">
        <f aca="false">MAX(0,IF(AND(Parameter!$B$21="Ja",ISNUMBER(Y1763)),Y1763,IF(Parameter!$B$20="Jahresanfang 2025 + Export",BO1763+BN1763,BN1763)))</f>
        <v>0</v>
      </c>
      <c r="I1763" s="50" t="n">
        <f aca="false">H1763*G1763</f>
        <v>0</v>
      </c>
      <c r="J1763" s="50" t="n">
        <f aca="false">BQ1763*Parameter!$B$18</f>
        <v>0</v>
      </c>
      <c r="K1763" s="51"/>
      <c r="L1763" s="52"/>
      <c r="M1763" s="50" t="n">
        <f aca="false">N('Neue Artikel'!$E$24)</f>
        <v>0</v>
      </c>
      <c r="N1763" s="50" t="n">
        <f aca="false">N('Neue Artikel'!$F$24)</f>
        <v>0</v>
      </c>
      <c r="O1763" s="53"/>
      <c r="P1763" s="48" t="str">
        <f aca="false">IF('Neue Artikel'!$H$24="","LOSE",UPPER(TRIM('Neue Artikel'!$H$24)))</f>
        <v>LOSE</v>
      </c>
      <c r="Q1763" s="50" t="n">
        <f aca="false">N('Neue Artikel'!$I$24)</f>
        <v>0</v>
      </c>
      <c r="R1763" s="53" t="n">
        <f aca="false">IF(BW1763=1,0,IFERROR(VLOOKUP(BU1763,'Gebinde-Kategorie'!$A$5:$N$45,13,0)+0,0))</f>
        <v>0</v>
      </c>
      <c r="S1763" s="54"/>
      <c r="T1763" s="55"/>
      <c r="U1763" s="55"/>
      <c r="V1763" s="55"/>
      <c r="W1763" s="48"/>
      <c r="X1763" s="50"/>
      <c r="Y1763" s="50"/>
      <c r="Z1763" s="48" t="str">
        <f aca="false">IF(A1763="","",IF(AND(Parameter!$B$21="Ja",ISNUMBER(W1763)),W1763,IF(BZ1763="2+3",IF(ISNUMBER(SEARCH("grosser Artikel",BR1763)),2,IFERROR(VLOOKUP(BU1763,Parameter!$F$35:$G$64,2,0),2)),IF(OR(BZ1763="Nein",BZ1763=""),"-",BZ1763))))</f>
        <v/>
      </c>
      <c r="AA1763" s="48" t="str">
        <f aca="false">IF('Neue Artikel'!$J$24="","",'Neue Artikel'!$J$24)</f>
        <v/>
      </c>
      <c r="AB1763" s="56"/>
      <c r="AC1763" s="50" t="n">
        <f aca="false">AT1763</f>
        <v>0</v>
      </c>
      <c r="AD1763" s="50" t="n">
        <f aca="false">MAX(AT1763,H1763)</f>
        <v>0</v>
      </c>
      <c r="AE1763" s="57"/>
      <c r="AF1763" s="50" t="n">
        <f aca="false">IF(LEFT(Cockpit!$C$5,1)="A",H1763,IF(CE1763=1,CF1763,IF(LEFT(Cockpit!$C$5,1)="B",AK1763,MAX(AK1763,H1763))))</f>
        <v>0</v>
      </c>
      <c r="AG1763" s="50" t="n">
        <f aca="false">IF(BW1763=1,0,ROUNDUP(AF1763/BV1763,0))</f>
        <v>0</v>
      </c>
      <c r="AH1763" s="52" t="n">
        <f aca="false">IF(CL1763&gt;0,CL1763*MAX(1,AF1763/X1763),IF(BW1763=1,IF(AF1763&lt;=0,0,CA1763*MAX(1,IF(H1763&gt;0,AF1763/H1763,1))),IF(R1763&gt;0,AG1763/R1763,0))/MAX(0.1,N(Parameter!$M$21)))</f>
        <v>0</v>
      </c>
      <c r="AI1763" s="50" t="n">
        <f aca="false">AH1763*BY1763</f>
        <v>0</v>
      </c>
      <c r="AJ1763" s="50" t="n">
        <f aca="false">AF1763*G1763</f>
        <v>0</v>
      </c>
      <c r="AK1763" s="50" t="n">
        <f aca="false">ROUNDUP(MAX(J1763/IF(CD1763&gt;0,CD1763,MAX(0.1,N(Cockpit!$C$6))),CG1763)/BV1763,0)*BV1763</f>
        <v>0</v>
      </c>
      <c r="AL1763" s="51" t="n">
        <f aca="false">IF(AI1763&gt;0,J1763/AI1763,-1)</f>
        <v>-1</v>
      </c>
      <c r="AM1763" s="51" t="str">
        <f aca="false">IF(AND(OR(CC1763="L1",CC1763="L23",CC1763="LIFT"),AI1763&gt;0),SUMIFS($AI$7:$AI$1843,$CC$7:$CC$1843,CC1763,$AL$7:$AL$1843,"&gt;"&amp;AL1763)+SUMIFS($AI$7:$AI$1843,$CC$7:$CC$1843,CC1763,$AL$7:$AL$1843,AL1763,$BT$7:$BT$1843,"&lt;="&amp;BT1763),"")</f>
        <v/>
      </c>
      <c r="AN1763" s="58" t="n">
        <f aca="false">IF(AM1763="",0,MAX(0,MIN(1,(IF(CC1763="L1",Parameter!$H$5,IF(CC1763="L23",Parameter!$H$6+Parameter!$H$7,Parameter!$H$5+Parameter!$H$6+Parameter!$H$7))-(AM1763-AI1763))/AI1763)))</f>
        <v>0</v>
      </c>
      <c r="AO1763" s="50" t="n">
        <f aca="false">IF(LEFT(Cockpit!$I$5,1)="A",H1763,IF(CE1763=1,CF1763,IF(LEFT(Cockpit!$I$5,1)="B",AT1763,MAX(AT1763,H1763))))</f>
        <v>0</v>
      </c>
      <c r="AP1763" s="50" t="n">
        <f aca="false">IF(BW1763=1,0,ROUNDUP(AO1763/BV1763,0))</f>
        <v>0</v>
      </c>
      <c r="AQ1763" s="52" t="n">
        <f aca="false">IF(CL1763&gt;0,CL1763*MAX(1,AO1763/X1763),IF(BW1763=1,IF(AO1763&lt;=0,0,CA1763*MAX(1,IF(H1763&gt;0,AO1763/H1763,1))),IF(R1763&gt;0,AP1763/R1763,0))/MAX(0.1,N(Parameter!$M$21)))</f>
        <v>0</v>
      </c>
      <c r="AR1763" s="50" t="n">
        <f aca="false">AQ1763*BY1763</f>
        <v>0</v>
      </c>
      <c r="AS1763" s="50" t="n">
        <f aca="false">AO1763*G1763</f>
        <v>0</v>
      </c>
      <c r="AT1763" s="50" t="n">
        <f aca="false">ROUNDUP(MAX(J1763/IF(CD1763&gt;0,CD1763,MAX(0.1,N(Cockpit!$I$6))),CG1763)/BV1763,0)*BV1763</f>
        <v>0</v>
      </c>
      <c r="AU1763" s="51" t="n">
        <f aca="false">IF(AR1763&gt;0,J1763/AR1763,-1)</f>
        <v>-1</v>
      </c>
      <c r="AV1763" s="51" t="str">
        <f aca="false">IF(AND(OR(CC1763="L1",CC1763="L23",CC1763="LIFT"),AR1763&gt;0),SUMIFS($AR$7:$AR$1843,$CC$7:$CC$1843,CC1763,$AU$7:$AU$1843,"&gt;"&amp;AU1763)+SUMIFS($AR$7:$AR$1843,$CC$7:$CC$1843,CC1763,$AU$7:$AU$1843,AU1763,$BT$7:$BT$1843,"&lt;="&amp;BT1763),"")</f>
        <v/>
      </c>
      <c r="AW1763" s="58" t="n">
        <f aca="false">IF(AV1763="",0,MAX(0,MIN(1,(IF(CC1763="L1",Parameter!$H$5,IF(CC1763="L23",Parameter!$H$6+Parameter!$H$7,Parameter!$H$5+Parameter!$H$6+Parameter!$H$7))-(AV1763-AR1763))/AR1763)))</f>
        <v>0</v>
      </c>
      <c r="AX1763" s="50" t="n">
        <f aca="false">IF(LEFT(Cockpit!$O$5,1)="A",H1763,IF(CE1763=1,CF1763,IF(LEFT(Cockpit!$O$5,1)="B",BC1763,MAX(BC1763,H1763))))</f>
        <v>0</v>
      </c>
      <c r="AY1763" s="50" t="n">
        <f aca="false">IF(BW1763=1,0,ROUNDUP(AX1763/BV1763,0))</f>
        <v>0</v>
      </c>
      <c r="AZ1763" s="52" t="n">
        <f aca="false">IF(CL1763&gt;0,CL1763*MAX(1,AX1763/X1763),IF(BW1763=1,IF(AX1763&lt;=0,0,CA1763*MAX(1,IF(H1763&gt;0,AX1763/H1763,1))),IF(R1763&gt;0,AY1763/R1763,0))/MAX(0.1,N(Parameter!$M$21)))</f>
        <v>0</v>
      </c>
      <c r="BA1763" s="50" t="n">
        <f aca="false">AZ1763*BY1763</f>
        <v>0</v>
      </c>
      <c r="BB1763" s="50" t="n">
        <f aca="false">AX1763*G1763</f>
        <v>0</v>
      </c>
      <c r="BC1763" s="50" t="n">
        <f aca="false">ROUNDUP(MAX(J1763/IF(CD1763&gt;0,CD1763,MAX(0.1,N(Cockpit!$O$6))),CG1763)/BV1763,0)*BV1763</f>
        <v>0</v>
      </c>
      <c r="BD1763" s="51" t="n">
        <f aca="false">IF(BA1763&gt;0,J1763/BA1763,-1)</f>
        <v>-1</v>
      </c>
      <c r="BE1763" s="51" t="str">
        <f aca="false">IF(AND(OR(CC1763="L1",CC1763="L23",CC1763="LIFT"),BA1763&gt;0),SUMIFS($BA$7:$BA$1843,$CC$7:$CC$1843,CC1763,$BD$7:$BD$1843,"&gt;"&amp;BD1763)+SUMIFS($BA$7:$BA$1843,$CC$7:$CC$1843,CC1763,$BD$7:$BD$1843,BD1763,$BT$7:$BT$1843,"&lt;="&amp;BT1763),"")</f>
        <v/>
      </c>
      <c r="BF1763" s="58" t="n">
        <f aca="false">IF(BE1763="",0,MAX(0,MIN(1,(IF(CC1763="L1",Parameter!$H$5,IF(CC1763="L23",Parameter!$H$6+Parameter!$H$7,Parameter!$H$5+Parameter!$H$6+Parameter!$H$7))-(BE1763-BA1763))/BA1763)))</f>
        <v>0</v>
      </c>
      <c r="BG1763" s="48" t="str">
        <f aca="false">IF(AI1763&lt;=0,"",IF(CC1763="Aussen","Aussenlager",IF(CC1763="-","Nicht im Lift",IF(AN1763&gt;=1,"Lift",IF(AN1763&lt;=0,"Aussenlager","teilweise")))))</f>
        <v/>
      </c>
      <c r="BH1763" s="48" t="str">
        <f aca="false">IF(AR1763&lt;=0,"",IF(CC1763="Aussen","Aussenlager",IF(CC1763="-","Nicht im Lift",IF(AW1763&gt;=1,"Lift",IF(AW1763&lt;=0,"Aussenlager","teilweise")))))</f>
        <v/>
      </c>
      <c r="BI1763" s="48" t="str">
        <f aca="false">IF(BA1763&lt;=0,"",IF(CC1763="Aussen","Aussenlager",IF(CC1763="-","Nicht im Lift",IF(BF1763&gt;=1,"Lift",IF(BF1763&lt;=0,"Aussenlager","teilweise")))))</f>
        <v/>
      </c>
      <c r="BJ1763" s="48" t="str">
        <f aca="false">IF(A1763="","",IF(BS1763=1,"Neu; ","")&amp;IF(AND(BS1763=0,BN1763&lt;0),"negativer Bestand (Export "&amp;BN1763&amp;"); ","")&amp;IF(J1763&lt;=0,"Kein Verbrauch; ","")&amp;IF(CL1763&gt;0,"Lift "&amp;W1763&amp;" lt. Liftbericht (Fach "&amp;X1763&amp;" Stk); ",IF(BX1763=1,"Gebinde geschätzt ("&amp;T1763&amp;"); ",IF(BW1763=1,"Lose – Tablare geschätzt; ","")))&amp;IF(H1763&gt;AT1763,"Überbestand "&amp;ROUND(H1763-AT1763,0)&amp;" Stk / CHF "&amp;ROUND((H1763-AT1763)*G1763,0)&amp;"; ","")&amp;IF(AND(CE1763=1,CF1763&lt;CG1763),"MAX &lt; MB+LG; ","")&amp;IF(AND(CK1763&gt;0,CJ1763*10&gt;CK1763),"zu hoch für Tablar; ","")&amp;IF(AND(BS1763=0,OR(CE1763=1,AA1763&lt;&gt;"",U1763&lt;&gt;"",V1763&lt;&gt;"",AB1763&lt;&gt;"")),"manuell übersteuert; ","")&amp;IF(AND(BW1763=0,R1763=0),"Gebinde unbekannt / Stellmass fehlt; ","")&amp;IF(AND(BW1763=0,N(V1763)&lt;=0,N(Q1763)&lt;=0),"Menge pro Gebinde fehlt (Ist = 1 Gebinde); ","")&amp;BR1763)</f>
        <v/>
      </c>
      <c r="BK1763" s="48"/>
      <c r="BL1763" s="48"/>
      <c r="BM1763" s="55"/>
      <c r="BN1763" s="50" t="n">
        <f aca="false">N('Neue Artikel'!$D$24)</f>
        <v>0</v>
      </c>
      <c r="BO1763" s="50" t="n">
        <v>0</v>
      </c>
      <c r="BP1763" s="49" t="n">
        <v>0</v>
      </c>
      <c r="BQ1763" s="50" t="n">
        <f aca="false">N('Neue Artikel'!$C$24)/Parameter!$B$18</f>
        <v>0</v>
      </c>
      <c r="BR1763" s="48"/>
      <c r="BS1763" s="53" t="n">
        <v>1</v>
      </c>
      <c r="BT1763" s="53" t="n">
        <v>1763</v>
      </c>
      <c r="BU1763" s="48" t="str">
        <f aca="false">IF(U1763&lt;&gt;"",UPPER(TRIM(U1763)),IF(BX1763=1,UPPER(VLOOKUP(T1763,Parameter!$I$27:$K$29,2,0)),IF(P1763="","LOSE",P1763)))</f>
        <v>LOSE</v>
      </c>
      <c r="BV1763" s="50" t="n">
        <f aca="false">IF(BU1763="LOSE",1,IF(N(V1763)&gt;0,V1763,IF(BX1763=1,MAX(1,N(VLOOKUP(T1763,Parameter!$I$27:$K$29,3,0)),H1763,N(N1763)),IF(N(Q1763)&gt;0,Q1763,MAX(1,H1763)))))</f>
        <v>1</v>
      </c>
      <c r="BW1763" s="53" t="n">
        <f aca="false">IF(BU1763="LOSE",1,0)</f>
        <v>1</v>
      </c>
      <c r="BX1763" s="53" t="n">
        <f aca="false">IF(AND(U1763="",OR(P1763="",P1763="LOSE"),T1763&lt;&gt;"",N(S1763)&lt;=0,ISNUMBER(MATCH(T1763,Parameter!$I$27:$I$29,0))),1,0)</f>
        <v>0</v>
      </c>
      <c r="BY1763" s="53" t="n">
        <f aca="false">IF(CL1763&gt;0,INDEX(Parameter!$H$5:$H$7,W1763)/INDEX(Parameter!$E$5:$E$7,W1763),IF(AND(BW1763=0,N(IFERROR(VLOOKUP(BU1763,'Gebinde-Kategorie'!$A$5:$N$45,14,0),0))&gt;0),VLOOKUP(BU1763,'Gebinde-Kategorie'!$A$5:$N$45,14,0)*10+Parameter!$M$23,Parameter!$M$24))</f>
        <v>235</v>
      </c>
      <c r="BZ1763" s="48" t="str">
        <f aca="false">IF(AND(Parameter!$B$19="Ja",E1763&lt;&gt;"",ISNUMBER(MATCH(E1763,Parameter!$I$35:$I$52,0))),VLOOKUP(E1763,Parameter!$I$35:$J$52,2,0),IFERROR(VLOOKUP(D1763,Parameter!$A$35:$C$64,2,0),"Nein"))</f>
        <v>2+3</v>
      </c>
      <c r="CA1763" s="52" t="n">
        <f aca="false">IF(BW1763=0,0,IF(N(S1763)&gt;0,S1763,IFERROR(VLOOKUP(D1763,Parameter!$A$35:$C$64,3,0)+0,0)))</f>
        <v>0.15</v>
      </c>
      <c r="CB1763" s="48" t="str">
        <f aca="false">IF(AA1763&lt;&gt;"",AA1763,Z1763)</f>
        <v/>
      </c>
      <c r="CC1763" s="48" t="str">
        <f aca="false">IF(OR(CB1763=1,CB1763=2,CB1763=3),IF(Parameter!$E$27="Ja","LIFT",IF(CB1763=1,"L1","L23")),IF(CB1763="Aussen","Aussen","-"))</f>
        <v>-</v>
      </c>
      <c r="CD1763" s="59" t="n">
        <f aca="false">IF(N(AB1763)&gt;0,AB1763,0)</f>
        <v>0</v>
      </c>
      <c r="CE1763" s="53" t="n">
        <f aca="false">IF(ISNUMBER(AE1763),1,0)</f>
        <v>0</v>
      </c>
      <c r="CF1763" s="50" t="n">
        <f aca="false">N(AE1763)</f>
        <v>0</v>
      </c>
      <c r="CG1763" s="50" t="n">
        <f aca="false">N(M1763)+N(N1763)</f>
        <v>0</v>
      </c>
      <c r="CH1763" s="50" t="n">
        <f aca="false">ROUNDUP(H1763/BV1763,0)</f>
        <v>0</v>
      </c>
      <c r="CI1763" s="50" t="n">
        <f aca="false">ROUNDUP(CF1763/BV1763,0)</f>
        <v>0</v>
      </c>
      <c r="CJ1763" s="53" t="n">
        <f aca="false">IF(BW1763=1,0,IFERROR(VLOOKUP(BU1763,'Gebinde-Kategorie'!$A$5:$N$45,5,0)+0,0))</f>
        <v>0</v>
      </c>
      <c r="CK1763" s="53" t="n">
        <f aca="false">IFERROR(IF(OR(CB1763=1,CB1763=2,CB1763=3),N(INDEX(Parameter!$I$5:$I$7,CB1763)),0),0)</f>
        <v>0</v>
      </c>
      <c r="CL1763" s="52" t="n">
        <f aca="false">IF(AND(Parameter!$B$21="Ja",ISNUMBER(W1763),N(X1763)&gt;0),IFERROR(N(INDEX(Parameter!$L$5:$L$7,W1763))*INDEX(Parameter!$E$5:$E$7,W1763)*X1763/SUMIFS($X$7:$X$1843,$W$7:$W$1843,W1763),0),0)</f>
        <v>0</v>
      </c>
    </row>
    <row r="1764" customFormat="false" ht="15" hidden="false" customHeight="false" outlineLevel="0" collapsed="false">
      <c r="A1764" s="48" t="str">
        <f aca="false">IF('Neue Artikel'!$A$25="","",'Neue Artikel'!$A$25&amp;"")</f>
        <v/>
      </c>
      <c r="B1764" s="48" t="str">
        <f aca="false">'Neue Artikel'!$B$25&amp;""</f>
        <v/>
      </c>
      <c r="C1764" s="48"/>
      <c r="D1764" s="48" t="s">
        <v>3019</v>
      </c>
      <c r="E1764" s="48"/>
      <c r="F1764" s="48"/>
      <c r="G1764" s="49" t="n">
        <f aca="false">N('Neue Artikel'!$G$25)</f>
        <v>0</v>
      </c>
      <c r="H1764" s="50" t="n">
        <f aca="false">MAX(0,IF(AND(Parameter!$B$21="Ja",ISNUMBER(Y1764)),Y1764,IF(Parameter!$B$20="Jahresanfang 2025 + Export",BO1764+BN1764,BN1764)))</f>
        <v>0</v>
      </c>
      <c r="I1764" s="50" t="n">
        <f aca="false">H1764*G1764</f>
        <v>0</v>
      </c>
      <c r="J1764" s="50" t="n">
        <f aca="false">BQ1764*Parameter!$B$18</f>
        <v>0</v>
      </c>
      <c r="K1764" s="51"/>
      <c r="L1764" s="52"/>
      <c r="M1764" s="50" t="n">
        <f aca="false">N('Neue Artikel'!$E$25)</f>
        <v>0</v>
      </c>
      <c r="N1764" s="50" t="n">
        <f aca="false">N('Neue Artikel'!$F$25)</f>
        <v>0</v>
      </c>
      <c r="O1764" s="53"/>
      <c r="P1764" s="48" t="str">
        <f aca="false">IF('Neue Artikel'!$H$25="","LOSE",UPPER(TRIM('Neue Artikel'!$H$25)))</f>
        <v>LOSE</v>
      </c>
      <c r="Q1764" s="50" t="n">
        <f aca="false">N('Neue Artikel'!$I$25)</f>
        <v>0</v>
      </c>
      <c r="R1764" s="53" t="n">
        <f aca="false">IF(BW1764=1,0,IFERROR(VLOOKUP(BU1764,'Gebinde-Kategorie'!$A$5:$N$45,13,0)+0,0))</f>
        <v>0</v>
      </c>
      <c r="S1764" s="54"/>
      <c r="T1764" s="55"/>
      <c r="U1764" s="55"/>
      <c r="V1764" s="55"/>
      <c r="W1764" s="48"/>
      <c r="X1764" s="50"/>
      <c r="Y1764" s="50"/>
      <c r="Z1764" s="48" t="str">
        <f aca="false">IF(A1764="","",IF(AND(Parameter!$B$21="Ja",ISNUMBER(W1764)),W1764,IF(BZ1764="2+3",IF(ISNUMBER(SEARCH("grosser Artikel",BR1764)),2,IFERROR(VLOOKUP(BU1764,Parameter!$F$35:$G$64,2,0),2)),IF(OR(BZ1764="Nein",BZ1764=""),"-",BZ1764))))</f>
        <v/>
      </c>
      <c r="AA1764" s="48" t="str">
        <f aca="false">IF('Neue Artikel'!$J$25="","",'Neue Artikel'!$J$25)</f>
        <v/>
      </c>
      <c r="AB1764" s="56"/>
      <c r="AC1764" s="50" t="n">
        <f aca="false">AT1764</f>
        <v>0</v>
      </c>
      <c r="AD1764" s="50" t="n">
        <f aca="false">MAX(AT1764,H1764)</f>
        <v>0</v>
      </c>
      <c r="AE1764" s="57"/>
      <c r="AF1764" s="50" t="n">
        <f aca="false">IF(LEFT(Cockpit!$C$5,1)="A",H1764,IF(CE1764=1,CF1764,IF(LEFT(Cockpit!$C$5,1)="B",AK1764,MAX(AK1764,H1764))))</f>
        <v>0</v>
      </c>
      <c r="AG1764" s="50" t="n">
        <f aca="false">IF(BW1764=1,0,ROUNDUP(AF1764/BV1764,0))</f>
        <v>0</v>
      </c>
      <c r="AH1764" s="52" t="n">
        <f aca="false">IF(CL1764&gt;0,CL1764*MAX(1,AF1764/X1764),IF(BW1764=1,IF(AF1764&lt;=0,0,CA1764*MAX(1,IF(H1764&gt;0,AF1764/H1764,1))),IF(R1764&gt;0,AG1764/R1764,0))/MAX(0.1,N(Parameter!$M$21)))</f>
        <v>0</v>
      </c>
      <c r="AI1764" s="50" t="n">
        <f aca="false">AH1764*BY1764</f>
        <v>0</v>
      </c>
      <c r="AJ1764" s="50" t="n">
        <f aca="false">AF1764*G1764</f>
        <v>0</v>
      </c>
      <c r="AK1764" s="50" t="n">
        <f aca="false">ROUNDUP(MAX(J1764/IF(CD1764&gt;0,CD1764,MAX(0.1,N(Cockpit!$C$6))),CG1764)/BV1764,0)*BV1764</f>
        <v>0</v>
      </c>
      <c r="AL1764" s="51" t="n">
        <f aca="false">IF(AI1764&gt;0,J1764/AI1764,-1)</f>
        <v>-1</v>
      </c>
      <c r="AM1764" s="51" t="str">
        <f aca="false">IF(AND(OR(CC1764="L1",CC1764="L23",CC1764="LIFT"),AI1764&gt;0),SUMIFS($AI$7:$AI$1843,$CC$7:$CC$1843,CC1764,$AL$7:$AL$1843,"&gt;"&amp;AL1764)+SUMIFS($AI$7:$AI$1843,$CC$7:$CC$1843,CC1764,$AL$7:$AL$1843,AL1764,$BT$7:$BT$1843,"&lt;="&amp;BT1764),"")</f>
        <v/>
      </c>
      <c r="AN1764" s="58" t="n">
        <f aca="false">IF(AM1764="",0,MAX(0,MIN(1,(IF(CC1764="L1",Parameter!$H$5,IF(CC1764="L23",Parameter!$H$6+Parameter!$H$7,Parameter!$H$5+Parameter!$H$6+Parameter!$H$7))-(AM1764-AI1764))/AI1764)))</f>
        <v>0</v>
      </c>
      <c r="AO1764" s="50" t="n">
        <f aca="false">IF(LEFT(Cockpit!$I$5,1)="A",H1764,IF(CE1764=1,CF1764,IF(LEFT(Cockpit!$I$5,1)="B",AT1764,MAX(AT1764,H1764))))</f>
        <v>0</v>
      </c>
      <c r="AP1764" s="50" t="n">
        <f aca="false">IF(BW1764=1,0,ROUNDUP(AO1764/BV1764,0))</f>
        <v>0</v>
      </c>
      <c r="AQ1764" s="52" t="n">
        <f aca="false">IF(CL1764&gt;0,CL1764*MAX(1,AO1764/X1764),IF(BW1764=1,IF(AO1764&lt;=0,0,CA1764*MAX(1,IF(H1764&gt;0,AO1764/H1764,1))),IF(R1764&gt;0,AP1764/R1764,0))/MAX(0.1,N(Parameter!$M$21)))</f>
        <v>0</v>
      </c>
      <c r="AR1764" s="50" t="n">
        <f aca="false">AQ1764*BY1764</f>
        <v>0</v>
      </c>
      <c r="AS1764" s="50" t="n">
        <f aca="false">AO1764*G1764</f>
        <v>0</v>
      </c>
      <c r="AT1764" s="50" t="n">
        <f aca="false">ROUNDUP(MAX(J1764/IF(CD1764&gt;0,CD1764,MAX(0.1,N(Cockpit!$I$6))),CG1764)/BV1764,0)*BV1764</f>
        <v>0</v>
      </c>
      <c r="AU1764" s="51" t="n">
        <f aca="false">IF(AR1764&gt;0,J1764/AR1764,-1)</f>
        <v>-1</v>
      </c>
      <c r="AV1764" s="51" t="str">
        <f aca="false">IF(AND(OR(CC1764="L1",CC1764="L23",CC1764="LIFT"),AR1764&gt;0),SUMIFS($AR$7:$AR$1843,$CC$7:$CC$1843,CC1764,$AU$7:$AU$1843,"&gt;"&amp;AU1764)+SUMIFS($AR$7:$AR$1843,$CC$7:$CC$1843,CC1764,$AU$7:$AU$1843,AU1764,$BT$7:$BT$1843,"&lt;="&amp;BT1764),"")</f>
        <v/>
      </c>
      <c r="AW1764" s="58" t="n">
        <f aca="false">IF(AV1764="",0,MAX(0,MIN(1,(IF(CC1764="L1",Parameter!$H$5,IF(CC1764="L23",Parameter!$H$6+Parameter!$H$7,Parameter!$H$5+Parameter!$H$6+Parameter!$H$7))-(AV1764-AR1764))/AR1764)))</f>
        <v>0</v>
      </c>
      <c r="AX1764" s="50" t="n">
        <f aca="false">IF(LEFT(Cockpit!$O$5,1)="A",H1764,IF(CE1764=1,CF1764,IF(LEFT(Cockpit!$O$5,1)="B",BC1764,MAX(BC1764,H1764))))</f>
        <v>0</v>
      </c>
      <c r="AY1764" s="50" t="n">
        <f aca="false">IF(BW1764=1,0,ROUNDUP(AX1764/BV1764,0))</f>
        <v>0</v>
      </c>
      <c r="AZ1764" s="52" t="n">
        <f aca="false">IF(CL1764&gt;0,CL1764*MAX(1,AX1764/X1764),IF(BW1764=1,IF(AX1764&lt;=0,0,CA1764*MAX(1,IF(H1764&gt;0,AX1764/H1764,1))),IF(R1764&gt;0,AY1764/R1764,0))/MAX(0.1,N(Parameter!$M$21)))</f>
        <v>0</v>
      </c>
      <c r="BA1764" s="50" t="n">
        <f aca="false">AZ1764*BY1764</f>
        <v>0</v>
      </c>
      <c r="BB1764" s="50" t="n">
        <f aca="false">AX1764*G1764</f>
        <v>0</v>
      </c>
      <c r="BC1764" s="50" t="n">
        <f aca="false">ROUNDUP(MAX(J1764/IF(CD1764&gt;0,CD1764,MAX(0.1,N(Cockpit!$O$6))),CG1764)/BV1764,0)*BV1764</f>
        <v>0</v>
      </c>
      <c r="BD1764" s="51" t="n">
        <f aca="false">IF(BA1764&gt;0,J1764/BA1764,-1)</f>
        <v>-1</v>
      </c>
      <c r="BE1764" s="51" t="str">
        <f aca="false">IF(AND(OR(CC1764="L1",CC1764="L23",CC1764="LIFT"),BA1764&gt;0),SUMIFS($BA$7:$BA$1843,$CC$7:$CC$1843,CC1764,$BD$7:$BD$1843,"&gt;"&amp;BD1764)+SUMIFS($BA$7:$BA$1843,$CC$7:$CC$1843,CC1764,$BD$7:$BD$1843,BD1764,$BT$7:$BT$1843,"&lt;="&amp;BT1764),"")</f>
        <v/>
      </c>
      <c r="BF1764" s="58" t="n">
        <f aca="false">IF(BE1764="",0,MAX(0,MIN(1,(IF(CC1764="L1",Parameter!$H$5,IF(CC1764="L23",Parameter!$H$6+Parameter!$H$7,Parameter!$H$5+Parameter!$H$6+Parameter!$H$7))-(BE1764-BA1764))/BA1764)))</f>
        <v>0</v>
      </c>
      <c r="BG1764" s="48" t="str">
        <f aca="false">IF(AI1764&lt;=0,"",IF(CC1764="Aussen","Aussenlager",IF(CC1764="-","Nicht im Lift",IF(AN1764&gt;=1,"Lift",IF(AN1764&lt;=0,"Aussenlager","teilweise")))))</f>
        <v/>
      </c>
      <c r="BH1764" s="48" t="str">
        <f aca="false">IF(AR1764&lt;=0,"",IF(CC1764="Aussen","Aussenlager",IF(CC1764="-","Nicht im Lift",IF(AW1764&gt;=1,"Lift",IF(AW1764&lt;=0,"Aussenlager","teilweise")))))</f>
        <v/>
      </c>
      <c r="BI1764" s="48" t="str">
        <f aca="false">IF(BA1764&lt;=0,"",IF(CC1764="Aussen","Aussenlager",IF(CC1764="-","Nicht im Lift",IF(BF1764&gt;=1,"Lift",IF(BF1764&lt;=0,"Aussenlager","teilweise")))))</f>
        <v/>
      </c>
      <c r="BJ1764" s="48" t="str">
        <f aca="false">IF(A1764="","",IF(BS1764=1,"Neu; ","")&amp;IF(AND(BS1764=0,BN1764&lt;0),"negativer Bestand (Export "&amp;BN1764&amp;"); ","")&amp;IF(J1764&lt;=0,"Kein Verbrauch; ","")&amp;IF(CL1764&gt;0,"Lift "&amp;W1764&amp;" lt. Liftbericht (Fach "&amp;X1764&amp;" Stk); ",IF(BX1764=1,"Gebinde geschätzt ("&amp;T1764&amp;"); ",IF(BW1764=1,"Lose – Tablare geschätzt; ","")))&amp;IF(H1764&gt;AT1764,"Überbestand "&amp;ROUND(H1764-AT1764,0)&amp;" Stk / CHF "&amp;ROUND((H1764-AT1764)*G1764,0)&amp;"; ","")&amp;IF(AND(CE1764=1,CF1764&lt;CG1764),"MAX &lt; MB+LG; ","")&amp;IF(AND(CK1764&gt;0,CJ1764*10&gt;CK1764),"zu hoch für Tablar; ","")&amp;IF(AND(BS1764=0,OR(CE1764=1,AA1764&lt;&gt;"",U1764&lt;&gt;"",V1764&lt;&gt;"",AB1764&lt;&gt;"")),"manuell übersteuert; ","")&amp;IF(AND(BW1764=0,R1764=0),"Gebinde unbekannt / Stellmass fehlt; ","")&amp;IF(AND(BW1764=0,N(V1764)&lt;=0,N(Q1764)&lt;=0),"Menge pro Gebinde fehlt (Ist = 1 Gebinde); ","")&amp;BR1764)</f>
        <v/>
      </c>
      <c r="BK1764" s="48"/>
      <c r="BL1764" s="48"/>
      <c r="BM1764" s="55"/>
      <c r="BN1764" s="50" t="n">
        <f aca="false">N('Neue Artikel'!$D$25)</f>
        <v>0</v>
      </c>
      <c r="BO1764" s="50" t="n">
        <v>0</v>
      </c>
      <c r="BP1764" s="49" t="n">
        <v>0</v>
      </c>
      <c r="BQ1764" s="50" t="n">
        <f aca="false">N('Neue Artikel'!$C$25)/Parameter!$B$18</f>
        <v>0</v>
      </c>
      <c r="BR1764" s="48"/>
      <c r="BS1764" s="53" t="n">
        <v>1</v>
      </c>
      <c r="BT1764" s="53" t="n">
        <v>1764</v>
      </c>
      <c r="BU1764" s="48" t="str">
        <f aca="false">IF(U1764&lt;&gt;"",UPPER(TRIM(U1764)),IF(BX1764=1,UPPER(VLOOKUP(T1764,Parameter!$I$27:$K$29,2,0)),IF(P1764="","LOSE",P1764)))</f>
        <v>LOSE</v>
      </c>
      <c r="BV1764" s="50" t="n">
        <f aca="false">IF(BU1764="LOSE",1,IF(N(V1764)&gt;0,V1764,IF(BX1764=1,MAX(1,N(VLOOKUP(T1764,Parameter!$I$27:$K$29,3,0)),H1764,N(N1764)),IF(N(Q1764)&gt;0,Q1764,MAX(1,H1764)))))</f>
        <v>1</v>
      </c>
      <c r="BW1764" s="53" t="n">
        <f aca="false">IF(BU1764="LOSE",1,0)</f>
        <v>1</v>
      </c>
      <c r="BX1764" s="53" t="n">
        <f aca="false">IF(AND(U1764="",OR(P1764="",P1764="LOSE"),T1764&lt;&gt;"",N(S1764)&lt;=0,ISNUMBER(MATCH(T1764,Parameter!$I$27:$I$29,0))),1,0)</f>
        <v>0</v>
      </c>
      <c r="BY1764" s="53" t="n">
        <f aca="false">IF(CL1764&gt;0,INDEX(Parameter!$H$5:$H$7,W1764)/INDEX(Parameter!$E$5:$E$7,W1764),IF(AND(BW1764=0,N(IFERROR(VLOOKUP(BU1764,'Gebinde-Kategorie'!$A$5:$N$45,14,0),0))&gt;0),VLOOKUP(BU1764,'Gebinde-Kategorie'!$A$5:$N$45,14,0)*10+Parameter!$M$23,Parameter!$M$24))</f>
        <v>235</v>
      </c>
      <c r="BZ1764" s="48" t="str">
        <f aca="false">IF(AND(Parameter!$B$19="Ja",E1764&lt;&gt;"",ISNUMBER(MATCH(E1764,Parameter!$I$35:$I$52,0))),VLOOKUP(E1764,Parameter!$I$35:$J$52,2,0),IFERROR(VLOOKUP(D1764,Parameter!$A$35:$C$64,2,0),"Nein"))</f>
        <v>2+3</v>
      </c>
      <c r="CA1764" s="52" t="n">
        <f aca="false">IF(BW1764=0,0,IF(N(S1764)&gt;0,S1764,IFERROR(VLOOKUP(D1764,Parameter!$A$35:$C$64,3,0)+0,0)))</f>
        <v>0.15</v>
      </c>
      <c r="CB1764" s="48" t="str">
        <f aca="false">IF(AA1764&lt;&gt;"",AA1764,Z1764)</f>
        <v/>
      </c>
      <c r="CC1764" s="48" t="str">
        <f aca="false">IF(OR(CB1764=1,CB1764=2,CB1764=3),IF(Parameter!$E$27="Ja","LIFT",IF(CB1764=1,"L1","L23")),IF(CB1764="Aussen","Aussen","-"))</f>
        <v>-</v>
      </c>
      <c r="CD1764" s="59" t="n">
        <f aca="false">IF(N(AB1764)&gt;0,AB1764,0)</f>
        <v>0</v>
      </c>
      <c r="CE1764" s="53" t="n">
        <f aca="false">IF(ISNUMBER(AE1764),1,0)</f>
        <v>0</v>
      </c>
      <c r="CF1764" s="50" t="n">
        <f aca="false">N(AE1764)</f>
        <v>0</v>
      </c>
      <c r="CG1764" s="50" t="n">
        <f aca="false">N(M1764)+N(N1764)</f>
        <v>0</v>
      </c>
      <c r="CH1764" s="50" t="n">
        <f aca="false">ROUNDUP(H1764/BV1764,0)</f>
        <v>0</v>
      </c>
      <c r="CI1764" s="50" t="n">
        <f aca="false">ROUNDUP(CF1764/BV1764,0)</f>
        <v>0</v>
      </c>
      <c r="CJ1764" s="53" t="n">
        <f aca="false">IF(BW1764=1,0,IFERROR(VLOOKUP(BU1764,'Gebinde-Kategorie'!$A$5:$N$45,5,0)+0,0))</f>
        <v>0</v>
      </c>
      <c r="CK1764" s="53" t="n">
        <f aca="false">IFERROR(IF(OR(CB1764=1,CB1764=2,CB1764=3),N(INDEX(Parameter!$I$5:$I$7,CB1764)),0),0)</f>
        <v>0</v>
      </c>
      <c r="CL1764" s="52" t="n">
        <f aca="false">IF(AND(Parameter!$B$21="Ja",ISNUMBER(W1764),N(X1764)&gt;0),IFERROR(N(INDEX(Parameter!$L$5:$L$7,W1764))*INDEX(Parameter!$E$5:$E$7,W1764)*X1764/SUMIFS($X$7:$X$1843,$W$7:$W$1843,W1764),0),0)</f>
        <v>0</v>
      </c>
    </row>
    <row r="1765" customFormat="false" ht="15" hidden="false" customHeight="false" outlineLevel="0" collapsed="false">
      <c r="A1765" s="48" t="str">
        <f aca="false">IF('Neue Artikel'!$A$26="","",'Neue Artikel'!$A$26&amp;"")</f>
        <v/>
      </c>
      <c r="B1765" s="48" t="str">
        <f aca="false">'Neue Artikel'!$B$26&amp;""</f>
        <v/>
      </c>
      <c r="C1765" s="48"/>
      <c r="D1765" s="48" t="s">
        <v>3019</v>
      </c>
      <c r="E1765" s="48"/>
      <c r="F1765" s="48"/>
      <c r="G1765" s="49" t="n">
        <f aca="false">N('Neue Artikel'!$G$26)</f>
        <v>0</v>
      </c>
      <c r="H1765" s="50" t="n">
        <f aca="false">MAX(0,IF(AND(Parameter!$B$21="Ja",ISNUMBER(Y1765)),Y1765,IF(Parameter!$B$20="Jahresanfang 2025 + Export",BO1765+BN1765,BN1765)))</f>
        <v>0</v>
      </c>
      <c r="I1765" s="50" t="n">
        <f aca="false">H1765*G1765</f>
        <v>0</v>
      </c>
      <c r="J1765" s="50" t="n">
        <f aca="false">BQ1765*Parameter!$B$18</f>
        <v>0</v>
      </c>
      <c r="K1765" s="51"/>
      <c r="L1765" s="52"/>
      <c r="M1765" s="50" t="n">
        <f aca="false">N('Neue Artikel'!$E$26)</f>
        <v>0</v>
      </c>
      <c r="N1765" s="50" t="n">
        <f aca="false">N('Neue Artikel'!$F$26)</f>
        <v>0</v>
      </c>
      <c r="O1765" s="53"/>
      <c r="P1765" s="48" t="str">
        <f aca="false">IF('Neue Artikel'!$H$26="","LOSE",UPPER(TRIM('Neue Artikel'!$H$26)))</f>
        <v>LOSE</v>
      </c>
      <c r="Q1765" s="50" t="n">
        <f aca="false">N('Neue Artikel'!$I$26)</f>
        <v>0</v>
      </c>
      <c r="R1765" s="53" t="n">
        <f aca="false">IF(BW1765=1,0,IFERROR(VLOOKUP(BU1765,'Gebinde-Kategorie'!$A$5:$N$45,13,0)+0,0))</f>
        <v>0</v>
      </c>
      <c r="S1765" s="54"/>
      <c r="T1765" s="55"/>
      <c r="U1765" s="55"/>
      <c r="V1765" s="55"/>
      <c r="W1765" s="48"/>
      <c r="X1765" s="50"/>
      <c r="Y1765" s="50"/>
      <c r="Z1765" s="48" t="str">
        <f aca="false">IF(A1765="","",IF(AND(Parameter!$B$21="Ja",ISNUMBER(W1765)),W1765,IF(BZ1765="2+3",IF(ISNUMBER(SEARCH("grosser Artikel",BR1765)),2,IFERROR(VLOOKUP(BU1765,Parameter!$F$35:$G$64,2,0),2)),IF(OR(BZ1765="Nein",BZ1765=""),"-",BZ1765))))</f>
        <v/>
      </c>
      <c r="AA1765" s="48" t="str">
        <f aca="false">IF('Neue Artikel'!$J$26="","",'Neue Artikel'!$J$26)</f>
        <v/>
      </c>
      <c r="AB1765" s="56"/>
      <c r="AC1765" s="50" t="n">
        <f aca="false">AT1765</f>
        <v>0</v>
      </c>
      <c r="AD1765" s="50" t="n">
        <f aca="false">MAX(AT1765,H1765)</f>
        <v>0</v>
      </c>
      <c r="AE1765" s="57"/>
      <c r="AF1765" s="50" t="n">
        <f aca="false">IF(LEFT(Cockpit!$C$5,1)="A",H1765,IF(CE1765=1,CF1765,IF(LEFT(Cockpit!$C$5,1)="B",AK1765,MAX(AK1765,H1765))))</f>
        <v>0</v>
      </c>
      <c r="AG1765" s="50" t="n">
        <f aca="false">IF(BW1765=1,0,ROUNDUP(AF1765/BV1765,0))</f>
        <v>0</v>
      </c>
      <c r="AH1765" s="52" t="n">
        <f aca="false">IF(CL1765&gt;0,CL1765*MAX(1,AF1765/X1765),IF(BW1765=1,IF(AF1765&lt;=0,0,CA1765*MAX(1,IF(H1765&gt;0,AF1765/H1765,1))),IF(R1765&gt;0,AG1765/R1765,0))/MAX(0.1,N(Parameter!$M$21)))</f>
        <v>0</v>
      </c>
      <c r="AI1765" s="50" t="n">
        <f aca="false">AH1765*BY1765</f>
        <v>0</v>
      </c>
      <c r="AJ1765" s="50" t="n">
        <f aca="false">AF1765*G1765</f>
        <v>0</v>
      </c>
      <c r="AK1765" s="50" t="n">
        <f aca="false">ROUNDUP(MAX(J1765/IF(CD1765&gt;0,CD1765,MAX(0.1,N(Cockpit!$C$6))),CG1765)/BV1765,0)*BV1765</f>
        <v>0</v>
      </c>
      <c r="AL1765" s="51" t="n">
        <f aca="false">IF(AI1765&gt;0,J1765/AI1765,-1)</f>
        <v>-1</v>
      </c>
      <c r="AM1765" s="51" t="str">
        <f aca="false">IF(AND(OR(CC1765="L1",CC1765="L23",CC1765="LIFT"),AI1765&gt;0),SUMIFS($AI$7:$AI$1843,$CC$7:$CC$1843,CC1765,$AL$7:$AL$1843,"&gt;"&amp;AL1765)+SUMIFS($AI$7:$AI$1843,$CC$7:$CC$1843,CC1765,$AL$7:$AL$1843,AL1765,$BT$7:$BT$1843,"&lt;="&amp;BT1765),"")</f>
        <v/>
      </c>
      <c r="AN1765" s="58" t="n">
        <f aca="false">IF(AM1765="",0,MAX(0,MIN(1,(IF(CC1765="L1",Parameter!$H$5,IF(CC1765="L23",Parameter!$H$6+Parameter!$H$7,Parameter!$H$5+Parameter!$H$6+Parameter!$H$7))-(AM1765-AI1765))/AI1765)))</f>
        <v>0</v>
      </c>
      <c r="AO1765" s="50" t="n">
        <f aca="false">IF(LEFT(Cockpit!$I$5,1)="A",H1765,IF(CE1765=1,CF1765,IF(LEFT(Cockpit!$I$5,1)="B",AT1765,MAX(AT1765,H1765))))</f>
        <v>0</v>
      </c>
      <c r="AP1765" s="50" t="n">
        <f aca="false">IF(BW1765=1,0,ROUNDUP(AO1765/BV1765,0))</f>
        <v>0</v>
      </c>
      <c r="AQ1765" s="52" t="n">
        <f aca="false">IF(CL1765&gt;0,CL1765*MAX(1,AO1765/X1765),IF(BW1765=1,IF(AO1765&lt;=0,0,CA1765*MAX(1,IF(H1765&gt;0,AO1765/H1765,1))),IF(R1765&gt;0,AP1765/R1765,0))/MAX(0.1,N(Parameter!$M$21)))</f>
        <v>0</v>
      </c>
      <c r="AR1765" s="50" t="n">
        <f aca="false">AQ1765*BY1765</f>
        <v>0</v>
      </c>
      <c r="AS1765" s="50" t="n">
        <f aca="false">AO1765*G1765</f>
        <v>0</v>
      </c>
      <c r="AT1765" s="50" t="n">
        <f aca="false">ROUNDUP(MAX(J1765/IF(CD1765&gt;0,CD1765,MAX(0.1,N(Cockpit!$I$6))),CG1765)/BV1765,0)*BV1765</f>
        <v>0</v>
      </c>
      <c r="AU1765" s="51" t="n">
        <f aca="false">IF(AR1765&gt;0,J1765/AR1765,-1)</f>
        <v>-1</v>
      </c>
      <c r="AV1765" s="51" t="str">
        <f aca="false">IF(AND(OR(CC1765="L1",CC1765="L23",CC1765="LIFT"),AR1765&gt;0),SUMIFS($AR$7:$AR$1843,$CC$7:$CC$1843,CC1765,$AU$7:$AU$1843,"&gt;"&amp;AU1765)+SUMIFS($AR$7:$AR$1843,$CC$7:$CC$1843,CC1765,$AU$7:$AU$1843,AU1765,$BT$7:$BT$1843,"&lt;="&amp;BT1765),"")</f>
        <v/>
      </c>
      <c r="AW1765" s="58" t="n">
        <f aca="false">IF(AV1765="",0,MAX(0,MIN(1,(IF(CC1765="L1",Parameter!$H$5,IF(CC1765="L23",Parameter!$H$6+Parameter!$H$7,Parameter!$H$5+Parameter!$H$6+Parameter!$H$7))-(AV1765-AR1765))/AR1765)))</f>
        <v>0</v>
      </c>
      <c r="AX1765" s="50" t="n">
        <f aca="false">IF(LEFT(Cockpit!$O$5,1)="A",H1765,IF(CE1765=1,CF1765,IF(LEFT(Cockpit!$O$5,1)="B",BC1765,MAX(BC1765,H1765))))</f>
        <v>0</v>
      </c>
      <c r="AY1765" s="50" t="n">
        <f aca="false">IF(BW1765=1,0,ROUNDUP(AX1765/BV1765,0))</f>
        <v>0</v>
      </c>
      <c r="AZ1765" s="52" t="n">
        <f aca="false">IF(CL1765&gt;0,CL1765*MAX(1,AX1765/X1765),IF(BW1765=1,IF(AX1765&lt;=0,0,CA1765*MAX(1,IF(H1765&gt;0,AX1765/H1765,1))),IF(R1765&gt;0,AY1765/R1765,0))/MAX(0.1,N(Parameter!$M$21)))</f>
        <v>0</v>
      </c>
      <c r="BA1765" s="50" t="n">
        <f aca="false">AZ1765*BY1765</f>
        <v>0</v>
      </c>
      <c r="BB1765" s="50" t="n">
        <f aca="false">AX1765*G1765</f>
        <v>0</v>
      </c>
      <c r="BC1765" s="50" t="n">
        <f aca="false">ROUNDUP(MAX(J1765/IF(CD1765&gt;0,CD1765,MAX(0.1,N(Cockpit!$O$6))),CG1765)/BV1765,0)*BV1765</f>
        <v>0</v>
      </c>
      <c r="BD1765" s="51" t="n">
        <f aca="false">IF(BA1765&gt;0,J1765/BA1765,-1)</f>
        <v>-1</v>
      </c>
      <c r="BE1765" s="51" t="str">
        <f aca="false">IF(AND(OR(CC1765="L1",CC1765="L23",CC1765="LIFT"),BA1765&gt;0),SUMIFS($BA$7:$BA$1843,$CC$7:$CC$1843,CC1765,$BD$7:$BD$1843,"&gt;"&amp;BD1765)+SUMIFS($BA$7:$BA$1843,$CC$7:$CC$1843,CC1765,$BD$7:$BD$1843,BD1765,$BT$7:$BT$1843,"&lt;="&amp;BT1765),"")</f>
        <v/>
      </c>
      <c r="BF1765" s="58" t="n">
        <f aca="false">IF(BE1765="",0,MAX(0,MIN(1,(IF(CC1765="L1",Parameter!$H$5,IF(CC1765="L23",Parameter!$H$6+Parameter!$H$7,Parameter!$H$5+Parameter!$H$6+Parameter!$H$7))-(BE1765-BA1765))/BA1765)))</f>
        <v>0</v>
      </c>
      <c r="BG1765" s="48" t="str">
        <f aca="false">IF(AI1765&lt;=0,"",IF(CC1765="Aussen","Aussenlager",IF(CC1765="-","Nicht im Lift",IF(AN1765&gt;=1,"Lift",IF(AN1765&lt;=0,"Aussenlager","teilweise")))))</f>
        <v/>
      </c>
      <c r="BH1765" s="48" t="str">
        <f aca="false">IF(AR1765&lt;=0,"",IF(CC1765="Aussen","Aussenlager",IF(CC1765="-","Nicht im Lift",IF(AW1765&gt;=1,"Lift",IF(AW1765&lt;=0,"Aussenlager","teilweise")))))</f>
        <v/>
      </c>
      <c r="BI1765" s="48" t="str">
        <f aca="false">IF(BA1765&lt;=0,"",IF(CC1765="Aussen","Aussenlager",IF(CC1765="-","Nicht im Lift",IF(BF1765&gt;=1,"Lift",IF(BF1765&lt;=0,"Aussenlager","teilweise")))))</f>
        <v/>
      </c>
      <c r="BJ1765" s="48" t="str">
        <f aca="false">IF(A1765="","",IF(BS1765=1,"Neu; ","")&amp;IF(AND(BS1765=0,BN1765&lt;0),"negativer Bestand (Export "&amp;BN1765&amp;"); ","")&amp;IF(J1765&lt;=0,"Kein Verbrauch; ","")&amp;IF(CL1765&gt;0,"Lift "&amp;W1765&amp;" lt. Liftbericht (Fach "&amp;X1765&amp;" Stk); ",IF(BX1765=1,"Gebinde geschätzt ("&amp;T1765&amp;"); ",IF(BW1765=1,"Lose – Tablare geschätzt; ","")))&amp;IF(H1765&gt;AT1765,"Überbestand "&amp;ROUND(H1765-AT1765,0)&amp;" Stk / CHF "&amp;ROUND((H1765-AT1765)*G1765,0)&amp;"; ","")&amp;IF(AND(CE1765=1,CF1765&lt;CG1765),"MAX &lt; MB+LG; ","")&amp;IF(AND(CK1765&gt;0,CJ1765*10&gt;CK1765),"zu hoch für Tablar; ","")&amp;IF(AND(BS1765=0,OR(CE1765=1,AA1765&lt;&gt;"",U1765&lt;&gt;"",V1765&lt;&gt;"",AB1765&lt;&gt;"")),"manuell übersteuert; ","")&amp;IF(AND(BW1765=0,R1765=0),"Gebinde unbekannt / Stellmass fehlt; ","")&amp;IF(AND(BW1765=0,N(V1765)&lt;=0,N(Q1765)&lt;=0),"Menge pro Gebinde fehlt (Ist = 1 Gebinde); ","")&amp;BR1765)</f>
        <v/>
      </c>
      <c r="BK1765" s="48"/>
      <c r="BL1765" s="48"/>
      <c r="BM1765" s="55"/>
      <c r="BN1765" s="50" t="n">
        <f aca="false">N('Neue Artikel'!$D$26)</f>
        <v>0</v>
      </c>
      <c r="BO1765" s="50" t="n">
        <v>0</v>
      </c>
      <c r="BP1765" s="49" t="n">
        <v>0</v>
      </c>
      <c r="BQ1765" s="50" t="n">
        <f aca="false">N('Neue Artikel'!$C$26)/Parameter!$B$18</f>
        <v>0</v>
      </c>
      <c r="BR1765" s="48"/>
      <c r="BS1765" s="53" t="n">
        <v>1</v>
      </c>
      <c r="BT1765" s="53" t="n">
        <v>1765</v>
      </c>
      <c r="BU1765" s="48" t="str">
        <f aca="false">IF(U1765&lt;&gt;"",UPPER(TRIM(U1765)),IF(BX1765=1,UPPER(VLOOKUP(T1765,Parameter!$I$27:$K$29,2,0)),IF(P1765="","LOSE",P1765)))</f>
        <v>LOSE</v>
      </c>
      <c r="BV1765" s="50" t="n">
        <f aca="false">IF(BU1765="LOSE",1,IF(N(V1765)&gt;0,V1765,IF(BX1765=1,MAX(1,N(VLOOKUP(T1765,Parameter!$I$27:$K$29,3,0)),H1765,N(N1765)),IF(N(Q1765)&gt;0,Q1765,MAX(1,H1765)))))</f>
        <v>1</v>
      </c>
      <c r="BW1765" s="53" t="n">
        <f aca="false">IF(BU1765="LOSE",1,0)</f>
        <v>1</v>
      </c>
      <c r="BX1765" s="53" t="n">
        <f aca="false">IF(AND(U1765="",OR(P1765="",P1765="LOSE"),T1765&lt;&gt;"",N(S1765)&lt;=0,ISNUMBER(MATCH(T1765,Parameter!$I$27:$I$29,0))),1,0)</f>
        <v>0</v>
      </c>
      <c r="BY1765" s="53" t="n">
        <f aca="false">IF(CL1765&gt;0,INDEX(Parameter!$H$5:$H$7,W1765)/INDEX(Parameter!$E$5:$E$7,W1765),IF(AND(BW1765=0,N(IFERROR(VLOOKUP(BU1765,'Gebinde-Kategorie'!$A$5:$N$45,14,0),0))&gt;0),VLOOKUP(BU1765,'Gebinde-Kategorie'!$A$5:$N$45,14,0)*10+Parameter!$M$23,Parameter!$M$24))</f>
        <v>235</v>
      </c>
      <c r="BZ1765" s="48" t="str">
        <f aca="false">IF(AND(Parameter!$B$19="Ja",E1765&lt;&gt;"",ISNUMBER(MATCH(E1765,Parameter!$I$35:$I$52,0))),VLOOKUP(E1765,Parameter!$I$35:$J$52,2,0),IFERROR(VLOOKUP(D1765,Parameter!$A$35:$C$64,2,0),"Nein"))</f>
        <v>2+3</v>
      </c>
      <c r="CA1765" s="52" t="n">
        <f aca="false">IF(BW1765=0,0,IF(N(S1765)&gt;0,S1765,IFERROR(VLOOKUP(D1765,Parameter!$A$35:$C$64,3,0)+0,0)))</f>
        <v>0.15</v>
      </c>
      <c r="CB1765" s="48" t="str">
        <f aca="false">IF(AA1765&lt;&gt;"",AA1765,Z1765)</f>
        <v/>
      </c>
      <c r="CC1765" s="48" t="str">
        <f aca="false">IF(OR(CB1765=1,CB1765=2,CB1765=3),IF(Parameter!$E$27="Ja","LIFT",IF(CB1765=1,"L1","L23")),IF(CB1765="Aussen","Aussen","-"))</f>
        <v>-</v>
      </c>
      <c r="CD1765" s="59" t="n">
        <f aca="false">IF(N(AB1765)&gt;0,AB1765,0)</f>
        <v>0</v>
      </c>
      <c r="CE1765" s="53" t="n">
        <f aca="false">IF(ISNUMBER(AE1765),1,0)</f>
        <v>0</v>
      </c>
      <c r="CF1765" s="50" t="n">
        <f aca="false">N(AE1765)</f>
        <v>0</v>
      </c>
      <c r="CG1765" s="50" t="n">
        <f aca="false">N(M1765)+N(N1765)</f>
        <v>0</v>
      </c>
      <c r="CH1765" s="50" t="n">
        <f aca="false">ROUNDUP(H1765/BV1765,0)</f>
        <v>0</v>
      </c>
      <c r="CI1765" s="50" t="n">
        <f aca="false">ROUNDUP(CF1765/BV1765,0)</f>
        <v>0</v>
      </c>
      <c r="CJ1765" s="53" t="n">
        <f aca="false">IF(BW1765=1,0,IFERROR(VLOOKUP(BU1765,'Gebinde-Kategorie'!$A$5:$N$45,5,0)+0,0))</f>
        <v>0</v>
      </c>
      <c r="CK1765" s="53" t="n">
        <f aca="false">IFERROR(IF(OR(CB1765=1,CB1765=2,CB1765=3),N(INDEX(Parameter!$I$5:$I$7,CB1765)),0),0)</f>
        <v>0</v>
      </c>
      <c r="CL1765" s="52" t="n">
        <f aca="false">IF(AND(Parameter!$B$21="Ja",ISNUMBER(W1765),N(X1765)&gt;0),IFERROR(N(INDEX(Parameter!$L$5:$L$7,W1765))*INDEX(Parameter!$E$5:$E$7,W1765)*X1765/SUMIFS($X$7:$X$1843,$W$7:$W$1843,W1765),0),0)</f>
        <v>0</v>
      </c>
    </row>
    <row r="1766" customFormat="false" ht="15" hidden="false" customHeight="false" outlineLevel="0" collapsed="false">
      <c r="A1766" s="48" t="str">
        <f aca="false">IF('Neue Artikel'!$A$27="","",'Neue Artikel'!$A$27&amp;"")</f>
        <v/>
      </c>
      <c r="B1766" s="48" t="str">
        <f aca="false">'Neue Artikel'!$B$27&amp;""</f>
        <v/>
      </c>
      <c r="C1766" s="48"/>
      <c r="D1766" s="48" t="s">
        <v>3019</v>
      </c>
      <c r="E1766" s="48"/>
      <c r="F1766" s="48"/>
      <c r="G1766" s="49" t="n">
        <f aca="false">N('Neue Artikel'!$G$27)</f>
        <v>0</v>
      </c>
      <c r="H1766" s="50" t="n">
        <f aca="false">MAX(0,IF(AND(Parameter!$B$21="Ja",ISNUMBER(Y1766)),Y1766,IF(Parameter!$B$20="Jahresanfang 2025 + Export",BO1766+BN1766,BN1766)))</f>
        <v>0</v>
      </c>
      <c r="I1766" s="50" t="n">
        <f aca="false">H1766*G1766</f>
        <v>0</v>
      </c>
      <c r="J1766" s="50" t="n">
        <f aca="false">BQ1766*Parameter!$B$18</f>
        <v>0</v>
      </c>
      <c r="K1766" s="51"/>
      <c r="L1766" s="52"/>
      <c r="M1766" s="50" t="n">
        <f aca="false">N('Neue Artikel'!$E$27)</f>
        <v>0</v>
      </c>
      <c r="N1766" s="50" t="n">
        <f aca="false">N('Neue Artikel'!$F$27)</f>
        <v>0</v>
      </c>
      <c r="O1766" s="53"/>
      <c r="P1766" s="48" t="str">
        <f aca="false">IF('Neue Artikel'!$H$27="","LOSE",UPPER(TRIM('Neue Artikel'!$H$27)))</f>
        <v>LOSE</v>
      </c>
      <c r="Q1766" s="50" t="n">
        <f aca="false">N('Neue Artikel'!$I$27)</f>
        <v>0</v>
      </c>
      <c r="R1766" s="53" t="n">
        <f aca="false">IF(BW1766=1,0,IFERROR(VLOOKUP(BU1766,'Gebinde-Kategorie'!$A$5:$N$45,13,0)+0,0))</f>
        <v>0</v>
      </c>
      <c r="S1766" s="54"/>
      <c r="T1766" s="55"/>
      <c r="U1766" s="55"/>
      <c r="V1766" s="55"/>
      <c r="W1766" s="48"/>
      <c r="X1766" s="50"/>
      <c r="Y1766" s="50"/>
      <c r="Z1766" s="48" t="str">
        <f aca="false">IF(A1766="","",IF(AND(Parameter!$B$21="Ja",ISNUMBER(W1766)),W1766,IF(BZ1766="2+3",IF(ISNUMBER(SEARCH("grosser Artikel",BR1766)),2,IFERROR(VLOOKUP(BU1766,Parameter!$F$35:$G$64,2,0),2)),IF(OR(BZ1766="Nein",BZ1766=""),"-",BZ1766))))</f>
        <v/>
      </c>
      <c r="AA1766" s="48" t="str">
        <f aca="false">IF('Neue Artikel'!$J$27="","",'Neue Artikel'!$J$27)</f>
        <v/>
      </c>
      <c r="AB1766" s="56"/>
      <c r="AC1766" s="50" t="n">
        <f aca="false">AT1766</f>
        <v>0</v>
      </c>
      <c r="AD1766" s="50" t="n">
        <f aca="false">MAX(AT1766,H1766)</f>
        <v>0</v>
      </c>
      <c r="AE1766" s="57"/>
      <c r="AF1766" s="50" t="n">
        <f aca="false">IF(LEFT(Cockpit!$C$5,1)="A",H1766,IF(CE1766=1,CF1766,IF(LEFT(Cockpit!$C$5,1)="B",AK1766,MAX(AK1766,H1766))))</f>
        <v>0</v>
      </c>
      <c r="AG1766" s="50" t="n">
        <f aca="false">IF(BW1766=1,0,ROUNDUP(AF1766/BV1766,0))</f>
        <v>0</v>
      </c>
      <c r="AH1766" s="52" t="n">
        <f aca="false">IF(CL1766&gt;0,CL1766*MAX(1,AF1766/X1766),IF(BW1766=1,IF(AF1766&lt;=0,0,CA1766*MAX(1,IF(H1766&gt;0,AF1766/H1766,1))),IF(R1766&gt;0,AG1766/R1766,0))/MAX(0.1,N(Parameter!$M$21)))</f>
        <v>0</v>
      </c>
      <c r="AI1766" s="50" t="n">
        <f aca="false">AH1766*BY1766</f>
        <v>0</v>
      </c>
      <c r="AJ1766" s="50" t="n">
        <f aca="false">AF1766*G1766</f>
        <v>0</v>
      </c>
      <c r="AK1766" s="50" t="n">
        <f aca="false">ROUNDUP(MAX(J1766/IF(CD1766&gt;0,CD1766,MAX(0.1,N(Cockpit!$C$6))),CG1766)/BV1766,0)*BV1766</f>
        <v>0</v>
      </c>
      <c r="AL1766" s="51" t="n">
        <f aca="false">IF(AI1766&gt;0,J1766/AI1766,-1)</f>
        <v>-1</v>
      </c>
      <c r="AM1766" s="51" t="str">
        <f aca="false">IF(AND(OR(CC1766="L1",CC1766="L23",CC1766="LIFT"),AI1766&gt;0),SUMIFS($AI$7:$AI$1843,$CC$7:$CC$1843,CC1766,$AL$7:$AL$1843,"&gt;"&amp;AL1766)+SUMIFS($AI$7:$AI$1843,$CC$7:$CC$1843,CC1766,$AL$7:$AL$1843,AL1766,$BT$7:$BT$1843,"&lt;="&amp;BT1766),"")</f>
        <v/>
      </c>
      <c r="AN1766" s="58" t="n">
        <f aca="false">IF(AM1766="",0,MAX(0,MIN(1,(IF(CC1766="L1",Parameter!$H$5,IF(CC1766="L23",Parameter!$H$6+Parameter!$H$7,Parameter!$H$5+Parameter!$H$6+Parameter!$H$7))-(AM1766-AI1766))/AI1766)))</f>
        <v>0</v>
      </c>
      <c r="AO1766" s="50" t="n">
        <f aca="false">IF(LEFT(Cockpit!$I$5,1)="A",H1766,IF(CE1766=1,CF1766,IF(LEFT(Cockpit!$I$5,1)="B",AT1766,MAX(AT1766,H1766))))</f>
        <v>0</v>
      </c>
      <c r="AP1766" s="50" t="n">
        <f aca="false">IF(BW1766=1,0,ROUNDUP(AO1766/BV1766,0))</f>
        <v>0</v>
      </c>
      <c r="AQ1766" s="52" t="n">
        <f aca="false">IF(CL1766&gt;0,CL1766*MAX(1,AO1766/X1766),IF(BW1766=1,IF(AO1766&lt;=0,0,CA1766*MAX(1,IF(H1766&gt;0,AO1766/H1766,1))),IF(R1766&gt;0,AP1766/R1766,0))/MAX(0.1,N(Parameter!$M$21)))</f>
        <v>0</v>
      </c>
      <c r="AR1766" s="50" t="n">
        <f aca="false">AQ1766*BY1766</f>
        <v>0</v>
      </c>
      <c r="AS1766" s="50" t="n">
        <f aca="false">AO1766*G1766</f>
        <v>0</v>
      </c>
      <c r="AT1766" s="50" t="n">
        <f aca="false">ROUNDUP(MAX(J1766/IF(CD1766&gt;0,CD1766,MAX(0.1,N(Cockpit!$I$6))),CG1766)/BV1766,0)*BV1766</f>
        <v>0</v>
      </c>
      <c r="AU1766" s="51" t="n">
        <f aca="false">IF(AR1766&gt;0,J1766/AR1766,-1)</f>
        <v>-1</v>
      </c>
      <c r="AV1766" s="51" t="str">
        <f aca="false">IF(AND(OR(CC1766="L1",CC1766="L23",CC1766="LIFT"),AR1766&gt;0),SUMIFS($AR$7:$AR$1843,$CC$7:$CC$1843,CC1766,$AU$7:$AU$1843,"&gt;"&amp;AU1766)+SUMIFS($AR$7:$AR$1843,$CC$7:$CC$1843,CC1766,$AU$7:$AU$1843,AU1766,$BT$7:$BT$1843,"&lt;="&amp;BT1766),"")</f>
        <v/>
      </c>
      <c r="AW1766" s="58" t="n">
        <f aca="false">IF(AV1766="",0,MAX(0,MIN(1,(IF(CC1766="L1",Parameter!$H$5,IF(CC1766="L23",Parameter!$H$6+Parameter!$H$7,Parameter!$H$5+Parameter!$H$6+Parameter!$H$7))-(AV1766-AR1766))/AR1766)))</f>
        <v>0</v>
      </c>
      <c r="AX1766" s="50" t="n">
        <f aca="false">IF(LEFT(Cockpit!$O$5,1)="A",H1766,IF(CE1766=1,CF1766,IF(LEFT(Cockpit!$O$5,1)="B",BC1766,MAX(BC1766,H1766))))</f>
        <v>0</v>
      </c>
      <c r="AY1766" s="50" t="n">
        <f aca="false">IF(BW1766=1,0,ROUNDUP(AX1766/BV1766,0))</f>
        <v>0</v>
      </c>
      <c r="AZ1766" s="52" t="n">
        <f aca="false">IF(CL1766&gt;0,CL1766*MAX(1,AX1766/X1766),IF(BW1766=1,IF(AX1766&lt;=0,0,CA1766*MAX(1,IF(H1766&gt;0,AX1766/H1766,1))),IF(R1766&gt;0,AY1766/R1766,0))/MAX(0.1,N(Parameter!$M$21)))</f>
        <v>0</v>
      </c>
      <c r="BA1766" s="50" t="n">
        <f aca="false">AZ1766*BY1766</f>
        <v>0</v>
      </c>
      <c r="BB1766" s="50" t="n">
        <f aca="false">AX1766*G1766</f>
        <v>0</v>
      </c>
      <c r="BC1766" s="50" t="n">
        <f aca="false">ROUNDUP(MAX(J1766/IF(CD1766&gt;0,CD1766,MAX(0.1,N(Cockpit!$O$6))),CG1766)/BV1766,0)*BV1766</f>
        <v>0</v>
      </c>
      <c r="BD1766" s="51" t="n">
        <f aca="false">IF(BA1766&gt;0,J1766/BA1766,-1)</f>
        <v>-1</v>
      </c>
      <c r="BE1766" s="51" t="str">
        <f aca="false">IF(AND(OR(CC1766="L1",CC1766="L23",CC1766="LIFT"),BA1766&gt;0),SUMIFS($BA$7:$BA$1843,$CC$7:$CC$1843,CC1766,$BD$7:$BD$1843,"&gt;"&amp;BD1766)+SUMIFS($BA$7:$BA$1843,$CC$7:$CC$1843,CC1766,$BD$7:$BD$1843,BD1766,$BT$7:$BT$1843,"&lt;="&amp;BT1766),"")</f>
        <v/>
      </c>
      <c r="BF1766" s="58" t="n">
        <f aca="false">IF(BE1766="",0,MAX(0,MIN(1,(IF(CC1766="L1",Parameter!$H$5,IF(CC1766="L23",Parameter!$H$6+Parameter!$H$7,Parameter!$H$5+Parameter!$H$6+Parameter!$H$7))-(BE1766-BA1766))/BA1766)))</f>
        <v>0</v>
      </c>
      <c r="BG1766" s="48" t="str">
        <f aca="false">IF(AI1766&lt;=0,"",IF(CC1766="Aussen","Aussenlager",IF(CC1766="-","Nicht im Lift",IF(AN1766&gt;=1,"Lift",IF(AN1766&lt;=0,"Aussenlager","teilweise")))))</f>
        <v/>
      </c>
      <c r="BH1766" s="48" t="str">
        <f aca="false">IF(AR1766&lt;=0,"",IF(CC1766="Aussen","Aussenlager",IF(CC1766="-","Nicht im Lift",IF(AW1766&gt;=1,"Lift",IF(AW1766&lt;=0,"Aussenlager","teilweise")))))</f>
        <v/>
      </c>
      <c r="BI1766" s="48" t="str">
        <f aca="false">IF(BA1766&lt;=0,"",IF(CC1766="Aussen","Aussenlager",IF(CC1766="-","Nicht im Lift",IF(BF1766&gt;=1,"Lift",IF(BF1766&lt;=0,"Aussenlager","teilweise")))))</f>
        <v/>
      </c>
      <c r="BJ1766" s="48" t="str">
        <f aca="false">IF(A1766="","",IF(BS1766=1,"Neu; ","")&amp;IF(AND(BS1766=0,BN1766&lt;0),"negativer Bestand (Export "&amp;BN1766&amp;"); ","")&amp;IF(J1766&lt;=0,"Kein Verbrauch; ","")&amp;IF(CL1766&gt;0,"Lift "&amp;W1766&amp;" lt. Liftbericht (Fach "&amp;X1766&amp;" Stk); ",IF(BX1766=1,"Gebinde geschätzt ("&amp;T1766&amp;"); ",IF(BW1766=1,"Lose – Tablare geschätzt; ","")))&amp;IF(H1766&gt;AT1766,"Überbestand "&amp;ROUND(H1766-AT1766,0)&amp;" Stk / CHF "&amp;ROUND((H1766-AT1766)*G1766,0)&amp;"; ","")&amp;IF(AND(CE1766=1,CF1766&lt;CG1766),"MAX &lt; MB+LG; ","")&amp;IF(AND(CK1766&gt;0,CJ1766*10&gt;CK1766),"zu hoch für Tablar; ","")&amp;IF(AND(BS1766=0,OR(CE1766=1,AA1766&lt;&gt;"",U1766&lt;&gt;"",V1766&lt;&gt;"",AB1766&lt;&gt;"")),"manuell übersteuert; ","")&amp;IF(AND(BW1766=0,R1766=0),"Gebinde unbekannt / Stellmass fehlt; ","")&amp;IF(AND(BW1766=0,N(V1766)&lt;=0,N(Q1766)&lt;=0),"Menge pro Gebinde fehlt (Ist = 1 Gebinde); ","")&amp;BR1766)</f>
        <v/>
      </c>
      <c r="BK1766" s="48"/>
      <c r="BL1766" s="48"/>
      <c r="BM1766" s="55"/>
      <c r="BN1766" s="50" t="n">
        <f aca="false">N('Neue Artikel'!$D$27)</f>
        <v>0</v>
      </c>
      <c r="BO1766" s="50" t="n">
        <v>0</v>
      </c>
      <c r="BP1766" s="49" t="n">
        <v>0</v>
      </c>
      <c r="BQ1766" s="50" t="n">
        <f aca="false">N('Neue Artikel'!$C$27)/Parameter!$B$18</f>
        <v>0</v>
      </c>
      <c r="BR1766" s="48"/>
      <c r="BS1766" s="53" t="n">
        <v>1</v>
      </c>
      <c r="BT1766" s="53" t="n">
        <v>1766</v>
      </c>
      <c r="BU1766" s="48" t="str">
        <f aca="false">IF(U1766&lt;&gt;"",UPPER(TRIM(U1766)),IF(BX1766=1,UPPER(VLOOKUP(T1766,Parameter!$I$27:$K$29,2,0)),IF(P1766="","LOSE",P1766)))</f>
        <v>LOSE</v>
      </c>
      <c r="BV1766" s="50" t="n">
        <f aca="false">IF(BU1766="LOSE",1,IF(N(V1766)&gt;0,V1766,IF(BX1766=1,MAX(1,N(VLOOKUP(T1766,Parameter!$I$27:$K$29,3,0)),H1766,N(N1766)),IF(N(Q1766)&gt;0,Q1766,MAX(1,H1766)))))</f>
        <v>1</v>
      </c>
      <c r="BW1766" s="53" t="n">
        <f aca="false">IF(BU1766="LOSE",1,0)</f>
        <v>1</v>
      </c>
      <c r="BX1766" s="53" t="n">
        <f aca="false">IF(AND(U1766="",OR(P1766="",P1766="LOSE"),T1766&lt;&gt;"",N(S1766)&lt;=0,ISNUMBER(MATCH(T1766,Parameter!$I$27:$I$29,0))),1,0)</f>
        <v>0</v>
      </c>
      <c r="BY1766" s="53" t="n">
        <f aca="false">IF(CL1766&gt;0,INDEX(Parameter!$H$5:$H$7,W1766)/INDEX(Parameter!$E$5:$E$7,W1766),IF(AND(BW1766=0,N(IFERROR(VLOOKUP(BU1766,'Gebinde-Kategorie'!$A$5:$N$45,14,0),0))&gt;0),VLOOKUP(BU1766,'Gebinde-Kategorie'!$A$5:$N$45,14,0)*10+Parameter!$M$23,Parameter!$M$24))</f>
        <v>235</v>
      </c>
      <c r="BZ1766" s="48" t="str">
        <f aca="false">IF(AND(Parameter!$B$19="Ja",E1766&lt;&gt;"",ISNUMBER(MATCH(E1766,Parameter!$I$35:$I$52,0))),VLOOKUP(E1766,Parameter!$I$35:$J$52,2,0),IFERROR(VLOOKUP(D1766,Parameter!$A$35:$C$64,2,0),"Nein"))</f>
        <v>2+3</v>
      </c>
      <c r="CA1766" s="52" t="n">
        <f aca="false">IF(BW1766=0,0,IF(N(S1766)&gt;0,S1766,IFERROR(VLOOKUP(D1766,Parameter!$A$35:$C$64,3,0)+0,0)))</f>
        <v>0.15</v>
      </c>
      <c r="CB1766" s="48" t="str">
        <f aca="false">IF(AA1766&lt;&gt;"",AA1766,Z1766)</f>
        <v/>
      </c>
      <c r="CC1766" s="48" t="str">
        <f aca="false">IF(OR(CB1766=1,CB1766=2,CB1766=3),IF(Parameter!$E$27="Ja","LIFT",IF(CB1766=1,"L1","L23")),IF(CB1766="Aussen","Aussen","-"))</f>
        <v>-</v>
      </c>
      <c r="CD1766" s="59" t="n">
        <f aca="false">IF(N(AB1766)&gt;0,AB1766,0)</f>
        <v>0</v>
      </c>
      <c r="CE1766" s="53" t="n">
        <f aca="false">IF(ISNUMBER(AE1766),1,0)</f>
        <v>0</v>
      </c>
      <c r="CF1766" s="50" t="n">
        <f aca="false">N(AE1766)</f>
        <v>0</v>
      </c>
      <c r="CG1766" s="50" t="n">
        <f aca="false">N(M1766)+N(N1766)</f>
        <v>0</v>
      </c>
      <c r="CH1766" s="50" t="n">
        <f aca="false">ROUNDUP(H1766/BV1766,0)</f>
        <v>0</v>
      </c>
      <c r="CI1766" s="50" t="n">
        <f aca="false">ROUNDUP(CF1766/BV1766,0)</f>
        <v>0</v>
      </c>
      <c r="CJ1766" s="53" t="n">
        <f aca="false">IF(BW1766=1,0,IFERROR(VLOOKUP(BU1766,'Gebinde-Kategorie'!$A$5:$N$45,5,0)+0,0))</f>
        <v>0</v>
      </c>
      <c r="CK1766" s="53" t="n">
        <f aca="false">IFERROR(IF(OR(CB1766=1,CB1766=2,CB1766=3),N(INDEX(Parameter!$I$5:$I$7,CB1766)),0),0)</f>
        <v>0</v>
      </c>
      <c r="CL1766" s="52" t="n">
        <f aca="false">IF(AND(Parameter!$B$21="Ja",ISNUMBER(W1766),N(X1766)&gt;0),IFERROR(N(INDEX(Parameter!$L$5:$L$7,W1766))*INDEX(Parameter!$E$5:$E$7,W1766)*X1766/SUMIFS($X$7:$X$1843,$W$7:$W$1843,W1766),0),0)</f>
        <v>0</v>
      </c>
    </row>
    <row r="1767" customFormat="false" ht="15" hidden="false" customHeight="false" outlineLevel="0" collapsed="false">
      <c r="A1767" s="48" t="str">
        <f aca="false">IF('Neue Artikel'!$A$28="","",'Neue Artikel'!$A$28&amp;"")</f>
        <v/>
      </c>
      <c r="B1767" s="48" t="str">
        <f aca="false">'Neue Artikel'!$B$28&amp;""</f>
        <v/>
      </c>
      <c r="C1767" s="48"/>
      <c r="D1767" s="48" t="s">
        <v>3019</v>
      </c>
      <c r="E1767" s="48"/>
      <c r="F1767" s="48"/>
      <c r="G1767" s="49" t="n">
        <f aca="false">N('Neue Artikel'!$G$28)</f>
        <v>0</v>
      </c>
      <c r="H1767" s="50" t="n">
        <f aca="false">MAX(0,IF(AND(Parameter!$B$21="Ja",ISNUMBER(Y1767)),Y1767,IF(Parameter!$B$20="Jahresanfang 2025 + Export",BO1767+BN1767,BN1767)))</f>
        <v>0</v>
      </c>
      <c r="I1767" s="50" t="n">
        <f aca="false">H1767*G1767</f>
        <v>0</v>
      </c>
      <c r="J1767" s="50" t="n">
        <f aca="false">BQ1767*Parameter!$B$18</f>
        <v>0</v>
      </c>
      <c r="K1767" s="51"/>
      <c r="L1767" s="52"/>
      <c r="M1767" s="50" t="n">
        <f aca="false">N('Neue Artikel'!$E$28)</f>
        <v>0</v>
      </c>
      <c r="N1767" s="50" t="n">
        <f aca="false">N('Neue Artikel'!$F$28)</f>
        <v>0</v>
      </c>
      <c r="O1767" s="53"/>
      <c r="P1767" s="48" t="str">
        <f aca="false">IF('Neue Artikel'!$H$28="","LOSE",UPPER(TRIM('Neue Artikel'!$H$28)))</f>
        <v>LOSE</v>
      </c>
      <c r="Q1767" s="50" t="n">
        <f aca="false">N('Neue Artikel'!$I$28)</f>
        <v>0</v>
      </c>
      <c r="R1767" s="53" t="n">
        <f aca="false">IF(BW1767=1,0,IFERROR(VLOOKUP(BU1767,'Gebinde-Kategorie'!$A$5:$N$45,13,0)+0,0))</f>
        <v>0</v>
      </c>
      <c r="S1767" s="54"/>
      <c r="T1767" s="55"/>
      <c r="U1767" s="55"/>
      <c r="V1767" s="55"/>
      <c r="W1767" s="48"/>
      <c r="X1767" s="50"/>
      <c r="Y1767" s="50"/>
      <c r="Z1767" s="48" t="str">
        <f aca="false">IF(A1767="","",IF(AND(Parameter!$B$21="Ja",ISNUMBER(W1767)),W1767,IF(BZ1767="2+3",IF(ISNUMBER(SEARCH("grosser Artikel",BR1767)),2,IFERROR(VLOOKUP(BU1767,Parameter!$F$35:$G$64,2,0),2)),IF(OR(BZ1767="Nein",BZ1767=""),"-",BZ1767))))</f>
        <v/>
      </c>
      <c r="AA1767" s="48" t="str">
        <f aca="false">IF('Neue Artikel'!$J$28="","",'Neue Artikel'!$J$28)</f>
        <v/>
      </c>
      <c r="AB1767" s="56"/>
      <c r="AC1767" s="50" t="n">
        <f aca="false">AT1767</f>
        <v>0</v>
      </c>
      <c r="AD1767" s="50" t="n">
        <f aca="false">MAX(AT1767,H1767)</f>
        <v>0</v>
      </c>
      <c r="AE1767" s="57"/>
      <c r="AF1767" s="50" t="n">
        <f aca="false">IF(LEFT(Cockpit!$C$5,1)="A",H1767,IF(CE1767=1,CF1767,IF(LEFT(Cockpit!$C$5,1)="B",AK1767,MAX(AK1767,H1767))))</f>
        <v>0</v>
      </c>
      <c r="AG1767" s="50" t="n">
        <f aca="false">IF(BW1767=1,0,ROUNDUP(AF1767/BV1767,0))</f>
        <v>0</v>
      </c>
      <c r="AH1767" s="52" t="n">
        <f aca="false">IF(CL1767&gt;0,CL1767*MAX(1,AF1767/X1767),IF(BW1767=1,IF(AF1767&lt;=0,0,CA1767*MAX(1,IF(H1767&gt;0,AF1767/H1767,1))),IF(R1767&gt;0,AG1767/R1767,0))/MAX(0.1,N(Parameter!$M$21)))</f>
        <v>0</v>
      </c>
      <c r="AI1767" s="50" t="n">
        <f aca="false">AH1767*BY1767</f>
        <v>0</v>
      </c>
      <c r="AJ1767" s="50" t="n">
        <f aca="false">AF1767*G1767</f>
        <v>0</v>
      </c>
      <c r="AK1767" s="50" t="n">
        <f aca="false">ROUNDUP(MAX(J1767/IF(CD1767&gt;0,CD1767,MAX(0.1,N(Cockpit!$C$6))),CG1767)/BV1767,0)*BV1767</f>
        <v>0</v>
      </c>
      <c r="AL1767" s="51" t="n">
        <f aca="false">IF(AI1767&gt;0,J1767/AI1767,-1)</f>
        <v>-1</v>
      </c>
      <c r="AM1767" s="51" t="str">
        <f aca="false">IF(AND(OR(CC1767="L1",CC1767="L23",CC1767="LIFT"),AI1767&gt;0),SUMIFS($AI$7:$AI$1843,$CC$7:$CC$1843,CC1767,$AL$7:$AL$1843,"&gt;"&amp;AL1767)+SUMIFS($AI$7:$AI$1843,$CC$7:$CC$1843,CC1767,$AL$7:$AL$1843,AL1767,$BT$7:$BT$1843,"&lt;="&amp;BT1767),"")</f>
        <v/>
      </c>
      <c r="AN1767" s="58" t="n">
        <f aca="false">IF(AM1767="",0,MAX(0,MIN(1,(IF(CC1767="L1",Parameter!$H$5,IF(CC1767="L23",Parameter!$H$6+Parameter!$H$7,Parameter!$H$5+Parameter!$H$6+Parameter!$H$7))-(AM1767-AI1767))/AI1767)))</f>
        <v>0</v>
      </c>
      <c r="AO1767" s="50" t="n">
        <f aca="false">IF(LEFT(Cockpit!$I$5,1)="A",H1767,IF(CE1767=1,CF1767,IF(LEFT(Cockpit!$I$5,1)="B",AT1767,MAX(AT1767,H1767))))</f>
        <v>0</v>
      </c>
      <c r="AP1767" s="50" t="n">
        <f aca="false">IF(BW1767=1,0,ROUNDUP(AO1767/BV1767,0))</f>
        <v>0</v>
      </c>
      <c r="AQ1767" s="52" t="n">
        <f aca="false">IF(CL1767&gt;0,CL1767*MAX(1,AO1767/X1767),IF(BW1767=1,IF(AO1767&lt;=0,0,CA1767*MAX(1,IF(H1767&gt;0,AO1767/H1767,1))),IF(R1767&gt;0,AP1767/R1767,0))/MAX(0.1,N(Parameter!$M$21)))</f>
        <v>0</v>
      </c>
      <c r="AR1767" s="50" t="n">
        <f aca="false">AQ1767*BY1767</f>
        <v>0</v>
      </c>
      <c r="AS1767" s="50" t="n">
        <f aca="false">AO1767*G1767</f>
        <v>0</v>
      </c>
      <c r="AT1767" s="50" t="n">
        <f aca="false">ROUNDUP(MAX(J1767/IF(CD1767&gt;0,CD1767,MAX(0.1,N(Cockpit!$I$6))),CG1767)/BV1767,0)*BV1767</f>
        <v>0</v>
      </c>
      <c r="AU1767" s="51" t="n">
        <f aca="false">IF(AR1767&gt;0,J1767/AR1767,-1)</f>
        <v>-1</v>
      </c>
      <c r="AV1767" s="51" t="str">
        <f aca="false">IF(AND(OR(CC1767="L1",CC1767="L23",CC1767="LIFT"),AR1767&gt;0),SUMIFS($AR$7:$AR$1843,$CC$7:$CC$1843,CC1767,$AU$7:$AU$1843,"&gt;"&amp;AU1767)+SUMIFS($AR$7:$AR$1843,$CC$7:$CC$1843,CC1767,$AU$7:$AU$1843,AU1767,$BT$7:$BT$1843,"&lt;="&amp;BT1767),"")</f>
        <v/>
      </c>
      <c r="AW1767" s="58" t="n">
        <f aca="false">IF(AV1767="",0,MAX(0,MIN(1,(IF(CC1767="L1",Parameter!$H$5,IF(CC1767="L23",Parameter!$H$6+Parameter!$H$7,Parameter!$H$5+Parameter!$H$6+Parameter!$H$7))-(AV1767-AR1767))/AR1767)))</f>
        <v>0</v>
      </c>
      <c r="AX1767" s="50" t="n">
        <f aca="false">IF(LEFT(Cockpit!$O$5,1)="A",H1767,IF(CE1767=1,CF1767,IF(LEFT(Cockpit!$O$5,1)="B",BC1767,MAX(BC1767,H1767))))</f>
        <v>0</v>
      </c>
      <c r="AY1767" s="50" t="n">
        <f aca="false">IF(BW1767=1,0,ROUNDUP(AX1767/BV1767,0))</f>
        <v>0</v>
      </c>
      <c r="AZ1767" s="52" t="n">
        <f aca="false">IF(CL1767&gt;0,CL1767*MAX(1,AX1767/X1767),IF(BW1767=1,IF(AX1767&lt;=0,0,CA1767*MAX(1,IF(H1767&gt;0,AX1767/H1767,1))),IF(R1767&gt;0,AY1767/R1767,0))/MAX(0.1,N(Parameter!$M$21)))</f>
        <v>0</v>
      </c>
      <c r="BA1767" s="50" t="n">
        <f aca="false">AZ1767*BY1767</f>
        <v>0</v>
      </c>
      <c r="BB1767" s="50" t="n">
        <f aca="false">AX1767*G1767</f>
        <v>0</v>
      </c>
      <c r="BC1767" s="50" t="n">
        <f aca="false">ROUNDUP(MAX(J1767/IF(CD1767&gt;0,CD1767,MAX(0.1,N(Cockpit!$O$6))),CG1767)/BV1767,0)*BV1767</f>
        <v>0</v>
      </c>
      <c r="BD1767" s="51" t="n">
        <f aca="false">IF(BA1767&gt;0,J1767/BA1767,-1)</f>
        <v>-1</v>
      </c>
      <c r="BE1767" s="51" t="str">
        <f aca="false">IF(AND(OR(CC1767="L1",CC1767="L23",CC1767="LIFT"),BA1767&gt;0),SUMIFS($BA$7:$BA$1843,$CC$7:$CC$1843,CC1767,$BD$7:$BD$1843,"&gt;"&amp;BD1767)+SUMIFS($BA$7:$BA$1843,$CC$7:$CC$1843,CC1767,$BD$7:$BD$1843,BD1767,$BT$7:$BT$1843,"&lt;="&amp;BT1767),"")</f>
        <v/>
      </c>
      <c r="BF1767" s="58" t="n">
        <f aca="false">IF(BE1767="",0,MAX(0,MIN(1,(IF(CC1767="L1",Parameter!$H$5,IF(CC1767="L23",Parameter!$H$6+Parameter!$H$7,Parameter!$H$5+Parameter!$H$6+Parameter!$H$7))-(BE1767-BA1767))/BA1767)))</f>
        <v>0</v>
      </c>
      <c r="BG1767" s="48" t="str">
        <f aca="false">IF(AI1767&lt;=0,"",IF(CC1767="Aussen","Aussenlager",IF(CC1767="-","Nicht im Lift",IF(AN1767&gt;=1,"Lift",IF(AN1767&lt;=0,"Aussenlager","teilweise")))))</f>
        <v/>
      </c>
      <c r="BH1767" s="48" t="str">
        <f aca="false">IF(AR1767&lt;=0,"",IF(CC1767="Aussen","Aussenlager",IF(CC1767="-","Nicht im Lift",IF(AW1767&gt;=1,"Lift",IF(AW1767&lt;=0,"Aussenlager","teilweise")))))</f>
        <v/>
      </c>
      <c r="BI1767" s="48" t="str">
        <f aca="false">IF(BA1767&lt;=0,"",IF(CC1767="Aussen","Aussenlager",IF(CC1767="-","Nicht im Lift",IF(BF1767&gt;=1,"Lift",IF(BF1767&lt;=0,"Aussenlager","teilweise")))))</f>
        <v/>
      </c>
      <c r="BJ1767" s="48" t="str">
        <f aca="false">IF(A1767="","",IF(BS1767=1,"Neu; ","")&amp;IF(AND(BS1767=0,BN1767&lt;0),"negativer Bestand (Export "&amp;BN1767&amp;"); ","")&amp;IF(J1767&lt;=0,"Kein Verbrauch; ","")&amp;IF(CL1767&gt;0,"Lift "&amp;W1767&amp;" lt. Liftbericht (Fach "&amp;X1767&amp;" Stk); ",IF(BX1767=1,"Gebinde geschätzt ("&amp;T1767&amp;"); ",IF(BW1767=1,"Lose – Tablare geschätzt; ","")))&amp;IF(H1767&gt;AT1767,"Überbestand "&amp;ROUND(H1767-AT1767,0)&amp;" Stk / CHF "&amp;ROUND((H1767-AT1767)*G1767,0)&amp;"; ","")&amp;IF(AND(CE1767=1,CF1767&lt;CG1767),"MAX &lt; MB+LG; ","")&amp;IF(AND(CK1767&gt;0,CJ1767*10&gt;CK1767),"zu hoch für Tablar; ","")&amp;IF(AND(BS1767=0,OR(CE1767=1,AA1767&lt;&gt;"",U1767&lt;&gt;"",V1767&lt;&gt;"",AB1767&lt;&gt;"")),"manuell übersteuert; ","")&amp;IF(AND(BW1767=0,R1767=0),"Gebinde unbekannt / Stellmass fehlt; ","")&amp;IF(AND(BW1767=0,N(V1767)&lt;=0,N(Q1767)&lt;=0),"Menge pro Gebinde fehlt (Ist = 1 Gebinde); ","")&amp;BR1767)</f>
        <v/>
      </c>
      <c r="BK1767" s="48"/>
      <c r="BL1767" s="48"/>
      <c r="BM1767" s="55"/>
      <c r="BN1767" s="50" t="n">
        <f aca="false">N('Neue Artikel'!$D$28)</f>
        <v>0</v>
      </c>
      <c r="BO1767" s="50" t="n">
        <v>0</v>
      </c>
      <c r="BP1767" s="49" t="n">
        <v>0</v>
      </c>
      <c r="BQ1767" s="50" t="n">
        <f aca="false">N('Neue Artikel'!$C$28)/Parameter!$B$18</f>
        <v>0</v>
      </c>
      <c r="BR1767" s="48"/>
      <c r="BS1767" s="53" t="n">
        <v>1</v>
      </c>
      <c r="BT1767" s="53" t="n">
        <v>1767</v>
      </c>
      <c r="BU1767" s="48" t="str">
        <f aca="false">IF(U1767&lt;&gt;"",UPPER(TRIM(U1767)),IF(BX1767=1,UPPER(VLOOKUP(T1767,Parameter!$I$27:$K$29,2,0)),IF(P1767="","LOSE",P1767)))</f>
        <v>LOSE</v>
      </c>
      <c r="BV1767" s="50" t="n">
        <f aca="false">IF(BU1767="LOSE",1,IF(N(V1767)&gt;0,V1767,IF(BX1767=1,MAX(1,N(VLOOKUP(T1767,Parameter!$I$27:$K$29,3,0)),H1767,N(N1767)),IF(N(Q1767)&gt;0,Q1767,MAX(1,H1767)))))</f>
        <v>1</v>
      </c>
      <c r="BW1767" s="53" t="n">
        <f aca="false">IF(BU1767="LOSE",1,0)</f>
        <v>1</v>
      </c>
      <c r="BX1767" s="53" t="n">
        <f aca="false">IF(AND(U1767="",OR(P1767="",P1767="LOSE"),T1767&lt;&gt;"",N(S1767)&lt;=0,ISNUMBER(MATCH(T1767,Parameter!$I$27:$I$29,0))),1,0)</f>
        <v>0</v>
      </c>
      <c r="BY1767" s="53" t="n">
        <f aca="false">IF(CL1767&gt;0,INDEX(Parameter!$H$5:$H$7,W1767)/INDEX(Parameter!$E$5:$E$7,W1767),IF(AND(BW1767=0,N(IFERROR(VLOOKUP(BU1767,'Gebinde-Kategorie'!$A$5:$N$45,14,0),0))&gt;0),VLOOKUP(BU1767,'Gebinde-Kategorie'!$A$5:$N$45,14,0)*10+Parameter!$M$23,Parameter!$M$24))</f>
        <v>235</v>
      </c>
      <c r="BZ1767" s="48" t="str">
        <f aca="false">IF(AND(Parameter!$B$19="Ja",E1767&lt;&gt;"",ISNUMBER(MATCH(E1767,Parameter!$I$35:$I$52,0))),VLOOKUP(E1767,Parameter!$I$35:$J$52,2,0),IFERROR(VLOOKUP(D1767,Parameter!$A$35:$C$64,2,0),"Nein"))</f>
        <v>2+3</v>
      </c>
      <c r="CA1767" s="52" t="n">
        <f aca="false">IF(BW1767=0,0,IF(N(S1767)&gt;0,S1767,IFERROR(VLOOKUP(D1767,Parameter!$A$35:$C$64,3,0)+0,0)))</f>
        <v>0.15</v>
      </c>
      <c r="CB1767" s="48" t="str">
        <f aca="false">IF(AA1767&lt;&gt;"",AA1767,Z1767)</f>
        <v/>
      </c>
      <c r="CC1767" s="48" t="str">
        <f aca="false">IF(OR(CB1767=1,CB1767=2,CB1767=3),IF(Parameter!$E$27="Ja","LIFT",IF(CB1767=1,"L1","L23")),IF(CB1767="Aussen","Aussen","-"))</f>
        <v>-</v>
      </c>
      <c r="CD1767" s="59" t="n">
        <f aca="false">IF(N(AB1767)&gt;0,AB1767,0)</f>
        <v>0</v>
      </c>
      <c r="CE1767" s="53" t="n">
        <f aca="false">IF(ISNUMBER(AE1767),1,0)</f>
        <v>0</v>
      </c>
      <c r="CF1767" s="50" t="n">
        <f aca="false">N(AE1767)</f>
        <v>0</v>
      </c>
      <c r="CG1767" s="50" t="n">
        <f aca="false">N(M1767)+N(N1767)</f>
        <v>0</v>
      </c>
      <c r="CH1767" s="50" t="n">
        <f aca="false">ROUNDUP(H1767/BV1767,0)</f>
        <v>0</v>
      </c>
      <c r="CI1767" s="50" t="n">
        <f aca="false">ROUNDUP(CF1767/BV1767,0)</f>
        <v>0</v>
      </c>
      <c r="CJ1767" s="53" t="n">
        <f aca="false">IF(BW1767=1,0,IFERROR(VLOOKUP(BU1767,'Gebinde-Kategorie'!$A$5:$N$45,5,0)+0,0))</f>
        <v>0</v>
      </c>
      <c r="CK1767" s="53" t="n">
        <f aca="false">IFERROR(IF(OR(CB1767=1,CB1767=2,CB1767=3),N(INDEX(Parameter!$I$5:$I$7,CB1767)),0),0)</f>
        <v>0</v>
      </c>
      <c r="CL1767" s="52" t="n">
        <f aca="false">IF(AND(Parameter!$B$21="Ja",ISNUMBER(W1767),N(X1767)&gt;0),IFERROR(N(INDEX(Parameter!$L$5:$L$7,W1767))*INDEX(Parameter!$E$5:$E$7,W1767)*X1767/SUMIFS($X$7:$X$1843,$W$7:$W$1843,W1767),0),0)</f>
        <v>0</v>
      </c>
    </row>
    <row r="1768" customFormat="false" ht="15" hidden="false" customHeight="false" outlineLevel="0" collapsed="false">
      <c r="A1768" s="48" t="str">
        <f aca="false">IF('Neue Artikel'!$A$29="","",'Neue Artikel'!$A$29&amp;"")</f>
        <v/>
      </c>
      <c r="B1768" s="48" t="str">
        <f aca="false">'Neue Artikel'!$B$29&amp;""</f>
        <v/>
      </c>
      <c r="C1768" s="48"/>
      <c r="D1768" s="48" t="s">
        <v>3019</v>
      </c>
      <c r="E1768" s="48"/>
      <c r="F1768" s="48"/>
      <c r="G1768" s="49" t="n">
        <f aca="false">N('Neue Artikel'!$G$29)</f>
        <v>0</v>
      </c>
      <c r="H1768" s="50" t="n">
        <f aca="false">MAX(0,IF(AND(Parameter!$B$21="Ja",ISNUMBER(Y1768)),Y1768,IF(Parameter!$B$20="Jahresanfang 2025 + Export",BO1768+BN1768,BN1768)))</f>
        <v>0</v>
      </c>
      <c r="I1768" s="50" t="n">
        <f aca="false">H1768*G1768</f>
        <v>0</v>
      </c>
      <c r="J1768" s="50" t="n">
        <f aca="false">BQ1768*Parameter!$B$18</f>
        <v>0</v>
      </c>
      <c r="K1768" s="51"/>
      <c r="L1768" s="52"/>
      <c r="M1768" s="50" t="n">
        <f aca="false">N('Neue Artikel'!$E$29)</f>
        <v>0</v>
      </c>
      <c r="N1768" s="50" t="n">
        <f aca="false">N('Neue Artikel'!$F$29)</f>
        <v>0</v>
      </c>
      <c r="O1768" s="53"/>
      <c r="P1768" s="48" t="str">
        <f aca="false">IF('Neue Artikel'!$H$29="","LOSE",UPPER(TRIM('Neue Artikel'!$H$29)))</f>
        <v>LOSE</v>
      </c>
      <c r="Q1768" s="50" t="n">
        <f aca="false">N('Neue Artikel'!$I$29)</f>
        <v>0</v>
      </c>
      <c r="R1768" s="53" t="n">
        <f aca="false">IF(BW1768=1,0,IFERROR(VLOOKUP(BU1768,'Gebinde-Kategorie'!$A$5:$N$45,13,0)+0,0))</f>
        <v>0</v>
      </c>
      <c r="S1768" s="54"/>
      <c r="T1768" s="55"/>
      <c r="U1768" s="55"/>
      <c r="V1768" s="55"/>
      <c r="W1768" s="48"/>
      <c r="X1768" s="50"/>
      <c r="Y1768" s="50"/>
      <c r="Z1768" s="48" t="str">
        <f aca="false">IF(A1768="","",IF(AND(Parameter!$B$21="Ja",ISNUMBER(W1768)),W1768,IF(BZ1768="2+3",IF(ISNUMBER(SEARCH("grosser Artikel",BR1768)),2,IFERROR(VLOOKUP(BU1768,Parameter!$F$35:$G$64,2,0),2)),IF(OR(BZ1768="Nein",BZ1768=""),"-",BZ1768))))</f>
        <v/>
      </c>
      <c r="AA1768" s="48" t="str">
        <f aca="false">IF('Neue Artikel'!$J$29="","",'Neue Artikel'!$J$29)</f>
        <v/>
      </c>
      <c r="AB1768" s="56"/>
      <c r="AC1768" s="50" t="n">
        <f aca="false">AT1768</f>
        <v>0</v>
      </c>
      <c r="AD1768" s="50" t="n">
        <f aca="false">MAX(AT1768,H1768)</f>
        <v>0</v>
      </c>
      <c r="AE1768" s="57"/>
      <c r="AF1768" s="50" t="n">
        <f aca="false">IF(LEFT(Cockpit!$C$5,1)="A",H1768,IF(CE1768=1,CF1768,IF(LEFT(Cockpit!$C$5,1)="B",AK1768,MAX(AK1768,H1768))))</f>
        <v>0</v>
      </c>
      <c r="AG1768" s="50" t="n">
        <f aca="false">IF(BW1768=1,0,ROUNDUP(AF1768/BV1768,0))</f>
        <v>0</v>
      </c>
      <c r="AH1768" s="52" t="n">
        <f aca="false">IF(CL1768&gt;0,CL1768*MAX(1,AF1768/X1768),IF(BW1768=1,IF(AF1768&lt;=0,0,CA1768*MAX(1,IF(H1768&gt;0,AF1768/H1768,1))),IF(R1768&gt;0,AG1768/R1768,0))/MAX(0.1,N(Parameter!$M$21)))</f>
        <v>0</v>
      </c>
      <c r="AI1768" s="50" t="n">
        <f aca="false">AH1768*BY1768</f>
        <v>0</v>
      </c>
      <c r="AJ1768" s="50" t="n">
        <f aca="false">AF1768*G1768</f>
        <v>0</v>
      </c>
      <c r="AK1768" s="50" t="n">
        <f aca="false">ROUNDUP(MAX(J1768/IF(CD1768&gt;0,CD1768,MAX(0.1,N(Cockpit!$C$6))),CG1768)/BV1768,0)*BV1768</f>
        <v>0</v>
      </c>
      <c r="AL1768" s="51" t="n">
        <f aca="false">IF(AI1768&gt;0,J1768/AI1768,-1)</f>
        <v>-1</v>
      </c>
      <c r="AM1768" s="51" t="str">
        <f aca="false">IF(AND(OR(CC1768="L1",CC1768="L23",CC1768="LIFT"),AI1768&gt;0),SUMIFS($AI$7:$AI$1843,$CC$7:$CC$1843,CC1768,$AL$7:$AL$1843,"&gt;"&amp;AL1768)+SUMIFS($AI$7:$AI$1843,$CC$7:$CC$1843,CC1768,$AL$7:$AL$1843,AL1768,$BT$7:$BT$1843,"&lt;="&amp;BT1768),"")</f>
        <v/>
      </c>
      <c r="AN1768" s="58" t="n">
        <f aca="false">IF(AM1768="",0,MAX(0,MIN(1,(IF(CC1768="L1",Parameter!$H$5,IF(CC1768="L23",Parameter!$H$6+Parameter!$H$7,Parameter!$H$5+Parameter!$H$6+Parameter!$H$7))-(AM1768-AI1768))/AI1768)))</f>
        <v>0</v>
      </c>
      <c r="AO1768" s="50" t="n">
        <f aca="false">IF(LEFT(Cockpit!$I$5,1)="A",H1768,IF(CE1768=1,CF1768,IF(LEFT(Cockpit!$I$5,1)="B",AT1768,MAX(AT1768,H1768))))</f>
        <v>0</v>
      </c>
      <c r="AP1768" s="50" t="n">
        <f aca="false">IF(BW1768=1,0,ROUNDUP(AO1768/BV1768,0))</f>
        <v>0</v>
      </c>
      <c r="AQ1768" s="52" t="n">
        <f aca="false">IF(CL1768&gt;0,CL1768*MAX(1,AO1768/X1768),IF(BW1768=1,IF(AO1768&lt;=0,0,CA1768*MAX(1,IF(H1768&gt;0,AO1768/H1768,1))),IF(R1768&gt;0,AP1768/R1768,0))/MAX(0.1,N(Parameter!$M$21)))</f>
        <v>0</v>
      </c>
      <c r="AR1768" s="50" t="n">
        <f aca="false">AQ1768*BY1768</f>
        <v>0</v>
      </c>
      <c r="AS1768" s="50" t="n">
        <f aca="false">AO1768*G1768</f>
        <v>0</v>
      </c>
      <c r="AT1768" s="50" t="n">
        <f aca="false">ROUNDUP(MAX(J1768/IF(CD1768&gt;0,CD1768,MAX(0.1,N(Cockpit!$I$6))),CG1768)/BV1768,0)*BV1768</f>
        <v>0</v>
      </c>
      <c r="AU1768" s="51" t="n">
        <f aca="false">IF(AR1768&gt;0,J1768/AR1768,-1)</f>
        <v>-1</v>
      </c>
      <c r="AV1768" s="51" t="str">
        <f aca="false">IF(AND(OR(CC1768="L1",CC1768="L23",CC1768="LIFT"),AR1768&gt;0),SUMIFS($AR$7:$AR$1843,$CC$7:$CC$1843,CC1768,$AU$7:$AU$1843,"&gt;"&amp;AU1768)+SUMIFS($AR$7:$AR$1843,$CC$7:$CC$1843,CC1768,$AU$7:$AU$1843,AU1768,$BT$7:$BT$1843,"&lt;="&amp;BT1768),"")</f>
        <v/>
      </c>
      <c r="AW1768" s="58" t="n">
        <f aca="false">IF(AV1768="",0,MAX(0,MIN(1,(IF(CC1768="L1",Parameter!$H$5,IF(CC1768="L23",Parameter!$H$6+Parameter!$H$7,Parameter!$H$5+Parameter!$H$6+Parameter!$H$7))-(AV1768-AR1768))/AR1768)))</f>
        <v>0</v>
      </c>
      <c r="AX1768" s="50" t="n">
        <f aca="false">IF(LEFT(Cockpit!$O$5,1)="A",H1768,IF(CE1768=1,CF1768,IF(LEFT(Cockpit!$O$5,1)="B",BC1768,MAX(BC1768,H1768))))</f>
        <v>0</v>
      </c>
      <c r="AY1768" s="50" t="n">
        <f aca="false">IF(BW1768=1,0,ROUNDUP(AX1768/BV1768,0))</f>
        <v>0</v>
      </c>
      <c r="AZ1768" s="52" t="n">
        <f aca="false">IF(CL1768&gt;0,CL1768*MAX(1,AX1768/X1768),IF(BW1768=1,IF(AX1768&lt;=0,0,CA1768*MAX(1,IF(H1768&gt;0,AX1768/H1768,1))),IF(R1768&gt;0,AY1768/R1768,0))/MAX(0.1,N(Parameter!$M$21)))</f>
        <v>0</v>
      </c>
      <c r="BA1768" s="50" t="n">
        <f aca="false">AZ1768*BY1768</f>
        <v>0</v>
      </c>
      <c r="BB1768" s="50" t="n">
        <f aca="false">AX1768*G1768</f>
        <v>0</v>
      </c>
      <c r="BC1768" s="50" t="n">
        <f aca="false">ROUNDUP(MAX(J1768/IF(CD1768&gt;0,CD1768,MAX(0.1,N(Cockpit!$O$6))),CG1768)/BV1768,0)*BV1768</f>
        <v>0</v>
      </c>
      <c r="BD1768" s="51" t="n">
        <f aca="false">IF(BA1768&gt;0,J1768/BA1768,-1)</f>
        <v>-1</v>
      </c>
      <c r="BE1768" s="51" t="str">
        <f aca="false">IF(AND(OR(CC1768="L1",CC1768="L23",CC1768="LIFT"),BA1768&gt;0),SUMIFS($BA$7:$BA$1843,$CC$7:$CC$1843,CC1768,$BD$7:$BD$1843,"&gt;"&amp;BD1768)+SUMIFS($BA$7:$BA$1843,$CC$7:$CC$1843,CC1768,$BD$7:$BD$1843,BD1768,$BT$7:$BT$1843,"&lt;="&amp;BT1768),"")</f>
        <v/>
      </c>
      <c r="BF1768" s="58" t="n">
        <f aca="false">IF(BE1768="",0,MAX(0,MIN(1,(IF(CC1768="L1",Parameter!$H$5,IF(CC1768="L23",Parameter!$H$6+Parameter!$H$7,Parameter!$H$5+Parameter!$H$6+Parameter!$H$7))-(BE1768-BA1768))/BA1768)))</f>
        <v>0</v>
      </c>
      <c r="BG1768" s="48" t="str">
        <f aca="false">IF(AI1768&lt;=0,"",IF(CC1768="Aussen","Aussenlager",IF(CC1768="-","Nicht im Lift",IF(AN1768&gt;=1,"Lift",IF(AN1768&lt;=0,"Aussenlager","teilweise")))))</f>
        <v/>
      </c>
      <c r="BH1768" s="48" t="str">
        <f aca="false">IF(AR1768&lt;=0,"",IF(CC1768="Aussen","Aussenlager",IF(CC1768="-","Nicht im Lift",IF(AW1768&gt;=1,"Lift",IF(AW1768&lt;=0,"Aussenlager","teilweise")))))</f>
        <v/>
      </c>
      <c r="BI1768" s="48" t="str">
        <f aca="false">IF(BA1768&lt;=0,"",IF(CC1768="Aussen","Aussenlager",IF(CC1768="-","Nicht im Lift",IF(BF1768&gt;=1,"Lift",IF(BF1768&lt;=0,"Aussenlager","teilweise")))))</f>
        <v/>
      </c>
      <c r="BJ1768" s="48" t="str">
        <f aca="false">IF(A1768="","",IF(BS1768=1,"Neu; ","")&amp;IF(AND(BS1768=0,BN1768&lt;0),"negativer Bestand (Export "&amp;BN1768&amp;"); ","")&amp;IF(J1768&lt;=0,"Kein Verbrauch; ","")&amp;IF(CL1768&gt;0,"Lift "&amp;W1768&amp;" lt. Liftbericht (Fach "&amp;X1768&amp;" Stk); ",IF(BX1768=1,"Gebinde geschätzt ("&amp;T1768&amp;"); ",IF(BW1768=1,"Lose – Tablare geschätzt; ","")))&amp;IF(H1768&gt;AT1768,"Überbestand "&amp;ROUND(H1768-AT1768,0)&amp;" Stk / CHF "&amp;ROUND((H1768-AT1768)*G1768,0)&amp;"; ","")&amp;IF(AND(CE1768=1,CF1768&lt;CG1768),"MAX &lt; MB+LG; ","")&amp;IF(AND(CK1768&gt;0,CJ1768*10&gt;CK1768),"zu hoch für Tablar; ","")&amp;IF(AND(BS1768=0,OR(CE1768=1,AA1768&lt;&gt;"",U1768&lt;&gt;"",V1768&lt;&gt;"",AB1768&lt;&gt;"")),"manuell übersteuert; ","")&amp;IF(AND(BW1768=0,R1768=0),"Gebinde unbekannt / Stellmass fehlt; ","")&amp;IF(AND(BW1768=0,N(V1768)&lt;=0,N(Q1768)&lt;=0),"Menge pro Gebinde fehlt (Ist = 1 Gebinde); ","")&amp;BR1768)</f>
        <v/>
      </c>
      <c r="BK1768" s="48"/>
      <c r="BL1768" s="48"/>
      <c r="BM1768" s="55"/>
      <c r="BN1768" s="50" t="n">
        <f aca="false">N('Neue Artikel'!$D$29)</f>
        <v>0</v>
      </c>
      <c r="BO1768" s="50" t="n">
        <v>0</v>
      </c>
      <c r="BP1768" s="49" t="n">
        <v>0</v>
      </c>
      <c r="BQ1768" s="50" t="n">
        <f aca="false">N('Neue Artikel'!$C$29)/Parameter!$B$18</f>
        <v>0</v>
      </c>
      <c r="BR1768" s="48"/>
      <c r="BS1768" s="53" t="n">
        <v>1</v>
      </c>
      <c r="BT1768" s="53" t="n">
        <v>1768</v>
      </c>
      <c r="BU1768" s="48" t="str">
        <f aca="false">IF(U1768&lt;&gt;"",UPPER(TRIM(U1768)),IF(BX1768=1,UPPER(VLOOKUP(T1768,Parameter!$I$27:$K$29,2,0)),IF(P1768="","LOSE",P1768)))</f>
        <v>LOSE</v>
      </c>
      <c r="BV1768" s="50" t="n">
        <f aca="false">IF(BU1768="LOSE",1,IF(N(V1768)&gt;0,V1768,IF(BX1768=1,MAX(1,N(VLOOKUP(T1768,Parameter!$I$27:$K$29,3,0)),H1768,N(N1768)),IF(N(Q1768)&gt;0,Q1768,MAX(1,H1768)))))</f>
        <v>1</v>
      </c>
      <c r="BW1768" s="53" t="n">
        <f aca="false">IF(BU1768="LOSE",1,0)</f>
        <v>1</v>
      </c>
      <c r="BX1768" s="53" t="n">
        <f aca="false">IF(AND(U1768="",OR(P1768="",P1768="LOSE"),T1768&lt;&gt;"",N(S1768)&lt;=0,ISNUMBER(MATCH(T1768,Parameter!$I$27:$I$29,0))),1,0)</f>
        <v>0</v>
      </c>
      <c r="BY1768" s="53" t="n">
        <f aca="false">IF(CL1768&gt;0,INDEX(Parameter!$H$5:$H$7,W1768)/INDEX(Parameter!$E$5:$E$7,W1768),IF(AND(BW1768=0,N(IFERROR(VLOOKUP(BU1768,'Gebinde-Kategorie'!$A$5:$N$45,14,0),0))&gt;0),VLOOKUP(BU1768,'Gebinde-Kategorie'!$A$5:$N$45,14,0)*10+Parameter!$M$23,Parameter!$M$24))</f>
        <v>235</v>
      </c>
      <c r="BZ1768" s="48" t="str">
        <f aca="false">IF(AND(Parameter!$B$19="Ja",E1768&lt;&gt;"",ISNUMBER(MATCH(E1768,Parameter!$I$35:$I$52,0))),VLOOKUP(E1768,Parameter!$I$35:$J$52,2,0),IFERROR(VLOOKUP(D1768,Parameter!$A$35:$C$64,2,0),"Nein"))</f>
        <v>2+3</v>
      </c>
      <c r="CA1768" s="52" t="n">
        <f aca="false">IF(BW1768=0,0,IF(N(S1768)&gt;0,S1768,IFERROR(VLOOKUP(D1768,Parameter!$A$35:$C$64,3,0)+0,0)))</f>
        <v>0.15</v>
      </c>
      <c r="CB1768" s="48" t="str">
        <f aca="false">IF(AA1768&lt;&gt;"",AA1768,Z1768)</f>
        <v/>
      </c>
      <c r="CC1768" s="48" t="str">
        <f aca="false">IF(OR(CB1768=1,CB1768=2,CB1768=3),IF(Parameter!$E$27="Ja","LIFT",IF(CB1768=1,"L1","L23")),IF(CB1768="Aussen","Aussen","-"))</f>
        <v>-</v>
      </c>
      <c r="CD1768" s="59" t="n">
        <f aca="false">IF(N(AB1768)&gt;0,AB1768,0)</f>
        <v>0</v>
      </c>
      <c r="CE1768" s="53" t="n">
        <f aca="false">IF(ISNUMBER(AE1768),1,0)</f>
        <v>0</v>
      </c>
      <c r="CF1768" s="50" t="n">
        <f aca="false">N(AE1768)</f>
        <v>0</v>
      </c>
      <c r="CG1768" s="50" t="n">
        <f aca="false">N(M1768)+N(N1768)</f>
        <v>0</v>
      </c>
      <c r="CH1768" s="50" t="n">
        <f aca="false">ROUNDUP(H1768/BV1768,0)</f>
        <v>0</v>
      </c>
      <c r="CI1768" s="50" t="n">
        <f aca="false">ROUNDUP(CF1768/BV1768,0)</f>
        <v>0</v>
      </c>
      <c r="CJ1768" s="53" t="n">
        <f aca="false">IF(BW1768=1,0,IFERROR(VLOOKUP(BU1768,'Gebinde-Kategorie'!$A$5:$N$45,5,0)+0,0))</f>
        <v>0</v>
      </c>
      <c r="CK1768" s="53" t="n">
        <f aca="false">IFERROR(IF(OR(CB1768=1,CB1768=2,CB1768=3),N(INDEX(Parameter!$I$5:$I$7,CB1768)),0),0)</f>
        <v>0</v>
      </c>
      <c r="CL1768" s="52" t="n">
        <f aca="false">IF(AND(Parameter!$B$21="Ja",ISNUMBER(W1768),N(X1768)&gt;0),IFERROR(N(INDEX(Parameter!$L$5:$L$7,W1768))*INDEX(Parameter!$E$5:$E$7,W1768)*X1768/SUMIFS($X$7:$X$1843,$W$7:$W$1843,W1768),0),0)</f>
        <v>0</v>
      </c>
    </row>
    <row r="1769" customFormat="false" ht="15" hidden="false" customHeight="false" outlineLevel="0" collapsed="false">
      <c r="A1769" s="48" t="str">
        <f aca="false">IF('Neue Artikel'!$A$30="","",'Neue Artikel'!$A$30&amp;"")</f>
        <v/>
      </c>
      <c r="B1769" s="48" t="str">
        <f aca="false">'Neue Artikel'!$B$30&amp;""</f>
        <v/>
      </c>
      <c r="C1769" s="48"/>
      <c r="D1769" s="48" t="s">
        <v>3019</v>
      </c>
      <c r="E1769" s="48"/>
      <c r="F1769" s="48"/>
      <c r="G1769" s="49" t="n">
        <f aca="false">N('Neue Artikel'!$G$30)</f>
        <v>0</v>
      </c>
      <c r="H1769" s="50" t="n">
        <f aca="false">MAX(0,IF(AND(Parameter!$B$21="Ja",ISNUMBER(Y1769)),Y1769,IF(Parameter!$B$20="Jahresanfang 2025 + Export",BO1769+BN1769,BN1769)))</f>
        <v>0</v>
      </c>
      <c r="I1769" s="50" t="n">
        <f aca="false">H1769*G1769</f>
        <v>0</v>
      </c>
      <c r="J1769" s="50" t="n">
        <f aca="false">BQ1769*Parameter!$B$18</f>
        <v>0</v>
      </c>
      <c r="K1769" s="51"/>
      <c r="L1769" s="52"/>
      <c r="M1769" s="50" t="n">
        <f aca="false">N('Neue Artikel'!$E$30)</f>
        <v>0</v>
      </c>
      <c r="N1769" s="50" t="n">
        <f aca="false">N('Neue Artikel'!$F$30)</f>
        <v>0</v>
      </c>
      <c r="O1769" s="53"/>
      <c r="P1769" s="48" t="str">
        <f aca="false">IF('Neue Artikel'!$H$30="","LOSE",UPPER(TRIM('Neue Artikel'!$H$30)))</f>
        <v>LOSE</v>
      </c>
      <c r="Q1769" s="50" t="n">
        <f aca="false">N('Neue Artikel'!$I$30)</f>
        <v>0</v>
      </c>
      <c r="R1769" s="53" t="n">
        <f aca="false">IF(BW1769=1,0,IFERROR(VLOOKUP(BU1769,'Gebinde-Kategorie'!$A$5:$N$45,13,0)+0,0))</f>
        <v>0</v>
      </c>
      <c r="S1769" s="54"/>
      <c r="T1769" s="55"/>
      <c r="U1769" s="55"/>
      <c r="V1769" s="55"/>
      <c r="W1769" s="48"/>
      <c r="X1769" s="50"/>
      <c r="Y1769" s="50"/>
      <c r="Z1769" s="48" t="str">
        <f aca="false">IF(A1769="","",IF(AND(Parameter!$B$21="Ja",ISNUMBER(W1769)),W1769,IF(BZ1769="2+3",IF(ISNUMBER(SEARCH("grosser Artikel",BR1769)),2,IFERROR(VLOOKUP(BU1769,Parameter!$F$35:$G$64,2,0),2)),IF(OR(BZ1769="Nein",BZ1769=""),"-",BZ1769))))</f>
        <v/>
      </c>
      <c r="AA1769" s="48" t="str">
        <f aca="false">IF('Neue Artikel'!$J$30="","",'Neue Artikel'!$J$30)</f>
        <v/>
      </c>
      <c r="AB1769" s="56"/>
      <c r="AC1769" s="50" t="n">
        <f aca="false">AT1769</f>
        <v>0</v>
      </c>
      <c r="AD1769" s="50" t="n">
        <f aca="false">MAX(AT1769,H1769)</f>
        <v>0</v>
      </c>
      <c r="AE1769" s="57"/>
      <c r="AF1769" s="50" t="n">
        <f aca="false">IF(LEFT(Cockpit!$C$5,1)="A",H1769,IF(CE1769=1,CF1769,IF(LEFT(Cockpit!$C$5,1)="B",AK1769,MAX(AK1769,H1769))))</f>
        <v>0</v>
      </c>
      <c r="AG1769" s="50" t="n">
        <f aca="false">IF(BW1769=1,0,ROUNDUP(AF1769/BV1769,0))</f>
        <v>0</v>
      </c>
      <c r="AH1769" s="52" t="n">
        <f aca="false">IF(CL1769&gt;0,CL1769*MAX(1,AF1769/X1769),IF(BW1769=1,IF(AF1769&lt;=0,0,CA1769*MAX(1,IF(H1769&gt;0,AF1769/H1769,1))),IF(R1769&gt;0,AG1769/R1769,0))/MAX(0.1,N(Parameter!$M$21)))</f>
        <v>0</v>
      </c>
      <c r="AI1769" s="50" t="n">
        <f aca="false">AH1769*BY1769</f>
        <v>0</v>
      </c>
      <c r="AJ1769" s="50" t="n">
        <f aca="false">AF1769*G1769</f>
        <v>0</v>
      </c>
      <c r="AK1769" s="50" t="n">
        <f aca="false">ROUNDUP(MAX(J1769/IF(CD1769&gt;0,CD1769,MAX(0.1,N(Cockpit!$C$6))),CG1769)/BV1769,0)*BV1769</f>
        <v>0</v>
      </c>
      <c r="AL1769" s="51" t="n">
        <f aca="false">IF(AI1769&gt;0,J1769/AI1769,-1)</f>
        <v>-1</v>
      </c>
      <c r="AM1769" s="51" t="str">
        <f aca="false">IF(AND(OR(CC1769="L1",CC1769="L23",CC1769="LIFT"),AI1769&gt;0),SUMIFS($AI$7:$AI$1843,$CC$7:$CC$1843,CC1769,$AL$7:$AL$1843,"&gt;"&amp;AL1769)+SUMIFS($AI$7:$AI$1843,$CC$7:$CC$1843,CC1769,$AL$7:$AL$1843,AL1769,$BT$7:$BT$1843,"&lt;="&amp;BT1769),"")</f>
        <v/>
      </c>
      <c r="AN1769" s="58" t="n">
        <f aca="false">IF(AM1769="",0,MAX(0,MIN(1,(IF(CC1769="L1",Parameter!$H$5,IF(CC1769="L23",Parameter!$H$6+Parameter!$H$7,Parameter!$H$5+Parameter!$H$6+Parameter!$H$7))-(AM1769-AI1769))/AI1769)))</f>
        <v>0</v>
      </c>
      <c r="AO1769" s="50" t="n">
        <f aca="false">IF(LEFT(Cockpit!$I$5,1)="A",H1769,IF(CE1769=1,CF1769,IF(LEFT(Cockpit!$I$5,1)="B",AT1769,MAX(AT1769,H1769))))</f>
        <v>0</v>
      </c>
      <c r="AP1769" s="50" t="n">
        <f aca="false">IF(BW1769=1,0,ROUNDUP(AO1769/BV1769,0))</f>
        <v>0</v>
      </c>
      <c r="AQ1769" s="52" t="n">
        <f aca="false">IF(CL1769&gt;0,CL1769*MAX(1,AO1769/X1769),IF(BW1769=1,IF(AO1769&lt;=0,0,CA1769*MAX(1,IF(H1769&gt;0,AO1769/H1769,1))),IF(R1769&gt;0,AP1769/R1769,0))/MAX(0.1,N(Parameter!$M$21)))</f>
        <v>0</v>
      </c>
      <c r="AR1769" s="50" t="n">
        <f aca="false">AQ1769*BY1769</f>
        <v>0</v>
      </c>
      <c r="AS1769" s="50" t="n">
        <f aca="false">AO1769*G1769</f>
        <v>0</v>
      </c>
      <c r="AT1769" s="50" t="n">
        <f aca="false">ROUNDUP(MAX(J1769/IF(CD1769&gt;0,CD1769,MAX(0.1,N(Cockpit!$I$6))),CG1769)/BV1769,0)*BV1769</f>
        <v>0</v>
      </c>
      <c r="AU1769" s="51" t="n">
        <f aca="false">IF(AR1769&gt;0,J1769/AR1769,-1)</f>
        <v>-1</v>
      </c>
      <c r="AV1769" s="51" t="str">
        <f aca="false">IF(AND(OR(CC1769="L1",CC1769="L23",CC1769="LIFT"),AR1769&gt;0),SUMIFS($AR$7:$AR$1843,$CC$7:$CC$1843,CC1769,$AU$7:$AU$1843,"&gt;"&amp;AU1769)+SUMIFS($AR$7:$AR$1843,$CC$7:$CC$1843,CC1769,$AU$7:$AU$1843,AU1769,$BT$7:$BT$1843,"&lt;="&amp;BT1769),"")</f>
        <v/>
      </c>
      <c r="AW1769" s="58" t="n">
        <f aca="false">IF(AV1769="",0,MAX(0,MIN(1,(IF(CC1769="L1",Parameter!$H$5,IF(CC1769="L23",Parameter!$H$6+Parameter!$H$7,Parameter!$H$5+Parameter!$H$6+Parameter!$H$7))-(AV1769-AR1769))/AR1769)))</f>
        <v>0</v>
      </c>
      <c r="AX1769" s="50" t="n">
        <f aca="false">IF(LEFT(Cockpit!$O$5,1)="A",H1769,IF(CE1769=1,CF1769,IF(LEFT(Cockpit!$O$5,1)="B",BC1769,MAX(BC1769,H1769))))</f>
        <v>0</v>
      </c>
      <c r="AY1769" s="50" t="n">
        <f aca="false">IF(BW1769=1,0,ROUNDUP(AX1769/BV1769,0))</f>
        <v>0</v>
      </c>
      <c r="AZ1769" s="52" t="n">
        <f aca="false">IF(CL1769&gt;0,CL1769*MAX(1,AX1769/X1769),IF(BW1769=1,IF(AX1769&lt;=0,0,CA1769*MAX(1,IF(H1769&gt;0,AX1769/H1769,1))),IF(R1769&gt;0,AY1769/R1769,0))/MAX(0.1,N(Parameter!$M$21)))</f>
        <v>0</v>
      </c>
      <c r="BA1769" s="50" t="n">
        <f aca="false">AZ1769*BY1769</f>
        <v>0</v>
      </c>
      <c r="BB1769" s="50" t="n">
        <f aca="false">AX1769*G1769</f>
        <v>0</v>
      </c>
      <c r="BC1769" s="50" t="n">
        <f aca="false">ROUNDUP(MAX(J1769/IF(CD1769&gt;0,CD1769,MAX(0.1,N(Cockpit!$O$6))),CG1769)/BV1769,0)*BV1769</f>
        <v>0</v>
      </c>
      <c r="BD1769" s="51" t="n">
        <f aca="false">IF(BA1769&gt;0,J1769/BA1769,-1)</f>
        <v>-1</v>
      </c>
      <c r="BE1769" s="51" t="str">
        <f aca="false">IF(AND(OR(CC1769="L1",CC1769="L23",CC1769="LIFT"),BA1769&gt;0),SUMIFS($BA$7:$BA$1843,$CC$7:$CC$1843,CC1769,$BD$7:$BD$1843,"&gt;"&amp;BD1769)+SUMIFS($BA$7:$BA$1843,$CC$7:$CC$1843,CC1769,$BD$7:$BD$1843,BD1769,$BT$7:$BT$1843,"&lt;="&amp;BT1769),"")</f>
        <v/>
      </c>
      <c r="BF1769" s="58" t="n">
        <f aca="false">IF(BE1769="",0,MAX(0,MIN(1,(IF(CC1769="L1",Parameter!$H$5,IF(CC1769="L23",Parameter!$H$6+Parameter!$H$7,Parameter!$H$5+Parameter!$H$6+Parameter!$H$7))-(BE1769-BA1769))/BA1769)))</f>
        <v>0</v>
      </c>
      <c r="BG1769" s="48" t="str">
        <f aca="false">IF(AI1769&lt;=0,"",IF(CC1769="Aussen","Aussenlager",IF(CC1769="-","Nicht im Lift",IF(AN1769&gt;=1,"Lift",IF(AN1769&lt;=0,"Aussenlager","teilweise")))))</f>
        <v/>
      </c>
      <c r="BH1769" s="48" t="str">
        <f aca="false">IF(AR1769&lt;=0,"",IF(CC1769="Aussen","Aussenlager",IF(CC1769="-","Nicht im Lift",IF(AW1769&gt;=1,"Lift",IF(AW1769&lt;=0,"Aussenlager","teilweise")))))</f>
        <v/>
      </c>
      <c r="BI1769" s="48" t="str">
        <f aca="false">IF(BA1769&lt;=0,"",IF(CC1769="Aussen","Aussenlager",IF(CC1769="-","Nicht im Lift",IF(BF1769&gt;=1,"Lift",IF(BF1769&lt;=0,"Aussenlager","teilweise")))))</f>
        <v/>
      </c>
      <c r="BJ1769" s="48" t="str">
        <f aca="false">IF(A1769="","",IF(BS1769=1,"Neu; ","")&amp;IF(AND(BS1769=0,BN1769&lt;0),"negativer Bestand (Export "&amp;BN1769&amp;"); ","")&amp;IF(J1769&lt;=0,"Kein Verbrauch; ","")&amp;IF(CL1769&gt;0,"Lift "&amp;W1769&amp;" lt. Liftbericht (Fach "&amp;X1769&amp;" Stk); ",IF(BX1769=1,"Gebinde geschätzt ("&amp;T1769&amp;"); ",IF(BW1769=1,"Lose – Tablare geschätzt; ","")))&amp;IF(H1769&gt;AT1769,"Überbestand "&amp;ROUND(H1769-AT1769,0)&amp;" Stk / CHF "&amp;ROUND((H1769-AT1769)*G1769,0)&amp;"; ","")&amp;IF(AND(CE1769=1,CF1769&lt;CG1769),"MAX &lt; MB+LG; ","")&amp;IF(AND(CK1769&gt;0,CJ1769*10&gt;CK1769),"zu hoch für Tablar; ","")&amp;IF(AND(BS1769=0,OR(CE1769=1,AA1769&lt;&gt;"",U1769&lt;&gt;"",V1769&lt;&gt;"",AB1769&lt;&gt;"")),"manuell übersteuert; ","")&amp;IF(AND(BW1769=0,R1769=0),"Gebinde unbekannt / Stellmass fehlt; ","")&amp;IF(AND(BW1769=0,N(V1769)&lt;=0,N(Q1769)&lt;=0),"Menge pro Gebinde fehlt (Ist = 1 Gebinde); ","")&amp;BR1769)</f>
        <v/>
      </c>
      <c r="BK1769" s="48"/>
      <c r="BL1769" s="48"/>
      <c r="BM1769" s="55"/>
      <c r="BN1769" s="50" t="n">
        <f aca="false">N('Neue Artikel'!$D$30)</f>
        <v>0</v>
      </c>
      <c r="BO1769" s="50" t="n">
        <v>0</v>
      </c>
      <c r="BP1769" s="49" t="n">
        <v>0</v>
      </c>
      <c r="BQ1769" s="50" t="n">
        <f aca="false">N('Neue Artikel'!$C$30)/Parameter!$B$18</f>
        <v>0</v>
      </c>
      <c r="BR1769" s="48"/>
      <c r="BS1769" s="53" t="n">
        <v>1</v>
      </c>
      <c r="BT1769" s="53" t="n">
        <v>1769</v>
      </c>
      <c r="BU1769" s="48" t="str">
        <f aca="false">IF(U1769&lt;&gt;"",UPPER(TRIM(U1769)),IF(BX1769=1,UPPER(VLOOKUP(T1769,Parameter!$I$27:$K$29,2,0)),IF(P1769="","LOSE",P1769)))</f>
        <v>LOSE</v>
      </c>
      <c r="BV1769" s="50" t="n">
        <f aca="false">IF(BU1769="LOSE",1,IF(N(V1769)&gt;0,V1769,IF(BX1769=1,MAX(1,N(VLOOKUP(T1769,Parameter!$I$27:$K$29,3,0)),H1769,N(N1769)),IF(N(Q1769)&gt;0,Q1769,MAX(1,H1769)))))</f>
        <v>1</v>
      </c>
      <c r="BW1769" s="53" t="n">
        <f aca="false">IF(BU1769="LOSE",1,0)</f>
        <v>1</v>
      </c>
      <c r="BX1769" s="53" t="n">
        <f aca="false">IF(AND(U1769="",OR(P1769="",P1769="LOSE"),T1769&lt;&gt;"",N(S1769)&lt;=0,ISNUMBER(MATCH(T1769,Parameter!$I$27:$I$29,0))),1,0)</f>
        <v>0</v>
      </c>
      <c r="BY1769" s="53" t="n">
        <f aca="false">IF(CL1769&gt;0,INDEX(Parameter!$H$5:$H$7,W1769)/INDEX(Parameter!$E$5:$E$7,W1769),IF(AND(BW1769=0,N(IFERROR(VLOOKUP(BU1769,'Gebinde-Kategorie'!$A$5:$N$45,14,0),0))&gt;0),VLOOKUP(BU1769,'Gebinde-Kategorie'!$A$5:$N$45,14,0)*10+Parameter!$M$23,Parameter!$M$24))</f>
        <v>235</v>
      </c>
      <c r="BZ1769" s="48" t="str">
        <f aca="false">IF(AND(Parameter!$B$19="Ja",E1769&lt;&gt;"",ISNUMBER(MATCH(E1769,Parameter!$I$35:$I$52,0))),VLOOKUP(E1769,Parameter!$I$35:$J$52,2,0),IFERROR(VLOOKUP(D1769,Parameter!$A$35:$C$64,2,0),"Nein"))</f>
        <v>2+3</v>
      </c>
      <c r="CA1769" s="52" t="n">
        <f aca="false">IF(BW1769=0,0,IF(N(S1769)&gt;0,S1769,IFERROR(VLOOKUP(D1769,Parameter!$A$35:$C$64,3,0)+0,0)))</f>
        <v>0.15</v>
      </c>
      <c r="CB1769" s="48" t="str">
        <f aca="false">IF(AA1769&lt;&gt;"",AA1769,Z1769)</f>
        <v/>
      </c>
      <c r="CC1769" s="48" t="str">
        <f aca="false">IF(OR(CB1769=1,CB1769=2,CB1769=3),IF(Parameter!$E$27="Ja","LIFT",IF(CB1769=1,"L1","L23")),IF(CB1769="Aussen","Aussen","-"))</f>
        <v>-</v>
      </c>
      <c r="CD1769" s="59" t="n">
        <f aca="false">IF(N(AB1769)&gt;0,AB1769,0)</f>
        <v>0</v>
      </c>
      <c r="CE1769" s="53" t="n">
        <f aca="false">IF(ISNUMBER(AE1769),1,0)</f>
        <v>0</v>
      </c>
      <c r="CF1769" s="50" t="n">
        <f aca="false">N(AE1769)</f>
        <v>0</v>
      </c>
      <c r="CG1769" s="50" t="n">
        <f aca="false">N(M1769)+N(N1769)</f>
        <v>0</v>
      </c>
      <c r="CH1769" s="50" t="n">
        <f aca="false">ROUNDUP(H1769/BV1769,0)</f>
        <v>0</v>
      </c>
      <c r="CI1769" s="50" t="n">
        <f aca="false">ROUNDUP(CF1769/BV1769,0)</f>
        <v>0</v>
      </c>
      <c r="CJ1769" s="53" t="n">
        <f aca="false">IF(BW1769=1,0,IFERROR(VLOOKUP(BU1769,'Gebinde-Kategorie'!$A$5:$N$45,5,0)+0,0))</f>
        <v>0</v>
      </c>
      <c r="CK1769" s="53" t="n">
        <f aca="false">IFERROR(IF(OR(CB1769=1,CB1769=2,CB1769=3),N(INDEX(Parameter!$I$5:$I$7,CB1769)),0),0)</f>
        <v>0</v>
      </c>
      <c r="CL1769" s="52" t="n">
        <f aca="false">IF(AND(Parameter!$B$21="Ja",ISNUMBER(W1769),N(X1769)&gt;0),IFERROR(N(INDEX(Parameter!$L$5:$L$7,W1769))*INDEX(Parameter!$E$5:$E$7,W1769)*X1769/SUMIFS($X$7:$X$1843,$W$7:$W$1843,W1769),0),0)</f>
        <v>0</v>
      </c>
    </row>
    <row r="1770" customFormat="false" ht="15" hidden="false" customHeight="false" outlineLevel="0" collapsed="false">
      <c r="A1770" s="48" t="str">
        <f aca="false">IF('Neue Artikel'!$A$31="","",'Neue Artikel'!$A$31&amp;"")</f>
        <v/>
      </c>
      <c r="B1770" s="48" t="str">
        <f aca="false">'Neue Artikel'!$B$31&amp;""</f>
        <v/>
      </c>
      <c r="C1770" s="48"/>
      <c r="D1770" s="48" t="s">
        <v>3019</v>
      </c>
      <c r="E1770" s="48"/>
      <c r="F1770" s="48"/>
      <c r="G1770" s="49" t="n">
        <f aca="false">N('Neue Artikel'!$G$31)</f>
        <v>0</v>
      </c>
      <c r="H1770" s="50" t="n">
        <f aca="false">MAX(0,IF(AND(Parameter!$B$21="Ja",ISNUMBER(Y1770)),Y1770,IF(Parameter!$B$20="Jahresanfang 2025 + Export",BO1770+BN1770,BN1770)))</f>
        <v>0</v>
      </c>
      <c r="I1770" s="50" t="n">
        <f aca="false">H1770*G1770</f>
        <v>0</v>
      </c>
      <c r="J1770" s="50" t="n">
        <f aca="false">BQ1770*Parameter!$B$18</f>
        <v>0</v>
      </c>
      <c r="K1770" s="51"/>
      <c r="L1770" s="52"/>
      <c r="M1770" s="50" t="n">
        <f aca="false">N('Neue Artikel'!$E$31)</f>
        <v>0</v>
      </c>
      <c r="N1770" s="50" t="n">
        <f aca="false">N('Neue Artikel'!$F$31)</f>
        <v>0</v>
      </c>
      <c r="O1770" s="53"/>
      <c r="P1770" s="48" t="str">
        <f aca="false">IF('Neue Artikel'!$H$31="","LOSE",UPPER(TRIM('Neue Artikel'!$H$31)))</f>
        <v>LOSE</v>
      </c>
      <c r="Q1770" s="50" t="n">
        <f aca="false">N('Neue Artikel'!$I$31)</f>
        <v>0</v>
      </c>
      <c r="R1770" s="53" t="n">
        <f aca="false">IF(BW1770=1,0,IFERROR(VLOOKUP(BU1770,'Gebinde-Kategorie'!$A$5:$N$45,13,0)+0,0))</f>
        <v>0</v>
      </c>
      <c r="S1770" s="54"/>
      <c r="T1770" s="55"/>
      <c r="U1770" s="55"/>
      <c r="V1770" s="55"/>
      <c r="W1770" s="48"/>
      <c r="X1770" s="50"/>
      <c r="Y1770" s="50"/>
      <c r="Z1770" s="48" t="str">
        <f aca="false">IF(A1770="","",IF(AND(Parameter!$B$21="Ja",ISNUMBER(W1770)),W1770,IF(BZ1770="2+3",IF(ISNUMBER(SEARCH("grosser Artikel",BR1770)),2,IFERROR(VLOOKUP(BU1770,Parameter!$F$35:$G$64,2,0),2)),IF(OR(BZ1770="Nein",BZ1770=""),"-",BZ1770))))</f>
        <v/>
      </c>
      <c r="AA1770" s="48" t="str">
        <f aca="false">IF('Neue Artikel'!$J$31="","",'Neue Artikel'!$J$31)</f>
        <v/>
      </c>
      <c r="AB1770" s="56"/>
      <c r="AC1770" s="50" t="n">
        <f aca="false">AT1770</f>
        <v>0</v>
      </c>
      <c r="AD1770" s="50" t="n">
        <f aca="false">MAX(AT1770,H1770)</f>
        <v>0</v>
      </c>
      <c r="AE1770" s="57"/>
      <c r="AF1770" s="50" t="n">
        <f aca="false">IF(LEFT(Cockpit!$C$5,1)="A",H1770,IF(CE1770=1,CF1770,IF(LEFT(Cockpit!$C$5,1)="B",AK1770,MAX(AK1770,H1770))))</f>
        <v>0</v>
      </c>
      <c r="AG1770" s="50" t="n">
        <f aca="false">IF(BW1770=1,0,ROUNDUP(AF1770/BV1770,0))</f>
        <v>0</v>
      </c>
      <c r="AH1770" s="52" t="n">
        <f aca="false">IF(CL1770&gt;0,CL1770*MAX(1,AF1770/X1770),IF(BW1770=1,IF(AF1770&lt;=0,0,CA1770*MAX(1,IF(H1770&gt;0,AF1770/H1770,1))),IF(R1770&gt;0,AG1770/R1770,0))/MAX(0.1,N(Parameter!$M$21)))</f>
        <v>0</v>
      </c>
      <c r="AI1770" s="50" t="n">
        <f aca="false">AH1770*BY1770</f>
        <v>0</v>
      </c>
      <c r="AJ1770" s="50" t="n">
        <f aca="false">AF1770*G1770</f>
        <v>0</v>
      </c>
      <c r="AK1770" s="50" t="n">
        <f aca="false">ROUNDUP(MAX(J1770/IF(CD1770&gt;0,CD1770,MAX(0.1,N(Cockpit!$C$6))),CG1770)/BV1770,0)*BV1770</f>
        <v>0</v>
      </c>
      <c r="AL1770" s="51" t="n">
        <f aca="false">IF(AI1770&gt;0,J1770/AI1770,-1)</f>
        <v>-1</v>
      </c>
      <c r="AM1770" s="51" t="str">
        <f aca="false">IF(AND(OR(CC1770="L1",CC1770="L23",CC1770="LIFT"),AI1770&gt;0),SUMIFS($AI$7:$AI$1843,$CC$7:$CC$1843,CC1770,$AL$7:$AL$1843,"&gt;"&amp;AL1770)+SUMIFS($AI$7:$AI$1843,$CC$7:$CC$1843,CC1770,$AL$7:$AL$1843,AL1770,$BT$7:$BT$1843,"&lt;="&amp;BT1770),"")</f>
        <v/>
      </c>
      <c r="AN1770" s="58" t="n">
        <f aca="false">IF(AM1770="",0,MAX(0,MIN(1,(IF(CC1770="L1",Parameter!$H$5,IF(CC1770="L23",Parameter!$H$6+Parameter!$H$7,Parameter!$H$5+Parameter!$H$6+Parameter!$H$7))-(AM1770-AI1770))/AI1770)))</f>
        <v>0</v>
      </c>
      <c r="AO1770" s="50" t="n">
        <f aca="false">IF(LEFT(Cockpit!$I$5,1)="A",H1770,IF(CE1770=1,CF1770,IF(LEFT(Cockpit!$I$5,1)="B",AT1770,MAX(AT1770,H1770))))</f>
        <v>0</v>
      </c>
      <c r="AP1770" s="50" t="n">
        <f aca="false">IF(BW1770=1,0,ROUNDUP(AO1770/BV1770,0))</f>
        <v>0</v>
      </c>
      <c r="AQ1770" s="52" t="n">
        <f aca="false">IF(CL1770&gt;0,CL1770*MAX(1,AO1770/X1770),IF(BW1770=1,IF(AO1770&lt;=0,0,CA1770*MAX(1,IF(H1770&gt;0,AO1770/H1770,1))),IF(R1770&gt;0,AP1770/R1770,0))/MAX(0.1,N(Parameter!$M$21)))</f>
        <v>0</v>
      </c>
      <c r="AR1770" s="50" t="n">
        <f aca="false">AQ1770*BY1770</f>
        <v>0</v>
      </c>
      <c r="AS1770" s="50" t="n">
        <f aca="false">AO1770*G1770</f>
        <v>0</v>
      </c>
      <c r="AT1770" s="50" t="n">
        <f aca="false">ROUNDUP(MAX(J1770/IF(CD1770&gt;0,CD1770,MAX(0.1,N(Cockpit!$I$6))),CG1770)/BV1770,0)*BV1770</f>
        <v>0</v>
      </c>
      <c r="AU1770" s="51" t="n">
        <f aca="false">IF(AR1770&gt;0,J1770/AR1770,-1)</f>
        <v>-1</v>
      </c>
      <c r="AV1770" s="51" t="str">
        <f aca="false">IF(AND(OR(CC1770="L1",CC1770="L23",CC1770="LIFT"),AR1770&gt;0),SUMIFS($AR$7:$AR$1843,$CC$7:$CC$1843,CC1770,$AU$7:$AU$1843,"&gt;"&amp;AU1770)+SUMIFS($AR$7:$AR$1843,$CC$7:$CC$1843,CC1770,$AU$7:$AU$1843,AU1770,$BT$7:$BT$1843,"&lt;="&amp;BT1770),"")</f>
        <v/>
      </c>
      <c r="AW1770" s="58" t="n">
        <f aca="false">IF(AV1770="",0,MAX(0,MIN(1,(IF(CC1770="L1",Parameter!$H$5,IF(CC1770="L23",Parameter!$H$6+Parameter!$H$7,Parameter!$H$5+Parameter!$H$6+Parameter!$H$7))-(AV1770-AR1770))/AR1770)))</f>
        <v>0</v>
      </c>
      <c r="AX1770" s="50" t="n">
        <f aca="false">IF(LEFT(Cockpit!$O$5,1)="A",H1770,IF(CE1770=1,CF1770,IF(LEFT(Cockpit!$O$5,1)="B",BC1770,MAX(BC1770,H1770))))</f>
        <v>0</v>
      </c>
      <c r="AY1770" s="50" t="n">
        <f aca="false">IF(BW1770=1,0,ROUNDUP(AX1770/BV1770,0))</f>
        <v>0</v>
      </c>
      <c r="AZ1770" s="52" t="n">
        <f aca="false">IF(CL1770&gt;0,CL1770*MAX(1,AX1770/X1770),IF(BW1770=1,IF(AX1770&lt;=0,0,CA1770*MAX(1,IF(H1770&gt;0,AX1770/H1770,1))),IF(R1770&gt;0,AY1770/R1770,0))/MAX(0.1,N(Parameter!$M$21)))</f>
        <v>0</v>
      </c>
      <c r="BA1770" s="50" t="n">
        <f aca="false">AZ1770*BY1770</f>
        <v>0</v>
      </c>
      <c r="BB1770" s="50" t="n">
        <f aca="false">AX1770*G1770</f>
        <v>0</v>
      </c>
      <c r="BC1770" s="50" t="n">
        <f aca="false">ROUNDUP(MAX(J1770/IF(CD1770&gt;0,CD1770,MAX(0.1,N(Cockpit!$O$6))),CG1770)/BV1770,0)*BV1770</f>
        <v>0</v>
      </c>
      <c r="BD1770" s="51" t="n">
        <f aca="false">IF(BA1770&gt;0,J1770/BA1770,-1)</f>
        <v>-1</v>
      </c>
      <c r="BE1770" s="51" t="str">
        <f aca="false">IF(AND(OR(CC1770="L1",CC1770="L23",CC1770="LIFT"),BA1770&gt;0),SUMIFS($BA$7:$BA$1843,$CC$7:$CC$1843,CC1770,$BD$7:$BD$1843,"&gt;"&amp;BD1770)+SUMIFS($BA$7:$BA$1843,$CC$7:$CC$1843,CC1770,$BD$7:$BD$1843,BD1770,$BT$7:$BT$1843,"&lt;="&amp;BT1770),"")</f>
        <v/>
      </c>
      <c r="BF1770" s="58" t="n">
        <f aca="false">IF(BE1770="",0,MAX(0,MIN(1,(IF(CC1770="L1",Parameter!$H$5,IF(CC1770="L23",Parameter!$H$6+Parameter!$H$7,Parameter!$H$5+Parameter!$H$6+Parameter!$H$7))-(BE1770-BA1770))/BA1770)))</f>
        <v>0</v>
      </c>
      <c r="BG1770" s="48" t="str">
        <f aca="false">IF(AI1770&lt;=0,"",IF(CC1770="Aussen","Aussenlager",IF(CC1770="-","Nicht im Lift",IF(AN1770&gt;=1,"Lift",IF(AN1770&lt;=0,"Aussenlager","teilweise")))))</f>
        <v/>
      </c>
      <c r="BH1770" s="48" t="str">
        <f aca="false">IF(AR1770&lt;=0,"",IF(CC1770="Aussen","Aussenlager",IF(CC1770="-","Nicht im Lift",IF(AW1770&gt;=1,"Lift",IF(AW1770&lt;=0,"Aussenlager","teilweise")))))</f>
        <v/>
      </c>
      <c r="BI1770" s="48" t="str">
        <f aca="false">IF(BA1770&lt;=0,"",IF(CC1770="Aussen","Aussenlager",IF(CC1770="-","Nicht im Lift",IF(BF1770&gt;=1,"Lift",IF(BF1770&lt;=0,"Aussenlager","teilweise")))))</f>
        <v/>
      </c>
      <c r="BJ1770" s="48" t="str">
        <f aca="false">IF(A1770="","",IF(BS1770=1,"Neu; ","")&amp;IF(AND(BS1770=0,BN1770&lt;0),"negativer Bestand (Export "&amp;BN1770&amp;"); ","")&amp;IF(J1770&lt;=0,"Kein Verbrauch; ","")&amp;IF(CL1770&gt;0,"Lift "&amp;W1770&amp;" lt. Liftbericht (Fach "&amp;X1770&amp;" Stk); ",IF(BX1770=1,"Gebinde geschätzt ("&amp;T1770&amp;"); ",IF(BW1770=1,"Lose – Tablare geschätzt; ","")))&amp;IF(H1770&gt;AT1770,"Überbestand "&amp;ROUND(H1770-AT1770,0)&amp;" Stk / CHF "&amp;ROUND((H1770-AT1770)*G1770,0)&amp;"; ","")&amp;IF(AND(CE1770=1,CF1770&lt;CG1770),"MAX &lt; MB+LG; ","")&amp;IF(AND(CK1770&gt;0,CJ1770*10&gt;CK1770),"zu hoch für Tablar; ","")&amp;IF(AND(BS1770=0,OR(CE1770=1,AA1770&lt;&gt;"",U1770&lt;&gt;"",V1770&lt;&gt;"",AB1770&lt;&gt;"")),"manuell übersteuert; ","")&amp;IF(AND(BW1770=0,R1770=0),"Gebinde unbekannt / Stellmass fehlt; ","")&amp;IF(AND(BW1770=0,N(V1770)&lt;=0,N(Q1770)&lt;=0),"Menge pro Gebinde fehlt (Ist = 1 Gebinde); ","")&amp;BR1770)</f>
        <v/>
      </c>
      <c r="BK1770" s="48"/>
      <c r="BL1770" s="48"/>
      <c r="BM1770" s="55"/>
      <c r="BN1770" s="50" t="n">
        <f aca="false">N('Neue Artikel'!$D$31)</f>
        <v>0</v>
      </c>
      <c r="BO1770" s="50" t="n">
        <v>0</v>
      </c>
      <c r="BP1770" s="49" t="n">
        <v>0</v>
      </c>
      <c r="BQ1770" s="50" t="n">
        <f aca="false">N('Neue Artikel'!$C$31)/Parameter!$B$18</f>
        <v>0</v>
      </c>
      <c r="BR1770" s="48"/>
      <c r="BS1770" s="53" t="n">
        <v>1</v>
      </c>
      <c r="BT1770" s="53" t="n">
        <v>1770</v>
      </c>
      <c r="BU1770" s="48" t="str">
        <f aca="false">IF(U1770&lt;&gt;"",UPPER(TRIM(U1770)),IF(BX1770=1,UPPER(VLOOKUP(T1770,Parameter!$I$27:$K$29,2,0)),IF(P1770="","LOSE",P1770)))</f>
        <v>LOSE</v>
      </c>
      <c r="BV1770" s="50" t="n">
        <f aca="false">IF(BU1770="LOSE",1,IF(N(V1770)&gt;0,V1770,IF(BX1770=1,MAX(1,N(VLOOKUP(T1770,Parameter!$I$27:$K$29,3,0)),H1770,N(N1770)),IF(N(Q1770)&gt;0,Q1770,MAX(1,H1770)))))</f>
        <v>1</v>
      </c>
      <c r="BW1770" s="53" t="n">
        <f aca="false">IF(BU1770="LOSE",1,0)</f>
        <v>1</v>
      </c>
      <c r="BX1770" s="53" t="n">
        <f aca="false">IF(AND(U1770="",OR(P1770="",P1770="LOSE"),T1770&lt;&gt;"",N(S1770)&lt;=0,ISNUMBER(MATCH(T1770,Parameter!$I$27:$I$29,0))),1,0)</f>
        <v>0</v>
      </c>
      <c r="BY1770" s="53" t="n">
        <f aca="false">IF(CL1770&gt;0,INDEX(Parameter!$H$5:$H$7,W1770)/INDEX(Parameter!$E$5:$E$7,W1770),IF(AND(BW1770=0,N(IFERROR(VLOOKUP(BU1770,'Gebinde-Kategorie'!$A$5:$N$45,14,0),0))&gt;0),VLOOKUP(BU1770,'Gebinde-Kategorie'!$A$5:$N$45,14,0)*10+Parameter!$M$23,Parameter!$M$24))</f>
        <v>235</v>
      </c>
      <c r="BZ1770" s="48" t="str">
        <f aca="false">IF(AND(Parameter!$B$19="Ja",E1770&lt;&gt;"",ISNUMBER(MATCH(E1770,Parameter!$I$35:$I$52,0))),VLOOKUP(E1770,Parameter!$I$35:$J$52,2,0),IFERROR(VLOOKUP(D1770,Parameter!$A$35:$C$64,2,0),"Nein"))</f>
        <v>2+3</v>
      </c>
      <c r="CA1770" s="52" t="n">
        <f aca="false">IF(BW1770=0,0,IF(N(S1770)&gt;0,S1770,IFERROR(VLOOKUP(D1770,Parameter!$A$35:$C$64,3,0)+0,0)))</f>
        <v>0.15</v>
      </c>
      <c r="CB1770" s="48" t="str">
        <f aca="false">IF(AA1770&lt;&gt;"",AA1770,Z1770)</f>
        <v/>
      </c>
      <c r="CC1770" s="48" t="str">
        <f aca="false">IF(OR(CB1770=1,CB1770=2,CB1770=3),IF(Parameter!$E$27="Ja","LIFT",IF(CB1770=1,"L1","L23")),IF(CB1770="Aussen","Aussen","-"))</f>
        <v>-</v>
      </c>
      <c r="CD1770" s="59" t="n">
        <f aca="false">IF(N(AB1770)&gt;0,AB1770,0)</f>
        <v>0</v>
      </c>
      <c r="CE1770" s="53" t="n">
        <f aca="false">IF(ISNUMBER(AE1770),1,0)</f>
        <v>0</v>
      </c>
      <c r="CF1770" s="50" t="n">
        <f aca="false">N(AE1770)</f>
        <v>0</v>
      </c>
      <c r="CG1770" s="50" t="n">
        <f aca="false">N(M1770)+N(N1770)</f>
        <v>0</v>
      </c>
      <c r="CH1770" s="50" t="n">
        <f aca="false">ROUNDUP(H1770/BV1770,0)</f>
        <v>0</v>
      </c>
      <c r="CI1770" s="50" t="n">
        <f aca="false">ROUNDUP(CF1770/BV1770,0)</f>
        <v>0</v>
      </c>
      <c r="CJ1770" s="53" t="n">
        <f aca="false">IF(BW1770=1,0,IFERROR(VLOOKUP(BU1770,'Gebinde-Kategorie'!$A$5:$N$45,5,0)+0,0))</f>
        <v>0</v>
      </c>
      <c r="CK1770" s="53" t="n">
        <f aca="false">IFERROR(IF(OR(CB1770=1,CB1770=2,CB1770=3),N(INDEX(Parameter!$I$5:$I$7,CB1770)),0),0)</f>
        <v>0</v>
      </c>
      <c r="CL1770" s="52" t="n">
        <f aca="false">IF(AND(Parameter!$B$21="Ja",ISNUMBER(W1770),N(X1770)&gt;0),IFERROR(N(INDEX(Parameter!$L$5:$L$7,W1770))*INDEX(Parameter!$E$5:$E$7,W1770)*X1770/SUMIFS($X$7:$X$1843,$W$7:$W$1843,W1770),0),0)</f>
        <v>0</v>
      </c>
    </row>
    <row r="1771" customFormat="false" ht="15" hidden="false" customHeight="false" outlineLevel="0" collapsed="false">
      <c r="A1771" s="48" t="str">
        <f aca="false">IF('Neue Artikel'!$A$32="","",'Neue Artikel'!$A$32&amp;"")</f>
        <v/>
      </c>
      <c r="B1771" s="48" t="str">
        <f aca="false">'Neue Artikel'!$B$32&amp;""</f>
        <v/>
      </c>
      <c r="C1771" s="48"/>
      <c r="D1771" s="48" t="s">
        <v>3019</v>
      </c>
      <c r="E1771" s="48"/>
      <c r="F1771" s="48"/>
      <c r="G1771" s="49" t="n">
        <f aca="false">N('Neue Artikel'!$G$32)</f>
        <v>0</v>
      </c>
      <c r="H1771" s="50" t="n">
        <f aca="false">MAX(0,IF(AND(Parameter!$B$21="Ja",ISNUMBER(Y1771)),Y1771,IF(Parameter!$B$20="Jahresanfang 2025 + Export",BO1771+BN1771,BN1771)))</f>
        <v>0</v>
      </c>
      <c r="I1771" s="50" t="n">
        <f aca="false">H1771*G1771</f>
        <v>0</v>
      </c>
      <c r="J1771" s="50" t="n">
        <f aca="false">BQ1771*Parameter!$B$18</f>
        <v>0</v>
      </c>
      <c r="K1771" s="51"/>
      <c r="L1771" s="52"/>
      <c r="M1771" s="50" t="n">
        <f aca="false">N('Neue Artikel'!$E$32)</f>
        <v>0</v>
      </c>
      <c r="N1771" s="50" t="n">
        <f aca="false">N('Neue Artikel'!$F$32)</f>
        <v>0</v>
      </c>
      <c r="O1771" s="53"/>
      <c r="P1771" s="48" t="str">
        <f aca="false">IF('Neue Artikel'!$H$32="","LOSE",UPPER(TRIM('Neue Artikel'!$H$32)))</f>
        <v>LOSE</v>
      </c>
      <c r="Q1771" s="50" t="n">
        <f aca="false">N('Neue Artikel'!$I$32)</f>
        <v>0</v>
      </c>
      <c r="R1771" s="53" t="n">
        <f aca="false">IF(BW1771=1,0,IFERROR(VLOOKUP(BU1771,'Gebinde-Kategorie'!$A$5:$N$45,13,0)+0,0))</f>
        <v>0</v>
      </c>
      <c r="S1771" s="54"/>
      <c r="T1771" s="55"/>
      <c r="U1771" s="55"/>
      <c r="V1771" s="55"/>
      <c r="W1771" s="48"/>
      <c r="X1771" s="50"/>
      <c r="Y1771" s="50"/>
      <c r="Z1771" s="48" t="str">
        <f aca="false">IF(A1771="","",IF(AND(Parameter!$B$21="Ja",ISNUMBER(W1771)),W1771,IF(BZ1771="2+3",IF(ISNUMBER(SEARCH("grosser Artikel",BR1771)),2,IFERROR(VLOOKUP(BU1771,Parameter!$F$35:$G$64,2,0),2)),IF(OR(BZ1771="Nein",BZ1771=""),"-",BZ1771))))</f>
        <v/>
      </c>
      <c r="AA1771" s="48" t="str">
        <f aca="false">IF('Neue Artikel'!$J$32="","",'Neue Artikel'!$J$32)</f>
        <v/>
      </c>
      <c r="AB1771" s="56"/>
      <c r="AC1771" s="50" t="n">
        <f aca="false">AT1771</f>
        <v>0</v>
      </c>
      <c r="AD1771" s="50" t="n">
        <f aca="false">MAX(AT1771,H1771)</f>
        <v>0</v>
      </c>
      <c r="AE1771" s="57"/>
      <c r="AF1771" s="50" t="n">
        <f aca="false">IF(LEFT(Cockpit!$C$5,1)="A",H1771,IF(CE1771=1,CF1771,IF(LEFT(Cockpit!$C$5,1)="B",AK1771,MAX(AK1771,H1771))))</f>
        <v>0</v>
      </c>
      <c r="AG1771" s="50" t="n">
        <f aca="false">IF(BW1771=1,0,ROUNDUP(AF1771/BV1771,0))</f>
        <v>0</v>
      </c>
      <c r="AH1771" s="52" t="n">
        <f aca="false">IF(CL1771&gt;0,CL1771*MAX(1,AF1771/X1771),IF(BW1771=1,IF(AF1771&lt;=0,0,CA1771*MAX(1,IF(H1771&gt;0,AF1771/H1771,1))),IF(R1771&gt;0,AG1771/R1771,0))/MAX(0.1,N(Parameter!$M$21)))</f>
        <v>0</v>
      </c>
      <c r="AI1771" s="50" t="n">
        <f aca="false">AH1771*BY1771</f>
        <v>0</v>
      </c>
      <c r="AJ1771" s="50" t="n">
        <f aca="false">AF1771*G1771</f>
        <v>0</v>
      </c>
      <c r="AK1771" s="50" t="n">
        <f aca="false">ROUNDUP(MAX(J1771/IF(CD1771&gt;0,CD1771,MAX(0.1,N(Cockpit!$C$6))),CG1771)/BV1771,0)*BV1771</f>
        <v>0</v>
      </c>
      <c r="AL1771" s="51" t="n">
        <f aca="false">IF(AI1771&gt;0,J1771/AI1771,-1)</f>
        <v>-1</v>
      </c>
      <c r="AM1771" s="51" t="str">
        <f aca="false">IF(AND(OR(CC1771="L1",CC1771="L23",CC1771="LIFT"),AI1771&gt;0),SUMIFS($AI$7:$AI$1843,$CC$7:$CC$1843,CC1771,$AL$7:$AL$1843,"&gt;"&amp;AL1771)+SUMIFS($AI$7:$AI$1843,$CC$7:$CC$1843,CC1771,$AL$7:$AL$1843,AL1771,$BT$7:$BT$1843,"&lt;="&amp;BT1771),"")</f>
        <v/>
      </c>
      <c r="AN1771" s="58" t="n">
        <f aca="false">IF(AM1771="",0,MAX(0,MIN(1,(IF(CC1771="L1",Parameter!$H$5,IF(CC1771="L23",Parameter!$H$6+Parameter!$H$7,Parameter!$H$5+Parameter!$H$6+Parameter!$H$7))-(AM1771-AI1771))/AI1771)))</f>
        <v>0</v>
      </c>
      <c r="AO1771" s="50" t="n">
        <f aca="false">IF(LEFT(Cockpit!$I$5,1)="A",H1771,IF(CE1771=1,CF1771,IF(LEFT(Cockpit!$I$5,1)="B",AT1771,MAX(AT1771,H1771))))</f>
        <v>0</v>
      </c>
      <c r="AP1771" s="50" t="n">
        <f aca="false">IF(BW1771=1,0,ROUNDUP(AO1771/BV1771,0))</f>
        <v>0</v>
      </c>
      <c r="AQ1771" s="52" t="n">
        <f aca="false">IF(CL1771&gt;0,CL1771*MAX(1,AO1771/X1771),IF(BW1771=1,IF(AO1771&lt;=0,0,CA1771*MAX(1,IF(H1771&gt;0,AO1771/H1771,1))),IF(R1771&gt;0,AP1771/R1771,0))/MAX(0.1,N(Parameter!$M$21)))</f>
        <v>0</v>
      </c>
      <c r="AR1771" s="50" t="n">
        <f aca="false">AQ1771*BY1771</f>
        <v>0</v>
      </c>
      <c r="AS1771" s="50" t="n">
        <f aca="false">AO1771*G1771</f>
        <v>0</v>
      </c>
      <c r="AT1771" s="50" t="n">
        <f aca="false">ROUNDUP(MAX(J1771/IF(CD1771&gt;0,CD1771,MAX(0.1,N(Cockpit!$I$6))),CG1771)/BV1771,0)*BV1771</f>
        <v>0</v>
      </c>
      <c r="AU1771" s="51" t="n">
        <f aca="false">IF(AR1771&gt;0,J1771/AR1771,-1)</f>
        <v>-1</v>
      </c>
      <c r="AV1771" s="51" t="str">
        <f aca="false">IF(AND(OR(CC1771="L1",CC1771="L23",CC1771="LIFT"),AR1771&gt;0),SUMIFS($AR$7:$AR$1843,$CC$7:$CC$1843,CC1771,$AU$7:$AU$1843,"&gt;"&amp;AU1771)+SUMIFS($AR$7:$AR$1843,$CC$7:$CC$1843,CC1771,$AU$7:$AU$1843,AU1771,$BT$7:$BT$1843,"&lt;="&amp;BT1771),"")</f>
        <v/>
      </c>
      <c r="AW1771" s="58" t="n">
        <f aca="false">IF(AV1771="",0,MAX(0,MIN(1,(IF(CC1771="L1",Parameter!$H$5,IF(CC1771="L23",Parameter!$H$6+Parameter!$H$7,Parameter!$H$5+Parameter!$H$6+Parameter!$H$7))-(AV1771-AR1771))/AR1771)))</f>
        <v>0</v>
      </c>
      <c r="AX1771" s="50" t="n">
        <f aca="false">IF(LEFT(Cockpit!$O$5,1)="A",H1771,IF(CE1771=1,CF1771,IF(LEFT(Cockpit!$O$5,1)="B",BC1771,MAX(BC1771,H1771))))</f>
        <v>0</v>
      </c>
      <c r="AY1771" s="50" t="n">
        <f aca="false">IF(BW1771=1,0,ROUNDUP(AX1771/BV1771,0))</f>
        <v>0</v>
      </c>
      <c r="AZ1771" s="52" t="n">
        <f aca="false">IF(CL1771&gt;0,CL1771*MAX(1,AX1771/X1771),IF(BW1771=1,IF(AX1771&lt;=0,0,CA1771*MAX(1,IF(H1771&gt;0,AX1771/H1771,1))),IF(R1771&gt;0,AY1771/R1771,0))/MAX(0.1,N(Parameter!$M$21)))</f>
        <v>0</v>
      </c>
      <c r="BA1771" s="50" t="n">
        <f aca="false">AZ1771*BY1771</f>
        <v>0</v>
      </c>
      <c r="BB1771" s="50" t="n">
        <f aca="false">AX1771*G1771</f>
        <v>0</v>
      </c>
      <c r="BC1771" s="50" t="n">
        <f aca="false">ROUNDUP(MAX(J1771/IF(CD1771&gt;0,CD1771,MAX(0.1,N(Cockpit!$O$6))),CG1771)/BV1771,0)*BV1771</f>
        <v>0</v>
      </c>
      <c r="BD1771" s="51" t="n">
        <f aca="false">IF(BA1771&gt;0,J1771/BA1771,-1)</f>
        <v>-1</v>
      </c>
      <c r="BE1771" s="51" t="str">
        <f aca="false">IF(AND(OR(CC1771="L1",CC1771="L23",CC1771="LIFT"),BA1771&gt;0),SUMIFS($BA$7:$BA$1843,$CC$7:$CC$1843,CC1771,$BD$7:$BD$1843,"&gt;"&amp;BD1771)+SUMIFS($BA$7:$BA$1843,$CC$7:$CC$1843,CC1771,$BD$7:$BD$1843,BD1771,$BT$7:$BT$1843,"&lt;="&amp;BT1771),"")</f>
        <v/>
      </c>
      <c r="BF1771" s="58" t="n">
        <f aca="false">IF(BE1771="",0,MAX(0,MIN(1,(IF(CC1771="L1",Parameter!$H$5,IF(CC1771="L23",Parameter!$H$6+Parameter!$H$7,Parameter!$H$5+Parameter!$H$6+Parameter!$H$7))-(BE1771-BA1771))/BA1771)))</f>
        <v>0</v>
      </c>
      <c r="BG1771" s="48" t="str">
        <f aca="false">IF(AI1771&lt;=0,"",IF(CC1771="Aussen","Aussenlager",IF(CC1771="-","Nicht im Lift",IF(AN1771&gt;=1,"Lift",IF(AN1771&lt;=0,"Aussenlager","teilweise")))))</f>
        <v/>
      </c>
      <c r="BH1771" s="48" t="str">
        <f aca="false">IF(AR1771&lt;=0,"",IF(CC1771="Aussen","Aussenlager",IF(CC1771="-","Nicht im Lift",IF(AW1771&gt;=1,"Lift",IF(AW1771&lt;=0,"Aussenlager","teilweise")))))</f>
        <v/>
      </c>
      <c r="BI1771" s="48" t="str">
        <f aca="false">IF(BA1771&lt;=0,"",IF(CC1771="Aussen","Aussenlager",IF(CC1771="-","Nicht im Lift",IF(BF1771&gt;=1,"Lift",IF(BF1771&lt;=0,"Aussenlager","teilweise")))))</f>
        <v/>
      </c>
      <c r="BJ1771" s="48" t="str">
        <f aca="false">IF(A1771="","",IF(BS1771=1,"Neu; ","")&amp;IF(AND(BS1771=0,BN1771&lt;0),"negativer Bestand (Export "&amp;BN1771&amp;"); ","")&amp;IF(J1771&lt;=0,"Kein Verbrauch; ","")&amp;IF(CL1771&gt;0,"Lift "&amp;W1771&amp;" lt. Liftbericht (Fach "&amp;X1771&amp;" Stk); ",IF(BX1771=1,"Gebinde geschätzt ("&amp;T1771&amp;"); ",IF(BW1771=1,"Lose – Tablare geschätzt; ","")))&amp;IF(H1771&gt;AT1771,"Überbestand "&amp;ROUND(H1771-AT1771,0)&amp;" Stk / CHF "&amp;ROUND((H1771-AT1771)*G1771,0)&amp;"; ","")&amp;IF(AND(CE1771=1,CF1771&lt;CG1771),"MAX &lt; MB+LG; ","")&amp;IF(AND(CK1771&gt;0,CJ1771*10&gt;CK1771),"zu hoch für Tablar; ","")&amp;IF(AND(BS1771=0,OR(CE1771=1,AA1771&lt;&gt;"",U1771&lt;&gt;"",V1771&lt;&gt;"",AB1771&lt;&gt;"")),"manuell übersteuert; ","")&amp;IF(AND(BW1771=0,R1771=0),"Gebinde unbekannt / Stellmass fehlt; ","")&amp;IF(AND(BW1771=0,N(V1771)&lt;=0,N(Q1771)&lt;=0),"Menge pro Gebinde fehlt (Ist = 1 Gebinde); ","")&amp;BR1771)</f>
        <v/>
      </c>
      <c r="BK1771" s="48"/>
      <c r="BL1771" s="48"/>
      <c r="BM1771" s="55"/>
      <c r="BN1771" s="50" t="n">
        <f aca="false">N('Neue Artikel'!$D$32)</f>
        <v>0</v>
      </c>
      <c r="BO1771" s="50" t="n">
        <v>0</v>
      </c>
      <c r="BP1771" s="49" t="n">
        <v>0</v>
      </c>
      <c r="BQ1771" s="50" t="n">
        <f aca="false">N('Neue Artikel'!$C$32)/Parameter!$B$18</f>
        <v>0</v>
      </c>
      <c r="BR1771" s="48"/>
      <c r="BS1771" s="53" t="n">
        <v>1</v>
      </c>
      <c r="BT1771" s="53" t="n">
        <v>1771</v>
      </c>
      <c r="BU1771" s="48" t="str">
        <f aca="false">IF(U1771&lt;&gt;"",UPPER(TRIM(U1771)),IF(BX1771=1,UPPER(VLOOKUP(T1771,Parameter!$I$27:$K$29,2,0)),IF(P1771="","LOSE",P1771)))</f>
        <v>LOSE</v>
      </c>
      <c r="BV1771" s="50" t="n">
        <f aca="false">IF(BU1771="LOSE",1,IF(N(V1771)&gt;0,V1771,IF(BX1771=1,MAX(1,N(VLOOKUP(T1771,Parameter!$I$27:$K$29,3,0)),H1771,N(N1771)),IF(N(Q1771)&gt;0,Q1771,MAX(1,H1771)))))</f>
        <v>1</v>
      </c>
      <c r="BW1771" s="53" t="n">
        <f aca="false">IF(BU1771="LOSE",1,0)</f>
        <v>1</v>
      </c>
      <c r="BX1771" s="53" t="n">
        <f aca="false">IF(AND(U1771="",OR(P1771="",P1771="LOSE"),T1771&lt;&gt;"",N(S1771)&lt;=0,ISNUMBER(MATCH(T1771,Parameter!$I$27:$I$29,0))),1,0)</f>
        <v>0</v>
      </c>
      <c r="BY1771" s="53" t="n">
        <f aca="false">IF(CL1771&gt;0,INDEX(Parameter!$H$5:$H$7,W1771)/INDEX(Parameter!$E$5:$E$7,W1771),IF(AND(BW1771=0,N(IFERROR(VLOOKUP(BU1771,'Gebinde-Kategorie'!$A$5:$N$45,14,0),0))&gt;0),VLOOKUP(BU1771,'Gebinde-Kategorie'!$A$5:$N$45,14,0)*10+Parameter!$M$23,Parameter!$M$24))</f>
        <v>235</v>
      </c>
      <c r="BZ1771" s="48" t="str">
        <f aca="false">IF(AND(Parameter!$B$19="Ja",E1771&lt;&gt;"",ISNUMBER(MATCH(E1771,Parameter!$I$35:$I$52,0))),VLOOKUP(E1771,Parameter!$I$35:$J$52,2,0),IFERROR(VLOOKUP(D1771,Parameter!$A$35:$C$64,2,0),"Nein"))</f>
        <v>2+3</v>
      </c>
      <c r="CA1771" s="52" t="n">
        <f aca="false">IF(BW1771=0,0,IF(N(S1771)&gt;0,S1771,IFERROR(VLOOKUP(D1771,Parameter!$A$35:$C$64,3,0)+0,0)))</f>
        <v>0.15</v>
      </c>
      <c r="CB1771" s="48" t="str">
        <f aca="false">IF(AA1771&lt;&gt;"",AA1771,Z1771)</f>
        <v/>
      </c>
      <c r="CC1771" s="48" t="str">
        <f aca="false">IF(OR(CB1771=1,CB1771=2,CB1771=3),IF(Parameter!$E$27="Ja","LIFT",IF(CB1771=1,"L1","L23")),IF(CB1771="Aussen","Aussen","-"))</f>
        <v>-</v>
      </c>
      <c r="CD1771" s="59" t="n">
        <f aca="false">IF(N(AB1771)&gt;0,AB1771,0)</f>
        <v>0</v>
      </c>
      <c r="CE1771" s="53" t="n">
        <f aca="false">IF(ISNUMBER(AE1771),1,0)</f>
        <v>0</v>
      </c>
      <c r="CF1771" s="50" t="n">
        <f aca="false">N(AE1771)</f>
        <v>0</v>
      </c>
      <c r="CG1771" s="50" t="n">
        <f aca="false">N(M1771)+N(N1771)</f>
        <v>0</v>
      </c>
      <c r="CH1771" s="50" t="n">
        <f aca="false">ROUNDUP(H1771/BV1771,0)</f>
        <v>0</v>
      </c>
      <c r="CI1771" s="50" t="n">
        <f aca="false">ROUNDUP(CF1771/BV1771,0)</f>
        <v>0</v>
      </c>
      <c r="CJ1771" s="53" t="n">
        <f aca="false">IF(BW1771=1,0,IFERROR(VLOOKUP(BU1771,'Gebinde-Kategorie'!$A$5:$N$45,5,0)+0,0))</f>
        <v>0</v>
      </c>
      <c r="CK1771" s="53" t="n">
        <f aca="false">IFERROR(IF(OR(CB1771=1,CB1771=2,CB1771=3),N(INDEX(Parameter!$I$5:$I$7,CB1771)),0),0)</f>
        <v>0</v>
      </c>
      <c r="CL1771" s="52" t="n">
        <f aca="false">IF(AND(Parameter!$B$21="Ja",ISNUMBER(W1771),N(X1771)&gt;0),IFERROR(N(INDEX(Parameter!$L$5:$L$7,W1771))*INDEX(Parameter!$E$5:$E$7,W1771)*X1771/SUMIFS($X$7:$X$1843,$W$7:$W$1843,W1771),0),0)</f>
        <v>0</v>
      </c>
    </row>
    <row r="1772" customFormat="false" ht="15" hidden="false" customHeight="false" outlineLevel="0" collapsed="false">
      <c r="A1772" s="48" t="str">
        <f aca="false">IF('Neue Artikel'!$A$33="","",'Neue Artikel'!$A$33&amp;"")</f>
        <v/>
      </c>
      <c r="B1772" s="48" t="str">
        <f aca="false">'Neue Artikel'!$B$33&amp;""</f>
        <v/>
      </c>
      <c r="C1772" s="48"/>
      <c r="D1772" s="48" t="s">
        <v>3019</v>
      </c>
      <c r="E1772" s="48"/>
      <c r="F1772" s="48"/>
      <c r="G1772" s="49" t="n">
        <f aca="false">N('Neue Artikel'!$G$33)</f>
        <v>0</v>
      </c>
      <c r="H1772" s="50" t="n">
        <f aca="false">MAX(0,IF(AND(Parameter!$B$21="Ja",ISNUMBER(Y1772)),Y1772,IF(Parameter!$B$20="Jahresanfang 2025 + Export",BO1772+BN1772,BN1772)))</f>
        <v>0</v>
      </c>
      <c r="I1772" s="50" t="n">
        <f aca="false">H1772*G1772</f>
        <v>0</v>
      </c>
      <c r="J1772" s="50" t="n">
        <f aca="false">BQ1772*Parameter!$B$18</f>
        <v>0</v>
      </c>
      <c r="K1772" s="51"/>
      <c r="L1772" s="52"/>
      <c r="M1772" s="50" t="n">
        <f aca="false">N('Neue Artikel'!$E$33)</f>
        <v>0</v>
      </c>
      <c r="N1772" s="50" t="n">
        <f aca="false">N('Neue Artikel'!$F$33)</f>
        <v>0</v>
      </c>
      <c r="O1772" s="53"/>
      <c r="P1772" s="48" t="str">
        <f aca="false">IF('Neue Artikel'!$H$33="","LOSE",UPPER(TRIM('Neue Artikel'!$H$33)))</f>
        <v>LOSE</v>
      </c>
      <c r="Q1772" s="50" t="n">
        <f aca="false">N('Neue Artikel'!$I$33)</f>
        <v>0</v>
      </c>
      <c r="R1772" s="53" t="n">
        <f aca="false">IF(BW1772=1,0,IFERROR(VLOOKUP(BU1772,'Gebinde-Kategorie'!$A$5:$N$45,13,0)+0,0))</f>
        <v>0</v>
      </c>
      <c r="S1772" s="54"/>
      <c r="T1772" s="55"/>
      <c r="U1772" s="55"/>
      <c r="V1772" s="55"/>
      <c r="W1772" s="48"/>
      <c r="X1772" s="50"/>
      <c r="Y1772" s="50"/>
      <c r="Z1772" s="48" t="str">
        <f aca="false">IF(A1772="","",IF(AND(Parameter!$B$21="Ja",ISNUMBER(W1772)),W1772,IF(BZ1772="2+3",IF(ISNUMBER(SEARCH("grosser Artikel",BR1772)),2,IFERROR(VLOOKUP(BU1772,Parameter!$F$35:$G$64,2,0),2)),IF(OR(BZ1772="Nein",BZ1772=""),"-",BZ1772))))</f>
        <v/>
      </c>
      <c r="AA1772" s="48" t="str">
        <f aca="false">IF('Neue Artikel'!$J$33="","",'Neue Artikel'!$J$33)</f>
        <v/>
      </c>
      <c r="AB1772" s="56"/>
      <c r="AC1772" s="50" t="n">
        <f aca="false">AT1772</f>
        <v>0</v>
      </c>
      <c r="AD1772" s="50" t="n">
        <f aca="false">MAX(AT1772,H1772)</f>
        <v>0</v>
      </c>
      <c r="AE1772" s="57"/>
      <c r="AF1772" s="50" t="n">
        <f aca="false">IF(LEFT(Cockpit!$C$5,1)="A",H1772,IF(CE1772=1,CF1772,IF(LEFT(Cockpit!$C$5,1)="B",AK1772,MAX(AK1772,H1772))))</f>
        <v>0</v>
      </c>
      <c r="AG1772" s="50" t="n">
        <f aca="false">IF(BW1772=1,0,ROUNDUP(AF1772/BV1772,0))</f>
        <v>0</v>
      </c>
      <c r="AH1772" s="52" t="n">
        <f aca="false">IF(CL1772&gt;0,CL1772*MAX(1,AF1772/X1772),IF(BW1772=1,IF(AF1772&lt;=0,0,CA1772*MAX(1,IF(H1772&gt;0,AF1772/H1772,1))),IF(R1772&gt;0,AG1772/R1772,0))/MAX(0.1,N(Parameter!$M$21)))</f>
        <v>0</v>
      </c>
      <c r="AI1772" s="50" t="n">
        <f aca="false">AH1772*BY1772</f>
        <v>0</v>
      </c>
      <c r="AJ1772" s="50" t="n">
        <f aca="false">AF1772*G1772</f>
        <v>0</v>
      </c>
      <c r="AK1772" s="50" t="n">
        <f aca="false">ROUNDUP(MAX(J1772/IF(CD1772&gt;0,CD1772,MAX(0.1,N(Cockpit!$C$6))),CG1772)/BV1772,0)*BV1772</f>
        <v>0</v>
      </c>
      <c r="AL1772" s="51" t="n">
        <f aca="false">IF(AI1772&gt;0,J1772/AI1772,-1)</f>
        <v>-1</v>
      </c>
      <c r="AM1772" s="51" t="str">
        <f aca="false">IF(AND(OR(CC1772="L1",CC1772="L23",CC1772="LIFT"),AI1772&gt;0),SUMIFS($AI$7:$AI$1843,$CC$7:$CC$1843,CC1772,$AL$7:$AL$1843,"&gt;"&amp;AL1772)+SUMIFS($AI$7:$AI$1843,$CC$7:$CC$1843,CC1772,$AL$7:$AL$1843,AL1772,$BT$7:$BT$1843,"&lt;="&amp;BT1772),"")</f>
        <v/>
      </c>
      <c r="AN1772" s="58" t="n">
        <f aca="false">IF(AM1772="",0,MAX(0,MIN(1,(IF(CC1772="L1",Parameter!$H$5,IF(CC1772="L23",Parameter!$H$6+Parameter!$H$7,Parameter!$H$5+Parameter!$H$6+Parameter!$H$7))-(AM1772-AI1772))/AI1772)))</f>
        <v>0</v>
      </c>
      <c r="AO1772" s="50" t="n">
        <f aca="false">IF(LEFT(Cockpit!$I$5,1)="A",H1772,IF(CE1772=1,CF1772,IF(LEFT(Cockpit!$I$5,1)="B",AT1772,MAX(AT1772,H1772))))</f>
        <v>0</v>
      </c>
      <c r="AP1772" s="50" t="n">
        <f aca="false">IF(BW1772=1,0,ROUNDUP(AO1772/BV1772,0))</f>
        <v>0</v>
      </c>
      <c r="AQ1772" s="52" t="n">
        <f aca="false">IF(CL1772&gt;0,CL1772*MAX(1,AO1772/X1772),IF(BW1772=1,IF(AO1772&lt;=0,0,CA1772*MAX(1,IF(H1772&gt;0,AO1772/H1772,1))),IF(R1772&gt;0,AP1772/R1772,0))/MAX(0.1,N(Parameter!$M$21)))</f>
        <v>0</v>
      </c>
      <c r="AR1772" s="50" t="n">
        <f aca="false">AQ1772*BY1772</f>
        <v>0</v>
      </c>
      <c r="AS1772" s="50" t="n">
        <f aca="false">AO1772*G1772</f>
        <v>0</v>
      </c>
      <c r="AT1772" s="50" t="n">
        <f aca="false">ROUNDUP(MAX(J1772/IF(CD1772&gt;0,CD1772,MAX(0.1,N(Cockpit!$I$6))),CG1772)/BV1772,0)*BV1772</f>
        <v>0</v>
      </c>
      <c r="AU1772" s="51" t="n">
        <f aca="false">IF(AR1772&gt;0,J1772/AR1772,-1)</f>
        <v>-1</v>
      </c>
      <c r="AV1772" s="51" t="str">
        <f aca="false">IF(AND(OR(CC1772="L1",CC1772="L23",CC1772="LIFT"),AR1772&gt;0),SUMIFS($AR$7:$AR$1843,$CC$7:$CC$1843,CC1772,$AU$7:$AU$1843,"&gt;"&amp;AU1772)+SUMIFS($AR$7:$AR$1843,$CC$7:$CC$1843,CC1772,$AU$7:$AU$1843,AU1772,$BT$7:$BT$1843,"&lt;="&amp;BT1772),"")</f>
        <v/>
      </c>
      <c r="AW1772" s="58" t="n">
        <f aca="false">IF(AV1772="",0,MAX(0,MIN(1,(IF(CC1772="L1",Parameter!$H$5,IF(CC1772="L23",Parameter!$H$6+Parameter!$H$7,Parameter!$H$5+Parameter!$H$6+Parameter!$H$7))-(AV1772-AR1772))/AR1772)))</f>
        <v>0</v>
      </c>
      <c r="AX1772" s="50" t="n">
        <f aca="false">IF(LEFT(Cockpit!$O$5,1)="A",H1772,IF(CE1772=1,CF1772,IF(LEFT(Cockpit!$O$5,1)="B",BC1772,MAX(BC1772,H1772))))</f>
        <v>0</v>
      </c>
      <c r="AY1772" s="50" t="n">
        <f aca="false">IF(BW1772=1,0,ROUNDUP(AX1772/BV1772,0))</f>
        <v>0</v>
      </c>
      <c r="AZ1772" s="52" t="n">
        <f aca="false">IF(CL1772&gt;0,CL1772*MAX(1,AX1772/X1772),IF(BW1772=1,IF(AX1772&lt;=0,0,CA1772*MAX(1,IF(H1772&gt;0,AX1772/H1772,1))),IF(R1772&gt;0,AY1772/R1772,0))/MAX(0.1,N(Parameter!$M$21)))</f>
        <v>0</v>
      </c>
      <c r="BA1772" s="50" t="n">
        <f aca="false">AZ1772*BY1772</f>
        <v>0</v>
      </c>
      <c r="BB1772" s="50" t="n">
        <f aca="false">AX1772*G1772</f>
        <v>0</v>
      </c>
      <c r="BC1772" s="50" t="n">
        <f aca="false">ROUNDUP(MAX(J1772/IF(CD1772&gt;0,CD1772,MAX(0.1,N(Cockpit!$O$6))),CG1772)/BV1772,0)*BV1772</f>
        <v>0</v>
      </c>
      <c r="BD1772" s="51" t="n">
        <f aca="false">IF(BA1772&gt;0,J1772/BA1772,-1)</f>
        <v>-1</v>
      </c>
      <c r="BE1772" s="51" t="str">
        <f aca="false">IF(AND(OR(CC1772="L1",CC1772="L23",CC1772="LIFT"),BA1772&gt;0),SUMIFS($BA$7:$BA$1843,$CC$7:$CC$1843,CC1772,$BD$7:$BD$1843,"&gt;"&amp;BD1772)+SUMIFS($BA$7:$BA$1843,$CC$7:$CC$1843,CC1772,$BD$7:$BD$1843,BD1772,$BT$7:$BT$1843,"&lt;="&amp;BT1772),"")</f>
        <v/>
      </c>
      <c r="BF1772" s="58" t="n">
        <f aca="false">IF(BE1772="",0,MAX(0,MIN(1,(IF(CC1772="L1",Parameter!$H$5,IF(CC1772="L23",Parameter!$H$6+Parameter!$H$7,Parameter!$H$5+Parameter!$H$6+Parameter!$H$7))-(BE1772-BA1772))/BA1772)))</f>
        <v>0</v>
      </c>
      <c r="BG1772" s="48" t="str">
        <f aca="false">IF(AI1772&lt;=0,"",IF(CC1772="Aussen","Aussenlager",IF(CC1772="-","Nicht im Lift",IF(AN1772&gt;=1,"Lift",IF(AN1772&lt;=0,"Aussenlager","teilweise")))))</f>
        <v/>
      </c>
      <c r="BH1772" s="48" t="str">
        <f aca="false">IF(AR1772&lt;=0,"",IF(CC1772="Aussen","Aussenlager",IF(CC1772="-","Nicht im Lift",IF(AW1772&gt;=1,"Lift",IF(AW1772&lt;=0,"Aussenlager","teilweise")))))</f>
        <v/>
      </c>
      <c r="BI1772" s="48" t="str">
        <f aca="false">IF(BA1772&lt;=0,"",IF(CC1772="Aussen","Aussenlager",IF(CC1772="-","Nicht im Lift",IF(BF1772&gt;=1,"Lift",IF(BF1772&lt;=0,"Aussenlager","teilweise")))))</f>
        <v/>
      </c>
      <c r="BJ1772" s="48" t="str">
        <f aca="false">IF(A1772="","",IF(BS1772=1,"Neu; ","")&amp;IF(AND(BS1772=0,BN1772&lt;0),"negativer Bestand (Export "&amp;BN1772&amp;"); ","")&amp;IF(J1772&lt;=0,"Kein Verbrauch; ","")&amp;IF(CL1772&gt;0,"Lift "&amp;W1772&amp;" lt. Liftbericht (Fach "&amp;X1772&amp;" Stk); ",IF(BX1772=1,"Gebinde geschätzt ("&amp;T1772&amp;"); ",IF(BW1772=1,"Lose – Tablare geschätzt; ","")))&amp;IF(H1772&gt;AT1772,"Überbestand "&amp;ROUND(H1772-AT1772,0)&amp;" Stk / CHF "&amp;ROUND((H1772-AT1772)*G1772,0)&amp;"; ","")&amp;IF(AND(CE1772=1,CF1772&lt;CG1772),"MAX &lt; MB+LG; ","")&amp;IF(AND(CK1772&gt;0,CJ1772*10&gt;CK1772),"zu hoch für Tablar; ","")&amp;IF(AND(BS1772=0,OR(CE1772=1,AA1772&lt;&gt;"",U1772&lt;&gt;"",V1772&lt;&gt;"",AB1772&lt;&gt;"")),"manuell übersteuert; ","")&amp;IF(AND(BW1772=0,R1772=0),"Gebinde unbekannt / Stellmass fehlt; ","")&amp;IF(AND(BW1772=0,N(V1772)&lt;=0,N(Q1772)&lt;=0),"Menge pro Gebinde fehlt (Ist = 1 Gebinde); ","")&amp;BR1772)</f>
        <v/>
      </c>
      <c r="BK1772" s="48"/>
      <c r="BL1772" s="48"/>
      <c r="BM1772" s="55"/>
      <c r="BN1772" s="50" t="n">
        <f aca="false">N('Neue Artikel'!$D$33)</f>
        <v>0</v>
      </c>
      <c r="BO1772" s="50" t="n">
        <v>0</v>
      </c>
      <c r="BP1772" s="49" t="n">
        <v>0</v>
      </c>
      <c r="BQ1772" s="50" t="n">
        <f aca="false">N('Neue Artikel'!$C$33)/Parameter!$B$18</f>
        <v>0</v>
      </c>
      <c r="BR1772" s="48"/>
      <c r="BS1772" s="53" t="n">
        <v>1</v>
      </c>
      <c r="BT1772" s="53" t="n">
        <v>1772</v>
      </c>
      <c r="BU1772" s="48" t="str">
        <f aca="false">IF(U1772&lt;&gt;"",UPPER(TRIM(U1772)),IF(BX1772=1,UPPER(VLOOKUP(T1772,Parameter!$I$27:$K$29,2,0)),IF(P1772="","LOSE",P1772)))</f>
        <v>LOSE</v>
      </c>
      <c r="BV1772" s="50" t="n">
        <f aca="false">IF(BU1772="LOSE",1,IF(N(V1772)&gt;0,V1772,IF(BX1772=1,MAX(1,N(VLOOKUP(T1772,Parameter!$I$27:$K$29,3,0)),H1772,N(N1772)),IF(N(Q1772)&gt;0,Q1772,MAX(1,H1772)))))</f>
        <v>1</v>
      </c>
      <c r="BW1772" s="53" t="n">
        <f aca="false">IF(BU1772="LOSE",1,0)</f>
        <v>1</v>
      </c>
      <c r="BX1772" s="53" t="n">
        <f aca="false">IF(AND(U1772="",OR(P1772="",P1772="LOSE"),T1772&lt;&gt;"",N(S1772)&lt;=0,ISNUMBER(MATCH(T1772,Parameter!$I$27:$I$29,0))),1,0)</f>
        <v>0</v>
      </c>
      <c r="BY1772" s="53" t="n">
        <f aca="false">IF(CL1772&gt;0,INDEX(Parameter!$H$5:$H$7,W1772)/INDEX(Parameter!$E$5:$E$7,W1772),IF(AND(BW1772=0,N(IFERROR(VLOOKUP(BU1772,'Gebinde-Kategorie'!$A$5:$N$45,14,0),0))&gt;0),VLOOKUP(BU1772,'Gebinde-Kategorie'!$A$5:$N$45,14,0)*10+Parameter!$M$23,Parameter!$M$24))</f>
        <v>235</v>
      </c>
      <c r="BZ1772" s="48" t="str">
        <f aca="false">IF(AND(Parameter!$B$19="Ja",E1772&lt;&gt;"",ISNUMBER(MATCH(E1772,Parameter!$I$35:$I$52,0))),VLOOKUP(E1772,Parameter!$I$35:$J$52,2,0),IFERROR(VLOOKUP(D1772,Parameter!$A$35:$C$64,2,0),"Nein"))</f>
        <v>2+3</v>
      </c>
      <c r="CA1772" s="52" t="n">
        <f aca="false">IF(BW1772=0,0,IF(N(S1772)&gt;0,S1772,IFERROR(VLOOKUP(D1772,Parameter!$A$35:$C$64,3,0)+0,0)))</f>
        <v>0.15</v>
      </c>
      <c r="CB1772" s="48" t="str">
        <f aca="false">IF(AA1772&lt;&gt;"",AA1772,Z1772)</f>
        <v/>
      </c>
      <c r="CC1772" s="48" t="str">
        <f aca="false">IF(OR(CB1772=1,CB1772=2,CB1772=3),IF(Parameter!$E$27="Ja","LIFT",IF(CB1772=1,"L1","L23")),IF(CB1772="Aussen","Aussen","-"))</f>
        <v>-</v>
      </c>
      <c r="CD1772" s="59" t="n">
        <f aca="false">IF(N(AB1772)&gt;0,AB1772,0)</f>
        <v>0</v>
      </c>
      <c r="CE1772" s="53" t="n">
        <f aca="false">IF(ISNUMBER(AE1772),1,0)</f>
        <v>0</v>
      </c>
      <c r="CF1772" s="50" t="n">
        <f aca="false">N(AE1772)</f>
        <v>0</v>
      </c>
      <c r="CG1772" s="50" t="n">
        <f aca="false">N(M1772)+N(N1772)</f>
        <v>0</v>
      </c>
      <c r="CH1772" s="50" t="n">
        <f aca="false">ROUNDUP(H1772/BV1772,0)</f>
        <v>0</v>
      </c>
      <c r="CI1772" s="50" t="n">
        <f aca="false">ROUNDUP(CF1772/BV1772,0)</f>
        <v>0</v>
      </c>
      <c r="CJ1772" s="53" t="n">
        <f aca="false">IF(BW1772=1,0,IFERROR(VLOOKUP(BU1772,'Gebinde-Kategorie'!$A$5:$N$45,5,0)+0,0))</f>
        <v>0</v>
      </c>
      <c r="CK1772" s="53" t="n">
        <f aca="false">IFERROR(IF(OR(CB1772=1,CB1772=2,CB1772=3),N(INDEX(Parameter!$I$5:$I$7,CB1772)),0),0)</f>
        <v>0</v>
      </c>
      <c r="CL1772" s="52" t="n">
        <f aca="false">IF(AND(Parameter!$B$21="Ja",ISNUMBER(W1772),N(X1772)&gt;0),IFERROR(N(INDEX(Parameter!$L$5:$L$7,W1772))*INDEX(Parameter!$E$5:$E$7,W1772)*X1772/SUMIFS($X$7:$X$1843,$W$7:$W$1843,W1772),0),0)</f>
        <v>0</v>
      </c>
    </row>
    <row r="1773" customFormat="false" ht="15" hidden="false" customHeight="false" outlineLevel="0" collapsed="false">
      <c r="A1773" s="48" t="str">
        <f aca="false">IF('Neue Artikel'!$A$34="","",'Neue Artikel'!$A$34&amp;"")</f>
        <v/>
      </c>
      <c r="B1773" s="48" t="str">
        <f aca="false">'Neue Artikel'!$B$34&amp;""</f>
        <v/>
      </c>
      <c r="C1773" s="48"/>
      <c r="D1773" s="48" t="s">
        <v>3019</v>
      </c>
      <c r="E1773" s="48"/>
      <c r="F1773" s="48"/>
      <c r="G1773" s="49" t="n">
        <f aca="false">N('Neue Artikel'!$G$34)</f>
        <v>0</v>
      </c>
      <c r="H1773" s="50" t="n">
        <f aca="false">MAX(0,IF(AND(Parameter!$B$21="Ja",ISNUMBER(Y1773)),Y1773,IF(Parameter!$B$20="Jahresanfang 2025 + Export",BO1773+BN1773,BN1773)))</f>
        <v>0</v>
      </c>
      <c r="I1773" s="50" t="n">
        <f aca="false">H1773*G1773</f>
        <v>0</v>
      </c>
      <c r="J1773" s="50" t="n">
        <f aca="false">BQ1773*Parameter!$B$18</f>
        <v>0</v>
      </c>
      <c r="K1773" s="51"/>
      <c r="L1773" s="52"/>
      <c r="M1773" s="50" t="n">
        <f aca="false">N('Neue Artikel'!$E$34)</f>
        <v>0</v>
      </c>
      <c r="N1773" s="50" t="n">
        <f aca="false">N('Neue Artikel'!$F$34)</f>
        <v>0</v>
      </c>
      <c r="O1773" s="53"/>
      <c r="P1773" s="48" t="str">
        <f aca="false">IF('Neue Artikel'!$H$34="","LOSE",UPPER(TRIM('Neue Artikel'!$H$34)))</f>
        <v>LOSE</v>
      </c>
      <c r="Q1773" s="50" t="n">
        <f aca="false">N('Neue Artikel'!$I$34)</f>
        <v>0</v>
      </c>
      <c r="R1773" s="53" t="n">
        <f aca="false">IF(BW1773=1,0,IFERROR(VLOOKUP(BU1773,'Gebinde-Kategorie'!$A$5:$N$45,13,0)+0,0))</f>
        <v>0</v>
      </c>
      <c r="S1773" s="54"/>
      <c r="T1773" s="55"/>
      <c r="U1773" s="55"/>
      <c r="V1773" s="55"/>
      <c r="W1773" s="48"/>
      <c r="X1773" s="50"/>
      <c r="Y1773" s="50"/>
      <c r="Z1773" s="48" t="str">
        <f aca="false">IF(A1773="","",IF(AND(Parameter!$B$21="Ja",ISNUMBER(W1773)),W1773,IF(BZ1773="2+3",IF(ISNUMBER(SEARCH("grosser Artikel",BR1773)),2,IFERROR(VLOOKUP(BU1773,Parameter!$F$35:$G$64,2,0),2)),IF(OR(BZ1773="Nein",BZ1773=""),"-",BZ1773))))</f>
        <v/>
      </c>
      <c r="AA1773" s="48" t="str">
        <f aca="false">IF('Neue Artikel'!$J$34="","",'Neue Artikel'!$J$34)</f>
        <v/>
      </c>
      <c r="AB1773" s="56"/>
      <c r="AC1773" s="50" t="n">
        <f aca="false">AT1773</f>
        <v>0</v>
      </c>
      <c r="AD1773" s="50" t="n">
        <f aca="false">MAX(AT1773,H1773)</f>
        <v>0</v>
      </c>
      <c r="AE1773" s="57"/>
      <c r="AF1773" s="50" t="n">
        <f aca="false">IF(LEFT(Cockpit!$C$5,1)="A",H1773,IF(CE1773=1,CF1773,IF(LEFT(Cockpit!$C$5,1)="B",AK1773,MAX(AK1773,H1773))))</f>
        <v>0</v>
      </c>
      <c r="AG1773" s="50" t="n">
        <f aca="false">IF(BW1773=1,0,ROUNDUP(AF1773/BV1773,0))</f>
        <v>0</v>
      </c>
      <c r="AH1773" s="52" t="n">
        <f aca="false">IF(CL1773&gt;0,CL1773*MAX(1,AF1773/X1773),IF(BW1773=1,IF(AF1773&lt;=0,0,CA1773*MAX(1,IF(H1773&gt;0,AF1773/H1773,1))),IF(R1773&gt;0,AG1773/R1773,0))/MAX(0.1,N(Parameter!$M$21)))</f>
        <v>0</v>
      </c>
      <c r="AI1773" s="50" t="n">
        <f aca="false">AH1773*BY1773</f>
        <v>0</v>
      </c>
      <c r="AJ1773" s="50" t="n">
        <f aca="false">AF1773*G1773</f>
        <v>0</v>
      </c>
      <c r="AK1773" s="50" t="n">
        <f aca="false">ROUNDUP(MAX(J1773/IF(CD1773&gt;0,CD1773,MAX(0.1,N(Cockpit!$C$6))),CG1773)/BV1773,0)*BV1773</f>
        <v>0</v>
      </c>
      <c r="AL1773" s="51" t="n">
        <f aca="false">IF(AI1773&gt;0,J1773/AI1773,-1)</f>
        <v>-1</v>
      </c>
      <c r="AM1773" s="51" t="str">
        <f aca="false">IF(AND(OR(CC1773="L1",CC1773="L23",CC1773="LIFT"),AI1773&gt;0),SUMIFS($AI$7:$AI$1843,$CC$7:$CC$1843,CC1773,$AL$7:$AL$1843,"&gt;"&amp;AL1773)+SUMIFS($AI$7:$AI$1843,$CC$7:$CC$1843,CC1773,$AL$7:$AL$1843,AL1773,$BT$7:$BT$1843,"&lt;="&amp;BT1773),"")</f>
        <v/>
      </c>
      <c r="AN1773" s="58" t="n">
        <f aca="false">IF(AM1773="",0,MAX(0,MIN(1,(IF(CC1773="L1",Parameter!$H$5,IF(CC1773="L23",Parameter!$H$6+Parameter!$H$7,Parameter!$H$5+Parameter!$H$6+Parameter!$H$7))-(AM1773-AI1773))/AI1773)))</f>
        <v>0</v>
      </c>
      <c r="AO1773" s="50" t="n">
        <f aca="false">IF(LEFT(Cockpit!$I$5,1)="A",H1773,IF(CE1773=1,CF1773,IF(LEFT(Cockpit!$I$5,1)="B",AT1773,MAX(AT1773,H1773))))</f>
        <v>0</v>
      </c>
      <c r="AP1773" s="50" t="n">
        <f aca="false">IF(BW1773=1,0,ROUNDUP(AO1773/BV1773,0))</f>
        <v>0</v>
      </c>
      <c r="AQ1773" s="52" t="n">
        <f aca="false">IF(CL1773&gt;0,CL1773*MAX(1,AO1773/X1773),IF(BW1773=1,IF(AO1773&lt;=0,0,CA1773*MAX(1,IF(H1773&gt;0,AO1773/H1773,1))),IF(R1773&gt;0,AP1773/R1773,0))/MAX(0.1,N(Parameter!$M$21)))</f>
        <v>0</v>
      </c>
      <c r="AR1773" s="50" t="n">
        <f aca="false">AQ1773*BY1773</f>
        <v>0</v>
      </c>
      <c r="AS1773" s="50" t="n">
        <f aca="false">AO1773*G1773</f>
        <v>0</v>
      </c>
      <c r="AT1773" s="50" t="n">
        <f aca="false">ROUNDUP(MAX(J1773/IF(CD1773&gt;0,CD1773,MAX(0.1,N(Cockpit!$I$6))),CG1773)/BV1773,0)*BV1773</f>
        <v>0</v>
      </c>
      <c r="AU1773" s="51" t="n">
        <f aca="false">IF(AR1773&gt;0,J1773/AR1773,-1)</f>
        <v>-1</v>
      </c>
      <c r="AV1773" s="51" t="str">
        <f aca="false">IF(AND(OR(CC1773="L1",CC1773="L23",CC1773="LIFT"),AR1773&gt;0),SUMIFS($AR$7:$AR$1843,$CC$7:$CC$1843,CC1773,$AU$7:$AU$1843,"&gt;"&amp;AU1773)+SUMIFS($AR$7:$AR$1843,$CC$7:$CC$1843,CC1773,$AU$7:$AU$1843,AU1773,$BT$7:$BT$1843,"&lt;="&amp;BT1773),"")</f>
        <v/>
      </c>
      <c r="AW1773" s="58" t="n">
        <f aca="false">IF(AV1773="",0,MAX(0,MIN(1,(IF(CC1773="L1",Parameter!$H$5,IF(CC1773="L23",Parameter!$H$6+Parameter!$H$7,Parameter!$H$5+Parameter!$H$6+Parameter!$H$7))-(AV1773-AR1773))/AR1773)))</f>
        <v>0</v>
      </c>
      <c r="AX1773" s="50" t="n">
        <f aca="false">IF(LEFT(Cockpit!$O$5,1)="A",H1773,IF(CE1773=1,CF1773,IF(LEFT(Cockpit!$O$5,1)="B",BC1773,MAX(BC1773,H1773))))</f>
        <v>0</v>
      </c>
      <c r="AY1773" s="50" t="n">
        <f aca="false">IF(BW1773=1,0,ROUNDUP(AX1773/BV1773,0))</f>
        <v>0</v>
      </c>
      <c r="AZ1773" s="52" t="n">
        <f aca="false">IF(CL1773&gt;0,CL1773*MAX(1,AX1773/X1773),IF(BW1773=1,IF(AX1773&lt;=0,0,CA1773*MAX(1,IF(H1773&gt;0,AX1773/H1773,1))),IF(R1773&gt;0,AY1773/R1773,0))/MAX(0.1,N(Parameter!$M$21)))</f>
        <v>0</v>
      </c>
      <c r="BA1773" s="50" t="n">
        <f aca="false">AZ1773*BY1773</f>
        <v>0</v>
      </c>
      <c r="BB1773" s="50" t="n">
        <f aca="false">AX1773*G1773</f>
        <v>0</v>
      </c>
      <c r="BC1773" s="50" t="n">
        <f aca="false">ROUNDUP(MAX(J1773/IF(CD1773&gt;0,CD1773,MAX(0.1,N(Cockpit!$O$6))),CG1773)/BV1773,0)*BV1773</f>
        <v>0</v>
      </c>
      <c r="BD1773" s="51" t="n">
        <f aca="false">IF(BA1773&gt;0,J1773/BA1773,-1)</f>
        <v>-1</v>
      </c>
      <c r="BE1773" s="51" t="str">
        <f aca="false">IF(AND(OR(CC1773="L1",CC1773="L23",CC1773="LIFT"),BA1773&gt;0),SUMIFS($BA$7:$BA$1843,$CC$7:$CC$1843,CC1773,$BD$7:$BD$1843,"&gt;"&amp;BD1773)+SUMIFS($BA$7:$BA$1843,$CC$7:$CC$1843,CC1773,$BD$7:$BD$1843,BD1773,$BT$7:$BT$1843,"&lt;="&amp;BT1773),"")</f>
        <v/>
      </c>
      <c r="BF1773" s="58" t="n">
        <f aca="false">IF(BE1773="",0,MAX(0,MIN(1,(IF(CC1773="L1",Parameter!$H$5,IF(CC1773="L23",Parameter!$H$6+Parameter!$H$7,Parameter!$H$5+Parameter!$H$6+Parameter!$H$7))-(BE1773-BA1773))/BA1773)))</f>
        <v>0</v>
      </c>
      <c r="BG1773" s="48" t="str">
        <f aca="false">IF(AI1773&lt;=0,"",IF(CC1773="Aussen","Aussenlager",IF(CC1773="-","Nicht im Lift",IF(AN1773&gt;=1,"Lift",IF(AN1773&lt;=0,"Aussenlager","teilweise")))))</f>
        <v/>
      </c>
      <c r="BH1773" s="48" t="str">
        <f aca="false">IF(AR1773&lt;=0,"",IF(CC1773="Aussen","Aussenlager",IF(CC1773="-","Nicht im Lift",IF(AW1773&gt;=1,"Lift",IF(AW1773&lt;=0,"Aussenlager","teilweise")))))</f>
        <v/>
      </c>
      <c r="BI1773" s="48" t="str">
        <f aca="false">IF(BA1773&lt;=0,"",IF(CC1773="Aussen","Aussenlager",IF(CC1773="-","Nicht im Lift",IF(BF1773&gt;=1,"Lift",IF(BF1773&lt;=0,"Aussenlager","teilweise")))))</f>
        <v/>
      </c>
      <c r="BJ1773" s="48" t="str">
        <f aca="false">IF(A1773="","",IF(BS1773=1,"Neu; ","")&amp;IF(AND(BS1773=0,BN1773&lt;0),"negativer Bestand (Export "&amp;BN1773&amp;"); ","")&amp;IF(J1773&lt;=0,"Kein Verbrauch; ","")&amp;IF(CL1773&gt;0,"Lift "&amp;W1773&amp;" lt. Liftbericht (Fach "&amp;X1773&amp;" Stk); ",IF(BX1773=1,"Gebinde geschätzt ("&amp;T1773&amp;"); ",IF(BW1773=1,"Lose – Tablare geschätzt; ","")))&amp;IF(H1773&gt;AT1773,"Überbestand "&amp;ROUND(H1773-AT1773,0)&amp;" Stk / CHF "&amp;ROUND((H1773-AT1773)*G1773,0)&amp;"; ","")&amp;IF(AND(CE1773=1,CF1773&lt;CG1773),"MAX &lt; MB+LG; ","")&amp;IF(AND(CK1773&gt;0,CJ1773*10&gt;CK1773),"zu hoch für Tablar; ","")&amp;IF(AND(BS1773=0,OR(CE1773=1,AA1773&lt;&gt;"",U1773&lt;&gt;"",V1773&lt;&gt;"",AB1773&lt;&gt;"")),"manuell übersteuert; ","")&amp;IF(AND(BW1773=0,R1773=0),"Gebinde unbekannt / Stellmass fehlt; ","")&amp;IF(AND(BW1773=0,N(V1773)&lt;=0,N(Q1773)&lt;=0),"Menge pro Gebinde fehlt (Ist = 1 Gebinde); ","")&amp;BR1773)</f>
        <v/>
      </c>
      <c r="BK1773" s="48"/>
      <c r="BL1773" s="48"/>
      <c r="BM1773" s="55"/>
      <c r="BN1773" s="50" t="n">
        <f aca="false">N('Neue Artikel'!$D$34)</f>
        <v>0</v>
      </c>
      <c r="BO1773" s="50" t="n">
        <v>0</v>
      </c>
      <c r="BP1773" s="49" t="n">
        <v>0</v>
      </c>
      <c r="BQ1773" s="50" t="n">
        <f aca="false">N('Neue Artikel'!$C$34)/Parameter!$B$18</f>
        <v>0</v>
      </c>
      <c r="BR1773" s="48"/>
      <c r="BS1773" s="53" t="n">
        <v>1</v>
      </c>
      <c r="BT1773" s="53" t="n">
        <v>1773</v>
      </c>
      <c r="BU1773" s="48" t="str">
        <f aca="false">IF(U1773&lt;&gt;"",UPPER(TRIM(U1773)),IF(BX1773=1,UPPER(VLOOKUP(T1773,Parameter!$I$27:$K$29,2,0)),IF(P1773="","LOSE",P1773)))</f>
        <v>LOSE</v>
      </c>
      <c r="BV1773" s="50" t="n">
        <f aca="false">IF(BU1773="LOSE",1,IF(N(V1773)&gt;0,V1773,IF(BX1773=1,MAX(1,N(VLOOKUP(T1773,Parameter!$I$27:$K$29,3,0)),H1773,N(N1773)),IF(N(Q1773)&gt;0,Q1773,MAX(1,H1773)))))</f>
        <v>1</v>
      </c>
      <c r="BW1773" s="53" t="n">
        <f aca="false">IF(BU1773="LOSE",1,0)</f>
        <v>1</v>
      </c>
      <c r="BX1773" s="53" t="n">
        <f aca="false">IF(AND(U1773="",OR(P1773="",P1773="LOSE"),T1773&lt;&gt;"",N(S1773)&lt;=0,ISNUMBER(MATCH(T1773,Parameter!$I$27:$I$29,0))),1,0)</f>
        <v>0</v>
      </c>
      <c r="BY1773" s="53" t="n">
        <f aca="false">IF(CL1773&gt;0,INDEX(Parameter!$H$5:$H$7,W1773)/INDEX(Parameter!$E$5:$E$7,W1773),IF(AND(BW1773=0,N(IFERROR(VLOOKUP(BU1773,'Gebinde-Kategorie'!$A$5:$N$45,14,0),0))&gt;0),VLOOKUP(BU1773,'Gebinde-Kategorie'!$A$5:$N$45,14,0)*10+Parameter!$M$23,Parameter!$M$24))</f>
        <v>235</v>
      </c>
      <c r="BZ1773" s="48" t="str">
        <f aca="false">IF(AND(Parameter!$B$19="Ja",E1773&lt;&gt;"",ISNUMBER(MATCH(E1773,Parameter!$I$35:$I$52,0))),VLOOKUP(E1773,Parameter!$I$35:$J$52,2,0),IFERROR(VLOOKUP(D1773,Parameter!$A$35:$C$64,2,0),"Nein"))</f>
        <v>2+3</v>
      </c>
      <c r="CA1773" s="52" t="n">
        <f aca="false">IF(BW1773=0,0,IF(N(S1773)&gt;0,S1773,IFERROR(VLOOKUP(D1773,Parameter!$A$35:$C$64,3,0)+0,0)))</f>
        <v>0.15</v>
      </c>
      <c r="CB1773" s="48" t="str">
        <f aca="false">IF(AA1773&lt;&gt;"",AA1773,Z1773)</f>
        <v/>
      </c>
      <c r="CC1773" s="48" t="str">
        <f aca="false">IF(OR(CB1773=1,CB1773=2,CB1773=3),IF(Parameter!$E$27="Ja","LIFT",IF(CB1773=1,"L1","L23")),IF(CB1773="Aussen","Aussen","-"))</f>
        <v>-</v>
      </c>
      <c r="CD1773" s="59" t="n">
        <f aca="false">IF(N(AB1773)&gt;0,AB1773,0)</f>
        <v>0</v>
      </c>
      <c r="CE1773" s="53" t="n">
        <f aca="false">IF(ISNUMBER(AE1773),1,0)</f>
        <v>0</v>
      </c>
      <c r="CF1773" s="50" t="n">
        <f aca="false">N(AE1773)</f>
        <v>0</v>
      </c>
      <c r="CG1773" s="50" t="n">
        <f aca="false">N(M1773)+N(N1773)</f>
        <v>0</v>
      </c>
      <c r="CH1773" s="50" t="n">
        <f aca="false">ROUNDUP(H1773/BV1773,0)</f>
        <v>0</v>
      </c>
      <c r="CI1773" s="50" t="n">
        <f aca="false">ROUNDUP(CF1773/BV1773,0)</f>
        <v>0</v>
      </c>
      <c r="CJ1773" s="53" t="n">
        <f aca="false">IF(BW1773=1,0,IFERROR(VLOOKUP(BU1773,'Gebinde-Kategorie'!$A$5:$N$45,5,0)+0,0))</f>
        <v>0</v>
      </c>
      <c r="CK1773" s="53" t="n">
        <f aca="false">IFERROR(IF(OR(CB1773=1,CB1773=2,CB1773=3),N(INDEX(Parameter!$I$5:$I$7,CB1773)),0),0)</f>
        <v>0</v>
      </c>
      <c r="CL1773" s="52" t="n">
        <f aca="false">IF(AND(Parameter!$B$21="Ja",ISNUMBER(W1773),N(X1773)&gt;0),IFERROR(N(INDEX(Parameter!$L$5:$L$7,W1773))*INDEX(Parameter!$E$5:$E$7,W1773)*X1773/SUMIFS($X$7:$X$1843,$W$7:$W$1843,W1773),0),0)</f>
        <v>0</v>
      </c>
    </row>
    <row r="1774" customFormat="false" ht="15" hidden="false" customHeight="false" outlineLevel="0" collapsed="false">
      <c r="A1774" s="48" t="str">
        <f aca="false">IF('Neue Artikel'!$A$35="","",'Neue Artikel'!$A$35&amp;"")</f>
        <v/>
      </c>
      <c r="B1774" s="48" t="str">
        <f aca="false">'Neue Artikel'!$B$35&amp;""</f>
        <v/>
      </c>
      <c r="C1774" s="48"/>
      <c r="D1774" s="48" t="s">
        <v>3019</v>
      </c>
      <c r="E1774" s="48"/>
      <c r="F1774" s="48"/>
      <c r="G1774" s="49" t="n">
        <f aca="false">N('Neue Artikel'!$G$35)</f>
        <v>0</v>
      </c>
      <c r="H1774" s="50" t="n">
        <f aca="false">MAX(0,IF(AND(Parameter!$B$21="Ja",ISNUMBER(Y1774)),Y1774,IF(Parameter!$B$20="Jahresanfang 2025 + Export",BO1774+BN1774,BN1774)))</f>
        <v>0</v>
      </c>
      <c r="I1774" s="50" t="n">
        <f aca="false">H1774*G1774</f>
        <v>0</v>
      </c>
      <c r="J1774" s="50" t="n">
        <f aca="false">BQ1774*Parameter!$B$18</f>
        <v>0</v>
      </c>
      <c r="K1774" s="51"/>
      <c r="L1774" s="52"/>
      <c r="M1774" s="50" t="n">
        <f aca="false">N('Neue Artikel'!$E$35)</f>
        <v>0</v>
      </c>
      <c r="N1774" s="50" t="n">
        <f aca="false">N('Neue Artikel'!$F$35)</f>
        <v>0</v>
      </c>
      <c r="O1774" s="53"/>
      <c r="P1774" s="48" t="str">
        <f aca="false">IF('Neue Artikel'!$H$35="","LOSE",UPPER(TRIM('Neue Artikel'!$H$35)))</f>
        <v>LOSE</v>
      </c>
      <c r="Q1774" s="50" t="n">
        <f aca="false">N('Neue Artikel'!$I$35)</f>
        <v>0</v>
      </c>
      <c r="R1774" s="53" t="n">
        <f aca="false">IF(BW1774=1,0,IFERROR(VLOOKUP(BU1774,'Gebinde-Kategorie'!$A$5:$N$45,13,0)+0,0))</f>
        <v>0</v>
      </c>
      <c r="S1774" s="54"/>
      <c r="T1774" s="55"/>
      <c r="U1774" s="55"/>
      <c r="V1774" s="55"/>
      <c r="W1774" s="48"/>
      <c r="X1774" s="50"/>
      <c r="Y1774" s="50"/>
      <c r="Z1774" s="48" t="str">
        <f aca="false">IF(A1774="","",IF(AND(Parameter!$B$21="Ja",ISNUMBER(W1774)),W1774,IF(BZ1774="2+3",IF(ISNUMBER(SEARCH("grosser Artikel",BR1774)),2,IFERROR(VLOOKUP(BU1774,Parameter!$F$35:$G$64,2,0),2)),IF(OR(BZ1774="Nein",BZ1774=""),"-",BZ1774))))</f>
        <v/>
      </c>
      <c r="AA1774" s="48" t="str">
        <f aca="false">IF('Neue Artikel'!$J$35="","",'Neue Artikel'!$J$35)</f>
        <v/>
      </c>
      <c r="AB1774" s="56"/>
      <c r="AC1774" s="50" t="n">
        <f aca="false">AT1774</f>
        <v>0</v>
      </c>
      <c r="AD1774" s="50" t="n">
        <f aca="false">MAX(AT1774,H1774)</f>
        <v>0</v>
      </c>
      <c r="AE1774" s="57"/>
      <c r="AF1774" s="50" t="n">
        <f aca="false">IF(LEFT(Cockpit!$C$5,1)="A",H1774,IF(CE1774=1,CF1774,IF(LEFT(Cockpit!$C$5,1)="B",AK1774,MAX(AK1774,H1774))))</f>
        <v>0</v>
      </c>
      <c r="AG1774" s="50" t="n">
        <f aca="false">IF(BW1774=1,0,ROUNDUP(AF1774/BV1774,0))</f>
        <v>0</v>
      </c>
      <c r="AH1774" s="52" t="n">
        <f aca="false">IF(CL1774&gt;0,CL1774*MAX(1,AF1774/X1774),IF(BW1774=1,IF(AF1774&lt;=0,0,CA1774*MAX(1,IF(H1774&gt;0,AF1774/H1774,1))),IF(R1774&gt;0,AG1774/R1774,0))/MAX(0.1,N(Parameter!$M$21)))</f>
        <v>0</v>
      </c>
      <c r="AI1774" s="50" t="n">
        <f aca="false">AH1774*BY1774</f>
        <v>0</v>
      </c>
      <c r="AJ1774" s="50" t="n">
        <f aca="false">AF1774*G1774</f>
        <v>0</v>
      </c>
      <c r="AK1774" s="50" t="n">
        <f aca="false">ROUNDUP(MAX(J1774/IF(CD1774&gt;0,CD1774,MAX(0.1,N(Cockpit!$C$6))),CG1774)/BV1774,0)*BV1774</f>
        <v>0</v>
      </c>
      <c r="AL1774" s="51" t="n">
        <f aca="false">IF(AI1774&gt;0,J1774/AI1774,-1)</f>
        <v>-1</v>
      </c>
      <c r="AM1774" s="51" t="str">
        <f aca="false">IF(AND(OR(CC1774="L1",CC1774="L23",CC1774="LIFT"),AI1774&gt;0),SUMIFS($AI$7:$AI$1843,$CC$7:$CC$1843,CC1774,$AL$7:$AL$1843,"&gt;"&amp;AL1774)+SUMIFS($AI$7:$AI$1843,$CC$7:$CC$1843,CC1774,$AL$7:$AL$1843,AL1774,$BT$7:$BT$1843,"&lt;="&amp;BT1774),"")</f>
        <v/>
      </c>
      <c r="AN1774" s="58" t="n">
        <f aca="false">IF(AM1774="",0,MAX(0,MIN(1,(IF(CC1774="L1",Parameter!$H$5,IF(CC1774="L23",Parameter!$H$6+Parameter!$H$7,Parameter!$H$5+Parameter!$H$6+Parameter!$H$7))-(AM1774-AI1774))/AI1774)))</f>
        <v>0</v>
      </c>
      <c r="AO1774" s="50" t="n">
        <f aca="false">IF(LEFT(Cockpit!$I$5,1)="A",H1774,IF(CE1774=1,CF1774,IF(LEFT(Cockpit!$I$5,1)="B",AT1774,MAX(AT1774,H1774))))</f>
        <v>0</v>
      </c>
      <c r="AP1774" s="50" t="n">
        <f aca="false">IF(BW1774=1,0,ROUNDUP(AO1774/BV1774,0))</f>
        <v>0</v>
      </c>
      <c r="AQ1774" s="52" t="n">
        <f aca="false">IF(CL1774&gt;0,CL1774*MAX(1,AO1774/X1774),IF(BW1774=1,IF(AO1774&lt;=0,0,CA1774*MAX(1,IF(H1774&gt;0,AO1774/H1774,1))),IF(R1774&gt;0,AP1774/R1774,0))/MAX(0.1,N(Parameter!$M$21)))</f>
        <v>0</v>
      </c>
      <c r="AR1774" s="50" t="n">
        <f aca="false">AQ1774*BY1774</f>
        <v>0</v>
      </c>
      <c r="AS1774" s="50" t="n">
        <f aca="false">AO1774*G1774</f>
        <v>0</v>
      </c>
      <c r="AT1774" s="50" t="n">
        <f aca="false">ROUNDUP(MAX(J1774/IF(CD1774&gt;0,CD1774,MAX(0.1,N(Cockpit!$I$6))),CG1774)/BV1774,0)*BV1774</f>
        <v>0</v>
      </c>
      <c r="AU1774" s="51" t="n">
        <f aca="false">IF(AR1774&gt;0,J1774/AR1774,-1)</f>
        <v>-1</v>
      </c>
      <c r="AV1774" s="51" t="str">
        <f aca="false">IF(AND(OR(CC1774="L1",CC1774="L23",CC1774="LIFT"),AR1774&gt;0),SUMIFS($AR$7:$AR$1843,$CC$7:$CC$1843,CC1774,$AU$7:$AU$1843,"&gt;"&amp;AU1774)+SUMIFS($AR$7:$AR$1843,$CC$7:$CC$1843,CC1774,$AU$7:$AU$1843,AU1774,$BT$7:$BT$1843,"&lt;="&amp;BT1774),"")</f>
        <v/>
      </c>
      <c r="AW1774" s="58" t="n">
        <f aca="false">IF(AV1774="",0,MAX(0,MIN(1,(IF(CC1774="L1",Parameter!$H$5,IF(CC1774="L23",Parameter!$H$6+Parameter!$H$7,Parameter!$H$5+Parameter!$H$6+Parameter!$H$7))-(AV1774-AR1774))/AR1774)))</f>
        <v>0</v>
      </c>
      <c r="AX1774" s="50" t="n">
        <f aca="false">IF(LEFT(Cockpit!$O$5,1)="A",H1774,IF(CE1774=1,CF1774,IF(LEFT(Cockpit!$O$5,1)="B",BC1774,MAX(BC1774,H1774))))</f>
        <v>0</v>
      </c>
      <c r="AY1774" s="50" t="n">
        <f aca="false">IF(BW1774=1,0,ROUNDUP(AX1774/BV1774,0))</f>
        <v>0</v>
      </c>
      <c r="AZ1774" s="52" t="n">
        <f aca="false">IF(CL1774&gt;0,CL1774*MAX(1,AX1774/X1774),IF(BW1774=1,IF(AX1774&lt;=0,0,CA1774*MAX(1,IF(H1774&gt;0,AX1774/H1774,1))),IF(R1774&gt;0,AY1774/R1774,0))/MAX(0.1,N(Parameter!$M$21)))</f>
        <v>0</v>
      </c>
      <c r="BA1774" s="50" t="n">
        <f aca="false">AZ1774*BY1774</f>
        <v>0</v>
      </c>
      <c r="BB1774" s="50" t="n">
        <f aca="false">AX1774*G1774</f>
        <v>0</v>
      </c>
      <c r="BC1774" s="50" t="n">
        <f aca="false">ROUNDUP(MAX(J1774/IF(CD1774&gt;0,CD1774,MAX(0.1,N(Cockpit!$O$6))),CG1774)/BV1774,0)*BV1774</f>
        <v>0</v>
      </c>
      <c r="BD1774" s="51" t="n">
        <f aca="false">IF(BA1774&gt;0,J1774/BA1774,-1)</f>
        <v>-1</v>
      </c>
      <c r="BE1774" s="51" t="str">
        <f aca="false">IF(AND(OR(CC1774="L1",CC1774="L23",CC1774="LIFT"),BA1774&gt;0),SUMIFS($BA$7:$BA$1843,$CC$7:$CC$1843,CC1774,$BD$7:$BD$1843,"&gt;"&amp;BD1774)+SUMIFS($BA$7:$BA$1843,$CC$7:$CC$1843,CC1774,$BD$7:$BD$1843,BD1774,$BT$7:$BT$1843,"&lt;="&amp;BT1774),"")</f>
        <v/>
      </c>
      <c r="BF1774" s="58" t="n">
        <f aca="false">IF(BE1774="",0,MAX(0,MIN(1,(IF(CC1774="L1",Parameter!$H$5,IF(CC1774="L23",Parameter!$H$6+Parameter!$H$7,Parameter!$H$5+Parameter!$H$6+Parameter!$H$7))-(BE1774-BA1774))/BA1774)))</f>
        <v>0</v>
      </c>
      <c r="BG1774" s="48" t="str">
        <f aca="false">IF(AI1774&lt;=0,"",IF(CC1774="Aussen","Aussenlager",IF(CC1774="-","Nicht im Lift",IF(AN1774&gt;=1,"Lift",IF(AN1774&lt;=0,"Aussenlager","teilweise")))))</f>
        <v/>
      </c>
      <c r="BH1774" s="48" t="str">
        <f aca="false">IF(AR1774&lt;=0,"",IF(CC1774="Aussen","Aussenlager",IF(CC1774="-","Nicht im Lift",IF(AW1774&gt;=1,"Lift",IF(AW1774&lt;=0,"Aussenlager","teilweise")))))</f>
        <v/>
      </c>
      <c r="BI1774" s="48" t="str">
        <f aca="false">IF(BA1774&lt;=0,"",IF(CC1774="Aussen","Aussenlager",IF(CC1774="-","Nicht im Lift",IF(BF1774&gt;=1,"Lift",IF(BF1774&lt;=0,"Aussenlager","teilweise")))))</f>
        <v/>
      </c>
      <c r="BJ1774" s="48" t="str">
        <f aca="false">IF(A1774="","",IF(BS1774=1,"Neu; ","")&amp;IF(AND(BS1774=0,BN1774&lt;0),"negativer Bestand (Export "&amp;BN1774&amp;"); ","")&amp;IF(J1774&lt;=0,"Kein Verbrauch; ","")&amp;IF(CL1774&gt;0,"Lift "&amp;W1774&amp;" lt. Liftbericht (Fach "&amp;X1774&amp;" Stk); ",IF(BX1774=1,"Gebinde geschätzt ("&amp;T1774&amp;"); ",IF(BW1774=1,"Lose – Tablare geschätzt; ","")))&amp;IF(H1774&gt;AT1774,"Überbestand "&amp;ROUND(H1774-AT1774,0)&amp;" Stk / CHF "&amp;ROUND((H1774-AT1774)*G1774,0)&amp;"; ","")&amp;IF(AND(CE1774=1,CF1774&lt;CG1774),"MAX &lt; MB+LG; ","")&amp;IF(AND(CK1774&gt;0,CJ1774*10&gt;CK1774),"zu hoch für Tablar; ","")&amp;IF(AND(BS1774=0,OR(CE1774=1,AA1774&lt;&gt;"",U1774&lt;&gt;"",V1774&lt;&gt;"",AB1774&lt;&gt;"")),"manuell übersteuert; ","")&amp;IF(AND(BW1774=0,R1774=0),"Gebinde unbekannt / Stellmass fehlt; ","")&amp;IF(AND(BW1774=0,N(V1774)&lt;=0,N(Q1774)&lt;=0),"Menge pro Gebinde fehlt (Ist = 1 Gebinde); ","")&amp;BR1774)</f>
        <v/>
      </c>
      <c r="BK1774" s="48"/>
      <c r="BL1774" s="48"/>
      <c r="BM1774" s="55"/>
      <c r="BN1774" s="50" t="n">
        <f aca="false">N('Neue Artikel'!$D$35)</f>
        <v>0</v>
      </c>
      <c r="BO1774" s="50" t="n">
        <v>0</v>
      </c>
      <c r="BP1774" s="49" t="n">
        <v>0</v>
      </c>
      <c r="BQ1774" s="50" t="n">
        <f aca="false">N('Neue Artikel'!$C$35)/Parameter!$B$18</f>
        <v>0</v>
      </c>
      <c r="BR1774" s="48"/>
      <c r="BS1774" s="53" t="n">
        <v>1</v>
      </c>
      <c r="BT1774" s="53" t="n">
        <v>1774</v>
      </c>
      <c r="BU1774" s="48" t="str">
        <f aca="false">IF(U1774&lt;&gt;"",UPPER(TRIM(U1774)),IF(BX1774=1,UPPER(VLOOKUP(T1774,Parameter!$I$27:$K$29,2,0)),IF(P1774="","LOSE",P1774)))</f>
        <v>LOSE</v>
      </c>
      <c r="BV1774" s="50" t="n">
        <f aca="false">IF(BU1774="LOSE",1,IF(N(V1774)&gt;0,V1774,IF(BX1774=1,MAX(1,N(VLOOKUP(T1774,Parameter!$I$27:$K$29,3,0)),H1774,N(N1774)),IF(N(Q1774)&gt;0,Q1774,MAX(1,H1774)))))</f>
        <v>1</v>
      </c>
      <c r="BW1774" s="53" t="n">
        <f aca="false">IF(BU1774="LOSE",1,0)</f>
        <v>1</v>
      </c>
      <c r="BX1774" s="53" t="n">
        <f aca="false">IF(AND(U1774="",OR(P1774="",P1774="LOSE"),T1774&lt;&gt;"",N(S1774)&lt;=0,ISNUMBER(MATCH(T1774,Parameter!$I$27:$I$29,0))),1,0)</f>
        <v>0</v>
      </c>
      <c r="BY1774" s="53" t="n">
        <f aca="false">IF(CL1774&gt;0,INDEX(Parameter!$H$5:$H$7,W1774)/INDEX(Parameter!$E$5:$E$7,W1774),IF(AND(BW1774=0,N(IFERROR(VLOOKUP(BU1774,'Gebinde-Kategorie'!$A$5:$N$45,14,0),0))&gt;0),VLOOKUP(BU1774,'Gebinde-Kategorie'!$A$5:$N$45,14,0)*10+Parameter!$M$23,Parameter!$M$24))</f>
        <v>235</v>
      </c>
      <c r="BZ1774" s="48" t="str">
        <f aca="false">IF(AND(Parameter!$B$19="Ja",E1774&lt;&gt;"",ISNUMBER(MATCH(E1774,Parameter!$I$35:$I$52,0))),VLOOKUP(E1774,Parameter!$I$35:$J$52,2,0),IFERROR(VLOOKUP(D1774,Parameter!$A$35:$C$64,2,0),"Nein"))</f>
        <v>2+3</v>
      </c>
      <c r="CA1774" s="52" t="n">
        <f aca="false">IF(BW1774=0,0,IF(N(S1774)&gt;0,S1774,IFERROR(VLOOKUP(D1774,Parameter!$A$35:$C$64,3,0)+0,0)))</f>
        <v>0.15</v>
      </c>
      <c r="CB1774" s="48" t="str">
        <f aca="false">IF(AA1774&lt;&gt;"",AA1774,Z1774)</f>
        <v/>
      </c>
      <c r="CC1774" s="48" t="str">
        <f aca="false">IF(OR(CB1774=1,CB1774=2,CB1774=3),IF(Parameter!$E$27="Ja","LIFT",IF(CB1774=1,"L1","L23")),IF(CB1774="Aussen","Aussen","-"))</f>
        <v>-</v>
      </c>
      <c r="CD1774" s="59" t="n">
        <f aca="false">IF(N(AB1774)&gt;0,AB1774,0)</f>
        <v>0</v>
      </c>
      <c r="CE1774" s="53" t="n">
        <f aca="false">IF(ISNUMBER(AE1774),1,0)</f>
        <v>0</v>
      </c>
      <c r="CF1774" s="50" t="n">
        <f aca="false">N(AE1774)</f>
        <v>0</v>
      </c>
      <c r="CG1774" s="50" t="n">
        <f aca="false">N(M1774)+N(N1774)</f>
        <v>0</v>
      </c>
      <c r="CH1774" s="50" t="n">
        <f aca="false">ROUNDUP(H1774/BV1774,0)</f>
        <v>0</v>
      </c>
      <c r="CI1774" s="50" t="n">
        <f aca="false">ROUNDUP(CF1774/BV1774,0)</f>
        <v>0</v>
      </c>
      <c r="CJ1774" s="53" t="n">
        <f aca="false">IF(BW1774=1,0,IFERROR(VLOOKUP(BU1774,'Gebinde-Kategorie'!$A$5:$N$45,5,0)+0,0))</f>
        <v>0</v>
      </c>
      <c r="CK1774" s="53" t="n">
        <f aca="false">IFERROR(IF(OR(CB1774=1,CB1774=2,CB1774=3),N(INDEX(Parameter!$I$5:$I$7,CB1774)),0),0)</f>
        <v>0</v>
      </c>
      <c r="CL1774" s="52" t="n">
        <f aca="false">IF(AND(Parameter!$B$21="Ja",ISNUMBER(W1774),N(X1774)&gt;0),IFERROR(N(INDEX(Parameter!$L$5:$L$7,W1774))*INDEX(Parameter!$E$5:$E$7,W1774)*X1774/SUMIFS($X$7:$X$1843,$W$7:$W$1843,W1774),0),0)</f>
        <v>0</v>
      </c>
    </row>
    <row r="1775" customFormat="false" ht="15" hidden="false" customHeight="false" outlineLevel="0" collapsed="false">
      <c r="A1775" s="48" t="str">
        <f aca="false">IF('Neue Artikel'!$A$36="","",'Neue Artikel'!$A$36&amp;"")</f>
        <v/>
      </c>
      <c r="B1775" s="48" t="str">
        <f aca="false">'Neue Artikel'!$B$36&amp;""</f>
        <v/>
      </c>
      <c r="C1775" s="48"/>
      <c r="D1775" s="48" t="s">
        <v>3019</v>
      </c>
      <c r="E1775" s="48"/>
      <c r="F1775" s="48"/>
      <c r="G1775" s="49" t="n">
        <f aca="false">N('Neue Artikel'!$G$36)</f>
        <v>0</v>
      </c>
      <c r="H1775" s="50" t="n">
        <f aca="false">MAX(0,IF(AND(Parameter!$B$21="Ja",ISNUMBER(Y1775)),Y1775,IF(Parameter!$B$20="Jahresanfang 2025 + Export",BO1775+BN1775,BN1775)))</f>
        <v>0</v>
      </c>
      <c r="I1775" s="50" t="n">
        <f aca="false">H1775*G1775</f>
        <v>0</v>
      </c>
      <c r="J1775" s="50" t="n">
        <f aca="false">BQ1775*Parameter!$B$18</f>
        <v>0</v>
      </c>
      <c r="K1775" s="51"/>
      <c r="L1775" s="52"/>
      <c r="M1775" s="50" t="n">
        <f aca="false">N('Neue Artikel'!$E$36)</f>
        <v>0</v>
      </c>
      <c r="N1775" s="50" t="n">
        <f aca="false">N('Neue Artikel'!$F$36)</f>
        <v>0</v>
      </c>
      <c r="O1775" s="53"/>
      <c r="P1775" s="48" t="str">
        <f aca="false">IF('Neue Artikel'!$H$36="","LOSE",UPPER(TRIM('Neue Artikel'!$H$36)))</f>
        <v>LOSE</v>
      </c>
      <c r="Q1775" s="50" t="n">
        <f aca="false">N('Neue Artikel'!$I$36)</f>
        <v>0</v>
      </c>
      <c r="R1775" s="53" t="n">
        <f aca="false">IF(BW1775=1,0,IFERROR(VLOOKUP(BU1775,'Gebinde-Kategorie'!$A$5:$N$45,13,0)+0,0))</f>
        <v>0</v>
      </c>
      <c r="S1775" s="54"/>
      <c r="T1775" s="55"/>
      <c r="U1775" s="55"/>
      <c r="V1775" s="55"/>
      <c r="W1775" s="48"/>
      <c r="X1775" s="50"/>
      <c r="Y1775" s="50"/>
      <c r="Z1775" s="48" t="str">
        <f aca="false">IF(A1775="","",IF(AND(Parameter!$B$21="Ja",ISNUMBER(W1775)),W1775,IF(BZ1775="2+3",IF(ISNUMBER(SEARCH("grosser Artikel",BR1775)),2,IFERROR(VLOOKUP(BU1775,Parameter!$F$35:$G$64,2,0),2)),IF(OR(BZ1775="Nein",BZ1775=""),"-",BZ1775))))</f>
        <v/>
      </c>
      <c r="AA1775" s="48" t="str">
        <f aca="false">IF('Neue Artikel'!$J$36="","",'Neue Artikel'!$J$36)</f>
        <v/>
      </c>
      <c r="AB1775" s="56"/>
      <c r="AC1775" s="50" t="n">
        <f aca="false">AT1775</f>
        <v>0</v>
      </c>
      <c r="AD1775" s="50" t="n">
        <f aca="false">MAX(AT1775,H1775)</f>
        <v>0</v>
      </c>
      <c r="AE1775" s="57"/>
      <c r="AF1775" s="50" t="n">
        <f aca="false">IF(LEFT(Cockpit!$C$5,1)="A",H1775,IF(CE1775=1,CF1775,IF(LEFT(Cockpit!$C$5,1)="B",AK1775,MAX(AK1775,H1775))))</f>
        <v>0</v>
      </c>
      <c r="AG1775" s="50" t="n">
        <f aca="false">IF(BW1775=1,0,ROUNDUP(AF1775/BV1775,0))</f>
        <v>0</v>
      </c>
      <c r="AH1775" s="52" t="n">
        <f aca="false">IF(CL1775&gt;0,CL1775*MAX(1,AF1775/X1775),IF(BW1775=1,IF(AF1775&lt;=0,0,CA1775*MAX(1,IF(H1775&gt;0,AF1775/H1775,1))),IF(R1775&gt;0,AG1775/R1775,0))/MAX(0.1,N(Parameter!$M$21)))</f>
        <v>0</v>
      </c>
      <c r="AI1775" s="50" t="n">
        <f aca="false">AH1775*BY1775</f>
        <v>0</v>
      </c>
      <c r="AJ1775" s="50" t="n">
        <f aca="false">AF1775*G1775</f>
        <v>0</v>
      </c>
      <c r="AK1775" s="50" t="n">
        <f aca="false">ROUNDUP(MAX(J1775/IF(CD1775&gt;0,CD1775,MAX(0.1,N(Cockpit!$C$6))),CG1775)/BV1775,0)*BV1775</f>
        <v>0</v>
      </c>
      <c r="AL1775" s="51" t="n">
        <f aca="false">IF(AI1775&gt;0,J1775/AI1775,-1)</f>
        <v>-1</v>
      </c>
      <c r="AM1775" s="51" t="str">
        <f aca="false">IF(AND(OR(CC1775="L1",CC1775="L23",CC1775="LIFT"),AI1775&gt;0),SUMIFS($AI$7:$AI$1843,$CC$7:$CC$1843,CC1775,$AL$7:$AL$1843,"&gt;"&amp;AL1775)+SUMIFS($AI$7:$AI$1843,$CC$7:$CC$1843,CC1775,$AL$7:$AL$1843,AL1775,$BT$7:$BT$1843,"&lt;="&amp;BT1775),"")</f>
        <v/>
      </c>
      <c r="AN1775" s="58" t="n">
        <f aca="false">IF(AM1775="",0,MAX(0,MIN(1,(IF(CC1775="L1",Parameter!$H$5,IF(CC1775="L23",Parameter!$H$6+Parameter!$H$7,Parameter!$H$5+Parameter!$H$6+Parameter!$H$7))-(AM1775-AI1775))/AI1775)))</f>
        <v>0</v>
      </c>
      <c r="AO1775" s="50" t="n">
        <f aca="false">IF(LEFT(Cockpit!$I$5,1)="A",H1775,IF(CE1775=1,CF1775,IF(LEFT(Cockpit!$I$5,1)="B",AT1775,MAX(AT1775,H1775))))</f>
        <v>0</v>
      </c>
      <c r="AP1775" s="50" t="n">
        <f aca="false">IF(BW1775=1,0,ROUNDUP(AO1775/BV1775,0))</f>
        <v>0</v>
      </c>
      <c r="AQ1775" s="52" t="n">
        <f aca="false">IF(CL1775&gt;0,CL1775*MAX(1,AO1775/X1775),IF(BW1775=1,IF(AO1775&lt;=0,0,CA1775*MAX(1,IF(H1775&gt;0,AO1775/H1775,1))),IF(R1775&gt;0,AP1775/R1775,0))/MAX(0.1,N(Parameter!$M$21)))</f>
        <v>0</v>
      </c>
      <c r="AR1775" s="50" t="n">
        <f aca="false">AQ1775*BY1775</f>
        <v>0</v>
      </c>
      <c r="AS1775" s="50" t="n">
        <f aca="false">AO1775*G1775</f>
        <v>0</v>
      </c>
      <c r="AT1775" s="50" t="n">
        <f aca="false">ROUNDUP(MAX(J1775/IF(CD1775&gt;0,CD1775,MAX(0.1,N(Cockpit!$I$6))),CG1775)/BV1775,0)*BV1775</f>
        <v>0</v>
      </c>
      <c r="AU1775" s="51" t="n">
        <f aca="false">IF(AR1775&gt;0,J1775/AR1775,-1)</f>
        <v>-1</v>
      </c>
      <c r="AV1775" s="51" t="str">
        <f aca="false">IF(AND(OR(CC1775="L1",CC1775="L23",CC1775="LIFT"),AR1775&gt;0),SUMIFS($AR$7:$AR$1843,$CC$7:$CC$1843,CC1775,$AU$7:$AU$1843,"&gt;"&amp;AU1775)+SUMIFS($AR$7:$AR$1843,$CC$7:$CC$1843,CC1775,$AU$7:$AU$1843,AU1775,$BT$7:$BT$1843,"&lt;="&amp;BT1775),"")</f>
        <v/>
      </c>
      <c r="AW1775" s="58" t="n">
        <f aca="false">IF(AV1775="",0,MAX(0,MIN(1,(IF(CC1775="L1",Parameter!$H$5,IF(CC1775="L23",Parameter!$H$6+Parameter!$H$7,Parameter!$H$5+Parameter!$H$6+Parameter!$H$7))-(AV1775-AR1775))/AR1775)))</f>
        <v>0</v>
      </c>
      <c r="AX1775" s="50" t="n">
        <f aca="false">IF(LEFT(Cockpit!$O$5,1)="A",H1775,IF(CE1775=1,CF1775,IF(LEFT(Cockpit!$O$5,1)="B",BC1775,MAX(BC1775,H1775))))</f>
        <v>0</v>
      </c>
      <c r="AY1775" s="50" t="n">
        <f aca="false">IF(BW1775=1,0,ROUNDUP(AX1775/BV1775,0))</f>
        <v>0</v>
      </c>
      <c r="AZ1775" s="52" t="n">
        <f aca="false">IF(CL1775&gt;0,CL1775*MAX(1,AX1775/X1775),IF(BW1775=1,IF(AX1775&lt;=0,0,CA1775*MAX(1,IF(H1775&gt;0,AX1775/H1775,1))),IF(R1775&gt;0,AY1775/R1775,0))/MAX(0.1,N(Parameter!$M$21)))</f>
        <v>0</v>
      </c>
      <c r="BA1775" s="50" t="n">
        <f aca="false">AZ1775*BY1775</f>
        <v>0</v>
      </c>
      <c r="BB1775" s="50" t="n">
        <f aca="false">AX1775*G1775</f>
        <v>0</v>
      </c>
      <c r="BC1775" s="50" t="n">
        <f aca="false">ROUNDUP(MAX(J1775/IF(CD1775&gt;0,CD1775,MAX(0.1,N(Cockpit!$O$6))),CG1775)/BV1775,0)*BV1775</f>
        <v>0</v>
      </c>
      <c r="BD1775" s="51" t="n">
        <f aca="false">IF(BA1775&gt;0,J1775/BA1775,-1)</f>
        <v>-1</v>
      </c>
      <c r="BE1775" s="51" t="str">
        <f aca="false">IF(AND(OR(CC1775="L1",CC1775="L23",CC1775="LIFT"),BA1775&gt;0),SUMIFS($BA$7:$BA$1843,$CC$7:$CC$1843,CC1775,$BD$7:$BD$1843,"&gt;"&amp;BD1775)+SUMIFS($BA$7:$BA$1843,$CC$7:$CC$1843,CC1775,$BD$7:$BD$1843,BD1775,$BT$7:$BT$1843,"&lt;="&amp;BT1775),"")</f>
        <v/>
      </c>
      <c r="BF1775" s="58" t="n">
        <f aca="false">IF(BE1775="",0,MAX(0,MIN(1,(IF(CC1775="L1",Parameter!$H$5,IF(CC1775="L23",Parameter!$H$6+Parameter!$H$7,Parameter!$H$5+Parameter!$H$6+Parameter!$H$7))-(BE1775-BA1775))/BA1775)))</f>
        <v>0</v>
      </c>
      <c r="BG1775" s="48" t="str">
        <f aca="false">IF(AI1775&lt;=0,"",IF(CC1775="Aussen","Aussenlager",IF(CC1775="-","Nicht im Lift",IF(AN1775&gt;=1,"Lift",IF(AN1775&lt;=0,"Aussenlager","teilweise")))))</f>
        <v/>
      </c>
      <c r="BH1775" s="48" t="str">
        <f aca="false">IF(AR1775&lt;=0,"",IF(CC1775="Aussen","Aussenlager",IF(CC1775="-","Nicht im Lift",IF(AW1775&gt;=1,"Lift",IF(AW1775&lt;=0,"Aussenlager","teilweise")))))</f>
        <v/>
      </c>
      <c r="BI1775" s="48" t="str">
        <f aca="false">IF(BA1775&lt;=0,"",IF(CC1775="Aussen","Aussenlager",IF(CC1775="-","Nicht im Lift",IF(BF1775&gt;=1,"Lift",IF(BF1775&lt;=0,"Aussenlager","teilweise")))))</f>
        <v/>
      </c>
      <c r="BJ1775" s="48" t="str">
        <f aca="false">IF(A1775="","",IF(BS1775=1,"Neu; ","")&amp;IF(AND(BS1775=0,BN1775&lt;0),"negativer Bestand (Export "&amp;BN1775&amp;"); ","")&amp;IF(J1775&lt;=0,"Kein Verbrauch; ","")&amp;IF(CL1775&gt;0,"Lift "&amp;W1775&amp;" lt. Liftbericht (Fach "&amp;X1775&amp;" Stk); ",IF(BX1775=1,"Gebinde geschätzt ("&amp;T1775&amp;"); ",IF(BW1775=1,"Lose – Tablare geschätzt; ","")))&amp;IF(H1775&gt;AT1775,"Überbestand "&amp;ROUND(H1775-AT1775,0)&amp;" Stk / CHF "&amp;ROUND((H1775-AT1775)*G1775,0)&amp;"; ","")&amp;IF(AND(CE1775=1,CF1775&lt;CG1775),"MAX &lt; MB+LG; ","")&amp;IF(AND(CK1775&gt;0,CJ1775*10&gt;CK1775),"zu hoch für Tablar; ","")&amp;IF(AND(BS1775=0,OR(CE1775=1,AA1775&lt;&gt;"",U1775&lt;&gt;"",V1775&lt;&gt;"",AB1775&lt;&gt;"")),"manuell übersteuert; ","")&amp;IF(AND(BW1775=0,R1775=0),"Gebinde unbekannt / Stellmass fehlt; ","")&amp;IF(AND(BW1775=0,N(V1775)&lt;=0,N(Q1775)&lt;=0),"Menge pro Gebinde fehlt (Ist = 1 Gebinde); ","")&amp;BR1775)</f>
        <v/>
      </c>
      <c r="BK1775" s="48"/>
      <c r="BL1775" s="48"/>
      <c r="BM1775" s="55"/>
      <c r="BN1775" s="50" t="n">
        <f aca="false">N('Neue Artikel'!$D$36)</f>
        <v>0</v>
      </c>
      <c r="BO1775" s="50" t="n">
        <v>0</v>
      </c>
      <c r="BP1775" s="49" t="n">
        <v>0</v>
      </c>
      <c r="BQ1775" s="50" t="n">
        <f aca="false">N('Neue Artikel'!$C$36)/Parameter!$B$18</f>
        <v>0</v>
      </c>
      <c r="BR1775" s="48"/>
      <c r="BS1775" s="53" t="n">
        <v>1</v>
      </c>
      <c r="BT1775" s="53" t="n">
        <v>1775</v>
      </c>
      <c r="BU1775" s="48" t="str">
        <f aca="false">IF(U1775&lt;&gt;"",UPPER(TRIM(U1775)),IF(BX1775=1,UPPER(VLOOKUP(T1775,Parameter!$I$27:$K$29,2,0)),IF(P1775="","LOSE",P1775)))</f>
        <v>LOSE</v>
      </c>
      <c r="BV1775" s="50" t="n">
        <f aca="false">IF(BU1775="LOSE",1,IF(N(V1775)&gt;0,V1775,IF(BX1775=1,MAX(1,N(VLOOKUP(T1775,Parameter!$I$27:$K$29,3,0)),H1775,N(N1775)),IF(N(Q1775)&gt;0,Q1775,MAX(1,H1775)))))</f>
        <v>1</v>
      </c>
      <c r="BW1775" s="53" t="n">
        <f aca="false">IF(BU1775="LOSE",1,0)</f>
        <v>1</v>
      </c>
      <c r="BX1775" s="53" t="n">
        <f aca="false">IF(AND(U1775="",OR(P1775="",P1775="LOSE"),T1775&lt;&gt;"",N(S1775)&lt;=0,ISNUMBER(MATCH(T1775,Parameter!$I$27:$I$29,0))),1,0)</f>
        <v>0</v>
      </c>
      <c r="BY1775" s="53" t="n">
        <f aca="false">IF(CL1775&gt;0,INDEX(Parameter!$H$5:$H$7,W1775)/INDEX(Parameter!$E$5:$E$7,W1775),IF(AND(BW1775=0,N(IFERROR(VLOOKUP(BU1775,'Gebinde-Kategorie'!$A$5:$N$45,14,0),0))&gt;0),VLOOKUP(BU1775,'Gebinde-Kategorie'!$A$5:$N$45,14,0)*10+Parameter!$M$23,Parameter!$M$24))</f>
        <v>235</v>
      </c>
      <c r="BZ1775" s="48" t="str">
        <f aca="false">IF(AND(Parameter!$B$19="Ja",E1775&lt;&gt;"",ISNUMBER(MATCH(E1775,Parameter!$I$35:$I$52,0))),VLOOKUP(E1775,Parameter!$I$35:$J$52,2,0),IFERROR(VLOOKUP(D1775,Parameter!$A$35:$C$64,2,0),"Nein"))</f>
        <v>2+3</v>
      </c>
      <c r="CA1775" s="52" t="n">
        <f aca="false">IF(BW1775=0,0,IF(N(S1775)&gt;0,S1775,IFERROR(VLOOKUP(D1775,Parameter!$A$35:$C$64,3,0)+0,0)))</f>
        <v>0.15</v>
      </c>
      <c r="CB1775" s="48" t="str">
        <f aca="false">IF(AA1775&lt;&gt;"",AA1775,Z1775)</f>
        <v/>
      </c>
      <c r="CC1775" s="48" t="str">
        <f aca="false">IF(OR(CB1775=1,CB1775=2,CB1775=3),IF(Parameter!$E$27="Ja","LIFT",IF(CB1775=1,"L1","L23")),IF(CB1775="Aussen","Aussen","-"))</f>
        <v>-</v>
      </c>
      <c r="CD1775" s="59" t="n">
        <f aca="false">IF(N(AB1775)&gt;0,AB1775,0)</f>
        <v>0</v>
      </c>
      <c r="CE1775" s="53" t="n">
        <f aca="false">IF(ISNUMBER(AE1775),1,0)</f>
        <v>0</v>
      </c>
      <c r="CF1775" s="50" t="n">
        <f aca="false">N(AE1775)</f>
        <v>0</v>
      </c>
      <c r="CG1775" s="50" t="n">
        <f aca="false">N(M1775)+N(N1775)</f>
        <v>0</v>
      </c>
      <c r="CH1775" s="50" t="n">
        <f aca="false">ROUNDUP(H1775/BV1775,0)</f>
        <v>0</v>
      </c>
      <c r="CI1775" s="50" t="n">
        <f aca="false">ROUNDUP(CF1775/BV1775,0)</f>
        <v>0</v>
      </c>
      <c r="CJ1775" s="53" t="n">
        <f aca="false">IF(BW1775=1,0,IFERROR(VLOOKUP(BU1775,'Gebinde-Kategorie'!$A$5:$N$45,5,0)+0,0))</f>
        <v>0</v>
      </c>
      <c r="CK1775" s="53" t="n">
        <f aca="false">IFERROR(IF(OR(CB1775=1,CB1775=2,CB1775=3),N(INDEX(Parameter!$I$5:$I$7,CB1775)),0),0)</f>
        <v>0</v>
      </c>
      <c r="CL1775" s="52" t="n">
        <f aca="false">IF(AND(Parameter!$B$21="Ja",ISNUMBER(W1775),N(X1775)&gt;0),IFERROR(N(INDEX(Parameter!$L$5:$L$7,W1775))*INDEX(Parameter!$E$5:$E$7,W1775)*X1775/SUMIFS($X$7:$X$1843,$W$7:$W$1843,W1775),0),0)</f>
        <v>0</v>
      </c>
    </row>
    <row r="1776" customFormat="false" ht="15" hidden="false" customHeight="false" outlineLevel="0" collapsed="false">
      <c r="A1776" s="48" t="str">
        <f aca="false">IF('Neue Artikel'!$A$37="","",'Neue Artikel'!$A$37&amp;"")</f>
        <v/>
      </c>
      <c r="B1776" s="48" t="str">
        <f aca="false">'Neue Artikel'!$B$37&amp;""</f>
        <v/>
      </c>
      <c r="C1776" s="48"/>
      <c r="D1776" s="48" t="s">
        <v>3019</v>
      </c>
      <c r="E1776" s="48"/>
      <c r="F1776" s="48"/>
      <c r="G1776" s="49" t="n">
        <f aca="false">N('Neue Artikel'!$G$37)</f>
        <v>0</v>
      </c>
      <c r="H1776" s="50" t="n">
        <f aca="false">MAX(0,IF(AND(Parameter!$B$21="Ja",ISNUMBER(Y1776)),Y1776,IF(Parameter!$B$20="Jahresanfang 2025 + Export",BO1776+BN1776,BN1776)))</f>
        <v>0</v>
      </c>
      <c r="I1776" s="50" t="n">
        <f aca="false">H1776*G1776</f>
        <v>0</v>
      </c>
      <c r="J1776" s="50" t="n">
        <f aca="false">BQ1776*Parameter!$B$18</f>
        <v>0</v>
      </c>
      <c r="K1776" s="51"/>
      <c r="L1776" s="52"/>
      <c r="M1776" s="50" t="n">
        <f aca="false">N('Neue Artikel'!$E$37)</f>
        <v>0</v>
      </c>
      <c r="N1776" s="50" t="n">
        <f aca="false">N('Neue Artikel'!$F$37)</f>
        <v>0</v>
      </c>
      <c r="O1776" s="53"/>
      <c r="P1776" s="48" t="str">
        <f aca="false">IF('Neue Artikel'!$H$37="","LOSE",UPPER(TRIM('Neue Artikel'!$H$37)))</f>
        <v>LOSE</v>
      </c>
      <c r="Q1776" s="50" t="n">
        <f aca="false">N('Neue Artikel'!$I$37)</f>
        <v>0</v>
      </c>
      <c r="R1776" s="53" t="n">
        <f aca="false">IF(BW1776=1,0,IFERROR(VLOOKUP(BU1776,'Gebinde-Kategorie'!$A$5:$N$45,13,0)+0,0))</f>
        <v>0</v>
      </c>
      <c r="S1776" s="54"/>
      <c r="T1776" s="55"/>
      <c r="U1776" s="55"/>
      <c r="V1776" s="55"/>
      <c r="W1776" s="48"/>
      <c r="X1776" s="50"/>
      <c r="Y1776" s="50"/>
      <c r="Z1776" s="48" t="str">
        <f aca="false">IF(A1776="","",IF(AND(Parameter!$B$21="Ja",ISNUMBER(W1776)),W1776,IF(BZ1776="2+3",IF(ISNUMBER(SEARCH("grosser Artikel",BR1776)),2,IFERROR(VLOOKUP(BU1776,Parameter!$F$35:$G$64,2,0),2)),IF(OR(BZ1776="Nein",BZ1776=""),"-",BZ1776))))</f>
        <v/>
      </c>
      <c r="AA1776" s="48" t="str">
        <f aca="false">IF('Neue Artikel'!$J$37="","",'Neue Artikel'!$J$37)</f>
        <v/>
      </c>
      <c r="AB1776" s="56"/>
      <c r="AC1776" s="50" t="n">
        <f aca="false">AT1776</f>
        <v>0</v>
      </c>
      <c r="AD1776" s="50" t="n">
        <f aca="false">MAX(AT1776,H1776)</f>
        <v>0</v>
      </c>
      <c r="AE1776" s="57"/>
      <c r="AF1776" s="50" t="n">
        <f aca="false">IF(LEFT(Cockpit!$C$5,1)="A",H1776,IF(CE1776=1,CF1776,IF(LEFT(Cockpit!$C$5,1)="B",AK1776,MAX(AK1776,H1776))))</f>
        <v>0</v>
      </c>
      <c r="AG1776" s="50" t="n">
        <f aca="false">IF(BW1776=1,0,ROUNDUP(AF1776/BV1776,0))</f>
        <v>0</v>
      </c>
      <c r="AH1776" s="52" t="n">
        <f aca="false">IF(CL1776&gt;0,CL1776*MAX(1,AF1776/X1776),IF(BW1776=1,IF(AF1776&lt;=0,0,CA1776*MAX(1,IF(H1776&gt;0,AF1776/H1776,1))),IF(R1776&gt;0,AG1776/R1776,0))/MAX(0.1,N(Parameter!$M$21)))</f>
        <v>0</v>
      </c>
      <c r="AI1776" s="50" t="n">
        <f aca="false">AH1776*BY1776</f>
        <v>0</v>
      </c>
      <c r="AJ1776" s="50" t="n">
        <f aca="false">AF1776*G1776</f>
        <v>0</v>
      </c>
      <c r="AK1776" s="50" t="n">
        <f aca="false">ROUNDUP(MAX(J1776/IF(CD1776&gt;0,CD1776,MAX(0.1,N(Cockpit!$C$6))),CG1776)/BV1776,0)*BV1776</f>
        <v>0</v>
      </c>
      <c r="AL1776" s="51" t="n">
        <f aca="false">IF(AI1776&gt;0,J1776/AI1776,-1)</f>
        <v>-1</v>
      </c>
      <c r="AM1776" s="51" t="str">
        <f aca="false">IF(AND(OR(CC1776="L1",CC1776="L23",CC1776="LIFT"),AI1776&gt;0),SUMIFS($AI$7:$AI$1843,$CC$7:$CC$1843,CC1776,$AL$7:$AL$1843,"&gt;"&amp;AL1776)+SUMIFS($AI$7:$AI$1843,$CC$7:$CC$1843,CC1776,$AL$7:$AL$1843,AL1776,$BT$7:$BT$1843,"&lt;="&amp;BT1776),"")</f>
        <v/>
      </c>
      <c r="AN1776" s="58" t="n">
        <f aca="false">IF(AM1776="",0,MAX(0,MIN(1,(IF(CC1776="L1",Parameter!$H$5,IF(CC1776="L23",Parameter!$H$6+Parameter!$H$7,Parameter!$H$5+Parameter!$H$6+Parameter!$H$7))-(AM1776-AI1776))/AI1776)))</f>
        <v>0</v>
      </c>
      <c r="AO1776" s="50" t="n">
        <f aca="false">IF(LEFT(Cockpit!$I$5,1)="A",H1776,IF(CE1776=1,CF1776,IF(LEFT(Cockpit!$I$5,1)="B",AT1776,MAX(AT1776,H1776))))</f>
        <v>0</v>
      </c>
      <c r="AP1776" s="50" t="n">
        <f aca="false">IF(BW1776=1,0,ROUNDUP(AO1776/BV1776,0))</f>
        <v>0</v>
      </c>
      <c r="AQ1776" s="52" t="n">
        <f aca="false">IF(CL1776&gt;0,CL1776*MAX(1,AO1776/X1776),IF(BW1776=1,IF(AO1776&lt;=0,0,CA1776*MAX(1,IF(H1776&gt;0,AO1776/H1776,1))),IF(R1776&gt;0,AP1776/R1776,0))/MAX(0.1,N(Parameter!$M$21)))</f>
        <v>0</v>
      </c>
      <c r="AR1776" s="50" t="n">
        <f aca="false">AQ1776*BY1776</f>
        <v>0</v>
      </c>
      <c r="AS1776" s="50" t="n">
        <f aca="false">AO1776*G1776</f>
        <v>0</v>
      </c>
      <c r="AT1776" s="50" t="n">
        <f aca="false">ROUNDUP(MAX(J1776/IF(CD1776&gt;0,CD1776,MAX(0.1,N(Cockpit!$I$6))),CG1776)/BV1776,0)*BV1776</f>
        <v>0</v>
      </c>
      <c r="AU1776" s="51" t="n">
        <f aca="false">IF(AR1776&gt;0,J1776/AR1776,-1)</f>
        <v>-1</v>
      </c>
      <c r="AV1776" s="51" t="str">
        <f aca="false">IF(AND(OR(CC1776="L1",CC1776="L23",CC1776="LIFT"),AR1776&gt;0),SUMIFS($AR$7:$AR$1843,$CC$7:$CC$1843,CC1776,$AU$7:$AU$1843,"&gt;"&amp;AU1776)+SUMIFS($AR$7:$AR$1843,$CC$7:$CC$1843,CC1776,$AU$7:$AU$1843,AU1776,$BT$7:$BT$1843,"&lt;="&amp;BT1776),"")</f>
        <v/>
      </c>
      <c r="AW1776" s="58" t="n">
        <f aca="false">IF(AV1776="",0,MAX(0,MIN(1,(IF(CC1776="L1",Parameter!$H$5,IF(CC1776="L23",Parameter!$H$6+Parameter!$H$7,Parameter!$H$5+Parameter!$H$6+Parameter!$H$7))-(AV1776-AR1776))/AR1776)))</f>
        <v>0</v>
      </c>
      <c r="AX1776" s="50" t="n">
        <f aca="false">IF(LEFT(Cockpit!$O$5,1)="A",H1776,IF(CE1776=1,CF1776,IF(LEFT(Cockpit!$O$5,1)="B",BC1776,MAX(BC1776,H1776))))</f>
        <v>0</v>
      </c>
      <c r="AY1776" s="50" t="n">
        <f aca="false">IF(BW1776=1,0,ROUNDUP(AX1776/BV1776,0))</f>
        <v>0</v>
      </c>
      <c r="AZ1776" s="52" t="n">
        <f aca="false">IF(CL1776&gt;0,CL1776*MAX(1,AX1776/X1776),IF(BW1776=1,IF(AX1776&lt;=0,0,CA1776*MAX(1,IF(H1776&gt;0,AX1776/H1776,1))),IF(R1776&gt;0,AY1776/R1776,0))/MAX(0.1,N(Parameter!$M$21)))</f>
        <v>0</v>
      </c>
      <c r="BA1776" s="50" t="n">
        <f aca="false">AZ1776*BY1776</f>
        <v>0</v>
      </c>
      <c r="BB1776" s="50" t="n">
        <f aca="false">AX1776*G1776</f>
        <v>0</v>
      </c>
      <c r="BC1776" s="50" t="n">
        <f aca="false">ROUNDUP(MAX(J1776/IF(CD1776&gt;0,CD1776,MAX(0.1,N(Cockpit!$O$6))),CG1776)/BV1776,0)*BV1776</f>
        <v>0</v>
      </c>
      <c r="BD1776" s="51" t="n">
        <f aca="false">IF(BA1776&gt;0,J1776/BA1776,-1)</f>
        <v>-1</v>
      </c>
      <c r="BE1776" s="51" t="str">
        <f aca="false">IF(AND(OR(CC1776="L1",CC1776="L23",CC1776="LIFT"),BA1776&gt;0),SUMIFS($BA$7:$BA$1843,$CC$7:$CC$1843,CC1776,$BD$7:$BD$1843,"&gt;"&amp;BD1776)+SUMIFS($BA$7:$BA$1843,$CC$7:$CC$1843,CC1776,$BD$7:$BD$1843,BD1776,$BT$7:$BT$1843,"&lt;="&amp;BT1776),"")</f>
        <v/>
      </c>
      <c r="BF1776" s="58" t="n">
        <f aca="false">IF(BE1776="",0,MAX(0,MIN(1,(IF(CC1776="L1",Parameter!$H$5,IF(CC1776="L23",Parameter!$H$6+Parameter!$H$7,Parameter!$H$5+Parameter!$H$6+Parameter!$H$7))-(BE1776-BA1776))/BA1776)))</f>
        <v>0</v>
      </c>
      <c r="BG1776" s="48" t="str">
        <f aca="false">IF(AI1776&lt;=0,"",IF(CC1776="Aussen","Aussenlager",IF(CC1776="-","Nicht im Lift",IF(AN1776&gt;=1,"Lift",IF(AN1776&lt;=0,"Aussenlager","teilweise")))))</f>
        <v/>
      </c>
      <c r="BH1776" s="48" t="str">
        <f aca="false">IF(AR1776&lt;=0,"",IF(CC1776="Aussen","Aussenlager",IF(CC1776="-","Nicht im Lift",IF(AW1776&gt;=1,"Lift",IF(AW1776&lt;=0,"Aussenlager","teilweise")))))</f>
        <v/>
      </c>
      <c r="BI1776" s="48" t="str">
        <f aca="false">IF(BA1776&lt;=0,"",IF(CC1776="Aussen","Aussenlager",IF(CC1776="-","Nicht im Lift",IF(BF1776&gt;=1,"Lift",IF(BF1776&lt;=0,"Aussenlager","teilweise")))))</f>
        <v/>
      </c>
      <c r="BJ1776" s="48" t="str">
        <f aca="false">IF(A1776="","",IF(BS1776=1,"Neu; ","")&amp;IF(AND(BS1776=0,BN1776&lt;0),"negativer Bestand (Export "&amp;BN1776&amp;"); ","")&amp;IF(J1776&lt;=0,"Kein Verbrauch; ","")&amp;IF(CL1776&gt;0,"Lift "&amp;W1776&amp;" lt. Liftbericht (Fach "&amp;X1776&amp;" Stk); ",IF(BX1776=1,"Gebinde geschätzt ("&amp;T1776&amp;"); ",IF(BW1776=1,"Lose – Tablare geschätzt; ","")))&amp;IF(H1776&gt;AT1776,"Überbestand "&amp;ROUND(H1776-AT1776,0)&amp;" Stk / CHF "&amp;ROUND((H1776-AT1776)*G1776,0)&amp;"; ","")&amp;IF(AND(CE1776=1,CF1776&lt;CG1776),"MAX &lt; MB+LG; ","")&amp;IF(AND(CK1776&gt;0,CJ1776*10&gt;CK1776),"zu hoch für Tablar; ","")&amp;IF(AND(BS1776=0,OR(CE1776=1,AA1776&lt;&gt;"",U1776&lt;&gt;"",V1776&lt;&gt;"",AB1776&lt;&gt;"")),"manuell übersteuert; ","")&amp;IF(AND(BW1776=0,R1776=0),"Gebinde unbekannt / Stellmass fehlt; ","")&amp;IF(AND(BW1776=0,N(V1776)&lt;=0,N(Q1776)&lt;=0),"Menge pro Gebinde fehlt (Ist = 1 Gebinde); ","")&amp;BR1776)</f>
        <v/>
      </c>
      <c r="BK1776" s="48"/>
      <c r="BL1776" s="48"/>
      <c r="BM1776" s="55"/>
      <c r="BN1776" s="50" t="n">
        <f aca="false">N('Neue Artikel'!$D$37)</f>
        <v>0</v>
      </c>
      <c r="BO1776" s="50" t="n">
        <v>0</v>
      </c>
      <c r="BP1776" s="49" t="n">
        <v>0</v>
      </c>
      <c r="BQ1776" s="50" t="n">
        <f aca="false">N('Neue Artikel'!$C$37)/Parameter!$B$18</f>
        <v>0</v>
      </c>
      <c r="BR1776" s="48"/>
      <c r="BS1776" s="53" t="n">
        <v>1</v>
      </c>
      <c r="BT1776" s="53" t="n">
        <v>1776</v>
      </c>
      <c r="BU1776" s="48" t="str">
        <f aca="false">IF(U1776&lt;&gt;"",UPPER(TRIM(U1776)),IF(BX1776=1,UPPER(VLOOKUP(T1776,Parameter!$I$27:$K$29,2,0)),IF(P1776="","LOSE",P1776)))</f>
        <v>LOSE</v>
      </c>
      <c r="BV1776" s="50" t="n">
        <f aca="false">IF(BU1776="LOSE",1,IF(N(V1776)&gt;0,V1776,IF(BX1776=1,MAX(1,N(VLOOKUP(T1776,Parameter!$I$27:$K$29,3,0)),H1776,N(N1776)),IF(N(Q1776)&gt;0,Q1776,MAX(1,H1776)))))</f>
        <v>1</v>
      </c>
      <c r="BW1776" s="53" t="n">
        <f aca="false">IF(BU1776="LOSE",1,0)</f>
        <v>1</v>
      </c>
      <c r="BX1776" s="53" t="n">
        <f aca="false">IF(AND(U1776="",OR(P1776="",P1776="LOSE"),T1776&lt;&gt;"",N(S1776)&lt;=0,ISNUMBER(MATCH(T1776,Parameter!$I$27:$I$29,0))),1,0)</f>
        <v>0</v>
      </c>
      <c r="BY1776" s="53" t="n">
        <f aca="false">IF(CL1776&gt;0,INDEX(Parameter!$H$5:$H$7,W1776)/INDEX(Parameter!$E$5:$E$7,W1776),IF(AND(BW1776=0,N(IFERROR(VLOOKUP(BU1776,'Gebinde-Kategorie'!$A$5:$N$45,14,0),0))&gt;0),VLOOKUP(BU1776,'Gebinde-Kategorie'!$A$5:$N$45,14,0)*10+Parameter!$M$23,Parameter!$M$24))</f>
        <v>235</v>
      </c>
      <c r="BZ1776" s="48" t="str">
        <f aca="false">IF(AND(Parameter!$B$19="Ja",E1776&lt;&gt;"",ISNUMBER(MATCH(E1776,Parameter!$I$35:$I$52,0))),VLOOKUP(E1776,Parameter!$I$35:$J$52,2,0),IFERROR(VLOOKUP(D1776,Parameter!$A$35:$C$64,2,0),"Nein"))</f>
        <v>2+3</v>
      </c>
      <c r="CA1776" s="52" t="n">
        <f aca="false">IF(BW1776=0,0,IF(N(S1776)&gt;0,S1776,IFERROR(VLOOKUP(D1776,Parameter!$A$35:$C$64,3,0)+0,0)))</f>
        <v>0.15</v>
      </c>
      <c r="CB1776" s="48" t="str">
        <f aca="false">IF(AA1776&lt;&gt;"",AA1776,Z1776)</f>
        <v/>
      </c>
      <c r="CC1776" s="48" t="str">
        <f aca="false">IF(OR(CB1776=1,CB1776=2,CB1776=3),IF(Parameter!$E$27="Ja","LIFT",IF(CB1776=1,"L1","L23")),IF(CB1776="Aussen","Aussen","-"))</f>
        <v>-</v>
      </c>
      <c r="CD1776" s="59" t="n">
        <f aca="false">IF(N(AB1776)&gt;0,AB1776,0)</f>
        <v>0</v>
      </c>
      <c r="CE1776" s="53" t="n">
        <f aca="false">IF(ISNUMBER(AE1776),1,0)</f>
        <v>0</v>
      </c>
      <c r="CF1776" s="50" t="n">
        <f aca="false">N(AE1776)</f>
        <v>0</v>
      </c>
      <c r="CG1776" s="50" t="n">
        <f aca="false">N(M1776)+N(N1776)</f>
        <v>0</v>
      </c>
      <c r="CH1776" s="50" t="n">
        <f aca="false">ROUNDUP(H1776/BV1776,0)</f>
        <v>0</v>
      </c>
      <c r="CI1776" s="50" t="n">
        <f aca="false">ROUNDUP(CF1776/BV1776,0)</f>
        <v>0</v>
      </c>
      <c r="CJ1776" s="53" t="n">
        <f aca="false">IF(BW1776=1,0,IFERROR(VLOOKUP(BU1776,'Gebinde-Kategorie'!$A$5:$N$45,5,0)+0,0))</f>
        <v>0</v>
      </c>
      <c r="CK1776" s="53" t="n">
        <f aca="false">IFERROR(IF(OR(CB1776=1,CB1776=2,CB1776=3),N(INDEX(Parameter!$I$5:$I$7,CB1776)),0),0)</f>
        <v>0</v>
      </c>
      <c r="CL1776" s="52" t="n">
        <f aca="false">IF(AND(Parameter!$B$21="Ja",ISNUMBER(W1776),N(X1776)&gt;0),IFERROR(N(INDEX(Parameter!$L$5:$L$7,W1776))*INDEX(Parameter!$E$5:$E$7,W1776)*X1776/SUMIFS($X$7:$X$1843,$W$7:$W$1843,W1776),0),0)</f>
        <v>0</v>
      </c>
    </row>
    <row r="1777" customFormat="false" ht="15" hidden="false" customHeight="false" outlineLevel="0" collapsed="false">
      <c r="A1777" s="48" t="str">
        <f aca="false">IF('Neue Artikel'!$A$38="","",'Neue Artikel'!$A$38&amp;"")</f>
        <v/>
      </c>
      <c r="B1777" s="48" t="str">
        <f aca="false">'Neue Artikel'!$B$38&amp;""</f>
        <v/>
      </c>
      <c r="C1777" s="48"/>
      <c r="D1777" s="48" t="s">
        <v>3019</v>
      </c>
      <c r="E1777" s="48"/>
      <c r="F1777" s="48"/>
      <c r="G1777" s="49" t="n">
        <f aca="false">N('Neue Artikel'!$G$38)</f>
        <v>0</v>
      </c>
      <c r="H1777" s="50" t="n">
        <f aca="false">MAX(0,IF(AND(Parameter!$B$21="Ja",ISNUMBER(Y1777)),Y1777,IF(Parameter!$B$20="Jahresanfang 2025 + Export",BO1777+BN1777,BN1777)))</f>
        <v>0</v>
      </c>
      <c r="I1777" s="50" t="n">
        <f aca="false">H1777*G1777</f>
        <v>0</v>
      </c>
      <c r="J1777" s="50" t="n">
        <f aca="false">BQ1777*Parameter!$B$18</f>
        <v>0</v>
      </c>
      <c r="K1777" s="51"/>
      <c r="L1777" s="52"/>
      <c r="M1777" s="50" t="n">
        <f aca="false">N('Neue Artikel'!$E$38)</f>
        <v>0</v>
      </c>
      <c r="N1777" s="50" t="n">
        <f aca="false">N('Neue Artikel'!$F$38)</f>
        <v>0</v>
      </c>
      <c r="O1777" s="53"/>
      <c r="P1777" s="48" t="str">
        <f aca="false">IF('Neue Artikel'!$H$38="","LOSE",UPPER(TRIM('Neue Artikel'!$H$38)))</f>
        <v>LOSE</v>
      </c>
      <c r="Q1777" s="50" t="n">
        <f aca="false">N('Neue Artikel'!$I$38)</f>
        <v>0</v>
      </c>
      <c r="R1777" s="53" t="n">
        <f aca="false">IF(BW1777=1,0,IFERROR(VLOOKUP(BU1777,'Gebinde-Kategorie'!$A$5:$N$45,13,0)+0,0))</f>
        <v>0</v>
      </c>
      <c r="S1777" s="54"/>
      <c r="T1777" s="55"/>
      <c r="U1777" s="55"/>
      <c r="V1777" s="55"/>
      <c r="W1777" s="48"/>
      <c r="X1777" s="50"/>
      <c r="Y1777" s="50"/>
      <c r="Z1777" s="48" t="str">
        <f aca="false">IF(A1777="","",IF(AND(Parameter!$B$21="Ja",ISNUMBER(W1777)),W1777,IF(BZ1777="2+3",IF(ISNUMBER(SEARCH("grosser Artikel",BR1777)),2,IFERROR(VLOOKUP(BU1777,Parameter!$F$35:$G$64,2,0),2)),IF(OR(BZ1777="Nein",BZ1777=""),"-",BZ1777))))</f>
        <v/>
      </c>
      <c r="AA1777" s="48" t="str">
        <f aca="false">IF('Neue Artikel'!$J$38="","",'Neue Artikel'!$J$38)</f>
        <v/>
      </c>
      <c r="AB1777" s="56"/>
      <c r="AC1777" s="50" t="n">
        <f aca="false">AT1777</f>
        <v>0</v>
      </c>
      <c r="AD1777" s="50" t="n">
        <f aca="false">MAX(AT1777,H1777)</f>
        <v>0</v>
      </c>
      <c r="AE1777" s="57"/>
      <c r="AF1777" s="50" t="n">
        <f aca="false">IF(LEFT(Cockpit!$C$5,1)="A",H1777,IF(CE1777=1,CF1777,IF(LEFT(Cockpit!$C$5,1)="B",AK1777,MAX(AK1777,H1777))))</f>
        <v>0</v>
      </c>
      <c r="AG1777" s="50" t="n">
        <f aca="false">IF(BW1777=1,0,ROUNDUP(AF1777/BV1777,0))</f>
        <v>0</v>
      </c>
      <c r="AH1777" s="52" t="n">
        <f aca="false">IF(CL1777&gt;0,CL1777*MAX(1,AF1777/X1777),IF(BW1777=1,IF(AF1777&lt;=0,0,CA1777*MAX(1,IF(H1777&gt;0,AF1777/H1777,1))),IF(R1777&gt;0,AG1777/R1777,0))/MAX(0.1,N(Parameter!$M$21)))</f>
        <v>0</v>
      </c>
      <c r="AI1777" s="50" t="n">
        <f aca="false">AH1777*BY1777</f>
        <v>0</v>
      </c>
      <c r="AJ1777" s="50" t="n">
        <f aca="false">AF1777*G1777</f>
        <v>0</v>
      </c>
      <c r="AK1777" s="50" t="n">
        <f aca="false">ROUNDUP(MAX(J1777/IF(CD1777&gt;0,CD1777,MAX(0.1,N(Cockpit!$C$6))),CG1777)/BV1777,0)*BV1777</f>
        <v>0</v>
      </c>
      <c r="AL1777" s="51" t="n">
        <f aca="false">IF(AI1777&gt;0,J1777/AI1777,-1)</f>
        <v>-1</v>
      </c>
      <c r="AM1777" s="51" t="str">
        <f aca="false">IF(AND(OR(CC1777="L1",CC1777="L23",CC1777="LIFT"),AI1777&gt;0),SUMIFS($AI$7:$AI$1843,$CC$7:$CC$1843,CC1777,$AL$7:$AL$1843,"&gt;"&amp;AL1777)+SUMIFS($AI$7:$AI$1843,$CC$7:$CC$1843,CC1777,$AL$7:$AL$1843,AL1777,$BT$7:$BT$1843,"&lt;="&amp;BT1777),"")</f>
        <v/>
      </c>
      <c r="AN1777" s="58" t="n">
        <f aca="false">IF(AM1777="",0,MAX(0,MIN(1,(IF(CC1777="L1",Parameter!$H$5,IF(CC1777="L23",Parameter!$H$6+Parameter!$H$7,Parameter!$H$5+Parameter!$H$6+Parameter!$H$7))-(AM1777-AI1777))/AI1777)))</f>
        <v>0</v>
      </c>
      <c r="AO1777" s="50" t="n">
        <f aca="false">IF(LEFT(Cockpit!$I$5,1)="A",H1777,IF(CE1777=1,CF1777,IF(LEFT(Cockpit!$I$5,1)="B",AT1777,MAX(AT1777,H1777))))</f>
        <v>0</v>
      </c>
      <c r="AP1777" s="50" t="n">
        <f aca="false">IF(BW1777=1,0,ROUNDUP(AO1777/BV1777,0))</f>
        <v>0</v>
      </c>
      <c r="AQ1777" s="52" t="n">
        <f aca="false">IF(CL1777&gt;0,CL1777*MAX(1,AO1777/X1777),IF(BW1777=1,IF(AO1777&lt;=0,0,CA1777*MAX(1,IF(H1777&gt;0,AO1777/H1777,1))),IF(R1777&gt;0,AP1777/R1777,0))/MAX(0.1,N(Parameter!$M$21)))</f>
        <v>0</v>
      </c>
      <c r="AR1777" s="50" t="n">
        <f aca="false">AQ1777*BY1777</f>
        <v>0</v>
      </c>
      <c r="AS1777" s="50" t="n">
        <f aca="false">AO1777*G1777</f>
        <v>0</v>
      </c>
      <c r="AT1777" s="50" t="n">
        <f aca="false">ROUNDUP(MAX(J1777/IF(CD1777&gt;0,CD1777,MAX(0.1,N(Cockpit!$I$6))),CG1777)/BV1777,0)*BV1777</f>
        <v>0</v>
      </c>
      <c r="AU1777" s="51" t="n">
        <f aca="false">IF(AR1777&gt;0,J1777/AR1777,-1)</f>
        <v>-1</v>
      </c>
      <c r="AV1777" s="51" t="str">
        <f aca="false">IF(AND(OR(CC1777="L1",CC1777="L23",CC1777="LIFT"),AR1777&gt;0),SUMIFS($AR$7:$AR$1843,$CC$7:$CC$1843,CC1777,$AU$7:$AU$1843,"&gt;"&amp;AU1777)+SUMIFS($AR$7:$AR$1843,$CC$7:$CC$1843,CC1777,$AU$7:$AU$1843,AU1777,$BT$7:$BT$1843,"&lt;="&amp;BT1777),"")</f>
        <v/>
      </c>
      <c r="AW1777" s="58" t="n">
        <f aca="false">IF(AV1777="",0,MAX(0,MIN(1,(IF(CC1777="L1",Parameter!$H$5,IF(CC1777="L23",Parameter!$H$6+Parameter!$H$7,Parameter!$H$5+Parameter!$H$6+Parameter!$H$7))-(AV1777-AR1777))/AR1777)))</f>
        <v>0</v>
      </c>
      <c r="AX1777" s="50" t="n">
        <f aca="false">IF(LEFT(Cockpit!$O$5,1)="A",H1777,IF(CE1777=1,CF1777,IF(LEFT(Cockpit!$O$5,1)="B",BC1777,MAX(BC1777,H1777))))</f>
        <v>0</v>
      </c>
      <c r="AY1777" s="50" t="n">
        <f aca="false">IF(BW1777=1,0,ROUNDUP(AX1777/BV1777,0))</f>
        <v>0</v>
      </c>
      <c r="AZ1777" s="52" t="n">
        <f aca="false">IF(CL1777&gt;0,CL1777*MAX(1,AX1777/X1777),IF(BW1777=1,IF(AX1777&lt;=0,0,CA1777*MAX(1,IF(H1777&gt;0,AX1777/H1777,1))),IF(R1777&gt;0,AY1777/R1777,0))/MAX(0.1,N(Parameter!$M$21)))</f>
        <v>0</v>
      </c>
      <c r="BA1777" s="50" t="n">
        <f aca="false">AZ1777*BY1777</f>
        <v>0</v>
      </c>
      <c r="BB1777" s="50" t="n">
        <f aca="false">AX1777*G1777</f>
        <v>0</v>
      </c>
      <c r="BC1777" s="50" t="n">
        <f aca="false">ROUNDUP(MAX(J1777/IF(CD1777&gt;0,CD1777,MAX(0.1,N(Cockpit!$O$6))),CG1777)/BV1777,0)*BV1777</f>
        <v>0</v>
      </c>
      <c r="BD1777" s="51" t="n">
        <f aca="false">IF(BA1777&gt;0,J1777/BA1777,-1)</f>
        <v>-1</v>
      </c>
      <c r="BE1777" s="51" t="str">
        <f aca="false">IF(AND(OR(CC1777="L1",CC1777="L23",CC1777="LIFT"),BA1777&gt;0),SUMIFS($BA$7:$BA$1843,$CC$7:$CC$1843,CC1777,$BD$7:$BD$1843,"&gt;"&amp;BD1777)+SUMIFS($BA$7:$BA$1843,$CC$7:$CC$1843,CC1777,$BD$7:$BD$1843,BD1777,$BT$7:$BT$1843,"&lt;="&amp;BT1777),"")</f>
        <v/>
      </c>
      <c r="BF1777" s="58" t="n">
        <f aca="false">IF(BE1777="",0,MAX(0,MIN(1,(IF(CC1777="L1",Parameter!$H$5,IF(CC1777="L23",Parameter!$H$6+Parameter!$H$7,Parameter!$H$5+Parameter!$H$6+Parameter!$H$7))-(BE1777-BA1777))/BA1777)))</f>
        <v>0</v>
      </c>
      <c r="BG1777" s="48" t="str">
        <f aca="false">IF(AI1777&lt;=0,"",IF(CC1777="Aussen","Aussenlager",IF(CC1777="-","Nicht im Lift",IF(AN1777&gt;=1,"Lift",IF(AN1777&lt;=0,"Aussenlager","teilweise")))))</f>
        <v/>
      </c>
      <c r="BH1777" s="48" t="str">
        <f aca="false">IF(AR1777&lt;=0,"",IF(CC1777="Aussen","Aussenlager",IF(CC1777="-","Nicht im Lift",IF(AW1777&gt;=1,"Lift",IF(AW1777&lt;=0,"Aussenlager","teilweise")))))</f>
        <v/>
      </c>
      <c r="BI1777" s="48" t="str">
        <f aca="false">IF(BA1777&lt;=0,"",IF(CC1777="Aussen","Aussenlager",IF(CC1777="-","Nicht im Lift",IF(BF1777&gt;=1,"Lift",IF(BF1777&lt;=0,"Aussenlager","teilweise")))))</f>
        <v/>
      </c>
      <c r="BJ1777" s="48" t="str">
        <f aca="false">IF(A1777="","",IF(BS1777=1,"Neu; ","")&amp;IF(AND(BS1777=0,BN1777&lt;0),"negativer Bestand (Export "&amp;BN1777&amp;"); ","")&amp;IF(J1777&lt;=0,"Kein Verbrauch; ","")&amp;IF(CL1777&gt;0,"Lift "&amp;W1777&amp;" lt. Liftbericht (Fach "&amp;X1777&amp;" Stk); ",IF(BX1777=1,"Gebinde geschätzt ("&amp;T1777&amp;"); ",IF(BW1777=1,"Lose – Tablare geschätzt; ","")))&amp;IF(H1777&gt;AT1777,"Überbestand "&amp;ROUND(H1777-AT1777,0)&amp;" Stk / CHF "&amp;ROUND((H1777-AT1777)*G1777,0)&amp;"; ","")&amp;IF(AND(CE1777=1,CF1777&lt;CG1777),"MAX &lt; MB+LG; ","")&amp;IF(AND(CK1777&gt;0,CJ1777*10&gt;CK1777),"zu hoch für Tablar; ","")&amp;IF(AND(BS1777=0,OR(CE1777=1,AA1777&lt;&gt;"",U1777&lt;&gt;"",V1777&lt;&gt;"",AB1777&lt;&gt;"")),"manuell übersteuert; ","")&amp;IF(AND(BW1777=0,R1777=0),"Gebinde unbekannt / Stellmass fehlt; ","")&amp;IF(AND(BW1777=0,N(V1777)&lt;=0,N(Q1777)&lt;=0),"Menge pro Gebinde fehlt (Ist = 1 Gebinde); ","")&amp;BR1777)</f>
        <v/>
      </c>
      <c r="BK1777" s="48"/>
      <c r="BL1777" s="48"/>
      <c r="BM1777" s="55"/>
      <c r="BN1777" s="50" t="n">
        <f aca="false">N('Neue Artikel'!$D$38)</f>
        <v>0</v>
      </c>
      <c r="BO1777" s="50" t="n">
        <v>0</v>
      </c>
      <c r="BP1777" s="49" t="n">
        <v>0</v>
      </c>
      <c r="BQ1777" s="50" t="n">
        <f aca="false">N('Neue Artikel'!$C$38)/Parameter!$B$18</f>
        <v>0</v>
      </c>
      <c r="BR1777" s="48"/>
      <c r="BS1777" s="53" t="n">
        <v>1</v>
      </c>
      <c r="BT1777" s="53" t="n">
        <v>1777</v>
      </c>
      <c r="BU1777" s="48" t="str">
        <f aca="false">IF(U1777&lt;&gt;"",UPPER(TRIM(U1777)),IF(BX1777=1,UPPER(VLOOKUP(T1777,Parameter!$I$27:$K$29,2,0)),IF(P1777="","LOSE",P1777)))</f>
        <v>LOSE</v>
      </c>
      <c r="BV1777" s="50" t="n">
        <f aca="false">IF(BU1777="LOSE",1,IF(N(V1777)&gt;0,V1777,IF(BX1777=1,MAX(1,N(VLOOKUP(T1777,Parameter!$I$27:$K$29,3,0)),H1777,N(N1777)),IF(N(Q1777)&gt;0,Q1777,MAX(1,H1777)))))</f>
        <v>1</v>
      </c>
      <c r="BW1777" s="53" t="n">
        <f aca="false">IF(BU1777="LOSE",1,0)</f>
        <v>1</v>
      </c>
      <c r="BX1777" s="53" t="n">
        <f aca="false">IF(AND(U1777="",OR(P1777="",P1777="LOSE"),T1777&lt;&gt;"",N(S1777)&lt;=0,ISNUMBER(MATCH(T1777,Parameter!$I$27:$I$29,0))),1,0)</f>
        <v>0</v>
      </c>
      <c r="BY1777" s="53" t="n">
        <f aca="false">IF(CL1777&gt;0,INDEX(Parameter!$H$5:$H$7,W1777)/INDEX(Parameter!$E$5:$E$7,W1777),IF(AND(BW1777=0,N(IFERROR(VLOOKUP(BU1777,'Gebinde-Kategorie'!$A$5:$N$45,14,0),0))&gt;0),VLOOKUP(BU1777,'Gebinde-Kategorie'!$A$5:$N$45,14,0)*10+Parameter!$M$23,Parameter!$M$24))</f>
        <v>235</v>
      </c>
      <c r="BZ1777" s="48" t="str">
        <f aca="false">IF(AND(Parameter!$B$19="Ja",E1777&lt;&gt;"",ISNUMBER(MATCH(E1777,Parameter!$I$35:$I$52,0))),VLOOKUP(E1777,Parameter!$I$35:$J$52,2,0),IFERROR(VLOOKUP(D1777,Parameter!$A$35:$C$64,2,0),"Nein"))</f>
        <v>2+3</v>
      </c>
      <c r="CA1777" s="52" t="n">
        <f aca="false">IF(BW1777=0,0,IF(N(S1777)&gt;0,S1777,IFERROR(VLOOKUP(D1777,Parameter!$A$35:$C$64,3,0)+0,0)))</f>
        <v>0.15</v>
      </c>
      <c r="CB1777" s="48" t="str">
        <f aca="false">IF(AA1777&lt;&gt;"",AA1777,Z1777)</f>
        <v/>
      </c>
      <c r="CC1777" s="48" t="str">
        <f aca="false">IF(OR(CB1777=1,CB1777=2,CB1777=3),IF(Parameter!$E$27="Ja","LIFT",IF(CB1777=1,"L1","L23")),IF(CB1777="Aussen","Aussen","-"))</f>
        <v>-</v>
      </c>
      <c r="CD1777" s="59" t="n">
        <f aca="false">IF(N(AB1777)&gt;0,AB1777,0)</f>
        <v>0</v>
      </c>
      <c r="CE1777" s="53" t="n">
        <f aca="false">IF(ISNUMBER(AE1777),1,0)</f>
        <v>0</v>
      </c>
      <c r="CF1777" s="50" t="n">
        <f aca="false">N(AE1777)</f>
        <v>0</v>
      </c>
      <c r="CG1777" s="50" t="n">
        <f aca="false">N(M1777)+N(N1777)</f>
        <v>0</v>
      </c>
      <c r="CH1777" s="50" t="n">
        <f aca="false">ROUNDUP(H1777/BV1777,0)</f>
        <v>0</v>
      </c>
      <c r="CI1777" s="50" t="n">
        <f aca="false">ROUNDUP(CF1777/BV1777,0)</f>
        <v>0</v>
      </c>
      <c r="CJ1777" s="53" t="n">
        <f aca="false">IF(BW1777=1,0,IFERROR(VLOOKUP(BU1777,'Gebinde-Kategorie'!$A$5:$N$45,5,0)+0,0))</f>
        <v>0</v>
      </c>
      <c r="CK1777" s="53" t="n">
        <f aca="false">IFERROR(IF(OR(CB1777=1,CB1777=2,CB1777=3),N(INDEX(Parameter!$I$5:$I$7,CB1777)),0),0)</f>
        <v>0</v>
      </c>
      <c r="CL1777" s="52" t="n">
        <f aca="false">IF(AND(Parameter!$B$21="Ja",ISNUMBER(W1777),N(X1777)&gt;0),IFERROR(N(INDEX(Parameter!$L$5:$L$7,W1777))*INDEX(Parameter!$E$5:$E$7,W1777)*X1777/SUMIFS($X$7:$X$1843,$W$7:$W$1843,W1777),0),0)</f>
        <v>0</v>
      </c>
    </row>
    <row r="1778" customFormat="false" ht="15" hidden="false" customHeight="false" outlineLevel="0" collapsed="false">
      <c r="A1778" s="48" t="str">
        <f aca="false">IF('Neue Artikel'!$A$39="","",'Neue Artikel'!$A$39&amp;"")</f>
        <v/>
      </c>
      <c r="B1778" s="48" t="str">
        <f aca="false">'Neue Artikel'!$B$39&amp;""</f>
        <v/>
      </c>
      <c r="C1778" s="48"/>
      <c r="D1778" s="48" t="s">
        <v>3019</v>
      </c>
      <c r="E1778" s="48"/>
      <c r="F1778" s="48"/>
      <c r="G1778" s="49" t="n">
        <f aca="false">N('Neue Artikel'!$G$39)</f>
        <v>0</v>
      </c>
      <c r="H1778" s="50" t="n">
        <f aca="false">MAX(0,IF(AND(Parameter!$B$21="Ja",ISNUMBER(Y1778)),Y1778,IF(Parameter!$B$20="Jahresanfang 2025 + Export",BO1778+BN1778,BN1778)))</f>
        <v>0</v>
      </c>
      <c r="I1778" s="50" t="n">
        <f aca="false">H1778*G1778</f>
        <v>0</v>
      </c>
      <c r="J1778" s="50" t="n">
        <f aca="false">BQ1778*Parameter!$B$18</f>
        <v>0</v>
      </c>
      <c r="K1778" s="51"/>
      <c r="L1778" s="52"/>
      <c r="M1778" s="50" t="n">
        <f aca="false">N('Neue Artikel'!$E$39)</f>
        <v>0</v>
      </c>
      <c r="N1778" s="50" t="n">
        <f aca="false">N('Neue Artikel'!$F$39)</f>
        <v>0</v>
      </c>
      <c r="O1778" s="53"/>
      <c r="P1778" s="48" t="str">
        <f aca="false">IF('Neue Artikel'!$H$39="","LOSE",UPPER(TRIM('Neue Artikel'!$H$39)))</f>
        <v>LOSE</v>
      </c>
      <c r="Q1778" s="50" t="n">
        <f aca="false">N('Neue Artikel'!$I$39)</f>
        <v>0</v>
      </c>
      <c r="R1778" s="53" t="n">
        <f aca="false">IF(BW1778=1,0,IFERROR(VLOOKUP(BU1778,'Gebinde-Kategorie'!$A$5:$N$45,13,0)+0,0))</f>
        <v>0</v>
      </c>
      <c r="S1778" s="54"/>
      <c r="T1778" s="55"/>
      <c r="U1778" s="55"/>
      <c r="V1778" s="55"/>
      <c r="W1778" s="48"/>
      <c r="X1778" s="50"/>
      <c r="Y1778" s="50"/>
      <c r="Z1778" s="48" t="str">
        <f aca="false">IF(A1778="","",IF(AND(Parameter!$B$21="Ja",ISNUMBER(W1778)),W1778,IF(BZ1778="2+3",IF(ISNUMBER(SEARCH("grosser Artikel",BR1778)),2,IFERROR(VLOOKUP(BU1778,Parameter!$F$35:$G$64,2,0),2)),IF(OR(BZ1778="Nein",BZ1778=""),"-",BZ1778))))</f>
        <v/>
      </c>
      <c r="AA1778" s="48" t="str">
        <f aca="false">IF('Neue Artikel'!$J$39="","",'Neue Artikel'!$J$39)</f>
        <v/>
      </c>
      <c r="AB1778" s="56"/>
      <c r="AC1778" s="50" t="n">
        <f aca="false">AT1778</f>
        <v>0</v>
      </c>
      <c r="AD1778" s="50" t="n">
        <f aca="false">MAX(AT1778,H1778)</f>
        <v>0</v>
      </c>
      <c r="AE1778" s="57"/>
      <c r="AF1778" s="50" t="n">
        <f aca="false">IF(LEFT(Cockpit!$C$5,1)="A",H1778,IF(CE1778=1,CF1778,IF(LEFT(Cockpit!$C$5,1)="B",AK1778,MAX(AK1778,H1778))))</f>
        <v>0</v>
      </c>
      <c r="AG1778" s="50" t="n">
        <f aca="false">IF(BW1778=1,0,ROUNDUP(AF1778/BV1778,0))</f>
        <v>0</v>
      </c>
      <c r="AH1778" s="52" t="n">
        <f aca="false">IF(CL1778&gt;0,CL1778*MAX(1,AF1778/X1778),IF(BW1778=1,IF(AF1778&lt;=0,0,CA1778*MAX(1,IF(H1778&gt;0,AF1778/H1778,1))),IF(R1778&gt;0,AG1778/R1778,0))/MAX(0.1,N(Parameter!$M$21)))</f>
        <v>0</v>
      </c>
      <c r="AI1778" s="50" t="n">
        <f aca="false">AH1778*BY1778</f>
        <v>0</v>
      </c>
      <c r="AJ1778" s="50" t="n">
        <f aca="false">AF1778*G1778</f>
        <v>0</v>
      </c>
      <c r="AK1778" s="50" t="n">
        <f aca="false">ROUNDUP(MAX(J1778/IF(CD1778&gt;0,CD1778,MAX(0.1,N(Cockpit!$C$6))),CG1778)/BV1778,0)*BV1778</f>
        <v>0</v>
      </c>
      <c r="AL1778" s="51" t="n">
        <f aca="false">IF(AI1778&gt;0,J1778/AI1778,-1)</f>
        <v>-1</v>
      </c>
      <c r="AM1778" s="51" t="str">
        <f aca="false">IF(AND(OR(CC1778="L1",CC1778="L23",CC1778="LIFT"),AI1778&gt;0),SUMIFS($AI$7:$AI$1843,$CC$7:$CC$1843,CC1778,$AL$7:$AL$1843,"&gt;"&amp;AL1778)+SUMIFS($AI$7:$AI$1843,$CC$7:$CC$1843,CC1778,$AL$7:$AL$1843,AL1778,$BT$7:$BT$1843,"&lt;="&amp;BT1778),"")</f>
        <v/>
      </c>
      <c r="AN1778" s="58" t="n">
        <f aca="false">IF(AM1778="",0,MAX(0,MIN(1,(IF(CC1778="L1",Parameter!$H$5,IF(CC1778="L23",Parameter!$H$6+Parameter!$H$7,Parameter!$H$5+Parameter!$H$6+Parameter!$H$7))-(AM1778-AI1778))/AI1778)))</f>
        <v>0</v>
      </c>
      <c r="AO1778" s="50" t="n">
        <f aca="false">IF(LEFT(Cockpit!$I$5,1)="A",H1778,IF(CE1778=1,CF1778,IF(LEFT(Cockpit!$I$5,1)="B",AT1778,MAX(AT1778,H1778))))</f>
        <v>0</v>
      </c>
      <c r="AP1778" s="50" t="n">
        <f aca="false">IF(BW1778=1,0,ROUNDUP(AO1778/BV1778,0))</f>
        <v>0</v>
      </c>
      <c r="AQ1778" s="52" t="n">
        <f aca="false">IF(CL1778&gt;0,CL1778*MAX(1,AO1778/X1778),IF(BW1778=1,IF(AO1778&lt;=0,0,CA1778*MAX(1,IF(H1778&gt;0,AO1778/H1778,1))),IF(R1778&gt;0,AP1778/R1778,0))/MAX(0.1,N(Parameter!$M$21)))</f>
        <v>0</v>
      </c>
      <c r="AR1778" s="50" t="n">
        <f aca="false">AQ1778*BY1778</f>
        <v>0</v>
      </c>
      <c r="AS1778" s="50" t="n">
        <f aca="false">AO1778*G1778</f>
        <v>0</v>
      </c>
      <c r="AT1778" s="50" t="n">
        <f aca="false">ROUNDUP(MAX(J1778/IF(CD1778&gt;0,CD1778,MAX(0.1,N(Cockpit!$I$6))),CG1778)/BV1778,0)*BV1778</f>
        <v>0</v>
      </c>
      <c r="AU1778" s="51" t="n">
        <f aca="false">IF(AR1778&gt;0,J1778/AR1778,-1)</f>
        <v>-1</v>
      </c>
      <c r="AV1778" s="51" t="str">
        <f aca="false">IF(AND(OR(CC1778="L1",CC1778="L23",CC1778="LIFT"),AR1778&gt;0),SUMIFS($AR$7:$AR$1843,$CC$7:$CC$1843,CC1778,$AU$7:$AU$1843,"&gt;"&amp;AU1778)+SUMIFS($AR$7:$AR$1843,$CC$7:$CC$1843,CC1778,$AU$7:$AU$1843,AU1778,$BT$7:$BT$1843,"&lt;="&amp;BT1778),"")</f>
        <v/>
      </c>
      <c r="AW1778" s="58" t="n">
        <f aca="false">IF(AV1778="",0,MAX(0,MIN(1,(IF(CC1778="L1",Parameter!$H$5,IF(CC1778="L23",Parameter!$H$6+Parameter!$H$7,Parameter!$H$5+Parameter!$H$6+Parameter!$H$7))-(AV1778-AR1778))/AR1778)))</f>
        <v>0</v>
      </c>
      <c r="AX1778" s="50" t="n">
        <f aca="false">IF(LEFT(Cockpit!$O$5,1)="A",H1778,IF(CE1778=1,CF1778,IF(LEFT(Cockpit!$O$5,1)="B",BC1778,MAX(BC1778,H1778))))</f>
        <v>0</v>
      </c>
      <c r="AY1778" s="50" t="n">
        <f aca="false">IF(BW1778=1,0,ROUNDUP(AX1778/BV1778,0))</f>
        <v>0</v>
      </c>
      <c r="AZ1778" s="52" t="n">
        <f aca="false">IF(CL1778&gt;0,CL1778*MAX(1,AX1778/X1778),IF(BW1778=1,IF(AX1778&lt;=0,0,CA1778*MAX(1,IF(H1778&gt;0,AX1778/H1778,1))),IF(R1778&gt;0,AY1778/R1778,0))/MAX(0.1,N(Parameter!$M$21)))</f>
        <v>0</v>
      </c>
      <c r="BA1778" s="50" t="n">
        <f aca="false">AZ1778*BY1778</f>
        <v>0</v>
      </c>
      <c r="BB1778" s="50" t="n">
        <f aca="false">AX1778*G1778</f>
        <v>0</v>
      </c>
      <c r="BC1778" s="50" t="n">
        <f aca="false">ROUNDUP(MAX(J1778/IF(CD1778&gt;0,CD1778,MAX(0.1,N(Cockpit!$O$6))),CG1778)/BV1778,0)*BV1778</f>
        <v>0</v>
      </c>
      <c r="BD1778" s="51" t="n">
        <f aca="false">IF(BA1778&gt;0,J1778/BA1778,-1)</f>
        <v>-1</v>
      </c>
      <c r="BE1778" s="51" t="str">
        <f aca="false">IF(AND(OR(CC1778="L1",CC1778="L23",CC1778="LIFT"),BA1778&gt;0),SUMIFS($BA$7:$BA$1843,$CC$7:$CC$1843,CC1778,$BD$7:$BD$1843,"&gt;"&amp;BD1778)+SUMIFS($BA$7:$BA$1843,$CC$7:$CC$1843,CC1778,$BD$7:$BD$1843,BD1778,$BT$7:$BT$1843,"&lt;="&amp;BT1778),"")</f>
        <v/>
      </c>
      <c r="BF1778" s="58" t="n">
        <f aca="false">IF(BE1778="",0,MAX(0,MIN(1,(IF(CC1778="L1",Parameter!$H$5,IF(CC1778="L23",Parameter!$H$6+Parameter!$H$7,Parameter!$H$5+Parameter!$H$6+Parameter!$H$7))-(BE1778-BA1778))/BA1778)))</f>
        <v>0</v>
      </c>
      <c r="BG1778" s="48" t="str">
        <f aca="false">IF(AI1778&lt;=0,"",IF(CC1778="Aussen","Aussenlager",IF(CC1778="-","Nicht im Lift",IF(AN1778&gt;=1,"Lift",IF(AN1778&lt;=0,"Aussenlager","teilweise")))))</f>
        <v/>
      </c>
      <c r="BH1778" s="48" t="str">
        <f aca="false">IF(AR1778&lt;=0,"",IF(CC1778="Aussen","Aussenlager",IF(CC1778="-","Nicht im Lift",IF(AW1778&gt;=1,"Lift",IF(AW1778&lt;=0,"Aussenlager","teilweise")))))</f>
        <v/>
      </c>
      <c r="BI1778" s="48" t="str">
        <f aca="false">IF(BA1778&lt;=0,"",IF(CC1778="Aussen","Aussenlager",IF(CC1778="-","Nicht im Lift",IF(BF1778&gt;=1,"Lift",IF(BF1778&lt;=0,"Aussenlager","teilweise")))))</f>
        <v/>
      </c>
      <c r="BJ1778" s="48" t="str">
        <f aca="false">IF(A1778="","",IF(BS1778=1,"Neu; ","")&amp;IF(AND(BS1778=0,BN1778&lt;0),"negativer Bestand (Export "&amp;BN1778&amp;"); ","")&amp;IF(J1778&lt;=0,"Kein Verbrauch; ","")&amp;IF(CL1778&gt;0,"Lift "&amp;W1778&amp;" lt. Liftbericht (Fach "&amp;X1778&amp;" Stk); ",IF(BX1778=1,"Gebinde geschätzt ("&amp;T1778&amp;"); ",IF(BW1778=1,"Lose – Tablare geschätzt; ","")))&amp;IF(H1778&gt;AT1778,"Überbestand "&amp;ROUND(H1778-AT1778,0)&amp;" Stk / CHF "&amp;ROUND((H1778-AT1778)*G1778,0)&amp;"; ","")&amp;IF(AND(CE1778=1,CF1778&lt;CG1778),"MAX &lt; MB+LG; ","")&amp;IF(AND(CK1778&gt;0,CJ1778*10&gt;CK1778),"zu hoch für Tablar; ","")&amp;IF(AND(BS1778=0,OR(CE1778=1,AA1778&lt;&gt;"",U1778&lt;&gt;"",V1778&lt;&gt;"",AB1778&lt;&gt;"")),"manuell übersteuert; ","")&amp;IF(AND(BW1778=0,R1778=0),"Gebinde unbekannt / Stellmass fehlt; ","")&amp;IF(AND(BW1778=0,N(V1778)&lt;=0,N(Q1778)&lt;=0),"Menge pro Gebinde fehlt (Ist = 1 Gebinde); ","")&amp;BR1778)</f>
        <v/>
      </c>
      <c r="BK1778" s="48"/>
      <c r="BL1778" s="48"/>
      <c r="BM1778" s="55"/>
      <c r="BN1778" s="50" t="n">
        <f aca="false">N('Neue Artikel'!$D$39)</f>
        <v>0</v>
      </c>
      <c r="BO1778" s="50" t="n">
        <v>0</v>
      </c>
      <c r="BP1778" s="49" t="n">
        <v>0</v>
      </c>
      <c r="BQ1778" s="50" t="n">
        <f aca="false">N('Neue Artikel'!$C$39)/Parameter!$B$18</f>
        <v>0</v>
      </c>
      <c r="BR1778" s="48"/>
      <c r="BS1778" s="53" t="n">
        <v>1</v>
      </c>
      <c r="BT1778" s="53" t="n">
        <v>1778</v>
      </c>
      <c r="BU1778" s="48" t="str">
        <f aca="false">IF(U1778&lt;&gt;"",UPPER(TRIM(U1778)),IF(BX1778=1,UPPER(VLOOKUP(T1778,Parameter!$I$27:$K$29,2,0)),IF(P1778="","LOSE",P1778)))</f>
        <v>LOSE</v>
      </c>
      <c r="BV1778" s="50" t="n">
        <f aca="false">IF(BU1778="LOSE",1,IF(N(V1778)&gt;0,V1778,IF(BX1778=1,MAX(1,N(VLOOKUP(T1778,Parameter!$I$27:$K$29,3,0)),H1778,N(N1778)),IF(N(Q1778)&gt;0,Q1778,MAX(1,H1778)))))</f>
        <v>1</v>
      </c>
      <c r="BW1778" s="53" t="n">
        <f aca="false">IF(BU1778="LOSE",1,0)</f>
        <v>1</v>
      </c>
      <c r="BX1778" s="53" t="n">
        <f aca="false">IF(AND(U1778="",OR(P1778="",P1778="LOSE"),T1778&lt;&gt;"",N(S1778)&lt;=0,ISNUMBER(MATCH(T1778,Parameter!$I$27:$I$29,0))),1,0)</f>
        <v>0</v>
      </c>
      <c r="BY1778" s="53" t="n">
        <f aca="false">IF(CL1778&gt;0,INDEX(Parameter!$H$5:$H$7,W1778)/INDEX(Parameter!$E$5:$E$7,W1778),IF(AND(BW1778=0,N(IFERROR(VLOOKUP(BU1778,'Gebinde-Kategorie'!$A$5:$N$45,14,0),0))&gt;0),VLOOKUP(BU1778,'Gebinde-Kategorie'!$A$5:$N$45,14,0)*10+Parameter!$M$23,Parameter!$M$24))</f>
        <v>235</v>
      </c>
      <c r="BZ1778" s="48" t="str">
        <f aca="false">IF(AND(Parameter!$B$19="Ja",E1778&lt;&gt;"",ISNUMBER(MATCH(E1778,Parameter!$I$35:$I$52,0))),VLOOKUP(E1778,Parameter!$I$35:$J$52,2,0),IFERROR(VLOOKUP(D1778,Parameter!$A$35:$C$64,2,0),"Nein"))</f>
        <v>2+3</v>
      </c>
      <c r="CA1778" s="52" t="n">
        <f aca="false">IF(BW1778=0,0,IF(N(S1778)&gt;0,S1778,IFERROR(VLOOKUP(D1778,Parameter!$A$35:$C$64,3,0)+0,0)))</f>
        <v>0.15</v>
      </c>
      <c r="CB1778" s="48" t="str">
        <f aca="false">IF(AA1778&lt;&gt;"",AA1778,Z1778)</f>
        <v/>
      </c>
      <c r="CC1778" s="48" t="str">
        <f aca="false">IF(OR(CB1778=1,CB1778=2,CB1778=3),IF(Parameter!$E$27="Ja","LIFT",IF(CB1778=1,"L1","L23")),IF(CB1778="Aussen","Aussen","-"))</f>
        <v>-</v>
      </c>
      <c r="CD1778" s="59" t="n">
        <f aca="false">IF(N(AB1778)&gt;0,AB1778,0)</f>
        <v>0</v>
      </c>
      <c r="CE1778" s="53" t="n">
        <f aca="false">IF(ISNUMBER(AE1778),1,0)</f>
        <v>0</v>
      </c>
      <c r="CF1778" s="50" t="n">
        <f aca="false">N(AE1778)</f>
        <v>0</v>
      </c>
      <c r="CG1778" s="50" t="n">
        <f aca="false">N(M1778)+N(N1778)</f>
        <v>0</v>
      </c>
      <c r="CH1778" s="50" t="n">
        <f aca="false">ROUNDUP(H1778/BV1778,0)</f>
        <v>0</v>
      </c>
      <c r="CI1778" s="50" t="n">
        <f aca="false">ROUNDUP(CF1778/BV1778,0)</f>
        <v>0</v>
      </c>
      <c r="CJ1778" s="53" t="n">
        <f aca="false">IF(BW1778=1,0,IFERROR(VLOOKUP(BU1778,'Gebinde-Kategorie'!$A$5:$N$45,5,0)+0,0))</f>
        <v>0</v>
      </c>
      <c r="CK1778" s="53" t="n">
        <f aca="false">IFERROR(IF(OR(CB1778=1,CB1778=2,CB1778=3),N(INDEX(Parameter!$I$5:$I$7,CB1778)),0),0)</f>
        <v>0</v>
      </c>
      <c r="CL1778" s="52" t="n">
        <f aca="false">IF(AND(Parameter!$B$21="Ja",ISNUMBER(W1778),N(X1778)&gt;0),IFERROR(N(INDEX(Parameter!$L$5:$L$7,W1778))*INDEX(Parameter!$E$5:$E$7,W1778)*X1778/SUMIFS($X$7:$X$1843,$W$7:$W$1843,W1778),0),0)</f>
        <v>0</v>
      </c>
    </row>
    <row r="1779" customFormat="false" ht="15" hidden="false" customHeight="false" outlineLevel="0" collapsed="false">
      <c r="A1779" s="48" t="str">
        <f aca="false">IF('Neue Artikel'!$A$40="","",'Neue Artikel'!$A$40&amp;"")</f>
        <v/>
      </c>
      <c r="B1779" s="48" t="str">
        <f aca="false">'Neue Artikel'!$B$40&amp;""</f>
        <v/>
      </c>
      <c r="C1779" s="48"/>
      <c r="D1779" s="48" t="s">
        <v>3019</v>
      </c>
      <c r="E1779" s="48"/>
      <c r="F1779" s="48"/>
      <c r="G1779" s="49" t="n">
        <f aca="false">N('Neue Artikel'!$G$40)</f>
        <v>0</v>
      </c>
      <c r="H1779" s="50" t="n">
        <f aca="false">MAX(0,IF(AND(Parameter!$B$21="Ja",ISNUMBER(Y1779)),Y1779,IF(Parameter!$B$20="Jahresanfang 2025 + Export",BO1779+BN1779,BN1779)))</f>
        <v>0</v>
      </c>
      <c r="I1779" s="50" t="n">
        <f aca="false">H1779*G1779</f>
        <v>0</v>
      </c>
      <c r="J1779" s="50" t="n">
        <f aca="false">BQ1779*Parameter!$B$18</f>
        <v>0</v>
      </c>
      <c r="K1779" s="51"/>
      <c r="L1779" s="52"/>
      <c r="M1779" s="50" t="n">
        <f aca="false">N('Neue Artikel'!$E$40)</f>
        <v>0</v>
      </c>
      <c r="N1779" s="50" t="n">
        <f aca="false">N('Neue Artikel'!$F$40)</f>
        <v>0</v>
      </c>
      <c r="O1779" s="53"/>
      <c r="P1779" s="48" t="str">
        <f aca="false">IF('Neue Artikel'!$H$40="","LOSE",UPPER(TRIM('Neue Artikel'!$H$40)))</f>
        <v>LOSE</v>
      </c>
      <c r="Q1779" s="50" t="n">
        <f aca="false">N('Neue Artikel'!$I$40)</f>
        <v>0</v>
      </c>
      <c r="R1779" s="53" t="n">
        <f aca="false">IF(BW1779=1,0,IFERROR(VLOOKUP(BU1779,'Gebinde-Kategorie'!$A$5:$N$45,13,0)+0,0))</f>
        <v>0</v>
      </c>
      <c r="S1779" s="54"/>
      <c r="T1779" s="55"/>
      <c r="U1779" s="55"/>
      <c r="V1779" s="55"/>
      <c r="W1779" s="48"/>
      <c r="X1779" s="50"/>
      <c r="Y1779" s="50"/>
      <c r="Z1779" s="48" t="str">
        <f aca="false">IF(A1779="","",IF(AND(Parameter!$B$21="Ja",ISNUMBER(W1779)),W1779,IF(BZ1779="2+3",IF(ISNUMBER(SEARCH("grosser Artikel",BR1779)),2,IFERROR(VLOOKUP(BU1779,Parameter!$F$35:$G$64,2,0),2)),IF(OR(BZ1779="Nein",BZ1779=""),"-",BZ1779))))</f>
        <v/>
      </c>
      <c r="AA1779" s="48" t="str">
        <f aca="false">IF('Neue Artikel'!$J$40="","",'Neue Artikel'!$J$40)</f>
        <v/>
      </c>
      <c r="AB1779" s="56"/>
      <c r="AC1779" s="50" t="n">
        <f aca="false">AT1779</f>
        <v>0</v>
      </c>
      <c r="AD1779" s="50" t="n">
        <f aca="false">MAX(AT1779,H1779)</f>
        <v>0</v>
      </c>
      <c r="AE1779" s="57"/>
      <c r="AF1779" s="50" t="n">
        <f aca="false">IF(LEFT(Cockpit!$C$5,1)="A",H1779,IF(CE1779=1,CF1779,IF(LEFT(Cockpit!$C$5,1)="B",AK1779,MAX(AK1779,H1779))))</f>
        <v>0</v>
      </c>
      <c r="AG1779" s="50" t="n">
        <f aca="false">IF(BW1779=1,0,ROUNDUP(AF1779/BV1779,0))</f>
        <v>0</v>
      </c>
      <c r="AH1779" s="52" t="n">
        <f aca="false">IF(CL1779&gt;0,CL1779*MAX(1,AF1779/X1779),IF(BW1779=1,IF(AF1779&lt;=0,0,CA1779*MAX(1,IF(H1779&gt;0,AF1779/H1779,1))),IF(R1779&gt;0,AG1779/R1779,0))/MAX(0.1,N(Parameter!$M$21)))</f>
        <v>0</v>
      </c>
      <c r="AI1779" s="50" t="n">
        <f aca="false">AH1779*BY1779</f>
        <v>0</v>
      </c>
      <c r="AJ1779" s="50" t="n">
        <f aca="false">AF1779*G1779</f>
        <v>0</v>
      </c>
      <c r="AK1779" s="50" t="n">
        <f aca="false">ROUNDUP(MAX(J1779/IF(CD1779&gt;0,CD1779,MAX(0.1,N(Cockpit!$C$6))),CG1779)/BV1779,0)*BV1779</f>
        <v>0</v>
      </c>
      <c r="AL1779" s="51" t="n">
        <f aca="false">IF(AI1779&gt;0,J1779/AI1779,-1)</f>
        <v>-1</v>
      </c>
      <c r="AM1779" s="51" t="str">
        <f aca="false">IF(AND(OR(CC1779="L1",CC1779="L23",CC1779="LIFT"),AI1779&gt;0),SUMIFS($AI$7:$AI$1843,$CC$7:$CC$1843,CC1779,$AL$7:$AL$1843,"&gt;"&amp;AL1779)+SUMIFS($AI$7:$AI$1843,$CC$7:$CC$1843,CC1779,$AL$7:$AL$1843,AL1779,$BT$7:$BT$1843,"&lt;="&amp;BT1779),"")</f>
        <v/>
      </c>
      <c r="AN1779" s="58" t="n">
        <f aca="false">IF(AM1779="",0,MAX(0,MIN(1,(IF(CC1779="L1",Parameter!$H$5,IF(CC1779="L23",Parameter!$H$6+Parameter!$H$7,Parameter!$H$5+Parameter!$H$6+Parameter!$H$7))-(AM1779-AI1779))/AI1779)))</f>
        <v>0</v>
      </c>
      <c r="AO1779" s="50" t="n">
        <f aca="false">IF(LEFT(Cockpit!$I$5,1)="A",H1779,IF(CE1779=1,CF1779,IF(LEFT(Cockpit!$I$5,1)="B",AT1779,MAX(AT1779,H1779))))</f>
        <v>0</v>
      </c>
      <c r="AP1779" s="50" t="n">
        <f aca="false">IF(BW1779=1,0,ROUNDUP(AO1779/BV1779,0))</f>
        <v>0</v>
      </c>
      <c r="AQ1779" s="52" t="n">
        <f aca="false">IF(CL1779&gt;0,CL1779*MAX(1,AO1779/X1779),IF(BW1779=1,IF(AO1779&lt;=0,0,CA1779*MAX(1,IF(H1779&gt;0,AO1779/H1779,1))),IF(R1779&gt;0,AP1779/R1779,0))/MAX(0.1,N(Parameter!$M$21)))</f>
        <v>0</v>
      </c>
      <c r="AR1779" s="50" t="n">
        <f aca="false">AQ1779*BY1779</f>
        <v>0</v>
      </c>
      <c r="AS1779" s="50" t="n">
        <f aca="false">AO1779*G1779</f>
        <v>0</v>
      </c>
      <c r="AT1779" s="50" t="n">
        <f aca="false">ROUNDUP(MAX(J1779/IF(CD1779&gt;0,CD1779,MAX(0.1,N(Cockpit!$I$6))),CG1779)/BV1779,0)*BV1779</f>
        <v>0</v>
      </c>
      <c r="AU1779" s="51" t="n">
        <f aca="false">IF(AR1779&gt;0,J1779/AR1779,-1)</f>
        <v>-1</v>
      </c>
      <c r="AV1779" s="51" t="str">
        <f aca="false">IF(AND(OR(CC1779="L1",CC1779="L23",CC1779="LIFT"),AR1779&gt;0),SUMIFS($AR$7:$AR$1843,$CC$7:$CC$1843,CC1779,$AU$7:$AU$1843,"&gt;"&amp;AU1779)+SUMIFS($AR$7:$AR$1843,$CC$7:$CC$1843,CC1779,$AU$7:$AU$1843,AU1779,$BT$7:$BT$1843,"&lt;="&amp;BT1779),"")</f>
        <v/>
      </c>
      <c r="AW1779" s="58" t="n">
        <f aca="false">IF(AV1779="",0,MAX(0,MIN(1,(IF(CC1779="L1",Parameter!$H$5,IF(CC1779="L23",Parameter!$H$6+Parameter!$H$7,Parameter!$H$5+Parameter!$H$6+Parameter!$H$7))-(AV1779-AR1779))/AR1779)))</f>
        <v>0</v>
      </c>
      <c r="AX1779" s="50" t="n">
        <f aca="false">IF(LEFT(Cockpit!$O$5,1)="A",H1779,IF(CE1779=1,CF1779,IF(LEFT(Cockpit!$O$5,1)="B",BC1779,MAX(BC1779,H1779))))</f>
        <v>0</v>
      </c>
      <c r="AY1779" s="50" t="n">
        <f aca="false">IF(BW1779=1,0,ROUNDUP(AX1779/BV1779,0))</f>
        <v>0</v>
      </c>
      <c r="AZ1779" s="52" t="n">
        <f aca="false">IF(CL1779&gt;0,CL1779*MAX(1,AX1779/X1779),IF(BW1779=1,IF(AX1779&lt;=0,0,CA1779*MAX(1,IF(H1779&gt;0,AX1779/H1779,1))),IF(R1779&gt;0,AY1779/R1779,0))/MAX(0.1,N(Parameter!$M$21)))</f>
        <v>0</v>
      </c>
      <c r="BA1779" s="50" t="n">
        <f aca="false">AZ1779*BY1779</f>
        <v>0</v>
      </c>
      <c r="BB1779" s="50" t="n">
        <f aca="false">AX1779*G1779</f>
        <v>0</v>
      </c>
      <c r="BC1779" s="50" t="n">
        <f aca="false">ROUNDUP(MAX(J1779/IF(CD1779&gt;0,CD1779,MAX(0.1,N(Cockpit!$O$6))),CG1779)/BV1779,0)*BV1779</f>
        <v>0</v>
      </c>
      <c r="BD1779" s="51" t="n">
        <f aca="false">IF(BA1779&gt;0,J1779/BA1779,-1)</f>
        <v>-1</v>
      </c>
      <c r="BE1779" s="51" t="str">
        <f aca="false">IF(AND(OR(CC1779="L1",CC1779="L23",CC1779="LIFT"),BA1779&gt;0),SUMIFS($BA$7:$BA$1843,$CC$7:$CC$1843,CC1779,$BD$7:$BD$1843,"&gt;"&amp;BD1779)+SUMIFS($BA$7:$BA$1843,$CC$7:$CC$1843,CC1779,$BD$7:$BD$1843,BD1779,$BT$7:$BT$1843,"&lt;="&amp;BT1779),"")</f>
        <v/>
      </c>
      <c r="BF1779" s="58" t="n">
        <f aca="false">IF(BE1779="",0,MAX(0,MIN(1,(IF(CC1779="L1",Parameter!$H$5,IF(CC1779="L23",Parameter!$H$6+Parameter!$H$7,Parameter!$H$5+Parameter!$H$6+Parameter!$H$7))-(BE1779-BA1779))/BA1779)))</f>
        <v>0</v>
      </c>
      <c r="BG1779" s="48" t="str">
        <f aca="false">IF(AI1779&lt;=0,"",IF(CC1779="Aussen","Aussenlager",IF(CC1779="-","Nicht im Lift",IF(AN1779&gt;=1,"Lift",IF(AN1779&lt;=0,"Aussenlager","teilweise")))))</f>
        <v/>
      </c>
      <c r="BH1779" s="48" t="str">
        <f aca="false">IF(AR1779&lt;=0,"",IF(CC1779="Aussen","Aussenlager",IF(CC1779="-","Nicht im Lift",IF(AW1779&gt;=1,"Lift",IF(AW1779&lt;=0,"Aussenlager","teilweise")))))</f>
        <v/>
      </c>
      <c r="BI1779" s="48" t="str">
        <f aca="false">IF(BA1779&lt;=0,"",IF(CC1779="Aussen","Aussenlager",IF(CC1779="-","Nicht im Lift",IF(BF1779&gt;=1,"Lift",IF(BF1779&lt;=0,"Aussenlager","teilweise")))))</f>
        <v/>
      </c>
      <c r="BJ1779" s="48" t="str">
        <f aca="false">IF(A1779="","",IF(BS1779=1,"Neu; ","")&amp;IF(AND(BS1779=0,BN1779&lt;0),"negativer Bestand (Export "&amp;BN1779&amp;"); ","")&amp;IF(J1779&lt;=0,"Kein Verbrauch; ","")&amp;IF(CL1779&gt;0,"Lift "&amp;W1779&amp;" lt. Liftbericht (Fach "&amp;X1779&amp;" Stk); ",IF(BX1779=1,"Gebinde geschätzt ("&amp;T1779&amp;"); ",IF(BW1779=1,"Lose – Tablare geschätzt; ","")))&amp;IF(H1779&gt;AT1779,"Überbestand "&amp;ROUND(H1779-AT1779,0)&amp;" Stk / CHF "&amp;ROUND((H1779-AT1779)*G1779,0)&amp;"; ","")&amp;IF(AND(CE1779=1,CF1779&lt;CG1779),"MAX &lt; MB+LG; ","")&amp;IF(AND(CK1779&gt;0,CJ1779*10&gt;CK1779),"zu hoch für Tablar; ","")&amp;IF(AND(BS1779=0,OR(CE1779=1,AA1779&lt;&gt;"",U1779&lt;&gt;"",V1779&lt;&gt;"",AB1779&lt;&gt;"")),"manuell übersteuert; ","")&amp;IF(AND(BW1779=0,R1779=0),"Gebinde unbekannt / Stellmass fehlt; ","")&amp;IF(AND(BW1779=0,N(V1779)&lt;=0,N(Q1779)&lt;=0),"Menge pro Gebinde fehlt (Ist = 1 Gebinde); ","")&amp;BR1779)</f>
        <v/>
      </c>
      <c r="BK1779" s="48"/>
      <c r="BL1779" s="48"/>
      <c r="BM1779" s="55"/>
      <c r="BN1779" s="50" t="n">
        <f aca="false">N('Neue Artikel'!$D$40)</f>
        <v>0</v>
      </c>
      <c r="BO1779" s="50" t="n">
        <v>0</v>
      </c>
      <c r="BP1779" s="49" t="n">
        <v>0</v>
      </c>
      <c r="BQ1779" s="50" t="n">
        <f aca="false">N('Neue Artikel'!$C$40)/Parameter!$B$18</f>
        <v>0</v>
      </c>
      <c r="BR1779" s="48"/>
      <c r="BS1779" s="53" t="n">
        <v>1</v>
      </c>
      <c r="BT1779" s="53" t="n">
        <v>1779</v>
      </c>
      <c r="BU1779" s="48" t="str">
        <f aca="false">IF(U1779&lt;&gt;"",UPPER(TRIM(U1779)),IF(BX1779=1,UPPER(VLOOKUP(T1779,Parameter!$I$27:$K$29,2,0)),IF(P1779="","LOSE",P1779)))</f>
        <v>LOSE</v>
      </c>
      <c r="BV1779" s="50" t="n">
        <f aca="false">IF(BU1779="LOSE",1,IF(N(V1779)&gt;0,V1779,IF(BX1779=1,MAX(1,N(VLOOKUP(T1779,Parameter!$I$27:$K$29,3,0)),H1779,N(N1779)),IF(N(Q1779)&gt;0,Q1779,MAX(1,H1779)))))</f>
        <v>1</v>
      </c>
      <c r="BW1779" s="53" t="n">
        <f aca="false">IF(BU1779="LOSE",1,0)</f>
        <v>1</v>
      </c>
      <c r="BX1779" s="53" t="n">
        <f aca="false">IF(AND(U1779="",OR(P1779="",P1779="LOSE"),T1779&lt;&gt;"",N(S1779)&lt;=0,ISNUMBER(MATCH(T1779,Parameter!$I$27:$I$29,0))),1,0)</f>
        <v>0</v>
      </c>
      <c r="BY1779" s="53" t="n">
        <f aca="false">IF(CL1779&gt;0,INDEX(Parameter!$H$5:$H$7,W1779)/INDEX(Parameter!$E$5:$E$7,W1779),IF(AND(BW1779=0,N(IFERROR(VLOOKUP(BU1779,'Gebinde-Kategorie'!$A$5:$N$45,14,0),0))&gt;0),VLOOKUP(BU1779,'Gebinde-Kategorie'!$A$5:$N$45,14,0)*10+Parameter!$M$23,Parameter!$M$24))</f>
        <v>235</v>
      </c>
      <c r="BZ1779" s="48" t="str">
        <f aca="false">IF(AND(Parameter!$B$19="Ja",E1779&lt;&gt;"",ISNUMBER(MATCH(E1779,Parameter!$I$35:$I$52,0))),VLOOKUP(E1779,Parameter!$I$35:$J$52,2,0),IFERROR(VLOOKUP(D1779,Parameter!$A$35:$C$64,2,0),"Nein"))</f>
        <v>2+3</v>
      </c>
      <c r="CA1779" s="52" t="n">
        <f aca="false">IF(BW1779=0,0,IF(N(S1779)&gt;0,S1779,IFERROR(VLOOKUP(D1779,Parameter!$A$35:$C$64,3,0)+0,0)))</f>
        <v>0.15</v>
      </c>
      <c r="CB1779" s="48" t="str">
        <f aca="false">IF(AA1779&lt;&gt;"",AA1779,Z1779)</f>
        <v/>
      </c>
      <c r="CC1779" s="48" t="str">
        <f aca="false">IF(OR(CB1779=1,CB1779=2,CB1779=3),IF(Parameter!$E$27="Ja","LIFT",IF(CB1779=1,"L1","L23")),IF(CB1779="Aussen","Aussen","-"))</f>
        <v>-</v>
      </c>
      <c r="CD1779" s="59" t="n">
        <f aca="false">IF(N(AB1779)&gt;0,AB1779,0)</f>
        <v>0</v>
      </c>
      <c r="CE1779" s="53" t="n">
        <f aca="false">IF(ISNUMBER(AE1779),1,0)</f>
        <v>0</v>
      </c>
      <c r="CF1779" s="50" t="n">
        <f aca="false">N(AE1779)</f>
        <v>0</v>
      </c>
      <c r="CG1779" s="50" t="n">
        <f aca="false">N(M1779)+N(N1779)</f>
        <v>0</v>
      </c>
      <c r="CH1779" s="50" t="n">
        <f aca="false">ROUNDUP(H1779/BV1779,0)</f>
        <v>0</v>
      </c>
      <c r="CI1779" s="50" t="n">
        <f aca="false">ROUNDUP(CF1779/BV1779,0)</f>
        <v>0</v>
      </c>
      <c r="CJ1779" s="53" t="n">
        <f aca="false">IF(BW1779=1,0,IFERROR(VLOOKUP(BU1779,'Gebinde-Kategorie'!$A$5:$N$45,5,0)+0,0))</f>
        <v>0</v>
      </c>
      <c r="CK1779" s="53" t="n">
        <f aca="false">IFERROR(IF(OR(CB1779=1,CB1779=2,CB1779=3),N(INDEX(Parameter!$I$5:$I$7,CB1779)),0),0)</f>
        <v>0</v>
      </c>
      <c r="CL1779" s="52" t="n">
        <f aca="false">IF(AND(Parameter!$B$21="Ja",ISNUMBER(W1779),N(X1779)&gt;0),IFERROR(N(INDEX(Parameter!$L$5:$L$7,W1779))*INDEX(Parameter!$E$5:$E$7,W1779)*X1779/SUMIFS($X$7:$X$1843,$W$7:$W$1843,W1779),0),0)</f>
        <v>0</v>
      </c>
    </row>
    <row r="1780" customFormat="false" ht="15" hidden="false" customHeight="false" outlineLevel="0" collapsed="false">
      <c r="A1780" s="48" t="str">
        <f aca="false">IF('Neue Artikel'!$A$41="","",'Neue Artikel'!$A$41&amp;"")</f>
        <v/>
      </c>
      <c r="B1780" s="48" t="str">
        <f aca="false">'Neue Artikel'!$B$41&amp;""</f>
        <v/>
      </c>
      <c r="C1780" s="48"/>
      <c r="D1780" s="48" t="s">
        <v>3019</v>
      </c>
      <c r="E1780" s="48"/>
      <c r="F1780" s="48"/>
      <c r="G1780" s="49" t="n">
        <f aca="false">N('Neue Artikel'!$G$41)</f>
        <v>0</v>
      </c>
      <c r="H1780" s="50" t="n">
        <f aca="false">MAX(0,IF(AND(Parameter!$B$21="Ja",ISNUMBER(Y1780)),Y1780,IF(Parameter!$B$20="Jahresanfang 2025 + Export",BO1780+BN1780,BN1780)))</f>
        <v>0</v>
      </c>
      <c r="I1780" s="50" t="n">
        <f aca="false">H1780*G1780</f>
        <v>0</v>
      </c>
      <c r="J1780" s="50" t="n">
        <f aca="false">BQ1780*Parameter!$B$18</f>
        <v>0</v>
      </c>
      <c r="K1780" s="51"/>
      <c r="L1780" s="52"/>
      <c r="M1780" s="50" t="n">
        <f aca="false">N('Neue Artikel'!$E$41)</f>
        <v>0</v>
      </c>
      <c r="N1780" s="50" t="n">
        <f aca="false">N('Neue Artikel'!$F$41)</f>
        <v>0</v>
      </c>
      <c r="O1780" s="53"/>
      <c r="P1780" s="48" t="str">
        <f aca="false">IF('Neue Artikel'!$H$41="","LOSE",UPPER(TRIM('Neue Artikel'!$H$41)))</f>
        <v>LOSE</v>
      </c>
      <c r="Q1780" s="50" t="n">
        <f aca="false">N('Neue Artikel'!$I$41)</f>
        <v>0</v>
      </c>
      <c r="R1780" s="53" t="n">
        <f aca="false">IF(BW1780=1,0,IFERROR(VLOOKUP(BU1780,'Gebinde-Kategorie'!$A$5:$N$45,13,0)+0,0))</f>
        <v>0</v>
      </c>
      <c r="S1780" s="54"/>
      <c r="T1780" s="55"/>
      <c r="U1780" s="55"/>
      <c r="V1780" s="55"/>
      <c r="W1780" s="48"/>
      <c r="X1780" s="50"/>
      <c r="Y1780" s="50"/>
      <c r="Z1780" s="48" t="str">
        <f aca="false">IF(A1780="","",IF(AND(Parameter!$B$21="Ja",ISNUMBER(W1780)),W1780,IF(BZ1780="2+3",IF(ISNUMBER(SEARCH("grosser Artikel",BR1780)),2,IFERROR(VLOOKUP(BU1780,Parameter!$F$35:$G$64,2,0),2)),IF(OR(BZ1780="Nein",BZ1780=""),"-",BZ1780))))</f>
        <v/>
      </c>
      <c r="AA1780" s="48" t="str">
        <f aca="false">IF('Neue Artikel'!$J$41="","",'Neue Artikel'!$J$41)</f>
        <v/>
      </c>
      <c r="AB1780" s="56"/>
      <c r="AC1780" s="50" t="n">
        <f aca="false">AT1780</f>
        <v>0</v>
      </c>
      <c r="AD1780" s="50" t="n">
        <f aca="false">MAX(AT1780,H1780)</f>
        <v>0</v>
      </c>
      <c r="AE1780" s="57"/>
      <c r="AF1780" s="50" t="n">
        <f aca="false">IF(LEFT(Cockpit!$C$5,1)="A",H1780,IF(CE1780=1,CF1780,IF(LEFT(Cockpit!$C$5,1)="B",AK1780,MAX(AK1780,H1780))))</f>
        <v>0</v>
      </c>
      <c r="AG1780" s="50" t="n">
        <f aca="false">IF(BW1780=1,0,ROUNDUP(AF1780/BV1780,0))</f>
        <v>0</v>
      </c>
      <c r="AH1780" s="52" t="n">
        <f aca="false">IF(CL1780&gt;0,CL1780*MAX(1,AF1780/X1780),IF(BW1780=1,IF(AF1780&lt;=0,0,CA1780*MAX(1,IF(H1780&gt;0,AF1780/H1780,1))),IF(R1780&gt;0,AG1780/R1780,0))/MAX(0.1,N(Parameter!$M$21)))</f>
        <v>0</v>
      </c>
      <c r="AI1780" s="50" t="n">
        <f aca="false">AH1780*BY1780</f>
        <v>0</v>
      </c>
      <c r="AJ1780" s="50" t="n">
        <f aca="false">AF1780*G1780</f>
        <v>0</v>
      </c>
      <c r="AK1780" s="50" t="n">
        <f aca="false">ROUNDUP(MAX(J1780/IF(CD1780&gt;0,CD1780,MAX(0.1,N(Cockpit!$C$6))),CG1780)/BV1780,0)*BV1780</f>
        <v>0</v>
      </c>
      <c r="AL1780" s="51" t="n">
        <f aca="false">IF(AI1780&gt;0,J1780/AI1780,-1)</f>
        <v>-1</v>
      </c>
      <c r="AM1780" s="51" t="str">
        <f aca="false">IF(AND(OR(CC1780="L1",CC1780="L23",CC1780="LIFT"),AI1780&gt;0),SUMIFS($AI$7:$AI$1843,$CC$7:$CC$1843,CC1780,$AL$7:$AL$1843,"&gt;"&amp;AL1780)+SUMIFS($AI$7:$AI$1843,$CC$7:$CC$1843,CC1780,$AL$7:$AL$1843,AL1780,$BT$7:$BT$1843,"&lt;="&amp;BT1780),"")</f>
        <v/>
      </c>
      <c r="AN1780" s="58" t="n">
        <f aca="false">IF(AM1780="",0,MAX(0,MIN(1,(IF(CC1780="L1",Parameter!$H$5,IF(CC1780="L23",Parameter!$H$6+Parameter!$H$7,Parameter!$H$5+Parameter!$H$6+Parameter!$H$7))-(AM1780-AI1780))/AI1780)))</f>
        <v>0</v>
      </c>
      <c r="AO1780" s="50" t="n">
        <f aca="false">IF(LEFT(Cockpit!$I$5,1)="A",H1780,IF(CE1780=1,CF1780,IF(LEFT(Cockpit!$I$5,1)="B",AT1780,MAX(AT1780,H1780))))</f>
        <v>0</v>
      </c>
      <c r="AP1780" s="50" t="n">
        <f aca="false">IF(BW1780=1,0,ROUNDUP(AO1780/BV1780,0))</f>
        <v>0</v>
      </c>
      <c r="AQ1780" s="52" t="n">
        <f aca="false">IF(CL1780&gt;0,CL1780*MAX(1,AO1780/X1780),IF(BW1780=1,IF(AO1780&lt;=0,0,CA1780*MAX(1,IF(H1780&gt;0,AO1780/H1780,1))),IF(R1780&gt;0,AP1780/R1780,0))/MAX(0.1,N(Parameter!$M$21)))</f>
        <v>0</v>
      </c>
      <c r="AR1780" s="50" t="n">
        <f aca="false">AQ1780*BY1780</f>
        <v>0</v>
      </c>
      <c r="AS1780" s="50" t="n">
        <f aca="false">AO1780*G1780</f>
        <v>0</v>
      </c>
      <c r="AT1780" s="50" t="n">
        <f aca="false">ROUNDUP(MAX(J1780/IF(CD1780&gt;0,CD1780,MAX(0.1,N(Cockpit!$I$6))),CG1780)/BV1780,0)*BV1780</f>
        <v>0</v>
      </c>
      <c r="AU1780" s="51" t="n">
        <f aca="false">IF(AR1780&gt;0,J1780/AR1780,-1)</f>
        <v>-1</v>
      </c>
      <c r="AV1780" s="51" t="str">
        <f aca="false">IF(AND(OR(CC1780="L1",CC1780="L23",CC1780="LIFT"),AR1780&gt;0),SUMIFS($AR$7:$AR$1843,$CC$7:$CC$1843,CC1780,$AU$7:$AU$1843,"&gt;"&amp;AU1780)+SUMIFS($AR$7:$AR$1843,$CC$7:$CC$1843,CC1780,$AU$7:$AU$1843,AU1780,$BT$7:$BT$1843,"&lt;="&amp;BT1780),"")</f>
        <v/>
      </c>
      <c r="AW1780" s="58" t="n">
        <f aca="false">IF(AV1780="",0,MAX(0,MIN(1,(IF(CC1780="L1",Parameter!$H$5,IF(CC1780="L23",Parameter!$H$6+Parameter!$H$7,Parameter!$H$5+Parameter!$H$6+Parameter!$H$7))-(AV1780-AR1780))/AR1780)))</f>
        <v>0</v>
      </c>
      <c r="AX1780" s="50" t="n">
        <f aca="false">IF(LEFT(Cockpit!$O$5,1)="A",H1780,IF(CE1780=1,CF1780,IF(LEFT(Cockpit!$O$5,1)="B",BC1780,MAX(BC1780,H1780))))</f>
        <v>0</v>
      </c>
      <c r="AY1780" s="50" t="n">
        <f aca="false">IF(BW1780=1,0,ROUNDUP(AX1780/BV1780,0))</f>
        <v>0</v>
      </c>
      <c r="AZ1780" s="52" t="n">
        <f aca="false">IF(CL1780&gt;0,CL1780*MAX(1,AX1780/X1780),IF(BW1780=1,IF(AX1780&lt;=0,0,CA1780*MAX(1,IF(H1780&gt;0,AX1780/H1780,1))),IF(R1780&gt;0,AY1780/R1780,0))/MAX(0.1,N(Parameter!$M$21)))</f>
        <v>0</v>
      </c>
      <c r="BA1780" s="50" t="n">
        <f aca="false">AZ1780*BY1780</f>
        <v>0</v>
      </c>
      <c r="BB1780" s="50" t="n">
        <f aca="false">AX1780*G1780</f>
        <v>0</v>
      </c>
      <c r="BC1780" s="50" t="n">
        <f aca="false">ROUNDUP(MAX(J1780/IF(CD1780&gt;0,CD1780,MAX(0.1,N(Cockpit!$O$6))),CG1780)/BV1780,0)*BV1780</f>
        <v>0</v>
      </c>
      <c r="BD1780" s="51" t="n">
        <f aca="false">IF(BA1780&gt;0,J1780/BA1780,-1)</f>
        <v>-1</v>
      </c>
      <c r="BE1780" s="51" t="str">
        <f aca="false">IF(AND(OR(CC1780="L1",CC1780="L23",CC1780="LIFT"),BA1780&gt;0),SUMIFS($BA$7:$BA$1843,$CC$7:$CC$1843,CC1780,$BD$7:$BD$1843,"&gt;"&amp;BD1780)+SUMIFS($BA$7:$BA$1843,$CC$7:$CC$1843,CC1780,$BD$7:$BD$1843,BD1780,$BT$7:$BT$1843,"&lt;="&amp;BT1780),"")</f>
        <v/>
      </c>
      <c r="BF1780" s="58" t="n">
        <f aca="false">IF(BE1780="",0,MAX(0,MIN(1,(IF(CC1780="L1",Parameter!$H$5,IF(CC1780="L23",Parameter!$H$6+Parameter!$H$7,Parameter!$H$5+Parameter!$H$6+Parameter!$H$7))-(BE1780-BA1780))/BA1780)))</f>
        <v>0</v>
      </c>
      <c r="BG1780" s="48" t="str">
        <f aca="false">IF(AI1780&lt;=0,"",IF(CC1780="Aussen","Aussenlager",IF(CC1780="-","Nicht im Lift",IF(AN1780&gt;=1,"Lift",IF(AN1780&lt;=0,"Aussenlager","teilweise")))))</f>
        <v/>
      </c>
      <c r="BH1780" s="48" t="str">
        <f aca="false">IF(AR1780&lt;=0,"",IF(CC1780="Aussen","Aussenlager",IF(CC1780="-","Nicht im Lift",IF(AW1780&gt;=1,"Lift",IF(AW1780&lt;=0,"Aussenlager","teilweise")))))</f>
        <v/>
      </c>
      <c r="BI1780" s="48" t="str">
        <f aca="false">IF(BA1780&lt;=0,"",IF(CC1780="Aussen","Aussenlager",IF(CC1780="-","Nicht im Lift",IF(BF1780&gt;=1,"Lift",IF(BF1780&lt;=0,"Aussenlager","teilweise")))))</f>
        <v/>
      </c>
      <c r="BJ1780" s="48" t="str">
        <f aca="false">IF(A1780="","",IF(BS1780=1,"Neu; ","")&amp;IF(AND(BS1780=0,BN1780&lt;0),"negativer Bestand (Export "&amp;BN1780&amp;"); ","")&amp;IF(J1780&lt;=0,"Kein Verbrauch; ","")&amp;IF(CL1780&gt;0,"Lift "&amp;W1780&amp;" lt. Liftbericht (Fach "&amp;X1780&amp;" Stk); ",IF(BX1780=1,"Gebinde geschätzt ("&amp;T1780&amp;"); ",IF(BW1780=1,"Lose – Tablare geschätzt; ","")))&amp;IF(H1780&gt;AT1780,"Überbestand "&amp;ROUND(H1780-AT1780,0)&amp;" Stk / CHF "&amp;ROUND((H1780-AT1780)*G1780,0)&amp;"; ","")&amp;IF(AND(CE1780=1,CF1780&lt;CG1780),"MAX &lt; MB+LG; ","")&amp;IF(AND(CK1780&gt;0,CJ1780*10&gt;CK1780),"zu hoch für Tablar; ","")&amp;IF(AND(BS1780=0,OR(CE1780=1,AA1780&lt;&gt;"",U1780&lt;&gt;"",V1780&lt;&gt;"",AB1780&lt;&gt;"")),"manuell übersteuert; ","")&amp;IF(AND(BW1780=0,R1780=0),"Gebinde unbekannt / Stellmass fehlt; ","")&amp;IF(AND(BW1780=0,N(V1780)&lt;=0,N(Q1780)&lt;=0),"Menge pro Gebinde fehlt (Ist = 1 Gebinde); ","")&amp;BR1780)</f>
        <v/>
      </c>
      <c r="BK1780" s="48"/>
      <c r="BL1780" s="48"/>
      <c r="BM1780" s="55"/>
      <c r="BN1780" s="50" t="n">
        <f aca="false">N('Neue Artikel'!$D$41)</f>
        <v>0</v>
      </c>
      <c r="BO1780" s="50" t="n">
        <v>0</v>
      </c>
      <c r="BP1780" s="49" t="n">
        <v>0</v>
      </c>
      <c r="BQ1780" s="50" t="n">
        <f aca="false">N('Neue Artikel'!$C$41)/Parameter!$B$18</f>
        <v>0</v>
      </c>
      <c r="BR1780" s="48"/>
      <c r="BS1780" s="53" t="n">
        <v>1</v>
      </c>
      <c r="BT1780" s="53" t="n">
        <v>1780</v>
      </c>
      <c r="BU1780" s="48" t="str">
        <f aca="false">IF(U1780&lt;&gt;"",UPPER(TRIM(U1780)),IF(BX1780=1,UPPER(VLOOKUP(T1780,Parameter!$I$27:$K$29,2,0)),IF(P1780="","LOSE",P1780)))</f>
        <v>LOSE</v>
      </c>
      <c r="BV1780" s="50" t="n">
        <f aca="false">IF(BU1780="LOSE",1,IF(N(V1780)&gt;0,V1780,IF(BX1780=1,MAX(1,N(VLOOKUP(T1780,Parameter!$I$27:$K$29,3,0)),H1780,N(N1780)),IF(N(Q1780)&gt;0,Q1780,MAX(1,H1780)))))</f>
        <v>1</v>
      </c>
      <c r="BW1780" s="53" t="n">
        <f aca="false">IF(BU1780="LOSE",1,0)</f>
        <v>1</v>
      </c>
      <c r="BX1780" s="53" t="n">
        <f aca="false">IF(AND(U1780="",OR(P1780="",P1780="LOSE"),T1780&lt;&gt;"",N(S1780)&lt;=0,ISNUMBER(MATCH(T1780,Parameter!$I$27:$I$29,0))),1,0)</f>
        <v>0</v>
      </c>
      <c r="BY1780" s="53" t="n">
        <f aca="false">IF(CL1780&gt;0,INDEX(Parameter!$H$5:$H$7,W1780)/INDEX(Parameter!$E$5:$E$7,W1780),IF(AND(BW1780=0,N(IFERROR(VLOOKUP(BU1780,'Gebinde-Kategorie'!$A$5:$N$45,14,0),0))&gt;0),VLOOKUP(BU1780,'Gebinde-Kategorie'!$A$5:$N$45,14,0)*10+Parameter!$M$23,Parameter!$M$24))</f>
        <v>235</v>
      </c>
      <c r="BZ1780" s="48" t="str">
        <f aca="false">IF(AND(Parameter!$B$19="Ja",E1780&lt;&gt;"",ISNUMBER(MATCH(E1780,Parameter!$I$35:$I$52,0))),VLOOKUP(E1780,Parameter!$I$35:$J$52,2,0),IFERROR(VLOOKUP(D1780,Parameter!$A$35:$C$64,2,0),"Nein"))</f>
        <v>2+3</v>
      </c>
      <c r="CA1780" s="52" t="n">
        <f aca="false">IF(BW1780=0,0,IF(N(S1780)&gt;0,S1780,IFERROR(VLOOKUP(D1780,Parameter!$A$35:$C$64,3,0)+0,0)))</f>
        <v>0.15</v>
      </c>
      <c r="CB1780" s="48" t="str">
        <f aca="false">IF(AA1780&lt;&gt;"",AA1780,Z1780)</f>
        <v/>
      </c>
      <c r="CC1780" s="48" t="str">
        <f aca="false">IF(OR(CB1780=1,CB1780=2,CB1780=3),IF(Parameter!$E$27="Ja","LIFT",IF(CB1780=1,"L1","L23")),IF(CB1780="Aussen","Aussen","-"))</f>
        <v>-</v>
      </c>
      <c r="CD1780" s="59" t="n">
        <f aca="false">IF(N(AB1780)&gt;0,AB1780,0)</f>
        <v>0</v>
      </c>
      <c r="CE1780" s="53" t="n">
        <f aca="false">IF(ISNUMBER(AE1780),1,0)</f>
        <v>0</v>
      </c>
      <c r="CF1780" s="50" t="n">
        <f aca="false">N(AE1780)</f>
        <v>0</v>
      </c>
      <c r="CG1780" s="50" t="n">
        <f aca="false">N(M1780)+N(N1780)</f>
        <v>0</v>
      </c>
      <c r="CH1780" s="50" t="n">
        <f aca="false">ROUNDUP(H1780/BV1780,0)</f>
        <v>0</v>
      </c>
      <c r="CI1780" s="50" t="n">
        <f aca="false">ROUNDUP(CF1780/BV1780,0)</f>
        <v>0</v>
      </c>
      <c r="CJ1780" s="53" t="n">
        <f aca="false">IF(BW1780=1,0,IFERROR(VLOOKUP(BU1780,'Gebinde-Kategorie'!$A$5:$N$45,5,0)+0,0))</f>
        <v>0</v>
      </c>
      <c r="CK1780" s="53" t="n">
        <f aca="false">IFERROR(IF(OR(CB1780=1,CB1780=2,CB1780=3),N(INDEX(Parameter!$I$5:$I$7,CB1780)),0),0)</f>
        <v>0</v>
      </c>
      <c r="CL1780" s="52" t="n">
        <f aca="false">IF(AND(Parameter!$B$21="Ja",ISNUMBER(W1780),N(X1780)&gt;0),IFERROR(N(INDEX(Parameter!$L$5:$L$7,W1780))*INDEX(Parameter!$E$5:$E$7,W1780)*X1780/SUMIFS($X$7:$X$1843,$W$7:$W$1843,W1780),0),0)</f>
        <v>0</v>
      </c>
    </row>
    <row r="1781" customFormat="false" ht="15" hidden="false" customHeight="false" outlineLevel="0" collapsed="false">
      <c r="A1781" s="48" t="str">
        <f aca="false">IF('Neue Artikel'!$A$42="","",'Neue Artikel'!$A$42&amp;"")</f>
        <v/>
      </c>
      <c r="B1781" s="48" t="str">
        <f aca="false">'Neue Artikel'!$B$42&amp;""</f>
        <v/>
      </c>
      <c r="C1781" s="48"/>
      <c r="D1781" s="48" t="s">
        <v>3019</v>
      </c>
      <c r="E1781" s="48"/>
      <c r="F1781" s="48"/>
      <c r="G1781" s="49" t="n">
        <f aca="false">N('Neue Artikel'!$G$42)</f>
        <v>0</v>
      </c>
      <c r="H1781" s="50" t="n">
        <f aca="false">MAX(0,IF(AND(Parameter!$B$21="Ja",ISNUMBER(Y1781)),Y1781,IF(Parameter!$B$20="Jahresanfang 2025 + Export",BO1781+BN1781,BN1781)))</f>
        <v>0</v>
      </c>
      <c r="I1781" s="50" t="n">
        <f aca="false">H1781*G1781</f>
        <v>0</v>
      </c>
      <c r="J1781" s="50" t="n">
        <f aca="false">BQ1781*Parameter!$B$18</f>
        <v>0</v>
      </c>
      <c r="K1781" s="51"/>
      <c r="L1781" s="52"/>
      <c r="M1781" s="50" t="n">
        <f aca="false">N('Neue Artikel'!$E$42)</f>
        <v>0</v>
      </c>
      <c r="N1781" s="50" t="n">
        <f aca="false">N('Neue Artikel'!$F$42)</f>
        <v>0</v>
      </c>
      <c r="O1781" s="53"/>
      <c r="P1781" s="48" t="str">
        <f aca="false">IF('Neue Artikel'!$H$42="","LOSE",UPPER(TRIM('Neue Artikel'!$H$42)))</f>
        <v>LOSE</v>
      </c>
      <c r="Q1781" s="50" t="n">
        <f aca="false">N('Neue Artikel'!$I$42)</f>
        <v>0</v>
      </c>
      <c r="R1781" s="53" t="n">
        <f aca="false">IF(BW1781=1,0,IFERROR(VLOOKUP(BU1781,'Gebinde-Kategorie'!$A$5:$N$45,13,0)+0,0))</f>
        <v>0</v>
      </c>
      <c r="S1781" s="54"/>
      <c r="T1781" s="55"/>
      <c r="U1781" s="55"/>
      <c r="V1781" s="55"/>
      <c r="W1781" s="48"/>
      <c r="X1781" s="50"/>
      <c r="Y1781" s="50"/>
      <c r="Z1781" s="48" t="str">
        <f aca="false">IF(A1781="","",IF(AND(Parameter!$B$21="Ja",ISNUMBER(W1781)),W1781,IF(BZ1781="2+3",IF(ISNUMBER(SEARCH("grosser Artikel",BR1781)),2,IFERROR(VLOOKUP(BU1781,Parameter!$F$35:$G$64,2,0),2)),IF(OR(BZ1781="Nein",BZ1781=""),"-",BZ1781))))</f>
        <v/>
      </c>
      <c r="AA1781" s="48" t="str">
        <f aca="false">IF('Neue Artikel'!$J$42="","",'Neue Artikel'!$J$42)</f>
        <v/>
      </c>
      <c r="AB1781" s="56"/>
      <c r="AC1781" s="50" t="n">
        <f aca="false">AT1781</f>
        <v>0</v>
      </c>
      <c r="AD1781" s="50" t="n">
        <f aca="false">MAX(AT1781,H1781)</f>
        <v>0</v>
      </c>
      <c r="AE1781" s="57"/>
      <c r="AF1781" s="50" t="n">
        <f aca="false">IF(LEFT(Cockpit!$C$5,1)="A",H1781,IF(CE1781=1,CF1781,IF(LEFT(Cockpit!$C$5,1)="B",AK1781,MAX(AK1781,H1781))))</f>
        <v>0</v>
      </c>
      <c r="AG1781" s="50" t="n">
        <f aca="false">IF(BW1781=1,0,ROUNDUP(AF1781/BV1781,0))</f>
        <v>0</v>
      </c>
      <c r="AH1781" s="52" t="n">
        <f aca="false">IF(CL1781&gt;0,CL1781*MAX(1,AF1781/X1781),IF(BW1781=1,IF(AF1781&lt;=0,0,CA1781*MAX(1,IF(H1781&gt;0,AF1781/H1781,1))),IF(R1781&gt;0,AG1781/R1781,0))/MAX(0.1,N(Parameter!$M$21)))</f>
        <v>0</v>
      </c>
      <c r="AI1781" s="50" t="n">
        <f aca="false">AH1781*BY1781</f>
        <v>0</v>
      </c>
      <c r="AJ1781" s="50" t="n">
        <f aca="false">AF1781*G1781</f>
        <v>0</v>
      </c>
      <c r="AK1781" s="50" t="n">
        <f aca="false">ROUNDUP(MAX(J1781/IF(CD1781&gt;0,CD1781,MAX(0.1,N(Cockpit!$C$6))),CG1781)/BV1781,0)*BV1781</f>
        <v>0</v>
      </c>
      <c r="AL1781" s="51" t="n">
        <f aca="false">IF(AI1781&gt;0,J1781/AI1781,-1)</f>
        <v>-1</v>
      </c>
      <c r="AM1781" s="51" t="str">
        <f aca="false">IF(AND(OR(CC1781="L1",CC1781="L23",CC1781="LIFT"),AI1781&gt;0),SUMIFS($AI$7:$AI$1843,$CC$7:$CC$1843,CC1781,$AL$7:$AL$1843,"&gt;"&amp;AL1781)+SUMIFS($AI$7:$AI$1843,$CC$7:$CC$1843,CC1781,$AL$7:$AL$1843,AL1781,$BT$7:$BT$1843,"&lt;="&amp;BT1781),"")</f>
        <v/>
      </c>
      <c r="AN1781" s="58" t="n">
        <f aca="false">IF(AM1781="",0,MAX(0,MIN(1,(IF(CC1781="L1",Parameter!$H$5,IF(CC1781="L23",Parameter!$H$6+Parameter!$H$7,Parameter!$H$5+Parameter!$H$6+Parameter!$H$7))-(AM1781-AI1781))/AI1781)))</f>
        <v>0</v>
      </c>
      <c r="AO1781" s="50" t="n">
        <f aca="false">IF(LEFT(Cockpit!$I$5,1)="A",H1781,IF(CE1781=1,CF1781,IF(LEFT(Cockpit!$I$5,1)="B",AT1781,MAX(AT1781,H1781))))</f>
        <v>0</v>
      </c>
      <c r="AP1781" s="50" t="n">
        <f aca="false">IF(BW1781=1,0,ROUNDUP(AO1781/BV1781,0))</f>
        <v>0</v>
      </c>
      <c r="AQ1781" s="52" t="n">
        <f aca="false">IF(CL1781&gt;0,CL1781*MAX(1,AO1781/X1781),IF(BW1781=1,IF(AO1781&lt;=0,0,CA1781*MAX(1,IF(H1781&gt;0,AO1781/H1781,1))),IF(R1781&gt;0,AP1781/R1781,0))/MAX(0.1,N(Parameter!$M$21)))</f>
        <v>0</v>
      </c>
      <c r="AR1781" s="50" t="n">
        <f aca="false">AQ1781*BY1781</f>
        <v>0</v>
      </c>
      <c r="AS1781" s="50" t="n">
        <f aca="false">AO1781*G1781</f>
        <v>0</v>
      </c>
      <c r="AT1781" s="50" t="n">
        <f aca="false">ROUNDUP(MAX(J1781/IF(CD1781&gt;0,CD1781,MAX(0.1,N(Cockpit!$I$6))),CG1781)/BV1781,0)*BV1781</f>
        <v>0</v>
      </c>
      <c r="AU1781" s="51" t="n">
        <f aca="false">IF(AR1781&gt;0,J1781/AR1781,-1)</f>
        <v>-1</v>
      </c>
      <c r="AV1781" s="51" t="str">
        <f aca="false">IF(AND(OR(CC1781="L1",CC1781="L23",CC1781="LIFT"),AR1781&gt;0),SUMIFS($AR$7:$AR$1843,$CC$7:$CC$1843,CC1781,$AU$7:$AU$1843,"&gt;"&amp;AU1781)+SUMIFS($AR$7:$AR$1843,$CC$7:$CC$1843,CC1781,$AU$7:$AU$1843,AU1781,$BT$7:$BT$1843,"&lt;="&amp;BT1781),"")</f>
        <v/>
      </c>
      <c r="AW1781" s="58" t="n">
        <f aca="false">IF(AV1781="",0,MAX(0,MIN(1,(IF(CC1781="L1",Parameter!$H$5,IF(CC1781="L23",Parameter!$H$6+Parameter!$H$7,Parameter!$H$5+Parameter!$H$6+Parameter!$H$7))-(AV1781-AR1781))/AR1781)))</f>
        <v>0</v>
      </c>
      <c r="AX1781" s="50" t="n">
        <f aca="false">IF(LEFT(Cockpit!$O$5,1)="A",H1781,IF(CE1781=1,CF1781,IF(LEFT(Cockpit!$O$5,1)="B",BC1781,MAX(BC1781,H1781))))</f>
        <v>0</v>
      </c>
      <c r="AY1781" s="50" t="n">
        <f aca="false">IF(BW1781=1,0,ROUNDUP(AX1781/BV1781,0))</f>
        <v>0</v>
      </c>
      <c r="AZ1781" s="52" t="n">
        <f aca="false">IF(CL1781&gt;0,CL1781*MAX(1,AX1781/X1781),IF(BW1781=1,IF(AX1781&lt;=0,0,CA1781*MAX(1,IF(H1781&gt;0,AX1781/H1781,1))),IF(R1781&gt;0,AY1781/R1781,0))/MAX(0.1,N(Parameter!$M$21)))</f>
        <v>0</v>
      </c>
      <c r="BA1781" s="50" t="n">
        <f aca="false">AZ1781*BY1781</f>
        <v>0</v>
      </c>
      <c r="BB1781" s="50" t="n">
        <f aca="false">AX1781*G1781</f>
        <v>0</v>
      </c>
      <c r="BC1781" s="50" t="n">
        <f aca="false">ROUNDUP(MAX(J1781/IF(CD1781&gt;0,CD1781,MAX(0.1,N(Cockpit!$O$6))),CG1781)/BV1781,0)*BV1781</f>
        <v>0</v>
      </c>
      <c r="BD1781" s="51" t="n">
        <f aca="false">IF(BA1781&gt;0,J1781/BA1781,-1)</f>
        <v>-1</v>
      </c>
      <c r="BE1781" s="51" t="str">
        <f aca="false">IF(AND(OR(CC1781="L1",CC1781="L23",CC1781="LIFT"),BA1781&gt;0),SUMIFS($BA$7:$BA$1843,$CC$7:$CC$1843,CC1781,$BD$7:$BD$1843,"&gt;"&amp;BD1781)+SUMIFS($BA$7:$BA$1843,$CC$7:$CC$1843,CC1781,$BD$7:$BD$1843,BD1781,$BT$7:$BT$1843,"&lt;="&amp;BT1781),"")</f>
        <v/>
      </c>
      <c r="BF1781" s="58" t="n">
        <f aca="false">IF(BE1781="",0,MAX(0,MIN(1,(IF(CC1781="L1",Parameter!$H$5,IF(CC1781="L23",Parameter!$H$6+Parameter!$H$7,Parameter!$H$5+Parameter!$H$6+Parameter!$H$7))-(BE1781-BA1781))/BA1781)))</f>
        <v>0</v>
      </c>
      <c r="BG1781" s="48" t="str">
        <f aca="false">IF(AI1781&lt;=0,"",IF(CC1781="Aussen","Aussenlager",IF(CC1781="-","Nicht im Lift",IF(AN1781&gt;=1,"Lift",IF(AN1781&lt;=0,"Aussenlager","teilweise")))))</f>
        <v/>
      </c>
      <c r="BH1781" s="48" t="str">
        <f aca="false">IF(AR1781&lt;=0,"",IF(CC1781="Aussen","Aussenlager",IF(CC1781="-","Nicht im Lift",IF(AW1781&gt;=1,"Lift",IF(AW1781&lt;=0,"Aussenlager","teilweise")))))</f>
        <v/>
      </c>
      <c r="BI1781" s="48" t="str">
        <f aca="false">IF(BA1781&lt;=0,"",IF(CC1781="Aussen","Aussenlager",IF(CC1781="-","Nicht im Lift",IF(BF1781&gt;=1,"Lift",IF(BF1781&lt;=0,"Aussenlager","teilweise")))))</f>
        <v/>
      </c>
      <c r="BJ1781" s="48" t="str">
        <f aca="false">IF(A1781="","",IF(BS1781=1,"Neu; ","")&amp;IF(AND(BS1781=0,BN1781&lt;0),"negativer Bestand (Export "&amp;BN1781&amp;"); ","")&amp;IF(J1781&lt;=0,"Kein Verbrauch; ","")&amp;IF(CL1781&gt;0,"Lift "&amp;W1781&amp;" lt. Liftbericht (Fach "&amp;X1781&amp;" Stk); ",IF(BX1781=1,"Gebinde geschätzt ("&amp;T1781&amp;"); ",IF(BW1781=1,"Lose – Tablare geschätzt; ","")))&amp;IF(H1781&gt;AT1781,"Überbestand "&amp;ROUND(H1781-AT1781,0)&amp;" Stk / CHF "&amp;ROUND((H1781-AT1781)*G1781,0)&amp;"; ","")&amp;IF(AND(CE1781=1,CF1781&lt;CG1781),"MAX &lt; MB+LG; ","")&amp;IF(AND(CK1781&gt;0,CJ1781*10&gt;CK1781),"zu hoch für Tablar; ","")&amp;IF(AND(BS1781=0,OR(CE1781=1,AA1781&lt;&gt;"",U1781&lt;&gt;"",V1781&lt;&gt;"",AB1781&lt;&gt;"")),"manuell übersteuert; ","")&amp;IF(AND(BW1781=0,R1781=0),"Gebinde unbekannt / Stellmass fehlt; ","")&amp;IF(AND(BW1781=0,N(V1781)&lt;=0,N(Q1781)&lt;=0),"Menge pro Gebinde fehlt (Ist = 1 Gebinde); ","")&amp;BR1781)</f>
        <v/>
      </c>
      <c r="BK1781" s="48"/>
      <c r="BL1781" s="48"/>
      <c r="BM1781" s="55"/>
      <c r="BN1781" s="50" t="n">
        <f aca="false">N('Neue Artikel'!$D$42)</f>
        <v>0</v>
      </c>
      <c r="BO1781" s="50" t="n">
        <v>0</v>
      </c>
      <c r="BP1781" s="49" t="n">
        <v>0</v>
      </c>
      <c r="BQ1781" s="50" t="n">
        <f aca="false">N('Neue Artikel'!$C$42)/Parameter!$B$18</f>
        <v>0</v>
      </c>
      <c r="BR1781" s="48"/>
      <c r="BS1781" s="53" t="n">
        <v>1</v>
      </c>
      <c r="BT1781" s="53" t="n">
        <v>1781</v>
      </c>
      <c r="BU1781" s="48" t="str">
        <f aca="false">IF(U1781&lt;&gt;"",UPPER(TRIM(U1781)),IF(BX1781=1,UPPER(VLOOKUP(T1781,Parameter!$I$27:$K$29,2,0)),IF(P1781="","LOSE",P1781)))</f>
        <v>LOSE</v>
      </c>
      <c r="BV1781" s="50" t="n">
        <f aca="false">IF(BU1781="LOSE",1,IF(N(V1781)&gt;0,V1781,IF(BX1781=1,MAX(1,N(VLOOKUP(T1781,Parameter!$I$27:$K$29,3,0)),H1781,N(N1781)),IF(N(Q1781)&gt;0,Q1781,MAX(1,H1781)))))</f>
        <v>1</v>
      </c>
      <c r="BW1781" s="53" t="n">
        <f aca="false">IF(BU1781="LOSE",1,0)</f>
        <v>1</v>
      </c>
      <c r="BX1781" s="53" t="n">
        <f aca="false">IF(AND(U1781="",OR(P1781="",P1781="LOSE"),T1781&lt;&gt;"",N(S1781)&lt;=0,ISNUMBER(MATCH(T1781,Parameter!$I$27:$I$29,0))),1,0)</f>
        <v>0</v>
      </c>
      <c r="BY1781" s="53" t="n">
        <f aca="false">IF(CL1781&gt;0,INDEX(Parameter!$H$5:$H$7,W1781)/INDEX(Parameter!$E$5:$E$7,W1781),IF(AND(BW1781=0,N(IFERROR(VLOOKUP(BU1781,'Gebinde-Kategorie'!$A$5:$N$45,14,0),0))&gt;0),VLOOKUP(BU1781,'Gebinde-Kategorie'!$A$5:$N$45,14,0)*10+Parameter!$M$23,Parameter!$M$24))</f>
        <v>235</v>
      </c>
      <c r="BZ1781" s="48" t="str">
        <f aca="false">IF(AND(Parameter!$B$19="Ja",E1781&lt;&gt;"",ISNUMBER(MATCH(E1781,Parameter!$I$35:$I$52,0))),VLOOKUP(E1781,Parameter!$I$35:$J$52,2,0),IFERROR(VLOOKUP(D1781,Parameter!$A$35:$C$64,2,0),"Nein"))</f>
        <v>2+3</v>
      </c>
      <c r="CA1781" s="52" t="n">
        <f aca="false">IF(BW1781=0,0,IF(N(S1781)&gt;0,S1781,IFERROR(VLOOKUP(D1781,Parameter!$A$35:$C$64,3,0)+0,0)))</f>
        <v>0.15</v>
      </c>
      <c r="CB1781" s="48" t="str">
        <f aca="false">IF(AA1781&lt;&gt;"",AA1781,Z1781)</f>
        <v/>
      </c>
      <c r="CC1781" s="48" t="str">
        <f aca="false">IF(OR(CB1781=1,CB1781=2,CB1781=3),IF(Parameter!$E$27="Ja","LIFT",IF(CB1781=1,"L1","L23")),IF(CB1781="Aussen","Aussen","-"))</f>
        <v>-</v>
      </c>
      <c r="CD1781" s="59" t="n">
        <f aca="false">IF(N(AB1781)&gt;0,AB1781,0)</f>
        <v>0</v>
      </c>
      <c r="CE1781" s="53" t="n">
        <f aca="false">IF(ISNUMBER(AE1781),1,0)</f>
        <v>0</v>
      </c>
      <c r="CF1781" s="50" t="n">
        <f aca="false">N(AE1781)</f>
        <v>0</v>
      </c>
      <c r="CG1781" s="50" t="n">
        <f aca="false">N(M1781)+N(N1781)</f>
        <v>0</v>
      </c>
      <c r="CH1781" s="50" t="n">
        <f aca="false">ROUNDUP(H1781/BV1781,0)</f>
        <v>0</v>
      </c>
      <c r="CI1781" s="50" t="n">
        <f aca="false">ROUNDUP(CF1781/BV1781,0)</f>
        <v>0</v>
      </c>
      <c r="CJ1781" s="53" t="n">
        <f aca="false">IF(BW1781=1,0,IFERROR(VLOOKUP(BU1781,'Gebinde-Kategorie'!$A$5:$N$45,5,0)+0,0))</f>
        <v>0</v>
      </c>
      <c r="CK1781" s="53" t="n">
        <f aca="false">IFERROR(IF(OR(CB1781=1,CB1781=2,CB1781=3),N(INDEX(Parameter!$I$5:$I$7,CB1781)),0),0)</f>
        <v>0</v>
      </c>
      <c r="CL1781" s="52" t="n">
        <f aca="false">IF(AND(Parameter!$B$21="Ja",ISNUMBER(W1781),N(X1781)&gt;0),IFERROR(N(INDEX(Parameter!$L$5:$L$7,W1781))*INDEX(Parameter!$E$5:$E$7,W1781)*X1781/SUMIFS($X$7:$X$1843,$W$7:$W$1843,W1781),0),0)</f>
        <v>0</v>
      </c>
    </row>
    <row r="1782" customFormat="false" ht="15" hidden="false" customHeight="false" outlineLevel="0" collapsed="false">
      <c r="A1782" s="48" t="str">
        <f aca="false">IF('Neue Artikel'!$A$43="","",'Neue Artikel'!$A$43&amp;"")</f>
        <v/>
      </c>
      <c r="B1782" s="48" t="str">
        <f aca="false">'Neue Artikel'!$B$43&amp;""</f>
        <v/>
      </c>
      <c r="C1782" s="48"/>
      <c r="D1782" s="48" t="s">
        <v>3019</v>
      </c>
      <c r="E1782" s="48"/>
      <c r="F1782" s="48"/>
      <c r="G1782" s="49" t="n">
        <f aca="false">N('Neue Artikel'!$G$43)</f>
        <v>0</v>
      </c>
      <c r="H1782" s="50" t="n">
        <f aca="false">MAX(0,IF(AND(Parameter!$B$21="Ja",ISNUMBER(Y1782)),Y1782,IF(Parameter!$B$20="Jahresanfang 2025 + Export",BO1782+BN1782,BN1782)))</f>
        <v>0</v>
      </c>
      <c r="I1782" s="50" t="n">
        <f aca="false">H1782*G1782</f>
        <v>0</v>
      </c>
      <c r="J1782" s="50" t="n">
        <f aca="false">BQ1782*Parameter!$B$18</f>
        <v>0</v>
      </c>
      <c r="K1782" s="51"/>
      <c r="L1782" s="52"/>
      <c r="M1782" s="50" t="n">
        <f aca="false">N('Neue Artikel'!$E$43)</f>
        <v>0</v>
      </c>
      <c r="N1782" s="50" t="n">
        <f aca="false">N('Neue Artikel'!$F$43)</f>
        <v>0</v>
      </c>
      <c r="O1782" s="53"/>
      <c r="P1782" s="48" t="str">
        <f aca="false">IF('Neue Artikel'!$H$43="","LOSE",UPPER(TRIM('Neue Artikel'!$H$43)))</f>
        <v>LOSE</v>
      </c>
      <c r="Q1782" s="50" t="n">
        <f aca="false">N('Neue Artikel'!$I$43)</f>
        <v>0</v>
      </c>
      <c r="R1782" s="53" t="n">
        <f aca="false">IF(BW1782=1,0,IFERROR(VLOOKUP(BU1782,'Gebinde-Kategorie'!$A$5:$N$45,13,0)+0,0))</f>
        <v>0</v>
      </c>
      <c r="S1782" s="54"/>
      <c r="T1782" s="55"/>
      <c r="U1782" s="55"/>
      <c r="V1782" s="55"/>
      <c r="W1782" s="48"/>
      <c r="X1782" s="50"/>
      <c r="Y1782" s="50"/>
      <c r="Z1782" s="48" t="str">
        <f aca="false">IF(A1782="","",IF(AND(Parameter!$B$21="Ja",ISNUMBER(W1782)),W1782,IF(BZ1782="2+3",IF(ISNUMBER(SEARCH("grosser Artikel",BR1782)),2,IFERROR(VLOOKUP(BU1782,Parameter!$F$35:$G$64,2,0),2)),IF(OR(BZ1782="Nein",BZ1782=""),"-",BZ1782))))</f>
        <v/>
      </c>
      <c r="AA1782" s="48" t="str">
        <f aca="false">IF('Neue Artikel'!$J$43="","",'Neue Artikel'!$J$43)</f>
        <v/>
      </c>
      <c r="AB1782" s="56"/>
      <c r="AC1782" s="50" t="n">
        <f aca="false">AT1782</f>
        <v>0</v>
      </c>
      <c r="AD1782" s="50" t="n">
        <f aca="false">MAX(AT1782,H1782)</f>
        <v>0</v>
      </c>
      <c r="AE1782" s="57"/>
      <c r="AF1782" s="50" t="n">
        <f aca="false">IF(LEFT(Cockpit!$C$5,1)="A",H1782,IF(CE1782=1,CF1782,IF(LEFT(Cockpit!$C$5,1)="B",AK1782,MAX(AK1782,H1782))))</f>
        <v>0</v>
      </c>
      <c r="AG1782" s="50" t="n">
        <f aca="false">IF(BW1782=1,0,ROUNDUP(AF1782/BV1782,0))</f>
        <v>0</v>
      </c>
      <c r="AH1782" s="52" t="n">
        <f aca="false">IF(CL1782&gt;0,CL1782*MAX(1,AF1782/X1782),IF(BW1782=1,IF(AF1782&lt;=0,0,CA1782*MAX(1,IF(H1782&gt;0,AF1782/H1782,1))),IF(R1782&gt;0,AG1782/R1782,0))/MAX(0.1,N(Parameter!$M$21)))</f>
        <v>0</v>
      </c>
      <c r="AI1782" s="50" t="n">
        <f aca="false">AH1782*BY1782</f>
        <v>0</v>
      </c>
      <c r="AJ1782" s="50" t="n">
        <f aca="false">AF1782*G1782</f>
        <v>0</v>
      </c>
      <c r="AK1782" s="50" t="n">
        <f aca="false">ROUNDUP(MAX(J1782/IF(CD1782&gt;0,CD1782,MAX(0.1,N(Cockpit!$C$6))),CG1782)/BV1782,0)*BV1782</f>
        <v>0</v>
      </c>
      <c r="AL1782" s="51" t="n">
        <f aca="false">IF(AI1782&gt;0,J1782/AI1782,-1)</f>
        <v>-1</v>
      </c>
      <c r="AM1782" s="51" t="str">
        <f aca="false">IF(AND(OR(CC1782="L1",CC1782="L23",CC1782="LIFT"),AI1782&gt;0),SUMIFS($AI$7:$AI$1843,$CC$7:$CC$1843,CC1782,$AL$7:$AL$1843,"&gt;"&amp;AL1782)+SUMIFS($AI$7:$AI$1843,$CC$7:$CC$1843,CC1782,$AL$7:$AL$1843,AL1782,$BT$7:$BT$1843,"&lt;="&amp;BT1782),"")</f>
        <v/>
      </c>
      <c r="AN1782" s="58" t="n">
        <f aca="false">IF(AM1782="",0,MAX(0,MIN(1,(IF(CC1782="L1",Parameter!$H$5,IF(CC1782="L23",Parameter!$H$6+Parameter!$H$7,Parameter!$H$5+Parameter!$H$6+Parameter!$H$7))-(AM1782-AI1782))/AI1782)))</f>
        <v>0</v>
      </c>
      <c r="AO1782" s="50" t="n">
        <f aca="false">IF(LEFT(Cockpit!$I$5,1)="A",H1782,IF(CE1782=1,CF1782,IF(LEFT(Cockpit!$I$5,1)="B",AT1782,MAX(AT1782,H1782))))</f>
        <v>0</v>
      </c>
      <c r="AP1782" s="50" t="n">
        <f aca="false">IF(BW1782=1,0,ROUNDUP(AO1782/BV1782,0))</f>
        <v>0</v>
      </c>
      <c r="AQ1782" s="52" t="n">
        <f aca="false">IF(CL1782&gt;0,CL1782*MAX(1,AO1782/X1782),IF(BW1782=1,IF(AO1782&lt;=0,0,CA1782*MAX(1,IF(H1782&gt;0,AO1782/H1782,1))),IF(R1782&gt;0,AP1782/R1782,0))/MAX(0.1,N(Parameter!$M$21)))</f>
        <v>0</v>
      </c>
      <c r="AR1782" s="50" t="n">
        <f aca="false">AQ1782*BY1782</f>
        <v>0</v>
      </c>
      <c r="AS1782" s="50" t="n">
        <f aca="false">AO1782*G1782</f>
        <v>0</v>
      </c>
      <c r="AT1782" s="50" t="n">
        <f aca="false">ROUNDUP(MAX(J1782/IF(CD1782&gt;0,CD1782,MAX(0.1,N(Cockpit!$I$6))),CG1782)/BV1782,0)*BV1782</f>
        <v>0</v>
      </c>
      <c r="AU1782" s="51" t="n">
        <f aca="false">IF(AR1782&gt;0,J1782/AR1782,-1)</f>
        <v>-1</v>
      </c>
      <c r="AV1782" s="51" t="str">
        <f aca="false">IF(AND(OR(CC1782="L1",CC1782="L23",CC1782="LIFT"),AR1782&gt;0),SUMIFS($AR$7:$AR$1843,$CC$7:$CC$1843,CC1782,$AU$7:$AU$1843,"&gt;"&amp;AU1782)+SUMIFS($AR$7:$AR$1843,$CC$7:$CC$1843,CC1782,$AU$7:$AU$1843,AU1782,$BT$7:$BT$1843,"&lt;="&amp;BT1782),"")</f>
        <v/>
      </c>
      <c r="AW1782" s="58" t="n">
        <f aca="false">IF(AV1782="",0,MAX(0,MIN(1,(IF(CC1782="L1",Parameter!$H$5,IF(CC1782="L23",Parameter!$H$6+Parameter!$H$7,Parameter!$H$5+Parameter!$H$6+Parameter!$H$7))-(AV1782-AR1782))/AR1782)))</f>
        <v>0</v>
      </c>
      <c r="AX1782" s="50" t="n">
        <f aca="false">IF(LEFT(Cockpit!$O$5,1)="A",H1782,IF(CE1782=1,CF1782,IF(LEFT(Cockpit!$O$5,1)="B",BC1782,MAX(BC1782,H1782))))</f>
        <v>0</v>
      </c>
      <c r="AY1782" s="50" t="n">
        <f aca="false">IF(BW1782=1,0,ROUNDUP(AX1782/BV1782,0))</f>
        <v>0</v>
      </c>
      <c r="AZ1782" s="52" t="n">
        <f aca="false">IF(CL1782&gt;0,CL1782*MAX(1,AX1782/X1782),IF(BW1782=1,IF(AX1782&lt;=0,0,CA1782*MAX(1,IF(H1782&gt;0,AX1782/H1782,1))),IF(R1782&gt;0,AY1782/R1782,0))/MAX(0.1,N(Parameter!$M$21)))</f>
        <v>0</v>
      </c>
      <c r="BA1782" s="50" t="n">
        <f aca="false">AZ1782*BY1782</f>
        <v>0</v>
      </c>
      <c r="BB1782" s="50" t="n">
        <f aca="false">AX1782*G1782</f>
        <v>0</v>
      </c>
      <c r="BC1782" s="50" t="n">
        <f aca="false">ROUNDUP(MAX(J1782/IF(CD1782&gt;0,CD1782,MAX(0.1,N(Cockpit!$O$6))),CG1782)/BV1782,0)*BV1782</f>
        <v>0</v>
      </c>
      <c r="BD1782" s="51" t="n">
        <f aca="false">IF(BA1782&gt;0,J1782/BA1782,-1)</f>
        <v>-1</v>
      </c>
      <c r="BE1782" s="51" t="str">
        <f aca="false">IF(AND(OR(CC1782="L1",CC1782="L23",CC1782="LIFT"),BA1782&gt;0),SUMIFS($BA$7:$BA$1843,$CC$7:$CC$1843,CC1782,$BD$7:$BD$1843,"&gt;"&amp;BD1782)+SUMIFS($BA$7:$BA$1843,$CC$7:$CC$1843,CC1782,$BD$7:$BD$1843,BD1782,$BT$7:$BT$1843,"&lt;="&amp;BT1782),"")</f>
        <v/>
      </c>
      <c r="BF1782" s="58" t="n">
        <f aca="false">IF(BE1782="",0,MAX(0,MIN(1,(IF(CC1782="L1",Parameter!$H$5,IF(CC1782="L23",Parameter!$H$6+Parameter!$H$7,Parameter!$H$5+Parameter!$H$6+Parameter!$H$7))-(BE1782-BA1782))/BA1782)))</f>
        <v>0</v>
      </c>
      <c r="BG1782" s="48" t="str">
        <f aca="false">IF(AI1782&lt;=0,"",IF(CC1782="Aussen","Aussenlager",IF(CC1782="-","Nicht im Lift",IF(AN1782&gt;=1,"Lift",IF(AN1782&lt;=0,"Aussenlager","teilweise")))))</f>
        <v/>
      </c>
      <c r="BH1782" s="48" t="str">
        <f aca="false">IF(AR1782&lt;=0,"",IF(CC1782="Aussen","Aussenlager",IF(CC1782="-","Nicht im Lift",IF(AW1782&gt;=1,"Lift",IF(AW1782&lt;=0,"Aussenlager","teilweise")))))</f>
        <v/>
      </c>
      <c r="BI1782" s="48" t="str">
        <f aca="false">IF(BA1782&lt;=0,"",IF(CC1782="Aussen","Aussenlager",IF(CC1782="-","Nicht im Lift",IF(BF1782&gt;=1,"Lift",IF(BF1782&lt;=0,"Aussenlager","teilweise")))))</f>
        <v/>
      </c>
      <c r="BJ1782" s="48" t="str">
        <f aca="false">IF(A1782="","",IF(BS1782=1,"Neu; ","")&amp;IF(AND(BS1782=0,BN1782&lt;0),"negativer Bestand (Export "&amp;BN1782&amp;"); ","")&amp;IF(J1782&lt;=0,"Kein Verbrauch; ","")&amp;IF(CL1782&gt;0,"Lift "&amp;W1782&amp;" lt. Liftbericht (Fach "&amp;X1782&amp;" Stk); ",IF(BX1782=1,"Gebinde geschätzt ("&amp;T1782&amp;"); ",IF(BW1782=1,"Lose – Tablare geschätzt; ","")))&amp;IF(H1782&gt;AT1782,"Überbestand "&amp;ROUND(H1782-AT1782,0)&amp;" Stk / CHF "&amp;ROUND((H1782-AT1782)*G1782,0)&amp;"; ","")&amp;IF(AND(CE1782=1,CF1782&lt;CG1782),"MAX &lt; MB+LG; ","")&amp;IF(AND(CK1782&gt;0,CJ1782*10&gt;CK1782),"zu hoch für Tablar; ","")&amp;IF(AND(BS1782=0,OR(CE1782=1,AA1782&lt;&gt;"",U1782&lt;&gt;"",V1782&lt;&gt;"",AB1782&lt;&gt;"")),"manuell übersteuert; ","")&amp;IF(AND(BW1782=0,R1782=0),"Gebinde unbekannt / Stellmass fehlt; ","")&amp;IF(AND(BW1782=0,N(V1782)&lt;=0,N(Q1782)&lt;=0),"Menge pro Gebinde fehlt (Ist = 1 Gebinde); ","")&amp;BR1782)</f>
        <v/>
      </c>
      <c r="BK1782" s="48"/>
      <c r="BL1782" s="48"/>
      <c r="BM1782" s="55"/>
      <c r="BN1782" s="50" t="n">
        <f aca="false">N('Neue Artikel'!$D$43)</f>
        <v>0</v>
      </c>
      <c r="BO1782" s="50" t="n">
        <v>0</v>
      </c>
      <c r="BP1782" s="49" t="n">
        <v>0</v>
      </c>
      <c r="BQ1782" s="50" t="n">
        <f aca="false">N('Neue Artikel'!$C$43)/Parameter!$B$18</f>
        <v>0</v>
      </c>
      <c r="BR1782" s="48"/>
      <c r="BS1782" s="53" t="n">
        <v>1</v>
      </c>
      <c r="BT1782" s="53" t="n">
        <v>1782</v>
      </c>
      <c r="BU1782" s="48" t="str">
        <f aca="false">IF(U1782&lt;&gt;"",UPPER(TRIM(U1782)),IF(BX1782=1,UPPER(VLOOKUP(T1782,Parameter!$I$27:$K$29,2,0)),IF(P1782="","LOSE",P1782)))</f>
        <v>LOSE</v>
      </c>
      <c r="BV1782" s="50" t="n">
        <f aca="false">IF(BU1782="LOSE",1,IF(N(V1782)&gt;0,V1782,IF(BX1782=1,MAX(1,N(VLOOKUP(T1782,Parameter!$I$27:$K$29,3,0)),H1782,N(N1782)),IF(N(Q1782)&gt;0,Q1782,MAX(1,H1782)))))</f>
        <v>1</v>
      </c>
      <c r="BW1782" s="53" t="n">
        <f aca="false">IF(BU1782="LOSE",1,0)</f>
        <v>1</v>
      </c>
      <c r="BX1782" s="53" t="n">
        <f aca="false">IF(AND(U1782="",OR(P1782="",P1782="LOSE"),T1782&lt;&gt;"",N(S1782)&lt;=0,ISNUMBER(MATCH(T1782,Parameter!$I$27:$I$29,0))),1,0)</f>
        <v>0</v>
      </c>
      <c r="BY1782" s="53" t="n">
        <f aca="false">IF(CL1782&gt;0,INDEX(Parameter!$H$5:$H$7,W1782)/INDEX(Parameter!$E$5:$E$7,W1782),IF(AND(BW1782=0,N(IFERROR(VLOOKUP(BU1782,'Gebinde-Kategorie'!$A$5:$N$45,14,0),0))&gt;0),VLOOKUP(BU1782,'Gebinde-Kategorie'!$A$5:$N$45,14,0)*10+Parameter!$M$23,Parameter!$M$24))</f>
        <v>235</v>
      </c>
      <c r="BZ1782" s="48" t="str">
        <f aca="false">IF(AND(Parameter!$B$19="Ja",E1782&lt;&gt;"",ISNUMBER(MATCH(E1782,Parameter!$I$35:$I$52,0))),VLOOKUP(E1782,Parameter!$I$35:$J$52,2,0),IFERROR(VLOOKUP(D1782,Parameter!$A$35:$C$64,2,0),"Nein"))</f>
        <v>2+3</v>
      </c>
      <c r="CA1782" s="52" t="n">
        <f aca="false">IF(BW1782=0,0,IF(N(S1782)&gt;0,S1782,IFERROR(VLOOKUP(D1782,Parameter!$A$35:$C$64,3,0)+0,0)))</f>
        <v>0.15</v>
      </c>
      <c r="CB1782" s="48" t="str">
        <f aca="false">IF(AA1782&lt;&gt;"",AA1782,Z1782)</f>
        <v/>
      </c>
      <c r="CC1782" s="48" t="str">
        <f aca="false">IF(OR(CB1782=1,CB1782=2,CB1782=3),IF(Parameter!$E$27="Ja","LIFT",IF(CB1782=1,"L1","L23")),IF(CB1782="Aussen","Aussen","-"))</f>
        <v>-</v>
      </c>
      <c r="CD1782" s="59" t="n">
        <f aca="false">IF(N(AB1782)&gt;0,AB1782,0)</f>
        <v>0</v>
      </c>
      <c r="CE1782" s="53" t="n">
        <f aca="false">IF(ISNUMBER(AE1782),1,0)</f>
        <v>0</v>
      </c>
      <c r="CF1782" s="50" t="n">
        <f aca="false">N(AE1782)</f>
        <v>0</v>
      </c>
      <c r="CG1782" s="50" t="n">
        <f aca="false">N(M1782)+N(N1782)</f>
        <v>0</v>
      </c>
      <c r="CH1782" s="50" t="n">
        <f aca="false">ROUNDUP(H1782/BV1782,0)</f>
        <v>0</v>
      </c>
      <c r="CI1782" s="50" t="n">
        <f aca="false">ROUNDUP(CF1782/BV1782,0)</f>
        <v>0</v>
      </c>
      <c r="CJ1782" s="53" t="n">
        <f aca="false">IF(BW1782=1,0,IFERROR(VLOOKUP(BU1782,'Gebinde-Kategorie'!$A$5:$N$45,5,0)+0,0))</f>
        <v>0</v>
      </c>
      <c r="CK1782" s="53" t="n">
        <f aca="false">IFERROR(IF(OR(CB1782=1,CB1782=2,CB1782=3),N(INDEX(Parameter!$I$5:$I$7,CB1782)),0),0)</f>
        <v>0</v>
      </c>
      <c r="CL1782" s="52" t="n">
        <f aca="false">IF(AND(Parameter!$B$21="Ja",ISNUMBER(W1782),N(X1782)&gt;0),IFERROR(N(INDEX(Parameter!$L$5:$L$7,W1782))*INDEX(Parameter!$E$5:$E$7,W1782)*X1782/SUMIFS($X$7:$X$1843,$W$7:$W$1843,W1782),0),0)</f>
        <v>0</v>
      </c>
    </row>
    <row r="1783" customFormat="false" ht="15" hidden="false" customHeight="false" outlineLevel="0" collapsed="false">
      <c r="A1783" s="48" t="str">
        <f aca="false">IF('Neue Artikel'!$A$44="","",'Neue Artikel'!$A$44&amp;"")</f>
        <v/>
      </c>
      <c r="B1783" s="48" t="str">
        <f aca="false">'Neue Artikel'!$B$44&amp;""</f>
        <v/>
      </c>
      <c r="C1783" s="48"/>
      <c r="D1783" s="48" t="s">
        <v>3019</v>
      </c>
      <c r="E1783" s="48"/>
      <c r="F1783" s="48"/>
      <c r="G1783" s="49" t="n">
        <f aca="false">N('Neue Artikel'!$G$44)</f>
        <v>0</v>
      </c>
      <c r="H1783" s="50" t="n">
        <f aca="false">MAX(0,IF(AND(Parameter!$B$21="Ja",ISNUMBER(Y1783)),Y1783,IF(Parameter!$B$20="Jahresanfang 2025 + Export",BO1783+BN1783,BN1783)))</f>
        <v>0</v>
      </c>
      <c r="I1783" s="50" t="n">
        <f aca="false">H1783*G1783</f>
        <v>0</v>
      </c>
      <c r="J1783" s="50" t="n">
        <f aca="false">BQ1783*Parameter!$B$18</f>
        <v>0</v>
      </c>
      <c r="K1783" s="51"/>
      <c r="L1783" s="52"/>
      <c r="M1783" s="50" t="n">
        <f aca="false">N('Neue Artikel'!$E$44)</f>
        <v>0</v>
      </c>
      <c r="N1783" s="50" t="n">
        <f aca="false">N('Neue Artikel'!$F$44)</f>
        <v>0</v>
      </c>
      <c r="O1783" s="53"/>
      <c r="P1783" s="48" t="str">
        <f aca="false">IF('Neue Artikel'!$H$44="","LOSE",UPPER(TRIM('Neue Artikel'!$H$44)))</f>
        <v>LOSE</v>
      </c>
      <c r="Q1783" s="50" t="n">
        <f aca="false">N('Neue Artikel'!$I$44)</f>
        <v>0</v>
      </c>
      <c r="R1783" s="53" t="n">
        <f aca="false">IF(BW1783=1,0,IFERROR(VLOOKUP(BU1783,'Gebinde-Kategorie'!$A$5:$N$45,13,0)+0,0))</f>
        <v>0</v>
      </c>
      <c r="S1783" s="54"/>
      <c r="T1783" s="55"/>
      <c r="U1783" s="55"/>
      <c r="V1783" s="55"/>
      <c r="W1783" s="48"/>
      <c r="X1783" s="50"/>
      <c r="Y1783" s="50"/>
      <c r="Z1783" s="48" t="str">
        <f aca="false">IF(A1783="","",IF(AND(Parameter!$B$21="Ja",ISNUMBER(W1783)),W1783,IF(BZ1783="2+3",IF(ISNUMBER(SEARCH("grosser Artikel",BR1783)),2,IFERROR(VLOOKUP(BU1783,Parameter!$F$35:$G$64,2,0),2)),IF(OR(BZ1783="Nein",BZ1783=""),"-",BZ1783))))</f>
        <v/>
      </c>
      <c r="AA1783" s="48" t="str">
        <f aca="false">IF('Neue Artikel'!$J$44="","",'Neue Artikel'!$J$44)</f>
        <v/>
      </c>
      <c r="AB1783" s="56"/>
      <c r="AC1783" s="50" t="n">
        <f aca="false">AT1783</f>
        <v>0</v>
      </c>
      <c r="AD1783" s="50" t="n">
        <f aca="false">MAX(AT1783,H1783)</f>
        <v>0</v>
      </c>
      <c r="AE1783" s="57"/>
      <c r="AF1783" s="50" t="n">
        <f aca="false">IF(LEFT(Cockpit!$C$5,1)="A",H1783,IF(CE1783=1,CF1783,IF(LEFT(Cockpit!$C$5,1)="B",AK1783,MAX(AK1783,H1783))))</f>
        <v>0</v>
      </c>
      <c r="AG1783" s="50" t="n">
        <f aca="false">IF(BW1783=1,0,ROUNDUP(AF1783/BV1783,0))</f>
        <v>0</v>
      </c>
      <c r="AH1783" s="52" t="n">
        <f aca="false">IF(CL1783&gt;0,CL1783*MAX(1,AF1783/X1783),IF(BW1783=1,IF(AF1783&lt;=0,0,CA1783*MAX(1,IF(H1783&gt;0,AF1783/H1783,1))),IF(R1783&gt;0,AG1783/R1783,0))/MAX(0.1,N(Parameter!$M$21)))</f>
        <v>0</v>
      </c>
      <c r="AI1783" s="50" t="n">
        <f aca="false">AH1783*BY1783</f>
        <v>0</v>
      </c>
      <c r="AJ1783" s="50" t="n">
        <f aca="false">AF1783*G1783</f>
        <v>0</v>
      </c>
      <c r="AK1783" s="50" t="n">
        <f aca="false">ROUNDUP(MAX(J1783/IF(CD1783&gt;0,CD1783,MAX(0.1,N(Cockpit!$C$6))),CG1783)/BV1783,0)*BV1783</f>
        <v>0</v>
      </c>
      <c r="AL1783" s="51" t="n">
        <f aca="false">IF(AI1783&gt;0,J1783/AI1783,-1)</f>
        <v>-1</v>
      </c>
      <c r="AM1783" s="51" t="str">
        <f aca="false">IF(AND(OR(CC1783="L1",CC1783="L23",CC1783="LIFT"),AI1783&gt;0),SUMIFS($AI$7:$AI$1843,$CC$7:$CC$1843,CC1783,$AL$7:$AL$1843,"&gt;"&amp;AL1783)+SUMIFS($AI$7:$AI$1843,$CC$7:$CC$1843,CC1783,$AL$7:$AL$1843,AL1783,$BT$7:$BT$1843,"&lt;="&amp;BT1783),"")</f>
        <v/>
      </c>
      <c r="AN1783" s="58" t="n">
        <f aca="false">IF(AM1783="",0,MAX(0,MIN(1,(IF(CC1783="L1",Parameter!$H$5,IF(CC1783="L23",Parameter!$H$6+Parameter!$H$7,Parameter!$H$5+Parameter!$H$6+Parameter!$H$7))-(AM1783-AI1783))/AI1783)))</f>
        <v>0</v>
      </c>
      <c r="AO1783" s="50" t="n">
        <f aca="false">IF(LEFT(Cockpit!$I$5,1)="A",H1783,IF(CE1783=1,CF1783,IF(LEFT(Cockpit!$I$5,1)="B",AT1783,MAX(AT1783,H1783))))</f>
        <v>0</v>
      </c>
      <c r="AP1783" s="50" t="n">
        <f aca="false">IF(BW1783=1,0,ROUNDUP(AO1783/BV1783,0))</f>
        <v>0</v>
      </c>
      <c r="AQ1783" s="52" t="n">
        <f aca="false">IF(CL1783&gt;0,CL1783*MAX(1,AO1783/X1783),IF(BW1783=1,IF(AO1783&lt;=0,0,CA1783*MAX(1,IF(H1783&gt;0,AO1783/H1783,1))),IF(R1783&gt;0,AP1783/R1783,0))/MAX(0.1,N(Parameter!$M$21)))</f>
        <v>0</v>
      </c>
      <c r="AR1783" s="50" t="n">
        <f aca="false">AQ1783*BY1783</f>
        <v>0</v>
      </c>
      <c r="AS1783" s="50" t="n">
        <f aca="false">AO1783*G1783</f>
        <v>0</v>
      </c>
      <c r="AT1783" s="50" t="n">
        <f aca="false">ROUNDUP(MAX(J1783/IF(CD1783&gt;0,CD1783,MAX(0.1,N(Cockpit!$I$6))),CG1783)/BV1783,0)*BV1783</f>
        <v>0</v>
      </c>
      <c r="AU1783" s="51" t="n">
        <f aca="false">IF(AR1783&gt;0,J1783/AR1783,-1)</f>
        <v>-1</v>
      </c>
      <c r="AV1783" s="51" t="str">
        <f aca="false">IF(AND(OR(CC1783="L1",CC1783="L23",CC1783="LIFT"),AR1783&gt;0),SUMIFS($AR$7:$AR$1843,$CC$7:$CC$1843,CC1783,$AU$7:$AU$1843,"&gt;"&amp;AU1783)+SUMIFS($AR$7:$AR$1843,$CC$7:$CC$1843,CC1783,$AU$7:$AU$1843,AU1783,$BT$7:$BT$1843,"&lt;="&amp;BT1783),"")</f>
        <v/>
      </c>
      <c r="AW1783" s="58" t="n">
        <f aca="false">IF(AV1783="",0,MAX(0,MIN(1,(IF(CC1783="L1",Parameter!$H$5,IF(CC1783="L23",Parameter!$H$6+Parameter!$H$7,Parameter!$H$5+Parameter!$H$6+Parameter!$H$7))-(AV1783-AR1783))/AR1783)))</f>
        <v>0</v>
      </c>
      <c r="AX1783" s="50" t="n">
        <f aca="false">IF(LEFT(Cockpit!$O$5,1)="A",H1783,IF(CE1783=1,CF1783,IF(LEFT(Cockpit!$O$5,1)="B",BC1783,MAX(BC1783,H1783))))</f>
        <v>0</v>
      </c>
      <c r="AY1783" s="50" t="n">
        <f aca="false">IF(BW1783=1,0,ROUNDUP(AX1783/BV1783,0))</f>
        <v>0</v>
      </c>
      <c r="AZ1783" s="52" t="n">
        <f aca="false">IF(CL1783&gt;0,CL1783*MAX(1,AX1783/X1783),IF(BW1783=1,IF(AX1783&lt;=0,0,CA1783*MAX(1,IF(H1783&gt;0,AX1783/H1783,1))),IF(R1783&gt;0,AY1783/R1783,0))/MAX(0.1,N(Parameter!$M$21)))</f>
        <v>0</v>
      </c>
      <c r="BA1783" s="50" t="n">
        <f aca="false">AZ1783*BY1783</f>
        <v>0</v>
      </c>
      <c r="BB1783" s="50" t="n">
        <f aca="false">AX1783*G1783</f>
        <v>0</v>
      </c>
      <c r="BC1783" s="50" t="n">
        <f aca="false">ROUNDUP(MAX(J1783/IF(CD1783&gt;0,CD1783,MAX(0.1,N(Cockpit!$O$6))),CG1783)/BV1783,0)*BV1783</f>
        <v>0</v>
      </c>
      <c r="BD1783" s="51" t="n">
        <f aca="false">IF(BA1783&gt;0,J1783/BA1783,-1)</f>
        <v>-1</v>
      </c>
      <c r="BE1783" s="51" t="str">
        <f aca="false">IF(AND(OR(CC1783="L1",CC1783="L23",CC1783="LIFT"),BA1783&gt;0),SUMIFS($BA$7:$BA$1843,$CC$7:$CC$1843,CC1783,$BD$7:$BD$1843,"&gt;"&amp;BD1783)+SUMIFS($BA$7:$BA$1843,$CC$7:$CC$1843,CC1783,$BD$7:$BD$1843,BD1783,$BT$7:$BT$1843,"&lt;="&amp;BT1783),"")</f>
        <v/>
      </c>
      <c r="BF1783" s="58" t="n">
        <f aca="false">IF(BE1783="",0,MAX(0,MIN(1,(IF(CC1783="L1",Parameter!$H$5,IF(CC1783="L23",Parameter!$H$6+Parameter!$H$7,Parameter!$H$5+Parameter!$H$6+Parameter!$H$7))-(BE1783-BA1783))/BA1783)))</f>
        <v>0</v>
      </c>
      <c r="BG1783" s="48" t="str">
        <f aca="false">IF(AI1783&lt;=0,"",IF(CC1783="Aussen","Aussenlager",IF(CC1783="-","Nicht im Lift",IF(AN1783&gt;=1,"Lift",IF(AN1783&lt;=0,"Aussenlager","teilweise")))))</f>
        <v/>
      </c>
      <c r="BH1783" s="48" t="str">
        <f aca="false">IF(AR1783&lt;=0,"",IF(CC1783="Aussen","Aussenlager",IF(CC1783="-","Nicht im Lift",IF(AW1783&gt;=1,"Lift",IF(AW1783&lt;=0,"Aussenlager","teilweise")))))</f>
        <v/>
      </c>
      <c r="BI1783" s="48" t="str">
        <f aca="false">IF(BA1783&lt;=0,"",IF(CC1783="Aussen","Aussenlager",IF(CC1783="-","Nicht im Lift",IF(BF1783&gt;=1,"Lift",IF(BF1783&lt;=0,"Aussenlager","teilweise")))))</f>
        <v/>
      </c>
      <c r="BJ1783" s="48" t="str">
        <f aca="false">IF(A1783="","",IF(BS1783=1,"Neu; ","")&amp;IF(AND(BS1783=0,BN1783&lt;0),"negativer Bestand (Export "&amp;BN1783&amp;"); ","")&amp;IF(J1783&lt;=0,"Kein Verbrauch; ","")&amp;IF(CL1783&gt;0,"Lift "&amp;W1783&amp;" lt. Liftbericht (Fach "&amp;X1783&amp;" Stk); ",IF(BX1783=1,"Gebinde geschätzt ("&amp;T1783&amp;"); ",IF(BW1783=1,"Lose – Tablare geschätzt; ","")))&amp;IF(H1783&gt;AT1783,"Überbestand "&amp;ROUND(H1783-AT1783,0)&amp;" Stk / CHF "&amp;ROUND((H1783-AT1783)*G1783,0)&amp;"; ","")&amp;IF(AND(CE1783=1,CF1783&lt;CG1783),"MAX &lt; MB+LG; ","")&amp;IF(AND(CK1783&gt;0,CJ1783*10&gt;CK1783),"zu hoch für Tablar; ","")&amp;IF(AND(BS1783=0,OR(CE1783=1,AA1783&lt;&gt;"",U1783&lt;&gt;"",V1783&lt;&gt;"",AB1783&lt;&gt;"")),"manuell übersteuert; ","")&amp;IF(AND(BW1783=0,R1783=0),"Gebinde unbekannt / Stellmass fehlt; ","")&amp;IF(AND(BW1783=0,N(V1783)&lt;=0,N(Q1783)&lt;=0),"Menge pro Gebinde fehlt (Ist = 1 Gebinde); ","")&amp;BR1783)</f>
        <v/>
      </c>
      <c r="BK1783" s="48"/>
      <c r="BL1783" s="48"/>
      <c r="BM1783" s="55"/>
      <c r="BN1783" s="50" t="n">
        <f aca="false">N('Neue Artikel'!$D$44)</f>
        <v>0</v>
      </c>
      <c r="BO1783" s="50" t="n">
        <v>0</v>
      </c>
      <c r="BP1783" s="49" t="n">
        <v>0</v>
      </c>
      <c r="BQ1783" s="50" t="n">
        <f aca="false">N('Neue Artikel'!$C$44)/Parameter!$B$18</f>
        <v>0</v>
      </c>
      <c r="BR1783" s="48"/>
      <c r="BS1783" s="53" t="n">
        <v>1</v>
      </c>
      <c r="BT1783" s="53" t="n">
        <v>1783</v>
      </c>
      <c r="BU1783" s="48" t="str">
        <f aca="false">IF(U1783&lt;&gt;"",UPPER(TRIM(U1783)),IF(BX1783=1,UPPER(VLOOKUP(T1783,Parameter!$I$27:$K$29,2,0)),IF(P1783="","LOSE",P1783)))</f>
        <v>LOSE</v>
      </c>
      <c r="BV1783" s="50" t="n">
        <f aca="false">IF(BU1783="LOSE",1,IF(N(V1783)&gt;0,V1783,IF(BX1783=1,MAX(1,N(VLOOKUP(T1783,Parameter!$I$27:$K$29,3,0)),H1783,N(N1783)),IF(N(Q1783)&gt;0,Q1783,MAX(1,H1783)))))</f>
        <v>1</v>
      </c>
      <c r="BW1783" s="53" t="n">
        <f aca="false">IF(BU1783="LOSE",1,0)</f>
        <v>1</v>
      </c>
      <c r="BX1783" s="53" t="n">
        <f aca="false">IF(AND(U1783="",OR(P1783="",P1783="LOSE"),T1783&lt;&gt;"",N(S1783)&lt;=0,ISNUMBER(MATCH(T1783,Parameter!$I$27:$I$29,0))),1,0)</f>
        <v>0</v>
      </c>
      <c r="BY1783" s="53" t="n">
        <f aca="false">IF(CL1783&gt;0,INDEX(Parameter!$H$5:$H$7,W1783)/INDEX(Parameter!$E$5:$E$7,W1783),IF(AND(BW1783=0,N(IFERROR(VLOOKUP(BU1783,'Gebinde-Kategorie'!$A$5:$N$45,14,0),0))&gt;0),VLOOKUP(BU1783,'Gebinde-Kategorie'!$A$5:$N$45,14,0)*10+Parameter!$M$23,Parameter!$M$24))</f>
        <v>235</v>
      </c>
      <c r="BZ1783" s="48" t="str">
        <f aca="false">IF(AND(Parameter!$B$19="Ja",E1783&lt;&gt;"",ISNUMBER(MATCH(E1783,Parameter!$I$35:$I$52,0))),VLOOKUP(E1783,Parameter!$I$35:$J$52,2,0),IFERROR(VLOOKUP(D1783,Parameter!$A$35:$C$64,2,0),"Nein"))</f>
        <v>2+3</v>
      </c>
      <c r="CA1783" s="52" t="n">
        <f aca="false">IF(BW1783=0,0,IF(N(S1783)&gt;0,S1783,IFERROR(VLOOKUP(D1783,Parameter!$A$35:$C$64,3,0)+0,0)))</f>
        <v>0.15</v>
      </c>
      <c r="CB1783" s="48" t="str">
        <f aca="false">IF(AA1783&lt;&gt;"",AA1783,Z1783)</f>
        <v/>
      </c>
      <c r="CC1783" s="48" t="str">
        <f aca="false">IF(OR(CB1783=1,CB1783=2,CB1783=3),IF(Parameter!$E$27="Ja","LIFT",IF(CB1783=1,"L1","L23")),IF(CB1783="Aussen","Aussen","-"))</f>
        <v>-</v>
      </c>
      <c r="CD1783" s="59" t="n">
        <f aca="false">IF(N(AB1783)&gt;0,AB1783,0)</f>
        <v>0</v>
      </c>
      <c r="CE1783" s="53" t="n">
        <f aca="false">IF(ISNUMBER(AE1783),1,0)</f>
        <v>0</v>
      </c>
      <c r="CF1783" s="50" t="n">
        <f aca="false">N(AE1783)</f>
        <v>0</v>
      </c>
      <c r="CG1783" s="50" t="n">
        <f aca="false">N(M1783)+N(N1783)</f>
        <v>0</v>
      </c>
      <c r="CH1783" s="50" t="n">
        <f aca="false">ROUNDUP(H1783/BV1783,0)</f>
        <v>0</v>
      </c>
      <c r="CI1783" s="50" t="n">
        <f aca="false">ROUNDUP(CF1783/BV1783,0)</f>
        <v>0</v>
      </c>
      <c r="CJ1783" s="53" t="n">
        <f aca="false">IF(BW1783=1,0,IFERROR(VLOOKUP(BU1783,'Gebinde-Kategorie'!$A$5:$N$45,5,0)+0,0))</f>
        <v>0</v>
      </c>
      <c r="CK1783" s="53" t="n">
        <f aca="false">IFERROR(IF(OR(CB1783=1,CB1783=2,CB1783=3),N(INDEX(Parameter!$I$5:$I$7,CB1783)),0),0)</f>
        <v>0</v>
      </c>
      <c r="CL1783" s="52" t="n">
        <f aca="false">IF(AND(Parameter!$B$21="Ja",ISNUMBER(W1783),N(X1783)&gt;0),IFERROR(N(INDEX(Parameter!$L$5:$L$7,W1783))*INDEX(Parameter!$E$5:$E$7,W1783)*X1783/SUMIFS($X$7:$X$1843,$W$7:$W$1843,W1783),0),0)</f>
        <v>0</v>
      </c>
    </row>
    <row r="1784" customFormat="false" ht="15" hidden="false" customHeight="false" outlineLevel="0" collapsed="false">
      <c r="A1784" s="48" t="str">
        <f aca="false">IF('Neue Artikel'!$A$45="","",'Neue Artikel'!$A$45&amp;"")</f>
        <v/>
      </c>
      <c r="B1784" s="48" t="str">
        <f aca="false">'Neue Artikel'!$B$45&amp;""</f>
        <v/>
      </c>
      <c r="C1784" s="48"/>
      <c r="D1784" s="48" t="s">
        <v>3019</v>
      </c>
      <c r="E1784" s="48"/>
      <c r="F1784" s="48"/>
      <c r="G1784" s="49" t="n">
        <f aca="false">N('Neue Artikel'!$G$45)</f>
        <v>0</v>
      </c>
      <c r="H1784" s="50" t="n">
        <f aca="false">MAX(0,IF(AND(Parameter!$B$21="Ja",ISNUMBER(Y1784)),Y1784,IF(Parameter!$B$20="Jahresanfang 2025 + Export",BO1784+BN1784,BN1784)))</f>
        <v>0</v>
      </c>
      <c r="I1784" s="50" t="n">
        <f aca="false">H1784*G1784</f>
        <v>0</v>
      </c>
      <c r="J1784" s="50" t="n">
        <f aca="false">BQ1784*Parameter!$B$18</f>
        <v>0</v>
      </c>
      <c r="K1784" s="51"/>
      <c r="L1784" s="52"/>
      <c r="M1784" s="50" t="n">
        <f aca="false">N('Neue Artikel'!$E$45)</f>
        <v>0</v>
      </c>
      <c r="N1784" s="50" t="n">
        <f aca="false">N('Neue Artikel'!$F$45)</f>
        <v>0</v>
      </c>
      <c r="O1784" s="53"/>
      <c r="P1784" s="48" t="str">
        <f aca="false">IF('Neue Artikel'!$H$45="","LOSE",UPPER(TRIM('Neue Artikel'!$H$45)))</f>
        <v>LOSE</v>
      </c>
      <c r="Q1784" s="50" t="n">
        <f aca="false">N('Neue Artikel'!$I$45)</f>
        <v>0</v>
      </c>
      <c r="R1784" s="53" t="n">
        <f aca="false">IF(BW1784=1,0,IFERROR(VLOOKUP(BU1784,'Gebinde-Kategorie'!$A$5:$N$45,13,0)+0,0))</f>
        <v>0</v>
      </c>
      <c r="S1784" s="54"/>
      <c r="T1784" s="55"/>
      <c r="U1784" s="55"/>
      <c r="V1784" s="55"/>
      <c r="W1784" s="48"/>
      <c r="X1784" s="50"/>
      <c r="Y1784" s="50"/>
      <c r="Z1784" s="48" t="str">
        <f aca="false">IF(A1784="","",IF(AND(Parameter!$B$21="Ja",ISNUMBER(W1784)),W1784,IF(BZ1784="2+3",IF(ISNUMBER(SEARCH("grosser Artikel",BR1784)),2,IFERROR(VLOOKUP(BU1784,Parameter!$F$35:$G$64,2,0),2)),IF(OR(BZ1784="Nein",BZ1784=""),"-",BZ1784))))</f>
        <v/>
      </c>
      <c r="AA1784" s="48" t="str">
        <f aca="false">IF('Neue Artikel'!$J$45="","",'Neue Artikel'!$J$45)</f>
        <v/>
      </c>
      <c r="AB1784" s="56"/>
      <c r="AC1784" s="50" t="n">
        <f aca="false">AT1784</f>
        <v>0</v>
      </c>
      <c r="AD1784" s="50" t="n">
        <f aca="false">MAX(AT1784,H1784)</f>
        <v>0</v>
      </c>
      <c r="AE1784" s="57"/>
      <c r="AF1784" s="50" t="n">
        <f aca="false">IF(LEFT(Cockpit!$C$5,1)="A",H1784,IF(CE1784=1,CF1784,IF(LEFT(Cockpit!$C$5,1)="B",AK1784,MAX(AK1784,H1784))))</f>
        <v>0</v>
      </c>
      <c r="AG1784" s="50" t="n">
        <f aca="false">IF(BW1784=1,0,ROUNDUP(AF1784/BV1784,0))</f>
        <v>0</v>
      </c>
      <c r="AH1784" s="52" t="n">
        <f aca="false">IF(CL1784&gt;0,CL1784*MAX(1,AF1784/X1784),IF(BW1784=1,IF(AF1784&lt;=0,0,CA1784*MAX(1,IF(H1784&gt;0,AF1784/H1784,1))),IF(R1784&gt;0,AG1784/R1784,0))/MAX(0.1,N(Parameter!$M$21)))</f>
        <v>0</v>
      </c>
      <c r="AI1784" s="50" t="n">
        <f aca="false">AH1784*BY1784</f>
        <v>0</v>
      </c>
      <c r="AJ1784" s="50" t="n">
        <f aca="false">AF1784*G1784</f>
        <v>0</v>
      </c>
      <c r="AK1784" s="50" t="n">
        <f aca="false">ROUNDUP(MAX(J1784/IF(CD1784&gt;0,CD1784,MAX(0.1,N(Cockpit!$C$6))),CG1784)/BV1784,0)*BV1784</f>
        <v>0</v>
      </c>
      <c r="AL1784" s="51" t="n">
        <f aca="false">IF(AI1784&gt;0,J1784/AI1784,-1)</f>
        <v>-1</v>
      </c>
      <c r="AM1784" s="51" t="str">
        <f aca="false">IF(AND(OR(CC1784="L1",CC1784="L23",CC1784="LIFT"),AI1784&gt;0),SUMIFS($AI$7:$AI$1843,$CC$7:$CC$1843,CC1784,$AL$7:$AL$1843,"&gt;"&amp;AL1784)+SUMIFS($AI$7:$AI$1843,$CC$7:$CC$1843,CC1784,$AL$7:$AL$1843,AL1784,$BT$7:$BT$1843,"&lt;="&amp;BT1784),"")</f>
        <v/>
      </c>
      <c r="AN1784" s="58" t="n">
        <f aca="false">IF(AM1784="",0,MAX(0,MIN(1,(IF(CC1784="L1",Parameter!$H$5,IF(CC1784="L23",Parameter!$H$6+Parameter!$H$7,Parameter!$H$5+Parameter!$H$6+Parameter!$H$7))-(AM1784-AI1784))/AI1784)))</f>
        <v>0</v>
      </c>
      <c r="AO1784" s="50" t="n">
        <f aca="false">IF(LEFT(Cockpit!$I$5,1)="A",H1784,IF(CE1784=1,CF1784,IF(LEFT(Cockpit!$I$5,1)="B",AT1784,MAX(AT1784,H1784))))</f>
        <v>0</v>
      </c>
      <c r="AP1784" s="50" t="n">
        <f aca="false">IF(BW1784=1,0,ROUNDUP(AO1784/BV1784,0))</f>
        <v>0</v>
      </c>
      <c r="AQ1784" s="52" t="n">
        <f aca="false">IF(CL1784&gt;0,CL1784*MAX(1,AO1784/X1784),IF(BW1784=1,IF(AO1784&lt;=0,0,CA1784*MAX(1,IF(H1784&gt;0,AO1784/H1784,1))),IF(R1784&gt;0,AP1784/R1784,0))/MAX(0.1,N(Parameter!$M$21)))</f>
        <v>0</v>
      </c>
      <c r="AR1784" s="50" t="n">
        <f aca="false">AQ1784*BY1784</f>
        <v>0</v>
      </c>
      <c r="AS1784" s="50" t="n">
        <f aca="false">AO1784*G1784</f>
        <v>0</v>
      </c>
      <c r="AT1784" s="50" t="n">
        <f aca="false">ROUNDUP(MAX(J1784/IF(CD1784&gt;0,CD1784,MAX(0.1,N(Cockpit!$I$6))),CG1784)/BV1784,0)*BV1784</f>
        <v>0</v>
      </c>
      <c r="AU1784" s="51" t="n">
        <f aca="false">IF(AR1784&gt;0,J1784/AR1784,-1)</f>
        <v>-1</v>
      </c>
      <c r="AV1784" s="51" t="str">
        <f aca="false">IF(AND(OR(CC1784="L1",CC1784="L23",CC1784="LIFT"),AR1784&gt;0),SUMIFS($AR$7:$AR$1843,$CC$7:$CC$1843,CC1784,$AU$7:$AU$1843,"&gt;"&amp;AU1784)+SUMIFS($AR$7:$AR$1843,$CC$7:$CC$1843,CC1784,$AU$7:$AU$1843,AU1784,$BT$7:$BT$1843,"&lt;="&amp;BT1784),"")</f>
        <v/>
      </c>
      <c r="AW1784" s="58" t="n">
        <f aca="false">IF(AV1784="",0,MAX(0,MIN(1,(IF(CC1784="L1",Parameter!$H$5,IF(CC1784="L23",Parameter!$H$6+Parameter!$H$7,Parameter!$H$5+Parameter!$H$6+Parameter!$H$7))-(AV1784-AR1784))/AR1784)))</f>
        <v>0</v>
      </c>
      <c r="AX1784" s="50" t="n">
        <f aca="false">IF(LEFT(Cockpit!$O$5,1)="A",H1784,IF(CE1784=1,CF1784,IF(LEFT(Cockpit!$O$5,1)="B",BC1784,MAX(BC1784,H1784))))</f>
        <v>0</v>
      </c>
      <c r="AY1784" s="50" t="n">
        <f aca="false">IF(BW1784=1,0,ROUNDUP(AX1784/BV1784,0))</f>
        <v>0</v>
      </c>
      <c r="AZ1784" s="52" t="n">
        <f aca="false">IF(CL1784&gt;0,CL1784*MAX(1,AX1784/X1784),IF(BW1784=1,IF(AX1784&lt;=0,0,CA1784*MAX(1,IF(H1784&gt;0,AX1784/H1784,1))),IF(R1784&gt;0,AY1784/R1784,0))/MAX(0.1,N(Parameter!$M$21)))</f>
        <v>0</v>
      </c>
      <c r="BA1784" s="50" t="n">
        <f aca="false">AZ1784*BY1784</f>
        <v>0</v>
      </c>
      <c r="BB1784" s="50" t="n">
        <f aca="false">AX1784*G1784</f>
        <v>0</v>
      </c>
      <c r="BC1784" s="50" t="n">
        <f aca="false">ROUNDUP(MAX(J1784/IF(CD1784&gt;0,CD1784,MAX(0.1,N(Cockpit!$O$6))),CG1784)/BV1784,0)*BV1784</f>
        <v>0</v>
      </c>
      <c r="BD1784" s="51" t="n">
        <f aca="false">IF(BA1784&gt;0,J1784/BA1784,-1)</f>
        <v>-1</v>
      </c>
      <c r="BE1784" s="51" t="str">
        <f aca="false">IF(AND(OR(CC1784="L1",CC1784="L23",CC1784="LIFT"),BA1784&gt;0),SUMIFS($BA$7:$BA$1843,$CC$7:$CC$1843,CC1784,$BD$7:$BD$1843,"&gt;"&amp;BD1784)+SUMIFS($BA$7:$BA$1843,$CC$7:$CC$1843,CC1784,$BD$7:$BD$1843,BD1784,$BT$7:$BT$1843,"&lt;="&amp;BT1784),"")</f>
        <v/>
      </c>
      <c r="BF1784" s="58" t="n">
        <f aca="false">IF(BE1784="",0,MAX(0,MIN(1,(IF(CC1784="L1",Parameter!$H$5,IF(CC1784="L23",Parameter!$H$6+Parameter!$H$7,Parameter!$H$5+Parameter!$H$6+Parameter!$H$7))-(BE1784-BA1784))/BA1784)))</f>
        <v>0</v>
      </c>
      <c r="BG1784" s="48" t="str">
        <f aca="false">IF(AI1784&lt;=0,"",IF(CC1784="Aussen","Aussenlager",IF(CC1784="-","Nicht im Lift",IF(AN1784&gt;=1,"Lift",IF(AN1784&lt;=0,"Aussenlager","teilweise")))))</f>
        <v/>
      </c>
      <c r="BH1784" s="48" t="str">
        <f aca="false">IF(AR1784&lt;=0,"",IF(CC1784="Aussen","Aussenlager",IF(CC1784="-","Nicht im Lift",IF(AW1784&gt;=1,"Lift",IF(AW1784&lt;=0,"Aussenlager","teilweise")))))</f>
        <v/>
      </c>
      <c r="BI1784" s="48" t="str">
        <f aca="false">IF(BA1784&lt;=0,"",IF(CC1784="Aussen","Aussenlager",IF(CC1784="-","Nicht im Lift",IF(BF1784&gt;=1,"Lift",IF(BF1784&lt;=0,"Aussenlager","teilweise")))))</f>
        <v/>
      </c>
      <c r="BJ1784" s="48" t="str">
        <f aca="false">IF(A1784="","",IF(BS1784=1,"Neu; ","")&amp;IF(AND(BS1784=0,BN1784&lt;0),"negativer Bestand (Export "&amp;BN1784&amp;"); ","")&amp;IF(J1784&lt;=0,"Kein Verbrauch; ","")&amp;IF(CL1784&gt;0,"Lift "&amp;W1784&amp;" lt. Liftbericht (Fach "&amp;X1784&amp;" Stk); ",IF(BX1784=1,"Gebinde geschätzt ("&amp;T1784&amp;"); ",IF(BW1784=1,"Lose – Tablare geschätzt; ","")))&amp;IF(H1784&gt;AT1784,"Überbestand "&amp;ROUND(H1784-AT1784,0)&amp;" Stk / CHF "&amp;ROUND((H1784-AT1784)*G1784,0)&amp;"; ","")&amp;IF(AND(CE1784=1,CF1784&lt;CG1784),"MAX &lt; MB+LG; ","")&amp;IF(AND(CK1784&gt;0,CJ1784*10&gt;CK1784),"zu hoch für Tablar; ","")&amp;IF(AND(BS1784=0,OR(CE1784=1,AA1784&lt;&gt;"",U1784&lt;&gt;"",V1784&lt;&gt;"",AB1784&lt;&gt;"")),"manuell übersteuert; ","")&amp;IF(AND(BW1784=0,R1784=0),"Gebinde unbekannt / Stellmass fehlt; ","")&amp;IF(AND(BW1784=0,N(V1784)&lt;=0,N(Q1784)&lt;=0),"Menge pro Gebinde fehlt (Ist = 1 Gebinde); ","")&amp;BR1784)</f>
        <v/>
      </c>
      <c r="BK1784" s="48"/>
      <c r="BL1784" s="48"/>
      <c r="BM1784" s="55"/>
      <c r="BN1784" s="50" t="n">
        <f aca="false">N('Neue Artikel'!$D$45)</f>
        <v>0</v>
      </c>
      <c r="BO1784" s="50" t="n">
        <v>0</v>
      </c>
      <c r="BP1784" s="49" t="n">
        <v>0</v>
      </c>
      <c r="BQ1784" s="50" t="n">
        <f aca="false">N('Neue Artikel'!$C$45)/Parameter!$B$18</f>
        <v>0</v>
      </c>
      <c r="BR1784" s="48"/>
      <c r="BS1784" s="53" t="n">
        <v>1</v>
      </c>
      <c r="BT1784" s="53" t="n">
        <v>1784</v>
      </c>
      <c r="BU1784" s="48" t="str">
        <f aca="false">IF(U1784&lt;&gt;"",UPPER(TRIM(U1784)),IF(BX1784=1,UPPER(VLOOKUP(T1784,Parameter!$I$27:$K$29,2,0)),IF(P1784="","LOSE",P1784)))</f>
        <v>LOSE</v>
      </c>
      <c r="BV1784" s="50" t="n">
        <f aca="false">IF(BU1784="LOSE",1,IF(N(V1784)&gt;0,V1784,IF(BX1784=1,MAX(1,N(VLOOKUP(T1784,Parameter!$I$27:$K$29,3,0)),H1784,N(N1784)),IF(N(Q1784)&gt;0,Q1784,MAX(1,H1784)))))</f>
        <v>1</v>
      </c>
      <c r="BW1784" s="53" t="n">
        <f aca="false">IF(BU1784="LOSE",1,0)</f>
        <v>1</v>
      </c>
      <c r="BX1784" s="53" t="n">
        <f aca="false">IF(AND(U1784="",OR(P1784="",P1784="LOSE"),T1784&lt;&gt;"",N(S1784)&lt;=0,ISNUMBER(MATCH(T1784,Parameter!$I$27:$I$29,0))),1,0)</f>
        <v>0</v>
      </c>
      <c r="BY1784" s="53" t="n">
        <f aca="false">IF(CL1784&gt;0,INDEX(Parameter!$H$5:$H$7,W1784)/INDEX(Parameter!$E$5:$E$7,W1784),IF(AND(BW1784=0,N(IFERROR(VLOOKUP(BU1784,'Gebinde-Kategorie'!$A$5:$N$45,14,0),0))&gt;0),VLOOKUP(BU1784,'Gebinde-Kategorie'!$A$5:$N$45,14,0)*10+Parameter!$M$23,Parameter!$M$24))</f>
        <v>235</v>
      </c>
      <c r="BZ1784" s="48" t="str">
        <f aca="false">IF(AND(Parameter!$B$19="Ja",E1784&lt;&gt;"",ISNUMBER(MATCH(E1784,Parameter!$I$35:$I$52,0))),VLOOKUP(E1784,Parameter!$I$35:$J$52,2,0),IFERROR(VLOOKUP(D1784,Parameter!$A$35:$C$64,2,0),"Nein"))</f>
        <v>2+3</v>
      </c>
      <c r="CA1784" s="52" t="n">
        <f aca="false">IF(BW1784=0,0,IF(N(S1784)&gt;0,S1784,IFERROR(VLOOKUP(D1784,Parameter!$A$35:$C$64,3,0)+0,0)))</f>
        <v>0.15</v>
      </c>
      <c r="CB1784" s="48" t="str">
        <f aca="false">IF(AA1784&lt;&gt;"",AA1784,Z1784)</f>
        <v/>
      </c>
      <c r="CC1784" s="48" t="str">
        <f aca="false">IF(OR(CB1784=1,CB1784=2,CB1784=3),IF(Parameter!$E$27="Ja","LIFT",IF(CB1784=1,"L1","L23")),IF(CB1784="Aussen","Aussen","-"))</f>
        <v>-</v>
      </c>
      <c r="CD1784" s="59" t="n">
        <f aca="false">IF(N(AB1784)&gt;0,AB1784,0)</f>
        <v>0</v>
      </c>
      <c r="CE1784" s="53" t="n">
        <f aca="false">IF(ISNUMBER(AE1784),1,0)</f>
        <v>0</v>
      </c>
      <c r="CF1784" s="50" t="n">
        <f aca="false">N(AE1784)</f>
        <v>0</v>
      </c>
      <c r="CG1784" s="50" t="n">
        <f aca="false">N(M1784)+N(N1784)</f>
        <v>0</v>
      </c>
      <c r="CH1784" s="50" t="n">
        <f aca="false">ROUNDUP(H1784/BV1784,0)</f>
        <v>0</v>
      </c>
      <c r="CI1784" s="50" t="n">
        <f aca="false">ROUNDUP(CF1784/BV1784,0)</f>
        <v>0</v>
      </c>
      <c r="CJ1784" s="53" t="n">
        <f aca="false">IF(BW1784=1,0,IFERROR(VLOOKUP(BU1784,'Gebinde-Kategorie'!$A$5:$N$45,5,0)+0,0))</f>
        <v>0</v>
      </c>
      <c r="CK1784" s="53" t="n">
        <f aca="false">IFERROR(IF(OR(CB1784=1,CB1784=2,CB1784=3),N(INDEX(Parameter!$I$5:$I$7,CB1784)),0),0)</f>
        <v>0</v>
      </c>
      <c r="CL1784" s="52" t="n">
        <f aca="false">IF(AND(Parameter!$B$21="Ja",ISNUMBER(W1784),N(X1784)&gt;0),IFERROR(N(INDEX(Parameter!$L$5:$L$7,W1784))*INDEX(Parameter!$E$5:$E$7,W1784)*X1784/SUMIFS($X$7:$X$1843,$W$7:$W$1843,W1784),0),0)</f>
        <v>0</v>
      </c>
    </row>
    <row r="1785" customFormat="false" ht="15" hidden="false" customHeight="false" outlineLevel="0" collapsed="false">
      <c r="A1785" s="48" t="str">
        <f aca="false">IF('Neue Artikel'!$A$46="","",'Neue Artikel'!$A$46&amp;"")</f>
        <v/>
      </c>
      <c r="B1785" s="48" t="str">
        <f aca="false">'Neue Artikel'!$B$46&amp;""</f>
        <v/>
      </c>
      <c r="C1785" s="48"/>
      <c r="D1785" s="48" t="s">
        <v>3019</v>
      </c>
      <c r="E1785" s="48"/>
      <c r="F1785" s="48"/>
      <c r="G1785" s="49" t="n">
        <f aca="false">N('Neue Artikel'!$G$46)</f>
        <v>0</v>
      </c>
      <c r="H1785" s="50" t="n">
        <f aca="false">MAX(0,IF(AND(Parameter!$B$21="Ja",ISNUMBER(Y1785)),Y1785,IF(Parameter!$B$20="Jahresanfang 2025 + Export",BO1785+BN1785,BN1785)))</f>
        <v>0</v>
      </c>
      <c r="I1785" s="50" t="n">
        <f aca="false">H1785*G1785</f>
        <v>0</v>
      </c>
      <c r="J1785" s="50" t="n">
        <f aca="false">BQ1785*Parameter!$B$18</f>
        <v>0</v>
      </c>
      <c r="K1785" s="51"/>
      <c r="L1785" s="52"/>
      <c r="M1785" s="50" t="n">
        <f aca="false">N('Neue Artikel'!$E$46)</f>
        <v>0</v>
      </c>
      <c r="N1785" s="50" t="n">
        <f aca="false">N('Neue Artikel'!$F$46)</f>
        <v>0</v>
      </c>
      <c r="O1785" s="53"/>
      <c r="P1785" s="48" t="str">
        <f aca="false">IF('Neue Artikel'!$H$46="","LOSE",UPPER(TRIM('Neue Artikel'!$H$46)))</f>
        <v>LOSE</v>
      </c>
      <c r="Q1785" s="50" t="n">
        <f aca="false">N('Neue Artikel'!$I$46)</f>
        <v>0</v>
      </c>
      <c r="R1785" s="53" t="n">
        <f aca="false">IF(BW1785=1,0,IFERROR(VLOOKUP(BU1785,'Gebinde-Kategorie'!$A$5:$N$45,13,0)+0,0))</f>
        <v>0</v>
      </c>
      <c r="S1785" s="54"/>
      <c r="T1785" s="55"/>
      <c r="U1785" s="55"/>
      <c r="V1785" s="55"/>
      <c r="W1785" s="48"/>
      <c r="X1785" s="50"/>
      <c r="Y1785" s="50"/>
      <c r="Z1785" s="48" t="str">
        <f aca="false">IF(A1785="","",IF(AND(Parameter!$B$21="Ja",ISNUMBER(W1785)),W1785,IF(BZ1785="2+3",IF(ISNUMBER(SEARCH("grosser Artikel",BR1785)),2,IFERROR(VLOOKUP(BU1785,Parameter!$F$35:$G$64,2,0),2)),IF(OR(BZ1785="Nein",BZ1785=""),"-",BZ1785))))</f>
        <v/>
      </c>
      <c r="AA1785" s="48" t="str">
        <f aca="false">IF('Neue Artikel'!$J$46="","",'Neue Artikel'!$J$46)</f>
        <v/>
      </c>
      <c r="AB1785" s="56"/>
      <c r="AC1785" s="50" t="n">
        <f aca="false">AT1785</f>
        <v>0</v>
      </c>
      <c r="AD1785" s="50" t="n">
        <f aca="false">MAX(AT1785,H1785)</f>
        <v>0</v>
      </c>
      <c r="AE1785" s="57"/>
      <c r="AF1785" s="50" t="n">
        <f aca="false">IF(LEFT(Cockpit!$C$5,1)="A",H1785,IF(CE1785=1,CF1785,IF(LEFT(Cockpit!$C$5,1)="B",AK1785,MAX(AK1785,H1785))))</f>
        <v>0</v>
      </c>
      <c r="AG1785" s="50" t="n">
        <f aca="false">IF(BW1785=1,0,ROUNDUP(AF1785/BV1785,0))</f>
        <v>0</v>
      </c>
      <c r="AH1785" s="52" t="n">
        <f aca="false">IF(CL1785&gt;0,CL1785*MAX(1,AF1785/X1785),IF(BW1785=1,IF(AF1785&lt;=0,0,CA1785*MAX(1,IF(H1785&gt;0,AF1785/H1785,1))),IF(R1785&gt;0,AG1785/R1785,0))/MAX(0.1,N(Parameter!$M$21)))</f>
        <v>0</v>
      </c>
      <c r="AI1785" s="50" t="n">
        <f aca="false">AH1785*BY1785</f>
        <v>0</v>
      </c>
      <c r="AJ1785" s="50" t="n">
        <f aca="false">AF1785*G1785</f>
        <v>0</v>
      </c>
      <c r="AK1785" s="50" t="n">
        <f aca="false">ROUNDUP(MAX(J1785/IF(CD1785&gt;0,CD1785,MAX(0.1,N(Cockpit!$C$6))),CG1785)/BV1785,0)*BV1785</f>
        <v>0</v>
      </c>
      <c r="AL1785" s="51" t="n">
        <f aca="false">IF(AI1785&gt;0,J1785/AI1785,-1)</f>
        <v>-1</v>
      </c>
      <c r="AM1785" s="51" t="str">
        <f aca="false">IF(AND(OR(CC1785="L1",CC1785="L23",CC1785="LIFT"),AI1785&gt;0),SUMIFS($AI$7:$AI$1843,$CC$7:$CC$1843,CC1785,$AL$7:$AL$1843,"&gt;"&amp;AL1785)+SUMIFS($AI$7:$AI$1843,$CC$7:$CC$1843,CC1785,$AL$7:$AL$1843,AL1785,$BT$7:$BT$1843,"&lt;="&amp;BT1785),"")</f>
        <v/>
      </c>
      <c r="AN1785" s="58" t="n">
        <f aca="false">IF(AM1785="",0,MAX(0,MIN(1,(IF(CC1785="L1",Parameter!$H$5,IF(CC1785="L23",Parameter!$H$6+Parameter!$H$7,Parameter!$H$5+Parameter!$H$6+Parameter!$H$7))-(AM1785-AI1785))/AI1785)))</f>
        <v>0</v>
      </c>
      <c r="AO1785" s="50" t="n">
        <f aca="false">IF(LEFT(Cockpit!$I$5,1)="A",H1785,IF(CE1785=1,CF1785,IF(LEFT(Cockpit!$I$5,1)="B",AT1785,MAX(AT1785,H1785))))</f>
        <v>0</v>
      </c>
      <c r="AP1785" s="50" t="n">
        <f aca="false">IF(BW1785=1,0,ROUNDUP(AO1785/BV1785,0))</f>
        <v>0</v>
      </c>
      <c r="AQ1785" s="52" t="n">
        <f aca="false">IF(CL1785&gt;0,CL1785*MAX(1,AO1785/X1785),IF(BW1785=1,IF(AO1785&lt;=0,0,CA1785*MAX(1,IF(H1785&gt;0,AO1785/H1785,1))),IF(R1785&gt;0,AP1785/R1785,0))/MAX(0.1,N(Parameter!$M$21)))</f>
        <v>0</v>
      </c>
      <c r="AR1785" s="50" t="n">
        <f aca="false">AQ1785*BY1785</f>
        <v>0</v>
      </c>
      <c r="AS1785" s="50" t="n">
        <f aca="false">AO1785*G1785</f>
        <v>0</v>
      </c>
      <c r="AT1785" s="50" t="n">
        <f aca="false">ROUNDUP(MAX(J1785/IF(CD1785&gt;0,CD1785,MAX(0.1,N(Cockpit!$I$6))),CG1785)/BV1785,0)*BV1785</f>
        <v>0</v>
      </c>
      <c r="AU1785" s="51" t="n">
        <f aca="false">IF(AR1785&gt;0,J1785/AR1785,-1)</f>
        <v>-1</v>
      </c>
      <c r="AV1785" s="51" t="str">
        <f aca="false">IF(AND(OR(CC1785="L1",CC1785="L23",CC1785="LIFT"),AR1785&gt;0),SUMIFS($AR$7:$AR$1843,$CC$7:$CC$1843,CC1785,$AU$7:$AU$1843,"&gt;"&amp;AU1785)+SUMIFS($AR$7:$AR$1843,$CC$7:$CC$1843,CC1785,$AU$7:$AU$1843,AU1785,$BT$7:$BT$1843,"&lt;="&amp;BT1785),"")</f>
        <v/>
      </c>
      <c r="AW1785" s="58" t="n">
        <f aca="false">IF(AV1785="",0,MAX(0,MIN(1,(IF(CC1785="L1",Parameter!$H$5,IF(CC1785="L23",Parameter!$H$6+Parameter!$H$7,Parameter!$H$5+Parameter!$H$6+Parameter!$H$7))-(AV1785-AR1785))/AR1785)))</f>
        <v>0</v>
      </c>
      <c r="AX1785" s="50" t="n">
        <f aca="false">IF(LEFT(Cockpit!$O$5,1)="A",H1785,IF(CE1785=1,CF1785,IF(LEFT(Cockpit!$O$5,1)="B",BC1785,MAX(BC1785,H1785))))</f>
        <v>0</v>
      </c>
      <c r="AY1785" s="50" t="n">
        <f aca="false">IF(BW1785=1,0,ROUNDUP(AX1785/BV1785,0))</f>
        <v>0</v>
      </c>
      <c r="AZ1785" s="52" t="n">
        <f aca="false">IF(CL1785&gt;0,CL1785*MAX(1,AX1785/X1785),IF(BW1785=1,IF(AX1785&lt;=0,0,CA1785*MAX(1,IF(H1785&gt;0,AX1785/H1785,1))),IF(R1785&gt;0,AY1785/R1785,0))/MAX(0.1,N(Parameter!$M$21)))</f>
        <v>0</v>
      </c>
      <c r="BA1785" s="50" t="n">
        <f aca="false">AZ1785*BY1785</f>
        <v>0</v>
      </c>
      <c r="BB1785" s="50" t="n">
        <f aca="false">AX1785*G1785</f>
        <v>0</v>
      </c>
      <c r="BC1785" s="50" t="n">
        <f aca="false">ROUNDUP(MAX(J1785/IF(CD1785&gt;0,CD1785,MAX(0.1,N(Cockpit!$O$6))),CG1785)/BV1785,0)*BV1785</f>
        <v>0</v>
      </c>
      <c r="BD1785" s="51" t="n">
        <f aca="false">IF(BA1785&gt;0,J1785/BA1785,-1)</f>
        <v>-1</v>
      </c>
      <c r="BE1785" s="51" t="str">
        <f aca="false">IF(AND(OR(CC1785="L1",CC1785="L23",CC1785="LIFT"),BA1785&gt;0),SUMIFS($BA$7:$BA$1843,$CC$7:$CC$1843,CC1785,$BD$7:$BD$1843,"&gt;"&amp;BD1785)+SUMIFS($BA$7:$BA$1843,$CC$7:$CC$1843,CC1785,$BD$7:$BD$1843,BD1785,$BT$7:$BT$1843,"&lt;="&amp;BT1785),"")</f>
        <v/>
      </c>
      <c r="BF1785" s="58" t="n">
        <f aca="false">IF(BE1785="",0,MAX(0,MIN(1,(IF(CC1785="L1",Parameter!$H$5,IF(CC1785="L23",Parameter!$H$6+Parameter!$H$7,Parameter!$H$5+Parameter!$H$6+Parameter!$H$7))-(BE1785-BA1785))/BA1785)))</f>
        <v>0</v>
      </c>
      <c r="BG1785" s="48" t="str">
        <f aca="false">IF(AI1785&lt;=0,"",IF(CC1785="Aussen","Aussenlager",IF(CC1785="-","Nicht im Lift",IF(AN1785&gt;=1,"Lift",IF(AN1785&lt;=0,"Aussenlager","teilweise")))))</f>
        <v/>
      </c>
      <c r="BH1785" s="48" t="str">
        <f aca="false">IF(AR1785&lt;=0,"",IF(CC1785="Aussen","Aussenlager",IF(CC1785="-","Nicht im Lift",IF(AW1785&gt;=1,"Lift",IF(AW1785&lt;=0,"Aussenlager","teilweise")))))</f>
        <v/>
      </c>
      <c r="BI1785" s="48" t="str">
        <f aca="false">IF(BA1785&lt;=0,"",IF(CC1785="Aussen","Aussenlager",IF(CC1785="-","Nicht im Lift",IF(BF1785&gt;=1,"Lift",IF(BF1785&lt;=0,"Aussenlager","teilweise")))))</f>
        <v/>
      </c>
      <c r="BJ1785" s="48" t="str">
        <f aca="false">IF(A1785="","",IF(BS1785=1,"Neu; ","")&amp;IF(AND(BS1785=0,BN1785&lt;0),"negativer Bestand (Export "&amp;BN1785&amp;"); ","")&amp;IF(J1785&lt;=0,"Kein Verbrauch; ","")&amp;IF(CL1785&gt;0,"Lift "&amp;W1785&amp;" lt. Liftbericht (Fach "&amp;X1785&amp;" Stk); ",IF(BX1785=1,"Gebinde geschätzt ("&amp;T1785&amp;"); ",IF(BW1785=1,"Lose – Tablare geschätzt; ","")))&amp;IF(H1785&gt;AT1785,"Überbestand "&amp;ROUND(H1785-AT1785,0)&amp;" Stk / CHF "&amp;ROUND((H1785-AT1785)*G1785,0)&amp;"; ","")&amp;IF(AND(CE1785=1,CF1785&lt;CG1785),"MAX &lt; MB+LG; ","")&amp;IF(AND(CK1785&gt;0,CJ1785*10&gt;CK1785),"zu hoch für Tablar; ","")&amp;IF(AND(BS1785=0,OR(CE1785=1,AA1785&lt;&gt;"",U1785&lt;&gt;"",V1785&lt;&gt;"",AB1785&lt;&gt;"")),"manuell übersteuert; ","")&amp;IF(AND(BW1785=0,R1785=0),"Gebinde unbekannt / Stellmass fehlt; ","")&amp;IF(AND(BW1785=0,N(V1785)&lt;=0,N(Q1785)&lt;=0),"Menge pro Gebinde fehlt (Ist = 1 Gebinde); ","")&amp;BR1785)</f>
        <v/>
      </c>
      <c r="BK1785" s="48"/>
      <c r="BL1785" s="48"/>
      <c r="BM1785" s="55"/>
      <c r="BN1785" s="50" t="n">
        <f aca="false">N('Neue Artikel'!$D$46)</f>
        <v>0</v>
      </c>
      <c r="BO1785" s="50" t="n">
        <v>0</v>
      </c>
      <c r="BP1785" s="49" t="n">
        <v>0</v>
      </c>
      <c r="BQ1785" s="50" t="n">
        <f aca="false">N('Neue Artikel'!$C$46)/Parameter!$B$18</f>
        <v>0</v>
      </c>
      <c r="BR1785" s="48"/>
      <c r="BS1785" s="53" t="n">
        <v>1</v>
      </c>
      <c r="BT1785" s="53" t="n">
        <v>1785</v>
      </c>
      <c r="BU1785" s="48" t="str">
        <f aca="false">IF(U1785&lt;&gt;"",UPPER(TRIM(U1785)),IF(BX1785=1,UPPER(VLOOKUP(T1785,Parameter!$I$27:$K$29,2,0)),IF(P1785="","LOSE",P1785)))</f>
        <v>LOSE</v>
      </c>
      <c r="BV1785" s="50" t="n">
        <f aca="false">IF(BU1785="LOSE",1,IF(N(V1785)&gt;0,V1785,IF(BX1785=1,MAX(1,N(VLOOKUP(T1785,Parameter!$I$27:$K$29,3,0)),H1785,N(N1785)),IF(N(Q1785)&gt;0,Q1785,MAX(1,H1785)))))</f>
        <v>1</v>
      </c>
      <c r="BW1785" s="53" t="n">
        <f aca="false">IF(BU1785="LOSE",1,0)</f>
        <v>1</v>
      </c>
      <c r="BX1785" s="53" t="n">
        <f aca="false">IF(AND(U1785="",OR(P1785="",P1785="LOSE"),T1785&lt;&gt;"",N(S1785)&lt;=0,ISNUMBER(MATCH(T1785,Parameter!$I$27:$I$29,0))),1,0)</f>
        <v>0</v>
      </c>
      <c r="BY1785" s="53" t="n">
        <f aca="false">IF(CL1785&gt;0,INDEX(Parameter!$H$5:$H$7,W1785)/INDEX(Parameter!$E$5:$E$7,W1785),IF(AND(BW1785=0,N(IFERROR(VLOOKUP(BU1785,'Gebinde-Kategorie'!$A$5:$N$45,14,0),0))&gt;0),VLOOKUP(BU1785,'Gebinde-Kategorie'!$A$5:$N$45,14,0)*10+Parameter!$M$23,Parameter!$M$24))</f>
        <v>235</v>
      </c>
      <c r="BZ1785" s="48" t="str">
        <f aca="false">IF(AND(Parameter!$B$19="Ja",E1785&lt;&gt;"",ISNUMBER(MATCH(E1785,Parameter!$I$35:$I$52,0))),VLOOKUP(E1785,Parameter!$I$35:$J$52,2,0),IFERROR(VLOOKUP(D1785,Parameter!$A$35:$C$64,2,0),"Nein"))</f>
        <v>2+3</v>
      </c>
      <c r="CA1785" s="52" t="n">
        <f aca="false">IF(BW1785=0,0,IF(N(S1785)&gt;0,S1785,IFERROR(VLOOKUP(D1785,Parameter!$A$35:$C$64,3,0)+0,0)))</f>
        <v>0.15</v>
      </c>
      <c r="CB1785" s="48" t="str">
        <f aca="false">IF(AA1785&lt;&gt;"",AA1785,Z1785)</f>
        <v/>
      </c>
      <c r="CC1785" s="48" t="str">
        <f aca="false">IF(OR(CB1785=1,CB1785=2,CB1785=3),IF(Parameter!$E$27="Ja","LIFT",IF(CB1785=1,"L1","L23")),IF(CB1785="Aussen","Aussen","-"))</f>
        <v>-</v>
      </c>
      <c r="CD1785" s="59" t="n">
        <f aca="false">IF(N(AB1785)&gt;0,AB1785,0)</f>
        <v>0</v>
      </c>
      <c r="CE1785" s="53" t="n">
        <f aca="false">IF(ISNUMBER(AE1785),1,0)</f>
        <v>0</v>
      </c>
      <c r="CF1785" s="50" t="n">
        <f aca="false">N(AE1785)</f>
        <v>0</v>
      </c>
      <c r="CG1785" s="50" t="n">
        <f aca="false">N(M1785)+N(N1785)</f>
        <v>0</v>
      </c>
      <c r="CH1785" s="50" t="n">
        <f aca="false">ROUNDUP(H1785/BV1785,0)</f>
        <v>0</v>
      </c>
      <c r="CI1785" s="50" t="n">
        <f aca="false">ROUNDUP(CF1785/BV1785,0)</f>
        <v>0</v>
      </c>
      <c r="CJ1785" s="53" t="n">
        <f aca="false">IF(BW1785=1,0,IFERROR(VLOOKUP(BU1785,'Gebinde-Kategorie'!$A$5:$N$45,5,0)+0,0))</f>
        <v>0</v>
      </c>
      <c r="CK1785" s="53" t="n">
        <f aca="false">IFERROR(IF(OR(CB1785=1,CB1785=2,CB1785=3),N(INDEX(Parameter!$I$5:$I$7,CB1785)),0),0)</f>
        <v>0</v>
      </c>
      <c r="CL1785" s="52" t="n">
        <f aca="false">IF(AND(Parameter!$B$21="Ja",ISNUMBER(W1785),N(X1785)&gt;0),IFERROR(N(INDEX(Parameter!$L$5:$L$7,W1785))*INDEX(Parameter!$E$5:$E$7,W1785)*X1785/SUMIFS($X$7:$X$1843,$W$7:$W$1843,W1785),0),0)</f>
        <v>0</v>
      </c>
    </row>
    <row r="1786" customFormat="false" ht="15" hidden="false" customHeight="false" outlineLevel="0" collapsed="false">
      <c r="A1786" s="48" t="str">
        <f aca="false">IF('Neue Artikel'!$A$47="","",'Neue Artikel'!$A$47&amp;"")</f>
        <v/>
      </c>
      <c r="B1786" s="48" t="str">
        <f aca="false">'Neue Artikel'!$B$47&amp;""</f>
        <v/>
      </c>
      <c r="C1786" s="48"/>
      <c r="D1786" s="48" t="s">
        <v>3019</v>
      </c>
      <c r="E1786" s="48"/>
      <c r="F1786" s="48"/>
      <c r="G1786" s="49" t="n">
        <f aca="false">N('Neue Artikel'!$G$47)</f>
        <v>0</v>
      </c>
      <c r="H1786" s="50" t="n">
        <f aca="false">MAX(0,IF(AND(Parameter!$B$21="Ja",ISNUMBER(Y1786)),Y1786,IF(Parameter!$B$20="Jahresanfang 2025 + Export",BO1786+BN1786,BN1786)))</f>
        <v>0</v>
      </c>
      <c r="I1786" s="50" t="n">
        <f aca="false">H1786*G1786</f>
        <v>0</v>
      </c>
      <c r="J1786" s="50" t="n">
        <f aca="false">BQ1786*Parameter!$B$18</f>
        <v>0</v>
      </c>
      <c r="K1786" s="51"/>
      <c r="L1786" s="52"/>
      <c r="M1786" s="50" t="n">
        <f aca="false">N('Neue Artikel'!$E$47)</f>
        <v>0</v>
      </c>
      <c r="N1786" s="50" t="n">
        <f aca="false">N('Neue Artikel'!$F$47)</f>
        <v>0</v>
      </c>
      <c r="O1786" s="53"/>
      <c r="P1786" s="48" t="str">
        <f aca="false">IF('Neue Artikel'!$H$47="","LOSE",UPPER(TRIM('Neue Artikel'!$H$47)))</f>
        <v>LOSE</v>
      </c>
      <c r="Q1786" s="50" t="n">
        <f aca="false">N('Neue Artikel'!$I$47)</f>
        <v>0</v>
      </c>
      <c r="R1786" s="53" t="n">
        <f aca="false">IF(BW1786=1,0,IFERROR(VLOOKUP(BU1786,'Gebinde-Kategorie'!$A$5:$N$45,13,0)+0,0))</f>
        <v>0</v>
      </c>
      <c r="S1786" s="54"/>
      <c r="T1786" s="55"/>
      <c r="U1786" s="55"/>
      <c r="V1786" s="55"/>
      <c r="W1786" s="48"/>
      <c r="X1786" s="50"/>
      <c r="Y1786" s="50"/>
      <c r="Z1786" s="48" t="str">
        <f aca="false">IF(A1786="","",IF(AND(Parameter!$B$21="Ja",ISNUMBER(W1786)),W1786,IF(BZ1786="2+3",IF(ISNUMBER(SEARCH("grosser Artikel",BR1786)),2,IFERROR(VLOOKUP(BU1786,Parameter!$F$35:$G$64,2,0),2)),IF(OR(BZ1786="Nein",BZ1786=""),"-",BZ1786))))</f>
        <v/>
      </c>
      <c r="AA1786" s="48" t="str">
        <f aca="false">IF('Neue Artikel'!$J$47="","",'Neue Artikel'!$J$47)</f>
        <v/>
      </c>
      <c r="AB1786" s="56"/>
      <c r="AC1786" s="50" t="n">
        <f aca="false">AT1786</f>
        <v>0</v>
      </c>
      <c r="AD1786" s="50" t="n">
        <f aca="false">MAX(AT1786,H1786)</f>
        <v>0</v>
      </c>
      <c r="AE1786" s="57"/>
      <c r="AF1786" s="50" t="n">
        <f aca="false">IF(LEFT(Cockpit!$C$5,1)="A",H1786,IF(CE1786=1,CF1786,IF(LEFT(Cockpit!$C$5,1)="B",AK1786,MAX(AK1786,H1786))))</f>
        <v>0</v>
      </c>
      <c r="AG1786" s="50" t="n">
        <f aca="false">IF(BW1786=1,0,ROUNDUP(AF1786/BV1786,0))</f>
        <v>0</v>
      </c>
      <c r="AH1786" s="52" t="n">
        <f aca="false">IF(CL1786&gt;0,CL1786*MAX(1,AF1786/X1786),IF(BW1786=1,IF(AF1786&lt;=0,0,CA1786*MAX(1,IF(H1786&gt;0,AF1786/H1786,1))),IF(R1786&gt;0,AG1786/R1786,0))/MAX(0.1,N(Parameter!$M$21)))</f>
        <v>0</v>
      </c>
      <c r="AI1786" s="50" t="n">
        <f aca="false">AH1786*BY1786</f>
        <v>0</v>
      </c>
      <c r="AJ1786" s="50" t="n">
        <f aca="false">AF1786*G1786</f>
        <v>0</v>
      </c>
      <c r="AK1786" s="50" t="n">
        <f aca="false">ROUNDUP(MAX(J1786/IF(CD1786&gt;0,CD1786,MAX(0.1,N(Cockpit!$C$6))),CG1786)/BV1786,0)*BV1786</f>
        <v>0</v>
      </c>
      <c r="AL1786" s="51" t="n">
        <f aca="false">IF(AI1786&gt;0,J1786/AI1786,-1)</f>
        <v>-1</v>
      </c>
      <c r="AM1786" s="51" t="str">
        <f aca="false">IF(AND(OR(CC1786="L1",CC1786="L23",CC1786="LIFT"),AI1786&gt;0),SUMIFS($AI$7:$AI$1843,$CC$7:$CC$1843,CC1786,$AL$7:$AL$1843,"&gt;"&amp;AL1786)+SUMIFS($AI$7:$AI$1843,$CC$7:$CC$1843,CC1786,$AL$7:$AL$1843,AL1786,$BT$7:$BT$1843,"&lt;="&amp;BT1786),"")</f>
        <v/>
      </c>
      <c r="AN1786" s="58" t="n">
        <f aca="false">IF(AM1786="",0,MAX(0,MIN(1,(IF(CC1786="L1",Parameter!$H$5,IF(CC1786="L23",Parameter!$H$6+Parameter!$H$7,Parameter!$H$5+Parameter!$H$6+Parameter!$H$7))-(AM1786-AI1786))/AI1786)))</f>
        <v>0</v>
      </c>
      <c r="AO1786" s="50" t="n">
        <f aca="false">IF(LEFT(Cockpit!$I$5,1)="A",H1786,IF(CE1786=1,CF1786,IF(LEFT(Cockpit!$I$5,1)="B",AT1786,MAX(AT1786,H1786))))</f>
        <v>0</v>
      </c>
      <c r="AP1786" s="50" t="n">
        <f aca="false">IF(BW1786=1,0,ROUNDUP(AO1786/BV1786,0))</f>
        <v>0</v>
      </c>
      <c r="AQ1786" s="52" t="n">
        <f aca="false">IF(CL1786&gt;0,CL1786*MAX(1,AO1786/X1786),IF(BW1786=1,IF(AO1786&lt;=0,0,CA1786*MAX(1,IF(H1786&gt;0,AO1786/H1786,1))),IF(R1786&gt;0,AP1786/R1786,0))/MAX(0.1,N(Parameter!$M$21)))</f>
        <v>0</v>
      </c>
      <c r="AR1786" s="50" t="n">
        <f aca="false">AQ1786*BY1786</f>
        <v>0</v>
      </c>
      <c r="AS1786" s="50" t="n">
        <f aca="false">AO1786*G1786</f>
        <v>0</v>
      </c>
      <c r="AT1786" s="50" t="n">
        <f aca="false">ROUNDUP(MAX(J1786/IF(CD1786&gt;0,CD1786,MAX(0.1,N(Cockpit!$I$6))),CG1786)/BV1786,0)*BV1786</f>
        <v>0</v>
      </c>
      <c r="AU1786" s="51" t="n">
        <f aca="false">IF(AR1786&gt;0,J1786/AR1786,-1)</f>
        <v>-1</v>
      </c>
      <c r="AV1786" s="51" t="str">
        <f aca="false">IF(AND(OR(CC1786="L1",CC1786="L23",CC1786="LIFT"),AR1786&gt;0),SUMIFS($AR$7:$AR$1843,$CC$7:$CC$1843,CC1786,$AU$7:$AU$1843,"&gt;"&amp;AU1786)+SUMIFS($AR$7:$AR$1843,$CC$7:$CC$1843,CC1786,$AU$7:$AU$1843,AU1786,$BT$7:$BT$1843,"&lt;="&amp;BT1786),"")</f>
        <v/>
      </c>
      <c r="AW1786" s="58" t="n">
        <f aca="false">IF(AV1786="",0,MAX(0,MIN(1,(IF(CC1786="L1",Parameter!$H$5,IF(CC1786="L23",Parameter!$H$6+Parameter!$H$7,Parameter!$H$5+Parameter!$H$6+Parameter!$H$7))-(AV1786-AR1786))/AR1786)))</f>
        <v>0</v>
      </c>
      <c r="AX1786" s="50" t="n">
        <f aca="false">IF(LEFT(Cockpit!$O$5,1)="A",H1786,IF(CE1786=1,CF1786,IF(LEFT(Cockpit!$O$5,1)="B",BC1786,MAX(BC1786,H1786))))</f>
        <v>0</v>
      </c>
      <c r="AY1786" s="50" t="n">
        <f aca="false">IF(BW1786=1,0,ROUNDUP(AX1786/BV1786,0))</f>
        <v>0</v>
      </c>
      <c r="AZ1786" s="52" t="n">
        <f aca="false">IF(CL1786&gt;0,CL1786*MAX(1,AX1786/X1786),IF(BW1786=1,IF(AX1786&lt;=0,0,CA1786*MAX(1,IF(H1786&gt;0,AX1786/H1786,1))),IF(R1786&gt;0,AY1786/R1786,0))/MAX(0.1,N(Parameter!$M$21)))</f>
        <v>0</v>
      </c>
      <c r="BA1786" s="50" t="n">
        <f aca="false">AZ1786*BY1786</f>
        <v>0</v>
      </c>
      <c r="BB1786" s="50" t="n">
        <f aca="false">AX1786*G1786</f>
        <v>0</v>
      </c>
      <c r="BC1786" s="50" t="n">
        <f aca="false">ROUNDUP(MAX(J1786/IF(CD1786&gt;0,CD1786,MAX(0.1,N(Cockpit!$O$6))),CG1786)/BV1786,0)*BV1786</f>
        <v>0</v>
      </c>
      <c r="BD1786" s="51" t="n">
        <f aca="false">IF(BA1786&gt;0,J1786/BA1786,-1)</f>
        <v>-1</v>
      </c>
      <c r="BE1786" s="51" t="str">
        <f aca="false">IF(AND(OR(CC1786="L1",CC1786="L23",CC1786="LIFT"),BA1786&gt;0),SUMIFS($BA$7:$BA$1843,$CC$7:$CC$1843,CC1786,$BD$7:$BD$1843,"&gt;"&amp;BD1786)+SUMIFS($BA$7:$BA$1843,$CC$7:$CC$1843,CC1786,$BD$7:$BD$1843,BD1786,$BT$7:$BT$1843,"&lt;="&amp;BT1786),"")</f>
        <v/>
      </c>
      <c r="BF1786" s="58" t="n">
        <f aca="false">IF(BE1786="",0,MAX(0,MIN(1,(IF(CC1786="L1",Parameter!$H$5,IF(CC1786="L23",Parameter!$H$6+Parameter!$H$7,Parameter!$H$5+Parameter!$H$6+Parameter!$H$7))-(BE1786-BA1786))/BA1786)))</f>
        <v>0</v>
      </c>
      <c r="BG1786" s="48" t="str">
        <f aca="false">IF(AI1786&lt;=0,"",IF(CC1786="Aussen","Aussenlager",IF(CC1786="-","Nicht im Lift",IF(AN1786&gt;=1,"Lift",IF(AN1786&lt;=0,"Aussenlager","teilweise")))))</f>
        <v/>
      </c>
      <c r="BH1786" s="48" t="str">
        <f aca="false">IF(AR1786&lt;=0,"",IF(CC1786="Aussen","Aussenlager",IF(CC1786="-","Nicht im Lift",IF(AW1786&gt;=1,"Lift",IF(AW1786&lt;=0,"Aussenlager","teilweise")))))</f>
        <v/>
      </c>
      <c r="BI1786" s="48" t="str">
        <f aca="false">IF(BA1786&lt;=0,"",IF(CC1786="Aussen","Aussenlager",IF(CC1786="-","Nicht im Lift",IF(BF1786&gt;=1,"Lift",IF(BF1786&lt;=0,"Aussenlager","teilweise")))))</f>
        <v/>
      </c>
      <c r="BJ1786" s="48" t="str">
        <f aca="false">IF(A1786="","",IF(BS1786=1,"Neu; ","")&amp;IF(AND(BS1786=0,BN1786&lt;0),"negativer Bestand (Export "&amp;BN1786&amp;"); ","")&amp;IF(J1786&lt;=0,"Kein Verbrauch; ","")&amp;IF(CL1786&gt;0,"Lift "&amp;W1786&amp;" lt. Liftbericht (Fach "&amp;X1786&amp;" Stk); ",IF(BX1786=1,"Gebinde geschätzt ("&amp;T1786&amp;"); ",IF(BW1786=1,"Lose – Tablare geschätzt; ","")))&amp;IF(H1786&gt;AT1786,"Überbestand "&amp;ROUND(H1786-AT1786,0)&amp;" Stk / CHF "&amp;ROUND((H1786-AT1786)*G1786,0)&amp;"; ","")&amp;IF(AND(CE1786=1,CF1786&lt;CG1786),"MAX &lt; MB+LG; ","")&amp;IF(AND(CK1786&gt;0,CJ1786*10&gt;CK1786),"zu hoch für Tablar; ","")&amp;IF(AND(BS1786=0,OR(CE1786=1,AA1786&lt;&gt;"",U1786&lt;&gt;"",V1786&lt;&gt;"",AB1786&lt;&gt;"")),"manuell übersteuert; ","")&amp;IF(AND(BW1786=0,R1786=0),"Gebinde unbekannt / Stellmass fehlt; ","")&amp;IF(AND(BW1786=0,N(V1786)&lt;=0,N(Q1786)&lt;=0),"Menge pro Gebinde fehlt (Ist = 1 Gebinde); ","")&amp;BR1786)</f>
        <v/>
      </c>
      <c r="BK1786" s="48"/>
      <c r="BL1786" s="48"/>
      <c r="BM1786" s="55"/>
      <c r="BN1786" s="50" t="n">
        <f aca="false">N('Neue Artikel'!$D$47)</f>
        <v>0</v>
      </c>
      <c r="BO1786" s="50" t="n">
        <v>0</v>
      </c>
      <c r="BP1786" s="49" t="n">
        <v>0</v>
      </c>
      <c r="BQ1786" s="50" t="n">
        <f aca="false">N('Neue Artikel'!$C$47)/Parameter!$B$18</f>
        <v>0</v>
      </c>
      <c r="BR1786" s="48"/>
      <c r="BS1786" s="53" t="n">
        <v>1</v>
      </c>
      <c r="BT1786" s="53" t="n">
        <v>1786</v>
      </c>
      <c r="BU1786" s="48" t="str">
        <f aca="false">IF(U1786&lt;&gt;"",UPPER(TRIM(U1786)),IF(BX1786=1,UPPER(VLOOKUP(T1786,Parameter!$I$27:$K$29,2,0)),IF(P1786="","LOSE",P1786)))</f>
        <v>LOSE</v>
      </c>
      <c r="BV1786" s="50" t="n">
        <f aca="false">IF(BU1786="LOSE",1,IF(N(V1786)&gt;0,V1786,IF(BX1786=1,MAX(1,N(VLOOKUP(T1786,Parameter!$I$27:$K$29,3,0)),H1786,N(N1786)),IF(N(Q1786)&gt;0,Q1786,MAX(1,H1786)))))</f>
        <v>1</v>
      </c>
      <c r="BW1786" s="53" t="n">
        <f aca="false">IF(BU1786="LOSE",1,0)</f>
        <v>1</v>
      </c>
      <c r="BX1786" s="53" t="n">
        <f aca="false">IF(AND(U1786="",OR(P1786="",P1786="LOSE"),T1786&lt;&gt;"",N(S1786)&lt;=0,ISNUMBER(MATCH(T1786,Parameter!$I$27:$I$29,0))),1,0)</f>
        <v>0</v>
      </c>
      <c r="BY1786" s="53" t="n">
        <f aca="false">IF(CL1786&gt;0,INDEX(Parameter!$H$5:$H$7,W1786)/INDEX(Parameter!$E$5:$E$7,W1786),IF(AND(BW1786=0,N(IFERROR(VLOOKUP(BU1786,'Gebinde-Kategorie'!$A$5:$N$45,14,0),0))&gt;0),VLOOKUP(BU1786,'Gebinde-Kategorie'!$A$5:$N$45,14,0)*10+Parameter!$M$23,Parameter!$M$24))</f>
        <v>235</v>
      </c>
      <c r="BZ1786" s="48" t="str">
        <f aca="false">IF(AND(Parameter!$B$19="Ja",E1786&lt;&gt;"",ISNUMBER(MATCH(E1786,Parameter!$I$35:$I$52,0))),VLOOKUP(E1786,Parameter!$I$35:$J$52,2,0),IFERROR(VLOOKUP(D1786,Parameter!$A$35:$C$64,2,0),"Nein"))</f>
        <v>2+3</v>
      </c>
      <c r="CA1786" s="52" t="n">
        <f aca="false">IF(BW1786=0,0,IF(N(S1786)&gt;0,S1786,IFERROR(VLOOKUP(D1786,Parameter!$A$35:$C$64,3,0)+0,0)))</f>
        <v>0.15</v>
      </c>
      <c r="CB1786" s="48" t="str">
        <f aca="false">IF(AA1786&lt;&gt;"",AA1786,Z1786)</f>
        <v/>
      </c>
      <c r="CC1786" s="48" t="str">
        <f aca="false">IF(OR(CB1786=1,CB1786=2,CB1786=3),IF(Parameter!$E$27="Ja","LIFT",IF(CB1786=1,"L1","L23")),IF(CB1786="Aussen","Aussen","-"))</f>
        <v>-</v>
      </c>
      <c r="CD1786" s="59" t="n">
        <f aca="false">IF(N(AB1786)&gt;0,AB1786,0)</f>
        <v>0</v>
      </c>
      <c r="CE1786" s="53" t="n">
        <f aca="false">IF(ISNUMBER(AE1786),1,0)</f>
        <v>0</v>
      </c>
      <c r="CF1786" s="50" t="n">
        <f aca="false">N(AE1786)</f>
        <v>0</v>
      </c>
      <c r="CG1786" s="50" t="n">
        <f aca="false">N(M1786)+N(N1786)</f>
        <v>0</v>
      </c>
      <c r="CH1786" s="50" t="n">
        <f aca="false">ROUNDUP(H1786/BV1786,0)</f>
        <v>0</v>
      </c>
      <c r="CI1786" s="50" t="n">
        <f aca="false">ROUNDUP(CF1786/BV1786,0)</f>
        <v>0</v>
      </c>
      <c r="CJ1786" s="53" t="n">
        <f aca="false">IF(BW1786=1,0,IFERROR(VLOOKUP(BU1786,'Gebinde-Kategorie'!$A$5:$N$45,5,0)+0,0))</f>
        <v>0</v>
      </c>
      <c r="CK1786" s="53" t="n">
        <f aca="false">IFERROR(IF(OR(CB1786=1,CB1786=2,CB1786=3),N(INDEX(Parameter!$I$5:$I$7,CB1786)),0),0)</f>
        <v>0</v>
      </c>
      <c r="CL1786" s="52" t="n">
        <f aca="false">IF(AND(Parameter!$B$21="Ja",ISNUMBER(W1786),N(X1786)&gt;0),IFERROR(N(INDEX(Parameter!$L$5:$L$7,W1786))*INDEX(Parameter!$E$5:$E$7,W1786)*X1786/SUMIFS($X$7:$X$1843,$W$7:$W$1843,W1786),0),0)</f>
        <v>0</v>
      </c>
    </row>
    <row r="1787" customFormat="false" ht="15" hidden="false" customHeight="false" outlineLevel="0" collapsed="false">
      <c r="A1787" s="48" t="str">
        <f aca="false">IF('Neue Artikel'!$A$48="","",'Neue Artikel'!$A$48&amp;"")</f>
        <v/>
      </c>
      <c r="B1787" s="48" t="str">
        <f aca="false">'Neue Artikel'!$B$48&amp;""</f>
        <v/>
      </c>
      <c r="C1787" s="48"/>
      <c r="D1787" s="48" t="s">
        <v>3019</v>
      </c>
      <c r="E1787" s="48"/>
      <c r="F1787" s="48"/>
      <c r="G1787" s="49" t="n">
        <f aca="false">N('Neue Artikel'!$G$48)</f>
        <v>0</v>
      </c>
      <c r="H1787" s="50" t="n">
        <f aca="false">MAX(0,IF(AND(Parameter!$B$21="Ja",ISNUMBER(Y1787)),Y1787,IF(Parameter!$B$20="Jahresanfang 2025 + Export",BO1787+BN1787,BN1787)))</f>
        <v>0</v>
      </c>
      <c r="I1787" s="50" t="n">
        <f aca="false">H1787*G1787</f>
        <v>0</v>
      </c>
      <c r="J1787" s="50" t="n">
        <f aca="false">BQ1787*Parameter!$B$18</f>
        <v>0</v>
      </c>
      <c r="K1787" s="51"/>
      <c r="L1787" s="52"/>
      <c r="M1787" s="50" t="n">
        <f aca="false">N('Neue Artikel'!$E$48)</f>
        <v>0</v>
      </c>
      <c r="N1787" s="50" t="n">
        <f aca="false">N('Neue Artikel'!$F$48)</f>
        <v>0</v>
      </c>
      <c r="O1787" s="53"/>
      <c r="P1787" s="48" t="str">
        <f aca="false">IF('Neue Artikel'!$H$48="","LOSE",UPPER(TRIM('Neue Artikel'!$H$48)))</f>
        <v>LOSE</v>
      </c>
      <c r="Q1787" s="50" t="n">
        <f aca="false">N('Neue Artikel'!$I$48)</f>
        <v>0</v>
      </c>
      <c r="R1787" s="53" t="n">
        <f aca="false">IF(BW1787=1,0,IFERROR(VLOOKUP(BU1787,'Gebinde-Kategorie'!$A$5:$N$45,13,0)+0,0))</f>
        <v>0</v>
      </c>
      <c r="S1787" s="54"/>
      <c r="T1787" s="55"/>
      <c r="U1787" s="55"/>
      <c r="V1787" s="55"/>
      <c r="W1787" s="48"/>
      <c r="X1787" s="50"/>
      <c r="Y1787" s="50"/>
      <c r="Z1787" s="48" t="str">
        <f aca="false">IF(A1787="","",IF(AND(Parameter!$B$21="Ja",ISNUMBER(W1787)),W1787,IF(BZ1787="2+3",IF(ISNUMBER(SEARCH("grosser Artikel",BR1787)),2,IFERROR(VLOOKUP(BU1787,Parameter!$F$35:$G$64,2,0),2)),IF(OR(BZ1787="Nein",BZ1787=""),"-",BZ1787))))</f>
        <v/>
      </c>
      <c r="AA1787" s="48" t="str">
        <f aca="false">IF('Neue Artikel'!$J$48="","",'Neue Artikel'!$J$48)</f>
        <v/>
      </c>
      <c r="AB1787" s="56"/>
      <c r="AC1787" s="50" t="n">
        <f aca="false">AT1787</f>
        <v>0</v>
      </c>
      <c r="AD1787" s="50" t="n">
        <f aca="false">MAX(AT1787,H1787)</f>
        <v>0</v>
      </c>
      <c r="AE1787" s="57"/>
      <c r="AF1787" s="50" t="n">
        <f aca="false">IF(LEFT(Cockpit!$C$5,1)="A",H1787,IF(CE1787=1,CF1787,IF(LEFT(Cockpit!$C$5,1)="B",AK1787,MAX(AK1787,H1787))))</f>
        <v>0</v>
      </c>
      <c r="AG1787" s="50" t="n">
        <f aca="false">IF(BW1787=1,0,ROUNDUP(AF1787/BV1787,0))</f>
        <v>0</v>
      </c>
      <c r="AH1787" s="52" t="n">
        <f aca="false">IF(CL1787&gt;0,CL1787*MAX(1,AF1787/X1787),IF(BW1787=1,IF(AF1787&lt;=0,0,CA1787*MAX(1,IF(H1787&gt;0,AF1787/H1787,1))),IF(R1787&gt;0,AG1787/R1787,0))/MAX(0.1,N(Parameter!$M$21)))</f>
        <v>0</v>
      </c>
      <c r="AI1787" s="50" t="n">
        <f aca="false">AH1787*BY1787</f>
        <v>0</v>
      </c>
      <c r="AJ1787" s="50" t="n">
        <f aca="false">AF1787*G1787</f>
        <v>0</v>
      </c>
      <c r="AK1787" s="50" t="n">
        <f aca="false">ROUNDUP(MAX(J1787/IF(CD1787&gt;0,CD1787,MAX(0.1,N(Cockpit!$C$6))),CG1787)/BV1787,0)*BV1787</f>
        <v>0</v>
      </c>
      <c r="AL1787" s="51" t="n">
        <f aca="false">IF(AI1787&gt;0,J1787/AI1787,-1)</f>
        <v>-1</v>
      </c>
      <c r="AM1787" s="51" t="str">
        <f aca="false">IF(AND(OR(CC1787="L1",CC1787="L23",CC1787="LIFT"),AI1787&gt;0),SUMIFS($AI$7:$AI$1843,$CC$7:$CC$1843,CC1787,$AL$7:$AL$1843,"&gt;"&amp;AL1787)+SUMIFS($AI$7:$AI$1843,$CC$7:$CC$1843,CC1787,$AL$7:$AL$1843,AL1787,$BT$7:$BT$1843,"&lt;="&amp;BT1787),"")</f>
        <v/>
      </c>
      <c r="AN1787" s="58" t="n">
        <f aca="false">IF(AM1787="",0,MAX(0,MIN(1,(IF(CC1787="L1",Parameter!$H$5,IF(CC1787="L23",Parameter!$H$6+Parameter!$H$7,Parameter!$H$5+Parameter!$H$6+Parameter!$H$7))-(AM1787-AI1787))/AI1787)))</f>
        <v>0</v>
      </c>
      <c r="AO1787" s="50" t="n">
        <f aca="false">IF(LEFT(Cockpit!$I$5,1)="A",H1787,IF(CE1787=1,CF1787,IF(LEFT(Cockpit!$I$5,1)="B",AT1787,MAX(AT1787,H1787))))</f>
        <v>0</v>
      </c>
      <c r="AP1787" s="50" t="n">
        <f aca="false">IF(BW1787=1,0,ROUNDUP(AO1787/BV1787,0))</f>
        <v>0</v>
      </c>
      <c r="AQ1787" s="52" t="n">
        <f aca="false">IF(CL1787&gt;0,CL1787*MAX(1,AO1787/X1787),IF(BW1787=1,IF(AO1787&lt;=0,0,CA1787*MAX(1,IF(H1787&gt;0,AO1787/H1787,1))),IF(R1787&gt;0,AP1787/R1787,0))/MAX(0.1,N(Parameter!$M$21)))</f>
        <v>0</v>
      </c>
      <c r="AR1787" s="50" t="n">
        <f aca="false">AQ1787*BY1787</f>
        <v>0</v>
      </c>
      <c r="AS1787" s="50" t="n">
        <f aca="false">AO1787*G1787</f>
        <v>0</v>
      </c>
      <c r="AT1787" s="50" t="n">
        <f aca="false">ROUNDUP(MAX(J1787/IF(CD1787&gt;0,CD1787,MAX(0.1,N(Cockpit!$I$6))),CG1787)/BV1787,0)*BV1787</f>
        <v>0</v>
      </c>
      <c r="AU1787" s="51" t="n">
        <f aca="false">IF(AR1787&gt;0,J1787/AR1787,-1)</f>
        <v>-1</v>
      </c>
      <c r="AV1787" s="51" t="str">
        <f aca="false">IF(AND(OR(CC1787="L1",CC1787="L23",CC1787="LIFT"),AR1787&gt;0),SUMIFS($AR$7:$AR$1843,$CC$7:$CC$1843,CC1787,$AU$7:$AU$1843,"&gt;"&amp;AU1787)+SUMIFS($AR$7:$AR$1843,$CC$7:$CC$1843,CC1787,$AU$7:$AU$1843,AU1787,$BT$7:$BT$1843,"&lt;="&amp;BT1787),"")</f>
        <v/>
      </c>
      <c r="AW1787" s="58" t="n">
        <f aca="false">IF(AV1787="",0,MAX(0,MIN(1,(IF(CC1787="L1",Parameter!$H$5,IF(CC1787="L23",Parameter!$H$6+Parameter!$H$7,Parameter!$H$5+Parameter!$H$6+Parameter!$H$7))-(AV1787-AR1787))/AR1787)))</f>
        <v>0</v>
      </c>
      <c r="AX1787" s="50" t="n">
        <f aca="false">IF(LEFT(Cockpit!$O$5,1)="A",H1787,IF(CE1787=1,CF1787,IF(LEFT(Cockpit!$O$5,1)="B",BC1787,MAX(BC1787,H1787))))</f>
        <v>0</v>
      </c>
      <c r="AY1787" s="50" t="n">
        <f aca="false">IF(BW1787=1,0,ROUNDUP(AX1787/BV1787,0))</f>
        <v>0</v>
      </c>
      <c r="AZ1787" s="52" t="n">
        <f aca="false">IF(CL1787&gt;0,CL1787*MAX(1,AX1787/X1787),IF(BW1787=1,IF(AX1787&lt;=0,0,CA1787*MAX(1,IF(H1787&gt;0,AX1787/H1787,1))),IF(R1787&gt;0,AY1787/R1787,0))/MAX(0.1,N(Parameter!$M$21)))</f>
        <v>0</v>
      </c>
      <c r="BA1787" s="50" t="n">
        <f aca="false">AZ1787*BY1787</f>
        <v>0</v>
      </c>
      <c r="BB1787" s="50" t="n">
        <f aca="false">AX1787*G1787</f>
        <v>0</v>
      </c>
      <c r="BC1787" s="50" t="n">
        <f aca="false">ROUNDUP(MAX(J1787/IF(CD1787&gt;0,CD1787,MAX(0.1,N(Cockpit!$O$6))),CG1787)/BV1787,0)*BV1787</f>
        <v>0</v>
      </c>
      <c r="BD1787" s="51" t="n">
        <f aca="false">IF(BA1787&gt;0,J1787/BA1787,-1)</f>
        <v>-1</v>
      </c>
      <c r="BE1787" s="51" t="str">
        <f aca="false">IF(AND(OR(CC1787="L1",CC1787="L23",CC1787="LIFT"),BA1787&gt;0),SUMIFS($BA$7:$BA$1843,$CC$7:$CC$1843,CC1787,$BD$7:$BD$1843,"&gt;"&amp;BD1787)+SUMIFS($BA$7:$BA$1843,$CC$7:$CC$1843,CC1787,$BD$7:$BD$1843,BD1787,$BT$7:$BT$1843,"&lt;="&amp;BT1787),"")</f>
        <v/>
      </c>
      <c r="BF1787" s="58" t="n">
        <f aca="false">IF(BE1787="",0,MAX(0,MIN(1,(IF(CC1787="L1",Parameter!$H$5,IF(CC1787="L23",Parameter!$H$6+Parameter!$H$7,Parameter!$H$5+Parameter!$H$6+Parameter!$H$7))-(BE1787-BA1787))/BA1787)))</f>
        <v>0</v>
      </c>
      <c r="BG1787" s="48" t="str">
        <f aca="false">IF(AI1787&lt;=0,"",IF(CC1787="Aussen","Aussenlager",IF(CC1787="-","Nicht im Lift",IF(AN1787&gt;=1,"Lift",IF(AN1787&lt;=0,"Aussenlager","teilweise")))))</f>
        <v/>
      </c>
      <c r="BH1787" s="48" t="str">
        <f aca="false">IF(AR1787&lt;=0,"",IF(CC1787="Aussen","Aussenlager",IF(CC1787="-","Nicht im Lift",IF(AW1787&gt;=1,"Lift",IF(AW1787&lt;=0,"Aussenlager","teilweise")))))</f>
        <v/>
      </c>
      <c r="BI1787" s="48" t="str">
        <f aca="false">IF(BA1787&lt;=0,"",IF(CC1787="Aussen","Aussenlager",IF(CC1787="-","Nicht im Lift",IF(BF1787&gt;=1,"Lift",IF(BF1787&lt;=0,"Aussenlager","teilweise")))))</f>
        <v/>
      </c>
      <c r="BJ1787" s="48" t="str">
        <f aca="false">IF(A1787="","",IF(BS1787=1,"Neu; ","")&amp;IF(AND(BS1787=0,BN1787&lt;0),"negativer Bestand (Export "&amp;BN1787&amp;"); ","")&amp;IF(J1787&lt;=0,"Kein Verbrauch; ","")&amp;IF(CL1787&gt;0,"Lift "&amp;W1787&amp;" lt. Liftbericht (Fach "&amp;X1787&amp;" Stk); ",IF(BX1787=1,"Gebinde geschätzt ("&amp;T1787&amp;"); ",IF(BW1787=1,"Lose – Tablare geschätzt; ","")))&amp;IF(H1787&gt;AT1787,"Überbestand "&amp;ROUND(H1787-AT1787,0)&amp;" Stk / CHF "&amp;ROUND((H1787-AT1787)*G1787,0)&amp;"; ","")&amp;IF(AND(CE1787=1,CF1787&lt;CG1787),"MAX &lt; MB+LG; ","")&amp;IF(AND(CK1787&gt;0,CJ1787*10&gt;CK1787),"zu hoch für Tablar; ","")&amp;IF(AND(BS1787=0,OR(CE1787=1,AA1787&lt;&gt;"",U1787&lt;&gt;"",V1787&lt;&gt;"",AB1787&lt;&gt;"")),"manuell übersteuert; ","")&amp;IF(AND(BW1787=0,R1787=0),"Gebinde unbekannt / Stellmass fehlt; ","")&amp;IF(AND(BW1787=0,N(V1787)&lt;=0,N(Q1787)&lt;=0),"Menge pro Gebinde fehlt (Ist = 1 Gebinde); ","")&amp;BR1787)</f>
        <v/>
      </c>
      <c r="BK1787" s="48"/>
      <c r="BL1787" s="48"/>
      <c r="BM1787" s="55"/>
      <c r="BN1787" s="50" t="n">
        <f aca="false">N('Neue Artikel'!$D$48)</f>
        <v>0</v>
      </c>
      <c r="BO1787" s="50" t="n">
        <v>0</v>
      </c>
      <c r="BP1787" s="49" t="n">
        <v>0</v>
      </c>
      <c r="BQ1787" s="50" t="n">
        <f aca="false">N('Neue Artikel'!$C$48)/Parameter!$B$18</f>
        <v>0</v>
      </c>
      <c r="BR1787" s="48"/>
      <c r="BS1787" s="53" t="n">
        <v>1</v>
      </c>
      <c r="BT1787" s="53" t="n">
        <v>1787</v>
      </c>
      <c r="BU1787" s="48" t="str">
        <f aca="false">IF(U1787&lt;&gt;"",UPPER(TRIM(U1787)),IF(BX1787=1,UPPER(VLOOKUP(T1787,Parameter!$I$27:$K$29,2,0)),IF(P1787="","LOSE",P1787)))</f>
        <v>LOSE</v>
      </c>
      <c r="BV1787" s="50" t="n">
        <f aca="false">IF(BU1787="LOSE",1,IF(N(V1787)&gt;0,V1787,IF(BX1787=1,MAX(1,N(VLOOKUP(T1787,Parameter!$I$27:$K$29,3,0)),H1787,N(N1787)),IF(N(Q1787)&gt;0,Q1787,MAX(1,H1787)))))</f>
        <v>1</v>
      </c>
      <c r="BW1787" s="53" t="n">
        <f aca="false">IF(BU1787="LOSE",1,0)</f>
        <v>1</v>
      </c>
      <c r="BX1787" s="53" t="n">
        <f aca="false">IF(AND(U1787="",OR(P1787="",P1787="LOSE"),T1787&lt;&gt;"",N(S1787)&lt;=0,ISNUMBER(MATCH(T1787,Parameter!$I$27:$I$29,0))),1,0)</f>
        <v>0</v>
      </c>
      <c r="BY1787" s="53" t="n">
        <f aca="false">IF(CL1787&gt;0,INDEX(Parameter!$H$5:$H$7,W1787)/INDEX(Parameter!$E$5:$E$7,W1787),IF(AND(BW1787=0,N(IFERROR(VLOOKUP(BU1787,'Gebinde-Kategorie'!$A$5:$N$45,14,0),0))&gt;0),VLOOKUP(BU1787,'Gebinde-Kategorie'!$A$5:$N$45,14,0)*10+Parameter!$M$23,Parameter!$M$24))</f>
        <v>235</v>
      </c>
      <c r="BZ1787" s="48" t="str">
        <f aca="false">IF(AND(Parameter!$B$19="Ja",E1787&lt;&gt;"",ISNUMBER(MATCH(E1787,Parameter!$I$35:$I$52,0))),VLOOKUP(E1787,Parameter!$I$35:$J$52,2,0),IFERROR(VLOOKUP(D1787,Parameter!$A$35:$C$64,2,0),"Nein"))</f>
        <v>2+3</v>
      </c>
      <c r="CA1787" s="52" t="n">
        <f aca="false">IF(BW1787=0,0,IF(N(S1787)&gt;0,S1787,IFERROR(VLOOKUP(D1787,Parameter!$A$35:$C$64,3,0)+0,0)))</f>
        <v>0.15</v>
      </c>
      <c r="CB1787" s="48" t="str">
        <f aca="false">IF(AA1787&lt;&gt;"",AA1787,Z1787)</f>
        <v/>
      </c>
      <c r="CC1787" s="48" t="str">
        <f aca="false">IF(OR(CB1787=1,CB1787=2,CB1787=3),IF(Parameter!$E$27="Ja","LIFT",IF(CB1787=1,"L1","L23")),IF(CB1787="Aussen","Aussen","-"))</f>
        <v>-</v>
      </c>
      <c r="CD1787" s="59" t="n">
        <f aca="false">IF(N(AB1787)&gt;0,AB1787,0)</f>
        <v>0</v>
      </c>
      <c r="CE1787" s="53" t="n">
        <f aca="false">IF(ISNUMBER(AE1787),1,0)</f>
        <v>0</v>
      </c>
      <c r="CF1787" s="50" t="n">
        <f aca="false">N(AE1787)</f>
        <v>0</v>
      </c>
      <c r="CG1787" s="50" t="n">
        <f aca="false">N(M1787)+N(N1787)</f>
        <v>0</v>
      </c>
      <c r="CH1787" s="50" t="n">
        <f aca="false">ROUNDUP(H1787/BV1787,0)</f>
        <v>0</v>
      </c>
      <c r="CI1787" s="50" t="n">
        <f aca="false">ROUNDUP(CF1787/BV1787,0)</f>
        <v>0</v>
      </c>
      <c r="CJ1787" s="53" t="n">
        <f aca="false">IF(BW1787=1,0,IFERROR(VLOOKUP(BU1787,'Gebinde-Kategorie'!$A$5:$N$45,5,0)+0,0))</f>
        <v>0</v>
      </c>
      <c r="CK1787" s="53" t="n">
        <f aca="false">IFERROR(IF(OR(CB1787=1,CB1787=2,CB1787=3),N(INDEX(Parameter!$I$5:$I$7,CB1787)),0),0)</f>
        <v>0</v>
      </c>
      <c r="CL1787" s="52" t="n">
        <f aca="false">IF(AND(Parameter!$B$21="Ja",ISNUMBER(W1787),N(X1787)&gt;0),IFERROR(N(INDEX(Parameter!$L$5:$L$7,W1787))*INDEX(Parameter!$E$5:$E$7,W1787)*X1787/SUMIFS($X$7:$X$1843,$W$7:$W$1843,W1787),0),0)</f>
        <v>0</v>
      </c>
    </row>
    <row r="1788" customFormat="false" ht="15" hidden="false" customHeight="false" outlineLevel="0" collapsed="false">
      <c r="A1788" s="48" t="str">
        <f aca="false">IF('Neue Artikel'!$A$49="","",'Neue Artikel'!$A$49&amp;"")</f>
        <v/>
      </c>
      <c r="B1788" s="48" t="str">
        <f aca="false">'Neue Artikel'!$B$49&amp;""</f>
        <v/>
      </c>
      <c r="C1788" s="48"/>
      <c r="D1788" s="48" t="s">
        <v>3019</v>
      </c>
      <c r="E1788" s="48"/>
      <c r="F1788" s="48"/>
      <c r="G1788" s="49" t="n">
        <f aca="false">N('Neue Artikel'!$G$49)</f>
        <v>0</v>
      </c>
      <c r="H1788" s="50" t="n">
        <f aca="false">MAX(0,IF(AND(Parameter!$B$21="Ja",ISNUMBER(Y1788)),Y1788,IF(Parameter!$B$20="Jahresanfang 2025 + Export",BO1788+BN1788,BN1788)))</f>
        <v>0</v>
      </c>
      <c r="I1788" s="50" t="n">
        <f aca="false">H1788*G1788</f>
        <v>0</v>
      </c>
      <c r="J1788" s="50" t="n">
        <f aca="false">BQ1788*Parameter!$B$18</f>
        <v>0</v>
      </c>
      <c r="K1788" s="51"/>
      <c r="L1788" s="52"/>
      <c r="M1788" s="50" t="n">
        <f aca="false">N('Neue Artikel'!$E$49)</f>
        <v>0</v>
      </c>
      <c r="N1788" s="50" t="n">
        <f aca="false">N('Neue Artikel'!$F$49)</f>
        <v>0</v>
      </c>
      <c r="O1788" s="53"/>
      <c r="P1788" s="48" t="str">
        <f aca="false">IF('Neue Artikel'!$H$49="","LOSE",UPPER(TRIM('Neue Artikel'!$H$49)))</f>
        <v>LOSE</v>
      </c>
      <c r="Q1788" s="50" t="n">
        <f aca="false">N('Neue Artikel'!$I$49)</f>
        <v>0</v>
      </c>
      <c r="R1788" s="53" t="n">
        <f aca="false">IF(BW1788=1,0,IFERROR(VLOOKUP(BU1788,'Gebinde-Kategorie'!$A$5:$N$45,13,0)+0,0))</f>
        <v>0</v>
      </c>
      <c r="S1788" s="54"/>
      <c r="T1788" s="55"/>
      <c r="U1788" s="55"/>
      <c r="V1788" s="55"/>
      <c r="W1788" s="48"/>
      <c r="X1788" s="50"/>
      <c r="Y1788" s="50"/>
      <c r="Z1788" s="48" t="str">
        <f aca="false">IF(A1788="","",IF(AND(Parameter!$B$21="Ja",ISNUMBER(W1788)),W1788,IF(BZ1788="2+3",IF(ISNUMBER(SEARCH("grosser Artikel",BR1788)),2,IFERROR(VLOOKUP(BU1788,Parameter!$F$35:$G$64,2,0),2)),IF(OR(BZ1788="Nein",BZ1788=""),"-",BZ1788))))</f>
        <v/>
      </c>
      <c r="AA1788" s="48" t="str">
        <f aca="false">IF('Neue Artikel'!$J$49="","",'Neue Artikel'!$J$49)</f>
        <v/>
      </c>
      <c r="AB1788" s="56"/>
      <c r="AC1788" s="50" t="n">
        <f aca="false">AT1788</f>
        <v>0</v>
      </c>
      <c r="AD1788" s="50" t="n">
        <f aca="false">MAX(AT1788,H1788)</f>
        <v>0</v>
      </c>
      <c r="AE1788" s="57"/>
      <c r="AF1788" s="50" t="n">
        <f aca="false">IF(LEFT(Cockpit!$C$5,1)="A",H1788,IF(CE1788=1,CF1788,IF(LEFT(Cockpit!$C$5,1)="B",AK1788,MAX(AK1788,H1788))))</f>
        <v>0</v>
      </c>
      <c r="AG1788" s="50" t="n">
        <f aca="false">IF(BW1788=1,0,ROUNDUP(AF1788/BV1788,0))</f>
        <v>0</v>
      </c>
      <c r="AH1788" s="52" t="n">
        <f aca="false">IF(CL1788&gt;0,CL1788*MAX(1,AF1788/X1788),IF(BW1788=1,IF(AF1788&lt;=0,0,CA1788*MAX(1,IF(H1788&gt;0,AF1788/H1788,1))),IF(R1788&gt;0,AG1788/R1788,0))/MAX(0.1,N(Parameter!$M$21)))</f>
        <v>0</v>
      </c>
      <c r="AI1788" s="50" t="n">
        <f aca="false">AH1788*BY1788</f>
        <v>0</v>
      </c>
      <c r="AJ1788" s="50" t="n">
        <f aca="false">AF1788*G1788</f>
        <v>0</v>
      </c>
      <c r="AK1788" s="50" t="n">
        <f aca="false">ROUNDUP(MAX(J1788/IF(CD1788&gt;0,CD1788,MAX(0.1,N(Cockpit!$C$6))),CG1788)/BV1788,0)*BV1788</f>
        <v>0</v>
      </c>
      <c r="AL1788" s="51" t="n">
        <f aca="false">IF(AI1788&gt;0,J1788/AI1788,-1)</f>
        <v>-1</v>
      </c>
      <c r="AM1788" s="51" t="str">
        <f aca="false">IF(AND(OR(CC1788="L1",CC1788="L23",CC1788="LIFT"),AI1788&gt;0),SUMIFS($AI$7:$AI$1843,$CC$7:$CC$1843,CC1788,$AL$7:$AL$1843,"&gt;"&amp;AL1788)+SUMIFS($AI$7:$AI$1843,$CC$7:$CC$1843,CC1788,$AL$7:$AL$1843,AL1788,$BT$7:$BT$1843,"&lt;="&amp;BT1788),"")</f>
        <v/>
      </c>
      <c r="AN1788" s="58" t="n">
        <f aca="false">IF(AM1788="",0,MAX(0,MIN(1,(IF(CC1788="L1",Parameter!$H$5,IF(CC1788="L23",Parameter!$H$6+Parameter!$H$7,Parameter!$H$5+Parameter!$H$6+Parameter!$H$7))-(AM1788-AI1788))/AI1788)))</f>
        <v>0</v>
      </c>
      <c r="AO1788" s="50" t="n">
        <f aca="false">IF(LEFT(Cockpit!$I$5,1)="A",H1788,IF(CE1788=1,CF1788,IF(LEFT(Cockpit!$I$5,1)="B",AT1788,MAX(AT1788,H1788))))</f>
        <v>0</v>
      </c>
      <c r="AP1788" s="50" t="n">
        <f aca="false">IF(BW1788=1,0,ROUNDUP(AO1788/BV1788,0))</f>
        <v>0</v>
      </c>
      <c r="AQ1788" s="52" t="n">
        <f aca="false">IF(CL1788&gt;0,CL1788*MAX(1,AO1788/X1788),IF(BW1788=1,IF(AO1788&lt;=0,0,CA1788*MAX(1,IF(H1788&gt;0,AO1788/H1788,1))),IF(R1788&gt;0,AP1788/R1788,0))/MAX(0.1,N(Parameter!$M$21)))</f>
        <v>0</v>
      </c>
      <c r="AR1788" s="50" t="n">
        <f aca="false">AQ1788*BY1788</f>
        <v>0</v>
      </c>
      <c r="AS1788" s="50" t="n">
        <f aca="false">AO1788*G1788</f>
        <v>0</v>
      </c>
      <c r="AT1788" s="50" t="n">
        <f aca="false">ROUNDUP(MAX(J1788/IF(CD1788&gt;0,CD1788,MAX(0.1,N(Cockpit!$I$6))),CG1788)/BV1788,0)*BV1788</f>
        <v>0</v>
      </c>
      <c r="AU1788" s="51" t="n">
        <f aca="false">IF(AR1788&gt;0,J1788/AR1788,-1)</f>
        <v>-1</v>
      </c>
      <c r="AV1788" s="51" t="str">
        <f aca="false">IF(AND(OR(CC1788="L1",CC1788="L23",CC1788="LIFT"),AR1788&gt;0),SUMIFS($AR$7:$AR$1843,$CC$7:$CC$1843,CC1788,$AU$7:$AU$1843,"&gt;"&amp;AU1788)+SUMIFS($AR$7:$AR$1843,$CC$7:$CC$1843,CC1788,$AU$7:$AU$1843,AU1788,$BT$7:$BT$1843,"&lt;="&amp;BT1788),"")</f>
        <v/>
      </c>
      <c r="AW1788" s="58" t="n">
        <f aca="false">IF(AV1788="",0,MAX(0,MIN(1,(IF(CC1788="L1",Parameter!$H$5,IF(CC1788="L23",Parameter!$H$6+Parameter!$H$7,Parameter!$H$5+Parameter!$H$6+Parameter!$H$7))-(AV1788-AR1788))/AR1788)))</f>
        <v>0</v>
      </c>
      <c r="AX1788" s="50" t="n">
        <f aca="false">IF(LEFT(Cockpit!$O$5,1)="A",H1788,IF(CE1788=1,CF1788,IF(LEFT(Cockpit!$O$5,1)="B",BC1788,MAX(BC1788,H1788))))</f>
        <v>0</v>
      </c>
      <c r="AY1788" s="50" t="n">
        <f aca="false">IF(BW1788=1,0,ROUNDUP(AX1788/BV1788,0))</f>
        <v>0</v>
      </c>
      <c r="AZ1788" s="52" t="n">
        <f aca="false">IF(CL1788&gt;0,CL1788*MAX(1,AX1788/X1788),IF(BW1788=1,IF(AX1788&lt;=0,0,CA1788*MAX(1,IF(H1788&gt;0,AX1788/H1788,1))),IF(R1788&gt;0,AY1788/R1788,0))/MAX(0.1,N(Parameter!$M$21)))</f>
        <v>0</v>
      </c>
      <c r="BA1788" s="50" t="n">
        <f aca="false">AZ1788*BY1788</f>
        <v>0</v>
      </c>
      <c r="BB1788" s="50" t="n">
        <f aca="false">AX1788*G1788</f>
        <v>0</v>
      </c>
      <c r="BC1788" s="50" t="n">
        <f aca="false">ROUNDUP(MAX(J1788/IF(CD1788&gt;0,CD1788,MAX(0.1,N(Cockpit!$O$6))),CG1788)/BV1788,0)*BV1788</f>
        <v>0</v>
      </c>
      <c r="BD1788" s="51" t="n">
        <f aca="false">IF(BA1788&gt;0,J1788/BA1788,-1)</f>
        <v>-1</v>
      </c>
      <c r="BE1788" s="51" t="str">
        <f aca="false">IF(AND(OR(CC1788="L1",CC1788="L23",CC1788="LIFT"),BA1788&gt;0),SUMIFS($BA$7:$BA$1843,$CC$7:$CC$1843,CC1788,$BD$7:$BD$1843,"&gt;"&amp;BD1788)+SUMIFS($BA$7:$BA$1843,$CC$7:$CC$1843,CC1788,$BD$7:$BD$1843,BD1788,$BT$7:$BT$1843,"&lt;="&amp;BT1788),"")</f>
        <v/>
      </c>
      <c r="BF1788" s="58" t="n">
        <f aca="false">IF(BE1788="",0,MAX(0,MIN(1,(IF(CC1788="L1",Parameter!$H$5,IF(CC1788="L23",Parameter!$H$6+Parameter!$H$7,Parameter!$H$5+Parameter!$H$6+Parameter!$H$7))-(BE1788-BA1788))/BA1788)))</f>
        <v>0</v>
      </c>
      <c r="BG1788" s="48" t="str">
        <f aca="false">IF(AI1788&lt;=0,"",IF(CC1788="Aussen","Aussenlager",IF(CC1788="-","Nicht im Lift",IF(AN1788&gt;=1,"Lift",IF(AN1788&lt;=0,"Aussenlager","teilweise")))))</f>
        <v/>
      </c>
      <c r="BH1788" s="48" t="str">
        <f aca="false">IF(AR1788&lt;=0,"",IF(CC1788="Aussen","Aussenlager",IF(CC1788="-","Nicht im Lift",IF(AW1788&gt;=1,"Lift",IF(AW1788&lt;=0,"Aussenlager","teilweise")))))</f>
        <v/>
      </c>
      <c r="BI1788" s="48" t="str">
        <f aca="false">IF(BA1788&lt;=0,"",IF(CC1788="Aussen","Aussenlager",IF(CC1788="-","Nicht im Lift",IF(BF1788&gt;=1,"Lift",IF(BF1788&lt;=0,"Aussenlager","teilweise")))))</f>
        <v/>
      </c>
      <c r="BJ1788" s="48" t="str">
        <f aca="false">IF(A1788="","",IF(BS1788=1,"Neu; ","")&amp;IF(AND(BS1788=0,BN1788&lt;0),"negativer Bestand (Export "&amp;BN1788&amp;"); ","")&amp;IF(J1788&lt;=0,"Kein Verbrauch; ","")&amp;IF(CL1788&gt;0,"Lift "&amp;W1788&amp;" lt. Liftbericht (Fach "&amp;X1788&amp;" Stk); ",IF(BX1788=1,"Gebinde geschätzt ("&amp;T1788&amp;"); ",IF(BW1788=1,"Lose – Tablare geschätzt; ","")))&amp;IF(H1788&gt;AT1788,"Überbestand "&amp;ROUND(H1788-AT1788,0)&amp;" Stk / CHF "&amp;ROUND((H1788-AT1788)*G1788,0)&amp;"; ","")&amp;IF(AND(CE1788=1,CF1788&lt;CG1788),"MAX &lt; MB+LG; ","")&amp;IF(AND(CK1788&gt;0,CJ1788*10&gt;CK1788),"zu hoch für Tablar; ","")&amp;IF(AND(BS1788=0,OR(CE1788=1,AA1788&lt;&gt;"",U1788&lt;&gt;"",V1788&lt;&gt;"",AB1788&lt;&gt;"")),"manuell übersteuert; ","")&amp;IF(AND(BW1788=0,R1788=0),"Gebinde unbekannt / Stellmass fehlt; ","")&amp;IF(AND(BW1788=0,N(V1788)&lt;=0,N(Q1788)&lt;=0),"Menge pro Gebinde fehlt (Ist = 1 Gebinde); ","")&amp;BR1788)</f>
        <v/>
      </c>
      <c r="BK1788" s="48"/>
      <c r="BL1788" s="48"/>
      <c r="BM1788" s="55"/>
      <c r="BN1788" s="50" t="n">
        <f aca="false">N('Neue Artikel'!$D$49)</f>
        <v>0</v>
      </c>
      <c r="BO1788" s="50" t="n">
        <v>0</v>
      </c>
      <c r="BP1788" s="49" t="n">
        <v>0</v>
      </c>
      <c r="BQ1788" s="50" t="n">
        <f aca="false">N('Neue Artikel'!$C$49)/Parameter!$B$18</f>
        <v>0</v>
      </c>
      <c r="BR1788" s="48"/>
      <c r="BS1788" s="53" t="n">
        <v>1</v>
      </c>
      <c r="BT1788" s="53" t="n">
        <v>1788</v>
      </c>
      <c r="BU1788" s="48" t="str">
        <f aca="false">IF(U1788&lt;&gt;"",UPPER(TRIM(U1788)),IF(BX1788=1,UPPER(VLOOKUP(T1788,Parameter!$I$27:$K$29,2,0)),IF(P1788="","LOSE",P1788)))</f>
        <v>LOSE</v>
      </c>
      <c r="BV1788" s="50" t="n">
        <f aca="false">IF(BU1788="LOSE",1,IF(N(V1788)&gt;0,V1788,IF(BX1788=1,MAX(1,N(VLOOKUP(T1788,Parameter!$I$27:$K$29,3,0)),H1788,N(N1788)),IF(N(Q1788)&gt;0,Q1788,MAX(1,H1788)))))</f>
        <v>1</v>
      </c>
      <c r="BW1788" s="53" t="n">
        <f aca="false">IF(BU1788="LOSE",1,0)</f>
        <v>1</v>
      </c>
      <c r="BX1788" s="53" t="n">
        <f aca="false">IF(AND(U1788="",OR(P1788="",P1788="LOSE"),T1788&lt;&gt;"",N(S1788)&lt;=0,ISNUMBER(MATCH(T1788,Parameter!$I$27:$I$29,0))),1,0)</f>
        <v>0</v>
      </c>
      <c r="BY1788" s="53" t="n">
        <f aca="false">IF(CL1788&gt;0,INDEX(Parameter!$H$5:$H$7,W1788)/INDEX(Parameter!$E$5:$E$7,W1788),IF(AND(BW1788=0,N(IFERROR(VLOOKUP(BU1788,'Gebinde-Kategorie'!$A$5:$N$45,14,0),0))&gt;0),VLOOKUP(BU1788,'Gebinde-Kategorie'!$A$5:$N$45,14,0)*10+Parameter!$M$23,Parameter!$M$24))</f>
        <v>235</v>
      </c>
      <c r="BZ1788" s="48" t="str">
        <f aca="false">IF(AND(Parameter!$B$19="Ja",E1788&lt;&gt;"",ISNUMBER(MATCH(E1788,Parameter!$I$35:$I$52,0))),VLOOKUP(E1788,Parameter!$I$35:$J$52,2,0),IFERROR(VLOOKUP(D1788,Parameter!$A$35:$C$64,2,0),"Nein"))</f>
        <v>2+3</v>
      </c>
      <c r="CA1788" s="52" t="n">
        <f aca="false">IF(BW1788=0,0,IF(N(S1788)&gt;0,S1788,IFERROR(VLOOKUP(D1788,Parameter!$A$35:$C$64,3,0)+0,0)))</f>
        <v>0.15</v>
      </c>
      <c r="CB1788" s="48" t="str">
        <f aca="false">IF(AA1788&lt;&gt;"",AA1788,Z1788)</f>
        <v/>
      </c>
      <c r="CC1788" s="48" t="str">
        <f aca="false">IF(OR(CB1788=1,CB1788=2,CB1788=3),IF(Parameter!$E$27="Ja","LIFT",IF(CB1788=1,"L1","L23")),IF(CB1788="Aussen","Aussen","-"))</f>
        <v>-</v>
      </c>
      <c r="CD1788" s="59" t="n">
        <f aca="false">IF(N(AB1788)&gt;0,AB1788,0)</f>
        <v>0</v>
      </c>
      <c r="CE1788" s="53" t="n">
        <f aca="false">IF(ISNUMBER(AE1788),1,0)</f>
        <v>0</v>
      </c>
      <c r="CF1788" s="50" t="n">
        <f aca="false">N(AE1788)</f>
        <v>0</v>
      </c>
      <c r="CG1788" s="50" t="n">
        <f aca="false">N(M1788)+N(N1788)</f>
        <v>0</v>
      </c>
      <c r="CH1788" s="50" t="n">
        <f aca="false">ROUNDUP(H1788/BV1788,0)</f>
        <v>0</v>
      </c>
      <c r="CI1788" s="50" t="n">
        <f aca="false">ROUNDUP(CF1788/BV1788,0)</f>
        <v>0</v>
      </c>
      <c r="CJ1788" s="53" t="n">
        <f aca="false">IF(BW1788=1,0,IFERROR(VLOOKUP(BU1788,'Gebinde-Kategorie'!$A$5:$N$45,5,0)+0,0))</f>
        <v>0</v>
      </c>
      <c r="CK1788" s="53" t="n">
        <f aca="false">IFERROR(IF(OR(CB1788=1,CB1788=2,CB1788=3),N(INDEX(Parameter!$I$5:$I$7,CB1788)),0),0)</f>
        <v>0</v>
      </c>
      <c r="CL1788" s="52" t="n">
        <f aca="false">IF(AND(Parameter!$B$21="Ja",ISNUMBER(W1788),N(X1788)&gt;0),IFERROR(N(INDEX(Parameter!$L$5:$L$7,W1788))*INDEX(Parameter!$E$5:$E$7,W1788)*X1788/SUMIFS($X$7:$X$1843,$W$7:$W$1843,W1788),0),0)</f>
        <v>0</v>
      </c>
    </row>
    <row r="1789" customFormat="false" ht="15" hidden="false" customHeight="false" outlineLevel="0" collapsed="false">
      <c r="A1789" s="48" t="str">
        <f aca="false">IF('Neue Artikel'!$A$50="","",'Neue Artikel'!$A$50&amp;"")</f>
        <v/>
      </c>
      <c r="B1789" s="48" t="str">
        <f aca="false">'Neue Artikel'!$B$50&amp;""</f>
        <v/>
      </c>
      <c r="C1789" s="48"/>
      <c r="D1789" s="48" t="s">
        <v>3019</v>
      </c>
      <c r="E1789" s="48"/>
      <c r="F1789" s="48"/>
      <c r="G1789" s="49" t="n">
        <f aca="false">N('Neue Artikel'!$G$50)</f>
        <v>0</v>
      </c>
      <c r="H1789" s="50" t="n">
        <f aca="false">MAX(0,IF(AND(Parameter!$B$21="Ja",ISNUMBER(Y1789)),Y1789,IF(Parameter!$B$20="Jahresanfang 2025 + Export",BO1789+BN1789,BN1789)))</f>
        <v>0</v>
      </c>
      <c r="I1789" s="50" t="n">
        <f aca="false">H1789*G1789</f>
        <v>0</v>
      </c>
      <c r="J1789" s="50" t="n">
        <f aca="false">BQ1789*Parameter!$B$18</f>
        <v>0</v>
      </c>
      <c r="K1789" s="51"/>
      <c r="L1789" s="52"/>
      <c r="M1789" s="50" t="n">
        <f aca="false">N('Neue Artikel'!$E$50)</f>
        <v>0</v>
      </c>
      <c r="N1789" s="50" t="n">
        <f aca="false">N('Neue Artikel'!$F$50)</f>
        <v>0</v>
      </c>
      <c r="O1789" s="53"/>
      <c r="P1789" s="48" t="str">
        <f aca="false">IF('Neue Artikel'!$H$50="","LOSE",UPPER(TRIM('Neue Artikel'!$H$50)))</f>
        <v>LOSE</v>
      </c>
      <c r="Q1789" s="50" t="n">
        <f aca="false">N('Neue Artikel'!$I$50)</f>
        <v>0</v>
      </c>
      <c r="R1789" s="53" t="n">
        <f aca="false">IF(BW1789=1,0,IFERROR(VLOOKUP(BU1789,'Gebinde-Kategorie'!$A$5:$N$45,13,0)+0,0))</f>
        <v>0</v>
      </c>
      <c r="S1789" s="54"/>
      <c r="T1789" s="55"/>
      <c r="U1789" s="55"/>
      <c r="V1789" s="55"/>
      <c r="W1789" s="48"/>
      <c r="X1789" s="50"/>
      <c r="Y1789" s="50"/>
      <c r="Z1789" s="48" t="str">
        <f aca="false">IF(A1789="","",IF(AND(Parameter!$B$21="Ja",ISNUMBER(W1789)),W1789,IF(BZ1789="2+3",IF(ISNUMBER(SEARCH("grosser Artikel",BR1789)),2,IFERROR(VLOOKUP(BU1789,Parameter!$F$35:$G$64,2,0),2)),IF(OR(BZ1789="Nein",BZ1789=""),"-",BZ1789))))</f>
        <v/>
      </c>
      <c r="AA1789" s="48" t="str">
        <f aca="false">IF('Neue Artikel'!$J$50="","",'Neue Artikel'!$J$50)</f>
        <v/>
      </c>
      <c r="AB1789" s="56"/>
      <c r="AC1789" s="50" t="n">
        <f aca="false">AT1789</f>
        <v>0</v>
      </c>
      <c r="AD1789" s="50" t="n">
        <f aca="false">MAX(AT1789,H1789)</f>
        <v>0</v>
      </c>
      <c r="AE1789" s="57"/>
      <c r="AF1789" s="50" t="n">
        <f aca="false">IF(LEFT(Cockpit!$C$5,1)="A",H1789,IF(CE1789=1,CF1789,IF(LEFT(Cockpit!$C$5,1)="B",AK1789,MAX(AK1789,H1789))))</f>
        <v>0</v>
      </c>
      <c r="AG1789" s="50" t="n">
        <f aca="false">IF(BW1789=1,0,ROUNDUP(AF1789/BV1789,0))</f>
        <v>0</v>
      </c>
      <c r="AH1789" s="52" t="n">
        <f aca="false">IF(CL1789&gt;0,CL1789*MAX(1,AF1789/X1789),IF(BW1789=1,IF(AF1789&lt;=0,0,CA1789*MAX(1,IF(H1789&gt;0,AF1789/H1789,1))),IF(R1789&gt;0,AG1789/R1789,0))/MAX(0.1,N(Parameter!$M$21)))</f>
        <v>0</v>
      </c>
      <c r="AI1789" s="50" t="n">
        <f aca="false">AH1789*BY1789</f>
        <v>0</v>
      </c>
      <c r="AJ1789" s="50" t="n">
        <f aca="false">AF1789*G1789</f>
        <v>0</v>
      </c>
      <c r="AK1789" s="50" t="n">
        <f aca="false">ROUNDUP(MAX(J1789/IF(CD1789&gt;0,CD1789,MAX(0.1,N(Cockpit!$C$6))),CG1789)/BV1789,0)*BV1789</f>
        <v>0</v>
      </c>
      <c r="AL1789" s="51" t="n">
        <f aca="false">IF(AI1789&gt;0,J1789/AI1789,-1)</f>
        <v>-1</v>
      </c>
      <c r="AM1789" s="51" t="str">
        <f aca="false">IF(AND(OR(CC1789="L1",CC1789="L23",CC1789="LIFT"),AI1789&gt;0),SUMIFS($AI$7:$AI$1843,$CC$7:$CC$1843,CC1789,$AL$7:$AL$1843,"&gt;"&amp;AL1789)+SUMIFS($AI$7:$AI$1843,$CC$7:$CC$1843,CC1789,$AL$7:$AL$1843,AL1789,$BT$7:$BT$1843,"&lt;="&amp;BT1789),"")</f>
        <v/>
      </c>
      <c r="AN1789" s="58" t="n">
        <f aca="false">IF(AM1789="",0,MAX(0,MIN(1,(IF(CC1789="L1",Parameter!$H$5,IF(CC1789="L23",Parameter!$H$6+Parameter!$H$7,Parameter!$H$5+Parameter!$H$6+Parameter!$H$7))-(AM1789-AI1789))/AI1789)))</f>
        <v>0</v>
      </c>
      <c r="AO1789" s="50" t="n">
        <f aca="false">IF(LEFT(Cockpit!$I$5,1)="A",H1789,IF(CE1789=1,CF1789,IF(LEFT(Cockpit!$I$5,1)="B",AT1789,MAX(AT1789,H1789))))</f>
        <v>0</v>
      </c>
      <c r="AP1789" s="50" t="n">
        <f aca="false">IF(BW1789=1,0,ROUNDUP(AO1789/BV1789,0))</f>
        <v>0</v>
      </c>
      <c r="AQ1789" s="52" t="n">
        <f aca="false">IF(CL1789&gt;0,CL1789*MAX(1,AO1789/X1789),IF(BW1789=1,IF(AO1789&lt;=0,0,CA1789*MAX(1,IF(H1789&gt;0,AO1789/H1789,1))),IF(R1789&gt;0,AP1789/R1789,0))/MAX(0.1,N(Parameter!$M$21)))</f>
        <v>0</v>
      </c>
      <c r="AR1789" s="50" t="n">
        <f aca="false">AQ1789*BY1789</f>
        <v>0</v>
      </c>
      <c r="AS1789" s="50" t="n">
        <f aca="false">AO1789*G1789</f>
        <v>0</v>
      </c>
      <c r="AT1789" s="50" t="n">
        <f aca="false">ROUNDUP(MAX(J1789/IF(CD1789&gt;0,CD1789,MAX(0.1,N(Cockpit!$I$6))),CG1789)/BV1789,0)*BV1789</f>
        <v>0</v>
      </c>
      <c r="AU1789" s="51" t="n">
        <f aca="false">IF(AR1789&gt;0,J1789/AR1789,-1)</f>
        <v>-1</v>
      </c>
      <c r="AV1789" s="51" t="str">
        <f aca="false">IF(AND(OR(CC1789="L1",CC1789="L23",CC1789="LIFT"),AR1789&gt;0),SUMIFS($AR$7:$AR$1843,$CC$7:$CC$1843,CC1789,$AU$7:$AU$1843,"&gt;"&amp;AU1789)+SUMIFS($AR$7:$AR$1843,$CC$7:$CC$1843,CC1789,$AU$7:$AU$1843,AU1789,$BT$7:$BT$1843,"&lt;="&amp;BT1789),"")</f>
        <v/>
      </c>
      <c r="AW1789" s="58" t="n">
        <f aca="false">IF(AV1789="",0,MAX(0,MIN(1,(IF(CC1789="L1",Parameter!$H$5,IF(CC1789="L23",Parameter!$H$6+Parameter!$H$7,Parameter!$H$5+Parameter!$H$6+Parameter!$H$7))-(AV1789-AR1789))/AR1789)))</f>
        <v>0</v>
      </c>
      <c r="AX1789" s="50" t="n">
        <f aca="false">IF(LEFT(Cockpit!$O$5,1)="A",H1789,IF(CE1789=1,CF1789,IF(LEFT(Cockpit!$O$5,1)="B",BC1789,MAX(BC1789,H1789))))</f>
        <v>0</v>
      </c>
      <c r="AY1789" s="50" t="n">
        <f aca="false">IF(BW1789=1,0,ROUNDUP(AX1789/BV1789,0))</f>
        <v>0</v>
      </c>
      <c r="AZ1789" s="52" t="n">
        <f aca="false">IF(CL1789&gt;0,CL1789*MAX(1,AX1789/X1789),IF(BW1789=1,IF(AX1789&lt;=0,0,CA1789*MAX(1,IF(H1789&gt;0,AX1789/H1789,1))),IF(R1789&gt;0,AY1789/R1789,0))/MAX(0.1,N(Parameter!$M$21)))</f>
        <v>0</v>
      </c>
      <c r="BA1789" s="50" t="n">
        <f aca="false">AZ1789*BY1789</f>
        <v>0</v>
      </c>
      <c r="BB1789" s="50" t="n">
        <f aca="false">AX1789*G1789</f>
        <v>0</v>
      </c>
      <c r="BC1789" s="50" t="n">
        <f aca="false">ROUNDUP(MAX(J1789/IF(CD1789&gt;0,CD1789,MAX(0.1,N(Cockpit!$O$6))),CG1789)/BV1789,0)*BV1789</f>
        <v>0</v>
      </c>
      <c r="BD1789" s="51" t="n">
        <f aca="false">IF(BA1789&gt;0,J1789/BA1789,-1)</f>
        <v>-1</v>
      </c>
      <c r="BE1789" s="51" t="str">
        <f aca="false">IF(AND(OR(CC1789="L1",CC1789="L23",CC1789="LIFT"),BA1789&gt;0),SUMIFS($BA$7:$BA$1843,$CC$7:$CC$1843,CC1789,$BD$7:$BD$1843,"&gt;"&amp;BD1789)+SUMIFS($BA$7:$BA$1843,$CC$7:$CC$1843,CC1789,$BD$7:$BD$1843,BD1789,$BT$7:$BT$1843,"&lt;="&amp;BT1789),"")</f>
        <v/>
      </c>
      <c r="BF1789" s="58" t="n">
        <f aca="false">IF(BE1789="",0,MAX(0,MIN(1,(IF(CC1789="L1",Parameter!$H$5,IF(CC1789="L23",Parameter!$H$6+Parameter!$H$7,Parameter!$H$5+Parameter!$H$6+Parameter!$H$7))-(BE1789-BA1789))/BA1789)))</f>
        <v>0</v>
      </c>
      <c r="BG1789" s="48" t="str">
        <f aca="false">IF(AI1789&lt;=0,"",IF(CC1789="Aussen","Aussenlager",IF(CC1789="-","Nicht im Lift",IF(AN1789&gt;=1,"Lift",IF(AN1789&lt;=0,"Aussenlager","teilweise")))))</f>
        <v/>
      </c>
      <c r="BH1789" s="48" t="str">
        <f aca="false">IF(AR1789&lt;=0,"",IF(CC1789="Aussen","Aussenlager",IF(CC1789="-","Nicht im Lift",IF(AW1789&gt;=1,"Lift",IF(AW1789&lt;=0,"Aussenlager","teilweise")))))</f>
        <v/>
      </c>
      <c r="BI1789" s="48" t="str">
        <f aca="false">IF(BA1789&lt;=0,"",IF(CC1789="Aussen","Aussenlager",IF(CC1789="-","Nicht im Lift",IF(BF1789&gt;=1,"Lift",IF(BF1789&lt;=0,"Aussenlager","teilweise")))))</f>
        <v/>
      </c>
      <c r="BJ1789" s="48" t="str">
        <f aca="false">IF(A1789="","",IF(BS1789=1,"Neu; ","")&amp;IF(AND(BS1789=0,BN1789&lt;0),"negativer Bestand (Export "&amp;BN1789&amp;"); ","")&amp;IF(J1789&lt;=0,"Kein Verbrauch; ","")&amp;IF(CL1789&gt;0,"Lift "&amp;W1789&amp;" lt. Liftbericht (Fach "&amp;X1789&amp;" Stk); ",IF(BX1789=1,"Gebinde geschätzt ("&amp;T1789&amp;"); ",IF(BW1789=1,"Lose – Tablare geschätzt; ","")))&amp;IF(H1789&gt;AT1789,"Überbestand "&amp;ROUND(H1789-AT1789,0)&amp;" Stk / CHF "&amp;ROUND((H1789-AT1789)*G1789,0)&amp;"; ","")&amp;IF(AND(CE1789=1,CF1789&lt;CG1789),"MAX &lt; MB+LG; ","")&amp;IF(AND(CK1789&gt;0,CJ1789*10&gt;CK1789),"zu hoch für Tablar; ","")&amp;IF(AND(BS1789=0,OR(CE1789=1,AA1789&lt;&gt;"",U1789&lt;&gt;"",V1789&lt;&gt;"",AB1789&lt;&gt;"")),"manuell übersteuert; ","")&amp;IF(AND(BW1789=0,R1789=0),"Gebinde unbekannt / Stellmass fehlt; ","")&amp;IF(AND(BW1789=0,N(V1789)&lt;=0,N(Q1789)&lt;=0),"Menge pro Gebinde fehlt (Ist = 1 Gebinde); ","")&amp;BR1789)</f>
        <v/>
      </c>
      <c r="BK1789" s="48"/>
      <c r="BL1789" s="48"/>
      <c r="BM1789" s="55"/>
      <c r="BN1789" s="50" t="n">
        <f aca="false">N('Neue Artikel'!$D$50)</f>
        <v>0</v>
      </c>
      <c r="BO1789" s="50" t="n">
        <v>0</v>
      </c>
      <c r="BP1789" s="49" t="n">
        <v>0</v>
      </c>
      <c r="BQ1789" s="50" t="n">
        <f aca="false">N('Neue Artikel'!$C$50)/Parameter!$B$18</f>
        <v>0</v>
      </c>
      <c r="BR1789" s="48"/>
      <c r="BS1789" s="53" t="n">
        <v>1</v>
      </c>
      <c r="BT1789" s="53" t="n">
        <v>1789</v>
      </c>
      <c r="BU1789" s="48" t="str">
        <f aca="false">IF(U1789&lt;&gt;"",UPPER(TRIM(U1789)),IF(BX1789=1,UPPER(VLOOKUP(T1789,Parameter!$I$27:$K$29,2,0)),IF(P1789="","LOSE",P1789)))</f>
        <v>LOSE</v>
      </c>
      <c r="BV1789" s="50" t="n">
        <f aca="false">IF(BU1789="LOSE",1,IF(N(V1789)&gt;0,V1789,IF(BX1789=1,MAX(1,N(VLOOKUP(T1789,Parameter!$I$27:$K$29,3,0)),H1789,N(N1789)),IF(N(Q1789)&gt;0,Q1789,MAX(1,H1789)))))</f>
        <v>1</v>
      </c>
      <c r="BW1789" s="53" t="n">
        <f aca="false">IF(BU1789="LOSE",1,0)</f>
        <v>1</v>
      </c>
      <c r="BX1789" s="53" t="n">
        <f aca="false">IF(AND(U1789="",OR(P1789="",P1789="LOSE"),T1789&lt;&gt;"",N(S1789)&lt;=0,ISNUMBER(MATCH(T1789,Parameter!$I$27:$I$29,0))),1,0)</f>
        <v>0</v>
      </c>
      <c r="BY1789" s="53" t="n">
        <f aca="false">IF(CL1789&gt;0,INDEX(Parameter!$H$5:$H$7,W1789)/INDEX(Parameter!$E$5:$E$7,W1789),IF(AND(BW1789=0,N(IFERROR(VLOOKUP(BU1789,'Gebinde-Kategorie'!$A$5:$N$45,14,0),0))&gt;0),VLOOKUP(BU1789,'Gebinde-Kategorie'!$A$5:$N$45,14,0)*10+Parameter!$M$23,Parameter!$M$24))</f>
        <v>235</v>
      </c>
      <c r="BZ1789" s="48" t="str">
        <f aca="false">IF(AND(Parameter!$B$19="Ja",E1789&lt;&gt;"",ISNUMBER(MATCH(E1789,Parameter!$I$35:$I$52,0))),VLOOKUP(E1789,Parameter!$I$35:$J$52,2,0),IFERROR(VLOOKUP(D1789,Parameter!$A$35:$C$64,2,0),"Nein"))</f>
        <v>2+3</v>
      </c>
      <c r="CA1789" s="52" t="n">
        <f aca="false">IF(BW1789=0,0,IF(N(S1789)&gt;0,S1789,IFERROR(VLOOKUP(D1789,Parameter!$A$35:$C$64,3,0)+0,0)))</f>
        <v>0.15</v>
      </c>
      <c r="CB1789" s="48" t="str">
        <f aca="false">IF(AA1789&lt;&gt;"",AA1789,Z1789)</f>
        <v/>
      </c>
      <c r="CC1789" s="48" t="str">
        <f aca="false">IF(OR(CB1789=1,CB1789=2,CB1789=3),IF(Parameter!$E$27="Ja","LIFT",IF(CB1789=1,"L1","L23")),IF(CB1789="Aussen","Aussen","-"))</f>
        <v>-</v>
      </c>
      <c r="CD1789" s="59" t="n">
        <f aca="false">IF(N(AB1789)&gt;0,AB1789,0)</f>
        <v>0</v>
      </c>
      <c r="CE1789" s="53" t="n">
        <f aca="false">IF(ISNUMBER(AE1789),1,0)</f>
        <v>0</v>
      </c>
      <c r="CF1789" s="50" t="n">
        <f aca="false">N(AE1789)</f>
        <v>0</v>
      </c>
      <c r="CG1789" s="50" t="n">
        <f aca="false">N(M1789)+N(N1789)</f>
        <v>0</v>
      </c>
      <c r="CH1789" s="50" t="n">
        <f aca="false">ROUNDUP(H1789/BV1789,0)</f>
        <v>0</v>
      </c>
      <c r="CI1789" s="50" t="n">
        <f aca="false">ROUNDUP(CF1789/BV1789,0)</f>
        <v>0</v>
      </c>
      <c r="CJ1789" s="53" t="n">
        <f aca="false">IF(BW1789=1,0,IFERROR(VLOOKUP(BU1789,'Gebinde-Kategorie'!$A$5:$N$45,5,0)+0,0))</f>
        <v>0</v>
      </c>
      <c r="CK1789" s="53" t="n">
        <f aca="false">IFERROR(IF(OR(CB1789=1,CB1789=2,CB1789=3),N(INDEX(Parameter!$I$5:$I$7,CB1789)),0),0)</f>
        <v>0</v>
      </c>
      <c r="CL1789" s="52" t="n">
        <f aca="false">IF(AND(Parameter!$B$21="Ja",ISNUMBER(W1789),N(X1789)&gt;0),IFERROR(N(INDEX(Parameter!$L$5:$L$7,W1789))*INDEX(Parameter!$E$5:$E$7,W1789)*X1789/SUMIFS($X$7:$X$1843,$W$7:$W$1843,W1789),0),0)</f>
        <v>0</v>
      </c>
    </row>
    <row r="1790" customFormat="false" ht="15" hidden="false" customHeight="false" outlineLevel="0" collapsed="false">
      <c r="A1790" s="48" t="str">
        <f aca="false">IF('Neue Artikel'!$A$51="","",'Neue Artikel'!$A$51&amp;"")</f>
        <v/>
      </c>
      <c r="B1790" s="48" t="str">
        <f aca="false">'Neue Artikel'!$B$51&amp;""</f>
        <v/>
      </c>
      <c r="C1790" s="48"/>
      <c r="D1790" s="48" t="s">
        <v>3019</v>
      </c>
      <c r="E1790" s="48"/>
      <c r="F1790" s="48"/>
      <c r="G1790" s="49" t="n">
        <f aca="false">N('Neue Artikel'!$G$51)</f>
        <v>0</v>
      </c>
      <c r="H1790" s="50" t="n">
        <f aca="false">MAX(0,IF(AND(Parameter!$B$21="Ja",ISNUMBER(Y1790)),Y1790,IF(Parameter!$B$20="Jahresanfang 2025 + Export",BO1790+BN1790,BN1790)))</f>
        <v>0</v>
      </c>
      <c r="I1790" s="50" t="n">
        <f aca="false">H1790*G1790</f>
        <v>0</v>
      </c>
      <c r="J1790" s="50" t="n">
        <f aca="false">BQ1790*Parameter!$B$18</f>
        <v>0</v>
      </c>
      <c r="K1790" s="51"/>
      <c r="L1790" s="52"/>
      <c r="M1790" s="50" t="n">
        <f aca="false">N('Neue Artikel'!$E$51)</f>
        <v>0</v>
      </c>
      <c r="N1790" s="50" t="n">
        <f aca="false">N('Neue Artikel'!$F$51)</f>
        <v>0</v>
      </c>
      <c r="O1790" s="53"/>
      <c r="P1790" s="48" t="str">
        <f aca="false">IF('Neue Artikel'!$H$51="","LOSE",UPPER(TRIM('Neue Artikel'!$H$51)))</f>
        <v>LOSE</v>
      </c>
      <c r="Q1790" s="50" t="n">
        <f aca="false">N('Neue Artikel'!$I$51)</f>
        <v>0</v>
      </c>
      <c r="R1790" s="53" t="n">
        <f aca="false">IF(BW1790=1,0,IFERROR(VLOOKUP(BU1790,'Gebinde-Kategorie'!$A$5:$N$45,13,0)+0,0))</f>
        <v>0</v>
      </c>
      <c r="S1790" s="54"/>
      <c r="T1790" s="55"/>
      <c r="U1790" s="55"/>
      <c r="V1790" s="55"/>
      <c r="W1790" s="48"/>
      <c r="X1790" s="50"/>
      <c r="Y1790" s="50"/>
      <c r="Z1790" s="48" t="str">
        <f aca="false">IF(A1790="","",IF(AND(Parameter!$B$21="Ja",ISNUMBER(W1790)),W1790,IF(BZ1790="2+3",IF(ISNUMBER(SEARCH("grosser Artikel",BR1790)),2,IFERROR(VLOOKUP(BU1790,Parameter!$F$35:$G$64,2,0),2)),IF(OR(BZ1790="Nein",BZ1790=""),"-",BZ1790))))</f>
        <v/>
      </c>
      <c r="AA1790" s="48" t="str">
        <f aca="false">IF('Neue Artikel'!$J$51="","",'Neue Artikel'!$J$51)</f>
        <v/>
      </c>
      <c r="AB1790" s="56"/>
      <c r="AC1790" s="50" t="n">
        <f aca="false">AT1790</f>
        <v>0</v>
      </c>
      <c r="AD1790" s="50" t="n">
        <f aca="false">MAX(AT1790,H1790)</f>
        <v>0</v>
      </c>
      <c r="AE1790" s="57"/>
      <c r="AF1790" s="50" t="n">
        <f aca="false">IF(LEFT(Cockpit!$C$5,1)="A",H1790,IF(CE1790=1,CF1790,IF(LEFT(Cockpit!$C$5,1)="B",AK1790,MAX(AK1790,H1790))))</f>
        <v>0</v>
      </c>
      <c r="AG1790" s="50" t="n">
        <f aca="false">IF(BW1790=1,0,ROUNDUP(AF1790/BV1790,0))</f>
        <v>0</v>
      </c>
      <c r="AH1790" s="52" t="n">
        <f aca="false">IF(CL1790&gt;0,CL1790*MAX(1,AF1790/X1790),IF(BW1790=1,IF(AF1790&lt;=0,0,CA1790*MAX(1,IF(H1790&gt;0,AF1790/H1790,1))),IF(R1790&gt;0,AG1790/R1790,0))/MAX(0.1,N(Parameter!$M$21)))</f>
        <v>0</v>
      </c>
      <c r="AI1790" s="50" t="n">
        <f aca="false">AH1790*BY1790</f>
        <v>0</v>
      </c>
      <c r="AJ1790" s="50" t="n">
        <f aca="false">AF1790*G1790</f>
        <v>0</v>
      </c>
      <c r="AK1790" s="50" t="n">
        <f aca="false">ROUNDUP(MAX(J1790/IF(CD1790&gt;0,CD1790,MAX(0.1,N(Cockpit!$C$6))),CG1790)/BV1790,0)*BV1790</f>
        <v>0</v>
      </c>
      <c r="AL1790" s="51" t="n">
        <f aca="false">IF(AI1790&gt;0,J1790/AI1790,-1)</f>
        <v>-1</v>
      </c>
      <c r="AM1790" s="51" t="str">
        <f aca="false">IF(AND(OR(CC1790="L1",CC1790="L23",CC1790="LIFT"),AI1790&gt;0),SUMIFS($AI$7:$AI$1843,$CC$7:$CC$1843,CC1790,$AL$7:$AL$1843,"&gt;"&amp;AL1790)+SUMIFS($AI$7:$AI$1843,$CC$7:$CC$1843,CC1790,$AL$7:$AL$1843,AL1790,$BT$7:$BT$1843,"&lt;="&amp;BT1790),"")</f>
        <v/>
      </c>
      <c r="AN1790" s="58" t="n">
        <f aca="false">IF(AM1790="",0,MAX(0,MIN(1,(IF(CC1790="L1",Parameter!$H$5,IF(CC1790="L23",Parameter!$H$6+Parameter!$H$7,Parameter!$H$5+Parameter!$H$6+Parameter!$H$7))-(AM1790-AI1790))/AI1790)))</f>
        <v>0</v>
      </c>
      <c r="AO1790" s="50" t="n">
        <f aca="false">IF(LEFT(Cockpit!$I$5,1)="A",H1790,IF(CE1790=1,CF1790,IF(LEFT(Cockpit!$I$5,1)="B",AT1790,MAX(AT1790,H1790))))</f>
        <v>0</v>
      </c>
      <c r="AP1790" s="50" t="n">
        <f aca="false">IF(BW1790=1,0,ROUNDUP(AO1790/BV1790,0))</f>
        <v>0</v>
      </c>
      <c r="AQ1790" s="52" t="n">
        <f aca="false">IF(CL1790&gt;0,CL1790*MAX(1,AO1790/X1790),IF(BW1790=1,IF(AO1790&lt;=0,0,CA1790*MAX(1,IF(H1790&gt;0,AO1790/H1790,1))),IF(R1790&gt;0,AP1790/R1790,0))/MAX(0.1,N(Parameter!$M$21)))</f>
        <v>0</v>
      </c>
      <c r="AR1790" s="50" t="n">
        <f aca="false">AQ1790*BY1790</f>
        <v>0</v>
      </c>
      <c r="AS1790" s="50" t="n">
        <f aca="false">AO1790*G1790</f>
        <v>0</v>
      </c>
      <c r="AT1790" s="50" t="n">
        <f aca="false">ROUNDUP(MAX(J1790/IF(CD1790&gt;0,CD1790,MAX(0.1,N(Cockpit!$I$6))),CG1790)/BV1790,0)*BV1790</f>
        <v>0</v>
      </c>
      <c r="AU1790" s="51" t="n">
        <f aca="false">IF(AR1790&gt;0,J1790/AR1790,-1)</f>
        <v>-1</v>
      </c>
      <c r="AV1790" s="51" t="str">
        <f aca="false">IF(AND(OR(CC1790="L1",CC1790="L23",CC1790="LIFT"),AR1790&gt;0),SUMIFS($AR$7:$AR$1843,$CC$7:$CC$1843,CC1790,$AU$7:$AU$1843,"&gt;"&amp;AU1790)+SUMIFS($AR$7:$AR$1843,$CC$7:$CC$1843,CC1790,$AU$7:$AU$1843,AU1790,$BT$7:$BT$1843,"&lt;="&amp;BT1790),"")</f>
        <v/>
      </c>
      <c r="AW1790" s="58" t="n">
        <f aca="false">IF(AV1790="",0,MAX(0,MIN(1,(IF(CC1790="L1",Parameter!$H$5,IF(CC1790="L23",Parameter!$H$6+Parameter!$H$7,Parameter!$H$5+Parameter!$H$6+Parameter!$H$7))-(AV1790-AR1790))/AR1790)))</f>
        <v>0</v>
      </c>
      <c r="AX1790" s="50" t="n">
        <f aca="false">IF(LEFT(Cockpit!$O$5,1)="A",H1790,IF(CE1790=1,CF1790,IF(LEFT(Cockpit!$O$5,1)="B",BC1790,MAX(BC1790,H1790))))</f>
        <v>0</v>
      </c>
      <c r="AY1790" s="50" t="n">
        <f aca="false">IF(BW1790=1,0,ROUNDUP(AX1790/BV1790,0))</f>
        <v>0</v>
      </c>
      <c r="AZ1790" s="52" t="n">
        <f aca="false">IF(CL1790&gt;0,CL1790*MAX(1,AX1790/X1790),IF(BW1790=1,IF(AX1790&lt;=0,0,CA1790*MAX(1,IF(H1790&gt;0,AX1790/H1790,1))),IF(R1790&gt;0,AY1790/R1790,0))/MAX(0.1,N(Parameter!$M$21)))</f>
        <v>0</v>
      </c>
      <c r="BA1790" s="50" t="n">
        <f aca="false">AZ1790*BY1790</f>
        <v>0</v>
      </c>
      <c r="BB1790" s="50" t="n">
        <f aca="false">AX1790*G1790</f>
        <v>0</v>
      </c>
      <c r="BC1790" s="50" t="n">
        <f aca="false">ROUNDUP(MAX(J1790/IF(CD1790&gt;0,CD1790,MAX(0.1,N(Cockpit!$O$6))),CG1790)/BV1790,0)*BV1790</f>
        <v>0</v>
      </c>
      <c r="BD1790" s="51" t="n">
        <f aca="false">IF(BA1790&gt;0,J1790/BA1790,-1)</f>
        <v>-1</v>
      </c>
      <c r="BE1790" s="51" t="str">
        <f aca="false">IF(AND(OR(CC1790="L1",CC1790="L23",CC1790="LIFT"),BA1790&gt;0),SUMIFS($BA$7:$BA$1843,$CC$7:$CC$1843,CC1790,$BD$7:$BD$1843,"&gt;"&amp;BD1790)+SUMIFS($BA$7:$BA$1843,$CC$7:$CC$1843,CC1790,$BD$7:$BD$1843,BD1790,$BT$7:$BT$1843,"&lt;="&amp;BT1790),"")</f>
        <v/>
      </c>
      <c r="BF1790" s="58" t="n">
        <f aca="false">IF(BE1790="",0,MAX(0,MIN(1,(IF(CC1790="L1",Parameter!$H$5,IF(CC1790="L23",Parameter!$H$6+Parameter!$H$7,Parameter!$H$5+Parameter!$H$6+Parameter!$H$7))-(BE1790-BA1790))/BA1790)))</f>
        <v>0</v>
      </c>
      <c r="BG1790" s="48" t="str">
        <f aca="false">IF(AI1790&lt;=0,"",IF(CC1790="Aussen","Aussenlager",IF(CC1790="-","Nicht im Lift",IF(AN1790&gt;=1,"Lift",IF(AN1790&lt;=0,"Aussenlager","teilweise")))))</f>
        <v/>
      </c>
      <c r="BH1790" s="48" t="str">
        <f aca="false">IF(AR1790&lt;=0,"",IF(CC1790="Aussen","Aussenlager",IF(CC1790="-","Nicht im Lift",IF(AW1790&gt;=1,"Lift",IF(AW1790&lt;=0,"Aussenlager","teilweise")))))</f>
        <v/>
      </c>
      <c r="BI1790" s="48" t="str">
        <f aca="false">IF(BA1790&lt;=0,"",IF(CC1790="Aussen","Aussenlager",IF(CC1790="-","Nicht im Lift",IF(BF1790&gt;=1,"Lift",IF(BF1790&lt;=0,"Aussenlager","teilweise")))))</f>
        <v/>
      </c>
      <c r="BJ1790" s="48" t="str">
        <f aca="false">IF(A1790="","",IF(BS1790=1,"Neu; ","")&amp;IF(AND(BS1790=0,BN1790&lt;0),"negativer Bestand (Export "&amp;BN1790&amp;"); ","")&amp;IF(J1790&lt;=0,"Kein Verbrauch; ","")&amp;IF(CL1790&gt;0,"Lift "&amp;W1790&amp;" lt. Liftbericht (Fach "&amp;X1790&amp;" Stk); ",IF(BX1790=1,"Gebinde geschätzt ("&amp;T1790&amp;"); ",IF(BW1790=1,"Lose – Tablare geschätzt; ","")))&amp;IF(H1790&gt;AT1790,"Überbestand "&amp;ROUND(H1790-AT1790,0)&amp;" Stk / CHF "&amp;ROUND((H1790-AT1790)*G1790,0)&amp;"; ","")&amp;IF(AND(CE1790=1,CF1790&lt;CG1790),"MAX &lt; MB+LG; ","")&amp;IF(AND(CK1790&gt;0,CJ1790*10&gt;CK1790),"zu hoch für Tablar; ","")&amp;IF(AND(BS1790=0,OR(CE1790=1,AA1790&lt;&gt;"",U1790&lt;&gt;"",V1790&lt;&gt;"",AB1790&lt;&gt;"")),"manuell übersteuert; ","")&amp;IF(AND(BW1790=0,R1790=0),"Gebinde unbekannt / Stellmass fehlt; ","")&amp;IF(AND(BW1790=0,N(V1790)&lt;=0,N(Q1790)&lt;=0),"Menge pro Gebinde fehlt (Ist = 1 Gebinde); ","")&amp;BR1790)</f>
        <v/>
      </c>
      <c r="BK1790" s="48"/>
      <c r="BL1790" s="48"/>
      <c r="BM1790" s="55"/>
      <c r="BN1790" s="50" t="n">
        <f aca="false">N('Neue Artikel'!$D$51)</f>
        <v>0</v>
      </c>
      <c r="BO1790" s="50" t="n">
        <v>0</v>
      </c>
      <c r="BP1790" s="49" t="n">
        <v>0</v>
      </c>
      <c r="BQ1790" s="50" t="n">
        <f aca="false">N('Neue Artikel'!$C$51)/Parameter!$B$18</f>
        <v>0</v>
      </c>
      <c r="BR1790" s="48"/>
      <c r="BS1790" s="53" t="n">
        <v>1</v>
      </c>
      <c r="BT1790" s="53" t="n">
        <v>1790</v>
      </c>
      <c r="BU1790" s="48" t="str">
        <f aca="false">IF(U1790&lt;&gt;"",UPPER(TRIM(U1790)),IF(BX1790=1,UPPER(VLOOKUP(T1790,Parameter!$I$27:$K$29,2,0)),IF(P1790="","LOSE",P1790)))</f>
        <v>LOSE</v>
      </c>
      <c r="BV1790" s="50" t="n">
        <f aca="false">IF(BU1790="LOSE",1,IF(N(V1790)&gt;0,V1790,IF(BX1790=1,MAX(1,N(VLOOKUP(T1790,Parameter!$I$27:$K$29,3,0)),H1790,N(N1790)),IF(N(Q1790)&gt;0,Q1790,MAX(1,H1790)))))</f>
        <v>1</v>
      </c>
      <c r="BW1790" s="53" t="n">
        <f aca="false">IF(BU1790="LOSE",1,0)</f>
        <v>1</v>
      </c>
      <c r="BX1790" s="53" t="n">
        <f aca="false">IF(AND(U1790="",OR(P1790="",P1790="LOSE"),T1790&lt;&gt;"",N(S1790)&lt;=0,ISNUMBER(MATCH(T1790,Parameter!$I$27:$I$29,0))),1,0)</f>
        <v>0</v>
      </c>
      <c r="BY1790" s="53" t="n">
        <f aca="false">IF(CL1790&gt;0,INDEX(Parameter!$H$5:$H$7,W1790)/INDEX(Parameter!$E$5:$E$7,W1790),IF(AND(BW1790=0,N(IFERROR(VLOOKUP(BU1790,'Gebinde-Kategorie'!$A$5:$N$45,14,0),0))&gt;0),VLOOKUP(BU1790,'Gebinde-Kategorie'!$A$5:$N$45,14,0)*10+Parameter!$M$23,Parameter!$M$24))</f>
        <v>235</v>
      </c>
      <c r="BZ1790" s="48" t="str">
        <f aca="false">IF(AND(Parameter!$B$19="Ja",E1790&lt;&gt;"",ISNUMBER(MATCH(E1790,Parameter!$I$35:$I$52,0))),VLOOKUP(E1790,Parameter!$I$35:$J$52,2,0),IFERROR(VLOOKUP(D1790,Parameter!$A$35:$C$64,2,0),"Nein"))</f>
        <v>2+3</v>
      </c>
      <c r="CA1790" s="52" t="n">
        <f aca="false">IF(BW1790=0,0,IF(N(S1790)&gt;0,S1790,IFERROR(VLOOKUP(D1790,Parameter!$A$35:$C$64,3,0)+0,0)))</f>
        <v>0.15</v>
      </c>
      <c r="CB1790" s="48" t="str">
        <f aca="false">IF(AA1790&lt;&gt;"",AA1790,Z1790)</f>
        <v/>
      </c>
      <c r="CC1790" s="48" t="str">
        <f aca="false">IF(OR(CB1790=1,CB1790=2,CB1790=3),IF(Parameter!$E$27="Ja","LIFT",IF(CB1790=1,"L1","L23")),IF(CB1790="Aussen","Aussen","-"))</f>
        <v>-</v>
      </c>
      <c r="CD1790" s="59" t="n">
        <f aca="false">IF(N(AB1790)&gt;0,AB1790,0)</f>
        <v>0</v>
      </c>
      <c r="CE1790" s="53" t="n">
        <f aca="false">IF(ISNUMBER(AE1790),1,0)</f>
        <v>0</v>
      </c>
      <c r="CF1790" s="50" t="n">
        <f aca="false">N(AE1790)</f>
        <v>0</v>
      </c>
      <c r="CG1790" s="50" t="n">
        <f aca="false">N(M1790)+N(N1790)</f>
        <v>0</v>
      </c>
      <c r="CH1790" s="50" t="n">
        <f aca="false">ROUNDUP(H1790/BV1790,0)</f>
        <v>0</v>
      </c>
      <c r="CI1790" s="50" t="n">
        <f aca="false">ROUNDUP(CF1790/BV1790,0)</f>
        <v>0</v>
      </c>
      <c r="CJ1790" s="53" t="n">
        <f aca="false">IF(BW1790=1,0,IFERROR(VLOOKUP(BU1790,'Gebinde-Kategorie'!$A$5:$N$45,5,0)+0,0))</f>
        <v>0</v>
      </c>
      <c r="CK1790" s="53" t="n">
        <f aca="false">IFERROR(IF(OR(CB1790=1,CB1790=2,CB1790=3),N(INDEX(Parameter!$I$5:$I$7,CB1790)),0),0)</f>
        <v>0</v>
      </c>
      <c r="CL1790" s="52" t="n">
        <f aca="false">IF(AND(Parameter!$B$21="Ja",ISNUMBER(W1790),N(X1790)&gt;0),IFERROR(N(INDEX(Parameter!$L$5:$L$7,W1790))*INDEX(Parameter!$E$5:$E$7,W1790)*X1790/SUMIFS($X$7:$X$1843,$W$7:$W$1843,W1790),0),0)</f>
        <v>0</v>
      </c>
    </row>
    <row r="1791" customFormat="false" ht="15" hidden="false" customHeight="false" outlineLevel="0" collapsed="false">
      <c r="A1791" s="48" t="str">
        <f aca="false">IF('Neue Artikel'!$A$52="","",'Neue Artikel'!$A$52&amp;"")</f>
        <v/>
      </c>
      <c r="B1791" s="48" t="str">
        <f aca="false">'Neue Artikel'!$B$52&amp;""</f>
        <v/>
      </c>
      <c r="C1791" s="48"/>
      <c r="D1791" s="48" t="s">
        <v>3019</v>
      </c>
      <c r="E1791" s="48"/>
      <c r="F1791" s="48"/>
      <c r="G1791" s="49" t="n">
        <f aca="false">N('Neue Artikel'!$G$52)</f>
        <v>0</v>
      </c>
      <c r="H1791" s="50" t="n">
        <f aca="false">MAX(0,IF(AND(Parameter!$B$21="Ja",ISNUMBER(Y1791)),Y1791,IF(Parameter!$B$20="Jahresanfang 2025 + Export",BO1791+BN1791,BN1791)))</f>
        <v>0</v>
      </c>
      <c r="I1791" s="50" t="n">
        <f aca="false">H1791*G1791</f>
        <v>0</v>
      </c>
      <c r="J1791" s="50" t="n">
        <f aca="false">BQ1791*Parameter!$B$18</f>
        <v>0</v>
      </c>
      <c r="K1791" s="51"/>
      <c r="L1791" s="52"/>
      <c r="M1791" s="50" t="n">
        <f aca="false">N('Neue Artikel'!$E$52)</f>
        <v>0</v>
      </c>
      <c r="N1791" s="50" t="n">
        <f aca="false">N('Neue Artikel'!$F$52)</f>
        <v>0</v>
      </c>
      <c r="O1791" s="53"/>
      <c r="P1791" s="48" t="str">
        <f aca="false">IF('Neue Artikel'!$H$52="","LOSE",UPPER(TRIM('Neue Artikel'!$H$52)))</f>
        <v>LOSE</v>
      </c>
      <c r="Q1791" s="50" t="n">
        <f aca="false">N('Neue Artikel'!$I$52)</f>
        <v>0</v>
      </c>
      <c r="R1791" s="53" t="n">
        <f aca="false">IF(BW1791=1,0,IFERROR(VLOOKUP(BU1791,'Gebinde-Kategorie'!$A$5:$N$45,13,0)+0,0))</f>
        <v>0</v>
      </c>
      <c r="S1791" s="54"/>
      <c r="T1791" s="55"/>
      <c r="U1791" s="55"/>
      <c r="V1791" s="55"/>
      <c r="W1791" s="48"/>
      <c r="X1791" s="50"/>
      <c r="Y1791" s="50"/>
      <c r="Z1791" s="48" t="str">
        <f aca="false">IF(A1791="","",IF(AND(Parameter!$B$21="Ja",ISNUMBER(W1791)),W1791,IF(BZ1791="2+3",IF(ISNUMBER(SEARCH("grosser Artikel",BR1791)),2,IFERROR(VLOOKUP(BU1791,Parameter!$F$35:$G$64,2,0),2)),IF(OR(BZ1791="Nein",BZ1791=""),"-",BZ1791))))</f>
        <v/>
      </c>
      <c r="AA1791" s="48" t="str">
        <f aca="false">IF('Neue Artikel'!$J$52="","",'Neue Artikel'!$J$52)</f>
        <v/>
      </c>
      <c r="AB1791" s="56"/>
      <c r="AC1791" s="50" t="n">
        <f aca="false">AT1791</f>
        <v>0</v>
      </c>
      <c r="AD1791" s="50" t="n">
        <f aca="false">MAX(AT1791,H1791)</f>
        <v>0</v>
      </c>
      <c r="AE1791" s="57"/>
      <c r="AF1791" s="50" t="n">
        <f aca="false">IF(LEFT(Cockpit!$C$5,1)="A",H1791,IF(CE1791=1,CF1791,IF(LEFT(Cockpit!$C$5,1)="B",AK1791,MAX(AK1791,H1791))))</f>
        <v>0</v>
      </c>
      <c r="AG1791" s="50" t="n">
        <f aca="false">IF(BW1791=1,0,ROUNDUP(AF1791/BV1791,0))</f>
        <v>0</v>
      </c>
      <c r="AH1791" s="52" t="n">
        <f aca="false">IF(CL1791&gt;0,CL1791*MAX(1,AF1791/X1791),IF(BW1791=1,IF(AF1791&lt;=0,0,CA1791*MAX(1,IF(H1791&gt;0,AF1791/H1791,1))),IF(R1791&gt;0,AG1791/R1791,0))/MAX(0.1,N(Parameter!$M$21)))</f>
        <v>0</v>
      </c>
      <c r="AI1791" s="50" t="n">
        <f aca="false">AH1791*BY1791</f>
        <v>0</v>
      </c>
      <c r="AJ1791" s="50" t="n">
        <f aca="false">AF1791*G1791</f>
        <v>0</v>
      </c>
      <c r="AK1791" s="50" t="n">
        <f aca="false">ROUNDUP(MAX(J1791/IF(CD1791&gt;0,CD1791,MAX(0.1,N(Cockpit!$C$6))),CG1791)/BV1791,0)*BV1791</f>
        <v>0</v>
      </c>
      <c r="AL1791" s="51" t="n">
        <f aca="false">IF(AI1791&gt;0,J1791/AI1791,-1)</f>
        <v>-1</v>
      </c>
      <c r="AM1791" s="51" t="str">
        <f aca="false">IF(AND(OR(CC1791="L1",CC1791="L23",CC1791="LIFT"),AI1791&gt;0),SUMIFS($AI$7:$AI$1843,$CC$7:$CC$1843,CC1791,$AL$7:$AL$1843,"&gt;"&amp;AL1791)+SUMIFS($AI$7:$AI$1843,$CC$7:$CC$1843,CC1791,$AL$7:$AL$1843,AL1791,$BT$7:$BT$1843,"&lt;="&amp;BT1791),"")</f>
        <v/>
      </c>
      <c r="AN1791" s="58" t="n">
        <f aca="false">IF(AM1791="",0,MAX(0,MIN(1,(IF(CC1791="L1",Parameter!$H$5,IF(CC1791="L23",Parameter!$H$6+Parameter!$H$7,Parameter!$H$5+Parameter!$H$6+Parameter!$H$7))-(AM1791-AI1791))/AI1791)))</f>
        <v>0</v>
      </c>
      <c r="AO1791" s="50" t="n">
        <f aca="false">IF(LEFT(Cockpit!$I$5,1)="A",H1791,IF(CE1791=1,CF1791,IF(LEFT(Cockpit!$I$5,1)="B",AT1791,MAX(AT1791,H1791))))</f>
        <v>0</v>
      </c>
      <c r="AP1791" s="50" t="n">
        <f aca="false">IF(BW1791=1,0,ROUNDUP(AO1791/BV1791,0))</f>
        <v>0</v>
      </c>
      <c r="AQ1791" s="52" t="n">
        <f aca="false">IF(CL1791&gt;0,CL1791*MAX(1,AO1791/X1791),IF(BW1791=1,IF(AO1791&lt;=0,0,CA1791*MAX(1,IF(H1791&gt;0,AO1791/H1791,1))),IF(R1791&gt;0,AP1791/R1791,0))/MAX(0.1,N(Parameter!$M$21)))</f>
        <v>0</v>
      </c>
      <c r="AR1791" s="50" t="n">
        <f aca="false">AQ1791*BY1791</f>
        <v>0</v>
      </c>
      <c r="AS1791" s="50" t="n">
        <f aca="false">AO1791*G1791</f>
        <v>0</v>
      </c>
      <c r="AT1791" s="50" t="n">
        <f aca="false">ROUNDUP(MAX(J1791/IF(CD1791&gt;0,CD1791,MAX(0.1,N(Cockpit!$I$6))),CG1791)/BV1791,0)*BV1791</f>
        <v>0</v>
      </c>
      <c r="AU1791" s="51" t="n">
        <f aca="false">IF(AR1791&gt;0,J1791/AR1791,-1)</f>
        <v>-1</v>
      </c>
      <c r="AV1791" s="51" t="str">
        <f aca="false">IF(AND(OR(CC1791="L1",CC1791="L23",CC1791="LIFT"),AR1791&gt;0),SUMIFS($AR$7:$AR$1843,$CC$7:$CC$1843,CC1791,$AU$7:$AU$1843,"&gt;"&amp;AU1791)+SUMIFS($AR$7:$AR$1843,$CC$7:$CC$1843,CC1791,$AU$7:$AU$1843,AU1791,$BT$7:$BT$1843,"&lt;="&amp;BT1791),"")</f>
        <v/>
      </c>
      <c r="AW1791" s="58" t="n">
        <f aca="false">IF(AV1791="",0,MAX(0,MIN(1,(IF(CC1791="L1",Parameter!$H$5,IF(CC1791="L23",Parameter!$H$6+Parameter!$H$7,Parameter!$H$5+Parameter!$H$6+Parameter!$H$7))-(AV1791-AR1791))/AR1791)))</f>
        <v>0</v>
      </c>
      <c r="AX1791" s="50" t="n">
        <f aca="false">IF(LEFT(Cockpit!$O$5,1)="A",H1791,IF(CE1791=1,CF1791,IF(LEFT(Cockpit!$O$5,1)="B",BC1791,MAX(BC1791,H1791))))</f>
        <v>0</v>
      </c>
      <c r="AY1791" s="50" t="n">
        <f aca="false">IF(BW1791=1,0,ROUNDUP(AX1791/BV1791,0))</f>
        <v>0</v>
      </c>
      <c r="AZ1791" s="52" t="n">
        <f aca="false">IF(CL1791&gt;0,CL1791*MAX(1,AX1791/X1791),IF(BW1791=1,IF(AX1791&lt;=0,0,CA1791*MAX(1,IF(H1791&gt;0,AX1791/H1791,1))),IF(R1791&gt;0,AY1791/R1791,0))/MAX(0.1,N(Parameter!$M$21)))</f>
        <v>0</v>
      </c>
      <c r="BA1791" s="50" t="n">
        <f aca="false">AZ1791*BY1791</f>
        <v>0</v>
      </c>
      <c r="BB1791" s="50" t="n">
        <f aca="false">AX1791*G1791</f>
        <v>0</v>
      </c>
      <c r="BC1791" s="50" t="n">
        <f aca="false">ROUNDUP(MAX(J1791/IF(CD1791&gt;0,CD1791,MAX(0.1,N(Cockpit!$O$6))),CG1791)/BV1791,0)*BV1791</f>
        <v>0</v>
      </c>
      <c r="BD1791" s="51" t="n">
        <f aca="false">IF(BA1791&gt;0,J1791/BA1791,-1)</f>
        <v>-1</v>
      </c>
      <c r="BE1791" s="51" t="str">
        <f aca="false">IF(AND(OR(CC1791="L1",CC1791="L23",CC1791="LIFT"),BA1791&gt;0),SUMIFS($BA$7:$BA$1843,$CC$7:$CC$1843,CC1791,$BD$7:$BD$1843,"&gt;"&amp;BD1791)+SUMIFS($BA$7:$BA$1843,$CC$7:$CC$1843,CC1791,$BD$7:$BD$1843,BD1791,$BT$7:$BT$1843,"&lt;="&amp;BT1791),"")</f>
        <v/>
      </c>
      <c r="BF1791" s="58" t="n">
        <f aca="false">IF(BE1791="",0,MAX(0,MIN(1,(IF(CC1791="L1",Parameter!$H$5,IF(CC1791="L23",Parameter!$H$6+Parameter!$H$7,Parameter!$H$5+Parameter!$H$6+Parameter!$H$7))-(BE1791-BA1791))/BA1791)))</f>
        <v>0</v>
      </c>
      <c r="BG1791" s="48" t="str">
        <f aca="false">IF(AI1791&lt;=0,"",IF(CC1791="Aussen","Aussenlager",IF(CC1791="-","Nicht im Lift",IF(AN1791&gt;=1,"Lift",IF(AN1791&lt;=0,"Aussenlager","teilweise")))))</f>
        <v/>
      </c>
      <c r="BH1791" s="48" t="str">
        <f aca="false">IF(AR1791&lt;=0,"",IF(CC1791="Aussen","Aussenlager",IF(CC1791="-","Nicht im Lift",IF(AW1791&gt;=1,"Lift",IF(AW1791&lt;=0,"Aussenlager","teilweise")))))</f>
        <v/>
      </c>
      <c r="BI1791" s="48" t="str">
        <f aca="false">IF(BA1791&lt;=0,"",IF(CC1791="Aussen","Aussenlager",IF(CC1791="-","Nicht im Lift",IF(BF1791&gt;=1,"Lift",IF(BF1791&lt;=0,"Aussenlager","teilweise")))))</f>
        <v/>
      </c>
      <c r="BJ1791" s="48" t="str">
        <f aca="false">IF(A1791="","",IF(BS1791=1,"Neu; ","")&amp;IF(AND(BS1791=0,BN1791&lt;0),"negativer Bestand (Export "&amp;BN1791&amp;"); ","")&amp;IF(J1791&lt;=0,"Kein Verbrauch; ","")&amp;IF(CL1791&gt;0,"Lift "&amp;W1791&amp;" lt. Liftbericht (Fach "&amp;X1791&amp;" Stk); ",IF(BX1791=1,"Gebinde geschätzt ("&amp;T1791&amp;"); ",IF(BW1791=1,"Lose – Tablare geschätzt; ","")))&amp;IF(H1791&gt;AT1791,"Überbestand "&amp;ROUND(H1791-AT1791,0)&amp;" Stk / CHF "&amp;ROUND((H1791-AT1791)*G1791,0)&amp;"; ","")&amp;IF(AND(CE1791=1,CF1791&lt;CG1791),"MAX &lt; MB+LG; ","")&amp;IF(AND(CK1791&gt;0,CJ1791*10&gt;CK1791),"zu hoch für Tablar; ","")&amp;IF(AND(BS1791=0,OR(CE1791=1,AA1791&lt;&gt;"",U1791&lt;&gt;"",V1791&lt;&gt;"",AB1791&lt;&gt;"")),"manuell übersteuert; ","")&amp;IF(AND(BW1791=0,R1791=0),"Gebinde unbekannt / Stellmass fehlt; ","")&amp;IF(AND(BW1791=0,N(V1791)&lt;=0,N(Q1791)&lt;=0),"Menge pro Gebinde fehlt (Ist = 1 Gebinde); ","")&amp;BR1791)</f>
        <v/>
      </c>
      <c r="BK1791" s="48"/>
      <c r="BL1791" s="48"/>
      <c r="BM1791" s="55"/>
      <c r="BN1791" s="50" t="n">
        <f aca="false">N('Neue Artikel'!$D$52)</f>
        <v>0</v>
      </c>
      <c r="BO1791" s="50" t="n">
        <v>0</v>
      </c>
      <c r="BP1791" s="49" t="n">
        <v>0</v>
      </c>
      <c r="BQ1791" s="50" t="n">
        <f aca="false">N('Neue Artikel'!$C$52)/Parameter!$B$18</f>
        <v>0</v>
      </c>
      <c r="BR1791" s="48"/>
      <c r="BS1791" s="53" t="n">
        <v>1</v>
      </c>
      <c r="BT1791" s="53" t="n">
        <v>1791</v>
      </c>
      <c r="BU1791" s="48" t="str">
        <f aca="false">IF(U1791&lt;&gt;"",UPPER(TRIM(U1791)),IF(BX1791=1,UPPER(VLOOKUP(T1791,Parameter!$I$27:$K$29,2,0)),IF(P1791="","LOSE",P1791)))</f>
        <v>LOSE</v>
      </c>
      <c r="BV1791" s="50" t="n">
        <f aca="false">IF(BU1791="LOSE",1,IF(N(V1791)&gt;0,V1791,IF(BX1791=1,MAX(1,N(VLOOKUP(T1791,Parameter!$I$27:$K$29,3,0)),H1791,N(N1791)),IF(N(Q1791)&gt;0,Q1791,MAX(1,H1791)))))</f>
        <v>1</v>
      </c>
      <c r="BW1791" s="53" t="n">
        <f aca="false">IF(BU1791="LOSE",1,0)</f>
        <v>1</v>
      </c>
      <c r="BX1791" s="53" t="n">
        <f aca="false">IF(AND(U1791="",OR(P1791="",P1791="LOSE"),T1791&lt;&gt;"",N(S1791)&lt;=0,ISNUMBER(MATCH(T1791,Parameter!$I$27:$I$29,0))),1,0)</f>
        <v>0</v>
      </c>
      <c r="BY1791" s="53" t="n">
        <f aca="false">IF(CL1791&gt;0,INDEX(Parameter!$H$5:$H$7,W1791)/INDEX(Parameter!$E$5:$E$7,W1791),IF(AND(BW1791=0,N(IFERROR(VLOOKUP(BU1791,'Gebinde-Kategorie'!$A$5:$N$45,14,0),0))&gt;0),VLOOKUP(BU1791,'Gebinde-Kategorie'!$A$5:$N$45,14,0)*10+Parameter!$M$23,Parameter!$M$24))</f>
        <v>235</v>
      </c>
      <c r="BZ1791" s="48" t="str">
        <f aca="false">IF(AND(Parameter!$B$19="Ja",E1791&lt;&gt;"",ISNUMBER(MATCH(E1791,Parameter!$I$35:$I$52,0))),VLOOKUP(E1791,Parameter!$I$35:$J$52,2,0),IFERROR(VLOOKUP(D1791,Parameter!$A$35:$C$64,2,0),"Nein"))</f>
        <v>2+3</v>
      </c>
      <c r="CA1791" s="52" t="n">
        <f aca="false">IF(BW1791=0,0,IF(N(S1791)&gt;0,S1791,IFERROR(VLOOKUP(D1791,Parameter!$A$35:$C$64,3,0)+0,0)))</f>
        <v>0.15</v>
      </c>
      <c r="CB1791" s="48" t="str">
        <f aca="false">IF(AA1791&lt;&gt;"",AA1791,Z1791)</f>
        <v/>
      </c>
      <c r="CC1791" s="48" t="str">
        <f aca="false">IF(OR(CB1791=1,CB1791=2,CB1791=3),IF(Parameter!$E$27="Ja","LIFT",IF(CB1791=1,"L1","L23")),IF(CB1791="Aussen","Aussen","-"))</f>
        <v>-</v>
      </c>
      <c r="CD1791" s="59" t="n">
        <f aca="false">IF(N(AB1791)&gt;0,AB1791,0)</f>
        <v>0</v>
      </c>
      <c r="CE1791" s="53" t="n">
        <f aca="false">IF(ISNUMBER(AE1791),1,0)</f>
        <v>0</v>
      </c>
      <c r="CF1791" s="50" t="n">
        <f aca="false">N(AE1791)</f>
        <v>0</v>
      </c>
      <c r="CG1791" s="50" t="n">
        <f aca="false">N(M1791)+N(N1791)</f>
        <v>0</v>
      </c>
      <c r="CH1791" s="50" t="n">
        <f aca="false">ROUNDUP(H1791/BV1791,0)</f>
        <v>0</v>
      </c>
      <c r="CI1791" s="50" t="n">
        <f aca="false">ROUNDUP(CF1791/BV1791,0)</f>
        <v>0</v>
      </c>
      <c r="CJ1791" s="53" t="n">
        <f aca="false">IF(BW1791=1,0,IFERROR(VLOOKUP(BU1791,'Gebinde-Kategorie'!$A$5:$N$45,5,0)+0,0))</f>
        <v>0</v>
      </c>
      <c r="CK1791" s="53" t="n">
        <f aca="false">IFERROR(IF(OR(CB1791=1,CB1791=2,CB1791=3),N(INDEX(Parameter!$I$5:$I$7,CB1791)),0),0)</f>
        <v>0</v>
      </c>
      <c r="CL1791" s="52" t="n">
        <f aca="false">IF(AND(Parameter!$B$21="Ja",ISNUMBER(W1791),N(X1791)&gt;0),IFERROR(N(INDEX(Parameter!$L$5:$L$7,W1791))*INDEX(Parameter!$E$5:$E$7,W1791)*X1791/SUMIFS($X$7:$X$1843,$W$7:$W$1843,W1791),0),0)</f>
        <v>0</v>
      </c>
    </row>
    <row r="1792" customFormat="false" ht="15" hidden="false" customHeight="false" outlineLevel="0" collapsed="false">
      <c r="A1792" s="48" t="str">
        <f aca="false">IF('Neue Artikel'!$A$53="","",'Neue Artikel'!$A$53&amp;"")</f>
        <v/>
      </c>
      <c r="B1792" s="48" t="str">
        <f aca="false">'Neue Artikel'!$B$53&amp;""</f>
        <v/>
      </c>
      <c r="C1792" s="48"/>
      <c r="D1792" s="48" t="s">
        <v>3019</v>
      </c>
      <c r="E1792" s="48"/>
      <c r="F1792" s="48"/>
      <c r="G1792" s="49" t="n">
        <f aca="false">N('Neue Artikel'!$G$53)</f>
        <v>0</v>
      </c>
      <c r="H1792" s="50" t="n">
        <f aca="false">MAX(0,IF(AND(Parameter!$B$21="Ja",ISNUMBER(Y1792)),Y1792,IF(Parameter!$B$20="Jahresanfang 2025 + Export",BO1792+BN1792,BN1792)))</f>
        <v>0</v>
      </c>
      <c r="I1792" s="50" t="n">
        <f aca="false">H1792*G1792</f>
        <v>0</v>
      </c>
      <c r="J1792" s="50" t="n">
        <f aca="false">BQ1792*Parameter!$B$18</f>
        <v>0</v>
      </c>
      <c r="K1792" s="51"/>
      <c r="L1792" s="52"/>
      <c r="M1792" s="50" t="n">
        <f aca="false">N('Neue Artikel'!$E$53)</f>
        <v>0</v>
      </c>
      <c r="N1792" s="50" t="n">
        <f aca="false">N('Neue Artikel'!$F$53)</f>
        <v>0</v>
      </c>
      <c r="O1792" s="53"/>
      <c r="P1792" s="48" t="str">
        <f aca="false">IF('Neue Artikel'!$H$53="","LOSE",UPPER(TRIM('Neue Artikel'!$H$53)))</f>
        <v>LOSE</v>
      </c>
      <c r="Q1792" s="50" t="n">
        <f aca="false">N('Neue Artikel'!$I$53)</f>
        <v>0</v>
      </c>
      <c r="R1792" s="53" t="n">
        <f aca="false">IF(BW1792=1,0,IFERROR(VLOOKUP(BU1792,'Gebinde-Kategorie'!$A$5:$N$45,13,0)+0,0))</f>
        <v>0</v>
      </c>
      <c r="S1792" s="54"/>
      <c r="T1792" s="55"/>
      <c r="U1792" s="55"/>
      <c r="V1792" s="55"/>
      <c r="W1792" s="48"/>
      <c r="X1792" s="50"/>
      <c r="Y1792" s="50"/>
      <c r="Z1792" s="48" t="str">
        <f aca="false">IF(A1792="","",IF(AND(Parameter!$B$21="Ja",ISNUMBER(W1792)),W1792,IF(BZ1792="2+3",IF(ISNUMBER(SEARCH("grosser Artikel",BR1792)),2,IFERROR(VLOOKUP(BU1792,Parameter!$F$35:$G$64,2,0),2)),IF(OR(BZ1792="Nein",BZ1792=""),"-",BZ1792))))</f>
        <v/>
      </c>
      <c r="AA1792" s="48" t="str">
        <f aca="false">IF('Neue Artikel'!$J$53="","",'Neue Artikel'!$J$53)</f>
        <v/>
      </c>
      <c r="AB1792" s="56"/>
      <c r="AC1792" s="50" t="n">
        <f aca="false">AT1792</f>
        <v>0</v>
      </c>
      <c r="AD1792" s="50" t="n">
        <f aca="false">MAX(AT1792,H1792)</f>
        <v>0</v>
      </c>
      <c r="AE1792" s="57"/>
      <c r="AF1792" s="50" t="n">
        <f aca="false">IF(LEFT(Cockpit!$C$5,1)="A",H1792,IF(CE1792=1,CF1792,IF(LEFT(Cockpit!$C$5,1)="B",AK1792,MAX(AK1792,H1792))))</f>
        <v>0</v>
      </c>
      <c r="AG1792" s="50" t="n">
        <f aca="false">IF(BW1792=1,0,ROUNDUP(AF1792/BV1792,0))</f>
        <v>0</v>
      </c>
      <c r="AH1792" s="52" t="n">
        <f aca="false">IF(CL1792&gt;0,CL1792*MAX(1,AF1792/X1792),IF(BW1792=1,IF(AF1792&lt;=0,0,CA1792*MAX(1,IF(H1792&gt;0,AF1792/H1792,1))),IF(R1792&gt;0,AG1792/R1792,0))/MAX(0.1,N(Parameter!$M$21)))</f>
        <v>0</v>
      </c>
      <c r="AI1792" s="50" t="n">
        <f aca="false">AH1792*BY1792</f>
        <v>0</v>
      </c>
      <c r="AJ1792" s="50" t="n">
        <f aca="false">AF1792*G1792</f>
        <v>0</v>
      </c>
      <c r="AK1792" s="50" t="n">
        <f aca="false">ROUNDUP(MAX(J1792/IF(CD1792&gt;0,CD1792,MAX(0.1,N(Cockpit!$C$6))),CG1792)/BV1792,0)*BV1792</f>
        <v>0</v>
      </c>
      <c r="AL1792" s="51" t="n">
        <f aca="false">IF(AI1792&gt;0,J1792/AI1792,-1)</f>
        <v>-1</v>
      </c>
      <c r="AM1792" s="51" t="str">
        <f aca="false">IF(AND(OR(CC1792="L1",CC1792="L23",CC1792="LIFT"),AI1792&gt;0),SUMIFS($AI$7:$AI$1843,$CC$7:$CC$1843,CC1792,$AL$7:$AL$1843,"&gt;"&amp;AL1792)+SUMIFS($AI$7:$AI$1843,$CC$7:$CC$1843,CC1792,$AL$7:$AL$1843,AL1792,$BT$7:$BT$1843,"&lt;="&amp;BT1792),"")</f>
        <v/>
      </c>
      <c r="AN1792" s="58" t="n">
        <f aca="false">IF(AM1792="",0,MAX(0,MIN(1,(IF(CC1792="L1",Parameter!$H$5,IF(CC1792="L23",Parameter!$H$6+Parameter!$H$7,Parameter!$H$5+Parameter!$H$6+Parameter!$H$7))-(AM1792-AI1792))/AI1792)))</f>
        <v>0</v>
      </c>
      <c r="AO1792" s="50" t="n">
        <f aca="false">IF(LEFT(Cockpit!$I$5,1)="A",H1792,IF(CE1792=1,CF1792,IF(LEFT(Cockpit!$I$5,1)="B",AT1792,MAX(AT1792,H1792))))</f>
        <v>0</v>
      </c>
      <c r="AP1792" s="50" t="n">
        <f aca="false">IF(BW1792=1,0,ROUNDUP(AO1792/BV1792,0))</f>
        <v>0</v>
      </c>
      <c r="AQ1792" s="52" t="n">
        <f aca="false">IF(CL1792&gt;0,CL1792*MAX(1,AO1792/X1792),IF(BW1792=1,IF(AO1792&lt;=0,0,CA1792*MAX(1,IF(H1792&gt;0,AO1792/H1792,1))),IF(R1792&gt;0,AP1792/R1792,0))/MAX(0.1,N(Parameter!$M$21)))</f>
        <v>0</v>
      </c>
      <c r="AR1792" s="50" t="n">
        <f aca="false">AQ1792*BY1792</f>
        <v>0</v>
      </c>
      <c r="AS1792" s="50" t="n">
        <f aca="false">AO1792*G1792</f>
        <v>0</v>
      </c>
      <c r="AT1792" s="50" t="n">
        <f aca="false">ROUNDUP(MAX(J1792/IF(CD1792&gt;0,CD1792,MAX(0.1,N(Cockpit!$I$6))),CG1792)/BV1792,0)*BV1792</f>
        <v>0</v>
      </c>
      <c r="AU1792" s="51" t="n">
        <f aca="false">IF(AR1792&gt;0,J1792/AR1792,-1)</f>
        <v>-1</v>
      </c>
      <c r="AV1792" s="51" t="str">
        <f aca="false">IF(AND(OR(CC1792="L1",CC1792="L23",CC1792="LIFT"),AR1792&gt;0),SUMIFS($AR$7:$AR$1843,$CC$7:$CC$1843,CC1792,$AU$7:$AU$1843,"&gt;"&amp;AU1792)+SUMIFS($AR$7:$AR$1843,$CC$7:$CC$1843,CC1792,$AU$7:$AU$1843,AU1792,$BT$7:$BT$1843,"&lt;="&amp;BT1792),"")</f>
        <v/>
      </c>
      <c r="AW1792" s="58" t="n">
        <f aca="false">IF(AV1792="",0,MAX(0,MIN(1,(IF(CC1792="L1",Parameter!$H$5,IF(CC1792="L23",Parameter!$H$6+Parameter!$H$7,Parameter!$H$5+Parameter!$H$6+Parameter!$H$7))-(AV1792-AR1792))/AR1792)))</f>
        <v>0</v>
      </c>
      <c r="AX1792" s="50" t="n">
        <f aca="false">IF(LEFT(Cockpit!$O$5,1)="A",H1792,IF(CE1792=1,CF1792,IF(LEFT(Cockpit!$O$5,1)="B",BC1792,MAX(BC1792,H1792))))</f>
        <v>0</v>
      </c>
      <c r="AY1792" s="50" t="n">
        <f aca="false">IF(BW1792=1,0,ROUNDUP(AX1792/BV1792,0))</f>
        <v>0</v>
      </c>
      <c r="AZ1792" s="52" t="n">
        <f aca="false">IF(CL1792&gt;0,CL1792*MAX(1,AX1792/X1792),IF(BW1792=1,IF(AX1792&lt;=0,0,CA1792*MAX(1,IF(H1792&gt;0,AX1792/H1792,1))),IF(R1792&gt;0,AY1792/R1792,0))/MAX(0.1,N(Parameter!$M$21)))</f>
        <v>0</v>
      </c>
      <c r="BA1792" s="50" t="n">
        <f aca="false">AZ1792*BY1792</f>
        <v>0</v>
      </c>
      <c r="BB1792" s="50" t="n">
        <f aca="false">AX1792*G1792</f>
        <v>0</v>
      </c>
      <c r="BC1792" s="50" t="n">
        <f aca="false">ROUNDUP(MAX(J1792/IF(CD1792&gt;0,CD1792,MAX(0.1,N(Cockpit!$O$6))),CG1792)/BV1792,0)*BV1792</f>
        <v>0</v>
      </c>
      <c r="BD1792" s="51" t="n">
        <f aca="false">IF(BA1792&gt;0,J1792/BA1792,-1)</f>
        <v>-1</v>
      </c>
      <c r="BE1792" s="51" t="str">
        <f aca="false">IF(AND(OR(CC1792="L1",CC1792="L23",CC1792="LIFT"),BA1792&gt;0),SUMIFS($BA$7:$BA$1843,$CC$7:$CC$1843,CC1792,$BD$7:$BD$1843,"&gt;"&amp;BD1792)+SUMIFS($BA$7:$BA$1843,$CC$7:$CC$1843,CC1792,$BD$7:$BD$1843,BD1792,$BT$7:$BT$1843,"&lt;="&amp;BT1792),"")</f>
        <v/>
      </c>
      <c r="BF1792" s="58" t="n">
        <f aca="false">IF(BE1792="",0,MAX(0,MIN(1,(IF(CC1792="L1",Parameter!$H$5,IF(CC1792="L23",Parameter!$H$6+Parameter!$H$7,Parameter!$H$5+Parameter!$H$6+Parameter!$H$7))-(BE1792-BA1792))/BA1792)))</f>
        <v>0</v>
      </c>
      <c r="BG1792" s="48" t="str">
        <f aca="false">IF(AI1792&lt;=0,"",IF(CC1792="Aussen","Aussenlager",IF(CC1792="-","Nicht im Lift",IF(AN1792&gt;=1,"Lift",IF(AN1792&lt;=0,"Aussenlager","teilweise")))))</f>
        <v/>
      </c>
      <c r="BH1792" s="48" t="str">
        <f aca="false">IF(AR1792&lt;=0,"",IF(CC1792="Aussen","Aussenlager",IF(CC1792="-","Nicht im Lift",IF(AW1792&gt;=1,"Lift",IF(AW1792&lt;=0,"Aussenlager","teilweise")))))</f>
        <v/>
      </c>
      <c r="BI1792" s="48" t="str">
        <f aca="false">IF(BA1792&lt;=0,"",IF(CC1792="Aussen","Aussenlager",IF(CC1792="-","Nicht im Lift",IF(BF1792&gt;=1,"Lift",IF(BF1792&lt;=0,"Aussenlager","teilweise")))))</f>
        <v/>
      </c>
      <c r="BJ1792" s="48" t="str">
        <f aca="false">IF(A1792="","",IF(BS1792=1,"Neu; ","")&amp;IF(AND(BS1792=0,BN1792&lt;0),"negativer Bestand (Export "&amp;BN1792&amp;"); ","")&amp;IF(J1792&lt;=0,"Kein Verbrauch; ","")&amp;IF(CL1792&gt;0,"Lift "&amp;W1792&amp;" lt. Liftbericht (Fach "&amp;X1792&amp;" Stk); ",IF(BX1792=1,"Gebinde geschätzt ("&amp;T1792&amp;"); ",IF(BW1792=1,"Lose – Tablare geschätzt; ","")))&amp;IF(H1792&gt;AT1792,"Überbestand "&amp;ROUND(H1792-AT1792,0)&amp;" Stk / CHF "&amp;ROUND((H1792-AT1792)*G1792,0)&amp;"; ","")&amp;IF(AND(CE1792=1,CF1792&lt;CG1792),"MAX &lt; MB+LG; ","")&amp;IF(AND(CK1792&gt;0,CJ1792*10&gt;CK1792),"zu hoch für Tablar; ","")&amp;IF(AND(BS1792=0,OR(CE1792=1,AA1792&lt;&gt;"",U1792&lt;&gt;"",V1792&lt;&gt;"",AB1792&lt;&gt;"")),"manuell übersteuert; ","")&amp;IF(AND(BW1792=0,R1792=0),"Gebinde unbekannt / Stellmass fehlt; ","")&amp;IF(AND(BW1792=0,N(V1792)&lt;=0,N(Q1792)&lt;=0),"Menge pro Gebinde fehlt (Ist = 1 Gebinde); ","")&amp;BR1792)</f>
        <v/>
      </c>
      <c r="BK1792" s="48"/>
      <c r="BL1792" s="48"/>
      <c r="BM1792" s="55"/>
      <c r="BN1792" s="50" t="n">
        <f aca="false">N('Neue Artikel'!$D$53)</f>
        <v>0</v>
      </c>
      <c r="BO1792" s="50" t="n">
        <v>0</v>
      </c>
      <c r="BP1792" s="49" t="n">
        <v>0</v>
      </c>
      <c r="BQ1792" s="50" t="n">
        <f aca="false">N('Neue Artikel'!$C$53)/Parameter!$B$18</f>
        <v>0</v>
      </c>
      <c r="BR1792" s="48"/>
      <c r="BS1792" s="53" t="n">
        <v>1</v>
      </c>
      <c r="BT1792" s="53" t="n">
        <v>1792</v>
      </c>
      <c r="BU1792" s="48" t="str">
        <f aca="false">IF(U1792&lt;&gt;"",UPPER(TRIM(U1792)),IF(BX1792=1,UPPER(VLOOKUP(T1792,Parameter!$I$27:$K$29,2,0)),IF(P1792="","LOSE",P1792)))</f>
        <v>LOSE</v>
      </c>
      <c r="BV1792" s="50" t="n">
        <f aca="false">IF(BU1792="LOSE",1,IF(N(V1792)&gt;0,V1792,IF(BX1792=1,MAX(1,N(VLOOKUP(T1792,Parameter!$I$27:$K$29,3,0)),H1792,N(N1792)),IF(N(Q1792)&gt;0,Q1792,MAX(1,H1792)))))</f>
        <v>1</v>
      </c>
      <c r="BW1792" s="53" t="n">
        <f aca="false">IF(BU1792="LOSE",1,0)</f>
        <v>1</v>
      </c>
      <c r="BX1792" s="53" t="n">
        <f aca="false">IF(AND(U1792="",OR(P1792="",P1792="LOSE"),T1792&lt;&gt;"",N(S1792)&lt;=0,ISNUMBER(MATCH(T1792,Parameter!$I$27:$I$29,0))),1,0)</f>
        <v>0</v>
      </c>
      <c r="BY1792" s="53" t="n">
        <f aca="false">IF(CL1792&gt;0,INDEX(Parameter!$H$5:$H$7,W1792)/INDEX(Parameter!$E$5:$E$7,W1792),IF(AND(BW1792=0,N(IFERROR(VLOOKUP(BU1792,'Gebinde-Kategorie'!$A$5:$N$45,14,0),0))&gt;0),VLOOKUP(BU1792,'Gebinde-Kategorie'!$A$5:$N$45,14,0)*10+Parameter!$M$23,Parameter!$M$24))</f>
        <v>235</v>
      </c>
      <c r="BZ1792" s="48" t="str">
        <f aca="false">IF(AND(Parameter!$B$19="Ja",E1792&lt;&gt;"",ISNUMBER(MATCH(E1792,Parameter!$I$35:$I$52,0))),VLOOKUP(E1792,Parameter!$I$35:$J$52,2,0),IFERROR(VLOOKUP(D1792,Parameter!$A$35:$C$64,2,0),"Nein"))</f>
        <v>2+3</v>
      </c>
      <c r="CA1792" s="52" t="n">
        <f aca="false">IF(BW1792=0,0,IF(N(S1792)&gt;0,S1792,IFERROR(VLOOKUP(D1792,Parameter!$A$35:$C$64,3,0)+0,0)))</f>
        <v>0.15</v>
      </c>
      <c r="CB1792" s="48" t="str">
        <f aca="false">IF(AA1792&lt;&gt;"",AA1792,Z1792)</f>
        <v/>
      </c>
      <c r="CC1792" s="48" t="str">
        <f aca="false">IF(OR(CB1792=1,CB1792=2,CB1792=3),IF(Parameter!$E$27="Ja","LIFT",IF(CB1792=1,"L1","L23")),IF(CB1792="Aussen","Aussen","-"))</f>
        <v>-</v>
      </c>
      <c r="CD1792" s="59" t="n">
        <f aca="false">IF(N(AB1792)&gt;0,AB1792,0)</f>
        <v>0</v>
      </c>
      <c r="CE1792" s="53" t="n">
        <f aca="false">IF(ISNUMBER(AE1792),1,0)</f>
        <v>0</v>
      </c>
      <c r="CF1792" s="50" t="n">
        <f aca="false">N(AE1792)</f>
        <v>0</v>
      </c>
      <c r="CG1792" s="50" t="n">
        <f aca="false">N(M1792)+N(N1792)</f>
        <v>0</v>
      </c>
      <c r="CH1792" s="50" t="n">
        <f aca="false">ROUNDUP(H1792/BV1792,0)</f>
        <v>0</v>
      </c>
      <c r="CI1792" s="50" t="n">
        <f aca="false">ROUNDUP(CF1792/BV1792,0)</f>
        <v>0</v>
      </c>
      <c r="CJ1792" s="53" t="n">
        <f aca="false">IF(BW1792=1,0,IFERROR(VLOOKUP(BU1792,'Gebinde-Kategorie'!$A$5:$N$45,5,0)+0,0))</f>
        <v>0</v>
      </c>
      <c r="CK1792" s="53" t="n">
        <f aca="false">IFERROR(IF(OR(CB1792=1,CB1792=2,CB1792=3),N(INDEX(Parameter!$I$5:$I$7,CB1792)),0),0)</f>
        <v>0</v>
      </c>
      <c r="CL1792" s="52" t="n">
        <f aca="false">IF(AND(Parameter!$B$21="Ja",ISNUMBER(W1792),N(X1792)&gt;0),IFERROR(N(INDEX(Parameter!$L$5:$L$7,W1792))*INDEX(Parameter!$E$5:$E$7,W1792)*X1792/SUMIFS($X$7:$X$1843,$W$7:$W$1843,W1792),0),0)</f>
        <v>0</v>
      </c>
    </row>
    <row r="1793" customFormat="false" ht="15" hidden="false" customHeight="false" outlineLevel="0" collapsed="false">
      <c r="A1793" s="48" t="str">
        <f aca="false">IF('Neue Artikel'!$A$54="","",'Neue Artikel'!$A$54&amp;"")</f>
        <v/>
      </c>
      <c r="B1793" s="48" t="str">
        <f aca="false">'Neue Artikel'!$B$54&amp;""</f>
        <v/>
      </c>
      <c r="C1793" s="48"/>
      <c r="D1793" s="48" t="s">
        <v>3019</v>
      </c>
      <c r="E1793" s="48"/>
      <c r="F1793" s="48"/>
      <c r="G1793" s="49" t="n">
        <f aca="false">N('Neue Artikel'!$G$54)</f>
        <v>0</v>
      </c>
      <c r="H1793" s="50" t="n">
        <f aca="false">MAX(0,IF(AND(Parameter!$B$21="Ja",ISNUMBER(Y1793)),Y1793,IF(Parameter!$B$20="Jahresanfang 2025 + Export",BO1793+BN1793,BN1793)))</f>
        <v>0</v>
      </c>
      <c r="I1793" s="50" t="n">
        <f aca="false">H1793*G1793</f>
        <v>0</v>
      </c>
      <c r="J1793" s="50" t="n">
        <f aca="false">BQ1793*Parameter!$B$18</f>
        <v>0</v>
      </c>
      <c r="K1793" s="51"/>
      <c r="L1793" s="52"/>
      <c r="M1793" s="50" t="n">
        <f aca="false">N('Neue Artikel'!$E$54)</f>
        <v>0</v>
      </c>
      <c r="N1793" s="50" t="n">
        <f aca="false">N('Neue Artikel'!$F$54)</f>
        <v>0</v>
      </c>
      <c r="O1793" s="53"/>
      <c r="P1793" s="48" t="str">
        <f aca="false">IF('Neue Artikel'!$H$54="","LOSE",UPPER(TRIM('Neue Artikel'!$H$54)))</f>
        <v>LOSE</v>
      </c>
      <c r="Q1793" s="50" t="n">
        <f aca="false">N('Neue Artikel'!$I$54)</f>
        <v>0</v>
      </c>
      <c r="R1793" s="53" t="n">
        <f aca="false">IF(BW1793=1,0,IFERROR(VLOOKUP(BU1793,'Gebinde-Kategorie'!$A$5:$N$45,13,0)+0,0))</f>
        <v>0</v>
      </c>
      <c r="S1793" s="54"/>
      <c r="T1793" s="55"/>
      <c r="U1793" s="55"/>
      <c r="V1793" s="55"/>
      <c r="W1793" s="48"/>
      <c r="X1793" s="50"/>
      <c r="Y1793" s="50"/>
      <c r="Z1793" s="48" t="str">
        <f aca="false">IF(A1793="","",IF(AND(Parameter!$B$21="Ja",ISNUMBER(W1793)),W1793,IF(BZ1793="2+3",IF(ISNUMBER(SEARCH("grosser Artikel",BR1793)),2,IFERROR(VLOOKUP(BU1793,Parameter!$F$35:$G$64,2,0),2)),IF(OR(BZ1793="Nein",BZ1793=""),"-",BZ1793))))</f>
        <v/>
      </c>
      <c r="AA1793" s="48" t="str">
        <f aca="false">IF('Neue Artikel'!$J$54="","",'Neue Artikel'!$J$54)</f>
        <v/>
      </c>
      <c r="AB1793" s="56"/>
      <c r="AC1793" s="50" t="n">
        <f aca="false">AT1793</f>
        <v>0</v>
      </c>
      <c r="AD1793" s="50" t="n">
        <f aca="false">MAX(AT1793,H1793)</f>
        <v>0</v>
      </c>
      <c r="AE1793" s="57"/>
      <c r="AF1793" s="50" t="n">
        <f aca="false">IF(LEFT(Cockpit!$C$5,1)="A",H1793,IF(CE1793=1,CF1793,IF(LEFT(Cockpit!$C$5,1)="B",AK1793,MAX(AK1793,H1793))))</f>
        <v>0</v>
      </c>
      <c r="AG1793" s="50" t="n">
        <f aca="false">IF(BW1793=1,0,ROUNDUP(AF1793/BV1793,0))</f>
        <v>0</v>
      </c>
      <c r="AH1793" s="52" t="n">
        <f aca="false">IF(CL1793&gt;0,CL1793*MAX(1,AF1793/X1793),IF(BW1793=1,IF(AF1793&lt;=0,0,CA1793*MAX(1,IF(H1793&gt;0,AF1793/H1793,1))),IF(R1793&gt;0,AG1793/R1793,0))/MAX(0.1,N(Parameter!$M$21)))</f>
        <v>0</v>
      </c>
      <c r="AI1793" s="50" t="n">
        <f aca="false">AH1793*BY1793</f>
        <v>0</v>
      </c>
      <c r="AJ1793" s="50" t="n">
        <f aca="false">AF1793*G1793</f>
        <v>0</v>
      </c>
      <c r="AK1793" s="50" t="n">
        <f aca="false">ROUNDUP(MAX(J1793/IF(CD1793&gt;0,CD1793,MAX(0.1,N(Cockpit!$C$6))),CG1793)/BV1793,0)*BV1793</f>
        <v>0</v>
      </c>
      <c r="AL1793" s="51" t="n">
        <f aca="false">IF(AI1793&gt;0,J1793/AI1793,-1)</f>
        <v>-1</v>
      </c>
      <c r="AM1793" s="51" t="str">
        <f aca="false">IF(AND(OR(CC1793="L1",CC1793="L23",CC1793="LIFT"),AI1793&gt;0),SUMIFS($AI$7:$AI$1843,$CC$7:$CC$1843,CC1793,$AL$7:$AL$1843,"&gt;"&amp;AL1793)+SUMIFS($AI$7:$AI$1843,$CC$7:$CC$1843,CC1793,$AL$7:$AL$1843,AL1793,$BT$7:$BT$1843,"&lt;="&amp;BT1793),"")</f>
        <v/>
      </c>
      <c r="AN1793" s="58" t="n">
        <f aca="false">IF(AM1793="",0,MAX(0,MIN(1,(IF(CC1793="L1",Parameter!$H$5,IF(CC1793="L23",Parameter!$H$6+Parameter!$H$7,Parameter!$H$5+Parameter!$H$6+Parameter!$H$7))-(AM1793-AI1793))/AI1793)))</f>
        <v>0</v>
      </c>
      <c r="AO1793" s="50" t="n">
        <f aca="false">IF(LEFT(Cockpit!$I$5,1)="A",H1793,IF(CE1793=1,CF1793,IF(LEFT(Cockpit!$I$5,1)="B",AT1793,MAX(AT1793,H1793))))</f>
        <v>0</v>
      </c>
      <c r="AP1793" s="50" t="n">
        <f aca="false">IF(BW1793=1,0,ROUNDUP(AO1793/BV1793,0))</f>
        <v>0</v>
      </c>
      <c r="AQ1793" s="52" t="n">
        <f aca="false">IF(CL1793&gt;0,CL1793*MAX(1,AO1793/X1793),IF(BW1793=1,IF(AO1793&lt;=0,0,CA1793*MAX(1,IF(H1793&gt;0,AO1793/H1793,1))),IF(R1793&gt;0,AP1793/R1793,0))/MAX(0.1,N(Parameter!$M$21)))</f>
        <v>0</v>
      </c>
      <c r="AR1793" s="50" t="n">
        <f aca="false">AQ1793*BY1793</f>
        <v>0</v>
      </c>
      <c r="AS1793" s="50" t="n">
        <f aca="false">AO1793*G1793</f>
        <v>0</v>
      </c>
      <c r="AT1793" s="50" t="n">
        <f aca="false">ROUNDUP(MAX(J1793/IF(CD1793&gt;0,CD1793,MAX(0.1,N(Cockpit!$I$6))),CG1793)/BV1793,0)*BV1793</f>
        <v>0</v>
      </c>
      <c r="AU1793" s="51" t="n">
        <f aca="false">IF(AR1793&gt;0,J1793/AR1793,-1)</f>
        <v>-1</v>
      </c>
      <c r="AV1793" s="51" t="str">
        <f aca="false">IF(AND(OR(CC1793="L1",CC1793="L23",CC1793="LIFT"),AR1793&gt;0),SUMIFS($AR$7:$AR$1843,$CC$7:$CC$1843,CC1793,$AU$7:$AU$1843,"&gt;"&amp;AU1793)+SUMIFS($AR$7:$AR$1843,$CC$7:$CC$1843,CC1793,$AU$7:$AU$1843,AU1793,$BT$7:$BT$1843,"&lt;="&amp;BT1793),"")</f>
        <v/>
      </c>
      <c r="AW1793" s="58" t="n">
        <f aca="false">IF(AV1793="",0,MAX(0,MIN(1,(IF(CC1793="L1",Parameter!$H$5,IF(CC1793="L23",Parameter!$H$6+Parameter!$H$7,Parameter!$H$5+Parameter!$H$6+Parameter!$H$7))-(AV1793-AR1793))/AR1793)))</f>
        <v>0</v>
      </c>
      <c r="AX1793" s="50" t="n">
        <f aca="false">IF(LEFT(Cockpit!$O$5,1)="A",H1793,IF(CE1793=1,CF1793,IF(LEFT(Cockpit!$O$5,1)="B",BC1793,MAX(BC1793,H1793))))</f>
        <v>0</v>
      </c>
      <c r="AY1793" s="50" t="n">
        <f aca="false">IF(BW1793=1,0,ROUNDUP(AX1793/BV1793,0))</f>
        <v>0</v>
      </c>
      <c r="AZ1793" s="52" t="n">
        <f aca="false">IF(CL1793&gt;0,CL1793*MAX(1,AX1793/X1793),IF(BW1793=1,IF(AX1793&lt;=0,0,CA1793*MAX(1,IF(H1793&gt;0,AX1793/H1793,1))),IF(R1793&gt;0,AY1793/R1793,0))/MAX(0.1,N(Parameter!$M$21)))</f>
        <v>0</v>
      </c>
      <c r="BA1793" s="50" t="n">
        <f aca="false">AZ1793*BY1793</f>
        <v>0</v>
      </c>
      <c r="BB1793" s="50" t="n">
        <f aca="false">AX1793*G1793</f>
        <v>0</v>
      </c>
      <c r="BC1793" s="50" t="n">
        <f aca="false">ROUNDUP(MAX(J1793/IF(CD1793&gt;0,CD1793,MAX(0.1,N(Cockpit!$O$6))),CG1793)/BV1793,0)*BV1793</f>
        <v>0</v>
      </c>
      <c r="BD1793" s="51" t="n">
        <f aca="false">IF(BA1793&gt;0,J1793/BA1793,-1)</f>
        <v>-1</v>
      </c>
      <c r="BE1793" s="51" t="str">
        <f aca="false">IF(AND(OR(CC1793="L1",CC1793="L23",CC1793="LIFT"),BA1793&gt;0),SUMIFS($BA$7:$BA$1843,$CC$7:$CC$1843,CC1793,$BD$7:$BD$1843,"&gt;"&amp;BD1793)+SUMIFS($BA$7:$BA$1843,$CC$7:$CC$1843,CC1793,$BD$7:$BD$1843,BD1793,$BT$7:$BT$1843,"&lt;="&amp;BT1793),"")</f>
        <v/>
      </c>
      <c r="BF1793" s="58" t="n">
        <f aca="false">IF(BE1793="",0,MAX(0,MIN(1,(IF(CC1793="L1",Parameter!$H$5,IF(CC1793="L23",Parameter!$H$6+Parameter!$H$7,Parameter!$H$5+Parameter!$H$6+Parameter!$H$7))-(BE1793-BA1793))/BA1793)))</f>
        <v>0</v>
      </c>
      <c r="BG1793" s="48" t="str">
        <f aca="false">IF(AI1793&lt;=0,"",IF(CC1793="Aussen","Aussenlager",IF(CC1793="-","Nicht im Lift",IF(AN1793&gt;=1,"Lift",IF(AN1793&lt;=0,"Aussenlager","teilweise")))))</f>
        <v/>
      </c>
      <c r="BH1793" s="48" t="str">
        <f aca="false">IF(AR1793&lt;=0,"",IF(CC1793="Aussen","Aussenlager",IF(CC1793="-","Nicht im Lift",IF(AW1793&gt;=1,"Lift",IF(AW1793&lt;=0,"Aussenlager","teilweise")))))</f>
        <v/>
      </c>
      <c r="BI1793" s="48" t="str">
        <f aca="false">IF(BA1793&lt;=0,"",IF(CC1793="Aussen","Aussenlager",IF(CC1793="-","Nicht im Lift",IF(BF1793&gt;=1,"Lift",IF(BF1793&lt;=0,"Aussenlager","teilweise")))))</f>
        <v/>
      </c>
      <c r="BJ1793" s="48" t="str">
        <f aca="false">IF(A1793="","",IF(BS1793=1,"Neu; ","")&amp;IF(AND(BS1793=0,BN1793&lt;0),"negativer Bestand (Export "&amp;BN1793&amp;"); ","")&amp;IF(J1793&lt;=0,"Kein Verbrauch; ","")&amp;IF(CL1793&gt;0,"Lift "&amp;W1793&amp;" lt. Liftbericht (Fach "&amp;X1793&amp;" Stk); ",IF(BX1793=1,"Gebinde geschätzt ("&amp;T1793&amp;"); ",IF(BW1793=1,"Lose – Tablare geschätzt; ","")))&amp;IF(H1793&gt;AT1793,"Überbestand "&amp;ROUND(H1793-AT1793,0)&amp;" Stk / CHF "&amp;ROUND((H1793-AT1793)*G1793,0)&amp;"; ","")&amp;IF(AND(CE1793=1,CF1793&lt;CG1793),"MAX &lt; MB+LG; ","")&amp;IF(AND(CK1793&gt;0,CJ1793*10&gt;CK1793),"zu hoch für Tablar; ","")&amp;IF(AND(BS1793=0,OR(CE1793=1,AA1793&lt;&gt;"",U1793&lt;&gt;"",V1793&lt;&gt;"",AB1793&lt;&gt;"")),"manuell übersteuert; ","")&amp;IF(AND(BW1793=0,R1793=0),"Gebinde unbekannt / Stellmass fehlt; ","")&amp;IF(AND(BW1793=0,N(V1793)&lt;=0,N(Q1793)&lt;=0),"Menge pro Gebinde fehlt (Ist = 1 Gebinde); ","")&amp;BR1793)</f>
        <v/>
      </c>
      <c r="BK1793" s="48"/>
      <c r="BL1793" s="48"/>
      <c r="BM1793" s="55"/>
      <c r="BN1793" s="50" t="n">
        <f aca="false">N('Neue Artikel'!$D$54)</f>
        <v>0</v>
      </c>
      <c r="BO1793" s="50" t="n">
        <v>0</v>
      </c>
      <c r="BP1793" s="49" t="n">
        <v>0</v>
      </c>
      <c r="BQ1793" s="50" t="n">
        <f aca="false">N('Neue Artikel'!$C$54)/Parameter!$B$18</f>
        <v>0</v>
      </c>
      <c r="BR1793" s="48"/>
      <c r="BS1793" s="53" t="n">
        <v>1</v>
      </c>
      <c r="BT1793" s="53" t="n">
        <v>1793</v>
      </c>
      <c r="BU1793" s="48" t="str">
        <f aca="false">IF(U1793&lt;&gt;"",UPPER(TRIM(U1793)),IF(BX1793=1,UPPER(VLOOKUP(T1793,Parameter!$I$27:$K$29,2,0)),IF(P1793="","LOSE",P1793)))</f>
        <v>LOSE</v>
      </c>
      <c r="BV1793" s="50" t="n">
        <f aca="false">IF(BU1793="LOSE",1,IF(N(V1793)&gt;0,V1793,IF(BX1793=1,MAX(1,N(VLOOKUP(T1793,Parameter!$I$27:$K$29,3,0)),H1793,N(N1793)),IF(N(Q1793)&gt;0,Q1793,MAX(1,H1793)))))</f>
        <v>1</v>
      </c>
      <c r="BW1793" s="53" t="n">
        <f aca="false">IF(BU1793="LOSE",1,0)</f>
        <v>1</v>
      </c>
      <c r="BX1793" s="53" t="n">
        <f aca="false">IF(AND(U1793="",OR(P1793="",P1793="LOSE"),T1793&lt;&gt;"",N(S1793)&lt;=0,ISNUMBER(MATCH(T1793,Parameter!$I$27:$I$29,0))),1,0)</f>
        <v>0</v>
      </c>
      <c r="BY1793" s="53" t="n">
        <f aca="false">IF(CL1793&gt;0,INDEX(Parameter!$H$5:$H$7,W1793)/INDEX(Parameter!$E$5:$E$7,W1793),IF(AND(BW1793=0,N(IFERROR(VLOOKUP(BU1793,'Gebinde-Kategorie'!$A$5:$N$45,14,0),0))&gt;0),VLOOKUP(BU1793,'Gebinde-Kategorie'!$A$5:$N$45,14,0)*10+Parameter!$M$23,Parameter!$M$24))</f>
        <v>235</v>
      </c>
      <c r="BZ1793" s="48" t="str">
        <f aca="false">IF(AND(Parameter!$B$19="Ja",E1793&lt;&gt;"",ISNUMBER(MATCH(E1793,Parameter!$I$35:$I$52,0))),VLOOKUP(E1793,Parameter!$I$35:$J$52,2,0),IFERROR(VLOOKUP(D1793,Parameter!$A$35:$C$64,2,0),"Nein"))</f>
        <v>2+3</v>
      </c>
      <c r="CA1793" s="52" t="n">
        <f aca="false">IF(BW1793=0,0,IF(N(S1793)&gt;0,S1793,IFERROR(VLOOKUP(D1793,Parameter!$A$35:$C$64,3,0)+0,0)))</f>
        <v>0.15</v>
      </c>
      <c r="CB1793" s="48" t="str">
        <f aca="false">IF(AA1793&lt;&gt;"",AA1793,Z1793)</f>
        <v/>
      </c>
      <c r="CC1793" s="48" t="str">
        <f aca="false">IF(OR(CB1793=1,CB1793=2,CB1793=3),IF(Parameter!$E$27="Ja","LIFT",IF(CB1793=1,"L1","L23")),IF(CB1793="Aussen","Aussen","-"))</f>
        <v>-</v>
      </c>
      <c r="CD1793" s="59" t="n">
        <f aca="false">IF(N(AB1793)&gt;0,AB1793,0)</f>
        <v>0</v>
      </c>
      <c r="CE1793" s="53" t="n">
        <f aca="false">IF(ISNUMBER(AE1793),1,0)</f>
        <v>0</v>
      </c>
      <c r="CF1793" s="50" t="n">
        <f aca="false">N(AE1793)</f>
        <v>0</v>
      </c>
      <c r="CG1793" s="50" t="n">
        <f aca="false">N(M1793)+N(N1793)</f>
        <v>0</v>
      </c>
      <c r="CH1793" s="50" t="n">
        <f aca="false">ROUNDUP(H1793/BV1793,0)</f>
        <v>0</v>
      </c>
      <c r="CI1793" s="50" t="n">
        <f aca="false">ROUNDUP(CF1793/BV1793,0)</f>
        <v>0</v>
      </c>
      <c r="CJ1793" s="53" t="n">
        <f aca="false">IF(BW1793=1,0,IFERROR(VLOOKUP(BU1793,'Gebinde-Kategorie'!$A$5:$N$45,5,0)+0,0))</f>
        <v>0</v>
      </c>
      <c r="CK1793" s="53" t="n">
        <f aca="false">IFERROR(IF(OR(CB1793=1,CB1793=2,CB1793=3),N(INDEX(Parameter!$I$5:$I$7,CB1793)),0),0)</f>
        <v>0</v>
      </c>
      <c r="CL1793" s="52" t="n">
        <f aca="false">IF(AND(Parameter!$B$21="Ja",ISNUMBER(W1793),N(X1793)&gt;0),IFERROR(N(INDEX(Parameter!$L$5:$L$7,W1793))*INDEX(Parameter!$E$5:$E$7,W1793)*X1793/SUMIFS($X$7:$X$1843,$W$7:$W$1843,W1793),0),0)</f>
        <v>0</v>
      </c>
    </row>
    <row r="1794" customFormat="false" ht="15" hidden="false" customHeight="false" outlineLevel="0" collapsed="false">
      <c r="A1794" s="48" t="str">
        <f aca="false">IF('Neue Artikel'!$A$55="","",'Neue Artikel'!$A$55&amp;"")</f>
        <v/>
      </c>
      <c r="B1794" s="48" t="str">
        <f aca="false">'Neue Artikel'!$B$55&amp;""</f>
        <v/>
      </c>
      <c r="C1794" s="48"/>
      <c r="D1794" s="48" t="s">
        <v>3019</v>
      </c>
      <c r="E1794" s="48"/>
      <c r="F1794" s="48"/>
      <c r="G1794" s="49" t="n">
        <f aca="false">N('Neue Artikel'!$G$55)</f>
        <v>0</v>
      </c>
      <c r="H1794" s="50" t="n">
        <f aca="false">MAX(0,IF(AND(Parameter!$B$21="Ja",ISNUMBER(Y1794)),Y1794,IF(Parameter!$B$20="Jahresanfang 2025 + Export",BO1794+BN1794,BN1794)))</f>
        <v>0</v>
      </c>
      <c r="I1794" s="50" t="n">
        <f aca="false">H1794*G1794</f>
        <v>0</v>
      </c>
      <c r="J1794" s="50" t="n">
        <f aca="false">BQ1794*Parameter!$B$18</f>
        <v>0</v>
      </c>
      <c r="K1794" s="51"/>
      <c r="L1794" s="52"/>
      <c r="M1794" s="50" t="n">
        <f aca="false">N('Neue Artikel'!$E$55)</f>
        <v>0</v>
      </c>
      <c r="N1794" s="50" t="n">
        <f aca="false">N('Neue Artikel'!$F$55)</f>
        <v>0</v>
      </c>
      <c r="O1794" s="53"/>
      <c r="P1794" s="48" t="str">
        <f aca="false">IF('Neue Artikel'!$H$55="","LOSE",UPPER(TRIM('Neue Artikel'!$H$55)))</f>
        <v>LOSE</v>
      </c>
      <c r="Q1794" s="50" t="n">
        <f aca="false">N('Neue Artikel'!$I$55)</f>
        <v>0</v>
      </c>
      <c r="R1794" s="53" t="n">
        <f aca="false">IF(BW1794=1,0,IFERROR(VLOOKUP(BU1794,'Gebinde-Kategorie'!$A$5:$N$45,13,0)+0,0))</f>
        <v>0</v>
      </c>
      <c r="S1794" s="54"/>
      <c r="T1794" s="55"/>
      <c r="U1794" s="55"/>
      <c r="V1794" s="55"/>
      <c r="W1794" s="48"/>
      <c r="X1794" s="50"/>
      <c r="Y1794" s="50"/>
      <c r="Z1794" s="48" t="str">
        <f aca="false">IF(A1794="","",IF(AND(Parameter!$B$21="Ja",ISNUMBER(W1794)),W1794,IF(BZ1794="2+3",IF(ISNUMBER(SEARCH("grosser Artikel",BR1794)),2,IFERROR(VLOOKUP(BU1794,Parameter!$F$35:$G$64,2,0),2)),IF(OR(BZ1794="Nein",BZ1794=""),"-",BZ1794))))</f>
        <v/>
      </c>
      <c r="AA1794" s="48" t="str">
        <f aca="false">IF('Neue Artikel'!$J$55="","",'Neue Artikel'!$J$55)</f>
        <v/>
      </c>
      <c r="AB1794" s="56"/>
      <c r="AC1794" s="50" t="n">
        <f aca="false">AT1794</f>
        <v>0</v>
      </c>
      <c r="AD1794" s="50" t="n">
        <f aca="false">MAX(AT1794,H1794)</f>
        <v>0</v>
      </c>
      <c r="AE1794" s="57"/>
      <c r="AF1794" s="50" t="n">
        <f aca="false">IF(LEFT(Cockpit!$C$5,1)="A",H1794,IF(CE1794=1,CF1794,IF(LEFT(Cockpit!$C$5,1)="B",AK1794,MAX(AK1794,H1794))))</f>
        <v>0</v>
      </c>
      <c r="AG1794" s="50" t="n">
        <f aca="false">IF(BW1794=1,0,ROUNDUP(AF1794/BV1794,0))</f>
        <v>0</v>
      </c>
      <c r="AH1794" s="52" t="n">
        <f aca="false">IF(CL1794&gt;0,CL1794*MAX(1,AF1794/X1794),IF(BW1794=1,IF(AF1794&lt;=0,0,CA1794*MAX(1,IF(H1794&gt;0,AF1794/H1794,1))),IF(R1794&gt;0,AG1794/R1794,0))/MAX(0.1,N(Parameter!$M$21)))</f>
        <v>0</v>
      </c>
      <c r="AI1794" s="50" t="n">
        <f aca="false">AH1794*BY1794</f>
        <v>0</v>
      </c>
      <c r="AJ1794" s="50" t="n">
        <f aca="false">AF1794*G1794</f>
        <v>0</v>
      </c>
      <c r="AK1794" s="50" t="n">
        <f aca="false">ROUNDUP(MAX(J1794/IF(CD1794&gt;0,CD1794,MAX(0.1,N(Cockpit!$C$6))),CG1794)/BV1794,0)*BV1794</f>
        <v>0</v>
      </c>
      <c r="AL1794" s="51" t="n">
        <f aca="false">IF(AI1794&gt;0,J1794/AI1794,-1)</f>
        <v>-1</v>
      </c>
      <c r="AM1794" s="51" t="str">
        <f aca="false">IF(AND(OR(CC1794="L1",CC1794="L23",CC1794="LIFT"),AI1794&gt;0),SUMIFS($AI$7:$AI$1843,$CC$7:$CC$1843,CC1794,$AL$7:$AL$1843,"&gt;"&amp;AL1794)+SUMIFS($AI$7:$AI$1843,$CC$7:$CC$1843,CC1794,$AL$7:$AL$1843,AL1794,$BT$7:$BT$1843,"&lt;="&amp;BT1794),"")</f>
        <v/>
      </c>
      <c r="AN1794" s="58" t="n">
        <f aca="false">IF(AM1794="",0,MAX(0,MIN(1,(IF(CC1794="L1",Parameter!$H$5,IF(CC1794="L23",Parameter!$H$6+Parameter!$H$7,Parameter!$H$5+Parameter!$H$6+Parameter!$H$7))-(AM1794-AI1794))/AI1794)))</f>
        <v>0</v>
      </c>
      <c r="AO1794" s="50" t="n">
        <f aca="false">IF(LEFT(Cockpit!$I$5,1)="A",H1794,IF(CE1794=1,CF1794,IF(LEFT(Cockpit!$I$5,1)="B",AT1794,MAX(AT1794,H1794))))</f>
        <v>0</v>
      </c>
      <c r="AP1794" s="50" t="n">
        <f aca="false">IF(BW1794=1,0,ROUNDUP(AO1794/BV1794,0))</f>
        <v>0</v>
      </c>
      <c r="AQ1794" s="52" t="n">
        <f aca="false">IF(CL1794&gt;0,CL1794*MAX(1,AO1794/X1794),IF(BW1794=1,IF(AO1794&lt;=0,0,CA1794*MAX(1,IF(H1794&gt;0,AO1794/H1794,1))),IF(R1794&gt;0,AP1794/R1794,0))/MAX(0.1,N(Parameter!$M$21)))</f>
        <v>0</v>
      </c>
      <c r="AR1794" s="50" t="n">
        <f aca="false">AQ1794*BY1794</f>
        <v>0</v>
      </c>
      <c r="AS1794" s="50" t="n">
        <f aca="false">AO1794*G1794</f>
        <v>0</v>
      </c>
      <c r="AT1794" s="50" t="n">
        <f aca="false">ROUNDUP(MAX(J1794/IF(CD1794&gt;0,CD1794,MAX(0.1,N(Cockpit!$I$6))),CG1794)/BV1794,0)*BV1794</f>
        <v>0</v>
      </c>
      <c r="AU1794" s="51" t="n">
        <f aca="false">IF(AR1794&gt;0,J1794/AR1794,-1)</f>
        <v>-1</v>
      </c>
      <c r="AV1794" s="51" t="str">
        <f aca="false">IF(AND(OR(CC1794="L1",CC1794="L23",CC1794="LIFT"),AR1794&gt;0),SUMIFS($AR$7:$AR$1843,$CC$7:$CC$1843,CC1794,$AU$7:$AU$1843,"&gt;"&amp;AU1794)+SUMIFS($AR$7:$AR$1843,$CC$7:$CC$1843,CC1794,$AU$7:$AU$1843,AU1794,$BT$7:$BT$1843,"&lt;="&amp;BT1794),"")</f>
        <v/>
      </c>
      <c r="AW1794" s="58" t="n">
        <f aca="false">IF(AV1794="",0,MAX(0,MIN(1,(IF(CC1794="L1",Parameter!$H$5,IF(CC1794="L23",Parameter!$H$6+Parameter!$H$7,Parameter!$H$5+Parameter!$H$6+Parameter!$H$7))-(AV1794-AR1794))/AR1794)))</f>
        <v>0</v>
      </c>
      <c r="AX1794" s="50" t="n">
        <f aca="false">IF(LEFT(Cockpit!$O$5,1)="A",H1794,IF(CE1794=1,CF1794,IF(LEFT(Cockpit!$O$5,1)="B",BC1794,MAX(BC1794,H1794))))</f>
        <v>0</v>
      </c>
      <c r="AY1794" s="50" t="n">
        <f aca="false">IF(BW1794=1,0,ROUNDUP(AX1794/BV1794,0))</f>
        <v>0</v>
      </c>
      <c r="AZ1794" s="52" t="n">
        <f aca="false">IF(CL1794&gt;0,CL1794*MAX(1,AX1794/X1794),IF(BW1794=1,IF(AX1794&lt;=0,0,CA1794*MAX(1,IF(H1794&gt;0,AX1794/H1794,1))),IF(R1794&gt;0,AY1794/R1794,0))/MAX(0.1,N(Parameter!$M$21)))</f>
        <v>0</v>
      </c>
      <c r="BA1794" s="50" t="n">
        <f aca="false">AZ1794*BY1794</f>
        <v>0</v>
      </c>
      <c r="BB1794" s="50" t="n">
        <f aca="false">AX1794*G1794</f>
        <v>0</v>
      </c>
      <c r="BC1794" s="50" t="n">
        <f aca="false">ROUNDUP(MAX(J1794/IF(CD1794&gt;0,CD1794,MAX(0.1,N(Cockpit!$O$6))),CG1794)/BV1794,0)*BV1794</f>
        <v>0</v>
      </c>
      <c r="BD1794" s="51" t="n">
        <f aca="false">IF(BA1794&gt;0,J1794/BA1794,-1)</f>
        <v>-1</v>
      </c>
      <c r="BE1794" s="51" t="str">
        <f aca="false">IF(AND(OR(CC1794="L1",CC1794="L23",CC1794="LIFT"),BA1794&gt;0),SUMIFS($BA$7:$BA$1843,$CC$7:$CC$1843,CC1794,$BD$7:$BD$1843,"&gt;"&amp;BD1794)+SUMIFS($BA$7:$BA$1843,$CC$7:$CC$1843,CC1794,$BD$7:$BD$1843,BD1794,$BT$7:$BT$1843,"&lt;="&amp;BT1794),"")</f>
        <v/>
      </c>
      <c r="BF1794" s="58" t="n">
        <f aca="false">IF(BE1794="",0,MAX(0,MIN(1,(IF(CC1794="L1",Parameter!$H$5,IF(CC1794="L23",Parameter!$H$6+Parameter!$H$7,Parameter!$H$5+Parameter!$H$6+Parameter!$H$7))-(BE1794-BA1794))/BA1794)))</f>
        <v>0</v>
      </c>
      <c r="BG1794" s="48" t="str">
        <f aca="false">IF(AI1794&lt;=0,"",IF(CC1794="Aussen","Aussenlager",IF(CC1794="-","Nicht im Lift",IF(AN1794&gt;=1,"Lift",IF(AN1794&lt;=0,"Aussenlager","teilweise")))))</f>
        <v/>
      </c>
      <c r="BH1794" s="48" t="str">
        <f aca="false">IF(AR1794&lt;=0,"",IF(CC1794="Aussen","Aussenlager",IF(CC1794="-","Nicht im Lift",IF(AW1794&gt;=1,"Lift",IF(AW1794&lt;=0,"Aussenlager","teilweise")))))</f>
        <v/>
      </c>
      <c r="BI1794" s="48" t="str">
        <f aca="false">IF(BA1794&lt;=0,"",IF(CC1794="Aussen","Aussenlager",IF(CC1794="-","Nicht im Lift",IF(BF1794&gt;=1,"Lift",IF(BF1794&lt;=0,"Aussenlager","teilweise")))))</f>
        <v/>
      </c>
      <c r="BJ1794" s="48" t="str">
        <f aca="false">IF(A1794="","",IF(BS1794=1,"Neu; ","")&amp;IF(AND(BS1794=0,BN1794&lt;0),"negativer Bestand (Export "&amp;BN1794&amp;"); ","")&amp;IF(J1794&lt;=0,"Kein Verbrauch; ","")&amp;IF(CL1794&gt;0,"Lift "&amp;W1794&amp;" lt. Liftbericht (Fach "&amp;X1794&amp;" Stk); ",IF(BX1794=1,"Gebinde geschätzt ("&amp;T1794&amp;"); ",IF(BW1794=1,"Lose – Tablare geschätzt; ","")))&amp;IF(H1794&gt;AT1794,"Überbestand "&amp;ROUND(H1794-AT1794,0)&amp;" Stk / CHF "&amp;ROUND((H1794-AT1794)*G1794,0)&amp;"; ","")&amp;IF(AND(CE1794=1,CF1794&lt;CG1794),"MAX &lt; MB+LG; ","")&amp;IF(AND(CK1794&gt;0,CJ1794*10&gt;CK1794),"zu hoch für Tablar; ","")&amp;IF(AND(BS1794=0,OR(CE1794=1,AA1794&lt;&gt;"",U1794&lt;&gt;"",V1794&lt;&gt;"",AB1794&lt;&gt;"")),"manuell übersteuert; ","")&amp;IF(AND(BW1794=0,R1794=0),"Gebinde unbekannt / Stellmass fehlt; ","")&amp;IF(AND(BW1794=0,N(V1794)&lt;=0,N(Q1794)&lt;=0),"Menge pro Gebinde fehlt (Ist = 1 Gebinde); ","")&amp;BR1794)</f>
        <v/>
      </c>
      <c r="BK1794" s="48"/>
      <c r="BL1794" s="48"/>
      <c r="BM1794" s="55"/>
      <c r="BN1794" s="50" t="n">
        <f aca="false">N('Neue Artikel'!$D$55)</f>
        <v>0</v>
      </c>
      <c r="BO1794" s="50" t="n">
        <v>0</v>
      </c>
      <c r="BP1794" s="49" t="n">
        <v>0</v>
      </c>
      <c r="BQ1794" s="50" t="n">
        <f aca="false">N('Neue Artikel'!$C$55)/Parameter!$B$18</f>
        <v>0</v>
      </c>
      <c r="BR1794" s="48"/>
      <c r="BS1794" s="53" t="n">
        <v>1</v>
      </c>
      <c r="BT1794" s="53" t="n">
        <v>1794</v>
      </c>
      <c r="BU1794" s="48" t="str">
        <f aca="false">IF(U1794&lt;&gt;"",UPPER(TRIM(U1794)),IF(BX1794=1,UPPER(VLOOKUP(T1794,Parameter!$I$27:$K$29,2,0)),IF(P1794="","LOSE",P1794)))</f>
        <v>LOSE</v>
      </c>
      <c r="BV1794" s="50" t="n">
        <f aca="false">IF(BU1794="LOSE",1,IF(N(V1794)&gt;0,V1794,IF(BX1794=1,MAX(1,N(VLOOKUP(T1794,Parameter!$I$27:$K$29,3,0)),H1794,N(N1794)),IF(N(Q1794)&gt;0,Q1794,MAX(1,H1794)))))</f>
        <v>1</v>
      </c>
      <c r="BW1794" s="53" t="n">
        <f aca="false">IF(BU1794="LOSE",1,0)</f>
        <v>1</v>
      </c>
      <c r="BX1794" s="53" t="n">
        <f aca="false">IF(AND(U1794="",OR(P1794="",P1794="LOSE"),T1794&lt;&gt;"",N(S1794)&lt;=0,ISNUMBER(MATCH(T1794,Parameter!$I$27:$I$29,0))),1,0)</f>
        <v>0</v>
      </c>
      <c r="BY1794" s="53" t="n">
        <f aca="false">IF(CL1794&gt;0,INDEX(Parameter!$H$5:$H$7,W1794)/INDEX(Parameter!$E$5:$E$7,W1794),IF(AND(BW1794=0,N(IFERROR(VLOOKUP(BU1794,'Gebinde-Kategorie'!$A$5:$N$45,14,0),0))&gt;0),VLOOKUP(BU1794,'Gebinde-Kategorie'!$A$5:$N$45,14,0)*10+Parameter!$M$23,Parameter!$M$24))</f>
        <v>235</v>
      </c>
      <c r="BZ1794" s="48" t="str">
        <f aca="false">IF(AND(Parameter!$B$19="Ja",E1794&lt;&gt;"",ISNUMBER(MATCH(E1794,Parameter!$I$35:$I$52,0))),VLOOKUP(E1794,Parameter!$I$35:$J$52,2,0),IFERROR(VLOOKUP(D1794,Parameter!$A$35:$C$64,2,0),"Nein"))</f>
        <v>2+3</v>
      </c>
      <c r="CA1794" s="52" t="n">
        <f aca="false">IF(BW1794=0,0,IF(N(S1794)&gt;0,S1794,IFERROR(VLOOKUP(D1794,Parameter!$A$35:$C$64,3,0)+0,0)))</f>
        <v>0.15</v>
      </c>
      <c r="CB1794" s="48" t="str">
        <f aca="false">IF(AA1794&lt;&gt;"",AA1794,Z1794)</f>
        <v/>
      </c>
      <c r="CC1794" s="48" t="str">
        <f aca="false">IF(OR(CB1794=1,CB1794=2,CB1794=3),IF(Parameter!$E$27="Ja","LIFT",IF(CB1794=1,"L1","L23")),IF(CB1794="Aussen","Aussen","-"))</f>
        <v>-</v>
      </c>
      <c r="CD1794" s="59" t="n">
        <f aca="false">IF(N(AB1794)&gt;0,AB1794,0)</f>
        <v>0</v>
      </c>
      <c r="CE1794" s="53" t="n">
        <f aca="false">IF(ISNUMBER(AE1794),1,0)</f>
        <v>0</v>
      </c>
      <c r="CF1794" s="50" t="n">
        <f aca="false">N(AE1794)</f>
        <v>0</v>
      </c>
      <c r="CG1794" s="50" t="n">
        <f aca="false">N(M1794)+N(N1794)</f>
        <v>0</v>
      </c>
      <c r="CH1794" s="50" t="n">
        <f aca="false">ROUNDUP(H1794/BV1794,0)</f>
        <v>0</v>
      </c>
      <c r="CI1794" s="50" t="n">
        <f aca="false">ROUNDUP(CF1794/BV1794,0)</f>
        <v>0</v>
      </c>
      <c r="CJ1794" s="53" t="n">
        <f aca="false">IF(BW1794=1,0,IFERROR(VLOOKUP(BU1794,'Gebinde-Kategorie'!$A$5:$N$45,5,0)+0,0))</f>
        <v>0</v>
      </c>
      <c r="CK1794" s="53" t="n">
        <f aca="false">IFERROR(IF(OR(CB1794=1,CB1794=2,CB1794=3),N(INDEX(Parameter!$I$5:$I$7,CB1794)),0),0)</f>
        <v>0</v>
      </c>
      <c r="CL1794" s="52" t="n">
        <f aca="false">IF(AND(Parameter!$B$21="Ja",ISNUMBER(W1794),N(X1794)&gt;0),IFERROR(N(INDEX(Parameter!$L$5:$L$7,W1794))*INDEX(Parameter!$E$5:$E$7,W1794)*X1794/SUMIFS($X$7:$X$1843,$W$7:$W$1843,W1794),0),0)</f>
        <v>0</v>
      </c>
    </row>
    <row r="1795" customFormat="false" ht="15" hidden="false" customHeight="false" outlineLevel="0" collapsed="false">
      <c r="A1795" s="48" t="str">
        <f aca="false">IF('Neue Artikel'!$A$56="","",'Neue Artikel'!$A$56&amp;"")</f>
        <v/>
      </c>
      <c r="B1795" s="48" t="str">
        <f aca="false">'Neue Artikel'!$B$56&amp;""</f>
        <v/>
      </c>
      <c r="C1795" s="48"/>
      <c r="D1795" s="48" t="s">
        <v>3019</v>
      </c>
      <c r="E1795" s="48"/>
      <c r="F1795" s="48"/>
      <c r="G1795" s="49" t="n">
        <f aca="false">N('Neue Artikel'!$G$56)</f>
        <v>0</v>
      </c>
      <c r="H1795" s="50" t="n">
        <f aca="false">MAX(0,IF(AND(Parameter!$B$21="Ja",ISNUMBER(Y1795)),Y1795,IF(Parameter!$B$20="Jahresanfang 2025 + Export",BO1795+BN1795,BN1795)))</f>
        <v>0</v>
      </c>
      <c r="I1795" s="50" t="n">
        <f aca="false">H1795*G1795</f>
        <v>0</v>
      </c>
      <c r="J1795" s="50" t="n">
        <f aca="false">BQ1795*Parameter!$B$18</f>
        <v>0</v>
      </c>
      <c r="K1795" s="51"/>
      <c r="L1795" s="52"/>
      <c r="M1795" s="50" t="n">
        <f aca="false">N('Neue Artikel'!$E$56)</f>
        <v>0</v>
      </c>
      <c r="N1795" s="50" t="n">
        <f aca="false">N('Neue Artikel'!$F$56)</f>
        <v>0</v>
      </c>
      <c r="O1795" s="53"/>
      <c r="P1795" s="48" t="str">
        <f aca="false">IF('Neue Artikel'!$H$56="","LOSE",UPPER(TRIM('Neue Artikel'!$H$56)))</f>
        <v>LOSE</v>
      </c>
      <c r="Q1795" s="50" t="n">
        <f aca="false">N('Neue Artikel'!$I$56)</f>
        <v>0</v>
      </c>
      <c r="R1795" s="53" t="n">
        <f aca="false">IF(BW1795=1,0,IFERROR(VLOOKUP(BU1795,'Gebinde-Kategorie'!$A$5:$N$45,13,0)+0,0))</f>
        <v>0</v>
      </c>
      <c r="S1795" s="54"/>
      <c r="T1795" s="55"/>
      <c r="U1795" s="55"/>
      <c r="V1795" s="55"/>
      <c r="W1795" s="48"/>
      <c r="X1795" s="50"/>
      <c r="Y1795" s="50"/>
      <c r="Z1795" s="48" t="str">
        <f aca="false">IF(A1795="","",IF(AND(Parameter!$B$21="Ja",ISNUMBER(W1795)),W1795,IF(BZ1795="2+3",IF(ISNUMBER(SEARCH("grosser Artikel",BR1795)),2,IFERROR(VLOOKUP(BU1795,Parameter!$F$35:$G$64,2,0),2)),IF(OR(BZ1795="Nein",BZ1795=""),"-",BZ1795))))</f>
        <v/>
      </c>
      <c r="AA1795" s="48" t="str">
        <f aca="false">IF('Neue Artikel'!$J$56="","",'Neue Artikel'!$J$56)</f>
        <v/>
      </c>
      <c r="AB1795" s="56"/>
      <c r="AC1795" s="50" t="n">
        <f aca="false">AT1795</f>
        <v>0</v>
      </c>
      <c r="AD1795" s="50" t="n">
        <f aca="false">MAX(AT1795,H1795)</f>
        <v>0</v>
      </c>
      <c r="AE1795" s="57"/>
      <c r="AF1795" s="50" t="n">
        <f aca="false">IF(LEFT(Cockpit!$C$5,1)="A",H1795,IF(CE1795=1,CF1795,IF(LEFT(Cockpit!$C$5,1)="B",AK1795,MAX(AK1795,H1795))))</f>
        <v>0</v>
      </c>
      <c r="AG1795" s="50" t="n">
        <f aca="false">IF(BW1795=1,0,ROUNDUP(AF1795/BV1795,0))</f>
        <v>0</v>
      </c>
      <c r="AH1795" s="52" t="n">
        <f aca="false">IF(CL1795&gt;0,CL1795*MAX(1,AF1795/X1795),IF(BW1795=1,IF(AF1795&lt;=0,0,CA1795*MAX(1,IF(H1795&gt;0,AF1795/H1795,1))),IF(R1795&gt;0,AG1795/R1795,0))/MAX(0.1,N(Parameter!$M$21)))</f>
        <v>0</v>
      </c>
      <c r="AI1795" s="50" t="n">
        <f aca="false">AH1795*BY1795</f>
        <v>0</v>
      </c>
      <c r="AJ1795" s="50" t="n">
        <f aca="false">AF1795*G1795</f>
        <v>0</v>
      </c>
      <c r="AK1795" s="50" t="n">
        <f aca="false">ROUNDUP(MAX(J1795/IF(CD1795&gt;0,CD1795,MAX(0.1,N(Cockpit!$C$6))),CG1795)/BV1795,0)*BV1795</f>
        <v>0</v>
      </c>
      <c r="AL1795" s="51" t="n">
        <f aca="false">IF(AI1795&gt;0,J1795/AI1795,-1)</f>
        <v>-1</v>
      </c>
      <c r="AM1795" s="51" t="str">
        <f aca="false">IF(AND(OR(CC1795="L1",CC1795="L23",CC1795="LIFT"),AI1795&gt;0),SUMIFS($AI$7:$AI$1843,$CC$7:$CC$1843,CC1795,$AL$7:$AL$1843,"&gt;"&amp;AL1795)+SUMIFS($AI$7:$AI$1843,$CC$7:$CC$1843,CC1795,$AL$7:$AL$1843,AL1795,$BT$7:$BT$1843,"&lt;="&amp;BT1795),"")</f>
        <v/>
      </c>
      <c r="AN1795" s="58" t="n">
        <f aca="false">IF(AM1795="",0,MAX(0,MIN(1,(IF(CC1795="L1",Parameter!$H$5,IF(CC1795="L23",Parameter!$H$6+Parameter!$H$7,Parameter!$H$5+Parameter!$H$6+Parameter!$H$7))-(AM1795-AI1795))/AI1795)))</f>
        <v>0</v>
      </c>
      <c r="AO1795" s="50" t="n">
        <f aca="false">IF(LEFT(Cockpit!$I$5,1)="A",H1795,IF(CE1795=1,CF1795,IF(LEFT(Cockpit!$I$5,1)="B",AT1795,MAX(AT1795,H1795))))</f>
        <v>0</v>
      </c>
      <c r="AP1795" s="50" t="n">
        <f aca="false">IF(BW1795=1,0,ROUNDUP(AO1795/BV1795,0))</f>
        <v>0</v>
      </c>
      <c r="AQ1795" s="52" t="n">
        <f aca="false">IF(CL1795&gt;0,CL1795*MAX(1,AO1795/X1795),IF(BW1795=1,IF(AO1795&lt;=0,0,CA1795*MAX(1,IF(H1795&gt;0,AO1795/H1795,1))),IF(R1795&gt;0,AP1795/R1795,0))/MAX(0.1,N(Parameter!$M$21)))</f>
        <v>0</v>
      </c>
      <c r="AR1795" s="50" t="n">
        <f aca="false">AQ1795*BY1795</f>
        <v>0</v>
      </c>
      <c r="AS1795" s="50" t="n">
        <f aca="false">AO1795*G1795</f>
        <v>0</v>
      </c>
      <c r="AT1795" s="50" t="n">
        <f aca="false">ROUNDUP(MAX(J1795/IF(CD1795&gt;0,CD1795,MAX(0.1,N(Cockpit!$I$6))),CG1795)/BV1795,0)*BV1795</f>
        <v>0</v>
      </c>
      <c r="AU1795" s="51" t="n">
        <f aca="false">IF(AR1795&gt;0,J1795/AR1795,-1)</f>
        <v>-1</v>
      </c>
      <c r="AV1795" s="51" t="str">
        <f aca="false">IF(AND(OR(CC1795="L1",CC1795="L23",CC1795="LIFT"),AR1795&gt;0),SUMIFS($AR$7:$AR$1843,$CC$7:$CC$1843,CC1795,$AU$7:$AU$1843,"&gt;"&amp;AU1795)+SUMIFS($AR$7:$AR$1843,$CC$7:$CC$1843,CC1795,$AU$7:$AU$1843,AU1795,$BT$7:$BT$1843,"&lt;="&amp;BT1795),"")</f>
        <v/>
      </c>
      <c r="AW1795" s="58" t="n">
        <f aca="false">IF(AV1795="",0,MAX(0,MIN(1,(IF(CC1795="L1",Parameter!$H$5,IF(CC1795="L23",Parameter!$H$6+Parameter!$H$7,Parameter!$H$5+Parameter!$H$6+Parameter!$H$7))-(AV1795-AR1795))/AR1795)))</f>
        <v>0</v>
      </c>
      <c r="AX1795" s="50" t="n">
        <f aca="false">IF(LEFT(Cockpit!$O$5,1)="A",H1795,IF(CE1795=1,CF1795,IF(LEFT(Cockpit!$O$5,1)="B",BC1795,MAX(BC1795,H1795))))</f>
        <v>0</v>
      </c>
      <c r="AY1795" s="50" t="n">
        <f aca="false">IF(BW1795=1,0,ROUNDUP(AX1795/BV1795,0))</f>
        <v>0</v>
      </c>
      <c r="AZ1795" s="52" t="n">
        <f aca="false">IF(CL1795&gt;0,CL1795*MAX(1,AX1795/X1795),IF(BW1795=1,IF(AX1795&lt;=0,0,CA1795*MAX(1,IF(H1795&gt;0,AX1795/H1795,1))),IF(R1795&gt;0,AY1795/R1795,0))/MAX(0.1,N(Parameter!$M$21)))</f>
        <v>0</v>
      </c>
      <c r="BA1795" s="50" t="n">
        <f aca="false">AZ1795*BY1795</f>
        <v>0</v>
      </c>
      <c r="BB1795" s="50" t="n">
        <f aca="false">AX1795*G1795</f>
        <v>0</v>
      </c>
      <c r="BC1795" s="50" t="n">
        <f aca="false">ROUNDUP(MAX(J1795/IF(CD1795&gt;0,CD1795,MAX(0.1,N(Cockpit!$O$6))),CG1795)/BV1795,0)*BV1795</f>
        <v>0</v>
      </c>
      <c r="BD1795" s="51" t="n">
        <f aca="false">IF(BA1795&gt;0,J1795/BA1795,-1)</f>
        <v>-1</v>
      </c>
      <c r="BE1795" s="51" t="str">
        <f aca="false">IF(AND(OR(CC1795="L1",CC1795="L23",CC1795="LIFT"),BA1795&gt;0),SUMIFS($BA$7:$BA$1843,$CC$7:$CC$1843,CC1795,$BD$7:$BD$1843,"&gt;"&amp;BD1795)+SUMIFS($BA$7:$BA$1843,$CC$7:$CC$1843,CC1795,$BD$7:$BD$1843,BD1795,$BT$7:$BT$1843,"&lt;="&amp;BT1795),"")</f>
        <v/>
      </c>
      <c r="BF1795" s="58" t="n">
        <f aca="false">IF(BE1795="",0,MAX(0,MIN(1,(IF(CC1795="L1",Parameter!$H$5,IF(CC1795="L23",Parameter!$H$6+Parameter!$H$7,Parameter!$H$5+Parameter!$H$6+Parameter!$H$7))-(BE1795-BA1795))/BA1795)))</f>
        <v>0</v>
      </c>
      <c r="BG1795" s="48" t="str">
        <f aca="false">IF(AI1795&lt;=0,"",IF(CC1795="Aussen","Aussenlager",IF(CC1795="-","Nicht im Lift",IF(AN1795&gt;=1,"Lift",IF(AN1795&lt;=0,"Aussenlager","teilweise")))))</f>
        <v/>
      </c>
      <c r="BH1795" s="48" t="str">
        <f aca="false">IF(AR1795&lt;=0,"",IF(CC1795="Aussen","Aussenlager",IF(CC1795="-","Nicht im Lift",IF(AW1795&gt;=1,"Lift",IF(AW1795&lt;=0,"Aussenlager","teilweise")))))</f>
        <v/>
      </c>
      <c r="BI1795" s="48" t="str">
        <f aca="false">IF(BA1795&lt;=0,"",IF(CC1795="Aussen","Aussenlager",IF(CC1795="-","Nicht im Lift",IF(BF1795&gt;=1,"Lift",IF(BF1795&lt;=0,"Aussenlager","teilweise")))))</f>
        <v/>
      </c>
      <c r="BJ1795" s="48" t="str">
        <f aca="false">IF(A1795="","",IF(BS1795=1,"Neu; ","")&amp;IF(AND(BS1795=0,BN1795&lt;0),"negativer Bestand (Export "&amp;BN1795&amp;"); ","")&amp;IF(J1795&lt;=0,"Kein Verbrauch; ","")&amp;IF(CL1795&gt;0,"Lift "&amp;W1795&amp;" lt. Liftbericht (Fach "&amp;X1795&amp;" Stk); ",IF(BX1795=1,"Gebinde geschätzt ("&amp;T1795&amp;"); ",IF(BW1795=1,"Lose – Tablare geschätzt; ","")))&amp;IF(H1795&gt;AT1795,"Überbestand "&amp;ROUND(H1795-AT1795,0)&amp;" Stk / CHF "&amp;ROUND((H1795-AT1795)*G1795,0)&amp;"; ","")&amp;IF(AND(CE1795=1,CF1795&lt;CG1795),"MAX &lt; MB+LG; ","")&amp;IF(AND(CK1795&gt;0,CJ1795*10&gt;CK1795),"zu hoch für Tablar; ","")&amp;IF(AND(BS1795=0,OR(CE1795=1,AA1795&lt;&gt;"",U1795&lt;&gt;"",V1795&lt;&gt;"",AB1795&lt;&gt;"")),"manuell übersteuert; ","")&amp;IF(AND(BW1795=0,R1795=0),"Gebinde unbekannt / Stellmass fehlt; ","")&amp;IF(AND(BW1795=0,N(V1795)&lt;=0,N(Q1795)&lt;=0),"Menge pro Gebinde fehlt (Ist = 1 Gebinde); ","")&amp;BR1795)</f>
        <v/>
      </c>
      <c r="BK1795" s="48"/>
      <c r="BL1795" s="48"/>
      <c r="BM1795" s="55"/>
      <c r="BN1795" s="50" t="n">
        <f aca="false">N('Neue Artikel'!$D$56)</f>
        <v>0</v>
      </c>
      <c r="BO1795" s="50" t="n">
        <v>0</v>
      </c>
      <c r="BP1795" s="49" t="n">
        <v>0</v>
      </c>
      <c r="BQ1795" s="50" t="n">
        <f aca="false">N('Neue Artikel'!$C$56)/Parameter!$B$18</f>
        <v>0</v>
      </c>
      <c r="BR1795" s="48"/>
      <c r="BS1795" s="53" t="n">
        <v>1</v>
      </c>
      <c r="BT1795" s="53" t="n">
        <v>1795</v>
      </c>
      <c r="BU1795" s="48" t="str">
        <f aca="false">IF(U1795&lt;&gt;"",UPPER(TRIM(U1795)),IF(BX1795=1,UPPER(VLOOKUP(T1795,Parameter!$I$27:$K$29,2,0)),IF(P1795="","LOSE",P1795)))</f>
        <v>LOSE</v>
      </c>
      <c r="BV1795" s="50" t="n">
        <f aca="false">IF(BU1795="LOSE",1,IF(N(V1795)&gt;0,V1795,IF(BX1795=1,MAX(1,N(VLOOKUP(T1795,Parameter!$I$27:$K$29,3,0)),H1795,N(N1795)),IF(N(Q1795)&gt;0,Q1795,MAX(1,H1795)))))</f>
        <v>1</v>
      </c>
      <c r="BW1795" s="53" t="n">
        <f aca="false">IF(BU1795="LOSE",1,0)</f>
        <v>1</v>
      </c>
      <c r="BX1795" s="53" t="n">
        <f aca="false">IF(AND(U1795="",OR(P1795="",P1795="LOSE"),T1795&lt;&gt;"",N(S1795)&lt;=0,ISNUMBER(MATCH(T1795,Parameter!$I$27:$I$29,0))),1,0)</f>
        <v>0</v>
      </c>
      <c r="BY1795" s="53" t="n">
        <f aca="false">IF(CL1795&gt;0,INDEX(Parameter!$H$5:$H$7,W1795)/INDEX(Parameter!$E$5:$E$7,W1795),IF(AND(BW1795=0,N(IFERROR(VLOOKUP(BU1795,'Gebinde-Kategorie'!$A$5:$N$45,14,0),0))&gt;0),VLOOKUP(BU1795,'Gebinde-Kategorie'!$A$5:$N$45,14,0)*10+Parameter!$M$23,Parameter!$M$24))</f>
        <v>235</v>
      </c>
      <c r="BZ1795" s="48" t="str">
        <f aca="false">IF(AND(Parameter!$B$19="Ja",E1795&lt;&gt;"",ISNUMBER(MATCH(E1795,Parameter!$I$35:$I$52,0))),VLOOKUP(E1795,Parameter!$I$35:$J$52,2,0),IFERROR(VLOOKUP(D1795,Parameter!$A$35:$C$64,2,0),"Nein"))</f>
        <v>2+3</v>
      </c>
      <c r="CA1795" s="52" t="n">
        <f aca="false">IF(BW1795=0,0,IF(N(S1795)&gt;0,S1795,IFERROR(VLOOKUP(D1795,Parameter!$A$35:$C$64,3,0)+0,0)))</f>
        <v>0.15</v>
      </c>
      <c r="CB1795" s="48" t="str">
        <f aca="false">IF(AA1795&lt;&gt;"",AA1795,Z1795)</f>
        <v/>
      </c>
      <c r="CC1795" s="48" t="str">
        <f aca="false">IF(OR(CB1795=1,CB1795=2,CB1795=3),IF(Parameter!$E$27="Ja","LIFT",IF(CB1795=1,"L1","L23")),IF(CB1795="Aussen","Aussen","-"))</f>
        <v>-</v>
      </c>
      <c r="CD1795" s="59" t="n">
        <f aca="false">IF(N(AB1795)&gt;0,AB1795,0)</f>
        <v>0</v>
      </c>
      <c r="CE1795" s="53" t="n">
        <f aca="false">IF(ISNUMBER(AE1795),1,0)</f>
        <v>0</v>
      </c>
      <c r="CF1795" s="50" t="n">
        <f aca="false">N(AE1795)</f>
        <v>0</v>
      </c>
      <c r="CG1795" s="50" t="n">
        <f aca="false">N(M1795)+N(N1795)</f>
        <v>0</v>
      </c>
      <c r="CH1795" s="50" t="n">
        <f aca="false">ROUNDUP(H1795/BV1795,0)</f>
        <v>0</v>
      </c>
      <c r="CI1795" s="50" t="n">
        <f aca="false">ROUNDUP(CF1795/BV1795,0)</f>
        <v>0</v>
      </c>
      <c r="CJ1795" s="53" t="n">
        <f aca="false">IF(BW1795=1,0,IFERROR(VLOOKUP(BU1795,'Gebinde-Kategorie'!$A$5:$N$45,5,0)+0,0))</f>
        <v>0</v>
      </c>
      <c r="CK1795" s="53" t="n">
        <f aca="false">IFERROR(IF(OR(CB1795=1,CB1795=2,CB1795=3),N(INDEX(Parameter!$I$5:$I$7,CB1795)),0),0)</f>
        <v>0</v>
      </c>
      <c r="CL1795" s="52" t="n">
        <f aca="false">IF(AND(Parameter!$B$21="Ja",ISNUMBER(W1795),N(X1795)&gt;0),IFERROR(N(INDEX(Parameter!$L$5:$L$7,W1795))*INDEX(Parameter!$E$5:$E$7,W1795)*X1795/SUMIFS($X$7:$X$1843,$W$7:$W$1843,W1795),0),0)</f>
        <v>0</v>
      </c>
    </row>
    <row r="1796" customFormat="false" ht="15" hidden="false" customHeight="false" outlineLevel="0" collapsed="false">
      <c r="A1796" s="48" t="str">
        <f aca="false">IF('Neue Artikel'!$A$57="","",'Neue Artikel'!$A$57&amp;"")</f>
        <v/>
      </c>
      <c r="B1796" s="48" t="str">
        <f aca="false">'Neue Artikel'!$B$57&amp;""</f>
        <v/>
      </c>
      <c r="C1796" s="48"/>
      <c r="D1796" s="48" t="s">
        <v>3019</v>
      </c>
      <c r="E1796" s="48"/>
      <c r="F1796" s="48"/>
      <c r="G1796" s="49" t="n">
        <f aca="false">N('Neue Artikel'!$G$57)</f>
        <v>0</v>
      </c>
      <c r="H1796" s="50" t="n">
        <f aca="false">MAX(0,IF(AND(Parameter!$B$21="Ja",ISNUMBER(Y1796)),Y1796,IF(Parameter!$B$20="Jahresanfang 2025 + Export",BO1796+BN1796,BN1796)))</f>
        <v>0</v>
      </c>
      <c r="I1796" s="50" t="n">
        <f aca="false">H1796*G1796</f>
        <v>0</v>
      </c>
      <c r="J1796" s="50" t="n">
        <f aca="false">BQ1796*Parameter!$B$18</f>
        <v>0</v>
      </c>
      <c r="K1796" s="51"/>
      <c r="L1796" s="52"/>
      <c r="M1796" s="50" t="n">
        <f aca="false">N('Neue Artikel'!$E$57)</f>
        <v>0</v>
      </c>
      <c r="N1796" s="50" t="n">
        <f aca="false">N('Neue Artikel'!$F$57)</f>
        <v>0</v>
      </c>
      <c r="O1796" s="53"/>
      <c r="P1796" s="48" t="str">
        <f aca="false">IF('Neue Artikel'!$H$57="","LOSE",UPPER(TRIM('Neue Artikel'!$H$57)))</f>
        <v>LOSE</v>
      </c>
      <c r="Q1796" s="50" t="n">
        <f aca="false">N('Neue Artikel'!$I$57)</f>
        <v>0</v>
      </c>
      <c r="R1796" s="53" t="n">
        <f aca="false">IF(BW1796=1,0,IFERROR(VLOOKUP(BU1796,'Gebinde-Kategorie'!$A$5:$N$45,13,0)+0,0))</f>
        <v>0</v>
      </c>
      <c r="S1796" s="54"/>
      <c r="T1796" s="55"/>
      <c r="U1796" s="55"/>
      <c r="V1796" s="55"/>
      <c r="W1796" s="48"/>
      <c r="X1796" s="50"/>
      <c r="Y1796" s="50"/>
      <c r="Z1796" s="48" t="str">
        <f aca="false">IF(A1796="","",IF(AND(Parameter!$B$21="Ja",ISNUMBER(W1796)),W1796,IF(BZ1796="2+3",IF(ISNUMBER(SEARCH("grosser Artikel",BR1796)),2,IFERROR(VLOOKUP(BU1796,Parameter!$F$35:$G$64,2,0),2)),IF(OR(BZ1796="Nein",BZ1796=""),"-",BZ1796))))</f>
        <v/>
      </c>
      <c r="AA1796" s="48" t="str">
        <f aca="false">IF('Neue Artikel'!$J$57="","",'Neue Artikel'!$J$57)</f>
        <v/>
      </c>
      <c r="AB1796" s="56"/>
      <c r="AC1796" s="50" t="n">
        <f aca="false">AT1796</f>
        <v>0</v>
      </c>
      <c r="AD1796" s="50" t="n">
        <f aca="false">MAX(AT1796,H1796)</f>
        <v>0</v>
      </c>
      <c r="AE1796" s="57"/>
      <c r="AF1796" s="50" t="n">
        <f aca="false">IF(LEFT(Cockpit!$C$5,1)="A",H1796,IF(CE1796=1,CF1796,IF(LEFT(Cockpit!$C$5,1)="B",AK1796,MAX(AK1796,H1796))))</f>
        <v>0</v>
      </c>
      <c r="AG1796" s="50" t="n">
        <f aca="false">IF(BW1796=1,0,ROUNDUP(AF1796/BV1796,0))</f>
        <v>0</v>
      </c>
      <c r="AH1796" s="52" t="n">
        <f aca="false">IF(CL1796&gt;0,CL1796*MAX(1,AF1796/X1796),IF(BW1796=1,IF(AF1796&lt;=0,0,CA1796*MAX(1,IF(H1796&gt;0,AF1796/H1796,1))),IF(R1796&gt;0,AG1796/R1796,0))/MAX(0.1,N(Parameter!$M$21)))</f>
        <v>0</v>
      </c>
      <c r="AI1796" s="50" t="n">
        <f aca="false">AH1796*BY1796</f>
        <v>0</v>
      </c>
      <c r="AJ1796" s="50" t="n">
        <f aca="false">AF1796*G1796</f>
        <v>0</v>
      </c>
      <c r="AK1796" s="50" t="n">
        <f aca="false">ROUNDUP(MAX(J1796/IF(CD1796&gt;0,CD1796,MAX(0.1,N(Cockpit!$C$6))),CG1796)/BV1796,0)*BV1796</f>
        <v>0</v>
      </c>
      <c r="AL1796" s="51" t="n">
        <f aca="false">IF(AI1796&gt;0,J1796/AI1796,-1)</f>
        <v>-1</v>
      </c>
      <c r="AM1796" s="51" t="str">
        <f aca="false">IF(AND(OR(CC1796="L1",CC1796="L23",CC1796="LIFT"),AI1796&gt;0),SUMIFS($AI$7:$AI$1843,$CC$7:$CC$1843,CC1796,$AL$7:$AL$1843,"&gt;"&amp;AL1796)+SUMIFS($AI$7:$AI$1843,$CC$7:$CC$1843,CC1796,$AL$7:$AL$1843,AL1796,$BT$7:$BT$1843,"&lt;="&amp;BT1796),"")</f>
        <v/>
      </c>
      <c r="AN1796" s="58" t="n">
        <f aca="false">IF(AM1796="",0,MAX(0,MIN(1,(IF(CC1796="L1",Parameter!$H$5,IF(CC1796="L23",Parameter!$H$6+Parameter!$H$7,Parameter!$H$5+Parameter!$H$6+Parameter!$H$7))-(AM1796-AI1796))/AI1796)))</f>
        <v>0</v>
      </c>
      <c r="AO1796" s="50" t="n">
        <f aca="false">IF(LEFT(Cockpit!$I$5,1)="A",H1796,IF(CE1796=1,CF1796,IF(LEFT(Cockpit!$I$5,1)="B",AT1796,MAX(AT1796,H1796))))</f>
        <v>0</v>
      </c>
      <c r="AP1796" s="50" t="n">
        <f aca="false">IF(BW1796=1,0,ROUNDUP(AO1796/BV1796,0))</f>
        <v>0</v>
      </c>
      <c r="AQ1796" s="52" t="n">
        <f aca="false">IF(CL1796&gt;0,CL1796*MAX(1,AO1796/X1796),IF(BW1796=1,IF(AO1796&lt;=0,0,CA1796*MAX(1,IF(H1796&gt;0,AO1796/H1796,1))),IF(R1796&gt;0,AP1796/R1796,0))/MAX(0.1,N(Parameter!$M$21)))</f>
        <v>0</v>
      </c>
      <c r="AR1796" s="50" t="n">
        <f aca="false">AQ1796*BY1796</f>
        <v>0</v>
      </c>
      <c r="AS1796" s="50" t="n">
        <f aca="false">AO1796*G1796</f>
        <v>0</v>
      </c>
      <c r="AT1796" s="50" t="n">
        <f aca="false">ROUNDUP(MAX(J1796/IF(CD1796&gt;0,CD1796,MAX(0.1,N(Cockpit!$I$6))),CG1796)/BV1796,0)*BV1796</f>
        <v>0</v>
      </c>
      <c r="AU1796" s="51" t="n">
        <f aca="false">IF(AR1796&gt;0,J1796/AR1796,-1)</f>
        <v>-1</v>
      </c>
      <c r="AV1796" s="51" t="str">
        <f aca="false">IF(AND(OR(CC1796="L1",CC1796="L23",CC1796="LIFT"),AR1796&gt;0),SUMIFS($AR$7:$AR$1843,$CC$7:$CC$1843,CC1796,$AU$7:$AU$1843,"&gt;"&amp;AU1796)+SUMIFS($AR$7:$AR$1843,$CC$7:$CC$1843,CC1796,$AU$7:$AU$1843,AU1796,$BT$7:$BT$1843,"&lt;="&amp;BT1796),"")</f>
        <v/>
      </c>
      <c r="AW1796" s="58" t="n">
        <f aca="false">IF(AV1796="",0,MAX(0,MIN(1,(IF(CC1796="L1",Parameter!$H$5,IF(CC1796="L23",Parameter!$H$6+Parameter!$H$7,Parameter!$H$5+Parameter!$H$6+Parameter!$H$7))-(AV1796-AR1796))/AR1796)))</f>
        <v>0</v>
      </c>
      <c r="AX1796" s="50" t="n">
        <f aca="false">IF(LEFT(Cockpit!$O$5,1)="A",H1796,IF(CE1796=1,CF1796,IF(LEFT(Cockpit!$O$5,1)="B",BC1796,MAX(BC1796,H1796))))</f>
        <v>0</v>
      </c>
      <c r="AY1796" s="50" t="n">
        <f aca="false">IF(BW1796=1,0,ROUNDUP(AX1796/BV1796,0))</f>
        <v>0</v>
      </c>
      <c r="AZ1796" s="52" t="n">
        <f aca="false">IF(CL1796&gt;0,CL1796*MAX(1,AX1796/X1796),IF(BW1796=1,IF(AX1796&lt;=0,0,CA1796*MAX(1,IF(H1796&gt;0,AX1796/H1796,1))),IF(R1796&gt;0,AY1796/R1796,0))/MAX(0.1,N(Parameter!$M$21)))</f>
        <v>0</v>
      </c>
      <c r="BA1796" s="50" t="n">
        <f aca="false">AZ1796*BY1796</f>
        <v>0</v>
      </c>
      <c r="BB1796" s="50" t="n">
        <f aca="false">AX1796*G1796</f>
        <v>0</v>
      </c>
      <c r="BC1796" s="50" t="n">
        <f aca="false">ROUNDUP(MAX(J1796/IF(CD1796&gt;0,CD1796,MAX(0.1,N(Cockpit!$O$6))),CG1796)/BV1796,0)*BV1796</f>
        <v>0</v>
      </c>
      <c r="BD1796" s="51" t="n">
        <f aca="false">IF(BA1796&gt;0,J1796/BA1796,-1)</f>
        <v>-1</v>
      </c>
      <c r="BE1796" s="51" t="str">
        <f aca="false">IF(AND(OR(CC1796="L1",CC1796="L23",CC1796="LIFT"),BA1796&gt;0),SUMIFS($BA$7:$BA$1843,$CC$7:$CC$1843,CC1796,$BD$7:$BD$1843,"&gt;"&amp;BD1796)+SUMIFS($BA$7:$BA$1843,$CC$7:$CC$1843,CC1796,$BD$7:$BD$1843,BD1796,$BT$7:$BT$1843,"&lt;="&amp;BT1796),"")</f>
        <v/>
      </c>
      <c r="BF1796" s="58" t="n">
        <f aca="false">IF(BE1796="",0,MAX(0,MIN(1,(IF(CC1796="L1",Parameter!$H$5,IF(CC1796="L23",Parameter!$H$6+Parameter!$H$7,Parameter!$H$5+Parameter!$H$6+Parameter!$H$7))-(BE1796-BA1796))/BA1796)))</f>
        <v>0</v>
      </c>
      <c r="BG1796" s="48" t="str">
        <f aca="false">IF(AI1796&lt;=0,"",IF(CC1796="Aussen","Aussenlager",IF(CC1796="-","Nicht im Lift",IF(AN1796&gt;=1,"Lift",IF(AN1796&lt;=0,"Aussenlager","teilweise")))))</f>
        <v/>
      </c>
      <c r="BH1796" s="48" t="str">
        <f aca="false">IF(AR1796&lt;=0,"",IF(CC1796="Aussen","Aussenlager",IF(CC1796="-","Nicht im Lift",IF(AW1796&gt;=1,"Lift",IF(AW1796&lt;=0,"Aussenlager","teilweise")))))</f>
        <v/>
      </c>
      <c r="BI1796" s="48" t="str">
        <f aca="false">IF(BA1796&lt;=0,"",IF(CC1796="Aussen","Aussenlager",IF(CC1796="-","Nicht im Lift",IF(BF1796&gt;=1,"Lift",IF(BF1796&lt;=0,"Aussenlager","teilweise")))))</f>
        <v/>
      </c>
      <c r="BJ1796" s="48" t="str">
        <f aca="false">IF(A1796="","",IF(BS1796=1,"Neu; ","")&amp;IF(AND(BS1796=0,BN1796&lt;0),"negativer Bestand (Export "&amp;BN1796&amp;"); ","")&amp;IF(J1796&lt;=0,"Kein Verbrauch; ","")&amp;IF(CL1796&gt;0,"Lift "&amp;W1796&amp;" lt. Liftbericht (Fach "&amp;X1796&amp;" Stk); ",IF(BX1796=1,"Gebinde geschätzt ("&amp;T1796&amp;"); ",IF(BW1796=1,"Lose – Tablare geschätzt; ","")))&amp;IF(H1796&gt;AT1796,"Überbestand "&amp;ROUND(H1796-AT1796,0)&amp;" Stk / CHF "&amp;ROUND((H1796-AT1796)*G1796,0)&amp;"; ","")&amp;IF(AND(CE1796=1,CF1796&lt;CG1796),"MAX &lt; MB+LG; ","")&amp;IF(AND(CK1796&gt;0,CJ1796*10&gt;CK1796),"zu hoch für Tablar; ","")&amp;IF(AND(BS1796=0,OR(CE1796=1,AA1796&lt;&gt;"",U1796&lt;&gt;"",V1796&lt;&gt;"",AB1796&lt;&gt;"")),"manuell übersteuert; ","")&amp;IF(AND(BW1796=0,R1796=0),"Gebinde unbekannt / Stellmass fehlt; ","")&amp;IF(AND(BW1796=0,N(V1796)&lt;=0,N(Q1796)&lt;=0),"Menge pro Gebinde fehlt (Ist = 1 Gebinde); ","")&amp;BR1796)</f>
        <v/>
      </c>
      <c r="BK1796" s="48"/>
      <c r="BL1796" s="48"/>
      <c r="BM1796" s="55"/>
      <c r="BN1796" s="50" t="n">
        <f aca="false">N('Neue Artikel'!$D$57)</f>
        <v>0</v>
      </c>
      <c r="BO1796" s="50" t="n">
        <v>0</v>
      </c>
      <c r="BP1796" s="49" t="n">
        <v>0</v>
      </c>
      <c r="BQ1796" s="50" t="n">
        <f aca="false">N('Neue Artikel'!$C$57)/Parameter!$B$18</f>
        <v>0</v>
      </c>
      <c r="BR1796" s="48"/>
      <c r="BS1796" s="53" t="n">
        <v>1</v>
      </c>
      <c r="BT1796" s="53" t="n">
        <v>1796</v>
      </c>
      <c r="BU1796" s="48" t="str">
        <f aca="false">IF(U1796&lt;&gt;"",UPPER(TRIM(U1796)),IF(BX1796=1,UPPER(VLOOKUP(T1796,Parameter!$I$27:$K$29,2,0)),IF(P1796="","LOSE",P1796)))</f>
        <v>LOSE</v>
      </c>
      <c r="BV1796" s="50" t="n">
        <f aca="false">IF(BU1796="LOSE",1,IF(N(V1796)&gt;0,V1796,IF(BX1796=1,MAX(1,N(VLOOKUP(T1796,Parameter!$I$27:$K$29,3,0)),H1796,N(N1796)),IF(N(Q1796)&gt;0,Q1796,MAX(1,H1796)))))</f>
        <v>1</v>
      </c>
      <c r="BW1796" s="53" t="n">
        <f aca="false">IF(BU1796="LOSE",1,0)</f>
        <v>1</v>
      </c>
      <c r="BX1796" s="53" t="n">
        <f aca="false">IF(AND(U1796="",OR(P1796="",P1796="LOSE"),T1796&lt;&gt;"",N(S1796)&lt;=0,ISNUMBER(MATCH(T1796,Parameter!$I$27:$I$29,0))),1,0)</f>
        <v>0</v>
      </c>
      <c r="BY1796" s="53" t="n">
        <f aca="false">IF(CL1796&gt;0,INDEX(Parameter!$H$5:$H$7,W1796)/INDEX(Parameter!$E$5:$E$7,W1796),IF(AND(BW1796=0,N(IFERROR(VLOOKUP(BU1796,'Gebinde-Kategorie'!$A$5:$N$45,14,0),0))&gt;0),VLOOKUP(BU1796,'Gebinde-Kategorie'!$A$5:$N$45,14,0)*10+Parameter!$M$23,Parameter!$M$24))</f>
        <v>235</v>
      </c>
      <c r="BZ1796" s="48" t="str">
        <f aca="false">IF(AND(Parameter!$B$19="Ja",E1796&lt;&gt;"",ISNUMBER(MATCH(E1796,Parameter!$I$35:$I$52,0))),VLOOKUP(E1796,Parameter!$I$35:$J$52,2,0),IFERROR(VLOOKUP(D1796,Parameter!$A$35:$C$64,2,0),"Nein"))</f>
        <v>2+3</v>
      </c>
      <c r="CA1796" s="52" t="n">
        <f aca="false">IF(BW1796=0,0,IF(N(S1796)&gt;0,S1796,IFERROR(VLOOKUP(D1796,Parameter!$A$35:$C$64,3,0)+0,0)))</f>
        <v>0.15</v>
      </c>
      <c r="CB1796" s="48" t="str">
        <f aca="false">IF(AA1796&lt;&gt;"",AA1796,Z1796)</f>
        <v/>
      </c>
      <c r="CC1796" s="48" t="str">
        <f aca="false">IF(OR(CB1796=1,CB1796=2,CB1796=3),IF(Parameter!$E$27="Ja","LIFT",IF(CB1796=1,"L1","L23")),IF(CB1796="Aussen","Aussen","-"))</f>
        <v>-</v>
      </c>
      <c r="CD1796" s="59" t="n">
        <f aca="false">IF(N(AB1796)&gt;0,AB1796,0)</f>
        <v>0</v>
      </c>
      <c r="CE1796" s="53" t="n">
        <f aca="false">IF(ISNUMBER(AE1796),1,0)</f>
        <v>0</v>
      </c>
      <c r="CF1796" s="50" t="n">
        <f aca="false">N(AE1796)</f>
        <v>0</v>
      </c>
      <c r="CG1796" s="50" t="n">
        <f aca="false">N(M1796)+N(N1796)</f>
        <v>0</v>
      </c>
      <c r="CH1796" s="50" t="n">
        <f aca="false">ROUNDUP(H1796/BV1796,0)</f>
        <v>0</v>
      </c>
      <c r="CI1796" s="50" t="n">
        <f aca="false">ROUNDUP(CF1796/BV1796,0)</f>
        <v>0</v>
      </c>
      <c r="CJ1796" s="53" t="n">
        <f aca="false">IF(BW1796=1,0,IFERROR(VLOOKUP(BU1796,'Gebinde-Kategorie'!$A$5:$N$45,5,0)+0,0))</f>
        <v>0</v>
      </c>
      <c r="CK1796" s="53" t="n">
        <f aca="false">IFERROR(IF(OR(CB1796=1,CB1796=2,CB1796=3),N(INDEX(Parameter!$I$5:$I$7,CB1796)),0),0)</f>
        <v>0</v>
      </c>
      <c r="CL1796" s="52" t="n">
        <f aca="false">IF(AND(Parameter!$B$21="Ja",ISNUMBER(W1796),N(X1796)&gt;0),IFERROR(N(INDEX(Parameter!$L$5:$L$7,W1796))*INDEX(Parameter!$E$5:$E$7,W1796)*X1796/SUMIFS($X$7:$X$1843,$W$7:$W$1843,W1796),0),0)</f>
        <v>0</v>
      </c>
    </row>
    <row r="1797" customFormat="false" ht="15" hidden="false" customHeight="false" outlineLevel="0" collapsed="false">
      <c r="A1797" s="48" t="str">
        <f aca="false">IF('Neue Artikel'!$A$58="","",'Neue Artikel'!$A$58&amp;"")</f>
        <v/>
      </c>
      <c r="B1797" s="48" t="str">
        <f aca="false">'Neue Artikel'!$B$58&amp;""</f>
        <v/>
      </c>
      <c r="C1797" s="48"/>
      <c r="D1797" s="48" t="s">
        <v>3019</v>
      </c>
      <c r="E1797" s="48"/>
      <c r="F1797" s="48"/>
      <c r="G1797" s="49" t="n">
        <f aca="false">N('Neue Artikel'!$G$58)</f>
        <v>0</v>
      </c>
      <c r="H1797" s="50" t="n">
        <f aca="false">MAX(0,IF(AND(Parameter!$B$21="Ja",ISNUMBER(Y1797)),Y1797,IF(Parameter!$B$20="Jahresanfang 2025 + Export",BO1797+BN1797,BN1797)))</f>
        <v>0</v>
      </c>
      <c r="I1797" s="50" t="n">
        <f aca="false">H1797*G1797</f>
        <v>0</v>
      </c>
      <c r="J1797" s="50" t="n">
        <f aca="false">BQ1797*Parameter!$B$18</f>
        <v>0</v>
      </c>
      <c r="K1797" s="51"/>
      <c r="L1797" s="52"/>
      <c r="M1797" s="50" t="n">
        <f aca="false">N('Neue Artikel'!$E$58)</f>
        <v>0</v>
      </c>
      <c r="N1797" s="50" t="n">
        <f aca="false">N('Neue Artikel'!$F$58)</f>
        <v>0</v>
      </c>
      <c r="O1797" s="53"/>
      <c r="P1797" s="48" t="str">
        <f aca="false">IF('Neue Artikel'!$H$58="","LOSE",UPPER(TRIM('Neue Artikel'!$H$58)))</f>
        <v>LOSE</v>
      </c>
      <c r="Q1797" s="50" t="n">
        <f aca="false">N('Neue Artikel'!$I$58)</f>
        <v>0</v>
      </c>
      <c r="R1797" s="53" t="n">
        <f aca="false">IF(BW1797=1,0,IFERROR(VLOOKUP(BU1797,'Gebinde-Kategorie'!$A$5:$N$45,13,0)+0,0))</f>
        <v>0</v>
      </c>
      <c r="S1797" s="54"/>
      <c r="T1797" s="55"/>
      <c r="U1797" s="55"/>
      <c r="V1797" s="55"/>
      <c r="W1797" s="48"/>
      <c r="X1797" s="50"/>
      <c r="Y1797" s="50"/>
      <c r="Z1797" s="48" t="str">
        <f aca="false">IF(A1797="","",IF(AND(Parameter!$B$21="Ja",ISNUMBER(W1797)),W1797,IF(BZ1797="2+3",IF(ISNUMBER(SEARCH("grosser Artikel",BR1797)),2,IFERROR(VLOOKUP(BU1797,Parameter!$F$35:$G$64,2,0),2)),IF(OR(BZ1797="Nein",BZ1797=""),"-",BZ1797))))</f>
        <v/>
      </c>
      <c r="AA1797" s="48" t="str">
        <f aca="false">IF('Neue Artikel'!$J$58="","",'Neue Artikel'!$J$58)</f>
        <v/>
      </c>
      <c r="AB1797" s="56"/>
      <c r="AC1797" s="50" t="n">
        <f aca="false">AT1797</f>
        <v>0</v>
      </c>
      <c r="AD1797" s="50" t="n">
        <f aca="false">MAX(AT1797,H1797)</f>
        <v>0</v>
      </c>
      <c r="AE1797" s="57"/>
      <c r="AF1797" s="50" t="n">
        <f aca="false">IF(LEFT(Cockpit!$C$5,1)="A",H1797,IF(CE1797=1,CF1797,IF(LEFT(Cockpit!$C$5,1)="B",AK1797,MAX(AK1797,H1797))))</f>
        <v>0</v>
      </c>
      <c r="AG1797" s="50" t="n">
        <f aca="false">IF(BW1797=1,0,ROUNDUP(AF1797/BV1797,0))</f>
        <v>0</v>
      </c>
      <c r="AH1797" s="52" t="n">
        <f aca="false">IF(CL1797&gt;0,CL1797*MAX(1,AF1797/X1797),IF(BW1797=1,IF(AF1797&lt;=0,0,CA1797*MAX(1,IF(H1797&gt;0,AF1797/H1797,1))),IF(R1797&gt;0,AG1797/R1797,0))/MAX(0.1,N(Parameter!$M$21)))</f>
        <v>0</v>
      </c>
      <c r="AI1797" s="50" t="n">
        <f aca="false">AH1797*BY1797</f>
        <v>0</v>
      </c>
      <c r="AJ1797" s="50" t="n">
        <f aca="false">AF1797*G1797</f>
        <v>0</v>
      </c>
      <c r="AK1797" s="50" t="n">
        <f aca="false">ROUNDUP(MAX(J1797/IF(CD1797&gt;0,CD1797,MAX(0.1,N(Cockpit!$C$6))),CG1797)/BV1797,0)*BV1797</f>
        <v>0</v>
      </c>
      <c r="AL1797" s="51" t="n">
        <f aca="false">IF(AI1797&gt;0,J1797/AI1797,-1)</f>
        <v>-1</v>
      </c>
      <c r="AM1797" s="51" t="str">
        <f aca="false">IF(AND(OR(CC1797="L1",CC1797="L23",CC1797="LIFT"),AI1797&gt;0),SUMIFS($AI$7:$AI$1843,$CC$7:$CC$1843,CC1797,$AL$7:$AL$1843,"&gt;"&amp;AL1797)+SUMIFS($AI$7:$AI$1843,$CC$7:$CC$1843,CC1797,$AL$7:$AL$1843,AL1797,$BT$7:$BT$1843,"&lt;="&amp;BT1797),"")</f>
        <v/>
      </c>
      <c r="AN1797" s="58" t="n">
        <f aca="false">IF(AM1797="",0,MAX(0,MIN(1,(IF(CC1797="L1",Parameter!$H$5,IF(CC1797="L23",Parameter!$H$6+Parameter!$H$7,Parameter!$H$5+Parameter!$H$6+Parameter!$H$7))-(AM1797-AI1797))/AI1797)))</f>
        <v>0</v>
      </c>
      <c r="AO1797" s="50" t="n">
        <f aca="false">IF(LEFT(Cockpit!$I$5,1)="A",H1797,IF(CE1797=1,CF1797,IF(LEFT(Cockpit!$I$5,1)="B",AT1797,MAX(AT1797,H1797))))</f>
        <v>0</v>
      </c>
      <c r="AP1797" s="50" t="n">
        <f aca="false">IF(BW1797=1,0,ROUNDUP(AO1797/BV1797,0))</f>
        <v>0</v>
      </c>
      <c r="AQ1797" s="52" t="n">
        <f aca="false">IF(CL1797&gt;0,CL1797*MAX(1,AO1797/X1797),IF(BW1797=1,IF(AO1797&lt;=0,0,CA1797*MAX(1,IF(H1797&gt;0,AO1797/H1797,1))),IF(R1797&gt;0,AP1797/R1797,0))/MAX(0.1,N(Parameter!$M$21)))</f>
        <v>0</v>
      </c>
      <c r="AR1797" s="50" t="n">
        <f aca="false">AQ1797*BY1797</f>
        <v>0</v>
      </c>
      <c r="AS1797" s="50" t="n">
        <f aca="false">AO1797*G1797</f>
        <v>0</v>
      </c>
      <c r="AT1797" s="50" t="n">
        <f aca="false">ROUNDUP(MAX(J1797/IF(CD1797&gt;0,CD1797,MAX(0.1,N(Cockpit!$I$6))),CG1797)/BV1797,0)*BV1797</f>
        <v>0</v>
      </c>
      <c r="AU1797" s="51" t="n">
        <f aca="false">IF(AR1797&gt;0,J1797/AR1797,-1)</f>
        <v>-1</v>
      </c>
      <c r="AV1797" s="51" t="str">
        <f aca="false">IF(AND(OR(CC1797="L1",CC1797="L23",CC1797="LIFT"),AR1797&gt;0),SUMIFS($AR$7:$AR$1843,$CC$7:$CC$1843,CC1797,$AU$7:$AU$1843,"&gt;"&amp;AU1797)+SUMIFS($AR$7:$AR$1843,$CC$7:$CC$1843,CC1797,$AU$7:$AU$1843,AU1797,$BT$7:$BT$1843,"&lt;="&amp;BT1797),"")</f>
        <v/>
      </c>
      <c r="AW1797" s="58" t="n">
        <f aca="false">IF(AV1797="",0,MAX(0,MIN(1,(IF(CC1797="L1",Parameter!$H$5,IF(CC1797="L23",Parameter!$H$6+Parameter!$H$7,Parameter!$H$5+Parameter!$H$6+Parameter!$H$7))-(AV1797-AR1797))/AR1797)))</f>
        <v>0</v>
      </c>
      <c r="AX1797" s="50" t="n">
        <f aca="false">IF(LEFT(Cockpit!$O$5,1)="A",H1797,IF(CE1797=1,CF1797,IF(LEFT(Cockpit!$O$5,1)="B",BC1797,MAX(BC1797,H1797))))</f>
        <v>0</v>
      </c>
      <c r="AY1797" s="50" t="n">
        <f aca="false">IF(BW1797=1,0,ROUNDUP(AX1797/BV1797,0))</f>
        <v>0</v>
      </c>
      <c r="AZ1797" s="52" t="n">
        <f aca="false">IF(CL1797&gt;0,CL1797*MAX(1,AX1797/X1797),IF(BW1797=1,IF(AX1797&lt;=0,0,CA1797*MAX(1,IF(H1797&gt;0,AX1797/H1797,1))),IF(R1797&gt;0,AY1797/R1797,0))/MAX(0.1,N(Parameter!$M$21)))</f>
        <v>0</v>
      </c>
      <c r="BA1797" s="50" t="n">
        <f aca="false">AZ1797*BY1797</f>
        <v>0</v>
      </c>
      <c r="BB1797" s="50" t="n">
        <f aca="false">AX1797*G1797</f>
        <v>0</v>
      </c>
      <c r="BC1797" s="50" t="n">
        <f aca="false">ROUNDUP(MAX(J1797/IF(CD1797&gt;0,CD1797,MAX(0.1,N(Cockpit!$O$6))),CG1797)/BV1797,0)*BV1797</f>
        <v>0</v>
      </c>
      <c r="BD1797" s="51" t="n">
        <f aca="false">IF(BA1797&gt;0,J1797/BA1797,-1)</f>
        <v>-1</v>
      </c>
      <c r="BE1797" s="51" t="str">
        <f aca="false">IF(AND(OR(CC1797="L1",CC1797="L23",CC1797="LIFT"),BA1797&gt;0),SUMIFS($BA$7:$BA$1843,$CC$7:$CC$1843,CC1797,$BD$7:$BD$1843,"&gt;"&amp;BD1797)+SUMIFS($BA$7:$BA$1843,$CC$7:$CC$1843,CC1797,$BD$7:$BD$1843,BD1797,$BT$7:$BT$1843,"&lt;="&amp;BT1797),"")</f>
        <v/>
      </c>
      <c r="BF1797" s="58" t="n">
        <f aca="false">IF(BE1797="",0,MAX(0,MIN(1,(IF(CC1797="L1",Parameter!$H$5,IF(CC1797="L23",Parameter!$H$6+Parameter!$H$7,Parameter!$H$5+Parameter!$H$6+Parameter!$H$7))-(BE1797-BA1797))/BA1797)))</f>
        <v>0</v>
      </c>
      <c r="BG1797" s="48" t="str">
        <f aca="false">IF(AI1797&lt;=0,"",IF(CC1797="Aussen","Aussenlager",IF(CC1797="-","Nicht im Lift",IF(AN1797&gt;=1,"Lift",IF(AN1797&lt;=0,"Aussenlager","teilweise")))))</f>
        <v/>
      </c>
      <c r="BH1797" s="48" t="str">
        <f aca="false">IF(AR1797&lt;=0,"",IF(CC1797="Aussen","Aussenlager",IF(CC1797="-","Nicht im Lift",IF(AW1797&gt;=1,"Lift",IF(AW1797&lt;=0,"Aussenlager","teilweise")))))</f>
        <v/>
      </c>
      <c r="BI1797" s="48" t="str">
        <f aca="false">IF(BA1797&lt;=0,"",IF(CC1797="Aussen","Aussenlager",IF(CC1797="-","Nicht im Lift",IF(BF1797&gt;=1,"Lift",IF(BF1797&lt;=0,"Aussenlager","teilweise")))))</f>
        <v/>
      </c>
      <c r="BJ1797" s="48" t="str">
        <f aca="false">IF(A1797="","",IF(BS1797=1,"Neu; ","")&amp;IF(AND(BS1797=0,BN1797&lt;0),"negativer Bestand (Export "&amp;BN1797&amp;"); ","")&amp;IF(J1797&lt;=0,"Kein Verbrauch; ","")&amp;IF(CL1797&gt;0,"Lift "&amp;W1797&amp;" lt. Liftbericht (Fach "&amp;X1797&amp;" Stk); ",IF(BX1797=1,"Gebinde geschätzt ("&amp;T1797&amp;"); ",IF(BW1797=1,"Lose – Tablare geschätzt; ","")))&amp;IF(H1797&gt;AT1797,"Überbestand "&amp;ROUND(H1797-AT1797,0)&amp;" Stk / CHF "&amp;ROUND((H1797-AT1797)*G1797,0)&amp;"; ","")&amp;IF(AND(CE1797=1,CF1797&lt;CG1797),"MAX &lt; MB+LG; ","")&amp;IF(AND(CK1797&gt;0,CJ1797*10&gt;CK1797),"zu hoch für Tablar; ","")&amp;IF(AND(BS1797=0,OR(CE1797=1,AA1797&lt;&gt;"",U1797&lt;&gt;"",V1797&lt;&gt;"",AB1797&lt;&gt;"")),"manuell übersteuert; ","")&amp;IF(AND(BW1797=0,R1797=0),"Gebinde unbekannt / Stellmass fehlt; ","")&amp;IF(AND(BW1797=0,N(V1797)&lt;=0,N(Q1797)&lt;=0),"Menge pro Gebinde fehlt (Ist = 1 Gebinde); ","")&amp;BR1797)</f>
        <v/>
      </c>
      <c r="BK1797" s="48"/>
      <c r="BL1797" s="48"/>
      <c r="BM1797" s="55"/>
      <c r="BN1797" s="50" t="n">
        <f aca="false">N('Neue Artikel'!$D$58)</f>
        <v>0</v>
      </c>
      <c r="BO1797" s="50" t="n">
        <v>0</v>
      </c>
      <c r="BP1797" s="49" t="n">
        <v>0</v>
      </c>
      <c r="BQ1797" s="50" t="n">
        <f aca="false">N('Neue Artikel'!$C$58)/Parameter!$B$18</f>
        <v>0</v>
      </c>
      <c r="BR1797" s="48"/>
      <c r="BS1797" s="53" t="n">
        <v>1</v>
      </c>
      <c r="BT1797" s="53" t="n">
        <v>1797</v>
      </c>
      <c r="BU1797" s="48" t="str">
        <f aca="false">IF(U1797&lt;&gt;"",UPPER(TRIM(U1797)),IF(BX1797=1,UPPER(VLOOKUP(T1797,Parameter!$I$27:$K$29,2,0)),IF(P1797="","LOSE",P1797)))</f>
        <v>LOSE</v>
      </c>
      <c r="BV1797" s="50" t="n">
        <f aca="false">IF(BU1797="LOSE",1,IF(N(V1797)&gt;0,V1797,IF(BX1797=1,MAX(1,N(VLOOKUP(T1797,Parameter!$I$27:$K$29,3,0)),H1797,N(N1797)),IF(N(Q1797)&gt;0,Q1797,MAX(1,H1797)))))</f>
        <v>1</v>
      </c>
      <c r="BW1797" s="53" t="n">
        <f aca="false">IF(BU1797="LOSE",1,0)</f>
        <v>1</v>
      </c>
      <c r="BX1797" s="53" t="n">
        <f aca="false">IF(AND(U1797="",OR(P1797="",P1797="LOSE"),T1797&lt;&gt;"",N(S1797)&lt;=0,ISNUMBER(MATCH(T1797,Parameter!$I$27:$I$29,0))),1,0)</f>
        <v>0</v>
      </c>
      <c r="BY1797" s="53" t="n">
        <f aca="false">IF(CL1797&gt;0,INDEX(Parameter!$H$5:$H$7,W1797)/INDEX(Parameter!$E$5:$E$7,W1797),IF(AND(BW1797=0,N(IFERROR(VLOOKUP(BU1797,'Gebinde-Kategorie'!$A$5:$N$45,14,0),0))&gt;0),VLOOKUP(BU1797,'Gebinde-Kategorie'!$A$5:$N$45,14,0)*10+Parameter!$M$23,Parameter!$M$24))</f>
        <v>235</v>
      </c>
      <c r="BZ1797" s="48" t="str">
        <f aca="false">IF(AND(Parameter!$B$19="Ja",E1797&lt;&gt;"",ISNUMBER(MATCH(E1797,Parameter!$I$35:$I$52,0))),VLOOKUP(E1797,Parameter!$I$35:$J$52,2,0),IFERROR(VLOOKUP(D1797,Parameter!$A$35:$C$64,2,0),"Nein"))</f>
        <v>2+3</v>
      </c>
      <c r="CA1797" s="52" t="n">
        <f aca="false">IF(BW1797=0,0,IF(N(S1797)&gt;0,S1797,IFERROR(VLOOKUP(D1797,Parameter!$A$35:$C$64,3,0)+0,0)))</f>
        <v>0.15</v>
      </c>
      <c r="CB1797" s="48" t="str">
        <f aca="false">IF(AA1797&lt;&gt;"",AA1797,Z1797)</f>
        <v/>
      </c>
      <c r="CC1797" s="48" t="str">
        <f aca="false">IF(OR(CB1797=1,CB1797=2,CB1797=3),IF(Parameter!$E$27="Ja","LIFT",IF(CB1797=1,"L1","L23")),IF(CB1797="Aussen","Aussen","-"))</f>
        <v>-</v>
      </c>
      <c r="CD1797" s="59" t="n">
        <f aca="false">IF(N(AB1797)&gt;0,AB1797,0)</f>
        <v>0</v>
      </c>
      <c r="CE1797" s="53" t="n">
        <f aca="false">IF(ISNUMBER(AE1797),1,0)</f>
        <v>0</v>
      </c>
      <c r="CF1797" s="50" t="n">
        <f aca="false">N(AE1797)</f>
        <v>0</v>
      </c>
      <c r="CG1797" s="50" t="n">
        <f aca="false">N(M1797)+N(N1797)</f>
        <v>0</v>
      </c>
      <c r="CH1797" s="50" t="n">
        <f aca="false">ROUNDUP(H1797/BV1797,0)</f>
        <v>0</v>
      </c>
      <c r="CI1797" s="50" t="n">
        <f aca="false">ROUNDUP(CF1797/BV1797,0)</f>
        <v>0</v>
      </c>
      <c r="CJ1797" s="53" t="n">
        <f aca="false">IF(BW1797=1,0,IFERROR(VLOOKUP(BU1797,'Gebinde-Kategorie'!$A$5:$N$45,5,0)+0,0))</f>
        <v>0</v>
      </c>
      <c r="CK1797" s="53" t="n">
        <f aca="false">IFERROR(IF(OR(CB1797=1,CB1797=2,CB1797=3),N(INDEX(Parameter!$I$5:$I$7,CB1797)),0),0)</f>
        <v>0</v>
      </c>
      <c r="CL1797" s="52" t="n">
        <f aca="false">IF(AND(Parameter!$B$21="Ja",ISNUMBER(W1797),N(X1797)&gt;0),IFERROR(N(INDEX(Parameter!$L$5:$L$7,W1797))*INDEX(Parameter!$E$5:$E$7,W1797)*X1797/SUMIFS($X$7:$X$1843,$W$7:$W$1843,W1797),0),0)</f>
        <v>0</v>
      </c>
    </row>
    <row r="1798" customFormat="false" ht="15" hidden="false" customHeight="false" outlineLevel="0" collapsed="false">
      <c r="A1798" s="48" t="str">
        <f aca="false">IF('Neue Artikel'!$A$59="","",'Neue Artikel'!$A$59&amp;"")</f>
        <v/>
      </c>
      <c r="B1798" s="48" t="str">
        <f aca="false">'Neue Artikel'!$B$59&amp;""</f>
        <v/>
      </c>
      <c r="C1798" s="48"/>
      <c r="D1798" s="48" t="s">
        <v>3019</v>
      </c>
      <c r="E1798" s="48"/>
      <c r="F1798" s="48"/>
      <c r="G1798" s="49" t="n">
        <f aca="false">N('Neue Artikel'!$G$59)</f>
        <v>0</v>
      </c>
      <c r="H1798" s="50" t="n">
        <f aca="false">MAX(0,IF(AND(Parameter!$B$21="Ja",ISNUMBER(Y1798)),Y1798,IF(Parameter!$B$20="Jahresanfang 2025 + Export",BO1798+BN1798,BN1798)))</f>
        <v>0</v>
      </c>
      <c r="I1798" s="50" t="n">
        <f aca="false">H1798*G1798</f>
        <v>0</v>
      </c>
      <c r="J1798" s="50" t="n">
        <f aca="false">BQ1798*Parameter!$B$18</f>
        <v>0</v>
      </c>
      <c r="K1798" s="51"/>
      <c r="L1798" s="52"/>
      <c r="M1798" s="50" t="n">
        <f aca="false">N('Neue Artikel'!$E$59)</f>
        <v>0</v>
      </c>
      <c r="N1798" s="50" t="n">
        <f aca="false">N('Neue Artikel'!$F$59)</f>
        <v>0</v>
      </c>
      <c r="O1798" s="53"/>
      <c r="P1798" s="48" t="str">
        <f aca="false">IF('Neue Artikel'!$H$59="","LOSE",UPPER(TRIM('Neue Artikel'!$H$59)))</f>
        <v>LOSE</v>
      </c>
      <c r="Q1798" s="50" t="n">
        <f aca="false">N('Neue Artikel'!$I$59)</f>
        <v>0</v>
      </c>
      <c r="R1798" s="53" t="n">
        <f aca="false">IF(BW1798=1,0,IFERROR(VLOOKUP(BU1798,'Gebinde-Kategorie'!$A$5:$N$45,13,0)+0,0))</f>
        <v>0</v>
      </c>
      <c r="S1798" s="54"/>
      <c r="T1798" s="55"/>
      <c r="U1798" s="55"/>
      <c r="V1798" s="55"/>
      <c r="W1798" s="48"/>
      <c r="X1798" s="50"/>
      <c r="Y1798" s="50"/>
      <c r="Z1798" s="48" t="str">
        <f aca="false">IF(A1798="","",IF(AND(Parameter!$B$21="Ja",ISNUMBER(W1798)),W1798,IF(BZ1798="2+3",IF(ISNUMBER(SEARCH("grosser Artikel",BR1798)),2,IFERROR(VLOOKUP(BU1798,Parameter!$F$35:$G$64,2,0),2)),IF(OR(BZ1798="Nein",BZ1798=""),"-",BZ1798))))</f>
        <v/>
      </c>
      <c r="AA1798" s="48" t="str">
        <f aca="false">IF('Neue Artikel'!$J$59="","",'Neue Artikel'!$J$59)</f>
        <v/>
      </c>
      <c r="AB1798" s="56"/>
      <c r="AC1798" s="50" t="n">
        <f aca="false">AT1798</f>
        <v>0</v>
      </c>
      <c r="AD1798" s="50" t="n">
        <f aca="false">MAX(AT1798,H1798)</f>
        <v>0</v>
      </c>
      <c r="AE1798" s="57"/>
      <c r="AF1798" s="50" t="n">
        <f aca="false">IF(LEFT(Cockpit!$C$5,1)="A",H1798,IF(CE1798=1,CF1798,IF(LEFT(Cockpit!$C$5,1)="B",AK1798,MAX(AK1798,H1798))))</f>
        <v>0</v>
      </c>
      <c r="AG1798" s="50" t="n">
        <f aca="false">IF(BW1798=1,0,ROUNDUP(AF1798/BV1798,0))</f>
        <v>0</v>
      </c>
      <c r="AH1798" s="52" t="n">
        <f aca="false">IF(CL1798&gt;0,CL1798*MAX(1,AF1798/X1798),IF(BW1798=1,IF(AF1798&lt;=0,0,CA1798*MAX(1,IF(H1798&gt;0,AF1798/H1798,1))),IF(R1798&gt;0,AG1798/R1798,0))/MAX(0.1,N(Parameter!$M$21)))</f>
        <v>0</v>
      </c>
      <c r="AI1798" s="50" t="n">
        <f aca="false">AH1798*BY1798</f>
        <v>0</v>
      </c>
      <c r="AJ1798" s="50" t="n">
        <f aca="false">AF1798*G1798</f>
        <v>0</v>
      </c>
      <c r="AK1798" s="50" t="n">
        <f aca="false">ROUNDUP(MAX(J1798/IF(CD1798&gt;0,CD1798,MAX(0.1,N(Cockpit!$C$6))),CG1798)/BV1798,0)*BV1798</f>
        <v>0</v>
      </c>
      <c r="AL1798" s="51" t="n">
        <f aca="false">IF(AI1798&gt;0,J1798/AI1798,-1)</f>
        <v>-1</v>
      </c>
      <c r="AM1798" s="51" t="str">
        <f aca="false">IF(AND(OR(CC1798="L1",CC1798="L23",CC1798="LIFT"),AI1798&gt;0),SUMIFS($AI$7:$AI$1843,$CC$7:$CC$1843,CC1798,$AL$7:$AL$1843,"&gt;"&amp;AL1798)+SUMIFS($AI$7:$AI$1843,$CC$7:$CC$1843,CC1798,$AL$7:$AL$1843,AL1798,$BT$7:$BT$1843,"&lt;="&amp;BT1798),"")</f>
        <v/>
      </c>
      <c r="AN1798" s="58" t="n">
        <f aca="false">IF(AM1798="",0,MAX(0,MIN(1,(IF(CC1798="L1",Parameter!$H$5,IF(CC1798="L23",Parameter!$H$6+Parameter!$H$7,Parameter!$H$5+Parameter!$H$6+Parameter!$H$7))-(AM1798-AI1798))/AI1798)))</f>
        <v>0</v>
      </c>
      <c r="AO1798" s="50" t="n">
        <f aca="false">IF(LEFT(Cockpit!$I$5,1)="A",H1798,IF(CE1798=1,CF1798,IF(LEFT(Cockpit!$I$5,1)="B",AT1798,MAX(AT1798,H1798))))</f>
        <v>0</v>
      </c>
      <c r="AP1798" s="50" t="n">
        <f aca="false">IF(BW1798=1,0,ROUNDUP(AO1798/BV1798,0))</f>
        <v>0</v>
      </c>
      <c r="AQ1798" s="52" t="n">
        <f aca="false">IF(CL1798&gt;0,CL1798*MAX(1,AO1798/X1798),IF(BW1798=1,IF(AO1798&lt;=0,0,CA1798*MAX(1,IF(H1798&gt;0,AO1798/H1798,1))),IF(R1798&gt;0,AP1798/R1798,0))/MAX(0.1,N(Parameter!$M$21)))</f>
        <v>0</v>
      </c>
      <c r="AR1798" s="50" t="n">
        <f aca="false">AQ1798*BY1798</f>
        <v>0</v>
      </c>
      <c r="AS1798" s="50" t="n">
        <f aca="false">AO1798*G1798</f>
        <v>0</v>
      </c>
      <c r="AT1798" s="50" t="n">
        <f aca="false">ROUNDUP(MAX(J1798/IF(CD1798&gt;0,CD1798,MAX(0.1,N(Cockpit!$I$6))),CG1798)/BV1798,0)*BV1798</f>
        <v>0</v>
      </c>
      <c r="AU1798" s="51" t="n">
        <f aca="false">IF(AR1798&gt;0,J1798/AR1798,-1)</f>
        <v>-1</v>
      </c>
      <c r="AV1798" s="51" t="str">
        <f aca="false">IF(AND(OR(CC1798="L1",CC1798="L23",CC1798="LIFT"),AR1798&gt;0),SUMIFS($AR$7:$AR$1843,$CC$7:$CC$1843,CC1798,$AU$7:$AU$1843,"&gt;"&amp;AU1798)+SUMIFS($AR$7:$AR$1843,$CC$7:$CC$1843,CC1798,$AU$7:$AU$1843,AU1798,$BT$7:$BT$1843,"&lt;="&amp;BT1798),"")</f>
        <v/>
      </c>
      <c r="AW1798" s="58" t="n">
        <f aca="false">IF(AV1798="",0,MAX(0,MIN(1,(IF(CC1798="L1",Parameter!$H$5,IF(CC1798="L23",Parameter!$H$6+Parameter!$H$7,Parameter!$H$5+Parameter!$H$6+Parameter!$H$7))-(AV1798-AR1798))/AR1798)))</f>
        <v>0</v>
      </c>
      <c r="AX1798" s="50" t="n">
        <f aca="false">IF(LEFT(Cockpit!$O$5,1)="A",H1798,IF(CE1798=1,CF1798,IF(LEFT(Cockpit!$O$5,1)="B",BC1798,MAX(BC1798,H1798))))</f>
        <v>0</v>
      </c>
      <c r="AY1798" s="50" t="n">
        <f aca="false">IF(BW1798=1,0,ROUNDUP(AX1798/BV1798,0))</f>
        <v>0</v>
      </c>
      <c r="AZ1798" s="52" t="n">
        <f aca="false">IF(CL1798&gt;0,CL1798*MAX(1,AX1798/X1798),IF(BW1798=1,IF(AX1798&lt;=0,0,CA1798*MAX(1,IF(H1798&gt;0,AX1798/H1798,1))),IF(R1798&gt;0,AY1798/R1798,0))/MAX(0.1,N(Parameter!$M$21)))</f>
        <v>0</v>
      </c>
      <c r="BA1798" s="50" t="n">
        <f aca="false">AZ1798*BY1798</f>
        <v>0</v>
      </c>
      <c r="BB1798" s="50" t="n">
        <f aca="false">AX1798*G1798</f>
        <v>0</v>
      </c>
      <c r="BC1798" s="50" t="n">
        <f aca="false">ROUNDUP(MAX(J1798/IF(CD1798&gt;0,CD1798,MAX(0.1,N(Cockpit!$O$6))),CG1798)/BV1798,0)*BV1798</f>
        <v>0</v>
      </c>
      <c r="BD1798" s="51" t="n">
        <f aca="false">IF(BA1798&gt;0,J1798/BA1798,-1)</f>
        <v>-1</v>
      </c>
      <c r="BE1798" s="51" t="str">
        <f aca="false">IF(AND(OR(CC1798="L1",CC1798="L23",CC1798="LIFT"),BA1798&gt;0),SUMIFS($BA$7:$BA$1843,$CC$7:$CC$1843,CC1798,$BD$7:$BD$1843,"&gt;"&amp;BD1798)+SUMIFS($BA$7:$BA$1843,$CC$7:$CC$1843,CC1798,$BD$7:$BD$1843,BD1798,$BT$7:$BT$1843,"&lt;="&amp;BT1798),"")</f>
        <v/>
      </c>
      <c r="BF1798" s="58" t="n">
        <f aca="false">IF(BE1798="",0,MAX(0,MIN(1,(IF(CC1798="L1",Parameter!$H$5,IF(CC1798="L23",Parameter!$H$6+Parameter!$H$7,Parameter!$H$5+Parameter!$H$6+Parameter!$H$7))-(BE1798-BA1798))/BA1798)))</f>
        <v>0</v>
      </c>
      <c r="BG1798" s="48" t="str">
        <f aca="false">IF(AI1798&lt;=0,"",IF(CC1798="Aussen","Aussenlager",IF(CC1798="-","Nicht im Lift",IF(AN1798&gt;=1,"Lift",IF(AN1798&lt;=0,"Aussenlager","teilweise")))))</f>
        <v/>
      </c>
      <c r="BH1798" s="48" t="str">
        <f aca="false">IF(AR1798&lt;=0,"",IF(CC1798="Aussen","Aussenlager",IF(CC1798="-","Nicht im Lift",IF(AW1798&gt;=1,"Lift",IF(AW1798&lt;=0,"Aussenlager","teilweise")))))</f>
        <v/>
      </c>
      <c r="BI1798" s="48" t="str">
        <f aca="false">IF(BA1798&lt;=0,"",IF(CC1798="Aussen","Aussenlager",IF(CC1798="-","Nicht im Lift",IF(BF1798&gt;=1,"Lift",IF(BF1798&lt;=0,"Aussenlager","teilweise")))))</f>
        <v/>
      </c>
      <c r="BJ1798" s="48" t="str">
        <f aca="false">IF(A1798="","",IF(BS1798=1,"Neu; ","")&amp;IF(AND(BS1798=0,BN1798&lt;0),"negativer Bestand (Export "&amp;BN1798&amp;"); ","")&amp;IF(J1798&lt;=0,"Kein Verbrauch; ","")&amp;IF(CL1798&gt;0,"Lift "&amp;W1798&amp;" lt. Liftbericht (Fach "&amp;X1798&amp;" Stk); ",IF(BX1798=1,"Gebinde geschätzt ("&amp;T1798&amp;"); ",IF(BW1798=1,"Lose – Tablare geschätzt; ","")))&amp;IF(H1798&gt;AT1798,"Überbestand "&amp;ROUND(H1798-AT1798,0)&amp;" Stk / CHF "&amp;ROUND((H1798-AT1798)*G1798,0)&amp;"; ","")&amp;IF(AND(CE1798=1,CF1798&lt;CG1798),"MAX &lt; MB+LG; ","")&amp;IF(AND(CK1798&gt;0,CJ1798*10&gt;CK1798),"zu hoch für Tablar; ","")&amp;IF(AND(BS1798=0,OR(CE1798=1,AA1798&lt;&gt;"",U1798&lt;&gt;"",V1798&lt;&gt;"",AB1798&lt;&gt;"")),"manuell übersteuert; ","")&amp;IF(AND(BW1798=0,R1798=0),"Gebinde unbekannt / Stellmass fehlt; ","")&amp;IF(AND(BW1798=0,N(V1798)&lt;=0,N(Q1798)&lt;=0),"Menge pro Gebinde fehlt (Ist = 1 Gebinde); ","")&amp;BR1798)</f>
        <v/>
      </c>
      <c r="BK1798" s="48"/>
      <c r="BL1798" s="48"/>
      <c r="BM1798" s="55"/>
      <c r="BN1798" s="50" t="n">
        <f aca="false">N('Neue Artikel'!$D$59)</f>
        <v>0</v>
      </c>
      <c r="BO1798" s="50" t="n">
        <v>0</v>
      </c>
      <c r="BP1798" s="49" t="n">
        <v>0</v>
      </c>
      <c r="BQ1798" s="50" t="n">
        <f aca="false">N('Neue Artikel'!$C$59)/Parameter!$B$18</f>
        <v>0</v>
      </c>
      <c r="BR1798" s="48"/>
      <c r="BS1798" s="53" t="n">
        <v>1</v>
      </c>
      <c r="BT1798" s="53" t="n">
        <v>1798</v>
      </c>
      <c r="BU1798" s="48" t="str">
        <f aca="false">IF(U1798&lt;&gt;"",UPPER(TRIM(U1798)),IF(BX1798=1,UPPER(VLOOKUP(T1798,Parameter!$I$27:$K$29,2,0)),IF(P1798="","LOSE",P1798)))</f>
        <v>LOSE</v>
      </c>
      <c r="BV1798" s="50" t="n">
        <f aca="false">IF(BU1798="LOSE",1,IF(N(V1798)&gt;0,V1798,IF(BX1798=1,MAX(1,N(VLOOKUP(T1798,Parameter!$I$27:$K$29,3,0)),H1798,N(N1798)),IF(N(Q1798)&gt;0,Q1798,MAX(1,H1798)))))</f>
        <v>1</v>
      </c>
      <c r="BW1798" s="53" t="n">
        <f aca="false">IF(BU1798="LOSE",1,0)</f>
        <v>1</v>
      </c>
      <c r="BX1798" s="53" t="n">
        <f aca="false">IF(AND(U1798="",OR(P1798="",P1798="LOSE"),T1798&lt;&gt;"",N(S1798)&lt;=0,ISNUMBER(MATCH(T1798,Parameter!$I$27:$I$29,0))),1,0)</f>
        <v>0</v>
      </c>
      <c r="BY1798" s="53" t="n">
        <f aca="false">IF(CL1798&gt;0,INDEX(Parameter!$H$5:$H$7,W1798)/INDEX(Parameter!$E$5:$E$7,W1798),IF(AND(BW1798=0,N(IFERROR(VLOOKUP(BU1798,'Gebinde-Kategorie'!$A$5:$N$45,14,0),0))&gt;0),VLOOKUP(BU1798,'Gebinde-Kategorie'!$A$5:$N$45,14,0)*10+Parameter!$M$23,Parameter!$M$24))</f>
        <v>235</v>
      </c>
      <c r="BZ1798" s="48" t="str">
        <f aca="false">IF(AND(Parameter!$B$19="Ja",E1798&lt;&gt;"",ISNUMBER(MATCH(E1798,Parameter!$I$35:$I$52,0))),VLOOKUP(E1798,Parameter!$I$35:$J$52,2,0),IFERROR(VLOOKUP(D1798,Parameter!$A$35:$C$64,2,0),"Nein"))</f>
        <v>2+3</v>
      </c>
      <c r="CA1798" s="52" t="n">
        <f aca="false">IF(BW1798=0,0,IF(N(S1798)&gt;0,S1798,IFERROR(VLOOKUP(D1798,Parameter!$A$35:$C$64,3,0)+0,0)))</f>
        <v>0.15</v>
      </c>
      <c r="CB1798" s="48" t="str">
        <f aca="false">IF(AA1798&lt;&gt;"",AA1798,Z1798)</f>
        <v/>
      </c>
      <c r="CC1798" s="48" t="str">
        <f aca="false">IF(OR(CB1798=1,CB1798=2,CB1798=3),IF(Parameter!$E$27="Ja","LIFT",IF(CB1798=1,"L1","L23")),IF(CB1798="Aussen","Aussen","-"))</f>
        <v>-</v>
      </c>
      <c r="CD1798" s="59" t="n">
        <f aca="false">IF(N(AB1798)&gt;0,AB1798,0)</f>
        <v>0</v>
      </c>
      <c r="CE1798" s="53" t="n">
        <f aca="false">IF(ISNUMBER(AE1798),1,0)</f>
        <v>0</v>
      </c>
      <c r="CF1798" s="50" t="n">
        <f aca="false">N(AE1798)</f>
        <v>0</v>
      </c>
      <c r="CG1798" s="50" t="n">
        <f aca="false">N(M1798)+N(N1798)</f>
        <v>0</v>
      </c>
      <c r="CH1798" s="50" t="n">
        <f aca="false">ROUNDUP(H1798/BV1798,0)</f>
        <v>0</v>
      </c>
      <c r="CI1798" s="50" t="n">
        <f aca="false">ROUNDUP(CF1798/BV1798,0)</f>
        <v>0</v>
      </c>
      <c r="CJ1798" s="53" t="n">
        <f aca="false">IF(BW1798=1,0,IFERROR(VLOOKUP(BU1798,'Gebinde-Kategorie'!$A$5:$N$45,5,0)+0,0))</f>
        <v>0</v>
      </c>
      <c r="CK1798" s="53" t="n">
        <f aca="false">IFERROR(IF(OR(CB1798=1,CB1798=2,CB1798=3),N(INDEX(Parameter!$I$5:$I$7,CB1798)),0),0)</f>
        <v>0</v>
      </c>
      <c r="CL1798" s="52" t="n">
        <f aca="false">IF(AND(Parameter!$B$21="Ja",ISNUMBER(W1798),N(X1798)&gt;0),IFERROR(N(INDEX(Parameter!$L$5:$L$7,W1798))*INDEX(Parameter!$E$5:$E$7,W1798)*X1798/SUMIFS($X$7:$X$1843,$W$7:$W$1843,W1798),0),0)</f>
        <v>0</v>
      </c>
    </row>
    <row r="1799" customFormat="false" ht="15" hidden="false" customHeight="false" outlineLevel="0" collapsed="false">
      <c r="A1799" s="48" t="str">
        <f aca="false">IF('Neue Artikel'!$A$60="","",'Neue Artikel'!$A$60&amp;"")</f>
        <v/>
      </c>
      <c r="B1799" s="48" t="str">
        <f aca="false">'Neue Artikel'!$B$60&amp;""</f>
        <v/>
      </c>
      <c r="C1799" s="48"/>
      <c r="D1799" s="48" t="s">
        <v>3019</v>
      </c>
      <c r="E1799" s="48"/>
      <c r="F1799" s="48"/>
      <c r="G1799" s="49" t="n">
        <f aca="false">N('Neue Artikel'!$G$60)</f>
        <v>0</v>
      </c>
      <c r="H1799" s="50" t="n">
        <f aca="false">MAX(0,IF(AND(Parameter!$B$21="Ja",ISNUMBER(Y1799)),Y1799,IF(Parameter!$B$20="Jahresanfang 2025 + Export",BO1799+BN1799,BN1799)))</f>
        <v>0</v>
      </c>
      <c r="I1799" s="50" t="n">
        <f aca="false">H1799*G1799</f>
        <v>0</v>
      </c>
      <c r="J1799" s="50" t="n">
        <f aca="false">BQ1799*Parameter!$B$18</f>
        <v>0</v>
      </c>
      <c r="K1799" s="51"/>
      <c r="L1799" s="52"/>
      <c r="M1799" s="50" t="n">
        <f aca="false">N('Neue Artikel'!$E$60)</f>
        <v>0</v>
      </c>
      <c r="N1799" s="50" t="n">
        <f aca="false">N('Neue Artikel'!$F$60)</f>
        <v>0</v>
      </c>
      <c r="O1799" s="53"/>
      <c r="P1799" s="48" t="str">
        <f aca="false">IF('Neue Artikel'!$H$60="","LOSE",UPPER(TRIM('Neue Artikel'!$H$60)))</f>
        <v>LOSE</v>
      </c>
      <c r="Q1799" s="50" t="n">
        <f aca="false">N('Neue Artikel'!$I$60)</f>
        <v>0</v>
      </c>
      <c r="R1799" s="53" t="n">
        <f aca="false">IF(BW1799=1,0,IFERROR(VLOOKUP(BU1799,'Gebinde-Kategorie'!$A$5:$N$45,13,0)+0,0))</f>
        <v>0</v>
      </c>
      <c r="S1799" s="54"/>
      <c r="T1799" s="55"/>
      <c r="U1799" s="55"/>
      <c r="V1799" s="55"/>
      <c r="W1799" s="48"/>
      <c r="X1799" s="50"/>
      <c r="Y1799" s="50"/>
      <c r="Z1799" s="48" t="str">
        <f aca="false">IF(A1799="","",IF(AND(Parameter!$B$21="Ja",ISNUMBER(W1799)),W1799,IF(BZ1799="2+3",IF(ISNUMBER(SEARCH("grosser Artikel",BR1799)),2,IFERROR(VLOOKUP(BU1799,Parameter!$F$35:$G$64,2,0),2)),IF(OR(BZ1799="Nein",BZ1799=""),"-",BZ1799))))</f>
        <v/>
      </c>
      <c r="AA1799" s="48" t="str">
        <f aca="false">IF('Neue Artikel'!$J$60="","",'Neue Artikel'!$J$60)</f>
        <v/>
      </c>
      <c r="AB1799" s="56"/>
      <c r="AC1799" s="50" t="n">
        <f aca="false">AT1799</f>
        <v>0</v>
      </c>
      <c r="AD1799" s="50" t="n">
        <f aca="false">MAX(AT1799,H1799)</f>
        <v>0</v>
      </c>
      <c r="AE1799" s="57"/>
      <c r="AF1799" s="50" t="n">
        <f aca="false">IF(LEFT(Cockpit!$C$5,1)="A",H1799,IF(CE1799=1,CF1799,IF(LEFT(Cockpit!$C$5,1)="B",AK1799,MAX(AK1799,H1799))))</f>
        <v>0</v>
      </c>
      <c r="AG1799" s="50" t="n">
        <f aca="false">IF(BW1799=1,0,ROUNDUP(AF1799/BV1799,0))</f>
        <v>0</v>
      </c>
      <c r="AH1799" s="52" t="n">
        <f aca="false">IF(CL1799&gt;0,CL1799*MAX(1,AF1799/X1799),IF(BW1799=1,IF(AF1799&lt;=0,0,CA1799*MAX(1,IF(H1799&gt;0,AF1799/H1799,1))),IF(R1799&gt;0,AG1799/R1799,0))/MAX(0.1,N(Parameter!$M$21)))</f>
        <v>0</v>
      </c>
      <c r="AI1799" s="50" t="n">
        <f aca="false">AH1799*BY1799</f>
        <v>0</v>
      </c>
      <c r="AJ1799" s="50" t="n">
        <f aca="false">AF1799*G1799</f>
        <v>0</v>
      </c>
      <c r="AK1799" s="50" t="n">
        <f aca="false">ROUNDUP(MAX(J1799/IF(CD1799&gt;0,CD1799,MAX(0.1,N(Cockpit!$C$6))),CG1799)/BV1799,0)*BV1799</f>
        <v>0</v>
      </c>
      <c r="AL1799" s="51" t="n">
        <f aca="false">IF(AI1799&gt;0,J1799/AI1799,-1)</f>
        <v>-1</v>
      </c>
      <c r="AM1799" s="51" t="str">
        <f aca="false">IF(AND(OR(CC1799="L1",CC1799="L23",CC1799="LIFT"),AI1799&gt;0),SUMIFS($AI$7:$AI$1843,$CC$7:$CC$1843,CC1799,$AL$7:$AL$1843,"&gt;"&amp;AL1799)+SUMIFS($AI$7:$AI$1843,$CC$7:$CC$1843,CC1799,$AL$7:$AL$1843,AL1799,$BT$7:$BT$1843,"&lt;="&amp;BT1799),"")</f>
        <v/>
      </c>
      <c r="AN1799" s="58" t="n">
        <f aca="false">IF(AM1799="",0,MAX(0,MIN(1,(IF(CC1799="L1",Parameter!$H$5,IF(CC1799="L23",Parameter!$H$6+Parameter!$H$7,Parameter!$H$5+Parameter!$H$6+Parameter!$H$7))-(AM1799-AI1799))/AI1799)))</f>
        <v>0</v>
      </c>
      <c r="AO1799" s="50" t="n">
        <f aca="false">IF(LEFT(Cockpit!$I$5,1)="A",H1799,IF(CE1799=1,CF1799,IF(LEFT(Cockpit!$I$5,1)="B",AT1799,MAX(AT1799,H1799))))</f>
        <v>0</v>
      </c>
      <c r="AP1799" s="50" t="n">
        <f aca="false">IF(BW1799=1,0,ROUNDUP(AO1799/BV1799,0))</f>
        <v>0</v>
      </c>
      <c r="AQ1799" s="52" t="n">
        <f aca="false">IF(CL1799&gt;0,CL1799*MAX(1,AO1799/X1799),IF(BW1799=1,IF(AO1799&lt;=0,0,CA1799*MAX(1,IF(H1799&gt;0,AO1799/H1799,1))),IF(R1799&gt;0,AP1799/R1799,0))/MAX(0.1,N(Parameter!$M$21)))</f>
        <v>0</v>
      </c>
      <c r="AR1799" s="50" t="n">
        <f aca="false">AQ1799*BY1799</f>
        <v>0</v>
      </c>
      <c r="AS1799" s="50" t="n">
        <f aca="false">AO1799*G1799</f>
        <v>0</v>
      </c>
      <c r="AT1799" s="50" t="n">
        <f aca="false">ROUNDUP(MAX(J1799/IF(CD1799&gt;0,CD1799,MAX(0.1,N(Cockpit!$I$6))),CG1799)/BV1799,0)*BV1799</f>
        <v>0</v>
      </c>
      <c r="AU1799" s="51" t="n">
        <f aca="false">IF(AR1799&gt;0,J1799/AR1799,-1)</f>
        <v>-1</v>
      </c>
      <c r="AV1799" s="51" t="str">
        <f aca="false">IF(AND(OR(CC1799="L1",CC1799="L23",CC1799="LIFT"),AR1799&gt;0),SUMIFS($AR$7:$AR$1843,$CC$7:$CC$1843,CC1799,$AU$7:$AU$1843,"&gt;"&amp;AU1799)+SUMIFS($AR$7:$AR$1843,$CC$7:$CC$1843,CC1799,$AU$7:$AU$1843,AU1799,$BT$7:$BT$1843,"&lt;="&amp;BT1799),"")</f>
        <v/>
      </c>
      <c r="AW1799" s="58" t="n">
        <f aca="false">IF(AV1799="",0,MAX(0,MIN(1,(IF(CC1799="L1",Parameter!$H$5,IF(CC1799="L23",Parameter!$H$6+Parameter!$H$7,Parameter!$H$5+Parameter!$H$6+Parameter!$H$7))-(AV1799-AR1799))/AR1799)))</f>
        <v>0</v>
      </c>
      <c r="AX1799" s="50" t="n">
        <f aca="false">IF(LEFT(Cockpit!$O$5,1)="A",H1799,IF(CE1799=1,CF1799,IF(LEFT(Cockpit!$O$5,1)="B",BC1799,MAX(BC1799,H1799))))</f>
        <v>0</v>
      </c>
      <c r="AY1799" s="50" t="n">
        <f aca="false">IF(BW1799=1,0,ROUNDUP(AX1799/BV1799,0))</f>
        <v>0</v>
      </c>
      <c r="AZ1799" s="52" t="n">
        <f aca="false">IF(CL1799&gt;0,CL1799*MAX(1,AX1799/X1799),IF(BW1799=1,IF(AX1799&lt;=0,0,CA1799*MAX(1,IF(H1799&gt;0,AX1799/H1799,1))),IF(R1799&gt;0,AY1799/R1799,0))/MAX(0.1,N(Parameter!$M$21)))</f>
        <v>0</v>
      </c>
      <c r="BA1799" s="50" t="n">
        <f aca="false">AZ1799*BY1799</f>
        <v>0</v>
      </c>
      <c r="BB1799" s="50" t="n">
        <f aca="false">AX1799*G1799</f>
        <v>0</v>
      </c>
      <c r="BC1799" s="50" t="n">
        <f aca="false">ROUNDUP(MAX(J1799/IF(CD1799&gt;0,CD1799,MAX(0.1,N(Cockpit!$O$6))),CG1799)/BV1799,0)*BV1799</f>
        <v>0</v>
      </c>
      <c r="BD1799" s="51" t="n">
        <f aca="false">IF(BA1799&gt;0,J1799/BA1799,-1)</f>
        <v>-1</v>
      </c>
      <c r="BE1799" s="51" t="str">
        <f aca="false">IF(AND(OR(CC1799="L1",CC1799="L23",CC1799="LIFT"),BA1799&gt;0),SUMIFS($BA$7:$BA$1843,$CC$7:$CC$1843,CC1799,$BD$7:$BD$1843,"&gt;"&amp;BD1799)+SUMIFS($BA$7:$BA$1843,$CC$7:$CC$1843,CC1799,$BD$7:$BD$1843,BD1799,$BT$7:$BT$1843,"&lt;="&amp;BT1799),"")</f>
        <v/>
      </c>
      <c r="BF1799" s="58" t="n">
        <f aca="false">IF(BE1799="",0,MAX(0,MIN(1,(IF(CC1799="L1",Parameter!$H$5,IF(CC1799="L23",Parameter!$H$6+Parameter!$H$7,Parameter!$H$5+Parameter!$H$6+Parameter!$H$7))-(BE1799-BA1799))/BA1799)))</f>
        <v>0</v>
      </c>
      <c r="BG1799" s="48" t="str">
        <f aca="false">IF(AI1799&lt;=0,"",IF(CC1799="Aussen","Aussenlager",IF(CC1799="-","Nicht im Lift",IF(AN1799&gt;=1,"Lift",IF(AN1799&lt;=0,"Aussenlager","teilweise")))))</f>
        <v/>
      </c>
      <c r="BH1799" s="48" t="str">
        <f aca="false">IF(AR1799&lt;=0,"",IF(CC1799="Aussen","Aussenlager",IF(CC1799="-","Nicht im Lift",IF(AW1799&gt;=1,"Lift",IF(AW1799&lt;=0,"Aussenlager","teilweise")))))</f>
        <v/>
      </c>
      <c r="BI1799" s="48" t="str">
        <f aca="false">IF(BA1799&lt;=0,"",IF(CC1799="Aussen","Aussenlager",IF(CC1799="-","Nicht im Lift",IF(BF1799&gt;=1,"Lift",IF(BF1799&lt;=0,"Aussenlager","teilweise")))))</f>
        <v/>
      </c>
      <c r="BJ1799" s="48" t="str">
        <f aca="false">IF(A1799="","",IF(BS1799=1,"Neu; ","")&amp;IF(AND(BS1799=0,BN1799&lt;0),"negativer Bestand (Export "&amp;BN1799&amp;"); ","")&amp;IF(J1799&lt;=0,"Kein Verbrauch; ","")&amp;IF(CL1799&gt;0,"Lift "&amp;W1799&amp;" lt. Liftbericht (Fach "&amp;X1799&amp;" Stk); ",IF(BX1799=1,"Gebinde geschätzt ("&amp;T1799&amp;"); ",IF(BW1799=1,"Lose – Tablare geschätzt; ","")))&amp;IF(H1799&gt;AT1799,"Überbestand "&amp;ROUND(H1799-AT1799,0)&amp;" Stk / CHF "&amp;ROUND((H1799-AT1799)*G1799,0)&amp;"; ","")&amp;IF(AND(CE1799=1,CF1799&lt;CG1799),"MAX &lt; MB+LG; ","")&amp;IF(AND(CK1799&gt;0,CJ1799*10&gt;CK1799),"zu hoch für Tablar; ","")&amp;IF(AND(BS1799=0,OR(CE1799=1,AA1799&lt;&gt;"",U1799&lt;&gt;"",V1799&lt;&gt;"",AB1799&lt;&gt;"")),"manuell übersteuert; ","")&amp;IF(AND(BW1799=0,R1799=0),"Gebinde unbekannt / Stellmass fehlt; ","")&amp;IF(AND(BW1799=0,N(V1799)&lt;=0,N(Q1799)&lt;=0),"Menge pro Gebinde fehlt (Ist = 1 Gebinde); ","")&amp;BR1799)</f>
        <v/>
      </c>
      <c r="BK1799" s="48"/>
      <c r="BL1799" s="48"/>
      <c r="BM1799" s="55"/>
      <c r="BN1799" s="50" t="n">
        <f aca="false">N('Neue Artikel'!$D$60)</f>
        <v>0</v>
      </c>
      <c r="BO1799" s="50" t="n">
        <v>0</v>
      </c>
      <c r="BP1799" s="49" t="n">
        <v>0</v>
      </c>
      <c r="BQ1799" s="50" t="n">
        <f aca="false">N('Neue Artikel'!$C$60)/Parameter!$B$18</f>
        <v>0</v>
      </c>
      <c r="BR1799" s="48"/>
      <c r="BS1799" s="53" t="n">
        <v>1</v>
      </c>
      <c r="BT1799" s="53" t="n">
        <v>1799</v>
      </c>
      <c r="BU1799" s="48" t="str">
        <f aca="false">IF(U1799&lt;&gt;"",UPPER(TRIM(U1799)),IF(BX1799=1,UPPER(VLOOKUP(T1799,Parameter!$I$27:$K$29,2,0)),IF(P1799="","LOSE",P1799)))</f>
        <v>LOSE</v>
      </c>
      <c r="BV1799" s="50" t="n">
        <f aca="false">IF(BU1799="LOSE",1,IF(N(V1799)&gt;0,V1799,IF(BX1799=1,MAX(1,N(VLOOKUP(T1799,Parameter!$I$27:$K$29,3,0)),H1799,N(N1799)),IF(N(Q1799)&gt;0,Q1799,MAX(1,H1799)))))</f>
        <v>1</v>
      </c>
      <c r="BW1799" s="53" t="n">
        <f aca="false">IF(BU1799="LOSE",1,0)</f>
        <v>1</v>
      </c>
      <c r="BX1799" s="53" t="n">
        <f aca="false">IF(AND(U1799="",OR(P1799="",P1799="LOSE"),T1799&lt;&gt;"",N(S1799)&lt;=0,ISNUMBER(MATCH(T1799,Parameter!$I$27:$I$29,0))),1,0)</f>
        <v>0</v>
      </c>
      <c r="BY1799" s="53" t="n">
        <f aca="false">IF(CL1799&gt;0,INDEX(Parameter!$H$5:$H$7,W1799)/INDEX(Parameter!$E$5:$E$7,W1799),IF(AND(BW1799=0,N(IFERROR(VLOOKUP(BU1799,'Gebinde-Kategorie'!$A$5:$N$45,14,0),0))&gt;0),VLOOKUP(BU1799,'Gebinde-Kategorie'!$A$5:$N$45,14,0)*10+Parameter!$M$23,Parameter!$M$24))</f>
        <v>235</v>
      </c>
      <c r="BZ1799" s="48" t="str">
        <f aca="false">IF(AND(Parameter!$B$19="Ja",E1799&lt;&gt;"",ISNUMBER(MATCH(E1799,Parameter!$I$35:$I$52,0))),VLOOKUP(E1799,Parameter!$I$35:$J$52,2,0),IFERROR(VLOOKUP(D1799,Parameter!$A$35:$C$64,2,0),"Nein"))</f>
        <v>2+3</v>
      </c>
      <c r="CA1799" s="52" t="n">
        <f aca="false">IF(BW1799=0,0,IF(N(S1799)&gt;0,S1799,IFERROR(VLOOKUP(D1799,Parameter!$A$35:$C$64,3,0)+0,0)))</f>
        <v>0.15</v>
      </c>
      <c r="CB1799" s="48" t="str">
        <f aca="false">IF(AA1799&lt;&gt;"",AA1799,Z1799)</f>
        <v/>
      </c>
      <c r="CC1799" s="48" t="str">
        <f aca="false">IF(OR(CB1799=1,CB1799=2,CB1799=3),IF(Parameter!$E$27="Ja","LIFT",IF(CB1799=1,"L1","L23")),IF(CB1799="Aussen","Aussen","-"))</f>
        <v>-</v>
      </c>
      <c r="CD1799" s="59" t="n">
        <f aca="false">IF(N(AB1799)&gt;0,AB1799,0)</f>
        <v>0</v>
      </c>
      <c r="CE1799" s="53" t="n">
        <f aca="false">IF(ISNUMBER(AE1799),1,0)</f>
        <v>0</v>
      </c>
      <c r="CF1799" s="50" t="n">
        <f aca="false">N(AE1799)</f>
        <v>0</v>
      </c>
      <c r="CG1799" s="50" t="n">
        <f aca="false">N(M1799)+N(N1799)</f>
        <v>0</v>
      </c>
      <c r="CH1799" s="50" t="n">
        <f aca="false">ROUNDUP(H1799/BV1799,0)</f>
        <v>0</v>
      </c>
      <c r="CI1799" s="50" t="n">
        <f aca="false">ROUNDUP(CF1799/BV1799,0)</f>
        <v>0</v>
      </c>
      <c r="CJ1799" s="53" t="n">
        <f aca="false">IF(BW1799=1,0,IFERROR(VLOOKUP(BU1799,'Gebinde-Kategorie'!$A$5:$N$45,5,0)+0,0))</f>
        <v>0</v>
      </c>
      <c r="CK1799" s="53" t="n">
        <f aca="false">IFERROR(IF(OR(CB1799=1,CB1799=2,CB1799=3),N(INDEX(Parameter!$I$5:$I$7,CB1799)),0),0)</f>
        <v>0</v>
      </c>
      <c r="CL1799" s="52" t="n">
        <f aca="false">IF(AND(Parameter!$B$21="Ja",ISNUMBER(W1799),N(X1799)&gt;0),IFERROR(N(INDEX(Parameter!$L$5:$L$7,W1799))*INDEX(Parameter!$E$5:$E$7,W1799)*X1799/SUMIFS($X$7:$X$1843,$W$7:$W$1843,W1799),0),0)</f>
        <v>0</v>
      </c>
    </row>
    <row r="1800" customFormat="false" ht="15" hidden="false" customHeight="false" outlineLevel="0" collapsed="false">
      <c r="A1800" s="48" t="str">
        <f aca="false">IF('Neue Artikel'!$A$61="","",'Neue Artikel'!$A$61&amp;"")</f>
        <v/>
      </c>
      <c r="B1800" s="48" t="str">
        <f aca="false">'Neue Artikel'!$B$61&amp;""</f>
        <v/>
      </c>
      <c r="C1800" s="48"/>
      <c r="D1800" s="48" t="s">
        <v>3019</v>
      </c>
      <c r="E1800" s="48"/>
      <c r="F1800" s="48"/>
      <c r="G1800" s="49" t="n">
        <f aca="false">N('Neue Artikel'!$G$61)</f>
        <v>0</v>
      </c>
      <c r="H1800" s="50" t="n">
        <f aca="false">MAX(0,IF(AND(Parameter!$B$21="Ja",ISNUMBER(Y1800)),Y1800,IF(Parameter!$B$20="Jahresanfang 2025 + Export",BO1800+BN1800,BN1800)))</f>
        <v>0</v>
      </c>
      <c r="I1800" s="50" t="n">
        <f aca="false">H1800*G1800</f>
        <v>0</v>
      </c>
      <c r="J1800" s="50" t="n">
        <f aca="false">BQ1800*Parameter!$B$18</f>
        <v>0</v>
      </c>
      <c r="K1800" s="51"/>
      <c r="L1800" s="52"/>
      <c r="M1800" s="50" t="n">
        <f aca="false">N('Neue Artikel'!$E$61)</f>
        <v>0</v>
      </c>
      <c r="N1800" s="50" t="n">
        <f aca="false">N('Neue Artikel'!$F$61)</f>
        <v>0</v>
      </c>
      <c r="O1800" s="53"/>
      <c r="P1800" s="48" t="str">
        <f aca="false">IF('Neue Artikel'!$H$61="","LOSE",UPPER(TRIM('Neue Artikel'!$H$61)))</f>
        <v>LOSE</v>
      </c>
      <c r="Q1800" s="50" t="n">
        <f aca="false">N('Neue Artikel'!$I$61)</f>
        <v>0</v>
      </c>
      <c r="R1800" s="53" t="n">
        <f aca="false">IF(BW1800=1,0,IFERROR(VLOOKUP(BU1800,'Gebinde-Kategorie'!$A$5:$N$45,13,0)+0,0))</f>
        <v>0</v>
      </c>
      <c r="S1800" s="54"/>
      <c r="T1800" s="55"/>
      <c r="U1800" s="55"/>
      <c r="V1800" s="55"/>
      <c r="W1800" s="48"/>
      <c r="X1800" s="50"/>
      <c r="Y1800" s="50"/>
      <c r="Z1800" s="48" t="str">
        <f aca="false">IF(A1800="","",IF(AND(Parameter!$B$21="Ja",ISNUMBER(W1800)),W1800,IF(BZ1800="2+3",IF(ISNUMBER(SEARCH("grosser Artikel",BR1800)),2,IFERROR(VLOOKUP(BU1800,Parameter!$F$35:$G$64,2,0),2)),IF(OR(BZ1800="Nein",BZ1800=""),"-",BZ1800))))</f>
        <v/>
      </c>
      <c r="AA1800" s="48" t="str">
        <f aca="false">IF('Neue Artikel'!$J$61="","",'Neue Artikel'!$J$61)</f>
        <v/>
      </c>
      <c r="AB1800" s="56"/>
      <c r="AC1800" s="50" t="n">
        <f aca="false">AT1800</f>
        <v>0</v>
      </c>
      <c r="AD1800" s="50" t="n">
        <f aca="false">MAX(AT1800,H1800)</f>
        <v>0</v>
      </c>
      <c r="AE1800" s="57"/>
      <c r="AF1800" s="50" t="n">
        <f aca="false">IF(LEFT(Cockpit!$C$5,1)="A",H1800,IF(CE1800=1,CF1800,IF(LEFT(Cockpit!$C$5,1)="B",AK1800,MAX(AK1800,H1800))))</f>
        <v>0</v>
      </c>
      <c r="AG1800" s="50" t="n">
        <f aca="false">IF(BW1800=1,0,ROUNDUP(AF1800/BV1800,0))</f>
        <v>0</v>
      </c>
      <c r="AH1800" s="52" t="n">
        <f aca="false">IF(CL1800&gt;0,CL1800*MAX(1,AF1800/X1800),IF(BW1800=1,IF(AF1800&lt;=0,0,CA1800*MAX(1,IF(H1800&gt;0,AF1800/H1800,1))),IF(R1800&gt;0,AG1800/R1800,0))/MAX(0.1,N(Parameter!$M$21)))</f>
        <v>0</v>
      </c>
      <c r="AI1800" s="50" t="n">
        <f aca="false">AH1800*BY1800</f>
        <v>0</v>
      </c>
      <c r="AJ1800" s="50" t="n">
        <f aca="false">AF1800*G1800</f>
        <v>0</v>
      </c>
      <c r="AK1800" s="50" t="n">
        <f aca="false">ROUNDUP(MAX(J1800/IF(CD1800&gt;0,CD1800,MAX(0.1,N(Cockpit!$C$6))),CG1800)/BV1800,0)*BV1800</f>
        <v>0</v>
      </c>
      <c r="AL1800" s="51" t="n">
        <f aca="false">IF(AI1800&gt;0,J1800/AI1800,-1)</f>
        <v>-1</v>
      </c>
      <c r="AM1800" s="51" t="str">
        <f aca="false">IF(AND(OR(CC1800="L1",CC1800="L23",CC1800="LIFT"),AI1800&gt;0),SUMIFS($AI$7:$AI$1843,$CC$7:$CC$1843,CC1800,$AL$7:$AL$1843,"&gt;"&amp;AL1800)+SUMIFS($AI$7:$AI$1843,$CC$7:$CC$1843,CC1800,$AL$7:$AL$1843,AL1800,$BT$7:$BT$1843,"&lt;="&amp;BT1800),"")</f>
        <v/>
      </c>
      <c r="AN1800" s="58" t="n">
        <f aca="false">IF(AM1800="",0,MAX(0,MIN(1,(IF(CC1800="L1",Parameter!$H$5,IF(CC1800="L23",Parameter!$H$6+Parameter!$H$7,Parameter!$H$5+Parameter!$H$6+Parameter!$H$7))-(AM1800-AI1800))/AI1800)))</f>
        <v>0</v>
      </c>
      <c r="AO1800" s="50" t="n">
        <f aca="false">IF(LEFT(Cockpit!$I$5,1)="A",H1800,IF(CE1800=1,CF1800,IF(LEFT(Cockpit!$I$5,1)="B",AT1800,MAX(AT1800,H1800))))</f>
        <v>0</v>
      </c>
      <c r="AP1800" s="50" t="n">
        <f aca="false">IF(BW1800=1,0,ROUNDUP(AO1800/BV1800,0))</f>
        <v>0</v>
      </c>
      <c r="AQ1800" s="52" t="n">
        <f aca="false">IF(CL1800&gt;0,CL1800*MAX(1,AO1800/X1800),IF(BW1800=1,IF(AO1800&lt;=0,0,CA1800*MAX(1,IF(H1800&gt;0,AO1800/H1800,1))),IF(R1800&gt;0,AP1800/R1800,0))/MAX(0.1,N(Parameter!$M$21)))</f>
        <v>0</v>
      </c>
      <c r="AR1800" s="50" t="n">
        <f aca="false">AQ1800*BY1800</f>
        <v>0</v>
      </c>
      <c r="AS1800" s="50" t="n">
        <f aca="false">AO1800*G1800</f>
        <v>0</v>
      </c>
      <c r="AT1800" s="50" t="n">
        <f aca="false">ROUNDUP(MAX(J1800/IF(CD1800&gt;0,CD1800,MAX(0.1,N(Cockpit!$I$6))),CG1800)/BV1800,0)*BV1800</f>
        <v>0</v>
      </c>
      <c r="AU1800" s="51" t="n">
        <f aca="false">IF(AR1800&gt;0,J1800/AR1800,-1)</f>
        <v>-1</v>
      </c>
      <c r="AV1800" s="51" t="str">
        <f aca="false">IF(AND(OR(CC1800="L1",CC1800="L23",CC1800="LIFT"),AR1800&gt;0),SUMIFS($AR$7:$AR$1843,$CC$7:$CC$1843,CC1800,$AU$7:$AU$1843,"&gt;"&amp;AU1800)+SUMIFS($AR$7:$AR$1843,$CC$7:$CC$1843,CC1800,$AU$7:$AU$1843,AU1800,$BT$7:$BT$1843,"&lt;="&amp;BT1800),"")</f>
        <v/>
      </c>
      <c r="AW1800" s="58" t="n">
        <f aca="false">IF(AV1800="",0,MAX(0,MIN(1,(IF(CC1800="L1",Parameter!$H$5,IF(CC1800="L23",Parameter!$H$6+Parameter!$H$7,Parameter!$H$5+Parameter!$H$6+Parameter!$H$7))-(AV1800-AR1800))/AR1800)))</f>
        <v>0</v>
      </c>
      <c r="AX1800" s="50" t="n">
        <f aca="false">IF(LEFT(Cockpit!$O$5,1)="A",H1800,IF(CE1800=1,CF1800,IF(LEFT(Cockpit!$O$5,1)="B",BC1800,MAX(BC1800,H1800))))</f>
        <v>0</v>
      </c>
      <c r="AY1800" s="50" t="n">
        <f aca="false">IF(BW1800=1,0,ROUNDUP(AX1800/BV1800,0))</f>
        <v>0</v>
      </c>
      <c r="AZ1800" s="52" t="n">
        <f aca="false">IF(CL1800&gt;0,CL1800*MAX(1,AX1800/X1800),IF(BW1800=1,IF(AX1800&lt;=0,0,CA1800*MAX(1,IF(H1800&gt;0,AX1800/H1800,1))),IF(R1800&gt;0,AY1800/R1800,0))/MAX(0.1,N(Parameter!$M$21)))</f>
        <v>0</v>
      </c>
      <c r="BA1800" s="50" t="n">
        <f aca="false">AZ1800*BY1800</f>
        <v>0</v>
      </c>
      <c r="BB1800" s="50" t="n">
        <f aca="false">AX1800*G1800</f>
        <v>0</v>
      </c>
      <c r="BC1800" s="50" t="n">
        <f aca="false">ROUNDUP(MAX(J1800/IF(CD1800&gt;0,CD1800,MAX(0.1,N(Cockpit!$O$6))),CG1800)/BV1800,0)*BV1800</f>
        <v>0</v>
      </c>
      <c r="BD1800" s="51" t="n">
        <f aca="false">IF(BA1800&gt;0,J1800/BA1800,-1)</f>
        <v>-1</v>
      </c>
      <c r="BE1800" s="51" t="str">
        <f aca="false">IF(AND(OR(CC1800="L1",CC1800="L23",CC1800="LIFT"),BA1800&gt;0),SUMIFS($BA$7:$BA$1843,$CC$7:$CC$1843,CC1800,$BD$7:$BD$1843,"&gt;"&amp;BD1800)+SUMIFS($BA$7:$BA$1843,$CC$7:$CC$1843,CC1800,$BD$7:$BD$1843,BD1800,$BT$7:$BT$1843,"&lt;="&amp;BT1800),"")</f>
        <v/>
      </c>
      <c r="BF1800" s="58" t="n">
        <f aca="false">IF(BE1800="",0,MAX(0,MIN(1,(IF(CC1800="L1",Parameter!$H$5,IF(CC1800="L23",Parameter!$H$6+Parameter!$H$7,Parameter!$H$5+Parameter!$H$6+Parameter!$H$7))-(BE1800-BA1800))/BA1800)))</f>
        <v>0</v>
      </c>
      <c r="BG1800" s="48" t="str">
        <f aca="false">IF(AI1800&lt;=0,"",IF(CC1800="Aussen","Aussenlager",IF(CC1800="-","Nicht im Lift",IF(AN1800&gt;=1,"Lift",IF(AN1800&lt;=0,"Aussenlager","teilweise")))))</f>
        <v/>
      </c>
      <c r="BH1800" s="48" t="str">
        <f aca="false">IF(AR1800&lt;=0,"",IF(CC1800="Aussen","Aussenlager",IF(CC1800="-","Nicht im Lift",IF(AW1800&gt;=1,"Lift",IF(AW1800&lt;=0,"Aussenlager","teilweise")))))</f>
        <v/>
      </c>
      <c r="BI1800" s="48" t="str">
        <f aca="false">IF(BA1800&lt;=0,"",IF(CC1800="Aussen","Aussenlager",IF(CC1800="-","Nicht im Lift",IF(BF1800&gt;=1,"Lift",IF(BF1800&lt;=0,"Aussenlager","teilweise")))))</f>
        <v/>
      </c>
      <c r="BJ1800" s="48" t="str">
        <f aca="false">IF(A1800="","",IF(BS1800=1,"Neu; ","")&amp;IF(AND(BS1800=0,BN1800&lt;0),"negativer Bestand (Export "&amp;BN1800&amp;"); ","")&amp;IF(J1800&lt;=0,"Kein Verbrauch; ","")&amp;IF(CL1800&gt;0,"Lift "&amp;W1800&amp;" lt. Liftbericht (Fach "&amp;X1800&amp;" Stk); ",IF(BX1800=1,"Gebinde geschätzt ("&amp;T1800&amp;"); ",IF(BW1800=1,"Lose – Tablare geschätzt; ","")))&amp;IF(H1800&gt;AT1800,"Überbestand "&amp;ROUND(H1800-AT1800,0)&amp;" Stk / CHF "&amp;ROUND((H1800-AT1800)*G1800,0)&amp;"; ","")&amp;IF(AND(CE1800=1,CF1800&lt;CG1800),"MAX &lt; MB+LG; ","")&amp;IF(AND(CK1800&gt;0,CJ1800*10&gt;CK1800),"zu hoch für Tablar; ","")&amp;IF(AND(BS1800=0,OR(CE1800=1,AA1800&lt;&gt;"",U1800&lt;&gt;"",V1800&lt;&gt;"",AB1800&lt;&gt;"")),"manuell übersteuert; ","")&amp;IF(AND(BW1800=0,R1800=0),"Gebinde unbekannt / Stellmass fehlt; ","")&amp;IF(AND(BW1800=0,N(V1800)&lt;=0,N(Q1800)&lt;=0),"Menge pro Gebinde fehlt (Ist = 1 Gebinde); ","")&amp;BR1800)</f>
        <v/>
      </c>
      <c r="BK1800" s="48"/>
      <c r="BL1800" s="48"/>
      <c r="BM1800" s="55"/>
      <c r="BN1800" s="50" t="n">
        <f aca="false">N('Neue Artikel'!$D$61)</f>
        <v>0</v>
      </c>
      <c r="BO1800" s="50" t="n">
        <v>0</v>
      </c>
      <c r="BP1800" s="49" t="n">
        <v>0</v>
      </c>
      <c r="BQ1800" s="50" t="n">
        <f aca="false">N('Neue Artikel'!$C$61)/Parameter!$B$18</f>
        <v>0</v>
      </c>
      <c r="BR1800" s="48"/>
      <c r="BS1800" s="53" t="n">
        <v>1</v>
      </c>
      <c r="BT1800" s="53" t="n">
        <v>1800</v>
      </c>
      <c r="BU1800" s="48" t="str">
        <f aca="false">IF(U1800&lt;&gt;"",UPPER(TRIM(U1800)),IF(BX1800=1,UPPER(VLOOKUP(T1800,Parameter!$I$27:$K$29,2,0)),IF(P1800="","LOSE",P1800)))</f>
        <v>LOSE</v>
      </c>
      <c r="BV1800" s="50" t="n">
        <f aca="false">IF(BU1800="LOSE",1,IF(N(V1800)&gt;0,V1800,IF(BX1800=1,MAX(1,N(VLOOKUP(T1800,Parameter!$I$27:$K$29,3,0)),H1800,N(N1800)),IF(N(Q1800)&gt;0,Q1800,MAX(1,H1800)))))</f>
        <v>1</v>
      </c>
      <c r="BW1800" s="53" t="n">
        <f aca="false">IF(BU1800="LOSE",1,0)</f>
        <v>1</v>
      </c>
      <c r="BX1800" s="53" t="n">
        <f aca="false">IF(AND(U1800="",OR(P1800="",P1800="LOSE"),T1800&lt;&gt;"",N(S1800)&lt;=0,ISNUMBER(MATCH(T1800,Parameter!$I$27:$I$29,0))),1,0)</f>
        <v>0</v>
      </c>
      <c r="BY1800" s="53" t="n">
        <f aca="false">IF(CL1800&gt;0,INDEX(Parameter!$H$5:$H$7,W1800)/INDEX(Parameter!$E$5:$E$7,W1800),IF(AND(BW1800=0,N(IFERROR(VLOOKUP(BU1800,'Gebinde-Kategorie'!$A$5:$N$45,14,0),0))&gt;0),VLOOKUP(BU1800,'Gebinde-Kategorie'!$A$5:$N$45,14,0)*10+Parameter!$M$23,Parameter!$M$24))</f>
        <v>235</v>
      </c>
      <c r="BZ1800" s="48" t="str">
        <f aca="false">IF(AND(Parameter!$B$19="Ja",E1800&lt;&gt;"",ISNUMBER(MATCH(E1800,Parameter!$I$35:$I$52,0))),VLOOKUP(E1800,Parameter!$I$35:$J$52,2,0),IFERROR(VLOOKUP(D1800,Parameter!$A$35:$C$64,2,0),"Nein"))</f>
        <v>2+3</v>
      </c>
      <c r="CA1800" s="52" t="n">
        <f aca="false">IF(BW1800=0,0,IF(N(S1800)&gt;0,S1800,IFERROR(VLOOKUP(D1800,Parameter!$A$35:$C$64,3,0)+0,0)))</f>
        <v>0.15</v>
      </c>
      <c r="CB1800" s="48" t="str">
        <f aca="false">IF(AA1800&lt;&gt;"",AA1800,Z1800)</f>
        <v/>
      </c>
      <c r="CC1800" s="48" t="str">
        <f aca="false">IF(OR(CB1800=1,CB1800=2,CB1800=3),IF(Parameter!$E$27="Ja","LIFT",IF(CB1800=1,"L1","L23")),IF(CB1800="Aussen","Aussen","-"))</f>
        <v>-</v>
      </c>
      <c r="CD1800" s="59" t="n">
        <f aca="false">IF(N(AB1800)&gt;0,AB1800,0)</f>
        <v>0</v>
      </c>
      <c r="CE1800" s="53" t="n">
        <f aca="false">IF(ISNUMBER(AE1800),1,0)</f>
        <v>0</v>
      </c>
      <c r="CF1800" s="50" t="n">
        <f aca="false">N(AE1800)</f>
        <v>0</v>
      </c>
      <c r="CG1800" s="50" t="n">
        <f aca="false">N(M1800)+N(N1800)</f>
        <v>0</v>
      </c>
      <c r="CH1800" s="50" t="n">
        <f aca="false">ROUNDUP(H1800/BV1800,0)</f>
        <v>0</v>
      </c>
      <c r="CI1800" s="50" t="n">
        <f aca="false">ROUNDUP(CF1800/BV1800,0)</f>
        <v>0</v>
      </c>
      <c r="CJ1800" s="53" t="n">
        <f aca="false">IF(BW1800=1,0,IFERROR(VLOOKUP(BU1800,'Gebinde-Kategorie'!$A$5:$N$45,5,0)+0,0))</f>
        <v>0</v>
      </c>
      <c r="CK1800" s="53" t="n">
        <f aca="false">IFERROR(IF(OR(CB1800=1,CB1800=2,CB1800=3),N(INDEX(Parameter!$I$5:$I$7,CB1800)),0),0)</f>
        <v>0</v>
      </c>
      <c r="CL1800" s="52" t="n">
        <f aca="false">IF(AND(Parameter!$B$21="Ja",ISNUMBER(W1800),N(X1800)&gt;0),IFERROR(N(INDEX(Parameter!$L$5:$L$7,W1800))*INDEX(Parameter!$E$5:$E$7,W1800)*X1800/SUMIFS($X$7:$X$1843,$W$7:$W$1843,W1800),0),0)</f>
        <v>0</v>
      </c>
    </row>
    <row r="1801" customFormat="false" ht="15" hidden="false" customHeight="false" outlineLevel="0" collapsed="false">
      <c r="A1801" s="48" t="str">
        <f aca="false">IF('Neue Artikel'!$A$62="","",'Neue Artikel'!$A$62&amp;"")</f>
        <v/>
      </c>
      <c r="B1801" s="48" t="str">
        <f aca="false">'Neue Artikel'!$B$62&amp;""</f>
        <v/>
      </c>
      <c r="C1801" s="48"/>
      <c r="D1801" s="48" t="s">
        <v>3019</v>
      </c>
      <c r="E1801" s="48"/>
      <c r="F1801" s="48"/>
      <c r="G1801" s="49" t="n">
        <f aca="false">N('Neue Artikel'!$G$62)</f>
        <v>0</v>
      </c>
      <c r="H1801" s="50" t="n">
        <f aca="false">MAX(0,IF(AND(Parameter!$B$21="Ja",ISNUMBER(Y1801)),Y1801,IF(Parameter!$B$20="Jahresanfang 2025 + Export",BO1801+BN1801,BN1801)))</f>
        <v>0</v>
      </c>
      <c r="I1801" s="50" t="n">
        <f aca="false">H1801*G1801</f>
        <v>0</v>
      </c>
      <c r="J1801" s="50" t="n">
        <f aca="false">BQ1801*Parameter!$B$18</f>
        <v>0</v>
      </c>
      <c r="K1801" s="51"/>
      <c r="L1801" s="52"/>
      <c r="M1801" s="50" t="n">
        <f aca="false">N('Neue Artikel'!$E$62)</f>
        <v>0</v>
      </c>
      <c r="N1801" s="50" t="n">
        <f aca="false">N('Neue Artikel'!$F$62)</f>
        <v>0</v>
      </c>
      <c r="O1801" s="53"/>
      <c r="P1801" s="48" t="str">
        <f aca="false">IF('Neue Artikel'!$H$62="","LOSE",UPPER(TRIM('Neue Artikel'!$H$62)))</f>
        <v>LOSE</v>
      </c>
      <c r="Q1801" s="50" t="n">
        <f aca="false">N('Neue Artikel'!$I$62)</f>
        <v>0</v>
      </c>
      <c r="R1801" s="53" t="n">
        <f aca="false">IF(BW1801=1,0,IFERROR(VLOOKUP(BU1801,'Gebinde-Kategorie'!$A$5:$N$45,13,0)+0,0))</f>
        <v>0</v>
      </c>
      <c r="S1801" s="54"/>
      <c r="T1801" s="55"/>
      <c r="U1801" s="55"/>
      <c r="V1801" s="55"/>
      <c r="W1801" s="48"/>
      <c r="X1801" s="50"/>
      <c r="Y1801" s="50"/>
      <c r="Z1801" s="48" t="str">
        <f aca="false">IF(A1801="","",IF(AND(Parameter!$B$21="Ja",ISNUMBER(W1801)),W1801,IF(BZ1801="2+3",IF(ISNUMBER(SEARCH("grosser Artikel",BR1801)),2,IFERROR(VLOOKUP(BU1801,Parameter!$F$35:$G$64,2,0),2)),IF(OR(BZ1801="Nein",BZ1801=""),"-",BZ1801))))</f>
        <v/>
      </c>
      <c r="AA1801" s="48" t="str">
        <f aca="false">IF('Neue Artikel'!$J$62="","",'Neue Artikel'!$J$62)</f>
        <v/>
      </c>
      <c r="AB1801" s="56"/>
      <c r="AC1801" s="50" t="n">
        <f aca="false">AT1801</f>
        <v>0</v>
      </c>
      <c r="AD1801" s="50" t="n">
        <f aca="false">MAX(AT1801,H1801)</f>
        <v>0</v>
      </c>
      <c r="AE1801" s="57"/>
      <c r="AF1801" s="50" t="n">
        <f aca="false">IF(LEFT(Cockpit!$C$5,1)="A",H1801,IF(CE1801=1,CF1801,IF(LEFT(Cockpit!$C$5,1)="B",AK1801,MAX(AK1801,H1801))))</f>
        <v>0</v>
      </c>
      <c r="AG1801" s="50" t="n">
        <f aca="false">IF(BW1801=1,0,ROUNDUP(AF1801/BV1801,0))</f>
        <v>0</v>
      </c>
      <c r="AH1801" s="52" t="n">
        <f aca="false">IF(CL1801&gt;0,CL1801*MAX(1,AF1801/X1801),IF(BW1801=1,IF(AF1801&lt;=0,0,CA1801*MAX(1,IF(H1801&gt;0,AF1801/H1801,1))),IF(R1801&gt;0,AG1801/R1801,0))/MAX(0.1,N(Parameter!$M$21)))</f>
        <v>0</v>
      </c>
      <c r="AI1801" s="50" t="n">
        <f aca="false">AH1801*BY1801</f>
        <v>0</v>
      </c>
      <c r="AJ1801" s="50" t="n">
        <f aca="false">AF1801*G1801</f>
        <v>0</v>
      </c>
      <c r="AK1801" s="50" t="n">
        <f aca="false">ROUNDUP(MAX(J1801/IF(CD1801&gt;0,CD1801,MAX(0.1,N(Cockpit!$C$6))),CG1801)/BV1801,0)*BV1801</f>
        <v>0</v>
      </c>
      <c r="AL1801" s="51" t="n">
        <f aca="false">IF(AI1801&gt;0,J1801/AI1801,-1)</f>
        <v>-1</v>
      </c>
      <c r="AM1801" s="51" t="str">
        <f aca="false">IF(AND(OR(CC1801="L1",CC1801="L23",CC1801="LIFT"),AI1801&gt;0),SUMIFS($AI$7:$AI$1843,$CC$7:$CC$1843,CC1801,$AL$7:$AL$1843,"&gt;"&amp;AL1801)+SUMIFS($AI$7:$AI$1843,$CC$7:$CC$1843,CC1801,$AL$7:$AL$1843,AL1801,$BT$7:$BT$1843,"&lt;="&amp;BT1801),"")</f>
        <v/>
      </c>
      <c r="AN1801" s="58" t="n">
        <f aca="false">IF(AM1801="",0,MAX(0,MIN(1,(IF(CC1801="L1",Parameter!$H$5,IF(CC1801="L23",Parameter!$H$6+Parameter!$H$7,Parameter!$H$5+Parameter!$H$6+Parameter!$H$7))-(AM1801-AI1801))/AI1801)))</f>
        <v>0</v>
      </c>
      <c r="AO1801" s="50" t="n">
        <f aca="false">IF(LEFT(Cockpit!$I$5,1)="A",H1801,IF(CE1801=1,CF1801,IF(LEFT(Cockpit!$I$5,1)="B",AT1801,MAX(AT1801,H1801))))</f>
        <v>0</v>
      </c>
      <c r="AP1801" s="50" t="n">
        <f aca="false">IF(BW1801=1,0,ROUNDUP(AO1801/BV1801,0))</f>
        <v>0</v>
      </c>
      <c r="AQ1801" s="52" t="n">
        <f aca="false">IF(CL1801&gt;0,CL1801*MAX(1,AO1801/X1801),IF(BW1801=1,IF(AO1801&lt;=0,0,CA1801*MAX(1,IF(H1801&gt;0,AO1801/H1801,1))),IF(R1801&gt;0,AP1801/R1801,0))/MAX(0.1,N(Parameter!$M$21)))</f>
        <v>0</v>
      </c>
      <c r="AR1801" s="50" t="n">
        <f aca="false">AQ1801*BY1801</f>
        <v>0</v>
      </c>
      <c r="AS1801" s="50" t="n">
        <f aca="false">AO1801*G1801</f>
        <v>0</v>
      </c>
      <c r="AT1801" s="50" t="n">
        <f aca="false">ROUNDUP(MAX(J1801/IF(CD1801&gt;0,CD1801,MAX(0.1,N(Cockpit!$I$6))),CG1801)/BV1801,0)*BV1801</f>
        <v>0</v>
      </c>
      <c r="AU1801" s="51" t="n">
        <f aca="false">IF(AR1801&gt;0,J1801/AR1801,-1)</f>
        <v>-1</v>
      </c>
      <c r="AV1801" s="51" t="str">
        <f aca="false">IF(AND(OR(CC1801="L1",CC1801="L23",CC1801="LIFT"),AR1801&gt;0),SUMIFS($AR$7:$AR$1843,$CC$7:$CC$1843,CC1801,$AU$7:$AU$1843,"&gt;"&amp;AU1801)+SUMIFS($AR$7:$AR$1843,$CC$7:$CC$1843,CC1801,$AU$7:$AU$1843,AU1801,$BT$7:$BT$1843,"&lt;="&amp;BT1801),"")</f>
        <v/>
      </c>
      <c r="AW1801" s="58" t="n">
        <f aca="false">IF(AV1801="",0,MAX(0,MIN(1,(IF(CC1801="L1",Parameter!$H$5,IF(CC1801="L23",Parameter!$H$6+Parameter!$H$7,Parameter!$H$5+Parameter!$H$6+Parameter!$H$7))-(AV1801-AR1801))/AR1801)))</f>
        <v>0</v>
      </c>
      <c r="AX1801" s="50" t="n">
        <f aca="false">IF(LEFT(Cockpit!$O$5,1)="A",H1801,IF(CE1801=1,CF1801,IF(LEFT(Cockpit!$O$5,1)="B",BC1801,MAX(BC1801,H1801))))</f>
        <v>0</v>
      </c>
      <c r="AY1801" s="50" t="n">
        <f aca="false">IF(BW1801=1,0,ROUNDUP(AX1801/BV1801,0))</f>
        <v>0</v>
      </c>
      <c r="AZ1801" s="52" t="n">
        <f aca="false">IF(CL1801&gt;0,CL1801*MAX(1,AX1801/X1801),IF(BW1801=1,IF(AX1801&lt;=0,0,CA1801*MAX(1,IF(H1801&gt;0,AX1801/H1801,1))),IF(R1801&gt;0,AY1801/R1801,0))/MAX(0.1,N(Parameter!$M$21)))</f>
        <v>0</v>
      </c>
      <c r="BA1801" s="50" t="n">
        <f aca="false">AZ1801*BY1801</f>
        <v>0</v>
      </c>
      <c r="BB1801" s="50" t="n">
        <f aca="false">AX1801*G1801</f>
        <v>0</v>
      </c>
      <c r="BC1801" s="50" t="n">
        <f aca="false">ROUNDUP(MAX(J1801/IF(CD1801&gt;0,CD1801,MAX(0.1,N(Cockpit!$O$6))),CG1801)/BV1801,0)*BV1801</f>
        <v>0</v>
      </c>
      <c r="BD1801" s="51" t="n">
        <f aca="false">IF(BA1801&gt;0,J1801/BA1801,-1)</f>
        <v>-1</v>
      </c>
      <c r="BE1801" s="51" t="str">
        <f aca="false">IF(AND(OR(CC1801="L1",CC1801="L23",CC1801="LIFT"),BA1801&gt;0),SUMIFS($BA$7:$BA$1843,$CC$7:$CC$1843,CC1801,$BD$7:$BD$1843,"&gt;"&amp;BD1801)+SUMIFS($BA$7:$BA$1843,$CC$7:$CC$1843,CC1801,$BD$7:$BD$1843,BD1801,$BT$7:$BT$1843,"&lt;="&amp;BT1801),"")</f>
        <v/>
      </c>
      <c r="BF1801" s="58" t="n">
        <f aca="false">IF(BE1801="",0,MAX(0,MIN(1,(IF(CC1801="L1",Parameter!$H$5,IF(CC1801="L23",Parameter!$H$6+Parameter!$H$7,Parameter!$H$5+Parameter!$H$6+Parameter!$H$7))-(BE1801-BA1801))/BA1801)))</f>
        <v>0</v>
      </c>
      <c r="BG1801" s="48" t="str">
        <f aca="false">IF(AI1801&lt;=0,"",IF(CC1801="Aussen","Aussenlager",IF(CC1801="-","Nicht im Lift",IF(AN1801&gt;=1,"Lift",IF(AN1801&lt;=0,"Aussenlager","teilweise")))))</f>
        <v/>
      </c>
      <c r="BH1801" s="48" t="str">
        <f aca="false">IF(AR1801&lt;=0,"",IF(CC1801="Aussen","Aussenlager",IF(CC1801="-","Nicht im Lift",IF(AW1801&gt;=1,"Lift",IF(AW1801&lt;=0,"Aussenlager","teilweise")))))</f>
        <v/>
      </c>
      <c r="BI1801" s="48" t="str">
        <f aca="false">IF(BA1801&lt;=0,"",IF(CC1801="Aussen","Aussenlager",IF(CC1801="-","Nicht im Lift",IF(BF1801&gt;=1,"Lift",IF(BF1801&lt;=0,"Aussenlager","teilweise")))))</f>
        <v/>
      </c>
      <c r="BJ1801" s="48" t="str">
        <f aca="false">IF(A1801="","",IF(BS1801=1,"Neu; ","")&amp;IF(AND(BS1801=0,BN1801&lt;0),"negativer Bestand (Export "&amp;BN1801&amp;"); ","")&amp;IF(J1801&lt;=0,"Kein Verbrauch; ","")&amp;IF(CL1801&gt;0,"Lift "&amp;W1801&amp;" lt. Liftbericht (Fach "&amp;X1801&amp;" Stk); ",IF(BX1801=1,"Gebinde geschätzt ("&amp;T1801&amp;"); ",IF(BW1801=1,"Lose – Tablare geschätzt; ","")))&amp;IF(H1801&gt;AT1801,"Überbestand "&amp;ROUND(H1801-AT1801,0)&amp;" Stk / CHF "&amp;ROUND((H1801-AT1801)*G1801,0)&amp;"; ","")&amp;IF(AND(CE1801=1,CF1801&lt;CG1801),"MAX &lt; MB+LG; ","")&amp;IF(AND(CK1801&gt;0,CJ1801*10&gt;CK1801),"zu hoch für Tablar; ","")&amp;IF(AND(BS1801=0,OR(CE1801=1,AA1801&lt;&gt;"",U1801&lt;&gt;"",V1801&lt;&gt;"",AB1801&lt;&gt;"")),"manuell übersteuert; ","")&amp;IF(AND(BW1801=0,R1801=0),"Gebinde unbekannt / Stellmass fehlt; ","")&amp;IF(AND(BW1801=0,N(V1801)&lt;=0,N(Q1801)&lt;=0),"Menge pro Gebinde fehlt (Ist = 1 Gebinde); ","")&amp;BR1801)</f>
        <v/>
      </c>
      <c r="BK1801" s="48"/>
      <c r="BL1801" s="48"/>
      <c r="BM1801" s="55"/>
      <c r="BN1801" s="50" t="n">
        <f aca="false">N('Neue Artikel'!$D$62)</f>
        <v>0</v>
      </c>
      <c r="BO1801" s="50" t="n">
        <v>0</v>
      </c>
      <c r="BP1801" s="49" t="n">
        <v>0</v>
      </c>
      <c r="BQ1801" s="50" t="n">
        <f aca="false">N('Neue Artikel'!$C$62)/Parameter!$B$18</f>
        <v>0</v>
      </c>
      <c r="BR1801" s="48"/>
      <c r="BS1801" s="53" t="n">
        <v>1</v>
      </c>
      <c r="BT1801" s="53" t="n">
        <v>1801</v>
      </c>
      <c r="BU1801" s="48" t="str">
        <f aca="false">IF(U1801&lt;&gt;"",UPPER(TRIM(U1801)),IF(BX1801=1,UPPER(VLOOKUP(T1801,Parameter!$I$27:$K$29,2,0)),IF(P1801="","LOSE",P1801)))</f>
        <v>LOSE</v>
      </c>
      <c r="BV1801" s="50" t="n">
        <f aca="false">IF(BU1801="LOSE",1,IF(N(V1801)&gt;0,V1801,IF(BX1801=1,MAX(1,N(VLOOKUP(T1801,Parameter!$I$27:$K$29,3,0)),H1801,N(N1801)),IF(N(Q1801)&gt;0,Q1801,MAX(1,H1801)))))</f>
        <v>1</v>
      </c>
      <c r="BW1801" s="53" t="n">
        <f aca="false">IF(BU1801="LOSE",1,0)</f>
        <v>1</v>
      </c>
      <c r="BX1801" s="53" t="n">
        <f aca="false">IF(AND(U1801="",OR(P1801="",P1801="LOSE"),T1801&lt;&gt;"",N(S1801)&lt;=0,ISNUMBER(MATCH(T1801,Parameter!$I$27:$I$29,0))),1,0)</f>
        <v>0</v>
      </c>
      <c r="BY1801" s="53" t="n">
        <f aca="false">IF(CL1801&gt;0,INDEX(Parameter!$H$5:$H$7,W1801)/INDEX(Parameter!$E$5:$E$7,W1801),IF(AND(BW1801=0,N(IFERROR(VLOOKUP(BU1801,'Gebinde-Kategorie'!$A$5:$N$45,14,0),0))&gt;0),VLOOKUP(BU1801,'Gebinde-Kategorie'!$A$5:$N$45,14,0)*10+Parameter!$M$23,Parameter!$M$24))</f>
        <v>235</v>
      </c>
      <c r="BZ1801" s="48" t="str">
        <f aca="false">IF(AND(Parameter!$B$19="Ja",E1801&lt;&gt;"",ISNUMBER(MATCH(E1801,Parameter!$I$35:$I$52,0))),VLOOKUP(E1801,Parameter!$I$35:$J$52,2,0),IFERROR(VLOOKUP(D1801,Parameter!$A$35:$C$64,2,0),"Nein"))</f>
        <v>2+3</v>
      </c>
      <c r="CA1801" s="52" t="n">
        <f aca="false">IF(BW1801=0,0,IF(N(S1801)&gt;0,S1801,IFERROR(VLOOKUP(D1801,Parameter!$A$35:$C$64,3,0)+0,0)))</f>
        <v>0.15</v>
      </c>
      <c r="CB1801" s="48" t="str">
        <f aca="false">IF(AA1801&lt;&gt;"",AA1801,Z1801)</f>
        <v/>
      </c>
      <c r="CC1801" s="48" t="str">
        <f aca="false">IF(OR(CB1801=1,CB1801=2,CB1801=3),IF(Parameter!$E$27="Ja","LIFT",IF(CB1801=1,"L1","L23")),IF(CB1801="Aussen","Aussen","-"))</f>
        <v>-</v>
      </c>
      <c r="CD1801" s="59" t="n">
        <f aca="false">IF(N(AB1801)&gt;0,AB1801,0)</f>
        <v>0</v>
      </c>
      <c r="CE1801" s="53" t="n">
        <f aca="false">IF(ISNUMBER(AE1801),1,0)</f>
        <v>0</v>
      </c>
      <c r="CF1801" s="50" t="n">
        <f aca="false">N(AE1801)</f>
        <v>0</v>
      </c>
      <c r="CG1801" s="50" t="n">
        <f aca="false">N(M1801)+N(N1801)</f>
        <v>0</v>
      </c>
      <c r="CH1801" s="50" t="n">
        <f aca="false">ROUNDUP(H1801/BV1801,0)</f>
        <v>0</v>
      </c>
      <c r="CI1801" s="50" t="n">
        <f aca="false">ROUNDUP(CF1801/BV1801,0)</f>
        <v>0</v>
      </c>
      <c r="CJ1801" s="53" t="n">
        <f aca="false">IF(BW1801=1,0,IFERROR(VLOOKUP(BU1801,'Gebinde-Kategorie'!$A$5:$N$45,5,0)+0,0))</f>
        <v>0</v>
      </c>
      <c r="CK1801" s="53" t="n">
        <f aca="false">IFERROR(IF(OR(CB1801=1,CB1801=2,CB1801=3),N(INDEX(Parameter!$I$5:$I$7,CB1801)),0),0)</f>
        <v>0</v>
      </c>
      <c r="CL1801" s="52" t="n">
        <f aca="false">IF(AND(Parameter!$B$21="Ja",ISNUMBER(W1801),N(X1801)&gt;0),IFERROR(N(INDEX(Parameter!$L$5:$L$7,W1801))*INDEX(Parameter!$E$5:$E$7,W1801)*X1801/SUMIFS($X$7:$X$1843,$W$7:$W$1843,W1801),0),0)</f>
        <v>0</v>
      </c>
    </row>
    <row r="1802" customFormat="false" ht="15" hidden="false" customHeight="false" outlineLevel="0" collapsed="false">
      <c r="A1802" s="48" t="str">
        <f aca="false">IF('Neue Artikel'!$A$63="","",'Neue Artikel'!$A$63&amp;"")</f>
        <v/>
      </c>
      <c r="B1802" s="48" t="str">
        <f aca="false">'Neue Artikel'!$B$63&amp;""</f>
        <v/>
      </c>
      <c r="C1802" s="48"/>
      <c r="D1802" s="48" t="s">
        <v>3019</v>
      </c>
      <c r="E1802" s="48"/>
      <c r="F1802" s="48"/>
      <c r="G1802" s="49" t="n">
        <f aca="false">N('Neue Artikel'!$G$63)</f>
        <v>0</v>
      </c>
      <c r="H1802" s="50" t="n">
        <f aca="false">MAX(0,IF(AND(Parameter!$B$21="Ja",ISNUMBER(Y1802)),Y1802,IF(Parameter!$B$20="Jahresanfang 2025 + Export",BO1802+BN1802,BN1802)))</f>
        <v>0</v>
      </c>
      <c r="I1802" s="50" t="n">
        <f aca="false">H1802*G1802</f>
        <v>0</v>
      </c>
      <c r="J1802" s="50" t="n">
        <f aca="false">BQ1802*Parameter!$B$18</f>
        <v>0</v>
      </c>
      <c r="K1802" s="51"/>
      <c r="L1802" s="52"/>
      <c r="M1802" s="50" t="n">
        <f aca="false">N('Neue Artikel'!$E$63)</f>
        <v>0</v>
      </c>
      <c r="N1802" s="50" t="n">
        <f aca="false">N('Neue Artikel'!$F$63)</f>
        <v>0</v>
      </c>
      <c r="O1802" s="53"/>
      <c r="P1802" s="48" t="str">
        <f aca="false">IF('Neue Artikel'!$H$63="","LOSE",UPPER(TRIM('Neue Artikel'!$H$63)))</f>
        <v>LOSE</v>
      </c>
      <c r="Q1802" s="50" t="n">
        <f aca="false">N('Neue Artikel'!$I$63)</f>
        <v>0</v>
      </c>
      <c r="R1802" s="53" t="n">
        <f aca="false">IF(BW1802=1,0,IFERROR(VLOOKUP(BU1802,'Gebinde-Kategorie'!$A$5:$N$45,13,0)+0,0))</f>
        <v>0</v>
      </c>
      <c r="S1802" s="54"/>
      <c r="T1802" s="55"/>
      <c r="U1802" s="55"/>
      <c r="V1802" s="55"/>
      <c r="W1802" s="48"/>
      <c r="X1802" s="50"/>
      <c r="Y1802" s="50"/>
      <c r="Z1802" s="48" t="str">
        <f aca="false">IF(A1802="","",IF(AND(Parameter!$B$21="Ja",ISNUMBER(W1802)),W1802,IF(BZ1802="2+3",IF(ISNUMBER(SEARCH("grosser Artikel",BR1802)),2,IFERROR(VLOOKUP(BU1802,Parameter!$F$35:$G$64,2,0),2)),IF(OR(BZ1802="Nein",BZ1802=""),"-",BZ1802))))</f>
        <v/>
      </c>
      <c r="AA1802" s="48" t="str">
        <f aca="false">IF('Neue Artikel'!$J$63="","",'Neue Artikel'!$J$63)</f>
        <v/>
      </c>
      <c r="AB1802" s="56"/>
      <c r="AC1802" s="50" t="n">
        <f aca="false">AT1802</f>
        <v>0</v>
      </c>
      <c r="AD1802" s="50" t="n">
        <f aca="false">MAX(AT1802,H1802)</f>
        <v>0</v>
      </c>
      <c r="AE1802" s="57"/>
      <c r="AF1802" s="50" t="n">
        <f aca="false">IF(LEFT(Cockpit!$C$5,1)="A",H1802,IF(CE1802=1,CF1802,IF(LEFT(Cockpit!$C$5,1)="B",AK1802,MAX(AK1802,H1802))))</f>
        <v>0</v>
      </c>
      <c r="AG1802" s="50" t="n">
        <f aca="false">IF(BW1802=1,0,ROUNDUP(AF1802/BV1802,0))</f>
        <v>0</v>
      </c>
      <c r="AH1802" s="52" t="n">
        <f aca="false">IF(CL1802&gt;0,CL1802*MAX(1,AF1802/X1802),IF(BW1802=1,IF(AF1802&lt;=0,0,CA1802*MAX(1,IF(H1802&gt;0,AF1802/H1802,1))),IF(R1802&gt;0,AG1802/R1802,0))/MAX(0.1,N(Parameter!$M$21)))</f>
        <v>0</v>
      </c>
      <c r="AI1802" s="50" t="n">
        <f aca="false">AH1802*BY1802</f>
        <v>0</v>
      </c>
      <c r="AJ1802" s="50" t="n">
        <f aca="false">AF1802*G1802</f>
        <v>0</v>
      </c>
      <c r="AK1802" s="50" t="n">
        <f aca="false">ROUNDUP(MAX(J1802/IF(CD1802&gt;0,CD1802,MAX(0.1,N(Cockpit!$C$6))),CG1802)/BV1802,0)*BV1802</f>
        <v>0</v>
      </c>
      <c r="AL1802" s="51" t="n">
        <f aca="false">IF(AI1802&gt;0,J1802/AI1802,-1)</f>
        <v>-1</v>
      </c>
      <c r="AM1802" s="51" t="str">
        <f aca="false">IF(AND(OR(CC1802="L1",CC1802="L23",CC1802="LIFT"),AI1802&gt;0),SUMIFS($AI$7:$AI$1843,$CC$7:$CC$1843,CC1802,$AL$7:$AL$1843,"&gt;"&amp;AL1802)+SUMIFS($AI$7:$AI$1843,$CC$7:$CC$1843,CC1802,$AL$7:$AL$1843,AL1802,$BT$7:$BT$1843,"&lt;="&amp;BT1802),"")</f>
        <v/>
      </c>
      <c r="AN1802" s="58" t="n">
        <f aca="false">IF(AM1802="",0,MAX(0,MIN(1,(IF(CC1802="L1",Parameter!$H$5,IF(CC1802="L23",Parameter!$H$6+Parameter!$H$7,Parameter!$H$5+Parameter!$H$6+Parameter!$H$7))-(AM1802-AI1802))/AI1802)))</f>
        <v>0</v>
      </c>
      <c r="AO1802" s="50" t="n">
        <f aca="false">IF(LEFT(Cockpit!$I$5,1)="A",H1802,IF(CE1802=1,CF1802,IF(LEFT(Cockpit!$I$5,1)="B",AT1802,MAX(AT1802,H1802))))</f>
        <v>0</v>
      </c>
      <c r="AP1802" s="50" t="n">
        <f aca="false">IF(BW1802=1,0,ROUNDUP(AO1802/BV1802,0))</f>
        <v>0</v>
      </c>
      <c r="AQ1802" s="52" t="n">
        <f aca="false">IF(CL1802&gt;0,CL1802*MAX(1,AO1802/X1802),IF(BW1802=1,IF(AO1802&lt;=0,0,CA1802*MAX(1,IF(H1802&gt;0,AO1802/H1802,1))),IF(R1802&gt;0,AP1802/R1802,0))/MAX(0.1,N(Parameter!$M$21)))</f>
        <v>0</v>
      </c>
      <c r="AR1802" s="50" t="n">
        <f aca="false">AQ1802*BY1802</f>
        <v>0</v>
      </c>
      <c r="AS1802" s="50" t="n">
        <f aca="false">AO1802*G1802</f>
        <v>0</v>
      </c>
      <c r="AT1802" s="50" t="n">
        <f aca="false">ROUNDUP(MAX(J1802/IF(CD1802&gt;0,CD1802,MAX(0.1,N(Cockpit!$I$6))),CG1802)/BV1802,0)*BV1802</f>
        <v>0</v>
      </c>
      <c r="AU1802" s="51" t="n">
        <f aca="false">IF(AR1802&gt;0,J1802/AR1802,-1)</f>
        <v>-1</v>
      </c>
      <c r="AV1802" s="51" t="str">
        <f aca="false">IF(AND(OR(CC1802="L1",CC1802="L23",CC1802="LIFT"),AR1802&gt;0),SUMIFS($AR$7:$AR$1843,$CC$7:$CC$1843,CC1802,$AU$7:$AU$1843,"&gt;"&amp;AU1802)+SUMIFS($AR$7:$AR$1843,$CC$7:$CC$1843,CC1802,$AU$7:$AU$1843,AU1802,$BT$7:$BT$1843,"&lt;="&amp;BT1802),"")</f>
        <v/>
      </c>
      <c r="AW1802" s="58" t="n">
        <f aca="false">IF(AV1802="",0,MAX(0,MIN(1,(IF(CC1802="L1",Parameter!$H$5,IF(CC1802="L23",Parameter!$H$6+Parameter!$H$7,Parameter!$H$5+Parameter!$H$6+Parameter!$H$7))-(AV1802-AR1802))/AR1802)))</f>
        <v>0</v>
      </c>
      <c r="AX1802" s="50" t="n">
        <f aca="false">IF(LEFT(Cockpit!$O$5,1)="A",H1802,IF(CE1802=1,CF1802,IF(LEFT(Cockpit!$O$5,1)="B",BC1802,MAX(BC1802,H1802))))</f>
        <v>0</v>
      </c>
      <c r="AY1802" s="50" t="n">
        <f aca="false">IF(BW1802=1,0,ROUNDUP(AX1802/BV1802,0))</f>
        <v>0</v>
      </c>
      <c r="AZ1802" s="52" t="n">
        <f aca="false">IF(CL1802&gt;0,CL1802*MAX(1,AX1802/X1802),IF(BW1802=1,IF(AX1802&lt;=0,0,CA1802*MAX(1,IF(H1802&gt;0,AX1802/H1802,1))),IF(R1802&gt;0,AY1802/R1802,0))/MAX(0.1,N(Parameter!$M$21)))</f>
        <v>0</v>
      </c>
      <c r="BA1802" s="50" t="n">
        <f aca="false">AZ1802*BY1802</f>
        <v>0</v>
      </c>
      <c r="BB1802" s="50" t="n">
        <f aca="false">AX1802*G1802</f>
        <v>0</v>
      </c>
      <c r="BC1802" s="50" t="n">
        <f aca="false">ROUNDUP(MAX(J1802/IF(CD1802&gt;0,CD1802,MAX(0.1,N(Cockpit!$O$6))),CG1802)/BV1802,0)*BV1802</f>
        <v>0</v>
      </c>
      <c r="BD1802" s="51" t="n">
        <f aca="false">IF(BA1802&gt;0,J1802/BA1802,-1)</f>
        <v>-1</v>
      </c>
      <c r="BE1802" s="51" t="str">
        <f aca="false">IF(AND(OR(CC1802="L1",CC1802="L23",CC1802="LIFT"),BA1802&gt;0),SUMIFS($BA$7:$BA$1843,$CC$7:$CC$1843,CC1802,$BD$7:$BD$1843,"&gt;"&amp;BD1802)+SUMIFS($BA$7:$BA$1843,$CC$7:$CC$1843,CC1802,$BD$7:$BD$1843,BD1802,$BT$7:$BT$1843,"&lt;="&amp;BT1802),"")</f>
        <v/>
      </c>
      <c r="BF1802" s="58" t="n">
        <f aca="false">IF(BE1802="",0,MAX(0,MIN(1,(IF(CC1802="L1",Parameter!$H$5,IF(CC1802="L23",Parameter!$H$6+Parameter!$H$7,Parameter!$H$5+Parameter!$H$6+Parameter!$H$7))-(BE1802-BA1802))/BA1802)))</f>
        <v>0</v>
      </c>
      <c r="BG1802" s="48" t="str">
        <f aca="false">IF(AI1802&lt;=0,"",IF(CC1802="Aussen","Aussenlager",IF(CC1802="-","Nicht im Lift",IF(AN1802&gt;=1,"Lift",IF(AN1802&lt;=0,"Aussenlager","teilweise")))))</f>
        <v/>
      </c>
      <c r="BH1802" s="48" t="str">
        <f aca="false">IF(AR1802&lt;=0,"",IF(CC1802="Aussen","Aussenlager",IF(CC1802="-","Nicht im Lift",IF(AW1802&gt;=1,"Lift",IF(AW1802&lt;=0,"Aussenlager","teilweise")))))</f>
        <v/>
      </c>
      <c r="BI1802" s="48" t="str">
        <f aca="false">IF(BA1802&lt;=0,"",IF(CC1802="Aussen","Aussenlager",IF(CC1802="-","Nicht im Lift",IF(BF1802&gt;=1,"Lift",IF(BF1802&lt;=0,"Aussenlager","teilweise")))))</f>
        <v/>
      </c>
      <c r="BJ1802" s="48" t="str">
        <f aca="false">IF(A1802="","",IF(BS1802=1,"Neu; ","")&amp;IF(AND(BS1802=0,BN1802&lt;0),"negativer Bestand (Export "&amp;BN1802&amp;"); ","")&amp;IF(J1802&lt;=0,"Kein Verbrauch; ","")&amp;IF(CL1802&gt;0,"Lift "&amp;W1802&amp;" lt. Liftbericht (Fach "&amp;X1802&amp;" Stk); ",IF(BX1802=1,"Gebinde geschätzt ("&amp;T1802&amp;"); ",IF(BW1802=1,"Lose – Tablare geschätzt; ","")))&amp;IF(H1802&gt;AT1802,"Überbestand "&amp;ROUND(H1802-AT1802,0)&amp;" Stk / CHF "&amp;ROUND((H1802-AT1802)*G1802,0)&amp;"; ","")&amp;IF(AND(CE1802=1,CF1802&lt;CG1802),"MAX &lt; MB+LG; ","")&amp;IF(AND(CK1802&gt;0,CJ1802*10&gt;CK1802),"zu hoch für Tablar; ","")&amp;IF(AND(BS1802=0,OR(CE1802=1,AA1802&lt;&gt;"",U1802&lt;&gt;"",V1802&lt;&gt;"",AB1802&lt;&gt;"")),"manuell übersteuert; ","")&amp;IF(AND(BW1802=0,R1802=0),"Gebinde unbekannt / Stellmass fehlt; ","")&amp;IF(AND(BW1802=0,N(V1802)&lt;=0,N(Q1802)&lt;=0),"Menge pro Gebinde fehlt (Ist = 1 Gebinde); ","")&amp;BR1802)</f>
        <v/>
      </c>
      <c r="BK1802" s="48"/>
      <c r="BL1802" s="48"/>
      <c r="BM1802" s="55"/>
      <c r="BN1802" s="50" t="n">
        <f aca="false">N('Neue Artikel'!$D$63)</f>
        <v>0</v>
      </c>
      <c r="BO1802" s="50" t="n">
        <v>0</v>
      </c>
      <c r="BP1802" s="49" t="n">
        <v>0</v>
      </c>
      <c r="BQ1802" s="50" t="n">
        <f aca="false">N('Neue Artikel'!$C$63)/Parameter!$B$18</f>
        <v>0</v>
      </c>
      <c r="BR1802" s="48"/>
      <c r="BS1802" s="53" t="n">
        <v>1</v>
      </c>
      <c r="BT1802" s="53" t="n">
        <v>1802</v>
      </c>
      <c r="BU1802" s="48" t="str">
        <f aca="false">IF(U1802&lt;&gt;"",UPPER(TRIM(U1802)),IF(BX1802=1,UPPER(VLOOKUP(T1802,Parameter!$I$27:$K$29,2,0)),IF(P1802="","LOSE",P1802)))</f>
        <v>LOSE</v>
      </c>
      <c r="BV1802" s="50" t="n">
        <f aca="false">IF(BU1802="LOSE",1,IF(N(V1802)&gt;0,V1802,IF(BX1802=1,MAX(1,N(VLOOKUP(T1802,Parameter!$I$27:$K$29,3,0)),H1802,N(N1802)),IF(N(Q1802)&gt;0,Q1802,MAX(1,H1802)))))</f>
        <v>1</v>
      </c>
      <c r="BW1802" s="53" t="n">
        <f aca="false">IF(BU1802="LOSE",1,0)</f>
        <v>1</v>
      </c>
      <c r="BX1802" s="53" t="n">
        <f aca="false">IF(AND(U1802="",OR(P1802="",P1802="LOSE"),T1802&lt;&gt;"",N(S1802)&lt;=0,ISNUMBER(MATCH(T1802,Parameter!$I$27:$I$29,0))),1,0)</f>
        <v>0</v>
      </c>
      <c r="BY1802" s="53" t="n">
        <f aca="false">IF(CL1802&gt;0,INDEX(Parameter!$H$5:$H$7,W1802)/INDEX(Parameter!$E$5:$E$7,W1802),IF(AND(BW1802=0,N(IFERROR(VLOOKUP(BU1802,'Gebinde-Kategorie'!$A$5:$N$45,14,0),0))&gt;0),VLOOKUP(BU1802,'Gebinde-Kategorie'!$A$5:$N$45,14,0)*10+Parameter!$M$23,Parameter!$M$24))</f>
        <v>235</v>
      </c>
      <c r="BZ1802" s="48" t="str">
        <f aca="false">IF(AND(Parameter!$B$19="Ja",E1802&lt;&gt;"",ISNUMBER(MATCH(E1802,Parameter!$I$35:$I$52,0))),VLOOKUP(E1802,Parameter!$I$35:$J$52,2,0),IFERROR(VLOOKUP(D1802,Parameter!$A$35:$C$64,2,0),"Nein"))</f>
        <v>2+3</v>
      </c>
      <c r="CA1802" s="52" t="n">
        <f aca="false">IF(BW1802=0,0,IF(N(S1802)&gt;0,S1802,IFERROR(VLOOKUP(D1802,Parameter!$A$35:$C$64,3,0)+0,0)))</f>
        <v>0.15</v>
      </c>
      <c r="CB1802" s="48" t="str">
        <f aca="false">IF(AA1802&lt;&gt;"",AA1802,Z1802)</f>
        <v/>
      </c>
      <c r="CC1802" s="48" t="str">
        <f aca="false">IF(OR(CB1802=1,CB1802=2,CB1802=3),IF(Parameter!$E$27="Ja","LIFT",IF(CB1802=1,"L1","L23")),IF(CB1802="Aussen","Aussen","-"))</f>
        <v>-</v>
      </c>
      <c r="CD1802" s="59" t="n">
        <f aca="false">IF(N(AB1802)&gt;0,AB1802,0)</f>
        <v>0</v>
      </c>
      <c r="CE1802" s="53" t="n">
        <f aca="false">IF(ISNUMBER(AE1802),1,0)</f>
        <v>0</v>
      </c>
      <c r="CF1802" s="50" t="n">
        <f aca="false">N(AE1802)</f>
        <v>0</v>
      </c>
      <c r="CG1802" s="50" t="n">
        <f aca="false">N(M1802)+N(N1802)</f>
        <v>0</v>
      </c>
      <c r="CH1802" s="50" t="n">
        <f aca="false">ROUNDUP(H1802/BV1802,0)</f>
        <v>0</v>
      </c>
      <c r="CI1802" s="50" t="n">
        <f aca="false">ROUNDUP(CF1802/BV1802,0)</f>
        <v>0</v>
      </c>
      <c r="CJ1802" s="53" t="n">
        <f aca="false">IF(BW1802=1,0,IFERROR(VLOOKUP(BU1802,'Gebinde-Kategorie'!$A$5:$N$45,5,0)+0,0))</f>
        <v>0</v>
      </c>
      <c r="CK1802" s="53" t="n">
        <f aca="false">IFERROR(IF(OR(CB1802=1,CB1802=2,CB1802=3),N(INDEX(Parameter!$I$5:$I$7,CB1802)),0),0)</f>
        <v>0</v>
      </c>
      <c r="CL1802" s="52" t="n">
        <f aca="false">IF(AND(Parameter!$B$21="Ja",ISNUMBER(W1802),N(X1802)&gt;0),IFERROR(N(INDEX(Parameter!$L$5:$L$7,W1802))*INDEX(Parameter!$E$5:$E$7,W1802)*X1802/SUMIFS($X$7:$X$1843,$W$7:$W$1843,W1802),0),0)</f>
        <v>0</v>
      </c>
    </row>
    <row r="1803" customFormat="false" ht="15" hidden="false" customHeight="false" outlineLevel="0" collapsed="false">
      <c r="A1803" s="48" t="str">
        <f aca="false">IF('Neue Artikel'!$A$64="","",'Neue Artikel'!$A$64&amp;"")</f>
        <v/>
      </c>
      <c r="B1803" s="48" t="str">
        <f aca="false">'Neue Artikel'!$B$64&amp;""</f>
        <v/>
      </c>
      <c r="C1803" s="48"/>
      <c r="D1803" s="48" t="s">
        <v>3019</v>
      </c>
      <c r="E1803" s="48"/>
      <c r="F1803" s="48"/>
      <c r="G1803" s="49" t="n">
        <f aca="false">N('Neue Artikel'!$G$64)</f>
        <v>0</v>
      </c>
      <c r="H1803" s="50" t="n">
        <f aca="false">MAX(0,IF(AND(Parameter!$B$21="Ja",ISNUMBER(Y1803)),Y1803,IF(Parameter!$B$20="Jahresanfang 2025 + Export",BO1803+BN1803,BN1803)))</f>
        <v>0</v>
      </c>
      <c r="I1803" s="50" t="n">
        <f aca="false">H1803*G1803</f>
        <v>0</v>
      </c>
      <c r="J1803" s="50" t="n">
        <f aca="false">BQ1803*Parameter!$B$18</f>
        <v>0</v>
      </c>
      <c r="K1803" s="51"/>
      <c r="L1803" s="52"/>
      <c r="M1803" s="50" t="n">
        <f aca="false">N('Neue Artikel'!$E$64)</f>
        <v>0</v>
      </c>
      <c r="N1803" s="50" t="n">
        <f aca="false">N('Neue Artikel'!$F$64)</f>
        <v>0</v>
      </c>
      <c r="O1803" s="53"/>
      <c r="P1803" s="48" t="str">
        <f aca="false">IF('Neue Artikel'!$H$64="","LOSE",UPPER(TRIM('Neue Artikel'!$H$64)))</f>
        <v>LOSE</v>
      </c>
      <c r="Q1803" s="50" t="n">
        <f aca="false">N('Neue Artikel'!$I$64)</f>
        <v>0</v>
      </c>
      <c r="R1803" s="53" t="n">
        <f aca="false">IF(BW1803=1,0,IFERROR(VLOOKUP(BU1803,'Gebinde-Kategorie'!$A$5:$N$45,13,0)+0,0))</f>
        <v>0</v>
      </c>
      <c r="S1803" s="54"/>
      <c r="T1803" s="55"/>
      <c r="U1803" s="55"/>
      <c r="V1803" s="55"/>
      <c r="W1803" s="48"/>
      <c r="X1803" s="50"/>
      <c r="Y1803" s="50"/>
      <c r="Z1803" s="48" t="str">
        <f aca="false">IF(A1803="","",IF(AND(Parameter!$B$21="Ja",ISNUMBER(W1803)),W1803,IF(BZ1803="2+3",IF(ISNUMBER(SEARCH("grosser Artikel",BR1803)),2,IFERROR(VLOOKUP(BU1803,Parameter!$F$35:$G$64,2,0),2)),IF(OR(BZ1803="Nein",BZ1803=""),"-",BZ1803))))</f>
        <v/>
      </c>
      <c r="AA1803" s="48" t="str">
        <f aca="false">IF('Neue Artikel'!$J$64="","",'Neue Artikel'!$J$64)</f>
        <v/>
      </c>
      <c r="AB1803" s="56"/>
      <c r="AC1803" s="50" t="n">
        <f aca="false">AT1803</f>
        <v>0</v>
      </c>
      <c r="AD1803" s="50" t="n">
        <f aca="false">MAX(AT1803,H1803)</f>
        <v>0</v>
      </c>
      <c r="AE1803" s="57"/>
      <c r="AF1803" s="50" t="n">
        <f aca="false">IF(LEFT(Cockpit!$C$5,1)="A",H1803,IF(CE1803=1,CF1803,IF(LEFT(Cockpit!$C$5,1)="B",AK1803,MAX(AK1803,H1803))))</f>
        <v>0</v>
      </c>
      <c r="AG1803" s="50" t="n">
        <f aca="false">IF(BW1803=1,0,ROUNDUP(AF1803/BV1803,0))</f>
        <v>0</v>
      </c>
      <c r="AH1803" s="52" t="n">
        <f aca="false">IF(CL1803&gt;0,CL1803*MAX(1,AF1803/X1803),IF(BW1803=1,IF(AF1803&lt;=0,0,CA1803*MAX(1,IF(H1803&gt;0,AF1803/H1803,1))),IF(R1803&gt;0,AG1803/R1803,0))/MAX(0.1,N(Parameter!$M$21)))</f>
        <v>0</v>
      </c>
      <c r="AI1803" s="50" t="n">
        <f aca="false">AH1803*BY1803</f>
        <v>0</v>
      </c>
      <c r="AJ1803" s="50" t="n">
        <f aca="false">AF1803*G1803</f>
        <v>0</v>
      </c>
      <c r="AK1803" s="50" t="n">
        <f aca="false">ROUNDUP(MAX(J1803/IF(CD1803&gt;0,CD1803,MAX(0.1,N(Cockpit!$C$6))),CG1803)/BV1803,0)*BV1803</f>
        <v>0</v>
      </c>
      <c r="AL1803" s="51" t="n">
        <f aca="false">IF(AI1803&gt;0,J1803/AI1803,-1)</f>
        <v>-1</v>
      </c>
      <c r="AM1803" s="51" t="str">
        <f aca="false">IF(AND(OR(CC1803="L1",CC1803="L23",CC1803="LIFT"),AI1803&gt;0),SUMIFS($AI$7:$AI$1843,$CC$7:$CC$1843,CC1803,$AL$7:$AL$1843,"&gt;"&amp;AL1803)+SUMIFS($AI$7:$AI$1843,$CC$7:$CC$1843,CC1803,$AL$7:$AL$1843,AL1803,$BT$7:$BT$1843,"&lt;="&amp;BT1803),"")</f>
        <v/>
      </c>
      <c r="AN1803" s="58" t="n">
        <f aca="false">IF(AM1803="",0,MAX(0,MIN(1,(IF(CC1803="L1",Parameter!$H$5,IF(CC1803="L23",Parameter!$H$6+Parameter!$H$7,Parameter!$H$5+Parameter!$H$6+Parameter!$H$7))-(AM1803-AI1803))/AI1803)))</f>
        <v>0</v>
      </c>
      <c r="AO1803" s="50" t="n">
        <f aca="false">IF(LEFT(Cockpit!$I$5,1)="A",H1803,IF(CE1803=1,CF1803,IF(LEFT(Cockpit!$I$5,1)="B",AT1803,MAX(AT1803,H1803))))</f>
        <v>0</v>
      </c>
      <c r="AP1803" s="50" t="n">
        <f aca="false">IF(BW1803=1,0,ROUNDUP(AO1803/BV1803,0))</f>
        <v>0</v>
      </c>
      <c r="AQ1803" s="52" t="n">
        <f aca="false">IF(CL1803&gt;0,CL1803*MAX(1,AO1803/X1803),IF(BW1803=1,IF(AO1803&lt;=0,0,CA1803*MAX(1,IF(H1803&gt;0,AO1803/H1803,1))),IF(R1803&gt;0,AP1803/R1803,0))/MAX(0.1,N(Parameter!$M$21)))</f>
        <v>0</v>
      </c>
      <c r="AR1803" s="50" t="n">
        <f aca="false">AQ1803*BY1803</f>
        <v>0</v>
      </c>
      <c r="AS1803" s="50" t="n">
        <f aca="false">AO1803*G1803</f>
        <v>0</v>
      </c>
      <c r="AT1803" s="50" t="n">
        <f aca="false">ROUNDUP(MAX(J1803/IF(CD1803&gt;0,CD1803,MAX(0.1,N(Cockpit!$I$6))),CG1803)/BV1803,0)*BV1803</f>
        <v>0</v>
      </c>
      <c r="AU1803" s="51" t="n">
        <f aca="false">IF(AR1803&gt;0,J1803/AR1803,-1)</f>
        <v>-1</v>
      </c>
      <c r="AV1803" s="51" t="str">
        <f aca="false">IF(AND(OR(CC1803="L1",CC1803="L23",CC1803="LIFT"),AR1803&gt;0),SUMIFS($AR$7:$AR$1843,$CC$7:$CC$1843,CC1803,$AU$7:$AU$1843,"&gt;"&amp;AU1803)+SUMIFS($AR$7:$AR$1843,$CC$7:$CC$1843,CC1803,$AU$7:$AU$1843,AU1803,$BT$7:$BT$1843,"&lt;="&amp;BT1803),"")</f>
        <v/>
      </c>
      <c r="AW1803" s="58" t="n">
        <f aca="false">IF(AV1803="",0,MAX(0,MIN(1,(IF(CC1803="L1",Parameter!$H$5,IF(CC1803="L23",Parameter!$H$6+Parameter!$H$7,Parameter!$H$5+Parameter!$H$6+Parameter!$H$7))-(AV1803-AR1803))/AR1803)))</f>
        <v>0</v>
      </c>
      <c r="AX1803" s="50" t="n">
        <f aca="false">IF(LEFT(Cockpit!$O$5,1)="A",H1803,IF(CE1803=1,CF1803,IF(LEFT(Cockpit!$O$5,1)="B",BC1803,MAX(BC1803,H1803))))</f>
        <v>0</v>
      </c>
      <c r="AY1803" s="50" t="n">
        <f aca="false">IF(BW1803=1,0,ROUNDUP(AX1803/BV1803,0))</f>
        <v>0</v>
      </c>
      <c r="AZ1803" s="52" t="n">
        <f aca="false">IF(CL1803&gt;0,CL1803*MAX(1,AX1803/X1803),IF(BW1803=1,IF(AX1803&lt;=0,0,CA1803*MAX(1,IF(H1803&gt;0,AX1803/H1803,1))),IF(R1803&gt;0,AY1803/R1803,0))/MAX(0.1,N(Parameter!$M$21)))</f>
        <v>0</v>
      </c>
      <c r="BA1803" s="50" t="n">
        <f aca="false">AZ1803*BY1803</f>
        <v>0</v>
      </c>
      <c r="BB1803" s="50" t="n">
        <f aca="false">AX1803*G1803</f>
        <v>0</v>
      </c>
      <c r="BC1803" s="50" t="n">
        <f aca="false">ROUNDUP(MAX(J1803/IF(CD1803&gt;0,CD1803,MAX(0.1,N(Cockpit!$O$6))),CG1803)/BV1803,0)*BV1803</f>
        <v>0</v>
      </c>
      <c r="BD1803" s="51" t="n">
        <f aca="false">IF(BA1803&gt;0,J1803/BA1803,-1)</f>
        <v>-1</v>
      </c>
      <c r="BE1803" s="51" t="str">
        <f aca="false">IF(AND(OR(CC1803="L1",CC1803="L23",CC1803="LIFT"),BA1803&gt;0),SUMIFS($BA$7:$BA$1843,$CC$7:$CC$1843,CC1803,$BD$7:$BD$1843,"&gt;"&amp;BD1803)+SUMIFS($BA$7:$BA$1843,$CC$7:$CC$1843,CC1803,$BD$7:$BD$1843,BD1803,$BT$7:$BT$1843,"&lt;="&amp;BT1803),"")</f>
        <v/>
      </c>
      <c r="BF1803" s="58" t="n">
        <f aca="false">IF(BE1803="",0,MAX(0,MIN(1,(IF(CC1803="L1",Parameter!$H$5,IF(CC1803="L23",Parameter!$H$6+Parameter!$H$7,Parameter!$H$5+Parameter!$H$6+Parameter!$H$7))-(BE1803-BA1803))/BA1803)))</f>
        <v>0</v>
      </c>
      <c r="BG1803" s="48" t="str">
        <f aca="false">IF(AI1803&lt;=0,"",IF(CC1803="Aussen","Aussenlager",IF(CC1803="-","Nicht im Lift",IF(AN1803&gt;=1,"Lift",IF(AN1803&lt;=0,"Aussenlager","teilweise")))))</f>
        <v/>
      </c>
      <c r="BH1803" s="48" t="str">
        <f aca="false">IF(AR1803&lt;=0,"",IF(CC1803="Aussen","Aussenlager",IF(CC1803="-","Nicht im Lift",IF(AW1803&gt;=1,"Lift",IF(AW1803&lt;=0,"Aussenlager","teilweise")))))</f>
        <v/>
      </c>
      <c r="BI1803" s="48" t="str">
        <f aca="false">IF(BA1803&lt;=0,"",IF(CC1803="Aussen","Aussenlager",IF(CC1803="-","Nicht im Lift",IF(BF1803&gt;=1,"Lift",IF(BF1803&lt;=0,"Aussenlager","teilweise")))))</f>
        <v/>
      </c>
      <c r="BJ1803" s="48" t="str">
        <f aca="false">IF(A1803="","",IF(BS1803=1,"Neu; ","")&amp;IF(AND(BS1803=0,BN1803&lt;0),"negativer Bestand (Export "&amp;BN1803&amp;"); ","")&amp;IF(J1803&lt;=0,"Kein Verbrauch; ","")&amp;IF(CL1803&gt;0,"Lift "&amp;W1803&amp;" lt. Liftbericht (Fach "&amp;X1803&amp;" Stk); ",IF(BX1803=1,"Gebinde geschätzt ("&amp;T1803&amp;"); ",IF(BW1803=1,"Lose – Tablare geschätzt; ","")))&amp;IF(H1803&gt;AT1803,"Überbestand "&amp;ROUND(H1803-AT1803,0)&amp;" Stk / CHF "&amp;ROUND((H1803-AT1803)*G1803,0)&amp;"; ","")&amp;IF(AND(CE1803=1,CF1803&lt;CG1803),"MAX &lt; MB+LG; ","")&amp;IF(AND(CK1803&gt;0,CJ1803*10&gt;CK1803),"zu hoch für Tablar; ","")&amp;IF(AND(BS1803=0,OR(CE1803=1,AA1803&lt;&gt;"",U1803&lt;&gt;"",V1803&lt;&gt;"",AB1803&lt;&gt;"")),"manuell übersteuert; ","")&amp;IF(AND(BW1803=0,R1803=0),"Gebinde unbekannt / Stellmass fehlt; ","")&amp;IF(AND(BW1803=0,N(V1803)&lt;=0,N(Q1803)&lt;=0),"Menge pro Gebinde fehlt (Ist = 1 Gebinde); ","")&amp;BR1803)</f>
        <v/>
      </c>
      <c r="BK1803" s="48"/>
      <c r="BL1803" s="48"/>
      <c r="BM1803" s="55"/>
      <c r="BN1803" s="50" t="n">
        <f aca="false">N('Neue Artikel'!$D$64)</f>
        <v>0</v>
      </c>
      <c r="BO1803" s="50" t="n">
        <v>0</v>
      </c>
      <c r="BP1803" s="49" t="n">
        <v>0</v>
      </c>
      <c r="BQ1803" s="50" t="n">
        <f aca="false">N('Neue Artikel'!$C$64)/Parameter!$B$18</f>
        <v>0</v>
      </c>
      <c r="BR1803" s="48"/>
      <c r="BS1803" s="53" t="n">
        <v>1</v>
      </c>
      <c r="BT1803" s="53" t="n">
        <v>1803</v>
      </c>
      <c r="BU1803" s="48" t="str">
        <f aca="false">IF(U1803&lt;&gt;"",UPPER(TRIM(U1803)),IF(BX1803=1,UPPER(VLOOKUP(T1803,Parameter!$I$27:$K$29,2,0)),IF(P1803="","LOSE",P1803)))</f>
        <v>LOSE</v>
      </c>
      <c r="BV1803" s="50" t="n">
        <f aca="false">IF(BU1803="LOSE",1,IF(N(V1803)&gt;0,V1803,IF(BX1803=1,MAX(1,N(VLOOKUP(T1803,Parameter!$I$27:$K$29,3,0)),H1803,N(N1803)),IF(N(Q1803)&gt;0,Q1803,MAX(1,H1803)))))</f>
        <v>1</v>
      </c>
      <c r="BW1803" s="53" t="n">
        <f aca="false">IF(BU1803="LOSE",1,0)</f>
        <v>1</v>
      </c>
      <c r="BX1803" s="53" t="n">
        <f aca="false">IF(AND(U1803="",OR(P1803="",P1803="LOSE"),T1803&lt;&gt;"",N(S1803)&lt;=0,ISNUMBER(MATCH(T1803,Parameter!$I$27:$I$29,0))),1,0)</f>
        <v>0</v>
      </c>
      <c r="BY1803" s="53" t="n">
        <f aca="false">IF(CL1803&gt;0,INDEX(Parameter!$H$5:$H$7,W1803)/INDEX(Parameter!$E$5:$E$7,W1803),IF(AND(BW1803=0,N(IFERROR(VLOOKUP(BU1803,'Gebinde-Kategorie'!$A$5:$N$45,14,0),0))&gt;0),VLOOKUP(BU1803,'Gebinde-Kategorie'!$A$5:$N$45,14,0)*10+Parameter!$M$23,Parameter!$M$24))</f>
        <v>235</v>
      </c>
      <c r="BZ1803" s="48" t="str">
        <f aca="false">IF(AND(Parameter!$B$19="Ja",E1803&lt;&gt;"",ISNUMBER(MATCH(E1803,Parameter!$I$35:$I$52,0))),VLOOKUP(E1803,Parameter!$I$35:$J$52,2,0),IFERROR(VLOOKUP(D1803,Parameter!$A$35:$C$64,2,0),"Nein"))</f>
        <v>2+3</v>
      </c>
      <c r="CA1803" s="52" t="n">
        <f aca="false">IF(BW1803=0,0,IF(N(S1803)&gt;0,S1803,IFERROR(VLOOKUP(D1803,Parameter!$A$35:$C$64,3,0)+0,0)))</f>
        <v>0.15</v>
      </c>
      <c r="CB1803" s="48" t="str">
        <f aca="false">IF(AA1803&lt;&gt;"",AA1803,Z1803)</f>
        <v/>
      </c>
      <c r="CC1803" s="48" t="str">
        <f aca="false">IF(OR(CB1803=1,CB1803=2,CB1803=3),IF(Parameter!$E$27="Ja","LIFT",IF(CB1803=1,"L1","L23")),IF(CB1803="Aussen","Aussen","-"))</f>
        <v>-</v>
      </c>
      <c r="CD1803" s="59" t="n">
        <f aca="false">IF(N(AB1803)&gt;0,AB1803,0)</f>
        <v>0</v>
      </c>
      <c r="CE1803" s="53" t="n">
        <f aca="false">IF(ISNUMBER(AE1803),1,0)</f>
        <v>0</v>
      </c>
      <c r="CF1803" s="50" t="n">
        <f aca="false">N(AE1803)</f>
        <v>0</v>
      </c>
      <c r="CG1803" s="50" t="n">
        <f aca="false">N(M1803)+N(N1803)</f>
        <v>0</v>
      </c>
      <c r="CH1803" s="50" t="n">
        <f aca="false">ROUNDUP(H1803/BV1803,0)</f>
        <v>0</v>
      </c>
      <c r="CI1803" s="50" t="n">
        <f aca="false">ROUNDUP(CF1803/BV1803,0)</f>
        <v>0</v>
      </c>
      <c r="CJ1803" s="53" t="n">
        <f aca="false">IF(BW1803=1,0,IFERROR(VLOOKUP(BU1803,'Gebinde-Kategorie'!$A$5:$N$45,5,0)+0,0))</f>
        <v>0</v>
      </c>
      <c r="CK1803" s="53" t="n">
        <f aca="false">IFERROR(IF(OR(CB1803=1,CB1803=2,CB1803=3),N(INDEX(Parameter!$I$5:$I$7,CB1803)),0),0)</f>
        <v>0</v>
      </c>
      <c r="CL1803" s="52" t="n">
        <f aca="false">IF(AND(Parameter!$B$21="Ja",ISNUMBER(W1803),N(X1803)&gt;0),IFERROR(N(INDEX(Parameter!$L$5:$L$7,W1803))*INDEX(Parameter!$E$5:$E$7,W1803)*X1803/SUMIFS($X$7:$X$1843,$W$7:$W$1843,W1803),0),0)</f>
        <v>0</v>
      </c>
    </row>
    <row r="1804" customFormat="false" ht="15" hidden="false" customHeight="false" outlineLevel="0" collapsed="false">
      <c r="A1804" s="48" t="str">
        <f aca="false">IF('Neue Artikel'!$A$65="","",'Neue Artikel'!$A$65&amp;"")</f>
        <v/>
      </c>
      <c r="B1804" s="48" t="str">
        <f aca="false">'Neue Artikel'!$B$65&amp;""</f>
        <v/>
      </c>
      <c r="C1804" s="48"/>
      <c r="D1804" s="48" t="s">
        <v>3019</v>
      </c>
      <c r="E1804" s="48"/>
      <c r="F1804" s="48"/>
      <c r="G1804" s="49" t="n">
        <f aca="false">N('Neue Artikel'!$G$65)</f>
        <v>0</v>
      </c>
      <c r="H1804" s="50" t="n">
        <f aca="false">MAX(0,IF(AND(Parameter!$B$21="Ja",ISNUMBER(Y1804)),Y1804,IF(Parameter!$B$20="Jahresanfang 2025 + Export",BO1804+BN1804,BN1804)))</f>
        <v>0</v>
      </c>
      <c r="I1804" s="50" t="n">
        <f aca="false">H1804*G1804</f>
        <v>0</v>
      </c>
      <c r="J1804" s="50" t="n">
        <f aca="false">BQ1804*Parameter!$B$18</f>
        <v>0</v>
      </c>
      <c r="K1804" s="51"/>
      <c r="L1804" s="52"/>
      <c r="M1804" s="50" t="n">
        <f aca="false">N('Neue Artikel'!$E$65)</f>
        <v>0</v>
      </c>
      <c r="N1804" s="50" t="n">
        <f aca="false">N('Neue Artikel'!$F$65)</f>
        <v>0</v>
      </c>
      <c r="O1804" s="53"/>
      <c r="P1804" s="48" t="str">
        <f aca="false">IF('Neue Artikel'!$H$65="","LOSE",UPPER(TRIM('Neue Artikel'!$H$65)))</f>
        <v>LOSE</v>
      </c>
      <c r="Q1804" s="50" t="n">
        <f aca="false">N('Neue Artikel'!$I$65)</f>
        <v>0</v>
      </c>
      <c r="R1804" s="53" t="n">
        <f aca="false">IF(BW1804=1,0,IFERROR(VLOOKUP(BU1804,'Gebinde-Kategorie'!$A$5:$N$45,13,0)+0,0))</f>
        <v>0</v>
      </c>
      <c r="S1804" s="54"/>
      <c r="T1804" s="55"/>
      <c r="U1804" s="55"/>
      <c r="V1804" s="55"/>
      <c r="W1804" s="48"/>
      <c r="X1804" s="50"/>
      <c r="Y1804" s="50"/>
      <c r="Z1804" s="48" t="str">
        <f aca="false">IF(A1804="","",IF(AND(Parameter!$B$21="Ja",ISNUMBER(W1804)),W1804,IF(BZ1804="2+3",IF(ISNUMBER(SEARCH("grosser Artikel",BR1804)),2,IFERROR(VLOOKUP(BU1804,Parameter!$F$35:$G$64,2,0),2)),IF(OR(BZ1804="Nein",BZ1804=""),"-",BZ1804))))</f>
        <v/>
      </c>
      <c r="AA1804" s="48" t="str">
        <f aca="false">IF('Neue Artikel'!$J$65="","",'Neue Artikel'!$J$65)</f>
        <v/>
      </c>
      <c r="AB1804" s="56"/>
      <c r="AC1804" s="50" t="n">
        <f aca="false">AT1804</f>
        <v>0</v>
      </c>
      <c r="AD1804" s="50" t="n">
        <f aca="false">MAX(AT1804,H1804)</f>
        <v>0</v>
      </c>
      <c r="AE1804" s="57"/>
      <c r="AF1804" s="50" t="n">
        <f aca="false">IF(LEFT(Cockpit!$C$5,1)="A",H1804,IF(CE1804=1,CF1804,IF(LEFT(Cockpit!$C$5,1)="B",AK1804,MAX(AK1804,H1804))))</f>
        <v>0</v>
      </c>
      <c r="AG1804" s="50" t="n">
        <f aca="false">IF(BW1804=1,0,ROUNDUP(AF1804/BV1804,0))</f>
        <v>0</v>
      </c>
      <c r="AH1804" s="52" t="n">
        <f aca="false">IF(CL1804&gt;0,CL1804*MAX(1,AF1804/X1804),IF(BW1804=1,IF(AF1804&lt;=0,0,CA1804*MAX(1,IF(H1804&gt;0,AF1804/H1804,1))),IF(R1804&gt;0,AG1804/R1804,0))/MAX(0.1,N(Parameter!$M$21)))</f>
        <v>0</v>
      </c>
      <c r="AI1804" s="50" t="n">
        <f aca="false">AH1804*BY1804</f>
        <v>0</v>
      </c>
      <c r="AJ1804" s="50" t="n">
        <f aca="false">AF1804*G1804</f>
        <v>0</v>
      </c>
      <c r="AK1804" s="50" t="n">
        <f aca="false">ROUNDUP(MAX(J1804/IF(CD1804&gt;0,CD1804,MAX(0.1,N(Cockpit!$C$6))),CG1804)/BV1804,0)*BV1804</f>
        <v>0</v>
      </c>
      <c r="AL1804" s="51" t="n">
        <f aca="false">IF(AI1804&gt;0,J1804/AI1804,-1)</f>
        <v>-1</v>
      </c>
      <c r="AM1804" s="51" t="str">
        <f aca="false">IF(AND(OR(CC1804="L1",CC1804="L23",CC1804="LIFT"),AI1804&gt;0),SUMIFS($AI$7:$AI$1843,$CC$7:$CC$1843,CC1804,$AL$7:$AL$1843,"&gt;"&amp;AL1804)+SUMIFS($AI$7:$AI$1843,$CC$7:$CC$1843,CC1804,$AL$7:$AL$1843,AL1804,$BT$7:$BT$1843,"&lt;="&amp;BT1804),"")</f>
        <v/>
      </c>
      <c r="AN1804" s="58" t="n">
        <f aca="false">IF(AM1804="",0,MAX(0,MIN(1,(IF(CC1804="L1",Parameter!$H$5,IF(CC1804="L23",Parameter!$H$6+Parameter!$H$7,Parameter!$H$5+Parameter!$H$6+Parameter!$H$7))-(AM1804-AI1804))/AI1804)))</f>
        <v>0</v>
      </c>
      <c r="AO1804" s="50" t="n">
        <f aca="false">IF(LEFT(Cockpit!$I$5,1)="A",H1804,IF(CE1804=1,CF1804,IF(LEFT(Cockpit!$I$5,1)="B",AT1804,MAX(AT1804,H1804))))</f>
        <v>0</v>
      </c>
      <c r="AP1804" s="50" t="n">
        <f aca="false">IF(BW1804=1,0,ROUNDUP(AO1804/BV1804,0))</f>
        <v>0</v>
      </c>
      <c r="AQ1804" s="52" t="n">
        <f aca="false">IF(CL1804&gt;0,CL1804*MAX(1,AO1804/X1804),IF(BW1804=1,IF(AO1804&lt;=0,0,CA1804*MAX(1,IF(H1804&gt;0,AO1804/H1804,1))),IF(R1804&gt;0,AP1804/R1804,0))/MAX(0.1,N(Parameter!$M$21)))</f>
        <v>0</v>
      </c>
      <c r="AR1804" s="50" t="n">
        <f aca="false">AQ1804*BY1804</f>
        <v>0</v>
      </c>
      <c r="AS1804" s="50" t="n">
        <f aca="false">AO1804*G1804</f>
        <v>0</v>
      </c>
      <c r="AT1804" s="50" t="n">
        <f aca="false">ROUNDUP(MAX(J1804/IF(CD1804&gt;0,CD1804,MAX(0.1,N(Cockpit!$I$6))),CG1804)/BV1804,0)*BV1804</f>
        <v>0</v>
      </c>
      <c r="AU1804" s="51" t="n">
        <f aca="false">IF(AR1804&gt;0,J1804/AR1804,-1)</f>
        <v>-1</v>
      </c>
      <c r="AV1804" s="51" t="str">
        <f aca="false">IF(AND(OR(CC1804="L1",CC1804="L23",CC1804="LIFT"),AR1804&gt;0),SUMIFS($AR$7:$AR$1843,$CC$7:$CC$1843,CC1804,$AU$7:$AU$1843,"&gt;"&amp;AU1804)+SUMIFS($AR$7:$AR$1843,$CC$7:$CC$1843,CC1804,$AU$7:$AU$1843,AU1804,$BT$7:$BT$1843,"&lt;="&amp;BT1804),"")</f>
        <v/>
      </c>
      <c r="AW1804" s="58" t="n">
        <f aca="false">IF(AV1804="",0,MAX(0,MIN(1,(IF(CC1804="L1",Parameter!$H$5,IF(CC1804="L23",Parameter!$H$6+Parameter!$H$7,Parameter!$H$5+Parameter!$H$6+Parameter!$H$7))-(AV1804-AR1804))/AR1804)))</f>
        <v>0</v>
      </c>
      <c r="AX1804" s="50" t="n">
        <f aca="false">IF(LEFT(Cockpit!$O$5,1)="A",H1804,IF(CE1804=1,CF1804,IF(LEFT(Cockpit!$O$5,1)="B",BC1804,MAX(BC1804,H1804))))</f>
        <v>0</v>
      </c>
      <c r="AY1804" s="50" t="n">
        <f aca="false">IF(BW1804=1,0,ROUNDUP(AX1804/BV1804,0))</f>
        <v>0</v>
      </c>
      <c r="AZ1804" s="52" t="n">
        <f aca="false">IF(CL1804&gt;0,CL1804*MAX(1,AX1804/X1804),IF(BW1804=1,IF(AX1804&lt;=0,0,CA1804*MAX(1,IF(H1804&gt;0,AX1804/H1804,1))),IF(R1804&gt;0,AY1804/R1804,0))/MAX(0.1,N(Parameter!$M$21)))</f>
        <v>0</v>
      </c>
      <c r="BA1804" s="50" t="n">
        <f aca="false">AZ1804*BY1804</f>
        <v>0</v>
      </c>
      <c r="BB1804" s="50" t="n">
        <f aca="false">AX1804*G1804</f>
        <v>0</v>
      </c>
      <c r="BC1804" s="50" t="n">
        <f aca="false">ROUNDUP(MAX(J1804/IF(CD1804&gt;0,CD1804,MAX(0.1,N(Cockpit!$O$6))),CG1804)/BV1804,0)*BV1804</f>
        <v>0</v>
      </c>
      <c r="BD1804" s="51" t="n">
        <f aca="false">IF(BA1804&gt;0,J1804/BA1804,-1)</f>
        <v>-1</v>
      </c>
      <c r="BE1804" s="51" t="str">
        <f aca="false">IF(AND(OR(CC1804="L1",CC1804="L23",CC1804="LIFT"),BA1804&gt;0),SUMIFS($BA$7:$BA$1843,$CC$7:$CC$1843,CC1804,$BD$7:$BD$1843,"&gt;"&amp;BD1804)+SUMIFS($BA$7:$BA$1843,$CC$7:$CC$1843,CC1804,$BD$7:$BD$1843,BD1804,$BT$7:$BT$1843,"&lt;="&amp;BT1804),"")</f>
        <v/>
      </c>
      <c r="BF1804" s="58" t="n">
        <f aca="false">IF(BE1804="",0,MAX(0,MIN(1,(IF(CC1804="L1",Parameter!$H$5,IF(CC1804="L23",Parameter!$H$6+Parameter!$H$7,Parameter!$H$5+Parameter!$H$6+Parameter!$H$7))-(BE1804-BA1804))/BA1804)))</f>
        <v>0</v>
      </c>
      <c r="BG1804" s="48" t="str">
        <f aca="false">IF(AI1804&lt;=0,"",IF(CC1804="Aussen","Aussenlager",IF(CC1804="-","Nicht im Lift",IF(AN1804&gt;=1,"Lift",IF(AN1804&lt;=0,"Aussenlager","teilweise")))))</f>
        <v/>
      </c>
      <c r="BH1804" s="48" t="str">
        <f aca="false">IF(AR1804&lt;=0,"",IF(CC1804="Aussen","Aussenlager",IF(CC1804="-","Nicht im Lift",IF(AW1804&gt;=1,"Lift",IF(AW1804&lt;=0,"Aussenlager","teilweise")))))</f>
        <v/>
      </c>
      <c r="BI1804" s="48" t="str">
        <f aca="false">IF(BA1804&lt;=0,"",IF(CC1804="Aussen","Aussenlager",IF(CC1804="-","Nicht im Lift",IF(BF1804&gt;=1,"Lift",IF(BF1804&lt;=0,"Aussenlager","teilweise")))))</f>
        <v/>
      </c>
      <c r="BJ1804" s="48" t="str">
        <f aca="false">IF(A1804="","",IF(BS1804=1,"Neu; ","")&amp;IF(AND(BS1804=0,BN1804&lt;0),"negativer Bestand (Export "&amp;BN1804&amp;"); ","")&amp;IF(J1804&lt;=0,"Kein Verbrauch; ","")&amp;IF(CL1804&gt;0,"Lift "&amp;W1804&amp;" lt. Liftbericht (Fach "&amp;X1804&amp;" Stk); ",IF(BX1804=1,"Gebinde geschätzt ("&amp;T1804&amp;"); ",IF(BW1804=1,"Lose – Tablare geschätzt; ","")))&amp;IF(H1804&gt;AT1804,"Überbestand "&amp;ROUND(H1804-AT1804,0)&amp;" Stk / CHF "&amp;ROUND((H1804-AT1804)*G1804,0)&amp;"; ","")&amp;IF(AND(CE1804=1,CF1804&lt;CG1804),"MAX &lt; MB+LG; ","")&amp;IF(AND(CK1804&gt;0,CJ1804*10&gt;CK1804),"zu hoch für Tablar; ","")&amp;IF(AND(BS1804=0,OR(CE1804=1,AA1804&lt;&gt;"",U1804&lt;&gt;"",V1804&lt;&gt;"",AB1804&lt;&gt;"")),"manuell übersteuert; ","")&amp;IF(AND(BW1804=0,R1804=0),"Gebinde unbekannt / Stellmass fehlt; ","")&amp;IF(AND(BW1804=0,N(V1804)&lt;=0,N(Q1804)&lt;=0),"Menge pro Gebinde fehlt (Ist = 1 Gebinde); ","")&amp;BR1804)</f>
        <v/>
      </c>
      <c r="BK1804" s="48"/>
      <c r="BL1804" s="48"/>
      <c r="BM1804" s="55"/>
      <c r="BN1804" s="50" t="n">
        <f aca="false">N('Neue Artikel'!$D$65)</f>
        <v>0</v>
      </c>
      <c r="BO1804" s="50" t="n">
        <v>0</v>
      </c>
      <c r="BP1804" s="49" t="n">
        <v>0</v>
      </c>
      <c r="BQ1804" s="50" t="n">
        <f aca="false">N('Neue Artikel'!$C$65)/Parameter!$B$18</f>
        <v>0</v>
      </c>
      <c r="BR1804" s="48"/>
      <c r="BS1804" s="53" t="n">
        <v>1</v>
      </c>
      <c r="BT1804" s="53" t="n">
        <v>1804</v>
      </c>
      <c r="BU1804" s="48" t="str">
        <f aca="false">IF(U1804&lt;&gt;"",UPPER(TRIM(U1804)),IF(BX1804=1,UPPER(VLOOKUP(T1804,Parameter!$I$27:$K$29,2,0)),IF(P1804="","LOSE",P1804)))</f>
        <v>LOSE</v>
      </c>
      <c r="BV1804" s="50" t="n">
        <f aca="false">IF(BU1804="LOSE",1,IF(N(V1804)&gt;0,V1804,IF(BX1804=1,MAX(1,N(VLOOKUP(T1804,Parameter!$I$27:$K$29,3,0)),H1804,N(N1804)),IF(N(Q1804)&gt;0,Q1804,MAX(1,H1804)))))</f>
        <v>1</v>
      </c>
      <c r="BW1804" s="53" t="n">
        <f aca="false">IF(BU1804="LOSE",1,0)</f>
        <v>1</v>
      </c>
      <c r="BX1804" s="53" t="n">
        <f aca="false">IF(AND(U1804="",OR(P1804="",P1804="LOSE"),T1804&lt;&gt;"",N(S1804)&lt;=0,ISNUMBER(MATCH(T1804,Parameter!$I$27:$I$29,0))),1,0)</f>
        <v>0</v>
      </c>
      <c r="BY1804" s="53" t="n">
        <f aca="false">IF(CL1804&gt;0,INDEX(Parameter!$H$5:$H$7,W1804)/INDEX(Parameter!$E$5:$E$7,W1804),IF(AND(BW1804=0,N(IFERROR(VLOOKUP(BU1804,'Gebinde-Kategorie'!$A$5:$N$45,14,0),0))&gt;0),VLOOKUP(BU1804,'Gebinde-Kategorie'!$A$5:$N$45,14,0)*10+Parameter!$M$23,Parameter!$M$24))</f>
        <v>235</v>
      </c>
      <c r="BZ1804" s="48" t="str">
        <f aca="false">IF(AND(Parameter!$B$19="Ja",E1804&lt;&gt;"",ISNUMBER(MATCH(E1804,Parameter!$I$35:$I$52,0))),VLOOKUP(E1804,Parameter!$I$35:$J$52,2,0),IFERROR(VLOOKUP(D1804,Parameter!$A$35:$C$64,2,0),"Nein"))</f>
        <v>2+3</v>
      </c>
      <c r="CA1804" s="52" t="n">
        <f aca="false">IF(BW1804=0,0,IF(N(S1804)&gt;0,S1804,IFERROR(VLOOKUP(D1804,Parameter!$A$35:$C$64,3,0)+0,0)))</f>
        <v>0.15</v>
      </c>
      <c r="CB1804" s="48" t="str">
        <f aca="false">IF(AA1804&lt;&gt;"",AA1804,Z1804)</f>
        <v/>
      </c>
      <c r="CC1804" s="48" t="str">
        <f aca="false">IF(OR(CB1804=1,CB1804=2,CB1804=3),IF(Parameter!$E$27="Ja","LIFT",IF(CB1804=1,"L1","L23")),IF(CB1804="Aussen","Aussen","-"))</f>
        <v>-</v>
      </c>
      <c r="CD1804" s="59" t="n">
        <f aca="false">IF(N(AB1804)&gt;0,AB1804,0)</f>
        <v>0</v>
      </c>
      <c r="CE1804" s="53" t="n">
        <f aca="false">IF(ISNUMBER(AE1804),1,0)</f>
        <v>0</v>
      </c>
      <c r="CF1804" s="50" t="n">
        <f aca="false">N(AE1804)</f>
        <v>0</v>
      </c>
      <c r="CG1804" s="50" t="n">
        <f aca="false">N(M1804)+N(N1804)</f>
        <v>0</v>
      </c>
      <c r="CH1804" s="50" t="n">
        <f aca="false">ROUNDUP(H1804/BV1804,0)</f>
        <v>0</v>
      </c>
      <c r="CI1804" s="50" t="n">
        <f aca="false">ROUNDUP(CF1804/BV1804,0)</f>
        <v>0</v>
      </c>
      <c r="CJ1804" s="53" t="n">
        <f aca="false">IF(BW1804=1,0,IFERROR(VLOOKUP(BU1804,'Gebinde-Kategorie'!$A$5:$N$45,5,0)+0,0))</f>
        <v>0</v>
      </c>
      <c r="CK1804" s="53" t="n">
        <f aca="false">IFERROR(IF(OR(CB1804=1,CB1804=2,CB1804=3),N(INDEX(Parameter!$I$5:$I$7,CB1804)),0),0)</f>
        <v>0</v>
      </c>
      <c r="CL1804" s="52" t="n">
        <f aca="false">IF(AND(Parameter!$B$21="Ja",ISNUMBER(W1804),N(X1804)&gt;0),IFERROR(N(INDEX(Parameter!$L$5:$L$7,W1804))*INDEX(Parameter!$E$5:$E$7,W1804)*X1804/SUMIFS($X$7:$X$1843,$W$7:$W$1843,W1804),0),0)</f>
        <v>0</v>
      </c>
    </row>
    <row r="1805" customFormat="false" ht="15" hidden="false" customHeight="false" outlineLevel="0" collapsed="false">
      <c r="A1805" s="48" t="str">
        <f aca="false">IF('Neue Artikel'!$A$66="","",'Neue Artikel'!$A$66&amp;"")</f>
        <v/>
      </c>
      <c r="B1805" s="48" t="str">
        <f aca="false">'Neue Artikel'!$B$66&amp;""</f>
        <v/>
      </c>
      <c r="C1805" s="48"/>
      <c r="D1805" s="48" t="s">
        <v>3019</v>
      </c>
      <c r="E1805" s="48"/>
      <c r="F1805" s="48"/>
      <c r="G1805" s="49" t="n">
        <f aca="false">N('Neue Artikel'!$G$66)</f>
        <v>0</v>
      </c>
      <c r="H1805" s="50" t="n">
        <f aca="false">MAX(0,IF(AND(Parameter!$B$21="Ja",ISNUMBER(Y1805)),Y1805,IF(Parameter!$B$20="Jahresanfang 2025 + Export",BO1805+BN1805,BN1805)))</f>
        <v>0</v>
      </c>
      <c r="I1805" s="50" t="n">
        <f aca="false">H1805*G1805</f>
        <v>0</v>
      </c>
      <c r="J1805" s="50" t="n">
        <f aca="false">BQ1805*Parameter!$B$18</f>
        <v>0</v>
      </c>
      <c r="K1805" s="51"/>
      <c r="L1805" s="52"/>
      <c r="M1805" s="50" t="n">
        <f aca="false">N('Neue Artikel'!$E$66)</f>
        <v>0</v>
      </c>
      <c r="N1805" s="50" t="n">
        <f aca="false">N('Neue Artikel'!$F$66)</f>
        <v>0</v>
      </c>
      <c r="O1805" s="53"/>
      <c r="P1805" s="48" t="str">
        <f aca="false">IF('Neue Artikel'!$H$66="","LOSE",UPPER(TRIM('Neue Artikel'!$H$66)))</f>
        <v>LOSE</v>
      </c>
      <c r="Q1805" s="50" t="n">
        <f aca="false">N('Neue Artikel'!$I$66)</f>
        <v>0</v>
      </c>
      <c r="R1805" s="53" t="n">
        <f aca="false">IF(BW1805=1,0,IFERROR(VLOOKUP(BU1805,'Gebinde-Kategorie'!$A$5:$N$45,13,0)+0,0))</f>
        <v>0</v>
      </c>
      <c r="S1805" s="54"/>
      <c r="T1805" s="55"/>
      <c r="U1805" s="55"/>
      <c r="V1805" s="55"/>
      <c r="W1805" s="48"/>
      <c r="X1805" s="50"/>
      <c r="Y1805" s="50"/>
      <c r="Z1805" s="48" t="str">
        <f aca="false">IF(A1805="","",IF(AND(Parameter!$B$21="Ja",ISNUMBER(W1805)),W1805,IF(BZ1805="2+3",IF(ISNUMBER(SEARCH("grosser Artikel",BR1805)),2,IFERROR(VLOOKUP(BU1805,Parameter!$F$35:$G$64,2,0),2)),IF(OR(BZ1805="Nein",BZ1805=""),"-",BZ1805))))</f>
        <v/>
      </c>
      <c r="AA1805" s="48" t="str">
        <f aca="false">IF('Neue Artikel'!$J$66="","",'Neue Artikel'!$J$66)</f>
        <v/>
      </c>
      <c r="AB1805" s="56"/>
      <c r="AC1805" s="50" t="n">
        <f aca="false">AT1805</f>
        <v>0</v>
      </c>
      <c r="AD1805" s="50" t="n">
        <f aca="false">MAX(AT1805,H1805)</f>
        <v>0</v>
      </c>
      <c r="AE1805" s="57"/>
      <c r="AF1805" s="50" t="n">
        <f aca="false">IF(LEFT(Cockpit!$C$5,1)="A",H1805,IF(CE1805=1,CF1805,IF(LEFT(Cockpit!$C$5,1)="B",AK1805,MAX(AK1805,H1805))))</f>
        <v>0</v>
      </c>
      <c r="AG1805" s="50" t="n">
        <f aca="false">IF(BW1805=1,0,ROUNDUP(AF1805/BV1805,0))</f>
        <v>0</v>
      </c>
      <c r="AH1805" s="52" t="n">
        <f aca="false">IF(CL1805&gt;0,CL1805*MAX(1,AF1805/X1805),IF(BW1805=1,IF(AF1805&lt;=0,0,CA1805*MAX(1,IF(H1805&gt;0,AF1805/H1805,1))),IF(R1805&gt;0,AG1805/R1805,0))/MAX(0.1,N(Parameter!$M$21)))</f>
        <v>0</v>
      </c>
      <c r="AI1805" s="50" t="n">
        <f aca="false">AH1805*BY1805</f>
        <v>0</v>
      </c>
      <c r="AJ1805" s="50" t="n">
        <f aca="false">AF1805*G1805</f>
        <v>0</v>
      </c>
      <c r="AK1805" s="50" t="n">
        <f aca="false">ROUNDUP(MAX(J1805/IF(CD1805&gt;0,CD1805,MAX(0.1,N(Cockpit!$C$6))),CG1805)/BV1805,0)*BV1805</f>
        <v>0</v>
      </c>
      <c r="AL1805" s="51" t="n">
        <f aca="false">IF(AI1805&gt;0,J1805/AI1805,-1)</f>
        <v>-1</v>
      </c>
      <c r="AM1805" s="51" t="str">
        <f aca="false">IF(AND(OR(CC1805="L1",CC1805="L23",CC1805="LIFT"),AI1805&gt;0),SUMIFS($AI$7:$AI$1843,$CC$7:$CC$1843,CC1805,$AL$7:$AL$1843,"&gt;"&amp;AL1805)+SUMIFS($AI$7:$AI$1843,$CC$7:$CC$1843,CC1805,$AL$7:$AL$1843,AL1805,$BT$7:$BT$1843,"&lt;="&amp;BT1805),"")</f>
        <v/>
      </c>
      <c r="AN1805" s="58" t="n">
        <f aca="false">IF(AM1805="",0,MAX(0,MIN(1,(IF(CC1805="L1",Parameter!$H$5,IF(CC1805="L23",Parameter!$H$6+Parameter!$H$7,Parameter!$H$5+Parameter!$H$6+Parameter!$H$7))-(AM1805-AI1805))/AI1805)))</f>
        <v>0</v>
      </c>
      <c r="AO1805" s="50" t="n">
        <f aca="false">IF(LEFT(Cockpit!$I$5,1)="A",H1805,IF(CE1805=1,CF1805,IF(LEFT(Cockpit!$I$5,1)="B",AT1805,MAX(AT1805,H1805))))</f>
        <v>0</v>
      </c>
      <c r="AP1805" s="50" t="n">
        <f aca="false">IF(BW1805=1,0,ROUNDUP(AO1805/BV1805,0))</f>
        <v>0</v>
      </c>
      <c r="AQ1805" s="52" t="n">
        <f aca="false">IF(CL1805&gt;0,CL1805*MAX(1,AO1805/X1805),IF(BW1805=1,IF(AO1805&lt;=0,0,CA1805*MAX(1,IF(H1805&gt;0,AO1805/H1805,1))),IF(R1805&gt;0,AP1805/R1805,0))/MAX(0.1,N(Parameter!$M$21)))</f>
        <v>0</v>
      </c>
      <c r="AR1805" s="50" t="n">
        <f aca="false">AQ1805*BY1805</f>
        <v>0</v>
      </c>
      <c r="AS1805" s="50" t="n">
        <f aca="false">AO1805*G1805</f>
        <v>0</v>
      </c>
      <c r="AT1805" s="50" t="n">
        <f aca="false">ROUNDUP(MAX(J1805/IF(CD1805&gt;0,CD1805,MAX(0.1,N(Cockpit!$I$6))),CG1805)/BV1805,0)*BV1805</f>
        <v>0</v>
      </c>
      <c r="AU1805" s="51" t="n">
        <f aca="false">IF(AR1805&gt;0,J1805/AR1805,-1)</f>
        <v>-1</v>
      </c>
      <c r="AV1805" s="51" t="str">
        <f aca="false">IF(AND(OR(CC1805="L1",CC1805="L23",CC1805="LIFT"),AR1805&gt;0),SUMIFS($AR$7:$AR$1843,$CC$7:$CC$1843,CC1805,$AU$7:$AU$1843,"&gt;"&amp;AU1805)+SUMIFS($AR$7:$AR$1843,$CC$7:$CC$1843,CC1805,$AU$7:$AU$1843,AU1805,$BT$7:$BT$1843,"&lt;="&amp;BT1805),"")</f>
        <v/>
      </c>
      <c r="AW1805" s="58" t="n">
        <f aca="false">IF(AV1805="",0,MAX(0,MIN(1,(IF(CC1805="L1",Parameter!$H$5,IF(CC1805="L23",Parameter!$H$6+Parameter!$H$7,Parameter!$H$5+Parameter!$H$6+Parameter!$H$7))-(AV1805-AR1805))/AR1805)))</f>
        <v>0</v>
      </c>
      <c r="AX1805" s="50" t="n">
        <f aca="false">IF(LEFT(Cockpit!$O$5,1)="A",H1805,IF(CE1805=1,CF1805,IF(LEFT(Cockpit!$O$5,1)="B",BC1805,MAX(BC1805,H1805))))</f>
        <v>0</v>
      </c>
      <c r="AY1805" s="50" t="n">
        <f aca="false">IF(BW1805=1,0,ROUNDUP(AX1805/BV1805,0))</f>
        <v>0</v>
      </c>
      <c r="AZ1805" s="52" t="n">
        <f aca="false">IF(CL1805&gt;0,CL1805*MAX(1,AX1805/X1805),IF(BW1805=1,IF(AX1805&lt;=0,0,CA1805*MAX(1,IF(H1805&gt;0,AX1805/H1805,1))),IF(R1805&gt;0,AY1805/R1805,0))/MAX(0.1,N(Parameter!$M$21)))</f>
        <v>0</v>
      </c>
      <c r="BA1805" s="50" t="n">
        <f aca="false">AZ1805*BY1805</f>
        <v>0</v>
      </c>
      <c r="BB1805" s="50" t="n">
        <f aca="false">AX1805*G1805</f>
        <v>0</v>
      </c>
      <c r="BC1805" s="50" t="n">
        <f aca="false">ROUNDUP(MAX(J1805/IF(CD1805&gt;0,CD1805,MAX(0.1,N(Cockpit!$O$6))),CG1805)/BV1805,0)*BV1805</f>
        <v>0</v>
      </c>
      <c r="BD1805" s="51" t="n">
        <f aca="false">IF(BA1805&gt;0,J1805/BA1805,-1)</f>
        <v>-1</v>
      </c>
      <c r="BE1805" s="51" t="str">
        <f aca="false">IF(AND(OR(CC1805="L1",CC1805="L23",CC1805="LIFT"),BA1805&gt;0),SUMIFS($BA$7:$BA$1843,$CC$7:$CC$1843,CC1805,$BD$7:$BD$1843,"&gt;"&amp;BD1805)+SUMIFS($BA$7:$BA$1843,$CC$7:$CC$1843,CC1805,$BD$7:$BD$1843,BD1805,$BT$7:$BT$1843,"&lt;="&amp;BT1805),"")</f>
        <v/>
      </c>
      <c r="BF1805" s="58" t="n">
        <f aca="false">IF(BE1805="",0,MAX(0,MIN(1,(IF(CC1805="L1",Parameter!$H$5,IF(CC1805="L23",Parameter!$H$6+Parameter!$H$7,Parameter!$H$5+Parameter!$H$6+Parameter!$H$7))-(BE1805-BA1805))/BA1805)))</f>
        <v>0</v>
      </c>
      <c r="BG1805" s="48" t="str">
        <f aca="false">IF(AI1805&lt;=0,"",IF(CC1805="Aussen","Aussenlager",IF(CC1805="-","Nicht im Lift",IF(AN1805&gt;=1,"Lift",IF(AN1805&lt;=0,"Aussenlager","teilweise")))))</f>
        <v/>
      </c>
      <c r="BH1805" s="48" t="str">
        <f aca="false">IF(AR1805&lt;=0,"",IF(CC1805="Aussen","Aussenlager",IF(CC1805="-","Nicht im Lift",IF(AW1805&gt;=1,"Lift",IF(AW1805&lt;=0,"Aussenlager","teilweise")))))</f>
        <v/>
      </c>
      <c r="BI1805" s="48" t="str">
        <f aca="false">IF(BA1805&lt;=0,"",IF(CC1805="Aussen","Aussenlager",IF(CC1805="-","Nicht im Lift",IF(BF1805&gt;=1,"Lift",IF(BF1805&lt;=0,"Aussenlager","teilweise")))))</f>
        <v/>
      </c>
      <c r="BJ1805" s="48" t="str">
        <f aca="false">IF(A1805="","",IF(BS1805=1,"Neu; ","")&amp;IF(AND(BS1805=0,BN1805&lt;0),"negativer Bestand (Export "&amp;BN1805&amp;"); ","")&amp;IF(J1805&lt;=0,"Kein Verbrauch; ","")&amp;IF(CL1805&gt;0,"Lift "&amp;W1805&amp;" lt. Liftbericht (Fach "&amp;X1805&amp;" Stk); ",IF(BX1805=1,"Gebinde geschätzt ("&amp;T1805&amp;"); ",IF(BW1805=1,"Lose – Tablare geschätzt; ","")))&amp;IF(H1805&gt;AT1805,"Überbestand "&amp;ROUND(H1805-AT1805,0)&amp;" Stk / CHF "&amp;ROUND((H1805-AT1805)*G1805,0)&amp;"; ","")&amp;IF(AND(CE1805=1,CF1805&lt;CG1805),"MAX &lt; MB+LG; ","")&amp;IF(AND(CK1805&gt;0,CJ1805*10&gt;CK1805),"zu hoch für Tablar; ","")&amp;IF(AND(BS1805=0,OR(CE1805=1,AA1805&lt;&gt;"",U1805&lt;&gt;"",V1805&lt;&gt;"",AB1805&lt;&gt;"")),"manuell übersteuert; ","")&amp;IF(AND(BW1805=0,R1805=0),"Gebinde unbekannt / Stellmass fehlt; ","")&amp;IF(AND(BW1805=0,N(V1805)&lt;=0,N(Q1805)&lt;=0),"Menge pro Gebinde fehlt (Ist = 1 Gebinde); ","")&amp;BR1805)</f>
        <v/>
      </c>
      <c r="BK1805" s="48"/>
      <c r="BL1805" s="48"/>
      <c r="BM1805" s="55"/>
      <c r="BN1805" s="50" t="n">
        <f aca="false">N('Neue Artikel'!$D$66)</f>
        <v>0</v>
      </c>
      <c r="BO1805" s="50" t="n">
        <v>0</v>
      </c>
      <c r="BP1805" s="49" t="n">
        <v>0</v>
      </c>
      <c r="BQ1805" s="50" t="n">
        <f aca="false">N('Neue Artikel'!$C$66)/Parameter!$B$18</f>
        <v>0</v>
      </c>
      <c r="BR1805" s="48"/>
      <c r="BS1805" s="53" t="n">
        <v>1</v>
      </c>
      <c r="BT1805" s="53" t="n">
        <v>1805</v>
      </c>
      <c r="BU1805" s="48" t="str">
        <f aca="false">IF(U1805&lt;&gt;"",UPPER(TRIM(U1805)),IF(BX1805=1,UPPER(VLOOKUP(T1805,Parameter!$I$27:$K$29,2,0)),IF(P1805="","LOSE",P1805)))</f>
        <v>LOSE</v>
      </c>
      <c r="BV1805" s="50" t="n">
        <f aca="false">IF(BU1805="LOSE",1,IF(N(V1805)&gt;0,V1805,IF(BX1805=1,MAX(1,N(VLOOKUP(T1805,Parameter!$I$27:$K$29,3,0)),H1805,N(N1805)),IF(N(Q1805)&gt;0,Q1805,MAX(1,H1805)))))</f>
        <v>1</v>
      </c>
      <c r="BW1805" s="53" t="n">
        <f aca="false">IF(BU1805="LOSE",1,0)</f>
        <v>1</v>
      </c>
      <c r="BX1805" s="53" t="n">
        <f aca="false">IF(AND(U1805="",OR(P1805="",P1805="LOSE"),T1805&lt;&gt;"",N(S1805)&lt;=0,ISNUMBER(MATCH(T1805,Parameter!$I$27:$I$29,0))),1,0)</f>
        <v>0</v>
      </c>
      <c r="BY1805" s="53" t="n">
        <f aca="false">IF(CL1805&gt;0,INDEX(Parameter!$H$5:$H$7,W1805)/INDEX(Parameter!$E$5:$E$7,W1805),IF(AND(BW1805=0,N(IFERROR(VLOOKUP(BU1805,'Gebinde-Kategorie'!$A$5:$N$45,14,0),0))&gt;0),VLOOKUP(BU1805,'Gebinde-Kategorie'!$A$5:$N$45,14,0)*10+Parameter!$M$23,Parameter!$M$24))</f>
        <v>235</v>
      </c>
      <c r="BZ1805" s="48" t="str">
        <f aca="false">IF(AND(Parameter!$B$19="Ja",E1805&lt;&gt;"",ISNUMBER(MATCH(E1805,Parameter!$I$35:$I$52,0))),VLOOKUP(E1805,Parameter!$I$35:$J$52,2,0),IFERROR(VLOOKUP(D1805,Parameter!$A$35:$C$64,2,0),"Nein"))</f>
        <v>2+3</v>
      </c>
      <c r="CA1805" s="52" t="n">
        <f aca="false">IF(BW1805=0,0,IF(N(S1805)&gt;0,S1805,IFERROR(VLOOKUP(D1805,Parameter!$A$35:$C$64,3,0)+0,0)))</f>
        <v>0.15</v>
      </c>
      <c r="CB1805" s="48" t="str">
        <f aca="false">IF(AA1805&lt;&gt;"",AA1805,Z1805)</f>
        <v/>
      </c>
      <c r="CC1805" s="48" t="str">
        <f aca="false">IF(OR(CB1805=1,CB1805=2,CB1805=3),IF(Parameter!$E$27="Ja","LIFT",IF(CB1805=1,"L1","L23")),IF(CB1805="Aussen","Aussen","-"))</f>
        <v>-</v>
      </c>
      <c r="CD1805" s="59" t="n">
        <f aca="false">IF(N(AB1805)&gt;0,AB1805,0)</f>
        <v>0</v>
      </c>
      <c r="CE1805" s="53" t="n">
        <f aca="false">IF(ISNUMBER(AE1805),1,0)</f>
        <v>0</v>
      </c>
      <c r="CF1805" s="50" t="n">
        <f aca="false">N(AE1805)</f>
        <v>0</v>
      </c>
      <c r="CG1805" s="50" t="n">
        <f aca="false">N(M1805)+N(N1805)</f>
        <v>0</v>
      </c>
      <c r="CH1805" s="50" t="n">
        <f aca="false">ROUNDUP(H1805/BV1805,0)</f>
        <v>0</v>
      </c>
      <c r="CI1805" s="50" t="n">
        <f aca="false">ROUNDUP(CF1805/BV1805,0)</f>
        <v>0</v>
      </c>
      <c r="CJ1805" s="53" t="n">
        <f aca="false">IF(BW1805=1,0,IFERROR(VLOOKUP(BU1805,'Gebinde-Kategorie'!$A$5:$N$45,5,0)+0,0))</f>
        <v>0</v>
      </c>
      <c r="CK1805" s="53" t="n">
        <f aca="false">IFERROR(IF(OR(CB1805=1,CB1805=2,CB1805=3),N(INDEX(Parameter!$I$5:$I$7,CB1805)),0),0)</f>
        <v>0</v>
      </c>
      <c r="CL1805" s="52" t="n">
        <f aca="false">IF(AND(Parameter!$B$21="Ja",ISNUMBER(W1805),N(X1805)&gt;0),IFERROR(N(INDEX(Parameter!$L$5:$L$7,W1805))*INDEX(Parameter!$E$5:$E$7,W1805)*X1805/SUMIFS($X$7:$X$1843,$W$7:$W$1843,W1805),0),0)</f>
        <v>0</v>
      </c>
    </row>
    <row r="1806" customFormat="false" ht="15" hidden="false" customHeight="false" outlineLevel="0" collapsed="false">
      <c r="A1806" s="48" t="str">
        <f aca="false">IF('Neue Artikel'!$A$67="","",'Neue Artikel'!$A$67&amp;"")</f>
        <v/>
      </c>
      <c r="B1806" s="48" t="str">
        <f aca="false">'Neue Artikel'!$B$67&amp;""</f>
        <v/>
      </c>
      <c r="C1806" s="48"/>
      <c r="D1806" s="48" t="s">
        <v>3019</v>
      </c>
      <c r="E1806" s="48"/>
      <c r="F1806" s="48"/>
      <c r="G1806" s="49" t="n">
        <f aca="false">N('Neue Artikel'!$G$67)</f>
        <v>0</v>
      </c>
      <c r="H1806" s="50" t="n">
        <f aca="false">MAX(0,IF(AND(Parameter!$B$21="Ja",ISNUMBER(Y1806)),Y1806,IF(Parameter!$B$20="Jahresanfang 2025 + Export",BO1806+BN1806,BN1806)))</f>
        <v>0</v>
      </c>
      <c r="I1806" s="50" t="n">
        <f aca="false">H1806*G1806</f>
        <v>0</v>
      </c>
      <c r="J1806" s="50" t="n">
        <f aca="false">BQ1806*Parameter!$B$18</f>
        <v>0</v>
      </c>
      <c r="K1806" s="51"/>
      <c r="L1806" s="52"/>
      <c r="M1806" s="50" t="n">
        <f aca="false">N('Neue Artikel'!$E$67)</f>
        <v>0</v>
      </c>
      <c r="N1806" s="50" t="n">
        <f aca="false">N('Neue Artikel'!$F$67)</f>
        <v>0</v>
      </c>
      <c r="O1806" s="53"/>
      <c r="P1806" s="48" t="str">
        <f aca="false">IF('Neue Artikel'!$H$67="","LOSE",UPPER(TRIM('Neue Artikel'!$H$67)))</f>
        <v>LOSE</v>
      </c>
      <c r="Q1806" s="50" t="n">
        <f aca="false">N('Neue Artikel'!$I$67)</f>
        <v>0</v>
      </c>
      <c r="R1806" s="53" t="n">
        <f aca="false">IF(BW1806=1,0,IFERROR(VLOOKUP(BU1806,'Gebinde-Kategorie'!$A$5:$N$45,13,0)+0,0))</f>
        <v>0</v>
      </c>
      <c r="S1806" s="54"/>
      <c r="T1806" s="55"/>
      <c r="U1806" s="55"/>
      <c r="V1806" s="55"/>
      <c r="W1806" s="48"/>
      <c r="X1806" s="50"/>
      <c r="Y1806" s="50"/>
      <c r="Z1806" s="48" t="str">
        <f aca="false">IF(A1806="","",IF(AND(Parameter!$B$21="Ja",ISNUMBER(W1806)),W1806,IF(BZ1806="2+3",IF(ISNUMBER(SEARCH("grosser Artikel",BR1806)),2,IFERROR(VLOOKUP(BU1806,Parameter!$F$35:$G$64,2,0),2)),IF(OR(BZ1806="Nein",BZ1806=""),"-",BZ1806))))</f>
        <v/>
      </c>
      <c r="AA1806" s="48" t="str">
        <f aca="false">IF('Neue Artikel'!$J$67="","",'Neue Artikel'!$J$67)</f>
        <v/>
      </c>
      <c r="AB1806" s="56"/>
      <c r="AC1806" s="50" t="n">
        <f aca="false">AT1806</f>
        <v>0</v>
      </c>
      <c r="AD1806" s="50" t="n">
        <f aca="false">MAX(AT1806,H1806)</f>
        <v>0</v>
      </c>
      <c r="AE1806" s="57"/>
      <c r="AF1806" s="50" t="n">
        <f aca="false">IF(LEFT(Cockpit!$C$5,1)="A",H1806,IF(CE1806=1,CF1806,IF(LEFT(Cockpit!$C$5,1)="B",AK1806,MAX(AK1806,H1806))))</f>
        <v>0</v>
      </c>
      <c r="AG1806" s="50" t="n">
        <f aca="false">IF(BW1806=1,0,ROUNDUP(AF1806/BV1806,0))</f>
        <v>0</v>
      </c>
      <c r="AH1806" s="52" t="n">
        <f aca="false">IF(CL1806&gt;0,CL1806*MAX(1,AF1806/X1806),IF(BW1806=1,IF(AF1806&lt;=0,0,CA1806*MAX(1,IF(H1806&gt;0,AF1806/H1806,1))),IF(R1806&gt;0,AG1806/R1806,0))/MAX(0.1,N(Parameter!$M$21)))</f>
        <v>0</v>
      </c>
      <c r="AI1806" s="50" t="n">
        <f aca="false">AH1806*BY1806</f>
        <v>0</v>
      </c>
      <c r="AJ1806" s="50" t="n">
        <f aca="false">AF1806*G1806</f>
        <v>0</v>
      </c>
      <c r="AK1806" s="50" t="n">
        <f aca="false">ROUNDUP(MAX(J1806/IF(CD1806&gt;0,CD1806,MAX(0.1,N(Cockpit!$C$6))),CG1806)/BV1806,0)*BV1806</f>
        <v>0</v>
      </c>
      <c r="AL1806" s="51" t="n">
        <f aca="false">IF(AI1806&gt;0,J1806/AI1806,-1)</f>
        <v>-1</v>
      </c>
      <c r="AM1806" s="51" t="str">
        <f aca="false">IF(AND(OR(CC1806="L1",CC1806="L23",CC1806="LIFT"),AI1806&gt;0),SUMIFS($AI$7:$AI$1843,$CC$7:$CC$1843,CC1806,$AL$7:$AL$1843,"&gt;"&amp;AL1806)+SUMIFS($AI$7:$AI$1843,$CC$7:$CC$1843,CC1806,$AL$7:$AL$1843,AL1806,$BT$7:$BT$1843,"&lt;="&amp;BT1806),"")</f>
        <v/>
      </c>
      <c r="AN1806" s="58" t="n">
        <f aca="false">IF(AM1806="",0,MAX(0,MIN(1,(IF(CC1806="L1",Parameter!$H$5,IF(CC1806="L23",Parameter!$H$6+Parameter!$H$7,Parameter!$H$5+Parameter!$H$6+Parameter!$H$7))-(AM1806-AI1806))/AI1806)))</f>
        <v>0</v>
      </c>
      <c r="AO1806" s="50" t="n">
        <f aca="false">IF(LEFT(Cockpit!$I$5,1)="A",H1806,IF(CE1806=1,CF1806,IF(LEFT(Cockpit!$I$5,1)="B",AT1806,MAX(AT1806,H1806))))</f>
        <v>0</v>
      </c>
      <c r="AP1806" s="50" t="n">
        <f aca="false">IF(BW1806=1,0,ROUNDUP(AO1806/BV1806,0))</f>
        <v>0</v>
      </c>
      <c r="AQ1806" s="52" t="n">
        <f aca="false">IF(CL1806&gt;0,CL1806*MAX(1,AO1806/X1806),IF(BW1806=1,IF(AO1806&lt;=0,0,CA1806*MAX(1,IF(H1806&gt;0,AO1806/H1806,1))),IF(R1806&gt;0,AP1806/R1806,0))/MAX(0.1,N(Parameter!$M$21)))</f>
        <v>0</v>
      </c>
      <c r="AR1806" s="50" t="n">
        <f aca="false">AQ1806*BY1806</f>
        <v>0</v>
      </c>
      <c r="AS1806" s="50" t="n">
        <f aca="false">AO1806*G1806</f>
        <v>0</v>
      </c>
      <c r="AT1806" s="50" t="n">
        <f aca="false">ROUNDUP(MAX(J1806/IF(CD1806&gt;0,CD1806,MAX(0.1,N(Cockpit!$I$6))),CG1806)/BV1806,0)*BV1806</f>
        <v>0</v>
      </c>
      <c r="AU1806" s="51" t="n">
        <f aca="false">IF(AR1806&gt;0,J1806/AR1806,-1)</f>
        <v>-1</v>
      </c>
      <c r="AV1806" s="51" t="str">
        <f aca="false">IF(AND(OR(CC1806="L1",CC1806="L23",CC1806="LIFT"),AR1806&gt;0),SUMIFS($AR$7:$AR$1843,$CC$7:$CC$1843,CC1806,$AU$7:$AU$1843,"&gt;"&amp;AU1806)+SUMIFS($AR$7:$AR$1843,$CC$7:$CC$1843,CC1806,$AU$7:$AU$1843,AU1806,$BT$7:$BT$1843,"&lt;="&amp;BT1806),"")</f>
        <v/>
      </c>
      <c r="AW1806" s="58" t="n">
        <f aca="false">IF(AV1806="",0,MAX(0,MIN(1,(IF(CC1806="L1",Parameter!$H$5,IF(CC1806="L23",Parameter!$H$6+Parameter!$H$7,Parameter!$H$5+Parameter!$H$6+Parameter!$H$7))-(AV1806-AR1806))/AR1806)))</f>
        <v>0</v>
      </c>
      <c r="AX1806" s="50" t="n">
        <f aca="false">IF(LEFT(Cockpit!$O$5,1)="A",H1806,IF(CE1806=1,CF1806,IF(LEFT(Cockpit!$O$5,1)="B",BC1806,MAX(BC1806,H1806))))</f>
        <v>0</v>
      </c>
      <c r="AY1806" s="50" t="n">
        <f aca="false">IF(BW1806=1,0,ROUNDUP(AX1806/BV1806,0))</f>
        <v>0</v>
      </c>
      <c r="AZ1806" s="52" t="n">
        <f aca="false">IF(CL1806&gt;0,CL1806*MAX(1,AX1806/X1806),IF(BW1806=1,IF(AX1806&lt;=0,0,CA1806*MAX(1,IF(H1806&gt;0,AX1806/H1806,1))),IF(R1806&gt;0,AY1806/R1806,0))/MAX(0.1,N(Parameter!$M$21)))</f>
        <v>0</v>
      </c>
      <c r="BA1806" s="50" t="n">
        <f aca="false">AZ1806*BY1806</f>
        <v>0</v>
      </c>
      <c r="BB1806" s="50" t="n">
        <f aca="false">AX1806*G1806</f>
        <v>0</v>
      </c>
      <c r="BC1806" s="50" t="n">
        <f aca="false">ROUNDUP(MAX(J1806/IF(CD1806&gt;0,CD1806,MAX(0.1,N(Cockpit!$O$6))),CG1806)/BV1806,0)*BV1806</f>
        <v>0</v>
      </c>
      <c r="BD1806" s="51" t="n">
        <f aca="false">IF(BA1806&gt;0,J1806/BA1806,-1)</f>
        <v>-1</v>
      </c>
      <c r="BE1806" s="51" t="str">
        <f aca="false">IF(AND(OR(CC1806="L1",CC1806="L23",CC1806="LIFT"),BA1806&gt;0),SUMIFS($BA$7:$BA$1843,$CC$7:$CC$1843,CC1806,$BD$7:$BD$1843,"&gt;"&amp;BD1806)+SUMIFS($BA$7:$BA$1843,$CC$7:$CC$1843,CC1806,$BD$7:$BD$1843,BD1806,$BT$7:$BT$1843,"&lt;="&amp;BT1806),"")</f>
        <v/>
      </c>
      <c r="BF1806" s="58" t="n">
        <f aca="false">IF(BE1806="",0,MAX(0,MIN(1,(IF(CC1806="L1",Parameter!$H$5,IF(CC1806="L23",Parameter!$H$6+Parameter!$H$7,Parameter!$H$5+Parameter!$H$6+Parameter!$H$7))-(BE1806-BA1806))/BA1806)))</f>
        <v>0</v>
      </c>
      <c r="BG1806" s="48" t="str">
        <f aca="false">IF(AI1806&lt;=0,"",IF(CC1806="Aussen","Aussenlager",IF(CC1806="-","Nicht im Lift",IF(AN1806&gt;=1,"Lift",IF(AN1806&lt;=0,"Aussenlager","teilweise")))))</f>
        <v/>
      </c>
      <c r="BH1806" s="48" t="str">
        <f aca="false">IF(AR1806&lt;=0,"",IF(CC1806="Aussen","Aussenlager",IF(CC1806="-","Nicht im Lift",IF(AW1806&gt;=1,"Lift",IF(AW1806&lt;=0,"Aussenlager","teilweise")))))</f>
        <v/>
      </c>
      <c r="BI1806" s="48" t="str">
        <f aca="false">IF(BA1806&lt;=0,"",IF(CC1806="Aussen","Aussenlager",IF(CC1806="-","Nicht im Lift",IF(BF1806&gt;=1,"Lift",IF(BF1806&lt;=0,"Aussenlager","teilweise")))))</f>
        <v/>
      </c>
      <c r="BJ1806" s="48" t="str">
        <f aca="false">IF(A1806="","",IF(BS1806=1,"Neu; ","")&amp;IF(AND(BS1806=0,BN1806&lt;0),"negativer Bestand (Export "&amp;BN1806&amp;"); ","")&amp;IF(J1806&lt;=0,"Kein Verbrauch; ","")&amp;IF(CL1806&gt;0,"Lift "&amp;W1806&amp;" lt. Liftbericht (Fach "&amp;X1806&amp;" Stk); ",IF(BX1806=1,"Gebinde geschätzt ("&amp;T1806&amp;"); ",IF(BW1806=1,"Lose – Tablare geschätzt; ","")))&amp;IF(H1806&gt;AT1806,"Überbestand "&amp;ROUND(H1806-AT1806,0)&amp;" Stk / CHF "&amp;ROUND((H1806-AT1806)*G1806,0)&amp;"; ","")&amp;IF(AND(CE1806=1,CF1806&lt;CG1806),"MAX &lt; MB+LG; ","")&amp;IF(AND(CK1806&gt;0,CJ1806*10&gt;CK1806),"zu hoch für Tablar; ","")&amp;IF(AND(BS1806=0,OR(CE1806=1,AA1806&lt;&gt;"",U1806&lt;&gt;"",V1806&lt;&gt;"",AB1806&lt;&gt;"")),"manuell übersteuert; ","")&amp;IF(AND(BW1806=0,R1806=0),"Gebinde unbekannt / Stellmass fehlt; ","")&amp;IF(AND(BW1806=0,N(V1806)&lt;=0,N(Q1806)&lt;=0),"Menge pro Gebinde fehlt (Ist = 1 Gebinde); ","")&amp;BR1806)</f>
        <v/>
      </c>
      <c r="BK1806" s="48"/>
      <c r="BL1806" s="48"/>
      <c r="BM1806" s="55"/>
      <c r="BN1806" s="50" t="n">
        <f aca="false">N('Neue Artikel'!$D$67)</f>
        <v>0</v>
      </c>
      <c r="BO1806" s="50" t="n">
        <v>0</v>
      </c>
      <c r="BP1806" s="49" t="n">
        <v>0</v>
      </c>
      <c r="BQ1806" s="50" t="n">
        <f aca="false">N('Neue Artikel'!$C$67)/Parameter!$B$18</f>
        <v>0</v>
      </c>
      <c r="BR1806" s="48"/>
      <c r="BS1806" s="53" t="n">
        <v>1</v>
      </c>
      <c r="BT1806" s="53" t="n">
        <v>1806</v>
      </c>
      <c r="BU1806" s="48" t="str">
        <f aca="false">IF(U1806&lt;&gt;"",UPPER(TRIM(U1806)),IF(BX1806=1,UPPER(VLOOKUP(T1806,Parameter!$I$27:$K$29,2,0)),IF(P1806="","LOSE",P1806)))</f>
        <v>LOSE</v>
      </c>
      <c r="BV1806" s="50" t="n">
        <f aca="false">IF(BU1806="LOSE",1,IF(N(V1806)&gt;0,V1806,IF(BX1806=1,MAX(1,N(VLOOKUP(T1806,Parameter!$I$27:$K$29,3,0)),H1806,N(N1806)),IF(N(Q1806)&gt;0,Q1806,MAX(1,H1806)))))</f>
        <v>1</v>
      </c>
      <c r="BW1806" s="53" t="n">
        <f aca="false">IF(BU1806="LOSE",1,0)</f>
        <v>1</v>
      </c>
      <c r="BX1806" s="53" t="n">
        <f aca="false">IF(AND(U1806="",OR(P1806="",P1806="LOSE"),T1806&lt;&gt;"",N(S1806)&lt;=0,ISNUMBER(MATCH(T1806,Parameter!$I$27:$I$29,0))),1,0)</f>
        <v>0</v>
      </c>
      <c r="BY1806" s="53" t="n">
        <f aca="false">IF(CL1806&gt;0,INDEX(Parameter!$H$5:$H$7,W1806)/INDEX(Parameter!$E$5:$E$7,W1806),IF(AND(BW1806=0,N(IFERROR(VLOOKUP(BU1806,'Gebinde-Kategorie'!$A$5:$N$45,14,0),0))&gt;0),VLOOKUP(BU1806,'Gebinde-Kategorie'!$A$5:$N$45,14,0)*10+Parameter!$M$23,Parameter!$M$24))</f>
        <v>235</v>
      </c>
      <c r="BZ1806" s="48" t="str">
        <f aca="false">IF(AND(Parameter!$B$19="Ja",E1806&lt;&gt;"",ISNUMBER(MATCH(E1806,Parameter!$I$35:$I$52,0))),VLOOKUP(E1806,Parameter!$I$35:$J$52,2,0),IFERROR(VLOOKUP(D1806,Parameter!$A$35:$C$64,2,0),"Nein"))</f>
        <v>2+3</v>
      </c>
      <c r="CA1806" s="52" t="n">
        <f aca="false">IF(BW1806=0,0,IF(N(S1806)&gt;0,S1806,IFERROR(VLOOKUP(D1806,Parameter!$A$35:$C$64,3,0)+0,0)))</f>
        <v>0.15</v>
      </c>
      <c r="CB1806" s="48" t="str">
        <f aca="false">IF(AA1806&lt;&gt;"",AA1806,Z1806)</f>
        <v/>
      </c>
      <c r="CC1806" s="48" t="str">
        <f aca="false">IF(OR(CB1806=1,CB1806=2,CB1806=3),IF(Parameter!$E$27="Ja","LIFT",IF(CB1806=1,"L1","L23")),IF(CB1806="Aussen","Aussen","-"))</f>
        <v>-</v>
      </c>
      <c r="CD1806" s="59" t="n">
        <f aca="false">IF(N(AB1806)&gt;0,AB1806,0)</f>
        <v>0</v>
      </c>
      <c r="CE1806" s="53" t="n">
        <f aca="false">IF(ISNUMBER(AE1806),1,0)</f>
        <v>0</v>
      </c>
      <c r="CF1806" s="50" t="n">
        <f aca="false">N(AE1806)</f>
        <v>0</v>
      </c>
      <c r="CG1806" s="50" t="n">
        <f aca="false">N(M1806)+N(N1806)</f>
        <v>0</v>
      </c>
      <c r="CH1806" s="50" t="n">
        <f aca="false">ROUNDUP(H1806/BV1806,0)</f>
        <v>0</v>
      </c>
      <c r="CI1806" s="50" t="n">
        <f aca="false">ROUNDUP(CF1806/BV1806,0)</f>
        <v>0</v>
      </c>
      <c r="CJ1806" s="53" t="n">
        <f aca="false">IF(BW1806=1,0,IFERROR(VLOOKUP(BU1806,'Gebinde-Kategorie'!$A$5:$N$45,5,0)+0,0))</f>
        <v>0</v>
      </c>
      <c r="CK1806" s="53" t="n">
        <f aca="false">IFERROR(IF(OR(CB1806=1,CB1806=2,CB1806=3),N(INDEX(Parameter!$I$5:$I$7,CB1806)),0),0)</f>
        <v>0</v>
      </c>
      <c r="CL1806" s="52" t="n">
        <f aca="false">IF(AND(Parameter!$B$21="Ja",ISNUMBER(W1806),N(X1806)&gt;0),IFERROR(N(INDEX(Parameter!$L$5:$L$7,W1806))*INDEX(Parameter!$E$5:$E$7,W1806)*X1806/SUMIFS($X$7:$X$1843,$W$7:$W$1843,W1806),0),0)</f>
        <v>0</v>
      </c>
    </row>
    <row r="1807" customFormat="false" ht="15" hidden="false" customHeight="false" outlineLevel="0" collapsed="false">
      <c r="A1807" s="48" t="str">
        <f aca="false">IF('Neue Artikel'!$A$68="","",'Neue Artikel'!$A$68&amp;"")</f>
        <v/>
      </c>
      <c r="B1807" s="48" t="str">
        <f aca="false">'Neue Artikel'!$B$68&amp;""</f>
        <v/>
      </c>
      <c r="C1807" s="48"/>
      <c r="D1807" s="48" t="s">
        <v>3019</v>
      </c>
      <c r="E1807" s="48"/>
      <c r="F1807" s="48"/>
      <c r="G1807" s="49" t="n">
        <f aca="false">N('Neue Artikel'!$G$68)</f>
        <v>0</v>
      </c>
      <c r="H1807" s="50" t="n">
        <f aca="false">MAX(0,IF(AND(Parameter!$B$21="Ja",ISNUMBER(Y1807)),Y1807,IF(Parameter!$B$20="Jahresanfang 2025 + Export",BO1807+BN1807,BN1807)))</f>
        <v>0</v>
      </c>
      <c r="I1807" s="50" t="n">
        <f aca="false">H1807*G1807</f>
        <v>0</v>
      </c>
      <c r="J1807" s="50" t="n">
        <f aca="false">BQ1807*Parameter!$B$18</f>
        <v>0</v>
      </c>
      <c r="K1807" s="51"/>
      <c r="L1807" s="52"/>
      <c r="M1807" s="50" t="n">
        <f aca="false">N('Neue Artikel'!$E$68)</f>
        <v>0</v>
      </c>
      <c r="N1807" s="50" t="n">
        <f aca="false">N('Neue Artikel'!$F$68)</f>
        <v>0</v>
      </c>
      <c r="O1807" s="53"/>
      <c r="P1807" s="48" t="str">
        <f aca="false">IF('Neue Artikel'!$H$68="","LOSE",UPPER(TRIM('Neue Artikel'!$H$68)))</f>
        <v>LOSE</v>
      </c>
      <c r="Q1807" s="50" t="n">
        <f aca="false">N('Neue Artikel'!$I$68)</f>
        <v>0</v>
      </c>
      <c r="R1807" s="53" t="n">
        <f aca="false">IF(BW1807=1,0,IFERROR(VLOOKUP(BU1807,'Gebinde-Kategorie'!$A$5:$N$45,13,0)+0,0))</f>
        <v>0</v>
      </c>
      <c r="S1807" s="54"/>
      <c r="T1807" s="55"/>
      <c r="U1807" s="55"/>
      <c r="V1807" s="55"/>
      <c r="W1807" s="48"/>
      <c r="X1807" s="50"/>
      <c r="Y1807" s="50"/>
      <c r="Z1807" s="48" t="str">
        <f aca="false">IF(A1807="","",IF(AND(Parameter!$B$21="Ja",ISNUMBER(W1807)),W1807,IF(BZ1807="2+3",IF(ISNUMBER(SEARCH("grosser Artikel",BR1807)),2,IFERROR(VLOOKUP(BU1807,Parameter!$F$35:$G$64,2,0),2)),IF(OR(BZ1807="Nein",BZ1807=""),"-",BZ1807))))</f>
        <v/>
      </c>
      <c r="AA1807" s="48" t="str">
        <f aca="false">IF('Neue Artikel'!$J$68="","",'Neue Artikel'!$J$68)</f>
        <v/>
      </c>
      <c r="AB1807" s="56"/>
      <c r="AC1807" s="50" t="n">
        <f aca="false">AT1807</f>
        <v>0</v>
      </c>
      <c r="AD1807" s="50" t="n">
        <f aca="false">MAX(AT1807,H1807)</f>
        <v>0</v>
      </c>
      <c r="AE1807" s="57"/>
      <c r="AF1807" s="50" t="n">
        <f aca="false">IF(LEFT(Cockpit!$C$5,1)="A",H1807,IF(CE1807=1,CF1807,IF(LEFT(Cockpit!$C$5,1)="B",AK1807,MAX(AK1807,H1807))))</f>
        <v>0</v>
      </c>
      <c r="AG1807" s="50" t="n">
        <f aca="false">IF(BW1807=1,0,ROUNDUP(AF1807/BV1807,0))</f>
        <v>0</v>
      </c>
      <c r="AH1807" s="52" t="n">
        <f aca="false">IF(CL1807&gt;0,CL1807*MAX(1,AF1807/X1807),IF(BW1807=1,IF(AF1807&lt;=0,0,CA1807*MAX(1,IF(H1807&gt;0,AF1807/H1807,1))),IF(R1807&gt;0,AG1807/R1807,0))/MAX(0.1,N(Parameter!$M$21)))</f>
        <v>0</v>
      </c>
      <c r="AI1807" s="50" t="n">
        <f aca="false">AH1807*BY1807</f>
        <v>0</v>
      </c>
      <c r="AJ1807" s="50" t="n">
        <f aca="false">AF1807*G1807</f>
        <v>0</v>
      </c>
      <c r="AK1807" s="50" t="n">
        <f aca="false">ROUNDUP(MAX(J1807/IF(CD1807&gt;0,CD1807,MAX(0.1,N(Cockpit!$C$6))),CG1807)/BV1807,0)*BV1807</f>
        <v>0</v>
      </c>
      <c r="AL1807" s="51" t="n">
        <f aca="false">IF(AI1807&gt;0,J1807/AI1807,-1)</f>
        <v>-1</v>
      </c>
      <c r="AM1807" s="51" t="str">
        <f aca="false">IF(AND(OR(CC1807="L1",CC1807="L23",CC1807="LIFT"),AI1807&gt;0),SUMIFS($AI$7:$AI$1843,$CC$7:$CC$1843,CC1807,$AL$7:$AL$1843,"&gt;"&amp;AL1807)+SUMIFS($AI$7:$AI$1843,$CC$7:$CC$1843,CC1807,$AL$7:$AL$1843,AL1807,$BT$7:$BT$1843,"&lt;="&amp;BT1807),"")</f>
        <v/>
      </c>
      <c r="AN1807" s="58" t="n">
        <f aca="false">IF(AM1807="",0,MAX(0,MIN(1,(IF(CC1807="L1",Parameter!$H$5,IF(CC1807="L23",Parameter!$H$6+Parameter!$H$7,Parameter!$H$5+Parameter!$H$6+Parameter!$H$7))-(AM1807-AI1807))/AI1807)))</f>
        <v>0</v>
      </c>
      <c r="AO1807" s="50" t="n">
        <f aca="false">IF(LEFT(Cockpit!$I$5,1)="A",H1807,IF(CE1807=1,CF1807,IF(LEFT(Cockpit!$I$5,1)="B",AT1807,MAX(AT1807,H1807))))</f>
        <v>0</v>
      </c>
      <c r="AP1807" s="50" t="n">
        <f aca="false">IF(BW1807=1,0,ROUNDUP(AO1807/BV1807,0))</f>
        <v>0</v>
      </c>
      <c r="AQ1807" s="52" t="n">
        <f aca="false">IF(CL1807&gt;0,CL1807*MAX(1,AO1807/X1807),IF(BW1807=1,IF(AO1807&lt;=0,0,CA1807*MAX(1,IF(H1807&gt;0,AO1807/H1807,1))),IF(R1807&gt;0,AP1807/R1807,0))/MAX(0.1,N(Parameter!$M$21)))</f>
        <v>0</v>
      </c>
      <c r="AR1807" s="50" t="n">
        <f aca="false">AQ1807*BY1807</f>
        <v>0</v>
      </c>
      <c r="AS1807" s="50" t="n">
        <f aca="false">AO1807*G1807</f>
        <v>0</v>
      </c>
      <c r="AT1807" s="50" t="n">
        <f aca="false">ROUNDUP(MAX(J1807/IF(CD1807&gt;0,CD1807,MAX(0.1,N(Cockpit!$I$6))),CG1807)/BV1807,0)*BV1807</f>
        <v>0</v>
      </c>
      <c r="AU1807" s="51" t="n">
        <f aca="false">IF(AR1807&gt;0,J1807/AR1807,-1)</f>
        <v>-1</v>
      </c>
      <c r="AV1807" s="51" t="str">
        <f aca="false">IF(AND(OR(CC1807="L1",CC1807="L23",CC1807="LIFT"),AR1807&gt;0),SUMIFS($AR$7:$AR$1843,$CC$7:$CC$1843,CC1807,$AU$7:$AU$1843,"&gt;"&amp;AU1807)+SUMIFS($AR$7:$AR$1843,$CC$7:$CC$1843,CC1807,$AU$7:$AU$1843,AU1807,$BT$7:$BT$1843,"&lt;="&amp;BT1807),"")</f>
        <v/>
      </c>
      <c r="AW1807" s="58" t="n">
        <f aca="false">IF(AV1807="",0,MAX(0,MIN(1,(IF(CC1807="L1",Parameter!$H$5,IF(CC1807="L23",Parameter!$H$6+Parameter!$H$7,Parameter!$H$5+Parameter!$H$6+Parameter!$H$7))-(AV1807-AR1807))/AR1807)))</f>
        <v>0</v>
      </c>
      <c r="AX1807" s="50" t="n">
        <f aca="false">IF(LEFT(Cockpit!$O$5,1)="A",H1807,IF(CE1807=1,CF1807,IF(LEFT(Cockpit!$O$5,1)="B",BC1807,MAX(BC1807,H1807))))</f>
        <v>0</v>
      </c>
      <c r="AY1807" s="50" t="n">
        <f aca="false">IF(BW1807=1,0,ROUNDUP(AX1807/BV1807,0))</f>
        <v>0</v>
      </c>
      <c r="AZ1807" s="52" t="n">
        <f aca="false">IF(CL1807&gt;0,CL1807*MAX(1,AX1807/X1807),IF(BW1807=1,IF(AX1807&lt;=0,0,CA1807*MAX(1,IF(H1807&gt;0,AX1807/H1807,1))),IF(R1807&gt;0,AY1807/R1807,0))/MAX(0.1,N(Parameter!$M$21)))</f>
        <v>0</v>
      </c>
      <c r="BA1807" s="50" t="n">
        <f aca="false">AZ1807*BY1807</f>
        <v>0</v>
      </c>
      <c r="BB1807" s="50" t="n">
        <f aca="false">AX1807*G1807</f>
        <v>0</v>
      </c>
      <c r="BC1807" s="50" t="n">
        <f aca="false">ROUNDUP(MAX(J1807/IF(CD1807&gt;0,CD1807,MAX(0.1,N(Cockpit!$O$6))),CG1807)/BV1807,0)*BV1807</f>
        <v>0</v>
      </c>
      <c r="BD1807" s="51" t="n">
        <f aca="false">IF(BA1807&gt;0,J1807/BA1807,-1)</f>
        <v>-1</v>
      </c>
      <c r="BE1807" s="51" t="str">
        <f aca="false">IF(AND(OR(CC1807="L1",CC1807="L23",CC1807="LIFT"),BA1807&gt;0),SUMIFS($BA$7:$BA$1843,$CC$7:$CC$1843,CC1807,$BD$7:$BD$1843,"&gt;"&amp;BD1807)+SUMIFS($BA$7:$BA$1843,$CC$7:$CC$1843,CC1807,$BD$7:$BD$1843,BD1807,$BT$7:$BT$1843,"&lt;="&amp;BT1807),"")</f>
        <v/>
      </c>
      <c r="BF1807" s="58" t="n">
        <f aca="false">IF(BE1807="",0,MAX(0,MIN(1,(IF(CC1807="L1",Parameter!$H$5,IF(CC1807="L23",Parameter!$H$6+Parameter!$H$7,Parameter!$H$5+Parameter!$H$6+Parameter!$H$7))-(BE1807-BA1807))/BA1807)))</f>
        <v>0</v>
      </c>
      <c r="BG1807" s="48" t="str">
        <f aca="false">IF(AI1807&lt;=0,"",IF(CC1807="Aussen","Aussenlager",IF(CC1807="-","Nicht im Lift",IF(AN1807&gt;=1,"Lift",IF(AN1807&lt;=0,"Aussenlager","teilweise")))))</f>
        <v/>
      </c>
      <c r="BH1807" s="48" t="str">
        <f aca="false">IF(AR1807&lt;=0,"",IF(CC1807="Aussen","Aussenlager",IF(CC1807="-","Nicht im Lift",IF(AW1807&gt;=1,"Lift",IF(AW1807&lt;=0,"Aussenlager","teilweise")))))</f>
        <v/>
      </c>
      <c r="BI1807" s="48" t="str">
        <f aca="false">IF(BA1807&lt;=0,"",IF(CC1807="Aussen","Aussenlager",IF(CC1807="-","Nicht im Lift",IF(BF1807&gt;=1,"Lift",IF(BF1807&lt;=0,"Aussenlager","teilweise")))))</f>
        <v/>
      </c>
      <c r="BJ1807" s="48" t="str">
        <f aca="false">IF(A1807="","",IF(BS1807=1,"Neu; ","")&amp;IF(AND(BS1807=0,BN1807&lt;0),"negativer Bestand (Export "&amp;BN1807&amp;"); ","")&amp;IF(J1807&lt;=0,"Kein Verbrauch; ","")&amp;IF(CL1807&gt;0,"Lift "&amp;W1807&amp;" lt. Liftbericht (Fach "&amp;X1807&amp;" Stk); ",IF(BX1807=1,"Gebinde geschätzt ("&amp;T1807&amp;"); ",IF(BW1807=1,"Lose – Tablare geschätzt; ","")))&amp;IF(H1807&gt;AT1807,"Überbestand "&amp;ROUND(H1807-AT1807,0)&amp;" Stk / CHF "&amp;ROUND((H1807-AT1807)*G1807,0)&amp;"; ","")&amp;IF(AND(CE1807=1,CF1807&lt;CG1807),"MAX &lt; MB+LG; ","")&amp;IF(AND(CK1807&gt;0,CJ1807*10&gt;CK1807),"zu hoch für Tablar; ","")&amp;IF(AND(BS1807=0,OR(CE1807=1,AA1807&lt;&gt;"",U1807&lt;&gt;"",V1807&lt;&gt;"",AB1807&lt;&gt;"")),"manuell übersteuert; ","")&amp;IF(AND(BW1807=0,R1807=0),"Gebinde unbekannt / Stellmass fehlt; ","")&amp;IF(AND(BW1807=0,N(V1807)&lt;=0,N(Q1807)&lt;=0),"Menge pro Gebinde fehlt (Ist = 1 Gebinde); ","")&amp;BR1807)</f>
        <v/>
      </c>
      <c r="BK1807" s="48"/>
      <c r="BL1807" s="48"/>
      <c r="BM1807" s="55"/>
      <c r="BN1807" s="50" t="n">
        <f aca="false">N('Neue Artikel'!$D$68)</f>
        <v>0</v>
      </c>
      <c r="BO1807" s="50" t="n">
        <v>0</v>
      </c>
      <c r="BP1807" s="49" t="n">
        <v>0</v>
      </c>
      <c r="BQ1807" s="50" t="n">
        <f aca="false">N('Neue Artikel'!$C$68)/Parameter!$B$18</f>
        <v>0</v>
      </c>
      <c r="BR1807" s="48"/>
      <c r="BS1807" s="53" t="n">
        <v>1</v>
      </c>
      <c r="BT1807" s="53" t="n">
        <v>1807</v>
      </c>
      <c r="BU1807" s="48" t="str">
        <f aca="false">IF(U1807&lt;&gt;"",UPPER(TRIM(U1807)),IF(BX1807=1,UPPER(VLOOKUP(T1807,Parameter!$I$27:$K$29,2,0)),IF(P1807="","LOSE",P1807)))</f>
        <v>LOSE</v>
      </c>
      <c r="BV1807" s="50" t="n">
        <f aca="false">IF(BU1807="LOSE",1,IF(N(V1807)&gt;0,V1807,IF(BX1807=1,MAX(1,N(VLOOKUP(T1807,Parameter!$I$27:$K$29,3,0)),H1807,N(N1807)),IF(N(Q1807)&gt;0,Q1807,MAX(1,H1807)))))</f>
        <v>1</v>
      </c>
      <c r="BW1807" s="53" t="n">
        <f aca="false">IF(BU1807="LOSE",1,0)</f>
        <v>1</v>
      </c>
      <c r="BX1807" s="53" t="n">
        <f aca="false">IF(AND(U1807="",OR(P1807="",P1807="LOSE"),T1807&lt;&gt;"",N(S1807)&lt;=0,ISNUMBER(MATCH(T1807,Parameter!$I$27:$I$29,0))),1,0)</f>
        <v>0</v>
      </c>
      <c r="BY1807" s="53" t="n">
        <f aca="false">IF(CL1807&gt;0,INDEX(Parameter!$H$5:$H$7,W1807)/INDEX(Parameter!$E$5:$E$7,W1807),IF(AND(BW1807=0,N(IFERROR(VLOOKUP(BU1807,'Gebinde-Kategorie'!$A$5:$N$45,14,0),0))&gt;0),VLOOKUP(BU1807,'Gebinde-Kategorie'!$A$5:$N$45,14,0)*10+Parameter!$M$23,Parameter!$M$24))</f>
        <v>235</v>
      </c>
      <c r="BZ1807" s="48" t="str">
        <f aca="false">IF(AND(Parameter!$B$19="Ja",E1807&lt;&gt;"",ISNUMBER(MATCH(E1807,Parameter!$I$35:$I$52,0))),VLOOKUP(E1807,Parameter!$I$35:$J$52,2,0),IFERROR(VLOOKUP(D1807,Parameter!$A$35:$C$64,2,0),"Nein"))</f>
        <v>2+3</v>
      </c>
      <c r="CA1807" s="52" t="n">
        <f aca="false">IF(BW1807=0,0,IF(N(S1807)&gt;0,S1807,IFERROR(VLOOKUP(D1807,Parameter!$A$35:$C$64,3,0)+0,0)))</f>
        <v>0.15</v>
      </c>
      <c r="CB1807" s="48" t="str">
        <f aca="false">IF(AA1807&lt;&gt;"",AA1807,Z1807)</f>
        <v/>
      </c>
      <c r="CC1807" s="48" t="str">
        <f aca="false">IF(OR(CB1807=1,CB1807=2,CB1807=3),IF(Parameter!$E$27="Ja","LIFT",IF(CB1807=1,"L1","L23")),IF(CB1807="Aussen","Aussen","-"))</f>
        <v>-</v>
      </c>
      <c r="CD1807" s="59" t="n">
        <f aca="false">IF(N(AB1807)&gt;0,AB1807,0)</f>
        <v>0</v>
      </c>
      <c r="CE1807" s="53" t="n">
        <f aca="false">IF(ISNUMBER(AE1807),1,0)</f>
        <v>0</v>
      </c>
      <c r="CF1807" s="50" t="n">
        <f aca="false">N(AE1807)</f>
        <v>0</v>
      </c>
      <c r="CG1807" s="50" t="n">
        <f aca="false">N(M1807)+N(N1807)</f>
        <v>0</v>
      </c>
      <c r="CH1807" s="50" t="n">
        <f aca="false">ROUNDUP(H1807/BV1807,0)</f>
        <v>0</v>
      </c>
      <c r="CI1807" s="50" t="n">
        <f aca="false">ROUNDUP(CF1807/BV1807,0)</f>
        <v>0</v>
      </c>
      <c r="CJ1807" s="53" t="n">
        <f aca="false">IF(BW1807=1,0,IFERROR(VLOOKUP(BU1807,'Gebinde-Kategorie'!$A$5:$N$45,5,0)+0,0))</f>
        <v>0</v>
      </c>
      <c r="CK1807" s="53" t="n">
        <f aca="false">IFERROR(IF(OR(CB1807=1,CB1807=2,CB1807=3),N(INDEX(Parameter!$I$5:$I$7,CB1807)),0),0)</f>
        <v>0</v>
      </c>
      <c r="CL1807" s="52" t="n">
        <f aca="false">IF(AND(Parameter!$B$21="Ja",ISNUMBER(W1807),N(X1807)&gt;0),IFERROR(N(INDEX(Parameter!$L$5:$L$7,W1807))*INDEX(Parameter!$E$5:$E$7,W1807)*X1807/SUMIFS($X$7:$X$1843,$W$7:$W$1843,W1807),0),0)</f>
        <v>0</v>
      </c>
    </row>
    <row r="1808" customFormat="false" ht="15" hidden="false" customHeight="false" outlineLevel="0" collapsed="false">
      <c r="A1808" s="48" t="str">
        <f aca="false">IF('Neue Artikel'!$A$69="","",'Neue Artikel'!$A$69&amp;"")</f>
        <v/>
      </c>
      <c r="B1808" s="48" t="str">
        <f aca="false">'Neue Artikel'!$B$69&amp;""</f>
        <v/>
      </c>
      <c r="C1808" s="48"/>
      <c r="D1808" s="48" t="s">
        <v>3019</v>
      </c>
      <c r="E1808" s="48"/>
      <c r="F1808" s="48"/>
      <c r="G1808" s="49" t="n">
        <f aca="false">N('Neue Artikel'!$G$69)</f>
        <v>0</v>
      </c>
      <c r="H1808" s="50" t="n">
        <f aca="false">MAX(0,IF(AND(Parameter!$B$21="Ja",ISNUMBER(Y1808)),Y1808,IF(Parameter!$B$20="Jahresanfang 2025 + Export",BO1808+BN1808,BN1808)))</f>
        <v>0</v>
      </c>
      <c r="I1808" s="50" t="n">
        <f aca="false">H1808*G1808</f>
        <v>0</v>
      </c>
      <c r="J1808" s="50" t="n">
        <f aca="false">BQ1808*Parameter!$B$18</f>
        <v>0</v>
      </c>
      <c r="K1808" s="51"/>
      <c r="L1808" s="52"/>
      <c r="M1808" s="50" t="n">
        <f aca="false">N('Neue Artikel'!$E$69)</f>
        <v>0</v>
      </c>
      <c r="N1808" s="50" t="n">
        <f aca="false">N('Neue Artikel'!$F$69)</f>
        <v>0</v>
      </c>
      <c r="O1808" s="53"/>
      <c r="P1808" s="48" t="str">
        <f aca="false">IF('Neue Artikel'!$H$69="","LOSE",UPPER(TRIM('Neue Artikel'!$H$69)))</f>
        <v>LOSE</v>
      </c>
      <c r="Q1808" s="50" t="n">
        <f aca="false">N('Neue Artikel'!$I$69)</f>
        <v>0</v>
      </c>
      <c r="R1808" s="53" t="n">
        <f aca="false">IF(BW1808=1,0,IFERROR(VLOOKUP(BU1808,'Gebinde-Kategorie'!$A$5:$N$45,13,0)+0,0))</f>
        <v>0</v>
      </c>
      <c r="S1808" s="54"/>
      <c r="T1808" s="55"/>
      <c r="U1808" s="55"/>
      <c r="V1808" s="55"/>
      <c r="W1808" s="48"/>
      <c r="X1808" s="50"/>
      <c r="Y1808" s="50"/>
      <c r="Z1808" s="48" t="str">
        <f aca="false">IF(A1808="","",IF(AND(Parameter!$B$21="Ja",ISNUMBER(W1808)),W1808,IF(BZ1808="2+3",IF(ISNUMBER(SEARCH("grosser Artikel",BR1808)),2,IFERROR(VLOOKUP(BU1808,Parameter!$F$35:$G$64,2,0),2)),IF(OR(BZ1808="Nein",BZ1808=""),"-",BZ1808))))</f>
        <v/>
      </c>
      <c r="AA1808" s="48" t="str">
        <f aca="false">IF('Neue Artikel'!$J$69="","",'Neue Artikel'!$J$69)</f>
        <v/>
      </c>
      <c r="AB1808" s="56"/>
      <c r="AC1808" s="50" t="n">
        <f aca="false">AT1808</f>
        <v>0</v>
      </c>
      <c r="AD1808" s="50" t="n">
        <f aca="false">MAX(AT1808,H1808)</f>
        <v>0</v>
      </c>
      <c r="AE1808" s="57"/>
      <c r="AF1808" s="50" t="n">
        <f aca="false">IF(LEFT(Cockpit!$C$5,1)="A",H1808,IF(CE1808=1,CF1808,IF(LEFT(Cockpit!$C$5,1)="B",AK1808,MAX(AK1808,H1808))))</f>
        <v>0</v>
      </c>
      <c r="AG1808" s="50" t="n">
        <f aca="false">IF(BW1808=1,0,ROUNDUP(AF1808/BV1808,0))</f>
        <v>0</v>
      </c>
      <c r="AH1808" s="52" t="n">
        <f aca="false">IF(CL1808&gt;0,CL1808*MAX(1,AF1808/X1808),IF(BW1808=1,IF(AF1808&lt;=0,0,CA1808*MAX(1,IF(H1808&gt;0,AF1808/H1808,1))),IF(R1808&gt;0,AG1808/R1808,0))/MAX(0.1,N(Parameter!$M$21)))</f>
        <v>0</v>
      </c>
      <c r="AI1808" s="50" t="n">
        <f aca="false">AH1808*BY1808</f>
        <v>0</v>
      </c>
      <c r="AJ1808" s="50" t="n">
        <f aca="false">AF1808*G1808</f>
        <v>0</v>
      </c>
      <c r="AK1808" s="50" t="n">
        <f aca="false">ROUNDUP(MAX(J1808/IF(CD1808&gt;0,CD1808,MAX(0.1,N(Cockpit!$C$6))),CG1808)/BV1808,0)*BV1808</f>
        <v>0</v>
      </c>
      <c r="AL1808" s="51" t="n">
        <f aca="false">IF(AI1808&gt;0,J1808/AI1808,-1)</f>
        <v>-1</v>
      </c>
      <c r="AM1808" s="51" t="str">
        <f aca="false">IF(AND(OR(CC1808="L1",CC1808="L23",CC1808="LIFT"),AI1808&gt;0),SUMIFS($AI$7:$AI$1843,$CC$7:$CC$1843,CC1808,$AL$7:$AL$1843,"&gt;"&amp;AL1808)+SUMIFS($AI$7:$AI$1843,$CC$7:$CC$1843,CC1808,$AL$7:$AL$1843,AL1808,$BT$7:$BT$1843,"&lt;="&amp;BT1808),"")</f>
        <v/>
      </c>
      <c r="AN1808" s="58" t="n">
        <f aca="false">IF(AM1808="",0,MAX(0,MIN(1,(IF(CC1808="L1",Parameter!$H$5,IF(CC1808="L23",Parameter!$H$6+Parameter!$H$7,Parameter!$H$5+Parameter!$H$6+Parameter!$H$7))-(AM1808-AI1808))/AI1808)))</f>
        <v>0</v>
      </c>
      <c r="AO1808" s="50" t="n">
        <f aca="false">IF(LEFT(Cockpit!$I$5,1)="A",H1808,IF(CE1808=1,CF1808,IF(LEFT(Cockpit!$I$5,1)="B",AT1808,MAX(AT1808,H1808))))</f>
        <v>0</v>
      </c>
      <c r="AP1808" s="50" t="n">
        <f aca="false">IF(BW1808=1,0,ROUNDUP(AO1808/BV1808,0))</f>
        <v>0</v>
      </c>
      <c r="AQ1808" s="52" t="n">
        <f aca="false">IF(CL1808&gt;0,CL1808*MAX(1,AO1808/X1808),IF(BW1808=1,IF(AO1808&lt;=0,0,CA1808*MAX(1,IF(H1808&gt;0,AO1808/H1808,1))),IF(R1808&gt;0,AP1808/R1808,0))/MAX(0.1,N(Parameter!$M$21)))</f>
        <v>0</v>
      </c>
      <c r="AR1808" s="50" t="n">
        <f aca="false">AQ1808*BY1808</f>
        <v>0</v>
      </c>
      <c r="AS1808" s="50" t="n">
        <f aca="false">AO1808*G1808</f>
        <v>0</v>
      </c>
      <c r="AT1808" s="50" t="n">
        <f aca="false">ROUNDUP(MAX(J1808/IF(CD1808&gt;0,CD1808,MAX(0.1,N(Cockpit!$I$6))),CG1808)/BV1808,0)*BV1808</f>
        <v>0</v>
      </c>
      <c r="AU1808" s="51" t="n">
        <f aca="false">IF(AR1808&gt;0,J1808/AR1808,-1)</f>
        <v>-1</v>
      </c>
      <c r="AV1808" s="51" t="str">
        <f aca="false">IF(AND(OR(CC1808="L1",CC1808="L23",CC1808="LIFT"),AR1808&gt;0),SUMIFS($AR$7:$AR$1843,$CC$7:$CC$1843,CC1808,$AU$7:$AU$1843,"&gt;"&amp;AU1808)+SUMIFS($AR$7:$AR$1843,$CC$7:$CC$1843,CC1808,$AU$7:$AU$1843,AU1808,$BT$7:$BT$1843,"&lt;="&amp;BT1808),"")</f>
        <v/>
      </c>
      <c r="AW1808" s="58" t="n">
        <f aca="false">IF(AV1808="",0,MAX(0,MIN(1,(IF(CC1808="L1",Parameter!$H$5,IF(CC1808="L23",Parameter!$H$6+Parameter!$H$7,Parameter!$H$5+Parameter!$H$6+Parameter!$H$7))-(AV1808-AR1808))/AR1808)))</f>
        <v>0</v>
      </c>
      <c r="AX1808" s="50" t="n">
        <f aca="false">IF(LEFT(Cockpit!$O$5,1)="A",H1808,IF(CE1808=1,CF1808,IF(LEFT(Cockpit!$O$5,1)="B",BC1808,MAX(BC1808,H1808))))</f>
        <v>0</v>
      </c>
      <c r="AY1808" s="50" t="n">
        <f aca="false">IF(BW1808=1,0,ROUNDUP(AX1808/BV1808,0))</f>
        <v>0</v>
      </c>
      <c r="AZ1808" s="52" t="n">
        <f aca="false">IF(CL1808&gt;0,CL1808*MAX(1,AX1808/X1808),IF(BW1808=1,IF(AX1808&lt;=0,0,CA1808*MAX(1,IF(H1808&gt;0,AX1808/H1808,1))),IF(R1808&gt;0,AY1808/R1808,0))/MAX(0.1,N(Parameter!$M$21)))</f>
        <v>0</v>
      </c>
      <c r="BA1808" s="50" t="n">
        <f aca="false">AZ1808*BY1808</f>
        <v>0</v>
      </c>
      <c r="BB1808" s="50" t="n">
        <f aca="false">AX1808*G1808</f>
        <v>0</v>
      </c>
      <c r="BC1808" s="50" t="n">
        <f aca="false">ROUNDUP(MAX(J1808/IF(CD1808&gt;0,CD1808,MAX(0.1,N(Cockpit!$O$6))),CG1808)/BV1808,0)*BV1808</f>
        <v>0</v>
      </c>
      <c r="BD1808" s="51" t="n">
        <f aca="false">IF(BA1808&gt;0,J1808/BA1808,-1)</f>
        <v>-1</v>
      </c>
      <c r="BE1808" s="51" t="str">
        <f aca="false">IF(AND(OR(CC1808="L1",CC1808="L23",CC1808="LIFT"),BA1808&gt;0),SUMIFS($BA$7:$BA$1843,$CC$7:$CC$1843,CC1808,$BD$7:$BD$1843,"&gt;"&amp;BD1808)+SUMIFS($BA$7:$BA$1843,$CC$7:$CC$1843,CC1808,$BD$7:$BD$1843,BD1808,$BT$7:$BT$1843,"&lt;="&amp;BT1808),"")</f>
        <v/>
      </c>
      <c r="BF1808" s="58" t="n">
        <f aca="false">IF(BE1808="",0,MAX(0,MIN(1,(IF(CC1808="L1",Parameter!$H$5,IF(CC1808="L23",Parameter!$H$6+Parameter!$H$7,Parameter!$H$5+Parameter!$H$6+Parameter!$H$7))-(BE1808-BA1808))/BA1808)))</f>
        <v>0</v>
      </c>
      <c r="BG1808" s="48" t="str">
        <f aca="false">IF(AI1808&lt;=0,"",IF(CC1808="Aussen","Aussenlager",IF(CC1808="-","Nicht im Lift",IF(AN1808&gt;=1,"Lift",IF(AN1808&lt;=0,"Aussenlager","teilweise")))))</f>
        <v/>
      </c>
      <c r="BH1808" s="48" t="str">
        <f aca="false">IF(AR1808&lt;=0,"",IF(CC1808="Aussen","Aussenlager",IF(CC1808="-","Nicht im Lift",IF(AW1808&gt;=1,"Lift",IF(AW1808&lt;=0,"Aussenlager","teilweise")))))</f>
        <v/>
      </c>
      <c r="BI1808" s="48" t="str">
        <f aca="false">IF(BA1808&lt;=0,"",IF(CC1808="Aussen","Aussenlager",IF(CC1808="-","Nicht im Lift",IF(BF1808&gt;=1,"Lift",IF(BF1808&lt;=0,"Aussenlager","teilweise")))))</f>
        <v/>
      </c>
      <c r="BJ1808" s="48" t="str">
        <f aca="false">IF(A1808="","",IF(BS1808=1,"Neu; ","")&amp;IF(AND(BS1808=0,BN1808&lt;0),"negativer Bestand (Export "&amp;BN1808&amp;"); ","")&amp;IF(J1808&lt;=0,"Kein Verbrauch; ","")&amp;IF(CL1808&gt;0,"Lift "&amp;W1808&amp;" lt. Liftbericht (Fach "&amp;X1808&amp;" Stk); ",IF(BX1808=1,"Gebinde geschätzt ("&amp;T1808&amp;"); ",IF(BW1808=1,"Lose – Tablare geschätzt; ","")))&amp;IF(H1808&gt;AT1808,"Überbestand "&amp;ROUND(H1808-AT1808,0)&amp;" Stk / CHF "&amp;ROUND((H1808-AT1808)*G1808,0)&amp;"; ","")&amp;IF(AND(CE1808=1,CF1808&lt;CG1808),"MAX &lt; MB+LG; ","")&amp;IF(AND(CK1808&gt;0,CJ1808*10&gt;CK1808),"zu hoch für Tablar; ","")&amp;IF(AND(BS1808=0,OR(CE1808=1,AA1808&lt;&gt;"",U1808&lt;&gt;"",V1808&lt;&gt;"",AB1808&lt;&gt;"")),"manuell übersteuert; ","")&amp;IF(AND(BW1808=0,R1808=0),"Gebinde unbekannt / Stellmass fehlt; ","")&amp;IF(AND(BW1808=0,N(V1808)&lt;=0,N(Q1808)&lt;=0),"Menge pro Gebinde fehlt (Ist = 1 Gebinde); ","")&amp;BR1808)</f>
        <v/>
      </c>
      <c r="BK1808" s="48"/>
      <c r="BL1808" s="48"/>
      <c r="BM1808" s="55"/>
      <c r="BN1808" s="50" t="n">
        <f aca="false">N('Neue Artikel'!$D$69)</f>
        <v>0</v>
      </c>
      <c r="BO1808" s="50" t="n">
        <v>0</v>
      </c>
      <c r="BP1808" s="49" t="n">
        <v>0</v>
      </c>
      <c r="BQ1808" s="50" t="n">
        <f aca="false">N('Neue Artikel'!$C$69)/Parameter!$B$18</f>
        <v>0</v>
      </c>
      <c r="BR1808" s="48"/>
      <c r="BS1808" s="53" t="n">
        <v>1</v>
      </c>
      <c r="BT1808" s="53" t="n">
        <v>1808</v>
      </c>
      <c r="BU1808" s="48" t="str">
        <f aca="false">IF(U1808&lt;&gt;"",UPPER(TRIM(U1808)),IF(BX1808=1,UPPER(VLOOKUP(T1808,Parameter!$I$27:$K$29,2,0)),IF(P1808="","LOSE",P1808)))</f>
        <v>LOSE</v>
      </c>
      <c r="BV1808" s="50" t="n">
        <f aca="false">IF(BU1808="LOSE",1,IF(N(V1808)&gt;0,V1808,IF(BX1808=1,MAX(1,N(VLOOKUP(T1808,Parameter!$I$27:$K$29,3,0)),H1808,N(N1808)),IF(N(Q1808)&gt;0,Q1808,MAX(1,H1808)))))</f>
        <v>1</v>
      </c>
      <c r="BW1808" s="53" t="n">
        <f aca="false">IF(BU1808="LOSE",1,0)</f>
        <v>1</v>
      </c>
      <c r="BX1808" s="53" t="n">
        <f aca="false">IF(AND(U1808="",OR(P1808="",P1808="LOSE"),T1808&lt;&gt;"",N(S1808)&lt;=0,ISNUMBER(MATCH(T1808,Parameter!$I$27:$I$29,0))),1,0)</f>
        <v>0</v>
      </c>
      <c r="BY1808" s="53" t="n">
        <f aca="false">IF(CL1808&gt;0,INDEX(Parameter!$H$5:$H$7,W1808)/INDEX(Parameter!$E$5:$E$7,W1808),IF(AND(BW1808=0,N(IFERROR(VLOOKUP(BU1808,'Gebinde-Kategorie'!$A$5:$N$45,14,0),0))&gt;0),VLOOKUP(BU1808,'Gebinde-Kategorie'!$A$5:$N$45,14,0)*10+Parameter!$M$23,Parameter!$M$24))</f>
        <v>235</v>
      </c>
      <c r="BZ1808" s="48" t="str">
        <f aca="false">IF(AND(Parameter!$B$19="Ja",E1808&lt;&gt;"",ISNUMBER(MATCH(E1808,Parameter!$I$35:$I$52,0))),VLOOKUP(E1808,Parameter!$I$35:$J$52,2,0),IFERROR(VLOOKUP(D1808,Parameter!$A$35:$C$64,2,0),"Nein"))</f>
        <v>2+3</v>
      </c>
      <c r="CA1808" s="52" t="n">
        <f aca="false">IF(BW1808=0,0,IF(N(S1808)&gt;0,S1808,IFERROR(VLOOKUP(D1808,Parameter!$A$35:$C$64,3,0)+0,0)))</f>
        <v>0.15</v>
      </c>
      <c r="CB1808" s="48" t="str">
        <f aca="false">IF(AA1808&lt;&gt;"",AA1808,Z1808)</f>
        <v/>
      </c>
      <c r="CC1808" s="48" t="str">
        <f aca="false">IF(OR(CB1808=1,CB1808=2,CB1808=3),IF(Parameter!$E$27="Ja","LIFT",IF(CB1808=1,"L1","L23")),IF(CB1808="Aussen","Aussen","-"))</f>
        <v>-</v>
      </c>
      <c r="CD1808" s="59" t="n">
        <f aca="false">IF(N(AB1808)&gt;0,AB1808,0)</f>
        <v>0</v>
      </c>
      <c r="CE1808" s="53" t="n">
        <f aca="false">IF(ISNUMBER(AE1808),1,0)</f>
        <v>0</v>
      </c>
      <c r="CF1808" s="50" t="n">
        <f aca="false">N(AE1808)</f>
        <v>0</v>
      </c>
      <c r="CG1808" s="50" t="n">
        <f aca="false">N(M1808)+N(N1808)</f>
        <v>0</v>
      </c>
      <c r="CH1808" s="50" t="n">
        <f aca="false">ROUNDUP(H1808/BV1808,0)</f>
        <v>0</v>
      </c>
      <c r="CI1808" s="50" t="n">
        <f aca="false">ROUNDUP(CF1808/BV1808,0)</f>
        <v>0</v>
      </c>
      <c r="CJ1808" s="53" t="n">
        <f aca="false">IF(BW1808=1,0,IFERROR(VLOOKUP(BU1808,'Gebinde-Kategorie'!$A$5:$N$45,5,0)+0,0))</f>
        <v>0</v>
      </c>
      <c r="CK1808" s="53" t="n">
        <f aca="false">IFERROR(IF(OR(CB1808=1,CB1808=2,CB1808=3),N(INDEX(Parameter!$I$5:$I$7,CB1808)),0),0)</f>
        <v>0</v>
      </c>
      <c r="CL1808" s="52" t="n">
        <f aca="false">IF(AND(Parameter!$B$21="Ja",ISNUMBER(W1808),N(X1808)&gt;0),IFERROR(N(INDEX(Parameter!$L$5:$L$7,W1808))*INDEX(Parameter!$E$5:$E$7,W1808)*X1808/SUMIFS($X$7:$X$1843,$W$7:$W$1843,W1808),0),0)</f>
        <v>0</v>
      </c>
    </row>
    <row r="1809" customFormat="false" ht="15" hidden="false" customHeight="false" outlineLevel="0" collapsed="false">
      <c r="A1809" s="48" t="str">
        <f aca="false">IF('Neue Artikel'!$A$70="","",'Neue Artikel'!$A$70&amp;"")</f>
        <v/>
      </c>
      <c r="B1809" s="48" t="str">
        <f aca="false">'Neue Artikel'!$B$70&amp;""</f>
        <v/>
      </c>
      <c r="C1809" s="48"/>
      <c r="D1809" s="48" t="s">
        <v>3019</v>
      </c>
      <c r="E1809" s="48"/>
      <c r="F1809" s="48"/>
      <c r="G1809" s="49" t="n">
        <f aca="false">N('Neue Artikel'!$G$70)</f>
        <v>0</v>
      </c>
      <c r="H1809" s="50" t="n">
        <f aca="false">MAX(0,IF(AND(Parameter!$B$21="Ja",ISNUMBER(Y1809)),Y1809,IF(Parameter!$B$20="Jahresanfang 2025 + Export",BO1809+BN1809,BN1809)))</f>
        <v>0</v>
      </c>
      <c r="I1809" s="50" t="n">
        <f aca="false">H1809*G1809</f>
        <v>0</v>
      </c>
      <c r="J1809" s="50" t="n">
        <f aca="false">BQ1809*Parameter!$B$18</f>
        <v>0</v>
      </c>
      <c r="K1809" s="51"/>
      <c r="L1809" s="52"/>
      <c r="M1809" s="50" t="n">
        <f aca="false">N('Neue Artikel'!$E$70)</f>
        <v>0</v>
      </c>
      <c r="N1809" s="50" t="n">
        <f aca="false">N('Neue Artikel'!$F$70)</f>
        <v>0</v>
      </c>
      <c r="O1809" s="53"/>
      <c r="P1809" s="48" t="str">
        <f aca="false">IF('Neue Artikel'!$H$70="","LOSE",UPPER(TRIM('Neue Artikel'!$H$70)))</f>
        <v>LOSE</v>
      </c>
      <c r="Q1809" s="50" t="n">
        <f aca="false">N('Neue Artikel'!$I$70)</f>
        <v>0</v>
      </c>
      <c r="R1809" s="53" t="n">
        <f aca="false">IF(BW1809=1,0,IFERROR(VLOOKUP(BU1809,'Gebinde-Kategorie'!$A$5:$N$45,13,0)+0,0))</f>
        <v>0</v>
      </c>
      <c r="S1809" s="54"/>
      <c r="T1809" s="55"/>
      <c r="U1809" s="55"/>
      <c r="V1809" s="55"/>
      <c r="W1809" s="48"/>
      <c r="X1809" s="50"/>
      <c r="Y1809" s="50"/>
      <c r="Z1809" s="48" t="str">
        <f aca="false">IF(A1809="","",IF(AND(Parameter!$B$21="Ja",ISNUMBER(W1809)),W1809,IF(BZ1809="2+3",IF(ISNUMBER(SEARCH("grosser Artikel",BR1809)),2,IFERROR(VLOOKUP(BU1809,Parameter!$F$35:$G$64,2,0),2)),IF(OR(BZ1809="Nein",BZ1809=""),"-",BZ1809))))</f>
        <v/>
      </c>
      <c r="AA1809" s="48" t="str">
        <f aca="false">IF('Neue Artikel'!$J$70="","",'Neue Artikel'!$J$70)</f>
        <v/>
      </c>
      <c r="AB1809" s="56"/>
      <c r="AC1809" s="50" t="n">
        <f aca="false">AT1809</f>
        <v>0</v>
      </c>
      <c r="AD1809" s="50" t="n">
        <f aca="false">MAX(AT1809,H1809)</f>
        <v>0</v>
      </c>
      <c r="AE1809" s="57"/>
      <c r="AF1809" s="50" t="n">
        <f aca="false">IF(LEFT(Cockpit!$C$5,1)="A",H1809,IF(CE1809=1,CF1809,IF(LEFT(Cockpit!$C$5,1)="B",AK1809,MAX(AK1809,H1809))))</f>
        <v>0</v>
      </c>
      <c r="AG1809" s="50" t="n">
        <f aca="false">IF(BW1809=1,0,ROUNDUP(AF1809/BV1809,0))</f>
        <v>0</v>
      </c>
      <c r="AH1809" s="52" t="n">
        <f aca="false">IF(CL1809&gt;0,CL1809*MAX(1,AF1809/X1809),IF(BW1809=1,IF(AF1809&lt;=0,0,CA1809*MAX(1,IF(H1809&gt;0,AF1809/H1809,1))),IF(R1809&gt;0,AG1809/R1809,0))/MAX(0.1,N(Parameter!$M$21)))</f>
        <v>0</v>
      </c>
      <c r="AI1809" s="50" t="n">
        <f aca="false">AH1809*BY1809</f>
        <v>0</v>
      </c>
      <c r="AJ1809" s="50" t="n">
        <f aca="false">AF1809*G1809</f>
        <v>0</v>
      </c>
      <c r="AK1809" s="50" t="n">
        <f aca="false">ROUNDUP(MAX(J1809/IF(CD1809&gt;0,CD1809,MAX(0.1,N(Cockpit!$C$6))),CG1809)/BV1809,0)*BV1809</f>
        <v>0</v>
      </c>
      <c r="AL1809" s="51" t="n">
        <f aca="false">IF(AI1809&gt;0,J1809/AI1809,-1)</f>
        <v>-1</v>
      </c>
      <c r="AM1809" s="51" t="str">
        <f aca="false">IF(AND(OR(CC1809="L1",CC1809="L23",CC1809="LIFT"),AI1809&gt;0),SUMIFS($AI$7:$AI$1843,$CC$7:$CC$1843,CC1809,$AL$7:$AL$1843,"&gt;"&amp;AL1809)+SUMIFS($AI$7:$AI$1843,$CC$7:$CC$1843,CC1809,$AL$7:$AL$1843,AL1809,$BT$7:$BT$1843,"&lt;="&amp;BT1809),"")</f>
        <v/>
      </c>
      <c r="AN1809" s="58" t="n">
        <f aca="false">IF(AM1809="",0,MAX(0,MIN(1,(IF(CC1809="L1",Parameter!$H$5,IF(CC1809="L23",Parameter!$H$6+Parameter!$H$7,Parameter!$H$5+Parameter!$H$6+Parameter!$H$7))-(AM1809-AI1809))/AI1809)))</f>
        <v>0</v>
      </c>
      <c r="AO1809" s="50" t="n">
        <f aca="false">IF(LEFT(Cockpit!$I$5,1)="A",H1809,IF(CE1809=1,CF1809,IF(LEFT(Cockpit!$I$5,1)="B",AT1809,MAX(AT1809,H1809))))</f>
        <v>0</v>
      </c>
      <c r="AP1809" s="50" t="n">
        <f aca="false">IF(BW1809=1,0,ROUNDUP(AO1809/BV1809,0))</f>
        <v>0</v>
      </c>
      <c r="AQ1809" s="52" t="n">
        <f aca="false">IF(CL1809&gt;0,CL1809*MAX(1,AO1809/X1809),IF(BW1809=1,IF(AO1809&lt;=0,0,CA1809*MAX(1,IF(H1809&gt;0,AO1809/H1809,1))),IF(R1809&gt;0,AP1809/R1809,0))/MAX(0.1,N(Parameter!$M$21)))</f>
        <v>0</v>
      </c>
      <c r="AR1809" s="50" t="n">
        <f aca="false">AQ1809*BY1809</f>
        <v>0</v>
      </c>
      <c r="AS1809" s="50" t="n">
        <f aca="false">AO1809*G1809</f>
        <v>0</v>
      </c>
      <c r="AT1809" s="50" t="n">
        <f aca="false">ROUNDUP(MAX(J1809/IF(CD1809&gt;0,CD1809,MAX(0.1,N(Cockpit!$I$6))),CG1809)/BV1809,0)*BV1809</f>
        <v>0</v>
      </c>
      <c r="AU1809" s="51" t="n">
        <f aca="false">IF(AR1809&gt;0,J1809/AR1809,-1)</f>
        <v>-1</v>
      </c>
      <c r="AV1809" s="51" t="str">
        <f aca="false">IF(AND(OR(CC1809="L1",CC1809="L23",CC1809="LIFT"),AR1809&gt;0),SUMIFS($AR$7:$AR$1843,$CC$7:$CC$1843,CC1809,$AU$7:$AU$1843,"&gt;"&amp;AU1809)+SUMIFS($AR$7:$AR$1843,$CC$7:$CC$1843,CC1809,$AU$7:$AU$1843,AU1809,$BT$7:$BT$1843,"&lt;="&amp;BT1809),"")</f>
        <v/>
      </c>
      <c r="AW1809" s="58" t="n">
        <f aca="false">IF(AV1809="",0,MAX(0,MIN(1,(IF(CC1809="L1",Parameter!$H$5,IF(CC1809="L23",Parameter!$H$6+Parameter!$H$7,Parameter!$H$5+Parameter!$H$6+Parameter!$H$7))-(AV1809-AR1809))/AR1809)))</f>
        <v>0</v>
      </c>
      <c r="AX1809" s="50" t="n">
        <f aca="false">IF(LEFT(Cockpit!$O$5,1)="A",H1809,IF(CE1809=1,CF1809,IF(LEFT(Cockpit!$O$5,1)="B",BC1809,MAX(BC1809,H1809))))</f>
        <v>0</v>
      </c>
      <c r="AY1809" s="50" t="n">
        <f aca="false">IF(BW1809=1,0,ROUNDUP(AX1809/BV1809,0))</f>
        <v>0</v>
      </c>
      <c r="AZ1809" s="52" t="n">
        <f aca="false">IF(CL1809&gt;0,CL1809*MAX(1,AX1809/X1809),IF(BW1809=1,IF(AX1809&lt;=0,0,CA1809*MAX(1,IF(H1809&gt;0,AX1809/H1809,1))),IF(R1809&gt;0,AY1809/R1809,0))/MAX(0.1,N(Parameter!$M$21)))</f>
        <v>0</v>
      </c>
      <c r="BA1809" s="50" t="n">
        <f aca="false">AZ1809*BY1809</f>
        <v>0</v>
      </c>
      <c r="BB1809" s="50" t="n">
        <f aca="false">AX1809*G1809</f>
        <v>0</v>
      </c>
      <c r="BC1809" s="50" t="n">
        <f aca="false">ROUNDUP(MAX(J1809/IF(CD1809&gt;0,CD1809,MAX(0.1,N(Cockpit!$O$6))),CG1809)/BV1809,0)*BV1809</f>
        <v>0</v>
      </c>
      <c r="BD1809" s="51" t="n">
        <f aca="false">IF(BA1809&gt;0,J1809/BA1809,-1)</f>
        <v>-1</v>
      </c>
      <c r="BE1809" s="51" t="str">
        <f aca="false">IF(AND(OR(CC1809="L1",CC1809="L23",CC1809="LIFT"),BA1809&gt;0),SUMIFS($BA$7:$BA$1843,$CC$7:$CC$1843,CC1809,$BD$7:$BD$1843,"&gt;"&amp;BD1809)+SUMIFS($BA$7:$BA$1843,$CC$7:$CC$1843,CC1809,$BD$7:$BD$1843,BD1809,$BT$7:$BT$1843,"&lt;="&amp;BT1809),"")</f>
        <v/>
      </c>
      <c r="BF1809" s="58" t="n">
        <f aca="false">IF(BE1809="",0,MAX(0,MIN(1,(IF(CC1809="L1",Parameter!$H$5,IF(CC1809="L23",Parameter!$H$6+Parameter!$H$7,Parameter!$H$5+Parameter!$H$6+Parameter!$H$7))-(BE1809-BA1809))/BA1809)))</f>
        <v>0</v>
      </c>
      <c r="BG1809" s="48" t="str">
        <f aca="false">IF(AI1809&lt;=0,"",IF(CC1809="Aussen","Aussenlager",IF(CC1809="-","Nicht im Lift",IF(AN1809&gt;=1,"Lift",IF(AN1809&lt;=0,"Aussenlager","teilweise")))))</f>
        <v/>
      </c>
      <c r="BH1809" s="48" t="str">
        <f aca="false">IF(AR1809&lt;=0,"",IF(CC1809="Aussen","Aussenlager",IF(CC1809="-","Nicht im Lift",IF(AW1809&gt;=1,"Lift",IF(AW1809&lt;=0,"Aussenlager","teilweise")))))</f>
        <v/>
      </c>
      <c r="BI1809" s="48" t="str">
        <f aca="false">IF(BA1809&lt;=0,"",IF(CC1809="Aussen","Aussenlager",IF(CC1809="-","Nicht im Lift",IF(BF1809&gt;=1,"Lift",IF(BF1809&lt;=0,"Aussenlager","teilweise")))))</f>
        <v/>
      </c>
      <c r="BJ1809" s="48" t="str">
        <f aca="false">IF(A1809="","",IF(BS1809=1,"Neu; ","")&amp;IF(AND(BS1809=0,BN1809&lt;0),"negativer Bestand (Export "&amp;BN1809&amp;"); ","")&amp;IF(J1809&lt;=0,"Kein Verbrauch; ","")&amp;IF(CL1809&gt;0,"Lift "&amp;W1809&amp;" lt. Liftbericht (Fach "&amp;X1809&amp;" Stk); ",IF(BX1809=1,"Gebinde geschätzt ("&amp;T1809&amp;"); ",IF(BW1809=1,"Lose – Tablare geschätzt; ","")))&amp;IF(H1809&gt;AT1809,"Überbestand "&amp;ROUND(H1809-AT1809,0)&amp;" Stk / CHF "&amp;ROUND((H1809-AT1809)*G1809,0)&amp;"; ","")&amp;IF(AND(CE1809=1,CF1809&lt;CG1809),"MAX &lt; MB+LG; ","")&amp;IF(AND(CK1809&gt;0,CJ1809*10&gt;CK1809),"zu hoch für Tablar; ","")&amp;IF(AND(BS1809=0,OR(CE1809=1,AA1809&lt;&gt;"",U1809&lt;&gt;"",V1809&lt;&gt;"",AB1809&lt;&gt;"")),"manuell übersteuert; ","")&amp;IF(AND(BW1809=0,R1809=0),"Gebinde unbekannt / Stellmass fehlt; ","")&amp;IF(AND(BW1809=0,N(V1809)&lt;=0,N(Q1809)&lt;=0),"Menge pro Gebinde fehlt (Ist = 1 Gebinde); ","")&amp;BR1809)</f>
        <v/>
      </c>
      <c r="BK1809" s="48"/>
      <c r="BL1809" s="48"/>
      <c r="BM1809" s="55"/>
      <c r="BN1809" s="50" t="n">
        <f aca="false">N('Neue Artikel'!$D$70)</f>
        <v>0</v>
      </c>
      <c r="BO1809" s="50" t="n">
        <v>0</v>
      </c>
      <c r="BP1809" s="49" t="n">
        <v>0</v>
      </c>
      <c r="BQ1809" s="50" t="n">
        <f aca="false">N('Neue Artikel'!$C$70)/Parameter!$B$18</f>
        <v>0</v>
      </c>
      <c r="BR1809" s="48"/>
      <c r="BS1809" s="53" t="n">
        <v>1</v>
      </c>
      <c r="BT1809" s="53" t="n">
        <v>1809</v>
      </c>
      <c r="BU1809" s="48" t="str">
        <f aca="false">IF(U1809&lt;&gt;"",UPPER(TRIM(U1809)),IF(BX1809=1,UPPER(VLOOKUP(T1809,Parameter!$I$27:$K$29,2,0)),IF(P1809="","LOSE",P1809)))</f>
        <v>LOSE</v>
      </c>
      <c r="BV1809" s="50" t="n">
        <f aca="false">IF(BU1809="LOSE",1,IF(N(V1809)&gt;0,V1809,IF(BX1809=1,MAX(1,N(VLOOKUP(T1809,Parameter!$I$27:$K$29,3,0)),H1809,N(N1809)),IF(N(Q1809)&gt;0,Q1809,MAX(1,H1809)))))</f>
        <v>1</v>
      </c>
      <c r="BW1809" s="53" t="n">
        <f aca="false">IF(BU1809="LOSE",1,0)</f>
        <v>1</v>
      </c>
      <c r="BX1809" s="53" t="n">
        <f aca="false">IF(AND(U1809="",OR(P1809="",P1809="LOSE"),T1809&lt;&gt;"",N(S1809)&lt;=0,ISNUMBER(MATCH(T1809,Parameter!$I$27:$I$29,0))),1,0)</f>
        <v>0</v>
      </c>
      <c r="BY1809" s="53" t="n">
        <f aca="false">IF(CL1809&gt;0,INDEX(Parameter!$H$5:$H$7,W1809)/INDEX(Parameter!$E$5:$E$7,W1809),IF(AND(BW1809=0,N(IFERROR(VLOOKUP(BU1809,'Gebinde-Kategorie'!$A$5:$N$45,14,0),0))&gt;0),VLOOKUP(BU1809,'Gebinde-Kategorie'!$A$5:$N$45,14,0)*10+Parameter!$M$23,Parameter!$M$24))</f>
        <v>235</v>
      </c>
      <c r="BZ1809" s="48" t="str">
        <f aca="false">IF(AND(Parameter!$B$19="Ja",E1809&lt;&gt;"",ISNUMBER(MATCH(E1809,Parameter!$I$35:$I$52,0))),VLOOKUP(E1809,Parameter!$I$35:$J$52,2,0),IFERROR(VLOOKUP(D1809,Parameter!$A$35:$C$64,2,0),"Nein"))</f>
        <v>2+3</v>
      </c>
      <c r="CA1809" s="52" t="n">
        <f aca="false">IF(BW1809=0,0,IF(N(S1809)&gt;0,S1809,IFERROR(VLOOKUP(D1809,Parameter!$A$35:$C$64,3,0)+0,0)))</f>
        <v>0.15</v>
      </c>
      <c r="CB1809" s="48" t="str">
        <f aca="false">IF(AA1809&lt;&gt;"",AA1809,Z1809)</f>
        <v/>
      </c>
      <c r="CC1809" s="48" t="str">
        <f aca="false">IF(OR(CB1809=1,CB1809=2,CB1809=3),IF(Parameter!$E$27="Ja","LIFT",IF(CB1809=1,"L1","L23")),IF(CB1809="Aussen","Aussen","-"))</f>
        <v>-</v>
      </c>
      <c r="CD1809" s="59" t="n">
        <f aca="false">IF(N(AB1809)&gt;0,AB1809,0)</f>
        <v>0</v>
      </c>
      <c r="CE1809" s="53" t="n">
        <f aca="false">IF(ISNUMBER(AE1809),1,0)</f>
        <v>0</v>
      </c>
      <c r="CF1809" s="50" t="n">
        <f aca="false">N(AE1809)</f>
        <v>0</v>
      </c>
      <c r="CG1809" s="50" t="n">
        <f aca="false">N(M1809)+N(N1809)</f>
        <v>0</v>
      </c>
      <c r="CH1809" s="50" t="n">
        <f aca="false">ROUNDUP(H1809/BV1809,0)</f>
        <v>0</v>
      </c>
      <c r="CI1809" s="50" t="n">
        <f aca="false">ROUNDUP(CF1809/BV1809,0)</f>
        <v>0</v>
      </c>
      <c r="CJ1809" s="53" t="n">
        <f aca="false">IF(BW1809=1,0,IFERROR(VLOOKUP(BU1809,'Gebinde-Kategorie'!$A$5:$N$45,5,0)+0,0))</f>
        <v>0</v>
      </c>
      <c r="CK1809" s="53" t="n">
        <f aca="false">IFERROR(IF(OR(CB1809=1,CB1809=2,CB1809=3),N(INDEX(Parameter!$I$5:$I$7,CB1809)),0),0)</f>
        <v>0</v>
      </c>
      <c r="CL1809" s="52" t="n">
        <f aca="false">IF(AND(Parameter!$B$21="Ja",ISNUMBER(W1809),N(X1809)&gt;0),IFERROR(N(INDEX(Parameter!$L$5:$L$7,W1809))*INDEX(Parameter!$E$5:$E$7,W1809)*X1809/SUMIFS($X$7:$X$1843,$W$7:$W$1843,W1809),0),0)</f>
        <v>0</v>
      </c>
    </row>
    <row r="1810" customFormat="false" ht="15" hidden="false" customHeight="false" outlineLevel="0" collapsed="false">
      <c r="A1810" s="48" t="str">
        <f aca="false">IF('Neue Artikel'!$A$71="","",'Neue Artikel'!$A$71&amp;"")</f>
        <v/>
      </c>
      <c r="B1810" s="48" t="str">
        <f aca="false">'Neue Artikel'!$B$71&amp;""</f>
        <v/>
      </c>
      <c r="C1810" s="48"/>
      <c r="D1810" s="48" t="s">
        <v>3019</v>
      </c>
      <c r="E1810" s="48"/>
      <c r="F1810" s="48"/>
      <c r="G1810" s="49" t="n">
        <f aca="false">N('Neue Artikel'!$G$71)</f>
        <v>0</v>
      </c>
      <c r="H1810" s="50" t="n">
        <f aca="false">MAX(0,IF(AND(Parameter!$B$21="Ja",ISNUMBER(Y1810)),Y1810,IF(Parameter!$B$20="Jahresanfang 2025 + Export",BO1810+BN1810,BN1810)))</f>
        <v>0</v>
      </c>
      <c r="I1810" s="50" t="n">
        <f aca="false">H1810*G1810</f>
        <v>0</v>
      </c>
      <c r="J1810" s="50" t="n">
        <f aca="false">BQ1810*Parameter!$B$18</f>
        <v>0</v>
      </c>
      <c r="K1810" s="51"/>
      <c r="L1810" s="52"/>
      <c r="M1810" s="50" t="n">
        <f aca="false">N('Neue Artikel'!$E$71)</f>
        <v>0</v>
      </c>
      <c r="N1810" s="50" t="n">
        <f aca="false">N('Neue Artikel'!$F$71)</f>
        <v>0</v>
      </c>
      <c r="O1810" s="53"/>
      <c r="P1810" s="48" t="str">
        <f aca="false">IF('Neue Artikel'!$H$71="","LOSE",UPPER(TRIM('Neue Artikel'!$H$71)))</f>
        <v>LOSE</v>
      </c>
      <c r="Q1810" s="50" t="n">
        <f aca="false">N('Neue Artikel'!$I$71)</f>
        <v>0</v>
      </c>
      <c r="R1810" s="53" t="n">
        <f aca="false">IF(BW1810=1,0,IFERROR(VLOOKUP(BU1810,'Gebinde-Kategorie'!$A$5:$N$45,13,0)+0,0))</f>
        <v>0</v>
      </c>
      <c r="S1810" s="54"/>
      <c r="T1810" s="55"/>
      <c r="U1810" s="55"/>
      <c r="V1810" s="55"/>
      <c r="W1810" s="48"/>
      <c r="X1810" s="50"/>
      <c r="Y1810" s="50"/>
      <c r="Z1810" s="48" t="str">
        <f aca="false">IF(A1810="","",IF(AND(Parameter!$B$21="Ja",ISNUMBER(W1810)),W1810,IF(BZ1810="2+3",IF(ISNUMBER(SEARCH("grosser Artikel",BR1810)),2,IFERROR(VLOOKUP(BU1810,Parameter!$F$35:$G$64,2,0),2)),IF(OR(BZ1810="Nein",BZ1810=""),"-",BZ1810))))</f>
        <v/>
      </c>
      <c r="AA1810" s="48" t="str">
        <f aca="false">IF('Neue Artikel'!$J$71="","",'Neue Artikel'!$J$71)</f>
        <v/>
      </c>
      <c r="AB1810" s="56"/>
      <c r="AC1810" s="50" t="n">
        <f aca="false">AT1810</f>
        <v>0</v>
      </c>
      <c r="AD1810" s="50" t="n">
        <f aca="false">MAX(AT1810,H1810)</f>
        <v>0</v>
      </c>
      <c r="AE1810" s="57"/>
      <c r="AF1810" s="50" t="n">
        <f aca="false">IF(LEFT(Cockpit!$C$5,1)="A",H1810,IF(CE1810=1,CF1810,IF(LEFT(Cockpit!$C$5,1)="B",AK1810,MAX(AK1810,H1810))))</f>
        <v>0</v>
      </c>
      <c r="AG1810" s="50" t="n">
        <f aca="false">IF(BW1810=1,0,ROUNDUP(AF1810/BV1810,0))</f>
        <v>0</v>
      </c>
      <c r="AH1810" s="52" t="n">
        <f aca="false">IF(CL1810&gt;0,CL1810*MAX(1,AF1810/X1810),IF(BW1810=1,IF(AF1810&lt;=0,0,CA1810*MAX(1,IF(H1810&gt;0,AF1810/H1810,1))),IF(R1810&gt;0,AG1810/R1810,0))/MAX(0.1,N(Parameter!$M$21)))</f>
        <v>0</v>
      </c>
      <c r="AI1810" s="50" t="n">
        <f aca="false">AH1810*BY1810</f>
        <v>0</v>
      </c>
      <c r="AJ1810" s="50" t="n">
        <f aca="false">AF1810*G1810</f>
        <v>0</v>
      </c>
      <c r="AK1810" s="50" t="n">
        <f aca="false">ROUNDUP(MAX(J1810/IF(CD1810&gt;0,CD1810,MAX(0.1,N(Cockpit!$C$6))),CG1810)/BV1810,0)*BV1810</f>
        <v>0</v>
      </c>
      <c r="AL1810" s="51" t="n">
        <f aca="false">IF(AI1810&gt;0,J1810/AI1810,-1)</f>
        <v>-1</v>
      </c>
      <c r="AM1810" s="51" t="str">
        <f aca="false">IF(AND(OR(CC1810="L1",CC1810="L23",CC1810="LIFT"),AI1810&gt;0),SUMIFS($AI$7:$AI$1843,$CC$7:$CC$1843,CC1810,$AL$7:$AL$1843,"&gt;"&amp;AL1810)+SUMIFS($AI$7:$AI$1843,$CC$7:$CC$1843,CC1810,$AL$7:$AL$1843,AL1810,$BT$7:$BT$1843,"&lt;="&amp;BT1810),"")</f>
        <v/>
      </c>
      <c r="AN1810" s="58" t="n">
        <f aca="false">IF(AM1810="",0,MAX(0,MIN(1,(IF(CC1810="L1",Parameter!$H$5,IF(CC1810="L23",Parameter!$H$6+Parameter!$H$7,Parameter!$H$5+Parameter!$H$6+Parameter!$H$7))-(AM1810-AI1810))/AI1810)))</f>
        <v>0</v>
      </c>
      <c r="AO1810" s="50" t="n">
        <f aca="false">IF(LEFT(Cockpit!$I$5,1)="A",H1810,IF(CE1810=1,CF1810,IF(LEFT(Cockpit!$I$5,1)="B",AT1810,MAX(AT1810,H1810))))</f>
        <v>0</v>
      </c>
      <c r="AP1810" s="50" t="n">
        <f aca="false">IF(BW1810=1,0,ROUNDUP(AO1810/BV1810,0))</f>
        <v>0</v>
      </c>
      <c r="AQ1810" s="52" t="n">
        <f aca="false">IF(CL1810&gt;0,CL1810*MAX(1,AO1810/X1810),IF(BW1810=1,IF(AO1810&lt;=0,0,CA1810*MAX(1,IF(H1810&gt;0,AO1810/H1810,1))),IF(R1810&gt;0,AP1810/R1810,0))/MAX(0.1,N(Parameter!$M$21)))</f>
        <v>0</v>
      </c>
      <c r="AR1810" s="50" t="n">
        <f aca="false">AQ1810*BY1810</f>
        <v>0</v>
      </c>
      <c r="AS1810" s="50" t="n">
        <f aca="false">AO1810*G1810</f>
        <v>0</v>
      </c>
      <c r="AT1810" s="50" t="n">
        <f aca="false">ROUNDUP(MAX(J1810/IF(CD1810&gt;0,CD1810,MAX(0.1,N(Cockpit!$I$6))),CG1810)/BV1810,0)*BV1810</f>
        <v>0</v>
      </c>
      <c r="AU1810" s="51" t="n">
        <f aca="false">IF(AR1810&gt;0,J1810/AR1810,-1)</f>
        <v>-1</v>
      </c>
      <c r="AV1810" s="51" t="str">
        <f aca="false">IF(AND(OR(CC1810="L1",CC1810="L23",CC1810="LIFT"),AR1810&gt;0),SUMIFS($AR$7:$AR$1843,$CC$7:$CC$1843,CC1810,$AU$7:$AU$1843,"&gt;"&amp;AU1810)+SUMIFS($AR$7:$AR$1843,$CC$7:$CC$1843,CC1810,$AU$7:$AU$1843,AU1810,$BT$7:$BT$1843,"&lt;="&amp;BT1810),"")</f>
        <v/>
      </c>
      <c r="AW1810" s="58" t="n">
        <f aca="false">IF(AV1810="",0,MAX(0,MIN(1,(IF(CC1810="L1",Parameter!$H$5,IF(CC1810="L23",Parameter!$H$6+Parameter!$H$7,Parameter!$H$5+Parameter!$H$6+Parameter!$H$7))-(AV1810-AR1810))/AR1810)))</f>
        <v>0</v>
      </c>
      <c r="AX1810" s="50" t="n">
        <f aca="false">IF(LEFT(Cockpit!$O$5,1)="A",H1810,IF(CE1810=1,CF1810,IF(LEFT(Cockpit!$O$5,1)="B",BC1810,MAX(BC1810,H1810))))</f>
        <v>0</v>
      </c>
      <c r="AY1810" s="50" t="n">
        <f aca="false">IF(BW1810=1,0,ROUNDUP(AX1810/BV1810,0))</f>
        <v>0</v>
      </c>
      <c r="AZ1810" s="52" t="n">
        <f aca="false">IF(CL1810&gt;0,CL1810*MAX(1,AX1810/X1810),IF(BW1810=1,IF(AX1810&lt;=0,0,CA1810*MAX(1,IF(H1810&gt;0,AX1810/H1810,1))),IF(R1810&gt;0,AY1810/R1810,0))/MAX(0.1,N(Parameter!$M$21)))</f>
        <v>0</v>
      </c>
      <c r="BA1810" s="50" t="n">
        <f aca="false">AZ1810*BY1810</f>
        <v>0</v>
      </c>
      <c r="BB1810" s="50" t="n">
        <f aca="false">AX1810*G1810</f>
        <v>0</v>
      </c>
      <c r="BC1810" s="50" t="n">
        <f aca="false">ROUNDUP(MAX(J1810/IF(CD1810&gt;0,CD1810,MAX(0.1,N(Cockpit!$O$6))),CG1810)/BV1810,0)*BV1810</f>
        <v>0</v>
      </c>
      <c r="BD1810" s="51" t="n">
        <f aca="false">IF(BA1810&gt;0,J1810/BA1810,-1)</f>
        <v>-1</v>
      </c>
      <c r="BE1810" s="51" t="str">
        <f aca="false">IF(AND(OR(CC1810="L1",CC1810="L23",CC1810="LIFT"),BA1810&gt;0),SUMIFS($BA$7:$BA$1843,$CC$7:$CC$1843,CC1810,$BD$7:$BD$1843,"&gt;"&amp;BD1810)+SUMIFS($BA$7:$BA$1843,$CC$7:$CC$1843,CC1810,$BD$7:$BD$1843,BD1810,$BT$7:$BT$1843,"&lt;="&amp;BT1810),"")</f>
        <v/>
      </c>
      <c r="BF1810" s="58" t="n">
        <f aca="false">IF(BE1810="",0,MAX(0,MIN(1,(IF(CC1810="L1",Parameter!$H$5,IF(CC1810="L23",Parameter!$H$6+Parameter!$H$7,Parameter!$H$5+Parameter!$H$6+Parameter!$H$7))-(BE1810-BA1810))/BA1810)))</f>
        <v>0</v>
      </c>
      <c r="BG1810" s="48" t="str">
        <f aca="false">IF(AI1810&lt;=0,"",IF(CC1810="Aussen","Aussenlager",IF(CC1810="-","Nicht im Lift",IF(AN1810&gt;=1,"Lift",IF(AN1810&lt;=0,"Aussenlager","teilweise")))))</f>
        <v/>
      </c>
      <c r="BH1810" s="48" t="str">
        <f aca="false">IF(AR1810&lt;=0,"",IF(CC1810="Aussen","Aussenlager",IF(CC1810="-","Nicht im Lift",IF(AW1810&gt;=1,"Lift",IF(AW1810&lt;=0,"Aussenlager","teilweise")))))</f>
        <v/>
      </c>
      <c r="BI1810" s="48" t="str">
        <f aca="false">IF(BA1810&lt;=0,"",IF(CC1810="Aussen","Aussenlager",IF(CC1810="-","Nicht im Lift",IF(BF1810&gt;=1,"Lift",IF(BF1810&lt;=0,"Aussenlager","teilweise")))))</f>
        <v/>
      </c>
      <c r="BJ1810" s="48" t="str">
        <f aca="false">IF(A1810="","",IF(BS1810=1,"Neu; ","")&amp;IF(AND(BS1810=0,BN1810&lt;0),"negativer Bestand (Export "&amp;BN1810&amp;"); ","")&amp;IF(J1810&lt;=0,"Kein Verbrauch; ","")&amp;IF(CL1810&gt;0,"Lift "&amp;W1810&amp;" lt. Liftbericht (Fach "&amp;X1810&amp;" Stk); ",IF(BX1810=1,"Gebinde geschätzt ("&amp;T1810&amp;"); ",IF(BW1810=1,"Lose – Tablare geschätzt; ","")))&amp;IF(H1810&gt;AT1810,"Überbestand "&amp;ROUND(H1810-AT1810,0)&amp;" Stk / CHF "&amp;ROUND((H1810-AT1810)*G1810,0)&amp;"; ","")&amp;IF(AND(CE1810=1,CF1810&lt;CG1810),"MAX &lt; MB+LG; ","")&amp;IF(AND(CK1810&gt;0,CJ1810*10&gt;CK1810),"zu hoch für Tablar; ","")&amp;IF(AND(BS1810=0,OR(CE1810=1,AA1810&lt;&gt;"",U1810&lt;&gt;"",V1810&lt;&gt;"",AB1810&lt;&gt;"")),"manuell übersteuert; ","")&amp;IF(AND(BW1810=0,R1810=0),"Gebinde unbekannt / Stellmass fehlt; ","")&amp;IF(AND(BW1810=0,N(V1810)&lt;=0,N(Q1810)&lt;=0),"Menge pro Gebinde fehlt (Ist = 1 Gebinde); ","")&amp;BR1810)</f>
        <v/>
      </c>
      <c r="BK1810" s="48"/>
      <c r="BL1810" s="48"/>
      <c r="BM1810" s="55"/>
      <c r="BN1810" s="50" t="n">
        <f aca="false">N('Neue Artikel'!$D$71)</f>
        <v>0</v>
      </c>
      <c r="BO1810" s="50" t="n">
        <v>0</v>
      </c>
      <c r="BP1810" s="49" t="n">
        <v>0</v>
      </c>
      <c r="BQ1810" s="50" t="n">
        <f aca="false">N('Neue Artikel'!$C$71)/Parameter!$B$18</f>
        <v>0</v>
      </c>
      <c r="BR1810" s="48"/>
      <c r="BS1810" s="53" t="n">
        <v>1</v>
      </c>
      <c r="BT1810" s="53" t="n">
        <v>1810</v>
      </c>
      <c r="BU1810" s="48" t="str">
        <f aca="false">IF(U1810&lt;&gt;"",UPPER(TRIM(U1810)),IF(BX1810=1,UPPER(VLOOKUP(T1810,Parameter!$I$27:$K$29,2,0)),IF(P1810="","LOSE",P1810)))</f>
        <v>LOSE</v>
      </c>
      <c r="BV1810" s="50" t="n">
        <f aca="false">IF(BU1810="LOSE",1,IF(N(V1810)&gt;0,V1810,IF(BX1810=1,MAX(1,N(VLOOKUP(T1810,Parameter!$I$27:$K$29,3,0)),H1810,N(N1810)),IF(N(Q1810)&gt;0,Q1810,MAX(1,H1810)))))</f>
        <v>1</v>
      </c>
      <c r="BW1810" s="53" t="n">
        <f aca="false">IF(BU1810="LOSE",1,0)</f>
        <v>1</v>
      </c>
      <c r="BX1810" s="53" t="n">
        <f aca="false">IF(AND(U1810="",OR(P1810="",P1810="LOSE"),T1810&lt;&gt;"",N(S1810)&lt;=0,ISNUMBER(MATCH(T1810,Parameter!$I$27:$I$29,0))),1,0)</f>
        <v>0</v>
      </c>
      <c r="BY1810" s="53" t="n">
        <f aca="false">IF(CL1810&gt;0,INDEX(Parameter!$H$5:$H$7,W1810)/INDEX(Parameter!$E$5:$E$7,W1810),IF(AND(BW1810=0,N(IFERROR(VLOOKUP(BU1810,'Gebinde-Kategorie'!$A$5:$N$45,14,0),0))&gt;0),VLOOKUP(BU1810,'Gebinde-Kategorie'!$A$5:$N$45,14,0)*10+Parameter!$M$23,Parameter!$M$24))</f>
        <v>235</v>
      </c>
      <c r="BZ1810" s="48" t="str">
        <f aca="false">IF(AND(Parameter!$B$19="Ja",E1810&lt;&gt;"",ISNUMBER(MATCH(E1810,Parameter!$I$35:$I$52,0))),VLOOKUP(E1810,Parameter!$I$35:$J$52,2,0),IFERROR(VLOOKUP(D1810,Parameter!$A$35:$C$64,2,0),"Nein"))</f>
        <v>2+3</v>
      </c>
      <c r="CA1810" s="52" t="n">
        <f aca="false">IF(BW1810=0,0,IF(N(S1810)&gt;0,S1810,IFERROR(VLOOKUP(D1810,Parameter!$A$35:$C$64,3,0)+0,0)))</f>
        <v>0.15</v>
      </c>
      <c r="CB1810" s="48" t="str">
        <f aca="false">IF(AA1810&lt;&gt;"",AA1810,Z1810)</f>
        <v/>
      </c>
      <c r="CC1810" s="48" t="str">
        <f aca="false">IF(OR(CB1810=1,CB1810=2,CB1810=3),IF(Parameter!$E$27="Ja","LIFT",IF(CB1810=1,"L1","L23")),IF(CB1810="Aussen","Aussen","-"))</f>
        <v>-</v>
      </c>
      <c r="CD1810" s="59" t="n">
        <f aca="false">IF(N(AB1810)&gt;0,AB1810,0)</f>
        <v>0</v>
      </c>
      <c r="CE1810" s="53" t="n">
        <f aca="false">IF(ISNUMBER(AE1810),1,0)</f>
        <v>0</v>
      </c>
      <c r="CF1810" s="50" t="n">
        <f aca="false">N(AE1810)</f>
        <v>0</v>
      </c>
      <c r="CG1810" s="50" t="n">
        <f aca="false">N(M1810)+N(N1810)</f>
        <v>0</v>
      </c>
      <c r="CH1810" s="50" t="n">
        <f aca="false">ROUNDUP(H1810/BV1810,0)</f>
        <v>0</v>
      </c>
      <c r="CI1810" s="50" t="n">
        <f aca="false">ROUNDUP(CF1810/BV1810,0)</f>
        <v>0</v>
      </c>
      <c r="CJ1810" s="53" t="n">
        <f aca="false">IF(BW1810=1,0,IFERROR(VLOOKUP(BU1810,'Gebinde-Kategorie'!$A$5:$N$45,5,0)+0,0))</f>
        <v>0</v>
      </c>
      <c r="CK1810" s="53" t="n">
        <f aca="false">IFERROR(IF(OR(CB1810=1,CB1810=2,CB1810=3),N(INDEX(Parameter!$I$5:$I$7,CB1810)),0),0)</f>
        <v>0</v>
      </c>
      <c r="CL1810" s="52" t="n">
        <f aca="false">IF(AND(Parameter!$B$21="Ja",ISNUMBER(W1810),N(X1810)&gt;0),IFERROR(N(INDEX(Parameter!$L$5:$L$7,W1810))*INDEX(Parameter!$E$5:$E$7,W1810)*X1810/SUMIFS($X$7:$X$1843,$W$7:$W$1843,W1810),0),0)</f>
        <v>0</v>
      </c>
    </row>
    <row r="1811" customFormat="false" ht="15" hidden="false" customHeight="false" outlineLevel="0" collapsed="false">
      <c r="A1811" s="48" t="str">
        <f aca="false">IF('Neue Artikel'!$A$72="","",'Neue Artikel'!$A$72&amp;"")</f>
        <v/>
      </c>
      <c r="B1811" s="48" t="str">
        <f aca="false">'Neue Artikel'!$B$72&amp;""</f>
        <v/>
      </c>
      <c r="C1811" s="48"/>
      <c r="D1811" s="48" t="s">
        <v>3019</v>
      </c>
      <c r="E1811" s="48"/>
      <c r="F1811" s="48"/>
      <c r="G1811" s="49" t="n">
        <f aca="false">N('Neue Artikel'!$G$72)</f>
        <v>0</v>
      </c>
      <c r="H1811" s="50" t="n">
        <f aca="false">MAX(0,IF(AND(Parameter!$B$21="Ja",ISNUMBER(Y1811)),Y1811,IF(Parameter!$B$20="Jahresanfang 2025 + Export",BO1811+BN1811,BN1811)))</f>
        <v>0</v>
      </c>
      <c r="I1811" s="50" t="n">
        <f aca="false">H1811*G1811</f>
        <v>0</v>
      </c>
      <c r="J1811" s="50" t="n">
        <f aca="false">BQ1811*Parameter!$B$18</f>
        <v>0</v>
      </c>
      <c r="K1811" s="51"/>
      <c r="L1811" s="52"/>
      <c r="M1811" s="50" t="n">
        <f aca="false">N('Neue Artikel'!$E$72)</f>
        <v>0</v>
      </c>
      <c r="N1811" s="50" t="n">
        <f aca="false">N('Neue Artikel'!$F$72)</f>
        <v>0</v>
      </c>
      <c r="O1811" s="53"/>
      <c r="P1811" s="48" t="str">
        <f aca="false">IF('Neue Artikel'!$H$72="","LOSE",UPPER(TRIM('Neue Artikel'!$H$72)))</f>
        <v>LOSE</v>
      </c>
      <c r="Q1811" s="50" t="n">
        <f aca="false">N('Neue Artikel'!$I$72)</f>
        <v>0</v>
      </c>
      <c r="R1811" s="53" t="n">
        <f aca="false">IF(BW1811=1,0,IFERROR(VLOOKUP(BU1811,'Gebinde-Kategorie'!$A$5:$N$45,13,0)+0,0))</f>
        <v>0</v>
      </c>
      <c r="S1811" s="54"/>
      <c r="T1811" s="55"/>
      <c r="U1811" s="55"/>
      <c r="V1811" s="55"/>
      <c r="W1811" s="48"/>
      <c r="X1811" s="50"/>
      <c r="Y1811" s="50"/>
      <c r="Z1811" s="48" t="str">
        <f aca="false">IF(A1811="","",IF(AND(Parameter!$B$21="Ja",ISNUMBER(W1811)),W1811,IF(BZ1811="2+3",IF(ISNUMBER(SEARCH("grosser Artikel",BR1811)),2,IFERROR(VLOOKUP(BU1811,Parameter!$F$35:$G$64,2,0),2)),IF(OR(BZ1811="Nein",BZ1811=""),"-",BZ1811))))</f>
        <v/>
      </c>
      <c r="AA1811" s="48" t="str">
        <f aca="false">IF('Neue Artikel'!$J$72="","",'Neue Artikel'!$J$72)</f>
        <v/>
      </c>
      <c r="AB1811" s="56"/>
      <c r="AC1811" s="50" t="n">
        <f aca="false">AT1811</f>
        <v>0</v>
      </c>
      <c r="AD1811" s="50" t="n">
        <f aca="false">MAX(AT1811,H1811)</f>
        <v>0</v>
      </c>
      <c r="AE1811" s="57"/>
      <c r="AF1811" s="50" t="n">
        <f aca="false">IF(LEFT(Cockpit!$C$5,1)="A",H1811,IF(CE1811=1,CF1811,IF(LEFT(Cockpit!$C$5,1)="B",AK1811,MAX(AK1811,H1811))))</f>
        <v>0</v>
      </c>
      <c r="AG1811" s="50" t="n">
        <f aca="false">IF(BW1811=1,0,ROUNDUP(AF1811/BV1811,0))</f>
        <v>0</v>
      </c>
      <c r="AH1811" s="52" t="n">
        <f aca="false">IF(CL1811&gt;0,CL1811*MAX(1,AF1811/X1811),IF(BW1811=1,IF(AF1811&lt;=0,0,CA1811*MAX(1,IF(H1811&gt;0,AF1811/H1811,1))),IF(R1811&gt;0,AG1811/R1811,0))/MAX(0.1,N(Parameter!$M$21)))</f>
        <v>0</v>
      </c>
      <c r="AI1811" s="50" t="n">
        <f aca="false">AH1811*BY1811</f>
        <v>0</v>
      </c>
      <c r="AJ1811" s="50" t="n">
        <f aca="false">AF1811*G1811</f>
        <v>0</v>
      </c>
      <c r="AK1811" s="50" t="n">
        <f aca="false">ROUNDUP(MAX(J1811/IF(CD1811&gt;0,CD1811,MAX(0.1,N(Cockpit!$C$6))),CG1811)/BV1811,0)*BV1811</f>
        <v>0</v>
      </c>
      <c r="AL1811" s="51" t="n">
        <f aca="false">IF(AI1811&gt;0,J1811/AI1811,-1)</f>
        <v>-1</v>
      </c>
      <c r="AM1811" s="51" t="str">
        <f aca="false">IF(AND(OR(CC1811="L1",CC1811="L23",CC1811="LIFT"),AI1811&gt;0),SUMIFS($AI$7:$AI$1843,$CC$7:$CC$1843,CC1811,$AL$7:$AL$1843,"&gt;"&amp;AL1811)+SUMIFS($AI$7:$AI$1843,$CC$7:$CC$1843,CC1811,$AL$7:$AL$1843,AL1811,$BT$7:$BT$1843,"&lt;="&amp;BT1811),"")</f>
        <v/>
      </c>
      <c r="AN1811" s="58" t="n">
        <f aca="false">IF(AM1811="",0,MAX(0,MIN(1,(IF(CC1811="L1",Parameter!$H$5,IF(CC1811="L23",Parameter!$H$6+Parameter!$H$7,Parameter!$H$5+Parameter!$H$6+Parameter!$H$7))-(AM1811-AI1811))/AI1811)))</f>
        <v>0</v>
      </c>
      <c r="AO1811" s="50" t="n">
        <f aca="false">IF(LEFT(Cockpit!$I$5,1)="A",H1811,IF(CE1811=1,CF1811,IF(LEFT(Cockpit!$I$5,1)="B",AT1811,MAX(AT1811,H1811))))</f>
        <v>0</v>
      </c>
      <c r="AP1811" s="50" t="n">
        <f aca="false">IF(BW1811=1,0,ROUNDUP(AO1811/BV1811,0))</f>
        <v>0</v>
      </c>
      <c r="AQ1811" s="52" t="n">
        <f aca="false">IF(CL1811&gt;0,CL1811*MAX(1,AO1811/X1811),IF(BW1811=1,IF(AO1811&lt;=0,0,CA1811*MAX(1,IF(H1811&gt;0,AO1811/H1811,1))),IF(R1811&gt;0,AP1811/R1811,0))/MAX(0.1,N(Parameter!$M$21)))</f>
        <v>0</v>
      </c>
      <c r="AR1811" s="50" t="n">
        <f aca="false">AQ1811*BY1811</f>
        <v>0</v>
      </c>
      <c r="AS1811" s="50" t="n">
        <f aca="false">AO1811*G1811</f>
        <v>0</v>
      </c>
      <c r="AT1811" s="50" t="n">
        <f aca="false">ROUNDUP(MAX(J1811/IF(CD1811&gt;0,CD1811,MAX(0.1,N(Cockpit!$I$6))),CG1811)/BV1811,0)*BV1811</f>
        <v>0</v>
      </c>
      <c r="AU1811" s="51" t="n">
        <f aca="false">IF(AR1811&gt;0,J1811/AR1811,-1)</f>
        <v>-1</v>
      </c>
      <c r="AV1811" s="51" t="str">
        <f aca="false">IF(AND(OR(CC1811="L1",CC1811="L23",CC1811="LIFT"),AR1811&gt;0),SUMIFS($AR$7:$AR$1843,$CC$7:$CC$1843,CC1811,$AU$7:$AU$1843,"&gt;"&amp;AU1811)+SUMIFS($AR$7:$AR$1843,$CC$7:$CC$1843,CC1811,$AU$7:$AU$1843,AU1811,$BT$7:$BT$1843,"&lt;="&amp;BT1811),"")</f>
        <v/>
      </c>
      <c r="AW1811" s="58" t="n">
        <f aca="false">IF(AV1811="",0,MAX(0,MIN(1,(IF(CC1811="L1",Parameter!$H$5,IF(CC1811="L23",Parameter!$H$6+Parameter!$H$7,Parameter!$H$5+Parameter!$H$6+Parameter!$H$7))-(AV1811-AR1811))/AR1811)))</f>
        <v>0</v>
      </c>
      <c r="AX1811" s="50" t="n">
        <f aca="false">IF(LEFT(Cockpit!$O$5,1)="A",H1811,IF(CE1811=1,CF1811,IF(LEFT(Cockpit!$O$5,1)="B",BC1811,MAX(BC1811,H1811))))</f>
        <v>0</v>
      </c>
      <c r="AY1811" s="50" t="n">
        <f aca="false">IF(BW1811=1,0,ROUNDUP(AX1811/BV1811,0))</f>
        <v>0</v>
      </c>
      <c r="AZ1811" s="52" t="n">
        <f aca="false">IF(CL1811&gt;0,CL1811*MAX(1,AX1811/X1811),IF(BW1811=1,IF(AX1811&lt;=0,0,CA1811*MAX(1,IF(H1811&gt;0,AX1811/H1811,1))),IF(R1811&gt;0,AY1811/R1811,0))/MAX(0.1,N(Parameter!$M$21)))</f>
        <v>0</v>
      </c>
      <c r="BA1811" s="50" t="n">
        <f aca="false">AZ1811*BY1811</f>
        <v>0</v>
      </c>
      <c r="BB1811" s="50" t="n">
        <f aca="false">AX1811*G1811</f>
        <v>0</v>
      </c>
      <c r="BC1811" s="50" t="n">
        <f aca="false">ROUNDUP(MAX(J1811/IF(CD1811&gt;0,CD1811,MAX(0.1,N(Cockpit!$O$6))),CG1811)/BV1811,0)*BV1811</f>
        <v>0</v>
      </c>
      <c r="BD1811" s="51" t="n">
        <f aca="false">IF(BA1811&gt;0,J1811/BA1811,-1)</f>
        <v>-1</v>
      </c>
      <c r="BE1811" s="51" t="str">
        <f aca="false">IF(AND(OR(CC1811="L1",CC1811="L23",CC1811="LIFT"),BA1811&gt;0),SUMIFS($BA$7:$BA$1843,$CC$7:$CC$1843,CC1811,$BD$7:$BD$1843,"&gt;"&amp;BD1811)+SUMIFS($BA$7:$BA$1843,$CC$7:$CC$1843,CC1811,$BD$7:$BD$1843,BD1811,$BT$7:$BT$1843,"&lt;="&amp;BT1811),"")</f>
        <v/>
      </c>
      <c r="BF1811" s="58" t="n">
        <f aca="false">IF(BE1811="",0,MAX(0,MIN(1,(IF(CC1811="L1",Parameter!$H$5,IF(CC1811="L23",Parameter!$H$6+Parameter!$H$7,Parameter!$H$5+Parameter!$H$6+Parameter!$H$7))-(BE1811-BA1811))/BA1811)))</f>
        <v>0</v>
      </c>
      <c r="BG1811" s="48" t="str">
        <f aca="false">IF(AI1811&lt;=0,"",IF(CC1811="Aussen","Aussenlager",IF(CC1811="-","Nicht im Lift",IF(AN1811&gt;=1,"Lift",IF(AN1811&lt;=0,"Aussenlager","teilweise")))))</f>
        <v/>
      </c>
      <c r="BH1811" s="48" t="str">
        <f aca="false">IF(AR1811&lt;=0,"",IF(CC1811="Aussen","Aussenlager",IF(CC1811="-","Nicht im Lift",IF(AW1811&gt;=1,"Lift",IF(AW1811&lt;=0,"Aussenlager","teilweise")))))</f>
        <v/>
      </c>
      <c r="BI1811" s="48" t="str">
        <f aca="false">IF(BA1811&lt;=0,"",IF(CC1811="Aussen","Aussenlager",IF(CC1811="-","Nicht im Lift",IF(BF1811&gt;=1,"Lift",IF(BF1811&lt;=0,"Aussenlager","teilweise")))))</f>
        <v/>
      </c>
      <c r="BJ1811" s="48" t="str">
        <f aca="false">IF(A1811="","",IF(BS1811=1,"Neu; ","")&amp;IF(AND(BS1811=0,BN1811&lt;0),"negativer Bestand (Export "&amp;BN1811&amp;"); ","")&amp;IF(J1811&lt;=0,"Kein Verbrauch; ","")&amp;IF(CL1811&gt;0,"Lift "&amp;W1811&amp;" lt. Liftbericht (Fach "&amp;X1811&amp;" Stk); ",IF(BX1811=1,"Gebinde geschätzt ("&amp;T1811&amp;"); ",IF(BW1811=1,"Lose – Tablare geschätzt; ","")))&amp;IF(H1811&gt;AT1811,"Überbestand "&amp;ROUND(H1811-AT1811,0)&amp;" Stk / CHF "&amp;ROUND((H1811-AT1811)*G1811,0)&amp;"; ","")&amp;IF(AND(CE1811=1,CF1811&lt;CG1811),"MAX &lt; MB+LG; ","")&amp;IF(AND(CK1811&gt;0,CJ1811*10&gt;CK1811),"zu hoch für Tablar; ","")&amp;IF(AND(BS1811=0,OR(CE1811=1,AA1811&lt;&gt;"",U1811&lt;&gt;"",V1811&lt;&gt;"",AB1811&lt;&gt;"")),"manuell übersteuert; ","")&amp;IF(AND(BW1811=0,R1811=0),"Gebinde unbekannt / Stellmass fehlt; ","")&amp;IF(AND(BW1811=0,N(V1811)&lt;=0,N(Q1811)&lt;=0),"Menge pro Gebinde fehlt (Ist = 1 Gebinde); ","")&amp;BR1811)</f>
        <v/>
      </c>
      <c r="BK1811" s="48"/>
      <c r="BL1811" s="48"/>
      <c r="BM1811" s="55"/>
      <c r="BN1811" s="50" t="n">
        <f aca="false">N('Neue Artikel'!$D$72)</f>
        <v>0</v>
      </c>
      <c r="BO1811" s="50" t="n">
        <v>0</v>
      </c>
      <c r="BP1811" s="49" t="n">
        <v>0</v>
      </c>
      <c r="BQ1811" s="50" t="n">
        <f aca="false">N('Neue Artikel'!$C$72)/Parameter!$B$18</f>
        <v>0</v>
      </c>
      <c r="BR1811" s="48"/>
      <c r="BS1811" s="53" t="n">
        <v>1</v>
      </c>
      <c r="BT1811" s="53" t="n">
        <v>1811</v>
      </c>
      <c r="BU1811" s="48" t="str">
        <f aca="false">IF(U1811&lt;&gt;"",UPPER(TRIM(U1811)),IF(BX1811=1,UPPER(VLOOKUP(T1811,Parameter!$I$27:$K$29,2,0)),IF(P1811="","LOSE",P1811)))</f>
        <v>LOSE</v>
      </c>
      <c r="BV1811" s="50" t="n">
        <f aca="false">IF(BU1811="LOSE",1,IF(N(V1811)&gt;0,V1811,IF(BX1811=1,MAX(1,N(VLOOKUP(T1811,Parameter!$I$27:$K$29,3,0)),H1811,N(N1811)),IF(N(Q1811)&gt;0,Q1811,MAX(1,H1811)))))</f>
        <v>1</v>
      </c>
      <c r="BW1811" s="53" t="n">
        <f aca="false">IF(BU1811="LOSE",1,0)</f>
        <v>1</v>
      </c>
      <c r="BX1811" s="53" t="n">
        <f aca="false">IF(AND(U1811="",OR(P1811="",P1811="LOSE"),T1811&lt;&gt;"",N(S1811)&lt;=0,ISNUMBER(MATCH(T1811,Parameter!$I$27:$I$29,0))),1,0)</f>
        <v>0</v>
      </c>
      <c r="BY1811" s="53" t="n">
        <f aca="false">IF(CL1811&gt;0,INDEX(Parameter!$H$5:$H$7,W1811)/INDEX(Parameter!$E$5:$E$7,W1811),IF(AND(BW1811=0,N(IFERROR(VLOOKUP(BU1811,'Gebinde-Kategorie'!$A$5:$N$45,14,0),0))&gt;0),VLOOKUP(BU1811,'Gebinde-Kategorie'!$A$5:$N$45,14,0)*10+Parameter!$M$23,Parameter!$M$24))</f>
        <v>235</v>
      </c>
      <c r="BZ1811" s="48" t="str">
        <f aca="false">IF(AND(Parameter!$B$19="Ja",E1811&lt;&gt;"",ISNUMBER(MATCH(E1811,Parameter!$I$35:$I$52,0))),VLOOKUP(E1811,Parameter!$I$35:$J$52,2,0),IFERROR(VLOOKUP(D1811,Parameter!$A$35:$C$64,2,0),"Nein"))</f>
        <v>2+3</v>
      </c>
      <c r="CA1811" s="52" t="n">
        <f aca="false">IF(BW1811=0,0,IF(N(S1811)&gt;0,S1811,IFERROR(VLOOKUP(D1811,Parameter!$A$35:$C$64,3,0)+0,0)))</f>
        <v>0.15</v>
      </c>
      <c r="CB1811" s="48" t="str">
        <f aca="false">IF(AA1811&lt;&gt;"",AA1811,Z1811)</f>
        <v/>
      </c>
      <c r="CC1811" s="48" t="str">
        <f aca="false">IF(OR(CB1811=1,CB1811=2,CB1811=3),IF(Parameter!$E$27="Ja","LIFT",IF(CB1811=1,"L1","L23")),IF(CB1811="Aussen","Aussen","-"))</f>
        <v>-</v>
      </c>
      <c r="CD1811" s="59" t="n">
        <f aca="false">IF(N(AB1811)&gt;0,AB1811,0)</f>
        <v>0</v>
      </c>
      <c r="CE1811" s="53" t="n">
        <f aca="false">IF(ISNUMBER(AE1811),1,0)</f>
        <v>0</v>
      </c>
      <c r="CF1811" s="50" t="n">
        <f aca="false">N(AE1811)</f>
        <v>0</v>
      </c>
      <c r="CG1811" s="50" t="n">
        <f aca="false">N(M1811)+N(N1811)</f>
        <v>0</v>
      </c>
      <c r="CH1811" s="50" t="n">
        <f aca="false">ROUNDUP(H1811/BV1811,0)</f>
        <v>0</v>
      </c>
      <c r="CI1811" s="50" t="n">
        <f aca="false">ROUNDUP(CF1811/BV1811,0)</f>
        <v>0</v>
      </c>
      <c r="CJ1811" s="53" t="n">
        <f aca="false">IF(BW1811=1,0,IFERROR(VLOOKUP(BU1811,'Gebinde-Kategorie'!$A$5:$N$45,5,0)+0,0))</f>
        <v>0</v>
      </c>
      <c r="CK1811" s="53" t="n">
        <f aca="false">IFERROR(IF(OR(CB1811=1,CB1811=2,CB1811=3),N(INDEX(Parameter!$I$5:$I$7,CB1811)),0),0)</f>
        <v>0</v>
      </c>
      <c r="CL1811" s="52" t="n">
        <f aca="false">IF(AND(Parameter!$B$21="Ja",ISNUMBER(W1811),N(X1811)&gt;0),IFERROR(N(INDEX(Parameter!$L$5:$L$7,W1811))*INDEX(Parameter!$E$5:$E$7,W1811)*X1811/SUMIFS($X$7:$X$1843,$W$7:$W$1843,W1811),0),0)</f>
        <v>0</v>
      </c>
    </row>
    <row r="1812" customFormat="false" ht="15" hidden="false" customHeight="false" outlineLevel="0" collapsed="false">
      <c r="A1812" s="48" t="str">
        <f aca="false">IF('Neue Artikel'!$A$73="","",'Neue Artikel'!$A$73&amp;"")</f>
        <v/>
      </c>
      <c r="B1812" s="48" t="str">
        <f aca="false">'Neue Artikel'!$B$73&amp;""</f>
        <v/>
      </c>
      <c r="C1812" s="48"/>
      <c r="D1812" s="48" t="s">
        <v>3019</v>
      </c>
      <c r="E1812" s="48"/>
      <c r="F1812" s="48"/>
      <c r="G1812" s="49" t="n">
        <f aca="false">N('Neue Artikel'!$G$73)</f>
        <v>0</v>
      </c>
      <c r="H1812" s="50" t="n">
        <f aca="false">MAX(0,IF(AND(Parameter!$B$21="Ja",ISNUMBER(Y1812)),Y1812,IF(Parameter!$B$20="Jahresanfang 2025 + Export",BO1812+BN1812,BN1812)))</f>
        <v>0</v>
      </c>
      <c r="I1812" s="50" t="n">
        <f aca="false">H1812*G1812</f>
        <v>0</v>
      </c>
      <c r="J1812" s="50" t="n">
        <f aca="false">BQ1812*Parameter!$B$18</f>
        <v>0</v>
      </c>
      <c r="K1812" s="51"/>
      <c r="L1812" s="52"/>
      <c r="M1812" s="50" t="n">
        <f aca="false">N('Neue Artikel'!$E$73)</f>
        <v>0</v>
      </c>
      <c r="N1812" s="50" t="n">
        <f aca="false">N('Neue Artikel'!$F$73)</f>
        <v>0</v>
      </c>
      <c r="O1812" s="53"/>
      <c r="P1812" s="48" t="str">
        <f aca="false">IF('Neue Artikel'!$H$73="","LOSE",UPPER(TRIM('Neue Artikel'!$H$73)))</f>
        <v>LOSE</v>
      </c>
      <c r="Q1812" s="50" t="n">
        <f aca="false">N('Neue Artikel'!$I$73)</f>
        <v>0</v>
      </c>
      <c r="R1812" s="53" t="n">
        <f aca="false">IF(BW1812=1,0,IFERROR(VLOOKUP(BU1812,'Gebinde-Kategorie'!$A$5:$N$45,13,0)+0,0))</f>
        <v>0</v>
      </c>
      <c r="S1812" s="54"/>
      <c r="T1812" s="55"/>
      <c r="U1812" s="55"/>
      <c r="V1812" s="55"/>
      <c r="W1812" s="48"/>
      <c r="X1812" s="50"/>
      <c r="Y1812" s="50"/>
      <c r="Z1812" s="48" t="str">
        <f aca="false">IF(A1812="","",IF(AND(Parameter!$B$21="Ja",ISNUMBER(W1812)),W1812,IF(BZ1812="2+3",IF(ISNUMBER(SEARCH("grosser Artikel",BR1812)),2,IFERROR(VLOOKUP(BU1812,Parameter!$F$35:$G$64,2,0),2)),IF(OR(BZ1812="Nein",BZ1812=""),"-",BZ1812))))</f>
        <v/>
      </c>
      <c r="AA1812" s="48" t="str">
        <f aca="false">IF('Neue Artikel'!$J$73="","",'Neue Artikel'!$J$73)</f>
        <v/>
      </c>
      <c r="AB1812" s="56"/>
      <c r="AC1812" s="50" t="n">
        <f aca="false">AT1812</f>
        <v>0</v>
      </c>
      <c r="AD1812" s="50" t="n">
        <f aca="false">MAX(AT1812,H1812)</f>
        <v>0</v>
      </c>
      <c r="AE1812" s="57"/>
      <c r="AF1812" s="50" t="n">
        <f aca="false">IF(LEFT(Cockpit!$C$5,1)="A",H1812,IF(CE1812=1,CF1812,IF(LEFT(Cockpit!$C$5,1)="B",AK1812,MAX(AK1812,H1812))))</f>
        <v>0</v>
      </c>
      <c r="AG1812" s="50" t="n">
        <f aca="false">IF(BW1812=1,0,ROUNDUP(AF1812/BV1812,0))</f>
        <v>0</v>
      </c>
      <c r="AH1812" s="52" t="n">
        <f aca="false">IF(CL1812&gt;0,CL1812*MAX(1,AF1812/X1812),IF(BW1812=1,IF(AF1812&lt;=0,0,CA1812*MAX(1,IF(H1812&gt;0,AF1812/H1812,1))),IF(R1812&gt;0,AG1812/R1812,0))/MAX(0.1,N(Parameter!$M$21)))</f>
        <v>0</v>
      </c>
      <c r="AI1812" s="50" t="n">
        <f aca="false">AH1812*BY1812</f>
        <v>0</v>
      </c>
      <c r="AJ1812" s="50" t="n">
        <f aca="false">AF1812*G1812</f>
        <v>0</v>
      </c>
      <c r="AK1812" s="50" t="n">
        <f aca="false">ROUNDUP(MAX(J1812/IF(CD1812&gt;0,CD1812,MAX(0.1,N(Cockpit!$C$6))),CG1812)/BV1812,0)*BV1812</f>
        <v>0</v>
      </c>
      <c r="AL1812" s="51" t="n">
        <f aca="false">IF(AI1812&gt;0,J1812/AI1812,-1)</f>
        <v>-1</v>
      </c>
      <c r="AM1812" s="51" t="str">
        <f aca="false">IF(AND(OR(CC1812="L1",CC1812="L23",CC1812="LIFT"),AI1812&gt;0),SUMIFS($AI$7:$AI$1843,$CC$7:$CC$1843,CC1812,$AL$7:$AL$1843,"&gt;"&amp;AL1812)+SUMIFS($AI$7:$AI$1843,$CC$7:$CC$1843,CC1812,$AL$7:$AL$1843,AL1812,$BT$7:$BT$1843,"&lt;="&amp;BT1812),"")</f>
        <v/>
      </c>
      <c r="AN1812" s="58" t="n">
        <f aca="false">IF(AM1812="",0,MAX(0,MIN(1,(IF(CC1812="L1",Parameter!$H$5,IF(CC1812="L23",Parameter!$H$6+Parameter!$H$7,Parameter!$H$5+Parameter!$H$6+Parameter!$H$7))-(AM1812-AI1812))/AI1812)))</f>
        <v>0</v>
      </c>
      <c r="AO1812" s="50" t="n">
        <f aca="false">IF(LEFT(Cockpit!$I$5,1)="A",H1812,IF(CE1812=1,CF1812,IF(LEFT(Cockpit!$I$5,1)="B",AT1812,MAX(AT1812,H1812))))</f>
        <v>0</v>
      </c>
      <c r="AP1812" s="50" t="n">
        <f aca="false">IF(BW1812=1,0,ROUNDUP(AO1812/BV1812,0))</f>
        <v>0</v>
      </c>
      <c r="AQ1812" s="52" t="n">
        <f aca="false">IF(CL1812&gt;0,CL1812*MAX(1,AO1812/X1812),IF(BW1812=1,IF(AO1812&lt;=0,0,CA1812*MAX(1,IF(H1812&gt;0,AO1812/H1812,1))),IF(R1812&gt;0,AP1812/R1812,0))/MAX(0.1,N(Parameter!$M$21)))</f>
        <v>0</v>
      </c>
      <c r="AR1812" s="50" t="n">
        <f aca="false">AQ1812*BY1812</f>
        <v>0</v>
      </c>
      <c r="AS1812" s="50" t="n">
        <f aca="false">AO1812*G1812</f>
        <v>0</v>
      </c>
      <c r="AT1812" s="50" t="n">
        <f aca="false">ROUNDUP(MAX(J1812/IF(CD1812&gt;0,CD1812,MAX(0.1,N(Cockpit!$I$6))),CG1812)/BV1812,0)*BV1812</f>
        <v>0</v>
      </c>
      <c r="AU1812" s="51" t="n">
        <f aca="false">IF(AR1812&gt;0,J1812/AR1812,-1)</f>
        <v>-1</v>
      </c>
      <c r="AV1812" s="51" t="str">
        <f aca="false">IF(AND(OR(CC1812="L1",CC1812="L23",CC1812="LIFT"),AR1812&gt;0),SUMIFS($AR$7:$AR$1843,$CC$7:$CC$1843,CC1812,$AU$7:$AU$1843,"&gt;"&amp;AU1812)+SUMIFS($AR$7:$AR$1843,$CC$7:$CC$1843,CC1812,$AU$7:$AU$1843,AU1812,$BT$7:$BT$1843,"&lt;="&amp;BT1812),"")</f>
        <v/>
      </c>
      <c r="AW1812" s="58" t="n">
        <f aca="false">IF(AV1812="",0,MAX(0,MIN(1,(IF(CC1812="L1",Parameter!$H$5,IF(CC1812="L23",Parameter!$H$6+Parameter!$H$7,Parameter!$H$5+Parameter!$H$6+Parameter!$H$7))-(AV1812-AR1812))/AR1812)))</f>
        <v>0</v>
      </c>
      <c r="AX1812" s="50" t="n">
        <f aca="false">IF(LEFT(Cockpit!$O$5,1)="A",H1812,IF(CE1812=1,CF1812,IF(LEFT(Cockpit!$O$5,1)="B",BC1812,MAX(BC1812,H1812))))</f>
        <v>0</v>
      </c>
      <c r="AY1812" s="50" t="n">
        <f aca="false">IF(BW1812=1,0,ROUNDUP(AX1812/BV1812,0))</f>
        <v>0</v>
      </c>
      <c r="AZ1812" s="52" t="n">
        <f aca="false">IF(CL1812&gt;0,CL1812*MAX(1,AX1812/X1812),IF(BW1812=1,IF(AX1812&lt;=0,0,CA1812*MAX(1,IF(H1812&gt;0,AX1812/H1812,1))),IF(R1812&gt;0,AY1812/R1812,0))/MAX(0.1,N(Parameter!$M$21)))</f>
        <v>0</v>
      </c>
      <c r="BA1812" s="50" t="n">
        <f aca="false">AZ1812*BY1812</f>
        <v>0</v>
      </c>
      <c r="BB1812" s="50" t="n">
        <f aca="false">AX1812*G1812</f>
        <v>0</v>
      </c>
      <c r="BC1812" s="50" t="n">
        <f aca="false">ROUNDUP(MAX(J1812/IF(CD1812&gt;0,CD1812,MAX(0.1,N(Cockpit!$O$6))),CG1812)/BV1812,0)*BV1812</f>
        <v>0</v>
      </c>
      <c r="BD1812" s="51" t="n">
        <f aca="false">IF(BA1812&gt;0,J1812/BA1812,-1)</f>
        <v>-1</v>
      </c>
      <c r="BE1812" s="51" t="str">
        <f aca="false">IF(AND(OR(CC1812="L1",CC1812="L23",CC1812="LIFT"),BA1812&gt;0),SUMIFS($BA$7:$BA$1843,$CC$7:$CC$1843,CC1812,$BD$7:$BD$1843,"&gt;"&amp;BD1812)+SUMIFS($BA$7:$BA$1843,$CC$7:$CC$1843,CC1812,$BD$7:$BD$1843,BD1812,$BT$7:$BT$1843,"&lt;="&amp;BT1812),"")</f>
        <v/>
      </c>
      <c r="BF1812" s="58" t="n">
        <f aca="false">IF(BE1812="",0,MAX(0,MIN(1,(IF(CC1812="L1",Parameter!$H$5,IF(CC1812="L23",Parameter!$H$6+Parameter!$H$7,Parameter!$H$5+Parameter!$H$6+Parameter!$H$7))-(BE1812-BA1812))/BA1812)))</f>
        <v>0</v>
      </c>
      <c r="BG1812" s="48" t="str">
        <f aca="false">IF(AI1812&lt;=0,"",IF(CC1812="Aussen","Aussenlager",IF(CC1812="-","Nicht im Lift",IF(AN1812&gt;=1,"Lift",IF(AN1812&lt;=0,"Aussenlager","teilweise")))))</f>
        <v/>
      </c>
      <c r="BH1812" s="48" t="str">
        <f aca="false">IF(AR1812&lt;=0,"",IF(CC1812="Aussen","Aussenlager",IF(CC1812="-","Nicht im Lift",IF(AW1812&gt;=1,"Lift",IF(AW1812&lt;=0,"Aussenlager","teilweise")))))</f>
        <v/>
      </c>
      <c r="BI1812" s="48" t="str">
        <f aca="false">IF(BA1812&lt;=0,"",IF(CC1812="Aussen","Aussenlager",IF(CC1812="-","Nicht im Lift",IF(BF1812&gt;=1,"Lift",IF(BF1812&lt;=0,"Aussenlager","teilweise")))))</f>
        <v/>
      </c>
      <c r="BJ1812" s="48" t="str">
        <f aca="false">IF(A1812="","",IF(BS1812=1,"Neu; ","")&amp;IF(AND(BS1812=0,BN1812&lt;0),"negativer Bestand (Export "&amp;BN1812&amp;"); ","")&amp;IF(J1812&lt;=0,"Kein Verbrauch; ","")&amp;IF(CL1812&gt;0,"Lift "&amp;W1812&amp;" lt. Liftbericht (Fach "&amp;X1812&amp;" Stk); ",IF(BX1812=1,"Gebinde geschätzt ("&amp;T1812&amp;"); ",IF(BW1812=1,"Lose – Tablare geschätzt; ","")))&amp;IF(H1812&gt;AT1812,"Überbestand "&amp;ROUND(H1812-AT1812,0)&amp;" Stk / CHF "&amp;ROUND((H1812-AT1812)*G1812,0)&amp;"; ","")&amp;IF(AND(CE1812=1,CF1812&lt;CG1812),"MAX &lt; MB+LG; ","")&amp;IF(AND(CK1812&gt;0,CJ1812*10&gt;CK1812),"zu hoch für Tablar; ","")&amp;IF(AND(BS1812=0,OR(CE1812=1,AA1812&lt;&gt;"",U1812&lt;&gt;"",V1812&lt;&gt;"",AB1812&lt;&gt;"")),"manuell übersteuert; ","")&amp;IF(AND(BW1812=0,R1812=0),"Gebinde unbekannt / Stellmass fehlt; ","")&amp;IF(AND(BW1812=0,N(V1812)&lt;=0,N(Q1812)&lt;=0),"Menge pro Gebinde fehlt (Ist = 1 Gebinde); ","")&amp;BR1812)</f>
        <v/>
      </c>
      <c r="BK1812" s="48"/>
      <c r="BL1812" s="48"/>
      <c r="BM1812" s="55"/>
      <c r="BN1812" s="50" t="n">
        <f aca="false">N('Neue Artikel'!$D$73)</f>
        <v>0</v>
      </c>
      <c r="BO1812" s="50" t="n">
        <v>0</v>
      </c>
      <c r="BP1812" s="49" t="n">
        <v>0</v>
      </c>
      <c r="BQ1812" s="50" t="n">
        <f aca="false">N('Neue Artikel'!$C$73)/Parameter!$B$18</f>
        <v>0</v>
      </c>
      <c r="BR1812" s="48"/>
      <c r="BS1812" s="53" t="n">
        <v>1</v>
      </c>
      <c r="BT1812" s="53" t="n">
        <v>1812</v>
      </c>
      <c r="BU1812" s="48" t="str">
        <f aca="false">IF(U1812&lt;&gt;"",UPPER(TRIM(U1812)),IF(BX1812=1,UPPER(VLOOKUP(T1812,Parameter!$I$27:$K$29,2,0)),IF(P1812="","LOSE",P1812)))</f>
        <v>LOSE</v>
      </c>
      <c r="BV1812" s="50" t="n">
        <f aca="false">IF(BU1812="LOSE",1,IF(N(V1812)&gt;0,V1812,IF(BX1812=1,MAX(1,N(VLOOKUP(T1812,Parameter!$I$27:$K$29,3,0)),H1812,N(N1812)),IF(N(Q1812)&gt;0,Q1812,MAX(1,H1812)))))</f>
        <v>1</v>
      </c>
      <c r="BW1812" s="53" t="n">
        <f aca="false">IF(BU1812="LOSE",1,0)</f>
        <v>1</v>
      </c>
      <c r="BX1812" s="53" t="n">
        <f aca="false">IF(AND(U1812="",OR(P1812="",P1812="LOSE"),T1812&lt;&gt;"",N(S1812)&lt;=0,ISNUMBER(MATCH(T1812,Parameter!$I$27:$I$29,0))),1,0)</f>
        <v>0</v>
      </c>
      <c r="BY1812" s="53" t="n">
        <f aca="false">IF(CL1812&gt;0,INDEX(Parameter!$H$5:$H$7,W1812)/INDEX(Parameter!$E$5:$E$7,W1812),IF(AND(BW1812=0,N(IFERROR(VLOOKUP(BU1812,'Gebinde-Kategorie'!$A$5:$N$45,14,0),0))&gt;0),VLOOKUP(BU1812,'Gebinde-Kategorie'!$A$5:$N$45,14,0)*10+Parameter!$M$23,Parameter!$M$24))</f>
        <v>235</v>
      </c>
      <c r="BZ1812" s="48" t="str">
        <f aca="false">IF(AND(Parameter!$B$19="Ja",E1812&lt;&gt;"",ISNUMBER(MATCH(E1812,Parameter!$I$35:$I$52,0))),VLOOKUP(E1812,Parameter!$I$35:$J$52,2,0),IFERROR(VLOOKUP(D1812,Parameter!$A$35:$C$64,2,0),"Nein"))</f>
        <v>2+3</v>
      </c>
      <c r="CA1812" s="52" t="n">
        <f aca="false">IF(BW1812=0,0,IF(N(S1812)&gt;0,S1812,IFERROR(VLOOKUP(D1812,Parameter!$A$35:$C$64,3,0)+0,0)))</f>
        <v>0.15</v>
      </c>
      <c r="CB1812" s="48" t="str">
        <f aca="false">IF(AA1812&lt;&gt;"",AA1812,Z1812)</f>
        <v/>
      </c>
      <c r="CC1812" s="48" t="str">
        <f aca="false">IF(OR(CB1812=1,CB1812=2,CB1812=3),IF(Parameter!$E$27="Ja","LIFT",IF(CB1812=1,"L1","L23")),IF(CB1812="Aussen","Aussen","-"))</f>
        <v>-</v>
      </c>
      <c r="CD1812" s="59" t="n">
        <f aca="false">IF(N(AB1812)&gt;0,AB1812,0)</f>
        <v>0</v>
      </c>
      <c r="CE1812" s="53" t="n">
        <f aca="false">IF(ISNUMBER(AE1812),1,0)</f>
        <v>0</v>
      </c>
      <c r="CF1812" s="50" t="n">
        <f aca="false">N(AE1812)</f>
        <v>0</v>
      </c>
      <c r="CG1812" s="50" t="n">
        <f aca="false">N(M1812)+N(N1812)</f>
        <v>0</v>
      </c>
      <c r="CH1812" s="50" t="n">
        <f aca="false">ROUNDUP(H1812/BV1812,0)</f>
        <v>0</v>
      </c>
      <c r="CI1812" s="50" t="n">
        <f aca="false">ROUNDUP(CF1812/BV1812,0)</f>
        <v>0</v>
      </c>
      <c r="CJ1812" s="53" t="n">
        <f aca="false">IF(BW1812=1,0,IFERROR(VLOOKUP(BU1812,'Gebinde-Kategorie'!$A$5:$N$45,5,0)+0,0))</f>
        <v>0</v>
      </c>
      <c r="CK1812" s="53" t="n">
        <f aca="false">IFERROR(IF(OR(CB1812=1,CB1812=2,CB1812=3),N(INDEX(Parameter!$I$5:$I$7,CB1812)),0),0)</f>
        <v>0</v>
      </c>
      <c r="CL1812" s="52" t="n">
        <f aca="false">IF(AND(Parameter!$B$21="Ja",ISNUMBER(W1812),N(X1812)&gt;0),IFERROR(N(INDEX(Parameter!$L$5:$L$7,W1812))*INDEX(Parameter!$E$5:$E$7,W1812)*X1812/SUMIFS($X$7:$X$1843,$W$7:$W$1843,W1812),0),0)</f>
        <v>0</v>
      </c>
    </row>
    <row r="1813" customFormat="false" ht="15" hidden="false" customHeight="false" outlineLevel="0" collapsed="false">
      <c r="A1813" s="48" t="str">
        <f aca="false">IF('Neue Artikel'!$A$74="","",'Neue Artikel'!$A$74&amp;"")</f>
        <v/>
      </c>
      <c r="B1813" s="48" t="str">
        <f aca="false">'Neue Artikel'!$B$74&amp;""</f>
        <v/>
      </c>
      <c r="C1813" s="48"/>
      <c r="D1813" s="48" t="s">
        <v>3019</v>
      </c>
      <c r="E1813" s="48"/>
      <c r="F1813" s="48"/>
      <c r="G1813" s="49" t="n">
        <f aca="false">N('Neue Artikel'!$G$74)</f>
        <v>0</v>
      </c>
      <c r="H1813" s="50" t="n">
        <f aca="false">MAX(0,IF(AND(Parameter!$B$21="Ja",ISNUMBER(Y1813)),Y1813,IF(Parameter!$B$20="Jahresanfang 2025 + Export",BO1813+BN1813,BN1813)))</f>
        <v>0</v>
      </c>
      <c r="I1813" s="50" t="n">
        <f aca="false">H1813*G1813</f>
        <v>0</v>
      </c>
      <c r="J1813" s="50" t="n">
        <f aca="false">BQ1813*Parameter!$B$18</f>
        <v>0</v>
      </c>
      <c r="K1813" s="51"/>
      <c r="L1813" s="52"/>
      <c r="M1813" s="50" t="n">
        <f aca="false">N('Neue Artikel'!$E$74)</f>
        <v>0</v>
      </c>
      <c r="N1813" s="50" t="n">
        <f aca="false">N('Neue Artikel'!$F$74)</f>
        <v>0</v>
      </c>
      <c r="O1813" s="53"/>
      <c r="P1813" s="48" t="str">
        <f aca="false">IF('Neue Artikel'!$H$74="","LOSE",UPPER(TRIM('Neue Artikel'!$H$74)))</f>
        <v>LOSE</v>
      </c>
      <c r="Q1813" s="50" t="n">
        <f aca="false">N('Neue Artikel'!$I$74)</f>
        <v>0</v>
      </c>
      <c r="R1813" s="53" t="n">
        <f aca="false">IF(BW1813=1,0,IFERROR(VLOOKUP(BU1813,'Gebinde-Kategorie'!$A$5:$N$45,13,0)+0,0))</f>
        <v>0</v>
      </c>
      <c r="S1813" s="54"/>
      <c r="T1813" s="55"/>
      <c r="U1813" s="55"/>
      <c r="V1813" s="55"/>
      <c r="W1813" s="48"/>
      <c r="X1813" s="50"/>
      <c r="Y1813" s="50"/>
      <c r="Z1813" s="48" t="str">
        <f aca="false">IF(A1813="","",IF(AND(Parameter!$B$21="Ja",ISNUMBER(W1813)),W1813,IF(BZ1813="2+3",IF(ISNUMBER(SEARCH("grosser Artikel",BR1813)),2,IFERROR(VLOOKUP(BU1813,Parameter!$F$35:$G$64,2,0),2)),IF(OR(BZ1813="Nein",BZ1813=""),"-",BZ1813))))</f>
        <v/>
      </c>
      <c r="AA1813" s="48" t="str">
        <f aca="false">IF('Neue Artikel'!$J$74="","",'Neue Artikel'!$J$74)</f>
        <v/>
      </c>
      <c r="AB1813" s="56"/>
      <c r="AC1813" s="50" t="n">
        <f aca="false">AT1813</f>
        <v>0</v>
      </c>
      <c r="AD1813" s="50" t="n">
        <f aca="false">MAX(AT1813,H1813)</f>
        <v>0</v>
      </c>
      <c r="AE1813" s="57"/>
      <c r="AF1813" s="50" t="n">
        <f aca="false">IF(LEFT(Cockpit!$C$5,1)="A",H1813,IF(CE1813=1,CF1813,IF(LEFT(Cockpit!$C$5,1)="B",AK1813,MAX(AK1813,H1813))))</f>
        <v>0</v>
      </c>
      <c r="AG1813" s="50" t="n">
        <f aca="false">IF(BW1813=1,0,ROUNDUP(AF1813/BV1813,0))</f>
        <v>0</v>
      </c>
      <c r="AH1813" s="52" t="n">
        <f aca="false">IF(CL1813&gt;0,CL1813*MAX(1,AF1813/X1813),IF(BW1813=1,IF(AF1813&lt;=0,0,CA1813*MAX(1,IF(H1813&gt;0,AF1813/H1813,1))),IF(R1813&gt;0,AG1813/R1813,0))/MAX(0.1,N(Parameter!$M$21)))</f>
        <v>0</v>
      </c>
      <c r="AI1813" s="50" t="n">
        <f aca="false">AH1813*BY1813</f>
        <v>0</v>
      </c>
      <c r="AJ1813" s="50" t="n">
        <f aca="false">AF1813*G1813</f>
        <v>0</v>
      </c>
      <c r="AK1813" s="50" t="n">
        <f aca="false">ROUNDUP(MAX(J1813/IF(CD1813&gt;0,CD1813,MAX(0.1,N(Cockpit!$C$6))),CG1813)/BV1813,0)*BV1813</f>
        <v>0</v>
      </c>
      <c r="AL1813" s="51" t="n">
        <f aca="false">IF(AI1813&gt;0,J1813/AI1813,-1)</f>
        <v>-1</v>
      </c>
      <c r="AM1813" s="51" t="str">
        <f aca="false">IF(AND(OR(CC1813="L1",CC1813="L23",CC1813="LIFT"),AI1813&gt;0),SUMIFS($AI$7:$AI$1843,$CC$7:$CC$1843,CC1813,$AL$7:$AL$1843,"&gt;"&amp;AL1813)+SUMIFS($AI$7:$AI$1843,$CC$7:$CC$1843,CC1813,$AL$7:$AL$1843,AL1813,$BT$7:$BT$1843,"&lt;="&amp;BT1813),"")</f>
        <v/>
      </c>
      <c r="AN1813" s="58" t="n">
        <f aca="false">IF(AM1813="",0,MAX(0,MIN(1,(IF(CC1813="L1",Parameter!$H$5,IF(CC1813="L23",Parameter!$H$6+Parameter!$H$7,Parameter!$H$5+Parameter!$H$6+Parameter!$H$7))-(AM1813-AI1813))/AI1813)))</f>
        <v>0</v>
      </c>
      <c r="AO1813" s="50" t="n">
        <f aca="false">IF(LEFT(Cockpit!$I$5,1)="A",H1813,IF(CE1813=1,CF1813,IF(LEFT(Cockpit!$I$5,1)="B",AT1813,MAX(AT1813,H1813))))</f>
        <v>0</v>
      </c>
      <c r="AP1813" s="50" t="n">
        <f aca="false">IF(BW1813=1,0,ROUNDUP(AO1813/BV1813,0))</f>
        <v>0</v>
      </c>
      <c r="AQ1813" s="52" t="n">
        <f aca="false">IF(CL1813&gt;0,CL1813*MAX(1,AO1813/X1813),IF(BW1813=1,IF(AO1813&lt;=0,0,CA1813*MAX(1,IF(H1813&gt;0,AO1813/H1813,1))),IF(R1813&gt;0,AP1813/R1813,0))/MAX(0.1,N(Parameter!$M$21)))</f>
        <v>0</v>
      </c>
      <c r="AR1813" s="50" t="n">
        <f aca="false">AQ1813*BY1813</f>
        <v>0</v>
      </c>
      <c r="AS1813" s="50" t="n">
        <f aca="false">AO1813*G1813</f>
        <v>0</v>
      </c>
      <c r="AT1813" s="50" t="n">
        <f aca="false">ROUNDUP(MAX(J1813/IF(CD1813&gt;0,CD1813,MAX(0.1,N(Cockpit!$I$6))),CG1813)/BV1813,0)*BV1813</f>
        <v>0</v>
      </c>
      <c r="AU1813" s="51" t="n">
        <f aca="false">IF(AR1813&gt;0,J1813/AR1813,-1)</f>
        <v>-1</v>
      </c>
      <c r="AV1813" s="51" t="str">
        <f aca="false">IF(AND(OR(CC1813="L1",CC1813="L23",CC1813="LIFT"),AR1813&gt;0),SUMIFS($AR$7:$AR$1843,$CC$7:$CC$1843,CC1813,$AU$7:$AU$1843,"&gt;"&amp;AU1813)+SUMIFS($AR$7:$AR$1843,$CC$7:$CC$1843,CC1813,$AU$7:$AU$1843,AU1813,$BT$7:$BT$1843,"&lt;="&amp;BT1813),"")</f>
        <v/>
      </c>
      <c r="AW1813" s="58" t="n">
        <f aca="false">IF(AV1813="",0,MAX(0,MIN(1,(IF(CC1813="L1",Parameter!$H$5,IF(CC1813="L23",Parameter!$H$6+Parameter!$H$7,Parameter!$H$5+Parameter!$H$6+Parameter!$H$7))-(AV1813-AR1813))/AR1813)))</f>
        <v>0</v>
      </c>
      <c r="AX1813" s="50" t="n">
        <f aca="false">IF(LEFT(Cockpit!$O$5,1)="A",H1813,IF(CE1813=1,CF1813,IF(LEFT(Cockpit!$O$5,1)="B",BC1813,MAX(BC1813,H1813))))</f>
        <v>0</v>
      </c>
      <c r="AY1813" s="50" t="n">
        <f aca="false">IF(BW1813=1,0,ROUNDUP(AX1813/BV1813,0))</f>
        <v>0</v>
      </c>
      <c r="AZ1813" s="52" t="n">
        <f aca="false">IF(CL1813&gt;0,CL1813*MAX(1,AX1813/X1813),IF(BW1813=1,IF(AX1813&lt;=0,0,CA1813*MAX(1,IF(H1813&gt;0,AX1813/H1813,1))),IF(R1813&gt;0,AY1813/R1813,0))/MAX(0.1,N(Parameter!$M$21)))</f>
        <v>0</v>
      </c>
      <c r="BA1813" s="50" t="n">
        <f aca="false">AZ1813*BY1813</f>
        <v>0</v>
      </c>
      <c r="BB1813" s="50" t="n">
        <f aca="false">AX1813*G1813</f>
        <v>0</v>
      </c>
      <c r="BC1813" s="50" t="n">
        <f aca="false">ROUNDUP(MAX(J1813/IF(CD1813&gt;0,CD1813,MAX(0.1,N(Cockpit!$O$6))),CG1813)/BV1813,0)*BV1813</f>
        <v>0</v>
      </c>
      <c r="BD1813" s="51" t="n">
        <f aca="false">IF(BA1813&gt;0,J1813/BA1813,-1)</f>
        <v>-1</v>
      </c>
      <c r="BE1813" s="51" t="str">
        <f aca="false">IF(AND(OR(CC1813="L1",CC1813="L23",CC1813="LIFT"),BA1813&gt;0),SUMIFS($BA$7:$BA$1843,$CC$7:$CC$1843,CC1813,$BD$7:$BD$1843,"&gt;"&amp;BD1813)+SUMIFS($BA$7:$BA$1843,$CC$7:$CC$1843,CC1813,$BD$7:$BD$1843,BD1813,$BT$7:$BT$1843,"&lt;="&amp;BT1813),"")</f>
        <v/>
      </c>
      <c r="BF1813" s="58" t="n">
        <f aca="false">IF(BE1813="",0,MAX(0,MIN(1,(IF(CC1813="L1",Parameter!$H$5,IF(CC1813="L23",Parameter!$H$6+Parameter!$H$7,Parameter!$H$5+Parameter!$H$6+Parameter!$H$7))-(BE1813-BA1813))/BA1813)))</f>
        <v>0</v>
      </c>
      <c r="BG1813" s="48" t="str">
        <f aca="false">IF(AI1813&lt;=0,"",IF(CC1813="Aussen","Aussenlager",IF(CC1813="-","Nicht im Lift",IF(AN1813&gt;=1,"Lift",IF(AN1813&lt;=0,"Aussenlager","teilweise")))))</f>
        <v/>
      </c>
      <c r="BH1813" s="48" t="str">
        <f aca="false">IF(AR1813&lt;=0,"",IF(CC1813="Aussen","Aussenlager",IF(CC1813="-","Nicht im Lift",IF(AW1813&gt;=1,"Lift",IF(AW1813&lt;=0,"Aussenlager","teilweise")))))</f>
        <v/>
      </c>
      <c r="BI1813" s="48" t="str">
        <f aca="false">IF(BA1813&lt;=0,"",IF(CC1813="Aussen","Aussenlager",IF(CC1813="-","Nicht im Lift",IF(BF1813&gt;=1,"Lift",IF(BF1813&lt;=0,"Aussenlager","teilweise")))))</f>
        <v/>
      </c>
      <c r="BJ1813" s="48" t="str">
        <f aca="false">IF(A1813="","",IF(BS1813=1,"Neu; ","")&amp;IF(AND(BS1813=0,BN1813&lt;0),"negativer Bestand (Export "&amp;BN1813&amp;"); ","")&amp;IF(J1813&lt;=0,"Kein Verbrauch; ","")&amp;IF(CL1813&gt;0,"Lift "&amp;W1813&amp;" lt. Liftbericht (Fach "&amp;X1813&amp;" Stk); ",IF(BX1813=1,"Gebinde geschätzt ("&amp;T1813&amp;"); ",IF(BW1813=1,"Lose – Tablare geschätzt; ","")))&amp;IF(H1813&gt;AT1813,"Überbestand "&amp;ROUND(H1813-AT1813,0)&amp;" Stk / CHF "&amp;ROUND((H1813-AT1813)*G1813,0)&amp;"; ","")&amp;IF(AND(CE1813=1,CF1813&lt;CG1813),"MAX &lt; MB+LG; ","")&amp;IF(AND(CK1813&gt;0,CJ1813*10&gt;CK1813),"zu hoch für Tablar; ","")&amp;IF(AND(BS1813=0,OR(CE1813=1,AA1813&lt;&gt;"",U1813&lt;&gt;"",V1813&lt;&gt;"",AB1813&lt;&gt;"")),"manuell übersteuert; ","")&amp;IF(AND(BW1813=0,R1813=0),"Gebinde unbekannt / Stellmass fehlt; ","")&amp;IF(AND(BW1813=0,N(V1813)&lt;=0,N(Q1813)&lt;=0),"Menge pro Gebinde fehlt (Ist = 1 Gebinde); ","")&amp;BR1813)</f>
        <v/>
      </c>
      <c r="BK1813" s="48"/>
      <c r="BL1813" s="48"/>
      <c r="BM1813" s="55"/>
      <c r="BN1813" s="50" t="n">
        <f aca="false">N('Neue Artikel'!$D$74)</f>
        <v>0</v>
      </c>
      <c r="BO1813" s="50" t="n">
        <v>0</v>
      </c>
      <c r="BP1813" s="49" t="n">
        <v>0</v>
      </c>
      <c r="BQ1813" s="50" t="n">
        <f aca="false">N('Neue Artikel'!$C$74)/Parameter!$B$18</f>
        <v>0</v>
      </c>
      <c r="BR1813" s="48"/>
      <c r="BS1813" s="53" t="n">
        <v>1</v>
      </c>
      <c r="BT1813" s="53" t="n">
        <v>1813</v>
      </c>
      <c r="BU1813" s="48" t="str">
        <f aca="false">IF(U1813&lt;&gt;"",UPPER(TRIM(U1813)),IF(BX1813=1,UPPER(VLOOKUP(T1813,Parameter!$I$27:$K$29,2,0)),IF(P1813="","LOSE",P1813)))</f>
        <v>LOSE</v>
      </c>
      <c r="BV1813" s="50" t="n">
        <f aca="false">IF(BU1813="LOSE",1,IF(N(V1813)&gt;0,V1813,IF(BX1813=1,MAX(1,N(VLOOKUP(T1813,Parameter!$I$27:$K$29,3,0)),H1813,N(N1813)),IF(N(Q1813)&gt;0,Q1813,MAX(1,H1813)))))</f>
        <v>1</v>
      </c>
      <c r="BW1813" s="53" t="n">
        <f aca="false">IF(BU1813="LOSE",1,0)</f>
        <v>1</v>
      </c>
      <c r="BX1813" s="53" t="n">
        <f aca="false">IF(AND(U1813="",OR(P1813="",P1813="LOSE"),T1813&lt;&gt;"",N(S1813)&lt;=0,ISNUMBER(MATCH(T1813,Parameter!$I$27:$I$29,0))),1,0)</f>
        <v>0</v>
      </c>
      <c r="BY1813" s="53" t="n">
        <f aca="false">IF(CL1813&gt;0,INDEX(Parameter!$H$5:$H$7,W1813)/INDEX(Parameter!$E$5:$E$7,W1813),IF(AND(BW1813=0,N(IFERROR(VLOOKUP(BU1813,'Gebinde-Kategorie'!$A$5:$N$45,14,0),0))&gt;0),VLOOKUP(BU1813,'Gebinde-Kategorie'!$A$5:$N$45,14,0)*10+Parameter!$M$23,Parameter!$M$24))</f>
        <v>235</v>
      </c>
      <c r="BZ1813" s="48" t="str">
        <f aca="false">IF(AND(Parameter!$B$19="Ja",E1813&lt;&gt;"",ISNUMBER(MATCH(E1813,Parameter!$I$35:$I$52,0))),VLOOKUP(E1813,Parameter!$I$35:$J$52,2,0),IFERROR(VLOOKUP(D1813,Parameter!$A$35:$C$64,2,0),"Nein"))</f>
        <v>2+3</v>
      </c>
      <c r="CA1813" s="52" t="n">
        <f aca="false">IF(BW1813=0,0,IF(N(S1813)&gt;0,S1813,IFERROR(VLOOKUP(D1813,Parameter!$A$35:$C$64,3,0)+0,0)))</f>
        <v>0.15</v>
      </c>
      <c r="CB1813" s="48" t="str">
        <f aca="false">IF(AA1813&lt;&gt;"",AA1813,Z1813)</f>
        <v/>
      </c>
      <c r="CC1813" s="48" t="str">
        <f aca="false">IF(OR(CB1813=1,CB1813=2,CB1813=3),IF(Parameter!$E$27="Ja","LIFT",IF(CB1813=1,"L1","L23")),IF(CB1813="Aussen","Aussen","-"))</f>
        <v>-</v>
      </c>
      <c r="CD1813" s="59" t="n">
        <f aca="false">IF(N(AB1813)&gt;0,AB1813,0)</f>
        <v>0</v>
      </c>
      <c r="CE1813" s="53" t="n">
        <f aca="false">IF(ISNUMBER(AE1813),1,0)</f>
        <v>0</v>
      </c>
      <c r="CF1813" s="50" t="n">
        <f aca="false">N(AE1813)</f>
        <v>0</v>
      </c>
      <c r="CG1813" s="50" t="n">
        <f aca="false">N(M1813)+N(N1813)</f>
        <v>0</v>
      </c>
      <c r="CH1813" s="50" t="n">
        <f aca="false">ROUNDUP(H1813/BV1813,0)</f>
        <v>0</v>
      </c>
      <c r="CI1813" s="50" t="n">
        <f aca="false">ROUNDUP(CF1813/BV1813,0)</f>
        <v>0</v>
      </c>
      <c r="CJ1813" s="53" t="n">
        <f aca="false">IF(BW1813=1,0,IFERROR(VLOOKUP(BU1813,'Gebinde-Kategorie'!$A$5:$N$45,5,0)+0,0))</f>
        <v>0</v>
      </c>
      <c r="CK1813" s="53" t="n">
        <f aca="false">IFERROR(IF(OR(CB1813=1,CB1813=2,CB1813=3),N(INDEX(Parameter!$I$5:$I$7,CB1813)),0),0)</f>
        <v>0</v>
      </c>
      <c r="CL1813" s="52" t="n">
        <f aca="false">IF(AND(Parameter!$B$21="Ja",ISNUMBER(W1813),N(X1813)&gt;0),IFERROR(N(INDEX(Parameter!$L$5:$L$7,W1813))*INDEX(Parameter!$E$5:$E$7,W1813)*X1813/SUMIFS($X$7:$X$1843,$W$7:$W$1843,W1813),0),0)</f>
        <v>0</v>
      </c>
    </row>
    <row r="1814" customFormat="false" ht="15" hidden="false" customHeight="false" outlineLevel="0" collapsed="false">
      <c r="A1814" s="48" t="str">
        <f aca="false">IF('Neue Artikel'!$A$75="","",'Neue Artikel'!$A$75&amp;"")</f>
        <v/>
      </c>
      <c r="B1814" s="48" t="str">
        <f aca="false">'Neue Artikel'!$B$75&amp;""</f>
        <v/>
      </c>
      <c r="C1814" s="48"/>
      <c r="D1814" s="48" t="s">
        <v>3019</v>
      </c>
      <c r="E1814" s="48"/>
      <c r="F1814" s="48"/>
      <c r="G1814" s="49" t="n">
        <f aca="false">N('Neue Artikel'!$G$75)</f>
        <v>0</v>
      </c>
      <c r="H1814" s="50" t="n">
        <f aca="false">MAX(0,IF(AND(Parameter!$B$21="Ja",ISNUMBER(Y1814)),Y1814,IF(Parameter!$B$20="Jahresanfang 2025 + Export",BO1814+BN1814,BN1814)))</f>
        <v>0</v>
      </c>
      <c r="I1814" s="50" t="n">
        <f aca="false">H1814*G1814</f>
        <v>0</v>
      </c>
      <c r="J1814" s="50" t="n">
        <f aca="false">BQ1814*Parameter!$B$18</f>
        <v>0</v>
      </c>
      <c r="K1814" s="51"/>
      <c r="L1814" s="52"/>
      <c r="M1814" s="50" t="n">
        <f aca="false">N('Neue Artikel'!$E$75)</f>
        <v>0</v>
      </c>
      <c r="N1814" s="50" t="n">
        <f aca="false">N('Neue Artikel'!$F$75)</f>
        <v>0</v>
      </c>
      <c r="O1814" s="53"/>
      <c r="P1814" s="48" t="str">
        <f aca="false">IF('Neue Artikel'!$H$75="","LOSE",UPPER(TRIM('Neue Artikel'!$H$75)))</f>
        <v>LOSE</v>
      </c>
      <c r="Q1814" s="50" t="n">
        <f aca="false">N('Neue Artikel'!$I$75)</f>
        <v>0</v>
      </c>
      <c r="R1814" s="53" t="n">
        <f aca="false">IF(BW1814=1,0,IFERROR(VLOOKUP(BU1814,'Gebinde-Kategorie'!$A$5:$N$45,13,0)+0,0))</f>
        <v>0</v>
      </c>
      <c r="S1814" s="54"/>
      <c r="T1814" s="55"/>
      <c r="U1814" s="55"/>
      <c r="V1814" s="55"/>
      <c r="W1814" s="48"/>
      <c r="X1814" s="50"/>
      <c r="Y1814" s="50"/>
      <c r="Z1814" s="48" t="str">
        <f aca="false">IF(A1814="","",IF(AND(Parameter!$B$21="Ja",ISNUMBER(W1814)),W1814,IF(BZ1814="2+3",IF(ISNUMBER(SEARCH("grosser Artikel",BR1814)),2,IFERROR(VLOOKUP(BU1814,Parameter!$F$35:$G$64,2,0),2)),IF(OR(BZ1814="Nein",BZ1814=""),"-",BZ1814))))</f>
        <v/>
      </c>
      <c r="AA1814" s="48" t="str">
        <f aca="false">IF('Neue Artikel'!$J$75="","",'Neue Artikel'!$J$75)</f>
        <v/>
      </c>
      <c r="AB1814" s="56"/>
      <c r="AC1814" s="50" t="n">
        <f aca="false">AT1814</f>
        <v>0</v>
      </c>
      <c r="AD1814" s="50" t="n">
        <f aca="false">MAX(AT1814,H1814)</f>
        <v>0</v>
      </c>
      <c r="AE1814" s="57"/>
      <c r="AF1814" s="50" t="n">
        <f aca="false">IF(LEFT(Cockpit!$C$5,1)="A",H1814,IF(CE1814=1,CF1814,IF(LEFT(Cockpit!$C$5,1)="B",AK1814,MAX(AK1814,H1814))))</f>
        <v>0</v>
      </c>
      <c r="AG1814" s="50" t="n">
        <f aca="false">IF(BW1814=1,0,ROUNDUP(AF1814/BV1814,0))</f>
        <v>0</v>
      </c>
      <c r="AH1814" s="52" t="n">
        <f aca="false">IF(CL1814&gt;0,CL1814*MAX(1,AF1814/X1814),IF(BW1814=1,IF(AF1814&lt;=0,0,CA1814*MAX(1,IF(H1814&gt;0,AF1814/H1814,1))),IF(R1814&gt;0,AG1814/R1814,0))/MAX(0.1,N(Parameter!$M$21)))</f>
        <v>0</v>
      </c>
      <c r="AI1814" s="50" t="n">
        <f aca="false">AH1814*BY1814</f>
        <v>0</v>
      </c>
      <c r="AJ1814" s="50" t="n">
        <f aca="false">AF1814*G1814</f>
        <v>0</v>
      </c>
      <c r="AK1814" s="50" t="n">
        <f aca="false">ROUNDUP(MAX(J1814/IF(CD1814&gt;0,CD1814,MAX(0.1,N(Cockpit!$C$6))),CG1814)/BV1814,0)*BV1814</f>
        <v>0</v>
      </c>
      <c r="AL1814" s="51" t="n">
        <f aca="false">IF(AI1814&gt;0,J1814/AI1814,-1)</f>
        <v>-1</v>
      </c>
      <c r="AM1814" s="51" t="str">
        <f aca="false">IF(AND(OR(CC1814="L1",CC1814="L23",CC1814="LIFT"),AI1814&gt;0),SUMIFS($AI$7:$AI$1843,$CC$7:$CC$1843,CC1814,$AL$7:$AL$1843,"&gt;"&amp;AL1814)+SUMIFS($AI$7:$AI$1843,$CC$7:$CC$1843,CC1814,$AL$7:$AL$1843,AL1814,$BT$7:$BT$1843,"&lt;="&amp;BT1814),"")</f>
        <v/>
      </c>
      <c r="AN1814" s="58" t="n">
        <f aca="false">IF(AM1814="",0,MAX(0,MIN(1,(IF(CC1814="L1",Parameter!$H$5,IF(CC1814="L23",Parameter!$H$6+Parameter!$H$7,Parameter!$H$5+Parameter!$H$6+Parameter!$H$7))-(AM1814-AI1814))/AI1814)))</f>
        <v>0</v>
      </c>
      <c r="AO1814" s="50" t="n">
        <f aca="false">IF(LEFT(Cockpit!$I$5,1)="A",H1814,IF(CE1814=1,CF1814,IF(LEFT(Cockpit!$I$5,1)="B",AT1814,MAX(AT1814,H1814))))</f>
        <v>0</v>
      </c>
      <c r="AP1814" s="50" t="n">
        <f aca="false">IF(BW1814=1,0,ROUNDUP(AO1814/BV1814,0))</f>
        <v>0</v>
      </c>
      <c r="AQ1814" s="52" t="n">
        <f aca="false">IF(CL1814&gt;0,CL1814*MAX(1,AO1814/X1814),IF(BW1814=1,IF(AO1814&lt;=0,0,CA1814*MAX(1,IF(H1814&gt;0,AO1814/H1814,1))),IF(R1814&gt;0,AP1814/R1814,0))/MAX(0.1,N(Parameter!$M$21)))</f>
        <v>0</v>
      </c>
      <c r="AR1814" s="50" t="n">
        <f aca="false">AQ1814*BY1814</f>
        <v>0</v>
      </c>
      <c r="AS1814" s="50" t="n">
        <f aca="false">AO1814*G1814</f>
        <v>0</v>
      </c>
      <c r="AT1814" s="50" t="n">
        <f aca="false">ROUNDUP(MAX(J1814/IF(CD1814&gt;0,CD1814,MAX(0.1,N(Cockpit!$I$6))),CG1814)/BV1814,0)*BV1814</f>
        <v>0</v>
      </c>
      <c r="AU1814" s="51" t="n">
        <f aca="false">IF(AR1814&gt;0,J1814/AR1814,-1)</f>
        <v>-1</v>
      </c>
      <c r="AV1814" s="51" t="str">
        <f aca="false">IF(AND(OR(CC1814="L1",CC1814="L23",CC1814="LIFT"),AR1814&gt;0),SUMIFS($AR$7:$AR$1843,$CC$7:$CC$1843,CC1814,$AU$7:$AU$1843,"&gt;"&amp;AU1814)+SUMIFS($AR$7:$AR$1843,$CC$7:$CC$1843,CC1814,$AU$7:$AU$1843,AU1814,$BT$7:$BT$1843,"&lt;="&amp;BT1814),"")</f>
        <v/>
      </c>
      <c r="AW1814" s="58" t="n">
        <f aca="false">IF(AV1814="",0,MAX(0,MIN(1,(IF(CC1814="L1",Parameter!$H$5,IF(CC1814="L23",Parameter!$H$6+Parameter!$H$7,Parameter!$H$5+Parameter!$H$6+Parameter!$H$7))-(AV1814-AR1814))/AR1814)))</f>
        <v>0</v>
      </c>
      <c r="AX1814" s="50" t="n">
        <f aca="false">IF(LEFT(Cockpit!$O$5,1)="A",H1814,IF(CE1814=1,CF1814,IF(LEFT(Cockpit!$O$5,1)="B",BC1814,MAX(BC1814,H1814))))</f>
        <v>0</v>
      </c>
      <c r="AY1814" s="50" t="n">
        <f aca="false">IF(BW1814=1,0,ROUNDUP(AX1814/BV1814,0))</f>
        <v>0</v>
      </c>
      <c r="AZ1814" s="52" t="n">
        <f aca="false">IF(CL1814&gt;0,CL1814*MAX(1,AX1814/X1814),IF(BW1814=1,IF(AX1814&lt;=0,0,CA1814*MAX(1,IF(H1814&gt;0,AX1814/H1814,1))),IF(R1814&gt;0,AY1814/R1814,0))/MAX(0.1,N(Parameter!$M$21)))</f>
        <v>0</v>
      </c>
      <c r="BA1814" s="50" t="n">
        <f aca="false">AZ1814*BY1814</f>
        <v>0</v>
      </c>
      <c r="BB1814" s="50" t="n">
        <f aca="false">AX1814*G1814</f>
        <v>0</v>
      </c>
      <c r="BC1814" s="50" t="n">
        <f aca="false">ROUNDUP(MAX(J1814/IF(CD1814&gt;0,CD1814,MAX(0.1,N(Cockpit!$O$6))),CG1814)/BV1814,0)*BV1814</f>
        <v>0</v>
      </c>
      <c r="BD1814" s="51" t="n">
        <f aca="false">IF(BA1814&gt;0,J1814/BA1814,-1)</f>
        <v>-1</v>
      </c>
      <c r="BE1814" s="51" t="str">
        <f aca="false">IF(AND(OR(CC1814="L1",CC1814="L23",CC1814="LIFT"),BA1814&gt;0),SUMIFS($BA$7:$BA$1843,$CC$7:$CC$1843,CC1814,$BD$7:$BD$1843,"&gt;"&amp;BD1814)+SUMIFS($BA$7:$BA$1843,$CC$7:$CC$1843,CC1814,$BD$7:$BD$1843,BD1814,$BT$7:$BT$1843,"&lt;="&amp;BT1814),"")</f>
        <v/>
      </c>
      <c r="BF1814" s="58" t="n">
        <f aca="false">IF(BE1814="",0,MAX(0,MIN(1,(IF(CC1814="L1",Parameter!$H$5,IF(CC1814="L23",Parameter!$H$6+Parameter!$H$7,Parameter!$H$5+Parameter!$H$6+Parameter!$H$7))-(BE1814-BA1814))/BA1814)))</f>
        <v>0</v>
      </c>
      <c r="BG1814" s="48" t="str">
        <f aca="false">IF(AI1814&lt;=0,"",IF(CC1814="Aussen","Aussenlager",IF(CC1814="-","Nicht im Lift",IF(AN1814&gt;=1,"Lift",IF(AN1814&lt;=0,"Aussenlager","teilweise")))))</f>
        <v/>
      </c>
      <c r="BH1814" s="48" t="str">
        <f aca="false">IF(AR1814&lt;=0,"",IF(CC1814="Aussen","Aussenlager",IF(CC1814="-","Nicht im Lift",IF(AW1814&gt;=1,"Lift",IF(AW1814&lt;=0,"Aussenlager","teilweise")))))</f>
        <v/>
      </c>
      <c r="BI1814" s="48" t="str">
        <f aca="false">IF(BA1814&lt;=0,"",IF(CC1814="Aussen","Aussenlager",IF(CC1814="-","Nicht im Lift",IF(BF1814&gt;=1,"Lift",IF(BF1814&lt;=0,"Aussenlager","teilweise")))))</f>
        <v/>
      </c>
      <c r="BJ1814" s="48" t="str">
        <f aca="false">IF(A1814="","",IF(BS1814=1,"Neu; ","")&amp;IF(AND(BS1814=0,BN1814&lt;0),"negativer Bestand (Export "&amp;BN1814&amp;"); ","")&amp;IF(J1814&lt;=0,"Kein Verbrauch; ","")&amp;IF(CL1814&gt;0,"Lift "&amp;W1814&amp;" lt. Liftbericht (Fach "&amp;X1814&amp;" Stk); ",IF(BX1814=1,"Gebinde geschätzt ("&amp;T1814&amp;"); ",IF(BW1814=1,"Lose – Tablare geschätzt; ","")))&amp;IF(H1814&gt;AT1814,"Überbestand "&amp;ROUND(H1814-AT1814,0)&amp;" Stk / CHF "&amp;ROUND((H1814-AT1814)*G1814,0)&amp;"; ","")&amp;IF(AND(CE1814=1,CF1814&lt;CG1814),"MAX &lt; MB+LG; ","")&amp;IF(AND(CK1814&gt;0,CJ1814*10&gt;CK1814),"zu hoch für Tablar; ","")&amp;IF(AND(BS1814=0,OR(CE1814=1,AA1814&lt;&gt;"",U1814&lt;&gt;"",V1814&lt;&gt;"",AB1814&lt;&gt;"")),"manuell übersteuert; ","")&amp;IF(AND(BW1814=0,R1814=0),"Gebinde unbekannt / Stellmass fehlt; ","")&amp;IF(AND(BW1814=0,N(V1814)&lt;=0,N(Q1814)&lt;=0),"Menge pro Gebinde fehlt (Ist = 1 Gebinde); ","")&amp;BR1814)</f>
        <v/>
      </c>
      <c r="BK1814" s="48"/>
      <c r="BL1814" s="48"/>
      <c r="BM1814" s="55"/>
      <c r="BN1814" s="50" t="n">
        <f aca="false">N('Neue Artikel'!$D$75)</f>
        <v>0</v>
      </c>
      <c r="BO1814" s="50" t="n">
        <v>0</v>
      </c>
      <c r="BP1814" s="49" t="n">
        <v>0</v>
      </c>
      <c r="BQ1814" s="50" t="n">
        <f aca="false">N('Neue Artikel'!$C$75)/Parameter!$B$18</f>
        <v>0</v>
      </c>
      <c r="BR1814" s="48"/>
      <c r="BS1814" s="53" t="n">
        <v>1</v>
      </c>
      <c r="BT1814" s="53" t="n">
        <v>1814</v>
      </c>
      <c r="BU1814" s="48" t="str">
        <f aca="false">IF(U1814&lt;&gt;"",UPPER(TRIM(U1814)),IF(BX1814=1,UPPER(VLOOKUP(T1814,Parameter!$I$27:$K$29,2,0)),IF(P1814="","LOSE",P1814)))</f>
        <v>LOSE</v>
      </c>
      <c r="BV1814" s="50" t="n">
        <f aca="false">IF(BU1814="LOSE",1,IF(N(V1814)&gt;0,V1814,IF(BX1814=1,MAX(1,N(VLOOKUP(T1814,Parameter!$I$27:$K$29,3,0)),H1814,N(N1814)),IF(N(Q1814)&gt;0,Q1814,MAX(1,H1814)))))</f>
        <v>1</v>
      </c>
      <c r="BW1814" s="53" t="n">
        <f aca="false">IF(BU1814="LOSE",1,0)</f>
        <v>1</v>
      </c>
      <c r="BX1814" s="53" t="n">
        <f aca="false">IF(AND(U1814="",OR(P1814="",P1814="LOSE"),T1814&lt;&gt;"",N(S1814)&lt;=0,ISNUMBER(MATCH(T1814,Parameter!$I$27:$I$29,0))),1,0)</f>
        <v>0</v>
      </c>
      <c r="BY1814" s="53" t="n">
        <f aca="false">IF(CL1814&gt;0,INDEX(Parameter!$H$5:$H$7,W1814)/INDEX(Parameter!$E$5:$E$7,W1814),IF(AND(BW1814=0,N(IFERROR(VLOOKUP(BU1814,'Gebinde-Kategorie'!$A$5:$N$45,14,0),0))&gt;0),VLOOKUP(BU1814,'Gebinde-Kategorie'!$A$5:$N$45,14,0)*10+Parameter!$M$23,Parameter!$M$24))</f>
        <v>235</v>
      </c>
      <c r="BZ1814" s="48" t="str">
        <f aca="false">IF(AND(Parameter!$B$19="Ja",E1814&lt;&gt;"",ISNUMBER(MATCH(E1814,Parameter!$I$35:$I$52,0))),VLOOKUP(E1814,Parameter!$I$35:$J$52,2,0),IFERROR(VLOOKUP(D1814,Parameter!$A$35:$C$64,2,0),"Nein"))</f>
        <v>2+3</v>
      </c>
      <c r="CA1814" s="52" t="n">
        <f aca="false">IF(BW1814=0,0,IF(N(S1814)&gt;0,S1814,IFERROR(VLOOKUP(D1814,Parameter!$A$35:$C$64,3,0)+0,0)))</f>
        <v>0.15</v>
      </c>
      <c r="CB1814" s="48" t="str">
        <f aca="false">IF(AA1814&lt;&gt;"",AA1814,Z1814)</f>
        <v/>
      </c>
      <c r="CC1814" s="48" t="str">
        <f aca="false">IF(OR(CB1814=1,CB1814=2,CB1814=3),IF(Parameter!$E$27="Ja","LIFT",IF(CB1814=1,"L1","L23")),IF(CB1814="Aussen","Aussen","-"))</f>
        <v>-</v>
      </c>
      <c r="CD1814" s="59" t="n">
        <f aca="false">IF(N(AB1814)&gt;0,AB1814,0)</f>
        <v>0</v>
      </c>
      <c r="CE1814" s="53" t="n">
        <f aca="false">IF(ISNUMBER(AE1814),1,0)</f>
        <v>0</v>
      </c>
      <c r="CF1814" s="50" t="n">
        <f aca="false">N(AE1814)</f>
        <v>0</v>
      </c>
      <c r="CG1814" s="50" t="n">
        <f aca="false">N(M1814)+N(N1814)</f>
        <v>0</v>
      </c>
      <c r="CH1814" s="50" t="n">
        <f aca="false">ROUNDUP(H1814/BV1814,0)</f>
        <v>0</v>
      </c>
      <c r="CI1814" s="50" t="n">
        <f aca="false">ROUNDUP(CF1814/BV1814,0)</f>
        <v>0</v>
      </c>
      <c r="CJ1814" s="53" t="n">
        <f aca="false">IF(BW1814=1,0,IFERROR(VLOOKUP(BU1814,'Gebinde-Kategorie'!$A$5:$N$45,5,0)+0,0))</f>
        <v>0</v>
      </c>
      <c r="CK1814" s="53" t="n">
        <f aca="false">IFERROR(IF(OR(CB1814=1,CB1814=2,CB1814=3),N(INDEX(Parameter!$I$5:$I$7,CB1814)),0),0)</f>
        <v>0</v>
      </c>
      <c r="CL1814" s="52" t="n">
        <f aca="false">IF(AND(Parameter!$B$21="Ja",ISNUMBER(W1814),N(X1814)&gt;0),IFERROR(N(INDEX(Parameter!$L$5:$L$7,W1814))*INDEX(Parameter!$E$5:$E$7,W1814)*X1814/SUMIFS($X$7:$X$1843,$W$7:$W$1843,W1814),0),0)</f>
        <v>0</v>
      </c>
    </row>
    <row r="1815" customFormat="false" ht="15" hidden="false" customHeight="false" outlineLevel="0" collapsed="false">
      <c r="A1815" s="48" t="str">
        <f aca="false">IF('Neue Artikel'!$A$76="","",'Neue Artikel'!$A$76&amp;"")</f>
        <v/>
      </c>
      <c r="B1815" s="48" t="str">
        <f aca="false">'Neue Artikel'!$B$76&amp;""</f>
        <v/>
      </c>
      <c r="C1815" s="48"/>
      <c r="D1815" s="48" t="s">
        <v>3019</v>
      </c>
      <c r="E1815" s="48"/>
      <c r="F1815" s="48"/>
      <c r="G1815" s="49" t="n">
        <f aca="false">N('Neue Artikel'!$G$76)</f>
        <v>0</v>
      </c>
      <c r="H1815" s="50" t="n">
        <f aca="false">MAX(0,IF(AND(Parameter!$B$21="Ja",ISNUMBER(Y1815)),Y1815,IF(Parameter!$B$20="Jahresanfang 2025 + Export",BO1815+BN1815,BN1815)))</f>
        <v>0</v>
      </c>
      <c r="I1815" s="50" t="n">
        <f aca="false">H1815*G1815</f>
        <v>0</v>
      </c>
      <c r="J1815" s="50" t="n">
        <f aca="false">BQ1815*Parameter!$B$18</f>
        <v>0</v>
      </c>
      <c r="K1815" s="51"/>
      <c r="L1815" s="52"/>
      <c r="M1815" s="50" t="n">
        <f aca="false">N('Neue Artikel'!$E$76)</f>
        <v>0</v>
      </c>
      <c r="N1815" s="50" t="n">
        <f aca="false">N('Neue Artikel'!$F$76)</f>
        <v>0</v>
      </c>
      <c r="O1815" s="53"/>
      <c r="P1815" s="48" t="str">
        <f aca="false">IF('Neue Artikel'!$H$76="","LOSE",UPPER(TRIM('Neue Artikel'!$H$76)))</f>
        <v>LOSE</v>
      </c>
      <c r="Q1815" s="50" t="n">
        <f aca="false">N('Neue Artikel'!$I$76)</f>
        <v>0</v>
      </c>
      <c r="R1815" s="53" t="n">
        <f aca="false">IF(BW1815=1,0,IFERROR(VLOOKUP(BU1815,'Gebinde-Kategorie'!$A$5:$N$45,13,0)+0,0))</f>
        <v>0</v>
      </c>
      <c r="S1815" s="54"/>
      <c r="T1815" s="55"/>
      <c r="U1815" s="55"/>
      <c r="V1815" s="55"/>
      <c r="W1815" s="48"/>
      <c r="X1815" s="50"/>
      <c r="Y1815" s="50"/>
      <c r="Z1815" s="48" t="str">
        <f aca="false">IF(A1815="","",IF(AND(Parameter!$B$21="Ja",ISNUMBER(W1815)),W1815,IF(BZ1815="2+3",IF(ISNUMBER(SEARCH("grosser Artikel",BR1815)),2,IFERROR(VLOOKUP(BU1815,Parameter!$F$35:$G$64,2,0),2)),IF(OR(BZ1815="Nein",BZ1815=""),"-",BZ1815))))</f>
        <v/>
      </c>
      <c r="AA1815" s="48" t="str">
        <f aca="false">IF('Neue Artikel'!$J$76="","",'Neue Artikel'!$J$76)</f>
        <v/>
      </c>
      <c r="AB1815" s="56"/>
      <c r="AC1815" s="50" t="n">
        <f aca="false">AT1815</f>
        <v>0</v>
      </c>
      <c r="AD1815" s="50" t="n">
        <f aca="false">MAX(AT1815,H1815)</f>
        <v>0</v>
      </c>
      <c r="AE1815" s="57"/>
      <c r="AF1815" s="50" t="n">
        <f aca="false">IF(LEFT(Cockpit!$C$5,1)="A",H1815,IF(CE1815=1,CF1815,IF(LEFT(Cockpit!$C$5,1)="B",AK1815,MAX(AK1815,H1815))))</f>
        <v>0</v>
      </c>
      <c r="AG1815" s="50" t="n">
        <f aca="false">IF(BW1815=1,0,ROUNDUP(AF1815/BV1815,0))</f>
        <v>0</v>
      </c>
      <c r="AH1815" s="52" t="n">
        <f aca="false">IF(CL1815&gt;0,CL1815*MAX(1,AF1815/X1815),IF(BW1815=1,IF(AF1815&lt;=0,0,CA1815*MAX(1,IF(H1815&gt;0,AF1815/H1815,1))),IF(R1815&gt;0,AG1815/R1815,0))/MAX(0.1,N(Parameter!$M$21)))</f>
        <v>0</v>
      </c>
      <c r="AI1815" s="50" t="n">
        <f aca="false">AH1815*BY1815</f>
        <v>0</v>
      </c>
      <c r="AJ1815" s="50" t="n">
        <f aca="false">AF1815*G1815</f>
        <v>0</v>
      </c>
      <c r="AK1815" s="50" t="n">
        <f aca="false">ROUNDUP(MAX(J1815/IF(CD1815&gt;0,CD1815,MAX(0.1,N(Cockpit!$C$6))),CG1815)/BV1815,0)*BV1815</f>
        <v>0</v>
      </c>
      <c r="AL1815" s="51" t="n">
        <f aca="false">IF(AI1815&gt;0,J1815/AI1815,-1)</f>
        <v>-1</v>
      </c>
      <c r="AM1815" s="51" t="str">
        <f aca="false">IF(AND(OR(CC1815="L1",CC1815="L23",CC1815="LIFT"),AI1815&gt;0),SUMIFS($AI$7:$AI$1843,$CC$7:$CC$1843,CC1815,$AL$7:$AL$1843,"&gt;"&amp;AL1815)+SUMIFS($AI$7:$AI$1843,$CC$7:$CC$1843,CC1815,$AL$7:$AL$1843,AL1815,$BT$7:$BT$1843,"&lt;="&amp;BT1815),"")</f>
        <v/>
      </c>
      <c r="AN1815" s="58" t="n">
        <f aca="false">IF(AM1815="",0,MAX(0,MIN(1,(IF(CC1815="L1",Parameter!$H$5,IF(CC1815="L23",Parameter!$H$6+Parameter!$H$7,Parameter!$H$5+Parameter!$H$6+Parameter!$H$7))-(AM1815-AI1815))/AI1815)))</f>
        <v>0</v>
      </c>
      <c r="AO1815" s="50" t="n">
        <f aca="false">IF(LEFT(Cockpit!$I$5,1)="A",H1815,IF(CE1815=1,CF1815,IF(LEFT(Cockpit!$I$5,1)="B",AT1815,MAX(AT1815,H1815))))</f>
        <v>0</v>
      </c>
      <c r="AP1815" s="50" t="n">
        <f aca="false">IF(BW1815=1,0,ROUNDUP(AO1815/BV1815,0))</f>
        <v>0</v>
      </c>
      <c r="AQ1815" s="52" t="n">
        <f aca="false">IF(CL1815&gt;0,CL1815*MAX(1,AO1815/X1815),IF(BW1815=1,IF(AO1815&lt;=0,0,CA1815*MAX(1,IF(H1815&gt;0,AO1815/H1815,1))),IF(R1815&gt;0,AP1815/R1815,0))/MAX(0.1,N(Parameter!$M$21)))</f>
        <v>0</v>
      </c>
      <c r="AR1815" s="50" t="n">
        <f aca="false">AQ1815*BY1815</f>
        <v>0</v>
      </c>
      <c r="AS1815" s="50" t="n">
        <f aca="false">AO1815*G1815</f>
        <v>0</v>
      </c>
      <c r="AT1815" s="50" t="n">
        <f aca="false">ROUNDUP(MAX(J1815/IF(CD1815&gt;0,CD1815,MAX(0.1,N(Cockpit!$I$6))),CG1815)/BV1815,0)*BV1815</f>
        <v>0</v>
      </c>
      <c r="AU1815" s="51" t="n">
        <f aca="false">IF(AR1815&gt;0,J1815/AR1815,-1)</f>
        <v>-1</v>
      </c>
      <c r="AV1815" s="51" t="str">
        <f aca="false">IF(AND(OR(CC1815="L1",CC1815="L23",CC1815="LIFT"),AR1815&gt;0),SUMIFS($AR$7:$AR$1843,$CC$7:$CC$1843,CC1815,$AU$7:$AU$1843,"&gt;"&amp;AU1815)+SUMIFS($AR$7:$AR$1843,$CC$7:$CC$1843,CC1815,$AU$7:$AU$1843,AU1815,$BT$7:$BT$1843,"&lt;="&amp;BT1815),"")</f>
        <v/>
      </c>
      <c r="AW1815" s="58" t="n">
        <f aca="false">IF(AV1815="",0,MAX(0,MIN(1,(IF(CC1815="L1",Parameter!$H$5,IF(CC1815="L23",Parameter!$H$6+Parameter!$H$7,Parameter!$H$5+Parameter!$H$6+Parameter!$H$7))-(AV1815-AR1815))/AR1815)))</f>
        <v>0</v>
      </c>
      <c r="AX1815" s="50" t="n">
        <f aca="false">IF(LEFT(Cockpit!$O$5,1)="A",H1815,IF(CE1815=1,CF1815,IF(LEFT(Cockpit!$O$5,1)="B",BC1815,MAX(BC1815,H1815))))</f>
        <v>0</v>
      </c>
      <c r="AY1815" s="50" t="n">
        <f aca="false">IF(BW1815=1,0,ROUNDUP(AX1815/BV1815,0))</f>
        <v>0</v>
      </c>
      <c r="AZ1815" s="52" t="n">
        <f aca="false">IF(CL1815&gt;0,CL1815*MAX(1,AX1815/X1815),IF(BW1815=1,IF(AX1815&lt;=0,0,CA1815*MAX(1,IF(H1815&gt;0,AX1815/H1815,1))),IF(R1815&gt;0,AY1815/R1815,0))/MAX(0.1,N(Parameter!$M$21)))</f>
        <v>0</v>
      </c>
      <c r="BA1815" s="50" t="n">
        <f aca="false">AZ1815*BY1815</f>
        <v>0</v>
      </c>
      <c r="BB1815" s="50" t="n">
        <f aca="false">AX1815*G1815</f>
        <v>0</v>
      </c>
      <c r="BC1815" s="50" t="n">
        <f aca="false">ROUNDUP(MAX(J1815/IF(CD1815&gt;0,CD1815,MAX(0.1,N(Cockpit!$O$6))),CG1815)/BV1815,0)*BV1815</f>
        <v>0</v>
      </c>
      <c r="BD1815" s="51" t="n">
        <f aca="false">IF(BA1815&gt;0,J1815/BA1815,-1)</f>
        <v>-1</v>
      </c>
      <c r="BE1815" s="51" t="str">
        <f aca="false">IF(AND(OR(CC1815="L1",CC1815="L23",CC1815="LIFT"),BA1815&gt;0),SUMIFS($BA$7:$BA$1843,$CC$7:$CC$1843,CC1815,$BD$7:$BD$1843,"&gt;"&amp;BD1815)+SUMIFS($BA$7:$BA$1843,$CC$7:$CC$1843,CC1815,$BD$7:$BD$1843,BD1815,$BT$7:$BT$1843,"&lt;="&amp;BT1815),"")</f>
        <v/>
      </c>
      <c r="BF1815" s="58" t="n">
        <f aca="false">IF(BE1815="",0,MAX(0,MIN(1,(IF(CC1815="L1",Parameter!$H$5,IF(CC1815="L23",Parameter!$H$6+Parameter!$H$7,Parameter!$H$5+Parameter!$H$6+Parameter!$H$7))-(BE1815-BA1815))/BA1815)))</f>
        <v>0</v>
      </c>
      <c r="BG1815" s="48" t="str">
        <f aca="false">IF(AI1815&lt;=0,"",IF(CC1815="Aussen","Aussenlager",IF(CC1815="-","Nicht im Lift",IF(AN1815&gt;=1,"Lift",IF(AN1815&lt;=0,"Aussenlager","teilweise")))))</f>
        <v/>
      </c>
      <c r="BH1815" s="48" t="str">
        <f aca="false">IF(AR1815&lt;=0,"",IF(CC1815="Aussen","Aussenlager",IF(CC1815="-","Nicht im Lift",IF(AW1815&gt;=1,"Lift",IF(AW1815&lt;=0,"Aussenlager","teilweise")))))</f>
        <v/>
      </c>
      <c r="BI1815" s="48" t="str">
        <f aca="false">IF(BA1815&lt;=0,"",IF(CC1815="Aussen","Aussenlager",IF(CC1815="-","Nicht im Lift",IF(BF1815&gt;=1,"Lift",IF(BF1815&lt;=0,"Aussenlager","teilweise")))))</f>
        <v/>
      </c>
      <c r="BJ1815" s="48" t="str">
        <f aca="false">IF(A1815="","",IF(BS1815=1,"Neu; ","")&amp;IF(AND(BS1815=0,BN1815&lt;0),"negativer Bestand (Export "&amp;BN1815&amp;"); ","")&amp;IF(J1815&lt;=0,"Kein Verbrauch; ","")&amp;IF(CL1815&gt;0,"Lift "&amp;W1815&amp;" lt. Liftbericht (Fach "&amp;X1815&amp;" Stk); ",IF(BX1815=1,"Gebinde geschätzt ("&amp;T1815&amp;"); ",IF(BW1815=1,"Lose – Tablare geschätzt; ","")))&amp;IF(H1815&gt;AT1815,"Überbestand "&amp;ROUND(H1815-AT1815,0)&amp;" Stk / CHF "&amp;ROUND((H1815-AT1815)*G1815,0)&amp;"; ","")&amp;IF(AND(CE1815=1,CF1815&lt;CG1815),"MAX &lt; MB+LG; ","")&amp;IF(AND(CK1815&gt;0,CJ1815*10&gt;CK1815),"zu hoch für Tablar; ","")&amp;IF(AND(BS1815=0,OR(CE1815=1,AA1815&lt;&gt;"",U1815&lt;&gt;"",V1815&lt;&gt;"",AB1815&lt;&gt;"")),"manuell übersteuert; ","")&amp;IF(AND(BW1815=0,R1815=0),"Gebinde unbekannt / Stellmass fehlt; ","")&amp;IF(AND(BW1815=0,N(V1815)&lt;=0,N(Q1815)&lt;=0),"Menge pro Gebinde fehlt (Ist = 1 Gebinde); ","")&amp;BR1815)</f>
        <v/>
      </c>
      <c r="BK1815" s="48"/>
      <c r="BL1815" s="48"/>
      <c r="BM1815" s="55"/>
      <c r="BN1815" s="50" t="n">
        <f aca="false">N('Neue Artikel'!$D$76)</f>
        <v>0</v>
      </c>
      <c r="BO1815" s="50" t="n">
        <v>0</v>
      </c>
      <c r="BP1815" s="49" t="n">
        <v>0</v>
      </c>
      <c r="BQ1815" s="50" t="n">
        <f aca="false">N('Neue Artikel'!$C$76)/Parameter!$B$18</f>
        <v>0</v>
      </c>
      <c r="BR1815" s="48"/>
      <c r="BS1815" s="53" t="n">
        <v>1</v>
      </c>
      <c r="BT1815" s="53" t="n">
        <v>1815</v>
      </c>
      <c r="BU1815" s="48" t="str">
        <f aca="false">IF(U1815&lt;&gt;"",UPPER(TRIM(U1815)),IF(BX1815=1,UPPER(VLOOKUP(T1815,Parameter!$I$27:$K$29,2,0)),IF(P1815="","LOSE",P1815)))</f>
        <v>LOSE</v>
      </c>
      <c r="BV1815" s="50" t="n">
        <f aca="false">IF(BU1815="LOSE",1,IF(N(V1815)&gt;0,V1815,IF(BX1815=1,MAX(1,N(VLOOKUP(T1815,Parameter!$I$27:$K$29,3,0)),H1815,N(N1815)),IF(N(Q1815)&gt;0,Q1815,MAX(1,H1815)))))</f>
        <v>1</v>
      </c>
      <c r="BW1815" s="53" t="n">
        <f aca="false">IF(BU1815="LOSE",1,0)</f>
        <v>1</v>
      </c>
      <c r="BX1815" s="53" t="n">
        <f aca="false">IF(AND(U1815="",OR(P1815="",P1815="LOSE"),T1815&lt;&gt;"",N(S1815)&lt;=0,ISNUMBER(MATCH(T1815,Parameter!$I$27:$I$29,0))),1,0)</f>
        <v>0</v>
      </c>
      <c r="BY1815" s="53" t="n">
        <f aca="false">IF(CL1815&gt;0,INDEX(Parameter!$H$5:$H$7,W1815)/INDEX(Parameter!$E$5:$E$7,W1815),IF(AND(BW1815=0,N(IFERROR(VLOOKUP(BU1815,'Gebinde-Kategorie'!$A$5:$N$45,14,0),0))&gt;0),VLOOKUP(BU1815,'Gebinde-Kategorie'!$A$5:$N$45,14,0)*10+Parameter!$M$23,Parameter!$M$24))</f>
        <v>235</v>
      </c>
      <c r="BZ1815" s="48" t="str">
        <f aca="false">IF(AND(Parameter!$B$19="Ja",E1815&lt;&gt;"",ISNUMBER(MATCH(E1815,Parameter!$I$35:$I$52,0))),VLOOKUP(E1815,Parameter!$I$35:$J$52,2,0),IFERROR(VLOOKUP(D1815,Parameter!$A$35:$C$64,2,0),"Nein"))</f>
        <v>2+3</v>
      </c>
      <c r="CA1815" s="52" t="n">
        <f aca="false">IF(BW1815=0,0,IF(N(S1815)&gt;0,S1815,IFERROR(VLOOKUP(D1815,Parameter!$A$35:$C$64,3,0)+0,0)))</f>
        <v>0.15</v>
      </c>
      <c r="CB1815" s="48" t="str">
        <f aca="false">IF(AA1815&lt;&gt;"",AA1815,Z1815)</f>
        <v/>
      </c>
      <c r="CC1815" s="48" t="str">
        <f aca="false">IF(OR(CB1815=1,CB1815=2,CB1815=3),IF(Parameter!$E$27="Ja","LIFT",IF(CB1815=1,"L1","L23")),IF(CB1815="Aussen","Aussen","-"))</f>
        <v>-</v>
      </c>
      <c r="CD1815" s="59" t="n">
        <f aca="false">IF(N(AB1815)&gt;0,AB1815,0)</f>
        <v>0</v>
      </c>
      <c r="CE1815" s="53" t="n">
        <f aca="false">IF(ISNUMBER(AE1815),1,0)</f>
        <v>0</v>
      </c>
      <c r="CF1815" s="50" t="n">
        <f aca="false">N(AE1815)</f>
        <v>0</v>
      </c>
      <c r="CG1815" s="50" t="n">
        <f aca="false">N(M1815)+N(N1815)</f>
        <v>0</v>
      </c>
      <c r="CH1815" s="50" t="n">
        <f aca="false">ROUNDUP(H1815/BV1815,0)</f>
        <v>0</v>
      </c>
      <c r="CI1815" s="50" t="n">
        <f aca="false">ROUNDUP(CF1815/BV1815,0)</f>
        <v>0</v>
      </c>
      <c r="CJ1815" s="53" t="n">
        <f aca="false">IF(BW1815=1,0,IFERROR(VLOOKUP(BU1815,'Gebinde-Kategorie'!$A$5:$N$45,5,0)+0,0))</f>
        <v>0</v>
      </c>
      <c r="CK1815" s="53" t="n">
        <f aca="false">IFERROR(IF(OR(CB1815=1,CB1815=2,CB1815=3),N(INDEX(Parameter!$I$5:$I$7,CB1815)),0),0)</f>
        <v>0</v>
      </c>
      <c r="CL1815" s="52" t="n">
        <f aca="false">IF(AND(Parameter!$B$21="Ja",ISNUMBER(W1815),N(X1815)&gt;0),IFERROR(N(INDEX(Parameter!$L$5:$L$7,W1815))*INDEX(Parameter!$E$5:$E$7,W1815)*X1815/SUMIFS($X$7:$X$1843,$W$7:$W$1843,W1815),0),0)</f>
        <v>0</v>
      </c>
    </row>
    <row r="1816" customFormat="false" ht="15" hidden="false" customHeight="false" outlineLevel="0" collapsed="false">
      <c r="A1816" s="48" t="str">
        <f aca="false">IF('Neue Artikel'!$A$77="","",'Neue Artikel'!$A$77&amp;"")</f>
        <v/>
      </c>
      <c r="B1816" s="48" t="str">
        <f aca="false">'Neue Artikel'!$B$77&amp;""</f>
        <v/>
      </c>
      <c r="C1816" s="48"/>
      <c r="D1816" s="48" t="s">
        <v>3019</v>
      </c>
      <c r="E1816" s="48"/>
      <c r="F1816" s="48"/>
      <c r="G1816" s="49" t="n">
        <f aca="false">N('Neue Artikel'!$G$77)</f>
        <v>0</v>
      </c>
      <c r="H1816" s="50" t="n">
        <f aca="false">MAX(0,IF(AND(Parameter!$B$21="Ja",ISNUMBER(Y1816)),Y1816,IF(Parameter!$B$20="Jahresanfang 2025 + Export",BO1816+BN1816,BN1816)))</f>
        <v>0</v>
      </c>
      <c r="I1816" s="50" t="n">
        <f aca="false">H1816*G1816</f>
        <v>0</v>
      </c>
      <c r="J1816" s="50" t="n">
        <f aca="false">BQ1816*Parameter!$B$18</f>
        <v>0</v>
      </c>
      <c r="K1816" s="51"/>
      <c r="L1816" s="52"/>
      <c r="M1816" s="50" t="n">
        <f aca="false">N('Neue Artikel'!$E$77)</f>
        <v>0</v>
      </c>
      <c r="N1816" s="50" t="n">
        <f aca="false">N('Neue Artikel'!$F$77)</f>
        <v>0</v>
      </c>
      <c r="O1816" s="53"/>
      <c r="P1816" s="48" t="str">
        <f aca="false">IF('Neue Artikel'!$H$77="","LOSE",UPPER(TRIM('Neue Artikel'!$H$77)))</f>
        <v>LOSE</v>
      </c>
      <c r="Q1816" s="50" t="n">
        <f aca="false">N('Neue Artikel'!$I$77)</f>
        <v>0</v>
      </c>
      <c r="R1816" s="53" t="n">
        <f aca="false">IF(BW1816=1,0,IFERROR(VLOOKUP(BU1816,'Gebinde-Kategorie'!$A$5:$N$45,13,0)+0,0))</f>
        <v>0</v>
      </c>
      <c r="S1816" s="54"/>
      <c r="T1816" s="55"/>
      <c r="U1816" s="55"/>
      <c r="V1816" s="55"/>
      <c r="W1816" s="48"/>
      <c r="X1816" s="50"/>
      <c r="Y1816" s="50"/>
      <c r="Z1816" s="48" t="str">
        <f aca="false">IF(A1816="","",IF(AND(Parameter!$B$21="Ja",ISNUMBER(W1816)),W1816,IF(BZ1816="2+3",IF(ISNUMBER(SEARCH("grosser Artikel",BR1816)),2,IFERROR(VLOOKUP(BU1816,Parameter!$F$35:$G$64,2,0),2)),IF(OR(BZ1816="Nein",BZ1816=""),"-",BZ1816))))</f>
        <v/>
      </c>
      <c r="AA1816" s="48" t="str">
        <f aca="false">IF('Neue Artikel'!$J$77="","",'Neue Artikel'!$J$77)</f>
        <v/>
      </c>
      <c r="AB1816" s="56"/>
      <c r="AC1816" s="50" t="n">
        <f aca="false">AT1816</f>
        <v>0</v>
      </c>
      <c r="AD1816" s="50" t="n">
        <f aca="false">MAX(AT1816,H1816)</f>
        <v>0</v>
      </c>
      <c r="AE1816" s="57"/>
      <c r="AF1816" s="50" t="n">
        <f aca="false">IF(LEFT(Cockpit!$C$5,1)="A",H1816,IF(CE1816=1,CF1816,IF(LEFT(Cockpit!$C$5,1)="B",AK1816,MAX(AK1816,H1816))))</f>
        <v>0</v>
      </c>
      <c r="AG1816" s="50" t="n">
        <f aca="false">IF(BW1816=1,0,ROUNDUP(AF1816/BV1816,0))</f>
        <v>0</v>
      </c>
      <c r="AH1816" s="52" t="n">
        <f aca="false">IF(CL1816&gt;0,CL1816*MAX(1,AF1816/X1816),IF(BW1816=1,IF(AF1816&lt;=0,0,CA1816*MAX(1,IF(H1816&gt;0,AF1816/H1816,1))),IF(R1816&gt;0,AG1816/R1816,0))/MAX(0.1,N(Parameter!$M$21)))</f>
        <v>0</v>
      </c>
      <c r="AI1816" s="50" t="n">
        <f aca="false">AH1816*BY1816</f>
        <v>0</v>
      </c>
      <c r="AJ1816" s="50" t="n">
        <f aca="false">AF1816*G1816</f>
        <v>0</v>
      </c>
      <c r="AK1816" s="50" t="n">
        <f aca="false">ROUNDUP(MAX(J1816/IF(CD1816&gt;0,CD1816,MAX(0.1,N(Cockpit!$C$6))),CG1816)/BV1816,0)*BV1816</f>
        <v>0</v>
      </c>
      <c r="AL1816" s="51" t="n">
        <f aca="false">IF(AI1816&gt;0,J1816/AI1816,-1)</f>
        <v>-1</v>
      </c>
      <c r="AM1816" s="51" t="str">
        <f aca="false">IF(AND(OR(CC1816="L1",CC1816="L23",CC1816="LIFT"),AI1816&gt;0),SUMIFS($AI$7:$AI$1843,$CC$7:$CC$1843,CC1816,$AL$7:$AL$1843,"&gt;"&amp;AL1816)+SUMIFS($AI$7:$AI$1843,$CC$7:$CC$1843,CC1816,$AL$7:$AL$1843,AL1816,$BT$7:$BT$1843,"&lt;="&amp;BT1816),"")</f>
        <v/>
      </c>
      <c r="AN1816" s="58" t="n">
        <f aca="false">IF(AM1816="",0,MAX(0,MIN(1,(IF(CC1816="L1",Parameter!$H$5,IF(CC1816="L23",Parameter!$H$6+Parameter!$H$7,Parameter!$H$5+Parameter!$H$6+Parameter!$H$7))-(AM1816-AI1816))/AI1816)))</f>
        <v>0</v>
      </c>
      <c r="AO1816" s="50" t="n">
        <f aca="false">IF(LEFT(Cockpit!$I$5,1)="A",H1816,IF(CE1816=1,CF1816,IF(LEFT(Cockpit!$I$5,1)="B",AT1816,MAX(AT1816,H1816))))</f>
        <v>0</v>
      </c>
      <c r="AP1816" s="50" t="n">
        <f aca="false">IF(BW1816=1,0,ROUNDUP(AO1816/BV1816,0))</f>
        <v>0</v>
      </c>
      <c r="AQ1816" s="52" t="n">
        <f aca="false">IF(CL1816&gt;0,CL1816*MAX(1,AO1816/X1816),IF(BW1816=1,IF(AO1816&lt;=0,0,CA1816*MAX(1,IF(H1816&gt;0,AO1816/H1816,1))),IF(R1816&gt;0,AP1816/R1816,0))/MAX(0.1,N(Parameter!$M$21)))</f>
        <v>0</v>
      </c>
      <c r="AR1816" s="50" t="n">
        <f aca="false">AQ1816*BY1816</f>
        <v>0</v>
      </c>
      <c r="AS1816" s="50" t="n">
        <f aca="false">AO1816*G1816</f>
        <v>0</v>
      </c>
      <c r="AT1816" s="50" t="n">
        <f aca="false">ROUNDUP(MAX(J1816/IF(CD1816&gt;0,CD1816,MAX(0.1,N(Cockpit!$I$6))),CG1816)/BV1816,0)*BV1816</f>
        <v>0</v>
      </c>
      <c r="AU1816" s="51" t="n">
        <f aca="false">IF(AR1816&gt;0,J1816/AR1816,-1)</f>
        <v>-1</v>
      </c>
      <c r="AV1816" s="51" t="str">
        <f aca="false">IF(AND(OR(CC1816="L1",CC1816="L23",CC1816="LIFT"),AR1816&gt;0),SUMIFS($AR$7:$AR$1843,$CC$7:$CC$1843,CC1816,$AU$7:$AU$1843,"&gt;"&amp;AU1816)+SUMIFS($AR$7:$AR$1843,$CC$7:$CC$1843,CC1816,$AU$7:$AU$1843,AU1816,$BT$7:$BT$1843,"&lt;="&amp;BT1816),"")</f>
        <v/>
      </c>
      <c r="AW1816" s="58" t="n">
        <f aca="false">IF(AV1816="",0,MAX(0,MIN(1,(IF(CC1816="L1",Parameter!$H$5,IF(CC1816="L23",Parameter!$H$6+Parameter!$H$7,Parameter!$H$5+Parameter!$H$6+Parameter!$H$7))-(AV1816-AR1816))/AR1816)))</f>
        <v>0</v>
      </c>
      <c r="AX1816" s="50" t="n">
        <f aca="false">IF(LEFT(Cockpit!$O$5,1)="A",H1816,IF(CE1816=1,CF1816,IF(LEFT(Cockpit!$O$5,1)="B",BC1816,MAX(BC1816,H1816))))</f>
        <v>0</v>
      </c>
      <c r="AY1816" s="50" t="n">
        <f aca="false">IF(BW1816=1,0,ROUNDUP(AX1816/BV1816,0))</f>
        <v>0</v>
      </c>
      <c r="AZ1816" s="52" t="n">
        <f aca="false">IF(CL1816&gt;0,CL1816*MAX(1,AX1816/X1816),IF(BW1816=1,IF(AX1816&lt;=0,0,CA1816*MAX(1,IF(H1816&gt;0,AX1816/H1816,1))),IF(R1816&gt;0,AY1816/R1816,0))/MAX(0.1,N(Parameter!$M$21)))</f>
        <v>0</v>
      </c>
      <c r="BA1816" s="50" t="n">
        <f aca="false">AZ1816*BY1816</f>
        <v>0</v>
      </c>
      <c r="BB1816" s="50" t="n">
        <f aca="false">AX1816*G1816</f>
        <v>0</v>
      </c>
      <c r="BC1816" s="50" t="n">
        <f aca="false">ROUNDUP(MAX(J1816/IF(CD1816&gt;0,CD1816,MAX(0.1,N(Cockpit!$O$6))),CG1816)/BV1816,0)*BV1816</f>
        <v>0</v>
      </c>
      <c r="BD1816" s="51" t="n">
        <f aca="false">IF(BA1816&gt;0,J1816/BA1816,-1)</f>
        <v>-1</v>
      </c>
      <c r="BE1816" s="51" t="str">
        <f aca="false">IF(AND(OR(CC1816="L1",CC1816="L23",CC1816="LIFT"),BA1816&gt;0),SUMIFS($BA$7:$BA$1843,$CC$7:$CC$1843,CC1816,$BD$7:$BD$1843,"&gt;"&amp;BD1816)+SUMIFS($BA$7:$BA$1843,$CC$7:$CC$1843,CC1816,$BD$7:$BD$1843,BD1816,$BT$7:$BT$1843,"&lt;="&amp;BT1816),"")</f>
        <v/>
      </c>
      <c r="BF1816" s="58" t="n">
        <f aca="false">IF(BE1816="",0,MAX(0,MIN(1,(IF(CC1816="L1",Parameter!$H$5,IF(CC1816="L23",Parameter!$H$6+Parameter!$H$7,Parameter!$H$5+Parameter!$H$6+Parameter!$H$7))-(BE1816-BA1816))/BA1816)))</f>
        <v>0</v>
      </c>
      <c r="BG1816" s="48" t="str">
        <f aca="false">IF(AI1816&lt;=0,"",IF(CC1816="Aussen","Aussenlager",IF(CC1816="-","Nicht im Lift",IF(AN1816&gt;=1,"Lift",IF(AN1816&lt;=0,"Aussenlager","teilweise")))))</f>
        <v/>
      </c>
      <c r="BH1816" s="48" t="str">
        <f aca="false">IF(AR1816&lt;=0,"",IF(CC1816="Aussen","Aussenlager",IF(CC1816="-","Nicht im Lift",IF(AW1816&gt;=1,"Lift",IF(AW1816&lt;=0,"Aussenlager","teilweise")))))</f>
        <v/>
      </c>
      <c r="BI1816" s="48" t="str">
        <f aca="false">IF(BA1816&lt;=0,"",IF(CC1816="Aussen","Aussenlager",IF(CC1816="-","Nicht im Lift",IF(BF1816&gt;=1,"Lift",IF(BF1816&lt;=0,"Aussenlager","teilweise")))))</f>
        <v/>
      </c>
      <c r="BJ1816" s="48" t="str">
        <f aca="false">IF(A1816="","",IF(BS1816=1,"Neu; ","")&amp;IF(AND(BS1816=0,BN1816&lt;0),"negativer Bestand (Export "&amp;BN1816&amp;"); ","")&amp;IF(J1816&lt;=0,"Kein Verbrauch; ","")&amp;IF(CL1816&gt;0,"Lift "&amp;W1816&amp;" lt. Liftbericht (Fach "&amp;X1816&amp;" Stk); ",IF(BX1816=1,"Gebinde geschätzt ("&amp;T1816&amp;"); ",IF(BW1816=1,"Lose – Tablare geschätzt; ","")))&amp;IF(H1816&gt;AT1816,"Überbestand "&amp;ROUND(H1816-AT1816,0)&amp;" Stk / CHF "&amp;ROUND((H1816-AT1816)*G1816,0)&amp;"; ","")&amp;IF(AND(CE1816=1,CF1816&lt;CG1816),"MAX &lt; MB+LG; ","")&amp;IF(AND(CK1816&gt;0,CJ1816*10&gt;CK1816),"zu hoch für Tablar; ","")&amp;IF(AND(BS1816=0,OR(CE1816=1,AA1816&lt;&gt;"",U1816&lt;&gt;"",V1816&lt;&gt;"",AB1816&lt;&gt;"")),"manuell übersteuert; ","")&amp;IF(AND(BW1816=0,R1816=0),"Gebinde unbekannt / Stellmass fehlt; ","")&amp;IF(AND(BW1816=0,N(V1816)&lt;=0,N(Q1816)&lt;=0),"Menge pro Gebinde fehlt (Ist = 1 Gebinde); ","")&amp;BR1816)</f>
        <v/>
      </c>
      <c r="BK1816" s="48"/>
      <c r="BL1816" s="48"/>
      <c r="BM1816" s="55"/>
      <c r="BN1816" s="50" t="n">
        <f aca="false">N('Neue Artikel'!$D$77)</f>
        <v>0</v>
      </c>
      <c r="BO1816" s="50" t="n">
        <v>0</v>
      </c>
      <c r="BP1816" s="49" t="n">
        <v>0</v>
      </c>
      <c r="BQ1816" s="50" t="n">
        <f aca="false">N('Neue Artikel'!$C$77)/Parameter!$B$18</f>
        <v>0</v>
      </c>
      <c r="BR1816" s="48"/>
      <c r="BS1816" s="53" t="n">
        <v>1</v>
      </c>
      <c r="BT1816" s="53" t="n">
        <v>1816</v>
      </c>
      <c r="BU1816" s="48" t="str">
        <f aca="false">IF(U1816&lt;&gt;"",UPPER(TRIM(U1816)),IF(BX1816=1,UPPER(VLOOKUP(T1816,Parameter!$I$27:$K$29,2,0)),IF(P1816="","LOSE",P1816)))</f>
        <v>LOSE</v>
      </c>
      <c r="BV1816" s="50" t="n">
        <f aca="false">IF(BU1816="LOSE",1,IF(N(V1816)&gt;0,V1816,IF(BX1816=1,MAX(1,N(VLOOKUP(T1816,Parameter!$I$27:$K$29,3,0)),H1816,N(N1816)),IF(N(Q1816)&gt;0,Q1816,MAX(1,H1816)))))</f>
        <v>1</v>
      </c>
      <c r="BW1816" s="53" t="n">
        <f aca="false">IF(BU1816="LOSE",1,0)</f>
        <v>1</v>
      </c>
      <c r="BX1816" s="53" t="n">
        <f aca="false">IF(AND(U1816="",OR(P1816="",P1816="LOSE"),T1816&lt;&gt;"",N(S1816)&lt;=0,ISNUMBER(MATCH(T1816,Parameter!$I$27:$I$29,0))),1,0)</f>
        <v>0</v>
      </c>
      <c r="BY1816" s="53" t="n">
        <f aca="false">IF(CL1816&gt;0,INDEX(Parameter!$H$5:$H$7,W1816)/INDEX(Parameter!$E$5:$E$7,W1816),IF(AND(BW1816=0,N(IFERROR(VLOOKUP(BU1816,'Gebinde-Kategorie'!$A$5:$N$45,14,0),0))&gt;0),VLOOKUP(BU1816,'Gebinde-Kategorie'!$A$5:$N$45,14,0)*10+Parameter!$M$23,Parameter!$M$24))</f>
        <v>235</v>
      </c>
      <c r="BZ1816" s="48" t="str">
        <f aca="false">IF(AND(Parameter!$B$19="Ja",E1816&lt;&gt;"",ISNUMBER(MATCH(E1816,Parameter!$I$35:$I$52,0))),VLOOKUP(E1816,Parameter!$I$35:$J$52,2,0),IFERROR(VLOOKUP(D1816,Parameter!$A$35:$C$64,2,0),"Nein"))</f>
        <v>2+3</v>
      </c>
      <c r="CA1816" s="52" t="n">
        <f aca="false">IF(BW1816=0,0,IF(N(S1816)&gt;0,S1816,IFERROR(VLOOKUP(D1816,Parameter!$A$35:$C$64,3,0)+0,0)))</f>
        <v>0.15</v>
      </c>
      <c r="CB1816" s="48" t="str">
        <f aca="false">IF(AA1816&lt;&gt;"",AA1816,Z1816)</f>
        <v/>
      </c>
      <c r="CC1816" s="48" t="str">
        <f aca="false">IF(OR(CB1816=1,CB1816=2,CB1816=3),IF(Parameter!$E$27="Ja","LIFT",IF(CB1816=1,"L1","L23")),IF(CB1816="Aussen","Aussen","-"))</f>
        <v>-</v>
      </c>
      <c r="CD1816" s="59" t="n">
        <f aca="false">IF(N(AB1816)&gt;0,AB1816,0)</f>
        <v>0</v>
      </c>
      <c r="CE1816" s="53" t="n">
        <f aca="false">IF(ISNUMBER(AE1816),1,0)</f>
        <v>0</v>
      </c>
      <c r="CF1816" s="50" t="n">
        <f aca="false">N(AE1816)</f>
        <v>0</v>
      </c>
      <c r="CG1816" s="50" t="n">
        <f aca="false">N(M1816)+N(N1816)</f>
        <v>0</v>
      </c>
      <c r="CH1816" s="50" t="n">
        <f aca="false">ROUNDUP(H1816/BV1816,0)</f>
        <v>0</v>
      </c>
      <c r="CI1816" s="50" t="n">
        <f aca="false">ROUNDUP(CF1816/BV1816,0)</f>
        <v>0</v>
      </c>
      <c r="CJ1816" s="53" t="n">
        <f aca="false">IF(BW1816=1,0,IFERROR(VLOOKUP(BU1816,'Gebinde-Kategorie'!$A$5:$N$45,5,0)+0,0))</f>
        <v>0</v>
      </c>
      <c r="CK1816" s="53" t="n">
        <f aca="false">IFERROR(IF(OR(CB1816=1,CB1816=2,CB1816=3),N(INDEX(Parameter!$I$5:$I$7,CB1816)),0),0)</f>
        <v>0</v>
      </c>
      <c r="CL1816" s="52" t="n">
        <f aca="false">IF(AND(Parameter!$B$21="Ja",ISNUMBER(W1816),N(X1816)&gt;0),IFERROR(N(INDEX(Parameter!$L$5:$L$7,W1816))*INDEX(Parameter!$E$5:$E$7,W1816)*X1816/SUMIFS($X$7:$X$1843,$W$7:$W$1843,W1816),0),0)</f>
        <v>0</v>
      </c>
    </row>
    <row r="1817" customFormat="false" ht="15" hidden="false" customHeight="false" outlineLevel="0" collapsed="false">
      <c r="A1817" s="48" t="str">
        <f aca="false">IF('Neue Artikel'!$A$78="","",'Neue Artikel'!$A$78&amp;"")</f>
        <v/>
      </c>
      <c r="B1817" s="48" t="str">
        <f aca="false">'Neue Artikel'!$B$78&amp;""</f>
        <v/>
      </c>
      <c r="C1817" s="48"/>
      <c r="D1817" s="48" t="s">
        <v>3019</v>
      </c>
      <c r="E1817" s="48"/>
      <c r="F1817" s="48"/>
      <c r="G1817" s="49" t="n">
        <f aca="false">N('Neue Artikel'!$G$78)</f>
        <v>0</v>
      </c>
      <c r="H1817" s="50" t="n">
        <f aca="false">MAX(0,IF(AND(Parameter!$B$21="Ja",ISNUMBER(Y1817)),Y1817,IF(Parameter!$B$20="Jahresanfang 2025 + Export",BO1817+BN1817,BN1817)))</f>
        <v>0</v>
      </c>
      <c r="I1817" s="50" t="n">
        <f aca="false">H1817*G1817</f>
        <v>0</v>
      </c>
      <c r="J1817" s="50" t="n">
        <f aca="false">BQ1817*Parameter!$B$18</f>
        <v>0</v>
      </c>
      <c r="K1817" s="51"/>
      <c r="L1817" s="52"/>
      <c r="M1817" s="50" t="n">
        <f aca="false">N('Neue Artikel'!$E$78)</f>
        <v>0</v>
      </c>
      <c r="N1817" s="50" t="n">
        <f aca="false">N('Neue Artikel'!$F$78)</f>
        <v>0</v>
      </c>
      <c r="O1817" s="53"/>
      <c r="P1817" s="48" t="str">
        <f aca="false">IF('Neue Artikel'!$H$78="","LOSE",UPPER(TRIM('Neue Artikel'!$H$78)))</f>
        <v>LOSE</v>
      </c>
      <c r="Q1817" s="50" t="n">
        <f aca="false">N('Neue Artikel'!$I$78)</f>
        <v>0</v>
      </c>
      <c r="R1817" s="53" t="n">
        <f aca="false">IF(BW1817=1,0,IFERROR(VLOOKUP(BU1817,'Gebinde-Kategorie'!$A$5:$N$45,13,0)+0,0))</f>
        <v>0</v>
      </c>
      <c r="S1817" s="54"/>
      <c r="T1817" s="55"/>
      <c r="U1817" s="55"/>
      <c r="V1817" s="55"/>
      <c r="W1817" s="48"/>
      <c r="X1817" s="50"/>
      <c r="Y1817" s="50"/>
      <c r="Z1817" s="48" t="str">
        <f aca="false">IF(A1817="","",IF(AND(Parameter!$B$21="Ja",ISNUMBER(W1817)),W1817,IF(BZ1817="2+3",IF(ISNUMBER(SEARCH("grosser Artikel",BR1817)),2,IFERROR(VLOOKUP(BU1817,Parameter!$F$35:$G$64,2,0),2)),IF(OR(BZ1817="Nein",BZ1817=""),"-",BZ1817))))</f>
        <v/>
      </c>
      <c r="AA1817" s="48" t="str">
        <f aca="false">IF('Neue Artikel'!$J$78="","",'Neue Artikel'!$J$78)</f>
        <v/>
      </c>
      <c r="AB1817" s="56"/>
      <c r="AC1817" s="50" t="n">
        <f aca="false">AT1817</f>
        <v>0</v>
      </c>
      <c r="AD1817" s="50" t="n">
        <f aca="false">MAX(AT1817,H1817)</f>
        <v>0</v>
      </c>
      <c r="AE1817" s="57"/>
      <c r="AF1817" s="50" t="n">
        <f aca="false">IF(LEFT(Cockpit!$C$5,1)="A",H1817,IF(CE1817=1,CF1817,IF(LEFT(Cockpit!$C$5,1)="B",AK1817,MAX(AK1817,H1817))))</f>
        <v>0</v>
      </c>
      <c r="AG1817" s="50" t="n">
        <f aca="false">IF(BW1817=1,0,ROUNDUP(AF1817/BV1817,0))</f>
        <v>0</v>
      </c>
      <c r="AH1817" s="52" t="n">
        <f aca="false">IF(CL1817&gt;0,CL1817*MAX(1,AF1817/X1817),IF(BW1817=1,IF(AF1817&lt;=0,0,CA1817*MAX(1,IF(H1817&gt;0,AF1817/H1817,1))),IF(R1817&gt;0,AG1817/R1817,0))/MAX(0.1,N(Parameter!$M$21)))</f>
        <v>0</v>
      </c>
      <c r="AI1817" s="50" t="n">
        <f aca="false">AH1817*BY1817</f>
        <v>0</v>
      </c>
      <c r="AJ1817" s="50" t="n">
        <f aca="false">AF1817*G1817</f>
        <v>0</v>
      </c>
      <c r="AK1817" s="50" t="n">
        <f aca="false">ROUNDUP(MAX(J1817/IF(CD1817&gt;0,CD1817,MAX(0.1,N(Cockpit!$C$6))),CG1817)/BV1817,0)*BV1817</f>
        <v>0</v>
      </c>
      <c r="AL1817" s="51" t="n">
        <f aca="false">IF(AI1817&gt;0,J1817/AI1817,-1)</f>
        <v>-1</v>
      </c>
      <c r="AM1817" s="51" t="str">
        <f aca="false">IF(AND(OR(CC1817="L1",CC1817="L23",CC1817="LIFT"),AI1817&gt;0),SUMIFS($AI$7:$AI$1843,$CC$7:$CC$1843,CC1817,$AL$7:$AL$1843,"&gt;"&amp;AL1817)+SUMIFS($AI$7:$AI$1843,$CC$7:$CC$1843,CC1817,$AL$7:$AL$1843,AL1817,$BT$7:$BT$1843,"&lt;="&amp;BT1817),"")</f>
        <v/>
      </c>
      <c r="AN1817" s="58" t="n">
        <f aca="false">IF(AM1817="",0,MAX(0,MIN(1,(IF(CC1817="L1",Parameter!$H$5,IF(CC1817="L23",Parameter!$H$6+Parameter!$H$7,Parameter!$H$5+Parameter!$H$6+Parameter!$H$7))-(AM1817-AI1817))/AI1817)))</f>
        <v>0</v>
      </c>
      <c r="AO1817" s="50" t="n">
        <f aca="false">IF(LEFT(Cockpit!$I$5,1)="A",H1817,IF(CE1817=1,CF1817,IF(LEFT(Cockpit!$I$5,1)="B",AT1817,MAX(AT1817,H1817))))</f>
        <v>0</v>
      </c>
      <c r="AP1817" s="50" t="n">
        <f aca="false">IF(BW1817=1,0,ROUNDUP(AO1817/BV1817,0))</f>
        <v>0</v>
      </c>
      <c r="AQ1817" s="52" t="n">
        <f aca="false">IF(CL1817&gt;0,CL1817*MAX(1,AO1817/X1817),IF(BW1817=1,IF(AO1817&lt;=0,0,CA1817*MAX(1,IF(H1817&gt;0,AO1817/H1817,1))),IF(R1817&gt;0,AP1817/R1817,0))/MAX(0.1,N(Parameter!$M$21)))</f>
        <v>0</v>
      </c>
      <c r="AR1817" s="50" t="n">
        <f aca="false">AQ1817*BY1817</f>
        <v>0</v>
      </c>
      <c r="AS1817" s="50" t="n">
        <f aca="false">AO1817*G1817</f>
        <v>0</v>
      </c>
      <c r="AT1817" s="50" t="n">
        <f aca="false">ROUNDUP(MAX(J1817/IF(CD1817&gt;0,CD1817,MAX(0.1,N(Cockpit!$I$6))),CG1817)/BV1817,0)*BV1817</f>
        <v>0</v>
      </c>
      <c r="AU1817" s="51" t="n">
        <f aca="false">IF(AR1817&gt;0,J1817/AR1817,-1)</f>
        <v>-1</v>
      </c>
      <c r="AV1817" s="51" t="str">
        <f aca="false">IF(AND(OR(CC1817="L1",CC1817="L23",CC1817="LIFT"),AR1817&gt;0),SUMIFS($AR$7:$AR$1843,$CC$7:$CC$1843,CC1817,$AU$7:$AU$1843,"&gt;"&amp;AU1817)+SUMIFS($AR$7:$AR$1843,$CC$7:$CC$1843,CC1817,$AU$7:$AU$1843,AU1817,$BT$7:$BT$1843,"&lt;="&amp;BT1817),"")</f>
        <v/>
      </c>
      <c r="AW1817" s="58" t="n">
        <f aca="false">IF(AV1817="",0,MAX(0,MIN(1,(IF(CC1817="L1",Parameter!$H$5,IF(CC1817="L23",Parameter!$H$6+Parameter!$H$7,Parameter!$H$5+Parameter!$H$6+Parameter!$H$7))-(AV1817-AR1817))/AR1817)))</f>
        <v>0</v>
      </c>
      <c r="AX1817" s="50" t="n">
        <f aca="false">IF(LEFT(Cockpit!$O$5,1)="A",H1817,IF(CE1817=1,CF1817,IF(LEFT(Cockpit!$O$5,1)="B",BC1817,MAX(BC1817,H1817))))</f>
        <v>0</v>
      </c>
      <c r="AY1817" s="50" t="n">
        <f aca="false">IF(BW1817=1,0,ROUNDUP(AX1817/BV1817,0))</f>
        <v>0</v>
      </c>
      <c r="AZ1817" s="52" t="n">
        <f aca="false">IF(CL1817&gt;0,CL1817*MAX(1,AX1817/X1817),IF(BW1817=1,IF(AX1817&lt;=0,0,CA1817*MAX(1,IF(H1817&gt;0,AX1817/H1817,1))),IF(R1817&gt;0,AY1817/R1817,0))/MAX(0.1,N(Parameter!$M$21)))</f>
        <v>0</v>
      </c>
      <c r="BA1817" s="50" t="n">
        <f aca="false">AZ1817*BY1817</f>
        <v>0</v>
      </c>
      <c r="BB1817" s="50" t="n">
        <f aca="false">AX1817*G1817</f>
        <v>0</v>
      </c>
      <c r="BC1817" s="50" t="n">
        <f aca="false">ROUNDUP(MAX(J1817/IF(CD1817&gt;0,CD1817,MAX(0.1,N(Cockpit!$O$6))),CG1817)/BV1817,0)*BV1817</f>
        <v>0</v>
      </c>
      <c r="BD1817" s="51" t="n">
        <f aca="false">IF(BA1817&gt;0,J1817/BA1817,-1)</f>
        <v>-1</v>
      </c>
      <c r="BE1817" s="51" t="str">
        <f aca="false">IF(AND(OR(CC1817="L1",CC1817="L23",CC1817="LIFT"),BA1817&gt;0),SUMIFS($BA$7:$BA$1843,$CC$7:$CC$1843,CC1817,$BD$7:$BD$1843,"&gt;"&amp;BD1817)+SUMIFS($BA$7:$BA$1843,$CC$7:$CC$1843,CC1817,$BD$7:$BD$1843,BD1817,$BT$7:$BT$1843,"&lt;="&amp;BT1817),"")</f>
        <v/>
      </c>
      <c r="BF1817" s="58" t="n">
        <f aca="false">IF(BE1817="",0,MAX(0,MIN(1,(IF(CC1817="L1",Parameter!$H$5,IF(CC1817="L23",Parameter!$H$6+Parameter!$H$7,Parameter!$H$5+Parameter!$H$6+Parameter!$H$7))-(BE1817-BA1817))/BA1817)))</f>
        <v>0</v>
      </c>
      <c r="BG1817" s="48" t="str">
        <f aca="false">IF(AI1817&lt;=0,"",IF(CC1817="Aussen","Aussenlager",IF(CC1817="-","Nicht im Lift",IF(AN1817&gt;=1,"Lift",IF(AN1817&lt;=0,"Aussenlager","teilweise")))))</f>
        <v/>
      </c>
      <c r="BH1817" s="48" t="str">
        <f aca="false">IF(AR1817&lt;=0,"",IF(CC1817="Aussen","Aussenlager",IF(CC1817="-","Nicht im Lift",IF(AW1817&gt;=1,"Lift",IF(AW1817&lt;=0,"Aussenlager","teilweise")))))</f>
        <v/>
      </c>
      <c r="BI1817" s="48" t="str">
        <f aca="false">IF(BA1817&lt;=0,"",IF(CC1817="Aussen","Aussenlager",IF(CC1817="-","Nicht im Lift",IF(BF1817&gt;=1,"Lift",IF(BF1817&lt;=0,"Aussenlager","teilweise")))))</f>
        <v/>
      </c>
      <c r="BJ1817" s="48" t="str">
        <f aca="false">IF(A1817="","",IF(BS1817=1,"Neu; ","")&amp;IF(AND(BS1817=0,BN1817&lt;0),"negativer Bestand (Export "&amp;BN1817&amp;"); ","")&amp;IF(J1817&lt;=0,"Kein Verbrauch; ","")&amp;IF(CL1817&gt;0,"Lift "&amp;W1817&amp;" lt. Liftbericht (Fach "&amp;X1817&amp;" Stk); ",IF(BX1817=1,"Gebinde geschätzt ("&amp;T1817&amp;"); ",IF(BW1817=1,"Lose – Tablare geschätzt; ","")))&amp;IF(H1817&gt;AT1817,"Überbestand "&amp;ROUND(H1817-AT1817,0)&amp;" Stk / CHF "&amp;ROUND((H1817-AT1817)*G1817,0)&amp;"; ","")&amp;IF(AND(CE1817=1,CF1817&lt;CG1817),"MAX &lt; MB+LG; ","")&amp;IF(AND(CK1817&gt;0,CJ1817*10&gt;CK1817),"zu hoch für Tablar; ","")&amp;IF(AND(BS1817=0,OR(CE1817=1,AA1817&lt;&gt;"",U1817&lt;&gt;"",V1817&lt;&gt;"",AB1817&lt;&gt;"")),"manuell übersteuert; ","")&amp;IF(AND(BW1817=0,R1817=0),"Gebinde unbekannt / Stellmass fehlt; ","")&amp;IF(AND(BW1817=0,N(V1817)&lt;=0,N(Q1817)&lt;=0),"Menge pro Gebinde fehlt (Ist = 1 Gebinde); ","")&amp;BR1817)</f>
        <v/>
      </c>
      <c r="BK1817" s="48"/>
      <c r="BL1817" s="48"/>
      <c r="BM1817" s="55"/>
      <c r="BN1817" s="50" t="n">
        <f aca="false">N('Neue Artikel'!$D$78)</f>
        <v>0</v>
      </c>
      <c r="BO1817" s="50" t="n">
        <v>0</v>
      </c>
      <c r="BP1817" s="49" t="n">
        <v>0</v>
      </c>
      <c r="BQ1817" s="50" t="n">
        <f aca="false">N('Neue Artikel'!$C$78)/Parameter!$B$18</f>
        <v>0</v>
      </c>
      <c r="BR1817" s="48"/>
      <c r="BS1817" s="53" t="n">
        <v>1</v>
      </c>
      <c r="BT1817" s="53" t="n">
        <v>1817</v>
      </c>
      <c r="BU1817" s="48" t="str">
        <f aca="false">IF(U1817&lt;&gt;"",UPPER(TRIM(U1817)),IF(BX1817=1,UPPER(VLOOKUP(T1817,Parameter!$I$27:$K$29,2,0)),IF(P1817="","LOSE",P1817)))</f>
        <v>LOSE</v>
      </c>
      <c r="BV1817" s="50" t="n">
        <f aca="false">IF(BU1817="LOSE",1,IF(N(V1817)&gt;0,V1817,IF(BX1817=1,MAX(1,N(VLOOKUP(T1817,Parameter!$I$27:$K$29,3,0)),H1817,N(N1817)),IF(N(Q1817)&gt;0,Q1817,MAX(1,H1817)))))</f>
        <v>1</v>
      </c>
      <c r="BW1817" s="53" t="n">
        <f aca="false">IF(BU1817="LOSE",1,0)</f>
        <v>1</v>
      </c>
      <c r="BX1817" s="53" t="n">
        <f aca="false">IF(AND(U1817="",OR(P1817="",P1817="LOSE"),T1817&lt;&gt;"",N(S1817)&lt;=0,ISNUMBER(MATCH(T1817,Parameter!$I$27:$I$29,0))),1,0)</f>
        <v>0</v>
      </c>
      <c r="BY1817" s="53" t="n">
        <f aca="false">IF(CL1817&gt;0,INDEX(Parameter!$H$5:$H$7,W1817)/INDEX(Parameter!$E$5:$E$7,W1817),IF(AND(BW1817=0,N(IFERROR(VLOOKUP(BU1817,'Gebinde-Kategorie'!$A$5:$N$45,14,0),0))&gt;0),VLOOKUP(BU1817,'Gebinde-Kategorie'!$A$5:$N$45,14,0)*10+Parameter!$M$23,Parameter!$M$24))</f>
        <v>235</v>
      </c>
      <c r="BZ1817" s="48" t="str">
        <f aca="false">IF(AND(Parameter!$B$19="Ja",E1817&lt;&gt;"",ISNUMBER(MATCH(E1817,Parameter!$I$35:$I$52,0))),VLOOKUP(E1817,Parameter!$I$35:$J$52,2,0),IFERROR(VLOOKUP(D1817,Parameter!$A$35:$C$64,2,0),"Nein"))</f>
        <v>2+3</v>
      </c>
      <c r="CA1817" s="52" t="n">
        <f aca="false">IF(BW1817=0,0,IF(N(S1817)&gt;0,S1817,IFERROR(VLOOKUP(D1817,Parameter!$A$35:$C$64,3,0)+0,0)))</f>
        <v>0.15</v>
      </c>
      <c r="CB1817" s="48" t="str">
        <f aca="false">IF(AA1817&lt;&gt;"",AA1817,Z1817)</f>
        <v/>
      </c>
      <c r="CC1817" s="48" t="str">
        <f aca="false">IF(OR(CB1817=1,CB1817=2,CB1817=3),IF(Parameter!$E$27="Ja","LIFT",IF(CB1817=1,"L1","L23")),IF(CB1817="Aussen","Aussen","-"))</f>
        <v>-</v>
      </c>
      <c r="CD1817" s="59" t="n">
        <f aca="false">IF(N(AB1817)&gt;0,AB1817,0)</f>
        <v>0</v>
      </c>
      <c r="CE1817" s="53" t="n">
        <f aca="false">IF(ISNUMBER(AE1817),1,0)</f>
        <v>0</v>
      </c>
      <c r="CF1817" s="50" t="n">
        <f aca="false">N(AE1817)</f>
        <v>0</v>
      </c>
      <c r="CG1817" s="50" t="n">
        <f aca="false">N(M1817)+N(N1817)</f>
        <v>0</v>
      </c>
      <c r="CH1817" s="50" t="n">
        <f aca="false">ROUNDUP(H1817/BV1817,0)</f>
        <v>0</v>
      </c>
      <c r="CI1817" s="50" t="n">
        <f aca="false">ROUNDUP(CF1817/BV1817,0)</f>
        <v>0</v>
      </c>
      <c r="CJ1817" s="53" t="n">
        <f aca="false">IF(BW1817=1,0,IFERROR(VLOOKUP(BU1817,'Gebinde-Kategorie'!$A$5:$N$45,5,0)+0,0))</f>
        <v>0</v>
      </c>
      <c r="CK1817" s="53" t="n">
        <f aca="false">IFERROR(IF(OR(CB1817=1,CB1817=2,CB1817=3),N(INDEX(Parameter!$I$5:$I$7,CB1817)),0),0)</f>
        <v>0</v>
      </c>
      <c r="CL1817" s="52" t="n">
        <f aca="false">IF(AND(Parameter!$B$21="Ja",ISNUMBER(W1817),N(X1817)&gt;0),IFERROR(N(INDEX(Parameter!$L$5:$L$7,W1817))*INDEX(Parameter!$E$5:$E$7,W1817)*X1817/SUMIFS($X$7:$X$1843,$W$7:$W$1843,W1817),0),0)</f>
        <v>0</v>
      </c>
    </row>
    <row r="1818" customFormat="false" ht="15" hidden="false" customHeight="false" outlineLevel="0" collapsed="false">
      <c r="A1818" s="48" t="str">
        <f aca="false">IF('Neue Artikel'!$A$79="","",'Neue Artikel'!$A$79&amp;"")</f>
        <v/>
      </c>
      <c r="B1818" s="48" t="str">
        <f aca="false">'Neue Artikel'!$B$79&amp;""</f>
        <v/>
      </c>
      <c r="C1818" s="48"/>
      <c r="D1818" s="48" t="s">
        <v>3019</v>
      </c>
      <c r="E1818" s="48"/>
      <c r="F1818" s="48"/>
      <c r="G1818" s="49" t="n">
        <f aca="false">N('Neue Artikel'!$G$79)</f>
        <v>0</v>
      </c>
      <c r="H1818" s="50" t="n">
        <f aca="false">MAX(0,IF(AND(Parameter!$B$21="Ja",ISNUMBER(Y1818)),Y1818,IF(Parameter!$B$20="Jahresanfang 2025 + Export",BO1818+BN1818,BN1818)))</f>
        <v>0</v>
      </c>
      <c r="I1818" s="50" t="n">
        <f aca="false">H1818*G1818</f>
        <v>0</v>
      </c>
      <c r="J1818" s="50" t="n">
        <f aca="false">BQ1818*Parameter!$B$18</f>
        <v>0</v>
      </c>
      <c r="K1818" s="51"/>
      <c r="L1818" s="52"/>
      <c r="M1818" s="50" t="n">
        <f aca="false">N('Neue Artikel'!$E$79)</f>
        <v>0</v>
      </c>
      <c r="N1818" s="50" t="n">
        <f aca="false">N('Neue Artikel'!$F$79)</f>
        <v>0</v>
      </c>
      <c r="O1818" s="53"/>
      <c r="P1818" s="48" t="str">
        <f aca="false">IF('Neue Artikel'!$H$79="","LOSE",UPPER(TRIM('Neue Artikel'!$H$79)))</f>
        <v>LOSE</v>
      </c>
      <c r="Q1818" s="50" t="n">
        <f aca="false">N('Neue Artikel'!$I$79)</f>
        <v>0</v>
      </c>
      <c r="R1818" s="53" t="n">
        <f aca="false">IF(BW1818=1,0,IFERROR(VLOOKUP(BU1818,'Gebinde-Kategorie'!$A$5:$N$45,13,0)+0,0))</f>
        <v>0</v>
      </c>
      <c r="S1818" s="54"/>
      <c r="T1818" s="55"/>
      <c r="U1818" s="55"/>
      <c r="V1818" s="55"/>
      <c r="W1818" s="48"/>
      <c r="X1818" s="50"/>
      <c r="Y1818" s="50"/>
      <c r="Z1818" s="48" t="str">
        <f aca="false">IF(A1818="","",IF(AND(Parameter!$B$21="Ja",ISNUMBER(W1818)),W1818,IF(BZ1818="2+3",IF(ISNUMBER(SEARCH("grosser Artikel",BR1818)),2,IFERROR(VLOOKUP(BU1818,Parameter!$F$35:$G$64,2,0),2)),IF(OR(BZ1818="Nein",BZ1818=""),"-",BZ1818))))</f>
        <v/>
      </c>
      <c r="AA1818" s="48" t="str">
        <f aca="false">IF('Neue Artikel'!$J$79="","",'Neue Artikel'!$J$79)</f>
        <v/>
      </c>
      <c r="AB1818" s="56"/>
      <c r="AC1818" s="50" t="n">
        <f aca="false">AT1818</f>
        <v>0</v>
      </c>
      <c r="AD1818" s="50" t="n">
        <f aca="false">MAX(AT1818,H1818)</f>
        <v>0</v>
      </c>
      <c r="AE1818" s="57"/>
      <c r="AF1818" s="50" t="n">
        <f aca="false">IF(LEFT(Cockpit!$C$5,1)="A",H1818,IF(CE1818=1,CF1818,IF(LEFT(Cockpit!$C$5,1)="B",AK1818,MAX(AK1818,H1818))))</f>
        <v>0</v>
      </c>
      <c r="AG1818" s="50" t="n">
        <f aca="false">IF(BW1818=1,0,ROUNDUP(AF1818/BV1818,0))</f>
        <v>0</v>
      </c>
      <c r="AH1818" s="52" t="n">
        <f aca="false">IF(CL1818&gt;0,CL1818*MAX(1,AF1818/X1818),IF(BW1818=1,IF(AF1818&lt;=0,0,CA1818*MAX(1,IF(H1818&gt;0,AF1818/H1818,1))),IF(R1818&gt;0,AG1818/R1818,0))/MAX(0.1,N(Parameter!$M$21)))</f>
        <v>0</v>
      </c>
      <c r="AI1818" s="50" t="n">
        <f aca="false">AH1818*BY1818</f>
        <v>0</v>
      </c>
      <c r="AJ1818" s="50" t="n">
        <f aca="false">AF1818*G1818</f>
        <v>0</v>
      </c>
      <c r="AK1818" s="50" t="n">
        <f aca="false">ROUNDUP(MAX(J1818/IF(CD1818&gt;0,CD1818,MAX(0.1,N(Cockpit!$C$6))),CG1818)/BV1818,0)*BV1818</f>
        <v>0</v>
      </c>
      <c r="AL1818" s="51" t="n">
        <f aca="false">IF(AI1818&gt;0,J1818/AI1818,-1)</f>
        <v>-1</v>
      </c>
      <c r="AM1818" s="51" t="str">
        <f aca="false">IF(AND(OR(CC1818="L1",CC1818="L23",CC1818="LIFT"),AI1818&gt;0),SUMIFS($AI$7:$AI$1843,$CC$7:$CC$1843,CC1818,$AL$7:$AL$1843,"&gt;"&amp;AL1818)+SUMIFS($AI$7:$AI$1843,$CC$7:$CC$1843,CC1818,$AL$7:$AL$1843,AL1818,$BT$7:$BT$1843,"&lt;="&amp;BT1818),"")</f>
        <v/>
      </c>
      <c r="AN1818" s="58" t="n">
        <f aca="false">IF(AM1818="",0,MAX(0,MIN(1,(IF(CC1818="L1",Parameter!$H$5,IF(CC1818="L23",Parameter!$H$6+Parameter!$H$7,Parameter!$H$5+Parameter!$H$6+Parameter!$H$7))-(AM1818-AI1818))/AI1818)))</f>
        <v>0</v>
      </c>
      <c r="AO1818" s="50" t="n">
        <f aca="false">IF(LEFT(Cockpit!$I$5,1)="A",H1818,IF(CE1818=1,CF1818,IF(LEFT(Cockpit!$I$5,1)="B",AT1818,MAX(AT1818,H1818))))</f>
        <v>0</v>
      </c>
      <c r="AP1818" s="50" t="n">
        <f aca="false">IF(BW1818=1,0,ROUNDUP(AO1818/BV1818,0))</f>
        <v>0</v>
      </c>
      <c r="AQ1818" s="52" t="n">
        <f aca="false">IF(CL1818&gt;0,CL1818*MAX(1,AO1818/X1818),IF(BW1818=1,IF(AO1818&lt;=0,0,CA1818*MAX(1,IF(H1818&gt;0,AO1818/H1818,1))),IF(R1818&gt;0,AP1818/R1818,0))/MAX(0.1,N(Parameter!$M$21)))</f>
        <v>0</v>
      </c>
      <c r="AR1818" s="50" t="n">
        <f aca="false">AQ1818*BY1818</f>
        <v>0</v>
      </c>
      <c r="AS1818" s="50" t="n">
        <f aca="false">AO1818*G1818</f>
        <v>0</v>
      </c>
      <c r="AT1818" s="50" t="n">
        <f aca="false">ROUNDUP(MAX(J1818/IF(CD1818&gt;0,CD1818,MAX(0.1,N(Cockpit!$I$6))),CG1818)/BV1818,0)*BV1818</f>
        <v>0</v>
      </c>
      <c r="AU1818" s="51" t="n">
        <f aca="false">IF(AR1818&gt;0,J1818/AR1818,-1)</f>
        <v>-1</v>
      </c>
      <c r="AV1818" s="51" t="str">
        <f aca="false">IF(AND(OR(CC1818="L1",CC1818="L23",CC1818="LIFT"),AR1818&gt;0),SUMIFS($AR$7:$AR$1843,$CC$7:$CC$1843,CC1818,$AU$7:$AU$1843,"&gt;"&amp;AU1818)+SUMIFS($AR$7:$AR$1843,$CC$7:$CC$1843,CC1818,$AU$7:$AU$1843,AU1818,$BT$7:$BT$1843,"&lt;="&amp;BT1818),"")</f>
        <v/>
      </c>
      <c r="AW1818" s="58" t="n">
        <f aca="false">IF(AV1818="",0,MAX(0,MIN(1,(IF(CC1818="L1",Parameter!$H$5,IF(CC1818="L23",Parameter!$H$6+Parameter!$H$7,Parameter!$H$5+Parameter!$H$6+Parameter!$H$7))-(AV1818-AR1818))/AR1818)))</f>
        <v>0</v>
      </c>
      <c r="AX1818" s="50" t="n">
        <f aca="false">IF(LEFT(Cockpit!$O$5,1)="A",H1818,IF(CE1818=1,CF1818,IF(LEFT(Cockpit!$O$5,1)="B",BC1818,MAX(BC1818,H1818))))</f>
        <v>0</v>
      </c>
      <c r="AY1818" s="50" t="n">
        <f aca="false">IF(BW1818=1,0,ROUNDUP(AX1818/BV1818,0))</f>
        <v>0</v>
      </c>
      <c r="AZ1818" s="52" t="n">
        <f aca="false">IF(CL1818&gt;0,CL1818*MAX(1,AX1818/X1818),IF(BW1818=1,IF(AX1818&lt;=0,0,CA1818*MAX(1,IF(H1818&gt;0,AX1818/H1818,1))),IF(R1818&gt;0,AY1818/R1818,0))/MAX(0.1,N(Parameter!$M$21)))</f>
        <v>0</v>
      </c>
      <c r="BA1818" s="50" t="n">
        <f aca="false">AZ1818*BY1818</f>
        <v>0</v>
      </c>
      <c r="BB1818" s="50" t="n">
        <f aca="false">AX1818*G1818</f>
        <v>0</v>
      </c>
      <c r="BC1818" s="50" t="n">
        <f aca="false">ROUNDUP(MAX(J1818/IF(CD1818&gt;0,CD1818,MAX(0.1,N(Cockpit!$O$6))),CG1818)/BV1818,0)*BV1818</f>
        <v>0</v>
      </c>
      <c r="BD1818" s="51" t="n">
        <f aca="false">IF(BA1818&gt;0,J1818/BA1818,-1)</f>
        <v>-1</v>
      </c>
      <c r="BE1818" s="51" t="str">
        <f aca="false">IF(AND(OR(CC1818="L1",CC1818="L23",CC1818="LIFT"),BA1818&gt;0),SUMIFS($BA$7:$BA$1843,$CC$7:$CC$1843,CC1818,$BD$7:$BD$1843,"&gt;"&amp;BD1818)+SUMIFS($BA$7:$BA$1843,$CC$7:$CC$1843,CC1818,$BD$7:$BD$1843,BD1818,$BT$7:$BT$1843,"&lt;="&amp;BT1818),"")</f>
        <v/>
      </c>
      <c r="BF1818" s="58" t="n">
        <f aca="false">IF(BE1818="",0,MAX(0,MIN(1,(IF(CC1818="L1",Parameter!$H$5,IF(CC1818="L23",Parameter!$H$6+Parameter!$H$7,Parameter!$H$5+Parameter!$H$6+Parameter!$H$7))-(BE1818-BA1818))/BA1818)))</f>
        <v>0</v>
      </c>
      <c r="BG1818" s="48" t="str">
        <f aca="false">IF(AI1818&lt;=0,"",IF(CC1818="Aussen","Aussenlager",IF(CC1818="-","Nicht im Lift",IF(AN1818&gt;=1,"Lift",IF(AN1818&lt;=0,"Aussenlager","teilweise")))))</f>
        <v/>
      </c>
      <c r="BH1818" s="48" t="str">
        <f aca="false">IF(AR1818&lt;=0,"",IF(CC1818="Aussen","Aussenlager",IF(CC1818="-","Nicht im Lift",IF(AW1818&gt;=1,"Lift",IF(AW1818&lt;=0,"Aussenlager","teilweise")))))</f>
        <v/>
      </c>
      <c r="BI1818" s="48" t="str">
        <f aca="false">IF(BA1818&lt;=0,"",IF(CC1818="Aussen","Aussenlager",IF(CC1818="-","Nicht im Lift",IF(BF1818&gt;=1,"Lift",IF(BF1818&lt;=0,"Aussenlager","teilweise")))))</f>
        <v/>
      </c>
      <c r="BJ1818" s="48" t="str">
        <f aca="false">IF(A1818="","",IF(BS1818=1,"Neu; ","")&amp;IF(AND(BS1818=0,BN1818&lt;0),"negativer Bestand (Export "&amp;BN1818&amp;"); ","")&amp;IF(J1818&lt;=0,"Kein Verbrauch; ","")&amp;IF(CL1818&gt;0,"Lift "&amp;W1818&amp;" lt. Liftbericht (Fach "&amp;X1818&amp;" Stk); ",IF(BX1818=1,"Gebinde geschätzt ("&amp;T1818&amp;"); ",IF(BW1818=1,"Lose – Tablare geschätzt; ","")))&amp;IF(H1818&gt;AT1818,"Überbestand "&amp;ROUND(H1818-AT1818,0)&amp;" Stk / CHF "&amp;ROUND((H1818-AT1818)*G1818,0)&amp;"; ","")&amp;IF(AND(CE1818=1,CF1818&lt;CG1818),"MAX &lt; MB+LG; ","")&amp;IF(AND(CK1818&gt;0,CJ1818*10&gt;CK1818),"zu hoch für Tablar; ","")&amp;IF(AND(BS1818=0,OR(CE1818=1,AA1818&lt;&gt;"",U1818&lt;&gt;"",V1818&lt;&gt;"",AB1818&lt;&gt;"")),"manuell übersteuert; ","")&amp;IF(AND(BW1818=0,R1818=0),"Gebinde unbekannt / Stellmass fehlt; ","")&amp;IF(AND(BW1818=0,N(V1818)&lt;=0,N(Q1818)&lt;=0),"Menge pro Gebinde fehlt (Ist = 1 Gebinde); ","")&amp;BR1818)</f>
        <v/>
      </c>
      <c r="BK1818" s="48"/>
      <c r="BL1818" s="48"/>
      <c r="BM1818" s="55"/>
      <c r="BN1818" s="50" t="n">
        <f aca="false">N('Neue Artikel'!$D$79)</f>
        <v>0</v>
      </c>
      <c r="BO1818" s="50" t="n">
        <v>0</v>
      </c>
      <c r="BP1818" s="49" t="n">
        <v>0</v>
      </c>
      <c r="BQ1818" s="50" t="n">
        <f aca="false">N('Neue Artikel'!$C$79)/Parameter!$B$18</f>
        <v>0</v>
      </c>
      <c r="BR1818" s="48"/>
      <c r="BS1818" s="53" t="n">
        <v>1</v>
      </c>
      <c r="BT1818" s="53" t="n">
        <v>1818</v>
      </c>
      <c r="BU1818" s="48" t="str">
        <f aca="false">IF(U1818&lt;&gt;"",UPPER(TRIM(U1818)),IF(BX1818=1,UPPER(VLOOKUP(T1818,Parameter!$I$27:$K$29,2,0)),IF(P1818="","LOSE",P1818)))</f>
        <v>LOSE</v>
      </c>
      <c r="BV1818" s="50" t="n">
        <f aca="false">IF(BU1818="LOSE",1,IF(N(V1818)&gt;0,V1818,IF(BX1818=1,MAX(1,N(VLOOKUP(T1818,Parameter!$I$27:$K$29,3,0)),H1818,N(N1818)),IF(N(Q1818)&gt;0,Q1818,MAX(1,H1818)))))</f>
        <v>1</v>
      </c>
      <c r="BW1818" s="53" t="n">
        <f aca="false">IF(BU1818="LOSE",1,0)</f>
        <v>1</v>
      </c>
      <c r="BX1818" s="53" t="n">
        <f aca="false">IF(AND(U1818="",OR(P1818="",P1818="LOSE"),T1818&lt;&gt;"",N(S1818)&lt;=0,ISNUMBER(MATCH(T1818,Parameter!$I$27:$I$29,0))),1,0)</f>
        <v>0</v>
      </c>
      <c r="BY1818" s="53" t="n">
        <f aca="false">IF(CL1818&gt;0,INDEX(Parameter!$H$5:$H$7,W1818)/INDEX(Parameter!$E$5:$E$7,W1818),IF(AND(BW1818=0,N(IFERROR(VLOOKUP(BU1818,'Gebinde-Kategorie'!$A$5:$N$45,14,0),0))&gt;0),VLOOKUP(BU1818,'Gebinde-Kategorie'!$A$5:$N$45,14,0)*10+Parameter!$M$23,Parameter!$M$24))</f>
        <v>235</v>
      </c>
      <c r="BZ1818" s="48" t="str">
        <f aca="false">IF(AND(Parameter!$B$19="Ja",E1818&lt;&gt;"",ISNUMBER(MATCH(E1818,Parameter!$I$35:$I$52,0))),VLOOKUP(E1818,Parameter!$I$35:$J$52,2,0),IFERROR(VLOOKUP(D1818,Parameter!$A$35:$C$64,2,0),"Nein"))</f>
        <v>2+3</v>
      </c>
      <c r="CA1818" s="52" t="n">
        <f aca="false">IF(BW1818=0,0,IF(N(S1818)&gt;0,S1818,IFERROR(VLOOKUP(D1818,Parameter!$A$35:$C$64,3,0)+0,0)))</f>
        <v>0.15</v>
      </c>
      <c r="CB1818" s="48" t="str">
        <f aca="false">IF(AA1818&lt;&gt;"",AA1818,Z1818)</f>
        <v/>
      </c>
      <c r="CC1818" s="48" t="str">
        <f aca="false">IF(OR(CB1818=1,CB1818=2,CB1818=3),IF(Parameter!$E$27="Ja","LIFT",IF(CB1818=1,"L1","L23")),IF(CB1818="Aussen","Aussen","-"))</f>
        <v>-</v>
      </c>
      <c r="CD1818" s="59" t="n">
        <f aca="false">IF(N(AB1818)&gt;0,AB1818,0)</f>
        <v>0</v>
      </c>
      <c r="CE1818" s="53" t="n">
        <f aca="false">IF(ISNUMBER(AE1818),1,0)</f>
        <v>0</v>
      </c>
      <c r="CF1818" s="50" t="n">
        <f aca="false">N(AE1818)</f>
        <v>0</v>
      </c>
      <c r="CG1818" s="50" t="n">
        <f aca="false">N(M1818)+N(N1818)</f>
        <v>0</v>
      </c>
      <c r="CH1818" s="50" t="n">
        <f aca="false">ROUNDUP(H1818/BV1818,0)</f>
        <v>0</v>
      </c>
      <c r="CI1818" s="50" t="n">
        <f aca="false">ROUNDUP(CF1818/BV1818,0)</f>
        <v>0</v>
      </c>
      <c r="CJ1818" s="53" t="n">
        <f aca="false">IF(BW1818=1,0,IFERROR(VLOOKUP(BU1818,'Gebinde-Kategorie'!$A$5:$N$45,5,0)+0,0))</f>
        <v>0</v>
      </c>
      <c r="CK1818" s="53" t="n">
        <f aca="false">IFERROR(IF(OR(CB1818=1,CB1818=2,CB1818=3),N(INDEX(Parameter!$I$5:$I$7,CB1818)),0),0)</f>
        <v>0</v>
      </c>
      <c r="CL1818" s="52" t="n">
        <f aca="false">IF(AND(Parameter!$B$21="Ja",ISNUMBER(W1818),N(X1818)&gt;0),IFERROR(N(INDEX(Parameter!$L$5:$L$7,W1818))*INDEX(Parameter!$E$5:$E$7,W1818)*X1818/SUMIFS($X$7:$X$1843,$W$7:$W$1843,W1818),0),0)</f>
        <v>0</v>
      </c>
    </row>
    <row r="1819" customFormat="false" ht="15" hidden="false" customHeight="false" outlineLevel="0" collapsed="false">
      <c r="A1819" s="48" t="str">
        <f aca="false">IF('Neue Artikel'!$A$80="","",'Neue Artikel'!$A$80&amp;"")</f>
        <v/>
      </c>
      <c r="B1819" s="48" t="str">
        <f aca="false">'Neue Artikel'!$B$80&amp;""</f>
        <v/>
      </c>
      <c r="C1819" s="48"/>
      <c r="D1819" s="48" t="s">
        <v>3019</v>
      </c>
      <c r="E1819" s="48"/>
      <c r="F1819" s="48"/>
      <c r="G1819" s="49" t="n">
        <f aca="false">N('Neue Artikel'!$G$80)</f>
        <v>0</v>
      </c>
      <c r="H1819" s="50" t="n">
        <f aca="false">MAX(0,IF(AND(Parameter!$B$21="Ja",ISNUMBER(Y1819)),Y1819,IF(Parameter!$B$20="Jahresanfang 2025 + Export",BO1819+BN1819,BN1819)))</f>
        <v>0</v>
      </c>
      <c r="I1819" s="50" t="n">
        <f aca="false">H1819*G1819</f>
        <v>0</v>
      </c>
      <c r="J1819" s="50" t="n">
        <f aca="false">BQ1819*Parameter!$B$18</f>
        <v>0</v>
      </c>
      <c r="K1819" s="51"/>
      <c r="L1819" s="52"/>
      <c r="M1819" s="50" t="n">
        <f aca="false">N('Neue Artikel'!$E$80)</f>
        <v>0</v>
      </c>
      <c r="N1819" s="50" t="n">
        <f aca="false">N('Neue Artikel'!$F$80)</f>
        <v>0</v>
      </c>
      <c r="O1819" s="53"/>
      <c r="P1819" s="48" t="str">
        <f aca="false">IF('Neue Artikel'!$H$80="","LOSE",UPPER(TRIM('Neue Artikel'!$H$80)))</f>
        <v>LOSE</v>
      </c>
      <c r="Q1819" s="50" t="n">
        <f aca="false">N('Neue Artikel'!$I$80)</f>
        <v>0</v>
      </c>
      <c r="R1819" s="53" t="n">
        <f aca="false">IF(BW1819=1,0,IFERROR(VLOOKUP(BU1819,'Gebinde-Kategorie'!$A$5:$N$45,13,0)+0,0))</f>
        <v>0</v>
      </c>
      <c r="S1819" s="54"/>
      <c r="T1819" s="55"/>
      <c r="U1819" s="55"/>
      <c r="V1819" s="55"/>
      <c r="W1819" s="48"/>
      <c r="X1819" s="50"/>
      <c r="Y1819" s="50"/>
      <c r="Z1819" s="48" t="str">
        <f aca="false">IF(A1819="","",IF(AND(Parameter!$B$21="Ja",ISNUMBER(W1819)),W1819,IF(BZ1819="2+3",IF(ISNUMBER(SEARCH("grosser Artikel",BR1819)),2,IFERROR(VLOOKUP(BU1819,Parameter!$F$35:$G$64,2,0),2)),IF(OR(BZ1819="Nein",BZ1819=""),"-",BZ1819))))</f>
        <v/>
      </c>
      <c r="AA1819" s="48" t="str">
        <f aca="false">IF('Neue Artikel'!$J$80="","",'Neue Artikel'!$J$80)</f>
        <v/>
      </c>
      <c r="AB1819" s="56"/>
      <c r="AC1819" s="50" t="n">
        <f aca="false">AT1819</f>
        <v>0</v>
      </c>
      <c r="AD1819" s="50" t="n">
        <f aca="false">MAX(AT1819,H1819)</f>
        <v>0</v>
      </c>
      <c r="AE1819" s="57"/>
      <c r="AF1819" s="50" t="n">
        <f aca="false">IF(LEFT(Cockpit!$C$5,1)="A",H1819,IF(CE1819=1,CF1819,IF(LEFT(Cockpit!$C$5,1)="B",AK1819,MAX(AK1819,H1819))))</f>
        <v>0</v>
      </c>
      <c r="AG1819" s="50" t="n">
        <f aca="false">IF(BW1819=1,0,ROUNDUP(AF1819/BV1819,0))</f>
        <v>0</v>
      </c>
      <c r="AH1819" s="52" t="n">
        <f aca="false">IF(CL1819&gt;0,CL1819*MAX(1,AF1819/X1819),IF(BW1819=1,IF(AF1819&lt;=0,0,CA1819*MAX(1,IF(H1819&gt;0,AF1819/H1819,1))),IF(R1819&gt;0,AG1819/R1819,0))/MAX(0.1,N(Parameter!$M$21)))</f>
        <v>0</v>
      </c>
      <c r="AI1819" s="50" t="n">
        <f aca="false">AH1819*BY1819</f>
        <v>0</v>
      </c>
      <c r="AJ1819" s="50" t="n">
        <f aca="false">AF1819*G1819</f>
        <v>0</v>
      </c>
      <c r="AK1819" s="50" t="n">
        <f aca="false">ROUNDUP(MAX(J1819/IF(CD1819&gt;0,CD1819,MAX(0.1,N(Cockpit!$C$6))),CG1819)/BV1819,0)*BV1819</f>
        <v>0</v>
      </c>
      <c r="AL1819" s="51" t="n">
        <f aca="false">IF(AI1819&gt;0,J1819/AI1819,-1)</f>
        <v>-1</v>
      </c>
      <c r="AM1819" s="51" t="str">
        <f aca="false">IF(AND(OR(CC1819="L1",CC1819="L23",CC1819="LIFT"),AI1819&gt;0),SUMIFS($AI$7:$AI$1843,$CC$7:$CC$1843,CC1819,$AL$7:$AL$1843,"&gt;"&amp;AL1819)+SUMIFS($AI$7:$AI$1843,$CC$7:$CC$1843,CC1819,$AL$7:$AL$1843,AL1819,$BT$7:$BT$1843,"&lt;="&amp;BT1819),"")</f>
        <v/>
      </c>
      <c r="AN1819" s="58" t="n">
        <f aca="false">IF(AM1819="",0,MAX(0,MIN(1,(IF(CC1819="L1",Parameter!$H$5,IF(CC1819="L23",Parameter!$H$6+Parameter!$H$7,Parameter!$H$5+Parameter!$H$6+Parameter!$H$7))-(AM1819-AI1819))/AI1819)))</f>
        <v>0</v>
      </c>
      <c r="AO1819" s="50" t="n">
        <f aca="false">IF(LEFT(Cockpit!$I$5,1)="A",H1819,IF(CE1819=1,CF1819,IF(LEFT(Cockpit!$I$5,1)="B",AT1819,MAX(AT1819,H1819))))</f>
        <v>0</v>
      </c>
      <c r="AP1819" s="50" t="n">
        <f aca="false">IF(BW1819=1,0,ROUNDUP(AO1819/BV1819,0))</f>
        <v>0</v>
      </c>
      <c r="AQ1819" s="52" t="n">
        <f aca="false">IF(CL1819&gt;0,CL1819*MAX(1,AO1819/X1819),IF(BW1819=1,IF(AO1819&lt;=0,0,CA1819*MAX(1,IF(H1819&gt;0,AO1819/H1819,1))),IF(R1819&gt;0,AP1819/R1819,0))/MAX(0.1,N(Parameter!$M$21)))</f>
        <v>0</v>
      </c>
      <c r="AR1819" s="50" t="n">
        <f aca="false">AQ1819*BY1819</f>
        <v>0</v>
      </c>
      <c r="AS1819" s="50" t="n">
        <f aca="false">AO1819*G1819</f>
        <v>0</v>
      </c>
      <c r="AT1819" s="50" t="n">
        <f aca="false">ROUNDUP(MAX(J1819/IF(CD1819&gt;0,CD1819,MAX(0.1,N(Cockpit!$I$6))),CG1819)/BV1819,0)*BV1819</f>
        <v>0</v>
      </c>
      <c r="AU1819" s="51" t="n">
        <f aca="false">IF(AR1819&gt;0,J1819/AR1819,-1)</f>
        <v>-1</v>
      </c>
      <c r="AV1819" s="51" t="str">
        <f aca="false">IF(AND(OR(CC1819="L1",CC1819="L23",CC1819="LIFT"),AR1819&gt;0),SUMIFS($AR$7:$AR$1843,$CC$7:$CC$1843,CC1819,$AU$7:$AU$1843,"&gt;"&amp;AU1819)+SUMIFS($AR$7:$AR$1843,$CC$7:$CC$1843,CC1819,$AU$7:$AU$1843,AU1819,$BT$7:$BT$1843,"&lt;="&amp;BT1819),"")</f>
        <v/>
      </c>
      <c r="AW1819" s="58" t="n">
        <f aca="false">IF(AV1819="",0,MAX(0,MIN(1,(IF(CC1819="L1",Parameter!$H$5,IF(CC1819="L23",Parameter!$H$6+Parameter!$H$7,Parameter!$H$5+Parameter!$H$6+Parameter!$H$7))-(AV1819-AR1819))/AR1819)))</f>
        <v>0</v>
      </c>
      <c r="AX1819" s="50" t="n">
        <f aca="false">IF(LEFT(Cockpit!$O$5,1)="A",H1819,IF(CE1819=1,CF1819,IF(LEFT(Cockpit!$O$5,1)="B",BC1819,MAX(BC1819,H1819))))</f>
        <v>0</v>
      </c>
      <c r="AY1819" s="50" t="n">
        <f aca="false">IF(BW1819=1,0,ROUNDUP(AX1819/BV1819,0))</f>
        <v>0</v>
      </c>
      <c r="AZ1819" s="52" t="n">
        <f aca="false">IF(CL1819&gt;0,CL1819*MAX(1,AX1819/X1819),IF(BW1819=1,IF(AX1819&lt;=0,0,CA1819*MAX(1,IF(H1819&gt;0,AX1819/H1819,1))),IF(R1819&gt;0,AY1819/R1819,0))/MAX(0.1,N(Parameter!$M$21)))</f>
        <v>0</v>
      </c>
      <c r="BA1819" s="50" t="n">
        <f aca="false">AZ1819*BY1819</f>
        <v>0</v>
      </c>
      <c r="BB1819" s="50" t="n">
        <f aca="false">AX1819*G1819</f>
        <v>0</v>
      </c>
      <c r="BC1819" s="50" t="n">
        <f aca="false">ROUNDUP(MAX(J1819/IF(CD1819&gt;0,CD1819,MAX(0.1,N(Cockpit!$O$6))),CG1819)/BV1819,0)*BV1819</f>
        <v>0</v>
      </c>
      <c r="BD1819" s="51" t="n">
        <f aca="false">IF(BA1819&gt;0,J1819/BA1819,-1)</f>
        <v>-1</v>
      </c>
      <c r="BE1819" s="51" t="str">
        <f aca="false">IF(AND(OR(CC1819="L1",CC1819="L23",CC1819="LIFT"),BA1819&gt;0),SUMIFS($BA$7:$BA$1843,$CC$7:$CC$1843,CC1819,$BD$7:$BD$1843,"&gt;"&amp;BD1819)+SUMIFS($BA$7:$BA$1843,$CC$7:$CC$1843,CC1819,$BD$7:$BD$1843,BD1819,$BT$7:$BT$1843,"&lt;="&amp;BT1819),"")</f>
        <v/>
      </c>
      <c r="BF1819" s="58" t="n">
        <f aca="false">IF(BE1819="",0,MAX(0,MIN(1,(IF(CC1819="L1",Parameter!$H$5,IF(CC1819="L23",Parameter!$H$6+Parameter!$H$7,Parameter!$H$5+Parameter!$H$6+Parameter!$H$7))-(BE1819-BA1819))/BA1819)))</f>
        <v>0</v>
      </c>
      <c r="BG1819" s="48" t="str">
        <f aca="false">IF(AI1819&lt;=0,"",IF(CC1819="Aussen","Aussenlager",IF(CC1819="-","Nicht im Lift",IF(AN1819&gt;=1,"Lift",IF(AN1819&lt;=0,"Aussenlager","teilweise")))))</f>
        <v/>
      </c>
      <c r="BH1819" s="48" t="str">
        <f aca="false">IF(AR1819&lt;=0,"",IF(CC1819="Aussen","Aussenlager",IF(CC1819="-","Nicht im Lift",IF(AW1819&gt;=1,"Lift",IF(AW1819&lt;=0,"Aussenlager","teilweise")))))</f>
        <v/>
      </c>
      <c r="BI1819" s="48" t="str">
        <f aca="false">IF(BA1819&lt;=0,"",IF(CC1819="Aussen","Aussenlager",IF(CC1819="-","Nicht im Lift",IF(BF1819&gt;=1,"Lift",IF(BF1819&lt;=0,"Aussenlager","teilweise")))))</f>
        <v/>
      </c>
      <c r="BJ1819" s="48" t="str">
        <f aca="false">IF(A1819="","",IF(BS1819=1,"Neu; ","")&amp;IF(AND(BS1819=0,BN1819&lt;0),"negativer Bestand (Export "&amp;BN1819&amp;"); ","")&amp;IF(J1819&lt;=0,"Kein Verbrauch; ","")&amp;IF(CL1819&gt;0,"Lift "&amp;W1819&amp;" lt. Liftbericht (Fach "&amp;X1819&amp;" Stk); ",IF(BX1819=1,"Gebinde geschätzt ("&amp;T1819&amp;"); ",IF(BW1819=1,"Lose – Tablare geschätzt; ","")))&amp;IF(H1819&gt;AT1819,"Überbestand "&amp;ROUND(H1819-AT1819,0)&amp;" Stk / CHF "&amp;ROUND((H1819-AT1819)*G1819,0)&amp;"; ","")&amp;IF(AND(CE1819=1,CF1819&lt;CG1819),"MAX &lt; MB+LG; ","")&amp;IF(AND(CK1819&gt;0,CJ1819*10&gt;CK1819),"zu hoch für Tablar; ","")&amp;IF(AND(BS1819=0,OR(CE1819=1,AA1819&lt;&gt;"",U1819&lt;&gt;"",V1819&lt;&gt;"",AB1819&lt;&gt;"")),"manuell übersteuert; ","")&amp;IF(AND(BW1819=0,R1819=0),"Gebinde unbekannt / Stellmass fehlt; ","")&amp;IF(AND(BW1819=0,N(V1819)&lt;=0,N(Q1819)&lt;=0),"Menge pro Gebinde fehlt (Ist = 1 Gebinde); ","")&amp;BR1819)</f>
        <v/>
      </c>
      <c r="BK1819" s="48"/>
      <c r="BL1819" s="48"/>
      <c r="BM1819" s="55"/>
      <c r="BN1819" s="50" t="n">
        <f aca="false">N('Neue Artikel'!$D$80)</f>
        <v>0</v>
      </c>
      <c r="BO1819" s="50" t="n">
        <v>0</v>
      </c>
      <c r="BP1819" s="49" t="n">
        <v>0</v>
      </c>
      <c r="BQ1819" s="50" t="n">
        <f aca="false">N('Neue Artikel'!$C$80)/Parameter!$B$18</f>
        <v>0</v>
      </c>
      <c r="BR1819" s="48"/>
      <c r="BS1819" s="53" t="n">
        <v>1</v>
      </c>
      <c r="BT1819" s="53" t="n">
        <v>1819</v>
      </c>
      <c r="BU1819" s="48" t="str">
        <f aca="false">IF(U1819&lt;&gt;"",UPPER(TRIM(U1819)),IF(BX1819=1,UPPER(VLOOKUP(T1819,Parameter!$I$27:$K$29,2,0)),IF(P1819="","LOSE",P1819)))</f>
        <v>LOSE</v>
      </c>
      <c r="BV1819" s="50" t="n">
        <f aca="false">IF(BU1819="LOSE",1,IF(N(V1819)&gt;0,V1819,IF(BX1819=1,MAX(1,N(VLOOKUP(T1819,Parameter!$I$27:$K$29,3,0)),H1819,N(N1819)),IF(N(Q1819)&gt;0,Q1819,MAX(1,H1819)))))</f>
        <v>1</v>
      </c>
      <c r="BW1819" s="53" t="n">
        <f aca="false">IF(BU1819="LOSE",1,0)</f>
        <v>1</v>
      </c>
      <c r="BX1819" s="53" t="n">
        <f aca="false">IF(AND(U1819="",OR(P1819="",P1819="LOSE"),T1819&lt;&gt;"",N(S1819)&lt;=0,ISNUMBER(MATCH(T1819,Parameter!$I$27:$I$29,0))),1,0)</f>
        <v>0</v>
      </c>
      <c r="BY1819" s="53" t="n">
        <f aca="false">IF(CL1819&gt;0,INDEX(Parameter!$H$5:$H$7,W1819)/INDEX(Parameter!$E$5:$E$7,W1819),IF(AND(BW1819=0,N(IFERROR(VLOOKUP(BU1819,'Gebinde-Kategorie'!$A$5:$N$45,14,0),0))&gt;0),VLOOKUP(BU1819,'Gebinde-Kategorie'!$A$5:$N$45,14,0)*10+Parameter!$M$23,Parameter!$M$24))</f>
        <v>235</v>
      </c>
      <c r="BZ1819" s="48" t="str">
        <f aca="false">IF(AND(Parameter!$B$19="Ja",E1819&lt;&gt;"",ISNUMBER(MATCH(E1819,Parameter!$I$35:$I$52,0))),VLOOKUP(E1819,Parameter!$I$35:$J$52,2,0),IFERROR(VLOOKUP(D1819,Parameter!$A$35:$C$64,2,0),"Nein"))</f>
        <v>2+3</v>
      </c>
      <c r="CA1819" s="52" t="n">
        <f aca="false">IF(BW1819=0,0,IF(N(S1819)&gt;0,S1819,IFERROR(VLOOKUP(D1819,Parameter!$A$35:$C$64,3,0)+0,0)))</f>
        <v>0.15</v>
      </c>
      <c r="CB1819" s="48" t="str">
        <f aca="false">IF(AA1819&lt;&gt;"",AA1819,Z1819)</f>
        <v/>
      </c>
      <c r="CC1819" s="48" t="str">
        <f aca="false">IF(OR(CB1819=1,CB1819=2,CB1819=3),IF(Parameter!$E$27="Ja","LIFT",IF(CB1819=1,"L1","L23")),IF(CB1819="Aussen","Aussen","-"))</f>
        <v>-</v>
      </c>
      <c r="CD1819" s="59" t="n">
        <f aca="false">IF(N(AB1819)&gt;0,AB1819,0)</f>
        <v>0</v>
      </c>
      <c r="CE1819" s="53" t="n">
        <f aca="false">IF(ISNUMBER(AE1819),1,0)</f>
        <v>0</v>
      </c>
      <c r="CF1819" s="50" t="n">
        <f aca="false">N(AE1819)</f>
        <v>0</v>
      </c>
      <c r="CG1819" s="50" t="n">
        <f aca="false">N(M1819)+N(N1819)</f>
        <v>0</v>
      </c>
      <c r="CH1819" s="50" t="n">
        <f aca="false">ROUNDUP(H1819/BV1819,0)</f>
        <v>0</v>
      </c>
      <c r="CI1819" s="50" t="n">
        <f aca="false">ROUNDUP(CF1819/BV1819,0)</f>
        <v>0</v>
      </c>
      <c r="CJ1819" s="53" t="n">
        <f aca="false">IF(BW1819=1,0,IFERROR(VLOOKUP(BU1819,'Gebinde-Kategorie'!$A$5:$N$45,5,0)+0,0))</f>
        <v>0</v>
      </c>
      <c r="CK1819" s="53" t="n">
        <f aca="false">IFERROR(IF(OR(CB1819=1,CB1819=2,CB1819=3),N(INDEX(Parameter!$I$5:$I$7,CB1819)),0),0)</f>
        <v>0</v>
      </c>
      <c r="CL1819" s="52" t="n">
        <f aca="false">IF(AND(Parameter!$B$21="Ja",ISNUMBER(W1819),N(X1819)&gt;0),IFERROR(N(INDEX(Parameter!$L$5:$L$7,W1819))*INDEX(Parameter!$E$5:$E$7,W1819)*X1819/SUMIFS($X$7:$X$1843,$W$7:$W$1843,W1819),0),0)</f>
        <v>0</v>
      </c>
    </row>
    <row r="1820" customFormat="false" ht="15" hidden="false" customHeight="false" outlineLevel="0" collapsed="false">
      <c r="A1820" s="48" t="str">
        <f aca="false">IF('Neue Artikel'!$A$81="","",'Neue Artikel'!$A$81&amp;"")</f>
        <v/>
      </c>
      <c r="B1820" s="48" t="str">
        <f aca="false">'Neue Artikel'!$B$81&amp;""</f>
        <v/>
      </c>
      <c r="C1820" s="48"/>
      <c r="D1820" s="48" t="s">
        <v>3019</v>
      </c>
      <c r="E1820" s="48"/>
      <c r="F1820" s="48"/>
      <c r="G1820" s="49" t="n">
        <f aca="false">N('Neue Artikel'!$G$81)</f>
        <v>0</v>
      </c>
      <c r="H1820" s="50" t="n">
        <f aca="false">MAX(0,IF(AND(Parameter!$B$21="Ja",ISNUMBER(Y1820)),Y1820,IF(Parameter!$B$20="Jahresanfang 2025 + Export",BO1820+BN1820,BN1820)))</f>
        <v>0</v>
      </c>
      <c r="I1820" s="50" t="n">
        <f aca="false">H1820*G1820</f>
        <v>0</v>
      </c>
      <c r="J1820" s="50" t="n">
        <f aca="false">BQ1820*Parameter!$B$18</f>
        <v>0</v>
      </c>
      <c r="K1820" s="51"/>
      <c r="L1820" s="52"/>
      <c r="M1820" s="50" t="n">
        <f aca="false">N('Neue Artikel'!$E$81)</f>
        <v>0</v>
      </c>
      <c r="N1820" s="50" t="n">
        <f aca="false">N('Neue Artikel'!$F$81)</f>
        <v>0</v>
      </c>
      <c r="O1820" s="53"/>
      <c r="P1820" s="48" t="str">
        <f aca="false">IF('Neue Artikel'!$H$81="","LOSE",UPPER(TRIM('Neue Artikel'!$H$81)))</f>
        <v>LOSE</v>
      </c>
      <c r="Q1820" s="50" t="n">
        <f aca="false">N('Neue Artikel'!$I$81)</f>
        <v>0</v>
      </c>
      <c r="R1820" s="53" t="n">
        <f aca="false">IF(BW1820=1,0,IFERROR(VLOOKUP(BU1820,'Gebinde-Kategorie'!$A$5:$N$45,13,0)+0,0))</f>
        <v>0</v>
      </c>
      <c r="S1820" s="54"/>
      <c r="T1820" s="55"/>
      <c r="U1820" s="55"/>
      <c r="V1820" s="55"/>
      <c r="W1820" s="48"/>
      <c r="X1820" s="50"/>
      <c r="Y1820" s="50"/>
      <c r="Z1820" s="48" t="str">
        <f aca="false">IF(A1820="","",IF(AND(Parameter!$B$21="Ja",ISNUMBER(W1820)),W1820,IF(BZ1820="2+3",IF(ISNUMBER(SEARCH("grosser Artikel",BR1820)),2,IFERROR(VLOOKUP(BU1820,Parameter!$F$35:$G$64,2,0),2)),IF(OR(BZ1820="Nein",BZ1820=""),"-",BZ1820))))</f>
        <v/>
      </c>
      <c r="AA1820" s="48" t="str">
        <f aca="false">IF('Neue Artikel'!$J$81="","",'Neue Artikel'!$J$81)</f>
        <v/>
      </c>
      <c r="AB1820" s="56"/>
      <c r="AC1820" s="50" t="n">
        <f aca="false">AT1820</f>
        <v>0</v>
      </c>
      <c r="AD1820" s="50" t="n">
        <f aca="false">MAX(AT1820,H1820)</f>
        <v>0</v>
      </c>
      <c r="AE1820" s="57"/>
      <c r="AF1820" s="50" t="n">
        <f aca="false">IF(LEFT(Cockpit!$C$5,1)="A",H1820,IF(CE1820=1,CF1820,IF(LEFT(Cockpit!$C$5,1)="B",AK1820,MAX(AK1820,H1820))))</f>
        <v>0</v>
      </c>
      <c r="AG1820" s="50" t="n">
        <f aca="false">IF(BW1820=1,0,ROUNDUP(AF1820/BV1820,0))</f>
        <v>0</v>
      </c>
      <c r="AH1820" s="52" t="n">
        <f aca="false">IF(CL1820&gt;0,CL1820*MAX(1,AF1820/X1820),IF(BW1820=1,IF(AF1820&lt;=0,0,CA1820*MAX(1,IF(H1820&gt;0,AF1820/H1820,1))),IF(R1820&gt;0,AG1820/R1820,0))/MAX(0.1,N(Parameter!$M$21)))</f>
        <v>0</v>
      </c>
      <c r="AI1820" s="50" t="n">
        <f aca="false">AH1820*BY1820</f>
        <v>0</v>
      </c>
      <c r="AJ1820" s="50" t="n">
        <f aca="false">AF1820*G1820</f>
        <v>0</v>
      </c>
      <c r="AK1820" s="50" t="n">
        <f aca="false">ROUNDUP(MAX(J1820/IF(CD1820&gt;0,CD1820,MAX(0.1,N(Cockpit!$C$6))),CG1820)/BV1820,0)*BV1820</f>
        <v>0</v>
      </c>
      <c r="AL1820" s="51" t="n">
        <f aca="false">IF(AI1820&gt;0,J1820/AI1820,-1)</f>
        <v>-1</v>
      </c>
      <c r="AM1820" s="51" t="str">
        <f aca="false">IF(AND(OR(CC1820="L1",CC1820="L23",CC1820="LIFT"),AI1820&gt;0),SUMIFS($AI$7:$AI$1843,$CC$7:$CC$1843,CC1820,$AL$7:$AL$1843,"&gt;"&amp;AL1820)+SUMIFS($AI$7:$AI$1843,$CC$7:$CC$1843,CC1820,$AL$7:$AL$1843,AL1820,$BT$7:$BT$1843,"&lt;="&amp;BT1820),"")</f>
        <v/>
      </c>
      <c r="AN1820" s="58" t="n">
        <f aca="false">IF(AM1820="",0,MAX(0,MIN(1,(IF(CC1820="L1",Parameter!$H$5,IF(CC1820="L23",Parameter!$H$6+Parameter!$H$7,Parameter!$H$5+Parameter!$H$6+Parameter!$H$7))-(AM1820-AI1820))/AI1820)))</f>
        <v>0</v>
      </c>
      <c r="AO1820" s="50" t="n">
        <f aca="false">IF(LEFT(Cockpit!$I$5,1)="A",H1820,IF(CE1820=1,CF1820,IF(LEFT(Cockpit!$I$5,1)="B",AT1820,MAX(AT1820,H1820))))</f>
        <v>0</v>
      </c>
      <c r="AP1820" s="50" t="n">
        <f aca="false">IF(BW1820=1,0,ROUNDUP(AO1820/BV1820,0))</f>
        <v>0</v>
      </c>
      <c r="AQ1820" s="52" t="n">
        <f aca="false">IF(CL1820&gt;0,CL1820*MAX(1,AO1820/X1820),IF(BW1820=1,IF(AO1820&lt;=0,0,CA1820*MAX(1,IF(H1820&gt;0,AO1820/H1820,1))),IF(R1820&gt;0,AP1820/R1820,0))/MAX(0.1,N(Parameter!$M$21)))</f>
        <v>0</v>
      </c>
      <c r="AR1820" s="50" t="n">
        <f aca="false">AQ1820*BY1820</f>
        <v>0</v>
      </c>
      <c r="AS1820" s="50" t="n">
        <f aca="false">AO1820*G1820</f>
        <v>0</v>
      </c>
      <c r="AT1820" s="50" t="n">
        <f aca="false">ROUNDUP(MAX(J1820/IF(CD1820&gt;0,CD1820,MAX(0.1,N(Cockpit!$I$6))),CG1820)/BV1820,0)*BV1820</f>
        <v>0</v>
      </c>
      <c r="AU1820" s="51" t="n">
        <f aca="false">IF(AR1820&gt;0,J1820/AR1820,-1)</f>
        <v>-1</v>
      </c>
      <c r="AV1820" s="51" t="str">
        <f aca="false">IF(AND(OR(CC1820="L1",CC1820="L23",CC1820="LIFT"),AR1820&gt;0),SUMIFS($AR$7:$AR$1843,$CC$7:$CC$1843,CC1820,$AU$7:$AU$1843,"&gt;"&amp;AU1820)+SUMIFS($AR$7:$AR$1843,$CC$7:$CC$1843,CC1820,$AU$7:$AU$1843,AU1820,$BT$7:$BT$1843,"&lt;="&amp;BT1820),"")</f>
        <v/>
      </c>
      <c r="AW1820" s="58" t="n">
        <f aca="false">IF(AV1820="",0,MAX(0,MIN(1,(IF(CC1820="L1",Parameter!$H$5,IF(CC1820="L23",Parameter!$H$6+Parameter!$H$7,Parameter!$H$5+Parameter!$H$6+Parameter!$H$7))-(AV1820-AR1820))/AR1820)))</f>
        <v>0</v>
      </c>
      <c r="AX1820" s="50" t="n">
        <f aca="false">IF(LEFT(Cockpit!$O$5,1)="A",H1820,IF(CE1820=1,CF1820,IF(LEFT(Cockpit!$O$5,1)="B",BC1820,MAX(BC1820,H1820))))</f>
        <v>0</v>
      </c>
      <c r="AY1820" s="50" t="n">
        <f aca="false">IF(BW1820=1,0,ROUNDUP(AX1820/BV1820,0))</f>
        <v>0</v>
      </c>
      <c r="AZ1820" s="52" t="n">
        <f aca="false">IF(CL1820&gt;0,CL1820*MAX(1,AX1820/X1820),IF(BW1820=1,IF(AX1820&lt;=0,0,CA1820*MAX(1,IF(H1820&gt;0,AX1820/H1820,1))),IF(R1820&gt;0,AY1820/R1820,0))/MAX(0.1,N(Parameter!$M$21)))</f>
        <v>0</v>
      </c>
      <c r="BA1820" s="50" t="n">
        <f aca="false">AZ1820*BY1820</f>
        <v>0</v>
      </c>
      <c r="BB1820" s="50" t="n">
        <f aca="false">AX1820*G1820</f>
        <v>0</v>
      </c>
      <c r="BC1820" s="50" t="n">
        <f aca="false">ROUNDUP(MAX(J1820/IF(CD1820&gt;0,CD1820,MAX(0.1,N(Cockpit!$O$6))),CG1820)/BV1820,0)*BV1820</f>
        <v>0</v>
      </c>
      <c r="BD1820" s="51" t="n">
        <f aca="false">IF(BA1820&gt;0,J1820/BA1820,-1)</f>
        <v>-1</v>
      </c>
      <c r="BE1820" s="51" t="str">
        <f aca="false">IF(AND(OR(CC1820="L1",CC1820="L23",CC1820="LIFT"),BA1820&gt;0),SUMIFS($BA$7:$BA$1843,$CC$7:$CC$1843,CC1820,$BD$7:$BD$1843,"&gt;"&amp;BD1820)+SUMIFS($BA$7:$BA$1843,$CC$7:$CC$1843,CC1820,$BD$7:$BD$1843,BD1820,$BT$7:$BT$1843,"&lt;="&amp;BT1820),"")</f>
        <v/>
      </c>
      <c r="BF1820" s="58" t="n">
        <f aca="false">IF(BE1820="",0,MAX(0,MIN(1,(IF(CC1820="L1",Parameter!$H$5,IF(CC1820="L23",Parameter!$H$6+Parameter!$H$7,Parameter!$H$5+Parameter!$H$6+Parameter!$H$7))-(BE1820-BA1820))/BA1820)))</f>
        <v>0</v>
      </c>
      <c r="BG1820" s="48" t="str">
        <f aca="false">IF(AI1820&lt;=0,"",IF(CC1820="Aussen","Aussenlager",IF(CC1820="-","Nicht im Lift",IF(AN1820&gt;=1,"Lift",IF(AN1820&lt;=0,"Aussenlager","teilweise")))))</f>
        <v/>
      </c>
      <c r="BH1820" s="48" t="str">
        <f aca="false">IF(AR1820&lt;=0,"",IF(CC1820="Aussen","Aussenlager",IF(CC1820="-","Nicht im Lift",IF(AW1820&gt;=1,"Lift",IF(AW1820&lt;=0,"Aussenlager","teilweise")))))</f>
        <v/>
      </c>
      <c r="BI1820" s="48" t="str">
        <f aca="false">IF(BA1820&lt;=0,"",IF(CC1820="Aussen","Aussenlager",IF(CC1820="-","Nicht im Lift",IF(BF1820&gt;=1,"Lift",IF(BF1820&lt;=0,"Aussenlager","teilweise")))))</f>
        <v/>
      </c>
      <c r="BJ1820" s="48" t="str">
        <f aca="false">IF(A1820="","",IF(BS1820=1,"Neu; ","")&amp;IF(AND(BS1820=0,BN1820&lt;0),"negativer Bestand (Export "&amp;BN1820&amp;"); ","")&amp;IF(J1820&lt;=0,"Kein Verbrauch; ","")&amp;IF(CL1820&gt;0,"Lift "&amp;W1820&amp;" lt. Liftbericht (Fach "&amp;X1820&amp;" Stk); ",IF(BX1820=1,"Gebinde geschätzt ("&amp;T1820&amp;"); ",IF(BW1820=1,"Lose – Tablare geschätzt; ","")))&amp;IF(H1820&gt;AT1820,"Überbestand "&amp;ROUND(H1820-AT1820,0)&amp;" Stk / CHF "&amp;ROUND((H1820-AT1820)*G1820,0)&amp;"; ","")&amp;IF(AND(CE1820=1,CF1820&lt;CG1820),"MAX &lt; MB+LG; ","")&amp;IF(AND(CK1820&gt;0,CJ1820*10&gt;CK1820),"zu hoch für Tablar; ","")&amp;IF(AND(BS1820=0,OR(CE1820=1,AA1820&lt;&gt;"",U1820&lt;&gt;"",V1820&lt;&gt;"",AB1820&lt;&gt;"")),"manuell übersteuert; ","")&amp;IF(AND(BW1820=0,R1820=0),"Gebinde unbekannt / Stellmass fehlt; ","")&amp;IF(AND(BW1820=0,N(V1820)&lt;=0,N(Q1820)&lt;=0),"Menge pro Gebinde fehlt (Ist = 1 Gebinde); ","")&amp;BR1820)</f>
        <v/>
      </c>
      <c r="BK1820" s="48"/>
      <c r="BL1820" s="48"/>
      <c r="BM1820" s="55"/>
      <c r="BN1820" s="50" t="n">
        <f aca="false">N('Neue Artikel'!$D$81)</f>
        <v>0</v>
      </c>
      <c r="BO1820" s="50" t="n">
        <v>0</v>
      </c>
      <c r="BP1820" s="49" t="n">
        <v>0</v>
      </c>
      <c r="BQ1820" s="50" t="n">
        <f aca="false">N('Neue Artikel'!$C$81)/Parameter!$B$18</f>
        <v>0</v>
      </c>
      <c r="BR1820" s="48"/>
      <c r="BS1820" s="53" t="n">
        <v>1</v>
      </c>
      <c r="BT1820" s="53" t="n">
        <v>1820</v>
      </c>
      <c r="BU1820" s="48" t="str">
        <f aca="false">IF(U1820&lt;&gt;"",UPPER(TRIM(U1820)),IF(BX1820=1,UPPER(VLOOKUP(T1820,Parameter!$I$27:$K$29,2,0)),IF(P1820="","LOSE",P1820)))</f>
        <v>LOSE</v>
      </c>
      <c r="BV1820" s="50" t="n">
        <f aca="false">IF(BU1820="LOSE",1,IF(N(V1820)&gt;0,V1820,IF(BX1820=1,MAX(1,N(VLOOKUP(T1820,Parameter!$I$27:$K$29,3,0)),H1820,N(N1820)),IF(N(Q1820)&gt;0,Q1820,MAX(1,H1820)))))</f>
        <v>1</v>
      </c>
      <c r="BW1820" s="53" t="n">
        <f aca="false">IF(BU1820="LOSE",1,0)</f>
        <v>1</v>
      </c>
      <c r="BX1820" s="53" t="n">
        <f aca="false">IF(AND(U1820="",OR(P1820="",P1820="LOSE"),T1820&lt;&gt;"",N(S1820)&lt;=0,ISNUMBER(MATCH(T1820,Parameter!$I$27:$I$29,0))),1,0)</f>
        <v>0</v>
      </c>
      <c r="BY1820" s="53" t="n">
        <f aca="false">IF(CL1820&gt;0,INDEX(Parameter!$H$5:$H$7,W1820)/INDEX(Parameter!$E$5:$E$7,W1820),IF(AND(BW1820=0,N(IFERROR(VLOOKUP(BU1820,'Gebinde-Kategorie'!$A$5:$N$45,14,0),0))&gt;0),VLOOKUP(BU1820,'Gebinde-Kategorie'!$A$5:$N$45,14,0)*10+Parameter!$M$23,Parameter!$M$24))</f>
        <v>235</v>
      </c>
      <c r="BZ1820" s="48" t="str">
        <f aca="false">IF(AND(Parameter!$B$19="Ja",E1820&lt;&gt;"",ISNUMBER(MATCH(E1820,Parameter!$I$35:$I$52,0))),VLOOKUP(E1820,Parameter!$I$35:$J$52,2,0),IFERROR(VLOOKUP(D1820,Parameter!$A$35:$C$64,2,0),"Nein"))</f>
        <v>2+3</v>
      </c>
      <c r="CA1820" s="52" t="n">
        <f aca="false">IF(BW1820=0,0,IF(N(S1820)&gt;0,S1820,IFERROR(VLOOKUP(D1820,Parameter!$A$35:$C$64,3,0)+0,0)))</f>
        <v>0.15</v>
      </c>
      <c r="CB1820" s="48" t="str">
        <f aca="false">IF(AA1820&lt;&gt;"",AA1820,Z1820)</f>
        <v/>
      </c>
      <c r="CC1820" s="48" t="str">
        <f aca="false">IF(OR(CB1820=1,CB1820=2,CB1820=3),IF(Parameter!$E$27="Ja","LIFT",IF(CB1820=1,"L1","L23")),IF(CB1820="Aussen","Aussen","-"))</f>
        <v>-</v>
      </c>
      <c r="CD1820" s="59" t="n">
        <f aca="false">IF(N(AB1820)&gt;0,AB1820,0)</f>
        <v>0</v>
      </c>
      <c r="CE1820" s="53" t="n">
        <f aca="false">IF(ISNUMBER(AE1820),1,0)</f>
        <v>0</v>
      </c>
      <c r="CF1820" s="50" t="n">
        <f aca="false">N(AE1820)</f>
        <v>0</v>
      </c>
      <c r="CG1820" s="50" t="n">
        <f aca="false">N(M1820)+N(N1820)</f>
        <v>0</v>
      </c>
      <c r="CH1820" s="50" t="n">
        <f aca="false">ROUNDUP(H1820/BV1820,0)</f>
        <v>0</v>
      </c>
      <c r="CI1820" s="50" t="n">
        <f aca="false">ROUNDUP(CF1820/BV1820,0)</f>
        <v>0</v>
      </c>
      <c r="CJ1820" s="53" t="n">
        <f aca="false">IF(BW1820=1,0,IFERROR(VLOOKUP(BU1820,'Gebinde-Kategorie'!$A$5:$N$45,5,0)+0,0))</f>
        <v>0</v>
      </c>
      <c r="CK1820" s="53" t="n">
        <f aca="false">IFERROR(IF(OR(CB1820=1,CB1820=2,CB1820=3),N(INDEX(Parameter!$I$5:$I$7,CB1820)),0),0)</f>
        <v>0</v>
      </c>
      <c r="CL1820" s="52" t="n">
        <f aca="false">IF(AND(Parameter!$B$21="Ja",ISNUMBER(W1820),N(X1820)&gt;0),IFERROR(N(INDEX(Parameter!$L$5:$L$7,W1820))*INDEX(Parameter!$E$5:$E$7,W1820)*X1820/SUMIFS($X$7:$X$1843,$W$7:$W$1843,W1820),0),0)</f>
        <v>0</v>
      </c>
    </row>
    <row r="1821" customFormat="false" ht="15" hidden="false" customHeight="false" outlineLevel="0" collapsed="false">
      <c r="A1821" s="48" t="str">
        <f aca="false">IF('Neue Artikel'!$A$82="","",'Neue Artikel'!$A$82&amp;"")</f>
        <v/>
      </c>
      <c r="B1821" s="48" t="str">
        <f aca="false">'Neue Artikel'!$B$82&amp;""</f>
        <v/>
      </c>
      <c r="C1821" s="48"/>
      <c r="D1821" s="48" t="s">
        <v>3019</v>
      </c>
      <c r="E1821" s="48"/>
      <c r="F1821" s="48"/>
      <c r="G1821" s="49" t="n">
        <f aca="false">N('Neue Artikel'!$G$82)</f>
        <v>0</v>
      </c>
      <c r="H1821" s="50" t="n">
        <f aca="false">MAX(0,IF(AND(Parameter!$B$21="Ja",ISNUMBER(Y1821)),Y1821,IF(Parameter!$B$20="Jahresanfang 2025 + Export",BO1821+BN1821,BN1821)))</f>
        <v>0</v>
      </c>
      <c r="I1821" s="50" t="n">
        <f aca="false">H1821*G1821</f>
        <v>0</v>
      </c>
      <c r="J1821" s="50" t="n">
        <f aca="false">BQ1821*Parameter!$B$18</f>
        <v>0</v>
      </c>
      <c r="K1821" s="51"/>
      <c r="L1821" s="52"/>
      <c r="M1821" s="50" t="n">
        <f aca="false">N('Neue Artikel'!$E$82)</f>
        <v>0</v>
      </c>
      <c r="N1821" s="50" t="n">
        <f aca="false">N('Neue Artikel'!$F$82)</f>
        <v>0</v>
      </c>
      <c r="O1821" s="53"/>
      <c r="P1821" s="48" t="str">
        <f aca="false">IF('Neue Artikel'!$H$82="","LOSE",UPPER(TRIM('Neue Artikel'!$H$82)))</f>
        <v>LOSE</v>
      </c>
      <c r="Q1821" s="50" t="n">
        <f aca="false">N('Neue Artikel'!$I$82)</f>
        <v>0</v>
      </c>
      <c r="R1821" s="53" t="n">
        <f aca="false">IF(BW1821=1,0,IFERROR(VLOOKUP(BU1821,'Gebinde-Kategorie'!$A$5:$N$45,13,0)+0,0))</f>
        <v>0</v>
      </c>
      <c r="S1821" s="54"/>
      <c r="T1821" s="55"/>
      <c r="U1821" s="55"/>
      <c r="V1821" s="55"/>
      <c r="W1821" s="48"/>
      <c r="X1821" s="50"/>
      <c r="Y1821" s="50"/>
      <c r="Z1821" s="48" t="str">
        <f aca="false">IF(A1821="","",IF(AND(Parameter!$B$21="Ja",ISNUMBER(W1821)),W1821,IF(BZ1821="2+3",IF(ISNUMBER(SEARCH("grosser Artikel",BR1821)),2,IFERROR(VLOOKUP(BU1821,Parameter!$F$35:$G$64,2,0),2)),IF(OR(BZ1821="Nein",BZ1821=""),"-",BZ1821))))</f>
        <v/>
      </c>
      <c r="AA1821" s="48" t="str">
        <f aca="false">IF('Neue Artikel'!$J$82="","",'Neue Artikel'!$J$82)</f>
        <v/>
      </c>
      <c r="AB1821" s="56"/>
      <c r="AC1821" s="50" t="n">
        <f aca="false">AT1821</f>
        <v>0</v>
      </c>
      <c r="AD1821" s="50" t="n">
        <f aca="false">MAX(AT1821,H1821)</f>
        <v>0</v>
      </c>
      <c r="AE1821" s="57"/>
      <c r="AF1821" s="50" t="n">
        <f aca="false">IF(LEFT(Cockpit!$C$5,1)="A",H1821,IF(CE1821=1,CF1821,IF(LEFT(Cockpit!$C$5,1)="B",AK1821,MAX(AK1821,H1821))))</f>
        <v>0</v>
      </c>
      <c r="AG1821" s="50" t="n">
        <f aca="false">IF(BW1821=1,0,ROUNDUP(AF1821/BV1821,0))</f>
        <v>0</v>
      </c>
      <c r="AH1821" s="52" t="n">
        <f aca="false">IF(CL1821&gt;0,CL1821*MAX(1,AF1821/X1821),IF(BW1821=1,IF(AF1821&lt;=0,0,CA1821*MAX(1,IF(H1821&gt;0,AF1821/H1821,1))),IF(R1821&gt;0,AG1821/R1821,0))/MAX(0.1,N(Parameter!$M$21)))</f>
        <v>0</v>
      </c>
      <c r="AI1821" s="50" t="n">
        <f aca="false">AH1821*BY1821</f>
        <v>0</v>
      </c>
      <c r="AJ1821" s="50" t="n">
        <f aca="false">AF1821*G1821</f>
        <v>0</v>
      </c>
      <c r="AK1821" s="50" t="n">
        <f aca="false">ROUNDUP(MAX(J1821/IF(CD1821&gt;0,CD1821,MAX(0.1,N(Cockpit!$C$6))),CG1821)/BV1821,0)*BV1821</f>
        <v>0</v>
      </c>
      <c r="AL1821" s="51" t="n">
        <f aca="false">IF(AI1821&gt;0,J1821/AI1821,-1)</f>
        <v>-1</v>
      </c>
      <c r="AM1821" s="51" t="str">
        <f aca="false">IF(AND(OR(CC1821="L1",CC1821="L23",CC1821="LIFT"),AI1821&gt;0),SUMIFS($AI$7:$AI$1843,$CC$7:$CC$1843,CC1821,$AL$7:$AL$1843,"&gt;"&amp;AL1821)+SUMIFS($AI$7:$AI$1843,$CC$7:$CC$1843,CC1821,$AL$7:$AL$1843,AL1821,$BT$7:$BT$1843,"&lt;="&amp;BT1821),"")</f>
        <v/>
      </c>
      <c r="AN1821" s="58" t="n">
        <f aca="false">IF(AM1821="",0,MAX(0,MIN(1,(IF(CC1821="L1",Parameter!$H$5,IF(CC1821="L23",Parameter!$H$6+Parameter!$H$7,Parameter!$H$5+Parameter!$H$6+Parameter!$H$7))-(AM1821-AI1821))/AI1821)))</f>
        <v>0</v>
      </c>
      <c r="AO1821" s="50" t="n">
        <f aca="false">IF(LEFT(Cockpit!$I$5,1)="A",H1821,IF(CE1821=1,CF1821,IF(LEFT(Cockpit!$I$5,1)="B",AT1821,MAX(AT1821,H1821))))</f>
        <v>0</v>
      </c>
      <c r="AP1821" s="50" t="n">
        <f aca="false">IF(BW1821=1,0,ROUNDUP(AO1821/BV1821,0))</f>
        <v>0</v>
      </c>
      <c r="AQ1821" s="52" t="n">
        <f aca="false">IF(CL1821&gt;0,CL1821*MAX(1,AO1821/X1821),IF(BW1821=1,IF(AO1821&lt;=0,0,CA1821*MAX(1,IF(H1821&gt;0,AO1821/H1821,1))),IF(R1821&gt;0,AP1821/R1821,0))/MAX(0.1,N(Parameter!$M$21)))</f>
        <v>0</v>
      </c>
      <c r="AR1821" s="50" t="n">
        <f aca="false">AQ1821*BY1821</f>
        <v>0</v>
      </c>
      <c r="AS1821" s="50" t="n">
        <f aca="false">AO1821*G1821</f>
        <v>0</v>
      </c>
      <c r="AT1821" s="50" t="n">
        <f aca="false">ROUNDUP(MAX(J1821/IF(CD1821&gt;0,CD1821,MAX(0.1,N(Cockpit!$I$6))),CG1821)/BV1821,0)*BV1821</f>
        <v>0</v>
      </c>
      <c r="AU1821" s="51" t="n">
        <f aca="false">IF(AR1821&gt;0,J1821/AR1821,-1)</f>
        <v>-1</v>
      </c>
      <c r="AV1821" s="51" t="str">
        <f aca="false">IF(AND(OR(CC1821="L1",CC1821="L23",CC1821="LIFT"),AR1821&gt;0),SUMIFS($AR$7:$AR$1843,$CC$7:$CC$1843,CC1821,$AU$7:$AU$1843,"&gt;"&amp;AU1821)+SUMIFS($AR$7:$AR$1843,$CC$7:$CC$1843,CC1821,$AU$7:$AU$1843,AU1821,$BT$7:$BT$1843,"&lt;="&amp;BT1821),"")</f>
        <v/>
      </c>
      <c r="AW1821" s="58" t="n">
        <f aca="false">IF(AV1821="",0,MAX(0,MIN(1,(IF(CC1821="L1",Parameter!$H$5,IF(CC1821="L23",Parameter!$H$6+Parameter!$H$7,Parameter!$H$5+Parameter!$H$6+Parameter!$H$7))-(AV1821-AR1821))/AR1821)))</f>
        <v>0</v>
      </c>
      <c r="AX1821" s="50" t="n">
        <f aca="false">IF(LEFT(Cockpit!$O$5,1)="A",H1821,IF(CE1821=1,CF1821,IF(LEFT(Cockpit!$O$5,1)="B",BC1821,MAX(BC1821,H1821))))</f>
        <v>0</v>
      </c>
      <c r="AY1821" s="50" t="n">
        <f aca="false">IF(BW1821=1,0,ROUNDUP(AX1821/BV1821,0))</f>
        <v>0</v>
      </c>
      <c r="AZ1821" s="52" t="n">
        <f aca="false">IF(CL1821&gt;0,CL1821*MAX(1,AX1821/X1821),IF(BW1821=1,IF(AX1821&lt;=0,0,CA1821*MAX(1,IF(H1821&gt;0,AX1821/H1821,1))),IF(R1821&gt;0,AY1821/R1821,0))/MAX(0.1,N(Parameter!$M$21)))</f>
        <v>0</v>
      </c>
      <c r="BA1821" s="50" t="n">
        <f aca="false">AZ1821*BY1821</f>
        <v>0</v>
      </c>
      <c r="BB1821" s="50" t="n">
        <f aca="false">AX1821*G1821</f>
        <v>0</v>
      </c>
      <c r="BC1821" s="50" t="n">
        <f aca="false">ROUNDUP(MAX(J1821/IF(CD1821&gt;0,CD1821,MAX(0.1,N(Cockpit!$O$6))),CG1821)/BV1821,0)*BV1821</f>
        <v>0</v>
      </c>
      <c r="BD1821" s="51" t="n">
        <f aca="false">IF(BA1821&gt;0,J1821/BA1821,-1)</f>
        <v>-1</v>
      </c>
      <c r="BE1821" s="51" t="str">
        <f aca="false">IF(AND(OR(CC1821="L1",CC1821="L23",CC1821="LIFT"),BA1821&gt;0),SUMIFS($BA$7:$BA$1843,$CC$7:$CC$1843,CC1821,$BD$7:$BD$1843,"&gt;"&amp;BD1821)+SUMIFS($BA$7:$BA$1843,$CC$7:$CC$1843,CC1821,$BD$7:$BD$1843,BD1821,$BT$7:$BT$1843,"&lt;="&amp;BT1821),"")</f>
        <v/>
      </c>
      <c r="BF1821" s="58" t="n">
        <f aca="false">IF(BE1821="",0,MAX(0,MIN(1,(IF(CC1821="L1",Parameter!$H$5,IF(CC1821="L23",Parameter!$H$6+Parameter!$H$7,Parameter!$H$5+Parameter!$H$6+Parameter!$H$7))-(BE1821-BA1821))/BA1821)))</f>
        <v>0</v>
      </c>
      <c r="BG1821" s="48" t="str">
        <f aca="false">IF(AI1821&lt;=0,"",IF(CC1821="Aussen","Aussenlager",IF(CC1821="-","Nicht im Lift",IF(AN1821&gt;=1,"Lift",IF(AN1821&lt;=0,"Aussenlager","teilweise")))))</f>
        <v/>
      </c>
      <c r="BH1821" s="48" t="str">
        <f aca="false">IF(AR1821&lt;=0,"",IF(CC1821="Aussen","Aussenlager",IF(CC1821="-","Nicht im Lift",IF(AW1821&gt;=1,"Lift",IF(AW1821&lt;=0,"Aussenlager","teilweise")))))</f>
        <v/>
      </c>
      <c r="BI1821" s="48" t="str">
        <f aca="false">IF(BA1821&lt;=0,"",IF(CC1821="Aussen","Aussenlager",IF(CC1821="-","Nicht im Lift",IF(BF1821&gt;=1,"Lift",IF(BF1821&lt;=0,"Aussenlager","teilweise")))))</f>
        <v/>
      </c>
      <c r="BJ1821" s="48" t="str">
        <f aca="false">IF(A1821="","",IF(BS1821=1,"Neu; ","")&amp;IF(AND(BS1821=0,BN1821&lt;0),"negativer Bestand (Export "&amp;BN1821&amp;"); ","")&amp;IF(J1821&lt;=0,"Kein Verbrauch; ","")&amp;IF(CL1821&gt;0,"Lift "&amp;W1821&amp;" lt. Liftbericht (Fach "&amp;X1821&amp;" Stk); ",IF(BX1821=1,"Gebinde geschätzt ("&amp;T1821&amp;"); ",IF(BW1821=1,"Lose – Tablare geschätzt; ","")))&amp;IF(H1821&gt;AT1821,"Überbestand "&amp;ROUND(H1821-AT1821,0)&amp;" Stk / CHF "&amp;ROUND((H1821-AT1821)*G1821,0)&amp;"; ","")&amp;IF(AND(CE1821=1,CF1821&lt;CG1821),"MAX &lt; MB+LG; ","")&amp;IF(AND(CK1821&gt;0,CJ1821*10&gt;CK1821),"zu hoch für Tablar; ","")&amp;IF(AND(BS1821=0,OR(CE1821=1,AA1821&lt;&gt;"",U1821&lt;&gt;"",V1821&lt;&gt;"",AB1821&lt;&gt;"")),"manuell übersteuert; ","")&amp;IF(AND(BW1821=0,R1821=0),"Gebinde unbekannt / Stellmass fehlt; ","")&amp;IF(AND(BW1821=0,N(V1821)&lt;=0,N(Q1821)&lt;=0),"Menge pro Gebinde fehlt (Ist = 1 Gebinde); ","")&amp;BR1821)</f>
        <v/>
      </c>
      <c r="BK1821" s="48"/>
      <c r="BL1821" s="48"/>
      <c r="BM1821" s="55"/>
      <c r="BN1821" s="50" t="n">
        <f aca="false">N('Neue Artikel'!$D$82)</f>
        <v>0</v>
      </c>
      <c r="BO1821" s="50" t="n">
        <v>0</v>
      </c>
      <c r="BP1821" s="49" t="n">
        <v>0</v>
      </c>
      <c r="BQ1821" s="50" t="n">
        <f aca="false">N('Neue Artikel'!$C$82)/Parameter!$B$18</f>
        <v>0</v>
      </c>
      <c r="BR1821" s="48"/>
      <c r="BS1821" s="53" t="n">
        <v>1</v>
      </c>
      <c r="BT1821" s="53" t="n">
        <v>1821</v>
      </c>
      <c r="BU1821" s="48" t="str">
        <f aca="false">IF(U1821&lt;&gt;"",UPPER(TRIM(U1821)),IF(BX1821=1,UPPER(VLOOKUP(T1821,Parameter!$I$27:$K$29,2,0)),IF(P1821="","LOSE",P1821)))</f>
        <v>LOSE</v>
      </c>
      <c r="BV1821" s="50" t="n">
        <f aca="false">IF(BU1821="LOSE",1,IF(N(V1821)&gt;0,V1821,IF(BX1821=1,MAX(1,N(VLOOKUP(T1821,Parameter!$I$27:$K$29,3,0)),H1821,N(N1821)),IF(N(Q1821)&gt;0,Q1821,MAX(1,H1821)))))</f>
        <v>1</v>
      </c>
      <c r="BW1821" s="53" t="n">
        <f aca="false">IF(BU1821="LOSE",1,0)</f>
        <v>1</v>
      </c>
      <c r="BX1821" s="53" t="n">
        <f aca="false">IF(AND(U1821="",OR(P1821="",P1821="LOSE"),T1821&lt;&gt;"",N(S1821)&lt;=0,ISNUMBER(MATCH(T1821,Parameter!$I$27:$I$29,0))),1,0)</f>
        <v>0</v>
      </c>
      <c r="BY1821" s="53" t="n">
        <f aca="false">IF(CL1821&gt;0,INDEX(Parameter!$H$5:$H$7,W1821)/INDEX(Parameter!$E$5:$E$7,W1821),IF(AND(BW1821=0,N(IFERROR(VLOOKUP(BU1821,'Gebinde-Kategorie'!$A$5:$N$45,14,0),0))&gt;0),VLOOKUP(BU1821,'Gebinde-Kategorie'!$A$5:$N$45,14,0)*10+Parameter!$M$23,Parameter!$M$24))</f>
        <v>235</v>
      </c>
      <c r="BZ1821" s="48" t="str">
        <f aca="false">IF(AND(Parameter!$B$19="Ja",E1821&lt;&gt;"",ISNUMBER(MATCH(E1821,Parameter!$I$35:$I$52,0))),VLOOKUP(E1821,Parameter!$I$35:$J$52,2,0),IFERROR(VLOOKUP(D1821,Parameter!$A$35:$C$64,2,0),"Nein"))</f>
        <v>2+3</v>
      </c>
      <c r="CA1821" s="52" t="n">
        <f aca="false">IF(BW1821=0,0,IF(N(S1821)&gt;0,S1821,IFERROR(VLOOKUP(D1821,Parameter!$A$35:$C$64,3,0)+0,0)))</f>
        <v>0.15</v>
      </c>
      <c r="CB1821" s="48" t="str">
        <f aca="false">IF(AA1821&lt;&gt;"",AA1821,Z1821)</f>
        <v/>
      </c>
      <c r="CC1821" s="48" t="str">
        <f aca="false">IF(OR(CB1821=1,CB1821=2,CB1821=3),IF(Parameter!$E$27="Ja","LIFT",IF(CB1821=1,"L1","L23")),IF(CB1821="Aussen","Aussen","-"))</f>
        <v>-</v>
      </c>
      <c r="CD1821" s="59" t="n">
        <f aca="false">IF(N(AB1821)&gt;0,AB1821,0)</f>
        <v>0</v>
      </c>
      <c r="CE1821" s="53" t="n">
        <f aca="false">IF(ISNUMBER(AE1821),1,0)</f>
        <v>0</v>
      </c>
      <c r="CF1821" s="50" t="n">
        <f aca="false">N(AE1821)</f>
        <v>0</v>
      </c>
      <c r="CG1821" s="50" t="n">
        <f aca="false">N(M1821)+N(N1821)</f>
        <v>0</v>
      </c>
      <c r="CH1821" s="50" t="n">
        <f aca="false">ROUNDUP(H1821/BV1821,0)</f>
        <v>0</v>
      </c>
      <c r="CI1821" s="50" t="n">
        <f aca="false">ROUNDUP(CF1821/BV1821,0)</f>
        <v>0</v>
      </c>
      <c r="CJ1821" s="53" t="n">
        <f aca="false">IF(BW1821=1,0,IFERROR(VLOOKUP(BU1821,'Gebinde-Kategorie'!$A$5:$N$45,5,0)+0,0))</f>
        <v>0</v>
      </c>
      <c r="CK1821" s="53" t="n">
        <f aca="false">IFERROR(IF(OR(CB1821=1,CB1821=2,CB1821=3),N(INDEX(Parameter!$I$5:$I$7,CB1821)),0),0)</f>
        <v>0</v>
      </c>
      <c r="CL1821" s="52" t="n">
        <f aca="false">IF(AND(Parameter!$B$21="Ja",ISNUMBER(W1821),N(X1821)&gt;0),IFERROR(N(INDEX(Parameter!$L$5:$L$7,W1821))*INDEX(Parameter!$E$5:$E$7,W1821)*X1821/SUMIFS($X$7:$X$1843,$W$7:$W$1843,W1821),0),0)</f>
        <v>0</v>
      </c>
    </row>
    <row r="1822" customFormat="false" ht="15" hidden="false" customHeight="false" outlineLevel="0" collapsed="false">
      <c r="A1822" s="48" t="str">
        <f aca="false">IF('Neue Artikel'!$A$83="","",'Neue Artikel'!$A$83&amp;"")</f>
        <v/>
      </c>
      <c r="B1822" s="48" t="str">
        <f aca="false">'Neue Artikel'!$B$83&amp;""</f>
        <v/>
      </c>
      <c r="C1822" s="48"/>
      <c r="D1822" s="48" t="s">
        <v>3019</v>
      </c>
      <c r="E1822" s="48"/>
      <c r="F1822" s="48"/>
      <c r="G1822" s="49" t="n">
        <f aca="false">N('Neue Artikel'!$G$83)</f>
        <v>0</v>
      </c>
      <c r="H1822" s="50" t="n">
        <f aca="false">MAX(0,IF(AND(Parameter!$B$21="Ja",ISNUMBER(Y1822)),Y1822,IF(Parameter!$B$20="Jahresanfang 2025 + Export",BO1822+BN1822,BN1822)))</f>
        <v>0</v>
      </c>
      <c r="I1822" s="50" t="n">
        <f aca="false">H1822*G1822</f>
        <v>0</v>
      </c>
      <c r="J1822" s="50" t="n">
        <f aca="false">BQ1822*Parameter!$B$18</f>
        <v>0</v>
      </c>
      <c r="K1822" s="51"/>
      <c r="L1822" s="52"/>
      <c r="M1822" s="50" t="n">
        <f aca="false">N('Neue Artikel'!$E$83)</f>
        <v>0</v>
      </c>
      <c r="N1822" s="50" t="n">
        <f aca="false">N('Neue Artikel'!$F$83)</f>
        <v>0</v>
      </c>
      <c r="O1822" s="53"/>
      <c r="P1822" s="48" t="str">
        <f aca="false">IF('Neue Artikel'!$H$83="","LOSE",UPPER(TRIM('Neue Artikel'!$H$83)))</f>
        <v>LOSE</v>
      </c>
      <c r="Q1822" s="50" t="n">
        <f aca="false">N('Neue Artikel'!$I$83)</f>
        <v>0</v>
      </c>
      <c r="R1822" s="53" t="n">
        <f aca="false">IF(BW1822=1,0,IFERROR(VLOOKUP(BU1822,'Gebinde-Kategorie'!$A$5:$N$45,13,0)+0,0))</f>
        <v>0</v>
      </c>
      <c r="S1822" s="54"/>
      <c r="T1822" s="55"/>
      <c r="U1822" s="55"/>
      <c r="V1822" s="55"/>
      <c r="W1822" s="48"/>
      <c r="X1822" s="50"/>
      <c r="Y1822" s="50"/>
      <c r="Z1822" s="48" t="str">
        <f aca="false">IF(A1822="","",IF(AND(Parameter!$B$21="Ja",ISNUMBER(W1822)),W1822,IF(BZ1822="2+3",IF(ISNUMBER(SEARCH("grosser Artikel",BR1822)),2,IFERROR(VLOOKUP(BU1822,Parameter!$F$35:$G$64,2,0),2)),IF(OR(BZ1822="Nein",BZ1822=""),"-",BZ1822))))</f>
        <v/>
      </c>
      <c r="AA1822" s="48" t="str">
        <f aca="false">IF('Neue Artikel'!$J$83="","",'Neue Artikel'!$J$83)</f>
        <v/>
      </c>
      <c r="AB1822" s="56"/>
      <c r="AC1822" s="50" t="n">
        <f aca="false">AT1822</f>
        <v>0</v>
      </c>
      <c r="AD1822" s="50" t="n">
        <f aca="false">MAX(AT1822,H1822)</f>
        <v>0</v>
      </c>
      <c r="AE1822" s="57"/>
      <c r="AF1822" s="50" t="n">
        <f aca="false">IF(LEFT(Cockpit!$C$5,1)="A",H1822,IF(CE1822=1,CF1822,IF(LEFT(Cockpit!$C$5,1)="B",AK1822,MAX(AK1822,H1822))))</f>
        <v>0</v>
      </c>
      <c r="AG1822" s="50" t="n">
        <f aca="false">IF(BW1822=1,0,ROUNDUP(AF1822/BV1822,0))</f>
        <v>0</v>
      </c>
      <c r="AH1822" s="52" t="n">
        <f aca="false">IF(CL1822&gt;0,CL1822*MAX(1,AF1822/X1822),IF(BW1822=1,IF(AF1822&lt;=0,0,CA1822*MAX(1,IF(H1822&gt;0,AF1822/H1822,1))),IF(R1822&gt;0,AG1822/R1822,0))/MAX(0.1,N(Parameter!$M$21)))</f>
        <v>0</v>
      </c>
      <c r="AI1822" s="50" t="n">
        <f aca="false">AH1822*BY1822</f>
        <v>0</v>
      </c>
      <c r="AJ1822" s="50" t="n">
        <f aca="false">AF1822*G1822</f>
        <v>0</v>
      </c>
      <c r="AK1822" s="50" t="n">
        <f aca="false">ROUNDUP(MAX(J1822/IF(CD1822&gt;0,CD1822,MAX(0.1,N(Cockpit!$C$6))),CG1822)/BV1822,0)*BV1822</f>
        <v>0</v>
      </c>
      <c r="AL1822" s="51" t="n">
        <f aca="false">IF(AI1822&gt;0,J1822/AI1822,-1)</f>
        <v>-1</v>
      </c>
      <c r="AM1822" s="51" t="str">
        <f aca="false">IF(AND(OR(CC1822="L1",CC1822="L23",CC1822="LIFT"),AI1822&gt;0),SUMIFS($AI$7:$AI$1843,$CC$7:$CC$1843,CC1822,$AL$7:$AL$1843,"&gt;"&amp;AL1822)+SUMIFS($AI$7:$AI$1843,$CC$7:$CC$1843,CC1822,$AL$7:$AL$1843,AL1822,$BT$7:$BT$1843,"&lt;="&amp;BT1822),"")</f>
        <v/>
      </c>
      <c r="AN1822" s="58" t="n">
        <f aca="false">IF(AM1822="",0,MAX(0,MIN(1,(IF(CC1822="L1",Parameter!$H$5,IF(CC1822="L23",Parameter!$H$6+Parameter!$H$7,Parameter!$H$5+Parameter!$H$6+Parameter!$H$7))-(AM1822-AI1822))/AI1822)))</f>
        <v>0</v>
      </c>
      <c r="AO1822" s="50" t="n">
        <f aca="false">IF(LEFT(Cockpit!$I$5,1)="A",H1822,IF(CE1822=1,CF1822,IF(LEFT(Cockpit!$I$5,1)="B",AT1822,MAX(AT1822,H1822))))</f>
        <v>0</v>
      </c>
      <c r="AP1822" s="50" t="n">
        <f aca="false">IF(BW1822=1,0,ROUNDUP(AO1822/BV1822,0))</f>
        <v>0</v>
      </c>
      <c r="AQ1822" s="52" t="n">
        <f aca="false">IF(CL1822&gt;0,CL1822*MAX(1,AO1822/X1822),IF(BW1822=1,IF(AO1822&lt;=0,0,CA1822*MAX(1,IF(H1822&gt;0,AO1822/H1822,1))),IF(R1822&gt;0,AP1822/R1822,0))/MAX(0.1,N(Parameter!$M$21)))</f>
        <v>0</v>
      </c>
      <c r="AR1822" s="50" t="n">
        <f aca="false">AQ1822*BY1822</f>
        <v>0</v>
      </c>
      <c r="AS1822" s="50" t="n">
        <f aca="false">AO1822*G1822</f>
        <v>0</v>
      </c>
      <c r="AT1822" s="50" t="n">
        <f aca="false">ROUNDUP(MAX(J1822/IF(CD1822&gt;0,CD1822,MAX(0.1,N(Cockpit!$I$6))),CG1822)/BV1822,0)*BV1822</f>
        <v>0</v>
      </c>
      <c r="AU1822" s="51" t="n">
        <f aca="false">IF(AR1822&gt;0,J1822/AR1822,-1)</f>
        <v>-1</v>
      </c>
      <c r="AV1822" s="51" t="str">
        <f aca="false">IF(AND(OR(CC1822="L1",CC1822="L23",CC1822="LIFT"),AR1822&gt;0),SUMIFS($AR$7:$AR$1843,$CC$7:$CC$1843,CC1822,$AU$7:$AU$1843,"&gt;"&amp;AU1822)+SUMIFS($AR$7:$AR$1843,$CC$7:$CC$1843,CC1822,$AU$7:$AU$1843,AU1822,$BT$7:$BT$1843,"&lt;="&amp;BT1822),"")</f>
        <v/>
      </c>
      <c r="AW1822" s="58" t="n">
        <f aca="false">IF(AV1822="",0,MAX(0,MIN(1,(IF(CC1822="L1",Parameter!$H$5,IF(CC1822="L23",Parameter!$H$6+Parameter!$H$7,Parameter!$H$5+Parameter!$H$6+Parameter!$H$7))-(AV1822-AR1822))/AR1822)))</f>
        <v>0</v>
      </c>
      <c r="AX1822" s="50" t="n">
        <f aca="false">IF(LEFT(Cockpit!$O$5,1)="A",H1822,IF(CE1822=1,CF1822,IF(LEFT(Cockpit!$O$5,1)="B",BC1822,MAX(BC1822,H1822))))</f>
        <v>0</v>
      </c>
      <c r="AY1822" s="50" t="n">
        <f aca="false">IF(BW1822=1,0,ROUNDUP(AX1822/BV1822,0))</f>
        <v>0</v>
      </c>
      <c r="AZ1822" s="52" t="n">
        <f aca="false">IF(CL1822&gt;0,CL1822*MAX(1,AX1822/X1822),IF(BW1822=1,IF(AX1822&lt;=0,0,CA1822*MAX(1,IF(H1822&gt;0,AX1822/H1822,1))),IF(R1822&gt;0,AY1822/R1822,0))/MAX(0.1,N(Parameter!$M$21)))</f>
        <v>0</v>
      </c>
      <c r="BA1822" s="50" t="n">
        <f aca="false">AZ1822*BY1822</f>
        <v>0</v>
      </c>
      <c r="BB1822" s="50" t="n">
        <f aca="false">AX1822*G1822</f>
        <v>0</v>
      </c>
      <c r="BC1822" s="50" t="n">
        <f aca="false">ROUNDUP(MAX(J1822/IF(CD1822&gt;0,CD1822,MAX(0.1,N(Cockpit!$O$6))),CG1822)/BV1822,0)*BV1822</f>
        <v>0</v>
      </c>
      <c r="BD1822" s="51" t="n">
        <f aca="false">IF(BA1822&gt;0,J1822/BA1822,-1)</f>
        <v>-1</v>
      </c>
      <c r="BE1822" s="51" t="str">
        <f aca="false">IF(AND(OR(CC1822="L1",CC1822="L23",CC1822="LIFT"),BA1822&gt;0),SUMIFS($BA$7:$BA$1843,$CC$7:$CC$1843,CC1822,$BD$7:$BD$1843,"&gt;"&amp;BD1822)+SUMIFS($BA$7:$BA$1843,$CC$7:$CC$1843,CC1822,$BD$7:$BD$1843,BD1822,$BT$7:$BT$1843,"&lt;="&amp;BT1822),"")</f>
        <v/>
      </c>
      <c r="BF1822" s="58" t="n">
        <f aca="false">IF(BE1822="",0,MAX(0,MIN(1,(IF(CC1822="L1",Parameter!$H$5,IF(CC1822="L23",Parameter!$H$6+Parameter!$H$7,Parameter!$H$5+Parameter!$H$6+Parameter!$H$7))-(BE1822-BA1822))/BA1822)))</f>
        <v>0</v>
      </c>
      <c r="BG1822" s="48" t="str">
        <f aca="false">IF(AI1822&lt;=0,"",IF(CC1822="Aussen","Aussenlager",IF(CC1822="-","Nicht im Lift",IF(AN1822&gt;=1,"Lift",IF(AN1822&lt;=0,"Aussenlager","teilweise")))))</f>
        <v/>
      </c>
      <c r="BH1822" s="48" t="str">
        <f aca="false">IF(AR1822&lt;=0,"",IF(CC1822="Aussen","Aussenlager",IF(CC1822="-","Nicht im Lift",IF(AW1822&gt;=1,"Lift",IF(AW1822&lt;=0,"Aussenlager","teilweise")))))</f>
        <v/>
      </c>
      <c r="BI1822" s="48" t="str">
        <f aca="false">IF(BA1822&lt;=0,"",IF(CC1822="Aussen","Aussenlager",IF(CC1822="-","Nicht im Lift",IF(BF1822&gt;=1,"Lift",IF(BF1822&lt;=0,"Aussenlager","teilweise")))))</f>
        <v/>
      </c>
      <c r="BJ1822" s="48" t="str">
        <f aca="false">IF(A1822="","",IF(BS1822=1,"Neu; ","")&amp;IF(AND(BS1822=0,BN1822&lt;0),"negativer Bestand (Export "&amp;BN1822&amp;"); ","")&amp;IF(J1822&lt;=0,"Kein Verbrauch; ","")&amp;IF(CL1822&gt;0,"Lift "&amp;W1822&amp;" lt. Liftbericht (Fach "&amp;X1822&amp;" Stk); ",IF(BX1822=1,"Gebinde geschätzt ("&amp;T1822&amp;"); ",IF(BW1822=1,"Lose – Tablare geschätzt; ","")))&amp;IF(H1822&gt;AT1822,"Überbestand "&amp;ROUND(H1822-AT1822,0)&amp;" Stk / CHF "&amp;ROUND((H1822-AT1822)*G1822,0)&amp;"; ","")&amp;IF(AND(CE1822=1,CF1822&lt;CG1822),"MAX &lt; MB+LG; ","")&amp;IF(AND(CK1822&gt;0,CJ1822*10&gt;CK1822),"zu hoch für Tablar; ","")&amp;IF(AND(BS1822=0,OR(CE1822=1,AA1822&lt;&gt;"",U1822&lt;&gt;"",V1822&lt;&gt;"",AB1822&lt;&gt;"")),"manuell übersteuert; ","")&amp;IF(AND(BW1822=0,R1822=0),"Gebinde unbekannt / Stellmass fehlt; ","")&amp;IF(AND(BW1822=0,N(V1822)&lt;=0,N(Q1822)&lt;=0),"Menge pro Gebinde fehlt (Ist = 1 Gebinde); ","")&amp;BR1822)</f>
        <v/>
      </c>
      <c r="BK1822" s="48"/>
      <c r="BL1822" s="48"/>
      <c r="BM1822" s="55"/>
      <c r="BN1822" s="50" t="n">
        <f aca="false">N('Neue Artikel'!$D$83)</f>
        <v>0</v>
      </c>
      <c r="BO1822" s="50" t="n">
        <v>0</v>
      </c>
      <c r="BP1822" s="49" t="n">
        <v>0</v>
      </c>
      <c r="BQ1822" s="50" t="n">
        <f aca="false">N('Neue Artikel'!$C$83)/Parameter!$B$18</f>
        <v>0</v>
      </c>
      <c r="BR1822" s="48"/>
      <c r="BS1822" s="53" t="n">
        <v>1</v>
      </c>
      <c r="BT1822" s="53" t="n">
        <v>1822</v>
      </c>
      <c r="BU1822" s="48" t="str">
        <f aca="false">IF(U1822&lt;&gt;"",UPPER(TRIM(U1822)),IF(BX1822=1,UPPER(VLOOKUP(T1822,Parameter!$I$27:$K$29,2,0)),IF(P1822="","LOSE",P1822)))</f>
        <v>LOSE</v>
      </c>
      <c r="BV1822" s="50" t="n">
        <f aca="false">IF(BU1822="LOSE",1,IF(N(V1822)&gt;0,V1822,IF(BX1822=1,MAX(1,N(VLOOKUP(T1822,Parameter!$I$27:$K$29,3,0)),H1822,N(N1822)),IF(N(Q1822)&gt;0,Q1822,MAX(1,H1822)))))</f>
        <v>1</v>
      </c>
      <c r="BW1822" s="53" t="n">
        <f aca="false">IF(BU1822="LOSE",1,0)</f>
        <v>1</v>
      </c>
      <c r="BX1822" s="53" t="n">
        <f aca="false">IF(AND(U1822="",OR(P1822="",P1822="LOSE"),T1822&lt;&gt;"",N(S1822)&lt;=0,ISNUMBER(MATCH(T1822,Parameter!$I$27:$I$29,0))),1,0)</f>
        <v>0</v>
      </c>
      <c r="BY1822" s="53" t="n">
        <f aca="false">IF(CL1822&gt;0,INDEX(Parameter!$H$5:$H$7,W1822)/INDEX(Parameter!$E$5:$E$7,W1822),IF(AND(BW1822=0,N(IFERROR(VLOOKUP(BU1822,'Gebinde-Kategorie'!$A$5:$N$45,14,0),0))&gt;0),VLOOKUP(BU1822,'Gebinde-Kategorie'!$A$5:$N$45,14,0)*10+Parameter!$M$23,Parameter!$M$24))</f>
        <v>235</v>
      </c>
      <c r="BZ1822" s="48" t="str">
        <f aca="false">IF(AND(Parameter!$B$19="Ja",E1822&lt;&gt;"",ISNUMBER(MATCH(E1822,Parameter!$I$35:$I$52,0))),VLOOKUP(E1822,Parameter!$I$35:$J$52,2,0),IFERROR(VLOOKUP(D1822,Parameter!$A$35:$C$64,2,0),"Nein"))</f>
        <v>2+3</v>
      </c>
      <c r="CA1822" s="52" t="n">
        <f aca="false">IF(BW1822=0,0,IF(N(S1822)&gt;0,S1822,IFERROR(VLOOKUP(D1822,Parameter!$A$35:$C$64,3,0)+0,0)))</f>
        <v>0.15</v>
      </c>
      <c r="CB1822" s="48" t="str">
        <f aca="false">IF(AA1822&lt;&gt;"",AA1822,Z1822)</f>
        <v/>
      </c>
      <c r="CC1822" s="48" t="str">
        <f aca="false">IF(OR(CB1822=1,CB1822=2,CB1822=3),IF(Parameter!$E$27="Ja","LIFT",IF(CB1822=1,"L1","L23")),IF(CB1822="Aussen","Aussen","-"))</f>
        <v>-</v>
      </c>
      <c r="CD1822" s="59" t="n">
        <f aca="false">IF(N(AB1822)&gt;0,AB1822,0)</f>
        <v>0</v>
      </c>
      <c r="CE1822" s="53" t="n">
        <f aca="false">IF(ISNUMBER(AE1822),1,0)</f>
        <v>0</v>
      </c>
      <c r="CF1822" s="50" t="n">
        <f aca="false">N(AE1822)</f>
        <v>0</v>
      </c>
      <c r="CG1822" s="50" t="n">
        <f aca="false">N(M1822)+N(N1822)</f>
        <v>0</v>
      </c>
      <c r="CH1822" s="50" t="n">
        <f aca="false">ROUNDUP(H1822/BV1822,0)</f>
        <v>0</v>
      </c>
      <c r="CI1822" s="50" t="n">
        <f aca="false">ROUNDUP(CF1822/BV1822,0)</f>
        <v>0</v>
      </c>
      <c r="CJ1822" s="53" t="n">
        <f aca="false">IF(BW1822=1,0,IFERROR(VLOOKUP(BU1822,'Gebinde-Kategorie'!$A$5:$N$45,5,0)+0,0))</f>
        <v>0</v>
      </c>
      <c r="CK1822" s="53" t="n">
        <f aca="false">IFERROR(IF(OR(CB1822=1,CB1822=2,CB1822=3),N(INDEX(Parameter!$I$5:$I$7,CB1822)),0),0)</f>
        <v>0</v>
      </c>
      <c r="CL1822" s="52" t="n">
        <f aca="false">IF(AND(Parameter!$B$21="Ja",ISNUMBER(W1822),N(X1822)&gt;0),IFERROR(N(INDEX(Parameter!$L$5:$L$7,W1822))*INDEX(Parameter!$E$5:$E$7,W1822)*X1822/SUMIFS($X$7:$X$1843,$W$7:$W$1843,W1822),0),0)</f>
        <v>0</v>
      </c>
    </row>
    <row r="1823" customFormat="false" ht="15" hidden="false" customHeight="false" outlineLevel="0" collapsed="false">
      <c r="A1823" s="48" t="str">
        <f aca="false">IF('Neue Artikel'!$A$84="","",'Neue Artikel'!$A$84&amp;"")</f>
        <v/>
      </c>
      <c r="B1823" s="48" t="str">
        <f aca="false">'Neue Artikel'!$B$84&amp;""</f>
        <v/>
      </c>
      <c r="C1823" s="48"/>
      <c r="D1823" s="48" t="s">
        <v>3019</v>
      </c>
      <c r="E1823" s="48"/>
      <c r="F1823" s="48"/>
      <c r="G1823" s="49" t="n">
        <f aca="false">N('Neue Artikel'!$G$84)</f>
        <v>0</v>
      </c>
      <c r="H1823" s="50" t="n">
        <f aca="false">MAX(0,IF(AND(Parameter!$B$21="Ja",ISNUMBER(Y1823)),Y1823,IF(Parameter!$B$20="Jahresanfang 2025 + Export",BO1823+BN1823,BN1823)))</f>
        <v>0</v>
      </c>
      <c r="I1823" s="50" t="n">
        <f aca="false">H1823*G1823</f>
        <v>0</v>
      </c>
      <c r="J1823" s="50" t="n">
        <f aca="false">BQ1823*Parameter!$B$18</f>
        <v>0</v>
      </c>
      <c r="K1823" s="51"/>
      <c r="L1823" s="52"/>
      <c r="M1823" s="50" t="n">
        <f aca="false">N('Neue Artikel'!$E$84)</f>
        <v>0</v>
      </c>
      <c r="N1823" s="50" t="n">
        <f aca="false">N('Neue Artikel'!$F$84)</f>
        <v>0</v>
      </c>
      <c r="O1823" s="53"/>
      <c r="P1823" s="48" t="str">
        <f aca="false">IF('Neue Artikel'!$H$84="","LOSE",UPPER(TRIM('Neue Artikel'!$H$84)))</f>
        <v>LOSE</v>
      </c>
      <c r="Q1823" s="50" t="n">
        <f aca="false">N('Neue Artikel'!$I$84)</f>
        <v>0</v>
      </c>
      <c r="R1823" s="53" t="n">
        <f aca="false">IF(BW1823=1,0,IFERROR(VLOOKUP(BU1823,'Gebinde-Kategorie'!$A$5:$N$45,13,0)+0,0))</f>
        <v>0</v>
      </c>
      <c r="S1823" s="54"/>
      <c r="T1823" s="55"/>
      <c r="U1823" s="55"/>
      <c r="V1823" s="55"/>
      <c r="W1823" s="48"/>
      <c r="X1823" s="50"/>
      <c r="Y1823" s="50"/>
      <c r="Z1823" s="48" t="str">
        <f aca="false">IF(A1823="","",IF(AND(Parameter!$B$21="Ja",ISNUMBER(W1823)),W1823,IF(BZ1823="2+3",IF(ISNUMBER(SEARCH("grosser Artikel",BR1823)),2,IFERROR(VLOOKUP(BU1823,Parameter!$F$35:$G$64,2,0),2)),IF(OR(BZ1823="Nein",BZ1823=""),"-",BZ1823))))</f>
        <v/>
      </c>
      <c r="AA1823" s="48" t="str">
        <f aca="false">IF('Neue Artikel'!$J$84="","",'Neue Artikel'!$J$84)</f>
        <v/>
      </c>
      <c r="AB1823" s="56"/>
      <c r="AC1823" s="50" t="n">
        <f aca="false">AT1823</f>
        <v>0</v>
      </c>
      <c r="AD1823" s="50" t="n">
        <f aca="false">MAX(AT1823,H1823)</f>
        <v>0</v>
      </c>
      <c r="AE1823" s="57"/>
      <c r="AF1823" s="50" t="n">
        <f aca="false">IF(LEFT(Cockpit!$C$5,1)="A",H1823,IF(CE1823=1,CF1823,IF(LEFT(Cockpit!$C$5,1)="B",AK1823,MAX(AK1823,H1823))))</f>
        <v>0</v>
      </c>
      <c r="AG1823" s="50" t="n">
        <f aca="false">IF(BW1823=1,0,ROUNDUP(AF1823/BV1823,0))</f>
        <v>0</v>
      </c>
      <c r="AH1823" s="52" t="n">
        <f aca="false">IF(CL1823&gt;0,CL1823*MAX(1,AF1823/X1823),IF(BW1823=1,IF(AF1823&lt;=0,0,CA1823*MAX(1,IF(H1823&gt;0,AF1823/H1823,1))),IF(R1823&gt;0,AG1823/R1823,0))/MAX(0.1,N(Parameter!$M$21)))</f>
        <v>0</v>
      </c>
      <c r="AI1823" s="50" t="n">
        <f aca="false">AH1823*BY1823</f>
        <v>0</v>
      </c>
      <c r="AJ1823" s="50" t="n">
        <f aca="false">AF1823*G1823</f>
        <v>0</v>
      </c>
      <c r="AK1823" s="50" t="n">
        <f aca="false">ROUNDUP(MAX(J1823/IF(CD1823&gt;0,CD1823,MAX(0.1,N(Cockpit!$C$6))),CG1823)/BV1823,0)*BV1823</f>
        <v>0</v>
      </c>
      <c r="AL1823" s="51" t="n">
        <f aca="false">IF(AI1823&gt;0,J1823/AI1823,-1)</f>
        <v>-1</v>
      </c>
      <c r="AM1823" s="51" t="str">
        <f aca="false">IF(AND(OR(CC1823="L1",CC1823="L23",CC1823="LIFT"),AI1823&gt;0),SUMIFS($AI$7:$AI$1843,$CC$7:$CC$1843,CC1823,$AL$7:$AL$1843,"&gt;"&amp;AL1823)+SUMIFS($AI$7:$AI$1843,$CC$7:$CC$1843,CC1823,$AL$7:$AL$1843,AL1823,$BT$7:$BT$1843,"&lt;="&amp;BT1823),"")</f>
        <v/>
      </c>
      <c r="AN1823" s="58" t="n">
        <f aca="false">IF(AM1823="",0,MAX(0,MIN(1,(IF(CC1823="L1",Parameter!$H$5,IF(CC1823="L23",Parameter!$H$6+Parameter!$H$7,Parameter!$H$5+Parameter!$H$6+Parameter!$H$7))-(AM1823-AI1823))/AI1823)))</f>
        <v>0</v>
      </c>
      <c r="AO1823" s="50" t="n">
        <f aca="false">IF(LEFT(Cockpit!$I$5,1)="A",H1823,IF(CE1823=1,CF1823,IF(LEFT(Cockpit!$I$5,1)="B",AT1823,MAX(AT1823,H1823))))</f>
        <v>0</v>
      </c>
      <c r="AP1823" s="50" t="n">
        <f aca="false">IF(BW1823=1,0,ROUNDUP(AO1823/BV1823,0))</f>
        <v>0</v>
      </c>
      <c r="AQ1823" s="52" t="n">
        <f aca="false">IF(CL1823&gt;0,CL1823*MAX(1,AO1823/X1823),IF(BW1823=1,IF(AO1823&lt;=0,0,CA1823*MAX(1,IF(H1823&gt;0,AO1823/H1823,1))),IF(R1823&gt;0,AP1823/R1823,0))/MAX(0.1,N(Parameter!$M$21)))</f>
        <v>0</v>
      </c>
      <c r="AR1823" s="50" t="n">
        <f aca="false">AQ1823*BY1823</f>
        <v>0</v>
      </c>
      <c r="AS1823" s="50" t="n">
        <f aca="false">AO1823*G1823</f>
        <v>0</v>
      </c>
      <c r="AT1823" s="50" t="n">
        <f aca="false">ROUNDUP(MAX(J1823/IF(CD1823&gt;0,CD1823,MAX(0.1,N(Cockpit!$I$6))),CG1823)/BV1823,0)*BV1823</f>
        <v>0</v>
      </c>
      <c r="AU1823" s="51" t="n">
        <f aca="false">IF(AR1823&gt;0,J1823/AR1823,-1)</f>
        <v>-1</v>
      </c>
      <c r="AV1823" s="51" t="str">
        <f aca="false">IF(AND(OR(CC1823="L1",CC1823="L23",CC1823="LIFT"),AR1823&gt;0),SUMIFS($AR$7:$AR$1843,$CC$7:$CC$1843,CC1823,$AU$7:$AU$1843,"&gt;"&amp;AU1823)+SUMIFS($AR$7:$AR$1843,$CC$7:$CC$1843,CC1823,$AU$7:$AU$1843,AU1823,$BT$7:$BT$1843,"&lt;="&amp;BT1823),"")</f>
        <v/>
      </c>
      <c r="AW1823" s="58" t="n">
        <f aca="false">IF(AV1823="",0,MAX(0,MIN(1,(IF(CC1823="L1",Parameter!$H$5,IF(CC1823="L23",Parameter!$H$6+Parameter!$H$7,Parameter!$H$5+Parameter!$H$6+Parameter!$H$7))-(AV1823-AR1823))/AR1823)))</f>
        <v>0</v>
      </c>
      <c r="AX1823" s="50" t="n">
        <f aca="false">IF(LEFT(Cockpit!$O$5,1)="A",H1823,IF(CE1823=1,CF1823,IF(LEFT(Cockpit!$O$5,1)="B",BC1823,MAX(BC1823,H1823))))</f>
        <v>0</v>
      </c>
      <c r="AY1823" s="50" t="n">
        <f aca="false">IF(BW1823=1,0,ROUNDUP(AX1823/BV1823,0))</f>
        <v>0</v>
      </c>
      <c r="AZ1823" s="52" t="n">
        <f aca="false">IF(CL1823&gt;0,CL1823*MAX(1,AX1823/X1823),IF(BW1823=1,IF(AX1823&lt;=0,0,CA1823*MAX(1,IF(H1823&gt;0,AX1823/H1823,1))),IF(R1823&gt;0,AY1823/R1823,0))/MAX(0.1,N(Parameter!$M$21)))</f>
        <v>0</v>
      </c>
      <c r="BA1823" s="50" t="n">
        <f aca="false">AZ1823*BY1823</f>
        <v>0</v>
      </c>
      <c r="BB1823" s="50" t="n">
        <f aca="false">AX1823*G1823</f>
        <v>0</v>
      </c>
      <c r="BC1823" s="50" t="n">
        <f aca="false">ROUNDUP(MAX(J1823/IF(CD1823&gt;0,CD1823,MAX(0.1,N(Cockpit!$O$6))),CG1823)/BV1823,0)*BV1823</f>
        <v>0</v>
      </c>
      <c r="BD1823" s="51" t="n">
        <f aca="false">IF(BA1823&gt;0,J1823/BA1823,-1)</f>
        <v>-1</v>
      </c>
      <c r="BE1823" s="51" t="str">
        <f aca="false">IF(AND(OR(CC1823="L1",CC1823="L23",CC1823="LIFT"),BA1823&gt;0),SUMIFS($BA$7:$BA$1843,$CC$7:$CC$1843,CC1823,$BD$7:$BD$1843,"&gt;"&amp;BD1823)+SUMIFS($BA$7:$BA$1843,$CC$7:$CC$1843,CC1823,$BD$7:$BD$1843,BD1823,$BT$7:$BT$1843,"&lt;="&amp;BT1823),"")</f>
        <v/>
      </c>
      <c r="BF1823" s="58" t="n">
        <f aca="false">IF(BE1823="",0,MAX(0,MIN(1,(IF(CC1823="L1",Parameter!$H$5,IF(CC1823="L23",Parameter!$H$6+Parameter!$H$7,Parameter!$H$5+Parameter!$H$6+Parameter!$H$7))-(BE1823-BA1823))/BA1823)))</f>
        <v>0</v>
      </c>
      <c r="BG1823" s="48" t="str">
        <f aca="false">IF(AI1823&lt;=0,"",IF(CC1823="Aussen","Aussenlager",IF(CC1823="-","Nicht im Lift",IF(AN1823&gt;=1,"Lift",IF(AN1823&lt;=0,"Aussenlager","teilweise")))))</f>
        <v/>
      </c>
      <c r="BH1823" s="48" t="str">
        <f aca="false">IF(AR1823&lt;=0,"",IF(CC1823="Aussen","Aussenlager",IF(CC1823="-","Nicht im Lift",IF(AW1823&gt;=1,"Lift",IF(AW1823&lt;=0,"Aussenlager","teilweise")))))</f>
        <v/>
      </c>
      <c r="BI1823" s="48" t="str">
        <f aca="false">IF(BA1823&lt;=0,"",IF(CC1823="Aussen","Aussenlager",IF(CC1823="-","Nicht im Lift",IF(BF1823&gt;=1,"Lift",IF(BF1823&lt;=0,"Aussenlager","teilweise")))))</f>
        <v/>
      </c>
      <c r="BJ1823" s="48" t="str">
        <f aca="false">IF(A1823="","",IF(BS1823=1,"Neu; ","")&amp;IF(AND(BS1823=0,BN1823&lt;0),"negativer Bestand (Export "&amp;BN1823&amp;"); ","")&amp;IF(J1823&lt;=0,"Kein Verbrauch; ","")&amp;IF(CL1823&gt;0,"Lift "&amp;W1823&amp;" lt. Liftbericht (Fach "&amp;X1823&amp;" Stk); ",IF(BX1823=1,"Gebinde geschätzt ("&amp;T1823&amp;"); ",IF(BW1823=1,"Lose – Tablare geschätzt; ","")))&amp;IF(H1823&gt;AT1823,"Überbestand "&amp;ROUND(H1823-AT1823,0)&amp;" Stk / CHF "&amp;ROUND((H1823-AT1823)*G1823,0)&amp;"; ","")&amp;IF(AND(CE1823=1,CF1823&lt;CG1823),"MAX &lt; MB+LG; ","")&amp;IF(AND(CK1823&gt;0,CJ1823*10&gt;CK1823),"zu hoch für Tablar; ","")&amp;IF(AND(BS1823=0,OR(CE1823=1,AA1823&lt;&gt;"",U1823&lt;&gt;"",V1823&lt;&gt;"",AB1823&lt;&gt;"")),"manuell übersteuert; ","")&amp;IF(AND(BW1823=0,R1823=0),"Gebinde unbekannt / Stellmass fehlt; ","")&amp;IF(AND(BW1823=0,N(V1823)&lt;=0,N(Q1823)&lt;=0),"Menge pro Gebinde fehlt (Ist = 1 Gebinde); ","")&amp;BR1823)</f>
        <v/>
      </c>
      <c r="BK1823" s="48"/>
      <c r="BL1823" s="48"/>
      <c r="BM1823" s="55"/>
      <c r="BN1823" s="50" t="n">
        <f aca="false">N('Neue Artikel'!$D$84)</f>
        <v>0</v>
      </c>
      <c r="BO1823" s="50" t="n">
        <v>0</v>
      </c>
      <c r="BP1823" s="49" t="n">
        <v>0</v>
      </c>
      <c r="BQ1823" s="50" t="n">
        <f aca="false">N('Neue Artikel'!$C$84)/Parameter!$B$18</f>
        <v>0</v>
      </c>
      <c r="BR1823" s="48"/>
      <c r="BS1823" s="53" t="n">
        <v>1</v>
      </c>
      <c r="BT1823" s="53" t="n">
        <v>1823</v>
      </c>
      <c r="BU1823" s="48" t="str">
        <f aca="false">IF(U1823&lt;&gt;"",UPPER(TRIM(U1823)),IF(BX1823=1,UPPER(VLOOKUP(T1823,Parameter!$I$27:$K$29,2,0)),IF(P1823="","LOSE",P1823)))</f>
        <v>LOSE</v>
      </c>
      <c r="BV1823" s="50" t="n">
        <f aca="false">IF(BU1823="LOSE",1,IF(N(V1823)&gt;0,V1823,IF(BX1823=1,MAX(1,N(VLOOKUP(T1823,Parameter!$I$27:$K$29,3,0)),H1823,N(N1823)),IF(N(Q1823)&gt;0,Q1823,MAX(1,H1823)))))</f>
        <v>1</v>
      </c>
      <c r="BW1823" s="53" t="n">
        <f aca="false">IF(BU1823="LOSE",1,0)</f>
        <v>1</v>
      </c>
      <c r="BX1823" s="53" t="n">
        <f aca="false">IF(AND(U1823="",OR(P1823="",P1823="LOSE"),T1823&lt;&gt;"",N(S1823)&lt;=0,ISNUMBER(MATCH(T1823,Parameter!$I$27:$I$29,0))),1,0)</f>
        <v>0</v>
      </c>
      <c r="BY1823" s="53" t="n">
        <f aca="false">IF(CL1823&gt;0,INDEX(Parameter!$H$5:$H$7,W1823)/INDEX(Parameter!$E$5:$E$7,W1823),IF(AND(BW1823=0,N(IFERROR(VLOOKUP(BU1823,'Gebinde-Kategorie'!$A$5:$N$45,14,0),0))&gt;0),VLOOKUP(BU1823,'Gebinde-Kategorie'!$A$5:$N$45,14,0)*10+Parameter!$M$23,Parameter!$M$24))</f>
        <v>235</v>
      </c>
      <c r="BZ1823" s="48" t="str">
        <f aca="false">IF(AND(Parameter!$B$19="Ja",E1823&lt;&gt;"",ISNUMBER(MATCH(E1823,Parameter!$I$35:$I$52,0))),VLOOKUP(E1823,Parameter!$I$35:$J$52,2,0),IFERROR(VLOOKUP(D1823,Parameter!$A$35:$C$64,2,0),"Nein"))</f>
        <v>2+3</v>
      </c>
      <c r="CA1823" s="52" t="n">
        <f aca="false">IF(BW1823=0,0,IF(N(S1823)&gt;0,S1823,IFERROR(VLOOKUP(D1823,Parameter!$A$35:$C$64,3,0)+0,0)))</f>
        <v>0.15</v>
      </c>
      <c r="CB1823" s="48" t="str">
        <f aca="false">IF(AA1823&lt;&gt;"",AA1823,Z1823)</f>
        <v/>
      </c>
      <c r="CC1823" s="48" t="str">
        <f aca="false">IF(OR(CB1823=1,CB1823=2,CB1823=3),IF(Parameter!$E$27="Ja","LIFT",IF(CB1823=1,"L1","L23")),IF(CB1823="Aussen","Aussen","-"))</f>
        <v>-</v>
      </c>
      <c r="CD1823" s="59" t="n">
        <f aca="false">IF(N(AB1823)&gt;0,AB1823,0)</f>
        <v>0</v>
      </c>
      <c r="CE1823" s="53" t="n">
        <f aca="false">IF(ISNUMBER(AE1823),1,0)</f>
        <v>0</v>
      </c>
      <c r="CF1823" s="50" t="n">
        <f aca="false">N(AE1823)</f>
        <v>0</v>
      </c>
      <c r="CG1823" s="50" t="n">
        <f aca="false">N(M1823)+N(N1823)</f>
        <v>0</v>
      </c>
      <c r="CH1823" s="50" t="n">
        <f aca="false">ROUNDUP(H1823/BV1823,0)</f>
        <v>0</v>
      </c>
      <c r="CI1823" s="50" t="n">
        <f aca="false">ROUNDUP(CF1823/BV1823,0)</f>
        <v>0</v>
      </c>
      <c r="CJ1823" s="53" t="n">
        <f aca="false">IF(BW1823=1,0,IFERROR(VLOOKUP(BU1823,'Gebinde-Kategorie'!$A$5:$N$45,5,0)+0,0))</f>
        <v>0</v>
      </c>
      <c r="CK1823" s="53" t="n">
        <f aca="false">IFERROR(IF(OR(CB1823=1,CB1823=2,CB1823=3),N(INDEX(Parameter!$I$5:$I$7,CB1823)),0),0)</f>
        <v>0</v>
      </c>
      <c r="CL1823" s="52" t="n">
        <f aca="false">IF(AND(Parameter!$B$21="Ja",ISNUMBER(W1823),N(X1823)&gt;0),IFERROR(N(INDEX(Parameter!$L$5:$L$7,W1823))*INDEX(Parameter!$E$5:$E$7,W1823)*X1823/SUMIFS($X$7:$X$1843,$W$7:$W$1843,W1823),0),0)</f>
        <v>0</v>
      </c>
    </row>
    <row r="1824" customFormat="false" ht="15" hidden="false" customHeight="false" outlineLevel="0" collapsed="false">
      <c r="A1824" s="48" t="str">
        <f aca="false">IF('Neue Artikel'!$A$85="","",'Neue Artikel'!$A$85&amp;"")</f>
        <v/>
      </c>
      <c r="B1824" s="48" t="str">
        <f aca="false">'Neue Artikel'!$B$85&amp;""</f>
        <v/>
      </c>
      <c r="C1824" s="48"/>
      <c r="D1824" s="48" t="s">
        <v>3019</v>
      </c>
      <c r="E1824" s="48"/>
      <c r="F1824" s="48"/>
      <c r="G1824" s="49" t="n">
        <f aca="false">N('Neue Artikel'!$G$85)</f>
        <v>0</v>
      </c>
      <c r="H1824" s="50" t="n">
        <f aca="false">MAX(0,IF(AND(Parameter!$B$21="Ja",ISNUMBER(Y1824)),Y1824,IF(Parameter!$B$20="Jahresanfang 2025 + Export",BO1824+BN1824,BN1824)))</f>
        <v>0</v>
      </c>
      <c r="I1824" s="50" t="n">
        <f aca="false">H1824*G1824</f>
        <v>0</v>
      </c>
      <c r="J1824" s="50" t="n">
        <f aca="false">BQ1824*Parameter!$B$18</f>
        <v>0</v>
      </c>
      <c r="K1824" s="51"/>
      <c r="L1824" s="52"/>
      <c r="M1824" s="50" t="n">
        <f aca="false">N('Neue Artikel'!$E$85)</f>
        <v>0</v>
      </c>
      <c r="N1824" s="50" t="n">
        <f aca="false">N('Neue Artikel'!$F$85)</f>
        <v>0</v>
      </c>
      <c r="O1824" s="53"/>
      <c r="P1824" s="48" t="str">
        <f aca="false">IF('Neue Artikel'!$H$85="","LOSE",UPPER(TRIM('Neue Artikel'!$H$85)))</f>
        <v>LOSE</v>
      </c>
      <c r="Q1824" s="50" t="n">
        <f aca="false">N('Neue Artikel'!$I$85)</f>
        <v>0</v>
      </c>
      <c r="R1824" s="53" t="n">
        <f aca="false">IF(BW1824=1,0,IFERROR(VLOOKUP(BU1824,'Gebinde-Kategorie'!$A$5:$N$45,13,0)+0,0))</f>
        <v>0</v>
      </c>
      <c r="S1824" s="54"/>
      <c r="T1824" s="55"/>
      <c r="U1824" s="55"/>
      <c r="V1824" s="55"/>
      <c r="W1824" s="48"/>
      <c r="X1824" s="50"/>
      <c r="Y1824" s="50"/>
      <c r="Z1824" s="48" t="str">
        <f aca="false">IF(A1824="","",IF(AND(Parameter!$B$21="Ja",ISNUMBER(W1824)),W1824,IF(BZ1824="2+3",IF(ISNUMBER(SEARCH("grosser Artikel",BR1824)),2,IFERROR(VLOOKUP(BU1824,Parameter!$F$35:$G$64,2,0),2)),IF(OR(BZ1824="Nein",BZ1824=""),"-",BZ1824))))</f>
        <v/>
      </c>
      <c r="AA1824" s="48" t="str">
        <f aca="false">IF('Neue Artikel'!$J$85="","",'Neue Artikel'!$J$85)</f>
        <v/>
      </c>
      <c r="AB1824" s="56"/>
      <c r="AC1824" s="50" t="n">
        <f aca="false">AT1824</f>
        <v>0</v>
      </c>
      <c r="AD1824" s="50" t="n">
        <f aca="false">MAX(AT1824,H1824)</f>
        <v>0</v>
      </c>
      <c r="AE1824" s="57"/>
      <c r="AF1824" s="50" t="n">
        <f aca="false">IF(LEFT(Cockpit!$C$5,1)="A",H1824,IF(CE1824=1,CF1824,IF(LEFT(Cockpit!$C$5,1)="B",AK1824,MAX(AK1824,H1824))))</f>
        <v>0</v>
      </c>
      <c r="AG1824" s="50" t="n">
        <f aca="false">IF(BW1824=1,0,ROUNDUP(AF1824/BV1824,0))</f>
        <v>0</v>
      </c>
      <c r="AH1824" s="52" t="n">
        <f aca="false">IF(CL1824&gt;0,CL1824*MAX(1,AF1824/X1824),IF(BW1824=1,IF(AF1824&lt;=0,0,CA1824*MAX(1,IF(H1824&gt;0,AF1824/H1824,1))),IF(R1824&gt;0,AG1824/R1824,0))/MAX(0.1,N(Parameter!$M$21)))</f>
        <v>0</v>
      </c>
      <c r="AI1824" s="50" t="n">
        <f aca="false">AH1824*BY1824</f>
        <v>0</v>
      </c>
      <c r="AJ1824" s="50" t="n">
        <f aca="false">AF1824*G1824</f>
        <v>0</v>
      </c>
      <c r="AK1824" s="50" t="n">
        <f aca="false">ROUNDUP(MAX(J1824/IF(CD1824&gt;0,CD1824,MAX(0.1,N(Cockpit!$C$6))),CG1824)/BV1824,0)*BV1824</f>
        <v>0</v>
      </c>
      <c r="AL1824" s="51" t="n">
        <f aca="false">IF(AI1824&gt;0,J1824/AI1824,-1)</f>
        <v>-1</v>
      </c>
      <c r="AM1824" s="51" t="str">
        <f aca="false">IF(AND(OR(CC1824="L1",CC1824="L23",CC1824="LIFT"),AI1824&gt;0),SUMIFS($AI$7:$AI$1843,$CC$7:$CC$1843,CC1824,$AL$7:$AL$1843,"&gt;"&amp;AL1824)+SUMIFS($AI$7:$AI$1843,$CC$7:$CC$1843,CC1824,$AL$7:$AL$1843,AL1824,$BT$7:$BT$1843,"&lt;="&amp;BT1824),"")</f>
        <v/>
      </c>
      <c r="AN1824" s="58" t="n">
        <f aca="false">IF(AM1824="",0,MAX(0,MIN(1,(IF(CC1824="L1",Parameter!$H$5,IF(CC1824="L23",Parameter!$H$6+Parameter!$H$7,Parameter!$H$5+Parameter!$H$6+Parameter!$H$7))-(AM1824-AI1824))/AI1824)))</f>
        <v>0</v>
      </c>
      <c r="AO1824" s="50" t="n">
        <f aca="false">IF(LEFT(Cockpit!$I$5,1)="A",H1824,IF(CE1824=1,CF1824,IF(LEFT(Cockpit!$I$5,1)="B",AT1824,MAX(AT1824,H1824))))</f>
        <v>0</v>
      </c>
      <c r="AP1824" s="50" t="n">
        <f aca="false">IF(BW1824=1,0,ROUNDUP(AO1824/BV1824,0))</f>
        <v>0</v>
      </c>
      <c r="AQ1824" s="52" t="n">
        <f aca="false">IF(CL1824&gt;0,CL1824*MAX(1,AO1824/X1824),IF(BW1824=1,IF(AO1824&lt;=0,0,CA1824*MAX(1,IF(H1824&gt;0,AO1824/H1824,1))),IF(R1824&gt;0,AP1824/R1824,0))/MAX(0.1,N(Parameter!$M$21)))</f>
        <v>0</v>
      </c>
      <c r="AR1824" s="50" t="n">
        <f aca="false">AQ1824*BY1824</f>
        <v>0</v>
      </c>
      <c r="AS1824" s="50" t="n">
        <f aca="false">AO1824*G1824</f>
        <v>0</v>
      </c>
      <c r="AT1824" s="50" t="n">
        <f aca="false">ROUNDUP(MAX(J1824/IF(CD1824&gt;0,CD1824,MAX(0.1,N(Cockpit!$I$6))),CG1824)/BV1824,0)*BV1824</f>
        <v>0</v>
      </c>
      <c r="AU1824" s="51" t="n">
        <f aca="false">IF(AR1824&gt;0,J1824/AR1824,-1)</f>
        <v>-1</v>
      </c>
      <c r="AV1824" s="51" t="str">
        <f aca="false">IF(AND(OR(CC1824="L1",CC1824="L23",CC1824="LIFT"),AR1824&gt;0),SUMIFS($AR$7:$AR$1843,$CC$7:$CC$1843,CC1824,$AU$7:$AU$1843,"&gt;"&amp;AU1824)+SUMIFS($AR$7:$AR$1843,$CC$7:$CC$1843,CC1824,$AU$7:$AU$1843,AU1824,$BT$7:$BT$1843,"&lt;="&amp;BT1824),"")</f>
        <v/>
      </c>
      <c r="AW1824" s="58" t="n">
        <f aca="false">IF(AV1824="",0,MAX(0,MIN(1,(IF(CC1824="L1",Parameter!$H$5,IF(CC1824="L23",Parameter!$H$6+Parameter!$H$7,Parameter!$H$5+Parameter!$H$6+Parameter!$H$7))-(AV1824-AR1824))/AR1824)))</f>
        <v>0</v>
      </c>
      <c r="AX1824" s="50" t="n">
        <f aca="false">IF(LEFT(Cockpit!$O$5,1)="A",H1824,IF(CE1824=1,CF1824,IF(LEFT(Cockpit!$O$5,1)="B",BC1824,MAX(BC1824,H1824))))</f>
        <v>0</v>
      </c>
      <c r="AY1824" s="50" t="n">
        <f aca="false">IF(BW1824=1,0,ROUNDUP(AX1824/BV1824,0))</f>
        <v>0</v>
      </c>
      <c r="AZ1824" s="52" t="n">
        <f aca="false">IF(CL1824&gt;0,CL1824*MAX(1,AX1824/X1824),IF(BW1824=1,IF(AX1824&lt;=0,0,CA1824*MAX(1,IF(H1824&gt;0,AX1824/H1824,1))),IF(R1824&gt;0,AY1824/R1824,0))/MAX(0.1,N(Parameter!$M$21)))</f>
        <v>0</v>
      </c>
      <c r="BA1824" s="50" t="n">
        <f aca="false">AZ1824*BY1824</f>
        <v>0</v>
      </c>
      <c r="BB1824" s="50" t="n">
        <f aca="false">AX1824*G1824</f>
        <v>0</v>
      </c>
      <c r="BC1824" s="50" t="n">
        <f aca="false">ROUNDUP(MAX(J1824/IF(CD1824&gt;0,CD1824,MAX(0.1,N(Cockpit!$O$6))),CG1824)/BV1824,0)*BV1824</f>
        <v>0</v>
      </c>
      <c r="BD1824" s="51" t="n">
        <f aca="false">IF(BA1824&gt;0,J1824/BA1824,-1)</f>
        <v>-1</v>
      </c>
      <c r="BE1824" s="51" t="str">
        <f aca="false">IF(AND(OR(CC1824="L1",CC1824="L23",CC1824="LIFT"),BA1824&gt;0),SUMIFS($BA$7:$BA$1843,$CC$7:$CC$1843,CC1824,$BD$7:$BD$1843,"&gt;"&amp;BD1824)+SUMIFS($BA$7:$BA$1843,$CC$7:$CC$1843,CC1824,$BD$7:$BD$1843,BD1824,$BT$7:$BT$1843,"&lt;="&amp;BT1824),"")</f>
        <v/>
      </c>
      <c r="BF1824" s="58" t="n">
        <f aca="false">IF(BE1824="",0,MAX(0,MIN(1,(IF(CC1824="L1",Parameter!$H$5,IF(CC1824="L23",Parameter!$H$6+Parameter!$H$7,Parameter!$H$5+Parameter!$H$6+Parameter!$H$7))-(BE1824-BA1824))/BA1824)))</f>
        <v>0</v>
      </c>
      <c r="BG1824" s="48" t="str">
        <f aca="false">IF(AI1824&lt;=0,"",IF(CC1824="Aussen","Aussenlager",IF(CC1824="-","Nicht im Lift",IF(AN1824&gt;=1,"Lift",IF(AN1824&lt;=0,"Aussenlager","teilweise")))))</f>
        <v/>
      </c>
      <c r="BH1824" s="48" t="str">
        <f aca="false">IF(AR1824&lt;=0,"",IF(CC1824="Aussen","Aussenlager",IF(CC1824="-","Nicht im Lift",IF(AW1824&gt;=1,"Lift",IF(AW1824&lt;=0,"Aussenlager","teilweise")))))</f>
        <v/>
      </c>
      <c r="BI1824" s="48" t="str">
        <f aca="false">IF(BA1824&lt;=0,"",IF(CC1824="Aussen","Aussenlager",IF(CC1824="-","Nicht im Lift",IF(BF1824&gt;=1,"Lift",IF(BF1824&lt;=0,"Aussenlager","teilweise")))))</f>
        <v/>
      </c>
      <c r="BJ1824" s="48" t="str">
        <f aca="false">IF(A1824="","",IF(BS1824=1,"Neu; ","")&amp;IF(AND(BS1824=0,BN1824&lt;0),"negativer Bestand (Export "&amp;BN1824&amp;"); ","")&amp;IF(J1824&lt;=0,"Kein Verbrauch; ","")&amp;IF(CL1824&gt;0,"Lift "&amp;W1824&amp;" lt. Liftbericht (Fach "&amp;X1824&amp;" Stk); ",IF(BX1824=1,"Gebinde geschätzt ("&amp;T1824&amp;"); ",IF(BW1824=1,"Lose – Tablare geschätzt; ","")))&amp;IF(H1824&gt;AT1824,"Überbestand "&amp;ROUND(H1824-AT1824,0)&amp;" Stk / CHF "&amp;ROUND((H1824-AT1824)*G1824,0)&amp;"; ","")&amp;IF(AND(CE1824=1,CF1824&lt;CG1824),"MAX &lt; MB+LG; ","")&amp;IF(AND(CK1824&gt;0,CJ1824*10&gt;CK1824),"zu hoch für Tablar; ","")&amp;IF(AND(BS1824=0,OR(CE1824=1,AA1824&lt;&gt;"",U1824&lt;&gt;"",V1824&lt;&gt;"",AB1824&lt;&gt;"")),"manuell übersteuert; ","")&amp;IF(AND(BW1824=0,R1824=0),"Gebinde unbekannt / Stellmass fehlt; ","")&amp;IF(AND(BW1824=0,N(V1824)&lt;=0,N(Q1824)&lt;=0),"Menge pro Gebinde fehlt (Ist = 1 Gebinde); ","")&amp;BR1824)</f>
        <v/>
      </c>
      <c r="BK1824" s="48"/>
      <c r="BL1824" s="48"/>
      <c r="BM1824" s="55"/>
      <c r="BN1824" s="50" t="n">
        <f aca="false">N('Neue Artikel'!$D$85)</f>
        <v>0</v>
      </c>
      <c r="BO1824" s="50" t="n">
        <v>0</v>
      </c>
      <c r="BP1824" s="49" t="n">
        <v>0</v>
      </c>
      <c r="BQ1824" s="50" t="n">
        <f aca="false">N('Neue Artikel'!$C$85)/Parameter!$B$18</f>
        <v>0</v>
      </c>
      <c r="BR1824" s="48"/>
      <c r="BS1824" s="53" t="n">
        <v>1</v>
      </c>
      <c r="BT1824" s="53" t="n">
        <v>1824</v>
      </c>
      <c r="BU1824" s="48" t="str">
        <f aca="false">IF(U1824&lt;&gt;"",UPPER(TRIM(U1824)),IF(BX1824=1,UPPER(VLOOKUP(T1824,Parameter!$I$27:$K$29,2,0)),IF(P1824="","LOSE",P1824)))</f>
        <v>LOSE</v>
      </c>
      <c r="BV1824" s="50" t="n">
        <f aca="false">IF(BU1824="LOSE",1,IF(N(V1824)&gt;0,V1824,IF(BX1824=1,MAX(1,N(VLOOKUP(T1824,Parameter!$I$27:$K$29,3,0)),H1824,N(N1824)),IF(N(Q1824)&gt;0,Q1824,MAX(1,H1824)))))</f>
        <v>1</v>
      </c>
      <c r="BW1824" s="53" t="n">
        <f aca="false">IF(BU1824="LOSE",1,0)</f>
        <v>1</v>
      </c>
      <c r="BX1824" s="53" t="n">
        <f aca="false">IF(AND(U1824="",OR(P1824="",P1824="LOSE"),T1824&lt;&gt;"",N(S1824)&lt;=0,ISNUMBER(MATCH(T1824,Parameter!$I$27:$I$29,0))),1,0)</f>
        <v>0</v>
      </c>
      <c r="BY1824" s="53" t="n">
        <f aca="false">IF(CL1824&gt;0,INDEX(Parameter!$H$5:$H$7,W1824)/INDEX(Parameter!$E$5:$E$7,W1824),IF(AND(BW1824=0,N(IFERROR(VLOOKUP(BU1824,'Gebinde-Kategorie'!$A$5:$N$45,14,0),0))&gt;0),VLOOKUP(BU1824,'Gebinde-Kategorie'!$A$5:$N$45,14,0)*10+Parameter!$M$23,Parameter!$M$24))</f>
        <v>235</v>
      </c>
      <c r="BZ1824" s="48" t="str">
        <f aca="false">IF(AND(Parameter!$B$19="Ja",E1824&lt;&gt;"",ISNUMBER(MATCH(E1824,Parameter!$I$35:$I$52,0))),VLOOKUP(E1824,Parameter!$I$35:$J$52,2,0),IFERROR(VLOOKUP(D1824,Parameter!$A$35:$C$64,2,0),"Nein"))</f>
        <v>2+3</v>
      </c>
      <c r="CA1824" s="52" t="n">
        <f aca="false">IF(BW1824=0,0,IF(N(S1824)&gt;0,S1824,IFERROR(VLOOKUP(D1824,Parameter!$A$35:$C$64,3,0)+0,0)))</f>
        <v>0.15</v>
      </c>
      <c r="CB1824" s="48" t="str">
        <f aca="false">IF(AA1824&lt;&gt;"",AA1824,Z1824)</f>
        <v/>
      </c>
      <c r="CC1824" s="48" t="str">
        <f aca="false">IF(OR(CB1824=1,CB1824=2,CB1824=3),IF(Parameter!$E$27="Ja","LIFT",IF(CB1824=1,"L1","L23")),IF(CB1824="Aussen","Aussen","-"))</f>
        <v>-</v>
      </c>
      <c r="CD1824" s="59" t="n">
        <f aca="false">IF(N(AB1824)&gt;0,AB1824,0)</f>
        <v>0</v>
      </c>
      <c r="CE1824" s="53" t="n">
        <f aca="false">IF(ISNUMBER(AE1824),1,0)</f>
        <v>0</v>
      </c>
      <c r="CF1824" s="50" t="n">
        <f aca="false">N(AE1824)</f>
        <v>0</v>
      </c>
      <c r="CG1824" s="50" t="n">
        <f aca="false">N(M1824)+N(N1824)</f>
        <v>0</v>
      </c>
      <c r="CH1824" s="50" t="n">
        <f aca="false">ROUNDUP(H1824/BV1824,0)</f>
        <v>0</v>
      </c>
      <c r="CI1824" s="50" t="n">
        <f aca="false">ROUNDUP(CF1824/BV1824,0)</f>
        <v>0</v>
      </c>
      <c r="CJ1824" s="53" t="n">
        <f aca="false">IF(BW1824=1,0,IFERROR(VLOOKUP(BU1824,'Gebinde-Kategorie'!$A$5:$N$45,5,0)+0,0))</f>
        <v>0</v>
      </c>
      <c r="CK1824" s="53" t="n">
        <f aca="false">IFERROR(IF(OR(CB1824=1,CB1824=2,CB1824=3),N(INDEX(Parameter!$I$5:$I$7,CB1824)),0),0)</f>
        <v>0</v>
      </c>
      <c r="CL1824" s="52" t="n">
        <f aca="false">IF(AND(Parameter!$B$21="Ja",ISNUMBER(W1824),N(X1824)&gt;0),IFERROR(N(INDEX(Parameter!$L$5:$L$7,W1824))*INDEX(Parameter!$E$5:$E$7,W1824)*X1824/SUMIFS($X$7:$X$1843,$W$7:$W$1843,W1824),0),0)</f>
        <v>0</v>
      </c>
    </row>
    <row r="1825" customFormat="false" ht="15" hidden="false" customHeight="false" outlineLevel="0" collapsed="false">
      <c r="A1825" s="48" t="str">
        <f aca="false">IF('Neue Artikel'!$A$86="","",'Neue Artikel'!$A$86&amp;"")</f>
        <v/>
      </c>
      <c r="B1825" s="48" t="str">
        <f aca="false">'Neue Artikel'!$B$86&amp;""</f>
        <v/>
      </c>
      <c r="C1825" s="48"/>
      <c r="D1825" s="48" t="s">
        <v>3019</v>
      </c>
      <c r="E1825" s="48"/>
      <c r="F1825" s="48"/>
      <c r="G1825" s="49" t="n">
        <f aca="false">N('Neue Artikel'!$G$86)</f>
        <v>0</v>
      </c>
      <c r="H1825" s="50" t="n">
        <f aca="false">MAX(0,IF(AND(Parameter!$B$21="Ja",ISNUMBER(Y1825)),Y1825,IF(Parameter!$B$20="Jahresanfang 2025 + Export",BO1825+BN1825,BN1825)))</f>
        <v>0</v>
      </c>
      <c r="I1825" s="50" t="n">
        <f aca="false">H1825*G1825</f>
        <v>0</v>
      </c>
      <c r="J1825" s="50" t="n">
        <f aca="false">BQ1825*Parameter!$B$18</f>
        <v>0</v>
      </c>
      <c r="K1825" s="51"/>
      <c r="L1825" s="52"/>
      <c r="M1825" s="50" t="n">
        <f aca="false">N('Neue Artikel'!$E$86)</f>
        <v>0</v>
      </c>
      <c r="N1825" s="50" t="n">
        <f aca="false">N('Neue Artikel'!$F$86)</f>
        <v>0</v>
      </c>
      <c r="O1825" s="53"/>
      <c r="P1825" s="48" t="str">
        <f aca="false">IF('Neue Artikel'!$H$86="","LOSE",UPPER(TRIM('Neue Artikel'!$H$86)))</f>
        <v>LOSE</v>
      </c>
      <c r="Q1825" s="50" t="n">
        <f aca="false">N('Neue Artikel'!$I$86)</f>
        <v>0</v>
      </c>
      <c r="R1825" s="53" t="n">
        <f aca="false">IF(BW1825=1,0,IFERROR(VLOOKUP(BU1825,'Gebinde-Kategorie'!$A$5:$N$45,13,0)+0,0))</f>
        <v>0</v>
      </c>
      <c r="S1825" s="54"/>
      <c r="T1825" s="55"/>
      <c r="U1825" s="55"/>
      <c r="V1825" s="55"/>
      <c r="W1825" s="48"/>
      <c r="X1825" s="50"/>
      <c r="Y1825" s="50"/>
      <c r="Z1825" s="48" t="str">
        <f aca="false">IF(A1825="","",IF(AND(Parameter!$B$21="Ja",ISNUMBER(W1825)),W1825,IF(BZ1825="2+3",IF(ISNUMBER(SEARCH("grosser Artikel",BR1825)),2,IFERROR(VLOOKUP(BU1825,Parameter!$F$35:$G$64,2,0),2)),IF(OR(BZ1825="Nein",BZ1825=""),"-",BZ1825))))</f>
        <v/>
      </c>
      <c r="AA1825" s="48" t="str">
        <f aca="false">IF('Neue Artikel'!$J$86="","",'Neue Artikel'!$J$86)</f>
        <v/>
      </c>
      <c r="AB1825" s="56"/>
      <c r="AC1825" s="50" t="n">
        <f aca="false">AT1825</f>
        <v>0</v>
      </c>
      <c r="AD1825" s="50" t="n">
        <f aca="false">MAX(AT1825,H1825)</f>
        <v>0</v>
      </c>
      <c r="AE1825" s="57"/>
      <c r="AF1825" s="50" t="n">
        <f aca="false">IF(LEFT(Cockpit!$C$5,1)="A",H1825,IF(CE1825=1,CF1825,IF(LEFT(Cockpit!$C$5,1)="B",AK1825,MAX(AK1825,H1825))))</f>
        <v>0</v>
      </c>
      <c r="AG1825" s="50" t="n">
        <f aca="false">IF(BW1825=1,0,ROUNDUP(AF1825/BV1825,0))</f>
        <v>0</v>
      </c>
      <c r="AH1825" s="52" t="n">
        <f aca="false">IF(CL1825&gt;0,CL1825*MAX(1,AF1825/X1825),IF(BW1825=1,IF(AF1825&lt;=0,0,CA1825*MAX(1,IF(H1825&gt;0,AF1825/H1825,1))),IF(R1825&gt;0,AG1825/R1825,0))/MAX(0.1,N(Parameter!$M$21)))</f>
        <v>0</v>
      </c>
      <c r="AI1825" s="50" t="n">
        <f aca="false">AH1825*BY1825</f>
        <v>0</v>
      </c>
      <c r="AJ1825" s="50" t="n">
        <f aca="false">AF1825*G1825</f>
        <v>0</v>
      </c>
      <c r="AK1825" s="50" t="n">
        <f aca="false">ROUNDUP(MAX(J1825/IF(CD1825&gt;0,CD1825,MAX(0.1,N(Cockpit!$C$6))),CG1825)/BV1825,0)*BV1825</f>
        <v>0</v>
      </c>
      <c r="AL1825" s="51" t="n">
        <f aca="false">IF(AI1825&gt;0,J1825/AI1825,-1)</f>
        <v>-1</v>
      </c>
      <c r="AM1825" s="51" t="str">
        <f aca="false">IF(AND(OR(CC1825="L1",CC1825="L23",CC1825="LIFT"),AI1825&gt;0),SUMIFS($AI$7:$AI$1843,$CC$7:$CC$1843,CC1825,$AL$7:$AL$1843,"&gt;"&amp;AL1825)+SUMIFS($AI$7:$AI$1843,$CC$7:$CC$1843,CC1825,$AL$7:$AL$1843,AL1825,$BT$7:$BT$1843,"&lt;="&amp;BT1825),"")</f>
        <v/>
      </c>
      <c r="AN1825" s="58" t="n">
        <f aca="false">IF(AM1825="",0,MAX(0,MIN(1,(IF(CC1825="L1",Parameter!$H$5,IF(CC1825="L23",Parameter!$H$6+Parameter!$H$7,Parameter!$H$5+Parameter!$H$6+Parameter!$H$7))-(AM1825-AI1825))/AI1825)))</f>
        <v>0</v>
      </c>
      <c r="AO1825" s="50" t="n">
        <f aca="false">IF(LEFT(Cockpit!$I$5,1)="A",H1825,IF(CE1825=1,CF1825,IF(LEFT(Cockpit!$I$5,1)="B",AT1825,MAX(AT1825,H1825))))</f>
        <v>0</v>
      </c>
      <c r="AP1825" s="50" t="n">
        <f aca="false">IF(BW1825=1,0,ROUNDUP(AO1825/BV1825,0))</f>
        <v>0</v>
      </c>
      <c r="AQ1825" s="52" t="n">
        <f aca="false">IF(CL1825&gt;0,CL1825*MAX(1,AO1825/X1825),IF(BW1825=1,IF(AO1825&lt;=0,0,CA1825*MAX(1,IF(H1825&gt;0,AO1825/H1825,1))),IF(R1825&gt;0,AP1825/R1825,0))/MAX(0.1,N(Parameter!$M$21)))</f>
        <v>0</v>
      </c>
      <c r="AR1825" s="50" t="n">
        <f aca="false">AQ1825*BY1825</f>
        <v>0</v>
      </c>
      <c r="AS1825" s="50" t="n">
        <f aca="false">AO1825*G1825</f>
        <v>0</v>
      </c>
      <c r="AT1825" s="50" t="n">
        <f aca="false">ROUNDUP(MAX(J1825/IF(CD1825&gt;0,CD1825,MAX(0.1,N(Cockpit!$I$6))),CG1825)/BV1825,0)*BV1825</f>
        <v>0</v>
      </c>
      <c r="AU1825" s="51" t="n">
        <f aca="false">IF(AR1825&gt;0,J1825/AR1825,-1)</f>
        <v>-1</v>
      </c>
      <c r="AV1825" s="51" t="str">
        <f aca="false">IF(AND(OR(CC1825="L1",CC1825="L23",CC1825="LIFT"),AR1825&gt;0),SUMIFS($AR$7:$AR$1843,$CC$7:$CC$1843,CC1825,$AU$7:$AU$1843,"&gt;"&amp;AU1825)+SUMIFS($AR$7:$AR$1843,$CC$7:$CC$1843,CC1825,$AU$7:$AU$1843,AU1825,$BT$7:$BT$1843,"&lt;="&amp;BT1825),"")</f>
        <v/>
      </c>
      <c r="AW1825" s="58" t="n">
        <f aca="false">IF(AV1825="",0,MAX(0,MIN(1,(IF(CC1825="L1",Parameter!$H$5,IF(CC1825="L23",Parameter!$H$6+Parameter!$H$7,Parameter!$H$5+Parameter!$H$6+Parameter!$H$7))-(AV1825-AR1825))/AR1825)))</f>
        <v>0</v>
      </c>
      <c r="AX1825" s="50" t="n">
        <f aca="false">IF(LEFT(Cockpit!$O$5,1)="A",H1825,IF(CE1825=1,CF1825,IF(LEFT(Cockpit!$O$5,1)="B",BC1825,MAX(BC1825,H1825))))</f>
        <v>0</v>
      </c>
      <c r="AY1825" s="50" t="n">
        <f aca="false">IF(BW1825=1,0,ROUNDUP(AX1825/BV1825,0))</f>
        <v>0</v>
      </c>
      <c r="AZ1825" s="52" t="n">
        <f aca="false">IF(CL1825&gt;0,CL1825*MAX(1,AX1825/X1825),IF(BW1825=1,IF(AX1825&lt;=0,0,CA1825*MAX(1,IF(H1825&gt;0,AX1825/H1825,1))),IF(R1825&gt;0,AY1825/R1825,0))/MAX(0.1,N(Parameter!$M$21)))</f>
        <v>0</v>
      </c>
      <c r="BA1825" s="50" t="n">
        <f aca="false">AZ1825*BY1825</f>
        <v>0</v>
      </c>
      <c r="BB1825" s="50" t="n">
        <f aca="false">AX1825*G1825</f>
        <v>0</v>
      </c>
      <c r="BC1825" s="50" t="n">
        <f aca="false">ROUNDUP(MAX(J1825/IF(CD1825&gt;0,CD1825,MAX(0.1,N(Cockpit!$O$6))),CG1825)/BV1825,0)*BV1825</f>
        <v>0</v>
      </c>
      <c r="BD1825" s="51" t="n">
        <f aca="false">IF(BA1825&gt;0,J1825/BA1825,-1)</f>
        <v>-1</v>
      </c>
      <c r="BE1825" s="51" t="str">
        <f aca="false">IF(AND(OR(CC1825="L1",CC1825="L23",CC1825="LIFT"),BA1825&gt;0),SUMIFS($BA$7:$BA$1843,$CC$7:$CC$1843,CC1825,$BD$7:$BD$1843,"&gt;"&amp;BD1825)+SUMIFS($BA$7:$BA$1843,$CC$7:$CC$1843,CC1825,$BD$7:$BD$1843,BD1825,$BT$7:$BT$1843,"&lt;="&amp;BT1825),"")</f>
        <v/>
      </c>
      <c r="BF1825" s="58" t="n">
        <f aca="false">IF(BE1825="",0,MAX(0,MIN(1,(IF(CC1825="L1",Parameter!$H$5,IF(CC1825="L23",Parameter!$H$6+Parameter!$H$7,Parameter!$H$5+Parameter!$H$6+Parameter!$H$7))-(BE1825-BA1825))/BA1825)))</f>
        <v>0</v>
      </c>
      <c r="BG1825" s="48" t="str">
        <f aca="false">IF(AI1825&lt;=0,"",IF(CC1825="Aussen","Aussenlager",IF(CC1825="-","Nicht im Lift",IF(AN1825&gt;=1,"Lift",IF(AN1825&lt;=0,"Aussenlager","teilweise")))))</f>
        <v/>
      </c>
      <c r="BH1825" s="48" t="str">
        <f aca="false">IF(AR1825&lt;=0,"",IF(CC1825="Aussen","Aussenlager",IF(CC1825="-","Nicht im Lift",IF(AW1825&gt;=1,"Lift",IF(AW1825&lt;=0,"Aussenlager","teilweise")))))</f>
        <v/>
      </c>
      <c r="BI1825" s="48" t="str">
        <f aca="false">IF(BA1825&lt;=0,"",IF(CC1825="Aussen","Aussenlager",IF(CC1825="-","Nicht im Lift",IF(BF1825&gt;=1,"Lift",IF(BF1825&lt;=0,"Aussenlager","teilweise")))))</f>
        <v/>
      </c>
      <c r="BJ1825" s="48" t="str">
        <f aca="false">IF(A1825="","",IF(BS1825=1,"Neu; ","")&amp;IF(AND(BS1825=0,BN1825&lt;0),"negativer Bestand (Export "&amp;BN1825&amp;"); ","")&amp;IF(J1825&lt;=0,"Kein Verbrauch; ","")&amp;IF(CL1825&gt;0,"Lift "&amp;W1825&amp;" lt. Liftbericht (Fach "&amp;X1825&amp;" Stk); ",IF(BX1825=1,"Gebinde geschätzt ("&amp;T1825&amp;"); ",IF(BW1825=1,"Lose – Tablare geschätzt; ","")))&amp;IF(H1825&gt;AT1825,"Überbestand "&amp;ROUND(H1825-AT1825,0)&amp;" Stk / CHF "&amp;ROUND((H1825-AT1825)*G1825,0)&amp;"; ","")&amp;IF(AND(CE1825=1,CF1825&lt;CG1825),"MAX &lt; MB+LG; ","")&amp;IF(AND(CK1825&gt;0,CJ1825*10&gt;CK1825),"zu hoch für Tablar; ","")&amp;IF(AND(BS1825=0,OR(CE1825=1,AA1825&lt;&gt;"",U1825&lt;&gt;"",V1825&lt;&gt;"",AB1825&lt;&gt;"")),"manuell übersteuert; ","")&amp;IF(AND(BW1825=0,R1825=0),"Gebinde unbekannt / Stellmass fehlt; ","")&amp;IF(AND(BW1825=0,N(V1825)&lt;=0,N(Q1825)&lt;=0),"Menge pro Gebinde fehlt (Ist = 1 Gebinde); ","")&amp;BR1825)</f>
        <v/>
      </c>
      <c r="BK1825" s="48"/>
      <c r="BL1825" s="48"/>
      <c r="BM1825" s="55"/>
      <c r="BN1825" s="50" t="n">
        <f aca="false">N('Neue Artikel'!$D$86)</f>
        <v>0</v>
      </c>
      <c r="BO1825" s="50" t="n">
        <v>0</v>
      </c>
      <c r="BP1825" s="49" t="n">
        <v>0</v>
      </c>
      <c r="BQ1825" s="50" t="n">
        <f aca="false">N('Neue Artikel'!$C$86)/Parameter!$B$18</f>
        <v>0</v>
      </c>
      <c r="BR1825" s="48"/>
      <c r="BS1825" s="53" t="n">
        <v>1</v>
      </c>
      <c r="BT1825" s="53" t="n">
        <v>1825</v>
      </c>
      <c r="BU1825" s="48" t="str">
        <f aca="false">IF(U1825&lt;&gt;"",UPPER(TRIM(U1825)),IF(BX1825=1,UPPER(VLOOKUP(T1825,Parameter!$I$27:$K$29,2,0)),IF(P1825="","LOSE",P1825)))</f>
        <v>LOSE</v>
      </c>
      <c r="BV1825" s="50" t="n">
        <f aca="false">IF(BU1825="LOSE",1,IF(N(V1825)&gt;0,V1825,IF(BX1825=1,MAX(1,N(VLOOKUP(T1825,Parameter!$I$27:$K$29,3,0)),H1825,N(N1825)),IF(N(Q1825)&gt;0,Q1825,MAX(1,H1825)))))</f>
        <v>1</v>
      </c>
      <c r="BW1825" s="53" t="n">
        <f aca="false">IF(BU1825="LOSE",1,0)</f>
        <v>1</v>
      </c>
      <c r="BX1825" s="53" t="n">
        <f aca="false">IF(AND(U1825="",OR(P1825="",P1825="LOSE"),T1825&lt;&gt;"",N(S1825)&lt;=0,ISNUMBER(MATCH(T1825,Parameter!$I$27:$I$29,0))),1,0)</f>
        <v>0</v>
      </c>
      <c r="BY1825" s="53" t="n">
        <f aca="false">IF(CL1825&gt;0,INDEX(Parameter!$H$5:$H$7,W1825)/INDEX(Parameter!$E$5:$E$7,W1825),IF(AND(BW1825=0,N(IFERROR(VLOOKUP(BU1825,'Gebinde-Kategorie'!$A$5:$N$45,14,0),0))&gt;0),VLOOKUP(BU1825,'Gebinde-Kategorie'!$A$5:$N$45,14,0)*10+Parameter!$M$23,Parameter!$M$24))</f>
        <v>235</v>
      </c>
      <c r="BZ1825" s="48" t="str">
        <f aca="false">IF(AND(Parameter!$B$19="Ja",E1825&lt;&gt;"",ISNUMBER(MATCH(E1825,Parameter!$I$35:$I$52,0))),VLOOKUP(E1825,Parameter!$I$35:$J$52,2,0),IFERROR(VLOOKUP(D1825,Parameter!$A$35:$C$64,2,0),"Nein"))</f>
        <v>2+3</v>
      </c>
      <c r="CA1825" s="52" t="n">
        <f aca="false">IF(BW1825=0,0,IF(N(S1825)&gt;0,S1825,IFERROR(VLOOKUP(D1825,Parameter!$A$35:$C$64,3,0)+0,0)))</f>
        <v>0.15</v>
      </c>
      <c r="CB1825" s="48" t="str">
        <f aca="false">IF(AA1825&lt;&gt;"",AA1825,Z1825)</f>
        <v/>
      </c>
      <c r="CC1825" s="48" t="str">
        <f aca="false">IF(OR(CB1825=1,CB1825=2,CB1825=3),IF(Parameter!$E$27="Ja","LIFT",IF(CB1825=1,"L1","L23")),IF(CB1825="Aussen","Aussen","-"))</f>
        <v>-</v>
      </c>
      <c r="CD1825" s="59" t="n">
        <f aca="false">IF(N(AB1825)&gt;0,AB1825,0)</f>
        <v>0</v>
      </c>
      <c r="CE1825" s="53" t="n">
        <f aca="false">IF(ISNUMBER(AE1825),1,0)</f>
        <v>0</v>
      </c>
      <c r="CF1825" s="50" t="n">
        <f aca="false">N(AE1825)</f>
        <v>0</v>
      </c>
      <c r="CG1825" s="50" t="n">
        <f aca="false">N(M1825)+N(N1825)</f>
        <v>0</v>
      </c>
      <c r="CH1825" s="50" t="n">
        <f aca="false">ROUNDUP(H1825/BV1825,0)</f>
        <v>0</v>
      </c>
      <c r="CI1825" s="50" t="n">
        <f aca="false">ROUNDUP(CF1825/BV1825,0)</f>
        <v>0</v>
      </c>
      <c r="CJ1825" s="53" t="n">
        <f aca="false">IF(BW1825=1,0,IFERROR(VLOOKUP(BU1825,'Gebinde-Kategorie'!$A$5:$N$45,5,0)+0,0))</f>
        <v>0</v>
      </c>
      <c r="CK1825" s="53" t="n">
        <f aca="false">IFERROR(IF(OR(CB1825=1,CB1825=2,CB1825=3),N(INDEX(Parameter!$I$5:$I$7,CB1825)),0),0)</f>
        <v>0</v>
      </c>
      <c r="CL1825" s="52" t="n">
        <f aca="false">IF(AND(Parameter!$B$21="Ja",ISNUMBER(W1825),N(X1825)&gt;0),IFERROR(N(INDEX(Parameter!$L$5:$L$7,W1825))*INDEX(Parameter!$E$5:$E$7,W1825)*X1825/SUMIFS($X$7:$X$1843,$W$7:$W$1843,W1825),0),0)</f>
        <v>0</v>
      </c>
    </row>
    <row r="1826" customFormat="false" ht="15" hidden="false" customHeight="false" outlineLevel="0" collapsed="false">
      <c r="A1826" s="48" t="str">
        <f aca="false">IF('Neue Artikel'!$A$87="","",'Neue Artikel'!$A$87&amp;"")</f>
        <v/>
      </c>
      <c r="B1826" s="48" t="str">
        <f aca="false">'Neue Artikel'!$B$87&amp;""</f>
        <v/>
      </c>
      <c r="C1826" s="48"/>
      <c r="D1826" s="48" t="s">
        <v>3019</v>
      </c>
      <c r="E1826" s="48"/>
      <c r="F1826" s="48"/>
      <c r="G1826" s="49" t="n">
        <f aca="false">N('Neue Artikel'!$G$87)</f>
        <v>0</v>
      </c>
      <c r="H1826" s="50" t="n">
        <f aca="false">MAX(0,IF(AND(Parameter!$B$21="Ja",ISNUMBER(Y1826)),Y1826,IF(Parameter!$B$20="Jahresanfang 2025 + Export",BO1826+BN1826,BN1826)))</f>
        <v>0</v>
      </c>
      <c r="I1826" s="50" t="n">
        <f aca="false">H1826*G1826</f>
        <v>0</v>
      </c>
      <c r="J1826" s="50" t="n">
        <f aca="false">BQ1826*Parameter!$B$18</f>
        <v>0</v>
      </c>
      <c r="K1826" s="51"/>
      <c r="L1826" s="52"/>
      <c r="M1826" s="50" t="n">
        <f aca="false">N('Neue Artikel'!$E$87)</f>
        <v>0</v>
      </c>
      <c r="N1826" s="50" t="n">
        <f aca="false">N('Neue Artikel'!$F$87)</f>
        <v>0</v>
      </c>
      <c r="O1826" s="53"/>
      <c r="P1826" s="48" t="str">
        <f aca="false">IF('Neue Artikel'!$H$87="","LOSE",UPPER(TRIM('Neue Artikel'!$H$87)))</f>
        <v>LOSE</v>
      </c>
      <c r="Q1826" s="50" t="n">
        <f aca="false">N('Neue Artikel'!$I$87)</f>
        <v>0</v>
      </c>
      <c r="R1826" s="53" t="n">
        <f aca="false">IF(BW1826=1,0,IFERROR(VLOOKUP(BU1826,'Gebinde-Kategorie'!$A$5:$N$45,13,0)+0,0))</f>
        <v>0</v>
      </c>
      <c r="S1826" s="54"/>
      <c r="T1826" s="55"/>
      <c r="U1826" s="55"/>
      <c r="V1826" s="55"/>
      <c r="W1826" s="48"/>
      <c r="X1826" s="50"/>
      <c r="Y1826" s="50"/>
      <c r="Z1826" s="48" t="str">
        <f aca="false">IF(A1826="","",IF(AND(Parameter!$B$21="Ja",ISNUMBER(W1826)),W1826,IF(BZ1826="2+3",IF(ISNUMBER(SEARCH("grosser Artikel",BR1826)),2,IFERROR(VLOOKUP(BU1826,Parameter!$F$35:$G$64,2,0),2)),IF(OR(BZ1826="Nein",BZ1826=""),"-",BZ1826))))</f>
        <v/>
      </c>
      <c r="AA1826" s="48" t="str">
        <f aca="false">IF('Neue Artikel'!$J$87="","",'Neue Artikel'!$J$87)</f>
        <v/>
      </c>
      <c r="AB1826" s="56"/>
      <c r="AC1826" s="50" t="n">
        <f aca="false">AT1826</f>
        <v>0</v>
      </c>
      <c r="AD1826" s="50" t="n">
        <f aca="false">MAX(AT1826,H1826)</f>
        <v>0</v>
      </c>
      <c r="AE1826" s="57"/>
      <c r="AF1826" s="50" t="n">
        <f aca="false">IF(LEFT(Cockpit!$C$5,1)="A",H1826,IF(CE1826=1,CF1826,IF(LEFT(Cockpit!$C$5,1)="B",AK1826,MAX(AK1826,H1826))))</f>
        <v>0</v>
      </c>
      <c r="AG1826" s="50" t="n">
        <f aca="false">IF(BW1826=1,0,ROUNDUP(AF1826/BV1826,0))</f>
        <v>0</v>
      </c>
      <c r="AH1826" s="52" t="n">
        <f aca="false">IF(CL1826&gt;0,CL1826*MAX(1,AF1826/X1826),IF(BW1826=1,IF(AF1826&lt;=0,0,CA1826*MAX(1,IF(H1826&gt;0,AF1826/H1826,1))),IF(R1826&gt;0,AG1826/R1826,0))/MAX(0.1,N(Parameter!$M$21)))</f>
        <v>0</v>
      </c>
      <c r="AI1826" s="50" t="n">
        <f aca="false">AH1826*BY1826</f>
        <v>0</v>
      </c>
      <c r="AJ1826" s="50" t="n">
        <f aca="false">AF1826*G1826</f>
        <v>0</v>
      </c>
      <c r="AK1826" s="50" t="n">
        <f aca="false">ROUNDUP(MAX(J1826/IF(CD1826&gt;0,CD1826,MAX(0.1,N(Cockpit!$C$6))),CG1826)/BV1826,0)*BV1826</f>
        <v>0</v>
      </c>
      <c r="AL1826" s="51" t="n">
        <f aca="false">IF(AI1826&gt;0,J1826/AI1826,-1)</f>
        <v>-1</v>
      </c>
      <c r="AM1826" s="51" t="str">
        <f aca="false">IF(AND(OR(CC1826="L1",CC1826="L23",CC1826="LIFT"),AI1826&gt;0),SUMIFS($AI$7:$AI$1843,$CC$7:$CC$1843,CC1826,$AL$7:$AL$1843,"&gt;"&amp;AL1826)+SUMIFS($AI$7:$AI$1843,$CC$7:$CC$1843,CC1826,$AL$7:$AL$1843,AL1826,$BT$7:$BT$1843,"&lt;="&amp;BT1826),"")</f>
        <v/>
      </c>
      <c r="AN1826" s="58" t="n">
        <f aca="false">IF(AM1826="",0,MAX(0,MIN(1,(IF(CC1826="L1",Parameter!$H$5,IF(CC1826="L23",Parameter!$H$6+Parameter!$H$7,Parameter!$H$5+Parameter!$H$6+Parameter!$H$7))-(AM1826-AI1826))/AI1826)))</f>
        <v>0</v>
      </c>
      <c r="AO1826" s="50" t="n">
        <f aca="false">IF(LEFT(Cockpit!$I$5,1)="A",H1826,IF(CE1826=1,CF1826,IF(LEFT(Cockpit!$I$5,1)="B",AT1826,MAX(AT1826,H1826))))</f>
        <v>0</v>
      </c>
      <c r="AP1826" s="50" t="n">
        <f aca="false">IF(BW1826=1,0,ROUNDUP(AO1826/BV1826,0))</f>
        <v>0</v>
      </c>
      <c r="AQ1826" s="52" t="n">
        <f aca="false">IF(CL1826&gt;0,CL1826*MAX(1,AO1826/X1826),IF(BW1826=1,IF(AO1826&lt;=0,0,CA1826*MAX(1,IF(H1826&gt;0,AO1826/H1826,1))),IF(R1826&gt;0,AP1826/R1826,0))/MAX(0.1,N(Parameter!$M$21)))</f>
        <v>0</v>
      </c>
      <c r="AR1826" s="50" t="n">
        <f aca="false">AQ1826*BY1826</f>
        <v>0</v>
      </c>
      <c r="AS1826" s="50" t="n">
        <f aca="false">AO1826*G1826</f>
        <v>0</v>
      </c>
      <c r="AT1826" s="50" t="n">
        <f aca="false">ROUNDUP(MAX(J1826/IF(CD1826&gt;0,CD1826,MAX(0.1,N(Cockpit!$I$6))),CG1826)/BV1826,0)*BV1826</f>
        <v>0</v>
      </c>
      <c r="AU1826" s="51" t="n">
        <f aca="false">IF(AR1826&gt;0,J1826/AR1826,-1)</f>
        <v>-1</v>
      </c>
      <c r="AV1826" s="51" t="str">
        <f aca="false">IF(AND(OR(CC1826="L1",CC1826="L23",CC1826="LIFT"),AR1826&gt;0),SUMIFS($AR$7:$AR$1843,$CC$7:$CC$1843,CC1826,$AU$7:$AU$1843,"&gt;"&amp;AU1826)+SUMIFS($AR$7:$AR$1843,$CC$7:$CC$1843,CC1826,$AU$7:$AU$1843,AU1826,$BT$7:$BT$1843,"&lt;="&amp;BT1826),"")</f>
        <v/>
      </c>
      <c r="AW1826" s="58" t="n">
        <f aca="false">IF(AV1826="",0,MAX(0,MIN(1,(IF(CC1826="L1",Parameter!$H$5,IF(CC1826="L23",Parameter!$H$6+Parameter!$H$7,Parameter!$H$5+Parameter!$H$6+Parameter!$H$7))-(AV1826-AR1826))/AR1826)))</f>
        <v>0</v>
      </c>
      <c r="AX1826" s="50" t="n">
        <f aca="false">IF(LEFT(Cockpit!$O$5,1)="A",H1826,IF(CE1826=1,CF1826,IF(LEFT(Cockpit!$O$5,1)="B",BC1826,MAX(BC1826,H1826))))</f>
        <v>0</v>
      </c>
      <c r="AY1826" s="50" t="n">
        <f aca="false">IF(BW1826=1,0,ROUNDUP(AX1826/BV1826,0))</f>
        <v>0</v>
      </c>
      <c r="AZ1826" s="52" t="n">
        <f aca="false">IF(CL1826&gt;0,CL1826*MAX(1,AX1826/X1826),IF(BW1826=1,IF(AX1826&lt;=0,0,CA1826*MAX(1,IF(H1826&gt;0,AX1826/H1826,1))),IF(R1826&gt;0,AY1826/R1826,0))/MAX(0.1,N(Parameter!$M$21)))</f>
        <v>0</v>
      </c>
      <c r="BA1826" s="50" t="n">
        <f aca="false">AZ1826*BY1826</f>
        <v>0</v>
      </c>
      <c r="BB1826" s="50" t="n">
        <f aca="false">AX1826*G1826</f>
        <v>0</v>
      </c>
      <c r="BC1826" s="50" t="n">
        <f aca="false">ROUNDUP(MAX(J1826/IF(CD1826&gt;0,CD1826,MAX(0.1,N(Cockpit!$O$6))),CG1826)/BV1826,0)*BV1826</f>
        <v>0</v>
      </c>
      <c r="BD1826" s="51" t="n">
        <f aca="false">IF(BA1826&gt;0,J1826/BA1826,-1)</f>
        <v>-1</v>
      </c>
      <c r="BE1826" s="51" t="str">
        <f aca="false">IF(AND(OR(CC1826="L1",CC1826="L23",CC1826="LIFT"),BA1826&gt;0),SUMIFS($BA$7:$BA$1843,$CC$7:$CC$1843,CC1826,$BD$7:$BD$1843,"&gt;"&amp;BD1826)+SUMIFS($BA$7:$BA$1843,$CC$7:$CC$1843,CC1826,$BD$7:$BD$1843,BD1826,$BT$7:$BT$1843,"&lt;="&amp;BT1826),"")</f>
        <v/>
      </c>
      <c r="BF1826" s="58" t="n">
        <f aca="false">IF(BE1826="",0,MAX(0,MIN(1,(IF(CC1826="L1",Parameter!$H$5,IF(CC1826="L23",Parameter!$H$6+Parameter!$H$7,Parameter!$H$5+Parameter!$H$6+Parameter!$H$7))-(BE1826-BA1826))/BA1826)))</f>
        <v>0</v>
      </c>
      <c r="BG1826" s="48" t="str">
        <f aca="false">IF(AI1826&lt;=0,"",IF(CC1826="Aussen","Aussenlager",IF(CC1826="-","Nicht im Lift",IF(AN1826&gt;=1,"Lift",IF(AN1826&lt;=0,"Aussenlager","teilweise")))))</f>
        <v/>
      </c>
      <c r="BH1826" s="48" t="str">
        <f aca="false">IF(AR1826&lt;=0,"",IF(CC1826="Aussen","Aussenlager",IF(CC1826="-","Nicht im Lift",IF(AW1826&gt;=1,"Lift",IF(AW1826&lt;=0,"Aussenlager","teilweise")))))</f>
        <v/>
      </c>
      <c r="BI1826" s="48" t="str">
        <f aca="false">IF(BA1826&lt;=0,"",IF(CC1826="Aussen","Aussenlager",IF(CC1826="-","Nicht im Lift",IF(BF1826&gt;=1,"Lift",IF(BF1826&lt;=0,"Aussenlager","teilweise")))))</f>
        <v/>
      </c>
      <c r="BJ1826" s="48" t="str">
        <f aca="false">IF(A1826="","",IF(BS1826=1,"Neu; ","")&amp;IF(AND(BS1826=0,BN1826&lt;0),"negativer Bestand (Export "&amp;BN1826&amp;"); ","")&amp;IF(J1826&lt;=0,"Kein Verbrauch; ","")&amp;IF(CL1826&gt;0,"Lift "&amp;W1826&amp;" lt. Liftbericht (Fach "&amp;X1826&amp;" Stk); ",IF(BX1826=1,"Gebinde geschätzt ("&amp;T1826&amp;"); ",IF(BW1826=1,"Lose – Tablare geschätzt; ","")))&amp;IF(H1826&gt;AT1826,"Überbestand "&amp;ROUND(H1826-AT1826,0)&amp;" Stk / CHF "&amp;ROUND((H1826-AT1826)*G1826,0)&amp;"; ","")&amp;IF(AND(CE1826=1,CF1826&lt;CG1826),"MAX &lt; MB+LG; ","")&amp;IF(AND(CK1826&gt;0,CJ1826*10&gt;CK1826),"zu hoch für Tablar; ","")&amp;IF(AND(BS1826=0,OR(CE1826=1,AA1826&lt;&gt;"",U1826&lt;&gt;"",V1826&lt;&gt;"",AB1826&lt;&gt;"")),"manuell übersteuert; ","")&amp;IF(AND(BW1826=0,R1826=0),"Gebinde unbekannt / Stellmass fehlt; ","")&amp;IF(AND(BW1826=0,N(V1826)&lt;=0,N(Q1826)&lt;=0),"Menge pro Gebinde fehlt (Ist = 1 Gebinde); ","")&amp;BR1826)</f>
        <v/>
      </c>
      <c r="BK1826" s="48"/>
      <c r="BL1826" s="48"/>
      <c r="BM1826" s="55"/>
      <c r="BN1826" s="50" t="n">
        <f aca="false">N('Neue Artikel'!$D$87)</f>
        <v>0</v>
      </c>
      <c r="BO1826" s="50" t="n">
        <v>0</v>
      </c>
      <c r="BP1826" s="49" t="n">
        <v>0</v>
      </c>
      <c r="BQ1826" s="50" t="n">
        <f aca="false">N('Neue Artikel'!$C$87)/Parameter!$B$18</f>
        <v>0</v>
      </c>
      <c r="BR1826" s="48"/>
      <c r="BS1826" s="53" t="n">
        <v>1</v>
      </c>
      <c r="BT1826" s="53" t="n">
        <v>1826</v>
      </c>
      <c r="BU1826" s="48" t="str">
        <f aca="false">IF(U1826&lt;&gt;"",UPPER(TRIM(U1826)),IF(BX1826=1,UPPER(VLOOKUP(T1826,Parameter!$I$27:$K$29,2,0)),IF(P1826="","LOSE",P1826)))</f>
        <v>LOSE</v>
      </c>
      <c r="BV1826" s="50" t="n">
        <f aca="false">IF(BU1826="LOSE",1,IF(N(V1826)&gt;0,V1826,IF(BX1826=1,MAX(1,N(VLOOKUP(T1826,Parameter!$I$27:$K$29,3,0)),H1826,N(N1826)),IF(N(Q1826)&gt;0,Q1826,MAX(1,H1826)))))</f>
        <v>1</v>
      </c>
      <c r="BW1826" s="53" t="n">
        <f aca="false">IF(BU1826="LOSE",1,0)</f>
        <v>1</v>
      </c>
      <c r="BX1826" s="53" t="n">
        <f aca="false">IF(AND(U1826="",OR(P1826="",P1826="LOSE"),T1826&lt;&gt;"",N(S1826)&lt;=0,ISNUMBER(MATCH(T1826,Parameter!$I$27:$I$29,0))),1,0)</f>
        <v>0</v>
      </c>
      <c r="BY1826" s="53" t="n">
        <f aca="false">IF(CL1826&gt;0,INDEX(Parameter!$H$5:$H$7,W1826)/INDEX(Parameter!$E$5:$E$7,W1826),IF(AND(BW1826=0,N(IFERROR(VLOOKUP(BU1826,'Gebinde-Kategorie'!$A$5:$N$45,14,0),0))&gt;0),VLOOKUP(BU1826,'Gebinde-Kategorie'!$A$5:$N$45,14,0)*10+Parameter!$M$23,Parameter!$M$24))</f>
        <v>235</v>
      </c>
      <c r="BZ1826" s="48" t="str">
        <f aca="false">IF(AND(Parameter!$B$19="Ja",E1826&lt;&gt;"",ISNUMBER(MATCH(E1826,Parameter!$I$35:$I$52,0))),VLOOKUP(E1826,Parameter!$I$35:$J$52,2,0),IFERROR(VLOOKUP(D1826,Parameter!$A$35:$C$64,2,0),"Nein"))</f>
        <v>2+3</v>
      </c>
      <c r="CA1826" s="52" t="n">
        <f aca="false">IF(BW1826=0,0,IF(N(S1826)&gt;0,S1826,IFERROR(VLOOKUP(D1826,Parameter!$A$35:$C$64,3,0)+0,0)))</f>
        <v>0.15</v>
      </c>
      <c r="CB1826" s="48" t="str">
        <f aca="false">IF(AA1826&lt;&gt;"",AA1826,Z1826)</f>
        <v/>
      </c>
      <c r="CC1826" s="48" t="str">
        <f aca="false">IF(OR(CB1826=1,CB1826=2,CB1826=3),IF(Parameter!$E$27="Ja","LIFT",IF(CB1826=1,"L1","L23")),IF(CB1826="Aussen","Aussen","-"))</f>
        <v>-</v>
      </c>
      <c r="CD1826" s="59" t="n">
        <f aca="false">IF(N(AB1826)&gt;0,AB1826,0)</f>
        <v>0</v>
      </c>
      <c r="CE1826" s="53" t="n">
        <f aca="false">IF(ISNUMBER(AE1826),1,0)</f>
        <v>0</v>
      </c>
      <c r="CF1826" s="50" t="n">
        <f aca="false">N(AE1826)</f>
        <v>0</v>
      </c>
      <c r="CG1826" s="50" t="n">
        <f aca="false">N(M1826)+N(N1826)</f>
        <v>0</v>
      </c>
      <c r="CH1826" s="50" t="n">
        <f aca="false">ROUNDUP(H1826/BV1826,0)</f>
        <v>0</v>
      </c>
      <c r="CI1826" s="50" t="n">
        <f aca="false">ROUNDUP(CF1826/BV1826,0)</f>
        <v>0</v>
      </c>
      <c r="CJ1826" s="53" t="n">
        <f aca="false">IF(BW1826=1,0,IFERROR(VLOOKUP(BU1826,'Gebinde-Kategorie'!$A$5:$N$45,5,0)+0,0))</f>
        <v>0</v>
      </c>
      <c r="CK1826" s="53" t="n">
        <f aca="false">IFERROR(IF(OR(CB1826=1,CB1826=2,CB1826=3),N(INDEX(Parameter!$I$5:$I$7,CB1826)),0),0)</f>
        <v>0</v>
      </c>
      <c r="CL1826" s="52" t="n">
        <f aca="false">IF(AND(Parameter!$B$21="Ja",ISNUMBER(W1826),N(X1826)&gt;0),IFERROR(N(INDEX(Parameter!$L$5:$L$7,W1826))*INDEX(Parameter!$E$5:$E$7,W1826)*X1826/SUMIFS($X$7:$X$1843,$W$7:$W$1843,W1826),0),0)</f>
        <v>0</v>
      </c>
    </row>
    <row r="1827" customFormat="false" ht="15" hidden="false" customHeight="false" outlineLevel="0" collapsed="false">
      <c r="A1827" s="48" t="str">
        <f aca="false">IF('Neue Artikel'!$A$88="","",'Neue Artikel'!$A$88&amp;"")</f>
        <v/>
      </c>
      <c r="B1827" s="48" t="str">
        <f aca="false">'Neue Artikel'!$B$88&amp;""</f>
        <v/>
      </c>
      <c r="C1827" s="48"/>
      <c r="D1827" s="48" t="s">
        <v>3019</v>
      </c>
      <c r="E1827" s="48"/>
      <c r="F1827" s="48"/>
      <c r="G1827" s="49" t="n">
        <f aca="false">N('Neue Artikel'!$G$88)</f>
        <v>0</v>
      </c>
      <c r="H1827" s="50" t="n">
        <f aca="false">MAX(0,IF(AND(Parameter!$B$21="Ja",ISNUMBER(Y1827)),Y1827,IF(Parameter!$B$20="Jahresanfang 2025 + Export",BO1827+BN1827,BN1827)))</f>
        <v>0</v>
      </c>
      <c r="I1827" s="50" t="n">
        <f aca="false">H1827*G1827</f>
        <v>0</v>
      </c>
      <c r="J1827" s="50" t="n">
        <f aca="false">BQ1827*Parameter!$B$18</f>
        <v>0</v>
      </c>
      <c r="K1827" s="51"/>
      <c r="L1827" s="52"/>
      <c r="M1827" s="50" t="n">
        <f aca="false">N('Neue Artikel'!$E$88)</f>
        <v>0</v>
      </c>
      <c r="N1827" s="50" t="n">
        <f aca="false">N('Neue Artikel'!$F$88)</f>
        <v>0</v>
      </c>
      <c r="O1827" s="53"/>
      <c r="P1827" s="48" t="str">
        <f aca="false">IF('Neue Artikel'!$H$88="","LOSE",UPPER(TRIM('Neue Artikel'!$H$88)))</f>
        <v>LOSE</v>
      </c>
      <c r="Q1827" s="50" t="n">
        <f aca="false">N('Neue Artikel'!$I$88)</f>
        <v>0</v>
      </c>
      <c r="R1827" s="53" t="n">
        <f aca="false">IF(BW1827=1,0,IFERROR(VLOOKUP(BU1827,'Gebinde-Kategorie'!$A$5:$N$45,13,0)+0,0))</f>
        <v>0</v>
      </c>
      <c r="S1827" s="54"/>
      <c r="T1827" s="55"/>
      <c r="U1827" s="55"/>
      <c r="V1827" s="55"/>
      <c r="W1827" s="48"/>
      <c r="X1827" s="50"/>
      <c r="Y1827" s="50"/>
      <c r="Z1827" s="48" t="str">
        <f aca="false">IF(A1827="","",IF(AND(Parameter!$B$21="Ja",ISNUMBER(W1827)),W1827,IF(BZ1827="2+3",IF(ISNUMBER(SEARCH("grosser Artikel",BR1827)),2,IFERROR(VLOOKUP(BU1827,Parameter!$F$35:$G$64,2,0),2)),IF(OR(BZ1827="Nein",BZ1827=""),"-",BZ1827))))</f>
        <v/>
      </c>
      <c r="AA1827" s="48" t="str">
        <f aca="false">IF('Neue Artikel'!$J$88="","",'Neue Artikel'!$J$88)</f>
        <v/>
      </c>
      <c r="AB1827" s="56"/>
      <c r="AC1827" s="50" t="n">
        <f aca="false">AT1827</f>
        <v>0</v>
      </c>
      <c r="AD1827" s="50" t="n">
        <f aca="false">MAX(AT1827,H1827)</f>
        <v>0</v>
      </c>
      <c r="AE1827" s="57"/>
      <c r="AF1827" s="50" t="n">
        <f aca="false">IF(LEFT(Cockpit!$C$5,1)="A",H1827,IF(CE1827=1,CF1827,IF(LEFT(Cockpit!$C$5,1)="B",AK1827,MAX(AK1827,H1827))))</f>
        <v>0</v>
      </c>
      <c r="AG1827" s="50" t="n">
        <f aca="false">IF(BW1827=1,0,ROUNDUP(AF1827/BV1827,0))</f>
        <v>0</v>
      </c>
      <c r="AH1827" s="52" t="n">
        <f aca="false">IF(CL1827&gt;0,CL1827*MAX(1,AF1827/X1827),IF(BW1827=1,IF(AF1827&lt;=0,0,CA1827*MAX(1,IF(H1827&gt;0,AF1827/H1827,1))),IF(R1827&gt;0,AG1827/R1827,0))/MAX(0.1,N(Parameter!$M$21)))</f>
        <v>0</v>
      </c>
      <c r="AI1827" s="50" t="n">
        <f aca="false">AH1827*BY1827</f>
        <v>0</v>
      </c>
      <c r="AJ1827" s="50" t="n">
        <f aca="false">AF1827*G1827</f>
        <v>0</v>
      </c>
      <c r="AK1827" s="50" t="n">
        <f aca="false">ROUNDUP(MAX(J1827/IF(CD1827&gt;0,CD1827,MAX(0.1,N(Cockpit!$C$6))),CG1827)/BV1827,0)*BV1827</f>
        <v>0</v>
      </c>
      <c r="AL1827" s="51" t="n">
        <f aca="false">IF(AI1827&gt;0,J1827/AI1827,-1)</f>
        <v>-1</v>
      </c>
      <c r="AM1827" s="51" t="str">
        <f aca="false">IF(AND(OR(CC1827="L1",CC1827="L23",CC1827="LIFT"),AI1827&gt;0),SUMIFS($AI$7:$AI$1843,$CC$7:$CC$1843,CC1827,$AL$7:$AL$1843,"&gt;"&amp;AL1827)+SUMIFS($AI$7:$AI$1843,$CC$7:$CC$1843,CC1827,$AL$7:$AL$1843,AL1827,$BT$7:$BT$1843,"&lt;="&amp;BT1827),"")</f>
        <v/>
      </c>
      <c r="AN1827" s="58" t="n">
        <f aca="false">IF(AM1827="",0,MAX(0,MIN(1,(IF(CC1827="L1",Parameter!$H$5,IF(CC1827="L23",Parameter!$H$6+Parameter!$H$7,Parameter!$H$5+Parameter!$H$6+Parameter!$H$7))-(AM1827-AI1827))/AI1827)))</f>
        <v>0</v>
      </c>
      <c r="AO1827" s="50" t="n">
        <f aca="false">IF(LEFT(Cockpit!$I$5,1)="A",H1827,IF(CE1827=1,CF1827,IF(LEFT(Cockpit!$I$5,1)="B",AT1827,MAX(AT1827,H1827))))</f>
        <v>0</v>
      </c>
      <c r="AP1827" s="50" t="n">
        <f aca="false">IF(BW1827=1,0,ROUNDUP(AO1827/BV1827,0))</f>
        <v>0</v>
      </c>
      <c r="AQ1827" s="52" t="n">
        <f aca="false">IF(CL1827&gt;0,CL1827*MAX(1,AO1827/X1827),IF(BW1827=1,IF(AO1827&lt;=0,0,CA1827*MAX(1,IF(H1827&gt;0,AO1827/H1827,1))),IF(R1827&gt;0,AP1827/R1827,0))/MAX(0.1,N(Parameter!$M$21)))</f>
        <v>0</v>
      </c>
      <c r="AR1827" s="50" t="n">
        <f aca="false">AQ1827*BY1827</f>
        <v>0</v>
      </c>
      <c r="AS1827" s="50" t="n">
        <f aca="false">AO1827*G1827</f>
        <v>0</v>
      </c>
      <c r="AT1827" s="50" t="n">
        <f aca="false">ROUNDUP(MAX(J1827/IF(CD1827&gt;0,CD1827,MAX(0.1,N(Cockpit!$I$6))),CG1827)/BV1827,0)*BV1827</f>
        <v>0</v>
      </c>
      <c r="AU1827" s="51" t="n">
        <f aca="false">IF(AR1827&gt;0,J1827/AR1827,-1)</f>
        <v>-1</v>
      </c>
      <c r="AV1827" s="51" t="str">
        <f aca="false">IF(AND(OR(CC1827="L1",CC1827="L23",CC1827="LIFT"),AR1827&gt;0),SUMIFS($AR$7:$AR$1843,$CC$7:$CC$1843,CC1827,$AU$7:$AU$1843,"&gt;"&amp;AU1827)+SUMIFS($AR$7:$AR$1843,$CC$7:$CC$1843,CC1827,$AU$7:$AU$1843,AU1827,$BT$7:$BT$1843,"&lt;="&amp;BT1827),"")</f>
        <v/>
      </c>
      <c r="AW1827" s="58" t="n">
        <f aca="false">IF(AV1827="",0,MAX(0,MIN(1,(IF(CC1827="L1",Parameter!$H$5,IF(CC1827="L23",Parameter!$H$6+Parameter!$H$7,Parameter!$H$5+Parameter!$H$6+Parameter!$H$7))-(AV1827-AR1827))/AR1827)))</f>
        <v>0</v>
      </c>
      <c r="AX1827" s="50" t="n">
        <f aca="false">IF(LEFT(Cockpit!$O$5,1)="A",H1827,IF(CE1827=1,CF1827,IF(LEFT(Cockpit!$O$5,1)="B",BC1827,MAX(BC1827,H1827))))</f>
        <v>0</v>
      </c>
      <c r="AY1827" s="50" t="n">
        <f aca="false">IF(BW1827=1,0,ROUNDUP(AX1827/BV1827,0))</f>
        <v>0</v>
      </c>
      <c r="AZ1827" s="52" t="n">
        <f aca="false">IF(CL1827&gt;0,CL1827*MAX(1,AX1827/X1827),IF(BW1827=1,IF(AX1827&lt;=0,0,CA1827*MAX(1,IF(H1827&gt;0,AX1827/H1827,1))),IF(R1827&gt;0,AY1827/R1827,0))/MAX(0.1,N(Parameter!$M$21)))</f>
        <v>0</v>
      </c>
      <c r="BA1827" s="50" t="n">
        <f aca="false">AZ1827*BY1827</f>
        <v>0</v>
      </c>
      <c r="BB1827" s="50" t="n">
        <f aca="false">AX1827*G1827</f>
        <v>0</v>
      </c>
      <c r="BC1827" s="50" t="n">
        <f aca="false">ROUNDUP(MAX(J1827/IF(CD1827&gt;0,CD1827,MAX(0.1,N(Cockpit!$O$6))),CG1827)/BV1827,0)*BV1827</f>
        <v>0</v>
      </c>
      <c r="BD1827" s="51" t="n">
        <f aca="false">IF(BA1827&gt;0,J1827/BA1827,-1)</f>
        <v>-1</v>
      </c>
      <c r="BE1827" s="51" t="str">
        <f aca="false">IF(AND(OR(CC1827="L1",CC1827="L23",CC1827="LIFT"),BA1827&gt;0),SUMIFS($BA$7:$BA$1843,$CC$7:$CC$1843,CC1827,$BD$7:$BD$1843,"&gt;"&amp;BD1827)+SUMIFS($BA$7:$BA$1843,$CC$7:$CC$1843,CC1827,$BD$7:$BD$1843,BD1827,$BT$7:$BT$1843,"&lt;="&amp;BT1827),"")</f>
        <v/>
      </c>
      <c r="BF1827" s="58" t="n">
        <f aca="false">IF(BE1827="",0,MAX(0,MIN(1,(IF(CC1827="L1",Parameter!$H$5,IF(CC1827="L23",Parameter!$H$6+Parameter!$H$7,Parameter!$H$5+Parameter!$H$6+Parameter!$H$7))-(BE1827-BA1827))/BA1827)))</f>
        <v>0</v>
      </c>
      <c r="BG1827" s="48" t="str">
        <f aca="false">IF(AI1827&lt;=0,"",IF(CC1827="Aussen","Aussenlager",IF(CC1827="-","Nicht im Lift",IF(AN1827&gt;=1,"Lift",IF(AN1827&lt;=0,"Aussenlager","teilweise")))))</f>
        <v/>
      </c>
      <c r="BH1827" s="48" t="str">
        <f aca="false">IF(AR1827&lt;=0,"",IF(CC1827="Aussen","Aussenlager",IF(CC1827="-","Nicht im Lift",IF(AW1827&gt;=1,"Lift",IF(AW1827&lt;=0,"Aussenlager","teilweise")))))</f>
        <v/>
      </c>
      <c r="BI1827" s="48" t="str">
        <f aca="false">IF(BA1827&lt;=0,"",IF(CC1827="Aussen","Aussenlager",IF(CC1827="-","Nicht im Lift",IF(BF1827&gt;=1,"Lift",IF(BF1827&lt;=0,"Aussenlager","teilweise")))))</f>
        <v/>
      </c>
      <c r="BJ1827" s="48" t="str">
        <f aca="false">IF(A1827="","",IF(BS1827=1,"Neu; ","")&amp;IF(AND(BS1827=0,BN1827&lt;0),"negativer Bestand (Export "&amp;BN1827&amp;"); ","")&amp;IF(J1827&lt;=0,"Kein Verbrauch; ","")&amp;IF(CL1827&gt;0,"Lift "&amp;W1827&amp;" lt. Liftbericht (Fach "&amp;X1827&amp;" Stk); ",IF(BX1827=1,"Gebinde geschätzt ("&amp;T1827&amp;"); ",IF(BW1827=1,"Lose – Tablare geschätzt; ","")))&amp;IF(H1827&gt;AT1827,"Überbestand "&amp;ROUND(H1827-AT1827,0)&amp;" Stk / CHF "&amp;ROUND((H1827-AT1827)*G1827,0)&amp;"; ","")&amp;IF(AND(CE1827=1,CF1827&lt;CG1827),"MAX &lt; MB+LG; ","")&amp;IF(AND(CK1827&gt;0,CJ1827*10&gt;CK1827),"zu hoch für Tablar; ","")&amp;IF(AND(BS1827=0,OR(CE1827=1,AA1827&lt;&gt;"",U1827&lt;&gt;"",V1827&lt;&gt;"",AB1827&lt;&gt;"")),"manuell übersteuert; ","")&amp;IF(AND(BW1827=0,R1827=0),"Gebinde unbekannt / Stellmass fehlt; ","")&amp;IF(AND(BW1827=0,N(V1827)&lt;=0,N(Q1827)&lt;=0),"Menge pro Gebinde fehlt (Ist = 1 Gebinde); ","")&amp;BR1827)</f>
        <v/>
      </c>
      <c r="BK1827" s="48"/>
      <c r="BL1827" s="48"/>
      <c r="BM1827" s="55"/>
      <c r="BN1827" s="50" t="n">
        <f aca="false">N('Neue Artikel'!$D$88)</f>
        <v>0</v>
      </c>
      <c r="BO1827" s="50" t="n">
        <v>0</v>
      </c>
      <c r="BP1827" s="49" t="n">
        <v>0</v>
      </c>
      <c r="BQ1827" s="50" t="n">
        <f aca="false">N('Neue Artikel'!$C$88)/Parameter!$B$18</f>
        <v>0</v>
      </c>
      <c r="BR1827" s="48"/>
      <c r="BS1827" s="53" t="n">
        <v>1</v>
      </c>
      <c r="BT1827" s="53" t="n">
        <v>1827</v>
      </c>
      <c r="BU1827" s="48" t="str">
        <f aca="false">IF(U1827&lt;&gt;"",UPPER(TRIM(U1827)),IF(BX1827=1,UPPER(VLOOKUP(T1827,Parameter!$I$27:$K$29,2,0)),IF(P1827="","LOSE",P1827)))</f>
        <v>LOSE</v>
      </c>
      <c r="BV1827" s="50" t="n">
        <f aca="false">IF(BU1827="LOSE",1,IF(N(V1827)&gt;0,V1827,IF(BX1827=1,MAX(1,N(VLOOKUP(T1827,Parameter!$I$27:$K$29,3,0)),H1827,N(N1827)),IF(N(Q1827)&gt;0,Q1827,MAX(1,H1827)))))</f>
        <v>1</v>
      </c>
      <c r="BW1827" s="53" t="n">
        <f aca="false">IF(BU1827="LOSE",1,0)</f>
        <v>1</v>
      </c>
      <c r="BX1827" s="53" t="n">
        <f aca="false">IF(AND(U1827="",OR(P1827="",P1827="LOSE"),T1827&lt;&gt;"",N(S1827)&lt;=0,ISNUMBER(MATCH(T1827,Parameter!$I$27:$I$29,0))),1,0)</f>
        <v>0</v>
      </c>
      <c r="BY1827" s="53" t="n">
        <f aca="false">IF(CL1827&gt;0,INDEX(Parameter!$H$5:$H$7,W1827)/INDEX(Parameter!$E$5:$E$7,W1827),IF(AND(BW1827=0,N(IFERROR(VLOOKUP(BU1827,'Gebinde-Kategorie'!$A$5:$N$45,14,0),0))&gt;0),VLOOKUP(BU1827,'Gebinde-Kategorie'!$A$5:$N$45,14,0)*10+Parameter!$M$23,Parameter!$M$24))</f>
        <v>235</v>
      </c>
      <c r="BZ1827" s="48" t="str">
        <f aca="false">IF(AND(Parameter!$B$19="Ja",E1827&lt;&gt;"",ISNUMBER(MATCH(E1827,Parameter!$I$35:$I$52,0))),VLOOKUP(E1827,Parameter!$I$35:$J$52,2,0),IFERROR(VLOOKUP(D1827,Parameter!$A$35:$C$64,2,0),"Nein"))</f>
        <v>2+3</v>
      </c>
      <c r="CA1827" s="52" t="n">
        <f aca="false">IF(BW1827=0,0,IF(N(S1827)&gt;0,S1827,IFERROR(VLOOKUP(D1827,Parameter!$A$35:$C$64,3,0)+0,0)))</f>
        <v>0.15</v>
      </c>
      <c r="CB1827" s="48" t="str">
        <f aca="false">IF(AA1827&lt;&gt;"",AA1827,Z1827)</f>
        <v/>
      </c>
      <c r="CC1827" s="48" t="str">
        <f aca="false">IF(OR(CB1827=1,CB1827=2,CB1827=3),IF(Parameter!$E$27="Ja","LIFT",IF(CB1827=1,"L1","L23")),IF(CB1827="Aussen","Aussen","-"))</f>
        <v>-</v>
      </c>
      <c r="CD1827" s="59" t="n">
        <f aca="false">IF(N(AB1827)&gt;0,AB1827,0)</f>
        <v>0</v>
      </c>
      <c r="CE1827" s="53" t="n">
        <f aca="false">IF(ISNUMBER(AE1827),1,0)</f>
        <v>0</v>
      </c>
      <c r="CF1827" s="50" t="n">
        <f aca="false">N(AE1827)</f>
        <v>0</v>
      </c>
      <c r="CG1827" s="50" t="n">
        <f aca="false">N(M1827)+N(N1827)</f>
        <v>0</v>
      </c>
      <c r="CH1827" s="50" t="n">
        <f aca="false">ROUNDUP(H1827/BV1827,0)</f>
        <v>0</v>
      </c>
      <c r="CI1827" s="50" t="n">
        <f aca="false">ROUNDUP(CF1827/BV1827,0)</f>
        <v>0</v>
      </c>
      <c r="CJ1827" s="53" t="n">
        <f aca="false">IF(BW1827=1,0,IFERROR(VLOOKUP(BU1827,'Gebinde-Kategorie'!$A$5:$N$45,5,0)+0,0))</f>
        <v>0</v>
      </c>
      <c r="CK1827" s="53" t="n">
        <f aca="false">IFERROR(IF(OR(CB1827=1,CB1827=2,CB1827=3),N(INDEX(Parameter!$I$5:$I$7,CB1827)),0),0)</f>
        <v>0</v>
      </c>
      <c r="CL1827" s="52" t="n">
        <f aca="false">IF(AND(Parameter!$B$21="Ja",ISNUMBER(W1827),N(X1827)&gt;0),IFERROR(N(INDEX(Parameter!$L$5:$L$7,W1827))*INDEX(Parameter!$E$5:$E$7,W1827)*X1827/SUMIFS($X$7:$X$1843,$W$7:$W$1843,W1827),0),0)</f>
        <v>0</v>
      </c>
    </row>
    <row r="1828" customFormat="false" ht="15" hidden="false" customHeight="false" outlineLevel="0" collapsed="false">
      <c r="A1828" s="48" t="str">
        <f aca="false">IF('Neue Artikel'!$A$89="","",'Neue Artikel'!$A$89&amp;"")</f>
        <v/>
      </c>
      <c r="B1828" s="48" t="str">
        <f aca="false">'Neue Artikel'!$B$89&amp;""</f>
        <v/>
      </c>
      <c r="C1828" s="48"/>
      <c r="D1828" s="48" t="s">
        <v>3019</v>
      </c>
      <c r="E1828" s="48"/>
      <c r="F1828" s="48"/>
      <c r="G1828" s="49" t="n">
        <f aca="false">N('Neue Artikel'!$G$89)</f>
        <v>0</v>
      </c>
      <c r="H1828" s="50" t="n">
        <f aca="false">MAX(0,IF(AND(Parameter!$B$21="Ja",ISNUMBER(Y1828)),Y1828,IF(Parameter!$B$20="Jahresanfang 2025 + Export",BO1828+BN1828,BN1828)))</f>
        <v>0</v>
      </c>
      <c r="I1828" s="50" t="n">
        <f aca="false">H1828*G1828</f>
        <v>0</v>
      </c>
      <c r="J1828" s="50" t="n">
        <f aca="false">BQ1828*Parameter!$B$18</f>
        <v>0</v>
      </c>
      <c r="K1828" s="51"/>
      <c r="L1828" s="52"/>
      <c r="M1828" s="50" t="n">
        <f aca="false">N('Neue Artikel'!$E$89)</f>
        <v>0</v>
      </c>
      <c r="N1828" s="50" t="n">
        <f aca="false">N('Neue Artikel'!$F$89)</f>
        <v>0</v>
      </c>
      <c r="O1828" s="53"/>
      <c r="P1828" s="48" t="str">
        <f aca="false">IF('Neue Artikel'!$H$89="","LOSE",UPPER(TRIM('Neue Artikel'!$H$89)))</f>
        <v>LOSE</v>
      </c>
      <c r="Q1828" s="50" t="n">
        <f aca="false">N('Neue Artikel'!$I$89)</f>
        <v>0</v>
      </c>
      <c r="R1828" s="53" t="n">
        <f aca="false">IF(BW1828=1,0,IFERROR(VLOOKUP(BU1828,'Gebinde-Kategorie'!$A$5:$N$45,13,0)+0,0))</f>
        <v>0</v>
      </c>
      <c r="S1828" s="54"/>
      <c r="T1828" s="55"/>
      <c r="U1828" s="55"/>
      <c r="V1828" s="55"/>
      <c r="W1828" s="48"/>
      <c r="X1828" s="50"/>
      <c r="Y1828" s="50"/>
      <c r="Z1828" s="48" t="str">
        <f aca="false">IF(A1828="","",IF(AND(Parameter!$B$21="Ja",ISNUMBER(W1828)),W1828,IF(BZ1828="2+3",IF(ISNUMBER(SEARCH("grosser Artikel",BR1828)),2,IFERROR(VLOOKUP(BU1828,Parameter!$F$35:$G$64,2,0),2)),IF(OR(BZ1828="Nein",BZ1828=""),"-",BZ1828))))</f>
        <v/>
      </c>
      <c r="AA1828" s="48" t="str">
        <f aca="false">IF('Neue Artikel'!$J$89="","",'Neue Artikel'!$J$89)</f>
        <v/>
      </c>
      <c r="AB1828" s="56"/>
      <c r="AC1828" s="50" t="n">
        <f aca="false">AT1828</f>
        <v>0</v>
      </c>
      <c r="AD1828" s="50" t="n">
        <f aca="false">MAX(AT1828,H1828)</f>
        <v>0</v>
      </c>
      <c r="AE1828" s="57"/>
      <c r="AF1828" s="50" t="n">
        <f aca="false">IF(LEFT(Cockpit!$C$5,1)="A",H1828,IF(CE1828=1,CF1828,IF(LEFT(Cockpit!$C$5,1)="B",AK1828,MAX(AK1828,H1828))))</f>
        <v>0</v>
      </c>
      <c r="AG1828" s="50" t="n">
        <f aca="false">IF(BW1828=1,0,ROUNDUP(AF1828/BV1828,0))</f>
        <v>0</v>
      </c>
      <c r="AH1828" s="52" t="n">
        <f aca="false">IF(CL1828&gt;0,CL1828*MAX(1,AF1828/X1828),IF(BW1828=1,IF(AF1828&lt;=0,0,CA1828*MAX(1,IF(H1828&gt;0,AF1828/H1828,1))),IF(R1828&gt;0,AG1828/R1828,0))/MAX(0.1,N(Parameter!$M$21)))</f>
        <v>0</v>
      </c>
      <c r="AI1828" s="50" t="n">
        <f aca="false">AH1828*BY1828</f>
        <v>0</v>
      </c>
      <c r="AJ1828" s="50" t="n">
        <f aca="false">AF1828*G1828</f>
        <v>0</v>
      </c>
      <c r="AK1828" s="50" t="n">
        <f aca="false">ROUNDUP(MAX(J1828/IF(CD1828&gt;0,CD1828,MAX(0.1,N(Cockpit!$C$6))),CG1828)/BV1828,0)*BV1828</f>
        <v>0</v>
      </c>
      <c r="AL1828" s="51" t="n">
        <f aca="false">IF(AI1828&gt;0,J1828/AI1828,-1)</f>
        <v>-1</v>
      </c>
      <c r="AM1828" s="51" t="str">
        <f aca="false">IF(AND(OR(CC1828="L1",CC1828="L23",CC1828="LIFT"),AI1828&gt;0),SUMIFS($AI$7:$AI$1843,$CC$7:$CC$1843,CC1828,$AL$7:$AL$1843,"&gt;"&amp;AL1828)+SUMIFS($AI$7:$AI$1843,$CC$7:$CC$1843,CC1828,$AL$7:$AL$1843,AL1828,$BT$7:$BT$1843,"&lt;="&amp;BT1828),"")</f>
        <v/>
      </c>
      <c r="AN1828" s="58" t="n">
        <f aca="false">IF(AM1828="",0,MAX(0,MIN(1,(IF(CC1828="L1",Parameter!$H$5,IF(CC1828="L23",Parameter!$H$6+Parameter!$H$7,Parameter!$H$5+Parameter!$H$6+Parameter!$H$7))-(AM1828-AI1828))/AI1828)))</f>
        <v>0</v>
      </c>
      <c r="AO1828" s="50" t="n">
        <f aca="false">IF(LEFT(Cockpit!$I$5,1)="A",H1828,IF(CE1828=1,CF1828,IF(LEFT(Cockpit!$I$5,1)="B",AT1828,MAX(AT1828,H1828))))</f>
        <v>0</v>
      </c>
      <c r="AP1828" s="50" t="n">
        <f aca="false">IF(BW1828=1,0,ROUNDUP(AO1828/BV1828,0))</f>
        <v>0</v>
      </c>
      <c r="AQ1828" s="52" t="n">
        <f aca="false">IF(CL1828&gt;0,CL1828*MAX(1,AO1828/X1828),IF(BW1828=1,IF(AO1828&lt;=0,0,CA1828*MAX(1,IF(H1828&gt;0,AO1828/H1828,1))),IF(R1828&gt;0,AP1828/R1828,0))/MAX(0.1,N(Parameter!$M$21)))</f>
        <v>0</v>
      </c>
      <c r="AR1828" s="50" t="n">
        <f aca="false">AQ1828*BY1828</f>
        <v>0</v>
      </c>
      <c r="AS1828" s="50" t="n">
        <f aca="false">AO1828*G1828</f>
        <v>0</v>
      </c>
      <c r="AT1828" s="50" t="n">
        <f aca="false">ROUNDUP(MAX(J1828/IF(CD1828&gt;0,CD1828,MAX(0.1,N(Cockpit!$I$6))),CG1828)/BV1828,0)*BV1828</f>
        <v>0</v>
      </c>
      <c r="AU1828" s="51" t="n">
        <f aca="false">IF(AR1828&gt;0,J1828/AR1828,-1)</f>
        <v>-1</v>
      </c>
      <c r="AV1828" s="51" t="str">
        <f aca="false">IF(AND(OR(CC1828="L1",CC1828="L23",CC1828="LIFT"),AR1828&gt;0),SUMIFS($AR$7:$AR$1843,$CC$7:$CC$1843,CC1828,$AU$7:$AU$1843,"&gt;"&amp;AU1828)+SUMIFS($AR$7:$AR$1843,$CC$7:$CC$1843,CC1828,$AU$7:$AU$1843,AU1828,$BT$7:$BT$1843,"&lt;="&amp;BT1828),"")</f>
        <v/>
      </c>
      <c r="AW1828" s="58" t="n">
        <f aca="false">IF(AV1828="",0,MAX(0,MIN(1,(IF(CC1828="L1",Parameter!$H$5,IF(CC1828="L23",Parameter!$H$6+Parameter!$H$7,Parameter!$H$5+Parameter!$H$6+Parameter!$H$7))-(AV1828-AR1828))/AR1828)))</f>
        <v>0</v>
      </c>
      <c r="AX1828" s="50" t="n">
        <f aca="false">IF(LEFT(Cockpit!$O$5,1)="A",H1828,IF(CE1828=1,CF1828,IF(LEFT(Cockpit!$O$5,1)="B",BC1828,MAX(BC1828,H1828))))</f>
        <v>0</v>
      </c>
      <c r="AY1828" s="50" t="n">
        <f aca="false">IF(BW1828=1,0,ROUNDUP(AX1828/BV1828,0))</f>
        <v>0</v>
      </c>
      <c r="AZ1828" s="52" t="n">
        <f aca="false">IF(CL1828&gt;0,CL1828*MAX(1,AX1828/X1828),IF(BW1828=1,IF(AX1828&lt;=0,0,CA1828*MAX(1,IF(H1828&gt;0,AX1828/H1828,1))),IF(R1828&gt;0,AY1828/R1828,0))/MAX(0.1,N(Parameter!$M$21)))</f>
        <v>0</v>
      </c>
      <c r="BA1828" s="50" t="n">
        <f aca="false">AZ1828*BY1828</f>
        <v>0</v>
      </c>
      <c r="BB1828" s="50" t="n">
        <f aca="false">AX1828*G1828</f>
        <v>0</v>
      </c>
      <c r="BC1828" s="50" t="n">
        <f aca="false">ROUNDUP(MAX(J1828/IF(CD1828&gt;0,CD1828,MAX(0.1,N(Cockpit!$O$6))),CG1828)/BV1828,0)*BV1828</f>
        <v>0</v>
      </c>
      <c r="BD1828" s="51" t="n">
        <f aca="false">IF(BA1828&gt;0,J1828/BA1828,-1)</f>
        <v>-1</v>
      </c>
      <c r="BE1828" s="51" t="str">
        <f aca="false">IF(AND(OR(CC1828="L1",CC1828="L23",CC1828="LIFT"),BA1828&gt;0),SUMIFS($BA$7:$BA$1843,$CC$7:$CC$1843,CC1828,$BD$7:$BD$1843,"&gt;"&amp;BD1828)+SUMIFS($BA$7:$BA$1843,$CC$7:$CC$1843,CC1828,$BD$7:$BD$1843,BD1828,$BT$7:$BT$1843,"&lt;="&amp;BT1828),"")</f>
        <v/>
      </c>
      <c r="BF1828" s="58" t="n">
        <f aca="false">IF(BE1828="",0,MAX(0,MIN(1,(IF(CC1828="L1",Parameter!$H$5,IF(CC1828="L23",Parameter!$H$6+Parameter!$H$7,Parameter!$H$5+Parameter!$H$6+Parameter!$H$7))-(BE1828-BA1828))/BA1828)))</f>
        <v>0</v>
      </c>
      <c r="BG1828" s="48" t="str">
        <f aca="false">IF(AI1828&lt;=0,"",IF(CC1828="Aussen","Aussenlager",IF(CC1828="-","Nicht im Lift",IF(AN1828&gt;=1,"Lift",IF(AN1828&lt;=0,"Aussenlager","teilweise")))))</f>
        <v/>
      </c>
      <c r="BH1828" s="48" t="str">
        <f aca="false">IF(AR1828&lt;=0,"",IF(CC1828="Aussen","Aussenlager",IF(CC1828="-","Nicht im Lift",IF(AW1828&gt;=1,"Lift",IF(AW1828&lt;=0,"Aussenlager","teilweise")))))</f>
        <v/>
      </c>
      <c r="BI1828" s="48" t="str">
        <f aca="false">IF(BA1828&lt;=0,"",IF(CC1828="Aussen","Aussenlager",IF(CC1828="-","Nicht im Lift",IF(BF1828&gt;=1,"Lift",IF(BF1828&lt;=0,"Aussenlager","teilweise")))))</f>
        <v/>
      </c>
      <c r="BJ1828" s="48" t="str">
        <f aca="false">IF(A1828="","",IF(BS1828=1,"Neu; ","")&amp;IF(AND(BS1828=0,BN1828&lt;0),"negativer Bestand (Export "&amp;BN1828&amp;"); ","")&amp;IF(J1828&lt;=0,"Kein Verbrauch; ","")&amp;IF(CL1828&gt;0,"Lift "&amp;W1828&amp;" lt. Liftbericht (Fach "&amp;X1828&amp;" Stk); ",IF(BX1828=1,"Gebinde geschätzt ("&amp;T1828&amp;"); ",IF(BW1828=1,"Lose – Tablare geschätzt; ","")))&amp;IF(H1828&gt;AT1828,"Überbestand "&amp;ROUND(H1828-AT1828,0)&amp;" Stk / CHF "&amp;ROUND((H1828-AT1828)*G1828,0)&amp;"; ","")&amp;IF(AND(CE1828=1,CF1828&lt;CG1828),"MAX &lt; MB+LG; ","")&amp;IF(AND(CK1828&gt;0,CJ1828*10&gt;CK1828),"zu hoch für Tablar; ","")&amp;IF(AND(BS1828=0,OR(CE1828=1,AA1828&lt;&gt;"",U1828&lt;&gt;"",V1828&lt;&gt;"",AB1828&lt;&gt;"")),"manuell übersteuert; ","")&amp;IF(AND(BW1828=0,R1828=0),"Gebinde unbekannt / Stellmass fehlt; ","")&amp;IF(AND(BW1828=0,N(V1828)&lt;=0,N(Q1828)&lt;=0),"Menge pro Gebinde fehlt (Ist = 1 Gebinde); ","")&amp;BR1828)</f>
        <v/>
      </c>
      <c r="BK1828" s="48"/>
      <c r="BL1828" s="48"/>
      <c r="BM1828" s="55"/>
      <c r="BN1828" s="50" t="n">
        <f aca="false">N('Neue Artikel'!$D$89)</f>
        <v>0</v>
      </c>
      <c r="BO1828" s="50" t="n">
        <v>0</v>
      </c>
      <c r="BP1828" s="49" t="n">
        <v>0</v>
      </c>
      <c r="BQ1828" s="50" t="n">
        <f aca="false">N('Neue Artikel'!$C$89)/Parameter!$B$18</f>
        <v>0</v>
      </c>
      <c r="BR1828" s="48"/>
      <c r="BS1828" s="53" t="n">
        <v>1</v>
      </c>
      <c r="BT1828" s="53" t="n">
        <v>1828</v>
      </c>
      <c r="BU1828" s="48" t="str">
        <f aca="false">IF(U1828&lt;&gt;"",UPPER(TRIM(U1828)),IF(BX1828=1,UPPER(VLOOKUP(T1828,Parameter!$I$27:$K$29,2,0)),IF(P1828="","LOSE",P1828)))</f>
        <v>LOSE</v>
      </c>
      <c r="BV1828" s="50" t="n">
        <f aca="false">IF(BU1828="LOSE",1,IF(N(V1828)&gt;0,V1828,IF(BX1828=1,MAX(1,N(VLOOKUP(T1828,Parameter!$I$27:$K$29,3,0)),H1828,N(N1828)),IF(N(Q1828)&gt;0,Q1828,MAX(1,H1828)))))</f>
        <v>1</v>
      </c>
      <c r="BW1828" s="53" t="n">
        <f aca="false">IF(BU1828="LOSE",1,0)</f>
        <v>1</v>
      </c>
      <c r="BX1828" s="53" t="n">
        <f aca="false">IF(AND(U1828="",OR(P1828="",P1828="LOSE"),T1828&lt;&gt;"",N(S1828)&lt;=0,ISNUMBER(MATCH(T1828,Parameter!$I$27:$I$29,0))),1,0)</f>
        <v>0</v>
      </c>
      <c r="BY1828" s="53" t="n">
        <f aca="false">IF(CL1828&gt;0,INDEX(Parameter!$H$5:$H$7,W1828)/INDEX(Parameter!$E$5:$E$7,W1828),IF(AND(BW1828=0,N(IFERROR(VLOOKUP(BU1828,'Gebinde-Kategorie'!$A$5:$N$45,14,0),0))&gt;0),VLOOKUP(BU1828,'Gebinde-Kategorie'!$A$5:$N$45,14,0)*10+Parameter!$M$23,Parameter!$M$24))</f>
        <v>235</v>
      </c>
      <c r="BZ1828" s="48" t="str">
        <f aca="false">IF(AND(Parameter!$B$19="Ja",E1828&lt;&gt;"",ISNUMBER(MATCH(E1828,Parameter!$I$35:$I$52,0))),VLOOKUP(E1828,Parameter!$I$35:$J$52,2,0),IFERROR(VLOOKUP(D1828,Parameter!$A$35:$C$64,2,0),"Nein"))</f>
        <v>2+3</v>
      </c>
      <c r="CA1828" s="52" t="n">
        <f aca="false">IF(BW1828=0,0,IF(N(S1828)&gt;0,S1828,IFERROR(VLOOKUP(D1828,Parameter!$A$35:$C$64,3,0)+0,0)))</f>
        <v>0.15</v>
      </c>
      <c r="CB1828" s="48" t="str">
        <f aca="false">IF(AA1828&lt;&gt;"",AA1828,Z1828)</f>
        <v/>
      </c>
      <c r="CC1828" s="48" t="str">
        <f aca="false">IF(OR(CB1828=1,CB1828=2,CB1828=3),IF(Parameter!$E$27="Ja","LIFT",IF(CB1828=1,"L1","L23")),IF(CB1828="Aussen","Aussen","-"))</f>
        <v>-</v>
      </c>
      <c r="CD1828" s="59" t="n">
        <f aca="false">IF(N(AB1828)&gt;0,AB1828,0)</f>
        <v>0</v>
      </c>
      <c r="CE1828" s="53" t="n">
        <f aca="false">IF(ISNUMBER(AE1828),1,0)</f>
        <v>0</v>
      </c>
      <c r="CF1828" s="50" t="n">
        <f aca="false">N(AE1828)</f>
        <v>0</v>
      </c>
      <c r="CG1828" s="50" t="n">
        <f aca="false">N(M1828)+N(N1828)</f>
        <v>0</v>
      </c>
      <c r="CH1828" s="50" t="n">
        <f aca="false">ROUNDUP(H1828/BV1828,0)</f>
        <v>0</v>
      </c>
      <c r="CI1828" s="50" t="n">
        <f aca="false">ROUNDUP(CF1828/BV1828,0)</f>
        <v>0</v>
      </c>
      <c r="CJ1828" s="53" t="n">
        <f aca="false">IF(BW1828=1,0,IFERROR(VLOOKUP(BU1828,'Gebinde-Kategorie'!$A$5:$N$45,5,0)+0,0))</f>
        <v>0</v>
      </c>
      <c r="CK1828" s="53" t="n">
        <f aca="false">IFERROR(IF(OR(CB1828=1,CB1828=2,CB1828=3),N(INDEX(Parameter!$I$5:$I$7,CB1828)),0),0)</f>
        <v>0</v>
      </c>
      <c r="CL1828" s="52" t="n">
        <f aca="false">IF(AND(Parameter!$B$21="Ja",ISNUMBER(W1828),N(X1828)&gt;0),IFERROR(N(INDEX(Parameter!$L$5:$L$7,W1828))*INDEX(Parameter!$E$5:$E$7,W1828)*X1828/SUMIFS($X$7:$X$1843,$W$7:$W$1843,W1828),0),0)</f>
        <v>0</v>
      </c>
    </row>
    <row r="1829" customFormat="false" ht="15" hidden="false" customHeight="false" outlineLevel="0" collapsed="false">
      <c r="A1829" s="48" t="str">
        <f aca="false">IF('Neue Artikel'!$A$90="","",'Neue Artikel'!$A$90&amp;"")</f>
        <v/>
      </c>
      <c r="B1829" s="48" t="str">
        <f aca="false">'Neue Artikel'!$B$90&amp;""</f>
        <v/>
      </c>
      <c r="C1829" s="48"/>
      <c r="D1829" s="48" t="s">
        <v>3019</v>
      </c>
      <c r="E1829" s="48"/>
      <c r="F1829" s="48"/>
      <c r="G1829" s="49" t="n">
        <f aca="false">N('Neue Artikel'!$G$90)</f>
        <v>0</v>
      </c>
      <c r="H1829" s="50" t="n">
        <f aca="false">MAX(0,IF(AND(Parameter!$B$21="Ja",ISNUMBER(Y1829)),Y1829,IF(Parameter!$B$20="Jahresanfang 2025 + Export",BO1829+BN1829,BN1829)))</f>
        <v>0</v>
      </c>
      <c r="I1829" s="50" t="n">
        <f aca="false">H1829*G1829</f>
        <v>0</v>
      </c>
      <c r="J1829" s="50" t="n">
        <f aca="false">BQ1829*Parameter!$B$18</f>
        <v>0</v>
      </c>
      <c r="K1829" s="51"/>
      <c r="L1829" s="52"/>
      <c r="M1829" s="50" t="n">
        <f aca="false">N('Neue Artikel'!$E$90)</f>
        <v>0</v>
      </c>
      <c r="N1829" s="50" t="n">
        <f aca="false">N('Neue Artikel'!$F$90)</f>
        <v>0</v>
      </c>
      <c r="O1829" s="53"/>
      <c r="P1829" s="48" t="str">
        <f aca="false">IF('Neue Artikel'!$H$90="","LOSE",UPPER(TRIM('Neue Artikel'!$H$90)))</f>
        <v>LOSE</v>
      </c>
      <c r="Q1829" s="50" t="n">
        <f aca="false">N('Neue Artikel'!$I$90)</f>
        <v>0</v>
      </c>
      <c r="R1829" s="53" t="n">
        <f aca="false">IF(BW1829=1,0,IFERROR(VLOOKUP(BU1829,'Gebinde-Kategorie'!$A$5:$N$45,13,0)+0,0))</f>
        <v>0</v>
      </c>
      <c r="S1829" s="54"/>
      <c r="T1829" s="55"/>
      <c r="U1829" s="55"/>
      <c r="V1829" s="55"/>
      <c r="W1829" s="48"/>
      <c r="X1829" s="50"/>
      <c r="Y1829" s="50"/>
      <c r="Z1829" s="48" t="str">
        <f aca="false">IF(A1829="","",IF(AND(Parameter!$B$21="Ja",ISNUMBER(W1829)),W1829,IF(BZ1829="2+3",IF(ISNUMBER(SEARCH("grosser Artikel",BR1829)),2,IFERROR(VLOOKUP(BU1829,Parameter!$F$35:$G$64,2,0),2)),IF(OR(BZ1829="Nein",BZ1829=""),"-",BZ1829))))</f>
        <v/>
      </c>
      <c r="AA1829" s="48" t="str">
        <f aca="false">IF('Neue Artikel'!$J$90="","",'Neue Artikel'!$J$90)</f>
        <v/>
      </c>
      <c r="AB1829" s="56"/>
      <c r="AC1829" s="50" t="n">
        <f aca="false">AT1829</f>
        <v>0</v>
      </c>
      <c r="AD1829" s="50" t="n">
        <f aca="false">MAX(AT1829,H1829)</f>
        <v>0</v>
      </c>
      <c r="AE1829" s="57"/>
      <c r="AF1829" s="50" t="n">
        <f aca="false">IF(LEFT(Cockpit!$C$5,1)="A",H1829,IF(CE1829=1,CF1829,IF(LEFT(Cockpit!$C$5,1)="B",AK1829,MAX(AK1829,H1829))))</f>
        <v>0</v>
      </c>
      <c r="AG1829" s="50" t="n">
        <f aca="false">IF(BW1829=1,0,ROUNDUP(AF1829/BV1829,0))</f>
        <v>0</v>
      </c>
      <c r="AH1829" s="52" t="n">
        <f aca="false">IF(CL1829&gt;0,CL1829*MAX(1,AF1829/X1829),IF(BW1829=1,IF(AF1829&lt;=0,0,CA1829*MAX(1,IF(H1829&gt;0,AF1829/H1829,1))),IF(R1829&gt;0,AG1829/R1829,0))/MAX(0.1,N(Parameter!$M$21)))</f>
        <v>0</v>
      </c>
      <c r="AI1829" s="50" t="n">
        <f aca="false">AH1829*BY1829</f>
        <v>0</v>
      </c>
      <c r="AJ1829" s="50" t="n">
        <f aca="false">AF1829*G1829</f>
        <v>0</v>
      </c>
      <c r="AK1829" s="50" t="n">
        <f aca="false">ROUNDUP(MAX(J1829/IF(CD1829&gt;0,CD1829,MAX(0.1,N(Cockpit!$C$6))),CG1829)/BV1829,0)*BV1829</f>
        <v>0</v>
      </c>
      <c r="AL1829" s="51" t="n">
        <f aca="false">IF(AI1829&gt;0,J1829/AI1829,-1)</f>
        <v>-1</v>
      </c>
      <c r="AM1829" s="51" t="str">
        <f aca="false">IF(AND(OR(CC1829="L1",CC1829="L23",CC1829="LIFT"),AI1829&gt;0),SUMIFS($AI$7:$AI$1843,$CC$7:$CC$1843,CC1829,$AL$7:$AL$1843,"&gt;"&amp;AL1829)+SUMIFS($AI$7:$AI$1843,$CC$7:$CC$1843,CC1829,$AL$7:$AL$1843,AL1829,$BT$7:$BT$1843,"&lt;="&amp;BT1829),"")</f>
        <v/>
      </c>
      <c r="AN1829" s="58" t="n">
        <f aca="false">IF(AM1829="",0,MAX(0,MIN(1,(IF(CC1829="L1",Parameter!$H$5,IF(CC1829="L23",Parameter!$H$6+Parameter!$H$7,Parameter!$H$5+Parameter!$H$6+Parameter!$H$7))-(AM1829-AI1829))/AI1829)))</f>
        <v>0</v>
      </c>
      <c r="AO1829" s="50" t="n">
        <f aca="false">IF(LEFT(Cockpit!$I$5,1)="A",H1829,IF(CE1829=1,CF1829,IF(LEFT(Cockpit!$I$5,1)="B",AT1829,MAX(AT1829,H1829))))</f>
        <v>0</v>
      </c>
      <c r="AP1829" s="50" t="n">
        <f aca="false">IF(BW1829=1,0,ROUNDUP(AO1829/BV1829,0))</f>
        <v>0</v>
      </c>
      <c r="AQ1829" s="52" t="n">
        <f aca="false">IF(CL1829&gt;0,CL1829*MAX(1,AO1829/X1829),IF(BW1829=1,IF(AO1829&lt;=0,0,CA1829*MAX(1,IF(H1829&gt;0,AO1829/H1829,1))),IF(R1829&gt;0,AP1829/R1829,0))/MAX(0.1,N(Parameter!$M$21)))</f>
        <v>0</v>
      </c>
      <c r="AR1829" s="50" t="n">
        <f aca="false">AQ1829*BY1829</f>
        <v>0</v>
      </c>
      <c r="AS1829" s="50" t="n">
        <f aca="false">AO1829*G1829</f>
        <v>0</v>
      </c>
      <c r="AT1829" s="50" t="n">
        <f aca="false">ROUNDUP(MAX(J1829/IF(CD1829&gt;0,CD1829,MAX(0.1,N(Cockpit!$I$6))),CG1829)/BV1829,0)*BV1829</f>
        <v>0</v>
      </c>
      <c r="AU1829" s="51" t="n">
        <f aca="false">IF(AR1829&gt;0,J1829/AR1829,-1)</f>
        <v>-1</v>
      </c>
      <c r="AV1829" s="51" t="str">
        <f aca="false">IF(AND(OR(CC1829="L1",CC1829="L23",CC1829="LIFT"),AR1829&gt;0),SUMIFS($AR$7:$AR$1843,$CC$7:$CC$1843,CC1829,$AU$7:$AU$1843,"&gt;"&amp;AU1829)+SUMIFS($AR$7:$AR$1843,$CC$7:$CC$1843,CC1829,$AU$7:$AU$1843,AU1829,$BT$7:$BT$1843,"&lt;="&amp;BT1829),"")</f>
        <v/>
      </c>
      <c r="AW1829" s="58" t="n">
        <f aca="false">IF(AV1829="",0,MAX(0,MIN(1,(IF(CC1829="L1",Parameter!$H$5,IF(CC1829="L23",Parameter!$H$6+Parameter!$H$7,Parameter!$H$5+Parameter!$H$6+Parameter!$H$7))-(AV1829-AR1829))/AR1829)))</f>
        <v>0</v>
      </c>
      <c r="AX1829" s="50" t="n">
        <f aca="false">IF(LEFT(Cockpit!$O$5,1)="A",H1829,IF(CE1829=1,CF1829,IF(LEFT(Cockpit!$O$5,1)="B",BC1829,MAX(BC1829,H1829))))</f>
        <v>0</v>
      </c>
      <c r="AY1829" s="50" t="n">
        <f aca="false">IF(BW1829=1,0,ROUNDUP(AX1829/BV1829,0))</f>
        <v>0</v>
      </c>
      <c r="AZ1829" s="52" t="n">
        <f aca="false">IF(CL1829&gt;0,CL1829*MAX(1,AX1829/X1829),IF(BW1829=1,IF(AX1829&lt;=0,0,CA1829*MAX(1,IF(H1829&gt;0,AX1829/H1829,1))),IF(R1829&gt;0,AY1829/R1829,0))/MAX(0.1,N(Parameter!$M$21)))</f>
        <v>0</v>
      </c>
      <c r="BA1829" s="50" t="n">
        <f aca="false">AZ1829*BY1829</f>
        <v>0</v>
      </c>
      <c r="BB1829" s="50" t="n">
        <f aca="false">AX1829*G1829</f>
        <v>0</v>
      </c>
      <c r="BC1829" s="50" t="n">
        <f aca="false">ROUNDUP(MAX(J1829/IF(CD1829&gt;0,CD1829,MAX(0.1,N(Cockpit!$O$6))),CG1829)/BV1829,0)*BV1829</f>
        <v>0</v>
      </c>
      <c r="BD1829" s="51" t="n">
        <f aca="false">IF(BA1829&gt;0,J1829/BA1829,-1)</f>
        <v>-1</v>
      </c>
      <c r="BE1829" s="51" t="str">
        <f aca="false">IF(AND(OR(CC1829="L1",CC1829="L23",CC1829="LIFT"),BA1829&gt;0),SUMIFS($BA$7:$BA$1843,$CC$7:$CC$1843,CC1829,$BD$7:$BD$1843,"&gt;"&amp;BD1829)+SUMIFS($BA$7:$BA$1843,$CC$7:$CC$1843,CC1829,$BD$7:$BD$1843,BD1829,$BT$7:$BT$1843,"&lt;="&amp;BT1829),"")</f>
        <v/>
      </c>
      <c r="BF1829" s="58" t="n">
        <f aca="false">IF(BE1829="",0,MAX(0,MIN(1,(IF(CC1829="L1",Parameter!$H$5,IF(CC1829="L23",Parameter!$H$6+Parameter!$H$7,Parameter!$H$5+Parameter!$H$6+Parameter!$H$7))-(BE1829-BA1829))/BA1829)))</f>
        <v>0</v>
      </c>
      <c r="BG1829" s="48" t="str">
        <f aca="false">IF(AI1829&lt;=0,"",IF(CC1829="Aussen","Aussenlager",IF(CC1829="-","Nicht im Lift",IF(AN1829&gt;=1,"Lift",IF(AN1829&lt;=0,"Aussenlager","teilweise")))))</f>
        <v/>
      </c>
      <c r="BH1829" s="48" t="str">
        <f aca="false">IF(AR1829&lt;=0,"",IF(CC1829="Aussen","Aussenlager",IF(CC1829="-","Nicht im Lift",IF(AW1829&gt;=1,"Lift",IF(AW1829&lt;=0,"Aussenlager","teilweise")))))</f>
        <v/>
      </c>
      <c r="BI1829" s="48" t="str">
        <f aca="false">IF(BA1829&lt;=0,"",IF(CC1829="Aussen","Aussenlager",IF(CC1829="-","Nicht im Lift",IF(BF1829&gt;=1,"Lift",IF(BF1829&lt;=0,"Aussenlager","teilweise")))))</f>
        <v/>
      </c>
      <c r="BJ1829" s="48" t="str">
        <f aca="false">IF(A1829="","",IF(BS1829=1,"Neu; ","")&amp;IF(AND(BS1829=0,BN1829&lt;0),"negativer Bestand (Export "&amp;BN1829&amp;"); ","")&amp;IF(J1829&lt;=0,"Kein Verbrauch; ","")&amp;IF(CL1829&gt;0,"Lift "&amp;W1829&amp;" lt. Liftbericht (Fach "&amp;X1829&amp;" Stk); ",IF(BX1829=1,"Gebinde geschätzt ("&amp;T1829&amp;"); ",IF(BW1829=1,"Lose – Tablare geschätzt; ","")))&amp;IF(H1829&gt;AT1829,"Überbestand "&amp;ROUND(H1829-AT1829,0)&amp;" Stk / CHF "&amp;ROUND((H1829-AT1829)*G1829,0)&amp;"; ","")&amp;IF(AND(CE1829=1,CF1829&lt;CG1829),"MAX &lt; MB+LG; ","")&amp;IF(AND(CK1829&gt;0,CJ1829*10&gt;CK1829),"zu hoch für Tablar; ","")&amp;IF(AND(BS1829=0,OR(CE1829=1,AA1829&lt;&gt;"",U1829&lt;&gt;"",V1829&lt;&gt;"",AB1829&lt;&gt;"")),"manuell übersteuert; ","")&amp;IF(AND(BW1829=0,R1829=0),"Gebinde unbekannt / Stellmass fehlt; ","")&amp;IF(AND(BW1829=0,N(V1829)&lt;=0,N(Q1829)&lt;=0),"Menge pro Gebinde fehlt (Ist = 1 Gebinde); ","")&amp;BR1829)</f>
        <v/>
      </c>
      <c r="BK1829" s="48"/>
      <c r="BL1829" s="48"/>
      <c r="BM1829" s="55"/>
      <c r="BN1829" s="50" t="n">
        <f aca="false">N('Neue Artikel'!$D$90)</f>
        <v>0</v>
      </c>
      <c r="BO1829" s="50" t="n">
        <v>0</v>
      </c>
      <c r="BP1829" s="49" t="n">
        <v>0</v>
      </c>
      <c r="BQ1829" s="50" t="n">
        <f aca="false">N('Neue Artikel'!$C$90)/Parameter!$B$18</f>
        <v>0</v>
      </c>
      <c r="BR1829" s="48"/>
      <c r="BS1829" s="53" t="n">
        <v>1</v>
      </c>
      <c r="BT1829" s="53" t="n">
        <v>1829</v>
      </c>
      <c r="BU1829" s="48" t="str">
        <f aca="false">IF(U1829&lt;&gt;"",UPPER(TRIM(U1829)),IF(BX1829=1,UPPER(VLOOKUP(T1829,Parameter!$I$27:$K$29,2,0)),IF(P1829="","LOSE",P1829)))</f>
        <v>LOSE</v>
      </c>
      <c r="BV1829" s="50" t="n">
        <f aca="false">IF(BU1829="LOSE",1,IF(N(V1829)&gt;0,V1829,IF(BX1829=1,MAX(1,N(VLOOKUP(T1829,Parameter!$I$27:$K$29,3,0)),H1829,N(N1829)),IF(N(Q1829)&gt;0,Q1829,MAX(1,H1829)))))</f>
        <v>1</v>
      </c>
      <c r="BW1829" s="53" t="n">
        <f aca="false">IF(BU1829="LOSE",1,0)</f>
        <v>1</v>
      </c>
      <c r="BX1829" s="53" t="n">
        <f aca="false">IF(AND(U1829="",OR(P1829="",P1829="LOSE"),T1829&lt;&gt;"",N(S1829)&lt;=0,ISNUMBER(MATCH(T1829,Parameter!$I$27:$I$29,0))),1,0)</f>
        <v>0</v>
      </c>
      <c r="BY1829" s="53" t="n">
        <f aca="false">IF(CL1829&gt;0,INDEX(Parameter!$H$5:$H$7,W1829)/INDEX(Parameter!$E$5:$E$7,W1829),IF(AND(BW1829=0,N(IFERROR(VLOOKUP(BU1829,'Gebinde-Kategorie'!$A$5:$N$45,14,0),0))&gt;0),VLOOKUP(BU1829,'Gebinde-Kategorie'!$A$5:$N$45,14,0)*10+Parameter!$M$23,Parameter!$M$24))</f>
        <v>235</v>
      </c>
      <c r="BZ1829" s="48" t="str">
        <f aca="false">IF(AND(Parameter!$B$19="Ja",E1829&lt;&gt;"",ISNUMBER(MATCH(E1829,Parameter!$I$35:$I$52,0))),VLOOKUP(E1829,Parameter!$I$35:$J$52,2,0),IFERROR(VLOOKUP(D1829,Parameter!$A$35:$C$64,2,0),"Nein"))</f>
        <v>2+3</v>
      </c>
      <c r="CA1829" s="52" t="n">
        <f aca="false">IF(BW1829=0,0,IF(N(S1829)&gt;0,S1829,IFERROR(VLOOKUP(D1829,Parameter!$A$35:$C$64,3,0)+0,0)))</f>
        <v>0.15</v>
      </c>
      <c r="CB1829" s="48" t="str">
        <f aca="false">IF(AA1829&lt;&gt;"",AA1829,Z1829)</f>
        <v/>
      </c>
      <c r="CC1829" s="48" t="str">
        <f aca="false">IF(OR(CB1829=1,CB1829=2,CB1829=3),IF(Parameter!$E$27="Ja","LIFT",IF(CB1829=1,"L1","L23")),IF(CB1829="Aussen","Aussen","-"))</f>
        <v>-</v>
      </c>
      <c r="CD1829" s="59" t="n">
        <f aca="false">IF(N(AB1829)&gt;0,AB1829,0)</f>
        <v>0</v>
      </c>
      <c r="CE1829" s="53" t="n">
        <f aca="false">IF(ISNUMBER(AE1829),1,0)</f>
        <v>0</v>
      </c>
      <c r="CF1829" s="50" t="n">
        <f aca="false">N(AE1829)</f>
        <v>0</v>
      </c>
      <c r="CG1829" s="50" t="n">
        <f aca="false">N(M1829)+N(N1829)</f>
        <v>0</v>
      </c>
      <c r="CH1829" s="50" t="n">
        <f aca="false">ROUNDUP(H1829/BV1829,0)</f>
        <v>0</v>
      </c>
      <c r="CI1829" s="50" t="n">
        <f aca="false">ROUNDUP(CF1829/BV1829,0)</f>
        <v>0</v>
      </c>
      <c r="CJ1829" s="53" t="n">
        <f aca="false">IF(BW1829=1,0,IFERROR(VLOOKUP(BU1829,'Gebinde-Kategorie'!$A$5:$N$45,5,0)+0,0))</f>
        <v>0</v>
      </c>
      <c r="CK1829" s="53" t="n">
        <f aca="false">IFERROR(IF(OR(CB1829=1,CB1829=2,CB1829=3),N(INDEX(Parameter!$I$5:$I$7,CB1829)),0),0)</f>
        <v>0</v>
      </c>
      <c r="CL1829" s="52" t="n">
        <f aca="false">IF(AND(Parameter!$B$21="Ja",ISNUMBER(W1829),N(X1829)&gt;0),IFERROR(N(INDEX(Parameter!$L$5:$L$7,W1829))*INDEX(Parameter!$E$5:$E$7,W1829)*X1829/SUMIFS($X$7:$X$1843,$W$7:$W$1843,W1829),0),0)</f>
        <v>0</v>
      </c>
    </row>
    <row r="1830" customFormat="false" ht="15" hidden="false" customHeight="false" outlineLevel="0" collapsed="false">
      <c r="A1830" s="48" t="str">
        <f aca="false">IF('Neue Artikel'!$A$91="","",'Neue Artikel'!$A$91&amp;"")</f>
        <v/>
      </c>
      <c r="B1830" s="48" t="str">
        <f aca="false">'Neue Artikel'!$B$91&amp;""</f>
        <v/>
      </c>
      <c r="C1830" s="48"/>
      <c r="D1830" s="48" t="s">
        <v>3019</v>
      </c>
      <c r="E1830" s="48"/>
      <c r="F1830" s="48"/>
      <c r="G1830" s="49" t="n">
        <f aca="false">N('Neue Artikel'!$G$91)</f>
        <v>0</v>
      </c>
      <c r="H1830" s="50" t="n">
        <f aca="false">MAX(0,IF(AND(Parameter!$B$21="Ja",ISNUMBER(Y1830)),Y1830,IF(Parameter!$B$20="Jahresanfang 2025 + Export",BO1830+BN1830,BN1830)))</f>
        <v>0</v>
      </c>
      <c r="I1830" s="50" t="n">
        <f aca="false">H1830*G1830</f>
        <v>0</v>
      </c>
      <c r="J1830" s="50" t="n">
        <f aca="false">BQ1830*Parameter!$B$18</f>
        <v>0</v>
      </c>
      <c r="K1830" s="51"/>
      <c r="L1830" s="52"/>
      <c r="M1830" s="50" t="n">
        <f aca="false">N('Neue Artikel'!$E$91)</f>
        <v>0</v>
      </c>
      <c r="N1830" s="50" t="n">
        <f aca="false">N('Neue Artikel'!$F$91)</f>
        <v>0</v>
      </c>
      <c r="O1830" s="53"/>
      <c r="P1830" s="48" t="str">
        <f aca="false">IF('Neue Artikel'!$H$91="","LOSE",UPPER(TRIM('Neue Artikel'!$H$91)))</f>
        <v>LOSE</v>
      </c>
      <c r="Q1830" s="50" t="n">
        <f aca="false">N('Neue Artikel'!$I$91)</f>
        <v>0</v>
      </c>
      <c r="R1830" s="53" t="n">
        <f aca="false">IF(BW1830=1,0,IFERROR(VLOOKUP(BU1830,'Gebinde-Kategorie'!$A$5:$N$45,13,0)+0,0))</f>
        <v>0</v>
      </c>
      <c r="S1830" s="54"/>
      <c r="T1830" s="55"/>
      <c r="U1830" s="55"/>
      <c r="V1830" s="55"/>
      <c r="W1830" s="48"/>
      <c r="X1830" s="50"/>
      <c r="Y1830" s="50"/>
      <c r="Z1830" s="48" t="str">
        <f aca="false">IF(A1830="","",IF(AND(Parameter!$B$21="Ja",ISNUMBER(W1830)),W1830,IF(BZ1830="2+3",IF(ISNUMBER(SEARCH("grosser Artikel",BR1830)),2,IFERROR(VLOOKUP(BU1830,Parameter!$F$35:$G$64,2,0),2)),IF(OR(BZ1830="Nein",BZ1830=""),"-",BZ1830))))</f>
        <v/>
      </c>
      <c r="AA1830" s="48" t="str">
        <f aca="false">IF('Neue Artikel'!$J$91="","",'Neue Artikel'!$J$91)</f>
        <v/>
      </c>
      <c r="AB1830" s="56"/>
      <c r="AC1830" s="50" t="n">
        <f aca="false">AT1830</f>
        <v>0</v>
      </c>
      <c r="AD1830" s="50" t="n">
        <f aca="false">MAX(AT1830,H1830)</f>
        <v>0</v>
      </c>
      <c r="AE1830" s="57"/>
      <c r="AF1830" s="50" t="n">
        <f aca="false">IF(LEFT(Cockpit!$C$5,1)="A",H1830,IF(CE1830=1,CF1830,IF(LEFT(Cockpit!$C$5,1)="B",AK1830,MAX(AK1830,H1830))))</f>
        <v>0</v>
      </c>
      <c r="AG1830" s="50" t="n">
        <f aca="false">IF(BW1830=1,0,ROUNDUP(AF1830/BV1830,0))</f>
        <v>0</v>
      </c>
      <c r="AH1830" s="52" t="n">
        <f aca="false">IF(CL1830&gt;0,CL1830*MAX(1,AF1830/X1830),IF(BW1830=1,IF(AF1830&lt;=0,0,CA1830*MAX(1,IF(H1830&gt;0,AF1830/H1830,1))),IF(R1830&gt;0,AG1830/R1830,0))/MAX(0.1,N(Parameter!$M$21)))</f>
        <v>0</v>
      </c>
      <c r="AI1830" s="50" t="n">
        <f aca="false">AH1830*BY1830</f>
        <v>0</v>
      </c>
      <c r="AJ1830" s="50" t="n">
        <f aca="false">AF1830*G1830</f>
        <v>0</v>
      </c>
      <c r="AK1830" s="50" t="n">
        <f aca="false">ROUNDUP(MAX(J1830/IF(CD1830&gt;0,CD1830,MAX(0.1,N(Cockpit!$C$6))),CG1830)/BV1830,0)*BV1830</f>
        <v>0</v>
      </c>
      <c r="AL1830" s="51" t="n">
        <f aca="false">IF(AI1830&gt;0,J1830/AI1830,-1)</f>
        <v>-1</v>
      </c>
      <c r="AM1830" s="51" t="str">
        <f aca="false">IF(AND(OR(CC1830="L1",CC1830="L23",CC1830="LIFT"),AI1830&gt;0),SUMIFS($AI$7:$AI$1843,$CC$7:$CC$1843,CC1830,$AL$7:$AL$1843,"&gt;"&amp;AL1830)+SUMIFS($AI$7:$AI$1843,$CC$7:$CC$1843,CC1830,$AL$7:$AL$1843,AL1830,$BT$7:$BT$1843,"&lt;="&amp;BT1830),"")</f>
        <v/>
      </c>
      <c r="AN1830" s="58" t="n">
        <f aca="false">IF(AM1830="",0,MAX(0,MIN(1,(IF(CC1830="L1",Parameter!$H$5,IF(CC1830="L23",Parameter!$H$6+Parameter!$H$7,Parameter!$H$5+Parameter!$H$6+Parameter!$H$7))-(AM1830-AI1830))/AI1830)))</f>
        <v>0</v>
      </c>
      <c r="AO1830" s="50" t="n">
        <f aca="false">IF(LEFT(Cockpit!$I$5,1)="A",H1830,IF(CE1830=1,CF1830,IF(LEFT(Cockpit!$I$5,1)="B",AT1830,MAX(AT1830,H1830))))</f>
        <v>0</v>
      </c>
      <c r="AP1830" s="50" t="n">
        <f aca="false">IF(BW1830=1,0,ROUNDUP(AO1830/BV1830,0))</f>
        <v>0</v>
      </c>
      <c r="AQ1830" s="52" t="n">
        <f aca="false">IF(CL1830&gt;0,CL1830*MAX(1,AO1830/X1830),IF(BW1830=1,IF(AO1830&lt;=0,0,CA1830*MAX(1,IF(H1830&gt;0,AO1830/H1830,1))),IF(R1830&gt;0,AP1830/R1830,0))/MAX(0.1,N(Parameter!$M$21)))</f>
        <v>0</v>
      </c>
      <c r="AR1830" s="50" t="n">
        <f aca="false">AQ1830*BY1830</f>
        <v>0</v>
      </c>
      <c r="AS1830" s="50" t="n">
        <f aca="false">AO1830*G1830</f>
        <v>0</v>
      </c>
      <c r="AT1830" s="50" t="n">
        <f aca="false">ROUNDUP(MAX(J1830/IF(CD1830&gt;0,CD1830,MAX(0.1,N(Cockpit!$I$6))),CG1830)/BV1830,0)*BV1830</f>
        <v>0</v>
      </c>
      <c r="AU1830" s="51" t="n">
        <f aca="false">IF(AR1830&gt;0,J1830/AR1830,-1)</f>
        <v>-1</v>
      </c>
      <c r="AV1830" s="51" t="str">
        <f aca="false">IF(AND(OR(CC1830="L1",CC1830="L23",CC1830="LIFT"),AR1830&gt;0),SUMIFS($AR$7:$AR$1843,$CC$7:$CC$1843,CC1830,$AU$7:$AU$1843,"&gt;"&amp;AU1830)+SUMIFS($AR$7:$AR$1843,$CC$7:$CC$1843,CC1830,$AU$7:$AU$1843,AU1830,$BT$7:$BT$1843,"&lt;="&amp;BT1830),"")</f>
        <v/>
      </c>
      <c r="AW1830" s="58" t="n">
        <f aca="false">IF(AV1830="",0,MAX(0,MIN(1,(IF(CC1830="L1",Parameter!$H$5,IF(CC1830="L23",Parameter!$H$6+Parameter!$H$7,Parameter!$H$5+Parameter!$H$6+Parameter!$H$7))-(AV1830-AR1830))/AR1830)))</f>
        <v>0</v>
      </c>
      <c r="AX1830" s="50" t="n">
        <f aca="false">IF(LEFT(Cockpit!$O$5,1)="A",H1830,IF(CE1830=1,CF1830,IF(LEFT(Cockpit!$O$5,1)="B",BC1830,MAX(BC1830,H1830))))</f>
        <v>0</v>
      </c>
      <c r="AY1830" s="50" t="n">
        <f aca="false">IF(BW1830=1,0,ROUNDUP(AX1830/BV1830,0))</f>
        <v>0</v>
      </c>
      <c r="AZ1830" s="52" t="n">
        <f aca="false">IF(CL1830&gt;0,CL1830*MAX(1,AX1830/X1830),IF(BW1830=1,IF(AX1830&lt;=0,0,CA1830*MAX(1,IF(H1830&gt;0,AX1830/H1830,1))),IF(R1830&gt;0,AY1830/R1830,0))/MAX(0.1,N(Parameter!$M$21)))</f>
        <v>0</v>
      </c>
      <c r="BA1830" s="50" t="n">
        <f aca="false">AZ1830*BY1830</f>
        <v>0</v>
      </c>
      <c r="BB1830" s="50" t="n">
        <f aca="false">AX1830*G1830</f>
        <v>0</v>
      </c>
      <c r="BC1830" s="50" t="n">
        <f aca="false">ROUNDUP(MAX(J1830/IF(CD1830&gt;0,CD1830,MAX(0.1,N(Cockpit!$O$6))),CG1830)/BV1830,0)*BV1830</f>
        <v>0</v>
      </c>
      <c r="BD1830" s="51" t="n">
        <f aca="false">IF(BA1830&gt;0,J1830/BA1830,-1)</f>
        <v>-1</v>
      </c>
      <c r="BE1830" s="51" t="str">
        <f aca="false">IF(AND(OR(CC1830="L1",CC1830="L23",CC1830="LIFT"),BA1830&gt;0),SUMIFS($BA$7:$BA$1843,$CC$7:$CC$1843,CC1830,$BD$7:$BD$1843,"&gt;"&amp;BD1830)+SUMIFS($BA$7:$BA$1843,$CC$7:$CC$1843,CC1830,$BD$7:$BD$1843,BD1830,$BT$7:$BT$1843,"&lt;="&amp;BT1830),"")</f>
        <v/>
      </c>
      <c r="BF1830" s="58" t="n">
        <f aca="false">IF(BE1830="",0,MAX(0,MIN(1,(IF(CC1830="L1",Parameter!$H$5,IF(CC1830="L23",Parameter!$H$6+Parameter!$H$7,Parameter!$H$5+Parameter!$H$6+Parameter!$H$7))-(BE1830-BA1830))/BA1830)))</f>
        <v>0</v>
      </c>
      <c r="BG1830" s="48" t="str">
        <f aca="false">IF(AI1830&lt;=0,"",IF(CC1830="Aussen","Aussenlager",IF(CC1830="-","Nicht im Lift",IF(AN1830&gt;=1,"Lift",IF(AN1830&lt;=0,"Aussenlager","teilweise")))))</f>
        <v/>
      </c>
      <c r="BH1830" s="48" t="str">
        <f aca="false">IF(AR1830&lt;=0,"",IF(CC1830="Aussen","Aussenlager",IF(CC1830="-","Nicht im Lift",IF(AW1830&gt;=1,"Lift",IF(AW1830&lt;=0,"Aussenlager","teilweise")))))</f>
        <v/>
      </c>
      <c r="BI1830" s="48" t="str">
        <f aca="false">IF(BA1830&lt;=0,"",IF(CC1830="Aussen","Aussenlager",IF(CC1830="-","Nicht im Lift",IF(BF1830&gt;=1,"Lift",IF(BF1830&lt;=0,"Aussenlager","teilweise")))))</f>
        <v/>
      </c>
      <c r="BJ1830" s="48" t="str">
        <f aca="false">IF(A1830="","",IF(BS1830=1,"Neu; ","")&amp;IF(AND(BS1830=0,BN1830&lt;0),"negativer Bestand (Export "&amp;BN1830&amp;"); ","")&amp;IF(J1830&lt;=0,"Kein Verbrauch; ","")&amp;IF(CL1830&gt;0,"Lift "&amp;W1830&amp;" lt. Liftbericht (Fach "&amp;X1830&amp;" Stk); ",IF(BX1830=1,"Gebinde geschätzt ("&amp;T1830&amp;"); ",IF(BW1830=1,"Lose – Tablare geschätzt; ","")))&amp;IF(H1830&gt;AT1830,"Überbestand "&amp;ROUND(H1830-AT1830,0)&amp;" Stk / CHF "&amp;ROUND((H1830-AT1830)*G1830,0)&amp;"; ","")&amp;IF(AND(CE1830=1,CF1830&lt;CG1830),"MAX &lt; MB+LG; ","")&amp;IF(AND(CK1830&gt;0,CJ1830*10&gt;CK1830),"zu hoch für Tablar; ","")&amp;IF(AND(BS1830=0,OR(CE1830=1,AA1830&lt;&gt;"",U1830&lt;&gt;"",V1830&lt;&gt;"",AB1830&lt;&gt;"")),"manuell übersteuert; ","")&amp;IF(AND(BW1830=0,R1830=0),"Gebinde unbekannt / Stellmass fehlt; ","")&amp;IF(AND(BW1830=0,N(V1830)&lt;=0,N(Q1830)&lt;=0),"Menge pro Gebinde fehlt (Ist = 1 Gebinde); ","")&amp;BR1830)</f>
        <v/>
      </c>
      <c r="BK1830" s="48"/>
      <c r="BL1830" s="48"/>
      <c r="BM1830" s="55"/>
      <c r="BN1830" s="50" t="n">
        <f aca="false">N('Neue Artikel'!$D$91)</f>
        <v>0</v>
      </c>
      <c r="BO1830" s="50" t="n">
        <v>0</v>
      </c>
      <c r="BP1830" s="49" t="n">
        <v>0</v>
      </c>
      <c r="BQ1830" s="50" t="n">
        <f aca="false">N('Neue Artikel'!$C$91)/Parameter!$B$18</f>
        <v>0</v>
      </c>
      <c r="BR1830" s="48"/>
      <c r="BS1830" s="53" t="n">
        <v>1</v>
      </c>
      <c r="BT1830" s="53" t="n">
        <v>1830</v>
      </c>
      <c r="BU1830" s="48" t="str">
        <f aca="false">IF(U1830&lt;&gt;"",UPPER(TRIM(U1830)),IF(BX1830=1,UPPER(VLOOKUP(T1830,Parameter!$I$27:$K$29,2,0)),IF(P1830="","LOSE",P1830)))</f>
        <v>LOSE</v>
      </c>
      <c r="BV1830" s="50" t="n">
        <f aca="false">IF(BU1830="LOSE",1,IF(N(V1830)&gt;0,V1830,IF(BX1830=1,MAX(1,N(VLOOKUP(T1830,Parameter!$I$27:$K$29,3,0)),H1830,N(N1830)),IF(N(Q1830)&gt;0,Q1830,MAX(1,H1830)))))</f>
        <v>1</v>
      </c>
      <c r="BW1830" s="53" t="n">
        <f aca="false">IF(BU1830="LOSE",1,0)</f>
        <v>1</v>
      </c>
      <c r="BX1830" s="53" t="n">
        <f aca="false">IF(AND(U1830="",OR(P1830="",P1830="LOSE"),T1830&lt;&gt;"",N(S1830)&lt;=0,ISNUMBER(MATCH(T1830,Parameter!$I$27:$I$29,0))),1,0)</f>
        <v>0</v>
      </c>
      <c r="BY1830" s="53" t="n">
        <f aca="false">IF(CL1830&gt;0,INDEX(Parameter!$H$5:$H$7,W1830)/INDEX(Parameter!$E$5:$E$7,W1830),IF(AND(BW1830=0,N(IFERROR(VLOOKUP(BU1830,'Gebinde-Kategorie'!$A$5:$N$45,14,0),0))&gt;0),VLOOKUP(BU1830,'Gebinde-Kategorie'!$A$5:$N$45,14,0)*10+Parameter!$M$23,Parameter!$M$24))</f>
        <v>235</v>
      </c>
      <c r="BZ1830" s="48" t="str">
        <f aca="false">IF(AND(Parameter!$B$19="Ja",E1830&lt;&gt;"",ISNUMBER(MATCH(E1830,Parameter!$I$35:$I$52,0))),VLOOKUP(E1830,Parameter!$I$35:$J$52,2,0),IFERROR(VLOOKUP(D1830,Parameter!$A$35:$C$64,2,0),"Nein"))</f>
        <v>2+3</v>
      </c>
      <c r="CA1830" s="52" t="n">
        <f aca="false">IF(BW1830=0,0,IF(N(S1830)&gt;0,S1830,IFERROR(VLOOKUP(D1830,Parameter!$A$35:$C$64,3,0)+0,0)))</f>
        <v>0.15</v>
      </c>
      <c r="CB1830" s="48" t="str">
        <f aca="false">IF(AA1830&lt;&gt;"",AA1830,Z1830)</f>
        <v/>
      </c>
      <c r="CC1830" s="48" t="str">
        <f aca="false">IF(OR(CB1830=1,CB1830=2,CB1830=3),IF(Parameter!$E$27="Ja","LIFT",IF(CB1830=1,"L1","L23")),IF(CB1830="Aussen","Aussen","-"))</f>
        <v>-</v>
      </c>
      <c r="CD1830" s="59" t="n">
        <f aca="false">IF(N(AB1830)&gt;0,AB1830,0)</f>
        <v>0</v>
      </c>
      <c r="CE1830" s="53" t="n">
        <f aca="false">IF(ISNUMBER(AE1830),1,0)</f>
        <v>0</v>
      </c>
      <c r="CF1830" s="50" t="n">
        <f aca="false">N(AE1830)</f>
        <v>0</v>
      </c>
      <c r="CG1830" s="50" t="n">
        <f aca="false">N(M1830)+N(N1830)</f>
        <v>0</v>
      </c>
      <c r="CH1830" s="50" t="n">
        <f aca="false">ROUNDUP(H1830/BV1830,0)</f>
        <v>0</v>
      </c>
      <c r="CI1830" s="50" t="n">
        <f aca="false">ROUNDUP(CF1830/BV1830,0)</f>
        <v>0</v>
      </c>
      <c r="CJ1830" s="53" t="n">
        <f aca="false">IF(BW1830=1,0,IFERROR(VLOOKUP(BU1830,'Gebinde-Kategorie'!$A$5:$N$45,5,0)+0,0))</f>
        <v>0</v>
      </c>
      <c r="CK1830" s="53" t="n">
        <f aca="false">IFERROR(IF(OR(CB1830=1,CB1830=2,CB1830=3),N(INDEX(Parameter!$I$5:$I$7,CB1830)),0),0)</f>
        <v>0</v>
      </c>
      <c r="CL1830" s="52" t="n">
        <f aca="false">IF(AND(Parameter!$B$21="Ja",ISNUMBER(W1830),N(X1830)&gt;0),IFERROR(N(INDEX(Parameter!$L$5:$L$7,W1830))*INDEX(Parameter!$E$5:$E$7,W1830)*X1830/SUMIFS($X$7:$X$1843,$W$7:$W$1843,W1830),0),0)</f>
        <v>0</v>
      </c>
    </row>
    <row r="1831" customFormat="false" ht="15" hidden="false" customHeight="false" outlineLevel="0" collapsed="false">
      <c r="A1831" s="48" t="str">
        <f aca="false">IF('Neue Artikel'!$A$92="","",'Neue Artikel'!$A$92&amp;"")</f>
        <v/>
      </c>
      <c r="B1831" s="48" t="str">
        <f aca="false">'Neue Artikel'!$B$92&amp;""</f>
        <v/>
      </c>
      <c r="C1831" s="48"/>
      <c r="D1831" s="48" t="s">
        <v>3019</v>
      </c>
      <c r="E1831" s="48"/>
      <c r="F1831" s="48"/>
      <c r="G1831" s="49" t="n">
        <f aca="false">N('Neue Artikel'!$G$92)</f>
        <v>0</v>
      </c>
      <c r="H1831" s="50" t="n">
        <f aca="false">MAX(0,IF(AND(Parameter!$B$21="Ja",ISNUMBER(Y1831)),Y1831,IF(Parameter!$B$20="Jahresanfang 2025 + Export",BO1831+BN1831,BN1831)))</f>
        <v>0</v>
      </c>
      <c r="I1831" s="50" t="n">
        <f aca="false">H1831*G1831</f>
        <v>0</v>
      </c>
      <c r="J1831" s="50" t="n">
        <f aca="false">BQ1831*Parameter!$B$18</f>
        <v>0</v>
      </c>
      <c r="K1831" s="51"/>
      <c r="L1831" s="52"/>
      <c r="M1831" s="50" t="n">
        <f aca="false">N('Neue Artikel'!$E$92)</f>
        <v>0</v>
      </c>
      <c r="N1831" s="50" t="n">
        <f aca="false">N('Neue Artikel'!$F$92)</f>
        <v>0</v>
      </c>
      <c r="O1831" s="53"/>
      <c r="P1831" s="48" t="str">
        <f aca="false">IF('Neue Artikel'!$H$92="","LOSE",UPPER(TRIM('Neue Artikel'!$H$92)))</f>
        <v>LOSE</v>
      </c>
      <c r="Q1831" s="50" t="n">
        <f aca="false">N('Neue Artikel'!$I$92)</f>
        <v>0</v>
      </c>
      <c r="R1831" s="53" t="n">
        <f aca="false">IF(BW1831=1,0,IFERROR(VLOOKUP(BU1831,'Gebinde-Kategorie'!$A$5:$N$45,13,0)+0,0))</f>
        <v>0</v>
      </c>
      <c r="S1831" s="54"/>
      <c r="T1831" s="55"/>
      <c r="U1831" s="55"/>
      <c r="V1831" s="55"/>
      <c r="W1831" s="48"/>
      <c r="X1831" s="50"/>
      <c r="Y1831" s="50"/>
      <c r="Z1831" s="48" t="str">
        <f aca="false">IF(A1831="","",IF(AND(Parameter!$B$21="Ja",ISNUMBER(W1831)),W1831,IF(BZ1831="2+3",IF(ISNUMBER(SEARCH("grosser Artikel",BR1831)),2,IFERROR(VLOOKUP(BU1831,Parameter!$F$35:$G$64,2,0),2)),IF(OR(BZ1831="Nein",BZ1831=""),"-",BZ1831))))</f>
        <v/>
      </c>
      <c r="AA1831" s="48" t="str">
        <f aca="false">IF('Neue Artikel'!$J$92="","",'Neue Artikel'!$J$92)</f>
        <v/>
      </c>
      <c r="AB1831" s="56"/>
      <c r="AC1831" s="50" t="n">
        <f aca="false">AT1831</f>
        <v>0</v>
      </c>
      <c r="AD1831" s="50" t="n">
        <f aca="false">MAX(AT1831,H1831)</f>
        <v>0</v>
      </c>
      <c r="AE1831" s="57"/>
      <c r="AF1831" s="50" t="n">
        <f aca="false">IF(LEFT(Cockpit!$C$5,1)="A",H1831,IF(CE1831=1,CF1831,IF(LEFT(Cockpit!$C$5,1)="B",AK1831,MAX(AK1831,H1831))))</f>
        <v>0</v>
      </c>
      <c r="AG1831" s="50" t="n">
        <f aca="false">IF(BW1831=1,0,ROUNDUP(AF1831/BV1831,0))</f>
        <v>0</v>
      </c>
      <c r="AH1831" s="52" t="n">
        <f aca="false">IF(CL1831&gt;0,CL1831*MAX(1,AF1831/X1831),IF(BW1831=1,IF(AF1831&lt;=0,0,CA1831*MAX(1,IF(H1831&gt;0,AF1831/H1831,1))),IF(R1831&gt;0,AG1831/R1831,0))/MAX(0.1,N(Parameter!$M$21)))</f>
        <v>0</v>
      </c>
      <c r="AI1831" s="50" t="n">
        <f aca="false">AH1831*BY1831</f>
        <v>0</v>
      </c>
      <c r="AJ1831" s="50" t="n">
        <f aca="false">AF1831*G1831</f>
        <v>0</v>
      </c>
      <c r="AK1831" s="50" t="n">
        <f aca="false">ROUNDUP(MAX(J1831/IF(CD1831&gt;0,CD1831,MAX(0.1,N(Cockpit!$C$6))),CG1831)/BV1831,0)*BV1831</f>
        <v>0</v>
      </c>
      <c r="AL1831" s="51" t="n">
        <f aca="false">IF(AI1831&gt;0,J1831/AI1831,-1)</f>
        <v>-1</v>
      </c>
      <c r="AM1831" s="51" t="str">
        <f aca="false">IF(AND(OR(CC1831="L1",CC1831="L23",CC1831="LIFT"),AI1831&gt;0),SUMIFS($AI$7:$AI$1843,$CC$7:$CC$1843,CC1831,$AL$7:$AL$1843,"&gt;"&amp;AL1831)+SUMIFS($AI$7:$AI$1843,$CC$7:$CC$1843,CC1831,$AL$7:$AL$1843,AL1831,$BT$7:$BT$1843,"&lt;="&amp;BT1831),"")</f>
        <v/>
      </c>
      <c r="AN1831" s="58" t="n">
        <f aca="false">IF(AM1831="",0,MAX(0,MIN(1,(IF(CC1831="L1",Parameter!$H$5,IF(CC1831="L23",Parameter!$H$6+Parameter!$H$7,Parameter!$H$5+Parameter!$H$6+Parameter!$H$7))-(AM1831-AI1831))/AI1831)))</f>
        <v>0</v>
      </c>
      <c r="AO1831" s="50" t="n">
        <f aca="false">IF(LEFT(Cockpit!$I$5,1)="A",H1831,IF(CE1831=1,CF1831,IF(LEFT(Cockpit!$I$5,1)="B",AT1831,MAX(AT1831,H1831))))</f>
        <v>0</v>
      </c>
      <c r="AP1831" s="50" t="n">
        <f aca="false">IF(BW1831=1,0,ROUNDUP(AO1831/BV1831,0))</f>
        <v>0</v>
      </c>
      <c r="AQ1831" s="52" t="n">
        <f aca="false">IF(CL1831&gt;0,CL1831*MAX(1,AO1831/X1831),IF(BW1831=1,IF(AO1831&lt;=0,0,CA1831*MAX(1,IF(H1831&gt;0,AO1831/H1831,1))),IF(R1831&gt;0,AP1831/R1831,0))/MAX(0.1,N(Parameter!$M$21)))</f>
        <v>0</v>
      </c>
      <c r="AR1831" s="50" t="n">
        <f aca="false">AQ1831*BY1831</f>
        <v>0</v>
      </c>
      <c r="AS1831" s="50" t="n">
        <f aca="false">AO1831*G1831</f>
        <v>0</v>
      </c>
      <c r="AT1831" s="50" t="n">
        <f aca="false">ROUNDUP(MAX(J1831/IF(CD1831&gt;0,CD1831,MAX(0.1,N(Cockpit!$I$6))),CG1831)/BV1831,0)*BV1831</f>
        <v>0</v>
      </c>
      <c r="AU1831" s="51" t="n">
        <f aca="false">IF(AR1831&gt;0,J1831/AR1831,-1)</f>
        <v>-1</v>
      </c>
      <c r="AV1831" s="51" t="str">
        <f aca="false">IF(AND(OR(CC1831="L1",CC1831="L23",CC1831="LIFT"),AR1831&gt;0),SUMIFS($AR$7:$AR$1843,$CC$7:$CC$1843,CC1831,$AU$7:$AU$1843,"&gt;"&amp;AU1831)+SUMIFS($AR$7:$AR$1843,$CC$7:$CC$1843,CC1831,$AU$7:$AU$1843,AU1831,$BT$7:$BT$1843,"&lt;="&amp;BT1831),"")</f>
        <v/>
      </c>
      <c r="AW1831" s="58" t="n">
        <f aca="false">IF(AV1831="",0,MAX(0,MIN(1,(IF(CC1831="L1",Parameter!$H$5,IF(CC1831="L23",Parameter!$H$6+Parameter!$H$7,Parameter!$H$5+Parameter!$H$6+Parameter!$H$7))-(AV1831-AR1831))/AR1831)))</f>
        <v>0</v>
      </c>
      <c r="AX1831" s="50" t="n">
        <f aca="false">IF(LEFT(Cockpit!$O$5,1)="A",H1831,IF(CE1831=1,CF1831,IF(LEFT(Cockpit!$O$5,1)="B",BC1831,MAX(BC1831,H1831))))</f>
        <v>0</v>
      </c>
      <c r="AY1831" s="50" t="n">
        <f aca="false">IF(BW1831=1,0,ROUNDUP(AX1831/BV1831,0))</f>
        <v>0</v>
      </c>
      <c r="AZ1831" s="52" t="n">
        <f aca="false">IF(CL1831&gt;0,CL1831*MAX(1,AX1831/X1831),IF(BW1831=1,IF(AX1831&lt;=0,0,CA1831*MAX(1,IF(H1831&gt;0,AX1831/H1831,1))),IF(R1831&gt;0,AY1831/R1831,0))/MAX(0.1,N(Parameter!$M$21)))</f>
        <v>0</v>
      </c>
      <c r="BA1831" s="50" t="n">
        <f aca="false">AZ1831*BY1831</f>
        <v>0</v>
      </c>
      <c r="BB1831" s="50" t="n">
        <f aca="false">AX1831*G1831</f>
        <v>0</v>
      </c>
      <c r="BC1831" s="50" t="n">
        <f aca="false">ROUNDUP(MAX(J1831/IF(CD1831&gt;0,CD1831,MAX(0.1,N(Cockpit!$O$6))),CG1831)/BV1831,0)*BV1831</f>
        <v>0</v>
      </c>
      <c r="BD1831" s="51" t="n">
        <f aca="false">IF(BA1831&gt;0,J1831/BA1831,-1)</f>
        <v>-1</v>
      </c>
      <c r="BE1831" s="51" t="str">
        <f aca="false">IF(AND(OR(CC1831="L1",CC1831="L23",CC1831="LIFT"),BA1831&gt;0),SUMIFS($BA$7:$BA$1843,$CC$7:$CC$1843,CC1831,$BD$7:$BD$1843,"&gt;"&amp;BD1831)+SUMIFS($BA$7:$BA$1843,$CC$7:$CC$1843,CC1831,$BD$7:$BD$1843,BD1831,$BT$7:$BT$1843,"&lt;="&amp;BT1831),"")</f>
        <v/>
      </c>
      <c r="BF1831" s="58" t="n">
        <f aca="false">IF(BE1831="",0,MAX(0,MIN(1,(IF(CC1831="L1",Parameter!$H$5,IF(CC1831="L23",Parameter!$H$6+Parameter!$H$7,Parameter!$H$5+Parameter!$H$6+Parameter!$H$7))-(BE1831-BA1831))/BA1831)))</f>
        <v>0</v>
      </c>
      <c r="BG1831" s="48" t="str">
        <f aca="false">IF(AI1831&lt;=0,"",IF(CC1831="Aussen","Aussenlager",IF(CC1831="-","Nicht im Lift",IF(AN1831&gt;=1,"Lift",IF(AN1831&lt;=0,"Aussenlager","teilweise")))))</f>
        <v/>
      </c>
      <c r="BH1831" s="48" t="str">
        <f aca="false">IF(AR1831&lt;=0,"",IF(CC1831="Aussen","Aussenlager",IF(CC1831="-","Nicht im Lift",IF(AW1831&gt;=1,"Lift",IF(AW1831&lt;=0,"Aussenlager","teilweise")))))</f>
        <v/>
      </c>
      <c r="BI1831" s="48" t="str">
        <f aca="false">IF(BA1831&lt;=0,"",IF(CC1831="Aussen","Aussenlager",IF(CC1831="-","Nicht im Lift",IF(BF1831&gt;=1,"Lift",IF(BF1831&lt;=0,"Aussenlager","teilweise")))))</f>
        <v/>
      </c>
      <c r="BJ1831" s="48" t="str">
        <f aca="false">IF(A1831="","",IF(BS1831=1,"Neu; ","")&amp;IF(AND(BS1831=0,BN1831&lt;0),"negativer Bestand (Export "&amp;BN1831&amp;"); ","")&amp;IF(J1831&lt;=0,"Kein Verbrauch; ","")&amp;IF(CL1831&gt;0,"Lift "&amp;W1831&amp;" lt. Liftbericht (Fach "&amp;X1831&amp;" Stk); ",IF(BX1831=1,"Gebinde geschätzt ("&amp;T1831&amp;"); ",IF(BW1831=1,"Lose – Tablare geschätzt; ","")))&amp;IF(H1831&gt;AT1831,"Überbestand "&amp;ROUND(H1831-AT1831,0)&amp;" Stk / CHF "&amp;ROUND((H1831-AT1831)*G1831,0)&amp;"; ","")&amp;IF(AND(CE1831=1,CF1831&lt;CG1831),"MAX &lt; MB+LG; ","")&amp;IF(AND(CK1831&gt;0,CJ1831*10&gt;CK1831),"zu hoch für Tablar; ","")&amp;IF(AND(BS1831=0,OR(CE1831=1,AA1831&lt;&gt;"",U1831&lt;&gt;"",V1831&lt;&gt;"",AB1831&lt;&gt;"")),"manuell übersteuert; ","")&amp;IF(AND(BW1831=0,R1831=0),"Gebinde unbekannt / Stellmass fehlt; ","")&amp;IF(AND(BW1831=0,N(V1831)&lt;=0,N(Q1831)&lt;=0),"Menge pro Gebinde fehlt (Ist = 1 Gebinde); ","")&amp;BR1831)</f>
        <v/>
      </c>
      <c r="BK1831" s="48"/>
      <c r="BL1831" s="48"/>
      <c r="BM1831" s="55"/>
      <c r="BN1831" s="50" t="n">
        <f aca="false">N('Neue Artikel'!$D$92)</f>
        <v>0</v>
      </c>
      <c r="BO1831" s="50" t="n">
        <v>0</v>
      </c>
      <c r="BP1831" s="49" t="n">
        <v>0</v>
      </c>
      <c r="BQ1831" s="50" t="n">
        <f aca="false">N('Neue Artikel'!$C$92)/Parameter!$B$18</f>
        <v>0</v>
      </c>
      <c r="BR1831" s="48"/>
      <c r="BS1831" s="53" t="n">
        <v>1</v>
      </c>
      <c r="BT1831" s="53" t="n">
        <v>1831</v>
      </c>
      <c r="BU1831" s="48" t="str">
        <f aca="false">IF(U1831&lt;&gt;"",UPPER(TRIM(U1831)),IF(BX1831=1,UPPER(VLOOKUP(T1831,Parameter!$I$27:$K$29,2,0)),IF(P1831="","LOSE",P1831)))</f>
        <v>LOSE</v>
      </c>
      <c r="BV1831" s="50" t="n">
        <f aca="false">IF(BU1831="LOSE",1,IF(N(V1831)&gt;0,V1831,IF(BX1831=1,MAX(1,N(VLOOKUP(T1831,Parameter!$I$27:$K$29,3,0)),H1831,N(N1831)),IF(N(Q1831)&gt;0,Q1831,MAX(1,H1831)))))</f>
        <v>1</v>
      </c>
      <c r="BW1831" s="53" t="n">
        <f aca="false">IF(BU1831="LOSE",1,0)</f>
        <v>1</v>
      </c>
      <c r="BX1831" s="53" t="n">
        <f aca="false">IF(AND(U1831="",OR(P1831="",P1831="LOSE"),T1831&lt;&gt;"",N(S1831)&lt;=0,ISNUMBER(MATCH(T1831,Parameter!$I$27:$I$29,0))),1,0)</f>
        <v>0</v>
      </c>
      <c r="BY1831" s="53" t="n">
        <f aca="false">IF(CL1831&gt;0,INDEX(Parameter!$H$5:$H$7,W1831)/INDEX(Parameter!$E$5:$E$7,W1831),IF(AND(BW1831=0,N(IFERROR(VLOOKUP(BU1831,'Gebinde-Kategorie'!$A$5:$N$45,14,0),0))&gt;0),VLOOKUP(BU1831,'Gebinde-Kategorie'!$A$5:$N$45,14,0)*10+Parameter!$M$23,Parameter!$M$24))</f>
        <v>235</v>
      </c>
      <c r="BZ1831" s="48" t="str">
        <f aca="false">IF(AND(Parameter!$B$19="Ja",E1831&lt;&gt;"",ISNUMBER(MATCH(E1831,Parameter!$I$35:$I$52,0))),VLOOKUP(E1831,Parameter!$I$35:$J$52,2,0),IFERROR(VLOOKUP(D1831,Parameter!$A$35:$C$64,2,0),"Nein"))</f>
        <v>2+3</v>
      </c>
      <c r="CA1831" s="52" t="n">
        <f aca="false">IF(BW1831=0,0,IF(N(S1831)&gt;0,S1831,IFERROR(VLOOKUP(D1831,Parameter!$A$35:$C$64,3,0)+0,0)))</f>
        <v>0.15</v>
      </c>
      <c r="CB1831" s="48" t="str">
        <f aca="false">IF(AA1831&lt;&gt;"",AA1831,Z1831)</f>
        <v/>
      </c>
      <c r="CC1831" s="48" t="str">
        <f aca="false">IF(OR(CB1831=1,CB1831=2,CB1831=3),IF(Parameter!$E$27="Ja","LIFT",IF(CB1831=1,"L1","L23")),IF(CB1831="Aussen","Aussen","-"))</f>
        <v>-</v>
      </c>
      <c r="CD1831" s="59" t="n">
        <f aca="false">IF(N(AB1831)&gt;0,AB1831,0)</f>
        <v>0</v>
      </c>
      <c r="CE1831" s="53" t="n">
        <f aca="false">IF(ISNUMBER(AE1831),1,0)</f>
        <v>0</v>
      </c>
      <c r="CF1831" s="50" t="n">
        <f aca="false">N(AE1831)</f>
        <v>0</v>
      </c>
      <c r="CG1831" s="50" t="n">
        <f aca="false">N(M1831)+N(N1831)</f>
        <v>0</v>
      </c>
      <c r="CH1831" s="50" t="n">
        <f aca="false">ROUNDUP(H1831/BV1831,0)</f>
        <v>0</v>
      </c>
      <c r="CI1831" s="50" t="n">
        <f aca="false">ROUNDUP(CF1831/BV1831,0)</f>
        <v>0</v>
      </c>
      <c r="CJ1831" s="53" t="n">
        <f aca="false">IF(BW1831=1,0,IFERROR(VLOOKUP(BU1831,'Gebinde-Kategorie'!$A$5:$N$45,5,0)+0,0))</f>
        <v>0</v>
      </c>
      <c r="CK1831" s="53" t="n">
        <f aca="false">IFERROR(IF(OR(CB1831=1,CB1831=2,CB1831=3),N(INDEX(Parameter!$I$5:$I$7,CB1831)),0),0)</f>
        <v>0</v>
      </c>
      <c r="CL1831" s="52" t="n">
        <f aca="false">IF(AND(Parameter!$B$21="Ja",ISNUMBER(W1831),N(X1831)&gt;0),IFERROR(N(INDEX(Parameter!$L$5:$L$7,W1831))*INDEX(Parameter!$E$5:$E$7,W1831)*X1831/SUMIFS($X$7:$X$1843,$W$7:$W$1843,W1831),0),0)</f>
        <v>0</v>
      </c>
    </row>
    <row r="1832" customFormat="false" ht="15" hidden="false" customHeight="false" outlineLevel="0" collapsed="false">
      <c r="A1832" s="48" t="str">
        <f aca="false">IF('Neue Artikel'!$A$93="","",'Neue Artikel'!$A$93&amp;"")</f>
        <v/>
      </c>
      <c r="B1832" s="48" t="str">
        <f aca="false">'Neue Artikel'!$B$93&amp;""</f>
        <v/>
      </c>
      <c r="C1832" s="48"/>
      <c r="D1832" s="48" t="s">
        <v>3019</v>
      </c>
      <c r="E1832" s="48"/>
      <c r="F1832" s="48"/>
      <c r="G1832" s="49" t="n">
        <f aca="false">N('Neue Artikel'!$G$93)</f>
        <v>0</v>
      </c>
      <c r="H1832" s="50" t="n">
        <f aca="false">MAX(0,IF(AND(Parameter!$B$21="Ja",ISNUMBER(Y1832)),Y1832,IF(Parameter!$B$20="Jahresanfang 2025 + Export",BO1832+BN1832,BN1832)))</f>
        <v>0</v>
      </c>
      <c r="I1832" s="50" t="n">
        <f aca="false">H1832*G1832</f>
        <v>0</v>
      </c>
      <c r="J1832" s="50" t="n">
        <f aca="false">BQ1832*Parameter!$B$18</f>
        <v>0</v>
      </c>
      <c r="K1832" s="51"/>
      <c r="L1832" s="52"/>
      <c r="M1832" s="50" t="n">
        <f aca="false">N('Neue Artikel'!$E$93)</f>
        <v>0</v>
      </c>
      <c r="N1832" s="50" t="n">
        <f aca="false">N('Neue Artikel'!$F$93)</f>
        <v>0</v>
      </c>
      <c r="O1832" s="53"/>
      <c r="P1832" s="48" t="str">
        <f aca="false">IF('Neue Artikel'!$H$93="","LOSE",UPPER(TRIM('Neue Artikel'!$H$93)))</f>
        <v>LOSE</v>
      </c>
      <c r="Q1832" s="50" t="n">
        <f aca="false">N('Neue Artikel'!$I$93)</f>
        <v>0</v>
      </c>
      <c r="R1832" s="53" t="n">
        <f aca="false">IF(BW1832=1,0,IFERROR(VLOOKUP(BU1832,'Gebinde-Kategorie'!$A$5:$N$45,13,0)+0,0))</f>
        <v>0</v>
      </c>
      <c r="S1832" s="54"/>
      <c r="T1832" s="55"/>
      <c r="U1832" s="55"/>
      <c r="V1832" s="55"/>
      <c r="W1832" s="48"/>
      <c r="X1832" s="50"/>
      <c r="Y1832" s="50"/>
      <c r="Z1832" s="48" t="str">
        <f aca="false">IF(A1832="","",IF(AND(Parameter!$B$21="Ja",ISNUMBER(W1832)),W1832,IF(BZ1832="2+3",IF(ISNUMBER(SEARCH("grosser Artikel",BR1832)),2,IFERROR(VLOOKUP(BU1832,Parameter!$F$35:$G$64,2,0),2)),IF(OR(BZ1832="Nein",BZ1832=""),"-",BZ1832))))</f>
        <v/>
      </c>
      <c r="AA1832" s="48" t="str">
        <f aca="false">IF('Neue Artikel'!$J$93="","",'Neue Artikel'!$J$93)</f>
        <v/>
      </c>
      <c r="AB1832" s="56"/>
      <c r="AC1832" s="50" t="n">
        <f aca="false">AT1832</f>
        <v>0</v>
      </c>
      <c r="AD1832" s="50" t="n">
        <f aca="false">MAX(AT1832,H1832)</f>
        <v>0</v>
      </c>
      <c r="AE1832" s="57"/>
      <c r="AF1832" s="50" t="n">
        <f aca="false">IF(LEFT(Cockpit!$C$5,1)="A",H1832,IF(CE1832=1,CF1832,IF(LEFT(Cockpit!$C$5,1)="B",AK1832,MAX(AK1832,H1832))))</f>
        <v>0</v>
      </c>
      <c r="AG1832" s="50" t="n">
        <f aca="false">IF(BW1832=1,0,ROUNDUP(AF1832/BV1832,0))</f>
        <v>0</v>
      </c>
      <c r="AH1832" s="52" t="n">
        <f aca="false">IF(CL1832&gt;0,CL1832*MAX(1,AF1832/X1832),IF(BW1832=1,IF(AF1832&lt;=0,0,CA1832*MAX(1,IF(H1832&gt;0,AF1832/H1832,1))),IF(R1832&gt;0,AG1832/R1832,0))/MAX(0.1,N(Parameter!$M$21)))</f>
        <v>0</v>
      </c>
      <c r="AI1832" s="50" t="n">
        <f aca="false">AH1832*BY1832</f>
        <v>0</v>
      </c>
      <c r="AJ1832" s="50" t="n">
        <f aca="false">AF1832*G1832</f>
        <v>0</v>
      </c>
      <c r="AK1832" s="50" t="n">
        <f aca="false">ROUNDUP(MAX(J1832/IF(CD1832&gt;0,CD1832,MAX(0.1,N(Cockpit!$C$6))),CG1832)/BV1832,0)*BV1832</f>
        <v>0</v>
      </c>
      <c r="AL1832" s="51" t="n">
        <f aca="false">IF(AI1832&gt;0,J1832/AI1832,-1)</f>
        <v>-1</v>
      </c>
      <c r="AM1832" s="51" t="str">
        <f aca="false">IF(AND(OR(CC1832="L1",CC1832="L23",CC1832="LIFT"),AI1832&gt;0),SUMIFS($AI$7:$AI$1843,$CC$7:$CC$1843,CC1832,$AL$7:$AL$1843,"&gt;"&amp;AL1832)+SUMIFS($AI$7:$AI$1843,$CC$7:$CC$1843,CC1832,$AL$7:$AL$1843,AL1832,$BT$7:$BT$1843,"&lt;="&amp;BT1832),"")</f>
        <v/>
      </c>
      <c r="AN1832" s="58" t="n">
        <f aca="false">IF(AM1832="",0,MAX(0,MIN(1,(IF(CC1832="L1",Parameter!$H$5,IF(CC1832="L23",Parameter!$H$6+Parameter!$H$7,Parameter!$H$5+Parameter!$H$6+Parameter!$H$7))-(AM1832-AI1832))/AI1832)))</f>
        <v>0</v>
      </c>
      <c r="AO1832" s="50" t="n">
        <f aca="false">IF(LEFT(Cockpit!$I$5,1)="A",H1832,IF(CE1832=1,CF1832,IF(LEFT(Cockpit!$I$5,1)="B",AT1832,MAX(AT1832,H1832))))</f>
        <v>0</v>
      </c>
      <c r="AP1832" s="50" t="n">
        <f aca="false">IF(BW1832=1,0,ROUNDUP(AO1832/BV1832,0))</f>
        <v>0</v>
      </c>
      <c r="AQ1832" s="52" t="n">
        <f aca="false">IF(CL1832&gt;0,CL1832*MAX(1,AO1832/X1832),IF(BW1832=1,IF(AO1832&lt;=0,0,CA1832*MAX(1,IF(H1832&gt;0,AO1832/H1832,1))),IF(R1832&gt;0,AP1832/R1832,0))/MAX(0.1,N(Parameter!$M$21)))</f>
        <v>0</v>
      </c>
      <c r="AR1832" s="50" t="n">
        <f aca="false">AQ1832*BY1832</f>
        <v>0</v>
      </c>
      <c r="AS1832" s="50" t="n">
        <f aca="false">AO1832*G1832</f>
        <v>0</v>
      </c>
      <c r="AT1832" s="50" t="n">
        <f aca="false">ROUNDUP(MAX(J1832/IF(CD1832&gt;0,CD1832,MAX(0.1,N(Cockpit!$I$6))),CG1832)/BV1832,0)*BV1832</f>
        <v>0</v>
      </c>
      <c r="AU1832" s="51" t="n">
        <f aca="false">IF(AR1832&gt;0,J1832/AR1832,-1)</f>
        <v>-1</v>
      </c>
      <c r="AV1832" s="51" t="str">
        <f aca="false">IF(AND(OR(CC1832="L1",CC1832="L23",CC1832="LIFT"),AR1832&gt;0),SUMIFS($AR$7:$AR$1843,$CC$7:$CC$1843,CC1832,$AU$7:$AU$1843,"&gt;"&amp;AU1832)+SUMIFS($AR$7:$AR$1843,$CC$7:$CC$1843,CC1832,$AU$7:$AU$1843,AU1832,$BT$7:$BT$1843,"&lt;="&amp;BT1832),"")</f>
        <v/>
      </c>
      <c r="AW1832" s="58" t="n">
        <f aca="false">IF(AV1832="",0,MAX(0,MIN(1,(IF(CC1832="L1",Parameter!$H$5,IF(CC1832="L23",Parameter!$H$6+Parameter!$H$7,Parameter!$H$5+Parameter!$H$6+Parameter!$H$7))-(AV1832-AR1832))/AR1832)))</f>
        <v>0</v>
      </c>
      <c r="AX1832" s="50" t="n">
        <f aca="false">IF(LEFT(Cockpit!$O$5,1)="A",H1832,IF(CE1832=1,CF1832,IF(LEFT(Cockpit!$O$5,1)="B",BC1832,MAX(BC1832,H1832))))</f>
        <v>0</v>
      </c>
      <c r="AY1832" s="50" t="n">
        <f aca="false">IF(BW1832=1,0,ROUNDUP(AX1832/BV1832,0))</f>
        <v>0</v>
      </c>
      <c r="AZ1832" s="52" t="n">
        <f aca="false">IF(CL1832&gt;0,CL1832*MAX(1,AX1832/X1832),IF(BW1832=1,IF(AX1832&lt;=0,0,CA1832*MAX(1,IF(H1832&gt;0,AX1832/H1832,1))),IF(R1832&gt;0,AY1832/R1832,0))/MAX(0.1,N(Parameter!$M$21)))</f>
        <v>0</v>
      </c>
      <c r="BA1832" s="50" t="n">
        <f aca="false">AZ1832*BY1832</f>
        <v>0</v>
      </c>
      <c r="BB1832" s="50" t="n">
        <f aca="false">AX1832*G1832</f>
        <v>0</v>
      </c>
      <c r="BC1832" s="50" t="n">
        <f aca="false">ROUNDUP(MAX(J1832/IF(CD1832&gt;0,CD1832,MAX(0.1,N(Cockpit!$O$6))),CG1832)/BV1832,0)*BV1832</f>
        <v>0</v>
      </c>
      <c r="BD1832" s="51" t="n">
        <f aca="false">IF(BA1832&gt;0,J1832/BA1832,-1)</f>
        <v>-1</v>
      </c>
      <c r="BE1832" s="51" t="str">
        <f aca="false">IF(AND(OR(CC1832="L1",CC1832="L23",CC1832="LIFT"),BA1832&gt;0),SUMIFS($BA$7:$BA$1843,$CC$7:$CC$1843,CC1832,$BD$7:$BD$1843,"&gt;"&amp;BD1832)+SUMIFS($BA$7:$BA$1843,$CC$7:$CC$1843,CC1832,$BD$7:$BD$1843,BD1832,$BT$7:$BT$1843,"&lt;="&amp;BT1832),"")</f>
        <v/>
      </c>
      <c r="BF1832" s="58" t="n">
        <f aca="false">IF(BE1832="",0,MAX(0,MIN(1,(IF(CC1832="L1",Parameter!$H$5,IF(CC1832="L23",Parameter!$H$6+Parameter!$H$7,Parameter!$H$5+Parameter!$H$6+Parameter!$H$7))-(BE1832-BA1832))/BA1832)))</f>
        <v>0</v>
      </c>
      <c r="BG1832" s="48" t="str">
        <f aca="false">IF(AI1832&lt;=0,"",IF(CC1832="Aussen","Aussenlager",IF(CC1832="-","Nicht im Lift",IF(AN1832&gt;=1,"Lift",IF(AN1832&lt;=0,"Aussenlager","teilweise")))))</f>
        <v/>
      </c>
      <c r="BH1832" s="48" t="str">
        <f aca="false">IF(AR1832&lt;=0,"",IF(CC1832="Aussen","Aussenlager",IF(CC1832="-","Nicht im Lift",IF(AW1832&gt;=1,"Lift",IF(AW1832&lt;=0,"Aussenlager","teilweise")))))</f>
        <v/>
      </c>
      <c r="BI1832" s="48" t="str">
        <f aca="false">IF(BA1832&lt;=0,"",IF(CC1832="Aussen","Aussenlager",IF(CC1832="-","Nicht im Lift",IF(BF1832&gt;=1,"Lift",IF(BF1832&lt;=0,"Aussenlager","teilweise")))))</f>
        <v/>
      </c>
      <c r="BJ1832" s="48" t="str">
        <f aca="false">IF(A1832="","",IF(BS1832=1,"Neu; ","")&amp;IF(AND(BS1832=0,BN1832&lt;0),"negativer Bestand (Export "&amp;BN1832&amp;"); ","")&amp;IF(J1832&lt;=0,"Kein Verbrauch; ","")&amp;IF(CL1832&gt;0,"Lift "&amp;W1832&amp;" lt. Liftbericht (Fach "&amp;X1832&amp;" Stk); ",IF(BX1832=1,"Gebinde geschätzt ("&amp;T1832&amp;"); ",IF(BW1832=1,"Lose – Tablare geschätzt; ","")))&amp;IF(H1832&gt;AT1832,"Überbestand "&amp;ROUND(H1832-AT1832,0)&amp;" Stk / CHF "&amp;ROUND((H1832-AT1832)*G1832,0)&amp;"; ","")&amp;IF(AND(CE1832=1,CF1832&lt;CG1832),"MAX &lt; MB+LG; ","")&amp;IF(AND(CK1832&gt;0,CJ1832*10&gt;CK1832),"zu hoch für Tablar; ","")&amp;IF(AND(BS1832=0,OR(CE1832=1,AA1832&lt;&gt;"",U1832&lt;&gt;"",V1832&lt;&gt;"",AB1832&lt;&gt;"")),"manuell übersteuert; ","")&amp;IF(AND(BW1832=0,R1832=0),"Gebinde unbekannt / Stellmass fehlt; ","")&amp;IF(AND(BW1832=0,N(V1832)&lt;=0,N(Q1832)&lt;=0),"Menge pro Gebinde fehlt (Ist = 1 Gebinde); ","")&amp;BR1832)</f>
        <v/>
      </c>
      <c r="BK1832" s="48"/>
      <c r="BL1832" s="48"/>
      <c r="BM1832" s="55"/>
      <c r="BN1832" s="50" t="n">
        <f aca="false">N('Neue Artikel'!$D$93)</f>
        <v>0</v>
      </c>
      <c r="BO1832" s="50" t="n">
        <v>0</v>
      </c>
      <c r="BP1832" s="49" t="n">
        <v>0</v>
      </c>
      <c r="BQ1832" s="50" t="n">
        <f aca="false">N('Neue Artikel'!$C$93)/Parameter!$B$18</f>
        <v>0</v>
      </c>
      <c r="BR1832" s="48"/>
      <c r="BS1832" s="53" t="n">
        <v>1</v>
      </c>
      <c r="BT1832" s="53" t="n">
        <v>1832</v>
      </c>
      <c r="BU1832" s="48" t="str">
        <f aca="false">IF(U1832&lt;&gt;"",UPPER(TRIM(U1832)),IF(BX1832=1,UPPER(VLOOKUP(T1832,Parameter!$I$27:$K$29,2,0)),IF(P1832="","LOSE",P1832)))</f>
        <v>LOSE</v>
      </c>
      <c r="BV1832" s="50" t="n">
        <f aca="false">IF(BU1832="LOSE",1,IF(N(V1832)&gt;0,V1832,IF(BX1832=1,MAX(1,N(VLOOKUP(T1832,Parameter!$I$27:$K$29,3,0)),H1832,N(N1832)),IF(N(Q1832)&gt;0,Q1832,MAX(1,H1832)))))</f>
        <v>1</v>
      </c>
      <c r="BW1832" s="53" t="n">
        <f aca="false">IF(BU1832="LOSE",1,0)</f>
        <v>1</v>
      </c>
      <c r="BX1832" s="53" t="n">
        <f aca="false">IF(AND(U1832="",OR(P1832="",P1832="LOSE"),T1832&lt;&gt;"",N(S1832)&lt;=0,ISNUMBER(MATCH(T1832,Parameter!$I$27:$I$29,0))),1,0)</f>
        <v>0</v>
      </c>
      <c r="BY1832" s="53" t="n">
        <f aca="false">IF(CL1832&gt;0,INDEX(Parameter!$H$5:$H$7,W1832)/INDEX(Parameter!$E$5:$E$7,W1832),IF(AND(BW1832=0,N(IFERROR(VLOOKUP(BU1832,'Gebinde-Kategorie'!$A$5:$N$45,14,0),0))&gt;0),VLOOKUP(BU1832,'Gebinde-Kategorie'!$A$5:$N$45,14,0)*10+Parameter!$M$23,Parameter!$M$24))</f>
        <v>235</v>
      </c>
      <c r="BZ1832" s="48" t="str">
        <f aca="false">IF(AND(Parameter!$B$19="Ja",E1832&lt;&gt;"",ISNUMBER(MATCH(E1832,Parameter!$I$35:$I$52,0))),VLOOKUP(E1832,Parameter!$I$35:$J$52,2,0),IFERROR(VLOOKUP(D1832,Parameter!$A$35:$C$64,2,0),"Nein"))</f>
        <v>2+3</v>
      </c>
      <c r="CA1832" s="52" t="n">
        <f aca="false">IF(BW1832=0,0,IF(N(S1832)&gt;0,S1832,IFERROR(VLOOKUP(D1832,Parameter!$A$35:$C$64,3,0)+0,0)))</f>
        <v>0.15</v>
      </c>
      <c r="CB1832" s="48" t="str">
        <f aca="false">IF(AA1832&lt;&gt;"",AA1832,Z1832)</f>
        <v/>
      </c>
      <c r="CC1832" s="48" t="str">
        <f aca="false">IF(OR(CB1832=1,CB1832=2,CB1832=3),IF(Parameter!$E$27="Ja","LIFT",IF(CB1832=1,"L1","L23")),IF(CB1832="Aussen","Aussen","-"))</f>
        <v>-</v>
      </c>
      <c r="CD1832" s="59" t="n">
        <f aca="false">IF(N(AB1832)&gt;0,AB1832,0)</f>
        <v>0</v>
      </c>
      <c r="CE1832" s="53" t="n">
        <f aca="false">IF(ISNUMBER(AE1832),1,0)</f>
        <v>0</v>
      </c>
      <c r="CF1832" s="50" t="n">
        <f aca="false">N(AE1832)</f>
        <v>0</v>
      </c>
      <c r="CG1832" s="50" t="n">
        <f aca="false">N(M1832)+N(N1832)</f>
        <v>0</v>
      </c>
      <c r="CH1832" s="50" t="n">
        <f aca="false">ROUNDUP(H1832/BV1832,0)</f>
        <v>0</v>
      </c>
      <c r="CI1832" s="50" t="n">
        <f aca="false">ROUNDUP(CF1832/BV1832,0)</f>
        <v>0</v>
      </c>
      <c r="CJ1832" s="53" t="n">
        <f aca="false">IF(BW1832=1,0,IFERROR(VLOOKUP(BU1832,'Gebinde-Kategorie'!$A$5:$N$45,5,0)+0,0))</f>
        <v>0</v>
      </c>
      <c r="CK1832" s="53" t="n">
        <f aca="false">IFERROR(IF(OR(CB1832=1,CB1832=2,CB1832=3),N(INDEX(Parameter!$I$5:$I$7,CB1832)),0),0)</f>
        <v>0</v>
      </c>
      <c r="CL1832" s="52" t="n">
        <f aca="false">IF(AND(Parameter!$B$21="Ja",ISNUMBER(W1832),N(X1832)&gt;0),IFERROR(N(INDEX(Parameter!$L$5:$L$7,W1832))*INDEX(Parameter!$E$5:$E$7,W1832)*X1832/SUMIFS($X$7:$X$1843,$W$7:$W$1843,W1832),0),0)</f>
        <v>0</v>
      </c>
    </row>
    <row r="1833" customFormat="false" ht="15" hidden="false" customHeight="false" outlineLevel="0" collapsed="false">
      <c r="A1833" s="48" t="str">
        <f aca="false">IF('Neue Artikel'!$A$94="","",'Neue Artikel'!$A$94&amp;"")</f>
        <v/>
      </c>
      <c r="B1833" s="48" t="str">
        <f aca="false">'Neue Artikel'!$B$94&amp;""</f>
        <v/>
      </c>
      <c r="C1833" s="48"/>
      <c r="D1833" s="48" t="s">
        <v>3019</v>
      </c>
      <c r="E1833" s="48"/>
      <c r="F1833" s="48"/>
      <c r="G1833" s="49" t="n">
        <f aca="false">N('Neue Artikel'!$G$94)</f>
        <v>0</v>
      </c>
      <c r="H1833" s="50" t="n">
        <f aca="false">MAX(0,IF(AND(Parameter!$B$21="Ja",ISNUMBER(Y1833)),Y1833,IF(Parameter!$B$20="Jahresanfang 2025 + Export",BO1833+BN1833,BN1833)))</f>
        <v>0</v>
      </c>
      <c r="I1833" s="50" t="n">
        <f aca="false">H1833*G1833</f>
        <v>0</v>
      </c>
      <c r="J1833" s="50" t="n">
        <f aca="false">BQ1833*Parameter!$B$18</f>
        <v>0</v>
      </c>
      <c r="K1833" s="51"/>
      <c r="L1833" s="52"/>
      <c r="M1833" s="50" t="n">
        <f aca="false">N('Neue Artikel'!$E$94)</f>
        <v>0</v>
      </c>
      <c r="N1833" s="50" t="n">
        <f aca="false">N('Neue Artikel'!$F$94)</f>
        <v>0</v>
      </c>
      <c r="O1833" s="53"/>
      <c r="P1833" s="48" t="str">
        <f aca="false">IF('Neue Artikel'!$H$94="","LOSE",UPPER(TRIM('Neue Artikel'!$H$94)))</f>
        <v>LOSE</v>
      </c>
      <c r="Q1833" s="50" t="n">
        <f aca="false">N('Neue Artikel'!$I$94)</f>
        <v>0</v>
      </c>
      <c r="R1833" s="53" t="n">
        <f aca="false">IF(BW1833=1,0,IFERROR(VLOOKUP(BU1833,'Gebinde-Kategorie'!$A$5:$N$45,13,0)+0,0))</f>
        <v>0</v>
      </c>
      <c r="S1833" s="54"/>
      <c r="T1833" s="55"/>
      <c r="U1833" s="55"/>
      <c r="V1833" s="55"/>
      <c r="W1833" s="48"/>
      <c r="X1833" s="50"/>
      <c r="Y1833" s="50"/>
      <c r="Z1833" s="48" t="str">
        <f aca="false">IF(A1833="","",IF(AND(Parameter!$B$21="Ja",ISNUMBER(W1833)),W1833,IF(BZ1833="2+3",IF(ISNUMBER(SEARCH("grosser Artikel",BR1833)),2,IFERROR(VLOOKUP(BU1833,Parameter!$F$35:$G$64,2,0),2)),IF(OR(BZ1833="Nein",BZ1833=""),"-",BZ1833))))</f>
        <v/>
      </c>
      <c r="AA1833" s="48" t="str">
        <f aca="false">IF('Neue Artikel'!$J$94="","",'Neue Artikel'!$J$94)</f>
        <v/>
      </c>
      <c r="AB1833" s="56"/>
      <c r="AC1833" s="50" t="n">
        <f aca="false">AT1833</f>
        <v>0</v>
      </c>
      <c r="AD1833" s="50" t="n">
        <f aca="false">MAX(AT1833,H1833)</f>
        <v>0</v>
      </c>
      <c r="AE1833" s="57"/>
      <c r="AF1833" s="50" t="n">
        <f aca="false">IF(LEFT(Cockpit!$C$5,1)="A",H1833,IF(CE1833=1,CF1833,IF(LEFT(Cockpit!$C$5,1)="B",AK1833,MAX(AK1833,H1833))))</f>
        <v>0</v>
      </c>
      <c r="AG1833" s="50" t="n">
        <f aca="false">IF(BW1833=1,0,ROUNDUP(AF1833/BV1833,0))</f>
        <v>0</v>
      </c>
      <c r="AH1833" s="52" t="n">
        <f aca="false">IF(CL1833&gt;0,CL1833*MAX(1,AF1833/X1833),IF(BW1833=1,IF(AF1833&lt;=0,0,CA1833*MAX(1,IF(H1833&gt;0,AF1833/H1833,1))),IF(R1833&gt;0,AG1833/R1833,0))/MAX(0.1,N(Parameter!$M$21)))</f>
        <v>0</v>
      </c>
      <c r="AI1833" s="50" t="n">
        <f aca="false">AH1833*BY1833</f>
        <v>0</v>
      </c>
      <c r="AJ1833" s="50" t="n">
        <f aca="false">AF1833*G1833</f>
        <v>0</v>
      </c>
      <c r="AK1833" s="50" t="n">
        <f aca="false">ROUNDUP(MAX(J1833/IF(CD1833&gt;0,CD1833,MAX(0.1,N(Cockpit!$C$6))),CG1833)/BV1833,0)*BV1833</f>
        <v>0</v>
      </c>
      <c r="AL1833" s="51" t="n">
        <f aca="false">IF(AI1833&gt;0,J1833/AI1833,-1)</f>
        <v>-1</v>
      </c>
      <c r="AM1833" s="51" t="str">
        <f aca="false">IF(AND(OR(CC1833="L1",CC1833="L23",CC1833="LIFT"),AI1833&gt;0),SUMIFS($AI$7:$AI$1843,$CC$7:$CC$1843,CC1833,$AL$7:$AL$1843,"&gt;"&amp;AL1833)+SUMIFS($AI$7:$AI$1843,$CC$7:$CC$1843,CC1833,$AL$7:$AL$1843,AL1833,$BT$7:$BT$1843,"&lt;="&amp;BT1833),"")</f>
        <v/>
      </c>
      <c r="AN1833" s="58" t="n">
        <f aca="false">IF(AM1833="",0,MAX(0,MIN(1,(IF(CC1833="L1",Parameter!$H$5,IF(CC1833="L23",Parameter!$H$6+Parameter!$H$7,Parameter!$H$5+Parameter!$H$6+Parameter!$H$7))-(AM1833-AI1833))/AI1833)))</f>
        <v>0</v>
      </c>
      <c r="AO1833" s="50" t="n">
        <f aca="false">IF(LEFT(Cockpit!$I$5,1)="A",H1833,IF(CE1833=1,CF1833,IF(LEFT(Cockpit!$I$5,1)="B",AT1833,MAX(AT1833,H1833))))</f>
        <v>0</v>
      </c>
      <c r="AP1833" s="50" t="n">
        <f aca="false">IF(BW1833=1,0,ROUNDUP(AO1833/BV1833,0))</f>
        <v>0</v>
      </c>
      <c r="AQ1833" s="52" t="n">
        <f aca="false">IF(CL1833&gt;0,CL1833*MAX(1,AO1833/X1833),IF(BW1833=1,IF(AO1833&lt;=0,0,CA1833*MAX(1,IF(H1833&gt;0,AO1833/H1833,1))),IF(R1833&gt;0,AP1833/R1833,0))/MAX(0.1,N(Parameter!$M$21)))</f>
        <v>0</v>
      </c>
      <c r="AR1833" s="50" t="n">
        <f aca="false">AQ1833*BY1833</f>
        <v>0</v>
      </c>
      <c r="AS1833" s="50" t="n">
        <f aca="false">AO1833*G1833</f>
        <v>0</v>
      </c>
      <c r="AT1833" s="50" t="n">
        <f aca="false">ROUNDUP(MAX(J1833/IF(CD1833&gt;0,CD1833,MAX(0.1,N(Cockpit!$I$6))),CG1833)/BV1833,0)*BV1833</f>
        <v>0</v>
      </c>
      <c r="AU1833" s="51" t="n">
        <f aca="false">IF(AR1833&gt;0,J1833/AR1833,-1)</f>
        <v>-1</v>
      </c>
      <c r="AV1833" s="51" t="str">
        <f aca="false">IF(AND(OR(CC1833="L1",CC1833="L23",CC1833="LIFT"),AR1833&gt;0),SUMIFS($AR$7:$AR$1843,$CC$7:$CC$1843,CC1833,$AU$7:$AU$1843,"&gt;"&amp;AU1833)+SUMIFS($AR$7:$AR$1843,$CC$7:$CC$1843,CC1833,$AU$7:$AU$1843,AU1833,$BT$7:$BT$1843,"&lt;="&amp;BT1833),"")</f>
        <v/>
      </c>
      <c r="AW1833" s="58" t="n">
        <f aca="false">IF(AV1833="",0,MAX(0,MIN(1,(IF(CC1833="L1",Parameter!$H$5,IF(CC1833="L23",Parameter!$H$6+Parameter!$H$7,Parameter!$H$5+Parameter!$H$6+Parameter!$H$7))-(AV1833-AR1833))/AR1833)))</f>
        <v>0</v>
      </c>
      <c r="AX1833" s="50" t="n">
        <f aca="false">IF(LEFT(Cockpit!$O$5,1)="A",H1833,IF(CE1833=1,CF1833,IF(LEFT(Cockpit!$O$5,1)="B",BC1833,MAX(BC1833,H1833))))</f>
        <v>0</v>
      </c>
      <c r="AY1833" s="50" t="n">
        <f aca="false">IF(BW1833=1,0,ROUNDUP(AX1833/BV1833,0))</f>
        <v>0</v>
      </c>
      <c r="AZ1833" s="52" t="n">
        <f aca="false">IF(CL1833&gt;0,CL1833*MAX(1,AX1833/X1833),IF(BW1833=1,IF(AX1833&lt;=0,0,CA1833*MAX(1,IF(H1833&gt;0,AX1833/H1833,1))),IF(R1833&gt;0,AY1833/R1833,0))/MAX(0.1,N(Parameter!$M$21)))</f>
        <v>0</v>
      </c>
      <c r="BA1833" s="50" t="n">
        <f aca="false">AZ1833*BY1833</f>
        <v>0</v>
      </c>
      <c r="BB1833" s="50" t="n">
        <f aca="false">AX1833*G1833</f>
        <v>0</v>
      </c>
      <c r="BC1833" s="50" t="n">
        <f aca="false">ROUNDUP(MAX(J1833/IF(CD1833&gt;0,CD1833,MAX(0.1,N(Cockpit!$O$6))),CG1833)/BV1833,0)*BV1833</f>
        <v>0</v>
      </c>
      <c r="BD1833" s="51" t="n">
        <f aca="false">IF(BA1833&gt;0,J1833/BA1833,-1)</f>
        <v>-1</v>
      </c>
      <c r="BE1833" s="51" t="str">
        <f aca="false">IF(AND(OR(CC1833="L1",CC1833="L23",CC1833="LIFT"),BA1833&gt;0),SUMIFS($BA$7:$BA$1843,$CC$7:$CC$1843,CC1833,$BD$7:$BD$1843,"&gt;"&amp;BD1833)+SUMIFS($BA$7:$BA$1843,$CC$7:$CC$1843,CC1833,$BD$7:$BD$1843,BD1833,$BT$7:$BT$1843,"&lt;="&amp;BT1833),"")</f>
        <v/>
      </c>
      <c r="BF1833" s="58" t="n">
        <f aca="false">IF(BE1833="",0,MAX(0,MIN(1,(IF(CC1833="L1",Parameter!$H$5,IF(CC1833="L23",Parameter!$H$6+Parameter!$H$7,Parameter!$H$5+Parameter!$H$6+Parameter!$H$7))-(BE1833-BA1833))/BA1833)))</f>
        <v>0</v>
      </c>
      <c r="BG1833" s="48" t="str">
        <f aca="false">IF(AI1833&lt;=0,"",IF(CC1833="Aussen","Aussenlager",IF(CC1833="-","Nicht im Lift",IF(AN1833&gt;=1,"Lift",IF(AN1833&lt;=0,"Aussenlager","teilweise")))))</f>
        <v/>
      </c>
      <c r="BH1833" s="48" t="str">
        <f aca="false">IF(AR1833&lt;=0,"",IF(CC1833="Aussen","Aussenlager",IF(CC1833="-","Nicht im Lift",IF(AW1833&gt;=1,"Lift",IF(AW1833&lt;=0,"Aussenlager","teilweise")))))</f>
        <v/>
      </c>
      <c r="BI1833" s="48" t="str">
        <f aca="false">IF(BA1833&lt;=0,"",IF(CC1833="Aussen","Aussenlager",IF(CC1833="-","Nicht im Lift",IF(BF1833&gt;=1,"Lift",IF(BF1833&lt;=0,"Aussenlager","teilweise")))))</f>
        <v/>
      </c>
      <c r="BJ1833" s="48" t="str">
        <f aca="false">IF(A1833="","",IF(BS1833=1,"Neu; ","")&amp;IF(AND(BS1833=0,BN1833&lt;0),"negativer Bestand (Export "&amp;BN1833&amp;"); ","")&amp;IF(J1833&lt;=0,"Kein Verbrauch; ","")&amp;IF(CL1833&gt;0,"Lift "&amp;W1833&amp;" lt. Liftbericht (Fach "&amp;X1833&amp;" Stk); ",IF(BX1833=1,"Gebinde geschätzt ("&amp;T1833&amp;"); ",IF(BW1833=1,"Lose – Tablare geschätzt; ","")))&amp;IF(H1833&gt;AT1833,"Überbestand "&amp;ROUND(H1833-AT1833,0)&amp;" Stk / CHF "&amp;ROUND((H1833-AT1833)*G1833,0)&amp;"; ","")&amp;IF(AND(CE1833=1,CF1833&lt;CG1833),"MAX &lt; MB+LG; ","")&amp;IF(AND(CK1833&gt;0,CJ1833*10&gt;CK1833),"zu hoch für Tablar; ","")&amp;IF(AND(BS1833=0,OR(CE1833=1,AA1833&lt;&gt;"",U1833&lt;&gt;"",V1833&lt;&gt;"",AB1833&lt;&gt;"")),"manuell übersteuert; ","")&amp;IF(AND(BW1833=0,R1833=0),"Gebinde unbekannt / Stellmass fehlt; ","")&amp;IF(AND(BW1833=0,N(V1833)&lt;=0,N(Q1833)&lt;=0),"Menge pro Gebinde fehlt (Ist = 1 Gebinde); ","")&amp;BR1833)</f>
        <v/>
      </c>
      <c r="BK1833" s="48"/>
      <c r="BL1833" s="48"/>
      <c r="BM1833" s="55"/>
      <c r="BN1833" s="50" t="n">
        <f aca="false">N('Neue Artikel'!$D$94)</f>
        <v>0</v>
      </c>
      <c r="BO1833" s="50" t="n">
        <v>0</v>
      </c>
      <c r="BP1833" s="49" t="n">
        <v>0</v>
      </c>
      <c r="BQ1833" s="50" t="n">
        <f aca="false">N('Neue Artikel'!$C$94)/Parameter!$B$18</f>
        <v>0</v>
      </c>
      <c r="BR1833" s="48"/>
      <c r="BS1833" s="53" t="n">
        <v>1</v>
      </c>
      <c r="BT1833" s="53" t="n">
        <v>1833</v>
      </c>
      <c r="BU1833" s="48" t="str">
        <f aca="false">IF(U1833&lt;&gt;"",UPPER(TRIM(U1833)),IF(BX1833=1,UPPER(VLOOKUP(T1833,Parameter!$I$27:$K$29,2,0)),IF(P1833="","LOSE",P1833)))</f>
        <v>LOSE</v>
      </c>
      <c r="BV1833" s="50" t="n">
        <f aca="false">IF(BU1833="LOSE",1,IF(N(V1833)&gt;0,V1833,IF(BX1833=1,MAX(1,N(VLOOKUP(T1833,Parameter!$I$27:$K$29,3,0)),H1833,N(N1833)),IF(N(Q1833)&gt;0,Q1833,MAX(1,H1833)))))</f>
        <v>1</v>
      </c>
      <c r="BW1833" s="53" t="n">
        <f aca="false">IF(BU1833="LOSE",1,0)</f>
        <v>1</v>
      </c>
      <c r="BX1833" s="53" t="n">
        <f aca="false">IF(AND(U1833="",OR(P1833="",P1833="LOSE"),T1833&lt;&gt;"",N(S1833)&lt;=0,ISNUMBER(MATCH(T1833,Parameter!$I$27:$I$29,0))),1,0)</f>
        <v>0</v>
      </c>
      <c r="BY1833" s="53" t="n">
        <f aca="false">IF(CL1833&gt;0,INDEX(Parameter!$H$5:$H$7,W1833)/INDEX(Parameter!$E$5:$E$7,W1833),IF(AND(BW1833=0,N(IFERROR(VLOOKUP(BU1833,'Gebinde-Kategorie'!$A$5:$N$45,14,0),0))&gt;0),VLOOKUP(BU1833,'Gebinde-Kategorie'!$A$5:$N$45,14,0)*10+Parameter!$M$23,Parameter!$M$24))</f>
        <v>235</v>
      </c>
      <c r="BZ1833" s="48" t="str">
        <f aca="false">IF(AND(Parameter!$B$19="Ja",E1833&lt;&gt;"",ISNUMBER(MATCH(E1833,Parameter!$I$35:$I$52,0))),VLOOKUP(E1833,Parameter!$I$35:$J$52,2,0),IFERROR(VLOOKUP(D1833,Parameter!$A$35:$C$64,2,0),"Nein"))</f>
        <v>2+3</v>
      </c>
      <c r="CA1833" s="52" t="n">
        <f aca="false">IF(BW1833=0,0,IF(N(S1833)&gt;0,S1833,IFERROR(VLOOKUP(D1833,Parameter!$A$35:$C$64,3,0)+0,0)))</f>
        <v>0.15</v>
      </c>
      <c r="CB1833" s="48" t="str">
        <f aca="false">IF(AA1833&lt;&gt;"",AA1833,Z1833)</f>
        <v/>
      </c>
      <c r="CC1833" s="48" t="str">
        <f aca="false">IF(OR(CB1833=1,CB1833=2,CB1833=3),IF(Parameter!$E$27="Ja","LIFT",IF(CB1833=1,"L1","L23")),IF(CB1833="Aussen","Aussen","-"))</f>
        <v>-</v>
      </c>
      <c r="CD1833" s="59" t="n">
        <f aca="false">IF(N(AB1833)&gt;0,AB1833,0)</f>
        <v>0</v>
      </c>
      <c r="CE1833" s="53" t="n">
        <f aca="false">IF(ISNUMBER(AE1833),1,0)</f>
        <v>0</v>
      </c>
      <c r="CF1833" s="50" t="n">
        <f aca="false">N(AE1833)</f>
        <v>0</v>
      </c>
      <c r="CG1833" s="50" t="n">
        <f aca="false">N(M1833)+N(N1833)</f>
        <v>0</v>
      </c>
      <c r="CH1833" s="50" t="n">
        <f aca="false">ROUNDUP(H1833/BV1833,0)</f>
        <v>0</v>
      </c>
      <c r="CI1833" s="50" t="n">
        <f aca="false">ROUNDUP(CF1833/BV1833,0)</f>
        <v>0</v>
      </c>
      <c r="CJ1833" s="53" t="n">
        <f aca="false">IF(BW1833=1,0,IFERROR(VLOOKUP(BU1833,'Gebinde-Kategorie'!$A$5:$N$45,5,0)+0,0))</f>
        <v>0</v>
      </c>
      <c r="CK1833" s="53" t="n">
        <f aca="false">IFERROR(IF(OR(CB1833=1,CB1833=2,CB1833=3),N(INDEX(Parameter!$I$5:$I$7,CB1833)),0),0)</f>
        <v>0</v>
      </c>
      <c r="CL1833" s="52" t="n">
        <f aca="false">IF(AND(Parameter!$B$21="Ja",ISNUMBER(W1833),N(X1833)&gt;0),IFERROR(N(INDEX(Parameter!$L$5:$L$7,W1833))*INDEX(Parameter!$E$5:$E$7,W1833)*X1833/SUMIFS($X$7:$X$1843,$W$7:$W$1843,W1833),0),0)</f>
        <v>0</v>
      </c>
    </row>
    <row r="1834" customFormat="false" ht="15" hidden="false" customHeight="false" outlineLevel="0" collapsed="false">
      <c r="A1834" s="48" t="str">
        <f aca="false">IF('Neue Artikel'!$A$95="","",'Neue Artikel'!$A$95&amp;"")</f>
        <v/>
      </c>
      <c r="B1834" s="48" t="str">
        <f aca="false">'Neue Artikel'!$B$95&amp;""</f>
        <v/>
      </c>
      <c r="C1834" s="48"/>
      <c r="D1834" s="48" t="s">
        <v>3019</v>
      </c>
      <c r="E1834" s="48"/>
      <c r="F1834" s="48"/>
      <c r="G1834" s="49" t="n">
        <f aca="false">N('Neue Artikel'!$G$95)</f>
        <v>0</v>
      </c>
      <c r="H1834" s="50" t="n">
        <f aca="false">MAX(0,IF(AND(Parameter!$B$21="Ja",ISNUMBER(Y1834)),Y1834,IF(Parameter!$B$20="Jahresanfang 2025 + Export",BO1834+BN1834,BN1834)))</f>
        <v>0</v>
      </c>
      <c r="I1834" s="50" t="n">
        <f aca="false">H1834*G1834</f>
        <v>0</v>
      </c>
      <c r="J1834" s="50" t="n">
        <f aca="false">BQ1834*Parameter!$B$18</f>
        <v>0</v>
      </c>
      <c r="K1834" s="51"/>
      <c r="L1834" s="52"/>
      <c r="M1834" s="50" t="n">
        <f aca="false">N('Neue Artikel'!$E$95)</f>
        <v>0</v>
      </c>
      <c r="N1834" s="50" t="n">
        <f aca="false">N('Neue Artikel'!$F$95)</f>
        <v>0</v>
      </c>
      <c r="O1834" s="53"/>
      <c r="P1834" s="48" t="str">
        <f aca="false">IF('Neue Artikel'!$H$95="","LOSE",UPPER(TRIM('Neue Artikel'!$H$95)))</f>
        <v>LOSE</v>
      </c>
      <c r="Q1834" s="50" t="n">
        <f aca="false">N('Neue Artikel'!$I$95)</f>
        <v>0</v>
      </c>
      <c r="R1834" s="53" t="n">
        <f aca="false">IF(BW1834=1,0,IFERROR(VLOOKUP(BU1834,'Gebinde-Kategorie'!$A$5:$N$45,13,0)+0,0))</f>
        <v>0</v>
      </c>
      <c r="S1834" s="54"/>
      <c r="T1834" s="55"/>
      <c r="U1834" s="55"/>
      <c r="V1834" s="55"/>
      <c r="W1834" s="48"/>
      <c r="X1834" s="50"/>
      <c r="Y1834" s="50"/>
      <c r="Z1834" s="48" t="str">
        <f aca="false">IF(A1834="","",IF(AND(Parameter!$B$21="Ja",ISNUMBER(W1834)),W1834,IF(BZ1834="2+3",IF(ISNUMBER(SEARCH("grosser Artikel",BR1834)),2,IFERROR(VLOOKUP(BU1834,Parameter!$F$35:$G$64,2,0),2)),IF(OR(BZ1834="Nein",BZ1834=""),"-",BZ1834))))</f>
        <v/>
      </c>
      <c r="AA1834" s="48" t="str">
        <f aca="false">IF('Neue Artikel'!$J$95="","",'Neue Artikel'!$J$95)</f>
        <v/>
      </c>
      <c r="AB1834" s="56"/>
      <c r="AC1834" s="50" t="n">
        <f aca="false">AT1834</f>
        <v>0</v>
      </c>
      <c r="AD1834" s="50" t="n">
        <f aca="false">MAX(AT1834,H1834)</f>
        <v>0</v>
      </c>
      <c r="AE1834" s="57"/>
      <c r="AF1834" s="50" t="n">
        <f aca="false">IF(LEFT(Cockpit!$C$5,1)="A",H1834,IF(CE1834=1,CF1834,IF(LEFT(Cockpit!$C$5,1)="B",AK1834,MAX(AK1834,H1834))))</f>
        <v>0</v>
      </c>
      <c r="AG1834" s="50" t="n">
        <f aca="false">IF(BW1834=1,0,ROUNDUP(AF1834/BV1834,0))</f>
        <v>0</v>
      </c>
      <c r="AH1834" s="52" t="n">
        <f aca="false">IF(CL1834&gt;0,CL1834*MAX(1,AF1834/X1834),IF(BW1834=1,IF(AF1834&lt;=0,0,CA1834*MAX(1,IF(H1834&gt;0,AF1834/H1834,1))),IF(R1834&gt;0,AG1834/R1834,0))/MAX(0.1,N(Parameter!$M$21)))</f>
        <v>0</v>
      </c>
      <c r="AI1834" s="50" t="n">
        <f aca="false">AH1834*BY1834</f>
        <v>0</v>
      </c>
      <c r="AJ1834" s="50" t="n">
        <f aca="false">AF1834*G1834</f>
        <v>0</v>
      </c>
      <c r="AK1834" s="50" t="n">
        <f aca="false">ROUNDUP(MAX(J1834/IF(CD1834&gt;0,CD1834,MAX(0.1,N(Cockpit!$C$6))),CG1834)/BV1834,0)*BV1834</f>
        <v>0</v>
      </c>
      <c r="AL1834" s="51" t="n">
        <f aca="false">IF(AI1834&gt;0,J1834/AI1834,-1)</f>
        <v>-1</v>
      </c>
      <c r="AM1834" s="51" t="str">
        <f aca="false">IF(AND(OR(CC1834="L1",CC1834="L23",CC1834="LIFT"),AI1834&gt;0),SUMIFS($AI$7:$AI$1843,$CC$7:$CC$1843,CC1834,$AL$7:$AL$1843,"&gt;"&amp;AL1834)+SUMIFS($AI$7:$AI$1843,$CC$7:$CC$1843,CC1834,$AL$7:$AL$1843,AL1834,$BT$7:$BT$1843,"&lt;="&amp;BT1834),"")</f>
        <v/>
      </c>
      <c r="AN1834" s="58" t="n">
        <f aca="false">IF(AM1834="",0,MAX(0,MIN(1,(IF(CC1834="L1",Parameter!$H$5,IF(CC1834="L23",Parameter!$H$6+Parameter!$H$7,Parameter!$H$5+Parameter!$H$6+Parameter!$H$7))-(AM1834-AI1834))/AI1834)))</f>
        <v>0</v>
      </c>
      <c r="AO1834" s="50" t="n">
        <f aca="false">IF(LEFT(Cockpit!$I$5,1)="A",H1834,IF(CE1834=1,CF1834,IF(LEFT(Cockpit!$I$5,1)="B",AT1834,MAX(AT1834,H1834))))</f>
        <v>0</v>
      </c>
      <c r="AP1834" s="50" t="n">
        <f aca="false">IF(BW1834=1,0,ROUNDUP(AO1834/BV1834,0))</f>
        <v>0</v>
      </c>
      <c r="AQ1834" s="52" t="n">
        <f aca="false">IF(CL1834&gt;0,CL1834*MAX(1,AO1834/X1834),IF(BW1834=1,IF(AO1834&lt;=0,0,CA1834*MAX(1,IF(H1834&gt;0,AO1834/H1834,1))),IF(R1834&gt;0,AP1834/R1834,0))/MAX(0.1,N(Parameter!$M$21)))</f>
        <v>0</v>
      </c>
      <c r="AR1834" s="50" t="n">
        <f aca="false">AQ1834*BY1834</f>
        <v>0</v>
      </c>
      <c r="AS1834" s="50" t="n">
        <f aca="false">AO1834*G1834</f>
        <v>0</v>
      </c>
      <c r="AT1834" s="50" t="n">
        <f aca="false">ROUNDUP(MAX(J1834/IF(CD1834&gt;0,CD1834,MAX(0.1,N(Cockpit!$I$6))),CG1834)/BV1834,0)*BV1834</f>
        <v>0</v>
      </c>
      <c r="AU1834" s="51" t="n">
        <f aca="false">IF(AR1834&gt;0,J1834/AR1834,-1)</f>
        <v>-1</v>
      </c>
      <c r="AV1834" s="51" t="str">
        <f aca="false">IF(AND(OR(CC1834="L1",CC1834="L23",CC1834="LIFT"),AR1834&gt;0),SUMIFS($AR$7:$AR$1843,$CC$7:$CC$1843,CC1834,$AU$7:$AU$1843,"&gt;"&amp;AU1834)+SUMIFS($AR$7:$AR$1843,$CC$7:$CC$1843,CC1834,$AU$7:$AU$1843,AU1834,$BT$7:$BT$1843,"&lt;="&amp;BT1834),"")</f>
        <v/>
      </c>
      <c r="AW1834" s="58" t="n">
        <f aca="false">IF(AV1834="",0,MAX(0,MIN(1,(IF(CC1834="L1",Parameter!$H$5,IF(CC1834="L23",Parameter!$H$6+Parameter!$H$7,Parameter!$H$5+Parameter!$H$6+Parameter!$H$7))-(AV1834-AR1834))/AR1834)))</f>
        <v>0</v>
      </c>
      <c r="AX1834" s="50" t="n">
        <f aca="false">IF(LEFT(Cockpit!$O$5,1)="A",H1834,IF(CE1834=1,CF1834,IF(LEFT(Cockpit!$O$5,1)="B",BC1834,MAX(BC1834,H1834))))</f>
        <v>0</v>
      </c>
      <c r="AY1834" s="50" t="n">
        <f aca="false">IF(BW1834=1,0,ROUNDUP(AX1834/BV1834,0))</f>
        <v>0</v>
      </c>
      <c r="AZ1834" s="52" t="n">
        <f aca="false">IF(CL1834&gt;0,CL1834*MAX(1,AX1834/X1834),IF(BW1834=1,IF(AX1834&lt;=0,0,CA1834*MAX(1,IF(H1834&gt;0,AX1834/H1834,1))),IF(R1834&gt;0,AY1834/R1834,0))/MAX(0.1,N(Parameter!$M$21)))</f>
        <v>0</v>
      </c>
      <c r="BA1834" s="50" t="n">
        <f aca="false">AZ1834*BY1834</f>
        <v>0</v>
      </c>
      <c r="BB1834" s="50" t="n">
        <f aca="false">AX1834*G1834</f>
        <v>0</v>
      </c>
      <c r="BC1834" s="50" t="n">
        <f aca="false">ROUNDUP(MAX(J1834/IF(CD1834&gt;0,CD1834,MAX(0.1,N(Cockpit!$O$6))),CG1834)/BV1834,0)*BV1834</f>
        <v>0</v>
      </c>
      <c r="BD1834" s="51" t="n">
        <f aca="false">IF(BA1834&gt;0,J1834/BA1834,-1)</f>
        <v>-1</v>
      </c>
      <c r="BE1834" s="51" t="str">
        <f aca="false">IF(AND(OR(CC1834="L1",CC1834="L23",CC1834="LIFT"),BA1834&gt;0),SUMIFS($BA$7:$BA$1843,$CC$7:$CC$1843,CC1834,$BD$7:$BD$1843,"&gt;"&amp;BD1834)+SUMIFS($BA$7:$BA$1843,$CC$7:$CC$1843,CC1834,$BD$7:$BD$1843,BD1834,$BT$7:$BT$1843,"&lt;="&amp;BT1834),"")</f>
        <v/>
      </c>
      <c r="BF1834" s="58" t="n">
        <f aca="false">IF(BE1834="",0,MAX(0,MIN(1,(IF(CC1834="L1",Parameter!$H$5,IF(CC1834="L23",Parameter!$H$6+Parameter!$H$7,Parameter!$H$5+Parameter!$H$6+Parameter!$H$7))-(BE1834-BA1834))/BA1834)))</f>
        <v>0</v>
      </c>
      <c r="BG1834" s="48" t="str">
        <f aca="false">IF(AI1834&lt;=0,"",IF(CC1834="Aussen","Aussenlager",IF(CC1834="-","Nicht im Lift",IF(AN1834&gt;=1,"Lift",IF(AN1834&lt;=0,"Aussenlager","teilweise")))))</f>
        <v/>
      </c>
      <c r="BH1834" s="48" t="str">
        <f aca="false">IF(AR1834&lt;=0,"",IF(CC1834="Aussen","Aussenlager",IF(CC1834="-","Nicht im Lift",IF(AW1834&gt;=1,"Lift",IF(AW1834&lt;=0,"Aussenlager","teilweise")))))</f>
        <v/>
      </c>
      <c r="BI1834" s="48" t="str">
        <f aca="false">IF(BA1834&lt;=0,"",IF(CC1834="Aussen","Aussenlager",IF(CC1834="-","Nicht im Lift",IF(BF1834&gt;=1,"Lift",IF(BF1834&lt;=0,"Aussenlager","teilweise")))))</f>
        <v/>
      </c>
      <c r="BJ1834" s="48" t="str">
        <f aca="false">IF(A1834="","",IF(BS1834=1,"Neu; ","")&amp;IF(AND(BS1834=0,BN1834&lt;0),"negativer Bestand (Export "&amp;BN1834&amp;"); ","")&amp;IF(J1834&lt;=0,"Kein Verbrauch; ","")&amp;IF(CL1834&gt;0,"Lift "&amp;W1834&amp;" lt. Liftbericht (Fach "&amp;X1834&amp;" Stk); ",IF(BX1834=1,"Gebinde geschätzt ("&amp;T1834&amp;"); ",IF(BW1834=1,"Lose – Tablare geschätzt; ","")))&amp;IF(H1834&gt;AT1834,"Überbestand "&amp;ROUND(H1834-AT1834,0)&amp;" Stk / CHF "&amp;ROUND((H1834-AT1834)*G1834,0)&amp;"; ","")&amp;IF(AND(CE1834=1,CF1834&lt;CG1834),"MAX &lt; MB+LG; ","")&amp;IF(AND(CK1834&gt;0,CJ1834*10&gt;CK1834),"zu hoch für Tablar; ","")&amp;IF(AND(BS1834=0,OR(CE1834=1,AA1834&lt;&gt;"",U1834&lt;&gt;"",V1834&lt;&gt;"",AB1834&lt;&gt;"")),"manuell übersteuert; ","")&amp;IF(AND(BW1834=0,R1834=0),"Gebinde unbekannt / Stellmass fehlt; ","")&amp;IF(AND(BW1834=0,N(V1834)&lt;=0,N(Q1834)&lt;=0),"Menge pro Gebinde fehlt (Ist = 1 Gebinde); ","")&amp;BR1834)</f>
        <v/>
      </c>
      <c r="BK1834" s="48"/>
      <c r="BL1834" s="48"/>
      <c r="BM1834" s="55"/>
      <c r="BN1834" s="50" t="n">
        <f aca="false">N('Neue Artikel'!$D$95)</f>
        <v>0</v>
      </c>
      <c r="BO1834" s="50" t="n">
        <v>0</v>
      </c>
      <c r="BP1834" s="49" t="n">
        <v>0</v>
      </c>
      <c r="BQ1834" s="50" t="n">
        <f aca="false">N('Neue Artikel'!$C$95)/Parameter!$B$18</f>
        <v>0</v>
      </c>
      <c r="BR1834" s="48"/>
      <c r="BS1834" s="53" t="n">
        <v>1</v>
      </c>
      <c r="BT1834" s="53" t="n">
        <v>1834</v>
      </c>
      <c r="BU1834" s="48" t="str">
        <f aca="false">IF(U1834&lt;&gt;"",UPPER(TRIM(U1834)),IF(BX1834=1,UPPER(VLOOKUP(T1834,Parameter!$I$27:$K$29,2,0)),IF(P1834="","LOSE",P1834)))</f>
        <v>LOSE</v>
      </c>
      <c r="BV1834" s="50" t="n">
        <f aca="false">IF(BU1834="LOSE",1,IF(N(V1834)&gt;0,V1834,IF(BX1834=1,MAX(1,N(VLOOKUP(T1834,Parameter!$I$27:$K$29,3,0)),H1834,N(N1834)),IF(N(Q1834)&gt;0,Q1834,MAX(1,H1834)))))</f>
        <v>1</v>
      </c>
      <c r="BW1834" s="53" t="n">
        <f aca="false">IF(BU1834="LOSE",1,0)</f>
        <v>1</v>
      </c>
      <c r="BX1834" s="53" t="n">
        <f aca="false">IF(AND(U1834="",OR(P1834="",P1834="LOSE"),T1834&lt;&gt;"",N(S1834)&lt;=0,ISNUMBER(MATCH(T1834,Parameter!$I$27:$I$29,0))),1,0)</f>
        <v>0</v>
      </c>
      <c r="BY1834" s="53" t="n">
        <f aca="false">IF(CL1834&gt;0,INDEX(Parameter!$H$5:$H$7,W1834)/INDEX(Parameter!$E$5:$E$7,W1834),IF(AND(BW1834=0,N(IFERROR(VLOOKUP(BU1834,'Gebinde-Kategorie'!$A$5:$N$45,14,0),0))&gt;0),VLOOKUP(BU1834,'Gebinde-Kategorie'!$A$5:$N$45,14,0)*10+Parameter!$M$23,Parameter!$M$24))</f>
        <v>235</v>
      </c>
      <c r="BZ1834" s="48" t="str">
        <f aca="false">IF(AND(Parameter!$B$19="Ja",E1834&lt;&gt;"",ISNUMBER(MATCH(E1834,Parameter!$I$35:$I$52,0))),VLOOKUP(E1834,Parameter!$I$35:$J$52,2,0),IFERROR(VLOOKUP(D1834,Parameter!$A$35:$C$64,2,0),"Nein"))</f>
        <v>2+3</v>
      </c>
      <c r="CA1834" s="52" t="n">
        <f aca="false">IF(BW1834=0,0,IF(N(S1834)&gt;0,S1834,IFERROR(VLOOKUP(D1834,Parameter!$A$35:$C$64,3,0)+0,0)))</f>
        <v>0.15</v>
      </c>
      <c r="CB1834" s="48" t="str">
        <f aca="false">IF(AA1834&lt;&gt;"",AA1834,Z1834)</f>
        <v/>
      </c>
      <c r="CC1834" s="48" t="str">
        <f aca="false">IF(OR(CB1834=1,CB1834=2,CB1834=3),IF(Parameter!$E$27="Ja","LIFT",IF(CB1834=1,"L1","L23")),IF(CB1834="Aussen","Aussen","-"))</f>
        <v>-</v>
      </c>
      <c r="CD1834" s="59" t="n">
        <f aca="false">IF(N(AB1834)&gt;0,AB1834,0)</f>
        <v>0</v>
      </c>
      <c r="CE1834" s="53" t="n">
        <f aca="false">IF(ISNUMBER(AE1834),1,0)</f>
        <v>0</v>
      </c>
      <c r="CF1834" s="50" t="n">
        <f aca="false">N(AE1834)</f>
        <v>0</v>
      </c>
      <c r="CG1834" s="50" t="n">
        <f aca="false">N(M1834)+N(N1834)</f>
        <v>0</v>
      </c>
      <c r="CH1834" s="50" t="n">
        <f aca="false">ROUNDUP(H1834/BV1834,0)</f>
        <v>0</v>
      </c>
      <c r="CI1834" s="50" t="n">
        <f aca="false">ROUNDUP(CF1834/BV1834,0)</f>
        <v>0</v>
      </c>
      <c r="CJ1834" s="53" t="n">
        <f aca="false">IF(BW1834=1,0,IFERROR(VLOOKUP(BU1834,'Gebinde-Kategorie'!$A$5:$N$45,5,0)+0,0))</f>
        <v>0</v>
      </c>
      <c r="CK1834" s="53" t="n">
        <f aca="false">IFERROR(IF(OR(CB1834=1,CB1834=2,CB1834=3),N(INDEX(Parameter!$I$5:$I$7,CB1834)),0),0)</f>
        <v>0</v>
      </c>
      <c r="CL1834" s="52" t="n">
        <f aca="false">IF(AND(Parameter!$B$21="Ja",ISNUMBER(W1834),N(X1834)&gt;0),IFERROR(N(INDEX(Parameter!$L$5:$L$7,W1834))*INDEX(Parameter!$E$5:$E$7,W1834)*X1834/SUMIFS($X$7:$X$1843,$W$7:$W$1843,W1834),0),0)</f>
        <v>0</v>
      </c>
    </row>
    <row r="1835" customFormat="false" ht="15" hidden="false" customHeight="false" outlineLevel="0" collapsed="false">
      <c r="A1835" s="48" t="str">
        <f aca="false">IF('Neue Artikel'!$A$96="","",'Neue Artikel'!$A$96&amp;"")</f>
        <v/>
      </c>
      <c r="B1835" s="48" t="str">
        <f aca="false">'Neue Artikel'!$B$96&amp;""</f>
        <v/>
      </c>
      <c r="C1835" s="48"/>
      <c r="D1835" s="48" t="s">
        <v>3019</v>
      </c>
      <c r="E1835" s="48"/>
      <c r="F1835" s="48"/>
      <c r="G1835" s="49" t="n">
        <f aca="false">N('Neue Artikel'!$G$96)</f>
        <v>0</v>
      </c>
      <c r="H1835" s="50" t="n">
        <f aca="false">MAX(0,IF(AND(Parameter!$B$21="Ja",ISNUMBER(Y1835)),Y1835,IF(Parameter!$B$20="Jahresanfang 2025 + Export",BO1835+BN1835,BN1835)))</f>
        <v>0</v>
      </c>
      <c r="I1835" s="50" t="n">
        <f aca="false">H1835*G1835</f>
        <v>0</v>
      </c>
      <c r="J1835" s="50" t="n">
        <f aca="false">BQ1835*Parameter!$B$18</f>
        <v>0</v>
      </c>
      <c r="K1835" s="51"/>
      <c r="L1835" s="52"/>
      <c r="M1835" s="50" t="n">
        <f aca="false">N('Neue Artikel'!$E$96)</f>
        <v>0</v>
      </c>
      <c r="N1835" s="50" t="n">
        <f aca="false">N('Neue Artikel'!$F$96)</f>
        <v>0</v>
      </c>
      <c r="O1835" s="53"/>
      <c r="P1835" s="48" t="str">
        <f aca="false">IF('Neue Artikel'!$H$96="","LOSE",UPPER(TRIM('Neue Artikel'!$H$96)))</f>
        <v>LOSE</v>
      </c>
      <c r="Q1835" s="50" t="n">
        <f aca="false">N('Neue Artikel'!$I$96)</f>
        <v>0</v>
      </c>
      <c r="R1835" s="53" t="n">
        <f aca="false">IF(BW1835=1,0,IFERROR(VLOOKUP(BU1835,'Gebinde-Kategorie'!$A$5:$N$45,13,0)+0,0))</f>
        <v>0</v>
      </c>
      <c r="S1835" s="54"/>
      <c r="T1835" s="55"/>
      <c r="U1835" s="55"/>
      <c r="V1835" s="55"/>
      <c r="W1835" s="48"/>
      <c r="X1835" s="50"/>
      <c r="Y1835" s="50"/>
      <c r="Z1835" s="48" t="str">
        <f aca="false">IF(A1835="","",IF(AND(Parameter!$B$21="Ja",ISNUMBER(W1835)),W1835,IF(BZ1835="2+3",IF(ISNUMBER(SEARCH("grosser Artikel",BR1835)),2,IFERROR(VLOOKUP(BU1835,Parameter!$F$35:$G$64,2,0),2)),IF(OR(BZ1835="Nein",BZ1835=""),"-",BZ1835))))</f>
        <v/>
      </c>
      <c r="AA1835" s="48" t="str">
        <f aca="false">IF('Neue Artikel'!$J$96="","",'Neue Artikel'!$J$96)</f>
        <v/>
      </c>
      <c r="AB1835" s="56"/>
      <c r="AC1835" s="50" t="n">
        <f aca="false">AT1835</f>
        <v>0</v>
      </c>
      <c r="AD1835" s="50" t="n">
        <f aca="false">MAX(AT1835,H1835)</f>
        <v>0</v>
      </c>
      <c r="AE1835" s="57"/>
      <c r="AF1835" s="50" t="n">
        <f aca="false">IF(LEFT(Cockpit!$C$5,1)="A",H1835,IF(CE1835=1,CF1835,IF(LEFT(Cockpit!$C$5,1)="B",AK1835,MAX(AK1835,H1835))))</f>
        <v>0</v>
      </c>
      <c r="AG1835" s="50" t="n">
        <f aca="false">IF(BW1835=1,0,ROUNDUP(AF1835/BV1835,0))</f>
        <v>0</v>
      </c>
      <c r="AH1835" s="52" t="n">
        <f aca="false">IF(CL1835&gt;0,CL1835*MAX(1,AF1835/X1835),IF(BW1835=1,IF(AF1835&lt;=0,0,CA1835*MAX(1,IF(H1835&gt;0,AF1835/H1835,1))),IF(R1835&gt;0,AG1835/R1835,0))/MAX(0.1,N(Parameter!$M$21)))</f>
        <v>0</v>
      </c>
      <c r="AI1835" s="50" t="n">
        <f aca="false">AH1835*BY1835</f>
        <v>0</v>
      </c>
      <c r="AJ1835" s="50" t="n">
        <f aca="false">AF1835*G1835</f>
        <v>0</v>
      </c>
      <c r="AK1835" s="50" t="n">
        <f aca="false">ROUNDUP(MAX(J1835/IF(CD1835&gt;0,CD1835,MAX(0.1,N(Cockpit!$C$6))),CG1835)/BV1835,0)*BV1835</f>
        <v>0</v>
      </c>
      <c r="AL1835" s="51" t="n">
        <f aca="false">IF(AI1835&gt;0,J1835/AI1835,-1)</f>
        <v>-1</v>
      </c>
      <c r="AM1835" s="51" t="str">
        <f aca="false">IF(AND(OR(CC1835="L1",CC1835="L23",CC1835="LIFT"),AI1835&gt;0),SUMIFS($AI$7:$AI$1843,$CC$7:$CC$1843,CC1835,$AL$7:$AL$1843,"&gt;"&amp;AL1835)+SUMIFS($AI$7:$AI$1843,$CC$7:$CC$1843,CC1835,$AL$7:$AL$1843,AL1835,$BT$7:$BT$1843,"&lt;="&amp;BT1835),"")</f>
        <v/>
      </c>
      <c r="AN1835" s="58" t="n">
        <f aca="false">IF(AM1835="",0,MAX(0,MIN(1,(IF(CC1835="L1",Parameter!$H$5,IF(CC1835="L23",Parameter!$H$6+Parameter!$H$7,Parameter!$H$5+Parameter!$H$6+Parameter!$H$7))-(AM1835-AI1835))/AI1835)))</f>
        <v>0</v>
      </c>
      <c r="AO1835" s="50" t="n">
        <f aca="false">IF(LEFT(Cockpit!$I$5,1)="A",H1835,IF(CE1835=1,CF1835,IF(LEFT(Cockpit!$I$5,1)="B",AT1835,MAX(AT1835,H1835))))</f>
        <v>0</v>
      </c>
      <c r="AP1835" s="50" t="n">
        <f aca="false">IF(BW1835=1,0,ROUNDUP(AO1835/BV1835,0))</f>
        <v>0</v>
      </c>
      <c r="AQ1835" s="52" t="n">
        <f aca="false">IF(CL1835&gt;0,CL1835*MAX(1,AO1835/X1835),IF(BW1835=1,IF(AO1835&lt;=0,0,CA1835*MAX(1,IF(H1835&gt;0,AO1835/H1835,1))),IF(R1835&gt;0,AP1835/R1835,0))/MAX(0.1,N(Parameter!$M$21)))</f>
        <v>0</v>
      </c>
      <c r="AR1835" s="50" t="n">
        <f aca="false">AQ1835*BY1835</f>
        <v>0</v>
      </c>
      <c r="AS1835" s="50" t="n">
        <f aca="false">AO1835*G1835</f>
        <v>0</v>
      </c>
      <c r="AT1835" s="50" t="n">
        <f aca="false">ROUNDUP(MAX(J1835/IF(CD1835&gt;0,CD1835,MAX(0.1,N(Cockpit!$I$6))),CG1835)/BV1835,0)*BV1835</f>
        <v>0</v>
      </c>
      <c r="AU1835" s="51" t="n">
        <f aca="false">IF(AR1835&gt;0,J1835/AR1835,-1)</f>
        <v>-1</v>
      </c>
      <c r="AV1835" s="51" t="str">
        <f aca="false">IF(AND(OR(CC1835="L1",CC1835="L23",CC1835="LIFT"),AR1835&gt;0),SUMIFS($AR$7:$AR$1843,$CC$7:$CC$1843,CC1835,$AU$7:$AU$1843,"&gt;"&amp;AU1835)+SUMIFS($AR$7:$AR$1843,$CC$7:$CC$1843,CC1835,$AU$7:$AU$1843,AU1835,$BT$7:$BT$1843,"&lt;="&amp;BT1835),"")</f>
        <v/>
      </c>
      <c r="AW1835" s="58" t="n">
        <f aca="false">IF(AV1835="",0,MAX(0,MIN(1,(IF(CC1835="L1",Parameter!$H$5,IF(CC1835="L23",Parameter!$H$6+Parameter!$H$7,Parameter!$H$5+Parameter!$H$6+Parameter!$H$7))-(AV1835-AR1835))/AR1835)))</f>
        <v>0</v>
      </c>
      <c r="AX1835" s="50" t="n">
        <f aca="false">IF(LEFT(Cockpit!$O$5,1)="A",H1835,IF(CE1835=1,CF1835,IF(LEFT(Cockpit!$O$5,1)="B",BC1835,MAX(BC1835,H1835))))</f>
        <v>0</v>
      </c>
      <c r="AY1835" s="50" t="n">
        <f aca="false">IF(BW1835=1,0,ROUNDUP(AX1835/BV1835,0))</f>
        <v>0</v>
      </c>
      <c r="AZ1835" s="52" t="n">
        <f aca="false">IF(CL1835&gt;0,CL1835*MAX(1,AX1835/X1835),IF(BW1835=1,IF(AX1835&lt;=0,0,CA1835*MAX(1,IF(H1835&gt;0,AX1835/H1835,1))),IF(R1835&gt;0,AY1835/R1835,0))/MAX(0.1,N(Parameter!$M$21)))</f>
        <v>0</v>
      </c>
      <c r="BA1835" s="50" t="n">
        <f aca="false">AZ1835*BY1835</f>
        <v>0</v>
      </c>
      <c r="BB1835" s="50" t="n">
        <f aca="false">AX1835*G1835</f>
        <v>0</v>
      </c>
      <c r="BC1835" s="50" t="n">
        <f aca="false">ROUNDUP(MAX(J1835/IF(CD1835&gt;0,CD1835,MAX(0.1,N(Cockpit!$O$6))),CG1835)/BV1835,0)*BV1835</f>
        <v>0</v>
      </c>
      <c r="BD1835" s="51" t="n">
        <f aca="false">IF(BA1835&gt;0,J1835/BA1835,-1)</f>
        <v>-1</v>
      </c>
      <c r="BE1835" s="51" t="str">
        <f aca="false">IF(AND(OR(CC1835="L1",CC1835="L23",CC1835="LIFT"),BA1835&gt;0),SUMIFS($BA$7:$BA$1843,$CC$7:$CC$1843,CC1835,$BD$7:$BD$1843,"&gt;"&amp;BD1835)+SUMIFS($BA$7:$BA$1843,$CC$7:$CC$1843,CC1835,$BD$7:$BD$1843,BD1835,$BT$7:$BT$1843,"&lt;="&amp;BT1835),"")</f>
        <v/>
      </c>
      <c r="BF1835" s="58" t="n">
        <f aca="false">IF(BE1835="",0,MAX(0,MIN(1,(IF(CC1835="L1",Parameter!$H$5,IF(CC1835="L23",Parameter!$H$6+Parameter!$H$7,Parameter!$H$5+Parameter!$H$6+Parameter!$H$7))-(BE1835-BA1835))/BA1835)))</f>
        <v>0</v>
      </c>
      <c r="BG1835" s="48" t="str">
        <f aca="false">IF(AI1835&lt;=0,"",IF(CC1835="Aussen","Aussenlager",IF(CC1835="-","Nicht im Lift",IF(AN1835&gt;=1,"Lift",IF(AN1835&lt;=0,"Aussenlager","teilweise")))))</f>
        <v/>
      </c>
      <c r="BH1835" s="48" t="str">
        <f aca="false">IF(AR1835&lt;=0,"",IF(CC1835="Aussen","Aussenlager",IF(CC1835="-","Nicht im Lift",IF(AW1835&gt;=1,"Lift",IF(AW1835&lt;=0,"Aussenlager","teilweise")))))</f>
        <v/>
      </c>
      <c r="BI1835" s="48" t="str">
        <f aca="false">IF(BA1835&lt;=0,"",IF(CC1835="Aussen","Aussenlager",IF(CC1835="-","Nicht im Lift",IF(BF1835&gt;=1,"Lift",IF(BF1835&lt;=0,"Aussenlager","teilweise")))))</f>
        <v/>
      </c>
      <c r="BJ1835" s="48" t="str">
        <f aca="false">IF(A1835="","",IF(BS1835=1,"Neu; ","")&amp;IF(AND(BS1835=0,BN1835&lt;0),"negativer Bestand (Export "&amp;BN1835&amp;"); ","")&amp;IF(J1835&lt;=0,"Kein Verbrauch; ","")&amp;IF(CL1835&gt;0,"Lift "&amp;W1835&amp;" lt. Liftbericht (Fach "&amp;X1835&amp;" Stk); ",IF(BX1835=1,"Gebinde geschätzt ("&amp;T1835&amp;"); ",IF(BW1835=1,"Lose – Tablare geschätzt; ","")))&amp;IF(H1835&gt;AT1835,"Überbestand "&amp;ROUND(H1835-AT1835,0)&amp;" Stk / CHF "&amp;ROUND((H1835-AT1835)*G1835,0)&amp;"; ","")&amp;IF(AND(CE1835=1,CF1835&lt;CG1835),"MAX &lt; MB+LG; ","")&amp;IF(AND(CK1835&gt;0,CJ1835*10&gt;CK1835),"zu hoch für Tablar; ","")&amp;IF(AND(BS1835=0,OR(CE1835=1,AA1835&lt;&gt;"",U1835&lt;&gt;"",V1835&lt;&gt;"",AB1835&lt;&gt;"")),"manuell übersteuert; ","")&amp;IF(AND(BW1835=0,R1835=0),"Gebinde unbekannt / Stellmass fehlt; ","")&amp;IF(AND(BW1835=0,N(V1835)&lt;=0,N(Q1835)&lt;=0),"Menge pro Gebinde fehlt (Ist = 1 Gebinde); ","")&amp;BR1835)</f>
        <v/>
      </c>
      <c r="BK1835" s="48"/>
      <c r="BL1835" s="48"/>
      <c r="BM1835" s="55"/>
      <c r="BN1835" s="50" t="n">
        <f aca="false">N('Neue Artikel'!$D$96)</f>
        <v>0</v>
      </c>
      <c r="BO1835" s="50" t="n">
        <v>0</v>
      </c>
      <c r="BP1835" s="49" t="n">
        <v>0</v>
      </c>
      <c r="BQ1835" s="50" t="n">
        <f aca="false">N('Neue Artikel'!$C$96)/Parameter!$B$18</f>
        <v>0</v>
      </c>
      <c r="BR1835" s="48"/>
      <c r="BS1835" s="53" t="n">
        <v>1</v>
      </c>
      <c r="BT1835" s="53" t="n">
        <v>1835</v>
      </c>
      <c r="BU1835" s="48" t="str">
        <f aca="false">IF(U1835&lt;&gt;"",UPPER(TRIM(U1835)),IF(BX1835=1,UPPER(VLOOKUP(T1835,Parameter!$I$27:$K$29,2,0)),IF(P1835="","LOSE",P1835)))</f>
        <v>LOSE</v>
      </c>
      <c r="BV1835" s="50" t="n">
        <f aca="false">IF(BU1835="LOSE",1,IF(N(V1835)&gt;0,V1835,IF(BX1835=1,MAX(1,N(VLOOKUP(T1835,Parameter!$I$27:$K$29,3,0)),H1835,N(N1835)),IF(N(Q1835)&gt;0,Q1835,MAX(1,H1835)))))</f>
        <v>1</v>
      </c>
      <c r="BW1835" s="53" t="n">
        <f aca="false">IF(BU1835="LOSE",1,0)</f>
        <v>1</v>
      </c>
      <c r="BX1835" s="53" t="n">
        <f aca="false">IF(AND(U1835="",OR(P1835="",P1835="LOSE"),T1835&lt;&gt;"",N(S1835)&lt;=0,ISNUMBER(MATCH(T1835,Parameter!$I$27:$I$29,0))),1,0)</f>
        <v>0</v>
      </c>
      <c r="BY1835" s="53" t="n">
        <f aca="false">IF(CL1835&gt;0,INDEX(Parameter!$H$5:$H$7,W1835)/INDEX(Parameter!$E$5:$E$7,W1835),IF(AND(BW1835=0,N(IFERROR(VLOOKUP(BU1835,'Gebinde-Kategorie'!$A$5:$N$45,14,0),0))&gt;0),VLOOKUP(BU1835,'Gebinde-Kategorie'!$A$5:$N$45,14,0)*10+Parameter!$M$23,Parameter!$M$24))</f>
        <v>235</v>
      </c>
      <c r="BZ1835" s="48" t="str">
        <f aca="false">IF(AND(Parameter!$B$19="Ja",E1835&lt;&gt;"",ISNUMBER(MATCH(E1835,Parameter!$I$35:$I$52,0))),VLOOKUP(E1835,Parameter!$I$35:$J$52,2,0),IFERROR(VLOOKUP(D1835,Parameter!$A$35:$C$64,2,0),"Nein"))</f>
        <v>2+3</v>
      </c>
      <c r="CA1835" s="52" t="n">
        <f aca="false">IF(BW1835=0,0,IF(N(S1835)&gt;0,S1835,IFERROR(VLOOKUP(D1835,Parameter!$A$35:$C$64,3,0)+0,0)))</f>
        <v>0.15</v>
      </c>
      <c r="CB1835" s="48" t="str">
        <f aca="false">IF(AA1835&lt;&gt;"",AA1835,Z1835)</f>
        <v/>
      </c>
      <c r="CC1835" s="48" t="str">
        <f aca="false">IF(OR(CB1835=1,CB1835=2,CB1835=3),IF(Parameter!$E$27="Ja","LIFT",IF(CB1835=1,"L1","L23")),IF(CB1835="Aussen","Aussen","-"))</f>
        <v>-</v>
      </c>
      <c r="CD1835" s="59" t="n">
        <f aca="false">IF(N(AB1835)&gt;0,AB1835,0)</f>
        <v>0</v>
      </c>
      <c r="CE1835" s="53" t="n">
        <f aca="false">IF(ISNUMBER(AE1835),1,0)</f>
        <v>0</v>
      </c>
      <c r="CF1835" s="50" t="n">
        <f aca="false">N(AE1835)</f>
        <v>0</v>
      </c>
      <c r="CG1835" s="50" t="n">
        <f aca="false">N(M1835)+N(N1835)</f>
        <v>0</v>
      </c>
      <c r="CH1835" s="50" t="n">
        <f aca="false">ROUNDUP(H1835/BV1835,0)</f>
        <v>0</v>
      </c>
      <c r="CI1835" s="50" t="n">
        <f aca="false">ROUNDUP(CF1835/BV1835,0)</f>
        <v>0</v>
      </c>
      <c r="CJ1835" s="53" t="n">
        <f aca="false">IF(BW1835=1,0,IFERROR(VLOOKUP(BU1835,'Gebinde-Kategorie'!$A$5:$N$45,5,0)+0,0))</f>
        <v>0</v>
      </c>
      <c r="CK1835" s="53" t="n">
        <f aca="false">IFERROR(IF(OR(CB1835=1,CB1835=2,CB1835=3),N(INDEX(Parameter!$I$5:$I$7,CB1835)),0),0)</f>
        <v>0</v>
      </c>
      <c r="CL1835" s="52" t="n">
        <f aca="false">IF(AND(Parameter!$B$21="Ja",ISNUMBER(W1835),N(X1835)&gt;0),IFERROR(N(INDEX(Parameter!$L$5:$L$7,W1835))*INDEX(Parameter!$E$5:$E$7,W1835)*X1835/SUMIFS($X$7:$X$1843,$W$7:$W$1843,W1835),0),0)</f>
        <v>0</v>
      </c>
    </row>
    <row r="1836" customFormat="false" ht="15" hidden="false" customHeight="false" outlineLevel="0" collapsed="false">
      <c r="A1836" s="48" t="str">
        <f aca="false">IF('Neue Artikel'!$A$97="","",'Neue Artikel'!$A$97&amp;"")</f>
        <v/>
      </c>
      <c r="B1836" s="48" t="str">
        <f aca="false">'Neue Artikel'!$B$97&amp;""</f>
        <v/>
      </c>
      <c r="C1836" s="48"/>
      <c r="D1836" s="48" t="s">
        <v>3019</v>
      </c>
      <c r="E1836" s="48"/>
      <c r="F1836" s="48"/>
      <c r="G1836" s="49" t="n">
        <f aca="false">N('Neue Artikel'!$G$97)</f>
        <v>0</v>
      </c>
      <c r="H1836" s="50" t="n">
        <f aca="false">MAX(0,IF(AND(Parameter!$B$21="Ja",ISNUMBER(Y1836)),Y1836,IF(Parameter!$B$20="Jahresanfang 2025 + Export",BO1836+BN1836,BN1836)))</f>
        <v>0</v>
      </c>
      <c r="I1836" s="50" t="n">
        <f aca="false">H1836*G1836</f>
        <v>0</v>
      </c>
      <c r="J1836" s="50" t="n">
        <f aca="false">BQ1836*Parameter!$B$18</f>
        <v>0</v>
      </c>
      <c r="K1836" s="51"/>
      <c r="L1836" s="52"/>
      <c r="M1836" s="50" t="n">
        <f aca="false">N('Neue Artikel'!$E$97)</f>
        <v>0</v>
      </c>
      <c r="N1836" s="50" t="n">
        <f aca="false">N('Neue Artikel'!$F$97)</f>
        <v>0</v>
      </c>
      <c r="O1836" s="53"/>
      <c r="P1836" s="48" t="str">
        <f aca="false">IF('Neue Artikel'!$H$97="","LOSE",UPPER(TRIM('Neue Artikel'!$H$97)))</f>
        <v>LOSE</v>
      </c>
      <c r="Q1836" s="50" t="n">
        <f aca="false">N('Neue Artikel'!$I$97)</f>
        <v>0</v>
      </c>
      <c r="R1836" s="53" t="n">
        <f aca="false">IF(BW1836=1,0,IFERROR(VLOOKUP(BU1836,'Gebinde-Kategorie'!$A$5:$N$45,13,0)+0,0))</f>
        <v>0</v>
      </c>
      <c r="S1836" s="54"/>
      <c r="T1836" s="55"/>
      <c r="U1836" s="55"/>
      <c r="V1836" s="55"/>
      <c r="W1836" s="48"/>
      <c r="X1836" s="50"/>
      <c r="Y1836" s="50"/>
      <c r="Z1836" s="48" t="str">
        <f aca="false">IF(A1836="","",IF(AND(Parameter!$B$21="Ja",ISNUMBER(W1836)),W1836,IF(BZ1836="2+3",IF(ISNUMBER(SEARCH("grosser Artikel",BR1836)),2,IFERROR(VLOOKUP(BU1836,Parameter!$F$35:$G$64,2,0),2)),IF(OR(BZ1836="Nein",BZ1836=""),"-",BZ1836))))</f>
        <v/>
      </c>
      <c r="AA1836" s="48" t="str">
        <f aca="false">IF('Neue Artikel'!$J$97="","",'Neue Artikel'!$J$97)</f>
        <v/>
      </c>
      <c r="AB1836" s="56"/>
      <c r="AC1836" s="50" t="n">
        <f aca="false">AT1836</f>
        <v>0</v>
      </c>
      <c r="AD1836" s="50" t="n">
        <f aca="false">MAX(AT1836,H1836)</f>
        <v>0</v>
      </c>
      <c r="AE1836" s="57"/>
      <c r="AF1836" s="50" t="n">
        <f aca="false">IF(LEFT(Cockpit!$C$5,1)="A",H1836,IF(CE1836=1,CF1836,IF(LEFT(Cockpit!$C$5,1)="B",AK1836,MAX(AK1836,H1836))))</f>
        <v>0</v>
      </c>
      <c r="AG1836" s="50" t="n">
        <f aca="false">IF(BW1836=1,0,ROUNDUP(AF1836/BV1836,0))</f>
        <v>0</v>
      </c>
      <c r="AH1836" s="52" t="n">
        <f aca="false">IF(CL1836&gt;0,CL1836*MAX(1,AF1836/X1836),IF(BW1836=1,IF(AF1836&lt;=0,0,CA1836*MAX(1,IF(H1836&gt;0,AF1836/H1836,1))),IF(R1836&gt;0,AG1836/R1836,0))/MAX(0.1,N(Parameter!$M$21)))</f>
        <v>0</v>
      </c>
      <c r="AI1836" s="50" t="n">
        <f aca="false">AH1836*BY1836</f>
        <v>0</v>
      </c>
      <c r="AJ1836" s="50" t="n">
        <f aca="false">AF1836*G1836</f>
        <v>0</v>
      </c>
      <c r="AK1836" s="50" t="n">
        <f aca="false">ROUNDUP(MAX(J1836/IF(CD1836&gt;0,CD1836,MAX(0.1,N(Cockpit!$C$6))),CG1836)/BV1836,0)*BV1836</f>
        <v>0</v>
      </c>
      <c r="AL1836" s="51" t="n">
        <f aca="false">IF(AI1836&gt;0,J1836/AI1836,-1)</f>
        <v>-1</v>
      </c>
      <c r="AM1836" s="51" t="str">
        <f aca="false">IF(AND(OR(CC1836="L1",CC1836="L23",CC1836="LIFT"),AI1836&gt;0),SUMIFS($AI$7:$AI$1843,$CC$7:$CC$1843,CC1836,$AL$7:$AL$1843,"&gt;"&amp;AL1836)+SUMIFS($AI$7:$AI$1843,$CC$7:$CC$1843,CC1836,$AL$7:$AL$1843,AL1836,$BT$7:$BT$1843,"&lt;="&amp;BT1836),"")</f>
        <v/>
      </c>
      <c r="AN1836" s="58" t="n">
        <f aca="false">IF(AM1836="",0,MAX(0,MIN(1,(IF(CC1836="L1",Parameter!$H$5,IF(CC1836="L23",Parameter!$H$6+Parameter!$H$7,Parameter!$H$5+Parameter!$H$6+Parameter!$H$7))-(AM1836-AI1836))/AI1836)))</f>
        <v>0</v>
      </c>
      <c r="AO1836" s="50" t="n">
        <f aca="false">IF(LEFT(Cockpit!$I$5,1)="A",H1836,IF(CE1836=1,CF1836,IF(LEFT(Cockpit!$I$5,1)="B",AT1836,MAX(AT1836,H1836))))</f>
        <v>0</v>
      </c>
      <c r="AP1836" s="50" t="n">
        <f aca="false">IF(BW1836=1,0,ROUNDUP(AO1836/BV1836,0))</f>
        <v>0</v>
      </c>
      <c r="AQ1836" s="52" t="n">
        <f aca="false">IF(CL1836&gt;0,CL1836*MAX(1,AO1836/X1836),IF(BW1836=1,IF(AO1836&lt;=0,0,CA1836*MAX(1,IF(H1836&gt;0,AO1836/H1836,1))),IF(R1836&gt;0,AP1836/R1836,0))/MAX(0.1,N(Parameter!$M$21)))</f>
        <v>0</v>
      </c>
      <c r="AR1836" s="50" t="n">
        <f aca="false">AQ1836*BY1836</f>
        <v>0</v>
      </c>
      <c r="AS1836" s="50" t="n">
        <f aca="false">AO1836*G1836</f>
        <v>0</v>
      </c>
      <c r="AT1836" s="50" t="n">
        <f aca="false">ROUNDUP(MAX(J1836/IF(CD1836&gt;0,CD1836,MAX(0.1,N(Cockpit!$I$6))),CG1836)/BV1836,0)*BV1836</f>
        <v>0</v>
      </c>
      <c r="AU1836" s="51" t="n">
        <f aca="false">IF(AR1836&gt;0,J1836/AR1836,-1)</f>
        <v>-1</v>
      </c>
      <c r="AV1836" s="51" t="str">
        <f aca="false">IF(AND(OR(CC1836="L1",CC1836="L23",CC1836="LIFT"),AR1836&gt;0),SUMIFS($AR$7:$AR$1843,$CC$7:$CC$1843,CC1836,$AU$7:$AU$1843,"&gt;"&amp;AU1836)+SUMIFS($AR$7:$AR$1843,$CC$7:$CC$1843,CC1836,$AU$7:$AU$1843,AU1836,$BT$7:$BT$1843,"&lt;="&amp;BT1836),"")</f>
        <v/>
      </c>
      <c r="AW1836" s="58" t="n">
        <f aca="false">IF(AV1836="",0,MAX(0,MIN(1,(IF(CC1836="L1",Parameter!$H$5,IF(CC1836="L23",Parameter!$H$6+Parameter!$H$7,Parameter!$H$5+Parameter!$H$6+Parameter!$H$7))-(AV1836-AR1836))/AR1836)))</f>
        <v>0</v>
      </c>
      <c r="AX1836" s="50" t="n">
        <f aca="false">IF(LEFT(Cockpit!$O$5,1)="A",H1836,IF(CE1836=1,CF1836,IF(LEFT(Cockpit!$O$5,1)="B",BC1836,MAX(BC1836,H1836))))</f>
        <v>0</v>
      </c>
      <c r="AY1836" s="50" t="n">
        <f aca="false">IF(BW1836=1,0,ROUNDUP(AX1836/BV1836,0))</f>
        <v>0</v>
      </c>
      <c r="AZ1836" s="52" t="n">
        <f aca="false">IF(CL1836&gt;0,CL1836*MAX(1,AX1836/X1836),IF(BW1836=1,IF(AX1836&lt;=0,0,CA1836*MAX(1,IF(H1836&gt;0,AX1836/H1836,1))),IF(R1836&gt;0,AY1836/R1836,0))/MAX(0.1,N(Parameter!$M$21)))</f>
        <v>0</v>
      </c>
      <c r="BA1836" s="50" t="n">
        <f aca="false">AZ1836*BY1836</f>
        <v>0</v>
      </c>
      <c r="BB1836" s="50" t="n">
        <f aca="false">AX1836*G1836</f>
        <v>0</v>
      </c>
      <c r="BC1836" s="50" t="n">
        <f aca="false">ROUNDUP(MAX(J1836/IF(CD1836&gt;0,CD1836,MAX(0.1,N(Cockpit!$O$6))),CG1836)/BV1836,0)*BV1836</f>
        <v>0</v>
      </c>
      <c r="BD1836" s="51" t="n">
        <f aca="false">IF(BA1836&gt;0,J1836/BA1836,-1)</f>
        <v>-1</v>
      </c>
      <c r="BE1836" s="51" t="str">
        <f aca="false">IF(AND(OR(CC1836="L1",CC1836="L23",CC1836="LIFT"),BA1836&gt;0),SUMIFS($BA$7:$BA$1843,$CC$7:$CC$1843,CC1836,$BD$7:$BD$1843,"&gt;"&amp;BD1836)+SUMIFS($BA$7:$BA$1843,$CC$7:$CC$1843,CC1836,$BD$7:$BD$1843,BD1836,$BT$7:$BT$1843,"&lt;="&amp;BT1836),"")</f>
        <v/>
      </c>
      <c r="BF1836" s="58" t="n">
        <f aca="false">IF(BE1836="",0,MAX(0,MIN(1,(IF(CC1836="L1",Parameter!$H$5,IF(CC1836="L23",Parameter!$H$6+Parameter!$H$7,Parameter!$H$5+Parameter!$H$6+Parameter!$H$7))-(BE1836-BA1836))/BA1836)))</f>
        <v>0</v>
      </c>
      <c r="BG1836" s="48" t="str">
        <f aca="false">IF(AI1836&lt;=0,"",IF(CC1836="Aussen","Aussenlager",IF(CC1836="-","Nicht im Lift",IF(AN1836&gt;=1,"Lift",IF(AN1836&lt;=0,"Aussenlager","teilweise")))))</f>
        <v/>
      </c>
      <c r="BH1836" s="48" t="str">
        <f aca="false">IF(AR1836&lt;=0,"",IF(CC1836="Aussen","Aussenlager",IF(CC1836="-","Nicht im Lift",IF(AW1836&gt;=1,"Lift",IF(AW1836&lt;=0,"Aussenlager","teilweise")))))</f>
        <v/>
      </c>
      <c r="BI1836" s="48" t="str">
        <f aca="false">IF(BA1836&lt;=0,"",IF(CC1836="Aussen","Aussenlager",IF(CC1836="-","Nicht im Lift",IF(BF1836&gt;=1,"Lift",IF(BF1836&lt;=0,"Aussenlager","teilweise")))))</f>
        <v/>
      </c>
      <c r="BJ1836" s="48" t="str">
        <f aca="false">IF(A1836="","",IF(BS1836=1,"Neu; ","")&amp;IF(AND(BS1836=0,BN1836&lt;0),"negativer Bestand (Export "&amp;BN1836&amp;"); ","")&amp;IF(J1836&lt;=0,"Kein Verbrauch; ","")&amp;IF(CL1836&gt;0,"Lift "&amp;W1836&amp;" lt. Liftbericht (Fach "&amp;X1836&amp;" Stk); ",IF(BX1836=1,"Gebinde geschätzt ("&amp;T1836&amp;"); ",IF(BW1836=1,"Lose – Tablare geschätzt; ","")))&amp;IF(H1836&gt;AT1836,"Überbestand "&amp;ROUND(H1836-AT1836,0)&amp;" Stk / CHF "&amp;ROUND((H1836-AT1836)*G1836,0)&amp;"; ","")&amp;IF(AND(CE1836=1,CF1836&lt;CG1836),"MAX &lt; MB+LG; ","")&amp;IF(AND(CK1836&gt;0,CJ1836*10&gt;CK1836),"zu hoch für Tablar; ","")&amp;IF(AND(BS1836=0,OR(CE1836=1,AA1836&lt;&gt;"",U1836&lt;&gt;"",V1836&lt;&gt;"",AB1836&lt;&gt;"")),"manuell übersteuert; ","")&amp;IF(AND(BW1836=0,R1836=0),"Gebinde unbekannt / Stellmass fehlt; ","")&amp;IF(AND(BW1836=0,N(V1836)&lt;=0,N(Q1836)&lt;=0),"Menge pro Gebinde fehlt (Ist = 1 Gebinde); ","")&amp;BR1836)</f>
        <v/>
      </c>
      <c r="BK1836" s="48"/>
      <c r="BL1836" s="48"/>
      <c r="BM1836" s="55"/>
      <c r="BN1836" s="50" t="n">
        <f aca="false">N('Neue Artikel'!$D$97)</f>
        <v>0</v>
      </c>
      <c r="BO1836" s="50" t="n">
        <v>0</v>
      </c>
      <c r="BP1836" s="49" t="n">
        <v>0</v>
      </c>
      <c r="BQ1836" s="50" t="n">
        <f aca="false">N('Neue Artikel'!$C$97)/Parameter!$B$18</f>
        <v>0</v>
      </c>
      <c r="BR1836" s="48"/>
      <c r="BS1836" s="53" t="n">
        <v>1</v>
      </c>
      <c r="BT1836" s="53" t="n">
        <v>1836</v>
      </c>
      <c r="BU1836" s="48" t="str">
        <f aca="false">IF(U1836&lt;&gt;"",UPPER(TRIM(U1836)),IF(BX1836=1,UPPER(VLOOKUP(T1836,Parameter!$I$27:$K$29,2,0)),IF(P1836="","LOSE",P1836)))</f>
        <v>LOSE</v>
      </c>
      <c r="BV1836" s="50" t="n">
        <f aca="false">IF(BU1836="LOSE",1,IF(N(V1836)&gt;0,V1836,IF(BX1836=1,MAX(1,N(VLOOKUP(T1836,Parameter!$I$27:$K$29,3,0)),H1836,N(N1836)),IF(N(Q1836)&gt;0,Q1836,MAX(1,H1836)))))</f>
        <v>1</v>
      </c>
      <c r="BW1836" s="53" t="n">
        <f aca="false">IF(BU1836="LOSE",1,0)</f>
        <v>1</v>
      </c>
      <c r="BX1836" s="53" t="n">
        <f aca="false">IF(AND(U1836="",OR(P1836="",P1836="LOSE"),T1836&lt;&gt;"",N(S1836)&lt;=0,ISNUMBER(MATCH(T1836,Parameter!$I$27:$I$29,0))),1,0)</f>
        <v>0</v>
      </c>
      <c r="BY1836" s="53" t="n">
        <f aca="false">IF(CL1836&gt;0,INDEX(Parameter!$H$5:$H$7,W1836)/INDEX(Parameter!$E$5:$E$7,W1836),IF(AND(BW1836=0,N(IFERROR(VLOOKUP(BU1836,'Gebinde-Kategorie'!$A$5:$N$45,14,0),0))&gt;0),VLOOKUP(BU1836,'Gebinde-Kategorie'!$A$5:$N$45,14,0)*10+Parameter!$M$23,Parameter!$M$24))</f>
        <v>235</v>
      </c>
      <c r="BZ1836" s="48" t="str">
        <f aca="false">IF(AND(Parameter!$B$19="Ja",E1836&lt;&gt;"",ISNUMBER(MATCH(E1836,Parameter!$I$35:$I$52,0))),VLOOKUP(E1836,Parameter!$I$35:$J$52,2,0),IFERROR(VLOOKUP(D1836,Parameter!$A$35:$C$64,2,0),"Nein"))</f>
        <v>2+3</v>
      </c>
      <c r="CA1836" s="52" t="n">
        <f aca="false">IF(BW1836=0,0,IF(N(S1836)&gt;0,S1836,IFERROR(VLOOKUP(D1836,Parameter!$A$35:$C$64,3,0)+0,0)))</f>
        <v>0.15</v>
      </c>
      <c r="CB1836" s="48" t="str">
        <f aca="false">IF(AA1836&lt;&gt;"",AA1836,Z1836)</f>
        <v/>
      </c>
      <c r="CC1836" s="48" t="str">
        <f aca="false">IF(OR(CB1836=1,CB1836=2,CB1836=3),IF(Parameter!$E$27="Ja","LIFT",IF(CB1836=1,"L1","L23")),IF(CB1836="Aussen","Aussen","-"))</f>
        <v>-</v>
      </c>
      <c r="CD1836" s="59" t="n">
        <f aca="false">IF(N(AB1836)&gt;0,AB1836,0)</f>
        <v>0</v>
      </c>
      <c r="CE1836" s="53" t="n">
        <f aca="false">IF(ISNUMBER(AE1836),1,0)</f>
        <v>0</v>
      </c>
      <c r="CF1836" s="50" t="n">
        <f aca="false">N(AE1836)</f>
        <v>0</v>
      </c>
      <c r="CG1836" s="50" t="n">
        <f aca="false">N(M1836)+N(N1836)</f>
        <v>0</v>
      </c>
      <c r="CH1836" s="50" t="n">
        <f aca="false">ROUNDUP(H1836/BV1836,0)</f>
        <v>0</v>
      </c>
      <c r="CI1836" s="50" t="n">
        <f aca="false">ROUNDUP(CF1836/BV1836,0)</f>
        <v>0</v>
      </c>
      <c r="CJ1836" s="53" t="n">
        <f aca="false">IF(BW1836=1,0,IFERROR(VLOOKUP(BU1836,'Gebinde-Kategorie'!$A$5:$N$45,5,0)+0,0))</f>
        <v>0</v>
      </c>
      <c r="CK1836" s="53" t="n">
        <f aca="false">IFERROR(IF(OR(CB1836=1,CB1836=2,CB1836=3),N(INDEX(Parameter!$I$5:$I$7,CB1836)),0),0)</f>
        <v>0</v>
      </c>
      <c r="CL1836" s="52" t="n">
        <f aca="false">IF(AND(Parameter!$B$21="Ja",ISNUMBER(W1836),N(X1836)&gt;0),IFERROR(N(INDEX(Parameter!$L$5:$L$7,W1836))*INDEX(Parameter!$E$5:$E$7,W1836)*X1836/SUMIFS($X$7:$X$1843,$W$7:$W$1843,W1836),0),0)</f>
        <v>0</v>
      </c>
    </row>
    <row r="1837" customFormat="false" ht="15" hidden="false" customHeight="false" outlineLevel="0" collapsed="false">
      <c r="A1837" s="48" t="str">
        <f aca="false">IF('Neue Artikel'!$A$98="","",'Neue Artikel'!$A$98&amp;"")</f>
        <v/>
      </c>
      <c r="B1837" s="48" t="str">
        <f aca="false">'Neue Artikel'!$B$98&amp;""</f>
        <v/>
      </c>
      <c r="C1837" s="48"/>
      <c r="D1837" s="48" t="s">
        <v>3019</v>
      </c>
      <c r="E1837" s="48"/>
      <c r="F1837" s="48"/>
      <c r="G1837" s="49" t="n">
        <f aca="false">N('Neue Artikel'!$G$98)</f>
        <v>0</v>
      </c>
      <c r="H1837" s="50" t="n">
        <f aca="false">MAX(0,IF(AND(Parameter!$B$21="Ja",ISNUMBER(Y1837)),Y1837,IF(Parameter!$B$20="Jahresanfang 2025 + Export",BO1837+BN1837,BN1837)))</f>
        <v>0</v>
      </c>
      <c r="I1837" s="50" t="n">
        <f aca="false">H1837*G1837</f>
        <v>0</v>
      </c>
      <c r="J1837" s="50" t="n">
        <f aca="false">BQ1837*Parameter!$B$18</f>
        <v>0</v>
      </c>
      <c r="K1837" s="51"/>
      <c r="L1837" s="52"/>
      <c r="M1837" s="50" t="n">
        <f aca="false">N('Neue Artikel'!$E$98)</f>
        <v>0</v>
      </c>
      <c r="N1837" s="50" t="n">
        <f aca="false">N('Neue Artikel'!$F$98)</f>
        <v>0</v>
      </c>
      <c r="O1837" s="53"/>
      <c r="P1837" s="48" t="str">
        <f aca="false">IF('Neue Artikel'!$H$98="","LOSE",UPPER(TRIM('Neue Artikel'!$H$98)))</f>
        <v>LOSE</v>
      </c>
      <c r="Q1837" s="50" t="n">
        <f aca="false">N('Neue Artikel'!$I$98)</f>
        <v>0</v>
      </c>
      <c r="R1837" s="53" t="n">
        <f aca="false">IF(BW1837=1,0,IFERROR(VLOOKUP(BU1837,'Gebinde-Kategorie'!$A$5:$N$45,13,0)+0,0))</f>
        <v>0</v>
      </c>
      <c r="S1837" s="54"/>
      <c r="T1837" s="55"/>
      <c r="U1837" s="55"/>
      <c r="V1837" s="55"/>
      <c r="W1837" s="48"/>
      <c r="X1837" s="50"/>
      <c r="Y1837" s="50"/>
      <c r="Z1837" s="48" t="str">
        <f aca="false">IF(A1837="","",IF(AND(Parameter!$B$21="Ja",ISNUMBER(W1837)),W1837,IF(BZ1837="2+3",IF(ISNUMBER(SEARCH("grosser Artikel",BR1837)),2,IFERROR(VLOOKUP(BU1837,Parameter!$F$35:$G$64,2,0),2)),IF(OR(BZ1837="Nein",BZ1837=""),"-",BZ1837))))</f>
        <v/>
      </c>
      <c r="AA1837" s="48" t="str">
        <f aca="false">IF('Neue Artikel'!$J$98="","",'Neue Artikel'!$J$98)</f>
        <v/>
      </c>
      <c r="AB1837" s="56"/>
      <c r="AC1837" s="50" t="n">
        <f aca="false">AT1837</f>
        <v>0</v>
      </c>
      <c r="AD1837" s="50" t="n">
        <f aca="false">MAX(AT1837,H1837)</f>
        <v>0</v>
      </c>
      <c r="AE1837" s="57"/>
      <c r="AF1837" s="50" t="n">
        <f aca="false">IF(LEFT(Cockpit!$C$5,1)="A",H1837,IF(CE1837=1,CF1837,IF(LEFT(Cockpit!$C$5,1)="B",AK1837,MAX(AK1837,H1837))))</f>
        <v>0</v>
      </c>
      <c r="AG1837" s="50" t="n">
        <f aca="false">IF(BW1837=1,0,ROUNDUP(AF1837/BV1837,0))</f>
        <v>0</v>
      </c>
      <c r="AH1837" s="52" t="n">
        <f aca="false">IF(CL1837&gt;0,CL1837*MAX(1,AF1837/X1837),IF(BW1837=1,IF(AF1837&lt;=0,0,CA1837*MAX(1,IF(H1837&gt;0,AF1837/H1837,1))),IF(R1837&gt;0,AG1837/R1837,0))/MAX(0.1,N(Parameter!$M$21)))</f>
        <v>0</v>
      </c>
      <c r="AI1837" s="50" t="n">
        <f aca="false">AH1837*BY1837</f>
        <v>0</v>
      </c>
      <c r="AJ1837" s="50" t="n">
        <f aca="false">AF1837*G1837</f>
        <v>0</v>
      </c>
      <c r="AK1837" s="50" t="n">
        <f aca="false">ROUNDUP(MAX(J1837/IF(CD1837&gt;0,CD1837,MAX(0.1,N(Cockpit!$C$6))),CG1837)/BV1837,0)*BV1837</f>
        <v>0</v>
      </c>
      <c r="AL1837" s="51" t="n">
        <f aca="false">IF(AI1837&gt;0,J1837/AI1837,-1)</f>
        <v>-1</v>
      </c>
      <c r="AM1837" s="51" t="str">
        <f aca="false">IF(AND(OR(CC1837="L1",CC1837="L23",CC1837="LIFT"),AI1837&gt;0),SUMIFS($AI$7:$AI$1843,$CC$7:$CC$1843,CC1837,$AL$7:$AL$1843,"&gt;"&amp;AL1837)+SUMIFS($AI$7:$AI$1843,$CC$7:$CC$1843,CC1837,$AL$7:$AL$1843,AL1837,$BT$7:$BT$1843,"&lt;="&amp;BT1837),"")</f>
        <v/>
      </c>
      <c r="AN1837" s="58" t="n">
        <f aca="false">IF(AM1837="",0,MAX(0,MIN(1,(IF(CC1837="L1",Parameter!$H$5,IF(CC1837="L23",Parameter!$H$6+Parameter!$H$7,Parameter!$H$5+Parameter!$H$6+Parameter!$H$7))-(AM1837-AI1837))/AI1837)))</f>
        <v>0</v>
      </c>
      <c r="AO1837" s="50" t="n">
        <f aca="false">IF(LEFT(Cockpit!$I$5,1)="A",H1837,IF(CE1837=1,CF1837,IF(LEFT(Cockpit!$I$5,1)="B",AT1837,MAX(AT1837,H1837))))</f>
        <v>0</v>
      </c>
      <c r="AP1837" s="50" t="n">
        <f aca="false">IF(BW1837=1,0,ROUNDUP(AO1837/BV1837,0))</f>
        <v>0</v>
      </c>
      <c r="AQ1837" s="52" t="n">
        <f aca="false">IF(CL1837&gt;0,CL1837*MAX(1,AO1837/X1837),IF(BW1837=1,IF(AO1837&lt;=0,0,CA1837*MAX(1,IF(H1837&gt;0,AO1837/H1837,1))),IF(R1837&gt;0,AP1837/R1837,0))/MAX(0.1,N(Parameter!$M$21)))</f>
        <v>0</v>
      </c>
      <c r="AR1837" s="50" t="n">
        <f aca="false">AQ1837*BY1837</f>
        <v>0</v>
      </c>
      <c r="AS1837" s="50" t="n">
        <f aca="false">AO1837*G1837</f>
        <v>0</v>
      </c>
      <c r="AT1837" s="50" t="n">
        <f aca="false">ROUNDUP(MAX(J1837/IF(CD1837&gt;0,CD1837,MAX(0.1,N(Cockpit!$I$6))),CG1837)/BV1837,0)*BV1837</f>
        <v>0</v>
      </c>
      <c r="AU1837" s="51" t="n">
        <f aca="false">IF(AR1837&gt;0,J1837/AR1837,-1)</f>
        <v>-1</v>
      </c>
      <c r="AV1837" s="51" t="str">
        <f aca="false">IF(AND(OR(CC1837="L1",CC1837="L23",CC1837="LIFT"),AR1837&gt;0),SUMIFS($AR$7:$AR$1843,$CC$7:$CC$1843,CC1837,$AU$7:$AU$1843,"&gt;"&amp;AU1837)+SUMIFS($AR$7:$AR$1843,$CC$7:$CC$1843,CC1837,$AU$7:$AU$1843,AU1837,$BT$7:$BT$1843,"&lt;="&amp;BT1837),"")</f>
        <v/>
      </c>
      <c r="AW1837" s="58" t="n">
        <f aca="false">IF(AV1837="",0,MAX(0,MIN(1,(IF(CC1837="L1",Parameter!$H$5,IF(CC1837="L23",Parameter!$H$6+Parameter!$H$7,Parameter!$H$5+Parameter!$H$6+Parameter!$H$7))-(AV1837-AR1837))/AR1837)))</f>
        <v>0</v>
      </c>
      <c r="AX1837" s="50" t="n">
        <f aca="false">IF(LEFT(Cockpit!$O$5,1)="A",H1837,IF(CE1837=1,CF1837,IF(LEFT(Cockpit!$O$5,1)="B",BC1837,MAX(BC1837,H1837))))</f>
        <v>0</v>
      </c>
      <c r="AY1837" s="50" t="n">
        <f aca="false">IF(BW1837=1,0,ROUNDUP(AX1837/BV1837,0))</f>
        <v>0</v>
      </c>
      <c r="AZ1837" s="52" t="n">
        <f aca="false">IF(CL1837&gt;0,CL1837*MAX(1,AX1837/X1837),IF(BW1837=1,IF(AX1837&lt;=0,0,CA1837*MAX(1,IF(H1837&gt;0,AX1837/H1837,1))),IF(R1837&gt;0,AY1837/R1837,0))/MAX(0.1,N(Parameter!$M$21)))</f>
        <v>0</v>
      </c>
      <c r="BA1837" s="50" t="n">
        <f aca="false">AZ1837*BY1837</f>
        <v>0</v>
      </c>
      <c r="BB1837" s="50" t="n">
        <f aca="false">AX1837*G1837</f>
        <v>0</v>
      </c>
      <c r="BC1837" s="50" t="n">
        <f aca="false">ROUNDUP(MAX(J1837/IF(CD1837&gt;0,CD1837,MAX(0.1,N(Cockpit!$O$6))),CG1837)/BV1837,0)*BV1837</f>
        <v>0</v>
      </c>
      <c r="BD1837" s="51" t="n">
        <f aca="false">IF(BA1837&gt;0,J1837/BA1837,-1)</f>
        <v>-1</v>
      </c>
      <c r="BE1837" s="51" t="str">
        <f aca="false">IF(AND(OR(CC1837="L1",CC1837="L23",CC1837="LIFT"),BA1837&gt;0),SUMIFS($BA$7:$BA$1843,$CC$7:$CC$1843,CC1837,$BD$7:$BD$1843,"&gt;"&amp;BD1837)+SUMIFS($BA$7:$BA$1843,$CC$7:$CC$1843,CC1837,$BD$7:$BD$1843,BD1837,$BT$7:$BT$1843,"&lt;="&amp;BT1837),"")</f>
        <v/>
      </c>
      <c r="BF1837" s="58" t="n">
        <f aca="false">IF(BE1837="",0,MAX(0,MIN(1,(IF(CC1837="L1",Parameter!$H$5,IF(CC1837="L23",Parameter!$H$6+Parameter!$H$7,Parameter!$H$5+Parameter!$H$6+Parameter!$H$7))-(BE1837-BA1837))/BA1837)))</f>
        <v>0</v>
      </c>
      <c r="BG1837" s="48" t="str">
        <f aca="false">IF(AI1837&lt;=0,"",IF(CC1837="Aussen","Aussenlager",IF(CC1837="-","Nicht im Lift",IF(AN1837&gt;=1,"Lift",IF(AN1837&lt;=0,"Aussenlager","teilweise")))))</f>
        <v/>
      </c>
      <c r="BH1837" s="48" t="str">
        <f aca="false">IF(AR1837&lt;=0,"",IF(CC1837="Aussen","Aussenlager",IF(CC1837="-","Nicht im Lift",IF(AW1837&gt;=1,"Lift",IF(AW1837&lt;=0,"Aussenlager","teilweise")))))</f>
        <v/>
      </c>
      <c r="BI1837" s="48" t="str">
        <f aca="false">IF(BA1837&lt;=0,"",IF(CC1837="Aussen","Aussenlager",IF(CC1837="-","Nicht im Lift",IF(BF1837&gt;=1,"Lift",IF(BF1837&lt;=0,"Aussenlager","teilweise")))))</f>
        <v/>
      </c>
      <c r="BJ1837" s="48" t="str">
        <f aca="false">IF(A1837="","",IF(BS1837=1,"Neu; ","")&amp;IF(AND(BS1837=0,BN1837&lt;0),"negativer Bestand (Export "&amp;BN1837&amp;"); ","")&amp;IF(J1837&lt;=0,"Kein Verbrauch; ","")&amp;IF(CL1837&gt;0,"Lift "&amp;W1837&amp;" lt. Liftbericht (Fach "&amp;X1837&amp;" Stk); ",IF(BX1837=1,"Gebinde geschätzt ("&amp;T1837&amp;"); ",IF(BW1837=1,"Lose – Tablare geschätzt; ","")))&amp;IF(H1837&gt;AT1837,"Überbestand "&amp;ROUND(H1837-AT1837,0)&amp;" Stk / CHF "&amp;ROUND((H1837-AT1837)*G1837,0)&amp;"; ","")&amp;IF(AND(CE1837=1,CF1837&lt;CG1837),"MAX &lt; MB+LG; ","")&amp;IF(AND(CK1837&gt;0,CJ1837*10&gt;CK1837),"zu hoch für Tablar; ","")&amp;IF(AND(BS1837=0,OR(CE1837=1,AA1837&lt;&gt;"",U1837&lt;&gt;"",V1837&lt;&gt;"",AB1837&lt;&gt;"")),"manuell übersteuert; ","")&amp;IF(AND(BW1837=0,R1837=0),"Gebinde unbekannt / Stellmass fehlt; ","")&amp;IF(AND(BW1837=0,N(V1837)&lt;=0,N(Q1837)&lt;=0),"Menge pro Gebinde fehlt (Ist = 1 Gebinde); ","")&amp;BR1837)</f>
        <v/>
      </c>
      <c r="BK1837" s="48"/>
      <c r="BL1837" s="48"/>
      <c r="BM1837" s="55"/>
      <c r="BN1837" s="50" t="n">
        <f aca="false">N('Neue Artikel'!$D$98)</f>
        <v>0</v>
      </c>
      <c r="BO1837" s="50" t="n">
        <v>0</v>
      </c>
      <c r="BP1837" s="49" t="n">
        <v>0</v>
      </c>
      <c r="BQ1837" s="50" t="n">
        <f aca="false">N('Neue Artikel'!$C$98)/Parameter!$B$18</f>
        <v>0</v>
      </c>
      <c r="BR1837" s="48"/>
      <c r="BS1837" s="53" t="n">
        <v>1</v>
      </c>
      <c r="BT1837" s="53" t="n">
        <v>1837</v>
      </c>
      <c r="BU1837" s="48" t="str">
        <f aca="false">IF(U1837&lt;&gt;"",UPPER(TRIM(U1837)),IF(BX1837=1,UPPER(VLOOKUP(T1837,Parameter!$I$27:$K$29,2,0)),IF(P1837="","LOSE",P1837)))</f>
        <v>LOSE</v>
      </c>
      <c r="BV1837" s="50" t="n">
        <f aca="false">IF(BU1837="LOSE",1,IF(N(V1837)&gt;0,V1837,IF(BX1837=1,MAX(1,N(VLOOKUP(T1837,Parameter!$I$27:$K$29,3,0)),H1837,N(N1837)),IF(N(Q1837)&gt;0,Q1837,MAX(1,H1837)))))</f>
        <v>1</v>
      </c>
      <c r="BW1837" s="53" t="n">
        <f aca="false">IF(BU1837="LOSE",1,0)</f>
        <v>1</v>
      </c>
      <c r="BX1837" s="53" t="n">
        <f aca="false">IF(AND(U1837="",OR(P1837="",P1837="LOSE"),T1837&lt;&gt;"",N(S1837)&lt;=0,ISNUMBER(MATCH(T1837,Parameter!$I$27:$I$29,0))),1,0)</f>
        <v>0</v>
      </c>
      <c r="BY1837" s="53" t="n">
        <f aca="false">IF(CL1837&gt;0,INDEX(Parameter!$H$5:$H$7,W1837)/INDEX(Parameter!$E$5:$E$7,W1837),IF(AND(BW1837=0,N(IFERROR(VLOOKUP(BU1837,'Gebinde-Kategorie'!$A$5:$N$45,14,0),0))&gt;0),VLOOKUP(BU1837,'Gebinde-Kategorie'!$A$5:$N$45,14,0)*10+Parameter!$M$23,Parameter!$M$24))</f>
        <v>235</v>
      </c>
      <c r="BZ1837" s="48" t="str">
        <f aca="false">IF(AND(Parameter!$B$19="Ja",E1837&lt;&gt;"",ISNUMBER(MATCH(E1837,Parameter!$I$35:$I$52,0))),VLOOKUP(E1837,Parameter!$I$35:$J$52,2,0),IFERROR(VLOOKUP(D1837,Parameter!$A$35:$C$64,2,0),"Nein"))</f>
        <v>2+3</v>
      </c>
      <c r="CA1837" s="52" t="n">
        <f aca="false">IF(BW1837=0,0,IF(N(S1837)&gt;0,S1837,IFERROR(VLOOKUP(D1837,Parameter!$A$35:$C$64,3,0)+0,0)))</f>
        <v>0.15</v>
      </c>
      <c r="CB1837" s="48" t="str">
        <f aca="false">IF(AA1837&lt;&gt;"",AA1837,Z1837)</f>
        <v/>
      </c>
      <c r="CC1837" s="48" t="str">
        <f aca="false">IF(OR(CB1837=1,CB1837=2,CB1837=3),IF(Parameter!$E$27="Ja","LIFT",IF(CB1837=1,"L1","L23")),IF(CB1837="Aussen","Aussen","-"))</f>
        <v>-</v>
      </c>
      <c r="CD1837" s="59" t="n">
        <f aca="false">IF(N(AB1837)&gt;0,AB1837,0)</f>
        <v>0</v>
      </c>
      <c r="CE1837" s="53" t="n">
        <f aca="false">IF(ISNUMBER(AE1837),1,0)</f>
        <v>0</v>
      </c>
      <c r="CF1837" s="50" t="n">
        <f aca="false">N(AE1837)</f>
        <v>0</v>
      </c>
      <c r="CG1837" s="50" t="n">
        <f aca="false">N(M1837)+N(N1837)</f>
        <v>0</v>
      </c>
      <c r="CH1837" s="50" t="n">
        <f aca="false">ROUNDUP(H1837/BV1837,0)</f>
        <v>0</v>
      </c>
      <c r="CI1837" s="50" t="n">
        <f aca="false">ROUNDUP(CF1837/BV1837,0)</f>
        <v>0</v>
      </c>
      <c r="CJ1837" s="53" t="n">
        <f aca="false">IF(BW1837=1,0,IFERROR(VLOOKUP(BU1837,'Gebinde-Kategorie'!$A$5:$N$45,5,0)+0,0))</f>
        <v>0</v>
      </c>
      <c r="CK1837" s="53" t="n">
        <f aca="false">IFERROR(IF(OR(CB1837=1,CB1837=2,CB1837=3),N(INDEX(Parameter!$I$5:$I$7,CB1837)),0),0)</f>
        <v>0</v>
      </c>
      <c r="CL1837" s="52" t="n">
        <f aca="false">IF(AND(Parameter!$B$21="Ja",ISNUMBER(W1837),N(X1837)&gt;0),IFERROR(N(INDEX(Parameter!$L$5:$L$7,W1837))*INDEX(Parameter!$E$5:$E$7,W1837)*X1837/SUMIFS($X$7:$X$1843,$W$7:$W$1843,W1837),0),0)</f>
        <v>0</v>
      </c>
    </row>
    <row r="1838" customFormat="false" ht="15" hidden="false" customHeight="false" outlineLevel="0" collapsed="false">
      <c r="A1838" s="48" t="str">
        <f aca="false">IF('Neue Artikel'!$A$99="","",'Neue Artikel'!$A$99&amp;"")</f>
        <v/>
      </c>
      <c r="B1838" s="48" t="str">
        <f aca="false">'Neue Artikel'!$B$99&amp;""</f>
        <v/>
      </c>
      <c r="C1838" s="48"/>
      <c r="D1838" s="48" t="s">
        <v>3019</v>
      </c>
      <c r="E1838" s="48"/>
      <c r="F1838" s="48"/>
      <c r="G1838" s="49" t="n">
        <f aca="false">N('Neue Artikel'!$G$99)</f>
        <v>0</v>
      </c>
      <c r="H1838" s="50" t="n">
        <f aca="false">MAX(0,IF(AND(Parameter!$B$21="Ja",ISNUMBER(Y1838)),Y1838,IF(Parameter!$B$20="Jahresanfang 2025 + Export",BO1838+BN1838,BN1838)))</f>
        <v>0</v>
      </c>
      <c r="I1838" s="50" t="n">
        <f aca="false">H1838*G1838</f>
        <v>0</v>
      </c>
      <c r="J1838" s="50" t="n">
        <f aca="false">BQ1838*Parameter!$B$18</f>
        <v>0</v>
      </c>
      <c r="K1838" s="51"/>
      <c r="L1838" s="52"/>
      <c r="M1838" s="50" t="n">
        <f aca="false">N('Neue Artikel'!$E$99)</f>
        <v>0</v>
      </c>
      <c r="N1838" s="50" t="n">
        <f aca="false">N('Neue Artikel'!$F$99)</f>
        <v>0</v>
      </c>
      <c r="O1838" s="53"/>
      <c r="P1838" s="48" t="str">
        <f aca="false">IF('Neue Artikel'!$H$99="","LOSE",UPPER(TRIM('Neue Artikel'!$H$99)))</f>
        <v>LOSE</v>
      </c>
      <c r="Q1838" s="50" t="n">
        <f aca="false">N('Neue Artikel'!$I$99)</f>
        <v>0</v>
      </c>
      <c r="R1838" s="53" t="n">
        <f aca="false">IF(BW1838=1,0,IFERROR(VLOOKUP(BU1838,'Gebinde-Kategorie'!$A$5:$N$45,13,0)+0,0))</f>
        <v>0</v>
      </c>
      <c r="S1838" s="54"/>
      <c r="T1838" s="55"/>
      <c r="U1838" s="55"/>
      <c r="V1838" s="55"/>
      <c r="W1838" s="48"/>
      <c r="X1838" s="50"/>
      <c r="Y1838" s="50"/>
      <c r="Z1838" s="48" t="str">
        <f aca="false">IF(A1838="","",IF(AND(Parameter!$B$21="Ja",ISNUMBER(W1838)),W1838,IF(BZ1838="2+3",IF(ISNUMBER(SEARCH("grosser Artikel",BR1838)),2,IFERROR(VLOOKUP(BU1838,Parameter!$F$35:$G$64,2,0),2)),IF(OR(BZ1838="Nein",BZ1838=""),"-",BZ1838))))</f>
        <v/>
      </c>
      <c r="AA1838" s="48" t="str">
        <f aca="false">IF('Neue Artikel'!$J$99="","",'Neue Artikel'!$J$99)</f>
        <v/>
      </c>
      <c r="AB1838" s="56"/>
      <c r="AC1838" s="50" t="n">
        <f aca="false">AT1838</f>
        <v>0</v>
      </c>
      <c r="AD1838" s="50" t="n">
        <f aca="false">MAX(AT1838,H1838)</f>
        <v>0</v>
      </c>
      <c r="AE1838" s="57"/>
      <c r="AF1838" s="50" t="n">
        <f aca="false">IF(LEFT(Cockpit!$C$5,1)="A",H1838,IF(CE1838=1,CF1838,IF(LEFT(Cockpit!$C$5,1)="B",AK1838,MAX(AK1838,H1838))))</f>
        <v>0</v>
      </c>
      <c r="AG1838" s="50" t="n">
        <f aca="false">IF(BW1838=1,0,ROUNDUP(AF1838/BV1838,0))</f>
        <v>0</v>
      </c>
      <c r="AH1838" s="52" t="n">
        <f aca="false">IF(CL1838&gt;0,CL1838*MAX(1,AF1838/X1838),IF(BW1838=1,IF(AF1838&lt;=0,0,CA1838*MAX(1,IF(H1838&gt;0,AF1838/H1838,1))),IF(R1838&gt;0,AG1838/R1838,0))/MAX(0.1,N(Parameter!$M$21)))</f>
        <v>0</v>
      </c>
      <c r="AI1838" s="50" t="n">
        <f aca="false">AH1838*BY1838</f>
        <v>0</v>
      </c>
      <c r="AJ1838" s="50" t="n">
        <f aca="false">AF1838*G1838</f>
        <v>0</v>
      </c>
      <c r="AK1838" s="50" t="n">
        <f aca="false">ROUNDUP(MAX(J1838/IF(CD1838&gt;0,CD1838,MAX(0.1,N(Cockpit!$C$6))),CG1838)/BV1838,0)*BV1838</f>
        <v>0</v>
      </c>
      <c r="AL1838" s="51" t="n">
        <f aca="false">IF(AI1838&gt;0,J1838/AI1838,-1)</f>
        <v>-1</v>
      </c>
      <c r="AM1838" s="51" t="str">
        <f aca="false">IF(AND(OR(CC1838="L1",CC1838="L23",CC1838="LIFT"),AI1838&gt;0),SUMIFS($AI$7:$AI$1843,$CC$7:$CC$1843,CC1838,$AL$7:$AL$1843,"&gt;"&amp;AL1838)+SUMIFS($AI$7:$AI$1843,$CC$7:$CC$1843,CC1838,$AL$7:$AL$1843,AL1838,$BT$7:$BT$1843,"&lt;="&amp;BT1838),"")</f>
        <v/>
      </c>
      <c r="AN1838" s="58" t="n">
        <f aca="false">IF(AM1838="",0,MAX(0,MIN(1,(IF(CC1838="L1",Parameter!$H$5,IF(CC1838="L23",Parameter!$H$6+Parameter!$H$7,Parameter!$H$5+Parameter!$H$6+Parameter!$H$7))-(AM1838-AI1838))/AI1838)))</f>
        <v>0</v>
      </c>
      <c r="AO1838" s="50" t="n">
        <f aca="false">IF(LEFT(Cockpit!$I$5,1)="A",H1838,IF(CE1838=1,CF1838,IF(LEFT(Cockpit!$I$5,1)="B",AT1838,MAX(AT1838,H1838))))</f>
        <v>0</v>
      </c>
      <c r="AP1838" s="50" t="n">
        <f aca="false">IF(BW1838=1,0,ROUNDUP(AO1838/BV1838,0))</f>
        <v>0</v>
      </c>
      <c r="AQ1838" s="52" t="n">
        <f aca="false">IF(CL1838&gt;0,CL1838*MAX(1,AO1838/X1838),IF(BW1838=1,IF(AO1838&lt;=0,0,CA1838*MAX(1,IF(H1838&gt;0,AO1838/H1838,1))),IF(R1838&gt;0,AP1838/R1838,0))/MAX(0.1,N(Parameter!$M$21)))</f>
        <v>0</v>
      </c>
      <c r="AR1838" s="50" t="n">
        <f aca="false">AQ1838*BY1838</f>
        <v>0</v>
      </c>
      <c r="AS1838" s="50" t="n">
        <f aca="false">AO1838*G1838</f>
        <v>0</v>
      </c>
      <c r="AT1838" s="50" t="n">
        <f aca="false">ROUNDUP(MAX(J1838/IF(CD1838&gt;0,CD1838,MAX(0.1,N(Cockpit!$I$6))),CG1838)/BV1838,0)*BV1838</f>
        <v>0</v>
      </c>
      <c r="AU1838" s="51" t="n">
        <f aca="false">IF(AR1838&gt;0,J1838/AR1838,-1)</f>
        <v>-1</v>
      </c>
      <c r="AV1838" s="51" t="str">
        <f aca="false">IF(AND(OR(CC1838="L1",CC1838="L23",CC1838="LIFT"),AR1838&gt;0),SUMIFS($AR$7:$AR$1843,$CC$7:$CC$1843,CC1838,$AU$7:$AU$1843,"&gt;"&amp;AU1838)+SUMIFS($AR$7:$AR$1843,$CC$7:$CC$1843,CC1838,$AU$7:$AU$1843,AU1838,$BT$7:$BT$1843,"&lt;="&amp;BT1838),"")</f>
        <v/>
      </c>
      <c r="AW1838" s="58" t="n">
        <f aca="false">IF(AV1838="",0,MAX(0,MIN(1,(IF(CC1838="L1",Parameter!$H$5,IF(CC1838="L23",Parameter!$H$6+Parameter!$H$7,Parameter!$H$5+Parameter!$H$6+Parameter!$H$7))-(AV1838-AR1838))/AR1838)))</f>
        <v>0</v>
      </c>
      <c r="AX1838" s="50" t="n">
        <f aca="false">IF(LEFT(Cockpit!$O$5,1)="A",H1838,IF(CE1838=1,CF1838,IF(LEFT(Cockpit!$O$5,1)="B",BC1838,MAX(BC1838,H1838))))</f>
        <v>0</v>
      </c>
      <c r="AY1838" s="50" t="n">
        <f aca="false">IF(BW1838=1,0,ROUNDUP(AX1838/BV1838,0))</f>
        <v>0</v>
      </c>
      <c r="AZ1838" s="52" t="n">
        <f aca="false">IF(CL1838&gt;0,CL1838*MAX(1,AX1838/X1838),IF(BW1838=1,IF(AX1838&lt;=0,0,CA1838*MAX(1,IF(H1838&gt;0,AX1838/H1838,1))),IF(R1838&gt;0,AY1838/R1838,0))/MAX(0.1,N(Parameter!$M$21)))</f>
        <v>0</v>
      </c>
      <c r="BA1838" s="50" t="n">
        <f aca="false">AZ1838*BY1838</f>
        <v>0</v>
      </c>
      <c r="BB1838" s="50" t="n">
        <f aca="false">AX1838*G1838</f>
        <v>0</v>
      </c>
      <c r="BC1838" s="50" t="n">
        <f aca="false">ROUNDUP(MAX(J1838/IF(CD1838&gt;0,CD1838,MAX(0.1,N(Cockpit!$O$6))),CG1838)/BV1838,0)*BV1838</f>
        <v>0</v>
      </c>
      <c r="BD1838" s="51" t="n">
        <f aca="false">IF(BA1838&gt;0,J1838/BA1838,-1)</f>
        <v>-1</v>
      </c>
      <c r="BE1838" s="51" t="str">
        <f aca="false">IF(AND(OR(CC1838="L1",CC1838="L23",CC1838="LIFT"),BA1838&gt;0),SUMIFS($BA$7:$BA$1843,$CC$7:$CC$1843,CC1838,$BD$7:$BD$1843,"&gt;"&amp;BD1838)+SUMIFS($BA$7:$BA$1843,$CC$7:$CC$1843,CC1838,$BD$7:$BD$1843,BD1838,$BT$7:$BT$1843,"&lt;="&amp;BT1838),"")</f>
        <v/>
      </c>
      <c r="BF1838" s="58" t="n">
        <f aca="false">IF(BE1838="",0,MAX(0,MIN(1,(IF(CC1838="L1",Parameter!$H$5,IF(CC1838="L23",Parameter!$H$6+Parameter!$H$7,Parameter!$H$5+Parameter!$H$6+Parameter!$H$7))-(BE1838-BA1838))/BA1838)))</f>
        <v>0</v>
      </c>
      <c r="BG1838" s="48" t="str">
        <f aca="false">IF(AI1838&lt;=0,"",IF(CC1838="Aussen","Aussenlager",IF(CC1838="-","Nicht im Lift",IF(AN1838&gt;=1,"Lift",IF(AN1838&lt;=0,"Aussenlager","teilweise")))))</f>
        <v/>
      </c>
      <c r="BH1838" s="48" t="str">
        <f aca="false">IF(AR1838&lt;=0,"",IF(CC1838="Aussen","Aussenlager",IF(CC1838="-","Nicht im Lift",IF(AW1838&gt;=1,"Lift",IF(AW1838&lt;=0,"Aussenlager","teilweise")))))</f>
        <v/>
      </c>
      <c r="BI1838" s="48" t="str">
        <f aca="false">IF(BA1838&lt;=0,"",IF(CC1838="Aussen","Aussenlager",IF(CC1838="-","Nicht im Lift",IF(BF1838&gt;=1,"Lift",IF(BF1838&lt;=0,"Aussenlager","teilweise")))))</f>
        <v/>
      </c>
      <c r="BJ1838" s="48" t="str">
        <f aca="false">IF(A1838="","",IF(BS1838=1,"Neu; ","")&amp;IF(AND(BS1838=0,BN1838&lt;0),"negativer Bestand (Export "&amp;BN1838&amp;"); ","")&amp;IF(J1838&lt;=0,"Kein Verbrauch; ","")&amp;IF(CL1838&gt;0,"Lift "&amp;W1838&amp;" lt. Liftbericht (Fach "&amp;X1838&amp;" Stk); ",IF(BX1838=1,"Gebinde geschätzt ("&amp;T1838&amp;"); ",IF(BW1838=1,"Lose – Tablare geschätzt; ","")))&amp;IF(H1838&gt;AT1838,"Überbestand "&amp;ROUND(H1838-AT1838,0)&amp;" Stk / CHF "&amp;ROUND((H1838-AT1838)*G1838,0)&amp;"; ","")&amp;IF(AND(CE1838=1,CF1838&lt;CG1838),"MAX &lt; MB+LG; ","")&amp;IF(AND(CK1838&gt;0,CJ1838*10&gt;CK1838),"zu hoch für Tablar; ","")&amp;IF(AND(BS1838=0,OR(CE1838=1,AA1838&lt;&gt;"",U1838&lt;&gt;"",V1838&lt;&gt;"",AB1838&lt;&gt;"")),"manuell übersteuert; ","")&amp;IF(AND(BW1838=0,R1838=0),"Gebinde unbekannt / Stellmass fehlt; ","")&amp;IF(AND(BW1838=0,N(V1838)&lt;=0,N(Q1838)&lt;=0),"Menge pro Gebinde fehlt (Ist = 1 Gebinde); ","")&amp;BR1838)</f>
        <v/>
      </c>
      <c r="BK1838" s="48"/>
      <c r="BL1838" s="48"/>
      <c r="BM1838" s="55"/>
      <c r="BN1838" s="50" t="n">
        <f aca="false">N('Neue Artikel'!$D$99)</f>
        <v>0</v>
      </c>
      <c r="BO1838" s="50" t="n">
        <v>0</v>
      </c>
      <c r="BP1838" s="49" t="n">
        <v>0</v>
      </c>
      <c r="BQ1838" s="50" t="n">
        <f aca="false">N('Neue Artikel'!$C$99)/Parameter!$B$18</f>
        <v>0</v>
      </c>
      <c r="BR1838" s="48"/>
      <c r="BS1838" s="53" t="n">
        <v>1</v>
      </c>
      <c r="BT1838" s="53" t="n">
        <v>1838</v>
      </c>
      <c r="BU1838" s="48" t="str">
        <f aca="false">IF(U1838&lt;&gt;"",UPPER(TRIM(U1838)),IF(BX1838=1,UPPER(VLOOKUP(T1838,Parameter!$I$27:$K$29,2,0)),IF(P1838="","LOSE",P1838)))</f>
        <v>LOSE</v>
      </c>
      <c r="BV1838" s="50" t="n">
        <f aca="false">IF(BU1838="LOSE",1,IF(N(V1838)&gt;0,V1838,IF(BX1838=1,MAX(1,N(VLOOKUP(T1838,Parameter!$I$27:$K$29,3,0)),H1838,N(N1838)),IF(N(Q1838)&gt;0,Q1838,MAX(1,H1838)))))</f>
        <v>1</v>
      </c>
      <c r="BW1838" s="53" t="n">
        <f aca="false">IF(BU1838="LOSE",1,0)</f>
        <v>1</v>
      </c>
      <c r="BX1838" s="53" t="n">
        <f aca="false">IF(AND(U1838="",OR(P1838="",P1838="LOSE"),T1838&lt;&gt;"",N(S1838)&lt;=0,ISNUMBER(MATCH(T1838,Parameter!$I$27:$I$29,0))),1,0)</f>
        <v>0</v>
      </c>
      <c r="BY1838" s="53" t="n">
        <f aca="false">IF(CL1838&gt;0,INDEX(Parameter!$H$5:$H$7,W1838)/INDEX(Parameter!$E$5:$E$7,W1838),IF(AND(BW1838=0,N(IFERROR(VLOOKUP(BU1838,'Gebinde-Kategorie'!$A$5:$N$45,14,0),0))&gt;0),VLOOKUP(BU1838,'Gebinde-Kategorie'!$A$5:$N$45,14,0)*10+Parameter!$M$23,Parameter!$M$24))</f>
        <v>235</v>
      </c>
      <c r="BZ1838" s="48" t="str">
        <f aca="false">IF(AND(Parameter!$B$19="Ja",E1838&lt;&gt;"",ISNUMBER(MATCH(E1838,Parameter!$I$35:$I$52,0))),VLOOKUP(E1838,Parameter!$I$35:$J$52,2,0),IFERROR(VLOOKUP(D1838,Parameter!$A$35:$C$64,2,0),"Nein"))</f>
        <v>2+3</v>
      </c>
      <c r="CA1838" s="52" t="n">
        <f aca="false">IF(BW1838=0,0,IF(N(S1838)&gt;0,S1838,IFERROR(VLOOKUP(D1838,Parameter!$A$35:$C$64,3,0)+0,0)))</f>
        <v>0.15</v>
      </c>
      <c r="CB1838" s="48" t="str">
        <f aca="false">IF(AA1838&lt;&gt;"",AA1838,Z1838)</f>
        <v/>
      </c>
      <c r="CC1838" s="48" t="str">
        <f aca="false">IF(OR(CB1838=1,CB1838=2,CB1838=3),IF(Parameter!$E$27="Ja","LIFT",IF(CB1838=1,"L1","L23")),IF(CB1838="Aussen","Aussen","-"))</f>
        <v>-</v>
      </c>
      <c r="CD1838" s="59" t="n">
        <f aca="false">IF(N(AB1838)&gt;0,AB1838,0)</f>
        <v>0</v>
      </c>
      <c r="CE1838" s="53" t="n">
        <f aca="false">IF(ISNUMBER(AE1838),1,0)</f>
        <v>0</v>
      </c>
      <c r="CF1838" s="50" t="n">
        <f aca="false">N(AE1838)</f>
        <v>0</v>
      </c>
      <c r="CG1838" s="50" t="n">
        <f aca="false">N(M1838)+N(N1838)</f>
        <v>0</v>
      </c>
      <c r="CH1838" s="50" t="n">
        <f aca="false">ROUNDUP(H1838/BV1838,0)</f>
        <v>0</v>
      </c>
      <c r="CI1838" s="50" t="n">
        <f aca="false">ROUNDUP(CF1838/BV1838,0)</f>
        <v>0</v>
      </c>
      <c r="CJ1838" s="53" t="n">
        <f aca="false">IF(BW1838=1,0,IFERROR(VLOOKUP(BU1838,'Gebinde-Kategorie'!$A$5:$N$45,5,0)+0,0))</f>
        <v>0</v>
      </c>
      <c r="CK1838" s="53" t="n">
        <f aca="false">IFERROR(IF(OR(CB1838=1,CB1838=2,CB1838=3),N(INDEX(Parameter!$I$5:$I$7,CB1838)),0),0)</f>
        <v>0</v>
      </c>
      <c r="CL1838" s="52" t="n">
        <f aca="false">IF(AND(Parameter!$B$21="Ja",ISNUMBER(W1838),N(X1838)&gt;0),IFERROR(N(INDEX(Parameter!$L$5:$L$7,W1838))*INDEX(Parameter!$E$5:$E$7,W1838)*X1838/SUMIFS($X$7:$X$1843,$W$7:$W$1843,W1838),0),0)</f>
        <v>0</v>
      </c>
    </row>
    <row r="1839" customFormat="false" ht="15" hidden="false" customHeight="false" outlineLevel="0" collapsed="false">
      <c r="A1839" s="48" t="str">
        <f aca="false">IF('Neue Artikel'!$A$100="","",'Neue Artikel'!$A$100&amp;"")</f>
        <v/>
      </c>
      <c r="B1839" s="48" t="str">
        <f aca="false">'Neue Artikel'!$B$100&amp;""</f>
        <v/>
      </c>
      <c r="C1839" s="48"/>
      <c r="D1839" s="48" t="s">
        <v>3019</v>
      </c>
      <c r="E1839" s="48"/>
      <c r="F1839" s="48"/>
      <c r="G1839" s="49" t="n">
        <f aca="false">N('Neue Artikel'!$G$100)</f>
        <v>0</v>
      </c>
      <c r="H1839" s="50" t="n">
        <f aca="false">MAX(0,IF(AND(Parameter!$B$21="Ja",ISNUMBER(Y1839)),Y1839,IF(Parameter!$B$20="Jahresanfang 2025 + Export",BO1839+BN1839,BN1839)))</f>
        <v>0</v>
      </c>
      <c r="I1839" s="50" t="n">
        <f aca="false">H1839*G1839</f>
        <v>0</v>
      </c>
      <c r="J1839" s="50" t="n">
        <f aca="false">BQ1839*Parameter!$B$18</f>
        <v>0</v>
      </c>
      <c r="K1839" s="51"/>
      <c r="L1839" s="52"/>
      <c r="M1839" s="50" t="n">
        <f aca="false">N('Neue Artikel'!$E$100)</f>
        <v>0</v>
      </c>
      <c r="N1839" s="50" t="n">
        <f aca="false">N('Neue Artikel'!$F$100)</f>
        <v>0</v>
      </c>
      <c r="O1839" s="53"/>
      <c r="P1839" s="48" t="str">
        <f aca="false">IF('Neue Artikel'!$H$100="","LOSE",UPPER(TRIM('Neue Artikel'!$H$100)))</f>
        <v>LOSE</v>
      </c>
      <c r="Q1839" s="50" t="n">
        <f aca="false">N('Neue Artikel'!$I$100)</f>
        <v>0</v>
      </c>
      <c r="R1839" s="53" t="n">
        <f aca="false">IF(BW1839=1,0,IFERROR(VLOOKUP(BU1839,'Gebinde-Kategorie'!$A$5:$N$45,13,0)+0,0))</f>
        <v>0</v>
      </c>
      <c r="S1839" s="54"/>
      <c r="T1839" s="55"/>
      <c r="U1839" s="55"/>
      <c r="V1839" s="55"/>
      <c r="W1839" s="48"/>
      <c r="X1839" s="50"/>
      <c r="Y1839" s="50"/>
      <c r="Z1839" s="48" t="str">
        <f aca="false">IF(A1839="","",IF(AND(Parameter!$B$21="Ja",ISNUMBER(W1839)),W1839,IF(BZ1839="2+3",IF(ISNUMBER(SEARCH("grosser Artikel",BR1839)),2,IFERROR(VLOOKUP(BU1839,Parameter!$F$35:$G$64,2,0),2)),IF(OR(BZ1839="Nein",BZ1839=""),"-",BZ1839))))</f>
        <v/>
      </c>
      <c r="AA1839" s="48" t="str">
        <f aca="false">IF('Neue Artikel'!$J$100="","",'Neue Artikel'!$J$100)</f>
        <v/>
      </c>
      <c r="AB1839" s="56"/>
      <c r="AC1839" s="50" t="n">
        <f aca="false">AT1839</f>
        <v>0</v>
      </c>
      <c r="AD1839" s="50" t="n">
        <f aca="false">MAX(AT1839,H1839)</f>
        <v>0</v>
      </c>
      <c r="AE1839" s="57"/>
      <c r="AF1839" s="50" t="n">
        <f aca="false">IF(LEFT(Cockpit!$C$5,1)="A",H1839,IF(CE1839=1,CF1839,IF(LEFT(Cockpit!$C$5,1)="B",AK1839,MAX(AK1839,H1839))))</f>
        <v>0</v>
      </c>
      <c r="AG1839" s="50" t="n">
        <f aca="false">IF(BW1839=1,0,ROUNDUP(AF1839/BV1839,0))</f>
        <v>0</v>
      </c>
      <c r="AH1839" s="52" t="n">
        <f aca="false">IF(CL1839&gt;0,CL1839*MAX(1,AF1839/X1839),IF(BW1839=1,IF(AF1839&lt;=0,0,CA1839*MAX(1,IF(H1839&gt;0,AF1839/H1839,1))),IF(R1839&gt;0,AG1839/R1839,0))/MAX(0.1,N(Parameter!$M$21)))</f>
        <v>0</v>
      </c>
      <c r="AI1839" s="50" t="n">
        <f aca="false">AH1839*BY1839</f>
        <v>0</v>
      </c>
      <c r="AJ1839" s="50" t="n">
        <f aca="false">AF1839*G1839</f>
        <v>0</v>
      </c>
      <c r="AK1839" s="50" t="n">
        <f aca="false">ROUNDUP(MAX(J1839/IF(CD1839&gt;0,CD1839,MAX(0.1,N(Cockpit!$C$6))),CG1839)/BV1839,0)*BV1839</f>
        <v>0</v>
      </c>
      <c r="AL1839" s="51" t="n">
        <f aca="false">IF(AI1839&gt;0,J1839/AI1839,-1)</f>
        <v>-1</v>
      </c>
      <c r="AM1839" s="51" t="str">
        <f aca="false">IF(AND(OR(CC1839="L1",CC1839="L23",CC1839="LIFT"),AI1839&gt;0),SUMIFS($AI$7:$AI$1843,$CC$7:$CC$1843,CC1839,$AL$7:$AL$1843,"&gt;"&amp;AL1839)+SUMIFS($AI$7:$AI$1843,$CC$7:$CC$1843,CC1839,$AL$7:$AL$1843,AL1839,$BT$7:$BT$1843,"&lt;="&amp;BT1839),"")</f>
        <v/>
      </c>
      <c r="AN1839" s="58" t="n">
        <f aca="false">IF(AM1839="",0,MAX(0,MIN(1,(IF(CC1839="L1",Parameter!$H$5,IF(CC1839="L23",Parameter!$H$6+Parameter!$H$7,Parameter!$H$5+Parameter!$H$6+Parameter!$H$7))-(AM1839-AI1839))/AI1839)))</f>
        <v>0</v>
      </c>
      <c r="AO1839" s="50" t="n">
        <f aca="false">IF(LEFT(Cockpit!$I$5,1)="A",H1839,IF(CE1839=1,CF1839,IF(LEFT(Cockpit!$I$5,1)="B",AT1839,MAX(AT1839,H1839))))</f>
        <v>0</v>
      </c>
      <c r="AP1839" s="50" t="n">
        <f aca="false">IF(BW1839=1,0,ROUNDUP(AO1839/BV1839,0))</f>
        <v>0</v>
      </c>
      <c r="AQ1839" s="52" t="n">
        <f aca="false">IF(CL1839&gt;0,CL1839*MAX(1,AO1839/X1839),IF(BW1839=1,IF(AO1839&lt;=0,0,CA1839*MAX(1,IF(H1839&gt;0,AO1839/H1839,1))),IF(R1839&gt;0,AP1839/R1839,0))/MAX(0.1,N(Parameter!$M$21)))</f>
        <v>0</v>
      </c>
      <c r="AR1839" s="50" t="n">
        <f aca="false">AQ1839*BY1839</f>
        <v>0</v>
      </c>
      <c r="AS1839" s="50" t="n">
        <f aca="false">AO1839*G1839</f>
        <v>0</v>
      </c>
      <c r="AT1839" s="50" t="n">
        <f aca="false">ROUNDUP(MAX(J1839/IF(CD1839&gt;0,CD1839,MAX(0.1,N(Cockpit!$I$6))),CG1839)/BV1839,0)*BV1839</f>
        <v>0</v>
      </c>
      <c r="AU1839" s="51" t="n">
        <f aca="false">IF(AR1839&gt;0,J1839/AR1839,-1)</f>
        <v>-1</v>
      </c>
      <c r="AV1839" s="51" t="str">
        <f aca="false">IF(AND(OR(CC1839="L1",CC1839="L23",CC1839="LIFT"),AR1839&gt;0),SUMIFS($AR$7:$AR$1843,$CC$7:$CC$1843,CC1839,$AU$7:$AU$1843,"&gt;"&amp;AU1839)+SUMIFS($AR$7:$AR$1843,$CC$7:$CC$1843,CC1839,$AU$7:$AU$1843,AU1839,$BT$7:$BT$1843,"&lt;="&amp;BT1839),"")</f>
        <v/>
      </c>
      <c r="AW1839" s="58" t="n">
        <f aca="false">IF(AV1839="",0,MAX(0,MIN(1,(IF(CC1839="L1",Parameter!$H$5,IF(CC1839="L23",Parameter!$H$6+Parameter!$H$7,Parameter!$H$5+Parameter!$H$6+Parameter!$H$7))-(AV1839-AR1839))/AR1839)))</f>
        <v>0</v>
      </c>
      <c r="AX1839" s="50" t="n">
        <f aca="false">IF(LEFT(Cockpit!$O$5,1)="A",H1839,IF(CE1839=1,CF1839,IF(LEFT(Cockpit!$O$5,1)="B",BC1839,MAX(BC1839,H1839))))</f>
        <v>0</v>
      </c>
      <c r="AY1839" s="50" t="n">
        <f aca="false">IF(BW1839=1,0,ROUNDUP(AX1839/BV1839,0))</f>
        <v>0</v>
      </c>
      <c r="AZ1839" s="52" t="n">
        <f aca="false">IF(CL1839&gt;0,CL1839*MAX(1,AX1839/X1839),IF(BW1839=1,IF(AX1839&lt;=0,0,CA1839*MAX(1,IF(H1839&gt;0,AX1839/H1839,1))),IF(R1839&gt;0,AY1839/R1839,0))/MAX(0.1,N(Parameter!$M$21)))</f>
        <v>0</v>
      </c>
      <c r="BA1839" s="50" t="n">
        <f aca="false">AZ1839*BY1839</f>
        <v>0</v>
      </c>
      <c r="BB1839" s="50" t="n">
        <f aca="false">AX1839*G1839</f>
        <v>0</v>
      </c>
      <c r="BC1839" s="50" t="n">
        <f aca="false">ROUNDUP(MAX(J1839/IF(CD1839&gt;0,CD1839,MAX(0.1,N(Cockpit!$O$6))),CG1839)/BV1839,0)*BV1839</f>
        <v>0</v>
      </c>
      <c r="BD1839" s="51" t="n">
        <f aca="false">IF(BA1839&gt;0,J1839/BA1839,-1)</f>
        <v>-1</v>
      </c>
      <c r="BE1839" s="51" t="str">
        <f aca="false">IF(AND(OR(CC1839="L1",CC1839="L23",CC1839="LIFT"),BA1839&gt;0),SUMIFS($BA$7:$BA$1843,$CC$7:$CC$1843,CC1839,$BD$7:$BD$1843,"&gt;"&amp;BD1839)+SUMIFS($BA$7:$BA$1843,$CC$7:$CC$1843,CC1839,$BD$7:$BD$1843,BD1839,$BT$7:$BT$1843,"&lt;="&amp;BT1839),"")</f>
        <v/>
      </c>
      <c r="BF1839" s="58" t="n">
        <f aca="false">IF(BE1839="",0,MAX(0,MIN(1,(IF(CC1839="L1",Parameter!$H$5,IF(CC1839="L23",Parameter!$H$6+Parameter!$H$7,Parameter!$H$5+Parameter!$H$6+Parameter!$H$7))-(BE1839-BA1839))/BA1839)))</f>
        <v>0</v>
      </c>
      <c r="BG1839" s="48" t="str">
        <f aca="false">IF(AI1839&lt;=0,"",IF(CC1839="Aussen","Aussenlager",IF(CC1839="-","Nicht im Lift",IF(AN1839&gt;=1,"Lift",IF(AN1839&lt;=0,"Aussenlager","teilweise")))))</f>
        <v/>
      </c>
      <c r="BH1839" s="48" t="str">
        <f aca="false">IF(AR1839&lt;=0,"",IF(CC1839="Aussen","Aussenlager",IF(CC1839="-","Nicht im Lift",IF(AW1839&gt;=1,"Lift",IF(AW1839&lt;=0,"Aussenlager","teilweise")))))</f>
        <v/>
      </c>
      <c r="BI1839" s="48" t="str">
        <f aca="false">IF(BA1839&lt;=0,"",IF(CC1839="Aussen","Aussenlager",IF(CC1839="-","Nicht im Lift",IF(BF1839&gt;=1,"Lift",IF(BF1839&lt;=0,"Aussenlager","teilweise")))))</f>
        <v/>
      </c>
      <c r="BJ1839" s="48" t="str">
        <f aca="false">IF(A1839="","",IF(BS1839=1,"Neu; ","")&amp;IF(AND(BS1839=0,BN1839&lt;0),"negativer Bestand (Export "&amp;BN1839&amp;"); ","")&amp;IF(J1839&lt;=0,"Kein Verbrauch; ","")&amp;IF(CL1839&gt;0,"Lift "&amp;W1839&amp;" lt. Liftbericht (Fach "&amp;X1839&amp;" Stk); ",IF(BX1839=1,"Gebinde geschätzt ("&amp;T1839&amp;"); ",IF(BW1839=1,"Lose – Tablare geschätzt; ","")))&amp;IF(H1839&gt;AT1839,"Überbestand "&amp;ROUND(H1839-AT1839,0)&amp;" Stk / CHF "&amp;ROUND((H1839-AT1839)*G1839,0)&amp;"; ","")&amp;IF(AND(CE1839=1,CF1839&lt;CG1839),"MAX &lt; MB+LG; ","")&amp;IF(AND(CK1839&gt;0,CJ1839*10&gt;CK1839),"zu hoch für Tablar; ","")&amp;IF(AND(BS1839=0,OR(CE1839=1,AA1839&lt;&gt;"",U1839&lt;&gt;"",V1839&lt;&gt;"",AB1839&lt;&gt;"")),"manuell übersteuert; ","")&amp;IF(AND(BW1839=0,R1839=0),"Gebinde unbekannt / Stellmass fehlt; ","")&amp;IF(AND(BW1839=0,N(V1839)&lt;=0,N(Q1839)&lt;=0),"Menge pro Gebinde fehlt (Ist = 1 Gebinde); ","")&amp;BR1839)</f>
        <v/>
      </c>
      <c r="BK1839" s="48"/>
      <c r="BL1839" s="48"/>
      <c r="BM1839" s="55"/>
      <c r="BN1839" s="50" t="n">
        <f aca="false">N('Neue Artikel'!$D$100)</f>
        <v>0</v>
      </c>
      <c r="BO1839" s="50" t="n">
        <v>0</v>
      </c>
      <c r="BP1839" s="49" t="n">
        <v>0</v>
      </c>
      <c r="BQ1839" s="50" t="n">
        <f aca="false">N('Neue Artikel'!$C$100)/Parameter!$B$18</f>
        <v>0</v>
      </c>
      <c r="BR1839" s="48"/>
      <c r="BS1839" s="53" t="n">
        <v>1</v>
      </c>
      <c r="BT1839" s="53" t="n">
        <v>1839</v>
      </c>
      <c r="BU1839" s="48" t="str">
        <f aca="false">IF(U1839&lt;&gt;"",UPPER(TRIM(U1839)),IF(BX1839=1,UPPER(VLOOKUP(T1839,Parameter!$I$27:$K$29,2,0)),IF(P1839="","LOSE",P1839)))</f>
        <v>LOSE</v>
      </c>
      <c r="BV1839" s="50" t="n">
        <f aca="false">IF(BU1839="LOSE",1,IF(N(V1839)&gt;0,V1839,IF(BX1839=1,MAX(1,N(VLOOKUP(T1839,Parameter!$I$27:$K$29,3,0)),H1839,N(N1839)),IF(N(Q1839)&gt;0,Q1839,MAX(1,H1839)))))</f>
        <v>1</v>
      </c>
      <c r="BW1839" s="53" t="n">
        <f aca="false">IF(BU1839="LOSE",1,0)</f>
        <v>1</v>
      </c>
      <c r="BX1839" s="53" t="n">
        <f aca="false">IF(AND(U1839="",OR(P1839="",P1839="LOSE"),T1839&lt;&gt;"",N(S1839)&lt;=0,ISNUMBER(MATCH(T1839,Parameter!$I$27:$I$29,0))),1,0)</f>
        <v>0</v>
      </c>
      <c r="BY1839" s="53" t="n">
        <f aca="false">IF(CL1839&gt;0,INDEX(Parameter!$H$5:$H$7,W1839)/INDEX(Parameter!$E$5:$E$7,W1839),IF(AND(BW1839=0,N(IFERROR(VLOOKUP(BU1839,'Gebinde-Kategorie'!$A$5:$N$45,14,0),0))&gt;0),VLOOKUP(BU1839,'Gebinde-Kategorie'!$A$5:$N$45,14,0)*10+Parameter!$M$23,Parameter!$M$24))</f>
        <v>235</v>
      </c>
      <c r="BZ1839" s="48" t="str">
        <f aca="false">IF(AND(Parameter!$B$19="Ja",E1839&lt;&gt;"",ISNUMBER(MATCH(E1839,Parameter!$I$35:$I$52,0))),VLOOKUP(E1839,Parameter!$I$35:$J$52,2,0),IFERROR(VLOOKUP(D1839,Parameter!$A$35:$C$64,2,0),"Nein"))</f>
        <v>2+3</v>
      </c>
      <c r="CA1839" s="52" t="n">
        <f aca="false">IF(BW1839=0,0,IF(N(S1839)&gt;0,S1839,IFERROR(VLOOKUP(D1839,Parameter!$A$35:$C$64,3,0)+0,0)))</f>
        <v>0.15</v>
      </c>
      <c r="CB1839" s="48" t="str">
        <f aca="false">IF(AA1839&lt;&gt;"",AA1839,Z1839)</f>
        <v/>
      </c>
      <c r="CC1839" s="48" t="str">
        <f aca="false">IF(OR(CB1839=1,CB1839=2,CB1839=3),IF(Parameter!$E$27="Ja","LIFT",IF(CB1839=1,"L1","L23")),IF(CB1839="Aussen","Aussen","-"))</f>
        <v>-</v>
      </c>
      <c r="CD1839" s="59" t="n">
        <f aca="false">IF(N(AB1839)&gt;0,AB1839,0)</f>
        <v>0</v>
      </c>
      <c r="CE1839" s="53" t="n">
        <f aca="false">IF(ISNUMBER(AE1839),1,0)</f>
        <v>0</v>
      </c>
      <c r="CF1839" s="50" t="n">
        <f aca="false">N(AE1839)</f>
        <v>0</v>
      </c>
      <c r="CG1839" s="50" t="n">
        <f aca="false">N(M1839)+N(N1839)</f>
        <v>0</v>
      </c>
      <c r="CH1839" s="50" t="n">
        <f aca="false">ROUNDUP(H1839/BV1839,0)</f>
        <v>0</v>
      </c>
      <c r="CI1839" s="50" t="n">
        <f aca="false">ROUNDUP(CF1839/BV1839,0)</f>
        <v>0</v>
      </c>
      <c r="CJ1839" s="53" t="n">
        <f aca="false">IF(BW1839=1,0,IFERROR(VLOOKUP(BU1839,'Gebinde-Kategorie'!$A$5:$N$45,5,0)+0,0))</f>
        <v>0</v>
      </c>
      <c r="CK1839" s="53" t="n">
        <f aca="false">IFERROR(IF(OR(CB1839=1,CB1839=2,CB1839=3),N(INDEX(Parameter!$I$5:$I$7,CB1839)),0),0)</f>
        <v>0</v>
      </c>
      <c r="CL1839" s="52" t="n">
        <f aca="false">IF(AND(Parameter!$B$21="Ja",ISNUMBER(W1839),N(X1839)&gt;0),IFERROR(N(INDEX(Parameter!$L$5:$L$7,W1839))*INDEX(Parameter!$E$5:$E$7,W1839)*X1839/SUMIFS($X$7:$X$1843,$W$7:$W$1843,W1839),0),0)</f>
        <v>0</v>
      </c>
    </row>
    <row r="1840" customFormat="false" ht="15" hidden="false" customHeight="false" outlineLevel="0" collapsed="false">
      <c r="A1840" s="48" t="str">
        <f aca="false">IF('Neue Artikel'!$A$101="","",'Neue Artikel'!$A$101&amp;"")</f>
        <v/>
      </c>
      <c r="B1840" s="48" t="str">
        <f aca="false">'Neue Artikel'!$B$101&amp;""</f>
        <v/>
      </c>
      <c r="C1840" s="48"/>
      <c r="D1840" s="48" t="s">
        <v>3019</v>
      </c>
      <c r="E1840" s="48"/>
      <c r="F1840" s="48"/>
      <c r="G1840" s="49" t="n">
        <f aca="false">N('Neue Artikel'!$G$101)</f>
        <v>0</v>
      </c>
      <c r="H1840" s="50" t="n">
        <f aca="false">MAX(0,IF(AND(Parameter!$B$21="Ja",ISNUMBER(Y1840)),Y1840,IF(Parameter!$B$20="Jahresanfang 2025 + Export",BO1840+BN1840,BN1840)))</f>
        <v>0</v>
      </c>
      <c r="I1840" s="50" t="n">
        <f aca="false">H1840*G1840</f>
        <v>0</v>
      </c>
      <c r="J1840" s="50" t="n">
        <f aca="false">BQ1840*Parameter!$B$18</f>
        <v>0</v>
      </c>
      <c r="K1840" s="51"/>
      <c r="L1840" s="52"/>
      <c r="M1840" s="50" t="n">
        <f aca="false">N('Neue Artikel'!$E$101)</f>
        <v>0</v>
      </c>
      <c r="N1840" s="50" t="n">
        <f aca="false">N('Neue Artikel'!$F$101)</f>
        <v>0</v>
      </c>
      <c r="O1840" s="53"/>
      <c r="P1840" s="48" t="str">
        <f aca="false">IF('Neue Artikel'!$H$101="","LOSE",UPPER(TRIM('Neue Artikel'!$H$101)))</f>
        <v>LOSE</v>
      </c>
      <c r="Q1840" s="50" t="n">
        <f aca="false">N('Neue Artikel'!$I$101)</f>
        <v>0</v>
      </c>
      <c r="R1840" s="53" t="n">
        <f aca="false">IF(BW1840=1,0,IFERROR(VLOOKUP(BU1840,'Gebinde-Kategorie'!$A$5:$N$45,13,0)+0,0))</f>
        <v>0</v>
      </c>
      <c r="S1840" s="54"/>
      <c r="T1840" s="55"/>
      <c r="U1840" s="55"/>
      <c r="V1840" s="55"/>
      <c r="W1840" s="48"/>
      <c r="X1840" s="50"/>
      <c r="Y1840" s="50"/>
      <c r="Z1840" s="48" t="str">
        <f aca="false">IF(A1840="","",IF(AND(Parameter!$B$21="Ja",ISNUMBER(W1840)),W1840,IF(BZ1840="2+3",IF(ISNUMBER(SEARCH("grosser Artikel",BR1840)),2,IFERROR(VLOOKUP(BU1840,Parameter!$F$35:$G$64,2,0),2)),IF(OR(BZ1840="Nein",BZ1840=""),"-",BZ1840))))</f>
        <v/>
      </c>
      <c r="AA1840" s="48" t="str">
        <f aca="false">IF('Neue Artikel'!$J$101="","",'Neue Artikel'!$J$101)</f>
        <v/>
      </c>
      <c r="AB1840" s="56"/>
      <c r="AC1840" s="50" t="n">
        <f aca="false">AT1840</f>
        <v>0</v>
      </c>
      <c r="AD1840" s="50" t="n">
        <f aca="false">MAX(AT1840,H1840)</f>
        <v>0</v>
      </c>
      <c r="AE1840" s="57"/>
      <c r="AF1840" s="50" t="n">
        <f aca="false">IF(LEFT(Cockpit!$C$5,1)="A",H1840,IF(CE1840=1,CF1840,IF(LEFT(Cockpit!$C$5,1)="B",AK1840,MAX(AK1840,H1840))))</f>
        <v>0</v>
      </c>
      <c r="AG1840" s="50" t="n">
        <f aca="false">IF(BW1840=1,0,ROUNDUP(AF1840/BV1840,0))</f>
        <v>0</v>
      </c>
      <c r="AH1840" s="52" t="n">
        <f aca="false">IF(CL1840&gt;0,CL1840*MAX(1,AF1840/X1840),IF(BW1840=1,IF(AF1840&lt;=0,0,CA1840*MAX(1,IF(H1840&gt;0,AF1840/H1840,1))),IF(R1840&gt;0,AG1840/R1840,0))/MAX(0.1,N(Parameter!$M$21)))</f>
        <v>0</v>
      </c>
      <c r="AI1840" s="50" t="n">
        <f aca="false">AH1840*BY1840</f>
        <v>0</v>
      </c>
      <c r="AJ1840" s="50" t="n">
        <f aca="false">AF1840*G1840</f>
        <v>0</v>
      </c>
      <c r="AK1840" s="50" t="n">
        <f aca="false">ROUNDUP(MAX(J1840/IF(CD1840&gt;0,CD1840,MAX(0.1,N(Cockpit!$C$6))),CG1840)/BV1840,0)*BV1840</f>
        <v>0</v>
      </c>
      <c r="AL1840" s="51" t="n">
        <f aca="false">IF(AI1840&gt;0,J1840/AI1840,-1)</f>
        <v>-1</v>
      </c>
      <c r="AM1840" s="51" t="str">
        <f aca="false">IF(AND(OR(CC1840="L1",CC1840="L23",CC1840="LIFT"),AI1840&gt;0),SUMIFS($AI$7:$AI$1843,$CC$7:$CC$1843,CC1840,$AL$7:$AL$1843,"&gt;"&amp;AL1840)+SUMIFS($AI$7:$AI$1843,$CC$7:$CC$1843,CC1840,$AL$7:$AL$1843,AL1840,$BT$7:$BT$1843,"&lt;="&amp;BT1840),"")</f>
        <v/>
      </c>
      <c r="AN1840" s="58" t="n">
        <f aca="false">IF(AM1840="",0,MAX(0,MIN(1,(IF(CC1840="L1",Parameter!$H$5,IF(CC1840="L23",Parameter!$H$6+Parameter!$H$7,Parameter!$H$5+Parameter!$H$6+Parameter!$H$7))-(AM1840-AI1840))/AI1840)))</f>
        <v>0</v>
      </c>
      <c r="AO1840" s="50" t="n">
        <f aca="false">IF(LEFT(Cockpit!$I$5,1)="A",H1840,IF(CE1840=1,CF1840,IF(LEFT(Cockpit!$I$5,1)="B",AT1840,MAX(AT1840,H1840))))</f>
        <v>0</v>
      </c>
      <c r="AP1840" s="50" t="n">
        <f aca="false">IF(BW1840=1,0,ROUNDUP(AO1840/BV1840,0))</f>
        <v>0</v>
      </c>
      <c r="AQ1840" s="52" t="n">
        <f aca="false">IF(CL1840&gt;0,CL1840*MAX(1,AO1840/X1840),IF(BW1840=1,IF(AO1840&lt;=0,0,CA1840*MAX(1,IF(H1840&gt;0,AO1840/H1840,1))),IF(R1840&gt;0,AP1840/R1840,0))/MAX(0.1,N(Parameter!$M$21)))</f>
        <v>0</v>
      </c>
      <c r="AR1840" s="50" t="n">
        <f aca="false">AQ1840*BY1840</f>
        <v>0</v>
      </c>
      <c r="AS1840" s="50" t="n">
        <f aca="false">AO1840*G1840</f>
        <v>0</v>
      </c>
      <c r="AT1840" s="50" t="n">
        <f aca="false">ROUNDUP(MAX(J1840/IF(CD1840&gt;0,CD1840,MAX(0.1,N(Cockpit!$I$6))),CG1840)/BV1840,0)*BV1840</f>
        <v>0</v>
      </c>
      <c r="AU1840" s="51" t="n">
        <f aca="false">IF(AR1840&gt;0,J1840/AR1840,-1)</f>
        <v>-1</v>
      </c>
      <c r="AV1840" s="51" t="str">
        <f aca="false">IF(AND(OR(CC1840="L1",CC1840="L23",CC1840="LIFT"),AR1840&gt;0),SUMIFS($AR$7:$AR$1843,$CC$7:$CC$1843,CC1840,$AU$7:$AU$1843,"&gt;"&amp;AU1840)+SUMIFS($AR$7:$AR$1843,$CC$7:$CC$1843,CC1840,$AU$7:$AU$1843,AU1840,$BT$7:$BT$1843,"&lt;="&amp;BT1840),"")</f>
        <v/>
      </c>
      <c r="AW1840" s="58" t="n">
        <f aca="false">IF(AV1840="",0,MAX(0,MIN(1,(IF(CC1840="L1",Parameter!$H$5,IF(CC1840="L23",Parameter!$H$6+Parameter!$H$7,Parameter!$H$5+Parameter!$H$6+Parameter!$H$7))-(AV1840-AR1840))/AR1840)))</f>
        <v>0</v>
      </c>
      <c r="AX1840" s="50" t="n">
        <f aca="false">IF(LEFT(Cockpit!$O$5,1)="A",H1840,IF(CE1840=1,CF1840,IF(LEFT(Cockpit!$O$5,1)="B",BC1840,MAX(BC1840,H1840))))</f>
        <v>0</v>
      </c>
      <c r="AY1840" s="50" t="n">
        <f aca="false">IF(BW1840=1,0,ROUNDUP(AX1840/BV1840,0))</f>
        <v>0</v>
      </c>
      <c r="AZ1840" s="52" t="n">
        <f aca="false">IF(CL1840&gt;0,CL1840*MAX(1,AX1840/X1840),IF(BW1840=1,IF(AX1840&lt;=0,0,CA1840*MAX(1,IF(H1840&gt;0,AX1840/H1840,1))),IF(R1840&gt;0,AY1840/R1840,0))/MAX(0.1,N(Parameter!$M$21)))</f>
        <v>0</v>
      </c>
      <c r="BA1840" s="50" t="n">
        <f aca="false">AZ1840*BY1840</f>
        <v>0</v>
      </c>
      <c r="BB1840" s="50" t="n">
        <f aca="false">AX1840*G1840</f>
        <v>0</v>
      </c>
      <c r="BC1840" s="50" t="n">
        <f aca="false">ROUNDUP(MAX(J1840/IF(CD1840&gt;0,CD1840,MAX(0.1,N(Cockpit!$O$6))),CG1840)/BV1840,0)*BV1840</f>
        <v>0</v>
      </c>
      <c r="BD1840" s="51" t="n">
        <f aca="false">IF(BA1840&gt;0,J1840/BA1840,-1)</f>
        <v>-1</v>
      </c>
      <c r="BE1840" s="51" t="str">
        <f aca="false">IF(AND(OR(CC1840="L1",CC1840="L23",CC1840="LIFT"),BA1840&gt;0),SUMIFS($BA$7:$BA$1843,$CC$7:$CC$1843,CC1840,$BD$7:$BD$1843,"&gt;"&amp;BD1840)+SUMIFS($BA$7:$BA$1843,$CC$7:$CC$1843,CC1840,$BD$7:$BD$1843,BD1840,$BT$7:$BT$1843,"&lt;="&amp;BT1840),"")</f>
        <v/>
      </c>
      <c r="BF1840" s="58" t="n">
        <f aca="false">IF(BE1840="",0,MAX(0,MIN(1,(IF(CC1840="L1",Parameter!$H$5,IF(CC1840="L23",Parameter!$H$6+Parameter!$H$7,Parameter!$H$5+Parameter!$H$6+Parameter!$H$7))-(BE1840-BA1840))/BA1840)))</f>
        <v>0</v>
      </c>
      <c r="BG1840" s="48" t="str">
        <f aca="false">IF(AI1840&lt;=0,"",IF(CC1840="Aussen","Aussenlager",IF(CC1840="-","Nicht im Lift",IF(AN1840&gt;=1,"Lift",IF(AN1840&lt;=0,"Aussenlager","teilweise")))))</f>
        <v/>
      </c>
      <c r="BH1840" s="48" t="str">
        <f aca="false">IF(AR1840&lt;=0,"",IF(CC1840="Aussen","Aussenlager",IF(CC1840="-","Nicht im Lift",IF(AW1840&gt;=1,"Lift",IF(AW1840&lt;=0,"Aussenlager","teilweise")))))</f>
        <v/>
      </c>
      <c r="BI1840" s="48" t="str">
        <f aca="false">IF(BA1840&lt;=0,"",IF(CC1840="Aussen","Aussenlager",IF(CC1840="-","Nicht im Lift",IF(BF1840&gt;=1,"Lift",IF(BF1840&lt;=0,"Aussenlager","teilweise")))))</f>
        <v/>
      </c>
      <c r="BJ1840" s="48" t="str">
        <f aca="false">IF(A1840="","",IF(BS1840=1,"Neu; ","")&amp;IF(AND(BS1840=0,BN1840&lt;0),"negativer Bestand (Export "&amp;BN1840&amp;"); ","")&amp;IF(J1840&lt;=0,"Kein Verbrauch; ","")&amp;IF(CL1840&gt;0,"Lift "&amp;W1840&amp;" lt. Liftbericht (Fach "&amp;X1840&amp;" Stk); ",IF(BX1840=1,"Gebinde geschätzt ("&amp;T1840&amp;"); ",IF(BW1840=1,"Lose – Tablare geschätzt; ","")))&amp;IF(H1840&gt;AT1840,"Überbestand "&amp;ROUND(H1840-AT1840,0)&amp;" Stk / CHF "&amp;ROUND((H1840-AT1840)*G1840,0)&amp;"; ","")&amp;IF(AND(CE1840=1,CF1840&lt;CG1840),"MAX &lt; MB+LG; ","")&amp;IF(AND(CK1840&gt;0,CJ1840*10&gt;CK1840),"zu hoch für Tablar; ","")&amp;IF(AND(BS1840=0,OR(CE1840=1,AA1840&lt;&gt;"",U1840&lt;&gt;"",V1840&lt;&gt;"",AB1840&lt;&gt;"")),"manuell übersteuert; ","")&amp;IF(AND(BW1840=0,R1840=0),"Gebinde unbekannt / Stellmass fehlt; ","")&amp;IF(AND(BW1840=0,N(V1840)&lt;=0,N(Q1840)&lt;=0),"Menge pro Gebinde fehlt (Ist = 1 Gebinde); ","")&amp;BR1840)</f>
        <v/>
      </c>
      <c r="BK1840" s="48"/>
      <c r="BL1840" s="48"/>
      <c r="BM1840" s="55"/>
      <c r="BN1840" s="50" t="n">
        <f aca="false">N('Neue Artikel'!$D$101)</f>
        <v>0</v>
      </c>
      <c r="BO1840" s="50" t="n">
        <v>0</v>
      </c>
      <c r="BP1840" s="49" t="n">
        <v>0</v>
      </c>
      <c r="BQ1840" s="50" t="n">
        <f aca="false">N('Neue Artikel'!$C$101)/Parameter!$B$18</f>
        <v>0</v>
      </c>
      <c r="BR1840" s="48"/>
      <c r="BS1840" s="53" t="n">
        <v>1</v>
      </c>
      <c r="BT1840" s="53" t="n">
        <v>1840</v>
      </c>
      <c r="BU1840" s="48" t="str">
        <f aca="false">IF(U1840&lt;&gt;"",UPPER(TRIM(U1840)),IF(BX1840=1,UPPER(VLOOKUP(T1840,Parameter!$I$27:$K$29,2,0)),IF(P1840="","LOSE",P1840)))</f>
        <v>LOSE</v>
      </c>
      <c r="BV1840" s="50" t="n">
        <f aca="false">IF(BU1840="LOSE",1,IF(N(V1840)&gt;0,V1840,IF(BX1840=1,MAX(1,N(VLOOKUP(T1840,Parameter!$I$27:$K$29,3,0)),H1840,N(N1840)),IF(N(Q1840)&gt;0,Q1840,MAX(1,H1840)))))</f>
        <v>1</v>
      </c>
      <c r="BW1840" s="53" t="n">
        <f aca="false">IF(BU1840="LOSE",1,0)</f>
        <v>1</v>
      </c>
      <c r="BX1840" s="53" t="n">
        <f aca="false">IF(AND(U1840="",OR(P1840="",P1840="LOSE"),T1840&lt;&gt;"",N(S1840)&lt;=0,ISNUMBER(MATCH(T1840,Parameter!$I$27:$I$29,0))),1,0)</f>
        <v>0</v>
      </c>
      <c r="BY1840" s="53" t="n">
        <f aca="false">IF(CL1840&gt;0,INDEX(Parameter!$H$5:$H$7,W1840)/INDEX(Parameter!$E$5:$E$7,W1840),IF(AND(BW1840=0,N(IFERROR(VLOOKUP(BU1840,'Gebinde-Kategorie'!$A$5:$N$45,14,0),0))&gt;0),VLOOKUP(BU1840,'Gebinde-Kategorie'!$A$5:$N$45,14,0)*10+Parameter!$M$23,Parameter!$M$24))</f>
        <v>235</v>
      </c>
      <c r="BZ1840" s="48" t="str">
        <f aca="false">IF(AND(Parameter!$B$19="Ja",E1840&lt;&gt;"",ISNUMBER(MATCH(E1840,Parameter!$I$35:$I$52,0))),VLOOKUP(E1840,Parameter!$I$35:$J$52,2,0),IFERROR(VLOOKUP(D1840,Parameter!$A$35:$C$64,2,0),"Nein"))</f>
        <v>2+3</v>
      </c>
      <c r="CA1840" s="52" t="n">
        <f aca="false">IF(BW1840=0,0,IF(N(S1840)&gt;0,S1840,IFERROR(VLOOKUP(D1840,Parameter!$A$35:$C$64,3,0)+0,0)))</f>
        <v>0.15</v>
      </c>
      <c r="CB1840" s="48" t="str">
        <f aca="false">IF(AA1840&lt;&gt;"",AA1840,Z1840)</f>
        <v/>
      </c>
      <c r="CC1840" s="48" t="str">
        <f aca="false">IF(OR(CB1840=1,CB1840=2,CB1840=3),IF(Parameter!$E$27="Ja","LIFT",IF(CB1840=1,"L1","L23")),IF(CB1840="Aussen","Aussen","-"))</f>
        <v>-</v>
      </c>
      <c r="CD1840" s="59" t="n">
        <f aca="false">IF(N(AB1840)&gt;0,AB1840,0)</f>
        <v>0</v>
      </c>
      <c r="CE1840" s="53" t="n">
        <f aca="false">IF(ISNUMBER(AE1840),1,0)</f>
        <v>0</v>
      </c>
      <c r="CF1840" s="50" t="n">
        <f aca="false">N(AE1840)</f>
        <v>0</v>
      </c>
      <c r="CG1840" s="50" t="n">
        <f aca="false">N(M1840)+N(N1840)</f>
        <v>0</v>
      </c>
      <c r="CH1840" s="50" t="n">
        <f aca="false">ROUNDUP(H1840/BV1840,0)</f>
        <v>0</v>
      </c>
      <c r="CI1840" s="50" t="n">
        <f aca="false">ROUNDUP(CF1840/BV1840,0)</f>
        <v>0</v>
      </c>
      <c r="CJ1840" s="53" t="n">
        <f aca="false">IF(BW1840=1,0,IFERROR(VLOOKUP(BU1840,'Gebinde-Kategorie'!$A$5:$N$45,5,0)+0,0))</f>
        <v>0</v>
      </c>
      <c r="CK1840" s="53" t="n">
        <f aca="false">IFERROR(IF(OR(CB1840=1,CB1840=2,CB1840=3),N(INDEX(Parameter!$I$5:$I$7,CB1840)),0),0)</f>
        <v>0</v>
      </c>
      <c r="CL1840" s="52" t="n">
        <f aca="false">IF(AND(Parameter!$B$21="Ja",ISNUMBER(W1840),N(X1840)&gt;0),IFERROR(N(INDEX(Parameter!$L$5:$L$7,W1840))*INDEX(Parameter!$E$5:$E$7,W1840)*X1840/SUMIFS($X$7:$X$1843,$W$7:$W$1843,W1840),0),0)</f>
        <v>0</v>
      </c>
    </row>
    <row r="1841" customFormat="false" ht="15" hidden="false" customHeight="false" outlineLevel="0" collapsed="false">
      <c r="A1841" s="48" t="str">
        <f aca="false">IF('Neue Artikel'!$A$102="","",'Neue Artikel'!$A$102&amp;"")</f>
        <v/>
      </c>
      <c r="B1841" s="48" t="str">
        <f aca="false">'Neue Artikel'!$B$102&amp;""</f>
        <v/>
      </c>
      <c r="C1841" s="48"/>
      <c r="D1841" s="48" t="s">
        <v>3019</v>
      </c>
      <c r="E1841" s="48"/>
      <c r="F1841" s="48"/>
      <c r="G1841" s="49" t="n">
        <f aca="false">N('Neue Artikel'!$G$102)</f>
        <v>0</v>
      </c>
      <c r="H1841" s="50" t="n">
        <f aca="false">MAX(0,IF(AND(Parameter!$B$21="Ja",ISNUMBER(Y1841)),Y1841,IF(Parameter!$B$20="Jahresanfang 2025 + Export",BO1841+BN1841,BN1841)))</f>
        <v>0</v>
      </c>
      <c r="I1841" s="50" t="n">
        <f aca="false">H1841*G1841</f>
        <v>0</v>
      </c>
      <c r="J1841" s="50" t="n">
        <f aca="false">BQ1841*Parameter!$B$18</f>
        <v>0</v>
      </c>
      <c r="K1841" s="51"/>
      <c r="L1841" s="52"/>
      <c r="M1841" s="50" t="n">
        <f aca="false">N('Neue Artikel'!$E$102)</f>
        <v>0</v>
      </c>
      <c r="N1841" s="50" t="n">
        <f aca="false">N('Neue Artikel'!$F$102)</f>
        <v>0</v>
      </c>
      <c r="O1841" s="53"/>
      <c r="P1841" s="48" t="str">
        <f aca="false">IF('Neue Artikel'!$H$102="","LOSE",UPPER(TRIM('Neue Artikel'!$H$102)))</f>
        <v>LOSE</v>
      </c>
      <c r="Q1841" s="50" t="n">
        <f aca="false">N('Neue Artikel'!$I$102)</f>
        <v>0</v>
      </c>
      <c r="R1841" s="53" t="n">
        <f aca="false">IF(BW1841=1,0,IFERROR(VLOOKUP(BU1841,'Gebinde-Kategorie'!$A$5:$N$45,13,0)+0,0))</f>
        <v>0</v>
      </c>
      <c r="S1841" s="54"/>
      <c r="T1841" s="55"/>
      <c r="U1841" s="55"/>
      <c r="V1841" s="55"/>
      <c r="W1841" s="48"/>
      <c r="X1841" s="50"/>
      <c r="Y1841" s="50"/>
      <c r="Z1841" s="48" t="str">
        <f aca="false">IF(A1841="","",IF(AND(Parameter!$B$21="Ja",ISNUMBER(W1841)),W1841,IF(BZ1841="2+3",IF(ISNUMBER(SEARCH("grosser Artikel",BR1841)),2,IFERROR(VLOOKUP(BU1841,Parameter!$F$35:$G$64,2,0),2)),IF(OR(BZ1841="Nein",BZ1841=""),"-",BZ1841))))</f>
        <v/>
      </c>
      <c r="AA1841" s="48" t="str">
        <f aca="false">IF('Neue Artikel'!$J$102="","",'Neue Artikel'!$J$102)</f>
        <v/>
      </c>
      <c r="AB1841" s="56"/>
      <c r="AC1841" s="50" t="n">
        <f aca="false">AT1841</f>
        <v>0</v>
      </c>
      <c r="AD1841" s="50" t="n">
        <f aca="false">MAX(AT1841,H1841)</f>
        <v>0</v>
      </c>
      <c r="AE1841" s="57"/>
      <c r="AF1841" s="50" t="n">
        <f aca="false">IF(LEFT(Cockpit!$C$5,1)="A",H1841,IF(CE1841=1,CF1841,IF(LEFT(Cockpit!$C$5,1)="B",AK1841,MAX(AK1841,H1841))))</f>
        <v>0</v>
      </c>
      <c r="AG1841" s="50" t="n">
        <f aca="false">IF(BW1841=1,0,ROUNDUP(AF1841/BV1841,0))</f>
        <v>0</v>
      </c>
      <c r="AH1841" s="52" t="n">
        <f aca="false">IF(CL1841&gt;0,CL1841*MAX(1,AF1841/X1841),IF(BW1841=1,IF(AF1841&lt;=0,0,CA1841*MAX(1,IF(H1841&gt;0,AF1841/H1841,1))),IF(R1841&gt;0,AG1841/R1841,0))/MAX(0.1,N(Parameter!$M$21)))</f>
        <v>0</v>
      </c>
      <c r="AI1841" s="50" t="n">
        <f aca="false">AH1841*BY1841</f>
        <v>0</v>
      </c>
      <c r="AJ1841" s="50" t="n">
        <f aca="false">AF1841*G1841</f>
        <v>0</v>
      </c>
      <c r="AK1841" s="50" t="n">
        <f aca="false">ROUNDUP(MAX(J1841/IF(CD1841&gt;0,CD1841,MAX(0.1,N(Cockpit!$C$6))),CG1841)/BV1841,0)*BV1841</f>
        <v>0</v>
      </c>
      <c r="AL1841" s="51" t="n">
        <f aca="false">IF(AI1841&gt;0,J1841/AI1841,-1)</f>
        <v>-1</v>
      </c>
      <c r="AM1841" s="51" t="str">
        <f aca="false">IF(AND(OR(CC1841="L1",CC1841="L23",CC1841="LIFT"),AI1841&gt;0),SUMIFS($AI$7:$AI$1843,$CC$7:$CC$1843,CC1841,$AL$7:$AL$1843,"&gt;"&amp;AL1841)+SUMIFS($AI$7:$AI$1843,$CC$7:$CC$1843,CC1841,$AL$7:$AL$1843,AL1841,$BT$7:$BT$1843,"&lt;="&amp;BT1841),"")</f>
        <v/>
      </c>
      <c r="AN1841" s="58" t="n">
        <f aca="false">IF(AM1841="",0,MAX(0,MIN(1,(IF(CC1841="L1",Parameter!$H$5,IF(CC1841="L23",Parameter!$H$6+Parameter!$H$7,Parameter!$H$5+Parameter!$H$6+Parameter!$H$7))-(AM1841-AI1841))/AI1841)))</f>
        <v>0</v>
      </c>
      <c r="AO1841" s="50" t="n">
        <f aca="false">IF(LEFT(Cockpit!$I$5,1)="A",H1841,IF(CE1841=1,CF1841,IF(LEFT(Cockpit!$I$5,1)="B",AT1841,MAX(AT1841,H1841))))</f>
        <v>0</v>
      </c>
      <c r="AP1841" s="50" t="n">
        <f aca="false">IF(BW1841=1,0,ROUNDUP(AO1841/BV1841,0))</f>
        <v>0</v>
      </c>
      <c r="AQ1841" s="52" t="n">
        <f aca="false">IF(CL1841&gt;0,CL1841*MAX(1,AO1841/X1841),IF(BW1841=1,IF(AO1841&lt;=0,0,CA1841*MAX(1,IF(H1841&gt;0,AO1841/H1841,1))),IF(R1841&gt;0,AP1841/R1841,0))/MAX(0.1,N(Parameter!$M$21)))</f>
        <v>0</v>
      </c>
      <c r="AR1841" s="50" t="n">
        <f aca="false">AQ1841*BY1841</f>
        <v>0</v>
      </c>
      <c r="AS1841" s="50" t="n">
        <f aca="false">AO1841*G1841</f>
        <v>0</v>
      </c>
      <c r="AT1841" s="50" t="n">
        <f aca="false">ROUNDUP(MAX(J1841/IF(CD1841&gt;0,CD1841,MAX(0.1,N(Cockpit!$I$6))),CG1841)/BV1841,0)*BV1841</f>
        <v>0</v>
      </c>
      <c r="AU1841" s="51" t="n">
        <f aca="false">IF(AR1841&gt;0,J1841/AR1841,-1)</f>
        <v>-1</v>
      </c>
      <c r="AV1841" s="51" t="str">
        <f aca="false">IF(AND(OR(CC1841="L1",CC1841="L23",CC1841="LIFT"),AR1841&gt;0),SUMIFS($AR$7:$AR$1843,$CC$7:$CC$1843,CC1841,$AU$7:$AU$1843,"&gt;"&amp;AU1841)+SUMIFS($AR$7:$AR$1843,$CC$7:$CC$1843,CC1841,$AU$7:$AU$1843,AU1841,$BT$7:$BT$1843,"&lt;="&amp;BT1841),"")</f>
        <v/>
      </c>
      <c r="AW1841" s="58" t="n">
        <f aca="false">IF(AV1841="",0,MAX(0,MIN(1,(IF(CC1841="L1",Parameter!$H$5,IF(CC1841="L23",Parameter!$H$6+Parameter!$H$7,Parameter!$H$5+Parameter!$H$6+Parameter!$H$7))-(AV1841-AR1841))/AR1841)))</f>
        <v>0</v>
      </c>
      <c r="AX1841" s="50" t="n">
        <f aca="false">IF(LEFT(Cockpit!$O$5,1)="A",H1841,IF(CE1841=1,CF1841,IF(LEFT(Cockpit!$O$5,1)="B",BC1841,MAX(BC1841,H1841))))</f>
        <v>0</v>
      </c>
      <c r="AY1841" s="50" t="n">
        <f aca="false">IF(BW1841=1,0,ROUNDUP(AX1841/BV1841,0))</f>
        <v>0</v>
      </c>
      <c r="AZ1841" s="52" t="n">
        <f aca="false">IF(CL1841&gt;0,CL1841*MAX(1,AX1841/X1841),IF(BW1841=1,IF(AX1841&lt;=0,0,CA1841*MAX(1,IF(H1841&gt;0,AX1841/H1841,1))),IF(R1841&gt;0,AY1841/R1841,0))/MAX(0.1,N(Parameter!$M$21)))</f>
        <v>0</v>
      </c>
      <c r="BA1841" s="50" t="n">
        <f aca="false">AZ1841*BY1841</f>
        <v>0</v>
      </c>
      <c r="BB1841" s="50" t="n">
        <f aca="false">AX1841*G1841</f>
        <v>0</v>
      </c>
      <c r="BC1841" s="50" t="n">
        <f aca="false">ROUNDUP(MAX(J1841/IF(CD1841&gt;0,CD1841,MAX(0.1,N(Cockpit!$O$6))),CG1841)/BV1841,0)*BV1841</f>
        <v>0</v>
      </c>
      <c r="BD1841" s="51" t="n">
        <f aca="false">IF(BA1841&gt;0,J1841/BA1841,-1)</f>
        <v>-1</v>
      </c>
      <c r="BE1841" s="51" t="str">
        <f aca="false">IF(AND(OR(CC1841="L1",CC1841="L23",CC1841="LIFT"),BA1841&gt;0),SUMIFS($BA$7:$BA$1843,$CC$7:$CC$1843,CC1841,$BD$7:$BD$1843,"&gt;"&amp;BD1841)+SUMIFS($BA$7:$BA$1843,$CC$7:$CC$1843,CC1841,$BD$7:$BD$1843,BD1841,$BT$7:$BT$1843,"&lt;="&amp;BT1841),"")</f>
        <v/>
      </c>
      <c r="BF1841" s="58" t="n">
        <f aca="false">IF(BE1841="",0,MAX(0,MIN(1,(IF(CC1841="L1",Parameter!$H$5,IF(CC1841="L23",Parameter!$H$6+Parameter!$H$7,Parameter!$H$5+Parameter!$H$6+Parameter!$H$7))-(BE1841-BA1841))/BA1841)))</f>
        <v>0</v>
      </c>
      <c r="BG1841" s="48" t="str">
        <f aca="false">IF(AI1841&lt;=0,"",IF(CC1841="Aussen","Aussenlager",IF(CC1841="-","Nicht im Lift",IF(AN1841&gt;=1,"Lift",IF(AN1841&lt;=0,"Aussenlager","teilweise")))))</f>
        <v/>
      </c>
      <c r="BH1841" s="48" t="str">
        <f aca="false">IF(AR1841&lt;=0,"",IF(CC1841="Aussen","Aussenlager",IF(CC1841="-","Nicht im Lift",IF(AW1841&gt;=1,"Lift",IF(AW1841&lt;=0,"Aussenlager","teilweise")))))</f>
        <v/>
      </c>
      <c r="BI1841" s="48" t="str">
        <f aca="false">IF(BA1841&lt;=0,"",IF(CC1841="Aussen","Aussenlager",IF(CC1841="-","Nicht im Lift",IF(BF1841&gt;=1,"Lift",IF(BF1841&lt;=0,"Aussenlager","teilweise")))))</f>
        <v/>
      </c>
      <c r="BJ1841" s="48" t="str">
        <f aca="false">IF(A1841="","",IF(BS1841=1,"Neu; ","")&amp;IF(AND(BS1841=0,BN1841&lt;0),"negativer Bestand (Export "&amp;BN1841&amp;"); ","")&amp;IF(J1841&lt;=0,"Kein Verbrauch; ","")&amp;IF(CL1841&gt;0,"Lift "&amp;W1841&amp;" lt. Liftbericht (Fach "&amp;X1841&amp;" Stk); ",IF(BX1841=1,"Gebinde geschätzt ("&amp;T1841&amp;"); ",IF(BW1841=1,"Lose – Tablare geschätzt; ","")))&amp;IF(H1841&gt;AT1841,"Überbestand "&amp;ROUND(H1841-AT1841,0)&amp;" Stk / CHF "&amp;ROUND((H1841-AT1841)*G1841,0)&amp;"; ","")&amp;IF(AND(CE1841=1,CF1841&lt;CG1841),"MAX &lt; MB+LG; ","")&amp;IF(AND(CK1841&gt;0,CJ1841*10&gt;CK1841),"zu hoch für Tablar; ","")&amp;IF(AND(BS1841=0,OR(CE1841=1,AA1841&lt;&gt;"",U1841&lt;&gt;"",V1841&lt;&gt;"",AB1841&lt;&gt;"")),"manuell übersteuert; ","")&amp;IF(AND(BW1841=0,R1841=0),"Gebinde unbekannt / Stellmass fehlt; ","")&amp;IF(AND(BW1841=0,N(V1841)&lt;=0,N(Q1841)&lt;=0),"Menge pro Gebinde fehlt (Ist = 1 Gebinde); ","")&amp;BR1841)</f>
        <v/>
      </c>
      <c r="BK1841" s="48"/>
      <c r="BL1841" s="48"/>
      <c r="BM1841" s="55"/>
      <c r="BN1841" s="50" t="n">
        <f aca="false">N('Neue Artikel'!$D$102)</f>
        <v>0</v>
      </c>
      <c r="BO1841" s="50" t="n">
        <v>0</v>
      </c>
      <c r="BP1841" s="49" t="n">
        <v>0</v>
      </c>
      <c r="BQ1841" s="50" t="n">
        <f aca="false">N('Neue Artikel'!$C$102)/Parameter!$B$18</f>
        <v>0</v>
      </c>
      <c r="BR1841" s="48"/>
      <c r="BS1841" s="53" t="n">
        <v>1</v>
      </c>
      <c r="BT1841" s="53" t="n">
        <v>1841</v>
      </c>
      <c r="BU1841" s="48" t="str">
        <f aca="false">IF(U1841&lt;&gt;"",UPPER(TRIM(U1841)),IF(BX1841=1,UPPER(VLOOKUP(T1841,Parameter!$I$27:$K$29,2,0)),IF(P1841="","LOSE",P1841)))</f>
        <v>LOSE</v>
      </c>
      <c r="BV1841" s="50" t="n">
        <f aca="false">IF(BU1841="LOSE",1,IF(N(V1841)&gt;0,V1841,IF(BX1841=1,MAX(1,N(VLOOKUP(T1841,Parameter!$I$27:$K$29,3,0)),H1841,N(N1841)),IF(N(Q1841)&gt;0,Q1841,MAX(1,H1841)))))</f>
        <v>1</v>
      </c>
      <c r="BW1841" s="53" t="n">
        <f aca="false">IF(BU1841="LOSE",1,0)</f>
        <v>1</v>
      </c>
      <c r="BX1841" s="53" t="n">
        <f aca="false">IF(AND(U1841="",OR(P1841="",P1841="LOSE"),T1841&lt;&gt;"",N(S1841)&lt;=0,ISNUMBER(MATCH(T1841,Parameter!$I$27:$I$29,0))),1,0)</f>
        <v>0</v>
      </c>
      <c r="BY1841" s="53" t="n">
        <f aca="false">IF(CL1841&gt;0,INDEX(Parameter!$H$5:$H$7,W1841)/INDEX(Parameter!$E$5:$E$7,W1841),IF(AND(BW1841=0,N(IFERROR(VLOOKUP(BU1841,'Gebinde-Kategorie'!$A$5:$N$45,14,0),0))&gt;0),VLOOKUP(BU1841,'Gebinde-Kategorie'!$A$5:$N$45,14,0)*10+Parameter!$M$23,Parameter!$M$24))</f>
        <v>235</v>
      </c>
      <c r="BZ1841" s="48" t="str">
        <f aca="false">IF(AND(Parameter!$B$19="Ja",E1841&lt;&gt;"",ISNUMBER(MATCH(E1841,Parameter!$I$35:$I$52,0))),VLOOKUP(E1841,Parameter!$I$35:$J$52,2,0),IFERROR(VLOOKUP(D1841,Parameter!$A$35:$C$64,2,0),"Nein"))</f>
        <v>2+3</v>
      </c>
      <c r="CA1841" s="52" t="n">
        <f aca="false">IF(BW1841=0,0,IF(N(S1841)&gt;0,S1841,IFERROR(VLOOKUP(D1841,Parameter!$A$35:$C$64,3,0)+0,0)))</f>
        <v>0.15</v>
      </c>
      <c r="CB1841" s="48" t="str">
        <f aca="false">IF(AA1841&lt;&gt;"",AA1841,Z1841)</f>
        <v/>
      </c>
      <c r="CC1841" s="48" t="str">
        <f aca="false">IF(OR(CB1841=1,CB1841=2,CB1841=3),IF(Parameter!$E$27="Ja","LIFT",IF(CB1841=1,"L1","L23")),IF(CB1841="Aussen","Aussen","-"))</f>
        <v>-</v>
      </c>
      <c r="CD1841" s="59" t="n">
        <f aca="false">IF(N(AB1841)&gt;0,AB1841,0)</f>
        <v>0</v>
      </c>
      <c r="CE1841" s="53" t="n">
        <f aca="false">IF(ISNUMBER(AE1841),1,0)</f>
        <v>0</v>
      </c>
      <c r="CF1841" s="50" t="n">
        <f aca="false">N(AE1841)</f>
        <v>0</v>
      </c>
      <c r="CG1841" s="50" t="n">
        <f aca="false">N(M1841)+N(N1841)</f>
        <v>0</v>
      </c>
      <c r="CH1841" s="50" t="n">
        <f aca="false">ROUNDUP(H1841/BV1841,0)</f>
        <v>0</v>
      </c>
      <c r="CI1841" s="50" t="n">
        <f aca="false">ROUNDUP(CF1841/BV1841,0)</f>
        <v>0</v>
      </c>
      <c r="CJ1841" s="53" t="n">
        <f aca="false">IF(BW1841=1,0,IFERROR(VLOOKUP(BU1841,'Gebinde-Kategorie'!$A$5:$N$45,5,0)+0,0))</f>
        <v>0</v>
      </c>
      <c r="CK1841" s="53" t="n">
        <f aca="false">IFERROR(IF(OR(CB1841=1,CB1841=2,CB1841=3),N(INDEX(Parameter!$I$5:$I$7,CB1841)),0),0)</f>
        <v>0</v>
      </c>
      <c r="CL1841" s="52" t="n">
        <f aca="false">IF(AND(Parameter!$B$21="Ja",ISNUMBER(W1841),N(X1841)&gt;0),IFERROR(N(INDEX(Parameter!$L$5:$L$7,W1841))*INDEX(Parameter!$E$5:$E$7,W1841)*X1841/SUMIFS($X$7:$X$1843,$W$7:$W$1843,W1841),0),0)</f>
        <v>0</v>
      </c>
    </row>
    <row r="1842" customFormat="false" ht="15" hidden="false" customHeight="false" outlineLevel="0" collapsed="false">
      <c r="A1842" s="48" t="str">
        <f aca="false">IF('Neue Artikel'!$A$103="","",'Neue Artikel'!$A$103&amp;"")</f>
        <v/>
      </c>
      <c r="B1842" s="48" t="str">
        <f aca="false">'Neue Artikel'!$B$103&amp;""</f>
        <v/>
      </c>
      <c r="C1842" s="48"/>
      <c r="D1842" s="48" t="s">
        <v>3019</v>
      </c>
      <c r="E1842" s="48"/>
      <c r="F1842" s="48"/>
      <c r="G1842" s="49" t="n">
        <f aca="false">N('Neue Artikel'!$G$103)</f>
        <v>0</v>
      </c>
      <c r="H1842" s="50" t="n">
        <f aca="false">MAX(0,IF(AND(Parameter!$B$21="Ja",ISNUMBER(Y1842)),Y1842,IF(Parameter!$B$20="Jahresanfang 2025 + Export",BO1842+BN1842,BN1842)))</f>
        <v>0</v>
      </c>
      <c r="I1842" s="50" t="n">
        <f aca="false">H1842*G1842</f>
        <v>0</v>
      </c>
      <c r="J1842" s="50" t="n">
        <f aca="false">BQ1842*Parameter!$B$18</f>
        <v>0</v>
      </c>
      <c r="K1842" s="51"/>
      <c r="L1842" s="52"/>
      <c r="M1842" s="50" t="n">
        <f aca="false">N('Neue Artikel'!$E$103)</f>
        <v>0</v>
      </c>
      <c r="N1842" s="50" t="n">
        <f aca="false">N('Neue Artikel'!$F$103)</f>
        <v>0</v>
      </c>
      <c r="O1842" s="53"/>
      <c r="P1842" s="48" t="str">
        <f aca="false">IF('Neue Artikel'!$H$103="","LOSE",UPPER(TRIM('Neue Artikel'!$H$103)))</f>
        <v>LOSE</v>
      </c>
      <c r="Q1842" s="50" t="n">
        <f aca="false">N('Neue Artikel'!$I$103)</f>
        <v>0</v>
      </c>
      <c r="R1842" s="53" t="n">
        <f aca="false">IF(BW1842=1,0,IFERROR(VLOOKUP(BU1842,'Gebinde-Kategorie'!$A$5:$N$45,13,0)+0,0))</f>
        <v>0</v>
      </c>
      <c r="S1842" s="54"/>
      <c r="T1842" s="55"/>
      <c r="U1842" s="55"/>
      <c r="V1842" s="55"/>
      <c r="W1842" s="48"/>
      <c r="X1842" s="50"/>
      <c r="Y1842" s="50"/>
      <c r="Z1842" s="48" t="str">
        <f aca="false">IF(A1842="","",IF(AND(Parameter!$B$21="Ja",ISNUMBER(W1842)),W1842,IF(BZ1842="2+3",IF(ISNUMBER(SEARCH("grosser Artikel",BR1842)),2,IFERROR(VLOOKUP(BU1842,Parameter!$F$35:$G$64,2,0),2)),IF(OR(BZ1842="Nein",BZ1842=""),"-",BZ1842))))</f>
        <v/>
      </c>
      <c r="AA1842" s="48" t="str">
        <f aca="false">IF('Neue Artikel'!$J$103="","",'Neue Artikel'!$J$103)</f>
        <v/>
      </c>
      <c r="AB1842" s="56"/>
      <c r="AC1842" s="50" t="n">
        <f aca="false">AT1842</f>
        <v>0</v>
      </c>
      <c r="AD1842" s="50" t="n">
        <f aca="false">MAX(AT1842,H1842)</f>
        <v>0</v>
      </c>
      <c r="AE1842" s="57"/>
      <c r="AF1842" s="50" t="n">
        <f aca="false">IF(LEFT(Cockpit!$C$5,1)="A",H1842,IF(CE1842=1,CF1842,IF(LEFT(Cockpit!$C$5,1)="B",AK1842,MAX(AK1842,H1842))))</f>
        <v>0</v>
      </c>
      <c r="AG1842" s="50" t="n">
        <f aca="false">IF(BW1842=1,0,ROUNDUP(AF1842/BV1842,0))</f>
        <v>0</v>
      </c>
      <c r="AH1842" s="52" t="n">
        <f aca="false">IF(CL1842&gt;0,CL1842*MAX(1,AF1842/X1842),IF(BW1842=1,IF(AF1842&lt;=0,0,CA1842*MAX(1,IF(H1842&gt;0,AF1842/H1842,1))),IF(R1842&gt;0,AG1842/R1842,0))/MAX(0.1,N(Parameter!$M$21)))</f>
        <v>0</v>
      </c>
      <c r="AI1842" s="50" t="n">
        <f aca="false">AH1842*BY1842</f>
        <v>0</v>
      </c>
      <c r="AJ1842" s="50" t="n">
        <f aca="false">AF1842*G1842</f>
        <v>0</v>
      </c>
      <c r="AK1842" s="50" t="n">
        <f aca="false">ROUNDUP(MAX(J1842/IF(CD1842&gt;0,CD1842,MAX(0.1,N(Cockpit!$C$6))),CG1842)/BV1842,0)*BV1842</f>
        <v>0</v>
      </c>
      <c r="AL1842" s="51" t="n">
        <f aca="false">IF(AI1842&gt;0,J1842/AI1842,-1)</f>
        <v>-1</v>
      </c>
      <c r="AM1842" s="51" t="str">
        <f aca="false">IF(AND(OR(CC1842="L1",CC1842="L23",CC1842="LIFT"),AI1842&gt;0),SUMIFS($AI$7:$AI$1843,$CC$7:$CC$1843,CC1842,$AL$7:$AL$1843,"&gt;"&amp;AL1842)+SUMIFS($AI$7:$AI$1843,$CC$7:$CC$1843,CC1842,$AL$7:$AL$1843,AL1842,$BT$7:$BT$1843,"&lt;="&amp;BT1842),"")</f>
        <v/>
      </c>
      <c r="AN1842" s="58" t="n">
        <f aca="false">IF(AM1842="",0,MAX(0,MIN(1,(IF(CC1842="L1",Parameter!$H$5,IF(CC1842="L23",Parameter!$H$6+Parameter!$H$7,Parameter!$H$5+Parameter!$H$6+Parameter!$H$7))-(AM1842-AI1842))/AI1842)))</f>
        <v>0</v>
      </c>
      <c r="AO1842" s="50" t="n">
        <f aca="false">IF(LEFT(Cockpit!$I$5,1)="A",H1842,IF(CE1842=1,CF1842,IF(LEFT(Cockpit!$I$5,1)="B",AT1842,MAX(AT1842,H1842))))</f>
        <v>0</v>
      </c>
      <c r="AP1842" s="50" t="n">
        <f aca="false">IF(BW1842=1,0,ROUNDUP(AO1842/BV1842,0))</f>
        <v>0</v>
      </c>
      <c r="AQ1842" s="52" t="n">
        <f aca="false">IF(CL1842&gt;0,CL1842*MAX(1,AO1842/X1842),IF(BW1842=1,IF(AO1842&lt;=0,0,CA1842*MAX(1,IF(H1842&gt;0,AO1842/H1842,1))),IF(R1842&gt;0,AP1842/R1842,0))/MAX(0.1,N(Parameter!$M$21)))</f>
        <v>0</v>
      </c>
      <c r="AR1842" s="50" t="n">
        <f aca="false">AQ1842*BY1842</f>
        <v>0</v>
      </c>
      <c r="AS1842" s="50" t="n">
        <f aca="false">AO1842*G1842</f>
        <v>0</v>
      </c>
      <c r="AT1842" s="50" t="n">
        <f aca="false">ROUNDUP(MAX(J1842/IF(CD1842&gt;0,CD1842,MAX(0.1,N(Cockpit!$I$6))),CG1842)/BV1842,0)*BV1842</f>
        <v>0</v>
      </c>
      <c r="AU1842" s="51" t="n">
        <f aca="false">IF(AR1842&gt;0,J1842/AR1842,-1)</f>
        <v>-1</v>
      </c>
      <c r="AV1842" s="51" t="str">
        <f aca="false">IF(AND(OR(CC1842="L1",CC1842="L23",CC1842="LIFT"),AR1842&gt;0),SUMIFS($AR$7:$AR$1843,$CC$7:$CC$1843,CC1842,$AU$7:$AU$1843,"&gt;"&amp;AU1842)+SUMIFS($AR$7:$AR$1843,$CC$7:$CC$1843,CC1842,$AU$7:$AU$1843,AU1842,$BT$7:$BT$1843,"&lt;="&amp;BT1842),"")</f>
        <v/>
      </c>
      <c r="AW1842" s="58" t="n">
        <f aca="false">IF(AV1842="",0,MAX(0,MIN(1,(IF(CC1842="L1",Parameter!$H$5,IF(CC1842="L23",Parameter!$H$6+Parameter!$H$7,Parameter!$H$5+Parameter!$H$6+Parameter!$H$7))-(AV1842-AR1842))/AR1842)))</f>
        <v>0</v>
      </c>
      <c r="AX1842" s="50" t="n">
        <f aca="false">IF(LEFT(Cockpit!$O$5,1)="A",H1842,IF(CE1842=1,CF1842,IF(LEFT(Cockpit!$O$5,1)="B",BC1842,MAX(BC1842,H1842))))</f>
        <v>0</v>
      </c>
      <c r="AY1842" s="50" t="n">
        <f aca="false">IF(BW1842=1,0,ROUNDUP(AX1842/BV1842,0))</f>
        <v>0</v>
      </c>
      <c r="AZ1842" s="52" t="n">
        <f aca="false">IF(CL1842&gt;0,CL1842*MAX(1,AX1842/X1842),IF(BW1842=1,IF(AX1842&lt;=0,0,CA1842*MAX(1,IF(H1842&gt;0,AX1842/H1842,1))),IF(R1842&gt;0,AY1842/R1842,0))/MAX(0.1,N(Parameter!$M$21)))</f>
        <v>0</v>
      </c>
      <c r="BA1842" s="50" t="n">
        <f aca="false">AZ1842*BY1842</f>
        <v>0</v>
      </c>
      <c r="BB1842" s="50" t="n">
        <f aca="false">AX1842*G1842</f>
        <v>0</v>
      </c>
      <c r="BC1842" s="50" t="n">
        <f aca="false">ROUNDUP(MAX(J1842/IF(CD1842&gt;0,CD1842,MAX(0.1,N(Cockpit!$O$6))),CG1842)/BV1842,0)*BV1842</f>
        <v>0</v>
      </c>
      <c r="BD1842" s="51" t="n">
        <f aca="false">IF(BA1842&gt;0,J1842/BA1842,-1)</f>
        <v>-1</v>
      </c>
      <c r="BE1842" s="51" t="str">
        <f aca="false">IF(AND(OR(CC1842="L1",CC1842="L23",CC1842="LIFT"),BA1842&gt;0),SUMIFS($BA$7:$BA$1843,$CC$7:$CC$1843,CC1842,$BD$7:$BD$1843,"&gt;"&amp;BD1842)+SUMIFS($BA$7:$BA$1843,$CC$7:$CC$1843,CC1842,$BD$7:$BD$1843,BD1842,$BT$7:$BT$1843,"&lt;="&amp;BT1842),"")</f>
        <v/>
      </c>
      <c r="BF1842" s="58" t="n">
        <f aca="false">IF(BE1842="",0,MAX(0,MIN(1,(IF(CC1842="L1",Parameter!$H$5,IF(CC1842="L23",Parameter!$H$6+Parameter!$H$7,Parameter!$H$5+Parameter!$H$6+Parameter!$H$7))-(BE1842-BA1842))/BA1842)))</f>
        <v>0</v>
      </c>
      <c r="BG1842" s="48" t="str">
        <f aca="false">IF(AI1842&lt;=0,"",IF(CC1842="Aussen","Aussenlager",IF(CC1842="-","Nicht im Lift",IF(AN1842&gt;=1,"Lift",IF(AN1842&lt;=0,"Aussenlager","teilweise")))))</f>
        <v/>
      </c>
      <c r="BH1842" s="48" t="str">
        <f aca="false">IF(AR1842&lt;=0,"",IF(CC1842="Aussen","Aussenlager",IF(CC1842="-","Nicht im Lift",IF(AW1842&gt;=1,"Lift",IF(AW1842&lt;=0,"Aussenlager","teilweise")))))</f>
        <v/>
      </c>
      <c r="BI1842" s="48" t="str">
        <f aca="false">IF(BA1842&lt;=0,"",IF(CC1842="Aussen","Aussenlager",IF(CC1842="-","Nicht im Lift",IF(BF1842&gt;=1,"Lift",IF(BF1842&lt;=0,"Aussenlager","teilweise")))))</f>
        <v/>
      </c>
      <c r="BJ1842" s="48" t="str">
        <f aca="false">IF(A1842="","",IF(BS1842=1,"Neu; ","")&amp;IF(AND(BS1842=0,BN1842&lt;0),"negativer Bestand (Export "&amp;BN1842&amp;"); ","")&amp;IF(J1842&lt;=0,"Kein Verbrauch; ","")&amp;IF(CL1842&gt;0,"Lift "&amp;W1842&amp;" lt. Liftbericht (Fach "&amp;X1842&amp;" Stk); ",IF(BX1842=1,"Gebinde geschätzt ("&amp;T1842&amp;"); ",IF(BW1842=1,"Lose – Tablare geschätzt; ","")))&amp;IF(H1842&gt;AT1842,"Überbestand "&amp;ROUND(H1842-AT1842,0)&amp;" Stk / CHF "&amp;ROUND((H1842-AT1842)*G1842,0)&amp;"; ","")&amp;IF(AND(CE1842=1,CF1842&lt;CG1842),"MAX &lt; MB+LG; ","")&amp;IF(AND(CK1842&gt;0,CJ1842*10&gt;CK1842),"zu hoch für Tablar; ","")&amp;IF(AND(BS1842=0,OR(CE1842=1,AA1842&lt;&gt;"",U1842&lt;&gt;"",V1842&lt;&gt;"",AB1842&lt;&gt;"")),"manuell übersteuert; ","")&amp;IF(AND(BW1842=0,R1842=0),"Gebinde unbekannt / Stellmass fehlt; ","")&amp;IF(AND(BW1842=0,N(V1842)&lt;=0,N(Q1842)&lt;=0),"Menge pro Gebinde fehlt (Ist = 1 Gebinde); ","")&amp;BR1842)</f>
        <v/>
      </c>
      <c r="BK1842" s="48"/>
      <c r="BL1842" s="48"/>
      <c r="BM1842" s="55"/>
      <c r="BN1842" s="50" t="n">
        <f aca="false">N('Neue Artikel'!$D$103)</f>
        <v>0</v>
      </c>
      <c r="BO1842" s="50" t="n">
        <v>0</v>
      </c>
      <c r="BP1842" s="49" t="n">
        <v>0</v>
      </c>
      <c r="BQ1842" s="50" t="n">
        <f aca="false">N('Neue Artikel'!$C$103)/Parameter!$B$18</f>
        <v>0</v>
      </c>
      <c r="BR1842" s="48"/>
      <c r="BS1842" s="53" t="n">
        <v>1</v>
      </c>
      <c r="BT1842" s="53" t="n">
        <v>1842</v>
      </c>
      <c r="BU1842" s="48" t="str">
        <f aca="false">IF(U1842&lt;&gt;"",UPPER(TRIM(U1842)),IF(BX1842=1,UPPER(VLOOKUP(T1842,Parameter!$I$27:$K$29,2,0)),IF(P1842="","LOSE",P1842)))</f>
        <v>LOSE</v>
      </c>
      <c r="BV1842" s="50" t="n">
        <f aca="false">IF(BU1842="LOSE",1,IF(N(V1842)&gt;0,V1842,IF(BX1842=1,MAX(1,N(VLOOKUP(T1842,Parameter!$I$27:$K$29,3,0)),H1842,N(N1842)),IF(N(Q1842)&gt;0,Q1842,MAX(1,H1842)))))</f>
        <v>1</v>
      </c>
      <c r="BW1842" s="53" t="n">
        <f aca="false">IF(BU1842="LOSE",1,0)</f>
        <v>1</v>
      </c>
      <c r="BX1842" s="53" t="n">
        <f aca="false">IF(AND(U1842="",OR(P1842="",P1842="LOSE"),T1842&lt;&gt;"",N(S1842)&lt;=0,ISNUMBER(MATCH(T1842,Parameter!$I$27:$I$29,0))),1,0)</f>
        <v>0</v>
      </c>
      <c r="BY1842" s="53" t="n">
        <f aca="false">IF(CL1842&gt;0,INDEX(Parameter!$H$5:$H$7,W1842)/INDEX(Parameter!$E$5:$E$7,W1842),IF(AND(BW1842=0,N(IFERROR(VLOOKUP(BU1842,'Gebinde-Kategorie'!$A$5:$N$45,14,0),0))&gt;0),VLOOKUP(BU1842,'Gebinde-Kategorie'!$A$5:$N$45,14,0)*10+Parameter!$M$23,Parameter!$M$24))</f>
        <v>235</v>
      </c>
      <c r="BZ1842" s="48" t="str">
        <f aca="false">IF(AND(Parameter!$B$19="Ja",E1842&lt;&gt;"",ISNUMBER(MATCH(E1842,Parameter!$I$35:$I$52,0))),VLOOKUP(E1842,Parameter!$I$35:$J$52,2,0),IFERROR(VLOOKUP(D1842,Parameter!$A$35:$C$64,2,0),"Nein"))</f>
        <v>2+3</v>
      </c>
      <c r="CA1842" s="52" t="n">
        <f aca="false">IF(BW1842=0,0,IF(N(S1842)&gt;0,S1842,IFERROR(VLOOKUP(D1842,Parameter!$A$35:$C$64,3,0)+0,0)))</f>
        <v>0.15</v>
      </c>
      <c r="CB1842" s="48" t="str">
        <f aca="false">IF(AA1842&lt;&gt;"",AA1842,Z1842)</f>
        <v/>
      </c>
      <c r="CC1842" s="48" t="str">
        <f aca="false">IF(OR(CB1842=1,CB1842=2,CB1842=3),IF(Parameter!$E$27="Ja","LIFT",IF(CB1842=1,"L1","L23")),IF(CB1842="Aussen","Aussen","-"))</f>
        <v>-</v>
      </c>
      <c r="CD1842" s="59" t="n">
        <f aca="false">IF(N(AB1842)&gt;0,AB1842,0)</f>
        <v>0</v>
      </c>
      <c r="CE1842" s="53" t="n">
        <f aca="false">IF(ISNUMBER(AE1842),1,0)</f>
        <v>0</v>
      </c>
      <c r="CF1842" s="50" t="n">
        <f aca="false">N(AE1842)</f>
        <v>0</v>
      </c>
      <c r="CG1842" s="50" t="n">
        <f aca="false">N(M1842)+N(N1842)</f>
        <v>0</v>
      </c>
      <c r="CH1842" s="50" t="n">
        <f aca="false">ROUNDUP(H1842/BV1842,0)</f>
        <v>0</v>
      </c>
      <c r="CI1842" s="50" t="n">
        <f aca="false">ROUNDUP(CF1842/BV1842,0)</f>
        <v>0</v>
      </c>
      <c r="CJ1842" s="53" t="n">
        <f aca="false">IF(BW1842=1,0,IFERROR(VLOOKUP(BU1842,'Gebinde-Kategorie'!$A$5:$N$45,5,0)+0,0))</f>
        <v>0</v>
      </c>
      <c r="CK1842" s="53" t="n">
        <f aca="false">IFERROR(IF(OR(CB1842=1,CB1842=2,CB1842=3),N(INDEX(Parameter!$I$5:$I$7,CB1842)),0),0)</f>
        <v>0</v>
      </c>
      <c r="CL1842" s="52" t="n">
        <f aca="false">IF(AND(Parameter!$B$21="Ja",ISNUMBER(W1842),N(X1842)&gt;0),IFERROR(N(INDEX(Parameter!$L$5:$L$7,W1842))*INDEX(Parameter!$E$5:$E$7,W1842)*X1842/SUMIFS($X$7:$X$1843,$W$7:$W$1843,W1842),0),0)</f>
        <v>0</v>
      </c>
    </row>
    <row r="1843" customFormat="false" ht="15" hidden="false" customHeight="false" outlineLevel="0" collapsed="false">
      <c r="A1843" s="48" t="str">
        <f aca="false">IF('Neue Artikel'!$A$104="","",'Neue Artikel'!$A$104&amp;"")</f>
        <v/>
      </c>
      <c r="B1843" s="48" t="str">
        <f aca="false">'Neue Artikel'!$B$104&amp;""</f>
        <v/>
      </c>
      <c r="C1843" s="48"/>
      <c r="D1843" s="48" t="s">
        <v>3019</v>
      </c>
      <c r="E1843" s="48"/>
      <c r="F1843" s="48"/>
      <c r="G1843" s="49" t="n">
        <f aca="false">N('Neue Artikel'!$G$104)</f>
        <v>0</v>
      </c>
      <c r="H1843" s="50" t="n">
        <f aca="false">MAX(0,IF(AND(Parameter!$B$21="Ja",ISNUMBER(Y1843)),Y1843,IF(Parameter!$B$20="Jahresanfang 2025 + Export",BO1843+BN1843,BN1843)))</f>
        <v>0</v>
      </c>
      <c r="I1843" s="50" t="n">
        <f aca="false">H1843*G1843</f>
        <v>0</v>
      </c>
      <c r="J1843" s="50" t="n">
        <f aca="false">BQ1843*Parameter!$B$18</f>
        <v>0</v>
      </c>
      <c r="K1843" s="51"/>
      <c r="L1843" s="52"/>
      <c r="M1843" s="50" t="n">
        <f aca="false">N('Neue Artikel'!$E$104)</f>
        <v>0</v>
      </c>
      <c r="N1843" s="50" t="n">
        <f aca="false">N('Neue Artikel'!$F$104)</f>
        <v>0</v>
      </c>
      <c r="O1843" s="53"/>
      <c r="P1843" s="48" t="str">
        <f aca="false">IF('Neue Artikel'!$H$104="","LOSE",UPPER(TRIM('Neue Artikel'!$H$104)))</f>
        <v>LOSE</v>
      </c>
      <c r="Q1843" s="50" t="n">
        <f aca="false">N('Neue Artikel'!$I$104)</f>
        <v>0</v>
      </c>
      <c r="R1843" s="53" t="n">
        <f aca="false">IF(BW1843=1,0,IFERROR(VLOOKUP(BU1843,'Gebinde-Kategorie'!$A$5:$N$45,13,0)+0,0))</f>
        <v>0</v>
      </c>
      <c r="S1843" s="54"/>
      <c r="T1843" s="55"/>
      <c r="U1843" s="55"/>
      <c r="V1843" s="55"/>
      <c r="W1843" s="48"/>
      <c r="X1843" s="50"/>
      <c r="Y1843" s="50"/>
      <c r="Z1843" s="48" t="str">
        <f aca="false">IF(A1843="","",IF(AND(Parameter!$B$21="Ja",ISNUMBER(W1843)),W1843,IF(BZ1843="2+3",IF(ISNUMBER(SEARCH("grosser Artikel",BR1843)),2,IFERROR(VLOOKUP(BU1843,Parameter!$F$35:$G$64,2,0),2)),IF(OR(BZ1843="Nein",BZ1843=""),"-",BZ1843))))</f>
        <v/>
      </c>
      <c r="AA1843" s="48" t="str">
        <f aca="false">IF('Neue Artikel'!$J$104="","",'Neue Artikel'!$J$104)</f>
        <v/>
      </c>
      <c r="AB1843" s="56"/>
      <c r="AC1843" s="50" t="n">
        <f aca="false">AT1843</f>
        <v>0</v>
      </c>
      <c r="AD1843" s="50" t="n">
        <f aca="false">MAX(AT1843,H1843)</f>
        <v>0</v>
      </c>
      <c r="AE1843" s="57"/>
      <c r="AF1843" s="50" t="n">
        <f aca="false">IF(LEFT(Cockpit!$C$5,1)="A",H1843,IF(CE1843=1,CF1843,IF(LEFT(Cockpit!$C$5,1)="B",AK1843,MAX(AK1843,H1843))))</f>
        <v>0</v>
      </c>
      <c r="AG1843" s="50" t="n">
        <f aca="false">IF(BW1843=1,0,ROUNDUP(AF1843/BV1843,0))</f>
        <v>0</v>
      </c>
      <c r="AH1843" s="52" t="n">
        <f aca="false">IF(CL1843&gt;0,CL1843*MAX(1,AF1843/X1843),IF(BW1843=1,IF(AF1843&lt;=0,0,CA1843*MAX(1,IF(H1843&gt;0,AF1843/H1843,1))),IF(R1843&gt;0,AG1843/R1843,0))/MAX(0.1,N(Parameter!$M$21)))</f>
        <v>0</v>
      </c>
      <c r="AI1843" s="50" t="n">
        <f aca="false">AH1843*BY1843</f>
        <v>0</v>
      </c>
      <c r="AJ1843" s="50" t="n">
        <f aca="false">AF1843*G1843</f>
        <v>0</v>
      </c>
      <c r="AK1843" s="50" t="n">
        <f aca="false">ROUNDUP(MAX(J1843/IF(CD1843&gt;0,CD1843,MAX(0.1,N(Cockpit!$C$6))),CG1843)/BV1843,0)*BV1843</f>
        <v>0</v>
      </c>
      <c r="AL1843" s="51" t="n">
        <f aca="false">IF(AI1843&gt;0,J1843/AI1843,-1)</f>
        <v>-1</v>
      </c>
      <c r="AM1843" s="51" t="str">
        <f aca="false">IF(AND(OR(CC1843="L1",CC1843="L23",CC1843="LIFT"),AI1843&gt;0),SUMIFS($AI$7:$AI$1843,$CC$7:$CC$1843,CC1843,$AL$7:$AL$1843,"&gt;"&amp;AL1843)+SUMIFS($AI$7:$AI$1843,$CC$7:$CC$1843,CC1843,$AL$7:$AL$1843,AL1843,$BT$7:$BT$1843,"&lt;="&amp;BT1843),"")</f>
        <v/>
      </c>
      <c r="AN1843" s="58" t="n">
        <f aca="false">IF(AM1843="",0,MAX(0,MIN(1,(IF(CC1843="L1",Parameter!$H$5,IF(CC1843="L23",Parameter!$H$6+Parameter!$H$7,Parameter!$H$5+Parameter!$H$6+Parameter!$H$7))-(AM1843-AI1843))/AI1843)))</f>
        <v>0</v>
      </c>
      <c r="AO1843" s="50" t="n">
        <f aca="false">IF(LEFT(Cockpit!$I$5,1)="A",H1843,IF(CE1843=1,CF1843,IF(LEFT(Cockpit!$I$5,1)="B",AT1843,MAX(AT1843,H1843))))</f>
        <v>0</v>
      </c>
      <c r="AP1843" s="50" t="n">
        <f aca="false">IF(BW1843=1,0,ROUNDUP(AO1843/BV1843,0))</f>
        <v>0</v>
      </c>
      <c r="AQ1843" s="52" t="n">
        <f aca="false">IF(CL1843&gt;0,CL1843*MAX(1,AO1843/X1843),IF(BW1843=1,IF(AO1843&lt;=0,0,CA1843*MAX(1,IF(H1843&gt;0,AO1843/H1843,1))),IF(R1843&gt;0,AP1843/R1843,0))/MAX(0.1,N(Parameter!$M$21)))</f>
        <v>0</v>
      </c>
      <c r="AR1843" s="50" t="n">
        <f aca="false">AQ1843*BY1843</f>
        <v>0</v>
      </c>
      <c r="AS1843" s="50" t="n">
        <f aca="false">AO1843*G1843</f>
        <v>0</v>
      </c>
      <c r="AT1843" s="50" t="n">
        <f aca="false">ROUNDUP(MAX(J1843/IF(CD1843&gt;0,CD1843,MAX(0.1,N(Cockpit!$I$6))),CG1843)/BV1843,0)*BV1843</f>
        <v>0</v>
      </c>
      <c r="AU1843" s="51" t="n">
        <f aca="false">IF(AR1843&gt;0,J1843/AR1843,-1)</f>
        <v>-1</v>
      </c>
      <c r="AV1843" s="51" t="str">
        <f aca="false">IF(AND(OR(CC1843="L1",CC1843="L23",CC1843="LIFT"),AR1843&gt;0),SUMIFS($AR$7:$AR$1843,$CC$7:$CC$1843,CC1843,$AU$7:$AU$1843,"&gt;"&amp;AU1843)+SUMIFS($AR$7:$AR$1843,$CC$7:$CC$1843,CC1843,$AU$7:$AU$1843,AU1843,$BT$7:$BT$1843,"&lt;="&amp;BT1843),"")</f>
        <v/>
      </c>
      <c r="AW1843" s="58" t="n">
        <f aca="false">IF(AV1843="",0,MAX(0,MIN(1,(IF(CC1843="L1",Parameter!$H$5,IF(CC1843="L23",Parameter!$H$6+Parameter!$H$7,Parameter!$H$5+Parameter!$H$6+Parameter!$H$7))-(AV1843-AR1843))/AR1843)))</f>
        <v>0</v>
      </c>
      <c r="AX1843" s="50" t="n">
        <f aca="false">IF(LEFT(Cockpit!$O$5,1)="A",H1843,IF(CE1843=1,CF1843,IF(LEFT(Cockpit!$O$5,1)="B",BC1843,MAX(BC1843,H1843))))</f>
        <v>0</v>
      </c>
      <c r="AY1843" s="50" t="n">
        <f aca="false">IF(BW1843=1,0,ROUNDUP(AX1843/BV1843,0))</f>
        <v>0</v>
      </c>
      <c r="AZ1843" s="52" t="n">
        <f aca="false">IF(CL1843&gt;0,CL1843*MAX(1,AX1843/X1843),IF(BW1843=1,IF(AX1843&lt;=0,0,CA1843*MAX(1,IF(H1843&gt;0,AX1843/H1843,1))),IF(R1843&gt;0,AY1843/R1843,0))/MAX(0.1,N(Parameter!$M$21)))</f>
        <v>0</v>
      </c>
      <c r="BA1843" s="50" t="n">
        <f aca="false">AZ1843*BY1843</f>
        <v>0</v>
      </c>
      <c r="BB1843" s="50" t="n">
        <f aca="false">AX1843*G1843</f>
        <v>0</v>
      </c>
      <c r="BC1843" s="50" t="n">
        <f aca="false">ROUNDUP(MAX(J1843/IF(CD1843&gt;0,CD1843,MAX(0.1,N(Cockpit!$O$6))),CG1843)/BV1843,0)*BV1843</f>
        <v>0</v>
      </c>
      <c r="BD1843" s="51" t="n">
        <f aca="false">IF(BA1843&gt;0,J1843/BA1843,-1)</f>
        <v>-1</v>
      </c>
      <c r="BE1843" s="51" t="str">
        <f aca="false">IF(AND(OR(CC1843="L1",CC1843="L23",CC1843="LIFT"),BA1843&gt;0),SUMIFS($BA$7:$BA$1843,$CC$7:$CC$1843,CC1843,$BD$7:$BD$1843,"&gt;"&amp;BD1843)+SUMIFS($BA$7:$BA$1843,$CC$7:$CC$1843,CC1843,$BD$7:$BD$1843,BD1843,$BT$7:$BT$1843,"&lt;="&amp;BT1843),"")</f>
        <v/>
      </c>
      <c r="BF1843" s="58" t="n">
        <f aca="false">IF(BE1843="",0,MAX(0,MIN(1,(IF(CC1843="L1",Parameter!$H$5,IF(CC1843="L23",Parameter!$H$6+Parameter!$H$7,Parameter!$H$5+Parameter!$H$6+Parameter!$H$7))-(BE1843-BA1843))/BA1843)))</f>
        <v>0</v>
      </c>
      <c r="BG1843" s="48" t="str">
        <f aca="false">IF(AI1843&lt;=0,"",IF(CC1843="Aussen","Aussenlager",IF(CC1843="-","Nicht im Lift",IF(AN1843&gt;=1,"Lift",IF(AN1843&lt;=0,"Aussenlager","teilweise")))))</f>
        <v/>
      </c>
      <c r="BH1843" s="48" t="str">
        <f aca="false">IF(AR1843&lt;=0,"",IF(CC1843="Aussen","Aussenlager",IF(CC1843="-","Nicht im Lift",IF(AW1843&gt;=1,"Lift",IF(AW1843&lt;=0,"Aussenlager","teilweise")))))</f>
        <v/>
      </c>
      <c r="BI1843" s="48" t="str">
        <f aca="false">IF(BA1843&lt;=0,"",IF(CC1843="Aussen","Aussenlager",IF(CC1843="-","Nicht im Lift",IF(BF1843&gt;=1,"Lift",IF(BF1843&lt;=0,"Aussenlager","teilweise")))))</f>
        <v/>
      </c>
      <c r="BJ1843" s="48" t="str">
        <f aca="false">IF(A1843="","",IF(BS1843=1,"Neu; ","")&amp;IF(AND(BS1843=0,BN1843&lt;0),"negativer Bestand (Export "&amp;BN1843&amp;"); ","")&amp;IF(J1843&lt;=0,"Kein Verbrauch; ","")&amp;IF(CL1843&gt;0,"Lift "&amp;W1843&amp;" lt. Liftbericht (Fach "&amp;X1843&amp;" Stk); ",IF(BX1843=1,"Gebinde geschätzt ("&amp;T1843&amp;"); ",IF(BW1843=1,"Lose – Tablare geschätzt; ","")))&amp;IF(H1843&gt;AT1843,"Überbestand "&amp;ROUND(H1843-AT1843,0)&amp;" Stk / CHF "&amp;ROUND((H1843-AT1843)*G1843,0)&amp;"; ","")&amp;IF(AND(CE1843=1,CF1843&lt;CG1843),"MAX &lt; MB+LG; ","")&amp;IF(AND(CK1843&gt;0,CJ1843*10&gt;CK1843),"zu hoch für Tablar; ","")&amp;IF(AND(BS1843=0,OR(CE1843=1,AA1843&lt;&gt;"",U1843&lt;&gt;"",V1843&lt;&gt;"",AB1843&lt;&gt;"")),"manuell übersteuert; ","")&amp;IF(AND(BW1843=0,R1843=0),"Gebinde unbekannt / Stellmass fehlt; ","")&amp;IF(AND(BW1843=0,N(V1843)&lt;=0,N(Q1843)&lt;=0),"Menge pro Gebinde fehlt (Ist = 1 Gebinde); ","")&amp;BR1843)</f>
        <v/>
      </c>
      <c r="BK1843" s="48"/>
      <c r="BL1843" s="48"/>
      <c r="BM1843" s="55"/>
      <c r="BN1843" s="50" t="n">
        <f aca="false">N('Neue Artikel'!$D$104)</f>
        <v>0</v>
      </c>
      <c r="BO1843" s="50" t="n">
        <v>0</v>
      </c>
      <c r="BP1843" s="49" t="n">
        <v>0</v>
      </c>
      <c r="BQ1843" s="50" t="n">
        <f aca="false">N('Neue Artikel'!$C$104)/Parameter!$B$18</f>
        <v>0</v>
      </c>
      <c r="BR1843" s="48"/>
      <c r="BS1843" s="53" t="n">
        <v>1</v>
      </c>
      <c r="BT1843" s="53" t="n">
        <v>1843</v>
      </c>
      <c r="BU1843" s="48" t="str">
        <f aca="false">IF(U1843&lt;&gt;"",UPPER(TRIM(U1843)),IF(BX1843=1,UPPER(VLOOKUP(T1843,Parameter!$I$27:$K$29,2,0)),IF(P1843="","LOSE",P1843)))</f>
        <v>LOSE</v>
      </c>
      <c r="BV1843" s="50" t="n">
        <f aca="false">IF(BU1843="LOSE",1,IF(N(V1843)&gt;0,V1843,IF(BX1843=1,MAX(1,N(VLOOKUP(T1843,Parameter!$I$27:$K$29,3,0)),H1843,N(N1843)),IF(N(Q1843)&gt;0,Q1843,MAX(1,H1843)))))</f>
        <v>1</v>
      </c>
      <c r="BW1843" s="53" t="n">
        <f aca="false">IF(BU1843="LOSE",1,0)</f>
        <v>1</v>
      </c>
      <c r="BX1843" s="53" t="n">
        <f aca="false">IF(AND(U1843="",OR(P1843="",P1843="LOSE"),T1843&lt;&gt;"",N(S1843)&lt;=0,ISNUMBER(MATCH(T1843,Parameter!$I$27:$I$29,0))),1,0)</f>
        <v>0</v>
      </c>
      <c r="BY1843" s="53" t="n">
        <f aca="false">IF(CL1843&gt;0,INDEX(Parameter!$H$5:$H$7,W1843)/INDEX(Parameter!$E$5:$E$7,W1843),IF(AND(BW1843=0,N(IFERROR(VLOOKUP(BU1843,'Gebinde-Kategorie'!$A$5:$N$45,14,0),0))&gt;0),VLOOKUP(BU1843,'Gebinde-Kategorie'!$A$5:$N$45,14,0)*10+Parameter!$M$23,Parameter!$M$24))</f>
        <v>235</v>
      </c>
      <c r="BZ1843" s="48" t="str">
        <f aca="false">IF(AND(Parameter!$B$19="Ja",E1843&lt;&gt;"",ISNUMBER(MATCH(E1843,Parameter!$I$35:$I$52,0))),VLOOKUP(E1843,Parameter!$I$35:$J$52,2,0),IFERROR(VLOOKUP(D1843,Parameter!$A$35:$C$64,2,0),"Nein"))</f>
        <v>2+3</v>
      </c>
      <c r="CA1843" s="52" t="n">
        <f aca="false">IF(BW1843=0,0,IF(N(S1843)&gt;0,S1843,IFERROR(VLOOKUP(D1843,Parameter!$A$35:$C$64,3,0)+0,0)))</f>
        <v>0.15</v>
      </c>
      <c r="CB1843" s="48" t="str">
        <f aca="false">IF(AA1843&lt;&gt;"",AA1843,Z1843)</f>
        <v/>
      </c>
      <c r="CC1843" s="48" t="str">
        <f aca="false">IF(OR(CB1843=1,CB1843=2,CB1843=3),IF(Parameter!$E$27="Ja","LIFT",IF(CB1843=1,"L1","L23")),IF(CB1843="Aussen","Aussen","-"))</f>
        <v>-</v>
      </c>
      <c r="CD1843" s="59" t="n">
        <f aca="false">IF(N(AB1843)&gt;0,AB1843,0)</f>
        <v>0</v>
      </c>
      <c r="CE1843" s="53" t="n">
        <f aca="false">IF(ISNUMBER(AE1843),1,0)</f>
        <v>0</v>
      </c>
      <c r="CF1843" s="50" t="n">
        <f aca="false">N(AE1843)</f>
        <v>0</v>
      </c>
      <c r="CG1843" s="50" t="n">
        <f aca="false">N(M1843)+N(N1843)</f>
        <v>0</v>
      </c>
      <c r="CH1843" s="50" t="n">
        <f aca="false">ROUNDUP(H1843/BV1843,0)</f>
        <v>0</v>
      </c>
      <c r="CI1843" s="50" t="n">
        <f aca="false">ROUNDUP(CF1843/BV1843,0)</f>
        <v>0</v>
      </c>
      <c r="CJ1843" s="53" t="n">
        <f aca="false">IF(BW1843=1,0,IFERROR(VLOOKUP(BU1843,'Gebinde-Kategorie'!$A$5:$N$45,5,0)+0,0))</f>
        <v>0</v>
      </c>
      <c r="CK1843" s="53" t="n">
        <f aca="false">IFERROR(IF(OR(CB1843=1,CB1843=2,CB1843=3),N(INDEX(Parameter!$I$5:$I$7,CB1843)),0),0)</f>
        <v>0</v>
      </c>
      <c r="CL1843" s="52" t="n">
        <f aca="false">IF(AND(Parameter!$B$21="Ja",ISNUMBER(W1843),N(X1843)&gt;0),IFERROR(N(INDEX(Parameter!$L$5:$L$7,W1843))*INDEX(Parameter!$E$5:$E$7,W1843)*X1843/SUMIFS($X$7:$X$1843,$W$7:$W$1843,W1843),0),0)</f>
        <v>0</v>
      </c>
    </row>
  </sheetData>
  <autoFilter ref="A6:BM1843"/>
  <conditionalFormatting sqref="BG7:BG1843">
    <cfRule type="cellIs" priority="2" operator="equal" aboveAverage="0" equalAverage="0" bottom="0" percent="0" rank="0" text="" dxfId="3">
      <formula>"Lift"</formula>
    </cfRule>
    <cfRule type="cellIs" priority="3" operator="equal" aboveAverage="0" equalAverage="0" bottom="0" percent="0" rank="0" text="" dxfId="2">
      <formula>"teilweise"</formula>
    </cfRule>
    <cfRule type="cellIs" priority="4" operator="equal" aboveAverage="0" equalAverage="0" bottom="0" percent="0" rank="0" text="" dxfId="1">
      <formula>"Aussenlager"</formula>
    </cfRule>
  </conditionalFormatting>
  <conditionalFormatting sqref="BH7:BH1843">
    <cfRule type="cellIs" priority="5" operator="equal" aboveAverage="0" equalAverage="0" bottom="0" percent="0" rank="0" text="" dxfId="3">
      <formula>"Lift"</formula>
    </cfRule>
    <cfRule type="cellIs" priority="6" operator="equal" aboveAverage="0" equalAverage="0" bottom="0" percent="0" rank="0" text="" dxfId="2">
      <formula>"teilweise"</formula>
    </cfRule>
    <cfRule type="cellIs" priority="7" operator="equal" aboveAverage="0" equalAverage="0" bottom="0" percent="0" rank="0" text="" dxfId="1">
      <formula>"Aussenlager"</formula>
    </cfRule>
  </conditionalFormatting>
  <conditionalFormatting sqref="BI7:BI1843">
    <cfRule type="cellIs" priority="8" operator="equal" aboveAverage="0" equalAverage="0" bottom="0" percent="0" rank="0" text="" dxfId="3">
      <formula>"Lift"</formula>
    </cfRule>
    <cfRule type="cellIs" priority="9" operator="equal" aboveAverage="0" equalAverage="0" bottom="0" percent="0" rank="0" text="" dxfId="2">
      <formula>"teilweise"</formula>
    </cfRule>
    <cfRule type="cellIs" priority="10" operator="equal" aboveAverage="0" equalAverage="0" bottom="0" percent="0" rank="0" text="" dxfId="1">
      <formula>"Aussenlager"</formula>
    </cfRule>
  </conditionalFormatting>
  <conditionalFormatting sqref="BJ7:BJ1843">
    <cfRule type="expression" priority="11" aboveAverage="0" equalAverage="0" bottom="0" percent="0" rank="0" text="" dxfId="1">
      <formula>ISNUMBER(SEARCH("zu hoch",BJ7))</formula>
    </cfRule>
    <cfRule type="expression" priority="12" aboveAverage="0" equalAverage="0" bottom="0" percent="0" rank="0" text="" dxfId="2">
      <formula>ISNUMBER(SEARCH("Überbestand",BJ7))</formula>
    </cfRule>
  </conditionalFormatting>
  <dataValidations count="2">
    <dataValidation allowBlank="true" errorStyle="stop" operator="between" showDropDown="false" showErrorMessage="false" showInputMessage="false" sqref="AA7:AA1743" type="list">
      <formula1>"1,2,3,Aussen"</formula1>
      <formula2>0</formula2>
    </dataValidation>
    <dataValidation allowBlank="true" errorStyle="stop" operator="between" showDropDown="false" showErrorMessage="false" showInputMessage="false" sqref="T7:T1843" type="list">
      <formula1>Parameter!$I$27:$I$29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Z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28"/>
    <col collapsed="false" customWidth="true" hidden="false" outlineLevel="0" max="4" min="4" style="0" width="24"/>
    <col collapsed="false" customWidth="true" hidden="false" outlineLevel="0" max="5" min="5" style="0" width="10"/>
    <col collapsed="false" customWidth="true" hidden="false" outlineLevel="0" max="8" min="6" style="0" width="11"/>
    <col collapsed="false" customWidth="true" hidden="false" outlineLevel="0" max="9" min="9" style="0" width="14"/>
    <col collapsed="false" customWidth="true" hidden="false" outlineLevel="0" max="11" min="10" style="0" width="11"/>
    <col collapsed="false" customWidth="true" hidden="false" outlineLevel="0" max="13" min="12" style="0" width="14"/>
  </cols>
  <sheetData>
    <row r="1" customFormat="false" ht="17.35" hidden="false" customHeight="false" outlineLevel="0" collapsed="false">
      <c r="A1" s="29" t="s">
        <v>3020</v>
      </c>
      <c r="Z1" s="60" t="s">
        <v>3021</v>
      </c>
    </row>
    <row r="2" customFormat="false" ht="15" hidden="false" customHeight="false" outlineLevel="0" collapsed="false">
      <c r="A2" s="30" t="s">
        <v>3022</v>
      </c>
    </row>
    <row r="3" customFormat="false" ht="15" hidden="false" customHeight="false" outlineLevel="0" collapsed="false">
      <c r="A3" s="41" t="s">
        <v>3023</v>
      </c>
    </row>
    <row r="4" customFormat="false" ht="35.05" hidden="false" customHeight="false" outlineLevel="0" collapsed="false">
      <c r="A4" s="46" t="s">
        <v>3024</v>
      </c>
      <c r="B4" s="46" t="s">
        <v>3025</v>
      </c>
      <c r="C4" s="46" t="s">
        <v>3026</v>
      </c>
      <c r="D4" s="46" t="s">
        <v>80</v>
      </c>
      <c r="E4" s="46" t="s">
        <v>3027</v>
      </c>
      <c r="F4" s="46" t="s">
        <v>3028</v>
      </c>
      <c r="G4" s="46" t="s">
        <v>3029</v>
      </c>
      <c r="H4" s="46" t="s">
        <v>12</v>
      </c>
      <c r="I4" s="46" t="s">
        <v>3030</v>
      </c>
      <c r="J4" s="46" t="s">
        <v>3031</v>
      </c>
      <c r="K4" s="46" t="s">
        <v>3032</v>
      </c>
      <c r="L4" s="46" t="s">
        <v>3033</v>
      </c>
    </row>
    <row r="5" customFormat="false" ht="15" hidden="false" customHeight="false" outlineLevel="0" collapsed="false">
      <c r="A5" s="14" t="n">
        <v>1</v>
      </c>
      <c r="B5" s="61" t="s">
        <v>15</v>
      </c>
      <c r="C5" s="61" t="s">
        <v>3034</v>
      </c>
      <c r="D5" s="61" t="s">
        <v>169</v>
      </c>
      <c r="E5" s="62" t="n">
        <v>50</v>
      </c>
      <c r="F5" s="63" t="n">
        <v>4060</v>
      </c>
      <c r="G5" s="63" t="n">
        <v>857</v>
      </c>
      <c r="H5" s="63" t="n">
        <v>11900</v>
      </c>
      <c r="I5" s="63"/>
      <c r="J5" s="64" t="n">
        <f aca="false">F5*G5/1000000</f>
        <v>3.47942</v>
      </c>
      <c r="K5" s="12" t="n">
        <f aca="false">E5*J5</f>
        <v>173.971</v>
      </c>
      <c r="L5" s="65" t="n">
        <v>0.85</v>
      </c>
    </row>
    <row r="6" customFormat="false" ht="15" hidden="false" customHeight="false" outlineLevel="0" collapsed="false">
      <c r="A6" s="14" t="n">
        <v>2</v>
      </c>
      <c r="B6" s="61" t="s">
        <v>16</v>
      </c>
      <c r="C6" s="61" t="s">
        <v>3035</v>
      </c>
      <c r="D6" s="61" t="s">
        <v>3036</v>
      </c>
      <c r="E6" s="62" t="n">
        <v>50</v>
      </c>
      <c r="F6" s="63" t="n">
        <v>4060</v>
      </c>
      <c r="G6" s="63" t="n">
        <v>857</v>
      </c>
      <c r="H6" s="63" t="n">
        <v>11900</v>
      </c>
      <c r="I6" s="63"/>
      <c r="J6" s="64" t="n">
        <f aca="false">F6*G6/1000000</f>
        <v>3.47942</v>
      </c>
      <c r="K6" s="12" t="n">
        <f aca="false">E6*J6</f>
        <v>173.971</v>
      </c>
      <c r="L6" s="65"/>
    </row>
    <row r="7" customFormat="false" ht="15" hidden="false" customHeight="false" outlineLevel="0" collapsed="false">
      <c r="A7" s="14" t="n">
        <v>3</v>
      </c>
      <c r="B7" s="61" t="s">
        <v>17</v>
      </c>
      <c r="C7" s="61" t="s">
        <v>3037</v>
      </c>
      <c r="D7" s="61" t="s">
        <v>3038</v>
      </c>
      <c r="E7" s="62" t="n">
        <v>50</v>
      </c>
      <c r="F7" s="63" t="n">
        <v>4060</v>
      </c>
      <c r="G7" s="63" t="n">
        <v>857</v>
      </c>
      <c r="H7" s="63" t="n">
        <v>11900</v>
      </c>
      <c r="I7" s="63"/>
      <c r="J7" s="64" t="n">
        <f aca="false">F7*G7/1000000</f>
        <v>3.47942</v>
      </c>
      <c r="K7" s="12" t="n">
        <f aca="false">E7*J7</f>
        <v>173.971</v>
      </c>
      <c r="L7" s="65"/>
    </row>
    <row r="8" customFormat="false" ht="15" hidden="false" customHeight="false" outlineLevel="0" collapsed="false">
      <c r="A8" s="14" t="s">
        <v>39</v>
      </c>
      <c r="E8" s="66" t="n">
        <f aca="false">SUM(E5:E7)</f>
        <v>150</v>
      </c>
      <c r="H8" s="15" t="n">
        <f aca="false">SUM(H5:H7)</f>
        <v>35700</v>
      </c>
      <c r="K8" s="16" t="n">
        <f aca="false">SUM(K5:K7)</f>
        <v>521.913</v>
      </c>
    </row>
    <row r="10" customFormat="false" ht="15" hidden="false" customHeight="false" outlineLevel="0" collapsed="false">
      <c r="A10" s="41" t="s">
        <v>3039</v>
      </c>
      <c r="I10" s="41" t="s">
        <v>3040</v>
      </c>
    </row>
    <row r="11" customFormat="false" ht="15" hidden="false" customHeight="false" outlineLevel="0" collapsed="false">
      <c r="A11" s="21" t="s">
        <v>3041</v>
      </c>
      <c r="B11" s="65" t="n">
        <v>0.85</v>
      </c>
      <c r="C11" s="30" t="s">
        <v>3042</v>
      </c>
      <c r="I11" s="21" t="s">
        <v>3043</v>
      </c>
      <c r="M11" s="67" t="n">
        <v>747814.699999999</v>
      </c>
    </row>
    <row r="12" customFormat="false" ht="15" hidden="false" customHeight="false" outlineLevel="0" collapsed="false">
      <c r="A12" s="21" t="s">
        <v>3044</v>
      </c>
      <c r="B12" s="65" t="n">
        <v>1</v>
      </c>
      <c r="I12" s="21" t="s">
        <v>3045</v>
      </c>
      <c r="M12" s="67" t="n">
        <f aca="false">SUM(Artikel!$BP$7:$BP$1843)</f>
        <v>68525.75</v>
      </c>
    </row>
    <row r="13" customFormat="false" ht="15" hidden="false" customHeight="false" outlineLevel="0" collapsed="false">
      <c r="I13" s="21" t="s">
        <v>3046</v>
      </c>
      <c r="M13" s="67" t="n">
        <f aca="false">SUMIFS(Artikel!$BP$7:$BP$1843,Artikel!$BN$7:$BN$1843,"&gt;0")</f>
        <v>1331182.63</v>
      </c>
    </row>
    <row r="14" customFormat="false" ht="15" hidden="false" customHeight="false" outlineLevel="0" collapsed="false">
      <c r="A14" s="41" t="s">
        <v>3047</v>
      </c>
      <c r="I14" s="21" t="s">
        <v>3048</v>
      </c>
      <c r="M14" s="67" t="n">
        <f aca="false">SUM(Artikel!$I$7:$I$1843)</f>
        <v>3451046.21423</v>
      </c>
    </row>
    <row r="15" customFormat="false" ht="15" hidden="false" customHeight="false" outlineLevel="0" collapsed="false">
      <c r="A15" s="21" t="s">
        <v>3049</v>
      </c>
      <c r="B15" s="68" t="n">
        <v>45658</v>
      </c>
      <c r="C15" s="30" t="s">
        <v>3050</v>
      </c>
      <c r="I15" s="21" t="s">
        <v>3051</v>
      </c>
      <c r="M15" s="25" t="n">
        <f aca="false">COUNTIFS(Artikel!$BN$7:$BN$1843,"&lt;0",Artikel!$BS$7:$BS$1843,0)</f>
        <v>711</v>
      </c>
    </row>
    <row r="16" customFormat="false" ht="15" hidden="false" customHeight="false" outlineLevel="0" collapsed="false">
      <c r="A16" s="21" t="s">
        <v>3052</v>
      </c>
      <c r="B16" s="68" t="n">
        <v>46022</v>
      </c>
      <c r="I16" s="21" t="s">
        <v>3053</v>
      </c>
      <c r="M16" s="25" t="n">
        <f aca="false">COUNTIFS(Artikel!$BS$7:$BS$1843,0)</f>
        <v>1737</v>
      </c>
    </row>
    <row r="17" customFormat="false" ht="15" hidden="false" customHeight="false" outlineLevel="0" collapsed="false">
      <c r="A17" s="21" t="s">
        <v>3054</v>
      </c>
      <c r="B17" s="69" t="n">
        <f aca="false">MAX(1,(YEAR(B16)-YEAR(B15))*12+MONTH(B16)-MONTH(B15)+1)</f>
        <v>12</v>
      </c>
      <c r="I17" s="21" t="s">
        <v>3055</v>
      </c>
      <c r="M17" s="21" t="str">
        <f aca="false">COUNT(Artikel!$W$7:$W$1843)&amp;" / "&amp;COUNTIFS(Artikel!$W$7:$W$1843,"&gt;0",Artikel!$BR$7:$BR$1843,"nur im Liftbericht*")</f>
        <v>48 / 1</v>
      </c>
    </row>
    <row r="18" customFormat="false" ht="15" hidden="false" customHeight="false" outlineLevel="0" collapsed="false">
      <c r="A18" s="21" t="s">
        <v>3056</v>
      </c>
      <c r="B18" s="64" t="n">
        <f aca="false">12/B17</f>
        <v>1</v>
      </c>
      <c r="I18" s="21" t="s">
        <v>3057</v>
      </c>
      <c r="M18" s="28" t="n">
        <f aca="false">Szenarien!C5</f>
        <v>1.07200714901345</v>
      </c>
    </row>
    <row r="19" customFormat="false" ht="15" hidden="false" customHeight="false" outlineLevel="0" collapsed="false">
      <c r="A19" s="41" t="s">
        <v>3058</v>
      </c>
      <c r="B19" s="61" t="s">
        <v>3059</v>
      </c>
      <c r="C19" s="30" t="s">
        <v>3060</v>
      </c>
      <c r="I19" s="21" t="s">
        <v>3061</v>
      </c>
      <c r="M19" s="25" t="n">
        <f aca="false">COUNTIFS(Artikel!$BR$7:$BR$1843,"nur im Artikelstamm*")</f>
        <v>272</v>
      </c>
    </row>
    <row r="20" customFormat="false" ht="15" hidden="false" customHeight="false" outlineLevel="0" collapsed="false">
      <c r="A20" s="41" t="s">
        <v>3062</v>
      </c>
      <c r="B20" s="61" t="s">
        <v>3063</v>
      </c>
      <c r="C20" s="30" t="s">
        <v>3064</v>
      </c>
      <c r="I20" s="41" t="s">
        <v>3065</v>
      </c>
    </row>
    <row r="21" customFormat="false" ht="15" hidden="false" customHeight="false" outlineLevel="0" collapsed="false">
      <c r="A21" s="41" t="s">
        <v>3066</v>
      </c>
      <c r="B21" s="61" t="s">
        <v>3059</v>
      </c>
      <c r="C21" s="30" t="s">
        <v>3067</v>
      </c>
      <c r="I21" s="21" t="s">
        <v>3068</v>
      </c>
      <c r="M21" s="65" t="n">
        <v>1</v>
      </c>
    </row>
    <row r="22" customFormat="false" ht="15" hidden="false" customHeight="false" outlineLevel="0" collapsed="false">
      <c r="A22" s="41" t="s">
        <v>3069</v>
      </c>
      <c r="D22" s="41" t="s">
        <v>3070</v>
      </c>
      <c r="I22" s="21" t="s">
        <v>3071</v>
      </c>
      <c r="M22" s="62" t="n">
        <v>2</v>
      </c>
    </row>
    <row r="23" customFormat="false" ht="15" hidden="false" customHeight="false" outlineLevel="0" collapsed="false">
      <c r="A23" s="70" t="n">
        <v>1</v>
      </c>
      <c r="D23" s="21" t="s">
        <v>6</v>
      </c>
      <c r="I23" s="21" t="s">
        <v>3072</v>
      </c>
      <c r="M23" s="62" t="n">
        <v>35</v>
      </c>
    </row>
    <row r="24" customFormat="false" ht="15" hidden="false" customHeight="false" outlineLevel="0" collapsed="false">
      <c r="A24" s="70" t="n">
        <v>1.5</v>
      </c>
      <c r="D24" s="21" t="s">
        <v>64</v>
      </c>
      <c r="I24" s="21" t="s">
        <v>3073</v>
      </c>
      <c r="M24" s="62" t="n">
        <v>235</v>
      </c>
    </row>
    <row r="25" customFormat="false" ht="15" hidden="false" customHeight="false" outlineLevel="0" collapsed="false">
      <c r="A25" s="70" t="n">
        <v>2</v>
      </c>
      <c r="D25" s="21" t="s">
        <v>7</v>
      </c>
      <c r="I25" s="41" t="s">
        <v>3074</v>
      </c>
    </row>
    <row r="26" customFormat="false" ht="23.85" hidden="false" customHeight="false" outlineLevel="0" collapsed="false">
      <c r="A26" s="70" t="n">
        <v>2.5</v>
      </c>
      <c r="I26" s="46" t="s">
        <v>3075</v>
      </c>
      <c r="J26" s="46" t="s">
        <v>3076</v>
      </c>
      <c r="K26" s="46" t="s">
        <v>92</v>
      </c>
      <c r="L26" s="46" t="s">
        <v>3077</v>
      </c>
    </row>
    <row r="27" customFormat="false" ht="15" hidden="false" customHeight="false" outlineLevel="0" collapsed="false">
      <c r="A27" s="70" t="n">
        <v>3</v>
      </c>
      <c r="D27" s="5" t="s">
        <v>3078</v>
      </c>
      <c r="E27" s="61" t="s">
        <v>3059</v>
      </c>
      <c r="I27" s="14" t="s">
        <v>279</v>
      </c>
      <c r="J27" s="61" t="s">
        <v>306</v>
      </c>
      <c r="K27" s="62" t="n">
        <v>20</v>
      </c>
      <c r="L27" s="30" t="s">
        <v>3079</v>
      </c>
    </row>
    <row r="28" customFormat="false" ht="15" hidden="false" customHeight="false" outlineLevel="0" collapsed="false">
      <c r="A28" s="70" t="n">
        <v>4</v>
      </c>
      <c r="D28" s="30" t="s">
        <v>3080</v>
      </c>
      <c r="I28" s="14" t="s">
        <v>183</v>
      </c>
      <c r="J28" s="61" t="s">
        <v>190</v>
      </c>
      <c r="K28" s="62" t="n">
        <v>4</v>
      </c>
      <c r="L28" s="30" t="s">
        <v>3081</v>
      </c>
    </row>
    <row r="29" customFormat="false" ht="15" hidden="false" customHeight="false" outlineLevel="0" collapsed="false">
      <c r="A29" s="70" t="n">
        <v>5</v>
      </c>
      <c r="I29" s="14" t="s">
        <v>193</v>
      </c>
      <c r="J29" s="61" t="s">
        <v>227</v>
      </c>
      <c r="K29" s="62" t="n">
        <v>2</v>
      </c>
      <c r="L29" s="30" t="s">
        <v>3082</v>
      </c>
    </row>
    <row r="30" customFormat="false" ht="15" hidden="false" customHeight="false" outlineLevel="0" collapsed="false">
      <c r="A30" s="70" t="n">
        <v>6</v>
      </c>
      <c r="I30" s="30" t="s">
        <v>3083</v>
      </c>
    </row>
    <row r="32" customFormat="false" ht="15" hidden="false" customHeight="false" outlineLevel="0" collapsed="false">
      <c r="A32" s="41" t="s">
        <v>3084</v>
      </c>
      <c r="F32" s="41" t="s">
        <v>3085</v>
      </c>
      <c r="I32" s="41" t="s">
        <v>3086</v>
      </c>
    </row>
    <row r="33" customFormat="false" ht="15" hidden="false" customHeight="false" outlineLevel="0" collapsed="false">
      <c r="A33" s="30" t="s">
        <v>3087</v>
      </c>
      <c r="F33" s="30" t="s">
        <v>3088</v>
      </c>
    </row>
    <row r="34" customFormat="false" ht="15" hidden="false" customHeight="false" outlineLevel="0" collapsed="false">
      <c r="A34" s="46" t="s">
        <v>80</v>
      </c>
      <c r="B34" s="46" t="s">
        <v>3024</v>
      </c>
      <c r="C34" s="46" t="s">
        <v>3089</v>
      </c>
      <c r="F34" s="31" t="s">
        <v>3090</v>
      </c>
      <c r="G34" s="31" t="s">
        <v>3024</v>
      </c>
      <c r="I34" s="31" t="s">
        <v>81</v>
      </c>
      <c r="J34" s="31" t="s">
        <v>3024</v>
      </c>
    </row>
    <row r="35" customFormat="false" ht="15" hidden="false" customHeight="false" outlineLevel="0" collapsed="false">
      <c r="A35" s="61" t="s">
        <v>169</v>
      </c>
      <c r="B35" s="71" t="n">
        <v>1</v>
      </c>
      <c r="C35" s="72" t="n">
        <v>1</v>
      </c>
      <c r="F35" s="61" t="s">
        <v>405</v>
      </c>
      <c r="G35" s="71" t="n">
        <v>3</v>
      </c>
      <c r="I35" s="61" t="s">
        <v>170</v>
      </c>
      <c r="J35" s="71" t="n">
        <v>1</v>
      </c>
    </row>
    <row r="36" customFormat="false" ht="15" hidden="false" customHeight="false" outlineLevel="0" collapsed="false">
      <c r="A36" s="61" t="s">
        <v>188</v>
      </c>
      <c r="B36" s="71" t="s">
        <v>3091</v>
      </c>
      <c r="C36" s="72" t="n">
        <v>0.03</v>
      </c>
      <c r="F36" s="61" t="s">
        <v>430</v>
      </c>
      <c r="G36" s="71" t="n">
        <v>3</v>
      </c>
      <c r="I36" s="61" t="s">
        <v>189</v>
      </c>
      <c r="J36" s="71" t="s">
        <v>3091</v>
      </c>
    </row>
    <row r="37" customFormat="false" ht="15" hidden="false" customHeight="false" outlineLevel="0" collapsed="false">
      <c r="A37" s="61" t="s">
        <v>177</v>
      </c>
      <c r="B37" s="71" t="s">
        <v>3091</v>
      </c>
      <c r="C37" s="72" t="n">
        <v>0.15</v>
      </c>
      <c r="F37" s="61" t="s">
        <v>425</v>
      </c>
      <c r="G37" s="71" t="n">
        <v>3</v>
      </c>
      <c r="I37" s="61" t="s">
        <v>177</v>
      </c>
      <c r="J37" s="71" t="s">
        <v>3092</v>
      </c>
    </row>
    <row r="38" customFormat="false" ht="15" hidden="false" customHeight="false" outlineLevel="0" collapsed="false">
      <c r="A38" s="61" t="s">
        <v>3019</v>
      </c>
      <c r="B38" s="71" t="s">
        <v>3091</v>
      </c>
      <c r="C38" s="72" t="n">
        <v>0.15</v>
      </c>
      <c r="F38" s="61" t="s">
        <v>480</v>
      </c>
      <c r="G38" s="71" t="n">
        <v>3</v>
      </c>
      <c r="I38" s="61" t="s">
        <v>3093</v>
      </c>
      <c r="J38" s="71" t="s">
        <v>3092</v>
      </c>
    </row>
    <row r="39" customFormat="false" ht="15" hidden="false" customHeight="false" outlineLevel="0" collapsed="false">
      <c r="A39" s="61" t="s">
        <v>999</v>
      </c>
      <c r="B39" s="71" t="s">
        <v>3092</v>
      </c>
      <c r="C39" s="72" t="n">
        <v>0.15</v>
      </c>
      <c r="F39" s="61" t="s">
        <v>332</v>
      </c>
      <c r="G39" s="71" t="n">
        <v>3</v>
      </c>
      <c r="I39" s="61" t="s">
        <v>1483</v>
      </c>
      <c r="J39" s="71" t="s">
        <v>3092</v>
      </c>
    </row>
    <row r="40" customFormat="false" ht="15" hidden="false" customHeight="false" outlineLevel="0" collapsed="false">
      <c r="A40" s="61" t="s">
        <v>357</v>
      </c>
      <c r="B40" s="71" t="s">
        <v>3092</v>
      </c>
      <c r="C40" s="72" t="n">
        <v>0.15</v>
      </c>
      <c r="F40" s="61" t="s">
        <v>306</v>
      </c>
      <c r="G40" s="71" t="n">
        <v>3</v>
      </c>
      <c r="I40" s="61" t="s">
        <v>469</v>
      </c>
      <c r="J40" s="71" t="s">
        <v>3092</v>
      </c>
    </row>
    <row r="41" customFormat="false" ht="15" hidden="false" customHeight="false" outlineLevel="0" collapsed="false">
      <c r="A41" s="61" t="s">
        <v>854</v>
      </c>
      <c r="B41" s="71" t="s">
        <v>3092</v>
      </c>
      <c r="C41" s="72" t="n">
        <v>0.15</v>
      </c>
      <c r="F41" s="61" t="s">
        <v>237</v>
      </c>
      <c r="G41" s="71" t="n">
        <v>3</v>
      </c>
      <c r="I41" s="61" t="s">
        <v>374</v>
      </c>
      <c r="J41" s="71" t="s">
        <v>3092</v>
      </c>
    </row>
    <row r="42" customFormat="false" ht="15" hidden="false" customHeight="false" outlineLevel="0" collapsed="false">
      <c r="A42" s="61" t="s">
        <v>1343</v>
      </c>
      <c r="B42" s="71" t="s">
        <v>3092</v>
      </c>
      <c r="C42" s="72" t="n">
        <v>0.15</v>
      </c>
      <c r="F42" s="61" t="s">
        <v>190</v>
      </c>
      <c r="G42" s="71" t="n">
        <v>2</v>
      </c>
      <c r="I42" s="61" t="s">
        <v>1412</v>
      </c>
      <c r="J42" s="71" t="s">
        <v>3092</v>
      </c>
    </row>
    <row r="43" customFormat="false" ht="15" hidden="false" customHeight="false" outlineLevel="0" collapsed="false">
      <c r="A43" s="61" t="s">
        <v>1476</v>
      </c>
      <c r="B43" s="71" t="s">
        <v>3092</v>
      </c>
      <c r="C43" s="72" t="n">
        <v>0.15</v>
      </c>
      <c r="F43" s="61" t="s">
        <v>297</v>
      </c>
      <c r="G43" s="71" t="n">
        <v>2</v>
      </c>
      <c r="I43" s="61" t="s">
        <v>2422</v>
      </c>
      <c r="J43" s="71" t="s">
        <v>3092</v>
      </c>
    </row>
    <row r="44" customFormat="false" ht="15" hidden="false" customHeight="false" outlineLevel="0" collapsed="false">
      <c r="A44" s="61" t="s">
        <v>3094</v>
      </c>
      <c r="B44" s="71" t="s">
        <v>3092</v>
      </c>
      <c r="C44" s="72" t="n">
        <v>0.15</v>
      </c>
      <c r="F44" s="61" t="s">
        <v>230</v>
      </c>
      <c r="G44" s="71" t="n">
        <v>2</v>
      </c>
      <c r="I44" s="61" t="s">
        <v>2252</v>
      </c>
      <c r="J44" s="71" t="s">
        <v>3092</v>
      </c>
    </row>
    <row r="45" customFormat="false" ht="15" hidden="false" customHeight="false" outlineLevel="0" collapsed="false">
      <c r="A45" s="61" t="s">
        <v>3095</v>
      </c>
      <c r="B45" s="71" t="s">
        <v>3092</v>
      </c>
      <c r="C45" s="72" t="n">
        <v>0.15</v>
      </c>
      <c r="F45" s="61" t="s">
        <v>178</v>
      </c>
      <c r="G45" s="71" t="n">
        <v>2</v>
      </c>
      <c r="I45" s="61"/>
      <c r="J45" s="71"/>
    </row>
    <row r="46" customFormat="false" ht="15" hidden="false" customHeight="false" outlineLevel="0" collapsed="false">
      <c r="A46" s="61" t="s">
        <v>3096</v>
      </c>
      <c r="B46" s="71" t="s">
        <v>3092</v>
      </c>
      <c r="C46" s="72" t="n">
        <v>0.15</v>
      </c>
      <c r="F46" s="61" t="s">
        <v>263</v>
      </c>
      <c r="G46" s="71" t="n">
        <v>2</v>
      </c>
      <c r="I46" s="61"/>
      <c r="J46" s="71"/>
    </row>
    <row r="47" customFormat="false" ht="15" hidden="false" customHeight="false" outlineLevel="0" collapsed="false">
      <c r="A47" s="61" t="s">
        <v>3097</v>
      </c>
      <c r="B47" s="71" t="s">
        <v>3092</v>
      </c>
      <c r="C47" s="72" t="n">
        <v>0.15</v>
      </c>
      <c r="F47" s="61" t="s">
        <v>3098</v>
      </c>
      <c r="G47" s="71" t="n">
        <v>2</v>
      </c>
      <c r="I47" s="61"/>
      <c r="J47" s="71"/>
    </row>
    <row r="48" customFormat="false" ht="15" hidden="false" customHeight="false" outlineLevel="0" collapsed="false">
      <c r="A48" s="61" t="s">
        <v>3099</v>
      </c>
      <c r="B48" s="71" t="s">
        <v>3092</v>
      </c>
      <c r="C48" s="72" t="n">
        <v>0.15</v>
      </c>
      <c r="F48" s="61" t="s">
        <v>227</v>
      </c>
      <c r="G48" s="71" t="n">
        <v>2</v>
      </c>
      <c r="I48" s="61"/>
      <c r="J48" s="71"/>
    </row>
    <row r="49" customFormat="false" ht="15" hidden="false" customHeight="false" outlineLevel="0" collapsed="false">
      <c r="A49" s="61" t="s">
        <v>1392</v>
      </c>
      <c r="B49" s="71" t="s">
        <v>3092</v>
      </c>
      <c r="C49" s="72" t="n">
        <v>0.15</v>
      </c>
      <c r="F49" s="61" t="s">
        <v>352</v>
      </c>
      <c r="G49" s="71" t="n">
        <v>2</v>
      </c>
      <c r="I49" s="61"/>
      <c r="J49" s="71"/>
    </row>
    <row r="50" customFormat="false" ht="15" hidden="false" customHeight="false" outlineLevel="0" collapsed="false">
      <c r="A50" s="61"/>
      <c r="B50" s="71"/>
      <c r="C50" s="72"/>
      <c r="F50" s="61" t="s">
        <v>3100</v>
      </c>
      <c r="G50" s="71" t="n">
        <v>2</v>
      </c>
      <c r="I50" s="61"/>
      <c r="J50" s="71"/>
    </row>
    <row r="51" customFormat="false" ht="15" hidden="false" customHeight="false" outlineLevel="0" collapsed="false">
      <c r="A51" s="61"/>
      <c r="B51" s="71"/>
      <c r="C51" s="72"/>
      <c r="F51" s="61" t="s">
        <v>3101</v>
      </c>
      <c r="G51" s="71" t="n">
        <v>2</v>
      </c>
      <c r="I51" s="61"/>
      <c r="J51" s="71"/>
    </row>
    <row r="52" customFormat="false" ht="15" hidden="false" customHeight="false" outlineLevel="0" collapsed="false">
      <c r="A52" s="61"/>
      <c r="B52" s="71"/>
      <c r="C52" s="72"/>
      <c r="F52" s="61" t="s">
        <v>3102</v>
      </c>
      <c r="G52" s="71" t="n">
        <v>2</v>
      </c>
      <c r="I52" s="61"/>
      <c r="J52" s="71"/>
    </row>
    <row r="53" customFormat="false" ht="15" hidden="false" customHeight="false" outlineLevel="0" collapsed="false">
      <c r="A53" s="61"/>
      <c r="B53" s="71"/>
      <c r="C53" s="72"/>
      <c r="F53" s="61" t="s">
        <v>3103</v>
      </c>
      <c r="G53" s="71" t="n">
        <v>2</v>
      </c>
    </row>
    <row r="54" customFormat="false" ht="15" hidden="false" customHeight="false" outlineLevel="0" collapsed="false">
      <c r="A54" s="61"/>
      <c r="B54" s="71"/>
      <c r="C54" s="72"/>
      <c r="F54" s="61" t="s">
        <v>3104</v>
      </c>
      <c r="G54" s="71" t="n">
        <v>2</v>
      </c>
    </row>
    <row r="55" customFormat="false" ht="15" hidden="false" customHeight="false" outlineLevel="0" collapsed="false">
      <c r="A55" s="61"/>
      <c r="B55" s="71"/>
      <c r="C55" s="72"/>
      <c r="F55" s="61" t="s">
        <v>3105</v>
      </c>
      <c r="G55" s="71" t="n">
        <v>2</v>
      </c>
    </row>
    <row r="56" customFormat="false" ht="15" hidden="false" customHeight="false" outlineLevel="0" collapsed="false">
      <c r="A56" s="61"/>
      <c r="B56" s="71"/>
      <c r="C56" s="72"/>
      <c r="F56" s="61" t="s">
        <v>3106</v>
      </c>
      <c r="G56" s="71" t="n">
        <v>2</v>
      </c>
    </row>
    <row r="57" customFormat="false" ht="15" hidden="false" customHeight="false" outlineLevel="0" collapsed="false">
      <c r="A57" s="61"/>
      <c r="B57" s="71"/>
      <c r="C57" s="72"/>
      <c r="F57" s="61" t="s">
        <v>172</v>
      </c>
      <c r="G57" s="71" t="n">
        <v>2</v>
      </c>
    </row>
    <row r="58" customFormat="false" ht="15" hidden="false" customHeight="false" outlineLevel="0" collapsed="false">
      <c r="A58" s="61"/>
      <c r="B58" s="71"/>
      <c r="C58" s="72"/>
      <c r="F58" s="61"/>
      <c r="G58" s="71"/>
    </row>
    <row r="59" customFormat="false" ht="15" hidden="false" customHeight="false" outlineLevel="0" collapsed="false">
      <c r="A59" s="61"/>
      <c r="B59" s="71"/>
      <c r="C59" s="72"/>
      <c r="F59" s="61"/>
      <c r="G59" s="71"/>
    </row>
    <row r="60" customFormat="false" ht="15" hidden="false" customHeight="false" outlineLevel="0" collapsed="false">
      <c r="A60" s="61"/>
      <c r="B60" s="71"/>
      <c r="C60" s="72"/>
      <c r="F60" s="61"/>
      <c r="G60" s="71"/>
    </row>
    <row r="61" customFormat="false" ht="15" hidden="false" customHeight="false" outlineLevel="0" collapsed="false">
      <c r="A61" s="61"/>
      <c r="B61" s="71"/>
      <c r="C61" s="72"/>
      <c r="F61" s="61"/>
      <c r="G61" s="71"/>
    </row>
    <row r="62" customFormat="false" ht="15" hidden="false" customHeight="false" outlineLevel="0" collapsed="false">
      <c r="A62" s="61"/>
      <c r="B62" s="71"/>
      <c r="C62" s="72"/>
      <c r="F62" s="61"/>
      <c r="G62" s="71"/>
    </row>
    <row r="63" customFormat="false" ht="15" hidden="false" customHeight="false" outlineLevel="0" collapsed="false">
      <c r="A63" s="61"/>
      <c r="B63" s="71"/>
      <c r="C63" s="72"/>
      <c r="F63" s="61"/>
      <c r="G63" s="71"/>
    </row>
    <row r="64" customFormat="false" ht="15" hidden="false" customHeight="false" outlineLevel="0" collapsed="false">
      <c r="A64" s="61"/>
      <c r="B64" s="71"/>
      <c r="C64" s="72"/>
      <c r="F64" s="61"/>
      <c r="G64" s="71"/>
    </row>
  </sheetData>
  <dataValidations count="9">
    <dataValidation allowBlank="false" error="Anzahl Tablare 40–60" errorStyle="stop" operator="between" showDropDown="false" showErrorMessage="false" showInputMessage="false" sqref="E5:E7" type="whole">
      <formula1>40</formula1>
      <formula2>60</formula2>
    </dataValidation>
    <dataValidation allowBlank="false" errorStyle="stop" operator="between" showDropDown="false" showErrorMessage="false" showInputMessage="false" sqref="B19" type="list">
      <formula1>"Ja,Nein"</formula1>
      <formula2>0</formula2>
    </dataValidation>
    <dataValidation allowBlank="true" errorStyle="stop" operator="between" showDropDown="false" showErrorMessage="false" showInputMessage="false" sqref="J35:J52" type="list">
      <formula1>"1,2,3,2+3,Nein"</formula1>
      <formula2>0</formula2>
    </dataValidation>
    <dataValidation allowBlank="false" errorStyle="stop" operator="between" showDropDown="false" showErrorMessage="false" showInputMessage="false" sqref="B20" type="list">
      <formula1>"Export (Bestandsmenge),Jahresanfang 2025 + Export"</formula1>
      <formula2>0</formula2>
    </dataValidation>
    <dataValidation allowBlank="false" errorStyle="stop" operator="between" showDropDown="false" showErrorMessage="false" showInputMessage="false" sqref="B21" type="list">
      <formula1>"Ja,Nein"</formula1>
      <formula2>0</formula2>
    </dataValidation>
    <dataValidation allowBlank="true" errorStyle="stop" operator="between" showDropDown="false" showErrorMessage="false" showInputMessage="false" sqref="B35:B64" type="list">
      <formula1>"1,2,3,2+3,Nein"</formula1>
      <formula2>0</formula2>
    </dataValidation>
    <dataValidation allowBlank="true" errorStyle="stop" operator="between" showDropDown="false" showErrorMessage="false" showInputMessage="false" sqref="G35:G64" type="list">
      <formula1>"2,3"</formula1>
      <formula2>0</formula2>
    </dataValidation>
    <dataValidation allowBlank="false" errorStyle="stop" operator="between" showDropDown="false" showErrorMessage="false" showInputMessage="false" sqref="M22" type="list">
      <formula1>"1,2,3"</formula1>
      <formula2>0</formula2>
    </dataValidation>
    <dataValidation allowBlank="false" errorStyle="stop" operator="between" showDropDown="false" showErrorMessage="false" showInputMessage="false" sqref="E27" type="list">
      <formula1>"Ja,Nein"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J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2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1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29" t="s">
        <v>3107</v>
      </c>
    </row>
    <row r="2" customFormat="false" ht="15" hidden="false" customHeight="false" outlineLevel="0" collapsed="false">
      <c r="A2" s="30" t="s">
        <v>3108</v>
      </c>
    </row>
    <row r="3" customFormat="false" ht="15" hidden="false" customHeight="false" outlineLevel="0" collapsed="false">
      <c r="A3" s="3" t="s">
        <v>3109</v>
      </c>
    </row>
    <row r="4" customFormat="false" ht="42" hidden="false" customHeight="true" outlineLevel="0" collapsed="false">
      <c r="A4" s="46" t="s">
        <v>77</v>
      </c>
      <c r="B4" s="46" t="s">
        <v>78</v>
      </c>
      <c r="C4" s="46" t="s">
        <v>3110</v>
      </c>
      <c r="D4" s="46" t="s">
        <v>62</v>
      </c>
      <c r="E4" s="46" t="s">
        <v>88</v>
      </c>
      <c r="F4" s="46" t="s">
        <v>89</v>
      </c>
      <c r="G4" s="46" t="s">
        <v>83</v>
      </c>
      <c r="H4" s="46" t="s">
        <v>3111</v>
      </c>
      <c r="I4" s="46" t="s">
        <v>92</v>
      </c>
      <c r="J4" s="46" t="s">
        <v>3112</v>
      </c>
    </row>
    <row r="5" customFormat="false" ht="15" hidden="false" customHeight="false" outlineLevel="0" collapsed="false">
      <c r="A5" s="61"/>
      <c r="B5" s="61"/>
      <c r="C5" s="61"/>
      <c r="D5" s="61"/>
      <c r="E5" s="61"/>
      <c r="F5" s="61"/>
      <c r="G5" s="61"/>
      <c r="H5" s="61"/>
      <c r="I5" s="61"/>
      <c r="J5" s="61"/>
    </row>
    <row r="6" customFormat="false" ht="15" hidden="false" customHeight="false" outlineLevel="0" collapsed="false">
      <c r="A6" s="61"/>
      <c r="B6" s="61"/>
      <c r="C6" s="61"/>
      <c r="D6" s="61"/>
      <c r="E6" s="61"/>
      <c r="F6" s="61"/>
      <c r="G6" s="61"/>
      <c r="H6" s="61"/>
      <c r="I6" s="61"/>
      <c r="J6" s="61"/>
    </row>
    <row r="7" customFormat="false" ht="15" hidden="false" customHeight="false" outlineLevel="0" collapsed="false">
      <c r="A7" s="61"/>
      <c r="B7" s="61"/>
      <c r="C7" s="61"/>
      <c r="D7" s="61"/>
      <c r="E7" s="61"/>
      <c r="F7" s="61"/>
      <c r="G7" s="61"/>
      <c r="H7" s="61"/>
      <c r="I7" s="61"/>
      <c r="J7" s="61"/>
    </row>
    <row r="8" customFormat="false" ht="15" hidden="false" customHeight="false" outlineLevel="0" collapsed="false">
      <c r="A8" s="61"/>
      <c r="B8" s="61"/>
      <c r="C8" s="61"/>
      <c r="D8" s="61"/>
      <c r="E8" s="61"/>
      <c r="F8" s="61"/>
      <c r="G8" s="61"/>
      <c r="H8" s="61"/>
      <c r="I8" s="61"/>
      <c r="J8" s="61"/>
    </row>
    <row r="9" customFormat="false" ht="15" hidden="false" customHeight="false" outlineLevel="0" collapsed="false">
      <c r="A9" s="61"/>
      <c r="B9" s="61"/>
      <c r="C9" s="61"/>
      <c r="D9" s="61"/>
      <c r="E9" s="61"/>
      <c r="F9" s="61"/>
      <c r="G9" s="61"/>
      <c r="H9" s="61"/>
      <c r="I9" s="61"/>
      <c r="J9" s="61"/>
    </row>
    <row r="10" customFormat="false" ht="15" hidden="false" customHeight="false" outlineLevel="0" collapsed="false">
      <c r="A10" s="61"/>
      <c r="B10" s="61"/>
      <c r="C10" s="61"/>
      <c r="D10" s="61"/>
      <c r="E10" s="61"/>
      <c r="F10" s="61"/>
      <c r="G10" s="61"/>
      <c r="H10" s="61"/>
      <c r="I10" s="61"/>
      <c r="J10" s="61"/>
    </row>
    <row r="11" customFormat="false" ht="15" hidden="false" customHeight="false" outlineLevel="0" collapsed="false">
      <c r="A11" s="61"/>
      <c r="B11" s="61"/>
      <c r="C11" s="61"/>
      <c r="D11" s="61"/>
      <c r="E11" s="61"/>
      <c r="F11" s="61"/>
      <c r="G11" s="61"/>
      <c r="H11" s="61"/>
      <c r="I11" s="61"/>
      <c r="J11" s="61"/>
    </row>
    <row r="12" customFormat="false" ht="15" hidden="false" customHeight="false" outlineLevel="0" collapsed="false">
      <c r="A12" s="61"/>
      <c r="B12" s="61"/>
      <c r="C12" s="61"/>
      <c r="D12" s="61"/>
      <c r="E12" s="61"/>
      <c r="F12" s="61"/>
      <c r="G12" s="61"/>
      <c r="H12" s="61"/>
      <c r="I12" s="61"/>
      <c r="J12" s="61"/>
    </row>
    <row r="13" customFormat="false" ht="15" hidden="false" customHeight="false" outlineLevel="0" collapsed="false">
      <c r="A13" s="61"/>
      <c r="B13" s="61"/>
      <c r="C13" s="61"/>
      <c r="D13" s="61"/>
      <c r="E13" s="61"/>
      <c r="F13" s="61"/>
      <c r="G13" s="61"/>
      <c r="H13" s="61"/>
      <c r="I13" s="61"/>
      <c r="J13" s="61"/>
    </row>
    <row r="14" customFormat="false" ht="15" hidden="false" customHeight="false" outlineLevel="0" collapsed="false">
      <c r="A14" s="61"/>
      <c r="B14" s="61"/>
      <c r="C14" s="61"/>
      <c r="D14" s="61"/>
      <c r="E14" s="61"/>
      <c r="F14" s="61"/>
      <c r="G14" s="61"/>
      <c r="H14" s="61"/>
      <c r="I14" s="61"/>
      <c r="J14" s="61"/>
    </row>
    <row r="15" customFormat="false" ht="15" hidden="false" customHeight="false" outlineLevel="0" collapsed="false">
      <c r="A15" s="61"/>
      <c r="B15" s="61"/>
      <c r="C15" s="61"/>
      <c r="D15" s="61"/>
      <c r="E15" s="61"/>
      <c r="F15" s="61"/>
      <c r="G15" s="61"/>
      <c r="H15" s="61"/>
      <c r="I15" s="61"/>
      <c r="J15" s="61"/>
    </row>
    <row r="16" customFormat="false" ht="15" hidden="false" customHeight="false" outlineLevel="0" collapsed="false">
      <c r="A16" s="61"/>
      <c r="B16" s="61"/>
      <c r="C16" s="61"/>
      <c r="D16" s="61"/>
      <c r="E16" s="61"/>
      <c r="F16" s="61"/>
      <c r="G16" s="61"/>
      <c r="H16" s="61"/>
      <c r="I16" s="61"/>
      <c r="J16" s="61"/>
    </row>
    <row r="17" customFormat="false" ht="15" hidden="false" customHeight="false" outlineLevel="0" collapsed="false">
      <c r="A17" s="61"/>
      <c r="B17" s="61"/>
      <c r="C17" s="61"/>
      <c r="D17" s="61"/>
      <c r="E17" s="61"/>
      <c r="F17" s="61"/>
      <c r="G17" s="61"/>
      <c r="H17" s="61"/>
      <c r="I17" s="61"/>
      <c r="J17" s="61"/>
    </row>
    <row r="18" customFormat="false" ht="15" hidden="false" customHeight="false" outlineLevel="0" collapsed="false">
      <c r="A18" s="61"/>
      <c r="B18" s="61"/>
      <c r="C18" s="61"/>
      <c r="D18" s="61"/>
      <c r="E18" s="61"/>
      <c r="F18" s="61"/>
      <c r="G18" s="61"/>
      <c r="H18" s="61"/>
      <c r="I18" s="61"/>
      <c r="J18" s="61"/>
    </row>
    <row r="19" customFormat="false" ht="15" hidden="false" customHeight="false" outlineLevel="0" collapsed="false">
      <c r="A19" s="61"/>
      <c r="B19" s="61"/>
      <c r="C19" s="61"/>
      <c r="D19" s="61"/>
      <c r="E19" s="61"/>
      <c r="F19" s="61"/>
      <c r="G19" s="61"/>
      <c r="H19" s="61"/>
      <c r="I19" s="61"/>
      <c r="J19" s="61"/>
    </row>
    <row r="20" customFormat="false" ht="15" hidden="false" customHeight="false" outlineLevel="0" collapsed="false">
      <c r="A20" s="61"/>
      <c r="B20" s="61"/>
      <c r="C20" s="61"/>
      <c r="D20" s="61"/>
      <c r="E20" s="61"/>
      <c r="F20" s="61"/>
      <c r="G20" s="61"/>
      <c r="H20" s="61"/>
      <c r="I20" s="61"/>
      <c r="J20" s="61"/>
    </row>
    <row r="21" customFormat="false" ht="15" hidden="false" customHeight="false" outlineLevel="0" collapsed="false">
      <c r="A21" s="61"/>
      <c r="B21" s="61"/>
      <c r="C21" s="61"/>
      <c r="D21" s="61"/>
      <c r="E21" s="61"/>
      <c r="F21" s="61"/>
      <c r="G21" s="61"/>
      <c r="H21" s="61"/>
      <c r="I21" s="61"/>
      <c r="J21" s="61"/>
    </row>
    <row r="22" customFormat="false" ht="15" hidden="false" customHeight="false" outlineLevel="0" collapsed="false">
      <c r="A22" s="61"/>
      <c r="B22" s="61"/>
      <c r="C22" s="61"/>
      <c r="D22" s="61"/>
      <c r="E22" s="61"/>
      <c r="F22" s="61"/>
      <c r="G22" s="61"/>
      <c r="H22" s="61"/>
      <c r="I22" s="61"/>
      <c r="J22" s="61"/>
    </row>
    <row r="23" customFormat="false" ht="15" hidden="false" customHeight="false" outlineLevel="0" collapsed="false">
      <c r="A23" s="61"/>
      <c r="B23" s="61"/>
      <c r="C23" s="61"/>
      <c r="D23" s="61"/>
      <c r="E23" s="61"/>
      <c r="F23" s="61"/>
      <c r="G23" s="61"/>
      <c r="H23" s="61"/>
      <c r="I23" s="61"/>
      <c r="J23" s="61"/>
    </row>
    <row r="24" customFormat="false" ht="15" hidden="false" customHeight="false" outlineLevel="0" collapsed="false">
      <c r="A24" s="61"/>
      <c r="B24" s="61"/>
      <c r="C24" s="61"/>
      <c r="D24" s="61"/>
      <c r="E24" s="61"/>
      <c r="F24" s="61"/>
      <c r="G24" s="61"/>
      <c r="H24" s="61"/>
      <c r="I24" s="61"/>
      <c r="J24" s="61"/>
    </row>
    <row r="25" customFormat="false" ht="15" hidden="false" customHeight="false" outlineLevel="0" collapsed="false">
      <c r="A25" s="61"/>
      <c r="B25" s="61"/>
      <c r="C25" s="61"/>
      <c r="D25" s="61"/>
      <c r="E25" s="61"/>
      <c r="F25" s="61"/>
      <c r="G25" s="61"/>
      <c r="H25" s="61"/>
      <c r="I25" s="61"/>
      <c r="J25" s="61"/>
    </row>
    <row r="26" customFormat="false" ht="15" hidden="false" customHeight="false" outlineLevel="0" collapsed="false">
      <c r="A26" s="61"/>
      <c r="B26" s="61"/>
      <c r="C26" s="61"/>
      <c r="D26" s="61"/>
      <c r="E26" s="61"/>
      <c r="F26" s="61"/>
      <c r="G26" s="61"/>
      <c r="H26" s="61"/>
      <c r="I26" s="61"/>
      <c r="J26" s="61"/>
    </row>
    <row r="27" customFormat="false" ht="15" hidden="false" customHeight="false" outlineLevel="0" collapsed="false">
      <c r="A27" s="61"/>
      <c r="B27" s="61"/>
      <c r="C27" s="61"/>
      <c r="D27" s="61"/>
      <c r="E27" s="61"/>
      <c r="F27" s="61"/>
      <c r="G27" s="61"/>
      <c r="H27" s="61"/>
      <c r="I27" s="61"/>
      <c r="J27" s="61"/>
    </row>
    <row r="28" customFormat="false" ht="15" hidden="false" customHeight="false" outlineLevel="0" collapsed="false">
      <c r="A28" s="61"/>
      <c r="B28" s="61"/>
      <c r="C28" s="61"/>
      <c r="D28" s="61"/>
      <c r="E28" s="61"/>
      <c r="F28" s="61"/>
      <c r="G28" s="61"/>
      <c r="H28" s="61"/>
      <c r="I28" s="61"/>
      <c r="J28" s="61"/>
    </row>
    <row r="29" customFormat="false" ht="15" hidden="false" customHeight="false" outlineLevel="0" collapsed="false">
      <c r="A29" s="61"/>
      <c r="B29" s="61"/>
      <c r="C29" s="61"/>
      <c r="D29" s="61"/>
      <c r="E29" s="61"/>
      <c r="F29" s="61"/>
      <c r="G29" s="61"/>
      <c r="H29" s="61"/>
      <c r="I29" s="61"/>
      <c r="J29" s="61"/>
    </row>
    <row r="30" customFormat="false" ht="15" hidden="false" customHeight="false" outlineLevel="0" collapsed="false">
      <c r="A30" s="61"/>
      <c r="B30" s="61"/>
      <c r="C30" s="61"/>
      <c r="D30" s="61"/>
      <c r="E30" s="61"/>
      <c r="F30" s="61"/>
      <c r="G30" s="61"/>
      <c r="H30" s="61"/>
      <c r="I30" s="61"/>
      <c r="J30" s="61"/>
    </row>
    <row r="31" customFormat="false" ht="15" hidden="false" customHeight="false" outlineLevel="0" collapsed="false">
      <c r="A31" s="61"/>
      <c r="B31" s="61"/>
      <c r="C31" s="61"/>
      <c r="D31" s="61"/>
      <c r="E31" s="61"/>
      <c r="F31" s="61"/>
      <c r="G31" s="61"/>
      <c r="H31" s="61"/>
      <c r="I31" s="61"/>
      <c r="J31" s="61"/>
    </row>
    <row r="32" customFormat="false" ht="15" hidden="false" customHeight="false" outlineLevel="0" collapsed="false">
      <c r="A32" s="61"/>
      <c r="B32" s="61"/>
      <c r="C32" s="61"/>
      <c r="D32" s="61"/>
      <c r="E32" s="61"/>
      <c r="F32" s="61"/>
      <c r="G32" s="61"/>
      <c r="H32" s="61"/>
      <c r="I32" s="61"/>
      <c r="J32" s="61"/>
    </row>
    <row r="33" customFormat="false" ht="15" hidden="false" customHeight="false" outlineLevel="0" collapsed="false">
      <c r="A33" s="61"/>
      <c r="B33" s="61"/>
      <c r="C33" s="61"/>
      <c r="D33" s="61"/>
      <c r="E33" s="61"/>
      <c r="F33" s="61"/>
      <c r="G33" s="61"/>
      <c r="H33" s="61"/>
      <c r="I33" s="61"/>
      <c r="J33" s="61"/>
    </row>
    <row r="34" customFormat="false" ht="15" hidden="false" customHeight="false" outlineLevel="0" collapsed="false">
      <c r="A34" s="61"/>
      <c r="B34" s="61"/>
      <c r="C34" s="61"/>
      <c r="D34" s="61"/>
      <c r="E34" s="61"/>
      <c r="F34" s="61"/>
      <c r="G34" s="61"/>
      <c r="H34" s="61"/>
      <c r="I34" s="61"/>
      <c r="J34" s="61"/>
    </row>
    <row r="35" customFormat="false" ht="15" hidden="false" customHeight="false" outlineLevel="0" collapsed="false">
      <c r="A35" s="61"/>
      <c r="B35" s="61"/>
      <c r="C35" s="61"/>
      <c r="D35" s="61"/>
      <c r="E35" s="61"/>
      <c r="F35" s="61"/>
      <c r="G35" s="61"/>
      <c r="H35" s="61"/>
      <c r="I35" s="61"/>
      <c r="J35" s="61"/>
    </row>
    <row r="36" customFormat="false" ht="15" hidden="false" customHeight="false" outlineLevel="0" collapsed="false">
      <c r="A36" s="61"/>
      <c r="B36" s="61"/>
      <c r="C36" s="61"/>
      <c r="D36" s="61"/>
      <c r="E36" s="61"/>
      <c r="F36" s="61"/>
      <c r="G36" s="61"/>
      <c r="H36" s="61"/>
      <c r="I36" s="61"/>
      <c r="J36" s="61"/>
    </row>
    <row r="37" customFormat="false" ht="15" hidden="false" customHeight="false" outlineLevel="0" collapsed="false">
      <c r="A37" s="61"/>
      <c r="B37" s="61"/>
      <c r="C37" s="61"/>
      <c r="D37" s="61"/>
      <c r="E37" s="61"/>
      <c r="F37" s="61"/>
      <c r="G37" s="61"/>
      <c r="H37" s="61"/>
      <c r="I37" s="61"/>
      <c r="J37" s="61"/>
    </row>
    <row r="38" customFormat="false" ht="15" hidden="false" customHeight="false" outlineLevel="0" collapsed="false">
      <c r="A38" s="61"/>
      <c r="B38" s="61"/>
      <c r="C38" s="61"/>
      <c r="D38" s="61"/>
      <c r="E38" s="61"/>
      <c r="F38" s="61"/>
      <c r="G38" s="61"/>
      <c r="H38" s="61"/>
      <c r="I38" s="61"/>
      <c r="J38" s="61"/>
    </row>
    <row r="39" customFormat="false" ht="15" hidden="false" customHeight="false" outlineLevel="0" collapsed="false">
      <c r="A39" s="61"/>
      <c r="B39" s="61"/>
      <c r="C39" s="61"/>
      <c r="D39" s="61"/>
      <c r="E39" s="61"/>
      <c r="F39" s="61"/>
      <c r="G39" s="61"/>
      <c r="H39" s="61"/>
      <c r="I39" s="61"/>
      <c r="J39" s="61"/>
    </row>
    <row r="40" customFormat="false" ht="15" hidden="false" customHeight="false" outlineLevel="0" collapsed="false">
      <c r="A40" s="61"/>
      <c r="B40" s="61"/>
      <c r="C40" s="61"/>
      <c r="D40" s="61"/>
      <c r="E40" s="61"/>
      <c r="F40" s="61"/>
      <c r="G40" s="61"/>
      <c r="H40" s="61"/>
      <c r="I40" s="61"/>
      <c r="J40" s="61"/>
    </row>
    <row r="41" customFormat="false" ht="15" hidden="false" customHeight="false" outlineLevel="0" collapsed="false">
      <c r="A41" s="61"/>
      <c r="B41" s="61"/>
      <c r="C41" s="61"/>
      <c r="D41" s="61"/>
      <c r="E41" s="61"/>
      <c r="F41" s="61"/>
      <c r="G41" s="61"/>
      <c r="H41" s="61"/>
      <c r="I41" s="61"/>
      <c r="J41" s="61"/>
    </row>
    <row r="42" customFormat="false" ht="15" hidden="false" customHeight="false" outlineLevel="0" collapsed="false">
      <c r="A42" s="61"/>
      <c r="B42" s="61"/>
      <c r="C42" s="61"/>
      <c r="D42" s="61"/>
      <c r="E42" s="61"/>
      <c r="F42" s="61"/>
      <c r="G42" s="61"/>
      <c r="H42" s="61"/>
      <c r="I42" s="61"/>
      <c r="J42" s="61"/>
    </row>
    <row r="43" customFormat="false" ht="15" hidden="false" customHeight="false" outlineLevel="0" collapsed="false">
      <c r="A43" s="61"/>
      <c r="B43" s="61"/>
      <c r="C43" s="61"/>
      <c r="D43" s="61"/>
      <c r="E43" s="61"/>
      <c r="F43" s="61"/>
      <c r="G43" s="61"/>
      <c r="H43" s="61"/>
      <c r="I43" s="61"/>
      <c r="J43" s="61"/>
    </row>
    <row r="44" customFormat="false" ht="15" hidden="false" customHeight="false" outlineLevel="0" collapsed="false">
      <c r="A44" s="61"/>
      <c r="B44" s="61"/>
      <c r="C44" s="61"/>
      <c r="D44" s="61"/>
      <c r="E44" s="61"/>
      <c r="F44" s="61"/>
      <c r="G44" s="61"/>
      <c r="H44" s="61"/>
      <c r="I44" s="61"/>
      <c r="J44" s="61"/>
    </row>
    <row r="45" customFormat="false" ht="15" hidden="false" customHeight="false" outlineLevel="0" collapsed="false">
      <c r="A45" s="61"/>
      <c r="B45" s="61"/>
      <c r="C45" s="61"/>
      <c r="D45" s="61"/>
      <c r="E45" s="61"/>
      <c r="F45" s="61"/>
      <c r="G45" s="61"/>
      <c r="H45" s="61"/>
      <c r="I45" s="61"/>
      <c r="J45" s="61"/>
    </row>
    <row r="46" customFormat="false" ht="15" hidden="false" customHeight="false" outlineLevel="0" collapsed="false">
      <c r="A46" s="61"/>
      <c r="B46" s="61"/>
      <c r="C46" s="61"/>
      <c r="D46" s="61"/>
      <c r="E46" s="61"/>
      <c r="F46" s="61"/>
      <c r="G46" s="61"/>
      <c r="H46" s="61"/>
      <c r="I46" s="61"/>
      <c r="J46" s="61"/>
    </row>
    <row r="47" customFormat="false" ht="15" hidden="false" customHeight="false" outlineLevel="0" collapsed="false">
      <c r="A47" s="61"/>
      <c r="B47" s="61"/>
      <c r="C47" s="61"/>
      <c r="D47" s="61"/>
      <c r="E47" s="61"/>
      <c r="F47" s="61"/>
      <c r="G47" s="61"/>
      <c r="H47" s="61"/>
      <c r="I47" s="61"/>
      <c r="J47" s="61"/>
    </row>
    <row r="48" customFormat="false" ht="15" hidden="false" customHeight="false" outlineLevel="0" collapsed="false">
      <c r="A48" s="61"/>
      <c r="B48" s="61"/>
      <c r="C48" s="61"/>
      <c r="D48" s="61"/>
      <c r="E48" s="61"/>
      <c r="F48" s="61"/>
      <c r="G48" s="61"/>
      <c r="H48" s="61"/>
      <c r="I48" s="61"/>
      <c r="J48" s="61"/>
    </row>
    <row r="49" customFormat="false" ht="15" hidden="false" customHeight="false" outlineLevel="0" collapsed="false">
      <c r="A49" s="61"/>
      <c r="B49" s="61"/>
      <c r="C49" s="61"/>
      <c r="D49" s="61"/>
      <c r="E49" s="61"/>
      <c r="F49" s="61"/>
      <c r="G49" s="61"/>
      <c r="H49" s="61"/>
      <c r="I49" s="61"/>
      <c r="J49" s="61"/>
    </row>
    <row r="50" customFormat="false" ht="15" hidden="false" customHeight="false" outlineLevel="0" collapsed="false">
      <c r="A50" s="61"/>
      <c r="B50" s="61"/>
      <c r="C50" s="61"/>
      <c r="D50" s="61"/>
      <c r="E50" s="61"/>
      <c r="F50" s="61"/>
      <c r="G50" s="61"/>
      <c r="H50" s="61"/>
      <c r="I50" s="61"/>
      <c r="J50" s="61"/>
    </row>
    <row r="51" customFormat="false" ht="15" hidden="false" customHeight="false" outlineLevel="0" collapsed="false">
      <c r="A51" s="61"/>
      <c r="B51" s="61"/>
      <c r="C51" s="61"/>
      <c r="D51" s="61"/>
      <c r="E51" s="61"/>
      <c r="F51" s="61"/>
      <c r="G51" s="61"/>
      <c r="H51" s="61"/>
      <c r="I51" s="61"/>
      <c r="J51" s="61"/>
    </row>
    <row r="52" customFormat="false" ht="15" hidden="false" customHeight="false" outlineLevel="0" collapsed="false">
      <c r="A52" s="61"/>
      <c r="B52" s="61"/>
      <c r="C52" s="61"/>
      <c r="D52" s="61"/>
      <c r="E52" s="61"/>
      <c r="F52" s="61"/>
      <c r="G52" s="61"/>
      <c r="H52" s="61"/>
      <c r="I52" s="61"/>
      <c r="J52" s="61"/>
    </row>
    <row r="53" customFormat="false" ht="15" hidden="false" customHeight="false" outlineLevel="0" collapsed="false">
      <c r="A53" s="61"/>
      <c r="B53" s="61"/>
      <c r="C53" s="61"/>
      <c r="D53" s="61"/>
      <c r="E53" s="61"/>
      <c r="F53" s="61"/>
      <c r="G53" s="61"/>
      <c r="H53" s="61"/>
      <c r="I53" s="61"/>
      <c r="J53" s="61"/>
    </row>
    <row r="54" customFormat="false" ht="15" hidden="false" customHeight="false" outlineLevel="0" collapsed="false">
      <c r="A54" s="61"/>
      <c r="B54" s="61"/>
      <c r="C54" s="61"/>
      <c r="D54" s="61"/>
      <c r="E54" s="61"/>
      <c r="F54" s="61"/>
      <c r="G54" s="61"/>
      <c r="H54" s="61"/>
      <c r="I54" s="61"/>
      <c r="J54" s="61"/>
    </row>
    <row r="55" customFormat="false" ht="15" hidden="false" customHeight="false" outlineLevel="0" collapsed="false">
      <c r="A55" s="61"/>
      <c r="B55" s="61"/>
      <c r="C55" s="61"/>
      <c r="D55" s="61"/>
      <c r="E55" s="61"/>
      <c r="F55" s="61"/>
      <c r="G55" s="61"/>
      <c r="H55" s="61"/>
      <c r="I55" s="61"/>
      <c r="J55" s="61"/>
    </row>
    <row r="56" customFormat="false" ht="15" hidden="false" customHeight="false" outlineLevel="0" collapsed="false">
      <c r="A56" s="61"/>
      <c r="B56" s="61"/>
      <c r="C56" s="61"/>
      <c r="D56" s="61"/>
      <c r="E56" s="61"/>
      <c r="F56" s="61"/>
      <c r="G56" s="61"/>
      <c r="H56" s="61"/>
      <c r="I56" s="61"/>
      <c r="J56" s="61"/>
    </row>
    <row r="57" customFormat="false" ht="15" hidden="false" customHeight="false" outlineLevel="0" collapsed="false">
      <c r="A57" s="61"/>
      <c r="B57" s="61"/>
      <c r="C57" s="61"/>
      <c r="D57" s="61"/>
      <c r="E57" s="61"/>
      <c r="F57" s="61"/>
      <c r="G57" s="61"/>
      <c r="H57" s="61"/>
      <c r="I57" s="61"/>
      <c r="J57" s="61"/>
    </row>
    <row r="58" customFormat="false" ht="15" hidden="false" customHeight="false" outlineLevel="0" collapsed="false">
      <c r="A58" s="61"/>
      <c r="B58" s="61"/>
      <c r="C58" s="61"/>
      <c r="D58" s="61"/>
      <c r="E58" s="61"/>
      <c r="F58" s="61"/>
      <c r="G58" s="61"/>
      <c r="H58" s="61"/>
      <c r="I58" s="61"/>
      <c r="J58" s="61"/>
    </row>
    <row r="59" customFormat="false" ht="15" hidden="false" customHeight="false" outlineLevel="0" collapsed="false">
      <c r="A59" s="61"/>
      <c r="B59" s="61"/>
      <c r="C59" s="61"/>
      <c r="D59" s="61"/>
      <c r="E59" s="61"/>
      <c r="F59" s="61"/>
      <c r="G59" s="61"/>
      <c r="H59" s="61"/>
      <c r="I59" s="61"/>
      <c r="J59" s="61"/>
    </row>
    <row r="60" customFormat="false" ht="15" hidden="false" customHeight="false" outlineLevel="0" collapsed="false">
      <c r="A60" s="61"/>
      <c r="B60" s="61"/>
      <c r="C60" s="61"/>
      <c r="D60" s="61"/>
      <c r="E60" s="61"/>
      <c r="F60" s="61"/>
      <c r="G60" s="61"/>
      <c r="H60" s="61"/>
      <c r="I60" s="61"/>
      <c r="J60" s="61"/>
    </row>
    <row r="61" customFormat="false" ht="15" hidden="false" customHeight="false" outlineLevel="0" collapsed="false">
      <c r="A61" s="61"/>
      <c r="B61" s="61"/>
      <c r="C61" s="61"/>
      <c r="D61" s="61"/>
      <c r="E61" s="61"/>
      <c r="F61" s="61"/>
      <c r="G61" s="61"/>
      <c r="H61" s="61"/>
      <c r="I61" s="61"/>
      <c r="J61" s="61"/>
    </row>
    <row r="62" customFormat="false" ht="15" hidden="false" customHeight="false" outlineLevel="0" collapsed="false">
      <c r="A62" s="61"/>
      <c r="B62" s="61"/>
      <c r="C62" s="61"/>
      <c r="D62" s="61"/>
      <c r="E62" s="61"/>
      <c r="F62" s="61"/>
      <c r="G62" s="61"/>
      <c r="H62" s="61"/>
      <c r="I62" s="61"/>
      <c r="J62" s="61"/>
    </row>
    <row r="63" customFormat="false" ht="15" hidden="false" customHeight="false" outlineLevel="0" collapsed="false">
      <c r="A63" s="61"/>
      <c r="B63" s="61"/>
      <c r="C63" s="61"/>
      <c r="D63" s="61"/>
      <c r="E63" s="61"/>
      <c r="F63" s="61"/>
      <c r="G63" s="61"/>
      <c r="H63" s="61"/>
      <c r="I63" s="61"/>
      <c r="J63" s="61"/>
    </row>
    <row r="64" customFormat="false" ht="15" hidden="false" customHeight="false" outlineLevel="0" collapsed="false">
      <c r="A64" s="61"/>
      <c r="B64" s="61"/>
      <c r="C64" s="61"/>
      <c r="D64" s="61"/>
      <c r="E64" s="61"/>
      <c r="F64" s="61"/>
      <c r="G64" s="61"/>
      <c r="H64" s="61"/>
      <c r="I64" s="61"/>
      <c r="J64" s="61"/>
    </row>
    <row r="65" customFormat="false" ht="15" hidden="false" customHeight="false" outlineLevel="0" collapsed="false">
      <c r="A65" s="61"/>
      <c r="B65" s="61"/>
      <c r="C65" s="61"/>
      <c r="D65" s="61"/>
      <c r="E65" s="61"/>
      <c r="F65" s="61"/>
      <c r="G65" s="61"/>
      <c r="H65" s="61"/>
      <c r="I65" s="61"/>
      <c r="J65" s="61"/>
    </row>
    <row r="66" customFormat="false" ht="15" hidden="false" customHeight="false" outlineLevel="0" collapsed="false">
      <c r="A66" s="61"/>
      <c r="B66" s="61"/>
      <c r="C66" s="61"/>
      <c r="D66" s="61"/>
      <c r="E66" s="61"/>
      <c r="F66" s="61"/>
      <c r="G66" s="61"/>
      <c r="H66" s="61"/>
      <c r="I66" s="61"/>
      <c r="J66" s="61"/>
    </row>
    <row r="67" customFormat="false" ht="15" hidden="false" customHeight="false" outlineLevel="0" collapsed="false">
      <c r="A67" s="61"/>
      <c r="B67" s="61"/>
      <c r="C67" s="61"/>
      <c r="D67" s="61"/>
      <c r="E67" s="61"/>
      <c r="F67" s="61"/>
      <c r="G67" s="61"/>
      <c r="H67" s="61"/>
      <c r="I67" s="61"/>
      <c r="J67" s="61"/>
    </row>
    <row r="68" customFormat="false" ht="15" hidden="false" customHeight="false" outlineLevel="0" collapsed="false">
      <c r="A68" s="61"/>
      <c r="B68" s="61"/>
      <c r="C68" s="61"/>
      <c r="D68" s="61"/>
      <c r="E68" s="61"/>
      <c r="F68" s="61"/>
      <c r="G68" s="61"/>
      <c r="H68" s="61"/>
      <c r="I68" s="61"/>
      <c r="J68" s="61"/>
    </row>
    <row r="69" customFormat="false" ht="15" hidden="false" customHeight="false" outlineLevel="0" collapsed="false">
      <c r="A69" s="61"/>
      <c r="B69" s="61"/>
      <c r="C69" s="61"/>
      <c r="D69" s="61"/>
      <c r="E69" s="61"/>
      <c r="F69" s="61"/>
      <c r="G69" s="61"/>
      <c r="H69" s="61"/>
      <c r="I69" s="61"/>
      <c r="J69" s="61"/>
    </row>
    <row r="70" customFormat="false" ht="15" hidden="false" customHeight="false" outlineLevel="0" collapsed="false">
      <c r="A70" s="61"/>
      <c r="B70" s="61"/>
      <c r="C70" s="61"/>
      <c r="D70" s="61"/>
      <c r="E70" s="61"/>
      <c r="F70" s="61"/>
      <c r="G70" s="61"/>
      <c r="H70" s="61"/>
      <c r="I70" s="61"/>
      <c r="J70" s="61"/>
    </row>
    <row r="71" customFormat="false" ht="15" hidden="false" customHeight="false" outlineLevel="0" collapsed="false">
      <c r="A71" s="61"/>
      <c r="B71" s="61"/>
      <c r="C71" s="61"/>
      <c r="D71" s="61"/>
      <c r="E71" s="61"/>
      <c r="F71" s="61"/>
      <c r="G71" s="61"/>
      <c r="H71" s="61"/>
      <c r="I71" s="61"/>
      <c r="J71" s="61"/>
    </row>
    <row r="72" customFormat="false" ht="15" hidden="false" customHeight="false" outlineLevel="0" collapsed="false">
      <c r="A72" s="61"/>
      <c r="B72" s="61"/>
      <c r="C72" s="61"/>
      <c r="D72" s="61"/>
      <c r="E72" s="61"/>
      <c r="F72" s="61"/>
      <c r="G72" s="61"/>
      <c r="H72" s="61"/>
      <c r="I72" s="61"/>
      <c r="J72" s="61"/>
    </row>
    <row r="73" customFormat="false" ht="15" hidden="false" customHeight="false" outlineLevel="0" collapsed="false">
      <c r="A73" s="61"/>
      <c r="B73" s="61"/>
      <c r="C73" s="61"/>
      <c r="D73" s="61"/>
      <c r="E73" s="61"/>
      <c r="F73" s="61"/>
      <c r="G73" s="61"/>
      <c r="H73" s="61"/>
      <c r="I73" s="61"/>
      <c r="J73" s="61"/>
    </row>
    <row r="74" customFormat="false" ht="15" hidden="false" customHeight="false" outlineLevel="0" collapsed="false">
      <c r="A74" s="61"/>
      <c r="B74" s="61"/>
      <c r="C74" s="61"/>
      <c r="D74" s="61"/>
      <c r="E74" s="61"/>
      <c r="F74" s="61"/>
      <c r="G74" s="61"/>
      <c r="H74" s="61"/>
      <c r="I74" s="61"/>
      <c r="J74" s="61"/>
    </row>
    <row r="75" customFormat="false" ht="15" hidden="false" customHeight="false" outlineLevel="0" collapsed="false">
      <c r="A75" s="61"/>
      <c r="B75" s="61"/>
      <c r="C75" s="61"/>
      <c r="D75" s="61"/>
      <c r="E75" s="61"/>
      <c r="F75" s="61"/>
      <c r="G75" s="61"/>
      <c r="H75" s="61"/>
      <c r="I75" s="61"/>
      <c r="J75" s="61"/>
    </row>
    <row r="76" customFormat="false" ht="15" hidden="false" customHeight="false" outlineLevel="0" collapsed="false">
      <c r="A76" s="61"/>
      <c r="B76" s="61"/>
      <c r="C76" s="61"/>
      <c r="D76" s="61"/>
      <c r="E76" s="61"/>
      <c r="F76" s="61"/>
      <c r="G76" s="61"/>
      <c r="H76" s="61"/>
      <c r="I76" s="61"/>
      <c r="J76" s="61"/>
    </row>
    <row r="77" customFormat="false" ht="15" hidden="false" customHeight="false" outlineLevel="0" collapsed="false">
      <c r="A77" s="61"/>
      <c r="B77" s="61"/>
      <c r="C77" s="61"/>
      <c r="D77" s="61"/>
      <c r="E77" s="61"/>
      <c r="F77" s="61"/>
      <c r="G77" s="61"/>
      <c r="H77" s="61"/>
      <c r="I77" s="61"/>
      <c r="J77" s="61"/>
    </row>
    <row r="78" customFormat="false" ht="15" hidden="false" customHeight="false" outlineLevel="0" collapsed="false">
      <c r="A78" s="61"/>
      <c r="B78" s="61"/>
      <c r="C78" s="61"/>
      <c r="D78" s="61"/>
      <c r="E78" s="61"/>
      <c r="F78" s="61"/>
      <c r="G78" s="61"/>
      <c r="H78" s="61"/>
      <c r="I78" s="61"/>
      <c r="J78" s="61"/>
    </row>
    <row r="79" customFormat="false" ht="15" hidden="false" customHeight="false" outlineLevel="0" collapsed="false">
      <c r="A79" s="61"/>
      <c r="B79" s="61"/>
      <c r="C79" s="61"/>
      <c r="D79" s="61"/>
      <c r="E79" s="61"/>
      <c r="F79" s="61"/>
      <c r="G79" s="61"/>
      <c r="H79" s="61"/>
      <c r="I79" s="61"/>
      <c r="J79" s="61"/>
    </row>
    <row r="80" customFormat="false" ht="15" hidden="false" customHeight="false" outlineLevel="0" collapsed="false">
      <c r="A80" s="61"/>
      <c r="B80" s="61"/>
      <c r="C80" s="61"/>
      <c r="D80" s="61"/>
      <c r="E80" s="61"/>
      <c r="F80" s="61"/>
      <c r="G80" s="61"/>
      <c r="H80" s="61"/>
      <c r="I80" s="61"/>
      <c r="J80" s="61"/>
    </row>
    <row r="81" customFormat="false" ht="15" hidden="false" customHeight="false" outlineLevel="0" collapsed="false">
      <c r="A81" s="61"/>
      <c r="B81" s="61"/>
      <c r="C81" s="61"/>
      <c r="D81" s="61"/>
      <c r="E81" s="61"/>
      <c r="F81" s="61"/>
      <c r="G81" s="61"/>
      <c r="H81" s="61"/>
      <c r="I81" s="61"/>
      <c r="J81" s="61"/>
    </row>
    <row r="82" customFormat="false" ht="15" hidden="false" customHeight="false" outlineLevel="0" collapsed="false">
      <c r="A82" s="61"/>
      <c r="B82" s="61"/>
      <c r="C82" s="61"/>
      <c r="D82" s="61"/>
      <c r="E82" s="61"/>
      <c r="F82" s="61"/>
      <c r="G82" s="61"/>
      <c r="H82" s="61"/>
      <c r="I82" s="61"/>
      <c r="J82" s="61"/>
    </row>
    <row r="83" customFormat="false" ht="15" hidden="false" customHeight="false" outlineLevel="0" collapsed="false">
      <c r="A83" s="61"/>
      <c r="B83" s="61"/>
      <c r="C83" s="61"/>
      <c r="D83" s="61"/>
      <c r="E83" s="61"/>
      <c r="F83" s="61"/>
      <c r="G83" s="61"/>
      <c r="H83" s="61"/>
      <c r="I83" s="61"/>
      <c r="J83" s="61"/>
    </row>
    <row r="84" customFormat="false" ht="15" hidden="false" customHeight="false" outlineLevel="0" collapsed="false">
      <c r="A84" s="61"/>
      <c r="B84" s="61"/>
      <c r="C84" s="61"/>
      <c r="D84" s="61"/>
      <c r="E84" s="61"/>
      <c r="F84" s="61"/>
      <c r="G84" s="61"/>
      <c r="H84" s="61"/>
      <c r="I84" s="61"/>
      <c r="J84" s="61"/>
    </row>
    <row r="85" customFormat="false" ht="15" hidden="false" customHeight="false" outlineLevel="0" collapsed="false">
      <c r="A85" s="61"/>
      <c r="B85" s="61"/>
      <c r="C85" s="61"/>
      <c r="D85" s="61"/>
      <c r="E85" s="61"/>
      <c r="F85" s="61"/>
      <c r="G85" s="61"/>
      <c r="H85" s="61"/>
      <c r="I85" s="61"/>
      <c r="J85" s="61"/>
    </row>
    <row r="86" customFormat="false" ht="15" hidden="false" customHeight="false" outlineLevel="0" collapsed="false">
      <c r="A86" s="61"/>
      <c r="B86" s="61"/>
      <c r="C86" s="61"/>
      <c r="D86" s="61"/>
      <c r="E86" s="61"/>
      <c r="F86" s="61"/>
      <c r="G86" s="61"/>
      <c r="H86" s="61"/>
      <c r="I86" s="61"/>
      <c r="J86" s="61"/>
    </row>
    <row r="87" customFormat="false" ht="15" hidden="false" customHeight="false" outlineLevel="0" collapsed="false">
      <c r="A87" s="61"/>
      <c r="B87" s="61"/>
      <c r="C87" s="61"/>
      <c r="D87" s="61"/>
      <c r="E87" s="61"/>
      <c r="F87" s="61"/>
      <c r="G87" s="61"/>
      <c r="H87" s="61"/>
      <c r="I87" s="61"/>
      <c r="J87" s="61"/>
    </row>
    <row r="88" customFormat="false" ht="15" hidden="false" customHeight="false" outlineLevel="0" collapsed="false">
      <c r="A88" s="61"/>
      <c r="B88" s="61"/>
      <c r="C88" s="61"/>
      <c r="D88" s="61"/>
      <c r="E88" s="61"/>
      <c r="F88" s="61"/>
      <c r="G88" s="61"/>
      <c r="H88" s="61"/>
      <c r="I88" s="61"/>
      <c r="J88" s="61"/>
    </row>
    <row r="89" customFormat="false" ht="15" hidden="false" customHeight="false" outlineLevel="0" collapsed="false">
      <c r="A89" s="61"/>
      <c r="B89" s="61"/>
      <c r="C89" s="61"/>
      <c r="D89" s="61"/>
      <c r="E89" s="61"/>
      <c r="F89" s="61"/>
      <c r="G89" s="61"/>
      <c r="H89" s="61"/>
      <c r="I89" s="61"/>
      <c r="J89" s="61"/>
    </row>
    <row r="90" customFormat="false" ht="15" hidden="false" customHeight="false" outlineLevel="0" collapsed="false">
      <c r="A90" s="61"/>
      <c r="B90" s="61"/>
      <c r="C90" s="61"/>
      <c r="D90" s="61"/>
      <c r="E90" s="61"/>
      <c r="F90" s="61"/>
      <c r="G90" s="61"/>
      <c r="H90" s="61"/>
      <c r="I90" s="61"/>
      <c r="J90" s="61"/>
    </row>
    <row r="91" customFormat="false" ht="15" hidden="false" customHeight="false" outlineLevel="0" collapsed="false">
      <c r="A91" s="61"/>
      <c r="B91" s="61"/>
      <c r="C91" s="61"/>
      <c r="D91" s="61"/>
      <c r="E91" s="61"/>
      <c r="F91" s="61"/>
      <c r="G91" s="61"/>
      <c r="H91" s="61"/>
      <c r="I91" s="61"/>
      <c r="J91" s="61"/>
    </row>
    <row r="92" customFormat="false" ht="15" hidden="false" customHeight="false" outlineLevel="0" collapsed="false">
      <c r="A92" s="61"/>
      <c r="B92" s="61"/>
      <c r="C92" s="61"/>
      <c r="D92" s="61"/>
      <c r="E92" s="61"/>
      <c r="F92" s="61"/>
      <c r="G92" s="61"/>
      <c r="H92" s="61"/>
      <c r="I92" s="61"/>
      <c r="J92" s="61"/>
    </row>
    <row r="93" customFormat="false" ht="15" hidden="false" customHeight="false" outlineLevel="0" collapsed="false">
      <c r="A93" s="61"/>
      <c r="B93" s="61"/>
      <c r="C93" s="61"/>
      <c r="D93" s="61"/>
      <c r="E93" s="61"/>
      <c r="F93" s="61"/>
      <c r="G93" s="61"/>
      <c r="H93" s="61"/>
      <c r="I93" s="61"/>
      <c r="J93" s="61"/>
    </row>
    <row r="94" customFormat="false" ht="15" hidden="false" customHeight="false" outlineLevel="0" collapsed="false">
      <c r="A94" s="61"/>
      <c r="B94" s="61"/>
      <c r="C94" s="61"/>
      <c r="D94" s="61"/>
      <c r="E94" s="61"/>
      <c r="F94" s="61"/>
      <c r="G94" s="61"/>
      <c r="H94" s="61"/>
      <c r="I94" s="61"/>
      <c r="J94" s="61"/>
    </row>
    <row r="95" customFormat="false" ht="15" hidden="false" customHeight="false" outlineLevel="0" collapsed="false">
      <c r="A95" s="61"/>
      <c r="B95" s="61"/>
      <c r="C95" s="61"/>
      <c r="D95" s="61"/>
      <c r="E95" s="61"/>
      <c r="F95" s="61"/>
      <c r="G95" s="61"/>
      <c r="H95" s="61"/>
      <c r="I95" s="61"/>
      <c r="J95" s="61"/>
    </row>
    <row r="96" customFormat="false" ht="15" hidden="false" customHeight="false" outlineLevel="0" collapsed="false">
      <c r="A96" s="61"/>
      <c r="B96" s="61"/>
      <c r="C96" s="61"/>
      <c r="D96" s="61"/>
      <c r="E96" s="61"/>
      <c r="F96" s="61"/>
      <c r="G96" s="61"/>
      <c r="H96" s="61"/>
      <c r="I96" s="61"/>
      <c r="J96" s="61"/>
    </row>
    <row r="97" customFormat="false" ht="15" hidden="false" customHeight="false" outlineLevel="0" collapsed="false">
      <c r="A97" s="61"/>
      <c r="B97" s="61"/>
      <c r="C97" s="61"/>
      <c r="D97" s="61"/>
      <c r="E97" s="61"/>
      <c r="F97" s="61"/>
      <c r="G97" s="61"/>
      <c r="H97" s="61"/>
      <c r="I97" s="61"/>
      <c r="J97" s="61"/>
    </row>
    <row r="98" customFormat="false" ht="15" hidden="false" customHeight="false" outlineLevel="0" collapsed="false">
      <c r="A98" s="61"/>
      <c r="B98" s="61"/>
      <c r="C98" s="61"/>
      <c r="D98" s="61"/>
      <c r="E98" s="61"/>
      <c r="F98" s="61"/>
      <c r="G98" s="61"/>
      <c r="H98" s="61"/>
      <c r="I98" s="61"/>
      <c r="J98" s="61"/>
    </row>
    <row r="99" customFormat="false" ht="15" hidden="false" customHeight="false" outlineLevel="0" collapsed="false">
      <c r="A99" s="61"/>
      <c r="B99" s="61"/>
      <c r="C99" s="61"/>
      <c r="D99" s="61"/>
      <c r="E99" s="61"/>
      <c r="F99" s="61"/>
      <c r="G99" s="61"/>
      <c r="H99" s="61"/>
      <c r="I99" s="61"/>
      <c r="J99" s="61"/>
    </row>
    <row r="100" customFormat="false" ht="15" hidden="false" customHeight="false" outlineLevel="0" collapsed="false">
      <c r="A100" s="61"/>
      <c r="B100" s="61"/>
      <c r="C100" s="61"/>
      <c r="D100" s="61"/>
      <c r="E100" s="61"/>
      <c r="F100" s="61"/>
      <c r="G100" s="61"/>
      <c r="H100" s="61"/>
      <c r="I100" s="61"/>
      <c r="J100" s="61"/>
    </row>
    <row r="101" customFormat="false" ht="15" hidden="false" customHeight="false" outlineLevel="0" collapsed="false">
      <c r="A101" s="61"/>
      <c r="B101" s="61"/>
      <c r="C101" s="61"/>
      <c r="D101" s="61"/>
      <c r="E101" s="61"/>
      <c r="F101" s="61"/>
      <c r="G101" s="61"/>
      <c r="H101" s="61"/>
      <c r="I101" s="61"/>
      <c r="J101" s="61"/>
    </row>
    <row r="102" customFormat="false" ht="15" hidden="false" customHeight="false" outlineLevel="0" collapsed="false">
      <c r="A102" s="61"/>
      <c r="B102" s="61"/>
      <c r="C102" s="61"/>
      <c r="D102" s="61"/>
      <c r="E102" s="61"/>
      <c r="F102" s="61"/>
      <c r="G102" s="61"/>
      <c r="H102" s="61"/>
      <c r="I102" s="61"/>
      <c r="J102" s="61"/>
    </row>
    <row r="103" customFormat="false" ht="15" hidden="false" customHeight="false" outlineLevel="0" collapsed="false">
      <c r="A103" s="61"/>
      <c r="B103" s="61"/>
      <c r="C103" s="61"/>
      <c r="D103" s="61"/>
      <c r="E103" s="61"/>
      <c r="F103" s="61"/>
      <c r="G103" s="61"/>
      <c r="H103" s="61"/>
      <c r="I103" s="61"/>
      <c r="J103" s="61"/>
    </row>
    <row r="104" customFormat="false" ht="15" hidden="false" customHeight="false" outlineLevel="0" collapsed="false">
      <c r="A104" s="61"/>
      <c r="B104" s="61"/>
      <c r="C104" s="61"/>
      <c r="D104" s="61"/>
      <c r="E104" s="61"/>
      <c r="F104" s="61"/>
      <c r="G104" s="61"/>
      <c r="H104" s="61"/>
      <c r="I104" s="61"/>
      <c r="J104" s="61"/>
    </row>
  </sheetData>
  <dataValidations count="1">
    <dataValidation allowBlank="true" errorStyle="stop" operator="between" showDropDown="false" showErrorMessage="false" showInputMessage="false" sqref="J5:J104" type="list">
      <formula1>"1,2,3,Aussen"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6"/>
    <col collapsed="false" customWidth="true" hidden="false" outlineLevel="0" max="5" min="3" style="0" width="9"/>
    <col collapsed="false" customWidth="true" hidden="false" outlineLevel="0" max="6" min="6" style="0" width="11"/>
    <col collapsed="false" customWidth="true" hidden="false" outlineLevel="0" max="9" min="7" style="0" width="10"/>
    <col collapsed="false" customWidth="true" hidden="false" outlineLevel="0" max="10" min="10" style="0" width="9"/>
    <col collapsed="false" customWidth="true" hidden="false" outlineLevel="0" max="14" min="11" style="0" width="11"/>
  </cols>
  <sheetData>
    <row r="1" customFormat="false" ht="17.35" hidden="false" customHeight="false" outlineLevel="0" collapsed="false">
      <c r="A1" s="29" t="s">
        <v>3113</v>
      </c>
    </row>
    <row r="2" customFormat="false" ht="15" hidden="false" customHeight="false" outlineLevel="0" collapsed="false">
      <c r="A2" s="30" t="s">
        <v>3114</v>
      </c>
    </row>
    <row r="3" customFormat="false" ht="15" hidden="false" customHeight="false" outlineLevel="0" collapsed="false">
      <c r="A3" s="44" t="str">
        <f aca="false">"Tablar: "&amp;INDEX(Parameter!$F$5:$F$7,Parameter!$M$22)&amp;" × "&amp;INDEX(Parameter!$G$5:$G$7,Parameter!$M$22)&amp;" mm (Lift "&amp;Parameter!$M$22&amp;")"</f>
        <v>Tablar: 4060 × 857 mm (Lift 2)</v>
      </c>
    </row>
    <row r="4" customFormat="false" ht="42" hidden="false" customHeight="true" outlineLevel="0" collapsed="false">
      <c r="A4" s="46" t="s">
        <v>3090</v>
      </c>
      <c r="B4" s="46" t="s">
        <v>78</v>
      </c>
      <c r="C4" s="46" t="s">
        <v>3115</v>
      </c>
      <c r="D4" s="46" t="s">
        <v>3116</v>
      </c>
      <c r="E4" s="46" t="s">
        <v>3117</v>
      </c>
      <c r="F4" s="46" t="s">
        <v>3118</v>
      </c>
      <c r="G4" s="46" t="s">
        <v>3119</v>
      </c>
      <c r="H4" s="46" t="s">
        <v>3120</v>
      </c>
      <c r="I4" s="46" t="s">
        <v>3121</v>
      </c>
      <c r="J4" s="46" t="s">
        <v>3122</v>
      </c>
      <c r="K4" s="46" t="s">
        <v>3123</v>
      </c>
      <c r="L4" s="46" t="s">
        <v>3124</v>
      </c>
      <c r="M4" s="46" t="s">
        <v>3125</v>
      </c>
      <c r="N4" s="46" t="s">
        <v>3126</v>
      </c>
    </row>
    <row r="5" customFormat="false" ht="15" hidden="false" customHeight="false" outlineLevel="0" collapsed="false">
      <c r="A5" s="61" t="s">
        <v>405</v>
      </c>
      <c r="B5" s="61" t="s">
        <v>3127</v>
      </c>
      <c r="C5" s="70" t="n">
        <v>8.7</v>
      </c>
      <c r="D5" s="70" t="n">
        <v>9.4</v>
      </c>
      <c r="E5" s="70" t="n">
        <v>8</v>
      </c>
      <c r="F5" s="73" t="n">
        <f aca="false">IF(A5="","",C5*D5/10000)</f>
        <v>0.008178</v>
      </c>
      <c r="G5" s="73" t="n">
        <f aca="false">IF(A5="","",C5*D5*E5/1000000)</f>
        <v>0.00065424</v>
      </c>
      <c r="H5" s="62" t="n">
        <v>87</v>
      </c>
      <c r="I5" s="62" t="n">
        <v>94</v>
      </c>
      <c r="J5" s="62" t="n">
        <v>1</v>
      </c>
      <c r="K5" s="69" t="n">
        <f aca="false">IF(OR(A5="",N(H5)&lt;=0,N(I5)&lt;=0),"",MAX(INT(INDEX(Parameter!$F$5:$F$7,Parameter!$M$22)/H5)*INT(INDEX(Parameter!$G$5:$G$7,Parameter!$M$22)/I5),INT(INDEX(Parameter!$F$5:$F$7,Parameter!$M$22)/I5)*INT(INDEX(Parameter!$G$5:$G$7,Parameter!$M$22)/H5))*MAX(1,N(J5)))</f>
        <v>414</v>
      </c>
      <c r="L5" s="62" t="n">
        <v>280</v>
      </c>
      <c r="M5" s="66" t="n">
        <f aca="false">IF(A5="","",IF(N(L5)&gt;0,L5,N(K5)))</f>
        <v>280</v>
      </c>
      <c r="N5" s="62" t="n">
        <v>12</v>
      </c>
    </row>
    <row r="6" customFormat="false" ht="15" hidden="false" customHeight="false" outlineLevel="0" collapsed="false">
      <c r="A6" s="61" t="s">
        <v>430</v>
      </c>
      <c r="B6" s="61" t="s">
        <v>3128</v>
      </c>
      <c r="C6" s="70" t="n">
        <v>17.8</v>
      </c>
      <c r="D6" s="70" t="n">
        <v>9.4</v>
      </c>
      <c r="E6" s="70" t="n">
        <v>8</v>
      </c>
      <c r="F6" s="73" t="n">
        <f aca="false">IF(A6="","",C6*D6/10000)</f>
        <v>0.016732</v>
      </c>
      <c r="G6" s="73" t="n">
        <f aca="false">IF(A6="","",C6*D6*E6/1000000)</f>
        <v>0.00133856</v>
      </c>
      <c r="H6" s="62" t="n">
        <v>178</v>
      </c>
      <c r="I6" s="62" t="n">
        <v>94</v>
      </c>
      <c r="J6" s="62" t="n">
        <v>1</v>
      </c>
      <c r="K6" s="69" t="n">
        <f aca="false">IF(OR(A6="",N(H6)&lt;=0,N(I6)&lt;=0),"",MAX(INT(INDEX(Parameter!$F$5:$F$7,Parameter!$M$22)/H6)*INT(INDEX(Parameter!$G$5:$G$7,Parameter!$M$22)/I6),INT(INDEX(Parameter!$F$5:$F$7,Parameter!$M$22)/I6)*INT(INDEX(Parameter!$G$5:$G$7,Parameter!$M$22)/H6))*MAX(1,N(J6)))</f>
        <v>198</v>
      </c>
      <c r="L6" s="62" t="n">
        <v>140</v>
      </c>
      <c r="M6" s="66" t="n">
        <f aca="false">IF(A6="","",IF(N(L6)&gt;0,L6,N(K6)))</f>
        <v>140</v>
      </c>
      <c r="N6" s="62" t="n">
        <v>12</v>
      </c>
    </row>
    <row r="7" customFormat="false" ht="15" hidden="false" customHeight="false" outlineLevel="0" collapsed="false">
      <c r="A7" s="61" t="s">
        <v>425</v>
      </c>
      <c r="B7" s="61" t="s">
        <v>3129</v>
      </c>
      <c r="C7" s="70" t="n">
        <v>17.7</v>
      </c>
      <c r="D7" s="70" t="n">
        <v>13.6</v>
      </c>
      <c r="E7" s="70" t="n">
        <v>8</v>
      </c>
      <c r="F7" s="73" t="n">
        <f aca="false">IF(A7="","",C7*D7/10000)</f>
        <v>0.024072</v>
      </c>
      <c r="G7" s="73" t="n">
        <f aca="false">IF(A7="","",C7*D7*E7/1000000)</f>
        <v>0.00192576</v>
      </c>
      <c r="H7" s="62" t="n">
        <v>177</v>
      </c>
      <c r="I7" s="62" t="n">
        <v>136</v>
      </c>
      <c r="J7" s="62" t="n">
        <v>1</v>
      </c>
      <c r="K7" s="69" t="n">
        <f aca="false">IF(OR(A7="",N(H7)&lt;=0,N(I7)&lt;=0),"",MAX(INT(INDEX(Parameter!$F$5:$F$7,Parameter!$M$22)/H7)*INT(INDEX(Parameter!$G$5:$G$7,Parameter!$M$22)/I7),INT(INDEX(Parameter!$F$5:$F$7,Parameter!$M$22)/I7)*INT(INDEX(Parameter!$G$5:$G$7,Parameter!$M$22)/H7))*MAX(1,N(J7)))</f>
        <v>132</v>
      </c>
      <c r="L7" s="62" t="n">
        <v>104</v>
      </c>
      <c r="M7" s="66" t="n">
        <f aca="false">IF(A7="","",IF(N(L7)&gt;0,L7,N(K7)))</f>
        <v>104</v>
      </c>
      <c r="N7" s="62" t="n">
        <v>12</v>
      </c>
    </row>
    <row r="8" customFormat="false" ht="15" hidden="false" customHeight="false" outlineLevel="0" collapsed="false">
      <c r="A8" s="61" t="s">
        <v>480</v>
      </c>
      <c r="B8" s="61" t="s">
        <v>3130</v>
      </c>
      <c r="C8" s="70" t="n">
        <v>35.8</v>
      </c>
      <c r="D8" s="70" t="n">
        <v>13.6</v>
      </c>
      <c r="E8" s="70" t="n">
        <v>8</v>
      </c>
      <c r="F8" s="73" t="n">
        <f aca="false">IF(A8="","",C8*D8/10000)</f>
        <v>0.048688</v>
      </c>
      <c r="G8" s="73" t="n">
        <f aca="false">IF(A8="","",C8*D8*E8/1000000)</f>
        <v>0.00389504</v>
      </c>
      <c r="H8" s="62" t="n">
        <v>358</v>
      </c>
      <c r="I8" s="62" t="n">
        <v>136</v>
      </c>
      <c r="J8" s="62" t="n">
        <v>1</v>
      </c>
      <c r="K8" s="69" t="n">
        <f aca="false">IF(OR(A8="",N(H8)&lt;=0,N(I8)&lt;=0),"",MAX(INT(INDEX(Parameter!$F$5:$F$7,Parameter!$M$22)/H8)*INT(INDEX(Parameter!$G$5:$G$7,Parameter!$M$22)/I8),INT(INDEX(Parameter!$F$5:$F$7,Parameter!$M$22)/I8)*INT(INDEX(Parameter!$G$5:$G$7,Parameter!$M$22)/H8))*MAX(1,N(J8)))</f>
        <v>66</v>
      </c>
      <c r="L8" s="62" t="n">
        <v>52</v>
      </c>
      <c r="M8" s="66" t="n">
        <f aca="false">IF(A8="","",IF(N(L8)&gt;0,L8,N(K8)))</f>
        <v>52</v>
      </c>
      <c r="N8" s="62" t="n">
        <v>12</v>
      </c>
    </row>
    <row r="9" customFormat="false" ht="15" hidden="false" customHeight="false" outlineLevel="0" collapsed="false">
      <c r="A9" s="61" t="s">
        <v>332</v>
      </c>
      <c r="B9" s="61" t="s">
        <v>3131</v>
      </c>
      <c r="C9" s="70" t="n">
        <v>27</v>
      </c>
      <c r="D9" s="70" t="n">
        <v>17</v>
      </c>
      <c r="E9" s="70" t="n">
        <v>11</v>
      </c>
      <c r="F9" s="73" t="n">
        <f aca="false">IF(A9="","",C9*D9/10000)</f>
        <v>0.0459</v>
      </c>
      <c r="G9" s="73" t="n">
        <f aca="false">IF(A9="","",C9*D9*E9/1000000)</f>
        <v>0.005049</v>
      </c>
      <c r="H9" s="62" t="n">
        <v>300</v>
      </c>
      <c r="I9" s="62" t="n">
        <v>200</v>
      </c>
      <c r="J9" s="62" t="n">
        <v>1</v>
      </c>
      <c r="K9" s="69" t="n">
        <f aca="false">IF(OR(A9="",N(H9)&lt;=0,N(I9)&lt;=0),"",MAX(INT(INDEX(Parameter!$F$5:$F$7,Parameter!$M$22)/H9)*INT(INDEX(Parameter!$G$5:$G$7,Parameter!$M$22)/I9),INT(INDEX(Parameter!$F$5:$F$7,Parameter!$M$22)/I9)*INT(INDEX(Parameter!$G$5:$G$7,Parameter!$M$22)/H9))*MAX(1,N(J9)))</f>
        <v>52</v>
      </c>
      <c r="L9" s="62" t="n">
        <v>52</v>
      </c>
      <c r="M9" s="66" t="n">
        <f aca="false">IF(A9="","",IF(N(L9)&gt;0,L9,N(K9)))</f>
        <v>52</v>
      </c>
      <c r="N9" s="62" t="n">
        <v>12</v>
      </c>
    </row>
    <row r="10" customFormat="false" ht="15" hidden="false" customHeight="false" outlineLevel="0" collapsed="false">
      <c r="A10" s="61" t="s">
        <v>306</v>
      </c>
      <c r="B10" s="61" t="s">
        <v>3132</v>
      </c>
      <c r="C10" s="70" t="n">
        <v>37</v>
      </c>
      <c r="D10" s="70" t="n">
        <v>27</v>
      </c>
      <c r="E10" s="70" t="n">
        <v>11</v>
      </c>
      <c r="F10" s="73" t="n">
        <f aca="false">IF(A10="","",C10*D10/10000)</f>
        <v>0.0999</v>
      </c>
      <c r="G10" s="73" t="n">
        <f aca="false">IF(A10="","",C10*D10*E10/1000000)</f>
        <v>0.010989</v>
      </c>
      <c r="H10" s="62" t="n">
        <v>400</v>
      </c>
      <c r="I10" s="62" t="n">
        <v>300</v>
      </c>
      <c r="J10" s="62" t="n">
        <v>1</v>
      </c>
      <c r="K10" s="69" t="n">
        <f aca="false">IF(OR(A10="",N(H10)&lt;=0,N(I10)&lt;=0),"",MAX(INT(INDEX(Parameter!$F$5:$F$7,Parameter!$M$22)/H10)*INT(INDEX(Parameter!$G$5:$G$7,Parameter!$M$22)/I10),INT(INDEX(Parameter!$F$5:$F$7,Parameter!$M$22)/I10)*INT(INDEX(Parameter!$G$5:$G$7,Parameter!$M$22)/H10))*MAX(1,N(J10)))</f>
        <v>26</v>
      </c>
      <c r="L10" s="62" t="n">
        <v>26</v>
      </c>
      <c r="M10" s="66" t="n">
        <f aca="false">IF(A10="","",IF(N(L10)&gt;0,L10,N(K10)))</f>
        <v>26</v>
      </c>
      <c r="N10" s="62" t="n">
        <v>12</v>
      </c>
    </row>
    <row r="11" customFormat="false" ht="15" hidden="false" customHeight="false" outlineLevel="0" collapsed="false">
      <c r="A11" s="61" t="s">
        <v>237</v>
      </c>
      <c r="B11" s="61" t="s">
        <v>3133</v>
      </c>
      <c r="C11" s="70" t="n">
        <v>37</v>
      </c>
      <c r="D11" s="70" t="n">
        <v>27</v>
      </c>
      <c r="E11" s="70" t="n">
        <v>21</v>
      </c>
      <c r="F11" s="73" t="n">
        <f aca="false">IF(A11="","",C11*D11/10000)</f>
        <v>0.0999</v>
      </c>
      <c r="G11" s="73" t="n">
        <f aca="false">IF(A11="","",C11*D11*E11/1000000)</f>
        <v>0.020979</v>
      </c>
      <c r="H11" s="62" t="n">
        <v>400</v>
      </c>
      <c r="I11" s="62" t="n">
        <v>300</v>
      </c>
      <c r="J11" s="62" t="n">
        <v>1</v>
      </c>
      <c r="K11" s="69" t="n">
        <f aca="false">IF(OR(A11="",N(H11)&lt;=0,N(I11)&lt;=0),"",MAX(INT(INDEX(Parameter!$F$5:$F$7,Parameter!$M$22)/H11)*INT(INDEX(Parameter!$G$5:$G$7,Parameter!$M$22)/I11),INT(INDEX(Parameter!$F$5:$F$7,Parameter!$M$22)/I11)*INT(INDEX(Parameter!$G$5:$G$7,Parameter!$M$22)/H11))*MAX(1,N(J11)))</f>
        <v>26</v>
      </c>
      <c r="L11" s="62" t="n">
        <v>26</v>
      </c>
      <c r="M11" s="66" t="n">
        <f aca="false">IF(A11="","",IF(N(L11)&gt;0,L11,N(K11)))</f>
        <v>26</v>
      </c>
      <c r="N11" s="62" t="n">
        <v>21</v>
      </c>
    </row>
    <row r="12" customFormat="false" ht="15" hidden="false" customHeight="false" outlineLevel="0" collapsed="false">
      <c r="A12" s="61" t="s">
        <v>190</v>
      </c>
      <c r="B12" s="61" t="s">
        <v>3134</v>
      </c>
      <c r="C12" s="70" t="n">
        <v>57</v>
      </c>
      <c r="D12" s="70" t="n">
        <v>37</v>
      </c>
      <c r="E12" s="70" t="n">
        <v>11</v>
      </c>
      <c r="F12" s="73" t="n">
        <f aca="false">IF(A12="","",C12*D12/10000)</f>
        <v>0.2109</v>
      </c>
      <c r="G12" s="73" t="n">
        <f aca="false">IF(A12="","",C12*D12*E12/1000000)</f>
        <v>0.023199</v>
      </c>
      <c r="H12" s="62" t="n">
        <v>600</v>
      </c>
      <c r="I12" s="62" t="n">
        <v>400</v>
      </c>
      <c r="J12" s="62" t="n">
        <v>1</v>
      </c>
      <c r="K12" s="69" t="n">
        <f aca="false">IF(OR(A12="",N(H12)&lt;=0,N(I12)&lt;=0),"",MAX(INT(INDEX(Parameter!$F$5:$F$7,Parameter!$M$22)/H12)*INT(INDEX(Parameter!$G$5:$G$7,Parameter!$M$22)/I12),INT(INDEX(Parameter!$F$5:$F$7,Parameter!$M$22)/I12)*INT(INDEX(Parameter!$G$5:$G$7,Parameter!$M$22)/H12))*MAX(1,N(J12)))</f>
        <v>12</v>
      </c>
      <c r="L12" s="62" t="n">
        <v>12</v>
      </c>
      <c r="M12" s="66" t="n">
        <f aca="false">IF(A12="","",IF(N(L12)&gt;0,L12,N(K12)))</f>
        <v>12</v>
      </c>
      <c r="N12" s="62" t="n">
        <v>11</v>
      </c>
    </row>
    <row r="13" customFormat="false" ht="15" hidden="false" customHeight="false" outlineLevel="0" collapsed="false">
      <c r="A13" s="61" t="s">
        <v>297</v>
      </c>
      <c r="B13" s="61" t="s">
        <v>3135</v>
      </c>
      <c r="C13" s="70" t="n">
        <v>57</v>
      </c>
      <c r="D13" s="70" t="n">
        <v>37</v>
      </c>
      <c r="E13" s="70" t="n">
        <v>21</v>
      </c>
      <c r="F13" s="73" t="n">
        <f aca="false">IF(A13="","",C13*D13/10000)</f>
        <v>0.2109</v>
      </c>
      <c r="G13" s="73" t="n">
        <f aca="false">IF(A13="","",C13*D13*E13/1000000)</f>
        <v>0.044289</v>
      </c>
      <c r="H13" s="62" t="n">
        <v>600</v>
      </c>
      <c r="I13" s="62" t="n">
        <v>400</v>
      </c>
      <c r="J13" s="62" t="n">
        <v>1</v>
      </c>
      <c r="K13" s="69" t="n">
        <f aca="false">IF(OR(A13="",N(H13)&lt;=0,N(I13)&lt;=0),"",MAX(INT(INDEX(Parameter!$F$5:$F$7,Parameter!$M$22)/H13)*INT(INDEX(Parameter!$G$5:$G$7,Parameter!$M$22)/I13),INT(INDEX(Parameter!$F$5:$F$7,Parameter!$M$22)/I13)*INT(INDEX(Parameter!$G$5:$G$7,Parameter!$M$22)/H13))*MAX(1,N(J13)))</f>
        <v>12</v>
      </c>
      <c r="L13" s="62" t="n">
        <v>12</v>
      </c>
      <c r="M13" s="66" t="n">
        <f aca="false">IF(A13="","",IF(N(L13)&gt;0,L13,N(K13)))</f>
        <v>12</v>
      </c>
      <c r="N13" s="62" t="n">
        <v>21</v>
      </c>
    </row>
    <row r="14" customFormat="false" ht="15" hidden="false" customHeight="false" outlineLevel="0" collapsed="false">
      <c r="A14" s="61" t="s">
        <v>230</v>
      </c>
      <c r="B14" s="61" t="s">
        <v>3136</v>
      </c>
      <c r="C14" s="70" t="n">
        <v>57</v>
      </c>
      <c r="D14" s="70" t="n">
        <v>37</v>
      </c>
      <c r="E14" s="70" t="n">
        <v>31</v>
      </c>
      <c r="F14" s="73" t="n">
        <f aca="false">IF(A14="","",C14*D14/10000)</f>
        <v>0.2109</v>
      </c>
      <c r="G14" s="73" t="n">
        <f aca="false">IF(A14="","",C14*D14*E14/1000000)</f>
        <v>0.065379</v>
      </c>
      <c r="H14" s="62" t="n">
        <v>600</v>
      </c>
      <c r="I14" s="62" t="n">
        <v>400</v>
      </c>
      <c r="J14" s="62" t="n">
        <v>1</v>
      </c>
      <c r="K14" s="69" t="n">
        <f aca="false">IF(OR(A14="",N(H14)&lt;=0,N(I14)&lt;=0),"",MAX(INT(INDEX(Parameter!$F$5:$F$7,Parameter!$M$22)/H14)*INT(INDEX(Parameter!$G$5:$G$7,Parameter!$M$22)/I14),INT(INDEX(Parameter!$F$5:$F$7,Parameter!$M$22)/I14)*INT(INDEX(Parameter!$G$5:$G$7,Parameter!$M$22)/H14))*MAX(1,N(J14)))</f>
        <v>12</v>
      </c>
      <c r="L14" s="62" t="n">
        <v>12</v>
      </c>
      <c r="M14" s="66" t="n">
        <f aca="false">IF(A14="","",IF(N(L14)&gt;0,L14,N(K14)))</f>
        <v>12</v>
      </c>
      <c r="N14" s="62" t="n">
        <v>31</v>
      </c>
    </row>
    <row r="15" customFormat="false" ht="15" hidden="false" customHeight="false" outlineLevel="0" collapsed="false">
      <c r="A15" s="61" t="s">
        <v>178</v>
      </c>
      <c r="B15" s="61" t="s">
        <v>3137</v>
      </c>
      <c r="C15" s="70" t="n">
        <v>80</v>
      </c>
      <c r="D15" s="70" t="n">
        <v>60</v>
      </c>
      <c r="E15" s="70" t="n">
        <v>20</v>
      </c>
      <c r="F15" s="73" t="n">
        <f aca="false">IF(A15="","",C15*D15/10000)</f>
        <v>0.48</v>
      </c>
      <c r="G15" s="73" t="n">
        <f aca="false">IF(A15="","",C15*D15*E15/1000000)</f>
        <v>0.096</v>
      </c>
      <c r="H15" s="62" t="n">
        <v>800</v>
      </c>
      <c r="I15" s="62" t="n">
        <v>600</v>
      </c>
      <c r="J15" s="62" t="n">
        <v>1</v>
      </c>
      <c r="K15" s="69" t="n">
        <f aca="false">IF(OR(A15="",N(H15)&lt;=0,N(I15)&lt;=0),"",MAX(INT(INDEX(Parameter!$F$5:$F$7,Parameter!$M$22)/H15)*INT(INDEX(Parameter!$G$5:$G$7,Parameter!$M$22)/I15),INT(INDEX(Parameter!$F$5:$F$7,Parameter!$M$22)/I15)*INT(INDEX(Parameter!$G$5:$G$7,Parameter!$M$22)/H15))*MAX(1,N(J15)))</f>
        <v>6</v>
      </c>
      <c r="L15" s="62" t="n">
        <v>6</v>
      </c>
      <c r="M15" s="66" t="n">
        <f aca="false">IF(A15="","",IF(N(L15)&gt;0,L15,N(K15)))</f>
        <v>6</v>
      </c>
      <c r="N15" s="62" t="n">
        <v>20</v>
      </c>
    </row>
    <row r="16" customFormat="false" ht="15" hidden="false" customHeight="false" outlineLevel="0" collapsed="false">
      <c r="A16" s="61" t="s">
        <v>263</v>
      </c>
      <c r="B16" s="61" t="s">
        <v>3138</v>
      </c>
      <c r="C16" s="70" t="n">
        <v>80</v>
      </c>
      <c r="D16" s="70" t="n">
        <v>60</v>
      </c>
      <c r="E16" s="70" t="n">
        <v>40</v>
      </c>
      <c r="F16" s="73" t="n">
        <f aca="false">IF(A16="","",C16*D16/10000)</f>
        <v>0.48</v>
      </c>
      <c r="G16" s="73" t="n">
        <f aca="false">IF(A16="","",C16*D16*E16/1000000)</f>
        <v>0.192</v>
      </c>
      <c r="H16" s="62" t="n">
        <v>800</v>
      </c>
      <c r="I16" s="62" t="n">
        <v>600</v>
      </c>
      <c r="J16" s="62" t="n">
        <v>1</v>
      </c>
      <c r="K16" s="69" t="n">
        <f aca="false">IF(OR(A16="",N(H16)&lt;=0,N(I16)&lt;=0),"",MAX(INT(INDEX(Parameter!$F$5:$F$7,Parameter!$M$22)/H16)*INT(INDEX(Parameter!$G$5:$G$7,Parameter!$M$22)/I16),INT(INDEX(Parameter!$F$5:$F$7,Parameter!$M$22)/I16)*INT(INDEX(Parameter!$G$5:$G$7,Parameter!$M$22)/H16))*MAX(1,N(J16)))</f>
        <v>6</v>
      </c>
      <c r="L16" s="62" t="n">
        <v>6</v>
      </c>
      <c r="M16" s="66" t="n">
        <f aca="false">IF(A16="","",IF(N(L16)&gt;0,L16,N(K16)))</f>
        <v>6</v>
      </c>
      <c r="N16" s="62" t="n">
        <v>40</v>
      </c>
    </row>
    <row r="17" customFormat="false" ht="15" hidden="false" customHeight="false" outlineLevel="0" collapsed="false">
      <c r="A17" s="61" t="s">
        <v>3098</v>
      </c>
      <c r="B17" s="61" t="s">
        <v>3139</v>
      </c>
      <c r="C17" s="70" t="n">
        <v>80</v>
      </c>
      <c r="D17" s="70" t="n">
        <v>60</v>
      </c>
      <c r="E17" s="70" t="n">
        <v>60</v>
      </c>
      <c r="F17" s="73" t="n">
        <f aca="false">IF(A17="","",C17*D17/10000)</f>
        <v>0.48</v>
      </c>
      <c r="G17" s="73" t="n">
        <f aca="false">IF(A17="","",C17*D17*E17/1000000)</f>
        <v>0.288</v>
      </c>
      <c r="H17" s="62" t="n">
        <v>800</v>
      </c>
      <c r="I17" s="62" t="n">
        <v>600</v>
      </c>
      <c r="J17" s="62" t="n">
        <v>1</v>
      </c>
      <c r="K17" s="69" t="n">
        <f aca="false">IF(OR(A17="",N(H17)&lt;=0,N(I17)&lt;=0),"",MAX(INT(INDEX(Parameter!$F$5:$F$7,Parameter!$M$22)/H17)*INT(INDEX(Parameter!$G$5:$G$7,Parameter!$M$22)/I17),INT(INDEX(Parameter!$F$5:$F$7,Parameter!$M$22)/I17)*INT(INDEX(Parameter!$G$5:$G$7,Parameter!$M$22)/H17))*MAX(1,N(J17)))</f>
        <v>6</v>
      </c>
      <c r="L17" s="62" t="n">
        <v>6</v>
      </c>
      <c r="M17" s="66" t="n">
        <f aca="false">IF(A17="","",IF(N(L17)&gt;0,L17,N(K17)))</f>
        <v>6</v>
      </c>
      <c r="N17" s="62" t="n">
        <v>60</v>
      </c>
    </row>
    <row r="18" customFormat="false" ht="15" hidden="false" customHeight="false" outlineLevel="0" collapsed="false">
      <c r="A18" s="61" t="s">
        <v>227</v>
      </c>
      <c r="B18" s="61" t="s">
        <v>3140</v>
      </c>
      <c r="C18" s="70" t="n">
        <v>120</v>
      </c>
      <c r="D18" s="70" t="n">
        <v>80</v>
      </c>
      <c r="E18" s="70" t="n">
        <v>20</v>
      </c>
      <c r="F18" s="73" t="n">
        <f aca="false">IF(A18="","",C18*D18/10000)</f>
        <v>0.96</v>
      </c>
      <c r="G18" s="73" t="n">
        <f aca="false">IF(A18="","",C18*D18*E18/1000000)</f>
        <v>0.192</v>
      </c>
      <c r="H18" s="62" t="n">
        <v>1200</v>
      </c>
      <c r="I18" s="62" t="n">
        <v>800</v>
      </c>
      <c r="J18" s="62" t="n">
        <v>1</v>
      </c>
      <c r="K18" s="69" t="n">
        <f aca="false">IF(OR(A18="",N(H18)&lt;=0,N(I18)&lt;=0),"",MAX(INT(INDEX(Parameter!$F$5:$F$7,Parameter!$M$22)/H18)*INT(INDEX(Parameter!$G$5:$G$7,Parameter!$M$22)/I18),INT(INDEX(Parameter!$F$5:$F$7,Parameter!$M$22)/I18)*INT(INDEX(Parameter!$G$5:$G$7,Parameter!$M$22)/H18))*MAX(1,N(J18)))</f>
        <v>3</v>
      </c>
      <c r="L18" s="62" t="n">
        <v>4</v>
      </c>
      <c r="M18" s="66" t="n">
        <f aca="false">IF(A18="","",IF(N(L18)&gt;0,L18,N(K18)))</f>
        <v>4</v>
      </c>
      <c r="N18" s="62" t="n">
        <v>20</v>
      </c>
    </row>
    <row r="19" customFormat="false" ht="15" hidden="false" customHeight="false" outlineLevel="0" collapsed="false">
      <c r="A19" s="61" t="s">
        <v>352</v>
      </c>
      <c r="B19" s="61" t="s">
        <v>3141</v>
      </c>
      <c r="C19" s="70" t="n">
        <v>120</v>
      </c>
      <c r="D19" s="70" t="n">
        <v>80</v>
      </c>
      <c r="E19" s="70" t="n">
        <v>40</v>
      </c>
      <c r="F19" s="73" t="n">
        <f aca="false">IF(A19="","",C19*D19/10000)</f>
        <v>0.96</v>
      </c>
      <c r="G19" s="73" t="n">
        <f aca="false">IF(A19="","",C19*D19*E19/1000000)</f>
        <v>0.384</v>
      </c>
      <c r="H19" s="62" t="n">
        <v>1200</v>
      </c>
      <c r="I19" s="62" t="n">
        <v>800</v>
      </c>
      <c r="J19" s="62" t="n">
        <v>1</v>
      </c>
      <c r="K19" s="69" t="n">
        <f aca="false">IF(OR(A19="",N(H19)&lt;=0,N(I19)&lt;=0),"",MAX(INT(INDEX(Parameter!$F$5:$F$7,Parameter!$M$22)/H19)*INT(INDEX(Parameter!$G$5:$G$7,Parameter!$M$22)/I19),INT(INDEX(Parameter!$F$5:$F$7,Parameter!$M$22)/I19)*INT(INDEX(Parameter!$G$5:$G$7,Parameter!$M$22)/H19))*MAX(1,N(J19)))</f>
        <v>3</v>
      </c>
      <c r="L19" s="62" t="n">
        <v>4</v>
      </c>
      <c r="M19" s="66" t="n">
        <f aca="false">IF(A19="","",IF(N(L19)&gt;0,L19,N(K19)))</f>
        <v>4</v>
      </c>
      <c r="N19" s="62" t="n">
        <v>40</v>
      </c>
    </row>
    <row r="20" customFormat="false" ht="15" hidden="false" customHeight="false" outlineLevel="0" collapsed="false">
      <c r="A20" s="61" t="s">
        <v>3100</v>
      </c>
      <c r="B20" s="61" t="s">
        <v>3142</v>
      </c>
      <c r="C20" s="70" t="n">
        <v>120</v>
      </c>
      <c r="D20" s="70" t="n">
        <v>80</v>
      </c>
      <c r="E20" s="70" t="n">
        <v>60</v>
      </c>
      <c r="F20" s="73" t="n">
        <f aca="false">IF(A20="","",C20*D20/10000)</f>
        <v>0.96</v>
      </c>
      <c r="G20" s="73" t="n">
        <f aca="false">IF(A20="","",C20*D20*E20/1000000)</f>
        <v>0.576</v>
      </c>
      <c r="H20" s="62" t="n">
        <v>1200</v>
      </c>
      <c r="I20" s="62" t="n">
        <v>800</v>
      </c>
      <c r="J20" s="62" t="n">
        <v>1</v>
      </c>
      <c r="K20" s="69" t="n">
        <f aca="false">IF(OR(A20="",N(H20)&lt;=0,N(I20)&lt;=0),"",MAX(INT(INDEX(Parameter!$F$5:$F$7,Parameter!$M$22)/H20)*INT(INDEX(Parameter!$G$5:$G$7,Parameter!$M$22)/I20),INT(INDEX(Parameter!$F$5:$F$7,Parameter!$M$22)/I20)*INT(INDEX(Parameter!$G$5:$G$7,Parameter!$M$22)/H20))*MAX(1,N(J20)))</f>
        <v>3</v>
      </c>
      <c r="L20" s="62" t="n">
        <v>4</v>
      </c>
      <c r="M20" s="66" t="n">
        <f aca="false">IF(A20="","",IF(N(L20)&gt;0,L20,N(K20)))</f>
        <v>4</v>
      </c>
      <c r="N20" s="62" t="n">
        <v>60</v>
      </c>
    </row>
    <row r="21" customFormat="false" ht="15" hidden="false" customHeight="false" outlineLevel="0" collapsed="false">
      <c r="A21" s="61" t="s">
        <v>3101</v>
      </c>
      <c r="B21" s="61" t="s">
        <v>3143</v>
      </c>
      <c r="C21" s="70" t="n">
        <v>120</v>
      </c>
      <c r="D21" s="70" t="n">
        <v>80</v>
      </c>
      <c r="E21" s="70" t="n">
        <v>20</v>
      </c>
      <c r="F21" s="73" t="n">
        <f aca="false">IF(A21="","",C21*D21/10000)</f>
        <v>0.96</v>
      </c>
      <c r="G21" s="73" t="n">
        <f aca="false">IF(A21="","",C21*D21*E21/1000000)</f>
        <v>0.192</v>
      </c>
      <c r="H21" s="62" t="n">
        <v>1200</v>
      </c>
      <c r="I21" s="62" t="n">
        <v>800</v>
      </c>
      <c r="J21" s="62" t="n">
        <v>1</v>
      </c>
      <c r="K21" s="69" t="n">
        <f aca="false">IF(OR(A21="",N(H21)&lt;=0,N(I21)&lt;=0),"",MAX(INT(INDEX(Parameter!$F$5:$F$7,Parameter!$M$22)/H21)*INT(INDEX(Parameter!$G$5:$G$7,Parameter!$M$22)/I21),INT(INDEX(Parameter!$F$5:$F$7,Parameter!$M$22)/I21)*INT(INDEX(Parameter!$G$5:$G$7,Parameter!$M$22)/H21))*MAX(1,N(J21)))</f>
        <v>3</v>
      </c>
      <c r="L21" s="62"/>
      <c r="M21" s="66" t="n">
        <f aca="false">IF(A21="","",IF(N(L21)&gt;0,L21,N(K21)))</f>
        <v>3</v>
      </c>
      <c r="N21" s="62" t="n">
        <v>20</v>
      </c>
    </row>
    <row r="22" customFormat="false" ht="15" hidden="false" customHeight="false" outlineLevel="0" collapsed="false">
      <c r="A22" s="61" t="s">
        <v>3102</v>
      </c>
      <c r="B22" s="61" t="s">
        <v>3144</v>
      </c>
      <c r="C22" s="70" t="n">
        <v>120</v>
      </c>
      <c r="D22" s="70" t="n">
        <v>80</v>
      </c>
      <c r="E22" s="70" t="n">
        <v>40</v>
      </c>
      <c r="F22" s="73" t="n">
        <f aca="false">IF(A22="","",C22*D22/10000)</f>
        <v>0.96</v>
      </c>
      <c r="G22" s="73" t="n">
        <f aca="false">IF(A22="","",C22*D22*E22/1000000)</f>
        <v>0.384</v>
      </c>
      <c r="H22" s="62" t="n">
        <v>1200</v>
      </c>
      <c r="I22" s="62" t="n">
        <v>800</v>
      </c>
      <c r="J22" s="62" t="n">
        <v>1</v>
      </c>
      <c r="K22" s="69" t="n">
        <f aca="false">IF(OR(A22="",N(H22)&lt;=0,N(I22)&lt;=0),"",MAX(INT(INDEX(Parameter!$F$5:$F$7,Parameter!$M$22)/H22)*INT(INDEX(Parameter!$G$5:$G$7,Parameter!$M$22)/I22),INT(INDEX(Parameter!$F$5:$F$7,Parameter!$M$22)/I22)*INT(INDEX(Parameter!$G$5:$G$7,Parameter!$M$22)/H22))*MAX(1,N(J22)))</f>
        <v>3</v>
      </c>
      <c r="L22" s="62"/>
      <c r="M22" s="66" t="n">
        <f aca="false">IF(A22="","",IF(N(L22)&gt;0,L22,N(K22)))</f>
        <v>3</v>
      </c>
      <c r="N22" s="62" t="n">
        <v>40</v>
      </c>
    </row>
    <row r="23" customFormat="false" ht="15" hidden="false" customHeight="false" outlineLevel="0" collapsed="false">
      <c r="A23" s="61" t="s">
        <v>3103</v>
      </c>
      <c r="B23" s="61" t="s">
        <v>3145</v>
      </c>
      <c r="C23" s="70" t="n">
        <v>120</v>
      </c>
      <c r="D23" s="70" t="n">
        <v>80</v>
      </c>
      <c r="E23" s="70" t="n">
        <v>80</v>
      </c>
      <c r="F23" s="73" t="n">
        <f aca="false">IF(A23="","",C23*D23/10000)</f>
        <v>0.96</v>
      </c>
      <c r="G23" s="73" t="n">
        <f aca="false">IF(A23="","",C23*D23*E23/1000000)</f>
        <v>0.768</v>
      </c>
      <c r="H23" s="62" t="n">
        <v>1200</v>
      </c>
      <c r="I23" s="62" t="n">
        <v>800</v>
      </c>
      <c r="J23" s="62" t="n">
        <v>1</v>
      </c>
      <c r="K23" s="69" t="n">
        <f aca="false">IF(OR(A23="",N(H23)&lt;=0,N(I23)&lt;=0),"",MAX(INT(INDEX(Parameter!$F$5:$F$7,Parameter!$M$22)/H23)*INT(INDEX(Parameter!$G$5:$G$7,Parameter!$M$22)/I23),INT(INDEX(Parameter!$F$5:$F$7,Parameter!$M$22)/I23)*INT(INDEX(Parameter!$G$5:$G$7,Parameter!$M$22)/H23))*MAX(1,N(J23)))</f>
        <v>3</v>
      </c>
      <c r="L23" s="62"/>
      <c r="M23" s="66" t="n">
        <f aca="false">IF(A23="","",IF(N(L23)&gt;0,L23,N(K23)))</f>
        <v>3</v>
      </c>
      <c r="N23" s="62" t="n">
        <v>80</v>
      </c>
    </row>
    <row r="24" customFormat="false" ht="15" hidden="false" customHeight="false" outlineLevel="0" collapsed="false">
      <c r="A24" s="61" t="s">
        <v>3104</v>
      </c>
      <c r="B24" s="61" t="s">
        <v>3146</v>
      </c>
      <c r="C24" s="70" t="n">
        <v>120</v>
      </c>
      <c r="D24" s="70" t="n">
        <v>80</v>
      </c>
      <c r="E24" s="70" t="n">
        <v>120</v>
      </c>
      <c r="F24" s="73" t="n">
        <f aca="false">IF(A24="","",C24*D24/10000)</f>
        <v>0.96</v>
      </c>
      <c r="G24" s="73" t="n">
        <f aca="false">IF(A24="","",C24*D24*E24/1000000)</f>
        <v>1.152</v>
      </c>
      <c r="H24" s="62" t="n">
        <v>1200</v>
      </c>
      <c r="I24" s="62" t="n">
        <v>800</v>
      </c>
      <c r="J24" s="62" t="n">
        <v>1</v>
      </c>
      <c r="K24" s="69" t="n">
        <f aca="false">IF(OR(A24="",N(H24)&lt;=0,N(I24)&lt;=0),"",MAX(INT(INDEX(Parameter!$F$5:$F$7,Parameter!$M$22)/H24)*INT(INDEX(Parameter!$G$5:$G$7,Parameter!$M$22)/I24),INT(INDEX(Parameter!$F$5:$F$7,Parameter!$M$22)/I24)*INT(INDEX(Parameter!$G$5:$G$7,Parameter!$M$22)/H24))*MAX(1,N(J24)))</f>
        <v>3</v>
      </c>
      <c r="L24" s="62"/>
      <c r="M24" s="66" t="n">
        <f aca="false">IF(A24="","",IF(N(L24)&gt;0,L24,N(K24)))</f>
        <v>3</v>
      </c>
      <c r="N24" s="62" t="n">
        <v>120</v>
      </c>
    </row>
    <row r="25" customFormat="false" ht="15" hidden="false" customHeight="false" outlineLevel="0" collapsed="false">
      <c r="A25" s="61" t="s">
        <v>3105</v>
      </c>
      <c r="B25" s="61" t="s">
        <v>3147</v>
      </c>
      <c r="C25" s="70" t="n">
        <v>120</v>
      </c>
      <c r="D25" s="70" t="n">
        <v>80</v>
      </c>
      <c r="E25" s="70" t="n">
        <v>160</v>
      </c>
      <c r="F25" s="73" t="n">
        <f aca="false">IF(A25="","",C25*D25/10000)</f>
        <v>0.96</v>
      </c>
      <c r="G25" s="73" t="n">
        <f aca="false">IF(A25="","",C25*D25*E25/1000000)</f>
        <v>1.536</v>
      </c>
      <c r="H25" s="62" t="n">
        <v>1200</v>
      </c>
      <c r="I25" s="62" t="n">
        <v>800</v>
      </c>
      <c r="J25" s="62" t="n">
        <v>1</v>
      </c>
      <c r="K25" s="69" t="n">
        <f aca="false">IF(OR(A25="",N(H25)&lt;=0,N(I25)&lt;=0),"",MAX(INT(INDEX(Parameter!$F$5:$F$7,Parameter!$M$22)/H25)*INT(INDEX(Parameter!$G$5:$G$7,Parameter!$M$22)/I25),INT(INDEX(Parameter!$F$5:$F$7,Parameter!$M$22)/I25)*INT(INDEX(Parameter!$G$5:$G$7,Parameter!$M$22)/H25))*MAX(1,N(J25)))</f>
        <v>3</v>
      </c>
      <c r="L25" s="62"/>
      <c r="M25" s="66" t="n">
        <f aca="false">IF(A25="","",IF(N(L25)&gt;0,L25,N(K25)))</f>
        <v>3</v>
      </c>
      <c r="N25" s="62" t="n">
        <v>160</v>
      </c>
    </row>
    <row r="26" customFormat="false" ht="15" hidden="false" customHeight="false" outlineLevel="0" collapsed="false">
      <c r="A26" s="61" t="s">
        <v>3106</v>
      </c>
      <c r="B26" s="61" t="s">
        <v>3148</v>
      </c>
      <c r="C26" s="70" t="n">
        <v>120</v>
      </c>
      <c r="D26" s="70" t="n">
        <v>80</v>
      </c>
      <c r="E26" s="70" t="n">
        <v>200</v>
      </c>
      <c r="F26" s="73" t="n">
        <f aca="false">IF(A26="","",C26*D26/10000)</f>
        <v>0.96</v>
      </c>
      <c r="G26" s="73" t="n">
        <f aca="false">IF(A26="","",C26*D26*E26/1000000)</f>
        <v>1.92</v>
      </c>
      <c r="H26" s="62" t="n">
        <v>1200</v>
      </c>
      <c r="I26" s="62" t="n">
        <v>800</v>
      </c>
      <c r="J26" s="62" t="n">
        <v>1</v>
      </c>
      <c r="K26" s="69" t="n">
        <f aca="false">IF(OR(A26="",N(H26)&lt;=0,N(I26)&lt;=0),"",MAX(INT(INDEX(Parameter!$F$5:$F$7,Parameter!$M$22)/H26)*INT(INDEX(Parameter!$G$5:$G$7,Parameter!$M$22)/I26),INT(INDEX(Parameter!$F$5:$F$7,Parameter!$M$22)/I26)*INT(INDEX(Parameter!$G$5:$G$7,Parameter!$M$22)/H26))*MAX(1,N(J26)))</f>
        <v>3</v>
      </c>
      <c r="L26" s="62"/>
      <c r="M26" s="66" t="n">
        <f aca="false">IF(A26="","",IF(N(L26)&gt;0,L26,N(K26)))</f>
        <v>3</v>
      </c>
      <c r="N26" s="62" t="n">
        <v>200</v>
      </c>
    </row>
    <row r="27" customFormat="false" ht="15" hidden="false" customHeight="false" outlineLevel="0" collapsed="false">
      <c r="A27" s="61"/>
      <c r="B27" s="61"/>
      <c r="C27" s="70"/>
      <c r="D27" s="70"/>
      <c r="E27" s="70"/>
      <c r="F27" s="73" t="str">
        <f aca="false">IF(A27="","",C27*D27/10000)</f>
        <v/>
      </c>
      <c r="G27" s="73" t="str">
        <f aca="false">IF(A27="","",C27*D27*E27/1000000)</f>
        <v/>
      </c>
      <c r="H27" s="62"/>
      <c r="I27" s="62"/>
      <c r="J27" s="62"/>
      <c r="K27" s="69" t="str">
        <f aca="false">IF(OR(A27="",N(H27)&lt;=0,N(I27)&lt;=0),"",MAX(INT(INDEX(Parameter!$F$5:$F$7,Parameter!$M$22)/H27)*INT(INDEX(Parameter!$G$5:$G$7,Parameter!$M$22)/I27),INT(INDEX(Parameter!$F$5:$F$7,Parameter!$M$22)/I27)*INT(INDEX(Parameter!$G$5:$G$7,Parameter!$M$22)/H27))*MAX(1,N(J27)))</f>
        <v/>
      </c>
      <c r="L27" s="62"/>
      <c r="M27" s="66" t="str">
        <f aca="false">IF(A27="","",IF(N(L27)&gt;0,L27,N(K27)))</f>
        <v/>
      </c>
      <c r="N27" s="62"/>
    </row>
    <row r="28" customFormat="false" ht="15" hidden="false" customHeight="false" outlineLevel="0" collapsed="false">
      <c r="A28" s="61"/>
      <c r="B28" s="61"/>
      <c r="C28" s="70"/>
      <c r="D28" s="70"/>
      <c r="E28" s="70"/>
      <c r="F28" s="73" t="str">
        <f aca="false">IF(A28="","",C28*D28/10000)</f>
        <v/>
      </c>
      <c r="G28" s="73" t="str">
        <f aca="false">IF(A28="","",C28*D28*E28/1000000)</f>
        <v/>
      </c>
      <c r="H28" s="62"/>
      <c r="I28" s="62"/>
      <c r="J28" s="62"/>
      <c r="K28" s="69" t="str">
        <f aca="false">IF(OR(A28="",N(H28)&lt;=0,N(I28)&lt;=0),"",MAX(INT(INDEX(Parameter!$F$5:$F$7,Parameter!$M$22)/H28)*INT(INDEX(Parameter!$G$5:$G$7,Parameter!$M$22)/I28),INT(INDEX(Parameter!$F$5:$F$7,Parameter!$M$22)/I28)*INT(INDEX(Parameter!$G$5:$G$7,Parameter!$M$22)/H28))*MAX(1,N(J28)))</f>
        <v/>
      </c>
      <c r="L28" s="62"/>
      <c r="M28" s="66" t="str">
        <f aca="false">IF(A28="","",IF(N(L28)&gt;0,L28,N(K28)))</f>
        <v/>
      </c>
      <c r="N28" s="62"/>
    </row>
    <row r="29" customFormat="false" ht="15" hidden="false" customHeight="false" outlineLevel="0" collapsed="false">
      <c r="A29" s="61"/>
      <c r="B29" s="61"/>
      <c r="C29" s="70"/>
      <c r="D29" s="70"/>
      <c r="E29" s="70"/>
      <c r="F29" s="73" t="str">
        <f aca="false">IF(A29="","",C29*D29/10000)</f>
        <v/>
      </c>
      <c r="G29" s="73" t="str">
        <f aca="false">IF(A29="","",C29*D29*E29/1000000)</f>
        <v/>
      </c>
      <c r="H29" s="62"/>
      <c r="I29" s="62"/>
      <c r="J29" s="62"/>
      <c r="K29" s="69" t="str">
        <f aca="false">IF(OR(A29="",N(H29)&lt;=0,N(I29)&lt;=0),"",MAX(INT(INDEX(Parameter!$F$5:$F$7,Parameter!$M$22)/H29)*INT(INDEX(Parameter!$G$5:$G$7,Parameter!$M$22)/I29),INT(INDEX(Parameter!$F$5:$F$7,Parameter!$M$22)/I29)*INT(INDEX(Parameter!$G$5:$G$7,Parameter!$M$22)/H29))*MAX(1,N(J29)))</f>
        <v/>
      </c>
      <c r="L29" s="62"/>
      <c r="M29" s="66" t="str">
        <f aca="false">IF(A29="","",IF(N(L29)&gt;0,L29,N(K29)))</f>
        <v/>
      </c>
      <c r="N29" s="62"/>
    </row>
    <row r="30" customFormat="false" ht="15" hidden="false" customHeight="false" outlineLevel="0" collapsed="false">
      <c r="A30" s="61"/>
      <c r="B30" s="61"/>
      <c r="C30" s="70"/>
      <c r="D30" s="70"/>
      <c r="E30" s="70"/>
      <c r="F30" s="73" t="str">
        <f aca="false">IF(A30="","",C30*D30/10000)</f>
        <v/>
      </c>
      <c r="G30" s="73" t="str">
        <f aca="false">IF(A30="","",C30*D30*E30/1000000)</f>
        <v/>
      </c>
      <c r="H30" s="62"/>
      <c r="I30" s="62"/>
      <c r="J30" s="62"/>
      <c r="K30" s="69" t="str">
        <f aca="false">IF(OR(A30="",N(H30)&lt;=0,N(I30)&lt;=0),"",MAX(INT(INDEX(Parameter!$F$5:$F$7,Parameter!$M$22)/H30)*INT(INDEX(Parameter!$G$5:$G$7,Parameter!$M$22)/I30),INT(INDEX(Parameter!$F$5:$F$7,Parameter!$M$22)/I30)*INT(INDEX(Parameter!$G$5:$G$7,Parameter!$M$22)/H30))*MAX(1,N(J30)))</f>
        <v/>
      </c>
      <c r="L30" s="62"/>
      <c r="M30" s="66" t="str">
        <f aca="false">IF(A30="","",IF(N(L30)&gt;0,L30,N(K30)))</f>
        <v/>
      </c>
      <c r="N30" s="62"/>
    </row>
    <row r="31" customFormat="false" ht="15" hidden="false" customHeight="false" outlineLevel="0" collapsed="false">
      <c r="A31" s="61"/>
      <c r="B31" s="61"/>
      <c r="C31" s="70"/>
      <c r="D31" s="70"/>
      <c r="E31" s="70"/>
      <c r="F31" s="73" t="str">
        <f aca="false">IF(A31="","",C31*D31/10000)</f>
        <v/>
      </c>
      <c r="G31" s="73" t="str">
        <f aca="false">IF(A31="","",C31*D31*E31/1000000)</f>
        <v/>
      </c>
      <c r="H31" s="62"/>
      <c r="I31" s="62"/>
      <c r="J31" s="62"/>
      <c r="K31" s="69" t="str">
        <f aca="false">IF(OR(A31="",N(H31)&lt;=0,N(I31)&lt;=0),"",MAX(INT(INDEX(Parameter!$F$5:$F$7,Parameter!$M$22)/H31)*INT(INDEX(Parameter!$G$5:$G$7,Parameter!$M$22)/I31),INT(INDEX(Parameter!$F$5:$F$7,Parameter!$M$22)/I31)*INT(INDEX(Parameter!$G$5:$G$7,Parameter!$M$22)/H31))*MAX(1,N(J31)))</f>
        <v/>
      </c>
      <c r="L31" s="62"/>
      <c r="M31" s="66" t="str">
        <f aca="false">IF(A31="","",IF(N(L31)&gt;0,L31,N(K31)))</f>
        <v/>
      </c>
      <c r="N31" s="62"/>
    </row>
    <row r="32" customFormat="false" ht="15" hidden="false" customHeight="false" outlineLevel="0" collapsed="false">
      <c r="A32" s="61"/>
      <c r="B32" s="61"/>
      <c r="C32" s="70"/>
      <c r="D32" s="70"/>
      <c r="E32" s="70"/>
      <c r="F32" s="73" t="str">
        <f aca="false">IF(A32="","",C32*D32/10000)</f>
        <v/>
      </c>
      <c r="G32" s="73" t="str">
        <f aca="false">IF(A32="","",C32*D32*E32/1000000)</f>
        <v/>
      </c>
      <c r="H32" s="62"/>
      <c r="I32" s="62"/>
      <c r="J32" s="62"/>
      <c r="K32" s="69" t="str">
        <f aca="false">IF(OR(A32="",N(H32)&lt;=0,N(I32)&lt;=0),"",MAX(INT(INDEX(Parameter!$F$5:$F$7,Parameter!$M$22)/H32)*INT(INDEX(Parameter!$G$5:$G$7,Parameter!$M$22)/I32),INT(INDEX(Parameter!$F$5:$F$7,Parameter!$M$22)/I32)*INT(INDEX(Parameter!$G$5:$G$7,Parameter!$M$22)/H32))*MAX(1,N(J32)))</f>
        <v/>
      </c>
      <c r="L32" s="62"/>
      <c r="M32" s="66" t="str">
        <f aca="false">IF(A32="","",IF(N(L32)&gt;0,L32,N(K32)))</f>
        <v/>
      </c>
      <c r="N32" s="62"/>
    </row>
    <row r="33" customFormat="false" ht="15" hidden="false" customHeight="false" outlineLevel="0" collapsed="false">
      <c r="A33" s="61"/>
      <c r="B33" s="61"/>
      <c r="C33" s="70"/>
      <c r="D33" s="70"/>
      <c r="E33" s="70"/>
      <c r="F33" s="73" t="str">
        <f aca="false">IF(A33="","",C33*D33/10000)</f>
        <v/>
      </c>
      <c r="G33" s="73" t="str">
        <f aca="false">IF(A33="","",C33*D33*E33/1000000)</f>
        <v/>
      </c>
      <c r="H33" s="62"/>
      <c r="I33" s="62"/>
      <c r="J33" s="62"/>
      <c r="K33" s="69" t="str">
        <f aca="false">IF(OR(A33="",N(H33)&lt;=0,N(I33)&lt;=0),"",MAX(INT(INDEX(Parameter!$F$5:$F$7,Parameter!$M$22)/H33)*INT(INDEX(Parameter!$G$5:$G$7,Parameter!$M$22)/I33),INT(INDEX(Parameter!$F$5:$F$7,Parameter!$M$22)/I33)*INT(INDEX(Parameter!$G$5:$G$7,Parameter!$M$22)/H33))*MAX(1,N(J33)))</f>
        <v/>
      </c>
      <c r="L33" s="62"/>
      <c r="M33" s="66" t="str">
        <f aca="false">IF(A33="","",IF(N(L33)&gt;0,L33,N(K33)))</f>
        <v/>
      </c>
      <c r="N33" s="62"/>
    </row>
    <row r="34" customFormat="false" ht="15" hidden="false" customHeight="false" outlineLevel="0" collapsed="false">
      <c r="A34" s="61"/>
      <c r="B34" s="61"/>
      <c r="C34" s="70"/>
      <c r="D34" s="70"/>
      <c r="E34" s="70"/>
      <c r="F34" s="73" t="str">
        <f aca="false">IF(A34="","",C34*D34/10000)</f>
        <v/>
      </c>
      <c r="G34" s="73" t="str">
        <f aca="false">IF(A34="","",C34*D34*E34/1000000)</f>
        <v/>
      </c>
      <c r="H34" s="62"/>
      <c r="I34" s="62"/>
      <c r="J34" s="62"/>
      <c r="K34" s="69" t="str">
        <f aca="false">IF(OR(A34="",N(H34)&lt;=0,N(I34)&lt;=0),"",MAX(INT(INDEX(Parameter!$F$5:$F$7,Parameter!$M$22)/H34)*INT(INDEX(Parameter!$G$5:$G$7,Parameter!$M$22)/I34),INT(INDEX(Parameter!$F$5:$F$7,Parameter!$M$22)/I34)*INT(INDEX(Parameter!$G$5:$G$7,Parameter!$M$22)/H34))*MAX(1,N(J34)))</f>
        <v/>
      </c>
      <c r="L34" s="62"/>
      <c r="M34" s="66" t="str">
        <f aca="false">IF(A34="","",IF(N(L34)&gt;0,L34,N(K34)))</f>
        <v/>
      </c>
      <c r="N34" s="62"/>
    </row>
    <row r="35" customFormat="false" ht="15" hidden="false" customHeight="false" outlineLevel="0" collapsed="false">
      <c r="A35" s="61"/>
      <c r="B35" s="61"/>
      <c r="C35" s="70"/>
      <c r="D35" s="70"/>
      <c r="E35" s="70"/>
      <c r="F35" s="73" t="str">
        <f aca="false">IF(A35="","",C35*D35/10000)</f>
        <v/>
      </c>
      <c r="G35" s="73" t="str">
        <f aca="false">IF(A35="","",C35*D35*E35/1000000)</f>
        <v/>
      </c>
      <c r="H35" s="62"/>
      <c r="I35" s="62"/>
      <c r="J35" s="62"/>
      <c r="K35" s="69" t="str">
        <f aca="false">IF(OR(A35="",N(H35)&lt;=0,N(I35)&lt;=0),"",MAX(INT(INDEX(Parameter!$F$5:$F$7,Parameter!$M$22)/H35)*INT(INDEX(Parameter!$G$5:$G$7,Parameter!$M$22)/I35),INT(INDEX(Parameter!$F$5:$F$7,Parameter!$M$22)/I35)*INT(INDEX(Parameter!$G$5:$G$7,Parameter!$M$22)/H35))*MAX(1,N(J35)))</f>
        <v/>
      </c>
      <c r="L35" s="62"/>
      <c r="M35" s="66" t="str">
        <f aca="false">IF(A35="","",IF(N(L35)&gt;0,L35,N(K35)))</f>
        <v/>
      </c>
      <c r="N35" s="62"/>
    </row>
    <row r="36" customFormat="false" ht="15" hidden="false" customHeight="false" outlineLevel="0" collapsed="false">
      <c r="A36" s="61"/>
      <c r="B36" s="61"/>
      <c r="C36" s="70"/>
      <c r="D36" s="70"/>
      <c r="E36" s="70"/>
      <c r="F36" s="73" t="str">
        <f aca="false">IF(A36="","",C36*D36/10000)</f>
        <v/>
      </c>
      <c r="G36" s="73" t="str">
        <f aca="false">IF(A36="","",C36*D36*E36/1000000)</f>
        <v/>
      </c>
      <c r="H36" s="62"/>
      <c r="I36" s="62"/>
      <c r="J36" s="62"/>
      <c r="K36" s="69" t="str">
        <f aca="false">IF(OR(A36="",N(H36)&lt;=0,N(I36)&lt;=0),"",MAX(INT(INDEX(Parameter!$F$5:$F$7,Parameter!$M$22)/H36)*INT(INDEX(Parameter!$G$5:$G$7,Parameter!$M$22)/I36),INT(INDEX(Parameter!$F$5:$F$7,Parameter!$M$22)/I36)*INT(INDEX(Parameter!$G$5:$G$7,Parameter!$M$22)/H36))*MAX(1,N(J36)))</f>
        <v/>
      </c>
      <c r="L36" s="62"/>
      <c r="M36" s="66" t="str">
        <f aca="false">IF(A36="","",IF(N(L36)&gt;0,L36,N(K36)))</f>
        <v/>
      </c>
      <c r="N36" s="62"/>
    </row>
    <row r="37" customFormat="false" ht="15" hidden="false" customHeight="false" outlineLevel="0" collapsed="false">
      <c r="A37" s="61"/>
      <c r="B37" s="61"/>
      <c r="C37" s="70"/>
      <c r="D37" s="70"/>
      <c r="E37" s="70"/>
      <c r="F37" s="73" t="str">
        <f aca="false">IF(A37="","",C37*D37/10000)</f>
        <v/>
      </c>
      <c r="G37" s="73" t="str">
        <f aca="false">IF(A37="","",C37*D37*E37/1000000)</f>
        <v/>
      </c>
      <c r="H37" s="62"/>
      <c r="I37" s="62"/>
      <c r="J37" s="62"/>
      <c r="K37" s="69" t="str">
        <f aca="false">IF(OR(A37="",N(H37)&lt;=0,N(I37)&lt;=0),"",MAX(INT(INDEX(Parameter!$F$5:$F$7,Parameter!$M$22)/H37)*INT(INDEX(Parameter!$G$5:$G$7,Parameter!$M$22)/I37),INT(INDEX(Parameter!$F$5:$F$7,Parameter!$M$22)/I37)*INT(INDEX(Parameter!$G$5:$G$7,Parameter!$M$22)/H37))*MAX(1,N(J37)))</f>
        <v/>
      </c>
      <c r="L37" s="62"/>
      <c r="M37" s="66" t="str">
        <f aca="false">IF(A37="","",IF(N(L37)&gt;0,L37,N(K37)))</f>
        <v/>
      </c>
      <c r="N37" s="62"/>
    </row>
    <row r="38" customFormat="false" ht="15" hidden="false" customHeight="false" outlineLevel="0" collapsed="false">
      <c r="A38" s="61"/>
      <c r="B38" s="61"/>
      <c r="C38" s="70"/>
      <c r="D38" s="70"/>
      <c r="E38" s="70"/>
      <c r="F38" s="73" t="str">
        <f aca="false">IF(A38="","",C38*D38/10000)</f>
        <v/>
      </c>
      <c r="G38" s="73" t="str">
        <f aca="false">IF(A38="","",C38*D38*E38/1000000)</f>
        <v/>
      </c>
      <c r="H38" s="62"/>
      <c r="I38" s="62"/>
      <c r="J38" s="62"/>
      <c r="K38" s="69" t="str">
        <f aca="false">IF(OR(A38="",N(H38)&lt;=0,N(I38)&lt;=0),"",MAX(INT(INDEX(Parameter!$F$5:$F$7,Parameter!$M$22)/H38)*INT(INDEX(Parameter!$G$5:$G$7,Parameter!$M$22)/I38),INT(INDEX(Parameter!$F$5:$F$7,Parameter!$M$22)/I38)*INT(INDEX(Parameter!$G$5:$G$7,Parameter!$M$22)/H38))*MAX(1,N(J38)))</f>
        <v/>
      </c>
      <c r="L38" s="62"/>
      <c r="M38" s="66" t="str">
        <f aca="false">IF(A38="","",IF(N(L38)&gt;0,L38,N(K38)))</f>
        <v/>
      </c>
      <c r="N38" s="62"/>
    </row>
    <row r="39" customFormat="false" ht="15" hidden="false" customHeight="false" outlineLevel="0" collapsed="false">
      <c r="A39" s="61"/>
      <c r="B39" s="61"/>
      <c r="C39" s="70"/>
      <c r="D39" s="70"/>
      <c r="E39" s="70"/>
      <c r="F39" s="73" t="str">
        <f aca="false">IF(A39="","",C39*D39/10000)</f>
        <v/>
      </c>
      <c r="G39" s="73" t="str">
        <f aca="false">IF(A39="","",C39*D39*E39/1000000)</f>
        <v/>
      </c>
      <c r="H39" s="62"/>
      <c r="I39" s="62"/>
      <c r="J39" s="62"/>
      <c r="K39" s="69" t="str">
        <f aca="false">IF(OR(A39="",N(H39)&lt;=0,N(I39)&lt;=0),"",MAX(INT(INDEX(Parameter!$F$5:$F$7,Parameter!$M$22)/H39)*INT(INDEX(Parameter!$G$5:$G$7,Parameter!$M$22)/I39),INT(INDEX(Parameter!$F$5:$F$7,Parameter!$M$22)/I39)*INT(INDEX(Parameter!$G$5:$G$7,Parameter!$M$22)/H39))*MAX(1,N(J39)))</f>
        <v/>
      </c>
      <c r="L39" s="62"/>
      <c r="M39" s="66" t="str">
        <f aca="false">IF(A39="","",IF(N(L39)&gt;0,L39,N(K39)))</f>
        <v/>
      </c>
      <c r="N39" s="62"/>
    </row>
    <row r="40" customFormat="false" ht="15" hidden="false" customHeight="false" outlineLevel="0" collapsed="false">
      <c r="A40" s="61"/>
      <c r="B40" s="61"/>
      <c r="C40" s="70"/>
      <c r="D40" s="70"/>
      <c r="E40" s="70"/>
      <c r="F40" s="73" t="str">
        <f aca="false">IF(A40="","",C40*D40/10000)</f>
        <v/>
      </c>
      <c r="G40" s="73" t="str">
        <f aca="false">IF(A40="","",C40*D40*E40/1000000)</f>
        <v/>
      </c>
      <c r="H40" s="62"/>
      <c r="I40" s="62"/>
      <c r="J40" s="62"/>
      <c r="K40" s="69" t="str">
        <f aca="false">IF(OR(A40="",N(H40)&lt;=0,N(I40)&lt;=0),"",MAX(INT(INDEX(Parameter!$F$5:$F$7,Parameter!$M$22)/H40)*INT(INDEX(Parameter!$G$5:$G$7,Parameter!$M$22)/I40),INT(INDEX(Parameter!$F$5:$F$7,Parameter!$M$22)/I40)*INT(INDEX(Parameter!$G$5:$G$7,Parameter!$M$22)/H40))*MAX(1,N(J40)))</f>
        <v/>
      </c>
      <c r="L40" s="62"/>
      <c r="M40" s="66" t="str">
        <f aca="false">IF(A40="","",IF(N(L40)&gt;0,L40,N(K40)))</f>
        <v/>
      </c>
      <c r="N40" s="62"/>
    </row>
    <row r="41" customFormat="false" ht="15" hidden="false" customHeight="false" outlineLevel="0" collapsed="false">
      <c r="A41" s="61"/>
      <c r="B41" s="61"/>
      <c r="C41" s="70"/>
      <c r="D41" s="70"/>
      <c r="E41" s="70"/>
      <c r="F41" s="73" t="str">
        <f aca="false">IF(A41="","",C41*D41/10000)</f>
        <v/>
      </c>
      <c r="G41" s="73" t="str">
        <f aca="false">IF(A41="","",C41*D41*E41/1000000)</f>
        <v/>
      </c>
      <c r="H41" s="62"/>
      <c r="I41" s="62"/>
      <c r="J41" s="62"/>
      <c r="K41" s="69" t="str">
        <f aca="false">IF(OR(A41="",N(H41)&lt;=0,N(I41)&lt;=0),"",MAX(INT(INDEX(Parameter!$F$5:$F$7,Parameter!$M$22)/H41)*INT(INDEX(Parameter!$G$5:$G$7,Parameter!$M$22)/I41),INT(INDEX(Parameter!$F$5:$F$7,Parameter!$M$22)/I41)*INT(INDEX(Parameter!$G$5:$G$7,Parameter!$M$22)/H41))*MAX(1,N(J41)))</f>
        <v/>
      </c>
      <c r="L41" s="62"/>
      <c r="M41" s="66" t="str">
        <f aca="false">IF(A41="","",IF(N(L41)&gt;0,L41,N(K41)))</f>
        <v/>
      </c>
      <c r="N41" s="62"/>
    </row>
    <row r="42" customFormat="false" ht="15" hidden="false" customHeight="false" outlineLevel="0" collapsed="false">
      <c r="A42" s="61"/>
      <c r="B42" s="61"/>
      <c r="C42" s="70"/>
      <c r="D42" s="70"/>
      <c r="E42" s="70"/>
      <c r="F42" s="73" t="str">
        <f aca="false">IF(A42="","",C42*D42/10000)</f>
        <v/>
      </c>
      <c r="G42" s="73" t="str">
        <f aca="false">IF(A42="","",C42*D42*E42/1000000)</f>
        <v/>
      </c>
      <c r="H42" s="62"/>
      <c r="I42" s="62"/>
      <c r="J42" s="62"/>
      <c r="K42" s="69" t="str">
        <f aca="false">IF(OR(A42="",N(H42)&lt;=0,N(I42)&lt;=0),"",MAX(INT(INDEX(Parameter!$F$5:$F$7,Parameter!$M$22)/H42)*INT(INDEX(Parameter!$G$5:$G$7,Parameter!$M$22)/I42),INT(INDEX(Parameter!$F$5:$F$7,Parameter!$M$22)/I42)*INT(INDEX(Parameter!$G$5:$G$7,Parameter!$M$22)/H42))*MAX(1,N(J42)))</f>
        <v/>
      </c>
      <c r="L42" s="62"/>
      <c r="M42" s="66" t="str">
        <f aca="false">IF(A42="","",IF(N(L42)&gt;0,L42,N(K42)))</f>
        <v/>
      </c>
      <c r="N42" s="62"/>
    </row>
    <row r="43" customFormat="false" ht="15" hidden="false" customHeight="false" outlineLevel="0" collapsed="false">
      <c r="A43" s="61"/>
      <c r="B43" s="61"/>
      <c r="C43" s="70"/>
      <c r="D43" s="70"/>
      <c r="E43" s="70"/>
      <c r="F43" s="73" t="str">
        <f aca="false">IF(A43="","",C43*D43/10000)</f>
        <v/>
      </c>
      <c r="G43" s="73" t="str">
        <f aca="false">IF(A43="","",C43*D43*E43/1000000)</f>
        <v/>
      </c>
      <c r="H43" s="62"/>
      <c r="I43" s="62"/>
      <c r="J43" s="62"/>
      <c r="K43" s="69" t="str">
        <f aca="false">IF(OR(A43="",N(H43)&lt;=0,N(I43)&lt;=0),"",MAX(INT(INDEX(Parameter!$F$5:$F$7,Parameter!$M$22)/H43)*INT(INDEX(Parameter!$G$5:$G$7,Parameter!$M$22)/I43),INT(INDEX(Parameter!$F$5:$F$7,Parameter!$M$22)/I43)*INT(INDEX(Parameter!$G$5:$G$7,Parameter!$M$22)/H43))*MAX(1,N(J43)))</f>
        <v/>
      </c>
      <c r="L43" s="62"/>
      <c r="M43" s="66" t="str">
        <f aca="false">IF(A43="","",IF(N(L43)&gt;0,L43,N(K43)))</f>
        <v/>
      </c>
      <c r="N43" s="62"/>
    </row>
    <row r="44" customFormat="false" ht="15" hidden="false" customHeight="false" outlineLevel="0" collapsed="false">
      <c r="A44" s="61"/>
      <c r="B44" s="61"/>
      <c r="C44" s="70"/>
      <c r="D44" s="70"/>
      <c r="E44" s="70"/>
      <c r="F44" s="73" t="str">
        <f aca="false">IF(A44="","",C44*D44/10000)</f>
        <v/>
      </c>
      <c r="G44" s="73" t="str">
        <f aca="false">IF(A44="","",C44*D44*E44/1000000)</f>
        <v/>
      </c>
      <c r="H44" s="62"/>
      <c r="I44" s="62"/>
      <c r="J44" s="62"/>
      <c r="K44" s="69" t="str">
        <f aca="false">IF(OR(A44="",N(H44)&lt;=0,N(I44)&lt;=0),"",MAX(INT(INDEX(Parameter!$F$5:$F$7,Parameter!$M$22)/H44)*INT(INDEX(Parameter!$G$5:$G$7,Parameter!$M$22)/I44),INT(INDEX(Parameter!$F$5:$F$7,Parameter!$M$22)/I44)*INT(INDEX(Parameter!$G$5:$G$7,Parameter!$M$22)/H44))*MAX(1,N(J44)))</f>
        <v/>
      </c>
      <c r="L44" s="62"/>
      <c r="M44" s="66" t="str">
        <f aca="false">IF(A44="","",IF(N(L44)&gt;0,L44,N(K44)))</f>
        <v/>
      </c>
      <c r="N44" s="62"/>
    </row>
    <row r="45" customFormat="false" ht="15" hidden="false" customHeight="false" outlineLevel="0" collapsed="false">
      <c r="A45" s="61"/>
      <c r="B45" s="61"/>
      <c r="C45" s="70"/>
      <c r="D45" s="70"/>
      <c r="E45" s="70"/>
      <c r="F45" s="73" t="str">
        <f aca="false">IF(A45="","",C45*D45/10000)</f>
        <v/>
      </c>
      <c r="G45" s="73" t="str">
        <f aca="false">IF(A45="","",C45*D45*E45/1000000)</f>
        <v/>
      </c>
      <c r="H45" s="62"/>
      <c r="I45" s="62"/>
      <c r="J45" s="62"/>
      <c r="K45" s="69" t="str">
        <f aca="false">IF(OR(A45="",N(H45)&lt;=0,N(I45)&lt;=0),"",MAX(INT(INDEX(Parameter!$F$5:$F$7,Parameter!$M$22)/H45)*INT(INDEX(Parameter!$G$5:$G$7,Parameter!$M$22)/I45),INT(INDEX(Parameter!$F$5:$F$7,Parameter!$M$22)/I45)*INT(INDEX(Parameter!$G$5:$G$7,Parameter!$M$22)/H45))*MAX(1,N(J45)))</f>
        <v/>
      </c>
      <c r="L45" s="62"/>
      <c r="M45" s="66" t="str">
        <f aca="false">IF(A45="","",IF(N(L45)&gt;0,L45,N(K45)))</f>
        <v/>
      </c>
      <c r="N45" s="6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0"/>
    <col collapsed="false" customWidth="true" hidden="false" outlineLevel="0" max="3" min="3" style="0" width="30"/>
    <col collapsed="false" customWidth="true" hidden="false" outlineLevel="0" max="4" min="4" style="0" width="11"/>
    <col collapsed="false" customWidth="true" hidden="false" outlineLevel="0" max="5" min="5" style="0" width="10"/>
    <col collapsed="false" customWidth="true" hidden="false" outlineLevel="0" max="9" min="6" style="0" width="12"/>
  </cols>
  <sheetData>
    <row r="1" customFormat="false" ht="17.35" hidden="false" customHeight="false" outlineLevel="0" collapsed="false">
      <c r="A1" s="29" t="s">
        <v>3149</v>
      </c>
    </row>
    <row r="2" customFormat="false" ht="15" hidden="false" customHeight="false" outlineLevel="0" collapsed="false">
      <c r="A2" s="30" t="s">
        <v>3150</v>
      </c>
    </row>
    <row r="4" customFormat="false" ht="30" hidden="false" customHeight="true" outlineLevel="0" collapsed="false">
      <c r="A4" s="46" t="s">
        <v>3024</v>
      </c>
      <c r="B4" s="46" t="s">
        <v>3151</v>
      </c>
      <c r="C4" s="46" t="s">
        <v>78</v>
      </c>
      <c r="D4" s="46" t="s">
        <v>3152</v>
      </c>
      <c r="E4" s="46" t="s">
        <v>3153</v>
      </c>
      <c r="F4" s="46" t="s">
        <v>3154</v>
      </c>
      <c r="G4" s="46" t="s">
        <v>3155</v>
      </c>
      <c r="H4" s="46" t="s">
        <v>3156</v>
      </c>
      <c r="I4" s="46" t="s">
        <v>3157</v>
      </c>
    </row>
    <row r="5" customFormat="false" ht="15" hidden="false" customHeight="false" outlineLevel="0" collapsed="false">
      <c r="A5" s="10" t="n">
        <v>1</v>
      </c>
      <c r="B5" s="10" t="s">
        <v>517</v>
      </c>
      <c r="C5" s="10" t="s">
        <v>518</v>
      </c>
      <c r="D5" s="10" t="n">
        <v>4</v>
      </c>
      <c r="E5" s="10" t="n">
        <v>2</v>
      </c>
      <c r="F5" s="10" t="s">
        <v>177</v>
      </c>
      <c r="G5" s="10" t="n">
        <v>0</v>
      </c>
      <c r="H5" s="10" t="n">
        <v>3</v>
      </c>
      <c r="I5" s="64" t="n">
        <f aca="false">SUMIFS(Artikel!$CL$7:$CL$1843,Artikel!$A$7:$A$1843,B5)</f>
        <v>0.32015065913371</v>
      </c>
    </row>
    <row r="6" customFormat="false" ht="15" hidden="false" customHeight="false" outlineLevel="0" collapsed="false">
      <c r="A6" s="10" t="n">
        <v>1</v>
      </c>
      <c r="B6" s="10" t="s">
        <v>1016</v>
      </c>
      <c r="C6" s="10" t="s">
        <v>1017</v>
      </c>
      <c r="D6" s="10" t="n">
        <v>2</v>
      </c>
      <c r="E6" s="10" t="n">
        <v>0</v>
      </c>
      <c r="F6" s="10" t="s">
        <v>177</v>
      </c>
      <c r="G6" s="10" t="n">
        <v>0</v>
      </c>
      <c r="H6" s="10" t="n">
        <v>2</v>
      </c>
      <c r="I6" s="64" t="n">
        <f aca="false">SUMIFS(Artikel!$CL$7:$CL$1843,Artikel!$A$7:$A$1843,B6)</f>
        <v>0.160075329566855</v>
      </c>
    </row>
    <row r="7" customFormat="false" ht="15" hidden="false" customHeight="false" outlineLevel="0" collapsed="false">
      <c r="A7" s="10" t="n">
        <v>1</v>
      </c>
      <c r="B7" s="10" t="s">
        <v>2395</v>
      </c>
      <c r="C7" s="10" t="s">
        <v>2396</v>
      </c>
      <c r="D7" s="10" t="n">
        <v>3</v>
      </c>
      <c r="E7" s="10" t="n">
        <v>1</v>
      </c>
      <c r="F7" s="10" t="s">
        <v>177</v>
      </c>
      <c r="G7" s="10" t="n">
        <v>-1</v>
      </c>
      <c r="H7" s="10" t="n">
        <v>1</v>
      </c>
      <c r="I7" s="64" t="n">
        <f aca="false">SUMIFS(Artikel!$CL$7:$CL$1843,Artikel!$A$7:$A$1843,B7)</f>
        <v>0.240112994350283</v>
      </c>
    </row>
    <row r="8" customFormat="false" ht="15" hidden="false" customHeight="false" outlineLevel="0" collapsed="false">
      <c r="A8" s="10" t="n">
        <v>1</v>
      </c>
      <c r="B8" s="10" t="s">
        <v>2761</v>
      </c>
      <c r="C8" s="10" t="s">
        <v>371</v>
      </c>
      <c r="D8" s="10" t="n">
        <v>2</v>
      </c>
      <c r="E8" s="10" t="n">
        <v>2</v>
      </c>
      <c r="F8" s="10" t="s">
        <v>3158</v>
      </c>
      <c r="G8" s="10"/>
      <c r="H8" s="10"/>
      <c r="I8" s="64" t="n">
        <f aca="false">SUMIFS(Artikel!$CL$7:$CL$1843,Artikel!$A$7:$A$1843,B8)</f>
        <v>0.160075329566855</v>
      </c>
    </row>
    <row r="9" customFormat="false" ht="15" hidden="false" customHeight="false" outlineLevel="0" collapsed="false">
      <c r="A9" s="10" t="n">
        <v>1</v>
      </c>
      <c r="B9" s="10" t="s">
        <v>473</v>
      </c>
      <c r="C9" s="10" t="s">
        <v>3159</v>
      </c>
      <c r="D9" s="10" t="n">
        <v>2</v>
      </c>
      <c r="E9" s="10" t="n">
        <v>1</v>
      </c>
      <c r="F9" s="10" t="s">
        <v>169</v>
      </c>
      <c r="G9" s="10" t="n">
        <v>0</v>
      </c>
      <c r="H9" s="10" t="n">
        <v>1</v>
      </c>
      <c r="I9" s="64" t="n">
        <f aca="false">SUMIFS(Artikel!$CL$7:$CL$1843,Artikel!$A$7:$A$1843,B9)</f>
        <v>0.160075329566855</v>
      </c>
    </row>
    <row r="10" customFormat="false" ht="15" hidden="false" customHeight="false" outlineLevel="0" collapsed="false">
      <c r="A10" s="10" t="n">
        <v>1</v>
      </c>
      <c r="B10" s="10" t="s">
        <v>370</v>
      </c>
      <c r="C10" s="10" t="s">
        <v>371</v>
      </c>
      <c r="D10" s="10" t="n">
        <v>20</v>
      </c>
      <c r="E10" s="10" t="n">
        <v>10</v>
      </c>
      <c r="F10" s="10" t="s">
        <v>177</v>
      </c>
      <c r="G10" s="10" t="n">
        <v>10</v>
      </c>
      <c r="H10" s="10" t="n">
        <v>20</v>
      </c>
      <c r="I10" s="64" t="n">
        <f aca="false">SUMIFS(Artikel!$CL$7:$CL$1843,Artikel!$A$7:$A$1843,B10)</f>
        <v>1.60075329566855</v>
      </c>
    </row>
    <row r="11" customFormat="false" ht="15" hidden="false" customHeight="false" outlineLevel="0" collapsed="false">
      <c r="A11" s="10" t="n">
        <v>1</v>
      </c>
      <c r="B11" s="10" t="s">
        <v>2564</v>
      </c>
      <c r="C11" s="10" t="s">
        <v>3160</v>
      </c>
      <c r="D11" s="10" t="n">
        <v>11</v>
      </c>
      <c r="E11" s="10" t="n">
        <v>8</v>
      </c>
      <c r="F11" s="10" t="s">
        <v>169</v>
      </c>
      <c r="G11" s="10" t="n">
        <v>-4</v>
      </c>
      <c r="H11" s="10" t="n">
        <v>-4</v>
      </c>
      <c r="I11" s="64" t="n">
        <f aca="false">SUMIFS(Artikel!$CL$7:$CL$1843,Artikel!$A$7:$A$1843,B11)</f>
        <v>0.880414312617702</v>
      </c>
    </row>
    <row r="12" customFormat="false" ht="15" hidden="false" customHeight="false" outlineLevel="0" collapsed="false">
      <c r="A12" s="10" t="n">
        <v>1</v>
      </c>
      <c r="B12" s="10" t="s">
        <v>194</v>
      </c>
      <c r="C12" s="10" t="s">
        <v>3160</v>
      </c>
      <c r="D12" s="10" t="n">
        <v>20</v>
      </c>
      <c r="E12" s="10" t="n">
        <v>5</v>
      </c>
      <c r="F12" s="10" t="s">
        <v>169</v>
      </c>
      <c r="G12" s="10" t="n">
        <v>12</v>
      </c>
      <c r="H12" s="10" t="n">
        <v>15</v>
      </c>
      <c r="I12" s="64" t="n">
        <f aca="false">SUMIFS(Artikel!$CL$7:$CL$1843,Artikel!$A$7:$A$1843,B12)</f>
        <v>1.60075329566855</v>
      </c>
    </row>
    <row r="13" customFormat="false" ht="15" hidden="false" customHeight="false" outlineLevel="0" collapsed="false">
      <c r="A13" s="10" t="n">
        <v>1</v>
      </c>
      <c r="B13" s="10" t="s">
        <v>2427</v>
      </c>
      <c r="C13" s="10" t="s">
        <v>371</v>
      </c>
      <c r="D13" s="10" t="n">
        <v>2</v>
      </c>
      <c r="E13" s="10" t="n">
        <v>1</v>
      </c>
      <c r="F13" s="10" t="s">
        <v>169</v>
      </c>
      <c r="G13" s="10" t="n">
        <v>-2</v>
      </c>
      <c r="H13" s="10" t="n">
        <v>1</v>
      </c>
      <c r="I13" s="64" t="n">
        <f aca="false">SUMIFS(Artikel!$CL$7:$CL$1843,Artikel!$A$7:$A$1843,B13)</f>
        <v>0.160075329566855</v>
      </c>
    </row>
    <row r="14" customFormat="false" ht="15" hidden="false" customHeight="false" outlineLevel="0" collapsed="false">
      <c r="A14" s="10" t="n">
        <v>1</v>
      </c>
      <c r="B14" s="10" t="s">
        <v>2105</v>
      </c>
      <c r="C14" s="10" t="s">
        <v>3161</v>
      </c>
      <c r="D14" s="10" t="n">
        <v>14</v>
      </c>
      <c r="E14" s="10" t="n">
        <v>5</v>
      </c>
      <c r="F14" s="10" t="s">
        <v>177</v>
      </c>
      <c r="G14" s="10" t="n">
        <v>-2</v>
      </c>
      <c r="H14" s="10" t="n">
        <v>7</v>
      </c>
      <c r="I14" s="64" t="n">
        <f aca="false">SUMIFS(Artikel!$CL$7:$CL$1843,Artikel!$A$7:$A$1843,B14)</f>
        <v>1.12052730696798</v>
      </c>
    </row>
    <row r="15" customFormat="false" ht="15" hidden="false" customHeight="false" outlineLevel="0" collapsed="false">
      <c r="A15" s="10" t="n">
        <v>1</v>
      </c>
      <c r="B15" s="10" t="s">
        <v>166</v>
      </c>
      <c r="C15" s="10" t="s">
        <v>3160</v>
      </c>
      <c r="D15" s="10" t="n">
        <v>22</v>
      </c>
      <c r="E15" s="10" t="n">
        <v>18</v>
      </c>
      <c r="F15" s="10" t="s">
        <v>169</v>
      </c>
      <c r="G15" s="10" t="n">
        <v>20</v>
      </c>
      <c r="H15" s="10" t="n">
        <v>27</v>
      </c>
      <c r="I15" s="64" t="n">
        <f aca="false">SUMIFS(Artikel!$CL$7:$CL$1843,Artikel!$A$7:$A$1843,B15)</f>
        <v>1.7608286252354</v>
      </c>
    </row>
    <row r="16" customFormat="false" ht="15" hidden="false" customHeight="false" outlineLevel="0" collapsed="false">
      <c r="A16" s="10" t="n">
        <v>1</v>
      </c>
      <c r="B16" s="10" t="s">
        <v>2174</v>
      </c>
      <c r="C16" s="10" t="s">
        <v>301</v>
      </c>
      <c r="D16" s="10" t="n">
        <v>35</v>
      </c>
      <c r="E16" s="10" t="n">
        <v>16</v>
      </c>
      <c r="F16" s="10" t="s">
        <v>169</v>
      </c>
      <c r="G16" s="10" t="n">
        <v>-3</v>
      </c>
      <c r="H16" s="10" t="n">
        <v>18</v>
      </c>
      <c r="I16" s="64" t="n">
        <f aca="false">SUMIFS(Artikel!$CL$7:$CL$1843,Artikel!$A$7:$A$1843,B16)</f>
        <v>2.80131826741996</v>
      </c>
    </row>
    <row r="17" customFormat="false" ht="15" hidden="false" customHeight="false" outlineLevel="0" collapsed="false">
      <c r="A17" s="10" t="n">
        <v>1</v>
      </c>
      <c r="B17" s="10" t="s">
        <v>2513</v>
      </c>
      <c r="C17" s="10" t="s">
        <v>3160</v>
      </c>
      <c r="D17" s="10" t="n">
        <v>3</v>
      </c>
      <c r="E17" s="10" t="n">
        <v>1</v>
      </c>
      <c r="F17" s="10" t="s">
        <v>169</v>
      </c>
      <c r="G17" s="10" t="n">
        <v>-3</v>
      </c>
      <c r="H17" s="10" t="n">
        <v>1</v>
      </c>
      <c r="I17" s="64" t="n">
        <f aca="false">SUMIFS(Artikel!$CL$7:$CL$1843,Artikel!$A$7:$A$1843,B17)</f>
        <v>0.240112994350283</v>
      </c>
    </row>
    <row r="18" customFormat="false" ht="15" hidden="false" customHeight="false" outlineLevel="0" collapsed="false">
      <c r="A18" s="10" t="n">
        <v>1</v>
      </c>
      <c r="B18" s="10" t="s">
        <v>681</v>
      </c>
      <c r="C18" s="10" t="s">
        <v>371</v>
      </c>
      <c r="D18" s="10" t="n">
        <v>1</v>
      </c>
      <c r="E18" s="10" t="n">
        <v>1</v>
      </c>
      <c r="F18" s="10" t="s">
        <v>177</v>
      </c>
      <c r="G18" s="10" t="n">
        <v>1</v>
      </c>
      <c r="H18" s="10" t="n">
        <v>1</v>
      </c>
      <c r="I18" s="64" t="n">
        <f aca="false">SUMIFS(Artikel!$CL$7:$CL$1843,Artikel!$A$7:$A$1843,B18)</f>
        <v>0.0800376647834275</v>
      </c>
    </row>
    <row r="19" customFormat="false" ht="15" hidden="false" customHeight="false" outlineLevel="0" collapsed="false">
      <c r="A19" s="10" t="n">
        <v>1</v>
      </c>
      <c r="B19" s="10" t="s">
        <v>2383</v>
      </c>
      <c r="C19" s="10" t="s">
        <v>3162</v>
      </c>
      <c r="D19" s="10" t="n">
        <v>18</v>
      </c>
      <c r="E19" s="10" t="n">
        <v>11</v>
      </c>
      <c r="F19" s="10" t="s">
        <v>177</v>
      </c>
      <c r="G19" s="10" t="n">
        <v>-8</v>
      </c>
      <c r="H19" s="10" t="n">
        <v>11</v>
      </c>
      <c r="I19" s="64" t="n">
        <f aca="false">SUMIFS(Artikel!$CL$7:$CL$1843,Artikel!$A$7:$A$1843,B19)</f>
        <v>1.44067796610169</v>
      </c>
    </row>
    <row r="20" customFormat="false" ht="15" hidden="false" customHeight="false" outlineLevel="0" collapsed="false">
      <c r="A20" s="10" t="n">
        <v>1</v>
      </c>
      <c r="B20" s="10" t="s">
        <v>2842</v>
      </c>
      <c r="C20" s="10" t="s">
        <v>3163</v>
      </c>
      <c r="D20" s="10" t="n">
        <v>1</v>
      </c>
      <c r="E20" s="10" t="n">
        <v>1</v>
      </c>
      <c r="F20" s="10" t="s">
        <v>3158</v>
      </c>
      <c r="G20" s="10"/>
      <c r="H20" s="10"/>
      <c r="I20" s="64" t="n">
        <f aca="false">SUMIFS(Artikel!$CL$7:$CL$1843,Artikel!$A$7:$A$1843,B20)</f>
        <v>0.0800376647834275</v>
      </c>
    </row>
    <row r="21" customFormat="false" ht="15" hidden="false" customHeight="false" outlineLevel="0" collapsed="false">
      <c r="A21" s="10" t="n">
        <v>1</v>
      </c>
      <c r="B21" s="10" t="s">
        <v>256</v>
      </c>
      <c r="C21" s="10" t="s">
        <v>257</v>
      </c>
      <c r="D21" s="10" t="n">
        <v>34</v>
      </c>
      <c r="E21" s="10" t="n">
        <v>19</v>
      </c>
      <c r="F21" s="10" t="s">
        <v>169</v>
      </c>
      <c r="G21" s="10" t="n">
        <v>7</v>
      </c>
      <c r="H21" s="10" t="n">
        <v>25</v>
      </c>
      <c r="I21" s="64" t="n">
        <f aca="false">SUMIFS(Artikel!$CL$7:$CL$1843,Artikel!$A$7:$A$1843,B21)</f>
        <v>2.72128060263654</v>
      </c>
    </row>
    <row r="22" customFormat="false" ht="15" hidden="false" customHeight="false" outlineLevel="0" collapsed="false">
      <c r="A22" s="10" t="n">
        <v>1</v>
      </c>
      <c r="B22" s="10" t="s">
        <v>2501</v>
      </c>
      <c r="C22" s="10" t="s">
        <v>257</v>
      </c>
      <c r="D22" s="10" t="n">
        <v>10</v>
      </c>
      <c r="E22" s="10" t="n">
        <v>7</v>
      </c>
      <c r="F22" s="10" t="s">
        <v>177</v>
      </c>
      <c r="G22" s="10" t="n">
        <v>-5</v>
      </c>
      <c r="H22" s="10" t="n">
        <v>7</v>
      </c>
      <c r="I22" s="64" t="n">
        <f aca="false">SUMIFS(Artikel!$CL$7:$CL$1843,Artikel!$A$7:$A$1843,B22)</f>
        <v>0.800376647834275</v>
      </c>
    </row>
    <row r="23" customFormat="false" ht="15" hidden="false" customHeight="false" outlineLevel="0" collapsed="false">
      <c r="A23" s="10" t="n">
        <v>1</v>
      </c>
      <c r="B23" s="10" t="s">
        <v>2375</v>
      </c>
      <c r="C23" s="10" t="s">
        <v>2376</v>
      </c>
      <c r="D23" s="10" t="n">
        <v>15</v>
      </c>
      <c r="E23" s="10" t="n">
        <v>7</v>
      </c>
      <c r="F23" s="10" t="s">
        <v>169</v>
      </c>
      <c r="G23" s="10" t="n">
        <v>0</v>
      </c>
      <c r="H23" s="10" t="n">
        <v>31</v>
      </c>
      <c r="I23" s="64" t="n">
        <f aca="false">SUMIFS(Artikel!$CL$7:$CL$1843,Artikel!$A$7:$A$1843,B23)</f>
        <v>1.20056497175141</v>
      </c>
    </row>
    <row r="24" customFormat="false" ht="15" hidden="false" customHeight="false" outlineLevel="0" collapsed="false">
      <c r="A24" s="10" t="n">
        <v>1</v>
      </c>
      <c r="B24" s="10" t="s">
        <v>213</v>
      </c>
      <c r="C24" s="10" t="s">
        <v>214</v>
      </c>
      <c r="D24" s="10" t="n">
        <v>22</v>
      </c>
      <c r="E24" s="10" t="n">
        <v>16</v>
      </c>
      <c r="F24" s="10" t="s">
        <v>169</v>
      </c>
      <c r="G24" s="10" t="n">
        <v>7</v>
      </c>
      <c r="H24" s="10" t="n">
        <v>10</v>
      </c>
      <c r="I24" s="64" t="n">
        <f aca="false">SUMIFS(Artikel!$CL$7:$CL$1843,Artikel!$A$7:$A$1843,B24)</f>
        <v>1.7608286252354</v>
      </c>
    </row>
    <row r="25" customFormat="false" ht="15" hidden="false" customHeight="false" outlineLevel="0" collapsed="false">
      <c r="A25" s="10" t="n">
        <v>1</v>
      </c>
      <c r="B25" s="10" t="s">
        <v>223</v>
      </c>
      <c r="C25" s="10" t="s">
        <v>224</v>
      </c>
      <c r="D25" s="10" t="n">
        <v>12</v>
      </c>
      <c r="E25" s="10" t="n">
        <v>9</v>
      </c>
      <c r="F25" s="10" t="s">
        <v>169</v>
      </c>
      <c r="G25" s="10" t="n">
        <v>5</v>
      </c>
      <c r="H25" s="10" t="n">
        <v>5</v>
      </c>
      <c r="I25" s="64" t="n">
        <f aca="false">SUMIFS(Artikel!$CL$7:$CL$1843,Artikel!$A$7:$A$1843,B25)</f>
        <v>0.96045197740113</v>
      </c>
    </row>
    <row r="26" customFormat="false" ht="15" hidden="false" customHeight="false" outlineLevel="0" collapsed="false">
      <c r="A26" s="10" t="n">
        <v>1</v>
      </c>
      <c r="B26" s="10" t="s">
        <v>244</v>
      </c>
      <c r="C26" s="10" t="s">
        <v>245</v>
      </c>
      <c r="D26" s="10" t="n">
        <v>10</v>
      </c>
      <c r="E26" s="10" t="n">
        <v>8</v>
      </c>
      <c r="F26" s="10" t="s">
        <v>169</v>
      </c>
      <c r="G26" s="10" t="n">
        <v>3</v>
      </c>
      <c r="H26" s="10" t="n">
        <v>10</v>
      </c>
      <c r="I26" s="64" t="n">
        <f aca="false">SUMIFS(Artikel!$CL$7:$CL$1843,Artikel!$A$7:$A$1843,B26)</f>
        <v>0.800376647834275</v>
      </c>
    </row>
    <row r="27" customFormat="false" ht="15" hidden="false" customHeight="false" outlineLevel="0" collapsed="false">
      <c r="A27" s="10" t="n">
        <v>1</v>
      </c>
      <c r="B27" s="10" t="s">
        <v>2862</v>
      </c>
      <c r="C27" s="10" t="s">
        <v>2388</v>
      </c>
      <c r="D27" s="10" t="n">
        <v>4</v>
      </c>
      <c r="E27" s="10" t="n">
        <v>3</v>
      </c>
      <c r="F27" s="10" t="s">
        <v>3158</v>
      </c>
      <c r="G27" s="10"/>
      <c r="H27" s="10"/>
      <c r="I27" s="64" t="n">
        <f aca="false">SUMIFS(Artikel!$CL$7:$CL$1843,Artikel!$A$7:$A$1843,B27)</f>
        <v>0.32015065913371</v>
      </c>
    </row>
    <row r="28" customFormat="false" ht="15" hidden="false" customHeight="false" outlineLevel="0" collapsed="false">
      <c r="A28" s="10" t="n">
        <v>1</v>
      </c>
      <c r="B28" s="10" t="s">
        <v>652</v>
      </c>
      <c r="C28" s="10" t="s">
        <v>301</v>
      </c>
      <c r="D28" s="10" t="n">
        <v>16</v>
      </c>
      <c r="E28" s="10" t="n">
        <v>9</v>
      </c>
      <c r="F28" s="10" t="s">
        <v>169</v>
      </c>
      <c r="G28" s="10" t="n">
        <v>3</v>
      </c>
      <c r="H28" s="10" t="n">
        <v>9</v>
      </c>
      <c r="I28" s="64" t="n">
        <f aca="false">SUMIFS(Artikel!$CL$7:$CL$1843,Artikel!$A$7:$A$1843,B28)</f>
        <v>1.28060263653484</v>
      </c>
    </row>
    <row r="29" customFormat="false" ht="15" hidden="false" customHeight="false" outlineLevel="0" collapsed="false">
      <c r="A29" s="10" t="n">
        <v>1</v>
      </c>
      <c r="B29" s="10" t="s">
        <v>300</v>
      </c>
      <c r="C29" s="10" t="s">
        <v>301</v>
      </c>
      <c r="D29" s="10" t="n">
        <v>36</v>
      </c>
      <c r="E29" s="10" t="n">
        <v>34</v>
      </c>
      <c r="F29" s="10" t="s">
        <v>169</v>
      </c>
      <c r="G29" s="10" t="n">
        <v>29</v>
      </c>
      <c r="H29" s="10" t="n">
        <v>34</v>
      </c>
      <c r="I29" s="64" t="n">
        <f aca="false">SUMIFS(Artikel!$CL$7:$CL$1843,Artikel!$A$7:$A$1843,B29)</f>
        <v>2.88135593220339</v>
      </c>
    </row>
    <row r="30" customFormat="false" ht="15" hidden="false" customHeight="false" outlineLevel="0" collapsed="false">
      <c r="A30" s="10" t="n">
        <v>1</v>
      </c>
      <c r="B30" s="10" t="s">
        <v>2342</v>
      </c>
      <c r="C30" s="10" t="s">
        <v>257</v>
      </c>
      <c r="D30" s="10" t="n">
        <v>1</v>
      </c>
      <c r="E30" s="10" t="n">
        <v>1</v>
      </c>
      <c r="F30" s="10" t="s">
        <v>177</v>
      </c>
      <c r="G30" s="10" t="n">
        <v>-1</v>
      </c>
      <c r="H30" s="10" t="n">
        <v>1</v>
      </c>
      <c r="I30" s="64" t="n">
        <f aca="false">SUMIFS(Artikel!$CL$7:$CL$1843,Artikel!$A$7:$A$1843,B30)</f>
        <v>0.0800376647834275</v>
      </c>
    </row>
    <row r="31" customFormat="false" ht="15" hidden="false" customHeight="false" outlineLevel="0" collapsed="false">
      <c r="A31" s="10" t="n">
        <v>1</v>
      </c>
      <c r="B31" s="10" t="s">
        <v>2873</v>
      </c>
      <c r="C31" s="10" t="s">
        <v>371</v>
      </c>
      <c r="D31" s="10" t="n">
        <v>1</v>
      </c>
      <c r="E31" s="10" t="n">
        <v>1</v>
      </c>
      <c r="F31" s="10" t="s">
        <v>3158</v>
      </c>
      <c r="G31" s="10"/>
      <c r="H31" s="10"/>
      <c r="I31" s="64" t="n">
        <f aca="false">SUMIFS(Artikel!$CL$7:$CL$1843,Artikel!$A$7:$A$1843,B31)</f>
        <v>0.0800376647834275</v>
      </c>
    </row>
    <row r="32" customFormat="false" ht="15" hidden="false" customHeight="false" outlineLevel="0" collapsed="false">
      <c r="A32" s="10" t="n">
        <v>1</v>
      </c>
      <c r="B32" s="10" t="s">
        <v>655</v>
      </c>
      <c r="C32" s="10" t="s">
        <v>371</v>
      </c>
      <c r="D32" s="10" t="n">
        <v>1</v>
      </c>
      <c r="E32" s="10" t="n">
        <v>1</v>
      </c>
      <c r="F32" s="10" t="s">
        <v>177</v>
      </c>
      <c r="G32" s="10" t="n">
        <v>1</v>
      </c>
      <c r="H32" s="10" t="n">
        <v>1</v>
      </c>
      <c r="I32" s="64" t="n">
        <f aca="false">SUMIFS(Artikel!$CL$7:$CL$1843,Artikel!$A$7:$A$1843,B32)</f>
        <v>0.0800376647834275</v>
      </c>
    </row>
    <row r="33" customFormat="false" ht="15" hidden="false" customHeight="false" outlineLevel="0" collapsed="false">
      <c r="A33" s="10" t="n">
        <v>1</v>
      </c>
      <c r="B33" s="10" t="s">
        <v>2874</v>
      </c>
      <c r="C33" s="10" t="s">
        <v>371</v>
      </c>
      <c r="D33" s="10" t="n">
        <v>1</v>
      </c>
      <c r="E33" s="10" t="n">
        <v>1</v>
      </c>
      <c r="F33" s="10" t="s">
        <v>3158</v>
      </c>
      <c r="G33" s="10"/>
      <c r="H33" s="10"/>
      <c r="I33" s="64" t="n">
        <f aca="false">SUMIFS(Artikel!$CL$7:$CL$1843,Artikel!$A$7:$A$1843,B33)</f>
        <v>0.0800376647834275</v>
      </c>
    </row>
    <row r="34" customFormat="false" ht="15" hidden="false" customHeight="false" outlineLevel="0" collapsed="false">
      <c r="A34" s="10" t="n">
        <v>1</v>
      </c>
      <c r="B34" s="10" t="s">
        <v>2387</v>
      </c>
      <c r="C34" s="10" t="s">
        <v>2388</v>
      </c>
      <c r="D34" s="10" t="n">
        <v>1</v>
      </c>
      <c r="E34" s="10" t="n">
        <v>0</v>
      </c>
      <c r="F34" s="10" t="s">
        <v>169</v>
      </c>
      <c r="G34" s="10" t="n">
        <v>-2</v>
      </c>
      <c r="H34" s="10" t="n">
        <v>0</v>
      </c>
      <c r="I34" s="64" t="n">
        <f aca="false">SUMIFS(Artikel!$CL$7:$CL$1843,Artikel!$A$7:$A$1843,B34)</f>
        <v>0.0800376647834275</v>
      </c>
    </row>
    <row r="35" customFormat="false" ht="15" hidden="false" customHeight="false" outlineLevel="0" collapsed="false">
      <c r="A35" s="10" t="n">
        <v>1</v>
      </c>
      <c r="B35" s="10" t="s">
        <v>2460</v>
      </c>
      <c r="C35" s="10" t="s">
        <v>257</v>
      </c>
      <c r="D35" s="10" t="n">
        <v>6</v>
      </c>
      <c r="E35" s="10" t="n">
        <v>0</v>
      </c>
      <c r="F35" s="10" t="s">
        <v>169</v>
      </c>
      <c r="G35" s="10" t="n">
        <v>-3</v>
      </c>
      <c r="H35" s="10" t="n">
        <v>0</v>
      </c>
      <c r="I35" s="64" t="n">
        <f aca="false">SUMIFS(Artikel!$CL$7:$CL$1843,Artikel!$A$7:$A$1843,B35)</f>
        <v>0.480225988700565</v>
      </c>
    </row>
    <row r="36" customFormat="false" ht="15" hidden="false" customHeight="false" outlineLevel="0" collapsed="false">
      <c r="A36" s="10" t="n">
        <v>1</v>
      </c>
      <c r="B36" s="10" t="s">
        <v>2560</v>
      </c>
      <c r="C36" s="10" t="s">
        <v>2388</v>
      </c>
      <c r="D36" s="10" t="n">
        <v>13</v>
      </c>
      <c r="E36" s="10" t="n">
        <v>10</v>
      </c>
      <c r="F36" s="10" t="s">
        <v>169</v>
      </c>
      <c r="G36" s="10" t="n">
        <v>-24</v>
      </c>
      <c r="H36" s="10" t="n">
        <v>-24</v>
      </c>
      <c r="I36" s="64" t="n">
        <f aca="false">SUMIFS(Artikel!$CL$7:$CL$1843,Artikel!$A$7:$A$1843,B36)</f>
        <v>1.04048964218456</v>
      </c>
    </row>
    <row r="37" customFormat="false" ht="15" hidden="false" customHeight="false" outlineLevel="0" collapsed="false">
      <c r="A37" s="10" t="n">
        <v>1</v>
      </c>
      <c r="B37" s="10" t="s">
        <v>2541</v>
      </c>
      <c r="C37" s="10" t="s">
        <v>2388</v>
      </c>
      <c r="D37" s="10" t="n">
        <v>13</v>
      </c>
      <c r="E37" s="10" t="n">
        <v>6</v>
      </c>
      <c r="F37" s="10" t="s">
        <v>169</v>
      </c>
      <c r="G37" s="10" t="n">
        <v>-3</v>
      </c>
      <c r="H37" s="10" t="n">
        <v>-3</v>
      </c>
      <c r="I37" s="64" t="n">
        <f aca="false">SUMIFS(Artikel!$CL$7:$CL$1843,Artikel!$A$7:$A$1843,B37)</f>
        <v>1.04048964218456</v>
      </c>
    </row>
    <row r="38" customFormat="false" ht="15" hidden="false" customHeight="false" outlineLevel="0" collapsed="false">
      <c r="A38" s="10" t="n">
        <v>1</v>
      </c>
      <c r="B38" s="10" t="s">
        <v>2401</v>
      </c>
      <c r="C38" s="10" t="s">
        <v>210</v>
      </c>
      <c r="D38" s="10" t="n">
        <v>1</v>
      </c>
      <c r="E38" s="10" t="n">
        <v>1</v>
      </c>
      <c r="F38" s="10" t="s">
        <v>177</v>
      </c>
      <c r="G38" s="10" t="n">
        <v>-1</v>
      </c>
      <c r="H38" s="10" t="n">
        <v>9</v>
      </c>
      <c r="I38" s="64" t="n">
        <f aca="false">SUMIFS(Artikel!$CL$7:$CL$1843,Artikel!$A$7:$A$1843,B38)</f>
        <v>0.0800376647834275</v>
      </c>
    </row>
    <row r="39" customFormat="false" ht="15" hidden="false" customHeight="false" outlineLevel="0" collapsed="false">
      <c r="A39" s="10" t="n">
        <v>1</v>
      </c>
      <c r="B39" s="10" t="s">
        <v>209</v>
      </c>
      <c r="C39" s="10" t="s">
        <v>210</v>
      </c>
      <c r="D39" s="10" t="n">
        <v>10</v>
      </c>
      <c r="E39" s="10" t="n">
        <v>0</v>
      </c>
      <c r="F39" s="10" t="s">
        <v>169</v>
      </c>
      <c r="G39" s="10" t="n">
        <v>5</v>
      </c>
      <c r="H39" s="10" t="n">
        <v>11</v>
      </c>
      <c r="I39" s="64" t="n">
        <f aca="false">SUMIFS(Artikel!$CL$7:$CL$1843,Artikel!$A$7:$A$1843,B39)</f>
        <v>0.800376647834275</v>
      </c>
    </row>
    <row r="40" customFormat="false" ht="15" hidden="false" customHeight="false" outlineLevel="0" collapsed="false">
      <c r="A40" s="10" t="n">
        <v>1</v>
      </c>
      <c r="B40" s="10" t="s">
        <v>2389</v>
      </c>
      <c r="C40" s="10" t="s">
        <v>2388</v>
      </c>
      <c r="D40" s="10" t="n">
        <v>10</v>
      </c>
      <c r="E40" s="10" t="n">
        <v>9</v>
      </c>
      <c r="F40" s="10" t="s">
        <v>169</v>
      </c>
      <c r="G40" s="10" t="n">
        <v>-1</v>
      </c>
      <c r="H40" s="10" t="n">
        <v>9</v>
      </c>
      <c r="I40" s="64" t="n">
        <f aca="false">SUMIFS(Artikel!$CL$7:$CL$1843,Artikel!$A$7:$A$1843,B40)</f>
        <v>0.800376647834275</v>
      </c>
    </row>
    <row r="41" customFormat="false" ht="15" hidden="false" customHeight="false" outlineLevel="0" collapsed="false">
      <c r="A41" s="10" t="n">
        <v>1</v>
      </c>
      <c r="B41" s="10" t="s">
        <v>2488</v>
      </c>
      <c r="C41" s="10" t="s">
        <v>2388</v>
      </c>
      <c r="D41" s="10" t="n">
        <v>6</v>
      </c>
      <c r="E41" s="10" t="n">
        <v>6</v>
      </c>
      <c r="F41" s="10" t="s">
        <v>169</v>
      </c>
      <c r="G41" s="10" t="n">
        <v>-2</v>
      </c>
      <c r="H41" s="10" t="n">
        <v>6</v>
      </c>
      <c r="I41" s="64" t="n">
        <f aca="false">SUMIFS(Artikel!$CL$7:$CL$1843,Artikel!$A$7:$A$1843,B41)</f>
        <v>0.480225988700565</v>
      </c>
    </row>
    <row r="42" customFormat="false" ht="15" hidden="false" customHeight="false" outlineLevel="0" collapsed="false">
      <c r="A42" s="10" t="n">
        <v>1</v>
      </c>
      <c r="B42" s="10" t="s">
        <v>3017</v>
      </c>
      <c r="C42" s="10" t="s">
        <v>371</v>
      </c>
      <c r="D42" s="10" t="n">
        <v>2</v>
      </c>
      <c r="E42" s="10" t="n">
        <v>2</v>
      </c>
      <c r="F42" s="10" t="s">
        <v>3158</v>
      </c>
      <c r="G42" s="10"/>
      <c r="H42" s="10"/>
      <c r="I42" s="64" t="n">
        <f aca="false">SUMIFS(Artikel!$CL$7:$CL$1843,Artikel!$A$7:$A$1843,B42)</f>
        <v>0.160075329566855</v>
      </c>
    </row>
    <row r="43" customFormat="false" ht="15" hidden="false" customHeight="false" outlineLevel="0" collapsed="false">
      <c r="A43" s="10" t="n">
        <v>1</v>
      </c>
      <c r="B43" s="10" t="s">
        <v>465</v>
      </c>
      <c r="C43" s="10" t="s">
        <v>3161</v>
      </c>
      <c r="D43" s="10" t="n">
        <v>8</v>
      </c>
      <c r="E43" s="10" t="n">
        <v>8</v>
      </c>
      <c r="F43" s="10" t="s">
        <v>169</v>
      </c>
      <c r="G43" s="10" t="n">
        <v>8</v>
      </c>
      <c r="H43" s="10" t="n">
        <v>8</v>
      </c>
      <c r="I43" s="64" t="n">
        <f aca="false">SUMIFS(Artikel!$CL$7:$CL$1843,Artikel!$A$7:$A$1843,B43)</f>
        <v>0.64030131826742</v>
      </c>
    </row>
    <row r="44" customFormat="false" ht="15" hidden="false" customHeight="false" outlineLevel="0" collapsed="false">
      <c r="A44" s="10" t="n">
        <v>1</v>
      </c>
      <c r="B44" s="10" t="s">
        <v>2550</v>
      </c>
      <c r="C44" s="10" t="s">
        <v>2551</v>
      </c>
      <c r="D44" s="10" t="n">
        <v>29</v>
      </c>
      <c r="E44" s="10" t="n">
        <v>9</v>
      </c>
      <c r="F44" s="10" t="s">
        <v>169</v>
      </c>
      <c r="G44" s="10" t="n">
        <v>-8</v>
      </c>
      <c r="H44" s="10" t="n">
        <v>-8</v>
      </c>
      <c r="I44" s="64" t="n">
        <f aca="false">SUMIFS(Artikel!$CL$7:$CL$1843,Artikel!$A$7:$A$1843,B44)</f>
        <v>2.3210922787194</v>
      </c>
    </row>
    <row r="45" customFormat="false" ht="15" hidden="false" customHeight="false" outlineLevel="0" collapsed="false">
      <c r="A45" s="10" t="n">
        <v>1</v>
      </c>
      <c r="B45" s="10" t="s">
        <v>2530</v>
      </c>
      <c r="C45" s="10" t="s">
        <v>2531</v>
      </c>
      <c r="D45" s="10" t="n">
        <v>20</v>
      </c>
      <c r="E45" s="10" t="n">
        <v>8</v>
      </c>
      <c r="F45" s="10" t="s">
        <v>169</v>
      </c>
      <c r="G45" s="10" t="n">
        <v>-6</v>
      </c>
      <c r="H45" s="10" t="n">
        <v>-6</v>
      </c>
      <c r="I45" s="64" t="n">
        <f aca="false">SUMIFS(Artikel!$CL$7:$CL$1843,Artikel!$A$7:$A$1843,B45)</f>
        <v>1.60075329566855</v>
      </c>
    </row>
    <row r="46" customFormat="false" ht="15" hidden="false" customHeight="false" outlineLevel="0" collapsed="false">
      <c r="A46" s="10" t="n">
        <v>1</v>
      </c>
      <c r="B46" s="10" t="s">
        <v>2218</v>
      </c>
      <c r="C46" s="10" t="s">
        <v>3161</v>
      </c>
      <c r="D46" s="10" t="n">
        <v>22</v>
      </c>
      <c r="E46" s="10" t="n">
        <v>8</v>
      </c>
      <c r="F46" s="10" t="s">
        <v>177</v>
      </c>
      <c r="G46" s="10" t="n">
        <v>-3</v>
      </c>
      <c r="H46" s="10" t="n">
        <v>12</v>
      </c>
      <c r="I46" s="64" t="n">
        <f aca="false">SUMIFS(Artikel!$CL$7:$CL$1843,Artikel!$A$7:$A$1843,B46)</f>
        <v>1.7608286252354</v>
      </c>
    </row>
    <row r="47" customFormat="false" ht="15" hidden="false" customHeight="false" outlineLevel="0" collapsed="false">
      <c r="A47" s="10" t="n">
        <v>1</v>
      </c>
      <c r="B47" s="10" t="s">
        <v>671</v>
      </c>
      <c r="C47" s="10" t="s">
        <v>3162</v>
      </c>
      <c r="D47" s="10" t="n">
        <v>22</v>
      </c>
      <c r="E47" s="10" t="n">
        <v>13</v>
      </c>
      <c r="F47" s="10" t="s">
        <v>169</v>
      </c>
      <c r="G47" s="10" t="n">
        <v>2</v>
      </c>
      <c r="H47" s="10" t="n">
        <v>13</v>
      </c>
      <c r="I47" s="64" t="n">
        <f aca="false">SUMIFS(Artikel!$CL$7:$CL$1843,Artikel!$A$7:$A$1843,B47)</f>
        <v>1.7608286252354</v>
      </c>
    </row>
    <row r="48" customFormat="false" ht="15" hidden="false" customHeight="false" outlineLevel="0" collapsed="false">
      <c r="A48" s="10" t="n">
        <v>1</v>
      </c>
      <c r="B48" s="10" t="s">
        <v>255</v>
      </c>
      <c r="C48" s="10" t="s">
        <v>210</v>
      </c>
      <c r="D48" s="10" t="n">
        <v>6</v>
      </c>
      <c r="E48" s="10" t="n">
        <v>5</v>
      </c>
      <c r="F48" s="10" t="s">
        <v>177</v>
      </c>
      <c r="G48" s="10" t="n">
        <v>3</v>
      </c>
      <c r="H48" s="10" t="n">
        <v>6</v>
      </c>
      <c r="I48" s="64" t="n">
        <f aca="false">SUMIFS(Artikel!$CL$7:$CL$1843,Artikel!$A$7:$A$1843,B48)</f>
        <v>0.480225988700565</v>
      </c>
    </row>
    <row r="49" customFormat="false" ht="15" hidden="false" customHeight="false" outlineLevel="0" collapsed="false">
      <c r="A49" s="10" t="n">
        <v>1</v>
      </c>
      <c r="B49" s="10" t="s">
        <v>2502</v>
      </c>
      <c r="C49" s="10" t="s">
        <v>2536</v>
      </c>
      <c r="D49" s="10" t="n">
        <v>11</v>
      </c>
      <c r="E49" s="10" t="n">
        <v>0</v>
      </c>
      <c r="F49" s="10" t="s">
        <v>169</v>
      </c>
      <c r="G49" s="10" t="n">
        <v>-4</v>
      </c>
      <c r="H49" s="10" t="n">
        <v>3</v>
      </c>
      <c r="I49" s="64" t="n">
        <f aca="false">SUMIFS(Artikel!$CL$7:$CL$1843,Artikel!$A$7:$A$1843,B49)</f>
        <v>0.880414312617702</v>
      </c>
    </row>
    <row r="50" customFormat="false" ht="15" hidden="false" customHeight="false" outlineLevel="0" collapsed="false">
      <c r="A50" s="10" t="n">
        <v>1</v>
      </c>
      <c r="B50" s="10" t="s">
        <v>292</v>
      </c>
      <c r="C50" s="10" t="s">
        <v>3164</v>
      </c>
      <c r="D50" s="10" t="n">
        <v>16</v>
      </c>
      <c r="E50" s="10" t="n">
        <v>3</v>
      </c>
      <c r="F50" s="10" t="s">
        <v>169</v>
      </c>
      <c r="G50" s="10" t="n">
        <v>5</v>
      </c>
      <c r="H50" s="10" t="n">
        <v>5</v>
      </c>
      <c r="I50" s="64" t="n">
        <f aca="false">SUMIFS(Artikel!$CL$7:$CL$1843,Artikel!$A$7:$A$1843,B50)</f>
        <v>1.28060263653484</v>
      </c>
    </row>
    <row r="51" customFormat="false" ht="15" hidden="false" customHeight="false" outlineLevel="0" collapsed="false">
      <c r="A51" s="10" t="n">
        <v>1</v>
      </c>
      <c r="B51" s="10" t="s">
        <v>288</v>
      </c>
      <c r="C51" s="10" t="s">
        <v>257</v>
      </c>
      <c r="D51" s="10" t="n">
        <v>8</v>
      </c>
      <c r="E51" s="10" t="n">
        <v>4</v>
      </c>
      <c r="F51" s="10" t="s">
        <v>177</v>
      </c>
      <c r="G51" s="10" t="n">
        <v>5</v>
      </c>
      <c r="H51" s="10" t="n">
        <v>5</v>
      </c>
      <c r="I51" s="64" t="n">
        <f aca="false">SUMIFS(Artikel!$CL$7:$CL$1843,Artikel!$A$7:$A$1843,B51)</f>
        <v>0.64030131826742</v>
      </c>
    </row>
    <row r="52" customFormat="false" ht="15" hidden="false" customHeight="false" outlineLevel="0" collapsed="false">
      <c r="A52" s="10" t="n">
        <v>1</v>
      </c>
      <c r="B52" s="10" t="s">
        <v>358</v>
      </c>
      <c r="C52" s="10" t="s">
        <v>359</v>
      </c>
      <c r="D52" s="10" t="n">
        <v>4</v>
      </c>
      <c r="E52" s="10" t="n">
        <v>2</v>
      </c>
      <c r="F52" s="10" t="s">
        <v>177</v>
      </c>
      <c r="G52" s="10" t="n">
        <v>5</v>
      </c>
      <c r="H52" s="10" t="n">
        <v>5</v>
      </c>
      <c r="I52" s="64" t="n">
        <f aca="false">SUMIFS(Artikel!$CL$7:$CL$1843,Artikel!$A$7:$A$1843,B52)</f>
        <v>0.32015065913371</v>
      </c>
    </row>
    <row r="53" customFormat="false" ht="15" hidden="false" customHeight="false" outlineLevel="0" collapsed="false">
      <c r="C53" s="5" t="s">
        <v>39</v>
      </c>
      <c r="D53" s="5" t="n">
        <f aca="false">SUM(D5:D52)</f>
        <v>531</v>
      </c>
      <c r="E53" s="5" t="n">
        <f aca="false">SUM(E5:E52)</f>
        <v>293</v>
      </c>
      <c r="I53" s="74" t="n">
        <f aca="false">SUM(I5:I52)</f>
        <v>42.5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7.35" hidden="false" customHeight="false" outlineLevel="0" collapsed="false">
      <c r="A1" s="75" t="s">
        <v>3165</v>
      </c>
    </row>
    <row r="2" customFormat="false" ht="15" hidden="false" customHeight="false" outlineLevel="0" collapsed="false">
      <c r="A2" s="76" t="s">
        <v>3166</v>
      </c>
    </row>
    <row r="3" customFormat="false" ht="15" hidden="false" customHeight="false" outlineLevel="0" collapsed="false">
      <c r="A3" s="77" t="s">
        <v>3167</v>
      </c>
    </row>
    <row r="4" customFormat="false" ht="15" hidden="false" customHeight="false" outlineLevel="0" collapsed="false">
      <c r="A4" s="77" t="s">
        <v>3168</v>
      </c>
    </row>
    <row r="5" customFormat="false" ht="15" hidden="false" customHeight="false" outlineLevel="0" collapsed="false">
      <c r="A5" s="77" t="s">
        <v>3169</v>
      </c>
    </row>
    <row r="6" customFormat="false" ht="15" hidden="false" customHeight="false" outlineLevel="0" collapsed="false">
      <c r="A6" s="77" t="s">
        <v>3170</v>
      </c>
    </row>
    <row r="7" customFormat="false" ht="15" hidden="false" customHeight="false" outlineLevel="0" collapsed="false">
      <c r="A7" s="76" t="s">
        <v>3171</v>
      </c>
    </row>
    <row r="8" customFormat="false" ht="23.85" hidden="false" customHeight="false" outlineLevel="0" collapsed="false">
      <c r="A8" s="77" t="s">
        <v>3172</v>
      </c>
    </row>
    <row r="9" customFormat="false" ht="15" hidden="false" customHeight="false" outlineLevel="0" collapsed="false">
      <c r="A9" s="76" t="s">
        <v>3173</v>
      </c>
    </row>
    <row r="10" customFormat="false" ht="35.05" hidden="false" customHeight="false" outlineLevel="0" collapsed="false">
      <c r="A10" s="77" t="s">
        <v>3174</v>
      </c>
    </row>
    <row r="11" customFormat="false" ht="15" hidden="false" customHeight="false" outlineLevel="0" collapsed="false">
      <c r="A11" s="76" t="s">
        <v>3175</v>
      </c>
    </row>
    <row r="12" customFormat="false" ht="15" hidden="false" customHeight="false" outlineLevel="0" collapsed="false">
      <c r="A12" s="77" t="s">
        <v>3176</v>
      </c>
    </row>
    <row r="13" customFormat="false" ht="15" hidden="false" customHeight="false" outlineLevel="0" collapsed="false">
      <c r="A13" s="77" t="s">
        <v>3177</v>
      </c>
    </row>
    <row r="14" customFormat="false" ht="15" hidden="false" customHeight="false" outlineLevel="0" collapsed="false">
      <c r="A14" s="77" t="s">
        <v>3178</v>
      </c>
    </row>
    <row r="15" customFormat="false" ht="15" hidden="false" customHeight="false" outlineLevel="0" collapsed="false">
      <c r="A15" s="77" t="s">
        <v>3179</v>
      </c>
    </row>
    <row r="16" customFormat="false" ht="15" hidden="false" customHeight="false" outlineLevel="0" collapsed="false">
      <c r="A16" s="76" t="s">
        <v>3180</v>
      </c>
    </row>
    <row r="17" customFormat="false" ht="15" hidden="false" customHeight="false" outlineLevel="0" collapsed="false">
      <c r="A17" s="77" t="s">
        <v>3181</v>
      </c>
    </row>
    <row r="18" customFormat="false" ht="15" hidden="false" customHeight="false" outlineLevel="0" collapsed="false">
      <c r="A18" s="77" t="s">
        <v>3182</v>
      </c>
    </row>
    <row r="19" customFormat="false" ht="23.85" hidden="false" customHeight="false" outlineLevel="0" collapsed="false">
      <c r="A19" s="77" t="s">
        <v>3183</v>
      </c>
    </row>
    <row r="20" customFormat="false" ht="23.85" hidden="false" customHeight="false" outlineLevel="0" collapsed="false">
      <c r="A20" s="77" t="s">
        <v>3184</v>
      </c>
    </row>
    <row r="21" customFormat="false" ht="23.85" hidden="false" customHeight="false" outlineLevel="0" collapsed="false">
      <c r="A21" s="77" t="s">
        <v>3185</v>
      </c>
    </row>
    <row r="22" customFormat="false" ht="15" hidden="false" customHeight="false" outlineLevel="0" collapsed="false">
      <c r="A22" s="77" t="s">
        <v>3186</v>
      </c>
    </row>
    <row r="23" customFormat="false" ht="23.85" hidden="false" customHeight="false" outlineLevel="0" collapsed="false">
      <c r="A23" s="77" t="s">
        <v>3187</v>
      </c>
    </row>
    <row r="24" customFormat="false" ht="15" hidden="false" customHeight="false" outlineLevel="0" collapsed="false">
      <c r="A24" s="76" t="s">
        <v>137</v>
      </c>
    </row>
    <row r="25" customFormat="false" ht="23.85" hidden="false" customHeight="false" outlineLevel="0" collapsed="false">
      <c r="A25" s="77" t="s">
        <v>3188</v>
      </c>
    </row>
    <row r="26" customFormat="false" ht="15" hidden="false" customHeight="false" outlineLevel="0" collapsed="false">
      <c r="A26" s="76" t="s">
        <v>3189</v>
      </c>
    </row>
    <row r="27" customFormat="false" ht="23.85" hidden="false" customHeight="false" outlineLevel="0" collapsed="false">
      <c r="A27" s="77" t="s">
        <v>3190</v>
      </c>
    </row>
    <row r="28" customFormat="false" ht="15" hidden="false" customHeight="false" outlineLevel="0" collapsed="false">
      <c r="A28" s="77" t="s">
        <v>3191</v>
      </c>
    </row>
    <row r="29" customFormat="false" ht="15" hidden="false" customHeight="false" outlineLevel="0" collapsed="false">
      <c r="A29" s="77" t="s">
        <v>3192</v>
      </c>
    </row>
    <row r="30" customFormat="false" ht="15" hidden="false" customHeight="false" outlineLevel="0" collapsed="false">
      <c r="A30" s="77" t="s">
        <v>3193</v>
      </c>
    </row>
    <row r="31" customFormat="false" ht="15" hidden="false" customHeight="false" outlineLevel="0" collapsed="false">
      <c r="A31" s="77" t="s">
        <v>3194</v>
      </c>
    </row>
    <row r="32" customFormat="false" ht="15" hidden="false" customHeight="false" outlineLevel="0" collapsed="false">
      <c r="A32" s="77" t="s">
        <v>3195</v>
      </c>
    </row>
    <row r="33" customFormat="false" ht="15" hidden="false" customHeight="false" outlineLevel="0" collapsed="false">
      <c r="A33" s="77" t="s">
        <v>3196</v>
      </c>
    </row>
    <row r="34" customFormat="false" ht="15" hidden="false" customHeight="false" outlineLevel="0" collapsed="false">
      <c r="A34" s="76" t="s">
        <v>3197</v>
      </c>
    </row>
    <row r="35" customFormat="false" ht="23.85" hidden="false" customHeight="false" outlineLevel="0" collapsed="false">
      <c r="A35" s="77" t="s">
        <v>3198</v>
      </c>
    </row>
    <row r="36" customFormat="false" ht="15" hidden="false" customHeight="false" outlineLevel="0" collapsed="false">
      <c r="A36" s="76" t="s">
        <v>3199</v>
      </c>
    </row>
    <row r="37" customFormat="false" ht="15" hidden="false" customHeight="false" outlineLevel="0" collapsed="false">
      <c r="A37" s="77" t="s">
        <v>3200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2026-10-05T13:33:22Z</dcterms:created>
  <dc:creator>openpyxl</dc:creator>
  <dc:description/>
  <dc:language>en-US</dc:language>
  <cp:lastModifiedBy/>
  <dcterms:modified xsi:type="dcterms:W3CDTF">2026-10-05T13:33:36Z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